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README" sheetId="1" state="visible" r:id="rId1"/>
    <sheet name="Daily_Report" sheetId="2" state="visible" r:id="rId2"/>
    <sheet name="Dashboard" sheetId="3" state="visible" r:id="rId3"/>
    <sheet name="Monthly_Summary" sheetId="4" state="visible" r:id="rId4"/>
    <sheet name="Plant" sheetId="5" state="visible" r:id="rId5"/>
    <sheet name="Mining_Movements" sheetId="6" state="visible" r:id="rId6"/>
    <sheet name="Mining_Daily" sheetId="7" state="visible" r:id="rId7"/>
    <sheet name="Fleet" sheetId="8" state="visible" r:id="rId8"/>
    <sheet name="Safety" sheetId="9" state="visible" r:id="rId9"/>
    <sheet name="Gold" sheetId="10" state="visible" r:id="rId10"/>
    <sheet name="Budget" sheetId="11" state="visible" r:id="rId11"/>
    <sheet name="Commentary" sheetId="12" state="visible" r:id="rId12"/>
    <sheet name="Config" sheetId="13" state="visible" r:id="rId13"/>
    <sheet name="Lists" sheetId="14" state="visible" r:id="rId14"/>
    <sheet name="Calc_Daily" sheetId="15" state="visible" r:id="rId15"/>
    <sheet name="Chart_Data" sheetId="16" state="visible" r:id="rId16"/>
    <sheet name="Data_Dictionary" sheetId="17" state="visible" r:id="rId17"/>
  </sheets>
  <definedNames>
    <definedName name="lst_Shift">Lists!$A$6:INDEX(Lists!$A:$A,5+COUNTA(Lists!$A$6:$A$1048576))</definedName>
    <definedName name="lst_Material">Lists!$C$6:INDEX(Lists!$C:$C,5+COUNTA(Lists!$C$6:$C$1048576))</definedName>
    <definedName name="lst_Area">Lists!$E$6:INDEX(Lists!$E:$E,5+COUNTA(Lists!$E$6:$E$1048576))</definedName>
    <definedName name="lst_Equipment_Class">Lists!$G$6:INDEX(Lists!$G:$G,5+COUNTA(Lists!$G$6:$G$1048576))</definedName>
    <definedName name="lst_Gold_Movement_Type">Lists!$I$6:INDEX(Lists!$I:$I,5+COUNTA(Lists!$I$6:$I$1048576))</definedName>
    <definedName name="lst_Yes_No">Lists!$K$6:INDEX(Lists!$K:$K,5+COUNTA(Lists!$K$6:$K$1048576))</definedName>
    <definedName name="lst_Source_Type">Lists!$M$6:INDEX(Lists!$M:$M,5+COUNTA(Lists!$M$6:$M$1048576))</definedName>
    <definedName name="lst_Destination_Type">Lists!$O$6:INDEX(Lists!$O:$O,5+COUNTA(Lists!$O$6:$O$1048576))</definedName>
    <definedName name="lst_Source">Lists!$R$6:INDEX(Lists!$R:$R,5+COUNTA(Lists!$R$6:$R$1048576))</definedName>
    <definedName name="lst_Destination">Lists!$U$6:INDEX(Lists!$U:$U,5+COUNTA(Lists!$U$6:$U$1048576))</definedName>
    <definedName name="cfg_Site">Config!$B$5</definedName>
    <definedName name="cfg_Company">Config!$B$6</definedName>
    <definedName name="cfg_ReportTitle">Config!$B$7</definedName>
    <definedName name="cfg_PriorLTIDate">Config!$B$8</definedName>
    <definedName name="cfg_TroyOz">Config!$B$9</definedName>
    <definedName name="cfg_HoursPerDay">Config!$B$10</definedName>
    <definedName name="cfg_RateBasisHours">Config!$B$11</definedName>
    <definedName name="cfg_Year">Config!$B$14</definedName>
    <definedName name="cfg_YearStart">Config!$B$15</definedName>
    <definedName name="cfg_YearEnd">Config!$B$16</definedName>
    <definedName name="cfg_LastDataDate">Config!$B$17</definedName>
    <definedName name="cfg_FeedCheck">Config!$B$18</definedName>
    <definedName name="cfg_YearCheck">Config!$B$19</definedName>
    <definedName name="cd_Date">Calc_Daily!$A$2:$A$366</definedName>
    <definedName name="cd_Month">Calc_Daily!$B$2:$B$366</definedName>
    <definedName name="cd_Day">Calc_Daily!$C$2:$C$366</definedName>
    <definedName name="cd_Days_In_Month">Calc_Daily!$D$2:$D$366</definedName>
    <definedName name="cd_Month_Start">Calc_Daily!$E$2:$E$366</definedName>
    <definedName name="cd_Ore_Mined_t">Calc_Daily!$F$2:$F$366</definedName>
    <definedName name="cd_Ore_Mined_t_MTD">Calc_Daily!$G$2:$G$366</definedName>
    <definedName name="cd_Ore_Mined_t_YTD">Calc_Daily!$H$2:$H$366</definedName>
    <definedName name="cd_Ore_Mined_oz">Calc_Daily!$I$2:$I$366</definedName>
    <definedName name="cd_Ore_Mined_oz_MTD">Calc_Daily!$J$2:$J$366</definedName>
    <definedName name="cd_Ore_Mined_oz_YTD">Calc_Daily!$K$2:$K$366</definedName>
    <definedName name="cd_Ore_Graded_t">Calc_Daily!$L$2:$L$366</definedName>
    <definedName name="cd_Ore_Graded_t_MTD">Calc_Daily!$M$2:$M$366</definedName>
    <definedName name="cd_Ore_Graded_t_YTD">Calc_Daily!$N$2:$N$366</definedName>
    <definedName name="cd_Ore_Grade_gpt">Calc_Daily!$O$2:$O$366</definedName>
    <definedName name="cd_Ore_Grade_gpt_MTD">Calc_Daily!$P$2:$P$366</definedName>
    <definedName name="cd_Ore_Grade_gpt_YTD">Calc_Daily!$Q$2:$Q$366</definedName>
    <definedName name="cd_Ore_Ungraded_t">Calc_Daily!$R$2:$R$366</definedName>
    <definedName name="cd_Ore_Ungraded_t_MTD">Calc_Daily!$S$2:$S$366</definedName>
    <definedName name="cd_Ore_Ungraded_t_YTD">Calc_Daily!$T$2:$T$366</definedName>
    <definedName name="cd_Waste_t">Calc_Daily!$U$2:$U$366</definedName>
    <definedName name="cd_Waste_t_MTD">Calc_Daily!$V$2:$V$366</definedName>
    <definedName name="cd_Waste_t_YTD">Calc_Daily!$W$2:$W$366</definedName>
    <definedName name="cd_TMM_t">Calc_Daily!$X$2:$X$366</definedName>
    <definedName name="cd_TMM_t_MTD">Calc_Daily!$Y$2:$Y$366</definedName>
    <definedName name="cd_TMM_t_YTD">Calc_Daily!$Z$2:$Z$366</definedName>
    <definedName name="cd_Strip_Ratio">Calc_Daily!$AA$2:$AA$366</definedName>
    <definedName name="cd_Strip_Ratio_MTD">Calc_Daily!$AB$2:$AB$366</definedName>
    <definedName name="cd_Strip_Ratio_YTD">Calc_Daily!$AC$2:$AC$366</definedName>
    <definedName name="cd_Rehandle_t">Calc_Daily!$AD$2:$AD$366</definedName>
    <definedName name="cd_Rehandle_t_MTD">Calc_Daily!$AE$2:$AE$366</definedName>
    <definedName name="cd_Rehandle_t_YTD">Calc_Daily!$AF$2:$AF$366</definedName>
    <definedName name="cd_Moved_Total_t">Calc_Daily!$AG$2:$AG$366</definedName>
    <definedName name="cd_Moved_Total_t_MTD">Calc_Daily!$AH$2:$AH$366</definedName>
    <definedName name="cd_Moved_Total_t_YTD">Calc_Daily!$AI$2:$AI$366</definedName>
    <definedName name="cd_Unclassified_t">Calc_Daily!$AJ$2:$AJ$366</definedName>
    <definedName name="cd_Unclassified_t_MTD">Calc_Daily!$AK$2:$AK$366</definedName>
    <definedName name="cd_Unclassified_t_YTD">Calc_Daily!$AL$2:$AL$366</definedName>
    <definedName name="cd_Drill_m">Calc_Daily!$AM$2:$AM$366</definedName>
    <definedName name="cd_Drill_m_MTD">Calc_Daily!$AN$2:$AN$366</definedName>
    <definedName name="cd_Drill_m_YTD">Calc_Daily!$AO$2:$AO$366</definedName>
    <definedName name="cd_GC_Drill_m">Calc_Daily!$AP$2:$AP$366</definedName>
    <definedName name="cd_GC_Drill_m_MTD">Calc_Daily!$AQ$2:$AQ$366</definedName>
    <definedName name="cd_GC_Drill_m_YTD">Calc_Daily!$AR$2:$AR$366</definedName>
    <definedName name="cd_Blast_t">Calc_Daily!$AS$2:$AS$366</definedName>
    <definedName name="cd_Blast_t_MTD">Calc_Daily!$AT$2:$AT$366</definedName>
    <definedName name="cd_Blast_t_YTD">Calc_Daily!$AU$2:$AU$366</definedName>
    <definedName name="cd_Explosives_kg">Calc_Daily!$AV$2:$AV$366</definedName>
    <definedName name="cd_Explosives_kg_MTD">Calc_Daily!$AW$2:$AW$366</definedName>
    <definedName name="cd_Explosives_kg_YTD">Calc_Daily!$AX$2:$AX$366</definedName>
    <definedName name="cd_Powder_Factor_kgpt">Calc_Daily!$AY$2:$AY$366</definedName>
    <definedName name="cd_Powder_Factor_kgpt_MTD">Calc_Daily!$AZ$2:$AZ$366</definedName>
    <definedName name="cd_Powder_Factor_kgpt_YTD">Calc_Daily!$BA$2:$BA$366</definedName>
    <definedName name="cd_Diesel_Mining_L">Calc_Daily!$BB$2:$BB$366</definedName>
    <definedName name="cd_Diesel_Mining_L_MTD">Calc_Daily!$BC$2:$BC$366</definedName>
    <definedName name="cd_Diesel_Mining_L_YTD">Calc_Daily!$BD$2:$BD$366</definedName>
    <definedName name="cd_Dewatering_m3">Calc_Daily!$BE$2:$BE$366</definedName>
    <definedName name="cd_Dewatering_m3_MTD">Calc_Daily!$BF$2:$BF$366</definedName>
    <definedName name="cd_Dewatering_m3_YTD">Calc_Daily!$BG$2:$BG$366</definedName>
    <definedName name="cd_Exc_Calendar_h">Calc_Daily!$BH$2:$BH$366</definedName>
    <definedName name="cd_Exc_Calendar_h_MTD">Calc_Daily!$BI$2:$BI$366</definedName>
    <definedName name="cd_Exc_Calendar_h_YTD">Calc_Daily!$BJ$2:$BJ$366</definedName>
    <definedName name="cd_Exc_Available_h">Calc_Daily!$BK$2:$BK$366</definedName>
    <definedName name="cd_Exc_Available_h_MTD">Calc_Daily!$BL$2:$BL$366</definedName>
    <definedName name="cd_Exc_Available_h_YTD">Calc_Daily!$BM$2:$BM$366</definedName>
    <definedName name="cd_Exc_Operating_h">Calc_Daily!$BN$2:$BN$366</definedName>
    <definedName name="cd_Exc_Operating_h_MTD">Calc_Daily!$BO$2:$BO$366</definedName>
    <definedName name="cd_Exc_Operating_h_YTD">Calc_Daily!$BP$2:$BP$366</definedName>
    <definedName name="cd_Exc_Availability_pct">Calc_Daily!$BQ$2:$BQ$366</definedName>
    <definedName name="cd_Exc_Availability_pct_MTD">Calc_Daily!$BR$2:$BR$366</definedName>
    <definedName name="cd_Exc_Availability_pct_YTD">Calc_Daily!$BS$2:$BS$366</definedName>
    <definedName name="cd_Exc_Utilisation_pct">Calc_Daily!$BT$2:$BT$366</definedName>
    <definedName name="cd_Exc_Utilisation_pct_MTD">Calc_Daily!$BU$2:$BU$366</definedName>
    <definedName name="cd_Exc_Utilisation_pct_YTD">Calc_Daily!$BV$2:$BV$366</definedName>
    <definedName name="cd_Trk_Calendar_h">Calc_Daily!$BW$2:$BW$366</definedName>
    <definedName name="cd_Trk_Calendar_h_MTD">Calc_Daily!$BX$2:$BX$366</definedName>
    <definedName name="cd_Trk_Calendar_h_YTD">Calc_Daily!$BY$2:$BY$366</definedName>
    <definedName name="cd_Trk_Available_h">Calc_Daily!$BZ$2:$BZ$366</definedName>
    <definedName name="cd_Trk_Available_h_MTD">Calc_Daily!$CA$2:$CA$366</definedName>
    <definedName name="cd_Trk_Available_h_YTD">Calc_Daily!$CB$2:$CB$366</definedName>
    <definedName name="cd_Trk_Operating_h">Calc_Daily!$CC$2:$CC$366</definedName>
    <definedName name="cd_Trk_Operating_h_MTD">Calc_Daily!$CD$2:$CD$366</definedName>
    <definedName name="cd_Trk_Operating_h_YTD">Calc_Daily!$CE$2:$CE$366</definedName>
    <definedName name="cd_Trk_Availability_pct">Calc_Daily!$CF$2:$CF$366</definedName>
    <definedName name="cd_Trk_Availability_pct_MTD">Calc_Daily!$CG$2:$CG$366</definedName>
    <definedName name="cd_Trk_Availability_pct_YTD">Calc_Daily!$CH$2:$CH$366</definedName>
    <definedName name="cd_Trk_Utilisation_pct">Calc_Daily!$CI$2:$CI$366</definedName>
    <definedName name="cd_Trk_Utilisation_pct_MTD">Calc_Daily!$CJ$2:$CJ$366</definedName>
    <definedName name="cd_Trk_Utilisation_pct_YTD">Calc_Daily!$CK$2:$CK$366</definedName>
    <definedName name="cd_Exc_Productivity_tph">Calc_Daily!$CL$2:$CL$366</definedName>
    <definedName name="cd_Exc_Productivity_tph_MTD">Calc_Daily!$CM$2:$CM$366</definedName>
    <definedName name="cd_Exc_Productivity_tph_YTD">Calc_Daily!$CN$2:$CN$366</definedName>
    <definedName name="cd_Trk_Productivity_tph">Calc_Daily!$CO$2:$CO$366</definedName>
    <definedName name="cd_Trk_Productivity_tph_MTD">Calc_Daily!$CP$2:$CP$366</definedName>
    <definedName name="cd_Trk_Productivity_tph_YTD">Calc_Daily!$CQ$2:$CQ$366</definedName>
    <definedName name="cd_Crushed_t">Calc_Daily!$CR$2:$CR$366</definedName>
    <definedName name="cd_Crushed_t_MTD">Calc_Daily!$CS$2:$CS$366</definedName>
    <definedName name="cd_Crushed_t_YTD">Calc_Daily!$CT$2:$CT$366</definedName>
    <definedName name="cd_Milled_t">Calc_Daily!$CU$2:$CU$366</definedName>
    <definedName name="cd_Milled_t_MTD">Calc_Daily!$CV$2:$CV$366</definedName>
    <definedName name="cd_Milled_t_YTD">Calc_Daily!$CW$2:$CW$366</definedName>
    <definedName name="cd_Feed_oz">Calc_Daily!$CX$2:$CX$366</definedName>
    <definedName name="cd_Feed_oz_MTD">Calc_Daily!$CY$2:$CY$366</definedName>
    <definedName name="cd_Feed_oz_YTD">Calc_Daily!$CZ$2:$CZ$366</definedName>
    <definedName name="cd_Tails_oz">Calc_Daily!$DA$2:$DA$366</definedName>
    <definedName name="cd_Tails_oz_MTD">Calc_Daily!$DB$2:$DB$366</definedName>
    <definedName name="cd_Tails_oz_YTD">Calc_Daily!$DC$2:$DC$366</definedName>
    <definedName name="cd_Recovered_oz">Calc_Daily!$DD$2:$DD$366</definedName>
    <definedName name="cd_Recovered_oz_MTD">Calc_Daily!$DE$2:$DE$366</definedName>
    <definedName name="cd_Recovered_oz_YTD">Calc_Daily!$DF$2:$DF$366</definedName>
    <definedName name="cd_Milled_Graded_t">Calc_Daily!$DG$2:$DG$366</definedName>
    <definedName name="cd_Milled_Graded_t_MTD">Calc_Daily!$DH$2:$DH$366</definedName>
    <definedName name="cd_Milled_Graded_t_YTD">Calc_Daily!$DI$2:$DI$366</definedName>
    <definedName name="cd_Milled_Tails_Graded_t">Calc_Daily!$DJ$2:$DJ$366</definedName>
    <definedName name="cd_Milled_Tails_Graded_t_MTD">Calc_Daily!$DK$2:$DK$366</definedName>
    <definedName name="cd_Milled_Tails_Graded_t_YTD">Calc_Daily!$DL$2:$DL$366</definedName>
    <definedName name="cd_Feed_Recon_oz">Calc_Daily!$DM$2:$DM$366</definedName>
    <definedName name="cd_Feed_Recon_oz_MTD">Calc_Daily!$DN$2:$DN$366</definedName>
    <definedName name="cd_Feed_Recon_oz_YTD">Calc_Daily!$DO$2:$DO$366</definedName>
    <definedName name="cd_Milled_Timed_t">Calc_Daily!$DP$2:$DP$366</definedName>
    <definedName name="cd_Milled_Timed_t_MTD">Calc_Daily!$DQ$2:$DQ$366</definedName>
    <definedName name="cd_Milled_Timed_t_YTD">Calc_Daily!$DR$2:$DR$366</definedName>
    <definedName name="cd_Head_Grade_gpt">Calc_Daily!$DS$2:$DS$366</definedName>
    <definedName name="cd_Head_Grade_gpt_MTD">Calc_Daily!$DT$2:$DT$366</definedName>
    <definedName name="cd_Head_Grade_gpt_YTD">Calc_Daily!$DU$2:$DU$366</definedName>
    <definedName name="cd_Tails_Grade_gpt">Calc_Daily!$DV$2:$DV$366</definedName>
    <definedName name="cd_Tails_Grade_gpt_MTD">Calc_Daily!$DW$2:$DW$366</definedName>
    <definedName name="cd_Tails_Grade_gpt_YTD">Calc_Daily!$DX$2:$DX$366</definedName>
    <definedName name="cd_Recovery_pct">Calc_Daily!$DY$2:$DY$366</definedName>
    <definedName name="cd_Recovery_pct_MTD">Calc_Daily!$DZ$2:$DZ$366</definedName>
    <definedName name="cd_Recovery_pct_YTD">Calc_Daily!$EA$2:$EA$366</definedName>
    <definedName name="cd_Gravity_Gold_oz">Calc_Daily!$EB$2:$EB$366</definedName>
    <definedName name="cd_Gravity_Gold_oz_MTD">Calc_Daily!$EC$2:$EC$366</definedName>
    <definedName name="cd_Gravity_Gold_oz_YTD">Calc_Daily!$ED$2:$ED$366</definedName>
    <definedName name="cd_Gravity_Share_pct">Calc_Daily!$EE$2:$EE$366</definedName>
    <definedName name="cd_Gravity_Share_pct_MTD">Calc_Daily!$EF$2:$EF$366</definedName>
    <definedName name="cd_Gravity_Share_pct_YTD">Calc_Daily!$EG$2:$EG$366</definedName>
    <definedName name="cd_Gold_Poured_oz">Calc_Daily!$EH$2:$EH$366</definedName>
    <definedName name="cd_Gold_Poured_oz_MTD">Calc_Daily!$EI$2:$EI$366</definedName>
    <definedName name="cd_Gold_Poured_oz_YTD">Calc_Daily!$EJ$2:$EJ$366</definedName>
    <definedName name="cd_Mill_Run_h">Calc_Daily!$EK$2:$EK$366</definedName>
    <definedName name="cd_Mill_Run_h_MTD">Calc_Daily!$EL$2:$EL$366</definedName>
    <definedName name="cd_Mill_Run_h_YTD">Calc_Daily!$EM$2:$EM$366</definedName>
    <definedName name="cd_Mill_Planned_Maint_h">Calc_Daily!$EN$2:$EN$366</definedName>
    <definedName name="cd_Mill_Planned_Maint_h_MTD">Calc_Daily!$EO$2:$EO$366</definedName>
    <definedName name="cd_Mill_Planned_Maint_h_YTD">Calc_Daily!$EP$2:$EP$366</definedName>
    <definedName name="cd_Mill_Unplanned_Down_h">Calc_Daily!$EQ$2:$EQ$366</definedName>
    <definedName name="cd_Mill_Unplanned_Down_h_MTD">Calc_Daily!$ER$2:$ER$366</definedName>
    <definedName name="cd_Mill_Unplanned_Down_h_YTD">Calc_Daily!$ES$2:$ES$366</definedName>
    <definedName name="cd_Mill_Calendar_h">Calc_Daily!$ET$2:$ET$366</definedName>
    <definedName name="cd_Mill_Calendar_h_MTD">Calc_Daily!$EU$2:$EU$366</definedName>
    <definedName name="cd_Mill_Calendar_h_YTD">Calc_Daily!$EV$2:$EV$366</definedName>
    <definedName name="cd_Crusher_Run_h">Calc_Daily!$EW$2:$EW$366</definedName>
    <definedName name="cd_Crusher_Run_h_MTD">Calc_Daily!$EX$2:$EX$366</definedName>
    <definedName name="cd_Crusher_Run_h_YTD">Calc_Daily!$EY$2:$EY$366</definedName>
    <definedName name="cd_Throughput_tph">Calc_Daily!$EZ$2:$EZ$366</definedName>
    <definedName name="cd_Throughput_tph_MTD">Calc_Daily!$FA$2:$FA$366</definedName>
    <definedName name="cd_Throughput_tph_YTD">Calc_Daily!$FB$2:$FB$366</definedName>
    <definedName name="cd_Mill_Availability_pct">Calc_Daily!$FC$2:$FC$366</definedName>
    <definedName name="cd_Mill_Availability_pct_MTD">Calc_Daily!$FD$2:$FD$366</definedName>
    <definedName name="cd_Mill_Availability_pct_YTD">Calc_Daily!$FE$2:$FE$366</definedName>
    <definedName name="cd_Mill_Utilisation_pct">Calc_Daily!$FF$2:$FF$366</definedName>
    <definedName name="cd_Mill_Utilisation_pct_MTD">Calc_Daily!$FG$2:$FG$366</definedName>
    <definedName name="cd_Mill_Utilisation_pct_YTD">Calc_Daily!$FH$2:$FH$366</definedName>
    <definedName name="cd_Cyanide_kg">Calc_Daily!$FI$2:$FI$366</definedName>
    <definedName name="cd_Cyanide_kg_MTD">Calc_Daily!$FJ$2:$FJ$366</definedName>
    <definedName name="cd_Cyanide_kg_YTD">Calc_Daily!$FK$2:$FK$366</definedName>
    <definedName name="cd_Lime_kg">Calc_Daily!$FL$2:$FL$366</definedName>
    <definedName name="cd_Lime_kg_MTD">Calc_Daily!$FM$2:$FM$366</definedName>
    <definedName name="cd_Lime_kg_YTD">Calc_Daily!$FN$2:$FN$366</definedName>
    <definedName name="cd_Grinding_Media_kg">Calc_Daily!$FO$2:$FO$366</definedName>
    <definedName name="cd_Grinding_Media_kg_MTD">Calc_Daily!$FP$2:$FP$366</definedName>
    <definedName name="cd_Grinding_Media_kg_YTD">Calc_Daily!$FQ$2:$FQ$366</definedName>
    <definedName name="cd_Power_kWh">Calc_Daily!$FR$2:$FR$366</definedName>
    <definedName name="cd_Power_kWh_MTD">Calc_Daily!$FS$2:$FS$366</definedName>
    <definedName name="cd_Power_kWh_YTD">Calc_Daily!$FT$2:$FT$366</definedName>
    <definedName name="cd_Raw_Water_m3">Calc_Daily!$FU$2:$FU$366</definedName>
    <definedName name="cd_Raw_Water_m3_MTD">Calc_Daily!$FV$2:$FV$366</definedName>
    <definedName name="cd_Raw_Water_m3_YTD">Calc_Daily!$FW$2:$FW$366</definedName>
    <definedName name="cd_Cyanide_kgpt">Calc_Daily!$FX$2:$FX$366</definedName>
    <definedName name="cd_Cyanide_kgpt_MTD">Calc_Daily!$FY$2:$FY$366</definedName>
    <definedName name="cd_Cyanide_kgpt_YTD">Calc_Daily!$FZ$2:$FZ$366</definedName>
    <definedName name="cd_Lime_kgpt">Calc_Daily!$GA$2:$GA$366</definedName>
    <definedName name="cd_Lime_kgpt_MTD">Calc_Daily!$GB$2:$GB$366</definedName>
    <definedName name="cd_Lime_kgpt_YTD">Calc_Daily!$GC$2:$GC$366</definedName>
    <definedName name="cd_Media_kgpt">Calc_Daily!$GD$2:$GD$366</definedName>
    <definedName name="cd_Media_kgpt_MTD">Calc_Daily!$GE$2:$GE$366</definedName>
    <definedName name="cd_Media_kgpt_YTD">Calc_Daily!$GF$2:$GF$366</definedName>
    <definedName name="cd_Power_kWhpt">Calc_Daily!$GG$2:$GG$366</definedName>
    <definedName name="cd_Power_kWhpt_MTD">Calc_Daily!$GH$2:$GH$366</definedName>
    <definedName name="cd_Power_kWhpt_YTD">Calc_Daily!$GI$2:$GI$366</definedName>
    <definedName name="cd_Water_m3pt">Calc_Daily!$GJ$2:$GJ$366</definedName>
    <definedName name="cd_Water_m3pt_MTD">Calc_Daily!$GK$2:$GK$366</definedName>
    <definedName name="cd_Water_m3pt_YTD">Calc_Daily!$GL$2:$GL$366</definedName>
    <definedName name="cd_GIC_oz">Calc_Daily!$GM$2:$GM$366</definedName>
    <definedName name="cd_Gold_Shipped_oz">Calc_Daily!$GN$2:$GN$366</definedName>
    <definedName name="cd_Gold_Shipped_oz_MTD">Calc_Daily!$GO$2:$GO$366</definedName>
    <definedName name="cd_Gold_Shipped_oz_YTD">Calc_Daily!$GP$2:$GP$366</definedName>
    <definedName name="cd_Gold_Sold_oz">Calc_Daily!$GQ$2:$GQ$366</definedName>
    <definedName name="cd_Gold_Sold_oz_MTD">Calc_Daily!$GR$2:$GR$366</definedName>
    <definedName name="cd_Gold_Sold_oz_YTD">Calc_Daily!$GS$2:$GS$366</definedName>
    <definedName name="cd_Dore_Shipped_kg">Calc_Daily!$GT$2:$GT$366</definedName>
    <definedName name="cd_Dore_Shipped_kg_MTD">Calc_Daily!$GU$2:$GU$366</definedName>
    <definedName name="cd_Dore_Shipped_kg_YTD">Calc_Daily!$GV$2:$GV$366</definedName>
    <definedName name="cd_Hours_Worked">Calc_Daily!$GW$2:$GW$366</definedName>
    <definedName name="cd_Hours_Worked_MTD">Calc_Daily!$GX$2:$GX$366</definedName>
    <definedName name="cd_Hours_Worked_YTD">Calc_Daily!$GY$2:$GY$366</definedName>
    <definedName name="cd_Fatality">Calc_Daily!$GZ$2:$GZ$366</definedName>
    <definedName name="cd_Fatality_MTD">Calc_Daily!$HA$2:$HA$366</definedName>
    <definedName name="cd_Fatality_YTD">Calc_Daily!$HB$2:$HB$366</definedName>
    <definedName name="cd_LTI">Calc_Daily!$HC$2:$HC$366</definedName>
    <definedName name="cd_LTI_MTD">Calc_Daily!$HD$2:$HD$366</definedName>
    <definedName name="cd_LTI_YTD">Calc_Daily!$HE$2:$HE$366</definedName>
    <definedName name="cd_RWI">Calc_Daily!$HF$2:$HF$366</definedName>
    <definedName name="cd_RWI_MTD">Calc_Daily!$HG$2:$HG$366</definedName>
    <definedName name="cd_RWI_YTD">Calc_Daily!$HH$2:$HH$366</definedName>
    <definedName name="cd_MTI">Calc_Daily!$HI$2:$HI$366</definedName>
    <definedName name="cd_MTI_MTD">Calc_Daily!$HJ$2:$HJ$366</definedName>
    <definedName name="cd_MTI_YTD">Calc_Daily!$HK$2:$HK$366</definedName>
    <definedName name="cd_FAI">Calc_Daily!$HL$2:$HL$366</definedName>
    <definedName name="cd_FAI_MTD">Calc_Daily!$HM$2:$HM$366</definedName>
    <definedName name="cd_FAI_YTD">Calc_Daily!$HN$2:$HN$366</definedName>
    <definedName name="cd_Recordables">Calc_Daily!$HO$2:$HO$366</definedName>
    <definedName name="cd_Recordables_MTD">Calc_Daily!$HP$2:$HP$366</definedName>
    <definedName name="cd_Recordables_YTD">Calc_Daily!$HQ$2:$HQ$366</definedName>
    <definedName name="cd_Near_Miss">Calc_Daily!$HR$2:$HR$366</definedName>
    <definedName name="cd_Near_Miss_MTD">Calc_Daily!$HS$2:$HS$366</definedName>
    <definedName name="cd_Near_Miss_YTD">Calc_Daily!$HT$2:$HT$366</definedName>
    <definedName name="cd_Hazard_Reports">Calc_Daily!$HU$2:$HU$366</definedName>
    <definedName name="cd_Hazard_Reports_MTD">Calc_Daily!$HV$2:$HV$366</definedName>
    <definedName name="cd_Hazard_Reports_YTD">Calc_Daily!$HW$2:$HW$366</definedName>
    <definedName name="cd_HPI">Calc_Daily!$HX$2:$HX$366</definedName>
    <definedName name="cd_HPI_MTD">Calc_Daily!$HY$2:$HY$366</definedName>
    <definedName name="cd_HPI_YTD">Calc_Daily!$HZ$2:$HZ$366</definedName>
    <definedName name="cd_Env_Incidents">Calc_Daily!$IA$2:$IA$366</definedName>
    <definedName name="cd_Env_Incidents_MTD">Calc_Daily!$IB$2:$IB$366</definedName>
    <definedName name="cd_Env_Incidents_YTD">Calc_Daily!$IC$2:$IC$366</definedName>
    <definedName name="cd_Community_Incidents">Calc_Daily!$ID$2:$ID$366</definedName>
    <definedName name="cd_Community_Incidents_MTD">Calc_Daily!$IE$2:$IE$366</definedName>
    <definedName name="cd_Community_Incidents_YTD">Calc_Daily!$IF$2:$IF$366</definedName>
    <definedName name="cd_Vehicle_Incidents">Calc_Daily!$IG$2:$IG$366</definedName>
    <definedName name="cd_Vehicle_Incidents_MTD">Calc_Daily!$IH$2:$IH$366</definedName>
    <definedName name="cd_Vehicle_Incidents_YTD">Calc_Daily!$II$2:$II$366</definedName>
    <definedName name="cd_Toolbox_Talks">Calc_Daily!$IJ$2:$IJ$366</definedName>
    <definedName name="cd_Toolbox_Talks_MTD">Calc_Daily!$IK$2:$IK$366</definedName>
    <definedName name="cd_Toolbox_Talks_YTD">Calc_Daily!$IL$2:$IL$366</definedName>
    <definedName name="cd_Inspections">Calc_Daily!$IM$2:$IM$366</definedName>
    <definedName name="cd_Inspections_MTD">Calc_Daily!$IN$2:$IN$366</definedName>
    <definedName name="cd_Inspections_YTD">Calc_Daily!$IO$2:$IO$366</definedName>
    <definedName name="cd_TRIFR_12m">Calc_Daily!$IP$2:$IP$366</definedName>
    <definedName name="cd_LTIFR_12m">Calc_Daily!$IQ$2:$IQ$366</definedName>
    <definedName name="cd_Days_Since_LTI">Calc_Daily!$IR$2:$IR$366</definedName>
    <definedName name="cd_Bud_Ore_Mined_t_Month">Calc_Daily!$IS$2:$IS$366</definedName>
    <definedName name="cd_Bud_Ore_Mined_t_MTD">Calc_Daily!$IT$2:$IT$366</definedName>
    <definedName name="cd_Bud_Ore_Mined_t_YTD">Calc_Daily!$IU$2:$IU$366</definedName>
    <definedName name="cd_Bud_Ore_Mined_oz_Month">Calc_Daily!$IV$2:$IV$366</definedName>
    <definedName name="cd_Bud_Ore_Mined_oz_MTD">Calc_Daily!$IW$2:$IW$366</definedName>
    <definedName name="cd_Bud_Ore_Mined_oz_YTD">Calc_Daily!$IX$2:$IX$366</definedName>
    <definedName name="cd_Bud_Ore_Graded_t_Month">Calc_Daily!$IY$2:$IY$366</definedName>
    <definedName name="cd_Bud_Ore_Graded_t_MTD">Calc_Daily!$IZ$2:$IZ$366</definedName>
    <definedName name="cd_Bud_Ore_Graded_t_YTD">Calc_Daily!$JA$2:$JA$366</definedName>
    <definedName name="cd_Bud_Ore_Grade_gpt_Month">Calc_Daily!$JB$2:$JB$366</definedName>
    <definedName name="cd_Bud_Ore_Grade_gpt_MTD">Calc_Daily!$JC$2:$JC$366</definedName>
    <definedName name="cd_Bud_Ore_Grade_gpt_YTD">Calc_Daily!$JD$2:$JD$366</definedName>
    <definedName name="cd_Bud_Waste_t_Month">Calc_Daily!$JE$2:$JE$366</definedName>
    <definedName name="cd_Bud_Waste_t_MTD">Calc_Daily!$JF$2:$JF$366</definedName>
    <definedName name="cd_Bud_Waste_t_YTD">Calc_Daily!$JG$2:$JG$366</definedName>
    <definedName name="cd_Bud_TMM_t_Month">Calc_Daily!$JH$2:$JH$366</definedName>
    <definedName name="cd_Bud_TMM_t_MTD">Calc_Daily!$JI$2:$JI$366</definedName>
    <definedName name="cd_Bud_TMM_t_YTD">Calc_Daily!$JJ$2:$JJ$366</definedName>
    <definedName name="cd_Bud_Strip_Ratio_Month">Calc_Daily!$JK$2:$JK$366</definedName>
    <definedName name="cd_Bud_Strip_Ratio_MTD">Calc_Daily!$JL$2:$JL$366</definedName>
    <definedName name="cd_Bud_Strip_Ratio_YTD">Calc_Daily!$JM$2:$JM$366</definedName>
    <definedName name="cd_Bud_Drill_m_Month">Calc_Daily!$JN$2:$JN$366</definedName>
    <definedName name="cd_Bud_Drill_m_MTD">Calc_Daily!$JO$2:$JO$366</definedName>
    <definedName name="cd_Bud_Drill_m_YTD">Calc_Daily!$JP$2:$JP$366</definedName>
    <definedName name="cd_Bud_Diesel_Mining_L_Month">Calc_Daily!$JQ$2:$JQ$366</definedName>
    <definedName name="cd_Bud_Diesel_Mining_L_MTD">Calc_Daily!$JR$2:$JR$366</definedName>
    <definedName name="cd_Bud_Diesel_Mining_L_YTD">Calc_Daily!$JS$2:$JS$366</definedName>
    <definedName name="cd_Bud_Milled_t_Month">Calc_Daily!$JT$2:$JT$366</definedName>
    <definedName name="cd_Bud_Milled_t_MTD">Calc_Daily!$JU$2:$JU$366</definedName>
    <definedName name="cd_Bud_Milled_t_YTD">Calc_Daily!$JV$2:$JV$366</definedName>
    <definedName name="cd_Bud_Feed_oz_Month">Calc_Daily!$JW$2:$JW$366</definedName>
    <definedName name="cd_Bud_Feed_oz_MTD">Calc_Daily!$JX$2:$JX$366</definedName>
    <definedName name="cd_Bud_Feed_oz_YTD">Calc_Daily!$JY$2:$JY$366</definedName>
    <definedName name="cd_Bud_Recovered_oz_Month">Calc_Daily!$JZ$2:$JZ$366</definedName>
    <definedName name="cd_Bud_Recovered_oz_MTD">Calc_Daily!$KA$2:$KA$366</definedName>
    <definedName name="cd_Bud_Recovered_oz_YTD">Calc_Daily!$KB$2:$KB$366</definedName>
    <definedName name="cd_Bud_Milled_Graded_t_Month">Calc_Daily!$KC$2:$KC$366</definedName>
    <definedName name="cd_Bud_Milled_Graded_t_MTD">Calc_Daily!$KD$2:$KD$366</definedName>
    <definedName name="cd_Bud_Milled_Graded_t_YTD">Calc_Daily!$KE$2:$KE$366</definedName>
    <definedName name="cd_Bud_Feed_Recon_oz_Month">Calc_Daily!$KF$2:$KF$366</definedName>
    <definedName name="cd_Bud_Feed_Recon_oz_MTD">Calc_Daily!$KG$2:$KG$366</definedName>
    <definedName name="cd_Bud_Feed_Recon_oz_YTD">Calc_Daily!$KH$2:$KH$366</definedName>
    <definedName name="cd_Bud_Head_Grade_gpt_Month">Calc_Daily!$KI$2:$KI$366</definedName>
    <definedName name="cd_Bud_Head_Grade_gpt_MTD">Calc_Daily!$KJ$2:$KJ$366</definedName>
    <definedName name="cd_Bud_Head_Grade_gpt_YTD">Calc_Daily!$KK$2:$KK$366</definedName>
    <definedName name="cd_Bud_Recovery_pct_Month">Calc_Daily!$KL$2:$KL$366</definedName>
    <definedName name="cd_Bud_Recovery_pct_MTD">Calc_Daily!$KM$2:$KM$366</definedName>
    <definedName name="cd_Bud_Recovery_pct_YTD">Calc_Daily!$KN$2:$KN$366</definedName>
    <definedName name="cd_Bud_Gold_Poured_oz_Month">Calc_Daily!$KO$2:$KO$366</definedName>
    <definedName name="cd_Bud_Gold_Poured_oz_MTD">Calc_Daily!$KP$2:$KP$366</definedName>
    <definedName name="cd_Bud_Gold_Poured_oz_YTD">Calc_Daily!$KQ$2:$KQ$366</definedName>
    <definedName name="cd_Bud_Hours_Worked_Month">Calc_Daily!$KR$2:$KR$366</definedName>
    <definedName name="cd_Bud_Hours_Worked_MTD">Calc_Daily!$KS$2:$KS$366</definedName>
    <definedName name="cd_Bud_Hours_Worked_YTD">Calc_Daily!$KT$2:$KT$366</definedName>
    <definedName name="rpt_Date">Daily_Report!$C$5</definedName>
    <definedName name="rpt_Row">Daily_Report!$L$5</definedName>
    <definedName name="rpt_Checks">Daily_Report!$B$7</definedName>
    <definedName name="_xlnm.Print_Area" localSheetId="1">'Daily_Report'!$B$2:$J$100</definedName>
    <definedName name="_xlnm.Print_Area" localSheetId="2">'Dashboard'!$B$2:$AF$60</definedName>
  </definedNames>
  <calcPr calcId="124519" fullCalcOnLoad="1"/>
</workbook>
</file>

<file path=xl/styles.xml><?xml version="1.0" encoding="utf-8"?>
<styleSheet xmlns="http://schemas.openxmlformats.org/spreadsheetml/2006/main">
  <numFmts count="9">
    <numFmt numFmtId="164" formatCode="dd-mmm-yyyy"/>
    <numFmt numFmtId="165" formatCode="0.0000"/>
    <numFmt numFmtId="166" formatCode="yyyy-mm-dd"/>
    <numFmt numFmtId="167" formatCode="#,##0.0"/>
    <numFmt numFmtId="168" formatCode="0.0%"/>
    <numFmt numFmtId="169" formatCode="0.0"/>
    <numFmt numFmtId="170" formatCode="ddd dd-mmm-yyyy"/>
    <numFmt numFmtId="171" formatCode="+0.0%;-0.0%;0.0%"/>
    <numFmt numFmtId="172" formatCode="mmm"/>
  </numFmts>
  <fonts count="21">
    <font>
      <name val="Calibri"/>
      <family val="2"/>
      <color theme="1"/>
      <sz val="11"/>
      <scheme val="minor"/>
    </font>
    <font>
      <name val="Calibri"/>
      <b val="1"/>
      <color rgb="001F3864"/>
      <sz val="14"/>
    </font>
    <font>
      <name val="Calibri"/>
      <i val="1"/>
      <color rgb="00595959"/>
      <sz val="10"/>
    </font>
    <font>
      <name val="Calibri"/>
      <i val="1"/>
      <color rgb="00595959"/>
      <sz val="9"/>
    </font>
    <font>
      <name val="Calibri"/>
      <b val="1"/>
      <color rgb="00FFFFFF"/>
      <sz val="10"/>
    </font>
    <font>
      <name val="Calibri"/>
      <b val="1"/>
      <color rgb="00000000"/>
      <sz val="10"/>
    </font>
    <font>
      <name val="Calibri"/>
      <color rgb="001F3864"/>
      <sz val="10"/>
    </font>
    <font>
      <name val="Calibri"/>
      <color rgb="007F7F7F"/>
      <sz val="9"/>
    </font>
    <font>
      <name val="Calibri"/>
      <b val="1"/>
      <color rgb="00595959"/>
      <sz val="10"/>
    </font>
    <font>
      <name val="Calibri"/>
      <color rgb="00595959"/>
      <sz val="10"/>
    </font>
    <font>
      <name val="Calibri"/>
      <b val="1"/>
      <color rgb="001F3864"/>
      <sz val="10"/>
    </font>
    <font>
      <name val="Calibri"/>
      <b val="1"/>
      <color rgb="00FFFFFF"/>
      <sz val="9"/>
    </font>
    <font>
      <name val="Calibri"/>
      <b val="1"/>
      <color rgb="001F3864"/>
      <sz val="16"/>
    </font>
    <font>
      <name val="Calibri"/>
      <b val="1"/>
      <color rgb="00C00000"/>
      <sz val="9"/>
    </font>
    <font>
      <name val="Calibri"/>
      <color rgb="00BFBFBF"/>
      <sz val="8"/>
    </font>
    <font>
      <name val="Calibri"/>
      <color rgb="00595959"/>
      <sz val="9"/>
    </font>
    <font>
      <name val="Calibri"/>
      <color rgb="00000000"/>
      <sz val="10"/>
    </font>
    <font>
      <name val="Calibri"/>
      <b val="1"/>
      <color rgb="00000000"/>
      <sz val="9"/>
    </font>
    <font>
      <name val="Calibri"/>
      <color rgb="00000000"/>
      <sz val="9"/>
    </font>
    <font>
      <name val="Calibri"/>
      <i val="1"/>
      <color rgb="007F7F7F"/>
      <sz val="8"/>
    </font>
    <font>
      <name val="Calibri"/>
      <b val="1"/>
      <color rgb="001F3864"/>
      <sz val="12"/>
    </font>
  </fonts>
  <fills count="6">
    <fill>
      <patternFill/>
    </fill>
    <fill>
      <patternFill patternType="gray125"/>
    </fill>
    <fill>
      <patternFill patternType="solid">
        <fgColor rgb="00F2F2F2"/>
        <bgColor rgb="00F2F2F2"/>
      </patternFill>
    </fill>
    <fill>
      <patternFill patternType="solid">
        <fgColor rgb="001F3864"/>
        <bgColor rgb="001F3864"/>
      </patternFill>
    </fill>
    <fill>
      <patternFill patternType="solid">
        <fgColor rgb="00595959"/>
        <bgColor rgb="00595959"/>
      </patternFill>
    </fill>
    <fill>
      <patternFill patternType="solid">
        <fgColor rgb="00FFF2CC"/>
        <b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2">
    <xf numFmtId="0" fontId="0" fillId="0" borderId="0" pivotButton="0" quotePrefix="0" xfId="0"/>
    <xf numFmtId="0" fontId="12" fillId="0" borderId="0" applyAlignment="1" pivotButton="0" quotePrefix="0" xfId="0">
      <alignment vertical="top" wrapText="1"/>
    </xf>
    <xf numFmtId="0" fontId="2" fillId="0" borderId="0" applyAlignment="1" pivotButton="0" quotePrefix="0" xfId="0">
      <alignment vertical="top" wrapText="1"/>
    </xf>
    <xf numFmtId="0" fontId="16" fillId="0" borderId="0" applyAlignment="1" pivotButton="0" quotePrefix="0" xfId="0">
      <alignment vertical="top" wrapText="1"/>
    </xf>
    <xf numFmtId="0" fontId="20" fillId="0" borderId="0" applyAlignment="1" pivotButton="0" quotePrefix="0" xfId="0">
      <alignment vertical="top" wrapText="1"/>
    </xf>
    <xf numFmtId="0" fontId="12" fillId="0" borderId="0" pivotButton="0" quotePrefix="0" xfId="0"/>
    <xf numFmtId="0" fontId="2" fillId="0" borderId="0" pivotButton="0" quotePrefix="0" xfId="0"/>
    <xf numFmtId="0" fontId="14" fillId="0" borderId="0" pivotButton="0" quotePrefix="0" xfId="0"/>
    <xf numFmtId="0" fontId="5" fillId="0" borderId="0" pivotButton="0" quotePrefix="0" xfId="0"/>
    <xf numFmtId="170" fontId="10" fillId="5" borderId="1"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13" fillId="0" borderId="0" pivotButton="0" quotePrefix="0" xfId="0"/>
    <xf numFmtId="0" fontId="15" fillId="0" borderId="0" pivotButton="0" quotePrefix="0" xfId="0"/>
    <xf numFmtId="0" fontId="4" fillId="3" borderId="0" applyAlignment="1" pivotButton="0" quotePrefix="0" xfId="0">
      <alignment horizontal="left"/>
    </xf>
    <xf numFmtId="0" fontId="4" fillId="3" borderId="0" applyAlignment="1" pivotButton="0" quotePrefix="0" xfId="0">
      <alignment horizontal="center"/>
    </xf>
    <xf numFmtId="0" fontId="16" fillId="0" borderId="1" pivotButton="0" quotePrefix="0" xfId="0"/>
    <xf numFmtId="0" fontId="7" fillId="0" borderId="1" pivotButton="0" quotePrefix="0" xfId="0"/>
    <xf numFmtId="167" fontId="0" fillId="0" borderId="1" applyAlignment="1" pivotButton="0" quotePrefix="0" xfId="0">
      <alignment horizontal="right"/>
    </xf>
    <xf numFmtId="171" fontId="0" fillId="0" borderId="1" applyAlignment="1" pivotButton="0" quotePrefix="0" xfId="0">
      <alignment horizontal="right"/>
    </xf>
    <xf numFmtId="1" fontId="0" fillId="0" borderId="1" applyAlignment="1" pivotButton="0" quotePrefix="0" xfId="0">
      <alignment horizontal="right"/>
    </xf>
    <xf numFmtId="0" fontId="0" fillId="0" borderId="1" applyAlignment="1" pivotButton="0" quotePrefix="0" xfId="0">
      <alignment horizontal="right"/>
    </xf>
    <xf numFmtId="2" fontId="0" fillId="0" borderId="1" applyAlignment="1" pivotButton="0" quotePrefix="0" xfId="0">
      <alignment horizontal="right"/>
    </xf>
    <xf numFmtId="3" fontId="0" fillId="0" borderId="1" applyAlignment="1" pivotButton="0" quotePrefix="0" xfId="0">
      <alignment horizontal="right"/>
    </xf>
    <xf numFmtId="168" fontId="0" fillId="0" borderId="1" applyAlignment="1" pivotButton="0" quotePrefix="0" xfId="0">
      <alignment horizontal="right"/>
    </xf>
    <xf numFmtId="169" fontId="0" fillId="0" borderId="1" applyAlignment="1" pivotButton="0" quotePrefix="0" xfId="0">
      <alignment horizontal="right"/>
    </xf>
    <xf numFmtId="0" fontId="0" fillId="0" borderId="1" pivotButton="0" quotePrefix="0" xfId="0"/>
    <xf numFmtId="3" fontId="0" fillId="0" borderId="1" pivotButton="0" quotePrefix="0" xfId="0"/>
    <xf numFmtId="2" fontId="0" fillId="0" borderId="1" pivotButton="0" quotePrefix="0" xfId="0"/>
    <xf numFmtId="0" fontId="4" fillId="3" borderId="0" pivotButton="0" quotePrefix="0" xfId="0"/>
    <xf numFmtId="0" fontId="0" fillId="3" borderId="0" pivotButton="0" quotePrefix="0" xfId="0"/>
    <xf numFmtId="0" fontId="17" fillId="0" borderId="0" pivotButton="0" quotePrefix="0" xfId="0"/>
    <xf numFmtId="0" fontId="18" fillId="0" borderId="0" applyAlignment="1" pivotButton="0" quotePrefix="0" xfId="0">
      <alignment vertical="top" wrapText="1"/>
    </xf>
    <xf numFmtId="0" fontId="19" fillId="0" borderId="0" pivotButton="0" quotePrefix="0" xfId="0"/>
    <xf numFmtId="0" fontId="3" fillId="0" borderId="0" pivotButton="0" quotePrefix="0" xfId="0"/>
    <xf numFmtId="172" fontId="4" fillId="3" borderId="0" applyAlignment="1" pivotButton="0" quotePrefix="0" xfId="0">
      <alignment horizontal="center"/>
    </xf>
    <xf numFmtId="0" fontId="7" fillId="0" borderId="0" pivotButton="0" quotePrefix="0" xfId="0"/>
    <xf numFmtId="167" fontId="0" fillId="0" borderId="1" pivotButton="0" quotePrefix="0" xfId="0"/>
    <xf numFmtId="167" fontId="5" fillId="0" borderId="1" pivotButton="0" quotePrefix="0" xfId="0"/>
    <xf numFmtId="0" fontId="16" fillId="0" borderId="0" pivotButton="0" quotePrefix="0" xfId="0"/>
    <xf numFmtId="171" fontId="15" fillId="0" borderId="1" pivotButton="0" quotePrefix="0" xfId="0"/>
    <xf numFmtId="171" fontId="5" fillId="0" borderId="1" pivotButton="0" quotePrefix="0" xfId="0"/>
    <xf numFmtId="1" fontId="0" fillId="0" borderId="1" pivotButton="0" quotePrefix="0" xfId="0"/>
    <xf numFmtId="1" fontId="5" fillId="0" borderId="1" pivotButton="0" quotePrefix="0" xfId="0"/>
    <xf numFmtId="2" fontId="5" fillId="0" borderId="1" pivotButton="0" quotePrefix="0" xfId="0"/>
    <xf numFmtId="3" fontId="5" fillId="0" borderId="1" pivotButton="0" quotePrefix="0" xfId="0"/>
    <xf numFmtId="168" fontId="0" fillId="0" borderId="1" pivotButton="0" quotePrefix="0" xfId="0"/>
    <xf numFmtId="168" fontId="5" fillId="0" borderId="1" pivotButton="0" quotePrefix="0" xfId="0"/>
    <xf numFmtId="169" fontId="0" fillId="0" borderId="1" pivotButton="0" quotePrefix="0" xfId="0"/>
    <xf numFmtId="169" fontId="5" fillId="0" borderId="1" pivotButton="0" quotePrefix="0" xfId="0"/>
    <xf numFmtId="0" fontId="1" fillId="0" borderId="0" pivotButton="0" quotePrefix="0" xfId="0"/>
    <xf numFmtId="0" fontId="3" fillId="2" borderId="0" applyAlignment="1" pivotButton="0" quotePrefix="0" xfId="0">
      <alignment vertical="bottom" wrapText="1"/>
    </xf>
    <xf numFmtId="0" fontId="4" fillId="3" borderId="0" applyAlignment="1" pivotButton="0" quotePrefix="0" xfId="0">
      <alignment horizontal="center" vertical="center" wrapText="1"/>
    </xf>
    <xf numFmtId="0" fontId="4" fillId="4" borderId="0" applyAlignment="1" pivotButton="0" quotePrefix="0" xfId="0">
      <alignment horizontal="center" vertical="center" wrapText="1"/>
    </xf>
    <xf numFmtId="164" fontId="0" fillId="0" borderId="0" pivotButton="0" quotePrefix="0" xfId="0"/>
    <xf numFmtId="3" fontId="0" fillId="0" borderId="0" pivotButton="0" quotePrefix="0" xfId="0"/>
    <xf numFmtId="2" fontId="0" fillId="0" borderId="0" pivotButton="0" quotePrefix="0" xfId="0"/>
    <xf numFmtId="167" fontId="0" fillId="0" borderId="0" pivotButton="0" quotePrefix="0" xfId="0"/>
    <xf numFmtId="49" fontId="0" fillId="0" borderId="0" pivotButton="0" quotePrefix="0" xfId="0"/>
    <xf numFmtId="3" fontId="9" fillId="0" borderId="0" pivotButton="0" quotePrefix="0" xfId="0"/>
    <xf numFmtId="168" fontId="9" fillId="0" borderId="0" pivotButton="0" quotePrefix="0" xfId="0"/>
    <xf numFmtId="4" fontId="0" fillId="0" borderId="0" pivotButton="0" quotePrefix="0" xfId="0"/>
    <xf numFmtId="1" fontId="0" fillId="0" borderId="0" pivotButton="0" quotePrefix="0" xfId="0"/>
    <xf numFmtId="49" fontId="9" fillId="0" borderId="0" pivotButton="0" quotePrefix="0" xfId="0"/>
    <xf numFmtId="1" fontId="9" fillId="0" borderId="0" pivotButton="0" quotePrefix="0" xfId="0"/>
    <xf numFmtId="2" fontId="9" fillId="0" borderId="0" pivotButton="0" quotePrefix="0" xfId="0"/>
    <xf numFmtId="167" fontId="9" fillId="0" borderId="0" pivotButton="0" quotePrefix="0" xfId="0"/>
    <xf numFmtId="168" fontId="0" fillId="0" borderId="0" pivotButton="0" quotePrefix="0" xfId="0"/>
    <xf numFmtId="0" fontId="10" fillId="0" borderId="0" pivotButton="0" quotePrefix="0" xfId="0"/>
    <xf numFmtId="49" fontId="6" fillId="0" borderId="1" pivotButton="0" quotePrefix="0" xfId="0"/>
    <xf numFmtId="164" fontId="6" fillId="0" borderId="1" pivotButton="0" quotePrefix="0" xfId="0"/>
    <xf numFmtId="165" fontId="6" fillId="0" borderId="1" pivotButton="0" quotePrefix="0" xfId="0"/>
    <xf numFmtId="3" fontId="6" fillId="0" borderId="1" pivotButton="0" quotePrefix="0" xfId="0"/>
    <xf numFmtId="0" fontId="8" fillId="0" borderId="0" pivotButton="0" quotePrefix="0" xfId="0"/>
    <xf numFmtId="1" fontId="9" fillId="0" borderId="1" pivotButton="0" quotePrefix="0" xfId="0"/>
    <xf numFmtId="164" fontId="9" fillId="0" borderId="1" pivotButton="0" quotePrefix="0" xfId="0"/>
    <xf numFmtId="49" fontId="9" fillId="0" borderId="1" pivotButton="0" quotePrefix="0" xfId="0"/>
    <xf numFmtId="0" fontId="11" fillId="3" borderId="0" applyAlignment="1" pivotButton="0" quotePrefix="0" xfId="0">
      <alignment vertical="center" wrapText="1"/>
    </xf>
    <xf numFmtId="0" fontId="11" fillId="4" borderId="0" applyAlignment="1" pivotButton="0" quotePrefix="0" xfId="0">
      <alignment vertical="center" wrapText="1"/>
    </xf>
    <xf numFmtId="169" fontId="0" fillId="0" borderId="0" pivotButton="0" quotePrefix="0" xfId="0"/>
    <xf numFmtId="0" fontId="11" fillId="3" borderId="0" pivotButton="0" quotePrefix="0" xfId="0"/>
    <xf numFmtId="0" fontId="18" fillId="0" borderId="0" pivotButton="0" quotePrefix="0" xfId="0"/>
  </cellXfs>
  <cellStyles count="1">
    <cellStyle name="Normal" xfId="0" builtinId="0" hidden="0"/>
  </cellStyles>
  <dxfs count="2">
    <dxf>
      <font>
        <color rgb="009C0006"/>
      </font>
      <fill>
        <patternFill patternType="solid">
          <fgColor rgb="00FFC7CE"/>
          <bgColor rgb="00FFC7CE"/>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a:pPr>
            <a:r>
              <a:t>Gold poured, year to date (oz)</a:t>
            </a:r>
          </a:p>
        </rich>
      </tx>
    </title>
    <plotArea>
      <lineChart>
        <grouping val="standard"/>
        <ser>
          <idx val="0"/>
          <order val="0"/>
          <tx>
            <strRef>
              <f>'Chart_Data'!D1</f>
            </strRef>
          </tx>
          <spPr>
            <a:ln>
              <a:prstDash val="solid"/>
            </a:ln>
          </spPr>
          <marker>
            <symbol val="none"/>
            <spPr>
              <a:ln>
                <a:prstDash val="solid"/>
              </a:ln>
            </spPr>
          </marker>
          <cat>
            <numRef>
              <f>'Chart_Data'!$A$2:$A$366</f>
            </numRef>
          </cat>
          <val>
            <numRef>
              <f>'Chart_Data'!$D$2:$D$366</f>
            </numRef>
          </val>
        </ser>
        <ser>
          <idx val="1"/>
          <order val="1"/>
          <tx>
            <strRef>
              <f>'Chart_Data'!E1</f>
            </strRef>
          </tx>
          <spPr>
            <a:ln>
              <a:prstDash val="dash"/>
            </a:ln>
          </spPr>
          <marker>
            <symbol val="none"/>
            <spPr>
              <a:ln>
                <a:prstDash val="solid"/>
              </a:ln>
            </spPr>
          </marker>
          <cat>
            <numRef>
              <f>'Chart_Data'!$A$2:$A$366</f>
            </numRef>
          </cat>
          <val>
            <numRef>
              <f>'Chart_Data'!$E$2:$E$366</f>
            </numRef>
          </val>
        </ser>
        <axId val="500"/>
        <axId val="100"/>
      </line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oz</a:t>
                </a:r>
              </a:p>
            </rich>
          </tx>
        </title>
        <majorTickMark val="none"/>
        <minorTickMark val="none"/>
        <crossAx val="50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Milled tonnes per day vs budget</a:t>
            </a:r>
          </a:p>
        </rich>
      </tx>
    </title>
    <plotArea>
      <barChart>
        <barDir val="col"/>
        <grouping val="clustered"/>
        <ser>
          <idx val="0"/>
          <order val="0"/>
          <tx>
            <strRef>
              <f>'Chart_Data'!B1</f>
            </strRef>
          </tx>
          <spPr>
            <a:ln>
              <a:prstDash val="solid"/>
            </a:ln>
          </spPr>
          <cat>
            <numRef>
              <f>'Chart_Data'!$A$2:$A$366</f>
            </numRef>
          </cat>
          <val>
            <numRef>
              <f>'Chart_Data'!$B$2:$B$366</f>
            </numRef>
          </val>
        </ser>
        <gapWidth val="30"/>
        <axId val="500"/>
        <axId val="100"/>
      </barChart>
      <lineChart>
        <grouping val="standard"/>
        <ser>
          <idx val="1"/>
          <order val="1"/>
          <tx>
            <strRef>
              <f>'Chart_Data'!C1</f>
            </strRef>
          </tx>
          <spPr>
            <a:ln>
              <a:prstDash val="solid"/>
            </a:ln>
          </spPr>
          <marker>
            <symbol val="none"/>
            <spPr>
              <a:ln>
                <a:prstDash val="solid"/>
              </a:ln>
            </spPr>
          </marker>
          <cat>
            <numRef>
              <f>'Chart_Data'!$A$2:$A$366</f>
            </numRef>
          </cat>
          <val>
            <numRef>
              <f>'Chart_Data'!$C$2:$C$366</f>
            </numRef>
          </val>
        </ser>
        <axId val="500"/>
        <axId val="100"/>
      </line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t</a:t>
                </a:r>
              </a:p>
            </rich>
          </tx>
        </title>
        <majorTickMark val="none"/>
        <minorTickMark val="none"/>
        <crossAx val="50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Ore and waste mined per day (t)</a:t>
            </a:r>
          </a:p>
        </rich>
      </tx>
    </title>
    <plotArea>
      <barChart>
        <barDir val="col"/>
        <grouping val="stacked"/>
        <ser>
          <idx val="0"/>
          <order val="0"/>
          <tx>
            <strRef>
              <f>'Chart_Data'!F1</f>
            </strRef>
          </tx>
          <spPr>
            <a:ln>
              <a:prstDash val="solid"/>
            </a:ln>
          </spPr>
          <cat>
            <numRef>
              <f>'Chart_Data'!$A$2:$A$366</f>
            </numRef>
          </cat>
          <val>
            <numRef>
              <f>'Chart_Data'!$F$2:$F$366</f>
            </numRef>
          </val>
        </ser>
        <ser>
          <idx val="1"/>
          <order val="1"/>
          <tx>
            <strRef>
              <f>'Chart_Data'!G1</f>
            </strRef>
          </tx>
          <spPr>
            <a:ln>
              <a:prstDash val="solid"/>
            </a:ln>
          </spPr>
          <cat>
            <numRef>
              <f>'Chart_Data'!$A$2:$A$366</f>
            </numRef>
          </cat>
          <val>
            <numRef>
              <f>'Chart_Data'!$G$2:$G$366</f>
            </numRef>
          </val>
        </ser>
        <gapWidth val="30"/>
        <overlap val="100"/>
        <axId val="500"/>
        <axId val="100"/>
      </bar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t</a:t>
                </a:r>
              </a:p>
            </rich>
          </tx>
        </title>
        <majorTickMark val="none"/>
        <minorTickMark val="none"/>
        <crossAx val="50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Recovery, month to date (%)</a:t>
            </a:r>
          </a:p>
        </rich>
      </tx>
    </title>
    <plotArea>
      <lineChart>
        <grouping val="standard"/>
        <ser>
          <idx val="0"/>
          <order val="0"/>
          <tx>
            <strRef>
              <f>'Chart_Data'!H1</f>
            </strRef>
          </tx>
          <spPr>
            <a:ln>
              <a:prstDash val="solid"/>
            </a:ln>
          </spPr>
          <marker>
            <symbol val="none"/>
            <spPr>
              <a:ln>
                <a:prstDash val="solid"/>
              </a:ln>
            </spPr>
          </marker>
          <cat>
            <numRef>
              <f>'Chart_Data'!$A$2:$A$366</f>
            </numRef>
          </cat>
          <val>
            <numRef>
              <f>'Chart_Data'!$H$2:$H$366</f>
            </numRef>
          </val>
        </ser>
        <ser>
          <idx val="1"/>
          <order val="1"/>
          <tx>
            <strRef>
              <f>'Chart_Data'!K1</f>
            </strRef>
          </tx>
          <spPr>
            <a:ln>
              <a:prstDash val="dash"/>
            </a:ln>
          </spPr>
          <marker>
            <symbol val="none"/>
            <spPr>
              <a:ln>
                <a:prstDash val="solid"/>
              </a:ln>
            </spPr>
          </marker>
          <cat>
            <numRef>
              <f>'Chart_Data'!$A$2:$A$366</f>
            </numRef>
          </cat>
          <val>
            <numRef>
              <f>'Chart_Data'!$K$2:$K$366</f>
            </numRef>
          </val>
        </ser>
        <axId val="500"/>
        <axId val="100"/>
      </lineChart>
      <lineChart>
        <grouping val="standard"/>
        <ser>
          <idx val="2"/>
          <order val="2"/>
          <tx>
            <strRef>
              <f>'Chart_Data'!I1</f>
            </strRef>
          </tx>
          <spPr>
            <a:ln>
              <a:prstDash val="solid"/>
            </a:ln>
          </spPr>
          <marker>
            <symbol val="none"/>
            <spPr>
              <a:ln>
                <a:prstDash val="solid"/>
              </a:ln>
            </spPr>
          </marker>
          <cat>
            <numRef>
              <f>'Chart_Data'!$A$2:$A$366</f>
            </numRef>
          </cat>
          <val>
            <numRef>
              <f>'Chart_Data'!$I$2:$I$366</f>
            </numRef>
          </val>
        </ser>
        <axId val="10"/>
        <axId val="200"/>
      </line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a:t>
                </a:r>
              </a:p>
            </rich>
          </tx>
        </title>
        <numFmt formatCode="0%" sourceLinked="0"/>
        <majorTickMark val="none"/>
        <minorTickMark val="none"/>
        <crossAx val="500"/>
      </valAx>
      <catAx>
        <axId val="10"/>
        <scaling>
          <orientation val="minMax"/>
        </scaling>
        <delete val="1"/>
        <axPos val="l"/>
        <majorTickMark val="none"/>
        <minorTickMark val="none"/>
        <crossAx val="200"/>
        <lblOffset val="100"/>
      </catAx>
      <valAx>
        <axId val="200"/>
        <scaling>
          <orientation val="minMax"/>
        </scaling>
        <delete val="0"/>
        <axPos val="l"/>
        <title>
          <tx>
            <rich>
              <a:bodyPr/>
              <a:p>
                <a:pPr>
                  <a:defRPr/>
                </a:pPr>
                <a:r>
                  <a:t>g/t</a:t>
                </a:r>
              </a:p>
            </rich>
          </tx>
        </title>
        <majorTickMark val="none"/>
        <minorTickMark val="none"/>
        <crossAx val="10"/>
        <crosses val="max"/>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TRIFR, rolling 12 months</a:t>
            </a:r>
          </a:p>
        </rich>
      </tx>
    </title>
    <plotArea>
      <lineChart>
        <grouping val="standard"/>
        <ser>
          <idx val="0"/>
          <order val="0"/>
          <tx>
            <strRef>
              <f>'Chart_Data'!J1</f>
            </strRef>
          </tx>
          <spPr>
            <a:ln>
              <a:prstDash val="solid"/>
            </a:ln>
          </spPr>
          <marker>
            <symbol val="none"/>
            <spPr>
              <a:ln>
                <a:prstDash val="solid"/>
              </a:ln>
            </spPr>
          </marker>
          <cat>
            <numRef>
              <f>'Chart_Data'!$A$2:$A$366</f>
            </numRef>
          </cat>
          <val>
            <numRef>
              <f>'Chart_Data'!$J$2:$J$366</f>
            </numRef>
          </val>
        </ser>
        <axId val="500"/>
        <axId val="100"/>
      </lineChart>
      <dateAx>
        <axId val="500"/>
        <scaling>
          <orientation val="minMax"/>
        </scaling>
        <delete val="0"/>
        <axPos val="l"/>
        <numFmt formatCode="mmm" sourceLinked="0"/>
        <majorTickMark val="none"/>
        <minorTickMark val="none"/>
        <crossAx val="100"/>
        <majorTimeUnit val="months"/>
      </dateAx>
      <valAx>
        <axId val="100"/>
        <scaling>
          <orientation val="minMax"/>
        </scaling>
        <delete val="0"/>
        <axPos val="l"/>
        <title>
          <tx>
            <rich>
              <a:bodyPr/>
              <a:p>
                <a:pPr>
                  <a:defRPr/>
                </a:pPr>
                <a:r>
                  <a:t>per million hours</a:t>
                </a:r>
              </a:p>
            </rich>
          </tx>
        </title>
        <majorTickMark val="none"/>
        <minorTickMark val="none"/>
        <crossAx val="50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row>
      <rowOff>0</rowOff>
    </from>
    <ext cx="8640000" cy="3060000"/>
    <graphicFrame>
      <nvGraphicFramePr>
        <cNvPr id="1" name="Chart 1"/>
        <cNvGraphicFramePr/>
      </nvGraphicFramePr>
      <xfrm/>
      <a:graphic>
        <a:graphicData uri="http://schemas.openxmlformats.org/drawingml/2006/chart">
          <c:chart r:id="rId1"/>
        </a:graphicData>
      </a:graphic>
    </graphicFrame>
    <clientData/>
  </oneCellAnchor>
  <oneCellAnchor>
    <from>
      <col>16</col>
      <colOff>0</colOff>
      <row>4</row>
      <rowOff>0</rowOff>
    </from>
    <ext cx="8640000" cy="306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23</row>
      <rowOff>0</rowOff>
    </from>
    <ext cx="8640000" cy="3060000"/>
    <graphicFrame>
      <nvGraphicFramePr>
        <cNvPr id="3" name="Chart 3"/>
        <cNvGraphicFramePr/>
      </nvGraphicFramePr>
      <xfrm/>
      <a:graphic>
        <a:graphicData uri="http://schemas.openxmlformats.org/drawingml/2006/chart">
          <c:chart r:id="rId3"/>
        </a:graphicData>
      </a:graphic>
    </graphicFrame>
    <clientData/>
  </oneCellAnchor>
  <oneCellAnchor>
    <from>
      <col>16</col>
      <colOff>0</colOff>
      <row>23</row>
      <rowOff>0</rowOff>
    </from>
    <ext cx="8640000" cy="306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42</row>
      <rowOff>0</rowOff>
    </from>
    <ext cx="8640000" cy="3060000"/>
    <graphicFrame>
      <nvGraphicFramePr>
        <cNvPr id="5" name="Chart 5"/>
        <cNvGraphicFramePr/>
      </nvGraphicFramePr>
      <xfrm/>
      <a:graphic>
        <a:graphicData uri="http://schemas.openxmlformats.org/drawingml/2006/chart">
          <c:chart r:id="rId5"/>
        </a:graphicData>
      </a:graphic>
    </graphicFrame>
    <clientData/>
  </oneCellAnchor>
</wsDr>
</file>

<file path=xl/tables/table1.xml><?xml version="1.0" encoding="utf-8"?>
<table xmlns="http://schemas.openxmlformats.org/spreadsheetml/2006/main" id="1" name="tblPlant" displayName="tblPlant" ref="A5:Y370" headerRowCount="1">
  <autoFilter ref="A5:Y370"/>
  <tableColumns count="25">
    <tableColumn id="1" name="Date"/>
    <tableColumn id="2" name="Crushed_t"/>
    <tableColumn id="3" name="Milled_t"/>
    <tableColumn id="4" name="Head_Grade_gpt"/>
    <tableColumn id="5" name="Tails_Grade_gpt"/>
    <tableColumn id="6" name="Gravity_Gold_oz"/>
    <tableColumn id="7" name="Gold_Poured_oz"/>
    <tableColumn id="8" name="Mill_Run_h"/>
    <tableColumn id="9" name="Mill_Planned_Maint_h"/>
    <tableColumn id="10" name="Mill_Unplanned_Down_h"/>
    <tableColumn id="11" name="Crusher_Run_h"/>
    <tableColumn id="12" name="Cyanide_kg"/>
    <tableColumn id="13" name="Lime_kg"/>
    <tableColumn id="14" name="Grinding_Media_kg"/>
    <tableColumn id="15" name="Power_kWh"/>
    <tableColumn id="16" name="Raw_Water_m3"/>
    <tableColumn id="17" name="GIC_oz"/>
    <tableColumn id="18" name="Comments"/>
    <tableColumn id="19" name="Feed_oz">
      <calculatedColumnFormula>IF(OR(tblPlant[[#This Row],[Milled_t]]="",tblPlant[[#This Row],[Head_Grade_gpt]]=""),"",tblPlant[[#This Row],[Milled_t]]*tblPlant[[#This Row],[Head_Grade_gpt]]/cfg_TroyOz)</calculatedColumnFormula>
    </tableColumn>
    <tableColumn id="20" name="Tails_oz">
      <calculatedColumnFormula>IF(OR(tblPlant[[#This Row],[Milled_t]]="",tblPlant[[#This Row],[Tails_Grade_gpt]]=""),"",tblPlant[[#This Row],[Milled_t]]*tblPlant[[#This Row],[Tails_Grade_gpt]]/cfg_TroyOz)</calculatedColumnFormula>
    </tableColumn>
    <tableColumn id="21" name="Recovered_oz">
      <calculatedColumnFormula>IF(OR(tblPlant[[#This Row],[Milled_t]]="",tblPlant[[#This Row],[Head_Grade_gpt]]="",tblPlant[[#This Row],[Tails_Grade_gpt]]=""),"",tblPlant[[#This Row],[Feed_oz]]-tblPlant[[#This Row],[Tails_oz]])</calculatedColumnFormula>
    </tableColumn>
    <tableColumn id="22" name="Recovery_pct">
      <calculatedColumnFormula>IF(AND(ISNUMBER(tblPlant[[#This Row],[Recovered_oz]]),tblPlant[[#This Row],[Feed_oz]]&gt;0),tblPlant[[#This Row],[Recovered_oz]]/tblPlant[[#This Row],[Feed_oz]],"")</calculatedColumnFormula>
    </tableColumn>
    <tableColumn id="23" name="Throughput_tph">
      <calculatedColumnFormula>IF(AND(tblPlant[[#This Row],[Milled_t]]&lt;&gt;"",tblPlant[[#This Row],[Mill_Run_h]]&gt;0),tblPlant[[#This Row],[Milled_t]]/tblPlant[[#This Row],[Mill_Run_h]],"")</calculatedColumnFormula>
    </tableColumn>
    <tableColumn id="24" name="Availability_pct">
      <calculatedColumnFormula>IF(AND(tblPlant[[#This Row],[Mill_Run_h]]="",tblPlant[[#This Row],[Mill_Planned_Maint_h]]="",tblPlant[[#This Row],[Mill_Unplanned_Down_h]]=""),"",(cfg_HoursPerDay-tblPlant[[#This Row],[Mill_Planned_Maint_h]]-tblPlant[[#This Row],[Mill_Unplanned_Down_h]])/cfg_HoursPerDay)</calculatedColumnFormula>
    </tableColumn>
    <tableColumn id="25" name="Utilisation_pct">
      <calculatedColumnFormula>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blMovement" displayName="tblMovement" ref="A5:O5005" headerRowCount="1">
  <autoFilter ref="A5:O5005"/>
  <tableColumns count="15">
    <tableColumn id="1" name="Date"/>
    <tableColumn id="2" name="Shift"/>
    <tableColumn id="3" name="Source"/>
    <tableColumn id="4" name="Material"/>
    <tableColumn id="5" name="Destination"/>
    <tableColumn id="6" name="Tonnes_t"/>
    <tableColumn id="7" name="Grade_gpt"/>
    <tableColumn id="8" name="BCM"/>
    <tableColumn id="9" name="Loads"/>
    <tableColumn id="10" name="Comments"/>
    <tableColumn id="11" name="Source_Type">
      <calculatedColumnFormula>IF(tblMovement[[#This Row],[Source]]="","",IFERROR(INDEX(tblSources[Type],MATCH(tblMovement[[#This Row],[Source]],tblSources[Source],0)),"?"))</calculatedColumnFormula>
    </tableColumn>
    <tableColumn id="12" name="Dest_Type">
      <calculatedColumnFormula>IF(tblMovement[[#This Row],[Destination]]="","",IFERROR(INDEX(tblDestinations[Type],MATCH(tblMovement[[#This Row],[Destination]],tblDestinations[Destination],0)),"?"))</calculatedColumnFormula>
    </tableColumn>
    <tableColumn id="13" name="Is_Ore">
      <calculatedColumnFormula>IF(tblMovement[[#This Row],[Material]]="","",IF(LEFT(tblMovement[[#This Row],[Material]],3)="Ore",1,0))</calculatedColumnFormula>
    </tableColumn>
    <tableColumn id="14" name="Contained_oz">
      <calculatedColumnFormula>IF(OR(tblMovement[[#This Row],[Tonnes_t]]="",tblMovement[[#This Row],[Grade_gpt]]=""),0,tblMovement[[#This Row],[Tonnes_t]]*tblMovement[[#This Row],[Grade_gpt]]/cfg_TroyOz)</calculatedColumnFormula>
    </tableColumn>
    <tableColumn id="15" name="Ore_oz">
      <calculatedColumnFormula>IF(tblMovement[[#This Row],[Is_Ore]]=1,tblMovement[[#This Row],[Contained_oz]],0)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blMiningDaily" displayName="tblMiningDaily" ref="A5:I370" headerRowCount="1">
  <autoFilter ref="A5:I370"/>
  <tableColumns count="9">
    <tableColumn id="1" name="Date"/>
    <tableColumn id="2" name="Drill_m"/>
    <tableColumn id="3" name="GC_Drill_m"/>
    <tableColumn id="4" name="Blast_t"/>
    <tableColumn id="5" name="Explosives_kg"/>
    <tableColumn id="6" name="Diesel_L"/>
    <tableColumn id="7" name="Dewatering_m3"/>
    <tableColumn id="8" name="Comments"/>
    <tableColumn id="9" name="Powder_Factor_kgpt">
      <calculatedColumnFormula>IF(AND(tblMiningDaily[[#This Row],[Blast_t]]&lt;&gt;"",tblMiningDaily[[#This Row],[Blast_t]]&gt;0),tblMiningDaily[[#This Row],[Explosives_kg]]/tblMiningDaily[[#This Row],[Blast_t]],"")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blFleet" displayName="tblFleet" ref="A5:J3005" headerRowCount="1">
  <autoFilter ref="A5:J3005"/>
  <tableColumns count="10">
    <tableColumn id="1" name="Date"/>
    <tableColumn id="2" name="Equipment_Class"/>
    <tableColumn id="3" name="Units"/>
    <tableColumn id="4" name="Down_h"/>
    <tableColumn id="5" name="Operating_h"/>
    <tableColumn id="6" name="Comments"/>
    <tableColumn id="7" name="Calendar_h">
      <calculatedColumnFormula>IF(tblFleet[[#This Row],[Units]]="","",tblFleet[[#This Row],[Units]]*cfg_HoursPerDay)</calculatedColumnFormula>
    </tableColumn>
    <tableColumn id="8" name="Available_h">
      <calculatedColumnFormula>IF(tblFleet[[#This Row],[Units]]="","",tblFleet[[#This Row],[Calendar_h]]-tblFleet[[#This Row],[Down_h]])</calculatedColumnFormula>
    </tableColumn>
    <tableColumn id="9" name="Availability_pct">
      <calculatedColumnFormula>IF(AND(tblFleet[[#This Row],[Units]]&lt;&gt;"",tblFleet[[#This Row],[Calendar_h]]&gt;0),tblFleet[[#This Row],[Available_h]]/tblFleet[[#This Row],[Calendar_h]],"")</calculatedColumnFormula>
    </tableColumn>
    <tableColumn id="10" name="Utilisation_pct">
      <calculatedColumnFormula>IF(AND(tblFleet[[#This Row],[Units]]&lt;&gt;"",tblFleet[[#This Row],[Available_h]]&gt;0),tblFleet[[#This Row],[Operating_h]]/tblFleet[[#This Row],[Available_h]],"")</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blSafety" displayName="tblSafety" ref="A5:S370" headerRowCount="1">
  <autoFilter ref="A5:S370"/>
  <tableColumns count="19">
    <tableColumn id="1" name="Date"/>
    <tableColumn id="2" name="Hours_Employees"/>
    <tableColumn id="3" name="Hours_Contractors"/>
    <tableColumn id="4" name="Fatality"/>
    <tableColumn id="5" name="LTI"/>
    <tableColumn id="6" name="RWI"/>
    <tableColumn id="7" name="MTI"/>
    <tableColumn id="8" name="FAI"/>
    <tableColumn id="9" name="Near_Miss"/>
    <tableColumn id="10" name="Hazard_Reports"/>
    <tableColumn id="11" name="HPI"/>
    <tableColumn id="12" name="Env_Incidents"/>
    <tableColumn id="13" name="Community_Incidents"/>
    <tableColumn id="14" name="Vehicle_Incidents"/>
    <tableColumn id="15" name="Toolbox_Talks"/>
    <tableColumn id="16" name="Inspections"/>
    <tableColumn id="17" name="Comments"/>
    <tableColumn id="18" name="Hours_Total">
      <calculatedColumnFormula>IF(AND(tblSafety[[#This Row],[Hours_Employees]]="",tblSafety[[#This Row],[Hours_Contractors]]=""),"",N(tblSafety[[#This Row],[Hours_Employees]])+N(tblSafety[[#This Row],[Hours_Contractors]]))</calculatedColumnFormula>
    </tableColumn>
    <tableColumn id="19" name="Recordables">
      <calculatedColumnFormula>IF(AND(tblSafety[[#This Row],[Fatality]]="",tblSafety[[#This Row],[LTI]]="",tblSafety[[#This Row],[RWI]]="",tblSafety[[#This Row],[MTI]]=""),"",N(tblSafety[[#This Row],[Fatality]])+N(tblSafety[[#This Row],[LTI]])+N(tblSafety[[#This Row],[RWI]])+N(tblSafety[[#This Row],[MTI]]))</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6" name="tblGold" displayName="tblGold" ref="A5:G405" headerRowCount="1">
  <autoFilter ref="A5:G405"/>
  <tableColumns count="7">
    <tableColumn id="1" name="Date"/>
    <tableColumn id="2" name="Type"/>
    <tableColumn id="3" name="Dore_kg"/>
    <tableColumn id="4" name="Gold_oz"/>
    <tableColumn id="5" name="Silver_oz"/>
    <tableColumn id="6" name="Reference"/>
    <tableColumn id="7" name="Comments"/>
  </tableColumns>
  <tableStyleInfo name="TableStyleMedium2" showFirstColumn="0" showLastColumn="0" showRowStripes="1" showColumnStripes="0"/>
</table>
</file>

<file path=xl/tables/table7.xml><?xml version="1.0" encoding="utf-8"?>
<table xmlns="http://schemas.openxmlformats.org/spreadsheetml/2006/main" id="7" name="tblBudget" displayName="tblBudget" ref="A5:P17" headerRowCount="1">
  <autoFilter ref="A5:P17"/>
  <tableColumns count="16">
    <tableColumn id="1" name="Month"/>
    <tableColumn id="2" name="Ore_Mined_t"/>
    <tableColumn id="3" name="Ore_Grade_gpt"/>
    <tableColumn id="4" name="Waste_t"/>
    <tableColumn id="5" name="Milled_t"/>
    <tableColumn id="6" name="Head_Grade_gpt"/>
    <tableColumn id="7" name="Recovery_pct"/>
    <tableColumn id="8" name="Gold_Poured_oz"/>
    <tableColumn id="9" name="Hours_Worked"/>
    <tableColumn id="10" name="Drill_m"/>
    <tableColumn id="11" name="Diesel_L"/>
    <tableColumn id="12" name="Days">
      <calculatedColumnFormula>DAY(EOMONTH(tblBudget[[#This Row],[Month]],0))</calculatedColumnFormula>
    </tableColumn>
    <tableColumn id="13" name="Ore_oz">
      <calculatedColumnFormula>N(tblBudget[[#This Row],[Ore_Mined_t]])*N(tblBudget[[#This Row],[Ore_Grade_gpt]])/cfg_TroyOz</calculatedColumnFormula>
    </tableColumn>
    <tableColumn id="14" name="TMM_t">
      <calculatedColumnFormula>N(tblBudget[[#This Row],[Ore_Mined_t]])+N(tblBudget[[#This Row],[Waste_t]])</calculatedColumnFormula>
    </tableColumn>
    <tableColumn id="15" name="Feed_oz">
      <calculatedColumnFormula>N(tblBudget[[#This Row],[Milled_t]])*N(tblBudget[[#This Row],[Head_Grade_gpt]])/cfg_TroyOz</calculatedColumnFormula>
    </tableColumn>
    <tableColumn id="16" name="Recovered_oz">
      <calculatedColumnFormula>tblBudget[[#This Row],[Feed_oz]]*N(tblBudget[[#This Row],[Recovery_pct]])</calculatedColumnFormula>
    </tableColumn>
  </tableColumns>
  <tableStyleInfo name="TableStyleMedium2" showFirstColumn="0" showLastColumn="0" showRowStripes="1" showColumnStripes="0"/>
</table>
</file>

<file path=xl/tables/table8.xml><?xml version="1.0" encoding="utf-8"?>
<table xmlns="http://schemas.openxmlformats.org/spreadsheetml/2006/main" id="8" name="tblCommentary" displayName="tblCommentary" ref="A5:F3005" headerRowCount="1">
  <autoFilter ref="A5:F3005"/>
  <tableColumns count="6">
    <tableColumn id="1" name="Date"/>
    <tableColumn id="2" name="Area"/>
    <tableColumn id="3" name="Comment"/>
    <tableColumn id="4" name="Author"/>
    <tableColumn id="5" name="Seq_Day">
      <calculatedColumnFormula>IF(tblCommentary[[#This Row],[Date]]="","",COUNTIFS(INDEX(tblCommentary[Date],1):tblCommentary[[#This Row],[Date]],tblCommentary[[#This Row],[Date]]))</calculatedColumnFormula>
    </tableColumn>
    <tableColumn id="6" name="Key_Day">
      <calculatedColumnFormula>IF(tblCommentary[[#This Row],[Date]]="","",tblCommentary[[#This Row],[Date]]&amp;"|"&amp;tblCommentary[[#This Row],[Seq_Day]])</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9" name="tblStockpiles" displayName="tblStockpiles" ref="E5:I15" headerRowCount="1">
  <autoFilter ref="E5:I15"/>
  <tableColumns count="5">
    <tableColumn id="5" name="Stockpile"/>
    <tableColumn id="6" name="Opening_t"/>
    <tableColumn id="7" name="Opening_gpt"/>
    <tableColumn id="8" name="Plant_Feed"/>
    <tableColumn id="9" name="Survey_Date"/>
  </tableColumns>
  <tableStyleInfo name="TableStyleLight9" showFirstColumn="0" showLastColumn="0" showRowStripes="1" showColumnStripes="0"/>
</table>
</file>

<file path=xl/tables/table10.xml><?xml version="1.0" encoding="utf-8"?>
<table xmlns="http://schemas.openxmlformats.org/spreadsheetml/2006/main" id="10" name="tblSafetyHistory" displayName="tblSafetyHistory" ref="K5:O29" headerRowCount="1">
  <autoFilter ref="K5:O29"/>
  <tableColumns count="5">
    <tableColumn id="11" name="Month"/>
    <tableColumn id="12" name="Hours_Total"/>
    <tableColumn id="13" name="Recordables"/>
    <tableColumn id="14" name="LTI"/>
    <tableColumn id="15" name="Use">
      <calculatedColumnFormula>IF(tblSafetyHistory[[#This Row],[Month]]="","",IF(COUNTIFS(tblSafety[Date],"&gt;="&amp;tblSafetyHistory[[#This Row],[Month]],tblSafety[Date],"&lt;="&amp;EOMONTH(tblSafetyHistory[[#This Row],[Month]],0),tblSafety[Hours_Total],"&gt;0")=0,1,0))</calculatedColumnFormula>
    </tableColumn>
  </tableColumns>
  <tableStyleInfo name="TableStyleLight9" showFirstColumn="0" showLastColumn="0" showRowStripes="1" showColumnStripes="0"/>
</table>
</file>

<file path=xl/tables/table11.xml><?xml version="1.0" encoding="utf-8"?>
<table xmlns="http://schemas.openxmlformats.org/spreadsheetml/2006/main" id="11" name="tblList_Shift" displayName="tblList_Shift" ref="A5:A7" headerRowCount="1">
  <autoFilter ref="A5:A7"/>
  <tableColumns count="1">
    <tableColumn id="1" name="Shift"/>
  </tableColumns>
  <tableStyleInfo name="TableStyleLight9" showFirstColumn="0" showLastColumn="0" showRowStripes="1" showColumnStripes="0"/>
</table>
</file>

<file path=xl/tables/table12.xml><?xml version="1.0" encoding="utf-8"?>
<table xmlns="http://schemas.openxmlformats.org/spreadsheetml/2006/main" id="12" name="tblList_Material" displayName="tblList_Material" ref="C5:C11" headerRowCount="1">
  <autoFilter ref="C5:C11"/>
  <tableColumns count="1">
    <tableColumn id="3" name="Material"/>
  </tableColumns>
  <tableStyleInfo name="TableStyleLight9" showFirstColumn="0" showLastColumn="0" showRowStripes="1" showColumnStripes="0"/>
</table>
</file>

<file path=xl/tables/table13.xml><?xml version="1.0" encoding="utf-8"?>
<table xmlns="http://schemas.openxmlformats.org/spreadsheetml/2006/main" id="13" name="tblList_Area" displayName="tblList_Area" ref="E5:E16" headerRowCount="1">
  <autoFilter ref="E5:E16"/>
  <tableColumns count="1">
    <tableColumn id="5" name="Area"/>
  </tableColumns>
  <tableStyleInfo name="TableStyleLight9" showFirstColumn="0" showLastColumn="0" showRowStripes="1" showColumnStripes="0"/>
</table>
</file>

<file path=xl/tables/table14.xml><?xml version="1.0" encoding="utf-8"?>
<table xmlns="http://schemas.openxmlformats.org/spreadsheetml/2006/main" id="14" name="tblList_Equipment_Class" displayName="tblList_Equipment_Class" ref="G5:G13" headerRowCount="1">
  <autoFilter ref="G5:G13"/>
  <tableColumns count="1">
    <tableColumn id="7" name="Equipment_Class"/>
  </tableColumns>
  <tableStyleInfo name="TableStyleLight9" showFirstColumn="0" showLastColumn="0" showRowStripes="1" showColumnStripes="0"/>
</table>
</file>

<file path=xl/tables/table15.xml><?xml version="1.0" encoding="utf-8"?>
<table xmlns="http://schemas.openxmlformats.org/spreadsheetml/2006/main" id="15" name="tblList_Gold_Movement_Type" displayName="tblList_Gold_Movement_Type" ref="I5:I7" headerRowCount="1">
  <autoFilter ref="I5:I7"/>
  <tableColumns count="1">
    <tableColumn id="9" name="Gold_Movement_Type"/>
  </tableColumns>
  <tableStyleInfo name="TableStyleLight9" showFirstColumn="0" showLastColumn="0" showRowStripes="1" showColumnStripes="0"/>
</table>
</file>

<file path=xl/tables/table16.xml><?xml version="1.0" encoding="utf-8"?>
<table xmlns="http://schemas.openxmlformats.org/spreadsheetml/2006/main" id="16" name="tblList_Yes_No" displayName="tblList_Yes_No" ref="K5:K7" headerRowCount="1">
  <autoFilter ref="K5:K7"/>
  <tableColumns count="1">
    <tableColumn id="11" name="Yes_No"/>
  </tableColumns>
  <tableStyleInfo name="TableStyleLight9" showFirstColumn="0" showLastColumn="0" showRowStripes="1" showColumnStripes="0"/>
</table>
</file>

<file path=xl/tables/table17.xml><?xml version="1.0" encoding="utf-8"?>
<table xmlns="http://schemas.openxmlformats.org/spreadsheetml/2006/main" id="17" name="tblList_Source_Type" displayName="tblList_Source_Type" ref="M5:M7" headerRowCount="1">
  <autoFilter ref="M5:M7"/>
  <tableColumns count="1">
    <tableColumn id="13" name="Source_Type"/>
  </tableColumns>
  <tableStyleInfo name="TableStyleLight9" showFirstColumn="0" showLastColumn="0" showRowStripes="1" showColumnStripes="0"/>
</table>
</file>

<file path=xl/tables/table18.xml><?xml version="1.0" encoding="utf-8"?>
<table xmlns="http://schemas.openxmlformats.org/spreadsheetml/2006/main" id="18" name="tblList_Destination_Type" displayName="tblList_Destination_Type" ref="O5:O8" headerRowCount="1">
  <autoFilter ref="O5:O8"/>
  <tableColumns count="1">
    <tableColumn id="15" name="Destination_Type"/>
  </tableColumns>
  <tableStyleInfo name="TableStyleLight9" showFirstColumn="0" showLastColumn="0" showRowStripes="1" showColumnStripes="0"/>
</table>
</file>

<file path=xl/tables/table19.xml><?xml version="1.0" encoding="utf-8"?>
<table xmlns="http://schemas.openxmlformats.org/spreadsheetml/2006/main" id="19" name="tblSources" displayName="tblSources" ref="R5:S12" headerRowCount="1">
  <autoFilter ref="R5:S12"/>
  <tableColumns count="2">
    <tableColumn id="18" name="Source"/>
    <tableColumn id="19" name="Type"/>
  </tableColumns>
  <tableStyleInfo name="TableStyleLight9" showFirstColumn="0" showLastColumn="0" showRowStripes="1" showColumnStripes="0"/>
</table>
</file>

<file path=xl/tables/table20.xml><?xml version="1.0" encoding="utf-8"?>
<table xmlns="http://schemas.openxmlformats.org/spreadsheetml/2006/main" id="20" name="tblDestinations" displayName="tblDestinations" ref="U5:V14" headerRowCount="1">
  <autoFilter ref="U5:V14"/>
  <tableColumns count="2">
    <tableColumn id="21" name="Destination"/>
    <tableColumn id="22" name="Typ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table" Target="/xl/tables/table5.xml" Id="rId1" /></Relationships>
</file>

<file path=xl/worksheets/_rels/sheet10.xml.rels><Relationships xmlns="http://schemas.openxmlformats.org/package/2006/relationships"><Relationship Type="http://schemas.openxmlformats.org/officeDocument/2006/relationships/table" Target="/xl/tables/table6.xml" Id="rId1" /></Relationships>
</file>

<file path=xl/worksheets/_rels/sheet11.xml.rels><Relationships xmlns="http://schemas.openxmlformats.org/package/2006/relationships"><Relationship Type="http://schemas.openxmlformats.org/officeDocument/2006/relationships/table" Target="/xl/tables/table7.xml" Id="rId1" /></Relationships>
</file>

<file path=xl/worksheets/_rels/sheet12.xml.rels><Relationships xmlns="http://schemas.openxmlformats.org/package/2006/relationships"><Relationship Type="http://schemas.openxmlformats.org/officeDocument/2006/relationships/table" Target="/xl/tables/table8.xml" Id="rId1" /></Relationships>
</file>

<file path=xl/worksheets/_rels/sheet13.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s>
</file>

<file path=xl/worksheets/_rels/sheet14.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 Type="http://schemas.openxmlformats.org/officeDocument/2006/relationships/table" Target="/xl/tables/table16.xml" Id="rId6" /><Relationship Type="http://schemas.openxmlformats.org/officeDocument/2006/relationships/table" Target="/xl/tables/table17.xml" Id="rId7" /><Relationship Type="http://schemas.openxmlformats.org/officeDocument/2006/relationships/table" Target="/xl/tables/table18.xml" Id="rId8" /><Relationship Type="http://schemas.openxmlformats.org/officeDocument/2006/relationships/table" Target="/xl/tables/table19.xml" Id="rId9" /><Relationship Type="http://schemas.openxmlformats.org/officeDocument/2006/relationships/table" Target="/xl/tables/table20.xml" Id="rId10" /></Relationships>
</file>

<file path=xl/worksheets/sheet1.xml><?xml version="1.0" encoding="utf-8"?>
<worksheet xmlns="http://schemas.openxmlformats.org/spreadsheetml/2006/main">
  <sheetPr>
    <outlinePr summaryBelow="1" summaryRight="1"/>
    <pageSetUpPr/>
  </sheetPr>
  <dimension ref="B2:B26"/>
  <sheetViews>
    <sheetView showGridLines="0" workbookViewId="0">
      <selection activeCell="A1" sqref="A1"/>
    </sheetView>
  </sheetViews>
  <sheetFormatPr baseColWidth="8" defaultRowHeight="15"/>
  <cols>
    <col width="3" customWidth="1" min="1" max="1"/>
    <col width="120" customWidth="1" min="2" max="2"/>
  </cols>
  <sheetData>
    <row r="2">
      <c r="B2" s="1" t="inlineStr">
        <is>
          <t>Mako Gold Mine Production System, 2026</t>
        </is>
      </c>
    </row>
    <row r="3">
      <c r="B3" s="2" t="inlineStr">
        <is>
          <t>Petowal Mining Company S.A.. Version 0.3.0. Generated workbook: do not restructure by hand; change the schema and regenerate.</t>
        </is>
      </c>
    </row>
    <row r="4">
      <c r="B4" s="3" t="inlineStr"/>
    </row>
    <row r="5">
      <c r="B5" s="4" t="inlineStr">
        <is>
          <t>How the workbook works</t>
        </is>
      </c>
    </row>
    <row r="6" ht="30" customHeight="1">
      <c r="B6" s="3" t="inlineStr">
        <is>
          <t>1. Inputs are the green tabs: Plant, Mining_Movements, Mining_Daily, Fleet, Safety, Gold, Budget, Commentary. Each is an Excel table. Type in the blue-headed columns only; grey-headed columns are formulas that fill automatically.</t>
        </is>
      </c>
    </row>
    <row r="7" ht="30" customHeight="1">
      <c r="B7" s="3" t="inlineStr">
        <is>
          <t>2. Calc_Daily rebuilds every KPI per day from the tables (day, month to date, year to date, budget). Daily_Report, Monthly_Summary and Dashboard read only from Calc_Daily.</t>
        </is>
      </c>
    </row>
    <row r="8" ht="15" customHeight="1">
      <c r="B8" s="3" t="inlineStr">
        <is>
          <t>3. There are no links to other workbooks and no macros. Copying the file anywhere keeps it working.</t>
        </is>
      </c>
    </row>
    <row r="9" ht="30" customHeight="1">
      <c r="B9" s="3" t="inlineStr">
        <is>
          <t>4. Lists holds every drop-down. Add a new pit, stockpile or equipment class there; do not type free text into list columns.</t>
        </is>
      </c>
    </row>
    <row r="10" ht="60" customHeight="1">
      <c r="B10" s="3" t="inlineStr">
        <is>
          <t>5. Config holds the site constants (troy ounce, hours per day, injury rate basis), the stockpile opening balances (exactly one stockpile has Plant_Feed = Y) and the monthly safety history used for rolling 12-month rates. The reporting year is fixed when the workbook is generated; to roll to a new year run build_workbook.py --year, do not type over it.</t>
        </is>
      </c>
    </row>
    <row r="11" ht="30" customHeight="1">
      <c r="B11" s="3" t="inlineStr">
        <is>
          <t>6. If the report opens blank behind a yellow Protected View bar (a file received by e-mail or download), click Enable Editing; the workbook then calculates.</t>
        </is>
      </c>
    </row>
    <row r="12">
      <c r="B12" s="3" t="inlineStr"/>
    </row>
    <row r="13">
      <c r="B13" s="4" t="inlineStr">
        <is>
          <t>Daily routine</t>
        </is>
      </c>
    </row>
    <row r="14" ht="60" customHeight="1">
      <c r="B14" s="3" t="inlineStr">
        <is>
          <t>Plant: enter the row for the day (dates are pre-filled). Mining: add one movement row per source, material and destination; add the Mining_Daily row and one Fleet row per equipment class. HSE: enter the Safety row. Everyone: one Commentary row per topic. Then open Daily_Report, check the date in C5 and the 'Rows for this date' line in B7, and print or export to PDF.</t>
        </is>
      </c>
    </row>
    <row r="15" ht="45" customHeight="1">
      <c r="B15" s="3" t="inlineStr">
        <is>
          <t>One person edits the file at a time: open, enter, save, close. If Excel opens it Read-Only someone else has it: wait, do not Save As a copy. Suggested order: Mining 06:30, Plant 06:45, HSE 07:00, Commentary 07:15. Simultaneous entry needs the file on SharePoint or OneDrive.</t>
        </is>
      </c>
    </row>
    <row r="16">
      <c r="B16" s="3" t="inlineStr"/>
    </row>
    <row r="17">
      <c r="B17" s="4" t="inlineStr">
        <is>
          <t>Rules</t>
        </is>
      </c>
    </row>
    <row r="18" ht="45" customHeight="1">
      <c r="B18" s="3" t="inlineStr">
        <is>
          <t>Do not insert columns inside tables, rename headers or move sheets. Add rows at the bottom of a table only. Paste only with Paste Special &gt; Values; an ordinary paste removes the drop-downs and range checks. Blank means not reported; zero means reported as zero. Grades in g/t, tonnes dry metric, gold in troy ounces (31.1035 g).</t>
        </is>
      </c>
    </row>
    <row r="19" ht="60" customHeight="1">
      <c r="B19" s="3" t="inlineStr">
        <is>
          <t>Ore versus waste follows the Material list: anything starting with Ore counts as ore. Ex-pit movements (Source type Pit) count to TMM and strip ratio; movements from stockpiles are rehandle. Every ore row needs a grade: ore tonnes without a grade are highlighted, excluded from the grade mined and shown as 'Ore mined without a grade' on the report. Enter either one daily total per source, material and destination or Day and Night rows, never both.</t>
        </is>
      </c>
    </row>
    <row r="20" ht="60" customHeight="1">
      <c r="B20" s="3" t="inlineStr">
        <is>
          <t>Recovery is calculated from head and tails grades (1 minus tails over head). Gold recovered is milled tonnes x (head minus tails) / 31.1035. A day whose head or tails grade is not yet entered shows blank recovery and is left out of the period grades, recovery and gold recovered until the assay arrives; throughput uses only days with run hours. Monthly metallurgical accounting adjustments are handled outside this workbook until the web system takes over.</t>
        </is>
      </c>
    </row>
    <row r="21" ht="30" customHeight="1">
      <c r="B21" s="3" t="inlineStr">
        <is>
          <t>Mill availability and utilisation count a day once any mill hours (run, planned or unplanned) are entered; a full-day shutdown is Planned maintenance 24 with Mill run hours 0.</t>
        </is>
      </c>
    </row>
    <row r="22" ht="60" customHeight="1">
      <c r="B22" s="3" t="inlineStr">
        <is>
          <t>Stockpile balances on the report run from the later of 1 January and the stockpile's Survey_Date (Opening_t is the surveyed tonnage at the start of that day) to the report date. After a re-survey enter the new tonnes, grade and Survey_Date on Config. The plant feed stockpile is debited with milled tonnes less direct tip, so its balance includes ore tipped to the crusher but not yet milled.</t>
        </is>
      </c>
    </row>
    <row r="23" ht="45" customHeight="1">
      <c r="B23" s="3" t="inlineStr">
        <is>
          <t>TRIFR and LTIFR are injuries per the rate basis on Config (1,000,000 hours) over the last 12 calendar months plus the current month to date. Months without daily Safety rows (the prior year, and this year before go-live) take their hours and injuries from the monthly history on Config.</t>
        </is>
      </c>
    </row>
    <row r="24">
      <c r="B24" s="3" t="inlineStr"/>
    </row>
    <row r="25">
      <c r="B25" s="4" t="inlineStr">
        <is>
          <t>Support</t>
        </is>
      </c>
    </row>
    <row r="26" ht="30" customHeight="1">
      <c r="B26" s="3" t="inlineStr">
        <is>
          <t>Schema and generator: mps_schema.json and build_workbook.py in the MPS tools folder. Report issues to the Director, Operations and Projects.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tabColor rgb="002F5597"/>
    <outlinePr summaryBelow="1" summaryRight="1"/>
    <pageSetUpPr fitToPage="1"/>
  </sheetPr>
  <dimension ref="A1:L100"/>
  <sheetViews>
    <sheetView showGridLines="0" workbookViewId="0">
      <selection activeCell="A1" sqref="A1"/>
    </sheetView>
  </sheetViews>
  <sheetFormatPr baseColWidth="8" defaultRowHeight="15"/>
  <cols>
    <col width="2" customWidth="1" min="1" max="1"/>
    <col width="34" customWidth="1" min="2" max="2"/>
    <col width="14" customWidth="1" min="3" max="3"/>
    <col width="13" customWidth="1" min="4" max="4"/>
    <col width="13" customWidth="1" min="5" max="5"/>
    <col width="13" customWidth="1" min="6" max="6"/>
    <col width="9" customWidth="1" min="7" max="7"/>
    <col width="13" customWidth="1" min="8" max="8"/>
    <col width="13" customWidth="1" min="9" max="9"/>
    <col width="9" customWidth="1" min="10" max="10"/>
    <col width="2" customWidth="1" min="11" max="11"/>
    <col width="10" customWidth="1" min="12" max="12"/>
  </cols>
  <sheetData>
    <row r="1"/>
    <row r="2">
      <c r="B2" s="5">
        <f>cfg_ReportTitle</f>
        <v/>
      </c>
    </row>
    <row r="3">
      <c r="B3" s="6">
        <f>cfg_Company&amp;" | "&amp;cfg_Site</f>
        <v/>
      </c>
    </row>
    <row r="4">
      <c r="L4" s="7" t="inlineStr">
        <is>
          <t>row</t>
        </is>
      </c>
    </row>
    <row r="5">
      <c r="B5" s="8" t="inlineStr">
        <is>
          <t>Report date</t>
        </is>
      </c>
      <c r="C5" s="9">
        <f>MAX(cfg_YearStart,MIN(TODAY()-1,cfg_YearEnd,IF(N(cfg_LastDataDate)&gt;0,cfg_LastDataDate,cfg_YearEnd)))</f>
        <v/>
      </c>
      <c r="D5" s="10" t="n"/>
      <c r="E5" s="11" t="n"/>
      <c r="F5" s="12">
        <f>IF(ISNUMBER(rpt_Row),cfg_YearCheck,"Report date is outside the reporting year: enter a date between 1 January and 31 December "&amp;cfg_Year)</f>
        <v/>
      </c>
      <c r="L5" s="7">
        <f>IFERROR(MATCH($C$5,cd_Date,0),NA())</f>
        <v/>
      </c>
    </row>
    <row r="6">
      <c r="B6" s="13">
        <f>IF(ISNUMBER(rpt_Row),"Data to "&amp;IF(N(cfg_LastDataDate)&gt;0,DAY(cfg_LastDataDate)&amp;" "&amp;CHOOSE(MONTH(cfg_LastDataDate),"Jan","Feb","Mar","Apr","May","Jun","Jul","Aug","Sep","Oct","Nov","Dec")&amp;" "&amp;YEAR(cfg_LastDataDate),"(no plant data yet)")&amp;"  |  Week "&amp;_xlfn.ISOWEEKNUM($C$5)&amp;"  |  Day "&amp;DAY($C$5)&amp;" of "&amp;DAY(EOMONTH($C$5,0)),"Report date is outside the reporting year")</f>
        <v/>
      </c>
    </row>
    <row r="7">
      <c r="B7" s="13">
        <f>"Rows for this date: Plant "&amp;COUNTIFS(tblPlant[Date],rpt_Date,tblPlant[Milled_t],"&lt;&gt;")&amp;", Movements "&amp;COUNTIFS(tblMovement[Date],rpt_Date)&amp;", Fleet "&amp;COUNTIFS(tblFleet[Date],rpt_Date)&amp;", Mining daily "&amp;COUNTIFS(tblMiningDaily[Date],rpt_Date,tblMiningDaily[Diesel_L],"&lt;&gt;")&amp;", Safety "&amp;COUNTIFS(tblSafety[Date],rpt_Date,tblSafety[Hours_Employees],"&lt;&gt;")&amp;", Comments "&amp;COUNTIFS(tblCommentary[Date],rpt_Date)&amp;"  |  Movement rows with unknown source or destination: "&amp;(COUNTIF(tblMovement[Source_Type],"?")+COUNTIF(tblMovement[Dest_Type],"?"))&amp;"  |  Movement rows dated outside the year: "&amp;(COUNTIFS(tblMovement[Date],"&lt;"&amp;cfg_YearStart)+COUNTIFS(tblMovement[Date],"&gt;"&amp;cfg_YearEnd))</f>
        <v/>
      </c>
    </row>
    <row r="8">
      <c r="B8" s="14" t="inlineStr">
        <is>
          <t>SAFETY</t>
        </is>
      </c>
      <c r="C8" s="15" t="inlineStr">
        <is>
          <t>Unit</t>
        </is>
      </c>
      <c r="D8" s="15" t="inlineStr">
        <is>
          <t>Day</t>
        </is>
      </c>
      <c r="E8" s="15" t="inlineStr">
        <is>
          <t>MTD</t>
        </is>
      </c>
      <c r="F8" s="15" t="inlineStr">
        <is>
          <t>MTD budget</t>
        </is>
      </c>
      <c r="G8" s="15" t="inlineStr">
        <is>
          <t>Var %</t>
        </is>
      </c>
      <c r="H8" s="15" t="inlineStr">
        <is>
          <t>YTD</t>
        </is>
      </c>
      <c r="I8" s="15" t="inlineStr">
        <is>
          <t>YTD budget</t>
        </is>
      </c>
      <c r="J8" s="15" t="inlineStr">
        <is>
          <t>Var %</t>
        </is>
      </c>
    </row>
    <row r="9">
      <c r="B9" s="16" t="inlineStr">
        <is>
          <t>Hours worked</t>
        </is>
      </c>
      <c r="C9" s="17" t="inlineStr">
        <is>
          <t>h</t>
        </is>
      </c>
      <c r="D9" s="18">
        <f>IFERROR(INDEX(cd_Hours_Worked,rpt_Row),"")</f>
        <v/>
      </c>
      <c r="E9" s="18">
        <f>IFERROR(INDEX(cd_Hours_Worked_MTD,rpt_Row),"")</f>
        <v/>
      </c>
      <c r="F9" s="18">
        <f>IFERROR(INDEX(cd_Bud_Hours_Worked_MTD,rpt_Row),"")</f>
        <v/>
      </c>
      <c r="G9" s="19">
        <f>IF(AND(ISNUMBER(F9),ISNUMBER(E9),F9&lt;&gt;0),E9/F9-1,"")</f>
        <v/>
      </c>
      <c r="H9" s="18">
        <f>IFERROR(INDEX(cd_Hours_Worked_YTD,rpt_Row),"")</f>
        <v/>
      </c>
      <c r="I9" s="18">
        <f>IFERROR(INDEX(cd_Bud_Hours_Worked_YTD,rpt_Row),"")</f>
        <v/>
      </c>
      <c r="J9" s="19">
        <f>IF(AND(ISNUMBER(I9),ISNUMBER(H9),I9&lt;&gt;0),H9/I9-1,"")</f>
        <v/>
      </c>
    </row>
    <row r="10">
      <c r="B10" s="16" t="inlineStr">
        <is>
          <t>Recordable injuries</t>
        </is>
      </c>
      <c r="C10" s="17" t="inlineStr"/>
      <c r="D10" s="20">
        <f>IFERROR(INDEX(cd_Recordables,rpt_Row),"")</f>
        <v/>
      </c>
      <c r="E10" s="20">
        <f>IFERROR(INDEX(cd_Recordables_MTD,rpt_Row),"")</f>
        <v/>
      </c>
      <c r="F10" s="21" t="n"/>
      <c r="G10" s="21" t="n"/>
      <c r="H10" s="20">
        <f>IFERROR(INDEX(cd_Recordables_YTD,rpt_Row),"")</f>
        <v/>
      </c>
      <c r="I10" s="21" t="n"/>
      <c r="J10" s="21" t="n"/>
    </row>
    <row r="11">
      <c r="B11" s="16" t="inlineStr">
        <is>
          <t>Lost time injuries</t>
        </is>
      </c>
      <c r="C11" s="17" t="inlineStr"/>
      <c r="D11" s="20">
        <f>IFERROR(INDEX(cd_LTI,rpt_Row),"")</f>
        <v/>
      </c>
      <c r="E11" s="20">
        <f>IFERROR(INDEX(cd_LTI_MTD,rpt_Row),"")</f>
        <v/>
      </c>
      <c r="F11" s="21" t="n"/>
      <c r="G11" s="21" t="n"/>
      <c r="H11" s="20">
        <f>IFERROR(INDEX(cd_LTI_YTD,rpt_Row),"")</f>
        <v/>
      </c>
      <c r="I11" s="21" t="n"/>
      <c r="J11" s="21" t="n"/>
    </row>
    <row r="12">
      <c r="B12" s="16" t="inlineStr">
        <is>
          <t>Restricted work injuries</t>
        </is>
      </c>
      <c r="C12" s="17" t="inlineStr"/>
      <c r="D12" s="20">
        <f>IFERROR(INDEX(cd_RWI,rpt_Row),"")</f>
        <v/>
      </c>
      <c r="E12" s="20">
        <f>IFERROR(INDEX(cd_RWI_MTD,rpt_Row),"")</f>
        <v/>
      </c>
      <c r="F12" s="21" t="n"/>
      <c r="G12" s="21" t="n"/>
      <c r="H12" s="20">
        <f>IFERROR(INDEX(cd_RWI_YTD,rpt_Row),"")</f>
        <v/>
      </c>
      <c r="I12" s="21" t="n"/>
      <c r="J12" s="21" t="n"/>
    </row>
    <row r="13">
      <c r="B13" s="16" t="inlineStr">
        <is>
          <t>Medical treatment injuries</t>
        </is>
      </c>
      <c r="C13" s="17" t="inlineStr"/>
      <c r="D13" s="20">
        <f>IFERROR(INDEX(cd_MTI,rpt_Row),"")</f>
        <v/>
      </c>
      <c r="E13" s="20">
        <f>IFERROR(INDEX(cd_MTI_MTD,rpt_Row),"")</f>
        <v/>
      </c>
      <c r="F13" s="21" t="n"/>
      <c r="G13" s="21" t="n"/>
      <c r="H13" s="20">
        <f>IFERROR(INDEX(cd_MTI_YTD,rpt_Row),"")</f>
        <v/>
      </c>
      <c r="I13" s="21" t="n"/>
      <c r="J13" s="21" t="n"/>
    </row>
    <row r="14">
      <c r="B14" s="16" t="inlineStr">
        <is>
          <t>First aid injuries</t>
        </is>
      </c>
      <c r="C14" s="17" t="inlineStr"/>
      <c r="D14" s="20">
        <f>IFERROR(INDEX(cd_FAI,rpt_Row),"")</f>
        <v/>
      </c>
      <c r="E14" s="20">
        <f>IFERROR(INDEX(cd_FAI_MTD,rpt_Row),"")</f>
        <v/>
      </c>
      <c r="F14" s="21" t="n"/>
      <c r="G14" s="21" t="n"/>
      <c r="H14" s="20">
        <f>IFERROR(INDEX(cd_FAI_YTD,rpt_Row),"")</f>
        <v/>
      </c>
      <c r="I14" s="21" t="n"/>
      <c r="J14" s="21" t="n"/>
    </row>
    <row r="15">
      <c r="B15" s="16" t="inlineStr">
        <is>
          <t>Near misses</t>
        </is>
      </c>
      <c r="C15" s="17" t="inlineStr"/>
      <c r="D15" s="20">
        <f>IFERROR(INDEX(cd_Near_Miss,rpt_Row),"")</f>
        <v/>
      </c>
      <c r="E15" s="20">
        <f>IFERROR(INDEX(cd_Near_Miss_MTD,rpt_Row),"")</f>
        <v/>
      </c>
      <c r="F15" s="21" t="n"/>
      <c r="G15" s="21" t="n"/>
      <c r="H15" s="20">
        <f>IFERROR(INDEX(cd_Near_Miss_YTD,rpt_Row),"")</f>
        <v/>
      </c>
      <c r="I15" s="21" t="n"/>
      <c r="J15" s="21" t="n"/>
    </row>
    <row r="16">
      <c r="B16" s="16" t="inlineStr">
        <is>
          <t>Hazard reports</t>
        </is>
      </c>
      <c r="C16" s="17" t="inlineStr"/>
      <c r="D16" s="20">
        <f>IFERROR(INDEX(cd_Hazard_Reports,rpt_Row),"")</f>
        <v/>
      </c>
      <c r="E16" s="20">
        <f>IFERROR(INDEX(cd_Hazard_Reports_MTD,rpt_Row),"")</f>
        <v/>
      </c>
      <c r="F16" s="21" t="n"/>
      <c r="G16" s="21" t="n"/>
      <c r="H16" s="20">
        <f>IFERROR(INDEX(cd_Hazard_Reports_YTD,rpt_Row),"")</f>
        <v/>
      </c>
      <c r="I16" s="21" t="n"/>
      <c r="J16" s="21" t="n"/>
    </row>
    <row r="17">
      <c r="B17" s="16" t="inlineStr">
        <is>
          <t>High potential incidents</t>
        </is>
      </c>
      <c r="C17" s="17" t="inlineStr"/>
      <c r="D17" s="20">
        <f>IFERROR(INDEX(cd_HPI,rpt_Row),"")</f>
        <v/>
      </c>
      <c r="E17" s="20">
        <f>IFERROR(INDEX(cd_HPI_MTD,rpt_Row),"")</f>
        <v/>
      </c>
      <c r="F17" s="21" t="n"/>
      <c r="G17" s="21" t="n"/>
      <c r="H17" s="20">
        <f>IFERROR(INDEX(cd_HPI_YTD,rpt_Row),"")</f>
        <v/>
      </c>
      <c r="I17" s="21" t="n"/>
      <c r="J17" s="21" t="n"/>
    </row>
    <row r="18">
      <c r="B18" s="16" t="inlineStr">
        <is>
          <t>Environmental incidents</t>
        </is>
      </c>
      <c r="C18" s="17" t="inlineStr"/>
      <c r="D18" s="20">
        <f>IFERROR(INDEX(cd_Env_Incidents,rpt_Row),"")</f>
        <v/>
      </c>
      <c r="E18" s="20">
        <f>IFERROR(INDEX(cd_Env_Incidents_MTD,rpt_Row),"")</f>
        <v/>
      </c>
      <c r="F18" s="21" t="n"/>
      <c r="G18" s="21" t="n"/>
      <c r="H18" s="20">
        <f>IFERROR(INDEX(cd_Env_Incidents_YTD,rpt_Row),"")</f>
        <v/>
      </c>
      <c r="I18" s="21" t="n"/>
      <c r="J18" s="21" t="n"/>
    </row>
    <row r="19">
      <c r="B19" s="16" t="inlineStr">
        <is>
          <t>Community incidents</t>
        </is>
      </c>
      <c r="C19" s="17" t="inlineStr"/>
      <c r="D19" s="20">
        <f>IFERROR(INDEX(cd_Community_Incidents,rpt_Row),"")</f>
        <v/>
      </c>
      <c r="E19" s="20">
        <f>IFERROR(INDEX(cd_Community_Incidents_MTD,rpt_Row),"")</f>
        <v/>
      </c>
      <c r="F19" s="21" t="n"/>
      <c r="G19" s="21" t="n"/>
      <c r="H19" s="20">
        <f>IFERROR(INDEX(cd_Community_Incidents_YTD,rpt_Row),"")</f>
        <v/>
      </c>
      <c r="I19" s="21" t="n"/>
      <c r="J19" s="21" t="n"/>
    </row>
    <row r="20">
      <c r="B20" s="16" t="inlineStr">
        <is>
          <t>Vehicle incidents</t>
        </is>
      </c>
      <c r="C20" s="17" t="inlineStr"/>
      <c r="D20" s="20">
        <f>IFERROR(INDEX(cd_Vehicle_Incidents,rpt_Row),"")</f>
        <v/>
      </c>
      <c r="E20" s="20">
        <f>IFERROR(INDEX(cd_Vehicle_Incidents_MTD,rpt_Row),"")</f>
        <v/>
      </c>
      <c r="F20" s="21" t="n"/>
      <c r="G20" s="21" t="n"/>
      <c r="H20" s="20">
        <f>IFERROR(INDEX(cd_Vehicle_Incidents_YTD,rpt_Row),"")</f>
        <v/>
      </c>
      <c r="I20" s="21" t="n"/>
      <c r="J20" s="21" t="n"/>
    </row>
    <row r="21">
      <c r="B21" s="16" t="inlineStr">
        <is>
          <t>TRIFR, rolling 12 months + MTD</t>
        </is>
      </c>
      <c r="C21" s="17">
        <f>"per "&amp;TEXT(cfg_RateBasisHours,"#,##0")&amp;" h"</f>
        <v/>
      </c>
      <c r="D21" s="22">
        <f>IFERROR(INDEX(cd_TRIFR_12m,rpt_Row),"")</f>
        <v/>
      </c>
      <c r="E21" s="21" t="n"/>
      <c r="F21" s="21" t="n"/>
      <c r="G21" s="21" t="n"/>
      <c r="H21" s="21" t="n"/>
      <c r="I21" s="21" t="n"/>
      <c r="J21" s="21" t="n"/>
    </row>
    <row r="22">
      <c r="B22" s="16" t="inlineStr">
        <is>
          <t>LTIFR, rolling 12 months + MTD</t>
        </is>
      </c>
      <c r="C22" s="17">
        <f>"per "&amp;TEXT(cfg_RateBasisHours,"#,##0")&amp;" h"</f>
        <v/>
      </c>
      <c r="D22" s="22">
        <f>IFERROR(INDEX(cd_LTIFR_12m,rpt_Row),"")</f>
        <v/>
      </c>
      <c r="E22" s="21" t="n"/>
      <c r="F22" s="21" t="n"/>
      <c r="G22" s="21" t="n"/>
      <c r="H22" s="21" t="n"/>
      <c r="I22" s="21" t="n"/>
      <c r="J22" s="21" t="n"/>
    </row>
    <row r="23">
      <c r="B23" s="16" t="inlineStr">
        <is>
          <t>Days since last LTI</t>
        </is>
      </c>
      <c r="C23" s="17" t="inlineStr"/>
      <c r="D23" s="20">
        <f>IFERROR(INDEX(cd_Days_Since_LTI,rpt_Row),"")</f>
        <v/>
      </c>
      <c r="E23" s="21" t="n"/>
      <c r="F23" s="21" t="n"/>
      <c r="G23" s="21" t="n"/>
      <c r="H23" s="21" t="n"/>
      <c r="I23" s="21" t="n"/>
      <c r="J23" s="21" t="n"/>
    </row>
    <row r="24"/>
    <row r="25">
      <c r="B25" s="14" t="inlineStr">
        <is>
          <t>MINING</t>
        </is>
      </c>
      <c r="C25" s="15" t="inlineStr">
        <is>
          <t>Unit</t>
        </is>
      </c>
      <c r="D25" s="15" t="inlineStr">
        <is>
          <t>Day</t>
        </is>
      </c>
      <c r="E25" s="15" t="inlineStr">
        <is>
          <t>MTD</t>
        </is>
      </c>
      <c r="F25" s="15" t="inlineStr">
        <is>
          <t>MTD budget</t>
        </is>
      </c>
      <c r="G25" s="15" t="inlineStr">
        <is>
          <t>Var %</t>
        </is>
      </c>
      <c r="H25" s="15" t="inlineStr">
        <is>
          <t>YTD</t>
        </is>
      </c>
      <c r="I25" s="15" t="inlineStr">
        <is>
          <t>YTD budget</t>
        </is>
      </c>
      <c r="J25" s="15" t="inlineStr">
        <is>
          <t>Var %</t>
        </is>
      </c>
    </row>
    <row r="26">
      <c r="B26" s="16" t="inlineStr">
        <is>
          <t>Ore mined (ex-pit)</t>
        </is>
      </c>
      <c r="C26" s="17" t="inlineStr">
        <is>
          <t>t</t>
        </is>
      </c>
      <c r="D26" s="23">
        <f>IFERROR(INDEX(cd_Ore_Mined_t,rpt_Row),"")</f>
        <v/>
      </c>
      <c r="E26" s="23">
        <f>IFERROR(INDEX(cd_Ore_Mined_t_MTD,rpt_Row),"")</f>
        <v/>
      </c>
      <c r="F26" s="23">
        <f>IFERROR(INDEX(cd_Bud_Ore_Mined_t_MTD,rpt_Row),"")</f>
        <v/>
      </c>
      <c r="G26" s="19">
        <f>IF(AND(ISNUMBER(F26),ISNUMBER(E26),F26&lt;&gt;0),E26/F26-1,"")</f>
        <v/>
      </c>
      <c r="H26" s="23">
        <f>IFERROR(INDEX(cd_Ore_Mined_t_YTD,rpt_Row),"")</f>
        <v/>
      </c>
      <c r="I26" s="23">
        <f>IFERROR(INDEX(cd_Bud_Ore_Mined_t_YTD,rpt_Row),"")</f>
        <v/>
      </c>
      <c r="J26" s="19">
        <f>IF(AND(ISNUMBER(I26),ISNUMBER(H26),I26&lt;&gt;0),H26/I26-1,"")</f>
        <v/>
      </c>
    </row>
    <row r="27">
      <c r="B27" s="16" t="inlineStr">
        <is>
          <t>Ore grade mined</t>
        </is>
      </c>
      <c r="C27" s="17" t="inlineStr">
        <is>
          <t>g/t</t>
        </is>
      </c>
      <c r="D27" s="22">
        <f>IFERROR(INDEX(cd_Ore_Grade_gpt,rpt_Row),"")</f>
        <v/>
      </c>
      <c r="E27" s="22">
        <f>IFERROR(INDEX(cd_Ore_Grade_gpt_MTD,rpt_Row),"")</f>
        <v/>
      </c>
      <c r="F27" s="22">
        <f>IFERROR(INDEX(cd_Bud_Ore_Grade_gpt_MTD,rpt_Row),"")</f>
        <v/>
      </c>
      <c r="G27" s="19">
        <f>IF(AND(ISNUMBER(F27),ISNUMBER(E27),F27&lt;&gt;0),E27/F27-1,"")</f>
        <v/>
      </c>
      <c r="H27" s="22">
        <f>IFERROR(INDEX(cd_Ore_Grade_gpt_YTD,rpt_Row),"")</f>
        <v/>
      </c>
      <c r="I27" s="22">
        <f>IFERROR(INDEX(cd_Bud_Ore_Grade_gpt_YTD,rpt_Row),"")</f>
        <v/>
      </c>
      <c r="J27" s="19">
        <f>IF(AND(ISNUMBER(I27),ISNUMBER(H27),I27&lt;&gt;0),H27/I27-1,"")</f>
        <v/>
      </c>
    </row>
    <row r="28">
      <c r="B28" s="16" t="inlineStr">
        <is>
          <t>Contained gold mined</t>
        </is>
      </c>
      <c r="C28" s="17" t="inlineStr">
        <is>
          <t>oz</t>
        </is>
      </c>
      <c r="D28" s="23">
        <f>IFERROR(INDEX(cd_Ore_Mined_oz,rpt_Row),"")</f>
        <v/>
      </c>
      <c r="E28" s="23">
        <f>IFERROR(INDEX(cd_Ore_Mined_oz_MTD,rpt_Row),"")</f>
        <v/>
      </c>
      <c r="F28" s="23">
        <f>IFERROR(INDEX(cd_Bud_Ore_Mined_oz_MTD,rpt_Row),"")</f>
        <v/>
      </c>
      <c r="G28" s="19">
        <f>IF(AND(ISNUMBER(F28),ISNUMBER(E28),F28&lt;&gt;0),E28/F28-1,"")</f>
        <v/>
      </c>
      <c r="H28" s="23">
        <f>IFERROR(INDEX(cd_Ore_Mined_oz_YTD,rpt_Row),"")</f>
        <v/>
      </c>
      <c r="I28" s="23">
        <f>IFERROR(INDEX(cd_Bud_Ore_Mined_oz_YTD,rpt_Row),"")</f>
        <v/>
      </c>
      <c r="J28" s="19">
        <f>IF(AND(ISNUMBER(I28),ISNUMBER(H28),I28&lt;&gt;0),H28/I28-1,"")</f>
        <v/>
      </c>
    </row>
    <row r="29">
      <c r="B29" s="16" t="inlineStr">
        <is>
          <t>Ore mined without a grade (check)</t>
        </is>
      </c>
      <c r="C29" s="17" t="inlineStr">
        <is>
          <t>t</t>
        </is>
      </c>
      <c r="D29" s="23">
        <f>IFERROR(INDEX(cd_Ore_Ungraded_t,rpt_Row),"")</f>
        <v/>
      </c>
      <c r="E29" s="23">
        <f>IFERROR(INDEX(cd_Ore_Ungraded_t_MTD,rpt_Row),"")</f>
        <v/>
      </c>
      <c r="F29" s="21" t="n"/>
      <c r="G29" s="21" t="n"/>
      <c r="H29" s="23">
        <f>IFERROR(INDEX(cd_Ore_Ungraded_t_YTD,rpt_Row),"")</f>
        <v/>
      </c>
      <c r="I29" s="21" t="n"/>
      <c r="J29" s="21" t="n"/>
    </row>
    <row r="30">
      <c r="B30" s="16" t="inlineStr">
        <is>
          <t>Waste mined</t>
        </is>
      </c>
      <c r="C30" s="17" t="inlineStr">
        <is>
          <t>t</t>
        </is>
      </c>
      <c r="D30" s="23">
        <f>IFERROR(INDEX(cd_Waste_t,rpt_Row),"")</f>
        <v/>
      </c>
      <c r="E30" s="23">
        <f>IFERROR(INDEX(cd_Waste_t_MTD,rpt_Row),"")</f>
        <v/>
      </c>
      <c r="F30" s="23">
        <f>IFERROR(INDEX(cd_Bud_Waste_t_MTD,rpt_Row),"")</f>
        <v/>
      </c>
      <c r="G30" s="19">
        <f>IF(AND(ISNUMBER(F30),ISNUMBER(E30),F30&lt;&gt;0),E30/F30-1,"")</f>
        <v/>
      </c>
      <c r="H30" s="23">
        <f>IFERROR(INDEX(cd_Waste_t_YTD,rpt_Row),"")</f>
        <v/>
      </c>
      <c r="I30" s="23">
        <f>IFERROR(INDEX(cd_Bud_Waste_t_YTD,rpt_Row),"")</f>
        <v/>
      </c>
      <c r="J30" s="19">
        <f>IF(AND(ISNUMBER(I30),ISNUMBER(H30),I30&lt;&gt;0),H30/I30-1,"")</f>
        <v/>
      </c>
    </row>
    <row r="31">
      <c r="B31" s="16" t="inlineStr">
        <is>
          <t>Total material moved</t>
        </is>
      </c>
      <c r="C31" s="17" t="inlineStr">
        <is>
          <t>t</t>
        </is>
      </c>
      <c r="D31" s="23">
        <f>IFERROR(INDEX(cd_TMM_t,rpt_Row),"")</f>
        <v/>
      </c>
      <c r="E31" s="23">
        <f>IFERROR(INDEX(cd_TMM_t_MTD,rpt_Row),"")</f>
        <v/>
      </c>
      <c r="F31" s="23">
        <f>IFERROR(INDEX(cd_Bud_TMM_t_MTD,rpt_Row),"")</f>
        <v/>
      </c>
      <c r="G31" s="19">
        <f>IF(AND(ISNUMBER(F31),ISNUMBER(E31),F31&lt;&gt;0),E31/F31-1,"")</f>
        <v/>
      </c>
      <c r="H31" s="23">
        <f>IFERROR(INDEX(cd_TMM_t_YTD,rpt_Row),"")</f>
        <v/>
      </c>
      <c r="I31" s="23">
        <f>IFERROR(INDEX(cd_Bud_TMM_t_YTD,rpt_Row),"")</f>
        <v/>
      </c>
      <c r="J31" s="19">
        <f>IF(AND(ISNUMBER(I31),ISNUMBER(H31),I31&lt;&gt;0),H31/I31-1,"")</f>
        <v/>
      </c>
    </row>
    <row r="32">
      <c r="B32" s="16" t="inlineStr">
        <is>
          <t>Strip ratio (waste : ore)</t>
        </is>
      </c>
      <c r="C32" s="17" t="inlineStr"/>
      <c r="D32" s="22">
        <f>IFERROR(INDEX(cd_Strip_Ratio,rpt_Row),"")</f>
        <v/>
      </c>
      <c r="E32" s="22">
        <f>IFERROR(INDEX(cd_Strip_Ratio_MTD,rpt_Row),"")</f>
        <v/>
      </c>
      <c r="F32" s="22">
        <f>IFERROR(INDEX(cd_Bud_Strip_Ratio_MTD,rpt_Row),"")</f>
        <v/>
      </c>
      <c r="G32" s="19">
        <f>IF(AND(ISNUMBER(F32),ISNUMBER(E32),F32&lt;&gt;0),E32/F32-1,"")</f>
        <v/>
      </c>
      <c r="H32" s="22">
        <f>IFERROR(INDEX(cd_Strip_Ratio_YTD,rpt_Row),"")</f>
        <v/>
      </c>
      <c r="I32" s="22">
        <f>IFERROR(INDEX(cd_Bud_Strip_Ratio_YTD,rpt_Row),"")</f>
        <v/>
      </c>
      <c r="J32" s="19">
        <f>IF(AND(ISNUMBER(I32),ISNUMBER(H32),I32&lt;&gt;0),H32/I32-1,"")</f>
        <v/>
      </c>
    </row>
    <row r="33">
      <c r="B33" s="16" t="inlineStr">
        <is>
          <t>Rehandle from stockpiles</t>
        </is>
      </c>
      <c r="C33" s="17" t="inlineStr">
        <is>
          <t>t</t>
        </is>
      </c>
      <c r="D33" s="23">
        <f>IFERROR(INDEX(cd_Rehandle_t,rpt_Row),"")</f>
        <v/>
      </c>
      <c r="E33" s="23">
        <f>IFERROR(INDEX(cd_Rehandle_t_MTD,rpt_Row),"")</f>
        <v/>
      </c>
      <c r="F33" s="21" t="n"/>
      <c r="G33" s="21" t="n"/>
      <c r="H33" s="23">
        <f>IFERROR(INDEX(cd_Rehandle_t_YTD,rpt_Row),"")</f>
        <v/>
      </c>
      <c r="I33" s="21" t="n"/>
      <c r="J33" s="21" t="n"/>
    </row>
    <row r="34">
      <c r="B34" s="16" t="inlineStr">
        <is>
          <t>Movements with unknown source type (check)</t>
        </is>
      </c>
      <c r="C34" s="17" t="inlineStr">
        <is>
          <t>t</t>
        </is>
      </c>
      <c r="D34" s="23">
        <f>IFERROR(INDEX(cd_Unclassified_t,rpt_Row),"")</f>
        <v/>
      </c>
      <c r="E34" s="23">
        <f>IFERROR(INDEX(cd_Unclassified_t_MTD,rpt_Row),"")</f>
        <v/>
      </c>
      <c r="F34" s="21" t="n"/>
      <c r="G34" s="21" t="n"/>
      <c r="H34" s="23">
        <f>IFERROR(INDEX(cd_Unclassified_t_YTD,rpt_Row),"")</f>
        <v/>
      </c>
      <c r="I34" s="21" t="n"/>
      <c r="J34" s="21" t="n"/>
    </row>
    <row r="35">
      <c r="B35" s="16" t="inlineStr">
        <is>
          <t>Drilled</t>
        </is>
      </c>
      <c r="C35" s="17" t="inlineStr">
        <is>
          <t>m</t>
        </is>
      </c>
      <c r="D35" s="23">
        <f>IFERROR(INDEX(cd_Drill_m,rpt_Row),"")</f>
        <v/>
      </c>
      <c r="E35" s="23">
        <f>IFERROR(INDEX(cd_Drill_m_MTD,rpt_Row),"")</f>
        <v/>
      </c>
      <c r="F35" s="23">
        <f>IFERROR(INDEX(cd_Bud_Drill_m_MTD,rpt_Row),"")</f>
        <v/>
      </c>
      <c r="G35" s="19">
        <f>IF(AND(ISNUMBER(F35),ISNUMBER(E35),F35&lt;&gt;0),E35/F35-1,"")</f>
        <v/>
      </c>
      <c r="H35" s="23">
        <f>IFERROR(INDEX(cd_Drill_m_YTD,rpt_Row),"")</f>
        <v/>
      </c>
      <c r="I35" s="23">
        <f>IFERROR(INDEX(cd_Bud_Drill_m_YTD,rpt_Row),"")</f>
        <v/>
      </c>
      <c r="J35" s="19">
        <f>IF(AND(ISNUMBER(I35),ISNUMBER(H35),I35&lt;&gt;0),H35/I35-1,"")</f>
        <v/>
      </c>
    </row>
    <row r="36">
      <c r="B36" s="16" t="inlineStr">
        <is>
          <t>Grade control drilled</t>
        </is>
      </c>
      <c r="C36" s="17" t="inlineStr">
        <is>
          <t>m</t>
        </is>
      </c>
      <c r="D36" s="23">
        <f>IFERROR(INDEX(cd_GC_Drill_m,rpt_Row),"")</f>
        <v/>
      </c>
      <c r="E36" s="23">
        <f>IFERROR(INDEX(cd_GC_Drill_m_MTD,rpt_Row),"")</f>
        <v/>
      </c>
      <c r="F36" s="21" t="n"/>
      <c r="G36" s="21" t="n"/>
      <c r="H36" s="23">
        <f>IFERROR(INDEX(cd_GC_Drill_m_YTD,rpt_Row),"")</f>
        <v/>
      </c>
      <c r="I36" s="21" t="n"/>
      <c r="J36" s="21" t="n"/>
    </row>
    <row r="37">
      <c r="B37" s="16" t="inlineStr">
        <is>
          <t>Blasted</t>
        </is>
      </c>
      <c r="C37" s="17" t="inlineStr">
        <is>
          <t>t</t>
        </is>
      </c>
      <c r="D37" s="23">
        <f>IFERROR(INDEX(cd_Blast_t,rpt_Row),"")</f>
        <v/>
      </c>
      <c r="E37" s="23">
        <f>IFERROR(INDEX(cd_Blast_t_MTD,rpt_Row),"")</f>
        <v/>
      </c>
      <c r="F37" s="21" t="n"/>
      <c r="G37" s="21" t="n"/>
      <c r="H37" s="23">
        <f>IFERROR(INDEX(cd_Blast_t_YTD,rpt_Row),"")</f>
        <v/>
      </c>
      <c r="I37" s="21" t="n"/>
      <c r="J37" s="21" t="n"/>
    </row>
    <row r="38">
      <c r="B38" s="16" t="inlineStr">
        <is>
          <t>Powder factor</t>
        </is>
      </c>
      <c r="C38" s="17" t="inlineStr">
        <is>
          <t>kg/t</t>
        </is>
      </c>
      <c r="D38" s="22">
        <f>IFERROR(INDEX(cd_Powder_Factor_kgpt,rpt_Row),"")</f>
        <v/>
      </c>
      <c r="E38" s="22">
        <f>IFERROR(INDEX(cd_Powder_Factor_kgpt_MTD,rpt_Row),"")</f>
        <v/>
      </c>
      <c r="F38" s="21" t="n"/>
      <c r="G38" s="21" t="n"/>
      <c r="H38" s="22">
        <f>IFERROR(INDEX(cd_Powder_Factor_kgpt_YTD,rpt_Row),"")</f>
        <v/>
      </c>
      <c r="I38" s="21" t="n"/>
      <c r="J38" s="21" t="n"/>
    </row>
    <row r="39">
      <c r="B39" s="16" t="inlineStr">
        <is>
          <t>Mining diesel</t>
        </is>
      </c>
      <c r="C39" s="17" t="inlineStr">
        <is>
          <t>L</t>
        </is>
      </c>
      <c r="D39" s="23">
        <f>IFERROR(INDEX(cd_Diesel_Mining_L,rpt_Row),"")</f>
        <v/>
      </c>
      <c r="E39" s="23">
        <f>IFERROR(INDEX(cd_Diesel_Mining_L_MTD,rpt_Row),"")</f>
        <v/>
      </c>
      <c r="F39" s="23">
        <f>IFERROR(INDEX(cd_Bud_Diesel_Mining_L_MTD,rpt_Row),"")</f>
        <v/>
      </c>
      <c r="G39" s="19">
        <f>IF(AND(ISNUMBER(F39),ISNUMBER(E39),F39&lt;&gt;0),E39/F39-1,"")</f>
        <v/>
      </c>
      <c r="H39" s="23">
        <f>IFERROR(INDEX(cd_Diesel_Mining_L_YTD,rpt_Row),"")</f>
        <v/>
      </c>
      <c r="I39" s="23">
        <f>IFERROR(INDEX(cd_Bud_Diesel_Mining_L_YTD,rpt_Row),"")</f>
        <v/>
      </c>
      <c r="J39" s="19">
        <f>IF(AND(ISNUMBER(I39),ISNUMBER(H39),I39&lt;&gt;0),H39/I39-1,"")</f>
        <v/>
      </c>
    </row>
    <row r="40">
      <c r="B40" s="16" t="inlineStr">
        <is>
          <t>Excavator availability</t>
        </is>
      </c>
      <c r="C40" s="17" t="inlineStr">
        <is>
          <t>%</t>
        </is>
      </c>
      <c r="D40" s="24">
        <f>IFERROR(INDEX(cd_Exc_Availability_pct,rpt_Row),"")</f>
        <v/>
      </c>
      <c r="E40" s="24">
        <f>IFERROR(INDEX(cd_Exc_Availability_pct_MTD,rpt_Row),"")</f>
        <v/>
      </c>
      <c r="F40" s="21" t="n"/>
      <c r="G40" s="21" t="n"/>
      <c r="H40" s="24">
        <f>IFERROR(INDEX(cd_Exc_Availability_pct_YTD,rpt_Row),"")</f>
        <v/>
      </c>
      <c r="I40" s="21" t="n"/>
      <c r="J40" s="21" t="n"/>
    </row>
    <row r="41">
      <c r="B41" s="16" t="inlineStr">
        <is>
          <t>Excavator utilisation</t>
        </is>
      </c>
      <c r="C41" s="17" t="inlineStr">
        <is>
          <t>%</t>
        </is>
      </c>
      <c r="D41" s="24">
        <f>IFERROR(INDEX(cd_Exc_Utilisation_pct,rpt_Row),"")</f>
        <v/>
      </c>
      <c r="E41" s="24">
        <f>IFERROR(INDEX(cd_Exc_Utilisation_pct_MTD,rpt_Row),"")</f>
        <v/>
      </c>
      <c r="F41" s="21" t="n"/>
      <c r="G41" s="21" t="n"/>
      <c r="H41" s="24">
        <f>IFERROR(INDEX(cd_Exc_Utilisation_pct_YTD,rpt_Row),"")</f>
        <v/>
      </c>
      <c r="I41" s="21" t="n"/>
      <c r="J41" s="21" t="n"/>
    </row>
    <row r="42">
      <c r="B42" s="16" t="inlineStr">
        <is>
          <t>Excavator productivity (TMM + rehandle)</t>
        </is>
      </c>
      <c r="C42" s="17" t="inlineStr">
        <is>
          <t>t/h</t>
        </is>
      </c>
      <c r="D42" s="23">
        <f>IFERROR(INDEX(cd_Exc_Productivity_tph,rpt_Row),"")</f>
        <v/>
      </c>
      <c r="E42" s="23">
        <f>IFERROR(INDEX(cd_Exc_Productivity_tph_MTD,rpt_Row),"")</f>
        <v/>
      </c>
      <c r="F42" s="21" t="n"/>
      <c r="G42" s="21" t="n"/>
      <c r="H42" s="23">
        <f>IFERROR(INDEX(cd_Exc_Productivity_tph_YTD,rpt_Row),"")</f>
        <v/>
      </c>
      <c r="I42" s="21" t="n"/>
      <c r="J42" s="21" t="n"/>
    </row>
    <row r="43">
      <c r="B43" s="16" t="inlineStr">
        <is>
          <t>Truck availability</t>
        </is>
      </c>
      <c r="C43" s="17" t="inlineStr">
        <is>
          <t>%</t>
        </is>
      </c>
      <c r="D43" s="24">
        <f>IFERROR(INDEX(cd_Trk_Availability_pct,rpt_Row),"")</f>
        <v/>
      </c>
      <c r="E43" s="24">
        <f>IFERROR(INDEX(cd_Trk_Availability_pct_MTD,rpt_Row),"")</f>
        <v/>
      </c>
      <c r="F43" s="21" t="n"/>
      <c r="G43" s="21" t="n"/>
      <c r="H43" s="24">
        <f>IFERROR(INDEX(cd_Trk_Availability_pct_YTD,rpt_Row),"")</f>
        <v/>
      </c>
      <c r="I43" s="21" t="n"/>
      <c r="J43" s="21" t="n"/>
    </row>
    <row r="44">
      <c r="B44" s="16" t="inlineStr">
        <is>
          <t>Truck utilisation</t>
        </is>
      </c>
      <c r="C44" s="17" t="inlineStr">
        <is>
          <t>%</t>
        </is>
      </c>
      <c r="D44" s="24">
        <f>IFERROR(INDEX(cd_Trk_Utilisation_pct,rpt_Row),"")</f>
        <v/>
      </c>
      <c r="E44" s="24">
        <f>IFERROR(INDEX(cd_Trk_Utilisation_pct_MTD,rpt_Row),"")</f>
        <v/>
      </c>
      <c r="F44" s="21" t="n"/>
      <c r="G44" s="21" t="n"/>
      <c r="H44" s="24">
        <f>IFERROR(INDEX(cd_Trk_Utilisation_pct_YTD,rpt_Row),"")</f>
        <v/>
      </c>
      <c r="I44" s="21" t="n"/>
      <c r="J44" s="21" t="n"/>
    </row>
    <row r="45">
      <c r="B45" s="16" t="inlineStr">
        <is>
          <t>Truck productivity (TMM + rehandle)</t>
        </is>
      </c>
      <c r="C45" s="17" t="inlineStr">
        <is>
          <t>t/h</t>
        </is>
      </c>
      <c r="D45" s="23">
        <f>IFERROR(INDEX(cd_Trk_Productivity_tph,rpt_Row),"")</f>
        <v/>
      </c>
      <c r="E45" s="23">
        <f>IFERROR(INDEX(cd_Trk_Productivity_tph_MTD,rpt_Row),"")</f>
        <v/>
      </c>
      <c r="F45" s="21" t="n"/>
      <c r="G45" s="21" t="n"/>
      <c r="H45" s="23">
        <f>IFERROR(INDEX(cd_Trk_Productivity_tph_YTD,rpt_Row),"")</f>
        <v/>
      </c>
      <c r="I45" s="21" t="n"/>
      <c r="J45" s="21" t="n"/>
    </row>
    <row r="46"/>
    <row r="47">
      <c r="B47" s="14" t="inlineStr">
        <is>
          <t>PROCESSING</t>
        </is>
      </c>
      <c r="C47" s="15" t="inlineStr">
        <is>
          <t>Unit</t>
        </is>
      </c>
      <c r="D47" s="15" t="inlineStr">
        <is>
          <t>Day</t>
        </is>
      </c>
      <c r="E47" s="15" t="inlineStr">
        <is>
          <t>MTD</t>
        </is>
      </c>
      <c r="F47" s="15" t="inlineStr">
        <is>
          <t>MTD budget</t>
        </is>
      </c>
      <c r="G47" s="15" t="inlineStr">
        <is>
          <t>Var %</t>
        </is>
      </c>
      <c r="H47" s="15" t="inlineStr">
        <is>
          <t>YTD</t>
        </is>
      </c>
      <c r="I47" s="15" t="inlineStr">
        <is>
          <t>YTD budget</t>
        </is>
      </c>
      <c r="J47" s="15" t="inlineStr">
        <is>
          <t>Var %</t>
        </is>
      </c>
    </row>
    <row r="48">
      <c r="B48" s="16" t="inlineStr">
        <is>
          <t>Crushed</t>
        </is>
      </c>
      <c r="C48" s="17" t="inlineStr">
        <is>
          <t>t</t>
        </is>
      </c>
      <c r="D48" s="23">
        <f>IFERROR(INDEX(cd_Crushed_t,rpt_Row),"")</f>
        <v/>
      </c>
      <c r="E48" s="23">
        <f>IFERROR(INDEX(cd_Crushed_t_MTD,rpt_Row),"")</f>
        <v/>
      </c>
      <c r="F48" s="21" t="n"/>
      <c r="G48" s="21" t="n"/>
      <c r="H48" s="23">
        <f>IFERROR(INDEX(cd_Crushed_t_YTD,rpt_Row),"")</f>
        <v/>
      </c>
      <c r="I48" s="21" t="n"/>
      <c r="J48" s="21" t="n"/>
    </row>
    <row r="49">
      <c r="B49" s="16" t="inlineStr">
        <is>
          <t>Milled</t>
        </is>
      </c>
      <c r="C49" s="17" t="inlineStr">
        <is>
          <t>t</t>
        </is>
      </c>
      <c r="D49" s="23">
        <f>IFERROR(INDEX(cd_Milled_t,rpt_Row),"")</f>
        <v/>
      </c>
      <c r="E49" s="23">
        <f>IFERROR(INDEX(cd_Milled_t_MTD,rpt_Row),"")</f>
        <v/>
      </c>
      <c r="F49" s="23">
        <f>IFERROR(INDEX(cd_Bud_Milled_t_MTD,rpt_Row),"")</f>
        <v/>
      </c>
      <c r="G49" s="19">
        <f>IF(AND(ISNUMBER(F49),ISNUMBER(E49),F49&lt;&gt;0),E49/F49-1,"")</f>
        <v/>
      </c>
      <c r="H49" s="23">
        <f>IFERROR(INDEX(cd_Milled_t_YTD,rpt_Row),"")</f>
        <v/>
      </c>
      <c r="I49" s="23">
        <f>IFERROR(INDEX(cd_Bud_Milled_t_YTD,rpt_Row),"")</f>
        <v/>
      </c>
      <c r="J49" s="19">
        <f>IF(AND(ISNUMBER(I49),ISNUMBER(H49),I49&lt;&gt;0),H49/I49-1,"")</f>
        <v/>
      </c>
    </row>
    <row r="50">
      <c r="B50" s="16" t="inlineStr">
        <is>
          <t>Head grade</t>
        </is>
      </c>
      <c r="C50" s="17" t="inlineStr">
        <is>
          <t>g/t</t>
        </is>
      </c>
      <c r="D50" s="22">
        <f>IFERROR(INDEX(cd_Head_Grade_gpt,rpt_Row),"")</f>
        <v/>
      </c>
      <c r="E50" s="22">
        <f>IFERROR(INDEX(cd_Head_Grade_gpt_MTD,rpt_Row),"")</f>
        <v/>
      </c>
      <c r="F50" s="22">
        <f>IFERROR(INDEX(cd_Bud_Head_Grade_gpt_MTD,rpt_Row),"")</f>
        <v/>
      </c>
      <c r="G50" s="19">
        <f>IF(AND(ISNUMBER(F50),ISNUMBER(E50),F50&lt;&gt;0),E50/F50-1,"")</f>
        <v/>
      </c>
      <c r="H50" s="22">
        <f>IFERROR(INDEX(cd_Head_Grade_gpt_YTD,rpt_Row),"")</f>
        <v/>
      </c>
      <c r="I50" s="22">
        <f>IFERROR(INDEX(cd_Bud_Head_Grade_gpt_YTD,rpt_Row),"")</f>
        <v/>
      </c>
      <c r="J50" s="19">
        <f>IF(AND(ISNUMBER(I50),ISNUMBER(H50),I50&lt;&gt;0),H50/I50-1,"")</f>
        <v/>
      </c>
    </row>
    <row r="51">
      <c r="B51" s="16" t="inlineStr">
        <is>
          <t>Contained gold in feed</t>
        </is>
      </c>
      <c r="C51" s="17" t="inlineStr">
        <is>
          <t>oz</t>
        </is>
      </c>
      <c r="D51" s="23">
        <f>IFERROR(INDEX(cd_Feed_oz,rpt_Row),"")</f>
        <v/>
      </c>
      <c r="E51" s="23">
        <f>IFERROR(INDEX(cd_Feed_oz_MTD,rpt_Row),"")</f>
        <v/>
      </c>
      <c r="F51" s="23">
        <f>IFERROR(INDEX(cd_Bud_Feed_oz_MTD,rpt_Row),"")</f>
        <v/>
      </c>
      <c r="G51" s="19">
        <f>IF(AND(ISNUMBER(F51),ISNUMBER(E51),F51&lt;&gt;0),E51/F51-1,"")</f>
        <v/>
      </c>
      <c r="H51" s="23">
        <f>IFERROR(INDEX(cd_Feed_oz_YTD,rpt_Row),"")</f>
        <v/>
      </c>
      <c r="I51" s="23">
        <f>IFERROR(INDEX(cd_Bud_Feed_oz_YTD,rpt_Row),"")</f>
        <v/>
      </c>
      <c r="J51" s="19">
        <f>IF(AND(ISNUMBER(I51),ISNUMBER(H51),I51&lt;&gt;0),H51/I51-1,"")</f>
        <v/>
      </c>
    </row>
    <row r="52">
      <c r="B52" s="16" t="inlineStr">
        <is>
          <t>Recovery</t>
        </is>
      </c>
      <c r="C52" s="17" t="inlineStr">
        <is>
          <t>%</t>
        </is>
      </c>
      <c r="D52" s="24">
        <f>IFERROR(INDEX(cd_Recovery_pct,rpt_Row),"")</f>
        <v/>
      </c>
      <c r="E52" s="24">
        <f>IFERROR(INDEX(cd_Recovery_pct_MTD,rpt_Row),"")</f>
        <v/>
      </c>
      <c r="F52" s="24">
        <f>IFERROR(INDEX(cd_Bud_Recovery_pct_MTD,rpt_Row),"")</f>
        <v/>
      </c>
      <c r="G52" s="19">
        <f>IF(AND(ISNUMBER(F52),ISNUMBER(E52),F52&lt;&gt;0),E52/F52-1,"")</f>
        <v/>
      </c>
      <c r="H52" s="24">
        <f>IFERROR(INDEX(cd_Recovery_pct_YTD,rpt_Row),"")</f>
        <v/>
      </c>
      <c r="I52" s="24">
        <f>IFERROR(INDEX(cd_Bud_Recovery_pct_YTD,rpt_Row),"")</f>
        <v/>
      </c>
      <c r="J52" s="19">
        <f>IF(AND(ISNUMBER(I52),ISNUMBER(H52),I52&lt;&gt;0),H52/I52-1,"")</f>
        <v/>
      </c>
    </row>
    <row r="53">
      <c r="B53" s="16" t="inlineStr">
        <is>
          <t>Gold recovered</t>
        </is>
      </c>
      <c r="C53" s="17" t="inlineStr">
        <is>
          <t>oz</t>
        </is>
      </c>
      <c r="D53" s="23">
        <f>IFERROR(INDEX(cd_Recovered_oz,rpt_Row),"")</f>
        <v/>
      </c>
      <c r="E53" s="23">
        <f>IFERROR(INDEX(cd_Recovered_oz_MTD,rpt_Row),"")</f>
        <v/>
      </c>
      <c r="F53" s="23">
        <f>IFERROR(INDEX(cd_Bud_Recovered_oz_MTD,rpt_Row),"")</f>
        <v/>
      </c>
      <c r="G53" s="19">
        <f>IF(AND(ISNUMBER(F53),ISNUMBER(E53),F53&lt;&gt;0),E53/F53-1,"")</f>
        <v/>
      </c>
      <c r="H53" s="23">
        <f>IFERROR(INDEX(cd_Recovered_oz_YTD,rpt_Row),"")</f>
        <v/>
      </c>
      <c r="I53" s="23">
        <f>IFERROR(INDEX(cd_Bud_Recovered_oz_YTD,rpt_Row),"")</f>
        <v/>
      </c>
      <c r="J53" s="19">
        <f>IF(AND(ISNUMBER(I53),ISNUMBER(H53),I53&lt;&gt;0),H53/I53-1,"")</f>
        <v/>
      </c>
    </row>
    <row r="54">
      <c r="B54" s="16" t="inlineStr">
        <is>
          <t>Gravity gold</t>
        </is>
      </c>
      <c r="C54" s="17" t="inlineStr">
        <is>
          <t>oz</t>
        </is>
      </c>
      <c r="D54" s="23">
        <f>IFERROR(INDEX(cd_Gravity_Gold_oz,rpt_Row),"")</f>
        <v/>
      </c>
      <c r="E54" s="23">
        <f>IFERROR(INDEX(cd_Gravity_Gold_oz_MTD,rpt_Row),"")</f>
        <v/>
      </c>
      <c r="F54" s="21" t="n"/>
      <c r="G54" s="21" t="n"/>
      <c r="H54" s="23">
        <f>IFERROR(INDEX(cd_Gravity_Gold_oz_YTD,rpt_Row),"")</f>
        <v/>
      </c>
      <c r="I54" s="21" t="n"/>
      <c r="J54" s="21" t="n"/>
    </row>
    <row r="55">
      <c r="B55" s="16" t="inlineStr">
        <is>
          <t>Gravity share of gold recovered</t>
        </is>
      </c>
      <c r="C55" s="17" t="inlineStr">
        <is>
          <t>%</t>
        </is>
      </c>
      <c r="D55" s="24">
        <f>IFERROR(INDEX(cd_Gravity_Share_pct,rpt_Row),"")</f>
        <v/>
      </c>
      <c r="E55" s="24">
        <f>IFERROR(INDEX(cd_Gravity_Share_pct_MTD,rpt_Row),"")</f>
        <v/>
      </c>
      <c r="F55" s="21" t="n"/>
      <c r="G55" s="21" t="n"/>
      <c r="H55" s="24">
        <f>IFERROR(INDEX(cd_Gravity_Share_pct_YTD,rpt_Row),"")</f>
        <v/>
      </c>
      <c r="I55" s="21" t="n"/>
      <c r="J55" s="21" t="n"/>
    </row>
    <row r="56">
      <c r="B56" s="16" t="inlineStr">
        <is>
          <t>Gold poured</t>
        </is>
      </c>
      <c r="C56" s="17" t="inlineStr">
        <is>
          <t>oz</t>
        </is>
      </c>
      <c r="D56" s="23">
        <f>IFERROR(INDEX(cd_Gold_Poured_oz,rpt_Row),"")</f>
        <v/>
      </c>
      <c r="E56" s="23">
        <f>IFERROR(INDEX(cd_Gold_Poured_oz_MTD,rpt_Row),"")</f>
        <v/>
      </c>
      <c r="F56" s="23">
        <f>IFERROR(INDEX(cd_Bud_Gold_Poured_oz_MTD,rpt_Row),"")</f>
        <v/>
      </c>
      <c r="G56" s="19">
        <f>IF(AND(ISNUMBER(F56),ISNUMBER(E56),F56&lt;&gt;0),E56/F56-1,"")</f>
        <v/>
      </c>
      <c r="H56" s="23">
        <f>IFERROR(INDEX(cd_Gold_Poured_oz_YTD,rpt_Row),"")</f>
        <v/>
      </c>
      <c r="I56" s="23">
        <f>IFERROR(INDEX(cd_Bud_Gold_Poured_oz_YTD,rpt_Row),"")</f>
        <v/>
      </c>
      <c r="J56" s="19">
        <f>IF(AND(ISNUMBER(I56),ISNUMBER(H56),I56&lt;&gt;0),H56/I56-1,"")</f>
        <v/>
      </c>
    </row>
    <row r="57">
      <c r="B57" s="16" t="inlineStr">
        <is>
          <t>Mill throughput</t>
        </is>
      </c>
      <c r="C57" s="17" t="inlineStr">
        <is>
          <t>t/h</t>
        </is>
      </c>
      <c r="D57" s="23">
        <f>IFERROR(INDEX(cd_Throughput_tph,rpt_Row),"")</f>
        <v/>
      </c>
      <c r="E57" s="23">
        <f>IFERROR(INDEX(cd_Throughput_tph_MTD,rpt_Row),"")</f>
        <v/>
      </c>
      <c r="F57" s="21" t="n"/>
      <c r="G57" s="21" t="n"/>
      <c r="H57" s="23">
        <f>IFERROR(INDEX(cd_Throughput_tph_YTD,rpt_Row),"")</f>
        <v/>
      </c>
      <c r="I57" s="21" t="n"/>
      <c r="J57" s="21" t="n"/>
    </row>
    <row r="58">
      <c r="B58" s="16" t="inlineStr">
        <is>
          <t>Mill run hours</t>
        </is>
      </c>
      <c r="C58" s="17" t="inlineStr">
        <is>
          <t>h</t>
        </is>
      </c>
      <c r="D58" s="18">
        <f>IFERROR(INDEX(cd_Mill_Run_h,rpt_Row),"")</f>
        <v/>
      </c>
      <c r="E58" s="18">
        <f>IFERROR(INDEX(cd_Mill_Run_h_MTD,rpt_Row),"")</f>
        <v/>
      </c>
      <c r="F58" s="21" t="n"/>
      <c r="G58" s="21" t="n"/>
      <c r="H58" s="18">
        <f>IFERROR(INDEX(cd_Mill_Run_h_YTD,rpt_Row),"")</f>
        <v/>
      </c>
      <c r="I58" s="21" t="n"/>
      <c r="J58" s="21" t="n"/>
    </row>
    <row r="59">
      <c r="B59" s="16" t="inlineStr">
        <is>
          <t>Mill availability</t>
        </is>
      </c>
      <c r="C59" s="17" t="inlineStr">
        <is>
          <t>%</t>
        </is>
      </c>
      <c r="D59" s="24">
        <f>IFERROR(INDEX(cd_Mill_Availability_pct,rpt_Row),"")</f>
        <v/>
      </c>
      <c r="E59" s="24">
        <f>IFERROR(INDEX(cd_Mill_Availability_pct_MTD,rpt_Row),"")</f>
        <v/>
      </c>
      <c r="F59" s="21" t="n"/>
      <c r="G59" s="21" t="n"/>
      <c r="H59" s="24">
        <f>IFERROR(INDEX(cd_Mill_Availability_pct_YTD,rpt_Row),"")</f>
        <v/>
      </c>
      <c r="I59" s="21" t="n"/>
      <c r="J59" s="21" t="n"/>
    </row>
    <row r="60">
      <c r="B60" s="16" t="inlineStr">
        <is>
          <t>Mill utilisation</t>
        </is>
      </c>
      <c r="C60" s="17" t="inlineStr">
        <is>
          <t>%</t>
        </is>
      </c>
      <c r="D60" s="24">
        <f>IFERROR(INDEX(cd_Mill_Utilisation_pct,rpt_Row),"")</f>
        <v/>
      </c>
      <c r="E60" s="24">
        <f>IFERROR(INDEX(cd_Mill_Utilisation_pct_MTD,rpt_Row),"")</f>
        <v/>
      </c>
      <c r="F60" s="21" t="n"/>
      <c r="G60" s="21" t="n"/>
      <c r="H60" s="24">
        <f>IFERROR(INDEX(cd_Mill_Utilisation_pct_YTD,rpt_Row),"")</f>
        <v/>
      </c>
      <c r="I60" s="21" t="n"/>
      <c r="J60" s="21" t="n"/>
    </row>
    <row r="61">
      <c r="B61" s="16" t="inlineStr">
        <is>
          <t>Cyanide consumption</t>
        </is>
      </c>
      <c r="C61" s="17" t="inlineStr">
        <is>
          <t>kg/t</t>
        </is>
      </c>
      <c r="D61" s="22">
        <f>IFERROR(INDEX(cd_Cyanide_kgpt,rpt_Row),"")</f>
        <v/>
      </c>
      <c r="E61" s="22">
        <f>IFERROR(INDEX(cd_Cyanide_kgpt_MTD,rpt_Row),"")</f>
        <v/>
      </c>
      <c r="F61" s="21" t="n"/>
      <c r="G61" s="21" t="n"/>
      <c r="H61" s="22">
        <f>IFERROR(INDEX(cd_Cyanide_kgpt_YTD,rpt_Row),"")</f>
        <v/>
      </c>
      <c r="I61" s="21" t="n"/>
      <c r="J61" s="21" t="n"/>
    </row>
    <row r="62">
      <c r="B62" s="16" t="inlineStr">
        <is>
          <t>Lime consumption</t>
        </is>
      </c>
      <c r="C62" s="17" t="inlineStr">
        <is>
          <t>kg/t</t>
        </is>
      </c>
      <c r="D62" s="22">
        <f>IFERROR(INDEX(cd_Lime_kgpt,rpt_Row),"")</f>
        <v/>
      </c>
      <c r="E62" s="22">
        <f>IFERROR(INDEX(cd_Lime_kgpt_MTD,rpt_Row),"")</f>
        <v/>
      </c>
      <c r="F62" s="21" t="n"/>
      <c r="G62" s="21" t="n"/>
      <c r="H62" s="22">
        <f>IFERROR(INDEX(cd_Lime_kgpt_YTD,rpt_Row),"")</f>
        <v/>
      </c>
      <c r="I62" s="21" t="n"/>
      <c r="J62" s="21" t="n"/>
    </row>
    <row r="63">
      <c r="B63" s="16" t="inlineStr">
        <is>
          <t>Power consumption</t>
        </is>
      </c>
      <c r="C63" s="17" t="inlineStr">
        <is>
          <t>kWh/t</t>
        </is>
      </c>
      <c r="D63" s="25">
        <f>IFERROR(INDEX(cd_Power_kWhpt,rpt_Row),"")</f>
        <v/>
      </c>
      <c r="E63" s="25">
        <f>IFERROR(INDEX(cd_Power_kWhpt_MTD,rpt_Row),"")</f>
        <v/>
      </c>
      <c r="F63" s="21" t="n"/>
      <c r="G63" s="21" t="n"/>
      <c r="H63" s="25">
        <f>IFERROR(INDEX(cd_Power_kWhpt_YTD,rpt_Row),"")</f>
        <v/>
      </c>
      <c r="I63" s="21" t="n"/>
      <c r="J63" s="21" t="n"/>
    </row>
    <row r="64">
      <c r="B64" s="16" t="inlineStr">
        <is>
          <t>Gold in circuit (end of day)</t>
        </is>
      </c>
      <c r="C64" s="17" t="inlineStr">
        <is>
          <t>oz</t>
        </is>
      </c>
      <c r="D64" s="23">
        <f>IFERROR(INDEX(cd_GIC_oz,rpt_Row),"")</f>
        <v/>
      </c>
      <c r="E64" s="21" t="n"/>
      <c r="F64" s="21" t="n"/>
      <c r="G64" s="21" t="n"/>
      <c r="H64" s="21" t="n"/>
      <c r="I64" s="21" t="n"/>
      <c r="J64" s="21" t="n"/>
    </row>
    <row r="65"/>
    <row r="66">
      <c r="B66" s="14" t="inlineStr">
        <is>
          <t>GOLD</t>
        </is>
      </c>
      <c r="C66" s="15" t="inlineStr">
        <is>
          <t>Unit</t>
        </is>
      </c>
      <c r="D66" s="15" t="inlineStr">
        <is>
          <t>Day</t>
        </is>
      </c>
      <c r="E66" s="15" t="inlineStr">
        <is>
          <t>MTD</t>
        </is>
      </c>
      <c r="F66" s="15" t="inlineStr">
        <is>
          <t>MTD budget</t>
        </is>
      </c>
      <c r="G66" s="15" t="inlineStr">
        <is>
          <t>Var %</t>
        </is>
      </c>
      <c r="H66" s="15" t="inlineStr">
        <is>
          <t>YTD</t>
        </is>
      </c>
      <c r="I66" s="15" t="inlineStr">
        <is>
          <t>YTD budget</t>
        </is>
      </c>
      <c r="J66" s="15" t="inlineStr">
        <is>
          <t>Var %</t>
        </is>
      </c>
    </row>
    <row r="67">
      <c r="B67" s="16" t="inlineStr">
        <is>
          <t>Gold shipped</t>
        </is>
      </c>
      <c r="C67" s="17" t="inlineStr">
        <is>
          <t>oz</t>
        </is>
      </c>
      <c r="D67" s="23">
        <f>IFERROR(INDEX(cd_Gold_Shipped_oz,rpt_Row),"")</f>
        <v/>
      </c>
      <c r="E67" s="23">
        <f>IFERROR(INDEX(cd_Gold_Shipped_oz_MTD,rpt_Row),"")</f>
        <v/>
      </c>
      <c r="F67" s="21" t="n"/>
      <c r="G67" s="21" t="n"/>
      <c r="H67" s="23">
        <f>IFERROR(INDEX(cd_Gold_Shipped_oz_YTD,rpt_Row),"")</f>
        <v/>
      </c>
      <c r="I67" s="21" t="n"/>
      <c r="J67" s="21" t="n"/>
    </row>
    <row r="68">
      <c r="B68" s="16" t="inlineStr">
        <is>
          <t>Gold sold</t>
        </is>
      </c>
      <c r="C68" s="17" t="inlineStr">
        <is>
          <t>oz</t>
        </is>
      </c>
      <c r="D68" s="23">
        <f>IFERROR(INDEX(cd_Gold_Sold_oz,rpt_Row),"")</f>
        <v/>
      </c>
      <c r="E68" s="23">
        <f>IFERROR(INDEX(cd_Gold_Sold_oz_MTD,rpt_Row),"")</f>
        <v/>
      </c>
      <c r="F68" s="21" t="n"/>
      <c r="G68" s="21" t="n"/>
      <c r="H68" s="23">
        <f>IFERROR(INDEX(cd_Gold_Sold_oz_YTD,rpt_Row),"")</f>
        <v/>
      </c>
      <c r="I68" s="21" t="n"/>
      <c r="J68" s="21" t="n"/>
    </row>
    <row r="69">
      <c r="B69" s="16" t="inlineStr">
        <is>
          <t>Dore shipped</t>
        </is>
      </c>
      <c r="C69" s="17" t="inlineStr">
        <is>
          <t>kg</t>
        </is>
      </c>
      <c r="D69" s="23">
        <f>IFERROR(INDEX(cd_Dore_Shipped_kg,rpt_Row),"")</f>
        <v/>
      </c>
      <c r="E69" s="23">
        <f>IFERROR(INDEX(cd_Dore_Shipped_kg_MTD,rpt_Row),"")</f>
        <v/>
      </c>
      <c r="F69" s="21" t="n"/>
      <c r="G69" s="21" t="n"/>
      <c r="H69" s="23">
        <f>IFERROR(INDEX(cd_Dore_Shipped_kg_YTD,rpt_Row),"")</f>
        <v/>
      </c>
      <c r="I69" s="21" t="n"/>
      <c r="J69" s="21" t="n"/>
    </row>
    <row r="70">
      <c r="B70" s="12">
        <f>IF(cfg_FeedCheck="OK","",cfg_FeedCheck&amp;" (Config): the plant feed deduction below is wrong until this is fixed")</f>
        <v/>
      </c>
    </row>
    <row r="71">
      <c r="B71" s="14" t="inlineStr">
        <is>
          <t>STOCKPILES (to report date)</t>
        </is>
      </c>
      <c r="C71" s="15" t="inlineStr"/>
      <c r="D71" s="15" t="inlineStr">
        <is>
          <t>Opening t</t>
        </is>
      </c>
      <c r="E71" s="15" t="inlineStr">
        <is>
          <t>Opening g/t</t>
        </is>
      </c>
      <c r="F71" s="15" t="inlineStr">
        <is>
          <t>In t</t>
        </is>
      </c>
      <c r="G71" s="15" t="inlineStr">
        <is>
          <t>Out t</t>
        </is>
      </c>
      <c r="H71" s="15" t="inlineStr">
        <is>
          <t>Plant feed t</t>
        </is>
      </c>
      <c r="I71" s="15" t="inlineStr">
        <is>
          <t>Balance t</t>
        </is>
      </c>
      <c r="J71" s="15" t="inlineStr">
        <is>
          <t>Balance g/t</t>
        </is>
      </c>
    </row>
    <row r="72">
      <c r="B72" s="26">
        <f>IF(OR(NOT(ISNUMBER(rpt_Row)),INDEX(tblStockpiles[Stockpile],1)=""),"",INDEX(tblStockpiles[Stockpile],1))</f>
        <v/>
      </c>
      <c r="C72" s="26" t="n"/>
      <c r="D72" s="27">
        <f>IF(OR(NOT(ISNUMBER(rpt_Row)),INDEX(tblStockpiles[Stockpile],1)=""),"",INDEX(tblStockpiles[Opening_t],1))</f>
        <v/>
      </c>
      <c r="E72" s="28">
        <f>IF(OR(NOT(ISNUMBER(rpt_Row)),INDEX(tblStockpiles[Stockpile],1)=""),"",INDEX(tblStockpiles[Opening_gpt],1))</f>
        <v/>
      </c>
      <c r="F72" s="27">
        <f>IF(OR(NOT(ISNUMBER(rpt_Row)),INDEX(tblStockpiles[Stockpile],1)=""),"",SUMIFS(tblMovement[Tonnes_t],tblMovement[Destination],INDEX(tblStockpiles[Stockpile],1),tblMovement[Date],"&gt;="&amp;MAX(cfg_YearStart,N(INDEX(tblStockpiles[Survey_Date],1))),tblMovement[Date],"&lt;="&amp;rpt_Date))</f>
        <v/>
      </c>
      <c r="G72" s="27">
        <f>IF(OR(NOT(ISNUMBER(rpt_Row)),INDEX(tblStockpiles[Stockpile],1)=""),"",SUMIFS(tblMovement[Tonnes_t],tblMovement[Source],INDEX(tblStockpiles[Stockpile],1),tblMovement[Date],"&gt;="&amp;MAX(cfg_YearStart,N(INDEX(tblStockpiles[Survey_Date],1))),tblMovement[Date],"&lt;="&amp;rpt_Date))</f>
        <v/>
      </c>
      <c r="H72" s="27">
        <f>IF(OR(NOT(ISNUMBER(rpt_Row)),INDEX(tblStockpiles[Stockpile],1)=""),"",IF(INDEX(tblStockpiles[Plant_Feed],1)="Y",SUMIFS(tblPlant[Milled_t],tblPlant[Date],"&gt;="&amp;MAX(cfg_YearStart,N(INDEX(tblStockpiles[Survey_Date],1))),tblPlant[Date],"&lt;="&amp;rpt_Date)-SUMIFS(tblMovement[Tonnes_t],tblMovement[Dest_Type],"Plant",tblMovement[Date],"&gt;="&amp;MAX(cfg_YearStart,N(INDEX(tblStockpiles[Survey_Date],1))),tblMovement[Date],"&lt;="&amp;rpt_Date),0))</f>
        <v/>
      </c>
      <c r="I72" s="27">
        <f>IF($B72="","",D72+F72-G72-H72)</f>
        <v/>
      </c>
      <c r="J72" s="28">
        <f>IFERROR(IF(AND($B72&lt;&gt;"",I72&gt;0),(D72*E72/cfg_TroyOz+SUMIFS(tblMovement[Contained_oz],tblMovement[Destination],INDEX(tblStockpiles[Stockpile],1),tblMovement[Date],"&gt;="&amp;MAX(cfg_YearStart,N(INDEX(tblStockpiles[Survey_Date],1))),tblMovement[Date],"&lt;="&amp;rpt_Date)-SUMIFS(tblMovement[Contained_oz],tblMovement[Source],INDEX(tblStockpiles[Stockpile],1),tblMovement[Date],"&gt;="&amp;MAX(cfg_YearStart,N(INDEX(tblStockpiles[Survey_Date],1))),tblMovement[Date],"&lt;="&amp;rpt_Date)-IF(INDEX(tblStockpiles[Plant_Feed],1)="Y",SUMIFS(tblPlant[Feed_oz],tblPlant[Date],"&gt;="&amp;MAX(cfg_YearStart,N(INDEX(tblStockpiles[Survey_Date],1))),tblPlant[Date],"&lt;="&amp;rpt_Date)-SUMIFS(tblMovement[Contained_oz],tblMovement[Dest_Type],"Plant",tblMovement[Date],"&gt;="&amp;MAX(cfg_YearStart,N(INDEX(tblStockpiles[Survey_Date],1))),tblMovement[Date],"&lt;="&amp;rpt_Date),0))*cfg_TroyOz/I72,""),"")</f>
        <v/>
      </c>
    </row>
    <row r="73">
      <c r="B73" s="26">
        <f>IF(OR(NOT(ISNUMBER(rpt_Row)),INDEX(tblStockpiles[Stockpile],2)=""),"",INDEX(tblStockpiles[Stockpile],2))</f>
        <v/>
      </c>
      <c r="C73" s="26" t="n"/>
      <c r="D73" s="27">
        <f>IF(OR(NOT(ISNUMBER(rpt_Row)),INDEX(tblStockpiles[Stockpile],2)=""),"",INDEX(tblStockpiles[Opening_t],2))</f>
        <v/>
      </c>
      <c r="E73" s="28">
        <f>IF(OR(NOT(ISNUMBER(rpt_Row)),INDEX(tblStockpiles[Stockpile],2)=""),"",INDEX(tblStockpiles[Opening_gpt],2))</f>
        <v/>
      </c>
      <c r="F73" s="27">
        <f>IF(OR(NOT(ISNUMBER(rpt_Row)),INDEX(tblStockpiles[Stockpile],2)=""),"",SUMIFS(tblMovement[Tonnes_t],tblMovement[Destination],INDEX(tblStockpiles[Stockpile],2),tblMovement[Date],"&gt;="&amp;MAX(cfg_YearStart,N(INDEX(tblStockpiles[Survey_Date],2))),tblMovement[Date],"&lt;="&amp;rpt_Date))</f>
        <v/>
      </c>
      <c r="G73" s="27">
        <f>IF(OR(NOT(ISNUMBER(rpt_Row)),INDEX(tblStockpiles[Stockpile],2)=""),"",SUMIFS(tblMovement[Tonnes_t],tblMovement[Source],INDEX(tblStockpiles[Stockpile],2),tblMovement[Date],"&gt;="&amp;MAX(cfg_YearStart,N(INDEX(tblStockpiles[Survey_Date],2))),tblMovement[Date],"&lt;="&amp;rpt_Date))</f>
        <v/>
      </c>
      <c r="H73" s="27">
        <f>IF(OR(NOT(ISNUMBER(rpt_Row)),INDEX(tblStockpiles[Stockpile],2)=""),"",IF(INDEX(tblStockpiles[Plant_Feed],2)="Y",SUMIFS(tblPlant[Milled_t],tblPlant[Date],"&gt;="&amp;MAX(cfg_YearStart,N(INDEX(tblStockpiles[Survey_Date],2))),tblPlant[Date],"&lt;="&amp;rpt_Date)-SUMIFS(tblMovement[Tonnes_t],tblMovement[Dest_Type],"Plant",tblMovement[Date],"&gt;="&amp;MAX(cfg_YearStart,N(INDEX(tblStockpiles[Survey_Date],2))),tblMovement[Date],"&lt;="&amp;rpt_Date),0))</f>
        <v/>
      </c>
      <c r="I73" s="27">
        <f>IF($B73="","",D73+F73-G73-H73)</f>
        <v/>
      </c>
      <c r="J73" s="28">
        <f>IFERROR(IF(AND($B73&lt;&gt;"",I73&gt;0),(D73*E73/cfg_TroyOz+SUMIFS(tblMovement[Contained_oz],tblMovement[Destination],INDEX(tblStockpiles[Stockpile],2),tblMovement[Date],"&gt;="&amp;MAX(cfg_YearStart,N(INDEX(tblStockpiles[Survey_Date],2))),tblMovement[Date],"&lt;="&amp;rpt_Date)-SUMIFS(tblMovement[Contained_oz],tblMovement[Source],INDEX(tblStockpiles[Stockpile],2),tblMovement[Date],"&gt;="&amp;MAX(cfg_YearStart,N(INDEX(tblStockpiles[Survey_Date],2))),tblMovement[Date],"&lt;="&amp;rpt_Date)-IF(INDEX(tblStockpiles[Plant_Feed],2)="Y",SUMIFS(tblPlant[Feed_oz],tblPlant[Date],"&gt;="&amp;MAX(cfg_YearStart,N(INDEX(tblStockpiles[Survey_Date],2))),tblPlant[Date],"&lt;="&amp;rpt_Date)-SUMIFS(tblMovement[Contained_oz],tblMovement[Dest_Type],"Plant",tblMovement[Date],"&gt;="&amp;MAX(cfg_YearStart,N(INDEX(tblStockpiles[Survey_Date],2))),tblMovement[Date],"&lt;="&amp;rpt_Date),0))*cfg_TroyOz/I73,""),"")</f>
        <v/>
      </c>
    </row>
    <row r="74">
      <c r="B74" s="26">
        <f>IF(OR(NOT(ISNUMBER(rpt_Row)),INDEX(tblStockpiles[Stockpile],3)=""),"",INDEX(tblStockpiles[Stockpile],3))</f>
        <v/>
      </c>
      <c r="C74" s="26" t="n"/>
      <c r="D74" s="27">
        <f>IF(OR(NOT(ISNUMBER(rpt_Row)),INDEX(tblStockpiles[Stockpile],3)=""),"",INDEX(tblStockpiles[Opening_t],3))</f>
        <v/>
      </c>
      <c r="E74" s="28">
        <f>IF(OR(NOT(ISNUMBER(rpt_Row)),INDEX(tblStockpiles[Stockpile],3)=""),"",INDEX(tblStockpiles[Opening_gpt],3))</f>
        <v/>
      </c>
      <c r="F74" s="27">
        <f>IF(OR(NOT(ISNUMBER(rpt_Row)),INDEX(tblStockpiles[Stockpile],3)=""),"",SUMIFS(tblMovement[Tonnes_t],tblMovement[Destination],INDEX(tblStockpiles[Stockpile],3),tblMovement[Date],"&gt;="&amp;MAX(cfg_YearStart,N(INDEX(tblStockpiles[Survey_Date],3))),tblMovement[Date],"&lt;="&amp;rpt_Date))</f>
        <v/>
      </c>
      <c r="G74" s="27">
        <f>IF(OR(NOT(ISNUMBER(rpt_Row)),INDEX(tblStockpiles[Stockpile],3)=""),"",SUMIFS(tblMovement[Tonnes_t],tblMovement[Source],INDEX(tblStockpiles[Stockpile],3),tblMovement[Date],"&gt;="&amp;MAX(cfg_YearStart,N(INDEX(tblStockpiles[Survey_Date],3))),tblMovement[Date],"&lt;="&amp;rpt_Date))</f>
        <v/>
      </c>
      <c r="H74" s="27">
        <f>IF(OR(NOT(ISNUMBER(rpt_Row)),INDEX(tblStockpiles[Stockpile],3)=""),"",IF(INDEX(tblStockpiles[Plant_Feed],3)="Y",SUMIFS(tblPlant[Milled_t],tblPlant[Date],"&gt;="&amp;MAX(cfg_YearStart,N(INDEX(tblStockpiles[Survey_Date],3))),tblPlant[Date],"&lt;="&amp;rpt_Date)-SUMIFS(tblMovement[Tonnes_t],tblMovement[Dest_Type],"Plant",tblMovement[Date],"&gt;="&amp;MAX(cfg_YearStart,N(INDEX(tblStockpiles[Survey_Date],3))),tblMovement[Date],"&lt;="&amp;rpt_Date),0))</f>
        <v/>
      </c>
      <c r="I74" s="27">
        <f>IF($B74="","",D74+F74-G74-H74)</f>
        <v/>
      </c>
      <c r="J74" s="28">
        <f>IFERROR(IF(AND($B74&lt;&gt;"",I74&gt;0),(D74*E74/cfg_TroyOz+SUMIFS(tblMovement[Contained_oz],tblMovement[Destination],INDEX(tblStockpiles[Stockpile],3),tblMovement[Date],"&gt;="&amp;MAX(cfg_YearStart,N(INDEX(tblStockpiles[Survey_Date],3))),tblMovement[Date],"&lt;="&amp;rpt_Date)-SUMIFS(tblMovement[Contained_oz],tblMovement[Source],INDEX(tblStockpiles[Stockpile],3),tblMovement[Date],"&gt;="&amp;MAX(cfg_YearStart,N(INDEX(tblStockpiles[Survey_Date],3))),tblMovement[Date],"&lt;="&amp;rpt_Date)-IF(INDEX(tblStockpiles[Plant_Feed],3)="Y",SUMIFS(tblPlant[Feed_oz],tblPlant[Date],"&gt;="&amp;MAX(cfg_YearStart,N(INDEX(tblStockpiles[Survey_Date],3))),tblPlant[Date],"&lt;="&amp;rpt_Date)-SUMIFS(tblMovement[Contained_oz],tblMovement[Dest_Type],"Plant",tblMovement[Date],"&gt;="&amp;MAX(cfg_YearStart,N(INDEX(tblStockpiles[Survey_Date],3))),tblMovement[Date],"&lt;="&amp;rpt_Date),0))*cfg_TroyOz/I74,""),"")</f>
        <v/>
      </c>
    </row>
    <row r="75">
      <c r="B75" s="26">
        <f>IF(OR(NOT(ISNUMBER(rpt_Row)),INDEX(tblStockpiles[Stockpile],4)=""),"",INDEX(tblStockpiles[Stockpile],4))</f>
        <v/>
      </c>
      <c r="C75" s="26" t="n"/>
      <c r="D75" s="27">
        <f>IF(OR(NOT(ISNUMBER(rpt_Row)),INDEX(tblStockpiles[Stockpile],4)=""),"",INDEX(tblStockpiles[Opening_t],4))</f>
        <v/>
      </c>
      <c r="E75" s="28">
        <f>IF(OR(NOT(ISNUMBER(rpt_Row)),INDEX(tblStockpiles[Stockpile],4)=""),"",INDEX(tblStockpiles[Opening_gpt],4))</f>
        <v/>
      </c>
      <c r="F75" s="27">
        <f>IF(OR(NOT(ISNUMBER(rpt_Row)),INDEX(tblStockpiles[Stockpile],4)=""),"",SUMIFS(tblMovement[Tonnes_t],tblMovement[Destination],INDEX(tblStockpiles[Stockpile],4),tblMovement[Date],"&gt;="&amp;MAX(cfg_YearStart,N(INDEX(tblStockpiles[Survey_Date],4))),tblMovement[Date],"&lt;="&amp;rpt_Date))</f>
        <v/>
      </c>
      <c r="G75" s="27">
        <f>IF(OR(NOT(ISNUMBER(rpt_Row)),INDEX(tblStockpiles[Stockpile],4)=""),"",SUMIFS(tblMovement[Tonnes_t],tblMovement[Source],INDEX(tblStockpiles[Stockpile],4),tblMovement[Date],"&gt;="&amp;MAX(cfg_YearStart,N(INDEX(tblStockpiles[Survey_Date],4))),tblMovement[Date],"&lt;="&amp;rpt_Date))</f>
        <v/>
      </c>
      <c r="H75" s="27">
        <f>IF(OR(NOT(ISNUMBER(rpt_Row)),INDEX(tblStockpiles[Stockpile],4)=""),"",IF(INDEX(tblStockpiles[Plant_Feed],4)="Y",SUMIFS(tblPlant[Milled_t],tblPlant[Date],"&gt;="&amp;MAX(cfg_YearStart,N(INDEX(tblStockpiles[Survey_Date],4))),tblPlant[Date],"&lt;="&amp;rpt_Date)-SUMIFS(tblMovement[Tonnes_t],tblMovement[Dest_Type],"Plant",tblMovement[Date],"&gt;="&amp;MAX(cfg_YearStart,N(INDEX(tblStockpiles[Survey_Date],4))),tblMovement[Date],"&lt;="&amp;rpt_Date),0))</f>
        <v/>
      </c>
      <c r="I75" s="27">
        <f>IF($B75="","",D75+F75-G75-H75)</f>
        <v/>
      </c>
      <c r="J75" s="28">
        <f>IFERROR(IF(AND($B75&lt;&gt;"",I75&gt;0),(D75*E75/cfg_TroyOz+SUMIFS(tblMovement[Contained_oz],tblMovement[Destination],INDEX(tblStockpiles[Stockpile],4),tblMovement[Date],"&gt;="&amp;MAX(cfg_YearStart,N(INDEX(tblStockpiles[Survey_Date],4))),tblMovement[Date],"&lt;="&amp;rpt_Date)-SUMIFS(tblMovement[Contained_oz],tblMovement[Source],INDEX(tblStockpiles[Stockpile],4),tblMovement[Date],"&gt;="&amp;MAX(cfg_YearStart,N(INDEX(tblStockpiles[Survey_Date],4))),tblMovement[Date],"&lt;="&amp;rpt_Date)-IF(INDEX(tblStockpiles[Plant_Feed],4)="Y",SUMIFS(tblPlant[Feed_oz],tblPlant[Date],"&gt;="&amp;MAX(cfg_YearStart,N(INDEX(tblStockpiles[Survey_Date],4))),tblPlant[Date],"&lt;="&amp;rpt_Date)-SUMIFS(tblMovement[Contained_oz],tblMovement[Dest_Type],"Plant",tblMovement[Date],"&gt;="&amp;MAX(cfg_YearStart,N(INDEX(tblStockpiles[Survey_Date],4))),tblMovement[Date],"&lt;="&amp;rpt_Date),0))*cfg_TroyOz/I75,""),"")</f>
        <v/>
      </c>
    </row>
    <row r="76">
      <c r="B76" s="26">
        <f>IF(OR(NOT(ISNUMBER(rpt_Row)),INDEX(tblStockpiles[Stockpile],5)=""),"",INDEX(tblStockpiles[Stockpile],5))</f>
        <v/>
      </c>
      <c r="C76" s="26" t="n"/>
      <c r="D76" s="27">
        <f>IF(OR(NOT(ISNUMBER(rpt_Row)),INDEX(tblStockpiles[Stockpile],5)=""),"",INDEX(tblStockpiles[Opening_t],5))</f>
        <v/>
      </c>
      <c r="E76" s="28">
        <f>IF(OR(NOT(ISNUMBER(rpt_Row)),INDEX(tblStockpiles[Stockpile],5)=""),"",INDEX(tblStockpiles[Opening_gpt],5))</f>
        <v/>
      </c>
      <c r="F76" s="27">
        <f>IF(OR(NOT(ISNUMBER(rpt_Row)),INDEX(tblStockpiles[Stockpile],5)=""),"",SUMIFS(tblMovement[Tonnes_t],tblMovement[Destination],INDEX(tblStockpiles[Stockpile],5),tblMovement[Date],"&gt;="&amp;MAX(cfg_YearStart,N(INDEX(tblStockpiles[Survey_Date],5))),tblMovement[Date],"&lt;="&amp;rpt_Date))</f>
        <v/>
      </c>
      <c r="G76" s="27">
        <f>IF(OR(NOT(ISNUMBER(rpt_Row)),INDEX(tblStockpiles[Stockpile],5)=""),"",SUMIFS(tblMovement[Tonnes_t],tblMovement[Source],INDEX(tblStockpiles[Stockpile],5),tblMovement[Date],"&gt;="&amp;MAX(cfg_YearStart,N(INDEX(tblStockpiles[Survey_Date],5))),tblMovement[Date],"&lt;="&amp;rpt_Date))</f>
        <v/>
      </c>
      <c r="H76" s="27">
        <f>IF(OR(NOT(ISNUMBER(rpt_Row)),INDEX(tblStockpiles[Stockpile],5)=""),"",IF(INDEX(tblStockpiles[Plant_Feed],5)="Y",SUMIFS(tblPlant[Milled_t],tblPlant[Date],"&gt;="&amp;MAX(cfg_YearStart,N(INDEX(tblStockpiles[Survey_Date],5))),tblPlant[Date],"&lt;="&amp;rpt_Date)-SUMIFS(tblMovement[Tonnes_t],tblMovement[Dest_Type],"Plant",tblMovement[Date],"&gt;="&amp;MAX(cfg_YearStart,N(INDEX(tblStockpiles[Survey_Date],5))),tblMovement[Date],"&lt;="&amp;rpt_Date),0))</f>
        <v/>
      </c>
      <c r="I76" s="27">
        <f>IF($B76="","",D76+F76-G76-H76)</f>
        <v/>
      </c>
      <c r="J76" s="28">
        <f>IFERROR(IF(AND($B76&lt;&gt;"",I76&gt;0),(D76*E76/cfg_TroyOz+SUMIFS(tblMovement[Contained_oz],tblMovement[Destination],INDEX(tblStockpiles[Stockpile],5),tblMovement[Date],"&gt;="&amp;MAX(cfg_YearStart,N(INDEX(tblStockpiles[Survey_Date],5))),tblMovement[Date],"&lt;="&amp;rpt_Date)-SUMIFS(tblMovement[Contained_oz],tblMovement[Source],INDEX(tblStockpiles[Stockpile],5),tblMovement[Date],"&gt;="&amp;MAX(cfg_YearStart,N(INDEX(tblStockpiles[Survey_Date],5))),tblMovement[Date],"&lt;="&amp;rpt_Date)-IF(INDEX(tblStockpiles[Plant_Feed],5)="Y",SUMIFS(tblPlant[Feed_oz],tblPlant[Date],"&gt;="&amp;MAX(cfg_YearStart,N(INDEX(tblStockpiles[Survey_Date],5))),tblPlant[Date],"&lt;="&amp;rpt_Date)-SUMIFS(tblMovement[Contained_oz],tblMovement[Dest_Type],"Plant",tblMovement[Date],"&gt;="&amp;MAX(cfg_YearStart,N(INDEX(tblStockpiles[Survey_Date],5))),tblMovement[Date],"&lt;="&amp;rpt_Date),0))*cfg_TroyOz/I76,""),"")</f>
        <v/>
      </c>
    </row>
    <row r="77">
      <c r="B77" s="26">
        <f>IF(OR(NOT(ISNUMBER(rpt_Row)),INDEX(tblStockpiles[Stockpile],6)=""),"",INDEX(tblStockpiles[Stockpile],6))</f>
        <v/>
      </c>
      <c r="C77" s="26" t="n"/>
      <c r="D77" s="27">
        <f>IF(OR(NOT(ISNUMBER(rpt_Row)),INDEX(tblStockpiles[Stockpile],6)=""),"",INDEX(tblStockpiles[Opening_t],6))</f>
        <v/>
      </c>
      <c r="E77" s="28">
        <f>IF(OR(NOT(ISNUMBER(rpt_Row)),INDEX(tblStockpiles[Stockpile],6)=""),"",INDEX(tblStockpiles[Opening_gpt],6))</f>
        <v/>
      </c>
      <c r="F77" s="27">
        <f>IF(OR(NOT(ISNUMBER(rpt_Row)),INDEX(tblStockpiles[Stockpile],6)=""),"",SUMIFS(tblMovement[Tonnes_t],tblMovement[Destination],INDEX(tblStockpiles[Stockpile],6),tblMovement[Date],"&gt;="&amp;MAX(cfg_YearStart,N(INDEX(tblStockpiles[Survey_Date],6))),tblMovement[Date],"&lt;="&amp;rpt_Date))</f>
        <v/>
      </c>
      <c r="G77" s="27">
        <f>IF(OR(NOT(ISNUMBER(rpt_Row)),INDEX(tblStockpiles[Stockpile],6)=""),"",SUMIFS(tblMovement[Tonnes_t],tblMovement[Source],INDEX(tblStockpiles[Stockpile],6),tblMovement[Date],"&gt;="&amp;MAX(cfg_YearStart,N(INDEX(tblStockpiles[Survey_Date],6))),tblMovement[Date],"&lt;="&amp;rpt_Date))</f>
        <v/>
      </c>
      <c r="H77" s="27">
        <f>IF(OR(NOT(ISNUMBER(rpt_Row)),INDEX(tblStockpiles[Stockpile],6)=""),"",IF(INDEX(tblStockpiles[Plant_Feed],6)="Y",SUMIFS(tblPlant[Milled_t],tblPlant[Date],"&gt;="&amp;MAX(cfg_YearStart,N(INDEX(tblStockpiles[Survey_Date],6))),tblPlant[Date],"&lt;="&amp;rpt_Date)-SUMIFS(tblMovement[Tonnes_t],tblMovement[Dest_Type],"Plant",tblMovement[Date],"&gt;="&amp;MAX(cfg_YearStart,N(INDEX(tblStockpiles[Survey_Date],6))),tblMovement[Date],"&lt;="&amp;rpt_Date),0))</f>
        <v/>
      </c>
      <c r="I77" s="27">
        <f>IF($B77="","",D77+F77-G77-H77)</f>
        <v/>
      </c>
      <c r="J77" s="28">
        <f>IFERROR(IF(AND($B77&lt;&gt;"",I77&gt;0),(D77*E77/cfg_TroyOz+SUMIFS(tblMovement[Contained_oz],tblMovement[Destination],INDEX(tblStockpiles[Stockpile],6),tblMovement[Date],"&gt;="&amp;MAX(cfg_YearStart,N(INDEX(tblStockpiles[Survey_Date],6))),tblMovement[Date],"&lt;="&amp;rpt_Date)-SUMIFS(tblMovement[Contained_oz],tblMovement[Source],INDEX(tblStockpiles[Stockpile],6),tblMovement[Date],"&gt;="&amp;MAX(cfg_YearStart,N(INDEX(tblStockpiles[Survey_Date],6))),tblMovement[Date],"&lt;="&amp;rpt_Date)-IF(INDEX(tblStockpiles[Plant_Feed],6)="Y",SUMIFS(tblPlant[Feed_oz],tblPlant[Date],"&gt;="&amp;MAX(cfg_YearStart,N(INDEX(tblStockpiles[Survey_Date],6))),tblPlant[Date],"&lt;="&amp;rpt_Date)-SUMIFS(tblMovement[Contained_oz],tblMovement[Dest_Type],"Plant",tblMovement[Date],"&gt;="&amp;MAX(cfg_YearStart,N(INDEX(tblStockpiles[Survey_Date],6))),tblMovement[Date],"&lt;="&amp;rpt_Date),0))*cfg_TroyOz/I77,""),"")</f>
        <v/>
      </c>
    </row>
    <row r="78">
      <c r="B78" s="26">
        <f>IF(OR(NOT(ISNUMBER(rpt_Row)),INDEX(tblStockpiles[Stockpile],7)=""),"",INDEX(tblStockpiles[Stockpile],7))</f>
        <v/>
      </c>
      <c r="C78" s="26" t="n"/>
      <c r="D78" s="27">
        <f>IF(OR(NOT(ISNUMBER(rpt_Row)),INDEX(tblStockpiles[Stockpile],7)=""),"",INDEX(tblStockpiles[Opening_t],7))</f>
        <v/>
      </c>
      <c r="E78" s="28">
        <f>IF(OR(NOT(ISNUMBER(rpt_Row)),INDEX(tblStockpiles[Stockpile],7)=""),"",INDEX(tblStockpiles[Opening_gpt],7))</f>
        <v/>
      </c>
      <c r="F78" s="27">
        <f>IF(OR(NOT(ISNUMBER(rpt_Row)),INDEX(tblStockpiles[Stockpile],7)=""),"",SUMIFS(tblMovement[Tonnes_t],tblMovement[Destination],INDEX(tblStockpiles[Stockpile],7),tblMovement[Date],"&gt;="&amp;MAX(cfg_YearStart,N(INDEX(tblStockpiles[Survey_Date],7))),tblMovement[Date],"&lt;="&amp;rpt_Date))</f>
        <v/>
      </c>
      <c r="G78" s="27">
        <f>IF(OR(NOT(ISNUMBER(rpt_Row)),INDEX(tblStockpiles[Stockpile],7)=""),"",SUMIFS(tblMovement[Tonnes_t],tblMovement[Source],INDEX(tblStockpiles[Stockpile],7),tblMovement[Date],"&gt;="&amp;MAX(cfg_YearStart,N(INDEX(tblStockpiles[Survey_Date],7))),tblMovement[Date],"&lt;="&amp;rpt_Date))</f>
        <v/>
      </c>
      <c r="H78" s="27">
        <f>IF(OR(NOT(ISNUMBER(rpt_Row)),INDEX(tblStockpiles[Stockpile],7)=""),"",IF(INDEX(tblStockpiles[Plant_Feed],7)="Y",SUMIFS(tblPlant[Milled_t],tblPlant[Date],"&gt;="&amp;MAX(cfg_YearStart,N(INDEX(tblStockpiles[Survey_Date],7))),tblPlant[Date],"&lt;="&amp;rpt_Date)-SUMIFS(tblMovement[Tonnes_t],tblMovement[Dest_Type],"Plant",tblMovement[Date],"&gt;="&amp;MAX(cfg_YearStart,N(INDEX(tblStockpiles[Survey_Date],7))),tblMovement[Date],"&lt;="&amp;rpt_Date),0))</f>
        <v/>
      </c>
      <c r="I78" s="27">
        <f>IF($B78="","",D78+F78-G78-H78)</f>
        <v/>
      </c>
      <c r="J78" s="28">
        <f>IFERROR(IF(AND($B78&lt;&gt;"",I78&gt;0),(D78*E78/cfg_TroyOz+SUMIFS(tblMovement[Contained_oz],tblMovement[Destination],INDEX(tblStockpiles[Stockpile],7),tblMovement[Date],"&gt;="&amp;MAX(cfg_YearStart,N(INDEX(tblStockpiles[Survey_Date],7))),tblMovement[Date],"&lt;="&amp;rpt_Date)-SUMIFS(tblMovement[Contained_oz],tblMovement[Source],INDEX(tblStockpiles[Stockpile],7),tblMovement[Date],"&gt;="&amp;MAX(cfg_YearStart,N(INDEX(tblStockpiles[Survey_Date],7))),tblMovement[Date],"&lt;="&amp;rpt_Date)-IF(INDEX(tblStockpiles[Plant_Feed],7)="Y",SUMIFS(tblPlant[Feed_oz],tblPlant[Date],"&gt;="&amp;MAX(cfg_YearStart,N(INDEX(tblStockpiles[Survey_Date],7))),tblPlant[Date],"&lt;="&amp;rpt_Date)-SUMIFS(tblMovement[Contained_oz],tblMovement[Dest_Type],"Plant",tblMovement[Date],"&gt;="&amp;MAX(cfg_YearStart,N(INDEX(tblStockpiles[Survey_Date],7))),tblMovement[Date],"&lt;="&amp;rpt_Date),0))*cfg_TroyOz/I78,""),"")</f>
        <v/>
      </c>
    </row>
    <row r="79">
      <c r="B79" s="26">
        <f>IF(OR(NOT(ISNUMBER(rpt_Row)),INDEX(tblStockpiles[Stockpile],8)=""),"",INDEX(tblStockpiles[Stockpile],8))</f>
        <v/>
      </c>
      <c r="C79" s="26" t="n"/>
      <c r="D79" s="27">
        <f>IF(OR(NOT(ISNUMBER(rpt_Row)),INDEX(tblStockpiles[Stockpile],8)=""),"",INDEX(tblStockpiles[Opening_t],8))</f>
        <v/>
      </c>
      <c r="E79" s="28">
        <f>IF(OR(NOT(ISNUMBER(rpt_Row)),INDEX(tblStockpiles[Stockpile],8)=""),"",INDEX(tblStockpiles[Opening_gpt],8))</f>
        <v/>
      </c>
      <c r="F79" s="27">
        <f>IF(OR(NOT(ISNUMBER(rpt_Row)),INDEX(tblStockpiles[Stockpile],8)=""),"",SUMIFS(tblMovement[Tonnes_t],tblMovement[Destination],INDEX(tblStockpiles[Stockpile],8),tblMovement[Date],"&gt;="&amp;MAX(cfg_YearStart,N(INDEX(tblStockpiles[Survey_Date],8))),tblMovement[Date],"&lt;="&amp;rpt_Date))</f>
        <v/>
      </c>
      <c r="G79" s="27">
        <f>IF(OR(NOT(ISNUMBER(rpt_Row)),INDEX(tblStockpiles[Stockpile],8)=""),"",SUMIFS(tblMovement[Tonnes_t],tblMovement[Source],INDEX(tblStockpiles[Stockpile],8),tblMovement[Date],"&gt;="&amp;MAX(cfg_YearStart,N(INDEX(tblStockpiles[Survey_Date],8))),tblMovement[Date],"&lt;="&amp;rpt_Date))</f>
        <v/>
      </c>
      <c r="H79" s="27">
        <f>IF(OR(NOT(ISNUMBER(rpt_Row)),INDEX(tblStockpiles[Stockpile],8)=""),"",IF(INDEX(tblStockpiles[Plant_Feed],8)="Y",SUMIFS(tblPlant[Milled_t],tblPlant[Date],"&gt;="&amp;MAX(cfg_YearStart,N(INDEX(tblStockpiles[Survey_Date],8))),tblPlant[Date],"&lt;="&amp;rpt_Date)-SUMIFS(tblMovement[Tonnes_t],tblMovement[Dest_Type],"Plant",tblMovement[Date],"&gt;="&amp;MAX(cfg_YearStart,N(INDEX(tblStockpiles[Survey_Date],8))),tblMovement[Date],"&lt;="&amp;rpt_Date),0))</f>
        <v/>
      </c>
      <c r="I79" s="27">
        <f>IF($B79="","",D79+F79-G79-H79)</f>
        <v/>
      </c>
      <c r="J79" s="28">
        <f>IFERROR(IF(AND($B79&lt;&gt;"",I79&gt;0),(D79*E79/cfg_TroyOz+SUMIFS(tblMovement[Contained_oz],tblMovement[Destination],INDEX(tblStockpiles[Stockpile],8),tblMovement[Date],"&gt;="&amp;MAX(cfg_YearStart,N(INDEX(tblStockpiles[Survey_Date],8))),tblMovement[Date],"&lt;="&amp;rpt_Date)-SUMIFS(tblMovement[Contained_oz],tblMovement[Source],INDEX(tblStockpiles[Stockpile],8),tblMovement[Date],"&gt;="&amp;MAX(cfg_YearStart,N(INDEX(tblStockpiles[Survey_Date],8))),tblMovement[Date],"&lt;="&amp;rpt_Date)-IF(INDEX(tblStockpiles[Plant_Feed],8)="Y",SUMIFS(tblPlant[Feed_oz],tblPlant[Date],"&gt;="&amp;MAX(cfg_YearStart,N(INDEX(tblStockpiles[Survey_Date],8))),tblPlant[Date],"&lt;="&amp;rpt_Date)-SUMIFS(tblMovement[Contained_oz],tblMovement[Dest_Type],"Plant",tblMovement[Date],"&gt;="&amp;MAX(cfg_YearStart,N(INDEX(tblStockpiles[Survey_Date],8))),tblMovement[Date],"&lt;="&amp;rpt_Date),0))*cfg_TroyOz/I79,""),"")</f>
        <v/>
      </c>
    </row>
    <row r="80">
      <c r="B80" s="26">
        <f>IF(OR(NOT(ISNUMBER(rpt_Row)),INDEX(tblStockpiles[Stockpile],9)=""),"",INDEX(tblStockpiles[Stockpile],9))</f>
        <v/>
      </c>
      <c r="C80" s="26" t="n"/>
      <c r="D80" s="27">
        <f>IF(OR(NOT(ISNUMBER(rpt_Row)),INDEX(tblStockpiles[Stockpile],9)=""),"",INDEX(tblStockpiles[Opening_t],9))</f>
        <v/>
      </c>
      <c r="E80" s="28">
        <f>IF(OR(NOT(ISNUMBER(rpt_Row)),INDEX(tblStockpiles[Stockpile],9)=""),"",INDEX(tblStockpiles[Opening_gpt],9))</f>
        <v/>
      </c>
      <c r="F80" s="27">
        <f>IF(OR(NOT(ISNUMBER(rpt_Row)),INDEX(tblStockpiles[Stockpile],9)=""),"",SUMIFS(tblMovement[Tonnes_t],tblMovement[Destination],INDEX(tblStockpiles[Stockpile],9),tblMovement[Date],"&gt;="&amp;MAX(cfg_YearStart,N(INDEX(tblStockpiles[Survey_Date],9))),tblMovement[Date],"&lt;="&amp;rpt_Date))</f>
        <v/>
      </c>
      <c r="G80" s="27">
        <f>IF(OR(NOT(ISNUMBER(rpt_Row)),INDEX(tblStockpiles[Stockpile],9)=""),"",SUMIFS(tblMovement[Tonnes_t],tblMovement[Source],INDEX(tblStockpiles[Stockpile],9),tblMovement[Date],"&gt;="&amp;MAX(cfg_YearStart,N(INDEX(tblStockpiles[Survey_Date],9))),tblMovement[Date],"&lt;="&amp;rpt_Date))</f>
        <v/>
      </c>
      <c r="H80" s="27">
        <f>IF(OR(NOT(ISNUMBER(rpt_Row)),INDEX(tblStockpiles[Stockpile],9)=""),"",IF(INDEX(tblStockpiles[Plant_Feed],9)="Y",SUMIFS(tblPlant[Milled_t],tblPlant[Date],"&gt;="&amp;MAX(cfg_YearStart,N(INDEX(tblStockpiles[Survey_Date],9))),tblPlant[Date],"&lt;="&amp;rpt_Date)-SUMIFS(tblMovement[Tonnes_t],tblMovement[Dest_Type],"Plant",tblMovement[Date],"&gt;="&amp;MAX(cfg_YearStart,N(INDEX(tblStockpiles[Survey_Date],9))),tblMovement[Date],"&lt;="&amp;rpt_Date),0))</f>
        <v/>
      </c>
      <c r="I80" s="27">
        <f>IF($B80="","",D80+F80-G80-H80)</f>
        <v/>
      </c>
      <c r="J80" s="28">
        <f>IFERROR(IF(AND($B80&lt;&gt;"",I80&gt;0),(D80*E80/cfg_TroyOz+SUMIFS(tblMovement[Contained_oz],tblMovement[Destination],INDEX(tblStockpiles[Stockpile],9),tblMovement[Date],"&gt;="&amp;MAX(cfg_YearStart,N(INDEX(tblStockpiles[Survey_Date],9))),tblMovement[Date],"&lt;="&amp;rpt_Date)-SUMIFS(tblMovement[Contained_oz],tblMovement[Source],INDEX(tblStockpiles[Stockpile],9),tblMovement[Date],"&gt;="&amp;MAX(cfg_YearStart,N(INDEX(tblStockpiles[Survey_Date],9))),tblMovement[Date],"&lt;="&amp;rpt_Date)-IF(INDEX(tblStockpiles[Plant_Feed],9)="Y",SUMIFS(tblPlant[Feed_oz],tblPlant[Date],"&gt;="&amp;MAX(cfg_YearStart,N(INDEX(tblStockpiles[Survey_Date],9))),tblPlant[Date],"&lt;="&amp;rpt_Date)-SUMIFS(tblMovement[Contained_oz],tblMovement[Dest_Type],"Plant",tblMovement[Date],"&gt;="&amp;MAX(cfg_YearStart,N(INDEX(tblStockpiles[Survey_Date],9))),tblMovement[Date],"&lt;="&amp;rpt_Date),0))*cfg_TroyOz/I80,""),"")</f>
        <v/>
      </c>
    </row>
    <row r="81">
      <c r="B81" s="26">
        <f>IF(OR(NOT(ISNUMBER(rpt_Row)),INDEX(tblStockpiles[Stockpile],10)=""),"",INDEX(tblStockpiles[Stockpile],10))</f>
        <v/>
      </c>
      <c r="C81" s="26" t="n"/>
      <c r="D81" s="27">
        <f>IF(OR(NOT(ISNUMBER(rpt_Row)),INDEX(tblStockpiles[Stockpile],10)=""),"",INDEX(tblStockpiles[Opening_t],10))</f>
        <v/>
      </c>
      <c r="E81" s="28">
        <f>IF(OR(NOT(ISNUMBER(rpt_Row)),INDEX(tblStockpiles[Stockpile],10)=""),"",INDEX(tblStockpiles[Opening_gpt],10))</f>
        <v/>
      </c>
      <c r="F81" s="27">
        <f>IF(OR(NOT(ISNUMBER(rpt_Row)),INDEX(tblStockpiles[Stockpile],10)=""),"",SUMIFS(tblMovement[Tonnes_t],tblMovement[Destination],INDEX(tblStockpiles[Stockpile],10),tblMovement[Date],"&gt;="&amp;MAX(cfg_YearStart,N(INDEX(tblStockpiles[Survey_Date],10))),tblMovement[Date],"&lt;="&amp;rpt_Date))</f>
        <v/>
      </c>
      <c r="G81" s="27">
        <f>IF(OR(NOT(ISNUMBER(rpt_Row)),INDEX(tblStockpiles[Stockpile],10)=""),"",SUMIFS(tblMovement[Tonnes_t],tblMovement[Source],INDEX(tblStockpiles[Stockpile],10),tblMovement[Date],"&gt;="&amp;MAX(cfg_YearStart,N(INDEX(tblStockpiles[Survey_Date],10))),tblMovement[Date],"&lt;="&amp;rpt_Date))</f>
        <v/>
      </c>
      <c r="H81" s="27">
        <f>IF(OR(NOT(ISNUMBER(rpt_Row)),INDEX(tblStockpiles[Stockpile],10)=""),"",IF(INDEX(tblStockpiles[Plant_Feed],10)="Y",SUMIFS(tblPlant[Milled_t],tblPlant[Date],"&gt;="&amp;MAX(cfg_YearStart,N(INDEX(tblStockpiles[Survey_Date],10))),tblPlant[Date],"&lt;="&amp;rpt_Date)-SUMIFS(tblMovement[Tonnes_t],tblMovement[Dest_Type],"Plant",tblMovement[Date],"&gt;="&amp;MAX(cfg_YearStart,N(INDEX(tblStockpiles[Survey_Date],10))),tblMovement[Date],"&lt;="&amp;rpt_Date),0))</f>
        <v/>
      </c>
      <c r="I81" s="27">
        <f>IF($B81="","",D81+F81-G81-H81)</f>
        <v/>
      </c>
      <c r="J81" s="28">
        <f>IFERROR(IF(AND($B81&lt;&gt;"",I81&gt;0),(D81*E81/cfg_TroyOz+SUMIFS(tblMovement[Contained_oz],tblMovement[Destination],INDEX(tblStockpiles[Stockpile],10),tblMovement[Date],"&gt;="&amp;MAX(cfg_YearStart,N(INDEX(tblStockpiles[Survey_Date],10))),tblMovement[Date],"&lt;="&amp;rpt_Date)-SUMIFS(tblMovement[Contained_oz],tblMovement[Source],INDEX(tblStockpiles[Stockpile],10),tblMovement[Date],"&gt;="&amp;MAX(cfg_YearStart,N(INDEX(tblStockpiles[Survey_Date],10))),tblMovement[Date],"&lt;="&amp;rpt_Date)-IF(INDEX(tblStockpiles[Plant_Feed],10)="Y",SUMIFS(tblPlant[Feed_oz],tblPlant[Date],"&gt;="&amp;MAX(cfg_YearStart,N(INDEX(tblStockpiles[Survey_Date],10))),tblPlant[Date],"&lt;="&amp;rpt_Date)-SUMIFS(tblMovement[Contained_oz],tblMovement[Dest_Type],"Plant",tblMovement[Date],"&gt;="&amp;MAX(cfg_YearStart,N(INDEX(tblStockpiles[Survey_Date],10))),tblMovement[Date],"&lt;="&amp;rpt_Date),0))*cfg_TroyOz/I81,""),"")</f>
        <v/>
      </c>
    </row>
    <row r="82"/>
    <row r="83">
      <c r="B83" s="29" t="inlineStr">
        <is>
          <t>COMMENTARY</t>
        </is>
      </c>
      <c r="C83" s="29" t="inlineStr">
        <is>
          <t>Area</t>
        </is>
      </c>
      <c r="D83" s="30" t="n"/>
      <c r="E83" s="30" t="n"/>
      <c r="F83" s="30" t="n"/>
      <c r="G83" s="30" t="n"/>
      <c r="H83" s="30" t="n"/>
      <c r="I83" s="30" t="n"/>
      <c r="J83" s="30" t="n"/>
    </row>
    <row r="84" ht="36" customHeight="1">
      <c r="B84" s="31">
        <f>IFERROR(INDEX(tblCommentary[Area],MATCH(rpt_Date&amp;"|"&amp;1,tblCommentary[Key_Day],0)),"")</f>
        <v/>
      </c>
      <c r="C84" s="32">
        <f>IFERROR(INDEX(tblCommentary[Comment],MATCH(rpt_Date&amp;"|"&amp;1,tblCommentary[Key_Day],0)),"")</f>
        <v/>
      </c>
    </row>
    <row r="85" ht="36" customHeight="1">
      <c r="B85" s="31">
        <f>IFERROR(INDEX(tblCommentary[Area],MATCH(rpt_Date&amp;"|"&amp;2,tblCommentary[Key_Day],0)),"")</f>
        <v/>
      </c>
      <c r="C85" s="32">
        <f>IFERROR(INDEX(tblCommentary[Comment],MATCH(rpt_Date&amp;"|"&amp;2,tblCommentary[Key_Day],0)),"")</f>
        <v/>
      </c>
    </row>
    <row r="86" ht="36" customHeight="1">
      <c r="B86" s="31">
        <f>IFERROR(INDEX(tblCommentary[Area],MATCH(rpt_Date&amp;"|"&amp;3,tblCommentary[Key_Day],0)),"")</f>
        <v/>
      </c>
      <c r="C86" s="32">
        <f>IFERROR(INDEX(tblCommentary[Comment],MATCH(rpt_Date&amp;"|"&amp;3,tblCommentary[Key_Day],0)),"")</f>
        <v/>
      </c>
    </row>
    <row r="87" ht="36" customHeight="1">
      <c r="B87" s="31">
        <f>IFERROR(INDEX(tblCommentary[Area],MATCH(rpt_Date&amp;"|"&amp;4,tblCommentary[Key_Day],0)),"")</f>
        <v/>
      </c>
      <c r="C87" s="32">
        <f>IFERROR(INDEX(tblCommentary[Comment],MATCH(rpt_Date&amp;"|"&amp;4,tblCommentary[Key_Day],0)),"")</f>
        <v/>
      </c>
    </row>
    <row r="88" ht="36" customHeight="1">
      <c r="B88" s="31">
        <f>IFERROR(INDEX(tblCommentary[Area],MATCH(rpt_Date&amp;"|"&amp;5,tblCommentary[Key_Day],0)),"")</f>
        <v/>
      </c>
      <c r="C88" s="32">
        <f>IFERROR(INDEX(tblCommentary[Comment],MATCH(rpt_Date&amp;"|"&amp;5,tblCommentary[Key_Day],0)),"")</f>
        <v/>
      </c>
    </row>
    <row r="89" ht="36" customHeight="1">
      <c r="B89" s="31">
        <f>IFERROR(INDEX(tblCommentary[Area],MATCH(rpt_Date&amp;"|"&amp;6,tblCommentary[Key_Day],0)),"")</f>
        <v/>
      </c>
      <c r="C89" s="32">
        <f>IFERROR(INDEX(tblCommentary[Comment],MATCH(rpt_Date&amp;"|"&amp;6,tblCommentary[Key_Day],0)),"")</f>
        <v/>
      </c>
    </row>
    <row r="90" ht="36" customHeight="1">
      <c r="B90" s="31">
        <f>IFERROR(INDEX(tblCommentary[Area],MATCH(rpt_Date&amp;"|"&amp;7,tblCommentary[Key_Day],0)),"")</f>
        <v/>
      </c>
      <c r="C90" s="32">
        <f>IFERROR(INDEX(tblCommentary[Comment],MATCH(rpt_Date&amp;"|"&amp;7,tblCommentary[Key_Day],0)),"")</f>
        <v/>
      </c>
    </row>
    <row r="91" ht="36" customHeight="1">
      <c r="B91" s="31">
        <f>IFERROR(INDEX(tblCommentary[Area],MATCH(rpt_Date&amp;"|"&amp;8,tblCommentary[Key_Day],0)),"")</f>
        <v/>
      </c>
      <c r="C91" s="32">
        <f>IFERROR(INDEX(tblCommentary[Comment],MATCH(rpt_Date&amp;"|"&amp;8,tblCommentary[Key_Day],0)),"")</f>
        <v/>
      </c>
    </row>
    <row r="92" ht="36" customHeight="1">
      <c r="B92" s="31">
        <f>IFERROR(INDEX(tblCommentary[Area],MATCH(rpt_Date&amp;"|"&amp;9,tblCommentary[Key_Day],0)),"")</f>
        <v/>
      </c>
      <c r="C92" s="32">
        <f>IFERROR(INDEX(tblCommentary[Comment],MATCH(rpt_Date&amp;"|"&amp;9,tblCommentary[Key_Day],0)),"")</f>
        <v/>
      </c>
    </row>
    <row r="93" ht="36" customHeight="1">
      <c r="B93" s="31">
        <f>IFERROR(INDEX(tblCommentary[Area],MATCH(rpt_Date&amp;"|"&amp;10,tblCommentary[Key_Day],0)),"")</f>
        <v/>
      </c>
      <c r="C93" s="32">
        <f>IFERROR(INDEX(tblCommentary[Comment],MATCH(rpt_Date&amp;"|"&amp;10,tblCommentary[Key_Day],0)),"")</f>
        <v/>
      </c>
    </row>
    <row r="94" ht="36" customHeight="1">
      <c r="B94" s="31">
        <f>IFERROR(INDEX(tblCommentary[Area],MATCH(rpt_Date&amp;"|"&amp;11,tblCommentary[Key_Day],0)),"")</f>
        <v/>
      </c>
      <c r="C94" s="32">
        <f>IFERROR(INDEX(tblCommentary[Comment],MATCH(rpt_Date&amp;"|"&amp;11,tblCommentary[Key_Day],0)),"")</f>
        <v/>
      </c>
    </row>
    <row r="95" ht="36" customHeight="1">
      <c r="B95" s="31">
        <f>IFERROR(INDEX(tblCommentary[Area],MATCH(rpt_Date&amp;"|"&amp;12,tblCommentary[Key_Day],0)),"")</f>
        <v/>
      </c>
      <c r="C95" s="32">
        <f>IFERROR(INDEX(tblCommentary[Comment],MATCH(rpt_Date&amp;"|"&amp;12,tblCommentary[Key_Day],0)),"")</f>
        <v/>
      </c>
    </row>
    <row r="96" ht="36" customHeight="1">
      <c r="B96" s="31">
        <f>IFERROR(INDEX(tblCommentary[Area],MATCH(rpt_Date&amp;"|"&amp;13,tblCommentary[Key_Day],0)),"")</f>
        <v/>
      </c>
      <c r="C96" s="32">
        <f>IFERROR(INDEX(tblCommentary[Comment],MATCH(rpt_Date&amp;"|"&amp;13,tblCommentary[Key_Day],0)),"")</f>
        <v/>
      </c>
    </row>
    <row r="97" ht="36" customHeight="1">
      <c r="B97" s="31">
        <f>IFERROR(INDEX(tblCommentary[Area],MATCH(rpt_Date&amp;"|"&amp;14,tblCommentary[Key_Day],0)),"")</f>
        <v/>
      </c>
      <c r="C97" s="32">
        <f>IFERROR(INDEX(tblCommentary[Comment],MATCH(rpt_Date&amp;"|"&amp;14,tblCommentary[Key_Day],0)),"")</f>
        <v/>
      </c>
    </row>
    <row r="98" ht="36" customHeight="1">
      <c r="B98" s="31">
        <f>IFERROR(INDEX(tblCommentary[Area],MATCH(rpt_Date&amp;"|"&amp;15,tblCommentary[Key_Day],0)),"")</f>
        <v/>
      </c>
      <c r="C98" s="32">
        <f>IFERROR(INDEX(tblCommentary[Comment],MATCH(rpt_Date&amp;"|"&amp;15,tblCommentary[Key_Day],0)),"")</f>
        <v/>
      </c>
    </row>
    <row r="99"/>
    <row r="100">
      <c r="B100" s="33">
        <f>"Generated by the Mako Production System workbook. Printed "&amp;DAY(NOW())&amp;" "&amp;CHOOSE(MONTH(NOW()),"Jan","Feb","Mar","Apr","May","Jun","Jul","Aug","Sep","Oct","Nov","Dec")&amp;" "&amp;YEAR(NOW())&amp;" "&amp;TEXT(HOUR(NOW()),"00")&amp;":"&amp;TEXT(MINUTE(NOW()),"00")</f>
        <v/>
      </c>
    </row>
  </sheetData>
  <sheetProtection selectLockedCells="0" selectUnlockedCells="0" sheet="1" objects="0" insertRows="1" insertHyperlinks="1" autoFilter="1" scenarios="0" formatColumns="1" deleteColumns="1" insertColumns="1" pivotTables="1" deleteRows="1" formatCells="1" formatRows="0" sort="1"/>
  <mergeCells count="16">
    <mergeCell ref="C88:J88"/>
    <mergeCell ref="C96:J96"/>
    <mergeCell ref="C86:J86"/>
    <mergeCell ref="C90:J90"/>
    <mergeCell ref="C5:E5"/>
    <mergeCell ref="C91:J91"/>
    <mergeCell ref="C92:J92"/>
    <mergeCell ref="C94:J94"/>
    <mergeCell ref="C95:J95"/>
    <mergeCell ref="C85:J85"/>
    <mergeCell ref="C89:J89"/>
    <mergeCell ref="C84:J84"/>
    <mergeCell ref="C98:J98"/>
    <mergeCell ref="C93:J93"/>
    <mergeCell ref="C97:J97"/>
    <mergeCell ref="C87:J87"/>
  </mergeCells>
  <dataValidations count="1">
    <dataValidation sqref="C5" showDropDown="0" showInputMessage="1" showErrorMessage="1" allowBlank="0" errorTitle="Date outside the reporting year" error="The report date must fall in the reporting year (1 January to 31 December)." promptTitle="Report date" prompt="Type a date in the reporting year to change the report day. To restore the default (yesterday, or the last day with plant data) enter =MAX(cfg_YearStart,MIN(TODAY()-1,cfg_YearEnd,IF(N(cfg_LastDataDate)&gt;0,cfg_LastDataDate,cfg_YearEnd)))" type="date" errorStyle="stop" operator="between">
      <formula1>=cfg_YearStart</formula1>
      <formula2>=cfg_YearEnd</formula2>
    </dataValidation>
  </dataValidations>
  <printOptions horizontalCentered="1"/>
  <pageMargins left="0.4" right="0.4" top="1" bottom="1" header="0.5" footer="0.5"/>
  <pageSetup orientation="portrait" paperSize="9" fitToHeight="2" fitToWidth="1"/>
  <rowBreaks count="1" manualBreakCount="1">
    <brk id="46" min="0" max="16383" man="1"/>
  </rowBreaks>
</worksheet>
</file>

<file path=xl/worksheets/sheet3.xml><?xml version="1.0" encoding="utf-8"?>
<worksheet xmlns="http://schemas.openxmlformats.org/spreadsheetml/2006/main">
  <sheetPr>
    <tabColor rgb="002F5597"/>
    <outlinePr summaryBelow="1" summaryRight="1"/>
    <pageSetUpPr fitToPage="1"/>
  </sheetPr>
  <dimension ref="B2:B3"/>
  <sheetViews>
    <sheetView showGridLines="0" workbookViewId="0">
      <selection activeCell="A1" sqref="A1"/>
    </sheetView>
  </sheetViews>
  <sheetFormatPr baseColWidth="8" defaultRowHeight="15"/>
  <sheetData>
    <row r="2">
      <c r="B2" s="5">
        <f>cfg_Site&amp;" dashboard "&amp;cfg_Year</f>
        <v/>
      </c>
    </row>
    <row r="3">
      <c r="B3" s="34">
        <f>"Data to "&amp;IF(N(cfg_LastDataDate)&gt;0,DAY(cfg_LastDataDate)&amp;" "&amp;CHOOSE(MONTH(cfg_LastDataDate),"Jan","Feb","Mar","Apr","May","Jun","Jul","Aug","Sep","Oct","Nov","Dec")&amp;" "&amp;YEAR(cfg_LastDataDate),"(no plant data yet)")</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paperSize="9" fitToHeight="0" fitToWidth="1"/>
  <drawing xmlns:r="http://schemas.openxmlformats.org/officeDocument/2006/relationships" r:id="rId1"/>
</worksheet>
</file>

<file path=xl/worksheets/sheet4.xml><?xml version="1.0" encoding="utf-8"?>
<worksheet xmlns="http://schemas.openxmlformats.org/spreadsheetml/2006/main">
  <sheetPr>
    <tabColor rgb="002F5597"/>
    <outlinePr summaryBelow="1" summaryRight="1"/>
    <pageSetUpPr fitToPage="1"/>
  </sheetPr>
  <dimension ref="A1:P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0"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row r="2">
      <c r="B2" s="5">
        <f>cfg_Site&amp;" monthly summary "&amp;cfg_Year</f>
        <v/>
      </c>
    </row>
    <row r="3">
      <c r="B3" s="34">
        <f>"Actuals to "&amp;IF(N(cfg_LastDataDate)&gt;0,DAY(cfg_LastDataDate)&amp;" "&amp;CHOOSE(MONTH(cfg_LastDataDate),"Jan","Feb","Mar","Apr","May","Jun","Jul","Aug","Sep","Oct","Nov","Dec")&amp;" "&amp;YEAR(cfg_LastDataDate),"(no plant data yet)")&amp;". Budget from the Budget sheet, pro-rata to that date for the current month and the Year column; full month otherwise. Ratios are month values, not averages of days."</f>
        <v/>
      </c>
    </row>
    <row r="4"/>
    <row r="5">
      <c r="B5" s="29" t="inlineStr">
        <is>
          <t>KPI</t>
        </is>
      </c>
      <c r="C5" s="30" t="inlineStr"/>
      <c r="D5" s="35" t="n">
        <v>46023</v>
      </c>
      <c r="E5" s="35" t="n">
        <v>46054</v>
      </c>
      <c r="F5" s="35" t="n">
        <v>46082</v>
      </c>
      <c r="G5" s="35" t="n">
        <v>46113</v>
      </c>
      <c r="H5" s="35" t="n">
        <v>46143</v>
      </c>
      <c r="I5" s="35" t="n">
        <v>46174</v>
      </c>
      <c r="J5" s="35" t="n">
        <v>46204</v>
      </c>
      <c r="K5" s="35" t="n">
        <v>46235</v>
      </c>
      <c r="L5" s="35" t="n">
        <v>46266</v>
      </c>
      <c r="M5" s="35" t="n">
        <v>46296</v>
      </c>
      <c r="N5" s="35" t="n">
        <v>46327</v>
      </c>
      <c r="O5" s="35" t="n">
        <v>46357</v>
      </c>
      <c r="P5" s="15" t="inlineStr">
        <is>
          <t>Year</t>
        </is>
      </c>
    </row>
    <row r="6">
      <c r="B6" s="8" t="inlineStr">
        <is>
          <t>Hours worked</t>
        </is>
      </c>
      <c r="C6" s="36" t="inlineStr">
        <is>
          <t>Actual</t>
        </is>
      </c>
      <c r="D6" s="37">
        <f>IF(DATE(cfg_Year,1,1)&gt;cfg_LastDataDate,"",IFERROR(INDEX(cd_Hours_Worked_MTD,MATCH(MIN(EOMONTH(DATE(cfg_Year,1,1),0),cfg_LastDataDate),cd_Date,0)),""))</f>
        <v/>
      </c>
      <c r="E6" s="37">
        <f>IF(DATE(cfg_Year,2,1)&gt;cfg_LastDataDate,"",IFERROR(INDEX(cd_Hours_Worked_MTD,MATCH(MIN(EOMONTH(DATE(cfg_Year,2,1),0),cfg_LastDataDate),cd_Date,0)),""))</f>
        <v/>
      </c>
      <c r="F6" s="37">
        <f>IF(DATE(cfg_Year,3,1)&gt;cfg_LastDataDate,"",IFERROR(INDEX(cd_Hours_Worked_MTD,MATCH(MIN(EOMONTH(DATE(cfg_Year,3,1),0),cfg_LastDataDate),cd_Date,0)),""))</f>
        <v/>
      </c>
      <c r="G6" s="37">
        <f>IF(DATE(cfg_Year,4,1)&gt;cfg_LastDataDate,"",IFERROR(INDEX(cd_Hours_Worked_MTD,MATCH(MIN(EOMONTH(DATE(cfg_Year,4,1),0),cfg_LastDataDate),cd_Date,0)),""))</f>
        <v/>
      </c>
      <c r="H6" s="37">
        <f>IF(DATE(cfg_Year,5,1)&gt;cfg_LastDataDate,"",IFERROR(INDEX(cd_Hours_Worked_MTD,MATCH(MIN(EOMONTH(DATE(cfg_Year,5,1),0),cfg_LastDataDate),cd_Date,0)),""))</f>
        <v/>
      </c>
      <c r="I6" s="37">
        <f>IF(DATE(cfg_Year,6,1)&gt;cfg_LastDataDate,"",IFERROR(INDEX(cd_Hours_Worked_MTD,MATCH(MIN(EOMONTH(DATE(cfg_Year,6,1),0),cfg_LastDataDate),cd_Date,0)),""))</f>
        <v/>
      </c>
      <c r="J6" s="37">
        <f>IF(DATE(cfg_Year,7,1)&gt;cfg_LastDataDate,"",IFERROR(INDEX(cd_Hours_Worked_MTD,MATCH(MIN(EOMONTH(DATE(cfg_Year,7,1),0),cfg_LastDataDate),cd_Date,0)),""))</f>
        <v/>
      </c>
      <c r="K6" s="37">
        <f>IF(DATE(cfg_Year,8,1)&gt;cfg_LastDataDate,"",IFERROR(INDEX(cd_Hours_Worked_MTD,MATCH(MIN(EOMONTH(DATE(cfg_Year,8,1),0),cfg_LastDataDate),cd_Date,0)),""))</f>
        <v/>
      </c>
      <c r="L6" s="37">
        <f>IF(DATE(cfg_Year,9,1)&gt;cfg_LastDataDate,"",IFERROR(INDEX(cd_Hours_Worked_MTD,MATCH(MIN(EOMONTH(DATE(cfg_Year,9,1),0),cfg_LastDataDate),cd_Date,0)),""))</f>
        <v/>
      </c>
      <c r="M6" s="37">
        <f>IF(DATE(cfg_Year,10,1)&gt;cfg_LastDataDate,"",IFERROR(INDEX(cd_Hours_Worked_MTD,MATCH(MIN(EOMONTH(DATE(cfg_Year,10,1),0),cfg_LastDataDate),cd_Date,0)),""))</f>
        <v/>
      </c>
      <c r="N6" s="37">
        <f>IF(DATE(cfg_Year,11,1)&gt;cfg_LastDataDate,"",IFERROR(INDEX(cd_Hours_Worked_MTD,MATCH(MIN(EOMONTH(DATE(cfg_Year,11,1),0),cfg_LastDataDate),cd_Date,0)),""))</f>
        <v/>
      </c>
      <c r="O6" s="37">
        <f>IF(DATE(cfg_Year,12,1)&gt;cfg_LastDataDate,"",IFERROR(INDEX(cd_Hours_Worked_MTD,MATCH(MIN(EOMONTH(DATE(cfg_Year,12,1),0),cfg_LastDataDate),cd_Date,0)),""))</f>
        <v/>
      </c>
      <c r="P6" s="38">
        <f>IFERROR(INDEX(cd_Hours_Worked_YTD,MATCH(MIN(cfg_YearEnd,cfg_LastDataDate),cd_Date,0)),"")</f>
        <v/>
      </c>
    </row>
    <row r="7">
      <c r="B7" s="39" t="inlineStr"/>
      <c r="C7" s="36" t="inlineStr">
        <is>
          <t>Budget</t>
        </is>
      </c>
      <c r="D7" s="37">
        <f>IF(DATE(cfg_Year,1,1)&gt;cfg_LastDataDate,IFERROR(INDEX(cd_Bud_Hours_Worked_Month,MATCH(DATE(cfg_Year,1,1),cd_Date,0)),""),IFERROR(INDEX(cd_Bud_Hours_Worked_MTD,MATCH(MIN(EOMONTH(DATE(cfg_Year,1,1),0),cfg_LastDataDate),cd_Date,0)),""))</f>
        <v/>
      </c>
      <c r="E7" s="37">
        <f>IF(DATE(cfg_Year,2,1)&gt;cfg_LastDataDate,IFERROR(INDEX(cd_Bud_Hours_Worked_Month,MATCH(DATE(cfg_Year,2,1),cd_Date,0)),""),IFERROR(INDEX(cd_Bud_Hours_Worked_MTD,MATCH(MIN(EOMONTH(DATE(cfg_Year,2,1),0),cfg_LastDataDate),cd_Date,0)),""))</f>
        <v/>
      </c>
      <c r="F7" s="37">
        <f>IF(DATE(cfg_Year,3,1)&gt;cfg_LastDataDate,IFERROR(INDEX(cd_Bud_Hours_Worked_Month,MATCH(DATE(cfg_Year,3,1),cd_Date,0)),""),IFERROR(INDEX(cd_Bud_Hours_Worked_MTD,MATCH(MIN(EOMONTH(DATE(cfg_Year,3,1),0),cfg_LastDataDate),cd_Date,0)),""))</f>
        <v/>
      </c>
      <c r="G7" s="37">
        <f>IF(DATE(cfg_Year,4,1)&gt;cfg_LastDataDate,IFERROR(INDEX(cd_Bud_Hours_Worked_Month,MATCH(DATE(cfg_Year,4,1),cd_Date,0)),""),IFERROR(INDEX(cd_Bud_Hours_Worked_MTD,MATCH(MIN(EOMONTH(DATE(cfg_Year,4,1),0),cfg_LastDataDate),cd_Date,0)),""))</f>
        <v/>
      </c>
      <c r="H7" s="37">
        <f>IF(DATE(cfg_Year,5,1)&gt;cfg_LastDataDate,IFERROR(INDEX(cd_Bud_Hours_Worked_Month,MATCH(DATE(cfg_Year,5,1),cd_Date,0)),""),IFERROR(INDEX(cd_Bud_Hours_Worked_MTD,MATCH(MIN(EOMONTH(DATE(cfg_Year,5,1),0),cfg_LastDataDate),cd_Date,0)),""))</f>
        <v/>
      </c>
      <c r="I7" s="37">
        <f>IF(DATE(cfg_Year,6,1)&gt;cfg_LastDataDate,IFERROR(INDEX(cd_Bud_Hours_Worked_Month,MATCH(DATE(cfg_Year,6,1),cd_Date,0)),""),IFERROR(INDEX(cd_Bud_Hours_Worked_MTD,MATCH(MIN(EOMONTH(DATE(cfg_Year,6,1),0),cfg_LastDataDate),cd_Date,0)),""))</f>
        <v/>
      </c>
      <c r="J7" s="37">
        <f>IF(DATE(cfg_Year,7,1)&gt;cfg_LastDataDate,IFERROR(INDEX(cd_Bud_Hours_Worked_Month,MATCH(DATE(cfg_Year,7,1),cd_Date,0)),""),IFERROR(INDEX(cd_Bud_Hours_Worked_MTD,MATCH(MIN(EOMONTH(DATE(cfg_Year,7,1),0),cfg_LastDataDate),cd_Date,0)),""))</f>
        <v/>
      </c>
      <c r="K7" s="37">
        <f>IF(DATE(cfg_Year,8,1)&gt;cfg_LastDataDate,IFERROR(INDEX(cd_Bud_Hours_Worked_Month,MATCH(DATE(cfg_Year,8,1),cd_Date,0)),""),IFERROR(INDEX(cd_Bud_Hours_Worked_MTD,MATCH(MIN(EOMONTH(DATE(cfg_Year,8,1),0),cfg_LastDataDate),cd_Date,0)),""))</f>
        <v/>
      </c>
      <c r="L7" s="37">
        <f>IF(DATE(cfg_Year,9,1)&gt;cfg_LastDataDate,IFERROR(INDEX(cd_Bud_Hours_Worked_Month,MATCH(DATE(cfg_Year,9,1),cd_Date,0)),""),IFERROR(INDEX(cd_Bud_Hours_Worked_MTD,MATCH(MIN(EOMONTH(DATE(cfg_Year,9,1),0),cfg_LastDataDate),cd_Date,0)),""))</f>
        <v/>
      </c>
      <c r="M7" s="37">
        <f>IF(DATE(cfg_Year,10,1)&gt;cfg_LastDataDate,IFERROR(INDEX(cd_Bud_Hours_Worked_Month,MATCH(DATE(cfg_Year,10,1),cd_Date,0)),""),IFERROR(INDEX(cd_Bud_Hours_Worked_MTD,MATCH(MIN(EOMONTH(DATE(cfg_Year,10,1),0),cfg_LastDataDate),cd_Date,0)),""))</f>
        <v/>
      </c>
      <c r="N7" s="37">
        <f>IF(DATE(cfg_Year,11,1)&gt;cfg_LastDataDate,IFERROR(INDEX(cd_Bud_Hours_Worked_Month,MATCH(DATE(cfg_Year,11,1),cd_Date,0)),""),IFERROR(INDEX(cd_Bud_Hours_Worked_MTD,MATCH(MIN(EOMONTH(DATE(cfg_Year,11,1),0),cfg_LastDataDate),cd_Date,0)),""))</f>
        <v/>
      </c>
      <c r="O7" s="37">
        <f>IF(DATE(cfg_Year,12,1)&gt;cfg_LastDataDate,IFERROR(INDEX(cd_Bud_Hours_Worked_Month,MATCH(DATE(cfg_Year,12,1),cd_Date,0)),""),IFERROR(INDEX(cd_Bud_Hours_Worked_MTD,MATCH(MIN(EOMONTH(DATE(cfg_Year,12,1),0),cfg_LastDataDate),cd_Date,0)),""))</f>
        <v/>
      </c>
      <c r="P7" s="38">
        <f>IFERROR(INDEX(cd_Bud_Hours_Worked_YTD,MATCH(IF(N(cfg_LastDataDate)&gt;0,MIN(cfg_YearEnd,cfg_LastDataDate),cfg_YearEnd),cd_Date,0)),"")</f>
        <v/>
      </c>
    </row>
    <row r="8">
      <c r="B8" s="39" t="inlineStr"/>
      <c r="C8" s="36" t="inlineStr">
        <is>
          <t>Variance</t>
        </is>
      </c>
      <c r="D8" s="40">
        <f>IF(AND(ISNUMBER(D6),ISNUMBER(D7),D7&lt;&gt;0),D6/D7-1,"")</f>
        <v/>
      </c>
      <c r="E8" s="40">
        <f>IF(AND(ISNUMBER(E6),ISNUMBER(E7),E7&lt;&gt;0),E6/E7-1,"")</f>
        <v/>
      </c>
      <c r="F8" s="40">
        <f>IF(AND(ISNUMBER(F6),ISNUMBER(F7),F7&lt;&gt;0),F6/F7-1,"")</f>
        <v/>
      </c>
      <c r="G8" s="40">
        <f>IF(AND(ISNUMBER(G6),ISNUMBER(G7),G7&lt;&gt;0),G6/G7-1,"")</f>
        <v/>
      </c>
      <c r="H8" s="40">
        <f>IF(AND(ISNUMBER(H6),ISNUMBER(H7),H7&lt;&gt;0),H6/H7-1,"")</f>
        <v/>
      </c>
      <c r="I8" s="40">
        <f>IF(AND(ISNUMBER(I6),ISNUMBER(I7),I7&lt;&gt;0),I6/I7-1,"")</f>
        <v/>
      </c>
      <c r="J8" s="40">
        <f>IF(AND(ISNUMBER(J6),ISNUMBER(J7),J7&lt;&gt;0),J6/J7-1,"")</f>
        <v/>
      </c>
      <c r="K8" s="40">
        <f>IF(AND(ISNUMBER(K6),ISNUMBER(K7),K7&lt;&gt;0),K6/K7-1,"")</f>
        <v/>
      </c>
      <c r="L8" s="40">
        <f>IF(AND(ISNUMBER(L6),ISNUMBER(L7),L7&lt;&gt;0),L6/L7-1,"")</f>
        <v/>
      </c>
      <c r="M8" s="40">
        <f>IF(AND(ISNUMBER(M6),ISNUMBER(M7),M7&lt;&gt;0),M6/M7-1,"")</f>
        <v/>
      </c>
      <c r="N8" s="40">
        <f>IF(AND(ISNUMBER(N6),ISNUMBER(N7),N7&lt;&gt;0),N6/N7-1,"")</f>
        <v/>
      </c>
      <c r="O8" s="40">
        <f>IF(AND(ISNUMBER(O6),ISNUMBER(O7),O7&lt;&gt;0),O6/O7-1,"")</f>
        <v/>
      </c>
      <c r="P8" s="41">
        <f>IF(AND(ISNUMBER(P6),ISNUMBER(P7),P7&lt;&gt;0),P6/P7-1,"")</f>
        <v/>
      </c>
    </row>
    <row r="9"/>
    <row r="10">
      <c r="B10" s="8" t="inlineStr">
        <is>
          <t>Recordable injuries</t>
        </is>
      </c>
      <c r="C10" s="36" t="inlineStr">
        <is>
          <t>Actual</t>
        </is>
      </c>
      <c r="D10" s="42">
        <f>IF(DATE(cfg_Year,1,1)&gt;cfg_LastDataDate,"",IFERROR(INDEX(cd_Recordables_MTD,MATCH(MIN(EOMONTH(DATE(cfg_Year,1,1),0),cfg_LastDataDate),cd_Date,0)),""))</f>
        <v/>
      </c>
      <c r="E10" s="42">
        <f>IF(DATE(cfg_Year,2,1)&gt;cfg_LastDataDate,"",IFERROR(INDEX(cd_Recordables_MTD,MATCH(MIN(EOMONTH(DATE(cfg_Year,2,1),0),cfg_LastDataDate),cd_Date,0)),""))</f>
        <v/>
      </c>
      <c r="F10" s="42">
        <f>IF(DATE(cfg_Year,3,1)&gt;cfg_LastDataDate,"",IFERROR(INDEX(cd_Recordables_MTD,MATCH(MIN(EOMONTH(DATE(cfg_Year,3,1),0),cfg_LastDataDate),cd_Date,0)),""))</f>
        <v/>
      </c>
      <c r="G10" s="42">
        <f>IF(DATE(cfg_Year,4,1)&gt;cfg_LastDataDate,"",IFERROR(INDEX(cd_Recordables_MTD,MATCH(MIN(EOMONTH(DATE(cfg_Year,4,1),0),cfg_LastDataDate),cd_Date,0)),""))</f>
        <v/>
      </c>
      <c r="H10" s="42">
        <f>IF(DATE(cfg_Year,5,1)&gt;cfg_LastDataDate,"",IFERROR(INDEX(cd_Recordables_MTD,MATCH(MIN(EOMONTH(DATE(cfg_Year,5,1),0),cfg_LastDataDate),cd_Date,0)),""))</f>
        <v/>
      </c>
      <c r="I10" s="42">
        <f>IF(DATE(cfg_Year,6,1)&gt;cfg_LastDataDate,"",IFERROR(INDEX(cd_Recordables_MTD,MATCH(MIN(EOMONTH(DATE(cfg_Year,6,1),0),cfg_LastDataDate),cd_Date,0)),""))</f>
        <v/>
      </c>
      <c r="J10" s="42">
        <f>IF(DATE(cfg_Year,7,1)&gt;cfg_LastDataDate,"",IFERROR(INDEX(cd_Recordables_MTD,MATCH(MIN(EOMONTH(DATE(cfg_Year,7,1),0),cfg_LastDataDate),cd_Date,0)),""))</f>
        <v/>
      </c>
      <c r="K10" s="42">
        <f>IF(DATE(cfg_Year,8,1)&gt;cfg_LastDataDate,"",IFERROR(INDEX(cd_Recordables_MTD,MATCH(MIN(EOMONTH(DATE(cfg_Year,8,1),0),cfg_LastDataDate),cd_Date,0)),""))</f>
        <v/>
      </c>
      <c r="L10" s="42">
        <f>IF(DATE(cfg_Year,9,1)&gt;cfg_LastDataDate,"",IFERROR(INDEX(cd_Recordables_MTD,MATCH(MIN(EOMONTH(DATE(cfg_Year,9,1),0),cfg_LastDataDate),cd_Date,0)),""))</f>
        <v/>
      </c>
      <c r="M10" s="42">
        <f>IF(DATE(cfg_Year,10,1)&gt;cfg_LastDataDate,"",IFERROR(INDEX(cd_Recordables_MTD,MATCH(MIN(EOMONTH(DATE(cfg_Year,10,1),0),cfg_LastDataDate),cd_Date,0)),""))</f>
        <v/>
      </c>
      <c r="N10" s="42">
        <f>IF(DATE(cfg_Year,11,1)&gt;cfg_LastDataDate,"",IFERROR(INDEX(cd_Recordables_MTD,MATCH(MIN(EOMONTH(DATE(cfg_Year,11,1),0),cfg_LastDataDate),cd_Date,0)),""))</f>
        <v/>
      </c>
      <c r="O10" s="42">
        <f>IF(DATE(cfg_Year,12,1)&gt;cfg_LastDataDate,"",IFERROR(INDEX(cd_Recordables_MTD,MATCH(MIN(EOMONTH(DATE(cfg_Year,12,1),0),cfg_LastDataDate),cd_Date,0)),""))</f>
        <v/>
      </c>
      <c r="P10" s="43">
        <f>IFERROR(INDEX(cd_Recordables_YTD,MATCH(MIN(cfg_YearEnd,cfg_LastDataDate),cd_Date,0)),"")</f>
        <v/>
      </c>
    </row>
    <row r="11">
      <c r="B11" s="8" t="inlineStr">
        <is>
          <t>Lost time injuries</t>
        </is>
      </c>
      <c r="C11" s="36" t="inlineStr">
        <is>
          <t>Actual</t>
        </is>
      </c>
      <c r="D11" s="42">
        <f>IF(DATE(cfg_Year,1,1)&gt;cfg_LastDataDate,"",IFERROR(INDEX(cd_LTI_MTD,MATCH(MIN(EOMONTH(DATE(cfg_Year,1,1),0),cfg_LastDataDate),cd_Date,0)),""))</f>
        <v/>
      </c>
      <c r="E11" s="42">
        <f>IF(DATE(cfg_Year,2,1)&gt;cfg_LastDataDate,"",IFERROR(INDEX(cd_LTI_MTD,MATCH(MIN(EOMONTH(DATE(cfg_Year,2,1),0),cfg_LastDataDate),cd_Date,0)),""))</f>
        <v/>
      </c>
      <c r="F11" s="42">
        <f>IF(DATE(cfg_Year,3,1)&gt;cfg_LastDataDate,"",IFERROR(INDEX(cd_LTI_MTD,MATCH(MIN(EOMONTH(DATE(cfg_Year,3,1),0),cfg_LastDataDate),cd_Date,0)),""))</f>
        <v/>
      </c>
      <c r="G11" s="42">
        <f>IF(DATE(cfg_Year,4,1)&gt;cfg_LastDataDate,"",IFERROR(INDEX(cd_LTI_MTD,MATCH(MIN(EOMONTH(DATE(cfg_Year,4,1),0),cfg_LastDataDate),cd_Date,0)),""))</f>
        <v/>
      </c>
      <c r="H11" s="42">
        <f>IF(DATE(cfg_Year,5,1)&gt;cfg_LastDataDate,"",IFERROR(INDEX(cd_LTI_MTD,MATCH(MIN(EOMONTH(DATE(cfg_Year,5,1),0),cfg_LastDataDate),cd_Date,0)),""))</f>
        <v/>
      </c>
      <c r="I11" s="42">
        <f>IF(DATE(cfg_Year,6,1)&gt;cfg_LastDataDate,"",IFERROR(INDEX(cd_LTI_MTD,MATCH(MIN(EOMONTH(DATE(cfg_Year,6,1),0),cfg_LastDataDate),cd_Date,0)),""))</f>
        <v/>
      </c>
      <c r="J11" s="42">
        <f>IF(DATE(cfg_Year,7,1)&gt;cfg_LastDataDate,"",IFERROR(INDEX(cd_LTI_MTD,MATCH(MIN(EOMONTH(DATE(cfg_Year,7,1),0),cfg_LastDataDate),cd_Date,0)),""))</f>
        <v/>
      </c>
      <c r="K11" s="42">
        <f>IF(DATE(cfg_Year,8,1)&gt;cfg_LastDataDate,"",IFERROR(INDEX(cd_LTI_MTD,MATCH(MIN(EOMONTH(DATE(cfg_Year,8,1),0),cfg_LastDataDate),cd_Date,0)),""))</f>
        <v/>
      </c>
      <c r="L11" s="42">
        <f>IF(DATE(cfg_Year,9,1)&gt;cfg_LastDataDate,"",IFERROR(INDEX(cd_LTI_MTD,MATCH(MIN(EOMONTH(DATE(cfg_Year,9,1),0),cfg_LastDataDate),cd_Date,0)),""))</f>
        <v/>
      </c>
      <c r="M11" s="42">
        <f>IF(DATE(cfg_Year,10,1)&gt;cfg_LastDataDate,"",IFERROR(INDEX(cd_LTI_MTD,MATCH(MIN(EOMONTH(DATE(cfg_Year,10,1),0),cfg_LastDataDate),cd_Date,0)),""))</f>
        <v/>
      </c>
      <c r="N11" s="42">
        <f>IF(DATE(cfg_Year,11,1)&gt;cfg_LastDataDate,"",IFERROR(INDEX(cd_LTI_MTD,MATCH(MIN(EOMONTH(DATE(cfg_Year,11,1),0),cfg_LastDataDate),cd_Date,0)),""))</f>
        <v/>
      </c>
      <c r="O11" s="42">
        <f>IF(DATE(cfg_Year,12,1)&gt;cfg_LastDataDate,"",IFERROR(INDEX(cd_LTI_MTD,MATCH(MIN(EOMONTH(DATE(cfg_Year,12,1),0),cfg_LastDataDate),cd_Date,0)),""))</f>
        <v/>
      </c>
      <c r="P11" s="43">
        <f>IFERROR(INDEX(cd_LTI_YTD,MATCH(MIN(cfg_YearEnd,cfg_LastDataDate),cd_Date,0)),"")</f>
        <v/>
      </c>
    </row>
    <row r="12">
      <c r="B12" s="8" t="inlineStr">
        <is>
          <t>TRIFR, rolling 12 months + MTD</t>
        </is>
      </c>
      <c r="C12" s="36" t="inlineStr">
        <is>
          <t>Actual</t>
        </is>
      </c>
      <c r="D12" s="28">
        <f>IF(DATE(cfg_Year,1,1)&gt;cfg_LastDataDate,"",IFERROR(INDEX(cd_TRIFR_12m,MATCH(MIN(EOMONTH(DATE(cfg_Year,1,1),0),cfg_LastDataDate),cd_Date,0)),""))</f>
        <v/>
      </c>
      <c r="E12" s="28">
        <f>IF(DATE(cfg_Year,2,1)&gt;cfg_LastDataDate,"",IFERROR(INDEX(cd_TRIFR_12m,MATCH(MIN(EOMONTH(DATE(cfg_Year,2,1),0),cfg_LastDataDate),cd_Date,0)),""))</f>
        <v/>
      </c>
      <c r="F12" s="28">
        <f>IF(DATE(cfg_Year,3,1)&gt;cfg_LastDataDate,"",IFERROR(INDEX(cd_TRIFR_12m,MATCH(MIN(EOMONTH(DATE(cfg_Year,3,1),0),cfg_LastDataDate),cd_Date,0)),""))</f>
        <v/>
      </c>
      <c r="G12" s="28">
        <f>IF(DATE(cfg_Year,4,1)&gt;cfg_LastDataDate,"",IFERROR(INDEX(cd_TRIFR_12m,MATCH(MIN(EOMONTH(DATE(cfg_Year,4,1),0),cfg_LastDataDate),cd_Date,0)),""))</f>
        <v/>
      </c>
      <c r="H12" s="28">
        <f>IF(DATE(cfg_Year,5,1)&gt;cfg_LastDataDate,"",IFERROR(INDEX(cd_TRIFR_12m,MATCH(MIN(EOMONTH(DATE(cfg_Year,5,1),0),cfg_LastDataDate),cd_Date,0)),""))</f>
        <v/>
      </c>
      <c r="I12" s="28">
        <f>IF(DATE(cfg_Year,6,1)&gt;cfg_LastDataDate,"",IFERROR(INDEX(cd_TRIFR_12m,MATCH(MIN(EOMONTH(DATE(cfg_Year,6,1),0),cfg_LastDataDate),cd_Date,0)),""))</f>
        <v/>
      </c>
      <c r="J12" s="28">
        <f>IF(DATE(cfg_Year,7,1)&gt;cfg_LastDataDate,"",IFERROR(INDEX(cd_TRIFR_12m,MATCH(MIN(EOMONTH(DATE(cfg_Year,7,1),0),cfg_LastDataDate),cd_Date,0)),""))</f>
        <v/>
      </c>
      <c r="K12" s="28">
        <f>IF(DATE(cfg_Year,8,1)&gt;cfg_LastDataDate,"",IFERROR(INDEX(cd_TRIFR_12m,MATCH(MIN(EOMONTH(DATE(cfg_Year,8,1),0),cfg_LastDataDate),cd_Date,0)),""))</f>
        <v/>
      </c>
      <c r="L12" s="28">
        <f>IF(DATE(cfg_Year,9,1)&gt;cfg_LastDataDate,"",IFERROR(INDEX(cd_TRIFR_12m,MATCH(MIN(EOMONTH(DATE(cfg_Year,9,1),0),cfg_LastDataDate),cd_Date,0)),""))</f>
        <v/>
      </c>
      <c r="M12" s="28">
        <f>IF(DATE(cfg_Year,10,1)&gt;cfg_LastDataDate,"",IFERROR(INDEX(cd_TRIFR_12m,MATCH(MIN(EOMONTH(DATE(cfg_Year,10,1),0),cfg_LastDataDate),cd_Date,0)),""))</f>
        <v/>
      </c>
      <c r="N12" s="28">
        <f>IF(DATE(cfg_Year,11,1)&gt;cfg_LastDataDate,"",IFERROR(INDEX(cd_TRIFR_12m,MATCH(MIN(EOMONTH(DATE(cfg_Year,11,1),0),cfg_LastDataDate),cd_Date,0)),""))</f>
        <v/>
      </c>
      <c r="O12" s="28">
        <f>IF(DATE(cfg_Year,12,1)&gt;cfg_LastDataDate,"",IFERROR(INDEX(cd_TRIFR_12m,MATCH(MIN(EOMONTH(DATE(cfg_Year,12,1),0),cfg_LastDataDate),cd_Date,0)),""))</f>
        <v/>
      </c>
      <c r="P12" s="44">
        <f>IFERROR(INDEX(cd_TRIFR_12m,MATCH(MIN(cfg_YearEnd,cfg_LastDataDate),cd_Date,0)),"")</f>
        <v/>
      </c>
    </row>
    <row r="13">
      <c r="B13" s="8" t="inlineStr">
        <is>
          <t>Ore mined (ex-pit)</t>
        </is>
      </c>
      <c r="C13" s="36" t="inlineStr">
        <is>
          <t>Actual</t>
        </is>
      </c>
      <c r="D13" s="27">
        <f>IF(DATE(cfg_Year,1,1)&gt;cfg_LastDataDate,"",IFERROR(INDEX(cd_Ore_Mined_t_MTD,MATCH(MIN(EOMONTH(DATE(cfg_Year,1,1),0),cfg_LastDataDate),cd_Date,0)),""))</f>
        <v/>
      </c>
      <c r="E13" s="27">
        <f>IF(DATE(cfg_Year,2,1)&gt;cfg_LastDataDate,"",IFERROR(INDEX(cd_Ore_Mined_t_MTD,MATCH(MIN(EOMONTH(DATE(cfg_Year,2,1),0),cfg_LastDataDate),cd_Date,0)),""))</f>
        <v/>
      </c>
      <c r="F13" s="27">
        <f>IF(DATE(cfg_Year,3,1)&gt;cfg_LastDataDate,"",IFERROR(INDEX(cd_Ore_Mined_t_MTD,MATCH(MIN(EOMONTH(DATE(cfg_Year,3,1),0),cfg_LastDataDate),cd_Date,0)),""))</f>
        <v/>
      </c>
      <c r="G13" s="27">
        <f>IF(DATE(cfg_Year,4,1)&gt;cfg_LastDataDate,"",IFERROR(INDEX(cd_Ore_Mined_t_MTD,MATCH(MIN(EOMONTH(DATE(cfg_Year,4,1),0),cfg_LastDataDate),cd_Date,0)),""))</f>
        <v/>
      </c>
      <c r="H13" s="27">
        <f>IF(DATE(cfg_Year,5,1)&gt;cfg_LastDataDate,"",IFERROR(INDEX(cd_Ore_Mined_t_MTD,MATCH(MIN(EOMONTH(DATE(cfg_Year,5,1),0),cfg_LastDataDate),cd_Date,0)),""))</f>
        <v/>
      </c>
      <c r="I13" s="27">
        <f>IF(DATE(cfg_Year,6,1)&gt;cfg_LastDataDate,"",IFERROR(INDEX(cd_Ore_Mined_t_MTD,MATCH(MIN(EOMONTH(DATE(cfg_Year,6,1),0),cfg_LastDataDate),cd_Date,0)),""))</f>
        <v/>
      </c>
      <c r="J13" s="27">
        <f>IF(DATE(cfg_Year,7,1)&gt;cfg_LastDataDate,"",IFERROR(INDEX(cd_Ore_Mined_t_MTD,MATCH(MIN(EOMONTH(DATE(cfg_Year,7,1),0),cfg_LastDataDate),cd_Date,0)),""))</f>
        <v/>
      </c>
      <c r="K13" s="27">
        <f>IF(DATE(cfg_Year,8,1)&gt;cfg_LastDataDate,"",IFERROR(INDEX(cd_Ore_Mined_t_MTD,MATCH(MIN(EOMONTH(DATE(cfg_Year,8,1),0),cfg_LastDataDate),cd_Date,0)),""))</f>
        <v/>
      </c>
      <c r="L13" s="27">
        <f>IF(DATE(cfg_Year,9,1)&gt;cfg_LastDataDate,"",IFERROR(INDEX(cd_Ore_Mined_t_MTD,MATCH(MIN(EOMONTH(DATE(cfg_Year,9,1),0),cfg_LastDataDate),cd_Date,0)),""))</f>
        <v/>
      </c>
      <c r="M13" s="27">
        <f>IF(DATE(cfg_Year,10,1)&gt;cfg_LastDataDate,"",IFERROR(INDEX(cd_Ore_Mined_t_MTD,MATCH(MIN(EOMONTH(DATE(cfg_Year,10,1),0),cfg_LastDataDate),cd_Date,0)),""))</f>
        <v/>
      </c>
      <c r="N13" s="27">
        <f>IF(DATE(cfg_Year,11,1)&gt;cfg_LastDataDate,"",IFERROR(INDEX(cd_Ore_Mined_t_MTD,MATCH(MIN(EOMONTH(DATE(cfg_Year,11,1),0),cfg_LastDataDate),cd_Date,0)),""))</f>
        <v/>
      </c>
      <c r="O13" s="27">
        <f>IF(DATE(cfg_Year,12,1)&gt;cfg_LastDataDate,"",IFERROR(INDEX(cd_Ore_Mined_t_MTD,MATCH(MIN(EOMONTH(DATE(cfg_Year,12,1),0),cfg_LastDataDate),cd_Date,0)),""))</f>
        <v/>
      </c>
      <c r="P13" s="45">
        <f>IFERROR(INDEX(cd_Ore_Mined_t_YTD,MATCH(MIN(cfg_YearEnd,cfg_LastDataDate),cd_Date,0)),"")</f>
        <v/>
      </c>
    </row>
    <row r="14">
      <c r="B14" s="39" t="inlineStr"/>
      <c r="C14" s="36" t="inlineStr">
        <is>
          <t>Budget</t>
        </is>
      </c>
      <c r="D14" s="27">
        <f>IF(DATE(cfg_Year,1,1)&gt;cfg_LastDataDate,IFERROR(INDEX(cd_Bud_Ore_Mined_t_Month,MATCH(DATE(cfg_Year,1,1),cd_Date,0)),""),IFERROR(INDEX(cd_Bud_Ore_Mined_t_MTD,MATCH(MIN(EOMONTH(DATE(cfg_Year,1,1),0),cfg_LastDataDate),cd_Date,0)),""))</f>
        <v/>
      </c>
      <c r="E14" s="27">
        <f>IF(DATE(cfg_Year,2,1)&gt;cfg_LastDataDate,IFERROR(INDEX(cd_Bud_Ore_Mined_t_Month,MATCH(DATE(cfg_Year,2,1),cd_Date,0)),""),IFERROR(INDEX(cd_Bud_Ore_Mined_t_MTD,MATCH(MIN(EOMONTH(DATE(cfg_Year,2,1),0),cfg_LastDataDate),cd_Date,0)),""))</f>
        <v/>
      </c>
      <c r="F14" s="27">
        <f>IF(DATE(cfg_Year,3,1)&gt;cfg_LastDataDate,IFERROR(INDEX(cd_Bud_Ore_Mined_t_Month,MATCH(DATE(cfg_Year,3,1),cd_Date,0)),""),IFERROR(INDEX(cd_Bud_Ore_Mined_t_MTD,MATCH(MIN(EOMONTH(DATE(cfg_Year,3,1),0),cfg_LastDataDate),cd_Date,0)),""))</f>
        <v/>
      </c>
      <c r="G14" s="27">
        <f>IF(DATE(cfg_Year,4,1)&gt;cfg_LastDataDate,IFERROR(INDEX(cd_Bud_Ore_Mined_t_Month,MATCH(DATE(cfg_Year,4,1),cd_Date,0)),""),IFERROR(INDEX(cd_Bud_Ore_Mined_t_MTD,MATCH(MIN(EOMONTH(DATE(cfg_Year,4,1),0),cfg_LastDataDate),cd_Date,0)),""))</f>
        <v/>
      </c>
      <c r="H14" s="27">
        <f>IF(DATE(cfg_Year,5,1)&gt;cfg_LastDataDate,IFERROR(INDEX(cd_Bud_Ore_Mined_t_Month,MATCH(DATE(cfg_Year,5,1),cd_Date,0)),""),IFERROR(INDEX(cd_Bud_Ore_Mined_t_MTD,MATCH(MIN(EOMONTH(DATE(cfg_Year,5,1),0),cfg_LastDataDate),cd_Date,0)),""))</f>
        <v/>
      </c>
      <c r="I14" s="27">
        <f>IF(DATE(cfg_Year,6,1)&gt;cfg_LastDataDate,IFERROR(INDEX(cd_Bud_Ore_Mined_t_Month,MATCH(DATE(cfg_Year,6,1),cd_Date,0)),""),IFERROR(INDEX(cd_Bud_Ore_Mined_t_MTD,MATCH(MIN(EOMONTH(DATE(cfg_Year,6,1),0),cfg_LastDataDate),cd_Date,0)),""))</f>
        <v/>
      </c>
      <c r="J14" s="27">
        <f>IF(DATE(cfg_Year,7,1)&gt;cfg_LastDataDate,IFERROR(INDEX(cd_Bud_Ore_Mined_t_Month,MATCH(DATE(cfg_Year,7,1),cd_Date,0)),""),IFERROR(INDEX(cd_Bud_Ore_Mined_t_MTD,MATCH(MIN(EOMONTH(DATE(cfg_Year,7,1),0),cfg_LastDataDate),cd_Date,0)),""))</f>
        <v/>
      </c>
      <c r="K14" s="27">
        <f>IF(DATE(cfg_Year,8,1)&gt;cfg_LastDataDate,IFERROR(INDEX(cd_Bud_Ore_Mined_t_Month,MATCH(DATE(cfg_Year,8,1),cd_Date,0)),""),IFERROR(INDEX(cd_Bud_Ore_Mined_t_MTD,MATCH(MIN(EOMONTH(DATE(cfg_Year,8,1),0),cfg_LastDataDate),cd_Date,0)),""))</f>
        <v/>
      </c>
      <c r="L14" s="27">
        <f>IF(DATE(cfg_Year,9,1)&gt;cfg_LastDataDate,IFERROR(INDEX(cd_Bud_Ore_Mined_t_Month,MATCH(DATE(cfg_Year,9,1),cd_Date,0)),""),IFERROR(INDEX(cd_Bud_Ore_Mined_t_MTD,MATCH(MIN(EOMONTH(DATE(cfg_Year,9,1),0),cfg_LastDataDate),cd_Date,0)),""))</f>
        <v/>
      </c>
      <c r="M14" s="27">
        <f>IF(DATE(cfg_Year,10,1)&gt;cfg_LastDataDate,IFERROR(INDEX(cd_Bud_Ore_Mined_t_Month,MATCH(DATE(cfg_Year,10,1),cd_Date,0)),""),IFERROR(INDEX(cd_Bud_Ore_Mined_t_MTD,MATCH(MIN(EOMONTH(DATE(cfg_Year,10,1),0),cfg_LastDataDate),cd_Date,0)),""))</f>
        <v/>
      </c>
      <c r="N14" s="27">
        <f>IF(DATE(cfg_Year,11,1)&gt;cfg_LastDataDate,IFERROR(INDEX(cd_Bud_Ore_Mined_t_Month,MATCH(DATE(cfg_Year,11,1),cd_Date,0)),""),IFERROR(INDEX(cd_Bud_Ore_Mined_t_MTD,MATCH(MIN(EOMONTH(DATE(cfg_Year,11,1),0),cfg_LastDataDate),cd_Date,0)),""))</f>
        <v/>
      </c>
      <c r="O14" s="27">
        <f>IF(DATE(cfg_Year,12,1)&gt;cfg_LastDataDate,IFERROR(INDEX(cd_Bud_Ore_Mined_t_Month,MATCH(DATE(cfg_Year,12,1),cd_Date,0)),""),IFERROR(INDEX(cd_Bud_Ore_Mined_t_MTD,MATCH(MIN(EOMONTH(DATE(cfg_Year,12,1),0),cfg_LastDataDate),cd_Date,0)),""))</f>
        <v/>
      </c>
      <c r="P14" s="45">
        <f>IFERROR(INDEX(cd_Bud_Ore_Mined_t_YTD,MATCH(IF(N(cfg_LastDataDate)&gt;0,MIN(cfg_YearEnd,cfg_LastDataDate),cfg_YearEnd),cd_Date,0)),"")</f>
        <v/>
      </c>
    </row>
    <row r="15">
      <c r="B15" s="39" t="inlineStr"/>
      <c r="C15" s="36" t="inlineStr">
        <is>
          <t>Variance</t>
        </is>
      </c>
      <c r="D15" s="40">
        <f>IF(AND(ISNUMBER(D13),ISNUMBER(D14),D14&lt;&gt;0),D13/D14-1,"")</f>
        <v/>
      </c>
      <c r="E15" s="40">
        <f>IF(AND(ISNUMBER(E13),ISNUMBER(E14),E14&lt;&gt;0),E13/E14-1,"")</f>
        <v/>
      </c>
      <c r="F15" s="40">
        <f>IF(AND(ISNUMBER(F13),ISNUMBER(F14),F14&lt;&gt;0),F13/F14-1,"")</f>
        <v/>
      </c>
      <c r="G15" s="40">
        <f>IF(AND(ISNUMBER(G13),ISNUMBER(G14),G14&lt;&gt;0),G13/G14-1,"")</f>
        <v/>
      </c>
      <c r="H15" s="40">
        <f>IF(AND(ISNUMBER(H13),ISNUMBER(H14),H14&lt;&gt;0),H13/H14-1,"")</f>
        <v/>
      </c>
      <c r="I15" s="40">
        <f>IF(AND(ISNUMBER(I13),ISNUMBER(I14),I14&lt;&gt;0),I13/I14-1,"")</f>
        <v/>
      </c>
      <c r="J15" s="40">
        <f>IF(AND(ISNUMBER(J13),ISNUMBER(J14),J14&lt;&gt;0),J13/J14-1,"")</f>
        <v/>
      </c>
      <c r="K15" s="40">
        <f>IF(AND(ISNUMBER(K13),ISNUMBER(K14),K14&lt;&gt;0),K13/K14-1,"")</f>
        <v/>
      </c>
      <c r="L15" s="40">
        <f>IF(AND(ISNUMBER(L13),ISNUMBER(L14),L14&lt;&gt;0),L13/L14-1,"")</f>
        <v/>
      </c>
      <c r="M15" s="40">
        <f>IF(AND(ISNUMBER(M13),ISNUMBER(M14),M14&lt;&gt;0),M13/M14-1,"")</f>
        <v/>
      </c>
      <c r="N15" s="40">
        <f>IF(AND(ISNUMBER(N13),ISNUMBER(N14),N14&lt;&gt;0),N13/N14-1,"")</f>
        <v/>
      </c>
      <c r="O15" s="40">
        <f>IF(AND(ISNUMBER(O13),ISNUMBER(O14),O14&lt;&gt;0),O13/O14-1,"")</f>
        <v/>
      </c>
      <c r="P15" s="41">
        <f>IF(AND(ISNUMBER(P13),ISNUMBER(P14),P14&lt;&gt;0),P13/P14-1,"")</f>
        <v/>
      </c>
    </row>
    <row r="16"/>
    <row r="17">
      <c r="B17" s="8" t="inlineStr">
        <is>
          <t>Ore grade mined</t>
        </is>
      </c>
      <c r="C17" s="36" t="inlineStr">
        <is>
          <t>Actual</t>
        </is>
      </c>
      <c r="D17" s="28">
        <f>IF(DATE(cfg_Year,1,1)&gt;cfg_LastDataDate,"",IFERROR(INDEX(cd_Ore_Grade_gpt_MTD,MATCH(MIN(EOMONTH(DATE(cfg_Year,1,1),0),cfg_LastDataDate),cd_Date,0)),""))</f>
        <v/>
      </c>
      <c r="E17" s="28">
        <f>IF(DATE(cfg_Year,2,1)&gt;cfg_LastDataDate,"",IFERROR(INDEX(cd_Ore_Grade_gpt_MTD,MATCH(MIN(EOMONTH(DATE(cfg_Year,2,1),0),cfg_LastDataDate),cd_Date,0)),""))</f>
        <v/>
      </c>
      <c r="F17" s="28">
        <f>IF(DATE(cfg_Year,3,1)&gt;cfg_LastDataDate,"",IFERROR(INDEX(cd_Ore_Grade_gpt_MTD,MATCH(MIN(EOMONTH(DATE(cfg_Year,3,1),0),cfg_LastDataDate),cd_Date,0)),""))</f>
        <v/>
      </c>
      <c r="G17" s="28">
        <f>IF(DATE(cfg_Year,4,1)&gt;cfg_LastDataDate,"",IFERROR(INDEX(cd_Ore_Grade_gpt_MTD,MATCH(MIN(EOMONTH(DATE(cfg_Year,4,1),0),cfg_LastDataDate),cd_Date,0)),""))</f>
        <v/>
      </c>
      <c r="H17" s="28">
        <f>IF(DATE(cfg_Year,5,1)&gt;cfg_LastDataDate,"",IFERROR(INDEX(cd_Ore_Grade_gpt_MTD,MATCH(MIN(EOMONTH(DATE(cfg_Year,5,1),0),cfg_LastDataDate),cd_Date,0)),""))</f>
        <v/>
      </c>
      <c r="I17" s="28">
        <f>IF(DATE(cfg_Year,6,1)&gt;cfg_LastDataDate,"",IFERROR(INDEX(cd_Ore_Grade_gpt_MTD,MATCH(MIN(EOMONTH(DATE(cfg_Year,6,1),0),cfg_LastDataDate),cd_Date,0)),""))</f>
        <v/>
      </c>
      <c r="J17" s="28">
        <f>IF(DATE(cfg_Year,7,1)&gt;cfg_LastDataDate,"",IFERROR(INDEX(cd_Ore_Grade_gpt_MTD,MATCH(MIN(EOMONTH(DATE(cfg_Year,7,1),0),cfg_LastDataDate),cd_Date,0)),""))</f>
        <v/>
      </c>
      <c r="K17" s="28">
        <f>IF(DATE(cfg_Year,8,1)&gt;cfg_LastDataDate,"",IFERROR(INDEX(cd_Ore_Grade_gpt_MTD,MATCH(MIN(EOMONTH(DATE(cfg_Year,8,1),0),cfg_LastDataDate),cd_Date,0)),""))</f>
        <v/>
      </c>
      <c r="L17" s="28">
        <f>IF(DATE(cfg_Year,9,1)&gt;cfg_LastDataDate,"",IFERROR(INDEX(cd_Ore_Grade_gpt_MTD,MATCH(MIN(EOMONTH(DATE(cfg_Year,9,1),0),cfg_LastDataDate),cd_Date,0)),""))</f>
        <v/>
      </c>
      <c r="M17" s="28">
        <f>IF(DATE(cfg_Year,10,1)&gt;cfg_LastDataDate,"",IFERROR(INDEX(cd_Ore_Grade_gpt_MTD,MATCH(MIN(EOMONTH(DATE(cfg_Year,10,1),0),cfg_LastDataDate),cd_Date,0)),""))</f>
        <v/>
      </c>
      <c r="N17" s="28">
        <f>IF(DATE(cfg_Year,11,1)&gt;cfg_LastDataDate,"",IFERROR(INDEX(cd_Ore_Grade_gpt_MTD,MATCH(MIN(EOMONTH(DATE(cfg_Year,11,1),0),cfg_LastDataDate),cd_Date,0)),""))</f>
        <v/>
      </c>
      <c r="O17" s="28">
        <f>IF(DATE(cfg_Year,12,1)&gt;cfg_LastDataDate,"",IFERROR(INDEX(cd_Ore_Grade_gpt_MTD,MATCH(MIN(EOMONTH(DATE(cfg_Year,12,1),0),cfg_LastDataDate),cd_Date,0)),""))</f>
        <v/>
      </c>
      <c r="P17" s="44">
        <f>IFERROR(INDEX(cd_Ore_Grade_gpt_YTD,MATCH(MIN(cfg_YearEnd,cfg_LastDataDate),cd_Date,0)),"")</f>
        <v/>
      </c>
    </row>
    <row r="18">
      <c r="B18" s="39" t="inlineStr"/>
      <c r="C18" s="36" t="inlineStr">
        <is>
          <t>Budget</t>
        </is>
      </c>
      <c r="D18" s="28">
        <f>IF(DATE(cfg_Year,1,1)&gt;cfg_LastDataDate,IFERROR(INDEX(cd_Bud_Ore_Grade_gpt_Month,MATCH(DATE(cfg_Year,1,1),cd_Date,0)),""),IFERROR(INDEX(cd_Bud_Ore_Grade_gpt_MTD,MATCH(MIN(EOMONTH(DATE(cfg_Year,1,1),0),cfg_LastDataDate),cd_Date,0)),""))</f>
        <v/>
      </c>
      <c r="E18" s="28">
        <f>IF(DATE(cfg_Year,2,1)&gt;cfg_LastDataDate,IFERROR(INDEX(cd_Bud_Ore_Grade_gpt_Month,MATCH(DATE(cfg_Year,2,1),cd_Date,0)),""),IFERROR(INDEX(cd_Bud_Ore_Grade_gpt_MTD,MATCH(MIN(EOMONTH(DATE(cfg_Year,2,1),0),cfg_LastDataDate),cd_Date,0)),""))</f>
        <v/>
      </c>
      <c r="F18" s="28">
        <f>IF(DATE(cfg_Year,3,1)&gt;cfg_LastDataDate,IFERROR(INDEX(cd_Bud_Ore_Grade_gpt_Month,MATCH(DATE(cfg_Year,3,1),cd_Date,0)),""),IFERROR(INDEX(cd_Bud_Ore_Grade_gpt_MTD,MATCH(MIN(EOMONTH(DATE(cfg_Year,3,1),0),cfg_LastDataDate),cd_Date,0)),""))</f>
        <v/>
      </c>
      <c r="G18" s="28">
        <f>IF(DATE(cfg_Year,4,1)&gt;cfg_LastDataDate,IFERROR(INDEX(cd_Bud_Ore_Grade_gpt_Month,MATCH(DATE(cfg_Year,4,1),cd_Date,0)),""),IFERROR(INDEX(cd_Bud_Ore_Grade_gpt_MTD,MATCH(MIN(EOMONTH(DATE(cfg_Year,4,1),0),cfg_LastDataDate),cd_Date,0)),""))</f>
        <v/>
      </c>
      <c r="H18" s="28">
        <f>IF(DATE(cfg_Year,5,1)&gt;cfg_LastDataDate,IFERROR(INDEX(cd_Bud_Ore_Grade_gpt_Month,MATCH(DATE(cfg_Year,5,1),cd_Date,0)),""),IFERROR(INDEX(cd_Bud_Ore_Grade_gpt_MTD,MATCH(MIN(EOMONTH(DATE(cfg_Year,5,1),0),cfg_LastDataDate),cd_Date,0)),""))</f>
        <v/>
      </c>
      <c r="I18" s="28">
        <f>IF(DATE(cfg_Year,6,1)&gt;cfg_LastDataDate,IFERROR(INDEX(cd_Bud_Ore_Grade_gpt_Month,MATCH(DATE(cfg_Year,6,1),cd_Date,0)),""),IFERROR(INDEX(cd_Bud_Ore_Grade_gpt_MTD,MATCH(MIN(EOMONTH(DATE(cfg_Year,6,1),0),cfg_LastDataDate),cd_Date,0)),""))</f>
        <v/>
      </c>
      <c r="J18" s="28">
        <f>IF(DATE(cfg_Year,7,1)&gt;cfg_LastDataDate,IFERROR(INDEX(cd_Bud_Ore_Grade_gpt_Month,MATCH(DATE(cfg_Year,7,1),cd_Date,0)),""),IFERROR(INDEX(cd_Bud_Ore_Grade_gpt_MTD,MATCH(MIN(EOMONTH(DATE(cfg_Year,7,1),0),cfg_LastDataDate),cd_Date,0)),""))</f>
        <v/>
      </c>
      <c r="K18" s="28">
        <f>IF(DATE(cfg_Year,8,1)&gt;cfg_LastDataDate,IFERROR(INDEX(cd_Bud_Ore_Grade_gpt_Month,MATCH(DATE(cfg_Year,8,1),cd_Date,0)),""),IFERROR(INDEX(cd_Bud_Ore_Grade_gpt_MTD,MATCH(MIN(EOMONTH(DATE(cfg_Year,8,1),0),cfg_LastDataDate),cd_Date,0)),""))</f>
        <v/>
      </c>
      <c r="L18" s="28">
        <f>IF(DATE(cfg_Year,9,1)&gt;cfg_LastDataDate,IFERROR(INDEX(cd_Bud_Ore_Grade_gpt_Month,MATCH(DATE(cfg_Year,9,1),cd_Date,0)),""),IFERROR(INDEX(cd_Bud_Ore_Grade_gpt_MTD,MATCH(MIN(EOMONTH(DATE(cfg_Year,9,1),0),cfg_LastDataDate),cd_Date,0)),""))</f>
        <v/>
      </c>
      <c r="M18" s="28">
        <f>IF(DATE(cfg_Year,10,1)&gt;cfg_LastDataDate,IFERROR(INDEX(cd_Bud_Ore_Grade_gpt_Month,MATCH(DATE(cfg_Year,10,1),cd_Date,0)),""),IFERROR(INDEX(cd_Bud_Ore_Grade_gpt_MTD,MATCH(MIN(EOMONTH(DATE(cfg_Year,10,1),0),cfg_LastDataDate),cd_Date,0)),""))</f>
        <v/>
      </c>
      <c r="N18" s="28">
        <f>IF(DATE(cfg_Year,11,1)&gt;cfg_LastDataDate,IFERROR(INDEX(cd_Bud_Ore_Grade_gpt_Month,MATCH(DATE(cfg_Year,11,1),cd_Date,0)),""),IFERROR(INDEX(cd_Bud_Ore_Grade_gpt_MTD,MATCH(MIN(EOMONTH(DATE(cfg_Year,11,1),0),cfg_LastDataDate),cd_Date,0)),""))</f>
        <v/>
      </c>
      <c r="O18" s="28">
        <f>IF(DATE(cfg_Year,12,1)&gt;cfg_LastDataDate,IFERROR(INDEX(cd_Bud_Ore_Grade_gpt_Month,MATCH(DATE(cfg_Year,12,1),cd_Date,0)),""),IFERROR(INDEX(cd_Bud_Ore_Grade_gpt_MTD,MATCH(MIN(EOMONTH(DATE(cfg_Year,12,1),0),cfg_LastDataDate),cd_Date,0)),""))</f>
        <v/>
      </c>
      <c r="P18" s="44">
        <f>IFERROR(INDEX(cd_Bud_Ore_Grade_gpt_YTD,MATCH(IF(N(cfg_LastDataDate)&gt;0,MIN(cfg_YearEnd,cfg_LastDataDate),cfg_YearEnd),cd_Date,0)),"")</f>
        <v/>
      </c>
    </row>
    <row r="19">
      <c r="B19" s="39" t="inlineStr"/>
      <c r="C19" s="36" t="inlineStr">
        <is>
          <t>Variance</t>
        </is>
      </c>
      <c r="D19" s="40">
        <f>IF(AND(ISNUMBER(D17),ISNUMBER(D18),D18&lt;&gt;0),D17/D18-1,"")</f>
        <v/>
      </c>
      <c r="E19" s="40">
        <f>IF(AND(ISNUMBER(E17),ISNUMBER(E18),E18&lt;&gt;0),E17/E18-1,"")</f>
        <v/>
      </c>
      <c r="F19" s="40">
        <f>IF(AND(ISNUMBER(F17),ISNUMBER(F18),F18&lt;&gt;0),F17/F18-1,"")</f>
        <v/>
      </c>
      <c r="G19" s="40">
        <f>IF(AND(ISNUMBER(G17),ISNUMBER(G18),G18&lt;&gt;0),G17/G18-1,"")</f>
        <v/>
      </c>
      <c r="H19" s="40">
        <f>IF(AND(ISNUMBER(H17),ISNUMBER(H18),H18&lt;&gt;0),H17/H18-1,"")</f>
        <v/>
      </c>
      <c r="I19" s="40">
        <f>IF(AND(ISNUMBER(I17),ISNUMBER(I18),I18&lt;&gt;0),I17/I18-1,"")</f>
        <v/>
      </c>
      <c r="J19" s="40">
        <f>IF(AND(ISNUMBER(J17),ISNUMBER(J18),J18&lt;&gt;0),J17/J18-1,"")</f>
        <v/>
      </c>
      <c r="K19" s="40">
        <f>IF(AND(ISNUMBER(K17),ISNUMBER(K18),K18&lt;&gt;0),K17/K18-1,"")</f>
        <v/>
      </c>
      <c r="L19" s="40">
        <f>IF(AND(ISNUMBER(L17),ISNUMBER(L18),L18&lt;&gt;0),L17/L18-1,"")</f>
        <v/>
      </c>
      <c r="M19" s="40">
        <f>IF(AND(ISNUMBER(M17),ISNUMBER(M18),M18&lt;&gt;0),M17/M18-1,"")</f>
        <v/>
      </c>
      <c r="N19" s="40">
        <f>IF(AND(ISNUMBER(N17),ISNUMBER(N18),N18&lt;&gt;0),N17/N18-1,"")</f>
        <v/>
      </c>
      <c r="O19" s="40">
        <f>IF(AND(ISNUMBER(O17),ISNUMBER(O18),O18&lt;&gt;0),O17/O18-1,"")</f>
        <v/>
      </c>
      <c r="P19" s="41">
        <f>IF(AND(ISNUMBER(P17),ISNUMBER(P18),P18&lt;&gt;0),P17/P18-1,"")</f>
        <v/>
      </c>
    </row>
    <row r="20"/>
    <row r="21">
      <c r="B21" s="8" t="inlineStr">
        <is>
          <t>Contained gold mined</t>
        </is>
      </c>
      <c r="C21" s="36" t="inlineStr">
        <is>
          <t>Actual</t>
        </is>
      </c>
      <c r="D21" s="27">
        <f>IF(DATE(cfg_Year,1,1)&gt;cfg_LastDataDate,"",IFERROR(INDEX(cd_Ore_Mined_oz_MTD,MATCH(MIN(EOMONTH(DATE(cfg_Year,1,1),0),cfg_LastDataDate),cd_Date,0)),""))</f>
        <v/>
      </c>
      <c r="E21" s="27">
        <f>IF(DATE(cfg_Year,2,1)&gt;cfg_LastDataDate,"",IFERROR(INDEX(cd_Ore_Mined_oz_MTD,MATCH(MIN(EOMONTH(DATE(cfg_Year,2,1),0),cfg_LastDataDate),cd_Date,0)),""))</f>
        <v/>
      </c>
      <c r="F21" s="27">
        <f>IF(DATE(cfg_Year,3,1)&gt;cfg_LastDataDate,"",IFERROR(INDEX(cd_Ore_Mined_oz_MTD,MATCH(MIN(EOMONTH(DATE(cfg_Year,3,1),0),cfg_LastDataDate),cd_Date,0)),""))</f>
        <v/>
      </c>
      <c r="G21" s="27">
        <f>IF(DATE(cfg_Year,4,1)&gt;cfg_LastDataDate,"",IFERROR(INDEX(cd_Ore_Mined_oz_MTD,MATCH(MIN(EOMONTH(DATE(cfg_Year,4,1),0),cfg_LastDataDate),cd_Date,0)),""))</f>
        <v/>
      </c>
      <c r="H21" s="27">
        <f>IF(DATE(cfg_Year,5,1)&gt;cfg_LastDataDate,"",IFERROR(INDEX(cd_Ore_Mined_oz_MTD,MATCH(MIN(EOMONTH(DATE(cfg_Year,5,1),0),cfg_LastDataDate),cd_Date,0)),""))</f>
        <v/>
      </c>
      <c r="I21" s="27">
        <f>IF(DATE(cfg_Year,6,1)&gt;cfg_LastDataDate,"",IFERROR(INDEX(cd_Ore_Mined_oz_MTD,MATCH(MIN(EOMONTH(DATE(cfg_Year,6,1),0),cfg_LastDataDate),cd_Date,0)),""))</f>
        <v/>
      </c>
      <c r="J21" s="27">
        <f>IF(DATE(cfg_Year,7,1)&gt;cfg_LastDataDate,"",IFERROR(INDEX(cd_Ore_Mined_oz_MTD,MATCH(MIN(EOMONTH(DATE(cfg_Year,7,1),0),cfg_LastDataDate),cd_Date,0)),""))</f>
        <v/>
      </c>
      <c r="K21" s="27">
        <f>IF(DATE(cfg_Year,8,1)&gt;cfg_LastDataDate,"",IFERROR(INDEX(cd_Ore_Mined_oz_MTD,MATCH(MIN(EOMONTH(DATE(cfg_Year,8,1),0),cfg_LastDataDate),cd_Date,0)),""))</f>
        <v/>
      </c>
      <c r="L21" s="27">
        <f>IF(DATE(cfg_Year,9,1)&gt;cfg_LastDataDate,"",IFERROR(INDEX(cd_Ore_Mined_oz_MTD,MATCH(MIN(EOMONTH(DATE(cfg_Year,9,1),0),cfg_LastDataDate),cd_Date,0)),""))</f>
        <v/>
      </c>
      <c r="M21" s="27">
        <f>IF(DATE(cfg_Year,10,1)&gt;cfg_LastDataDate,"",IFERROR(INDEX(cd_Ore_Mined_oz_MTD,MATCH(MIN(EOMONTH(DATE(cfg_Year,10,1),0),cfg_LastDataDate),cd_Date,0)),""))</f>
        <v/>
      </c>
      <c r="N21" s="27">
        <f>IF(DATE(cfg_Year,11,1)&gt;cfg_LastDataDate,"",IFERROR(INDEX(cd_Ore_Mined_oz_MTD,MATCH(MIN(EOMONTH(DATE(cfg_Year,11,1),0),cfg_LastDataDate),cd_Date,0)),""))</f>
        <v/>
      </c>
      <c r="O21" s="27">
        <f>IF(DATE(cfg_Year,12,1)&gt;cfg_LastDataDate,"",IFERROR(INDEX(cd_Ore_Mined_oz_MTD,MATCH(MIN(EOMONTH(DATE(cfg_Year,12,1),0),cfg_LastDataDate),cd_Date,0)),""))</f>
        <v/>
      </c>
      <c r="P21" s="45">
        <f>IFERROR(INDEX(cd_Ore_Mined_oz_YTD,MATCH(MIN(cfg_YearEnd,cfg_LastDataDate),cd_Date,0)),"")</f>
        <v/>
      </c>
    </row>
    <row r="22">
      <c r="B22" s="39" t="inlineStr"/>
      <c r="C22" s="36" t="inlineStr">
        <is>
          <t>Budget</t>
        </is>
      </c>
      <c r="D22" s="27">
        <f>IF(DATE(cfg_Year,1,1)&gt;cfg_LastDataDate,IFERROR(INDEX(cd_Bud_Ore_Mined_oz_Month,MATCH(DATE(cfg_Year,1,1),cd_Date,0)),""),IFERROR(INDEX(cd_Bud_Ore_Mined_oz_MTD,MATCH(MIN(EOMONTH(DATE(cfg_Year,1,1),0),cfg_LastDataDate),cd_Date,0)),""))</f>
        <v/>
      </c>
      <c r="E22" s="27">
        <f>IF(DATE(cfg_Year,2,1)&gt;cfg_LastDataDate,IFERROR(INDEX(cd_Bud_Ore_Mined_oz_Month,MATCH(DATE(cfg_Year,2,1),cd_Date,0)),""),IFERROR(INDEX(cd_Bud_Ore_Mined_oz_MTD,MATCH(MIN(EOMONTH(DATE(cfg_Year,2,1),0),cfg_LastDataDate),cd_Date,0)),""))</f>
        <v/>
      </c>
      <c r="F22" s="27">
        <f>IF(DATE(cfg_Year,3,1)&gt;cfg_LastDataDate,IFERROR(INDEX(cd_Bud_Ore_Mined_oz_Month,MATCH(DATE(cfg_Year,3,1),cd_Date,0)),""),IFERROR(INDEX(cd_Bud_Ore_Mined_oz_MTD,MATCH(MIN(EOMONTH(DATE(cfg_Year,3,1),0),cfg_LastDataDate),cd_Date,0)),""))</f>
        <v/>
      </c>
      <c r="G22" s="27">
        <f>IF(DATE(cfg_Year,4,1)&gt;cfg_LastDataDate,IFERROR(INDEX(cd_Bud_Ore_Mined_oz_Month,MATCH(DATE(cfg_Year,4,1),cd_Date,0)),""),IFERROR(INDEX(cd_Bud_Ore_Mined_oz_MTD,MATCH(MIN(EOMONTH(DATE(cfg_Year,4,1),0),cfg_LastDataDate),cd_Date,0)),""))</f>
        <v/>
      </c>
      <c r="H22" s="27">
        <f>IF(DATE(cfg_Year,5,1)&gt;cfg_LastDataDate,IFERROR(INDEX(cd_Bud_Ore_Mined_oz_Month,MATCH(DATE(cfg_Year,5,1),cd_Date,0)),""),IFERROR(INDEX(cd_Bud_Ore_Mined_oz_MTD,MATCH(MIN(EOMONTH(DATE(cfg_Year,5,1),0),cfg_LastDataDate),cd_Date,0)),""))</f>
        <v/>
      </c>
      <c r="I22" s="27">
        <f>IF(DATE(cfg_Year,6,1)&gt;cfg_LastDataDate,IFERROR(INDEX(cd_Bud_Ore_Mined_oz_Month,MATCH(DATE(cfg_Year,6,1),cd_Date,0)),""),IFERROR(INDEX(cd_Bud_Ore_Mined_oz_MTD,MATCH(MIN(EOMONTH(DATE(cfg_Year,6,1),0),cfg_LastDataDate),cd_Date,0)),""))</f>
        <v/>
      </c>
      <c r="J22" s="27">
        <f>IF(DATE(cfg_Year,7,1)&gt;cfg_LastDataDate,IFERROR(INDEX(cd_Bud_Ore_Mined_oz_Month,MATCH(DATE(cfg_Year,7,1),cd_Date,0)),""),IFERROR(INDEX(cd_Bud_Ore_Mined_oz_MTD,MATCH(MIN(EOMONTH(DATE(cfg_Year,7,1),0),cfg_LastDataDate),cd_Date,0)),""))</f>
        <v/>
      </c>
      <c r="K22" s="27">
        <f>IF(DATE(cfg_Year,8,1)&gt;cfg_LastDataDate,IFERROR(INDEX(cd_Bud_Ore_Mined_oz_Month,MATCH(DATE(cfg_Year,8,1),cd_Date,0)),""),IFERROR(INDEX(cd_Bud_Ore_Mined_oz_MTD,MATCH(MIN(EOMONTH(DATE(cfg_Year,8,1),0),cfg_LastDataDate),cd_Date,0)),""))</f>
        <v/>
      </c>
      <c r="L22" s="27">
        <f>IF(DATE(cfg_Year,9,1)&gt;cfg_LastDataDate,IFERROR(INDEX(cd_Bud_Ore_Mined_oz_Month,MATCH(DATE(cfg_Year,9,1),cd_Date,0)),""),IFERROR(INDEX(cd_Bud_Ore_Mined_oz_MTD,MATCH(MIN(EOMONTH(DATE(cfg_Year,9,1),0),cfg_LastDataDate),cd_Date,0)),""))</f>
        <v/>
      </c>
      <c r="M22" s="27">
        <f>IF(DATE(cfg_Year,10,1)&gt;cfg_LastDataDate,IFERROR(INDEX(cd_Bud_Ore_Mined_oz_Month,MATCH(DATE(cfg_Year,10,1),cd_Date,0)),""),IFERROR(INDEX(cd_Bud_Ore_Mined_oz_MTD,MATCH(MIN(EOMONTH(DATE(cfg_Year,10,1),0),cfg_LastDataDate),cd_Date,0)),""))</f>
        <v/>
      </c>
      <c r="N22" s="27">
        <f>IF(DATE(cfg_Year,11,1)&gt;cfg_LastDataDate,IFERROR(INDEX(cd_Bud_Ore_Mined_oz_Month,MATCH(DATE(cfg_Year,11,1),cd_Date,0)),""),IFERROR(INDEX(cd_Bud_Ore_Mined_oz_MTD,MATCH(MIN(EOMONTH(DATE(cfg_Year,11,1),0),cfg_LastDataDate),cd_Date,0)),""))</f>
        <v/>
      </c>
      <c r="O22" s="27">
        <f>IF(DATE(cfg_Year,12,1)&gt;cfg_LastDataDate,IFERROR(INDEX(cd_Bud_Ore_Mined_oz_Month,MATCH(DATE(cfg_Year,12,1),cd_Date,0)),""),IFERROR(INDEX(cd_Bud_Ore_Mined_oz_MTD,MATCH(MIN(EOMONTH(DATE(cfg_Year,12,1),0),cfg_LastDataDate),cd_Date,0)),""))</f>
        <v/>
      </c>
      <c r="P22" s="45">
        <f>IFERROR(INDEX(cd_Bud_Ore_Mined_oz_YTD,MATCH(IF(N(cfg_LastDataDate)&gt;0,MIN(cfg_YearEnd,cfg_LastDataDate),cfg_YearEnd),cd_Date,0)),"")</f>
        <v/>
      </c>
    </row>
    <row r="23">
      <c r="B23" s="39" t="inlineStr"/>
      <c r="C23" s="36" t="inlineStr">
        <is>
          <t>Variance</t>
        </is>
      </c>
      <c r="D23" s="40">
        <f>IF(AND(ISNUMBER(D21),ISNUMBER(D22),D22&lt;&gt;0),D21/D22-1,"")</f>
        <v/>
      </c>
      <c r="E23" s="40">
        <f>IF(AND(ISNUMBER(E21),ISNUMBER(E22),E22&lt;&gt;0),E21/E22-1,"")</f>
        <v/>
      </c>
      <c r="F23" s="40">
        <f>IF(AND(ISNUMBER(F21),ISNUMBER(F22),F22&lt;&gt;0),F21/F22-1,"")</f>
        <v/>
      </c>
      <c r="G23" s="40">
        <f>IF(AND(ISNUMBER(G21),ISNUMBER(G22),G22&lt;&gt;0),G21/G22-1,"")</f>
        <v/>
      </c>
      <c r="H23" s="40">
        <f>IF(AND(ISNUMBER(H21),ISNUMBER(H22),H22&lt;&gt;0),H21/H22-1,"")</f>
        <v/>
      </c>
      <c r="I23" s="40">
        <f>IF(AND(ISNUMBER(I21),ISNUMBER(I22),I22&lt;&gt;0),I21/I22-1,"")</f>
        <v/>
      </c>
      <c r="J23" s="40">
        <f>IF(AND(ISNUMBER(J21),ISNUMBER(J22),J22&lt;&gt;0),J21/J22-1,"")</f>
        <v/>
      </c>
      <c r="K23" s="40">
        <f>IF(AND(ISNUMBER(K21),ISNUMBER(K22),K22&lt;&gt;0),K21/K22-1,"")</f>
        <v/>
      </c>
      <c r="L23" s="40">
        <f>IF(AND(ISNUMBER(L21),ISNUMBER(L22),L22&lt;&gt;0),L21/L22-1,"")</f>
        <v/>
      </c>
      <c r="M23" s="40">
        <f>IF(AND(ISNUMBER(M21),ISNUMBER(M22),M22&lt;&gt;0),M21/M22-1,"")</f>
        <v/>
      </c>
      <c r="N23" s="40">
        <f>IF(AND(ISNUMBER(N21),ISNUMBER(N22),N22&lt;&gt;0),N21/N22-1,"")</f>
        <v/>
      </c>
      <c r="O23" s="40">
        <f>IF(AND(ISNUMBER(O21),ISNUMBER(O22),O22&lt;&gt;0),O21/O22-1,"")</f>
        <v/>
      </c>
      <c r="P23" s="41">
        <f>IF(AND(ISNUMBER(P21),ISNUMBER(P22),P22&lt;&gt;0),P21/P22-1,"")</f>
        <v/>
      </c>
    </row>
    <row r="24"/>
    <row r="25">
      <c r="B25" s="8" t="inlineStr">
        <is>
          <t>Waste mined</t>
        </is>
      </c>
      <c r="C25" s="36" t="inlineStr">
        <is>
          <t>Actual</t>
        </is>
      </c>
      <c r="D25" s="27">
        <f>IF(DATE(cfg_Year,1,1)&gt;cfg_LastDataDate,"",IFERROR(INDEX(cd_Waste_t_MTD,MATCH(MIN(EOMONTH(DATE(cfg_Year,1,1),0),cfg_LastDataDate),cd_Date,0)),""))</f>
        <v/>
      </c>
      <c r="E25" s="27">
        <f>IF(DATE(cfg_Year,2,1)&gt;cfg_LastDataDate,"",IFERROR(INDEX(cd_Waste_t_MTD,MATCH(MIN(EOMONTH(DATE(cfg_Year,2,1),0),cfg_LastDataDate),cd_Date,0)),""))</f>
        <v/>
      </c>
      <c r="F25" s="27">
        <f>IF(DATE(cfg_Year,3,1)&gt;cfg_LastDataDate,"",IFERROR(INDEX(cd_Waste_t_MTD,MATCH(MIN(EOMONTH(DATE(cfg_Year,3,1),0),cfg_LastDataDate),cd_Date,0)),""))</f>
        <v/>
      </c>
      <c r="G25" s="27">
        <f>IF(DATE(cfg_Year,4,1)&gt;cfg_LastDataDate,"",IFERROR(INDEX(cd_Waste_t_MTD,MATCH(MIN(EOMONTH(DATE(cfg_Year,4,1),0),cfg_LastDataDate),cd_Date,0)),""))</f>
        <v/>
      </c>
      <c r="H25" s="27">
        <f>IF(DATE(cfg_Year,5,1)&gt;cfg_LastDataDate,"",IFERROR(INDEX(cd_Waste_t_MTD,MATCH(MIN(EOMONTH(DATE(cfg_Year,5,1),0),cfg_LastDataDate),cd_Date,0)),""))</f>
        <v/>
      </c>
      <c r="I25" s="27">
        <f>IF(DATE(cfg_Year,6,1)&gt;cfg_LastDataDate,"",IFERROR(INDEX(cd_Waste_t_MTD,MATCH(MIN(EOMONTH(DATE(cfg_Year,6,1),0),cfg_LastDataDate),cd_Date,0)),""))</f>
        <v/>
      </c>
      <c r="J25" s="27">
        <f>IF(DATE(cfg_Year,7,1)&gt;cfg_LastDataDate,"",IFERROR(INDEX(cd_Waste_t_MTD,MATCH(MIN(EOMONTH(DATE(cfg_Year,7,1),0),cfg_LastDataDate),cd_Date,0)),""))</f>
        <v/>
      </c>
      <c r="K25" s="27">
        <f>IF(DATE(cfg_Year,8,1)&gt;cfg_LastDataDate,"",IFERROR(INDEX(cd_Waste_t_MTD,MATCH(MIN(EOMONTH(DATE(cfg_Year,8,1),0),cfg_LastDataDate),cd_Date,0)),""))</f>
        <v/>
      </c>
      <c r="L25" s="27">
        <f>IF(DATE(cfg_Year,9,1)&gt;cfg_LastDataDate,"",IFERROR(INDEX(cd_Waste_t_MTD,MATCH(MIN(EOMONTH(DATE(cfg_Year,9,1),0),cfg_LastDataDate),cd_Date,0)),""))</f>
        <v/>
      </c>
      <c r="M25" s="27">
        <f>IF(DATE(cfg_Year,10,1)&gt;cfg_LastDataDate,"",IFERROR(INDEX(cd_Waste_t_MTD,MATCH(MIN(EOMONTH(DATE(cfg_Year,10,1),0),cfg_LastDataDate),cd_Date,0)),""))</f>
        <v/>
      </c>
      <c r="N25" s="27">
        <f>IF(DATE(cfg_Year,11,1)&gt;cfg_LastDataDate,"",IFERROR(INDEX(cd_Waste_t_MTD,MATCH(MIN(EOMONTH(DATE(cfg_Year,11,1),0),cfg_LastDataDate),cd_Date,0)),""))</f>
        <v/>
      </c>
      <c r="O25" s="27">
        <f>IF(DATE(cfg_Year,12,1)&gt;cfg_LastDataDate,"",IFERROR(INDEX(cd_Waste_t_MTD,MATCH(MIN(EOMONTH(DATE(cfg_Year,12,1),0),cfg_LastDataDate),cd_Date,0)),""))</f>
        <v/>
      </c>
      <c r="P25" s="45">
        <f>IFERROR(INDEX(cd_Waste_t_YTD,MATCH(MIN(cfg_YearEnd,cfg_LastDataDate),cd_Date,0)),"")</f>
        <v/>
      </c>
    </row>
    <row r="26">
      <c r="B26" s="39" t="inlineStr"/>
      <c r="C26" s="36" t="inlineStr">
        <is>
          <t>Budget</t>
        </is>
      </c>
      <c r="D26" s="27">
        <f>IF(DATE(cfg_Year,1,1)&gt;cfg_LastDataDate,IFERROR(INDEX(cd_Bud_Waste_t_Month,MATCH(DATE(cfg_Year,1,1),cd_Date,0)),""),IFERROR(INDEX(cd_Bud_Waste_t_MTD,MATCH(MIN(EOMONTH(DATE(cfg_Year,1,1),0),cfg_LastDataDate),cd_Date,0)),""))</f>
        <v/>
      </c>
      <c r="E26" s="27">
        <f>IF(DATE(cfg_Year,2,1)&gt;cfg_LastDataDate,IFERROR(INDEX(cd_Bud_Waste_t_Month,MATCH(DATE(cfg_Year,2,1),cd_Date,0)),""),IFERROR(INDEX(cd_Bud_Waste_t_MTD,MATCH(MIN(EOMONTH(DATE(cfg_Year,2,1),0),cfg_LastDataDate),cd_Date,0)),""))</f>
        <v/>
      </c>
      <c r="F26" s="27">
        <f>IF(DATE(cfg_Year,3,1)&gt;cfg_LastDataDate,IFERROR(INDEX(cd_Bud_Waste_t_Month,MATCH(DATE(cfg_Year,3,1),cd_Date,0)),""),IFERROR(INDEX(cd_Bud_Waste_t_MTD,MATCH(MIN(EOMONTH(DATE(cfg_Year,3,1),0),cfg_LastDataDate),cd_Date,0)),""))</f>
        <v/>
      </c>
      <c r="G26" s="27">
        <f>IF(DATE(cfg_Year,4,1)&gt;cfg_LastDataDate,IFERROR(INDEX(cd_Bud_Waste_t_Month,MATCH(DATE(cfg_Year,4,1),cd_Date,0)),""),IFERROR(INDEX(cd_Bud_Waste_t_MTD,MATCH(MIN(EOMONTH(DATE(cfg_Year,4,1),0),cfg_LastDataDate),cd_Date,0)),""))</f>
        <v/>
      </c>
      <c r="H26" s="27">
        <f>IF(DATE(cfg_Year,5,1)&gt;cfg_LastDataDate,IFERROR(INDEX(cd_Bud_Waste_t_Month,MATCH(DATE(cfg_Year,5,1),cd_Date,0)),""),IFERROR(INDEX(cd_Bud_Waste_t_MTD,MATCH(MIN(EOMONTH(DATE(cfg_Year,5,1),0),cfg_LastDataDate),cd_Date,0)),""))</f>
        <v/>
      </c>
      <c r="I26" s="27">
        <f>IF(DATE(cfg_Year,6,1)&gt;cfg_LastDataDate,IFERROR(INDEX(cd_Bud_Waste_t_Month,MATCH(DATE(cfg_Year,6,1),cd_Date,0)),""),IFERROR(INDEX(cd_Bud_Waste_t_MTD,MATCH(MIN(EOMONTH(DATE(cfg_Year,6,1),0),cfg_LastDataDate),cd_Date,0)),""))</f>
        <v/>
      </c>
      <c r="J26" s="27">
        <f>IF(DATE(cfg_Year,7,1)&gt;cfg_LastDataDate,IFERROR(INDEX(cd_Bud_Waste_t_Month,MATCH(DATE(cfg_Year,7,1),cd_Date,0)),""),IFERROR(INDEX(cd_Bud_Waste_t_MTD,MATCH(MIN(EOMONTH(DATE(cfg_Year,7,1),0),cfg_LastDataDate),cd_Date,0)),""))</f>
        <v/>
      </c>
      <c r="K26" s="27">
        <f>IF(DATE(cfg_Year,8,1)&gt;cfg_LastDataDate,IFERROR(INDEX(cd_Bud_Waste_t_Month,MATCH(DATE(cfg_Year,8,1),cd_Date,0)),""),IFERROR(INDEX(cd_Bud_Waste_t_MTD,MATCH(MIN(EOMONTH(DATE(cfg_Year,8,1),0),cfg_LastDataDate),cd_Date,0)),""))</f>
        <v/>
      </c>
      <c r="L26" s="27">
        <f>IF(DATE(cfg_Year,9,1)&gt;cfg_LastDataDate,IFERROR(INDEX(cd_Bud_Waste_t_Month,MATCH(DATE(cfg_Year,9,1),cd_Date,0)),""),IFERROR(INDEX(cd_Bud_Waste_t_MTD,MATCH(MIN(EOMONTH(DATE(cfg_Year,9,1),0),cfg_LastDataDate),cd_Date,0)),""))</f>
        <v/>
      </c>
      <c r="M26" s="27">
        <f>IF(DATE(cfg_Year,10,1)&gt;cfg_LastDataDate,IFERROR(INDEX(cd_Bud_Waste_t_Month,MATCH(DATE(cfg_Year,10,1),cd_Date,0)),""),IFERROR(INDEX(cd_Bud_Waste_t_MTD,MATCH(MIN(EOMONTH(DATE(cfg_Year,10,1),0),cfg_LastDataDate),cd_Date,0)),""))</f>
        <v/>
      </c>
      <c r="N26" s="27">
        <f>IF(DATE(cfg_Year,11,1)&gt;cfg_LastDataDate,IFERROR(INDEX(cd_Bud_Waste_t_Month,MATCH(DATE(cfg_Year,11,1),cd_Date,0)),""),IFERROR(INDEX(cd_Bud_Waste_t_MTD,MATCH(MIN(EOMONTH(DATE(cfg_Year,11,1),0),cfg_LastDataDate),cd_Date,0)),""))</f>
        <v/>
      </c>
      <c r="O26" s="27">
        <f>IF(DATE(cfg_Year,12,1)&gt;cfg_LastDataDate,IFERROR(INDEX(cd_Bud_Waste_t_Month,MATCH(DATE(cfg_Year,12,1),cd_Date,0)),""),IFERROR(INDEX(cd_Bud_Waste_t_MTD,MATCH(MIN(EOMONTH(DATE(cfg_Year,12,1),0),cfg_LastDataDate),cd_Date,0)),""))</f>
        <v/>
      </c>
      <c r="P26" s="45">
        <f>IFERROR(INDEX(cd_Bud_Waste_t_YTD,MATCH(IF(N(cfg_LastDataDate)&gt;0,MIN(cfg_YearEnd,cfg_LastDataDate),cfg_YearEnd),cd_Date,0)),"")</f>
        <v/>
      </c>
    </row>
    <row r="27">
      <c r="B27" s="39" t="inlineStr"/>
      <c r="C27" s="36" t="inlineStr">
        <is>
          <t>Variance</t>
        </is>
      </c>
      <c r="D27" s="40">
        <f>IF(AND(ISNUMBER(D25),ISNUMBER(D26),D26&lt;&gt;0),D25/D26-1,"")</f>
        <v/>
      </c>
      <c r="E27" s="40">
        <f>IF(AND(ISNUMBER(E25),ISNUMBER(E26),E26&lt;&gt;0),E25/E26-1,"")</f>
        <v/>
      </c>
      <c r="F27" s="40">
        <f>IF(AND(ISNUMBER(F25),ISNUMBER(F26),F26&lt;&gt;0),F25/F26-1,"")</f>
        <v/>
      </c>
      <c r="G27" s="40">
        <f>IF(AND(ISNUMBER(G25),ISNUMBER(G26),G26&lt;&gt;0),G25/G26-1,"")</f>
        <v/>
      </c>
      <c r="H27" s="40">
        <f>IF(AND(ISNUMBER(H25),ISNUMBER(H26),H26&lt;&gt;0),H25/H26-1,"")</f>
        <v/>
      </c>
      <c r="I27" s="40">
        <f>IF(AND(ISNUMBER(I25),ISNUMBER(I26),I26&lt;&gt;0),I25/I26-1,"")</f>
        <v/>
      </c>
      <c r="J27" s="40">
        <f>IF(AND(ISNUMBER(J25),ISNUMBER(J26),J26&lt;&gt;0),J25/J26-1,"")</f>
        <v/>
      </c>
      <c r="K27" s="40">
        <f>IF(AND(ISNUMBER(K25),ISNUMBER(K26),K26&lt;&gt;0),K25/K26-1,"")</f>
        <v/>
      </c>
      <c r="L27" s="40">
        <f>IF(AND(ISNUMBER(L25),ISNUMBER(L26),L26&lt;&gt;0),L25/L26-1,"")</f>
        <v/>
      </c>
      <c r="M27" s="40">
        <f>IF(AND(ISNUMBER(M25),ISNUMBER(M26),M26&lt;&gt;0),M25/M26-1,"")</f>
        <v/>
      </c>
      <c r="N27" s="40">
        <f>IF(AND(ISNUMBER(N25),ISNUMBER(N26),N26&lt;&gt;0),N25/N26-1,"")</f>
        <v/>
      </c>
      <c r="O27" s="40">
        <f>IF(AND(ISNUMBER(O25),ISNUMBER(O26),O26&lt;&gt;0),O25/O26-1,"")</f>
        <v/>
      </c>
      <c r="P27" s="41">
        <f>IF(AND(ISNUMBER(P25),ISNUMBER(P26),P26&lt;&gt;0),P25/P26-1,"")</f>
        <v/>
      </c>
    </row>
    <row r="28"/>
    <row r="29">
      <c r="B29" s="8" t="inlineStr">
        <is>
          <t>Total material moved</t>
        </is>
      </c>
      <c r="C29" s="36" t="inlineStr">
        <is>
          <t>Actual</t>
        </is>
      </c>
      <c r="D29" s="27">
        <f>IF(DATE(cfg_Year,1,1)&gt;cfg_LastDataDate,"",IFERROR(INDEX(cd_TMM_t_MTD,MATCH(MIN(EOMONTH(DATE(cfg_Year,1,1),0),cfg_LastDataDate),cd_Date,0)),""))</f>
        <v/>
      </c>
      <c r="E29" s="27">
        <f>IF(DATE(cfg_Year,2,1)&gt;cfg_LastDataDate,"",IFERROR(INDEX(cd_TMM_t_MTD,MATCH(MIN(EOMONTH(DATE(cfg_Year,2,1),0),cfg_LastDataDate),cd_Date,0)),""))</f>
        <v/>
      </c>
      <c r="F29" s="27">
        <f>IF(DATE(cfg_Year,3,1)&gt;cfg_LastDataDate,"",IFERROR(INDEX(cd_TMM_t_MTD,MATCH(MIN(EOMONTH(DATE(cfg_Year,3,1),0),cfg_LastDataDate),cd_Date,0)),""))</f>
        <v/>
      </c>
      <c r="G29" s="27">
        <f>IF(DATE(cfg_Year,4,1)&gt;cfg_LastDataDate,"",IFERROR(INDEX(cd_TMM_t_MTD,MATCH(MIN(EOMONTH(DATE(cfg_Year,4,1),0),cfg_LastDataDate),cd_Date,0)),""))</f>
        <v/>
      </c>
      <c r="H29" s="27">
        <f>IF(DATE(cfg_Year,5,1)&gt;cfg_LastDataDate,"",IFERROR(INDEX(cd_TMM_t_MTD,MATCH(MIN(EOMONTH(DATE(cfg_Year,5,1),0),cfg_LastDataDate),cd_Date,0)),""))</f>
        <v/>
      </c>
      <c r="I29" s="27">
        <f>IF(DATE(cfg_Year,6,1)&gt;cfg_LastDataDate,"",IFERROR(INDEX(cd_TMM_t_MTD,MATCH(MIN(EOMONTH(DATE(cfg_Year,6,1),0),cfg_LastDataDate),cd_Date,0)),""))</f>
        <v/>
      </c>
      <c r="J29" s="27">
        <f>IF(DATE(cfg_Year,7,1)&gt;cfg_LastDataDate,"",IFERROR(INDEX(cd_TMM_t_MTD,MATCH(MIN(EOMONTH(DATE(cfg_Year,7,1),0),cfg_LastDataDate),cd_Date,0)),""))</f>
        <v/>
      </c>
      <c r="K29" s="27">
        <f>IF(DATE(cfg_Year,8,1)&gt;cfg_LastDataDate,"",IFERROR(INDEX(cd_TMM_t_MTD,MATCH(MIN(EOMONTH(DATE(cfg_Year,8,1),0),cfg_LastDataDate),cd_Date,0)),""))</f>
        <v/>
      </c>
      <c r="L29" s="27">
        <f>IF(DATE(cfg_Year,9,1)&gt;cfg_LastDataDate,"",IFERROR(INDEX(cd_TMM_t_MTD,MATCH(MIN(EOMONTH(DATE(cfg_Year,9,1),0),cfg_LastDataDate),cd_Date,0)),""))</f>
        <v/>
      </c>
      <c r="M29" s="27">
        <f>IF(DATE(cfg_Year,10,1)&gt;cfg_LastDataDate,"",IFERROR(INDEX(cd_TMM_t_MTD,MATCH(MIN(EOMONTH(DATE(cfg_Year,10,1),0),cfg_LastDataDate),cd_Date,0)),""))</f>
        <v/>
      </c>
      <c r="N29" s="27">
        <f>IF(DATE(cfg_Year,11,1)&gt;cfg_LastDataDate,"",IFERROR(INDEX(cd_TMM_t_MTD,MATCH(MIN(EOMONTH(DATE(cfg_Year,11,1),0),cfg_LastDataDate),cd_Date,0)),""))</f>
        <v/>
      </c>
      <c r="O29" s="27">
        <f>IF(DATE(cfg_Year,12,1)&gt;cfg_LastDataDate,"",IFERROR(INDEX(cd_TMM_t_MTD,MATCH(MIN(EOMONTH(DATE(cfg_Year,12,1),0),cfg_LastDataDate),cd_Date,0)),""))</f>
        <v/>
      </c>
      <c r="P29" s="45">
        <f>IFERROR(INDEX(cd_TMM_t_YTD,MATCH(MIN(cfg_YearEnd,cfg_LastDataDate),cd_Date,0)),"")</f>
        <v/>
      </c>
    </row>
    <row r="30">
      <c r="B30" s="39" t="inlineStr"/>
      <c r="C30" s="36" t="inlineStr">
        <is>
          <t>Budget</t>
        </is>
      </c>
      <c r="D30" s="27">
        <f>IF(DATE(cfg_Year,1,1)&gt;cfg_LastDataDate,IFERROR(INDEX(cd_Bud_TMM_t_Month,MATCH(DATE(cfg_Year,1,1),cd_Date,0)),""),IFERROR(INDEX(cd_Bud_TMM_t_MTD,MATCH(MIN(EOMONTH(DATE(cfg_Year,1,1),0),cfg_LastDataDate),cd_Date,0)),""))</f>
        <v/>
      </c>
      <c r="E30" s="27">
        <f>IF(DATE(cfg_Year,2,1)&gt;cfg_LastDataDate,IFERROR(INDEX(cd_Bud_TMM_t_Month,MATCH(DATE(cfg_Year,2,1),cd_Date,0)),""),IFERROR(INDEX(cd_Bud_TMM_t_MTD,MATCH(MIN(EOMONTH(DATE(cfg_Year,2,1),0),cfg_LastDataDate),cd_Date,0)),""))</f>
        <v/>
      </c>
      <c r="F30" s="27">
        <f>IF(DATE(cfg_Year,3,1)&gt;cfg_LastDataDate,IFERROR(INDEX(cd_Bud_TMM_t_Month,MATCH(DATE(cfg_Year,3,1),cd_Date,0)),""),IFERROR(INDEX(cd_Bud_TMM_t_MTD,MATCH(MIN(EOMONTH(DATE(cfg_Year,3,1),0),cfg_LastDataDate),cd_Date,0)),""))</f>
        <v/>
      </c>
      <c r="G30" s="27">
        <f>IF(DATE(cfg_Year,4,1)&gt;cfg_LastDataDate,IFERROR(INDEX(cd_Bud_TMM_t_Month,MATCH(DATE(cfg_Year,4,1),cd_Date,0)),""),IFERROR(INDEX(cd_Bud_TMM_t_MTD,MATCH(MIN(EOMONTH(DATE(cfg_Year,4,1),0),cfg_LastDataDate),cd_Date,0)),""))</f>
        <v/>
      </c>
      <c r="H30" s="27">
        <f>IF(DATE(cfg_Year,5,1)&gt;cfg_LastDataDate,IFERROR(INDEX(cd_Bud_TMM_t_Month,MATCH(DATE(cfg_Year,5,1),cd_Date,0)),""),IFERROR(INDEX(cd_Bud_TMM_t_MTD,MATCH(MIN(EOMONTH(DATE(cfg_Year,5,1),0),cfg_LastDataDate),cd_Date,0)),""))</f>
        <v/>
      </c>
      <c r="I30" s="27">
        <f>IF(DATE(cfg_Year,6,1)&gt;cfg_LastDataDate,IFERROR(INDEX(cd_Bud_TMM_t_Month,MATCH(DATE(cfg_Year,6,1),cd_Date,0)),""),IFERROR(INDEX(cd_Bud_TMM_t_MTD,MATCH(MIN(EOMONTH(DATE(cfg_Year,6,1),0),cfg_LastDataDate),cd_Date,0)),""))</f>
        <v/>
      </c>
      <c r="J30" s="27">
        <f>IF(DATE(cfg_Year,7,1)&gt;cfg_LastDataDate,IFERROR(INDEX(cd_Bud_TMM_t_Month,MATCH(DATE(cfg_Year,7,1),cd_Date,0)),""),IFERROR(INDEX(cd_Bud_TMM_t_MTD,MATCH(MIN(EOMONTH(DATE(cfg_Year,7,1),0),cfg_LastDataDate),cd_Date,0)),""))</f>
        <v/>
      </c>
      <c r="K30" s="27">
        <f>IF(DATE(cfg_Year,8,1)&gt;cfg_LastDataDate,IFERROR(INDEX(cd_Bud_TMM_t_Month,MATCH(DATE(cfg_Year,8,1),cd_Date,0)),""),IFERROR(INDEX(cd_Bud_TMM_t_MTD,MATCH(MIN(EOMONTH(DATE(cfg_Year,8,1),0),cfg_LastDataDate),cd_Date,0)),""))</f>
        <v/>
      </c>
      <c r="L30" s="27">
        <f>IF(DATE(cfg_Year,9,1)&gt;cfg_LastDataDate,IFERROR(INDEX(cd_Bud_TMM_t_Month,MATCH(DATE(cfg_Year,9,1),cd_Date,0)),""),IFERROR(INDEX(cd_Bud_TMM_t_MTD,MATCH(MIN(EOMONTH(DATE(cfg_Year,9,1),0),cfg_LastDataDate),cd_Date,0)),""))</f>
        <v/>
      </c>
      <c r="M30" s="27">
        <f>IF(DATE(cfg_Year,10,1)&gt;cfg_LastDataDate,IFERROR(INDEX(cd_Bud_TMM_t_Month,MATCH(DATE(cfg_Year,10,1),cd_Date,0)),""),IFERROR(INDEX(cd_Bud_TMM_t_MTD,MATCH(MIN(EOMONTH(DATE(cfg_Year,10,1),0),cfg_LastDataDate),cd_Date,0)),""))</f>
        <v/>
      </c>
      <c r="N30" s="27">
        <f>IF(DATE(cfg_Year,11,1)&gt;cfg_LastDataDate,IFERROR(INDEX(cd_Bud_TMM_t_Month,MATCH(DATE(cfg_Year,11,1),cd_Date,0)),""),IFERROR(INDEX(cd_Bud_TMM_t_MTD,MATCH(MIN(EOMONTH(DATE(cfg_Year,11,1),0),cfg_LastDataDate),cd_Date,0)),""))</f>
        <v/>
      </c>
      <c r="O30" s="27">
        <f>IF(DATE(cfg_Year,12,1)&gt;cfg_LastDataDate,IFERROR(INDEX(cd_Bud_TMM_t_Month,MATCH(DATE(cfg_Year,12,1),cd_Date,0)),""),IFERROR(INDEX(cd_Bud_TMM_t_MTD,MATCH(MIN(EOMONTH(DATE(cfg_Year,12,1),0),cfg_LastDataDate),cd_Date,0)),""))</f>
        <v/>
      </c>
      <c r="P30" s="45">
        <f>IFERROR(INDEX(cd_Bud_TMM_t_YTD,MATCH(IF(N(cfg_LastDataDate)&gt;0,MIN(cfg_YearEnd,cfg_LastDataDate),cfg_YearEnd),cd_Date,0)),"")</f>
        <v/>
      </c>
    </row>
    <row r="31">
      <c r="B31" s="39" t="inlineStr"/>
      <c r="C31" s="36" t="inlineStr">
        <is>
          <t>Variance</t>
        </is>
      </c>
      <c r="D31" s="40">
        <f>IF(AND(ISNUMBER(D29),ISNUMBER(D30),D30&lt;&gt;0),D29/D30-1,"")</f>
        <v/>
      </c>
      <c r="E31" s="40">
        <f>IF(AND(ISNUMBER(E29),ISNUMBER(E30),E30&lt;&gt;0),E29/E30-1,"")</f>
        <v/>
      </c>
      <c r="F31" s="40">
        <f>IF(AND(ISNUMBER(F29),ISNUMBER(F30),F30&lt;&gt;0),F29/F30-1,"")</f>
        <v/>
      </c>
      <c r="G31" s="40">
        <f>IF(AND(ISNUMBER(G29),ISNUMBER(G30),G30&lt;&gt;0),G29/G30-1,"")</f>
        <v/>
      </c>
      <c r="H31" s="40">
        <f>IF(AND(ISNUMBER(H29),ISNUMBER(H30),H30&lt;&gt;0),H29/H30-1,"")</f>
        <v/>
      </c>
      <c r="I31" s="40">
        <f>IF(AND(ISNUMBER(I29),ISNUMBER(I30),I30&lt;&gt;0),I29/I30-1,"")</f>
        <v/>
      </c>
      <c r="J31" s="40">
        <f>IF(AND(ISNUMBER(J29),ISNUMBER(J30),J30&lt;&gt;0),J29/J30-1,"")</f>
        <v/>
      </c>
      <c r="K31" s="40">
        <f>IF(AND(ISNUMBER(K29),ISNUMBER(K30),K30&lt;&gt;0),K29/K30-1,"")</f>
        <v/>
      </c>
      <c r="L31" s="40">
        <f>IF(AND(ISNUMBER(L29),ISNUMBER(L30),L30&lt;&gt;0),L29/L30-1,"")</f>
        <v/>
      </c>
      <c r="M31" s="40">
        <f>IF(AND(ISNUMBER(M29),ISNUMBER(M30),M30&lt;&gt;0),M29/M30-1,"")</f>
        <v/>
      </c>
      <c r="N31" s="40">
        <f>IF(AND(ISNUMBER(N29),ISNUMBER(N30),N30&lt;&gt;0),N29/N30-1,"")</f>
        <v/>
      </c>
      <c r="O31" s="40">
        <f>IF(AND(ISNUMBER(O29),ISNUMBER(O30),O30&lt;&gt;0),O29/O30-1,"")</f>
        <v/>
      </c>
      <c r="P31" s="41">
        <f>IF(AND(ISNUMBER(P29),ISNUMBER(P30),P30&lt;&gt;0),P29/P30-1,"")</f>
        <v/>
      </c>
    </row>
    <row r="32"/>
    <row r="33">
      <c r="B33" s="8" t="inlineStr">
        <is>
          <t>Strip ratio (waste : ore)</t>
        </is>
      </c>
      <c r="C33" s="36" t="inlineStr">
        <is>
          <t>Actual</t>
        </is>
      </c>
      <c r="D33" s="28">
        <f>IF(DATE(cfg_Year,1,1)&gt;cfg_LastDataDate,"",IFERROR(INDEX(cd_Strip_Ratio_MTD,MATCH(MIN(EOMONTH(DATE(cfg_Year,1,1),0),cfg_LastDataDate),cd_Date,0)),""))</f>
        <v/>
      </c>
      <c r="E33" s="28">
        <f>IF(DATE(cfg_Year,2,1)&gt;cfg_LastDataDate,"",IFERROR(INDEX(cd_Strip_Ratio_MTD,MATCH(MIN(EOMONTH(DATE(cfg_Year,2,1),0),cfg_LastDataDate),cd_Date,0)),""))</f>
        <v/>
      </c>
      <c r="F33" s="28">
        <f>IF(DATE(cfg_Year,3,1)&gt;cfg_LastDataDate,"",IFERROR(INDEX(cd_Strip_Ratio_MTD,MATCH(MIN(EOMONTH(DATE(cfg_Year,3,1),0),cfg_LastDataDate),cd_Date,0)),""))</f>
        <v/>
      </c>
      <c r="G33" s="28">
        <f>IF(DATE(cfg_Year,4,1)&gt;cfg_LastDataDate,"",IFERROR(INDEX(cd_Strip_Ratio_MTD,MATCH(MIN(EOMONTH(DATE(cfg_Year,4,1),0),cfg_LastDataDate),cd_Date,0)),""))</f>
        <v/>
      </c>
      <c r="H33" s="28">
        <f>IF(DATE(cfg_Year,5,1)&gt;cfg_LastDataDate,"",IFERROR(INDEX(cd_Strip_Ratio_MTD,MATCH(MIN(EOMONTH(DATE(cfg_Year,5,1),0),cfg_LastDataDate),cd_Date,0)),""))</f>
        <v/>
      </c>
      <c r="I33" s="28">
        <f>IF(DATE(cfg_Year,6,1)&gt;cfg_LastDataDate,"",IFERROR(INDEX(cd_Strip_Ratio_MTD,MATCH(MIN(EOMONTH(DATE(cfg_Year,6,1),0),cfg_LastDataDate),cd_Date,0)),""))</f>
        <v/>
      </c>
      <c r="J33" s="28">
        <f>IF(DATE(cfg_Year,7,1)&gt;cfg_LastDataDate,"",IFERROR(INDEX(cd_Strip_Ratio_MTD,MATCH(MIN(EOMONTH(DATE(cfg_Year,7,1),0),cfg_LastDataDate),cd_Date,0)),""))</f>
        <v/>
      </c>
      <c r="K33" s="28">
        <f>IF(DATE(cfg_Year,8,1)&gt;cfg_LastDataDate,"",IFERROR(INDEX(cd_Strip_Ratio_MTD,MATCH(MIN(EOMONTH(DATE(cfg_Year,8,1),0),cfg_LastDataDate),cd_Date,0)),""))</f>
        <v/>
      </c>
      <c r="L33" s="28">
        <f>IF(DATE(cfg_Year,9,1)&gt;cfg_LastDataDate,"",IFERROR(INDEX(cd_Strip_Ratio_MTD,MATCH(MIN(EOMONTH(DATE(cfg_Year,9,1),0),cfg_LastDataDate),cd_Date,0)),""))</f>
        <v/>
      </c>
      <c r="M33" s="28">
        <f>IF(DATE(cfg_Year,10,1)&gt;cfg_LastDataDate,"",IFERROR(INDEX(cd_Strip_Ratio_MTD,MATCH(MIN(EOMONTH(DATE(cfg_Year,10,1),0),cfg_LastDataDate),cd_Date,0)),""))</f>
        <v/>
      </c>
      <c r="N33" s="28">
        <f>IF(DATE(cfg_Year,11,1)&gt;cfg_LastDataDate,"",IFERROR(INDEX(cd_Strip_Ratio_MTD,MATCH(MIN(EOMONTH(DATE(cfg_Year,11,1),0),cfg_LastDataDate),cd_Date,0)),""))</f>
        <v/>
      </c>
      <c r="O33" s="28">
        <f>IF(DATE(cfg_Year,12,1)&gt;cfg_LastDataDate,"",IFERROR(INDEX(cd_Strip_Ratio_MTD,MATCH(MIN(EOMONTH(DATE(cfg_Year,12,1),0),cfg_LastDataDate),cd_Date,0)),""))</f>
        <v/>
      </c>
      <c r="P33" s="44">
        <f>IFERROR(INDEX(cd_Strip_Ratio_YTD,MATCH(MIN(cfg_YearEnd,cfg_LastDataDate),cd_Date,0)),"")</f>
        <v/>
      </c>
    </row>
    <row r="34">
      <c r="B34" s="39" t="inlineStr"/>
      <c r="C34" s="36" t="inlineStr">
        <is>
          <t>Budget</t>
        </is>
      </c>
      <c r="D34" s="28">
        <f>IF(DATE(cfg_Year,1,1)&gt;cfg_LastDataDate,IFERROR(INDEX(cd_Bud_Strip_Ratio_Month,MATCH(DATE(cfg_Year,1,1),cd_Date,0)),""),IFERROR(INDEX(cd_Bud_Strip_Ratio_MTD,MATCH(MIN(EOMONTH(DATE(cfg_Year,1,1),0),cfg_LastDataDate),cd_Date,0)),""))</f>
        <v/>
      </c>
      <c r="E34" s="28">
        <f>IF(DATE(cfg_Year,2,1)&gt;cfg_LastDataDate,IFERROR(INDEX(cd_Bud_Strip_Ratio_Month,MATCH(DATE(cfg_Year,2,1),cd_Date,0)),""),IFERROR(INDEX(cd_Bud_Strip_Ratio_MTD,MATCH(MIN(EOMONTH(DATE(cfg_Year,2,1),0),cfg_LastDataDate),cd_Date,0)),""))</f>
        <v/>
      </c>
      <c r="F34" s="28">
        <f>IF(DATE(cfg_Year,3,1)&gt;cfg_LastDataDate,IFERROR(INDEX(cd_Bud_Strip_Ratio_Month,MATCH(DATE(cfg_Year,3,1),cd_Date,0)),""),IFERROR(INDEX(cd_Bud_Strip_Ratio_MTD,MATCH(MIN(EOMONTH(DATE(cfg_Year,3,1),0),cfg_LastDataDate),cd_Date,0)),""))</f>
        <v/>
      </c>
      <c r="G34" s="28">
        <f>IF(DATE(cfg_Year,4,1)&gt;cfg_LastDataDate,IFERROR(INDEX(cd_Bud_Strip_Ratio_Month,MATCH(DATE(cfg_Year,4,1),cd_Date,0)),""),IFERROR(INDEX(cd_Bud_Strip_Ratio_MTD,MATCH(MIN(EOMONTH(DATE(cfg_Year,4,1),0),cfg_LastDataDate),cd_Date,0)),""))</f>
        <v/>
      </c>
      <c r="H34" s="28">
        <f>IF(DATE(cfg_Year,5,1)&gt;cfg_LastDataDate,IFERROR(INDEX(cd_Bud_Strip_Ratio_Month,MATCH(DATE(cfg_Year,5,1),cd_Date,0)),""),IFERROR(INDEX(cd_Bud_Strip_Ratio_MTD,MATCH(MIN(EOMONTH(DATE(cfg_Year,5,1),0),cfg_LastDataDate),cd_Date,0)),""))</f>
        <v/>
      </c>
      <c r="I34" s="28">
        <f>IF(DATE(cfg_Year,6,1)&gt;cfg_LastDataDate,IFERROR(INDEX(cd_Bud_Strip_Ratio_Month,MATCH(DATE(cfg_Year,6,1),cd_Date,0)),""),IFERROR(INDEX(cd_Bud_Strip_Ratio_MTD,MATCH(MIN(EOMONTH(DATE(cfg_Year,6,1),0),cfg_LastDataDate),cd_Date,0)),""))</f>
        <v/>
      </c>
      <c r="J34" s="28">
        <f>IF(DATE(cfg_Year,7,1)&gt;cfg_LastDataDate,IFERROR(INDEX(cd_Bud_Strip_Ratio_Month,MATCH(DATE(cfg_Year,7,1),cd_Date,0)),""),IFERROR(INDEX(cd_Bud_Strip_Ratio_MTD,MATCH(MIN(EOMONTH(DATE(cfg_Year,7,1),0),cfg_LastDataDate),cd_Date,0)),""))</f>
        <v/>
      </c>
      <c r="K34" s="28">
        <f>IF(DATE(cfg_Year,8,1)&gt;cfg_LastDataDate,IFERROR(INDEX(cd_Bud_Strip_Ratio_Month,MATCH(DATE(cfg_Year,8,1),cd_Date,0)),""),IFERROR(INDEX(cd_Bud_Strip_Ratio_MTD,MATCH(MIN(EOMONTH(DATE(cfg_Year,8,1),0),cfg_LastDataDate),cd_Date,0)),""))</f>
        <v/>
      </c>
      <c r="L34" s="28">
        <f>IF(DATE(cfg_Year,9,1)&gt;cfg_LastDataDate,IFERROR(INDEX(cd_Bud_Strip_Ratio_Month,MATCH(DATE(cfg_Year,9,1),cd_Date,0)),""),IFERROR(INDEX(cd_Bud_Strip_Ratio_MTD,MATCH(MIN(EOMONTH(DATE(cfg_Year,9,1),0),cfg_LastDataDate),cd_Date,0)),""))</f>
        <v/>
      </c>
      <c r="M34" s="28">
        <f>IF(DATE(cfg_Year,10,1)&gt;cfg_LastDataDate,IFERROR(INDEX(cd_Bud_Strip_Ratio_Month,MATCH(DATE(cfg_Year,10,1),cd_Date,0)),""),IFERROR(INDEX(cd_Bud_Strip_Ratio_MTD,MATCH(MIN(EOMONTH(DATE(cfg_Year,10,1),0),cfg_LastDataDate),cd_Date,0)),""))</f>
        <v/>
      </c>
      <c r="N34" s="28">
        <f>IF(DATE(cfg_Year,11,1)&gt;cfg_LastDataDate,IFERROR(INDEX(cd_Bud_Strip_Ratio_Month,MATCH(DATE(cfg_Year,11,1),cd_Date,0)),""),IFERROR(INDEX(cd_Bud_Strip_Ratio_MTD,MATCH(MIN(EOMONTH(DATE(cfg_Year,11,1),0),cfg_LastDataDate),cd_Date,0)),""))</f>
        <v/>
      </c>
      <c r="O34" s="28">
        <f>IF(DATE(cfg_Year,12,1)&gt;cfg_LastDataDate,IFERROR(INDEX(cd_Bud_Strip_Ratio_Month,MATCH(DATE(cfg_Year,12,1),cd_Date,0)),""),IFERROR(INDEX(cd_Bud_Strip_Ratio_MTD,MATCH(MIN(EOMONTH(DATE(cfg_Year,12,1),0),cfg_LastDataDate),cd_Date,0)),""))</f>
        <v/>
      </c>
      <c r="P34" s="44">
        <f>IFERROR(INDEX(cd_Bud_Strip_Ratio_YTD,MATCH(IF(N(cfg_LastDataDate)&gt;0,MIN(cfg_YearEnd,cfg_LastDataDate),cfg_YearEnd),cd_Date,0)),"")</f>
        <v/>
      </c>
    </row>
    <row r="35">
      <c r="B35" s="39" t="inlineStr"/>
      <c r="C35" s="36" t="inlineStr">
        <is>
          <t>Variance</t>
        </is>
      </c>
      <c r="D35" s="40">
        <f>IF(AND(ISNUMBER(D33),ISNUMBER(D34),D34&lt;&gt;0),D33/D34-1,"")</f>
        <v/>
      </c>
      <c r="E35" s="40">
        <f>IF(AND(ISNUMBER(E33),ISNUMBER(E34),E34&lt;&gt;0),E33/E34-1,"")</f>
        <v/>
      </c>
      <c r="F35" s="40">
        <f>IF(AND(ISNUMBER(F33),ISNUMBER(F34),F34&lt;&gt;0),F33/F34-1,"")</f>
        <v/>
      </c>
      <c r="G35" s="40">
        <f>IF(AND(ISNUMBER(G33),ISNUMBER(G34),G34&lt;&gt;0),G33/G34-1,"")</f>
        <v/>
      </c>
      <c r="H35" s="40">
        <f>IF(AND(ISNUMBER(H33),ISNUMBER(H34),H34&lt;&gt;0),H33/H34-1,"")</f>
        <v/>
      </c>
      <c r="I35" s="40">
        <f>IF(AND(ISNUMBER(I33),ISNUMBER(I34),I34&lt;&gt;0),I33/I34-1,"")</f>
        <v/>
      </c>
      <c r="J35" s="40">
        <f>IF(AND(ISNUMBER(J33),ISNUMBER(J34),J34&lt;&gt;0),J33/J34-1,"")</f>
        <v/>
      </c>
      <c r="K35" s="40">
        <f>IF(AND(ISNUMBER(K33),ISNUMBER(K34),K34&lt;&gt;0),K33/K34-1,"")</f>
        <v/>
      </c>
      <c r="L35" s="40">
        <f>IF(AND(ISNUMBER(L33),ISNUMBER(L34),L34&lt;&gt;0),L33/L34-1,"")</f>
        <v/>
      </c>
      <c r="M35" s="40">
        <f>IF(AND(ISNUMBER(M33),ISNUMBER(M34),M34&lt;&gt;0),M33/M34-1,"")</f>
        <v/>
      </c>
      <c r="N35" s="40">
        <f>IF(AND(ISNUMBER(N33),ISNUMBER(N34),N34&lt;&gt;0),N33/N34-1,"")</f>
        <v/>
      </c>
      <c r="O35" s="40">
        <f>IF(AND(ISNUMBER(O33),ISNUMBER(O34),O34&lt;&gt;0),O33/O34-1,"")</f>
        <v/>
      </c>
      <c r="P35" s="41">
        <f>IF(AND(ISNUMBER(P33),ISNUMBER(P34),P34&lt;&gt;0),P33/P34-1,"")</f>
        <v/>
      </c>
    </row>
    <row r="36"/>
    <row r="37">
      <c r="B37" s="8" t="inlineStr">
        <is>
          <t>Drilled</t>
        </is>
      </c>
      <c r="C37" s="36" t="inlineStr">
        <is>
          <t>Actual</t>
        </is>
      </c>
      <c r="D37" s="27">
        <f>IF(DATE(cfg_Year,1,1)&gt;cfg_LastDataDate,"",IFERROR(INDEX(cd_Drill_m_MTD,MATCH(MIN(EOMONTH(DATE(cfg_Year,1,1),0),cfg_LastDataDate),cd_Date,0)),""))</f>
        <v/>
      </c>
      <c r="E37" s="27">
        <f>IF(DATE(cfg_Year,2,1)&gt;cfg_LastDataDate,"",IFERROR(INDEX(cd_Drill_m_MTD,MATCH(MIN(EOMONTH(DATE(cfg_Year,2,1),0),cfg_LastDataDate),cd_Date,0)),""))</f>
        <v/>
      </c>
      <c r="F37" s="27">
        <f>IF(DATE(cfg_Year,3,1)&gt;cfg_LastDataDate,"",IFERROR(INDEX(cd_Drill_m_MTD,MATCH(MIN(EOMONTH(DATE(cfg_Year,3,1),0),cfg_LastDataDate),cd_Date,0)),""))</f>
        <v/>
      </c>
      <c r="G37" s="27">
        <f>IF(DATE(cfg_Year,4,1)&gt;cfg_LastDataDate,"",IFERROR(INDEX(cd_Drill_m_MTD,MATCH(MIN(EOMONTH(DATE(cfg_Year,4,1),0),cfg_LastDataDate),cd_Date,0)),""))</f>
        <v/>
      </c>
      <c r="H37" s="27">
        <f>IF(DATE(cfg_Year,5,1)&gt;cfg_LastDataDate,"",IFERROR(INDEX(cd_Drill_m_MTD,MATCH(MIN(EOMONTH(DATE(cfg_Year,5,1),0),cfg_LastDataDate),cd_Date,0)),""))</f>
        <v/>
      </c>
      <c r="I37" s="27">
        <f>IF(DATE(cfg_Year,6,1)&gt;cfg_LastDataDate,"",IFERROR(INDEX(cd_Drill_m_MTD,MATCH(MIN(EOMONTH(DATE(cfg_Year,6,1),0),cfg_LastDataDate),cd_Date,0)),""))</f>
        <v/>
      </c>
      <c r="J37" s="27">
        <f>IF(DATE(cfg_Year,7,1)&gt;cfg_LastDataDate,"",IFERROR(INDEX(cd_Drill_m_MTD,MATCH(MIN(EOMONTH(DATE(cfg_Year,7,1),0),cfg_LastDataDate),cd_Date,0)),""))</f>
        <v/>
      </c>
      <c r="K37" s="27">
        <f>IF(DATE(cfg_Year,8,1)&gt;cfg_LastDataDate,"",IFERROR(INDEX(cd_Drill_m_MTD,MATCH(MIN(EOMONTH(DATE(cfg_Year,8,1),0),cfg_LastDataDate),cd_Date,0)),""))</f>
        <v/>
      </c>
      <c r="L37" s="27">
        <f>IF(DATE(cfg_Year,9,1)&gt;cfg_LastDataDate,"",IFERROR(INDEX(cd_Drill_m_MTD,MATCH(MIN(EOMONTH(DATE(cfg_Year,9,1),0),cfg_LastDataDate),cd_Date,0)),""))</f>
        <v/>
      </c>
      <c r="M37" s="27">
        <f>IF(DATE(cfg_Year,10,1)&gt;cfg_LastDataDate,"",IFERROR(INDEX(cd_Drill_m_MTD,MATCH(MIN(EOMONTH(DATE(cfg_Year,10,1),0),cfg_LastDataDate),cd_Date,0)),""))</f>
        <v/>
      </c>
      <c r="N37" s="27">
        <f>IF(DATE(cfg_Year,11,1)&gt;cfg_LastDataDate,"",IFERROR(INDEX(cd_Drill_m_MTD,MATCH(MIN(EOMONTH(DATE(cfg_Year,11,1),0),cfg_LastDataDate),cd_Date,0)),""))</f>
        <v/>
      </c>
      <c r="O37" s="27">
        <f>IF(DATE(cfg_Year,12,1)&gt;cfg_LastDataDate,"",IFERROR(INDEX(cd_Drill_m_MTD,MATCH(MIN(EOMONTH(DATE(cfg_Year,12,1),0),cfg_LastDataDate),cd_Date,0)),""))</f>
        <v/>
      </c>
      <c r="P37" s="45">
        <f>IFERROR(INDEX(cd_Drill_m_YTD,MATCH(MIN(cfg_YearEnd,cfg_LastDataDate),cd_Date,0)),"")</f>
        <v/>
      </c>
    </row>
    <row r="38">
      <c r="B38" s="39" t="inlineStr"/>
      <c r="C38" s="36" t="inlineStr">
        <is>
          <t>Budget</t>
        </is>
      </c>
      <c r="D38" s="27">
        <f>IF(DATE(cfg_Year,1,1)&gt;cfg_LastDataDate,IFERROR(INDEX(cd_Bud_Drill_m_Month,MATCH(DATE(cfg_Year,1,1),cd_Date,0)),""),IFERROR(INDEX(cd_Bud_Drill_m_MTD,MATCH(MIN(EOMONTH(DATE(cfg_Year,1,1),0),cfg_LastDataDate),cd_Date,0)),""))</f>
        <v/>
      </c>
      <c r="E38" s="27">
        <f>IF(DATE(cfg_Year,2,1)&gt;cfg_LastDataDate,IFERROR(INDEX(cd_Bud_Drill_m_Month,MATCH(DATE(cfg_Year,2,1),cd_Date,0)),""),IFERROR(INDEX(cd_Bud_Drill_m_MTD,MATCH(MIN(EOMONTH(DATE(cfg_Year,2,1),0),cfg_LastDataDate),cd_Date,0)),""))</f>
        <v/>
      </c>
      <c r="F38" s="27">
        <f>IF(DATE(cfg_Year,3,1)&gt;cfg_LastDataDate,IFERROR(INDEX(cd_Bud_Drill_m_Month,MATCH(DATE(cfg_Year,3,1),cd_Date,0)),""),IFERROR(INDEX(cd_Bud_Drill_m_MTD,MATCH(MIN(EOMONTH(DATE(cfg_Year,3,1),0),cfg_LastDataDate),cd_Date,0)),""))</f>
        <v/>
      </c>
      <c r="G38" s="27">
        <f>IF(DATE(cfg_Year,4,1)&gt;cfg_LastDataDate,IFERROR(INDEX(cd_Bud_Drill_m_Month,MATCH(DATE(cfg_Year,4,1),cd_Date,0)),""),IFERROR(INDEX(cd_Bud_Drill_m_MTD,MATCH(MIN(EOMONTH(DATE(cfg_Year,4,1),0),cfg_LastDataDate),cd_Date,0)),""))</f>
        <v/>
      </c>
      <c r="H38" s="27">
        <f>IF(DATE(cfg_Year,5,1)&gt;cfg_LastDataDate,IFERROR(INDEX(cd_Bud_Drill_m_Month,MATCH(DATE(cfg_Year,5,1),cd_Date,0)),""),IFERROR(INDEX(cd_Bud_Drill_m_MTD,MATCH(MIN(EOMONTH(DATE(cfg_Year,5,1),0),cfg_LastDataDate),cd_Date,0)),""))</f>
        <v/>
      </c>
      <c r="I38" s="27">
        <f>IF(DATE(cfg_Year,6,1)&gt;cfg_LastDataDate,IFERROR(INDEX(cd_Bud_Drill_m_Month,MATCH(DATE(cfg_Year,6,1),cd_Date,0)),""),IFERROR(INDEX(cd_Bud_Drill_m_MTD,MATCH(MIN(EOMONTH(DATE(cfg_Year,6,1),0),cfg_LastDataDate),cd_Date,0)),""))</f>
        <v/>
      </c>
      <c r="J38" s="27">
        <f>IF(DATE(cfg_Year,7,1)&gt;cfg_LastDataDate,IFERROR(INDEX(cd_Bud_Drill_m_Month,MATCH(DATE(cfg_Year,7,1),cd_Date,0)),""),IFERROR(INDEX(cd_Bud_Drill_m_MTD,MATCH(MIN(EOMONTH(DATE(cfg_Year,7,1),0),cfg_LastDataDate),cd_Date,0)),""))</f>
        <v/>
      </c>
      <c r="K38" s="27">
        <f>IF(DATE(cfg_Year,8,1)&gt;cfg_LastDataDate,IFERROR(INDEX(cd_Bud_Drill_m_Month,MATCH(DATE(cfg_Year,8,1),cd_Date,0)),""),IFERROR(INDEX(cd_Bud_Drill_m_MTD,MATCH(MIN(EOMONTH(DATE(cfg_Year,8,1),0),cfg_LastDataDate),cd_Date,0)),""))</f>
        <v/>
      </c>
      <c r="L38" s="27">
        <f>IF(DATE(cfg_Year,9,1)&gt;cfg_LastDataDate,IFERROR(INDEX(cd_Bud_Drill_m_Month,MATCH(DATE(cfg_Year,9,1),cd_Date,0)),""),IFERROR(INDEX(cd_Bud_Drill_m_MTD,MATCH(MIN(EOMONTH(DATE(cfg_Year,9,1),0),cfg_LastDataDate),cd_Date,0)),""))</f>
        <v/>
      </c>
      <c r="M38" s="27">
        <f>IF(DATE(cfg_Year,10,1)&gt;cfg_LastDataDate,IFERROR(INDEX(cd_Bud_Drill_m_Month,MATCH(DATE(cfg_Year,10,1),cd_Date,0)),""),IFERROR(INDEX(cd_Bud_Drill_m_MTD,MATCH(MIN(EOMONTH(DATE(cfg_Year,10,1),0),cfg_LastDataDate),cd_Date,0)),""))</f>
        <v/>
      </c>
      <c r="N38" s="27">
        <f>IF(DATE(cfg_Year,11,1)&gt;cfg_LastDataDate,IFERROR(INDEX(cd_Bud_Drill_m_Month,MATCH(DATE(cfg_Year,11,1),cd_Date,0)),""),IFERROR(INDEX(cd_Bud_Drill_m_MTD,MATCH(MIN(EOMONTH(DATE(cfg_Year,11,1),0),cfg_LastDataDate),cd_Date,0)),""))</f>
        <v/>
      </c>
      <c r="O38" s="27">
        <f>IF(DATE(cfg_Year,12,1)&gt;cfg_LastDataDate,IFERROR(INDEX(cd_Bud_Drill_m_Month,MATCH(DATE(cfg_Year,12,1),cd_Date,0)),""),IFERROR(INDEX(cd_Bud_Drill_m_MTD,MATCH(MIN(EOMONTH(DATE(cfg_Year,12,1),0),cfg_LastDataDate),cd_Date,0)),""))</f>
        <v/>
      </c>
      <c r="P38" s="45">
        <f>IFERROR(INDEX(cd_Bud_Drill_m_YTD,MATCH(IF(N(cfg_LastDataDate)&gt;0,MIN(cfg_YearEnd,cfg_LastDataDate),cfg_YearEnd),cd_Date,0)),"")</f>
        <v/>
      </c>
    </row>
    <row r="39">
      <c r="B39" s="39" t="inlineStr"/>
      <c r="C39" s="36" t="inlineStr">
        <is>
          <t>Variance</t>
        </is>
      </c>
      <c r="D39" s="40">
        <f>IF(AND(ISNUMBER(D37),ISNUMBER(D38),D38&lt;&gt;0),D37/D38-1,"")</f>
        <v/>
      </c>
      <c r="E39" s="40">
        <f>IF(AND(ISNUMBER(E37),ISNUMBER(E38),E38&lt;&gt;0),E37/E38-1,"")</f>
        <v/>
      </c>
      <c r="F39" s="40">
        <f>IF(AND(ISNUMBER(F37),ISNUMBER(F38),F38&lt;&gt;0),F37/F38-1,"")</f>
        <v/>
      </c>
      <c r="G39" s="40">
        <f>IF(AND(ISNUMBER(G37),ISNUMBER(G38),G38&lt;&gt;0),G37/G38-1,"")</f>
        <v/>
      </c>
      <c r="H39" s="40">
        <f>IF(AND(ISNUMBER(H37),ISNUMBER(H38),H38&lt;&gt;0),H37/H38-1,"")</f>
        <v/>
      </c>
      <c r="I39" s="40">
        <f>IF(AND(ISNUMBER(I37),ISNUMBER(I38),I38&lt;&gt;0),I37/I38-1,"")</f>
        <v/>
      </c>
      <c r="J39" s="40">
        <f>IF(AND(ISNUMBER(J37),ISNUMBER(J38),J38&lt;&gt;0),J37/J38-1,"")</f>
        <v/>
      </c>
      <c r="K39" s="40">
        <f>IF(AND(ISNUMBER(K37),ISNUMBER(K38),K38&lt;&gt;0),K37/K38-1,"")</f>
        <v/>
      </c>
      <c r="L39" s="40">
        <f>IF(AND(ISNUMBER(L37),ISNUMBER(L38),L38&lt;&gt;0),L37/L38-1,"")</f>
        <v/>
      </c>
      <c r="M39" s="40">
        <f>IF(AND(ISNUMBER(M37),ISNUMBER(M38),M38&lt;&gt;0),M37/M38-1,"")</f>
        <v/>
      </c>
      <c r="N39" s="40">
        <f>IF(AND(ISNUMBER(N37),ISNUMBER(N38),N38&lt;&gt;0),N37/N38-1,"")</f>
        <v/>
      </c>
      <c r="O39" s="40">
        <f>IF(AND(ISNUMBER(O37),ISNUMBER(O38),O38&lt;&gt;0),O37/O38-1,"")</f>
        <v/>
      </c>
      <c r="P39" s="41">
        <f>IF(AND(ISNUMBER(P37),ISNUMBER(P38),P38&lt;&gt;0),P37/P38-1,"")</f>
        <v/>
      </c>
    </row>
    <row r="40"/>
    <row r="41">
      <c r="B41" s="8" t="inlineStr">
        <is>
          <t>Milled</t>
        </is>
      </c>
      <c r="C41" s="36" t="inlineStr">
        <is>
          <t>Actual</t>
        </is>
      </c>
      <c r="D41" s="27">
        <f>IF(DATE(cfg_Year,1,1)&gt;cfg_LastDataDate,"",IFERROR(INDEX(cd_Milled_t_MTD,MATCH(MIN(EOMONTH(DATE(cfg_Year,1,1),0),cfg_LastDataDate),cd_Date,0)),""))</f>
        <v/>
      </c>
      <c r="E41" s="27">
        <f>IF(DATE(cfg_Year,2,1)&gt;cfg_LastDataDate,"",IFERROR(INDEX(cd_Milled_t_MTD,MATCH(MIN(EOMONTH(DATE(cfg_Year,2,1),0),cfg_LastDataDate),cd_Date,0)),""))</f>
        <v/>
      </c>
      <c r="F41" s="27">
        <f>IF(DATE(cfg_Year,3,1)&gt;cfg_LastDataDate,"",IFERROR(INDEX(cd_Milled_t_MTD,MATCH(MIN(EOMONTH(DATE(cfg_Year,3,1),0),cfg_LastDataDate),cd_Date,0)),""))</f>
        <v/>
      </c>
      <c r="G41" s="27">
        <f>IF(DATE(cfg_Year,4,1)&gt;cfg_LastDataDate,"",IFERROR(INDEX(cd_Milled_t_MTD,MATCH(MIN(EOMONTH(DATE(cfg_Year,4,1),0),cfg_LastDataDate),cd_Date,0)),""))</f>
        <v/>
      </c>
      <c r="H41" s="27">
        <f>IF(DATE(cfg_Year,5,1)&gt;cfg_LastDataDate,"",IFERROR(INDEX(cd_Milled_t_MTD,MATCH(MIN(EOMONTH(DATE(cfg_Year,5,1),0),cfg_LastDataDate),cd_Date,0)),""))</f>
        <v/>
      </c>
      <c r="I41" s="27">
        <f>IF(DATE(cfg_Year,6,1)&gt;cfg_LastDataDate,"",IFERROR(INDEX(cd_Milled_t_MTD,MATCH(MIN(EOMONTH(DATE(cfg_Year,6,1),0),cfg_LastDataDate),cd_Date,0)),""))</f>
        <v/>
      </c>
      <c r="J41" s="27">
        <f>IF(DATE(cfg_Year,7,1)&gt;cfg_LastDataDate,"",IFERROR(INDEX(cd_Milled_t_MTD,MATCH(MIN(EOMONTH(DATE(cfg_Year,7,1),0),cfg_LastDataDate),cd_Date,0)),""))</f>
        <v/>
      </c>
      <c r="K41" s="27">
        <f>IF(DATE(cfg_Year,8,1)&gt;cfg_LastDataDate,"",IFERROR(INDEX(cd_Milled_t_MTD,MATCH(MIN(EOMONTH(DATE(cfg_Year,8,1),0),cfg_LastDataDate),cd_Date,0)),""))</f>
        <v/>
      </c>
      <c r="L41" s="27">
        <f>IF(DATE(cfg_Year,9,1)&gt;cfg_LastDataDate,"",IFERROR(INDEX(cd_Milled_t_MTD,MATCH(MIN(EOMONTH(DATE(cfg_Year,9,1),0),cfg_LastDataDate),cd_Date,0)),""))</f>
        <v/>
      </c>
      <c r="M41" s="27">
        <f>IF(DATE(cfg_Year,10,1)&gt;cfg_LastDataDate,"",IFERROR(INDEX(cd_Milled_t_MTD,MATCH(MIN(EOMONTH(DATE(cfg_Year,10,1),0),cfg_LastDataDate),cd_Date,0)),""))</f>
        <v/>
      </c>
      <c r="N41" s="27">
        <f>IF(DATE(cfg_Year,11,1)&gt;cfg_LastDataDate,"",IFERROR(INDEX(cd_Milled_t_MTD,MATCH(MIN(EOMONTH(DATE(cfg_Year,11,1),0),cfg_LastDataDate),cd_Date,0)),""))</f>
        <v/>
      </c>
      <c r="O41" s="27">
        <f>IF(DATE(cfg_Year,12,1)&gt;cfg_LastDataDate,"",IFERROR(INDEX(cd_Milled_t_MTD,MATCH(MIN(EOMONTH(DATE(cfg_Year,12,1),0),cfg_LastDataDate),cd_Date,0)),""))</f>
        <v/>
      </c>
      <c r="P41" s="45">
        <f>IFERROR(INDEX(cd_Milled_t_YTD,MATCH(MIN(cfg_YearEnd,cfg_LastDataDate),cd_Date,0)),"")</f>
        <v/>
      </c>
    </row>
    <row r="42">
      <c r="B42" s="39" t="inlineStr"/>
      <c r="C42" s="36" t="inlineStr">
        <is>
          <t>Budget</t>
        </is>
      </c>
      <c r="D42" s="27">
        <f>IF(DATE(cfg_Year,1,1)&gt;cfg_LastDataDate,IFERROR(INDEX(cd_Bud_Milled_t_Month,MATCH(DATE(cfg_Year,1,1),cd_Date,0)),""),IFERROR(INDEX(cd_Bud_Milled_t_MTD,MATCH(MIN(EOMONTH(DATE(cfg_Year,1,1),0),cfg_LastDataDate),cd_Date,0)),""))</f>
        <v/>
      </c>
      <c r="E42" s="27">
        <f>IF(DATE(cfg_Year,2,1)&gt;cfg_LastDataDate,IFERROR(INDEX(cd_Bud_Milled_t_Month,MATCH(DATE(cfg_Year,2,1),cd_Date,0)),""),IFERROR(INDEX(cd_Bud_Milled_t_MTD,MATCH(MIN(EOMONTH(DATE(cfg_Year,2,1),0),cfg_LastDataDate),cd_Date,0)),""))</f>
        <v/>
      </c>
      <c r="F42" s="27">
        <f>IF(DATE(cfg_Year,3,1)&gt;cfg_LastDataDate,IFERROR(INDEX(cd_Bud_Milled_t_Month,MATCH(DATE(cfg_Year,3,1),cd_Date,0)),""),IFERROR(INDEX(cd_Bud_Milled_t_MTD,MATCH(MIN(EOMONTH(DATE(cfg_Year,3,1),0),cfg_LastDataDate),cd_Date,0)),""))</f>
        <v/>
      </c>
      <c r="G42" s="27">
        <f>IF(DATE(cfg_Year,4,1)&gt;cfg_LastDataDate,IFERROR(INDEX(cd_Bud_Milled_t_Month,MATCH(DATE(cfg_Year,4,1),cd_Date,0)),""),IFERROR(INDEX(cd_Bud_Milled_t_MTD,MATCH(MIN(EOMONTH(DATE(cfg_Year,4,1),0),cfg_LastDataDate),cd_Date,0)),""))</f>
        <v/>
      </c>
      <c r="H42" s="27">
        <f>IF(DATE(cfg_Year,5,1)&gt;cfg_LastDataDate,IFERROR(INDEX(cd_Bud_Milled_t_Month,MATCH(DATE(cfg_Year,5,1),cd_Date,0)),""),IFERROR(INDEX(cd_Bud_Milled_t_MTD,MATCH(MIN(EOMONTH(DATE(cfg_Year,5,1),0),cfg_LastDataDate),cd_Date,0)),""))</f>
        <v/>
      </c>
      <c r="I42" s="27">
        <f>IF(DATE(cfg_Year,6,1)&gt;cfg_LastDataDate,IFERROR(INDEX(cd_Bud_Milled_t_Month,MATCH(DATE(cfg_Year,6,1),cd_Date,0)),""),IFERROR(INDEX(cd_Bud_Milled_t_MTD,MATCH(MIN(EOMONTH(DATE(cfg_Year,6,1),0),cfg_LastDataDate),cd_Date,0)),""))</f>
        <v/>
      </c>
      <c r="J42" s="27">
        <f>IF(DATE(cfg_Year,7,1)&gt;cfg_LastDataDate,IFERROR(INDEX(cd_Bud_Milled_t_Month,MATCH(DATE(cfg_Year,7,1),cd_Date,0)),""),IFERROR(INDEX(cd_Bud_Milled_t_MTD,MATCH(MIN(EOMONTH(DATE(cfg_Year,7,1),0),cfg_LastDataDate),cd_Date,0)),""))</f>
        <v/>
      </c>
      <c r="K42" s="27">
        <f>IF(DATE(cfg_Year,8,1)&gt;cfg_LastDataDate,IFERROR(INDEX(cd_Bud_Milled_t_Month,MATCH(DATE(cfg_Year,8,1),cd_Date,0)),""),IFERROR(INDEX(cd_Bud_Milled_t_MTD,MATCH(MIN(EOMONTH(DATE(cfg_Year,8,1),0),cfg_LastDataDate),cd_Date,0)),""))</f>
        <v/>
      </c>
      <c r="L42" s="27">
        <f>IF(DATE(cfg_Year,9,1)&gt;cfg_LastDataDate,IFERROR(INDEX(cd_Bud_Milled_t_Month,MATCH(DATE(cfg_Year,9,1),cd_Date,0)),""),IFERROR(INDEX(cd_Bud_Milled_t_MTD,MATCH(MIN(EOMONTH(DATE(cfg_Year,9,1),0),cfg_LastDataDate),cd_Date,0)),""))</f>
        <v/>
      </c>
      <c r="M42" s="27">
        <f>IF(DATE(cfg_Year,10,1)&gt;cfg_LastDataDate,IFERROR(INDEX(cd_Bud_Milled_t_Month,MATCH(DATE(cfg_Year,10,1),cd_Date,0)),""),IFERROR(INDEX(cd_Bud_Milled_t_MTD,MATCH(MIN(EOMONTH(DATE(cfg_Year,10,1),0),cfg_LastDataDate),cd_Date,0)),""))</f>
        <v/>
      </c>
      <c r="N42" s="27">
        <f>IF(DATE(cfg_Year,11,1)&gt;cfg_LastDataDate,IFERROR(INDEX(cd_Bud_Milled_t_Month,MATCH(DATE(cfg_Year,11,1),cd_Date,0)),""),IFERROR(INDEX(cd_Bud_Milled_t_MTD,MATCH(MIN(EOMONTH(DATE(cfg_Year,11,1),0),cfg_LastDataDate),cd_Date,0)),""))</f>
        <v/>
      </c>
      <c r="O42" s="27">
        <f>IF(DATE(cfg_Year,12,1)&gt;cfg_LastDataDate,IFERROR(INDEX(cd_Bud_Milled_t_Month,MATCH(DATE(cfg_Year,12,1),cd_Date,0)),""),IFERROR(INDEX(cd_Bud_Milled_t_MTD,MATCH(MIN(EOMONTH(DATE(cfg_Year,12,1),0),cfg_LastDataDate),cd_Date,0)),""))</f>
        <v/>
      </c>
      <c r="P42" s="45">
        <f>IFERROR(INDEX(cd_Bud_Milled_t_YTD,MATCH(IF(N(cfg_LastDataDate)&gt;0,MIN(cfg_YearEnd,cfg_LastDataDate),cfg_YearEnd),cd_Date,0)),"")</f>
        <v/>
      </c>
    </row>
    <row r="43">
      <c r="B43" s="39" t="inlineStr"/>
      <c r="C43" s="36" t="inlineStr">
        <is>
          <t>Variance</t>
        </is>
      </c>
      <c r="D43" s="40">
        <f>IF(AND(ISNUMBER(D41),ISNUMBER(D42),D42&lt;&gt;0),D41/D42-1,"")</f>
        <v/>
      </c>
      <c r="E43" s="40">
        <f>IF(AND(ISNUMBER(E41),ISNUMBER(E42),E42&lt;&gt;0),E41/E42-1,"")</f>
        <v/>
      </c>
      <c r="F43" s="40">
        <f>IF(AND(ISNUMBER(F41),ISNUMBER(F42),F42&lt;&gt;0),F41/F42-1,"")</f>
        <v/>
      </c>
      <c r="G43" s="40">
        <f>IF(AND(ISNUMBER(G41),ISNUMBER(G42),G42&lt;&gt;0),G41/G42-1,"")</f>
        <v/>
      </c>
      <c r="H43" s="40">
        <f>IF(AND(ISNUMBER(H41),ISNUMBER(H42),H42&lt;&gt;0),H41/H42-1,"")</f>
        <v/>
      </c>
      <c r="I43" s="40">
        <f>IF(AND(ISNUMBER(I41),ISNUMBER(I42),I42&lt;&gt;0),I41/I42-1,"")</f>
        <v/>
      </c>
      <c r="J43" s="40">
        <f>IF(AND(ISNUMBER(J41),ISNUMBER(J42),J42&lt;&gt;0),J41/J42-1,"")</f>
        <v/>
      </c>
      <c r="K43" s="40">
        <f>IF(AND(ISNUMBER(K41),ISNUMBER(K42),K42&lt;&gt;0),K41/K42-1,"")</f>
        <v/>
      </c>
      <c r="L43" s="40">
        <f>IF(AND(ISNUMBER(L41),ISNUMBER(L42),L42&lt;&gt;0),L41/L42-1,"")</f>
        <v/>
      </c>
      <c r="M43" s="40">
        <f>IF(AND(ISNUMBER(M41),ISNUMBER(M42),M42&lt;&gt;0),M41/M42-1,"")</f>
        <v/>
      </c>
      <c r="N43" s="40">
        <f>IF(AND(ISNUMBER(N41),ISNUMBER(N42),N42&lt;&gt;0),N41/N42-1,"")</f>
        <v/>
      </c>
      <c r="O43" s="40">
        <f>IF(AND(ISNUMBER(O41),ISNUMBER(O42),O42&lt;&gt;0),O41/O42-1,"")</f>
        <v/>
      </c>
      <c r="P43" s="41">
        <f>IF(AND(ISNUMBER(P41),ISNUMBER(P42),P42&lt;&gt;0),P41/P42-1,"")</f>
        <v/>
      </c>
    </row>
    <row r="44"/>
    <row r="45">
      <c r="B45" s="8" t="inlineStr">
        <is>
          <t>Head grade</t>
        </is>
      </c>
      <c r="C45" s="36" t="inlineStr">
        <is>
          <t>Actual</t>
        </is>
      </c>
      <c r="D45" s="28">
        <f>IF(DATE(cfg_Year,1,1)&gt;cfg_LastDataDate,"",IFERROR(INDEX(cd_Head_Grade_gpt_MTD,MATCH(MIN(EOMONTH(DATE(cfg_Year,1,1),0),cfg_LastDataDate),cd_Date,0)),""))</f>
        <v/>
      </c>
      <c r="E45" s="28">
        <f>IF(DATE(cfg_Year,2,1)&gt;cfg_LastDataDate,"",IFERROR(INDEX(cd_Head_Grade_gpt_MTD,MATCH(MIN(EOMONTH(DATE(cfg_Year,2,1),0),cfg_LastDataDate),cd_Date,0)),""))</f>
        <v/>
      </c>
      <c r="F45" s="28">
        <f>IF(DATE(cfg_Year,3,1)&gt;cfg_LastDataDate,"",IFERROR(INDEX(cd_Head_Grade_gpt_MTD,MATCH(MIN(EOMONTH(DATE(cfg_Year,3,1),0),cfg_LastDataDate),cd_Date,0)),""))</f>
        <v/>
      </c>
      <c r="G45" s="28">
        <f>IF(DATE(cfg_Year,4,1)&gt;cfg_LastDataDate,"",IFERROR(INDEX(cd_Head_Grade_gpt_MTD,MATCH(MIN(EOMONTH(DATE(cfg_Year,4,1),0),cfg_LastDataDate),cd_Date,0)),""))</f>
        <v/>
      </c>
      <c r="H45" s="28">
        <f>IF(DATE(cfg_Year,5,1)&gt;cfg_LastDataDate,"",IFERROR(INDEX(cd_Head_Grade_gpt_MTD,MATCH(MIN(EOMONTH(DATE(cfg_Year,5,1),0),cfg_LastDataDate),cd_Date,0)),""))</f>
        <v/>
      </c>
      <c r="I45" s="28">
        <f>IF(DATE(cfg_Year,6,1)&gt;cfg_LastDataDate,"",IFERROR(INDEX(cd_Head_Grade_gpt_MTD,MATCH(MIN(EOMONTH(DATE(cfg_Year,6,1),0),cfg_LastDataDate),cd_Date,0)),""))</f>
        <v/>
      </c>
      <c r="J45" s="28">
        <f>IF(DATE(cfg_Year,7,1)&gt;cfg_LastDataDate,"",IFERROR(INDEX(cd_Head_Grade_gpt_MTD,MATCH(MIN(EOMONTH(DATE(cfg_Year,7,1),0),cfg_LastDataDate),cd_Date,0)),""))</f>
        <v/>
      </c>
      <c r="K45" s="28">
        <f>IF(DATE(cfg_Year,8,1)&gt;cfg_LastDataDate,"",IFERROR(INDEX(cd_Head_Grade_gpt_MTD,MATCH(MIN(EOMONTH(DATE(cfg_Year,8,1),0),cfg_LastDataDate),cd_Date,0)),""))</f>
        <v/>
      </c>
      <c r="L45" s="28">
        <f>IF(DATE(cfg_Year,9,1)&gt;cfg_LastDataDate,"",IFERROR(INDEX(cd_Head_Grade_gpt_MTD,MATCH(MIN(EOMONTH(DATE(cfg_Year,9,1),0),cfg_LastDataDate),cd_Date,0)),""))</f>
        <v/>
      </c>
      <c r="M45" s="28">
        <f>IF(DATE(cfg_Year,10,1)&gt;cfg_LastDataDate,"",IFERROR(INDEX(cd_Head_Grade_gpt_MTD,MATCH(MIN(EOMONTH(DATE(cfg_Year,10,1),0),cfg_LastDataDate),cd_Date,0)),""))</f>
        <v/>
      </c>
      <c r="N45" s="28">
        <f>IF(DATE(cfg_Year,11,1)&gt;cfg_LastDataDate,"",IFERROR(INDEX(cd_Head_Grade_gpt_MTD,MATCH(MIN(EOMONTH(DATE(cfg_Year,11,1),0),cfg_LastDataDate),cd_Date,0)),""))</f>
        <v/>
      </c>
      <c r="O45" s="28">
        <f>IF(DATE(cfg_Year,12,1)&gt;cfg_LastDataDate,"",IFERROR(INDEX(cd_Head_Grade_gpt_MTD,MATCH(MIN(EOMONTH(DATE(cfg_Year,12,1),0),cfg_LastDataDate),cd_Date,0)),""))</f>
        <v/>
      </c>
      <c r="P45" s="44">
        <f>IFERROR(INDEX(cd_Head_Grade_gpt_YTD,MATCH(MIN(cfg_YearEnd,cfg_LastDataDate),cd_Date,0)),"")</f>
        <v/>
      </c>
    </row>
    <row r="46">
      <c r="B46" s="39" t="inlineStr"/>
      <c r="C46" s="36" t="inlineStr">
        <is>
          <t>Budget</t>
        </is>
      </c>
      <c r="D46" s="28">
        <f>IF(DATE(cfg_Year,1,1)&gt;cfg_LastDataDate,IFERROR(INDEX(cd_Bud_Head_Grade_gpt_Month,MATCH(DATE(cfg_Year,1,1),cd_Date,0)),""),IFERROR(INDEX(cd_Bud_Head_Grade_gpt_MTD,MATCH(MIN(EOMONTH(DATE(cfg_Year,1,1),0),cfg_LastDataDate),cd_Date,0)),""))</f>
        <v/>
      </c>
      <c r="E46" s="28">
        <f>IF(DATE(cfg_Year,2,1)&gt;cfg_LastDataDate,IFERROR(INDEX(cd_Bud_Head_Grade_gpt_Month,MATCH(DATE(cfg_Year,2,1),cd_Date,0)),""),IFERROR(INDEX(cd_Bud_Head_Grade_gpt_MTD,MATCH(MIN(EOMONTH(DATE(cfg_Year,2,1),0),cfg_LastDataDate),cd_Date,0)),""))</f>
        <v/>
      </c>
      <c r="F46" s="28">
        <f>IF(DATE(cfg_Year,3,1)&gt;cfg_LastDataDate,IFERROR(INDEX(cd_Bud_Head_Grade_gpt_Month,MATCH(DATE(cfg_Year,3,1),cd_Date,0)),""),IFERROR(INDEX(cd_Bud_Head_Grade_gpt_MTD,MATCH(MIN(EOMONTH(DATE(cfg_Year,3,1),0),cfg_LastDataDate),cd_Date,0)),""))</f>
        <v/>
      </c>
      <c r="G46" s="28">
        <f>IF(DATE(cfg_Year,4,1)&gt;cfg_LastDataDate,IFERROR(INDEX(cd_Bud_Head_Grade_gpt_Month,MATCH(DATE(cfg_Year,4,1),cd_Date,0)),""),IFERROR(INDEX(cd_Bud_Head_Grade_gpt_MTD,MATCH(MIN(EOMONTH(DATE(cfg_Year,4,1),0),cfg_LastDataDate),cd_Date,0)),""))</f>
        <v/>
      </c>
      <c r="H46" s="28">
        <f>IF(DATE(cfg_Year,5,1)&gt;cfg_LastDataDate,IFERROR(INDEX(cd_Bud_Head_Grade_gpt_Month,MATCH(DATE(cfg_Year,5,1),cd_Date,0)),""),IFERROR(INDEX(cd_Bud_Head_Grade_gpt_MTD,MATCH(MIN(EOMONTH(DATE(cfg_Year,5,1),0),cfg_LastDataDate),cd_Date,0)),""))</f>
        <v/>
      </c>
      <c r="I46" s="28">
        <f>IF(DATE(cfg_Year,6,1)&gt;cfg_LastDataDate,IFERROR(INDEX(cd_Bud_Head_Grade_gpt_Month,MATCH(DATE(cfg_Year,6,1),cd_Date,0)),""),IFERROR(INDEX(cd_Bud_Head_Grade_gpt_MTD,MATCH(MIN(EOMONTH(DATE(cfg_Year,6,1),0),cfg_LastDataDate),cd_Date,0)),""))</f>
        <v/>
      </c>
      <c r="J46" s="28">
        <f>IF(DATE(cfg_Year,7,1)&gt;cfg_LastDataDate,IFERROR(INDEX(cd_Bud_Head_Grade_gpt_Month,MATCH(DATE(cfg_Year,7,1),cd_Date,0)),""),IFERROR(INDEX(cd_Bud_Head_Grade_gpt_MTD,MATCH(MIN(EOMONTH(DATE(cfg_Year,7,1),0),cfg_LastDataDate),cd_Date,0)),""))</f>
        <v/>
      </c>
      <c r="K46" s="28">
        <f>IF(DATE(cfg_Year,8,1)&gt;cfg_LastDataDate,IFERROR(INDEX(cd_Bud_Head_Grade_gpt_Month,MATCH(DATE(cfg_Year,8,1),cd_Date,0)),""),IFERROR(INDEX(cd_Bud_Head_Grade_gpt_MTD,MATCH(MIN(EOMONTH(DATE(cfg_Year,8,1),0),cfg_LastDataDate),cd_Date,0)),""))</f>
        <v/>
      </c>
      <c r="L46" s="28">
        <f>IF(DATE(cfg_Year,9,1)&gt;cfg_LastDataDate,IFERROR(INDEX(cd_Bud_Head_Grade_gpt_Month,MATCH(DATE(cfg_Year,9,1),cd_Date,0)),""),IFERROR(INDEX(cd_Bud_Head_Grade_gpt_MTD,MATCH(MIN(EOMONTH(DATE(cfg_Year,9,1),0),cfg_LastDataDate),cd_Date,0)),""))</f>
        <v/>
      </c>
      <c r="M46" s="28">
        <f>IF(DATE(cfg_Year,10,1)&gt;cfg_LastDataDate,IFERROR(INDEX(cd_Bud_Head_Grade_gpt_Month,MATCH(DATE(cfg_Year,10,1),cd_Date,0)),""),IFERROR(INDEX(cd_Bud_Head_Grade_gpt_MTD,MATCH(MIN(EOMONTH(DATE(cfg_Year,10,1),0),cfg_LastDataDate),cd_Date,0)),""))</f>
        <v/>
      </c>
      <c r="N46" s="28">
        <f>IF(DATE(cfg_Year,11,1)&gt;cfg_LastDataDate,IFERROR(INDEX(cd_Bud_Head_Grade_gpt_Month,MATCH(DATE(cfg_Year,11,1),cd_Date,0)),""),IFERROR(INDEX(cd_Bud_Head_Grade_gpt_MTD,MATCH(MIN(EOMONTH(DATE(cfg_Year,11,1),0),cfg_LastDataDate),cd_Date,0)),""))</f>
        <v/>
      </c>
      <c r="O46" s="28">
        <f>IF(DATE(cfg_Year,12,1)&gt;cfg_LastDataDate,IFERROR(INDEX(cd_Bud_Head_Grade_gpt_Month,MATCH(DATE(cfg_Year,12,1),cd_Date,0)),""),IFERROR(INDEX(cd_Bud_Head_Grade_gpt_MTD,MATCH(MIN(EOMONTH(DATE(cfg_Year,12,1),0),cfg_LastDataDate),cd_Date,0)),""))</f>
        <v/>
      </c>
      <c r="P46" s="44">
        <f>IFERROR(INDEX(cd_Bud_Head_Grade_gpt_YTD,MATCH(IF(N(cfg_LastDataDate)&gt;0,MIN(cfg_YearEnd,cfg_LastDataDate),cfg_YearEnd),cd_Date,0)),"")</f>
        <v/>
      </c>
    </row>
    <row r="47">
      <c r="B47" s="39" t="inlineStr"/>
      <c r="C47" s="36" t="inlineStr">
        <is>
          <t>Variance</t>
        </is>
      </c>
      <c r="D47" s="40">
        <f>IF(AND(ISNUMBER(D45),ISNUMBER(D46),D46&lt;&gt;0),D45/D46-1,"")</f>
        <v/>
      </c>
      <c r="E47" s="40">
        <f>IF(AND(ISNUMBER(E45),ISNUMBER(E46),E46&lt;&gt;0),E45/E46-1,"")</f>
        <v/>
      </c>
      <c r="F47" s="40">
        <f>IF(AND(ISNUMBER(F45),ISNUMBER(F46),F46&lt;&gt;0),F45/F46-1,"")</f>
        <v/>
      </c>
      <c r="G47" s="40">
        <f>IF(AND(ISNUMBER(G45),ISNUMBER(G46),G46&lt;&gt;0),G45/G46-1,"")</f>
        <v/>
      </c>
      <c r="H47" s="40">
        <f>IF(AND(ISNUMBER(H45),ISNUMBER(H46),H46&lt;&gt;0),H45/H46-1,"")</f>
        <v/>
      </c>
      <c r="I47" s="40">
        <f>IF(AND(ISNUMBER(I45),ISNUMBER(I46),I46&lt;&gt;0),I45/I46-1,"")</f>
        <v/>
      </c>
      <c r="J47" s="40">
        <f>IF(AND(ISNUMBER(J45),ISNUMBER(J46),J46&lt;&gt;0),J45/J46-1,"")</f>
        <v/>
      </c>
      <c r="K47" s="40">
        <f>IF(AND(ISNUMBER(K45),ISNUMBER(K46),K46&lt;&gt;0),K45/K46-1,"")</f>
        <v/>
      </c>
      <c r="L47" s="40">
        <f>IF(AND(ISNUMBER(L45),ISNUMBER(L46),L46&lt;&gt;0),L45/L46-1,"")</f>
        <v/>
      </c>
      <c r="M47" s="40">
        <f>IF(AND(ISNUMBER(M45),ISNUMBER(M46),M46&lt;&gt;0),M45/M46-1,"")</f>
        <v/>
      </c>
      <c r="N47" s="40">
        <f>IF(AND(ISNUMBER(N45),ISNUMBER(N46),N46&lt;&gt;0),N45/N46-1,"")</f>
        <v/>
      </c>
      <c r="O47" s="40">
        <f>IF(AND(ISNUMBER(O45),ISNUMBER(O46),O46&lt;&gt;0),O45/O46-1,"")</f>
        <v/>
      </c>
      <c r="P47" s="41">
        <f>IF(AND(ISNUMBER(P45),ISNUMBER(P46),P46&lt;&gt;0),P45/P46-1,"")</f>
        <v/>
      </c>
    </row>
    <row r="48"/>
    <row r="49">
      <c r="B49" s="8" t="inlineStr">
        <is>
          <t>Recovery</t>
        </is>
      </c>
      <c r="C49" s="36" t="inlineStr">
        <is>
          <t>Actual</t>
        </is>
      </c>
      <c r="D49" s="46">
        <f>IF(DATE(cfg_Year,1,1)&gt;cfg_LastDataDate,"",IFERROR(INDEX(cd_Recovery_pct_MTD,MATCH(MIN(EOMONTH(DATE(cfg_Year,1,1),0),cfg_LastDataDate),cd_Date,0)),""))</f>
        <v/>
      </c>
      <c r="E49" s="46">
        <f>IF(DATE(cfg_Year,2,1)&gt;cfg_LastDataDate,"",IFERROR(INDEX(cd_Recovery_pct_MTD,MATCH(MIN(EOMONTH(DATE(cfg_Year,2,1),0),cfg_LastDataDate),cd_Date,0)),""))</f>
        <v/>
      </c>
      <c r="F49" s="46">
        <f>IF(DATE(cfg_Year,3,1)&gt;cfg_LastDataDate,"",IFERROR(INDEX(cd_Recovery_pct_MTD,MATCH(MIN(EOMONTH(DATE(cfg_Year,3,1),0),cfg_LastDataDate),cd_Date,0)),""))</f>
        <v/>
      </c>
      <c r="G49" s="46">
        <f>IF(DATE(cfg_Year,4,1)&gt;cfg_LastDataDate,"",IFERROR(INDEX(cd_Recovery_pct_MTD,MATCH(MIN(EOMONTH(DATE(cfg_Year,4,1),0),cfg_LastDataDate),cd_Date,0)),""))</f>
        <v/>
      </c>
      <c r="H49" s="46">
        <f>IF(DATE(cfg_Year,5,1)&gt;cfg_LastDataDate,"",IFERROR(INDEX(cd_Recovery_pct_MTD,MATCH(MIN(EOMONTH(DATE(cfg_Year,5,1),0),cfg_LastDataDate),cd_Date,0)),""))</f>
        <v/>
      </c>
      <c r="I49" s="46">
        <f>IF(DATE(cfg_Year,6,1)&gt;cfg_LastDataDate,"",IFERROR(INDEX(cd_Recovery_pct_MTD,MATCH(MIN(EOMONTH(DATE(cfg_Year,6,1),0),cfg_LastDataDate),cd_Date,0)),""))</f>
        <v/>
      </c>
      <c r="J49" s="46">
        <f>IF(DATE(cfg_Year,7,1)&gt;cfg_LastDataDate,"",IFERROR(INDEX(cd_Recovery_pct_MTD,MATCH(MIN(EOMONTH(DATE(cfg_Year,7,1),0),cfg_LastDataDate),cd_Date,0)),""))</f>
        <v/>
      </c>
      <c r="K49" s="46">
        <f>IF(DATE(cfg_Year,8,1)&gt;cfg_LastDataDate,"",IFERROR(INDEX(cd_Recovery_pct_MTD,MATCH(MIN(EOMONTH(DATE(cfg_Year,8,1),0),cfg_LastDataDate),cd_Date,0)),""))</f>
        <v/>
      </c>
      <c r="L49" s="46">
        <f>IF(DATE(cfg_Year,9,1)&gt;cfg_LastDataDate,"",IFERROR(INDEX(cd_Recovery_pct_MTD,MATCH(MIN(EOMONTH(DATE(cfg_Year,9,1),0),cfg_LastDataDate),cd_Date,0)),""))</f>
        <v/>
      </c>
      <c r="M49" s="46">
        <f>IF(DATE(cfg_Year,10,1)&gt;cfg_LastDataDate,"",IFERROR(INDEX(cd_Recovery_pct_MTD,MATCH(MIN(EOMONTH(DATE(cfg_Year,10,1),0),cfg_LastDataDate),cd_Date,0)),""))</f>
        <v/>
      </c>
      <c r="N49" s="46">
        <f>IF(DATE(cfg_Year,11,1)&gt;cfg_LastDataDate,"",IFERROR(INDEX(cd_Recovery_pct_MTD,MATCH(MIN(EOMONTH(DATE(cfg_Year,11,1),0),cfg_LastDataDate),cd_Date,0)),""))</f>
        <v/>
      </c>
      <c r="O49" s="46">
        <f>IF(DATE(cfg_Year,12,1)&gt;cfg_LastDataDate,"",IFERROR(INDEX(cd_Recovery_pct_MTD,MATCH(MIN(EOMONTH(DATE(cfg_Year,12,1),0),cfg_LastDataDate),cd_Date,0)),""))</f>
        <v/>
      </c>
      <c r="P49" s="47">
        <f>IFERROR(INDEX(cd_Recovery_pct_YTD,MATCH(MIN(cfg_YearEnd,cfg_LastDataDate),cd_Date,0)),"")</f>
        <v/>
      </c>
    </row>
    <row r="50">
      <c r="B50" s="39" t="inlineStr"/>
      <c r="C50" s="36" t="inlineStr">
        <is>
          <t>Budget</t>
        </is>
      </c>
      <c r="D50" s="46">
        <f>IF(DATE(cfg_Year,1,1)&gt;cfg_LastDataDate,IFERROR(INDEX(cd_Bud_Recovery_pct_Month,MATCH(DATE(cfg_Year,1,1),cd_Date,0)),""),IFERROR(INDEX(cd_Bud_Recovery_pct_MTD,MATCH(MIN(EOMONTH(DATE(cfg_Year,1,1),0),cfg_LastDataDate),cd_Date,0)),""))</f>
        <v/>
      </c>
      <c r="E50" s="46">
        <f>IF(DATE(cfg_Year,2,1)&gt;cfg_LastDataDate,IFERROR(INDEX(cd_Bud_Recovery_pct_Month,MATCH(DATE(cfg_Year,2,1),cd_Date,0)),""),IFERROR(INDEX(cd_Bud_Recovery_pct_MTD,MATCH(MIN(EOMONTH(DATE(cfg_Year,2,1),0),cfg_LastDataDate),cd_Date,0)),""))</f>
        <v/>
      </c>
      <c r="F50" s="46">
        <f>IF(DATE(cfg_Year,3,1)&gt;cfg_LastDataDate,IFERROR(INDEX(cd_Bud_Recovery_pct_Month,MATCH(DATE(cfg_Year,3,1),cd_Date,0)),""),IFERROR(INDEX(cd_Bud_Recovery_pct_MTD,MATCH(MIN(EOMONTH(DATE(cfg_Year,3,1),0),cfg_LastDataDate),cd_Date,0)),""))</f>
        <v/>
      </c>
      <c r="G50" s="46">
        <f>IF(DATE(cfg_Year,4,1)&gt;cfg_LastDataDate,IFERROR(INDEX(cd_Bud_Recovery_pct_Month,MATCH(DATE(cfg_Year,4,1),cd_Date,0)),""),IFERROR(INDEX(cd_Bud_Recovery_pct_MTD,MATCH(MIN(EOMONTH(DATE(cfg_Year,4,1),0),cfg_LastDataDate),cd_Date,0)),""))</f>
        <v/>
      </c>
      <c r="H50" s="46">
        <f>IF(DATE(cfg_Year,5,1)&gt;cfg_LastDataDate,IFERROR(INDEX(cd_Bud_Recovery_pct_Month,MATCH(DATE(cfg_Year,5,1),cd_Date,0)),""),IFERROR(INDEX(cd_Bud_Recovery_pct_MTD,MATCH(MIN(EOMONTH(DATE(cfg_Year,5,1),0),cfg_LastDataDate),cd_Date,0)),""))</f>
        <v/>
      </c>
      <c r="I50" s="46">
        <f>IF(DATE(cfg_Year,6,1)&gt;cfg_LastDataDate,IFERROR(INDEX(cd_Bud_Recovery_pct_Month,MATCH(DATE(cfg_Year,6,1),cd_Date,0)),""),IFERROR(INDEX(cd_Bud_Recovery_pct_MTD,MATCH(MIN(EOMONTH(DATE(cfg_Year,6,1),0),cfg_LastDataDate),cd_Date,0)),""))</f>
        <v/>
      </c>
      <c r="J50" s="46">
        <f>IF(DATE(cfg_Year,7,1)&gt;cfg_LastDataDate,IFERROR(INDEX(cd_Bud_Recovery_pct_Month,MATCH(DATE(cfg_Year,7,1),cd_Date,0)),""),IFERROR(INDEX(cd_Bud_Recovery_pct_MTD,MATCH(MIN(EOMONTH(DATE(cfg_Year,7,1),0),cfg_LastDataDate),cd_Date,0)),""))</f>
        <v/>
      </c>
      <c r="K50" s="46">
        <f>IF(DATE(cfg_Year,8,1)&gt;cfg_LastDataDate,IFERROR(INDEX(cd_Bud_Recovery_pct_Month,MATCH(DATE(cfg_Year,8,1),cd_Date,0)),""),IFERROR(INDEX(cd_Bud_Recovery_pct_MTD,MATCH(MIN(EOMONTH(DATE(cfg_Year,8,1),0),cfg_LastDataDate),cd_Date,0)),""))</f>
        <v/>
      </c>
      <c r="L50" s="46">
        <f>IF(DATE(cfg_Year,9,1)&gt;cfg_LastDataDate,IFERROR(INDEX(cd_Bud_Recovery_pct_Month,MATCH(DATE(cfg_Year,9,1),cd_Date,0)),""),IFERROR(INDEX(cd_Bud_Recovery_pct_MTD,MATCH(MIN(EOMONTH(DATE(cfg_Year,9,1),0),cfg_LastDataDate),cd_Date,0)),""))</f>
        <v/>
      </c>
      <c r="M50" s="46">
        <f>IF(DATE(cfg_Year,10,1)&gt;cfg_LastDataDate,IFERROR(INDEX(cd_Bud_Recovery_pct_Month,MATCH(DATE(cfg_Year,10,1),cd_Date,0)),""),IFERROR(INDEX(cd_Bud_Recovery_pct_MTD,MATCH(MIN(EOMONTH(DATE(cfg_Year,10,1),0),cfg_LastDataDate),cd_Date,0)),""))</f>
        <v/>
      </c>
      <c r="N50" s="46">
        <f>IF(DATE(cfg_Year,11,1)&gt;cfg_LastDataDate,IFERROR(INDEX(cd_Bud_Recovery_pct_Month,MATCH(DATE(cfg_Year,11,1),cd_Date,0)),""),IFERROR(INDEX(cd_Bud_Recovery_pct_MTD,MATCH(MIN(EOMONTH(DATE(cfg_Year,11,1),0),cfg_LastDataDate),cd_Date,0)),""))</f>
        <v/>
      </c>
      <c r="O50" s="46">
        <f>IF(DATE(cfg_Year,12,1)&gt;cfg_LastDataDate,IFERROR(INDEX(cd_Bud_Recovery_pct_Month,MATCH(DATE(cfg_Year,12,1),cd_Date,0)),""),IFERROR(INDEX(cd_Bud_Recovery_pct_MTD,MATCH(MIN(EOMONTH(DATE(cfg_Year,12,1),0),cfg_LastDataDate),cd_Date,0)),""))</f>
        <v/>
      </c>
      <c r="P50" s="47">
        <f>IFERROR(INDEX(cd_Bud_Recovery_pct_YTD,MATCH(IF(N(cfg_LastDataDate)&gt;0,MIN(cfg_YearEnd,cfg_LastDataDate),cfg_YearEnd),cd_Date,0)),"")</f>
        <v/>
      </c>
    </row>
    <row r="51">
      <c r="B51" s="39" t="inlineStr"/>
      <c r="C51" s="36" t="inlineStr">
        <is>
          <t>Variance</t>
        </is>
      </c>
      <c r="D51" s="40">
        <f>IF(AND(ISNUMBER(D49),ISNUMBER(D50),D50&lt;&gt;0),D49/D50-1,"")</f>
        <v/>
      </c>
      <c r="E51" s="40">
        <f>IF(AND(ISNUMBER(E49),ISNUMBER(E50),E50&lt;&gt;0),E49/E50-1,"")</f>
        <v/>
      </c>
      <c r="F51" s="40">
        <f>IF(AND(ISNUMBER(F49),ISNUMBER(F50),F50&lt;&gt;0),F49/F50-1,"")</f>
        <v/>
      </c>
      <c r="G51" s="40">
        <f>IF(AND(ISNUMBER(G49),ISNUMBER(G50),G50&lt;&gt;0),G49/G50-1,"")</f>
        <v/>
      </c>
      <c r="H51" s="40">
        <f>IF(AND(ISNUMBER(H49),ISNUMBER(H50),H50&lt;&gt;0),H49/H50-1,"")</f>
        <v/>
      </c>
      <c r="I51" s="40">
        <f>IF(AND(ISNUMBER(I49),ISNUMBER(I50),I50&lt;&gt;0),I49/I50-1,"")</f>
        <v/>
      </c>
      <c r="J51" s="40">
        <f>IF(AND(ISNUMBER(J49),ISNUMBER(J50),J50&lt;&gt;0),J49/J50-1,"")</f>
        <v/>
      </c>
      <c r="K51" s="40">
        <f>IF(AND(ISNUMBER(K49),ISNUMBER(K50),K50&lt;&gt;0),K49/K50-1,"")</f>
        <v/>
      </c>
      <c r="L51" s="40">
        <f>IF(AND(ISNUMBER(L49),ISNUMBER(L50),L50&lt;&gt;0),L49/L50-1,"")</f>
        <v/>
      </c>
      <c r="M51" s="40">
        <f>IF(AND(ISNUMBER(M49),ISNUMBER(M50),M50&lt;&gt;0),M49/M50-1,"")</f>
        <v/>
      </c>
      <c r="N51" s="40">
        <f>IF(AND(ISNUMBER(N49),ISNUMBER(N50),N50&lt;&gt;0),N49/N50-1,"")</f>
        <v/>
      </c>
      <c r="O51" s="40">
        <f>IF(AND(ISNUMBER(O49),ISNUMBER(O50),O50&lt;&gt;0),O49/O50-1,"")</f>
        <v/>
      </c>
      <c r="P51" s="41">
        <f>IF(AND(ISNUMBER(P49),ISNUMBER(P50),P50&lt;&gt;0),P49/P50-1,"")</f>
        <v/>
      </c>
    </row>
    <row r="52"/>
    <row r="53">
      <c r="B53" s="8" t="inlineStr">
        <is>
          <t>Gold recovered</t>
        </is>
      </c>
      <c r="C53" s="36" t="inlineStr">
        <is>
          <t>Actual</t>
        </is>
      </c>
      <c r="D53" s="27">
        <f>IF(DATE(cfg_Year,1,1)&gt;cfg_LastDataDate,"",IFERROR(INDEX(cd_Recovered_oz_MTD,MATCH(MIN(EOMONTH(DATE(cfg_Year,1,1),0),cfg_LastDataDate),cd_Date,0)),""))</f>
        <v/>
      </c>
      <c r="E53" s="27">
        <f>IF(DATE(cfg_Year,2,1)&gt;cfg_LastDataDate,"",IFERROR(INDEX(cd_Recovered_oz_MTD,MATCH(MIN(EOMONTH(DATE(cfg_Year,2,1),0),cfg_LastDataDate),cd_Date,0)),""))</f>
        <v/>
      </c>
      <c r="F53" s="27">
        <f>IF(DATE(cfg_Year,3,1)&gt;cfg_LastDataDate,"",IFERROR(INDEX(cd_Recovered_oz_MTD,MATCH(MIN(EOMONTH(DATE(cfg_Year,3,1),0),cfg_LastDataDate),cd_Date,0)),""))</f>
        <v/>
      </c>
      <c r="G53" s="27">
        <f>IF(DATE(cfg_Year,4,1)&gt;cfg_LastDataDate,"",IFERROR(INDEX(cd_Recovered_oz_MTD,MATCH(MIN(EOMONTH(DATE(cfg_Year,4,1),0),cfg_LastDataDate),cd_Date,0)),""))</f>
        <v/>
      </c>
      <c r="H53" s="27">
        <f>IF(DATE(cfg_Year,5,1)&gt;cfg_LastDataDate,"",IFERROR(INDEX(cd_Recovered_oz_MTD,MATCH(MIN(EOMONTH(DATE(cfg_Year,5,1),0),cfg_LastDataDate),cd_Date,0)),""))</f>
        <v/>
      </c>
      <c r="I53" s="27">
        <f>IF(DATE(cfg_Year,6,1)&gt;cfg_LastDataDate,"",IFERROR(INDEX(cd_Recovered_oz_MTD,MATCH(MIN(EOMONTH(DATE(cfg_Year,6,1),0),cfg_LastDataDate),cd_Date,0)),""))</f>
        <v/>
      </c>
      <c r="J53" s="27">
        <f>IF(DATE(cfg_Year,7,1)&gt;cfg_LastDataDate,"",IFERROR(INDEX(cd_Recovered_oz_MTD,MATCH(MIN(EOMONTH(DATE(cfg_Year,7,1),0),cfg_LastDataDate),cd_Date,0)),""))</f>
        <v/>
      </c>
      <c r="K53" s="27">
        <f>IF(DATE(cfg_Year,8,1)&gt;cfg_LastDataDate,"",IFERROR(INDEX(cd_Recovered_oz_MTD,MATCH(MIN(EOMONTH(DATE(cfg_Year,8,1),0),cfg_LastDataDate),cd_Date,0)),""))</f>
        <v/>
      </c>
      <c r="L53" s="27">
        <f>IF(DATE(cfg_Year,9,1)&gt;cfg_LastDataDate,"",IFERROR(INDEX(cd_Recovered_oz_MTD,MATCH(MIN(EOMONTH(DATE(cfg_Year,9,1),0),cfg_LastDataDate),cd_Date,0)),""))</f>
        <v/>
      </c>
      <c r="M53" s="27">
        <f>IF(DATE(cfg_Year,10,1)&gt;cfg_LastDataDate,"",IFERROR(INDEX(cd_Recovered_oz_MTD,MATCH(MIN(EOMONTH(DATE(cfg_Year,10,1),0),cfg_LastDataDate),cd_Date,0)),""))</f>
        <v/>
      </c>
      <c r="N53" s="27">
        <f>IF(DATE(cfg_Year,11,1)&gt;cfg_LastDataDate,"",IFERROR(INDEX(cd_Recovered_oz_MTD,MATCH(MIN(EOMONTH(DATE(cfg_Year,11,1),0),cfg_LastDataDate),cd_Date,0)),""))</f>
        <v/>
      </c>
      <c r="O53" s="27">
        <f>IF(DATE(cfg_Year,12,1)&gt;cfg_LastDataDate,"",IFERROR(INDEX(cd_Recovered_oz_MTD,MATCH(MIN(EOMONTH(DATE(cfg_Year,12,1),0),cfg_LastDataDate),cd_Date,0)),""))</f>
        <v/>
      </c>
      <c r="P53" s="45">
        <f>IFERROR(INDEX(cd_Recovered_oz_YTD,MATCH(MIN(cfg_YearEnd,cfg_LastDataDate),cd_Date,0)),"")</f>
        <v/>
      </c>
    </row>
    <row r="54">
      <c r="B54" s="39" t="inlineStr"/>
      <c r="C54" s="36" t="inlineStr">
        <is>
          <t>Budget</t>
        </is>
      </c>
      <c r="D54" s="27">
        <f>IF(DATE(cfg_Year,1,1)&gt;cfg_LastDataDate,IFERROR(INDEX(cd_Bud_Recovered_oz_Month,MATCH(DATE(cfg_Year,1,1),cd_Date,0)),""),IFERROR(INDEX(cd_Bud_Recovered_oz_MTD,MATCH(MIN(EOMONTH(DATE(cfg_Year,1,1),0),cfg_LastDataDate),cd_Date,0)),""))</f>
        <v/>
      </c>
      <c r="E54" s="27">
        <f>IF(DATE(cfg_Year,2,1)&gt;cfg_LastDataDate,IFERROR(INDEX(cd_Bud_Recovered_oz_Month,MATCH(DATE(cfg_Year,2,1),cd_Date,0)),""),IFERROR(INDEX(cd_Bud_Recovered_oz_MTD,MATCH(MIN(EOMONTH(DATE(cfg_Year,2,1),0),cfg_LastDataDate),cd_Date,0)),""))</f>
        <v/>
      </c>
      <c r="F54" s="27">
        <f>IF(DATE(cfg_Year,3,1)&gt;cfg_LastDataDate,IFERROR(INDEX(cd_Bud_Recovered_oz_Month,MATCH(DATE(cfg_Year,3,1),cd_Date,0)),""),IFERROR(INDEX(cd_Bud_Recovered_oz_MTD,MATCH(MIN(EOMONTH(DATE(cfg_Year,3,1),0),cfg_LastDataDate),cd_Date,0)),""))</f>
        <v/>
      </c>
      <c r="G54" s="27">
        <f>IF(DATE(cfg_Year,4,1)&gt;cfg_LastDataDate,IFERROR(INDEX(cd_Bud_Recovered_oz_Month,MATCH(DATE(cfg_Year,4,1),cd_Date,0)),""),IFERROR(INDEX(cd_Bud_Recovered_oz_MTD,MATCH(MIN(EOMONTH(DATE(cfg_Year,4,1),0),cfg_LastDataDate),cd_Date,0)),""))</f>
        <v/>
      </c>
      <c r="H54" s="27">
        <f>IF(DATE(cfg_Year,5,1)&gt;cfg_LastDataDate,IFERROR(INDEX(cd_Bud_Recovered_oz_Month,MATCH(DATE(cfg_Year,5,1),cd_Date,0)),""),IFERROR(INDEX(cd_Bud_Recovered_oz_MTD,MATCH(MIN(EOMONTH(DATE(cfg_Year,5,1),0),cfg_LastDataDate),cd_Date,0)),""))</f>
        <v/>
      </c>
      <c r="I54" s="27">
        <f>IF(DATE(cfg_Year,6,1)&gt;cfg_LastDataDate,IFERROR(INDEX(cd_Bud_Recovered_oz_Month,MATCH(DATE(cfg_Year,6,1),cd_Date,0)),""),IFERROR(INDEX(cd_Bud_Recovered_oz_MTD,MATCH(MIN(EOMONTH(DATE(cfg_Year,6,1),0),cfg_LastDataDate),cd_Date,0)),""))</f>
        <v/>
      </c>
      <c r="J54" s="27">
        <f>IF(DATE(cfg_Year,7,1)&gt;cfg_LastDataDate,IFERROR(INDEX(cd_Bud_Recovered_oz_Month,MATCH(DATE(cfg_Year,7,1),cd_Date,0)),""),IFERROR(INDEX(cd_Bud_Recovered_oz_MTD,MATCH(MIN(EOMONTH(DATE(cfg_Year,7,1),0),cfg_LastDataDate),cd_Date,0)),""))</f>
        <v/>
      </c>
      <c r="K54" s="27">
        <f>IF(DATE(cfg_Year,8,1)&gt;cfg_LastDataDate,IFERROR(INDEX(cd_Bud_Recovered_oz_Month,MATCH(DATE(cfg_Year,8,1),cd_Date,0)),""),IFERROR(INDEX(cd_Bud_Recovered_oz_MTD,MATCH(MIN(EOMONTH(DATE(cfg_Year,8,1),0),cfg_LastDataDate),cd_Date,0)),""))</f>
        <v/>
      </c>
      <c r="L54" s="27">
        <f>IF(DATE(cfg_Year,9,1)&gt;cfg_LastDataDate,IFERROR(INDEX(cd_Bud_Recovered_oz_Month,MATCH(DATE(cfg_Year,9,1),cd_Date,0)),""),IFERROR(INDEX(cd_Bud_Recovered_oz_MTD,MATCH(MIN(EOMONTH(DATE(cfg_Year,9,1),0),cfg_LastDataDate),cd_Date,0)),""))</f>
        <v/>
      </c>
      <c r="M54" s="27">
        <f>IF(DATE(cfg_Year,10,1)&gt;cfg_LastDataDate,IFERROR(INDEX(cd_Bud_Recovered_oz_Month,MATCH(DATE(cfg_Year,10,1),cd_Date,0)),""),IFERROR(INDEX(cd_Bud_Recovered_oz_MTD,MATCH(MIN(EOMONTH(DATE(cfg_Year,10,1),0),cfg_LastDataDate),cd_Date,0)),""))</f>
        <v/>
      </c>
      <c r="N54" s="27">
        <f>IF(DATE(cfg_Year,11,1)&gt;cfg_LastDataDate,IFERROR(INDEX(cd_Bud_Recovered_oz_Month,MATCH(DATE(cfg_Year,11,1),cd_Date,0)),""),IFERROR(INDEX(cd_Bud_Recovered_oz_MTD,MATCH(MIN(EOMONTH(DATE(cfg_Year,11,1),0),cfg_LastDataDate),cd_Date,0)),""))</f>
        <v/>
      </c>
      <c r="O54" s="27">
        <f>IF(DATE(cfg_Year,12,1)&gt;cfg_LastDataDate,IFERROR(INDEX(cd_Bud_Recovered_oz_Month,MATCH(DATE(cfg_Year,12,1),cd_Date,0)),""),IFERROR(INDEX(cd_Bud_Recovered_oz_MTD,MATCH(MIN(EOMONTH(DATE(cfg_Year,12,1),0),cfg_LastDataDate),cd_Date,0)),""))</f>
        <v/>
      </c>
      <c r="P54" s="45">
        <f>IFERROR(INDEX(cd_Bud_Recovered_oz_YTD,MATCH(IF(N(cfg_LastDataDate)&gt;0,MIN(cfg_YearEnd,cfg_LastDataDate),cfg_YearEnd),cd_Date,0)),"")</f>
        <v/>
      </c>
    </row>
    <row r="55">
      <c r="B55" s="39" t="inlineStr"/>
      <c r="C55" s="36" t="inlineStr">
        <is>
          <t>Variance</t>
        </is>
      </c>
      <c r="D55" s="40">
        <f>IF(AND(ISNUMBER(D53),ISNUMBER(D54),D54&lt;&gt;0),D53/D54-1,"")</f>
        <v/>
      </c>
      <c r="E55" s="40">
        <f>IF(AND(ISNUMBER(E53),ISNUMBER(E54),E54&lt;&gt;0),E53/E54-1,"")</f>
        <v/>
      </c>
      <c r="F55" s="40">
        <f>IF(AND(ISNUMBER(F53),ISNUMBER(F54),F54&lt;&gt;0),F53/F54-1,"")</f>
        <v/>
      </c>
      <c r="G55" s="40">
        <f>IF(AND(ISNUMBER(G53),ISNUMBER(G54),G54&lt;&gt;0),G53/G54-1,"")</f>
        <v/>
      </c>
      <c r="H55" s="40">
        <f>IF(AND(ISNUMBER(H53),ISNUMBER(H54),H54&lt;&gt;0),H53/H54-1,"")</f>
        <v/>
      </c>
      <c r="I55" s="40">
        <f>IF(AND(ISNUMBER(I53),ISNUMBER(I54),I54&lt;&gt;0),I53/I54-1,"")</f>
        <v/>
      </c>
      <c r="J55" s="40">
        <f>IF(AND(ISNUMBER(J53),ISNUMBER(J54),J54&lt;&gt;0),J53/J54-1,"")</f>
        <v/>
      </c>
      <c r="K55" s="40">
        <f>IF(AND(ISNUMBER(K53),ISNUMBER(K54),K54&lt;&gt;0),K53/K54-1,"")</f>
        <v/>
      </c>
      <c r="L55" s="40">
        <f>IF(AND(ISNUMBER(L53),ISNUMBER(L54),L54&lt;&gt;0),L53/L54-1,"")</f>
        <v/>
      </c>
      <c r="M55" s="40">
        <f>IF(AND(ISNUMBER(M53),ISNUMBER(M54),M54&lt;&gt;0),M53/M54-1,"")</f>
        <v/>
      </c>
      <c r="N55" s="40">
        <f>IF(AND(ISNUMBER(N53),ISNUMBER(N54),N54&lt;&gt;0),N53/N54-1,"")</f>
        <v/>
      </c>
      <c r="O55" s="40">
        <f>IF(AND(ISNUMBER(O53),ISNUMBER(O54),O54&lt;&gt;0),O53/O54-1,"")</f>
        <v/>
      </c>
      <c r="P55" s="41">
        <f>IF(AND(ISNUMBER(P53),ISNUMBER(P54),P54&lt;&gt;0),P53/P54-1,"")</f>
        <v/>
      </c>
    </row>
    <row r="56"/>
    <row r="57">
      <c r="B57" s="8" t="inlineStr">
        <is>
          <t>Gold poured</t>
        </is>
      </c>
      <c r="C57" s="36" t="inlineStr">
        <is>
          <t>Actual</t>
        </is>
      </c>
      <c r="D57" s="27">
        <f>IF(DATE(cfg_Year,1,1)&gt;cfg_LastDataDate,"",IFERROR(INDEX(cd_Gold_Poured_oz_MTD,MATCH(MIN(EOMONTH(DATE(cfg_Year,1,1),0),cfg_LastDataDate),cd_Date,0)),""))</f>
        <v/>
      </c>
      <c r="E57" s="27">
        <f>IF(DATE(cfg_Year,2,1)&gt;cfg_LastDataDate,"",IFERROR(INDEX(cd_Gold_Poured_oz_MTD,MATCH(MIN(EOMONTH(DATE(cfg_Year,2,1),0),cfg_LastDataDate),cd_Date,0)),""))</f>
        <v/>
      </c>
      <c r="F57" s="27">
        <f>IF(DATE(cfg_Year,3,1)&gt;cfg_LastDataDate,"",IFERROR(INDEX(cd_Gold_Poured_oz_MTD,MATCH(MIN(EOMONTH(DATE(cfg_Year,3,1),0),cfg_LastDataDate),cd_Date,0)),""))</f>
        <v/>
      </c>
      <c r="G57" s="27">
        <f>IF(DATE(cfg_Year,4,1)&gt;cfg_LastDataDate,"",IFERROR(INDEX(cd_Gold_Poured_oz_MTD,MATCH(MIN(EOMONTH(DATE(cfg_Year,4,1),0),cfg_LastDataDate),cd_Date,0)),""))</f>
        <v/>
      </c>
      <c r="H57" s="27">
        <f>IF(DATE(cfg_Year,5,1)&gt;cfg_LastDataDate,"",IFERROR(INDEX(cd_Gold_Poured_oz_MTD,MATCH(MIN(EOMONTH(DATE(cfg_Year,5,1),0),cfg_LastDataDate),cd_Date,0)),""))</f>
        <v/>
      </c>
      <c r="I57" s="27">
        <f>IF(DATE(cfg_Year,6,1)&gt;cfg_LastDataDate,"",IFERROR(INDEX(cd_Gold_Poured_oz_MTD,MATCH(MIN(EOMONTH(DATE(cfg_Year,6,1),0),cfg_LastDataDate),cd_Date,0)),""))</f>
        <v/>
      </c>
      <c r="J57" s="27">
        <f>IF(DATE(cfg_Year,7,1)&gt;cfg_LastDataDate,"",IFERROR(INDEX(cd_Gold_Poured_oz_MTD,MATCH(MIN(EOMONTH(DATE(cfg_Year,7,1),0),cfg_LastDataDate),cd_Date,0)),""))</f>
        <v/>
      </c>
      <c r="K57" s="27">
        <f>IF(DATE(cfg_Year,8,1)&gt;cfg_LastDataDate,"",IFERROR(INDEX(cd_Gold_Poured_oz_MTD,MATCH(MIN(EOMONTH(DATE(cfg_Year,8,1),0),cfg_LastDataDate),cd_Date,0)),""))</f>
        <v/>
      </c>
      <c r="L57" s="27">
        <f>IF(DATE(cfg_Year,9,1)&gt;cfg_LastDataDate,"",IFERROR(INDEX(cd_Gold_Poured_oz_MTD,MATCH(MIN(EOMONTH(DATE(cfg_Year,9,1),0),cfg_LastDataDate),cd_Date,0)),""))</f>
        <v/>
      </c>
      <c r="M57" s="27">
        <f>IF(DATE(cfg_Year,10,1)&gt;cfg_LastDataDate,"",IFERROR(INDEX(cd_Gold_Poured_oz_MTD,MATCH(MIN(EOMONTH(DATE(cfg_Year,10,1),0),cfg_LastDataDate),cd_Date,0)),""))</f>
        <v/>
      </c>
      <c r="N57" s="27">
        <f>IF(DATE(cfg_Year,11,1)&gt;cfg_LastDataDate,"",IFERROR(INDEX(cd_Gold_Poured_oz_MTD,MATCH(MIN(EOMONTH(DATE(cfg_Year,11,1),0),cfg_LastDataDate),cd_Date,0)),""))</f>
        <v/>
      </c>
      <c r="O57" s="27">
        <f>IF(DATE(cfg_Year,12,1)&gt;cfg_LastDataDate,"",IFERROR(INDEX(cd_Gold_Poured_oz_MTD,MATCH(MIN(EOMONTH(DATE(cfg_Year,12,1),0),cfg_LastDataDate),cd_Date,0)),""))</f>
        <v/>
      </c>
      <c r="P57" s="45">
        <f>IFERROR(INDEX(cd_Gold_Poured_oz_YTD,MATCH(MIN(cfg_YearEnd,cfg_LastDataDate),cd_Date,0)),"")</f>
        <v/>
      </c>
    </row>
    <row r="58">
      <c r="B58" s="39" t="inlineStr"/>
      <c r="C58" s="36" t="inlineStr">
        <is>
          <t>Budget</t>
        </is>
      </c>
      <c r="D58" s="27">
        <f>IF(DATE(cfg_Year,1,1)&gt;cfg_LastDataDate,IFERROR(INDEX(cd_Bud_Gold_Poured_oz_Month,MATCH(DATE(cfg_Year,1,1),cd_Date,0)),""),IFERROR(INDEX(cd_Bud_Gold_Poured_oz_MTD,MATCH(MIN(EOMONTH(DATE(cfg_Year,1,1),0),cfg_LastDataDate),cd_Date,0)),""))</f>
        <v/>
      </c>
      <c r="E58" s="27">
        <f>IF(DATE(cfg_Year,2,1)&gt;cfg_LastDataDate,IFERROR(INDEX(cd_Bud_Gold_Poured_oz_Month,MATCH(DATE(cfg_Year,2,1),cd_Date,0)),""),IFERROR(INDEX(cd_Bud_Gold_Poured_oz_MTD,MATCH(MIN(EOMONTH(DATE(cfg_Year,2,1),0),cfg_LastDataDate),cd_Date,0)),""))</f>
        <v/>
      </c>
      <c r="F58" s="27">
        <f>IF(DATE(cfg_Year,3,1)&gt;cfg_LastDataDate,IFERROR(INDEX(cd_Bud_Gold_Poured_oz_Month,MATCH(DATE(cfg_Year,3,1),cd_Date,0)),""),IFERROR(INDEX(cd_Bud_Gold_Poured_oz_MTD,MATCH(MIN(EOMONTH(DATE(cfg_Year,3,1),0),cfg_LastDataDate),cd_Date,0)),""))</f>
        <v/>
      </c>
      <c r="G58" s="27">
        <f>IF(DATE(cfg_Year,4,1)&gt;cfg_LastDataDate,IFERROR(INDEX(cd_Bud_Gold_Poured_oz_Month,MATCH(DATE(cfg_Year,4,1),cd_Date,0)),""),IFERROR(INDEX(cd_Bud_Gold_Poured_oz_MTD,MATCH(MIN(EOMONTH(DATE(cfg_Year,4,1),0),cfg_LastDataDate),cd_Date,0)),""))</f>
        <v/>
      </c>
      <c r="H58" s="27">
        <f>IF(DATE(cfg_Year,5,1)&gt;cfg_LastDataDate,IFERROR(INDEX(cd_Bud_Gold_Poured_oz_Month,MATCH(DATE(cfg_Year,5,1),cd_Date,0)),""),IFERROR(INDEX(cd_Bud_Gold_Poured_oz_MTD,MATCH(MIN(EOMONTH(DATE(cfg_Year,5,1),0),cfg_LastDataDate),cd_Date,0)),""))</f>
        <v/>
      </c>
      <c r="I58" s="27">
        <f>IF(DATE(cfg_Year,6,1)&gt;cfg_LastDataDate,IFERROR(INDEX(cd_Bud_Gold_Poured_oz_Month,MATCH(DATE(cfg_Year,6,1),cd_Date,0)),""),IFERROR(INDEX(cd_Bud_Gold_Poured_oz_MTD,MATCH(MIN(EOMONTH(DATE(cfg_Year,6,1),0),cfg_LastDataDate),cd_Date,0)),""))</f>
        <v/>
      </c>
      <c r="J58" s="27">
        <f>IF(DATE(cfg_Year,7,1)&gt;cfg_LastDataDate,IFERROR(INDEX(cd_Bud_Gold_Poured_oz_Month,MATCH(DATE(cfg_Year,7,1),cd_Date,0)),""),IFERROR(INDEX(cd_Bud_Gold_Poured_oz_MTD,MATCH(MIN(EOMONTH(DATE(cfg_Year,7,1),0),cfg_LastDataDate),cd_Date,0)),""))</f>
        <v/>
      </c>
      <c r="K58" s="27">
        <f>IF(DATE(cfg_Year,8,1)&gt;cfg_LastDataDate,IFERROR(INDEX(cd_Bud_Gold_Poured_oz_Month,MATCH(DATE(cfg_Year,8,1),cd_Date,0)),""),IFERROR(INDEX(cd_Bud_Gold_Poured_oz_MTD,MATCH(MIN(EOMONTH(DATE(cfg_Year,8,1),0),cfg_LastDataDate),cd_Date,0)),""))</f>
        <v/>
      </c>
      <c r="L58" s="27">
        <f>IF(DATE(cfg_Year,9,1)&gt;cfg_LastDataDate,IFERROR(INDEX(cd_Bud_Gold_Poured_oz_Month,MATCH(DATE(cfg_Year,9,1),cd_Date,0)),""),IFERROR(INDEX(cd_Bud_Gold_Poured_oz_MTD,MATCH(MIN(EOMONTH(DATE(cfg_Year,9,1),0),cfg_LastDataDate),cd_Date,0)),""))</f>
        <v/>
      </c>
      <c r="M58" s="27">
        <f>IF(DATE(cfg_Year,10,1)&gt;cfg_LastDataDate,IFERROR(INDEX(cd_Bud_Gold_Poured_oz_Month,MATCH(DATE(cfg_Year,10,1),cd_Date,0)),""),IFERROR(INDEX(cd_Bud_Gold_Poured_oz_MTD,MATCH(MIN(EOMONTH(DATE(cfg_Year,10,1),0),cfg_LastDataDate),cd_Date,0)),""))</f>
        <v/>
      </c>
      <c r="N58" s="27">
        <f>IF(DATE(cfg_Year,11,1)&gt;cfg_LastDataDate,IFERROR(INDEX(cd_Bud_Gold_Poured_oz_Month,MATCH(DATE(cfg_Year,11,1),cd_Date,0)),""),IFERROR(INDEX(cd_Bud_Gold_Poured_oz_MTD,MATCH(MIN(EOMONTH(DATE(cfg_Year,11,1),0),cfg_LastDataDate),cd_Date,0)),""))</f>
        <v/>
      </c>
      <c r="O58" s="27">
        <f>IF(DATE(cfg_Year,12,1)&gt;cfg_LastDataDate,IFERROR(INDEX(cd_Bud_Gold_Poured_oz_Month,MATCH(DATE(cfg_Year,12,1),cd_Date,0)),""),IFERROR(INDEX(cd_Bud_Gold_Poured_oz_MTD,MATCH(MIN(EOMONTH(DATE(cfg_Year,12,1),0),cfg_LastDataDate),cd_Date,0)),""))</f>
        <v/>
      </c>
      <c r="P58" s="45">
        <f>IFERROR(INDEX(cd_Bud_Gold_Poured_oz_YTD,MATCH(IF(N(cfg_LastDataDate)&gt;0,MIN(cfg_YearEnd,cfg_LastDataDate),cfg_YearEnd),cd_Date,0)),"")</f>
        <v/>
      </c>
    </row>
    <row r="59">
      <c r="B59" s="39" t="inlineStr"/>
      <c r="C59" s="36" t="inlineStr">
        <is>
          <t>Variance</t>
        </is>
      </c>
      <c r="D59" s="40">
        <f>IF(AND(ISNUMBER(D57),ISNUMBER(D58),D58&lt;&gt;0),D57/D58-1,"")</f>
        <v/>
      </c>
      <c r="E59" s="40">
        <f>IF(AND(ISNUMBER(E57),ISNUMBER(E58),E58&lt;&gt;0),E57/E58-1,"")</f>
        <v/>
      </c>
      <c r="F59" s="40">
        <f>IF(AND(ISNUMBER(F57),ISNUMBER(F58),F58&lt;&gt;0),F57/F58-1,"")</f>
        <v/>
      </c>
      <c r="G59" s="40">
        <f>IF(AND(ISNUMBER(G57),ISNUMBER(G58),G58&lt;&gt;0),G57/G58-1,"")</f>
        <v/>
      </c>
      <c r="H59" s="40">
        <f>IF(AND(ISNUMBER(H57),ISNUMBER(H58),H58&lt;&gt;0),H57/H58-1,"")</f>
        <v/>
      </c>
      <c r="I59" s="40">
        <f>IF(AND(ISNUMBER(I57),ISNUMBER(I58),I58&lt;&gt;0),I57/I58-1,"")</f>
        <v/>
      </c>
      <c r="J59" s="40">
        <f>IF(AND(ISNUMBER(J57),ISNUMBER(J58),J58&lt;&gt;0),J57/J58-1,"")</f>
        <v/>
      </c>
      <c r="K59" s="40">
        <f>IF(AND(ISNUMBER(K57),ISNUMBER(K58),K58&lt;&gt;0),K57/K58-1,"")</f>
        <v/>
      </c>
      <c r="L59" s="40">
        <f>IF(AND(ISNUMBER(L57),ISNUMBER(L58),L58&lt;&gt;0),L57/L58-1,"")</f>
        <v/>
      </c>
      <c r="M59" s="40">
        <f>IF(AND(ISNUMBER(M57),ISNUMBER(M58),M58&lt;&gt;0),M57/M58-1,"")</f>
        <v/>
      </c>
      <c r="N59" s="40">
        <f>IF(AND(ISNUMBER(N57),ISNUMBER(N58),N58&lt;&gt;0),N57/N58-1,"")</f>
        <v/>
      </c>
      <c r="O59" s="40">
        <f>IF(AND(ISNUMBER(O57),ISNUMBER(O58),O58&lt;&gt;0),O57/O58-1,"")</f>
        <v/>
      </c>
      <c r="P59" s="41">
        <f>IF(AND(ISNUMBER(P57),ISNUMBER(P58),P58&lt;&gt;0),P57/P58-1,"")</f>
        <v/>
      </c>
    </row>
    <row r="60"/>
    <row r="61">
      <c r="B61" s="8" t="inlineStr">
        <is>
          <t>Gold sold</t>
        </is>
      </c>
      <c r="C61" s="36" t="inlineStr">
        <is>
          <t>Actual</t>
        </is>
      </c>
      <c r="D61" s="27">
        <f>IF(DATE(cfg_Year,1,1)&gt;cfg_LastDataDate,"",IFERROR(INDEX(cd_Gold_Sold_oz_MTD,MATCH(MIN(EOMONTH(DATE(cfg_Year,1,1),0),cfg_LastDataDate),cd_Date,0)),""))</f>
        <v/>
      </c>
      <c r="E61" s="27">
        <f>IF(DATE(cfg_Year,2,1)&gt;cfg_LastDataDate,"",IFERROR(INDEX(cd_Gold_Sold_oz_MTD,MATCH(MIN(EOMONTH(DATE(cfg_Year,2,1),0),cfg_LastDataDate),cd_Date,0)),""))</f>
        <v/>
      </c>
      <c r="F61" s="27">
        <f>IF(DATE(cfg_Year,3,1)&gt;cfg_LastDataDate,"",IFERROR(INDEX(cd_Gold_Sold_oz_MTD,MATCH(MIN(EOMONTH(DATE(cfg_Year,3,1),0),cfg_LastDataDate),cd_Date,0)),""))</f>
        <v/>
      </c>
      <c r="G61" s="27">
        <f>IF(DATE(cfg_Year,4,1)&gt;cfg_LastDataDate,"",IFERROR(INDEX(cd_Gold_Sold_oz_MTD,MATCH(MIN(EOMONTH(DATE(cfg_Year,4,1),0),cfg_LastDataDate),cd_Date,0)),""))</f>
        <v/>
      </c>
      <c r="H61" s="27">
        <f>IF(DATE(cfg_Year,5,1)&gt;cfg_LastDataDate,"",IFERROR(INDEX(cd_Gold_Sold_oz_MTD,MATCH(MIN(EOMONTH(DATE(cfg_Year,5,1),0),cfg_LastDataDate),cd_Date,0)),""))</f>
        <v/>
      </c>
      <c r="I61" s="27">
        <f>IF(DATE(cfg_Year,6,1)&gt;cfg_LastDataDate,"",IFERROR(INDEX(cd_Gold_Sold_oz_MTD,MATCH(MIN(EOMONTH(DATE(cfg_Year,6,1),0),cfg_LastDataDate),cd_Date,0)),""))</f>
        <v/>
      </c>
      <c r="J61" s="27">
        <f>IF(DATE(cfg_Year,7,1)&gt;cfg_LastDataDate,"",IFERROR(INDEX(cd_Gold_Sold_oz_MTD,MATCH(MIN(EOMONTH(DATE(cfg_Year,7,1),0),cfg_LastDataDate),cd_Date,0)),""))</f>
        <v/>
      </c>
      <c r="K61" s="27">
        <f>IF(DATE(cfg_Year,8,1)&gt;cfg_LastDataDate,"",IFERROR(INDEX(cd_Gold_Sold_oz_MTD,MATCH(MIN(EOMONTH(DATE(cfg_Year,8,1),0),cfg_LastDataDate),cd_Date,0)),""))</f>
        <v/>
      </c>
      <c r="L61" s="27">
        <f>IF(DATE(cfg_Year,9,1)&gt;cfg_LastDataDate,"",IFERROR(INDEX(cd_Gold_Sold_oz_MTD,MATCH(MIN(EOMONTH(DATE(cfg_Year,9,1),0),cfg_LastDataDate),cd_Date,0)),""))</f>
        <v/>
      </c>
      <c r="M61" s="27">
        <f>IF(DATE(cfg_Year,10,1)&gt;cfg_LastDataDate,"",IFERROR(INDEX(cd_Gold_Sold_oz_MTD,MATCH(MIN(EOMONTH(DATE(cfg_Year,10,1),0),cfg_LastDataDate),cd_Date,0)),""))</f>
        <v/>
      </c>
      <c r="N61" s="27">
        <f>IF(DATE(cfg_Year,11,1)&gt;cfg_LastDataDate,"",IFERROR(INDEX(cd_Gold_Sold_oz_MTD,MATCH(MIN(EOMONTH(DATE(cfg_Year,11,1),0),cfg_LastDataDate),cd_Date,0)),""))</f>
        <v/>
      </c>
      <c r="O61" s="27">
        <f>IF(DATE(cfg_Year,12,1)&gt;cfg_LastDataDate,"",IFERROR(INDEX(cd_Gold_Sold_oz_MTD,MATCH(MIN(EOMONTH(DATE(cfg_Year,12,1),0),cfg_LastDataDate),cd_Date,0)),""))</f>
        <v/>
      </c>
      <c r="P61" s="45">
        <f>IFERROR(INDEX(cd_Gold_Sold_oz_YTD,MATCH(MIN(cfg_YearEnd,cfg_LastDataDate),cd_Date,0)),"")</f>
        <v/>
      </c>
    </row>
    <row r="62">
      <c r="B62" s="8" t="inlineStr">
        <is>
          <t>Mill throughput</t>
        </is>
      </c>
      <c r="C62" s="36" t="inlineStr">
        <is>
          <t>Actual</t>
        </is>
      </c>
      <c r="D62" s="27">
        <f>IF(DATE(cfg_Year,1,1)&gt;cfg_LastDataDate,"",IFERROR(INDEX(cd_Throughput_tph_MTD,MATCH(MIN(EOMONTH(DATE(cfg_Year,1,1),0),cfg_LastDataDate),cd_Date,0)),""))</f>
        <v/>
      </c>
      <c r="E62" s="27">
        <f>IF(DATE(cfg_Year,2,1)&gt;cfg_LastDataDate,"",IFERROR(INDEX(cd_Throughput_tph_MTD,MATCH(MIN(EOMONTH(DATE(cfg_Year,2,1),0),cfg_LastDataDate),cd_Date,0)),""))</f>
        <v/>
      </c>
      <c r="F62" s="27">
        <f>IF(DATE(cfg_Year,3,1)&gt;cfg_LastDataDate,"",IFERROR(INDEX(cd_Throughput_tph_MTD,MATCH(MIN(EOMONTH(DATE(cfg_Year,3,1),0),cfg_LastDataDate),cd_Date,0)),""))</f>
        <v/>
      </c>
      <c r="G62" s="27">
        <f>IF(DATE(cfg_Year,4,1)&gt;cfg_LastDataDate,"",IFERROR(INDEX(cd_Throughput_tph_MTD,MATCH(MIN(EOMONTH(DATE(cfg_Year,4,1),0),cfg_LastDataDate),cd_Date,0)),""))</f>
        <v/>
      </c>
      <c r="H62" s="27">
        <f>IF(DATE(cfg_Year,5,1)&gt;cfg_LastDataDate,"",IFERROR(INDEX(cd_Throughput_tph_MTD,MATCH(MIN(EOMONTH(DATE(cfg_Year,5,1),0),cfg_LastDataDate),cd_Date,0)),""))</f>
        <v/>
      </c>
      <c r="I62" s="27">
        <f>IF(DATE(cfg_Year,6,1)&gt;cfg_LastDataDate,"",IFERROR(INDEX(cd_Throughput_tph_MTD,MATCH(MIN(EOMONTH(DATE(cfg_Year,6,1),0),cfg_LastDataDate),cd_Date,0)),""))</f>
        <v/>
      </c>
      <c r="J62" s="27">
        <f>IF(DATE(cfg_Year,7,1)&gt;cfg_LastDataDate,"",IFERROR(INDEX(cd_Throughput_tph_MTD,MATCH(MIN(EOMONTH(DATE(cfg_Year,7,1),0),cfg_LastDataDate),cd_Date,0)),""))</f>
        <v/>
      </c>
      <c r="K62" s="27">
        <f>IF(DATE(cfg_Year,8,1)&gt;cfg_LastDataDate,"",IFERROR(INDEX(cd_Throughput_tph_MTD,MATCH(MIN(EOMONTH(DATE(cfg_Year,8,1),0),cfg_LastDataDate),cd_Date,0)),""))</f>
        <v/>
      </c>
      <c r="L62" s="27">
        <f>IF(DATE(cfg_Year,9,1)&gt;cfg_LastDataDate,"",IFERROR(INDEX(cd_Throughput_tph_MTD,MATCH(MIN(EOMONTH(DATE(cfg_Year,9,1),0),cfg_LastDataDate),cd_Date,0)),""))</f>
        <v/>
      </c>
      <c r="M62" s="27">
        <f>IF(DATE(cfg_Year,10,1)&gt;cfg_LastDataDate,"",IFERROR(INDEX(cd_Throughput_tph_MTD,MATCH(MIN(EOMONTH(DATE(cfg_Year,10,1),0),cfg_LastDataDate),cd_Date,0)),""))</f>
        <v/>
      </c>
      <c r="N62" s="27">
        <f>IF(DATE(cfg_Year,11,1)&gt;cfg_LastDataDate,"",IFERROR(INDEX(cd_Throughput_tph_MTD,MATCH(MIN(EOMONTH(DATE(cfg_Year,11,1),0),cfg_LastDataDate),cd_Date,0)),""))</f>
        <v/>
      </c>
      <c r="O62" s="27">
        <f>IF(DATE(cfg_Year,12,1)&gt;cfg_LastDataDate,"",IFERROR(INDEX(cd_Throughput_tph_MTD,MATCH(MIN(EOMONTH(DATE(cfg_Year,12,1),0),cfg_LastDataDate),cd_Date,0)),""))</f>
        <v/>
      </c>
      <c r="P62" s="45">
        <f>IFERROR(INDEX(cd_Throughput_tph_YTD,MATCH(MIN(cfg_YearEnd,cfg_LastDataDate),cd_Date,0)),"")</f>
        <v/>
      </c>
    </row>
    <row r="63">
      <c r="B63" s="8" t="inlineStr">
        <is>
          <t>Mill availability</t>
        </is>
      </c>
      <c r="C63" s="36" t="inlineStr">
        <is>
          <t>Actual</t>
        </is>
      </c>
      <c r="D63" s="46">
        <f>IF(DATE(cfg_Year,1,1)&gt;cfg_LastDataDate,"",IFERROR(INDEX(cd_Mill_Availability_pct_MTD,MATCH(MIN(EOMONTH(DATE(cfg_Year,1,1),0),cfg_LastDataDate),cd_Date,0)),""))</f>
        <v/>
      </c>
      <c r="E63" s="46">
        <f>IF(DATE(cfg_Year,2,1)&gt;cfg_LastDataDate,"",IFERROR(INDEX(cd_Mill_Availability_pct_MTD,MATCH(MIN(EOMONTH(DATE(cfg_Year,2,1),0),cfg_LastDataDate),cd_Date,0)),""))</f>
        <v/>
      </c>
      <c r="F63" s="46">
        <f>IF(DATE(cfg_Year,3,1)&gt;cfg_LastDataDate,"",IFERROR(INDEX(cd_Mill_Availability_pct_MTD,MATCH(MIN(EOMONTH(DATE(cfg_Year,3,1),0),cfg_LastDataDate),cd_Date,0)),""))</f>
        <v/>
      </c>
      <c r="G63" s="46">
        <f>IF(DATE(cfg_Year,4,1)&gt;cfg_LastDataDate,"",IFERROR(INDEX(cd_Mill_Availability_pct_MTD,MATCH(MIN(EOMONTH(DATE(cfg_Year,4,1),0),cfg_LastDataDate),cd_Date,0)),""))</f>
        <v/>
      </c>
      <c r="H63" s="46">
        <f>IF(DATE(cfg_Year,5,1)&gt;cfg_LastDataDate,"",IFERROR(INDEX(cd_Mill_Availability_pct_MTD,MATCH(MIN(EOMONTH(DATE(cfg_Year,5,1),0),cfg_LastDataDate),cd_Date,0)),""))</f>
        <v/>
      </c>
      <c r="I63" s="46">
        <f>IF(DATE(cfg_Year,6,1)&gt;cfg_LastDataDate,"",IFERROR(INDEX(cd_Mill_Availability_pct_MTD,MATCH(MIN(EOMONTH(DATE(cfg_Year,6,1),0),cfg_LastDataDate),cd_Date,0)),""))</f>
        <v/>
      </c>
      <c r="J63" s="46">
        <f>IF(DATE(cfg_Year,7,1)&gt;cfg_LastDataDate,"",IFERROR(INDEX(cd_Mill_Availability_pct_MTD,MATCH(MIN(EOMONTH(DATE(cfg_Year,7,1),0),cfg_LastDataDate),cd_Date,0)),""))</f>
        <v/>
      </c>
      <c r="K63" s="46">
        <f>IF(DATE(cfg_Year,8,1)&gt;cfg_LastDataDate,"",IFERROR(INDEX(cd_Mill_Availability_pct_MTD,MATCH(MIN(EOMONTH(DATE(cfg_Year,8,1),0),cfg_LastDataDate),cd_Date,0)),""))</f>
        <v/>
      </c>
      <c r="L63" s="46">
        <f>IF(DATE(cfg_Year,9,1)&gt;cfg_LastDataDate,"",IFERROR(INDEX(cd_Mill_Availability_pct_MTD,MATCH(MIN(EOMONTH(DATE(cfg_Year,9,1),0),cfg_LastDataDate),cd_Date,0)),""))</f>
        <v/>
      </c>
      <c r="M63" s="46">
        <f>IF(DATE(cfg_Year,10,1)&gt;cfg_LastDataDate,"",IFERROR(INDEX(cd_Mill_Availability_pct_MTD,MATCH(MIN(EOMONTH(DATE(cfg_Year,10,1),0),cfg_LastDataDate),cd_Date,0)),""))</f>
        <v/>
      </c>
      <c r="N63" s="46">
        <f>IF(DATE(cfg_Year,11,1)&gt;cfg_LastDataDate,"",IFERROR(INDEX(cd_Mill_Availability_pct_MTD,MATCH(MIN(EOMONTH(DATE(cfg_Year,11,1),0),cfg_LastDataDate),cd_Date,0)),""))</f>
        <v/>
      </c>
      <c r="O63" s="46">
        <f>IF(DATE(cfg_Year,12,1)&gt;cfg_LastDataDate,"",IFERROR(INDEX(cd_Mill_Availability_pct_MTD,MATCH(MIN(EOMONTH(DATE(cfg_Year,12,1),0),cfg_LastDataDate),cd_Date,0)),""))</f>
        <v/>
      </c>
      <c r="P63" s="47">
        <f>IFERROR(INDEX(cd_Mill_Availability_pct_YTD,MATCH(MIN(cfg_YearEnd,cfg_LastDataDate),cd_Date,0)),"")</f>
        <v/>
      </c>
    </row>
    <row r="64">
      <c r="B64" s="8" t="inlineStr">
        <is>
          <t>Mill utilisation</t>
        </is>
      </c>
      <c r="C64" s="36" t="inlineStr">
        <is>
          <t>Actual</t>
        </is>
      </c>
      <c r="D64" s="46">
        <f>IF(DATE(cfg_Year,1,1)&gt;cfg_LastDataDate,"",IFERROR(INDEX(cd_Mill_Utilisation_pct_MTD,MATCH(MIN(EOMONTH(DATE(cfg_Year,1,1),0),cfg_LastDataDate),cd_Date,0)),""))</f>
        <v/>
      </c>
      <c r="E64" s="46">
        <f>IF(DATE(cfg_Year,2,1)&gt;cfg_LastDataDate,"",IFERROR(INDEX(cd_Mill_Utilisation_pct_MTD,MATCH(MIN(EOMONTH(DATE(cfg_Year,2,1),0),cfg_LastDataDate),cd_Date,0)),""))</f>
        <v/>
      </c>
      <c r="F64" s="46">
        <f>IF(DATE(cfg_Year,3,1)&gt;cfg_LastDataDate,"",IFERROR(INDEX(cd_Mill_Utilisation_pct_MTD,MATCH(MIN(EOMONTH(DATE(cfg_Year,3,1),0),cfg_LastDataDate),cd_Date,0)),""))</f>
        <v/>
      </c>
      <c r="G64" s="46">
        <f>IF(DATE(cfg_Year,4,1)&gt;cfg_LastDataDate,"",IFERROR(INDEX(cd_Mill_Utilisation_pct_MTD,MATCH(MIN(EOMONTH(DATE(cfg_Year,4,1),0),cfg_LastDataDate),cd_Date,0)),""))</f>
        <v/>
      </c>
      <c r="H64" s="46">
        <f>IF(DATE(cfg_Year,5,1)&gt;cfg_LastDataDate,"",IFERROR(INDEX(cd_Mill_Utilisation_pct_MTD,MATCH(MIN(EOMONTH(DATE(cfg_Year,5,1),0),cfg_LastDataDate),cd_Date,0)),""))</f>
        <v/>
      </c>
      <c r="I64" s="46">
        <f>IF(DATE(cfg_Year,6,1)&gt;cfg_LastDataDate,"",IFERROR(INDEX(cd_Mill_Utilisation_pct_MTD,MATCH(MIN(EOMONTH(DATE(cfg_Year,6,1),0),cfg_LastDataDate),cd_Date,0)),""))</f>
        <v/>
      </c>
      <c r="J64" s="46">
        <f>IF(DATE(cfg_Year,7,1)&gt;cfg_LastDataDate,"",IFERROR(INDEX(cd_Mill_Utilisation_pct_MTD,MATCH(MIN(EOMONTH(DATE(cfg_Year,7,1),0),cfg_LastDataDate),cd_Date,0)),""))</f>
        <v/>
      </c>
      <c r="K64" s="46">
        <f>IF(DATE(cfg_Year,8,1)&gt;cfg_LastDataDate,"",IFERROR(INDEX(cd_Mill_Utilisation_pct_MTD,MATCH(MIN(EOMONTH(DATE(cfg_Year,8,1),0),cfg_LastDataDate),cd_Date,0)),""))</f>
        <v/>
      </c>
      <c r="L64" s="46">
        <f>IF(DATE(cfg_Year,9,1)&gt;cfg_LastDataDate,"",IFERROR(INDEX(cd_Mill_Utilisation_pct_MTD,MATCH(MIN(EOMONTH(DATE(cfg_Year,9,1),0),cfg_LastDataDate),cd_Date,0)),""))</f>
        <v/>
      </c>
      <c r="M64" s="46">
        <f>IF(DATE(cfg_Year,10,1)&gt;cfg_LastDataDate,"",IFERROR(INDEX(cd_Mill_Utilisation_pct_MTD,MATCH(MIN(EOMONTH(DATE(cfg_Year,10,1),0),cfg_LastDataDate),cd_Date,0)),""))</f>
        <v/>
      </c>
      <c r="N64" s="46">
        <f>IF(DATE(cfg_Year,11,1)&gt;cfg_LastDataDate,"",IFERROR(INDEX(cd_Mill_Utilisation_pct_MTD,MATCH(MIN(EOMONTH(DATE(cfg_Year,11,1),0),cfg_LastDataDate),cd_Date,0)),""))</f>
        <v/>
      </c>
      <c r="O64" s="46">
        <f>IF(DATE(cfg_Year,12,1)&gt;cfg_LastDataDate,"",IFERROR(INDEX(cd_Mill_Utilisation_pct_MTD,MATCH(MIN(EOMONTH(DATE(cfg_Year,12,1),0),cfg_LastDataDate),cd_Date,0)),""))</f>
        <v/>
      </c>
      <c r="P64" s="47">
        <f>IFERROR(INDEX(cd_Mill_Utilisation_pct_YTD,MATCH(MIN(cfg_YearEnd,cfg_LastDataDate),cd_Date,0)),"")</f>
        <v/>
      </c>
    </row>
    <row r="65">
      <c r="B65" s="8" t="inlineStr">
        <is>
          <t>Cyanide consumption</t>
        </is>
      </c>
      <c r="C65" s="36" t="inlineStr">
        <is>
          <t>Actual</t>
        </is>
      </c>
      <c r="D65" s="28">
        <f>IF(DATE(cfg_Year,1,1)&gt;cfg_LastDataDate,"",IFERROR(INDEX(cd_Cyanide_kgpt_MTD,MATCH(MIN(EOMONTH(DATE(cfg_Year,1,1),0),cfg_LastDataDate),cd_Date,0)),""))</f>
        <v/>
      </c>
      <c r="E65" s="28">
        <f>IF(DATE(cfg_Year,2,1)&gt;cfg_LastDataDate,"",IFERROR(INDEX(cd_Cyanide_kgpt_MTD,MATCH(MIN(EOMONTH(DATE(cfg_Year,2,1),0),cfg_LastDataDate),cd_Date,0)),""))</f>
        <v/>
      </c>
      <c r="F65" s="28">
        <f>IF(DATE(cfg_Year,3,1)&gt;cfg_LastDataDate,"",IFERROR(INDEX(cd_Cyanide_kgpt_MTD,MATCH(MIN(EOMONTH(DATE(cfg_Year,3,1),0),cfg_LastDataDate),cd_Date,0)),""))</f>
        <v/>
      </c>
      <c r="G65" s="28">
        <f>IF(DATE(cfg_Year,4,1)&gt;cfg_LastDataDate,"",IFERROR(INDEX(cd_Cyanide_kgpt_MTD,MATCH(MIN(EOMONTH(DATE(cfg_Year,4,1),0),cfg_LastDataDate),cd_Date,0)),""))</f>
        <v/>
      </c>
      <c r="H65" s="28">
        <f>IF(DATE(cfg_Year,5,1)&gt;cfg_LastDataDate,"",IFERROR(INDEX(cd_Cyanide_kgpt_MTD,MATCH(MIN(EOMONTH(DATE(cfg_Year,5,1),0),cfg_LastDataDate),cd_Date,0)),""))</f>
        <v/>
      </c>
      <c r="I65" s="28">
        <f>IF(DATE(cfg_Year,6,1)&gt;cfg_LastDataDate,"",IFERROR(INDEX(cd_Cyanide_kgpt_MTD,MATCH(MIN(EOMONTH(DATE(cfg_Year,6,1),0),cfg_LastDataDate),cd_Date,0)),""))</f>
        <v/>
      </c>
      <c r="J65" s="28">
        <f>IF(DATE(cfg_Year,7,1)&gt;cfg_LastDataDate,"",IFERROR(INDEX(cd_Cyanide_kgpt_MTD,MATCH(MIN(EOMONTH(DATE(cfg_Year,7,1),0),cfg_LastDataDate),cd_Date,0)),""))</f>
        <v/>
      </c>
      <c r="K65" s="28">
        <f>IF(DATE(cfg_Year,8,1)&gt;cfg_LastDataDate,"",IFERROR(INDEX(cd_Cyanide_kgpt_MTD,MATCH(MIN(EOMONTH(DATE(cfg_Year,8,1),0),cfg_LastDataDate),cd_Date,0)),""))</f>
        <v/>
      </c>
      <c r="L65" s="28">
        <f>IF(DATE(cfg_Year,9,1)&gt;cfg_LastDataDate,"",IFERROR(INDEX(cd_Cyanide_kgpt_MTD,MATCH(MIN(EOMONTH(DATE(cfg_Year,9,1),0),cfg_LastDataDate),cd_Date,0)),""))</f>
        <v/>
      </c>
      <c r="M65" s="28">
        <f>IF(DATE(cfg_Year,10,1)&gt;cfg_LastDataDate,"",IFERROR(INDEX(cd_Cyanide_kgpt_MTD,MATCH(MIN(EOMONTH(DATE(cfg_Year,10,1),0),cfg_LastDataDate),cd_Date,0)),""))</f>
        <v/>
      </c>
      <c r="N65" s="28">
        <f>IF(DATE(cfg_Year,11,1)&gt;cfg_LastDataDate,"",IFERROR(INDEX(cd_Cyanide_kgpt_MTD,MATCH(MIN(EOMONTH(DATE(cfg_Year,11,1),0),cfg_LastDataDate),cd_Date,0)),""))</f>
        <v/>
      </c>
      <c r="O65" s="28">
        <f>IF(DATE(cfg_Year,12,1)&gt;cfg_LastDataDate,"",IFERROR(INDEX(cd_Cyanide_kgpt_MTD,MATCH(MIN(EOMONTH(DATE(cfg_Year,12,1),0),cfg_LastDataDate),cd_Date,0)),""))</f>
        <v/>
      </c>
      <c r="P65" s="44">
        <f>IFERROR(INDEX(cd_Cyanide_kgpt_YTD,MATCH(MIN(cfg_YearEnd,cfg_LastDataDate),cd_Date,0)),"")</f>
        <v/>
      </c>
    </row>
    <row r="66">
      <c r="B66" s="8" t="inlineStr">
        <is>
          <t>Power consumption</t>
        </is>
      </c>
      <c r="C66" s="36" t="inlineStr">
        <is>
          <t>Actual</t>
        </is>
      </c>
      <c r="D66" s="48">
        <f>IF(DATE(cfg_Year,1,1)&gt;cfg_LastDataDate,"",IFERROR(INDEX(cd_Power_kWhpt_MTD,MATCH(MIN(EOMONTH(DATE(cfg_Year,1,1),0),cfg_LastDataDate),cd_Date,0)),""))</f>
        <v/>
      </c>
      <c r="E66" s="48">
        <f>IF(DATE(cfg_Year,2,1)&gt;cfg_LastDataDate,"",IFERROR(INDEX(cd_Power_kWhpt_MTD,MATCH(MIN(EOMONTH(DATE(cfg_Year,2,1),0),cfg_LastDataDate),cd_Date,0)),""))</f>
        <v/>
      </c>
      <c r="F66" s="48">
        <f>IF(DATE(cfg_Year,3,1)&gt;cfg_LastDataDate,"",IFERROR(INDEX(cd_Power_kWhpt_MTD,MATCH(MIN(EOMONTH(DATE(cfg_Year,3,1),0),cfg_LastDataDate),cd_Date,0)),""))</f>
        <v/>
      </c>
      <c r="G66" s="48">
        <f>IF(DATE(cfg_Year,4,1)&gt;cfg_LastDataDate,"",IFERROR(INDEX(cd_Power_kWhpt_MTD,MATCH(MIN(EOMONTH(DATE(cfg_Year,4,1),0),cfg_LastDataDate),cd_Date,0)),""))</f>
        <v/>
      </c>
      <c r="H66" s="48">
        <f>IF(DATE(cfg_Year,5,1)&gt;cfg_LastDataDate,"",IFERROR(INDEX(cd_Power_kWhpt_MTD,MATCH(MIN(EOMONTH(DATE(cfg_Year,5,1),0),cfg_LastDataDate),cd_Date,0)),""))</f>
        <v/>
      </c>
      <c r="I66" s="48">
        <f>IF(DATE(cfg_Year,6,1)&gt;cfg_LastDataDate,"",IFERROR(INDEX(cd_Power_kWhpt_MTD,MATCH(MIN(EOMONTH(DATE(cfg_Year,6,1),0),cfg_LastDataDate),cd_Date,0)),""))</f>
        <v/>
      </c>
      <c r="J66" s="48">
        <f>IF(DATE(cfg_Year,7,1)&gt;cfg_LastDataDate,"",IFERROR(INDEX(cd_Power_kWhpt_MTD,MATCH(MIN(EOMONTH(DATE(cfg_Year,7,1),0),cfg_LastDataDate),cd_Date,0)),""))</f>
        <v/>
      </c>
      <c r="K66" s="48">
        <f>IF(DATE(cfg_Year,8,1)&gt;cfg_LastDataDate,"",IFERROR(INDEX(cd_Power_kWhpt_MTD,MATCH(MIN(EOMONTH(DATE(cfg_Year,8,1),0),cfg_LastDataDate),cd_Date,0)),""))</f>
        <v/>
      </c>
      <c r="L66" s="48">
        <f>IF(DATE(cfg_Year,9,1)&gt;cfg_LastDataDate,"",IFERROR(INDEX(cd_Power_kWhpt_MTD,MATCH(MIN(EOMONTH(DATE(cfg_Year,9,1),0),cfg_LastDataDate),cd_Date,0)),""))</f>
        <v/>
      </c>
      <c r="M66" s="48">
        <f>IF(DATE(cfg_Year,10,1)&gt;cfg_LastDataDate,"",IFERROR(INDEX(cd_Power_kWhpt_MTD,MATCH(MIN(EOMONTH(DATE(cfg_Year,10,1),0),cfg_LastDataDate),cd_Date,0)),""))</f>
        <v/>
      </c>
      <c r="N66" s="48">
        <f>IF(DATE(cfg_Year,11,1)&gt;cfg_LastDataDate,"",IFERROR(INDEX(cd_Power_kWhpt_MTD,MATCH(MIN(EOMONTH(DATE(cfg_Year,11,1),0),cfg_LastDataDate),cd_Date,0)),""))</f>
        <v/>
      </c>
      <c r="O66" s="48">
        <f>IF(DATE(cfg_Year,12,1)&gt;cfg_LastDataDate,"",IFERROR(INDEX(cd_Power_kWhpt_MTD,MATCH(MIN(EOMONTH(DATE(cfg_Year,12,1),0),cfg_LastDataDate),cd_Date,0)),""))</f>
        <v/>
      </c>
      <c r="P66" s="49">
        <f>IFERROR(INDEX(cd_Power_kWhpt_YTD,MATCH(MIN(cfg_YearEnd,cfg_LastDataDate),cd_Date,0)),"")</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548235"/>
    <outlinePr summaryBelow="1" summaryRight="1"/>
    <pageSetUpPr/>
  </sheetPr>
  <dimension ref="A1:Y37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9" customWidth="1" min="2" max="2"/>
    <col width="11" customWidth="1" min="3" max="3"/>
    <col width="16.4" customWidth="1" min="4" max="4"/>
    <col width="17.3" customWidth="1" min="5" max="5"/>
    <col width="17.3" customWidth="1" min="6" max="6"/>
    <col width="16.4" customWidth="1" min="7" max="7"/>
    <col width="18.2" customWidth="1" min="8" max="8"/>
    <col width="22.7" customWidth="1" min="9" max="9"/>
    <col width="21.8" customWidth="1" min="10" max="10"/>
    <col width="20.9" customWidth="1" min="11" max="11"/>
    <col width="12.8" customWidth="1" min="12" max="12"/>
    <col width="11" customWidth="1" min="13" max="13"/>
    <col width="19.1" customWidth="1" min="14" max="14"/>
    <col width="11.9" customWidth="1" min="15" max="15"/>
    <col width="14.6" customWidth="1" min="16" max="16"/>
    <col width="20" customWidth="1" min="17" max="17"/>
    <col width="32" customWidth="1" min="18" max="18"/>
    <col width="26.3" customWidth="1" min="19" max="19"/>
    <col width="22.7" customWidth="1" min="20" max="20"/>
    <col width="19.1" customWidth="1" min="21" max="21"/>
    <col width="12.8" customWidth="1" min="22" max="22"/>
    <col width="16.4" customWidth="1" min="23" max="23"/>
    <col width="20.9" customWidth="1" min="24" max="24"/>
    <col width="20" customWidth="1" min="25" max="25"/>
  </cols>
  <sheetData>
    <row r="1">
      <c r="A1" s="50" t="inlineStr">
        <is>
          <t>Processing plant, one row per day</t>
        </is>
      </c>
    </row>
    <row r="2">
      <c r="A2" s="6" t="inlineStr">
        <is>
          <t>Owner: Processing (met accountant / shift supervisor).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Crushed (t)</t>
        </is>
      </c>
      <c r="C4" s="51" t="inlineStr">
        <is>
          <t>Milled (t)</t>
        </is>
      </c>
      <c r="D4" s="51" t="inlineStr">
        <is>
          <t>Head grade (g/t)</t>
        </is>
      </c>
      <c r="E4" s="51" t="inlineStr">
        <is>
          <t>Tails grade (g/t)</t>
        </is>
      </c>
      <c r="F4" s="51" t="inlineStr">
        <is>
          <t>Gravity gold (oz)</t>
        </is>
      </c>
      <c r="G4" s="51" t="inlineStr">
        <is>
          <t>Gold poured (oz)</t>
        </is>
      </c>
      <c r="H4" s="51" t="inlineStr">
        <is>
          <t>Mill run hours (h)</t>
        </is>
      </c>
      <c r="I4" s="51" t="inlineStr">
        <is>
          <t>Planned maintenance (h)</t>
        </is>
      </c>
      <c r="J4" s="51" t="inlineStr">
        <is>
          <t>Unplanned downtime (h)</t>
        </is>
      </c>
      <c r="K4" s="51" t="inlineStr">
        <is>
          <t>Crusher run hours (h)</t>
        </is>
      </c>
      <c r="L4" s="51" t="inlineStr">
        <is>
          <t>Cyanide (kg)</t>
        </is>
      </c>
      <c r="M4" s="51" t="inlineStr">
        <is>
          <t>Lime (kg)</t>
        </is>
      </c>
      <c r="N4" s="51" t="inlineStr">
        <is>
          <t>Grinding media (kg)</t>
        </is>
      </c>
      <c r="O4" s="51" t="inlineStr">
        <is>
          <t>Power (kWh)</t>
        </is>
      </c>
      <c r="P4" s="51" t="inlineStr">
        <is>
          <t>Raw water (m3)</t>
        </is>
      </c>
      <c r="Q4" s="51" t="inlineStr">
        <is>
          <t>Gold in circuit (oz)</t>
        </is>
      </c>
      <c r="R4" s="51" t="inlineStr">
        <is>
          <t>Comments</t>
        </is>
      </c>
      <c r="S4" s="51" t="inlineStr">
        <is>
          <t>Contained gold in feed (oz)</t>
        </is>
      </c>
      <c r="T4" s="51" t="inlineStr">
        <is>
          <t>Gold lost to tails (oz)</t>
        </is>
      </c>
      <c r="U4" s="51" t="inlineStr">
        <is>
          <t>Gold recovered (oz)</t>
        </is>
      </c>
      <c r="V4" s="51" t="inlineStr">
        <is>
          <t>Recovery (%)</t>
        </is>
      </c>
      <c r="W4" s="51" t="inlineStr">
        <is>
          <t>Throughput (t/h)</t>
        </is>
      </c>
      <c r="X4" s="51" t="inlineStr">
        <is>
          <t>Mill availability (%)</t>
        </is>
      </c>
      <c r="Y4" s="51" t="inlineStr">
        <is>
          <t>Mill utilisation (%)</t>
        </is>
      </c>
    </row>
    <row r="5">
      <c r="A5" s="52" t="inlineStr">
        <is>
          <t>Date</t>
        </is>
      </c>
      <c r="B5" s="52" t="inlineStr">
        <is>
          <t>Crushed_t</t>
        </is>
      </c>
      <c r="C5" s="52" t="inlineStr">
        <is>
          <t>Milled_t</t>
        </is>
      </c>
      <c r="D5" s="52" t="inlineStr">
        <is>
          <t>Head_Grade_gpt</t>
        </is>
      </c>
      <c r="E5" s="52" t="inlineStr">
        <is>
          <t>Tails_Grade_gpt</t>
        </is>
      </c>
      <c r="F5" s="52" t="inlineStr">
        <is>
          <t>Gravity_Gold_oz</t>
        </is>
      </c>
      <c r="G5" s="52" t="inlineStr">
        <is>
          <t>Gold_Poured_oz</t>
        </is>
      </c>
      <c r="H5" s="52" t="inlineStr">
        <is>
          <t>Mill_Run_h</t>
        </is>
      </c>
      <c r="I5" s="52" t="inlineStr">
        <is>
          <t>Mill_Planned_Maint_h</t>
        </is>
      </c>
      <c r="J5" s="52" t="inlineStr">
        <is>
          <t>Mill_Unplanned_Down_h</t>
        </is>
      </c>
      <c r="K5" s="52" t="inlineStr">
        <is>
          <t>Crusher_Run_h</t>
        </is>
      </c>
      <c r="L5" s="52" t="inlineStr">
        <is>
          <t>Cyanide_kg</t>
        </is>
      </c>
      <c r="M5" s="52" t="inlineStr">
        <is>
          <t>Lime_kg</t>
        </is>
      </c>
      <c r="N5" s="52" t="inlineStr">
        <is>
          <t>Grinding_Media_kg</t>
        </is>
      </c>
      <c r="O5" s="52" t="inlineStr">
        <is>
          <t>Power_kWh</t>
        </is>
      </c>
      <c r="P5" s="52" t="inlineStr">
        <is>
          <t>Raw_Water_m3</t>
        </is>
      </c>
      <c r="Q5" s="52" t="inlineStr">
        <is>
          <t>GIC_oz</t>
        </is>
      </c>
      <c r="R5" s="52" t="inlineStr">
        <is>
          <t>Comments</t>
        </is>
      </c>
      <c r="S5" s="53" t="inlineStr">
        <is>
          <t>Feed_oz</t>
        </is>
      </c>
      <c r="T5" s="53" t="inlineStr">
        <is>
          <t>Tails_oz</t>
        </is>
      </c>
      <c r="U5" s="53" t="inlineStr">
        <is>
          <t>Recovered_oz</t>
        </is>
      </c>
      <c r="V5" s="53" t="inlineStr">
        <is>
          <t>Recovery_pct</t>
        </is>
      </c>
      <c r="W5" s="53" t="inlineStr">
        <is>
          <t>Throughput_tph</t>
        </is>
      </c>
      <c r="X5" s="53" t="inlineStr">
        <is>
          <t>Availability_pct</t>
        </is>
      </c>
      <c r="Y5" s="53" t="inlineStr">
        <is>
          <t>Utilisation_pct</t>
        </is>
      </c>
    </row>
    <row r="6">
      <c r="A6" s="54" t="n">
        <v>46023</v>
      </c>
      <c r="B6" s="55" t="n"/>
      <c r="C6" s="55" t="n"/>
      <c r="D6" s="56" t="n"/>
      <c r="E6" s="56" t="n"/>
      <c r="F6" s="55" t="n"/>
      <c r="G6" s="55" t="n"/>
      <c r="H6" s="57" t="n"/>
      <c r="I6" s="57" t="n"/>
      <c r="J6" s="57" t="n"/>
      <c r="K6" s="57" t="n"/>
      <c r="L6" s="55" t="n"/>
      <c r="M6" s="55" t="n"/>
      <c r="N6" s="55" t="n"/>
      <c r="O6" s="55" t="n"/>
      <c r="P6" s="55" t="n"/>
      <c r="Q6" s="55" t="n"/>
      <c r="R6" s="58" t="n"/>
      <c r="S6" s="59">
        <f>IF(OR(tblPlant[[#This Row],[Milled_t]]="",tblPlant[[#This Row],[Head_Grade_gpt]]=""),"",tblPlant[[#This Row],[Milled_t]]*tblPlant[[#This Row],[Head_Grade_gpt]]/cfg_TroyOz)</f>
        <v/>
      </c>
      <c r="T6" s="59">
        <f>IF(OR(tblPlant[[#This Row],[Milled_t]]="",tblPlant[[#This Row],[Tails_Grade_gpt]]=""),"",tblPlant[[#This Row],[Milled_t]]*tblPlant[[#This Row],[Tails_Grade_gpt]]/cfg_TroyOz)</f>
        <v/>
      </c>
      <c r="U6" s="59">
        <f>IF(OR(tblPlant[[#This Row],[Milled_t]]="",tblPlant[[#This Row],[Head_Grade_gpt]]="",tblPlant[[#This Row],[Tails_Grade_gpt]]=""),"",tblPlant[[#This Row],[Feed_oz]]-tblPlant[[#This Row],[Tails_oz]])</f>
        <v/>
      </c>
      <c r="V6" s="60">
        <f>IF(AND(ISNUMBER(tblPlant[[#This Row],[Recovered_oz]]),tblPlant[[#This Row],[Feed_oz]]&gt;0),tblPlant[[#This Row],[Recovered_oz]]/tblPlant[[#This Row],[Feed_oz]],"")</f>
        <v/>
      </c>
      <c r="W6" s="59">
        <f>IF(AND(tblPlant[[#This Row],[Milled_t]]&lt;&gt;"",tblPlant[[#This Row],[Mill_Run_h]]&gt;0),tblPlant[[#This Row],[Milled_t]]/tblPlant[[#This Row],[Mill_Run_h]],"")</f>
        <v/>
      </c>
      <c r="X6" s="60">
        <f>IF(AND(tblPlant[[#This Row],[Mill_Run_h]]="",tblPlant[[#This Row],[Mill_Planned_Maint_h]]="",tblPlant[[#This Row],[Mill_Unplanned_Down_h]]=""),"",(cfg_HoursPerDay-tblPlant[[#This Row],[Mill_Planned_Maint_h]]-tblPlant[[#This Row],[Mill_Unplanned_Down_h]])/cfg_HoursPerDay)</f>
        <v/>
      </c>
      <c r="Y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
      <c r="A7" s="54" t="n">
        <v>46024</v>
      </c>
      <c r="B7" s="55" t="n"/>
      <c r="C7" s="55" t="n"/>
      <c r="D7" s="56" t="n"/>
      <c r="E7" s="56" t="n"/>
      <c r="F7" s="55" t="n"/>
      <c r="G7" s="55" t="n"/>
      <c r="H7" s="57" t="n"/>
      <c r="I7" s="57" t="n"/>
      <c r="J7" s="57" t="n"/>
      <c r="K7" s="57" t="n"/>
      <c r="L7" s="55" t="n"/>
      <c r="M7" s="55" t="n"/>
      <c r="N7" s="55" t="n"/>
      <c r="O7" s="55" t="n"/>
      <c r="P7" s="55" t="n"/>
      <c r="Q7" s="55" t="n"/>
      <c r="R7" s="58" t="n"/>
      <c r="S7" s="59">
        <f>IF(OR(tblPlant[[#This Row],[Milled_t]]="",tblPlant[[#This Row],[Head_Grade_gpt]]=""),"",tblPlant[[#This Row],[Milled_t]]*tblPlant[[#This Row],[Head_Grade_gpt]]/cfg_TroyOz)</f>
        <v/>
      </c>
      <c r="T7" s="59">
        <f>IF(OR(tblPlant[[#This Row],[Milled_t]]="",tblPlant[[#This Row],[Tails_Grade_gpt]]=""),"",tblPlant[[#This Row],[Milled_t]]*tblPlant[[#This Row],[Tails_Grade_gpt]]/cfg_TroyOz)</f>
        <v/>
      </c>
      <c r="U7" s="59">
        <f>IF(OR(tblPlant[[#This Row],[Milled_t]]="",tblPlant[[#This Row],[Head_Grade_gpt]]="",tblPlant[[#This Row],[Tails_Grade_gpt]]=""),"",tblPlant[[#This Row],[Feed_oz]]-tblPlant[[#This Row],[Tails_oz]])</f>
        <v/>
      </c>
      <c r="V7" s="60">
        <f>IF(AND(ISNUMBER(tblPlant[[#This Row],[Recovered_oz]]),tblPlant[[#This Row],[Feed_oz]]&gt;0),tblPlant[[#This Row],[Recovered_oz]]/tblPlant[[#This Row],[Feed_oz]],"")</f>
        <v/>
      </c>
      <c r="W7" s="59">
        <f>IF(AND(tblPlant[[#This Row],[Milled_t]]&lt;&gt;"",tblPlant[[#This Row],[Mill_Run_h]]&gt;0),tblPlant[[#This Row],[Milled_t]]/tblPlant[[#This Row],[Mill_Run_h]],"")</f>
        <v/>
      </c>
      <c r="X7" s="60">
        <f>IF(AND(tblPlant[[#This Row],[Mill_Run_h]]="",tblPlant[[#This Row],[Mill_Planned_Maint_h]]="",tblPlant[[#This Row],[Mill_Unplanned_Down_h]]=""),"",(cfg_HoursPerDay-tblPlant[[#This Row],[Mill_Planned_Maint_h]]-tblPlant[[#This Row],[Mill_Unplanned_Down_h]])/cfg_HoursPerDay)</f>
        <v/>
      </c>
      <c r="Y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
      <c r="A8" s="54" t="n">
        <v>46025</v>
      </c>
      <c r="B8" s="55" t="n"/>
      <c r="C8" s="55" t="n"/>
      <c r="D8" s="56" t="n"/>
      <c r="E8" s="56" t="n"/>
      <c r="F8" s="55" t="n"/>
      <c r="G8" s="55" t="n"/>
      <c r="H8" s="57" t="n"/>
      <c r="I8" s="57" t="n"/>
      <c r="J8" s="57" t="n"/>
      <c r="K8" s="57" t="n"/>
      <c r="L8" s="55" t="n"/>
      <c r="M8" s="55" t="n"/>
      <c r="N8" s="55" t="n"/>
      <c r="O8" s="55" t="n"/>
      <c r="P8" s="55" t="n"/>
      <c r="Q8" s="55" t="n"/>
      <c r="R8" s="58" t="n"/>
      <c r="S8" s="59">
        <f>IF(OR(tblPlant[[#This Row],[Milled_t]]="",tblPlant[[#This Row],[Head_Grade_gpt]]=""),"",tblPlant[[#This Row],[Milled_t]]*tblPlant[[#This Row],[Head_Grade_gpt]]/cfg_TroyOz)</f>
        <v/>
      </c>
      <c r="T8" s="59">
        <f>IF(OR(tblPlant[[#This Row],[Milled_t]]="",tblPlant[[#This Row],[Tails_Grade_gpt]]=""),"",tblPlant[[#This Row],[Milled_t]]*tblPlant[[#This Row],[Tails_Grade_gpt]]/cfg_TroyOz)</f>
        <v/>
      </c>
      <c r="U8" s="59">
        <f>IF(OR(tblPlant[[#This Row],[Milled_t]]="",tblPlant[[#This Row],[Head_Grade_gpt]]="",tblPlant[[#This Row],[Tails_Grade_gpt]]=""),"",tblPlant[[#This Row],[Feed_oz]]-tblPlant[[#This Row],[Tails_oz]])</f>
        <v/>
      </c>
      <c r="V8" s="60">
        <f>IF(AND(ISNUMBER(tblPlant[[#This Row],[Recovered_oz]]),tblPlant[[#This Row],[Feed_oz]]&gt;0),tblPlant[[#This Row],[Recovered_oz]]/tblPlant[[#This Row],[Feed_oz]],"")</f>
        <v/>
      </c>
      <c r="W8" s="59">
        <f>IF(AND(tblPlant[[#This Row],[Milled_t]]&lt;&gt;"",tblPlant[[#This Row],[Mill_Run_h]]&gt;0),tblPlant[[#This Row],[Milled_t]]/tblPlant[[#This Row],[Mill_Run_h]],"")</f>
        <v/>
      </c>
      <c r="X8" s="60">
        <f>IF(AND(tblPlant[[#This Row],[Mill_Run_h]]="",tblPlant[[#This Row],[Mill_Planned_Maint_h]]="",tblPlant[[#This Row],[Mill_Unplanned_Down_h]]=""),"",(cfg_HoursPerDay-tblPlant[[#This Row],[Mill_Planned_Maint_h]]-tblPlant[[#This Row],[Mill_Unplanned_Down_h]])/cfg_HoursPerDay)</f>
        <v/>
      </c>
      <c r="Y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
      <c r="A9" s="54" t="n">
        <v>46026</v>
      </c>
      <c r="B9" s="55" t="n"/>
      <c r="C9" s="55" t="n"/>
      <c r="D9" s="56" t="n"/>
      <c r="E9" s="56" t="n"/>
      <c r="F9" s="55" t="n"/>
      <c r="G9" s="55" t="n"/>
      <c r="H9" s="57" t="n"/>
      <c r="I9" s="57" t="n"/>
      <c r="J9" s="57" t="n"/>
      <c r="K9" s="57" t="n"/>
      <c r="L9" s="55" t="n"/>
      <c r="M9" s="55" t="n"/>
      <c r="N9" s="55" t="n"/>
      <c r="O9" s="55" t="n"/>
      <c r="P9" s="55" t="n"/>
      <c r="Q9" s="55" t="n"/>
      <c r="R9" s="58" t="n"/>
      <c r="S9" s="59">
        <f>IF(OR(tblPlant[[#This Row],[Milled_t]]="",tblPlant[[#This Row],[Head_Grade_gpt]]=""),"",tblPlant[[#This Row],[Milled_t]]*tblPlant[[#This Row],[Head_Grade_gpt]]/cfg_TroyOz)</f>
        <v/>
      </c>
      <c r="T9" s="59">
        <f>IF(OR(tblPlant[[#This Row],[Milled_t]]="",tblPlant[[#This Row],[Tails_Grade_gpt]]=""),"",tblPlant[[#This Row],[Milled_t]]*tblPlant[[#This Row],[Tails_Grade_gpt]]/cfg_TroyOz)</f>
        <v/>
      </c>
      <c r="U9" s="59">
        <f>IF(OR(tblPlant[[#This Row],[Milled_t]]="",tblPlant[[#This Row],[Head_Grade_gpt]]="",tblPlant[[#This Row],[Tails_Grade_gpt]]=""),"",tblPlant[[#This Row],[Feed_oz]]-tblPlant[[#This Row],[Tails_oz]])</f>
        <v/>
      </c>
      <c r="V9" s="60">
        <f>IF(AND(ISNUMBER(tblPlant[[#This Row],[Recovered_oz]]),tblPlant[[#This Row],[Feed_oz]]&gt;0),tblPlant[[#This Row],[Recovered_oz]]/tblPlant[[#This Row],[Feed_oz]],"")</f>
        <v/>
      </c>
      <c r="W9" s="59">
        <f>IF(AND(tblPlant[[#This Row],[Milled_t]]&lt;&gt;"",tblPlant[[#This Row],[Mill_Run_h]]&gt;0),tblPlant[[#This Row],[Milled_t]]/tblPlant[[#This Row],[Mill_Run_h]],"")</f>
        <v/>
      </c>
      <c r="X9" s="60">
        <f>IF(AND(tblPlant[[#This Row],[Mill_Run_h]]="",tblPlant[[#This Row],[Mill_Planned_Maint_h]]="",tblPlant[[#This Row],[Mill_Unplanned_Down_h]]=""),"",(cfg_HoursPerDay-tblPlant[[#This Row],[Mill_Planned_Maint_h]]-tblPlant[[#This Row],[Mill_Unplanned_Down_h]])/cfg_HoursPerDay)</f>
        <v/>
      </c>
      <c r="Y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
      <c r="A10" s="54" t="n">
        <v>46027</v>
      </c>
      <c r="B10" s="55" t="n"/>
      <c r="C10" s="55" t="n"/>
      <c r="D10" s="56" t="n"/>
      <c r="E10" s="56" t="n"/>
      <c r="F10" s="55" t="n"/>
      <c r="G10" s="55" t="n"/>
      <c r="H10" s="57" t="n"/>
      <c r="I10" s="57" t="n"/>
      <c r="J10" s="57" t="n"/>
      <c r="K10" s="57" t="n"/>
      <c r="L10" s="55" t="n"/>
      <c r="M10" s="55" t="n"/>
      <c r="N10" s="55" t="n"/>
      <c r="O10" s="55" t="n"/>
      <c r="P10" s="55" t="n"/>
      <c r="Q10" s="55" t="n"/>
      <c r="R10" s="58" t="n"/>
      <c r="S10" s="59">
        <f>IF(OR(tblPlant[[#This Row],[Milled_t]]="",tblPlant[[#This Row],[Head_Grade_gpt]]=""),"",tblPlant[[#This Row],[Milled_t]]*tblPlant[[#This Row],[Head_Grade_gpt]]/cfg_TroyOz)</f>
        <v/>
      </c>
      <c r="T10" s="59">
        <f>IF(OR(tblPlant[[#This Row],[Milled_t]]="",tblPlant[[#This Row],[Tails_Grade_gpt]]=""),"",tblPlant[[#This Row],[Milled_t]]*tblPlant[[#This Row],[Tails_Grade_gpt]]/cfg_TroyOz)</f>
        <v/>
      </c>
      <c r="U10" s="59">
        <f>IF(OR(tblPlant[[#This Row],[Milled_t]]="",tblPlant[[#This Row],[Head_Grade_gpt]]="",tblPlant[[#This Row],[Tails_Grade_gpt]]=""),"",tblPlant[[#This Row],[Feed_oz]]-tblPlant[[#This Row],[Tails_oz]])</f>
        <v/>
      </c>
      <c r="V10" s="60">
        <f>IF(AND(ISNUMBER(tblPlant[[#This Row],[Recovered_oz]]),tblPlant[[#This Row],[Feed_oz]]&gt;0),tblPlant[[#This Row],[Recovered_oz]]/tblPlant[[#This Row],[Feed_oz]],"")</f>
        <v/>
      </c>
      <c r="W10" s="59">
        <f>IF(AND(tblPlant[[#This Row],[Milled_t]]&lt;&gt;"",tblPlant[[#This Row],[Mill_Run_h]]&gt;0),tblPlant[[#This Row],[Milled_t]]/tblPlant[[#This Row],[Mill_Run_h]],"")</f>
        <v/>
      </c>
      <c r="X10" s="60">
        <f>IF(AND(tblPlant[[#This Row],[Mill_Run_h]]="",tblPlant[[#This Row],[Mill_Planned_Maint_h]]="",tblPlant[[#This Row],[Mill_Unplanned_Down_h]]=""),"",(cfg_HoursPerDay-tblPlant[[#This Row],[Mill_Planned_Maint_h]]-tblPlant[[#This Row],[Mill_Unplanned_Down_h]])/cfg_HoursPerDay)</f>
        <v/>
      </c>
      <c r="Y1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
      <c r="A11" s="54" t="n">
        <v>46028</v>
      </c>
      <c r="B11" s="55" t="n"/>
      <c r="C11" s="55" t="n"/>
      <c r="D11" s="56" t="n"/>
      <c r="E11" s="56" t="n"/>
      <c r="F11" s="55" t="n"/>
      <c r="G11" s="55" t="n"/>
      <c r="H11" s="57" t="n"/>
      <c r="I11" s="57" t="n"/>
      <c r="J11" s="57" t="n"/>
      <c r="K11" s="57" t="n"/>
      <c r="L11" s="55" t="n"/>
      <c r="M11" s="55" t="n"/>
      <c r="N11" s="55" t="n"/>
      <c r="O11" s="55" t="n"/>
      <c r="P11" s="55" t="n"/>
      <c r="Q11" s="55" t="n"/>
      <c r="R11" s="58" t="n"/>
      <c r="S11" s="59">
        <f>IF(OR(tblPlant[[#This Row],[Milled_t]]="",tblPlant[[#This Row],[Head_Grade_gpt]]=""),"",tblPlant[[#This Row],[Milled_t]]*tblPlant[[#This Row],[Head_Grade_gpt]]/cfg_TroyOz)</f>
        <v/>
      </c>
      <c r="T11" s="59">
        <f>IF(OR(tblPlant[[#This Row],[Milled_t]]="",tblPlant[[#This Row],[Tails_Grade_gpt]]=""),"",tblPlant[[#This Row],[Milled_t]]*tblPlant[[#This Row],[Tails_Grade_gpt]]/cfg_TroyOz)</f>
        <v/>
      </c>
      <c r="U11" s="59">
        <f>IF(OR(tblPlant[[#This Row],[Milled_t]]="",tblPlant[[#This Row],[Head_Grade_gpt]]="",tblPlant[[#This Row],[Tails_Grade_gpt]]=""),"",tblPlant[[#This Row],[Feed_oz]]-tblPlant[[#This Row],[Tails_oz]])</f>
        <v/>
      </c>
      <c r="V11" s="60">
        <f>IF(AND(ISNUMBER(tblPlant[[#This Row],[Recovered_oz]]),tblPlant[[#This Row],[Feed_oz]]&gt;0),tblPlant[[#This Row],[Recovered_oz]]/tblPlant[[#This Row],[Feed_oz]],"")</f>
        <v/>
      </c>
      <c r="W11" s="59">
        <f>IF(AND(tblPlant[[#This Row],[Milled_t]]&lt;&gt;"",tblPlant[[#This Row],[Mill_Run_h]]&gt;0),tblPlant[[#This Row],[Milled_t]]/tblPlant[[#This Row],[Mill_Run_h]],"")</f>
        <v/>
      </c>
      <c r="X11" s="60">
        <f>IF(AND(tblPlant[[#This Row],[Mill_Run_h]]="",tblPlant[[#This Row],[Mill_Planned_Maint_h]]="",tblPlant[[#This Row],[Mill_Unplanned_Down_h]]=""),"",(cfg_HoursPerDay-tblPlant[[#This Row],[Mill_Planned_Maint_h]]-tblPlant[[#This Row],[Mill_Unplanned_Down_h]])/cfg_HoursPerDay)</f>
        <v/>
      </c>
      <c r="Y1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
      <c r="A12" s="54" t="n">
        <v>46029</v>
      </c>
      <c r="B12" s="55" t="n"/>
      <c r="C12" s="55" t="n"/>
      <c r="D12" s="56" t="n"/>
      <c r="E12" s="56" t="n"/>
      <c r="F12" s="55" t="n"/>
      <c r="G12" s="55" t="n"/>
      <c r="H12" s="57" t="n"/>
      <c r="I12" s="57" t="n"/>
      <c r="J12" s="57" t="n"/>
      <c r="K12" s="57" t="n"/>
      <c r="L12" s="55" t="n"/>
      <c r="M12" s="55" t="n"/>
      <c r="N12" s="55" t="n"/>
      <c r="O12" s="55" t="n"/>
      <c r="P12" s="55" t="n"/>
      <c r="Q12" s="55" t="n"/>
      <c r="R12" s="58" t="n"/>
      <c r="S12" s="59">
        <f>IF(OR(tblPlant[[#This Row],[Milled_t]]="",tblPlant[[#This Row],[Head_Grade_gpt]]=""),"",tblPlant[[#This Row],[Milled_t]]*tblPlant[[#This Row],[Head_Grade_gpt]]/cfg_TroyOz)</f>
        <v/>
      </c>
      <c r="T12" s="59">
        <f>IF(OR(tblPlant[[#This Row],[Milled_t]]="",tblPlant[[#This Row],[Tails_Grade_gpt]]=""),"",tblPlant[[#This Row],[Milled_t]]*tblPlant[[#This Row],[Tails_Grade_gpt]]/cfg_TroyOz)</f>
        <v/>
      </c>
      <c r="U12" s="59">
        <f>IF(OR(tblPlant[[#This Row],[Milled_t]]="",tblPlant[[#This Row],[Head_Grade_gpt]]="",tblPlant[[#This Row],[Tails_Grade_gpt]]=""),"",tblPlant[[#This Row],[Feed_oz]]-tblPlant[[#This Row],[Tails_oz]])</f>
        <v/>
      </c>
      <c r="V12" s="60">
        <f>IF(AND(ISNUMBER(tblPlant[[#This Row],[Recovered_oz]]),tblPlant[[#This Row],[Feed_oz]]&gt;0),tblPlant[[#This Row],[Recovered_oz]]/tblPlant[[#This Row],[Feed_oz]],"")</f>
        <v/>
      </c>
      <c r="W12" s="59">
        <f>IF(AND(tblPlant[[#This Row],[Milled_t]]&lt;&gt;"",tblPlant[[#This Row],[Mill_Run_h]]&gt;0),tblPlant[[#This Row],[Milled_t]]/tblPlant[[#This Row],[Mill_Run_h]],"")</f>
        <v/>
      </c>
      <c r="X12" s="60">
        <f>IF(AND(tblPlant[[#This Row],[Mill_Run_h]]="",tblPlant[[#This Row],[Mill_Planned_Maint_h]]="",tblPlant[[#This Row],[Mill_Unplanned_Down_h]]=""),"",(cfg_HoursPerDay-tblPlant[[#This Row],[Mill_Planned_Maint_h]]-tblPlant[[#This Row],[Mill_Unplanned_Down_h]])/cfg_HoursPerDay)</f>
        <v/>
      </c>
      <c r="Y1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
      <c r="A13" s="54" t="n">
        <v>46030</v>
      </c>
      <c r="B13" s="55" t="n"/>
      <c r="C13" s="55" t="n"/>
      <c r="D13" s="56" t="n"/>
      <c r="E13" s="56" t="n"/>
      <c r="F13" s="55" t="n"/>
      <c r="G13" s="55" t="n"/>
      <c r="H13" s="57" t="n"/>
      <c r="I13" s="57" t="n"/>
      <c r="J13" s="57" t="n"/>
      <c r="K13" s="57" t="n"/>
      <c r="L13" s="55" t="n"/>
      <c r="M13" s="55" t="n"/>
      <c r="N13" s="55" t="n"/>
      <c r="O13" s="55" t="n"/>
      <c r="P13" s="55" t="n"/>
      <c r="Q13" s="55" t="n"/>
      <c r="R13" s="58" t="n"/>
      <c r="S13" s="59">
        <f>IF(OR(tblPlant[[#This Row],[Milled_t]]="",tblPlant[[#This Row],[Head_Grade_gpt]]=""),"",tblPlant[[#This Row],[Milled_t]]*tblPlant[[#This Row],[Head_Grade_gpt]]/cfg_TroyOz)</f>
        <v/>
      </c>
      <c r="T13" s="59">
        <f>IF(OR(tblPlant[[#This Row],[Milled_t]]="",tblPlant[[#This Row],[Tails_Grade_gpt]]=""),"",tblPlant[[#This Row],[Milled_t]]*tblPlant[[#This Row],[Tails_Grade_gpt]]/cfg_TroyOz)</f>
        <v/>
      </c>
      <c r="U13" s="59">
        <f>IF(OR(tblPlant[[#This Row],[Milled_t]]="",tblPlant[[#This Row],[Head_Grade_gpt]]="",tblPlant[[#This Row],[Tails_Grade_gpt]]=""),"",tblPlant[[#This Row],[Feed_oz]]-tblPlant[[#This Row],[Tails_oz]])</f>
        <v/>
      </c>
      <c r="V13" s="60">
        <f>IF(AND(ISNUMBER(tblPlant[[#This Row],[Recovered_oz]]),tblPlant[[#This Row],[Feed_oz]]&gt;0),tblPlant[[#This Row],[Recovered_oz]]/tblPlant[[#This Row],[Feed_oz]],"")</f>
        <v/>
      </c>
      <c r="W13" s="59">
        <f>IF(AND(tblPlant[[#This Row],[Milled_t]]&lt;&gt;"",tblPlant[[#This Row],[Mill_Run_h]]&gt;0),tblPlant[[#This Row],[Milled_t]]/tblPlant[[#This Row],[Mill_Run_h]],"")</f>
        <v/>
      </c>
      <c r="X13" s="60">
        <f>IF(AND(tblPlant[[#This Row],[Mill_Run_h]]="",tblPlant[[#This Row],[Mill_Planned_Maint_h]]="",tblPlant[[#This Row],[Mill_Unplanned_Down_h]]=""),"",(cfg_HoursPerDay-tblPlant[[#This Row],[Mill_Planned_Maint_h]]-tblPlant[[#This Row],[Mill_Unplanned_Down_h]])/cfg_HoursPerDay)</f>
        <v/>
      </c>
      <c r="Y1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
      <c r="A14" s="54" t="n">
        <v>46031</v>
      </c>
      <c r="B14" s="55" t="n"/>
      <c r="C14" s="55" t="n"/>
      <c r="D14" s="56" t="n"/>
      <c r="E14" s="56" t="n"/>
      <c r="F14" s="55" t="n"/>
      <c r="G14" s="55" t="n"/>
      <c r="H14" s="57" t="n"/>
      <c r="I14" s="57" t="n"/>
      <c r="J14" s="57" t="n"/>
      <c r="K14" s="57" t="n"/>
      <c r="L14" s="55" t="n"/>
      <c r="M14" s="55" t="n"/>
      <c r="N14" s="55" t="n"/>
      <c r="O14" s="55" t="n"/>
      <c r="P14" s="55" t="n"/>
      <c r="Q14" s="55" t="n"/>
      <c r="R14" s="58" t="n"/>
      <c r="S14" s="59">
        <f>IF(OR(tblPlant[[#This Row],[Milled_t]]="",tblPlant[[#This Row],[Head_Grade_gpt]]=""),"",tblPlant[[#This Row],[Milled_t]]*tblPlant[[#This Row],[Head_Grade_gpt]]/cfg_TroyOz)</f>
        <v/>
      </c>
      <c r="T14" s="59">
        <f>IF(OR(tblPlant[[#This Row],[Milled_t]]="",tblPlant[[#This Row],[Tails_Grade_gpt]]=""),"",tblPlant[[#This Row],[Milled_t]]*tblPlant[[#This Row],[Tails_Grade_gpt]]/cfg_TroyOz)</f>
        <v/>
      </c>
      <c r="U14" s="59">
        <f>IF(OR(tblPlant[[#This Row],[Milled_t]]="",tblPlant[[#This Row],[Head_Grade_gpt]]="",tblPlant[[#This Row],[Tails_Grade_gpt]]=""),"",tblPlant[[#This Row],[Feed_oz]]-tblPlant[[#This Row],[Tails_oz]])</f>
        <v/>
      </c>
      <c r="V14" s="60">
        <f>IF(AND(ISNUMBER(tblPlant[[#This Row],[Recovered_oz]]),tblPlant[[#This Row],[Feed_oz]]&gt;0),tblPlant[[#This Row],[Recovered_oz]]/tblPlant[[#This Row],[Feed_oz]],"")</f>
        <v/>
      </c>
      <c r="W14" s="59">
        <f>IF(AND(tblPlant[[#This Row],[Milled_t]]&lt;&gt;"",tblPlant[[#This Row],[Mill_Run_h]]&gt;0),tblPlant[[#This Row],[Milled_t]]/tblPlant[[#This Row],[Mill_Run_h]],"")</f>
        <v/>
      </c>
      <c r="X14" s="60">
        <f>IF(AND(tblPlant[[#This Row],[Mill_Run_h]]="",tblPlant[[#This Row],[Mill_Planned_Maint_h]]="",tblPlant[[#This Row],[Mill_Unplanned_Down_h]]=""),"",(cfg_HoursPerDay-tblPlant[[#This Row],[Mill_Planned_Maint_h]]-tblPlant[[#This Row],[Mill_Unplanned_Down_h]])/cfg_HoursPerDay)</f>
        <v/>
      </c>
      <c r="Y1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
      <c r="A15" s="54" t="n">
        <v>46032</v>
      </c>
      <c r="B15" s="55" t="n"/>
      <c r="C15" s="55" t="n"/>
      <c r="D15" s="56" t="n"/>
      <c r="E15" s="56" t="n"/>
      <c r="F15" s="55" t="n"/>
      <c r="G15" s="55" t="n"/>
      <c r="H15" s="57" t="n"/>
      <c r="I15" s="57" t="n"/>
      <c r="J15" s="57" t="n"/>
      <c r="K15" s="57" t="n"/>
      <c r="L15" s="55" t="n"/>
      <c r="M15" s="55" t="n"/>
      <c r="N15" s="55" t="n"/>
      <c r="O15" s="55" t="n"/>
      <c r="P15" s="55" t="n"/>
      <c r="Q15" s="55" t="n"/>
      <c r="R15" s="58" t="n"/>
      <c r="S15" s="59">
        <f>IF(OR(tblPlant[[#This Row],[Milled_t]]="",tblPlant[[#This Row],[Head_Grade_gpt]]=""),"",tblPlant[[#This Row],[Milled_t]]*tblPlant[[#This Row],[Head_Grade_gpt]]/cfg_TroyOz)</f>
        <v/>
      </c>
      <c r="T15" s="59">
        <f>IF(OR(tblPlant[[#This Row],[Milled_t]]="",tblPlant[[#This Row],[Tails_Grade_gpt]]=""),"",tblPlant[[#This Row],[Milled_t]]*tblPlant[[#This Row],[Tails_Grade_gpt]]/cfg_TroyOz)</f>
        <v/>
      </c>
      <c r="U15" s="59">
        <f>IF(OR(tblPlant[[#This Row],[Milled_t]]="",tblPlant[[#This Row],[Head_Grade_gpt]]="",tblPlant[[#This Row],[Tails_Grade_gpt]]=""),"",tblPlant[[#This Row],[Feed_oz]]-tblPlant[[#This Row],[Tails_oz]])</f>
        <v/>
      </c>
      <c r="V15" s="60">
        <f>IF(AND(ISNUMBER(tblPlant[[#This Row],[Recovered_oz]]),tblPlant[[#This Row],[Feed_oz]]&gt;0),tblPlant[[#This Row],[Recovered_oz]]/tblPlant[[#This Row],[Feed_oz]],"")</f>
        <v/>
      </c>
      <c r="W15" s="59">
        <f>IF(AND(tblPlant[[#This Row],[Milled_t]]&lt;&gt;"",tblPlant[[#This Row],[Mill_Run_h]]&gt;0),tblPlant[[#This Row],[Milled_t]]/tblPlant[[#This Row],[Mill_Run_h]],"")</f>
        <v/>
      </c>
      <c r="X15" s="60">
        <f>IF(AND(tblPlant[[#This Row],[Mill_Run_h]]="",tblPlant[[#This Row],[Mill_Planned_Maint_h]]="",tblPlant[[#This Row],[Mill_Unplanned_Down_h]]=""),"",(cfg_HoursPerDay-tblPlant[[#This Row],[Mill_Planned_Maint_h]]-tblPlant[[#This Row],[Mill_Unplanned_Down_h]])/cfg_HoursPerDay)</f>
        <v/>
      </c>
      <c r="Y1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
      <c r="A16" s="54" t="n">
        <v>46033</v>
      </c>
      <c r="B16" s="55" t="n"/>
      <c r="C16" s="55" t="n"/>
      <c r="D16" s="56" t="n"/>
      <c r="E16" s="56" t="n"/>
      <c r="F16" s="55" t="n"/>
      <c r="G16" s="55" t="n"/>
      <c r="H16" s="57" t="n"/>
      <c r="I16" s="57" t="n"/>
      <c r="J16" s="57" t="n"/>
      <c r="K16" s="57" t="n"/>
      <c r="L16" s="55" t="n"/>
      <c r="M16" s="55" t="n"/>
      <c r="N16" s="55" t="n"/>
      <c r="O16" s="55" t="n"/>
      <c r="P16" s="55" t="n"/>
      <c r="Q16" s="55" t="n"/>
      <c r="R16" s="58" t="n"/>
      <c r="S16" s="59">
        <f>IF(OR(tblPlant[[#This Row],[Milled_t]]="",tblPlant[[#This Row],[Head_Grade_gpt]]=""),"",tblPlant[[#This Row],[Milled_t]]*tblPlant[[#This Row],[Head_Grade_gpt]]/cfg_TroyOz)</f>
        <v/>
      </c>
      <c r="T16" s="59">
        <f>IF(OR(tblPlant[[#This Row],[Milled_t]]="",tblPlant[[#This Row],[Tails_Grade_gpt]]=""),"",tblPlant[[#This Row],[Milled_t]]*tblPlant[[#This Row],[Tails_Grade_gpt]]/cfg_TroyOz)</f>
        <v/>
      </c>
      <c r="U16" s="59">
        <f>IF(OR(tblPlant[[#This Row],[Milled_t]]="",tblPlant[[#This Row],[Head_Grade_gpt]]="",tblPlant[[#This Row],[Tails_Grade_gpt]]=""),"",tblPlant[[#This Row],[Feed_oz]]-tblPlant[[#This Row],[Tails_oz]])</f>
        <v/>
      </c>
      <c r="V16" s="60">
        <f>IF(AND(ISNUMBER(tblPlant[[#This Row],[Recovered_oz]]),tblPlant[[#This Row],[Feed_oz]]&gt;0),tblPlant[[#This Row],[Recovered_oz]]/tblPlant[[#This Row],[Feed_oz]],"")</f>
        <v/>
      </c>
      <c r="W16" s="59">
        <f>IF(AND(tblPlant[[#This Row],[Milled_t]]&lt;&gt;"",tblPlant[[#This Row],[Mill_Run_h]]&gt;0),tblPlant[[#This Row],[Milled_t]]/tblPlant[[#This Row],[Mill_Run_h]],"")</f>
        <v/>
      </c>
      <c r="X16" s="60">
        <f>IF(AND(tblPlant[[#This Row],[Mill_Run_h]]="",tblPlant[[#This Row],[Mill_Planned_Maint_h]]="",tblPlant[[#This Row],[Mill_Unplanned_Down_h]]=""),"",(cfg_HoursPerDay-tblPlant[[#This Row],[Mill_Planned_Maint_h]]-tblPlant[[#This Row],[Mill_Unplanned_Down_h]])/cfg_HoursPerDay)</f>
        <v/>
      </c>
      <c r="Y1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
      <c r="A17" s="54" t="n">
        <v>46034</v>
      </c>
      <c r="B17" s="55" t="n"/>
      <c r="C17" s="55" t="n"/>
      <c r="D17" s="56" t="n"/>
      <c r="E17" s="56" t="n"/>
      <c r="F17" s="55" t="n"/>
      <c r="G17" s="55" t="n"/>
      <c r="H17" s="57" t="n"/>
      <c r="I17" s="57" t="n"/>
      <c r="J17" s="57" t="n"/>
      <c r="K17" s="57" t="n"/>
      <c r="L17" s="55" t="n"/>
      <c r="M17" s="55" t="n"/>
      <c r="N17" s="55" t="n"/>
      <c r="O17" s="55" t="n"/>
      <c r="P17" s="55" t="n"/>
      <c r="Q17" s="55" t="n"/>
      <c r="R17" s="58" t="n"/>
      <c r="S17" s="59">
        <f>IF(OR(tblPlant[[#This Row],[Milled_t]]="",tblPlant[[#This Row],[Head_Grade_gpt]]=""),"",tblPlant[[#This Row],[Milled_t]]*tblPlant[[#This Row],[Head_Grade_gpt]]/cfg_TroyOz)</f>
        <v/>
      </c>
      <c r="T17" s="59">
        <f>IF(OR(tblPlant[[#This Row],[Milled_t]]="",tblPlant[[#This Row],[Tails_Grade_gpt]]=""),"",tblPlant[[#This Row],[Milled_t]]*tblPlant[[#This Row],[Tails_Grade_gpt]]/cfg_TroyOz)</f>
        <v/>
      </c>
      <c r="U17" s="59">
        <f>IF(OR(tblPlant[[#This Row],[Milled_t]]="",tblPlant[[#This Row],[Head_Grade_gpt]]="",tblPlant[[#This Row],[Tails_Grade_gpt]]=""),"",tblPlant[[#This Row],[Feed_oz]]-tblPlant[[#This Row],[Tails_oz]])</f>
        <v/>
      </c>
      <c r="V17" s="60">
        <f>IF(AND(ISNUMBER(tblPlant[[#This Row],[Recovered_oz]]),tblPlant[[#This Row],[Feed_oz]]&gt;0),tblPlant[[#This Row],[Recovered_oz]]/tblPlant[[#This Row],[Feed_oz]],"")</f>
        <v/>
      </c>
      <c r="W17" s="59">
        <f>IF(AND(tblPlant[[#This Row],[Milled_t]]&lt;&gt;"",tblPlant[[#This Row],[Mill_Run_h]]&gt;0),tblPlant[[#This Row],[Milled_t]]/tblPlant[[#This Row],[Mill_Run_h]],"")</f>
        <v/>
      </c>
      <c r="X17" s="60">
        <f>IF(AND(tblPlant[[#This Row],[Mill_Run_h]]="",tblPlant[[#This Row],[Mill_Planned_Maint_h]]="",tblPlant[[#This Row],[Mill_Unplanned_Down_h]]=""),"",(cfg_HoursPerDay-tblPlant[[#This Row],[Mill_Planned_Maint_h]]-tblPlant[[#This Row],[Mill_Unplanned_Down_h]])/cfg_HoursPerDay)</f>
        <v/>
      </c>
      <c r="Y1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
      <c r="A18" s="54" t="n">
        <v>46035</v>
      </c>
      <c r="B18" s="55" t="n"/>
      <c r="C18" s="55" t="n"/>
      <c r="D18" s="56" t="n"/>
      <c r="E18" s="56" t="n"/>
      <c r="F18" s="55" t="n"/>
      <c r="G18" s="55" t="n"/>
      <c r="H18" s="57" t="n"/>
      <c r="I18" s="57" t="n"/>
      <c r="J18" s="57" t="n"/>
      <c r="K18" s="57" t="n"/>
      <c r="L18" s="55" t="n"/>
      <c r="M18" s="55" t="n"/>
      <c r="N18" s="55" t="n"/>
      <c r="O18" s="55" t="n"/>
      <c r="P18" s="55" t="n"/>
      <c r="Q18" s="55" t="n"/>
      <c r="R18" s="58" t="n"/>
      <c r="S18" s="59">
        <f>IF(OR(tblPlant[[#This Row],[Milled_t]]="",tblPlant[[#This Row],[Head_Grade_gpt]]=""),"",tblPlant[[#This Row],[Milled_t]]*tblPlant[[#This Row],[Head_Grade_gpt]]/cfg_TroyOz)</f>
        <v/>
      </c>
      <c r="T18" s="59">
        <f>IF(OR(tblPlant[[#This Row],[Milled_t]]="",tblPlant[[#This Row],[Tails_Grade_gpt]]=""),"",tblPlant[[#This Row],[Milled_t]]*tblPlant[[#This Row],[Tails_Grade_gpt]]/cfg_TroyOz)</f>
        <v/>
      </c>
      <c r="U18" s="59">
        <f>IF(OR(tblPlant[[#This Row],[Milled_t]]="",tblPlant[[#This Row],[Head_Grade_gpt]]="",tblPlant[[#This Row],[Tails_Grade_gpt]]=""),"",tblPlant[[#This Row],[Feed_oz]]-tblPlant[[#This Row],[Tails_oz]])</f>
        <v/>
      </c>
      <c r="V18" s="60">
        <f>IF(AND(ISNUMBER(tblPlant[[#This Row],[Recovered_oz]]),tblPlant[[#This Row],[Feed_oz]]&gt;0),tblPlant[[#This Row],[Recovered_oz]]/tblPlant[[#This Row],[Feed_oz]],"")</f>
        <v/>
      </c>
      <c r="W18" s="59">
        <f>IF(AND(tblPlant[[#This Row],[Milled_t]]&lt;&gt;"",tblPlant[[#This Row],[Mill_Run_h]]&gt;0),tblPlant[[#This Row],[Milled_t]]/tblPlant[[#This Row],[Mill_Run_h]],"")</f>
        <v/>
      </c>
      <c r="X18" s="60">
        <f>IF(AND(tblPlant[[#This Row],[Mill_Run_h]]="",tblPlant[[#This Row],[Mill_Planned_Maint_h]]="",tblPlant[[#This Row],[Mill_Unplanned_Down_h]]=""),"",(cfg_HoursPerDay-tblPlant[[#This Row],[Mill_Planned_Maint_h]]-tblPlant[[#This Row],[Mill_Unplanned_Down_h]])/cfg_HoursPerDay)</f>
        <v/>
      </c>
      <c r="Y1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
      <c r="A19" s="54" t="n">
        <v>46036</v>
      </c>
      <c r="B19" s="55" t="n"/>
      <c r="C19" s="55" t="n"/>
      <c r="D19" s="56" t="n"/>
      <c r="E19" s="56" t="n"/>
      <c r="F19" s="55" t="n"/>
      <c r="G19" s="55" t="n"/>
      <c r="H19" s="57" t="n"/>
      <c r="I19" s="57" t="n"/>
      <c r="J19" s="57" t="n"/>
      <c r="K19" s="57" t="n"/>
      <c r="L19" s="55" t="n"/>
      <c r="M19" s="55" t="n"/>
      <c r="N19" s="55" t="n"/>
      <c r="O19" s="55" t="n"/>
      <c r="P19" s="55" t="n"/>
      <c r="Q19" s="55" t="n"/>
      <c r="R19" s="58" t="n"/>
      <c r="S19" s="59">
        <f>IF(OR(tblPlant[[#This Row],[Milled_t]]="",tblPlant[[#This Row],[Head_Grade_gpt]]=""),"",tblPlant[[#This Row],[Milled_t]]*tblPlant[[#This Row],[Head_Grade_gpt]]/cfg_TroyOz)</f>
        <v/>
      </c>
      <c r="T19" s="59">
        <f>IF(OR(tblPlant[[#This Row],[Milled_t]]="",tblPlant[[#This Row],[Tails_Grade_gpt]]=""),"",tblPlant[[#This Row],[Milled_t]]*tblPlant[[#This Row],[Tails_Grade_gpt]]/cfg_TroyOz)</f>
        <v/>
      </c>
      <c r="U19" s="59">
        <f>IF(OR(tblPlant[[#This Row],[Milled_t]]="",tblPlant[[#This Row],[Head_Grade_gpt]]="",tblPlant[[#This Row],[Tails_Grade_gpt]]=""),"",tblPlant[[#This Row],[Feed_oz]]-tblPlant[[#This Row],[Tails_oz]])</f>
        <v/>
      </c>
      <c r="V19" s="60">
        <f>IF(AND(ISNUMBER(tblPlant[[#This Row],[Recovered_oz]]),tblPlant[[#This Row],[Feed_oz]]&gt;0),tblPlant[[#This Row],[Recovered_oz]]/tblPlant[[#This Row],[Feed_oz]],"")</f>
        <v/>
      </c>
      <c r="W19" s="59">
        <f>IF(AND(tblPlant[[#This Row],[Milled_t]]&lt;&gt;"",tblPlant[[#This Row],[Mill_Run_h]]&gt;0),tblPlant[[#This Row],[Milled_t]]/tblPlant[[#This Row],[Mill_Run_h]],"")</f>
        <v/>
      </c>
      <c r="X19" s="60">
        <f>IF(AND(tblPlant[[#This Row],[Mill_Run_h]]="",tblPlant[[#This Row],[Mill_Planned_Maint_h]]="",tblPlant[[#This Row],[Mill_Unplanned_Down_h]]=""),"",(cfg_HoursPerDay-tblPlant[[#This Row],[Mill_Planned_Maint_h]]-tblPlant[[#This Row],[Mill_Unplanned_Down_h]])/cfg_HoursPerDay)</f>
        <v/>
      </c>
      <c r="Y1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
      <c r="A20" s="54" t="n">
        <v>46037</v>
      </c>
      <c r="B20" s="55" t="n"/>
      <c r="C20" s="55" t="n"/>
      <c r="D20" s="56" t="n"/>
      <c r="E20" s="56" t="n"/>
      <c r="F20" s="55" t="n"/>
      <c r="G20" s="55" t="n"/>
      <c r="H20" s="57" t="n"/>
      <c r="I20" s="57" t="n"/>
      <c r="J20" s="57" t="n"/>
      <c r="K20" s="57" t="n"/>
      <c r="L20" s="55" t="n"/>
      <c r="M20" s="55" t="n"/>
      <c r="N20" s="55" t="n"/>
      <c r="O20" s="55" t="n"/>
      <c r="P20" s="55" t="n"/>
      <c r="Q20" s="55" t="n"/>
      <c r="R20" s="58" t="n"/>
      <c r="S20" s="59">
        <f>IF(OR(tblPlant[[#This Row],[Milled_t]]="",tblPlant[[#This Row],[Head_Grade_gpt]]=""),"",tblPlant[[#This Row],[Milled_t]]*tblPlant[[#This Row],[Head_Grade_gpt]]/cfg_TroyOz)</f>
        <v/>
      </c>
      <c r="T20" s="59">
        <f>IF(OR(tblPlant[[#This Row],[Milled_t]]="",tblPlant[[#This Row],[Tails_Grade_gpt]]=""),"",tblPlant[[#This Row],[Milled_t]]*tblPlant[[#This Row],[Tails_Grade_gpt]]/cfg_TroyOz)</f>
        <v/>
      </c>
      <c r="U20" s="59">
        <f>IF(OR(tblPlant[[#This Row],[Milled_t]]="",tblPlant[[#This Row],[Head_Grade_gpt]]="",tblPlant[[#This Row],[Tails_Grade_gpt]]=""),"",tblPlant[[#This Row],[Feed_oz]]-tblPlant[[#This Row],[Tails_oz]])</f>
        <v/>
      </c>
      <c r="V20" s="60">
        <f>IF(AND(ISNUMBER(tblPlant[[#This Row],[Recovered_oz]]),tblPlant[[#This Row],[Feed_oz]]&gt;0),tblPlant[[#This Row],[Recovered_oz]]/tblPlant[[#This Row],[Feed_oz]],"")</f>
        <v/>
      </c>
      <c r="W20" s="59">
        <f>IF(AND(tblPlant[[#This Row],[Milled_t]]&lt;&gt;"",tblPlant[[#This Row],[Mill_Run_h]]&gt;0),tblPlant[[#This Row],[Milled_t]]/tblPlant[[#This Row],[Mill_Run_h]],"")</f>
        <v/>
      </c>
      <c r="X20" s="60">
        <f>IF(AND(tblPlant[[#This Row],[Mill_Run_h]]="",tblPlant[[#This Row],[Mill_Planned_Maint_h]]="",tblPlant[[#This Row],[Mill_Unplanned_Down_h]]=""),"",(cfg_HoursPerDay-tblPlant[[#This Row],[Mill_Planned_Maint_h]]-tblPlant[[#This Row],[Mill_Unplanned_Down_h]])/cfg_HoursPerDay)</f>
        <v/>
      </c>
      <c r="Y2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
      <c r="A21" s="54" t="n">
        <v>46038</v>
      </c>
      <c r="B21" s="55" t="n"/>
      <c r="C21" s="55" t="n"/>
      <c r="D21" s="56" t="n"/>
      <c r="E21" s="56" t="n"/>
      <c r="F21" s="55" t="n"/>
      <c r="G21" s="55" t="n"/>
      <c r="H21" s="57" t="n"/>
      <c r="I21" s="57" t="n"/>
      <c r="J21" s="57" t="n"/>
      <c r="K21" s="57" t="n"/>
      <c r="L21" s="55" t="n"/>
      <c r="M21" s="55" t="n"/>
      <c r="N21" s="55" t="n"/>
      <c r="O21" s="55" t="n"/>
      <c r="P21" s="55" t="n"/>
      <c r="Q21" s="55" t="n"/>
      <c r="R21" s="58" t="n"/>
      <c r="S21" s="59">
        <f>IF(OR(tblPlant[[#This Row],[Milled_t]]="",tblPlant[[#This Row],[Head_Grade_gpt]]=""),"",tblPlant[[#This Row],[Milled_t]]*tblPlant[[#This Row],[Head_Grade_gpt]]/cfg_TroyOz)</f>
        <v/>
      </c>
      <c r="T21" s="59">
        <f>IF(OR(tblPlant[[#This Row],[Milled_t]]="",tblPlant[[#This Row],[Tails_Grade_gpt]]=""),"",tblPlant[[#This Row],[Milled_t]]*tblPlant[[#This Row],[Tails_Grade_gpt]]/cfg_TroyOz)</f>
        <v/>
      </c>
      <c r="U21" s="59">
        <f>IF(OR(tblPlant[[#This Row],[Milled_t]]="",tblPlant[[#This Row],[Head_Grade_gpt]]="",tblPlant[[#This Row],[Tails_Grade_gpt]]=""),"",tblPlant[[#This Row],[Feed_oz]]-tblPlant[[#This Row],[Tails_oz]])</f>
        <v/>
      </c>
      <c r="V21" s="60">
        <f>IF(AND(ISNUMBER(tblPlant[[#This Row],[Recovered_oz]]),tblPlant[[#This Row],[Feed_oz]]&gt;0),tblPlant[[#This Row],[Recovered_oz]]/tblPlant[[#This Row],[Feed_oz]],"")</f>
        <v/>
      </c>
      <c r="W21" s="59">
        <f>IF(AND(tblPlant[[#This Row],[Milled_t]]&lt;&gt;"",tblPlant[[#This Row],[Mill_Run_h]]&gt;0),tblPlant[[#This Row],[Milled_t]]/tblPlant[[#This Row],[Mill_Run_h]],"")</f>
        <v/>
      </c>
      <c r="X21" s="60">
        <f>IF(AND(tblPlant[[#This Row],[Mill_Run_h]]="",tblPlant[[#This Row],[Mill_Planned_Maint_h]]="",tblPlant[[#This Row],[Mill_Unplanned_Down_h]]=""),"",(cfg_HoursPerDay-tblPlant[[#This Row],[Mill_Planned_Maint_h]]-tblPlant[[#This Row],[Mill_Unplanned_Down_h]])/cfg_HoursPerDay)</f>
        <v/>
      </c>
      <c r="Y2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
      <c r="A22" s="54" t="n">
        <v>46039</v>
      </c>
      <c r="B22" s="55" t="n"/>
      <c r="C22" s="55" t="n"/>
      <c r="D22" s="56" t="n"/>
      <c r="E22" s="56" t="n"/>
      <c r="F22" s="55" t="n"/>
      <c r="G22" s="55" t="n"/>
      <c r="H22" s="57" t="n"/>
      <c r="I22" s="57" t="n"/>
      <c r="J22" s="57" t="n"/>
      <c r="K22" s="57" t="n"/>
      <c r="L22" s="55" t="n"/>
      <c r="M22" s="55" t="n"/>
      <c r="N22" s="55" t="n"/>
      <c r="O22" s="55" t="n"/>
      <c r="P22" s="55" t="n"/>
      <c r="Q22" s="55" t="n"/>
      <c r="R22" s="58" t="n"/>
      <c r="S22" s="59">
        <f>IF(OR(tblPlant[[#This Row],[Milled_t]]="",tblPlant[[#This Row],[Head_Grade_gpt]]=""),"",tblPlant[[#This Row],[Milled_t]]*tblPlant[[#This Row],[Head_Grade_gpt]]/cfg_TroyOz)</f>
        <v/>
      </c>
      <c r="T22" s="59">
        <f>IF(OR(tblPlant[[#This Row],[Milled_t]]="",tblPlant[[#This Row],[Tails_Grade_gpt]]=""),"",tblPlant[[#This Row],[Milled_t]]*tblPlant[[#This Row],[Tails_Grade_gpt]]/cfg_TroyOz)</f>
        <v/>
      </c>
      <c r="U22" s="59">
        <f>IF(OR(tblPlant[[#This Row],[Milled_t]]="",tblPlant[[#This Row],[Head_Grade_gpt]]="",tblPlant[[#This Row],[Tails_Grade_gpt]]=""),"",tblPlant[[#This Row],[Feed_oz]]-tblPlant[[#This Row],[Tails_oz]])</f>
        <v/>
      </c>
      <c r="V22" s="60">
        <f>IF(AND(ISNUMBER(tblPlant[[#This Row],[Recovered_oz]]),tblPlant[[#This Row],[Feed_oz]]&gt;0),tblPlant[[#This Row],[Recovered_oz]]/tblPlant[[#This Row],[Feed_oz]],"")</f>
        <v/>
      </c>
      <c r="W22" s="59">
        <f>IF(AND(tblPlant[[#This Row],[Milled_t]]&lt;&gt;"",tblPlant[[#This Row],[Mill_Run_h]]&gt;0),tblPlant[[#This Row],[Milled_t]]/tblPlant[[#This Row],[Mill_Run_h]],"")</f>
        <v/>
      </c>
      <c r="X22" s="60">
        <f>IF(AND(tblPlant[[#This Row],[Mill_Run_h]]="",tblPlant[[#This Row],[Mill_Planned_Maint_h]]="",tblPlant[[#This Row],[Mill_Unplanned_Down_h]]=""),"",(cfg_HoursPerDay-tblPlant[[#This Row],[Mill_Planned_Maint_h]]-tblPlant[[#This Row],[Mill_Unplanned_Down_h]])/cfg_HoursPerDay)</f>
        <v/>
      </c>
      <c r="Y2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
      <c r="A23" s="54" t="n">
        <v>46040</v>
      </c>
      <c r="B23" s="55" t="n"/>
      <c r="C23" s="55" t="n"/>
      <c r="D23" s="56" t="n"/>
      <c r="E23" s="56" t="n"/>
      <c r="F23" s="55" t="n"/>
      <c r="G23" s="55" t="n"/>
      <c r="H23" s="57" t="n"/>
      <c r="I23" s="57" t="n"/>
      <c r="J23" s="57" t="n"/>
      <c r="K23" s="57" t="n"/>
      <c r="L23" s="55" t="n"/>
      <c r="M23" s="55" t="n"/>
      <c r="N23" s="55" t="n"/>
      <c r="O23" s="55" t="n"/>
      <c r="P23" s="55" t="n"/>
      <c r="Q23" s="55" t="n"/>
      <c r="R23" s="58" t="n"/>
      <c r="S23" s="59">
        <f>IF(OR(tblPlant[[#This Row],[Milled_t]]="",tblPlant[[#This Row],[Head_Grade_gpt]]=""),"",tblPlant[[#This Row],[Milled_t]]*tblPlant[[#This Row],[Head_Grade_gpt]]/cfg_TroyOz)</f>
        <v/>
      </c>
      <c r="T23" s="59">
        <f>IF(OR(tblPlant[[#This Row],[Milled_t]]="",tblPlant[[#This Row],[Tails_Grade_gpt]]=""),"",tblPlant[[#This Row],[Milled_t]]*tblPlant[[#This Row],[Tails_Grade_gpt]]/cfg_TroyOz)</f>
        <v/>
      </c>
      <c r="U23" s="59">
        <f>IF(OR(tblPlant[[#This Row],[Milled_t]]="",tblPlant[[#This Row],[Head_Grade_gpt]]="",tblPlant[[#This Row],[Tails_Grade_gpt]]=""),"",tblPlant[[#This Row],[Feed_oz]]-tblPlant[[#This Row],[Tails_oz]])</f>
        <v/>
      </c>
      <c r="V23" s="60">
        <f>IF(AND(ISNUMBER(tblPlant[[#This Row],[Recovered_oz]]),tblPlant[[#This Row],[Feed_oz]]&gt;0),tblPlant[[#This Row],[Recovered_oz]]/tblPlant[[#This Row],[Feed_oz]],"")</f>
        <v/>
      </c>
      <c r="W23" s="59">
        <f>IF(AND(tblPlant[[#This Row],[Milled_t]]&lt;&gt;"",tblPlant[[#This Row],[Mill_Run_h]]&gt;0),tblPlant[[#This Row],[Milled_t]]/tblPlant[[#This Row],[Mill_Run_h]],"")</f>
        <v/>
      </c>
      <c r="X23" s="60">
        <f>IF(AND(tblPlant[[#This Row],[Mill_Run_h]]="",tblPlant[[#This Row],[Mill_Planned_Maint_h]]="",tblPlant[[#This Row],[Mill_Unplanned_Down_h]]=""),"",(cfg_HoursPerDay-tblPlant[[#This Row],[Mill_Planned_Maint_h]]-tblPlant[[#This Row],[Mill_Unplanned_Down_h]])/cfg_HoursPerDay)</f>
        <v/>
      </c>
      <c r="Y2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
      <c r="A24" s="54" t="n">
        <v>46041</v>
      </c>
      <c r="B24" s="55" t="n"/>
      <c r="C24" s="55" t="n"/>
      <c r="D24" s="56" t="n"/>
      <c r="E24" s="56" t="n"/>
      <c r="F24" s="55" t="n"/>
      <c r="G24" s="55" t="n"/>
      <c r="H24" s="57" t="n"/>
      <c r="I24" s="57" t="n"/>
      <c r="J24" s="57" t="n"/>
      <c r="K24" s="57" t="n"/>
      <c r="L24" s="55" t="n"/>
      <c r="M24" s="55" t="n"/>
      <c r="N24" s="55" t="n"/>
      <c r="O24" s="55" t="n"/>
      <c r="P24" s="55" t="n"/>
      <c r="Q24" s="55" t="n"/>
      <c r="R24" s="58" t="n"/>
      <c r="S24" s="59">
        <f>IF(OR(tblPlant[[#This Row],[Milled_t]]="",tblPlant[[#This Row],[Head_Grade_gpt]]=""),"",tblPlant[[#This Row],[Milled_t]]*tblPlant[[#This Row],[Head_Grade_gpt]]/cfg_TroyOz)</f>
        <v/>
      </c>
      <c r="T24" s="59">
        <f>IF(OR(tblPlant[[#This Row],[Milled_t]]="",tblPlant[[#This Row],[Tails_Grade_gpt]]=""),"",tblPlant[[#This Row],[Milled_t]]*tblPlant[[#This Row],[Tails_Grade_gpt]]/cfg_TroyOz)</f>
        <v/>
      </c>
      <c r="U24" s="59">
        <f>IF(OR(tblPlant[[#This Row],[Milled_t]]="",tblPlant[[#This Row],[Head_Grade_gpt]]="",tblPlant[[#This Row],[Tails_Grade_gpt]]=""),"",tblPlant[[#This Row],[Feed_oz]]-tblPlant[[#This Row],[Tails_oz]])</f>
        <v/>
      </c>
      <c r="V24" s="60">
        <f>IF(AND(ISNUMBER(tblPlant[[#This Row],[Recovered_oz]]),tblPlant[[#This Row],[Feed_oz]]&gt;0),tblPlant[[#This Row],[Recovered_oz]]/tblPlant[[#This Row],[Feed_oz]],"")</f>
        <v/>
      </c>
      <c r="W24" s="59">
        <f>IF(AND(tblPlant[[#This Row],[Milled_t]]&lt;&gt;"",tblPlant[[#This Row],[Mill_Run_h]]&gt;0),tblPlant[[#This Row],[Milled_t]]/tblPlant[[#This Row],[Mill_Run_h]],"")</f>
        <v/>
      </c>
      <c r="X24" s="60">
        <f>IF(AND(tblPlant[[#This Row],[Mill_Run_h]]="",tblPlant[[#This Row],[Mill_Planned_Maint_h]]="",tblPlant[[#This Row],[Mill_Unplanned_Down_h]]=""),"",(cfg_HoursPerDay-tblPlant[[#This Row],[Mill_Planned_Maint_h]]-tblPlant[[#This Row],[Mill_Unplanned_Down_h]])/cfg_HoursPerDay)</f>
        <v/>
      </c>
      <c r="Y2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
      <c r="A25" s="54" t="n">
        <v>46042</v>
      </c>
      <c r="B25" s="55" t="n"/>
      <c r="C25" s="55" t="n"/>
      <c r="D25" s="56" t="n"/>
      <c r="E25" s="56" t="n"/>
      <c r="F25" s="55" t="n"/>
      <c r="G25" s="55" t="n"/>
      <c r="H25" s="57" t="n"/>
      <c r="I25" s="57" t="n"/>
      <c r="J25" s="57" t="n"/>
      <c r="K25" s="57" t="n"/>
      <c r="L25" s="55" t="n"/>
      <c r="M25" s="55" t="n"/>
      <c r="N25" s="55" t="n"/>
      <c r="O25" s="55" t="n"/>
      <c r="P25" s="55" t="n"/>
      <c r="Q25" s="55" t="n"/>
      <c r="R25" s="58" t="n"/>
      <c r="S25" s="59">
        <f>IF(OR(tblPlant[[#This Row],[Milled_t]]="",tblPlant[[#This Row],[Head_Grade_gpt]]=""),"",tblPlant[[#This Row],[Milled_t]]*tblPlant[[#This Row],[Head_Grade_gpt]]/cfg_TroyOz)</f>
        <v/>
      </c>
      <c r="T25" s="59">
        <f>IF(OR(tblPlant[[#This Row],[Milled_t]]="",tblPlant[[#This Row],[Tails_Grade_gpt]]=""),"",tblPlant[[#This Row],[Milled_t]]*tblPlant[[#This Row],[Tails_Grade_gpt]]/cfg_TroyOz)</f>
        <v/>
      </c>
      <c r="U25" s="59">
        <f>IF(OR(tblPlant[[#This Row],[Milled_t]]="",tblPlant[[#This Row],[Head_Grade_gpt]]="",tblPlant[[#This Row],[Tails_Grade_gpt]]=""),"",tblPlant[[#This Row],[Feed_oz]]-tblPlant[[#This Row],[Tails_oz]])</f>
        <v/>
      </c>
      <c r="V25" s="60">
        <f>IF(AND(ISNUMBER(tblPlant[[#This Row],[Recovered_oz]]),tblPlant[[#This Row],[Feed_oz]]&gt;0),tblPlant[[#This Row],[Recovered_oz]]/tblPlant[[#This Row],[Feed_oz]],"")</f>
        <v/>
      </c>
      <c r="W25" s="59">
        <f>IF(AND(tblPlant[[#This Row],[Milled_t]]&lt;&gt;"",tblPlant[[#This Row],[Mill_Run_h]]&gt;0),tblPlant[[#This Row],[Milled_t]]/tblPlant[[#This Row],[Mill_Run_h]],"")</f>
        <v/>
      </c>
      <c r="X25" s="60">
        <f>IF(AND(tblPlant[[#This Row],[Mill_Run_h]]="",tblPlant[[#This Row],[Mill_Planned_Maint_h]]="",tblPlant[[#This Row],[Mill_Unplanned_Down_h]]=""),"",(cfg_HoursPerDay-tblPlant[[#This Row],[Mill_Planned_Maint_h]]-tblPlant[[#This Row],[Mill_Unplanned_Down_h]])/cfg_HoursPerDay)</f>
        <v/>
      </c>
      <c r="Y2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
      <c r="A26" s="54" t="n">
        <v>46043</v>
      </c>
      <c r="B26" s="55" t="n"/>
      <c r="C26" s="55" t="n"/>
      <c r="D26" s="56" t="n"/>
      <c r="E26" s="56" t="n"/>
      <c r="F26" s="55" t="n"/>
      <c r="G26" s="55" t="n"/>
      <c r="H26" s="57" t="n"/>
      <c r="I26" s="57" t="n"/>
      <c r="J26" s="57" t="n"/>
      <c r="K26" s="57" t="n"/>
      <c r="L26" s="55" t="n"/>
      <c r="M26" s="55" t="n"/>
      <c r="N26" s="55" t="n"/>
      <c r="O26" s="55" t="n"/>
      <c r="P26" s="55" t="n"/>
      <c r="Q26" s="55" t="n"/>
      <c r="R26" s="58" t="n"/>
      <c r="S26" s="59">
        <f>IF(OR(tblPlant[[#This Row],[Milled_t]]="",tblPlant[[#This Row],[Head_Grade_gpt]]=""),"",tblPlant[[#This Row],[Milled_t]]*tblPlant[[#This Row],[Head_Grade_gpt]]/cfg_TroyOz)</f>
        <v/>
      </c>
      <c r="T26" s="59">
        <f>IF(OR(tblPlant[[#This Row],[Milled_t]]="",tblPlant[[#This Row],[Tails_Grade_gpt]]=""),"",tblPlant[[#This Row],[Milled_t]]*tblPlant[[#This Row],[Tails_Grade_gpt]]/cfg_TroyOz)</f>
        <v/>
      </c>
      <c r="U26" s="59">
        <f>IF(OR(tblPlant[[#This Row],[Milled_t]]="",tblPlant[[#This Row],[Head_Grade_gpt]]="",tblPlant[[#This Row],[Tails_Grade_gpt]]=""),"",tblPlant[[#This Row],[Feed_oz]]-tblPlant[[#This Row],[Tails_oz]])</f>
        <v/>
      </c>
      <c r="V26" s="60">
        <f>IF(AND(ISNUMBER(tblPlant[[#This Row],[Recovered_oz]]),tblPlant[[#This Row],[Feed_oz]]&gt;0),tblPlant[[#This Row],[Recovered_oz]]/tblPlant[[#This Row],[Feed_oz]],"")</f>
        <v/>
      </c>
      <c r="W26" s="59">
        <f>IF(AND(tblPlant[[#This Row],[Milled_t]]&lt;&gt;"",tblPlant[[#This Row],[Mill_Run_h]]&gt;0),tblPlant[[#This Row],[Milled_t]]/tblPlant[[#This Row],[Mill_Run_h]],"")</f>
        <v/>
      </c>
      <c r="X26" s="60">
        <f>IF(AND(tblPlant[[#This Row],[Mill_Run_h]]="",tblPlant[[#This Row],[Mill_Planned_Maint_h]]="",tblPlant[[#This Row],[Mill_Unplanned_Down_h]]=""),"",(cfg_HoursPerDay-tblPlant[[#This Row],[Mill_Planned_Maint_h]]-tblPlant[[#This Row],[Mill_Unplanned_Down_h]])/cfg_HoursPerDay)</f>
        <v/>
      </c>
      <c r="Y2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
      <c r="A27" s="54" t="n">
        <v>46044</v>
      </c>
      <c r="B27" s="55" t="n"/>
      <c r="C27" s="55" t="n"/>
      <c r="D27" s="56" t="n"/>
      <c r="E27" s="56" t="n"/>
      <c r="F27" s="55" t="n"/>
      <c r="G27" s="55" t="n"/>
      <c r="H27" s="57" t="n"/>
      <c r="I27" s="57" t="n"/>
      <c r="J27" s="57" t="n"/>
      <c r="K27" s="57" t="n"/>
      <c r="L27" s="55" t="n"/>
      <c r="M27" s="55" t="n"/>
      <c r="N27" s="55" t="n"/>
      <c r="O27" s="55" t="n"/>
      <c r="P27" s="55" t="n"/>
      <c r="Q27" s="55" t="n"/>
      <c r="R27" s="58" t="n"/>
      <c r="S27" s="59">
        <f>IF(OR(tblPlant[[#This Row],[Milled_t]]="",tblPlant[[#This Row],[Head_Grade_gpt]]=""),"",tblPlant[[#This Row],[Milled_t]]*tblPlant[[#This Row],[Head_Grade_gpt]]/cfg_TroyOz)</f>
        <v/>
      </c>
      <c r="T27" s="59">
        <f>IF(OR(tblPlant[[#This Row],[Milled_t]]="",tblPlant[[#This Row],[Tails_Grade_gpt]]=""),"",tblPlant[[#This Row],[Milled_t]]*tblPlant[[#This Row],[Tails_Grade_gpt]]/cfg_TroyOz)</f>
        <v/>
      </c>
      <c r="U27" s="59">
        <f>IF(OR(tblPlant[[#This Row],[Milled_t]]="",tblPlant[[#This Row],[Head_Grade_gpt]]="",tblPlant[[#This Row],[Tails_Grade_gpt]]=""),"",tblPlant[[#This Row],[Feed_oz]]-tblPlant[[#This Row],[Tails_oz]])</f>
        <v/>
      </c>
      <c r="V27" s="60">
        <f>IF(AND(ISNUMBER(tblPlant[[#This Row],[Recovered_oz]]),tblPlant[[#This Row],[Feed_oz]]&gt;0),tblPlant[[#This Row],[Recovered_oz]]/tblPlant[[#This Row],[Feed_oz]],"")</f>
        <v/>
      </c>
      <c r="W27" s="59">
        <f>IF(AND(tblPlant[[#This Row],[Milled_t]]&lt;&gt;"",tblPlant[[#This Row],[Mill_Run_h]]&gt;0),tblPlant[[#This Row],[Milled_t]]/tblPlant[[#This Row],[Mill_Run_h]],"")</f>
        <v/>
      </c>
      <c r="X27" s="60">
        <f>IF(AND(tblPlant[[#This Row],[Mill_Run_h]]="",tblPlant[[#This Row],[Mill_Planned_Maint_h]]="",tblPlant[[#This Row],[Mill_Unplanned_Down_h]]=""),"",(cfg_HoursPerDay-tblPlant[[#This Row],[Mill_Planned_Maint_h]]-tblPlant[[#This Row],[Mill_Unplanned_Down_h]])/cfg_HoursPerDay)</f>
        <v/>
      </c>
      <c r="Y2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
      <c r="A28" s="54" t="n">
        <v>46045</v>
      </c>
      <c r="B28" s="55" t="n"/>
      <c r="C28" s="55" t="n"/>
      <c r="D28" s="56" t="n"/>
      <c r="E28" s="56" t="n"/>
      <c r="F28" s="55" t="n"/>
      <c r="G28" s="55" t="n"/>
      <c r="H28" s="57" t="n"/>
      <c r="I28" s="57" t="n"/>
      <c r="J28" s="57" t="n"/>
      <c r="K28" s="57" t="n"/>
      <c r="L28" s="55" t="n"/>
      <c r="M28" s="55" t="n"/>
      <c r="N28" s="55" t="n"/>
      <c r="O28" s="55" t="n"/>
      <c r="P28" s="55" t="n"/>
      <c r="Q28" s="55" t="n"/>
      <c r="R28" s="58" t="n"/>
      <c r="S28" s="59">
        <f>IF(OR(tblPlant[[#This Row],[Milled_t]]="",tblPlant[[#This Row],[Head_Grade_gpt]]=""),"",tblPlant[[#This Row],[Milled_t]]*tblPlant[[#This Row],[Head_Grade_gpt]]/cfg_TroyOz)</f>
        <v/>
      </c>
      <c r="T28" s="59">
        <f>IF(OR(tblPlant[[#This Row],[Milled_t]]="",tblPlant[[#This Row],[Tails_Grade_gpt]]=""),"",tblPlant[[#This Row],[Milled_t]]*tblPlant[[#This Row],[Tails_Grade_gpt]]/cfg_TroyOz)</f>
        <v/>
      </c>
      <c r="U28" s="59">
        <f>IF(OR(tblPlant[[#This Row],[Milled_t]]="",tblPlant[[#This Row],[Head_Grade_gpt]]="",tblPlant[[#This Row],[Tails_Grade_gpt]]=""),"",tblPlant[[#This Row],[Feed_oz]]-tblPlant[[#This Row],[Tails_oz]])</f>
        <v/>
      </c>
      <c r="V28" s="60">
        <f>IF(AND(ISNUMBER(tblPlant[[#This Row],[Recovered_oz]]),tblPlant[[#This Row],[Feed_oz]]&gt;0),tblPlant[[#This Row],[Recovered_oz]]/tblPlant[[#This Row],[Feed_oz]],"")</f>
        <v/>
      </c>
      <c r="W28" s="59">
        <f>IF(AND(tblPlant[[#This Row],[Milled_t]]&lt;&gt;"",tblPlant[[#This Row],[Mill_Run_h]]&gt;0),tblPlant[[#This Row],[Milled_t]]/tblPlant[[#This Row],[Mill_Run_h]],"")</f>
        <v/>
      </c>
      <c r="X28" s="60">
        <f>IF(AND(tblPlant[[#This Row],[Mill_Run_h]]="",tblPlant[[#This Row],[Mill_Planned_Maint_h]]="",tblPlant[[#This Row],[Mill_Unplanned_Down_h]]=""),"",(cfg_HoursPerDay-tblPlant[[#This Row],[Mill_Planned_Maint_h]]-tblPlant[[#This Row],[Mill_Unplanned_Down_h]])/cfg_HoursPerDay)</f>
        <v/>
      </c>
      <c r="Y2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
      <c r="A29" s="54" t="n">
        <v>46046</v>
      </c>
      <c r="B29" s="55" t="n"/>
      <c r="C29" s="55" t="n"/>
      <c r="D29" s="56" t="n"/>
      <c r="E29" s="56" t="n"/>
      <c r="F29" s="55" t="n"/>
      <c r="G29" s="55" t="n"/>
      <c r="H29" s="57" t="n"/>
      <c r="I29" s="57" t="n"/>
      <c r="J29" s="57" t="n"/>
      <c r="K29" s="57" t="n"/>
      <c r="L29" s="55" t="n"/>
      <c r="M29" s="55" t="n"/>
      <c r="N29" s="55" t="n"/>
      <c r="O29" s="55" t="n"/>
      <c r="P29" s="55" t="n"/>
      <c r="Q29" s="55" t="n"/>
      <c r="R29" s="58" t="n"/>
      <c r="S29" s="59">
        <f>IF(OR(tblPlant[[#This Row],[Milled_t]]="",tblPlant[[#This Row],[Head_Grade_gpt]]=""),"",tblPlant[[#This Row],[Milled_t]]*tblPlant[[#This Row],[Head_Grade_gpt]]/cfg_TroyOz)</f>
        <v/>
      </c>
      <c r="T29" s="59">
        <f>IF(OR(tblPlant[[#This Row],[Milled_t]]="",tblPlant[[#This Row],[Tails_Grade_gpt]]=""),"",tblPlant[[#This Row],[Milled_t]]*tblPlant[[#This Row],[Tails_Grade_gpt]]/cfg_TroyOz)</f>
        <v/>
      </c>
      <c r="U29" s="59">
        <f>IF(OR(tblPlant[[#This Row],[Milled_t]]="",tblPlant[[#This Row],[Head_Grade_gpt]]="",tblPlant[[#This Row],[Tails_Grade_gpt]]=""),"",tblPlant[[#This Row],[Feed_oz]]-tblPlant[[#This Row],[Tails_oz]])</f>
        <v/>
      </c>
      <c r="V29" s="60">
        <f>IF(AND(ISNUMBER(tblPlant[[#This Row],[Recovered_oz]]),tblPlant[[#This Row],[Feed_oz]]&gt;0),tblPlant[[#This Row],[Recovered_oz]]/tblPlant[[#This Row],[Feed_oz]],"")</f>
        <v/>
      </c>
      <c r="W29" s="59">
        <f>IF(AND(tblPlant[[#This Row],[Milled_t]]&lt;&gt;"",tblPlant[[#This Row],[Mill_Run_h]]&gt;0),tblPlant[[#This Row],[Milled_t]]/tblPlant[[#This Row],[Mill_Run_h]],"")</f>
        <v/>
      </c>
      <c r="X29" s="60">
        <f>IF(AND(tblPlant[[#This Row],[Mill_Run_h]]="",tblPlant[[#This Row],[Mill_Planned_Maint_h]]="",tblPlant[[#This Row],[Mill_Unplanned_Down_h]]=""),"",(cfg_HoursPerDay-tblPlant[[#This Row],[Mill_Planned_Maint_h]]-tblPlant[[#This Row],[Mill_Unplanned_Down_h]])/cfg_HoursPerDay)</f>
        <v/>
      </c>
      <c r="Y2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
      <c r="A30" s="54" t="n">
        <v>46047</v>
      </c>
      <c r="B30" s="55" t="n"/>
      <c r="C30" s="55" t="n"/>
      <c r="D30" s="56" t="n"/>
      <c r="E30" s="56" t="n"/>
      <c r="F30" s="55" t="n"/>
      <c r="G30" s="55" t="n"/>
      <c r="H30" s="57" t="n"/>
      <c r="I30" s="57" t="n"/>
      <c r="J30" s="57" t="n"/>
      <c r="K30" s="57" t="n"/>
      <c r="L30" s="55" t="n"/>
      <c r="M30" s="55" t="n"/>
      <c r="N30" s="55" t="n"/>
      <c r="O30" s="55" t="n"/>
      <c r="P30" s="55" t="n"/>
      <c r="Q30" s="55" t="n"/>
      <c r="R30" s="58" t="n"/>
      <c r="S30" s="59">
        <f>IF(OR(tblPlant[[#This Row],[Milled_t]]="",tblPlant[[#This Row],[Head_Grade_gpt]]=""),"",tblPlant[[#This Row],[Milled_t]]*tblPlant[[#This Row],[Head_Grade_gpt]]/cfg_TroyOz)</f>
        <v/>
      </c>
      <c r="T30" s="59">
        <f>IF(OR(tblPlant[[#This Row],[Milled_t]]="",tblPlant[[#This Row],[Tails_Grade_gpt]]=""),"",tblPlant[[#This Row],[Milled_t]]*tblPlant[[#This Row],[Tails_Grade_gpt]]/cfg_TroyOz)</f>
        <v/>
      </c>
      <c r="U30" s="59">
        <f>IF(OR(tblPlant[[#This Row],[Milled_t]]="",tblPlant[[#This Row],[Head_Grade_gpt]]="",tblPlant[[#This Row],[Tails_Grade_gpt]]=""),"",tblPlant[[#This Row],[Feed_oz]]-tblPlant[[#This Row],[Tails_oz]])</f>
        <v/>
      </c>
      <c r="V30" s="60">
        <f>IF(AND(ISNUMBER(tblPlant[[#This Row],[Recovered_oz]]),tblPlant[[#This Row],[Feed_oz]]&gt;0),tblPlant[[#This Row],[Recovered_oz]]/tblPlant[[#This Row],[Feed_oz]],"")</f>
        <v/>
      </c>
      <c r="W30" s="59">
        <f>IF(AND(tblPlant[[#This Row],[Milled_t]]&lt;&gt;"",tblPlant[[#This Row],[Mill_Run_h]]&gt;0),tblPlant[[#This Row],[Milled_t]]/tblPlant[[#This Row],[Mill_Run_h]],"")</f>
        <v/>
      </c>
      <c r="X30" s="60">
        <f>IF(AND(tblPlant[[#This Row],[Mill_Run_h]]="",tblPlant[[#This Row],[Mill_Planned_Maint_h]]="",tblPlant[[#This Row],[Mill_Unplanned_Down_h]]=""),"",(cfg_HoursPerDay-tblPlant[[#This Row],[Mill_Planned_Maint_h]]-tblPlant[[#This Row],[Mill_Unplanned_Down_h]])/cfg_HoursPerDay)</f>
        <v/>
      </c>
      <c r="Y3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
      <c r="A31" s="54" t="n">
        <v>46048</v>
      </c>
      <c r="B31" s="55" t="n"/>
      <c r="C31" s="55" t="n"/>
      <c r="D31" s="56" t="n"/>
      <c r="E31" s="56" t="n"/>
      <c r="F31" s="55" t="n"/>
      <c r="G31" s="55" t="n"/>
      <c r="H31" s="57" t="n"/>
      <c r="I31" s="57" t="n"/>
      <c r="J31" s="57" t="n"/>
      <c r="K31" s="57" t="n"/>
      <c r="L31" s="55" t="n"/>
      <c r="M31" s="55" t="n"/>
      <c r="N31" s="55" t="n"/>
      <c r="O31" s="55" t="n"/>
      <c r="P31" s="55" t="n"/>
      <c r="Q31" s="55" t="n"/>
      <c r="R31" s="58" t="n"/>
      <c r="S31" s="59">
        <f>IF(OR(tblPlant[[#This Row],[Milled_t]]="",tblPlant[[#This Row],[Head_Grade_gpt]]=""),"",tblPlant[[#This Row],[Milled_t]]*tblPlant[[#This Row],[Head_Grade_gpt]]/cfg_TroyOz)</f>
        <v/>
      </c>
      <c r="T31" s="59">
        <f>IF(OR(tblPlant[[#This Row],[Milled_t]]="",tblPlant[[#This Row],[Tails_Grade_gpt]]=""),"",tblPlant[[#This Row],[Milled_t]]*tblPlant[[#This Row],[Tails_Grade_gpt]]/cfg_TroyOz)</f>
        <v/>
      </c>
      <c r="U31" s="59">
        <f>IF(OR(tblPlant[[#This Row],[Milled_t]]="",tblPlant[[#This Row],[Head_Grade_gpt]]="",tblPlant[[#This Row],[Tails_Grade_gpt]]=""),"",tblPlant[[#This Row],[Feed_oz]]-tblPlant[[#This Row],[Tails_oz]])</f>
        <v/>
      </c>
      <c r="V31" s="60">
        <f>IF(AND(ISNUMBER(tblPlant[[#This Row],[Recovered_oz]]),tblPlant[[#This Row],[Feed_oz]]&gt;0),tblPlant[[#This Row],[Recovered_oz]]/tblPlant[[#This Row],[Feed_oz]],"")</f>
        <v/>
      </c>
      <c r="W31" s="59">
        <f>IF(AND(tblPlant[[#This Row],[Milled_t]]&lt;&gt;"",tblPlant[[#This Row],[Mill_Run_h]]&gt;0),tblPlant[[#This Row],[Milled_t]]/tblPlant[[#This Row],[Mill_Run_h]],"")</f>
        <v/>
      </c>
      <c r="X31" s="60">
        <f>IF(AND(tblPlant[[#This Row],[Mill_Run_h]]="",tblPlant[[#This Row],[Mill_Planned_Maint_h]]="",tblPlant[[#This Row],[Mill_Unplanned_Down_h]]=""),"",(cfg_HoursPerDay-tblPlant[[#This Row],[Mill_Planned_Maint_h]]-tblPlant[[#This Row],[Mill_Unplanned_Down_h]])/cfg_HoursPerDay)</f>
        <v/>
      </c>
      <c r="Y3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
      <c r="A32" s="54" t="n">
        <v>46049</v>
      </c>
      <c r="B32" s="55" t="n"/>
      <c r="C32" s="55" t="n"/>
      <c r="D32" s="56" t="n"/>
      <c r="E32" s="56" t="n"/>
      <c r="F32" s="55" t="n"/>
      <c r="G32" s="55" t="n"/>
      <c r="H32" s="57" t="n"/>
      <c r="I32" s="57" t="n"/>
      <c r="J32" s="57" t="n"/>
      <c r="K32" s="57" t="n"/>
      <c r="L32" s="55" t="n"/>
      <c r="M32" s="55" t="n"/>
      <c r="N32" s="55" t="n"/>
      <c r="O32" s="55" t="n"/>
      <c r="P32" s="55" t="n"/>
      <c r="Q32" s="55" t="n"/>
      <c r="R32" s="58" t="n"/>
      <c r="S32" s="59">
        <f>IF(OR(tblPlant[[#This Row],[Milled_t]]="",tblPlant[[#This Row],[Head_Grade_gpt]]=""),"",tblPlant[[#This Row],[Milled_t]]*tblPlant[[#This Row],[Head_Grade_gpt]]/cfg_TroyOz)</f>
        <v/>
      </c>
      <c r="T32" s="59">
        <f>IF(OR(tblPlant[[#This Row],[Milled_t]]="",tblPlant[[#This Row],[Tails_Grade_gpt]]=""),"",tblPlant[[#This Row],[Milled_t]]*tblPlant[[#This Row],[Tails_Grade_gpt]]/cfg_TroyOz)</f>
        <v/>
      </c>
      <c r="U32" s="59">
        <f>IF(OR(tblPlant[[#This Row],[Milled_t]]="",tblPlant[[#This Row],[Head_Grade_gpt]]="",tblPlant[[#This Row],[Tails_Grade_gpt]]=""),"",tblPlant[[#This Row],[Feed_oz]]-tblPlant[[#This Row],[Tails_oz]])</f>
        <v/>
      </c>
      <c r="V32" s="60">
        <f>IF(AND(ISNUMBER(tblPlant[[#This Row],[Recovered_oz]]),tblPlant[[#This Row],[Feed_oz]]&gt;0),tblPlant[[#This Row],[Recovered_oz]]/tblPlant[[#This Row],[Feed_oz]],"")</f>
        <v/>
      </c>
      <c r="W32" s="59">
        <f>IF(AND(tblPlant[[#This Row],[Milled_t]]&lt;&gt;"",tblPlant[[#This Row],[Mill_Run_h]]&gt;0),tblPlant[[#This Row],[Milled_t]]/tblPlant[[#This Row],[Mill_Run_h]],"")</f>
        <v/>
      </c>
      <c r="X32" s="60">
        <f>IF(AND(tblPlant[[#This Row],[Mill_Run_h]]="",tblPlant[[#This Row],[Mill_Planned_Maint_h]]="",tblPlant[[#This Row],[Mill_Unplanned_Down_h]]=""),"",(cfg_HoursPerDay-tblPlant[[#This Row],[Mill_Planned_Maint_h]]-tblPlant[[#This Row],[Mill_Unplanned_Down_h]])/cfg_HoursPerDay)</f>
        <v/>
      </c>
      <c r="Y3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
      <c r="A33" s="54" t="n">
        <v>46050</v>
      </c>
      <c r="B33" s="55" t="n"/>
      <c r="C33" s="55" t="n"/>
      <c r="D33" s="56" t="n"/>
      <c r="E33" s="56" t="n"/>
      <c r="F33" s="55" t="n"/>
      <c r="G33" s="55" t="n"/>
      <c r="H33" s="57" t="n"/>
      <c r="I33" s="57" t="n"/>
      <c r="J33" s="57" t="n"/>
      <c r="K33" s="57" t="n"/>
      <c r="L33" s="55" t="n"/>
      <c r="M33" s="55" t="n"/>
      <c r="N33" s="55" t="n"/>
      <c r="O33" s="55" t="n"/>
      <c r="P33" s="55" t="n"/>
      <c r="Q33" s="55" t="n"/>
      <c r="R33" s="58" t="n"/>
      <c r="S33" s="59">
        <f>IF(OR(tblPlant[[#This Row],[Milled_t]]="",tblPlant[[#This Row],[Head_Grade_gpt]]=""),"",tblPlant[[#This Row],[Milled_t]]*tblPlant[[#This Row],[Head_Grade_gpt]]/cfg_TroyOz)</f>
        <v/>
      </c>
      <c r="T33" s="59">
        <f>IF(OR(tblPlant[[#This Row],[Milled_t]]="",tblPlant[[#This Row],[Tails_Grade_gpt]]=""),"",tblPlant[[#This Row],[Milled_t]]*tblPlant[[#This Row],[Tails_Grade_gpt]]/cfg_TroyOz)</f>
        <v/>
      </c>
      <c r="U33" s="59">
        <f>IF(OR(tblPlant[[#This Row],[Milled_t]]="",tblPlant[[#This Row],[Head_Grade_gpt]]="",tblPlant[[#This Row],[Tails_Grade_gpt]]=""),"",tblPlant[[#This Row],[Feed_oz]]-tblPlant[[#This Row],[Tails_oz]])</f>
        <v/>
      </c>
      <c r="V33" s="60">
        <f>IF(AND(ISNUMBER(tblPlant[[#This Row],[Recovered_oz]]),tblPlant[[#This Row],[Feed_oz]]&gt;0),tblPlant[[#This Row],[Recovered_oz]]/tblPlant[[#This Row],[Feed_oz]],"")</f>
        <v/>
      </c>
      <c r="W33" s="59">
        <f>IF(AND(tblPlant[[#This Row],[Milled_t]]&lt;&gt;"",tblPlant[[#This Row],[Mill_Run_h]]&gt;0),tblPlant[[#This Row],[Milled_t]]/tblPlant[[#This Row],[Mill_Run_h]],"")</f>
        <v/>
      </c>
      <c r="X33" s="60">
        <f>IF(AND(tblPlant[[#This Row],[Mill_Run_h]]="",tblPlant[[#This Row],[Mill_Planned_Maint_h]]="",tblPlant[[#This Row],[Mill_Unplanned_Down_h]]=""),"",(cfg_HoursPerDay-tblPlant[[#This Row],[Mill_Planned_Maint_h]]-tblPlant[[#This Row],[Mill_Unplanned_Down_h]])/cfg_HoursPerDay)</f>
        <v/>
      </c>
      <c r="Y3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
      <c r="A34" s="54" t="n">
        <v>46051</v>
      </c>
      <c r="B34" s="55" t="n"/>
      <c r="C34" s="55" t="n"/>
      <c r="D34" s="56" t="n"/>
      <c r="E34" s="56" t="n"/>
      <c r="F34" s="55" t="n"/>
      <c r="G34" s="55" t="n"/>
      <c r="H34" s="57" t="n"/>
      <c r="I34" s="57" t="n"/>
      <c r="J34" s="57" t="n"/>
      <c r="K34" s="57" t="n"/>
      <c r="L34" s="55" t="n"/>
      <c r="M34" s="55" t="n"/>
      <c r="N34" s="55" t="n"/>
      <c r="O34" s="55" t="n"/>
      <c r="P34" s="55" t="n"/>
      <c r="Q34" s="55" t="n"/>
      <c r="R34" s="58" t="n"/>
      <c r="S34" s="59">
        <f>IF(OR(tblPlant[[#This Row],[Milled_t]]="",tblPlant[[#This Row],[Head_Grade_gpt]]=""),"",tblPlant[[#This Row],[Milled_t]]*tblPlant[[#This Row],[Head_Grade_gpt]]/cfg_TroyOz)</f>
        <v/>
      </c>
      <c r="T34" s="59">
        <f>IF(OR(tblPlant[[#This Row],[Milled_t]]="",tblPlant[[#This Row],[Tails_Grade_gpt]]=""),"",tblPlant[[#This Row],[Milled_t]]*tblPlant[[#This Row],[Tails_Grade_gpt]]/cfg_TroyOz)</f>
        <v/>
      </c>
      <c r="U34" s="59">
        <f>IF(OR(tblPlant[[#This Row],[Milled_t]]="",tblPlant[[#This Row],[Head_Grade_gpt]]="",tblPlant[[#This Row],[Tails_Grade_gpt]]=""),"",tblPlant[[#This Row],[Feed_oz]]-tblPlant[[#This Row],[Tails_oz]])</f>
        <v/>
      </c>
      <c r="V34" s="60">
        <f>IF(AND(ISNUMBER(tblPlant[[#This Row],[Recovered_oz]]),tblPlant[[#This Row],[Feed_oz]]&gt;0),tblPlant[[#This Row],[Recovered_oz]]/tblPlant[[#This Row],[Feed_oz]],"")</f>
        <v/>
      </c>
      <c r="W34" s="59">
        <f>IF(AND(tblPlant[[#This Row],[Milled_t]]&lt;&gt;"",tblPlant[[#This Row],[Mill_Run_h]]&gt;0),tblPlant[[#This Row],[Milled_t]]/tblPlant[[#This Row],[Mill_Run_h]],"")</f>
        <v/>
      </c>
      <c r="X34" s="60">
        <f>IF(AND(tblPlant[[#This Row],[Mill_Run_h]]="",tblPlant[[#This Row],[Mill_Planned_Maint_h]]="",tblPlant[[#This Row],[Mill_Unplanned_Down_h]]=""),"",(cfg_HoursPerDay-tblPlant[[#This Row],[Mill_Planned_Maint_h]]-tblPlant[[#This Row],[Mill_Unplanned_Down_h]])/cfg_HoursPerDay)</f>
        <v/>
      </c>
      <c r="Y3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
      <c r="A35" s="54" t="n">
        <v>46052</v>
      </c>
      <c r="B35" s="55" t="n"/>
      <c r="C35" s="55" t="n"/>
      <c r="D35" s="56" t="n"/>
      <c r="E35" s="56" t="n"/>
      <c r="F35" s="55" t="n"/>
      <c r="G35" s="55" t="n"/>
      <c r="H35" s="57" t="n"/>
      <c r="I35" s="57" t="n"/>
      <c r="J35" s="57" t="n"/>
      <c r="K35" s="57" t="n"/>
      <c r="L35" s="55" t="n"/>
      <c r="M35" s="55" t="n"/>
      <c r="N35" s="55" t="n"/>
      <c r="O35" s="55" t="n"/>
      <c r="P35" s="55" t="n"/>
      <c r="Q35" s="55" t="n"/>
      <c r="R35" s="58" t="n"/>
      <c r="S35" s="59">
        <f>IF(OR(tblPlant[[#This Row],[Milled_t]]="",tblPlant[[#This Row],[Head_Grade_gpt]]=""),"",tblPlant[[#This Row],[Milled_t]]*tblPlant[[#This Row],[Head_Grade_gpt]]/cfg_TroyOz)</f>
        <v/>
      </c>
      <c r="T35" s="59">
        <f>IF(OR(tblPlant[[#This Row],[Milled_t]]="",tblPlant[[#This Row],[Tails_Grade_gpt]]=""),"",tblPlant[[#This Row],[Milled_t]]*tblPlant[[#This Row],[Tails_Grade_gpt]]/cfg_TroyOz)</f>
        <v/>
      </c>
      <c r="U35" s="59">
        <f>IF(OR(tblPlant[[#This Row],[Milled_t]]="",tblPlant[[#This Row],[Head_Grade_gpt]]="",tblPlant[[#This Row],[Tails_Grade_gpt]]=""),"",tblPlant[[#This Row],[Feed_oz]]-tblPlant[[#This Row],[Tails_oz]])</f>
        <v/>
      </c>
      <c r="V35" s="60">
        <f>IF(AND(ISNUMBER(tblPlant[[#This Row],[Recovered_oz]]),tblPlant[[#This Row],[Feed_oz]]&gt;0),tblPlant[[#This Row],[Recovered_oz]]/tblPlant[[#This Row],[Feed_oz]],"")</f>
        <v/>
      </c>
      <c r="W35" s="59">
        <f>IF(AND(tblPlant[[#This Row],[Milled_t]]&lt;&gt;"",tblPlant[[#This Row],[Mill_Run_h]]&gt;0),tblPlant[[#This Row],[Milled_t]]/tblPlant[[#This Row],[Mill_Run_h]],"")</f>
        <v/>
      </c>
      <c r="X35" s="60">
        <f>IF(AND(tblPlant[[#This Row],[Mill_Run_h]]="",tblPlant[[#This Row],[Mill_Planned_Maint_h]]="",tblPlant[[#This Row],[Mill_Unplanned_Down_h]]=""),"",(cfg_HoursPerDay-tblPlant[[#This Row],[Mill_Planned_Maint_h]]-tblPlant[[#This Row],[Mill_Unplanned_Down_h]])/cfg_HoursPerDay)</f>
        <v/>
      </c>
      <c r="Y3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
      <c r="A36" s="54" t="n">
        <v>46053</v>
      </c>
      <c r="B36" s="55" t="n"/>
      <c r="C36" s="55" t="n"/>
      <c r="D36" s="56" t="n"/>
      <c r="E36" s="56" t="n"/>
      <c r="F36" s="55" t="n"/>
      <c r="G36" s="55" t="n"/>
      <c r="H36" s="57" t="n"/>
      <c r="I36" s="57" t="n"/>
      <c r="J36" s="57" t="n"/>
      <c r="K36" s="57" t="n"/>
      <c r="L36" s="55" t="n"/>
      <c r="M36" s="55" t="n"/>
      <c r="N36" s="55" t="n"/>
      <c r="O36" s="55" t="n"/>
      <c r="P36" s="55" t="n"/>
      <c r="Q36" s="55" t="n"/>
      <c r="R36" s="58" t="n"/>
      <c r="S36" s="59">
        <f>IF(OR(tblPlant[[#This Row],[Milled_t]]="",tblPlant[[#This Row],[Head_Grade_gpt]]=""),"",tblPlant[[#This Row],[Milled_t]]*tblPlant[[#This Row],[Head_Grade_gpt]]/cfg_TroyOz)</f>
        <v/>
      </c>
      <c r="T36" s="59">
        <f>IF(OR(tblPlant[[#This Row],[Milled_t]]="",tblPlant[[#This Row],[Tails_Grade_gpt]]=""),"",tblPlant[[#This Row],[Milled_t]]*tblPlant[[#This Row],[Tails_Grade_gpt]]/cfg_TroyOz)</f>
        <v/>
      </c>
      <c r="U36" s="59">
        <f>IF(OR(tblPlant[[#This Row],[Milled_t]]="",tblPlant[[#This Row],[Head_Grade_gpt]]="",tblPlant[[#This Row],[Tails_Grade_gpt]]=""),"",tblPlant[[#This Row],[Feed_oz]]-tblPlant[[#This Row],[Tails_oz]])</f>
        <v/>
      </c>
      <c r="V36" s="60">
        <f>IF(AND(ISNUMBER(tblPlant[[#This Row],[Recovered_oz]]),tblPlant[[#This Row],[Feed_oz]]&gt;0),tblPlant[[#This Row],[Recovered_oz]]/tblPlant[[#This Row],[Feed_oz]],"")</f>
        <v/>
      </c>
      <c r="W36" s="59">
        <f>IF(AND(tblPlant[[#This Row],[Milled_t]]&lt;&gt;"",tblPlant[[#This Row],[Mill_Run_h]]&gt;0),tblPlant[[#This Row],[Milled_t]]/tblPlant[[#This Row],[Mill_Run_h]],"")</f>
        <v/>
      </c>
      <c r="X36" s="60">
        <f>IF(AND(tblPlant[[#This Row],[Mill_Run_h]]="",tblPlant[[#This Row],[Mill_Planned_Maint_h]]="",tblPlant[[#This Row],[Mill_Unplanned_Down_h]]=""),"",(cfg_HoursPerDay-tblPlant[[#This Row],[Mill_Planned_Maint_h]]-tblPlant[[#This Row],[Mill_Unplanned_Down_h]])/cfg_HoursPerDay)</f>
        <v/>
      </c>
      <c r="Y3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7">
      <c r="A37" s="54" t="n">
        <v>46054</v>
      </c>
      <c r="B37" s="55" t="n"/>
      <c r="C37" s="55" t="n"/>
      <c r="D37" s="56" t="n"/>
      <c r="E37" s="56" t="n"/>
      <c r="F37" s="55" t="n"/>
      <c r="G37" s="55" t="n"/>
      <c r="H37" s="57" t="n"/>
      <c r="I37" s="57" t="n"/>
      <c r="J37" s="57" t="n"/>
      <c r="K37" s="57" t="n"/>
      <c r="L37" s="55" t="n"/>
      <c r="M37" s="55" t="n"/>
      <c r="N37" s="55" t="n"/>
      <c r="O37" s="55" t="n"/>
      <c r="P37" s="55" t="n"/>
      <c r="Q37" s="55" t="n"/>
      <c r="R37" s="58" t="n"/>
      <c r="S37" s="59">
        <f>IF(OR(tblPlant[[#This Row],[Milled_t]]="",tblPlant[[#This Row],[Head_Grade_gpt]]=""),"",tblPlant[[#This Row],[Milled_t]]*tblPlant[[#This Row],[Head_Grade_gpt]]/cfg_TroyOz)</f>
        <v/>
      </c>
      <c r="T37" s="59">
        <f>IF(OR(tblPlant[[#This Row],[Milled_t]]="",tblPlant[[#This Row],[Tails_Grade_gpt]]=""),"",tblPlant[[#This Row],[Milled_t]]*tblPlant[[#This Row],[Tails_Grade_gpt]]/cfg_TroyOz)</f>
        <v/>
      </c>
      <c r="U37" s="59">
        <f>IF(OR(tblPlant[[#This Row],[Milled_t]]="",tblPlant[[#This Row],[Head_Grade_gpt]]="",tblPlant[[#This Row],[Tails_Grade_gpt]]=""),"",tblPlant[[#This Row],[Feed_oz]]-tblPlant[[#This Row],[Tails_oz]])</f>
        <v/>
      </c>
      <c r="V37" s="60">
        <f>IF(AND(ISNUMBER(tblPlant[[#This Row],[Recovered_oz]]),tblPlant[[#This Row],[Feed_oz]]&gt;0),tblPlant[[#This Row],[Recovered_oz]]/tblPlant[[#This Row],[Feed_oz]],"")</f>
        <v/>
      </c>
      <c r="W37" s="59">
        <f>IF(AND(tblPlant[[#This Row],[Milled_t]]&lt;&gt;"",tblPlant[[#This Row],[Mill_Run_h]]&gt;0),tblPlant[[#This Row],[Milled_t]]/tblPlant[[#This Row],[Mill_Run_h]],"")</f>
        <v/>
      </c>
      <c r="X37" s="60">
        <f>IF(AND(tblPlant[[#This Row],[Mill_Run_h]]="",tblPlant[[#This Row],[Mill_Planned_Maint_h]]="",tblPlant[[#This Row],[Mill_Unplanned_Down_h]]=""),"",(cfg_HoursPerDay-tblPlant[[#This Row],[Mill_Planned_Maint_h]]-tblPlant[[#This Row],[Mill_Unplanned_Down_h]])/cfg_HoursPerDay)</f>
        <v/>
      </c>
      <c r="Y3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8">
      <c r="A38" s="54" t="n">
        <v>46055</v>
      </c>
      <c r="B38" s="55" t="n"/>
      <c r="C38" s="55" t="n"/>
      <c r="D38" s="56" t="n"/>
      <c r="E38" s="56" t="n"/>
      <c r="F38" s="55" t="n"/>
      <c r="G38" s="55" t="n"/>
      <c r="H38" s="57" t="n"/>
      <c r="I38" s="57" t="n"/>
      <c r="J38" s="57" t="n"/>
      <c r="K38" s="57" t="n"/>
      <c r="L38" s="55" t="n"/>
      <c r="M38" s="55" t="n"/>
      <c r="N38" s="55" t="n"/>
      <c r="O38" s="55" t="n"/>
      <c r="P38" s="55" t="n"/>
      <c r="Q38" s="55" t="n"/>
      <c r="R38" s="58" t="n"/>
      <c r="S38" s="59">
        <f>IF(OR(tblPlant[[#This Row],[Milled_t]]="",tblPlant[[#This Row],[Head_Grade_gpt]]=""),"",tblPlant[[#This Row],[Milled_t]]*tblPlant[[#This Row],[Head_Grade_gpt]]/cfg_TroyOz)</f>
        <v/>
      </c>
      <c r="T38" s="59">
        <f>IF(OR(tblPlant[[#This Row],[Milled_t]]="",tblPlant[[#This Row],[Tails_Grade_gpt]]=""),"",tblPlant[[#This Row],[Milled_t]]*tblPlant[[#This Row],[Tails_Grade_gpt]]/cfg_TroyOz)</f>
        <v/>
      </c>
      <c r="U38" s="59">
        <f>IF(OR(tblPlant[[#This Row],[Milled_t]]="",tblPlant[[#This Row],[Head_Grade_gpt]]="",tblPlant[[#This Row],[Tails_Grade_gpt]]=""),"",tblPlant[[#This Row],[Feed_oz]]-tblPlant[[#This Row],[Tails_oz]])</f>
        <v/>
      </c>
      <c r="V38" s="60">
        <f>IF(AND(ISNUMBER(tblPlant[[#This Row],[Recovered_oz]]),tblPlant[[#This Row],[Feed_oz]]&gt;0),tblPlant[[#This Row],[Recovered_oz]]/tblPlant[[#This Row],[Feed_oz]],"")</f>
        <v/>
      </c>
      <c r="W38" s="59">
        <f>IF(AND(tblPlant[[#This Row],[Milled_t]]&lt;&gt;"",tblPlant[[#This Row],[Mill_Run_h]]&gt;0),tblPlant[[#This Row],[Milled_t]]/tblPlant[[#This Row],[Mill_Run_h]],"")</f>
        <v/>
      </c>
      <c r="X38" s="60">
        <f>IF(AND(tblPlant[[#This Row],[Mill_Run_h]]="",tblPlant[[#This Row],[Mill_Planned_Maint_h]]="",tblPlant[[#This Row],[Mill_Unplanned_Down_h]]=""),"",(cfg_HoursPerDay-tblPlant[[#This Row],[Mill_Planned_Maint_h]]-tblPlant[[#This Row],[Mill_Unplanned_Down_h]])/cfg_HoursPerDay)</f>
        <v/>
      </c>
      <c r="Y3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9">
      <c r="A39" s="54" t="n">
        <v>46056</v>
      </c>
      <c r="B39" s="55" t="n"/>
      <c r="C39" s="55" t="n"/>
      <c r="D39" s="56" t="n"/>
      <c r="E39" s="56" t="n"/>
      <c r="F39" s="55" t="n"/>
      <c r="G39" s="55" t="n"/>
      <c r="H39" s="57" t="n"/>
      <c r="I39" s="57" t="n"/>
      <c r="J39" s="57" t="n"/>
      <c r="K39" s="57" t="n"/>
      <c r="L39" s="55" t="n"/>
      <c r="M39" s="55" t="n"/>
      <c r="N39" s="55" t="n"/>
      <c r="O39" s="55" t="n"/>
      <c r="P39" s="55" t="n"/>
      <c r="Q39" s="55" t="n"/>
      <c r="R39" s="58" t="n"/>
      <c r="S39" s="59">
        <f>IF(OR(tblPlant[[#This Row],[Milled_t]]="",tblPlant[[#This Row],[Head_Grade_gpt]]=""),"",tblPlant[[#This Row],[Milled_t]]*tblPlant[[#This Row],[Head_Grade_gpt]]/cfg_TroyOz)</f>
        <v/>
      </c>
      <c r="T39" s="59">
        <f>IF(OR(tblPlant[[#This Row],[Milled_t]]="",tblPlant[[#This Row],[Tails_Grade_gpt]]=""),"",tblPlant[[#This Row],[Milled_t]]*tblPlant[[#This Row],[Tails_Grade_gpt]]/cfg_TroyOz)</f>
        <v/>
      </c>
      <c r="U39" s="59">
        <f>IF(OR(tblPlant[[#This Row],[Milled_t]]="",tblPlant[[#This Row],[Head_Grade_gpt]]="",tblPlant[[#This Row],[Tails_Grade_gpt]]=""),"",tblPlant[[#This Row],[Feed_oz]]-tblPlant[[#This Row],[Tails_oz]])</f>
        <v/>
      </c>
      <c r="V39" s="60">
        <f>IF(AND(ISNUMBER(tblPlant[[#This Row],[Recovered_oz]]),tblPlant[[#This Row],[Feed_oz]]&gt;0),tblPlant[[#This Row],[Recovered_oz]]/tblPlant[[#This Row],[Feed_oz]],"")</f>
        <v/>
      </c>
      <c r="W39" s="59">
        <f>IF(AND(tblPlant[[#This Row],[Milled_t]]&lt;&gt;"",tblPlant[[#This Row],[Mill_Run_h]]&gt;0),tblPlant[[#This Row],[Milled_t]]/tblPlant[[#This Row],[Mill_Run_h]],"")</f>
        <v/>
      </c>
      <c r="X39" s="60">
        <f>IF(AND(tblPlant[[#This Row],[Mill_Run_h]]="",tblPlant[[#This Row],[Mill_Planned_Maint_h]]="",tblPlant[[#This Row],[Mill_Unplanned_Down_h]]=""),"",(cfg_HoursPerDay-tblPlant[[#This Row],[Mill_Planned_Maint_h]]-tblPlant[[#This Row],[Mill_Unplanned_Down_h]])/cfg_HoursPerDay)</f>
        <v/>
      </c>
      <c r="Y3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0">
      <c r="A40" s="54" t="n">
        <v>46057</v>
      </c>
      <c r="B40" s="55" t="n"/>
      <c r="C40" s="55" t="n"/>
      <c r="D40" s="56" t="n"/>
      <c r="E40" s="56" t="n"/>
      <c r="F40" s="55" t="n"/>
      <c r="G40" s="55" t="n"/>
      <c r="H40" s="57" t="n"/>
      <c r="I40" s="57" t="n"/>
      <c r="J40" s="57" t="n"/>
      <c r="K40" s="57" t="n"/>
      <c r="L40" s="55" t="n"/>
      <c r="M40" s="55" t="n"/>
      <c r="N40" s="55" t="n"/>
      <c r="O40" s="55" t="n"/>
      <c r="P40" s="55" t="n"/>
      <c r="Q40" s="55" t="n"/>
      <c r="R40" s="58" t="n"/>
      <c r="S40" s="59">
        <f>IF(OR(tblPlant[[#This Row],[Milled_t]]="",tblPlant[[#This Row],[Head_Grade_gpt]]=""),"",tblPlant[[#This Row],[Milled_t]]*tblPlant[[#This Row],[Head_Grade_gpt]]/cfg_TroyOz)</f>
        <v/>
      </c>
      <c r="T40" s="59">
        <f>IF(OR(tblPlant[[#This Row],[Milled_t]]="",tblPlant[[#This Row],[Tails_Grade_gpt]]=""),"",tblPlant[[#This Row],[Milled_t]]*tblPlant[[#This Row],[Tails_Grade_gpt]]/cfg_TroyOz)</f>
        <v/>
      </c>
      <c r="U40" s="59">
        <f>IF(OR(tblPlant[[#This Row],[Milled_t]]="",tblPlant[[#This Row],[Head_Grade_gpt]]="",tblPlant[[#This Row],[Tails_Grade_gpt]]=""),"",tblPlant[[#This Row],[Feed_oz]]-tblPlant[[#This Row],[Tails_oz]])</f>
        <v/>
      </c>
      <c r="V40" s="60">
        <f>IF(AND(ISNUMBER(tblPlant[[#This Row],[Recovered_oz]]),tblPlant[[#This Row],[Feed_oz]]&gt;0),tblPlant[[#This Row],[Recovered_oz]]/tblPlant[[#This Row],[Feed_oz]],"")</f>
        <v/>
      </c>
      <c r="W40" s="59">
        <f>IF(AND(tblPlant[[#This Row],[Milled_t]]&lt;&gt;"",tblPlant[[#This Row],[Mill_Run_h]]&gt;0),tblPlant[[#This Row],[Milled_t]]/tblPlant[[#This Row],[Mill_Run_h]],"")</f>
        <v/>
      </c>
      <c r="X40" s="60">
        <f>IF(AND(tblPlant[[#This Row],[Mill_Run_h]]="",tblPlant[[#This Row],[Mill_Planned_Maint_h]]="",tblPlant[[#This Row],[Mill_Unplanned_Down_h]]=""),"",(cfg_HoursPerDay-tblPlant[[#This Row],[Mill_Planned_Maint_h]]-tblPlant[[#This Row],[Mill_Unplanned_Down_h]])/cfg_HoursPerDay)</f>
        <v/>
      </c>
      <c r="Y4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1">
      <c r="A41" s="54" t="n">
        <v>46058</v>
      </c>
      <c r="B41" s="55" t="n"/>
      <c r="C41" s="55" t="n"/>
      <c r="D41" s="56" t="n"/>
      <c r="E41" s="56" t="n"/>
      <c r="F41" s="55" t="n"/>
      <c r="G41" s="55" t="n"/>
      <c r="H41" s="57" t="n"/>
      <c r="I41" s="57" t="n"/>
      <c r="J41" s="57" t="n"/>
      <c r="K41" s="57" t="n"/>
      <c r="L41" s="55" t="n"/>
      <c r="M41" s="55" t="n"/>
      <c r="N41" s="55" t="n"/>
      <c r="O41" s="55" t="n"/>
      <c r="P41" s="55" t="n"/>
      <c r="Q41" s="55" t="n"/>
      <c r="R41" s="58" t="n"/>
      <c r="S41" s="59">
        <f>IF(OR(tblPlant[[#This Row],[Milled_t]]="",tblPlant[[#This Row],[Head_Grade_gpt]]=""),"",tblPlant[[#This Row],[Milled_t]]*tblPlant[[#This Row],[Head_Grade_gpt]]/cfg_TroyOz)</f>
        <v/>
      </c>
      <c r="T41" s="59">
        <f>IF(OR(tblPlant[[#This Row],[Milled_t]]="",tblPlant[[#This Row],[Tails_Grade_gpt]]=""),"",tblPlant[[#This Row],[Milled_t]]*tblPlant[[#This Row],[Tails_Grade_gpt]]/cfg_TroyOz)</f>
        <v/>
      </c>
      <c r="U41" s="59">
        <f>IF(OR(tblPlant[[#This Row],[Milled_t]]="",tblPlant[[#This Row],[Head_Grade_gpt]]="",tblPlant[[#This Row],[Tails_Grade_gpt]]=""),"",tblPlant[[#This Row],[Feed_oz]]-tblPlant[[#This Row],[Tails_oz]])</f>
        <v/>
      </c>
      <c r="V41" s="60">
        <f>IF(AND(ISNUMBER(tblPlant[[#This Row],[Recovered_oz]]),tblPlant[[#This Row],[Feed_oz]]&gt;0),tblPlant[[#This Row],[Recovered_oz]]/tblPlant[[#This Row],[Feed_oz]],"")</f>
        <v/>
      </c>
      <c r="W41" s="59">
        <f>IF(AND(tblPlant[[#This Row],[Milled_t]]&lt;&gt;"",tblPlant[[#This Row],[Mill_Run_h]]&gt;0),tblPlant[[#This Row],[Milled_t]]/tblPlant[[#This Row],[Mill_Run_h]],"")</f>
        <v/>
      </c>
      <c r="X41" s="60">
        <f>IF(AND(tblPlant[[#This Row],[Mill_Run_h]]="",tblPlant[[#This Row],[Mill_Planned_Maint_h]]="",tblPlant[[#This Row],[Mill_Unplanned_Down_h]]=""),"",(cfg_HoursPerDay-tblPlant[[#This Row],[Mill_Planned_Maint_h]]-tblPlant[[#This Row],[Mill_Unplanned_Down_h]])/cfg_HoursPerDay)</f>
        <v/>
      </c>
      <c r="Y4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2">
      <c r="A42" s="54" t="n">
        <v>46059</v>
      </c>
      <c r="B42" s="55" t="n"/>
      <c r="C42" s="55" t="n"/>
      <c r="D42" s="56" t="n"/>
      <c r="E42" s="56" t="n"/>
      <c r="F42" s="55" t="n"/>
      <c r="G42" s="55" t="n"/>
      <c r="H42" s="57" t="n"/>
      <c r="I42" s="57" t="n"/>
      <c r="J42" s="57" t="n"/>
      <c r="K42" s="57" t="n"/>
      <c r="L42" s="55" t="n"/>
      <c r="M42" s="55" t="n"/>
      <c r="N42" s="55" t="n"/>
      <c r="O42" s="55" t="n"/>
      <c r="P42" s="55" t="n"/>
      <c r="Q42" s="55" t="n"/>
      <c r="R42" s="58" t="n"/>
      <c r="S42" s="59">
        <f>IF(OR(tblPlant[[#This Row],[Milled_t]]="",tblPlant[[#This Row],[Head_Grade_gpt]]=""),"",tblPlant[[#This Row],[Milled_t]]*tblPlant[[#This Row],[Head_Grade_gpt]]/cfg_TroyOz)</f>
        <v/>
      </c>
      <c r="T42" s="59">
        <f>IF(OR(tblPlant[[#This Row],[Milled_t]]="",tblPlant[[#This Row],[Tails_Grade_gpt]]=""),"",tblPlant[[#This Row],[Milled_t]]*tblPlant[[#This Row],[Tails_Grade_gpt]]/cfg_TroyOz)</f>
        <v/>
      </c>
      <c r="U42" s="59">
        <f>IF(OR(tblPlant[[#This Row],[Milled_t]]="",tblPlant[[#This Row],[Head_Grade_gpt]]="",tblPlant[[#This Row],[Tails_Grade_gpt]]=""),"",tblPlant[[#This Row],[Feed_oz]]-tblPlant[[#This Row],[Tails_oz]])</f>
        <v/>
      </c>
      <c r="V42" s="60">
        <f>IF(AND(ISNUMBER(tblPlant[[#This Row],[Recovered_oz]]),tblPlant[[#This Row],[Feed_oz]]&gt;0),tblPlant[[#This Row],[Recovered_oz]]/tblPlant[[#This Row],[Feed_oz]],"")</f>
        <v/>
      </c>
      <c r="W42" s="59">
        <f>IF(AND(tblPlant[[#This Row],[Milled_t]]&lt;&gt;"",tblPlant[[#This Row],[Mill_Run_h]]&gt;0),tblPlant[[#This Row],[Milled_t]]/tblPlant[[#This Row],[Mill_Run_h]],"")</f>
        <v/>
      </c>
      <c r="X42" s="60">
        <f>IF(AND(tblPlant[[#This Row],[Mill_Run_h]]="",tblPlant[[#This Row],[Mill_Planned_Maint_h]]="",tblPlant[[#This Row],[Mill_Unplanned_Down_h]]=""),"",(cfg_HoursPerDay-tblPlant[[#This Row],[Mill_Planned_Maint_h]]-tblPlant[[#This Row],[Mill_Unplanned_Down_h]])/cfg_HoursPerDay)</f>
        <v/>
      </c>
      <c r="Y4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3">
      <c r="A43" s="54" t="n">
        <v>46060</v>
      </c>
      <c r="B43" s="55" t="n"/>
      <c r="C43" s="55" t="n"/>
      <c r="D43" s="56" t="n"/>
      <c r="E43" s="56" t="n"/>
      <c r="F43" s="55" t="n"/>
      <c r="G43" s="55" t="n"/>
      <c r="H43" s="57" t="n"/>
      <c r="I43" s="57" t="n"/>
      <c r="J43" s="57" t="n"/>
      <c r="K43" s="57" t="n"/>
      <c r="L43" s="55" t="n"/>
      <c r="M43" s="55" t="n"/>
      <c r="N43" s="55" t="n"/>
      <c r="O43" s="55" t="n"/>
      <c r="P43" s="55" t="n"/>
      <c r="Q43" s="55" t="n"/>
      <c r="R43" s="58" t="n"/>
      <c r="S43" s="59">
        <f>IF(OR(tblPlant[[#This Row],[Milled_t]]="",tblPlant[[#This Row],[Head_Grade_gpt]]=""),"",tblPlant[[#This Row],[Milled_t]]*tblPlant[[#This Row],[Head_Grade_gpt]]/cfg_TroyOz)</f>
        <v/>
      </c>
      <c r="T43" s="59">
        <f>IF(OR(tblPlant[[#This Row],[Milled_t]]="",tblPlant[[#This Row],[Tails_Grade_gpt]]=""),"",tblPlant[[#This Row],[Milled_t]]*tblPlant[[#This Row],[Tails_Grade_gpt]]/cfg_TroyOz)</f>
        <v/>
      </c>
      <c r="U43" s="59">
        <f>IF(OR(tblPlant[[#This Row],[Milled_t]]="",tblPlant[[#This Row],[Head_Grade_gpt]]="",tblPlant[[#This Row],[Tails_Grade_gpt]]=""),"",tblPlant[[#This Row],[Feed_oz]]-tblPlant[[#This Row],[Tails_oz]])</f>
        <v/>
      </c>
      <c r="V43" s="60">
        <f>IF(AND(ISNUMBER(tblPlant[[#This Row],[Recovered_oz]]),tblPlant[[#This Row],[Feed_oz]]&gt;0),tblPlant[[#This Row],[Recovered_oz]]/tblPlant[[#This Row],[Feed_oz]],"")</f>
        <v/>
      </c>
      <c r="W43" s="59">
        <f>IF(AND(tblPlant[[#This Row],[Milled_t]]&lt;&gt;"",tblPlant[[#This Row],[Mill_Run_h]]&gt;0),tblPlant[[#This Row],[Milled_t]]/tblPlant[[#This Row],[Mill_Run_h]],"")</f>
        <v/>
      </c>
      <c r="X43" s="60">
        <f>IF(AND(tblPlant[[#This Row],[Mill_Run_h]]="",tblPlant[[#This Row],[Mill_Planned_Maint_h]]="",tblPlant[[#This Row],[Mill_Unplanned_Down_h]]=""),"",(cfg_HoursPerDay-tblPlant[[#This Row],[Mill_Planned_Maint_h]]-tblPlant[[#This Row],[Mill_Unplanned_Down_h]])/cfg_HoursPerDay)</f>
        <v/>
      </c>
      <c r="Y4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4">
      <c r="A44" s="54" t="n">
        <v>46061</v>
      </c>
      <c r="B44" s="55" t="n"/>
      <c r="C44" s="55" t="n"/>
      <c r="D44" s="56" t="n"/>
      <c r="E44" s="56" t="n"/>
      <c r="F44" s="55" t="n"/>
      <c r="G44" s="55" t="n"/>
      <c r="H44" s="57" t="n"/>
      <c r="I44" s="57" t="n"/>
      <c r="J44" s="57" t="n"/>
      <c r="K44" s="57" t="n"/>
      <c r="L44" s="55" t="n"/>
      <c r="M44" s="55" t="n"/>
      <c r="N44" s="55" t="n"/>
      <c r="O44" s="55" t="n"/>
      <c r="P44" s="55" t="n"/>
      <c r="Q44" s="55" t="n"/>
      <c r="R44" s="58" t="n"/>
      <c r="S44" s="59">
        <f>IF(OR(tblPlant[[#This Row],[Milled_t]]="",tblPlant[[#This Row],[Head_Grade_gpt]]=""),"",tblPlant[[#This Row],[Milled_t]]*tblPlant[[#This Row],[Head_Grade_gpt]]/cfg_TroyOz)</f>
        <v/>
      </c>
      <c r="T44" s="59">
        <f>IF(OR(tblPlant[[#This Row],[Milled_t]]="",tblPlant[[#This Row],[Tails_Grade_gpt]]=""),"",tblPlant[[#This Row],[Milled_t]]*tblPlant[[#This Row],[Tails_Grade_gpt]]/cfg_TroyOz)</f>
        <v/>
      </c>
      <c r="U44" s="59">
        <f>IF(OR(tblPlant[[#This Row],[Milled_t]]="",tblPlant[[#This Row],[Head_Grade_gpt]]="",tblPlant[[#This Row],[Tails_Grade_gpt]]=""),"",tblPlant[[#This Row],[Feed_oz]]-tblPlant[[#This Row],[Tails_oz]])</f>
        <v/>
      </c>
      <c r="V44" s="60">
        <f>IF(AND(ISNUMBER(tblPlant[[#This Row],[Recovered_oz]]),tblPlant[[#This Row],[Feed_oz]]&gt;0),tblPlant[[#This Row],[Recovered_oz]]/tblPlant[[#This Row],[Feed_oz]],"")</f>
        <v/>
      </c>
      <c r="W44" s="59">
        <f>IF(AND(tblPlant[[#This Row],[Milled_t]]&lt;&gt;"",tblPlant[[#This Row],[Mill_Run_h]]&gt;0),tblPlant[[#This Row],[Milled_t]]/tblPlant[[#This Row],[Mill_Run_h]],"")</f>
        <v/>
      </c>
      <c r="X44" s="60">
        <f>IF(AND(tblPlant[[#This Row],[Mill_Run_h]]="",tblPlant[[#This Row],[Mill_Planned_Maint_h]]="",tblPlant[[#This Row],[Mill_Unplanned_Down_h]]=""),"",(cfg_HoursPerDay-tblPlant[[#This Row],[Mill_Planned_Maint_h]]-tblPlant[[#This Row],[Mill_Unplanned_Down_h]])/cfg_HoursPerDay)</f>
        <v/>
      </c>
      <c r="Y4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5">
      <c r="A45" s="54" t="n">
        <v>46062</v>
      </c>
      <c r="B45" s="55" t="n"/>
      <c r="C45" s="55" t="n"/>
      <c r="D45" s="56" t="n"/>
      <c r="E45" s="56" t="n"/>
      <c r="F45" s="55" t="n"/>
      <c r="G45" s="55" t="n"/>
      <c r="H45" s="57" t="n"/>
      <c r="I45" s="57" t="n"/>
      <c r="J45" s="57" t="n"/>
      <c r="K45" s="57" t="n"/>
      <c r="L45" s="55" t="n"/>
      <c r="M45" s="55" t="n"/>
      <c r="N45" s="55" t="n"/>
      <c r="O45" s="55" t="n"/>
      <c r="P45" s="55" t="n"/>
      <c r="Q45" s="55" t="n"/>
      <c r="R45" s="58" t="n"/>
      <c r="S45" s="59">
        <f>IF(OR(tblPlant[[#This Row],[Milled_t]]="",tblPlant[[#This Row],[Head_Grade_gpt]]=""),"",tblPlant[[#This Row],[Milled_t]]*tblPlant[[#This Row],[Head_Grade_gpt]]/cfg_TroyOz)</f>
        <v/>
      </c>
      <c r="T45" s="59">
        <f>IF(OR(tblPlant[[#This Row],[Milled_t]]="",tblPlant[[#This Row],[Tails_Grade_gpt]]=""),"",tblPlant[[#This Row],[Milled_t]]*tblPlant[[#This Row],[Tails_Grade_gpt]]/cfg_TroyOz)</f>
        <v/>
      </c>
      <c r="U45" s="59">
        <f>IF(OR(tblPlant[[#This Row],[Milled_t]]="",tblPlant[[#This Row],[Head_Grade_gpt]]="",tblPlant[[#This Row],[Tails_Grade_gpt]]=""),"",tblPlant[[#This Row],[Feed_oz]]-tblPlant[[#This Row],[Tails_oz]])</f>
        <v/>
      </c>
      <c r="V45" s="60">
        <f>IF(AND(ISNUMBER(tblPlant[[#This Row],[Recovered_oz]]),tblPlant[[#This Row],[Feed_oz]]&gt;0),tblPlant[[#This Row],[Recovered_oz]]/tblPlant[[#This Row],[Feed_oz]],"")</f>
        <v/>
      </c>
      <c r="W45" s="59">
        <f>IF(AND(tblPlant[[#This Row],[Milled_t]]&lt;&gt;"",tblPlant[[#This Row],[Mill_Run_h]]&gt;0),tblPlant[[#This Row],[Milled_t]]/tblPlant[[#This Row],[Mill_Run_h]],"")</f>
        <v/>
      </c>
      <c r="X45" s="60">
        <f>IF(AND(tblPlant[[#This Row],[Mill_Run_h]]="",tblPlant[[#This Row],[Mill_Planned_Maint_h]]="",tblPlant[[#This Row],[Mill_Unplanned_Down_h]]=""),"",(cfg_HoursPerDay-tblPlant[[#This Row],[Mill_Planned_Maint_h]]-tblPlant[[#This Row],[Mill_Unplanned_Down_h]])/cfg_HoursPerDay)</f>
        <v/>
      </c>
      <c r="Y4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6">
      <c r="A46" s="54" t="n">
        <v>46063</v>
      </c>
      <c r="B46" s="55" t="n"/>
      <c r="C46" s="55" t="n"/>
      <c r="D46" s="56" t="n"/>
      <c r="E46" s="56" t="n"/>
      <c r="F46" s="55" t="n"/>
      <c r="G46" s="55" t="n"/>
      <c r="H46" s="57" t="n"/>
      <c r="I46" s="57" t="n"/>
      <c r="J46" s="57" t="n"/>
      <c r="K46" s="57" t="n"/>
      <c r="L46" s="55" t="n"/>
      <c r="M46" s="55" t="n"/>
      <c r="N46" s="55" t="n"/>
      <c r="O46" s="55" t="n"/>
      <c r="P46" s="55" t="n"/>
      <c r="Q46" s="55" t="n"/>
      <c r="R46" s="58" t="n"/>
      <c r="S46" s="59">
        <f>IF(OR(tblPlant[[#This Row],[Milled_t]]="",tblPlant[[#This Row],[Head_Grade_gpt]]=""),"",tblPlant[[#This Row],[Milled_t]]*tblPlant[[#This Row],[Head_Grade_gpt]]/cfg_TroyOz)</f>
        <v/>
      </c>
      <c r="T46" s="59">
        <f>IF(OR(tblPlant[[#This Row],[Milled_t]]="",tblPlant[[#This Row],[Tails_Grade_gpt]]=""),"",tblPlant[[#This Row],[Milled_t]]*tblPlant[[#This Row],[Tails_Grade_gpt]]/cfg_TroyOz)</f>
        <v/>
      </c>
      <c r="U46" s="59">
        <f>IF(OR(tblPlant[[#This Row],[Milled_t]]="",tblPlant[[#This Row],[Head_Grade_gpt]]="",tblPlant[[#This Row],[Tails_Grade_gpt]]=""),"",tblPlant[[#This Row],[Feed_oz]]-tblPlant[[#This Row],[Tails_oz]])</f>
        <v/>
      </c>
      <c r="V46" s="60">
        <f>IF(AND(ISNUMBER(tblPlant[[#This Row],[Recovered_oz]]),tblPlant[[#This Row],[Feed_oz]]&gt;0),tblPlant[[#This Row],[Recovered_oz]]/tblPlant[[#This Row],[Feed_oz]],"")</f>
        <v/>
      </c>
      <c r="W46" s="59">
        <f>IF(AND(tblPlant[[#This Row],[Milled_t]]&lt;&gt;"",tblPlant[[#This Row],[Mill_Run_h]]&gt;0),tblPlant[[#This Row],[Milled_t]]/tblPlant[[#This Row],[Mill_Run_h]],"")</f>
        <v/>
      </c>
      <c r="X46" s="60">
        <f>IF(AND(tblPlant[[#This Row],[Mill_Run_h]]="",tblPlant[[#This Row],[Mill_Planned_Maint_h]]="",tblPlant[[#This Row],[Mill_Unplanned_Down_h]]=""),"",(cfg_HoursPerDay-tblPlant[[#This Row],[Mill_Planned_Maint_h]]-tblPlant[[#This Row],[Mill_Unplanned_Down_h]])/cfg_HoursPerDay)</f>
        <v/>
      </c>
      <c r="Y4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7">
      <c r="A47" s="54" t="n">
        <v>46064</v>
      </c>
      <c r="B47" s="55" t="n"/>
      <c r="C47" s="55" t="n"/>
      <c r="D47" s="56" t="n"/>
      <c r="E47" s="56" t="n"/>
      <c r="F47" s="55" t="n"/>
      <c r="G47" s="55" t="n"/>
      <c r="H47" s="57" t="n"/>
      <c r="I47" s="57" t="n"/>
      <c r="J47" s="57" t="n"/>
      <c r="K47" s="57" t="n"/>
      <c r="L47" s="55" t="n"/>
      <c r="M47" s="55" t="n"/>
      <c r="N47" s="55" t="n"/>
      <c r="O47" s="55" t="n"/>
      <c r="P47" s="55" t="n"/>
      <c r="Q47" s="55" t="n"/>
      <c r="R47" s="58" t="n"/>
      <c r="S47" s="59">
        <f>IF(OR(tblPlant[[#This Row],[Milled_t]]="",tblPlant[[#This Row],[Head_Grade_gpt]]=""),"",tblPlant[[#This Row],[Milled_t]]*tblPlant[[#This Row],[Head_Grade_gpt]]/cfg_TroyOz)</f>
        <v/>
      </c>
      <c r="T47" s="59">
        <f>IF(OR(tblPlant[[#This Row],[Milled_t]]="",tblPlant[[#This Row],[Tails_Grade_gpt]]=""),"",tblPlant[[#This Row],[Milled_t]]*tblPlant[[#This Row],[Tails_Grade_gpt]]/cfg_TroyOz)</f>
        <v/>
      </c>
      <c r="U47" s="59">
        <f>IF(OR(tblPlant[[#This Row],[Milled_t]]="",tblPlant[[#This Row],[Head_Grade_gpt]]="",tblPlant[[#This Row],[Tails_Grade_gpt]]=""),"",tblPlant[[#This Row],[Feed_oz]]-tblPlant[[#This Row],[Tails_oz]])</f>
        <v/>
      </c>
      <c r="V47" s="60">
        <f>IF(AND(ISNUMBER(tblPlant[[#This Row],[Recovered_oz]]),tblPlant[[#This Row],[Feed_oz]]&gt;0),tblPlant[[#This Row],[Recovered_oz]]/tblPlant[[#This Row],[Feed_oz]],"")</f>
        <v/>
      </c>
      <c r="W47" s="59">
        <f>IF(AND(tblPlant[[#This Row],[Milled_t]]&lt;&gt;"",tblPlant[[#This Row],[Mill_Run_h]]&gt;0),tblPlant[[#This Row],[Milled_t]]/tblPlant[[#This Row],[Mill_Run_h]],"")</f>
        <v/>
      </c>
      <c r="X47" s="60">
        <f>IF(AND(tblPlant[[#This Row],[Mill_Run_h]]="",tblPlant[[#This Row],[Mill_Planned_Maint_h]]="",tblPlant[[#This Row],[Mill_Unplanned_Down_h]]=""),"",(cfg_HoursPerDay-tblPlant[[#This Row],[Mill_Planned_Maint_h]]-tblPlant[[#This Row],[Mill_Unplanned_Down_h]])/cfg_HoursPerDay)</f>
        <v/>
      </c>
      <c r="Y4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8">
      <c r="A48" s="54" t="n">
        <v>46065</v>
      </c>
      <c r="B48" s="55" t="n"/>
      <c r="C48" s="55" t="n"/>
      <c r="D48" s="56" t="n"/>
      <c r="E48" s="56" t="n"/>
      <c r="F48" s="55" t="n"/>
      <c r="G48" s="55" t="n"/>
      <c r="H48" s="57" t="n"/>
      <c r="I48" s="57" t="n"/>
      <c r="J48" s="57" t="n"/>
      <c r="K48" s="57" t="n"/>
      <c r="L48" s="55" t="n"/>
      <c r="M48" s="55" t="n"/>
      <c r="N48" s="55" t="n"/>
      <c r="O48" s="55" t="n"/>
      <c r="P48" s="55" t="n"/>
      <c r="Q48" s="55" t="n"/>
      <c r="R48" s="58" t="n"/>
      <c r="S48" s="59">
        <f>IF(OR(tblPlant[[#This Row],[Milled_t]]="",tblPlant[[#This Row],[Head_Grade_gpt]]=""),"",tblPlant[[#This Row],[Milled_t]]*tblPlant[[#This Row],[Head_Grade_gpt]]/cfg_TroyOz)</f>
        <v/>
      </c>
      <c r="T48" s="59">
        <f>IF(OR(tblPlant[[#This Row],[Milled_t]]="",tblPlant[[#This Row],[Tails_Grade_gpt]]=""),"",tblPlant[[#This Row],[Milled_t]]*tblPlant[[#This Row],[Tails_Grade_gpt]]/cfg_TroyOz)</f>
        <v/>
      </c>
      <c r="U48" s="59">
        <f>IF(OR(tblPlant[[#This Row],[Milled_t]]="",tblPlant[[#This Row],[Head_Grade_gpt]]="",tblPlant[[#This Row],[Tails_Grade_gpt]]=""),"",tblPlant[[#This Row],[Feed_oz]]-tblPlant[[#This Row],[Tails_oz]])</f>
        <v/>
      </c>
      <c r="V48" s="60">
        <f>IF(AND(ISNUMBER(tblPlant[[#This Row],[Recovered_oz]]),tblPlant[[#This Row],[Feed_oz]]&gt;0),tblPlant[[#This Row],[Recovered_oz]]/tblPlant[[#This Row],[Feed_oz]],"")</f>
        <v/>
      </c>
      <c r="W48" s="59">
        <f>IF(AND(tblPlant[[#This Row],[Milled_t]]&lt;&gt;"",tblPlant[[#This Row],[Mill_Run_h]]&gt;0),tblPlant[[#This Row],[Milled_t]]/tblPlant[[#This Row],[Mill_Run_h]],"")</f>
        <v/>
      </c>
      <c r="X48" s="60">
        <f>IF(AND(tblPlant[[#This Row],[Mill_Run_h]]="",tblPlant[[#This Row],[Mill_Planned_Maint_h]]="",tblPlant[[#This Row],[Mill_Unplanned_Down_h]]=""),"",(cfg_HoursPerDay-tblPlant[[#This Row],[Mill_Planned_Maint_h]]-tblPlant[[#This Row],[Mill_Unplanned_Down_h]])/cfg_HoursPerDay)</f>
        <v/>
      </c>
      <c r="Y4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49">
      <c r="A49" s="54" t="n">
        <v>46066</v>
      </c>
      <c r="B49" s="55" t="n"/>
      <c r="C49" s="55" t="n"/>
      <c r="D49" s="56" t="n"/>
      <c r="E49" s="56" t="n"/>
      <c r="F49" s="55" t="n"/>
      <c r="G49" s="55" t="n"/>
      <c r="H49" s="57" t="n"/>
      <c r="I49" s="57" t="n"/>
      <c r="J49" s="57" t="n"/>
      <c r="K49" s="57" t="n"/>
      <c r="L49" s="55" t="n"/>
      <c r="M49" s="55" t="n"/>
      <c r="N49" s="55" t="n"/>
      <c r="O49" s="55" t="n"/>
      <c r="P49" s="55" t="n"/>
      <c r="Q49" s="55" t="n"/>
      <c r="R49" s="58" t="n"/>
      <c r="S49" s="59">
        <f>IF(OR(tblPlant[[#This Row],[Milled_t]]="",tblPlant[[#This Row],[Head_Grade_gpt]]=""),"",tblPlant[[#This Row],[Milled_t]]*tblPlant[[#This Row],[Head_Grade_gpt]]/cfg_TroyOz)</f>
        <v/>
      </c>
      <c r="T49" s="59">
        <f>IF(OR(tblPlant[[#This Row],[Milled_t]]="",tblPlant[[#This Row],[Tails_Grade_gpt]]=""),"",tblPlant[[#This Row],[Milled_t]]*tblPlant[[#This Row],[Tails_Grade_gpt]]/cfg_TroyOz)</f>
        <v/>
      </c>
      <c r="U49" s="59">
        <f>IF(OR(tblPlant[[#This Row],[Milled_t]]="",tblPlant[[#This Row],[Head_Grade_gpt]]="",tblPlant[[#This Row],[Tails_Grade_gpt]]=""),"",tblPlant[[#This Row],[Feed_oz]]-tblPlant[[#This Row],[Tails_oz]])</f>
        <v/>
      </c>
      <c r="V49" s="60">
        <f>IF(AND(ISNUMBER(tblPlant[[#This Row],[Recovered_oz]]),tblPlant[[#This Row],[Feed_oz]]&gt;0),tblPlant[[#This Row],[Recovered_oz]]/tblPlant[[#This Row],[Feed_oz]],"")</f>
        <v/>
      </c>
      <c r="W49" s="59">
        <f>IF(AND(tblPlant[[#This Row],[Milled_t]]&lt;&gt;"",tblPlant[[#This Row],[Mill_Run_h]]&gt;0),tblPlant[[#This Row],[Milled_t]]/tblPlant[[#This Row],[Mill_Run_h]],"")</f>
        <v/>
      </c>
      <c r="X49" s="60">
        <f>IF(AND(tblPlant[[#This Row],[Mill_Run_h]]="",tblPlant[[#This Row],[Mill_Planned_Maint_h]]="",tblPlant[[#This Row],[Mill_Unplanned_Down_h]]=""),"",(cfg_HoursPerDay-tblPlant[[#This Row],[Mill_Planned_Maint_h]]-tblPlant[[#This Row],[Mill_Unplanned_Down_h]])/cfg_HoursPerDay)</f>
        <v/>
      </c>
      <c r="Y4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0">
      <c r="A50" s="54" t="n">
        <v>46067</v>
      </c>
      <c r="B50" s="55" t="n"/>
      <c r="C50" s="55" t="n"/>
      <c r="D50" s="56" t="n"/>
      <c r="E50" s="56" t="n"/>
      <c r="F50" s="55" t="n"/>
      <c r="G50" s="55" t="n"/>
      <c r="H50" s="57" t="n"/>
      <c r="I50" s="57" t="n"/>
      <c r="J50" s="57" t="n"/>
      <c r="K50" s="57" t="n"/>
      <c r="L50" s="55" t="n"/>
      <c r="M50" s="55" t="n"/>
      <c r="N50" s="55" t="n"/>
      <c r="O50" s="55" t="n"/>
      <c r="P50" s="55" t="n"/>
      <c r="Q50" s="55" t="n"/>
      <c r="R50" s="58" t="n"/>
      <c r="S50" s="59">
        <f>IF(OR(tblPlant[[#This Row],[Milled_t]]="",tblPlant[[#This Row],[Head_Grade_gpt]]=""),"",tblPlant[[#This Row],[Milled_t]]*tblPlant[[#This Row],[Head_Grade_gpt]]/cfg_TroyOz)</f>
        <v/>
      </c>
      <c r="T50" s="59">
        <f>IF(OR(tblPlant[[#This Row],[Milled_t]]="",tblPlant[[#This Row],[Tails_Grade_gpt]]=""),"",tblPlant[[#This Row],[Milled_t]]*tblPlant[[#This Row],[Tails_Grade_gpt]]/cfg_TroyOz)</f>
        <v/>
      </c>
      <c r="U50" s="59">
        <f>IF(OR(tblPlant[[#This Row],[Milled_t]]="",tblPlant[[#This Row],[Head_Grade_gpt]]="",tblPlant[[#This Row],[Tails_Grade_gpt]]=""),"",tblPlant[[#This Row],[Feed_oz]]-tblPlant[[#This Row],[Tails_oz]])</f>
        <v/>
      </c>
      <c r="V50" s="60">
        <f>IF(AND(ISNUMBER(tblPlant[[#This Row],[Recovered_oz]]),tblPlant[[#This Row],[Feed_oz]]&gt;0),tblPlant[[#This Row],[Recovered_oz]]/tblPlant[[#This Row],[Feed_oz]],"")</f>
        <v/>
      </c>
      <c r="W50" s="59">
        <f>IF(AND(tblPlant[[#This Row],[Milled_t]]&lt;&gt;"",tblPlant[[#This Row],[Mill_Run_h]]&gt;0),tblPlant[[#This Row],[Milled_t]]/tblPlant[[#This Row],[Mill_Run_h]],"")</f>
        <v/>
      </c>
      <c r="X50" s="60">
        <f>IF(AND(tblPlant[[#This Row],[Mill_Run_h]]="",tblPlant[[#This Row],[Mill_Planned_Maint_h]]="",tblPlant[[#This Row],[Mill_Unplanned_Down_h]]=""),"",(cfg_HoursPerDay-tblPlant[[#This Row],[Mill_Planned_Maint_h]]-tblPlant[[#This Row],[Mill_Unplanned_Down_h]])/cfg_HoursPerDay)</f>
        <v/>
      </c>
      <c r="Y5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1">
      <c r="A51" s="54" t="n">
        <v>46068</v>
      </c>
      <c r="B51" s="55" t="n"/>
      <c r="C51" s="55" t="n"/>
      <c r="D51" s="56" t="n"/>
      <c r="E51" s="56" t="n"/>
      <c r="F51" s="55" t="n"/>
      <c r="G51" s="55" t="n"/>
      <c r="H51" s="57" t="n"/>
      <c r="I51" s="57" t="n"/>
      <c r="J51" s="57" t="n"/>
      <c r="K51" s="57" t="n"/>
      <c r="L51" s="55" t="n"/>
      <c r="M51" s="55" t="n"/>
      <c r="N51" s="55" t="n"/>
      <c r="O51" s="55" t="n"/>
      <c r="P51" s="55" t="n"/>
      <c r="Q51" s="55" t="n"/>
      <c r="R51" s="58" t="n"/>
      <c r="S51" s="59">
        <f>IF(OR(tblPlant[[#This Row],[Milled_t]]="",tblPlant[[#This Row],[Head_Grade_gpt]]=""),"",tblPlant[[#This Row],[Milled_t]]*tblPlant[[#This Row],[Head_Grade_gpt]]/cfg_TroyOz)</f>
        <v/>
      </c>
      <c r="T51" s="59">
        <f>IF(OR(tblPlant[[#This Row],[Milled_t]]="",tblPlant[[#This Row],[Tails_Grade_gpt]]=""),"",tblPlant[[#This Row],[Milled_t]]*tblPlant[[#This Row],[Tails_Grade_gpt]]/cfg_TroyOz)</f>
        <v/>
      </c>
      <c r="U51" s="59">
        <f>IF(OR(tblPlant[[#This Row],[Milled_t]]="",tblPlant[[#This Row],[Head_Grade_gpt]]="",tblPlant[[#This Row],[Tails_Grade_gpt]]=""),"",tblPlant[[#This Row],[Feed_oz]]-tblPlant[[#This Row],[Tails_oz]])</f>
        <v/>
      </c>
      <c r="V51" s="60">
        <f>IF(AND(ISNUMBER(tblPlant[[#This Row],[Recovered_oz]]),tblPlant[[#This Row],[Feed_oz]]&gt;0),tblPlant[[#This Row],[Recovered_oz]]/tblPlant[[#This Row],[Feed_oz]],"")</f>
        <v/>
      </c>
      <c r="W51" s="59">
        <f>IF(AND(tblPlant[[#This Row],[Milled_t]]&lt;&gt;"",tblPlant[[#This Row],[Mill_Run_h]]&gt;0),tblPlant[[#This Row],[Milled_t]]/tblPlant[[#This Row],[Mill_Run_h]],"")</f>
        <v/>
      </c>
      <c r="X51" s="60">
        <f>IF(AND(tblPlant[[#This Row],[Mill_Run_h]]="",tblPlant[[#This Row],[Mill_Planned_Maint_h]]="",tblPlant[[#This Row],[Mill_Unplanned_Down_h]]=""),"",(cfg_HoursPerDay-tblPlant[[#This Row],[Mill_Planned_Maint_h]]-tblPlant[[#This Row],[Mill_Unplanned_Down_h]])/cfg_HoursPerDay)</f>
        <v/>
      </c>
      <c r="Y5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2">
      <c r="A52" s="54" t="n">
        <v>46069</v>
      </c>
      <c r="B52" s="55" t="n"/>
      <c r="C52" s="55" t="n"/>
      <c r="D52" s="56" t="n"/>
      <c r="E52" s="56" t="n"/>
      <c r="F52" s="55" t="n"/>
      <c r="G52" s="55" t="n"/>
      <c r="H52" s="57" t="n"/>
      <c r="I52" s="57" t="n"/>
      <c r="J52" s="57" t="n"/>
      <c r="K52" s="57" t="n"/>
      <c r="L52" s="55" t="n"/>
      <c r="M52" s="55" t="n"/>
      <c r="N52" s="55" t="n"/>
      <c r="O52" s="55" t="n"/>
      <c r="P52" s="55" t="n"/>
      <c r="Q52" s="55" t="n"/>
      <c r="R52" s="58" t="n"/>
      <c r="S52" s="59">
        <f>IF(OR(tblPlant[[#This Row],[Milled_t]]="",tblPlant[[#This Row],[Head_Grade_gpt]]=""),"",tblPlant[[#This Row],[Milled_t]]*tblPlant[[#This Row],[Head_Grade_gpt]]/cfg_TroyOz)</f>
        <v/>
      </c>
      <c r="T52" s="59">
        <f>IF(OR(tblPlant[[#This Row],[Milled_t]]="",tblPlant[[#This Row],[Tails_Grade_gpt]]=""),"",tblPlant[[#This Row],[Milled_t]]*tblPlant[[#This Row],[Tails_Grade_gpt]]/cfg_TroyOz)</f>
        <v/>
      </c>
      <c r="U52" s="59">
        <f>IF(OR(tblPlant[[#This Row],[Milled_t]]="",tblPlant[[#This Row],[Head_Grade_gpt]]="",tblPlant[[#This Row],[Tails_Grade_gpt]]=""),"",tblPlant[[#This Row],[Feed_oz]]-tblPlant[[#This Row],[Tails_oz]])</f>
        <v/>
      </c>
      <c r="V52" s="60">
        <f>IF(AND(ISNUMBER(tblPlant[[#This Row],[Recovered_oz]]),tblPlant[[#This Row],[Feed_oz]]&gt;0),tblPlant[[#This Row],[Recovered_oz]]/tblPlant[[#This Row],[Feed_oz]],"")</f>
        <v/>
      </c>
      <c r="W52" s="59">
        <f>IF(AND(tblPlant[[#This Row],[Milled_t]]&lt;&gt;"",tblPlant[[#This Row],[Mill_Run_h]]&gt;0),tblPlant[[#This Row],[Milled_t]]/tblPlant[[#This Row],[Mill_Run_h]],"")</f>
        <v/>
      </c>
      <c r="X52" s="60">
        <f>IF(AND(tblPlant[[#This Row],[Mill_Run_h]]="",tblPlant[[#This Row],[Mill_Planned_Maint_h]]="",tblPlant[[#This Row],[Mill_Unplanned_Down_h]]=""),"",(cfg_HoursPerDay-tblPlant[[#This Row],[Mill_Planned_Maint_h]]-tblPlant[[#This Row],[Mill_Unplanned_Down_h]])/cfg_HoursPerDay)</f>
        <v/>
      </c>
      <c r="Y5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3">
      <c r="A53" s="54" t="n">
        <v>46070</v>
      </c>
      <c r="B53" s="55" t="n"/>
      <c r="C53" s="55" t="n"/>
      <c r="D53" s="56" t="n"/>
      <c r="E53" s="56" t="n"/>
      <c r="F53" s="55" t="n"/>
      <c r="G53" s="55" t="n"/>
      <c r="H53" s="57" t="n"/>
      <c r="I53" s="57" t="n"/>
      <c r="J53" s="57" t="n"/>
      <c r="K53" s="57" t="n"/>
      <c r="L53" s="55" t="n"/>
      <c r="M53" s="55" t="n"/>
      <c r="N53" s="55" t="n"/>
      <c r="O53" s="55" t="n"/>
      <c r="P53" s="55" t="n"/>
      <c r="Q53" s="55" t="n"/>
      <c r="R53" s="58" t="n"/>
      <c r="S53" s="59">
        <f>IF(OR(tblPlant[[#This Row],[Milled_t]]="",tblPlant[[#This Row],[Head_Grade_gpt]]=""),"",tblPlant[[#This Row],[Milled_t]]*tblPlant[[#This Row],[Head_Grade_gpt]]/cfg_TroyOz)</f>
        <v/>
      </c>
      <c r="T53" s="59">
        <f>IF(OR(tblPlant[[#This Row],[Milled_t]]="",tblPlant[[#This Row],[Tails_Grade_gpt]]=""),"",tblPlant[[#This Row],[Milled_t]]*tblPlant[[#This Row],[Tails_Grade_gpt]]/cfg_TroyOz)</f>
        <v/>
      </c>
      <c r="U53" s="59">
        <f>IF(OR(tblPlant[[#This Row],[Milled_t]]="",tblPlant[[#This Row],[Head_Grade_gpt]]="",tblPlant[[#This Row],[Tails_Grade_gpt]]=""),"",tblPlant[[#This Row],[Feed_oz]]-tblPlant[[#This Row],[Tails_oz]])</f>
        <v/>
      </c>
      <c r="V53" s="60">
        <f>IF(AND(ISNUMBER(tblPlant[[#This Row],[Recovered_oz]]),tblPlant[[#This Row],[Feed_oz]]&gt;0),tblPlant[[#This Row],[Recovered_oz]]/tblPlant[[#This Row],[Feed_oz]],"")</f>
        <v/>
      </c>
      <c r="W53" s="59">
        <f>IF(AND(tblPlant[[#This Row],[Milled_t]]&lt;&gt;"",tblPlant[[#This Row],[Mill_Run_h]]&gt;0),tblPlant[[#This Row],[Milled_t]]/tblPlant[[#This Row],[Mill_Run_h]],"")</f>
        <v/>
      </c>
      <c r="X53" s="60">
        <f>IF(AND(tblPlant[[#This Row],[Mill_Run_h]]="",tblPlant[[#This Row],[Mill_Planned_Maint_h]]="",tblPlant[[#This Row],[Mill_Unplanned_Down_h]]=""),"",(cfg_HoursPerDay-tblPlant[[#This Row],[Mill_Planned_Maint_h]]-tblPlant[[#This Row],[Mill_Unplanned_Down_h]])/cfg_HoursPerDay)</f>
        <v/>
      </c>
      <c r="Y5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4">
      <c r="A54" s="54" t="n">
        <v>46071</v>
      </c>
      <c r="B54" s="55" t="n"/>
      <c r="C54" s="55" t="n"/>
      <c r="D54" s="56" t="n"/>
      <c r="E54" s="56" t="n"/>
      <c r="F54" s="55" t="n"/>
      <c r="G54" s="55" t="n"/>
      <c r="H54" s="57" t="n"/>
      <c r="I54" s="57" t="n"/>
      <c r="J54" s="57" t="n"/>
      <c r="K54" s="57" t="n"/>
      <c r="L54" s="55" t="n"/>
      <c r="M54" s="55" t="n"/>
      <c r="N54" s="55" t="n"/>
      <c r="O54" s="55" t="n"/>
      <c r="P54" s="55" t="n"/>
      <c r="Q54" s="55" t="n"/>
      <c r="R54" s="58" t="n"/>
      <c r="S54" s="59">
        <f>IF(OR(tblPlant[[#This Row],[Milled_t]]="",tblPlant[[#This Row],[Head_Grade_gpt]]=""),"",tblPlant[[#This Row],[Milled_t]]*tblPlant[[#This Row],[Head_Grade_gpt]]/cfg_TroyOz)</f>
        <v/>
      </c>
      <c r="T54" s="59">
        <f>IF(OR(tblPlant[[#This Row],[Milled_t]]="",tblPlant[[#This Row],[Tails_Grade_gpt]]=""),"",tblPlant[[#This Row],[Milled_t]]*tblPlant[[#This Row],[Tails_Grade_gpt]]/cfg_TroyOz)</f>
        <v/>
      </c>
      <c r="U54" s="59">
        <f>IF(OR(tblPlant[[#This Row],[Milled_t]]="",tblPlant[[#This Row],[Head_Grade_gpt]]="",tblPlant[[#This Row],[Tails_Grade_gpt]]=""),"",tblPlant[[#This Row],[Feed_oz]]-tblPlant[[#This Row],[Tails_oz]])</f>
        <v/>
      </c>
      <c r="V54" s="60">
        <f>IF(AND(ISNUMBER(tblPlant[[#This Row],[Recovered_oz]]),tblPlant[[#This Row],[Feed_oz]]&gt;0),tblPlant[[#This Row],[Recovered_oz]]/tblPlant[[#This Row],[Feed_oz]],"")</f>
        <v/>
      </c>
      <c r="W54" s="59">
        <f>IF(AND(tblPlant[[#This Row],[Milled_t]]&lt;&gt;"",tblPlant[[#This Row],[Mill_Run_h]]&gt;0),tblPlant[[#This Row],[Milled_t]]/tblPlant[[#This Row],[Mill_Run_h]],"")</f>
        <v/>
      </c>
      <c r="X54" s="60">
        <f>IF(AND(tblPlant[[#This Row],[Mill_Run_h]]="",tblPlant[[#This Row],[Mill_Planned_Maint_h]]="",tblPlant[[#This Row],[Mill_Unplanned_Down_h]]=""),"",(cfg_HoursPerDay-tblPlant[[#This Row],[Mill_Planned_Maint_h]]-tblPlant[[#This Row],[Mill_Unplanned_Down_h]])/cfg_HoursPerDay)</f>
        <v/>
      </c>
      <c r="Y5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5">
      <c r="A55" s="54" t="n">
        <v>46072</v>
      </c>
      <c r="B55" s="55" t="n"/>
      <c r="C55" s="55" t="n"/>
      <c r="D55" s="56" t="n"/>
      <c r="E55" s="56" t="n"/>
      <c r="F55" s="55" t="n"/>
      <c r="G55" s="55" t="n"/>
      <c r="H55" s="57" t="n"/>
      <c r="I55" s="57" t="n"/>
      <c r="J55" s="57" t="n"/>
      <c r="K55" s="57" t="n"/>
      <c r="L55" s="55" t="n"/>
      <c r="M55" s="55" t="n"/>
      <c r="N55" s="55" t="n"/>
      <c r="O55" s="55" t="n"/>
      <c r="P55" s="55" t="n"/>
      <c r="Q55" s="55" t="n"/>
      <c r="R55" s="58" t="n"/>
      <c r="S55" s="59">
        <f>IF(OR(tblPlant[[#This Row],[Milled_t]]="",tblPlant[[#This Row],[Head_Grade_gpt]]=""),"",tblPlant[[#This Row],[Milled_t]]*tblPlant[[#This Row],[Head_Grade_gpt]]/cfg_TroyOz)</f>
        <v/>
      </c>
      <c r="T55" s="59">
        <f>IF(OR(tblPlant[[#This Row],[Milled_t]]="",tblPlant[[#This Row],[Tails_Grade_gpt]]=""),"",tblPlant[[#This Row],[Milled_t]]*tblPlant[[#This Row],[Tails_Grade_gpt]]/cfg_TroyOz)</f>
        <v/>
      </c>
      <c r="U55" s="59">
        <f>IF(OR(tblPlant[[#This Row],[Milled_t]]="",tblPlant[[#This Row],[Head_Grade_gpt]]="",tblPlant[[#This Row],[Tails_Grade_gpt]]=""),"",tblPlant[[#This Row],[Feed_oz]]-tblPlant[[#This Row],[Tails_oz]])</f>
        <v/>
      </c>
      <c r="V55" s="60">
        <f>IF(AND(ISNUMBER(tblPlant[[#This Row],[Recovered_oz]]),tblPlant[[#This Row],[Feed_oz]]&gt;0),tblPlant[[#This Row],[Recovered_oz]]/tblPlant[[#This Row],[Feed_oz]],"")</f>
        <v/>
      </c>
      <c r="W55" s="59">
        <f>IF(AND(tblPlant[[#This Row],[Milled_t]]&lt;&gt;"",tblPlant[[#This Row],[Mill_Run_h]]&gt;0),tblPlant[[#This Row],[Milled_t]]/tblPlant[[#This Row],[Mill_Run_h]],"")</f>
        <v/>
      </c>
      <c r="X55" s="60">
        <f>IF(AND(tblPlant[[#This Row],[Mill_Run_h]]="",tblPlant[[#This Row],[Mill_Planned_Maint_h]]="",tblPlant[[#This Row],[Mill_Unplanned_Down_h]]=""),"",(cfg_HoursPerDay-tblPlant[[#This Row],[Mill_Planned_Maint_h]]-tblPlant[[#This Row],[Mill_Unplanned_Down_h]])/cfg_HoursPerDay)</f>
        <v/>
      </c>
      <c r="Y5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6">
      <c r="A56" s="54" t="n">
        <v>46073</v>
      </c>
      <c r="B56" s="55" t="n"/>
      <c r="C56" s="55" t="n"/>
      <c r="D56" s="56" t="n"/>
      <c r="E56" s="56" t="n"/>
      <c r="F56" s="55" t="n"/>
      <c r="G56" s="55" t="n"/>
      <c r="H56" s="57" t="n"/>
      <c r="I56" s="57" t="n"/>
      <c r="J56" s="57" t="n"/>
      <c r="K56" s="57" t="n"/>
      <c r="L56" s="55" t="n"/>
      <c r="M56" s="55" t="n"/>
      <c r="N56" s="55" t="n"/>
      <c r="O56" s="55" t="n"/>
      <c r="P56" s="55" t="n"/>
      <c r="Q56" s="55" t="n"/>
      <c r="R56" s="58" t="n"/>
      <c r="S56" s="59">
        <f>IF(OR(tblPlant[[#This Row],[Milled_t]]="",tblPlant[[#This Row],[Head_Grade_gpt]]=""),"",tblPlant[[#This Row],[Milled_t]]*tblPlant[[#This Row],[Head_Grade_gpt]]/cfg_TroyOz)</f>
        <v/>
      </c>
      <c r="T56" s="59">
        <f>IF(OR(tblPlant[[#This Row],[Milled_t]]="",tblPlant[[#This Row],[Tails_Grade_gpt]]=""),"",tblPlant[[#This Row],[Milled_t]]*tblPlant[[#This Row],[Tails_Grade_gpt]]/cfg_TroyOz)</f>
        <v/>
      </c>
      <c r="U56" s="59">
        <f>IF(OR(tblPlant[[#This Row],[Milled_t]]="",tblPlant[[#This Row],[Head_Grade_gpt]]="",tblPlant[[#This Row],[Tails_Grade_gpt]]=""),"",tblPlant[[#This Row],[Feed_oz]]-tblPlant[[#This Row],[Tails_oz]])</f>
        <v/>
      </c>
      <c r="V56" s="60">
        <f>IF(AND(ISNUMBER(tblPlant[[#This Row],[Recovered_oz]]),tblPlant[[#This Row],[Feed_oz]]&gt;0),tblPlant[[#This Row],[Recovered_oz]]/tblPlant[[#This Row],[Feed_oz]],"")</f>
        <v/>
      </c>
      <c r="W56" s="59">
        <f>IF(AND(tblPlant[[#This Row],[Milled_t]]&lt;&gt;"",tblPlant[[#This Row],[Mill_Run_h]]&gt;0),tblPlant[[#This Row],[Milled_t]]/tblPlant[[#This Row],[Mill_Run_h]],"")</f>
        <v/>
      </c>
      <c r="X56" s="60">
        <f>IF(AND(tblPlant[[#This Row],[Mill_Run_h]]="",tblPlant[[#This Row],[Mill_Planned_Maint_h]]="",tblPlant[[#This Row],[Mill_Unplanned_Down_h]]=""),"",(cfg_HoursPerDay-tblPlant[[#This Row],[Mill_Planned_Maint_h]]-tblPlant[[#This Row],[Mill_Unplanned_Down_h]])/cfg_HoursPerDay)</f>
        <v/>
      </c>
      <c r="Y5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7">
      <c r="A57" s="54" t="n">
        <v>46074</v>
      </c>
      <c r="B57" s="55" t="n"/>
      <c r="C57" s="55" t="n"/>
      <c r="D57" s="56" t="n"/>
      <c r="E57" s="56" t="n"/>
      <c r="F57" s="55" t="n"/>
      <c r="G57" s="55" t="n"/>
      <c r="H57" s="57" t="n"/>
      <c r="I57" s="57" t="n"/>
      <c r="J57" s="57" t="n"/>
      <c r="K57" s="57" t="n"/>
      <c r="L57" s="55" t="n"/>
      <c r="M57" s="55" t="n"/>
      <c r="N57" s="55" t="n"/>
      <c r="O57" s="55" t="n"/>
      <c r="P57" s="55" t="n"/>
      <c r="Q57" s="55" t="n"/>
      <c r="R57" s="58" t="n"/>
      <c r="S57" s="59">
        <f>IF(OR(tblPlant[[#This Row],[Milled_t]]="",tblPlant[[#This Row],[Head_Grade_gpt]]=""),"",tblPlant[[#This Row],[Milled_t]]*tblPlant[[#This Row],[Head_Grade_gpt]]/cfg_TroyOz)</f>
        <v/>
      </c>
      <c r="T57" s="59">
        <f>IF(OR(tblPlant[[#This Row],[Milled_t]]="",tblPlant[[#This Row],[Tails_Grade_gpt]]=""),"",tblPlant[[#This Row],[Milled_t]]*tblPlant[[#This Row],[Tails_Grade_gpt]]/cfg_TroyOz)</f>
        <v/>
      </c>
      <c r="U57" s="59">
        <f>IF(OR(tblPlant[[#This Row],[Milled_t]]="",tblPlant[[#This Row],[Head_Grade_gpt]]="",tblPlant[[#This Row],[Tails_Grade_gpt]]=""),"",tblPlant[[#This Row],[Feed_oz]]-tblPlant[[#This Row],[Tails_oz]])</f>
        <v/>
      </c>
      <c r="V57" s="60">
        <f>IF(AND(ISNUMBER(tblPlant[[#This Row],[Recovered_oz]]),tblPlant[[#This Row],[Feed_oz]]&gt;0),tblPlant[[#This Row],[Recovered_oz]]/tblPlant[[#This Row],[Feed_oz]],"")</f>
        <v/>
      </c>
      <c r="W57" s="59">
        <f>IF(AND(tblPlant[[#This Row],[Milled_t]]&lt;&gt;"",tblPlant[[#This Row],[Mill_Run_h]]&gt;0),tblPlant[[#This Row],[Milled_t]]/tblPlant[[#This Row],[Mill_Run_h]],"")</f>
        <v/>
      </c>
      <c r="X57" s="60">
        <f>IF(AND(tblPlant[[#This Row],[Mill_Run_h]]="",tblPlant[[#This Row],[Mill_Planned_Maint_h]]="",tblPlant[[#This Row],[Mill_Unplanned_Down_h]]=""),"",(cfg_HoursPerDay-tblPlant[[#This Row],[Mill_Planned_Maint_h]]-tblPlant[[#This Row],[Mill_Unplanned_Down_h]])/cfg_HoursPerDay)</f>
        <v/>
      </c>
      <c r="Y5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8">
      <c r="A58" s="54" t="n">
        <v>46075</v>
      </c>
      <c r="B58" s="55" t="n"/>
      <c r="C58" s="55" t="n"/>
      <c r="D58" s="56" t="n"/>
      <c r="E58" s="56" t="n"/>
      <c r="F58" s="55" t="n"/>
      <c r="G58" s="55" t="n"/>
      <c r="H58" s="57" t="n"/>
      <c r="I58" s="57" t="n"/>
      <c r="J58" s="57" t="n"/>
      <c r="K58" s="57" t="n"/>
      <c r="L58" s="55" t="n"/>
      <c r="M58" s="55" t="n"/>
      <c r="N58" s="55" t="n"/>
      <c r="O58" s="55" t="n"/>
      <c r="P58" s="55" t="n"/>
      <c r="Q58" s="55" t="n"/>
      <c r="R58" s="58" t="n"/>
      <c r="S58" s="59">
        <f>IF(OR(tblPlant[[#This Row],[Milled_t]]="",tblPlant[[#This Row],[Head_Grade_gpt]]=""),"",tblPlant[[#This Row],[Milled_t]]*tblPlant[[#This Row],[Head_Grade_gpt]]/cfg_TroyOz)</f>
        <v/>
      </c>
      <c r="T58" s="59">
        <f>IF(OR(tblPlant[[#This Row],[Milled_t]]="",tblPlant[[#This Row],[Tails_Grade_gpt]]=""),"",tblPlant[[#This Row],[Milled_t]]*tblPlant[[#This Row],[Tails_Grade_gpt]]/cfg_TroyOz)</f>
        <v/>
      </c>
      <c r="U58" s="59">
        <f>IF(OR(tblPlant[[#This Row],[Milled_t]]="",tblPlant[[#This Row],[Head_Grade_gpt]]="",tblPlant[[#This Row],[Tails_Grade_gpt]]=""),"",tblPlant[[#This Row],[Feed_oz]]-tblPlant[[#This Row],[Tails_oz]])</f>
        <v/>
      </c>
      <c r="V58" s="60">
        <f>IF(AND(ISNUMBER(tblPlant[[#This Row],[Recovered_oz]]),tblPlant[[#This Row],[Feed_oz]]&gt;0),tblPlant[[#This Row],[Recovered_oz]]/tblPlant[[#This Row],[Feed_oz]],"")</f>
        <v/>
      </c>
      <c r="W58" s="59">
        <f>IF(AND(tblPlant[[#This Row],[Milled_t]]&lt;&gt;"",tblPlant[[#This Row],[Mill_Run_h]]&gt;0),tblPlant[[#This Row],[Milled_t]]/tblPlant[[#This Row],[Mill_Run_h]],"")</f>
        <v/>
      </c>
      <c r="X58" s="60">
        <f>IF(AND(tblPlant[[#This Row],[Mill_Run_h]]="",tblPlant[[#This Row],[Mill_Planned_Maint_h]]="",tblPlant[[#This Row],[Mill_Unplanned_Down_h]]=""),"",(cfg_HoursPerDay-tblPlant[[#This Row],[Mill_Planned_Maint_h]]-tblPlant[[#This Row],[Mill_Unplanned_Down_h]])/cfg_HoursPerDay)</f>
        <v/>
      </c>
      <c r="Y5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59">
      <c r="A59" s="54" t="n">
        <v>46076</v>
      </c>
      <c r="B59" s="55" t="n"/>
      <c r="C59" s="55" t="n"/>
      <c r="D59" s="56" t="n"/>
      <c r="E59" s="56" t="n"/>
      <c r="F59" s="55" t="n"/>
      <c r="G59" s="55" t="n"/>
      <c r="H59" s="57" t="n"/>
      <c r="I59" s="57" t="n"/>
      <c r="J59" s="57" t="n"/>
      <c r="K59" s="57" t="n"/>
      <c r="L59" s="55" t="n"/>
      <c r="M59" s="55" t="n"/>
      <c r="N59" s="55" t="n"/>
      <c r="O59" s="55" t="n"/>
      <c r="P59" s="55" t="n"/>
      <c r="Q59" s="55" t="n"/>
      <c r="R59" s="58" t="n"/>
      <c r="S59" s="59">
        <f>IF(OR(tblPlant[[#This Row],[Milled_t]]="",tblPlant[[#This Row],[Head_Grade_gpt]]=""),"",tblPlant[[#This Row],[Milled_t]]*tblPlant[[#This Row],[Head_Grade_gpt]]/cfg_TroyOz)</f>
        <v/>
      </c>
      <c r="T59" s="59">
        <f>IF(OR(tblPlant[[#This Row],[Milled_t]]="",tblPlant[[#This Row],[Tails_Grade_gpt]]=""),"",tblPlant[[#This Row],[Milled_t]]*tblPlant[[#This Row],[Tails_Grade_gpt]]/cfg_TroyOz)</f>
        <v/>
      </c>
      <c r="U59" s="59">
        <f>IF(OR(tblPlant[[#This Row],[Milled_t]]="",tblPlant[[#This Row],[Head_Grade_gpt]]="",tblPlant[[#This Row],[Tails_Grade_gpt]]=""),"",tblPlant[[#This Row],[Feed_oz]]-tblPlant[[#This Row],[Tails_oz]])</f>
        <v/>
      </c>
      <c r="V59" s="60">
        <f>IF(AND(ISNUMBER(tblPlant[[#This Row],[Recovered_oz]]),tblPlant[[#This Row],[Feed_oz]]&gt;0),tblPlant[[#This Row],[Recovered_oz]]/tblPlant[[#This Row],[Feed_oz]],"")</f>
        <v/>
      </c>
      <c r="W59" s="59">
        <f>IF(AND(tblPlant[[#This Row],[Milled_t]]&lt;&gt;"",tblPlant[[#This Row],[Mill_Run_h]]&gt;0),tblPlant[[#This Row],[Milled_t]]/tblPlant[[#This Row],[Mill_Run_h]],"")</f>
        <v/>
      </c>
      <c r="X59" s="60">
        <f>IF(AND(tblPlant[[#This Row],[Mill_Run_h]]="",tblPlant[[#This Row],[Mill_Planned_Maint_h]]="",tblPlant[[#This Row],[Mill_Unplanned_Down_h]]=""),"",(cfg_HoursPerDay-tblPlant[[#This Row],[Mill_Planned_Maint_h]]-tblPlant[[#This Row],[Mill_Unplanned_Down_h]])/cfg_HoursPerDay)</f>
        <v/>
      </c>
      <c r="Y5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0">
      <c r="A60" s="54" t="n">
        <v>46077</v>
      </c>
      <c r="B60" s="55" t="n"/>
      <c r="C60" s="55" t="n"/>
      <c r="D60" s="56" t="n"/>
      <c r="E60" s="56" t="n"/>
      <c r="F60" s="55" t="n"/>
      <c r="G60" s="55" t="n"/>
      <c r="H60" s="57" t="n"/>
      <c r="I60" s="57" t="n"/>
      <c r="J60" s="57" t="n"/>
      <c r="K60" s="57" t="n"/>
      <c r="L60" s="55" t="n"/>
      <c r="M60" s="55" t="n"/>
      <c r="N60" s="55" t="n"/>
      <c r="O60" s="55" t="n"/>
      <c r="P60" s="55" t="n"/>
      <c r="Q60" s="55" t="n"/>
      <c r="R60" s="58" t="n"/>
      <c r="S60" s="59">
        <f>IF(OR(tblPlant[[#This Row],[Milled_t]]="",tblPlant[[#This Row],[Head_Grade_gpt]]=""),"",tblPlant[[#This Row],[Milled_t]]*tblPlant[[#This Row],[Head_Grade_gpt]]/cfg_TroyOz)</f>
        <v/>
      </c>
      <c r="T60" s="59">
        <f>IF(OR(tblPlant[[#This Row],[Milled_t]]="",tblPlant[[#This Row],[Tails_Grade_gpt]]=""),"",tblPlant[[#This Row],[Milled_t]]*tblPlant[[#This Row],[Tails_Grade_gpt]]/cfg_TroyOz)</f>
        <v/>
      </c>
      <c r="U60" s="59">
        <f>IF(OR(tblPlant[[#This Row],[Milled_t]]="",tblPlant[[#This Row],[Head_Grade_gpt]]="",tblPlant[[#This Row],[Tails_Grade_gpt]]=""),"",tblPlant[[#This Row],[Feed_oz]]-tblPlant[[#This Row],[Tails_oz]])</f>
        <v/>
      </c>
      <c r="V60" s="60">
        <f>IF(AND(ISNUMBER(tblPlant[[#This Row],[Recovered_oz]]),tblPlant[[#This Row],[Feed_oz]]&gt;0),tblPlant[[#This Row],[Recovered_oz]]/tblPlant[[#This Row],[Feed_oz]],"")</f>
        <v/>
      </c>
      <c r="W60" s="59">
        <f>IF(AND(tblPlant[[#This Row],[Milled_t]]&lt;&gt;"",tblPlant[[#This Row],[Mill_Run_h]]&gt;0),tblPlant[[#This Row],[Milled_t]]/tblPlant[[#This Row],[Mill_Run_h]],"")</f>
        <v/>
      </c>
      <c r="X60" s="60">
        <f>IF(AND(tblPlant[[#This Row],[Mill_Run_h]]="",tblPlant[[#This Row],[Mill_Planned_Maint_h]]="",tblPlant[[#This Row],[Mill_Unplanned_Down_h]]=""),"",(cfg_HoursPerDay-tblPlant[[#This Row],[Mill_Planned_Maint_h]]-tblPlant[[#This Row],[Mill_Unplanned_Down_h]])/cfg_HoursPerDay)</f>
        <v/>
      </c>
      <c r="Y6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1">
      <c r="A61" s="54" t="n">
        <v>46078</v>
      </c>
      <c r="B61" s="55" t="n"/>
      <c r="C61" s="55" t="n"/>
      <c r="D61" s="56" t="n"/>
      <c r="E61" s="56" t="n"/>
      <c r="F61" s="55" t="n"/>
      <c r="G61" s="55" t="n"/>
      <c r="H61" s="57" t="n"/>
      <c r="I61" s="57" t="n"/>
      <c r="J61" s="57" t="n"/>
      <c r="K61" s="57" t="n"/>
      <c r="L61" s="55" t="n"/>
      <c r="M61" s="55" t="n"/>
      <c r="N61" s="55" t="n"/>
      <c r="O61" s="55" t="n"/>
      <c r="P61" s="55" t="n"/>
      <c r="Q61" s="55" t="n"/>
      <c r="R61" s="58" t="n"/>
      <c r="S61" s="59">
        <f>IF(OR(tblPlant[[#This Row],[Milled_t]]="",tblPlant[[#This Row],[Head_Grade_gpt]]=""),"",tblPlant[[#This Row],[Milled_t]]*tblPlant[[#This Row],[Head_Grade_gpt]]/cfg_TroyOz)</f>
        <v/>
      </c>
      <c r="T61" s="59">
        <f>IF(OR(tblPlant[[#This Row],[Milled_t]]="",tblPlant[[#This Row],[Tails_Grade_gpt]]=""),"",tblPlant[[#This Row],[Milled_t]]*tblPlant[[#This Row],[Tails_Grade_gpt]]/cfg_TroyOz)</f>
        <v/>
      </c>
      <c r="U61" s="59">
        <f>IF(OR(tblPlant[[#This Row],[Milled_t]]="",tblPlant[[#This Row],[Head_Grade_gpt]]="",tblPlant[[#This Row],[Tails_Grade_gpt]]=""),"",tblPlant[[#This Row],[Feed_oz]]-tblPlant[[#This Row],[Tails_oz]])</f>
        <v/>
      </c>
      <c r="V61" s="60">
        <f>IF(AND(ISNUMBER(tblPlant[[#This Row],[Recovered_oz]]),tblPlant[[#This Row],[Feed_oz]]&gt;0),tblPlant[[#This Row],[Recovered_oz]]/tblPlant[[#This Row],[Feed_oz]],"")</f>
        <v/>
      </c>
      <c r="W61" s="59">
        <f>IF(AND(tblPlant[[#This Row],[Milled_t]]&lt;&gt;"",tblPlant[[#This Row],[Mill_Run_h]]&gt;0),tblPlant[[#This Row],[Milled_t]]/tblPlant[[#This Row],[Mill_Run_h]],"")</f>
        <v/>
      </c>
      <c r="X61" s="60">
        <f>IF(AND(tblPlant[[#This Row],[Mill_Run_h]]="",tblPlant[[#This Row],[Mill_Planned_Maint_h]]="",tblPlant[[#This Row],[Mill_Unplanned_Down_h]]=""),"",(cfg_HoursPerDay-tblPlant[[#This Row],[Mill_Planned_Maint_h]]-tblPlant[[#This Row],[Mill_Unplanned_Down_h]])/cfg_HoursPerDay)</f>
        <v/>
      </c>
      <c r="Y6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2">
      <c r="A62" s="54" t="n">
        <v>46079</v>
      </c>
      <c r="B62" s="55" t="n"/>
      <c r="C62" s="55" t="n"/>
      <c r="D62" s="56" t="n"/>
      <c r="E62" s="56" t="n"/>
      <c r="F62" s="55" t="n"/>
      <c r="G62" s="55" t="n"/>
      <c r="H62" s="57" t="n"/>
      <c r="I62" s="57" t="n"/>
      <c r="J62" s="57" t="n"/>
      <c r="K62" s="57" t="n"/>
      <c r="L62" s="55" t="n"/>
      <c r="M62" s="55" t="n"/>
      <c r="N62" s="55" t="n"/>
      <c r="O62" s="55" t="n"/>
      <c r="P62" s="55" t="n"/>
      <c r="Q62" s="55" t="n"/>
      <c r="R62" s="58" t="n"/>
      <c r="S62" s="59">
        <f>IF(OR(tblPlant[[#This Row],[Milled_t]]="",tblPlant[[#This Row],[Head_Grade_gpt]]=""),"",tblPlant[[#This Row],[Milled_t]]*tblPlant[[#This Row],[Head_Grade_gpt]]/cfg_TroyOz)</f>
        <v/>
      </c>
      <c r="T62" s="59">
        <f>IF(OR(tblPlant[[#This Row],[Milled_t]]="",tblPlant[[#This Row],[Tails_Grade_gpt]]=""),"",tblPlant[[#This Row],[Milled_t]]*tblPlant[[#This Row],[Tails_Grade_gpt]]/cfg_TroyOz)</f>
        <v/>
      </c>
      <c r="U62" s="59">
        <f>IF(OR(tblPlant[[#This Row],[Milled_t]]="",tblPlant[[#This Row],[Head_Grade_gpt]]="",tblPlant[[#This Row],[Tails_Grade_gpt]]=""),"",tblPlant[[#This Row],[Feed_oz]]-tblPlant[[#This Row],[Tails_oz]])</f>
        <v/>
      </c>
      <c r="V62" s="60">
        <f>IF(AND(ISNUMBER(tblPlant[[#This Row],[Recovered_oz]]),tblPlant[[#This Row],[Feed_oz]]&gt;0),tblPlant[[#This Row],[Recovered_oz]]/tblPlant[[#This Row],[Feed_oz]],"")</f>
        <v/>
      </c>
      <c r="W62" s="59">
        <f>IF(AND(tblPlant[[#This Row],[Milled_t]]&lt;&gt;"",tblPlant[[#This Row],[Mill_Run_h]]&gt;0),tblPlant[[#This Row],[Milled_t]]/tblPlant[[#This Row],[Mill_Run_h]],"")</f>
        <v/>
      </c>
      <c r="X62" s="60">
        <f>IF(AND(tblPlant[[#This Row],[Mill_Run_h]]="",tblPlant[[#This Row],[Mill_Planned_Maint_h]]="",tblPlant[[#This Row],[Mill_Unplanned_Down_h]]=""),"",(cfg_HoursPerDay-tblPlant[[#This Row],[Mill_Planned_Maint_h]]-tblPlant[[#This Row],[Mill_Unplanned_Down_h]])/cfg_HoursPerDay)</f>
        <v/>
      </c>
      <c r="Y6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3">
      <c r="A63" s="54" t="n">
        <v>46080</v>
      </c>
      <c r="B63" s="55" t="n"/>
      <c r="C63" s="55" t="n"/>
      <c r="D63" s="56" t="n"/>
      <c r="E63" s="56" t="n"/>
      <c r="F63" s="55" t="n"/>
      <c r="G63" s="55" t="n"/>
      <c r="H63" s="57" t="n"/>
      <c r="I63" s="57" t="n"/>
      <c r="J63" s="57" t="n"/>
      <c r="K63" s="57" t="n"/>
      <c r="L63" s="55" t="n"/>
      <c r="M63" s="55" t="n"/>
      <c r="N63" s="55" t="n"/>
      <c r="O63" s="55" t="n"/>
      <c r="P63" s="55" t="n"/>
      <c r="Q63" s="55" t="n"/>
      <c r="R63" s="58" t="n"/>
      <c r="S63" s="59">
        <f>IF(OR(tblPlant[[#This Row],[Milled_t]]="",tblPlant[[#This Row],[Head_Grade_gpt]]=""),"",tblPlant[[#This Row],[Milled_t]]*tblPlant[[#This Row],[Head_Grade_gpt]]/cfg_TroyOz)</f>
        <v/>
      </c>
      <c r="T63" s="59">
        <f>IF(OR(tblPlant[[#This Row],[Milled_t]]="",tblPlant[[#This Row],[Tails_Grade_gpt]]=""),"",tblPlant[[#This Row],[Milled_t]]*tblPlant[[#This Row],[Tails_Grade_gpt]]/cfg_TroyOz)</f>
        <v/>
      </c>
      <c r="U63" s="59">
        <f>IF(OR(tblPlant[[#This Row],[Milled_t]]="",tblPlant[[#This Row],[Head_Grade_gpt]]="",tblPlant[[#This Row],[Tails_Grade_gpt]]=""),"",tblPlant[[#This Row],[Feed_oz]]-tblPlant[[#This Row],[Tails_oz]])</f>
        <v/>
      </c>
      <c r="V63" s="60">
        <f>IF(AND(ISNUMBER(tblPlant[[#This Row],[Recovered_oz]]),tblPlant[[#This Row],[Feed_oz]]&gt;0),tblPlant[[#This Row],[Recovered_oz]]/tblPlant[[#This Row],[Feed_oz]],"")</f>
        <v/>
      </c>
      <c r="W63" s="59">
        <f>IF(AND(tblPlant[[#This Row],[Milled_t]]&lt;&gt;"",tblPlant[[#This Row],[Mill_Run_h]]&gt;0),tblPlant[[#This Row],[Milled_t]]/tblPlant[[#This Row],[Mill_Run_h]],"")</f>
        <v/>
      </c>
      <c r="X63" s="60">
        <f>IF(AND(tblPlant[[#This Row],[Mill_Run_h]]="",tblPlant[[#This Row],[Mill_Planned_Maint_h]]="",tblPlant[[#This Row],[Mill_Unplanned_Down_h]]=""),"",(cfg_HoursPerDay-tblPlant[[#This Row],[Mill_Planned_Maint_h]]-tblPlant[[#This Row],[Mill_Unplanned_Down_h]])/cfg_HoursPerDay)</f>
        <v/>
      </c>
      <c r="Y6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4">
      <c r="A64" s="54" t="n">
        <v>46081</v>
      </c>
      <c r="B64" s="55" t="n"/>
      <c r="C64" s="55" t="n"/>
      <c r="D64" s="56" t="n"/>
      <c r="E64" s="56" t="n"/>
      <c r="F64" s="55" t="n"/>
      <c r="G64" s="55" t="n"/>
      <c r="H64" s="57" t="n"/>
      <c r="I64" s="57" t="n"/>
      <c r="J64" s="57" t="n"/>
      <c r="K64" s="57" t="n"/>
      <c r="L64" s="55" t="n"/>
      <c r="M64" s="55" t="n"/>
      <c r="N64" s="55" t="n"/>
      <c r="O64" s="55" t="n"/>
      <c r="P64" s="55" t="n"/>
      <c r="Q64" s="55" t="n"/>
      <c r="R64" s="58" t="n"/>
      <c r="S64" s="59">
        <f>IF(OR(tblPlant[[#This Row],[Milled_t]]="",tblPlant[[#This Row],[Head_Grade_gpt]]=""),"",tblPlant[[#This Row],[Milled_t]]*tblPlant[[#This Row],[Head_Grade_gpt]]/cfg_TroyOz)</f>
        <v/>
      </c>
      <c r="T64" s="59">
        <f>IF(OR(tblPlant[[#This Row],[Milled_t]]="",tblPlant[[#This Row],[Tails_Grade_gpt]]=""),"",tblPlant[[#This Row],[Milled_t]]*tblPlant[[#This Row],[Tails_Grade_gpt]]/cfg_TroyOz)</f>
        <v/>
      </c>
      <c r="U64" s="59">
        <f>IF(OR(tblPlant[[#This Row],[Milled_t]]="",tblPlant[[#This Row],[Head_Grade_gpt]]="",tblPlant[[#This Row],[Tails_Grade_gpt]]=""),"",tblPlant[[#This Row],[Feed_oz]]-tblPlant[[#This Row],[Tails_oz]])</f>
        <v/>
      </c>
      <c r="V64" s="60">
        <f>IF(AND(ISNUMBER(tblPlant[[#This Row],[Recovered_oz]]),tblPlant[[#This Row],[Feed_oz]]&gt;0),tblPlant[[#This Row],[Recovered_oz]]/tblPlant[[#This Row],[Feed_oz]],"")</f>
        <v/>
      </c>
      <c r="W64" s="59">
        <f>IF(AND(tblPlant[[#This Row],[Milled_t]]&lt;&gt;"",tblPlant[[#This Row],[Mill_Run_h]]&gt;0),tblPlant[[#This Row],[Milled_t]]/tblPlant[[#This Row],[Mill_Run_h]],"")</f>
        <v/>
      </c>
      <c r="X64" s="60">
        <f>IF(AND(tblPlant[[#This Row],[Mill_Run_h]]="",tblPlant[[#This Row],[Mill_Planned_Maint_h]]="",tblPlant[[#This Row],[Mill_Unplanned_Down_h]]=""),"",(cfg_HoursPerDay-tblPlant[[#This Row],[Mill_Planned_Maint_h]]-tblPlant[[#This Row],[Mill_Unplanned_Down_h]])/cfg_HoursPerDay)</f>
        <v/>
      </c>
      <c r="Y6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5">
      <c r="A65" s="54" t="n">
        <v>46082</v>
      </c>
      <c r="B65" s="55" t="n"/>
      <c r="C65" s="55" t="n"/>
      <c r="D65" s="56" t="n"/>
      <c r="E65" s="56" t="n"/>
      <c r="F65" s="55" t="n"/>
      <c r="G65" s="55" t="n"/>
      <c r="H65" s="57" t="n"/>
      <c r="I65" s="57" t="n"/>
      <c r="J65" s="57" t="n"/>
      <c r="K65" s="57" t="n"/>
      <c r="L65" s="55" t="n"/>
      <c r="M65" s="55" t="n"/>
      <c r="N65" s="55" t="n"/>
      <c r="O65" s="55" t="n"/>
      <c r="P65" s="55" t="n"/>
      <c r="Q65" s="55" t="n"/>
      <c r="R65" s="58" t="n"/>
      <c r="S65" s="59">
        <f>IF(OR(tblPlant[[#This Row],[Milled_t]]="",tblPlant[[#This Row],[Head_Grade_gpt]]=""),"",tblPlant[[#This Row],[Milled_t]]*tblPlant[[#This Row],[Head_Grade_gpt]]/cfg_TroyOz)</f>
        <v/>
      </c>
      <c r="T65" s="59">
        <f>IF(OR(tblPlant[[#This Row],[Milled_t]]="",tblPlant[[#This Row],[Tails_Grade_gpt]]=""),"",tblPlant[[#This Row],[Milled_t]]*tblPlant[[#This Row],[Tails_Grade_gpt]]/cfg_TroyOz)</f>
        <v/>
      </c>
      <c r="U65" s="59">
        <f>IF(OR(tblPlant[[#This Row],[Milled_t]]="",tblPlant[[#This Row],[Head_Grade_gpt]]="",tblPlant[[#This Row],[Tails_Grade_gpt]]=""),"",tblPlant[[#This Row],[Feed_oz]]-tblPlant[[#This Row],[Tails_oz]])</f>
        <v/>
      </c>
      <c r="V65" s="60">
        <f>IF(AND(ISNUMBER(tblPlant[[#This Row],[Recovered_oz]]),tblPlant[[#This Row],[Feed_oz]]&gt;0),tblPlant[[#This Row],[Recovered_oz]]/tblPlant[[#This Row],[Feed_oz]],"")</f>
        <v/>
      </c>
      <c r="W65" s="59">
        <f>IF(AND(tblPlant[[#This Row],[Milled_t]]&lt;&gt;"",tblPlant[[#This Row],[Mill_Run_h]]&gt;0),tblPlant[[#This Row],[Milled_t]]/tblPlant[[#This Row],[Mill_Run_h]],"")</f>
        <v/>
      </c>
      <c r="X65" s="60">
        <f>IF(AND(tblPlant[[#This Row],[Mill_Run_h]]="",tblPlant[[#This Row],[Mill_Planned_Maint_h]]="",tblPlant[[#This Row],[Mill_Unplanned_Down_h]]=""),"",(cfg_HoursPerDay-tblPlant[[#This Row],[Mill_Planned_Maint_h]]-tblPlant[[#This Row],[Mill_Unplanned_Down_h]])/cfg_HoursPerDay)</f>
        <v/>
      </c>
      <c r="Y6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6">
      <c r="A66" s="54" t="n">
        <v>46083</v>
      </c>
      <c r="B66" s="55" t="n"/>
      <c r="C66" s="55" t="n"/>
      <c r="D66" s="56" t="n"/>
      <c r="E66" s="56" t="n"/>
      <c r="F66" s="55" t="n"/>
      <c r="G66" s="55" t="n"/>
      <c r="H66" s="57" t="n"/>
      <c r="I66" s="57" t="n"/>
      <c r="J66" s="57" t="n"/>
      <c r="K66" s="57" t="n"/>
      <c r="L66" s="55" t="n"/>
      <c r="M66" s="55" t="n"/>
      <c r="N66" s="55" t="n"/>
      <c r="O66" s="55" t="n"/>
      <c r="P66" s="55" t="n"/>
      <c r="Q66" s="55" t="n"/>
      <c r="R66" s="58" t="n"/>
      <c r="S66" s="59">
        <f>IF(OR(tblPlant[[#This Row],[Milled_t]]="",tblPlant[[#This Row],[Head_Grade_gpt]]=""),"",tblPlant[[#This Row],[Milled_t]]*tblPlant[[#This Row],[Head_Grade_gpt]]/cfg_TroyOz)</f>
        <v/>
      </c>
      <c r="T66" s="59">
        <f>IF(OR(tblPlant[[#This Row],[Milled_t]]="",tblPlant[[#This Row],[Tails_Grade_gpt]]=""),"",tblPlant[[#This Row],[Milled_t]]*tblPlant[[#This Row],[Tails_Grade_gpt]]/cfg_TroyOz)</f>
        <v/>
      </c>
      <c r="U66" s="59">
        <f>IF(OR(tblPlant[[#This Row],[Milled_t]]="",tblPlant[[#This Row],[Head_Grade_gpt]]="",tblPlant[[#This Row],[Tails_Grade_gpt]]=""),"",tblPlant[[#This Row],[Feed_oz]]-tblPlant[[#This Row],[Tails_oz]])</f>
        <v/>
      </c>
      <c r="V66" s="60">
        <f>IF(AND(ISNUMBER(tblPlant[[#This Row],[Recovered_oz]]),tblPlant[[#This Row],[Feed_oz]]&gt;0),tblPlant[[#This Row],[Recovered_oz]]/tblPlant[[#This Row],[Feed_oz]],"")</f>
        <v/>
      </c>
      <c r="W66" s="59">
        <f>IF(AND(tblPlant[[#This Row],[Milled_t]]&lt;&gt;"",tblPlant[[#This Row],[Mill_Run_h]]&gt;0),tblPlant[[#This Row],[Milled_t]]/tblPlant[[#This Row],[Mill_Run_h]],"")</f>
        <v/>
      </c>
      <c r="X66" s="60">
        <f>IF(AND(tblPlant[[#This Row],[Mill_Run_h]]="",tblPlant[[#This Row],[Mill_Planned_Maint_h]]="",tblPlant[[#This Row],[Mill_Unplanned_Down_h]]=""),"",(cfg_HoursPerDay-tblPlant[[#This Row],[Mill_Planned_Maint_h]]-tblPlant[[#This Row],[Mill_Unplanned_Down_h]])/cfg_HoursPerDay)</f>
        <v/>
      </c>
      <c r="Y6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7">
      <c r="A67" s="54" t="n">
        <v>46084</v>
      </c>
      <c r="B67" s="55" t="n"/>
      <c r="C67" s="55" t="n"/>
      <c r="D67" s="56" t="n"/>
      <c r="E67" s="56" t="n"/>
      <c r="F67" s="55" t="n"/>
      <c r="G67" s="55" t="n"/>
      <c r="H67" s="57" t="n"/>
      <c r="I67" s="57" t="n"/>
      <c r="J67" s="57" t="n"/>
      <c r="K67" s="57" t="n"/>
      <c r="L67" s="55" t="n"/>
      <c r="M67" s="55" t="n"/>
      <c r="N67" s="55" t="n"/>
      <c r="O67" s="55" t="n"/>
      <c r="P67" s="55" t="n"/>
      <c r="Q67" s="55" t="n"/>
      <c r="R67" s="58" t="n"/>
      <c r="S67" s="59">
        <f>IF(OR(tblPlant[[#This Row],[Milled_t]]="",tblPlant[[#This Row],[Head_Grade_gpt]]=""),"",tblPlant[[#This Row],[Milled_t]]*tblPlant[[#This Row],[Head_Grade_gpt]]/cfg_TroyOz)</f>
        <v/>
      </c>
      <c r="T67" s="59">
        <f>IF(OR(tblPlant[[#This Row],[Milled_t]]="",tblPlant[[#This Row],[Tails_Grade_gpt]]=""),"",tblPlant[[#This Row],[Milled_t]]*tblPlant[[#This Row],[Tails_Grade_gpt]]/cfg_TroyOz)</f>
        <v/>
      </c>
      <c r="U67" s="59">
        <f>IF(OR(tblPlant[[#This Row],[Milled_t]]="",tblPlant[[#This Row],[Head_Grade_gpt]]="",tblPlant[[#This Row],[Tails_Grade_gpt]]=""),"",tblPlant[[#This Row],[Feed_oz]]-tblPlant[[#This Row],[Tails_oz]])</f>
        <v/>
      </c>
      <c r="V67" s="60">
        <f>IF(AND(ISNUMBER(tblPlant[[#This Row],[Recovered_oz]]),tblPlant[[#This Row],[Feed_oz]]&gt;0),tblPlant[[#This Row],[Recovered_oz]]/tblPlant[[#This Row],[Feed_oz]],"")</f>
        <v/>
      </c>
      <c r="W67" s="59">
        <f>IF(AND(tblPlant[[#This Row],[Milled_t]]&lt;&gt;"",tblPlant[[#This Row],[Mill_Run_h]]&gt;0),tblPlant[[#This Row],[Milled_t]]/tblPlant[[#This Row],[Mill_Run_h]],"")</f>
        <v/>
      </c>
      <c r="X67" s="60">
        <f>IF(AND(tblPlant[[#This Row],[Mill_Run_h]]="",tblPlant[[#This Row],[Mill_Planned_Maint_h]]="",tblPlant[[#This Row],[Mill_Unplanned_Down_h]]=""),"",(cfg_HoursPerDay-tblPlant[[#This Row],[Mill_Planned_Maint_h]]-tblPlant[[#This Row],[Mill_Unplanned_Down_h]])/cfg_HoursPerDay)</f>
        <v/>
      </c>
      <c r="Y6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8">
      <c r="A68" s="54" t="n">
        <v>46085</v>
      </c>
      <c r="B68" s="55" t="n"/>
      <c r="C68" s="55" t="n"/>
      <c r="D68" s="56" t="n"/>
      <c r="E68" s="56" t="n"/>
      <c r="F68" s="55" t="n"/>
      <c r="G68" s="55" t="n"/>
      <c r="H68" s="57" t="n"/>
      <c r="I68" s="57" t="n"/>
      <c r="J68" s="57" t="n"/>
      <c r="K68" s="57" t="n"/>
      <c r="L68" s="55" t="n"/>
      <c r="M68" s="55" t="n"/>
      <c r="N68" s="55" t="n"/>
      <c r="O68" s="55" t="n"/>
      <c r="P68" s="55" t="n"/>
      <c r="Q68" s="55" t="n"/>
      <c r="R68" s="58" t="n"/>
      <c r="S68" s="59">
        <f>IF(OR(tblPlant[[#This Row],[Milled_t]]="",tblPlant[[#This Row],[Head_Grade_gpt]]=""),"",tblPlant[[#This Row],[Milled_t]]*tblPlant[[#This Row],[Head_Grade_gpt]]/cfg_TroyOz)</f>
        <v/>
      </c>
      <c r="T68" s="59">
        <f>IF(OR(tblPlant[[#This Row],[Milled_t]]="",tblPlant[[#This Row],[Tails_Grade_gpt]]=""),"",tblPlant[[#This Row],[Milled_t]]*tblPlant[[#This Row],[Tails_Grade_gpt]]/cfg_TroyOz)</f>
        <v/>
      </c>
      <c r="U68" s="59">
        <f>IF(OR(tblPlant[[#This Row],[Milled_t]]="",tblPlant[[#This Row],[Head_Grade_gpt]]="",tblPlant[[#This Row],[Tails_Grade_gpt]]=""),"",tblPlant[[#This Row],[Feed_oz]]-tblPlant[[#This Row],[Tails_oz]])</f>
        <v/>
      </c>
      <c r="V68" s="60">
        <f>IF(AND(ISNUMBER(tblPlant[[#This Row],[Recovered_oz]]),tblPlant[[#This Row],[Feed_oz]]&gt;0),tblPlant[[#This Row],[Recovered_oz]]/tblPlant[[#This Row],[Feed_oz]],"")</f>
        <v/>
      </c>
      <c r="W68" s="59">
        <f>IF(AND(tblPlant[[#This Row],[Milled_t]]&lt;&gt;"",tblPlant[[#This Row],[Mill_Run_h]]&gt;0),tblPlant[[#This Row],[Milled_t]]/tblPlant[[#This Row],[Mill_Run_h]],"")</f>
        <v/>
      </c>
      <c r="X68" s="60">
        <f>IF(AND(tblPlant[[#This Row],[Mill_Run_h]]="",tblPlant[[#This Row],[Mill_Planned_Maint_h]]="",tblPlant[[#This Row],[Mill_Unplanned_Down_h]]=""),"",(cfg_HoursPerDay-tblPlant[[#This Row],[Mill_Planned_Maint_h]]-tblPlant[[#This Row],[Mill_Unplanned_Down_h]])/cfg_HoursPerDay)</f>
        <v/>
      </c>
      <c r="Y6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69">
      <c r="A69" s="54" t="n">
        <v>46086</v>
      </c>
      <c r="B69" s="55" t="n"/>
      <c r="C69" s="55" t="n"/>
      <c r="D69" s="56" t="n"/>
      <c r="E69" s="56" t="n"/>
      <c r="F69" s="55" t="n"/>
      <c r="G69" s="55" t="n"/>
      <c r="H69" s="57" t="n"/>
      <c r="I69" s="57" t="n"/>
      <c r="J69" s="57" t="n"/>
      <c r="K69" s="57" t="n"/>
      <c r="L69" s="55" t="n"/>
      <c r="M69" s="55" t="n"/>
      <c r="N69" s="55" t="n"/>
      <c r="O69" s="55" t="n"/>
      <c r="P69" s="55" t="n"/>
      <c r="Q69" s="55" t="n"/>
      <c r="R69" s="58" t="n"/>
      <c r="S69" s="59">
        <f>IF(OR(tblPlant[[#This Row],[Milled_t]]="",tblPlant[[#This Row],[Head_Grade_gpt]]=""),"",tblPlant[[#This Row],[Milled_t]]*tblPlant[[#This Row],[Head_Grade_gpt]]/cfg_TroyOz)</f>
        <v/>
      </c>
      <c r="T69" s="59">
        <f>IF(OR(tblPlant[[#This Row],[Milled_t]]="",tblPlant[[#This Row],[Tails_Grade_gpt]]=""),"",tblPlant[[#This Row],[Milled_t]]*tblPlant[[#This Row],[Tails_Grade_gpt]]/cfg_TroyOz)</f>
        <v/>
      </c>
      <c r="U69" s="59">
        <f>IF(OR(tblPlant[[#This Row],[Milled_t]]="",tblPlant[[#This Row],[Head_Grade_gpt]]="",tblPlant[[#This Row],[Tails_Grade_gpt]]=""),"",tblPlant[[#This Row],[Feed_oz]]-tblPlant[[#This Row],[Tails_oz]])</f>
        <v/>
      </c>
      <c r="V69" s="60">
        <f>IF(AND(ISNUMBER(tblPlant[[#This Row],[Recovered_oz]]),tblPlant[[#This Row],[Feed_oz]]&gt;0),tblPlant[[#This Row],[Recovered_oz]]/tblPlant[[#This Row],[Feed_oz]],"")</f>
        <v/>
      </c>
      <c r="W69" s="59">
        <f>IF(AND(tblPlant[[#This Row],[Milled_t]]&lt;&gt;"",tblPlant[[#This Row],[Mill_Run_h]]&gt;0),tblPlant[[#This Row],[Milled_t]]/tblPlant[[#This Row],[Mill_Run_h]],"")</f>
        <v/>
      </c>
      <c r="X69" s="60">
        <f>IF(AND(tblPlant[[#This Row],[Mill_Run_h]]="",tblPlant[[#This Row],[Mill_Planned_Maint_h]]="",tblPlant[[#This Row],[Mill_Unplanned_Down_h]]=""),"",(cfg_HoursPerDay-tblPlant[[#This Row],[Mill_Planned_Maint_h]]-tblPlant[[#This Row],[Mill_Unplanned_Down_h]])/cfg_HoursPerDay)</f>
        <v/>
      </c>
      <c r="Y6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0">
      <c r="A70" s="54" t="n">
        <v>46087</v>
      </c>
      <c r="B70" s="55" t="n"/>
      <c r="C70" s="55" t="n"/>
      <c r="D70" s="56" t="n"/>
      <c r="E70" s="56" t="n"/>
      <c r="F70" s="55" t="n"/>
      <c r="G70" s="55" t="n"/>
      <c r="H70" s="57" t="n"/>
      <c r="I70" s="57" t="n"/>
      <c r="J70" s="57" t="n"/>
      <c r="K70" s="57" t="n"/>
      <c r="L70" s="55" t="n"/>
      <c r="M70" s="55" t="n"/>
      <c r="N70" s="55" t="n"/>
      <c r="O70" s="55" t="n"/>
      <c r="P70" s="55" t="n"/>
      <c r="Q70" s="55" t="n"/>
      <c r="R70" s="58" t="n"/>
      <c r="S70" s="59">
        <f>IF(OR(tblPlant[[#This Row],[Milled_t]]="",tblPlant[[#This Row],[Head_Grade_gpt]]=""),"",tblPlant[[#This Row],[Milled_t]]*tblPlant[[#This Row],[Head_Grade_gpt]]/cfg_TroyOz)</f>
        <v/>
      </c>
      <c r="T70" s="59">
        <f>IF(OR(tblPlant[[#This Row],[Milled_t]]="",tblPlant[[#This Row],[Tails_Grade_gpt]]=""),"",tblPlant[[#This Row],[Milled_t]]*tblPlant[[#This Row],[Tails_Grade_gpt]]/cfg_TroyOz)</f>
        <v/>
      </c>
      <c r="U70" s="59">
        <f>IF(OR(tblPlant[[#This Row],[Milled_t]]="",tblPlant[[#This Row],[Head_Grade_gpt]]="",tblPlant[[#This Row],[Tails_Grade_gpt]]=""),"",tblPlant[[#This Row],[Feed_oz]]-tblPlant[[#This Row],[Tails_oz]])</f>
        <v/>
      </c>
      <c r="V70" s="60">
        <f>IF(AND(ISNUMBER(tblPlant[[#This Row],[Recovered_oz]]),tblPlant[[#This Row],[Feed_oz]]&gt;0),tblPlant[[#This Row],[Recovered_oz]]/tblPlant[[#This Row],[Feed_oz]],"")</f>
        <v/>
      </c>
      <c r="W70" s="59">
        <f>IF(AND(tblPlant[[#This Row],[Milled_t]]&lt;&gt;"",tblPlant[[#This Row],[Mill_Run_h]]&gt;0),tblPlant[[#This Row],[Milled_t]]/tblPlant[[#This Row],[Mill_Run_h]],"")</f>
        <v/>
      </c>
      <c r="X70" s="60">
        <f>IF(AND(tblPlant[[#This Row],[Mill_Run_h]]="",tblPlant[[#This Row],[Mill_Planned_Maint_h]]="",tblPlant[[#This Row],[Mill_Unplanned_Down_h]]=""),"",(cfg_HoursPerDay-tblPlant[[#This Row],[Mill_Planned_Maint_h]]-tblPlant[[#This Row],[Mill_Unplanned_Down_h]])/cfg_HoursPerDay)</f>
        <v/>
      </c>
      <c r="Y7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1">
      <c r="A71" s="54" t="n">
        <v>46088</v>
      </c>
      <c r="B71" s="55" t="n"/>
      <c r="C71" s="55" t="n"/>
      <c r="D71" s="56" t="n"/>
      <c r="E71" s="56" t="n"/>
      <c r="F71" s="55" t="n"/>
      <c r="G71" s="55" t="n"/>
      <c r="H71" s="57" t="n"/>
      <c r="I71" s="57" t="n"/>
      <c r="J71" s="57" t="n"/>
      <c r="K71" s="57" t="n"/>
      <c r="L71" s="55" t="n"/>
      <c r="M71" s="55" t="n"/>
      <c r="N71" s="55" t="n"/>
      <c r="O71" s="55" t="n"/>
      <c r="P71" s="55" t="n"/>
      <c r="Q71" s="55" t="n"/>
      <c r="R71" s="58" t="n"/>
      <c r="S71" s="59">
        <f>IF(OR(tblPlant[[#This Row],[Milled_t]]="",tblPlant[[#This Row],[Head_Grade_gpt]]=""),"",tblPlant[[#This Row],[Milled_t]]*tblPlant[[#This Row],[Head_Grade_gpt]]/cfg_TroyOz)</f>
        <v/>
      </c>
      <c r="T71" s="59">
        <f>IF(OR(tblPlant[[#This Row],[Milled_t]]="",tblPlant[[#This Row],[Tails_Grade_gpt]]=""),"",tblPlant[[#This Row],[Milled_t]]*tblPlant[[#This Row],[Tails_Grade_gpt]]/cfg_TroyOz)</f>
        <v/>
      </c>
      <c r="U71" s="59">
        <f>IF(OR(tblPlant[[#This Row],[Milled_t]]="",tblPlant[[#This Row],[Head_Grade_gpt]]="",tblPlant[[#This Row],[Tails_Grade_gpt]]=""),"",tblPlant[[#This Row],[Feed_oz]]-tblPlant[[#This Row],[Tails_oz]])</f>
        <v/>
      </c>
      <c r="V71" s="60">
        <f>IF(AND(ISNUMBER(tblPlant[[#This Row],[Recovered_oz]]),tblPlant[[#This Row],[Feed_oz]]&gt;0),tblPlant[[#This Row],[Recovered_oz]]/tblPlant[[#This Row],[Feed_oz]],"")</f>
        <v/>
      </c>
      <c r="W71" s="59">
        <f>IF(AND(tblPlant[[#This Row],[Milled_t]]&lt;&gt;"",tblPlant[[#This Row],[Mill_Run_h]]&gt;0),tblPlant[[#This Row],[Milled_t]]/tblPlant[[#This Row],[Mill_Run_h]],"")</f>
        <v/>
      </c>
      <c r="X71" s="60">
        <f>IF(AND(tblPlant[[#This Row],[Mill_Run_h]]="",tblPlant[[#This Row],[Mill_Planned_Maint_h]]="",tblPlant[[#This Row],[Mill_Unplanned_Down_h]]=""),"",(cfg_HoursPerDay-tblPlant[[#This Row],[Mill_Planned_Maint_h]]-tblPlant[[#This Row],[Mill_Unplanned_Down_h]])/cfg_HoursPerDay)</f>
        <v/>
      </c>
      <c r="Y7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2">
      <c r="A72" s="54" t="n">
        <v>46089</v>
      </c>
      <c r="B72" s="55" t="n"/>
      <c r="C72" s="55" t="n"/>
      <c r="D72" s="56" t="n"/>
      <c r="E72" s="56" t="n"/>
      <c r="F72" s="55" t="n"/>
      <c r="G72" s="55" t="n"/>
      <c r="H72" s="57" t="n"/>
      <c r="I72" s="57" t="n"/>
      <c r="J72" s="57" t="n"/>
      <c r="K72" s="57" t="n"/>
      <c r="L72" s="55" t="n"/>
      <c r="M72" s="55" t="n"/>
      <c r="N72" s="55" t="n"/>
      <c r="O72" s="55" t="n"/>
      <c r="P72" s="55" t="n"/>
      <c r="Q72" s="55" t="n"/>
      <c r="R72" s="58" t="n"/>
      <c r="S72" s="59">
        <f>IF(OR(tblPlant[[#This Row],[Milled_t]]="",tblPlant[[#This Row],[Head_Grade_gpt]]=""),"",tblPlant[[#This Row],[Milled_t]]*tblPlant[[#This Row],[Head_Grade_gpt]]/cfg_TroyOz)</f>
        <v/>
      </c>
      <c r="T72" s="59">
        <f>IF(OR(tblPlant[[#This Row],[Milled_t]]="",tblPlant[[#This Row],[Tails_Grade_gpt]]=""),"",tblPlant[[#This Row],[Milled_t]]*tblPlant[[#This Row],[Tails_Grade_gpt]]/cfg_TroyOz)</f>
        <v/>
      </c>
      <c r="U72" s="59">
        <f>IF(OR(tblPlant[[#This Row],[Milled_t]]="",tblPlant[[#This Row],[Head_Grade_gpt]]="",tblPlant[[#This Row],[Tails_Grade_gpt]]=""),"",tblPlant[[#This Row],[Feed_oz]]-tblPlant[[#This Row],[Tails_oz]])</f>
        <v/>
      </c>
      <c r="V72" s="60">
        <f>IF(AND(ISNUMBER(tblPlant[[#This Row],[Recovered_oz]]),tblPlant[[#This Row],[Feed_oz]]&gt;0),tblPlant[[#This Row],[Recovered_oz]]/tblPlant[[#This Row],[Feed_oz]],"")</f>
        <v/>
      </c>
      <c r="W72" s="59">
        <f>IF(AND(tblPlant[[#This Row],[Milled_t]]&lt;&gt;"",tblPlant[[#This Row],[Mill_Run_h]]&gt;0),tblPlant[[#This Row],[Milled_t]]/tblPlant[[#This Row],[Mill_Run_h]],"")</f>
        <v/>
      </c>
      <c r="X72" s="60">
        <f>IF(AND(tblPlant[[#This Row],[Mill_Run_h]]="",tblPlant[[#This Row],[Mill_Planned_Maint_h]]="",tblPlant[[#This Row],[Mill_Unplanned_Down_h]]=""),"",(cfg_HoursPerDay-tblPlant[[#This Row],[Mill_Planned_Maint_h]]-tblPlant[[#This Row],[Mill_Unplanned_Down_h]])/cfg_HoursPerDay)</f>
        <v/>
      </c>
      <c r="Y7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3">
      <c r="A73" s="54" t="n">
        <v>46090</v>
      </c>
      <c r="B73" s="55" t="n"/>
      <c r="C73" s="55" t="n"/>
      <c r="D73" s="56" t="n"/>
      <c r="E73" s="56" t="n"/>
      <c r="F73" s="55" t="n"/>
      <c r="G73" s="55" t="n"/>
      <c r="H73" s="57" t="n"/>
      <c r="I73" s="57" t="n"/>
      <c r="J73" s="57" t="n"/>
      <c r="K73" s="57" t="n"/>
      <c r="L73" s="55" t="n"/>
      <c r="M73" s="55" t="n"/>
      <c r="N73" s="55" t="n"/>
      <c r="O73" s="55" t="n"/>
      <c r="P73" s="55" t="n"/>
      <c r="Q73" s="55" t="n"/>
      <c r="R73" s="58" t="n"/>
      <c r="S73" s="59">
        <f>IF(OR(tblPlant[[#This Row],[Milled_t]]="",tblPlant[[#This Row],[Head_Grade_gpt]]=""),"",tblPlant[[#This Row],[Milled_t]]*tblPlant[[#This Row],[Head_Grade_gpt]]/cfg_TroyOz)</f>
        <v/>
      </c>
      <c r="T73" s="59">
        <f>IF(OR(tblPlant[[#This Row],[Milled_t]]="",tblPlant[[#This Row],[Tails_Grade_gpt]]=""),"",tblPlant[[#This Row],[Milled_t]]*tblPlant[[#This Row],[Tails_Grade_gpt]]/cfg_TroyOz)</f>
        <v/>
      </c>
      <c r="U73" s="59">
        <f>IF(OR(tblPlant[[#This Row],[Milled_t]]="",tblPlant[[#This Row],[Head_Grade_gpt]]="",tblPlant[[#This Row],[Tails_Grade_gpt]]=""),"",tblPlant[[#This Row],[Feed_oz]]-tblPlant[[#This Row],[Tails_oz]])</f>
        <v/>
      </c>
      <c r="V73" s="60">
        <f>IF(AND(ISNUMBER(tblPlant[[#This Row],[Recovered_oz]]),tblPlant[[#This Row],[Feed_oz]]&gt;0),tblPlant[[#This Row],[Recovered_oz]]/tblPlant[[#This Row],[Feed_oz]],"")</f>
        <v/>
      </c>
      <c r="W73" s="59">
        <f>IF(AND(tblPlant[[#This Row],[Milled_t]]&lt;&gt;"",tblPlant[[#This Row],[Mill_Run_h]]&gt;0),tblPlant[[#This Row],[Milled_t]]/tblPlant[[#This Row],[Mill_Run_h]],"")</f>
        <v/>
      </c>
      <c r="X73" s="60">
        <f>IF(AND(tblPlant[[#This Row],[Mill_Run_h]]="",tblPlant[[#This Row],[Mill_Planned_Maint_h]]="",tblPlant[[#This Row],[Mill_Unplanned_Down_h]]=""),"",(cfg_HoursPerDay-tblPlant[[#This Row],[Mill_Planned_Maint_h]]-tblPlant[[#This Row],[Mill_Unplanned_Down_h]])/cfg_HoursPerDay)</f>
        <v/>
      </c>
      <c r="Y7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4">
      <c r="A74" s="54" t="n">
        <v>46091</v>
      </c>
      <c r="B74" s="55" t="n"/>
      <c r="C74" s="55" t="n"/>
      <c r="D74" s="56" t="n"/>
      <c r="E74" s="56" t="n"/>
      <c r="F74" s="55" t="n"/>
      <c r="G74" s="55" t="n"/>
      <c r="H74" s="57" t="n"/>
      <c r="I74" s="57" t="n"/>
      <c r="J74" s="57" t="n"/>
      <c r="K74" s="57" t="n"/>
      <c r="L74" s="55" t="n"/>
      <c r="M74" s="55" t="n"/>
      <c r="N74" s="55" t="n"/>
      <c r="O74" s="55" t="n"/>
      <c r="P74" s="55" t="n"/>
      <c r="Q74" s="55" t="n"/>
      <c r="R74" s="58" t="n"/>
      <c r="S74" s="59">
        <f>IF(OR(tblPlant[[#This Row],[Milled_t]]="",tblPlant[[#This Row],[Head_Grade_gpt]]=""),"",tblPlant[[#This Row],[Milled_t]]*tblPlant[[#This Row],[Head_Grade_gpt]]/cfg_TroyOz)</f>
        <v/>
      </c>
      <c r="T74" s="59">
        <f>IF(OR(tblPlant[[#This Row],[Milled_t]]="",tblPlant[[#This Row],[Tails_Grade_gpt]]=""),"",tblPlant[[#This Row],[Milled_t]]*tblPlant[[#This Row],[Tails_Grade_gpt]]/cfg_TroyOz)</f>
        <v/>
      </c>
      <c r="U74" s="59">
        <f>IF(OR(tblPlant[[#This Row],[Milled_t]]="",tblPlant[[#This Row],[Head_Grade_gpt]]="",tblPlant[[#This Row],[Tails_Grade_gpt]]=""),"",tblPlant[[#This Row],[Feed_oz]]-tblPlant[[#This Row],[Tails_oz]])</f>
        <v/>
      </c>
      <c r="V74" s="60">
        <f>IF(AND(ISNUMBER(tblPlant[[#This Row],[Recovered_oz]]),tblPlant[[#This Row],[Feed_oz]]&gt;0),tblPlant[[#This Row],[Recovered_oz]]/tblPlant[[#This Row],[Feed_oz]],"")</f>
        <v/>
      </c>
      <c r="W74" s="59">
        <f>IF(AND(tblPlant[[#This Row],[Milled_t]]&lt;&gt;"",tblPlant[[#This Row],[Mill_Run_h]]&gt;0),tblPlant[[#This Row],[Milled_t]]/tblPlant[[#This Row],[Mill_Run_h]],"")</f>
        <v/>
      </c>
      <c r="X74" s="60">
        <f>IF(AND(tblPlant[[#This Row],[Mill_Run_h]]="",tblPlant[[#This Row],[Mill_Planned_Maint_h]]="",tblPlant[[#This Row],[Mill_Unplanned_Down_h]]=""),"",(cfg_HoursPerDay-tblPlant[[#This Row],[Mill_Planned_Maint_h]]-tblPlant[[#This Row],[Mill_Unplanned_Down_h]])/cfg_HoursPerDay)</f>
        <v/>
      </c>
      <c r="Y7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5">
      <c r="A75" s="54" t="n">
        <v>46092</v>
      </c>
      <c r="B75" s="55" t="n"/>
      <c r="C75" s="55" t="n"/>
      <c r="D75" s="56" t="n"/>
      <c r="E75" s="56" t="n"/>
      <c r="F75" s="55" t="n"/>
      <c r="G75" s="55" t="n"/>
      <c r="H75" s="57" t="n"/>
      <c r="I75" s="57" t="n"/>
      <c r="J75" s="57" t="n"/>
      <c r="K75" s="57" t="n"/>
      <c r="L75" s="55" t="n"/>
      <c r="M75" s="55" t="n"/>
      <c r="N75" s="55" t="n"/>
      <c r="O75" s="55" t="n"/>
      <c r="P75" s="55" t="n"/>
      <c r="Q75" s="55" t="n"/>
      <c r="R75" s="58" t="n"/>
      <c r="S75" s="59">
        <f>IF(OR(tblPlant[[#This Row],[Milled_t]]="",tblPlant[[#This Row],[Head_Grade_gpt]]=""),"",tblPlant[[#This Row],[Milled_t]]*tblPlant[[#This Row],[Head_Grade_gpt]]/cfg_TroyOz)</f>
        <v/>
      </c>
      <c r="T75" s="59">
        <f>IF(OR(tblPlant[[#This Row],[Milled_t]]="",tblPlant[[#This Row],[Tails_Grade_gpt]]=""),"",tblPlant[[#This Row],[Milled_t]]*tblPlant[[#This Row],[Tails_Grade_gpt]]/cfg_TroyOz)</f>
        <v/>
      </c>
      <c r="U75" s="59">
        <f>IF(OR(tblPlant[[#This Row],[Milled_t]]="",tblPlant[[#This Row],[Head_Grade_gpt]]="",tblPlant[[#This Row],[Tails_Grade_gpt]]=""),"",tblPlant[[#This Row],[Feed_oz]]-tblPlant[[#This Row],[Tails_oz]])</f>
        <v/>
      </c>
      <c r="V75" s="60">
        <f>IF(AND(ISNUMBER(tblPlant[[#This Row],[Recovered_oz]]),tblPlant[[#This Row],[Feed_oz]]&gt;0),tblPlant[[#This Row],[Recovered_oz]]/tblPlant[[#This Row],[Feed_oz]],"")</f>
        <v/>
      </c>
      <c r="W75" s="59">
        <f>IF(AND(tblPlant[[#This Row],[Milled_t]]&lt;&gt;"",tblPlant[[#This Row],[Mill_Run_h]]&gt;0),tblPlant[[#This Row],[Milled_t]]/tblPlant[[#This Row],[Mill_Run_h]],"")</f>
        <v/>
      </c>
      <c r="X75" s="60">
        <f>IF(AND(tblPlant[[#This Row],[Mill_Run_h]]="",tblPlant[[#This Row],[Mill_Planned_Maint_h]]="",tblPlant[[#This Row],[Mill_Unplanned_Down_h]]=""),"",(cfg_HoursPerDay-tblPlant[[#This Row],[Mill_Planned_Maint_h]]-tblPlant[[#This Row],[Mill_Unplanned_Down_h]])/cfg_HoursPerDay)</f>
        <v/>
      </c>
      <c r="Y7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6">
      <c r="A76" s="54" t="n">
        <v>46093</v>
      </c>
      <c r="B76" s="55" t="n"/>
      <c r="C76" s="55" t="n"/>
      <c r="D76" s="56" t="n"/>
      <c r="E76" s="56" t="n"/>
      <c r="F76" s="55" t="n"/>
      <c r="G76" s="55" t="n"/>
      <c r="H76" s="57" t="n"/>
      <c r="I76" s="57" t="n"/>
      <c r="J76" s="57" t="n"/>
      <c r="K76" s="57" t="n"/>
      <c r="L76" s="55" t="n"/>
      <c r="M76" s="55" t="n"/>
      <c r="N76" s="55" t="n"/>
      <c r="O76" s="55" t="n"/>
      <c r="P76" s="55" t="n"/>
      <c r="Q76" s="55" t="n"/>
      <c r="R76" s="58" t="n"/>
      <c r="S76" s="59">
        <f>IF(OR(tblPlant[[#This Row],[Milled_t]]="",tblPlant[[#This Row],[Head_Grade_gpt]]=""),"",tblPlant[[#This Row],[Milled_t]]*tblPlant[[#This Row],[Head_Grade_gpt]]/cfg_TroyOz)</f>
        <v/>
      </c>
      <c r="T76" s="59">
        <f>IF(OR(tblPlant[[#This Row],[Milled_t]]="",tblPlant[[#This Row],[Tails_Grade_gpt]]=""),"",tblPlant[[#This Row],[Milled_t]]*tblPlant[[#This Row],[Tails_Grade_gpt]]/cfg_TroyOz)</f>
        <v/>
      </c>
      <c r="U76" s="59">
        <f>IF(OR(tblPlant[[#This Row],[Milled_t]]="",tblPlant[[#This Row],[Head_Grade_gpt]]="",tblPlant[[#This Row],[Tails_Grade_gpt]]=""),"",tblPlant[[#This Row],[Feed_oz]]-tblPlant[[#This Row],[Tails_oz]])</f>
        <v/>
      </c>
      <c r="V76" s="60">
        <f>IF(AND(ISNUMBER(tblPlant[[#This Row],[Recovered_oz]]),tblPlant[[#This Row],[Feed_oz]]&gt;0),tblPlant[[#This Row],[Recovered_oz]]/tblPlant[[#This Row],[Feed_oz]],"")</f>
        <v/>
      </c>
      <c r="W76" s="59">
        <f>IF(AND(tblPlant[[#This Row],[Milled_t]]&lt;&gt;"",tblPlant[[#This Row],[Mill_Run_h]]&gt;0),tblPlant[[#This Row],[Milled_t]]/tblPlant[[#This Row],[Mill_Run_h]],"")</f>
        <v/>
      </c>
      <c r="X76" s="60">
        <f>IF(AND(tblPlant[[#This Row],[Mill_Run_h]]="",tblPlant[[#This Row],[Mill_Planned_Maint_h]]="",tblPlant[[#This Row],[Mill_Unplanned_Down_h]]=""),"",(cfg_HoursPerDay-tblPlant[[#This Row],[Mill_Planned_Maint_h]]-tblPlant[[#This Row],[Mill_Unplanned_Down_h]])/cfg_HoursPerDay)</f>
        <v/>
      </c>
      <c r="Y7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7">
      <c r="A77" s="54" t="n">
        <v>46094</v>
      </c>
      <c r="B77" s="55" t="n"/>
      <c r="C77" s="55" t="n"/>
      <c r="D77" s="56" t="n"/>
      <c r="E77" s="56" t="n"/>
      <c r="F77" s="55" t="n"/>
      <c r="G77" s="55" t="n"/>
      <c r="H77" s="57" t="n"/>
      <c r="I77" s="57" t="n"/>
      <c r="J77" s="57" t="n"/>
      <c r="K77" s="57" t="n"/>
      <c r="L77" s="55" t="n"/>
      <c r="M77" s="55" t="n"/>
      <c r="N77" s="55" t="n"/>
      <c r="O77" s="55" t="n"/>
      <c r="P77" s="55" t="n"/>
      <c r="Q77" s="55" t="n"/>
      <c r="R77" s="58" t="n"/>
      <c r="S77" s="59">
        <f>IF(OR(tblPlant[[#This Row],[Milled_t]]="",tblPlant[[#This Row],[Head_Grade_gpt]]=""),"",tblPlant[[#This Row],[Milled_t]]*tblPlant[[#This Row],[Head_Grade_gpt]]/cfg_TroyOz)</f>
        <v/>
      </c>
      <c r="T77" s="59">
        <f>IF(OR(tblPlant[[#This Row],[Milled_t]]="",tblPlant[[#This Row],[Tails_Grade_gpt]]=""),"",tblPlant[[#This Row],[Milled_t]]*tblPlant[[#This Row],[Tails_Grade_gpt]]/cfg_TroyOz)</f>
        <v/>
      </c>
      <c r="U77" s="59">
        <f>IF(OR(tblPlant[[#This Row],[Milled_t]]="",tblPlant[[#This Row],[Head_Grade_gpt]]="",tblPlant[[#This Row],[Tails_Grade_gpt]]=""),"",tblPlant[[#This Row],[Feed_oz]]-tblPlant[[#This Row],[Tails_oz]])</f>
        <v/>
      </c>
      <c r="V77" s="60">
        <f>IF(AND(ISNUMBER(tblPlant[[#This Row],[Recovered_oz]]),tblPlant[[#This Row],[Feed_oz]]&gt;0),tblPlant[[#This Row],[Recovered_oz]]/tblPlant[[#This Row],[Feed_oz]],"")</f>
        <v/>
      </c>
      <c r="W77" s="59">
        <f>IF(AND(tblPlant[[#This Row],[Milled_t]]&lt;&gt;"",tblPlant[[#This Row],[Mill_Run_h]]&gt;0),tblPlant[[#This Row],[Milled_t]]/tblPlant[[#This Row],[Mill_Run_h]],"")</f>
        <v/>
      </c>
      <c r="X77" s="60">
        <f>IF(AND(tblPlant[[#This Row],[Mill_Run_h]]="",tblPlant[[#This Row],[Mill_Planned_Maint_h]]="",tblPlant[[#This Row],[Mill_Unplanned_Down_h]]=""),"",(cfg_HoursPerDay-tblPlant[[#This Row],[Mill_Planned_Maint_h]]-tblPlant[[#This Row],[Mill_Unplanned_Down_h]])/cfg_HoursPerDay)</f>
        <v/>
      </c>
      <c r="Y7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8">
      <c r="A78" s="54" t="n">
        <v>46095</v>
      </c>
      <c r="B78" s="55" t="n"/>
      <c r="C78" s="55" t="n"/>
      <c r="D78" s="56" t="n"/>
      <c r="E78" s="56" t="n"/>
      <c r="F78" s="55" t="n"/>
      <c r="G78" s="55" t="n"/>
      <c r="H78" s="57" t="n"/>
      <c r="I78" s="57" t="n"/>
      <c r="J78" s="57" t="n"/>
      <c r="K78" s="57" t="n"/>
      <c r="L78" s="55" t="n"/>
      <c r="M78" s="55" t="n"/>
      <c r="N78" s="55" t="n"/>
      <c r="O78" s="55" t="n"/>
      <c r="P78" s="55" t="n"/>
      <c r="Q78" s="55" t="n"/>
      <c r="R78" s="58" t="n"/>
      <c r="S78" s="59">
        <f>IF(OR(tblPlant[[#This Row],[Milled_t]]="",tblPlant[[#This Row],[Head_Grade_gpt]]=""),"",tblPlant[[#This Row],[Milled_t]]*tblPlant[[#This Row],[Head_Grade_gpt]]/cfg_TroyOz)</f>
        <v/>
      </c>
      <c r="T78" s="59">
        <f>IF(OR(tblPlant[[#This Row],[Milled_t]]="",tblPlant[[#This Row],[Tails_Grade_gpt]]=""),"",tblPlant[[#This Row],[Milled_t]]*tblPlant[[#This Row],[Tails_Grade_gpt]]/cfg_TroyOz)</f>
        <v/>
      </c>
      <c r="U78" s="59">
        <f>IF(OR(tblPlant[[#This Row],[Milled_t]]="",tblPlant[[#This Row],[Head_Grade_gpt]]="",tblPlant[[#This Row],[Tails_Grade_gpt]]=""),"",tblPlant[[#This Row],[Feed_oz]]-tblPlant[[#This Row],[Tails_oz]])</f>
        <v/>
      </c>
      <c r="V78" s="60">
        <f>IF(AND(ISNUMBER(tblPlant[[#This Row],[Recovered_oz]]),tblPlant[[#This Row],[Feed_oz]]&gt;0),tblPlant[[#This Row],[Recovered_oz]]/tblPlant[[#This Row],[Feed_oz]],"")</f>
        <v/>
      </c>
      <c r="W78" s="59">
        <f>IF(AND(tblPlant[[#This Row],[Milled_t]]&lt;&gt;"",tblPlant[[#This Row],[Mill_Run_h]]&gt;0),tblPlant[[#This Row],[Milled_t]]/tblPlant[[#This Row],[Mill_Run_h]],"")</f>
        <v/>
      </c>
      <c r="X78" s="60">
        <f>IF(AND(tblPlant[[#This Row],[Mill_Run_h]]="",tblPlant[[#This Row],[Mill_Planned_Maint_h]]="",tblPlant[[#This Row],[Mill_Unplanned_Down_h]]=""),"",(cfg_HoursPerDay-tblPlant[[#This Row],[Mill_Planned_Maint_h]]-tblPlant[[#This Row],[Mill_Unplanned_Down_h]])/cfg_HoursPerDay)</f>
        <v/>
      </c>
      <c r="Y7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79">
      <c r="A79" s="54" t="n">
        <v>46096</v>
      </c>
      <c r="B79" s="55" t="n"/>
      <c r="C79" s="55" t="n"/>
      <c r="D79" s="56" t="n"/>
      <c r="E79" s="56" t="n"/>
      <c r="F79" s="55" t="n"/>
      <c r="G79" s="55" t="n"/>
      <c r="H79" s="57" t="n"/>
      <c r="I79" s="57" t="n"/>
      <c r="J79" s="57" t="n"/>
      <c r="K79" s="57" t="n"/>
      <c r="L79" s="55" t="n"/>
      <c r="M79" s="55" t="n"/>
      <c r="N79" s="55" t="n"/>
      <c r="O79" s="55" t="n"/>
      <c r="P79" s="55" t="n"/>
      <c r="Q79" s="55" t="n"/>
      <c r="R79" s="58" t="n"/>
      <c r="S79" s="59">
        <f>IF(OR(tblPlant[[#This Row],[Milled_t]]="",tblPlant[[#This Row],[Head_Grade_gpt]]=""),"",tblPlant[[#This Row],[Milled_t]]*tblPlant[[#This Row],[Head_Grade_gpt]]/cfg_TroyOz)</f>
        <v/>
      </c>
      <c r="T79" s="59">
        <f>IF(OR(tblPlant[[#This Row],[Milled_t]]="",tblPlant[[#This Row],[Tails_Grade_gpt]]=""),"",tblPlant[[#This Row],[Milled_t]]*tblPlant[[#This Row],[Tails_Grade_gpt]]/cfg_TroyOz)</f>
        <v/>
      </c>
      <c r="U79" s="59">
        <f>IF(OR(tblPlant[[#This Row],[Milled_t]]="",tblPlant[[#This Row],[Head_Grade_gpt]]="",tblPlant[[#This Row],[Tails_Grade_gpt]]=""),"",tblPlant[[#This Row],[Feed_oz]]-tblPlant[[#This Row],[Tails_oz]])</f>
        <v/>
      </c>
      <c r="V79" s="60">
        <f>IF(AND(ISNUMBER(tblPlant[[#This Row],[Recovered_oz]]),tblPlant[[#This Row],[Feed_oz]]&gt;0),tblPlant[[#This Row],[Recovered_oz]]/tblPlant[[#This Row],[Feed_oz]],"")</f>
        <v/>
      </c>
      <c r="W79" s="59">
        <f>IF(AND(tblPlant[[#This Row],[Milled_t]]&lt;&gt;"",tblPlant[[#This Row],[Mill_Run_h]]&gt;0),tblPlant[[#This Row],[Milled_t]]/tblPlant[[#This Row],[Mill_Run_h]],"")</f>
        <v/>
      </c>
      <c r="X79" s="60">
        <f>IF(AND(tblPlant[[#This Row],[Mill_Run_h]]="",tblPlant[[#This Row],[Mill_Planned_Maint_h]]="",tblPlant[[#This Row],[Mill_Unplanned_Down_h]]=""),"",(cfg_HoursPerDay-tblPlant[[#This Row],[Mill_Planned_Maint_h]]-tblPlant[[#This Row],[Mill_Unplanned_Down_h]])/cfg_HoursPerDay)</f>
        <v/>
      </c>
      <c r="Y7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0">
      <c r="A80" s="54" t="n">
        <v>46097</v>
      </c>
      <c r="B80" s="55" t="n"/>
      <c r="C80" s="55" t="n"/>
      <c r="D80" s="56" t="n"/>
      <c r="E80" s="56" t="n"/>
      <c r="F80" s="55" t="n"/>
      <c r="G80" s="55" t="n"/>
      <c r="H80" s="57" t="n"/>
      <c r="I80" s="57" t="n"/>
      <c r="J80" s="57" t="n"/>
      <c r="K80" s="57" t="n"/>
      <c r="L80" s="55" t="n"/>
      <c r="M80" s="55" t="n"/>
      <c r="N80" s="55" t="n"/>
      <c r="O80" s="55" t="n"/>
      <c r="P80" s="55" t="n"/>
      <c r="Q80" s="55" t="n"/>
      <c r="R80" s="58" t="n"/>
      <c r="S80" s="59">
        <f>IF(OR(tblPlant[[#This Row],[Milled_t]]="",tblPlant[[#This Row],[Head_Grade_gpt]]=""),"",tblPlant[[#This Row],[Milled_t]]*tblPlant[[#This Row],[Head_Grade_gpt]]/cfg_TroyOz)</f>
        <v/>
      </c>
      <c r="T80" s="59">
        <f>IF(OR(tblPlant[[#This Row],[Milled_t]]="",tblPlant[[#This Row],[Tails_Grade_gpt]]=""),"",tblPlant[[#This Row],[Milled_t]]*tblPlant[[#This Row],[Tails_Grade_gpt]]/cfg_TroyOz)</f>
        <v/>
      </c>
      <c r="U80" s="59">
        <f>IF(OR(tblPlant[[#This Row],[Milled_t]]="",tblPlant[[#This Row],[Head_Grade_gpt]]="",tblPlant[[#This Row],[Tails_Grade_gpt]]=""),"",tblPlant[[#This Row],[Feed_oz]]-tblPlant[[#This Row],[Tails_oz]])</f>
        <v/>
      </c>
      <c r="V80" s="60">
        <f>IF(AND(ISNUMBER(tblPlant[[#This Row],[Recovered_oz]]),tblPlant[[#This Row],[Feed_oz]]&gt;0),tblPlant[[#This Row],[Recovered_oz]]/tblPlant[[#This Row],[Feed_oz]],"")</f>
        <v/>
      </c>
      <c r="W80" s="59">
        <f>IF(AND(tblPlant[[#This Row],[Milled_t]]&lt;&gt;"",tblPlant[[#This Row],[Mill_Run_h]]&gt;0),tblPlant[[#This Row],[Milled_t]]/tblPlant[[#This Row],[Mill_Run_h]],"")</f>
        <v/>
      </c>
      <c r="X80" s="60">
        <f>IF(AND(tblPlant[[#This Row],[Mill_Run_h]]="",tblPlant[[#This Row],[Mill_Planned_Maint_h]]="",tblPlant[[#This Row],[Mill_Unplanned_Down_h]]=""),"",(cfg_HoursPerDay-tblPlant[[#This Row],[Mill_Planned_Maint_h]]-tblPlant[[#This Row],[Mill_Unplanned_Down_h]])/cfg_HoursPerDay)</f>
        <v/>
      </c>
      <c r="Y8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1">
      <c r="A81" s="54" t="n">
        <v>46098</v>
      </c>
      <c r="B81" s="55" t="n"/>
      <c r="C81" s="55" t="n"/>
      <c r="D81" s="56" t="n"/>
      <c r="E81" s="56" t="n"/>
      <c r="F81" s="55" t="n"/>
      <c r="G81" s="55" t="n"/>
      <c r="H81" s="57" t="n"/>
      <c r="I81" s="57" t="n"/>
      <c r="J81" s="57" t="n"/>
      <c r="K81" s="57" t="n"/>
      <c r="L81" s="55" t="n"/>
      <c r="M81" s="55" t="n"/>
      <c r="N81" s="55" t="n"/>
      <c r="O81" s="55" t="n"/>
      <c r="P81" s="55" t="n"/>
      <c r="Q81" s="55" t="n"/>
      <c r="R81" s="58" t="n"/>
      <c r="S81" s="59">
        <f>IF(OR(tblPlant[[#This Row],[Milled_t]]="",tblPlant[[#This Row],[Head_Grade_gpt]]=""),"",tblPlant[[#This Row],[Milled_t]]*tblPlant[[#This Row],[Head_Grade_gpt]]/cfg_TroyOz)</f>
        <v/>
      </c>
      <c r="T81" s="59">
        <f>IF(OR(tblPlant[[#This Row],[Milled_t]]="",tblPlant[[#This Row],[Tails_Grade_gpt]]=""),"",tblPlant[[#This Row],[Milled_t]]*tblPlant[[#This Row],[Tails_Grade_gpt]]/cfg_TroyOz)</f>
        <v/>
      </c>
      <c r="U81" s="59">
        <f>IF(OR(tblPlant[[#This Row],[Milled_t]]="",tblPlant[[#This Row],[Head_Grade_gpt]]="",tblPlant[[#This Row],[Tails_Grade_gpt]]=""),"",tblPlant[[#This Row],[Feed_oz]]-tblPlant[[#This Row],[Tails_oz]])</f>
        <v/>
      </c>
      <c r="V81" s="60">
        <f>IF(AND(ISNUMBER(tblPlant[[#This Row],[Recovered_oz]]),tblPlant[[#This Row],[Feed_oz]]&gt;0),tblPlant[[#This Row],[Recovered_oz]]/tblPlant[[#This Row],[Feed_oz]],"")</f>
        <v/>
      </c>
      <c r="W81" s="59">
        <f>IF(AND(tblPlant[[#This Row],[Milled_t]]&lt;&gt;"",tblPlant[[#This Row],[Mill_Run_h]]&gt;0),tblPlant[[#This Row],[Milled_t]]/tblPlant[[#This Row],[Mill_Run_h]],"")</f>
        <v/>
      </c>
      <c r="X81" s="60">
        <f>IF(AND(tblPlant[[#This Row],[Mill_Run_h]]="",tblPlant[[#This Row],[Mill_Planned_Maint_h]]="",tblPlant[[#This Row],[Mill_Unplanned_Down_h]]=""),"",(cfg_HoursPerDay-tblPlant[[#This Row],[Mill_Planned_Maint_h]]-tblPlant[[#This Row],[Mill_Unplanned_Down_h]])/cfg_HoursPerDay)</f>
        <v/>
      </c>
      <c r="Y8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2">
      <c r="A82" s="54" t="n">
        <v>46099</v>
      </c>
      <c r="B82" s="55" t="n"/>
      <c r="C82" s="55" t="n"/>
      <c r="D82" s="56" t="n"/>
      <c r="E82" s="56" t="n"/>
      <c r="F82" s="55" t="n"/>
      <c r="G82" s="55" t="n"/>
      <c r="H82" s="57" t="n"/>
      <c r="I82" s="57" t="n"/>
      <c r="J82" s="57" t="n"/>
      <c r="K82" s="57" t="n"/>
      <c r="L82" s="55" t="n"/>
      <c r="M82" s="55" t="n"/>
      <c r="N82" s="55" t="n"/>
      <c r="O82" s="55" t="n"/>
      <c r="P82" s="55" t="n"/>
      <c r="Q82" s="55" t="n"/>
      <c r="R82" s="58" t="n"/>
      <c r="S82" s="59">
        <f>IF(OR(tblPlant[[#This Row],[Milled_t]]="",tblPlant[[#This Row],[Head_Grade_gpt]]=""),"",tblPlant[[#This Row],[Milled_t]]*tblPlant[[#This Row],[Head_Grade_gpt]]/cfg_TroyOz)</f>
        <v/>
      </c>
      <c r="T82" s="59">
        <f>IF(OR(tblPlant[[#This Row],[Milled_t]]="",tblPlant[[#This Row],[Tails_Grade_gpt]]=""),"",tblPlant[[#This Row],[Milled_t]]*tblPlant[[#This Row],[Tails_Grade_gpt]]/cfg_TroyOz)</f>
        <v/>
      </c>
      <c r="U82" s="59">
        <f>IF(OR(tblPlant[[#This Row],[Milled_t]]="",tblPlant[[#This Row],[Head_Grade_gpt]]="",tblPlant[[#This Row],[Tails_Grade_gpt]]=""),"",tblPlant[[#This Row],[Feed_oz]]-tblPlant[[#This Row],[Tails_oz]])</f>
        <v/>
      </c>
      <c r="V82" s="60">
        <f>IF(AND(ISNUMBER(tblPlant[[#This Row],[Recovered_oz]]),tblPlant[[#This Row],[Feed_oz]]&gt;0),tblPlant[[#This Row],[Recovered_oz]]/tblPlant[[#This Row],[Feed_oz]],"")</f>
        <v/>
      </c>
      <c r="W82" s="59">
        <f>IF(AND(tblPlant[[#This Row],[Milled_t]]&lt;&gt;"",tblPlant[[#This Row],[Mill_Run_h]]&gt;0),tblPlant[[#This Row],[Milled_t]]/tblPlant[[#This Row],[Mill_Run_h]],"")</f>
        <v/>
      </c>
      <c r="X82" s="60">
        <f>IF(AND(tblPlant[[#This Row],[Mill_Run_h]]="",tblPlant[[#This Row],[Mill_Planned_Maint_h]]="",tblPlant[[#This Row],[Mill_Unplanned_Down_h]]=""),"",(cfg_HoursPerDay-tblPlant[[#This Row],[Mill_Planned_Maint_h]]-tblPlant[[#This Row],[Mill_Unplanned_Down_h]])/cfg_HoursPerDay)</f>
        <v/>
      </c>
      <c r="Y8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3">
      <c r="A83" s="54" t="n">
        <v>46100</v>
      </c>
      <c r="B83" s="55" t="n"/>
      <c r="C83" s="55" t="n"/>
      <c r="D83" s="56" t="n"/>
      <c r="E83" s="56" t="n"/>
      <c r="F83" s="55" t="n"/>
      <c r="G83" s="55" t="n"/>
      <c r="H83" s="57" t="n"/>
      <c r="I83" s="57" t="n"/>
      <c r="J83" s="57" t="n"/>
      <c r="K83" s="57" t="n"/>
      <c r="L83" s="55" t="n"/>
      <c r="M83" s="55" t="n"/>
      <c r="N83" s="55" t="n"/>
      <c r="O83" s="55" t="n"/>
      <c r="P83" s="55" t="n"/>
      <c r="Q83" s="55" t="n"/>
      <c r="R83" s="58" t="n"/>
      <c r="S83" s="59">
        <f>IF(OR(tblPlant[[#This Row],[Milled_t]]="",tblPlant[[#This Row],[Head_Grade_gpt]]=""),"",tblPlant[[#This Row],[Milled_t]]*tblPlant[[#This Row],[Head_Grade_gpt]]/cfg_TroyOz)</f>
        <v/>
      </c>
      <c r="T83" s="59">
        <f>IF(OR(tblPlant[[#This Row],[Milled_t]]="",tblPlant[[#This Row],[Tails_Grade_gpt]]=""),"",tblPlant[[#This Row],[Milled_t]]*tblPlant[[#This Row],[Tails_Grade_gpt]]/cfg_TroyOz)</f>
        <v/>
      </c>
      <c r="U83" s="59">
        <f>IF(OR(tblPlant[[#This Row],[Milled_t]]="",tblPlant[[#This Row],[Head_Grade_gpt]]="",tblPlant[[#This Row],[Tails_Grade_gpt]]=""),"",tblPlant[[#This Row],[Feed_oz]]-tblPlant[[#This Row],[Tails_oz]])</f>
        <v/>
      </c>
      <c r="V83" s="60">
        <f>IF(AND(ISNUMBER(tblPlant[[#This Row],[Recovered_oz]]),tblPlant[[#This Row],[Feed_oz]]&gt;0),tblPlant[[#This Row],[Recovered_oz]]/tblPlant[[#This Row],[Feed_oz]],"")</f>
        <v/>
      </c>
      <c r="W83" s="59">
        <f>IF(AND(tblPlant[[#This Row],[Milled_t]]&lt;&gt;"",tblPlant[[#This Row],[Mill_Run_h]]&gt;0),tblPlant[[#This Row],[Milled_t]]/tblPlant[[#This Row],[Mill_Run_h]],"")</f>
        <v/>
      </c>
      <c r="X83" s="60">
        <f>IF(AND(tblPlant[[#This Row],[Mill_Run_h]]="",tblPlant[[#This Row],[Mill_Planned_Maint_h]]="",tblPlant[[#This Row],[Mill_Unplanned_Down_h]]=""),"",(cfg_HoursPerDay-tblPlant[[#This Row],[Mill_Planned_Maint_h]]-tblPlant[[#This Row],[Mill_Unplanned_Down_h]])/cfg_HoursPerDay)</f>
        <v/>
      </c>
      <c r="Y8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4">
      <c r="A84" s="54" t="n">
        <v>46101</v>
      </c>
      <c r="B84" s="55" t="n"/>
      <c r="C84" s="55" t="n"/>
      <c r="D84" s="56" t="n"/>
      <c r="E84" s="56" t="n"/>
      <c r="F84" s="55" t="n"/>
      <c r="G84" s="55" t="n"/>
      <c r="H84" s="57" t="n"/>
      <c r="I84" s="57" t="n"/>
      <c r="J84" s="57" t="n"/>
      <c r="K84" s="57" t="n"/>
      <c r="L84" s="55" t="n"/>
      <c r="M84" s="55" t="n"/>
      <c r="N84" s="55" t="n"/>
      <c r="O84" s="55" t="n"/>
      <c r="P84" s="55" t="n"/>
      <c r="Q84" s="55" t="n"/>
      <c r="R84" s="58" t="n"/>
      <c r="S84" s="59">
        <f>IF(OR(tblPlant[[#This Row],[Milled_t]]="",tblPlant[[#This Row],[Head_Grade_gpt]]=""),"",tblPlant[[#This Row],[Milled_t]]*tblPlant[[#This Row],[Head_Grade_gpt]]/cfg_TroyOz)</f>
        <v/>
      </c>
      <c r="T84" s="59">
        <f>IF(OR(tblPlant[[#This Row],[Milled_t]]="",tblPlant[[#This Row],[Tails_Grade_gpt]]=""),"",tblPlant[[#This Row],[Milled_t]]*tblPlant[[#This Row],[Tails_Grade_gpt]]/cfg_TroyOz)</f>
        <v/>
      </c>
      <c r="U84" s="59">
        <f>IF(OR(tblPlant[[#This Row],[Milled_t]]="",tblPlant[[#This Row],[Head_Grade_gpt]]="",tblPlant[[#This Row],[Tails_Grade_gpt]]=""),"",tblPlant[[#This Row],[Feed_oz]]-tblPlant[[#This Row],[Tails_oz]])</f>
        <v/>
      </c>
      <c r="V84" s="60">
        <f>IF(AND(ISNUMBER(tblPlant[[#This Row],[Recovered_oz]]),tblPlant[[#This Row],[Feed_oz]]&gt;0),tblPlant[[#This Row],[Recovered_oz]]/tblPlant[[#This Row],[Feed_oz]],"")</f>
        <v/>
      </c>
      <c r="W84" s="59">
        <f>IF(AND(tblPlant[[#This Row],[Milled_t]]&lt;&gt;"",tblPlant[[#This Row],[Mill_Run_h]]&gt;0),tblPlant[[#This Row],[Milled_t]]/tblPlant[[#This Row],[Mill_Run_h]],"")</f>
        <v/>
      </c>
      <c r="X84" s="60">
        <f>IF(AND(tblPlant[[#This Row],[Mill_Run_h]]="",tblPlant[[#This Row],[Mill_Planned_Maint_h]]="",tblPlant[[#This Row],[Mill_Unplanned_Down_h]]=""),"",(cfg_HoursPerDay-tblPlant[[#This Row],[Mill_Planned_Maint_h]]-tblPlant[[#This Row],[Mill_Unplanned_Down_h]])/cfg_HoursPerDay)</f>
        <v/>
      </c>
      <c r="Y8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5">
      <c r="A85" s="54" t="n">
        <v>46102</v>
      </c>
      <c r="B85" s="55" t="n"/>
      <c r="C85" s="55" t="n"/>
      <c r="D85" s="56" t="n"/>
      <c r="E85" s="56" t="n"/>
      <c r="F85" s="55" t="n"/>
      <c r="G85" s="55" t="n"/>
      <c r="H85" s="57" t="n"/>
      <c r="I85" s="57" t="n"/>
      <c r="J85" s="57" t="n"/>
      <c r="K85" s="57" t="n"/>
      <c r="L85" s="55" t="n"/>
      <c r="M85" s="55" t="n"/>
      <c r="N85" s="55" t="n"/>
      <c r="O85" s="55" t="n"/>
      <c r="P85" s="55" t="n"/>
      <c r="Q85" s="55" t="n"/>
      <c r="R85" s="58" t="n"/>
      <c r="S85" s="59">
        <f>IF(OR(tblPlant[[#This Row],[Milled_t]]="",tblPlant[[#This Row],[Head_Grade_gpt]]=""),"",tblPlant[[#This Row],[Milled_t]]*tblPlant[[#This Row],[Head_Grade_gpt]]/cfg_TroyOz)</f>
        <v/>
      </c>
      <c r="T85" s="59">
        <f>IF(OR(tblPlant[[#This Row],[Milled_t]]="",tblPlant[[#This Row],[Tails_Grade_gpt]]=""),"",tblPlant[[#This Row],[Milled_t]]*tblPlant[[#This Row],[Tails_Grade_gpt]]/cfg_TroyOz)</f>
        <v/>
      </c>
      <c r="U85" s="59">
        <f>IF(OR(tblPlant[[#This Row],[Milled_t]]="",tblPlant[[#This Row],[Head_Grade_gpt]]="",tblPlant[[#This Row],[Tails_Grade_gpt]]=""),"",tblPlant[[#This Row],[Feed_oz]]-tblPlant[[#This Row],[Tails_oz]])</f>
        <v/>
      </c>
      <c r="V85" s="60">
        <f>IF(AND(ISNUMBER(tblPlant[[#This Row],[Recovered_oz]]),tblPlant[[#This Row],[Feed_oz]]&gt;0),tblPlant[[#This Row],[Recovered_oz]]/tblPlant[[#This Row],[Feed_oz]],"")</f>
        <v/>
      </c>
      <c r="W85" s="59">
        <f>IF(AND(tblPlant[[#This Row],[Milled_t]]&lt;&gt;"",tblPlant[[#This Row],[Mill_Run_h]]&gt;0),tblPlant[[#This Row],[Milled_t]]/tblPlant[[#This Row],[Mill_Run_h]],"")</f>
        <v/>
      </c>
      <c r="X85" s="60">
        <f>IF(AND(tblPlant[[#This Row],[Mill_Run_h]]="",tblPlant[[#This Row],[Mill_Planned_Maint_h]]="",tblPlant[[#This Row],[Mill_Unplanned_Down_h]]=""),"",(cfg_HoursPerDay-tblPlant[[#This Row],[Mill_Planned_Maint_h]]-tblPlant[[#This Row],[Mill_Unplanned_Down_h]])/cfg_HoursPerDay)</f>
        <v/>
      </c>
      <c r="Y8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6">
      <c r="A86" s="54" t="n">
        <v>46103</v>
      </c>
      <c r="B86" s="55" t="n"/>
      <c r="C86" s="55" t="n"/>
      <c r="D86" s="56" t="n"/>
      <c r="E86" s="56" t="n"/>
      <c r="F86" s="55" t="n"/>
      <c r="G86" s="55" t="n"/>
      <c r="H86" s="57" t="n"/>
      <c r="I86" s="57" t="n"/>
      <c r="J86" s="57" t="n"/>
      <c r="K86" s="57" t="n"/>
      <c r="L86" s="55" t="n"/>
      <c r="M86" s="55" t="n"/>
      <c r="N86" s="55" t="n"/>
      <c r="O86" s="55" t="n"/>
      <c r="P86" s="55" t="n"/>
      <c r="Q86" s="55" t="n"/>
      <c r="R86" s="58" t="n"/>
      <c r="S86" s="59">
        <f>IF(OR(tblPlant[[#This Row],[Milled_t]]="",tblPlant[[#This Row],[Head_Grade_gpt]]=""),"",tblPlant[[#This Row],[Milled_t]]*tblPlant[[#This Row],[Head_Grade_gpt]]/cfg_TroyOz)</f>
        <v/>
      </c>
      <c r="T86" s="59">
        <f>IF(OR(tblPlant[[#This Row],[Milled_t]]="",tblPlant[[#This Row],[Tails_Grade_gpt]]=""),"",tblPlant[[#This Row],[Milled_t]]*tblPlant[[#This Row],[Tails_Grade_gpt]]/cfg_TroyOz)</f>
        <v/>
      </c>
      <c r="U86" s="59">
        <f>IF(OR(tblPlant[[#This Row],[Milled_t]]="",tblPlant[[#This Row],[Head_Grade_gpt]]="",tblPlant[[#This Row],[Tails_Grade_gpt]]=""),"",tblPlant[[#This Row],[Feed_oz]]-tblPlant[[#This Row],[Tails_oz]])</f>
        <v/>
      </c>
      <c r="V86" s="60">
        <f>IF(AND(ISNUMBER(tblPlant[[#This Row],[Recovered_oz]]),tblPlant[[#This Row],[Feed_oz]]&gt;0),tblPlant[[#This Row],[Recovered_oz]]/tblPlant[[#This Row],[Feed_oz]],"")</f>
        <v/>
      </c>
      <c r="W86" s="59">
        <f>IF(AND(tblPlant[[#This Row],[Milled_t]]&lt;&gt;"",tblPlant[[#This Row],[Mill_Run_h]]&gt;0),tblPlant[[#This Row],[Milled_t]]/tblPlant[[#This Row],[Mill_Run_h]],"")</f>
        <v/>
      </c>
      <c r="X86" s="60">
        <f>IF(AND(tblPlant[[#This Row],[Mill_Run_h]]="",tblPlant[[#This Row],[Mill_Planned_Maint_h]]="",tblPlant[[#This Row],[Mill_Unplanned_Down_h]]=""),"",(cfg_HoursPerDay-tblPlant[[#This Row],[Mill_Planned_Maint_h]]-tblPlant[[#This Row],[Mill_Unplanned_Down_h]])/cfg_HoursPerDay)</f>
        <v/>
      </c>
      <c r="Y8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7">
      <c r="A87" s="54" t="n">
        <v>46104</v>
      </c>
      <c r="B87" s="55" t="n"/>
      <c r="C87" s="55" t="n"/>
      <c r="D87" s="56" t="n"/>
      <c r="E87" s="56" t="n"/>
      <c r="F87" s="55" t="n"/>
      <c r="G87" s="55" t="n"/>
      <c r="H87" s="57" t="n"/>
      <c r="I87" s="57" t="n"/>
      <c r="J87" s="57" t="n"/>
      <c r="K87" s="57" t="n"/>
      <c r="L87" s="55" t="n"/>
      <c r="M87" s="55" t="n"/>
      <c r="N87" s="55" t="n"/>
      <c r="O87" s="55" t="n"/>
      <c r="P87" s="55" t="n"/>
      <c r="Q87" s="55" t="n"/>
      <c r="R87" s="58" t="n"/>
      <c r="S87" s="59">
        <f>IF(OR(tblPlant[[#This Row],[Milled_t]]="",tblPlant[[#This Row],[Head_Grade_gpt]]=""),"",tblPlant[[#This Row],[Milled_t]]*tblPlant[[#This Row],[Head_Grade_gpt]]/cfg_TroyOz)</f>
        <v/>
      </c>
      <c r="T87" s="59">
        <f>IF(OR(tblPlant[[#This Row],[Milled_t]]="",tblPlant[[#This Row],[Tails_Grade_gpt]]=""),"",tblPlant[[#This Row],[Milled_t]]*tblPlant[[#This Row],[Tails_Grade_gpt]]/cfg_TroyOz)</f>
        <v/>
      </c>
      <c r="U87" s="59">
        <f>IF(OR(tblPlant[[#This Row],[Milled_t]]="",tblPlant[[#This Row],[Head_Grade_gpt]]="",tblPlant[[#This Row],[Tails_Grade_gpt]]=""),"",tblPlant[[#This Row],[Feed_oz]]-tblPlant[[#This Row],[Tails_oz]])</f>
        <v/>
      </c>
      <c r="V87" s="60">
        <f>IF(AND(ISNUMBER(tblPlant[[#This Row],[Recovered_oz]]),tblPlant[[#This Row],[Feed_oz]]&gt;0),tblPlant[[#This Row],[Recovered_oz]]/tblPlant[[#This Row],[Feed_oz]],"")</f>
        <v/>
      </c>
      <c r="W87" s="59">
        <f>IF(AND(tblPlant[[#This Row],[Milled_t]]&lt;&gt;"",tblPlant[[#This Row],[Mill_Run_h]]&gt;0),tblPlant[[#This Row],[Milled_t]]/tblPlant[[#This Row],[Mill_Run_h]],"")</f>
        <v/>
      </c>
      <c r="X87" s="60">
        <f>IF(AND(tblPlant[[#This Row],[Mill_Run_h]]="",tblPlant[[#This Row],[Mill_Planned_Maint_h]]="",tblPlant[[#This Row],[Mill_Unplanned_Down_h]]=""),"",(cfg_HoursPerDay-tblPlant[[#This Row],[Mill_Planned_Maint_h]]-tblPlant[[#This Row],[Mill_Unplanned_Down_h]])/cfg_HoursPerDay)</f>
        <v/>
      </c>
      <c r="Y8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8">
      <c r="A88" s="54" t="n">
        <v>46105</v>
      </c>
      <c r="B88" s="55" t="n"/>
      <c r="C88" s="55" t="n"/>
      <c r="D88" s="56" t="n"/>
      <c r="E88" s="56" t="n"/>
      <c r="F88" s="55" t="n"/>
      <c r="G88" s="55" t="n"/>
      <c r="H88" s="57" t="n"/>
      <c r="I88" s="57" t="n"/>
      <c r="J88" s="57" t="n"/>
      <c r="K88" s="57" t="n"/>
      <c r="L88" s="55" t="n"/>
      <c r="M88" s="55" t="n"/>
      <c r="N88" s="55" t="n"/>
      <c r="O88" s="55" t="n"/>
      <c r="P88" s="55" t="n"/>
      <c r="Q88" s="55" t="n"/>
      <c r="R88" s="58" t="n"/>
      <c r="S88" s="59">
        <f>IF(OR(tblPlant[[#This Row],[Milled_t]]="",tblPlant[[#This Row],[Head_Grade_gpt]]=""),"",tblPlant[[#This Row],[Milled_t]]*tblPlant[[#This Row],[Head_Grade_gpt]]/cfg_TroyOz)</f>
        <v/>
      </c>
      <c r="T88" s="59">
        <f>IF(OR(tblPlant[[#This Row],[Milled_t]]="",tblPlant[[#This Row],[Tails_Grade_gpt]]=""),"",tblPlant[[#This Row],[Milled_t]]*tblPlant[[#This Row],[Tails_Grade_gpt]]/cfg_TroyOz)</f>
        <v/>
      </c>
      <c r="U88" s="59">
        <f>IF(OR(tblPlant[[#This Row],[Milled_t]]="",tblPlant[[#This Row],[Head_Grade_gpt]]="",tblPlant[[#This Row],[Tails_Grade_gpt]]=""),"",tblPlant[[#This Row],[Feed_oz]]-tblPlant[[#This Row],[Tails_oz]])</f>
        <v/>
      </c>
      <c r="V88" s="60">
        <f>IF(AND(ISNUMBER(tblPlant[[#This Row],[Recovered_oz]]),tblPlant[[#This Row],[Feed_oz]]&gt;0),tblPlant[[#This Row],[Recovered_oz]]/tblPlant[[#This Row],[Feed_oz]],"")</f>
        <v/>
      </c>
      <c r="W88" s="59">
        <f>IF(AND(tblPlant[[#This Row],[Milled_t]]&lt;&gt;"",tblPlant[[#This Row],[Mill_Run_h]]&gt;0),tblPlant[[#This Row],[Milled_t]]/tblPlant[[#This Row],[Mill_Run_h]],"")</f>
        <v/>
      </c>
      <c r="X88" s="60">
        <f>IF(AND(tblPlant[[#This Row],[Mill_Run_h]]="",tblPlant[[#This Row],[Mill_Planned_Maint_h]]="",tblPlant[[#This Row],[Mill_Unplanned_Down_h]]=""),"",(cfg_HoursPerDay-tblPlant[[#This Row],[Mill_Planned_Maint_h]]-tblPlant[[#This Row],[Mill_Unplanned_Down_h]])/cfg_HoursPerDay)</f>
        <v/>
      </c>
      <c r="Y8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89">
      <c r="A89" s="54" t="n">
        <v>46106</v>
      </c>
      <c r="B89" s="55" t="n"/>
      <c r="C89" s="55" t="n"/>
      <c r="D89" s="56" t="n"/>
      <c r="E89" s="56" t="n"/>
      <c r="F89" s="55" t="n"/>
      <c r="G89" s="55" t="n"/>
      <c r="H89" s="57" t="n"/>
      <c r="I89" s="57" t="n"/>
      <c r="J89" s="57" t="n"/>
      <c r="K89" s="57" t="n"/>
      <c r="L89" s="55" t="n"/>
      <c r="M89" s="55" t="n"/>
      <c r="N89" s="55" t="n"/>
      <c r="O89" s="55" t="n"/>
      <c r="P89" s="55" t="n"/>
      <c r="Q89" s="55" t="n"/>
      <c r="R89" s="58" t="n"/>
      <c r="S89" s="59">
        <f>IF(OR(tblPlant[[#This Row],[Milled_t]]="",tblPlant[[#This Row],[Head_Grade_gpt]]=""),"",tblPlant[[#This Row],[Milled_t]]*tblPlant[[#This Row],[Head_Grade_gpt]]/cfg_TroyOz)</f>
        <v/>
      </c>
      <c r="T89" s="59">
        <f>IF(OR(tblPlant[[#This Row],[Milled_t]]="",tblPlant[[#This Row],[Tails_Grade_gpt]]=""),"",tblPlant[[#This Row],[Milled_t]]*tblPlant[[#This Row],[Tails_Grade_gpt]]/cfg_TroyOz)</f>
        <v/>
      </c>
      <c r="U89" s="59">
        <f>IF(OR(tblPlant[[#This Row],[Milled_t]]="",tblPlant[[#This Row],[Head_Grade_gpt]]="",tblPlant[[#This Row],[Tails_Grade_gpt]]=""),"",tblPlant[[#This Row],[Feed_oz]]-tblPlant[[#This Row],[Tails_oz]])</f>
        <v/>
      </c>
      <c r="V89" s="60">
        <f>IF(AND(ISNUMBER(tblPlant[[#This Row],[Recovered_oz]]),tblPlant[[#This Row],[Feed_oz]]&gt;0),tblPlant[[#This Row],[Recovered_oz]]/tblPlant[[#This Row],[Feed_oz]],"")</f>
        <v/>
      </c>
      <c r="W89" s="59">
        <f>IF(AND(tblPlant[[#This Row],[Milled_t]]&lt;&gt;"",tblPlant[[#This Row],[Mill_Run_h]]&gt;0),tblPlant[[#This Row],[Milled_t]]/tblPlant[[#This Row],[Mill_Run_h]],"")</f>
        <v/>
      </c>
      <c r="X89" s="60">
        <f>IF(AND(tblPlant[[#This Row],[Mill_Run_h]]="",tblPlant[[#This Row],[Mill_Planned_Maint_h]]="",tblPlant[[#This Row],[Mill_Unplanned_Down_h]]=""),"",(cfg_HoursPerDay-tblPlant[[#This Row],[Mill_Planned_Maint_h]]-tblPlant[[#This Row],[Mill_Unplanned_Down_h]])/cfg_HoursPerDay)</f>
        <v/>
      </c>
      <c r="Y8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0">
      <c r="A90" s="54" t="n">
        <v>46107</v>
      </c>
      <c r="B90" s="55" t="n"/>
      <c r="C90" s="55" t="n"/>
      <c r="D90" s="56" t="n"/>
      <c r="E90" s="56" t="n"/>
      <c r="F90" s="55" t="n"/>
      <c r="G90" s="55" t="n"/>
      <c r="H90" s="57" t="n"/>
      <c r="I90" s="57" t="n"/>
      <c r="J90" s="57" t="n"/>
      <c r="K90" s="57" t="n"/>
      <c r="L90" s="55" t="n"/>
      <c r="M90" s="55" t="n"/>
      <c r="N90" s="55" t="n"/>
      <c r="O90" s="55" t="n"/>
      <c r="P90" s="55" t="n"/>
      <c r="Q90" s="55" t="n"/>
      <c r="R90" s="58" t="n"/>
      <c r="S90" s="59">
        <f>IF(OR(tblPlant[[#This Row],[Milled_t]]="",tblPlant[[#This Row],[Head_Grade_gpt]]=""),"",tblPlant[[#This Row],[Milled_t]]*tblPlant[[#This Row],[Head_Grade_gpt]]/cfg_TroyOz)</f>
        <v/>
      </c>
      <c r="T90" s="59">
        <f>IF(OR(tblPlant[[#This Row],[Milled_t]]="",tblPlant[[#This Row],[Tails_Grade_gpt]]=""),"",tblPlant[[#This Row],[Milled_t]]*tblPlant[[#This Row],[Tails_Grade_gpt]]/cfg_TroyOz)</f>
        <v/>
      </c>
      <c r="U90" s="59">
        <f>IF(OR(tblPlant[[#This Row],[Milled_t]]="",tblPlant[[#This Row],[Head_Grade_gpt]]="",tblPlant[[#This Row],[Tails_Grade_gpt]]=""),"",tblPlant[[#This Row],[Feed_oz]]-tblPlant[[#This Row],[Tails_oz]])</f>
        <v/>
      </c>
      <c r="V90" s="60">
        <f>IF(AND(ISNUMBER(tblPlant[[#This Row],[Recovered_oz]]),tblPlant[[#This Row],[Feed_oz]]&gt;0),tblPlant[[#This Row],[Recovered_oz]]/tblPlant[[#This Row],[Feed_oz]],"")</f>
        <v/>
      </c>
      <c r="W90" s="59">
        <f>IF(AND(tblPlant[[#This Row],[Milled_t]]&lt;&gt;"",tblPlant[[#This Row],[Mill_Run_h]]&gt;0),tblPlant[[#This Row],[Milled_t]]/tblPlant[[#This Row],[Mill_Run_h]],"")</f>
        <v/>
      </c>
      <c r="X90" s="60">
        <f>IF(AND(tblPlant[[#This Row],[Mill_Run_h]]="",tblPlant[[#This Row],[Mill_Planned_Maint_h]]="",tblPlant[[#This Row],[Mill_Unplanned_Down_h]]=""),"",(cfg_HoursPerDay-tblPlant[[#This Row],[Mill_Planned_Maint_h]]-tblPlant[[#This Row],[Mill_Unplanned_Down_h]])/cfg_HoursPerDay)</f>
        <v/>
      </c>
      <c r="Y9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1">
      <c r="A91" s="54" t="n">
        <v>46108</v>
      </c>
      <c r="B91" s="55" t="n"/>
      <c r="C91" s="55" t="n"/>
      <c r="D91" s="56" t="n"/>
      <c r="E91" s="56" t="n"/>
      <c r="F91" s="55" t="n"/>
      <c r="G91" s="55" t="n"/>
      <c r="H91" s="57" t="n"/>
      <c r="I91" s="57" t="n"/>
      <c r="J91" s="57" t="n"/>
      <c r="K91" s="57" t="n"/>
      <c r="L91" s="55" t="n"/>
      <c r="M91" s="55" t="n"/>
      <c r="N91" s="55" t="n"/>
      <c r="O91" s="55" t="n"/>
      <c r="P91" s="55" t="n"/>
      <c r="Q91" s="55" t="n"/>
      <c r="R91" s="58" t="n"/>
      <c r="S91" s="59">
        <f>IF(OR(tblPlant[[#This Row],[Milled_t]]="",tblPlant[[#This Row],[Head_Grade_gpt]]=""),"",tblPlant[[#This Row],[Milled_t]]*tblPlant[[#This Row],[Head_Grade_gpt]]/cfg_TroyOz)</f>
        <v/>
      </c>
      <c r="T91" s="59">
        <f>IF(OR(tblPlant[[#This Row],[Milled_t]]="",tblPlant[[#This Row],[Tails_Grade_gpt]]=""),"",tblPlant[[#This Row],[Milled_t]]*tblPlant[[#This Row],[Tails_Grade_gpt]]/cfg_TroyOz)</f>
        <v/>
      </c>
      <c r="U91" s="59">
        <f>IF(OR(tblPlant[[#This Row],[Milled_t]]="",tblPlant[[#This Row],[Head_Grade_gpt]]="",tblPlant[[#This Row],[Tails_Grade_gpt]]=""),"",tblPlant[[#This Row],[Feed_oz]]-tblPlant[[#This Row],[Tails_oz]])</f>
        <v/>
      </c>
      <c r="V91" s="60">
        <f>IF(AND(ISNUMBER(tblPlant[[#This Row],[Recovered_oz]]),tblPlant[[#This Row],[Feed_oz]]&gt;0),tblPlant[[#This Row],[Recovered_oz]]/tblPlant[[#This Row],[Feed_oz]],"")</f>
        <v/>
      </c>
      <c r="W91" s="59">
        <f>IF(AND(tblPlant[[#This Row],[Milled_t]]&lt;&gt;"",tblPlant[[#This Row],[Mill_Run_h]]&gt;0),tblPlant[[#This Row],[Milled_t]]/tblPlant[[#This Row],[Mill_Run_h]],"")</f>
        <v/>
      </c>
      <c r="X91" s="60">
        <f>IF(AND(tblPlant[[#This Row],[Mill_Run_h]]="",tblPlant[[#This Row],[Mill_Planned_Maint_h]]="",tblPlant[[#This Row],[Mill_Unplanned_Down_h]]=""),"",(cfg_HoursPerDay-tblPlant[[#This Row],[Mill_Planned_Maint_h]]-tblPlant[[#This Row],[Mill_Unplanned_Down_h]])/cfg_HoursPerDay)</f>
        <v/>
      </c>
      <c r="Y9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2">
      <c r="A92" s="54" t="n">
        <v>46109</v>
      </c>
      <c r="B92" s="55" t="n"/>
      <c r="C92" s="55" t="n"/>
      <c r="D92" s="56" t="n"/>
      <c r="E92" s="56" t="n"/>
      <c r="F92" s="55" t="n"/>
      <c r="G92" s="55" t="n"/>
      <c r="H92" s="57" t="n"/>
      <c r="I92" s="57" t="n"/>
      <c r="J92" s="57" t="n"/>
      <c r="K92" s="57" t="n"/>
      <c r="L92" s="55" t="n"/>
      <c r="M92" s="55" t="n"/>
      <c r="N92" s="55" t="n"/>
      <c r="O92" s="55" t="n"/>
      <c r="P92" s="55" t="n"/>
      <c r="Q92" s="55" t="n"/>
      <c r="R92" s="58" t="n"/>
      <c r="S92" s="59">
        <f>IF(OR(tblPlant[[#This Row],[Milled_t]]="",tblPlant[[#This Row],[Head_Grade_gpt]]=""),"",tblPlant[[#This Row],[Milled_t]]*tblPlant[[#This Row],[Head_Grade_gpt]]/cfg_TroyOz)</f>
        <v/>
      </c>
      <c r="T92" s="59">
        <f>IF(OR(tblPlant[[#This Row],[Milled_t]]="",tblPlant[[#This Row],[Tails_Grade_gpt]]=""),"",tblPlant[[#This Row],[Milled_t]]*tblPlant[[#This Row],[Tails_Grade_gpt]]/cfg_TroyOz)</f>
        <v/>
      </c>
      <c r="U92" s="59">
        <f>IF(OR(tblPlant[[#This Row],[Milled_t]]="",tblPlant[[#This Row],[Head_Grade_gpt]]="",tblPlant[[#This Row],[Tails_Grade_gpt]]=""),"",tblPlant[[#This Row],[Feed_oz]]-tblPlant[[#This Row],[Tails_oz]])</f>
        <v/>
      </c>
      <c r="V92" s="60">
        <f>IF(AND(ISNUMBER(tblPlant[[#This Row],[Recovered_oz]]),tblPlant[[#This Row],[Feed_oz]]&gt;0),tblPlant[[#This Row],[Recovered_oz]]/tblPlant[[#This Row],[Feed_oz]],"")</f>
        <v/>
      </c>
      <c r="W92" s="59">
        <f>IF(AND(tblPlant[[#This Row],[Milled_t]]&lt;&gt;"",tblPlant[[#This Row],[Mill_Run_h]]&gt;0),tblPlant[[#This Row],[Milled_t]]/tblPlant[[#This Row],[Mill_Run_h]],"")</f>
        <v/>
      </c>
      <c r="X92" s="60">
        <f>IF(AND(tblPlant[[#This Row],[Mill_Run_h]]="",tblPlant[[#This Row],[Mill_Planned_Maint_h]]="",tblPlant[[#This Row],[Mill_Unplanned_Down_h]]=""),"",(cfg_HoursPerDay-tblPlant[[#This Row],[Mill_Planned_Maint_h]]-tblPlant[[#This Row],[Mill_Unplanned_Down_h]])/cfg_HoursPerDay)</f>
        <v/>
      </c>
      <c r="Y9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3">
      <c r="A93" s="54" t="n">
        <v>46110</v>
      </c>
      <c r="B93" s="55" t="n"/>
      <c r="C93" s="55" t="n"/>
      <c r="D93" s="56" t="n"/>
      <c r="E93" s="56" t="n"/>
      <c r="F93" s="55" t="n"/>
      <c r="G93" s="55" t="n"/>
      <c r="H93" s="57" t="n"/>
      <c r="I93" s="57" t="n"/>
      <c r="J93" s="57" t="n"/>
      <c r="K93" s="57" t="n"/>
      <c r="L93" s="55" t="n"/>
      <c r="M93" s="55" t="n"/>
      <c r="N93" s="55" t="n"/>
      <c r="O93" s="55" t="n"/>
      <c r="P93" s="55" t="n"/>
      <c r="Q93" s="55" t="n"/>
      <c r="R93" s="58" t="n"/>
      <c r="S93" s="59">
        <f>IF(OR(tblPlant[[#This Row],[Milled_t]]="",tblPlant[[#This Row],[Head_Grade_gpt]]=""),"",tblPlant[[#This Row],[Milled_t]]*tblPlant[[#This Row],[Head_Grade_gpt]]/cfg_TroyOz)</f>
        <v/>
      </c>
      <c r="T93" s="59">
        <f>IF(OR(tblPlant[[#This Row],[Milled_t]]="",tblPlant[[#This Row],[Tails_Grade_gpt]]=""),"",tblPlant[[#This Row],[Milled_t]]*tblPlant[[#This Row],[Tails_Grade_gpt]]/cfg_TroyOz)</f>
        <v/>
      </c>
      <c r="U93" s="59">
        <f>IF(OR(tblPlant[[#This Row],[Milled_t]]="",tblPlant[[#This Row],[Head_Grade_gpt]]="",tblPlant[[#This Row],[Tails_Grade_gpt]]=""),"",tblPlant[[#This Row],[Feed_oz]]-tblPlant[[#This Row],[Tails_oz]])</f>
        <v/>
      </c>
      <c r="V93" s="60">
        <f>IF(AND(ISNUMBER(tblPlant[[#This Row],[Recovered_oz]]),tblPlant[[#This Row],[Feed_oz]]&gt;0),tblPlant[[#This Row],[Recovered_oz]]/tblPlant[[#This Row],[Feed_oz]],"")</f>
        <v/>
      </c>
      <c r="W93" s="59">
        <f>IF(AND(tblPlant[[#This Row],[Milled_t]]&lt;&gt;"",tblPlant[[#This Row],[Mill_Run_h]]&gt;0),tblPlant[[#This Row],[Milled_t]]/tblPlant[[#This Row],[Mill_Run_h]],"")</f>
        <v/>
      </c>
      <c r="X93" s="60">
        <f>IF(AND(tblPlant[[#This Row],[Mill_Run_h]]="",tblPlant[[#This Row],[Mill_Planned_Maint_h]]="",tblPlant[[#This Row],[Mill_Unplanned_Down_h]]=""),"",(cfg_HoursPerDay-tblPlant[[#This Row],[Mill_Planned_Maint_h]]-tblPlant[[#This Row],[Mill_Unplanned_Down_h]])/cfg_HoursPerDay)</f>
        <v/>
      </c>
      <c r="Y9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4">
      <c r="A94" s="54" t="n">
        <v>46111</v>
      </c>
      <c r="B94" s="55" t="n"/>
      <c r="C94" s="55" t="n"/>
      <c r="D94" s="56" t="n"/>
      <c r="E94" s="56" t="n"/>
      <c r="F94" s="55" t="n"/>
      <c r="G94" s="55" t="n"/>
      <c r="H94" s="57" t="n"/>
      <c r="I94" s="57" t="n"/>
      <c r="J94" s="57" t="n"/>
      <c r="K94" s="57" t="n"/>
      <c r="L94" s="55" t="n"/>
      <c r="M94" s="55" t="n"/>
      <c r="N94" s="55" t="n"/>
      <c r="O94" s="55" t="n"/>
      <c r="P94" s="55" t="n"/>
      <c r="Q94" s="55" t="n"/>
      <c r="R94" s="58" t="n"/>
      <c r="S94" s="59">
        <f>IF(OR(tblPlant[[#This Row],[Milled_t]]="",tblPlant[[#This Row],[Head_Grade_gpt]]=""),"",tblPlant[[#This Row],[Milled_t]]*tblPlant[[#This Row],[Head_Grade_gpt]]/cfg_TroyOz)</f>
        <v/>
      </c>
      <c r="T94" s="59">
        <f>IF(OR(tblPlant[[#This Row],[Milled_t]]="",tblPlant[[#This Row],[Tails_Grade_gpt]]=""),"",tblPlant[[#This Row],[Milled_t]]*tblPlant[[#This Row],[Tails_Grade_gpt]]/cfg_TroyOz)</f>
        <v/>
      </c>
      <c r="U94" s="59">
        <f>IF(OR(tblPlant[[#This Row],[Milled_t]]="",tblPlant[[#This Row],[Head_Grade_gpt]]="",tblPlant[[#This Row],[Tails_Grade_gpt]]=""),"",tblPlant[[#This Row],[Feed_oz]]-tblPlant[[#This Row],[Tails_oz]])</f>
        <v/>
      </c>
      <c r="V94" s="60">
        <f>IF(AND(ISNUMBER(tblPlant[[#This Row],[Recovered_oz]]),tblPlant[[#This Row],[Feed_oz]]&gt;0),tblPlant[[#This Row],[Recovered_oz]]/tblPlant[[#This Row],[Feed_oz]],"")</f>
        <v/>
      </c>
      <c r="W94" s="59">
        <f>IF(AND(tblPlant[[#This Row],[Milled_t]]&lt;&gt;"",tblPlant[[#This Row],[Mill_Run_h]]&gt;0),tblPlant[[#This Row],[Milled_t]]/tblPlant[[#This Row],[Mill_Run_h]],"")</f>
        <v/>
      </c>
      <c r="X94" s="60">
        <f>IF(AND(tblPlant[[#This Row],[Mill_Run_h]]="",tblPlant[[#This Row],[Mill_Planned_Maint_h]]="",tblPlant[[#This Row],[Mill_Unplanned_Down_h]]=""),"",(cfg_HoursPerDay-tblPlant[[#This Row],[Mill_Planned_Maint_h]]-tblPlant[[#This Row],[Mill_Unplanned_Down_h]])/cfg_HoursPerDay)</f>
        <v/>
      </c>
      <c r="Y9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5">
      <c r="A95" s="54" t="n">
        <v>46112</v>
      </c>
      <c r="B95" s="55" t="n"/>
      <c r="C95" s="55" t="n"/>
      <c r="D95" s="56" t="n"/>
      <c r="E95" s="56" t="n"/>
      <c r="F95" s="55" t="n"/>
      <c r="G95" s="55" t="n"/>
      <c r="H95" s="57" t="n"/>
      <c r="I95" s="57" t="n"/>
      <c r="J95" s="57" t="n"/>
      <c r="K95" s="57" t="n"/>
      <c r="L95" s="55" t="n"/>
      <c r="M95" s="55" t="n"/>
      <c r="N95" s="55" t="n"/>
      <c r="O95" s="55" t="n"/>
      <c r="P95" s="55" t="n"/>
      <c r="Q95" s="55" t="n"/>
      <c r="R95" s="58" t="n"/>
      <c r="S95" s="59">
        <f>IF(OR(tblPlant[[#This Row],[Milled_t]]="",tblPlant[[#This Row],[Head_Grade_gpt]]=""),"",tblPlant[[#This Row],[Milled_t]]*tblPlant[[#This Row],[Head_Grade_gpt]]/cfg_TroyOz)</f>
        <v/>
      </c>
      <c r="T95" s="59">
        <f>IF(OR(tblPlant[[#This Row],[Milled_t]]="",tblPlant[[#This Row],[Tails_Grade_gpt]]=""),"",tblPlant[[#This Row],[Milled_t]]*tblPlant[[#This Row],[Tails_Grade_gpt]]/cfg_TroyOz)</f>
        <v/>
      </c>
      <c r="U95" s="59">
        <f>IF(OR(tblPlant[[#This Row],[Milled_t]]="",tblPlant[[#This Row],[Head_Grade_gpt]]="",tblPlant[[#This Row],[Tails_Grade_gpt]]=""),"",tblPlant[[#This Row],[Feed_oz]]-tblPlant[[#This Row],[Tails_oz]])</f>
        <v/>
      </c>
      <c r="V95" s="60">
        <f>IF(AND(ISNUMBER(tblPlant[[#This Row],[Recovered_oz]]),tblPlant[[#This Row],[Feed_oz]]&gt;0),tblPlant[[#This Row],[Recovered_oz]]/tblPlant[[#This Row],[Feed_oz]],"")</f>
        <v/>
      </c>
      <c r="W95" s="59">
        <f>IF(AND(tblPlant[[#This Row],[Milled_t]]&lt;&gt;"",tblPlant[[#This Row],[Mill_Run_h]]&gt;0),tblPlant[[#This Row],[Milled_t]]/tblPlant[[#This Row],[Mill_Run_h]],"")</f>
        <v/>
      </c>
      <c r="X95" s="60">
        <f>IF(AND(tblPlant[[#This Row],[Mill_Run_h]]="",tblPlant[[#This Row],[Mill_Planned_Maint_h]]="",tblPlant[[#This Row],[Mill_Unplanned_Down_h]]=""),"",(cfg_HoursPerDay-tblPlant[[#This Row],[Mill_Planned_Maint_h]]-tblPlant[[#This Row],[Mill_Unplanned_Down_h]])/cfg_HoursPerDay)</f>
        <v/>
      </c>
      <c r="Y9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6">
      <c r="A96" s="54" t="n">
        <v>46113</v>
      </c>
      <c r="B96" s="55" t="n"/>
      <c r="C96" s="55" t="n"/>
      <c r="D96" s="56" t="n"/>
      <c r="E96" s="56" t="n"/>
      <c r="F96" s="55" t="n"/>
      <c r="G96" s="55" t="n"/>
      <c r="H96" s="57" t="n"/>
      <c r="I96" s="57" t="n"/>
      <c r="J96" s="57" t="n"/>
      <c r="K96" s="57" t="n"/>
      <c r="L96" s="55" t="n"/>
      <c r="M96" s="55" t="n"/>
      <c r="N96" s="55" t="n"/>
      <c r="O96" s="55" t="n"/>
      <c r="P96" s="55" t="n"/>
      <c r="Q96" s="55" t="n"/>
      <c r="R96" s="58" t="n"/>
      <c r="S96" s="59">
        <f>IF(OR(tblPlant[[#This Row],[Milled_t]]="",tblPlant[[#This Row],[Head_Grade_gpt]]=""),"",tblPlant[[#This Row],[Milled_t]]*tblPlant[[#This Row],[Head_Grade_gpt]]/cfg_TroyOz)</f>
        <v/>
      </c>
      <c r="T96" s="59">
        <f>IF(OR(tblPlant[[#This Row],[Milled_t]]="",tblPlant[[#This Row],[Tails_Grade_gpt]]=""),"",tblPlant[[#This Row],[Milled_t]]*tblPlant[[#This Row],[Tails_Grade_gpt]]/cfg_TroyOz)</f>
        <v/>
      </c>
      <c r="U96" s="59">
        <f>IF(OR(tblPlant[[#This Row],[Milled_t]]="",tblPlant[[#This Row],[Head_Grade_gpt]]="",tblPlant[[#This Row],[Tails_Grade_gpt]]=""),"",tblPlant[[#This Row],[Feed_oz]]-tblPlant[[#This Row],[Tails_oz]])</f>
        <v/>
      </c>
      <c r="V96" s="60">
        <f>IF(AND(ISNUMBER(tblPlant[[#This Row],[Recovered_oz]]),tblPlant[[#This Row],[Feed_oz]]&gt;0),tblPlant[[#This Row],[Recovered_oz]]/tblPlant[[#This Row],[Feed_oz]],"")</f>
        <v/>
      </c>
      <c r="W96" s="59">
        <f>IF(AND(tblPlant[[#This Row],[Milled_t]]&lt;&gt;"",tblPlant[[#This Row],[Mill_Run_h]]&gt;0),tblPlant[[#This Row],[Milled_t]]/tblPlant[[#This Row],[Mill_Run_h]],"")</f>
        <v/>
      </c>
      <c r="X96" s="60">
        <f>IF(AND(tblPlant[[#This Row],[Mill_Run_h]]="",tblPlant[[#This Row],[Mill_Planned_Maint_h]]="",tblPlant[[#This Row],[Mill_Unplanned_Down_h]]=""),"",(cfg_HoursPerDay-tblPlant[[#This Row],[Mill_Planned_Maint_h]]-tblPlant[[#This Row],[Mill_Unplanned_Down_h]])/cfg_HoursPerDay)</f>
        <v/>
      </c>
      <c r="Y9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7">
      <c r="A97" s="54" t="n">
        <v>46114</v>
      </c>
      <c r="B97" s="55" t="n"/>
      <c r="C97" s="55" t="n"/>
      <c r="D97" s="56" t="n"/>
      <c r="E97" s="56" t="n"/>
      <c r="F97" s="55" t="n"/>
      <c r="G97" s="55" t="n"/>
      <c r="H97" s="57" t="n"/>
      <c r="I97" s="57" t="n"/>
      <c r="J97" s="57" t="n"/>
      <c r="K97" s="57" t="n"/>
      <c r="L97" s="55" t="n"/>
      <c r="M97" s="55" t="n"/>
      <c r="N97" s="55" t="n"/>
      <c r="O97" s="55" t="n"/>
      <c r="P97" s="55" t="n"/>
      <c r="Q97" s="55" t="n"/>
      <c r="R97" s="58" t="n"/>
      <c r="S97" s="59">
        <f>IF(OR(tblPlant[[#This Row],[Milled_t]]="",tblPlant[[#This Row],[Head_Grade_gpt]]=""),"",tblPlant[[#This Row],[Milled_t]]*tblPlant[[#This Row],[Head_Grade_gpt]]/cfg_TroyOz)</f>
        <v/>
      </c>
      <c r="T97" s="59">
        <f>IF(OR(tblPlant[[#This Row],[Milled_t]]="",tblPlant[[#This Row],[Tails_Grade_gpt]]=""),"",tblPlant[[#This Row],[Milled_t]]*tblPlant[[#This Row],[Tails_Grade_gpt]]/cfg_TroyOz)</f>
        <v/>
      </c>
      <c r="U97" s="59">
        <f>IF(OR(tblPlant[[#This Row],[Milled_t]]="",tblPlant[[#This Row],[Head_Grade_gpt]]="",tblPlant[[#This Row],[Tails_Grade_gpt]]=""),"",tblPlant[[#This Row],[Feed_oz]]-tblPlant[[#This Row],[Tails_oz]])</f>
        <v/>
      </c>
      <c r="V97" s="60">
        <f>IF(AND(ISNUMBER(tblPlant[[#This Row],[Recovered_oz]]),tblPlant[[#This Row],[Feed_oz]]&gt;0),tblPlant[[#This Row],[Recovered_oz]]/tblPlant[[#This Row],[Feed_oz]],"")</f>
        <v/>
      </c>
      <c r="W97" s="59">
        <f>IF(AND(tblPlant[[#This Row],[Milled_t]]&lt;&gt;"",tblPlant[[#This Row],[Mill_Run_h]]&gt;0),tblPlant[[#This Row],[Milled_t]]/tblPlant[[#This Row],[Mill_Run_h]],"")</f>
        <v/>
      </c>
      <c r="X97" s="60">
        <f>IF(AND(tblPlant[[#This Row],[Mill_Run_h]]="",tblPlant[[#This Row],[Mill_Planned_Maint_h]]="",tblPlant[[#This Row],[Mill_Unplanned_Down_h]]=""),"",(cfg_HoursPerDay-tblPlant[[#This Row],[Mill_Planned_Maint_h]]-tblPlant[[#This Row],[Mill_Unplanned_Down_h]])/cfg_HoursPerDay)</f>
        <v/>
      </c>
      <c r="Y9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8">
      <c r="A98" s="54" t="n">
        <v>46115</v>
      </c>
      <c r="B98" s="55" t="n"/>
      <c r="C98" s="55" t="n"/>
      <c r="D98" s="56" t="n"/>
      <c r="E98" s="56" t="n"/>
      <c r="F98" s="55" t="n"/>
      <c r="G98" s="55" t="n"/>
      <c r="H98" s="57" t="n"/>
      <c r="I98" s="57" t="n"/>
      <c r="J98" s="57" t="n"/>
      <c r="K98" s="57" t="n"/>
      <c r="L98" s="55" t="n"/>
      <c r="M98" s="55" t="n"/>
      <c r="N98" s="55" t="n"/>
      <c r="O98" s="55" t="n"/>
      <c r="P98" s="55" t="n"/>
      <c r="Q98" s="55" t="n"/>
      <c r="R98" s="58" t="n"/>
      <c r="S98" s="59">
        <f>IF(OR(tblPlant[[#This Row],[Milled_t]]="",tblPlant[[#This Row],[Head_Grade_gpt]]=""),"",tblPlant[[#This Row],[Milled_t]]*tblPlant[[#This Row],[Head_Grade_gpt]]/cfg_TroyOz)</f>
        <v/>
      </c>
      <c r="T98" s="59">
        <f>IF(OR(tblPlant[[#This Row],[Milled_t]]="",tblPlant[[#This Row],[Tails_Grade_gpt]]=""),"",tblPlant[[#This Row],[Milled_t]]*tblPlant[[#This Row],[Tails_Grade_gpt]]/cfg_TroyOz)</f>
        <v/>
      </c>
      <c r="U98" s="59">
        <f>IF(OR(tblPlant[[#This Row],[Milled_t]]="",tblPlant[[#This Row],[Head_Grade_gpt]]="",tblPlant[[#This Row],[Tails_Grade_gpt]]=""),"",tblPlant[[#This Row],[Feed_oz]]-tblPlant[[#This Row],[Tails_oz]])</f>
        <v/>
      </c>
      <c r="V98" s="60">
        <f>IF(AND(ISNUMBER(tblPlant[[#This Row],[Recovered_oz]]),tblPlant[[#This Row],[Feed_oz]]&gt;0),tblPlant[[#This Row],[Recovered_oz]]/tblPlant[[#This Row],[Feed_oz]],"")</f>
        <v/>
      </c>
      <c r="W98" s="59">
        <f>IF(AND(tblPlant[[#This Row],[Milled_t]]&lt;&gt;"",tblPlant[[#This Row],[Mill_Run_h]]&gt;0),tblPlant[[#This Row],[Milled_t]]/tblPlant[[#This Row],[Mill_Run_h]],"")</f>
        <v/>
      </c>
      <c r="X98" s="60">
        <f>IF(AND(tblPlant[[#This Row],[Mill_Run_h]]="",tblPlant[[#This Row],[Mill_Planned_Maint_h]]="",tblPlant[[#This Row],[Mill_Unplanned_Down_h]]=""),"",(cfg_HoursPerDay-tblPlant[[#This Row],[Mill_Planned_Maint_h]]-tblPlant[[#This Row],[Mill_Unplanned_Down_h]])/cfg_HoursPerDay)</f>
        <v/>
      </c>
      <c r="Y9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99">
      <c r="A99" s="54" t="n">
        <v>46116</v>
      </c>
      <c r="B99" s="55" t="n"/>
      <c r="C99" s="55" t="n"/>
      <c r="D99" s="56" t="n"/>
      <c r="E99" s="56" t="n"/>
      <c r="F99" s="55" t="n"/>
      <c r="G99" s="55" t="n"/>
      <c r="H99" s="57" t="n"/>
      <c r="I99" s="57" t="n"/>
      <c r="J99" s="57" t="n"/>
      <c r="K99" s="57" t="n"/>
      <c r="L99" s="55" t="n"/>
      <c r="M99" s="55" t="n"/>
      <c r="N99" s="55" t="n"/>
      <c r="O99" s="55" t="n"/>
      <c r="P99" s="55" t="n"/>
      <c r="Q99" s="55" t="n"/>
      <c r="R99" s="58" t="n"/>
      <c r="S99" s="59">
        <f>IF(OR(tblPlant[[#This Row],[Milled_t]]="",tblPlant[[#This Row],[Head_Grade_gpt]]=""),"",tblPlant[[#This Row],[Milled_t]]*tblPlant[[#This Row],[Head_Grade_gpt]]/cfg_TroyOz)</f>
        <v/>
      </c>
      <c r="T99" s="59">
        <f>IF(OR(tblPlant[[#This Row],[Milled_t]]="",tblPlant[[#This Row],[Tails_Grade_gpt]]=""),"",tblPlant[[#This Row],[Milled_t]]*tblPlant[[#This Row],[Tails_Grade_gpt]]/cfg_TroyOz)</f>
        <v/>
      </c>
      <c r="U99" s="59">
        <f>IF(OR(tblPlant[[#This Row],[Milled_t]]="",tblPlant[[#This Row],[Head_Grade_gpt]]="",tblPlant[[#This Row],[Tails_Grade_gpt]]=""),"",tblPlant[[#This Row],[Feed_oz]]-tblPlant[[#This Row],[Tails_oz]])</f>
        <v/>
      </c>
      <c r="V99" s="60">
        <f>IF(AND(ISNUMBER(tblPlant[[#This Row],[Recovered_oz]]),tblPlant[[#This Row],[Feed_oz]]&gt;0),tblPlant[[#This Row],[Recovered_oz]]/tblPlant[[#This Row],[Feed_oz]],"")</f>
        <v/>
      </c>
      <c r="W99" s="59">
        <f>IF(AND(tblPlant[[#This Row],[Milled_t]]&lt;&gt;"",tblPlant[[#This Row],[Mill_Run_h]]&gt;0),tblPlant[[#This Row],[Milled_t]]/tblPlant[[#This Row],[Mill_Run_h]],"")</f>
        <v/>
      </c>
      <c r="X99" s="60">
        <f>IF(AND(tblPlant[[#This Row],[Mill_Run_h]]="",tblPlant[[#This Row],[Mill_Planned_Maint_h]]="",tblPlant[[#This Row],[Mill_Unplanned_Down_h]]=""),"",(cfg_HoursPerDay-tblPlant[[#This Row],[Mill_Planned_Maint_h]]-tblPlant[[#This Row],[Mill_Unplanned_Down_h]])/cfg_HoursPerDay)</f>
        <v/>
      </c>
      <c r="Y9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0">
      <c r="A100" s="54" t="n">
        <v>46117</v>
      </c>
      <c r="B100" s="55" t="n"/>
      <c r="C100" s="55" t="n"/>
      <c r="D100" s="56" t="n"/>
      <c r="E100" s="56" t="n"/>
      <c r="F100" s="55" t="n"/>
      <c r="G100" s="55" t="n"/>
      <c r="H100" s="57" t="n"/>
      <c r="I100" s="57" t="n"/>
      <c r="J100" s="57" t="n"/>
      <c r="K100" s="57" t="n"/>
      <c r="L100" s="55" t="n"/>
      <c r="M100" s="55" t="n"/>
      <c r="N100" s="55" t="n"/>
      <c r="O100" s="55" t="n"/>
      <c r="P100" s="55" t="n"/>
      <c r="Q100" s="55" t="n"/>
      <c r="R100" s="58" t="n"/>
      <c r="S100" s="59">
        <f>IF(OR(tblPlant[[#This Row],[Milled_t]]="",tblPlant[[#This Row],[Head_Grade_gpt]]=""),"",tblPlant[[#This Row],[Milled_t]]*tblPlant[[#This Row],[Head_Grade_gpt]]/cfg_TroyOz)</f>
        <v/>
      </c>
      <c r="T100" s="59">
        <f>IF(OR(tblPlant[[#This Row],[Milled_t]]="",tblPlant[[#This Row],[Tails_Grade_gpt]]=""),"",tblPlant[[#This Row],[Milled_t]]*tblPlant[[#This Row],[Tails_Grade_gpt]]/cfg_TroyOz)</f>
        <v/>
      </c>
      <c r="U100" s="59">
        <f>IF(OR(tblPlant[[#This Row],[Milled_t]]="",tblPlant[[#This Row],[Head_Grade_gpt]]="",tblPlant[[#This Row],[Tails_Grade_gpt]]=""),"",tblPlant[[#This Row],[Feed_oz]]-tblPlant[[#This Row],[Tails_oz]])</f>
        <v/>
      </c>
      <c r="V100" s="60">
        <f>IF(AND(ISNUMBER(tblPlant[[#This Row],[Recovered_oz]]),tblPlant[[#This Row],[Feed_oz]]&gt;0),tblPlant[[#This Row],[Recovered_oz]]/tblPlant[[#This Row],[Feed_oz]],"")</f>
        <v/>
      </c>
      <c r="W100" s="59">
        <f>IF(AND(tblPlant[[#This Row],[Milled_t]]&lt;&gt;"",tblPlant[[#This Row],[Mill_Run_h]]&gt;0),tblPlant[[#This Row],[Milled_t]]/tblPlant[[#This Row],[Mill_Run_h]],"")</f>
        <v/>
      </c>
      <c r="X100" s="60">
        <f>IF(AND(tblPlant[[#This Row],[Mill_Run_h]]="",tblPlant[[#This Row],[Mill_Planned_Maint_h]]="",tblPlant[[#This Row],[Mill_Unplanned_Down_h]]=""),"",(cfg_HoursPerDay-tblPlant[[#This Row],[Mill_Planned_Maint_h]]-tblPlant[[#This Row],[Mill_Unplanned_Down_h]])/cfg_HoursPerDay)</f>
        <v/>
      </c>
      <c r="Y10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1">
      <c r="A101" s="54" t="n">
        <v>46118</v>
      </c>
      <c r="B101" s="55" t="n"/>
      <c r="C101" s="55" t="n"/>
      <c r="D101" s="56" t="n"/>
      <c r="E101" s="56" t="n"/>
      <c r="F101" s="55" t="n"/>
      <c r="G101" s="55" t="n"/>
      <c r="H101" s="57" t="n"/>
      <c r="I101" s="57" t="n"/>
      <c r="J101" s="57" t="n"/>
      <c r="K101" s="57" t="n"/>
      <c r="L101" s="55" t="n"/>
      <c r="M101" s="55" t="n"/>
      <c r="N101" s="55" t="n"/>
      <c r="O101" s="55" t="n"/>
      <c r="P101" s="55" t="n"/>
      <c r="Q101" s="55" t="n"/>
      <c r="R101" s="58" t="n"/>
      <c r="S101" s="59">
        <f>IF(OR(tblPlant[[#This Row],[Milled_t]]="",tblPlant[[#This Row],[Head_Grade_gpt]]=""),"",tblPlant[[#This Row],[Milled_t]]*tblPlant[[#This Row],[Head_Grade_gpt]]/cfg_TroyOz)</f>
        <v/>
      </c>
      <c r="T101" s="59">
        <f>IF(OR(tblPlant[[#This Row],[Milled_t]]="",tblPlant[[#This Row],[Tails_Grade_gpt]]=""),"",tblPlant[[#This Row],[Milled_t]]*tblPlant[[#This Row],[Tails_Grade_gpt]]/cfg_TroyOz)</f>
        <v/>
      </c>
      <c r="U101" s="59">
        <f>IF(OR(tblPlant[[#This Row],[Milled_t]]="",tblPlant[[#This Row],[Head_Grade_gpt]]="",tblPlant[[#This Row],[Tails_Grade_gpt]]=""),"",tblPlant[[#This Row],[Feed_oz]]-tblPlant[[#This Row],[Tails_oz]])</f>
        <v/>
      </c>
      <c r="V101" s="60">
        <f>IF(AND(ISNUMBER(tblPlant[[#This Row],[Recovered_oz]]),tblPlant[[#This Row],[Feed_oz]]&gt;0),tblPlant[[#This Row],[Recovered_oz]]/tblPlant[[#This Row],[Feed_oz]],"")</f>
        <v/>
      </c>
      <c r="W101" s="59">
        <f>IF(AND(tblPlant[[#This Row],[Milled_t]]&lt;&gt;"",tblPlant[[#This Row],[Mill_Run_h]]&gt;0),tblPlant[[#This Row],[Milled_t]]/tblPlant[[#This Row],[Mill_Run_h]],"")</f>
        <v/>
      </c>
      <c r="X101" s="60">
        <f>IF(AND(tblPlant[[#This Row],[Mill_Run_h]]="",tblPlant[[#This Row],[Mill_Planned_Maint_h]]="",tblPlant[[#This Row],[Mill_Unplanned_Down_h]]=""),"",(cfg_HoursPerDay-tblPlant[[#This Row],[Mill_Planned_Maint_h]]-tblPlant[[#This Row],[Mill_Unplanned_Down_h]])/cfg_HoursPerDay)</f>
        <v/>
      </c>
      <c r="Y10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2">
      <c r="A102" s="54" t="n">
        <v>46119</v>
      </c>
      <c r="B102" s="55" t="n"/>
      <c r="C102" s="55" t="n"/>
      <c r="D102" s="56" t="n"/>
      <c r="E102" s="56" t="n"/>
      <c r="F102" s="55" t="n"/>
      <c r="G102" s="55" t="n"/>
      <c r="H102" s="57" t="n"/>
      <c r="I102" s="57" t="n"/>
      <c r="J102" s="57" t="n"/>
      <c r="K102" s="57" t="n"/>
      <c r="L102" s="55" t="n"/>
      <c r="M102" s="55" t="n"/>
      <c r="N102" s="55" t="n"/>
      <c r="O102" s="55" t="n"/>
      <c r="P102" s="55" t="n"/>
      <c r="Q102" s="55" t="n"/>
      <c r="R102" s="58" t="n"/>
      <c r="S102" s="59">
        <f>IF(OR(tblPlant[[#This Row],[Milled_t]]="",tblPlant[[#This Row],[Head_Grade_gpt]]=""),"",tblPlant[[#This Row],[Milled_t]]*tblPlant[[#This Row],[Head_Grade_gpt]]/cfg_TroyOz)</f>
        <v/>
      </c>
      <c r="T102" s="59">
        <f>IF(OR(tblPlant[[#This Row],[Milled_t]]="",tblPlant[[#This Row],[Tails_Grade_gpt]]=""),"",tblPlant[[#This Row],[Milled_t]]*tblPlant[[#This Row],[Tails_Grade_gpt]]/cfg_TroyOz)</f>
        <v/>
      </c>
      <c r="U102" s="59">
        <f>IF(OR(tblPlant[[#This Row],[Milled_t]]="",tblPlant[[#This Row],[Head_Grade_gpt]]="",tblPlant[[#This Row],[Tails_Grade_gpt]]=""),"",tblPlant[[#This Row],[Feed_oz]]-tblPlant[[#This Row],[Tails_oz]])</f>
        <v/>
      </c>
      <c r="V102" s="60">
        <f>IF(AND(ISNUMBER(tblPlant[[#This Row],[Recovered_oz]]),tblPlant[[#This Row],[Feed_oz]]&gt;0),tblPlant[[#This Row],[Recovered_oz]]/tblPlant[[#This Row],[Feed_oz]],"")</f>
        <v/>
      </c>
      <c r="W102" s="59">
        <f>IF(AND(tblPlant[[#This Row],[Milled_t]]&lt;&gt;"",tblPlant[[#This Row],[Mill_Run_h]]&gt;0),tblPlant[[#This Row],[Milled_t]]/tblPlant[[#This Row],[Mill_Run_h]],"")</f>
        <v/>
      </c>
      <c r="X102" s="60">
        <f>IF(AND(tblPlant[[#This Row],[Mill_Run_h]]="",tblPlant[[#This Row],[Mill_Planned_Maint_h]]="",tblPlant[[#This Row],[Mill_Unplanned_Down_h]]=""),"",(cfg_HoursPerDay-tblPlant[[#This Row],[Mill_Planned_Maint_h]]-tblPlant[[#This Row],[Mill_Unplanned_Down_h]])/cfg_HoursPerDay)</f>
        <v/>
      </c>
      <c r="Y10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3">
      <c r="A103" s="54" t="n">
        <v>46120</v>
      </c>
      <c r="B103" s="55" t="n"/>
      <c r="C103" s="55" t="n"/>
      <c r="D103" s="56" t="n"/>
      <c r="E103" s="56" t="n"/>
      <c r="F103" s="55" t="n"/>
      <c r="G103" s="55" t="n"/>
      <c r="H103" s="57" t="n"/>
      <c r="I103" s="57" t="n"/>
      <c r="J103" s="57" t="n"/>
      <c r="K103" s="57" t="n"/>
      <c r="L103" s="55" t="n"/>
      <c r="M103" s="55" t="n"/>
      <c r="N103" s="55" t="n"/>
      <c r="O103" s="55" t="n"/>
      <c r="P103" s="55" t="n"/>
      <c r="Q103" s="55" t="n"/>
      <c r="R103" s="58" t="n"/>
      <c r="S103" s="59">
        <f>IF(OR(tblPlant[[#This Row],[Milled_t]]="",tblPlant[[#This Row],[Head_Grade_gpt]]=""),"",tblPlant[[#This Row],[Milled_t]]*tblPlant[[#This Row],[Head_Grade_gpt]]/cfg_TroyOz)</f>
        <v/>
      </c>
      <c r="T103" s="59">
        <f>IF(OR(tblPlant[[#This Row],[Milled_t]]="",tblPlant[[#This Row],[Tails_Grade_gpt]]=""),"",tblPlant[[#This Row],[Milled_t]]*tblPlant[[#This Row],[Tails_Grade_gpt]]/cfg_TroyOz)</f>
        <v/>
      </c>
      <c r="U103" s="59">
        <f>IF(OR(tblPlant[[#This Row],[Milled_t]]="",tblPlant[[#This Row],[Head_Grade_gpt]]="",tblPlant[[#This Row],[Tails_Grade_gpt]]=""),"",tblPlant[[#This Row],[Feed_oz]]-tblPlant[[#This Row],[Tails_oz]])</f>
        <v/>
      </c>
      <c r="V103" s="60">
        <f>IF(AND(ISNUMBER(tblPlant[[#This Row],[Recovered_oz]]),tblPlant[[#This Row],[Feed_oz]]&gt;0),tblPlant[[#This Row],[Recovered_oz]]/tblPlant[[#This Row],[Feed_oz]],"")</f>
        <v/>
      </c>
      <c r="W103" s="59">
        <f>IF(AND(tblPlant[[#This Row],[Milled_t]]&lt;&gt;"",tblPlant[[#This Row],[Mill_Run_h]]&gt;0),tblPlant[[#This Row],[Milled_t]]/tblPlant[[#This Row],[Mill_Run_h]],"")</f>
        <v/>
      </c>
      <c r="X103" s="60">
        <f>IF(AND(tblPlant[[#This Row],[Mill_Run_h]]="",tblPlant[[#This Row],[Mill_Planned_Maint_h]]="",tblPlant[[#This Row],[Mill_Unplanned_Down_h]]=""),"",(cfg_HoursPerDay-tblPlant[[#This Row],[Mill_Planned_Maint_h]]-tblPlant[[#This Row],[Mill_Unplanned_Down_h]])/cfg_HoursPerDay)</f>
        <v/>
      </c>
      <c r="Y10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4">
      <c r="A104" s="54" t="n">
        <v>46121</v>
      </c>
      <c r="B104" s="55" t="n"/>
      <c r="C104" s="55" t="n"/>
      <c r="D104" s="56" t="n"/>
      <c r="E104" s="56" t="n"/>
      <c r="F104" s="55" t="n"/>
      <c r="G104" s="55" t="n"/>
      <c r="H104" s="57" t="n"/>
      <c r="I104" s="57" t="n"/>
      <c r="J104" s="57" t="n"/>
      <c r="K104" s="57" t="n"/>
      <c r="L104" s="55" t="n"/>
      <c r="M104" s="55" t="n"/>
      <c r="N104" s="55" t="n"/>
      <c r="O104" s="55" t="n"/>
      <c r="P104" s="55" t="n"/>
      <c r="Q104" s="55" t="n"/>
      <c r="R104" s="58" t="n"/>
      <c r="S104" s="59">
        <f>IF(OR(tblPlant[[#This Row],[Milled_t]]="",tblPlant[[#This Row],[Head_Grade_gpt]]=""),"",tblPlant[[#This Row],[Milled_t]]*tblPlant[[#This Row],[Head_Grade_gpt]]/cfg_TroyOz)</f>
        <v/>
      </c>
      <c r="T104" s="59">
        <f>IF(OR(tblPlant[[#This Row],[Milled_t]]="",tblPlant[[#This Row],[Tails_Grade_gpt]]=""),"",tblPlant[[#This Row],[Milled_t]]*tblPlant[[#This Row],[Tails_Grade_gpt]]/cfg_TroyOz)</f>
        <v/>
      </c>
      <c r="U104" s="59">
        <f>IF(OR(tblPlant[[#This Row],[Milled_t]]="",tblPlant[[#This Row],[Head_Grade_gpt]]="",tblPlant[[#This Row],[Tails_Grade_gpt]]=""),"",tblPlant[[#This Row],[Feed_oz]]-tblPlant[[#This Row],[Tails_oz]])</f>
        <v/>
      </c>
      <c r="V104" s="60">
        <f>IF(AND(ISNUMBER(tblPlant[[#This Row],[Recovered_oz]]),tblPlant[[#This Row],[Feed_oz]]&gt;0),tblPlant[[#This Row],[Recovered_oz]]/tblPlant[[#This Row],[Feed_oz]],"")</f>
        <v/>
      </c>
      <c r="W104" s="59">
        <f>IF(AND(tblPlant[[#This Row],[Milled_t]]&lt;&gt;"",tblPlant[[#This Row],[Mill_Run_h]]&gt;0),tblPlant[[#This Row],[Milled_t]]/tblPlant[[#This Row],[Mill_Run_h]],"")</f>
        <v/>
      </c>
      <c r="X104" s="60">
        <f>IF(AND(tblPlant[[#This Row],[Mill_Run_h]]="",tblPlant[[#This Row],[Mill_Planned_Maint_h]]="",tblPlant[[#This Row],[Mill_Unplanned_Down_h]]=""),"",(cfg_HoursPerDay-tblPlant[[#This Row],[Mill_Planned_Maint_h]]-tblPlant[[#This Row],[Mill_Unplanned_Down_h]])/cfg_HoursPerDay)</f>
        <v/>
      </c>
      <c r="Y10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5">
      <c r="A105" s="54" t="n">
        <v>46122</v>
      </c>
      <c r="B105" s="55" t="n"/>
      <c r="C105" s="55" t="n"/>
      <c r="D105" s="56" t="n"/>
      <c r="E105" s="56" t="n"/>
      <c r="F105" s="55" t="n"/>
      <c r="G105" s="55" t="n"/>
      <c r="H105" s="57" t="n"/>
      <c r="I105" s="57" t="n"/>
      <c r="J105" s="57" t="n"/>
      <c r="K105" s="57" t="n"/>
      <c r="L105" s="55" t="n"/>
      <c r="M105" s="55" t="n"/>
      <c r="N105" s="55" t="n"/>
      <c r="O105" s="55" t="n"/>
      <c r="P105" s="55" t="n"/>
      <c r="Q105" s="55" t="n"/>
      <c r="R105" s="58" t="n"/>
      <c r="S105" s="59">
        <f>IF(OR(tblPlant[[#This Row],[Milled_t]]="",tblPlant[[#This Row],[Head_Grade_gpt]]=""),"",tblPlant[[#This Row],[Milled_t]]*tblPlant[[#This Row],[Head_Grade_gpt]]/cfg_TroyOz)</f>
        <v/>
      </c>
      <c r="T105" s="59">
        <f>IF(OR(tblPlant[[#This Row],[Milled_t]]="",tblPlant[[#This Row],[Tails_Grade_gpt]]=""),"",tblPlant[[#This Row],[Milled_t]]*tblPlant[[#This Row],[Tails_Grade_gpt]]/cfg_TroyOz)</f>
        <v/>
      </c>
      <c r="U105" s="59">
        <f>IF(OR(tblPlant[[#This Row],[Milled_t]]="",tblPlant[[#This Row],[Head_Grade_gpt]]="",tblPlant[[#This Row],[Tails_Grade_gpt]]=""),"",tblPlant[[#This Row],[Feed_oz]]-tblPlant[[#This Row],[Tails_oz]])</f>
        <v/>
      </c>
      <c r="V105" s="60">
        <f>IF(AND(ISNUMBER(tblPlant[[#This Row],[Recovered_oz]]),tblPlant[[#This Row],[Feed_oz]]&gt;0),tblPlant[[#This Row],[Recovered_oz]]/tblPlant[[#This Row],[Feed_oz]],"")</f>
        <v/>
      </c>
      <c r="W105" s="59">
        <f>IF(AND(tblPlant[[#This Row],[Milled_t]]&lt;&gt;"",tblPlant[[#This Row],[Mill_Run_h]]&gt;0),tblPlant[[#This Row],[Milled_t]]/tblPlant[[#This Row],[Mill_Run_h]],"")</f>
        <v/>
      </c>
      <c r="X105" s="60">
        <f>IF(AND(tblPlant[[#This Row],[Mill_Run_h]]="",tblPlant[[#This Row],[Mill_Planned_Maint_h]]="",tblPlant[[#This Row],[Mill_Unplanned_Down_h]]=""),"",(cfg_HoursPerDay-tblPlant[[#This Row],[Mill_Planned_Maint_h]]-tblPlant[[#This Row],[Mill_Unplanned_Down_h]])/cfg_HoursPerDay)</f>
        <v/>
      </c>
      <c r="Y10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6">
      <c r="A106" s="54" t="n">
        <v>46123</v>
      </c>
      <c r="B106" s="55" t="n"/>
      <c r="C106" s="55" t="n"/>
      <c r="D106" s="56" t="n"/>
      <c r="E106" s="56" t="n"/>
      <c r="F106" s="55" t="n"/>
      <c r="G106" s="55" t="n"/>
      <c r="H106" s="57" t="n"/>
      <c r="I106" s="57" t="n"/>
      <c r="J106" s="57" t="n"/>
      <c r="K106" s="57" t="n"/>
      <c r="L106" s="55" t="n"/>
      <c r="M106" s="55" t="n"/>
      <c r="N106" s="55" t="n"/>
      <c r="O106" s="55" t="n"/>
      <c r="P106" s="55" t="n"/>
      <c r="Q106" s="55" t="n"/>
      <c r="R106" s="58" t="n"/>
      <c r="S106" s="59">
        <f>IF(OR(tblPlant[[#This Row],[Milled_t]]="",tblPlant[[#This Row],[Head_Grade_gpt]]=""),"",tblPlant[[#This Row],[Milled_t]]*tblPlant[[#This Row],[Head_Grade_gpt]]/cfg_TroyOz)</f>
        <v/>
      </c>
      <c r="T106" s="59">
        <f>IF(OR(tblPlant[[#This Row],[Milled_t]]="",tblPlant[[#This Row],[Tails_Grade_gpt]]=""),"",tblPlant[[#This Row],[Milled_t]]*tblPlant[[#This Row],[Tails_Grade_gpt]]/cfg_TroyOz)</f>
        <v/>
      </c>
      <c r="U106" s="59">
        <f>IF(OR(tblPlant[[#This Row],[Milled_t]]="",tblPlant[[#This Row],[Head_Grade_gpt]]="",tblPlant[[#This Row],[Tails_Grade_gpt]]=""),"",tblPlant[[#This Row],[Feed_oz]]-tblPlant[[#This Row],[Tails_oz]])</f>
        <v/>
      </c>
      <c r="V106" s="60">
        <f>IF(AND(ISNUMBER(tblPlant[[#This Row],[Recovered_oz]]),tblPlant[[#This Row],[Feed_oz]]&gt;0),tblPlant[[#This Row],[Recovered_oz]]/tblPlant[[#This Row],[Feed_oz]],"")</f>
        <v/>
      </c>
      <c r="W106" s="59">
        <f>IF(AND(tblPlant[[#This Row],[Milled_t]]&lt;&gt;"",tblPlant[[#This Row],[Mill_Run_h]]&gt;0),tblPlant[[#This Row],[Milled_t]]/tblPlant[[#This Row],[Mill_Run_h]],"")</f>
        <v/>
      </c>
      <c r="X106" s="60">
        <f>IF(AND(tblPlant[[#This Row],[Mill_Run_h]]="",tblPlant[[#This Row],[Mill_Planned_Maint_h]]="",tblPlant[[#This Row],[Mill_Unplanned_Down_h]]=""),"",(cfg_HoursPerDay-tblPlant[[#This Row],[Mill_Planned_Maint_h]]-tblPlant[[#This Row],[Mill_Unplanned_Down_h]])/cfg_HoursPerDay)</f>
        <v/>
      </c>
      <c r="Y10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7">
      <c r="A107" s="54" t="n">
        <v>46124</v>
      </c>
      <c r="B107" s="55" t="n"/>
      <c r="C107" s="55" t="n"/>
      <c r="D107" s="56" t="n"/>
      <c r="E107" s="56" t="n"/>
      <c r="F107" s="55" t="n"/>
      <c r="G107" s="55" t="n"/>
      <c r="H107" s="57" t="n"/>
      <c r="I107" s="57" t="n"/>
      <c r="J107" s="57" t="n"/>
      <c r="K107" s="57" t="n"/>
      <c r="L107" s="55" t="n"/>
      <c r="M107" s="55" t="n"/>
      <c r="N107" s="55" t="n"/>
      <c r="O107" s="55" t="n"/>
      <c r="P107" s="55" t="n"/>
      <c r="Q107" s="55" t="n"/>
      <c r="R107" s="58" t="n"/>
      <c r="S107" s="59">
        <f>IF(OR(tblPlant[[#This Row],[Milled_t]]="",tblPlant[[#This Row],[Head_Grade_gpt]]=""),"",tblPlant[[#This Row],[Milled_t]]*tblPlant[[#This Row],[Head_Grade_gpt]]/cfg_TroyOz)</f>
        <v/>
      </c>
      <c r="T107" s="59">
        <f>IF(OR(tblPlant[[#This Row],[Milled_t]]="",tblPlant[[#This Row],[Tails_Grade_gpt]]=""),"",tblPlant[[#This Row],[Milled_t]]*tblPlant[[#This Row],[Tails_Grade_gpt]]/cfg_TroyOz)</f>
        <v/>
      </c>
      <c r="U107" s="59">
        <f>IF(OR(tblPlant[[#This Row],[Milled_t]]="",tblPlant[[#This Row],[Head_Grade_gpt]]="",tblPlant[[#This Row],[Tails_Grade_gpt]]=""),"",tblPlant[[#This Row],[Feed_oz]]-tblPlant[[#This Row],[Tails_oz]])</f>
        <v/>
      </c>
      <c r="V107" s="60">
        <f>IF(AND(ISNUMBER(tblPlant[[#This Row],[Recovered_oz]]),tblPlant[[#This Row],[Feed_oz]]&gt;0),tblPlant[[#This Row],[Recovered_oz]]/tblPlant[[#This Row],[Feed_oz]],"")</f>
        <v/>
      </c>
      <c r="W107" s="59">
        <f>IF(AND(tblPlant[[#This Row],[Milled_t]]&lt;&gt;"",tblPlant[[#This Row],[Mill_Run_h]]&gt;0),tblPlant[[#This Row],[Milled_t]]/tblPlant[[#This Row],[Mill_Run_h]],"")</f>
        <v/>
      </c>
      <c r="X107" s="60">
        <f>IF(AND(tblPlant[[#This Row],[Mill_Run_h]]="",tblPlant[[#This Row],[Mill_Planned_Maint_h]]="",tblPlant[[#This Row],[Mill_Unplanned_Down_h]]=""),"",(cfg_HoursPerDay-tblPlant[[#This Row],[Mill_Planned_Maint_h]]-tblPlant[[#This Row],[Mill_Unplanned_Down_h]])/cfg_HoursPerDay)</f>
        <v/>
      </c>
      <c r="Y10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8">
      <c r="A108" s="54" t="n">
        <v>46125</v>
      </c>
      <c r="B108" s="55" t="n"/>
      <c r="C108" s="55" t="n"/>
      <c r="D108" s="56" t="n"/>
      <c r="E108" s="56" t="n"/>
      <c r="F108" s="55" t="n"/>
      <c r="G108" s="55" t="n"/>
      <c r="H108" s="57" t="n"/>
      <c r="I108" s="57" t="n"/>
      <c r="J108" s="57" t="n"/>
      <c r="K108" s="57" t="n"/>
      <c r="L108" s="55" t="n"/>
      <c r="M108" s="55" t="n"/>
      <c r="N108" s="55" t="n"/>
      <c r="O108" s="55" t="n"/>
      <c r="P108" s="55" t="n"/>
      <c r="Q108" s="55" t="n"/>
      <c r="R108" s="58" t="n"/>
      <c r="S108" s="59">
        <f>IF(OR(tblPlant[[#This Row],[Milled_t]]="",tblPlant[[#This Row],[Head_Grade_gpt]]=""),"",tblPlant[[#This Row],[Milled_t]]*tblPlant[[#This Row],[Head_Grade_gpt]]/cfg_TroyOz)</f>
        <v/>
      </c>
      <c r="T108" s="59">
        <f>IF(OR(tblPlant[[#This Row],[Milled_t]]="",tblPlant[[#This Row],[Tails_Grade_gpt]]=""),"",tblPlant[[#This Row],[Milled_t]]*tblPlant[[#This Row],[Tails_Grade_gpt]]/cfg_TroyOz)</f>
        <v/>
      </c>
      <c r="U108" s="59">
        <f>IF(OR(tblPlant[[#This Row],[Milled_t]]="",tblPlant[[#This Row],[Head_Grade_gpt]]="",tblPlant[[#This Row],[Tails_Grade_gpt]]=""),"",tblPlant[[#This Row],[Feed_oz]]-tblPlant[[#This Row],[Tails_oz]])</f>
        <v/>
      </c>
      <c r="V108" s="60">
        <f>IF(AND(ISNUMBER(tblPlant[[#This Row],[Recovered_oz]]),tblPlant[[#This Row],[Feed_oz]]&gt;0),tblPlant[[#This Row],[Recovered_oz]]/tblPlant[[#This Row],[Feed_oz]],"")</f>
        <v/>
      </c>
      <c r="W108" s="59">
        <f>IF(AND(tblPlant[[#This Row],[Milled_t]]&lt;&gt;"",tblPlant[[#This Row],[Mill_Run_h]]&gt;0),tblPlant[[#This Row],[Milled_t]]/tblPlant[[#This Row],[Mill_Run_h]],"")</f>
        <v/>
      </c>
      <c r="X108" s="60">
        <f>IF(AND(tblPlant[[#This Row],[Mill_Run_h]]="",tblPlant[[#This Row],[Mill_Planned_Maint_h]]="",tblPlant[[#This Row],[Mill_Unplanned_Down_h]]=""),"",(cfg_HoursPerDay-tblPlant[[#This Row],[Mill_Planned_Maint_h]]-tblPlant[[#This Row],[Mill_Unplanned_Down_h]])/cfg_HoursPerDay)</f>
        <v/>
      </c>
      <c r="Y10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09">
      <c r="A109" s="54" t="n">
        <v>46126</v>
      </c>
      <c r="B109" s="55" t="n"/>
      <c r="C109" s="55" t="n"/>
      <c r="D109" s="56" t="n"/>
      <c r="E109" s="56" t="n"/>
      <c r="F109" s="55" t="n"/>
      <c r="G109" s="55" t="n"/>
      <c r="H109" s="57" t="n"/>
      <c r="I109" s="57" t="n"/>
      <c r="J109" s="57" t="n"/>
      <c r="K109" s="57" t="n"/>
      <c r="L109" s="55" t="n"/>
      <c r="M109" s="55" t="n"/>
      <c r="N109" s="55" t="n"/>
      <c r="O109" s="55" t="n"/>
      <c r="P109" s="55" t="n"/>
      <c r="Q109" s="55" t="n"/>
      <c r="R109" s="58" t="n"/>
      <c r="S109" s="59">
        <f>IF(OR(tblPlant[[#This Row],[Milled_t]]="",tblPlant[[#This Row],[Head_Grade_gpt]]=""),"",tblPlant[[#This Row],[Milled_t]]*tblPlant[[#This Row],[Head_Grade_gpt]]/cfg_TroyOz)</f>
        <v/>
      </c>
      <c r="T109" s="59">
        <f>IF(OR(tblPlant[[#This Row],[Milled_t]]="",tblPlant[[#This Row],[Tails_Grade_gpt]]=""),"",tblPlant[[#This Row],[Milled_t]]*tblPlant[[#This Row],[Tails_Grade_gpt]]/cfg_TroyOz)</f>
        <v/>
      </c>
      <c r="U109" s="59">
        <f>IF(OR(tblPlant[[#This Row],[Milled_t]]="",tblPlant[[#This Row],[Head_Grade_gpt]]="",tblPlant[[#This Row],[Tails_Grade_gpt]]=""),"",tblPlant[[#This Row],[Feed_oz]]-tblPlant[[#This Row],[Tails_oz]])</f>
        <v/>
      </c>
      <c r="V109" s="60">
        <f>IF(AND(ISNUMBER(tblPlant[[#This Row],[Recovered_oz]]),tblPlant[[#This Row],[Feed_oz]]&gt;0),tblPlant[[#This Row],[Recovered_oz]]/tblPlant[[#This Row],[Feed_oz]],"")</f>
        <v/>
      </c>
      <c r="W109" s="59">
        <f>IF(AND(tblPlant[[#This Row],[Milled_t]]&lt;&gt;"",tblPlant[[#This Row],[Mill_Run_h]]&gt;0),tblPlant[[#This Row],[Milled_t]]/tblPlant[[#This Row],[Mill_Run_h]],"")</f>
        <v/>
      </c>
      <c r="X109" s="60">
        <f>IF(AND(tblPlant[[#This Row],[Mill_Run_h]]="",tblPlant[[#This Row],[Mill_Planned_Maint_h]]="",tblPlant[[#This Row],[Mill_Unplanned_Down_h]]=""),"",(cfg_HoursPerDay-tblPlant[[#This Row],[Mill_Planned_Maint_h]]-tblPlant[[#This Row],[Mill_Unplanned_Down_h]])/cfg_HoursPerDay)</f>
        <v/>
      </c>
      <c r="Y10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0">
      <c r="A110" s="54" t="n">
        <v>46127</v>
      </c>
      <c r="B110" s="55" t="n"/>
      <c r="C110" s="55" t="n"/>
      <c r="D110" s="56" t="n"/>
      <c r="E110" s="56" t="n"/>
      <c r="F110" s="55" t="n"/>
      <c r="G110" s="55" t="n"/>
      <c r="H110" s="57" t="n"/>
      <c r="I110" s="57" t="n"/>
      <c r="J110" s="57" t="n"/>
      <c r="K110" s="57" t="n"/>
      <c r="L110" s="55" t="n"/>
      <c r="M110" s="55" t="n"/>
      <c r="N110" s="55" t="n"/>
      <c r="O110" s="55" t="n"/>
      <c r="P110" s="55" t="n"/>
      <c r="Q110" s="55" t="n"/>
      <c r="R110" s="58" t="n"/>
      <c r="S110" s="59">
        <f>IF(OR(tblPlant[[#This Row],[Milled_t]]="",tblPlant[[#This Row],[Head_Grade_gpt]]=""),"",tblPlant[[#This Row],[Milled_t]]*tblPlant[[#This Row],[Head_Grade_gpt]]/cfg_TroyOz)</f>
        <v/>
      </c>
      <c r="T110" s="59">
        <f>IF(OR(tblPlant[[#This Row],[Milled_t]]="",tblPlant[[#This Row],[Tails_Grade_gpt]]=""),"",tblPlant[[#This Row],[Milled_t]]*tblPlant[[#This Row],[Tails_Grade_gpt]]/cfg_TroyOz)</f>
        <v/>
      </c>
      <c r="U110" s="59">
        <f>IF(OR(tblPlant[[#This Row],[Milled_t]]="",tblPlant[[#This Row],[Head_Grade_gpt]]="",tblPlant[[#This Row],[Tails_Grade_gpt]]=""),"",tblPlant[[#This Row],[Feed_oz]]-tblPlant[[#This Row],[Tails_oz]])</f>
        <v/>
      </c>
      <c r="V110" s="60">
        <f>IF(AND(ISNUMBER(tblPlant[[#This Row],[Recovered_oz]]),tblPlant[[#This Row],[Feed_oz]]&gt;0),tblPlant[[#This Row],[Recovered_oz]]/tblPlant[[#This Row],[Feed_oz]],"")</f>
        <v/>
      </c>
      <c r="W110" s="59">
        <f>IF(AND(tblPlant[[#This Row],[Milled_t]]&lt;&gt;"",tblPlant[[#This Row],[Mill_Run_h]]&gt;0),tblPlant[[#This Row],[Milled_t]]/tblPlant[[#This Row],[Mill_Run_h]],"")</f>
        <v/>
      </c>
      <c r="X110" s="60">
        <f>IF(AND(tblPlant[[#This Row],[Mill_Run_h]]="",tblPlant[[#This Row],[Mill_Planned_Maint_h]]="",tblPlant[[#This Row],[Mill_Unplanned_Down_h]]=""),"",(cfg_HoursPerDay-tblPlant[[#This Row],[Mill_Planned_Maint_h]]-tblPlant[[#This Row],[Mill_Unplanned_Down_h]])/cfg_HoursPerDay)</f>
        <v/>
      </c>
      <c r="Y11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1">
      <c r="A111" s="54" t="n">
        <v>46128</v>
      </c>
      <c r="B111" s="55" t="n"/>
      <c r="C111" s="55" t="n"/>
      <c r="D111" s="56" t="n"/>
      <c r="E111" s="56" t="n"/>
      <c r="F111" s="55" t="n"/>
      <c r="G111" s="55" t="n"/>
      <c r="H111" s="57" t="n"/>
      <c r="I111" s="57" t="n"/>
      <c r="J111" s="57" t="n"/>
      <c r="K111" s="57" t="n"/>
      <c r="L111" s="55" t="n"/>
      <c r="M111" s="55" t="n"/>
      <c r="N111" s="55" t="n"/>
      <c r="O111" s="55" t="n"/>
      <c r="P111" s="55" t="n"/>
      <c r="Q111" s="55" t="n"/>
      <c r="R111" s="58" t="n"/>
      <c r="S111" s="59">
        <f>IF(OR(tblPlant[[#This Row],[Milled_t]]="",tblPlant[[#This Row],[Head_Grade_gpt]]=""),"",tblPlant[[#This Row],[Milled_t]]*tblPlant[[#This Row],[Head_Grade_gpt]]/cfg_TroyOz)</f>
        <v/>
      </c>
      <c r="T111" s="59">
        <f>IF(OR(tblPlant[[#This Row],[Milled_t]]="",tblPlant[[#This Row],[Tails_Grade_gpt]]=""),"",tblPlant[[#This Row],[Milled_t]]*tblPlant[[#This Row],[Tails_Grade_gpt]]/cfg_TroyOz)</f>
        <v/>
      </c>
      <c r="U111" s="59">
        <f>IF(OR(tblPlant[[#This Row],[Milled_t]]="",tblPlant[[#This Row],[Head_Grade_gpt]]="",tblPlant[[#This Row],[Tails_Grade_gpt]]=""),"",tblPlant[[#This Row],[Feed_oz]]-tblPlant[[#This Row],[Tails_oz]])</f>
        <v/>
      </c>
      <c r="V111" s="60">
        <f>IF(AND(ISNUMBER(tblPlant[[#This Row],[Recovered_oz]]),tblPlant[[#This Row],[Feed_oz]]&gt;0),tblPlant[[#This Row],[Recovered_oz]]/tblPlant[[#This Row],[Feed_oz]],"")</f>
        <v/>
      </c>
      <c r="W111" s="59">
        <f>IF(AND(tblPlant[[#This Row],[Milled_t]]&lt;&gt;"",tblPlant[[#This Row],[Mill_Run_h]]&gt;0),tblPlant[[#This Row],[Milled_t]]/tblPlant[[#This Row],[Mill_Run_h]],"")</f>
        <v/>
      </c>
      <c r="X111" s="60">
        <f>IF(AND(tblPlant[[#This Row],[Mill_Run_h]]="",tblPlant[[#This Row],[Mill_Planned_Maint_h]]="",tblPlant[[#This Row],[Mill_Unplanned_Down_h]]=""),"",(cfg_HoursPerDay-tblPlant[[#This Row],[Mill_Planned_Maint_h]]-tblPlant[[#This Row],[Mill_Unplanned_Down_h]])/cfg_HoursPerDay)</f>
        <v/>
      </c>
      <c r="Y11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2">
      <c r="A112" s="54" t="n">
        <v>46129</v>
      </c>
      <c r="B112" s="55" t="n"/>
      <c r="C112" s="55" t="n"/>
      <c r="D112" s="56" t="n"/>
      <c r="E112" s="56" t="n"/>
      <c r="F112" s="55" t="n"/>
      <c r="G112" s="55" t="n"/>
      <c r="H112" s="57" t="n"/>
      <c r="I112" s="57" t="n"/>
      <c r="J112" s="57" t="n"/>
      <c r="K112" s="57" t="n"/>
      <c r="L112" s="55" t="n"/>
      <c r="M112" s="55" t="n"/>
      <c r="N112" s="55" t="n"/>
      <c r="O112" s="55" t="n"/>
      <c r="P112" s="55" t="n"/>
      <c r="Q112" s="55" t="n"/>
      <c r="R112" s="58" t="n"/>
      <c r="S112" s="59">
        <f>IF(OR(tblPlant[[#This Row],[Milled_t]]="",tblPlant[[#This Row],[Head_Grade_gpt]]=""),"",tblPlant[[#This Row],[Milled_t]]*tblPlant[[#This Row],[Head_Grade_gpt]]/cfg_TroyOz)</f>
        <v/>
      </c>
      <c r="T112" s="59">
        <f>IF(OR(tblPlant[[#This Row],[Milled_t]]="",tblPlant[[#This Row],[Tails_Grade_gpt]]=""),"",tblPlant[[#This Row],[Milled_t]]*tblPlant[[#This Row],[Tails_Grade_gpt]]/cfg_TroyOz)</f>
        <v/>
      </c>
      <c r="U112" s="59">
        <f>IF(OR(tblPlant[[#This Row],[Milled_t]]="",tblPlant[[#This Row],[Head_Grade_gpt]]="",tblPlant[[#This Row],[Tails_Grade_gpt]]=""),"",tblPlant[[#This Row],[Feed_oz]]-tblPlant[[#This Row],[Tails_oz]])</f>
        <v/>
      </c>
      <c r="V112" s="60">
        <f>IF(AND(ISNUMBER(tblPlant[[#This Row],[Recovered_oz]]),tblPlant[[#This Row],[Feed_oz]]&gt;0),tblPlant[[#This Row],[Recovered_oz]]/tblPlant[[#This Row],[Feed_oz]],"")</f>
        <v/>
      </c>
      <c r="W112" s="59">
        <f>IF(AND(tblPlant[[#This Row],[Milled_t]]&lt;&gt;"",tblPlant[[#This Row],[Mill_Run_h]]&gt;0),tblPlant[[#This Row],[Milled_t]]/tblPlant[[#This Row],[Mill_Run_h]],"")</f>
        <v/>
      </c>
      <c r="X112" s="60">
        <f>IF(AND(tblPlant[[#This Row],[Mill_Run_h]]="",tblPlant[[#This Row],[Mill_Planned_Maint_h]]="",tblPlant[[#This Row],[Mill_Unplanned_Down_h]]=""),"",(cfg_HoursPerDay-tblPlant[[#This Row],[Mill_Planned_Maint_h]]-tblPlant[[#This Row],[Mill_Unplanned_Down_h]])/cfg_HoursPerDay)</f>
        <v/>
      </c>
      <c r="Y11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3">
      <c r="A113" s="54" t="n">
        <v>46130</v>
      </c>
      <c r="B113" s="55" t="n"/>
      <c r="C113" s="55" t="n"/>
      <c r="D113" s="56" t="n"/>
      <c r="E113" s="56" t="n"/>
      <c r="F113" s="55" t="n"/>
      <c r="G113" s="55" t="n"/>
      <c r="H113" s="57" t="n"/>
      <c r="I113" s="57" t="n"/>
      <c r="J113" s="57" t="n"/>
      <c r="K113" s="57" t="n"/>
      <c r="L113" s="55" t="n"/>
      <c r="M113" s="55" t="n"/>
      <c r="N113" s="55" t="n"/>
      <c r="O113" s="55" t="n"/>
      <c r="P113" s="55" t="n"/>
      <c r="Q113" s="55" t="n"/>
      <c r="R113" s="58" t="n"/>
      <c r="S113" s="59">
        <f>IF(OR(tblPlant[[#This Row],[Milled_t]]="",tblPlant[[#This Row],[Head_Grade_gpt]]=""),"",tblPlant[[#This Row],[Milled_t]]*tblPlant[[#This Row],[Head_Grade_gpt]]/cfg_TroyOz)</f>
        <v/>
      </c>
      <c r="T113" s="59">
        <f>IF(OR(tblPlant[[#This Row],[Milled_t]]="",tblPlant[[#This Row],[Tails_Grade_gpt]]=""),"",tblPlant[[#This Row],[Milled_t]]*tblPlant[[#This Row],[Tails_Grade_gpt]]/cfg_TroyOz)</f>
        <v/>
      </c>
      <c r="U113" s="59">
        <f>IF(OR(tblPlant[[#This Row],[Milled_t]]="",tblPlant[[#This Row],[Head_Grade_gpt]]="",tblPlant[[#This Row],[Tails_Grade_gpt]]=""),"",tblPlant[[#This Row],[Feed_oz]]-tblPlant[[#This Row],[Tails_oz]])</f>
        <v/>
      </c>
      <c r="V113" s="60">
        <f>IF(AND(ISNUMBER(tblPlant[[#This Row],[Recovered_oz]]),tblPlant[[#This Row],[Feed_oz]]&gt;0),tblPlant[[#This Row],[Recovered_oz]]/tblPlant[[#This Row],[Feed_oz]],"")</f>
        <v/>
      </c>
      <c r="W113" s="59">
        <f>IF(AND(tblPlant[[#This Row],[Milled_t]]&lt;&gt;"",tblPlant[[#This Row],[Mill_Run_h]]&gt;0),tblPlant[[#This Row],[Milled_t]]/tblPlant[[#This Row],[Mill_Run_h]],"")</f>
        <v/>
      </c>
      <c r="X113" s="60">
        <f>IF(AND(tblPlant[[#This Row],[Mill_Run_h]]="",tblPlant[[#This Row],[Mill_Planned_Maint_h]]="",tblPlant[[#This Row],[Mill_Unplanned_Down_h]]=""),"",(cfg_HoursPerDay-tblPlant[[#This Row],[Mill_Planned_Maint_h]]-tblPlant[[#This Row],[Mill_Unplanned_Down_h]])/cfg_HoursPerDay)</f>
        <v/>
      </c>
      <c r="Y11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4">
      <c r="A114" s="54" t="n">
        <v>46131</v>
      </c>
      <c r="B114" s="55" t="n"/>
      <c r="C114" s="55" t="n"/>
      <c r="D114" s="56" t="n"/>
      <c r="E114" s="56" t="n"/>
      <c r="F114" s="55" t="n"/>
      <c r="G114" s="55" t="n"/>
      <c r="H114" s="57" t="n"/>
      <c r="I114" s="57" t="n"/>
      <c r="J114" s="57" t="n"/>
      <c r="K114" s="57" t="n"/>
      <c r="L114" s="55" t="n"/>
      <c r="M114" s="55" t="n"/>
      <c r="N114" s="55" t="n"/>
      <c r="O114" s="55" t="n"/>
      <c r="P114" s="55" t="n"/>
      <c r="Q114" s="55" t="n"/>
      <c r="R114" s="58" t="n"/>
      <c r="S114" s="59">
        <f>IF(OR(tblPlant[[#This Row],[Milled_t]]="",tblPlant[[#This Row],[Head_Grade_gpt]]=""),"",tblPlant[[#This Row],[Milled_t]]*tblPlant[[#This Row],[Head_Grade_gpt]]/cfg_TroyOz)</f>
        <v/>
      </c>
      <c r="T114" s="59">
        <f>IF(OR(tblPlant[[#This Row],[Milled_t]]="",tblPlant[[#This Row],[Tails_Grade_gpt]]=""),"",tblPlant[[#This Row],[Milled_t]]*tblPlant[[#This Row],[Tails_Grade_gpt]]/cfg_TroyOz)</f>
        <v/>
      </c>
      <c r="U114" s="59">
        <f>IF(OR(tblPlant[[#This Row],[Milled_t]]="",tblPlant[[#This Row],[Head_Grade_gpt]]="",tblPlant[[#This Row],[Tails_Grade_gpt]]=""),"",tblPlant[[#This Row],[Feed_oz]]-tblPlant[[#This Row],[Tails_oz]])</f>
        <v/>
      </c>
      <c r="V114" s="60">
        <f>IF(AND(ISNUMBER(tblPlant[[#This Row],[Recovered_oz]]),tblPlant[[#This Row],[Feed_oz]]&gt;0),tblPlant[[#This Row],[Recovered_oz]]/tblPlant[[#This Row],[Feed_oz]],"")</f>
        <v/>
      </c>
      <c r="W114" s="59">
        <f>IF(AND(tblPlant[[#This Row],[Milled_t]]&lt;&gt;"",tblPlant[[#This Row],[Mill_Run_h]]&gt;0),tblPlant[[#This Row],[Milled_t]]/tblPlant[[#This Row],[Mill_Run_h]],"")</f>
        <v/>
      </c>
      <c r="X114" s="60">
        <f>IF(AND(tblPlant[[#This Row],[Mill_Run_h]]="",tblPlant[[#This Row],[Mill_Planned_Maint_h]]="",tblPlant[[#This Row],[Mill_Unplanned_Down_h]]=""),"",(cfg_HoursPerDay-tblPlant[[#This Row],[Mill_Planned_Maint_h]]-tblPlant[[#This Row],[Mill_Unplanned_Down_h]])/cfg_HoursPerDay)</f>
        <v/>
      </c>
      <c r="Y11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5">
      <c r="A115" s="54" t="n">
        <v>46132</v>
      </c>
      <c r="B115" s="55" t="n"/>
      <c r="C115" s="55" t="n"/>
      <c r="D115" s="56" t="n"/>
      <c r="E115" s="56" t="n"/>
      <c r="F115" s="55" t="n"/>
      <c r="G115" s="55" t="n"/>
      <c r="H115" s="57" t="n"/>
      <c r="I115" s="57" t="n"/>
      <c r="J115" s="57" t="n"/>
      <c r="K115" s="57" t="n"/>
      <c r="L115" s="55" t="n"/>
      <c r="M115" s="55" t="n"/>
      <c r="N115" s="55" t="n"/>
      <c r="O115" s="55" t="n"/>
      <c r="P115" s="55" t="n"/>
      <c r="Q115" s="55" t="n"/>
      <c r="R115" s="58" t="n"/>
      <c r="S115" s="59">
        <f>IF(OR(tblPlant[[#This Row],[Milled_t]]="",tblPlant[[#This Row],[Head_Grade_gpt]]=""),"",tblPlant[[#This Row],[Milled_t]]*tblPlant[[#This Row],[Head_Grade_gpt]]/cfg_TroyOz)</f>
        <v/>
      </c>
      <c r="T115" s="59">
        <f>IF(OR(tblPlant[[#This Row],[Milled_t]]="",tblPlant[[#This Row],[Tails_Grade_gpt]]=""),"",tblPlant[[#This Row],[Milled_t]]*tblPlant[[#This Row],[Tails_Grade_gpt]]/cfg_TroyOz)</f>
        <v/>
      </c>
      <c r="U115" s="59">
        <f>IF(OR(tblPlant[[#This Row],[Milled_t]]="",tblPlant[[#This Row],[Head_Grade_gpt]]="",tblPlant[[#This Row],[Tails_Grade_gpt]]=""),"",tblPlant[[#This Row],[Feed_oz]]-tblPlant[[#This Row],[Tails_oz]])</f>
        <v/>
      </c>
      <c r="V115" s="60">
        <f>IF(AND(ISNUMBER(tblPlant[[#This Row],[Recovered_oz]]),tblPlant[[#This Row],[Feed_oz]]&gt;0),tblPlant[[#This Row],[Recovered_oz]]/tblPlant[[#This Row],[Feed_oz]],"")</f>
        <v/>
      </c>
      <c r="W115" s="59">
        <f>IF(AND(tblPlant[[#This Row],[Milled_t]]&lt;&gt;"",tblPlant[[#This Row],[Mill_Run_h]]&gt;0),tblPlant[[#This Row],[Milled_t]]/tblPlant[[#This Row],[Mill_Run_h]],"")</f>
        <v/>
      </c>
      <c r="X115" s="60">
        <f>IF(AND(tblPlant[[#This Row],[Mill_Run_h]]="",tblPlant[[#This Row],[Mill_Planned_Maint_h]]="",tblPlant[[#This Row],[Mill_Unplanned_Down_h]]=""),"",(cfg_HoursPerDay-tblPlant[[#This Row],[Mill_Planned_Maint_h]]-tblPlant[[#This Row],[Mill_Unplanned_Down_h]])/cfg_HoursPerDay)</f>
        <v/>
      </c>
      <c r="Y11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6">
      <c r="A116" s="54" t="n">
        <v>46133</v>
      </c>
      <c r="B116" s="55" t="n"/>
      <c r="C116" s="55" t="n"/>
      <c r="D116" s="56" t="n"/>
      <c r="E116" s="56" t="n"/>
      <c r="F116" s="55" t="n"/>
      <c r="G116" s="55" t="n"/>
      <c r="H116" s="57" t="n"/>
      <c r="I116" s="57" t="n"/>
      <c r="J116" s="57" t="n"/>
      <c r="K116" s="57" t="n"/>
      <c r="L116" s="55" t="n"/>
      <c r="M116" s="55" t="n"/>
      <c r="N116" s="55" t="n"/>
      <c r="O116" s="55" t="n"/>
      <c r="P116" s="55" t="n"/>
      <c r="Q116" s="55" t="n"/>
      <c r="R116" s="58" t="n"/>
      <c r="S116" s="59">
        <f>IF(OR(tblPlant[[#This Row],[Milled_t]]="",tblPlant[[#This Row],[Head_Grade_gpt]]=""),"",tblPlant[[#This Row],[Milled_t]]*tblPlant[[#This Row],[Head_Grade_gpt]]/cfg_TroyOz)</f>
        <v/>
      </c>
      <c r="T116" s="59">
        <f>IF(OR(tblPlant[[#This Row],[Milled_t]]="",tblPlant[[#This Row],[Tails_Grade_gpt]]=""),"",tblPlant[[#This Row],[Milled_t]]*tblPlant[[#This Row],[Tails_Grade_gpt]]/cfg_TroyOz)</f>
        <v/>
      </c>
      <c r="U116" s="59">
        <f>IF(OR(tblPlant[[#This Row],[Milled_t]]="",tblPlant[[#This Row],[Head_Grade_gpt]]="",tblPlant[[#This Row],[Tails_Grade_gpt]]=""),"",tblPlant[[#This Row],[Feed_oz]]-tblPlant[[#This Row],[Tails_oz]])</f>
        <v/>
      </c>
      <c r="V116" s="60">
        <f>IF(AND(ISNUMBER(tblPlant[[#This Row],[Recovered_oz]]),tblPlant[[#This Row],[Feed_oz]]&gt;0),tblPlant[[#This Row],[Recovered_oz]]/tblPlant[[#This Row],[Feed_oz]],"")</f>
        <v/>
      </c>
      <c r="W116" s="59">
        <f>IF(AND(tblPlant[[#This Row],[Milled_t]]&lt;&gt;"",tblPlant[[#This Row],[Mill_Run_h]]&gt;0),tblPlant[[#This Row],[Milled_t]]/tblPlant[[#This Row],[Mill_Run_h]],"")</f>
        <v/>
      </c>
      <c r="X116" s="60">
        <f>IF(AND(tblPlant[[#This Row],[Mill_Run_h]]="",tblPlant[[#This Row],[Mill_Planned_Maint_h]]="",tblPlant[[#This Row],[Mill_Unplanned_Down_h]]=""),"",(cfg_HoursPerDay-tblPlant[[#This Row],[Mill_Planned_Maint_h]]-tblPlant[[#This Row],[Mill_Unplanned_Down_h]])/cfg_HoursPerDay)</f>
        <v/>
      </c>
      <c r="Y11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7">
      <c r="A117" s="54" t="n">
        <v>46134</v>
      </c>
      <c r="B117" s="55" t="n"/>
      <c r="C117" s="55" t="n"/>
      <c r="D117" s="56" t="n"/>
      <c r="E117" s="56" t="n"/>
      <c r="F117" s="55" t="n"/>
      <c r="G117" s="55" t="n"/>
      <c r="H117" s="57" t="n"/>
      <c r="I117" s="57" t="n"/>
      <c r="J117" s="57" t="n"/>
      <c r="K117" s="57" t="n"/>
      <c r="L117" s="55" t="n"/>
      <c r="M117" s="55" t="n"/>
      <c r="N117" s="55" t="n"/>
      <c r="O117" s="55" t="n"/>
      <c r="P117" s="55" t="n"/>
      <c r="Q117" s="55" t="n"/>
      <c r="R117" s="58" t="n"/>
      <c r="S117" s="59">
        <f>IF(OR(tblPlant[[#This Row],[Milled_t]]="",tblPlant[[#This Row],[Head_Grade_gpt]]=""),"",tblPlant[[#This Row],[Milled_t]]*tblPlant[[#This Row],[Head_Grade_gpt]]/cfg_TroyOz)</f>
        <v/>
      </c>
      <c r="T117" s="59">
        <f>IF(OR(tblPlant[[#This Row],[Milled_t]]="",tblPlant[[#This Row],[Tails_Grade_gpt]]=""),"",tblPlant[[#This Row],[Milled_t]]*tblPlant[[#This Row],[Tails_Grade_gpt]]/cfg_TroyOz)</f>
        <v/>
      </c>
      <c r="U117" s="59">
        <f>IF(OR(tblPlant[[#This Row],[Milled_t]]="",tblPlant[[#This Row],[Head_Grade_gpt]]="",tblPlant[[#This Row],[Tails_Grade_gpt]]=""),"",tblPlant[[#This Row],[Feed_oz]]-tblPlant[[#This Row],[Tails_oz]])</f>
        <v/>
      </c>
      <c r="V117" s="60">
        <f>IF(AND(ISNUMBER(tblPlant[[#This Row],[Recovered_oz]]),tblPlant[[#This Row],[Feed_oz]]&gt;0),tblPlant[[#This Row],[Recovered_oz]]/tblPlant[[#This Row],[Feed_oz]],"")</f>
        <v/>
      </c>
      <c r="W117" s="59">
        <f>IF(AND(tblPlant[[#This Row],[Milled_t]]&lt;&gt;"",tblPlant[[#This Row],[Mill_Run_h]]&gt;0),tblPlant[[#This Row],[Milled_t]]/tblPlant[[#This Row],[Mill_Run_h]],"")</f>
        <v/>
      </c>
      <c r="X117" s="60">
        <f>IF(AND(tblPlant[[#This Row],[Mill_Run_h]]="",tblPlant[[#This Row],[Mill_Planned_Maint_h]]="",tblPlant[[#This Row],[Mill_Unplanned_Down_h]]=""),"",(cfg_HoursPerDay-tblPlant[[#This Row],[Mill_Planned_Maint_h]]-tblPlant[[#This Row],[Mill_Unplanned_Down_h]])/cfg_HoursPerDay)</f>
        <v/>
      </c>
      <c r="Y11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8">
      <c r="A118" s="54" t="n">
        <v>46135</v>
      </c>
      <c r="B118" s="55" t="n"/>
      <c r="C118" s="55" t="n"/>
      <c r="D118" s="56" t="n"/>
      <c r="E118" s="56" t="n"/>
      <c r="F118" s="55" t="n"/>
      <c r="G118" s="55" t="n"/>
      <c r="H118" s="57" t="n"/>
      <c r="I118" s="57" t="n"/>
      <c r="J118" s="57" t="n"/>
      <c r="K118" s="57" t="n"/>
      <c r="L118" s="55" t="n"/>
      <c r="M118" s="55" t="n"/>
      <c r="N118" s="55" t="n"/>
      <c r="O118" s="55" t="n"/>
      <c r="P118" s="55" t="n"/>
      <c r="Q118" s="55" t="n"/>
      <c r="R118" s="58" t="n"/>
      <c r="S118" s="59">
        <f>IF(OR(tblPlant[[#This Row],[Milled_t]]="",tblPlant[[#This Row],[Head_Grade_gpt]]=""),"",tblPlant[[#This Row],[Milled_t]]*tblPlant[[#This Row],[Head_Grade_gpt]]/cfg_TroyOz)</f>
        <v/>
      </c>
      <c r="T118" s="59">
        <f>IF(OR(tblPlant[[#This Row],[Milled_t]]="",tblPlant[[#This Row],[Tails_Grade_gpt]]=""),"",tblPlant[[#This Row],[Milled_t]]*tblPlant[[#This Row],[Tails_Grade_gpt]]/cfg_TroyOz)</f>
        <v/>
      </c>
      <c r="U118" s="59">
        <f>IF(OR(tblPlant[[#This Row],[Milled_t]]="",tblPlant[[#This Row],[Head_Grade_gpt]]="",tblPlant[[#This Row],[Tails_Grade_gpt]]=""),"",tblPlant[[#This Row],[Feed_oz]]-tblPlant[[#This Row],[Tails_oz]])</f>
        <v/>
      </c>
      <c r="V118" s="60">
        <f>IF(AND(ISNUMBER(tblPlant[[#This Row],[Recovered_oz]]),tblPlant[[#This Row],[Feed_oz]]&gt;0),tblPlant[[#This Row],[Recovered_oz]]/tblPlant[[#This Row],[Feed_oz]],"")</f>
        <v/>
      </c>
      <c r="W118" s="59">
        <f>IF(AND(tblPlant[[#This Row],[Milled_t]]&lt;&gt;"",tblPlant[[#This Row],[Mill_Run_h]]&gt;0),tblPlant[[#This Row],[Milled_t]]/tblPlant[[#This Row],[Mill_Run_h]],"")</f>
        <v/>
      </c>
      <c r="X118" s="60">
        <f>IF(AND(tblPlant[[#This Row],[Mill_Run_h]]="",tblPlant[[#This Row],[Mill_Planned_Maint_h]]="",tblPlant[[#This Row],[Mill_Unplanned_Down_h]]=""),"",(cfg_HoursPerDay-tblPlant[[#This Row],[Mill_Planned_Maint_h]]-tblPlant[[#This Row],[Mill_Unplanned_Down_h]])/cfg_HoursPerDay)</f>
        <v/>
      </c>
      <c r="Y11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19">
      <c r="A119" s="54" t="n">
        <v>46136</v>
      </c>
      <c r="B119" s="55" t="n"/>
      <c r="C119" s="55" t="n"/>
      <c r="D119" s="56" t="n"/>
      <c r="E119" s="56" t="n"/>
      <c r="F119" s="55" t="n"/>
      <c r="G119" s="55" t="n"/>
      <c r="H119" s="57" t="n"/>
      <c r="I119" s="57" t="n"/>
      <c r="J119" s="57" t="n"/>
      <c r="K119" s="57" t="n"/>
      <c r="L119" s="55" t="n"/>
      <c r="M119" s="55" t="n"/>
      <c r="N119" s="55" t="n"/>
      <c r="O119" s="55" t="n"/>
      <c r="P119" s="55" t="n"/>
      <c r="Q119" s="55" t="n"/>
      <c r="R119" s="58" t="n"/>
      <c r="S119" s="59">
        <f>IF(OR(tblPlant[[#This Row],[Milled_t]]="",tblPlant[[#This Row],[Head_Grade_gpt]]=""),"",tblPlant[[#This Row],[Milled_t]]*tblPlant[[#This Row],[Head_Grade_gpt]]/cfg_TroyOz)</f>
        <v/>
      </c>
      <c r="T119" s="59">
        <f>IF(OR(tblPlant[[#This Row],[Milled_t]]="",tblPlant[[#This Row],[Tails_Grade_gpt]]=""),"",tblPlant[[#This Row],[Milled_t]]*tblPlant[[#This Row],[Tails_Grade_gpt]]/cfg_TroyOz)</f>
        <v/>
      </c>
      <c r="U119" s="59">
        <f>IF(OR(tblPlant[[#This Row],[Milled_t]]="",tblPlant[[#This Row],[Head_Grade_gpt]]="",tblPlant[[#This Row],[Tails_Grade_gpt]]=""),"",tblPlant[[#This Row],[Feed_oz]]-tblPlant[[#This Row],[Tails_oz]])</f>
        <v/>
      </c>
      <c r="V119" s="60">
        <f>IF(AND(ISNUMBER(tblPlant[[#This Row],[Recovered_oz]]),tblPlant[[#This Row],[Feed_oz]]&gt;0),tblPlant[[#This Row],[Recovered_oz]]/tblPlant[[#This Row],[Feed_oz]],"")</f>
        <v/>
      </c>
      <c r="W119" s="59">
        <f>IF(AND(tblPlant[[#This Row],[Milled_t]]&lt;&gt;"",tblPlant[[#This Row],[Mill_Run_h]]&gt;0),tblPlant[[#This Row],[Milled_t]]/tblPlant[[#This Row],[Mill_Run_h]],"")</f>
        <v/>
      </c>
      <c r="X119" s="60">
        <f>IF(AND(tblPlant[[#This Row],[Mill_Run_h]]="",tblPlant[[#This Row],[Mill_Planned_Maint_h]]="",tblPlant[[#This Row],[Mill_Unplanned_Down_h]]=""),"",(cfg_HoursPerDay-tblPlant[[#This Row],[Mill_Planned_Maint_h]]-tblPlant[[#This Row],[Mill_Unplanned_Down_h]])/cfg_HoursPerDay)</f>
        <v/>
      </c>
      <c r="Y11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0">
      <c r="A120" s="54" t="n">
        <v>46137</v>
      </c>
      <c r="B120" s="55" t="n"/>
      <c r="C120" s="55" t="n"/>
      <c r="D120" s="56" t="n"/>
      <c r="E120" s="56" t="n"/>
      <c r="F120" s="55" t="n"/>
      <c r="G120" s="55" t="n"/>
      <c r="H120" s="57" t="n"/>
      <c r="I120" s="57" t="n"/>
      <c r="J120" s="57" t="n"/>
      <c r="K120" s="57" t="n"/>
      <c r="L120" s="55" t="n"/>
      <c r="M120" s="55" t="n"/>
      <c r="N120" s="55" t="n"/>
      <c r="O120" s="55" t="n"/>
      <c r="P120" s="55" t="n"/>
      <c r="Q120" s="55" t="n"/>
      <c r="R120" s="58" t="n"/>
      <c r="S120" s="59">
        <f>IF(OR(tblPlant[[#This Row],[Milled_t]]="",tblPlant[[#This Row],[Head_Grade_gpt]]=""),"",tblPlant[[#This Row],[Milled_t]]*tblPlant[[#This Row],[Head_Grade_gpt]]/cfg_TroyOz)</f>
        <v/>
      </c>
      <c r="T120" s="59">
        <f>IF(OR(tblPlant[[#This Row],[Milled_t]]="",tblPlant[[#This Row],[Tails_Grade_gpt]]=""),"",tblPlant[[#This Row],[Milled_t]]*tblPlant[[#This Row],[Tails_Grade_gpt]]/cfg_TroyOz)</f>
        <v/>
      </c>
      <c r="U120" s="59">
        <f>IF(OR(tblPlant[[#This Row],[Milled_t]]="",tblPlant[[#This Row],[Head_Grade_gpt]]="",tblPlant[[#This Row],[Tails_Grade_gpt]]=""),"",tblPlant[[#This Row],[Feed_oz]]-tblPlant[[#This Row],[Tails_oz]])</f>
        <v/>
      </c>
      <c r="V120" s="60">
        <f>IF(AND(ISNUMBER(tblPlant[[#This Row],[Recovered_oz]]),tblPlant[[#This Row],[Feed_oz]]&gt;0),tblPlant[[#This Row],[Recovered_oz]]/tblPlant[[#This Row],[Feed_oz]],"")</f>
        <v/>
      </c>
      <c r="W120" s="59">
        <f>IF(AND(tblPlant[[#This Row],[Milled_t]]&lt;&gt;"",tblPlant[[#This Row],[Mill_Run_h]]&gt;0),tblPlant[[#This Row],[Milled_t]]/tblPlant[[#This Row],[Mill_Run_h]],"")</f>
        <v/>
      </c>
      <c r="X120" s="60">
        <f>IF(AND(tblPlant[[#This Row],[Mill_Run_h]]="",tblPlant[[#This Row],[Mill_Planned_Maint_h]]="",tblPlant[[#This Row],[Mill_Unplanned_Down_h]]=""),"",(cfg_HoursPerDay-tblPlant[[#This Row],[Mill_Planned_Maint_h]]-tblPlant[[#This Row],[Mill_Unplanned_Down_h]])/cfg_HoursPerDay)</f>
        <v/>
      </c>
      <c r="Y12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1">
      <c r="A121" s="54" t="n">
        <v>46138</v>
      </c>
      <c r="B121" s="55" t="n"/>
      <c r="C121" s="55" t="n"/>
      <c r="D121" s="56" t="n"/>
      <c r="E121" s="56" t="n"/>
      <c r="F121" s="55" t="n"/>
      <c r="G121" s="55" t="n"/>
      <c r="H121" s="57" t="n"/>
      <c r="I121" s="57" t="n"/>
      <c r="J121" s="57" t="n"/>
      <c r="K121" s="57" t="n"/>
      <c r="L121" s="55" t="n"/>
      <c r="M121" s="55" t="n"/>
      <c r="N121" s="55" t="n"/>
      <c r="O121" s="55" t="n"/>
      <c r="P121" s="55" t="n"/>
      <c r="Q121" s="55" t="n"/>
      <c r="R121" s="58" t="n"/>
      <c r="S121" s="59">
        <f>IF(OR(tblPlant[[#This Row],[Milled_t]]="",tblPlant[[#This Row],[Head_Grade_gpt]]=""),"",tblPlant[[#This Row],[Milled_t]]*tblPlant[[#This Row],[Head_Grade_gpt]]/cfg_TroyOz)</f>
        <v/>
      </c>
      <c r="T121" s="59">
        <f>IF(OR(tblPlant[[#This Row],[Milled_t]]="",tblPlant[[#This Row],[Tails_Grade_gpt]]=""),"",tblPlant[[#This Row],[Milled_t]]*tblPlant[[#This Row],[Tails_Grade_gpt]]/cfg_TroyOz)</f>
        <v/>
      </c>
      <c r="U121" s="59">
        <f>IF(OR(tblPlant[[#This Row],[Milled_t]]="",tblPlant[[#This Row],[Head_Grade_gpt]]="",tblPlant[[#This Row],[Tails_Grade_gpt]]=""),"",tblPlant[[#This Row],[Feed_oz]]-tblPlant[[#This Row],[Tails_oz]])</f>
        <v/>
      </c>
      <c r="V121" s="60">
        <f>IF(AND(ISNUMBER(tblPlant[[#This Row],[Recovered_oz]]),tblPlant[[#This Row],[Feed_oz]]&gt;0),tblPlant[[#This Row],[Recovered_oz]]/tblPlant[[#This Row],[Feed_oz]],"")</f>
        <v/>
      </c>
      <c r="W121" s="59">
        <f>IF(AND(tblPlant[[#This Row],[Milled_t]]&lt;&gt;"",tblPlant[[#This Row],[Mill_Run_h]]&gt;0),tblPlant[[#This Row],[Milled_t]]/tblPlant[[#This Row],[Mill_Run_h]],"")</f>
        <v/>
      </c>
      <c r="X121" s="60">
        <f>IF(AND(tblPlant[[#This Row],[Mill_Run_h]]="",tblPlant[[#This Row],[Mill_Planned_Maint_h]]="",tblPlant[[#This Row],[Mill_Unplanned_Down_h]]=""),"",(cfg_HoursPerDay-tblPlant[[#This Row],[Mill_Planned_Maint_h]]-tblPlant[[#This Row],[Mill_Unplanned_Down_h]])/cfg_HoursPerDay)</f>
        <v/>
      </c>
      <c r="Y12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2">
      <c r="A122" s="54" t="n">
        <v>46139</v>
      </c>
      <c r="B122" s="55" t="n"/>
      <c r="C122" s="55" t="n"/>
      <c r="D122" s="56" t="n"/>
      <c r="E122" s="56" t="n"/>
      <c r="F122" s="55" t="n"/>
      <c r="G122" s="55" t="n"/>
      <c r="H122" s="57" t="n"/>
      <c r="I122" s="57" t="n"/>
      <c r="J122" s="57" t="n"/>
      <c r="K122" s="57" t="n"/>
      <c r="L122" s="55" t="n"/>
      <c r="M122" s="55" t="n"/>
      <c r="N122" s="55" t="n"/>
      <c r="O122" s="55" t="n"/>
      <c r="P122" s="55" t="n"/>
      <c r="Q122" s="55" t="n"/>
      <c r="R122" s="58" t="n"/>
      <c r="S122" s="59">
        <f>IF(OR(tblPlant[[#This Row],[Milled_t]]="",tblPlant[[#This Row],[Head_Grade_gpt]]=""),"",tblPlant[[#This Row],[Milled_t]]*tblPlant[[#This Row],[Head_Grade_gpt]]/cfg_TroyOz)</f>
        <v/>
      </c>
      <c r="T122" s="59">
        <f>IF(OR(tblPlant[[#This Row],[Milled_t]]="",tblPlant[[#This Row],[Tails_Grade_gpt]]=""),"",tblPlant[[#This Row],[Milled_t]]*tblPlant[[#This Row],[Tails_Grade_gpt]]/cfg_TroyOz)</f>
        <v/>
      </c>
      <c r="U122" s="59">
        <f>IF(OR(tblPlant[[#This Row],[Milled_t]]="",tblPlant[[#This Row],[Head_Grade_gpt]]="",tblPlant[[#This Row],[Tails_Grade_gpt]]=""),"",tblPlant[[#This Row],[Feed_oz]]-tblPlant[[#This Row],[Tails_oz]])</f>
        <v/>
      </c>
      <c r="V122" s="60">
        <f>IF(AND(ISNUMBER(tblPlant[[#This Row],[Recovered_oz]]),tblPlant[[#This Row],[Feed_oz]]&gt;0),tblPlant[[#This Row],[Recovered_oz]]/tblPlant[[#This Row],[Feed_oz]],"")</f>
        <v/>
      </c>
      <c r="W122" s="59">
        <f>IF(AND(tblPlant[[#This Row],[Milled_t]]&lt;&gt;"",tblPlant[[#This Row],[Mill_Run_h]]&gt;0),tblPlant[[#This Row],[Milled_t]]/tblPlant[[#This Row],[Mill_Run_h]],"")</f>
        <v/>
      </c>
      <c r="X122" s="60">
        <f>IF(AND(tblPlant[[#This Row],[Mill_Run_h]]="",tblPlant[[#This Row],[Mill_Planned_Maint_h]]="",tblPlant[[#This Row],[Mill_Unplanned_Down_h]]=""),"",(cfg_HoursPerDay-tblPlant[[#This Row],[Mill_Planned_Maint_h]]-tblPlant[[#This Row],[Mill_Unplanned_Down_h]])/cfg_HoursPerDay)</f>
        <v/>
      </c>
      <c r="Y12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3">
      <c r="A123" s="54" t="n">
        <v>46140</v>
      </c>
      <c r="B123" s="55" t="n"/>
      <c r="C123" s="55" t="n"/>
      <c r="D123" s="56" t="n"/>
      <c r="E123" s="56" t="n"/>
      <c r="F123" s="55" t="n"/>
      <c r="G123" s="55" t="n"/>
      <c r="H123" s="57" t="n"/>
      <c r="I123" s="57" t="n"/>
      <c r="J123" s="57" t="n"/>
      <c r="K123" s="57" t="n"/>
      <c r="L123" s="55" t="n"/>
      <c r="M123" s="55" t="n"/>
      <c r="N123" s="55" t="n"/>
      <c r="O123" s="55" t="n"/>
      <c r="P123" s="55" t="n"/>
      <c r="Q123" s="55" t="n"/>
      <c r="R123" s="58" t="n"/>
      <c r="S123" s="59">
        <f>IF(OR(tblPlant[[#This Row],[Milled_t]]="",tblPlant[[#This Row],[Head_Grade_gpt]]=""),"",tblPlant[[#This Row],[Milled_t]]*tblPlant[[#This Row],[Head_Grade_gpt]]/cfg_TroyOz)</f>
        <v/>
      </c>
      <c r="T123" s="59">
        <f>IF(OR(tblPlant[[#This Row],[Milled_t]]="",tblPlant[[#This Row],[Tails_Grade_gpt]]=""),"",tblPlant[[#This Row],[Milled_t]]*tblPlant[[#This Row],[Tails_Grade_gpt]]/cfg_TroyOz)</f>
        <v/>
      </c>
      <c r="U123" s="59">
        <f>IF(OR(tblPlant[[#This Row],[Milled_t]]="",tblPlant[[#This Row],[Head_Grade_gpt]]="",tblPlant[[#This Row],[Tails_Grade_gpt]]=""),"",tblPlant[[#This Row],[Feed_oz]]-tblPlant[[#This Row],[Tails_oz]])</f>
        <v/>
      </c>
      <c r="V123" s="60">
        <f>IF(AND(ISNUMBER(tblPlant[[#This Row],[Recovered_oz]]),tblPlant[[#This Row],[Feed_oz]]&gt;0),tblPlant[[#This Row],[Recovered_oz]]/tblPlant[[#This Row],[Feed_oz]],"")</f>
        <v/>
      </c>
      <c r="W123" s="59">
        <f>IF(AND(tblPlant[[#This Row],[Milled_t]]&lt;&gt;"",tblPlant[[#This Row],[Mill_Run_h]]&gt;0),tblPlant[[#This Row],[Milled_t]]/tblPlant[[#This Row],[Mill_Run_h]],"")</f>
        <v/>
      </c>
      <c r="X123" s="60">
        <f>IF(AND(tblPlant[[#This Row],[Mill_Run_h]]="",tblPlant[[#This Row],[Mill_Planned_Maint_h]]="",tblPlant[[#This Row],[Mill_Unplanned_Down_h]]=""),"",(cfg_HoursPerDay-tblPlant[[#This Row],[Mill_Planned_Maint_h]]-tblPlant[[#This Row],[Mill_Unplanned_Down_h]])/cfg_HoursPerDay)</f>
        <v/>
      </c>
      <c r="Y12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4">
      <c r="A124" s="54" t="n">
        <v>46141</v>
      </c>
      <c r="B124" s="55" t="n"/>
      <c r="C124" s="55" t="n"/>
      <c r="D124" s="56" t="n"/>
      <c r="E124" s="56" t="n"/>
      <c r="F124" s="55" t="n"/>
      <c r="G124" s="55" t="n"/>
      <c r="H124" s="57" t="n"/>
      <c r="I124" s="57" t="n"/>
      <c r="J124" s="57" t="n"/>
      <c r="K124" s="57" t="n"/>
      <c r="L124" s="55" t="n"/>
      <c r="M124" s="55" t="n"/>
      <c r="N124" s="55" t="n"/>
      <c r="O124" s="55" t="n"/>
      <c r="P124" s="55" t="n"/>
      <c r="Q124" s="55" t="n"/>
      <c r="R124" s="58" t="n"/>
      <c r="S124" s="59">
        <f>IF(OR(tblPlant[[#This Row],[Milled_t]]="",tblPlant[[#This Row],[Head_Grade_gpt]]=""),"",tblPlant[[#This Row],[Milled_t]]*tblPlant[[#This Row],[Head_Grade_gpt]]/cfg_TroyOz)</f>
        <v/>
      </c>
      <c r="T124" s="59">
        <f>IF(OR(tblPlant[[#This Row],[Milled_t]]="",tblPlant[[#This Row],[Tails_Grade_gpt]]=""),"",tblPlant[[#This Row],[Milled_t]]*tblPlant[[#This Row],[Tails_Grade_gpt]]/cfg_TroyOz)</f>
        <v/>
      </c>
      <c r="U124" s="59">
        <f>IF(OR(tblPlant[[#This Row],[Milled_t]]="",tblPlant[[#This Row],[Head_Grade_gpt]]="",tblPlant[[#This Row],[Tails_Grade_gpt]]=""),"",tblPlant[[#This Row],[Feed_oz]]-tblPlant[[#This Row],[Tails_oz]])</f>
        <v/>
      </c>
      <c r="V124" s="60">
        <f>IF(AND(ISNUMBER(tblPlant[[#This Row],[Recovered_oz]]),tblPlant[[#This Row],[Feed_oz]]&gt;0),tblPlant[[#This Row],[Recovered_oz]]/tblPlant[[#This Row],[Feed_oz]],"")</f>
        <v/>
      </c>
      <c r="W124" s="59">
        <f>IF(AND(tblPlant[[#This Row],[Milled_t]]&lt;&gt;"",tblPlant[[#This Row],[Mill_Run_h]]&gt;0),tblPlant[[#This Row],[Milled_t]]/tblPlant[[#This Row],[Mill_Run_h]],"")</f>
        <v/>
      </c>
      <c r="X124" s="60">
        <f>IF(AND(tblPlant[[#This Row],[Mill_Run_h]]="",tblPlant[[#This Row],[Mill_Planned_Maint_h]]="",tblPlant[[#This Row],[Mill_Unplanned_Down_h]]=""),"",(cfg_HoursPerDay-tblPlant[[#This Row],[Mill_Planned_Maint_h]]-tblPlant[[#This Row],[Mill_Unplanned_Down_h]])/cfg_HoursPerDay)</f>
        <v/>
      </c>
      <c r="Y12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5">
      <c r="A125" s="54" t="n">
        <v>46142</v>
      </c>
      <c r="B125" s="55" t="n"/>
      <c r="C125" s="55" t="n"/>
      <c r="D125" s="56" t="n"/>
      <c r="E125" s="56" t="n"/>
      <c r="F125" s="55" t="n"/>
      <c r="G125" s="55" t="n"/>
      <c r="H125" s="57" t="n"/>
      <c r="I125" s="57" t="n"/>
      <c r="J125" s="57" t="n"/>
      <c r="K125" s="57" t="n"/>
      <c r="L125" s="55" t="n"/>
      <c r="M125" s="55" t="n"/>
      <c r="N125" s="55" t="n"/>
      <c r="O125" s="55" t="n"/>
      <c r="P125" s="55" t="n"/>
      <c r="Q125" s="55" t="n"/>
      <c r="R125" s="58" t="n"/>
      <c r="S125" s="59">
        <f>IF(OR(tblPlant[[#This Row],[Milled_t]]="",tblPlant[[#This Row],[Head_Grade_gpt]]=""),"",tblPlant[[#This Row],[Milled_t]]*tblPlant[[#This Row],[Head_Grade_gpt]]/cfg_TroyOz)</f>
        <v/>
      </c>
      <c r="T125" s="59">
        <f>IF(OR(tblPlant[[#This Row],[Milled_t]]="",tblPlant[[#This Row],[Tails_Grade_gpt]]=""),"",tblPlant[[#This Row],[Milled_t]]*tblPlant[[#This Row],[Tails_Grade_gpt]]/cfg_TroyOz)</f>
        <v/>
      </c>
      <c r="U125" s="59">
        <f>IF(OR(tblPlant[[#This Row],[Milled_t]]="",tblPlant[[#This Row],[Head_Grade_gpt]]="",tblPlant[[#This Row],[Tails_Grade_gpt]]=""),"",tblPlant[[#This Row],[Feed_oz]]-tblPlant[[#This Row],[Tails_oz]])</f>
        <v/>
      </c>
      <c r="V125" s="60">
        <f>IF(AND(ISNUMBER(tblPlant[[#This Row],[Recovered_oz]]),tblPlant[[#This Row],[Feed_oz]]&gt;0),tblPlant[[#This Row],[Recovered_oz]]/tblPlant[[#This Row],[Feed_oz]],"")</f>
        <v/>
      </c>
      <c r="W125" s="59">
        <f>IF(AND(tblPlant[[#This Row],[Milled_t]]&lt;&gt;"",tblPlant[[#This Row],[Mill_Run_h]]&gt;0),tblPlant[[#This Row],[Milled_t]]/tblPlant[[#This Row],[Mill_Run_h]],"")</f>
        <v/>
      </c>
      <c r="X125" s="60">
        <f>IF(AND(tblPlant[[#This Row],[Mill_Run_h]]="",tblPlant[[#This Row],[Mill_Planned_Maint_h]]="",tblPlant[[#This Row],[Mill_Unplanned_Down_h]]=""),"",(cfg_HoursPerDay-tblPlant[[#This Row],[Mill_Planned_Maint_h]]-tblPlant[[#This Row],[Mill_Unplanned_Down_h]])/cfg_HoursPerDay)</f>
        <v/>
      </c>
      <c r="Y12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6">
      <c r="A126" s="54" t="n">
        <v>46143</v>
      </c>
      <c r="B126" s="55" t="n"/>
      <c r="C126" s="55" t="n"/>
      <c r="D126" s="56" t="n"/>
      <c r="E126" s="56" t="n"/>
      <c r="F126" s="55" t="n"/>
      <c r="G126" s="55" t="n"/>
      <c r="H126" s="57" t="n"/>
      <c r="I126" s="57" t="n"/>
      <c r="J126" s="57" t="n"/>
      <c r="K126" s="57" t="n"/>
      <c r="L126" s="55" t="n"/>
      <c r="M126" s="55" t="n"/>
      <c r="N126" s="55" t="n"/>
      <c r="O126" s="55" t="n"/>
      <c r="P126" s="55" t="n"/>
      <c r="Q126" s="55" t="n"/>
      <c r="R126" s="58" t="n"/>
      <c r="S126" s="59">
        <f>IF(OR(tblPlant[[#This Row],[Milled_t]]="",tblPlant[[#This Row],[Head_Grade_gpt]]=""),"",tblPlant[[#This Row],[Milled_t]]*tblPlant[[#This Row],[Head_Grade_gpt]]/cfg_TroyOz)</f>
        <v/>
      </c>
      <c r="T126" s="59">
        <f>IF(OR(tblPlant[[#This Row],[Milled_t]]="",tblPlant[[#This Row],[Tails_Grade_gpt]]=""),"",tblPlant[[#This Row],[Milled_t]]*tblPlant[[#This Row],[Tails_Grade_gpt]]/cfg_TroyOz)</f>
        <v/>
      </c>
      <c r="U126" s="59">
        <f>IF(OR(tblPlant[[#This Row],[Milled_t]]="",tblPlant[[#This Row],[Head_Grade_gpt]]="",tblPlant[[#This Row],[Tails_Grade_gpt]]=""),"",tblPlant[[#This Row],[Feed_oz]]-tblPlant[[#This Row],[Tails_oz]])</f>
        <v/>
      </c>
      <c r="V126" s="60">
        <f>IF(AND(ISNUMBER(tblPlant[[#This Row],[Recovered_oz]]),tblPlant[[#This Row],[Feed_oz]]&gt;0),tblPlant[[#This Row],[Recovered_oz]]/tblPlant[[#This Row],[Feed_oz]],"")</f>
        <v/>
      </c>
      <c r="W126" s="59">
        <f>IF(AND(tblPlant[[#This Row],[Milled_t]]&lt;&gt;"",tblPlant[[#This Row],[Mill_Run_h]]&gt;0),tblPlant[[#This Row],[Milled_t]]/tblPlant[[#This Row],[Mill_Run_h]],"")</f>
        <v/>
      </c>
      <c r="X126" s="60">
        <f>IF(AND(tblPlant[[#This Row],[Mill_Run_h]]="",tblPlant[[#This Row],[Mill_Planned_Maint_h]]="",tblPlant[[#This Row],[Mill_Unplanned_Down_h]]=""),"",(cfg_HoursPerDay-tblPlant[[#This Row],[Mill_Planned_Maint_h]]-tblPlant[[#This Row],[Mill_Unplanned_Down_h]])/cfg_HoursPerDay)</f>
        <v/>
      </c>
      <c r="Y12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7">
      <c r="A127" s="54" t="n">
        <v>46144</v>
      </c>
      <c r="B127" s="55" t="n"/>
      <c r="C127" s="55" t="n"/>
      <c r="D127" s="56" t="n"/>
      <c r="E127" s="56" t="n"/>
      <c r="F127" s="55" t="n"/>
      <c r="G127" s="55" t="n"/>
      <c r="H127" s="57" t="n"/>
      <c r="I127" s="57" t="n"/>
      <c r="J127" s="57" t="n"/>
      <c r="K127" s="57" t="n"/>
      <c r="L127" s="55" t="n"/>
      <c r="M127" s="55" t="n"/>
      <c r="N127" s="55" t="n"/>
      <c r="O127" s="55" t="n"/>
      <c r="P127" s="55" t="n"/>
      <c r="Q127" s="55" t="n"/>
      <c r="R127" s="58" t="n"/>
      <c r="S127" s="59">
        <f>IF(OR(tblPlant[[#This Row],[Milled_t]]="",tblPlant[[#This Row],[Head_Grade_gpt]]=""),"",tblPlant[[#This Row],[Milled_t]]*tblPlant[[#This Row],[Head_Grade_gpt]]/cfg_TroyOz)</f>
        <v/>
      </c>
      <c r="T127" s="59">
        <f>IF(OR(tblPlant[[#This Row],[Milled_t]]="",tblPlant[[#This Row],[Tails_Grade_gpt]]=""),"",tblPlant[[#This Row],[Milled_t]]*tblPlant[[#This Row],[Tails_Grade_gpt]]/cfg_TroyOz)</f>
        <v/>
      </c>
      <c r="U127" s="59">
        <f>IF(OR(tblPlant[[#This Row],[Milled_t]]="",tblPlant[[#This Row],[Head_Grade_gpt]]="",tblPlant[[#This Row],[Tails_Grade_gpt]]=""),"",tblPlant[[#This Row],[Feed_oz]]-tblPlant[[#This Row],[Tails_oz]])</f>
        <v/>
      </c>
      <c r="V127" s="60">
        <f>IF(AND(ISNUMBER(tblPlant[[#This Row],[Recovered_oz]]),tblPlant[[#This Row],[Feed_oz]]&gt;0),tblPlant[[#This Row],[Recovered_oz]]/tblPlant[[#This Row],[Feed_oz]],"")</f>
        <v/>
      </c>
      <c r="W127" s="59">
        <f>IF(AND(tblPlant[[#This Row],[Milled_t]]&lt;&gt;"",tblPlant[[#This Row],[Mill_Run_h]]&gt;0),tblPlant[[#This Row],[Milled_t]]/tblPlant[[#This Row],[Mill_Run_h]],"")</f>
        <v/>
      </c>
      <c r="X127" s="60">
        <f>IF(AND(tblPlant[[#This Row],[Mill_Run_h]]="",tblPlant[[#This Row],[Mill_Planned_Maint_h]]="",tblPlant[[#This Row],[Mill_Unplanned_Down_h]]=""),"",(cfg_HoursPerDay-tblPlant[[#This Row],[Mill_Planned_Maint_h]]-tblPlant[[#This Row],[Mill_Unplanned_Down_h]])/cfg_HoursPerDay)</f>
        <v/>
      </c>
      <c r="Y12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8">
      <c r="A128" s="54" t="n">
        <v>46145</v>
      </c>
      <c r="B128" s="55" t="n"/>
      <c r="C128" s="55" t="n"/>
      <c r="D128" s="56" t="n"/>
      <c r="E128" s="56" t="n"/>
      <c r="F128" s="55" t="n"/>
      <c r="G128" s="55" t="n"/>
      <c r="H128" s="57" t="n"/>
      <c r="I128" s="57" t="n"/>
      <c r="J128" s="57" t="n"/>
      <c r="K128" s="57" t="n"/>
      <c r="L128" s="55" t="n"/>
      <c r="M128" s="55" t="n"/>
      <c r="N128" s="55" t="n"/>
      <c r="O128" s="55" t="n"/>
      <c r="P128" s="55" t="n"/>
      <c r="Q128" s="55" t="n"/>
      <c r="R128" s="58" t="n"/>
      <c r="S128" s="59">
        <f>IF(OR(tblPlant[[#This Row],[Milled_t]]="",tblPlant[[#This Row],[Head_Grade_gpt]]=""),"",tblPlant[[#This Row],[Milled_t]]*tblPlant[[#This Row],[Head_Grade_gpt]]/cfg_TroyOz)</f>
        <v/>
      </c>
      <c r="T128" s="59">
        <f>IF(OR(tblPlant[[#This Row],[Milled_t]]="",tblPlant[[#This Row],[Tails_Grade_gpt]]=""),"",tblPlant[[#This Row],[Milled_t]]*tblPlant[[#This Row],[Tails_Grade_gpt]]/cfg_TroyOz)</f>
        <v/>
      </c>
      <c r="U128" s="59">
        <f>IF(OR(tblPlant[[#This Row],[Milled_t]]="",tblPlant[[#This Row],[Head_Grade_gpt]]="",tblPlant[[#This Row],[Tails_Grade_gpt]]=""),"",tblPlant[[#This Row],[Feed_oz]]-tblPlant[[#This Row],[Tails_oz]])</f>
        <v/>
      </c>
      <c r="V128" s="60">
        <f>IF(AND(ISNUMBER(tblPlant[[#This Row],[Recovered_oz]]),tblPlant[[#This Row],[Feed_oz]]&gt;0),tblPlant[[#This Row],[Recovered_oz]]/tblPlant[[#This Row],[Feed_oz]],"")</f>
        <v/>
      </c>
      <c r="W128" s="59">
        <f>IF(AND(tblPlant[[#This Row],[Milled_t]]&lt;&gt;"",tblPlant[[#This Row],[Mill_Run_h]]&gt;0),tblPlant[[#This Row],[Milled_t]]/tblPlant[[#This Row],[Mill_Run_h]],"")</f>
        <v/>
      </c>
      <c r="X128" s="60">
        <f>IF(AND(tblPlant[[#This Row],[Mill_Run_h]]="",tblPlant[[#This Row],[Mill_Planned_Maint_h]]="",tblPlant[[#This Row],[Mill_Unplanned_Down_h]]=""),"",(cfg_HoursPerDay-tblPlant[[#This Row],[Mill_Planned_Maint_h]]-tblPlant[[#This Row],[Mill_Unplanned_Down_h]])/cfg_HoursPerDay)</f>
        <v/>
      </c>
      <c r="Y12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29">
      <c r="A129" s="54" t="n">
        <v>46146</v>
      </c>
      <c r="B129" s="55" t="n"/>
      <c r="C129" s="55" t="n"/>
      <c r="D129" s="56" t="n"/>
      <c r="E129" s="56" t="n"/>
      <c r="F129" s="55" t="n"/>
      <c r="G129" s="55" t="n"/>
      <c r="H129" s="57" t="n"/>
      <c r="I129" s="57" t="n"/>
      <c r="J129" s="57" t="n"/>
      <c r="K129" s="57" t="n"/>
      <c r="L129" s="55" t="n"/>
      <c r="M129" s="55" t="n"/>
      <c r="N129" s="55" t="n"/>
      <c r="O129" s="55" t="n"/>
      <c r="P129" s="55" t="n"/>
      <c r="Q129" s="55" t="n"/>
      <c r="R129" s="58" t="n"/>
      <c r="S129" s="59">
        <f>IF(OR(tblPlant[[#This Row],[Milled_t]]="",tblPlant[[#This Row],[Head_Grade_gpt]]=""),"",tblPlant[[#This Row],[Milled_t]]*tblPlant[[#This Row],[Head_Grade_gpt]]/cfg_TroyOz)</f>
        <v/>
      </c>
      <c r="T129" s="59">
        <f>IF(OR(tblPlant[[#This Row],[Milled_t]]="",tblPlant[[#This Row],[Tails_Grade_gpt]]=""),"",tblPlant[[#This Row],[Milled_t]]*tblPlant[[#This Row],[Tails_Grade_gpt]]/cfg_TroyOz)</f>
        <v/>
      </c>
      <c r="U129" s="59">
        <f>IF(OR(tblPlant[[#This Row],[Milled_t]]="",tblPlant[[#This Row],[Head_Grade_gpt]]="",tblPlant[[#This Row],[Tails_Grade_gpt]]=""),"",tblPlant[[#This Row],[Feed_oz]]-tblPlant[[#This Row],[Tails_oz]])</f>
        <v/>
      </c>
      <c r="V129" s="60">
        <f>IF(AND(ISNUMBER(tblPlant[[#This Row],[Recovered_oz]]),tblPlant[[#This Row],[Feed_oz]]&gt;0),tblPlant[[#This Row],[Recovered_oz]]/tblPlant[[#This Row],[Feed_oz]],"")</f>
        <v/>
      </c>
      <c r="W129" s="59">
        <f>IF(AND(tblPlant[[#This Row],[Milled_t]]&lt;&gt;"",tblPlant[[#This Row],[Mill_Run_h]]&gt;0),tblPlant[[#This Row],[Milled_t]]/tblPlant[[#This Row],[Mill_Run_h]],"")</f>
        <v/>
      </c>
      <c r="X129" s="60">
        <f>IF(AND(tblPlant[[#This Row],[Mill_Run_h]]="",tblPlant[[#This Row],[Mill_Planned_Maint_h]]="",tblPlant[[#This Row],[Mill_Unplanned_Down_h]]=""),"",(cfg_HoursPerDay-tblPlant[[#This Row],[Mill_Planned_Maint_h]]-tblPlant[[#This Row],[Mill_Unplanned_Down_h]])/cfg_HoursPerDay)</f>
        <v/>
      </c>
      <c r="Y12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0">
      <c r="A130" s="54" t="n">
        <v>46147</v>
      </c>
      <c r="B130" s="55" t="n"/>
      <c r="C130" s="55" t="n"/>
      <c r="D130" s="56" t="n"/>
      <c r="E130" s="56" t="n"/>
      <c r="F130" s="55" t="n"/>
      <c r="G130" s="55" t="n"/>
      <c r="H130" s="57" t="n"/>
      <c r="I130" s="57" t="n"/>
      <c r="J130" s="57" t="n"/>
      <c r="K130" s="57" t="n"/>
      <c r="L130" s="55" t="n"/>
      <c r="M130" s="55" t="n"/>
      <c r="N130" s="55" t="n"/>
      <c r="O130" s="55" t="n"/>
      <c r="P130" s="55" t="n"/>
      <c r="Q130" s="55" t="n"/>
      <c r="R130" s="58" t="n"/>
      <c r="S130" s="59">
        <f>IF(OR(tblPlant[[#This Row],[Milled_t]]="",tblPlant[[#This Row],[Head_Grade_gpt]]=""),"",tblPlant[[#This Row],[Milled_t]]*tblPlant[[#This Row],[Head_Grade_gpt]]/cfg_TroyOz)</f>
        <v/>
      </c>
      <c r="T130" s="59">
        <f>IF(OR(tblPlant[[#This Row],[Milled_t]]="",tblPlant[[#This Row],[Tails_Grade_gpt]]=""),"",tblPlant[[#This Row],[Milled_t]]*tblPlant[[#This Row],[Tails_Grade_gpt]]/cfg_TroyOz)</f>
        <v/>
      </c>
      <c r="U130" s="59">
        <f>IF(OR(tblPlant[[#This Row],[Milled_t]]="",tblPlant[[#This Row],[Head_Grade_gpt]]="",tblPlant[[#This Row],[Tails_Grade_gpt]]=""),"",tblPlant[[#This Row],[Feed_oz]]-tblPlant[[#This Row],[Tails_oz]])</f>
        <v/>
      </c>
      <c r="V130" s="60">
        <f>IF(AND(ISNUMBER(tblPlant[[#This Row],[Recovered_oz]]),tblPlant[[#This Row],[Feed_oz]]&gt;0),tblPlant[[#This Row],[Recovered_oz]]/tblPlant[[#This Row],[Feed_oz]],"")</f>
        <v/>
      </c>
      <c r="W130" s="59">
        <f>IF(AND(tblPlant[[#This Row],[Milled_t]]&lt;&gt;"",tblPlant[[#This Row],[Mill_Run_h]]&gt;0),tblPlant[[#This Row],[Milled_t]]/tblPlant[[#This Row],[Mill_Run_h]],"")</f>
        <v/>
      </c>
      <c r="X130" s="60">
        <f>IF(AND(tblPlant[[#This Row],[Mill_Run_h]]="",tblPlant[[#This Row],[Mill_Planned_Maint_h]]="",tblPlant[[#This Row],[Mill_Unplanned_Down_h]]=""),"",(cfg_HoursPerDay-tblPlant[[#This Row],[Mill_Planned_Maint_h]]-tblPlant[[#This Row],[Mill_Unplanned_Down_h]])/cfg_HoursPerDay)</f>
        <v/>
      </c>
      <c r="Y13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1">
      <c r="A131" s="54" t="n">
        <v>46148</v>
      </c>
      <c r="B131" s="55" t="n"/>
      <c r="C131" s="55" t="n"/>
      <c r="D131" s="56" t="n"/>
      <c r="E131" s="56" t="n"/>
      <c r="F131" s="55" t="n"/>
      <c r="G131" s="55" t="n"/>
      <c r="H131" s="57" t="n"/>
      <c r="I131" s="57" t="n"/>
      <c r="J131" s="57" t="n"/>
      <c r="K131" s="57" t="n"/>
      <c r="L131" s="55" t="n"/>
      <c r="M131" s="55" t="n"/>
      <c r="N131" s="55" t="n"/>
      <c r="O131" s="55" t="n"/>
      <c r="P131" s="55" t="n"/>
      <c r="Q131" s="55" t="n"/>
      <c r="R131" s="58" t="n"/>
      <c r="S131" s="59">
        <f>IF(OR(tblPlant[[#This Row],[Milled_t]]="",tblPlant[[#This Row],[Head_Grade_gpt]]=""),"",tblPlant[[#This Row],[Milled_t]]*tblPlant[[#This Row],[Head_Grade_gpt]]/cfg_TroyOz)</f>
        <v/>
      </c>
      <c r="T131" s="59">
        <f>IF(OR(tblPlant[[#This Row],[Milled_t]]="",tblPlant[[#This Row],[Tails_Grade_gpt]]=""),"",tblPlant[[#This Row],[Milled_t]]*tblPlant[[#This Row],[Tails_Grade_gpt]]/cfg_TroyOz)</f>
        <v/>
      </c>
      <c r="U131" s="59">
        <f>IF(OR(tblPlant[[#This Row],[Milled_t]]="",tblPlant[[#This Row],[Head_Grade_gpt]]="",tblPlant[[#This Row],[Tails_Grade_gpt]]=""),"",tblPlant[[#This Row],[Feed_oz]]-tblPlant[[#This Row],[Tails_oz]])</f>
        <v/>
      </c>
      <c r="V131" s="60">
        <f>IF(AND(ISNUMBER(tblPlant[[#This Row],[Recovered_oz]]),tblPlant[[#This Row],[Feed_oz]]&gt;0),tblPlant[[#This Row],[Recovered_oz]]/tblPlant[[#This Row],[Feed_oz]],"")</f>
        <v/>
      </c>
      <c r="W131" s="59">
        <f>IF(AND(tblPlant[[#This Row],[Milled_t]]&lt;&gt;"",tblPlant[[#This Row],[Mill_Run_h]]&gt;0),tblPlant[[#This Row],[Milled_t]]/tblPlant[[#This Row],[Mill_Run_h]],"")</f>
        <v/>
      </c>
      <c r="X131" s="60">
        <f>IF(AND(tblPlant[[#This Row],[Mill_Run_h]]="",tblPlant[[#This Row],[Mill_Planned_Maint_h]]="",tblPlant[[#This Row],[Mill_Unplanned_Down_h]]=""),"",(cfg_HoursPerDay-tblPlant[[#This Row],[Mill_Planned_Maint_h]]-tblPlant[[#This Row],[Mill_Unplanned_Down_h]])/cfg_HoursPerDay)</f>
        <v/>
      </c>
      <c r="Y13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2">
      <c r="A132" s="54" t="n">
        <v>46149</v>
      </c>
      <c r="B132" s="55" t="n"/>
      <c r="C132" s="55" t="n"/>
      <c r="D132" s="56" t="n"/>
      <c r="E132" s="56" t="n"/>
      <c r="F132" s="55" t="n"/>
      <c r="G132" s="55" t="n"/>
      <c r="H132" s="57" t="n"/>
      <c r="I132" s="57" t="n"/>
      <c r="J132" s="57" t="n"/>
      <c r="K132" s="57" t="n"/>
      <c r="L132" s="55" t="n"/>
      <c r="M132" s="55" t="n"/>
      <c r="N132" s="55" t="n"/>
      <c r="O132" s="55" t="n"/>
      <c r="P132" s="55" t="n"/>
      <c r="Q132" s="55" t="n"/>
      <c r="R132" s="58" t="n"/>
      <c r="S132" s="59">
        <f>IF(OR(tblPlant[[#This Row],[Milled_t]]="",tblPlant[[#This Row],[Head_Grade_gpt]]=""),"",tblPlant[[#This Row],[Milled_t]]*tblPlant[[#This Row],[Head_Grade_gpt]]/cfg_TroyOz)</f>
        <v/>
      </c>
      <c r="T132" s="59">
        <f>IF(OR(tblPlant[[#This Row],[Milled_t]]="",tblPlant[[#This Row],[Tails_Grade_gpt]]=""),"",tblPlant[[#This Row],[Milled_t]]*tblPlant[[#This Row],[Tails_Grade_gpt]]/cfg_TroyOz)</f>
        <v/>
      </c>
      <c r="U132" s="59">
        <f>IF(OR(tblPlant[[#This Row],[Milled_t]]="",tblPlant[[#This Row],[Head_Grade_gpt]]="",tblPlant[[#This Row],[Tails_Grade_gpt]]=""),"",tblPlant[[#This Row],[Feed_oz]]-tblPlant[[#This Row],[Tails_oz]])</f>
        <v/>
      </c>
      <c r="V132" s="60">
        <f>IF(AND(ISNUMBER(tblPlant[[#This Row],[Recovered_oz]]),tblPlant[[#This Row],[Feed_oz]]&gt;0),tblPlant[[#This Row],[Recovered_oz]]/tblPlant[[#This Row],[Feed_oz]],"")</f>
        <v/>
      </c>
      <c r="W132" s="59">
        <f>IF(AND(tblPlant[[#This Row],[Milled_t]]&lt;&gt;"",tblPlant[[#This Row],[Mill_Run_h]]&gt;0),tblPlant[[#This Row],[Milled_t]]/tblPlant[[#This Row],[Mill_Run_h]],"")</f>
        <v/>
      </c>
      <c r="X132" s="60">
        <f>IF(AND(tblPlant[[#This Row],[Mill_Run_h]]="",tblPlant[[#This Row],[Mill_Planned_Maint_h]]="",tblPlant[[#This Row],[Mill_Unplanned_Down_h]]=""),"",(cfg_HoursPerDay-tblPlant[[#This Row],[Mill_Planned_Maint_h]]-tblPlant[[#This Row],[Mill_Unplanned_Down_h]])/cfg_HoursPerDay)</f>
        <v/>
      </c>
      <c r="Y13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3">
      <c r="A133" s="54" t="n">
        <v>46150</v>
      </c>
      <c r="B133" s="55" t="n"/>
      <c r="C133" s="55" t="n"/>
      <c r="D133" s="56" t="n"/>
      <c r="E133" s="56" t="n"/>
      <c r="F133" s="55" t="n"/>
      <c r="G133" s="55" t="n"/>
      <c r="H133" s="57" t="n"/>
      <c r="I133" s="57" t="n"/>
      <c r="J133" s="57" t="n"/>
      <c r="K133" s="57" t="n"/>
      <c r="L133" s="55" t="n"/>
      <c r="M133" s="55" t="n"/>
      <c r="N133" s="55" t="n"/>
      <c r="O133" s="55" t="n"/>
      <c r="P133" s="55" t="n"/>
      <c r="Q133" s="55" t="n"/>
      <c r="R133" s="58" t="n"/>
      <c r="S133" s="59">
        <f>IF(OR(tblPlant[[#This Row],[Milled_t]]="",tblPlant[[#This Row],[Head_Grade_gpt]]=""),"",tblPlant[[#This Row],[Milled_t]]*tblPlant[[#This Row],[Head_Grade_gpt]]/cfg_TroyOz)</f>
        <v/>
      </c>
      <c r="T133" s="59">
        <f>IF(OR(tblPlant[[#This Row],[Milled_t]]="",tblPlant[[#This Row],[Tails_Grade_gpt]]=""),"",tblPlant[[#This Row],[Milled_t]]*tblPlant[[#This Row],[Tails_Grade_gpt]]/cfg_TroyOz)</f>
        <v/>
      </c>
      <c r="U133" s="59">
        <f>IF(OR(tblPlant[[#This Row],[Milled_t]]="",tblPlant[[#This Row],[Head_Grade_gpt]]="",tblPlant[[#This Row],[Tails_Grade_gpt]]=""),"",tblPlant[[#This Row],[Feed_oz]]-tblPlant[[#This Row],[Tails_oz]])</f>
        <v/>
      </c>
      <c r="V133" s="60">
        <f>IF(AND(ISNUMBER(tblPlant[[#This Row],[Recovered_oz]]),tblPlant[[#This Row],[Feed_oz]]&gt;0),tblPlant[[#This Row],[Recovered_oz]]/tblPlant[[#This Row],[Feed_oz]],"")</f>
        <v/>
      </c>
      <c r="W133" s="59">
        <f>IF(AND(tblPlant[[#This Row],[Milled_t]]&lt;&gt;"",tblPlant[[#This Row],[Mill_Run_h]]&gt;0),tblPlant[[#This Row],[Milled_t]]/tblPlant[[#This Row],[Mill_Run_h]],"")</f>
        <v/>
      </c>
      <c r="X133" s="60">
        <f>IF(AND(tblPlant[[#This Row],[Mill_Run_h]]="",tblPlant[[#This Row],[Mill_Planned_Maint_h]]="",tblPlant[[#This Row],[Mill_Unplanned_Down_h]]=""),"",(cfg_HoursPerDay-tblPlant[[#This Row],[Mill_Planned_Maint_h]]-tblPlant[[#This Row],[Mill_Unplanned_Down_h]])/cfg_HoursPerDay)</f>
        <v/>
      </c>
      <c r="Y13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4">
      <c r="A134" s="54" t="n">
        <v>46151</v>
      </c>
      <c r="B134" s="55" t="n"/>
      <c r="C134" s="55" t="n"/>
      <c r="D134" s="56" t="n"/>
      <c r="E134" s="56" t="n"/>
      <c r="F134" s="55" t="n"/>
      <c r="G134" s="55" t="n"/>
      <c r="H134" s="57" t="n"/>
      <c r="I134" s="57" t="n"/>
      <c r="J134" s="57" t="n"/>
      <c r="K134" s="57" t="n"/>
      <c r="L134" s="55" t="n"/>
      <c r="M134" s="55" t="n"/>
      <c r="N134" s="55" t="n"/>
      <c r="O134" s="55" t="n"/>
      <c r="P134" s="55" t="n"/>
      <c r="Q134" s="55" t="n"/>
      <c r="R134" s="58" t="n"/>
      <c r="S134" s="59">
        <f>IF(OR(tblPlant[[#This Row],[Milled_t]]="",tblPlant[[#This Row],[Head_Grade_gpt]]=""),"",tblPlant[[#This Row],[Milled_t]]*tblPlant[[#This Row],[Head_Grade_gpt]]/cfg_TroyOz)</f>
        <v/>
      </c>
      <c r="T134" s="59">
        <f>IF(OR(tblPlant[[#This Row],[Milled_t]]="",tblPlant[[#This Row],[Tails_Grade_gpt]]=""),"",tblPlant[[#This Row],[Milled_t]]*tblPlant[[#This Row],[Tails_Grade_gpt]]/cfg_TroyOz)</f>
        <v/>
      </c>
      <c r="U134" s="59">
        <f>IF(OR(tblPlant[[#This Row],[Milled_t]]="",tblPlant[[#This Row],[Head_Grade_gpt]]="",tblPlant[[#This Row],[Tails_Grade_gpt]]=""),"",tblPlant[[#This Row],[Feed_oz]]-tblPlant[[#This Row],[Tails_oz]])</f>
        <v/>
      </c>
      <c r="V134" s="60">
        <f>IF(AND(ISNUMBER(tblPlant[[#This Row],[Recovered_oz]]),tblPlant[[#This Row],[Feed_oz]]&gt;0),tblPlant[[#This Row],[Recovered_oz]]/tblPlant[[#This Row],[Feed_oz]],"")</f>
        <v/>
      </c>
      <c r="W134" s="59">
        <f>IF(AND(tblPlant[[#This Row],[Milled_t]]&lt;&gt;"",tblPlant[[#This Row],[Mill_Run_h]]&gt;0),tblPlant[[#This Row],[Milled_t]]/tblPlant[[#This Row],[Mill_Run_h]],"")</f>
        <v/>
      </c>
      <c r="X134" s="60">
        <f>IF(AND(tblPlant[[#This Row],[Mill_Run_h]]="",tblPlant[[#This Row],[Mill_Planned_Maint_h]]="",tblPlant[[#This Row],[Mill_Unplanned_Down_h]]=""),"",(cfg_HoursPerDay-tblPlant[[#This Row],[Mill_Planned_Maint_h]]-tblPlant[[#This Row],[Mill_Unplanned_Down_h]])/cfg_HoursPerDay)</f>
        <v/>
      </c>
      <c r="Y13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5">
      <c r="A135" s="54" t="n">
        <v>46152</v>
      </c>
      <c r="B135" s="55" t="n"/>
      <c r="C135" s="55" t="n"/>
      <c r="D135" s="56" t="n"/>
      <c r="E135" s="56" t="n"/>
      <c r="F135" s="55" t="n"/>
      <c r="G135" s="55" t="n"/>
      <c r="H135" s="57" t="n"/>
      <c r="I135" s="57" t="n"/>
      <c r="J135" s="57" t="n"/>
      <c r="K135" s="57" t="n"/>
      <c r="L135" s="55" t="n"/>
      <c r="M135" s="55" t="n"/>
      <c r="N135" s="55" t="n"/>
      <c r="O135" s="55" t="n"/>
      <c r="P135" s="55" t="n"/>
      <c r="Q135" s="55" t="n"/>
      <c r="R135" s="58" t="n"/>
      <c r="S135" s="59">
        <f>IF(OR(tblPlant[[#This Row],[Milled_t]]="",tblPlant[[#This Row],[Head_Grade_gpt]]=""),"",tblPlant[[#This Row],[Milled_t]]*tblPlant[[#This Row],[Head_Grade_gpt]]/cfg_TroyOz)</f>
        <v/>
      </c>
      <c r="T135" s="59">
        <f>IF(OR(tblPlant[[#This Row],[Milled_t]]="",tblPlant[[#This Row],[Tails_Grade_gpt]]=""),"",tblPlant[[#This Row],[Milled_t]]*tblPlant[[#This Row],[Tails_Grade_gpt]]/cfg_TroyOz)</f>
        <v/>
      </c>
      <c r="U135" s="59">
        <f>IF(OR(tblPlant[[#This Row],[Milled_t]]="",tblPlant[[#This Row],[Head_Grade_gpt]]="",tblPlant[[#This Row],[Tails_Grade_gpt]]=""),"",tblPlant[[#This Row],[Feed_oz]]-tblPlant[[#This Row],[Tails_oz]])</f>
        <v/>
      </c>
      <c r="V135" s="60">
        <f>IF(AND(ISNUMBER(tblPlant[[#This Row],[Recovered_oz]]),tblPlant[[#This Row],[Feed_oz]]&gt;0),tblPlant[[#This Row],[Recovered_oz]]/tblPlant[[#This Row],[Feed_oz]],"")</f>
        <v/>
      </c>
      <c r="W135" s="59">
        <f>IF(AND(tblPlant[[#This Row],[Milled_t]]&lt;&gt;"",tblPlant[[#This Row],[Mill_Run_h]]&gt;0),tblPlant[[#This Row],[Milled_t]]/tblPlant[[#This Row],[Mill_Run_h]],"")</f>
        <v/>
      </c>
      <c r="X135" s="60">
        <f>IF(AND(tblPlant[[#This Row],[Mill_Run_h]]="",tblPlant[[#This Row],[Mill_Planned_Maint_h]]="",tblPlant[[#This Row],[Mill_Unplanned_Down_h]]=""),"",(cfg_HoursPerDay-tblPlant[[#This Row],[Mill_Planned_Maint_h]]-tblPlant[[#This Row],[Mill_Unplanned_Down_h]])/cfg_HoursPerDay)</f>
        <v/>
      </c>
      <c r="Y13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6">
      <c r="A136" s="54" t="n">
        <v>46153</v>
      </c>
      <c r="B136" s="55" t="n"/>
      <c r="C136" s="55" t="n"/>
      <c r="D136" s="56" t="n"/>
      <c r="E136" s="56" t="n"/>
      <c r="F136" s="55" t="n"/>
      <c r="G136" s="55" t="n"/>
      <c r="H136" s="57" t="n"/>
      <c r="I136" s="57" t="n"/>
      <c r="J136" s="57" t="n"/>
      <c r="K136" s="57" t="n"/>
      <c r="L136" s="55" t="n"/>
      <c r="M136" s="55" t="n"/>
      <c r="N136" s="55" t="n"/>
      <c r="O136" s="55" t="n"/>
      <c r="P136" s="55" t="n"/>
      <c r="Q136" s="55" t="n"/>
      <c r="R136" s="58" t="n"/>
      <c r="S136" s="59">
        <f>IF(OR(tblPlant[[#This Row],[Milled_t]]="",tblPlant[[#This Row],[Head_Grade_gpt]]=""),"",tblPlant[[#This Row],[Milled_t]]*tblPlant[[#This Row],[Head_Grade_gpt]]/cfg_TroyOz)</f>
        <v/>
      </c>
      <c r="T136" s="59">
        <f>IF(OR(tblPlant[[#This Row],[Milled_t]]="",tblPlant[[#This Row],[Tails_Grade_gpt]]=""),"",tblPlant[[#This Row],[Milled_t]]*tblPlant[[#This Row],[Tails_Grade_gpt]]/cfg_TroyOz)</f>
        <v/>
      </c>
      <c r="U136" s="59">
        <f>IF(OR(tblPlant[[#This Row],[Milled_t]]="",tblPlant[[#This Row],[Head_Grade_gpt]]="",tblPlant[[#This Row],[Tails_Grade_gpt]]=""),"",tblPlant[[#This Row],[Feed_oz]]-tblPlant[[#This Row],[Tails_oz]])</f>
        <v/>
      </c>
      <c r="V136" s="60">
        <f>IF(AND(ISNUMBER(tblPlant[[#This Row],[Recovered_oz]]),tblPlant[[#This Row],[Feed_oz]]&gt;0),tblPlant[[#This Row],[Recovered_oz]]/tblPlant[[#This Row],[Feed_oz]],"")</f>
        <v/>
      </c>
      <c r="W136" s="59">
        <f>IF(AND(tblPlant[[#This Row],[Milled_t]]&lt;&gt;"",tblPlant[[#This Row],[Mill_Run_h]]&gt;0),tblPlant[[#This Row],[Milled_t]]/tblPlant[[#This Row],[Mill_Run_h]],"")</f>
        <v/>
      </c>
      <c r="X136" s="60">
        <f>IF(AND(tblPlant[[#This Row],[Mill_Run_h]]="",tblPlant[[#This Row],[Mill_Planned_Maint_h]]="",tblPlant[[#This Row],[Mill_Unplanned_Down_h]]=""),"",(cfg_HoursPerDay-tblPlant[[#This Row],[Mill_Planned_Maint_h]]-tblPlant[[#This Row],[Mill_Unplanned_Down_h]])/cfg_HoursPerDay)</f>
        <v/>
      </c>
      <c r="Y13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7">
      <c r="A137" s="54" t="n">
        <v>46154</v>
      </c>
      <c r="B137" s="55" t="n"/>
      <c r="C137" s="55" t="n"/>
      <c r="D137" s="56" t="n"/>
      <c r="E137" s="56" t="n"/>
      <c r="F137" s="55" t="n"/>
      <c r="G137" s="55" t="n"/>
      <c r="H137" s="57" t="n"/>
      <c r="I137" s="57" t="n"/>
      <c r="J137" s="57" t="n"/>
      <c r="K137" s="57" t="n"/>
      <c r="L137" s="55" t="n"/>
      <c r="M137" s="55" t="n"/>
      <c r="N137" s="55" t="n"/>
      <c r="O137" s="55" t="n"/>
      <c r="P137" s="55" t="n"/>
      <c r="Q137" s="55" t="n"/>
      <c r="R137" s="58" t="n"/>
      <c r="S137" s="59">
        <f>IF(OR(tblPlant[[#This Row],[Milled_t]]="",tblPlant[[#This Row],[Head_Grade_gpt]]=""),"",tblPlant[[#This Row],[Milled_t]]*tblPlant[[#This Row],[Head_Grade_gpt]]/cfg_TroyOz)</f>
        <v/>
      </c>
      <c r="T137" s="59">
        <f>IF(OR(tblPlant[[#This Row],[Milled_t]]="",tblPlant[[#This Row],[Tails_Grade_gpt]]=""),"",tblPlant[[#This Row],[Milled_t]]*tblPlant[[#This Row],[Tails_Grade_gpt]]/cfg_TroyOz)</f>
        <v/>
      </c>
      <c r="U137" s="59">
        <f>IF(OR(tblPlant[[#This Row],[Milled_t]]="",tblPlant[[#This Row],[Head_Grade_gpt]]="",tblPlant[[#This Row],[Tails_Grade_gpt]]=""),"",tblPlant[[#This Row],[Feed_oz]]-tblPlant[[#This Row],[Tails_oz]])</f>
        <v/>
      </c>
      <c r="V137" s="60">
        <f>IF(AND(ISNUMBER(tblPlant[[#This Row],[Recovered_oz]]),tblPlant[[#This Row],[Feed_oz]]&gt;0),tblPlant[[#This Row],[Recovered_oz]]/tblPlant[[#This Row],[Feed_oz]],"")</f>
        <v/>
      </c>
      <c r="W137" s="59">
        <f>IF(AND(tblPlant[[#This Row],[Milled_t]]&lt;&gt;"",tblPlant[[#This Row],[Mill_Run_h]]&gt;0),tblPlant[[#This Row],[Milled_t]]/tblPlant[[#This Row],[Mill_Run_h]],"")</f>
        <v/>
      </c>
      <c r="X137" s="60">
        <f>IF(AND(tblPlant[[#This Row],[Mill_Run_h]]="",tblPlant[[#This Row],[Mill_Planned_Maint_h]]="",tblPlant[[#This Row],[Mill_Unplanned_Down_h]]=""),"",(cfg_HoursPerDay-tblPlant[[#This Row],[Mill_Planned_Maint_h]]-tblPlant[[#This Row],[Mill_Unplanned_Down_h]])/cfg_HoursPerDay)</f>
        <v/>
      </c>
      <c r="Y13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8">
      <c r="A138" s="54" t="n">
        <v>46155</v>
      </c>
      <c r="B138" s="55" t="n"/>
      <c r="C138" s="55" t="n"/>
      <c r="D138" s="56" t="n"/>
      <c r="E138" s="56" t="n"/>
      <c r="F138" s="55" t="n"/>
      <c r="G138" s="55" t="n"/>
      <c r="H138" s="57" t="n"/>
      <c r="I138" s="57" t="n"/>
      <c r="J138" s="57" t="n"/>
      <c r="K138" s="57" t="n"/>
      <c r="L138" s="55" t="n"/>
      <c r="M138" s="55" t="n"/>
      <c r="N138" s="55" t="n"/>
      <c r="O138" s="55" t="n"/>
      <c r="P138" s="55" t="n"/>
      <c r="Q138" s="55" t="n"/>
      <c r="R138" s="58" t="n"/>
      <c r="S138" s="59">
        <f>IF(OR(tblPlant[[#This Row],[Milled_t]]="",tblPlant[[#This Row],[Head_Grade_gpt]]=""),"",tblPlant[[#This Row],[Milled_t]]*tblPlant[[#This Row],[Head_Grade_gpt]]/cfg_TroyOz)</f>
        <v/>
      </c>
      <c r="T138" s="59">
        <f>IF(OR(tblPlant[[#This Row],[Milled_t]]="",tblPlant[[#This Row],[Tails_Grade_gpt]]=""),"",tblPlant[[#This Row],[Milled_t]]*tblPlant[[#This Row],[Tails_Grade_gpt]]/cfg_TroyOz)</f>
        <v/>
      </c>
      <c r="U138" s="59">
        <f>IF(OR(tblPlant[[#This Row],[Milled_t]]="",tblPlant[[#This Row],[Head_Grade_gpt]]="",tblPlant[[#This Row],[Tails_Grade_gpt]]=""),"",tblPlant[[#This Row],[Feed_oz]]-tblPlant[[#This Row],[Tails_oz]])</f>
        <v/>
      </c>
      <c r="V138" s="60">
        <f>IF(AND(ISNUMBER(tblPlant[[#This Row],[Recovered_oz]]),tblPlant[[#This Row],[Feed_oz]]&gt;0),tblPlant[[#This Row],[Recovered_oz]]/tblPlant[[#This Row],[Feed_oz]],"")</f>
        <v/>
      </c>
      <c r="W138" s="59">
        <f>IF(AND(tblPlant[[#This Row],[Milled_t]]&lt;&gt;"",tblPlant[[#This Row],[Mill_Run_h]]&gt;0),tblPlant[[#This Row],[Milled_t]]/tblPlant[[#This Row],[Mill_Run_h]],"")</f>
        <v/>
      </c>
      <c r="X138" s="60">
        <f>IF(AND(tblPlant[[#This Row],[Mill_Run_h]]="",tblPlant[[#This Row],[Mill_Planned_Maint_h]]="",tblPlant[[#This Row],[Mill_Unplanned_Down_h]]=""),"",(cfg_HoursPerDay-tblPlant[[#This Row],[Mill_Planned_Maint_h]]-tblPlant[[#This Row],[Mill_Unplanned_Down_h]])/cfg_HoursPerDay)</f>
        <v/>
      </c>
      <c r="Y13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39">
      <c r="A139" s="54" t="n">
        <v>46156</v>
      </c>
      <c r="B139" s="55" t="n"/>
      <c r="C139" s="55" t="n"/>
      <c r="D139" s="56" t="n"/>
      <c r="E139" s="56" t="n"/>
      <c r="F139" s="55" t="n"/>
      <c r="G139" s="55" t="n"/>
      <c r="H139" s="57" t="n"/>
      <c r="I139" s="57" t="n"/>
      <c r="J139" s="57" t="n"/>
      <c r="K139" s="57" t="n"/>
      <c r="L139" s="55" t="n"/>
      <c r="M139" s="55" t="n"/>
      <c r="N139" s="55" t="n"/>
      <c r="O139" s="55" t="n"/>
      <c r="P139" s="55" t="n"/>
      <c r="Q139" s="55" t="n"/>
      <c r="R139" s="58" t="n"/>
      <c r="S139" s="59">
        <f>IF(OR(tblPlant[[#This Row],[Milled_t]]="",tblPlant[[#This Row],[Head_Grade_gpt]]=""),"",tblPlant[[#This Row],[Milled_t]]*tblPlant[[#This Row],[Head_Grade_gpt]]/cfg_TroyOz)</f>
        <v/>
      </c>
      <c r="T139" s="59">
        <f>IF(OR(tblPlant[[#This Row],[Milled_t]]="",tblPlant[[#This Row],[Tails_Grade_gpt]]=""),"",tblPlant[[#This Row],[Milled_t]]*tblPlant[[#This Row],[Tails_Grade_gpt]]/cfg_TroyOz)</f>
        <v/>
      </c>
      <c r="U139" s="59">
        <f>IF(OR(tblPlant[[#This Row],[Milled_t]]="",tblPlant[[#This Row],[Head_Grade_gpt]]="",tblPlant[[#This Row],[Tails_Grade_gpt]]=""),"",tblPlant[[#This Row],[Feed_oz]]-tblPlant[[#This Row],[Tails_oz]])</f>
        <v/>
      </c>
      <c r="V139" s="60">
        <f>IF(AND(ISNUMBER(tblPlant[[#This Row],[Recovered_oz]]),tblPlant[[#This Row],[Feed_oz]]&gt;0),tblPlant[[#This Row],[Recovered_oz]]/tblPlant[[#This Row],[Feed_oz]],"")</f>
        <v/>
      </c>
      <c r="W139" s="59">
        <f>IF(AND(tblPlant[[#This Row],[Milled_t]]&lt;&gt;"",tblPlant[[#This Row],[Mill_Run_h]]&gt;0),tblPlant[[#This Row],[Milled_t]]/tblPlant[[#This Row],[Mill_Run_h]],"")</f>
        <v/>
      </c>
      <c r="X139" s="60">
        <f>IF(AND(tblPlant[[#This Row],[Mill_Run_h]]="",tblPlant[[#This Row],[Mill_Planned_Maint_h]]="",tblPlant[[#This Row],[Mill_Unplanned_Down_h]]=""),"",(cfg_HoursPerDay-tblPlant[[#This Row],[Mill_Planned_Maint_h]]-tblPlant[[#This Row],[Mill_Unplanned_Down_h]])/cfg_HoursPerDay)</f>
        <v/>
      </c>
      <c r="Y13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0">
      <c r="A140" s="54" t="n">
        <v>46157</v>
      </c>
      <c r="B140" s="55" t="n"/>
      <c r="C140" s="55" t="n"/>
      <c r="D140" s="56" t="n"/>
      <c r="E140" s="56" t="n"/>
      <c r="F140" s="55" t="n"/>
      <c r="G140" s="55" t="n"/>
      <c r="H140" s="57" t="n"/>
      <c r="I140" s="57" t="n"/>
      <c r="J140" s="57" t="n"/>
      <c r="K140" s="57" t="n"/>
      <c r="L140" s="55" t="n"/>
      <c r="M140" s="55" t="n"/>
      <c r="N140" s="55" t="n"/>
      <c r="O140" s="55" t="n"/>
      <c r="P140" s="55" t="n"/>
      <c r="Q140" s="55" t="n"/>
      <c r="R140" s="58" t="n"/>
      <c r="S140" s="59">
        <f>IF(OR(tblPlant[[#This Row],[Milled_t]]="",tblPlant[[#This Row],[Head_Grade_gpt]]=""),"",tblPlant[[#This Row],[Milled_t]]*tblPlant[[#This Row],[Head_Grade_gpt]]/cfg_TroyOz)</f>
        <v/>
      </c>
      <c r="T140" s="59">
        <f>IF(OR(tblPlant[[#This Row],[Milled_t]]="",tblPlant[[#This Row],[Tails_Grade_gpt]]=""),"",tblPlant[[#This Row],[Milled_t]]*tblPlant[[#This Row],[Tails_Grade_gpt]]/cfg_TroyOz)</f>
        <v/>
      </c>
      <c r="U140" s="59">
        <f>IF(OR(tblPlant[[#This Row],[Milled_t]]="",tblPlant[[#This Row],[Head_Grade_gpt]]="",tblPlant[[#This Row],[Tails_Grade_gpt]]=""),"",tblPlant[[#This Row],[Feed_oz]]-tblPlant[[#This Row],[Tails_oz]])</f>
        <v/>
      </c>
      <c r="V140" s="60">
        <f>IF(AND(ISNUMBER(tblPlant[[#This Row],[Recovered_oz]]),tblPlant[[#This Row],[Feed_oz]]&gt;0),tblPlant[[#This Row],[Recovered_oz]]/tblPlant[[#This Row],[Feed_oz]],"")</f>
        <v/>
      </c>
      <c r="W140" s="59">
        <f>IF(AND(tblPlant[[#This Row],[Milled_t]]&lt;&gt;"",tblPlant[[#This Row],[Mill_Run_h]]&gt;0),tblPlant[[#This Row],[Milled_t]]/tblPlant[[#This Row],[Mill_Run_h]],"")</f>
        <v/>
      </c>
      <c r="X140" s="60">
        <f>IF(AND(tblPlant[[#This Row],[Mill_Run_h]]="",tblPlant[[#This Row],[Mill_Planned_Maint_h]]="",tblPlant[[#This Row],[Mill_Unplanned_Down_h]]=""),"",(cfg_HoursPerDay-tblPlant[[#This Row],[Mill_Planned_Maint_h]]-tblPlant[[#This Row],[Mill_Unplanned_Down_h]])/cfg_HoursPerDay)</f>
        <v/>
      </c>
      <c r="Y14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1">
      <c r="A141" s="54" t="n">
        <v>46158</v>
      </c>
      <c r="B141" s="55" t="n"/>
      <c r="C141" s="55" t="n"/>
      <c r="D141" s="56" t="n"/>
      <c r="E141" s="56" t="n"/>
      <c r="F141" s="55" t="n"/>
      <c r="G141" s="55" t="n"/>
      <c r="H141" s="57" t="n"/>
      <c r="I141" s="57" t="n"/>
      <c r="J141" s="57" t="n"/>
      <c r="K141" s="57" t="n"/>
      <c r="L141" s="55" t="n"/>
      <c r="M141" s="55" t="n"/>
      <c r="N141" s="55" t="n"/>
      <c r="O141" s="55" t="n"/>
      <c r="P141" s="55" t="n"/>
      <c r="Q141" s="55" t="n"/>
      <c r="R141" s="58" t="n"/>
      <c r="S141" s="59">
        <f>IF(OR(tblPlant[[#This Row],[Milled_t]]="",tblPlant[[#This Row],[Head_Grade_gpt]]=""),"",tblPlant[[#This Row],[Milled_t]]*tblPlant[[#This Row],[Head_Grade_gpt]]/cfg_TroyOz)</f>
        <v/>
      </c>
      <c r="T141" s="59">
        <f>IF(OR(tblPlant[[#This Row],[Milled_t]]="",tblPlant[[#This Row],[Tails_Grade_gpt]]=""),"",tblPlant[[#This Row],[Milled_t]]*tblPlant[[#This Row],[Tails_Grade_gpt]]/cfg_TroyOz)</f>
        <v/>
      </c>
      <c r="U141" s="59">
        <f>IF(OR(tblPlant[[#This Row],[Milled_t]]="",tblPlant[[#This Row],[Head_Grade_gpt]]="",tblPlant[[#This Row],[Tails_Grade_gpt]]=""),"",tblPlant[[#This Row],[Feed_oz]]-tblPlant[[#This Row],[Tails_oz]])</f>
        <v/>
      </c>
      <c r="V141" s="60">
        <f>IF(AND(ISNUMBER(tblPlant[[#This Row],[Recovered_oz]]),tblPlant[[#This Row],[Feed_oz]]&gt;0),tblPlant[[#This Row],[Recovered_oz]]/tblPlant[[#This Row],[Feed_oz]],"")</f>
        <v/>
      </c>
      <c r="W141" s="59">
        <f>IF(AND(tblPlant[[#This Row],[Milled_t]]&lt;&gt;"",tblPlant[[#This Row],[Mill_Run_h]]&gt;0),tblPlant[[#This Row],[Milled_t]]/tblPlant[[#This Row],[Mill_Run_h]],"")</f>
        <v/>
      </c>
      <c r="X141" s="60">
        <f>IF(AND(tblPlant[[#This Row],[Mill_Run_h]]="",tblPlant[[#This Row],[Mill_Planned_Maint_h]]="",tblPlant[[#This Row],[Mill_Unplanned_Down_h]]=""),"",(cfg_HoursPerDay-tblPlant[[#This Row],[Mill_Planned_Maint_h]]-tblPlant[[#This Row],[Mill_Unplanned_Down_h]])/cfg_HoursPerDay)</f>
        <v/>
      </c>
      <c r="Y14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2">
      <c r="A142" s="54" t="n">
        <v>46159</v>
      </c>
      <c r="B142" s="55" t="n"/>
      <c r="C142" s="55" t="n"/>
      <c r="D142" s="56" t="n"/>
      <c r="E142" s="56" t="n"/>
      <c r="F142" s="55" t="n"/>
      <c r="G142" s="55" t="n"/>
      <c r="H142" s="57" t="n"/>
      <c r="I142" s="57" t="n"/>
      <c r="J142" s="57" t="n"/>
      <c r="K142" s="57" t="n"/>
      <c r="L142" s="55" t="n"/>
      <c r="M142" s="55" t="n"/>
      <c r="N142" s="55" t="n"/>
      <c r="O142" s="55" t="n"/>
      <c r="P142" s="55" t="n"/>
      <c r="Q142" s="55" t="n"/>
      <c r="R142" s="58" t="n"/>
      <c r="S142" s="59">
        <f>IF(OR(tblPlant[[#This Row],[Milled_t]]="",tblPlant[[#This Row],[Head_Grade_gpt]]=""),"",tblPlant[[#This Row],[Milled_t]]*tblPlant[[#This Row],[Head_Grade_gpt]]/cfg_TroyOz)</f>
        <v/>
      </c>
      <c r="T142" s="59">
        <f>IF(OR(tblPlant[[#This Row],[Milled_t]]="",tblPlant[[#This Row],[Tails_Grade_gpt]]=""),"",tblPlant[[#This Row],[Milled_t]]*tblPlant[[#This Row],[Tails_Grade_gpt]]/cfg_TroyOz)</f>
        <v/>
      </c>
      <c r="U142" s="59">
        <f>IF(OR(tblPlant[[#This Row],[Milled_t]]="",tblPlant[[#This Row],[Head_Grade_gpt]]="",tblPlant[[#This Row],[Tails_Grade_gpt]]=""),"",tblPlant[[#This Row],[Feed_oz]]-tblPlant[[#This Row],[Tails_oz]])</f>
        <v/>
      </c>
      <c r="V142" s="60">
        <f>IF(AND(ISNUMBER(tblPlant[[#This Row],[Recovered_oz]]),tblPlant[[#This Row],[Feed_oz]]&gt;0),tblPlant[[#This Row],[Recovered_oz]]/tblPlant[[#This Row],[Feed_oz]],"")</f>
        <v/>
      </c>
      <c r="W142" s="59">
        <f>IF(AND(tblPlant[[#This Row],[Milled_t]]&lt;&gt;"",tblPlant[[#This Row],[Mill_Run_h]]&gt;0),tblPlant[[#This Row],[Milled_t]]/tblPlant[[#This Row],[Mill_Run_h]],"")</f>
        <v/>
      </c>
      <c r="X142" s="60">
        <f>IF(AND(tblPlant[[#This Row],[Mill_Run_h]]="",tblPlant[[#This Row],[Mill_Planned_Maint_h]]="",tblPlant[[#This Row],[Mill_Unplanned_Down_h]]=""),"",(cfg_HoursPerDay-tblPlant[[#This Row],[Mill_Planned_Maint_h]]-tblPlant[[#This Row],[Mill_Unplanned_Down_h]])/cfg_HoursPerDay)</f>
        <v/>
      </c>
      <c r="Y14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3">
      <c r="A143" s="54" t="n">
        <v>46160</v>
      </c>
      <c r="B143" s="55" t="n"/>
      <c r="C143" s="55" t="n"/>
      <c r="D143" s="56" t="n"/>
      <c r="E143" s="56" t="n"/>
      <c r="F143" s="55" t="n"/>
      <c r="G143" s="55" t="n"/>
      <c r="H143" s="57" t="n"/>
      <c r="I143" s="57" t="n"/>
      <c r="J143" s="57" t="n"/>
      <c r="K143" s="57" t="n"/>
      <c r="L143" s="55" t="n"/>
      <c r="M143" s="55" t="n"/>
      <c r="N143" s="55" t="n"/>
      <c r="O143" s="55" t="n"/>
      <c r="P143" s="55" t="n"/>
      <c r="Q143" s="55" t="n"/>
      <c r="R143" s="58" t="n"/>
      <c r="S143" s="59">
        <f>IF(OR(tblPlant[[#This Row],[Milled_t]]="",tblPlant[[#This Row],[Head_Grade_gpt]]=""),"",tblPlant[[#This Row],[Milled_t]]*tblPlant[[#This Row],[Head_Grade_gpt]]/cfg_TroyOz)</f>
        <v/>
      </c>
      <c r="T143" s="59">
        <f>IF(OR(tblPlant[[#This Row],[Milled_t]]="",tblPlant[[#This Row],[Tails_Grade_gpt]]=""),"",tblPlant[[#This Row],[Milled_t]]*tblPlant[[#This Row],[Tails_Grade_gpt]]/cfg_TroyOz)</f>
        <v/>
      </c>
      <c r="U143" s="59">
        <f>IF(OR(tblPlant[[#This Row],[Milled_t]]="",tblPlant[[#This Row],[Head_Grade_gpt]]="",tblPlant[[#This Row],[Tails_Grade_gpt]]=""),"",tblPlant[[#This Row],[Feed_oz]]-tblPlant[[#This Row],[Tails_oz]])</f>
        <v/>
      </c>
      <c r="V143" s="60">
        <f>IF(AND(ISNUMBER(tblPlant[[#This Row],[Recovered_oz]]),tblPlant[[#This Row],[Feed_oz]]&gt;0),tblPlant[[#This Row],[Recovered_oz]]/tblPlant[[#This Row],[Feed_oz]],"")</f>
        <v/>
      </c>
      <c r="W143" s="59">
        <f>IF(AND(tblPlant[[#This Row],[Milled_t]]&lt;&gt;"",tblPlant[[#This Row],[Mill_Run_h]]&gt;0),tblPlant[[#This Row],[Milled_t]]/tblPlant[[#This Row],[Mill_Run_h]],"")</f>
        <v/>
      </c>
      <c r="X143" s="60">
        <f>IF(AND(tblPlant[[#This Row],[Mill_Run_h]]="",tblPlant[[#This Row],[Mill_Planned_Maint_h]]="",tblPlant[[#This Row],[Mill_Unplanned_Down_h]]=""),"",(cfg_HoursPerDay-tblPlant[[#This Row],[Mill_Planned_Maint_h]]-tblPlant[[#This Row],[Mill_Unplanned_Down_h]])/cfg_HoursPerDay)</f>
        <v/>
      </c>
      <c r="Y14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4">
      <c r="A144" s="54" t="n">
        <v>46161</v>
      </c>
      <c r="B144" s="55" t="n"/>
      <c r="C144" s="55" t="n"/>
      <c r="D144" s="56" t="n"/>
      <c r="E144" s="56" t="n"/>
      <c r="F144" s="55" t="n"/>
      <c r="G144" s="55" t="n"/>
      <c r="H144" s="57" t="n"/>
      <c r="I144" s="57" t="n"/>
      <c r="J144" s="57" t="n"/>
      <c r="K144" s="57" t="n"/>
      <c r="L144" s="55" t="n"/>
      <c r="M144" s="55" t="n"/>
      <c r="N144" s="55" t="n"/>
      <c r="O144" s="55" t="n"/>
      <c r="P144" s="55" t="n"/>
      <c r="Q144" s="55" t="n"/>
      <c r="R144" s="58" t="n"/>
      <c r="S144" s="59">
        <f>IF(OR(tblPlant[[#This Row],[Milled_t]]="",tblPlant[[#This Row],[Head_Grade_gpt]]=""),"",tblPlant[[#This Row],[Milled_t]]*tblPlant[[#This Row],[Head_Grade_gpt]]/cfg_TroyOz)</f>
        <v/>
      </c>
      <c r="T144" s="59">
        <f>IF(OR(tblPlant[[#This Row],[Milled_t]]="",tblPlant[[#This Row],[Tails_Grade_gpt]]=""),"",tblPlant[[#This Row],[Milled_t]]*tblPlant[[#This Row],[Tails_Grade_gpt]]/cfg_TroyOz)</f>
        <v/>
      </c>
      <c r="U144" s="59">
        <f>IF(OR(tblPlant[[#This Row],[Milled_t]]="",tblPlant[[#This Row],[Head_Grade_gpt]]="",tblPlant[[#This Row],[Tails_Grade_gpt]]=""),"",tblPlant[[#This Row],[Feed_oz]]-tblPlant[[#This Row],[Tails_oz]])</f>
        <v/>
      </c>
      <c r="V144" s="60">
        <f>IF(AND(ISNUMBER(tblPlant[[#This Row],[Recovered_oz]]),tblPlant[[#This Row],[Feed_oz]]&gt;0),tblPlant[[#This Row],[Recovered_oz]]/tblPlant[[#This Row],[Feed_oz]],"")</f>
        <v/>
      </c>
      <c r="W144" s="59">
        <f>IF(AND(tblPlant[[#This Row],[Milled_t]]&lt;&gt;"",tblPlant[[#This Row],[Mill_Run_h]]&gt;0),tblPlant[[#This Row],[Milled_t]]/tblPlant[[#This Row],[Mill_Run_h]],"")</f>
        <v/>
      </c>
      <c r="X144" s="60">
        <f>IF(AND(tblPlant[[#This Row],[Mill_Run_h]]="",tblPlant[[#This Row],[Mill_Planned_Maint_h]]="",tblPlant[[#This Row],[Mill_Unplanned_Down_h]]=""),"",(cfg_HoursPerDay-tblPlant[[#This Row],[Mill_Planned_Maint_h]]-tblPlant[[#This Row],[Mill_Unplanned_Down_h]])/cfg_HoursPerDay)</f>
        <v/>
      </c>
      <c r="Y14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5">
      <c r="A145" s="54" t="n">
        <v>46162</v>
      </c>
      <c r="B145" s="55" t="n"/>
      <c r="C145" s="55" t="n"/>
      <c r="D145" s="56" t="n"/>
      <c r="E145" s="56" t="n"/>
      <c r="F145" s="55" t="n"/>
      <c r="G145" s="55" t="n"/>
      <c r="H145" s="57" t="n"/>
      <c r="I145" s="57" t="n"/>
      <c r="J145" s="57" t="n"/>
      <c r="K145" s="57" t="n"/>
      <c r="L145" s="55" t="n"/>
      <c r="M145" s="55" t="n"/>
      <c r="N145" s="55" t="n"/>
      <c r="O145" s="55" t="n"/>
      <c r="P145" s="55" t="n"/>
      <c r="Q145" s="55" t="n"/>
      <c r="R145" s="58" t="n"/>
      <c r="S145" s="59">
        <f>IF(OR(tblPlant[[#This Row],[Milled_t]]="",tblPlant[[#This Row],[Head_Grade_gpt]]=""),"",tblPlant[[#This Row],[Milled_t]]*tblPlant[[#This Row],[Head_Grade_gpt]]/cfg_TroyOz)</f>
        <v/>
      </c>
      <c r="T145" s="59">
        <f>IF(OR(tblPlant[[#This Row],[Milled_t]]="",tblPlant[[#This Row],[Tails_Grade_gpt]]=""),"",tblPlant[[#This Row],[Milled_t]]*tblPlant[[#This Row],[Tails_Grade_gpt]]/cfg_TroyOz)</f>
        <v/>
      </c>
      <c r="U145" s="59">
        <f>IF(OR(tblPlant[[#This Row],[Milled_t]]="",tblPlant[[#This Row],[Head_Grade_gpt]]="",tblPlant[[#This Row],[Tails_Grade_gpt]]=""),"",tblPlant[[#This Row],[Feed_oz]]-tblPlant[[#This Row],[Tails_oz]])</f>
        <v/>
      </c>
      <c r="V145" s="60">
        <f>IF(AND(ISNUMBER(tblPlant[[#This Row],[Recovered_oz]]),tblPlant[[#This Row],[Feed_oz]]&gt;0),tblPlant[[#This Row],[Recovered_oz]]/tblPlant[[#This Row],[Feed_oz]],"")</f>
        <v/>
      </c>
      <c r="W145" s="59">
        <f>IF(AND(tblPlant[[#This Row],[Milled_t]]&lt;&gt;"",tblPlant[[#This Row],[Mill_Run_h]]&gt;0),tblPlant[[#This Row],[Milled_t]]/tblPlant[[#This Row],[Mill_Run_h]],"")</f>
        <v/>
      </c>
      <c r="X145" s="60">
        <f>IF(AND(tblPlant[[#This Row],[Mill_Run_h]]="",tblPlant[[#This Row],[Mill_Planned_Maint_h]]="",tblPlant[[#This Row],[Mill_Unplanned_Down_h]]=""),"",(cfg_HoursPerDay-tblPlant[[#This Row],[Mill_Planned_Maint_h]]-tblPlant[[#This Row],[Mill_Unplanned_Down_h]])/cfg_HoursPerDay)</f>
        <v/>
      </c>
      <c r="Y14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6">
      <c r="A146" s="54" t="n">
        <v>46163</v>
      </c>
      <c r="B146" s="55" t="n"/>
      <c r="C146" s="55" t="n"/>
      <c r="D146" s="56" t="n"/>
      <c r="E146" s="56" t="n"/>
      <c r="F146" s="55" t="n"/>
      <c r="G146" s="55" t="n"/>
      <c r="H146" s="57" t="n"/>
      <c r="I146" s="57" t="n"/>
      <c r="J146" s="57" t="n"/>
      <c r="K146" s="57" t="n"/>
      <c r="L146" s="55" t="n"/>
      <c r="M146" s="55" t="n"/>
      <c r="N146" s="55" t="n"/>
      <c r="O146" s="55" t="n"/>
      <c r="P146" s="55" t="n"/>
      <c r="Q146" s="55" t="n"/>
      <c r="R146" s="58" t="n"/>
      <c r="S146" s="59">
        <f>IF(OR(tblPlant[[#This Row],[Milled_t]]="",tblPlant[[#This Row],[Head_Grade_gpt]]=""),"",tblPlant[[#This Row],[Milled_t]]*tblPlant[[#This Row],[Head_Grade_gpt]]/cfg_TroyOz)</f>
        <v/>
      </c>
      <c r="T146" s="59">
        <f>IF(OR(tblPlant[[#This Row],[Milled_t]]="",tblPlant[[#This Row],[Tails_Grade_gpt]]=""),"",tblPlant[[#This Row],[Milled_t]]*tblPlant[[#This Row],[Tails_Grade_gpt]]/cfg_TroyOz)</f>
        <v/>
      </c>
      <c r="U146" s="59">
        <f>IF(OR(tblPlant[[#This Row],[Milled_t]]="",tblPlant[[#This Row],[Head_Grade_gpt]]="",tblPlant[[#This Row],[Tails_Grade_gpt]]=""),"",tblPlant[[#This Row],[Feed_oz]]-tblPlant[[#This Row],[Tails_oz]])</f>
        <v/>
      </c>
      <c r="V146" s="60">
        <f>IF(AND(ISNUMBER(tblPlant[[#This Row],[Recovered_oz]]),tblPlant[[#This Row],[Feed_oz]]&gt;0),tblPlant[[#This Row],[Recovered_oz]]/tblPlant[[#This Row],[Feed_oz]],"")</f>
        <v/>
      </c>
      <c r="W146" s="59">
        <f>IF(AND(tblPlant[[#This Row],[Milled_t]]&lt;&gt;"",tblPlant[[#This Row],[Mill_Run_h]]&gt;0),tblPlant[[#This Row],[Milled_t]]/tblPlant[[#This Row],[Mill_Run_h]],"")</f>
        <v/>
      </c>
      <c r="X146" s="60">
        <f>IF(AND(tblPlant[[#This Row],[Mill_Run_h]]="",tblPlant[[#This Row],[Mill_Planned_Maint_h]]="",tblPlant[[#This Row],[Mill_Unplanned_Down_h]]=""),"",(cfg_HoursPerDay-tblPlant[[#This Row],[Mill_Planned_Maint_h]]-tblPlant[[#This Row],[Mill_Unplanned_Down_h]])/cfg_HoursPerDay)</f>
        <v/>
      </c>
      <c r="Y14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7">
      <c r="A147" s="54" t="n">
        <v>46164</v>
      </c>
      <c r="B147" s="55" t="n"/>
      <c r="C147" s="55" t="n"/>
      <c r="D147" s="56" t="n"/>
      <c r="E147" s="56" t="n"/>
      <c r="F147" s="55" t="n"/>
      <c r="G147" s="55" t="n"/>
      <c r="H147" s="57" t="n"/>
      <c r="I147" s="57" t="n"/>
      <c r="J147" s="57" t="n"/>
      <c r="K147" s="57" t="n"/>
      <c r="L147" s="55" t="n"/>
      <c r="M147" s="55" t="n"/>
      <c r="N147" s="55" t="n"/>
      <c r="O147" s="55" t="n"/>
      <c r="P147" s="55" t="n"/>
      <c r="Q147" s="55" t="n"/>
      <c r="R147" s="58" t="n"/>
      <c r="S147" s="59">
        <f>IF(OR(tblPlant[[#This Row],[Milled_t]]="",tblPlant[[#This Row],[Head_Grade_gpt]]=""),"",tblPlant[[#This Row],[Milled_t]]*tblPlant[[#This Row],[Head_Grade_gpt]]/cfg_TroyOz)</f>
        <v/>
      </c>
      <c r="T147" s="59">
        <f>IF(OR(tblPlant[[#This Row],[Milled_t]]="",tblPlant[[#This Row],[Tails_Grade_gpt]]=""),"",tblPlant[[#This Row],[Milled_t]]*tblPlant[[#This Row],[Tails_Grade_gpt]]/cfg_TroyOz)</f>
        <v/>
      </c>
      <c r="U147" s="59">
        <f>IF(OR(tblPlant[[#This Row],[Milled_t]]="",tblPlant[[#This Row],[Head_Grade_gpt]]="",tblPlant[[#This Row],[Tails_Grade_gpt]]=""),"",tblPlant[[#This Row],[Feed_oz]]-tblPlant[[#This Row],[Tails_oz]])</f>
        <v/>
      </c>
      <c r="V147" s="60">
        <f>IF(AND(ISNUMBER(tblPlant[[#This Row],[Recovered_oz]]),tblPlant[[#This Row],[Feed_oz]]&gt;0),tblPlant[[#This Row],[Recovered_oz]]/tblPlant[[#This Row],[Feed_oz]],"")</f>
        <v/>
      </c>
      <c r="W147" s="59">
        <f>IF(AND(tblPlant[[#This Row],[Milled_t]]&lt;&gt;"",tblPlant[[#This Row],[Mill_Run_h]]&gt;0),tblPlant[[#This Row],[Milled_t]]/tblPlant[[#This Row],[Mill_Run_h]],"")</f>
        <v/>
      </c>
      <c r="X147" s="60">
        <f>IF(AND(tblPlant[[#This Row],[Mill_Run_h]]="",tblPlant[[#This Row],[Mill_Planned_Maint_h]]="",tblPlant[[#This Row],[Mill_Unplanned_Down_h]]=""),"",(cfg_HoursPerDay-tblPlant[[#This Row],[Mill_Planned_Maint_h]]-tblPlant[[#This Row],[Mill_Unplanned_Down_h]])/cfg_HoursPerDay)</f>
        <v/>
      </c>
      <c r="Y14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8">
      <c r="A148" s="54" t="n">
        <v>46165</v>
      </c>
      <c r="B148" s="55" t="n"/>
      <c r="C148" s="55" t="n"/>
      <c r="D148" s="56" t="n"/>
      <c r="E148" s="56" t="n"/>
      <c r="F148" s="55" t="n"/>
      <c r="G148" s="55" t="n"/>
      <c r="H148" s="57" t="n"/>
      <c r="I148" s="57" t="n"/>
      <c r="J148" s="57" t="n"/>
      <c r="K148" s="57" t="n"/>
      <c r="L148" s="55" t="n"/>
      <c r="M148" s="55" t="n"/>
      <c r="N148" s="55" t="n"/>
      <c r="O148" s="55" t="n"/>
      <c r="P148" s="55" t="n"/>
      <c r="Q148" s="55" t="n"/>
      <c r="R148" s="58" t="n"/>
      <c r="S148" s="59">
        <f>IF(OR(tblPlant[[#This Row],[Milled_t]]="",tblPlant[[#This Row],[Head_Grade_gpt]]=""),"",tblPlant[[#This Row],[Milled_t]]*tblPlant[[#This Row],[Head_Grade_gpt]]/cfg_TroyOz)</f>
        <v/>
      </c>
      <c r="T148" s="59">
        <f>IF(OR(tblPlant[[#This Row],[Milled_t]]="",tblPlant[[#This Row],[Tails_Grade_gpt]]=""),"",tblPlant[[#This Row],[Milled_t]]*tblPlant[[#This Row],[Tails_Grade_gpt]]/cfg_TroyOz)</f>
        <v/>
      </c>
      <c r="U148" s="59">
        <f>IF(OR(tblPlant[[#This Row],[Milled_t]]="",tblPlant[[#This Row],[Head_Grade_gpt]]="",tblPlant[[#This Row],[Tails_Grade_gpt]]=""),"",tblPlant[[#This Row],[Feed_oz]]-tblPlant[[#This Row],[Tails_oz]])</f>
        <v/>
      </c>
      <c r="V148" s="60">
        <f>IF(AND(ISNUMBER(tblPlant[[#This Row],[Recovered_oz]]),tblPlant[[#This Row],[Feed_oz]]&gt;0),tblPlant[[#This Row],[Recovered_oz]]/tblPlant[[#This Row],[Feed_oz]],"")</f>
        <v/>
      </c>
      <c r="W148" s="59">
        <f>IF(AND(tblPlant[[#This Row],[Milled_t]]&lt;&gt;"",tblPlant[[#This Row],[Mill_Run_h]]&gt;0),tblPlant[[#This Row],[Milled_t]]/tblPlant[[#This Row],[Mill_Run_h]],"")</f>
        <v/>
      </c>
      <c r="X148" s="60">
        <f>IF(AND(tblPlant[[#This Row],[Mill_Run_h]]="",tblPlant[[#This Row],[Mill_Planned_Maint_h]]="",tblPlant[[#This Row],[Mill_Unplanned_Down_h]]=""),"",(cfg_HoursPerDay-tblPlant[[#This Row],[Mill_Planned_Maint_h]]-tblPlant[[#This Row],[Mill_Unplanned_Down_h]])/cfg_HoursPerDay)</f>
        <v/>
      </c>
      <c r="Y14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49">
      <c r="A149" s="54" t="n">
        <v>46166</v>
      </c>
      <c r="B149" s="55" t="n"/>
      <c r="C149" s="55" t="n"/>
      <c r="D149" s="56" t="n"/>
      <c r="E149" s="56" t="n"/>
      <c r="F149" s="55" t="n"/>
      <c r="G149" s="55" t="n"/>
      <c r="H149" s="57" t="n"/>
      <c r="I149" s="57" t="n"/>
      <c r="J149" s="57" t="n"/>
      <c r="K149" s="57" t="n"/>
      <c r="L149" s="55" t="n"/>
      <c r="M149" s="55" t="n"/>
      <c r="N149" s="55" t="n"/>
      <c r="O149" s="55" t="n"/>
      <c r="P149" s="55" t="n"/>
      <c r="Q149" s="55" t="n"/>
      <c r="R149" s="58" t="n"/>
      <c r="S149" s="59">
        <f>IF(OR(tblPlant[[#This Row],[Milled_t]]="",tblPlant[[#This Row],[Head_Grade_gpt]]=""),"",tblPlant[[#This Row],[Milled_t]]*tblPlant[[#This Row],[Head_Grade_gpt]]/cfg_TroyOz)</f>
        <v/>
      </c>
      <c r="T149" s="59">
        <f>IF(OR(tblPlant[[#This Row],[Milled_t]]="",tblPlant[[#This Row],[Tails_Grade_gpt]]=""),"",tblPlant[[#This Row],[Milled_t]]*tblPlant[[#This Row],[Tails_Grade_gpt]]/cfg_TroyOz)</f>
        <v/>
      </c>
      <c r="U149" s="59">
        <f>IF(OR(tblPlant[[#This Row],[Milled_t]]="",tblPlant[[#This Row],[Head_Grade_gpt]]="",tblPlant[[#This Row],[Tails_Grade_gpt]]=""),"",tblPlant[[#This Row],[Feed_oz]]-tblPlant[[#This Row],[Tails_oz]])</f>
        <v/>
      </c>
      <c r="V149" s="60">
        <f>IF(AND(ISNUMBER(tblPlant[[#This Row],[Recovered_oz]]),tblPlant[[#This Row],[Feed_oz]]&gt;0),tblPlant[[#This Row],[Recovered_oz]]/tblPlant[[#This Row],[Feed_oz]],"")</f>
        <v/>
      </c>
      <c r="W149" s="59">
        <f>IF(AND(tblPlant[[#This Row],[Milled_t]]&lt;&gt;"",tblPlant[[#This Row],[Mill_Run_h]]&gt;0),tblPlant[[#This Row],[Milled_t]]/tblPlant[[#This Row],[Mill_Run_h]],"")</f>
        <v/>
      </c>
      <c r="X149" s="60">
        <f>IF(AND(tblPlant[[#This Row],[Mill_Run_h]]="",tblPlant[[#This Row],[Mill_Planned_Maint_h]]="",tblPlant[[#This Row],[Mill_Unplanned_Down_h]]=""),"",(cfg_HoursPerDay-tblPlant[[#This Row],[Mill_Planned_Maint_h]]-tblPlant[[#This Row],[Mill_Unplanned_Down_h]])/cfg_HoursPerDay)</f>
        <v/>
      </c>
      <c r="Y14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0">
      <c r="A150" s="54" t="n">
        <v>46167</v>
      </c>
      <c r="B150" s="55" t="n"/>
      <c r="C150" s="55" t="n"/>
      <c r="D150" s="56" t="n"/>
      <c r="E150" s="56" t="n"/>
      <c r="F150" s="55" t="n"/>
      <c r="G150" s="55" t="n"/>
      <c r="H150" s="57" t="n"/>
      <c r="I150" s="57" t="n"/>
      <c r="J150" s="57" t="n"/>
      <c r="K150" s="57" t="n"/>
      <c r="L150" s="55" t="n"/>
      <c r="M150" s="55" t="n"/>
      <c r="N150" s="55" t="n"/>
      <c r="O150" s="55" t="n"/>
      <c r="P150" s="55" t="n"/>
      <c r="Q150" s="55" t="n"/>
      <c r="R150" s="58" t="n"/>
      <c r="S150" s="59">
        <f>IF(OR(tblPlant[[#This Row],[Milled_t]]="",tblPlant[[#This Row],[Head_Grade_gpt]]=""),"",tblPlant[[#This Row],[Milled_t]]*tblPlant[[#This Row],[Head_Grade_gpt]]/cfg_TroyOz)</f>
        <v/>
      </c>
      <c r="T150" s="59">
        <f>IF(OR(tblPlant[[#This Row],[Milled_t]]="",tblPlant[[#This Row],[Tails_Grade_gpt]]=""),"",tblPlant[[#This Row],[Milled_t]]*tblPlant[[#This Row],[Tails_Grade_gpt]]/cfg_TroyOz)</f>
        <v/>
      </c>
      <c r="U150" s="59">
        <f>IF(OR(tblPlant[[#This Row],[Milled_t]]="",tblPlant[[#This Row],[Head_Grade_gpt]]="",tblPlant[[#This Row],[Tails_Grade_gpt]]=""),"",tblPlant[[#This Row],[Feed_oz]]-tblPlant[[#This Row],[Tails_oz]])</f>
        <v/>
      </c>
      <c r="V150" s="60">
        <f>IF(AND(ISNUMBER(tblPlant[[#This Row],[Recovered_oz]]),tblPlant[[#This Row],[Feed_oz]]&gt;0),tblPlant[[#This Row],[Recovered_oz]]/tblPlant[[#This Row],[Feed_oz]],"")</f>
        <v/>
      </c>
      <c r="W150" s="59">
        <f>IF(AND(tblPlant[[#This Row],[Milled_t]]&lt;&gt;"",tblPlant[[#This Row],[Mill_Run_h]]&gt;0),tblPlant[[#This Row],[Milled_t]]/tblPlant[[#This Row],[Mill_Run_h]],"")</f>
        <v/>
      </c>
      <c r="X150" s="60">
        <f>IF(AND(tblPlant[[#This Row],[Mill_Run_h]]="",tblPlant[[#This Row],[Mill_Planned_Maint_h]]="",tblPlant[[#This Row],[Mill_Unplanned_Down_h]]=""),"",(cfg_HoursPerDay-tblPlant[[#This Row],[Mill_Planned_Maint_h]]-tblPlant[[#This Row],[Mill_Unplanned_Down_h]])/cfg_HoursPerDay)</f>
        <v/>
      </c>
      <c r="Y15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1">
      <c r="A151" s="54" t="n">
        <v>46168</v>
      </c>
      <c r="B151" s="55" t="n"/>
      <c r="C151" s="55" t="n"/>
      <c r="D151" s="56" t="n"/>
      <c r="E151" s="56" t="n"/>
      <c r="F151" s="55" t="n"/>
      <c r="G151" s="55" t="n"/>
      <c r="H151" s="57" t="n"/>
      <c r="I151" s="57" t="n"/>
      <c r="J151" s="57" t="n"/>
      <c r="K151" s="57" t="n"/>
      <c r="L151" s="55" t="n"/>
      <c r="M151" s="55" t="n"/>
      <c r="N151" s="55" t="n"/>
      <c r="O151" s="55" t="n"/>
      <c r="P151" s="55" t="n"/>
      <c r="Q151" s="55" t="n"/>
      <c r="R151" s="58" t="n"/>
      <c r="S151" s="59">
        <f>IF(OR(tblPlant[[#This Row],[Milled_t]]="",tblPlant[[#This Row],[Head_Grade_gpt]]=""),"",tblPlant[[#This Row],[Milled_t]]*tblPlant[[#This Row],[Head_Grade_gpt]]/cfg_TroyOz)</f>
        <v/>
      </c>
      <c r="T151" s="59">
        <f>IF(OR(tblPlant[[#This Row],[Milled_t]]="",tblPlant[[#This Row],[Tails_Grade_gpt]]=""),"",tblPlant[[#This Row],[Milled_t]]*tblPlant[[#This Row],[Tails_Grade_gpt]]/cfg_TroyOz)</f>
        <v/>
      </c>
      <c r="U151" s="59">
        <f>IF(OR(tblPlant[[#This Row],[Milled_t]]="",tblPlant[[#This Row],[Head_Grade_gpt]]="",tblPlant[[#This Row],[Tails_Grade_gpt]]=""),"",tblPlant[[#This Row],[Feed_oz]]-tblPlant[[#This Row],[Tails_oz]])</f>
        <v/>
      </c>
      <c r="V151" s="60">
        <f>IF(AND(ISNUMBER(tblPlant[[#This Row],[Recovered_oz]]),tblPlant[[#This Row],[Feed_oz]]&gt;0),tblPlant[[#This Row],[Recovered_oz]]/tblPlant[[#This Row],[Feed_oz]],"")</f>
        <v/>
      </c>
      <c r="W151" s="59">
        <f>IF(AND(tblPlant[[#This Row],[Milled_t]]&lt;&gt;"",tblPlant[[#This Row],[Mill_Run_h]]&gt;0),tblPlant[[#This Row],[Milled_t]]/tblPlant[[#This Row],[Mill_Run_h]],"")</f>
        <v/>
      </c>
      <c r="X151" s="60">
        <f>IF(AND(tblPlant[[#This Row],[Mill_Run_h]]="",tblPlant[[#This Row],[Mill_Planned_Maint_h]]="",tblPlant[[#This Row],[Mill_Unplanned_Down_h]]=""),"",(cfg_HoursPerDay-tblPlant[[#This Row],[Mill_Planned_Maint_h]]-tblPlant[[#This Row],[Mill_Unplanned_Down_h]])/cfg_HoursPerDay)</f>
        <v/>
      </c>
      <c r="Y15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2">
      <c r="A152" s="54" t="n">
        <v>46169</v>
      </c>
      <c r="B152" s="55" t="n"/>
      <c r="C152" s="55" t="n"/>
      <c r="D152" s="56" t="n"/>
      <c r="E152" s="56" t="n"/>
      <c r="F152" s="55" t="n"/>
      <c r="G152" s="55" t="n"/>
      <c r="H152" s="57" t="n"/>
      <c r="I152" s="57" t="n"/>
      <c r="J152" s="57" t="n"/>
      <c r="K152" s="57" t="n"/>
      <c r="L152" s="55" t="n"/>
      <c r="M152" s="55" t="n"/>
      <c r="N152" s="55" t="n"/>
      <c r="O152" s="55" t="n"/>
      <c r="P152" s="55" t="n"/>
      <c r="Q152" s="55" t="n"/>
      <c r="R152" s="58" t="n"/>
      <c r="S152" s="59">
        <f>IF(OR(tblPlant[[#This Row],[Milled_t]]="",tblPlant[[#This Row],[Head_Grade_gpt]]=""),"",tblPlant[[#This Row],[Milled_t]]*tblPlant[[#This Row],[Head_Grade_gpt]]/cfg_TroyOz)</f>
        <v/>
      </c>
      <c r="T152" s="59">
        <f>IF(OR(tblPlant[[#This Row],[Milled_t]]="",tblPlant[[#This Row],[Tails_Grade_gpt]]=""),"",tblPlant[[#This Row],[Milled_t]]*tblPlant[[#This Row],[Tails_Grade_gpt]]/cfg_TroyOz)</f>
        <v/>
      </c>
      <c r="U152" s="59">
        <f>IF(OR(tblPlant[[#This Row],[Milled_t]]="",tblPlant[[#This Row],[Head_Grade_gpt]]="",tblPlant[[#This Row],[Tails_Grade_gpt]]=""),"",tblPlant[[#This Row],[Feed_oz]]-tblPlant[[#This Row],[Tails_oz]])</f>
        <v/>
      </c>
      <c r="V152" s="60">
        <f>IF(AND(ISNUMBER(tblPlant[[#This Row],[Recovered_oz]]),tblPlant[[#This Row],[Feed_oz]]&gt;0),tblPlant[[#This Row],[Recovered_oz]]/tblPlant[[#This Row],[Feed_oz]],"")</f>
        <v/>
      </c>
      <c r="W152" s="59">
        <f>IF(AND(tblPlant[[#This Row],[Milled_t]]&lt;&gt;"",tblPlant[[#This Row],[Mill_Run_h]]&gt;0),tblPlant[[#This Row],[Milled_t]]/tblPlant[[#This Row],[Mill_Run_h]],"")</f>
        <v/>
      </c>
      <c r="X152" s="60">
        <f>IF(AND(tblPlant[[#This Row],[Mill_Run_h]]="",tblPlant[[#This Row],[Mill_Planned_Maint_h]]="",tblPlant[[#This Row],[Mill_Unplanned_Down_h]]=""),"",(cfg_HoursPerDay-tblPlant[[#This Row],[Mill_Planned_Maint_h]]-tblPlant[[#This Row],[Mill_Unplanned_Down_h]])/cfg_HoursPerDay)</f>
        <v/>
      </c>
      <c r="Y15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3">
      <c r="A153" s="54" t="n">
        <v>46170</v>
      </c>
      <c r="B153" s="55" t="n"/>
      <c r="C153" s="55" t="n"/>
      <c r="D153" s="56" t="n"/>
      <c r="E153" s="56" t="n"/>
      <c r="F153" s="55" t="n"/>
      <c r="G153" s="55" t="n"/>
      <c r="H153" s="57" t="n"/>
      <c r="I153" s="57" t="n"/>
      <c r="J153" s="57" t="n"/>
      <c r="K153" s="57" t="n"/>
      <c r="L153" s="55" t="n"/>
      <c r="M153" s="55" t="n"/>
      <c r="N153" s="55" t="n"/>
      <c r="O153" s="55" t="n"/>
      <c r="P153" s="55" t="n"/>
      <c r="Q153" s="55" t="n"/>
      <c r="R153" s="58" t="n"/>
      <c r="S153" s="59">
        <f>IF(OR(tblPlant[[#This Row],[Milled_t]]="",tblPlant[[#This Row],[Head_Grade_gpt]]=""),"",tblPlant[[#This Row],[Milled_t]]*tblPlant[[#This Row],[Head_Grade_gpt]]/cfg_TroyOz)</f>
        <v/>
      </c>
      <c r="T153" s="59">
        <f>IF(OR(tblPlant[[#This Row],[Milled_t]]="",tblPlant[[#This Row],[Tails_Grade_gpt]]=""),"",tblPlant[[#This Row],[Milled_t]]*tblPlant[[#This Row],[Tails_Grade_gpt]]/cfg_TroyOz)</f>
        <v/>
      </c>
      <c r="U153" s="59">
        <f>IF(OR(tblPlant[[#This Row],[Milled_t]]="",tblPlant[[#This Row],[Head_Grade_gpt]]="",tblPlant[[#This Row],[Tails_Grade_gpt]]=""),"",tblPlant[[#This Row],[Feed_oz]]-tblPlant[[#This Row],[Tails_oz]])</f>
        <v/>
      </c>
      <c r="V153" s="60">
        <f>IF(AND(ISNUMBER(tblPlant[[#This Row],[Recovered_oz]]),tblPlant[[#This Row],[Feed_oz]]&gt;0),tblPlant[[#This Row],[Recovered_oz]]/tblPlant[[#This Row],[Feed_oz]],"")</f>
        <v/>
      </c>
      <c r="W153" s="59">
        <f>IF(AND(tblPlant[[#This Row],[Milled_t]]&lt;&gt;"",tblPlant[[#This Row],[Mill_Run_h]]&gt;0),tblPlant[[#This Row],[Milled_t]]/tblPlant[[#This Row],[Mill_Run_h]],"")</f>
        <v/>
      </c>
      <c r="X153" s="60">
        <f>IF(AND(tblPlant[[#This Row],[Mill_Run_h]]="",tblPlant[[#This Row],[Mill_Planned_Maint_h]]="",tblPlant[[#This Row],[Mill_Unplanned_Down_h]]=""),"",(cfg_HoursPerDay-tblPlant[[#This Row],[Mill_Planned_Maint_h]]-tblPlant[[#This Row],[Mill_Unplanned_Down_h]])/cfg_HoursPerDay)</f>
        <v/>
      </c>
      <c r="Y15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4">
      <c r="A154" s="54" t="n">
        <v>46171</v>
      </c>
      <c r="B154" s="55" t="n"/>
      <c r="C154" s="55" t="n"/>
      <c r="D154" s="56" t="n"/>
      <c r="E154" s="56" t="n"/>
      <c r="F154" s="55" t="n"/>
      <c r="G154" s="55" t="n"/>
      <c r="H154" s="57" t="n"/>
      <c r="I154" s="57" t="n"/>
      <c r="J154" s="57" t="n"/>
      <c r="K154" s="57" t="n"/>
      <c r="L154" s="55" t="n"/>
      <c r="M154" s="55" t="n"/>
      <c r="N154" s="55" t="n"/>
      <c r="O154" s="55" t="n"/>
      <c r="P154" s="55" t="n"/>
      <c r="Q154" s="55" t="n"/>
      <c r="R154" s="58" t="n"/>
      <c r="S154" s="59">
        <f>IF(OR(tblPlant[[#This Row],[Milled_t]]="",tblPlant[[#This Row],[Head_Grade_gpt]]=""),"",tblPlant[[#This Row],[Milled_t]]*tblPlant[[#This Row],[Head_Grade_gpt]]/cfg_TroyOz)</f>
        <v/>
      </c>
      <c r="T154" s="59">
        <f>IF(OR(tblPlant[[#This Row],[Milled_t]]="",tblPlant[[#This Row],[Tails_Grade_gpt]]=""),"",tblPlant[[#This Row],[Milled_t]]*tblPlant[[#This Row],[Tails_Grade_gpt]]/cfg_TroyOz)</f>
        <v/>
      </c>
      <c r="U154" s="59">
        <f>IF(OR(tblPlant[[#This Row],[Milled_t]]="",tblPlant[[#This Row],[Head_Grade_gpt]]="",tblPlant[[#This Row],[Tails_Grade_gpt]]=""),"",tblPlant[[#This Row],[Feed_oz]]-tblPlant[[#This Row],[Tails_oz]])</f>
        <v/>
      </c>
      <c r="V154" s="60">
        <f>IF(AND(ISNUMBER(tblPlant[[#This Row],[Recovered_oz]]),tblPlant[[#This Row],[Feed_oz]]&gt;0),tblPlant[[#This Row],[Recovered_oz]]/tblPlant[[#This Row],[Feed_oz]],"")</f>
        <v/>
      </c>
      <c r="W154" s="59">
        <f>IF(AND(tblPlant[[#This Row],[Milled_t]]&lt;&gt;"",tblPlant[[#This Row],[Mill_Run_h]]&gt;0),tblPlant[[#This Row],[Milled_t]]/tblPlant[[#This Row],[Mill_Run_h]],"")</f>
        <v/>
      </c>
      <c r="X154" s="60">
        <f>IF(AND(tblPlant[[#This Row],[Mill_Run_h]]="",tblPlant[[#This Row],[Mill_Planned_Maint_h]]="",tblPlant[[#This Row],[Mill_Unplanned_Down_h]]=""),"",(cfg_HoursPerDay-tblPlant[[#This Row],[Mill_Planned_Maint_h]]-tblPlant[[#This Row],[Mill_Unplanned_Down_h]])/cfg_HoursPerDay)</f>
        <v/>
      </c>
      <c r="Y15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5">
      <c r="A155" s="54" t="n">
        <v>46172</v>
      </c>
      <c r="B155" s="55" t="n"/>
      <c r="C155" s="55" t="n"/>
      <c r="D155" s="56" t="n"/>
      <c r="E155" s="56" t="n"/>
      <c r="F155" s="55" t="n"/>
      <c r="G155" s="55" t="n"/>
      <c r="H155" s="57" t="n"/>
      <c r="I155" s="57" t="n"/>
      <c r="J155" s="57" t="n"/>
      <c r="K155" s="57" t="n"/>
      <c r="L155" s="55" t="n"/>
      <c r="M155" s="55" t="n"/>
      <c r="N155" s="55" t="n"/>
      <c r="O155" s="55" t="n"/>
      <c r="P155" s="55" t="n"/>
      <c r="Q155" s="55" t="n"/>
      <c r="R155" s="58" t="n"/>
      <c r="S155" s="59">
        <f>IF(OR(tblPlant[[#This Row],[Milled_t]]="",tblPlant[[#This Row],[Head_Grade_gpt]]=""),"",tblPlant[[#This Row],[Milled_t]]*tblPlant[[#This Row],[Head_Grade_gpt]]/cfg_TroyOz)</f>
        <v/>
      </c>
      <c r="T155" s="59">
        <f>IF(OR(tblPlant[[#This Row],[Milled_t]]="",tblPlant[[#This Row],[Tails_Grade_gpt]]=""),"",tblPlant[[#This Row],[Milled_t]]*tblPlant[[#This Row],[Tails_Grade_gpt]]/cfg_TroyOz)</f>
        <v/>
      </c>
      <c r="U155" s="59">
        <f>IF(OR(tblPlant[[#This Row],[Milled_t]]="",tblPlant[[#This Row],[Head_Grade_gpt]]="",tblPlant[[#This Row],[Tails_Grade_gpt]]=""),"",tblPlant[[#This Row],[Feed_oz]]-tblPlant[[#This Row],[Tails_oz]])</f>
        <v/>
      </c>
      <c r="V155" s="60">
        <f>IF(AND(ISNUMBER(tblPlant[[#This Row],[Recovered_oz]]),tblPlant[[#This Row],[Feed_oz]]&gt;0),tblPlant[[#This Row],[Recovered_oz]]/tblPlant[[#This Row],[Feed_oz]],"")</f>
        <v/>
      </c>
      <c r="W155" s="59">
        <f>IF(AND(tblPlant[[#This Row],[Milled_t]]&lt;&gt;"",tblPlant[[#This Row],[Mill_Run_h]]&gt;0),tblPlant[[#This Row],[Milled_t]]/tblPlant[[#This Row],[Mill_Run_h]],"")</f>
        <v/>
      </c>
      <c r="X155" s="60">
        <f>IF(AND(tblPlant[[#This Row],[Mill_Run_h]]="",tblPlant[[#This Row],[Mill_Planned_Maint_h]]="",tblPlant[[#This Row],[Mill_Unplanned_Down_h]]=""),"",(cfg_HoursPerDay-tblPlant[[#This Row],[Mill_Planned_Maint_h]]-tblPlant[[#This Row],[Mill_Unplanned_Down_h]])/cfg_HoursPerDay)</f>
        <v/>
      </c>
      <c r="Y15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6">
      <c r="A156" s="54" t="n">
        <v>46173</v>
      </c>
      <c r="B156" s="55" t="n"/>
      <c r="C156" s="55" t="n"/>
      <c r="D156" s="56" t="n"/>
      <c r="E156" s="56" t="n"/>
      <c r="F156" s="55" t="n"/>
      <c r="G156" s="55" t="n"/>
      <c r="H156" s="57" t="n"/>
      <c r="I156" s="57" t="n"/>
      <c r="J156" s="57" t="n"/>
      <c r="K156" s="57" t="n"/>
      <c r="L156" s="55" t="n"/>
      <c r="M156" s="55" t="n"/>
      <c r="N156" s="55" t="n"/>
      <c r="O156" s="55" t="n"/>
      <c r="P156" s="55" t="n"/>
      <c r="Q156" s="55" t="n"/>
      <c r="R156" s="58" t="n"/>
      <c r="S156" s="59">
        <f>IF(OR(tblPlant[[#This Row],[Milled_t]]="",tblPlant[[#This Row],[Head_Grade_gpt]]=""),"",tblPlant[[#This Row],[Milled_t]]*tblPlant[[#This Row],[Head_Grade_gpt]]/cfg_TroyOz)</f>
        <v/>
      </c>
      <c r="T156" s="59">
        <f>IF(OR(tblPlant[[#This Row],[Milled_t]]="",tblPlant[[#This Row],[Tails_Grade_gpt]]=""),"",tblPlant[[#This Row],[Milled_t]]*tblPlant[[#This Row],[Tails_Grade_gpt]]/cfg_TroyOz)</f>
        <v/>
      </c>
      <c r="U156" s="59">
        <f>IF(OR(tblPlant[[#This Row],[Milled_t]]="",tblPlant[[#This Row],[Head_Grade_gpt]]="",tblPlant[[#This Row],[Tails_Grade_gpt]]=""),"",tblPlant[[#This Row],[Feed_oz]]-tblPlant[[#This Row],[Tails_oz]])</f>
        <v/>
      </c>
      <c r="V156" s="60">
        <f>IF(AND(ISNUMBER(tblPlant[[#This Row],[Recovered_oz]]),tblPlant[[#This Row],[Feed_oz]]&gt;0),tblPlant[[#This Row],[Recovered_oz]]/tblPlant[[#This Row],[Feed_oz]],"")</f>
        <v/>
      </c>
      <c r="W156" s="59">
        <f>IF(AND(tblPlant[[#This Row],[Milled_t]]&lt;&gt;"",tblPlant[[#This Row],[Mill_Run_h]]&gt;0),tblPlant[[#This Row],[Milled_t]]/tblPlant[[#This Row],[Mill_Run_h]],"")</f>
        <v/>
      </c>
      <c r="X156" s="60">
        <f>IF(AND(tblPlant[[#This Row],[Mill_Run_h]]="",tblPlant[[#This Row],[Mill_Planned_Maint_h]]="",tblPlant[[#This Row],[Mill_Unplanned_Down_h]]=""),"",(cfg_HoursPerDay-tblPlant[[#This Row],[Mill_Planned_Maint_h]]-tblPlant[[#This Row],[Mill_Unplanned_Down_h]])/cfg_HoursPerDay)</f>
        <v/>
      </c>
      <c r="Y15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7">
      <c r="A157" s="54" t="n">
        <v>46174</v>
      </c>
      <c r="B157" s="55" t="n"/>
      <c r="C157" s="55" t="n"/>
      <c r="D157" s="56" t="n"/>
      <c r="E157" s="56" t="n"/>
      <c r="F157" s="55" t="n"/>
      <c r="G157" s="55" t="n"/>
      <c r="H157" s="57" t="n"/>
      <c r="I157" s="57" t="n"/>
      <c r="J157" s="57" t="n"/>
      <c r="K157" s="57" t="n"/>
      <c r="L157" s="55" t="n"/>
      <c r="M157" s="55" t="n"/>
      <c r="N157" s="55" t="n"/>
      <c r="O157" s="55" t="n"/>
      <c r="P157" s="55" t="n"/>
      <c r="Q157" s="55" t="n"/>
      <c r="R157" s="58" t="n"/>
      <c r="S157" s="59">
        <f>IF(OR(tblPlant[[#This Row],[Milled_t]]="",tblPlant[[#This Row],[Head_Grade_gpt]]=""),"",tblPlant[[#This Row],[Milled_t]]*tblPlant[[#This Row],[Head_Grade_gpt]]/cfg_TroyOz)</f>
        <v/>
      </c>
      <c r="T157" s="59">
        <f>IF(OR(tblPlant[[#This Row],[Milled_t]]="",tblPlant[[#This Row],[Tails_Grade_gpt]]=""),"",tblPlant[[#This Row],[Milled_t]]*tblPlant[[#This Row],[Tails_Grade_gpt]]/cfg_TroyOz)</f>
        <v/>
      </c>
      <c r="U157" s="59">
        <f>IF(OR(tblPlant[[#This Row],[Milled_t]]="",tblPlant[[#This Row],[Head_Grade_gpt]]="",tblPlant[[#This Row],[Tails_Grade_gpt]]=""),"",tblPlant[[#This Row],[Feed_oz]]-tblPlant[[#This Row],[Tails_oz]])</f>
        <v/>
      </c>
      <c r="V157" s="60">
        <f>IF(AND(ISNUMBER(tblPlant[[#This Row],[Recovered_oz]]),tblPlant[[#This Row],[Feed_oz]]&gt;0),tblPlant[[#This Row],[Recovered_oz]]/tblPlant[[#This Row],[Feed_oz]],"")</f>
        <v/>
      </c>
      <c r="W157" s="59">
        <f>IF(AND(tblPlant[[#This Row],[Milled_t]]&lt;&gt;"",tblPlant[[#This Row],[Mill_Run_h]]&gt;0),tblPlant[[#This Row],[Milled_t]]/tblPlant[[#This Row],[Mill_Run_h]],"")</f>
        <v/>
      </c>
      <c r="X157" s="60">
        <f>IF(AND(tblPlant[[#This Row],[Mill_Run_h]]="",tblPlant[[#This Row],[Mill_Planned_Maint_h]]="",tblPlant[[#This Row],[Mill_Unplanned_Down_h]]=""),"",(cfg_HoursPerDay-tblPlant[[#This Row],[Mill_Planned_Maint_h]]-tblPlant[[#This Row],[Mill_Unplanned_Down_h]])/cfg_HoursPerDay)</f>
        <v/>
      </c>
      <c r="Y15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8">
      <c r="A158" s="54" t="n">
        <v>46175</v>
      </c>
      <c r="B158" s="55" t="n"/>
      <c r="C158" s="55" t="n"/>
      <c r="D158" s="56" t="n"/>
      <c r="E158" s="56" t="n"/>
      <c r="F158" s="55" t="n"/>
      <c r="G158" s="55" t="n"/>
      <c r="H158" s="57" t="n"/>
      <c r="I158" s="57" t="n"/>
      <c r="J158" s="57" t="n"/>
      <c r="K158" s="57" t="n"/>
      <c r="L158" s="55" t="n"/>
      <c r="M158" s="55" t="n"/>
      <c r="N158" s="55" t="n"/>
      <c r="O158" s="55" t="n"/>
      <c r="P158" s="55" t="n"/>
      <c r="Q158" s="55" t="n"/>
      <c r="R158" s="58" t="n"/>
      <c r="S158" s="59">
        <f>IF(OR(tblPlant[[#This Row],[Milled_t]]="",tblPlant[[#This Row],[Head_Grade_gpt]]=""),"",tblPlant[[#This Row],[Milled_t]]*tblPlant[[#This Row],[Head_Grade_gpt]]/cfg_TroyOz)</f>
        <v/>
      </c>
      <c r="T158" s="59">
        <f>IF(OR(tblPlant[[#This Row],[Milled_t]]="",tblPlant[[#This Row],[Tails_Grade_gpt]]=""),"",tblPlant[[#This Row],[Milled_t]]*tblPlant[[#This Row],[Tails_Grade_gpt]]/cfg_TroyOz)</f>
        <v/>
      </c>
      <c r="U158" s="59">
        <f>IF(OR(tblPlant[[#This Row],[Milled_t]]="",tblPlant[[#This Row],[Head_Grade_gpt]]="",tblPlant[[#This Row],[Tails_Grade_gpt]]=""),"",tblPlant[[#This Row],[Feed_oz]]-tblPlant[[#This Row],[Tails_oz]])</f>
        <v/>
      </c>
      <c r="V158" s="60">
        <f>IF(AND(ISNUMBER(tblPlant[[#This Row],[Recovered_oz]]),tblPlant[[#This Row],[Feed_oz]]&gt;0),tblPlant[[#This Row],[Recovered_oz]]/tblPlant[[#This Row],[Feed_oz]],"")</f>
        <v/>
      </c>
      <c r="W158" s="59">
        <f>IF(AND(tblPlant[[#This Row],[Milled_t]]&lt;&gt;"",tblPlant[[#This Row],[Mill_Run_h]]&gt;0),tblPlant[[#This Row],[Milled_t]]/tblPlant[[#This Row],[Mill_Run_h]],"")</f>
        <v/>
      </c>
      <c r="X158" s="60">
        <f>IF(AND(tblPlant[[#This Row],[Mill_Run_h]]="",tblPlant[[#This Row],[Mill_Planned_Maint_h]]="",tblPlant[[#This Row],[Mill_Unplanned_Down_h]]=""),"",(cfg_HoursPerDay-tblPlant[[#This Row],[Mill_Planned_Maint_h]]-tblPlant[[#This Row],[Mill_Unplanned_Down_h]])/cfg_HoursPerDay)</f>
        <v/>
      </c>
      <c r="Y15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59">
      <c r="A159" s="54" t="n">
        <v>46176</v>
      </c>
      <c r="B159" s="55" t="n"/>
      <c r="C159" s="55" t="n"/>
      <c r="D159" s="56" t="n"/>
      <c r="E159" s="56" t="n"/>
      <c r="F159" s="55" t="n"/>
      <c r="G159" s="55" t="n"/>
      <c r="H159" s="57" t="n"/>
      <c r="I159" s="57" t="n"/>
      <c r="J159" s="57" t="n"/>
      <c r="K159" s="57" t="n"/>
      <c r="L159" s="55" t="n"/>
      <c r="M159" s="55" t="n"/>
      <c r="N159" s="55" t="n"/>
      <c r="O159" s="55" t="n"/>
      <c r="P159" s="55" t="n"/>
      <c r="Q159" s="55" t="n"/>
      <c r="R159" s="58" t="n"/>
      <c r="S159" s="59">
        <f>IF(OR(tblPlant[[#This Row],[Milled_t]]="",tblPlant[[#This Row],[Head_Grade_gpt]]=""),"",tblPlant[[#This Row],[Milled_t]]*tblPlant[[#This Row],[Head_Grade_gpt]]/cfg_TroyOz)</f>
        <v/>
      </c>
      <c r="T159" s="59">
        <f>IF(OR(tblPlant[[#This Row],[Milled_t]]="",tblPlant[[#This Row],[Tails_Grade_gpt]]=""),"",tblPlant[[#This Row],[Milled_t]]*tblPlant[[#This Row],[Tails_Grade_gpt]]/cfg_TroyOz)</f>
        <v/>
      </c>
      <c r="U159" s="59">
        <f>IF(OR(tblPlant[[#This Row],[Milled_t]]="",tblPlant[[#This Row],[Head_Grade_gpt]]="",tblPlant[[#This Row],[Tails_Grade_gpt]]=""),"",tblPlant[[#This Row],[Feed_oz]]-tblPlant[[#This Row],[Tails_oz]])</f>
        <v/>
      </c>
      <c r="V159" s="60">
        <f>IF(AND(ISNUMBER(tblPlant[[#This Row],[Recovered_oz]]),tblPlant[[#This Row],[Feed_oz]]&gt;0),tblPlant[[#This Row],[Recovered_oz]]/tblPlant[[#This Row],[Feed_oz]],"")</f>
        <v/>
      </c>
      <c r="W159" s="59">
        <f>IF(AND(tblPlant[[#This Row],[Milled_t]]&lt;&gt;"",tblPlant[[#This Row],[Mill_Run_h]]&gt;0),tblPlant[[#This Row],[Milled_t]]/tblPlant[[#This Row],[Mill_Run_h]],"")</f>
        <v/>
      </c>
      <c r="X159" s="60">
        <f>IF(AND(tblPlant[[#This Row],[Mill_Run_h]]="",tblPlant[[#This Row],[Mill_Planned_Maint_h]]="",tblPlant[[#This Row],[Mill_Unplanned_Down_h]]=""),"",(cfg_HoursPerDay-tblPlant[[#This Row],[Mill_Planned_Maint_h]]-tblPlant[[#This Row],[Mill_Unplanned_Down_h]])/cfg_HoursPerDay)</f>
        <v/>
      </c>
      <c r="Y15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0">
      <c r="A160" s="54" t="n">
        <v>46177</v>
      </c>
      <c r="B160" s="55" t="n"/>
      <c r="C160" s="55" t="n"/>
      <c r="D160" s="56" t="n"/>
      <c r="E160" s="56" t="n"/>
      <c r="F160" s="55" t="n"/>
      <c r="G160" s="55" t="n"/>
      <c r="H160" s="57" t="n"/>
      <c r="I160" s="57" t="n"/>
      <c r="J160" s="57" t="n"/>
      <c r="K160" s="57" t="n"/>
      <c r="L160" s="55" t="n"/>
      <c r="M160" s="55" t="n"/>
      <c r="N160" s="55" t="n"/>
      <c r="O160" s="55" t="n"/>
      <c r="P160" s="55" t="n"/>
      <c r="Q160" s="55" t="n"/>
      <c r="R160" s="58" t="n"/>
      <c r="S160" s="59">
        <f>IF(OR(tblPlant[[#This Row],[Milled_t]]="",tblPlant[[#This Row],[Head_Grade_gpt]]=""),"",tblPlant[[#This Row],[Milled_t]]*tblPlant[[#This Row],[Head_Grade_gpt]]/cfg_TroyOz)</f>
        <v/>
      </c>
      <c r="T160" s="59">
        <f>IF(OR(tblPlant[[#This Row],[Milled_t]]="",tblPlant[[#This Row],[Tails_Grade_gpt]]=""),"",tblPlant[[#This Row],[Milled_t]]*tblPlant[[#This Row],[Tails_Grade_gpt]]/cfg_TroyOz)</f>
        <v/>
      </c>
      <c r="U160" s="59">
        <f>IF(OR(tblPlant[[#This Row],[Milled_t]]="",tblPlant[[#This Row],[Head_Grade_gpt]]="",tblPlant[[#This Row],[Tails_Grade_gpt]]=""),"",tblPlant[[#This Row],[Feed_oz]]-tblPlant[[#This Row],[Tails_oz]])</f>
        <v/>
      </c>
      <c r="V160" s="60">
        <f>IF(AND(ISNUMBER(tblPlant[[#This Row],[Recovered_oz]]),tblPlant[[#This Row],[Feed_oz]]&gt;0),tblPlant[[#This Row],[Recovered_oz]]/tblPlant[[#This Row],[Feed_oz]],"")</f>
        <v/>
      </c>
      <c r="W160" s="59">
        <f>IF(AND(tblPlant[[#This Row],[Milled_t]]&lt;&gt;"",tblPlant[[#This Row],[Mill_Run_h]]&gt;0),tblPlant[[#This Row],[Milled_t]]/tblPlant[[#This Row],[Mill_Run_h]],"")</f>
        <v/>
      </c>
      <c r="X160" s="60">
        <f>IF(AND(tblPlant[[#This Row],[Mill_Run_h]]="",tblPlant[[#This Row],[Mill_Planned_Maint_h]]="",tblPlant[[#This Row],[Mill_Unplanned_Down_h]]=""),"",(cfg_HoursPerDay-tblPlant[[#This Row],[Mill_Planned_Maint_h]]-tblPlant[[#This Row],[Mill_Unplanned_Down_h]])/cfg_HoursPerDay)</f>
        <v/>
      </c>
      <c r="Y16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1">
      <c r="A161" s="54" t="n">
        <v>46178</v>
      </c>
      <c r="B161" s="55" t="n"/>
      <c r="C161" s="55" t="n"/>
      <c r="D161" s="56" t="n"/>
      <c r="E161" s="56" t="n"/>
      <c r="F161" s="55" t="n"/>
      <c r="G161" s="55" t="n"/>
      <c r="H161" s="57" t="n"/>
      <c r="I161" s="57" t="n"/>
      <c r="J161" s="57" t="n"/>
      <c r="K161" s="57" t="n"/>
      <c r="L161" s="55" t="n"/>
      <c r="M161" s="55" t="n"/>
      <c r="N161" s="55" t="n"/>
      <c r="O161" s="55" t="n"/>
      <c r="P161" s="55" t="n"/>
      <c r="Q161" s="55" t="n"/>
      <c r="R161" s="58" t="n"/>
      <c r="S161" s="59">
        <f>IF(OR(tblPlant[[#This Row],[Milled_t]]="",tblPlant[[#This Row],[Head_Grade_gpt]]=""),"",tblPlant[[#This Row],[Milled_t]]*tblPlant[[#This Row],[Head_Grade_gpt]]/cfg_TroyOz)</f>
        <v/>
      </c>
      <c r="T161" s="59">
        <f>IF(OR(tblPlant[[#This Row],[Milled_t]]="",tblPlant[[#This Row],[Tails_Grade_gpt]]=""),"",tblPlant[[#This Row],[Milled_t]]*tblPlant[[#This Row],[Tails_Grade_gpt]]/cfg_TroyOz)</f>
        <v/>
      </c>
      <c r="U161" s="59">
        <f>IF(OR(tblPlant[[#This Row],[Milled_t]]="",tblPlant[[#This Row],[Head_Grade_gpt]]="",tblPlant[[#This Row],[Tails_Grade_gpt]]=""),"",tblPlant[[#This Row],[Feed_oz]]-tblPlant[[#This Row],[Tails_oz]])</f>
        <v/>
      </c>
      <c r="V161" s="60">
        <f>IF(AND(ISNUMBER(tblPlant[[#This Row],[Recovered_oz]]),tblPlant[[#This Row],[Feed_oz]]&gt;0),tblPlant[[#This Row],[Recovered_oz]]/tblPlant[[#This Row],[Feed_oz]],"")</f>
        <v/>
      </c>
      <c r="W161" s="59">
        <f>IF(AND(tblPlant[[#This Row],[Milled_t]]&lt;&gt;"",tblPlant[[#This Row],[Mill_Run_h]]&gt;0),tblPlant[[#This Row],[Milled_t]]/tblPlant[[#This Row],[Mill_Run_h]],"")</f>
        <v/>
      </c>
      <c r="X161" s="60">
        <f>IF(AND(tblPlant[[#This Row],[Mill_Run_h]]="",tblPlant[[#This Row],[Mill_Planned_Maint_h]]="",tblPlant[[#This Row],[Mill_Unplanned_Down_h]]=""),"",(cfg_HoursPerDay-tblPlant[[#This Row],[Mill_Planned_Maint_h]]-tblPlant[[#This Row],[Mill_Unplanned_Down_h]])/cfg_HoursPerDay)</f>
        <v/>
      </c>
      <c r="Y16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2">
      <c r="A162" s="54" t="n">
        <v>46179</v>
      </c>
      <c r="B162" s="55" t="n"/>
      <c r="C162" s="55" t="n"/>
      <c r="D162" s="56" t="n"/>
      <c r="E162" s="56" t="n"/>
      <c r="F162" s="55" t="n"/>
      <c r="G162" s="55" t="n"/>
      <c r="H162" s="57" t="n"/>
      <c r="I162" s="57" t="n"/>
      <c r="J162" s="57" t="n"/>
      <c r="K162" s="57" t="n"/>
      <c r="L162" s="55" t="n"/>
      <c r="M162" s="55" t="n"/>
      <c r="N162" s="55" t="n"/>
      <c r="O162" s="55" t="n"/>
      <c r="P162" s="55" t="n"/>
      <c r="Q162" s="55" t="n"/>
      <c r="R162" s="58" t="n"/>
      <c r="S162" s="59">
        <f>IF(OR(tblPlant[[#This Row],[Milled_t]]="",tblPlant[[#This Row],[Head_Grade_gpt]]=""),"",tblPlant[[#This Row],[Milled_t]]*tblPlant[[#This Row],[Head_Grade_gpt]]/cfg_TroyOz)</f>
        <v/>
      </c>
      <c r="T162" s="59">
        <f>IF(OR(tblPlant[[#This Row],[Milled_t]]="",tblPlant[[#This Row],[Tails_Grade_gpt]]=""),"",tblPlant[[#This Row],[Milled_t]]*tblPlant[[#This Row],[Tails_Grade_gpt]]/cfg_TroyOz)</f>
        <v/>
      </c>
      <c r="U162" s="59">
        <f>IF(OR(tblPlant[[#This Row],[Milled_t]]="",tblPlant[[#This Row],[Head_Grade_gpt]]="",tblPlant[[#This Row],[Tails_Grade_gpt]]=""),"",tblPlant[[#This Row],[Feed_oz]]-tblPlant[[#This Row],[Tails_oz]])</f>
        <v/>
      </c>
      <c r="V162" s="60">
        <f>IF(AND(ISNUMBER(tblPlant[[#This Row],[Recovered_oz]]),tblPlant[[#This Row],[Feed_oz]]&gt;0),tblPlant[[#This Row],[Recovered_oz]]/tblPlant[[#This Row],[Feed_oz]],"")</f>
        <v/>
      </c>
      <c r="W162" s="59">
        <f>IF(AND(tblPlant[[#This Row],[Milled_t]]&lt;&gt;"",tblPlant[[#This Row],[Mill_Run_h]]&gt;0),tblPlant[[#This Row],[Milled_t]]/tblPlant[[#This Row],[Mill_Run_h]],"")</f>
        <v/>
      </c>
      <c r="X162" s="60">
        <f>IF(AND(tblPlant[[#This Row],[Mill_Run_h]]="",tblPlant[[#This Row],[Mill_Planned_Maint_h]]="",tblPlant[[#This Row],[Mill_Unplanned_Down_h]]=""),"",(cfg_HoursPerDay-tblPlant[[#This Row],[Mill_Planned_Maint_h]]-tblPlant[[#This Row],[Mill_Unplanned_Down_h]])/cfg_HoursPerDay)</f>
        <v/>
      </c>
      <c r="Y16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3">
      <c r="A163" s="54" t="n">
        <v>46180</v>
      </c>
      <c r="B163" s="55" t="n"/>
      <c r="C163" s="55" t="n"/>
      <c r="D163" s="56" t="n"/>
      <c r="E163" s="56" t="n"/>
      <c r="F163" s="55" t="n"/>
      <c r="G163" s="55" t="n"/>
      <c r="H163" s="57" t="n"/>
      <c r="I163" s="57" t="n"/>
      <c r="J163" s="57" t="n"/>
      <c r="K163" s="57" t="n"/>
      <c r="L163" s="55" t="n"/>
      <c r="M163" s="55" t="n"/>
      <c r="N163" s="55" t="n"/>
      <c r="O163" s="55" t="n"/>
      <c r="P163" s="55" t="n"/>
      <c r="Q163" s="55" t="n"/>
      <c r="R163" s="58" t="n"/>
      <c r="S163" s="59">
        <f>IF(OR(tblPlant[[#This Row],[Milled_t]]="",tblPlant[[#This Row],[Head_Grade_gpt]]=""),"",tblPlant[[#This Row],[Milled_t]]*tblPlant[[#This Row],[Head_Grade_gpt]]/cfg_TroyOz)</f>
        <v/>
      </c>
      <c r="T163" s="59">
        <f>IF(OR(tblPlant[[#This Row],[Milled_t]]="",tblPlant[[#This Row],[Tails_Grade_gpt]]=""),"",tblPlant[[#This Row],[Milled_t]]*tblPlant[[#This Row],[Tails_Grade_gpt]]/cfg_TroyOz)</f>
        <v/>
      </c>
      <c r="U163" s="59">
        <f>IF(OR(tblPlant[[#This Row],[Milled_t]]="",tblPlant[[#This Row],[Head_Grade_gpt]]="",tblPlant[[#This Row],[Tails_Grade_gpt]]=""),"",tblPlant[[#This Row],[Feed_oz]]-tblPlant[[#This Row],[Tails_oz]])</f>
        <v/>
      </c>
      <c r="V163" s="60">
        <f>IF(AND(ISNUMBER(tblPlant[[#This Row],[Recovered_oz]]),tblPlant[[#This Row],[Feed_oz]]&gt;0),tblPlant[[#This Row],[Recovered_oz]]/tblPlant[[#This Row],[Feed_oz]],"")</f>
        <v/>
      </c>
      <c r="W163" s="59">
        <f>IF(AND(tblPlant[[#This Row],[Milled_t]]&lt;&gt;"",tblPlant[[#This Row],[Mill_Run_h]]&gt;0),tblPlant[[#This Row],[Milled_t]]/tblPlant[[#This Row],[Mill_Run_h]],"")</f>
        <v/>
      </c>
      <c r="X163" s="60">
        <f>IF(AND(tblPlant[[#This Row],[Mill_Run_h]]="",tblPlant[[#This Row],[Mill_Planned_Maint_h]]="",tblPlant[[#This Row],[Mill_Unplanned_Down_h]]=""),"",(cfg_HoursPerDay-tblPlant[[#This Row],[Mill_Planned_Maint_h]]-tblPlant[[#This Row],[Mill_Unplanned_Down_h]])/cfg_HoursPerDay)</f>
        <v/>
      </c>
      <c r="Y16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4">
      <c r="A164" s="54" t="n">
        <v>46181</v>
      </c>
      <c r="B164" s="55" t="n"/>
      <c r="C164" s="55" t="n"/>
      <c r="D164" s="56" t="n"/>
      <c r="E164" s="56" t="n"/>
      <c r="F164" s="55" t="n"/>
      <c r="G164" s="55" t="n"/>
      <c r="H164" s="57" t="n"/>
      <c r="I164" s="57" t="n"/>
      <c r="J164" s="57" t="n"/>
      <c r="K164" s="57" t="n"/>
      <c r="L164" s="55" t="n"/>
      <c r="M164" s="55" t="n"/>
      <c r="N164" s="55" t="n"/>
      <c r="O164" s="55" t="n"/>
      <c r="P164" s="55" t="n"/>
      <c r="Q164" s="55" t="n"/>
      <c r="R164" s="58" t="n"/>
      <c r="S164" s="59">
        <f>IF(OR(tblPlant[[#This Row],[Milled_t]]="",tblPlant[[#This Row],[Head_Grade_gpt]]=""),"",tblPlant[[#This Row],[Milled_t]]*tblPlant[[#This Row],[Head_Grade_gpt]]/cfg_TroyOz)</f>
        <v/>
      </c>
      <c r="T164" s="59">
        <f>IF(OR(tblPlant[[#This Row],[Milled_t]]="",tblPlant[[#This Row],[Tails_Grade_gpt]]=""),"",tblPlant[[#This Row],[Milled_t]]*tblPlant[[#This Row],[Tails_Grade_gpt]]/cfg_TroyOz)</f>
        <v/>
      </c>
      <c r="U164" s="59">
        <f>IF(OR(tblPlant[[#This Row],[Milled_t]]="",tblPlant[[#This Row],[Head_Grade_gpt]]="",tblPlant[[#This Row],[Tails_Grade_gpt]]=""),"",tblPlant[[#This Row],[Feed_oz]]-tblPlant[[#This Row],[Tails_oz]])</f>
        <v/>
      </c>
      <c r="V164" s="60">
        <f>IF(AND(ISNUMBER(tblPlant[[#This Row],[Recovered_oz]]),tblPlant[[#This Row],[Feed_oz]]&gt;0),tblPlant[[#This Row],[Recovered_oz]]/tblPlant[[#This Row],[Feed_oz]],"")</f>
        <v/>
      </c>
      <c r="W164" s="59">
        <f>IF(AND(tblPlant[[#This Row],[Milled_t]]&lt;&gt;"",tblPlant[[#This Row],[Mill_Run_h]]&gt;0),tblPlant[[#This Row],[Milled_t]]/tblPlant[[#This Row],[Mill_Run_h]],"")</f>
        <v/>
      </c>
      <c r="X164" s="60">
        <f>IF(AND(tblPlant[[#This Row],[Mill_Run_h]]="",tblPlant[[#This Row],[Mill_Planned_Maint_h]]="",tblPlant[[#This Row],[Mill_Unplanned_Down_h]]=""),"",(cfg_HoursPerDay-tblPlant[[#This Row],[Mill_Planned_Maint_h]]-tblPlant[[#This Row],[Mill_Unplanned_Down_h]])/cfg_HoursPerDay)</f>
        <v/>
      </c>
      <c r="Y16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5">
      <c r="A165" s="54" t="n">
        <v>46182</v>
      </c>
      <c r="B165" s="55" t="n"/>
      <c r="C165" s="55" t="n"/>
      <c r="D165" s="56" t="n"/>
      <c r="E165" s="56" t="n"/>
      <c r="F165" s="55" t="n"/>
      <c r="G165" s="55" t="n"/>
      <c r="H165" s="57" t="n"/>
      <c r="I165" s="57" t="n"/>
      <c r="J165" s="57" t="n"/>
      <c r="K165" s="57" t="n"/>
      <c r="L165" s="55" t="n"/>
      <c r="M165" s="55" t="n"/>
      <c r="N165" s="55" t="n"/>
      <c r="O165" s="55" t="n"/>
      <c r="P165" s="55" t="n"/>
      <c r="Q165" s="55" t="n"/>
      <c r="R165" s="58" t="n"/>
      <c r="S165" s="59">
        <f>IF(OR(tblPlant[[#This Row],[Milled_t]]="",tblPlant[[#This Row],[Head_Grade_gpt]]=""),"",tblPlant[[#This Row],[Milled_t]]*tblPlant[[#This Row],[Head_Grade_gpt]]/cfg_TroyOz)</f>
        <v/>
      </c>
      <c r="T165" s="59">
        <f>IF(OR(tblPlant[[#This Row],[Milled_t]]="",tblPlant[[#This Row],[Tails_Grade_gpt]]=""),"",tblPlant[[#This Row],[Milled_t]]*tblPlant[[#This Row],[Tails_Grade_gpt]]/cfg_TroyOz)</f>
        <v/>
      </c>
      <c r="U165" s="59">
        <f>IF(OR(tblPlant[[#This Row],[Milled_t]]="",tblPlant[[#This Row],[Head_Grade_gpt]]="",tblPlant[[#This Row],[Tails_Grade_gpt]]=""),"",tblPlant[[#This Row],[Feed_oz]]-tblPlant[[#This Row],[Tails_oz]])</f>
        <v/>
      </c>
      <c r="V165" s="60">
        <f>IF(AND(ISNUMBER(tblPlant[[#This Row],[Recovered_oz]]),tblPlant[[#This Row],[Feed_oz]]&gt;0),tblPlant[[#This Row],[Recovered_oz]]/tblPlant[[#This Row],[Feed_oz]],"")</f>
        <v/>
      </c>
      <c r="W165" s="59">
        <f>IF(AND(tblPlant[[#This Row],[Milled_t]]&lt;&gt;"",tblPlant[[#This Row],[Mill_Run_h]]&gt;0),tblPlant[[#This Row],[Milled_t]]/tblPlant[[#This Row],[Mill_Run_h]],"")</f>
        <v/>
      </c>
      <c r="X165" s="60">
        <f>IF(AND(tblPlant[[#This Row],[Mill_Run_h]]="",tblPlant[[#This Row],[Mill_Planned_Maint_h]]="",tblPlant[[#This Row],[Mill_Unplanned_Down_h]]=""),"",(cfg_HoursPerDay-tblPlant[[#This Row],[Mill_Planned_Maint_h]]-tblPlant[[#This Row],[Mill_Unplanned_Down_h]])/cfg_HoursPerDay)</f>
        <v/>
      </c>
      <c r="Y16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6">
      <c r="A166" s="54" t="n">
        <v>46183</v>
      </c>
      <c r="B166" s="55" t="n"/>
      <c r="C166" s="55" t="n"/>
      <c r="D166" s="56" t="n"/>
      <c r="E166" s="56" t="n"/>
      <c r="F166" s="55" t="n"/>
      <c r="G166" s="55" t="n"/>
      <c r="H166" s="57" t="n"/>
      <c r="I166" s="57" t="n"/>
      <c r="J166" s="57" t="n"/>
      <c r="K166" s="57" t="n"/>
      <c r="L166" s="55" t="n"/>
      <c r="M166" s="55" t="n"/>
      <c r="N166" s="55" t="n"/>
      <c r="O166" s="55" t="n"/>
      <c r="P166" s="55" t="n"/>
      <c r="Q166" s="55" t="n"/>
      <c r="R166" s="58" t="n"/>
      <c r="S166" s="59">
        <f>IF(OR(tblPlant[[#This Row],[Milled_t]]="",tblPlant[[#This Row],[Head_Grade_gpt]]=""),"",tblPlant[[#This Row],[Milled_t]]*tblPlant[[#This Row],[Head_Grade_gpt]]/cfg_TroyOz)</f>
        <v/>
      </c>
      <c r="T166" s="59">
        <f>IF(OR(tblPlant[[#This Row],[Milled_t]]="",tblPlant[[#This Row],[Tails_Grade_gpt]]=""),"",tblPlant[[#This Row],[Milled_t]]*tblPlant[[#This Row],[Tails_Grade_gpt]]/cfg_TroyOz)</f>
        <v/>
      </c>
      <c r="U166" s="59">
        <f>IF(OR(tblPlant[[#This Row],[Milled_t]]="",tblPlant[[#This Row],[Head_Grade_gpt]]="",tblPlant[[#This Row],[Tails_Grade_gpt]]=""),"",tblPlant[[#This Row],[Feed_oz]]-tblPlant[[#This Row],[Tails_oz]])</f>
        <v/>
      </c>
      <c r="V166" s="60">
        <f>IF(AND(ISNUMBER(tblPlant[[#This Row],[Recovered_oz]]),tblPlant[[#This Row],[Feed_oz]]&gt;0),tblPlant[[#This Row],[Recovered_oz]]/tblPlant[[#This Row],[Feed_oz]],"")</f>
        <v/>
      </c>
      <c r="W166" s="59">
        <f>IF(AND(tblPlant[[#This Row],[Milled_t]]&lt;&gt;"",tblPlant[[#This Row],[Mill_Run_h]]&gt;0),tblPlant[[#This Row],[Milled_t]]/tblPlant[[#This Row],[Mill_Run_h]],"")</f>
        <v/>
      </c>
      <c r="X166" s="60">
        <f>IF(AND(tblPlant[[#This Row],[Mill_Run_h]]="",tblPlant[[#This Row],[Mill_Planned_Maint_h]]="",tblPlant[[#This Row],[Mill_Unplanned_Down_h]]=""),"",(cfg_HoursPerDay-tblPlant[[#This Row],[Mill_Planned_Maint_h]]-tblPlant[[#This Row],[Mill_Unplanned_Down_h]])/cfg_HoursPerDay)</f>
        <v/>
      </c>
      <c r="Y16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7">
      <c r="A167" s="54" t="n">
        <v>46184</v>
      </c>
      <c r="B167" s="55" t="n"/>
      <c r="C167" s="55" t="n"/>
      <c r="D167" s="56" t="n"/>
      <c r="E167" s="56" t="n"/>
      <c r="F167" s="55" t="n"/>
      <c r="G167" s="55" t="n"/>
      <c r="H167" s="57" t="n"/>
      <c r="I167" s="57" t="n"/>
      <c r="J167" s="57" t="n"/>
      <c r="K167" s="57" t="n"/>
      <c r="L167" s="55" t="n"/>
      <c r="M167" s="55" t="n"/>
      <c r="N167" s="55" t="n"/>
      <c r="O167" s="55" t="n"/>
      <c r="P167" s="55" t="n"/>
      <c r="Q167" s="55" t="n"/>
      <c r="R167" s="58" t="n"/>
      <c r="S167" s="59">
        <f>IF(OR(tblPlant[[#This Row],[Milled_t]]="",tblPlant[[#This Row],[Head_Grade_gpt]]=""),"",tblPlant[[#This Row],[Milled_t]]*tblPlant[[#This Row],[Head_Grade_gpt]]/cfg_TroyOz)</f>
        <v/>
      </c>
      <c r="T167" s="59">
        <f>IF(OR(tblPlant[[#This Row],[Milled_t]]="",tblPlant[[#This Row],[Tails_Grade_gpt]]=""),"",tblPlant[[#This Row],[Milled_t]]*tblPlant[[#This Row],[Tails_Grade_gpt]]/cfg_TroyOz)</f>
        <v/>
      </c>
      <c r="U167" s="59">
        <f>IF(OR(tblPlant[[#This Row],[Milled_t]]="",tblPlant[[#This Row],[Head_Grade_gpt]]="",tblPlant[[#This Row],[Tails_Grade_gpt]]=""),"",tblPlant[[#This Row],[Feed_oz]]-tblPlant[[#This Row],[Tails_oz]])</f>
        <v/>
      </c>
      <c r="V167" s="60">
        <f>IF(AND(ISNUMBER(tblPlant[[#This Row],[Recovered_oz]]),tblPlant[[#This Row],[Feed_oz]]&gt;0),tblPlant[[#This Row],[Recovered_oz]]/tblPlant[[#This Row],[Feed_oz]],"")</f>
        <v/>
      </c>
      <c r="W167" s="59">
        <f>IF(AND(tblPlant[[#This Row],[Milled_t]]&lt;&gt;"",tblPlant[[#This Row],[Mill_Run_h]]&gt;0),tblPlant[[#This Row],[Milled_t]]/tblPlant[[#This Row],[Mill_Run_h]],"")</f>
        <v/>
      </c>
      <c r="X167" s="60">
        <f>IF(AND(tblPlant[[#This Row],[Mill_Run_h]]="",tblPlant[[#This Row],[Mill_Planned_Maint_h]]="",tblPlant[[#This Row],[Mill_Unplanned_Down_h]]=""),"",(cfg_HoursPerDay-tblPlant[[#This Row],[Mill_Planned_Maint_h]]-tblPlant[[#This Row],[Mill_Unplanned_Down_h]])/cfg_HoursPerDay)</f>
        <v/>
      </c>
      <c r="Y16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8">
      <c r="A168" s="54" t="n">
        <v>46185</v>
      </c>
      <c r="B168" s="55" t="n"/>
      <c r="C168" s="55" t="n"/>
      <c r="D168" s="56" t="n"/>
      <c r="E168" s="56" t="n"/>
      <c r="F168" s="55" t="n"/>
      <c r="G168" s="55" t="n"/>
      <c r="H168" s="57" t="n"/>
      <c r="I168" s="57" t="n"/>
      <c r="J168" s="57" t="n"/>
      <c r="K168" s="57" t="n"/>
      <c r="L168" s="55" t="n"/>
      <c r="M168" s="55" t="n"/>
      <c r="N168" s="55" t="n"/>
      <c r="O168" s="55" t="n"/>
      <c r="P168" s="55" t="n"/>
      <c r="Q168" s="55" t="n"/>
      <c r="R168" s="58" t="n"/>
      <c r="S168" s="59">
        <f>IF(OR(tblPlant[[#This Row],[Milled_t]]="",tblPlant[[#This Row],[Head_Grade_gpt]]=""),"",tblPlant[[#This Row],[Milled_t]]*tblPlant[[#This Row],[Head_Grade_gpt]]/cfg_TroyOz)</f>
        <v/>
      </c>
      <c r="T168" s="59">
        <f>IF(OR(tblPlant[[#This Row],[Milled_t]]="",tblPlant[[#This Row],[Tails_Grade_gpt]]=""),"",tblPlant[[#This Row],[Milled_t]]*tblPlant[[#This Row],[Tails_Grade_gpt]]/cfg_TroyOz)</f>
        <v/>
      </c>
      <c r="U168" s="59">
        <f>IF(OR(tblPlant[[#This Row],[Milled_t]]="",tblPlant[[#This Row],[Head_Grade_gpt]]="",tblPlant[[#This Row],[Tails_Grade_gpt]]=""),"",tblPlant[[#This Row],[Feed_oz]]-tblPlant[[#This Row],[Tails_oz]])</f>
        <v/>
      </c>
      <c r="V168" s="60">
        <f>IF(AND(ISNUMBER(tblPlant[[#This Row],[Recovered_oz]]),tblPlant[[#This Row],[Feed_oz]]&gt;0),tblPlant[[#This Row],[Recovered_oz]]/tblPlant[[#This Row],[Feed_oz]],"")</f>
        <v/>
      </c>
      <c r="W168" s="59">
        <f>IF(AND(tblPlant[[#This Row],[Milled_t]]&lt;&gt;"",tblPlant[[#This Row],[Mill_Run_h]]&gt;0),tblPlant[[#This Row],[Milled_t]]/tblPlant[[#This Row],[Mill_Run_h]],"")</f>
        <v/>
      </c>
      <c r="X168" s="60">
        <f>IF(AND(tblPlant[[#This Row],[Mill_Run_h]]="",tblPlant[[#This Row],[Mill_Planned_Maint_h]]="",tblPlant[[#This Row],[Mill_Unplanned_Down_h]]=""),"",(cfg_HoursPerDay-tblPlant[[#This Row],[Mill_Planned_Maint_h]]-tblPlant[[#This Row],[Mill_Unplanned_Down_h]])/cfg_HoursPerDay)</f>
        <v/>
      </c>
      <c r="Y16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69">
      <c r="A169" s="54" t="n">
        <v>46186</v>
      </c>
      <c r="B169" s="55" t="n"/>
      <c r="C169" s="55" t="n"/>
      <c r="D169" s="56" t="n"/>
      <c r="E169" s="56" t="n"/>
      <c r="F169" s="55" t="n"/>
      <c r="G169" s="55" t="n"/>
      <c r="H169" s="57" t="n"/>
      <c r="I169" s="57" t="n"/>
      <c r="J169" s="57" t="n"/>
      <c r="K169" s="57" t="n"/>
      <c r="L169" s="55" t="n"/>
      <c r="M169" s="55" t="n"/>
      <c r="N169" s="55" t="n"/>
      <c r="O169" s="55" t="n"/>
      <c r="P169" s="55" t="n"/>
      <c r="Q169" s="55" t="n"/>
      <c r="R169" s="58" t="n"/>
      <c r="S169" s="59">
        <f>IF(OR(tblPlant[[#This Row],[Milled_t]]="",tblPlant[[#This Row],[Head_Grade_gpt]]=""),"",tblPlant[[#This Row],[Milled_t]]*tblPlant[[#This Row],[Head_Grade_gpt]]/cfg_TroyOz)</f>
        <v/>
      </c>
      <c r="T169" s="59">
        <f>IF(OR(tblPlant[[#This Row],[Milled_t]]="",tblPlant[[#This Row],[Tails_Grade_gpt]]=""),"",tblPlant[[#This Row],[Milled_t]]*tblPlant[[#This Row],[Tails_Grade_gpt]]/cfg_TroyOz)</f>
        <v/>
      </c>
      <c r="U169" s="59">
        <f>IF(OR(tblPlant[[#This Row],[Milled_t]]="",tblPlant[[#This Row],[Head_Grade_gpt]]="",tblPlant[[#This Row],[Tails_Grade_gpt]]=""),"",tblPlant[[#This Row],[Feed_oz]]-tblPlant[[#This Row],[Tails_oz]])</f>
        <v/>
      </c>
      <c r="V169" s="60">
        <f>IF(AND(ISNUMBER(tblPlant[[#This Row],[Recovered_oz]]),tblPlant[[#This Row],[Feed_oz]]&gt;0),tblPlant[[#This Row],[Recovered_oz]]/tblPlant[[#This Row],[Feed_oz]],"")</f>
        <v/>
      </c>
      <c r="W169" s="59">
        <f>IF(AND(tblPlant[[#This Row],[Milled_t]]&lt;&gt;"",tblPlant[[#This Row],[Mill_Run_h]]&gt;0),tblPlant[[#This Row],[Milled_t]]/tblPlant[[#This Row],[Mill_Run_h]],"")</f>
        <v/>
      </c>
      <c r="X169" s="60">
        <f>IF(AND(tblPlant[[#This Row],[Mill_Run_h]]="",tblPlant[[#This Row],[Mill_Planned_Maint_h]]="",tblPlant[[#This Row],[Mill_Unplanned_Down_h]]=""),"",(cfg_HoursPerDay-tblPlant[[#This Row],[Mill_Planned_Maint_h]]-tblPlant[[#This Row],[Mill_Unplanned_Down_h]])/cfg_HoursPerDay)</f>
        <v/>
      </c>
      <c r="Y16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0">
      <c r="A170" s="54" t="n">
        <v>46187</v>
      </c>
      <c r="B170" s="55" t="n"/>
      <c r="C170" s="55" t="n"/>
      <c r="D170" s="56" t="n"/>
      <c r="E170" s="56" t="n"/>
      <c r="F170" s="55" t="n"/>
      <c r="G170" s="55" t="n"/>
      <c r="H170" s="57" t="n"/>
      <c r="I170" s="57" t="n"/>
      <c r="J170" s="57" t="n"/>
      <c r="K170" s="57" t="n"/>
      <c r="L170" s="55" t="n"/>
      <c r="M170" s="55" t="n"/>
      <c r="N170" s="55" t="n"/>
      <c r="O170" s="55" t="n"/>
      <c r="P170" s="55" t="n"/>
      <c r="Q170" s="55" t="n"/>
      <c r="R170" s="58" t="n"/>
      <c r="S170" s="59">
        <f>IF(OR(tblPlant[[#This Row],[Milled_t]]="",tblPlant[[#This Row],[Head_Grade_gpt]]=""),"",tblPlant[[#This Row],[Milled_t]]*tblPlant[[#This Row],[Head_Grade_gpt]]/cfg_TroyOz)</f>
        <v/>
      </c>
      <c r="T170" s="59">
        <f>IF(OR(tblPlant[[#This Row],[Milled_t]]="",tblPlant[[#This Row],[Tails_Grade_gpt]]=""),"",tblPlant[[#This Row],[Milled_t]]*tblPlant[[#This Row],[Tails_Grade_gpt]]/cfg_TroyOz)</f>
        <v/>
      </c>
      <c r="U170" s="59">
        <f>IF(OR(tblPlant[[#This Row],[Milled_t]]="",tblPlant[[#This Row],[Head_Grade_gpt]]="",tblPlant[[#This Row],[Tails_Grade_gpt]]=""),"",tblPlant[[#This Row],[Feed_oz]]-tblPlant[[#This Row],[Tails_oz]])</f>
        <v/>
      </c>
      <c r="V170" s="60">
        <f>IF(AND(ISNUMBER(tblPlant[[#This Row],[Recovered_oz]]),tblPlant[[#This Row],[Feed_oz]]&gt;0),tblPlant[[#This Row],[Recovered_oz]]/tblPlant[[#This Row],[Feed_oz]],"")</f>
        <v/>
      </c>
      <c r="W170" s="59">
        <f>IF(AND(tblPlant[[#This Row],[Milled_t]]&lt;&gt;"",tblPlant[[#This Row],[Mill_Run_h]]&gt;0),tblPlant[[#This Row],[Milled_t]]/tblPlant[[#This Row],[Mill_Run_h]],"")</f>
        <v/>
      </c>
      <c r="X170" s="60">
        <f>IF(AND(tblPlant[[#This Row],[Mill_Run_h]]="",tblPlant[[#This Row],[Mill_Planned_Maint_h]]="",tblPlant[[#This Row],[Mill_Unplanned_Down_h]]=""),"",(cfg_HoursPerDay-tblPlant[[#This Row],[Mill_Planned_Maint_h]]-tblPlant[[#This Row],[Mill_Unplanned_Down_h]])/cfg_HoursPerDay)</f>
        <v/>
      </c>
      <c r="Y17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1">
      <c r="A171" s="54" t="n">
        <v>46188</v>
      </c>
      <c r="B171" s="55" t="n"/>
      <c r="C171" s="55" t="n"/>
      <c r="D171" s="56" t="n"/>
      <c r="E171" s="56" t="n"/>
      <c r="F171" s="55" t="n"/>
      <c r="G171" s="55" t="n"/>
      <c r="H171" s="57" t="n"/>
      <c r="I171" s="57" t="n"/>
      <c r="J171" s="57" t="n"/>
      <c r="K171" s="57" t="n"/>
      <c r="L171" s="55" t="n"/>
      <c r="M171" s="55" t="n"/>
      <c r="N171" s="55" t="n"/>
      <c r="O171" s="55" t="n"/>
      <c r="P171" s="55" t="n"/>
      <c r="Q171" s="55" t="n"/>
      <c r="R171" s="58" t="n"/>
      <c r="S171" s="59">
        <f>IF(OR(tblPlant[[#This Row],[Milled_t]]="",tblPlant[[#This Row],[Head_Grade_gpt]]=""),"",tblPlant[[#This Row],[Milled_t]]*tblPlant[[#This Row],[Head_Grade_gpt]]/cfg_TroyOz)</f>
        <v/>
      </c>
      <c r="T171" s="59">
        <f>IF(OR(tblPlant[[#This Row],[Milled_t]]="",tblPlant[[#This Row],[Tails_Grade_gpt]]=""),"",tblPlant[[#This Row],[Milled_t]]*tblPlant[[#This Row],[Tails_Grade_gpt]]/cfg_TroyOz)</f>
        <v/>
      </c>
      <c r="U171" s="59">
        <f>IF(OR(tblPlant[[#This Row],[Milled_t]]="",tblPlant[[#This Row],[Head_Grade_gpt]]="",tblPlant[[#This Row],[Tails_Grade_gpt]]=""),"",tblPlant[[#This Row],[Feed_oz]]-tblPlant[[#This Row],[Tails_oz]])</f>
        <v/>
      </c>
      <c r="V171" s="60">
        <f>IF(AND(ISNUMBER(tblPlant[[#This Row],[Recovered_oz]]),tblPlant[[#This Row],[Feed_oz]]&gt;0),tblPlant[[#This Row],[Recovered_oz]]/tblPlant[[#This Row],[Feed_oz]],"")</f>
        <v/>
      </c>
      <c r="W171" s="59">
        <f>IF(AND(tblPlant[[#This Row],[Milled_t]]&lt;&gt;"",tblPlant[[#This Row],[Mill_Run_h]]&gt;0),tblPlant[[#This Row],[Milled_t]]/tblPlant[[#This Row],[Mill_Run_h]],"")</f>
        <v/>
      </c>
      <c r="X171" s="60">
        <f>IF(AND(tblPlant[[#This Row],[Mill_Run_h]]="",tblPlant[[#This Row],[Mill_Planned_Maint_h]]="",tblPlant[[#This Row],[Mill_Unplanned_Down_h]]=""),"",(cfg_HoursPerDay-tblPlant[[#This Row],[Mill_Planned_Maint_h]]-tblPlant[[#This Row],[Mill_Unplanned_Down_h]])/cfg_HoursPerDay)</f>
        <v/>
      </c>
      <c r="Y17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2">
      <c r="A172" s="54" t="n">
        <v>46189</v>
      </c>
      <c r="B172" s="55" t="n"/>
      <c r="C172" s="55" t="n"/>
      <c r="D172" s="56" t="n"/>
      <c r="E172" s="56" t="n"/>
      <c r="F172" s="55" t="n"/>
      <c r="G172" s="55" t="n"/>
      <c r="H172" s="57" t="n"/>
      <c r="I172" s="57" t="n"/>
      <c r="J172" s="57" t="n"/>
      <c r="K172" s="57" t="n"/>
      <c r="L172" s="55" t="n"/>
      <c r="M172" s="55" t="n"/>
      <c r="N172" s="55" t="n"/>
      <c r="O172" s="55" t="n"/>
      <c r="P172" s="55" t="n"/>
      <c r="Q172" s="55" t="n"/>
      <c r="R172" s="58" t="n"/>
      <c r="S172" s="59">
        <f>IF(OR(tblPlant[[#This Row],[Milled_t]]="",tblPlant[[#This Row],[Head_Grade_gpt]]=""),"",tblPlant[[#This Row],[Milled_t]]*tblPlant[[#This Row],[Head_Grade_gpt]]/cfg_TroyOz)</f>
        <v/>
      </c>
      <c r="T172" s="59">
        <f>IF(OR(tblPlant[[#This Row],[Milled_t]]="",tblPlant[[#This Row],[Tails_Grade_gpt]]=""),"",tblPlant[[#This Row],[Milled_t]]*tblPlant[[#This Row],[Tails_Grade_gpt]]/cfg_TroyOz)</f>
        <v/>
      </c>
      <c r="U172" s="59">
        <f>IF(OR(tblPlant[[#This Row],[Milled_t]]="",tblPlant[[#This Row],[Head_Grade_gpt]]="",tblPlant[[#This Row],[Tails_Grade_gpt]]=""),"",tblPlant[[#This Row],[Feed_oz]]-tblPlant[[#This Row],[Tails_oz]])</f>
        <v/>
      </c>
      <c r="V172" s="60">
        <f>IF(AND(ISNUMBER(tblPlant[[#This Row],[Recovered_oz]]),tblPlant[[#This Row],[Feed_oz]]&gt;0),tblPlant[[#This Row],[Recovered_oz]]/tblPlant[[#This Row],[Feed_oz]],"")</f>
        <v/>
      </c>
      <c r="W172" s="59">
        <f>IF(AND(tblPlant[[#This Row],[Milled_t]]&lt;&gt;"",tblPlant[[#This Row],[Mill_Run_h]]&gt;0),tblPlant[[#This Row],[Milled_t]]/tblPlant[[#This Row],[Mill_Run_h]],"")</f>
        <v/>
      </c>
      <c r="X172" s="60">
        <f>IF(AND(tblPlant[[#This Row],[Mill_Run_h]]="",tblPlant[[#This Row],[Mill_Planned_Maint_h]]="",tblPlant[[#This Row],[Mill_Unplanned_Down_h]]=""),"",(cfg_HoursPerDay-tblPlant[[#This Row],[Mill_Planned_Maint_h]]-tblPlant[[#This Row],[Mill_Unplanned_Down_h]])/cfg_HoursPerDay)</f>
        <v/>
      </c>
      <c r="Y17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3">
      <c r="A173" s="54" t="n">
        <v>46190</v>
      </c>
      <c r="B173" s="55" t="n"/>
      <c r="C173" s="55" t="n"/>
      <c r="D173" s="56" t="n"/>
      <c r="E173" s="56" t="n"/>
      <c r="F173" s="55" t="n"/>
      <c r="G173" s="55" t="n"/>
      <c r="H173" s="57" t="n"/>
      <c r="I173" s="57" t="n"/>
      <c r="J173" s="57" t="n"/>
      <c r="K173" s="57" t="n"/>
      <c r="L173" s="55" t="n"/>
      <c r="M173" s="55" t="n"/>
      <c r="N173" s="55" t="n"/>
      <c r="O173" s="55" t="n"/>
      <c r="P173" s="55" t="n"/>
      <c r="Q173" s="55" t="n"/>
      <c r="R173" s="58" t="n"/>
      <c r="S173" s="59">
        <f>IF(OR(tblPlant[[#This Row],[Milled_t]]="",tblPlant[[#This Row],[Head_Grade_gpt]]=""),"",tblPlant[[#This Row],[Milled_t]]*tblPlant[[#This Row],[Head_Grade_gpt]]/cfg_TroyOz)</f>
        <v/>
      </c>
      <c r="T173" s="59">
        <f>IF(OR(tblPlant[[#This Row],[Milled_t]]="",tblPlant[[#This Row],[Tails_Grade_gpt]]=""),"",tblPlant[[#This Row],[Milled_t]]*tblPlant[[#This Row],[Tails_Grade_gpt]]/cfg_TroyOz)</f>
        <v/>
      </c>
      <c r="U173" s="59">
        <f>IF(OR(tblPlant[[#This Row],[Milled_t]]="",tblPlant[[#This Row],[Head_Grade_gpt]]="",tblPlant[[#This Row],[Tails_Grade_gpt]]=""),"",tblPlant[[#This Row],[Feed_oz]]-tblPlant[[#This Row],[Tails_oz]])</f>
        <v/>
      </c>
      <c r="V173" s="60">
        <f>IF(AND(ISNUMBER(tblPlant[[#This Row],[Recovered_oz]]),tblPlant[[#This Row],[Feed_oz]]&gt;0),tblPlant[[#This Row],[Recovered_oz]]/tblPlant[[#This Row],[Feed_oz]],"")</f>
        <v/>
      </c>
      <c r="W173" s="59">
        <f>IF(AND(tblPlant[[#This Row],[Milled_t]]&lt;&gt;"",tblPlant[[#This Row],[Mill_Run_h]]&gt;0),tblPlant[[#This Row],[Milled_t]]/tblPlant[[#This Row],[Mill_Run_h]],"")</f>
        <v/>
      </c>
      <c r="X173" s="60">
        <f>IF(AND(tblPlant[[#This Row],[Mill_Run_h]]="",tblPlant[[#This Row],[Mill_Planned_Maint_h]]="",tblPlant[[#This Row],[Mill_Unplanned_Down_h]]=""),"",(cfg_HoursPerDay-tblPlant[[#This Row],[Mill_Planned_Maint_h]]-tblPlant[[#This Row],[Mill_Unplanned_Down_h]])/cfg_HoursPerDay)</f>
        <v/>
      </c>
      <c r="Y17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4">
      <c r="A174" s="54" t="n">
        <v>46191</v>
      </c>
      <c r="B174" s="55" t="n"/>
      <c r="C174" s="55" t="n"/>
      <c r="D174" s="56" t="n"/>
      <c r="E174" s="56" t="n"/>
      <c r="F174" s="55" t="n"/>
      <c r="G174" s="55" t="n"/>
      <c r="H174" s="57" t="n"/>
      <c r="I174" s="57" t="n"/>
      <c r="J174" s="57" t="n"/>
      <c r="K174" s="57" t="n"/>
      <c r="L174" s="55" t="n"/>
      <c r="M174" s="55" t="n"/>
      <c r="N174" s="55" t="n"/>
      <c r="O174" s="55" t="n"/>
      <c r="P174" s="55" t="n"/>
      <c r="Q174" s="55" t="n"/>
      <c r="R174" s="58" t="n"/>
      <c r="S174" s="59">
        <f>IF(OR(tblPlant[[#This Row],[Milled_t]]="",tblPlant[[#This Row],[Head_Grade_gpt]]=""),"",tblPlant[[#This Row],[Milled_t]]*tblPlant[[#This Row],[Head_Grade_gpt]]/cfg_TroyOz)</f>
        <v/>
      </c>
      <c r="T174" s="59">
        <f>IF(OR(tblPlant[[#This Row],[Milled_t]]="",tblPlant[[#This Row],[Tails_Grade_gpt]]=""),"",tblPlant[[#This Row],[Milled_t]]*tblPlant[[#This Row],[Tails_Grade_gpt]]/cfg_TroyOz)</f>
        <v/>
      </c>
      <c r="U174" s="59">
        <f>IF(OR(tblPlant[[#This Row],[Milled_t]]="",tblPlant[[#This Row],[Head_Grade_gpt]]="",tblPlant[[#This Row],[Tails_Grade_gpt]]=""),"",tblPlant[[#This Row],[Feed_oz]]-tblPlant[[#This Row],[Tails_oz]])</f>
        <v/>
      </c>
      <c r="V174" s="60">
        <f>IF(AND(ISNUMBER(tblPlant[[#This Row],[Recovered_oz]]),tblPlant[[#This Row],[Feed_oz]]&gt;0),tblPlant[[#This Row],[Recovered_oz]]/tblPlant[[#This Row],[Feed_oz]],"")</f>
        <v/>
      </c>
      <c r="W174" s="59">
        <f>IF(AND(tblPlant[[#This Row],[Milled_t]]&lt;&gt;"",tblPlant[[#This Row],[Mill_Run_h]]&gt;0),tblPlant[[#This Row],[Milled_t]]/tblPlant[[#This Row],[Mill_Run_h]],"")</f>
        <v/>
      </c>
      <c r="X174" s="60">
        <f>IF(AND(tblPlant[[#This Row],[Mill_Run_h]]="",tblPlant[[#This Row],[Mill_Planned_Maint_h]]="",tblPlant[[#This Row],[Mill_Unplanned_Down_h]]=""),"",(cfg_HoursPerDay-tblPlant[[#This Row],[Mill_Planned_Maint_h]]-tblPlant[[#This Row],[Mill_Unplanned_Down_h]])/cfg_HoursPerDay)</f>
        <v/>
      </c>
      <c r="Y17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5">
      <c r="A175" s="54" t="n">
        <v>46192</v>
      </c>
      <c r="B175" s="55" t="n"/>
      <c r="C175" s="55" t="n"/>
      <c r="D175" s="56" t="n"/>
      <c r="E175" s="56" t="n"/>
      <c r="F175" s="55" t="n"/>
      <c r="G175" s="55" t="n"/>
      <c r="H175" s="57" t="n"/>
      <c r="I175" s="57" t="n"/>
      <c r="J175" s="57" t="n"/>
      <c r="K175" s="57" t="n"/>
      <c r="L175" s="55" t="n"/>
      <c r="M175" s="55" t="n"/>
      <c r="N175" s="55" t="n"/>
      <c r="O175" s="55" t="n"/>
      <c r="P175" s="55" t="n"/>
      <c r="Q175" s="55" t="n"/>
      <c r="R175" s="58" t="n"/>
      <c r="S175" s="59">
        <f>IF(OR(tblPlant[[#This Row],[Milled_t]]="",tblPlant[[#This Row],[Head_Grade_gpt]]=""),"",tblPlant[[#This Row],[Milled_t]]*tblPlant[[#This Row],[Head_Grade_gpt]]/cfg_TroyOz)</f>
        <v/>
      </c>
      <c r="T175" s="59">
        <f>IF(OR(tblPlant[[#This Row],[Milled_t]]="",tblPlant[[#This Row],[Tails_Grade_gpt]]=""),"",tblPlant[[#This Row],[Milled_t]]*tblPlant[[#This Row],[Tails_Grade_gpt]]/cfg_TroyOz)</f>
        <v/>
      </c>
      <c r="U175" s="59">
        <f>IF(OR(tblPlant[[#This Row],[Milled_t]]="",tblPlant[[#This Row],[Head_Grade_gpt]]="",tblPlant[[#This Row],[Tails_Grade_gpt]]=""),"",tblPlant[[#This Row],[Feed_oz]]-tblPlant[[#This Row],[Tails_oz]])</f>
        <v/>
      </c>
      <c r="V175" s="60">
        <f>IF(AND(ISNUMBER(tblPlant[[#This Row],[Recovered_oz]]),tblPlant[[#This Row],[Feed_oz]]&gt;0),tblPlant[[#This Row],[Recovered_oz]]/tblPlant[[#This Row],[Feed_oz]],"")</f>
        <v/>
      </c>
      <c r="W175" s="59">
        <f>IF(AND(tblPlant[[#This Row],[Milled_t]]&lt;&gt;"",tblPlant[[#This Row],[Mill_Run_h]]&gt;0),tblPlant[[#This Row],[Milled_t]]/tblPlant[[#This Row],[Mill_Run_h]],"")</f>
        <v/>
      </c>
      <c r="X175" s="60">
        <f>IF(AND(tblPlant[[#This Row],[Mill_Run_h]]="",tblPlant[[#This Row],[Mill_Planned_Maint_h]]="",tblPlant[[#This Row],[Mill_Unplanned_Down_h]]=""),"",(cfg_HoursPerDay-tblPlant[[#This Row],[Mill_Planned_Maint_h]]-tblPlant[[#This Row],[Mill_Unplanned_Down_h]])/cfg_HoursPerDay)</f>
        <v/>
      </c>
      <c r="Y17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6">
      <c r="A176" s="54" t="n">
        <v>46193</v>
      </c>
      <c r="B176" s="55" t="n"/>
      <c r="C176" s="55" t="n"/>
      <c r="D176" s="56" t="n"/>
      <c r="E176" s="56" t="n"/>
      <c r="F176" s="55" t="n"/>
      <c r="G176" s="55" t="n"/>
      <c r="H176" s="57" t="n"/>
      <c r="I176" s="57" t="n"/>
      <c r="J176" s="57" t="n"/>
      <c r="K176" s="57" t="n"/>
      <c r="L176" s="55" t="n"/>
      <c r="M176" s="55" t="n"/>
      <c r="N176" s="55" t="n"/>
      <c r="O176" s="55" t="n"/>
      <c r="P176" s="55" t="n"/>
      <c r="Q176" s="55" t="n"/>
      <c r="R176" s="58" t="n"/>
      <c r="S176" s="59">
        <f>IF(OR(tblPlant[[#This Row],[Milled_t]]="",tblPlant[[#This Row],[Head_Grade_gpt]]=""),"",tblPlant[[#This Row],[Milled_t]]*tblPlant[[#This Row],[Head_Grade_gpt]]/cfg_TroyOz)</f>
        <v/>
      </c>
      <c r="T176" s="59">
        <f>IF(OR(tblPlant[[#This Row],[Milled_t]]="",tblPlant[[#This Row],[Tails_Grade_gpt]]=""),"",tblPlant[[#This Row],[Milled_t]]*tblPlant[[#This Row],[Tails_Grade_gpt]]/cfg_TroyOz)</f>
        <v/>
      </c>
      <c r="U176" s="59">
        <f>IF(OR(tblPlant[[#This Row],[Milled_t]]="",tblPlant[[#This Row],[Head_Grade_gpt]]="",tblPlant[[#This Row],[Tails_Grade_gpt]]=""),"",tblPlant[[#This Row],[Feed_oz]]-tblPlant[[#This Row],[Tails_oz]])</f>
        <v/>
      </c>
      <c r="V176" s="60">
        <f>IF(AND(ISNUMBER(tblPlant[[#This Row],[Recovered_oz]]),tblPlant[[#This Row],[Feed_oz]]&gt;0),tblPlant[[#This Row],[Recovered_oz]]/tblPlant[[#This Row],[Feed_oz]],"")</f>
        <v/>
      </c>
      <c r="W176" s="59">
        <f>IF(AND(tblPlant[[#This Row],[Milled_t]]&lt;&gt;"",tblPlant[[#This Row],[Mill_Run_h]]&gt;0),tblPlant[[#This Row],[Milled_t]]/tblPlant[[#This Row],[Mill_Run_h]],"")</f>
        <v/>
      </c>
      <c r="X176" s="60">
        <f>IF(AND(tblPlant[[#This Row],[Mill_Run_h]]="",tblPlant[[#This Row],[Mill_Planned_Maint_h]]="",tblPlant[[#This Row],[Mill_Unplanned_Down_h]]=""),"",(cfg_HoursPerDay-tblPlant[[#This Row],[Mill_Planned_Maint_h]]-tblPlant[[#This Row],[Mill_Unplanned_Down_h]])/cfg_HoursPerDay)</f>
        <v/>
      </c>
      <c r="Y17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7">
      <c r="A177" s="54" t="n">
        <v>46194</v>
      </c>
      <c r="B177" s="55" t="n"/>
      <c r="C177" s="55" t="n"/>
      <c r="D177" s="56" t="n"/>
      <c r="E177" s="56" t="n"/>
      <c r="F177" s="55" t="n"/>
      <c r="G177" s="55" t="n"/>
      <c r="H177" s="57" t="n"/>
      <c r="I177" s="57" t="n"/>
      <c r="J177" s="57" t="n"/>
      <c r="K177" s="57" t="n"/>
      <c r="L177" s="55" t="n"/>
      <c r="M177" s="55" t="n"/>
      <c r="N177" s="55" t="n"/>
      <c r="O177" s="55" t="n"/>
      <c r="P177" s="55" t="n"/>
      <c r="Q177" s="55" t="n"/>
      <c r="R177" s="58" t="n"/>
      <c r="S177" s="59">
        <f>IF(OR(tblPlant[[#This Row],[Milled_t]]="",tblPlant[[#This Row],[Head_Grade_gpt]]=""),"",tblPlant[[#This Row],[Milled_t]]*tblPlant[[#This Row],[Head_Grade_gpt]]/cfg_TroyOz)</f>
        <v/>
      </c>
      <c r="T177" s="59">
        <f>IF(OR(tblPlant[[#This Row],[Milled_t]]="",tblPlant[[#This Row],[Tails_Grade_gpt]]=""),"",tblPlant[[#This Row],[Milled_t]]*tblPlant[[#This Row],[Tails_Grade_gpt]]/cfg_TroyOz)</f>
        <v/>
      </c>
      <c r="U177" s="59">
        <f>IF(OR(tblPlant[[#This Row],[Milled_t]]="",tblPlant[[#This Row],[Head_Grade_gpt]]="",tblPlant[[#This Row],[Tails_Grade_gpt]]=""),"",tblPlant[[#This Row],[Feed_oz]]-tblPlant[[#This Row],[Tails_oz]])</f>
        <v/>
      </c>
      <c r="V177" s="60">
        <f>IF(AND(ISNUMBER(tblPlant[[#This Row],[Recovered_oz]]),tblPlant[[#This Row],[Feed_oz]]&gt;0),tblPlant[[#This Row],[Recovered_oz]]/tblPlant[[#This Row],[Feed_oz]],"")</f>
        <v/>
      </c>
      <c r="W177" s="59">
        <f>IF(AND(tblPlant[[#This Row],[Milled_t]]&lt;&gt;"",tblPlant[[#This Row],[Mill_Run_h]]&gt;0),tblPlant[[#This Row],[Milled_t]]/tblPlant[[#This Row],[Mill_Run_h]],"")</f>
        <v/>
      </c>
      <c r="X177" s="60">
        <f>IF(AND(tblPlant[[#This Row],[Mill_Run_h]]="",tblPlant[[#This Row],[Mill_Planned_Maint_h]]="",tblPlant[[#This Row],[Mill_Unplanned_Down_h]]=""),"",(cfg_HoursPerDay-tblPlant[[#This Row],[Mill_Planned_Maint_h]]-tblPlant[[#This Row],[Mill_Unplanned_Down_h]])/cfg_HoursPerDay)</f>
        <v/>
      </c>
      <c r="Y17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8">
      <c r="A178" s="54" t="n">
        <v>46195</v>
      </c>
      <c r="B178" s="55" t="n"/>
      <c r="C178" s="55" t="n"/>
      <c r="D178" s="56" t="n"/>
      <c r="E178" s="56" t="n"/>
      <c r="F178" s="55" t="n"/>
      <c r="G178" s="55" t="n"/>
      <c r="H178" s="57" t="n"/>
      <c r="I178" s="57" t="n"/>
      <c r="J178" s="57" t="n"/>
      <c r="K178" s="57" t="n"/>
      <c r="L178" s="55" t="n"/>
      <c r="M178" s="55" t="n"/>
      <c r="N178" s="55" t="n"/>
      <c r="O178" s="55" t="n"/>
      <c r="P178" s="55" t="n"/>
      <c r="Q178" s="55" t="n"/>
      <c r="R178" s="58" t="n"/>
      <c r="S178" s="59">
        <f>IF(OR(tblPlant[[#This Row],[Milled_t]]="",tblPlant[[#This Row],[Head_Grade_gpt]]=""),"",tblPlant[[#This Row],[Milled_t]]*tblPlant[[#This Row],[Head_Grade_gpt]]/cfg_TroyOz)</f>
        <v/>
      </c>
      <c r="T178" s="59">
        <f>IF(OR(tblPlant[[#This Row],[Milled_t]]="",tblPlant[[#This Row],[Tails_Grade_gpt]]=""),"",tblPlant[[#This Row],[Milled_t]]*tblPlant[[#This Row],[Tails_Grade_gpt]]/cfg_TroyOz)</f>
        <v/>
      </c>
      <c r="U178" s="59">
        <f>IF(OR(tblPlant[[#This Row],[Milled_t]]="",tblPlant[[#This Row],[Head_Grade_gpt]]="",tblPlant[[#This Row],[Tails_Grade_gpt]]=""),"",tblPlant[[#This Row],[Feed_oz]]-tblPlant[[#This Row],[Tails_oz]])</f>
        <v/>
      </c>
      <c r="V178" s="60">
        <f>IF(AND(ISNUMBER(tblPlant[[#This Row],[Recovered_oz]]),tblPlant[[#This Row],[Feed_oz]]&gt;0),tblPlant[[#This Row],[Recovered_oz]]/tblPlant[[#This Row],[Feed_oz]],"")</f>
        <v/>
      </c>
      <c r="W178" s="59">
        <f>IF(AND(tblPlant[[#This Row],[Milled_t]]&lt;&gt;"",tblPlant[[#This Row],[Mill_Run_h]]&gt;0),tblPlant[[#This Row],[Milled_t]]/tblPlant[[#This Row],[Mill_Run_h]],"")</f>
        <v/>
      </c>
      <c r="X178" s="60">
        <f>IF(AND(tblPlant[[#This Row],[Mill_Run_h]]="",tblPlant[[#This Row],[Mill_Planned_Maint_h]]="",tblPlant[[#This Row],[Mill_Unplanned_Down_h]]=""),"",(cfg_HoursPerDay-tblPlant[[#This Row],[Mill_Planned_Maint_h]]-tblPlant[[#This Row],[Mill_Unplanned_Down_h]])/cfg_HoursPerDay)</f>
        <v/>
      </c>
      <c r="Y17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79">
      <c r="A179" s="54" t="n">
        <v>46196</v>
      </c>
      <c r="B179" s="55" t="n"/>
      <c r="C179" s="55" t="n"/>
      <c r="D179" s="56" t="n"/>
      <c r="E179" s="56" t="n"/>
      <c r="F179" s="55" t="n"/>
      <c r="G179" s="55" t="n"/>
      <c r="H179" s="57" t="n"/>
      <c r="I179" s="57" t="n"/>
      <c r="J179" s="57" t="n"/>
      <c r="K179" s="57" t="n"/>
      <c r="L179" s="55" t="n"/>
      <c r="M179" s="55" t="n"/>
      <c r="N179" s="55" t="n"/>
      <c r="O179" s="55" t="n"/>
      <c r="P179" s="55" t="n"/>
      <c r="Q179" s="55" t="n"/>
      <c r="R179" s="58" t="n"/>
      <c r="S179" s="59">
        <f>IF(OR(tblPlant[[#This Row],[Milled_t]]="",tblPlant[[#This Row],[Head_Grade_gpt]]=""),"",tblPlant[[#This Row],[Milled_t]]*tblPlant[[#This Row],[Head_Grade_gpt]]/cfg_TroyOz)</f>
        <v/>
      </c>
      <c r="T179" s="59">
        <f>IF(OR(tblPlant[[#This Row],[Milled_t]]="",tblPlant[[#This Row],[Tails_Grade_gpt]]=""),"",tblPlant[[#This Row],[Milled_t]]*tblPlant[[#This Row],[Tails_Grade_gpt]]/cfg_TroyOz)</f>
        <v/>
      </c>
      <c r="U179" s="59">
        <f>IF(OR(tblPlant[[#This Row],[Milled_t]]="",tblPlant[[#This Row],[Head_Grade_gpt]]="",tblPlant[[#This Row],[Tails_Grade_gpt]]=""),"",tblPlant[[#This Row],[Feed_oz]]-tblPlant[[#This Row],[Tails_oz]])</f>
        <v/>
      </c>
      <c r="V179" s="60">
        <f>IF(AND(ISNUMBER(tblPlant[[#This Row],[Recovered_oz]]),tblPlant[[#This Row],[Feed_oz]]&gt;0),tblPlant[[#This Row],[Recovered_oz]]/tblPlant[[#This Row],[Feed_oz]],"")</f>
        <v/>
      </c>
      <c r="W179" s="59">
        <f>IF(AND(tblPlant[[#This Row],[Milled_t]]&lt;&gt;"",tblPlant[[#This Row],[Mill_Run_h]]&gt;0),tblPlant[[#This Row],[Milled_t]]/tblPlant[[#This Row],[Mill_Run_h]],"")</f>
        <v/>
      </c>
      <c r="X179" s="60">
        <f>IF(AND(tblPlant[[#This Row],[Mill_Run_h]]="",tblPlant[[#This Row],[Mill_Planned_Maint_h]]="",tblPlant[[#This Row],[Mill_Unplanned_Down_h]]=""),"",(cfg_HoursPerDay-tblPlant[[#This Row],[Mill_Planned_Maint_h]]-tblPlant[[#This Row],[Mill_Unplanned_Down_h]])/cfg_HoursPerDay)</f>
        <v/>
      </c>
      <c r="Y17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0">
      <c r="A180" s="54" t="n">
        <v>46197</v>
      </c>
      <c r="B180" s="55" t="n"/>
      <c r="C180" s="55" t="n"/>
      <c r="D180" s="56" t="n"/>
      <c r="E180" s="56" t="n"/>
      <c r="F180" s="55" t="n"/>
      <c r="G180" s="55" t="n"/>
      <c r="H180" s="57" t="n"/>
      <c r="I180" s="57" t="n"/>
      <c r="J180" s="57" t="n"/>
      <c r="K180" s="57" t="n"/>
      <c r="L180" s="55" t="n"/>
      <c r="M180" s="55" t="n"/>
      <c r="N180" s="55" t="n"/>
      <c r="O180" s="55" t="n"/>
      <c r="P180" s="55" t="n"/>
      <c r="Q180" s="55" t="n"/>
      <c r="R180" s="58" t="n"/>
      <c r="S180" s="59">
        <f>IF(OR(tblPlant[[#This Row],[Milled_t]]="",tblPlant[[#This Row],[Head_Grade_gpt]]=""),"",tblPlant[[#This Row],[Milled_t]]*tblPlant[[#This Row],[Head_Grade_gpt]]/cfg_TroyOz)</f>
        <v/>
      </c>
      <c r="T180" s="59">
        <f>IF(OR(tblPlant[[#This Row],[Milled_t]]="",tblPlant[[#This Row],[Tails_Grade_gpt]]=""),"",tblPlant[[#This Row],[Milled_t]]*tblPlant[[#This Row],[Tails_Grade_gpt]]/cfg_TroyOz)</f>
        <v/>
      </c>
      <c r="U180" s="59">
        <f>IF(OR(tblPlant[[#This Row],[Milled_t]]="",tblPlant[[#This Row],[Head_Grade_gpt]]="",tblPlant[[#This Row],[Tails_Grade_gpt]]=""),"",tblPlant[[#This Row],[Feed_oz]]-tblPlant[[#This Row],[Tails_oz]])</f>
        <v/>
      </c>
      <c r="V180" s="60">
        <f>IF(AND(ISNUMBER(tblPlant[[#This Row],[Recovered_oz]]),tblPlant[[#This Row],[Feed_oz]]&gt;0),tblPlant[[#This Row],[Recovered_oz]]/tblPlant[[#This Row],[Feed_oz]],"")</f>
        <v/>
      </c>
      <c r="W180" s="59">
        <f>IF(AND(tblPlant[[#This Row],[Milled_t]]&lt;&gt;"",tblPlant[[#This Row],[Mill_Run_h]]&gt;0),tblPlant[[#This Row],[Milled_t]]/tblPlant[[#This Row],[Mill_Run_h]],"")</f>
        <v/>
      </c>
      <c r="X180" s="60">
        <f>IF(AND(tblPlant[[#This Row],[Mill_Run_h]]="",tblPlant[[#This Row],[Mill_Planned_Maint_h]]="",tblPlant[[#This Row],[Mill_Unplanned_Down_h]]=""),"",(cfg_HoursPerDay-tblPlant[[#This Row],[Mill_Planned_Maint_h]]-tblPlant[[#This Row],[Mill_Unplanned_Down_h]])/cfg_HoursPerDay)</f>
        <v/>
      </c>
      <c r="Y18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1">
      <c r="A181" s="54" t="n">
        <v>46198</v>
      </c>
      <c r="B181" s="55" t="n"/>
      <c r="C181" s="55" t="n"/>
      <c r="D181" s="56" t="n"/>
      <c r="E181" s="56" t="n"/>
      <c r="F181" s="55" t="n"/>
      <c r="G181" s="55" t="n"/>
      <c r="H181" s="57" t="n"/>
      <c r="I181" s="57" t="n"/>
      <c r="J181" s="57" t="n"/>
      <c r="K181" s="57" t="n"/>
      <c r="L181" s="55" t="n"/>
      <c r="M181" s="55" t="n"/>
      <c r="N181" s="55" t="n"/>
      <c r="O181" s="55" t="n"/>
      <c r="P181" s="55" t="n"/>
      <c r="Q181" s="55" t="n"/>
      <c r="R181" s="58" t="n"/>
      <c r="S181" s="59">
        <f>IF(OR(tblPlant[[#This Row],[Milled_t]]="",tblPlant[[#This Row],[Head_Grade_gpt]]=""),"",tblPlant[[#This Row],[Milled_t]]*tblPlant[[#This Row],[Head_Grade_gpt]]/cfg_TroyOz)</f>
        <v/>
      </c>
      <c r="T181" s="59">
        <f>IF(OR(tblPlant[[#This Row],[Milled_t]]="",tblPlant[[#This Row],[Tails_Grade_gpt]]=""),"",tblPlant[[#This Row],[Milled_t]]*tblPlant[[#This Row],[Tails_Grade_gpt]]/cfg_TroyOz)</f>
        <v/>
      </c>
      <c r="U181" s="59">
        <f>IF(OR(tblPlant[[#This Row],[Milled_t]]="",tblPlant[[#This Row],[Head_Grade_gpt]]="",tblPlant[[#This Row],[Tails_Grade_gpt]]=""),"",tblPlant[[#This Row],[Feed_oz]]-tblPlant[[#This Row],[Tails_oz]])</f>
        <v/>
      </c>
      <c r="V181" s="60">
        <f>IF(AND(ISNUMBER(tblPlant[[#This Row],[Recovered_oz]]),tblPlant[[#This Row],[Feed_oz]]&gt;0),tblPlant[[#This Row],[Recovered_oz]]/tblPlant[[#This Row],[Feed_oz]],"")</f>
        <v/>
      </c>
      <c r="W181" s="59">
        <f>IF(AND(tblPlant[[#This Row],[Milled_t]]&lt;&gt;"",tblPlant[[#This Row],[Mill_Run_h]]&gt;0),tblPlant[[#This Row],[Milled_t]]/tblPlant[[#This Row],[Mill_Run_h]],"")</f>
        <v/>
      </c>
      <c r="X181" s="60">
        <f>IF(AND(tblPlant[[#This Row],[Mill_Run_h]]="",tblPlant[[#This Row],[Mill_Planned_Maint_h]]="",tblPlant[[#This Row],[Mill_Unplanned_Down_h]]=""),"",(cfg_HoursPerDay-tblPlant[[#This Row],[Mill_Planned_Maint_h]]-tblPlant[[#This Row],[Mill_Unplanned_Down_h]])/cfg_HoursPerDay)</f>
        <v/>
      </c>
      <c r="Y18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2">
      <c r="A182" s="54" t="n">
        <v>46199</v>
      </c>
      <c r="B182" s="55" t="n"/>
      <c r="C182" s="55" t="n"/>
      <c r="D182" s="56" t="n"/>
      <c r="E182" s="56" t="n"/>
      <c r="F182" s="55" t="n"/>
      <c r="G182" s="55" t="n"/>
      <c r="H182" s="57" t="n"/>
      <c r="I182" s="57" t="n"/>
      <c r="J182" s="57" t="n"/>
      <c r="K182" s="57" t="n"/>
      <c r="L182" s="55" t="n"/>
      <c r="M182" s="55" t="n"/>
      <c r="N182" s="55" t="n"/>
      <c r="O182" s="55" t="n"/>
      <c r="P182" s="55" t="n"/>
      <c r="Q182" s="55" t="n"/>
      <c r="R182" s="58" t="n"/>
      <c r="S182" s="59">
        <f>IF(OR(tblPlant[[#This Row],[Milled_t]]="",tblPlant[[#This Row],[Head_Grade_gpt]]=""),"",tblPlant[[#This Row],[Milled_t]]*tblPlant[[#This Row],[Head_Grade_gpt]]/cfg_TroyOz)</f>
        <v/>
      </c>
      <c r="T182" s="59">
        <f>IF(OR(tblPlant[[#This Row],[Milled_t]]="",tblPlant[[#This Row],[Tails_Grade_gpt]]=""),"",tblPlant[[#This Row],[Milled_t]]*tblPlant[[#This Row],[Tails_Grade_gpt]]/cfg_TroyOz)</f>
        <v/>
      </c>
      <c r="U182" s="59">
        <f>IF(OR(tblPlant[[#This Row],[Milled_t]]="",tblPlant[[#This Row],[Head_Grade_gpt]]="",tblPlant[[#This Row],[Tails_Grade_gpt]]=""),"",tblPlant[[#This Row],[Feed_oz]]-tblPlant[[#This Row],[Tails_oz]])</f>
        <v/>
      </c>
      <c r="V182" s="60">
        <f>IF(AND(ISNUMBER(tblPlant[[#This Row],[Recovered_oz]]),tblPlant[[#This Row],[Feed_oz]]&gt;0),tblPlant[[#This Row],[Recovered_oz]]/tblPlant[[#This Row],[Feed_oz]],"")</f>
        <v/>
      </c>
      <c r="W182" s="59">
        <f>IF(AND(tblPlant[[#This Row],[Milled_t]]&lt;&gt;"",tblPlant[[#This Row],[Mill_Run_h]]&gt;0),tblPlant[[#This Row],[Milled_t]]/tblPlant[[#This Row],[Mill_Run_h]],"")</f>
        <v/>
      </c>
      <c r="X182" s="60">
        <f>IF(AND(tblPlant[[#This Row],[Mill_Run_h]]="",tblPlant[[#This Row],[Mill_Planned_Maint_h]]="",tblPlant[[#This Row],[Mill_Unplanned_Down_h]]=""),"",(cfg_HoursPerDay-tblPlant[[#This Row],[Mill_Planned_Maint_h]]-tblPlant[[#This Row],[Mill_Unplanned_Down_h]])/cfg_HoursPerDay)</f>
        <v/>
      </c>
      <c r="Y18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3">
      <c r="A183" s="54" t="n">
        <v>46200</v>
      </c>
      <c r="B183" s="55" t="n"/>
      <c r="C183" s="55" t="n"/>
      <c r="D183" s="56" t="n"/>
      <c r="E183" s="56" t="n"/>
      <c r="F183" s="55" t="n"/>
      <c r="G183" s="55" t="n"/>
      <c r="H183" s="57" t="n"/>
      <c r="I183" s="57" t="n"/>
      <c r="J183" s="57" t="n"/>
      <c r="K183" s="57" t="n"/>
      <c r="L183" s="55" t="n"/>
      <c r="M183" s="55" t="n"/>
      <c r="N183" s="55" t="n"/>
      <c r="O183" s="55" t="n"/>
      <c r="P183" s="55" t="n"/>
      <c r="Q183" s="55" t="n"/>
      <c r="R183" s="58" t="n"/>
      <c r="S183" s="59">
        <f>IF(OR(tblPlant[[#This Row],[Milled_t]]="",tblPlant[[#This Row],[Head_Grade_gpt]]=""),"",tblPlant[[#This Row],[Milled_t]]*tblPlant[[#This Row],[Head_Grade_gpt]]/cfg_TroyOz)</f>
        <v/>
      </c>
      <c r="T183" s="59">
        <f>IF(OR(tblPlant[[#This Row],[Milled_t]]="",tblPlant[[#This Row],[Tails_Grade_gpt]]=""),"",tblPlant[[#This Row],[Milled_t]]*tblPlant[[#This Row],[Tails_Grade_gpt]]/cfg_TroyOz)</f>
        <v/>
      </c>
      <c r="U183" s="59">
        <f>IF(OR(tblPlant[[#This Row],[Milled_t]]="",tblPlant[[#This Row],[Head_Grade_gpt]]="",tblPlant[[#This Row],[Tails_Grade_gpt]]=""),"",tblPlant[[#This Row],[Feed_oz]]-tblPlant[[#This Row],[Tails_oz]])</f>
        <v/>
      </c>
      <c r="V183" s="60">
        <f>IF(AND(ISNUMBER(tblPlant[[#This Row],[Recovered_oz]]),tblPlant[[#This Row],[Feed_oz]]&gt;0),tblPlant[[#This Row],[Recovered_oz]]/tblPlant[[#This Row],[Feed_oz]],"")</f>
        <v/>
      </c>
      <c r="W183" s="59">
        <f>IF(AND(tblPlant[[#This Row],[Milled_t]]&lt;&gt;"",tblPlant[[#This Row],[Mill_Run_h]]&gt;0),tblPlant[[#This Row],[Milled_t]]/tblPlant[[#This Row],[Mill_Run_h]],"")</f>
        <v/>
      </c>
      <c r="X183" s="60">
        <f>IF(AND(tblPlant[[#This Row],[Mill_Run_h]]="",tblPlant[[#This Row],[Mill_Planned_Maint_h]]="",tblPlant[[#This Row],[Mill_Unplanned_Down_h]]=""),"",(cfg_HoursPerDay-tblPlant[[#This Row],[Mill_Planned_Maint_h]]-tblPlant[[#This Row],[Mill_Unplanned_Down_h]])/cfg_HoursPerDay)</f>
        <v/>
      </c>
      <c r="Y18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4">
      <c r="A184" s="54" t="n">
        <v>46201</v>
      </c>
      <c r="B184" s="55" t="n"/>
      <c r="C184" s="55" t="n"/>
      <c r="D184" s="56" t="n"/>
      <c r="E184" s="56" t="n"/>
      <c r="F184" s="55" t="n"/>
      <c r="G184" s="55" t="n"/>
      <c r="H184" s="57" t="n"/>
      <c r="I184" s="57" t="n"/>
      <c r="J184" s="57" t="n"/>
      <c r="K184" s="57" t="n"/>
      <c r="L184" s="55" t="n"/>
      <c r="M184" s="55" t="n"/>
      <c r="N184" s="55" t="n"/>
      <c r="O184" s="55" t="n"/>
      <c r="P184" s="55" t="n"/>
      <c r="Q184" s="55" t="n"/>
      <c r="R184" s="58" t="n"/>
      <c r="S184" s="59">
        <f>IF(OR(tblPlant[[#This Row],[Milled_t]]="",tblPlant[[#This Row],[Head_Grade_gpt]]=""),"",tblPlant[[#This Row],[Milled_t]]*tblPlant[[#This Row],[Head_Grade_gpt]]/cfg_TroyOz)</f>
        <v/>
      </c>
      <c r="T184" s="59">
        <f>IF(OR(tblPlant[[#This Row],[Milled_t]]="",tblPlant[[#This Row],[Tails_Grade_gpt]]=""),"",tblPlant[[#This Row],[Milled_t]]*tblPlant[[#This Row],[Tails_Grade_gpt]]/cfg_TroyOz)</f>
        <v/>
      </c>
      <c r="U184" s="59">
        <f>IF(OR(tblPlant[[#This Row],[Milled_t]]="",tblPlant[[#This Row],[Head_Grade_gpt]]="",tblPlant[[#This Row],[Tails_Grade_gpt]]=""),"",tblPlant[[#This Row],[Feed_oz]]-tblPlant[[#This Row],[Tails_oz]])</f>
        <v/>
      </c>
      <c r="V184" s="60">
        <f>IF(AND(ISNUMBER(tblPlant[[#This Row],[Recovered_oz]]),tblPlant[[#This Row],[Feed_oz]]&gt;0),tblPlant[[#This Row],[Recovered_oz]]/tblPlant[[#This Row],[Feed_oz]],"")</f>
        <v/>
      </c>
      <c r="W184" s="59">
        <f>IF(AND(tblPlant[[#This Row],[Milled_t]]&lt;&gt;"",tblPlant[[#This Row],[Mill_Run_h]]&gt;0),tblPlant[[#This Row],[Milled_t]]/tblPlant[[#This Row],[Mill_Run_h]],"")</f>
        <v/>
      </c>
      <c r="X184" s="60">
        <f>IF(AND(tblPlant[[#This Row],[Mill_Run_h]]="",tblPlant[[#This Row],[Mill_Planned_Maint_h]]="",tblPlant[[#This Row],[Mill_Unplanned_Down_h]]=""),"",(cfg_HoursPerDay-tblPlant[[#This Row],[Mill_Planned_Maint_h]]-tblPlant[[#This Row],[Mill_Unplanned_Down_h]])/cfg_HoursPerDay)</f>
        <v/>
      </c>
      <c r="Y18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5">
      <c r="A185" s="54" t="n">
        <v>46202</v>
      </c>
      <c r="B185" s="55" t="n"/>
      <c r="C185" s="55" t="n"/>
      <c r="D185" s="56" t="n"/>
      <c r="E185" s="56" t="n"/>
      <c r="F185" s="55" t="n"/>
      <c r="G185" s="55" t="n"/>
      <c r="H185" s="57" t="n"/>
      <c r="I185" s="57" t="n"/>
      <c r="J185" s="57" t="n"/>
      <c r="K185" s="57" t="n"/>
      <c r="L185" s="55" t="n"/>
      <c r="M185" s="55" t="n"/>
      <c r="N185" s="55" t="n"/>
      <c r="O185" s="55" t="n"/>
      <c r="P185" s="55" t="n"/>
      <c r="Q185" s="55" t="n"/>
      <c r="R185" s="58" t="n"/>
      <c r="S185" s="59">
        <f>IF(OR(tblPlant[[#This Row],[Milled_t]]="",tblPlant[[#This Row],[Head_Grade_gpt]]=""),"",tblPlant[[#This Row],[Milled_t]]*tblPlant[[#This Row],[Head_Grade_gpt]]/cfg_TroyOz)</f>
        <v/>
      </c>
      <c r="T185" s="59">
        <f>IF(OR(tblPlant[[#This Row],[Milled_t]]="",tblPlant[[#This Row],[Tails_Grade_gpt]]=""),"",tblPlant[[#This Row],[Milled_t]]*tblPlant[[#This Row],[Tails_Grade_gpt]]/cfg_TroyOz)</f>
        <v/>
      </c>
      <c r="U185" s="59">
        <f>IF(OR(tblPlant[[#This Row],[Milled_t]]="",tblPlant[[#This Row],[Head_Grade_gpt]]="",tblPlant[[#This Row],[Tails_Grade_gpt]]=""),"",tblPlant[[#This Row],[Feed_oz]]-tblPlant[[#This Row],[Tails_oz]])</f>
        <v/>
      </c>
      <c r="V185" s="60">
        <f>IF(AND(ISNUMBER(tblPlant[[#This Row],[Recovered_oz]]),tblPlant[[#This Row],[Feed_oz]]&gt;0),tblPlant[[#This Row],[Recovered_oz]]/tblPlant[[#This Row],[Feed_oz]],"")</f>
        <v/>
      </c>
      <c r="W185" s="59">
        <f>IF(AND(tblPlant[[#This Row],[Milled_t]]&lt;&gt;"",tblPlant[[#This Row],[Mill_Run_h]]&gt;0),tblPlant[[#This Row],[Milled_t]]/tblPlant[[#This Row],[Mill_Run_h]],"")</f>
        <v/>
      </c>
      <c r="X185" s="60">
        <f>IF(AND(tblPlant[[#This Row],[Mill_Run_h]]="",tblPlant[[#This Row],[Mill_Planned_Maint_h]]="",tblPlant[[#This Row],[Mill_Unplanned_Down_h]]=""),"",(cfg_HoursPerDay-tblPlant[[#This Row],[Mill_Planned_Maint_h]]-tblPlant[[#This Row],[Mill_Unplanned_Down_h]])/cfg_HoursPerDay)</f>
        <v/>
      </c>
      <c r="Y18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6">
      <c r="A186" s="54" t="n">
        <v>46203</v>
      </c>
      <c r="B186" s="55" t="n"/>
      <c r="C186" s="55" t="n"/>
      <c r="D186" s="56" t="n"/>
      <c r="E186" s="56" t="n"/>
      <c r="F186" s="55" t="n"/>
      <c r="G186" s="55" t="n"/>
      <c r="H186" s="57" t="n"/>
      <c r="I186" s="57" t="n"/>
      <c r="J186" s="57" t="n"/>
      <c r="K186" s="57" t="n"/>
      <c r="L186" s="55" t="n"/>
      <c r="M186" s="55" t="n"/>
      <c r="N186" s="55" t="n"/>
      <c r="O186" s="55" t="n"/>
      <c r="P186" s="55" t="n"/>
      <c r="Q186" s="55" t="n"/>
      <c r="R186" s="58" t="n"/>
      <c r="S186" s="59">
        <f>IF(OR(tblPlant[[#This Row],[Milled_t]]="",tblPlant[[#This Row],[Head_Grade_gpt]]=""),"",tblPlant[[#This Row],[Milled_t]]*tblPlant[[#This Row],[Head_Grade_gpt]]/cfg_TroyOz)</f>
        <v/>
      </c>
      <c r="T186" s="59">
        <f>IF(OR(tblPlant[[#This Row],[Milled_t]]="",tblPlant[[#This Row],[Tails_Grade_gpt]]=""),"",tblPlant[[#This Row],[Milled_t]]*tblPlant[[#This Row],[Tails_Grade_gpt]]/cfg_TroyOz)</f>
        <v/>
      </c>
      <c r="U186" s="59">
        <f>IF(OR(tblPlant[[#This Row],[Milled_t]]="",tblPlant[[#This Row],[Head_Grade_gpt]]="",tblPlant[[#This Row],[Tails_Grade_gpt]]=""),"",tblPlant[[#This Row],[Feed_oz]]-tblPlant[[#This Row],[Tails_oz]])</f>
        <v/>
      </c>
      <c r="V186" s="60">
        <f>IF(AND(ISNUMBER(tblPlant[[#This Row],[Recovered_oz]]),tblPlant[[#This Row],[Feed_oz]]&gt;0),tblPlant[[#This Row],[Recovered_oz]]/tblPlant[[#This Row],[Feed_oz]],"")</f>
        <v/>
      </c>
      <c r="W186" s="59">
        <f>IF(AND(tblPlant[[#This Row],[Milled_t]]&lt;&gt;"",tblPlant[[#This Row],[Mill_Run_h]]&gt;0),tblPlant[[#This Row],[Milled_t]]/tblPlant[[#This Row],[Mill_Run_h]],"")</f>
        <v/>
      </c>
      <c r="X186" s="60">
        <f>IF(AND(tblPlant[[#This Row],[Mill_Run_h]]="",tblPlant[[#This Row],[Mill_Planned_Maint_h]]="",tblPlant[[#This Row],[Mill_Unplanned_Down_h]]=""),"",(cfg_HoursPerDay-tblPlant[[#This Row],[Mill_Planned_Maint_h]]-tblPlant[[#This Row],[Mill_Unplanned_Down_h]])/cfg_HoursPerDay)</f>
        <v/>
      </c>
      <c r="Y18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7">
      <c r="A187" s="54" t="n">
        <v>46204</v>
      </c>
      <c r="B187" s="55" t="n"/>
      <c r="C187" s="55" t="n"/>
      <c r="D187" s="56" t="n"/>
      <c r="E187" s="56" t="n"/>
      <c r="F187" s="55" t="n"/>
      <c r="G187" s="55" t="n"/>
      <c r="H187" s="57" t="n"/>
      <c r="I187" s="57" t="n"/>
      <c r="J187" s="57" t="n"/>
      <c r="K187" s="57" t="n"/>
      <c r="L187" s="55" t="n"/>
      <c r="M187" s="55" t="n"/>
      <c r="N187" s="55" t="n"/>
      <c r="O187" s="55" t="n"/>
      <c r="P187" s="55" t="n"/>
      <c r="Q187" s="55" t="n"/>
      <c r="R187" s="58" t="n"/>
      <c r="S187" s="59">
        <f>IF(OR(tblPlant[[#This Row],[Milled_t]]="",tblPlant[[#This Row],[Head_Grade_gpt]]=""),"",tblPlant[[#This Row],[Milled_t]]*tblPlant[[#This Row],[Head_Grade_gpt]]/cfg_TroyOz)</f>
        <v/>
      </c>
      <c r="T187" s="59">
        <f>IF(OR(tblPlant[[#This Row],[Milled_t]]="",tblPlant[[#This Row],[Tails_Grade_gpt]]=""),"",tblPlant[[#This Row],[Milled_t]]*tblPlant[[#This Row],[Tails_Grade_gpt]]/cfg_TroyOz)</f>
        <v/>
      </c>
      <c r="U187" s="59">
        <f>IF(OR(tblPlant[[#This Row],[Milled_t]]="",tblPlant[[#This Row],[Head_Grade_gpt]]="",tblPlant[[#This Row],[Tails_Grade_gpt]]=""),"",tblPlant[[#This Row],[Feed_oz]]-tblPlant[[#This Row],[Tails_oz]])</f>
        <v/>
      </c>
      <c r="V187" s="60">
        <f>IF(AND(ISNUMBER(tblPlant[[#This Row],[Recovered_oz]]),tblPlant[[#This Row],[Feed_oz]]&gt;0),tblPlant[[#This Row],[Recovered_oz]]/tblPlant[[#This Row],[Feed_oz]],"")</f>
        <v/>
      </c>
      <c r="W187" s="59">
        <f>IF(AND(tblPlant[[#This Row],[Milled_t]]&lt;&gt;"",tblPlant[[#This Row],[Mill_Run_h]]&gt;0),tblPlant[[#This Row],[Milled_t]]/tblPlant[[#This Row],[Mill_Run_h]],"")</f>
        <v/>
      </c>
      <c r="X187" s="60">
        <f>IF(AND(tblPlant[[#This Row],[Mill_Run_h]]="",tblPlant[[#This Row],[Mill_Planned_Maint_h]]="",tblPlant[[#This Row],[Mill_Unplanned_Down_h]]=""),"",(cfg_HoursPerDay-tblPlant[[#This Row],[Mill_Planned_Maint_h]]-tblPlant[[#This Row],[Mill_Unplanned_Down_h]])/cfg_HoursPerDay)</f>
        <v/>
      </c>
      <c r="Y18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8">
      <c r="A188" s="54" t="n">
        <v>46205</v>
      </c>
      <c r="B188" s="55" t="n"/>
      <c r="C188" s="55" t="n"/>
      <c r="D188" s="56" t="n"/>
      <c r="E188" s="56" t="n"/>
      <c r="F188" s="55" t="n"/>
      <c r="G188" s="55" t="n"/>
      <c r="H188" s="57" t="n"/>
      <c r="I188" s="57" t="n"/>
      <c r="J188" s="57" t="n"/>
      <c r="K188" s="57" t="n"/>
      <c r="L188" s="55" t="n"/>
      <c r="M188" s="55" t="n"/>
      <c r="N188" s="55" t="n"/>
      <c r="O188" s="55" t="n"/>
      <c r="P188" s="55" t="n"/>
      <c r="Q188" s="55" t="n"/>
      <c r="R188" s="58" t="n"/>
      <c r="S188" s="59">
        <f>IF(OR(tblPlant[[#This Row],[Milled_t]]="",tblPlant[[#This Row],[Head_Grade_gpt]]=""),"",tblPlant[[#This Row],[Milled_t]]*tblPlant[[#This Row],[Head_Grade_gpt]]/cfg_TroyOz)</f>
        <v/>
      </c>
      <c r="T188" s="59">
        <f>IF(OR(tblPlant[[#This Row],[Milled_t]]="",tblPlant[[#This Row],[Tails_Grade_gpt]]=""),"",tblPlant[[#This Row],[Milled_t]]*tblPlant[[#This Row],[Tails_Grade_gpt]]/cfg_TroyOz)</f>
        <v/>
      </c>
      <c r="U188" s="59">
        <f>IF(OR(tblPlant[[#This Row],[Milled_t]]="",tblPlant[[#This Row],[Head_Grade_gpt]]="",tblPlant[[#This Row],[Tails_Grade_gpt]]=""),"",tblPlant[[#This Row],[Feed_oz]]-tblPlant[[#This Row],[Tails_oz]])</f>
        <v/>
      </c>
      <c r="V188" s="60">
        <f>IF(AND(ISNUMBER(tblPlant[[#This Row],[Recovered_oz]]),tblPlant[[#This Row],[Feed_oz]]&gt;0),tblPlant[[#This Row],[Recovered_oz]]/tblPlant[[#This Row],[Feed_oz]],"")</f>
        <v/>
      </c>
      <c r="W188" s="59">
        <f>IF(AND(tblPlant[[#This Row],[Milled_t]]&lt;&gt;"",tblPlant[[#This Row],[Mill_Run_h]]&gt;0),tblPlant[[#This Row],[Milled_t]]/tblPlant[[#This Row],[Mill_Run_h]],"")</f>
        <v/>
      </c>
      <c r="X188" s="60">
        <f>IF(AND(tblPlant[[#This Row],[Mill_Run_h]]="",tblPlant[[#This Row],[Mill_Planned_Maint_h]]="",tblPlant[[#This Row],[Mill_Unplanned_Down_h]]=""),"",(cfg_HoursPerDay-tblPlant[[#This Row],[Mill_Planned_Maint_h]]-tblPlant[[#This Row],[Mill_Unplanned_Down_h]])/cfg_HoursPerDay)</f>
        <v/>
      </c>
      <c r="Y18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89">
      <c r="A189" s="54" t="n">
        <v>46206</v>
      </c>
      <c r="B189" s="55" t="n"/>
      <c r="C189" s="55" t="n"/>
      <c r="D189" s="56" t="n"/>
      <c r="E189" s="56" t="n"/>
      <c r="F189" s="55" t="n"/>
      <c r="G189" s="55" t="n"/>
      <c r="H189" s="57" t="n"/>
      <c r="I189" s="57" t="n"/>
      <c r="J189" s="57" t="n"/>
      <c r="K189" s="57" t="n"/>
      <c r="L189" s="55" t="n"/>
      <c r="M189" s="55" t="n"/>
      <c r="N189" s="55" t="n"/>
      <c r="O189" s="55" t="n"/>
      <c r="P189" s="55" t="n"/>
      <c r="Q189" s="55" t="n"/>
      <c r="R189" s="58" t="n"/>
      <c r="S189" s="59">
        <f>IF(OR(tblPlant[[#This Row],[Milled_t]]="",tblPlant[[#This Row],[Head_Grade_gpt]]=""),"",tblPlant[[#This Row],[Milled_t]]*tblPlant[[#This Row],[Head_Grade_gpt]]/cfg_TroyOz)</f>
        <v/>
      </c>
      <c r="T189" s="59">
        <f>IF(OR(tblPlant[[#This Row],[Milled_t]]="",tblPlant[[#This Row],[Tails_Grade_gpt]]=""),"",tblPlant[[#This Row],[Milled_t]]*tblPlant[[#This Row],[Tails_Grade_gpt]]/cfg_TroyOz)</f>
        <v/>
      </c>
      <c r="U189" s="59">
        <f>IF(OR(tblPlant[[#This Row],[Milled_t]]="",tblPlant[[#This Row],[Head_Grade_gpt]]="",tblPlant[[#This Row],[Tails_Grade_gpt]]=""),"",tblPlant[[#This Row],[Feed_oz]]-tblPlant[[#This Row],[Tails_oz]])</f>
        <v/>
      </c>
      <c r="V189" s="60">
        <f>IF(AND(ISNUMBER(tblPlant[[#This Row],[Recovered_oz]]),tblPlant[[#This Row],[Feed_oz]]&gt;0),tblPlant[[#This Row],[Recovered_oz]]/tblPlant[[#This Row],[Feed_oz]],"")</f>
        <v/>
      </c>
      <c r="W189" s="59">
        <f>IF(AND(tblPlant[[#This Row],[Milled_t]]&lt;&gt;"",tblPlant[[#This Row],[Mill_Run_h]]&gt;0),tblPlant[[#This Row],[Milled_t]]/tblPlant[[#This Row],[Mill_Run_h]],"")</f>
        <v/>
      </c>
      <c r="X189" s="60">
        <f>IF(AND(tblPlant[[#This Row],[Mill_Run_h]]="",tblPlant[[#This Row],[Mill_Planned_Maint_h]]="",tblPlant[[#This Row],[Mill_Unplanned_Down_h]]=""),"",(cfg_HoursPerDay-tblPlant[[#This Row],[Mill_Planned_Maint_h]]-tblPlant[[#This Row],[Mill_Unplanned_Down_h]])/cfg_HoursPerDay)</f>
        <v/>
      </c>
      <c r="Y18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0">
      <c r="A190" s="54" t="n">
        <v>46207</v>
      </c>
      <c r="B190" s="55" t="n"/>
      <c r="C190" s="55" t="n"/>
      <c r="D190" s="56" t="n"/>
      <c r="E190" s="56" t="n"/>
      <c r="F190" s="55" t="n"/>
      <c r="G190" s="55" t="n"/>
      <c r="H190" s="57" t="n"/>
      <c r="I190" s="57" t="n"/>
      <c r="J190" s="57" t="n"/>
      <c r="K190" s="57" t="n"/>
      <c r="L190" s="55" t="n"/>
      <c r="M190" s="55" t="n"/>
      <c r="N190" s="55" t="n"/>
      <c r="O190" s="55" t="n"/>
      <c r="P190" s="55" t="n"/>
      <c r="Q190" s="55" t="n"/>
      <c r="R190" s="58" t="n"/>
      <c r="S190" s="59">
        <f>IF(OR(tblPlant[[#This Row],[Milled_t]]="",tblPlant[[#This Row],[Head_Grade_gpt]]=""),"",tblPlant[[#This Row],[Milled_t]]*tblPlant[[#This Row],[Head_Grade_gpt]]/cfg_TroyOz)</f>
        <v/>
      </c>
      <c r="T190" s="59">
        <f>IF(OR(tblPlant[[#This Row],[Milled_t]]="",tblPlant[[#This Row],[Tails_Grade_gpt]]=""),"",tblPlant[[#This Row],[Milled_t]]*tblPlant[[#This Row],[Tails_Grade_gpt]]/cfg_TroyOz)</f>
        <v/>
      </c>
      <c r="U190" s="59">
        <f>IF(OR(tblPlant[[#This Row],[Milled_t]]="",tblPlant[[#This Row],[Head_Grade_gpt]]="",tblPlant[[#This Row],[Tails_Grade_gpt]]=""),"",tblPlant[[#This Row],[Feed_oz]]-tblPlant[[#This Row],[Tails_oz]])</f>
        <v/>
      </c>
      <c r="V190" s="60">
        <f>IF(AND(ISNUMBER(tblPlant[[#This Row],[Recovered_oz]]),tblPlant[[#This Row],[Feed_oz]]&gt;0),tblPlant[[#This Row],[Recovered_oz]]/tblPlant[[#This Row],[Feed_oz]],"")</f>
        <v/>
      </c>
      <c r="W190" s="59">
        <f>IF(AND(tblPlant[[#This Row],[Milled_t]]&lt;&gt;"",tblPlant[[#This Row],[Mill_Run_h]]&gt;0),tblPlant[[#This Row],[Milled_t]]/tblPlant[[#This Row],[Mill_Run_h]],"")</f>
        <v/>
      </c>
      <c r="X190" s="60">
        <f>IF(AND(tblPlant[[#This Row],[Mill_Run_h]]="",tblPlant[[#This Row],[Mill_Planned_Maint_h]]="",tblPlant[[#This Row],[Mill_Unplanned_Down_h]]=""),"",(cfg_HoursPerDay-tblPlant[[#This Row],[Mill_Planned_Maint_h]]-tblPlant[[#This Row],[Mill_Unplanned_Down_h]])/cfg_HoursPerDay)</f>
        <v/>
      </c>
      <c r="Y19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1">
      <c r="A191" s="54" t="n">
        <v>46208</v>
      </c>
      <c r="B191" s="55" t="n"/>
      <c r="C191" s="55" t="n"/>
      <c r="D191" s="56" t="n"/>
      <c r="E191" s="56" t="n"/>
      <c r="F191" s="55" t="n"/>
      <c r="G191" s="55" t="n"/>
      <c r="H191" s="57" t="n"/>
      <c r="I191" s="57" t="n"/>
      <c r="J191" s="57" t="n"/>
      <c r="K191" s="57" t="n"/>
      <c r="L191" s="55" t="n"/>
      <c r="M191" s="55" t="n"/>
      <c r="N191" s="55" t="n"/>
      <c r="O191" s="55" t="n"/>
      <c r="P191" s="55" t="n"/>
      <c r="Q191" s="55" t="n"/>
      <c r="R191" s="58" t="n"/>
      <c r="S191" s="59">
        <f>IF(OR(tblPlant[[#This Row],[Milled_t]]="",tblPlant[[#This Row],[Head_Grade_gpt]]=""),"",tblPlant[[#This Row],[Milled_t]]*tblPlant[[#This Row],[Head_Grade_gpt]]/cfg_TroyOz)</f>
        <v/>
      </c>
      <c r="T191" s="59">
        <f>IF(OR(tblPlant[[#This Row],[Milled_t]]="",tblPlant[[#This Row],[Tails_Grade_gpt]]=""),"",tblPlant[[#This Row],[Milled_t]]*tblPlant[[#This Row],[Tails_Grade_gpt]]/cfg_TroyOz)</f>
        <v/>
      </c>
      <c r="U191" s="59">
        <f>IF(OR(tblPlant[[#This Row],[Milled_t]]="",tblPlant[[#This Row],[Head_Grade_gpt]]="",tblPlant[[#This Row],[Tails_Grade_gpt]]=""),"",tblPlant[[#This Row],[Feed_oz]]-tblPlant[[#This Row],[Tails_oz]])</f>
        <v/>
      </c>
      <c r="V191" s="60">
        <f>IF(AND(ISNUMBER(tblPlant[[#This Row],[Recovered_oz]]),tblPlant[[#This Row],[Feed_oz]]&gt;0),tblPlant[[#This Row],[Recovered_oz]]/tblPlant[[#This Row],[Feed_oz]],"")</f>
        <v/>
      </c>
      <c r="W191" s="59">
        <f>IF(AND(tblPlant[[#This Row],[Milled_t]]&lt;&gt;"",tblPlant[[#This Row],[Mill_Run_h]]&gt;0),tblPlant[[#This Row],[Milled_t]]/tblPlant[[#This Row],[Mill_Run_h]],"")</f>
        <v/>
      </c>
      <c r="X191" s="60">
        <f>IF(AND(tblPlant[[#This Row],[Mill_Run_h]]="",tblPlant[[#This Row],[Mill_Planned_Maint_h]]="",tblPlant[[#This Row],[Mill_Unplanned_Down_h]]=""),"",(cfg_HoursPerDay-tblPlant[[#This Row],[Mill_Planned_Maint_h]]-tblPlant[[#This Row],[Mill_Unplanned_Down_h]])/cfg_HoursPerDay)</f>
        <v/>
      </c>
      <c r="Y19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2">
      <c r="A192" s="54" t="n">
        <v>46209</v>
      </c>
      <c r="B192" s="55" t="n"/>
      <c r="C192" s="55" t="n"/>
      <c r="D192" s="56" t="n"/>
      <c r="E192" s="56" t="n"/>
      <c r="F192" s="55" t="n"/>
      <c r="G192" s="55" t="n"/>
      <c r="H192" s="57" t="n"/>
      <c r="I192" s="57" t="n"/>
      <c r="J192" s="57" t="n"/>
      <c r="K192" s="57" t="n"/>
      <c r="L192" s="55" t="n"/>
      <c r="M192" s="55" t="n"/>
      <c r="N192" s="55" t="n"/>
      <c r="O192" s="55" t="n"/>
      <c r="P192" s="55" t="n"/>
      <c r="Q192" s="55" t="n"/>
      <c r="R192" s="58" t="n"/>
      <c r="S192" s="59">
        <f>IF(OR(tblPlant[[#This Row],[Milled_t]]="",tblPlant[[#This Row],[Head_Grade_gpt]]=""),"",tblPlant[[#This Row],[Milled_t]]*tblPlant[[#This Row],[Head_Grade_gpt]]/cfg_TroyOz)</f>
        <v/>
      </c>
      <c r="T192" s="59">
        <f>IF(OR(tblPlant[[#This Row],[Milled_t]]="",tblPlant[[#This Row],[Tails_Grade_gpt]]=""),"",tblPlant[[#This Row],[Milled_t]]*tblPlant[[#This Row],[Tails_Grade_gpt]]/cfg_TroyOz)</f>
        <v/>
      </c>
      <c r="U192" s="59">
        <f>IF(OR(tblPlant[[#This Row],[Milled_t]]="",tblPlant[[#This Row],[Head_Grade_gpt]]="",tblPlant[[#This Row],[Tails_Grade_gpt]]=""),"",tblPlant[[#This Row],[Feed_oz]]-tblPlant[[#This Row],[Tails_oz]])</f>
        <v/>
      </c>
      <c r="V192" s="60">
        <f>IF(AND(ISNUMBER(tblPlant[[#This Row],[Recovered_oz]]),tblPlant[[#This Row],[Feed_oz]]&gt;0),tblPlant[[#This Row],[Recovered_oz]]/tblPlant[[#This Row],[Feed_oz]],"")</f>
        <v/>
      </c>
      <c r="W192" s="59">
        <f>IF(AND(tblPlant[[#This Row],[Milled_t]]&lt;&gt;"",tblPlant[[#This Row],[Mill_Run_h]]&gt;0),tblPlant[[#This Row],[Milled_t]]/tblPlant[[#This Row],[Mill_Run_h]],"")</f>
        <v/>
      </c>
      <c r="X192" s="60">
        <f>IF(AND(tblPlant[[#This Row],[Mill_Run_h]]="",tblPlant[[#This Row],[Mill_Planned_Maint_h]]="",tblPlant[[#This Row],[Mill_Unplanned_Down_h]]=""),"",(cfg_HoursPerDay-tblPlant[[#This Row],[Mill_Planned_Maint_h]]-tblPlant[[#This Row],[Mill_Unplanned_Down_h]])/cfg_HoursPerDay)</f>
        <v/>
      </c>
      <c r="Y19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3">
      <c r="A193" s="54" t="n">
        <v>46210</v>
      </c>
      <c r="B193" s="55" t="n"/>
      <c r="C193" s="55" t="n"/>
      <c r="D193" s="56" t="n"/>
      <c r="E193" s="56" t="n"/>
      <c r="F193" s="55" t="n"/>
      <c r="G193" s="55" t="n"/>
      <c r="H193" s="57" t="n"/>
      <c r="I193" s="57" t="n"/>
      <c r="J193" s="57" t="n"/>
      <c r="K193" s="57" t="n"/>
      <c r="L193" s="55" t="n"/>
      <c r="M193" s="55" t="n"/>
      <c r="N193" s="55" t="n"/>
      <c r="O193" s="55" t="n"/>
      <c r="P193" s="55" t="n"/>
      <c r="Q193" s="55" t="n"/>
      <c r="R193" s="58" t="n"/>
      <c r="S193" s="59">
        <f>IF(OR(tblPlant[[#This Row],[Milled_t]]="",tblPlant[[#This Row],[Head_Grade_gpt]]=""),"",tblPlant[[#This Row],[Milled_t]]*tblPlant[[#This Row],[Head_Grade_gpt]]/cfg_TroyOz)</f>
        <v/>
      </c>
      <c r="T193" s="59">
        <f>IF(OR(tblPlant[[#This Row],[Milled_t]]="",tblPlant[[#This Row],[Tails_Grade_gpt]]=""),"",tblPlant[[#This Row],[Milled_t]]*tblPlant[[#This Row],[Tails_Grade_gpt]]/cfg_TroyOz)</f>
        <v/>
      </c>
      <c r="U193" s="59">
        <f>IF(OR(tblPlant[[#This Row],[Milled_t]]="",tblPlant[[#This Row],[Head_Grade_gpt]]="",tblPlant[[#This Row],[Tails_Grade_gpt]]=""),"",tblPlant[[#This Row],[Feed_oz]]-tblPlant[[#This Row],[Tails_oz]])</f>
        <v/>
      </c>
      <c r="V193" s="60">
        <f>IF(AND(ISNUMBER(tblPlant[[#This Row],[Recovered_oz]]),tblPlant[[#This Row],[Feed_oz]]&gt;0),tblPlant[[#This Row],[Recovered_oz]]/tblPlant[[#This Row],[Feed_oz]],"")</f>
        <v/>
      </c>
      <c r="W193" s="59">
        <f>IF(AND(tblPlant[[#This Row],[Milled_t]]&lt;&gt;"",tblPlant[[#This Row],[Mill_Run_h]]&gt;0),tblPlant[[#This Row],[Milled_t]]/tblPlant[[#This Row],[Mill_Run_h]],"")</f>
        <v/>
      </c>
      <c r="X193" s="60">
        <f>IF(AND(tblPlant[[#This Row],[Mill_Run_h]]="",tblPlant[[#This Row],[Mill_Planned_Maint_h]]="",tblPlant[[#This Row],[Mill_Unplanned_Down_h]]=""),"",(cfg_HoursPerDay-tblPlant[[#This Row],[Mill_Planned_Maint_h]]-tblPlant[[#This Row],[Mill_Unplanned_Down_h]])/cfg_HoursPerDay)</f>
        <v/>
      </c>
      <c r="Y19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4">
      <c r="A194" s="54" t="n">
        <v>46211</v>
      </c>
      <c r="B194" s="55" t="n"/>
      <c r="C194" s="55" t="n"/>
      <c r="D194" s="56" t="n"/>
      <c r="E194" s="56" t="n"/>
      <c r="F194" s="55" t="n"/>
      <c r="G194" s="55" t="n"/>
      <c r="H194" s="57" t="n"/>
      <c r="I194" s="57" t="n"/>
      <c r="J194" s="57" t="n"/>
      <c r="K194" s="57" t="n"/>
      <c r="L194" s="55" t="n"/>
      <c r="M194" s="55" t="n"/>
      <c r="N194" s="55" t="n"/>
      <c r="O194" s="55" t="n"/>
      <c r="P194" s="55" t="n"/>
      <c r="Q194" s="55" t="n"/>
      <c r="R194" s="58" t="n"/>
      <c r="S194" s="59">
        <f>IF(OR(tblPlant[[#This Row],[Milled_t]]="",tblPlant[[#This Row],[Head_Grade_gpt]]=""),"",tblPlant[[#This Row],[Milled_t]]*tblPlant[[#This Row],[Head_Grade_gpt]]/cfg_TroyOz)</f>
        <v/>
      </c>
      <c r="T194" s="59">
        <f>IF(OR(tblPlant[[#This Row],[Milled_t]]="",tblPlant[[#This Row],[Tails_Grade_gpt]]=""),"",tblPlant[[#This Row],[Milled_t]]*tblPlant[[#This Row],[Tails_Grade_gpt]]/cfg_TroyOz)</f>
        <v/>
      </c>
      <c r="U194" s="59">
        <f>IF(OR(tblPlant[[#This Row],[Milled_t]]="",tblPlant[[#This Row],[Head_Grade_gpt]]="",tblPlant[[#This Row],[Tails_Grade_gpt]]=""),"",tblPlant[[#This Row],[Feed_oz]]-tblPlant[[#This Row],[Tails_oz]])</f>
        <v/>
      </c>
      <c r="V194" s="60">
        <f>IF(AND(ISNUMBER(tblPlant[[#This Row],[Recovered_oz]]),tblPlant[[#This Row],[Feed_oz]]&gt;0),tblPlant[[#This Row],[Recovered_oz]]/tblPlant[[#This Row],[Feed_oz]],"")</f>
        <v/>
      </c>
      <c r="W194" s="59">
        <f>IF(AND(tblPlant[[#This Row],[Milled_t]]&lt;&gt;"",tblPlant[[#This Row],[Mill_Run_h]]&gt;0),tblPlant[[#This Row],[Milled_t]]/tblPlant[[#This Row],[Mill_Run_h]],"")</f>
        <v/>
      </c>
      <c r="X194" s="60">
        <f>IF(AND(tblPlant[[#This Row],[Mill_Run_h]]="",tblPlant[[#This Row],[Mill_Planned_Maint_h]]="",tblPlant[[#This Row],[Mill_Unplanned_Down_h]]=""),"",(cfg_HoursPerDay-tblPlant[[#This Row],[Mill_Planned_Maint_h]]-tblPlant[[#This Row],[Mill_Unplanned_Down_h]])/cfg_HoursPerDay)</f>
        <v/>
      </c>
      <c r="Y19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5">
      <c r="A195" s="54" t="n">
        <v>46212</v>
      </c>
      <c r="B195" s="55" t="n"/>
      <c r="C195" s="55" t="n"/>
      <c r="D195" s="56" t="n"/>
      <c r="E195" s="56" t="n"/>
      <c r="F195" s="55" t="n"/>
      <c r="G195" s="55" t="n"/>
      <c r="H195" s="57" t="n"/>
      <c r="I195" s="57" t="n"/>
      <c r="J195" s="57" t="n"/>
      <c r="K195" s="57" t="n"/>
      <c r="L195" s="55" t="n"/>
      <c r="M195" s="55" t="n"/>
      <c r="N195" s="55" t="n"/>
      <c r="O195" s="55" t="n"/>
      <c r="P195" s="55" t="n"/>
      <c r="Q195" s="55" t="n"/>
      <c r="R195" s="58" t="n"/>
      <c r="S195" s="59">
        <f>IF(OR(tblPlant[[#This Row],[Milled_t]]="",tblPlant[[#This Row],[Head_Grade_gpt]]=""),"",tblPlant[[#This Row],[Milled_t]]*tblPlant[[#This Row],[Head_Grade_gpt]]/cfg_TroyOz)</f>
        <v/>
      </c>
      <c r="T195" s="59">
        <f>IF(OR(tblPlant[[#This Row],[Milled_t]]="",tblPlant[[#This Row],[Tails_Grade_gpt]]=""),"",tblPlant[[#This Row],[Milled_t]]*tblPlant[[#This Row],[Tails_Grade_gpt]]/cfg_TroyOz)</f>
        <v/>
      </c>
      <c r="U195" s="59">
        <f>IF(OR(tblPlant[[#This Row],[Milled_t]]="",tblPlant[[#This Row],[Head_Grade_gpt]]="",tblPlant[[#This Row],[Tails_Grade_gpt]]=""),"",tblPlant[[#This Row],[Feed_oz]]-tblPlant[[#This Row],[Tails_oz]])</f>
        <v/>
      </c>
      <c r="V195" s="60">
        <f>IF(AND(ISNUMBER(tblPlant[[#This Row],[Recovered_oz]]),tblPlant[[#This Row],[Feed_oz]]&gt;0),tblPlant[[#This Row],[Recovered_oz]]/tblPlant[[#This Row],[Feed_oz]],"")</f>
        <v/>
      </c>
      <c r="W195" s="59">
        <f>IF(AND(tblPlant[[#This Row],[Milled_t]]&lt;&gt;"",tblPlant[[#This Row],[Mill_Run_h]]&gt;0),tblPlant[[#This Row],[Milled_t]]/tblPlant[[#This Row],[Mill_Run_h]],"")</f>
        <v/>
      </c>
      <c r="X195" s="60">
        <f>IF(AND(tblPlant[[#This Row],[Mill_Run_h]]="",tblPlant[[#This Row],[Mill_Planned_Maint_h]]="",tblPlant[[#This Row],[Mill_Unplanned_Down_h]]=""),"",(cfg_HoursPerDay-tblPlant[[#This Row],[Mill_Planned_Maint_h]]-tblPlant[[#This Row],[Mill_Unplanned_Down_h]])/cfg_HoursPerDay)</f>
        <v/>
      </c>
      <c r="Y19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6">
      <c r="A196" s="54" t="n">
        <v>46213</v>
      </c>
      <c r="B196" s="55" t="n"/>
      <c r="C196" s="55" t="n"/>
      <c r="D196" s="56" t="n"/>
      <c r="E196" s="56" t="n"/>
      <c r="F196" s="55" t="n"/>
      <c r="G196" s="55" t="n"/>
      <c r="H196" s="57" t="n"/>
      <c r="I196" s="57" t="n"/>
      <c r="J196" s="57" t="n"/>
      <c r="K196" s="57" t="n"/>
      <c r="L196" s="55" t="n"/>
      <c r="M196" s="55" t="n"/>
      <c r="N196" s="55" t="n"/>
      <c r="O196" s="55" t="n"/>
      <c r="P196" s="55" t="n"/>
      <c r="Q196" s="55" t="n"/>
      <c r="R196" s="58" t="n"/>
      <c r="S196" s="59">
        <f>IF(OR(tblPlant[[#This Row],[Milled_t]]="",tblPlant[[#This Row],[Head_Grade_gpt]]=""),"",tblPlant[[#This Row],[Milled_t]]*tblPlant[[#This Row],[Head_Grade_gpt]]/cfg_TroyOz)</f>
        <v/>
      </c>
      <c r="T196" s="59">
        <f>IF(OR(tblPlant[[#This Row],[Milled_t]]="",tblPlant[[#This Row],[Tails_Grade_gpt]]=""),"",tblPlant[[#This Row],[Milled_t]]*tblPlant[[#This Row],[Tails_Grade_gpt]]/cfg_TroyOz)</f>
        <v/>
      </c>
      <c r="U196" s="59">
        <f>IF(OR(tblPlant[[#This Row],[Milled_t]]="",tblPlant[[#This Row],[Head_Grade_gpt]]="",tblPlant[[#This Row],[Tails_Grade_gpt]]=""),"",tblPlant[[#This Row],[Feed_oz]]-tblPlant[[#This Row],[Tails_oz]])</f>
        <v/>
      </c>
      <c r="V196" s="60">
        <f>IF(AND(ISNUMBER(tblPlant[[#This Row],[Recovered_oz]]),tblPlant[[#This Row],[Feed_oz]]&gt;0),tblPlant[[#This Row],[Recovered_oz]]/tblPlant[[#This Row],[Feed_oz]],"")</f>
        <v/>
      </c>
      <c r="W196" s="59">
        <f>IF(AND(tblPlant[[#This Row],[Milled_t]]&lt;&gt;"",tblPlant[[#This Row],[Mill_Run_h]]&gt;0),tblPlant[[#This Row],[Milled_t]]/tblPlant[[#This Row],[Mill_Run_h]],"")</f>
        <v/>
      </c>
      <c r="X196" s="60">
        <f>IF(AND(tblPlant[[#This Row],[Mill_Run_h]]="",tblPlant[[#This Row],[Mill_Planned_Maint_h]]="",tblPlant[[#This Row],[Mill_Unplanned_Down_h]]=""),"",(cfg_HoursPerDay-tblPlant[[#This Row],[Mill_Planned_Maint_h]]-tblPlant[[#This Row],[Mill_Unplanned_Down_h]])/cfg_HoursPerDay)</f>
        <v/>
      </c>
      <c r="Y19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7">
      <c r="A197" s="54" t="n">
        <v>46214</v>
      </c>
      <c r="B197" s="55" t="n"/>
      <c r="C197" s="55" t="n"/>
      <c r="D197" s="56" t="n"/>
      <c r="E197" s="56" t="n"/>
      <c r="F197" s="55" t="n"/>
      <c r="G197" s="55" t="n"/>
      <c r="H197" s="57" t="n"/>
      <c r="I197" s="57" t="n"/>
      <c r="J197" s="57" t="n"/>
      <c r="K197" s="57" t="n"/>
      <c r="L197" s="55" t="n"/>
      <c r="M197" s="55" t="n"/>
      <c r="N197" s="55" t="n"/>
      <c r="O197" s="55" t="n"/>
      <c r="P197" s="55" t="n"/>
      <c r="Q197" s="55" t="n"/>
      <c r="R197" s="58" t="n"/>
      <c r="S197" s="59">
        <f>IF(OR(tblPlant[[#This Row],[Milled_t]]="",tblPlant[[#This Row],[Head_Grade_gpt]]=""),"",tblPlant[[#This Row],[Milled_t]]*tblPlant[[#This Row],[Head_Grade_gpt]]/cfg_TroyOz)</f>
        <v/>
      </c>
      <c r="T197" s="59">
        <f>IF(OR(tblPlant[[#This Row],[Milled_t]]="",tblPlant[[#This Row],[Tails_Grade_gpt]]=""),"",tblPlant[[#This Row],[Milled_t]]*tblPlant[[#This Row],[Tails_Grade_gpt]]/cfg_TroyOz)</f>
        <v/>
      </c>
      <c r="U197" s="59">
        <f>IF(OR(tblPlant[[#This Row],[Milled_t]]="",tblPlant[[#This Row],[Head_Grade_gpt]]="",tblPlant[[#This Row],[Tails_Grade_gpt]]=""),"",tblPlant[[#This Row],[Feed_oz]]-tblPlant[[#This Row],[Tails_oz]])</f>
        <v/>
      </c>
      <c r="V197" s="60">
        <f>IF(AND(ISNUMBER(tblPlant[[#This Row],[Recovered_oz]]),tblPlant[[#This Row],[Feed_oz]]&gt;0),tblPlant[[#This Row],[Recovered_oz]]/tblPlant[[#This Row],[Feed_oz]],"")</f>
        <v/>
      </c>
      <c r="W197" s="59">
        <f>IF(AND(tblPlant[[#This Row],[Milled_t]]&lt;&gt;"",tblPlant[[#This Row],[Mill_Run_h]]&gt;0),tblPlant[[#This Row],[Milled_t]]/tblPlant[[#This Row],[Mill_Run_h]],"")</f>
        <v/>
      </c>
      <c r="X197" s="60">
        <f>IF(AND(tblPlant[[#This Row],[Mill_Run_h]]="",tblPlant[[#This Row],[Mill_Planned_Maint_h]]="",tblPlant[[#This Row],[Mill_Unplanned_Down_h]]=""),"",(cfg_HoursPerDay-tblPlant[[#This Row],[Mill_Planned_Maint_h]]-tblPlant[[#This Row],[Mill_Unplanned_Down_h]])/cfg_HoursPerDay)</f>
        <v/>
      </c>
      <c r="Y19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8">
      <c r="A198" s="54" t="n">
        <v>46215</v>
      </c>
      <c r="B198" s="55" t="n"/>
      <c r="C198" s="55" t="n"/>
      <c r="D198" s="56" t="n"/>
      <c r="E198" s="56" t="n"/>
      <c r="F198" s="55" t="n"/>
      <c r="G198" s="55" t="n"/>
      <c r="H198" s="57" t="n"/>
      <c r="I198" s="57" t="n"/>
      <c r="J198" s="57" t="n"/>
      <c r="K198" s="57" t="n"/>
      <c r="L198" s="55" t="n"/>
      <c r="M198" s="55" t="n"/>
      <c r="N198" s="55" t="n"/>
      <c r="O198" s="55" t="n"/>
      <c r="P198" s="55" t="n"/>
      <c r="Q198" s="55" t="n"/>
      <c r="R198" s="58" t="n"/>
      <c r="S198" s="59">
        <f>IF(OR(tblPlant[[#This Row],[Milled_t]]="",tblPlant[[#This Row],[Head_Grade_gpt]]=""),"",tblPlant[[#This Row],[Milled_t]]*tblPlant[[#This Row],[Head_Grade_gpt]]/cfg_TroyOz)</f>
        <v/>
      </c>
      <c r="T198" s="59">
        <f>IF(OR(tblPlant[[#This Row],[Milled_t]]="",tblPlant[[#This Row],[Tails_Grade_gpt]]=""),"",tblPlant[[#This Row],[Milled_t]]*tblPlant[[#This Row],[Tails_Grade_gpt]]/cfg_TroyOz)</f>
        <v/>
      </c>
      <c r="U198" s="59">
        <f>IF(OR(tblPlant[[#This Row],[Milled_t]]="",tblPlant[[#This Row],[Head_Grade_gpt]]="",tblPlant[[#This Row],[Tails_Grade_gpt]]=""),"",tblPlant[[#This Row],[Feed_oz]]-tblPlant[[#This Row],[Tails_oz]])</f>
        <v/>
      </c>
      <c r="V198" s="60">
        <f>IF(AND(ISNUMBER(tblPlant[[#This Row],[Recovered_oz]]),tblPlant[[#This Row],[Feed_oz]]&gt;0),tblPlant[[#This Row],[Recovered_oz]]/tblPlant[[#This Row],[Feed_oz]],"")</f>
        <v/>
      </c>
      <c r="W198" s="59">
        <f>IF(AND(tblPlant[[#This Row],[Milled_t]]&lt;&gt;"",tblPlant[[#This Row],[Mill_Run_h]]&gt;0),tblPlant[[#This Row],[Milled_t]]/tblPlant[[#This Row],[Mill_Run_h]],"")</f>
        <v/>
      </c>
      <c r="X198" s="60">
        <f>IF(AND(tblPlant[[#This Row],[Mill_Run_h]]="",tblPlant[[#This Row],[Mill_Planned_Maint_h]]="",tblPlant[[#This Row],[Mill_Unplanned_Down_h]]=""),"",(cfg_HoursPerDay-tblPlant[[#This Row],[Mill_Planned_Maint_h]]-tblPlant[[#This Row],[Mill_Unplanned_Down_h]])/cfg_HoursPerDay)</f>
        <v/>
      </c>
      <c r="Y19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199">
      <c r="A199" s="54" t="n">
        <v>46216</v>
      </c>
      <c r="B199" s="55" t="n"/>
      <c r="C199" s="55" t="n"/>
      <c r="D199" s="56" t="n"/>
      <c r="E199" s="56" t="n"/>
      <c r="F199" s="55" t="n"/>
      <c r="G199" s="55" t="n"/>
      <c r="H199" s="57" t="n"/>
      <c r="I199" s="57" t="n"/>
      <c r="J199" s="57" t="n"/>
      <c r="K199" s="57" t="n"/>
      <c r="L199" s="55" t="n"/>
      <c r="M199" s="55" t="n"/>
      <c r="N199" s="55" t="n"/>
      <c r="O199" s="55" t="n"/>
      <c r="P199" s="55" t="n"/>
      <c r="Q199" s="55" t="n"/>
      <c r="R199" s="58" t="n"/>
      <c r="S199" s="59">
        <f>IF(OR(tblPlant[[#This Row],[Milled_t]]="",tblPlant[[#This Row],[Head_Grade_gpt]]=""),"",tblPlant[[#This Row],[Milled_t]]*tblPlant[[#This Row],[Head_Grade_gpt]]/cfg_TroyOz)</f>
        <v/>
      </c>
      <c r="T199" s="59">
        <f>IF(OR(tblPlant[[#This Row],[Milled_t]]="",tblPlant[[#This Row],[Tails_Grade_gpt]]=""),"",tblPlant[[#This Row],[Milled_t]]*tblPlant[[#This Row],[Tails_Grade_gpt]]/cfg_TroyOz)</f>
        <v/>
      </c>
      <c r="U199" s="59">
        <f>IF(OR(tblPlant[[#This Row],[Milled_t]]="",tblPlant[[#This Row],[Head_Grade_gpt]]="",tblPlant[[#This Row],[Tails_Grade_gpt]]=""),"",tblPlant[[#This Row],[Feed_oz]]-tblPlant[[#This Row],[Tails_oz]])</f>
        <v/>
      </c>
      <c r="V199" s="60">
        <f>IF(AND(ISNUMBER(tblPlant[[#This Row],[Recovered_oz]]),tblPlant[[#This Row],[Feed_oz]]&gt;0),tblPlant[[#This Row],[Recovered_oz]]/tblPlant[[#This Row],[Feed_oz]],"")</f>
        <v/>
      </c>
      <c r="W199" s="59">
        <f>IF(AND(tblPlant[[#This Row],[Milled_t]]&lt;&gt;"",tblPlant[[#This Row],[Mill_Run_h]]&gt;0),tblPlant[[#This Row],[Milled_t]]/tblPlant[[#This Row],[Mill_Run_h]],"")</f>
        <v/>
      </c>
      <c r="X199" s="60">
        <f>IF(AND(tblPlant[[#This Row],[Mill_Run_h]]="",tblPlant[[#This Row],[Mill_Planned_Maint_h]]="",tblPlant[[#This Row],[Mill_Unplanned_Down_h]]=""),"",(cfg_HoursPerDay-tblPlant[[#This Row],[Mill_Planned_Maint_h]]-tblPlant[[#This Row],[Mill_Unplanned_Down_h]])/cfg_HoursPerDay)</f>
        <v/>
      </c>
      <c r="Y19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0">
      <c r="A200" s="54" t="n">
        <v>46217</v>
      </c>
      <c r="B200" s="55" t="n"/>
      <c r="C200" s="55" t="n"/>
      <c r="D200" s="56" t="n"/>
      <c r="E200" s="56" t="n"/>
      <c r="F200" s="55" t="n"/>
      <c r="G200" s="55" t="n"/>
      <c r="H200" s="57" t="n"/>
      <c r="I200" s="57" t="n"/>
      <c r="J200" s="57" t="n"/>
      <c r="K200" s="57" t="n"/>
      <c r="L200" s="55" t="n"/>
      <c r="M200" s="55" t="n"/>
      <c r="N200" s="55" t="n"/>
      <c r="O200" s="55" t="n"/>
      <c r="P200" s="55" t="n"/>
      <c r="Q200" s="55" t="n"/>
      <c r="R200" s="58" t="n"/>
      <c r="S200" s="59">
        <f>IF(OR(tblPlant[[#This Row],[Milled_t]]="",tblPlant[[#This Row],[Head_Grade_gpt]]=""),"",tblPlant[[#This Row],[Milled_t]]*tblPlant[[#This Row],[Head_Grade_gpt]]/cfg_TroyOz)</f>
        <v/>
      </c>
      <c r="T200" s="59">
        <f>IF(OR(tblPlant[[#This Row],[Milled_t]]="",tblPlant[[#This Row],[Tails_Grade_gpt]]=""),"",tblPlant[[#This Row],[Milled_t]]*tblPlant[[#This Row],[Tails_Grade_gpt]]/cfg_TroyOz)</f>
        <v/>
      </c>
      <c r="U200" s="59">
        <f>IF(OR(tblPlant[[#This Row],[Milled_t]]="",tblPlant[[#This Row],[Head_Grade_gpt]]="",tblPlant[[#This Row],[Tails_Grade_gpt]]=""),"",tblPlant[[#This Row],[Feed_oz]]-tblPlant[[#This Row],[Tails_oz]])</f>
        <v/>
      </c>
      <c r="V200" s="60">
        <f>IF(AND(ISNUMBER(tblPlant[[#This Row],[Recovered_oz]]),tblPlant[[#This Row],[Feed_oz]]&gt;0),tblPlant[[#This Row],[Recovered_oz]]/tblPlant[[#This Row],[Feed_oz]],"")</f>
        <v/>
      </c>
      <c r="W200" s="59">
        <f>IF(AND(tblPlant[[#This Row],[Milled_t]]&lt;&gt;"",tblPlant[[#This Row],[Mill_Run_h]]&gt;0),tblPlant[[#This Row],[Milled_t]]/tblPlant[[#This Row],[Mill_Run_h]],"")</f>
        <v/>
      </c>
      <c r="X200" s="60">
        <f>IF(AND(tblPlant[[#This Row],[Mill_Run_h]]="",tblPlant[[#This Row],[Mill_Planned_Maint_h]]="",tblPlant[[#This Row],[Mill_Unplanned_Down_h]]=""),"",(cfg_HoursPerDay-tblPlant[[#This Row],[Mill_Planned_Maint_h]]-tblPlant[[#This Row],[Mill_Unplanned_Down_h]])/cfg_HoursPerDay)</f>
        <v/>
      </c>
      <c r="Y20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1">
      <c r="A201" s="54" t="n">
        <v>46218</v>
      </c>
      <c r="B201" s="55" t="n"/>
      <c r="C201" s="55" t="n"/>
      <c r="D201" s="56" t="n"/>
      <c r="E201" s="56" t="n"/>
      <c r="F201" s="55" t="n"/>
      <c r="G201" s="55" t="n"/>
      <c r="H201" s="57" t="n"/>
      <c r="I201" s="57" t="n"/>
      <c r="J201" s="57" t="n"/>
      <c r="K201" s="57" t="n"/>
      <c r="L201" s="55" t="n"/>
      <c r="M201" s="55" t="n"/>
      <c r="N201" s="55" t="n"/>
      <c r="O201" s="55" t="n"/>
      <c r="P201" s="55" t="n"/>
      <c r="Q201" s="55" t="n"/>
      <c r="R201" s="58" t="n"/>
      <c r="S201" s="59">
        <f>IF(OR(tblPlant[[#This Row],[Milled_t]]="",tblPlant[[#This Row],[Head_Grade_gpt]]=""),"",tblPlant[[#This Row],[Milled_t]]*tblPlant[[#This Row],[Head_Grade_gpt]]/cfg_TroyOz)</f>
        <v/>
      </c>
      <c r="T201" s="59">
        <f>IF(OR(tblPlant[[#This Row],[Milled_t]]="",tblPlant[[#This Row],[Tails_Grade_gpt]]=""),"",tblPlant[[#This Row],[Milled_t]]*tblPlant[[#This Row],[Tails_Grade_gpt]]/cfg_TroyOz)</f>
        <v/>
      </c>
      <c r="U201" s="59">
        <f>IF(OR(tblPlant[[#This Row],[Milled_t]]="",tblPlant[[#This Row],[Head_Grade_gpt]]="",tblPlant[[#This Row],[Tails_Grade_gpt]]=""),"",tblPlant[[#This Row],[Feed_oz]]-tblPlant[[#This Row],[Tails_oz]])</f>
        <v/>
      </c>
      <c r="V201" s="60">
        <f>IF(AND(ISNUMBER(tblPlant[[#This Row],[Recovered_oz]]),tblPlant[[#This Row],[Feed_oz]]&gt;0),tblPlant[[#This Row],[Recovered_oz]]/tblPlant[[#This Row],[Feed_oz]],"")</f>
        <v/>
      </c>
      <c r="W201" s="59">
        <f>IF(AND(tblPlant[[#This Row],[Milled_t]]&lt;&gt;"",tblPlant[[#This Row],[Mill_Run_h]]&gt;0),tblPlant[[#This Row],[Milled_t]]/tblPlant[[#This Row],[Mill_Run_h]],"")</f>
        <v/>
      </c>
      <c r="X201" s="60">
        <f>IF(AND(tblPlant[[#This Row],[Mill_Run_h]]="",tblPlant[[#This Row],[Mill_Planned_Maint_h]]="",tblPlant[[#This Row],[Mill_Unplanned_Down_h]]=""),"",(cfg_HoursPerDay-tblPlant[[#This Row],[Mill_Planned_Maint_h]]-tblPlant[[#This Row],[Mill_Unplanned_Down_h]])/cfg_HoursPerDay)</f>
        <v/>
      </c>
      <c r="Y20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2">
      <c r="A202" s="54" t="n">
        <v>46219</v>
      </c>
      <c r="B202" s="55" t="n"/>
      <c r="C202" s="55" t="n"/>
      <c r="D202" s="56" t="n"/>
      <c r="E202" s="56" t="n"/>
      <c r="F202" s="55" t="n"/>
      <c r="G202" s="55" t="n"/>
      <c r="H202" s="57" t="n"/>
      <c r="I202" s="57" t="n"/>
      <c r="J202" s="57" t="n"/>
      <c r="K202" s="57" t="n"/>
      <c r="L202" s="55" t="n"/>
      <c r="M202" s="55" t="n"/>
      <c r="N202" s="55" t="n"/>
      <c r="O202" s="55" t="n"/>
      <c r="P202" s="55" t="n"/>
      <c r="Q202" s="55" t="n"/>
      <c r="R202" s="58" t="n"/>
      <c r="S202" s="59">
        <f>IF(OR(tblPlant[[#This Row],[Milled_t]]="",tblPlant[[#This Row],[Head_Grade_gpt]]=""),"",tblPlant[[#This Row],[Milled_t]]*tblPlant[[#This Row],[Head_Grade_gpt]]/cfg_TroyOz)</f>
        <v/>
      </c>
      <c r="T202" s="59">
        <f>IF(OR(tblPlant[[#This Row],[Milled_t]]="",tblPlant[[#This Row],[Tails_Grade_gpt]]=""),"",tblPlant[[#This Row],[Milled_t]]*tblPlant[[#This Row],[Tails_Grade_gpt]]/cfg_TroyOz)</f>
        <v/>
      </c>
      <c r="U202" s="59">
        <f>IF(OR(tblPlant[[#This Row],[Milled_t]]="",tblPlant[[#This Row],[Head_Grade_gpt]]="",tblPlant[[#This Row],[Tails_Grade_gpt]]=""),"",tblPlant[[#This Row],[Feed_oz]]-tblPlant[[#This Row],[Tails_oz]])</f>
        <v/>
      </c>
      <c r="V202" s="60">
        <f>IF(AND(ISNUMBER(tblPlant[[#This Row],[Recovered_oz]]),tblPlant[[#This Row],[Feed_oz]]&gt;0),tblPlant[[#This Row],[Recovered_oz]]/tblPlant[[#This Row],[Feed_oz]],"")</f>
        <v/>
      </c>
      <c r="W202" s="59">
        <f>IF(AND(tblPlant[[#This Row],[Milled_t]]&lt;&gt;"",tblPlant[[#This Row],[Mill_Run_h]]&gt;0),tblPlant[[#This Row],[Milled_t]]/tblPlant[[#This Row],[Mill_Run_h]],"")</f>
        <v/>
      </c>
      <c r="X202" s="60">
        <f>IF(AND(tblPlant[[#This Row],[Mill_Run_h]]="",tblPlant[[#This Row],[Mill_Planned_Maint_h]]="",tblPlant[[#This Row],[Mill_Unplanned_Down_h]]=""),"",(cfg_HoursPerDay-tblPlant[[#This Row],[Mill_Planned_Maint_h]]-tblPlant[[#This Row],[Mill_Unplanned_Down_h]])/cfg_HoursPerDay)</f>
        <v/>
      </c>
      <c r="Y20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3">
      <c r="A203" s="54" t="n">
        <v>46220</v>
      </c>
      <c r="B203" s="55" t="n"/>
      <c r="C203" s="55" t="n"/>
      <c r="D203" s="56" t="n"/>
      <c r="E203" s="56" t="n"/>
      <c r="F203" s="55" t="n"/>
      <c r="G203" s="55" t="n"/>
      <c r="H203" s="57" t="n"/>
      <c r="I203" s="57" t="n"/>
      <c r="J203" s="57" t="n"/>
      <c r="K203" s="57" t="n"/>
      <c r="L203" s="55" t="n"/>
      <c r="M203" s="55" t="n"/>
      <c r="N203" s="55" t="n"/>
      <c r="O203" s="55" t="n"/>
      <c r="P203" s="55" t="n"/>
      <c r="Q203" s="55" t="n"/>
      <c r="R203" s="58" t="n"/>
      <c r="S203" s="59">
        <f>IF(OR(tblPlant[[#This Row],[Milled_t]]="",tblPlant[[#This Row],[Head_Grade_gpt]]=""),"",tblPlant[[#This Row],[Milled_t]]*tblPlant[[#This Row],[Head_Grade_gpt]]/cfg_TroyOz)</f>
        <v/>
      </c>
      <c r="T203" s="59">
        <f>IF(OR(tblPlant[[#This Row],[Milled_t]]="",tblPlant[[#This Row],[Tails_Grade_gpt]]=""),"",tblPlant[[#This Row],[Milled_t]]*tblPlant[[#This Row],[Tails_Grade_gpt]]/cfg_TroyOz)</f>
        <v/>
      </c>
      <c r="U203" s="59">
        <f>IF(OR(tblPlant[[#This Row],[Milled_t]]="",tblPlant[[#This Row],[Head_Grade_gpt]]="",tblPlant[[#This Row],[Tails_Grade_gpt]]=""),"",tblPlant[[#This Row],[Feed_oz]]-tblPlant[[#This Row],[Tails_oz]])</f>
        <v/>
      </c>
      <c r="V203" s="60">
        <f>IF(AND(ISNUMBER(tblPlant[[#This Row],[Recovered_oz]]),tblPlant[[#This Row],[Feed_oz]]&gt;0),tblPlant[[#This Row],[Recovered_oz]]/tblPlant[[#This Row],[Feed_oz]],"")</f>
        <v/>
      </c>
      <c r="W203" s="59">
        <f>IF(AND(tblPlant[[#This Row],[Milled_t]]&lt;&gt;"",tblPlant[[#This Row],[Mill_Run_h]]&gt;0),tblPlant[[#This Row],[Milled_t]]/tblPlant[[#This Row],[Mill_Run_h]],"")</f>
        <v/>
      </c>
      <c r="X203" s="60">
        <f>IF(AND(tblPlant[[#This Row],[Mill_Run_h]]="",tblPlant[[#This Row],[Mill_Planned_Maint_h]]="",tblPlant[[#This Row],[Mill_Unplanned_Down_h]]=""),"",(cfg_HoursPerDay-tblPlant[[#This Row],[Mill_Planned_Maint_h]]-tblPlant[[#This Row],[Mill_Unplanned_Down_h]])/cfg_HoursPerDay)</f>
        <v/>
      </c>
      <c r="Y20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4">
      <c r="A204" s="54" t="n">
        <v>46221</v>
      </c>
      <c r="B204" s="55" t="n"/>
      <c r="C204" s="55" t="n"/>
      <c r="D204" s="56" t="n"/>
      <c r="E204" s="56" t="n"/>
      <c r="F204" s="55" t="n"/>
      <c r="G204" s="55" t="n"/>
      <c r="H204" s="57" t="n"/>
      <c r="I204" s="57" t="n"/>
      <c r="J204" s="57" t="n"/>
      <c r="K204" s="57" t="n"/>
      <c r="L204" s="55" t="n"/>
      <c r="M204" s="55" t="n"/>
      <c r="N204" s="55" t="n"/>
      <c r="O204" s="55" t="n"/>
      <c r="P204" s="55" t="n"/>
      <c r="Q204" s="55" t="n"/>
      <c r="R204" s="58" t="n"/>
      <c r="S204" s="59">
        <f>IF(OR(tblPlant[[#This Row],[Milled_t]]="",tblPlant[[#This Row],[Head_Grade_gpt]]=""),"",tblPlant[[#This Row],[Milled_t]]*tblPlant[[#This Row],[Head_Grade_gpt]]/cfg_TroyOz)</f>
        <v/>
      </c>
      <c r="T204" s="59">
        <f>IF(OR(tblPlant[[#This Row],[Milled_t]]="",tblPlant[[#This Row],[Tails_Grade_gpt]]=""),"",tblPlant[[#This Row],[Milled_t]]*tblPlant[[#This Row],[Tails_Grade_gpt]]/cfg_TroyOz)</f>
        <v/>
      </c>
      <c r="U204" s="59">
        <f>IF(OR(tblPlant[[#This Row],[Milled_t]]="",tblPlant[[#This Row],[Head_Grade_gpt]]="",tblPlant[[#This Row],[Tails_Grade_gpt]]=""),"",tblPlant[[#This Row],[Feed_oz]]-tblPlant[[#This Row],[Tails_oz]])</f>
        <v/>
      </c>
      <c r="V204" s="60">
        <f>IF(AND(ISNUMBER(tblPlant[[#This Row],[Recovered_oz]]),tblPlant[[#This Row],[Feed_oz]]&gt;0),tblPlant[[#This Row],[Recovered_oz]]/tblPlant[[#This Row],[Feed_oz]],"")</f>
        <v/>
      </c>
      <c r="W204" s="59">
        <f>IF(AND(tblPlant[[#This Row],[Milled_t]]&lt;&gt;"",tblPlant[[#This Row],[Mill_Run_h]]&gt;0),tblPlant[[#This Row],[Milled_t]]/tblPlant[[#This Row],[Mill_Run_h]],"")</f>
        <v/>
      </c>
      <c r="X204" s="60">
        <f>IF(AND(tblPlant[[#This Row],[Mill_Run_h]]="",tblPlant[[#This Row],[Mill_Planned_Maint_h]]="",tblPlant[[#This Row],[Mill_Unplanned_Down_h]]=""),"",(cfg_HoursPerDay-tblPlant[[#This Row],[Mill_Planned_Maint_h]]-tblPlant[[#This Row],[Mill_Unplanned_Down_h]])/cfg_HoursPerDay)</f>
        <v/>
      </c>
      <c r="Y20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5">
      <c r="A205" s="54" t="n">
        <v>46222</v>
      </c>
      <c r="B205" s="55" t="n"/>
      <c r="C205" s="55" t="n"/>
      <c r="D205" s="56" t="n"/>
      <c r="E205" s="56" t="n"/>
      <c r="F205" s="55" t="n"/>
      <c r="G205" s="55" t="n"/>
      <c r="H205" s="57" t="n"/>
      <c r="I205" s="57" t="n"/>
      <c r="J205" s="57" t="n"/>
      <c r="K205" s="57" t="n"/>
      <c r="L205" s="55" t="n"/>
      <c r="M205" s="55" t="n"/>
      <c r="N205" s="55" t="n"/>
      <c r="O205" s="55" t="n"/>
      <c r="P205" s="55" t="n"/>
      <c r="Q205" s="55" t="n"/>
      <c r="R205" s="58" t="n"/>
      <c r="S205" s="59">
        <f>IF(OR(tblPlant[[#This Row],[Milled_t]]="",tblPlant[[#This Row],[Head_Grade_gpt]]=""),"",tblPlant[[#This Row],[Milled_t]]*tblPlant[[#This Row],[Head_Grade_gpt]]/cfg_TroyOz)</f>
        <v/>
      </c>
      <c r="T205" s="59">
        <f>IF(OR(tblPlant[[#This Row],[Milled_t]]="",tblPlant[[#This Row],[Tails_Grade_gpt]]=""),"",tblPlant[[#This Row],[Milled_t]]*tblPlant[[#This Row],[Tails_Grade_gpt]]/cfg_TroyOz)</f>
        <v/>
      </c>
      <c r="U205" s="59">
        <f>IF(OR(tblPlant[[#This Row],[Milled_t]]="",tblPlant[[#This Row],[Head_Grade_gpt]]="",tblPlant[[#This Row],[Tails_Grade_gpt]]=""),"",tblPlant[[#This Row],[Feed_oz]]-tblPlant[[#This Row],[Tails_oz]])</f>
        <v/>
      </c>
      <c r="V205" s="60">
        <f>IF(AND(ISNUMBER(tblPlant[[#This Row],[Recovered_oz]]),tblPlant[[#This Row],[Feed_oz]]&gt;0),tblPlant[[#This Row],[Recovered_oz]]/tblPlant[[#This Row],[Feed_oz]],"")</f>
        <v/>
      </c>
      <c r="W205" s="59">
        <f>IF(AND(tblPlant[[#This Row],[Milled_t]]&lt;&gt;"",tblPlant[[#This Row],[Mill_Run_h]]&gt;0),tblPlant[[#This Row],[Milled_t]]/tblPlant[[#This Row],[Mill_Run_h]],"")</f>
        <v/>
      </c>
      <c r="X205" s="60">
        <f>IF(AND(tblPlant[[#This Row],[Mill_Run_h]]="",tblPlant[[#This Row],[Mill_Planned_Maint_h]]="",tblPlant[[#This Row],[Mill_Unplanned_Down_h]]=""),"",(cfg_HoursPerDay-tblPlant[[#This Row],[Mill_Planned_Maint_h]]-tblPlant[[#This Row],[Mill_Unplanned_Down_h]])/cfg_HoursPerDay)</f>
        <v/>
      </c>
      <c r="Y20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6">
      <c r="A206" s="54" t="n">
        <v>46223</v>
      </c>
      <c r="B206" s="55" t="n"/>
      <c r="C206" s="55" t="n"/>
      <c r="D206" s="56" t="n"/>
      <c r="E206" s="56" t="n"/>
      <c r="F206" s="55" t="n"/>
      <c r="G206" s="55" t="n"/>
      <c r="H206" s="57" t="n"/>
      <c r="I206" s="57" t="n"/>
      <c r="J206" s="57" t="n"/>
      <c r="K206" s="57" t="n"/>
      <c r="L206" s="55" t="n"/>
      <c r="M206" s="55" t="n"/>
      <c r="N206" s="55" t="n"/>
      <c r="O206" s="55" t="n"/>
      <c r="P206" s="55" t="n"/>
      <c r="Q206" s="55" t="n"/>
      <c r="R206" s="58" t="n"/>
      <c r="S206" s="59">
        <f>IF(OR(tblPlant[[#This Row],[Milled_t]]="",tblPlant[[#This Row],[Head_Grade_gpt]]=""),"",tblPlant[[#This Row],[Milled_t]]*tblPlant[[#This Row],[Head_Grade_gpt]]/cfg_TroyOz)</f>
        <v/>
      </c>
      <c r="T206" s="59">
        <f>IF(OR(tblPlant[[#This Row],[Milled_t]]="",tblPlant[[#This Row],[Tails_Grade_gpt]]=""),"",tblPlant[[#This Row],[Milled_t]]*tblPlant[[#This Row],[Tails_Grade_gpt]]/cfg_TroyOz)</f>
        <v/>
      </c>
      <c r="U206" s="59">
        <f>IF(OR(tblPlant[[#This Row],[Milled_t]]="",tblPlant[[#This Row],[Head_Grade_gpt]]="",tblPlant[[#This Row],[Tails_Grade_gpt]]=""),"",tblPlant[[#This Row],[Feed_oz]]-tblPlant[[#This Row],[Tails_oz]])</f>
        <v/>
      </c>
      <c r="V206" s="60">
        <f>IF(AND(ISNUMBER(tblPlant[[#This Row],[Recovered_oz]]),tblPlant[[#This Row],[Feed_oz]]&gt;0),tblPlant[[#This Row],[Recovered_oz]]/tblPlant[[#This Row],[Feed_oz]],"")</f>
        <v/>
      </c>
      <c r="W206" s="59">
        <f>IF(AND(tblPlant[[#This Row],[Milled_t]]&lt;&gt;"",tblPlant[[#This Row],[Mill_Run_h]]&gt;0),tblPlant[[#This Row],[Milled_t]]/tblPlant[[#This Row],[Mill_Run_h]],"")</f>
        <v/>
      </c>
      <c r="X206" s="60">
        <f>IF(AND(tblPlant[[#This Row],[Mill_Run_h]]="",tblPlant[[#This Row],[Mill_Planned_Maint_h]]="",tblPlant[[#This Row],[Mill_Unplanned_Down_h]]=""),"",(cfg_HoursPerDay-tblPlant[[#This Row],[Mill_Planned_Maint_h]]-tblPlant[[#This Row],[Mill_Unplanned_Down_h]])/cfg_HoursPerDay)</f>
        <v/>
      </c>
      <c r="Y20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7">
      <c r="A207" s="54" t="n">
        <v>46224</v>
      </c>
      <c r="B207" s="55" t="n"/>
      <c r="C207" s="55" t="n"/>
      <c r="D207" s="56" t="n"/>
      <c r="E207" s="56" t="n"/>
      <c r="F207" s="55" t="n"/>
      <c r="G207" s="55" t="n"/>
      <c r="H207" s="57" t="n"/>
      <c r="I207" s="57" t="n"/>
      <c r="J207" s="57" t="n"/>
      <c r="K207" s="57" t="n"/>
      <c r="L207" s="55" t="n"/>
      <c r="M207" s="55" t="n"/>
      <c r="N207" s="55" t="n"/>
      <c r="O207" s="55" t="n"/>
      <c r="P207" s="55" t="n"/>
      <c r="Q207" s="55" t="n"/>
      <c r="R207" s="58" t="n"/>
      <c r="S207" s="59">
        <f>IF(OR(tblPlant[[#This Row],[Milled_t]]="",tblPlant[[#This Row],[Head_Grade_gpt]]=""),"",tblPlant[[#This Row],[Milled_t]]*tblPlant[[#This Row],[Head_Grade_gpt]]/cfg_TroyOz)</f>
        <v/>
      </c>
      <c r="T207" s="59">
        <f>IF(OR(tblPlant[[#This Row],[Milled_t]]="",tblPlant[[#This Row],[Tails_Grade_gpt]]=""),"",tblPlant[[#This Row],[Milled_t]]*tblPlant[[#This Row],[Tails_Grade_gpt]]/cfg_TroyOz)</f>
        <v/>
      </c>
      <c r="U207" s="59">
        <f>IF(OR(tblPlant[[#This Row],[Milled_t]]="",tblPlant[[#This Row],[Head_Grade_gpt]]="",tblPlant[[#This Row],[Tails_Grade_gpt]]=""),"",tblPlant[[#This Row],[Feed_oz]]-tblPlant[[#This Row],[Tails_oz]])</f>
        <v/>
      </c>
      <c r="V207" s="60">
        <f>IF(AND(ISNUMBER(tblPlant[[#This Row],[Recovered_oz]]),tblPlant[[#This Row],[Feed_oz]]&gt;0),tblPlant[[#This Row],[Recovered_oz]]/tblPlant[[#This Row],[Feed_oz]],"")</f>
        <v/>
      </c>
      <c r="W207" s="59">
        <f>IF(AND(tblPlant[[#This Row],[Milled_t]]&lt;&gt;"",tblPlant[[#This Row],[Mill_Run_h]]&gt;0),tblPlant[[#This Row],[Milled_t]]/tblPlant[[#This Row],[Mill_Run_h]],"")</f>
        <v/>
      </c>
      <c r="X207" s="60">
        <f>IF(AND(tblPlant[[#This Row],[Mill_Run_h]]="",tblPlant[[#This Row],[Mill_Planned_Maint_h]]="",tblPlant[[#This Row],[Mill_Unplanned_Down_h]]=""),"",(cfg_HoursPerDay-tblPlant[[#This Row],[Mill_Planned_Maint_h]]-tblPlant[[#This Row],[Mill_Unplanned_Down_h]])/cfg_HoursPerDay)</f>
        <v/>
      </c>
      <c r="Y20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8">
      <c r="A208" s="54" t="n">
        <v>46225</v>
      </c>
      <c r="B208" s="55" t="n"/>
      <c r="C208" s="55" t="n"/>
      <c r="D208" s="56" t="n"/>
      <c r="E208" s="56" t="n"/>
      <c r="F208" s="55" t="n"/>
      <c r="G208" s="55" t="n"/>
      <c r="H208" s="57" t="n"/>
      <c r="I208" s="57" t="n"/>
      <c r="J208" s="57" t="n"/>
      <c r="K208" s="57" t="n"/>
      <c r="L208" s="55" t="n"/>
      <c r="M208" s="55" t="n"/>
      <c r="N208" s="55" t="n"/>
      <c r="O208" s="55" t="n"/>
      <c r="P208" s="55" t="n"/>
      <c r="Q208" s="55" t="n"/>
      <c r="R208" s="58" t="n"/>
      <c r="S208" s="59">
        <f>IF(OR(tblPlant[[#This Row],[Milled_t]]="",tblPlant[[#This Row],[Head_Grade_gpt]]=""),"",tblPlant[[#This Row],[Milled_t]]*tblPlant[[#This Row],[Head_Grade_gpt]]/cfg_TroyOz)</f>
        <v/>
      </c>
      <c r="T208" s="59">
        <f>IF(OR(tblPlant[[#This Row],[Milled_t]]="",tblPlant[[#This Row],[Tails_Grade_gpt]]=""),"",tblPlant[[#This Row],[Milled_t]]*tblPlant[[#This Row],[Tails_Grade_gpt]]/cfg_TroyOz)</f>
        <v/>
      </c>
      <c r="U208" s="59">
        <f>IF(OR(tblPlant[[#This Row],[Milled_t]]="",tblPlant[[#This Row],[Head_Grade_gpt]]="",tblPlant[[#This Row],[Tails_Grade_gpt]]=""),"",tblPlant[[#This Row],[Feed_oz]]-tblPlant[[#This Row],[Tails_oz]])</f>
        <v/>
      </c>
      <c r="V208" s="60">
        <f>IF(AND(ISNUMBER(tblPlant[[#This Row],[Recovered_oz]]),tblPlant[[#This Row],[Feed_oz]]&gt;0),tblPlant[[#This Row],[Recovered_oz]]/tblPlant[[#This Row],[Feed_oz]],"")</f>
        <v/>
      </c>
      <c r="W208" s="59">
        <f>IF(AND(tblPlant[[#This Row],[Milled_t]]&lt;&gt;"",tblPlant[[#This Row],[Mill_Run_h]]&gt;0),tblPlant[[#This Row],[Milled_t]]/tblPlant[[#This Row],[Mill_Run_h]],"")</f>
        <v/>
      </c>
      <c r="X208" s="60">
        <f>IF(AND(tblPlant[[#This Row],[Mill_Run_h]]="",tblPlant[[#This Row],[Mill_Planned_Maint_h]]="",tblPlant[[#This Row],[Mill_Unplanned_Down_h]]=""),"",(cfg_HoursPerDay-tblPlant[[#This Row],[Mill_Planned_Maint_h]]-tblPlant[[#This Row],[Mill_Unplanned_Down_h]])/cfg_HoursPerDay)</f>
        <v/>
      </c>
      <c r="Y20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09">
      <c r="A209" s="54" t="n">
        <v>46226</v>
      </c>
      <c r="B209" s="55" t="n"/>
      <c r="C209" s="55" t="n"/>
      <c r="D209" s="56" t="n"/>
      <c r="E209" s="56" t="n"/>
      <c r="F209" s="55" t="n"/>
      <c r="G209" s="55" t="n"/>
      <c r="H209" s="57" t="n"/>
      <c r="I209" s="57" t="n"/>
      <c r="J209" s="57" t="n"/>
      <c r="K209" s="57" t="n"/>
      <c r="L209" s="55" t="n"/>
      <c r="M209" s="55" t="n"/>
      <c r="N209" s="55" t="n"/>
      <c r="O209" s="55" t="n"/>
      <c r="P209" s="55" t="n"/>
      <c r="Q209" s="55" t="n"/>
      <c r="R209" s="58" t="n"/>
      <c r="S209" s="59">
        <f>IF(OR(tblPlant[[#This Row],[Milled_t]]="",tblPlant[[#This Row],[Head_Grade_gpt]]=""),"",tblPlant[[#This Row],[Milled_t]]*tblPlant[[#This Row],[Head_Grade_gpt]]/cfg_TroyOz)</f>
        <v/>
      </c>
      <c r="T209" s="59">
        <f>IF(OR(tblPlant[[#This Row],[Milled_t]]="",tblPlant[[#This Row],[Tails_Grade_gpt]]=""),"",tblPlant[[#This Row],[Milled_t]]*tblPlant[[#This Row],[Tails_Grade_gpt]]/cfg_TroyOz)</f>
        <v/>
      </c>
      <c r="U209" s="59">
        <f>IF(OR(tblPlant[[#This Row],[Milled_t]]="",tblPlant[[#This Row],[Head_Grade_gpt]]="",tblPlant[[#This Row],[Tails_Grade_gpt]]=""),"",tblPlant[[#This Row],[Feed_oz]]-tblPlant[[#This Row],[Tails_oz]])</f>
        <v/>
      </c>
      <c r="V209" s="60">
        <f>IF(AND(ISNUMBER(tblPlant[[#This Row],[Recovered_oz]]),tblPlant[[#This Row],[Feed_oz]]&gt;0),tblPlant[[#This Row],[Recovered_oz]]/tblPlant[[#This Row],[Feed_oz]],"")</f>
        <v/>
      </c>
      <c r="W209" s="59">
        <f>IF(AND(tblPlant[[#This Row],[Milled_t]]&lt;&gt;"",tblPlant[[#This Row],[Mill_Run_h]]&gt;0),tblPlant[[#This Row],[Milled_t]]/tblPlant[[#This Row],[Mill_Run_h]],"")</f>
        <v/>
      </c>
      <c r="X209" s="60">
        <f>IF(AND(tblPlant[[#This Row],[Mill_Run_h]]="",tblPlant[[#This Row],[Mill_Planned_Maint_h]]="",tblPlant[[#This Row],[Mill_Unplanned_Down_h]]=""),"",(cfg_HoursPerDay-tblPlant[[#This Row],[Mill_Planned_Maint_h]]-tblPlant[[#This Row],[Mill_Unplanned_Down_h]])/cfg_HoursPerDay)</f>
        <v/>
      </c>
      <c r="Y20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0">
      <c r="A210" s="54" t="n">
        <v>46227</v>
      </c>
      <c r="B210" s="55" t="n"/>
      <c r="C210" s="55" t="n"/>
      <c r="D210" s="56" t="n"/>
      <c r="E210" s="56" t="n"/>
      <c r="F210" s="55" t="n"/>
      <c r="G210" s="55" t="n"/>
      <c r="H210" s="57" t="n"/>
      <c r="I210" s="57" t="n"/>
      <c r="J210" s="57" t="n"/>
      <c r="K210" s="57" t="n"/>
      <c r="L210" s="55" t="n"/>
      <c r="M210" s="55" t="n"/>
      <c r="N210" s="55" t="n"/>
      <c r="O210" s="55" t="n"/>
      <c r="P210" s="55" t="n"/>
      <c r="Q210" s="55" t="n"/>
      <c r="R210" s="58" t="n"/>
      <c r="S210" s="59">
        <f>IF(OR(tblPlant[[#This Row],[Milled_t]]="",tblPlant[[#This Row],[Head_Grade_gpt]]=""),"",tblPlant[[#This Row],[Milled_t]]*tblPlant[[#This Row],[Head_Grade_gpt]]/cfg_TroyOz)</f>
        <v/>
      </c>
      <c r="T210" s="59">
        <f>IF(OR(tblPlant[[#This Row],[Milled_t]]="",tblPlant[[#This Row],[Tails_Grade_gpt]]=""),"",tblPlant[[#This Row],[Milled_t]]*tblPlant[[#This Row],[Tails_Grade_gpt]]/cfg_TroyOz)</f>
        <v/>
      </c>
      <c r="U210" s="59">
        <f>IF(OR(tblPlant[[#This Row],[Milled_t]]="",tblPlant[[#This Row],[Head_Grade_gpt]]="",tblPlant[[#This Row],[Tails_Grade_gpt]]=""),"",tblPlant[[#This Row],[Feed_oz]]-tblPlant[[#This Row],[Tails_oz]])</f>
        <v/>
      </c>
      <c r="V210" s="60">
        <f>IF(AND(ISNUMBER(tblPlant[[#This Row],[Recovered_oz]]),tblPlant[[#This Row],[Feed_oz]]&gt;0),tblPlant[[#This Row],[Recovered_oz]]/tblPlant[[#This Row],[Feed_oz]],"")</f>
        <v/>
      </c>
      <c r="W210" s="59">
        <f>IF(AND(tblPlant[[#This Row],[Milled_t]]&lt;&gt;"",tblPlant[[#This Row],[Mill_Run_h]]&gt;0),tblPlant[[#This Row],[Milled_t]]/tblPlant[[#This Row],[Mill_Run_h]],"")</f>
        <v/>
      </c>
      <c r="X210" s="60">
        <f>IF(AND(tblPlant[[#This Row],[Mill_Run_h]]="",tblPlant[[#This Row],[Mill_Planned_Maint_h]]="",tblPlant[[#This Row],[Mill_Unplanned_Down_h]]=""),"",(cfg_HoursPerDay-tblPlant[[#This Row],[Mill_Planned_Maint_h]]-tblPlant[[#This Row],[Mill_Unplanned_Down_h]])/cfg_HoursPerDay)</f>
        <v/>
      </c>
      <c r="Y21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1">
      <c r="A211" s="54" t="n">
        <v>46228</v>
      </c>
      <c r="B211" s="55" t="n"/>
      <c r="C211" s="55" t="n"/>
      <c r="D211" s="56" t="n"/>
      <c r="E211" s="56" t="n"/>
      <c r="F211" s="55" t="n"/>
      <c r="G211" s="55" t="n"/>
      <c r="H211" s="57" t="n"/>
      <c r="I211" s="57" t="n"/>
      <c r="J211" s="57" t="n"/>
      <c r="K211" s="57" t="n"/>
      <c r="L211" s="55" t="n"/>
      <c r="M211" s="55" t="n"/>
      <c r="N211" s="55" t="n"/>
      <c r="O211" s="55" t="n"/>
      <c r="P211" s="55" t="n"/>
      <c r="Q211" s="55" t="n"/>
      <c r="R211" s="58" t="n"/>
      <c r="S211" s="59">
        <f>IF(OR(tblPlant[[#This Row],[Milled_t]]="",tblPlant[[#This Row],[Head_Grade_gpt]]=""),"",tblPlant[[#This Row],[Milled_t]]*tblPlant[[#This Row],[Head_Grade_gpt]]/cfg_TroyOz)</f>
        <v/>
      </c>
      <c r="T211" s="59">
        <f>IF(OR(tblPlant[[#This Row],[Milled_t]]="",tblPlant[[#This Row],[Tails_Grade_gpt]]=""),"",tblPlant[[#This Row],[Milled_t]]*tblPlant[[#This Row],[Tails_Grade_gpt]]/cfg_TroyOz)</f>
        <v/>
      </c>
      <c r="U211" s="59">
        <f>IF(OR(tblPlant[[#This Row],[Milled_t]]="",tblPlant[[#This Row],[Head_Grade_gpt]]="",tblPlant[[#This Row],[Tails_Grade_gpt]]=""),"",tblPlant[[#This Row],[Feed_oz]]-tblPlant[[#This Row],[Tails_oz]])</f>
        <v/>
      </c>
      <c r="V211" s="60">
        <f>IF(AND(ISNUMBER(tblPlant[[#This Row],[Recovered_oz]]),tblPlant[[#This Row],[Feed_oz]]&gt;0),tblPlant[[#This Row],[Recovered_oz]]/tblPlant[[#This Row],[Feed_oz]],"")</f>
        <v/>
      </c>
      <c r="W211" s="59">
        <f>IF(AND(tblPlant[[#This Row],[Milled_t]]&lt;&gt;"",tblPlant[[#This Row],[Mill_Run_h]]&gt;0),tblPlant[[#This Row],[Milled_t]]/tblPlant[[#This Row],[Mill_Run_h]],"")</f>
        <v/>
      </c>
      <c r="X211" s="60">
        <f>IF(AND(tblPlant[[#This Row],[Mill_Run_h]]="",tblPlant[[#This Row],[Mill_Planned_Maint_h]]="",tblPlant[[#This Row],[Mill_Unplanned_Down_h]]=""),"",(cfg_HoursPerDay-tblPlant[[#This Row],[Mill_Planned_Maint_h]]-tblPlant[[#This Row],[Mill_Unplanned_Down_h]])/cfg_HoursPerDay)</f>
        <v/>
      </c>
      <c r="Y21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2">
      <c r="A212" s="54" t="n">
        <v>46229</v>
      </c>
      <c r="B212" s="55" t="n"/>
      <c r="C212" s="55" t="n"/>
      <c r="D212" s="56" t="n"/>
      <c r="E212" s="56" t="n"/>
      <c r="F212" s="55" t="n"/>
      <c r="G212" s="55" t="n"/>
      <c r="H212" s="57" t="n"/>
      <c r="I212" s="57" t="n"/>
      <c r="J212" s="57" t="n"/>
      <c r="K212" s="57" t="n"/>
      <c r="L212" s="55" t="n"/>
      <c r="M212" s="55" t="n"/>
      <c r="N212" s="55" t="n"/>
      <c r="O212" s="55" t="n"/>
      <c r="P212" s="55" t="n"/>
      <c r="Q212" s="55" t="n"/>
      <c r="R212" s="58" t="n"/>
      <c r="S212" s="59">
        <f>IF(OR(tblPlant[[#This Row],[Milled_t]]="",tblPlant[[#This Row],[Head_Grade_gpt]]=""),"",tblPlant[[#This Row],[Milled_t]]*tblPlant[[#This Row],[Head_Grade_gpt]]/cfg_TroyOz)</f>
        <v/>
      </c>
      <c r="T212" s="59">
        <f>IF(OR(tblPlant[[#This Row],[Milled_t]]="",tblPlant[[#This Row],[Tails_Grade_gpt]]=""),"",tblPlant[[#This Row],[Milled_t]]*tblPlant[[#This Row],[Tails_Grade_gpt]]/cfg_TroyOz)</f>
        <v/>
      </c>
      <c r="U212" s="59">
        <f>IF(OR(tblPlant[[#This Row],[Milled_t]]="",tblPlant[[#This Row],[Head_Grade_gpt]]="",tblPlant[[#This Row],[Tails_Grade_gpt]]=""),"",tblPlant[[#This Row],[Feed_oz]]-tblPlant[[#This Row],[Tails_oz]])</f>
        <v/>
      </c>
      <c r="V212" s="60">
        <f>IF(AND(ISNUMBER(tblPlant[[#This Row],[Recovered_oz]]),tblPlant[[#This Row],[Feed_oz]]&gt;0),tblPlant[[#This Row],[Recovered_oz]]/tblPlant[[#This Row],[Feed_oz]],"")</f>
        <v/>
      </c>
      <c r="W212" s="59">
        <f>IF(AND(tblPlant[[#This Row],[Milled_t]]&lt;&gt;"",tblPlant[[#This Row],[Mill_Run_h]]&gt;0),tblPlant[[#This Row],[Milled_t]]/tblPlant[[#This Row],[Mill_Run_h]],"")</f>
        <v/>
      </c>
      <c r="X212" s="60">
        <f>IF(AND(tblPlant[[#This Row],[Mill_Run_h]]="",tblPlant[[#This Row],[Mill_Planned_Maint_h]]="",tblPlant[[#This Row],[Mill_Unplanned_Down_h]]=""),"",(cfg_HoursPerDay-tblPlant[[#This Row],[Mill_Planned_Maint_h]]-tblPlant[[#This Row],[Mill_Unplanned_Down_h]])/cfg_HoursPerDay)</f>
        <v/>
      </c>
      <c r="Y21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3">
      <c r="A213" s="54" t="n">
        <v>46230</v>
      </c>
      <c r="B213" s="55" t="n"/>
      <c r="C213" s="55" t="n"/>
      <c r="D213" s="56" t="n"/>
      <c r="E213" s="56" t="n"/>
      <c r="F213" s="55" t="n"/>
      <c r="G213" s="55" t="n"/>
      <c r="H213" s="57" t="n"/>
      <c r="I213" s="57" t="n"/>
      <c r="J213" s="57" t="n"/>
      <c r="K213" s="57" t="n"/>
      <c r="L213" s="55" t="n"/>
      <c r="M213" s="55" t="n"/>
      <c r="N213" s="55" t="n"/>
      <c r="O213" s="55" t="n"/>
      <c r="P213" s="55" t="n"/>
      <c r="Q213" s="55" t="n"/>
      <c r="R213" s="58" t="n"/>
      <c r="S213" s="59">
        <f>IF(OR(tblPlant[[#This Row],[Milled_t]]="",tblPlant[[#This Row],[Head_Grade_gpt]]=""),"",tblPlant[[#This Row],[Milled_t]]*tblPlant[[#This Row],[Head_Grade_gpt]]/cfg_TroyOz)</f>
        <v/>
      </c>
      <c r="T213" s="59">
        <f>IF(OR(tblPlant[[#This Row],[Milled_t]]="",tblPlant[[#This Row],[Tails_Grade_gpt]]=""),"",tblPlant[[#This Row],[Milled_t]]*tblPlant[[#This Row],[Tails_Grade_gpt]]/cfg_TroyOz)</f>
        <v/>
      </c>
      <c r="U213" s="59">
        <f>IF(OR(tblPlant[[#This Row],[Milled_t]]="",tblPlant[[#This Row],[Head_Grade_gpt]]="",tblPlant[[#This Row],[Tails_Grade_gpt]]=""),"",tblPlant[[#This Row],[Feed_oz]]-tblPlant[[#This Row],[Tails_oz]])</f>
        <v/>
      </c>
      <c r="V213" s="60">
        <f>IF(AND(ISNUMBER(tblPlant[[#This Row],[Recovered_oz]]),tblPlant[[#This Row],[Feed_oz]]&gt;0),tblPlant[[#This Row],[Recovered_oz]]/tblPlant[[#This Row],[Feed_oz]],"")</f>
        <v/>
      </c>
      <c r="W213" s="59">
        <f>IF(AND(tblPlant[[#This Row],[Milled_t]]&lt;&gt;"",tblPlant[[#This Row],[Mill_Run_h]]&gt;0),tblPlant[[#This Row],[Milled_t]]/tblPlant[[#This Row],[Mill_Run_h]],"")</f>
        <v/>
      </c>
      <c r="X213" s="60">
        <f>IF(AND(tblPlant[[#This Row],[Mill_Run_h]]="",tblPlant[[#This Row],[Mill_Planned_Maint_h]]="",tblPlant[[#This Row],[Mill_Unplanned_Down_h]]=""),"",(cfg_HoursPerDay-tblPlant[[#This Row],[Mill_Planned_Maint_h]]-tblPlant[[#This Row],[Mill_Unplanned_Down_h]])/cfg_HoursPerDay)</f>
        <v/>
      </c>
      <c r="Y21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4">
      <c r="A214" s="54" t="n">
        <v>46231</v>
      </c>
      <c r="B214" s="55" t="n"/>
      <c r="C214" s="55" t="n"/>
      <c r="D214" s="56" t="n"/>
      <c r="E214" s="56" t="n"/>
      <c r="F214" s="55" t="n"/>
      <c r="G214" s="55" t="n"/>
      <c r="H214" s="57" t="n"/>
      <c r="I214" s="57" t="n"/>
      <c r="J214" s="57" t="n"/>
      <c r="K214" s="57" t="n"/>
      <c r="L214" s="55" t="n"/>
      <c r="M214" s="55" t="n"/>
      <c r="N214" s="55" t="n"/>
      <c r="O214" s="55" t="n"/>
      <c r="P214" s="55" t="n"/>
      <c r="Q214" s="55" t="n"/>
      <c r="R214" s="58" t="n"/>
      <c r="S214" s="59">
        <f>IF(OR(tblPlant[[#This Row],[Milled_t]]="",tblPlant[[#This Row],[Head_Grade_gpt]]=""),"",tblPlant[[#This Row],[Milled_t]]*tblPlant[[#This Row],[Head_Grade_gpt]]/cfg_TroyOz)</f>
        <v/>
      </c>
      <c r="T214" s="59">
        <f>IF(OR(tblPlant[[#This Row],[Milled_t]]="",tblPlant[[#This Row],[Tails_Grade_gpt]]=""),"",tblPlant[[#This Row],[Milled_t]]*tblPlant[[#This Row],[Tails_Grade_gpt]]/cfg_TroyOz)</f>
        <v/>
      </c>
      <c r="U214" s="59">
        <f>IF(OR(tblPlant[[#This Row],[Milled_t]]="",tblPlant[[#This Row],[Head_Grade_gpt]]="",tblPlant[[#This Row],[Tails_Grade_gpt]]=""),"",tblPlant[[#This Row],[Feed_oz]]-tblPlant[[#This Row],[Tails_oz]])</f>
        <v/>
      </c>
      <c r="V214" s="60">
        <f>IF(AND(ISNUMBER(tblPlant[[#This Row],[Recovered_oz]]),tblPlant[[#This Row],[Feed_oz]]&gt;0),tblPlant[[#This Row],[Recovered_oz]]/tblPlant[[#This Row],[Feed_oz]],"")</f>
        <v/>
      </c>
      <c r="W214" s="59">
        <f>IF(AND(tblPlant[[#This Row],[Milled_t]]&lt;&gt;"",tblPlant[[#This Row],[Mill_Run_h]]&gt;0),tblPlant[[#This Row],[Milled_t]]/tblPlant[[#This Row],[Mill_Run_h]],"")</f>
        <v/>
      </c>
      <c r="X214" s="60">
        <f>IF(AND(tblPlant[[#This Row],[Mill_Run_h]]="",tblPlant[[#This Row],[Mill_Planned_Maint_h]]="",tblPlant[[#This Row],[Mill_Unplanned_Down_h]]=""),"",(cfg_HoursPerDay-tblPlant[[#This Row],[Mill_Planned_Maint_h]]-tblPlant[[#This Row],[Mill_Unplanned_Down_h]])/cfg_HoursPerDay)</f>
        <v/>
      </c>
      <c r="Y21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5">
      <c r="A215" s="54" t="n">
        <v>46232</v>
      </c>
      <c r="B215" s="55" t="n"/>
      <c r="C215" s="55" t="n"/>
      <c r="D215" s="56" t="n"/>
      <c r="E215" s="56" t="n"/>
      <c r="F215" s="55" t="n"/>
      <c r="G215" s="55" t="n"/>
      <c r="H215" s="57" t="n"/>
      <c r="I215" s="57" t="n"/>
      <c r="J215" s="57" t="n"/>
      <c r="K215" s="57" t="n"/>
      <c r="L215" s="55" t="n"/>
      <c r="M215" s="55" t="n"/>
      <c r="N215" s="55" t="n"/>
      <c r="O215" s="55" t="n"/>
      <c r="P215" s="55" t="n"/>
      <c r="Q215" s="55" t="n"/>
      <c r="R215" s="58" t="n"/>
      <c r="S215" s="59">
        <f>IF(OR(tblPlant[[#This Row],[Milled_t]]="",tblPlant[[#This Row],[Head_Grade_gpt]]=""),"",tblPlant[[#This Row],[Milled_t]]*tblPlant[[#This Row],[Head_Grade_gpt]]/cfg_TroyOz)</f>
        <v/>
      </c>
      <c r="T215" s="59">
        <f>IF(OR(tblPlant[[#This Row],[Milled_t]]="",tblPlant[[#This Row],[Tails_Grade_gpt]]=""),"",tblPlant[[#This Row],[Milled_t]]*tblPlant[[#This Row],[Tails_Grade_gpt]]/cfg_TroyOz)</f>
        <v/>
      </c>
      <c r="U215" s="59">
        <f>IF(OR(tblPlant[[#This Row],[Milled_t]]="",tblPlant[[#This Row],[Head_Grade_gpt]]="",tblPlant[[#This Row],[Tails_Grade_gpt]]=""),"",tblPlant[[#This Row],[Feed_oz]]-tblPlant[[#This Row],[Tails_oz]])</f>
        <v/>
      </c>
      <c r="V215" s="60">
        <f>IF(AND(ISNUMBER(tblPlant[[#This Row],[Recovered_oz]]),tblPlant[[#This Row],[Feed_oz]]&gt;0),tblPlant[[#This Row],[Recovered_oz]]/tblPlant[[#This Row],[Feed_oz]],"")</f>
        <v/>
      </c>
      <c r="W215" s="59">
        <f>IF(AND(tblPlant[[#This Row],[Milled_t]]&lt;&gt;"",tblPlant[[#This Row],[Mill_Run_h]]&gt;0),tblPlant[[#This Row],[Milled_t]]/tblPlant[[#This Row],[Mill_Run_h]],"")</f>
        <v/>
      </c>
      <c r="X215" s="60">
        <f>IF(AND(tblPlant[[#This Row],[Mill_Run_h]]="",tblPlant[[#This Row],[Mill_Planned_Maint_h]]="",tblPlant[[#This Row],[Mill_Unplanned_Down_h]]=""),"",(cfg_HoursPerDay-tblPlant[[#This Row],[Mill_Planned_Maint_h]]-tblPlant[[#This Row],[Mill_Unplanned_Down_h]])/cfg_HoursPerDay)</f>
        <v/>
      </c>
      <c r="Y21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6">
      <c r="A216" s="54" t="n">
        <v>46233</v>
      </c>
      <c r="B216" s="55" t="n"/>
      <c r="C216" s="55" t="n"/>
      <c r="D216" s="56" t="n"/>
      <c r="E216" s="56" t="n"/>
      <c r="F216" s="55" t="n"/>
      <c r="G216" s="55" t="n"/>
      <c r="H216" s="57" t="n"/>
      <c r="I216" s="57" t="n"/>
      <c r="J216" s="57" t="n"/>
      <c r="K216" s="57" t="n"/>
      <c r="L216" s="55" t="n"/>
      <c r="M216" s="55" t="n"/>
      <c r="N216" s="55" t="n"/>
      <c r="O216" s="55" t="n"/>
      <c r="P216" s="55" t="n"/>
      <c r="Q216" s="55" t="n"/>
      <c r="R216" s="58" t="n"/>
      <c r="S216" s="59">
        <f>IF(OR(tblPlant[[#This Row],[Milled_t]]="",tblPlant[[#This Row],[Head_Grade_gpt]]=""),"",tblPlant[[#This Row],[Milled_t]]*tblPlant[[#This Row],[Head_Grade_gpt]]/cfg_TroyOz)</f>
        <v/>
      </c>
      <c r="T216" s="59">
        <f>IF(OR(tblPlant[[#This Row],[Milled_t]]="",tblPlant[[#This Row],[Tails_Grade_gpt]]=""),"",tblPlant[[#This Row],[Milled_t]]*tblPlant[[#This Row],[Tails_Grade_gpt]]/cfg_TroyOz)</f>
        <v/>
      </c>
      <c r="U216" s="59">
        <f>IF(OR(tblPlant[[#This Row],[Milled_t]]="",tblPlant[[#This Row],[Head_Grade_gpt]]="",tblPlant[[#This Row],[Tails_Grade_gpt]]=""),"",tblPlant[[#This Row],[Feed_oz]]-tblPlant[[#This Row],[Tails_oz]])</f>
        <v/>
      </c>
      <c r="V216" s="60">
        <f>IF(AND(ISNUMBER(tblPlant[[#This Row],[Recovered_oz]]),tblPlant[[#This Row],[Feed_oz]]&gt;0),tblPlant[[#This Row],[Recovered_oz]]/tblPlant[[#This Row],[Feed_oz]],"")</f>
        <v/>
      </c>
      <c r="W216" s="59">
        <f>IF(AND(tblPlant[[#This Row],[Milled_t]]&lt;&gt;"",tblPlant[[#This Row],[Mill_Run_h]]&gt;0),tblPlant[[#This Row],[Milled_t]]/tblPlant[[#This Row],[Mill_Run_h]],"")</f>
        <v/>
      </c>
      <c r="X216" s="60">
        <f>IF(AND(tblPlant[[#This Row],[Mill_Run_h]]="",tblPlant[[#This Row],[Mill_Planned_Maint_h]]="",tblPlant[[#This Row],[Mill_Unplanned_Down_h]]=""),"",(cfg_HoursPerDay-tblPlant[[#This Row],[Mill_Planned_Maint_h]]-tblPlant[[#This Row],[Mill_Unplanned_Down_h]])/cfg_HoursPerDay)</f>
        <v/>
      </c>
      <c r="Y21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7">
      <c r="A217" s="54" t="n">
        <v>46234</v>
      </c>
      <c r="B217" s="55" t="n"/>
      <c r="C217" s="55" t="n"/>
      <c r="D217" s="56" t="n"/>
      <c r="E217" s="56" t="n"/>
      <c r="F217" s="55" t="n"/>
      <c r="G217" s="55" t="n"/>
      <c r="H217" s="57" t="n"/>
      <c r="I217" s="57" t="n"/>
      <c r="J217" s="57" t="n"/>
      <c r="K217" s="57" t="n"/>
      <c r="L217" s="55" t="n"/>
      <c r="M217" s="55" t="n"/>
      <c r="N217" s="55" t="n"/>
      <c r="O217" s="55" t="n"/>
      <c r="P217" s="55" t="n"/>
      <c r="Q217" s="55" t="n"/>
      <c r="R217" s="58" t="n"/>
      <c r="S217" s="59">
        <f>IF(OR(tblPlant[[#This Row],[Milled_t]]="",tblPlant[[#This Row],[Head_Grade_gpt]]=""),"",tblPlant[[#This Row],[Milled_t]]*tblPlant[[#This Row],[Head_Grade_gpt]]/cfg_TroyOz)</f>
        <v/>
      </c>
      <c r="T217" s="59">
        <f>IF(OR(tblPlant[[#This Row],[Milled_t]]="",tblPlant[[#This Row],[Tails_Grade_gpt]]=""),"",tblPlant[[#This Row],[Milled_t]]*tblPlant[[#This Row],[Tails_Grade_gpt]]/cfg_TroyOz)</f>
        <v/>
      </c>
      <c r="U217" s="59">
        <f>IF(OR(tblPlant[[#This Row],[Milled_t]]="",tblPlant[[#This Row],[Head_Grade_gpt]]="",tblPlant[[#This Row],[Tails_Grade_gpt]]=""),"",tblPlant[[#This Row],[Feed_oz]]-tblPlant[[#This Row],[Tails_oz]])</f>
        <v/>
      </c>
      <c r="V217" s="60">
        <f>IF(AND(ISNUMBER(tblPlant[[#This Row],[Recovered_oz]]),tblPlant[[#This Row],[Feed_oz]]&gt;0),tblPlant[[#This Row],[Recovered_oz]]/tblPlant[[#This Row],[Feed_oz]],"")</f>
        <v/>
      </c>
      <c r="W217" s="59">
        <f>IF(AND(tblPlant[[#This Row],[Milled_t]]&lt;&gt;"",tblPlant[[#This Row],[Mill_Run_h]]&gt;0),tblPlant[[#This Row],[Milled_t]]/tblPlant[[#This Row],[Mill_Run_h]],"")</f>
        <v/>
      </c>
      <c r="X217" s="60">
        <f>IF(AND(tblPlant[[#This Row],[Mill_Run_h]]="",tblPlant[[#This Row],[Mill_Planned_Maint_h]]="",tblPlant[[#This Row],[Mill_Unplanned_Down_h]]=""),"",(cfg_HoursPerDay-tblPlant[[#This Row],[Mill_Planned_Maint_h]]-tblPlant[[#This Row],[Mill_Unplanned_Down_h]])/cfg_HoursPerDay)</f>
        <v/>
      </c>
      <c r="Y21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8">
      <c r="A218" s="54" t="n">
        <v>46235</v>
      </c>
      <c r="B218" s="55" t="n"/>
      <c r="C218" s="55" t="n"/>
      <c r="D218" s="56" t="n"/>
      <c r="E218" s="56" t="n"/>
      <c r="F218" s="55" t="n"/>
      <c r="G218" s="55" t="n"/>
      <c r="H218" s="57" t="n"/>
      <c r="I218" s="57" t="n"/>
      <c r="J218" s="57" t="n"/>
      <c r="K218" s="57" t="n"/>
      <c r="L218" s="55" t="n"/>
      <c r="M218" s="55" t="n"/>
      <c r="N218" s="55" t="n"/>
      <c r="O218" s="55" t="n"/>
      <c r="P218" s="55" t="n"/>
      <c r="Q218" s="55" t="n"/>
      <c r="R218" s="58" t="n"/>
      <c r="S218" s="59">
        <f>IF(OR(tblPlant[[#This Row],[Milled_t]]="",tblPlant[[#This Row],[Head_Grade_gpt]]=""),"",tblPlant[[#This Row],[Milled_t]]*tblPlant[[#This Row],[Head_Grade_gpt]]/cfg_TroyOz)</f>
        <v/>
      </c>
      <c r="T218" s="59">
        <f>IF(OR(tblPlant[[#This Row],[Milled_t]]="",tblPlant[[#This Row],[Tails_Grade_gpt]]=""),"",tblPlant[[#This Row],[Milled_t]]*tblPlant[[#This Row],[Tails_Grade_gpt]]/cfg_TroyOz)</f>
        <v/>
      </c>
      <c r="U218" s="59">
        <f>IF(OR(tblPlant[[#This Row],[Milled_t]]="",tblPlant[[#This Row],[Head_Grade_gpt]]="",tblPlant[[#This Row],[Tails_Grade_gpt]]=""),"",tblPlant[[#This Row],[Feed_oz]]-tblPlant[[#This Row],[Tails_oz]])</f>
        <v/>
      </c>
      <c r="V218" s="60">
        <f>IF(AND(ISNUMBER(tblPlant[[#This Row],[Recovered_oz]]),tblPlant[[#This Row],[Feed_oz]]&gt;0),tblPlant[[#This Row],[Recovered_oz]]/tblPlant[[#This Row],[Feed_oz]],"")</f>
        <v/>
      </c>
      <c r="W218" s="59">
        <f>IF(AND(tblPlant[[#This Row],[Milled_t]]&lt;&gt;"",tblPlant[[#This Row],[Mill_Run_h]]&gt;0),tblPlant[[#This Row],[Milled_t]]/tblPlant[[#This Row],[Mill_Run_h]],"")</f>
        <v/>
      </c>
      <c r="X218" s="60">
        <f>IF(AND(tblPlant[[#This Row],[Mill_Run_h]]="",tblPlant[[#This Row],[Mill_Planned_Maint_h]]="",tblPlant[[#This Row],[Mill_Unplanned_Down_h]]=""),"",(cfg_HoursPerDay-tblPlant[[#This Row],[Mill_Planned_Maint_h]]-tblPlant[[#This Row],[Mill_Unplanned_Down_h]])/cfg_HoursPerDay)</f>
        <v/>
      </c>
      <c r="Y21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19">
      <c r="A219" s="54" t="n">
        <v>46236</v>
      </c>
      <c r="B219" s="55" t="n"/>
      <c r="C219" s="55" t="n"/>
      <c r="D219" s="56" t="n"/>
      <c r="E219" s="56" t="n"/>
      <c r="F219" s="55" t="n"/>
      <c r="G219" s="55" t="n"/>
      <c r="H219" s="57" t="n"/>
      <c r="I219" s="57" t="n"/>
      <c r="J219" s="57" t="n"/>
      <c r="K219" s="57" t="n"/>
      <c r="L219" s="55" t="n"/>
      <c r="M219" s="55" t="n"/>
      <c r="N219" s="55" t="n"/>
      <c r="O219" s="55" t="n"/>
      <c r="P219" s="55" t="n"/>
      <c r="Q219" s="55" t="n"/>
      <c r="R219" s="58" t="n"/>
      <c r="S219" s="59">
        <f>IF(OR(tblPlant[[#This Row],[Milled_t]]="",tblPlant[[#This Row],[Head_Grade_gpt]]=""),"",tblPlant[[#This Row],[Milled_t]]*tblPlant[[#This Row],[Head_Grade_gpt]]/cfg_TroyOz)</f>
        <v/>
      </c>
      <c r="T219" s="59">
        <f>IF(OR(tblPlant[[#This Row],[Milled_t]]="",tblPlant[[#This Row],[Tails_Grade_gpt]]=""),"",tblPlant[[#This Row],[Milled_t]]*tblPlant[[#This Row],[Tails_Grade_gpt]]/cfg_TroyOz)</f>
        <v/>
      </c>
      <c r="U219" s="59">
        <f>IF(OR(tblPlant[[#This Row],[Milled_t]]="",tblPlant[[#This Row],[Head_Grade_gpt]]="",tblPlant[[#This Row],[Tails_Grade_gpt]]=""),"",tblPlant[[#This Row],[Feed_oz]]-tblPlant[[#This Row],[Tails_oz]])</f>
        <v/>
      </c>
      <c r="V219" s="60">
        <f>IF(AND(ISNUMBER(tblPlant[[#This Row],[Recovered_oz]]),tblPlant[[#This Row],[Feed_oz]]&gt;0),tblPlant[[#This Row],[Recovered_oz]]/tblPlant[[#This Row],[Feed_oz]],"")</f>
        <v/>
      </c>
      <c r="W219" s="59">
        <f>IF(AND(tblPlant[[#This Row],[Milled_t]]&lt;&gt;"",tblPlant[[#This Row],[Mill_Run_h]]&gt;0),tblPlant[[#This Row],[Milled_t]]/tblPlant[[#This Row],[Mill_Run_h]],"")</f>
        <v/>
      </c>
      <c r="X219" s="60">
        <f>IF(AND(tblPlant[[#This Row],[Mill_Run_h]]="",tblPlant[[#This Row],[Mill_Planned_Maint_h]]="",tblPlant[[#This Row],[Mill_Unplanned_Down_h]]=""),"",(cfg_HoursPerDay-tblPlant[[#This Row],[Mill_Planned_Maint_h]]-tblPlant[[#This Row],[Mill_Unplanned_Down_h]])/cfg_HoursPerDay)</f>
        <v/>
      </c>
      <c r="Y21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0">
      <c r="A220" s="54" t="n">
        <v>46237</v>
      </c>
      <c r="B220" s="55" t="n"/>
      <c r="C220" s="55" t="n"/>
      <c r="D220" s="56" t="n"/>
      <c r="E220" s="56" t="n"/>
      <c r="F220" s="55" t="n"/>
      <c r="G220" s="55" t="n"/>
      <c r="H220" s="57" t="n"/>
      <c r="I220" s="57" t="n"/>
      <c r="J220" s="57" t="n"/>
      <c r="K220" s="57" t="n"/>
      <c r="L220" s="55" t="n"/>
      <c r="M220" s="55" t="n"/>
      <c r="N220" s="55" t="n"/>
      <c r="O220" s="55" t="n"/>
      <c r="P220" s="55" t="n"/>
      <c r="Q220" s="55" t="n"/>
      <c r="R220" s="58" t="n"/>
      <c r="S220" s="59">
        <f>IF(OR(tblPlant[[#This Row],[Milled_t]]="",tblPlant[[#This Row],[Head_Grade_gpt]]=""),"",tblPlant[[#This Row],[Milled_t]]*tblPlant[[#This Row],[Head_Grade_gpt]]/cfg_TroyOz)</f>
        <v/>
      </c>
      <c r="T220" s="59">
        <f>IF(OR(tblPlant[[#This Row],[Milled_t]]="",tblPlant[[#This Row],[Tails_Grade_gpt]]=""),"",tblPlant[[#This Row],[Milled_t]]*tblPlant[[#This Row],[Tails_Grade_gpt]]/cfg_TroyOz)</f>
        <v/>
      </c>
      <c r="U220" s="59">
        <f>IF(OR(tblPlant[[#This Row],[Milled_t]]="",tblPlant[[#This Row],[Head_Grade_gpt]]="",tblPlant[[#This Row],[Tails_Grade_gpt]]=""),"",tblPlant[[#This Row],[Feed_oz]]-tblPlant[[#This Row],[Tails_oz]])</f>
        <v/>
      </c>
      <c r="V220" s="60">
        <f>IF(AND(ISNUMBER(tblPlant[[#This Row],[Recovered_oz]]),tblPlant[[#This Row],[Feed_oz]]&gt;0),tblPlant[[#This Row],[Recovered_oz]]/tblPlant[[#This Row],[Feed_oz]],"")</f>
        <v/>
      </c>
      <c r="W220" s="59">
        <f>IF(AND(tblPlant[[#This Row],[Milled_t]]&lt;&gt;"",tblPlant[[#This Row],[Mill_Run_h]]&gt;0),tblPlant[[#This Row],[Milled_t]]/tblPlant[[#This Row],[Mill_Run_h]],"")</f>
        <v/>
      </c>
      <c r="X220" s="60">
        <f>IF(AND(tblPlant[[#This Row],[Mill_Run_h]]="",tblPlant[[#This Row],[Mill_Planned_Maint_h]]="",tblPlant[[#This Row],[Mill_Unplanned_Down_h]]=""),"",(cfg_HoursPerDay-tblPlant[[#This Row],[Mill_Planned_Maint_h]]-tblPlant[[#This Row],[Mill_Unplanned_Down_h]])/cfg_HoursPerDay)</f>
        <v/>
      </c>
      <c r="Y22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1">
      <c r="A221" s="54" t="n">
        <v>46238</v>
      </c>
      <c r="B221" s="55" t="n"/>
      <c r="C221" s="55" t="n"/>
      <c r="D221" s="56" t="n"/>
      <c r="E221" s="56" t="n"/>
      <c r="F221" s="55" t="n"/>
      <c r="G221" s="55" t="n"/>
      <c r="H221" s="57" t="n"/>
      <c r="I221" s="57" t="n"/>
      <c r="J221" s="57" t="n"/>
      <c r="K221" s="57" t="n"/>
      <c r="L221" s="55" t="n"/>
      <c r="M221" s="55" t="n"/>
      <c r="N221" s="55" t="n"/>
      <c r="O221" s="55" t="n"/>
      <c r="P221" s="55" t="n"/>
      <c r="Q221" s="55" t="n"/>
      <c r="R221" s="58" t="n"/>
      <c r="S221" s="59">
        <f>IF(OR(tblPlant[[#This Row],[Milled_t]]="",tblPlant[[#This Row],[Head_Grade_gpt]]=""),"",tblPlant[[#This Row],[Milled_t]]*tblPlant[[#This Row],[Head_Grade_gpt]]/cfg_TroyOz)</f>
        <v/>
      </c>
      <c r="T221" s="59">
        <f>IF(OR(tblPlant[[#This Row],[Milled_t]]="",tblPlant[[#This Row],[Tails_Grade_gpt]]=""),"",tblPlant[[#This Row],[Milled_t]]*tblPlant[[#This Row],[Tails_Grade_gpt]]/cfg_TroyOz)</f>
        <v/>
      </c>
      <c r="U221" s="59">
        <f>IF(OR(tblPlant[[#This Row],[Milled_t]]="",tblPlant[[#This Row],[Head_Grade_gpt]]="",tblPlant[[#This Row],[Tails_Grade_gpt]]=""),"",tblPlant[[#This Row],[Feed_oz]]-tblPlant[[#This Row],[Tails_oz]])</f>
        <v/>
      </c>
      <c r="V221" s="60">
        <f>IF(AND(ISNUMBER(tblPlant[[#This Row],[Recovered_oz]]),tblPlant[[#This Row],[Feed_oz]]&gt;0),tblPlant[[#This Row],[Recovered_oz]]/tblPlant[[#This Row],[Feed_oz]],"")</f>
        <v/>
      </c>
      <c r="W221" s="59">
        <f>IF(AND(tblPlant[[#This Row],[Milled_t]]&lt;&gt;"",tblPlant[[#This Row],[Mill_Run_h]]&gt;0),tblPlant[[#This Row],[Milled_t]]/tblPlant[[#This Row],[Mill_Run_h]],"")</f>
        <v/>
      </c>
      <c r="X221" s="60">
        <f>IF(AND(tblPlant[[#This Row],[Mill_Run_h]]="",tblPlant[[#This Row],[Mill_Planned_Maint_h]]="",tblPlant[[#This Row],[Mill_Unplanned_Down_h]]=""),"",(cfg_HoursPerDay-tblPlant[[#This Row],[Mill_Planned_Maint_h]]-tblPlant[[#This Row],[Mill_Unplanned_Down_h]])/cfg_HoursPerDay)</f>
        <v/>
      </c>
      <c r="Y22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2">
      <c r="A222" s="54" t="n">
        <v>46239</v>
      </c>
      <c r="B222" s="55" t="n"/>
      <c r="C222" s="55" t="n"/>
      <c r="D222" s="56" t="n"/>
      <c r="E222" s="56" t="n"/>
      <c r="F222" s="55" t="n"/>
      <c r="G222" s="55" t="n"/>
      <c r="H222" s="57" t="n"/>
      <c r="I222" s="57" t="n"/>
      <c r="J222" s="57" t="n"/>
      <c r="K222" s="57" t="n"/>
      <c r="L222" s="55" t="n"/>
      <c r="M222" s="55" t="n"/>
      <c r="N222" s="55" t="n"/>
      <c r="O222" s="55" t="n"/>
      <c r="P222" s="55" t="n"/>
      <c r="Q222" s="55" t="n"/>
      <c r="R222" s="58" t="n"/>
      <c r="S222" s="59">
        <f>IF(OR(tblPlant[[#This Row],[Milled_t]]="",tblPlant[[#This Row],[Head_Grade_gpt]]=""),"",tblPlant[[#This Row],[Milled_t]]*tblPlant[[#This Row],[Head_Grade_gpt]]/cfg_TroyOz)</f>
        <v/>
      </c>
      <c r="T222" s="59">
        <f>IF(OR(tblPlant[[#This Row],[Milled_t]]="",tblPlant[[#This Row],[Tails_Grade_gpt]]=""),"",tblPlant[[#This Row],[Milled_t]]*tblPlant[[#This Row],[Tails_Grade_gpt]]/cfg_TroyOz)</f>
        <v/>
      </c>
      <c r="U222" s="59">
        <f>IF(OR(tblPlant[[#This Row],[Milled_t]]="",tblPlant[[#This Row],[Head_Grade_gpt]]="",tblPlant[[#This Row],[Tails_Grade_gpt]]=""),"",tblPlant[[#This Row],[Feed_oz]]-tblPlant[[#This Row],[Tails_oz]])</f>
        <v/>
      </c>
      <c r="V222" s="60">
        <f>IF(AND(ISNUMBER(tblPlant[[#This Row],[Recovered_oz]]),tblPlant[[#This Row],[Feed_oz]]&gt;0),tblPlant[[#This Row],[Recovered_oz]]/tblPlant[[#This Row],[Feed_oz]],"")</f>
        <v/>
      </c>
      <c r="W222" s="59">
        <f>IF(AND(tblPlant[[#This Row],[Milled_t]]&lt;&gt;"",tblPlant[[#This Row],[Mill_Run_h]]&gt;0),tblPlant[[#This Row],[Milled_t]]/tblPlant[[#This Row],[Mill_Run_h]],"")</f>
        <v/>
      </c>
      <c r="X222" s="60">
        <f>IF(AND(tblPlant[[#This Row],[Mill_Run_h]]="",tblPlant[[#This Row],[Mill_Planned_Maint_h]]="",tblPlant[[#This Row],[Mill_Unplanned_Down_h]]=""),"",(cfg_HoursPerDay-tblPlant[[#This Row],[Mill_Planned_Maint_h]]-tblPlant[[#This Row],[Mill_Unplanned_Down_h]])/cfg_HoursPerDay)</f>
        <v/>
      </c>
      <c r="Y22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3">
      <c r="A223" s="54" t="n">
        <v>46240</v>
      </c>
      <c r="B223" s="55" t="n"/>
      <c r="C223" s="55" t="n"/>
      <c r="D223" s="56" t="n"/>
      <c r="E223" s="56" t="n"/>
      <c r="F223" s="55" t="n"/>
      <c r="G223" s="55" t="n"/>
      <c r="H223" s="57" t="n"/>
      <c r="I223" s="57" t="n"/>
      <c r="J223" s="57" t="n"/>
      <c r="K223" s="57" t="n"/>
      <c r="L223" s="55" t="n"/>
      <c r="M223" s="55" t="n"/>
      <c r="N223" s="55" t="n"/>
      <c r="O223" s="55" t="n"/>
      <c r="P223" s="55" t="n"/>
      <c r="Q223" s="55" t="n"/>
      <c r="R223" s="58" t="n"/>
      <c r="S223" s="59">
        <f>IF(OR(tblPlant[[#This Row],[Milled_t]]="",tblPlant[[#This Row],[Head_Grade_gpt]]=""),"",tblPlant[[#This Row],[Milled_t]]*tblPlant[[#This Row],[Head_Grade_gpt]]/cfg_TroyOz)</f>
        <v/>
      </c>
      <c r="T223" s="59">
        <f>IF(OR(tblPlant[[#This Row],[Milled_t]]="",tblPlant[[#This Row],[Tails_Grade_gpt]]=""),"",tblPlant[[#This Row],[Milled_t]]*tblPlant[[#This Row],[Tails_Grade_gpt]]/cfg_TroyOz)</f>
        <v/>
      </c>
      <c r="U223" s="59">
        <f>IF(OR(tblPlant[[#This Row],[Milled_t]]="",tblPlant[[#This Row],[Head_Grade_gpt]]="",tblPlant[[#This Row],[Tails_Grade_gpt]]=""),"",tblPlant[[#This Row],[Feed_oz]]-tblPlant[[#This Row],[Tails_oz]])</f>
        <v/>
      </c>
      <c r="V223" s="60">
        <f>IF(AND(ISNUMBER(tblPlant[[#This Row],[Recovered_oz]]),tblPlant[[#This Row],[Feed_oz]]&gt;0),tblPlant[[#This Row],[Recovered_oz]]/tblPlant[[#This Row],[Feed_oz]],"")</f>
        <v/>
      </c>
      <c r="W223" s="59">
        <f>IF(AND(tblPlant[[#This Row],[Milled_t]]&lt;&gt;"",tblPlant[[#This Row],[Mill_Run_h]]&gt;0),tblPlant[[#This Row],[Milled_t]]/tblPlant[[#This Row],[Mill_Run_h]],"")</f>
        <v/>
      </c>
      <c r="X223" s="60">
        <f>IF(AND(tblPlant[[#This Row],[Mill_Run_h]]="",tblPlant[[#This Row],[Mill_Planned_Maint_h]]="",tblPlant[[#This Row],[Mill_Unplanned_Down_h]]=""),"",(cfg_HoursPerDay-tblPlant[[#This Row],[Mill_Planned_Maint_h]]-tblPlant[[#This Row],[Mill_Unplanned_Down_h]])/cfg_HoursPerDay)</f>
        <v/>
      </c>
      <c r="Y22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4">
      <c r="A224" s="54" t="n">
        <v>46241</v>
      </c>
      <c r="B224" s="55" t="n"/>
      <c r="C224" s="55" t="n"/>
      <c r="D224" s="56" t="n"/>
      <c r="E224" s="56" t="n"/>
      <c r="F224" s="55" t="n"/>
      <c r="G224" s="55" t="n"/>
      <c r="H224" s="57" t="n"/>
      <c r="I224" s="57" t="n"/>
      <c r="J224" s="57" t="n"/>
      <c r="K224" s="57" t="n"/>
      <c r="L224" s="55" t="n"/>
      <c r="M224" s="55" t="n"/>
      <c r="N224" s="55" t="n"/>
      <c r="O224" s="55" t="n"/>
      <c r="P224" s="55" t="n"/>
      <c r="Q224" s="55" t="n"/>
      <c r="R224" s="58" t="n"/>
      <c r="S224" s="59">
        <f>IF(OR(tblPlant[[#This Row],[Milled_t]]="",tblPlant[[#This Row],[Head_Grade_gpt]]=""),"",tblPlant[[#This Row],[Milled_t]]*tblPlant[[#This Row],[Head_Grade_gpt]]/cfg_TroyOz)</f>
        <v/>
      </c>
      <c r="T224" s="59">
        <f>IF(OR(tblPlant[[#This Row],[Milled_t]]="",tblPlant[[#This Row],[Tails_Grade_gpt]]=""),"",tblPlant[[#This Row],[Milled_t]]*tblPlant[[#This Row],[Tails_Grade_gpt]]/cfg_TroyOz)</f>
        <v/>
      </c>
      <c r="U224" s="59">
        <f>IF(OR(tblPlant[[#This Row],[Milled_t]]="",tblPlant[[#This Row],[Head_Grade_gpt]]="",tblPlant[[#This Row],[Tails_Grade_gpt]]=""),"",tblPlant[[#This Row],[Feed_oz]]-tblPlant[[#This Row],[Tails_oz]])</f>
        <v/>
      </c>
      <c r="V224" s="60">
        <f>IF(AND(ISNUMBER(tblPlant[[#This Row],[Recovered_oz]]),tblPlant[[#This Row],[Feed_oz]]&gt;0),tblPlant[[#This Row],[Recovered_oz]]/tblPlant[[#This Row],[Feed_oz]],"")</f>
        <v/>
      </c>
      <c r="W224" s="59">
        <f>IF(AND(tblPlant[[#This Row],[Milled_t]]&lt;&gt;"",tblPlant[[#This Row],[Mill_Run_h]]&gt;0),tblPlant[[#This Row],[Milled_t]]/tblPlant[[#This Row],[Mill_Run_h]],"")</f>
        <v/>
      </c>
      <c r="X224" s="60">
        <f>IF(AND(tblPlant[[#This Row],[Mill_Run_h]]="",tblPlant[[#This Row],[Mill_Planned_Maint_h]]="",tblPlant[[#This Row],[Mill_Unplanned_Down_h]]=""),"",(cfg_HoursPerDay-tblPlant[[#This Row],[Mill_Planned_Maint_h]]-tblPlant[[#This Row],[Mill_Unplanned_Down_h]])/cfg_HoursPerDay)</f>
        <v/>
      </c>
      <c r="Y22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5">
      <c r="A225" s="54" t="n">
        <v>46242</v>
      </c>
      <c r="B225" s="55" t="n"/>
      <c r="C225" s="55" t="n"/>
      <c r="D225" s="56" t="n"/>
      <c r="E225" s="56" t="n"/>
      <c r="F225" s="55" t="n"/>
      <c r="G225" s="55" t="n"/>
      <c r="H225" s="57" t="n"/>
      <c r="I225" s="57" t="n"/>
      <c r="J225" s="57" t="n"/>
      <c r="K225" s="57" t="n"/>
      <c r="L225" s="55" t="n"/>
      <c r="M225" s="55" t="n"/>
      <c r="N225" s="55" t="n"/>
      <c r="O225" s="55" t="n"/>
      <c r="P225" s="55" t="n"/>
      <c r="Q225" s="55" t="n"/>
      <c r="R225" s="58" t="n"/>
      <c r="S225" s="59">
        <f>IF(OR(tblPlant[[#This Row],[Milled_t]]="",tblPlant[[#This Row],[Head_Grade_gpt]]=""),"",tblPlant[[#This Row],[Milled_t]]*tblPlant[[#This Row],[Head_Grade_gpt]]/cfg_TroyOz)</f>
        <v/>
      </c>
      <c r="T225" s="59">
        <f>IF(OR(tblPlant[[#This Row],[Milled_t]]="",tblPlant[[#This Row],[Tails_Grade_gpt]]=""),"",tblPlant[[#This Row],[Milled_t]]*tblPlant[[#This Row],[Tails_Grade_gpt]]/cfg_TroyOz)</f>
        <v/>
      </c>
      <c r="U225" s="59">
        <f>IF(OR(tblPlant[[#This Row],[Milled_t]]="",tblPlant[[#This Row],[Head_Grade_gpt]]="",tblPlant[[#This Row],[Tails_Grade_gpt]]=""),"",tblPlant[[#This Row],[Feed_oz]]-tblPlant[[#This Row],[Tails_oz]])</f>
        <v/>
      </c>
      <c r="V225" s="60">
        <f>IF(AND(ISNUMBER(tblPlant[[#This Row],[Recovered_oz]]),tblPlant[[#This Row],[Feed_oz]]&gt;0),tblPlant[[#This Row],[Recovered_oz]]/tblPlant[[#This Row],[Feed_oz]],"")</f>
        <v/>
      </c>
      <c r="W225" s="59">
        <f>IF(AND(tblPlant[[#This Row],[Milled_t]]&lt;&gt;"",tblPlant[[#This Row],[Mill_Run_h]]&gt;0),tblPlant[[#This Row],[Milled_t]]/tblPlant[[#This Row],[Mill_Run_h]],"")</f>
        <v/>
      </c>
      <c r="X225" s="60">
        <f>IF(AND(tblPlant[[#This Row],[Mill_Run_h]]="",tblPlant[[#This Row],[Mill_Planned_Maint_h]]="",tblPlant[[#This Row],[Mill_Unplanned_Down_h]]=""),"",(cfg_HoursPerDay-tblPlant[[#This Row],[Mill_Planned_Maint_h]]-tblPlant[[#This Row],[Mill_Unplanned_Down_h]])/cfg_HoursPerDay)</f>
        <v/>
      </c>
      <c r="Y22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6">
      <c r="A226" s="54" t="n">
        <v>46243</v>
      </c>
      <c r="B226" s="55" t="n"/>
      <c r="C226" s="55" t="n"/>
      <c r="D226" s="56" t="n"/>
      <c r="E226" s="56" t="n"/>
      <c r="F226" s="55" t="n"/>
      <c r="G226" s="55" t="n"/>
      <c r="H226" s="57" t="n"/>
      <c r="I226" s="57" t="n"/>
      <c r="J226" s="57" t="n"/>
      <c r="K226" s="57" t="n"/>
      <c r="L226" s="55" t="n"/>
      <c r="M226" s="55" t="n"/>
      <c r="N226" s="55" t="n"/>
      <c r="O226" s="55" t="n"/>
      <c r="P226" s="55" t="n"/>
      <c r="Q226" s="55" t="n"/>
      <c r="R226" s="58" t="n"/>
      <c r="S226" s="59">
        <f>IF(OR(tblPlant[[#This Row],[Milled_t]]="",tblPlant[[#This Row],[Head_Grade_gpt]]=""),"",tblPlant[[#This Row],[Milled_t]]*tblPlant[[#This Row],[Head_Grade_gpt]]/cfg_TroyOz)</f>
        <v/>
      </c>
      <c r="T226" s="59">
        <f>IF(OR(tblPlant[[#This Row],[Milled_t]]="",tblPlant[[#This Row],[Tails_Grade_gpt]]=""),"",tblPlant[[#This Row],[Milled_t]]*tblPlant[[#This Row],[Tails_Grade_gpt]]/cfg_TroyOz)</f>
        <v/>
      </c>
      <c r="U226" s="59">
        <f>IF(OR(tblPlant[[#This Row],[Milled_t]]="",tblPlant[[#This Row],[Head_Grade_gpt]]="",tblPlant[[#This Row],[Tails_Grade_gpt]]=""),"",tblPlant[[#This Row],[Feed_oz]]-tblPlant[[#This Row],[Tails_oz]])</f>
        <v/>
      </c>
      <c r="V226" s="60">
        <f>IF(AND(ISNUMBER(tblPlant[[#This Row],[Recovered_oz]]),tblPlant[[#This Row],[Feed_oz]]&gt;0),tblPlant[[#This Row],[Recovered_oz]]/tblPlant[[#This Row],[Feed_oz]],"")</f>
        <v/>
      </c>
      <c r="W226" s="59">
        <f>IF(AND(tblPlant[[#This Row],[Milled_t]]&lt;&gt;"",tblPlant[[#This Row],[Mill_Run_h]]&gt;0),tblPlant[[#This Row],[Milled_t]]/tblPlant[[#This Row],[Mill_Run_h]],"")</f>
        <v/>
      </c>
      <c r="X226" s="60">
        <f>IF(AND(tblPlant[[#This Row],[Mill_Run_h]]="",tblPlant[[#This Row],[Mill_Planned_Maint_h]]="",tblPlant[[#This Row],[Mill_Unplanned_Down_h]]=""),"",(cfg_HoursPerDay-tblPlant[[#This Row],[Mill_Planned_Maint_h]]-tblPlant[[#This Row],[Mill_Unplanned_Down_h]])/cfg_HoursPerDay)</f>
        <v/>
      </c>
      <c r="Y22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7">
      <c r="A227" s="54" t="n">
        <v>46244</v>
      </c>
      <c r="B227" s="55" t="n"/>
      <c r="C227" s="55" t="n"/>
      <c r="D227" s="56" t="n"/>
      <c r="E227" s="56" t="n"/>
      <c r="F227" s="55" t="n"/>
      <c r="G227" s="55" t="n"/>
      <c r="H227" s="57" t="n"/>
      <c r="I227" s="57" t="n"/>
      <c r="J227" s="57" t="n"/>
      <c r="K227" s="57" t="n"/>
      <c r="L227" s="55" t="n"/>
      <c r="M227" s="55" t="n"/>
      <c r="N227" s="55" t="n"/>
      <c r="O227" s="55" t="n"/>
      <c r="P227" s="55" t="n"/>
      <c r="Q227" s="55" t="n"/>
      <c r="R227" s="58" t="n"/>
      <c r="S227" s="59">
        <f>IF(OR(tblPlant[[#This Row],[Milled_t]]="",tblPlant[[#This Row],[Head_Grade_gpt]]=""),"",tblPlant[[#This Row],[Milled_t]]*tblPlant[[#This Row],[Head_Grade_gpt]]/cfg_TroyOz)</f>
        <v/>
      </c>
      <c r="T227" s="59">
        <f>IF(OR(tblPlant[[#This Row],[Milled_t]]="",tblPlant[[#This Row],[Tails_Grade_gpt]]=""),"",tblPlant[[#This Row],[Milled_t]]*tblPlant[[#This Row],[Tails_Grade_gpt]]/cfg_TroyOz)</f>
        <v/>
      </c>
      <c r="U227" s="59">
        <f>IF(OR(tblPlant[[#This Row],[Milled_t]]="",tblPlant[[#This Row],[Head_Grade_gpt]]="",tblPlant[[#This Row],[Tails_Grade_gpt]]=""),"",tblPlant[[#This Row],[Feed_oz]]-tblPlant[[#This Row],[Tails_oz]])</f>
        <v/>
      </c>
      <c r="V227" s="60">
        <f>IF(AND(ISNUMBER(tblPlant[[#This Row],[Recovered_oz]]),tblPlant[[#This Row],[Feed_oz]]&gt;0),tblPlant[[#This Row],[Recovered_oz]]/tblPlant[[#This Row],[Feed_oz]],"")</f>
        <v/>
      </c>
      <c r="W227" s="59">
        <f>IF(AND(tblPlant[[#This Row],[Milled_t]]&lt;&gt;"",tblPlant[[#This Row],[Mill_Run_h]]&gt;0),tblPlant[[#This Row],[Milled_t]]/tblPlant[[#This Row],[Mill_Run_h]],"")</f>
        <v/>
      </c>
      <c r="X227" s="60">
        <f>IF(AND(tblPlant[[#This Row],[Mill_Run_h]]="",tblPlant[[#This Row],[Mill_Planned_Maint_h]]="",tblPlant[[#This Row],[Mill_Unplanned_Down_h]]=""),"",(cfg_HoursPerDay-tblPlant[[#This Row],[Mill_Planned_Maint_h]]-tblPlant[[#This Row],[Mill_Unplanned_Down_h]])/cfg_HoursPerDay)</f>
        <v/>
      </c>
      <c r="Y22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8">
      <c r="A228" s="54" t="n">
        <v>46245</v>
      </c>
      <c r="B228" s="55" t="n"/>
      <c r="C228" s="55" t="n"/>
      <c r="D228" s="56" t="n"/>
      <c r="E228" s="56" t="n"/>
      <c r="F228" s="55" t="n"/>
      <c r="G228" s="55" t="n"/>
      <c r="H228" s="57" t="n"/>
      <c r="I228" s="57" t="n"/>
      <c r="J228" s="57" t="n"/>
      <c r="K228" s="57" t="n"/>
      <c r="L228" s="55" t="n"/>
      <c r="M228" s="55" t="n"/>
      <c r="N228" s="55" t="n"/>
      <c r="O228" s="55" t="n"/>
      <c r="P228" s="55" t="n"/>
      <c r="Q228" s="55" t="n"/>
      <c r="R228" s="58" t="n"/>
      <c r="S228" s="59">
        <f>IF(OR(tblPlant[[#This Row],[Milled_t]]="",tblPlant[[#This Row],[Head_Grade_gpt]]=""),"",tblPlant[[#This Row],[Milled_t]]*tblPlant[[#This Row],[Head_Grade_gpt]]/cfg_TroyOz)</f>
        <v/>
      </c>
      <c r="T228" s="59">
        <f>IF(OR(tblPlant[[#This Row],[Milled_t]]="",tblPlant[[#This Row],[Tails_Grade_gpt]]=""),"",tblPlant[[#This Row],[Milled_t]]*tblPlant[[#This Row],[Tails_Grade_gpt]]/cfg_TroyOz)</f>
        <v/>
      </c>
      <c r="U228" s="59">
        <f>IF(OR(tblPlant[[#This Row],[Milled_t]]="",tblPlant[[#This Row],[Head_Grade_gpt]]="",tblPlant[[#This Row],[Tails_Grade_gpt]]=""),"",tblPlant[[#This Row],[Feed_oz]]-tblPlant[[#This Row],[Tails_oz]])</f>
        <v/>
      </c>
      <c r="V228" s="60">
        <f>IF(AND(ISNUMBER(tblPlant[[#This Row],[Recovered_oz]]),tblPlant[[#This Row],[Feed_oz]]&gt;0),tblPlant[[#This Row],[Recovered_oz]]/tblPlant[[#This Row],[Feed_oz]],"")</f>
        <v/>
      </c>
      <c r="W228" s="59">
        <f>IF(AND(tblPlant[[#This Row],[Milled_t]]&lt;&gt;"",tblPlant[[#This Row],[Mill_Run_h]]&gt;0),tblPlant[[#This Row],[Milled_t]]/tblPlant[[#This Row],[Mill_Run_h]],"")</f>
        <v/>
      </c>
      <c r="X228" s="60">
        <f>IF(AND(tblPlant[[#This Row],[Mill_Run_h]]="",tblPlant[[#This Row],[Mill_Planned_Maint_h]]="",tblPlant[[#This Row],[Mill_Unplanned_Down_h]]=""),"",(cfg_HoursPerDay-tblPlant[[#This Row],[Mill_Planned_Maint_h]]-tblPlant[[#This Row],[Mill_Unplanned_Down_h]])/cfg_HoursPerDay)</f>
        <v/>
      </c>
      <c r="Y22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29">
      <c r="A229" s="54" t="n">
        <v>46246</v>
      </c>
      <c r="B229" s="55" t="n"/>
      <c r="C229" s="55" t="n"/>
      <c r="D229" s="56" t="n"/>
      <c r="E229" s="56" t="n"/>
      <c r="F229" s="55" t="n"/>
      <c r="G229" s="55" t="n"/>
      <c r="H229" s="57" t="n"/>
      <c r="I229" s="57" t="n"/>
      <c r="J229" s="57" t="n"/>
      <c r="K229" s="57" t="n"/>
      <c r="L229" s="55" t="n"/>
      <c r="M229" s="55" t="n"/>
      <c r="N229" s="55" t="n"/>
      <c r="O229" s="55" t="n"/>
      <c r="P229" s="55" t="n"/>
      <c r="Q229" s="55" t="n"/>
      <c r="R229" s="58" t="n"/>
      <c r="S229" s="59">
        <f>IF(OR(tblPlant[[#This Row],[Milled_t]]="",tblPlant[[#This Row],[Head_Grade_gpt]]=""),"",tblPlant[[#This Row],[Milled_t]]*tblPlant[[#This Row],[Head_Grade_gpt]]/cfg_TroyOz)</f>
        <v/>
      </c>
      <c r="T229" s="59">
        <f>IF(OR(tblPlant[[#This Row],[Milled_t]]="",tblPlant[[#This Row],[Tails_Grade_gpt]]=""),"",tblPlant[[#This Row],[Milled_t]]*tblPlant[[#This Row],[Tails_Grade_gpt]]/cfg_TroyOz)</f>
        <v/>
      </c>
      <c r="U229" s="59">
        <f>IF(OR(tblPlant[[#This Row],[Milled_t]]="",tblPlant[[#This Row],[Head_Grade_gpt]]="",tblPlant[[#This Row],[Tails_Grade_gpt]]=""),"",tblPlant[[#This Row],[Feed_oz]]-tblPlant[[#This Row],[Tails_oz]])</f>
        <v/>
      </c>
      <c r="V229" s="60">
        <f>IF(AND(ISNUMBER(tblPlant[[#This Row],[Recovered_oz]]),tblPlant[[#This Row],[Feed_oz]]&gt;0),tblPlant[[#This Row],[Recovered_oz]]/tblPlant[[#This Row],[Feed_oz]],"")</f>
        <v/>
      </c>
      <c r="W229" s="59">
        <f>IF(AND(tblPlant[[#This Row],[Milled_t]]&lt;&gt;"",tblPlant[[#This Row],[Mill_Run_h]]&gt;0),tblPlant[[#This Row],[Milled_t]]/tblPlant[[#This Row],[Mill_Run_h]],"")</f>
        <v/>
      </c>
      <c r="X229" s="60">
        <f>IF(AND(tblPlant[[#This Row],[Mill_Run_h]]="",tblPlant[[#This Row],[Mill_Planned_Maint_h]]="",tblPlant[[#This Row],[Mill_Unplanned_Down_h]]=""),"",(cfg_HoursPerDay-tblPlant[[#This Row],[Mill_Planned_Maint_h]]-tblPlant[[#This Row],[Mill_Unplanned_Down_h]])/cfg_HoursPerDay)</f>
        <v/>
      </c>
      <c r="Y22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0">
      <c r="A230" s="54" t="n">
        <v>46247</v>
      </c>
      <c r="B230" s="55" t="n"/>
      <c r="C230" s="55" t="n"/>
      <c r="D230" s="56" t="n"/>
      <c r="E230" s="56" t="n"/>
      <c r="F230" s="55" t="n"/>
      <c r="G230" s="55" t="n"/>
      <c r="H230" s="57" t="n"/>
      <c r="I230" s="57" t="n"/>
      <c r="J230" s="57" t="n"/>
      <c r="K230" s="57" t="n"/>
      <c r="L230" s="55" t="n"/>
      <c r="M230" s="55" t="n"/>
      <c r="N230" s="55" t="n"/>
      <c r="O230" s="55" t="n"/>
      <c r="P230" s="55" t="n"/>
      <c r="Q230" s="55" t="n"/>
      <c r="R230" s="58" t="n"/>
      <c r="S230" s="59">
        <f>IF(OR(tblPlant[[#This Row],[Milled_t]]="",tblPlant[[#This Row],[Head_Grade_gpt]]=""),"",tblPlant[[#This Row],[Milled_t]]*tblPlant[[#This Row],[Head_Grade_gpt]]/cfg_TroyOz)</f>
        <v/>
      </c>
      <c r="T230" s="59">
        <f>IF(OR(tblPlant[[#This Row],[Milled_t]]="",tblPlant[[#This Row],[Tails_Grade_gpt]]=""),"",tblPlant[[#This Row],[Milled_t]]*tblPlant[[#This Row],[Tails_Grade_gpt]]/cfg_TroyOz)</f>
        <v/>
      </c>
      <c r="U230" s="59">
        <f>IF(OR(tblPlant[[#This Row],[Milled_t]]="",tblPlant[[#This Row],[Head_Grade_gpt]]="",tblPlant[[#This Row],[Tails_Grade_gpt]]=""),"",tblPlant[[#This Row],[Feed_oz]]-tblPlant[[#This Row],[Tails_oz]])</f>
        <v/>
      </c>
      <c r="V230" s="60">
        <f>IF(AND(ISNUMBER(tblPlant[[#This Row],[Recovered_oz]]),tblPlant[[#This Row],[Feed_oz]]&gt;0),tblPlant[[#This Row],[Recovered_oz]]/tblPlant[[#This Row],[Feed_oz]],"")</f>
        <v/>
      </c>
      <c r="W230" s="59">
        <f>IF(AND(tblPlant[[#This Row],[Milled_t]]&lt;&gt;"",tblPlant[[#This Row],[Mill_Run_h]]&gt;0),tblPlant[[#This Row],[Milled_t]]/tblPlant[[#This Row],[Mill_Run_h]],"")</f>
        <v/>
      </c>
      <c r="X230" s="60">
        <f>IF(AND(tblPlant[[#This Row],[Mill_Run_h]]="",tblPlant[[#This Row],[Mill_Planned_Maint_h]]="",tblPlant[[#This Row],[Mill_Unplanned_Down_h]]=""),"",(cfg_HoursPerDay-tblPlant[[#This Row],[Mill_Planned_Maint_h]]-tblPlant[[#This Row],[Mill_Unplanned_Down_h]])/cfg_HoursPerDay)</f>
        <v/>
      </c>
      <c r="Y23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1">
      <c r="A231" s="54" t="n">
        <v>46248</v>
      </c>
      <c r="B231" s="55" t="n"/>
      <c r="C231" s="55" t="n"/>
      <c r="D231" s="56" t="n"/>
      <c r="E231" s="56" t="n"/>
      <c r="F231" s="55" t="n"/>
      <c r="G231" s="55" t="n"/>
      <c r="H231" s="57" t="n"/>
      <c r="I231" s="57" t="n"/>
      <c r="J231" s="57" t="n"/>
      <c r="K231" s="57" t="n"/>
      <c r="L231" s="55" t="n"/>
      <c r="M231" s="55" t="n"/>
      <c r="N231" s="55" t="n"/>
      <c r="O231" s="55" t="n"/>
      <c r="P231" s="55" t="n"/>
      <c r="Q231" s="55" t="n"/>
      <c r="R231" s="58" t="n"/>
      <c r="S231" s="59">
        <f>IF(OR(tblPlant[[#This Row],[Milled_t]]="",tblPlant[[#This Row],[Head_Grade_gpt]]=""),"",tblPlant[[#This Row],[Milled_t]]*tblPlant[[#This Row],[Head_Grade_gpt]]/cfg_TroyOz)</f>
        <v/>
      </c>
      <c r="T231" s="59">
        <f>IF(OR(tblPlant[[#This Row],[Milled_t]]="",tblPlant[[#This Row],[Tails_Grade_gpt]]=""),"",tblPlant[[#This Row],[Milled_t]]*tblPlant[[#This Row],[Tails_Grade_gpt]]/cfg_TroyOz)</f>
        <v/>
      </c>
      <c r="U231" s="59">
        <f>IF(OR(tblPlant[[#This Row],[Milled_t]]="",tblPlant[[#This Row],[Head_Grade_gpt]]="",tblPlant[[#This Row],[Tails_Grade_gpt]]=""),"",tblPlant[[#This Row],[Feed_oz]]-tblPlant[[#This Row],[Tails_oz]])</f>
        <v/>
      </c>
      <c r="V231" s="60">
        <f>IF(AND(ISNUMBER(tblPlant[[#This Row],[Recovered_oz]]),tblPlant[[#This Row],[Feed_oz]]&gt;0),tblPlant[[#This Row],[Recovered_oz]]/tblPlant[[#This Row],[Feed_oz]],"")</f>
        <v/>
      </c>
      <c r="W231" s="59">
        <f>IF(AND(tblPlant[[#This Row],[Milled_t]]&lt;&gt;"",tblPlant[[#This Row],[Mill_Run_h]]&gt;0),tblPlant[[#This Row],[Milled_t]]/tblPlant[[#This Row],[Mill_Run_h]],"")</f>
        <v/>
      </c>
      <c r="X231" s="60">
        <f>IF(AND(tblPlant[[#This Row],[Mill_Run_h]]="",tblPlant[[#This Row],[Mill_Planned_Maint_h]]="",tblPlant[[#This Row],[Mill_Unplanned_Down_h]]=""),"",(cfg_HoursPerDay-tblPlant[[#This Row],[Mill_Planned_Maint_h]]-tblPlant[[#This Row],[Mill_Unplanned_Down_h]])/cfg_HoursPerDay)</f>
        <v/>
      </c>
      <c r="Y23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2">
      <c r="A232" s="54" t="n">
        <v>46249</v>
      </c>
      <c r="B232" s="55" t="n"/>
      <c r="C232" s="55" t="n"/>
      <c r="D232" s="56" t="n"/>
      <c r="E232" s="56" t="n"/>
      <c r="F232" s="55" t="n"/>
      <c r="G232" s="55" t="n"/>
      <c r="H232" s="57" t="n"/>
      <c r="I232" s="57" t="n"/>
      <c r="J232" s="57" t="n"/>
      <c r="K232" s="57" t="n"/>
      <c r="L232" s="55" t="n"/>
      <c r="M232" s="55" t="n"/>
      <c r="N232" s="55" t="n"/>
      <c r="O232" s="55" t="n"/>
      <c r="P232" s="55" t="n"/>
      <c r="Q232" s="55" t="n"/>
      <c r="R232" s="58" t="n"/>
      <c r="S232" s="59">
        <f>IF(OR(tblPlant[[#This Row],[Milled_t]]="",tblPlant[[#This Row],[Head_Grade_gpt]]=""),"",tblPlant[[#This Row],[Milled_t]]*tblPlant[[#This Row],[Head_Grade_gpt]]/cfg_TroyOz)</f>
        <v/>
      </c>
      <c r="T232" s="59">
        <f>IF(OR(tblPlant[[#This Row],[Milled_t]]="",tblPlant[[#This Row],[Tails_Grade_gpt]]=""),"",tblPlant[[#This Row],[Milled_t]]*tblPlant[[#This Row],[Tails_Grade_gpt]]/cfg_TroyOz)</f>
        <v/>
      </c>
      <c r="U232" s="59">
        <f>IF(OR(tblPlant[[#This Row],[Milled_t]]="",tblPlant[[#This Row],[Head_Grade_gpt]]="",tblPlant[[#This Row],[Tails_Grade_gpt]]=""),"",tblPlant[[#This Row],[Feed_oz]]-tblPlant[[#This Row],[Tails_oz]])</f>
        <v/>
      </c>
      <c r="V232" s="60">
        <f>IF(AND(ISNUMBER(tblPlant[[#This Row],[Recovered_oz]]),tblPlant[[#This Row],[Feed_oz]]&gt;0),tblPlant[[#This Row],[Recovered_oz]]/tblPlant[[#This Row],[Feed_oz]],"")</f>
        <v/>
      </c>
      <c r="W232" s="59">
        <f>IF(AND(tblPlant[[#This Row],[Milled_t]]&lt;&gt;"",tblPlant[[#This Row],[Mill_Run_h]]&gt;0),tblPlant[[#This Row],[Milled_t]]/tblPlant[[#This Row],[Mill_Run_h]],"")</f>
        <v/>
      </c>
      <c r="X232" s="60">
        <f>IF(AND(tblPlant[[#This Row],[Mill_Run_h]]="",tblPlant[[#This Row],[Mill_Planned_Maint_h]]="",tblPlant[[#This Row],[Mill_Unplanned_Down_h]]=""),"",(cfg_HoursPerDay-tblPlant[[#This Row],[Mill_Planned_Maint_h]]-tblPlant[[#This Row],[Mill_Unplanned_Down_h]])/cfg_HoursPerDay)</f>
        <v/>
      </c>
      <c r="Y23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3">
      <c r="A233" s="54" t="n">
        <v>46250</v>
      </c>
      <c r="B233" s="55" t="n"/>
      <c r="C233" s="55" t="n"/>
      <c r="D233" s="56" t="n"/>
      <c r="E233" s="56" t="n"/>
      <c r="F233" s="55" t="n"/>
      <c r="G233" s="55" t="n"/>
      <c r="H233" s="57" t="n"/>
      <c r="I233" s="57" t="n"/>
      <c r="J233" s="57" t="n"/>
      <c r="K233" s="57" t="n"/>
      <c r="L233" s="55" t="n"/>
      <c r="M233" s="55" t="n"/>
      <c r="N233" s="55" t="n"/>
      <c r="O233" s="55" t="n"/>
      <c r="P233" s="55" t="n"/>
      <c r="Q233" s="55" t="n"/>
      <c r="R233" s="58" t="n"/>
      <c r="S233" s="59">
        <f>IF(OR(tblPlant[[#This Row],[Milled_t]]="",tblPlant[[#This Row],[Head_Grade_gpt]]=""),"",tblPlant[[#This Row],[Milled_t]]*tblPlant[[#This Row],[Head_Grade_gpt]]/cfg_TroyOz)</f>
        <v/>
      </c>
      <c r="T233" s="59">
        <f>IF(OR(tblPlant[[#This Row],[Milled_t]]="",tblPlant[[#This Row],[Tails_Grade_gpt]]=""),"",tblPlant[[#This Row],[Milled_t]]*tblPlant[[#This Row],[Tails_Grade_gpt]]/cfg_TroyOz)</f>
        <v/>
      </c>
      <c r="U233" s="59">
        <f>IF(OR(tblPlant[[#This Row],[Milled_t]]="",tblPlant[[#This Row],[Head_Grade_gpt]]="",tblPlant[[#This Row],[Tails_Grade_gpt]]=""),"",tblPlant[[#This Row],[Feed_oz]]-tblPlant[[#This Row],[Tails_oz]])</f>
        <v/>
      </c>
      <c r="V233" s="60">
        <f>IF(AND(ISNUMBER(tblPlant[[#This Row],[Recovered_oz]]),tblPlant[[#This Row],[Feed_oz]]&gt;0),tblPlant[[#This Row],[Recovered_oz]]/tblPlant[[#This Row],[Feed_oz]],"")</f>
        <v/>
      </c>
      <c r="W233" s="59">
        <f>IF(AND(tblPlant[[#This Row],[Milled_t]]&lt;&gt;"",tblPlant[[#This Row],[Mill_Run_h]]&gt;0),tblPlant[[#This Row],[Milled_t]]/tblPlant[[#This Row],[Mill_Run_h]],"")</f>
        <v/>
      </c>
      <c r="X233" s="60">
        <f>IF(AND(tblPlant[[#This Row],[Mill_Run_h]]="",tblPlant[[#This Row],[Mill_Planned_Maint_h]]="",tblPlant[[#This Row],[Mill_Unplanned_Down_h]]=""),"",(cfg_HoursPerDay-tblPlant[[#This Row],[Mill_Planned_Maint_h]]-tblPlant[[#This Row],[Mill_Unplanned_Down_h]])/cfg_HoursPerDay)</f>
        <v/>
      </c>
      <c r="Y23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4">
      <c r="A234" s="54" t="n">
        <v>46251</v>
      </c>
      <c r="B234" s="55" t="n"/>
      <c r="C234" s="55" t="n"/>
      <c r="D234" s="56" t="n"/>
      <c r="E234" s="56" t="n"/>
      <c r="F234" s="55" t="n"/>
      <c r="G234" s="55" t="n"/>
      <c r="H234" s="57" t="n"/>
      <c r="I234" s="57" t="n"/>
      <c r="J234" s="57" t="n"/>
      <c r="K234" s="57" t="n"/>
      <c r="L234" s="55" t="n"/>
      <c r="M234" s="55" t="n"/>
      <c r="N234" s="55" t="n"/>
      <c r="O234" s="55" t="n"/>
      <c r="P234" s="55" t="n"/>
      <c r="Q234" s="55" t="n"/>
      <c r="R234" s="58" t="n"/>
      <c r="S234" s="59">
        <f>IF(OR(tblPlant[[#This Row],[Milled_t]]="",tblPlant[[#This Row],[Head_Grade_gpt]]=""),"",tblPlant[[#This Row],[Milled_t]]*tblPlant[[#This Row],[Head_Grade_gpt]]/cfg_TroyOz)</f>
        <v/>
      </c>
      <c r="T234" s="59">
        <f>IF(OR(tblPlant[[#This Row],[Milled_t]]="",tblPlant[[#This Row],[Tails_Grade_gpt]]=""),"",tblPlant[[#This Row],[Milled_t]]*tblPlant[[#This Row],[Tails_Grade_gpt]]/cfg_TroyOz)</f>
        <v/>
      </c>
      <c r="U234" s="59">
        <f>IF(OR(tblPlant[[#This Row],[Milled_t]]="",tblPlant[[#This Row],[Head_Grade_gpt]]="",tblPlant[[#This Row],[Tails_Grade_gpt]]=""),"",tblPlant[[#This Row],[Feed_oz]]-tblPlant[[#This Row],[Tails_oz]])</f>
        <v/>
      </c>
      <c r="V234" s="60">
        <f>IF(AND(ISNUMBER(tblPlant[[#This Row],[Recovered_oz]]),tblPlant[[#This Row],[Feed_oz]]&gt;0),tblPlant[[#This Row],[Recovered_oz]]/tblPlant[[#This Row],[Feed_oz]],"")</f>
        <v/>
      </c>
      <c r="W234" s="59">
        <f>IF(AND(tblPlant[[#This Row],[Milled_t]]&lt;&gt;"",tblPlant[[#This Row],[Mill_Run_h]]&gt;0),tblPlant[[#This Row],[Milled_t]]/tblPlant[[#This Row],[Mill_Run_h]],"")</f>
        <v/>
      </c>
      <c r="X234" s="60">
        <f>IF(AND(tblPlant[[#This Row],[Mill_Run_h]]="",tblPlant[[#This Row],[Mill_Planned_Maint_h]]="",tblPlant[[#This Row],[Mill_Unplanned_Down_h]]=""),"",(cfg_HoursPerDay-tblPlant[[#This Row],[Mill_Planned_Maint_h]]-tblPlant[[#This Row],[Mill_Unplanned_Down_h]])/cfg_HoursPerDay)</f>
        <v/>
      </c>
      <c r="Y23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5">
      <c r="A235" s="54" t="n">
        <v>46252</v>
      </c>
      <c r="B235" s="55" t="n"/>
      <c r="C235" s="55" t="n"/>
      <c r="D235" s="56" t="n"/>
      <c r="E235" s="56" t="n"/>
      <c r="F235" s="55" t="n"/>
      <c r="G235" s="55" t="n"/>
      <c r="H235" s="57" t="n"/>
      <c r="I235" s="57" t="n"/>
      <c r="J235" s="57" t="n"/>
      <c r="K235" s="57" t="n"/>
      <c r="L235" s="55" t="n"/>
      <c r="M235" s="55" t="n"/>
      <c r="N235" s="55" t="n"/>
      <c r="O235" s="55" t="n"/>
      <c r="P235" s="55" t="n"/>
      <c r="Q235" s="55" t="n"/>
      <c r="R235" s="58" t="n"/>
      <c r="S235" s="59">
        <f>IF(OR(tblPlant[[#This Row],[Milled_t]]="",tblPlant[[#This Row],[Head_Grade_gpt]]=""),"",tblPlant[[#This Row],[Milled_t]]*tblPlant[[#This Row],[Head_Grade_gpt]]/cfg_TroyOz)</f>
        <v/>
      </c>
      <c r="T235" s="59">
        <f>IF(OR(tblPlant[[#This Row],[Milled_t]]="",tblPlant[[#This Row],[Tails_Grade_gpt]]=""),"",tblPlant[[#This Row],[Milled_t]]*tblPlant[[#This Row],[Tails_Grade_gpt]]/cfg_TroyOz)</f>
        <v/>
      </c>
      <c r="U235" s="59">
        <f>IF(OR(tblPlant[[#This Row],[Milled_t]]="",tblPlant[[#This Row],[Head_Grade_gpt]]="",tblPlant[[#This Row],[Tails_Grade_gpt]]=""),"",tblPlant[[#This Row],[Feed_oz]]-tblPlant[[#This Row],[Tails_oz]])</f>
        <v/>
      </c>
      <c r="V235" s="60">
        <f>IF(AND(ISNUMBER(tblPlant[[#This Row],[Recovered_oz]]),tblPlant[[#This Row],[Feed_oz]]&gt;0),tblPlant[[#This Row],[Recovered_oz]]/tblPlant[[#This Row],[Feed_oz]],"")</f>
        <v/>
      </c>
      <c r="W235" s="59">
        <f>IF(AND(tblPlant[[#This Row],[Milled_t]]&lt;&gt;"",tblPlant[[#This Row],[Mill_Run_h]]&gt;0),tblPlant[[#This Row],[Milled_t]]/tblPlant[[#This Row],[Mill_Run_h]],"")</f>
        <v/>
      </c>
      <c r="X235" s="60">
        <f>IF(AND(tblPlant[[#This Row],[Mill_Run_h]]="",tblPlant[[#This Row],[Mill_Planned_Maint_h]]="",tblPlant[[#This Row],[Mill_Unplanned_Down_h]]=""),"",(cfg_HoursPerDay-tblPlant[[#This Row],[Mill_Planned_Maint_h]]-tblPlant[[#This Row],[Mill_Unplanned_Down_h]])/cfg_HoursPerDay)</f>
        <v/>
      </c>
      <c r="Y23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6">
      <c r="A236" s="54" t="n">
        <v>46253</v>
      </c>
      <c r="B236" s="55" t="n"/>
      <c r="C236" s="55" t="n"/>
      <c r="D236" s="56" t="n"/>
      <c r="E236" s="56" t="n"/>
      <c r="F236" s="55" t="n"/>
      <c r="G236" s="55" t="n"/>
      <c r="H236" s="57" t="n"/>
      <c r="I236" s="57" t="n"/>
      <c r="J236" s="57" t="n"/>
      <c r="K236" s="57" t="n"/>
      <c r="L236" s="55" t="n"/>
      <c r="M236" s="55" t="n"/>
      <c r="N236" s="55" t="n"/>
      <c r="O236" s="55" t="n"/>
      <c r="P236" s="55" t="n"/>
      <c r="Q236" s="55" t="n"/>
      <c r="R236" s="58" t="n"/>
      <c r="S236" s="59">
        <f>IF(OR(tblPlant[[#This Row],[Milled_t]]="",tblPlant[[#This Row],[Head_Grade_gpt]]=""),"",tblPlant[[#This Row],[Milled_t]]*tblPlant[[#This Row],[Head_Grade_gpt]]/cfg_TroyOz)</f>
        <v/>
      </c>
      <c r="T236" s="59">
        <f>IF(OR(tblPlant[[#This Row],[Milled_t]]="",tblPlant[[#This Row],[Tails_Grade_gpt]]=""),"",tblPlant[[#This Row],[Milled_t]]*tblPlant[[#This Row],[Tails_Grade_gpt]]/cfg_TroyOz)</f>
        <v/>
      </c>
      <c r="U236" s="59">
        <f>IF(OR(tblPlant[[#This Row],[Milled_t]]="",tblPlant[[#This Row],[Head_Grade_gpt]]="",tblPlant[[#This Row],[Tails_Grade_gpt]]=""),"",tblPlant[[#This Row],[Feed_oz]]-tblPlant[[#This Row],[Tails_oz]])</f>
        <v/>
      </c>
      <c r="V236" s="60">
        <f>IF(AND(ISNUMBER(tblPlant[[#This Row],[Recovered_oz]]),tblPlant[[#This Row],[Feed_oz]]&gt;0),tblPlant[[#This Row],[Recovered_oz]]/tblPlant[[#This Row],[Feed_oz]],"")</f>
        <v/>
      </c>
      <c r="W236" s="59">
        <f>IF(AND(tblPlant[[#This Row],[Milled_t]]&lt;&gt;"",tblPlant[[#This Row],[Mill_Run_h]]&gt;0),tblPlant[[#This Row],[Milled_t]]/tblPlant[[#This Row],[Mill_Run_h]],"")</f>
        <v/>
      </c>
      <c r="X236" s="60">
        <f>IF(AND(tblPlant[[#This Row],[Mill_Run_h]]="",tblPlant[[#This Row],[Mill_Planned_Maint_h]]="",tblPlant[[#This Row],[Mill_Unplanned_Down_h]]=""),"",(cfg_HoursPerDay-tblPlant[[#This Row],[Mill_Planned_Maint_h]]-tblPlant[[#This Row],[Mill_Unplanned_Down_h]])/cfg_HoursPerDay)</f>
        <v/>
      </c>
      <c r="Y23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7">
      <c r="A237" s="54" t="n">
        <v>46254</v>
      </c>
      <c r="B237" s="55" t="n"/>
      <c r="C237" s="55" t="n"/>
      <c r="D237" s="56" t="n"/>
      <c r="E237" s="56" t="n"/>
      <c r="F237" s="55" t="n"/>
      <c r="G237" s="55" t="n"/>
      <c r="H237" s="57" t="n"/>
      <c r="I237" s="57" t="n"/>
      <c r="J237" s="57" t="n"/>
      <c r="K237" s="57" t="n"/>
      <c r="L237" s="55" t="n"/>
      <c r="M237" s="55" t="n"/>
      <c r="N237" s="55" t="n"/>
      <c r="O237" s="55" t="n"/>
      <c r="P237" s="55" t="n"/>
      <c r="Q237" s="55" t="n"/>
      <c r="R237" s="58" t="n"/>
      <c r="S237" s="59">
        <f>IF(OR(tblPlant[[#This Row],[Milled_t]]="",tblPlant[[#This Row],[Head_Grade_gpt]]=""),"",tblPlant[[#This Row],[Milled_t]]*tblPlant[[#This Row],[Head_Grade_gpt]]/cfg_TroyOz)</f>
        <v/>
      </c>
      <c r="T237" s="59">
        <f>IF(OR(tblPlant[[#This Row],[Milled_t]]="",tblPlant[[#This Row],[Tails_Grade_gpt]]=""),"",tblPlant[[#This Row],[Milled_t]]*tblPlant[[#This Row],[Tails_Grade_gpt]]/cfg_TroyOz)</f>
        <v/>
      </c>
      <c r="U237" s="59">
        <f>IF(OR(tblPlant[[#This Row],[Milled_t]]="",tblPlant[[#This Row],[Head_Grade_gpt]]="",tblPlant[[#This Row],[Tails_Grade_gpt]]=""),"",tblPlant[[#This Row],[Feed_oz]]-tblPlant[[#This Row],[Tails_oz]])</f>
        <v/>
      </c>
      <c r="V237" s="60">
        <f>IF(AND(ISNUMBER(tblPlant[[#This Row],[Recovered_oz]]),tblPlant[[#This Row],[Feed_oz]]&gt;0),tblPlant[[#This Row],[Recovered_oz]]/tblPlant[[#This Row],[Feed_oz]],"")</f>
        <v/>
      </c>
      <c r="W237" s="59">
        <f>IF(AND(tblPlant[[#This Row],[Milled_t]]&lt;&gt;"",tblPlant[[#This Row],[Mill_Run_h]]&gt;0),tblPlant[[#This Row],[Milled_t]]/tblPlant[[#This Row],[Mill_Run_h]],"")</f>
        <v/>
      </c>
      <c r="X237" s="60">
        <f>IF(AND(tblPlant[[#This Row],[Mill_Run_h]]="",tblPlant[[#This Row],[Mill_Planned_Maint_h]]="",tblPlant[[#This Row],[Mill_Unplanned_Down_h]]=""),"",(cfg_HoursPerDay-tblPlant[[#This Row],[Mill_Planned_Maint_h]]-tblPlant[[#This Row],[Mill_Unplanned_Down_h]])/cfg_HoursPerDay)</f>
        <v/>
      </c>
      <c r="Y23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8">
      <c r="A238" s="54" t="n">
        <v>46255</v>
      </c>
      <c r="B238" s="55" t="n"/>
      <c r="C238" s="55" t="n"/>
      <c r="D238" s="56" t="n"/>
      <c r="E238" s="56" t="n"/>
      <c r="F238" s="55" t="n"/>
      <c r="G238" s="55" t="n"/>
      <c r="H238" s="57" t="n"/>
      <c r="I238" s="57" t="n"/>
      <c r="J238" s="57" t="n"/>
      <c r="K238" s="57" t="n"/>
      <c r="L238" s="55" t="n"/>
      <c r="M238" s="55" t="n"/>
      <c r="N238" s="55" t="n"/>
      <c r="O238" s="55" t="n"/>
      <c r="P238" s="55" t="n"/>
      <c r="Q238" s="55" t="n"/>
      <c r="R238" s="58" t="n"/>
      <c r="S238" s="59">
        <f>IF(OR(tblPlant[[#This Row],[Milled_t]]="",tblPlant[[#This Row],[Head_Grade_gpt]]=""),"",tblPlant[[#This Row],[Milled_t]]*tblPlant[[#This Row],[Head_Grade_gpt]]/cfg_TroyOz)</f>
        <v/>
      </c>
      <c r="T238" s="59">
        <f>IF(OR(tblPlant[[#This Row],[Milled_t]]="",tblPlant[[#This Row],[Tails_Grade_gpt]]=""),"",tblPlant[[#This Row],[Milled_t]]*tblPlant[[#This Row],[Tails_Grade_gpt]]/cfg_TroyOz)</f>
        <v/>
      </c>
      <c r="U238" s="59">
        <f>IF(OR(tblPlant[[#This Row],[Milled_t]]="",tblPlant[[#This Row],[Head_Grade_gpt]]="",tblPlant[[#This Row],[Tails_Grade_gpt]]=""),"",tblPlant[[#This Row],[Feed_oz]]-tblPlant[[#This Row],[Tails_oz]])</f>
        <v/>
      </c>
      <c r="V238" s="60">
        <f>IF(AND(ISNUMBER(tblPlant[[#This Row],[Recovered_oz]]),tblPlant[[#This Row],[Feed_oz]]&gt;0),tblPlant[[#This Row],[Recovered_oz]]/tblPlant[[#This Row],[Feed_oz]],"")</f>
        <v/>
      </c>
      <c r="W238" s="59">
        <f>IF(AND(tblPlant[[#This Row],[Milled_t]]&lt;&gt;"",tblPlant[[#This Row],[Mill_Run_h]]&gt;0),tblPlant[[#This Row],[Milled_t]]/tblPlant[[#This Row],[Mill_Run_h]],"")</f>
        <v/>
      </c>
      <c r="X238" s="60">
        <f>IF(AND(tblPlant[[#This Row],[Mill_Run_h]]="",tblPlant[[#This Row],[Mill_Planned_Maint_h]]="",tblPlant[[#This Row],[Mill_Unplanned_Down_h]]=""),"",(cfg_HoursPerDay-tblPlant[[#This Row],[Mill_Planned_Maint_h]]-tblPlant[[#This Row],[Mill_Unplanned_Down_h]])/cfg_HoursPerDay)</f>
        <v/>
      </c>
      <c r="Y23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39">
      <c r="A239" s="54" t="n">
        <v>46256</v>
      </c>
      <c r="B239" s="55" t="n"/>
      <c r="C239" s="55" t="n"/>
      <c r="D239" s="56" t="n"/>
      <c r="E239" s="56" t="n"/>
      <c r="F239" s="55" t="n"/>
      <c r="G239" s="55" t="n"/>
      <c r="H239" s="57" t="n"/>
      <c r="I239" s="57" t="n"/>
      <c r="J239" s="57" t="n"/>
      <c r="K239" s="57" t="n"/>
      <c r="L239" s="55" t="n"/>
      <c r="M239" s="55" t="n"/>
      <c r="N239" s="55" t="n"/>
      <c r="O239" s="55" t="n"/>
      <c r="P239" s="55" t="n"/>
      <c r="Q239" s="55" t="n"/>
      <c r="R239" s="58" t="n"/>
      <c r="S239" s="59">
        <f>IF(OR(tblPlant[[#This Row],[Milled_t]]="",tblPlant[[#This Row],[Head_Grade_gpt]]=""),"",tblPlant[[#This Row],[Milled_t]]*tblPlant[[#This Row],[Head_Grade_gpt]]/cfg_TroyOz)</f>
        <v/>
      </c>
      <c r="T239" s="59">
        <f>IF(OR(tblPlant[[#This Row],[Milled_t]]="",tblPlant[[#This Row],[Tails_Grade_gpt]]=""),"",tblPlant[[#This Row],[Milled_t]]*tblPlant[[#This Row],[Tails_Grade_gpt]]/cfg_TroyOz)</f>
        <v/>
      </c>
      <c r="U239" s="59">
        <f>IF(OR(tblPlant[[#This Row],[Milled_t]]="",tblPlant[[#This Row],[Head_Grade_gpt]]="",tblPlant[[#This Row],[Tails_Grade_gpt]]=""),"",tblPlant[[#This Row],[Feed_oz]]-tblPlant[[#This Row],[Tails_oz]])</f>
        <v/>
      </c>
      <c r="V239" s="60">
        <f>IF(AND(ISNUMBER(tblPlant[[#This Row],[Recovered_oz]]),tblPlant[[#This Row],[Feed_oz]]&gt;0),tblPlant[[#This Row],[Recovered_oz]]/tblPlant[[#This Row],[Feed_oz]],"")</f>
        <v/>
      </c>
      <c r="W239" s="59">
        <f>IF(AND(tblPlant[[#This Row],[Milled_t]]&lt;&gt;"",tblPlant[[#This Row],[Mill_Run_h]]&gt;0),tblPlant[[#This Row],[Milled_t]]/tblPlant[[#This Row],[Mill_Run_h]],"")</f>
        <v/>
      </c>
      <c r="X239" s="60">
        <f>IF(AND(tblPlant[[#This Row],[Mill_Run_h]]="",tblPlant[[#This Row],[Mill_Planned_Maint_h]]="",tblPlant[[#This Row],[Mill_Unplanned_Down_h]]=""),"",(cfg_HoursPerDay-tblPlant[[#This Row],[Mill_Planned_Maint_h]]-tblPlant[[#This Row],[Mill_Unplanned_Down_h]])/cfg_HoursPerDay)</f>
        <v/>
      </c>
      <c r="Y23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0">
      <c r="A240" s="54" t="n">
        <v>46257</v>
      </c>
      <c r="B240" s="55" t="n"/>
      <c r="C240" s="55" t="n"/>
      <c r="D240" s="56" t="n"/>
      <c r="E240" s="56" t="n"/>
      <c r="F240" s="55" t="n"/>
      <c r="G240" s="55" t="n"/>
      <c r="H240" s="57" t="n"/>
      <c r="I240" s="57" t="n"/>
      <c r="J240" s="57" t="n"/>
      <c r="K240" s="57" t="n"/>
      <c r="L240" s="55" t="n"/>
      <c r="M240" s="55" t="n"/>
      <c r="N240" s="55" t="n"/>
      <c r="O240" s="55" t="n"/>
      <c r="P240" s="55" t="n"/>
      <c r="Q240" s="55" t="n"/>
      <c r="R240" s="58" t="n"/>
      <c r="S240" s="59">
        <f>IF(OR(tblPlant[[#This Row],[Milled_t]]="",tblPlant[[#This Row],[Head_Grade_gpt]]=""),"",tblPlant[[#This Row],[Milled_t]]*tblPlant[[#This Row],[Head_Grade_gpt]]/cfg_TroyOz)</f>
        <v/>
      </c>
      <c r="T240" s="59">
        <f>IF(OR(tblPlant[[#This Row],[Milled_t]]="",tblPlant[[#This Row],[Tails_Grade_gpt]]=""),"",tblPlant[[#This Row],[Milled_t]]*tblPlant[[#This Row],[Tails_Grade_gpt]]/cfg_TroyOz)</f>
        <v/>
      </c>
      <c r="U240" s="59">
        <f>IF(OR(tblPlant[[#This Row],[Milled_t]]="",tblPlant[[#This Row],[Head_Grade_gpt]]="",tblPlant[[#This Row],[Tails_Grade_gpt]]=""),"",tblPlant[[#This Row],[Feed_oz]]-tblPlant[[#This Row],[Tails_oz]])</f>
        <v/>
      </c>
      <c r="V240" s="60">
        <f>IF(AND(ISNUMBER(tblPlant[[#This Row],[Recovered_oz]]),tblPlant[[#This Row],[Feed_oz]]&gt;0),tblPlant[[#This Row],[Recovered_oz]]/tblPlant[[#This Row],[Feed_oz]],"")</f>
        <v/>
      </c>
      <c r="W240" s="59">
        <f>IF(AND(tblPlant[[#This Row],[Milled_t]]&lt;&gt;"",tblPlant[[#This Row],[Mill_Run_h]]&gt;0),tblPlant[[#This Row],[Milled_t]]/tblPlant[[#This Row],[Mill_Run_h]],"")</f>
        <v/>
      </c>
      <c r="X240" s="60">
        <f>IF(AND(tblPlant[[#This Row],[Mill_Run_h]]="",tblPlant[[#This Row],[Mill_Planned_Maint_h]]="",tblPlant[[#This Row],[Mill_Unplanned_Down_h]]=""),"",(cfg_HoursPerDay-tblPlant[[#This Row],[Mill_Planned_Maint_h]]-tblPlant[[#This Row],[Mill_Unplanned_Down_h]])/cfg_HoursPerDay)</f>
        <v/>
      </c>
      <c r="Y24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1">
      <c r="A241" s="54" t="n">
        <v>46258</v>
      </c>
      <c r="B241" s="55" t="n"/>
      <c r="C241" s="55" t="n"/>
      <c r="D241" s="56" t="n"/>
      <c r="E241" s="56" t="n"/>
      <c r="F241" s="55" t="n"/>
      <c r="G241" s="55" t="n"/>
      <c r="H241" s="57" t="n"/>
      <c r="I241" s="57" t="n"/>
      <c r="J241" s="57" t="n"/>
      <c r="K241" s="57" t="n"/>
      <c r="L241" s="55" t="n"/>
      <c r="M241" s="55" t="n"/>
      <c r="N241" s="55" t="n"/>
      <c r="O241" s="55" t="n"/>
      <c r="P241" s="55" t="n"/>
      <c r="Q241" s="55" t="n"/>
      <c r="R241" s="58" t="n"/>
      <c r="S241" s="59">
        <f>IF(OR(tblPlant[[#This Row],[Milled_t]]="",tblPlant[[#This Row],[Head_Grade_gpt]]=""),"",tblPlant[[#This Row],[Milled_t]]*tblPlant[[#This Row],[Head_Grade_gpt]]/cfg_TroyOz)</f>
        <v/>
      </c>
      <c r="T241" s="59">
        <f>IF(OR(tblPlant[[#This Row],[Milled_t]]="",tblPlant[[#This Row],[Tails_Grade_gpt]]=""),"",tblPlant[[#This Row],[Milled_t]]*tblPlant[[#This Row],[Tails_Grade_gpt]]/cfg_TroyOz)</f>
        <v/>
      </c>
      <c r="U241" s="59">
        <f>IF(OR(tblPlant[[#This Row],[Milled_t]]="",tblPlant[[#This Row],[Head_Grade_gpt]]="",tblPlant[[#This Row],[Tails_Grade_gpt]]=""),"",tblPlant[[#This Row],[Feed_oz]]-tblPlant[[#This Row],[Tails_oz]])</f>
        <v/>
      </c>
      <c r="V241" s="60">
        <f>IF(AND(ISNUMBER(tblPlant[[#This Row],[Recovered_oz]]),tblPlant[[#This Row],[Feed_oz]]&gt;0),tblPlant[[#This Row],[Recovered_oz]]/tblPlant[[#This Row],[Feed_oz]],"")</f>
        <v/>
      </c>
      <c r="W241" s="59">
        <f>IF(AND(tblPlant[[#This Row],[Milled_t]]&lt;&gt;"",tblPlant[[#This Row],[Mill_Run_h]]&gt;0),tblPlant[[#This Row],[Milled_t]]/tblPlant[[#This Row],[Mill_Run_h]],"")</f>
        <v/>
      </c>
      <c r="X241" s="60">
        <f>IF(AND(tblPlant[[#This Row],[Mill_Run_h]]="",tblPlant[[#This Row],[Mill_Planned_Maint_h]]="",tblPlant[[#This Row],[Mill_Unplanned_Down_h]]=""),"",(cfg_HoursPerDay-tblPlant[[#This Row],[Mill_Planned_Maint_h]]-tblPlant[[#This Row],[Mill_Unplanned_Down_h]])/cfg_HoursPerDay)</f>
        <v/>
      </c>
      <c r="Y24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2">
      <c r="A242" s="54" t="n">
        <v>46259</v>
      </c>
      <c r="B242" s="55" t="n"/>
      <c r="C242" s="55" t="n"/>
      <c r="D242" s="56" t="n"/>
      <c r="E242" s="56" t="n"/>
      <c r="F242" s="55" t="n"/>
      <c r="G242" s="55" t="n"/>
      <c r="H242" s="57" t="n"/>
      <c r="I242" s="57" t="n"/>
      <c r="J242" s="57" t="n"/>
      <c r="K242" s="57" t="n"/>
      <c r="L242" s="55" t="n"/>
      <c r="M242" s="55" t="n"/>
      <c r="N242" s="55" t="n"/>
      <c r="O242" s="55" t="n"/>
      <c r="P242" s="55" t="n"/>
      <c r="Q242" s="55" t="n"/>
      <c r="R242" s="58" t="n"/>
      <c r="S242" s="59">
        <f>IF(OR(tblPlant[[#This Row],[Milled_t]]="",tblPlant[[#This Row],[Head_Grade_gpt]]=""),"",tblPlant[[#This Row],[Milled_t]]*tblPlant[[#This Row],[Head_Grade_gpt]]/cfg_TroyOz)</f>
        <v/>
      </c>
      <c r="T242" s="59">
        <f>IF(OR(tblPlant[[#This Row],[Milled_t]]="",tblPlant[[#This Row],[Tails_Grade_gpt]]=""),"",tblPlant[[#This Row],[Milled_t]]*tblPlant[[#This Row],[Tails_Grade_gpt]]/cfg_TroyOz)</f>
        <v/>
      </c>
      <c r="U242" s="59">
        <f>IF(OR(tblPlant[[#This Row],[Milled_t]]="",tblPlant[[#This Row],[Head_Grade_gpt]]="",tblPlant[[#This Row],[Tails_Grade_gpt]]=""),"",tblPlant[[#This Row],[Feed_oz]]-tblPlant[[#This Row],[Tails_oz]])</f>
        <v/>
      </c>
      <c r="V242" s="60">
        <f>IF(AND(ISNUMBER(tblPlant[[#This Row],[Recovered_oz]]),tblPlant[[#This Row],[Feed_oz]]&gt;0),tblPlant[[#This Row],[Recovered_oz]]/tblPlant[[#This Row],[Feed_oz]],"")</f>
        <v/>
      </c>
      <c r="W242" s="59">
        <f>IF(AND(tblPlant[[#This Row],[Milled_t]]&lt;&gt;"",tblPlant[[#This Row],[Mill_Run_h]]&gt;0),tblPlant[[#This Row],[Milled_t]]/tblPlant[[#This Row],[Mill_Run_h]],"")</f>
        <v/>
      </c>
      <c r="X242" s="60">
        <f>IF(AND(tblPlant[[#This Row],[Mill_Run_h]]="",tblPlant[[#This Row],[Mill_Planned_Maint_h]]="",tblPlant[[#This Row],[Mill_Unplanned_Down_h]]=""),"",(cfg_HoursPerDay-tblPlant[[#This Row],[Mill_Planned_Maint_h]]-tblPlant[[#This Row],[Mill_Unplanned_Down_h]])/cfg_HoursPerDay)</f>
        <v/>
      </c>
      <c r="Y24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3">
      <c r="A243" s="54" t="n">
        <v>46260</v>
      </c>
      <c r="B243" s="55" t="n"/>
      <c r="C243" s="55" t="n"/>
      <c r="D243" s="56" t="n"/>
      <c r="E243" s="56" t="n"/>
      <c r="F243" s="55" t="n"/>
      <c r="G243" s="55" t="n"/>
      <c r="H243" s="57" t="n"/>
      <c r="I243" s="57" t="n"/>
      <c r="J243" s="57" t="n"/>
      <c r="K243" s="57" t="n"/>
      <c r="L243" s="55" t="n"/>
      <c r="M243" s="55" t="n"/>
      <c r="N243" s="55" t="n"/>
      <c r="O243" s="55" t="n"/>
      <c r="P243" s="55" t="n"/>
      <c r="Q243" s="55" t="n"/>
      <c r="R243" s="58" t="n"/>
      <c r="S243" s="59">
        <f>IF(OR(tblPlant[[#This Row],[Milled_t]]="",tblPlant[[#This Row],[Head_Grade_gpt]]=""),"",tblPlant[[#This Row],[Milled_t]]*tblPlant[[#This Row],[Head_Grade_gpt]]/cfg_TroyOz)</f>
        <v/>
      </c>
      <c r="T243" s="59">
        <f>IF(OR(tblPlant[[#This Row],[Milled_t]]="",tblPlant[[#This Row],[Tails_Grade_gpt]]=""),"",tblPlant[[#This Row],[Milled_t]]*tblPlant[[#This Row],[Tails_Grade_gpt]]/cfg_TroyOz)</f>
        <v/>
      </c>
      <c r="U243" s="59">
        <f>IF(OR(tblPlant[[#This Row],[Milled_t]]="",tblPlant[[#This Row],[Head_Grade_gpt]]="",tblPlant[[#This Row],[Tails_Grade_gpt]]=""),"",tblPlant[[#This Row],[Feed_oz]]-tblPlant[[#This Row],[Tails_oz]])</f>
        <v/>
      </c>
      <c r="V243" s="60">
        <f>IF(AND(ISNUMBER(tblPlant[[#This Row],[Recovered_oz]]),tblPlant[[#This Row],[Feed_oz]]&gt;0),tblPlant[[#This Row],[Recovered_oz]]/tblPlant[[#This Row],[Feed_oz]],"")</f>
        <v/>
      </c>
      <c r="W243" s="59">
        <f>IF(AND(tblPlant[[#This Row],[Milled_t]]&lt;&gt;"",tblPlant[[#This Row],[Mill_Run_h]]&gt;0),tblPlant[[#This Row],[Milled_t]]/tblPlant[[#This Row],[Mill_Run_h]],"")</f>
        <v/>
      </c>
      <c r="X243" s="60">
        <f>IF(AND(tblPlant[[#This Row],[Mill_Run_h]]="",tblPlant[[#This Row],[Mill_Planned_Maint_h]]="",tblPlant[[#This Row],[Mill_Unplanned_Down_h]]=""),"",(cfg_HoursPerDay-tblPlant[[#This Row],[Mill_Planned_Maint_h]]-tblPlant[[#This Row],[Mill_Unplanned_Down_h]])/cfg_HoursPerDay)</f>
        <v/>
      </c>
      <c r="Y24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4">
      <c r="A244" s="54" t="n">
        <v>46261</v>
      </c>
      <c r="B244" s="55" t="n"/>
      <c r="C244" s="55" t="n"/>
      <c r="D244" s="56" t="n"/>
      <c r="E244" s="56" t="n"/>
      <c r="F244" s="55" t="n"/>
      <c r="G244" s="55" t="n"/>
      <c r="H244" s="57" t="n"/>
      <c r="I244" s="57" t="n"/>
      <c r="J244" s="57" t="n"/>
      <c r="K244" s="57" t="n"/>
      <c r="L244" s="55" t="n"/>
      <c r="M244" s="55" t="n"/>
      <c r="N244" s="55" t="n"/>
      <c r="O244" s="55" t="n"/>
      <c r="P244" s="55" t="n"/>
      <c r="Q244" s="55" t="n"/>
      <c r="R244" s="58" t="n"/>
      <c r="S244" s="59">
        <f>IF(OR(tblPlant[[#This Row],[Milled_t]]="",tblPlant[[#This Row],[Head_Grade_gpt]]=""),"",tblPlant[[#This Row],[Milled_t]]*tblPlant[[#This Row],[Head_Grade_gpt]]/cfg_TroyOz)</f>
        <v/>
      </c>
      <c r="T244" s="59">
        <f>IF(OR(tblPlant[[#This Row],[Milled_t]]="",tblPlant[[#This Row],[Tails_Grade_gpt]]=""),"",tblPlant[[#This Row],[Milled_t]]*tblPlant[[#This Row],[Tails_Grade_gpt]]/cfg_TroyOz)</f>
        <v/>
      </c>
      <c r="U244" s="59">
        <f>IF(OR(tblPlant[[#This Row],[Milled_t]]="",tblPlant[[#This Row],[Head_Grade_gpt]]="",tblPlant[[#This Row],[Tails_Grade_gpt]]=""),"",tblPlant[[#This Row],[Feed_oz]]-tblPlant[[#This Row],[Tails_oz]])</f>
        <v/>
      </c>
      <c r="V244" s="60">
        <f>IF(AND(ISNUMBER(tblPlant[[#This Row],[Recovered_oz]]),tblPlant[[#This Row],[Feed_oz]]&gt;0),tblPlant[[#This Row],[Recovered_oz]]/tblPlant[[#This Row],[Feed_oz]],"")</f>
        <v/>
      </c>
      <c r="W244" s="59">
        <f>IF(AND(tblPlant[[#This Row],[Milled_t]]&lt;&gt;"",tblPlant[[#This Row],[Mill_Run_h]]&gt;0),tblPlant[[#This Row],[Milled_t]]/tblPlant[[#This Row],[Mill_Run_h]],"")</f>
        <v/>
      </c>
      <c r="X244" s="60">
        <f>IF(AND(tblPlant[[#This Row],[Mill_Run_h]]="",tblPlant[[#This Row],[Mill_Planned_Maint_h]]="",tblPlant[[#This Row],[Mill_Unplanned_Down_h]]=""),"",(cfg_HoursPerDay-tblPlant[[#This Row],[Mill_Planned_Maint_h]]-tblPlant[[#This Row],[Mill_Unplanned_Down_h]])/cfg_HoursPerDay)</f>
        <v/>
      </c>
      <c r="Y24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5">
      <c r="A245" s="54" t="n">
        <v>46262</v>
      </c>
      <c r="B245" s="55" t="n"/>
      <c r="C245" s="55" t="n"/>
      <c r="D245" s="56" t="n"/>
      <c r="E245" s="56" t="n"/>
      <c r="F245" s="55" t="n"/>
      <c r="G245" s="55" t="n"/>
      <c r="H245" s="57" t="n"/>
      <c r="I245" s="57" t="n"/>
      <c r="J245" s="57" t="n"/>
      <c r="K245" s="57" t="n"/>
      <c r="L245" s="55" t="n"/>
      <c r="M245" s="55" t="n"/>
      <c r="N245" s="55" t="n"/>
      <c r="O245" s="55" t="n"/>
      <c r="P245" s="55" t="n"/>
      <c r="Q245" s="55" t="n"/>
      <c r="R245" s="58" t="n"/>
      <c r="S245" s="59">
        <f>IF(OR(tblPlant[[#This Row],[Milled_t]]="",tblPlant[[#This Row],[Head_Grade_gpt]]=""),"",tblPlant[[#This Row],[Milled_t]]*tblPlant[[#This Row],[Head_Grade_gpt]]/cfg_TroyOz)</f>
        <v/>
      </c>
      <c r="T245" s="59">
        <f>IF(OR(tblPlant[[#This Row],[Milled_t]]="",tblPlant[[#This Row],[Tails_Grade_gpt]]=""),"",tblPlant[[#This Row],[Milled_t]]*tblPlant[[#This Row],[Tails_Grade_gpt]]/cfg_TroyOz)</f>
        <v/>
      </c>
      <c r="U245" s="59">
        <f>IF(OR(tblPlant[[#This Row],[Milled_t]]="",tblPlant[[#This Row],[Head_Grade_gpt]]="",tblPlant[[#This Row],[Tails_Grade_gpt]]=""),"",tblPlant[[#This Row],[Feed_oz]]-tblPlant[[#This Row],[Tails_oz]])</f>
        <v/>
      </c>
      <c r="V245" s="60">
        <f>IF(AND(ISNUMBER(tblPlant[[#This Row],[Recovered_oz]]),tblPlant[[#This Row],[Feed_oz]]&gt;0),tblPlant[[#This Row],[Recovered_oz]]/tblPlant[[#This Row],[Feed_oz]],"")</f>
        <v/>
      </c>
      <c r="W245" s="59">
        <f>IF(AND(tblPlant[[#This Row],[Milled_t]]&lt;&gt;"",tblPlant[[#This Row],[Mill_Run_h]]&gt;0),tblPlant[[#This Row],[Milled_t]]/tblPlant[[#This Row],[Mill_Run_h]],"")</f>
        <v/>
      </c>
      <c r="X245" s="60">
        <f>IF(AND(tblPlant[[#This Row],[Mill_Run_h]]="",tblPlant[[#This Row],[Mill_Planned_Maint_h]]="",tblPlant[[#This Row],[Mill_Unplanned_Down_h]]=""),"",(cfg_HoursPerDay-tblPlant[[#This Row],[Mill_Planned_Maint_h]]-tblPlant[[#This Row],[Mill_Unplanned_Down_h]])/cfg_HoursPerDay)</f>
        <v/>
      </c>
      <c r="Y24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6">
      <c r="A246" s="54" t="n">
        <v>46263</v>
      </c>
      <c r="B246" s="55" t="n"/>
      <c r="C246" s="55" t="n"/>
      <c r="D246" s="56" t="n"/>
      <c r="E246" s="56" t="n"/>
      <c r="F246" s="55" t="n"/>
      <c r="G246" s="55" t="n"/>
      <c r="H246" s="57" t="n"/>
      <c r="I246" s="57" t="n"/>
      <c r="J246" s="57" t="n"/>
      <c r="K246" s="57" t="n"/>
      <c r="L246" s="55" t="n"/>
      <c r="M246" s="55" t="n"/>
      <c r="N246" s="55" t="n"/>
      <c r="O246" s="55" t="n"/>
      <c r="P246" s="55" t="n"/>
      <c r="Q246" s="55" t="n"/>
      <c r="R246" s="58" t="n"/>
      <c r="S246" s="59">
        <f>IF(OR(tblPlant[[#This Row],[Milled_t]]="",tblPlant[[#This Row],[Head_Grade_gpt]]=""),"",tblPlant[[#This Row],[Milled_t]]*tblPlant[[#This Row],[Head_Grade_gpt]]/cfg_TroyOz)</f>
        <v/>
      </c>
      <c r="T246" s="59">
        <f>IF(OR(tblPlant[[#This Row],[Milled_t]]="",tblPlant[[#This Row],[Tails_Grade_gpt]]=""),"",tblPlant[[#This Row],[Milled_t]]*tblPlant[[#This Row],[Tails_Grade_gpt]]/cfg_TroyOz)</f>
        <v/>
      </c>
      <c r="U246" s="59">
        <f>IF(OR(tblPlant[[#This Row],[Milled_t]]="",tblPlant[[#This Row],[Head_Grade_gpt]]="",tblPlant[[#This Row],[Tails_Grade_gpt]]=""),"",tblPlant[[#This Row],[Feed_oz]]-tblPlant[[#This Row],[Tails_oz]])</f>
        <v/>
      </c>
      <c r="V246" s="60">
        <f>IF(AND(ISNUMBER(tblPlant[[#This Row],[Recovered_oz]]),tblPlant[[#This Row],[Feed_oz]]&gt;0),tblPlant[[#This Row],[Recovered_oz]]/tblPlant[[#This Row],[Feed_oz]],"")</f>
        <v/>
      </c>
      <c r="W246" s="59">
        <f>IF(AND(tblPlant[[#This Row],[Milled_t]]&lt;&gt;"",tblPlant[[#This Row],[Mill_Run_h]]&gt;0),tblPlant[[#This Row],[Milled_t]]/tblPlant[[#This Row],[Mill_Run_h]],"")</f>
        <v/>
      </c>
      <c r="X246" s="60">
        <f>IF(AND(tblPlant[[#This Row],[Mill_Run_h]]="",tblPlant[[#This Row],[Mill_Planned_Maint_h]]="",tblPlant[[#This Row],[Mill_Unplanned_Down_h]]=""),"",(cfg_HoursPerDay-tblPlant[[#This Row],[Mill_Planned_Maint_h]]-tblPlant[[#This Row],[Mill_Unplanned_Down_h]])/cfg_HoursPerDay)</f>
        <v/>
      </c>
      <c r="Y24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7">
      <c r="A247" s="54" t="n">
        <v>46264</v>
      </c>
      <c r="B247" s="55" t="n"/>
      <c r="C247" s="55" t="n"/>
      <c r="D247" s="56" t="n"/>
      <c r="E247" s="56" t="n"/>
      <c r="F247" s="55" t="n"/>
      <c r="G247" s="55" t="n"/>
      <c r="H247" s="57" t="n"/>
      <c r="I247" s="57" t="n"/>
      <c r="J247" s="57" t="n"/>
      <c r="K247" s="57" t="n"/>
      <c r="L247" s="55" t="n"/>
      <c r="M247" s="55" t="n"/>
      <c r="N247" s="55" t="n"/>
      <c r="O247" s="55" t="n"/>
      <c r="P247" s="55" t="n"/>
      <c r="Q247" s="55" t="n"/>
      <c r="R247" s="58" t="n"/>
      <c r="S247" s="59">
        <f>IF(OR(tblPlant[[#This Row],[Milled_t]]="",tblPlant[[#This Row],[Head_Grade_gpt]]=""),"",tblPlant[[#This Row],[Milled_t]]*tblPlant[[#This Row],[Head_Grade_gpt]]/cfg_TroyOz)</f>
        <v/>
      </c>
      <c r="T247" s="59">
        <f>IF(OR(tblPlant[[#This Row],[Milled_t]]="",tblPlant[[#This Row],[Tails_Grade_gpt]]=""),"",tblPlant[[#This Row],[Milled_t]]*tblPlant[[#This Row],[Tails_Grade_gpt]]/cfg_TroyOz)</f>
        <v/>
      </c>
      <c r="U247" s="59">
        <f>IF(OR(tblPlant[[#This Row],[Milled_t]]="",tblPlant[[#This Row],[Head_Grade_gpt]]="",tblPlant[[#This Row],[Tails_Grade_gpt]]=""),"",tblPlant[[#This Row],[Feed_oz]]-tblPlant[[#This Row],[Tails_oz]])</f>
        <v/>
      </c>
      <c r="V247" s="60">
        <f>IF(AND(ISNUMBER(tblPlant[[#This Row],[Recovered_oz]]),tblPlant[[#This Row],[Feed_oz]]&gt;0),tblPlant[[#This Row],[Recovered_oz]]/tblPlant[[#This Row],[Feed_oz]],"")</f>
        <v/>
      </c>
      <c r="W247" s="59">
        <f>IF(AND(tblPlant[[#This Row],[Milled_t]]&lt;&gt;"",tblPlant[[#This Row],[Mill_Run_h]]&gt;0),tblPlant[[#This Row],[Milled_t]]/tblPlant[[#This Row],[Mill_Run_h]],"")</f>
        <v/>
      </c>
      <c r="X247" s="60">
        <f>IF(AND(tblPlant[[#This Row],[Mill_Run_h]]="",tblPlant[[#This Row],[Mill_Planned_Maint_h]]="",tblPlant[[#This Row],[Mill_Unplanned_Down_h]]=""),"",(cfg_HoursPerDay-tblPlant[[#This Row],[Mill_Planned_Maint_h]]-tblPlant[[#This Row],[Mill_Unplanned_Down_h]])/cfg_HoursPerDay)</f>
        <v/>
      </c>
      <c r="Y24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8">
      <c r="A248" s="54" t="n">
        <v>46265</v>
      </c>
      <c r="B248" s="55" t="n"/>
      <c r="C248" s="55" t="n"/>
      <c r="D248" s="56" t="n"/>
      <c r="E248" s="56" t="n"/>
      <c r="F248" s="55" t="n"/>
      <c r="G248" s="55" t="n"/>
      <c r="H248" s="57" t="n"/>
      <c r="I248" s="57" t="n"/>
      <c r="J248" s="57" t="n"/>
      <c r="K248" s="57" t="n"/>
      <c r="L248" s="55" t="n"/>
      <c r="M248" s="55" t="n"/>
      <c r="N248" s="55" t="n"/>
      <c r="O248" s="55" t="n"/>
      <c r="P248" s="55" t="n"/>
      <c r="Q248" s="55" t="n"/>
      <c r="R248" s="58" t="n"/>
      <c r="S248" s="59">
        <f>IF(OR(tblPlant[[#This Row],[Milled_t]]="",tblPlant[[#This Row],[Head_Grade_gpt]]=""),"",tblPlant[[#This Row],[Milled_t]]*tblPlant[[#This Row],[Head_Grade_gpt]]/cfg_TroyOz)</f>
        <v/>
      </c>
      <c r="T248" s="59">
        <f>IF(OR(tblPlant[[#This Row],[Milled_t]]="",tblPlant[[#This Row],[Tails_Grade_gpt]]=""),"",tblPlant[[#This Row],[Milled_t]]*tblPlant[[#This Row],[Tails_Grade_gpt]]/cfg_TroyOz)</f>
        <v/>
      </c>
      <c r="U248" s="59">
        <f>IF(OR(tblPlant[[#This Row],[Milled_t]]="",tblPlant[[#This Row],[Head_Grade_gpt]]="",tblPlant[[#This Row],[Tails_Grade_gpt]]=""),"",tblPlant[[#This Row],[Feed_oz]]-tblPlant[[#This Row],[Tails_oz]])</f>
        <v/>
      </c>
      <c r="V248" s="60">
        <f>IF(AND(ISNUMBER(tblPlant[[#This Row],[Recovered_oz]]),tblPlant[[#This Row],[Feed_oz]]&gt;0),tblPlant[[#This Row],[Recovered_oz]]/tblPlant[[#This Row],[Feed_oz]],"")</f>
        <v/>
      </c>
      <c r="W248" s="59">
        <f>IF(AND(tblPlant[[#This Row],[Milled_t]]&lt;&gt;"",tblPlant[[#This Row],[Mill_Run_h]]&gt;0),tblPlant[[#This Row],[Milled_t]]/tblPlant[[#This Row],[Mill_Run_h]],"")</f>
        <v/>
      </c>
      <c r="X248" s="60">
        <f>IF(AND(tblPlant[[#This Row],[Mill_Run_h]]="",tblPlant[[#This Row],[Mill_Planned_Maint_h]]="",tblPlant[[#This Row],[Mill_Unplanned_Down_h]]=""),"",(cfg_HoursPerDay-tblPlant[[#This Row],[Mill_Planned_Maint_h]]-tblPlant[[#This Row],[Mill_Unplanned_Down_h]])/cfg_HoursPerDay)</f>
        <v/>
      </c>
      <c r="Y24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49">
      <c r="A249" s="54" t="n">
        <v>46266</v>
      </c>
      <c r="B249" s="55" t="n"/>
      <c r="C249" s="55" t="n"/>
      <c r="D249" s="56" t="n"/>
      <c r="E249" s="56" t="n"/>
      <c r="F249" s="55" t="n"/>
      <c r="G249" s="55" t="n"/>
      <c r="H249" s="57" t="n"/>
      <c r="I249" s="57" t="n"/>
      <c r="J249" s="57" t="n"/>
      <c r="K249" s="57" t="n"/>
      <c r="L249" s="55" t="n"/>
      <c r="M249" s="55" t="n"/>
      <c r="N249" s="55" t="n"/>
      <c r="O249" s="55" t="n"/>
      <c r="P249" s="55" t="n"/>
      <c r="Q249" s="55" t="n"/>
      <c r="R249" s="58" t="n"/>
      <c r="S249" s="59">
        <f>IF(OR(tblPlant[[#This Row],[Milled_t]]="",tblPlant[[#This Row],[Head_Grade_gpt]]=""),"",tblPlant[[#This Row],[Milled_t]]*tblPlant[[#This Row],[Head_Grade_gpt]]/cfg_TroyOz)</f>
        <v/>
      </c>
      <c r="T249" s="59">
        <f>IF(OR(tblPlant[[#This Row],[Milled_t]]="",tblPlant[[#This Row],[Tails_Grade_gpt]]=""),"",tblPlant[[#This Row],[Milled_t]]*tblPlant[[#This Row],[Tails_Grade_gpt]]/cfg_TroyOz)</f>
        <v/>
      </c>
      <c r="U249" s="59">
        <f>IF(OR(tblPlant[[#This Row],[Milled_t]]="",tblPlant[[#This Row],[Head_Grade_gpt]]="",tblPlant[[#This Row],[Tails_Grade_gpt]]=""),"",tblPlant[[#This Row],[Feed_oz]]-tblPlant[[#This Row],[Tails_oz]])</f>
        <v/>
      </c>
      <c r="V249" s="60">
        <f>IF(AND(ISNUMBER(tblPlant[[#This Row],[Recovered_oz]]),tblPlant[[#This Row],[Feed_oz]]&gt;0),tblPlant[[#This Row],[Recovered_oz]]/tblPlant[[#This Row],[Feed_oz]],"")</f>
        <v/>
      </c>
      <c r="W249" s="59">
        <f>IF(AND(tblPlant[[#This Row],[Milled_t]]&lt;&gt;"",tblPlant[[#This Row],[Mill_Run_h]]&gt;0),tblPlant[[#This Row],[Milled_t]]/tblPlant[[#This Row],[Mill_Run_h]],"")</f>
        <v/>
      </c>
      <c r="X249" s="60">
        <f>IF(AND(tblPlant[[#This Row],[Mill_Run_h]]="",tblPlant[[#This Row],[Mill_Planned_Maint_h]]="",tblPlant[[#This Row],[Mill_Unplanned_Down_h]]=""),"",(cfg_HoursPerDay-tblPlant[[#This Row],[Mill_Planned_Maint_h]]-tblPlant[[#This Row],[Mill_Unplanned_Down_h]])/cfg_HoursPerDay)</f>
        <v/>
      </c>
      <c r="Y24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0">
      <c r="A250" s="54" t="n">
        <v>46267</v>
      </c>
      <c r="B250" s="55" t="n"/>
      <c r="C250" s="55" t="n"/>
      <c r="D250" s="56" t="n"/>
      <c r="E250" s="56" t="n"/>
      <c r="F250" s="55" t="n"/>
      <c r="G250" s="55" t="n"/>
      <c r="H250" s="57" t="n"/>
      <c r="I250" s="57" t="n"/>
      <c r="J250" s="57" t="n"/>
      <c r="K250" s="57" t="n"/>
      <c r="L250" s="55" t="n"/>
      <c r="M250" s="55" t="n"/>
      <c r="N250" s="55" t="n"/>
      <c r="O250" s="55" t="n"/>
      <c r="P250" s="55" t="n"/>
      <c r="Q250" s="55" t="n"/>
      <c r="R250" s="58" t="n"/>
      <c r="S250" s="59">
        <f>IF(OR(tblPlant[[#This Row],[Milled_t]]="",tblPlant[[#This Row],[Head_Grade_gpt]]=""),"",tblPlant[[#This Row],[Milled_t]]*tblPlant[[#This Row],[Head_Grade_gpt]]/cfg_TroyOz)</f>
        <v/>
      </c>
      <c r="T250" s="59">
        <f>IF(OR(tblPlant[[#This Row],[Milled_t]]="",tblPlant[[#This Row],[Tails_Grade_gpt]]=""),"",tblPlant[[#This Row],[Milled_t]]*tblPlant[[#This Row],[Tails_Grade_gpt]]/cfg_TroyOz)</f>
        <v/>
      </c>
      <c r="U250" s="59">
        <f>IF(OR(tblPlant[[#This Row],[Milled_t]]="",tblPlant[[#This Row],[Head_Grade_gpt]]="",tblPlant[[#This Row],[Tails_Grade_gpt]]=""),"",tblPlant[[#This Row],[Feed_oz]]-tblPlant[[#This Row],[Tails_oz]])</f>
        <v/>
      </c>
      <c r="V250" s="60">
        <f>IF(AND(ISNUMBER(tblPlant[[#This Row],[Recovered_oz]]),tblPlant[[#This Row],[Feed_oz]]&gt;0),tblPlant[[#This Row],[Recovered_oz]]/tblPlant[[#This Row],[Feed_oz]],"")</f>
        <v/>
      </c>
      <c r="W250" s="59">
        <f>IF(AND(tblPlant[[#This Row],[Milled_t]]&lt;&gt;"",tblPlant[[#This Row],[Mill_Run_h]]&gt;0),tblPlant[[#This Row],[Milled_t]]/tblPlant[[#This Row],[Mill_Run_h]],"")</f>
        <v/>
      </c>
      <c r="X250" s="60">
        <f>IF(AND(tblPlant[[#This Row],[Mill_Run_h]]="",tblPlant[[#This Row],[Mill_Planned_Maint_h]]="",tblPlant[[#This Row],[Mill_Unplanned_Down_h]]=""),"",(cfg_HoursPerDay-tblPlant[[#This Row],[Mill_Planned_Maint_h]]-tblPlant[[#This Row],[Mill_Unplanned_Down_h]])/cfg_HoursPerDay)</f>
        <v/>
      </c>
      <c r="Y25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1">
      <c r="A251" s="54" t="n">
        <v>46268</v>
      </c>
      <c r="B251" s="55" t="n"/>
      <c r="C251" s="55" t="n"/>
      <c r="D251" s="56" t="n"/>
      <c r="E251" s="56" t="n"/>
      <c r="F251" s="55" t="n"/>
      <c r="G251" s="55" t="n"/>
      <c r="H251" s="57" t="n"/>
      <c r="I251" s="57" t="n"/>
      <c r="J251" s="57" t="n"/>
      <c r="K251" s="57" t="n"/>
      <c r="L251" s="55" t="n"/>
      <c r="M251" s="55" t="n"/>
      <c r="N251" s="55" t="n"/>
      <c r="O251" s="55" t="n"/>
      <c r="P251" s="55" t="n"/>
      <c r="Q251" s="55" t="n"/>
      <c r="R251" s="58" t="n"/>
      <c r="S251" s="59">
        <f>IF(OR(tblPlant[[#This Row],[Milled_t]]="",tblPlant[[#This Row],[Head_Grade_gpt]]=""),"",tblPlant[[#This Row],[Milled_t]]*tblPlant[[#This Row],[Head_Grade_gpt]]/cfg_TroyOz)</f>
        <v/>
      </c>
      <c r="T251" s="59">
        <f>IF(OR(tblPlant[[#This Row],[Milled_t]]="",tblPlant[[#This Row],[Tails_Grade_gpt]]=""),"",tblPlant[[#This Row],[Milled_t]]*tblPlant[[#This Row],[Tails_Grade_gpt]]/cfg_TroyOz)</f>
        <v/>
      </c>
      <c r="U251" s="59">
        <f>IF(OR(tblPlant[[#This Row],[Milled_t]]="",tblPlant[[#This Row],[Head_Grade_gpt]]="",tblPlant[[#This Row],[Tails_Grade_gpt]]=""),"",tblPlant[[#This Row],[Feed_oz]]-tblPlant[[#This Row],[Tails_oz]])</f>
        <v/>
      </c>
      <c r="V251" s="60">
        <f>IF(AND(ISNUMBER(tblPlant[[#This Row],[Recovered_oz]]),tblPlant[[#This Row],[Feed_oz]]&gt;0),tblPlant[[#This Row],[Recovered_oz]]/tblPlant[[#This Row],[Feed_oz]],"")</f>
        <v/>
      </c>
      <c r="W251" s="59">
        <f>IF(AND(tblPlant[[#This Row],[Milled_t]]&lt;&gt;"",tblPlant[[#This Row],[Mill_Run_h]]&gt;0),tblPlant[[#This Row],[Milled_t]]/tblPlant[[#This Row],[Mill_Run_h]],"")</f>
        <v/>
      </c>
      <c r="X251" s="60">
        <f>IF(AND(tblPlant[[#This Row],[Mill_Run_h]]="",tblPlant[[#This Row],[Mill_Planned_Maint_h]]="",tblPlant[[#This Row],[Mill_Unplanned_Down_h]]=""),"",(cfg_HoursPerDay-tblPlant[[#This Row],[Mill_Planned_Maint_h]]-tblPlant[[#This Row],[Mill_Unplanned_Down_h]])/cfg_HoursPerDay)</f>
        <v/>
      </c>
      <c r="Y25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2">
      <c r="A252" s="54" t="n">
        <v>46269</v>
      </c>
      <c r="B252" s="55" t="n"/>
      <c r="C252" s="55" t="n"/>
      <c r="D252" s="56" t="n"/>
      <c r="E252" s="56" t="n"/>
      <c r="F252" s="55" t="n"/>
      <c r="G252" s="55" t="n"/>
      <c r="H252" s="57" t="n"/>
      <c r="I252" s="57" t="n"/>
      <c r="J252" s="57" t="n"/>
      <c r="K252" s="57" t="n"/>
      <c r="L252" s="55" t="n"/>
      <c r="M252" s="55" t="n"/>
      <c r="N252" s="55" t="n"/>
      <c r="O252" s="55" t="n"/>
      <c r="P252" s="55" t="n"/>
      <c r="Q252" s="55" t="n"/>
      <c r="R252" s="58" t="n"/>
      <c r="S252" s="59">
        <f>IF(OR(tblPlant[[#This Row],[Milled_t]]="",tblPlant[[#This Row],[Head_Grade_gpt]]=""),"",tblPlant[[#This Row],[Milled_t]]*tblPlant[[#This Row],[Head_Grade_gpt]]/cfg_TroyOz)</f>
        <v/>
      </c>
      <c r="T252" s="59">
        <f>IF(OR(tblPlant[[#This Row],[Milled_t]]="",tblPlant[[#This Row],[Tails_Grade_gpt]]=""),"",tblPlant[[#This Row],[Milled_t]]*tblPlant[[#This Row],[Tails_Grade_gpt]]/cfg_TroyOz)</f>
        <v/>
      </c>
      <c r="U252" s="59">
        <f>IF(OR(tblPlant[[#This Row],[Milled_t]]="",tblPlant[[#This Row],[Head_Grade_gpt]]="",tblPlant[[#This Row],[Tails_Grade_gpt]]=""),"",tblPlant[[#This Row],[Feed_oz]]-tblPlant[[#This Row],[Tails_oz]])</f>
        <v/>
      </c>
      <c r="V252" s="60">
        <f>IF(AND(ISNUMBER(tblPlant[[#This Row],[Recovered_oz]]),tblPlant[[#This Row],[Feed_oz]]&gt;0),tblPlant[[#This Row],[Recovered_oz]]/tblPlant[[#This Row],[Feed_oz]],"")</f>
        <v/>
      </c>
      <c r="W252" s="59">
        <f>IF(AND(tblPlant[[#This Row],[Milled_t]]&lt;&gt;"",tblPlant[[#This Row],[Mill_Run_h]]&gt;0),tblPlant[[#This Row],[Milled_t]]/tblPlant[[#This Row],[Mill_Run_h]],"")</f>
        <v/>
      </c>
      <c r="X252" s="60">
        <f>IF(AND(tblPlant[[#This Row],[Mill_Run_h]]="",tblPlant[[#This Row],[Mill_Planned_Maint_h]]="",tblPlant[[#This Row],[Mill_Unplanned_Down_h]]=""),"",(cfg_HoursPerDay-tblPlant[[#This Row],[Mill_Planned_Maint_h]]-tblPlant[[#This Row],[Mill_Unplanned_Down_h]])/cfg_HoursPerDay)</f>
        <v/>
      </c>
      <c r="Y25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3">
      <c r="A253" s="54" t="n">
        <v>46270</v>
      </c>
      <c r="B253" s="55" t="n"/>
      <c r="C253" s="55" t="n"/>
      <c r="D253" s="56" t="n"/>
      <c r="E253" s="56" t="n"/>
      <c r="F253" s="55" t="n"/>
      <c r="G253" s="55" t="n"/>
      <c r="H253" s="57" t="n"/>
      <c r="I253" s="57" t="n"/>
      <c r="J253" s="57" t="n"/>
      <c r="K253" s="57" t="n"/>
      <c r="L253" s="55" t="n"/>
      <c r="M253" s="55" t="n"/>
      <c r="N253" s="55" t="n"/>
      <c r="O253" s="55" t="n"/>
      <c r="P253" s="55" t="n"/>
      <c r="Q253" s="55" t="n"/>
      <c r="R253" s="58" t="n"/>
      <c r="S253" s="59">
        <f>IF(OR(tblPlant[[#This Row],[Milled_t]]="",tblPlant[[#This Row],[Head_Grade_gpt]]=""),"",tblPlant[[#This Row],[Milled_t]]*tblPlant[[#This Row],[Head_Grade_gpt]]/cfg_TroyOz)</f>
        <v/>
      </c>
      <c r="T253" s="59">
        <f>IF(OR(tblPlant[[#This Row],[Milled_t]]="",tblPlant[[#This Row],[Tails_Grade_gpt]]=""),"",tblPlant[[#This Row],[Milled_t]]*tblPlant[[#This Row],[Tails_Grade_gpt]]/cfg_TroyOz)</f>
        <v/>
      </c>
      <c r="U253" s="59">
        <f>IF(OR(tblPlant[[#This Row],[Milled_t]]="",tblPlant[[#This Row],[Head_Grade_gpt]]="",tblPlant[[#This Row],[Tails_Grade_gpt]]=""),"",tblPlant[[#This Row],[Feed_oz]]-tblPlant[[#This Row],[Tails_oz]])</f>
        <v/>
      </c>
      <c r="V253" s="60">
        <f>IF(AND(ISNUMBER(tblPlant[[#This Row],[Recovered_oz]]),tblPlant[[#This Row],[Feed_oz]]&gt;0),tblPlant[[#This Row],[Recovered_oz]]/tblPlant[[#This Row],[Feed_oz]],"")</f>
        <v/>
      </c>
      <c r="W253" s="59">
        <f>IF(AND(tblPlant[[#This Row],[Milled_t]]&lt;&gt;"",tblPlant[[#This Row],[Mill_Run_h]]&gt;0),tblPlant[[#This Row],[Milled_t]]/tblPlant[[#This Row],[Mill_Run_h]],"")</f>
        <v/>
      </c>
      <c r="X253" s="60">
        <f>IF(AND(tblPlant[[#This Row],[Mill_Run_h]]="",tblPlant[[#This Row],[Mill_Planned_Maint_h]]="",tblPlant[[#This Row],[Mill_Unplanned_Down_h]]=""),"",(cfg_HoursPerDay-tblPlant[[#This Row],[Mill_Planned_Maint_h]]-tblPlant[[#This Row],[Mill_Unplanned_Down_h]])/cfg_HoursPerDay)</f>
        <v/>
      </c>
      <c r="Y25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4">
      <c r="A254" s="54" t="n">
        <v>46271</v>
      </c>
      <c r="B254" s="55" t="n"/>
      <c r="C254" s="55" t="n"/>
      <c r="D254" s="56" t="n"/>
      <c r="E254" s="56" t="n"/>
      <c r="F254" s="55" t="n"/>
      <c r="G254" s="55" t="n"/>
      <c r="H254" s="57" t="n"/>
      <c r="I254" s="57" t="n"/>
      <c r="J254" s="57" t="n"/>
      <c r="K254" s="57" t="n"/>
      <c r="L254" s="55" t="n"/>
      <c r="M254" s="55" t="n"/>
      <c r="N254" s="55" t="n"/>
      <c r="O254" s="55" t="n"/>
      <c r="P254" s="55" t="n"/>
      <c r="Q254" s="55" t="n"/>
      <c r="R254" s="58" t="n"/>
      <c r="S254" s="59">
        <f>IF(OR(tblPlant[[#This Row],[Milled_t]]="",tblPlant[[#This Row],[Head_Grade_gpt]]=""),"",tblPlant[[#This Row],[Milled_t]]*tblPlant[[#This Row],[Head_Grade_gpt]]/cfg_TroyOz)</f>
        <v/>
      </c>
      <c r="T254" s="59">
        <f>IF(OR(tblPlant[[#This Row],[Milled_t]]="",tblPlant[[#This Row],[Tails_Grade_gpt]]=""),"",tblPlant[[#This Row],[Milled_t]]*tblPlant[[#This Row],[Tails_Grade_gpt]]/cfg_TroyOz)</f>
        <v/>
      </c>
      <c r="U254" s="59">
        <f>IF(OR(tblPlant[[#This Row],[Milled_t]]="",tblPlant[[#This Row],[Head_Grade_gpt]]="",tblPlant[[#This Row],[Tails_Grade_gpt]]=""),"",tblPlant[[#This Row],[Feed_oz]]-tblPlant[[#This Row],[Tails_oz]])</f>
        <v/>
      </c>
      <c r="V254" s="60">
        <f>IF(AND(ISNUMBER(tblPlant[[#This Row],[Recovered_oz]]),tblPlant[[#This Row],[Feed_oz]]&gt;0),tblPlant[[#This Row],[Recovered_oz]]/tblPlant[[#This Row],[Feed_oz]],"")</f>
        <v/>
      </c>
      <c r="W254" s="59">
        <f>IF(AND(tblPlant[[#This Row],[Milled_t]]&lt;&gt;"",tblPlant[[#This Row],[Mill_Run_h]]&gt;0),tblPlant[[#This Row],[Milled_t]]/tblPlant[[#This Row],[Mill_Run_h]],"")</f>
        <v/>
      </c>
      <c r="X254" s="60">
        <f>IF(AND(tblPlant[[#This Row],[Mill_Run_h]]="",tblPlant[[#This Row],[Mill_Planned_Maint_h]]="",tblPlant[[#This Row],[Mill_Unplanned_Down_h]]=""),"",(cfg_HoursPerDay-tblPlant[[#This Row],[Mill_Planned_Maint_h]]-tblPlant[[#This Row],[Mill_Unplanned_Down_h]])/cfg_HoursPerDay)</f>
        <v/>
      </c>
      <c r="Y25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5">
      <c r="A255" s="54" t="n">
        <v>46272</v>
      </c>
      <c r="B255" s="55" t="n"/>
      <c r="C255" s="55" t="n"/>
      <c r="D255" s="56" t="n"/>
      <c r="E255" s="56" t="n"/>
      <c r="F255" s="55" t="n"/>
      <c r="G255" s="55" t="n"/>
      <c r="H255" s="57" t="n"/>
      <c r="I255" s="57" t="n"/>
      <c r="J255" s="57" t="n"/>
      <c r="K255" s="57" t="n"/>
      <c r="L255" s="55" t="n"/>
      <c r="M255" s="55" t="n"/>
      <c r="N255" s="55" t="n"/>
      <c r="O255" s="55" t="n"/>
      <c r="P255" s="55" t="n"/>
      <c r="Q255" s="55" t="n"/>
      <c r="R255" s="58" t="n"/>
      <c r="S255" s="59">
        <f>IF(OR(tblPlant[[#This Row],[Milled_t]]="",tblPlant[[#This Row],[Head_Grade_gpt]]=""),"",tblPlant[[#This Row],[Milled_t]]*tblPlant[[#This Row],[Head_Grade_gpt]]/cfg_TroyOz)</f>
        <v/>
      </c>
      <c r="T255" s="59">
        <f>IF(OR(tblPlant[[#This Row],[Milled_t]]="",tblPlant[[#This Row],[Tails_Grade_gpt]]=""),"",tblPlant[[#This Row],[Milled_t]]*tblPlant[[#This Row],[Tails_Grade_gpt]]/cfg_TroyOz)</f>
        <v/>
      </c>
      <c r="U255" s="59">
        <f>IF(OR(tblPlant[[#This Row],[Milled_t]]="",tblPlant[[#This Row],[Head_Grade_gpt]]="",tblPlant[[#This Row],[Tails_Grade_gpt]]=""),"",tblPlant[[#This Row],[Feed_oz]]-tblPlant[[#This Row],[Tails_oz]])</f>
        <v/>
      </c>
      <c r="V255" s="60">
        <f>IF(AND(ISNUMBER(tblPlant[[#This Row],[Recovered_oz]]),tblPlant[[#This Row],[Feed_oz]]&gt;0),tblPlant[[#This Row],[Recovered_oz]]/tblPlant[[#This Row],[Feed_oz]],"")</f>
        <v/>
      </c>
      <c r="W255" s="59">
        <f>IF(AND(tblPlant[[#This Row],[Milled_t]]&lt;&gt;"",tblPlant[[#This Row],[Mill_Run_h]]&gt;0),tblPlant[[#This Row],[Milled_t]]/tblPlant[[#This Row],[Mill_Run_h]],"")</f>
        <v/>
      </c>
      <c r="X255" s="60">
        <f>IF(AND(tblPlant[[#This Row],[Mill_Run_h]]="",tblPlant[[#This Row],[Mill_Planned_Maint_h]]="",tblPlant[[#This Row],[Mill_Unplanned_Down_h]]=""),"",(cfg_HoursPerDay-tblPlant[[#This Row],[Mill_Planned_Maint_h]]-tblPlant[[#This Row],[Mill_Unplanned_Down_h]])/cfg_HoursPerDay)</f>
        <v/>
      </c>
      <c r="Y25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6">
      <c r="A256" s="54" t="n">
        <v>46273</v>
      </c>
      <c r="B256" s="55" t="n"/>
      <c r="C256" s="55" t="n"/>
      <c r="D256" s="56" t="n"/>
      <c r="E256" s="56" t="n"/>
      <c r="F256" s="55" t="n"/>
      <c r="G256" s="55" t="n"/>
      <c r="H256" s="57" t="n"/>
      <c r="I256" s="57" t="n"/>
      <c r="J256" s="57" t="n"/>
      <c r="K256" s="57" t="n"/>
      <c r="L256" s="55" t="n"/>
      <c r="M256" s="55" t="n"/>
      <c r="N256" s="55" t="n"/>
      <c r="O256" s="55" t="n"/>
      <c r="P256" s="55" t="n"/>
      <c r="Q256" s="55" t="n"/>
      <c r="R256" s="58" t="n"/>
      <c r="S256" s="59">
        <f>IF(OR(tblPlant[[#This Row],[Milled_t]]="",tblPlant[[#This Row],[Head_Grade_gpt]]=""),"",tblPlant[[#This Row],[Milled_t]]*tblPlant[[#This Row],[Head_Grade_gpt]]/cfg_TroyOz)</f>
        <v/>
      </c>
      <c r="T256" s="59">
        <f>IF(OR(tblPlant[[#This Row],[Milled_t]]="",tblPlant[[#This Row],[Tails_Grade_gpt]]=""),"",tblPlant[[#This Row],[Milled_t]]*tblPlant[[#This Row],[Tails_Grade_gpt]]/cfg_TroyOz)</f>
        <v/>
      </c>
      <c r="U256" s="59">
        <f>IF(OR(tblPlant[[#This Row],[Milled_t]]="",tblPlant[[#This Row],[Head_Grade_gpt]]="",tblPlant[[#This Row],[Tails_Grade_gpt]]=""),"",tblPlant[[#This Row],[Feed_oz]]-tblPlant[[#This Row],[Tails_oz]])</f>
        <v/>
      </c>
      <c r="V256" s="60">
        <f>IF(AND(ISNUMBER(tblPlant[[#This Row],[Recovered_oz]]),tblPlant[[#This Row],[Feed_oz]]&gt;0),tblPlant[[#This Row],[Recovered_oz]]/tblPlant[[#This Row],[Feed_oz]],"")</f>
        <v/>
      </c>
      <c r="W256" s="59">
        <f>IF(AND(tblPlant[[#This Row],[Milled_t]]&lt;&gt;"",tblPlant[[#This Row],[Mill_Run_h]]&gt;0),tblPlant[[#This Row],[Milled_t]]/tblPlant[[#This Row],[Mill_Run_h]],"")</f>
        <v/>
      </c>
      <c r="X256" s="60">
        <f>IF(AND(tblPlant[[#This Row],[Mill_Run_h]]="",tblPlant[[#This Row],[Mill_Planned_Maint_h]]="",tblPlant[[#This Row],[Mill_Unplanned_Down_h]]=""),"",(cfg_HoursPerDay-tblPlant[[#This Row],[Mill_Planned_Maint_h]]-tblPlant[[#This Row],[Mill_Unplanned_Down_h]])/cfg_HoursPerDay)</f>
        <v/>
      </c>
      <c r="Y25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7">
      <c r="A257" s="54" t="n">
        <v>46274</v>
      </c>
      <c r="B257" s="55" t="n"/>
      <c r="C257" s="55" t="n"/>
      <c r="D257" s="56" t="n"/>
      <c r="E257" s="56" t="n"/>
      <c r="F257" s="55" t="n"/>
      <c r="G257" s="55" t="n"/>
      <c r="H257" s="57" t="n"/>
      <c r="I257" s="57" t="n"/>
      <c r="J257" s="57" t="n"/>
      <c r="K257" s="57" t="n"/>
      <c r="L257" s="55" t="n"/>
      <c r="M257" s="55" t="n"/>
      <c r="N257" s="55" t="n"/>
      <c r="O257" s="55" t="n"/>
      <c r="P257" s="55" t="n"/>
      <c r="Q257" s="55" t="n"/>
      <c r="R257" s="58" t="n"/>
      <c r="S257" s="59">
        <f>IF(OR(tblPlant[[#This Row],[Milled_t]]="",tblPlant[[#This Row],[Head_Grade_gpt]]=""),"",tblPlant[[#This Row],[Milled_t]]*tblPlant[[#This Row],[Head_Grade_gpt]]/cfg_TroyOz)</f>
        <v/>
      </c>
      <c r="T257" s="59">
        <f>IF(OR(tblPlant[[#This Row],[Milled_t]]="",tblPlant[[#This Row],[Tails_Grade_gpt]]=""),"",tblPlant[[#This Row],[Milled_t]]*tblPlant[[#This Row],[Tails_Grade_gpt]]/cfg_TroyOz)</f>
        <v/>
      </c>
      <c r="U257" s="59">
        <f>IF(OR(tblPlant[[#This Row],[Milled_t]]="",tblPlant[[#This Row],[Head_Grade_gpt]]="",tblPlant[[#This Row],[Tails_Grade_gpt]]=""),"",tblPlant[[#This Row],[Feed_oz]]-tblPlant[[#This Row],[Tails_oz]])</f>
        <v/>
      </c>
      <c r="V257" s="60">
        <f>IF(AND(ISNUMBER(tblPlant[[#This Row],[Recovered_oz]]),tblPlant[[#This Row],[Feed_oz]]&gt;0),tblPlant[[#This Row],[Recovered_oz]]/tblPlant[[#This Row],[Feed_oz]],"")</f>
        <v/>
      </c>
      <c r="W257" s="59">
        <f>IF(AND(tblPlant[[#This Row],[Milled_t]]&lt;&gt;"",tblPlant[[#This Row],[Mill_Run_h]]&gt;0),tblPlant[[#This Row],[Milled_t]]/tblPlant[[#This Row],[Mill_Run_h]],"")</f>
        <v/>
      </c>
      <c r="X257" s="60">
        <f>IF(AND(tblPlant[[#This Row],[Mill_Run_h]]="",tblPlant[[#This Row],[Mill_Planned_Maint_h]]="",tblPlant[[#This Row],[Mill_Unplanned_Down_h]]=""),"",(cfg_HoursPerDay-tblPlant[[#This Row],[Mill_Planned_Maint_h]]-tblPlant[[#This Row],[Mill_Unplanned_Down_h]])/cfg_HoursPerDay)</f>
        <v/>
      </c>
      <c r="Y25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8">
      <c r="A258" s="54" t="n">
        <v>46275</v>
      </c>
      <c r="B258" s="55" t="n"/>
      <c r="C258" s="55" t="n"/>
      <c r="D258" s="56" t="n"/>
      <c r="E258" s="56" t="n"/>
      <c r="F258" s="55" t="n"/>
      <c r="G258" s="55" t="n"/>
      <c r="H258" s="57" t="n"/>
      <c r="I258" s="57" t="n"/>
      <c r="J258" s="57" t="n"/>
      <c r="K258" s="57" t="n"/>
      <c r="L258" s="55" t="n"/>
      <c r="M258" s="55" t="n"/>
      <c r="N258" s="55" t="n"/>
      <c r="O258" s="55" t="n"/>
      <c r="P258" s="55" t="n"/>
      <c r="Q258" s="55" t="n"/>
      <c r="R258" s="58" t="n"/>
      <c r="S258" s="59">
        <f>IF(OR(tblPlant[[#This Row],[Milled_t]]="",tblPlant[[#This Row],[Head_Grade_gpt]]=""),"",tblPlant[[#This Row],[Milled_t]]*tblPlant[[#This Row],[Head_Grade_gpt]]/cfg_TroyOz)</f>
        <v/>
      </c>
      <c r="T258" s="59">
        <f>IF(OR(tblPlant[[#This Row],[Milled_t]]="",tblPlant[[#This Row],[Tails_Grade_gpt]]=""),"",tblPlant[[#This Row],[Milled_t]]*tblPlant[[#This Row],[Tails_Grade_gpt]]/cfg_TroyOz)</f>
        <v/>
      </c>
      <c r="U258" s="59">
        <f>IF(OR(tblPlant[[#This Row],[Milled_t]]="",tblPlant[[#This Row],[Head_Grade_gpt]]="",tblPlant[[#This Row],[Tails_Grade_gpt]]=""),"",tblPlant[[#This Row],[Feed_oz]]-tblPlant[[#This Row],[Tails_oz]])</f>
        <v/>
      </c>
      <c r="V258" s="60">
        <f>IF(AND(ISNUMBER(tblPlant[[#This Row],[Recovered_oz]]),tblPlant[[#This Row],[Feed_oz]]&gt;0),tblPlant[[#This Row],[Recovered_oz]]/tblPlant[[#This Row],[Feed_oz]],"")</f>
        <v/>
      </c>
      <c r="W258" s="59">
        <f>IF(AND(tblPlant[[#This Row],[Milled_t]]&lt;&gt;"",tblPlant[[#This Row],[Mill_Run_h]]&gt;0),tblPlant[[#This Row],[Milled_t]]/tblPlant[[#This Row],[Mill_Run_h]],"")</f>
        <v/>
      </c>
      <c r="X258" s="60">
        <f>IF(AND(tblPlant[[#This Row],[Mill_Run_h]]="",tblPlant[[#This Row],[Mill_Planned_Maint_h]]="",tblPlant[[#This Row],[Mill_Unplanned_Down_h]]=""),"",(cfg_HoursPerDay-tblPlant[[#This Row],[Mill_Planned_Maint_h]]-tblPlant[[#This Row],[Mill_Unplanned_Down_h]])/cfg_HoursPerDay)</f>
        <v/>
      </c>
      <c r="Y25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59">
      <c r="A259" s="54" t="n">
        <v>46276</v>
      </c>
      <c r="B259" s="55" t="n"/>
      <c r="C259" s="55" t="n"/>
      <c r="D259" s="56" t="n"/>
      <c r="E259" s="56" t="n"/>
      <c r="F259" s="55" t="n"/>
      <c r="G259" s="55" t="n"/>
      <c r="H259" s="57" t="n"/>
      <c r="I259" s="57" t="n"/>
      <c r="J259" s="57" t="n"/>
      <c r="K259" s="57" t="n"/>
      <c r="L259" s="55" t="n"/>
      <c r="M259" s="55" t="n"/>
      <c r="N259" s="55" t="n"/>
      <c r="O259" s="55" t="n"/>
      <c r="P259" s="55" t="n"/>
      <c r="Q259" s="55" t="n"/>
      <c r="R259" s="58" t="n"/>
      <c r="S259" s="59">
        <f>IF(OR(tblPlant[[#This Row],[Milled_t]]="",tblPlant[[#This Row],[Head_Grade_gpt]]=""),"",tblPlant[[#This Row],[Milled_t]]*tblPlant[[#This Row],[Head_Grade_gpt]]/cfg_TroyOz)</f>
        <v/>
      </c>
      <c r="T259" s="59">
        <f>IF(OR(tblPlant[[#This Row],[Milled_t]]="",tblPlant[[#This Row],[Tails_Grade_gpt]]=""),"",tblPlant[[#This Row],[Milled_t]]*tblPlant[[#This Row],[Tails_Grade_gpt]]/cfg_TroyOz)</f>
        <v/>
      </c>
      <c r="U259" s="59">
        <f>IF(OR(tblPlant[[#This Row],[Milled_t]]="",tblPlant[[#This Row],[Head_Grade_gpt]]="",tblPlant[[#This Row],[Tails_Grade_gpt]]=""),"",tblPlant[[#This Row],[Feed_oz]]-tblPlant[[#This Row],[Tails_oz]])</f>
        <v/>
      </c>
      <c r="V259" s="60">
        <f>IF(AND(ISNUMBER(tblPlant[[#This Row],[Recovered_oz]]),tblPlant[[#This Row],[Feed_oz]]&gt;0),tblPlant[[#This Row],[Recovered_oz]]/tblPlant[[#This Row],[Feed_oz]],"")</f>
        <v/>
      </c>
      <c r="W259" s="59">
        <f>IF(AND(tblPlant[[#This Row],[Milled_t]]&lt;&gt;"",tblPlant[[#This Row],[Mill_Run_h]]&gt;0),tblPlant[[#This Row],[Milled_t]]/tblPlant[[#This Row],[Mill_Run_h]],"")</f>
        <v/>
      </c>
      <c r="X259" s="60">
        <f>IF(AND(tblPlant[[#This Row],[Mill_Run_h]]="",tblPlant[[#This Row],[Mill_Planned_Maint_h]]="",tblPlant[[#This Row],[Mill_Unplanned_Down_h]]=""),"",(cfg_HoursPerDay-tblPlant[[#This Row],[Mill_Planned_Maint_h]]-tblPlant[[#This Row],[Mill_Unplanned_Down_h]])/cfg_HoursPerDay)</f>
        <v/>
      </c>
      <c r="Y25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0">
      <c r="A260" s="54" t="n">
        <v>46277</v>
      </c>
      <c r="B260" s="55" t="n"/>
      <c r="C260" s="55" t="n"/>
      <c r="D260" s="56" t="n"/>
      <c r="E260" s="56" t="n"/>
      <c r="F260" s="55" t="n"/>
      <c r="G260" s="55" t="n"/>
      <c r="H260" s="57" t="n"/>
      <c r="I260" s="57" t="n"/>
      <c r="J260" s="57" t="n"/>
      <c r="K260" s="57" t="n"/>
      <c r="L260" s="55" t="n"/>
      <c r="M260" s="55" t="n"/>
      <c r="N260" s="55" t="n"/>
      <c r="O260" s="55" t="n"/>
      <c r="P260" s="55" t="n"/>
      <c r="Q260" s="55" t="n"/>
      <c r="R260" s="58" t="n"/>
      <c r="S260" s="59">
        <f>IF(OR(tblPlant[[#This Row],[Milled_t]]="",tblPlant[[#This Row],[Head_Grade_gpt]]=""),"",tblPlant[[#This Row],[Milled_t]]*tblPlant[[#This Row],[Head_Grade_gpt]]/cfg_TroyOz)</f>
        <v/>
      </c>
      <c r="T260" s="59">
        <f>IF(OR(tblPlant[[#This Row],[Milled_t]]="",tblPlant[[#This Row],[Tails_Grade_gpt]]=""),"",tblPlant[[#This Row],[Milled_t]]*tblPlant[[#This Row],[Tails_Grade_gpt]]/cfg_TroyOz)</f>
        <v/>
      </c>
      <c r="U260" s="59">
        <f>IF(OR(tblPlant[[#This Row],[Milled_t]]="",tblPlant[[#This Row],[Head_Grade_gpt]]="",tblPlant[[#This Row],[Tails_Grade_gpt]]=""),"",tblPlant[[#This Row],[Feed_oz]]-tblPlant[[#This Row],[Tails_oz]])</f>
        <v/>
      </c>
      <c r="V260" s="60">
        <f>IF(AND(ISNUMBER(tblPlant[[#This Row],[Recovered_oz]]),tblPlant[[#This Row],[Feed_oz]]&gt;0),tblPlant[[#This Row],[Recovered_oz]]/tblPlant[[#This Row],[Feed_oz]],"")</f>
        <v/>
      </c>
      <c r="W260" s="59">
        <f>IF(AND(tblPlant[[#This Row],[Milled_t]]&lt;&gt;"",tblPlant[[#This Row],[Mill_Run_h]]&gt;0),tblPlant[[#This Row],[Milled_t]]/tblPlant[[#This Row],[Mill_Run_h]],"")</f>
        <v/>
      </c>
      <c r="X260" s="60">
        <f>IF(AND(tblPlant[[#This Row],[Mill_Run_h]]="",tblPlant[[#This Row],[Mill_Planned_Maint_h]]="",tblPlant[[#This Row],[Mill_Unplanned_Down_h]]=""),"",(cfg_HoursPerDay-tblPlant[[#This Row],[Mill_Planned_Maint_h]]-tblPlant[[#This Row],[Mill_Unplanned_Down_h]])/cfg_HoursPerDay)</f>
        <v/>
      </c>
      <c r="Y26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1">
      <c r="A261" s="54" t="n">
        <v>46278</v>
      </c>
      <c r="B261" s="55" t="n"/>
      <c r="C261" s="55" t="n"/>
      <c r="D261" s="56" t="n"/>
      <c r="E261" s="56" t="n"/>
      <c r="F261" s="55" t="n"/>
      <c r="G261" s="55" t="n"/>
      <c r="H261" s="57" t="n"/>
      <c r="I261" s="57" t="n"/>
      <c r="J261" s="57" t="n"/>
      <c r="K261" s="57" t="n"/>
      <c r="L261" s="55" t="n"/>
      <c r="M261" s="55" t="n"/>
      <c r="N261" s="55" t="n"/>
      <c r="O261" s="55" t="n"/>
      <c r="P261" s="55" t="n"/>
      <c r="Q261" s="55" t="n"/>
      <c r="R261" s="58" t="n"/>
      <c r="S261" s="59">
        <f>IF(OR(tblPlant[[#This Row],[Milled_t]]="",tblPlant[[#This Row],[Head_Grade_gpt]]=""),"",tblPlant[[#This Row],[Milled_t]]*tblPlant[[#This Row],[Head_Grade_gpt]]/cfg_TroyOz)</f>
        <v/>
      </c>
      <c r="T261" s="59">
        <f>IF(OR(tblPlant[[#This Row],[Milled_t]]="",tblPlant[[#This Row],[Tails_Grade_gpt]]=""),"",tblPlant[[#This Row],[Milled_t]]*tblPlant[[#This Row],[Tails_Grade_gpt]]/cfg_TroyOz)</f>
        <v/>
      </c>
      <c r="U261" s="59">
        <f>IF(OR(tblPlant[[#This Row],[Milled_t]]="",tblPlant[[#This Row],[Head_Grade_gpt]]="",tblPlant[[#This Row],[Tails_Grade_gpt]]=""),"",tblPlant[[#This Row],[Feed_oz]]-tblPlant[[#This Row],[Tails_oz]])</f>
        <v/>
      </c>
      <c r="V261" s="60">
        <f>IF(AND(ISNUMBER(tblPlant[[#This Row],[Recovered_oz]]),tblPlant[[#This Row],[Feed_oz]]&gt;0),tblPlant[[#This Row],[Recovered_oz]]/tblPlant[[#This Row],[Feed_oz]],"")</f>
        <v/>
      </c>
      <c r="W261" s="59">
        <f>IF(AND(tblPlant[[#This Row],[Milled_t]]&lt;&gt;"",tblPlant[[#This Row],[Mill_Run_h]]&gt;0),tblPlant[[#This Row],[Milled_t]]/tblPlant[[#This Row],[Mill_Run_h]],"")</f>
        <v/>
      </c>
      <c r="X261" s="60">
        <f>IF(AND(tblPlant[[#This Row],[Mill_Run_h]]="",tblPlant[[#This Row],[Mill_Planned_Maint_h]]="",tblPlant[[#This Row],[Mill_Unplanned_Down_h]]=""),"",(cfg_HoursPerDay-tblPlant[[#This Row],[Mill_Planned_Maint_h]]-tblPlant[[#This Row],[Mill_Unplanned_Down_h]])/cfg_HoursPerDay)</f>
        <v/>
      </c>
      <c r="Y26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2">
      <c r="A262" s="54" t="n">
        <v>46279</v>
      </c>
      <c r="B262" s="55" t="n"/>
      <c r="C262" s="55" t="n"/>
      <c r="D262" s="56" t="n"/>
      <c r="E262" s="56" t="n"/>
      <c r="F262" s="55" t="n"/>
      <c r="G262" s="55" t="n"/>
      <c r="H262" s="57" t="n"/>
      <c r="I262" s="57" t="n"/>
      <c r="J262" s="57" t="n"/>
      <c r="K262" s="57" t="n"/>
      <c r="L262" s="55" t="n"/>
      <c r="M262" s="55" t="n"/>
      <c r="N262" s="55" t="n"/>
      <c r="O262" s="55" t="n"/>
      <c r="P262" s="55" t="n"/>
      <c r="Q262" s="55" t="n"/>
      <c r="R262" s="58" t="n"/>
      <c r="S262" s="59">
        <f>IF(OR(tblPlant[[#This Row],[Milled_t]]="",tblPlant[[#This Row],[Head_Grade_gpt]]=""),"",tblPlant[[#This Row],[Milled_t]]*tblPlant[[#This Row],[Head_Grade_gpt]]/cfg_TroyOz)</f>
        <v/>
      </c>
      <c r="T262" s="59">
        <f>IF(OR(tblPlant[[#This Row],[Milled_t]]="",tblPlant[[#This Row],[Tails_Grade_gpt]]=""),"",tblPlant[[#This Row],[Milled_t]]*tblPlant[[#This Row],[Tails_Grade_gpt]]/cfg_TroyOz)</f>
        <v/>
      </c>
      <c r="U262" s="59">
        <f>IF(OR(tblPlant[[#This Row],[Milled_t]]="",tblPlant[[#This Row],[Head_Grade_gpt]]="",tblPlant[[#This Row],[Tails_Grade_gpt]]=""),"",tblPlant[[#This Row],[Feed_oz]]-tblPlant[[#This Row],[Tails_oz]])</f>
        <v/>
      </c>
      <c r="V262" s="60">
        <f>IF(AND(ISNUMBER(tblPlant[[#This Row],[Recovered_oz]]),tblPlant[[#This Row],[Feed_oz]]&gt;0),tblPlant[[#This Row],[Recovered_oz]]/tblPlant[[#This Row],[Feed_oz]],"")</f>
        <v/>
      </c>
      <c r="W262" s="59">
        <f>IF(AND(tblPlant[[#This Row],[Milled_t]]&lt;&gt;"",tblPlant[[#This Row],[Mill_Run_h]]&gt;0),tblPlant[[#This Row],[Milled_t]]/tblPlant[[#This Row],[Mill_Run_h]],"")</f>
        <v/>
      </c>
      <c r="X262" s="60">
        <f>IF(AND(tblPlant[[#This Row],[Mill_Run_h]]="",tblPlant[[#This Row],[Mill_Planned_Maint_h]]="",tblPlant[[#This Row],[Mill_Unplanned_Down_h]]=""),"",(cfg_HoursPerDay-tblPlant[[#This Row],[Mill_Planned_Maint_h]]-tblPlant[[#This Row],[Mill_Unplanned_Down_h]])/cfg_HoursPerDay)</f>
        <v/>
      </c>
      <c r="Y26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3">
      <c r="A263" s="54" t="n">
        <v>46280</v>
      </c>
      <c r="B263" s="55" t="n"/>
      <c r="C263" s="55" t="n"/>
      <c r="D263" s="56" t="n"/>
      <c r="E263" s="56" t="n"/>
      <c r="F263" s="55" t="n"/>
      <c r="G263" s="55" t="n"/>
      <c r="H263" s="57" t="n"/>
      <c r="I263" s="57" t="n"/>
      <c r="J263" s="57" t="n"/>
      <c r="K263" s="57" t="n"/>
      <c r="L263" s="55" t="n"/>
      <c r="M263" s="55" t="n"/>
      <c r="N263" s="55" t="n"/>
      <c r="O263" s="55" t="n"/>
      <c r="P263" s="55" t="n"/>
      <c r="Q263" s="55" t="n"/>
      <c r="R263" s="58" t="n"/>
      <c r="S263" s="59">
        <f>IF(OR(tblPlant[[#This Row],[Milled_t]]="",tblPlant[[#This Row],[Head_Grade_gpt]]=""),"",tblPlant[[#This Row],[Milled_t]]*tblPlant[[#This Row],[Head_Grade_gpt]]/cfg_TroyOz)</f>
        <v/>
      </c>
      <c r="T263" s="59">
        <f>IF(OR(tblPlant[[#This Row],[Milled_t]]="",tblPlant[[#This Row],[Tails_Grade_gpt]]=""),"",tblPlant[[#This Row],[Milled_t]]*tblPlant[[#This Row],[Tails_Grade_gpt]]/cfg_TroyOz)</f>
        <v/>
      </c>
      <c r="U263" s="59">
        <f>IF(OR(tblPlant[[#This Row],[Milled_t]]="",tblPlant[[#This Row],[Head_Grade_gpt]]="",tblPlant[[#This Row],[Tails_Grade_gpt]]=""),"",tblPlant[[#This Row],[Feed_oz]]-tblPlant[[#This Row],[Tails_oz]])</f>
        <v/>
      </c>
      <c r="V263" s="60">
        <f>IF(AND(ISNUMBER(tblPlant[[#This Row],[Recovered_oz]]),tblPlant[[#This Row],[Feed_oz]]&gt;0),tblPlant[[#This Row],[Recovered_oz]]/tblPlant[[#This Row],[Feed_oz]],"")</f>
        <v/>
      </c>
      <c r="W263" s="59">
        <f>IF(AND(tblPlant[[#This Row],[Milled_t]]&lt;&gt;"",tblPlant[[#This Row],[Mill_Run_h]]&gt;0),tblPlant[[#This Row],[Milled_t]]/tblPlant[[#This Row],[Mill_Run_h]],"")</f>
        <v/>
      </c>
      <c r="X263" s="60">
        <f>IF(AND(tblPlant[[#This Row],[Mill_Run_h]]="",tblPlant[[#This Row],[Mill_Planned_Maint_h]]="",tblPlant[[#This Row],[Mill_Unplanned_Down_h]]=""),"",(cfg_HoursPerDay-tblPlant[[#This Row],[Mill_Planned_Maint_h]]-tblPlant[[#This Row],[Mill_Unplanned_Down_h]])/cfg_HoursPerDay)</f>
        <v/>
      </c>
      <c r="Y26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4">
      <c r="A264" s="54" t="n">
        <v>46281</v>
      </c>
      <c r="B264" s="55" t="n"/>
      <c r="C264" s="55" t="n"/>
      <c r="D264" s="56" t="n"/>
      <c r="E264" s="56" t="n"/>
      <c r="F264" s="55" t="n"/>
      <c r="G264" s="55" t="n"/>
      <c r="H264" s="57" t="n"/>
      <c r="I264" s="57" t="n"/>
      <c r="J264" s="57" t="n"/>
      <c r="K264" s="57" t="n"/>
      <c r="L264" s="55" t="n"/>
      <c r="M264" s="55" t="n"/>
      <c r="N264" s="55" t="n"/>
      <c r="O264" s="55" t="n"/>
      <c r="P264" s="55" t="n"/>
      <c r="Q264" s="55" t="n"/>
      <c r="R264" s="58" t="n"/>
      <c r="S264" s="59">
        <f>IF(OR(tblPlant[[#This Row],[Milled_t]]="",tblPlant[[#This Row],[Head_Grade_gpt]]=""),"",tblPlant[[#This Row],[Milled_t]]*tblPlant[[#This Row],[Head_Grade_gpt]]/cfg_TroyOz)</f>
        <v/>
      </c>
      <c r="T264" s="59">
        <f>IF(OR(tblPlant[[#This Row],[Milled_t]]="",tblPlant[[#This Row],[Tails_Grade_gpt]]=""),"",tblPlant[[#This Row],[Milled_t]]*tblPlant[[#This Row],[Tails_Grade_gpt]]/cfg_TroyOz)</f>
        <v/>
      </c>
      <c r="U264" s="59">
        <f>IF(OR(tblPlant[[#This Row],[Milled_t]]="",tblPlant[[#This Row],[Head_Grade_gpt]]="",tblPlant[[#This Row],[Tails_Grade_gpt]]=""),"",tblPlant[[#This Row],[Feed_oz]]-tblPlant[[#This Row],[Tails_oz]])</f>
        <v/>
      </c>
      <c r="V264" s="60">
        <f>IF(AND(ISNUMBER(tblPlant[[#This Row],[Recovered_oz]]),tblPlant[[#This Row],[Feed_oz]]&gt;0),tblPlant[[#This Row],[Recovered_oz]]/tblPlant[[#This Row],[Feed_oz]],"")</f>
        <v/>
      </c>
      <c r="W264" s="59">
        <f>IF(AND(tblPlant[[#This Row],[Milled_t]]&lt;&gt;"",tblPlant[[#This Row],[Mill_Run_h]]&gt;0),tblPlant[[#This Row],[Milled_t]]/tblPlant[[#This Row],[Mill_Run_h]],"")</f>
        <v/>
      </c>
      <c r="X264" s="60">
        <f>IF(AND(tblPlant[[#This Row],[Mill_Run_h]]="",tblPlant[[#This Row],[Mill_Planned_Maint_h]]="",tblPlant[[#This Row],[Mill_Unplanned_Down_h]]=""),"",(cfg_HoursPerDay-tblPlant[[#This Row],[Mill_Planned_Maint_h]]-tblPlant[[#This Row],[Mill_Unplanned_Down_h]])/cfg_HoursPerDay)</f>
        <v/>
      </c>
      <c r="Y26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5">
      <c r="A265" s="54" t="n">
        <v>46282</v>
      </c>
      <c r="B265" s="55" t="n"/>
      <c r="C265" s="55" t="n"/>
      <c r="D265" s="56" t="n"/>
      <c r="E265" s="56" t="n"/>
      <c r="F265" s="55" t="n"/>
      <c r="G265" s="55" t="n"/>
      <c r="H265" s="57" t="n"/>
      <c r="I265" s="57" t="n"/>
      <c r="J265" s="57" t="n"/>
      <c r="K265" s="57" t="n"/>
      <c r="L265" s="55" t="n"/>
      <c r="M265" s="55" t="n"/>
      <c r="N265" s="55" t="n"/>
      <c r="O265" s="55" t="n"/>
      <c r="P265" s="55" t="n"/>
      <c r="Q265" s="55" t="n"/>
      <c r="R265" s="58" t="n"/>
      <c r="S265" s="59">
        <f>IF(OR(tblPlant[[#This Row],[Milled_t]]="",tblPlant[[#This Row],[Head_Grade_gpt]]=""),"",tblPlant[[#This Row],[Milled_t]]*tblPlant[[#This Row],[Head_Grade_gpt]]/cfg_TroyOz)</f>
        <v/>
      </c>
      <c r="T265" s="59">
        <f>IF(OR(tblPlant[[#This Row],[Milled_t]]="",tblPlant[[#This Row],[Tails_Grade_gpt]]=""),"",tblPlant[[#This Row],[Milled_t]]*tblPlant[[#This Row],[Tails_Grade_gpt]]/cfg_TroyOz)</f>
        <v/>
      </c>
      <c r="U265" s="59">
        <f>IF(OR(tblPlant[[#This Row],[Milled_t]]="",tblPlant[[#This Row],[Head_Grade_gpt]]="",tblPlant[[#This Row],[Tails_Grade_gpt]]=""),"",tblPlant[[#This Row],[Feed_oz]]-tblPlant[[#This Row],[Tails_oz]])</f>
        <v/>
      </c>
      <c r="V265" s="60">
        <f>IF(AND(ISNUMBER(tblPlant[[#This Row],[Recovered_oz]]),tblPlant[[#This Row],[Feed_oz]]&gt;0),tblPlant[[#This Row],[Recovered_oz]]/tblPlant[[#This Row],[Feed_oz]],"")</f>
        <v/>
      </c>
      <c r="W265" s="59">
        <f>IF(AND(tblPlant[[#This Row],[Milled_t]]&lt;&gt;"",tblPlant[[#This Row],[Mill_Run_h]]&gt;0),tblPlant[[#This Row],[Milled_t]]/tblPlant[[#This Row],[Mill_Run_h]],"")</f>
        <v/>
      </c>
      <c r="X265" s="60">
        <f>IF(AND(tblPlant[[#This Row],[Mill_Run_h]]="",tblPlant[[#This Row],[Mill_Planned_Maint_h]]="",tblPlant[[#This Row],[Mill_Unplanned_Down_h]]=""),"",(cfg_HoursPerDay-tblPlant[[#This Row],[Mill_Planned_Maint_h]]-tblPlant[[#This Row],[Mill_Unplanned_Down_h]])/cfg_HoursPerDay)</f>
        <v/>
      </c>
      <c r="Y26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6">
      <c r="A266" s="54" t="n">
        <v>46283</v>
      </c>
      <c r="B266" s="55" t="n"/>
      <c r="C266" s="55" t="n"/>
      <c r="D266" s="56" t="n"/>
      <c r="E266" s="56" t="n"/>
      <c r="F266" s="55" t="n"/>
      <c r="G266" s="55" t="n"/>
      <c r="H266" s="57" t="n"/>
      <c r="I266" s="57" t="n"/>
      <c r="J266" s="57" t="n"/>
      <c r="K266" s="57" t="n"/>
      <c r="L266" s="55" t="n"/>
      <c r="M266" s="55" t="n"/>
      <c r="N266" s="55" t="n"/>
      <c r="O266" s="55" t="n"/>
      <c r="P266" s="55" t="n"/>
      <c r="Q266" s="55" t="n"/>
      <c r="R266" s="58" t="n"/>
      <c r="S266" s="59">
        <f>IF(OR(tblPlant[[#This Row],[Milled_t]]="",tblPlant[[#This Row],[Head_Grade_gpt]]=""),"",tblPlant[[#This Row],[Milled_t]]*tblPlant[[#This Row],[Head_Grade_gpt]]/cfg_TroyOz)</f>
        <v/>
      </c>
      <c r="T266" s="59">
        <f>IF(OR(tblPlant[[#This Row],[Milled_t]]="",tblPlant[[#This Row],[Tails_Grade_gpt]]=""),"",tblPlant[[#This Row],[Milled_t]]*tblPlant[[#This Row],[Tails_Grade_gpt]]/cfg_TroyOz)</f>
        <v/>
      </c>
      <c r="U266" s="59">
        <f>IF(OR(tblPlant[[#This Row],[Milled_t]]="",tblPlant[[#This Row],[Head_Grade_gpt]]="",tblPlant[[#This Row],[Tails_Grade_gpt]]=""),"",tblPlant[[#This Row],[Feed_oz]]-tblPlant[[#This Row],[Tails_oz]])</f>
        <v/>
      </c>
      <c r="V266" s="60">
        <f>IF(AND(ISNUMBER(tblPlant[[#This Row],[Recovered_oz]]),tblPlant[[#This Row],[Feed_oz]]&gt;0),tblPlant[[#This Row],[Recovered_oz]]/tblPlant[[#This Row],[Feed_oz]],"")</f>
        <v/>
      </c>
      <c r="W266" s="59">
        <f>IF(AND(tblPlant[[#This Row],[Milled_t]]&lt;&gt;"",tblPlant[[#This Row],[Mill_Run_h]]&gt;0),tblPlant[[#This Row],[Milled_t]]/tblPlant[[#This Row],[Mill_Run_h]],"")</f>
        <v/>
      </c>
      <c r="X266" s="60">
        <f>IF(AND(tblPlant[[#This Row],[Mill_Run_h]]="",tblPlant[[#This Row],[Mill_Planned_Maint_h]]="",tblPlant[[#This Row],[Mill_Unplanned_Down_h]]=""),"",(cfg_HoursPerDay-tblPlant[[#This Row],[Mill_Planned_Maint_h]]-tblPlant[[#This Row],[Mill_Unplanned_Down_h]])/cfg_HoursPerDay)</f>
        <v/>
      </c>
      <c r="Y26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7">
      <c r="A267" s="54" t="n">
        <v>46284</v>
      </c>
      <c r="B267" s="55" t="n"/>
      <c r="C267" s="55" t="n"/>
      <c r="D267" s="56" t="n"/>
      <c r="E267" s="56" t="n"/>
      <c r="F267" s="55" t="n"/>
      <c r="G267" s="55" t="n"/>
      <c r="H267" s="57" t="n"/>
      <c r="I267" s="57" t="n"/>
      <c r="J267" s="57" t="n"/>
      <c r="K267" s="57" t="n"/>
      <c r="L267" s="55" t="n"/>
      <c r="M267" s="55" t="n"/>
      <c r="N267" s="55" t="n"/>
      <c r="O267" s="55" t="n"/>
      <c r="P267" s="55" t="n"/>
      <c r="Q267" s="55" t="n"/>
      <c r="R267" s="58" t="n"/>
      <c r="S267" s="59">
        <f>IF(OR(tblPlant[[#This Row],[Milled_t]]="",tblPlant[[#This Row],[Head_Grade_gpt]]=""),"",tblPlant[[#This Row],[Milled_t]]*tblPlant[[#This Row],[Head_Grade_gpt]]/cfg_TroyOz)</f>
        <v/>
      </c>
      <c r="T267" s="59">
        <f>IF(OR(tblPlant[[#This Row],[Milled_t]]="",tblPlant[[#This Row],[Tails_Grade_gpt]]=""),"",tblPlant[[#This Row],[Milled_t]]*tblPlant[[#This Row],[Tails_Grade_gpt]]/cfg_TroyOz)</f>
        <v/>
      </c>
      <c r="U267" s="59">
        <f>IF(OR(tblPlant[[#This Row],[Milled_t]]="",tblPlant[[#This Row],[Head_Grade_gpt]]="",tblPlant[[#This Row],[Tails_Grade_gpt]]=""),"",tblPlant[[#This Row],[Feed_oz]]-tblPlant[[#This Row],[Tails_oz]])</f>
        <v/>
      </c>
      <c r="V267" s="60">
        <f>IF(AND(ISNUMBER(tblPlant[[#This Row],[Recovered_oz]]),tblPlant[[#This Row],[Feed_oz]]&gt;0),tblPlant[[#This Row],[Recovered_oz]]/tblPlant[[#This Row],[Feed_oz]],"")</f>
        <v/>
      </c>
      <c r="W267" s="59">
        <f>IF(AND(tblPlant[[#This Row],[Milled_t]]&lt;&gt;"",tblPlant[[#This Row],[Mill_Run_h]]&gt;0),tblPlant[[#This Row],[Milled_t]]/tblPlant[[#This Row],[Mill_Run_h]],"")</f>
        <v/>
      </c>
      <c r="X267" s="60">
        <f>IF(AND(tblPlant[[#This Row],[Mill_Run_h]]="",tblPlant[[#This Row],[Mill_Planned_Maint_h]]="",tblPlant[[#This Row],[Mill_Unplanned_Down_h]]=""),"",(cfg_HoursPerDay-tblPlant[[#This Row],[Mill_Planned_Maint_h]]-tblPlant[[#This Row],[Mill_Unplanned_Down_h]])/cfg_HoursPerDay)</f>
        <v/>
      </c>
      <c r="Y26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8">
      <c r="A268" s="54" t="n">
        <v>46285</v>
      </c>
      <c r="B268" s="55" t="n"/>
      <c r="C268" s="55" t="n"/>
      <c r="D268" s="56" t="n"/>
      <c r="E268" s="56" t="n"/>
      <c r="F268" s="55" t="n"/>
      <c r="G268" s="55" t="n"/>
      <c r="H268" s="57" t="n"/>
      <c r="I268" s="57" t="n"/>
      <c r="J268" s="57" t="n"/>
      <c r="K268" s="57" t="n"/>
      <c r="L268" s="55" t="n"/>
      <c r="M268" s="55" t="n"/>
      <c r="N268" s="55" t="n"/>
      <c r="O268" s="55" t="n"/>
      <c r="P268" s="55" t="n"/>
      <c r="Q268" s="55" t="n"/>
      <c r="R268" s="58" t="n"/>
      <c r="S268" s="59">
        <f>IF(OR(tblPlant[[#This Row],[Milled_t]]="",tblPlant[[#This Row],[Head_Grade_gpt]]=""),"",tblPlant[[#This Row],[Milled_t]]*tblPlant[[#This Row],[Head_Grade_gpt]]/cfg_TroyOz)</f>
        <v/>
      </c>
      <c r="T268" s="59">
        <f>IF(OR(tblPlant[[#This Row],[Milled_t]]="",tblPlant[[#This Row],[Tails_Grade_gpt]]=""),"",tblPlant[[#This Row],[Milled_t]]*tblPlant[[#This Row],[Tails_Grade_gpt]]/cfg_TroyOz)</f>
        <v/>
      </c>
      <c r="U268" s="59">
        <f>IF(OR(tblPlant[[#This Row],[Milled_t]]="",tblPlant[[#This Row],[Head_Grade_gpt]]="",tblPlant[[#This Row],[Tails_Grade_gpt]]=""),"",tblPlant[[#This Row],[Feed_oz]]-tblPlant[[#This Row],[Tails_oz]])</f>
        <v/>
      </c>
      <c r="V268" s="60">
        <f>IF(AND(ISNUMBER(tblPlant[[#This Row],[Recovered_oz]]),tblPlant[[#This Row],[Feed_oz]]&gt;0),tblPlant[[#This Row],[Recovered_oz]]/tblPlant[[#This Row],[Feed_oz]],"")</f>
        <v/>
      </c>
      <c r="W268" s="59">
        <f>IF(AND(tblPlant[[#This Row],[Milled_t]]&lt;&gt;"",tblPlant[[#This Row],[Mill_Run_h]]&gt;0),tblPlant[[#This Row],[Milled_t]]/tblPlant[[#This Row],[Mill_Run_h]],"")</f>
        <v/>
      </c>
      <c r="X268" s="60">
        <f>IF(AND(tblPlant[[#This Row],[Mill_Run_h]]="",tblPlant[[#This Row],[Mill_Planned_Maint_h]]="",tblPlant[[#This Row],[Mill_Unplanned_Down_h]]=""),"",(cfg_HoursPerDay-tblPlant[[#This Row],[Mill_Planned_Maint_h]]-tblPlant[[#This Row],[Mill_Unplanned_Down_h]])/cfg_HoursPerDay)</f>
        <v/>
      </c>
      <c r="Y26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69">
      <c r="A269" s="54" t="n">
        <v>46286</v>
      </c>
      <c r="B269" s="55" t="n"/>
      <c r="C269" s="55" t="n"/>
      <c r="D269" s="56" t="n"/>
      <c r="E269" s="56" t="n"/>
      <c r="F269" s="55" t="n"/>
      <c r="G269" s="55" t="n"/>
      <c r="H269" s="57" t="n"/>
      <c r="I269" s="57" t="n"/>
      <c r="J269" s="57" t="n"/>
      <c r="K269" s="57" t="n"/>
      <c r="L269" s="55" t="n"/>
      <c r="M269" s="55" t="n"/>
      <c r="N269" s="55" t="n"/>
      <c r="O269" s="55" t="n"/>
      <c r="P269" s="55" t="n"/>
      <c r="Q269" s="55" t="n"/>
      <c r="R269" s="58" t="n"/>
      <c r="S269" s="59">
        <f>IF(OR(tblPlant[[#This Row],[Milled_t]]="",tblPlant[[#This Row],[Head_Grade_gpt]]=""),"",tblPlant[[#This Row],[Milled_t]]*tblPlant[[#This Row],[Head_Grade_gpt]]/cfg_TroyOz)</f>
        <v/>
      </c>
      <c r="T269" s="59">
        <f>IF(OR(tblPlant[[#This Row],[Milled_t]]="",tblPlant[[#This Row],[Tails_Grade_gpt]]=""),"",tblPlant[[#This Row],[Milled_t]]*tblPlant[[#This Row],[Tails_Grade_gpt]]/cfg_TroyOz)</f>
        <v/>
      </c>
      <c r="U269" s="59">
        <f>IF(OR(tblPlant[[#This Row],[Milled_t]]="",tblPlant[[#This Row],[Head_Grade_gpt]]="",tblPlant[[#This Row],[Tails_Grade_gpt]]=""),"",tblPlant[[#This Row],[Feed_oz]]-tblPlant[[#This Row],[Tails_oz]])</f>
        <v/>
      </c>
      <c r="V269" s="60">
        <f>IF(AND(ISNUMBER(tblPlant[[#This Row],[Recovered_oz]]),tblPlant[[#This Row],[Feed_oz]]&gt;0),tblPlant[[#This Row],[Recovered_oz]]/tblPlant[[#This Row],[Feed_oz]],"")</f>
        <v/>
      </c>
      <c r="W269" s="59">
        <f>IF(AND(tblPlant[[#This Row],[Milled_t]]&lt;&gt;"",tblPlant[[#This Row],[Mill_Run_h]]&gt;0),tblPlant[[#This Row],[Milled_t]]/tblPlant[[#This Row],[Mill_Run_h]],"")</f>
        <v/>
      </c>
      <c r="X269" s="60">
        <f>IF(AND(tblPlant[[#This Row],[Mill_Run_h]]="",tblPlant[[#This Row],[Mill_Planned_Maint_h]]="",tblPlant[[#This Row],[Mill_Unplanned_Down_h]]=""),"",(cfg_HoursPerDay-tblPlant[[#This Row],[Mill_Planned_Maint_h]]-tblPlant[[#This Row],[Mill_Unplanned_Down_h]])/cfg_HoursPerDay)</f>
        <v/>
      </c>
      <c r="Y26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0">
      <c r="A270" s="54" t="n">
        <v>46287</v>
      </c>
      <c r="B270" s="55" t="n"/>
      <c r="C270" s="55" t="n"/>
      <c r="D270" s="56" t="n"/>
      <c r="E270" s="56" t="n"/>
      <c r="F270" s="55" t="n"/>
      <c r="G270" s="55" t="n"/>
      <c r="H270" s="57" t="n"/>
      <c r="I270" s="57" t="n"/>
      <c r="J270" s="57" t="n"/>
      <c r="K270" s="57" t="n"/>
      <c r="L270" s="55" t="n"/>
      <c r="M270" s="55" t="n"/>
      <c r="N270" s="55" t="n"/>
      <c r="O270" s="55" t="n"/>
      <c r="P270" s="55" t="n"/>
      <c r="Q270" s="55" t="n"/>
      <c r="R270" s="58" t="n"/>
      <c r="S270" s="59">
        <f>IF(OR(tblPlant[[#This Row],[Milled_t]]="",tblPlant[[#This Row],[Head_Grade_gpt]]=""),"",tblPlant[[#This Row],[Milled_t]]*tblPlant[[#This Row],[Head_Grade_gpt]]/cfg_TroyOz)</f>
        <v/>
      </c>
      <c r="T270" s="59">
        <f>IF(OR(tblPlant[[#This Row],[Milled_t]]="",tblPlant[[#This Row],[Tails_Grade_gpt]]=""),"",tblPlant[[#This Row],[Milled_t]]*tblPlant[[#This Row],[Tails_Grade_gpt]]/cfg_TroyOz)</f>
        <v/>
      </c>
      <c r="U270" s="59">
        <f>IF(OR(tblPlant[[#This Row],[Milled_t]]="",tblPlant[[#This Row],[Head_Grade_gpt]]="",tblPlant[[#This Row],[Tails_Grade_gpt]]=""),"",tblPlant[[#This Row],[Feed_oz]]-tblPlant[[#This Row],[Tails_oz]])</f>
        <v/>
      </c>
      <c r="V270" s="60">
        <f>IF(AND(ISNUMBER(tblPlant[[#This Row],[Recovered_oz]]),tblPlant[[#This Row],[Feed_oz]]&gt;0),tblPlant[[#This Row],[Recovered_oz]]/tblPlant[[#This Row],[Feed_oz]],"")</f>
        <v/>
      </c>
      <c r="W270" s="59">
        <f>IF(AND(tblPlant[[#This Row],[Milled_t]]&lt;&gt;"",tblPlant[[#This Row],[Mill_Run_h]]&gt;0),tblPlant[[#This Row],[Milled_t]]/tblPlant[[#This Row],[Mill_Run_h]],"")</f>
        <v/>
      </c>
      <c r="X270" s="60">
        <f>IF(AND(tblPlant[[#This Row],[Mill_Run_h]]="",tblPlant[[#This Row],[Mill_Planned_Maint_h]]="",tblPlant[[#This Row],[Mill_Unplanned_Down_h]]=""),"",(cfg_HoursPerDay-tblPlant[[#This Row],[Mill_Planned_Maint_h]]-tblPlant[[#This Row],[Mill_Unplanned_Down_h]])/cfg_HoursPerDay)</f>
        <v/>
      </c>
      <c r="Y27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1">
      <c r="A271" s="54" t="n">
        <v>46288</v>
      </c>
      <c r="B271" s="55" t="n"/>
      <c r="C271" s="55" t="n"/>
      <c r="D271" s="56" t="n"/>
      <c r="E271" s="56" t="n"/>
      <c r="F271" s="55" t="n"/>
      <c r="G271" s="55" t="n"/>
      <c r="H271" s="57" t="n"/>
      <c r="I271" s="57" t="n"/>
      <c r="J271" s="57" t="n"/>
      <c r="K271" s="57" t="n"/>
      <c r="L271" s="55" t="n"/>
      <c r="M271" s="55" t="n"/>
      <c r="N271" s="55" t="n"/>
      <c r="O271" s="55" t="n"/>
      <c r="P271" s="55" t="n"/>
      <c r="Q271" s="55" t="n"/>
      <c r="R271" s="58" t="n"/>
      <c r="S271" s="59">
        <f>IF(OR(tblPlant[[#This Row],[Milled_t]]="",tblPlant[[#This Row],[Head_Grade_gpt]]=""),"",tblPlant[[#This Row],[Milled_t]]*tblPlant[[#This Row],[Head_Grade_gpt]]/cfg_TroyOz)</f>
        <v/>
      </c>
      <c r="T271" s="59">
        <f>IF(OR(tblPlant[[#This Row],[Milled_t]]="",tblPlant[[#This Row],[Tails_Grade_gpt]]=""),"",tblPlant[[#This Row],[Milled_t]]*tblPlant[[#This Row],[Tails_Grade_gpt]]/cfg_TroyOz)</f>
        <v/>
      </c>
      <c r="U271" s="59">
        <f>IF(OR(tblPlant[[#This Row],[Milled_t]]="",tblPlant[[#This Row],[Head_Grade_gpt]]="",tblPlant[[#This Row],[Tails_Grade_gpt]]=""),"",tblPlant[[#This Row],[Feed_oz]]-tblPlant[[#This Row],[Tails_oz]])</f>
        <v/>
      </c>
      <c r="V271" s="60">
        <f>IF(AND(ISNUMBER(tblPlant[[#This Row],[Recovered_oz]]),tblPlant[[#This Row],[Feed_oz]]&gt;0),tblPlant[[#This Row],[Recovered_oz]]/tblPlant[[#This Row],[Feed_oz]],"")</f>
        <v/>
      </c>
      <c r="W271" s="59">
        <f>IF(AND(tblPlant[[#This Row],[Milled_t]]&lt;&gt;"",tblPlant[[#This Row],[Mill_Run_h]]&gt;0),tblPlant[[#This Row],[Milled_t]]/tblPlant[[#This Row],[Mill_Run_h]],"")</f>
        <v/>
      </c>
      <c r="X271" s="60">
        <f>IF(AND(tblPlant[[#This Row],[Mill_Run_h]]="",tblPlant[[#This Row],[Mill_Planned_Maint_h]]="",tblPlant[[#This Row],[Mill_Unplanned_Down_h]]=""),"",(cfg_HoursPerDay-tblPlant[[#This Row],[Mill_Planned_Maint_h]]-tblPlant[[#This Row],[Mill_Unplanned_Down_h]])/cfg_HoursPerDay)</f>
        <v/>
      </c>
      <c r="Y27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2">
      <c r="A272" s="54" t="n">
        <v>46289</v>
      </c>
      <c r="B272" s="55" t="n"/>
      <c r="C272" s="55" t="n"/>
      <c r="D272" s="56" t="n"/>
      <c r="E272" s="56" t="n"/>
      <c r="F272" s="55" t="n"/>
      <c r="G272" s="55" t="n"/>
      <c r="H272" s="57" t="n"/>
      <c r="I272" s="57" t="n"/>
      <c r="J272" s="57" t="n"/>
      <c r="K272" s="57" t="n"/>
      <c r="L272" s="55" t="n"/>
      <c r="M272" s="55" t="n"/>
      <c r="N272" s="55" t="n"/>
      <c r="O272" s="55" t="n"/>
      <c r="P272" s="55" t="n"/>
      <c r="Q272" s="55" t="n"/>
      <c r="R272" s="58" t="n"/>
      <c r="S272" s="59">
        <f>IF(OR(tblPlant[[#This Row],[Milled_t]]="",tblPlant[[#This Row],[Head_Grade_gpt]]=""),"",tblPlant[[#This Row],[Milled_t]]*tblPlant[[#This Row],[Head_Grade_gpt]]/cfg_TroyOz)</f>
        <v/>
      </c>
      <c r="T272" s="59">
        <f>IF(OR(tblPlant[[#This Row],[Milled_t]]="",tblPlant[[#This Row],[Tails_Grade_gpt]]=""),"",tblPlant[[#This Row],[Milled_t]]*tblPlant[[#This Row],[Tails_Grade_gpt]]/cfg_TroyOz)</f>
        <v/>
      </c>
      <c r="U272" s="59">
        <f>IF(OR(tblPlant[[#This Row],[Milled_t]]="",tblPlant[[#This Row],[Head_Grade_gpt]]="",tblPlant[[#This Row],[Tails_Grade_gpt]]=""),"",tblPlant[[#This Row],[Feed_oz]]-tblPlant[[#This Row],[Tails_oz]])</f>
        <v/>
      </c>
      <c r="V272" s="60">
        <f>IF(AND(ISNUMBER(tblPlant[[#This Row],[Recovered_oz]]),tblPlant[[#This Row],[Feed_oz]]&gt;0),tblPlant[[#This Row],[Recovered_oz]]/tblPlant[[#This Row],[Feed_oz]],"")</f>
        <v/>
      </c>
      <c r="W272" s="59">
        <f>IF(AND(tblPlant[[#This Row],[Milled_t]]&lt;&gt;"",tblPlant[[#This Row],[Mill_Run_h]]&gt;0),tblPlant[[#This Row],[Milled_t]]/tblPlant[[#This Row],[Mill_Run_h]],"")</f>
        <v/>
      </c>
      <c r="X272" s="60">
        <f>IF(AND(tblPlant[[#This Row],[Mill_Run_h]]="",tblPlant[[#This Row],[Mill_Planned_Maint_h]]="",tblPlant[[#This Row],[Mill_Unplanned_Down_h]]=""),"",(cfg_HoursPerDay-tblPlant[[#This Row],[Mill_Planned_Maint_h]]-tblPlant[[#This Row],[Mill_Unplanned_Down_h]])/cfg_HoursPerDay)</f>
        <v/>
      </c>
      <c r="Y27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3">
      <c r="A273" s="54" t="n">
        <v>46290</v>
      </c>
      <c r="B273" s="55" t="n"/>
      <c r="C273" s="55" t="n"/>
      <c r="D273" s="56" t="n"/>
      <c r="E273" s="56" t="n"/>
      <c r="F273" s="55" t="n"/>
      <c r="G273" s="55" t="n"/>
      <c r="H273" s="57" t="n"/>
      <c r="I273" s="57" t="n"/>
      <c r="J273" s="57" t="n"/>
      <c r="K273" s="57" t="n"/>
      <c r="L273" s="55" t="n"/>
      <c r="M273" s="55" t="n"/>
      <c r="N273" s="55" t="n"/>
      <c r="O273" s="55" t="n"/>
      <c r="P273" s="55" t="n"/>
      <c r="Q273" s="55" t="n"/>
      <c r="R273" s="58" t="n"/>
      <c r="S273" s="59">
        <f>IF(OR(tblPlant[[#This Row],[Milled_t]]="",tblPlant[[#This Row],[Head_Grade_gpt]]=""),"",tblPlant[[#This Row],[Milled_t]]*tblPlant[[#This Row],[Head_Grade_gpt]]/cfg_TroyOz)</f>
        <v/>
      </c>
      <c r="T273" s="59">
        <f>IF(OR(tblPlant[[#This Row],[Milled_t]]="",tblPlant[[#This Row],[Tails_Grade_gpt]]=""),"",tblPlant[[#This Row],[Milled_t]]*tblPlant[[#This Row],[Tails_Grade_gpt]]/cfg_TroyOz)</f>
        <v/>
      </c>
      <c r="U273" s="59">
        <f>IF(OR(tblPlant[[#This Row],[Milled_t]]="",tblPlant[[#This Row],[Head_Grade_gpt]]="",tblPlant[[#This Row],[Tails_Grade_gpt]]=""),"",tblPlant[[#This Row],[Feed_oz]]-tblPlant[[#This Row],[Tails_oz]])</f>
        <v/>
      </c>
      <c r="V273" s="60">
        <f>IF(AND(ISNUMBER(tblPlant[[#This Row],[Recovered_oz]]),tblPlant[[#This Row],[Feed_oz]]&gt;0),tblPlant[[#This Row],[Recovered_oz]]/tblPlant[[#This Row],[Feed_oz]],"")</f>
        <v/>
      </c>
      <c r="W273" s="59">
        <f>IF(AND(tblPlant[[#This Row],[Milled_t]]&lt;&gt;"",tblPlant[[#This Row],[Mill_Run_h]]&gt;0),tblPlant[[#This Row],[Milled_t]]/tblPlant[[#This Row],[Mill_Run_h]],"")</f>
        <v/>
      </c>
      <c r="X273" s="60">
        <f>IF(AND(tblPlant[[#This Row],[Mill_Run_h]]="",tblPlant[[#This Row],[Mill_Planned_Maint_h]]="",tblPlant[[#This Row],[Mill_Unplanned_Down_h]]=""),"",(cfg_HoursPerDay-tblPlant[[#This Row],[Mill_Planned_Maint_h]]-tblPlant[[#This Row],[Mill_Unplanned_Down_h]])/cfg_HoursPerDay)</f>
        <v/>
      </c>
      <c r="Y27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4">
      <c r="A274" s="54" t="n">
        <v>46291</v>
      </c>
      <c r="B274" s="55" t="n"/>
      <c r="C274" s="55" t="n"/>
      <c r="D274" s="56" t="n"/>
      <c r="E274" s="56" t="n"/>
      <c r="F274" s="55" t="n"/>
      <c r="G274" s="55" t="n"/>
      <c r="H274" s="57" t="n"/>
      <c r="I274" s="57" t="n"/>
      <c r="J274" s="57" t="n"/>
      <c r="K274" s="57" t="n"/>
      <c r="L274" s="55" t="n"/>
      <c r="M274" s="55" t="n"/>
      <c r="N274" s="55" t="n"/>
      <c r="O274" s="55" t="n"/>
      <c r="P274" s="55" t="n"/>
      <c r="Q274" s="55" t="n"/>
      <c r="R274" s="58" t="n"/>
      <c r="S274" s="59">
        <f>IF(OR(tblPlant[[#This Row],[Milled_t]]="",tblPlant[[#This Row],[Head_Grade_gpt]]=""),"",tblPlant[[#This Row],[Milled_t]]*tblPlant[[#This Row],[Head_Grade_gpt]]/cfg_TroyOz)</f>
        <v/>
      </c>
      <c r="T274" s="59">
        <f>IF(OR(tblPlant[[#This Row],[Milled_t]]="",tblPlant[[#This Row],[Tails_Grade_gpt]]=""),"",tblPlant[[#This Row],[Milled_t]]*tblPlant[[#This Row],[Tails_Grade_gpt]]/cfg_TroyOz)</f>
        <v/>
      </c>
      <c r="U274" s="59">
        <f>IF(OR(tblPlant[[#This Row],[Milled_t]]="",tblPlant[[#This Row],[Head_Grade_gpt]]="",tblPlant[[#This Row],[Tails_Grade_gpt]]=""),"",tblPlant[[#This Row],[Feed_oz]]-tblPlant[[#This Row],[Tails_oz]])</f>
        <v/>
      </c>
      <c r="V274" s="60">
        <f>IF(AND(ISNUMBER(tblPlant[[#This Row],[Recovered_oz]]),tblPlant[[#This Row],[Feed_oz]]&gt;0),tblPlant[[#This Row],[Recovered_oz]]/tblPlant[[#This Row],[Feed_oz]],"")</f>
        <v/>
      </c>
      <c r="W274" s="59">
        <f>IF(AND(tblPlant[[#This Row],[Milled_t]]&lt;&gt;"",tblPlant[[#This Row],[Mill_Run_h]]&gt;0),tblPlant[[#This Row],[Milled_t]]/tblPlant[[#This Row],[Mill_Run_h]],"")</f>
        <v/>
      </c>
      <c r="X274" s="60">
        <f>IF(AND(tblPlant[[#This Row],[Mill_Run_h]]="",tblPlant[[#This Row],[Mill_Planned_Maint_h]]="",tblPlant[[#This Row],[Mill_Unplanned_Down_h]]=""),"",(cfg_HoursPerDay-tblPlant[[#This Row],[Mill_Planned_Maint_h]]-tblPlant[[#This Row],[Mill_Unplanned_Down_h]])/cfg_HoursPerDay)</f>
        <v/>
      </c>
      <c r="Y27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5">
      <c r="A275" s="54" t="n">
        <v>46292</v>
      </c>
      <c r="B275" s="55" t="n"/>
      <c r="C275" s="55" t="n"/>
      <c r="D275" s="56" t="n"/>
      <c r="E275" s="56" t="n"/>
      <c r="F275" s="55" t="n"/>
      <c r="G275" s="55" t="n"/>
      <c r="H275" s="57" t="n"/>
      <c r="I275" s="57" t="n"/>
      <c r="J275" s="57" t="n"/>
      <c r="K275" s="57" t="n"/>
      <c r="L275" s="55" t="n"/>
      <c r="M275" s="55" t="n"/>
      <c r="N275" s="55" t="n"/>
      <c r="O275" s="55" t="n"/>
      <c r="P275" s="55" t="n"/>
      <c r="Q275" s="55" t="n"/>
      <c r="R275" s="58" t="n"/>
      <c r="S275" s="59">
        <f>IF(OR(tblPlant[[#This Row],[Milled_t]]="",tblPlant[[#This Row],[Head_Grade_gpt]]=""),"",tblPlant[[#This Row],[Milled_t]]*tblPlant[[#This Row],[Head_Grade_gpt]]/cfg_TroyOz)</f>
        <v/>
      </c>
      <c r="T275" s="59">
        <f>IF(OR(tblPlant[[#This Row],[Milled_t]]="",tblPlant[[#This Row],[Tails_Grade_gpt]]=""),"",tblPlant[[#This Row],[Milled_t]]*tblPlant[[#This Row],[Tails_Grade_gpt]]/cfg_TroyOz)</f>
        <v/>
      </c>
      <c r="U275" s="59">
        <f>IF(OR(tblPlant[[#This Row],[Milled_t]]="",tblPlant[[#This Row],[Head_Grade_gpt]]="",tblPlant[[#This Row],[Tails_Grade_gpt]]=""),"",tblPlant[[#This Row],[Feed_oz]]-tblPlant[[#This Row],[Tails_oz]])</f>
        <v/>
      </c>
      <c r="V275" s="60">
        <f>IF(AND(ISNUMBER(tblPlant[[#This Row],[Recovered_oz]]),tblPlant[[#This Row],[Feed_oz]]&gt;0),tblPlant[[#This Row],[Recovered_oz]]/tblPlant[[#This Row],[Feed_oz]],"")</f>
        <v/>
      </c>
      <c r="W275" s="59">
        <f>IF(AND(tblPlant[[#This Row],[Milled_t]]&lt;&gt;"",tblPlant[[#This Row],[Mill_Run_h]]&gt;0),tblPlant[[#This Row],[Milled_t]]/tblPlant[[#This Row],[Mill_Run_h]],"")</f>
        <v/>
      </c>
      <c r="X275" s="60">
        <f>IF(AND(tblPlant[[#This Row],[Mill_Run_h]]="",tblPlant[[#This Row],[Mill_Planned_Maint_h]]="",tblPlant[[#This Row],[Mill_Unplanned_Down_h]]=""),"",(cfg_HoursPerDay-tblPlant[[#This Row],[Mill_Planned_Maint_h]]-tblPlant[[#This Row],[Mill_Unplanned_Down_h]])/cfg_HoursPerDay)</f>
        <v/>
      </c>
      <c r="Y27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6">
      <c r="A276" s="54" t="n">
        <v>46293</v>
      </c>
      <c r="B276" s="55" t="n"/>
      <c r="C276" s="55" t="n"/>
      <c r="D276" s="56" t="n"/>
      <c r="E276" s="56" t="n"/>
      <c r="F276" s="55" t="n"/>
      <c r="G276" s="55" t="n"/>
      <c r="H276" s="57" t="n"/>
      <c r="I276" s="57" t="n"/>
      <c r="J276" s="57" t="n"/>
      <c r="K276" s="57" t="n"/>
      <c r="L276" s="55" t="n"/>
      <c r="M276" s="55" t="n"/>
      <c r="N276" s="55" t="n"/>
      <c r="O276" s="55" t="n"/>
      <c r="P276" s="55" t="n"/>
      <c r="Q276" s="55" t="n"/>
      <c r="R276" s="58" t="n"/>
      <c r="S276" s="59">
        <f>IF(OR(tblPlant[[#This Row],[Milled_t]]="",tblPlant[[#This Row],[Head_Grade_gpt]]=""),"",tblPlant[[#This Row],[Milled_t]]*tblPlant[[#This Row],[Head_Grade_gpt]]/cfg_TroyOz)</f>
        <v/>
      </c>
      <c r="T276" s="59">
        <f>IF(OR(tblPlant[[#This Row],[Milled_t]]="",tblPlant[[#This Row],[Tails_Grade_gpt]]=""),"",tblPlant[[#This Row],[Milled_t]]*tblPlant[[#This Row],[Tails_Grade_gpt]]/cfg_TroyOz)</f>
        <v/>
      </c>
      <c r="U276" s="59">
        <f>IF(OR(tblPlant[[#This Row],[Milled_t]]="",tblPlant[[#This Row],[Head_Grade_gpt]]="",tblPlant[[#This Row],[Tails_Grade_gpt]]=""),"",tblPlant[[#This Row],[Feed_oz]]-tblPlant[[#This Row],[Tails_oz]])</f>
        <v/>
      </c>
      <c r="V276" s="60">
        <f>IF(AND(ISNUMBER(tblPlant[[#This Row],[Recovered_oz]]),tblPlant[[#This Row],[Feed_oz]]&gt;0),tblPlant[[#This Row],[Recovered_oz]]/tblPlant[[#This Row],[Feed_oz]],"")</f>
        <v/>
      </c>
      <c r="W276" s="59">
        <f>IF(AND(tblPlant[[#This Row],[Milled_t]]&lt;&gt;"",tblPlant[[#This Row],[Mill_Run_h]]&gt;0),tblPlant[[#This Row],[Milled_t]]/tblPlant[[#This Row],[Mill_Run_h]],"")</f>
        <v/>
      </c>
      <c r="X276" s="60">
        <f>IF(AND(tblPlant[[#This Row],[Mill_Run_h]]="",tblPlant[[#This Row],[Mill_Planned_Maint_h]]="",tblPlant[[#This Row],[Mill_Unplanned_Down_h]]=""),"",(cfg_HoursPerDay-tblPlant[[#This Row],[Mill_Planned_Maint_h]]-tblPlant[[#This Row],[Mill_Unplanned_Down_h]])/cfg_HoursPerDay)</f>
        <v/>
      </c>
      <c r="Y27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7">
      <c r="A277" s="54" t="n">
        <v>46294</v>
      </c>
      <c r="B277" s="55" t="n"/>
      <c r="C277" s="55" t="n"/>
      <c r="D277" s="56" t="n"/>
      <c r="E277" s="56" t="n"/>
      <c r="F277" s="55" t="n"/>
      <c r="G277" s="55" t="n"/>
      <c r="H277" s="57" t="n"/>
      <c r="I277" s="57" t="n"/>
      <c r="J277" s="57" t="n"/>
      <c r="K277" s="57" t="n"/>
      <c r="L277" s="55" t="n"/>
      <c r="M277" s="55" t="n"/>
      <c r="N277" s="55" t="n"/>
      <c r="O277" s="55" t="n"/>
      <c r="P277" s="55" t="n"/>
      <c r="Q277" s="55" t="n"/>
      <c r="R277" s="58" t="n"/>
      <c r="S277" s="59">
        <f>IF(OR(tblPlant[[#This Row],[Milled_t]]="",tblPlant[[#This Row],[Head_Grade_gpt]]=""),"",tblPlant[[#This Row],[Milled_t]]*tblPlant[[#This Row],[Head_Grade_gpt]]/cfg_TroyOz)</f>
        <v/>
      </c>
      <c r="T277" s="59">
        <f>IF(OR(tblPlant[[#This Row],[Milled_t]]="",tblPlant[[#This Row],[Tails_Grade_gpt]]=""),"",tblPlant[[#This Row],[Milled_t]]*tblPlant[[#This Row],[Tails_Grade_gpt]]/cfg_TroyOz)</f>
        <v/>
      </c>
      <c r="U277" s="59">
        <f>IF(OR(tblPlant[[#This Row],[Milled_t]]="",tblPlant[[#This Row],[Head_Grade_gpt]]="",tblPlant[[#This Row],[Tails_Grade_gpt]]=""),"",tblPlant[[#This Row],[Feed_oz]]-tblPlant[[#This Row],[Tails_oz]])</f>
        <v/>
      </c>
      <c r="V277" s="60">
        <f>IF(AND(ISNUMBER(tblPlant[[#This Row],[Recovered_oz]]),tblPlant[[#This Row],[Feed_oz]]&gt;0),tblPlant[[#This Row],[Recovered_oz]]/tblPlant[[#This Row],[Feed_oz]],"")</f>
        <v/>
      </c>
      <c r="W277" s="59">
        <f>IF(AND(tblPlant[[#This Row],[Milled_t]]&lt;&gt;"",tblPlant[[#This Row],[Mill_Run_h]]&gt;0),tblPlant[[#This Row],[Milled_t]]/tblPlant[[#This Row],[Mill_Run_h]],"")</f>
        <v/>
      </c>
      <c r="X277" s="60">
        <f>IF(AND(tblPlant[[#This Row],[Mill_Run_h]]="",tblPlant[[#This Row],[Mill_Planned_Maint_h]]="",tblPlant[[#This Row],[Mill_Unplanned_Down_h]]=""),"",(cfg_HoursPerDay-tblPlant[[#This Row],[Mill_Planned_Maint_h]]-tblPlant[[#This Row],[Mill_Unplanned_Down_h]])/cfg_HoursPerDay)</f>
        <v/>
      </c>
      <c r="Y27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8">
      <c r="A278" s="54" t="n">
        <v>46295</v>
      </c>
      <c r="B278" s="55" t="n"/>
      <c r="C278" s="55" t="n"/>
      <c r="D278" s="56" t="n"/>
      <c r="E278" s="56" t="n"/>
      <c r="F278" s="55" t="n"/>
      <c r="G278" s="55" t="n"/>
      <c r="H278" s="57" t="n"/>
      <c r="I278" s="57" t="n"/>
      <c r="J278" s="57" t="n"/>
      <c r="K278" s="57" t="n"/>
      <c r="L278" s="55" t="n"/>
      <c r="M278" s="55" t="n"/>
      <c r="N278" s="55" t="n"/>
      <c r="O278" s="55" t="n"/>
      <c r="P278" s="55" t="n"/>
      <c r="Q278" s="55" t="n"/>
      <c r="R278" s="58" t="n"/>
      <c r="S278" s="59">
        <f>IF(OR(tblPlant[[#This Row],[Milled_t]]="",tblPlant[[#This Row],[Head_Grade_gpt]]=""),"",tblPlant[[#This Row],[Milled_t]]*tblPlant[[#This Row],[Head_Grade_gpt]]/cfg_TroyOz)</f>
        <v/>
      </c>
      <c r="T278" s="59">
        <f>IF(OR(tblPlant[[#This Row],[Milled_t]]="",tblPlant[[#This Row],[Tails_Grade_gpt]]=""),"",tblPlant[[#This Row],[Milled_t]]*tblPlant[[#This Row],[Tails_Grade_gpt]]/cfg_TroyOz)</f>
        <v/>
      </c>
      <c r="U278" s="59">
        <f>IF(OR(tblPlant[[#This Row],[Milled_t]]="",tblPlant[[#This Row],[Head_Grade_gpt]]="",tblPlant[[#This Row],[Tails_Grade_gpt]]=""),"",tblPlant[[#This Row],[Feed_oz]]-tblPlant[[#This Row],[Tails_oz]])</f>
        <v/>
      </c>
      <c r="V278" s="60">
        <f>IF(AND(ISNUMBER(tblPlant[[#This Row],[Recovered_oz]]),tblPlant[[#This Row],[Feed_oz]]&gt;0),tblPlant[[#This Row],[Recovered_oz]]/tblPlant[[#This Row],[Feed_oz]],"")</f>
        <v/>
      </c>
      <c r="W278" s="59">
        <f>IF(AND(tblPlant[[#This Row],[Milled_t]]&lt;&gt;"",tblPlant[[#This Row],[Mill_Run_h]]&gt;0),tblPlant[[#This Row],[Milled_t]]/tblPlant[[#This Row],[Mill_Run_h]],"")</f>
        <v/>
      </c>
      <c r="X278" s="60">
        <f>IF(AND(tblPlant[[#This Row],[Mill_Run_h]]="",tblPlant[[#This Row],[Mill_Planned_Maint_h]]="",tblPlant[[#This Row],[Mill_Unplanned_Down_h]]=""),"",(cfg_HoursPerDay-tblPlant[[#This Row],[Mill_Planned_Maint_h]]-tblPlant[[#This Row],[Mill_Unplanned_Down_h]])/cfg_HoursPerDay)</f>
        <v/>
      </c>
      <c r="Y27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79">
      <c r="A279" s="54" t="n">
        <v>46296</v>
      </c>
      <c r="B279" s="55" t="n"/>
      <c r="C279" s="55" t="n"/>
      <c r="D279" s="56" t="n"/>
      <c r="E279" s="56" t="n"/>
      <c r="F279" s="55" t="n"/>
      <c r="G279" s="55" t="n"/>
      <c r="H279" s="57" t="n"/>
      <c r="I279" s="57" t="n"/>
      <c r="J279" s="57" t="n"/>
      <c r="K279" s="57" t="n"/>
      <c r="L279" s="55" t="n"/>
      <c r="M279" s="55" t="n"/>
      <c r="N279" s="55" t="n"/>
      <c r="O279" s="55" t="n"/>
      <c r="P279" s="55" t="n"/>
      <c r="Q279" s="55" t="n"/>
      <c r="R279" s="58" t="n"/>
      <c r="S279" s="59">
        <f>IF(OR(tblPlant[[#This Row],[Milled_t]]="",tblPlant[[#This Row],[Head_Grade_gpt]]=""),"",tblPlant[[#This Row],[Milled_t]]*tblPlant[[#This Row],[Head_Grade_gpt]]/cfg_TroyOz)</f>
        <v/>
      </c>
      <c r="T279" s="59">
        <f>IF(OR(tblPlant[[#This Row],[Milled_t]]="",tblPlant[[#This Row],[Tails_Grade_gpt]]=""),"",tblPlant[[#This Row],[Milled_t]]*tblPlant[[#This Row],[Tails_Grade_gpt]]/cfg_TroyOz)</f>
        <v/>
      </c>
      <c r="U279" s="59">
        <f>IF(OR(tblPlant[[#This Row],[Milled_t]]="",tblPlant[[#This Row],[Head_Grade_gpt]]="",tblPlant[[#This Row],[Tails_Grade_gpt]]=""),"",tblPlant[[#This Row],[Feed_oz]]-tblPlant[[#This Row],[Tails_oz]])</f>
        <v/>
      </c>
      <c r="V279" s="60">
        <f>IF(AND(ISNUMBER(tblPlant[[#This Row],[Recovered_oz]]),tblPlant[[#This Row],[Feed_oz]]&gt;0),tblPlant[[#This Row],[Recovered_oz]]/tblPlant[[#This Row],[Feed_oz]],"")</f>
        <v/>
      </c>
      <c r="W279" s="59">
        <f>IF(AND(tblPlant[[#This Row],[Milled_t]]&lt;&gt;"",tblPlant[[#This Row],[Mill_Run_h]]&gt;0),tblPlant[[#This Row],[Milled_t]]/tblPlant[[#This Row],[Mill_Run_h]],"")</f>
        <v/>
      </c>
      <c r="X279" s="60">
        <f>IF(AND(tblPlant[[#This Row],[Mill_Run_h]]="",tblPlant[[#This Row],[Mill_Planned_Maint_h]]="",tblPlant[[#This Row],[Mill_Unplanned_Down_h]]=""),"",(cfg_HoursPerDay-tblPlant[[#This Row],[Mill_Planned_Maint_h]]-tblPlant[[#This Row],[Mill_Unplanned_Down_h]])/cfg_HoursPerDay)</f>
        <v/>
      </c>
      <c r="Y27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0">
      <c r="A280" s="54" t="n">
        <v>46297</v>
      </c>
      <c r="B280" s="55" t="n"/>
      <c r="C280" s="55" t="n"/>
      <c r="D280" s="56" t="n"/>
      <c r="E280" s="56" t="n"/>
      <c r="F280" s="55" t="n"/>
      <c r="G280" s="55" t="n"/>
      <c r="H280" s="57" t="n"/>
      <c r="I280" s="57" t="n"/>
      <c r="J280" s="57" t="n"/>
      <c r="K280" s="57" t="n"/>
      <c r="L280" s="55" t="n"/>
      <c r="M280" s="55" t="n"/>
      <c r="N280" s="55" t="n"/>
      <c r="O280" s="55" t="n"/>
      <c r="P280" s="55" t="n"/>
      <c r="Q280" s="55" t="n"/>
      <c r="R280" s="58" t="n"/>
      <c r="S280" s="59">
        <f>IF(OR(tblPlant[[#This Row],[Milled_t]]="",tblPlant[[#This Row],[Head_Grade_gpt]]=""),"",tblPlant[[#This Row],[Milled_t]]*tblPlant[[#This Row],[Head_Grade_gpt]]/cfg_TroyOz)</f>
        <v/>
      </c>
      <c r="T280" s="59">
        <f>IF(OR(tblPlant[[#This Row],[Milled_t]]="",tblPlant[[#This Row],[Tails_Grade_gpt]]=""),"",tblPlant[[#This Row],[Milled_t]]*tblPlant[[#This Row],[Tails_Grade_gpt]]/cfg_TroyOz)</f>
        <v/>
      </c>
      <c r="U280" s="59">
        <f>IF(OR(tblPlant[[#This Row],[Milled_t]]="",tblPlant[[#This Row],[Head_Grade_gpt]]="",tblPlant[[#This Row],[Tails_Grade_gpt]]=""),"",tblPlant[[#This Row],[Feed_oz]]-tblPlant[[#This Row],[Tails_oz]])</f>
        <v/>
      </c>
      <c r="V280" s="60">
        <f>IF(AND(ISNUMBER(tblPlant[[#This Row],[Recovered_oz]]),tblPlant[[#This Row],[Feed_oz]]&gt;0),tblPlant[[#This Row],[Recovered_oz]]/tblPlant[[#This Row],[Feed_oz]],"")</f>
        <v/>
      </c>
      <c r="W280" s="59">
        <f>IF(AND(tblPlant[[#This Row],[Milled_t]]&lt;&gt;"",tblPlant[[#This Row],[Mill_Run_h]]&gt;0),tblPlant[[#This Row],[Milled_t]]/tblPlant[[#This Row],[Mill_Run_h]],"")</f>
        <v/>
      </c>
      <c r="X280" s="60">
        <f>IF(AND(tblPlant[[#This Row],[Mill_Run_h]]="",tblPlant[[#This Row],[Mill_Planned_Maint_h]]="",tblPlant[[#This Row],[Mill_Unplanned_Down_h]]=""),"",(cfg_HoursPerDay-tblPlant[[#This Row],[Mill_Planned_Maint_h]]-tblPlant[[#This Row],[Mill_Unplanned_Down_h]])/cfg_HoursPerDay)</f>
        <v/>
      </c>
      <c r="Y28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1">
      <c r="A281" s="54" t="n">
        <v>46298</v>
      </c>
      <c r="B281" s="55" t="n"/>
      <c r="C281" s="55" t="n"/>
      <c r="D281" s="56" t="n"/>
      <c r="E281" s="56" t="n"/>
      <c r="F281" s="55" t="n"/>
      <c r="G281" s="55" t="n"/>
      <c r="H281" s="57" t="n"/>
      <c r="I281" s="57" t="n"/>
      <c r="J281" s="57" t="n"/>
      <c r="K281" s="57" t="n"/>
      <c r="L281" s="55" t="n"/>
      <c r="M281" s="55" t="n"/>
      <c r="N281" s="55" t="n"/>
      <c r="O281" s="55" t="n"/>
      <c r="P281" s="55" t="n"/>
      <c r="Q281" s="55" t="n"/>
      <c r="R281" s="58" t="n"/>
      <c r="S281" s="59">
        <f>IF(OR(tblPlant[[#This Row],[Milled_t]]="",tblPlant[[#This Row],[Head_Grade_gpt]]=""),"",tblPlant[[#This Row],[Milled_t]]*tblPlant[[#This Row],[Head_Grade_gpt]]/cfg_TroyOz)</f>
        <v/>
      </c>
      <c r="T281" s="59">
        <f>IF(OR(tblPlant[[#This Row],[Milled_t]]="",tblPlant[[#This Row],[Tails_Grade_gpt]]=""),"",tblPlant[[#This Row],[Milled_t]]*tblPlant[[#This Row],[Tails_Grade_gpt]]/cfg_TroyOz)</f>
        <v/>
      </c>
      <c r="U281" s="59">
        <f>IF(OR(tblPlant[[#This Row],[Milled_t]]="",tblPlant[[#This Row],[Head_Grade_gpt]]="",tblPlant[[#This Row],[Tails_Grade_gpt]]=""),"",tblPlant[[#This Row],[Feed_oz]]-tblPlant[[#This Row],[Tails_oz]])</f>
        <v/>
      </c>
      <c r="V281" s="60">
        <f>IF(AND(ISNUMBER(tblPlant[[#This Row],[Recovered_oz]]),tblPlant[[#This Row],[Feed_oz]]&gt;0),tblPlant[[#This Row],[Recovered_oz]]/tblPlant[[#This Row],[Feed_oz]],"")</f>
        <v/>
      </c>
      <c r="W281" s="59">
        <f>IF(AND(tblPlant[[#This Row],[Milled_t]]&lt;&gt;"",tblPlant[[#This Row],[Mill_Run_h]]&gt;0),tblPlant[[#This Row],[Milled_t]]/tblPlant[[#This Row],[Mill_Run_h]],"")</f>
        <v/>
      </c>
      <c r="X281" s="60">
        <f>IF(AND(tblPlant[[#This Row],[Mill_Run_h]]="",tblPlant[[#This Row],[Mill_Planned_Maint_h]]="",tblPlant[[#This Row],[Mill_Unplanned_Down_h]]=""),"",(cfg_HoursPerDay-tblPlant[[#This Row],[Mill_Planned_Maint_h]]-tblPlant[[#This Row],[Mill_Unplanned_Down_h]])/cfg_HoursPerDay)</f>
        <v/>
      </c>
      <c r="Y28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2">
      <c r="A282" s="54" t="n">
        <v>46299</v>
      </c>
      <c r="B282" s="55" t="n"/>
      <c r="C282" s="55" t="n"/>
      <c r="D282" s="56" t="n"/>
      <c r="E282" s="56" t="n"/>
      <c r="F282" s="55" t="n"/>
      <c r="G282" s="55" t="n"/>
      <c r="H282" s="57" t="n"/>
      <c r="I282" s="57" t="n"/>
      <c r="J282" s="57" t="n"/>
      <c r="K282" s="57" t="n"/>
      <c r="L282" s="55" t="n"/>
      <c r="M282" s="55" t="n"/>
      <c r="N282" s="55" t="n"/>
      <c r="O282" s="55" t="n"/>
      <c r="P282" s="55" t="n"/>
      <c r="Q282" s="55" t="n"/>
      <c r="R282" s="58" t="n"/>
      <c r="S282" s="59">
        <f>IF(OR(tblPlant[[#This Row],[Milled_t]]="",tblPlant[[#This Row],[Head_Grade_gpt]]=""),"",tblPlant[[#This Row],[Milled_t]]*tblPlant[[#This Row],[Head_Grade_gpt]]/cfg_TroyOz)</f>
        <v/>
      </c>
      <c r="T282" s="59">
        <f>IF(OR(tblPlant[[#This Row],[Milled_t]]="",tblPlant[[#This Row],[Tails_Grade_gpt]]=""),"",tblPlant[[#This Row],[Milled_t]]*tblPlant[[#This Row],[Tails_Grade_gpt]]/cfg_TroyOz)</f>
        <v/>
      </c>
      <c r="U282" s="59">
        <f>IF(OR(tblPlant[[#This Row],[Milled_t]]="",tblPlant[[#This Row],[Head_Grade_gpt]]="",tblPlant[[#This Row],[Tails_Grade_gpt]]=""),"",tblPlant[[#This Row],[Feed_oz]]-tblPlant[[#This Row],[Tails_oz]])</f>
        <v/>
      </c>
      <c r="V282" s="60">
        <f>IF(AND(ISNUMBER(tblPlant[[#This Row],[Recovered_oz]]),tblPlant[[#This Row],[Feed_oz]]&gt;0),tblPlant[[#This Row],[Recovered_oz]]/tblPlant[[#This Row],[Feed_oz]],"")</f>
        <v/>
      </c>
      <c r="W282" s="59">
        <f>IF(AND(tblPlant[[#This Row],[Milled_t]]&lt;&gt;"",tblPlant[[#This Row],[Mill_Run_h]]&gt;0),tblPlant[[#This Row],[Milled_t]]/tblPlant[[#This Row],[Mill_Run_h]],"")</f>
        <v/>
      </c>
      <c r="X282" s="60">
        <f>IF(AND(tblPlant[[#This Row],[Mill_Run_h]]="",tblPlant[[#This Row],[Mill_Planned_Maint_h]]="",tblPlant[[#This Row],[Mill_Unplanned_Down_h]]=""),"",(cfg_HoursPerDay-tblPlant[[#This Row],[Mill_Planned_Maint_h]]-tblPlant[[#This Row],[Mill_Unplanned_Down_h]])/cfg_HoursPerDay)</f>
        <v/>
      </c>
      <c r="Y28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3">
      <c r="A283" s="54" t="n">
        <v>46300</v>
      </c>
      <c r="B283" s="55" t="n"/>
      <c r="C283" s="55" t="n"/>
      <c r="D283" s="56" t="n"/>
      <c r="E283" s="56" t="n"/>
      <c r="F283" s="55" t="n"/>
      <c r="G283" s="55" t="n"/>
      <c r="H283" s="57" t="n"/>
      <c r="I283" s="57" t="n"/>
      <c r="J283" s="57" t="n"/>
      <c r="K283" s="57" t="n"/>
      <c r="L283" s="55" t="n"/>
      <c r="M283" s="55" t="n"/>
      <c r="N283" s="55" t="n"/>
      <c r="O283" s="55" t="n"/>
      <c r="P283" s="55" t="n"/>
      <c r="Q283" s="55" t="n"/>
      <c r="R283" s="58" t="n"/>
      <c r="S283" s="59">
        <f>IF(OR(tblPlant[[#This Row],[Milled_t]]="",tblPlant[[#This Row],[Head_Grade_gpt]]=""),"",tblPlant[[#This Row],[Milled_t]]*tblPlant[[#This Row],[Head_Grade_gpt]]/cfg_TroyOz)</f>
        <v/>
      </c>
      <c r="T283" s="59">
        <f>IF(OR(tblPlant[[#This Row],[Milled_t]]="",tblPlant[[#This Row],[Tails_Grade_gpt]]=""),"",tblPlant[[#This Row],[Milled_t]]*tblPlant[[#This Row],[Tails_Grade_gpt]]/cfg_TroyOz)</f>
        <v/>
      </c>
      <c r="U283" s="59">
        <f>IF(OR(tblPlant[[#This Row],[Milled_t]]="",tblPlant[[#This Row],[Head_Grade_gpt]]="",tblPlant[[#This Row],[Tails_Grade_gpt]]=""),"",tblPlant[[#This Row],[Feed_oz]]-tblPlant[[#This Row],[Tails_oz]])</f>
        <v/>
      </c>
      <c r="V283" s="60">
        <f>IF(AND(ISNUMBER(tblPlant[[#This Row],[Recovered_oz]]),tblPlant[[#This Row],[Feed_oz]]&gt;0),tblPlant[[#This Row],[Recovered_oz]]/tblPlant[[#This Row],[Feed_oz]],"")</f>
        <v/>
      </c>
      <c r="W283" s="59">
        <f>IF(AND(tblPlant[[#This Row],[Milled_t]]&lt;&gt;"",tblPlant[[#This Row],[Mill_Run_h]]&gt;0),tblPlant[[#This Row],[Milled_t]]/tblPlant[[#This Row],[Mill_Run_h]],"")</f>
        <v/>
      </c>
      <c r="X283" s="60">
        <f>IF(AND(tblPlant[[#This Row],[Mill_Run_h]]="",tblPlant[[#This Row],[Mill_Planned_Maint_h]]="",tblPlant[[#This Row],[Mill_Unplanned_Down_h]]=""),"",(cfg_HoursPerDay-tblPlant[[#This Row],[Mill_Planned_Maint_h]]-tblPlant[[#This Row],[Mill_Unplanned_Down_h]])/cfg_HoursPerDay)</f>
        <v/>
      </c>
      <c r="Y28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4">
      <c r="A284" s="54" t="n">
        <v>46301</v>
      </c>
      <c r="B284" s="55" t="n"/>
      <c r="C284" s="55" t="n"/>
      <c r="D284" s="56" t="n"/>
      <c r="E284" s="56" t="n"/>
      <c r="F284" s="55" t="n"/>
      <c r="G284" s="55" t="n"/>
      <c r="H284" s="57" t="n"/>
      <c r="I284" s="57" t="n"/>
      <c r="J284" s="57" t="n"/>
      <c r="K284" s="57" t="n"/>
      <c r="L284" s="55" t="n"/>
      <c r="M284" s="55" t="n"/>
      <c r="N284" s="55" t="n"/>
      <c r="O284" s="55" t="n"/>
      <c r="P284" s="55" t="n"/>
      <c r="Q284" s="55" t="n"/>
      <c r="R284" s="58" t="n"/>
      <c r="S284" s="59">
        <f>IF(OR(tblPlant[[#This Row],[Milled_t]]="",tblPlant[[#This Row],[Head_Grade_gpt]]=""),"",tblPlant[[#This Row],[Milled_t]]*tblPlant[[#This Row],[Head_Grade_gpt]]/cfg_TroyOz)</f>
        <v/>
      </c>
      <c r="T284" s="59">
        <f>IF(OR(tblPlant[[#This Row],[Milled_t]]="",tblPlant[[#This Row],[Tails_Grade_gpt]]=""),"",tblPlant[[#This Row],[Milled_t]]*tblPlant[[#This Row],[Tails_Grade_gpt]]/cfg_TroyOz)</f>
        <v/>
      </c>
      <c r="U284" s="59">
        <f>IF(OR(tblPlant[[#This Row],[Milled_t]]="",tblPlant[[#This Row],[Head_Grade_gpt]]="",tblPlant[[#This Row],[Tails_Grade_gpt]]=""),"",tblPlant[[#This Row],[Feed_oz]]-tblPlant[[#This Row],[Tails_oz]])</f>
        <v/>
      </c>
      <c r="V284" s="60">
        <f>IF(AND(ISNUMBER(tblPlant[[#This Row],[Recovered_oz]]),tblPlant[[#This Row],[Feed_oz]]&gt;0),tblPlant[[#This Row],[Recovered_oz]]/tblPlant[[#This Row],[Feed_oz]],"")</f>
        <v/>
      </c>
      <c r="W284" s="59">
        <f>IF(AND(tblPlant[[#This Row],[Milled_t]]&lt;&gt;"",tblPlant[[#This Row],[Mill_Run_h]]&gt;0),tblPlant[[#This Row],[Milled_t]]/tblPlant[[#This Row],[Mill_Run_h]],"")</f>
        <v/>
      </c>
      <c r="X284" s="60">
        <f>IF(AND(tblPlant[[#This Row],[Mill_Run_h]]="",tblPlant[[#This Row],[Mill_Planned_Maint_h]]="",tblPlant[[#This Row],[Mill_Unplanned_Down_h]]=""),"",(cfg_HoursPerDay-tblPlant[[#This Row],[Mill_Planned_Maint_h]]-tblPlant[[#This Row],[Mill_Unplanned_Down_h]])/cfg_HoursPerDay)</f>
        <v/>
      </c>
      <c r="Y28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5">
      <c r="A285" s="54" t="n">
        <v>46302</v>
      </c>
      <c r="B285" s="55" t="n"/>
      <c r="C285" s="55" t="n"/>
      <c r="D285" s="56" t="n"/>
      <c r="E285" s="56" t="n"/>
      <c r="F285" s="55" t="n"/>
      <c r="G285" s="55" t="n"/>
      <c r="H285" s="57" t="n"/>
      <c r="I285" s="57" t="n"/>
      <c r="J285" s="57" t="n"/>
      <c r="K285" s="57" t="n"/>
      <c r="L285" s="55" t="n"/>
      <c r="M285" s="55" t="n"/>
      <c r="N285" s="55" t="n"/>
      <c r="O285" s="55" t="n"/>
      <c r="P285" s="55" t="n"/>
      <c r="Q285" s="55" t="n"/>
      <c r="R285" s="58" t="n"/>
      <c r="S285" s="59">
        <f>IF(OR(tblPlant[[#This Row],[Milled_t]]="",tblPlant[[#This Row],[Head_Grade_gpt]]=""),"",tblPlant[[#This Row],[Milled_t]]*tblPlant[[#This Row],[Head_Grade_gpt]]/cfg_TroyOz)</f>
        <v/>
      </c>
      <c r="T285" s="59">
        <f>IF(OR(tblPlant[[#This Row],[Milled_t]]="",tblPlant[[#This Row],[Tails_Grade_gpt]]=""),"",tblPlant[[#This Row],[Milled_t]]*tblPlant[[#This Row],[Tails_Grade_gpt]]/cfg_TroyOz)</f>
        <v/>
      </c>
      <c r="U285" s="59">
        <f>IF(OR(tblPlant[[#This Row],[Milled_t]]="",tblPlant[[#This Row],[Head_Grade_gpt]]="",tblPlant[[#This Row],[Tails_Grade_gpt]]=""),"",tblPlant[[#This Row],[Feed_oz]]-tblPlant[[#This Row],[Tails_oz]])</f>
        <v/>
      </c>
      <c r="V285" s="60">
        <f>IF(AND(ISNUMBER(tblPlant[[#This Row],[Recovered_oz]]),tblPlant[[#This Row],[Feed_oz]]&gt;0),tblPlant[[#This Row],[Recovered_oz]]/tblPlant[[#This Row],[Feed_oz]],"")</f>
        <v/>
      </c>
      <c r="W285" s="59">
        <f>IF(AND(tblPlant[[#This Row],[Milled_t]]&lt;&gt;"",tblPlant[[#This Row],[Mill_Run_h]]&gt;0),tblPlant[[#This Row],[Milled_t]]/tblPlant[[#This Row],[Mill_Run_h]],"")</f>
        <v/>
      </c>
      <c r="X285" s="60">
        <f>IF(AND(tblPlant[[#This Row],[Mill_Run_h]]="",tblPlant[[#This Row],[Mill_Planned_Maint_h]]="",tblPlant[[#This Row],[Mill_Unplanned_Down_h]]=""),"",(cfg_HoursPerDay-tblPlant[[#This Row],[Mill_Planned_Maint_h]]-tblPlant[[#This Row],[Mill_Unplanned_Down_h]])/cfg_HoursPerDay)</f>
        <v/>
      </c>
      <c r="Y28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6">
      <c r="A286" s="54" t="n">
        <v>46303</v>
      </c>
      <c r="B286" s="55" t="n"/>
      <c r="C286" s="55" t="n"/>
      <c r="D286" s="56" t="n"/>
      <c r="E286" s="56" t="n"/>
      <c r="F286" s="55" t="n"/>
      <c r="G286" s="55" t="n"/>
      <c r="H286" s="57" t="n"/>
      <c r="I286" s="57" t="n"/>
      <c r="J286" s="57" t="n"/>
      <c r="K286" s="57" t="n"/>
      <c r="L286" s="55" t="n"/>
      <c r="M286" s="55" t="n"/>
      <c r="N286" s="55" t="n"/>
      <c r="O286" s="55" t="n"/>
      <c r="P286" s="55" t="n"/>
      <c r="Q286" s="55" t="n"/>
      <c r="R286" s="58" t="n"/>
      <c r="S286" s="59">
        <f>IF(OR(tblPlant[[#This Row],[Milled_t]]="",tblPlant[[#This Row],[Head_Grade_gpt]]=""),"",tblPlant[[#This Row],[Milled_t]]*tblPlant[[#This Row],[Head_Grade_gpt]]/cfg_TroyOz)</f>
        <v/>
      </c>
      <c r="T286" s="59">
        <f>IF(OR(tblPlant[[#This Row],[Milled_t]]="",tblPlant[[#This Row],[Tails_Grade_gpt]]=""),"",tblPlant[[#This Row],[Milled_t]]*tblPlant[[#This Row],[Tails_Grade_gpt]]/cfg_TroyOz)</f>
        <v/>
      </c>
      <c r="U286" s="59">
        <f>IF(OR(tblPlant[[#This Row],[Milled_t]]="",tblPlant[[#This Row],[Head_Grade_gpt]]="",tblPlant[[#This Row],[Tails_Grade_gpt]]=""),"",tblPlant[[#This Row],[Feed_oz]]-tblPlant[[#This Row],[Tails_oz]])</f>
        <v/>
      </c>
      <c r="V286" s="60">
        <f>IF(AND(ISNUMBER(tblPlant[[#This Row],[Recovered_oz]]),tblPlant[[#This Row],[Feed_oz]]&gt;0),tblPlant[[#This Row],[Recovered_oz]]/tblPlant[[#This Row],[Feed_oz]],"")</f>
        <v/>
      </c>
      <c r="W286" s="59">
        <f>IF(AND(tblPlant[[#This Row],[Milled_t]]&lt;&gt;"",tblPlant[[#This Row],[Mill_Run_h]]&gt;0),tblPlant[[#This Row],[Milled_t]]/tblPlant[[#This Row],[Mill_Run_h]],"")</f>
        <v/>
      </c>
      <c r="X286" s="60">
        <f>IF(AND(tblPlant[[#This Row],[Mill_Run_h]]="",tblPlant[[#This Row],[Mill_Planned_Maint_h]]="",tblPlant[[#This Row],[Mill_Unplanned_Down_h]]=""),"",(cfg_HoursPerDay-tblPlant[[#This Row],[Mill_Planned_Maint_h]]-tblPlant[[#This Row],[Mill_Unplanned_Down_h]])/cfg_HoursPerDay)</f>
        <v/>
      </c>
      <c r="Y28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7">
      <c r="A287" s="54" t="n">
        <v>46304</v>
      </c>
      <c r="B287" s="55" t="n"/>
      <c r="C287" s="55" t="n"/>
      <c r="D287" s="56" t="n"/>
      <c r="E287" s="56" t="n"/>
      <c r="F287" s="55" t="n"/>
      <c r="G287" s="55" t="n"/>
      <c r="H287" s="57" t="n"/>
      <c r="I287" s="57" t="n"/>
      <c r="J287" s="57" t="n"/>
      <c r="K287" s="57" t="n"/>
      <c r="L287" s="55" t="n"/>
      <c r="M287" s="55" t="n"/>
      <c r="N287" s="55" t="n"/>
      <c r="O287" s="55" t="n"/>
      <c r="P287" s="55" t="n"/>
      <c r="Q287" s="55" t="n"/>
      <c r="R287" s="58" t="n"/>
      <c r="S287" s="59">
        <f>IF(OR(tblPlant[[#This Row],[Milled_t]]="",tblPlant[[#This Row],[Head_Grade_gpt]]=""),"",tblPlant[[#This Row],[Milled_t]]*tblPlant[[#This Row],[Head_Grade_gpt]]/cfg_TroyOz)</f>
        <v/>
      </c>
      <c r="T287" s="59">
        <f>IF(OR(tblPlant[[#This Row],[Milled_t]]="",tblPlant[[#This Row],[Tails_Grade_gpt]]=""),"",tblPlant[[#This Row],[Milled_t]]*tblPlant[[#This Row],[Tails_Grade_gpt]]/cfg_TroyOz)</f>
        <v/>
      </c>
      <c r="U287" s="59">
        <f>IF(OR(tblPlant[[#This Row],[Milled_t]]="",tblPlant[[#This Row],[Head_Grade_gpt]]="",tblPlant[[#This Row],[Tails_Grade_gpt]]=""),"",tblPlant[[#This Row],[Feed_oz]]-tblPlant[[#This Row],[Tails_oz]])</f>
        <v/>
      </c>
      <c r="V287" s="60">
        <f>IF(AND(ISNUMBER(tblPlant[[#This Row],[Recovered_oz]]),tblPlant[[#This Row],[Feed_oz]]&gt;0),tblPlant[[#This Row],[Recovered_oz]]/tblPlant[[#This Row],[Feed_oz]],"")</f>
        <v/>
      </c>
      <c r="W287" s="59">
        <f>IF(AND(tblPlant[[#This Row],[Milled_t]]&lt;&gt;"",tblPlant[[#This Row],[Mill_Run_h]]&gt;0),tblPlant[[#This Row],[Milled_t]]/tblPlant[[#This Row],[Mill_Run_h]],"")</f>
        <v/>
      </c>
      <c r="X287" s="60">
        <f>IF(AND(tblPlant[[#This Row],[Mill_Run_h]]="",tblPlant[[#This Row],[Mill_Planned_Maint_h]]="",tblPlant[[#This Row],[Mill_Unplanned_Down_h]]=""),"",(cfg_HoursPerDay-tblPlant[[#This Row],[Mill_Planned_Maint_h]]-tblPlant[[#This Row],[Mill_Unplanned_Down_h]])/cfg_HoursPerDay)</f>
        <v/>
      </c>
      <c r="Y28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8">
      <c r="A288" s="54" t="n">
        <v>46305</v>
      </c>
      <c r="B288" s="55" t="n"/>
      <c r="C288" s="55" t="n"/>
      <c r="D288" s="56" t="n"/>
      <c r="E288" s="56" t="n"/>
      <c r="F288" s="55" t="n"/>
      <c r="G288" s="55" t="n"/>
      <c r="H288" s="57" t="n"/>
      <c r="I288" s="57" t="n"/>
      <c r="J288" s="57" t="n"/>
      <c r="K288" s="57" t="n"/>
      <c r="L288" s="55" t="n"/>
      <c r="M288" s="55" t="n"/>
      <c r="N288" s="55" t="n"/>
      <c r="O288" s="55" t="n"/>
      <c r="P288" s="55" t="n"/>
      <c r="Q288" s="55" t="n"/>
      <c r="R288" s="58" t="n"/>
      <c r="S288" s="59">
        <f>IF(OR(tblPlant[[#This Row],[Milled_t]]="",tblPlant[[#This Row],[Head_Grade_gpt]]=""),"",tblPlant[[#This Row],[Milled_t]]*tblPlant[[#This Row],[Head_Grade_gpt]]/cfg_TroyOz)</f>
        <v/>
      </c>
      <c r="T288" s="59">
        <f>IF(OR(tblPlant[[#This Row],[Milled_t]]="",tblPlant[[#This Row],[Tails_Grade_gpt]]=""),"",tblPlant[[#This Row],[Milled_t]]*tblPlant[[#This Row],[Tails_Grade_gpt]]/cfg_TroyOz)</f>
        <v/>
      </c>
      <c r="U288" s="59">
        <f>IF(OR(tblPlant[[#This Row],[Milled_t]]="",tblPlant[[#This Row],[Head_Grade_gpt]]="",tblPlant[[#This Row],[Tails_Grade_gpt]]=""),"",tblPlant[[#This Row],[Feed_oz]]-tblPlant[[#This Row],[Tails_oz]])</f>
        <v/>
      </c>
      <c r="V288" s="60">
        <f>IF(AND(ISNUMBER(tblPlant[[#This Row],[Recovered_oz]]),tblPlant[[#This Row],[Feed_oz]]&gt;0),tblPlant[[#This Row],[Recovered_oz]]/tblPlant[[#This Row],[Feed_oz]],"")</f>
        <v/>
      </c>
      <c r="W288" s="59">
        <f>IF(AND(tblPlant[[#This Row],[Milled_t]]&lt;&gt;"",tblPlant[[#This Row],[Mill_Run_h]]&gt;0),tblPlant[[#This Row],[Milled_t]]/tblPlant[[#This Row],[Mill_Run_h]],"")</f>
        <v/>
      </c>
      <c r="X288" s="60">
        <f>IF(AND(tblPlant[[#This Row],[Mill_Run_h]]="",tblPlant[[#This Row],[Mill_Planned_Maint_h]]="",tblPlant[[#This Row],[Mill_Unplanned_Down_h]]=""),"",(cfg_HoursPerDay-tblPlant[[#This Row],[Mill_Planned_Maint_h]]-tblPlant[[#This Row],[Mill_Unplanned_Down_h]])/cfg_HoursPerDay)</f>
        <v/>
      </c>
      <c r="Y28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89">
      <c r="A289" s="54" t="n">
        <v>46306</v>
      </c>
      <c r="B289" s="55" t="n"/>
      <c r="C289" s="55" t="n"/>
      <c r="D289" s="56" t="n"/>
      <c r="E289" s="56" t="n"/>
      <c r="F289" s="55" t="n"/>
      <c r="G289" s="55" t="n"/>
      <c r="H289" s="57" t="n"/>
      <c r="I289" s="57" t="n"/>
      <c r="J289" s="57" t="n"/>
      <c r="K289" s="57" t="n"/>
      <c r="L289" s="55" t="n"/>
      <c r="M289" s="55" t="n"/>
      <c r="N289" s="55" t="n"/>
      <c r="O289" s="55" t="n"/>
      <c r="P289" s="55" t="n"/>
      <c r="Q289" s="55" t="n"/>
      <c r="R289" s="58" t="n"/>
      <c r="S289" s="59">
        <f>IF(OR(tblPlant[[#This Row],[Milled_t]]="",tblPlant[[#This Row],[Head_Grade_gpt]]=""),"",tblPlant[[#This Row],[Milled_t]]*tblPlant[[#This Row],[Head_Grade_gpt]]/cfg_TroyOz)</f>
        <v/>
      </c>
      <c r="T289" s="59">
        <f>IF(OR(tblPlant[[#This Row],[Milled_t]]="",tblPlant[[#This Row],[Tails_Grade_gpt]]=""),"",tblPlant[[#This Row],[Milled_t]]*tblPlant[[#This Row],[Tails_Grade_gpt]]/cfg_TroyOz)</f>
        <v/>
      </c>
      <c r="U289" s="59">
        <f>IF(OR(tblPlant[[#This Row],[Milled_t]]="",tblPlant[[#This Row],[Head_Grade_gpt]]="",tblPlant[[#This Row],[Tails_Grade_gpt]]=""),"",tblPlant[[#This Row],[Feed_oz]]-tblPlant[[#This Row],[Tails_oz]])</f>
        <v/>
      </c>
      <c r="V289" s="60">
        <f>IF(AND(ISNUMBER(tblPlant[[#This Row],[Recovered_oz]]),tblPlant[[#This Row],[Feed_oz]]&gt;0),tblPlant[[#This Row],[Recovered_oz]]/tblPlant[[#This Row],[Feed_oz]],"")</f>
        <v/>
      </c>
      <c r="W289" s="59">
        <f>IF(AND(tblPlant[[#This Row],[Milled_t]]&lt;&gt;"",tblPlant[[#This Row],[Mill_Run_h]]&gt;0),tblPlant[[#This Row],[Milled_t]]/tblPlant[[#This Row],[Mill_Run_h]],"")</f>
        <v/>
      </c>
      <c r="X289" s="60">
        <f>IF(AND(tblPlant[[#This Row],[Mill_Run_h]]="",tblPlant[[#This Row],[Mill_Planned_Maint_h]]="",tblPlant[[#This Row],[Mill_Unplanned_Down_h]]=""),"",(cfg_HoursPerDay-tblPlant[[#This Row],[Mill_Planned_Maint_h]]-tblPlant[[#This Row],[Mill_Unplanned_Down_h]])/cfg_HoursPerDay)</f>
        <v/>
      </c>
      <c r="Y28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0">
      <c r="A290" s="54" t="n">
        <v>46307</v>
      </c>
      <c r="B290" s="55" t="n"/>
      <c r="C290" s="55" t="n"/>
      <c r="D290" s="56" t="n"/>
      <c r="E290" s="56" t="n"/>
      <c r="F290" s="55" t="n"/>
      <c r="G290" s="55" t="n"/>
      <c r="H290" s="57" t="n"/>
      <c r="I290" s="57" t="n"/>
      <c r="J290" s="57" t="n"/>
      <c r="K290" s="57" t="n"/>
      <c r="L290" s="55" t="n"/>
      <c r="M290" s="55" t="n"/>
      <c r="N290" s="55" t="n"/>
      <c r="O290" s="55" t="n"/>
      <c r="P290" s="55" t="n"/>
      <c r="Q290" s="55" t="n"/>
      <c r="R290" s="58" t="n"/>
      <c r="S290" s="59">
        <f>IF(OR(tblPlant[[#This Row],[Milled_t]]="",tblPlant[[#This Row],[Head_Grade_gpt]]=""),"",tblPlant[[#This Row],[Milled_t]]*tblPlant[[#This Row],[Head_Grade_gpt]]/cfg_TroyOz)</f>
        <v/>
      </c>
      <c r="T290" s="59">
        <f>IF(OR(tblPlant[[#This Row],[Milled_t]]="",tblPlant[[#This Row],[Tails_Grade_gpt]]=""),"",tblPlant[[#This Row],[Milled_t]]*tblPlant[[#This Row],[Tails_Grade_gpt]]/cfg_TroyOz)</f>
        <v/>
      </c>
      <c r="U290" s="59">
        <f>IF(OR(tblPlant[[#This Row],[Milled_t]]="",tblPlant[[#This Row],[Head_Grade_gpt]]="",tblPlant[[#This Row],[Tails_Grade_gpt]]=""),"",tblPlant[[#This Row],[Feed_oz]]-tblPlant[[#This Row],[Tails_oz]])</f>
        <v/>
      </c>
      <c r="V290" s="60">
        <f>IF(AND(ISNUMBER(tblPlant[[#This Row],[Recovered_oz]]),tblPlant[[#This Row],[Feed_oz]]&gt;0),tblPlant[[#This Row],[Recovered_oz]]/tblPlant[[#This Row],[Feed_oz]],"")</f>
        <v/>
      </c>
      <c r="W290" s="59">
        <f>IF(AND(tblPlant[[#This Row],[Milled_t]]&lt;&gt;"",tblPlant[[#This Row],[Mill_Run_h]]&gt;0),tblPlant[[#This Row],[Milled_t]]/tblPlant[[#This Row],[Mill_Run_h]],"")</f>
        <v/>
      </c>
      <c r="X290" s="60">
        <f>IF(AND(tblPlant[[#This Row],[Mill_Run_h]]="",tblPlant[[#This Row],[Mill_Planned_Maint_h]]="",tblPlant[[#This Row],[Mill_Unplanned_Down_h]]=""),"",(cfg_HoursPerDay-tblPlant[[#This Row],[Mill_Planned_Maint_h]]-tblPlant[[#This Row],[Mill_Unplanned_Down_h]])/cfg_HoursPerDay)</f>
        <v/>
      </c>
      <c r="Y29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1">
      <c r="A291" s="54" t="n">
        <v>46308</v>
      </c>
      <c r="B291" s="55" t="n"/>
      <c r="C291" s="55" t="n"/>
      <c r="D291" s="56" t="n"/>
      <c r="E291" s="56" t="n"/>
      <c r="F291" s="55" t="n"/>
      <c r="G291" s="55" t="n"/>
      <c r="H291" s="57" t="n"/>
      <c r="I291" s="57" t="n"/>
      <c r="J291" s="57" t="n"/>
      <c r="K291" s="57" t="n"/>
      <c r="L291" s="55" t="n"/>
      <c r="M291" s="55" t="n"/>
      <c r="N291" s="55" t="n"/>
      <c r="O291" s="55" t="n"/>
      <c r="P291" s="55" t="n"/>
      <c r="Q291" s="55" t="n"/>
      <c r="R291" s="58" t="n"/>
      <c r="S291" s="59">
        <f>IF(OR(tblPlant[[#This Row],[Milled_t]]="",tblPlant[[#This Row],[Head_Grade_gpt]]=""),"",tblPlant[[#This Row],[Milled_t]]*tblPlant[[#This Row],[Head_Grade_gpt]]/cfg_TroyOz)</f>
        <v/>
      </c>
      <c r="T291" s="59">
        <f>IF(OR(tblPlant[[#This Row],[Milled_t]]="",tblPlant[[#This Row],[Tails_Grade_gpt]]=""),"",tblPlant[[#This Row],[Milled_t]]*tblPlant[[#This Row],[Tails_Grade_gpt]]/cfg_TroyOz)</f>
        <v/>
      </c>
      <c r="U291" s="59">
        <f>IF(OR(tblPlant[[#This Row],[Milled_t]]="",tblPlant[[#This Row],[Head_Grade_gpt]]="",tblPlant[[#This Row],[Tails_Grade_gpt]]=""),"",tblPlant[[#This Row],[Feed_oz]]-tblPlant[[#This Row],[Tails_oz]])</f>
        <v/>
      </c>
      <c r="V291" s="60">
        <f>IF(AND(ISNUMBER(tblPlant[[#This Row],[Recovered_oz]]),tblPlant[[#This Row],[Feed_oz]]&gt;0),tblPlant[[#This Row],[Recovered_oz]]/tblPlant[[#This Row],[Feed_oz]],"")</f>
        <v/>
      </c>
      <c r="W291" s="59">
        <f>IF(AND(tblPlant[[#This Row],[Milled_t]]&lt;&gt;"",tblPlant[[#This Row],[Mill_Run_h]]&gt;0),tblPlant[[#This Row],[Milled_t]]/tblPlant[[#This Row],[Mill_Run_h]],"")</f>
        <v/>
      </c>
      <c r="X291" s="60">
        <f>IF(AND(tblPlant[[#This Row],[Mill_Run_h]]="",tblPlant[[#This Row],[Mill_Planned_Maint_h]]="",tblPlant[[#This Row],[Mill_Unplanned_Down_h]]=""),"",(cfg_HoursPerDay-tblPlant[[#This Row],[Mill_Planned_Maint_h]]-tblPlant[[#This Row],[Mill_Unplanned_Down_h]])/cfg_HoursPerDay)</f>
        <v/>
      </c>
      <c r="Y29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2">
      <c r="A292" s="54" t="n">
        <v>46309</v>
      </c>
      <c r="B292" s="55" t="n"/>
      <c r="C292" s="55" t="n"/>
      <c r="D292" s="56" t="n"/>
      <c r="E292" s="56" t="n"/>
      <c r="F292" s="55" t="n"/>
      <c r="G292" s="55" t="n"/>
      <c r="H292" s="57" t="n"/>
      <c r="I292" s="57" t="n"/>
      <c r="J292" s="57" t="n"/>
      <c r="K292" s="57" t="n"/>
      <c r="L292" s="55" t="n"/>
      <c r="M292" s="55" t="n"/>
      <c r="N292" s="55" t="n"/>
      <c r="O292" s="55" t="n"/>
      <c r="P292" s="55" t="n"/>
      <c r="Q292" s="55" t="n"/>
      <c r="R292" s="58" t="n"/>
      <c r="S292" s="59">
        <f>IF(OR(tblPlant[[#This Row],[Milled_t]]="",tblPlant[[#This Row],[Head_Grade_gpt]]=""),"",tblPlant[[#This Row],[Milled_t]]*tblPlant[[#This Row],[Head_Grade_gpt]]/cfg_TroyOz)</f>
        <v/>
      </c>
      <c r="T292" s="59">
        <f>IF(OR(tblPlant[[#This Row],[Milled_t]]="",tblPlant[[#This Row],[Tails_Grade_gpt]]=""),"",tblPlant[[#This Row],[Milled_t]]*tblPlant[[#This Row],[Tails_Grade_gpt]]/cfg_TroyOz)</f>
        <v/>
      </c>
      <c r="U292" s="59">
        <f>IF(OR(tblPlant[[#This Row],[Milled_t]]="",tblPlant[[#This Row],[Head_Grade_gpt]]="",tblPlant[[#This Row],[Tails_Grade_gpt]]=""),"",tblPlant[[#This Row],[Feed_oz]]-tblPlant[[#This Row],[Tails_oz]])</f>
        <v/>
      </c>
      <c r="V292" s="60">
        <f>IF(AND(ISNUMBER(tblPlant[[#This Row],[Recovered_oz]]),tblPlant[[#This Row],[Feed_oz]]&gt;0),tblPlant[[#This Row],[Recovered_oz]]/tblPlant[[#This Row],[Feed_oz]],"")</f>
        <v/>
      </c>
      <c r="W292" s="59">
        <f>IF(AND(tblPlant[[#This Row],[Milled_t]]&lt;&gt;"",tblPlant[[#This Row],[Mill_Run_h]]&gt;0),tblPlant[[#This Row],[Milled_t]]/tblPlant[[#This Row],[Mill_Run_h]],"")</f>
        <v/>
      </c>
      <c r="X292" s="60">
        <f>IF(AND(tblPlant[[#This Row],[Mill_Run_h]]="",tblPlant[[#This Row],[Mill_Planned_Maint_h]]="",tblPlant[[#This Row],[Mill_Unplanned_Down_h]]=""),"",(cfg_HoursPerDay-tblPlant[[#This Row],[Mill_Planned_Maint_h]]-tblPlant[[#This Row],[Mill_Unplanned_Down_h]])/cfg_HoursPerDay)</f>
        <v/>
      </c>
      <c r="Y29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3">
      <c r="A293" s="54" t="n">
        <v>46310</v>
      </c>
      <c r="B293" s="55" t="n"/>
      <c r="C293" s="55" t="n"/>
      <c r="D293" s="56" t="n"/>
      <c r="E293" s="56" t="n"/>
      <c r="F293" s="55" t="n"/>
      <c r="G293" s="55" t="n"/>
      <c r="H293" s="57" t="n"/>
      <c r="I293" s="57" t="n"/>
      <c r="J293" s="57" t="n"/>
      <c r="K293" s="57" t="n"/>
      <c r="L293" s="55" t="n"/>
      <c r="M293" s="55" t="n"/>
      <c r="N293" s="55" t="n"/>
      <c r="O293" s="55" t="n"/>
      <c r="P293" s="55" t="n"/>
      <c r="Q293" s="55" t="n"/>
      <c r="R293" s="58" t="n"/>
      <c r="S293" s="59">
        <f>IF(OR(tblPlant[[#This Row],[Milled_t]]="",tblPlant[[#This Row],[Head_Grade_gpt]]=""),"",tblPlant[[#This Row],[Milled_t]]*tblPlant[[#This Row],[Head_Grade_gpt]]/cfg_TroyOz)</f>
        <v/>
      </c>
      <c r="T293" s="59">
        <f>IF(OR(tblPlant[[#This Row],[Milled_t]]="",tblPlant[[#This Row],[Tails_Grade_gpt]]=""),"",tblPlant[[#This Row],[Milled_t]]*tblPlant[[#This Row],[Tails_Grade_gpt]]/cfg_TroyOz)</f>
        <v/>
      </c>
      <c r="U293" s="59">
        <f>IF(OR(tblPlant[[#This Row],[Milled_t]]="",tblPlant[[#This Row],[Head_Grade_gpt]]="",tblPlant[[#This Row],[Tails_Grade_gpt]]=""),"",tblPlant[[#This Row],[Feed_oz]]-tblPlant[[#This Row],[Tails_oz]])</f>
        <v/>
      </c>
      <c r="V293" s="60">
        <f>IF(AND(ISNUMBER(tblPlant[[#This Row],[Recovered_oz]]),tblPlant[[#This Row],[Feed_oz]]&gt;0),tblPlant[[#This Row],[Recovered_oz]]/tblPlant[[#This Row],[Feed_oz]],"")</f>
        <v/>
      </c>
      <c r="W293" s="59">
        <f>IF(AND(tblPlant[[#This Row],[Milled_t]]&lt;&gt;"",tblPlant[[#This Row],[Mill_Run_h]]&gt;0),tblPlant[[#This Row],[Milled_t]]/tblPlant[[#This Row],[Mill_Run_h]],"")</f>
        <v/>
      </c>
      <c r="X293" s="60">
        <f>IF(AND(tblPlant[[#This Row],[Mill_Run_h]]="",tblPlant[[#This Row],[Mill_Planned_Maint_h]]="",tblPlant[[#This Row],[Mill_Unplanned_Down_h]]=""),"",(cfg_HoursPerDay-tblPlant[[#This Row],[Mill_Planned_Maint_h]]-tblPlant[[#This Row],[Mill_Unplanned_Down_h]])/cfg_HoursPerDay)</f>
        <v/>
      </c>
      <c r="Y29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4">
      <c r="A294" s="54" t="n">
        <v>46311</v>
      </c>
      <c r="B294" s="55" t="n"/>
      <c r="C294" s="55" t="n"/>
      <c r="D294" s="56" t="n"/>
      <c r="E294" s="56" t="n"/>
      <c r="F294" s="55" t="n"/>
      <c r="G294" s="55" t="n"/>
      <c r="H294" s="57" t="n"/>
      <c r="I294" s="57" t="n"/>
      <c r="J294" s="57" t="n"/>
      <c r="K294" s="57" t="n"/>
      <c r="L294" s="55" t="n"/>
      <c r="M294" s="55" t="n"/>
      <c r="N294" s="55" t="n"/>
      <c r="O294" s="55" t="n"/>
      <c r="P294" s="55" t="n"/>
      <c r="Q294" s="55" t="n"/>
      <c r="R294" s="58" t="n"/>
      <c r="S294" s="59">
        <f>IF(OR(tblPlant[[#This Row],[Milled_t]]="",tblPlant[[#This Row],[Head_Grade_gpt]]=""),"",tblPlant[[#This Row],[Milled_t]]*tblPlant[[#This Row],[Head_Grade_gpt]]/cfg_TroyOz)</f>
        <v/>
      </c>
      <c r="T294" s="59">
        <f>IF(OR(tblPlant[[#This Row],[Milled_t]]="",tblPlant[[#This Row],[Tails_Grade_gpt]]=""),"",tblPlant[[#This Row],[Milled_t]]*tblPlant[[#This Row],[Tails_Grade_gpt]]/cfg_TroyOz)</f>
        <v/>
      </c>
      <c r="U294" s="59">
        <f>IF(OR(tblPlant[[#This Row],[Milled_t]]="",tblPlant[[#This Row],[Head_Grade_gpt]]="",tblPlant[[#This Row],[Tails_Grade_gpt]]=""),"",tblPlant[[#This Row],[Feed_oz]]-tblPlant[[#This Row],[Tails_oz]])</f>
        <v/>
      </c>
      <c r="V294" s="60">
        <f>IF(AND(ISNUMBER(tblPlant[[#This Row],[Recovered_oz]]),tblPlant[[#This Row],[Feed_oz]]&gt;0),tblPlant[[#This Row],[Recovered_oz]]/tblPlant[[#This Row],[Feed_oz]],"")</f>
        <v/>
      </c>
      <c r="W294" s="59">
        <f>IF(AND(tblPlant[[#This Row],[Milled_t]]&lt;&gt;"",tblPlant[[#This Row],[Mill_Run_h]]&gt;0),tblPlant[[#This Row],[Milled_t]]/tblPlant[[#This Row],[Mill_Run_h]],"")</f>
        <v/>
      </c>
      <c r="X294" s="60">
        <f>IF(AND(tblPlant[[#This Row],[Mill_Run_h]]="",tblPlant[[#This Row],[Mill_Planned_Maint_h]]="",tblPlant[[#This Row],[Mill_Unplanned_Down_h]]=""),"",(cfg_HoursPerDay-tblPlant[[#This Row],[Mill_Planned_Maint_h]]-tblPlant[[#This Row],[Mill_Unplanned_Down_h]])/cfg_HoursPerDay)</f>
        <v/>
      </c>
      <c r="Y29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5">
      <c r="A295" s="54" t="n">
        <v>46312</v>
      </c>
      <c r="B295" s="55" t="n"/>
      <c r="C295" s="55" t="n"/>
      <c r="D295" s="56" t="n"/>
      <c r="E295" s="56" t="n"/>
      <c r="F295" s="55" t="n"/>
      <c r="G295" s="55" t="n"/>
      <c r="H295" s="57" t="n"/>
      <c r="I295" s="57" t="n"/>
      <c r="J295" s="57" t="n"/>
      <c r="K295" s="57" t="n"/>
      <c r="L295" s="55" t="n"/>
      <c r="M295" s="55" t="n"/>
      <c r="N295" s="55" t="n"/>
      <c r="O295" s="55" t="n"/>
      <c r="P295" s="55" t="n"/>
      <c r="Q295" s="55" t="n"/>
      <c r="R295" s="58" t="n"/>
      <c r="S295" s="59">
        <f>IF(OR(tblPlant[[#This Row],[Milled_t]]="",tblPlant[[#This Row],[Head_Grade_gpt]]=""),"",tblPlant[[#This Row],[Milled_t]]*tblPlant[[#This Row],[Head_Grade_gpt]]/cfg_TroyOz)</f>
        <v/>
      </c>
      <c r="T295" s="59">
        <f>IF(OR(tblPlant[[#This Row],[Milled_t]]="",tblPlant[[#This Row],[Tails_Grade_gpt]]=""),"",tblPlant[[#This Row],[Milled_t]]*tblPlant[[#This Row],[Tails_Grade_gpt]]/cfg_TroyOz)</f>
        <v/>
      </c>
      <c r="U295" s="59">
        <f>IF(OR(tblPlant[[#This Row],[Milled_t]]="",tblPlant[[#This Row],[Head_Grade_gpt]]="",tblPlant[[#This Row],[Tails_Grade_gpt]]=""),"",tblPlant[[#This Row],[Feed_oz]]-tblPlant[[#This Row],[Tails_oz]])</f>
        <v/>
      </c>
      <c r="V295" s="60">
        <f>IF(AND(ISNUMBER(tblPlant[[#This Row],[Recovered_oz]]),tblPlant[[#This Row],[Feed_oz]]&gt;0),tblPlant[[#This Row],[Recovered_oz]]/tblPlant[[#This Row],[Feed_oz]],"")</f>
        <v/>
      </c>
      <c r="W295" s="59">
        <f>IF(AND(tblPlant[[#This Row],[Milled_t]]&lt;&gt;"",tblPlant[[#This Row],[Mill_Run_h]]&gt;0),tblPlant[[#This Row],[Milled_t]]/tblPlant[[#This Row],[Mill_Run_h]],"")</f>
        <v/>
      </c>
      <c r="X295" s="60">
        <f>IF(AND(tblPlant[[#This Row],[Mill_Run_h]]="",tblPlant[[#This Row],[Mill_Planned_Maint_h]]="",tblPlant[[#This Row],[Mill_Unplanned_Down_h]]=""),"",(cfg_HoursPerDay-tblPlant[[#This Row],[Mill_Planned_Maint_h]]-tblPlant[[#This Row],[Mill_Unplanned_Down_h]])/cfg_HoursPerDay)</f>
        <v/>
      </c>
      <c r="Y29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6">
      <c r="A296" s="54" t="n">
        <v>46313</v>
      </c>
      <c r="B296" s="55" t="n"/>
      <c r="C296" s="55" t="n"/>
      <c r="D296" s="56" t="n"/>
      <c r="E296" s="56" t="n"/>
      <c r="F296" s="55" t="n"/>
      <c r="G296" s="55" t="n"/>
      <c r="H296" s="57" t="n"/>
      <c r="I296" s="57" t="n"/>
      <c r="J296" s="57" t="n"/>
      <c r="K296" s="57" t="n"/>
      <c r="L296" s="55" t="n"/>
      <c r="M296" s="55" t="n"/>
      <c r="N296" s="55" t="n"/>
      <c r="O296" s="55" t="n"/>
      <c r="P296" s="55" t="n"/>
      <c r="Q296" s="55" t="n"/>
      <c r="R296" s="58" t="n"/>
      <c r="S296" s="59">
        <f>IF(OR(tblPlant[[#This Row],[Milled_t]]="",tblPlant[[#This Row],[Head_Grade_gpt]]=""),"",tblPlant[[#This Row],[Milled_t]]*tblPlant[[#This Row],[Head_Grade_gpt]]/cfg_TroyOz)</f>
        <v/>
      </c>
      <c r="T296" s="59">
        <f>IF(OR(tblPlant[[#This Row],[Milled_t]]="",tblPlant[[#This Row],[Tails_Grade_gpt]]=""),"",tblPlant[[#This Row],[Milled_t]]*tblPlant[[#This Row],[Tails_Grade_gpt]]/cfg_TroyOz)</f>
        <v/>
      </c>
      <c r="U296" s="59">
        <f>IF(OR(tblPlant[[#This Row],[Milled_t]]="",tblPlant[[#This Row],[Head_Grade_gpt]]="",tblPlant[[#This Row],[Tails_Grade_gpt]]=""),"",tblPlant[[#This Row],[Feed_oz]]-tblPlant[[#This Row],[Tails_oz]])</f>
        <v/>
      </c>
      <c r="V296" s="60">
        <f>IF(AND(ISNUMBER(tblPlant[[#This Row],[Recovered_oz]]),tblPlant[[#This Row],[Feed_oz]]&gt;0),tblPlant[[#This Row],[Recovered_oz]]/tblPlant[[#This Row],[Feed_oz]],"")</f>
        <v/>
      </c>
      <c r="W296" s="59">
        <f>IF(AND(tblPlant[[#This Row],[Milled_t]]&lt;&gt;"",tblPlant[[#This Row],[Mill_Run_h]]&gt;0),tblPlant[[#This Row],[Milled_t]]/tblPlant[[#This Row],[Mill_Run_h]],"")</f>
        <v/>
      </c>
      <c r="X296" s="60">
        <f>IF(AND(tblPlant[[#This Row],[Mill_Run_h]]="",tblPlant[[#This Row],[Mill_Planned_Maint_h]]="",tblPlant[[#This Row],[Mill_Unplanned_Down_h]]=""),"",(cfg_HoursPerDay-tblPlant[[#This Row],[Mill_Planned_Maint_h]]-tblPlant[[#This Row],[Mill_Unplanned_Down_h]])/cfg_HoursPerDay)</f>
        <v/>
      </c>
      <c r="Y29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7">
      <c r="A297" s="54" t="n">
        <v>46314</v>
      </c>
      <c r="B297" s="55" t="n"/>
      <c r="C297" s="55" t="n"/>
      <c r="D297" s="56" t="n"/>
      <c r="E297" s="56" t="n"/>
      <c r="F297" s="55" t="n"/>
      <c r="G297" s="55" t="n"/>
      <c r="H297" s="57" t="n"/>
      <c r="I297" s="57" t="n"/>
      <c r="J297" s="57" t="n"/>
      <c r="K297" s="57" t="n"/>
      <c r="L297" s="55" t="n"/>
      <c r="M297" s="55" t="n"/>
      <c r="N297" s="55" t="n"/>
      <c r="O297" s="55" t="n"/>
      <c r="P297" s="55" t="n"/>
      <c r="Q297" s="55" t="n"/>
      <c r="R297" s="58" t="n"/>
      <c r="S297" s="59">
        <f>IF(OR(tblPlant[[#This Row],[Milled_t]]="",tblPlant[[#This Row],[Head_Grade_gpt]]=""),"",tblPlant[[#This Row],[Milled_t]]*tblPlant[[#This Row],[Head_Grade_gpt]]/cfg_TroyOz)</f>
        <v/>
      </c>
      <c r="T297" s="59">
        <f>IF(OR(tblPlant[[#This Row],[Milled_t]]="",tblPlant[[#This Row],[Tails_Grade_gpt]]=""),"",tblPlant[[#This Row],[Milled_t]]*tblPlant[[#This Row],[Tails_Grade_gpt]]/cfg_TroyOz)</f>
        <v/>
      </c>
      <c r="U297" s="59">
        <f>IF(OR(tblPlant[[#This Row],[Milled_t]]="",tblPlant[[#This Row],[Head_Grade_gpt]]="",tblPlant[[#This Row],[Tails_Grade_gpt]]=""),"",tblPlant[[#This Row],[Feed_oz]]-tblPlant[[#This Row],[Tails_oz]])</f>
        <v/>
      </c>
      <c r="V297" s="60">
        <f>IF(AND(ISNUMBER(tblPlant[[#This Row],[Recovered_oz]]),tblPlant[[#This Row],[Feed_oz]]&gt;0),tblPlant[[#This Row],[Recovered_oz]]/tblPlant[[#This Row],[Feed_oz]],"")</f>
        <v/>
      </c>
      <c r="W297" s="59">
        <f>IF(AND(tblPlant[[#This Row],[Milled_t]]&lt;&gt;"",tblPlant[[#This Row],[Mill_Run_h]]&gt;0),tblPlant[[#This Row],[Milled_t]]/tblPlant[[#This Row],[Mill_Run_h]],"")</f>
        <v/>
      </c>
      <c r="X297" s="60">
        <f>IF(AND(tblPlant[[#This Row],[Mill_Run_h]]="",tblPlant[[#This Row],[Mill_Planned_Maint_h]]="",tblPlant[[#This Row],[Mill_Unplanned_Down_h]]=""),"",(cfg_HoursPerDay-tblPlant[[#This Row],[Mill_Planned_Maint_h]]-tblPlant[[#This Row],[Mill_Unplanned_Down_h]])/cfg_HoursPerDay)</f>
        <v/>
      </c>
      <c r="Y29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8">
      <c r="A298" s="54" t="n">
        <v>46315</v>
      </c>
      <c r="B298" s="55" t="n"/>
      <c r="C298" s="55" t="n"/>
      <c r="D298" s="56" t="n"/>
      <c r="E298" s="56" t="n"/>
      <c r="F298" s="55" t="n"/>
      <c r="G298" s="55" t="n"/>
      <c r="H298" s="57" t="n"/>
      <c r="I298" s="57" t="n"/>
      <c r="J298" s="57" t="n"/>
      <c r="K298" s="57" t="n"/>
      <c r="L298" s="55" t="n"/>
      <c r="M298" s="55" t="n"/>
      <c r="N298" s="55" t="n"/>
      <c r="O298" s="55" t="n"/>
      <c r="P298" s="55" t="n"/>
      <c r="Q298" s="55" t="n"/>
      <c r="R298" s="58" t="n"/>
      <c r="S298" s="59">
        <f>IF(OR(tblPlant[[#This Row],[Milled_t]]="",tblPlant[[#This Row],[Head_Grade_gpt]]=""),"",tblPlant[[#This Row],[Milled_t]]*tblPlant[[#This Row],[Head_Grade_gpt]]/cfg_TroyOz)</f>
        <v/>
      </c>
      <c r="T298" s="59">
        <f>IF(OR(tblPlant[[#This Row],[Milled_t]]="",tblPlant[[#This Row],[Tails_Grade_gpt]]=""),"",tblPlant[[#This Row],[Milled_t]]*tblPlant[[#This Row],[Tails_Grade_gpt]]/cfg_TroyOz)</f>
        <v/>
      </c>
      <c r="U298" s="59">
        <f>IF(OR(tblPlant[[#This Row],[Milled_t]]="",tblPlant[[#This Row],[Head_Grade_gpt]]="",tblPlant[[#This Row],[Tails_Grade_gpt]]=""),"",tblPlant[[#This Row],[Feed_oz]]-tblPlant[[#This Row],[Tails_oz]])</f>
        <v/>
      </c>
      <c r="V298" s="60">
        <f>IF(AND(ISNUMBER(tblPlant[[#This Row],[Recovered_oz]]),tblPlant[[#This Row],[Feed_oz]]&gt;0),tblPlant[[#This Row],[Recovered_oz]]/tblPlant[[#This Row],[Feed_oz]],"")</f>
        <v/>
      </c>
      <c r="W298" s="59">
        <f>IF(AND(tblPlant[[#This Row],[Milled_t]]&lt;&gt;"",tblPlant[[#This Row],[Mill_Run_h]]&gt;0),tblPlant[[#This Row],[Milled_t]]/tblPlant[[#This Row],[Mill_Run_h]],"")</f>
        <v/>
      </c>
      <c r="X298" s="60">
        <f>IF(AND(tblPlant[[#This Row],[Mill_Run_h]]="",tblPlant[[#This Row],[Mill_Planned_Maint_h]]="",tblPlant[[#This Row],[Mill_Unplanned_Down_h]]=""),"",(cfg_HoursPerDay-tblPlant[[#This Row],[Mill_Planned_Maint_h]]-tblPlant[[#This Row],[Mill_Unplanned_Down_h]])/cfg_HoursPerDay)</f>
        <v/>
      </c>
      <c r="Y29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299">
      <c r="A299" s="54" t="n">
        <v>46316</v>
      </c>
      <c r="B299" s="55" t="n"/>
      <c r="C299" s="55" t="n"/>
      <c r="D299" s="56" t="n"/>
      <c r="E299" s="56" t="n"/>
      <c r="F299" s="55" t="n"/>
      <c r="G299" s="55" t="n"/>
      <c r="H299" s="57" t="n"/>
      <c r="I299" s="57" t="n"/>
      <c r="J299" s="57" t="n"/>
      <c r="K299" s="57" t="n"/>
      <c r="L299" s="55" t="n"/>
      <c r="M299" s="55" t="n"/>
      <c r="N299" s="55" t="n"/>
      <c r="O299" s="55" t="n"/>
      <c r="P299" s="55" t="n"/>
      <c r="Q299" s="55" t="n"/>
      <c r="R299" s="58" t="n"/>
      <c r="S299" s="59">
        <f>IF(OR(tblPlant[[#This Row],[Milled_t]]="",tblPlant[[#This Row],[Head_Grade_gpt]]=""),"",tblPlant[[#This Row],[Milled_t]]*tblPlant[[#This Row],[Head_Grade_gpt]]/cfg_TroyOz)</f>
        <v/>
      </c>
      <c r="T299" s="59">
        <f>IF(OR(tblPlant[[#This Row],[Milled_t]]="",tblPlant[[#This Row],[Tails_Grade_gpt]]=""),"",tblPlant[[#This Row],[Milled_t]]*tblPlant[[#This Row],[Tails_Grade_gpt]]/cfg_TroyOz)</f>
        <v/>
      </c>
      <c r="U299" s="59">
        <f>IF(OR(tblPlant[[#This Row],[Milled_t]]="",tblPlant[[#This Row],[Head_Grade_gpt]]="",tblPlant[[#This Row],[Tails_Grade_gpt]]=""),"",tblPlant[[#This Row],[Feed_oz]]-tblPlant[[#This Row],[Tails_oz]])</f>
        <v/>
      </c>
      <c r="V299" s="60">
        <f>IF(AND(ISNUMBER(tblPlant[[#This Row],[Recovered_oz]]),tblPlant[[#This Row],[Feed_oz]]&gt;0),tblPlant[[#This Row],[Recovered_oz]]/tblPlant[[#This Row],[Feed_oz]],"")</f>
        <v/>
      </c>
      <c r="W299" s="59">
        <f>IF(AND(tblPlant[[#This Row],[Milled_t]]&lt;&gt;"",tblPlant[[#This Row],[Mill_Run_h]]&gt;0),tblPlant[[#This Row],[Milled_t]]/tblPlant[[#This Row],[Mill_Run_h]],"")</f>
        <v/>
      </c>
      <c r="X299" s="60">
        <f>IF(AND(tblPlant[[#This Row],[Mill_Run_h]]="",tblPlant[[#This Row],[Mill_Planned_Maint_h]]="",tblPlant[[#This Row],[Mill_Unplanned_Down_h]]=""),"",(cfg_HoursPerDay-tblPlant[[#This Row],[Mill_Planned_Maint_h]]-tblPlant[[#This Row],[Mill_Unplanned_Down_h]])/cfg_HoursPerDay)</f>
        <v/>
      </c>
      <c r="Y29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0">
      <c r="A300" s="54" t="n">
        <v>46317</v>
      </c>
      <c r="B300" s="55" t="n"/>
      <c r="C300" s="55" t="n"/>
      <c r="D300" s="56" t="n"/>
      <c r="E300" s="56" t="n"/>
      <c r="F300" s="55" t="n"/>
      <c r="G300" s="55" t="n"/>
      <c r="H300" s="57" t="n"/>
      <c r="I300" s="57" t="n"/>
      <c r="J300" s="57" t="n"/>
      <c r="K300" s="57" t="n"/>
      <c r="L300" s="55" t="n"/>
      <c r="M300" s="55" t="n"/>
      <c r="N300" s="55" t="n"/>
      <c r="O300" s="55" t="n"/>
      <c r="P300" s="55" t="n"/>
      <c r="Q300" s="55" t="n"/>
      <c r="R300" s="58" t="n"/>
      <c r="S300" s="59">
        <f>IF(OR(tblPlant[[#This Row],[Milled_t]]="",tblPlant[[#This Row],[Head_Grade_gpt]]=""),"",tblPlant[[#This Row],[Milled_t]]*tblPlant[[#This Row],[Head_Grade_gpt]]/cfg_TroyOz)</f>
        <v/>
      </c>
      <c r="T300" s="59">
        <f>IF(OR(tblPlant[[#This Row],[Milled_t]]="",tblPlant[[#This Row],[Tails_Grade_gpt]]=""),"",tblPlant[[#This Row],[Milled_t]]*tblPlant[[#This Row],[Tails_Grade_gpt]]/cfg_TroyOz)</f>
        <v/>
      </c>
      <c r="U300" s="59">
        <f>IF(OR(tblPlant[[#This Row],[Milled_t]]="",tblPlant[[#This Row],[Head_Grade_gpt]]="",tblPlant[[#This Row],[Tails_Grade_gpt]]=""),"",tblPlant[[#This Row],[Feed_oz]]-tblPlant[[#This Row],[Tails_oz]])</f>
        <v/>
      </c>
      <c r="V300" s="60">
        <f>IF(AND(ISNUMBER(tblPlant[[#This Row],[Recovered_oz]]),tblPlant[[#This Row],[Feed_oz]]&gt;0),tblPlant[[#This Row],[Recovered_oz]]/tblPlant[[#This Row],[Feed_oz]],"")</f>
        <v/>
      </c>
      <c r="W300" s="59">
        <f>IF(AND(tblPlant[[#This Row],[Milled_t]]&lt;&gt;"",tblPlant[[#This Row],[Mill_Run_h]]&gt;0),tblPlant[[#This Row],[Milled_t]]/tblPlant[[#This Row],[Mill_Run_h]],"")</f>
        <v/>
      </c>
      <c r="X300" s="60">
        <f>IF(AND(tblPlant[[#This Row],[Mill_Run_h]]="",tblPlant[[#This Row],[Mill_Planned_Maint_h]]="",tblPlant[[#This Row],[Mill_Unplanned_Down_h]]=""),"",(cfg_HoursPerDay-tblPlant[[#This Row],[Mill_Planned_Maint_h]]-tblPlant[[#This Row],[Mill_Unplanned_Down_h]])/cfg_HoursPerDay)</f>
        <v/>
      </c>
      <c r="Y30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1">
      <c r="A301" s="54" t="n">
        <v>46318</v>
      </c>
      <c r="B301" s="55" t="n"/>
      <c r="C301" s="55" t="n"/>
      <c r="D301" s="56" t="n"/>
      <c r="E301" s="56" t="n"/>
      <c r="F301" s="55" t="n"/>
      <c r="G301" s="55" t="n"/>
      <c r="H301" s="57" t="n"/>
      <c r="I301" s="57" t="n"/>
      <c r="J301" s="57" t="n"/>
      <c r="K301" s="57" t="n"/>
      <c r="L301" s="55" t="n"/>
      <c r="M301" s="55" t="n"/>
      <c r="N301" s="55" t="n"/>
      <c r="O301" s="55" t="n"/>
      <c r="P301" s="55" t="n"/>
      <c r="Q301" s="55" t="n"/>
      <c r="R301" s="58" t="n"/>
      <c r="S301" s="59">
        <f>IF(OR(tblPlant[[#This Row],[Milled_t]]="",tblPlant[[#This Row],[Head_Grade_gpt]]=""),"",tblPlant[[#This Row],[Milled_t]]*tblPlant[[#This Row],[Head_Grade_gpt]]/cfg_TroyOz)</f>
        <v/>
      </c>
      <c r="T301" s="59">
        <f>IF(OR(tblPlant[[#This Row],[Milled_t]]="",tblPlant[[#This Row],[Tails_Grade_gpt]]=""),"",tblPlant[[#This Row],[Milled_t]]*tblPlant[[#This Row],[Tails_Grade_gpt]]/cfg_TroyOz)</f>
        <v/>
      </c>
      <c r="U301" s="59">
        <f>IF(OR(tblPlant[[#This Row],[Milled_t]]="",tblPlant[[#This Row],[Head_Grade_gpt]]="",tblPlant[[#This Row],[Tails_Grade_gpt]]=""),"",tblPlant[[#This Row],[Feed_oz]]-tblPlant[[#This Row],[Tails_oz]])</f>
        <v/>
      </c>
      <c r="V301" s="60">
        <f>IF(AND(ISNUMBER(tblPlant[[#This Row],[Recovered_oz]]),tblPlant[[#This Row],[Feed_oz]]&gt;0),tblPlant[[#This Row],[Recovered_oz]]/tblPlant[[#This Row],[Feed_oz]],"")</f>
        <v/>
      </c>
      <c r="W301" s="59">
        <f>IF(AND(tblPlant[[#This Row],[Milled_t]]&lt;&gt;"",tblPlant[[#This Row],[Mill_Run_h]]&gt;0),tblPlant[[#This Row],[Milled_t]]/tblPlant[[#This Row],[Mill_Run_h]],"")</f>
        <v/>
      </c>
      <c r="X301" s="60">
        <f>IF(AND(tblPlant[[#This Row],[Mill_Run_h]]="",tblPlant[[#This Row],[Mill_Planned_Maint_h]]="",tblPlant[[#This Row],[Mill_Unplanned_Down_h]]=""),"",(cfg_HoursPerDay-tblPlant[[#This Row],[Mill_Planned_Maint_h]]-tblPlant[[#This Row],[Mill_Unplanned_Down_h]])/cfg_HoursPerDay)</f>
        <v/>
      </c>
      <c r="Y30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2">
      <c r="A302" s="54" t="n">
        <v>46319</v>
      </c>
      <c r="B302" s="55" t="n"/>
      <c r="C302" s="55" t="n"/>
      <c r="D302" s="56" t="n"/>
      <c r="E302" s="56" t="n"/>
      <c r="F302" s="55" t="n"/>
      <c r="G302" s="55" t="n"/>
      <c r="H302" s="57" t="n"/>
      <c r="I302" s="57" t="n"/>
      <c r="J302" s="57" t="n"/>
      <c r="K302" s="57" t="n"/>
      <c r="L302" s="55" t="n"/>
      <c r="M302" s="55" t="n"/>
      <c r="N302" s="55" t="n"/>
      <c r="O302" s="55" t="n"/>
      <c r="P302" s="55" t="n"/>
      <c r="Q302" s="55" t="n"/>
      <c r="R302" s="58" t="n"/>
      <c r="S302" s="59">
        <f>IF(OR(tblPlant[[#This Row],[Milled_t]]="",tblPlant[[#This Row],[Head_Grade_gpt]]=""),"",tblPlant[[#This Row],[Milled_t]]*tblPlant[[#This Row],[Head_Grade_gpt]]/cfg_TroyOz)</f>
        <v/>
      </c>
      <c r="T302" s="59">
        <f>IF(OR(tblPlant[[#This Row],[Milled_t]]="",tblPlant[[#This Row],[Tails_Grade_gpt]]=""),"",tblPlant[[#This Row],[Milled_t]]*tblPlant[[#This Row],[Tails_Grade_gpt]]/cfg_TroyOz)</f>
        <v/>
      </c>
      <c r="U302" s="59">
        <f>IF(OR(tblPlant[[#This Row],[Milled_t]]="",tblPlant[[#This Row],[Head_Grade_gpt]]="",tblPlant[[#This Row],[Tails_Grade_gpt]]=""),"",tblPlant[[#This Row],[Feed_oz]]-tblPlant[[#This Row],[Tails_oz]])</f>
        <v/>
      </c>
      <c r="V302" s="60">
        <f>IF(AND(ISNUMBER(tblPlant[[#This Row],[Recovered_oz]]),tblPlant[[#This Row],[Feed_oz]]&gt;0),tblPlant[[#This Row],[Recovered_oz]]/tblPlant[[#This Row],[Feed_oz]],"")</f>
        <v/>
      </c>
      <c r="W302" s="59">
        <f>IF(AND(tblPlant[[#This Row],[Milled_t]]&lt;&gt;"",tblPlant[[#This Row],[Mill_Run_h]]&gt;0),tblPlant[[#This Row],[Milled_t]]/tblPlant[[#This Row],[Mill_Run_h]],"")</f>
        <v/>
      </c>
      <c r="X302" s="60">
        <f>IF(AND(tblPlant[[#This Row],[Mill_Run_h]]="",tblPlant[[#This Row],[Mill_Planned_Maint_h]]="",tblPlant[[#This Row],[Mill_Unplanned_Down_h]]=""),"",(cfg_HoursPerDay-tblPlant[[#This Row],[Mill_Planned_Maint_h]]-tblPlant[[#This Row],[Mill_Unplanned_Down_h]])/cfg_HoursPerDay)</f>
        <v/>
      </c>
      <c r="Y30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3">
      <c r="A303" s="54" t="n">
        <v>46320</v>
      </c>
      <c r="B303" s="55" t="n"/>
      <c r="C303" s="55" t="n"/>
      <c r="D303" s="56" t="n"/>
      <c r="E303" s="56" t="n"/>
      <c r="F303" s="55" t="n"/>
      <c r="G303" s="55" t="n"/>
      <c r="H303" s="57" t="n"/>
      <c r="I303" s="57" t="n"/>
      <c r="J303" s="57" t="n"/>
      <c r="K303" s="57" t="n"/>
      <c r="L303" s="55" t="n"/>
      <c r="M303" s="55" t="n"/>
      <c r="N303" s="55" t="n"/>
      <c r="O303" s="55" t="n"/>
      <c r="P303" s="55" t="n"/>
      <c r="Q303" s="55" t="n"/>
      <c r="R303" s="58" t="n"/>
      <c r="S303" s="59">
        <f>IF(OR(tblPlant[[#This Row],[Milled_t]]="",tblPlant[[#This Row],[Head_Grade_gpt]]=""),"",tblPlant[[#This Row],[Milled_t]]*tblPlant[[#This Row],[Head_Grade_gpt]]/cfg_TroyOz)</f>
        <v/>
      </c>
      <c r="T303" s="59">
        <f>IF(OR(tblPlant[[#This Row],[Milled_t]]="",tblPlant[[#This Row],[Tails_Grade_gpt]]=""),"",tblPlant[[#This Row],[Milled_t]]*tblPlant[[#This Row],[Tails_Grade_gpt]]/cfg_TroyOz)</f>
        <v/>
      </c>
      <c r="U303" s="59">
        <f>IF(OR(tblPlant[[#This Row],[Milled_t]]="",tblPlant[[#This Row],[Head_Grade_gpt]]="",tblPlant[[#This Row],[Tails_Grade_gpt]]=""),"",tblPlant[[#This Row],[Feed_oz]]-tblPlant[[#This Row],[Tails_oz]])</f>
        <v/>
      </c>
      <c r="V303" s="60">
        <f>IF(AND(ISNUMBER(tblPlant[[#This Row],[Recovered_oz]]),tblPlant[[#This Row],[Feed_oz]]&gt;0),tblPlant[[#This Row],[Recovered_oz]]/tblPlant[[#This Row],[Feed_oz]],"")</f>
        <v/>
      </c>
      <c r="W303" s="59">
        <f>IF(AND(tblPlant[[#This Row],[Milled_t]]&lt;&gt;"",tblPlant[[#This Row],[Mill_Run_h]]&gt;0),tblPlant[[#This Row],[Milled_t]]/tblPlant[[#This Row],[Mill_Run_h]],"")</f>
        <v/>
      </c>
      <c r="X303" s="60">
        <f>IF(AND(tblPlant[[#This Row],[Mill_Run_h]]="",tblPlant[[#This Row],[Mill_Planned_Maint_h]]="",tblPlant[[#This Row],[Mill_Unplanned_Down_h]]=""),"",(cfg_HoursPerDay-tblPlant[[#This Row],[Mill_Planned_Maint_h]]-tblPlant[[#This Row],[Mill_Unplanned_Down_h]])/cfg_HoursPerDay)</f>
        <v/>
      </c>
      <c r="Y30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4">
      <c r="A304" s="54" t="n">
        <v>46321</v>
      </c>
      <c r="B304" s="55" t="n"/>
      <c r="C304" s="55" t="n"/>
      <c r="D304" s="56" t="n"/>
      <c r="E304" s="56" t="n"/>
      <c r="F304" s="55" t="n"/>
      <c r="G304" s="55" t="n"/>
      <c r="H304" s="57" t="n"/>
      <c r="I304" s="57" t="n"/>
      <c r="J304" s="57" t="n"/>
      <c r="K304" s="57" t="n"/>
      <c r="L304" s="55" t="n"/>
      <c r="M304" s="55" t="n"/>
      <c r="N304" s="55" t="n"/>
      <c r="O304" s="55" t="n"/>
      <c r="P304" s="55" t="n"/>
      <c r="Q304" s="55" t="n"/>
      <c r="R304" s="58" t="n"/>
      <c r="S304" s="59">
        <f>IF(OR(tblPlant[[#This Row],[Milled_t]]="",tblPlant[[#This Row],[Head_Grade_gpt]]=""),"",tblPlant[[#This Row],[Milled_t]]*tblPlant[[#This Row],[Head_Grade_gpt]]/cfg_TroyOz)</f>
        <v/>
      </c>
      <c r="T304" s="59">
        <f>IF(OR(tblPlant[[#This Row],[Milled_t]]="",tblPlant[[#This Row],[Tails_Grade_gpt]]=""),"",tblPlant[[#This Row],[Milled_t]]*tblPlant[[#This Row],[Tails_Grade_gpt]]/cfg_TroyOz)</f>
        <v/>
      </c>
      <c r="U304" s="59">
        <f>IF(OR(tblPlant[[#This Row],[Milled_t]]="",tblPlant[[#This Row],[Head_Grade_gpt]]="",tblPlant[[#This Row],[Tails_Grade_gpt]]=""),"",tblPlant[[#This Row],[Feed_oz]]-tblPlant[[#This Row],[Tails_oz]])</f>
        <v/>
      </c>
      <c r="V304" s="60">
        <f>IF(AND(ISNUMBER(tblPlant[[#This Row],[Recovered_oz]]),tblPlant[[#This Row],[Feed_oz]]&gt;0),tblPlant[[#This Row],[Recovered_oz]]/tblPlant[[#This Row],[Feed_oz]],"")</f>
        <v/>
      </c>
      <c r="W304" s="59">
        <f>IF(AND(tblPlant[[#This Row],[Milled_t]]&lt;&gt;"",tblPlant[[#This Row],[Mill_Run_h]]&gt;0),tblPlant[[#This Row],[Milled_t]]/tblPlant[[#This Row],[Mill_Run_h]],"")</f>
        <v/>
      </c>
      <c r="X304" s="60">
        <f>IF(AND(tblPlant[[#This Row],[Mill_Run_h]]="",tblPlant[[#This Row],[Mill_Planned_Maint_h]]="",tblPlant[[#This Row],[Mill_Unplanned_Down_h]]=""),"",(cfg_HoursPerDay-tblPlant[[#This Row],[Mill_Planned_Maint_h]]-tblPlant[[#This Row],[Mill_Unplanned_Down_h]])/cfg_HoursPerDay)</f>
        <v/>
      </c>
      <c r="Y30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5">
      <c r="A305" s="54" t="n">
        <v>46322</v>
      </c>
      <c r="B305" s="55" t="n"/>
      <c r="C305" s="55" t="n"/>
      <c r="D305" s="56" t="n"/>
      <c r="E305" s="56" t="n"/>
      <c r="F305" s="55" t="n"/>
      <c r="G305" s="55" t="n"/>
      <c r="H305" s="57" t="n"/>
      <c r="I305" s="57" t="n"/>
      <c r="J305" s="57" t="n"/>
      <c r="K305" s="57" t="n"/>
      <c r="L305" s="55" t="n"/>
      <c r="M305" s="55" t="n"/>
      <c r="N305" s="55" t="n"/>
      <c r="O305" s="55" t="n"/>
      <c r="P305" s="55" t="n"/>
      <c r="Q305" s="55" t="n"/>
      <c r="R305" s="58" t="n"/>
      <c r="S305" s="59">
        <f>IF(OR(tblPlant[[#This Row],[Milled_t]]="",tblPlant[[#This Row],[Head_Grade_gpt]]=""),"",tblPlant[[#This Row],[Milled_t]]*tblPlant[[#This Row],[Head_Grade_gpt]]/cfg_TroyOz)</f>
        <v/>
      </c>
      <c r="T305" s="59">
        <f>IF(OR(tblPlant[[#This Row],[Milled_t]]="",tblPlant[[#This Row],[Tails_Grade_gpt]]=""),"",tblPlant[[#This Row],[Milled_t]]*tblPlant[[#This Row],[Tails_Grade_gpt]]/cfg_TroyOz)</f>
        <v/>
      </c>
      <c r="U305" s="59">
        <f>IF(OR(tblPlant[[#This Row],[Milled_t]]="",tblPlant[[#This Row],[Head_Grade_gpt]]="",tblPlant[[#This Row],[Tails_Grade_gpt]]=""),"",tblPlant[[#This Row],[Feed_oz]]-tblPlant[[#This Row],[Tails_oz]])</f>
        <v/>
      </c>
      <c r="V305" s="60">
        <f>IF(AND(ISNUMBER(tblPlant[[#This Row],[Recovered_oz]]),tblPlant[[#This Row],[Feed_oz]]&gt;0),tblPlant[[#This Row],[Recovered_oz]]/tblPlant[[#This Row],[Feed_oz]],"")</f>
        <v/>
      </c>
      <c r="W305" s="59">
        <f>IF(AND(tblPlant[[#This Row],[Milled_t]]&lt;&gt;"",tblPlant[[#This Row],[Mill_Run_h]]&gt;0),tblPlant[[#This Row],[Milled_t]]/tblPlant[[#This Row],[Mill_Run_h]],"")</f>
        <v/>
      </c>
      <c r="X305" s="60">
        <f>IF(AND(tblPlant[[#This Row],[Mill_Run_h]]="",tblPlant[[#This Row],[Mill_Planned_Maint_h]]="",tblPlant[[#This Row],[Mill_Unplanned_Down_h]]=""),"",(cfg_HoursPerDay-tblPlant[[#This Row],[Mill_Planned_Maint_h]]-tblPlant[[#This Row],[Mill_Unplanned_Down_h]])/cfg_HoursPerDay)</f>
        <v/>
      </c>
      <c r="Y30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6">
      <c r="A306" s="54" t="n">
        <v>46323</v>
      </c>
      <c r="B306" s="55" t="n"/>
      <c r="C306" s="55" t="n"/>
      <c r="D306" s="56" t="n"/>
      <c r="E306" s="56" t="n"/>
      <c r="F306" s="55" t="n"/>
      <c r="G306" s="55" t="n"/>
      <c r="H306" s="57" t="n"/>
      <c r="I306" s="57" t="n"/>
      <c r="J306" s="57" t="n"/>
      <c r="K306" s="57" t="n"/>
      <c r="L306" s="55" t="n"/>
      <c r="M306" s="55" t="n"/>
      <c r="N306" s="55" t="n"/>
      <c r="O306" s="55" t="n"/>
      <c r="P306" s="55" t="n"/>
      <c r="Q306" s="55" t="n"/>
      <c r="R306" s="58" t="n"/>
      <c r="S306" s="59">
        <f>IF(OR(tblPlant[[#This Row],[Milled_t]]="",tblPlant[[#This Row],[Head_Grade_gpt]]=""),"",tblPlant[[#This Row],[Milled_t]]*tblPlant[[#This Row],[Head_Grade_gpt]]/cfg_TroyOz)</f>
        <v/>
      </c>
      <c r="T306" s="59">
        <f>IF(OR(tblPlant[[#This Row],[Milled_t]]="",tblPlant[[#This Row],[Tails_Grade_gpt]]=""),"",tblPlant[[#This Row],[Milled_t]]*tblPlant[[#This Row],[Tails_Grade_gpt]]/cfg_TroyOz)</f>
        <v/>
      </c>
      <c r="U306" s="59">
        <f>IF(OR(tblPlant[[#This Row],[Milled_t]]="",tblPlant[[#This Row],[Head_Grade_gpt]]="",tblPlant[[#This Row],[Tails_Grade_gpt]]=""),"",tblPlant[[#This Row],[Feed_oz]]-tblPlant[[#This Row],[Tails_oz]])</f>
        <v/>
      </c>
      <c r="V306" s="60">
        <f>IF(AND(ISNUMBER(tblPlant[[#This Row],[Recovered_oz]]),tblPlant[[#This Row],[Feed_oz]]&gt;0),tblPlant[[#This Row],[Recovered_oz]]/tblPlant[[#This Row],[Feed_oz]],"")</f>
        <v/>
      </c>
      <c r="W306" s="59">
        <f>IF(AND(tblPlant[[#This Row],[Milled_t]]&lt;&gt;"",tblPlant[[#This Row],[Mill_Run_h]]&gt;0),tblPlant[[#This Row],[Milled_t]]/tblPlant[[#This Row],[Mill_Run_h]],"")</f>
        <v/>
      </c>
      <c r="X306" s="60">
        <f>IF(AND(tblPlant[[#This Row],[Mill_Run_h]]="",tblPlant[[#This Row],[Mill_Planned_Maint_h]]="",tblPlant[[#This Row],[Mill_Unplanned_Down_h]]=""),"",(cfg_HoursPerDay-tblPlant[[#This Row],[Mill_Planned_Maint_h]]-tblPlant[[#This Row],[Mill_Unplanned_Down_h]])/cfg_HoursPerDay)</f>
        <v/>
      </c>
      <c r="Y30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7">
      <c r="A307" s="54" t="n">
        <v>46324</v>
      </c>
      <c r="B307" s="55" t="n"/>
      <c r="C307" s="55" t="n"/>
      <c r="D307" s="56" t="n"/>
      <c r="E307" s="56" t="n"/>
      <c r="F307" s="55" t="n"/>
      <c r="G307" s="55" t="n"/>
      <c r="H307" s="57" t="n"/>
      <c r="I307" s="57" t="n"/>
      <c r="J307" s="57" t="n"/>
      <c r="K307" s="57" t="n"/>
      <c r="L307" s="55" t="n"/>
      <c r="M307" s="55" t="n"/>
      <c r="N307" s="55" t="n"/>
      <c r="O307" s="55" t="n"/>
      <c r="P307" s="55" t="n"/>
      <c r="Q307" s="55" t="n"/>
      <c r="R307" s="58" t="n"/>
      <c r="S307" s="59">
        <f>IF(OR(tblPlant[[#This Row],[Milled_t]]="",tblPlant[[#This Row],[Head_Grade_gpt]]=""),"",tblPlant[[#This Row],[Milled_t]]*tblPlant[[#This Row],[Head_Grade_gpt]]/cfg_TroyOz)</f>
        <v/>
      </c>
      <c r="T307" s="59">
        <f>IF(OR(tblPlant[[#This Row],[Milled_t]]="",tblPlant[[#This Row],[Tails_Grade_gpt]]=""),"",tblPlant[[#This Row],[Milled_t]]*tblPlant[[#This Row],[Tails_Grade_gpt]]/cfg_TroyOz)</f>
        <v/>
      </c>
      <c r="U307" s="59">
        <f>IF(OR(tblPlant[[#This Row],[Milled_t]]="",tblPlant[[#This Row],[Head_Grade_gpt]]="",tblPlant[[#This Row],[Tails_Grade_gpt]]=""),"",tblPlant[[#This Row],[Feed_oz]]-tblPlant[[#This Row],[Tails_oz]])</f>
        <v/>
      </c>
      <c r="V307" s="60">
        <f>IF(AND(ISNUMBER(tblPlant[[#This Row],[Recovered_oz]]),tblPlant[[#This Row],[Feed_oz]]&gt;0),tblPlant[[#This Row],[Recovered_oz]]/tblPlant[[#This Row],[Feed_oz]],"")</f>
        <v/>
      </c>
      <c r="W307" s="59">
        <f>IF(AND(tblPlant[[#This Row],[Milled_t]]&lt;&gt;"",tblPlant[[#This Row],[Mill_Run_h]]&gt;0),tblPlant[[#This Row],[Milled_t]]/tblPlant[[#This Row],[Mill_Run_h]],"")</f>
        <v/>
      </c>
      <c r="X307" s="60">
        <f>IF(AND(tblPlant[[#This Row],[Mill_Run_h]]="",tblPlant[[#This Row],[Mill_Planned_Maint_h]]="",tblPlant[[#This Row],[Mill_Unplanned_Down_h]]=""),"",(cfg_HoursPerDay-tblPlant[[#This Row],[Mill_Planned_Maint_h]]-tblPlant[[#This Row],[Mill_Unplanned_Down_h]])/cfg_HoursPerDay)</f>
        <v/>
      </c>
      <c r="Y30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8">
      <c r="A308" s="54" t="n">
        <v>46325</v>
      </c>
      <c r="B308" s="55" t="n"/>
      <c r="C308" s="55" t="n"/>
      <c r="D308" s="56" t="n"/>
      <c r="E308" s="56" t="n"/>
      <c r="F308" s="55" t="n"/>
      <c r="G308" s="55" t="n"/>
      <c r="H308" s="57" t="n"/>
      <c r="I308" s="57" t="n"/>
      <c r="J308" s="57" t="n"/>
      <c r="K308" s="57" t="n"/>
      <c r="L308" s="55" t="n"/>
      <c r="M308" s="55" t="n"/>
      <c r="N308" s="55" t="n"/>
      <c r="O308" s="55" t="n"/>
      <c r="P308" s="55" t="n"/>
      <c r="Q308" s="55" t="n"/>
      <c r="R308" s="58" t="n"/>
      <c r="S308" s="59">
        <f>IF(OR(tblPlant[[#This Row],[Milled_t]]="",tblPlant[[#This Row],[Head_Grade_gpt]]=""),"",tblPlant[[#This Row],[Milled_t]]*tblPlant[[#This Row],[Head_Grade_gpt]]/cfg_TroyOz)</f>
        <v/>
      </c>
      <c r="T308" s="59">
        <f>IF(OR(tblPlant[[#This Row],[Milled_t]]="",tblPlant[[#This Row],[Tails_Grade_gpt]]=""),"",tblPlant[[#This Row],[Milled_t]]*tblPlant[[#This Row],[Tails_Grade_gpt]]/cfg_TroyOz)</f>
        <v/>
      </c>
      <c r="U308" s="59">
        <f>IF(OR(tblPlant[[#This Row],[Milled_t]]="",tblPlant[[#This Row],[Head_Grade_gpt]]="",tblPlant[[#This Row],[Tails_Grade_gpt]]=""),"",tblPlant[[#This Row],[Feed_oz]]-tblPlant[[#This Row],[Tails_oz]])</f>
        <v/>
      </c>
      <c r="V308" s="60">
        <f>IF(AND(ISNUMBER(tblPlant[[#This Row],[Recovered_oz]]),tblPlant[[#This Row],[Feed_oz]]&gt;0),tblPlant[[#This Row],[Recovered_oz]]/tblPlant[[#This Row],[Feed_oz]],"")</f>
        <v/>
      </c>
      <c r="W308" s="59">
        <f>IF(AND(tblPlant[[#This Row],[Milled_t]]&lt;&gt;"",tblPlant[[#This Row],[Mill_Run_h]]&gt;0),tblPlant[[#This Row],[Milled_t]]/tblPlant[[#This Row],[Mill_Run_h]],"")</f>
        <v/>
      </c>
      <c r="X308" s="60">
        <f>IF(AND(tblPlant[[#This Row],[Mill_Run_h]]="",tblPlant[[#This Row],[Mill_Planned_Maint_h]]="",tblPlant[[#This Row],[Mill_Unplanned_Down_h]]=""),"",(cfg_HoursPerDay-tblPlant[[#This Row],[Mill_Planned_Maint_h]]-tblPlant[[#This Row],[Mill_Unplanned_Down_h]])/cfg_HoursPerDay)</f>
        <v/>
      </c>
      <c r="Y30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09">
      <c r="A309" s="54" t="n">
        <v>46326</v>
      </c>
      <c r="B309" s="55" t="n"/>
      <c r="C309" s="55" t="n"/>
      <c r="D309" s="56" t="n"/>
      <c r="E309" s="56" t="n"/>
      <c r="F309" s="55" t="n"/>
      <c r="G309" s="55" t="n"/>
      <c r="H309" s="57" t="n"/>
      <c r="I309" s="57" t="n"/>
      <c r="J309" s="57" t="n"/>
      <c r="K309" s="57" t="n"/>
      <c r="L309" s="55" t="n"/>
      <c r="M309" s="55" t="n"/>
      <c r="N309" s="55" t="n"/>
      <c r="O309" s="55" t="n"/>
      <c r="P309" s="55" t="n"/>
      <c r="Q309" s="55" t="n"/>
      <c r="R309" s="58" t="n"/>
      <c r="S309" s="59">
        <f>IF(OR(tblPlant[[#This Row],[Milled_t]]="",tblPlant[[#This Row],[Head_Grade_gpt]]=""),"",tblPlant[[#This Row],[Milled_t]]*tblPlant[[#This Row],[Head_Grade_gpt]]/cfg_TroyOz)</f>
        <v/>
      </c>
      <c r="T309" s="59">
        <f>IF(OR(tblPlant[[#This Row],[Milled_t]]="",tblPlant[[#This Row],[Tails_Grade_gpt]]=""),"",tblPlant[[#This Row],[Milled_t]]*tblPlant[[#This Row],[Tails_Grade_gpt]]/cfg_TroyOz)</f>
        <v/>
      </c>
      <c r="U309" s="59">
        <f>IF(OR(tblPlant[[#This Row],[Milled_t]]="",tblPlant[[#This Row],[Head_Grade_gpt]]="",tblPlant[[#This Row],[Tails_Grade_gpt]]=""),"",tblPlant[[#This Row],[Feed_oz]]-tblPlant[[#This Row],[Tails_oz]])</f>
        <v/>
      </c>
      <c r="V309" s="60">
        <f>IF(AND(ISNUMBER(tblPlant[[#This Row],[Recovered_oz]]),tblPlant[[#This Row],[Feed_oz]]&gt;0),tblPlant[[#This Row],[Recovered_oz]]/tblPlant[[#This Row],[Feed_oz]],"")</f>
        <v/>
      </c>
      <c r="W309" s="59">
        <f>IF(AND(tblPlant[[#This Row],[Milled_t]]&lt;&gt;"",tblPlant[[#This Row],[Mill_Run_h]]&gt;0),tblPlant[[#This Row],[Milled_t]]/tblPlant[[#This Row],[Mill_Run_h]],"")</f>
        <v/>
      </c>
      <c r="X309" s="60">
        <f>IF(AND(tblPlant[[#This Row],[Mill_Run_h]]="",tblPlant[[#This Row],[Mill_Planned_Maint_h]]="",tblPlant[[#This Row],[Mill_Unplanned_Down_h]]=""),"",(cfg_HoursPerDay-tblPlant[[#This Row],[Mill_Planned_Maint_h]]-tblPlant[[#This Row],[Mill_Unplanned_Down_h]])/cfg_HoursPerDay)</f>
        <v/>
      </c>
      <c r="Y30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0">
      <c r="A310" s="54" t="n">
        <v>46327</v>
      </c>
      <c r="B310" s="55" t="n"/>
      <c r="C310" s="55" t="n"/>
      <c r="D310" s="56" t="n"/>
      <c r="E310" s="56" t="n"/>
      <c r="F310" s="55" t="n"/>
      <c r="G310" s="55" t="n"/>
      <c r="H310" s="57" t="n"/>
      <c r="I310" s="57" t="n"/>
      <c r="J310" s="57" t="n"/>
      <c r="K310" s="57" t="n"/>
      <c r="L310" s="55" t="n"/>
      <c r="M310" s="55" t="n"/>
      <c r="N310" s="55" t="n"/>
      <c r="O310" s="55" t="n"/>
      <c r="P310" s="55" t="n"/>
      <c r="Q310" s="55" t="n"/>
      <c r="R310" s="58" t="n"/>
      <c r="S310" s="59">
        <f>IF(OR(tblPlant[[#This Row],[Milled_t]]="",tblPlant[[#This Row],[Head_Grade_gpt]]=""),"",tblPlant[[#This Row],[Milled_t]]*tblPlant[[#This Row],[Head_Grade_gpt]]/cfg_TroyOz)</f>
        <v/>
      </c>
      <c r="T310" s="59">
        <f>IF(OR(tblPlant[[#This Row],[Milled_t]]="",tblPlant[[#This Row],[Tails_Grade_gpt]]=""),"",tblPlant[[#This Row],[Milled_t]]*tblPlant[[#This Row],[Tails_Grade_gpt]]/cfg_TroyOz)</f>
        <v/>
      </c>
      <c r="U310" s="59">
        <f>IF(OR(tblPlant[[#This Row],[Milled_t]]="",tblPlant[[#This Row],[Head_Grade_gpt]]="",tblPlant[[#This Row],[Tails_Grade_gpt]]=""),"",tblPlant[[#This Row],[Feed_oz]]-tblPlant[[#This Row],[Tails_oz]])</f>
        <v/>
      </c>
      <c r="V310" s="60">
        <f>IF(AND(ISNUMBER(tblPlant[[#This Row],[Recovered_oz]]),tblPlant[[#This Row],[Feed_oz]]&gt;0),tblPlant[[#This Row],[Recovered_oz]]/tblPlant[[#This Row],[Feed_oz]],"")</f>
        <v/>
      </c>
      <c r="W310" s="59">
        <f>IF(AND(tblPlant[[#This Row],[Milled_t]]&lt;&gt;"",tblPlant[[#This Row],[Mill_Run_h]]&gt;0),tblPlant[[#This Row],[Milled_t]]/tblPlant[[#This Row],[Mill_Run_h]],"")</f>
        <v/>
      </c>
      <c r="X310" s="60">
        <f>IF(AND(tblPlant[[#This Row],[Mill_Run_h]]="",tblPlant[[#This Row],[Mill_Planned_Maint_h]]="",tblPlant[[#This Row],[Mill_Unplanned_Down_h]]=""),"",(cfg_HoursPerDay-tblPlant[[#This Row],[Mill_Planned_Maint_h]]-tblPlant[[#This Row],[Mill_Unplanned_Down_h]])/cfg_HoursPerDay)</f>
        <v/>
      </c>
      <c r="Y31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1">
      <c r="A311" s="54" t="n">
        <v>46328</v>
      </c>
      <c r="B311" s="55" t="n"/>
      <c r="C311" s="55" t="n"/>
      <c r="D311" s="56" t="n"/>
      <c r="E311" s="56" t="n"/>
      <c r="F311" s="55" t="n"/>
      <c r="G311" s="55" t="n"/>
      <c r="H311" s="57" t="n"/>
      <c r="I311" s="57" t="n"/>
      <c r="J311" s="57" t="n"/>
      <c r="K311" s="57" t="n"/>
      <c r="L311" s="55" t="n"/>
      <c r="M311" s="55" t="n"/>
      <c r="N311" s="55" t="n"/>
      <c r="O311" s="55" t="n"/>
      <c r="P311" s="55" t="n"/>
      <c r="Q311" s="55" t="n"/>
      <c r="R311" s="58" t="n"/>
      <c r="S311" s="59">
        <f>IF(OR(tblPlant[[#This Row],[Milled_t]]="",tblPlant[[#This Row],[Head_Grade_gpt]]=""),"",tblPlant[[#This Row],[Milled_t]]*tblPlant[[#This Row],[Head_Grade_gpt]]/cfg_TroyOz)</f>
        <v/>
      </c>
      <c r="T311" s="59">
        <f>IF(OR(tblPlant[[#This Row],[Milled_t]]="",tblPlant[[#This Row],[Tails_Grade_gpt]]=""),"",tblPlant[[#This Row],[Milled_t]]*tblPlant[[#This Row],[Tails_Grade_gpt]]/cfg_TroyOz)</f>
        <v/>
      </c>
      <c r="U311" s="59">
        <f>IF(OR(tblPlant[[#This Row],[Milled_t]]="",tblPlant[[#This Row],[Head_Grade_gpt]]="",tblPlant[[#This Row],[Tails_Grade_gpt]]=""),"",tblPlant[[#This Row],[Feed_oz]]-tblPlant[[#This Row],[Tails_oz]])</f>
        <v/>
      </c>
      <c r="V311" s="60">
        <f>IF(AND(ISNUMBER(tblPlant[[#This Row],[Recovered_oz]]),tblPlant[[#This Row],[Feed_oz]]&gt;0),tblPlant[[#This Row],[Recovered_oz]]/tblPlant[[#This Row],[Feed_oz]],"")</f>
        <v/>
      </c>
      <c r="W311" s="59">
        <f>IF(AND(tblPlant[[#This Row],[Milled_t]]&lt;&gt;"",tblPlant[[#This Row],[Mill_Run_h]]&gt;0),tblPlant[[#This Row],[Milled_t]]/tblPlant[[#This Row],[Mill_Run_h]],"")</f>
        <v/>
      </c>
      <c r="X311" s="60">
        <f>IF(AND(tblPlant[[#This Row],[Mill_Run_h]]="",tblPlant[[#This Row],[Mill_Planned_Maint_h]]="",tblPlant[[#This Row],[Mill_Unplanned_Down_h]]=""),"",(cfg_HoursPerDay-tblPlant[[#This Row],[Mill_Planned_Maint_h]]-tblPlant[[#This Row],[Mill_Unplanned_Down_h]])/cfg_HoursPerDay)</f>
        <v/>
      </c>
      <c r="Y31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2">
      <c r="A312" s="54" t="n">
        <v>46329</v>
      </c>
      <c r="B312" s="55" t="n"/>
      <c r="C312" s="55" t="n"/>
      <c r="D312" s="56" t="n"/>
      <c r="E312" s="56" t="n"/>
      <c r="F312" s="55" t="n"/>
      <c r="G312" s="55" t="n"/>
      <c r="H312" s="57" t="n"/>
      <c r="I312" s="57" t="n"/>
      <c r="J312" s="57" t="n"/>
      <c r="K312" s="57" t="n"/>
      <c r="L312" s="55" t="n"/>
      <c r="M312" s="55" t="n"/>
      <c r="N312" s="55" t="n"/>
      <c r="O312" s="55" t="n"/>
      <c r="P312" s="55" t="n"/>
      <c r="Q312" s="55" t="n"/>
      <c r="R312" s="58" t="n"/>
      <c r="S312" s="59">
        <f>IF(OR(tblPlant[[#This Row],[Milled_t]]="",tblPlant[[#This Row],[Head_Grade_gpt]]=""),"",tblPlant[[#This Row],[Milled_t]]*tblPlant[[#This Row],[Head_Grade_gpt]]/cfg_TroyOz)</f>
        <v/>
      </c>
      <c r="T312" s="59">
        <f>IF(OR(tblPlant[[#This Row],[Milled_t]]="",tblPlant[[#This Row],[Tails_Grade_gpt]]=""),"",tblPlant[[#This Row],[Milled_t]]*tblPlant[[#This Row],[Tails_Grade_gpt]]/cfg_TroyOz)</f>
        <v/>
      </c>
      <c r="U312" s="59">
        <f>IF(OR(tblPlant[[#This Row],[Milled_t]]="",tblPlant[[#This Row],[Head_Grade_gpt]]="",tblPlant[[#This Row],[Tails_Grade_gpt]]=""),"",tblPlant[[#This Row],[Feed_oz]]-tblPlant[[#This Row],[Tails_oz]])</f>
        <v/>
      </c>
      <c r="V312" s="60">
        <f>IF(AND(ISNUMBER(tblPlant[[#This Row],[Recovered_oz]]),tblPlant[[#This Row],[Feed_oz]]&gt;0),tblPlant[[#This Row],[Recovered_oz]]/tblPlant[[#This Row],[Feed_oz]],"")</f>
        <v/>
      </c>
      <c r="W312" s="59">
        <f>IF(AND(tblPlant[[#This Row],[Milled_t]]&lt;&gt;"",tblPlant[[#This Row],[Mill_Run_h]]&gt;0),tblPlant[[#This Row],[Milled_t]]/tblPlant[[#This Row],[Mill_Run_h]],"")</f>
        <v/>
      </c>
      <c r="X312" s="60">
        <f>IF(AND(tblPlant[[#This Row],[Mill_Run_h]]="",tblPlant[[#This Row],[Mill_Planned_Maint_h]]="",tblPlant[[#This Row],[Mill_Unplanned_Down_h]]=""),"",(cfg_HoursPerDay-tblPlant[[#This Row],[Mill_Planned_Maint_h]]-tblPlant[[#This Row],[Mill_Unplanned_Down_h]])/cfg_HoursPerDay)</f>
        <v/>
      </c>
      <c r="Y31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3">
      <c r="A313" s="54" t="n">
        <v>46330</v>
      </c>
      <c r="B313" s="55" t="n"/>
      <c r="C313" s="55" t="n"/>
      <c r="D313" s="56" t="n"/>
      <c r="E313" s="56" t="n"/>
      <c r="F313" s="55" t="n"/>
      <c r="G313" s="55" t="n"/>
      <c r="H313" s="57" t="n"/>
      <c r="I313" s="57" t="n"/>
      <c r="J313" s="57" t="n"/>
      <c r="K313" s="57" t="n"/>
      <c r="L313" s="55" t="n"/>
      <c r="M313" s="55" t="n"/>
      <c r="N313" s="55" t="n"/>
      <c r="O313" s="55" t="n"/>
      <c r="P313" s="55" t="n"/>
      <c r="Q313" s="55" t="n"/>
      <c r="R313" s="58" t="n"/>
      <c r="S313" s="59">
        <f>IF(OR(tblPlant[[#This Row],[Milled_t]]="",tblPlant[[#This Row],[Head_Grade_gpt]]=""),"",tblPlant[[#This Row],[Milled_t]]*tblPlant[[#This Row],[Head_Grade_gpt]]/cfg_TroyOz)</f>
        <v/>
      </c>
      <c r="T313" s="59">
        <f>IF(OR(tblPlant[[#This Row],[Milled_t]]="",tblPlant[[#This Row],[Tails_Grade_gpt]]=""),"",tblPlant[[#This Row],[Milled_t]]*tblPlant[[#This Row],[Tails_Grade_gpt]]/cfg_TroyOz)</f>
        <v/>
      </c>
      <c r="U313" s="59">
        <f>IF(OR(tblPlant[[#This Row],[Milled_t]]="",tblPlant[[#This Row],[Head_Grade_gpt]]="",tblPlant[[#This Row],[Tails_Grade_gpt]]=""),"",tblPlant[[#This Row],[Feed_oz]]-tblPlant[[#This Row],[Tails_oz]])</f>
        <v/>
      </c>
      <c r="V313" s="60">
        <f>IF(AND(ISNUMBER(tblPlant[[#This Row],[Recovered_oz]]),tblPlant[[#This Row],[Feed_oz]]&gt;0),tblPlant[[#This Row],[Recovered_oz]]/tblPlant[[#This Row],[Feed_oz]],"")</f>
        <v/>
      </c>
      <c r="W313" s="59">
        <f>IF(AND(tblPlant[[#This Row],[Milled_t]]&lt;&gt;"",tblPlant[[#This Row],[Mill_Run_h]]&gt;0),tblPlant[[#This Row],[Milled_t]]/tblPlant[[#This Row],[Mill_Run_h]],"")</f>
        <v/>
      </c>
      <c r="X313" s="60">
        <f>IF(AND(tblPlant[[#This Row],[Mill_Run_h]]="",tblPlant[[#This Row],[Mill_Planned_Maint_h]]="",tblPlant[[#This Row],[Mill_Unplanned_Down_h]]=""),"",(cfg_HoursPerDay-tblPlant[[#This Row],[Mill_Planned_Maint_h]]-tblPlant[[#This Row],[Mill_Unplanned_Down_h]])/cfg_HoursPerDay)</f>
        <v/>
      </c>
      <c r="Y31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4">
      <c r="A314" s="54" t="n">
        <v>46331</v>
      </c>
      <c r="B314" s="55" t="n"/>
      <c r="C314" s="55" t="n"/>
      <c r="D314" s="56" t="n"/>
      <c r="E314" s="56" t="n"/>
      <c r="F314" s="55" t="n"/>
      <c r="G314" s="55" t="n"/>
      <c r="H314" s="57" t="n"/>
      <c r="I314" s="57" t="n"/>
      <c r="J314" s="57" t="n"/>
      <c r="K314" s="57" t="n"/>
      <c r="L314" s="55" t="n"/>
      <c r="M314" s="55" t="n"/>
      <c r="N314" s="55" t="n"/>
      <c r="O314" s="55" t="n"/>
      <c r="P314" s="55" t="n"/>
      <c r="Q314" s="55" t="n"/>
      <c r="R314" s="58" t="n"/>
      <c r="S314" s="59">
        <f>IF(OR(tblPlant[[#This Row],[Milled_t]]="",tblPlant[[#This Row],[Head_Grade_gpt]]=""),"",tblPlant[[#This Row],[Milled_t]]*tblPlant[[#This Row],[Head_Grade_gpt]]/cfg_TroyOz)</f>
        <v/>
      </c>
      <c r="T314" s="59">
        <f>IF(OR(tblPlant[[#This Row],[Milled_t]]="",tblPlant[[#This Row],[Tails_Grade_gpt]]=""),"",tblPlant[[#This Row],[Milled_t]]*tblPlant[[#This Row],[Tails_Grade_gpt]]/cfg_TroyOz)</f>
        <v/>
      </c>
      <c r="U314" s="59">
        <f>IF(OR(tblPlant[[#This Row],[Milled_t]]="",tblPlant[[#This Row],[Head_Grade_gpt]]="",tblPlant[[#This Row],[Tails_Grade_gpt]]=""),"",tblPlant[[#This Row],[Feed_oz]]-tblPlant[[#This Row],[Tails_oz]])</f>
        <v/>
      </c>
      <c r="V314" s="60">
        <f>IF(AND(ISNUMBER(tblPlant[[#This Row],[Recovered_oz]]),tblPlant[[#This Row],[Feed_oz]]&gt;0),tblPlant[[#This Row],[Recovered_oz]]/tblPlant[[#This Row],[Feed_oz]],"")</f>
        <v/>
      </c>
      <c r="W314" s="59">
        <f>IF(AND(tblPlant[[#This Row],[Milled_t]]&lt;&gt;"",tblPlant[[#This Row],[Mill_Run_h]]&gt;0),tblPlant[[#This Row],[Milled_t]]/tblPlant[[#This Row],[Mill_Run_h]],"")</f>
        <v/>
      </c>
      <c r="X314" s="60">
        <f>IF(AND(tblPlant[[#This Row],[Mill_Run_h]]="",tblPlant[[#This Row],[Mill_Planned_Maint_h]]="",tblPlant[[#This Row],[Mill_Unplanned_Down_h]]=""),"",(cfg_HoursPerDay-tblPlant[[#This Row],[Mill_Planned_Maint_h]]-tblPlant[[#This Row],[Mill_Unplanned_Down_h]])/cfg_HoursPerDay)</f>
        <v/>
      </c>
      <c r="Y31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5">
      <c r="A315" s="54" t="n">
        <v>46332</v>
      </c>
      <c r="B315" s="55" t="n"/>
      <c r="C315" s="55" t="n"/>
      <c r="D315" s="56" t="n"/>
      <c r="E315" s="56" t="n"/>
      <c r="F315" s="55" t="n"/>
      <c r="G315" s="55" t="n"/>
      <c r="H315" s="57" t="n"/>
      <c r="I315" s="57" t="n"/>
      <c r="J315" s="57" t="n"/>
      <c r="K315" s="57" t="n"/>
      <c r="L315" s="55" t="n"/>
      <c r="M315" s="55" t="n"/>
      <c r="N315" s="55" t="n"/>
      <c r="O315" s="55" t="n"/>
      <c r="P315" s="55" t="n"/>
      <c r="Q315" s="55" t="n"/>
      <c r="R315" s="58" t="n"/>
      <c r="S315" s="59">
        <f>IF(OR(tblPlant[[#This Row],[Milled_t]]="",tblPlant[[#This Row],[Head_Grade_gpt]]=""),"",tblPlant[[#This Row],[Milled_t]]*tblPlant[[#This Row],[Head_Grade_gpt]]/cfg_TroyOz)</f>
        <v/>
      </c>
      <c r="T315" s="59">
        <f>IF(OR(tblPlant[[#This Row],[Milled_t]]="",tblPlant[[#This Row],[Tails_Grade_gpt]]=""),"",tblPlant[[#This Row],[Milled_t]]*tblPlant[[#This Row],[Tails_Grade_gpt]]/cfg_TroyOz)</f>
        <v/>
      </c>
      <c r="U315" s="59">
        <f>IF(OR(tblPlant[[#This Row],[Milled_t]]="",tblPlant[[#This Row],[Head_Grade_gpt]]="",tblPlant[[#This Row],[Tails_Grade_gpt]]=""),"",tblPlant[[#This Row],[Feed_oz]]-tblPlant[[#This Row],[Tails_oz]])</f>
        <v/>
      </c>
      <c r="V315" s="60">
        <f>IF(AND(ISNUMBER(tblPlant[[#This Row],[Recovered_oz]]),tblPlant[[#This Row],[Feed_oz]]&gt;0),tblPlant[[#This Row],[Recovered_oz]]/tblPlant[[#This Row],[Feed_oz]],"")</f>
        <v/>
      </c>
      <c r="W315" s="59">
        <f>IF(AND(tblPlant[[#This Row],[Milled_t]]&lt;&gt;"",tblPlant[[#This Row],[Mill_Run_h]]&gt;0),tblPlant[[#This Row],[Milled_t]]/tblPlant[[#This Row],[Mill_Run_h]],"")</f>
        <v/>
      </c>
      <c r="X315" s="60">
        <f>IF(AND(tblPlant[[#This Row],[Mill_Run_h]]="",tblPlant[[#This Row],[Mill_Planned_Maint_h]]="",tblPlant[[#This Row],[Mill_Unplanned_Down_h]]=""),"",(cfg_HoursPerDay-tblPlant[[#This Row],[Mill_Planned_Maint_h]]-tblPlant[[#This Row],[Mill_Unplanned_Down_h]])/cfg_HoursPerDay)</f>
        <v/>
      </c>
      <c r="Y31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6">
      <c r="A316" s="54" t="n">
        <v>46333</v>
      </c>
      <c r="B316" s="55" t="n"/>
      <c r="C316" s="55" t="n"/>
      <c r="D316" s="56" t="n"/>
      <c r="E316" s="56" t="n"/>
      <c r="F316" s="55" t="n"/>
      <c r="G316" s="55" t="n"/>
      <c r="H316" s="57" t="n"/>
      <c r="I316" s="57" t="n"/>
      <c r="J316" s="57" t="n"/>
      <c r="K316" s="57" t="n"/>
      <c r="L316" s="55" t="n"/>
      <c r="M316" s="55" t="n"/>
      <c r="N316" s="55" t="n"/>
      <c r="O316" s="55" t="n"/>
      <c r="P316" s="55" t="n"/>
      <c r="Q316" s="55" t="n"/>
      <c r="R316" s="58" t="n"/>
      <c r="S316" s="59">
        <f>IF(OR(tblPlant[[#This Row],[Milled_t]]="",tblPlant[[#This Row],[Head_Grade_gpt]]=""),"",tblPlant[[#This Row],[Milled_t]]*tblPlant[[#This Row],[Head_Grade_gpt]]/cfg_TroyOz)</f>
        <v/>
      </c>
      <c r="T316" s="59">
        <f>IF(OR(tblPlant[[#This Row],[Milled_t]]="",tblPlant[[#This Row],[Tails_Grade_gpt]]=""),"",tblPlant[[#This Row],[Milled_t]]*tblPlant[[#This Row],[Tails_Grade_gpt]]/cfg_TroyOz)</f>
        <v/>
      </c>
      <c r="U316" s="59">
        <f>IF(OR(tblPlant[[#This Row],[Milled_t]]="",tblPlant[[#This Row],[Head_Grade_gpt]]="",tblPlant[[#This Row],[Tails_Grade_gpt]]=""),"",tblPlant[[#This Row],[Feed_oz]]-tblPlant[[#This Row],[Tails_oz]])</f>
        <v/>
      </c>
      <c r="V316" s="60">
        <f>IF(AND(ISNUMBER(tblPlant[[#This Row],[Recovered_oz]]),tblPlant[[#This Row],[Feed_oz]]&gt;0),tblPlant[[#This Row],[Recovered_oz]]/tblPlant[[#This Row],[Feed_oz]],"")</f>
        <v/>
      </c>
      <c r="W316" s="59">
        <f>IF(AND(tblPlant[[#This Row],[Milled_t]]&lt;&gt;"",tblPlant[[#This Row],[Mill_Run_h]]&gt;0),tblPlant[[#This Row],[Milled_t]]/tblPlant[[#This Row],[Mill_Run_h]],"")</f>
        <v/>
      </c>
      <c r="X316" s="60">
        <f>IF(AND(tblPlant[[#This Row],[Mill_Run_h]]="",tblPlant[[#This Row],[Mill_Planned_Maint_h]]="",tblPlant[[#This Row],[Mill_Unplanned_Down_h]]=""),"",(cfg_HoursPerDay-tblPlant[[#This Row],[Mill_Planned_Maint_h]]-tblPlant[[#This Row],[Mill_Unplanned_Down_h]])/cfg_HoursPerDay)</f>
        <v/>
      </c>
      <c r="Y31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7">
      <c r="A317" s="54" t="n">
        <v>46334</v>
      </c>
      <c r="B317" s="55" t="n"/>
      <c r="C317" s="55" t="n"/>
      <c r="D317" s="56" t="n"/>
      <c r="E317" s="56" t="n"/>
      <c r="F317" s="55" t="n"/>
      <c r="G317" s="55" t="n"/>
      <c r="H317" s="57" t="n"/>
      <c r="I317" s="57" t="n"/>
      <c r="J317" s="57" t="n"/>
      <c r="K317" s="57" t="n"/>
      <c r="L317" s="55" t="n"/>
      <c r="M317" s="55" t="n"/>
      <c r="N317" s="55" t="n"/>
      <c r="O317" s="55" t="n"/>
      <c r="P317" s="55" t="n"/>
      <c r="Q317" s="55" t="n"/>
      <c r="R317" s="58" t="n"/>
      <c r="S317" s="59">
        <f>IF(OR(tblPlant[[#This Row],[Milled_t]]="",tblPlant[[#This Row],[Head_Grade_gpt]]=""),"",tblPlant[[#This Row],[Milled_t]]*tblPlant[[#This Row],[Head_Grade_gpt]]/cfg_TroyOz)</f>
        <v/>
      </c>
      <c r="T317" s="59">
        <f>IF(OR(tblPlant[[#This Row],[Milled_t]]="",tblPlant[[#This Row],[Tails_Grade_gpt]]=""),"",tblPlant[[#This Row],[Milled_t]]*tblPlant[[#This Row],[Tails_Grade_gpt]]/cfg_TroyOz)</f>
        <v/>
      </c>
      <c r="U317" s="59">
        <f>IF(OR(tblPlant[[#This Row],[Milled_t]]="",tblPlant[[#This Row],[Head_Grade_gpt]]="",tblPlant[[#This Row],[Tails_Grade_gpt]]=""),"",tblPlant[[#This Row],[Feed_oz]]-tblPlant[[#This Row],[Tails_oz]])</f>
        <v/>
      </c>
      <c r="V317" s="60">
        <f>IF(AND(ISNUMBER(tblPlant[[#This Row],[Recovered_oz]]),tblPlant[[#This Row],[Feed_oz]]&gt;0),tblPlant[[#This Row],[Recovered_oz]]/tblPlant[[#This Row],[Feed_oz]],"")</f>
        <v/>
      </c>
      <c r="W317" s="59">
        <f>IF(AND(tblPlant[[#This Row],[Milled_t]]&lt;&gt;"",tblPlant[[#This Row],[Mill_Run_h]]&gt;0),tblPlant[[#This Row],[Milled_t]]/tblPlant[[#This Row],[Mill_Run_h]],"")</f>
        <v/>
      </c>
      <c r="X317" s="60">
        <f>IF(AND(tblPlant[[#This Row],[Mill_Run_h]]="",tblPlant[[#This Row],[Mill_Planned_Maint_h]]="",tblPlant[[#This Row],[Mill_Unplanned_Down_h]]=""),"",(cfg_HoursPerDay-tblPlant[[#This Row],[Mill_Planned_Maint_h]]-tblPlant[[#This Row],[Mill_Unplanned_Down_h]])/cfg_HoursPerDay)</f>
        <v/>
      </c>
      <c r="Y31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8">
      <c r="A318" s="54" t="n">
        <v>46335</v>
      </c>
      <c r="B318" s="55" t="n"/>
      <c r="C318" s="55" t="n"/>
      <c r="D318" s="56" t="n"/>
      <c r="E318" s="56" t="n"/>
      <c r="F318" s="55" t="n"/>
      <c r="G318" s="55" t="n"/>
      <c r="H318" s="57" t="n"/>
      <c r="I318" s="57" t="n"/>
      <c r="J318" s="57" t="n"/>
      <c r="K318" s="57" t="n"/>
      <c r="L318" s="55" t="n"/>
      <c r="M318" s="55" t="n"/>
      <c r="N318" s="55" t="n"/>
      <c r="O318" s="55" t="n"/>
      <c r="P318" s="55" t="n"/>
      <c r="Q318" s="55" t="n"/>
      <c r="R318" s="58" t="n"/>
      <c r="S318" s="59">
        <f>IF(OR(tblPlant[[#This Row],[Milled_t]]="",tblPlant[[#This Row],[Head_Grade_gpt]]=""),"",tblPlant[[#This Row],[Milled_t]]*tblPlant[[#This Row],[Head_Grade_gpt]]/cfg_TroyOz)</f>
        <v/>
      </c>
      <c r="T318" s="59">
        <f>IF(OR(tblPlant[[#This Row],[Milled_t]]="",tblPlant[[#This Row],[Tails_Grade_gpt]]=""),"",tblPlant[[#This Row],[Milled_t]]*tblPlant[[#This Row],[Tails_Grade_gpt]]/cfg_TroyOz)</f>
        <v/>
      </c>
      <c r="U318" s="59">
        <f>IF(OR(tblPlant[[#This Row],[Milled_t]]="",tblPlant[[#This Row],[Head_Grade_gpt]]="",tblPlant[[#This Row],[Tails_Grade_gpt]]=""),"",tblPlant[[#This Row],[Feed_oz]]-tblPlant[[#This Row],[Tails_oz]])</f>
        <v/>
      </c>
      <c r="V318" s="60">
        <f>IF(AND(ISNUMBER(tblPlant[[#This Row],[Recovered_oz]]),tblPlant[[#This Row],[Feed_oz]]&gt;0),tblPlant[[#This Row],[Recovered_oz]]/tblPlant[[#This Row],[Feed_oz]],"")</f>
        <v/>
      </c>
      <c r="W318" s="59">
        <f>IF(AND(tblPlant[[#This Row],[Milled_t]]&lt;&gt;"",tblPlant[[#This Row],[Mill_Run_h]]&gt;0),tblPlant[[#This Row],[Milled_t]]/tblPlant[[#This Row],[Mill_Run_h]],"")</f>
        <v/>
      </c>
      <c r="X318" s="60">
        <f>IF(AND(tblPlant[[#This Row],[Mill_Run_h]]="",tblPlant[[#This Row],[Mill_Planned_Maint_h]]="",tblPlant[[#This Row],[Mill_Unplanned_Down_h]]=""),"",(cfg_HoursPerDay-tblPlant[[#This Row],[Mill_Planned_Maint_h]]-tblPlant[[#This Row],[Mill_Unplanned_Down_h]])/cfg_HoursPerDay)</f>
        <v/>
      </c>
      <c r="Y31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19">
      <c r="A319" s="54" t="n">
        <v>46336</v>
      </c>
      <c r="B319" s="55" t="n"/>
      <c r="C319" s="55" t="n"/>
      <c r="D319" s="56" t="n"/>
      <c r="E319" s="56" t="n"/>
      <c r="F319" s="55" t="n"/>
      <c r="G319" s="55" t="n"/>
      <c r="H319" s="57" t="n"/>
      <c r="I319" s="57" t="n"/>
      <c r="J319" s="57" t="n"/>
      <c r="K319" s="57" t="n"/>
      <c r="L319" s="55" t="n"/>
      <c r="M319" s="55" t="n"/>
      <c r="N319" s="55" t="n"/>
      <c r="O319" s="55" t="n"/>
      <c r="P319" s="55" t="n"/>
      <c r="Q319" s="55" t="n"/>
      <c r="R319" s="58" t="n"/>
      <c r="S319" s="59">
        <f>IF(OR(tblPlant[[#This Row],[Milled_t]]="",tblPlant[[#This Row],[Head_Grade_gpt]]=""),"",tblPlant[[#This Row],[Milled_t]]*tblPlant[[#This Row],[Head_Grade_gpt]]/cfg_TroyOz)</f>
        <v/>
      </c>
      <c r="T319" s="59">
        <f>IF(OR(tblPlant[[#This Row],[Milled_t]]="",tblPlant[[#This Row],[Tails_Grade_gpt]]=""),"",tblPlant[[#This Row],[Milled_t]]*tblPlant[[#This Row],[Tails_Grade_gpt]]/cfg_TroyOz)</f>
        <v/>
      </c>
      <c r="U319" s="59">
        <f>IF(OR(tblPlant[[#This Row],[Milled_t]]="",tblPlant[[#This Row],[Head_Grade_gpt]]="",tblPlant[[#This Row],[Tails_Grade_gpt]]=""),"",tblPlant[[#This Row],[Feed_oz]]-tblPlant[[#This Row],[Tails_oz]])</f>
        <v/>
      </c>
      <c r="V319" s="60">
        <f>IF(AND(ISNUMBER(tblPlant[[#This Row],[Recovered_oz]]),tblPlant[[#This Row],[Feed_oz]]&gt;0),tblPlant[[#This Row],[Recovered_oz]]/tblPlant[[#This Row],[Feed_oz]],"")</f>
        <v/>
      </c>
      <c r="W319" s="59">
        <f>IF(AND(tblPlant[[#This Row],[Milled_t]]&lt;&gt;"",tblPlant[[#This Row],[Mill_Run_h]]&gt;0),tblPlant[[#This Row],[Milled_t]]/tblPlant[[#This Row],[Mill_Run_h]],"")</f>
        <v/>
      </c>
      <c r="X319" s="60">
        <f>IF(AND(tblPlant[[#This Row],[Mill_Run_h]]="",tblPlant[[#This Row],[Mill_Planned_Maint_h]]="",tblPlant[[#This Row],[Mill_Unplanned_Down_h]]=""),"",(cfg_HoursPerDay-tblPlant[[#This Row],[Mill_Planned_Maint_h]]-tblPlant[[#This Row],[Mill_Unplanned_Down_h]])/cfg_HoursPerDay)</f>
        <v/>
      </c>
      <c r="Y31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0">
      <c r="A320" s="54" t="n">
        <v>46337</v>
      </c>
      <c r="B320" s="55" t="n"/>
      <c r="C320" s="55" t="n"/>
      <c r="D320" s="56" t="n"/>
      <c r="E320" s="56" t="n"/>
      <c r="F320" s="55" t="n"/>
      <c r="G320" s="55" t="n"/>
      <c r="H320" s="57" t="n"/>
      <c r="I320" s="57" t="n"/>
      <c r="J320" s="57" t="n"/>
      <c r="K320" s="57" t="n"/>
      <c r="L320" s="55" t="n"/>
      <c r="M320" s="55" t="n"/>
      <c r="N320" s="55" t="n"/>
      <c r="O320" s="55" t="n"/>
      <c r="P320" s="55" t="n"/>
      <c r="Q320" s="55" t="n"/>
      <c r="R320" s="58" t="n"/>
      <c r="S320" s="59">
        <f>IF(OR(tblPlant[[#This Row],[Milled_t]]="",tblPlant[[#This Row],[Head_Grade_gpt]]=""),"",tblPlant[[#This Row],[Milled_t]]*tblPlant[[#This Row],[Head_Grade_gpt]]/cfg_TroyOz)</f>
        <v/>
      </c>
      <c r="T320" s="59">
        <f>IF(OR(tblPlant[[#This Row],[Milled_t]]="",tblPlant[[#This Row],[Tails_Grade_gpt]]=""),"",tblPlant[[#This Row],[Milled_t]]*tblPlant[[#This Row],[Tails_Grade_gpt]]/cfg_TroyOz)</f>
        <v/>
      </c>
      <c r="U320" s="59">
        <f>IF(OR(tblPlant[[#This Row],[Milled_t]]="",tblPlant[[#This Row],[Head_Grade_gpt]]="",tblPlant[[#This Row],[Tails_Grade_gpt]]=""),"",tblPlant[[#This Row],[Feed_oz]]-tblPlant[[#This Row],[Tails_oz]])</f>
        <v/>
      </c>
      <c r="V320" s="60">
        <f>IF(AND(ISNUMBER(tblPlant[[#This Row],[Recovered_oz]]),tblPlant[[#This Row],[Feed_oz]]&gt;0),tblPlant[[#This Row],[Recovered_oz]]/tblPlant[[#This Row],[Feed_oz]],"")</f>
        <v/>
      </c>
      <c r="W320" s="59">
        <f>IF(AND(tblPlant[[#This Row],[Milled_t]]&lt;&gt;"",tblPlant[[#This Row],[Mill_Run_h]]&gt;0),tblPlant[[#This Row],[Milled_t]]/tblPlant[[#This Row],[Mill_Run_h]],"")</f>
        <v/>
      </c>
      <c r="X320" s="60">
        <f>IF(AND(tblPlant[[#This Row],[Mill_Run_h]]="",tblPlant[[#This Row],[Mill_Planned_Maint_h]]="",tblPlant[[#This Row],[Mill_Unplanned_Down_h]]=""),"",(cfg_HoursPerDay-tblPlant[[#This Row],[Mill_Planned_Maint_h]]-tblPlant[[#This Row],[Mill_Unplanned_Down_h]])/cfg_HoursPerDay)</f>
        <v/>
      </c>
      <c r="Y32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1">
      <c r="A321" s="54" t="n">
        <v>46338</v>
      </c>
      <c r="B321" s="55" t="n"/>
      <c r="C321" s="55" t="n"/>
      <c r="D321" s="56" t="n"/>
      <c r="E321" s="56" t="n"/>
      <c r="F321" s="55" t="n"/>
      <c r="G321" s="55" t="n"/>
      <c r="H321" s="57" t="n"/>
      <c r="I321" s="57" t="n"/>
      <c r="J321" s="57" t="n"/>
      <c r="K321" s="57" t="n"/>
      <c r="L321" s="55" t="n"/>
      <c r="M321" s="55" t="n"/>
      <c r="N321" s="55" t="n"/>
      <c r="O321" s="55" t="n"/>
      <c r="P321" s="55" t="n"/>
      <c r="Q321" s="55" t="n"/>
      <c r="R321" s="58" t="n"/>
      <c r="S321" s="59">
        <f>IF(OR(tblPlant[[#This Row],[Milled_t]]="",tblPlant[[#This Row],[Head_Grade_gpt]]=""),"",tblPlant[[#This Row],[Milled_t]]*tblPlant[[#This Row],[Head_Grade_gpt]]/cfg_TroyOz)</f>
        <v/>
      </c>
      <c r="T321" s="59">
        <f>IF(OR(tblPlant[[#This Row],[Milled_t]]="",tblPlant[[#This Row],[Tails_Grade_gpt]]=""),"",tblPlant[[#This Row],[Milled_t]]*tblPlant[[#This Row],[Tails_Grade_gpt]]/cfg_TroyOz)</f>
        <v/>
      </c>
      <c r="U321" s="59">
        <f>IF(OR(tblPlant[[#This Row],[Milled_t]]="",tblPlant[[#This Row],[Head_Grade_gpt]]="",tblPlant[[#This Row],[Tails_Grade_gpt]]=""),"",tblPlant[[#This Row],[Feed_oz]]-tblPlant[[#This Row],[Tails_oz]])</f>
        <v/>
      </c>
      <c r="V321" s="60">
        <f>IF(AND(ISNUMBER(tblPlant[[#This Row],[Recovered_oz]]),tblPlant[[#This Row],[Feed_oz]]&gt;0),tblPlant[[#This Row],[Recovered_oz]]/tblPlant[[#This Row],[Feed_oz]],"")</f>
        <v/>
      </c>
      <c r="W321" s="59">
        <f>IF(AND(tblPlant[[#This Row],[Milled_t]]&lt;&gt;"",tblPlant[[#This Row],[Mill_Run_h]]&gt;0),tblPlant[[#This Row],[Milled_t]]/tblPlant[[#This Row],[Mill_Run_h]],"")</f>
        <v/>
      </c>
      <c r="X321" s="60">
        <f>IF(AND(tblPlant[[#This Row],[Mill_Run_h]]="",tblPlant[[#This Row],[Mill_Planned_Maint_h]]="",tblPlant[[#This Row],[Mill_Unplanned_Down_h]]=""),"",(cfg_HoursPerDay-tblPlant[[#This Row],[Mill_Planned_Maint_h]]-tblPlant[[#This Row],[Mill_Unplanned_Down_h]])/cfg_HoursPerDay)</f>
        <v/>
      </c>
      <c r="Y32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2">
      <c r="A322" s="54" t="n">
        <v>46339</v>
      </c>
      <c r="B322" s="55" t="n"/>
      <c r="C322" s="55" t="n"/>
      <c r="D322" s="56" t="n"/>
      <c r="E322" s="56" t="n"/>
      <c r="F322" s="55" t="n"/>
      <c r="G322" s="55" t="n"/>
      <c r="H322" s="57" t="n"/>
      <c r="I322" s="57" t="n"/>
      <c r="J322" s="57" t="n"/>
      <c r="K322" s="57" t="n"/>
      <c r="L322" s="55" t="n"/>
      <c r="M322" s="55" t="n"/>
      <c r="N322" s="55" t="n"/>
      <c r="O322" s="55" t="n"/>
      <c r="P322" s="55" t="n"/>
      <c r="Q322" s="55" t="n"/>
      <c r="R322" s="58" t="n"/>
      <c r="S322" s="59">
        <f>IF(OR(tblPlant[[#This Row],[Milled_t]]="",tblPlant[[#This Row],[Head_Grade_gpt]]=""),"",tblPlant[[#This Row],[Milled_t]]*tblPlant[[#This Row],[Head_Grade_gpt]]/cfg_TroyOz)</f>
        <v/>
      </c>
      <c r="T322" s="59">
        <f>IF(OR(tblPlant[[#This Row],[Milled_t]]="",tblPlant[[#This Row],[Tails_Grade_gpt]]=""),"",tblPlant[[#This Row],[Milled_t]]*tblPlant[[#This Row],[Tails_Grade_gpt]]/cfg_TroyOz)</f>
        <v/>
      </c>
      <c r="U322" s="59">
        <f>IF(OR(tblPlant[[#This Row],[Milled_t]]="",tblPlant[[#This Row],[Head_Grade_gpt]]="",tblPlant[[#This Row],[Tails_Grade_gpt]]=""),"",tblPlant[[#This Row],[Feed_oz]]-tblPlant[[#This Row],[Tails_oz]])</f>
        <v/>
      </c>
      <c r="V322" s="60">
        <f>IF(AND(ISNUMBER(tblPlant[[#This Row],[Recovered_oz]]),tblPlant[[#This Row],[Feed_oz]]&gt;0),tblPlant[[#This Row],[Recovered_oz]]/tblPlant[[#This Row],[Feed_oz]],"")</f>
        <v/>
      </c>
      <c r="W322" s="59">
        <f>IF(AND(tblPlant[[#This Row],[Milled_t]]&lt;&gt;"",tblPlant[[#This Row],[Mill_Run_h]]&gt;0),tblPlant[[#This Row],[Milled_t]]/tblPlant[[#This Row],[Mill_Run_h]],"")</f>
        <v/>
      </c>
      <c r="X322" s="60">
        <f>IF(AND(tblPlant[[#This Row],[Mill_Run_h]]="",tblPlant[[#This Row],[Mill_Planned_Maint_h]]="",tblPlant[[#This Row],[Mill_Unplanned_Down_h]]=""),"",(cfg_HoursPerDay-tblPlant[[#This Row],[Mill_Planned_Maint_h]]-tblPlant[[#This Row],[Mill_Unplanned_Down_h]])/cfg_HoursPerDay)</f>
        <v/>
      </c>
      <c r="Y32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3">
      <c r="A323" s="54" t="n">
        <v>46340</v>
      </c>
      <c r="B323" s="55" t="n"/>
      <c r="C323" s="55" t="n"/>
      <c r="D323" s="56" t="n"/>
      <c r="E323" s="56" t="n"/>
      <c r="F323" s="55" t="n"/>
      <c r="G323" s="55" t="n"/>
      <c r="H323" s="57" t="n"/>
      <c r="I323" s="57" t="n"/>
      <c r="J323" s="57" t="n"/>
      <c r="K323" s="57" t="n"/>
      <c r="L323" s="55" t="n"/>
      <c r="M323" s="55" t="n"/>
      <c r="N323" s="55" t="n"/>
      <c r="O323" s="55" t="n"/>
      <c r="P323" s="55" t="n"/>
      <c r="Q323" s="55" t="n"/>
      <c r="R323" s="58" t="n"/>
      <c r="S323" s="59">
        <f>IF(OR(tblPlant[[#This Row],[Milled_t]]="",tblPlant[[#This Row],[Head_Grade_gpt]]=""),"",tblPlant[[#This Row],[Milled_t]]*tblPlant[[#This Row],[Head_Grade_gpt]]/cfg_TroyOz)</f>
        <v/>
      </c>
      <c r="T323" s="59">
        <f>IF(OR(tblPlant[[#This Row],[Milled_t]]="",tblPlant[[#This Row],[Tails_Grade_gpt]]=""),"",tblPlant[[#This Row],[Milled_t]]*tblPlant[[#This Row],[Tails_Grade_gpt]]/cfg_TroyOz)</f>
        <v/>
      </c>
      <c r="U323" s="59">
        <f>IF(OR(tblPlant[[#This Row],[Milled_t]]="",tblPlant[[#This Row],[Head_Grade_gpt]]="",tblPlant[[#This Row],[Tails_Grade_gpt]]=""),"",tblPlant[[#This Row],[Feed_oz]]-tblPlant[[#This Row],[Tails_oz]])</f>
        <v/>
      </c>
      <c r="V323" s="60">
        <f>IF(AND(ISNUMBER(tblPlant[[#This Row],[Recovered_oz]]),tblPlant[[#This Row],[Feed_oz]]&gt;0),tblPlant[[#This Row],[Recovered_oz]]/tblPlant[[#This Row],[Feed_oz]],"")</f>
        <v/>
      </c>
      <c r="W323" s="59">
        <f>IF(AND(tblPlant[[#This Row],[Milled_t]]&lt;&gt;"",tblPlant[[#This Row],[Mill_Run_h]]&gt;0),tblPlant[[#This Row],[Milled_t]]/tblPlant[[#This Row],[Mill_Run_h]],"")</f>
        <v/>
      </c>
      <c r="X323" s="60">
        <f>IF(AND(tblPlant[[#This Row],[Mill_Run_h]]="",tblPlant[[#This Row],[Mill_Planned_Maint_h]]="",tblPlant[[#This Row],[Mill_Unplanned_Down_h]]=""),"",(cfg_HoursPerDay-tblPlant[[#This Row],[Mill_Planned_Maint_h]]-tblPlant[[#This Row],[Mill_Unplanned_Down_h]])/cfg_HoursPerDay)</f>
        <v/>
      </c>
      <c r="Y32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4">
      <c r="A324" s="54" t="n">
        <v>46341</v>
      </c>
      <c r="B324" s="55" t="n"/>
      <c r="C324" s="55" t="n"/>
      <c r="D324" s="56" t="n"/>
      <c r="E324" s="56" t="n"/>
      <c r="F324" s="55" t="n"/>
      <c r="G324" s="55" t="n"/>
      <c r="H324" s="57" t="n"/>
      <c r="I324" s="57" t="n"/>
      <c r="J324" s="57" t="n"/>
      <c r="K324" s="57" t="n"/>
      <c r="L324" s="55" t="n"/>
      <c r="M324" s="55" t="n"/>
      <c r="N324" s="55" t="n"/>
      <c r="O324" s="55" t="n"/>
      <c r="P324" s="55" t="n"/>
      <c r="Q324" s="55" t="n"/>
      <c r="R324" s="58" t="n"/>
      <c r="S324" s="59">
        <f>IF(OR(tblPlant[[#This Row],[Milled_t]]="",tblPlant[[#This Row],[Head_Grade_gpt]]=""),"",tblPlant[[#This Row],[Milled_t]]*tblPlant[[#This Row],[Head_Grade_gpt]]/cfg_TroyOz)</f>
        <v/>
      </c>
      <c r="T324" s="59">
        <f>IF(OR(tblPlant[[#This Row],[Milled_t]]="",tblPlant[[#This Row],[Tails_Grade_gpt]]=""),"",tblPlant[[#This Row],[Milled_t]]*tblPlant[[#This Row],[Tails_Grade_gpt]]/cfg_TroyOz)</f>
        <v/>
      </c>
      <c r="U324" s="59">
        <f>IF(OR(tblPlant[[#This Row],[Milled_t]]="",tblPlant[[#This Row],[Head_Grade_gpt]]="",tblPlant[[#This Row],[Tails_Grade_gpt]]=""),"",tblPlant[[#This Row],[Feed_oz]]-tblPlant[[#This Row],[Tails_oz]])</f>
        <v/>
      </c>
      <c r="V324" s="60">
        <f>IF(AND(ISNUMBER(tblPlant[[#This Row],[Recovered_oz]]),tblPlant[[#This Row],[Feed_oz]]&gt;0),tblPlant[[#This Row],[Recovered_oz]]/tblPlant[[#This Row],[Feed_oz]],"")</f>
        <v/>
      </c>
      <c r="W324" s="59">
        <f>IF(AND(tblPlant[[#This Row],[Milled_t]]&lt;&gt;"",tblPlant[[#This Row],[Mill_Run_h]]&gt;0),tblPlant[[#This Row],[Milled_t]]/tblPlant[[#This Row],[Mill_Run_h]],"")</f>
        <v/>
      </c>
      <c r="X324" s="60">
        <f>IF(AND(tblPlant[[#This Row],[Mill_Run_h]]="",tblPlant[[#This Row],[Mill_Planned_Maint_h]]="",tblPlant[[#This Row],[Mill_Unplanned_Down_h]]=""),"",(cfg_HoursPerDay-tblPlant[[#This Row],[Mill_Planned_Maint_h]]-tblPlant[[#This Row],[Mill_Unplanned_Down_h]])/cfg_HoursPerDay)</f>
        <v/>
      </c>
      <c r="Y32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5">
      <c r="A325" s="54" t="n">
        <v>46342</v>
      </c>
      <c r="B325" s="55" t="n"/>
      <c r="C325" s="55" t="n"/>
      <c r="D325" s="56" t="n"/>
      <c r="E325" s="56" t="n"/>
      <c r="F325" s="55" t="n"/>
      <c r="G325" s="55" t="n"/>
      <c r="H325" s="57" t="n"/>
      <c r="I325" s="57" t="n"/>
      <c r="J325" s="57" t="n"/>
      <c r="K325" s="57" t="n"/>
      <c r="L325" s="55" t="n"/>
      <c r="M325" s="55" t="n"/>
      <c r="N325" s="55" t="n"/>
      <c r="O325" s="55" t="n"/>
      <c r="P325" s="55" t="n"/>
      <c r="Q325" s="55" t="n"/>
      <c r="R325" s="58" t="n"/>
      <c r="S325" s="59">
        <f>IF(OR(tblPlant[[#This Row],[Milled_t]]="",tblPlant[[#This Row],[Head_Grade_gpt]]=""),"",tblPlant[[#This Row],[Milled_t]]*tblPlant[[#This Row],[Head_Grade_gpt]]/cfg_TroyOz)</f>
        <v/>
      </c>
      <c r="T325" s="59">
        <f>IF(OR(tblPlant[[#This Row],[Milled_t]]="",tblPlant[[#This Row],[Tails_Grade_gpt]]=""),"",tblPlant[[#This Row],[Milled_t]]*tblPlant[[#This Row],[Tails_Grade_gpt]]/cfg_TroyOz)</f>
        <v/>
      </c>
      <c r="U325" s="59">
        <f>IF(OR(tblPlant[[#This Row],[Milled_t]]="",tblPlant[[#This Row],[Head_Grade_gpt]]="",tblPlant[[#This Row],[Tails_Grade_gpt]]=""),"",tblPlant[[#This Row],[Feed_oz]]-tblPlant[[#This Row],[Tails_oz]])</f>
        <v/>
      </c>
      <c r="V325" s="60">
        <f>IF(AND(ISNUMBER(tblPlant[[#This Row],[Recovered_oz]]),tblPlant[[#This Row],[Feed_oz]]&gt;0),tblPlant[[#This Row],[Recovered_oz]]/tblPlant[[#This Row],[Feed_oz]],"")</f>
        <v/>
      </c>
      <c r="W325" s="59">
        <f>IF(AND(tblPlant[[#This Row],[Milled_t]]&lt;&gt;"",tblPlant[[#This Row],[Mill_Run_h]]&gt;0),tblPlant[[#This Row],[Milled_t]]/tblPlant[[#This Row],[Mill_Run_h]],"")</f>
        <v/>
      </c>
      <c r="X325" s="60">
        <f>IF(AND(tblPlant[[#This Row],[Mill_Run_h]]="",tblPlant[[#This Row],[Mill_Planned_Maint_h]]="",tblPlant[[#This Row],[Mill_Unplanned_Down_h]]=""),"",(cfg_HoursPerDay-tblPlant[[#This Row],[Mill_Planned_Maint_h]]-tblPlant[[#This Row],[Mill_Unplanned_Down_h]])/cfg_HoursPerDay)</f>
        <v/>
      </c>
      <c r="Y32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6">
      <c r="A326" s="54" t="n">
        <v>46343</v>
      </c>
      <c r="B326" s="55" t="n"/>
      <c r="C326" s="55" t="n"/>
      <c r="D326" s="56" t="n"/>
      <c r="E326" s="56" t="n"/>
      <c r="F326" s="55" t="n"/>
      <c r="G326" s="55" t="n"/>
      <c r="H326" s="57" t="n"/>
      <c r="I326" s="57" t="n"/>
      <c r="J326" s="57" t="n"/>
      <c r="K326" s="57" t="n"/>
      <c r="L326" s="55" t="n"/>
      <c r="M326" s="55" t="n"/>
      <c r="N326" s="55" t="n"/>
      <c r="O326" s="55" t="n"/>
      <c r="P326" s="55" t="n"/>
      <c r="Q326" s="55" t="n"/>
      <c r="R326" s="58" t="n"/>
      <c r="S326" s="59">
        <f>IF(OR(tblPlant[[#This Row],[Milled_t]]="",tblPlant[[#This Row],[Head_Grade_gpt]]=""),"",tblPlant[[#This Row],[Milled_t]]*tblPlant[[#This Row],[Head_Grade_gpt]]/cfg_TroyOz)</f>
        <v/>
      </c>
      <c r="T326" s="59">
        <f>IF(OR(tblPlant[[#This Row],[Milled_t]]="",tblPlant[[#This Row],[Tails_Grade_gpt]]=""),"",tblPlant[[#This Row],[Milled_t]]*tblPlant[[#This Row],[Tails_Grade_gpt]]/cfg_TroyOz)</f>
        <v/>
      </c>
      <c r="U326" s="59">
        <f>IF(OR(tblPlant[[#This Row],[Milled_t]]="",tblPlant[[#This Row],[Head_Grade_gpt]]="",tblPlant[[#This Row],[Tails_Grade_gpt]]=""),"",tblPlant[[#This Row],[Feed_oz]]-tblPlant[[#This Row],[Tails_oz]])</f>
        <v/>
      </c>
      <c r="V326" s="60">
        <f>IF(AND(ISNUMBER(tblPlant[[#This Row],[Recovered_oz]]),tblPlant[[#This Row],[Feed_oz]]&gt;0),tblPlant[[#This Row],[Recovered_oz]]/tblPlant[[#This Row],[Feed_oz]],"")</f>
        <v/>
      </c>
      <c r="W326" s="59">
        <f>IF(AND(tblPlant[[#This Row],[Milled_t]]&lt;&gt;"",tblPlant[[#This Row],[Mill_Run_h]]&gt;0),tblPlant[[#This Row],[Milled_t]]/tblPlant[[#This Row],[Mill_Run_h]],"")</f>
        <v/>
      </c>
      <c r="X326" s="60">
        <f>IF(AND(tblPlant[[#This Row],[Mill_Run_h]]="",tblPlant[[#This Row],[Mill_Planned_Maint_h]]="",tblPlant[[#This Row],[Mill_Unplanned_Down_h]]=""),"",(cfg_HoursPerDay-tblPlant[[#This Row],[Mill_Planned_Maint_h]]-tblPlant[[#This Row],[Mill_Unplanned_Down_h]])/cfg_HoursPerDay)</f>
        <v/>
      </c>
      <c r="Y32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7">
      <c r="A327" s="54" t="n">
        <v>46344</v>
      </c>
      <c r="B327" s="55" t="n"/>
      <c r="C327" s="55" t="n"/>
      <c r="D327" s="56" t="n"/>
      <c r="E327" s="56" t="n"/>
      <c r="F327" s="55" t="n"/>
      <c r="G327" s="55" t="n"/>
      <c r="H327" s="57" t="n"/>
      <c r="I327" s="57" t="n"/>
      <c r="J327" s="57" t="n"/>
      <c r="K327" s="57" t="n"/>
      <c r="L327" s="55" t="n"/>
      <c r="M327" s="55" t="n"/>
      <c r="N327" s="55" t="n"/>
      <c r="O327" s="55" t="n"/>
      <c r="P327" s="55" t="n"/>
      <c r="Q327" s="55" t="n"/>
      <c r="R327" s="58" t="n"/>
      <c r="S327" s="59">
        <f>IF(OR(tblPlant[[#This Row],[Milled_t]]="",tblPlant[[#This Row],[Head_Grade_gpt]]=""),"",tblPlant[[#This Row],[Milled_t]]*tblPlant[[#This Row],[Head_Grade_gpt]]/cfg_TroyOz)</f>
        <v/>
      </c>
      <c r="T327" s="59">
        <f>IF(OR(tblPlant[[#This Row],[Milled_t]]="",tblPlant[[#This Row],[Tails_Grade_gpt]]=""),"",tblPlant[[#This Row],[Milled_t]]*tblPlant[[#This Row],[Tails_Grade_gpt]]/cfg_TroyOz)</f>
        <v/>
      </c>
      <c r="U327" s="59">
        <f>IF(OR(tblPlant[[#This Row],[Milled_t]]="",tblPlant[[#This Row],[Head_Grade_gpt]]="",tblPlant[[#This Row],[Tails_Grade_gpt]]=""),"",tblPlant[[#This Row],[Feed_oz]]-tblPlant[[#This Row],[Tails_oz]])</f>
        <v/>
      </c>
      <c r="V327" s="60">
        <f>IF(AND(ISNUMBER(tblPlant[[#This Row],[Recovered_oz]]),tblPlant[[#This Row],[Feed_oz]]&gt;0),tblPlant[[#This Row],[Recovered_oz]]/tblPlant[[#This Row],[Feed_oz]],"")</f>
        <v/>
      </c>
      <c r="W327" s="59">
        <f>IF(AND(tblPlant[[#This Row],[Milled_t]]&lt;&gt;"",tblPlant[[#This Row],[Mill_Run_h]]&gt;0),tblPlant[[#This Row],[Milled_t]]/tblPlant[[#This Row],[Mill_Run_h]],"")</f>
        <v/>
      </c>
      <c r="X327" s="60">
        <f>IF(AND(tblPlant[[#This Row],[Mill_Run_h]]="",tblPlant[[#This Row],[Mill_Planned_Maint_h]]="",tblPlant[[#This Row],[Mill_Unplanned_Down_h]]=""),"",(cfg_HoursPerDay-tblPlant[[#This Row],[Mill_Planned_Maint_h]]-tblPlant[[#This Row],[Mill_Unplanned_Down_h]])/cfg_HoursPerDay)</f>
        <v/>
      </c>
      <c r="Y32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8">
      <c r="A328" s="54" t="n">
        <v>46345</v>
      </c>
      <c r="B328" s="55" t="n"/>
      <c r="C328" s="55" t="n"/>
      <c r="D328" s="56" t="n"/>
      <c r="E328" s="56" t="n"/>
      <c r="F328" s="55" t="n"/>
      <c r="G328" s="55" t="n"/>
      <c r="H328" s="57" t="n"/>
      <c r="I328" s="57" t="n"/>
      <c r="J328" s="57" t="n"/>
      <c r="K328" s="57" t="n"/>
      <c r="L328" s="55" t="n"/>
      <c r="M328" s="55" t="n"/>
      <c r="N328" s="55" t="n"/>
      <c r="O328" s="55" t="n"/>
      <c r="P328" s="55" t="n"/>
      <c r="Q328" s="55" t="n"/>
      <c r="R328" s="58" t="n"/>
      <c r="S328" s="59">
        <f>IF(OR(tblPlant[[#This Row],[Milled_t]]="",tblPlant[[#This Row],[Head_Grade_gpt]]=""),"",tblPlant[[#This Row],[Milled_t]]*tblPlant[[#This Row],[Head_Grade_gpt]]/cfg_TroyOz)</f>
        <v/>
      </c>
      <c r="T328" s="59">
        <f>IF(OR(tblPlant[[#This Row],[Milled_t]]="",tblPlant[[#This Row],[Tails_Grade_gpt]]=""),"",tblPlant[[#This Row],[Milled_t]]*tblPlant[[#This Row],[Tails_Grade_gpt]]/cfg_TroyOz)</f>
        <v/>
      </c>
      <c r="U328" s="59">
        <f>IF(OR(tblPlant[[#This Row],[Milled_t]]="",tblPlant[[#This Row],[Head_Grade_gpt]]="",tblPlant[[#This Row],[Tails_Grade_gpt]]=""),"",tblPlant[[#This Row],[Feed_oz]]-tblPlant[[#This Row],[Tails_oz]])</f>
        <v/>
      </c>
      <c r="V328" s="60">
        <f>IF(AND(ISNUMBER(tblPlant[[#This Row],[Recovered_oz]]),tblPlant[[#This Row],[Feed_oz]]&gt;0),tblPlant[[#This Row],[Recovered_oz]]/tblPlant[[#This Row],[Feed_oz]],"")</f>
        <v/>
      </c>
      <c r="W328" s="59">
        <f>IF(AND(tblPlant[[#This Row],[Milled_t]]&lt;&gt;"",tblPlant[[#This Row],[Mill_Run_h]]&gt;0),tblPlant[[#This Row],[Milled_t]]/tblPlant[[#This Row],[Mill_Run_h]],"")</f>
        <v/>
      </c>
      <c r="X328" s="60">
        <f>IF(AND(tblPlant[[#This Row],[Mill_Run_h]]="",tblPlant[[#This Row],[Mill_Planned_Maint_h]]="",tblPlant[[#This Row],[Mill_Unplanned_Down_h]]=""),"",(cfg_HoursPerDay-tblPlant[[#This Row],[Mill_Planned_Maint_h]]-tblPlant[[#This Row],[Mill_Unplanned_Down_h]])/cfg_HoursPerDay)</f>
        <v/>
      </c>
      <c r="Y32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29">
      <c r="A329" s="54" t="n">
        <v>46346</v>
      </c>
      <c r="B329" s="55" t="n"/>
      <c r="C329" s="55" t="n"/>
      <c r="D329" s="56" t="n"/>
      <c r="E329" s="56" t="n"/>
      <c r="F329" s="55" t="n"/>
      <c r="G329" s="55" t="n"/>
      <c r="H329" s="57" t="n"/>
      <c r="I329" s="57" t="n"/>
      <c r="J329" s="57" t="n"/>
      <c r="K329" s="57" t="n"/>
      <c r="L329" s="55" t="n"/>
      <c r="M329" s="55" t="n"/>
      <c r="N329" s="55" t="n"/>
      <c r="O329" s="55" t="n"/>
      <c r="P329" s="55" t="n"/>
      <c r="Q329" s="55" t="n"/>
      <c r="R329" s="58" t="n"/>
      <c r="S329" s="59">
        <f>IF(OR(tblPlant[[#This Row],[Milled_t]]="",tblPlant[[#This Row],[Head_Grade_gpt]]=""),"",tblPlant[[#This Row],[Milled_t]]*tblPlant[[#This Row],[Head_Grade_gpt]]/cfg_TroyOz)</f>
        <v/>
      </c>
      <c r="T329" s="59">
        <f>IF(OR(tblPlant[[#This Row],[Milled_t]]="",tblPlant[[#This Row],[Tails_Grade_gpt]]=""),"",tblPlant[[#This Row],[Milled_t]]*tblPlant[[#This Row],[Tails_Grade_gpt]]/cfg_TroyOz)</f>
        <v/>
      </c>
      <c r="U329" s="59">
        <f>IF(OR(tblPlant[[#This Row],[Milled_t]]="",tblPlant[[#This Row],[Head_Grade_gpt]]="",tblPlant[[#This Row],[Tails_Grade_gpt]]=""),"",tblPlant[[#This Row],[Feed_oz]]-tblPlant[[#This Row],[Tails_oz]])</f>
        <v/>
      </c>
      <c r="V329" s="60">
        <f>IF(AND(ISNUMBER(tblPlant[[#This Row],[Recovered_oz]]),tblPlant[[#This Row],[Feed_oz]]&gt;0),tblPlant[[#This Row],[Recovered_oz]]/tblPlant[[#This Row],[Feed_oz]],"")</f>
        <v/>
      </c>
      <c r="W329" s="59">
        <f>IF(AND(tblPlant[[#This Row],[Milled_t]]&lt;&gt;"",tblPlant[[#This Row],[Mill_Run_h]]&gt;0),tblPlant[[#This Row],[Milled_t]]/tblPlant[[#This Row],[Mill_Run_h]],"")</f>
        <v/>
      </c>
      <c r="X329" s="60">
        <f>IF(AND(tblPlant[[#This Row],[Mill_Run_h]]="",tblPlant[[#This Row],[Mill_Planned_Maint_h]]="",tblPlant[[#This Row],[Mill_Unplanned_Down_h]]=""),"",(cfg_HoursPerDay-tblPlant[[#This Row],[Mill_Planned_Maint_h]]-tblPlant[[#This Row],[Mill_Unplanned_Down_h]])/cfg_HoursPerDay)</f>
        <v/>
      </c>
      <c r="Y32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0">
      <c r="A330" s="54" t="n">
        <v>46347</v>
      </c>
      <c r="B330" s="55" t="n"/>
      <c r="C330" s="55" t="n"/>
      <c r="D330" s="56" t="n"/>
      <c r="E330" s="56" t="n"/>
      <c r="F330" s="55" t="n"/>
      <c r="G330" s="55" t="n"/>
      <c r="H330" s="57" t="n"/>
      <c r="I330" s="57" t="n"/>
      <c r="J330" s="57" t="n"/>
      <c r="K330" s="57" t="n"/>
      <c r="L330" s="55" t="n"/>
      <c r="M330" s="55" t="n"/>
      <c r="N330" s="55" t="n"/>
      <c r="O330" s="55" t="n"/>
      <c r="P330" s="55" t="n"/>
      <c r="Q330" s="55" t="n"/>
      <c r="R330" s="58" t="n"/>
      <c r="S330" s="59">
        <f>IF(OR(tblPlant[[#This Row],[Milled_t]]="",tblPlant[[#This Row],[Head_Grade_gpt]]=""),"",tblPlant[[#This Row],[Milled_t]]*tblPlant[[#This Row],[Head_Grade_gpt]]/cfg_TroyOz)</f>
        <v/>
      </c>
      <c r="T330" s="59">
        <f>IF(OR(tblPlant[[#This Row],[Milled_t]]="",tblPlant[[#This Row],[Tails_Grade_gpt]]=""),"",tblPlant[[#This Row],[Milled_t]]*tblPlant[[#This Row],[Tails_Grade_gpt]]/cfg_TroyOz)</f>
        <v/>
      </c>
      <c r="U330" s="59">
        <f>IF(OR(tblPlant[[#This Row],[Milled_t]]="",tblPlant[[#This Row],[Head_Grade_gpt]]="",tblPlant[[#This Row],[Tails_Grade_gpt]]=""),"",tblPlant[[#This Row],[Feed_oz]]-tblPlant[[#This Row],[Tails_oz]])</f>
        <v/>
      </c>
      <c r="V330" s="60">
        <f>IF(AND(ISNUMBER(tblPlant[[#This Row],[Recovered_oz]]),tblPlant[[#This Row],[Feed_oz]]&gt;0),tblPlant[[#This Row],[Recovered_oz]]/tblPlant[[#This Row],[Feed_oz]],"")</f>
        <v/>
      </c>
      <c r="W330" s="59">
        <f>IF(AND(tblPlant[[#This Row],[Milled_t]]&lt;&gt;"",tblPlant[[#This Row],[Mill_Run_h]]&gt;0),tblPlant[[#This Row],[Milled_t]]/tblPlant[[#This Row],[Mill_Run_h]],"")</f>
        <v/>
      </c>
      <c r="X330" s="60">
        <f>IF(AND(tblPlant[[#This Row],[Mill_Run_h]]="",tblPlant[[#This Row],[Mill_Planned_Maint_h]]="",tblPlant[[#This Row],[Mill_Unplanned_Down_h]]=""),"",(cfg_HoursPerDay-tblPlant[[#This Row],[Mill_Planned_Maint_h]]-tblPlant[[#This Row],[Mill_Unplanned_Down_h]])/cfg_HoursPerDay)</f>
        <v/>
      </c>
      <c r="Y33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1">
      <c r="A331" s="54" t="n">
        <v>46348</v>
      </c>
      <c r="B331" s="55" t="n"/>
      <c r="C331" s="55" t="n"/>
      <c r="D331" s="56" t="n"/>
      <c r="E331" s="56" t="n"/>
      <c r="F331" s="55" t="n"/>
      <c r="G331" s="55" t="n"/>
      <c r="H331" s="57" t="n"/>
      <c r="I331" s="57" t="n"/>
      <c r="J331" s="57" t="n"/>
      <c r="K331" s="57" t="n"/>
      <c r="L331" s="55" t="n"/>
      <c r="M331" s="55" t="n"/>
      <c r="N331" s="55" t="n"/>
      <c r="O331" s="55" t="n"/>
      <c r="P331" s="55" t="n"/>
      <c r="Q331" s="55" t="n"/>
      <c r="R331" s="58" t="n"/>
      <c r="S331" s="59">
        <f>IF(OR(tblPlant[[#This Row],[Milled_t]]="",tblPlant[[#This Row],[Head_Grade_gpt]]=""),"",tblPlant[[#This Row],[Milled_t]]*tblPlant[[#This Row],[Head_Grade_gpt]]/cfg_TroyOz)</f>
        <v/>
      </c>
      <c r="T331" s="59">
        <f>IF(OR(tblPlant[[#This Row],[Milled_t]]="",tblPlant[[#This Row],[Tails_Grade_gpt]]=""),"",tblPlant[[#This Row],[Milled_t]]*tblPlant[[#This Row],[Tails_Grade_gpt]]/cfg_TroyOz)</f>
        <v/>
      </c>
      <c r="U331" s="59">
        <f>IF(OR(tblPlant[[#This Row],[Milled_t]]="",tblPlant[[#This Row],[Head_Grade_gpt]]="",tblPlant[[#This Row],[Tails_Grade_gpt]]=""),"",tblPlant[[#This Row],[Feed_oz]]-tblPlant[[#This Row],[Tails_oz]])</f>
        <v/>
      </c>
      <c r="V331" s="60">
        <f>IF(AND(ISNUMBER(tblPlant[[#This Row],[Recovered_oz]]),tblPlant[[#This Row],[Feed_oz]]&gt;0),tblPlant[[#This Row],[Recovered_oz]]/tblPlant[[#This Row],[Feed_oz]],"")</f>
        <v/>
      </c>
      <c r="W331" s="59">
        <f>IF(AND(tblPlant[[#This Row],[Milled_t]]&lt;&gt;"",tblPlant[[#This Row],[Mill_Run_h]]&gt;0),tblPlant[[#This Row],[Milled_t]]/tblPlant[[#This Row],[Mill_Run_h]],"")</f>
        <v/>
      </c>
      <c r="X331" s="60">
        <f>IF(AND(tblPlant[[#This Row],[Mill_Run_h]]="",tblPlant[[#This Row],[Mill_Planned_Maint_h]]="",tblPlant[[#This Row],[Mill_Unplanned_Down_h]]=""),"",(cfg_HoursPerDay-tblPlant[[#This Row],[Mill_Planned_Maint_h]]-tblPlant[[#This Row],[Mill_Unplanned_Down_h]])/cfg_HoursPerDay)</f>
        <v/>
      </c>
      <c r="Y33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2">
      <c r="A332" s="54" t="n">
        <v>46349</v>
      </c>
      <c r="B332" s="55" t="n"/>
      <c r="C332" s="55" t="n"/>
      <c r="D332" s="56" t="n"/>
      <c r="E332" s="56" t="n"/>
      <c r="F332" s="55" t="n"/>
      <c r="G332" s="55" t="n"/>
      <c r="H332" s="57" t="n"/>
      <c r="I332" s="57" t="n"/>
      <c r="J332" s="57" t="n"/>
      <c r="K332" s="57" t="n"/>
      <c r="L332" s="55" t="n"/>
      <c r="M332" s="55" t="n"/>
      <c r="N332" s="55" t="n"/>
      <c r="O332" s="55" t="n"/>
      <c r="P332" s="55" t="n"/>
      <c r="Q332" s="55" t="n"/>
      <c r="R332" s="58" t="n"/>
      <c r="S332" s="59">
        <f>IF(OR(tblPlant[[#This Row],[Milled_t]]="",tblPlant[[#This Row],[Head_Grade_gpt]]=""),"",tblPlant[[#This Row],[Milled_t]]*tblPlant[[#This Row],[Head_Grade_gpt]]/cfg_TroyOz)</f>
        <v/>
      </c>
      <c r="T332" s="59">
        <f>IF(OR(tblPlant[[#This Row],[Milled_t]]="",tblPlant[[#This Row],[Tails_Grade_gpt]]=""),"",tblPlant[[#This Row],[Milled_t]]*tblPlant[[#This Row],[Tails_Grade_gpt]]/cfg_TroyOz)</f>
        <v/>
      </c>
      <c r="U332" s="59">
        <f>IF(OR(tblPlant[[#This Row],[Milled_t]]="",tblPlant[[#This Row],[Head_Grade_gpt]]="",tblPlant[[#This Row],[Tails_Grade_gpt]]=""),"",tblPlant[[#This Row],[Feed_oz]]-tblPlant[[#This Row],[Tails_oz]])</f>
        <v/>
      </c>
      <c r="V332" s="60">
        <f>IF(AND(ISNUMBER(tblPlant[[#This Row],[Recovered_oz]]),tblPlant[[#This Row],[Feed_oz]]&gt;0),tblPlant[[#This Row],[Recovered_oz]]/tblPlant[[#This Row],[Feed_oz]],"")</f>
        <v/>
      </c>
      <c r="W332" s="59">
        <f>IF(AND(tblPlant[[#This Row],[Milled_t]]&lt;&gt;"",tblPlant[[#This Row],[Mill_Run_h]]&gt;0),tblPlant[[#This Row],[Milled_t]]/tblPlant[[#This Row],[Mill_Run_h]],"")</f>
        <v/>
      </c>
      <c r="X332" s="60">
        <f>IF(AND(tblPlant[[#This Row],[Mill_Run_h]]="",tblPlant[[#This Row],[Mill_Planned_Maint_h]]="",tblPlant[[#This Row],[Mill_Unplanned_Down_h]]=""),"",(cfg_HoursPerDay-tblPlant[[#This Row],[Mill_Planned_Maint_h]]-tblPlant[[#This Row],[Mill_Unplanned_Down_h]])/cfg_HoursPerDay)</f>
        <v/>
      </c>
      <c r="Y33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3">
      <c r="A333" s="54" t="n">
        <v>46350</v>
      </c>
      <c r="B333" s="55" t="n"/>
      <c r="C333" s="55" t="n"/>
      <c r="D333" s="56" t="n"/>
      <c r="E333" s="56" t="n"/>
      <c r="F333" s="55" t="n"/>
      <c r="G333" s="55" t="n"/>
      <c r="H333" s="57" t="n"/>
      <c r="I333" s="57" t="n"/>
      <c r="J333" s="57" t="n"/>
      <c r="K333" s="57" t="n"/>
      <c r="L333" s="55" t="n"/>
      <c r="M333" s="55" t="n"/>
      <c r="N333" s="55" t="n"/>
      <c r="O333" s="55" t="n"/>
      <c r="P333" s="55" t="n"/>
      <c r="Q333" s="55" t="n"/>
      <c r="R333" s="58" t="n"/>
      <c r="S333" s="59">
        <f>IF(OR(tblPlant[[#This Row],[Milled_t]]="",tblPlant[[#This Row],[Head_Grade_gpt]]=""),"",tblPlant[[#This Row],[Milled_t]]*tblPlant[[#This Row],[Head_Grade_gpt]]/cfg_TroyOz)</f>
        <v/>
      </c>
      <c r="T333" s="59">
        <f>IF(OR(tblPlant[[#This Row],[Milled_t]]="",tblPlant[[#This Row],[Tails_Grade_gpt]]=""),"",tblPlant[[#This Row],[Milled_t]]*tblPlant[[#This Row],[Tails_Grade_gpt]]/cfg_TroyOz)</f>
        <v/>
      </c>
      <c r="U333" s="59">
        <f>IF(OR(tblPlant[[#This Row],[Milled_t]]="",tblPlant[[#This Row],[Head_Grade_gpt]]="",tblPlant[[#This Row],[Tails_Grade_gpt]]=""),"",tblPlant[[#This Row],[Feed_oz]]-tblPlant[[#This Row],[Tails_oz]])</f>
        <v/>
      </c>
      <c r="V333" s="60">
        <f>IF(AND(ISNUMBER(tblPlant[[#This Row],[Recovered_oz]]),tblPlant[[#This Row],[Feed_oz]]&gt;0),tblPlant[[#This Row],[Recovered_oz]]/tblPlant[[#This Row],[Feed_oz]],"")</f>
        <v/>
      </c>
      <c r="W333" s="59">
        <f>IF(AND(tblPlant[[#This Row],[Milled_t]]&lt;&gt;"",tblPlant[[#This Row],[Mill_Run_h]]&gt;0),tblPlant[[#This Row],[Milled_t]]/tblPlant[[#This Row],[Mill_Run_h]],"")</f>
        <v/>
      </c>
      <c r="X333" s="60">
        <f>IF(AND(tblPlant[[#This Row],[Mill_Run_h]]="",tblPlant[[#This Row],[Mill_Planned_Maint_h]]="",tblPlant[[#This Row],[Mill_Unplanned_Down_h]]=""),"",(cfg_HoursPerDay-tblPlant[[#This Row],[Mill_Planned_Maint_h]]-tblPlant[[#This Row],[Mill_Unplanned_Down_h]])/cfg_HoursPerDay)</f>
        <v/>
      </c>
      <c r="Y33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4">
      <c r="A334" s="54" t="n">
        <v>46351</v>
      </c>
      <c r="B334" s="55" t="n"/>
      <c r="C334" s="55" t="n"/>
      <c r="D334" s="56" t="n"/>
      <c r="E334" s="56" t="n"/>
      <c r="F334" s="55" t="n"/>
      <c r="G334" s="55" t="n"/>
      <c r="H334" s="57" t="n"/>
      <c r="I334" s="57" t="n"/>
      <c r="J334" s="57" t="n"/>
      <c r="K334" s="57" t="n"/>
      <c r="L334" s="55" t="n"/>
      <c r="M334" s="55" t="n"/>
      <c r="N334" s="55" t="n"/>
      <c r="O334" s="55" t="n"/>
      <c r="P334" s="55" t="n"/>
      <c r="Q334" s="55" t="n"/>
      <c r="R334" s="58" t="n"/>
      <c r="S334" s="59">
        <f>IF(OR(tblPlant[[#This Row],[Milled_t]]="",tblPlant[[#This Row],[Head_Grade_gpt]]=""),"",tblPlant[[#This Row],[Milled_t]]*tblPlant[[#This Row],[Head_Grade_gpt]]/cfg_TroyOz)</f>
        <v/>
      </c>
      <c r="T334" s="59">
        <f>IF(OR(tblPlant[[#This Row],[Milled_t]]="",tblPlant[[#This Row],[Tails_Grade_gpt]]=""),"",tblPlant[[#This Row],[Milled_t]]*tblPlant[[#This Row],[Tails_Grade_gpt]]/cfg_TroyOz)</f>
        <v/>
      </c>
      <c r="U334" s="59">
        <f>IF(OR(tblPlant[[#This Row],[Milled_t]]="",tblPlant[[#This Row],[Head_Grade_gpt]]="",tblPlant[[#This Row],[Tails_Grade_gpt]]=""),"",tblPlant[[#This Row],[Feed_oz]]-tblPlant[[#This Row],[Tails_oz]])</f>
        <v/>
      </c>
      <c r="V334" s="60">
        <f>IF(AND(ISNUMBER(tblPlant[[#This Row],[Recovered_oz]]),tblPlant[[#This Row],[Feed_oz]]&gt;0),tblPlant[[#This Row],[Recovered_oz]]/tblPlant[[#This Row],[Feed_oz]],"")</f>
        <v/>
      </c>
      <c r="W334" s="59">
        <f>IF(AND(tblPlant[[#This Row],[Milled_t]]&lt;&gt;"",tblPlant[[#This Row],[Mill_Run_h]]&gt;0),tblPlant[[#This Row],[Milled_t]]/tblPlant[[#This Row],[Mill_Run_h]],"")</f>
        <v/>
      </c>
      <c r="X334" s="60">
        <f>IF(AND(tblPlant[[#This Row],[Mill_Run_h]]="",tblPlant[[#This Row],[Mill_Planned_Maint_h]]="",tblPlant[[#This Row],[Mill_Unplanned_Down_h]]=""),"",(cfg_HoursPerDay-tblPlant[[#This Row],[Mill_Planned_Maint_h]]-tblPlant[[#This Row],[Mill_Unplanned_Down_h]])/cfg_HoursPerDay)</f>
        <v/>
      </c>
      <c r="Y33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5">
      <c r="A335" s="54" t="n">
        <v>46352</v>
      </c>
      <c r="B335" s="55" t="n"/>
      <c r="C335" s="55" t="n"/>
      <c r="D335" s="56" t="n"/>
      <c r="E335" s="56" t="n"/>
      <c r="F335" s="55" t="n"/>
      <c r="G335" s="55" t="n"/>
      <c r="H335" s="57" t="n"/>
      <c r="I335" s="57" t="n"/>
      <c r="J335" s="57" t="n"/>
      <c r="K335" s="57" t="n"/>
      <c r="L335" s="55" t="n"/>
      <c r="M335" s="55" t="n"/>
      <c r="N335" s="55" t="n"/>
      <c r="O335" s="55" t="n"/>
      <c r="P335" s="55" t="n"/>
      <c r="Q335" s="55" t="n"/>
      <c r="R335" s="58" t="n"/>
      <c r="S335" s="59">
        <f>IF(OR(tblPlant[[#This Row],[Milled_t]]="",tblPlant[[#This Row],[Head_Grade_gpt]]=""),"",tblPlant[[#This Row],[Milled_t]]*tblPlant[[#This Row],[Head_Grade_gpt]]/cfg_TroyOz)</f>
        <v/>
      </c>
      <c r="T335" s="59">
        <f>IF(OR(tblPlant[[#This Row],[Milled_t]]="",tblPlant[[#This Row],[Tails_Grade_gpt]]=""),"",tblPlant[[#This Row],[Milled_t]]*tblPlant[[#This Row],[Tails_Grade_gpt]]/cfg_TroyOz)</f>
        <v/>
      </c>
      <c r="U335" s="59">
        <f>IF(OR(tblPlant[[#This Row],[Milled_t]]="",tblPlant[[#This Row],[Head_Grade_gpt]]="",tblPlant[[#This Row],[Tails_Grade_gpt]]=""),"",tblPlant[[#This Row],[Feed_oz]]-tblPlant[[#This Row],[Tails_oz]])</f>
        <v/>
      </c>
      <c r="V335" s="60">
        <f>IF(AND(ISNUMBER(tblPlant[[#This Row],[Recovered_oz]]),tblPlant[[#This Row],[Feed_oz]]&gt;0),tblPlant[[#This Row],[Recovered_oz]]/tblPlant[[#This Row],[Feed_oz]],"")</f>
        <v/>
      </c>
      <c r="W335" s="59">
        <f>IF(AND(tblPlant[[#This Row],[Milled_t]]&lt;&gt;"",tblPlant[[#This Row],[Mill_Run_h]]&gt;0),tblPlant[[#This Row],[Milled_t]]/tblPlant[[#This Row],[Mill_Run_h]],"")</f>
        <v/>
      </c>
      <c r="X335" s="60">
        <f>IF(AND(tblPlant[[#This Row],[Mill_Run_h]]="",tblPlant[[#This Row],[Mill_Planned_Maint_h]]="",tblPlant[[#This Row],[Mill_Unplanned_Down_h]]=""),"",(cfg_HoursPerDay-tblPlant[[#This Row],[Mill_Planned_Maint_h]]-tblPlant[[#This Row],[Mill_Unplanned_Down_h]])/cfg_HoursPerDay)</f>
        <v/>
      </c>
      <c r="Y33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6">
      <c r="A336" s="54" t="n">
        <v>46353</v>
      </c>
      <c r="B336" s="55" t="n"/>
      <c r="C336" s="55" t="n"/>
      <c r="D336" s="56" t="n"/>
      <c r="E336" s="56" t="n"/>
      <c r="F336" s="55" t="n"/>
      <c r="G336" s="55" t="n"/>
      <c r="H336" s="57" t="n"/>
      <c r="I336" s="57" t="n"/>
      <c r="J336" s="57" t="n"/>
      <c r="K336" s="57" t="n"/>
      <c r="L336" s="55" t="n"/>
      <c r="M336" s="55" t="n"/>
      <c r="N336" s="55" t="n"/>
      <c r="O336" s="55" t="n"/>
      <c r="P336" s="55" t="n"/>
      <c r="Q336" s="55" t="n"/>
      <c r="R336" s="58" t="n"/>
      <c r="S336" s="59">
        <f>IF(OR(tblPlant[[#This Row],[Milled_t]]="",tblPlant[[#This Row],[Head_Grade_gpt]]=""),"",tblPlant[[#This Row],[Milled_t]]*tblPlant[[#This Row],[Head_Grade_gpt]]/cfg_TroyOz)</f>
        <v/>
      </c>
      <c r="T336" s="59">
        <f>IF(OR(tblPlant[[#This Row],[Milled_t]]="",tblPlant[[#This Row],[Tails_Grade_gpt]]=""),"",tblPlant[[#This Row],[Milled_t]]*tblPlant[[#This Row],[Tails_Grade_gpt]]/cfg_TroyOz)</f>
        <v/>
      </c>
      <c r="U336" s="59">
        <f>IF(OR(tblPlant[[#This Row],[Milled_t]]="",tblPlant[[#This Row],[Head_Grade_gpt]]="",tblPlant[[#This Row],[Tails_Grade_gpt]]=""),"",tblPlant[[#This Row],[Feed_oz]]-tblPlant[[#This Row],[Tails_oz]])</f>
        <v/>
      </c>
      <c r="V336" s="60">
        <f>IF(AND(ISNUMBER(tblPlant[[#This Row],[Recovered_oz]]),tblPlant[[#This Row],[Feed_oz]]&gt;0),tblPlant[[#This Row],[Recovered_oz]]/tblPlant[[#This Row],[Feed_oz]],"")</f>
        <v/>
      </c>
      <c r="W336" s="59">
        <f>IF(AND(tblPlant[[#This Row],[Milled_t]]&lt;&gt;"",tblPlant[[#This Row],[Mill_Run_h]]&gt;0),tblPlant[[#This Row],[Milled_t]]/tblPlant[[#This Row],[Mill_Run_h]],"")</f>
        <v/>
      </c>
      <c r="X336" s="60">
        <f>IF(AND(tblPlant[[#This Row],[Mill_Run_h]]="",tblPlant[[#This Row],[Mill_Planned_Maint_h]]="",tblPlant[[#This Row],[Mill_Unplanned_Down_h]]=""),"",(cfg_HoursPerDay-tblPlant[[#This Row],[Mill_Planned_Maint_h]]-tblPlant[[#This Row],[Mill_Unplanned_Down_h]])/cfg_HoursPerDay)</f>
        <v/>
      </c>
      <c r="Y33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7">
      <c r="A337" s="54" t="n">
        <v>46354</v>
      </c>
      <c r="B337" s="55" t="n"/>
      <c r="C337" s="55" t="n"/>
      <c r="D337" s="56" t="n"/>
      <c r="E337" s="56" t="n"/>
      <c r="F337" s="55" t="n"/>
      <c r="G337" s="55" t="n"/>
      <c r="H337" s="57" t="n"/>
      <c r="I337" s="57" t="n"/>
      <c r="J337" s="57" t="n"/>
      <c r="K337" s="57" t="n"/>
      <c r="L337" s="55" t="n"/>
      <c r="M337" s="55" t="n"/>
      <c r="N337" s="55" t="n"/>
      <c r="O337" s="55" t="n"/>
      <c r="P337" s="55" t="n"/>
      <c r="Q337" s="55" t="n"/>
      <c r="R337" s="58" t="n"/>
      <c r="S337" s="59">
        <f>IF(OR(tblPlant[[#This Row],[Milled_t]]="",tblPlant[[#This Row],[Head_Grade_gpt]]=""),"",tblPlant[[#This Row],[Milled_t]]*tblPlant[[#This Row],[Head_Grade_gpt]]/cfg_TroyOz)</f>
        <v/>
      </c>
      <c r="T337" s="59">
        <f>IF(OR(tblPlant[[#This Row],[Milled_t]]="",tblPlant[[#This Row],[Tails_Grade_gpt]]=""),"",tblPlant[[#This Row],[Milled_t]]*tblPlant[[#This Row],[Tails_Grade_gpt]]/cfg_TroyOz)</f>
        <v/>
      </c>
      <c r="U337" s="59">
        <f>IF(OR(tblPlant[[#This Row],[Milled_t]]="",tblPlant[[#This Row],[Head_Grade_gpt]]="",tblPlant[[#This Row],[Tails_Grade_gpt]]=""),"",tblPlant[[#This Row],[Feed_oz]]-tblPlant[[#This Row],[Tails_oz]])</f>
        <v/>
      </c>
      <c r="V337" s="60">
        <f>IF(AND(ISNUMBER(tblPlant[[#This Row],[Recovered_oz]]),tblPlant[[#This Row],[Feed_oz]]&gt;0),tblPlant[[#This Row],[Recovered_oz]]/tblPlant[[#This Row],[Feed_oz]],"")</f>
        <v/>
      </c>
      <c r="W337" s="59">
        <f>IF(AND(tblPlant[[#This Row],[Milled_t]]&lt;&gt;"",tblPlant[[#This Row],[Mill_Run_h]]&gt;0),tblPlant[[#This Row],[Milled_t]]/tblPlant[[#This Row],[Mill_Run_h]],"")</f>
        <v/>
      </c>
      <c r="X337" s="60">
        <f>IF(AND(tblPlant[[#This Row],[Mill_Run_h]]="",tblPlant[[#This Row],[Mill_Planned_Maint_h]]="",tblPlant[[#This Row],[Mill_Unplanned_Down_h]]=""),"",(cfg_HoursPerDay-tblPlant[[#This Row],[Mill_Planned_Maint_h]]-tblPlant[[#This Row],[Mill_Unplanned_Down_h]])/cfg_HoursPerDay)</f>
        <v/>
      </c>
      <c r="Y33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8">
      <c r="A338" s="54" t="n">
        <v>46355</v>
      </c>
      <c r="B338" s="55" t="n"/>
      <c r="C338" s="55" t="n"/>
      <c r="D338" s="56" t="n"/>
      <c r="E338" s="56" t="n"/>
      <c r="F338" s="55" t="n"/>
      <c r="G338" s="55" t="n"/>
      <c r="H338" s="57" t="n"/>
      <c r="I338" s="57" t="n"/>
      <c r="J338" s="57" t="n"/>
      <c r="K338" s="57" t="n"/>
      <c r="L338" s="55" t="n"/>
      <c r="M338" s="55" t="n"/>
      <c r="N338" s="55" t="n"/>
      <c r="O338" s="55" t="n"/>
      <c r="P338" s="55" t="n"/>
      <c r="Q338" s="55" t="n"/>
      <c r="R338" s="58" t="n"/>
      <c r="S338" s="59">
        <f>IF(OR(tblPlant[[#This Row],[Milled_t]]="",tblPlant[[#This Row],[Head_Grade_gpt]]=""),"",tblPlant[[#This Row],[Milled_t]]*tblPlant[[#This Row],[Head_Grade_gpt]]/cfg_TroyOz)</f>
        <v/>
      </c>
      <c r="T338" s="59">
        <f>IF(OR(tblPlant[[#This Row],[Milled_t]]="",tblPlant[[#This Row],[Tails_Grade_gpt]]=""),"",tblPlant[[#This Row],[Milled_t]]*tblPlant[[#This Row],[Tails_Grade_gpt]]/cfg_TroyOz)</f>
        <v/>
      </c>
      <c r="U338" s="59">
        <f>IF(OR(tblPlant[[#This Row],[Milled_t]]="",tblPlant[[#This Row],[Head_Grade_gpt]]="",tblPlant[[#This Row],[Tails_Grade_gpt]]=""),"",tblPlant[[#This Row],[Feed_oz]]-tblPlant[[#This Row],[Tails_oz]])</f>
        <v/>
      </c>
      <c r="V338" s="60">
        <f>IF(AND(ISNUMBER(tblPlant[[#This Row],[Recovered_oz]]),tblPlant[[#This Row],[Feed_oz]]&gt;0),tblPlant[[#This Row],[Recovered_oz]]/tblPlant[[#This Row],[Feed_oz]],"")</f>
        <v/>
      </c>
      <c r="W338" s="59">
        <f>IF(AND(tblPlant[[#This Row],[Milled_t]]&lt;&gt;"",tblPlant[[#This Row],[Mill_Run_h]]&gt;0),tblPlant[[#This Row],[Milled_t]]/tblPlant[[#This Row],[Mill_Run_h]],"")</f>
        <v/>
      </c>
      <c r="X338" s="60">
        <f>IF(AND(tblPlant[[#This Row],[Mill_Run_h]]="",tblPlant[[#This Row],[Mill_Planned_Maint_h]]="",tblPlant[[#This Row],[Mill_Unplanned_Down_h]]=""),"",(cfg_HoursPerDay-tblPlant[[#This Row],[Mill_Planned_Maint_h]]-tblPlant[[#This Row],[Mill_Unplanned_Down_h]])/cfg_HoursPerDay)</f>
        <v/>
      </c>
      <c r="Y33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39">
      <c r="A339" s="54" t="n">
        <v>46356</v>
      </c>
      <c r="B339" s="55" t="n"/>
      <c r="C339" s="55" t="n"/>
      <c r="D339" s="56" t="n"/>
      <c r="E339" s="56" t="n"/>
      <c r="F339" s="55" t="n"/>
      <c r="G339" s="55" t="n"/>
      <c r="H339" s="57" t="n"/>
      <c r="I339" s="57" t="n"/>
      <c r="J339" s="57" t="n"/>
      <c r="K339" s="57" t="n"/>
      <c r="L339" s="55" t="n"/>
      <c r="M339" s="55" t="n"/>
      <c r="N339" s="55" t="n"/>
      <c r="O339" s="55" t="n"/>
      <c r="P339" s="55" t="n"/>
      <c r="Q339" s="55" t="n"/>
      <c r="R339" s="58" t="n"/>
      <c r="S339" s="59">
        <f>IF(OR(tblPlant[[#This Row],[Milled_t]]="",tblPlant[[#This Row],[Head_Grade_gpt]]=""),"",tblPlant[[#This Row],[Milled_t]]*tblPlant[[#This Row],[Head_Grade_gpt]]/cfg_TroyOz)</f>
        <v/>
      </c>
      <c r="T339" s="59">
        <f>IF(OR(tblPlant[[#This Row],[Milled_t]]="",tblPlant[[#This Row],[Tails_Grade_gpt]]=""),"",tblPlant[[#This Row],[Milled_t]]*tblPlant[[#This Row],[Tails_Grade_gpt]]/cfg_TroyOz)</f>
        <v/>
      </c>
      <c r="U339" s="59">
        <f>IF(OR(tblPlant[[#This Row],[Milled_t]]="",tblPlant[[#This Row],[Head_Grade_gpt]]="",tblPlant[[#This Row],[Tails_Grade_gpt]]=""),"",tblPlant[[#This Row],[Feed_oz]]-tblPlant[[#This Row],[Tails_oz]])</f>
        <v/>
      </c>
      <c r="V339" s="60">
        <f>IF(AND(ISNUMBER(tblPlant[[#This Row],[Recovered_oz]]),tblPlant[[#This Row],[Feed_oz]]&gt;0),tblPlant[[#This Row],[Recovered_oz]]/tblPlant[[#This Row],[Feed_oz]],"")</f>
        <v/>
      </c>
      <c r="W339" s="59">
        <f>IF(AND(tblPlant[[#This Row],[Milled_t]]&lt;&gt;"",tblPlant[[#This Row],[Mill_Run_h]]&gt;0),tblPlant[[#This Row],[Milled_t]]/tblPlant[[#This Row],[Mill_Run_h]],"")</f>
        <v/>
      </c>
      <c r="X339" s="60">
        <f>IF(AND(tblPlant[[#This Row],[Mill_Run_h]]="",tblPlant[[#This Row],[Mill_Planned_Maint_h]]="",tblPlant[[#This Row],[Mill_Unplanned_Down_h]]=""),"",(cfg_HoursPerDay-tblPlant[[#This Row],[Mill_Planned_Maint_h]]-tblPlant[[#This Row],[Mill_Unplanned_Down_h]])/cfg_HoursPerDay)</f>
        <v/>
      </c>
      <c r="Y33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0">
      <c r="A340" s="54" t="n">
        <v>46357</v>
      </c>
      <c r="B340" s="55" t="n"/>
      <c r="C340" s="55" t="n"/>
      <c r="D340" s="56" t="n"/>
      <c r="E340" s="56" t="n"/>
      <c r="F340" s="55" t="n"/>
      <c r="G340" s="55" t="n"/>
      <c r="H340" s="57" t="n"/>
      <c r="I340" s="57" t="n"/>
      <c r="J340" s="57" t="n"/>
      <c r="K340" s="57" t="n"/>
      <c r="L340" s="55" t="n"/>
      <c r="M340" s="55" t="n"/>
      <c r="N340" s="55" t="n"/>
      <c r="O340" s="55" t="n"/>
      <c r="P340" s="55" t="n"/>
      <c r="Q340" s="55" t="n"/>
      <c r="R340" s="58" t="n"/>
      <c r="S340" s="59">
        <f>IF(OR(tblPlant[[#This Row],[Milled_t]]="",tblPlant[[#This Row],[Head_Grade_gpt]]=""),"",tblPlant[[#This Row],[Milled_t]]*tblPlant[[#This Row],[Head_Grade_gpt]]/cfg_TroyOz)</f>
        <v/>
      </c>
      <c r="T340" s="59">
        <f>IF(OR(tblPlant[[#This Row],[Milled_t]]="",tblPlant[[#This Row],[Tails_Grade_gpt]]=""),"",tblPlant[[#This Row],[Milled_t]]*tblPlant[[#This Row],[Tails_Grade_gpt]]/cfg_TroyOz)</f>
        <v/>
      </c>
      <c r="U340" s="59">
        <f>IF(OR(tblPlant[[#This Row],[Milled_t]]="",tblPlant[[#This Row],[Head_Grade_gpt]]="",tblPlant[[#This Row],[Tails_Grade_gpt]]=""),"",tblPlant[[#This Row],[Feed_oz]]-tblPlant[[#This Row],[Tails_oz]])</f>
        <v/>
      </c>
      <c r="V340" s="60">
        <f>IF(AND(ISNUMBER(tblPlant[[#This Row],[Recovered_oz]]),tblPlant[[#This Row],[Feed_oz]]&gt;0),tblPlant[[#This Row],[Recovered_oz]]/tblPlant[[#This Row],[Feed_oz]],"")</f>
        <v/>
      </c>
      <c r="W340" s="59">
        <f>IF(AND(tblPlant[[#This Row],[Milled_t]]&lt;&gt;"",tblPlant[[#This Row],[Mill_Run_h]]&gt;0),tblPlant[[#This Row],[Milled_t]]/tblPlant[[#This Row],[Mill_Run_h]],"")</f>
        <v/>
      </c>
      <c r="X340" s="60">
        <f>IF(AND(tblPlant[[#This Row],[Mill_Run_h]]="",tblPlant[[#This Row],[Mill_Planned_Maint_h]]="",tblPlant[[#This Row],[Mill_Unplanned_Down_h]]=""),"",(cfg_HoursPerDay-tblPlant[[#This Row],[Mill_Planned_Maint_h]]-tblPlant[[#This Row],[Mill_Unplanned_Down_h]])/cfg_HoursPerDay)</f>
        <v/>
      </c>
      <c r="Y34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1">
      <c r="A341" s="54" t="n">
        <v>46358</v>
      </c>
      <c r="B341" s="55" t="n"/>
      <c r="C341" s="55" t="n"/>
      <c r="D341" s="56" t="n"/>
      <c r="E341" s="56" t="n"/>
      <c r="F341" s="55" t="n"/>
      <c r="G341" s="55" t="n"/>
      <c r="H341" s="57" t="n"/>
      <c r="I341" s="57" t="n"/>
      <c r="J341" s="57" t="n"/>
      <c r="K341" s="57" t="n"/>
      <c r="L341" s="55" t="n"/>
      <c r="M341" s="55" t="n"/>
      <c r="N341" s="55" t="n"/>
      <c r="O341" s="55" t="n"/>
      <c r="P341" s="55" t="n"/>
      <c r="Q341" s="55" t="n"/>
      <c r="R341" s="58" t="n"/>
      <c r="S341" s="59">
        <f>IF(OR(tblPlant[[#This Row],[Milled_t]]="",tblPlant[[#This Row],[Head_Grade_gpt]]=""),"",tblPlant[[#This Row],[Milled_t]]*tblPlant[[#This Row],[Head_Grade_gpt]]/cfg_TroyOz)</f>
        <v/>
      </c>
      <c r="T341" s="59">
        <f>IF(OR(tblPlant[[#This Row],[Milled_t]]="",tblPlant[[#This Row],[Tails_Grade_gpt]]=""),"",tblPlant[[#This Row],[Milled_t]]*tblPlant[[#This Row],[Tails_Grade_gpt]]/cfg_TroyOz)</f>
        <v/>
      </c>
      <c r="U341" s="59">
        <f>IF(OR(tblPlant[[#This Row],[Milled_t]]="",tblPlant[[#This Row],[Head_Grade_gpt]]="",tblPlant[[#This Row],[Tails_Grade_gpt]]=""),"",tblPlant[[#This Row],[Feed_oz]]-tblPlant[[#This Row],[Tails_oz]])</f>
        <v/>
      </c>
      <c r="V341" s="60">
        <f>IF(AND(ISNUMBER(tblPlant[[#This Row],[Recovered_oz]]),tblPlant[[#This Row],[Feed_oz]]&gt;0),tblPlant[[#This Row],[Recovered_oz]]/tblPlant[[#This Row],[Feed_oz]],"")</f>
        <v/>
      </c>
      <c r="W341" s="59">
        <f>IF(AND(tblPlant[[#This Row],[Milled_t]]&lt;&gt;"",tblPlant[[#This Row],[Mill_Run_h]]&gt;0),tblPlant[[#This Row],[Milled_t]]/tblPlant[[#This Row],[Mill_Run_h]],"")</f>
        <v/>
      </c>
      <c r="X341" s="60">
        <f>IF(AND(tblPlant[[#This Row],[Mill_Run_h]]="",tblPlant[[#This Row],[Mill_Planned_Maint_h]]="",tblPlant[[#This Row],[Mill_Unplanned_Down_h]]=""),"",(cfg_HoursPerDay-tblPlant[[#This Row],[Mill_Planned_Maint_h]]-tblPlant[[#This Row],[Mill_Unplanned_Down_h]])/cfg_HoursPerDay)</f>
        <v/>
      </c>
      <c r="Y34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2">
      <c r="A342" s="54" t="n">
        <v>46359</v>
      </c>
      <c r="B342" s="55" t="n"/>
      <c r="C342" s="55" t="n"/>
      <c r="D342" s="56" t="n"/>
      <c r="E342" s="56" t="n"/>
      <c r="F342" s="55" t="n"/>
      <c r="G342" s="55" t="n"/>
      <c r="H342" s="57" t="n"/>
      <c r="I342" s="57" t="n"/>
      <c r="J342" s="57" t="n"/>
      <c r="K342" s="57" t="n"/>
      <c r="L342" s="55" t="n"/>
      <c r="M342" s="55" t="n"/>
      <c r="N342" s="55" t="n"/>
      <c r="O342" s="55" t="n"/>
      <c r="P342" s="55" t="n"/>
      <c r="Q342" s="55" t="n"/>
      <c r="R342" s="58" t="n"/>
      <c r="S342" s="59">
        <f>IF(OR(tblPlant[[#This Row],[Milled_t]]="",tblPlant[[#This Row],[Head_Grade_gpt]]=""),"",tblPlant[[#This Row],[Milled_t]]*tblPlant[[#This Row],[Head_Grade_gpt]]/cfg_TroyOz)</f>
        <v/>
      </c>
      <c r="T342" s="59">
        <f>IF(OR(tblPlant[[#This Row],[Milled_t]]="",tblPlant[[#This Row],[Tails_Grade_gpt]]=""),"",tblPlant[[#This Row],[Milled_t]]*tblPlant[[#This Row],[Tails_Grade_gpt]]/cfg_TroyOz)</f>
        <v/>
      </c>
      <c r="U342" s="59">
        <f>IF(OR(tblPlant[[#This Row],[Milled_t]]="",tblPlant[[#This Row],[Head_Grade_gpt]]="",tblPlant[[#This Row],[Tails_Grade_gpt]]=""),"",tblPlant[[#This Row],[Feed_oz]]-tblPlant[[#This Row],[Tails_oz]])</f>
        <v/>
      </c>
      <c r="V342" s="60">
        <f>IF(AND(ISNUMBER(tblPlant[[#This Row],[Recovered_oz]]),tblPlant[[#This Row],[Feed_oz]]&gt;0),tblPlant[[#This Row],[Recovered_oz]]/tblPlant[[#This Row],[Feed_oz]],"")</f>
        <v/>
      </c>
      <c r="W342" s="59">
        <f>IF(AND(tblPlant[[#This Row],[Milled_t]]&lt;&gt;"",tblPlant[[#This Row],[Mill_Run_h]]&gt;0),tblPlant[[#This Row],[Milled_t]]/tblPlant[[#This Row],[Mill_Run_h]],"")</f>
        <v/>
      </c>
      <c r="X342" s="60">
        <f>IF(AND(tblPlant[[#This Row],[Mill_Run_h]]="",tblPlant[[#This Row],[Mill_Planned_Maint_h]]="",tblPlant[[#This Row],[Mill_Unplanned_Down_h]]=""),"",(cfg_HoursPerDay-tblPlant[[#This Row],[Mill_Planned_Maint_h]]-tblPlant[[#This Row],[Mill_Unplanned_Down_h]])/cfg_HoursPerDay)</f>
        <v/>
      </c>
      <c r="Y34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3">
      <c r="A343" s="54" t="n">
        <v>46360</v>
      </c>
      <c r="B343" s="55" t="n"/>
      <c r="C343" s="55" t="n"/>
      <c r="D343" s="56" t="n"/>
      <c r="E343" s="56" t="n"/>
      <c r="F343" s="55" t="n"/>
      <c r="G343" s="55" t="n"/>
      <c r="H343" s="57" t="n"/>
      <c r="I343" s="57" t="n"/>
      <c r="J343" s="57" t="n"/>
      <c r="K343" s="57" t="n"/>
      <c r="L343" s="55" t="n"/>
      <c r="M343" s="55" t="n"/>
      <c r="N343" s="55" t="n"/>
      <c r="O343" s="55" t="n"/>
      <c r="P343" s="55" t="n"/>
      <c r="Q343" s="55" t="n"/>
      <c r="R343" s="58" t="n"/>
      <c r="S343" s="59">
        <f>IF(OR(tblPlant[[#This Row],[Milled_t]]="",tblPlant[[#This Row],[Head_Grade_gpt]]=""),"",tblPlant[[#This Row],[Milled_t]]*tblPlant[[#This Row],[Head_Grade_gpt]]/cfg_TroyOz)</f>
        <v/>
      </c>
      <c r="T343" s="59">
        <f>IF(OR(tblPlant[[#This Row],[Milled_t]]="",tblPlant[[#This Row],[Tails_Grade_gpt]]=""),"",tblPlant[[#This Row],[Milled_t]]*tblPlant[[#This Row],[Tails_Grade_gpt]]/cfg_TroyOz)</f>
        <v/>
      </c>
      <c r="U343" s="59">
        <f>IF(OR(tblPlant[[#This Row],[Milled_t]]="",tblPlant[[#This Row],[Head_Grade_gpt]]="",tblPlant[[#This Row],[Tails_Grade_gpt]]=""),"",tblPlant[[#This Row],[Feed_oz]]-tblPlant[[#This Row],[Tails_oz]])</f>
        <v/>
      </c>
      <c r="V343" s="60">
        <f>IF(AND(ISNUMBER(tblPlant[[#This Row],[Recovered_oz]]),tblPlant[[#This Row],[Feed_oz]]&gt;0),tblPlant[[#This Row],[Recovered_oz]]/tblPlant[[#This Row],[Feed_oz]],"")</f>
        <v/>
      </c>
      <c r="W343" s="59">
        <f>IF(AND(tblPlant[[#This Row],[Milled_t]]&lt;&gt;"",tblPlant[[#This Row],[Mill_Run_h]]&gt;0),tblPlant[[#This Row],[Milled_t]]/tblPlant[[#This Row],[Mill_Run_h]],"")</f>
        <v/>
      </c>
      <c r="X343" s="60">
        <f>IF(AND(tblPlant[[#This Row],[Mill_Run_h]]="",tblPlant[[#This Row],[Mill_Planned_Maint_h]]="",tblPlant[[#This Row],[Mill_Unplanned_Down_h]]=""),"",(cfg_HoursPerDay-tblPlant[[#This Row],[Mill_Planned_Maint_h]]-tblPlant[[#This Row],[Mill_Unplanned_Down_h]])/cfg_HoursPerDay)</f>
        <v/>
      </c>
      <c r="Y34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4">
      <c r="A344" s="54" t="n">
        <v>46361</v>
      </c>
      <c r="B344" s="55" t="n"/>
      <c r="C344" s="55" t="n"/>
      <c r="D344" s="56" t="n"/>
      <c r="E344" s="56" t="n"/>
      <c r="F344" s="55" t="n"/>
      <c r="G344" s="55" t="n"/>
      <c r="H344" s="57" t="n"/>
      <c r="I344" s="57" t="n"/>
      <c r="J344" s="57" t="n"/>
      <c r="K344" s="57" t="n"/>
      <c r="L344" s="55" t="n"/>
      <c r="M344" s="55" t="n"/>
      <c r="N344" s="55" t="n"/>
      <c r="O344" s="55" t="n"/>
      <c r="P344" s="55" t="n"/>
      <c r="Q344" s="55" t="n"/>
      <c r="R344" s="58" t="n"/>
      <c r="S344" s="59">
        <f>IF(OR(tblPlant[[#This Row],[Milled_t]]="",tblPlant[[#This Row],[Head_Grade_gpt]]=""),"",tblPlant[[#This Row],[Milled_t]]*tblPlant[[#This Row],[Head_Grade_gpt]]/cfg_TroyOz)</f>
        <v/>
      </c>
      <c r="T344" s="59">
        <f>IF(OR(tblPlant[[#This Row],[Milled_t]]="",tblPlant[[#This Row],[Tails_Grade_gpt]]=""),"",tblPlant[[#This Row],[Milled_t]]*tblPlant[[#This Row],[Tails_Grade_gpt]]/cfg_TroyOz)</f>
        <v/>
      </c>
      <c r="U344" s="59">
        <f>IF(OR(tblPlant[[#This Row],[Milled_t]]="",tblPlant[[#This Row],[Head_Grade_gpt]]="",tblPlant[[#This Row],[Tails_Grade_gpt]]=""),"",tblPlant[[#This Row],[Feed_oz]]-tblPlant[[#This Row],[Tails_oz]])</f>
        <v/>
      </c>
      <c r="V344" s="60">
        <f>IF(AND(ISNUMBER(tblPlant[[#This Row],[Recovered_oz]]),tblPlant[[#This Row],[Feed_oz]]&gt;0),tblPlant[[#This Row],[Recovered_oz]]/tblPlant[[#This Row],[Feed_oz]],"")</f>
        <v/>
      </c>
      <c r="W344" s="59">
        <f>IF(AND(tblPlant[[#This Row],[Milled_t]]&lt;&gt;"",tblPlant[[#This Row],[Mill_Run_h]]&gt;0),tblPlant[[#This Row],[Milled_t]]/tblPlant[[#This Row],[Mill_Run_h]],"")</f>
        <v/>
      </c>
      <c r="X344" s="60">
        <f>IF(AND(tblPlant[[#This Row],[Mill_Run_h]]="",tblPlant[[#This Row],[Mill_Planned_Maint_h]]="",tblPlant[[#This Row],[Mill_Unplanned_Down_h]]=""),"",(cfg_HoursPerDay-tblPlant[[#This Row],[Mill_Planned_Maint_h]]-tblPlant[[#This Row],[Mill_Unplanned_Down_h]])/cfg_HoursPerDay)</f>
        <v/>
      </c>
      <c r="Y34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5">
      <c r="A345" s="54" t="n">
        <v>46362</v>
      </c>
      <c r="B345" s="55" t="n"/>
      <c r="C345" s="55" t="n"/>
      <c r="D345" s="56" t="n"/>
      <c r="E345" s="56" t="n"/>
      <c r="F345" s="55" t="n"/>
      <c r="G345" s="55" t="n"/>
      <c r="H345" s="57" t="n"/>
      <c r="I345" s="57" t="n"/>
      <c r="J345" s="57" t="n"/>
      <c r="K345" s="57" t="n"/>
      <c r="L345" s="55" t="n"/>
      <c r="M345" s="55" t="n"/>
      <c r="N345" s="55" t="n"/>
      <c r="O345" s="55" t="n"/>
      <c r="P345" s="55" t="n"/>
      <c r="Q345" s="55" t="n"/>
      <c r="R345" s="58" t="n"/>
      <c r="S345" s="59">
        <f>IF(OR(tblPlant[[#This Row],[Milled_t]]="",tblPlant[[#This Row],[Head_Grade_gpt]]=""),"",tblPlant[[#This Row],[Milled_t]]*tblPlant[[#This Row],[Head_Grade_gpt]]/cfg_TroyOz)</f>
        <v/>
      </c>
      <c r="T345" s="59">
        <f>IF(OR(tblPlant[[#This Row],[Milled_t]]="",tblPlant[[#This Row],[Tails_Grade_gpt]]=""),"",tblPlant[[#This Row],[Milled_t]]*tblPlant[[#This Row],[Tails_Grade_gpt]]/cfg_TroyOz)</f>
        <v/>
      </c>
      <c r="U345" s="59">
        <f>IF(OR(tblPlant[[#This Row],[Milled_t]]="",tblPlant[[#This Row],[Head_Grade_gpt]]="",tblPlant[[#This Row],[Tails_Grade_gpt]]=""),"",tblPlant[[#This Row],[Feed_oz]]-tblPlant[[#This Row],[Tails_oz]])</f>
        <v/>
      </c>
      <c r="V345" s="60">
        <f>IF(AND(ISNUMBER(tblPlant[[#This Row],[Recovered_oz]]),tblPlant[[#This Row],[Feed_oz]]&gt;0),tblPlant[[#This Row],[Recovered_oz]]/tblPlant[[#This Row],[Feed_oz]],"")</f>
        <v/>
      </c>
      <c r="W345" s="59">
        <f>IF(AND(tblPlant[[#This Row],[Milled_t]]&lt;&gt;"",tblPlant[[#This Row],[Mill_Run_h]]&gt;0),tblPlant[[#This Row],[Milled_t]]/tblPlant[[#This Row],[Mill_Run_h]],"")</f>
        <v/>
      </c>
      <c r="X345" s="60">
        <f>IF(AND(tblPlant[[#This Row],[Mill_Run_h]]="",tblPlant[[#This Row],[Mill_Planned_Maint_h]]="",tblPlant[[#This Row],[Mill_Unplanned_Down_h]]=""),"",(cfg_HoursPerDay-tblPlant[[#This Row],[Mill_Planned_Maint_h]]-tblPlant[[#This Row],[Mill_Unplanned_Down_h]])/cfg_HoursPerDay)</f>
        <v/>
      </c>
      <c r="Y34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6">
      <c r="A346" s="54" t="n">
        <v>46363</v>
      </c>
      <c r="B346" s="55" t="n"/>
      <c r="C346" s="55" t="n"/>
      <c r="D346" s="56" t="n"/>
      <c r="E346" s="56" t="n"/>
      <c r="F346" s="55" t="n"/>
      <c r="G346" s="55" t="n"/>
      <c r="H346" s="57" t="n"/>
      <c r="I346" s="57" t="n"/>
      <c r="J346" s="57" t="n"/>
      <c r="K346" s="57" t="n"/>
      <c r="L346" s="55" t="n"/>
      <c r="M346" s="55" t="n"/>
      <c r="N346" s="55" t="n"/>
      <c r="O346" s="55" t="n"/>
      <c r="P346" s="55" t="n"/>
      <c r="Q346" s="55" t="n"/>
      <c r="R346" s="58" t="n"/>
      <c r="S346" s="59">
        <f>IF(OR(tblPlant[[#This Row],[Milled_t]]="",tblPlant[[#This Row],[Head_Grade_gpt]]=""),"",tblPlant[[#This Row],[Milled_t]]*tblPlant[[#This Row],[Head_Grade_gpt]]/cfg_TroyOz)</f>
        <v/>
      </c>
      <c r="T346" s="59">
        <f>IF(OR(tblPlant[[#This Row],[Milled_t]]="",tblPlant[[#This Row],[Tails_Grade_gpt]]=""),"",tblPlant[[#This Row],[Milled_t]]*tblPlant[[#This Row],[Tails_Grade_gpt]]/cfg_TroyOz)</f>
        <v/>
      </c>
      <c r="U346" s="59">
        <f>IF(OR(tblPlant[[#This Row],[Milled_t]]="",tblPlant[[#This Row],[Head_Grade_gpt]]="",tblPlant[[#This Row],[Tails_Grade_gpt]]=""),"",tblPlant[[#This Row],[Feed_oz]]-tblPlant[[#This Row],[Tails_oz]])</f>
        <v/>
      </c>
      <c r="V346" s="60">
        <f>IF(AND(ISNUMBER(tblPlant[[#This Row],[Recovered_oz]]),tblPlant[[#This Row],[Feed_oz]]&gt;0),tblPlant[[#This Row],[Recovered_oz]]/tblPlant[[#This Row],[Feed_oz]],"")</f>
        <v/>
      </c>
      <c r="W346" s="59">
        <f>IF(AND(tblPlant[[#This Row],[Milled_t]]&lt;&gt;"",tblPlant[[#This Row],[Mill_Run_h]]&gt;0),tblPlant[[#This Row],[Milled_t]]/tblPlant[[#This Row],[Mill_Run_h]],"")</f>
        <v/>
      </c>
      <c r="X346" s="60">
        <f>IF(AND(tblPlant[[#This Row],[Mill_Run_h]]="",tblPlant[[#This Row],[Mill_Planned_Maint_h]]="",tblPlant[[#This Row],[Mill_Unplanned_Down_h]]=""),"",(cfg_HoursPerDay-tblPlant[[#This Row],[Mill_Planned_Maint_h]]-tblPlant[[#This Row],[Mill_Unplanned_Down_h]])/cfg_HoursPerDay)</f>
        <v/>
      </c>
      <c r="Y34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7">
      <c r="A347" s="54" t="n">
        <v>46364</v>
      </c>
      <c r="B347" s="55" t="n"/>
      <c r="C347" s="55" t="n"/>
      <c r="D347" s="56" t="n"/>
      <c r="E347" s="56" t="n"/>
      <c r="F347" s="55" t="n"/>
      <c r="G347" s="55" t="n"/>
      <c r="H347" s="57" t="n"/>
      <c r="I347" s="57" t="n"/>
      <c r="J347" s="57" t="n"/>
      <c r="K347" s="57" t="n"/>
      <c r="L347" s="55" t="n"/>
      <c r="M347" s="55" t="n"/>
      <c r="N347" s="55" t="n"/>
      <c r="O347" s="55" t="n"/>
      <c r="P347" s="55" t="n"/>
      <c r="Q347" s="55" t="n"/>
      <c r="R347" s="58" t="n"/>
      <c r="S347" s="59">
        <f>IF(OR(tblPlant[[#This Row],[Milled_t]]="",tblPlant[[#This Row],[Head_Grade_gpt]]=""),"",tblPlant[[#This Row],[Milled_t]]*tblPlant[[#This Row],[Head_Grade_gpt]]/cfg_TroyOz)</f>
        <v/>
      </c>
      <c r="T347" s="59">
        <f>IF(OR(tblPlant[[#This Row],[Milled_t]]="",tblPlant[[#This Row],[Tails_Grade_gpt]]=""),"",tblPlant[[#This Row],[Milled_t]]*tblPlant[[#This Row],[Tails_Grade_gpt]]/cfg_TroyOz)</f>
        <v/>
      </c>
      <c r="U347" s="59">
        <f>IF(OR(tblPlant[[#This Row],[Milled_t]]="",tblPlant[[#This Row],[Head_Grade_gpt]]="",tblPlant[[#This Row],[Tails_Grade_gpt]]=""),"",tblPlant[[#This Row],[Feed_oz]]-tblPlant[[#This Row],[Tails_oz]])</f>
        <v/>
      </c>
      <c r="V347" s="60">
        <f>IF(AND(ISNUMBER(tblPlant[[#This Row],[Recovered_oz]]),tblPlant[[#This Row],[Feed_oz]]&gt;0),tblPlant[[#This Row],[Recovered_oz]]/tblPlant[[#This Row],[Feed_oz]],"")</f>
        <v/>
      </c>
      <c r="W347" s="59">
        <f>IF(AND(tblPlant[[#This Row],[Milled_t]]&lt;&gt;"",tblPlant[[#This Row],[Mill_Run_h]]&gt;0),tblPlant[[#This Row],[Milled_t]]/tblPlant[[#This Row],[Mill_Run_h]],"")</f>
        <v/>
      </c>
      <c r="X347" s="60">
        <f>IF(AND(tblPlant[[#This Row],[Mill_Run_h]]="",tblPlant[[#This Row],[Mill_Planned_Maint_h]]="",tblPlant[[#This Row],[Mill_Unplanned_Down_h]]=""),"",(cfg_HoursPerDay-tblPlant[[#This Row],[Mill_Planned_Maint_h]]-tblPlant[[#This Row],[Mill_Unplanned_Down_h]])/cfg_HoursPerDay)</f>
        <v/>
      </c>
      <c r="Y34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8">
      <c r="A348" s="54" t="n">
        <v>46365</v>
      </c>
      <c r="B348" s="55" t="n"/>
      <c r="C348" s="55" t="n"/>
      <c r="D348" s="56" t="n"/>
      <c r="E348" s="56" t="n"/>
      <c r="F348" s="55" t="n"/>
      <c r="G348" s="55" t="n"/>
      <c r="H348" s="57" t="n"/>
      <c r="I348" s="57" t="n"/>
      <c r="J348" s="57" t="n"/>
      <c r="K348" s="57" t="n"/>
      <c r="L348" s="55" t="n"/>
      <c r="M348" s="55" t="n"/>
      <c r="N348" s="55" t="n"/>
      <c r="O348" s="55" t="n"/>
      <c r="P348" s="55" t="n"/>
      <c r="Q348" s="55" t="n"/>
      <c r="R348" s="58" t="n"/>
      <c r="S348" s="59">
        <f>IF(OR(tblPlant[[#This Row],[Milled_t]]="",tblPlant[[#This Row],[Head_Grade_gpt]]=""),"",tblPlant[[#This Row],[Milled_t]]*tblPlant[[#This Row],[Head_Grade_gpt]]/cfg_TroyOz)</f>
        <v/>
      </c>
      <c r="T348" s="59">
        <f>IF(OR(tblPlant[[#This Row],[Milled_t]]="",tblPlant[[#This Row],[Tails_Grade_gpt]]=""),"",tblPlant[[#This Row],[Milled_t]]*tblPlant[[#This Row],[Tails_Grade_gpt]]/cfg_TroyOz)</f>
        <v/>
      </c>
      <c r="U348" s="59">
        <f>IF(OR(tblPlant[[#This Row],[Milled_t]]="",tblPlant[[#This Row],[Head_Grade_gpt]]="",tblPlant[[#This Row],[Tails_Grade_gpt]]=""),"",tblPlant[[#This Row],[Feed_oz]]-tblPlant[[#This Row],[Tails_oz]])</f>
        <v/>
      </c>
      <c r="V348" s="60">
        <f>IF(AND(ISNUMBER(tblPlant[[#This Row],[Recovered_oz]]),tblPlant[[#This Row],[Feed_oz]]&gt;0),tblPlant[[#This Row],[Recovered_oz]]/tblPlant[[#This Row],[Feed_oz]],"")</f>
        <v/>
      </c>
      <c r="W348" s="59">
        <f>IF(AND(tblPlant[[#This Row],[Milled_t]]&lt;&gt;"",tblPlant[[#This Row],[Mill_Run_h]]&gt;0),tblPlant[[#This Row],[Milled_t]]/tblPlant[[#This Row],[Mill_Run_h]],"")</f>
        <v/>
      </c>
      <c r="X348" s="60">
        <f>IF(AND(tblPlant[[#This Row],[Mill_Run_h]]="",tblPlant[[#This Row],[Mill_Planned_Maint_h]]="",tblPlant[[#This Row],[Mill_Unplanned_Down_h]]=""),"",(cfg_HoursPerDay-tblPlant[[#This Row],[Mill_Planned_Maint_h]]-tblPlant[[#This Row],[Mill_Unplanned_Down_h]])/cfg_HoursPerDay)</f>
        <v/>
      </c>
      <c r="Y34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49">
      <c r="A349" s="54" t="n">
        <v>46366</v>
      </c>
      <c r="B349" s="55" t="n"/>
      <c r="C349" s="55" t="n"/>
      <c r="D349" s="56" t="n"/>
      <c r="E349" s="56" t="n"/>
      <c r="F349" s="55" t="n"/>
      <c r="G349" s="55" t="n"/>
      <c r="H349" s="57" t="n"/>
      <c r="I349" s="57" t="n"/>
      <c r="J349" s="57" t="n"/>
      <c r="K349" s="57" t="n"/>
      <c r="L349" s="55" t="n"/>
      <c r="M349" s="55" t="n"/>
      <c r="N349" s="55" t="n"/>
      <c r="O349" s="55" t="n"/>
      <c r="P349" s="55" t="n"/>
      <c r="Q349" s="55" t="n"/>
      <c r="R349" s="58" t="n"/>
      <c r="S349" s="59">
        <f>IF(OR(tblPlant[[#This Row],[Milled_t]]="",tblPlant[[#This Row],[Head_Grade_gpt]]=""),"",tblPlant[[#This Row],[Milled_t]]*tblPlant[[#This Row],[Head_Grade_gpt]]/cfg_TroyOz)</f>
        <v/>
      </c>
      <c r="T349" s="59">
        <f>IF(OR(tblPlant[[#This Row],[Milled_t]]="",tblPlant[[#This Row],[Tails_Grade_gpt]]=""),"",tblPlant[[#This Row],[Milled_t]]*tblPlant[[#This Row],[Tails_Grade_gpt]]/cfg_TroyOz)</f>
        <v/>
      </c>
      <c r="U349" s="59">
        <f>IF(OR(tblPlant[[#This Row],[Milled_t]]="",tblPlant[[#This Row],[Head_Grade_gpt]]="",tblPlant[[#This Row],[Tails_Grade_gpt]]=""),"",tblPlant[[#This Row],[Feed_oz]]-tblPlant[[#This Row],[Tails_oz]])</f>
        <v/>
      </c>
      <c r="V349" s="60">
        <f>IF(AND(ISNUMBER(tblPlant[[#This Row],[Recovered_oz]]),tblPlant[[#This Row],[Feed_oz]]&gt;0),tblPlant[[#This Row],[Recovered_oz]]/tblPlant[[#This Row],[Feed_oz]],"")</f>
        <v/>
      </c>
      <c r="W349" s="59">
        <f>IF(AND(tblPlant[[#This Row],[Milled_t]]&lt;&gt;"",tblPlant[[#This Row],[Mill_Run_h]]&gt;0),tblPlant[[#This Row],[Milled_t]]/tblPlant[[#This Row],[Mill_Run_h]],"")</f>
        <v/>
      </c>
      <c r="X349" s="60">
        <f>IF(AND(tblPlant[[#This Row],[Mill_Run_h]]="",tblPlant[[#This Row],[Mill_Planned_Maint_h]]="",tblPlant[[#This Row],[Mill_Unplanned_Down_h]]=""),"",(cfg_HoursPerDay-tblPlant[[#This Row],[Mill_Planned_Maint_h]]-tblPlant[[#This Row],[Mill_Unplanned_Down_h]])/cfg_HoursPerDay)</f>
        <v/>
      </c>
      <c r="Y34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0">
      <c r="A350" s="54" t="n">
        <v>46367</v>
      </c>
      <c r="B350" s="55" t="n"/>
      <c r="C350" s="55" t="n"/>
      <c r="D350" s="56" t="n"/>
      <c r="E350" s="56" t="n"/>
      <c r="F350" s="55" t="n"/>
      <c r="G350" s="55" t="n"/>
      <c r="H350" s="57" t="n"/>
      <c r="I350" s="57" t="n"/>
      <c r="J350" s="57" t="n"/>
      <c r="K350" s="57" t="n"/>
      <c r="L350" s="55" t="n"/>
      <c r="M350" s="55" t="n"/>
      <c r="N350" s="55" t="n"/>
      <c r="O350" s="55" t="n"/>
      <c r="P350" s="55" t="n"/>
      <c r="Q350" s="55" t="n"/>
      <c r="R350" s="58" t="n"/>
      <c r="S350" s="59">
        <f>IF(OR(tblPlant[[#This Row],[Milled_t]]="",tblPlant[[#This Row],[Head_Grade_gpt]]=""),"",tblPlant[[#This Row],[Milled_t]]*tblPlant[[#This Row],[Head_Grade_gpt]]/cfg_TroyOz)</f>
        <v/>
      </c>
      <c r="T350" s="59">
        <f>IF(OR(tblPlant[[#This Row],[Milled_t]]="",tblPlant[[#This Row],[Tails_Grade_gpt]]=""),"",tblPlant[[#This Row],[Milled_t]]*tblPlant[[#This Row],[Tails_Grade_gpt]]/cfg_TroyOz)</f>
        <v/>
      </c>
      <c r="U350" s="59">
        <f>IF(OR(tblPlant[[#This Row],[Milled_t]]="",tblPlant[[#This Row],[Head_Grade_gpt]]="",tblPlant[[#This Row],[Tails_Grade_gpt]]=""),"",tblPlant[[#This Row],[Feed_oz]]-tblPlant[[#This Row],[Tails_oz]])</f>
        <v/>
      </c>
      <c r="V350" s="60">
        <f>IF(AND(ISNUMBER(tblPlant[[#This Row],[Recovered_oz]]),tblPlant[[#This Row],[Feed_oz]]&gt;0),tblPlant[[#This Row],[Recovered_oz]]/tblPlant[[#This Row],[Feed_oz]],"")</f>
        <v/>
      </c>
      <c r="W350" s="59">
        <f>IF(AND(tblPlant[[#This Row],[Milled_t]]&lt;&gt;"",tblPlant[[#This Row],[Mill_Run_h]]&gt;0),tblPlant[[#This Row],[Milled_t]]/tblPlant[[#This Row],[Mill_Run_h]],"")</f>
        <v/>
      </c>
      <c r="X350" s="60">
        <f>IF(AND(tblPlant[[#This Row],[Mill_Run_h]]="",tblPlant[[#This Row],[Mill_Planned_Maint_h]]="",tblPlant[[#This Row],[Mill_Unplanned_Down_h]]=""),"",(cfg_HoursPerDay-tblPlant[[#This Row],[Mill_Planned_Maint_h]]-tblPlant[[#This Row],[Mill_Unplanned_Down_h]])/cfg_HoursPerDay)</f>
        <v/>
      </c>
      <c r="Y35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1">
      <c r="A351" s="54" t="n">
        <v>46368</v>
      </c>
      <c r="B351" s="55" t="n"/>
      <c r="C351" s="55" t="n"/>
      <c r="D351" s="56" t="n"/>
      <c r="E351" s="56" t="n"/>
      <c r="F351" s="55" t="n"/>
      <c r="G351" s="55" t="n"/>
      <c r="H351" s="57" t="n"/>
      <c r="I351" s="57" t="n"/>
      <c r="J351" s="57" t="n"/>
      <c r="K351" s="57" t="n"/>
      <c r="L351" s="55" t="n"/>
      <c r="M351" s="55" t="n"/>
      <c r="N351" s="55" t="n"/>
      <c r="O351" s="55" t="n"/>
      <c r="P351" s="55" t="n"/>
      <c r="Q351" s="55" t="n"/>
      <c r="R351" s="58" t="n"/>
      <c r="S351" s="59">
        <f>IF(OR(tblPlant[[#This Row],[Milled_t]]="",tblPlant[[#This Row],[Head_Grade_gpt]]=""),"",tblPlant[[#This Row],[Milled_t]]*tblPlant[[#This Row],[Head_Grade_gpt]]/cfg_TroyOz)</f>
        <v/>
      </c>
      <c r="T351" s="59">
        <f>IF(OR(tblPlant[[#This Row],[Milled_t]]="",tblPlant[[#This Row],[Tails_Grade_gpt]]=""),"",tblPlant[[#This Row],[Milled_t]]*tblPlant[[#This Row],[Tails_Grade_gpt]]/cfg_TroyOz)</f>
        <v/>
      </c>
      <c r="U351" s="59">
        <f>IF(OR(tblPlant[[#This Row],[Milled_t]]="",tblPlant[[#This Row],[Head_Grade_gpt]]="",tblPlant[[#This Row],[Tails_Grade_gpt]]=""),"",tblPlant[[#This Row],[Feed_oz]]-tblPlant[[#This Row],[Tails_oz]])</f>
        <v/>
      </c>
      <c r="V351" s="60">
        <f>IF(AND(ISNUMBER(tblPlant[[#This Row],[Recovered_oz]]),tblPlant[[#This Row],[Feed_oz]]&gt;0),tblPlant[[#This Row],[Recovered_oz]]/tblPlant[[#This Row],[Feed_oz]],"")</f>
        <v/>
      </c>
      <c r="W351" s="59">
        <f>IF(AND(tblPlant[[#This Row],[Milled_t]]&lt;&gt;"",tblPlant[[#This Row],[Mill_Run_h]]&gt;0),tblPlant[[#This Row],[Milled_t]]/tblPlant[[#This Row],[Mill_Run_h]],"")</f>
        <v/>
      </c>
      <c r="X351" s="60">
        <f>IF(AND(tblPlant[[#This Row],[Mill_Run_h]]="",tblPlant[[#This Row],[Mill_Planned_Maint_h]]="",tblPlant[[#This Row],[Mill_Unplanned_Down_h]]=""),"",(cfg_HoursPerDay-tblPlant[[#This Row],[Mill_Planned_Maint_h]]-tblPlant[[#This Row],[Mill_Unplanned_Down_h]])/cfg_HoursPerDay)</f>
        <v/>
      </c>
      <c r="Y35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2">
      <c r="A352" s="54" t="n">
        <v>46369</v>
      </c>
      <c r="B352" s="55" t="n"/>
      <c r="C352" s="55" t="n"/>
      <c r="D352" s="56" t="n"/>
      <c r="E352" s="56" t="n"/>
      <c r="F352" s="55" t="n"/>
      <c r="G352" s="55" t="n"/>
      <c r="H352" s="57" t="n"/>
      <c r="I352" s="57" t="n"/>
      <c r="J352" s="57" t="n"/>
      <c r="K352" s="57" t="n"/>
      <c r="L352" s="55" t="n"/>
      <c r="M352" s="55" t="n"/>
      <c r="N352" s="55" t="n"/>
      <c r="O352" s="55" t="n"/>
      <c r="P352" s="55" t="n"/>
      <c r="Q352" s="55" t="n"/>
      <c r="R352" s="58" t="n"/>
      <c r="S352" s="59">
        <f>IF(OR(tblPlant[[#This Row],[Milled_t]]="",tblPlant[[#This Row],[Head_Grade_gpt]]=""),"",tblPlant[[#This Row],[Milled_t]]*tblPlant[[#This Row],[Head_Grade_gpt]]/cfg_TroyOz)</f>
        <v/>
      </c>
      <c r="T352" s="59">
        <f>IF(OR(tblPlant[[#This Row],[Milled_t]]="",tblPlant[[#This Row],[Tails_Grade_gpt]]=""),"",tblPlant[[#This Row],[Milled_t]]*tblPlant[[#This Row],[Tails_Grade_gpt]]/cfg_TroyOz)</f>
        <v/>
      </c>
      <c r="U352" s="59">
        <f>IF(OR(tblPlant[[#This Row],[Milled_t]]="",tblPlant[[#This Row],[Head_Grade_gpt]]="",tblPlant[[#This Row],[Tails_Grade_gpt]]=""),"",tblPlant[[#This Row],[Feed_oz]]-tblPlant[[#This Row],[Tails_oz]])</f>
        <v/>
      </c>
      <c r="V352" s="60">
        <f>IF(AND(ISNUMBER(tblPlant[[#This Row],[Recovered_oz]]),tblPlant[[#This Row],[Feed_oz]]&gt;0),tblPlant[[#This Row],[Recovered_oz]]/tblPlant[[#This Row],[Feed_oz]],"")</f>
        <v/>
      </c>
      <c r="W352" s="59">
        <f>IF(AND(tblPlant[[#This Row],[Milled_t]]&lt;&gt;"",tblPlant[[#This Row],[Mill_Run_h]]&gt;0),tblPlant[[#This Row],[Milled_t]]/tblPlant[[#This Row],[Mill_Run_h]],"")</f>
        <v/>
      </c>
      <c r="X352" s="60">
        <f>IF(AND(tblPlant[[#This Row],[Mill_Run_h]]="",tblPlant[[#This Row],[Mill_Planned_Maint_h]]="",tblPlant[[#This Row],[Mill_Unplanned_Down_h]]=""),"",(cfg_HoursPerDay-tblPlant[[#This Row],[Mill_Planned_Maint_h]]-tblPlant[[#This Row],[Mill_Unplanned_Down_h]])/cfg_HoursPerDay)</f>
        <v/>
      </c>
      <c r="Y35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3">
      <c r="A353" s="54" t="n">
        <v>46370</v>
      </c>
      <c r="B353" s="55" t="n"/>
      <c r="C353" s="55" t="n"/>
      <c r="D353" s="56" t="n"/>
      <c r="E353" s="56" t="n"/>
      <c r="F353" s="55" t="n"/>
      <c r="G353" s="55" t="n"/>
      <c r="H353" s="57" t="n"/>
      <c r="I353" s="57" t="n"/>
      <c r="J353" s="57" t="n"/>
      <c r="K353" s="57" t="n"/>
      <c r="L353" s="55" t="n"/>
      <c r="M353" s="55" t="n"/>
      <c r="N353" s="55" t="n"/>
      <c r="O353" s="55" t="n"/>
      <c r="P353" s="55" t="n"/>
      <c r="Q353" s="55" t="n"/>
      <c r="R353" s="58" t="n"/>
      <c r="S353" s="59">
        <f>IF(OR(tblPlant[[#This Row],[Milled_t]]="",tblPlant[[#This Row],[Head_Grade_gpt]]=""),"",tblPlant[[#This Row],[Milled_t]]*tblPlant[[#This Row],[Head_Grade_gpt]]/cfg_TroyOz)</f>
        <v/>
      </c>
      <c r="T353" s="59">
        <f>IF(OR(tblPlant[[#This Row],[Milled_t]]="",tblPlant[[#This Row],[Tails_Grade_gpt]]=""),"",tblPlant[[#This Row],[Milled_t]]*tblPlant[[#This Row],[Tails_Grade_gpt]]/cfg_TroyOz)</f>
        <v/>
      </c>
      <c r="U353" s="59">
        <f>IF(OR(tblPlant[[#This Row],[Milled_t]]="",tblPlant[[#This Row],[Head_Grade_gpt]]="",tblPlant[[#This Row],[Tails_Grade_gpt]]=""),"",tblPlant[[#This Row],[Feed_oz]]-tblPlant[[#This Row],[Tails_oz]])</f>
        <v/>
      </c>
      <c r="V353" s="60">
        <f>IF(AND(ISNUMBER(tblPlant[[#This Row],[Recovered_oz]]),tblPlant[[#This Row],[Feed_oz]]&gt;0),tblPlant[[#This Row],[Recovered_oz]]/tblPlant[[#This Row],[Feed_oz]],"")</f>
        <v/>
      </c>
      <c r="W353" s="59">
        <f>IF(AND(tblPlant[[#This Row],[Milled_t]]&lt;&gt;"",tblPlant[[#This Row],[Mill_Run_h]]&gt;0),tblPlant[[#This Row],[Milled_t]]/tblPlant[[#This Row],[Mill_Run_h]],"")</f>
        <v/>
      </c>
      <c r="X353" s="60">
        <f>IF(AND(tblPlant[[#This Row],[Mill_Run_h]]="",tblPlant[[#This Row],[Mill_Planned_Maint_h]]="",tblPlant[[#This Row],[Mill_Unplanned_Down_h]]=""),"",(cfg_HoursPerDay-tblPlant[[#This Row],[Mill_Planned_Maint_h]]-tblPlant[[#This Row],[Mill_Unplanned_Down_h]])/cfg_HoursPerDay)</f>
        <v/>
      </c>
      <c r="Y35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4">
      <c r="A354" s="54" t="n">
        <v>46371</v>
      </c>
      <c r="B354" s="55" t="n"/>
      <c r="C354" s="55" t="n"/>
      <c r="D354" s="56" t="n"/>
      <c r="E354" s="56" t="n"/>
      <c r="F354" s="55" t="n"/>
      <c r="G354" s="55" t="n"/>
      <c r="H354" s="57" t="n"/>
      <c r="I354" s="57" t="n"/>
      <c r="J354" s="57" t="n"/>
      <c r="K354" s="57" t="n"/>
      <c r="L354" s="55" t="n"/>
      <c r="M354" s="55" t="n"/>
      <c r="N354" s="55" t="n"/>
      <c r="O354" s="55" t="n"/>
      <c r="P354" s="55" t="n"/>
      <c r="Q354" s="55" t="n"/>
      <c r="R354" s="58" t="n"/>
      <c r="S354" s="59">
        <f>IF(OR(tblPlant[[#This Row],[Milled_t]]="",tblPlant[[#This Row],[Head_Grade_gpt]]=""),"",tblPlant[[#This Row],[Milled_t]]*tblPlant[[#This Row],[Head_Grade_gpt]]/cfg_TroyOz)</f>
        <v/>
      </c>
      <c r="T354" s="59">
        <f>IF(OR(tblPlant[[#This Row],[Milled_t]]="",tblPlant[[#This Row],[Tails_Grade_gpt]]=""),"",tblPlant[[#This Row],[Milled_t]]*tblPlant[[#This Row],[Tails_Grade_gpt]]/cfg_TroyOz)</f>
        <v/>
      </c>
      <c r="U354" s="59">
        <f>IF(OR(tblPlant[[#This Row],[Milled_t]]="",tblPlant[[#This Row],[Head_Grade_gpt]]="",tblPlant[[#This Row],[Tails_Grade_gpt]]=""),"",tblPlant[[#This Row],[Feed_oz]]-tblPlant[[#This Row],[Tails_oz]])</f>
        <v/>
      </c>
      <c r="V354" s="60">
        <f>IF(AND(ISNUMBER(tblPlant[[#This Row],[Recovered_oz]]),tblPlant[[#This Row],[Feed_oz]]&gt;0),tblPlant[[#This Row],[Recovered_oz]]/tblPlant[[#This Row],[Feed_oz]],"")</f>
        <v/>
      </c>
      <c r="W354" s="59">
        <f>IF(AND(tblPlant[[#This Row],[Milled_t]]&lt;&gt;"",tblPlant[[#This Row],[Mill_Run_h]]&gt;0),tblPlant[[#This Row],[Milled_t]]/tblPlant[[#This Row],[Mill_Run_h]],"")</f>
        <v/>
      </c>
      <c r="X354" s="60">
        <f>IF(AND(tblPlant[[#This Row],[Mill_Run_h]]="",tblPlant[[#This Row],[Mill_Planned_Maint_h]]="",tblPlant[[#This Row],[Mill_Unplanned_Down_h]]=""),"",(cfg_HoursPerDay-tblPlant[[#This Row],[Mill_Planned_Maint_h]]-tblPlant[[#This Row],[Mill_Unplanned_Down_h]])/cfg_HoursPerDay)</f>
        <v/>
      </c>
      <c r="Y35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5">
      <c r="A355" s="54" t="n">
        <v>46372</v>
      </c>
      <c r="B355" s="55" t="n"/>
      <c r="C355" s="55" t="n"/>
      <c r="D355" s="56" t="n"/>
      <c r="E355" s="56" t="n"/>
      <c r="F355" s="55" t="n"/>
      <c r="G355" s="55" t="n"/>
      <c r="H355" s="57" t="n"/>
      <c r="I355" s="57" t="n"/>
      <c r="J355" s="57" t="n"/>
      <c r="K355" s="57" t="n"/>
      <c r="L355" s="55" t="n"/>
      <c r="M355" s="55" t="n"/>
      <c r="N355" s="55" t="n"/>
      <c r="O355" s="55" t="n"/>
      <c r="P355" s="55" t="n"/>
      <c r="Q355" s="55" t="n"/>
      <c r="R355" s="58" t="n"/>
      <c r="S355" s="59">
        <f>IF(OR(tblPlant[[#This Row],[Milled_t]]="",tblPlant[[#This Row],[Head_Grade_gpt]]=""),"",tblPlant[[#This Row],[Milled_t]]*tblPlant[[#This Row],[Head_Grade_gpt]]/cfg_TroyOz)</f>
        <v/>
      </c>
      <c r="T355" s="59">
        <f>IF(OR(tblPlant[[#This Row],[Milled_t]]="",tblPlant[[#This Row],[Tails_Grade_gpt]]=""),"",tblPlant[[#This Row],[Milled_t]]*tblPlant[[#This Row],[Tails_Grade_gpt]]/cfg_TroyOz)</f>
        <v/>
      </c>
      <c r="U355" s="59">
        <f>IF(OR(tblPlant[[#This Row],[Milled_t]]="",tblPlant[[#This Row],[Head_Grade_gpt]]="",tblPlant[[#This Row],[Tails_Grade_gpt]]=""),"",tblPlant[[#This Row],[Feed_oz]]-tblPlant[[#This Row],[Tails_oz]])</f>
        <v/>
      </c>
      <c r="V355" s="60">
        <f>IF(AND(ISNUMBER(tblPlant[[#This Row],[Recovered_oz]]),tblPlant[[#This Row],[Feed_oz]]&gt;0),tblPlant[[#This Row],[Recovered_oz]]/tblPlant[[#This Row],[Feed_oz]],"")</f>
        <v/>
      </c>
      <c r="W355" s="59">
        <f>IF(AND(tblPlant[[#This Row],[Milled_t]]&lt;&gt;"",tblPlant[[#This Row],[Mill_Run_h]]&gt;0),tblPlant[[#This Row],[Milled_t]]/tblPlant[[#This Row],[Mill_Run_h]],"")</f>
        <v/>
      </c>
      <c r="X355" s="60">
        <f>IF(AND(tblPlant[[#This Row],[Mill_Run_h]]="",tblPlant[[#This Row],[Mill_Planned_Maint_h]]="",tblPlant[[#This Row],[Mill_Unplanned_Down_h]]=""),"",(cfg_HoursPerDay-tblPlant[[#This Row],[Mill_Planned_Maint_h]]-tblPlant[[#This Row],[Mill_Unplanned_Down_h]])/cfg_HoursPerDay)</f>
        <v/>
      </c>
      <c r="Y35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6">
      <c r="A356" s="54" t="n">
        <v>46373</v>
      </c>
      <c r="B356" s="55" t="n"/>
      <c r="C356" s="55" t="n"/>
      <c r="D356" s="56" t="n"/>
      <c r="E356" s="56" t="n"/>
      <c r="F356" s="55" t="n"/>
      <c r="G356" s="55" t="n"/>
      <c r="H356" s="57" t="n"/>
      <c r="I356" s="57" t="n"/>
      <c r="J356" s="57" t="n"/>
      <c r="K356" s="57" t="n"/>
      <c r="L356" s="55" t="n"/>
      <c r="M356" s="55" t="n"/>
      <c r="N356" s="55" t="n"/>
      <c r="O356" s="55" t="n"/>
      <c r="P356" s="55" t="n"/>
      <c r="Q356" s="55" t="n"/>
      <c r="R356" s="58" t="n"/>
      <c r="S356" s="59">
        <f>IF(OR(tblPlant[[#This Row],[Milled_t]]="",tblPlant[[#This Row],[Head_Grade_gpt]]=""),"",tblPlant[[#This Row],[Milled_t]]*tblPlant[[#This Row],[Head_Grade_gpt]]/cfg_TroyOz)</f>
        <v/>
      </c>
      <c r="T356" s="59">
        <f>IF(OR(tblPlant[[#This Row],[Milled_t]]="",tblPlant[[#This Row],[Tails_Grade_gpt]]=""),"",tblPlant[[#This Row],[Milled_t]]*tblPlant[[#This Row],[Tails_Grade_gpt]]/cfg_TroyOz)</f>
        <v/>
      </c>
      <c r="U356" s="59">
        <f>IF(OR(tblPlant[[#This Row],[Milled_t]]="",tblPlant[[#This Row],[Head_Grade_gpt]]="",tblPlant[[#This Row],[Tails_Grade_gpt]]=""),"",tblPlant[[#This Row],[Feed_oz]]-tblPlant[[#This Row],[Tails_oz]])</f>
        <v/>
      </c>
      <c r="V356" s="60">
        <f>IF(AND(ISNUMBER(tblPlant[[#This Row],[Recovered_oz]]),tblPlant[[#This Row],[Feed_oz]]&gt;0),tblPlant[[#This Row],[Recovered_oz]]/tblPlant[[#This Row],[Feed_oz]],"")</f>
        <v/>
      </c>
      <c r="W356" s="59">
        <f>IF(AND(tblPlant[[#This Row],[Milled_t]]&lt;&gt;"",tblPlant[[#This Row],[Mill_Run_h]]&gt;0),tblPlant[[#This Row],[Milled_t]]/tblPlant[[#This Row],[Mill_Run_h]],"")</f>
        <v/>
      </c>
      <c r="X356" s="60">
        <f>IF(AND(tblPlant[[#This Row],[Mill_Run_h]]="",tblPlant[[#This Row],[Mill_Planned_Maint_h]]="",tblPlant[[#This Row],[Mill_Unplanned_Down_h]]=""),"",(cfg_HoursPerDay-tblPlant[[#This Row],[Mill_Planned_Maint_h]]-tblPlant[[#This Row],[Mill_Unplanned_Down_h]])/cfg_HoursPerDay)</f>
        <v/>
      </c>
      <c r="Y35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7">
      <c r="A357" s="54" t="n">
        <v>46374</v>
      </c>
      <c r="B357" s="55" t="n"/>
      <c r="C357" s="55" t="n"/>
      <c r="D357" s="56" t="n"/>
      <c r="E357" s="56" t="n"/>
      <c r="F357" s="55" t="n"/>
      <c r="G357" s="55" t="n"/>
      <c r="H357" s="57" t="n"/>
      <c r="I357" s="57" t="n"/>
      <c r="J357" s="57" t="n"/>
      <c r="K357" s="57" t="n"/>
      <c r="L357" s="55" t="n"/>
      <c r="M357" s="55" t="n"/>
      <c r="N357" s="55" t="n"/>
      <c r="O357" s="55" t="n"/>
      <c r="P357" s="55" t="n"/>
      <c r="Q357" s="55" t="n"/>
      <c r="R357" s="58" t="n"/>
      <c r="S357" s="59">
        <f>IF(OR(tblPlant[[#This Row],[Milled_t]]="",tblPlant[[#This Row],[Head_Grade_gpt]]=""),"",tblPlant[[#This Row],[Milled_t]]*tblPlant[[#This Row],[Head_Grade_gpt]]/cfg_TroyOz)</f>
        <v/>
      </c>
      <c r="T357" s="59">
        <f>IF(OR(tblPlant[[#This Row],[Milled_t]]="",tblPlant[[#This Row],[Tails_Grade_gpt]]=""),"",tblPlant[[#This Row],[Milled_t]]*tblPlant[[#This Row],[Tails_Grade_gpt]]/cfg_TroyOz)</f>
        <v/>
      </c>
      <c r="U357" s="59">
        <f>IF(OR(tblPlant[[#This Row],[Milled_t]]="",tblPlant[[#This Row],[Head_Grade_gpt]]="",tblPlant[[#This Row],[Tails_Grade_gpt]]=""),"",tblPlant[[#This Row],[Feed_oz]]-tblPlant[[#This Row],[Tails_oz]])</f>
        <v/>
      </c>
      <c r="V357" s="60">
        <f>IF(AND(ISNUMBER(tblPlant[[#This Row],[Recovered_oz]]),tblPlant[[#This Row],[Feed_oz]]&gt;0),tblPlant[[#This Row],[Recovered_oz]]/tblPlant[[#This Row],[Feed_oz]],"")</f>
        <v/>
      </c>
      <c r="W357" s="59">
        <f>IF(AND(tblPlant[[#This Row],[Milled_t]]&lt;&gt;"",tblPlant[[#This Row],[Mill_Run_h]]&gt;0),tblPlant[[#This Row],[Milled_t]]/tblPlant[[#This Row],[Mill_Run_h]],"")</f>
        <v/>
      </c>
      <c r="X357" s="60">
        <f>IF(AND(tblPlant[[#This Row],[Mill_Run_h]]="",tblPlant[[#This Row],[Mill_Planned_Maint_h]]="",tblPlant[[#This Row],[Mill_Unplanned_Down_h]]=""),"",(cfg_HoursPerDay-tblPlant[[#This Row],[Mill_Planned_Maint_h]]-tblPlant[[#This Row],[Mill_Unplanned_Down_h]])/cfg_HoursPerDay)</f>
        <v/>
      </c>
      <c r="Y35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8">
      <c r="A358" s="54" t="n">
        <v>46375</v>
      </c>
      <c r="B358" s="55" t="n"/>
      <c r="C358" s="55" t="n"/>
      <c r="D358" s="56" t="n"/>
      <c r="E358" s="56" t="n"/>
      <c r="F358" s="55" t="n"/>
      <c r="G358" s="55" t="n"/>
      <c r="H358" s="57" t="n"/>
      <c r="I358" s="57" t="n"/>
      <c r="J358" s="57" t="n"/>
      <c r="K358" s="57" t="n"/>
      <c r="L358" s="55" t="n"/>
      <c r="M358" s="55" t="n"/>
      <c r="N358" s="55" t="n"/>
      <c r="O358" s="55" t="n"/>
      <c r="P358" s="55" t="n"/>
      <c r="Q358" s="55" t="n"/>
      <c r="R358" s="58" t="n"/>
      <c r="S358" s="59">
        <f>IF(OR(tblPlant[[#This Row],[Milled_t]]="",tblPlant[[#This Row],[Head_Grade_gpt]]=""),"",tblPlant[[#This Row],[Milled_t]]*tblPlant[[#This Row],[Head_Grade_gpt]]/cfg_TroyOz)</f>
        <v/>
      </c>
      <c r="T358" s="59">
        <f>IF(OR(tblPlant[[#This Row],[Milled_t]]="",tblPlant[[#This Row],[Tails_Grade_gpt]]=""),"",tblPlant[[#This Row],[Milled_t]]*tblPlant[[#This Row],[Tails_Grade_gpt]]/cfg_TroyOz)</f>
        <v/>
      </c>
      <c r="U358" s="59">
        <f>IF(OR(tblPlant[[#This Row],[Milled_t]]="",tblPlant[[#This Row],[Head_Grade_gpt]]="",tblPlant[[#This Row],[Tails_Grade_gpt]]=""),"",tblPlant[[#This Row],[Feed_oz]]-tblPlant[[#This Row],[Tails_oz]])</f>
        <v/>
      </c>
      <c r="V358" s="60">
        <f>IF(AND(ISNUMBER(tblPlant[[#This Row],[Recovered_oz]]),tblPlant[[#This Row],[Feed_oz]]&gt;0),tblPlant[[#This Row],[Recovered_oz]]/tblPlant[[#This Row],[Feed_oz]],"")</f>
        <v/>
      </c>
      <c r="W358" s="59">
        <f>IF(AND(tblPlant[[#This Row],[Milled_t]]&lt;&gt;"",tblPlant[[#This Row],[Mill_Run_h]]&gt;0),tblPlant[[#This Row],[Milled_t]]/tblPlant[[#This Row],[Mill_Run_h]],"")</f>
        <v/>
      </c>
      <c r="X358" s="60">
        <f>IF(AND(tblPlant[[#This Row],[Mill_Run_h]]="",tblPlant[[#This Row],[Mill_Planned_Maint_h]]="",tblPlant[[#This Row],[Mill_Unplanned_Down_h]]=""),"",(cfg_HoursPerDay-tblPlant[[#This Row],[Mill_Planned_Maint_h]]-tblPlant[[#This Row],[Mill_Unplanned_Down_h]])/cfg_HoursPerDay)</f>
        <v/>
      </c>
      <c r="Y35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59">
      <c r="A359" s="54" t="n">
        <v>46376</v>
      </c>
      <c r="B359" s="55" t="n"/>
      <c r="C359" s="55" t="n"/>
      <c r="D359" s="56" t="n"/>
      <c r="E359" s="56" t="n"/>
      <c r="F359" s="55" t="n"/>
      <c r="G359" s="55" t="n"/>
      <c r="H359" s="57" t="n"/>
      <c r="I359" s="57" t="n"/>
      <c r="J359" s="57" t="n"/>
      <c r="K359" s="57" t="n"/>
      <c r="L359" s="55" t="n"/>
      <c r="M359" s="55" t="n"/>
      <c r="N359" s="55" t="n"/>
      <c r="O359" s="55" t="n"/>
      <c r="P359" s="55" t="n"/>
      <c r="Q359" s="55" t="n"/>
      <c r="R359" s="58" t="n"/>
      <c r="S359" s="59">
        <f>IF(OR(tblPlant[[#This Row],[Milled_t]]="",tblPlant[[#This Row],[Head_Grade_gpt]]=""),"",tblPlant[[#This Row],[Milled_t]]*tblPlant[[#This Row],[Head_Grade_gpt]]/cfg_TroyOz)</f>
        <v/>
      </c>
      <c r="T359" s="59">
        <f>IF(OR(tblPlant[[#This Row],[Milled_t]]="",tblPlant[[#This Row],[Tails_Grade_gpt]]=""),"",tblPlant[[#This Row],[Milled_t]]*tblPlant[[#This Row],[Tails_Grade_gpt]]/cfg_TroyOz)</f>
        <v/>
      </c>
      <c r="U359" s="59">
        <f>IF(OR(tblPlant[[#This Row],[Milled_t]]="",tblPlant[[#This Row],[Head_Grade_gpt]]="",tblPlant[[#This Row],[Tails_Grade_gpt]]=""),"",tblPlant[[#This Row],[Feed_oz]]-tblPlant[[#This Row],[Tails_oz]])</f>
        <v/>
      </c>
      <c r="V359" s="60">
        <f>IF(AND(ISNUMBER(tblPlant[[#This Row],[Recovered_oz]]),tblPlant[[#This Row],[Feed_oz]]&gt;0),tblPlant[[#This Row],[Recovered_oz]]/tblPlant[[#This Row],[Feed_oz]],"")</f>
        <v/>
      </c>
      <c r="W359" s="59">
        <f>IF(AND(tblPlant[[#This Row],[Milled_t]]&lt;&gt;"",tblPlant[[#This Row],[Mill_Run_h]]&gt;0),tblPlant[[#This Row],[Milled_t]]/tblPlant[[#This Row],[Mill_Run_h]],"")</f>
        <v/>
      </c>
      <c r="X359" s="60">
        <f>IF(AND(tblPlant[[#This Row],[Mill_Run_h]]="",tblPlant[[#This Row],[Mill_Planned_Maint_h]]="",tblPlant[[#This Row],[Mill_Unplanned_Down_h]]=""),"",(cfg_HoursPerDay-tblPlant[[#This Row],[Mill_Planned_Maint_h]]-tblPlant[[#This Row],[Mill_Unplanned_Down_h]])/cfg_HoursPerDay)</f>
        <v/>
      </c>
      <c r="Y35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0">
      <c r="A360" s="54" t="n">
        <v>46377</v>
      </c>
      <c r="B360" s="55" t="n"/>
      <c r="C360" s="55" t="n"/>
      <c r="D360" s="56" t="n"/>
      <c r="E360" s="56" t="n"/>
      <c r="F360" s="55" t="n"/>
      <c r="G360" s="55" t="n"/>
      <c r="H360" s="57" t="n"/>
      <c r="I360" s="57" t="n"/>
      <c r="J360" s="57" t="n"/>
      <c r="K360" s="57" t="n"/>
      <c r="L360" s="55" t="n"/>
      <c r="M360" s="55" t="n"/>
      <c r="N360" s="55" t="n"/>
      <c r="O360" s="55" t="n"/>
      <c r="P360" s="55" t="n"/>
      <c r="Q360" s="55" t="n"/>
      <c r="R360" s="58" t="n"/>
      <c r="S360" s="59">
        <f>IF(OR(tblPlant[[#This Row],[Milled_t]]="",tblPlant[[#This Row],[Head_Grade_gpt]]=""),"",tblPlant[[#This Row],[Milled_t]]*tblPlant[[#This Row],[Head_Grade_gpt]]/cfg_TroyOz)</f>
        <v/>
      </c>
      <c r="T360" s="59">
        <f>IF(OR(tblPlant[[#This Row],[Milled_t]]="",tblPlant[[#This Row],[Tails_Grade_gpt]]=""),"",tblPlant[[#This Row],[Milled_t]]*tblPlant[[#This Row],[Tails_Grade_gpt]]/cfg_TroyOz)</f>
        <v/>
      </c>
      <c r="U360" s="59">
        <f>IF(OR(tblPlant[[#This Row],[Milled_t]]="",tblPlant[[#This Row],[Head_Grade_gpt]]="",tblPlant[[#This Row],[Tails_Grade_gpt]]=""),"",tblPlant[[#This Row],[Feed_oz]]-tblPlant[[#This Row],[Tails_oz]])</f>
        <v/>
      </c>
      <c r="V360" s="60">
        <f>IF(AND(ISNUMBER(tblPlant[[#This Row],[Recovered_oz]]),tblPlant[[#This Row],[Feed_oz]]&gt;0),tblPlant[[#This Row],[Recovered_oz]]/tblPlant[[#This Row],[Feed_oz]],"")</f>
        <v/>
      </c>
      <c r="W360" s="59">
        <f>IF(AND(tblPlant[[#This Row],[Milled_t]]&lt;&gt;"",tblPlant[[#This Row],[Mill_Run_h]]&gt;0),tblPlant[[#This Row],[Milled_t]]/tblPlant[[#This Row],[Mill_Run_h]],"")</f>
        <v/>
      </c>
      <c r="X360" s="60">
        <f>IF(AND(tblPlant[[#This Row],[Mill_Run_h]]="",tblPlant[[#This Row],[Mill_Planned_Maint_h]]="",tblPlant[[#This Row],[Mill_Unplanned_Down_h]]=""),"",(cfg_HoursPerDay-tblPlant[[#This Row],[Mill_Planned_Maint_h]]-tblPlant[[#This Row],[Mill_Unplanned_Down_h]])/cfg_HoursPerDay)</f>
        <v/>
      </c>
      <c r="Y36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1">
      <c r="A361" s="54" t="n">
        <v>46378</v>
      </c>
      <c r="B361" s="55" t="n"/>
      <c r="C361" s="55" t="n"/>
      <c r="D361" s="56" t="n"/>
      <c r="E361" s="56" t="n"/>
      <c r="F361" s="55" t="n"/>
      <c r="G361" s="55" t="n"/>
      <c r="H361" s="57" t="n"/>
      <c r="I361" s="57" t="n"/>
      <c r="J361" s="57" t="n"/>
      <c r="K361" s="57" t="n"/>
      <c r="L361" s="55" t="n"/>
      <c r="M361" s="55" t="n"/>
      <c r="N361" s="55" t="n"/>
      <c r="O361" s="55" t="n"/>
      <c r="P361" s="55" t="n"/>
      <c r="Q361" s="55" t="n"/>
      <c r="R361" s="58" t="n"/>
      <c r="S361" s="59">
        <f>IF(OR(tblPlant[[#This Row],[Milled_t]]="",tblPlant[[#This Row],[Head_Grade_gpt]]=""),"",tblPlant[[#This Row],[Milled_t]]*tblPlant[[#This Row],[Head_Grade_gpt]]/cfg_TroyOz)</f>
        <v/>
      </c>
      <c r="T361" s="59">
        <f>IF(OR(tblPlant[[#This Row],[Milled_t]]="",tblPlant[[#This Row],[Tails_Grade_gpt]]=""),"",tblPlant[[#This Row],[Milled_t]]*tblPlant[[#This Row],[Tails_Grade_gpt]]/cfg_TroyOz)</f>
        <v/>
      </c>
      <c r="U361" s="59">
        <f>IF(OR(tblPlant[[#This Row],[Milled_t]]="",tblPlant[[#This Row],[Head_Grade_gpt]]="",tblPlant[[#This Row],[Tails_Grade_gpt]]=""),"",tblPlant[[#This Row],[Feed_oz]]-tblPlant[[#This Row],[Tails_oz]])</f>
        <v/>
      </c>
      <c r="V361" s="60">
        <f>IF(AND(ISNUMBER(tblPlant[[#This Row],[Recovered_oz]]),tblPlant[[#This Row],[Feed_oz]]&gt;0),tblPlant[[#This Row],[Recovered_oz]]/tblPlant[[#This Row],[Feed_oz]],"")</f>
        <v/>
      </c>
      <c r="W361" s="59">
        <f>IF(AND(tblPlant[[#This Row],[Milled_t]]&lt;&gt;"",tblPlant[[#This Row],[Mill_Run_h]]&gt;0),tblPlant[[#This Row],[Milled_t]]/tblPlant[[#This Row],[Mill_Run_h]],"")</f>
        <v/>
      </c>
      <c r="X361" s="60">
        <f>IF(AND(tblPlant[[#This Row],[Mill_Run_h]]="",tblPlant[[#This Row],[Mill_Planned_Maint_h]]="",tblPlant[[#This Row],[Mill_Unplanned_Down_h]]=""),"",(cfg_HoursPerDay-tblPlant[[#This Row],[Mill_Planned_Maint_h]]-tblPlant[[#This Row],[Mill_Unplanned_Down_h]])/cfg_HoursPerDay)</f>
        <v/>
      </c>
      <c r="Y361"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2">
      <c r="A362" s="54" t="n">
        <v>46379</v>
      </c>
      <c r="B362" s="55" t="n"/>
      <c r="C362" s="55" t="n"/>
      <c r="D362" s="56" t="n"/>
      <c r="E362" s="56" t="n"/>
      <c r="F362" s="55" t="n"/>
      <c r="G362" s="55" t="n"/>
      <c r="H362" s="57" t="n"/>
      <c r="I362" s="57" t="n"/>
      <c r="J362" s="57" t="n"/>
      <c r="K362" s="57" t="n"/>
      <c r="L362" s="55" t="n"/>
      <c r="M362" s="55" t="n"/>
      <c r="N362" s="55" t="n"/>
      <c r="O362" s="55" t="n"/>
      <c r="P362" s="55" t="n"/>
      <c r="Q362" s="55" t="n"/>
      <c r="R362" s="58" t="n"/>
      <c r="S362" s="59">
        <f>IF(OR(tblPlant[[#This Row],[Milled_t]]="",tblPlant[[#This Row],[Head_Grade_gpt]]=""),"",tblPlant[[#This Row],[Milled_t]]*tblPlant[[#This Row],[Head_Grade_gpt]]/cfg_TroyOz)</f>
        <v/>
      </c>
      <c r="T362" s="59">
        <f>IF(OR(tblPlant[[#This Row],[Milled_t]]="",tblPlant[[#This Row],[Tails_Grade_gpt]]=""),"",tblPlant[[#This Row],[Milled_t]]*tblPlant[[#This Row],[Tails_Grade_gpt]]/cfg_TroyOz)</f>
        <v/>
      </c>
      <c r="U362" s="59">
        <f>IF(OR(tblPlant[[#This Row],[Milled_t]]="",tblPlant[[#This Row],[Head_Grade_gpt]]="",tblPlant[[#This Row],[Tails_Grade_gpt]]=""),"",tblPlant[[#This Row],[Feed_oz]]-tblPlant[[#This Row],[Tails_oz]])</f>
        <v/>
      </c>
      <c r="V362" s="60">
        <f>IF(AND(ISNUMBER(tblPlant[[#This Row],[Recovered_oz]]),tblPlant[[#This Row],[Feed_oz]]&gt;0),tblPlant[[#This Row],[Recovered_oz]]/tblPlant[[#This Row],[Feed_oz]],"")</f>
        <v/>
      </c>
      <c r="W362" s="59">
        <f>IF(AND(tblPlant[[#This Row],[Milled_t]]&lt;&gt;"",tblPlant[[#This Row],[Mill_Run_h]]&gt;0),tblPlant[[#This Row],[Milled_t]]/tblPlant[[#This Row],[Mill_Run_h]],"")</f>
        <v/>
      </c>
      <c r="X362" s="60">
        <f>IF(AND(tblPlant[[#This Row],[Mill_Run_h]]="",tblPlant[[#This Row],[Mill_Planned_Maint_h]]="",tblPlant[[#This Row],[Mill_Unplanned_Down_h]]=""),"",(cfg_HoursPerDay-tblPlant[[#This Row],[Mill_Planned_Maint_h]]-tblPlant[[#This Row],[Mill_Unplanned_Down_h]])/cfg_HoursPerDay)</f>
        <v/>
      </c>
      <c r="Y362"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3">
      <c r="A363" s="54" t="n">
        <v>46380</v>
      </c>
      <c r="B363" s="55" t="n"/>
      <c r="C363" s="55" t="n"/>
      <c r="D363" s="56" t="n"/>
      <c r="E363" s="56" t="n"/>
      <c r="F363" s="55" t="n"/>
      <c r="G363" s="55" t="n"/>
      <c r="H363" s="57" t="n"/>
      <c r="I363" s="57" t="n"/>
      <c r="J363" s="57" t="n"/>
      <c r="K363" s="57" t="n"/>
      <c r="L363" s="55" t="n"/>
      <c r="M363" s="55" t="n"/>
      <c r="N363" s="55" t="n"/>
      <c r="O363" s="55" t="n"/>
      <c r="P363" s="55" t="n"/>
      <c r="Q363" s="55" t="n"/>
      <c r="R363" s="58" t="n"/>
      <c r="S363" s="59">
        <f>IF(OR(tblPlant[[#This Row],[Milled_t]]="",tblPlant[[#This Row],[Head_Grade_gpt]]=""),"",tblPlant[[#This Row],[Milled_t]]*tblPlant[[#This Row],[Head_Grade_gpt]]/cfg_TroyOz)</f>
        <v/>
      </c>
      <c r="T363" s="59">
        <f>IF(OR(tblPlant[[#This Row],[Milled_t]]="",tblPlant[[#This Row],[Tails_Grade_gpt]]=""),"",tblPlant[[#This Row],[Milled_t]]*tblPlant[[#This Row],[Tails_Grade_gpt]]/cfg_TroyOz)</f>
        <v/>
      </c>
      <c r="U363" s="59">
        <f>IF(OR(tblPlant[[#This Row],[Milled_t]]="",tblPlant[[#This Row],[Head_Grade_gpt]]="",tblPlant[[#This Row],[Tails_Grade_gpt]]=""),"",tblPlant[[#This Row],[Feed_oz]]-tblPlant[[#This Row],[Tails_oz]])</f>
        <v/>
      </c>
      <c r="V363" s="60">
        <f>IF(AND(ISNUMBER(tblPlant[[#This Row],[Recovered_oz]]),tblPlant[[#This Row],[Feed_oz]]&gt;0),tblPlant[[#This Row],[Recovered_oz]]/tblPlant[[#This Row],[Feed_oz]],"")</f>
        <v/>
      </c>
      <c r="W363" s="59">
        <f>IF(AND(tblPlant[[#This Row],[Milled_t]]&lt;&gt;"",tblPlant[[#This Row],[Mill_Run_h]]&gt;0),tblPlant[[#This Row],[Milled_t]]/tblPlant[[#This Row],[Mill_Run_h]],"")</f>
        <v/>
      </c>
      <c r="X363" s="60">
        <f>IF(AND(tblPlant[[#This Row],[Mill_Run_h]]="",tblPlant[[#This Row],[Mill_Planned_Maint_h]]="",tblPlant[[#This Row],[Mill_Unplanned_Down_h]]=""),"",(cfg_HoursPerDay-tblPlant[[#This Row],[Mill_Planned_Maint_h]]-tblPlant[[#This Row],[Mill_Unplanned_Down_h]])/cfg_HoursPerDay)</f>
        <v/>
      </c>
      <c r="Y363"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4">
      <c r="A364" s="54" t="n">
        <v>46381</v>
      </c>
      <c r="B364" s="55" t="n"/>
      <c r="C364" s="55" t="n"/>
      <c r="D364" s="56" t="n"/>
      <c r="E364" s="56" t="n"/>
      <c r="F364" s="55" t="n"/>
      <c r="G364" s="55" t="n"/>
      <c r="H364" s="57" t="n"/>
      <c r="I364" s="57" t="n"/>
      <c r="J364" s="57" t="n"/>
      <c r="K364" s="57" t="n"/>
      <c r="L364" s="55" t="n"/>
      <c r="M364" s="55" t="n"/>
      <c r="N364" s="55" t="n"/>
      <c r="O364" s="55" t="n"/>
      <c r="P364" s="55" t="n"/>
      <c r="Q364" s="55" t="n"/>
      <c r="R364" s="58" t="n"/>
      <c r="S364" s="59">
        <f>IF(OR(tblPlant[[#This Row],[Milled_t]]="",tblPlant[[#This Row],[Head_Grade_gpt]]=""),"",tblPlant[[#This Row],[Milled_t]]*tblPlant[[#This Row],[Head_Grade_gpt]]/cfg_TroyOz)</f>
        <v/>
      </c>
      <c r="T364" s="59">
        <f>IF(OR(tblPlant[[#This Row],[Milled_t]]="",tblPlant[[#This Row],[Tails_Grade_gpt]]=""),"",tblPlant[[#This Row],[Milled_t]]*tblPlant[[#This Row],[Tails_Grade_gpt]]/cfg_TroyOz)</f>
        <v/>
      </c>
      <c r="U364" s="59">
        <f>IF(OR(tblPlant[[#This Row],[Milled_t]]="",tblPlant[[#This Row],[Head_Grade_gpt]]="",tblPlant[[#This Row],[Tails_Grade_gpt]]=""),"",tblPlant[[#This Row],[Feed_oz]]-tblPlant[[#This Row],[Tails_oz]])</f>
        <v/>
      </c>
      <c r="V364" s="60">
        <f>IF(AND(ISNUMBER(tblPlant[[#This Row],[Recovered_oz]]),tblPlant[[#This Row],[Feed_oz]]&gt;0),tblPlant[[#This Row],[Recovered_oz]]/tblPlant[[#This Row],[Feed_oz]],"")</f>
        <v/>
      </c>
      <c r="W364" s="59">
        <f>IF(AND(tblPlant[[#This Row],[Milled_t]]&lt;&gt;"",tblPlant[[#This Row],[Mill_Run_h]]&gt;0),tblPlant[[#This Row],[Milled_t]]/tblPlant[[#This Row],[Mill_Run_h]],"")</f>
        <v/>
      </c>
      <c r="X364" s="60">
        <f>IF(AND(tblPlant[[#This Row],[Mill_Run_h]]="",tblPlant[[#This Row],[Mill_Planned_Maint_h]]="",tblPlant[[#This Row],[Mill_Unplanned_Down_h]]=""),"",(cfg_HoursPerDay-tblPlant[[#This Row],[Mill_Planned_Maint_h]]-tblPlant[[#This Row],[Mill_Unplanned_Down_h]])/cfg_HoursPerDay)</f>
        <v/>
      </c>
      <c r="Y364"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5">
      <c r="A365" s="54" t="n">
        <v>46382</v>
      </c>
      <c r="B365" s="55" t="n"/>
      <c r="C365" s="55" t="n"/>
      <c r="D365" s="56" t="n"/>
      <c r="E365" s="56" t="n"/>
      <c r="F365" s="55" t="n"/>
      <c r="G365" s="55" t="n"/>
      <c r="H365" s="57" t="n"/>
      <c r="I365" s="57" t="n"/>
      <c r="J365" s="57" t="n"/>
      <c r="K365" s="57" t="n"/>
      <c r="L365" s="55" t="n"/>
      <c r="M365" s="55" t="n"/>
      <c r="N365" s="55" t="n"/>
      <c r="O365" s="55" t="n"/>
      <c r="P365" s="55" t="n"/>
      <c r="Q365" s="55" t="n"/>
      <c r="R365" s="58" t="n"/>
      <c r="S365" s="59">
        <f>IF(OR(tblPlant[[#This Row],[Milled_t]]="",tblPlant[[#This Row],[Head_Grade_gpt]]=""),"",tblPlant[[#This Row],[Milled_t]]*tblPlant[[#This Row],[Head_Grade_gpt]]/cfg_TroyOz)</f>
        <v/>
      </c>
      <c r="T365" s="59">
        <f>IF(OR(tblPlant[[#This Row],[Milled_t]]="",tblPlant[[#This Row],[Tails_Grade_gpt]]=""),"",tblPlant[[#This Row],[Milled_t]]*tblPlant[[#This Row],[Tails_Grade_gpt]]/cfg_TroyOz)</f>
        <v/>
      </c>
      <c r="U365" s="59">
        <f>IF(OR(tblPlant[[#This Row],[Milled_t]]="",tblPlant[[#This Row],[Head_Grade_gpt]]="",tblPlant[[#This Row],[Tails_Grade_gpt]]=""),"",tblPlant[[#This Row],[Feed_oz]]-tblPlant[[#This Row],[Tails_oz]])</f>
        <v/>
      </c>
      <c r="V365" s="60">
        <f>IF(AND(ISNUMBER(tblPlant[[#This Row],[Recovered_oz]]),tblPlant[[#This Row],[Feed_oz]]&gt;0),tblPlant[[#This Row],[Recovered_oz]]/tblPlant[[#This Row],[Feed_oz]],"")</f>
        <v/>
      </c>
      <c r="W365" s="59">
        <f>IF(AND(tblPlant[[#This Row],[Milled_t]]&lt;&gt;"",tblPlant[[#This Row],[Mill_Run_h]]&gt;0),tblPlant[[#This Row],[Milled_t]]/tblPlant[[#This Row],[Mill_Run_h]],"")</f>
        <v/>
      </c>
      <c r="X365" s="60">
        <f>IF(AND(tblPlant[[#This Row],[Mill_Run_h]]="",tblPlant[[#This Row],[Mill_Planned_Maint_h]]="",tblPlant[[#This Row],[Mill_Unplanned_Down_h]]=""),"",(cfg_HoursPerDay-tblPlant[[#This Row],[Mill_Planned_Maint_h]]-tblPlant[[#This Row],[Mill_Unplanned_Down_h]])/cfg_HoursPerDay)</f>
        <v/>
      </c>
      <c r="Y365"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6">
      <c r="A366" s="54" t="n">
        <v>46383</v>
      </c>
      <c r="B366" s="55" t="n"/>
      <c r="C366" s="55" t="n"/>
      <c r="D366" s="56" t="n"/>
      <c r="E366" s="56" t="n"/>
      <c r="F366" s="55" t="n"/>
      <c r="G366" s="55" t="n"/>
      <c r="H366" s="57" t="n"/>
      <c r="I366" s="57" t="n"/>
      <c r="J366" s="57" t="n"/>
      <c r="K366" s="57" t="n"/>
      <c r="L366" s="55" t="n"/>
      <c r="M366" s="55" t="n"/>
      <c r="N366" s="55" t="n"/>
      <c r="O366" s="55" t="n"/>
      <c r="P366" s="55" t="n"/>
      <c r="Q366" s="55" t="n"/>
      <c r="R366" s="58" t="n"/>
      <c r="S366" s="59">
        <f>IF(OR(tblPlant[[#This Row],[Milled_t]]="",tblPlant[[#This Row],[Head_Grade_gpt]]=""),"",tblPlant[[#This Row],[Milled_t]]*tblPlant[[#This Row],[Head_Grade_gpt]]/cfg_TroyOz)</f>
        <v/>
      </c>
      <c r="T366" s="59">
        <f>IF(OR(tblPlant[[#This Row],[Milled_t]]="",tblPlant[[#This Row],[Tails_Grade_gpt]]=""),"",tblPlant[[#This Row],[Milled_t]]*tblPlant[[#This Row],[Tails_Grade_gpt]]/cfg_TroyOz)</f>
        <v/>
      </c>
      <c r="U366" s="59">
        <f>IF(OR(tblPlant[[#This Row],[Milled_t]]="",tblPlant[[#This Row],[Head_Grade_gpt]]="",tblPlant[[#This Row],[Tails_Grade_gpt]]=""),"",tblPlant[[#This Row],[Feed_oz]]-tblPlant[[#This Row],[Tails_oz]])</f>
        <v/>
      </c>
      <c r="V366" s="60">
        <f>IF(AND(ISNUMBER(tblPlant[[#This Row],[Recovered_oz]]),tblPlant[[#This Row],[Feed_oz]]&gt;0),tblPlant[[#This Row],[Recovered_oz]]/tblPlant[[#This Row],[Feed_oz]],"")</f>
        <v/>
      </c>
      <c r="W366" s="59">
        <f>IF(AND(tblPlant[[#This Row],[Milled_t]]&lt;&gt;"",tblPlant[[#This Row],[Mill_Run_h]]&gt;0),tblPlant[[#This Row],[Milled_t]]/tblPlant[[#This Row],[Mill_Run_h]],"")</f>
        <v/>
      </c>
      <c r="X366" s="60">
        <f>IF(AND(tblPlant[[#This Row],[Mill_Run_h]]="",tblPlant[[#This Row],[Mill_Planned_Maint_h]]="",tblPlant[[#This Row],[Mill_Unplanned_Down_h]]=""),"",(cfg_HoursPerDay-tblPlant[[#This Row],[Mill_Planned_Maint_h]]-tblPlant[[#This Row],[Mill_Unplanned_Down_h]])/cfg_HoursPerDay)</f>
        <v/>
      </c>
      <c r="Y366"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7">
      <c r="A367" s="54" t="n">
        <v>46384</v>
      </c>
      <c r="B367" s="55" t="n"/>
      <c r="C367" s="55" t="n"/>
      <c r="D367" s="56" t="n"/>
      <c r="E367" s="56" t="n"/>
      <c r="F367" s="55" t="n"/>
      <c r="G367" s="55" t="n"/>
      <c r="H367" s="57" t="n"/>
      <c r="I367" s="57" t="n"/>
      <c r="J367" s="57" t="n"/>
      <c r="K367" s="57" t="n"/>
      <c r="L367" s="55" t="n"/>
      <c r="M367" s="55" t="n"/>
      <c r="N367" s="55" t="n"/>
      <c r="O367" s="55" t="n"/>
      <c r="P367" s="55" t="n"/>
      <c r="Q367" s="55" t="n"/>
      <c r="R367" s="58" t="n"/>
      <c r="S367" s="59">
        <f>IF(OR(tblPlant[[#This Row],[Milled_t]]="",tblPlant[[#This Row],[Head_Grade_gpt]]=""),"",tblPlant[[#This Row],[Milled_t]]*tblPlant[[#This Row],[Head_Grade_gpt]]/cfg_TroyOz)</f>
        <v/>
      </c>
      <c r="T367" s="59">
        <f>IF(OR(tblPlant[[#This Row],[Milled_t]]="",tblPlant[[#This Row],[Tails_Grade_gpt]]=""),"",tblPlant[[#This Row],[Milled_t]]*tblPlant[[#This Row],[Tails_Grade_gpt]]/cfg_TroyOz)</f>
        <v/>
      </c>
      <c r="U367" s="59">
        <f>IF(OR(tblPlant[[#This Row],[Milled_t]]="",tblPlant[[#This Row],[Head_Grade_gpt]]="",tblPlant[[#This Row],[Tails_Grade_gpt]]=""),"",tblPlant[[#This Row],[Feed_oz]]-tblPlant[[#This Row],[Tails_oz]])</f>
        <v/>
      </c>
      <c r="V367" s="60">
        <f>IF(AND(ISNUMBER(tblPlant[[#This Row],[Recovered_oz]]),tblPlant[[#This Row],[Feed_oz]]&gt;0),tblPlant[[#This Row],[Recovered_oz]]/tblPlant[[#This Row],[Feed_oz]],"")</f>
        <v/>
      </c>
      <c r="W367" s="59">
        <f>IF(AND(tblPlant[[#This Row],[Milled_t]]&lt;&gt;"",tblPlant[[#This Row],[Mill_Run_h]]&gt;0),tblPlant[[#This Row],[Milled_t]]/tblPlant[[#This Row],[Mill_Run_h]],"")</f>
        <v/>
      </c>
      <c r="X367" s="60">
        <f>IF(AND(tblPlant[[#This Row],[Mill_Run_h]]="",tblPlant[[#This Row],[Mill_Planned_Maint_h]]="",tblPlant[[#This Row],[Mill_Unplanned_Down_h]]=""),"",(cfg_HoursPerDay-tblPlant[[#This Row],[Mill_Planned_Maint_h]]-tblPlant[[#This Row],[Mill_Unplanned_Down_h]])/cfg_HoursPerDay)</f>
        <v/>
      </c>
      <c r="Y367"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8">
      <c r="A368" s="54" t="n">
        <v>46385</v>
      </c>
      <c r="B368" s="55" t="n"/>
      <c r="C368" s="55" t="n"/>
      <c r="D368" s="56" t="n"/>
      <c r="E368" s="56" t="n"/>
      <c r="F368" s="55" t="n"/>
      <c r="G368" s="55" t="n"/>
      <c r="H368" s="57" t="n"/>
      <c r="I368" s="57" t="n"/>
      <c r="J368" s="57" t="n"/>
      <c r="K368" s="57" t="n"/>
      <c r="L368" s="55" t="n"/>
      <c r="M368" s="55" t="n"/>
      <c r="N368" s="55" t="n"/>
      <c r="O368" s="55" t="n"/>
      <c r="P368" s="55" t="n"/>
      <c r="Q368" s="55" t="n"/>
      <c r="R368" s="58" t="n"/>
      <c r="S368" s="59">
        <f>IF(OR(tblPlant[[#This Row],[Milled_t]]="",tblPlant[[#This Row],[Head_Grade_gpt]]=""),"",tblPlant[[#This Row],[Milled_t]]*tblPlant[[#This Row],[Head_Grade_gpt]]/cfg_TroyOz)</f>
        <v/>
      </c>
      <c r="T368" s="59">
        <f>IF(OR(tblPlant[[#This Row],[Milled_t]]="",tblPlant[[#This Row],[Tails_Grade_gpt]]=""),"",tblPlant[[#This Row],[Milled_t]]*tblPlant[[#This Row],[Tails_Grade_gpt]]/cfg_TroyOz)</f>
        <v/>
      </c>
      <c r="U368" s="59">
        <f>IF(OR(tblPlant[[#This Row],[Milled_t]]="",tblPlant[[#This Row],[Head_Grade_gpt]]="",tblPlant[[#This Row],[Tails_Grade_gpt]]=""),"",tblPlant[[#This Row],[Feed_oz]]-tblPlant[[#This Row],[Tails_oz]])</f>
        <v/>
      </c>
      <c r="V368" s="60">
        <f>IF(AND(ISNUMBER(tblPlant[[#This Row],[Recovered_oz]]),tblPlant[[#This Row],[Feed_oz]]&gt;0),tblPlant[[#This Row],[Recovered_oz]]/tblPlant[[#This Row],[Feed_oz]],"")</f>
        <v/>
      </c>
      <c r="W368" s="59">
        <f>IF(AND(tblPlant[[#This Row],[Milled_t]]&lt;&gt;"",tblPlant[[#This Row],[Mill_Run_h]]&gt;0),tblPlant[[#This Row],[Milled_t]]/tblPlant[[#This Row],[Mill_Run_h]],"")</f>
        <v/>
      </c>
      <c r="X368" s="60">
        <f>IF(AND(tblPlant[[#This Row],[Mill_Run_h]]="",tblPlant[[#This Row],[Mill_Planned_Maint_h]]="",tblPlant[[#This Row],[Mill_Unplanned_Down_h]]=""),"",(cfg_HoursPerDay-tblPlant[[#This Row],[Mill_Planned_Maint_h]]-tblPlant[[#This Row],[Mill_Unplanned_Down_h]])/cfg_HoursPerDay)</f>
        <v/>
      </c>
      <c r="Y368"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69">
      <c r="A369" s="54" t="n">
        <v>46386</v>
      </c>
      <c r="B369" s="55" t="n"/>
      <c r="C369" s="55" t="n"/>
      <c r="D369" s="56" t="n"/>
      <c r="E369" s="56" t="n"/>
      <c r="F369" s="55" t="n"/>
      <c r="G369" s="55" t="n"/>
      <c r="H369" s="57" t="n"/>
      <c r="I369" s="57" t="n"/>
      <c r="J369" s="57" t="n"/>
      <c r="K369" s="57" t="n"/>
      <c r="L369" s="55" t="n"/>
      <c r="M369" s="55" t="n"/>
      <c r="N369" s="55" t="n"/>
      <c r="O369" s="55" t="n"/>
      <c r="P369" s="55" t="n"/>
      <c r="Q369" s="55" t="n"/>
      <c r="R369" s="58" t="n"/>
      <c r="S369" s="59">
        <f>IF(OR(tblPlant[[#This Row],[Milled_t]]="",tblPlant[[#This Row],[Head_Grade_gpt]]=""),"",tblPlant[[#This Row],[Milled_t]]*tblPlant[[#This Row],[Head_Grade_gpt]]/cfg_TroyOz)</f>
        <v/>
      </c>
      <c r="T369" s="59">
        <f>IF(OR(tblPlant[[#This Row],[Milled_t]]="",tblPlant[[#This Row],[Tails_Grade_gpt]]=""),"",tblPlant[[#This Row],[Milled_t]]*tblPlant[[#This Row],[Tails_Grade_gpt]]/cfg_TroyOz)</f>
        <v/>
      </c>
      <c r="U369" s="59">
        <f>IF(OR(tblPlant[[#This Row],[Milled_t]]="",tblPlant[[#This Row],[Head_Grade_gpt]]="",tblPlant[[#This Row],[Tails_Grade_gpt]]=""),"",tblPlant[[#This Row],[Feed_oz]]-tblPlant[[#This Row],[Tails_oz]])</f>
        <v/>
      </c>
      <c r="V369" s="60">
        <f>IF(AND(ISNUMBER(tblPlant[[#This Row],[Recovered_oz]]),tblPlant[[#This Row],[Feed_oz]]&gt;0),tblPlant[[#This Row],[Recovered_oz]]/tblPlant[[#This Row],[Feed_oz]],"")</f>
        <v/>
      </c>
      <c r="W369" s="59">
        <f>IF(AND(tblPlant[[#This Row],[Milled_t]]&lt;&gt;"",tblPlant[[#This Row],[Mill_Run_h]]&gt;0),tblPlant[[#This Row],[Milled_t]]/tblPlant[[#This Row],[Mill_Run_h]],"")</f>
        <v/>
      </c>
      <c r="X369" s="60">
        <f>IF(AND(tblPlant[[#This Row],[Mill_Run_h]]="",tblPlant[[#This Row],[Mill_Planned_Maint_h]]="",tblPlant[[#This Row],[Mill_Unplanned_Down_h]]=""),"",(cfg_HoursPerDay-tblPlant[[#This Row],[Mill_Planned_Maint_h]]-tblPlant[[#This Row],[Mill_Unplanned_Down_h]])/cfg_HoursPerDay)</f>
        <v/>
      </c>
      <c r="Y369"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row r="370">
      <c r="A370" s="54" t="n">
        <v>46387</v>
      </c>
      <c r="B370" s="55" t="n"/>
      <c r="C370" s="55" t="n"/>
      <c r="D370" s="56" t="n"/>
      <c r="E370" s="56" t="n"/>
      <c r="F370" s="55" t="n"/>
      <c r="G370" s="55" t="n"/>
      <c r="H370" s="57" t="n"/>
      <c r="I370" s="57" t="n"/>
      <c r="J370" s="57" t="n"/>
      <c r="K370" s="57" t="n"/>
      <c r="L370" s="55" t="n"/>
      <c r="M370" s="55" t="n"/>
      <c r="N370" s="55" t="n"/>
      <c r="O370" s="55" t="n"/>
      <c r="P370" s="55" t="n"/>
      <c r="Q370" s="55" t="n"/>
      <c r="R370" s="58" t="n"/>
      <c r="S370" s="59">
        <f>IF(OR(tblPlant[[#This Row],[Milled_t]]="",tblPlant[[#This Row],[Head_Grade_gpt]]=""),"",tblPlant[[#This Row],[Milled_t]]*tblPlant[[#This Row],[Head_Grade_gpt]]/cfg_TroyOz)</f>
        <v/>
      </c>
      <c r="T370" s="59">
        <f>IF(OR(tblPlant[[#This Row],[Milled_t]]="",tblPlant[[#This Row],[Tails_Grade_gpt]]=""),"",tblPlant[[#This Row],[Milled_t]]*tblPlant[[#This Row],[Tails_Grade_gpt]]/cfg_TroyOz)</f>
        <v/>
      </c>
      <c r="U370" s="59">
        <f>IF(OR(tblPlant[[#This Row],[Milled_t]]="",tblPlant[[#This Row],[Head_Grade_gpt]]="",tblPlant[[#This Row],[Tails_Grade_gpt]]=""),"",tblPlant[[#This Row],[Feed_oz]]-tblPlant[[#This Row],[Tails_oz]])</f>
        <v/>
      </c>
      <c r="V370" s="60">
        <f>IF(AND(ISNUMBER(tblPlant[[#This Row],[Recovered_oz]]),tblPlant[[#This Row],[Feed_oz]]&gt;0),tblPlant[[#This Row],[Recovered_oz]]/tblPlant[[#This Row],[Feed_oz]],"")</f>
        <v/>
      </c>
      <c r="W370" s="59">
        <f>IF(AND(tblPlant[[#This Row],[Milled_t]]&lt;&gt;"",tblPlant[[#This Row],[Mill_Run_h]]&gt;0),tblPlant[[#This Row],[Milled_t]]/tblPlant[[#This Row],[Mill_Run_h]],"")</f>
        <v/>
      </c>
      <c r="X370" s="60">
        <f>IF(AND(tblPlant[[#This Row],[Mill_Run_h]]="",tblPlant[[#This Row],[Mill_Planned_Maint_h]]="",tblPlant[[#This Row],[Mill_Unplanned_Down_h]]=""),"",(cfg_HoursPerDay-tblPlant[[#This Row],[Mill_Planned_Maint_h]]-tblPlant[[#This Row],[Mill_Unplanned_Down_h]])/cfg_HoursPerDay)</f>
        <v/>
      </c>
      <c r="Y370" s="60">
        <f>IF(AND(NOT(AND(tblPlant[[#This Row],[Mill_Run_h]]="",tblPlant[[#This Row],[Mill_Planned_Maint_h]]="",tblPlant[[#This Row],[Mill_Unplanned_Down_h]]="")),(cfg_HoursPerDay-tblPlant[[#This Row],[Mill_Planned_Maint_h]]-tblPlant[[#This Row],[Mill_Unplanned_Down_h]])&gt;0),tblPlant[[#This Row],[Mill_Run_h]]/(cfg_HoursPerDay-tblPlant[[#This Row],[Mill_Planned_Maint_h]]-tblPlant[[#This Row],[Mill_Unplanned_Down_h]]),"")</f>
        <v/>
      </c>
    </row>
  </sheetData>
  <conditionalFormatting sqref="A6:A370">
    <cfRule type="expression" priority="1" dxfId="0">
      <formula>COUNTIF($A$6:$A$370,$A6)&gt;1</formula>
    </cfRule>
  </conditionalFormatting>
  <dataValidations count="17">
    <dataValidation sqref="A6:A370" showDropDown="0" showInputMessage="1" showErrorMessage="1" allowBlank="1" errorTitle="Duplicate date" error="This date already has a row in the table. Enter the values on the existing row." promptTitle="Date" prompt="Production day (day shift start to night shift end)" type="custom" errorStyle="stop">
      <formula1>COUNTIF($A$6:$A$370,A6)=1</formula1>
    </dataValidation>
    <dataValidation sqref="B6:B370" showDropDown="0" showInputMessage="1" showErrorMessage="1" allowBlank="1" errorTitle="Outside expected range" error="Expected between 0 and 50,000. Click Yes to keep the value if it is correct." promptTitle="Crushed" prompt="Dry tonnes through the primary crusher" type="decimal" errorStyle="warning" operator="between">
      <formula1>0</formula1>
      <formula2>50000</formula2>
    </dataValidation>
    <dataValidation sqref="C6:C370" showDropDown="0" showInputMessage="1" showErrorMessage="1" allowBlank="1" errorTitle="Outside expected range" error="Expected between 0 and 50,000. Click Yes to keep the value if it is correct." promptTitle="Milled" prompt="Dry tonnes milled (mill feed weightometer)" type="decimal" errorStyle="warning" operator="between">
      <formula1>0</formula1>
      <formula2>50000</formula2>
    </dataValidation>
    <dataValidation sqref="D6:D370" showDropDown="0" showInputMessage="1" showErrorMessage="1" allowBlank="1" errorTitle="Outside expected range" error="Expected between 0 and 50. Click Yes to keep the value if it is correct." promptTitle="Head grade" prompt="Mill feed grade from the daily metallurgical balance" type="decimal" errorStyle="warning" operator="between">
      <formula1>0</formula1>
      <formula2>50</formula2>
    </dataValidation>
    <dataValidation sqref="E6:E370" showDropDown="0" showInputMessage="1" showErrorMessage="1" allowBlank="1" errorTitle="Outside expected range" error="Expected between 0 and 10. Click Yes to keep the value if it is correct." promptTitle="Tails grade" prompt="Final tails grade" type="decimal" errorStyle="warning" operator="between">
      <formula1>0</formula1>
      <formula2>10</formula2>
    </dataValidation>
    <dataValidation sqref="F6:F370" showDropDown="0" showInputMessage="1" showErrorMessage="1" allowBlank="1" errorTitle="Outside expected range" error="Expected between 0 and 5,000. Click Yes to keep the value if it is correct." promptTitle="Gravity gold" prompt="Gold recovered by the gravity circuit (part of total recovered)" type="decimal" errorStyle="warning" operator="between">
      <formula1>0</formula1>
      <formula2>5000</formula2>
    </dataValidation>
    <dataValidation sqref="G6:G370" showDropDown="0" showInputMessage="1" showErrorMessage="1" allowBlank="1" errorTitle="Outside expected range" error="Expected between 0 and 20,000. Click Yes to keep the value if it is correct." promptTitle="Gold poured" prompt="Fine gold in dore poured on the day" type="decimal" errorStyle="warning" operator="between">
      <formula1>0</formula1>
      <formula2>20000</formula2>
    </dataValidation>
    <dataValidation sqref="H6:H370" showDropDown="0" showInputMessage="1" showErrorMessage="1" allowBlank="1" errorTitle="Outside expected range" error="Expected between 0 and 24. Click Yes to keep the value if it is correct." promptTitle="Mill run hours" prompt="Hours the mill was running" type="decimal" errorStyle="warning" operator="between">
      <formula1>0</formula1>
      <formula2>24</formula2>
    </dataValidation>
    <dataValidation sqref="I6:I370" showDropDown="0" showInputMessage="1" showErrorMessage="1" allowBlank="1" errorTitle="Outside expected range" error="Expected between 0 and 24. Click Yes to keep the value if it is correct." promptTitle="Planned maintenance" prompt="Planned maintenance downtime" type="decimal" errorStyle="warning" operator="between">
      <formula1>0</formula1>
      <formula2>24</formula2>
    </dataValidation>
    <dataValidation sqref="J6:J370" showDropDown="0" showInputMessage="1" showErrorMessage="1" allowBlank="1" errorTitle="Outside expected range" error="Expected between 0 and 24. Click Yes to keep the value if it is correct." promptTitle="Unplanned downtime" prompt="Unplanned downtime (breakdowns, power, no feed)" type="decimal" errorStyle="warning" operator="between">
      <formula1>0</formula1>
      <formula2>24</formula2>
    </dataValidation>
    <dataValidation sqref="K6:K370" showDropDown="0" showInputMessage="1" showErrorMessage="1" allowBlank="1" errorTitle="Outside expected range" error="Expected between 0 and 24. Click Yes to keep the value if it is correct." promptTitle="Crusher run hours" prompt="Primary crusher running hours" type="decimal" errorStyle="warning" operator="between">
      <formula1>0</formula1>
      <formula2>24</formula2>
    </dataValidation>
    <dataValidation sqref="L6:L370" showDropDown="0" showInputMessage="1" showErrorMessage="1" allowBlank="1" errorTitle="Outside expected range" error="Expected between 0 and 50,000. Click Yes to keep the value if it is correct." promptTitle="Cyanide" prompt="Sodium cyanide consumed" type="decimal" errorStyle="warning" operator="between">
      <formula1>0</formula1>
      <formula2>50000</formula2>
    </dataValidation>
    <dataValidation sqref="M6:M370" showDropDown="0" showInputMessage="1" showErrorMessage="1" allowBlank="1" errorTitle="Outside expected range" error="Expected between 0 and 100,000. Click Yes to keep the value if it is correct." promptTitle="Lime" prompt="Lime consumed" type="decimal" errorStyle="warning" operator="between">
      <formula1>0</formula1>
      <formula2>100000</formula2>
    </dataValidation>
    <dataValidation sqref="N6:N370" showDropDown="0" showInputMessage="1" showErrorMessage="1" allowBlank="1" errorTitle="Outside expected range" error="Expected between 0 and 50,000. Click Yes to keep the value if it is correct." promptTitle="Grinding media" prompt="Grinding media added" type="decimal" errorStyle="warning" operator="between">
      <formula1>0</formula1>
      <formula2>50000</formula2>
    </dataValidation>
    <dataValidation sqref="O6:O370" showDropDown="0" showInputMessage="1" showErrorMessage="1" allowBlank="1" errorTitle="Outside expected range" error="Expected between 0 and 1,000,000. Click Yes to keep the value if it is correct." promptTitle="Power" prompt="Plant power consumed" type="decimal" errorStyle="warning" operator="between">
      <formula1>0</formula1>
      <formula2>1000000</formula2>
    </dataValidation>
    <dataValidation sqref="P6:P370" showDropDown="0" showInputMessage="1" showErrorMessage="1" allowBlank="1" errorTitle="Outside expected range" error="Expected between 0 and 100,000. Click Yes to keep the value if it is correct." promptTitle="Raw water" prompt="Raw water drawn" type="decimal" errorStyle="warning" operator="between">
      <formula1>0</formula1>
      <formula2>100000</formula2>
    </dataValidation>
    <dataValidation sqref="Q6:Q370" showDropDown="0" showInputMessage="1" showErrorMessage="1" allowBlank="1" errorTitle="Outside expected range" error="Expected between 0 and 50,000. Click Yes to keep the value if it is correct." promptTitle="Gold in circuit" prompt="Gold in circuit at end of day (point value, not additive)" type="decimal" errorStyle="warning" operator="between">
      <formula1>0</formula1>
      <formula2>50000</formula2>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548235"/>
    <outlinePr summaryBelow="1" summaryRight="1"/>
    <pageSetUpPr/>
  </sheetPr>
  <dimension ref="A1:O50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9" customWidth="1" min="5" max="5"/>
    <col width="11" customWidth="1" min="6" max="6"/>
    <col width="11.9" customWidth="1" min="7" max="7"/>
    <col width="12.8" customWidth="1" min="8" max="8"/>
    <col width="11.9" customWidth="1" min="9" max="9"/>
    <col width="32" customWidth="1" min="10" max="10"/>
    <col width="32" customWidth="1" min="11" max="11"/>
    <col width="32" customWidth="1" min="12" max="12"/>
    <col width="11" customWidth="1" min="13" max="13"/>
    <col width="19.1" customWidth="1" min="14" max="14"/>
    <col width="13.7" customWidth="1" min="15" max="15"/>
  </cols>
  <sheetData>
    <row r="1">
      <c r="A1" s="50" t="inlineStr">
        <is>
          <t>Material movements, one row per source, material and destination per day (or per shift)</t>
        </is>
      </c>
    </row>
    <row r="2">
      <c r="A2" s="6" t="inlineStr">
        <is>
          <t>Owner: Mining (dispatch / production engineer).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Shift</t>
        </is>
      </c>
      <c r="C4" s="51" t="inlineStr">
        <is>
          <t>Source</t>
        </is>
      </c>
      <c r="D4" s="51" t="inlineStr">
        <is>
          <t>Material</t>
        </is>
      </c>
      <c r="E4" s="51" t="inlineStr">
        <is>
          <t>Destination</t>
        </is>
      </c>
      <c r="F4" s="51" t="inlineStr">
        <is>
          <t>Tonnes (t)</t>
        </is>
      </c>
      <c r="G4" s="51" t="inlineStr">
        <is>
          <t>Grade (g/t)</t>
        </is>
      </c>
      <c r="H4" s="51" t="inlineStr">
        <is>
          <t>Volume (bcm)</t>
        </is>
      </c>
      <c r="I4" s="51" t="inlineStr">
        <is>
          <t>Truck loads</t>
        </is>
      </c>
      <c r="J4" s="51" t="inlineStr">
        <is>
          <t>Comments</t>
        </is>
      </c>
      <c r="K4" s="51" t="inlineStr">
        <is>
          <t>Source type</t>
        </is>
      </c>
      <c r="L4" s="51" t="inlineStr">
        <is>
          <t>Destination type</t>
        </is>
      </c>
      <c r="M4" s="51" t="inlineStr">
        <is>
          <t>Ore flag</t>
        </is>
      </c>
      <c r="N4" s="51" t="inlineStr">
        <is>
          <t>Contained gold (oz)</t>
        </is>
      </c>
      <c r="O4" s="51" t="inlineStr">
        <is>
          <t>Ore gold (oz)</t>
        </is>
      </c>
    </row>
    <row r="5">
      <c r="A5" s="52" t="inlineStr">
        <is>
          <t>Date</t>
        </is>
      </c>
      <c r="B5" s="52" t="inlineStr">
        <is>
          <t>Shift</t>
        </is>
      </c>
      <c r="C5" s="52" t="inlineStr">
        <is>
          <t>Source</t>
        </is>
      </c>
      <c r="D5" s="52" t="inlineStr">
        <is>
          <t>Material</t>
        </is>
      </c>
      <c r="E5" s="52" t="inlineStr">
        <is>
          <t>Destination</t>
        </is>
      </c>
      <c r="F5" s="52" t="inlineStr">
        <is>
          <t>Tonnes_t</t>
        </is>
      </c>
      <c r="G5" s="52" t="inlineStr">
        <is>
          <t>Grade_gpt</t>
        </is>
      </c>
      <c r="H5" s="52" t="inlineStr">
        <is>
          <t>BCM</t>
        </is>
      </c>
      <c r="I5" s="52" t="inlineStr">
        <is>
          <t>Loads</t>
        </is>
      </c>
      <c r="J5" s="52" t="inlineStr">
        <is>
          <t>Comments</t>
        </is>
      </c>
      <c r="K5" s="53" t="inlineStr">
        <is>
          <t>Source_Type</t>
        </is>
      </c>
      <c r="L5" s="53" t="inlineStr">
        <is>
          <t>Dest_Type</t>
        </is>
      </c>
      <c r="M5" s="53" t="inlineStr">
        <is>
          <t>Is_Ore</t>
        </is>
      </c>
      <c r="N5" s="53" t="inlineStr">
        <is>
          <t>Contained_oz</t>
        </is>
      </c>
      <c r="O5" s="53" t="inlineStr">
        <is>
          <t>Ore_oz</t>
        </is>
      </c>
    </row>
    <row r="6">
      <c r="A6" s="54" t="n"/>
      <c r="B6" s="61" t="n"/>
      <c r="C6" s="61" t="n"/>
      <c r="D6" s="61" t="n"/>
      <c r="E6" s="61" t="n"/>
      <c r="F6" s="55" t="n"/>
      <c r="G6" s="56" t="n"/>
      <c r="H6" s="55" t="n"/>
      <c r="I6" s="62" t="n"/>
      <c r="J6" s="58" t="n"/>
      <c r="K6" s="63">
        <f>IF(tblMovement[[#This Row],[Source]]="","",IFERROR(INDEX(tblSources[Type],MATCH(tblMovement[[#This Row],[Source]],tblSources[Source],0)),"?"))</f>
        <v/>
      </c>
      <c r="L6" s="63">
        <f>IF(tblMovement[[#This Row],[Destination]]="","",IFERROR(INDEX(tblDestinations[Type],MATCH(tblMovement[[#This Row],[Destination]],tblDestinations[Destination],0)),"?"))</f>
        <v/>
      </c>
      <c r="M6" s="64">
        <f>IF(tblMovement[[#This Row],[Material]]="","",IF(LEFT(tblMovement[[#This Row],[Material]],3)="Ore",1,0))</f>
        <v/>
      </c>
      <c r="N6" s="59">
        <f>IF(OR(tblMovement[[#This Row],[Tonnes_t]]="",tblMovement[[#This Row],[Grade_gpt]]=""),0,tblMovement[[#This Row],[Tonnes_t]]*tblMovement[[#This Row],[Grade_gpt]]/cfg_TroyOz)</f>
        <v/>
      </c>
      <c r="O6" s="59">
        <f>IF(tblMovement[[#This Row],[Is_Ore]]=1,tblMovement[[#This Row],[Contained_oz]],0)</f>
        <v/>
      </c>
    </row>
    <row r="7">
      <c r="A7" s="54" t="n"/>
      <c r="B7" s="61" t="n"/>
      <c r="C7" s="61" t="n"/>
      <c r="D7" s="61" t="n"/>
      <c r="E7" s="61" t="n"/>
      <c r="F7" s="55" t="n"/>
      <c r="G7" s="56" t="n"/>
      <c r="H7" s="55" t="n"/>
      <c r="I7" s="62" t="n"/>
      <c r="J7" s="58" t="n"/>
      <c r="K7" s="63">
        <f>IF(tblMovement[[#This Row],[Source]]="","",IFERROR(INDEX(tblSources[Type],MATCH(tblMovement[[#This Row],[Source]],tblSources[Source],0)),"?"))</f>
        <v/>
      </c>
      <c r="L7" s="63">
        <f>IF(tblMovement[[#This Row],[Destination]]="","",IFERROR(INDEX(tblDestinations[Type],MATCH(tblMovement[[#This Row],[Destination]],tblDestinations[Destination],0)),"?"))</f>
        <v/>
      </c>
      <c r="M7" s="64">
        <f>IF(tblMovement[[#This Row],[Material]]="","",IF(LEFT(tblMovement[[#This Row],[Material]],3)="Ore",1,0))</f>
        <v/>
      </c>
      <c r="N7" s="59">
        <f>IF(OR(tblMovement[[#This Row],[Tonnes_t]]="",tblMovement[[#This Row],[Grade_gpt]]=""),0,tblMovement[[#This Row],[Tonnes_t]]*tblMovement[[#This Row],[Grade_gpt]]/cfg_TroyOz)</f>
        <v/>
      </c>
      <c r="O7" s="59">
        <f>IF(tblMovement[[#This Row],[Is_Ore]]=1,tblMovement[[#This Row],[Contained_oz]],0)</f>
        <v/>
      </c>
    </row>
    <row r="8">
      <c r="A8" s="54" t="n"/>
      <c r="B8" s="61" t="n"/>
      <c r="C8" s="61" t="n"/>
      <c r="D8" s="61" t="n"/>
      <c r="E8" s="61" t="n"/>
      <c r="F8" s="55" t="n"/>
      <c r="G8" s="56" t="n"/>
      <c r="H8" s="55" t="n"/>
      <c r="I8" s="62" t="n"/>
      <c r="J8" s="58" t="n"/>
      <c r="K8" s="63">
        <f>IF(tblMovement[[#This Row],[Source]]="","",IFERROR(INDEX(tblSources[Type],MATCH(tblMovement[[#This Row],[Source]],tblSources[Source],0)),"?"))</f>
        <v/>
      </c>
      <c r="L8" s="63">
        <f>IF(tblMovement[[#This Row],[Destination]]="","",IFERROR(INDEX(tblDestinations[Type],MATCH(tblMovement[[#This Row],[Destination]],tblDestinations[Destination],0)),"?"))</f>
        <v/>
      </c>
      <c r="M8" s="64">
        <f>IF(tblMovement[[#This Row],[Material]]="","",IF(LEFT(tblMovement[[#This Row],[Material]],3)="Ore",1,0))</f>
        <v/>
      </c>
      <c r="N8" s="59">
        <f>IF(OR(tblMovement[[#This Row],[Tonnes_t]]="",tblMovement[[#This Row],[Grade_gpt]]=""),0,tblMovement[[#This Row],[Tonnes_t]]*tblMovement[[#This Row],[Grade_gpt]]/cfg_TroyOz)</f>
        <v/>
      </c>
      <c r="O8" s="59">
        <f>IF(tblMovement[[#This Row],[Is_Ore]]=1,tblMovement[[#This Row],[Contained_oz]],0)</f>
        <v/>
      </c>
    </row>
    <row r="9">
      <c r="A9" s="54" t="n"/>
      <c r="B9" s="61" t="n"/>
      <c r="C9" s="61" t="n"/>
      <c r="D9" s="61" t="n"/>
      <c r="E9" s="61" t="n"/>
      <c r="F9" s="55" t="n"/>
      <c r="G9" s="56" t="n"/>
      <c r="H9" s="55" t="n"/>
      <c r="I9" s="62" t="n"/>
      <c r="J9" s="58" t="n"/>
      <c r="K9" s="63">
        <f>IF(tblMovement[[#This Row],[Source]]="","",IFERROR(INDEX(tblSources[Type],MATCH(tblMovement[[#This Row],[Source]],tblSources[Source],0)),"?"))</f>
        <v/>
      </c>
      <c r="L9" s="63">
        <f>IF(tblMovement[[#This Row],[Destination]]="","",IFERROR(INDEX(tblDestinations[Type],MATCH(tblMovement[[#This Row],[Destination]],tblDestinations[Destination],0)),"?"))</f>
        <v/>
      </c>
      <c r="M9" s="64">
        <f>IF(tblMovement[[#This Row],[Material]]="","",IF(LEFT(tblMovement[[#This Row],[Material]],3)="Ore",1,0))</f>
        <v/>
      </c>
      <c r="N9" s="59">
        <f>IF(OR(tblMovement[[#This Row],[Tonnes_t]]="",tblMovement[[#This Row],[Grade_gpt]]=""),0,tblMovement[[#This Row],[Tonnes_t]]*tblMovement[[#This Row],[Grade_gpt]]/cfg_TroyOz)</f>
        <v/>
      </c>
      <c r="O9" s="59">
        <f>IF(tblMovement[[#This Row],[Is_Ore]]=1,tblMovement[[#This Row],[Contained_oz]],0)</f>
        <v/>
      </c>
    </row>
    <row r="10">
      <c r="A10" s="54" t="n"/>
      <c r="B10" s="61" t="n"/>
      <c r="C10" s="61" t="n"/>
      <c r="D10" s="61" t="n"/>
      <c r="E10" s="61" t="n"/>
      <c r="F10" s="55" t="n"/>
      <c r="G10" s="56" t="n"/>
      <c r="H10" s="55" t="n"/>
      <c r="I10" s="62" t="n"/>
      <c r="J10" s="58" t="n"/>
      <c r="K10" s="63">
        <f>IF(tblMovement[[#This Row],[Source]]="","",IFERROR(INDEX(tblSources[Type],MATCH(tblMovement[[#This Row],[Source]],tblSources[Source],0)),"?"))</f>
        <v/>
      </c>
      <c r="L10" s="63">
        <f>IF(tblMovement[[#This Row],[Destination]]="","",IFERROR(INDEX(tblDestinations[Type],MATCH(tblMovement[[#This Row],[Destination]],tblDestinations[Destination],0)),"?"))</f>
        <v/>
      </c>
      <c r="M10" s="64">
        <f>IF(tblMovement[[#This Row],[Material]]="","",IF(LEFT(tblMovement[[#This Row],[Material]],3)="Ore",1,0))</f>
        <v/>
      </c>
      <c r="N10" s="59">
        <f>IF(OR(tblMovement[[#This Row],[Tonnes_t]]="",tblMovement[[#This Row],[Grade_gpt]]=""),0,tblMovement[[#This Row],[Tonnes_t]]*tblMovement[[#This Row],[Grade_gpt]]/cfg_TroyOz)</f>
        <v/>
      </c>
      <c r="O10" s="59">
        <f>IF(tblMovement[[#This Row],[Is_Ore]]=1,tblMovement[[#This Row],[Contained_oz]],0)</f>
        <v/>
      </c>
    </row>
    <row r="11">
      <c r="A11" s="54" t="n"/>
      <c r="B11" s="61" t="n"/>
      <c r="C11" s="61" t="n"/>
      <c r="D11" s="61" t="n"/>
      <c r="E11" s="61" t="n"/>
      <c r="F11" s="55" t="n"/>
      <c r="G11" s="56" t="n"/>
      <c r="H11" s="55" t="n"/>
      <c r="I11" s="62" t="n"/>
      <c r="J11" s="58" t="n"/>
      <c r="K11" s="63">
        <f>IF(tblMovement[[#This Row],[Source]]="","",IFERROR(INDEX(tblSources[Type],MATCH(tblMovement[[#This Row],[Source]],tblSources[Source],0)),"?"))</f>
        <v/>
      </c>
      <c r="L11" s="63">
        <f>IF(tblMovement[[#This Row],[Destination]]="","",IFERROR(INDEX(tblDestinations[Type],MATCH(tblMovement[[#This Row],[Destination]],tblDestinations[Destination],0)),"?"))</f>
        <v/>
      </c>
      <c r="M11" s="64">
        <f>IF(tblMovement[[#This Row],[Material]]="","",IF(LEFT(tblMovement[[#This Row],[Material]],3)="Ore",1,0))</f>
        <v/>
      </c>
      <c r="N11" s="59">
        <f>IF(OR(tblMovement[[#This Row],[Tonnes_t]]="",tblMovement[[#This Row],[Grade_gpt]]=""),0,tblMovement[[#This Row],[Tonnes_t]]*tblMovement[[#This Row],[Grade_gpt]]/cfg_TroyOz)</f>
        <v/>
      </c>
      <c r="O11" s="59">
        <f>IF(tblMovement[[#This Row],[Is_Ore]]=1,tblMovement[[#This Row],[Contained_oz]],0)</f>
        <v/>
      </c>
    </row>
    <row r="12">
      <c r="A12" s="54" t="n"/>
      <c r="B12" s="61" t="n"/>
      <c r="C12" s="61" t="n"/>
      <c r="D12" s="61" t="n"/>
      <c r="E12" s="61" t="n"/>
      <c r="F12" s="55" t="n"/>
      <c r="G12" s="56" t="n"/>
      <c r="H12" s="55" t="n"/>
      <c r="I12" s="62" t="n"/>
      <c r="J12" s="58" t="n"/>
      <c r="K12" s="63">
        <f>IF(tblMovement[[#This Row],[Source]]="","",IFERROR(INDEX(tblSources[Type],MATCH(tblMovement[[#This Row],[Source]],tblSources[Source],0)),"?"))</f>
        <v/>
      </c>
      <c r="L12" s="63">
        <f>IF(tblMovement[[#This Row],[Destination]]="","",IFERROR(INDEX(tblDestinations[Type],MATCH(tblMovement[[#This Row],[Destination]],tblDestinations[Destination],0)),"?"))</f>
        <v/>
      </c>
      <c r="M12" s="64">
        <f>IF(tblMovement[[#This Row],[Material]]="","",IF(LEFT(tblMovement[[#This Row],[Material]],3)="Ore",1,0))</f>
        <v/>
      </c>
      <c r="N12" s="59">
        <f>IF(OR(tblMovement[[#This Row],[Tonnes_t]]="",tblMovement[[#This Row],[Grade_gpt]]=""),0,tblMovement[[#This Row],[Tonnes_t]]*tblMovement[[#This Row],[Grade_gpt]]/cfg_TroyOz)</f>
        <v/>
      </c>
      <c r="O12" s="59">
        <f>IF(tblMovement[[#This Row],[Is_Ore]]=1,tblMovement[[#This Row],[Contained_oz]],0)</f>
        <v/>
      </c>
    </row>
    <row r="13">
      <c r="A13" s="54" t="n"/>
      <c r="B13" s="61" t="n"/>
      <c r="C13" s="61" t="n"/>
      <c r="D13" s="61" t="n"/>
      <c r="E13" s="61" t="n"/>
      <c r="F13" s="55" t="n"/>
      <c r="G13" s="56" t="n"/>
      <c r="H13" s="55" t="n"/>
      <c r="I13" s="62" t="n"/>
      <c r="J13" s="58" t="n"/>
      <c r="K13" s="63">
        <f>IF(tblMovement[[#This Row],[Source]]="","",IFERROR(INDEX(tblSources[Type],MATCH(tblMovement[[#This Row],[Source]],tblSources[Source],0)),"?"))</f>
        <v/>
      </c>
      <c r="L13" s="63">
        <f>IF(tblMovement[[#This Row],[Destination]]="","",IFERROR(INDEX(tblDestinations[Type],MATCH(tblMovement[[#This Row],[Destination]],tblDestinations[Destination],0)),"?"))</f>
        <v/>
      </c>
      <c r="M13" s="64">
        <f>IF(tblMovement[[#This Row],[Material]]="","",IF(LEFT(tblMovement[[#This Row],[Material]],3)="Ore",1,0))</f>
        <v/>
      </c>
      <c r="N13" s="59">
        <f>IF(OR(tblMovement[[#This Row],[Tonnes_t]]="",tblMovement[[#This Row],[Grade_gpt]]=""),0,tblMovement[[#This Row],[Tonnes_t]]*tblMovement[[#This Row],[Grade_gpt]]/cfg_TroyOz)</f>
        <v/>
      </c>
      <c r="O13" s="59">
        <f>IF(tblMovement[[#This Row],[Is_Ore]]=1,tblMovement[[#This Row],[Contained_oz]],0)</f>
        <v/>
      </c>
    </row>
    <row r="14">
      <c r="A14" s="54" t="n"/>
      <c r="B14" s="61" t="n"/>
      <c r="C14" s="61" t="n"/>
      <c r="D14" s="61" t="n"/>
      <c r="E14" s="61" t="n"/>
      <c r="F14" s="55" t="n"/>
      <c r="G14" s="56" t="n"/>
      <c r="H14" s="55" t="n"/>
      <c r="I14" s="62" t="n"/>
      <c r="J14" s="58" t="n"/>
      <c r="K14" s="63">
        <f>IF(tblMovement[[#This Row],[Source]]="","",IFERROR(INDEX(tblSources[Type],MATCH(tblMovement[[#This Row],[Source]],tblSources[Source],0)),"?"))</f>
        <v/>
      </c>
      <c r="L14" s="63">
        <f>IF(tblMovement[[#This Row],[Destination]]="","",IFERROR(INDEX(tblDestinations[Type],MATCH(tblMovement[[#This Row],[Destination]],tblDestinations[Destination],0)),"?"))</f>
        <v/>
      </c>
      <c r="M14" s="64">
        <f>IF(tblMovement[[#This Row],[Material]]="","",IF(LEFT(tblMovement[[#This Row],[Material]],3)="Ore",1,0))</f>
        <v/>
      </c>
      <c r="N14" s="59">
        <f>IF(OR(tblMovement[[#This Row],[Tonnes_t]]="",tblMovement[[#This Row],[Grade_gpt]]=""),0,tblMovement[[#This Row],[Tonnes_t]]*tblMovement[[#This Row],[Grade_gpt]]/cfg_TroyOz)</f>
        <v/>
      </c>
      <c r="O14" s="59">
        <f>IF(tblMovement[[#This Row],[Is_Ore]]=1,tblMovement[[#This Row],[Contained_oz]],0)</f>
        <v/>
      </c>
    </row>
    <row r="15">
      <c r="A15" s="54" t="n"/>
      <c r="B15" s="61" t="n"/>
      <c r="C15" s="61" t="n"/>
      <c r="D15" s="61" t="n"/>
      <c r="E15" s="61" t="n"/>
      <c r="F15" s="55" t="n"/>
      <c r="G15" s="56" t="n"/>
      <c r="H15" s="55" t="n"/>
      <c r="I15" s="62" t="n"/>
      <c r="J15" s="58" t="n"/>
      <c r="K15" s="63">
        <f>IF(tblMovement[[#This Row],[Source]]="","",IFERROR(INDEX(tblSources[Type],MATCH(tblMovement[[#This Row],[Source]],tblSources[Source],0)),"?"))</f>
        <v/>
      </c>
      <c r="L15" s="63">
        <f>IF(tblMovement[[#This Row],[Destination]]="","",IFERROR(INDEX(tblDestinations[Type],MATCH(tblMovement[[#This Row],[Destination]],tblDestinations[Destination],0)),"?"))</f>
        <v/>
      </c>
      <c r="M15" s="64">
        <f>IF(tblMovement[[#This Row],[Material]]="","",IF(LEFT(tblMovement[[#This Row],[Material]],3)="Ore",1,0))</f>
        <v/>
      </c>
      <c r="N15" s="59">
        <f>IF(OR(tblMovement[[#This Row],[Tonnes_t]]="",tblMovement[[#This Row],[Grade_gpt]]=""),0,tblMovement[[#This Row],[Tonnes_t]]*tblMovement[[#This Row],[Grade_gpt]]/cfg_TroyOz)</f>
        <v/>
      </c>
      <c r="O15" s="59">
        <f>IF(tblMovement[[#This Row],[Is_Ore]]=1,tblMovement[[#This Row],[Contained_oz]],0)</f>
        <v/>
      </c>
    </row>
    <row r="16">
      <c r="A16" s="54" t="n"/>
      <c r="B16" s="61" t="n"/>
      <c r="C16" s="61" t="n"/>
      <c r="D16" s="61" t="n"/>
      <c r="E16" s="61" t="n"/>
      <c r="F16" s="55" t="n"/>
      <c r="G16" s="56" t="n"/>
      <c r="H16" s="55" t="n"/>
      <c r="I16" s="62" t="n"/>
      <c r="J16" s="58" t="n"/>
      <c r="K16" s="63">
        <f>IF(tblMovement[[#This Row],[Source]]="","",IFERROR(INDEX(tblSources[Type],MATCH(tblMovement[[#This Row],[Source]],tblSources[Source],0)),"?"))</f>
        <v/>
      </c>
      <c r="L16" s="63">
        <f>IF(tblMovement[[#This Row],[Destination]]="","",IFERROR(INDEX(tblDestinations[Type],MATCH(tblMovement[[#This Row],[Destination]],tblDestinations[Destination],0)),"?"))</f>
        <v/>
      </c>
      <c r="M16" s="64">
        <f>IF(tblMovement[[#This Row],[Material]]="","",IF(LEFT(tblMovement[[#This Row],[Material]],3)="Ore",1,0))</f>
        <v/>
      </c>
      <c r="N16" s="59">
        <f>IF(OR(tblMovement[[#This Row],[Tonnes_t]]="",tblMovement[[#This Row],[Grade_gpt]]=""),0,tblMovement[[#This Row],[Tonnes_t]]*tblMovement[[#This Row],[Grade_gpt]]/cfg_TroyOz)</f>
        <v/>
      </c>
      <c r="O16" s="59">
        <f>IF(tblMovement[[#This Row],[Is_Ore]]=1,tblMovement[[#This Row],[Contained_oz]],0)</f>
        <v/>
      </c>
    </row>
    <row r="17">
      <c r="A17" s="54" t="n"/>
      <c r="B17" s="61" t="n"/>
      <c r="C17" s="61" t="n"/>
      <c r="D17" s="61" t="n"/>
      <c r="E17" s="61" t="n"/>
      <c r="F17" s="55" t="n"/>
      <c r="G17" s="56" t="n"/>
      <c r="H17" s="55" t="n"/>
      <c r="I17" s="62" t="n"/>
      <c r="J17" s="58" t="n"/>
      <c r="K17" s="63">
        <f>IF(tblMovement[[#This Row],[Source]]="","",IFERROR(INDEX(tblSources[Type],MATCH(tblMovement[[#This Row],[Source]],tblSources[Source],0)),"?"))</f>
        <v/>
      </c>
      <c r="L17" s="63">
        <f>IF(tblMovement[[#This Row],[Destination]]="","",IFERROR(INDEX(tblDestinations[Type],MATCH(tblMovement[[#This Row],[Destination]],tblDestinations[Destination],0)),"?"))</f>
        <v/>
      </c>
      <c r="M17" s="64">
        <f>IF(tblMovement[[#This Row],[Material]]="","",IF(LEFT(tblMovement[[#This Row],[Material]],3)="Ore",1,0))</f>
        <v/>
      </c>
      <c r="N17" s="59">
        <f>IF(OR(tblMovement[[#This Row],[Tonnes_t]]="",tblMovement[[#This Row],[Grade_gpt]]=""),0,tblMovement[[#This Row],[Tonnes_t]]*tblMovement[[#This Row],[Grade_gpt]]/cfg_TroyOz)</f>
        <v/>
      </c>
      <c r="O17" s="59">
        <f>IF(tblMovement[[#This Row],[Is_Ore]]=1,tblMovement[[#This Row],[Contained_oz]],0)</f>
        <v/>
      </c>
    </row>
    <row r="18">
      <c r="A18" s="54" t="n"/>
      <c r="B18" s="61" t="n"/>
      <c r="C18" s="61" t="n"/>
      <c r="D18" s="61" t="n"/>
      <c r="E18" s="61" t="n"/>
      <c r="F18" s="55" t="n"/>
      <c r="G18" s="56" t="n"/>
      <c r="H18" s="55" t="n"/>
      <c r="I18" s="62" t="n"/>
      <c r="J18" s="58" t="n"/>
      <c r="K18" s="63">
        <f>IF(tblMovement[[#This Row],[Source]]="","",IFERROR(INDEX(tblSources[Type],MATCH(tblMovement[[#This Row],[Source]],tblSources[Source],0)),"?"))</f>
        <v/>
      </c>
      <c r="L18" s="63">
        <f>IF(tblMovement[[#This Row],[Destination]]="","",IFERROR(INDEX(tblDestinations[Type],MATCH(tblMovement[[#This Row],[Destination]],tblDestinations[Destination],0)),"?"))</f>
        <v/>
      </c>
      <c r="M18" s="64">
        <f>IF(tblMovement[[#This Row],[Material]]="","",IF(LEFT(tblMovement[[#This Row],[Material]],3)="Ore",1,0))</f>
        <v/>
      </c>
      <c r="N18" s="59">
        <f>IF(OR(tblMovement[[#This Row],[Tonnes_t]]="",tblMovement[[#This Row],[Grade_gpt]]=""),0,tblMovement[[#This Row],[Tonnes_t]]*tblMovement[[#This Row],[Grade_gpt]]/cfg_TroyOz)</f>
        <v/>
      </c>
      <c r="O18" s="59">
        <f>IF(tblMovement[[#This Row],[Is_Ore]]=1,tblMovement[[#This Row],[Contained_oz]],0)</f>
        <v/>
      </c>
    </row>
    <row r="19">
      <c r="A19" s="54" t="n"/>
      <c r="B19" s="61" t="n"/>
      <c r="C19" s="61" t="n"/>
      <c r="D19" s="61" t="n"/>
      <c r="E19" s="61" t="n"/>
      <c r="F19" s="55" t="n"/>
      <c r="G19" s="56" t="n"/>
      <c r="H19" s="55" t="n"/>
      <c r="I19" s="62" t="n"/>
      <c r="J19" s="58" t="n"/>
      <c r="K19" s="63">
        <f>IF(tblMovement[[#This Row],[Source]]="","",IFERROR(INDEX(tblSources[Type],MATCH(tblMovement[[#This Row],[Source]],tblSources[Source],0)),"?"))</f>
        <v/>
      </c>
      <c r="L19" s="63">
        <f>IF(tblMovement[[#This Row],[Destination]]="","",IFERROR(INDEX(tblDestinations[Type],MATCH(tblMovement[[#This Row],[Destination]],tblDestinations[Destination],0)),"?"))</f>
        <v/>
      </c>
      <c r="M19" s="64">
        <f>IF(tblMovement[[#This Row],[Material]]="","",IF(LEFT(tblMovement[[#This Row],[Material]],3)="Ore",1,0))</f>
        <v/>
      </c>
      <c r="N19" s="59">
        <f>IF(OR(tblMovement[[#This Row],[Tonnes_t]]="",tblMovement[[#This Row],[Grade_gpt]]=""),0,tblMovement[[#This Row],[Tonnes_t]]*tblMovement[[#This Row],[Grade_gpt]]/cfg_TroyOz)</f>
        <v/>
      </c>
      <c r="O19" s="59">
        <f>IF(tblMovement[[#This Row],[Is_Ore]]=1,tblMovement[[#This Row],[Contained_oz]],0)</f>
        <v/>
      </c>
    </row>
    <row r="20">
      <c r="A20" s="54" t="n"/>
      <c r="B20" s="61" t="n"/>
      <c r="C20" s="61" t="n"/>
      <c r="D20" s="61" t="n"/>
      <c r="E20" s="61" t="n"/>
      <c r="F20" s="55" t="n"/>
      <c r="G20" s="56" t="n"/>
      <c r="H20" s="55" t="n"/>
      <c r="I20" s="62" t="n"/>
      <c r="J20" s="58" t="n"/>
      <c r="K20" s="63">
        <f>IF(tblMovement[[#This Row],[Source]]="","",IFERROR(INDEX(tblSources[Type],MATCH(tblMovement[[#This Row],[Source]],tblSources[Source],0)),"?"))</f>
        <v/>
      </c>
      <c r="L20" s="63">
        <f>IF(tblMovement[[#This Row],[Destination]]="","",IFERROR(INDEX(tblDestinations[Type],MATCH(tblMovement[[#This Row],[Destination]],tblDestinations[Destination],0)),"?"))</f>
        <v/>
      </c>
      <c r="M20" s="64">
        <f>IF(tblMovement[[#This Row],[Material]]="","",IF(LEFT(tblMovement[[#This Row],[Material]],3)="Ore",1,0))</f>
        <v/>
      </c>
      <c r="N20" s="59">
        <f>IF(OR(tblMovement[[#This Row],[Tonnes_t]]="",tblMovement[[#This Row],[Grade_gpt]]=""),0,tblMovement[[#This Row],[Tonnes_t]]*tblMovement[[#This Row],[Grade_gpt]]/cfg_TroyOz)</f>
        <v/>
      </c>
      <c r="O20" s="59">
        <f>IF(tblMovement[[#This Row],[Is_Ore]]=1,tblMovement[[#This Row],[Contained_oz]],0)</f>
        <v/>
      </c>
    </row>
    <row r="21">
      <c r="A21" s="54" t="n"/>
      <c r="B21" s="61" t="n"/>
      <c r="C21" s="61" t="n"/>
      <c r="D21" s="61" t="n"/>
      <c r="E21" s="61" t="n"/>
      <c r="F21" s="55" t="n"/>
      <c r="G21" s="56" t="n"/>
      <c r="H21" s="55" t="n"/>
      <c r="I21" s="62" t="n"/>
      <c r="J21" s="58" t="n"/>
      <c r="K21" s="63">
        <f>IF(tblMovement[[#This Row],[Source]]="","",IFERROR(INDEX(tblSources[Type],MATCH(tblMovement[[#This Row],[Source]],tblSources[Source],0)),"?"))</f>
        <v/>
      </c>
      <c r="L21" s="63">
        <f>IF(tblMovement[[#This Row],[Destination]]="","",IFERROR(INDEX(tblDestinations[Type],MATCH(tblMovement[[#This Row],[Destination]],tblDestinations[Destination],0)),"?"))</f>
        <v/>
      </c>
      <c r="M21" s="64">
        <f>IF(tblMovement[[#This Row],[Material]]="","",IF(LEFT(tblMovement[[#This Row],[Material]],3)="Ore",1,0))</f>
        <v/>
      </c>
      <c r="N21" s="59">
        <f>IF(OR(tblMovement[[#This Row],[Tonnes_t]]="",tblMovement[[#This Row],[Grade_gpt]]=""),0,tblMovement[[#This Row],[Tonnes_t]]*tblMovement[[#This Row],[Grade_gpt]]/cfg_TroyOz)</f>
        <v/>
      </c>
      <c r="O21" s="59">
        <f>IF(tblMovement[[#This Row],[Is_Ore]]=1,tblMovement[[#This Row],[Contained_oz]],0)</f>
        <v/>
      </c>
    </row>
    <row r="22">
      <c r="A22" s="54" t="n"/>
      <c r="B22" s="61" t="n"/>
      <c r="C22" s="61" t="n"/>
      <c r="D22" s="61" t="n"/>
      <c r="E22" s="61" t="n"/>
      <c r="F22" s="55" t="n"/>
      <c r="G22" s="56" t="n"/>
      <c r="H22" s="55" t="n"/>
      <c r="I22" s="62" t="n"/>
      <c r="J22" s="58" t="n"/>
      <c r="K22" s="63">
        <f>IF(tblMovement[[#This Row],[Source]]="","",IFERROR(INDEX(tblSources[Type],MATCH(tblMovement[[#This Row],[Source]],tblSources[Source],0)),"?"))</f>
        <v/>
      </c>
      <c r="L22" s="63">
        <f>IF(tblMovement[[#This Row],[Destination]]="","",IFERROR(INDEX(tblDestinations[Type],MATCH(tblMovement[[#This Row],[Destination]],tblDestinations[Destination],0)),"?"))</f>
        <v/>
      </c>
      <c r="M22" s="64">
        <f>IF(tblMovement[[#This Row],[Material]]="","",IF(LEFT(tblMovement[[#This Row],[Material]],3)="Ore",1,0))</f>
        <v/>
      </c>
      <c r="N22" s="59">
        <f>IF(OR(tblMovement[[#This Row],[Tonnes_t]]="",tblMovement[[#This Row],[Grade_gpt]]=""),0,tblMovement[[#This Row],[Tonnes_t]]*tblMovement[[#This Row],[Grade_gpt]]/cfg_TroyOz)</f>
        <v/>
      </c>
      <c r="O22" s="59">
        <f>IF(tblMovement[[#This Row],[Is_Ore]]=1,tblMovement[[#This Row],[Contained_oz]],0)</f>
        <v/>
      </c>
    </row>
    <row r="23">
      <c r="A23" s="54" t="n"/>
      <c r="B23" s="61" t="n"/>
      <c r="C23" s="61" t="n"/>
      <c r="D23" s="61" t="n"/>
      <c r="E23" s="61" t="n"/>
      <c r="F23" s="55" t="n"/>
      <c r="G23" s="56" t="n"/>
      <c r="H23" s="55" t="n"/>
      <c r="I23" s="62" t="n"/>
      <c r="J23" s="58" t="n"/>
      <c r="K23" s="63">
        <f>IF(tblMovement[[#This Row],[Source]]="","",IFERROR(INDEX(tblSources[Type],MATCH(tblMovement[[#This Row],[Source]],tblSources[Source],0)),"?"))</f>
        <v/>
      </c>
      <c r="L23" s="63">
        <f>IF(tblMovement[[#This Row],[Destination]]="","",IFERROR(INDEX(tblDestinations[Type],MATCH(tblMovement[[#This Row],[Destination]],tblDestinations[Destination],0)),"?"))</f>
        <v/>
      </c>
      <c r="M23" s="64">
        <f>IF(tblMovement[[#This Row],[Material]]="","",IF(LEFT(tblMovement[[#This Row],[Material]],3)="Ore",1,0))</f>
        <v/>
      </c>
      <c r="N23" s="59">
        <f>IF(OR(tblMovement[[#This Row],[Tonnes_t]]="",tblMovement[[#This Row],[Grade_gpt]]=""),0,tblMovement[[#This Row],[Tonnes_t]]*tblMovement[[#This Row],[Grade_gpt]]/cfg_TroyOz)</f>
        <v/>
      </c>
      <c r="O23" s="59">
        <f>IF(tblMovement[[#This Row],[Is_Ore]]=1,tblMovement[[#This Row],[Contained_oz]],0)</f>
        <v/>
      </c>
    </row>
    <row r="24">
      <c r="A24" s="54" t="n"/>
      <c r="B24" s="61" t="n"/>
      <c r="C24" s="61" t="n"/>
      <c r="D24" s="61" t="n"/>
      <c r="E24" s="61" t="n"/>
      <c r="F24" s="55" t="n"/>
      <c r="G24" s="56" t="n"/>
      <c r="H24" s="55" t="n"/>
      <c r="I24" s="62" t="n"/>
      <c r="J24" s="58" t="n"/>
      <c r="K24" s="63">
        <f>IF(tblMovement[[#This Row],[Source]]="","",IFERROR(INDEX(tblSources[Type],MATCH(tblMovement[[#This Row],[Source]],tblSources[Source],0)),"?"))</f>
        <v/>
      </c>
      <c r="L24" s="63">
        <f>IF(tblMovement[[#This Row],[Destination]]="","",IFERROR(INDEX(tblDestinations[Type],MATCH(tblMovement[[#This Row],[Destination]],tblDestinations[Destination],0)),"?"))</f>
        <v/>
      </c>
      <c r="M24" s="64">
        <f>IF(tblMovement[[#This Row],[Material]]="","",IF(LEFT(tblMovement[[#This Row],[Material]],3)="Ore",1,0))</f>
        <v/>
      </c>
      <c r="N24" s="59">
        <f>IF(OR(tblMovement[[#This Row],[Tonnes_t]]="",tblMovement[[#This Row],[Grade_gpt]]=""),0,tblMovement[[#This Row],[Tonnes_t]]*tblMovement[[#This Row],[Grade_gpt]]/cfg_TroyOz)</f>
        <v/>
      </c>
      <c r="O24" s="59">
        <f>IF(tblMovement[[#This Row],[Is_Ore]]=1,tblMovement[[#This Row],[Contained_oz]],0)</f>
        <v/>
      </c>
    </row>
    <row r="25">
      <c r="A25" s="54" t="n"/>
      <c r="B25" s="61" t="n"/>
      <c r="C25" s="61" t="n"/>
      <c r="D25" s="61" t="n"/>
      <c r="E25" s="61" t="n"/>
      <c r="F25" s="55" t="n"/>
      <c r="G25" s="56" t="n"/>
      <c r="H25" s="55" t="n"/>
      <c r="I25" s="62" t="n"/>
      <c r="J25" s="58" t="n"/>
      <c r="K25" s="63">
        <f>IF(tblMovement[[#This Row],[Source]]="","",IFERROR(INDEX(tblSources[Type],MATCH(tblMovement[[#This Row],[Source]],tblSources[Source],0)),"?"))</f>
        <v/>
      </c>
      <c r="L25" s="63">
        <f>IF(tblMovement[[#This Row],[Destination]]="","",IFERROR(INDEX(tblDestinations[Type],MATCH(tblMovement[[#This Row],[Destination]],tblDestinations[Destination],0)),"?"))</f>
        <v/>
      </c>
      <c r="M25" s="64">
        <f>IF(tblMovement[[#This Row],[Material]]="","",IF(LEFT(tblMovement[[#This Row],[Material]],3)="Ore",1,0))</f>
        <v/>
      </c>
      <c r="N25" s="59">
        <f>IF(OR(tblMovement[[#This Row],[Tonnes_t]]="",tblMovement[[#This Row],[Grade_gpt]]=""),0,tblMovement[[#This Row],[Tonnes_t]]*tblMovement[[#This Row],[Grade_gpt]]/cfg_TroyOz)</f>
        <v/>
      </c>
      <c r="O25" s="59">
        <f>IF(tblMovement[[#This Row],[Is_Ore]]=1,tblMovement[[#This Row],[Contained_oz]],0)</f>
        <v/>
      </c>
    </row>
    <row r="26">
      <c r="A26" s="54" t="n"/>
      <c r="B26" s="61" t="n"/>
      <c r="C26" s="61" t="n"/>
      <c r="D26" s="61" t="n"/>
      <c r="E26" s="61" t="n"/>
      <c r="F26" s="55" t="n"/>
      <c r="G26" s="56" t="n"/>
      <c r="H26" s="55" t="n"/>
      <c r="I26" s="62" t="n"/>
      <c r="J26" s="58" t="n"/>
      <c r="K26" s="63">
        <f>IF(tblMovement[[#This Row],[Source]]="","",IFERROR(INDEX(tblSources[Type],MATCH(tblMovement[[#This Row],[Source]],tblSources[Source],0)),"?"))</f>
        <v/>
      </c>
      <c r="L26" s="63">
        <f>IF(tblMovement[[#This Row],[Destination]]="","",IFERROR(INDEX(tblDestinations[Type],MATCH(tblMovement[[#This Row],[Destination]],tblDestinations[Destination],0)),"?"))</f>
        <v/>
      </c>
      <c r="M26" s="64">
        <f>IF(tblMovement[[#This Row],[Material]]="","",IF(LEFT(tblMovement[[#This Row],[Material]],3)="Ore",1,0))</f>
        <v/>
      </c>
      <c r="N26" s="59">
        <f>IF(OR(tblMovement[[#This Row],[Tonnes_t]]="",tblMovement[[#This Row],[Grade_gpt]]=""),0,tblMovement[[#This Row],[Tonnes_t]]*tblMovement[[#This Row],[Grade_gpt]]/cfg_TroyOz)</f>
        <v/>
      </c>
      <c r="O26" s="59">
        <f>IF(tblMovement[[#This Row],[Is_Ore]]=1,tblMovement[[#This Row],[Contained_oz]],0)</f>
        <v/>
      </c>
    </row>
    <row r="27">
      <c r="A27" s="54" t="n"/>
      <c r="B27" s="61" t="n"/>
      <c r="C27" s="61" t="n"/>
      <c r="D27" s="61" t="n"/>
      <c r="E27" s="61" t="n"/>
      <c r="F27" s="55" t="n"/>
      <c r="G27" s="56" t="n"/>
      <c r="H27" s="55" t="n"/>
      <c r="I27" s="62" t="n"/>
      <c r="J27" s="58" t="n"/>
      <c r="K27" s="63">
        <f>IF(tblMovement[[#This Row],[Source]]="","",IFERROR(INDEX(tblSources[Type],MATCH(tblMovement[[#This Row],[Source]],tblSources[Source],0)),"?"))</f>
        <v/>
      </c>
      <c r="L27" s="63">
        <f>IF(tblMovement[[#This Row],[Destination]]="","",IFERROR(INDEX(tblDestinations[Type],MATCH(tblMovement[[#This Row],[Destination]],tblDestinations[Destination],0)),"?"))</f>
        <v/>
      </c>
      <c r="M27" s="64">
        <f>IF(tblMovement[[#This Row],[Material]]="","",IF(LEFT(tblMovement[[#This Row],[Material]],3)="Ore",1,0))</f>
        <v/>
      </c>
      <c r="N27" s="59">
        <f>IF(OR(tblMovement[[#This Row],[Tonnes_t]]="",tblMovement[[#This Row],[Grade_gpt]]=""),0,tblMovement[[#This Row],[Tonnes_t]]*tblMovement[[#This Row],[Grade_gpt]]/cfg_TroyOz)</f>
        <v/>
      </c>
      <c r="O27" s="59">
        <f>IF(tblMovement[[#This Row],[Is_Ore]]=1,tblMovement[[#This Row],[Contained_oz]],0)</f>
        <v/>
      </c>
    </row>
    <row r="28">
      <c r="A28" s="54" t="n"/>
      <c r="B28" s="61" t="n"/>
      <c r="C28" s="61" t="n"/>
      <c r="D28" s="61" t="n"/>
      <c r="E28" s="61" t="n"/>
      <c r="F28" s="55" t="n"/>
      <c r="G28" s="56" t="n"/>
      <c r="H28" s="55" t="n"/>
      <c r="I28" s="62" t="n"/>
      <c r="J28" s="58" t="n"/>
      <c r="K28" s="63">
        <f>IF(tblMovement[[#This Row],[Source]]="","",IFERROR(INDEX(tblSources[Type],MATCH(tblMovement[[#This Row],[Source]],tblSources[Source],0)),"?"))</f>
        <v/>
      </c>
      <c r="L28" s="63">
        <f>IF(tblMovement[[#This Row],[Destination]]="","",IFERROR(INDEX(tblDestinations[Type],MATCH(tblMovement[[#This Row],[Destination]],tblDestinations[Destination],0)),"?"))</f>
        <v/>
      </c>
      <c r="M28" s="64">
        <f>IF(tblMovement[[#This Row],[Material]]="","",IF(LEFT(tblMovement[[#This Row],[Material]],3)="Ore",1,0))</f>
        <v/>
      </c>
      <c r="N28" s="59">
        <f>IF(OR(tblMovement[[#This Row],[Tonnes_t]]="",tblMovement[[#This Row],[Grade_gpt]]=""),0,tblMovement[[#This Row],[Tonnes_t]]*tblMovement[[#This Row],[Grade_gpt]]/cfg_TroyOz)</f>
        <v/>
      </c>
      <c r="O28" s="59">
        <f>IF(tblMovement[[#This Row],[Is_Ore]]=1,tblMovement[[#This Row],[Contained_oz]],0)</f>
        <v/>
      </c>
    </row>
    <row r="29">
      <c r="A29" s="54" t="n"/>
      <c r="B29" s="61" t="n"/>
      <c r="C29" s="61" t="n"/>
      <c r="D29" s="61" t="n"/>
      <c r="E29" s="61" t="n"/>
      <c r="F29" s="55" t="n"/>
      <c r="G29" s="56" t="n"/>
      <c r="H29" s="55" t="n"/>
      <c r="I29" s="62" t="n"/>
      <c r="J29" s="58" t="n"/>
      <c r="K29" s="63">
        <f>IF(tblMovement[[#This Row],[Source]]="","",IFERROR(INDEX(tblSources[Type],MATCH(tblMovement[[#This Row],[Source]],tblSources[Source],0)),"?"))</f>
        <v/>
      </c>
      <c r="L29" s="63">
        <f>IF(tblMovement[[#This Row],[Destination]]="","",IFERROR(INDEX(tblDestinations[Type],MATCH(tblMovement[[#This Row],[Destination]],tblDestinations[Destination],0)),"?"))</f>
        <v/>
      </c>
      <c r="M29" s="64">
        <f>IF(tblMovement[[#This Row],[Material]]="","",IF(LEFT(tblMovement[[#This Row],[Material]],3)="Ore",1,0))</f>
        <v/>
      </c>
      <c r="N29" s="59">
        <f>IF(OR(tblMovement[[#This Row],[Tonnes_t]]="",tblMovement[[#This Row],[Grade_gpt]]=""),0,tblMovement[[#This Row],[Tonnes_t]]*tblMovement[[#This Row],[Grade_gpt]]/cfg_TroyOz)</f>
        <v/>
      </c>
      <c r="O29" s="59">
        <f>IF(tblMovement[[#This Row],[Is_Ore]]=1,tblMovement[[#This Row],[Contained_oz]],0)</f>
        <v/>
      </c>
    </row>
    <row r="30">
      <c r="A30" s="54" t="n"/>
      <c r="B30" s="61" t="n"/>
      <c r="C30" s="61" t="n"/>
      <c r="D30" s="61" t="n"/>
      <c r="E30" s="61" t="n"/>
      <c r="F30" s="55" t="n"/>
      <c r="G30" s="56" t="n"/>
      <c r="H30" s="55" t="n"/>
      <c r="I30" s="62" t="n"/>
      <c r="J30" s="58" t="n"/>
      <c r="K30" s="63">
        <f>IF(tblMovement[[#This Row],[Source]]="","",IFERROR(INDEX(tblSources[Type],MATCH(tblMovement[[#This Row],[Source]],tblSources[Source],0)),"?"))</f>
        <v/>
      </c>
      <c r="L30" s="63">
        <f>IF(tblMovement[[#This Row],[Destination]]="","",IFERROR(INDEX(tblDestinations[Type],MATCH(tblMovement[[#This Row],[Destination]],tblDestinations[Destination],0)),"?"))</f>
        <v/>
      </c>
      <c r="M30" s="64">
        <f>IF(tblMovement[[#This Row],[Material]]="","",IF(LEFT(tblMovement[[#This Row],[Material]],3)="Ore",1,0))</f>
        <v/>
      </c>
      <c r="N30" s="59">
        <f>IF(OR(tblMovement[[#This Row],[Tonnes_t]]="",tblMovement[[#This Row],[Grade_gpt]]=""),0,tblMovement[[#This Row],[Tonnes_t]]*tblMovement[[#This Row],[Grade_gpt]]/cfg_TroyOz)</f>
        <v/>
      </c>
      <c r="O30" s="59">
        <f>IF(tblMovement[[#This Row],[Is_Ore]]=1,tblMovement[[#This Row],[Contained_oz]],0)</f>
        <v/>
      </c>
    </row>
    <row r="31">
      <c r="A31" s="54" t="n"/>
      <c r="B31" s="61" t="n"/>
      <c r="C31" s="61" t="n"/>
      <c r="D31" s="61" t="n"/>
      <c r="E31" s="61" t="n"/>
      <c r="F31" s="55" t="n"/>
      <c r="G31" s="56" t="n"/>
      <c r="H31" s="55" t="n"/>
      <c r="I31" s="62" t="n"/>
      <c r="J31" s="58" t="n"/>
      <c r="K31" s="63">
        <f>IF(tblMovement[[#This Row],[Source]]="","",IFERROR(INDEX(tblSources[Type],MATCH(tblMovement[[#This Row],[Source]],tblSources[Source],0)),"?"))</f>
        <v/>
      </c>
      <c r="L31" s="63">
        <f>IF(tblMovement[[#This Row],[Destination]]="","",IFERROR(INDEX(tblDestinations[Type],MATCH(tblMovement[[#This Row],[Destination]],tblDestinations[Destination],0)),"?"))</f>
        <v/>
      </c>
      <c r="M31" s="64">
        <f>IF(tblMovement[[#This Row],[Material]]="","",IF(LEFT(tblMovement[[#This Row],[Material]],3)="Ore",1,0))</f>
        <v/>
      </c>
      <c r="N31" s="59">
        <f>IF(OR(tblMovement[[#This Row],[Tonnes_t]]="",tblMovement[[#This Row],[Grade_gpt]]=""),0,tblMovement[[#This Row],[Tonnes_t]]*tblMovement[[#This Row],[Grade_gpt]]/cfg_TroyOz)</f>
        <v/>
      </c>
      <c r="O31" s="59">
        <f>IF(tblMovement[[#This Row],[Is_Ore]]=1,tblMovement[[#This Row],[Contained_oz]],0)</f>
        <v/>
      </c>
    </row>
    <row r="32">
      <c r="A32" s="54" t="n"/>
      <c r="B32" s="61" t="n"/>
      <c r="C32" s="61" t="n"/>
      <c r="D32" s="61" t="n"/>
      <c r="E32" s="61" t="n"/>
      <c r="F32" s="55" t="n"/>
      <c r="G32" s="56" t="n"/>
      <c r="H32" s="55" t="n"/>
      <c r="I32" s="62" t="n"/>
      <c r="J32" s="58" t="n"/>
      <c r="K32" s="63">
        <f>IF(tblMovement[[#This Row],[Source]]="","",IFERROR(INDEX(tblSources[Type],MATCH(tblMovement[[#This Row],[Source]],tblSources[Source],0)),"?"))</f>
        <v/>
      </c>
      <c r="L32" s="63">
        <f>IF(tblMovement[[#This Row],[Destination]]="","",IFERROR(INDEX(tblDestinations[Type],MATCH(tblMovement[[#This Row],[Destination]],tblDestinations[Destination],0)),"?"))</f>
        <v/>
      </c>
      <c r="M32" s="64">
        <f>IF(tblMovement[[#This Row],[Material]]="","",IF(LEFT(tblMovement[[#This Row],[Material]],3)="Ore",1,0))</f>
        <v/>
      </c>
      <c r="N32" s="59">
        <f>IF(OR(tblMovement[[#This Row],[Tonnes_t]]="",tblMovement[[#This Row],[Grade_gpt]]=""),0,tblMovement[[#This Row],[Tonnes_t]]*tblMovement[[#This Row],[Grade_gpt]]/cfg_TroyOz)</f>
        <v/>
      </c>
      <c r="O32" s="59">
        <f>IF(tblMovement[[#This Row],[Is_Ore]]=1,tblMovement[[#This Row],[Contained_oz]],0)</f>
        <v/>
      </c>
    </row>
    <row r="33">
      <c r="A33" s="54" t="n"/>
      <c r="B33" s="61" t="n"/>
      <c r="C33" s="61" t="n"/>
      <c r="D33" s="61" t="n"/>
      <c r="E33" s="61" t="n"/>
      <c r="F33" s="55" t="n"/>
      <c r="G33" s="56" t="n"/>
      <c r="H33" s="55" t="n"/>
      <c r="I33" s="62" t="n"/>
      <c r="J33" s="58" t="n"/>
      <c r="K33" s="63">
        <f>IF(tblMovement[[#This Row],[Source]]="","",IFERROR(INDEX(tblSources[Type],MATCH(tblMovement[[#This Row],[Source]],tblSources[Source],0)),"?"))</f>
        <v/>
      </c>
      <c r="L33" s="63">
        <f>IF(tblMovement[[#This Row],[Destination]]="","",IFERROR(INDEX(tblDestinations[Type],MATCH(tblMovement[[#This Row],[Destination]],tblDestinations[Destination],0)),"?"))</f>
        <v/>
      </c>
      <c r="M33" s="64">
        <f>IF(tblMovement[[#This Row],[Material]]="","",IF(LEFT(tblMovement[[#This Row],[Material]],3)="Ore",1,0))</f>
        <v/>
      </c>
      <c r="N33" s="59">
        <f>IF(OR(tblMovement[[#This Row],[Tonnes_t]]="",tblMovement[[#This Row],[Grade_gpt]]=""),0,tblMovement[[#This Row],[Tonnes_t]]*tblMovement[[#This Row],[Grade_gpt]]/cfg_TroyOz)</f>
        <v/>
      </c>
      <c r="O33" s="59">
        <f>IF(tblMovement[[#This Row],[Is_Ore]]=1,tblMovement[[#This Row],[Contained_oz]],0)</f>
        <v/>
      </c>
    </row>
    <row r="34">
      <c r="A34" s="54" t="n"/>
      <c r="B34" s="61" t="n"/>
      <c r="C34" s="61" t="n"/>
      <c r="D34" s="61" t="n"/>
      <c r="E34" s="61" t="n"/>
      <c r="F34" s="55" t="n"/>
      <c r="G34" s="56" t="n"/>
      <c r="H34" s="55" t="n"/>
      <c r="I34" s="62" t="n"/>
      <c r="J34" s="58" t="n"/>
      <c r="K34" s="63">
        <f>IF(tblMovement[[#This Row],[Source]]="","",IFERROR(INDEX(tblSources[Type],MATCH(tblMovement[[#This Row],[Source]],tblSources[Source],0)),"?"))</f>
        <v/>
      </c>
      <c r="L34" s="63">
        <f>IF(tblMovement[[#This Row],[Destination]]="","",IFERROR(INDEX(tblDestinations[Type],MATCH(tblMovement[[#This Row],[Destination]],tblDestinations[Destination],0)),"?"))</f>
        <v/>
      </c>
      <c r="M34" s="64">
        <f>IF(tblMovement[[#This Row],[Material]]="","",IF(LEFT(tblMovement[[#This Row],[Material]],3)="Ore",1,0))</f>
        <v/>
      </c>
      <c r="N34" s="59">
        <f>IF(OR(tblMovement[[#This Row],[Tonnes_t]]="",tblMovement[[#This Row],[Grade_gpt]]=""),0,tblMovement[[#This Row],[Tonnes_t]]*tblMovement[[#This Row],[Grade_gpt]]/cfg_TroyOz)</f>
        <v/>
      </c>
      <c r="O34" s="59">
        <f>IF(tblMovement[[#This Row],[Is_Ore]]=1,tblMovement[[#This Row],[Contained_oz]],0)</f>
        <v/>
      </c>
    </row>
    <row r="35">
      <c r="A35" s="54" t="n"/>
      <c r="B35" s="61" t="n"/>
      <c r="C35" s="61" t="n"/>
      <c r="D35" s="61" t="n"/>
      <c r="E35" s="61" t="n"/>
      <c r="F35" s="55" t="n"/>
      <c r="G35" s="56" t="n"/>
      <c r="H35" s="55" t="n"/>
      <c r="I35" s="62" t="n"/>
      <c r="J35" s="58" t="n"/>
      <c r="K35" s="63">
        <f>IF(tblMovement[[#This Row],[Source]]="","",IFERROR(INDEX(tblSources[Type],MATCH(tblMovement[[#This Row],[Source]],tblSources[Source],0)),"?"))</f>
        <v/>
      </c>
      <c r="L35" s="63">
        <f>IF(tblMovement[[#This Row],[Destination]]="","",IFERROR(INDEX(tblDestinations[Type],MATCH(tblMovement[[#This Row],[Destination]],tblDestinations[Destination],0)),"?"))</f>
        <v/>
      </c>
      <c r="M35" s="64">
        <f>IF(tblMovement[[#This Row],[Material]]="","",IF(LEFT(tblMovement[[#This Row],[Material]],3)="Ore",1,0))</f>
        <v/>
      </c>
      <c r="N35" s="59">
        <f>IF(OR(tblMovement[[#This Row],[Tonnes_t]]="",tblMovement[[#This Row],[Grade_gpt]]=""),0,tblMovement[[#This Row],[Tonnes_t]]*tblMovement[[#This Row],[Grade_gpt]]/cfg_TroyOz)</f>
        <v/>
      </c>
      <c r="O35" s="59">
        <f>IF(tblMovement[[#This Row],[Is_Ore]]=1,tblMovement[[#This Row],[Contained_oz]],0)</f>
        <v/>
      </c>
    </row>
    <row r="36">
      <c r="A36" s="54" t="n"/>
      <c r="B36" s="61" t="n"/>
      <c r="C36" s="61" t="n"/>
      <c r="D36" s="61" t="n"/>
      <c r="E36" s="61" t="n"/>
      <c r="F36" s="55" t="n"/>
      <c r="G36" s="56" t="n"/>
      <c r="H36" s="55" t="n"/>
      <c r="I36" s="62" t="n"/>
      <c r="J36" s="58" t="n"/>
      <c r="K36" s="63">
        <f>IF(tblMovement[[#This Row],[Source]]="","",IFERROR(INDEX(tblSources[Type],MATCH(tblMovement[[#This Row],[Source]],tblSources[Source],0)),"?"))</f>
        <v/>
      </c>
      <c r="L36" s="63">
        <f>IF(tblMovement[[#This Row],[Destination]]="","",IFERROR(INDEX(tblDestinations[Type],MATCH(tblMovement[[#This Row],[Destination]],tblDestinations[Destination],0)),"?"))</f>
        <v/>
      </c>
      <c r="M36" s="64">
        <f>IF(tblMovement[[#This Row],[Material]]="","",IF(LEFT(tblMovement[[#This Row],[Material]],3)="Ore",1,0))</f>
        <v/>
      </c>
      <c r="N36" s="59">
        <f>IF(OR(tblMovement[[#This Row],[Tonnes_t]]="",tblMovement[[#This Row],[Grade_gpt]]=""),0,tblMovement[[#This Row],[Tonnes_t]]*tblMovement[[#This Row],[Grade_gpt]]/cfg_TroyOz)</f>
        <v/>
      </c>
      <c r="O36" s="59">
        <f>IF(tblMovement[[#This Row],[Is_Ore]]=1,tblMovement[[#This Row],[Contained_oz]],0)</f>
        <v/>
      </c>
    </row>
    <row r="37">
      <c r="A37" s="54" t="n"/>
      <c r="B37" s="61" t="n"/>
      <c r="C37" s="61" t="n"/>
      <c r="D37" s="61" t="n"/>
      <c r="E37" s="61" t="n"/>
      <c r="F37" s="55" t="n"/>
      <c r="G37" s="56" t="n"/>
      <c r="H37" s="55" t="n"/>
      <c r="I37" s="62" t="n"/>
      <c r="J37" s="58" t="n"/>
      <c r="K37" s="63">
        <f>IF(tblMovement[[#This Row],[Source]]="","",IFERROR(INDEX(tblSources[Type],MATCH(tblMovement[[#This Row],[Source]],tblSources[Source],0)),"?"))</f>
        <v/>
      </c>
      <c r="L37" s="63">
        <f>IF(tblMovement[[#This Row],[Destination]]="","",IFERROR(INDEX(tblDestinations[Type],MATCH(tblMovement[[#This Row],[Destination]],tblDestinations[Destination],0)),"?"))</f>
        <v/>
      </c>
      <c r="M37" s="64">
        <f>IF(tblMovement[[#This Row],[Material]]="","",IF(LEFT(tblMovement[[#This Row],[Material]],3)="Ore",1,0))</f>
        <v/>
      </c>
      <c r="N37" s="59">
        <f>IF(OR(tblMovement[[#This Row],[Tonnes_t]]="",tblMovement[[#This Row],[Grade_gpt]]=""),0,tblMovement[[#This Row],[Tonnes_t]]*tblMovement[[#This Row],[Grade_gpt]]/cfg_TroyOz)</f>
        <v/>
      </c>
      <c r="O37" s="59">
        <f>IF(tblMovement[[#This Row],[Is_Ore]]=1,tblMovement[[#This Row],[Contained_oz]],0)</f>
        <v/>
      </c>
    </row>
    <row r="38">
      <c r="A38" s="54" t="n"/>
      <c r="B38" s="61" t="n"/>
      <c r="C38" s="61" t="n"/>
      <c r="D38" s="61" t="n"/>
      <c r="E38" s="61" t="n"/>
      <c r="F38" s="55" t="n"/>
      <c r="G38" s="56" t="n"/>
      <c r="H38" s="55" t="n"/>
      <c r="I38" s="62" t="n"/>
      <c r="J38" s="58" t="n"/>
      <c r="K38" s="63">
        <f>IF(tblMovement[[#This Row],[Source]]="","",IFERROR(INDEX(tblSources[Type],MATCH(tblMovement[[#This Row],[Source]],tblSources[Source],0)),"?"))</f>
        <v/>
      </c>
      <c r="L38" s="63">
        <f>IF(tblMovement[[#This Row],[Destination]]="","",IFERROR(INDEX(tblDestinations[Type],MATCH(tblMovement[[#This Row],[Destination]],tblDestinations[Destination],0)),"?"))</f>
        <v/>
      </c>
      <c r="M38" s="64">
        <f>IF(tblMovement[[#This Row],[Material]]="","",IF(LEFT(tblMovement[[#This Row],[Material]],3)="Ore",1,0))</f>
        <v/>
      </c>
      <c r="N38" s="59">
        <f>IF(OR(tblMovement[[#This Row],[Tonnes_t]]="",tblMovement[[#This Row],[Grade_gpt]]=""),0,tblMovement[[#This Row],[Tonnes_t]]*tblMovement[[#This Row],[Grade_gpt]]/cfg_TroyOz)</f>
        <v/>
      </c>
      <c r="O38" s="59">
        <f>IF(tblMovement[[#This Row],[Is_Ore]]=1,tblMovement[[#This Row],[Contained_oz]],0)</f>
        <v/>
      </c>
    </row>
    <row r="39">
      <c r="A39" s="54" t="n"/>
      <c r="B39" s="61" t="n"/>
      <c r="C39" s="61" t="n"/>
      <c r="D39" s="61" t="n"/>
      <c r="E39" s="61" t="n"/>
      <c r="F39" s="55" t="n"/>
      <c r="G39" s="56" t="n"/>
      <c r="H39" s="55" t="n"/>
      <c r="I39" s="62" t="n"/>
      <c r="J39" s="58" t="n"/>
      <c r="K39" s="63">
        <f>IF(tblMovement[[#This Row],[Source]]="","",IFERROR(INDEX(tblSources[Type],MATCH(tblMovement[[#This Row],[Source]],tblSources[Source],0)),"?"))</f>
        <v/>
      </c>
      <c r="L39" s="63">
        <f>IF(tblMovement[[#This Row],[Destination]]="","",IFERROR(INDEX(tblDestinations[Type],MATCH(tblMovement[[#This Row],[Destination]],tblDestinations[Destination],0)),"?"))</f>
        <v/>
      </c>
      <c r="M39" s="64">
        <f>IF(tblMovement[[#This Row],[Material]]="","",IF(LEFT(tblMovement[[#This Row],[Material]],3)="Ore",1,0))</f>
        <v/>
      </c>
      <c r="N39" s="59">
        <f>IF(OR(tblMovement[[#This Row],[Tonnes_t]]="",tblMovement[[#This Row],[Grade_gpt]]=""),0,tblMovement[[#This Row],[Tonnes_t]]*tblMovement[[#This Row],[Grade_gpt]]/cfg_TroyOz)</f>
        <v/>
      </c>
      <c r="O39" s="59">
        <f>IF(tblMovement[[#This Row],[Is_Ore]]=1,tblMovement[[#This Row],[Contained_oz]],0)</f>
        <v/>
      </c>
    </row>
    <row r="40">
      <c r="A40" s="54" t="n"/>
      <c r="B40" s="61" t="n"/>
      <c r="C40" s="61" t="n"/>
      <c r="D40" s="61" t="n"/>
      <c r="E40" s="61" t="n"/>
      <c r="F40" s="55" t="n"/>
      <c r="G40" s="56" t="n"/>
      <c r="H40" s="55" t="n"/>
      <c r="I40" s="62" t="n"/>
      <c r="J40" s="58" t="n"/>
      <c r="K40" s="63">
        <f>IF(tblMovement[[#This Row],[Source]]="","",IFERROR(INDEX(tblSources[Type],MATCH(tblMovement[[#This Row],[Source]],tblSources[Source],0)),"?"))</f>
        <v/>
      </c>
      <c r="L40" s="63">
        <f>IF(tblMovement[[#This Row],[Destination]]="","",IFERROR(INDEX(tblDestinations[Type],MATCH(tblMovement[[#This Row],[Destination]],tblDestinations[Destination],0)),"?"))</f>
        <v/>
      </c>
      <c r="M40" s="64">
        <f>IF(tblMovement[[#This Row],[Material]]="","",IF(LEFT(tblMovement[[#This Row],[Material]],3)="Ore",1,0))</f>
        <v/>
      </c>
      <c r="N40" s="59">
        <f>IF(OR(tblMovement[[#This Row],[Tonnes_t]]="",tblMovement[[#This Row],[Grade_gpt]]=""),0,tblMovement[[#This Row],[Tonnes_t]]*tblMovement[[#This Row],[Grade_gpt]]/cfg_TroyOz)</f>
        <v/>
      </c>
      <c r="O40" s="59">
        <f>IF(tblMovement[[#This Row],[Is_Ore]]=1,tblMovement[[#This Row],[Contained_oz]],0)</f>
        <v/>
      </c>
    </row>
    <row r="41">
      <c r="A41" s="54" t="n"/>
      <c r="B41" s="61" t="n"/>
      <c r="C41" s="61" t="n"/>
      <c r="D41" s="61" t="n"/>
      <c r="E41" s="61" t="n"/>
      <c r="F41" s="55" t="n"/>
      <c r="G41" s="56" t="n"/>
      <c r="H41" s="55" t="n"/>
      <c r="I41" s="62" t="n"/>
      <c r="J41" s="58" t="n"/>
      <c r="K41" s="63">
        <f>IF(tblMovement[[#This Row],[Source]]="","",IFERROR(INDEX(tblSources[Type],MATCH(tblMovement[[#This Row],[Source]],tblSources[Source],0)),"?"))</f>
        <v/>
      </c>
      <c r="L41" s="63">
        <f>IF(tblMovement[[#This Row],[Destination]]="","",IFERROR(INDEX(tblDestinations[Type],MATCH(tblMovement[[#This Row],[Destination]],tblDestinations[Destination],0)),"?"))</f>
        <v/>
      </c>
      <c r="M41" s="64">
        <f>IF(tblMovement[[#This Row],[Material]]="","",IF(LEFT(tblMovement[[#This Row],[Material]],3)="Ore",1,0))</f>
        <v/>
      </c>
      <c r="N41" s="59">
        <f>IF(OR(tblMovement[[#This Row],[Tonnes_t]]="",tblMovement[[#This Row],[Grade_gpt]]=""),0,tblMovement[[#This Row],[Tonnes_t]]*tblMovement[[#This Row],[Grade_gpt]]/cfg_TroyOz)</f>
        <v/>
      </c>
      <c r="O41" s="59">
        <f>IF(tblMovement[[#This Row],[Is_Ore]]=1,tblMovement[[#This Row],[Contained_oz]],0)</f>
        <v/>
      </c>
    </row>
    <row r="42">
      <c r="A42" s="54" t="n"/>
      <c r="B42" s="61" t="n"/>
      <c r="C42" s="61" t="n"/>
      <c r="D42" s="61" t="n"/>
      <c r="E42" s="61" t="n"/>
      <c r="F42" s="55" t="n"/>
      <c r="G42" s="56" t="n"/>
      <c r="H42" s="55" t="n"/>
      <c r="I42" s="62" t="n"/>
      <c r="J42" s="58" t="n"/>
      <c r="K42" s="63">
        <f>IF(tblMovement[[#This Row],[Source]]="","",IFERROR(INDEX(tblSources[Type],MATCH(tblMovement[[#This Row],[Source]],tblSources[Source],0)),"?"))</f>
        <v/>
      </c>
      <c r="L42" s="63">
        <f>IF(tblMovement[[#This Row],[Destination]]="","",IFERROR(INDEX(tblDestinations[Type],MATCH(tblMovement[[#This Row],[Destination]],tblDestinations[Destination],0)),"?"))</f>
        <v/>
      </c>
      <c r="M42" s="64">
        <f>IF(tblMovement[[#This Row],[Material]]="","",IF(LEFT(tblMovement[[#This Row],[Material]],3)="Ore",1,0))</f>
        <v/>
      </c>
      <c r="N42" s="59">
        <f>IF(OR(tblMovement[[#This Row],[Tonnes_t]]="",tblMovement[[#This Row],[Grade_gpt]]=""),0,tblMovement[[#This Row],[Tonnes_t]]*tblMovement[[#This Row],[Grade_gpt]]/cfg_TroyOz)</f>
        <v/>
      </c>
      <c r="O42" s="59">
        <f>IF(tblMovement[[#This Row],[Is_Ore]]=1,tblMovement[[#This Row],[Contained_oz]],0)</f>
        <v/>
      </c>
    </row>
    <row r="43">
      <c r="A43" s="54" t="n"/>
      <c r="B43" s="61" t="n"/>
      <c r="C43" s="61" t="n"/>
      <c r="D43" s="61" t="n"/>
      <c r="E43" s="61" t="n"/>
      <c r="F43" s="55" t="n"/>
      <c r="G43" s="56" t="n"/>
      <c r="H43" s="55" t="n"/>
      <c r="I43" s="62" t="n"/>
      <c r="J43" s="58" t="n"/>
      <c r="K43" s="63">
        <f>IF(tblMovement[[#This Row],[Source]]="","",IFERROR(INDEX(tblSources[Type],MATCH(tblMovement[[#This Row],[Source]],tblSources[Source],0)),"?"))</f>
        <v/>
      </c>
      <c r="L43" s="63">
        <f>IF(tblMovement[[#This Row],[Destination]]="","",IFERROR(INDEX(tblDestinations[Type],MATCH(tblMovement[[#This Row],[Destination]],tblDestinations[Destination],0)),"?"))</f>
        <v/>
      </c>
      <c r="M43" s="64">
        <f>IF(tblMovement[[#This Row],[Material]]="","",IF(LEFT(tblMovement[[#This Row],[Material]],3)="Ore",1,0))</f>
        <v/>
      </c>
      <c r="N43" s="59">
        <f>IF(OR(tblMovement[[#This Row],[Tonnes_t]]="",tblMovement[[#This Row],[Grade_gpt]]=""),0,tblMovement[[#This Row],[Tonnes_t]]*tblMovement[[#This Row],[Grade_gpt]]/cfg_TroyOz)</f>
        <v/>
      </c>
      <c r="O43" s="59">
        <f>IF(tblMovement[[#This Row],[Is_Ore]]=1,tblMovement[[#This Row],[Contained_oz]],0)</f>
        <v/>
      </c>
    </row>
    <row r="44">
      <c r="A44" s="54" t="n"/>
      <c r="B44" s="61" t="n"/>
      <c r="C44" s="61" t="n"/>
      <c r="D44" s="61" t="n"/>
      <c r="E44" s="61" t="n"/>
      <c r="F44" s="55" t="n"/>
      <c r="G44" s="56" t="n"/>
      <c r="H44" s="55" t="n"/>
      <c r="I44" s="62" t="n"/>
      <c r="J44" s="58" t="n"/>
      <c r="K44" s="63">
        <f>IF(tblMovement[[#This Row],[Source]]="","",IFERROR(INDEX(tblSources[Type],MATCH(tblMovement[[#This Row],[Source]],tblSources[Source],0)),"?"))</f>
        <v/>
      </c>
      <c r="L44" s="63">
        <f>IF(tblMovement[[#This Row],[Destination]]="","",IFERROR(INDEX(tblDestinations[Type],MATCH(tblMovement[[#This Row],[Destination]],tblDestinations[Destination],0)),"?"))</f>
        <v/>
      </c>
      <c r="M44" s="64">
        <f>IF(tblMovement[[#This Row],[Material]]="","",IF(LEFT(tblMovement[[#This Row],[Material]],3)="Ore",1,0))</f>
        <v/>
      </c>
      <c r="N44" s="59">
        <f>IF(OR(tblMovement[[#This Row],[Tonnes_t]]="",tblMovement[[#This Row],[Grade_gpt]]=""),0,tblMovement[[#This Row],[Tonnes_t]]*tblMovement[[#This Row],[Grade_gpt]]/cfg_TroyOz)</f>
        <v/>
      </c>
      <c r="O44" s="59">
        <f>IF(tblMovement[[#This Row],[Is_Ore]]=1,tblMovement[[#This Row],[Contained_oz]],0)</f>
        <v/>
      </c>
    </row>
    <row r="45">
      <c r="A45" s="54" t="n"/>
      <c r="B45" s="61" t="n"/>
      <c r="C45" s="61" t="n"/>
      <c r="D45" s="61" t="n"/>
      <c r="E45" s="61" t="n"/>
      <c r="F45" s="55" t="n"/>
      <c r="G45" s="56" t="n"/>
      <c r="H45" s="55" t="n"/>
      <c r="I45" s="62" t="n"/>
      <c r="J45" s="58" t="n"/>
      <c r="K45" s="63">
        <f>IF(tblMovement[[#This Row],[Source]]="","",IFERROR(INDEX(tblSources[Type],MATCH(tblMovement[[#This Row],[Source]],tblSources[Source],0)),"?"))</f>
        <v/>
      </c>
      <c r="L45" s="63">
        <f>IF(tblMovement[[#This Row],[Destination]]="","",IFERROR(INDEX(tblDestinations[Type],MATCH(tblMovement[[#This Row],[Destination]],tblDestinations[Destination],0)),"?"))</f>
        <v/>
      </c>
      <c r="M45" s="64">
        <f>IF(tblMovement[[#This Row],[Material]]="","",IF(LEFT(tblMovement[[#This Row],[Material]],3)="Ore",1,0))</f>
        <v/>
      </c>
      <c r="N45" s="59">
        <f>IF(OR(tblMovement[[#This Row],[Tonnes_t]]="",tblMovement[[#This Row],[Grade_gpt]]=""),0,tblMovement[[#This Row],[Tonnes_t]]*tblMovement[[#This Row],[Grade_gpt]]/cfg_TroyOz)</f>
        <v/>
      </c>
      <c r="O45" s="59">
        <f>IF(tblMovement[[#This Row],[Is_Ore]]=1,tblMovement[[#This Row],[Contained_oz]],0)</f>
        <v/>
      </c>
    </row>
    <row r="46">
      <c r="A46" s="54" t="n"/>
      <c r="B46" s="61" t="n"/>
      <c r="C46" s="61" t="n"/>
      <c r="D46" s="61" t="n"/>
      <c r="E46" s="61" t="n"/>
      <c r="F46" s="55" t="n"/>
      <c r="G46" s="56" t="n"/>
      <c r="H46" s="55" t="n"/>
      <c r="I46" s="62" t="n"/>
      <c r="J46" s="58" t="n"/>
      <c r="K46" s="63">
        <f>IF(tblMovement[[#This Row],[Source]]="","",IFERROR(INDEX(tblSources[Type],MATCH(tblMovement[[#This Row],[Source]],tblSources[Source],0)),"?"))</f>
        <v/>
      </c>
      <c r="L46" s="63">
        <f>IF(tblMovement[[#This Row],[Destination]]="","",IFERROR(INDEX(tblDestinations[Type],MATCH(tblMovement[[#This Row],[Destination]],tblDestinations[Destination],0)),"?"))</f>
        <v/>
      </c>
      <c r="M46" s="64">
        <f>IF(tblMovement[[#This Row],[Material]]="","",IF(LEFT(tblMovement[[#This Row],[Material]],3)="Ore",1,0))</f>
        <v/>
      </c>
      <c r="N46" s="59">
        <f>IF(OR(tblMovement[[#This Row],[Tonnes_t]]="",tblMovement[[#This Row],[Grade_gpt]]=""),0,tblMovement[[#This Row],[Tonnes_t]]*tblMovement[[#This Row],[Grade_gpt]]/cfg_TroyOz)</f>
        <v/>
      </c>
      <c r="O46" s="59">
        <f>IF(tblMovement[[#This Row],[Is_Ore]]=1,tblMovement[[#This Row],[Contained_oz]],0)</f>
        <v/>
      </c>
    </row>
    <row r="47">
      <c r="A47" s="54" t="n"/>
      <c r="B47" s="61" t="n"/>
      <c r="C47" s="61" t="n"/>
      <c r="D47" s="61" t="n"/>
      <c r="E47" s="61" t="n"/>
      <c r="F47" s="55" t="n"/>
      <c r="G47" s="56" t="n"/>
      <c r="H47" s="55" t="n"/>
      <c r="I47" s="62" t="n"/>
      <c r="J47" s="58" t="n"/>
      <c r="K47" s="63">
        <f>IF(tblMovement[[#This Row],[Source]]="","",IFERROR(INDEX(tblSources[Type],MATCH(tblMovement[[#This Row],[Source]],tblSources[Source],0)),"?"))</f>
        <v/>
      </c>
      <c r="L47" s="63">
        <f>IF(tblMovement[[#This Row],[Destination]]="","",IFERROR(INDEX(tblDestinations[Type],MATCH(tblMovement[[#This Row],[Destination]],tblDestinations[Destination],0)),"?"))</f>
        <v/>
      </c>
      <c r="M47" s="64">
        <f>IF(tblMovement[[#This Row],[Material]]="","",IF(LEFT(tblMovement[[#This Row],[Material]],3)="Ore",1,0))</f>
        <v/>
      </c>
      <c r="N47" s="59">
        <f>IF(OR(tblMovement[[#This Row],[Tonnes_t]]="",tblMovement[[#This Row],[Grade_gpt]]=""),0,tblMovement[[#This Row],[Tonnes_t]]*tblMovement[[#This Row],[Grade_gpt]]/cfg_TroyOz)</f>
        <v/>
      </c>
      <c r="O47" s="59">
        <f>IF(tblMovement[[#This Row],[Is_Ore]]=1,tblMovement[[#This Row],[Contained_oz]],0)</f>
        <v/>
      </c>
    </row>
    <row r="48">
      <c r="A48" s="54" t="n"/>
      <c r="B48" s="61" t="n"/>
      <c r="C48" s="61" t="n"/>
      <c r="D48" s="61" t="n"/>
      <c r="E48" s="61" t="n"/>
      <c r="F48" s="55" t="n"/>
      <c r="G48" s="56" t="n"/>
      <c r="H48" s="55" t="n"/>
      <c r="I48" s="62" t="n"/>
      <c r="J48" s="58" t="n"/>
      <c r="K48" s="63">
        <f>IF(tblMovement[[#This Row],[Source]]="","",IFERROR(INDEX(tblSources[Type],MATCH(tblMovement[[#This Row],[Source]],tblSources[Source],0)),"?"))</f>
        <v/>
      </c>
      <c r="L48" s="63">
        <f>IF(tblMovement[[#This Row],[Destination]]="","",IFERROR(INDEX(tblDestinations[Type],MATCH(tblMovement[[#This Row],[Destination]],tblDestinations[Destination],0)),"?"))</f>
        <v/>
      </c>
      <c r="M48" s="64">
        <f>IF(tblMovement[[#This Row],[Material]]="","",IF(LEFT(tblMovement[[#This Row],[Material]],3)="Ore",1,0))</f>
        <v/>
      </c>
      <c r="N48" s="59">
        <f>IF(OR(tblMovement[[#This Row],[Tonnes_t]]="",tblMovement[[#This Row],[Grade_gpt]]=""),0,tblMovement[[#This Row],[Tonnes_t]]*tblMovement[[#This Row],[Grade_gpt]]/cfg_TroyOz)</f>
        <v/>
      </c>
      <c r="O48" s="59">
        <f>IF(tblMovement[[#This Row],[Is_Ore]]=1,tblMovement[[#This Row],[Contained_oz]],0)</f>
        <v/>
      </c>
    </row>
    <row r="49">
      <c r="A49" s="54" t="n"/>
      <c r="B49" s="61" t="n"/>
      <c r="C49" s="61" t="n"/>
      <c r="D49" s="61" t="n"/>
      <c r="E49" s="61" t="n"/>
      <c r="F49" s="55" t="n"/>
      <c r="G49" s="56" t="n"/>
      <c r="H49" s="55" t="n"/>
      <c r="I49" s="62" t="n"/>
      <c r="J49" s="58" t="n"/>
      <c r="K49" s="63">
        <f>IF(tblMovement[[#This Row],[Source]]="","",IFERROR(INDEX(tblSources[Type],MATCH(tblMovement[[#This Row],[Source]],tblSources[Source],0)),"?"))</f>
        <v/>
      </c>
      <c r="L49" s="63">
        <f>IF(tblMovement[[#This Row],[Destination]]="","",IFERROR(INDEX(tblDestinations[Type],MATCH(tblMovement[[#This Row],[Destination]],tblDestinations[Destination],0)),"?"))</f>
        <v/>
      </c>
      <c r="M49" s="64">
        <f>IF(tblMovement[[#This Row],[Material]]="","",IF(LEFT(tblMovement[[#This Row],[Material]],3)="Ore",1,0))</f>
        <v/>
      </c>
      <c r="N49" s="59">
        <f>IF(OR(tblMovement[[#This Row],[Tonnes_t]]="",tblMovement[[#This Row],[Grade_gpt]]=""),0,tblMovement[[#This Row],[Tonnes_t]]*tblMovement[[#This Row],[Grade_gpt]]/cfg_TroyOz)</f>
        <v/>
      </c>
      <c r="O49" s="59">
        <f>IF(tblMovement[[#This Row],[Is_Ore]]=1,tblMovement[[#This Row],[Contained_oz]],0)</f>
        <v/>
      </c>
    </row>
    <row r="50">
      <c r="A50" s="54" t="n"/>
      <c r="B50" s="61" t="n"/>
      <c r="C50" s="61" t="n"/>
      <c r="D50" s="61" t="n"/>
      <c r="E50" s="61" t="n"/>
      <c r="F50" s="55" t="n"/>
      <c r="G50" s="56" t="n"/>
      <c r="H50" s="55" t="n"/>
      <c r="I50" s="62" t="n"/>
      <c r="J50" s="58" t="n"/>
      <c r="K50" s="63">
        <f>IF(tblMovement[[#This Row],[Source]]="","",IFERROR(INDEX(tblSources[Type],MATCH(tblMovement[[#This Row],[Source]],tblSources[Source],0)),"?"))</f>
        <v/>
      </c>
      <c r="L50" s="63">
        <f>IF(tblMovement[[#This Row],[Destination]]="","",IFERROR(INDEX(tblDestinations[Type],MATCH(tblMovement[[#This Row],[Destination]],tblDestinations[Destination],0)),"?"))</f>
        <v/>
      </c>
      <c r="M50" s="64">
        <f>IF(tblMovement[[#This Row],[Material]]="","",IF(LEFT(tblMovement[[#This Row],[Material]],3)="Ore",1,0))</f>
        <v/>
      </c>
      <c r="N50" s="59">
        <f>IF(OR(tblMovement[[#This Row],[Tonnes_t]]="",tblMovement[[#This Row],[Grade_gpt]]=""),0,tblMovement[[#This Row],[Tonnes_t]]*tblMovement[[#This Row],[Grade_gpt]]/cfg_TroyOz)</f>
        <v/>
      </c>
      <c r="O50" s="59">
        <f>IF(tblMovement[[#This Row],[Is_Ore]]=1,tblMovement[[#This Row],[Contained_oz]],0)</f>
        <v/>
      </c>
    </row>
    <row r="51">
      <c r="A51" s="54" t="n"/>
      <c r="B51" s="61" t="n"/>
      <c r="C51" s="61" t="n"/>
      <c r="D51" s="61" t="n"/>
      <c r="E51" s="61" t="n"/>
      <c r="F51" s="55" t="n"/>
      <c r="G51" s="56" t="n"/>
      <c r="H51" s="55" t="n"/>
      <c r="I51" s="62" t="n"/>
      <c r="J51" s="58" t="n"/>
      <c r="K51" s="63">
        <f>IF(tblMovement[[#This Row],[Source]]="","",IFERROR(INDEX(tblSources[Type],MATCH(tblMovement[[#This Row],[Source]],tblSources[Source],0)),"?"))</f>
        <v/>
      </c>
      <c r="L51" s="63">
        <f>IF(tblMovement[[#This Row],[Destination]]="","",IFERROR(INDEX(tblDestinations[Type],MATCH(tblMovement[[#This Row],[Destination]],tblDestinations[Destination],0)),"?"))</f>
        <v/>
      </c>
      <c r="M51" s="64">
        <f>IF(tblMovement[[#This Row],[Material]]="","",IF(LEFT(tblMovement[[#This Row],[Material]],3)="Ore",1,0))</f>
        <v/>
      </c>
      <c r="N51" s="59">
        <f>IF(OR(tblMovement[[#This Row],[Tonnes_t]]="",tblMovement[[#This Row],[Grade_gpt]]=""),0,tblMovement[[#This Row],[Tonnes_t]]*tblMovement[[#This Row],[Grade_gpt]]/cfg_TroyOz)</f>
        <v/>
      </c>
      <c r="O51" s="59">
        <f>IF(tblMovement[[#This Row],[Is_Ore]]=1,tblMovement[[#This Row],[Contained_oz]],0)</f>
        <v/>
      </c>
    </row>
    <row r="52">
      <c r="A52" s="54" t="n"/>
      <c r="B52" s="61" t="n"/>
      <c r="C52" s="61" t="n"/>
      <c r="D52" s="61" t="n"/>
      <c r="E52" s="61" t="n"/>
      <c r="F52" s="55" t="n"/>
      <c r="G52" s="56" t="n"/>
      <c r="H52" s="55" t="n"/>
      <c r="I52" s="62" t="n"/>
      <c r="J52" s="58" t="n"/>
      <c r="K52" s="63">
        <f>IF(tblMovement[[#This Row],[Source]]="","",IFERROR(INDEX(tblSources[Type],MATCH(tblMovement[[#This Row],[Source]],tblSources[Source],0)),"?"))</f>
        <v/>
      </c>
      <c r="L52" s="63">
        <f>IF(tblMovement[[#This Row],[Destination]]="","",IFERROR(INDEX(tblDestinations[Type],MATCH(tblMovement[[#This Row],[Destination]],tblDestinations[Destination],0)),"?"))</f>
        <v/>
      </c>
      <c r="M52" s="64">
        <f>IF(tblMovement[[#This Row],[Material]]="","",IF(LEFT(tblMovement[[#This Row],[Material]],3)="Ore",1,0))</f>
        <v/>
      </c>
      <c r="N52" s="59">
        <f>IF(OR(tblMovement[[#This Row],[Tonnes_t]]="",tblMovement[[#This Row],[Grade_gpt]]=""),0,tblMovement[[#This Row],[Tonnes_t]]*tblMovement[[#This Row],[Grade_gpt]]/cfg_TroyOz)</f>
        <v/>
      </c>
      <c r="O52" s="59">
        <f>IF(tblMovement[[#This Row],[Is_Ore]]=1,tblMovement[[#This Row],[Contained_oz]],0)</f>
        <v/>
      </c>
    </row>
    <row r="53">
      <c r="A53" s="54" t="n"/>
      <c r="B53" s="61" t="n"/>
      <c r="C53" s="61" t="n"/>
      <c r="D53" s="61" t="n"/>
      <c r="E53" s="61" t="n"/>
      <c r="F53" s="55" t="n"/>
      <c r="G53" s="56" t="n"/>
      <c r="H53" s="55" t="n"/>
      <c r="I53" s="62" t="n"/>
      <c r="J53" s="58" t="n"/>
      <c r="K53" s="63">
        <f>IF(tblMovement[[#This Row],[Source]]="","",IFERROR(INDEX(tblSources[Type],MATCH(tblMovement[[#This Row],[Source]],tblSources[Source],0)),"?"))</f>
        <v/>
      </c>
      <c r="L53" s="63">
        <f>IF(tblMovement[[#This Row],[Destination]]="","",IFERROR(INDEX(tblDestinations[Type],MATCH(tblMovement[[#This Row],[Destination]],tblDestinations[Destination],0)),"?"))</f>
        <v/>
      </c>
      <c r="M53" s="64">
        <f>IF(tblMovement[[#This Row],[Material]]="","",IF(LEFT(tblMovement[[#This Row],[Material]],3)="Ore",1,0))</f>
        <v/>
      </c>
      <c r="N53" s="59">
        <f>IF(OR(tblMovement[[#This Row],[Tonnes_t]]="",tblMovement[[#This Row],[Grade_gpt]]=""),0,tblMovement[[#This Row],[Tonnes_t]]*tblMovement[[#This Row],[Grade_gpt]]/cfg_TroyOz)</f>
        <v/>
      </c>
      <c r="O53" s="59">
        <f>IF(tblMovement[[#This Row],[Is_Ore]]=1,tblMovement[[#This Row],[Contained_oz]],0)</f>
        <v/>
      </c>
    </row>
    <row r="54">
      <c r="A54" s="54" t="n"/>
      <c r="B54" s="61" t="n"/>
      <c r="C54" s="61" t="n"/>
      <c r="D54" s="61" t="n"/>
      <c r="E54" s="61" t="n"/>
      <c r="F54" s="55" t="n"/>
      <c r="G54" s="56" t="n"/>
      <c r="H54" s="55" t="n"/>
      <c r="I54" s="62" t="n"/>
      <c r="J54" s="58" t="n"/>
      <c r="K54" s="63">
        <f>IF(tblMovement[[#This Row],[Source]]="","",IFERROR(INDEX(tblSources[Type],MATCH(tblMovement[[#This Row],[Source]],tblSources[Source],0)),"?"))</f>
        <v/>
      </c>
      <c r="L54" s="63">
        <f>IF(tblMovement[[#This Row],[Destination]]="","",IFERROR(INDEX(tblDestinations[Type],MATCH(tblMovement[[#This Row],[Destination]],tblDestinations[Destination],0)),"?"))</f>
        <v/>
      </c>
      <c r="M54" s="64">
        <f>IF(tblMovement[[#This Row],[Material]]="","",IF(LEFT(tblMovement[[#This Row],[Material]],3)="Ore",1,0))</f>
        <v/>
      </c>
      <c r="N54" s="59">
        <f>IF(OR(tblMovement[[#This Row],[Tonnes_t]]="",tblMovement[[#This Row],[Grade_gpt]]=""),0,tblMovement[[#This Row],[Tonnes_t]]*tblMovement[[#This Row],[Grade_gpt]]/cfg_TroyOz)</f>
        <v/>
      </c>
      <c r="O54" s="59">
        <f>IF(tblMovement[[#This Row],[Is_Ore]]=1,tblMovement[[#This Row],[Contained_oz]],0)</f>
        <v/>
      </c>
    </row>
    <row r="55">
      <c r="A55" s="54" t="n"/>
      <c r="B55" s="61" t="n"/>
      <c r="C55" s="61" t="n"/>
      <c r="D55" s="61" t="n"/>
      <c r="E55" s="61" t="n"/>
      <c r="F55" s="55" t="n"/>
      <c r="G55" s="56" t="n"/>
      <c r="H55" s="55" t="n"/>
      <c r="I55" s="62" t="n"/>
      <c r="J55" s="58" t="n"/>
      <c r="K55" s="63">
        <f>IF(tblMovement[[#This Row],[Source]]="","",IFERROR(INDEX(tblSources[Type],MATCH(tblMovement[[#This Row],[Source]],tblSources[Source],0)),"?"))</f>
        <v/>
      </c>
      <c r="L55" s="63">
        <f>IF(tblMovement[[#This Row],[Destination]]="","",IFERROR(INDEX(tblDestinations[Type],MATCH(tblMovement[[#This Row],[Destination]],tblDestinations[Destination],0)),"?"))</f>
        <v/>
      </c>
      <c r="M55" s="64">
        <f>IF(tblMovement[[#This Row],[Material]]="","",IF(LEFT(tblMovement[[#This Row],[Material]],3)="Ore",1,0))</f>
        <v/>
      </c>
      <c r="N55" s="59">
        <f>IF(OR(tblMovement[[#This Row],[Tonnes_t]]="",tblMovement[[#This Row],[Grade_gpt]]=""),0,tblMovement[[#This Row],[Tonnes_t]]*tblMovement[[#This Row],[Grade_gpt]]/cfg_TroyOz)</f>
        <v/>
      </c>
      <c r="O55" s="59">
        <f>IF(tblMovement[[#This Row],[Is_Ore]]=1,tblMovement[[#This Row],[Contained_oz]],0)</f>
        <v/>
      </c>
    </row>
    <row r="56">
      <c r="A56" s="54" t="n"/>
      <c r="B56" s="61" t="n"/>
      <c r="C56" s="61" t="n"/>
      <c r="D56" s="61" t="n"/>
      <c r="E56" s="61" t="n"/>
      <c r="F56" s="55" t="n"/>
      <c r="G56" s="56" t="n"/>
      <c r="H56" s="55" t="n"/>
      <c r="I56" s="62" t="n"/>
      <c r="J56" s="58" t="n"/>
      <c r="K56" s="63">
        <f>IF(tblMovement[[#This Row],[Source]]="","",IFERROR(INDEX(tblSources[Type],MATCH(tblMovement[[#This Row],[Source]],tblSources[Source],0)),"?"))</f>
        <v/>
      </c>
      <c r="L56" s="63">
        <f>IF(tblMovement[[#This Row],[Destination]]="","",IFERROR(INDEX(tblDestinations[Type],MATCH(tblMovement[[#This Row],[Destination]],tblDestinations[Destination],0)),"?"))</f>
        <v/>
      </c>
      <c r="M56" s="64">
        <f>IF(tblMovement[[#This Row],[Material]]="","",IF(LEFT(tblMovement[[#This Row],[Material]],3)="Ore",1,0))</f>
        <v/>
      </c>
      <c r="N56" s="59">
        <f>IF(OR(tblMovement[[#This Row],[Tonnes_t]]="",tblMovement[[#This Row],[Grade_gpt]]=""),0,tblMovement[[#This Row],[Tonnes_t]]*tblMovement[[#This Row],[Grade_gpt]]/cfg_TroyOz)</f>
        <v/>
      </c>
      <c r="O56" s="59">
        <f>IF(tblMovement[[#This Row],[Is_Ore]]=1,tblMovement[[#This Row],[Contained_oz]],0)</f>
        <v/>
      </c>
    </row>
    <row r="57">
      <c r="A57" s="54" t="n"/>
      <c r="B57" s="61" t="n"/>
      <c r="C57" s="61" t="n"/>
      <c r="D57" s="61" t="n"/>
      <c r="E57" s="61" t="n"/>
      <c r="F57" s="55" t="n"/>
      <c r="G57" s="56" t="n"/>
      <c r="H57" s="55" t="n"/>
      <c r="I57" s="62" t="n"/>
      <c r="J57" s="58" t="n"/>
      <c r="K57" s="63">
        <f>IF(tblMovement[[#This Row],[Source]]="","",IFERROR(INDEX(tblSources[Type],MATCH(tblMovement[[#This Row],[Source]],tblSources[Source],0)),"?"))</f>
        <v/>
      </c>
      <c r="L57" s="63">
        <f>IF(tblMovement[[#This Row],[Destination]]="","",IFERROR(INDEX(tblDestinations[Type],MATCH(tblMovement[[#This Row],[Destination]],tblDestinations[Destination],0)),"?"))</f>
        <v/>
      </c>
      <c r="M57" s="64">
        <f>IF(tblMovement[[#This Row],[Material]]="","",IF(LEFT(tblMovement[[#This Row],[Material]],3)="Ore",1,0))</f>
        <v/>
      </c>
      <c r="N57" s="59">
        <f>IF(OR(tblMovement[[#This Row],[Tonnes_t]]="",tblMovement[[#This Row],[Grade_gpt]]=""),0,tblMovement[[#This Row],[Tonnes_t]]*tblMovement[[#This Row],[Grade_gpt]]/cfg_TroyOz)</f>
        <v/>
      </c>
      <c r="O57" s="59">
        <f>IF(tblMovement[[#This Row],[Is_Ore]]=1,tblMovement[[#This Row],[Contained_oz]],0)</f>
        <v/>
      </c>
    </row>
    <row r="58">
      <c r="A58" s="54" t="n"/>
      <c r="B58" s="61" t="n"/>
      <c r="C58" s="61" t="n"/>
      <c r="D58" s="61" t="n"/>
      <c r="E58" s="61" t="n"/>
      <c r="F58" s="55" t="n"/>
      <c r="G58" s="56" t="n"/>
      <c r="H58" s="55" t="n"/>
      <c r="I58" s="62" t="n"/>
      <c r="J58" s="58" t="n"/>
      <c r="K58" s="63">
        <f>IF(tblMovement[[#This Row],[Source]]="","",IFERROR(INDEX(tblSources[Type],MATCH(tblMovement[[#This Row],[Source]],tblSources[Source],0)),"?"))</f>
        <v/>
      </c>
      <c r="L58" s="63">
        <f>IF(tblMovement[[#This Row],[Destination]]="","",IFERROR(INDEX(tblDestinations[Type],MATCH(tblMovement[[#This Row],[Destination]],tblDestinations[Destination],0)),"?"))</f>
        <v/>
      </c>
      <c r="M58" s="64">
        <f>IF(tblMovement[[#This Row],[Material]]="","",IF(LEFT(tblMovement[[#This Row],[Material]],3)="Ore",1,0))</f>
        <v/>
      </c>
      <c r="N58" s="59">
        <f>IF(OR(tblMovement[[#This Row],[Tonnes_t]]="",tblMovement[[#This Row],[Grade_gpt]]=""),0,tblMovement[[#This Row],[Tonnes_t]]*tblMovement[[#This Row],[Grade_gpt]]/cfg_TroyOz)</f>
        <v/>
      </c>
      <c r="O58" s="59">
        <f>IF(tblMovement[[#This Row],[Is_Ore]]=1,tblMovement[[#This Row],[Contained_oz]],0)</f>
        <v/>
      </c>
    </row>
    <row r="59">
      <c r="A59" s="54" t="n"/>
      <c r="B59" s="61" t="n"/>
      <c r="C59" s="61" t="n"/>
      <c r="D59" s="61" t="n"/>
      <c r="E59" s="61" t="n"/>
      <c r="F59" s="55" t="n"/>
      <c r="G59" s="56" t="n"/>
      <c r="H59" s="55" t="n"/>
      <c r="I59" s="62" t="n"/>
      <c r="J59" s="58" t="n"/>
      <c r="K59" s="63">
        <f>IF(tblMovement[[#This Row],[Source]]="","",IFERROR(INDEX(tblSources[Type],MATCH(tblMovement[[#This Row],[Source]],tblSources[Source],0)),"?"))</f>
        <v/>
      </c>
      <c r="L59" s="63">
        <f>IF(tblMovement[[#This Row],[Destination]]="","",IFERROR(INDEX(tblDestinations[Type],MATCH(tblMovement[[#This Row],[Destination]],tblDestinations[Destination],0)),"?"))</f>
        <v/>
      </c>
      <c r="M59" s="64">
        <f>IF(tblMovement[[#This Row],[Material]]="","",IF(LEFT(tblMovement[[#This Row],[Material]],3)="Ore",1,0))</f>
        <v/>
      </c>
      <c r="N59" s="59">
        <f>IF(OR(tblMovement[[#This Row],[Tonnes_t]]="",tblMovement[[#This Row],[Grade_gpt]]=""),0,tblMovement[[#This Row],[Tonnes_t]]*tblMovement[[#This Row],[Grade_gpt]]/cfg_TroyOz)</f>
        <v/>
      </c>
      <c r="O59" s="59">
        <f>IF(tblMovement[[#This Row],[Is_Ore]]=1,tblMovement[[#This Row],[Contained_oz]],0)</f>
        <v/>
      </c>
    </row>
    <row r="60">
      <c r="A60" s="54" t="n"/>
      <c r="B60" s="61" t="n"/>
      <c r="C60" s="61" t="n"/>
      <c r="D60" s="61" t="n"/>
      <c r="E60" s="61" t="n"/>
      <c r="F60" s="55" t="n"/>
      <c r="G60" s="56" t="n"/>
      <c r="H60" s="55" t="n"/>
      <c r="I60" s="62" t="n"/>
      <c r="J60" s="58" t="n"/>
      <c r="K60" s="63">
        <f>IF(tblMovement[[#This Row],[Source]]="","",IFERROR(INDEX(tblSources[Type],MATCH(tblMovement[[#This Row],[Source]],tblSources[Source],0)),"?"))</f>
        <v/>
      </c>
      <c r="L60" s="63">
        <f>IF(tblMovement[[#This Row],[Destination]]="","",IFERROR(INDEX(tblDestinations[Type],MATCH(tblMovement[[#This Row],[Destination]],tblDestinations[Destination],0)),"?"))</f>
        <v/>
      </c>
      <c r="M60" s="64">
        <f>IF(tblMovement[[#This Row],[Material]]="","",IF(LEFT(tblMovement[[#This Row],[Material]],3)="Ore",1,0))</f>
        <v/>
      </c>
      <c r="N60" s="59">
        <f>IF(OR(tblMovement[[#This Row],[Tonnes_t]]="",tblMovement[[#This Row],[Grade_gpt]]=""),0,tblMovement[[#This Row],[Tonnes_t]]*tblMovement[[#This Row],[Grade_gpt]]/cfg_TroyOz)</f>
        <v/>
      </c>
      <c r="O60" s="59">
        <f>IF(tblMovement[[#This Row],[Is_Ore]]=1,tblMovement[[#This Row],[Contained_oz]],0)</f>
        <v/>
      </c>
    </row>
    <row r="61">
      <c r="A61" s="54" t="n"/>
      <c r="B61" s="61" t="n"/>
      <c r="C61" s="61" t="n"/>
      <c r="D61" s="61" t="n"/>
      <c r="E61" s="61" t="n"/>
      <c r="F61" s="55" t="n"/>
      <c r="G61" s="56" t="n"/>
      <c r="H61" s="55" t="n"/>
      <c r="I61" s="62" t="n"/>
      <c r="J61" s="58" t="n"/>
      <c r="K61" s="63">
        <f>IF(tblMovement[[#This Row],[Source]]="","",IFERROR(INDEX(tblSources[Type],MATCH(tblMovement[[#This Row],[Source]],tblSources[Source],0)),"?"))</f>
        <v/>
      </c>
      <c r="L61" s="63">
        <f>IF(tblMovement[[#This Row],[Destination]]="","",IFERROR(INDEX(tblDestinations[Type],MATCH(tblMovement[[#This Row],[Destination]],tblDestinations[Destination],0)),"?"))</f>
        <v/>
      </c>
      <c r="M61" s="64">
        <f>IF(tblMovement[[#This Row],[Material]]="","",IF(LEFT(tblMovement[[#This Row],[Material]],3)="Ore",1,0))</f>
        <v/>
      </c>
      <c r="N61" s="59">
        <f>IF(OR(tblMovement[[#This Row],[Tonnes_t]]="",tblMovement[[#This Row],[Grade_gpt]]=""),0,tblMovement[[#This Row],[Tonnes_t]]*tblMovement[[#This Row],[Grade_gpt]]/cfg_TroyOz)</f>
        <v/>
      </c>
      <c r="O61" s="59">
        <f>IF(tblMovement[[#This Row],[Is_Ore]]=1,tblMovement[[#This Row],[Contained_oz]],0)</f>
        <v/>
      </c>
    </row>
    <row r="62">
      <c r="A62" s="54" t="n"/>
      <c r="B62" s="61" t="n"/>
      <c r="C62" s="61" t="n"/>
      <c r="D62" s="61" t="n"/>
      <c r="E62" s="61" t="n"/>
      <c r="F62" s="55" t="n"/>
      <c r="G62" s="56" t="n"/>
      <c r="H62" s="55" t="n"/>
      <c r="I62" s="62" t="n"/>
      <c r="J62" s="58" t="n"/>
      <c r="K62" s="63">
        <f>IF(tblMovement[[#This Row],[Source]]="","",IFERROR(INDEX(tblSources[Type],MATCH(tblMovement[[#This Row],[Source]],tblSources[Source],0)),"?"))</f>
        <v/>
      </c>
      <c r="L62" s="63">
        <f>IF(tblMovement[[#This Row],[Destination]]="","",IFERROR(INDEX(tblDestinations[Type],MATCH(tblMovement[[#This Row],[Destination]],tblDestinations[Destination],0)),"?"))</f>
        <v/>
      </c>
      <c r="M62" s="64">
        <f>IF(tblMovement[[#This Row],[Material]]="","",IF(LEFT(tblMovement[[#This Row],[Material]],3)="Ore",1,0))</f>
        <v/>
      </c>
      <c r="N62" s="59">
        <f>IF(OR(tblMovement[[#This Row],[Tonnes_t]]="",tblMovement[[#This Row],[Grade_gpt]]=""),0,tblMovement[[#This Row],[Tonnes_t]]*tblMovement[[#This Row],[Grade_gpt]]/cfg_TroyOz)</f>
        <v/>
      </c>
      <c r="O62" s="59">
        <f>IF(tblMovement[[#This Row],[Is_Ore]]=1,tblMovement[[#This Row],[Contained_oz]],0)</f>
        <v/>
      </c>
    </row>
    <row r="63">
      <c r="A63" s="54" t="n"/>
      <c r="B63" s="61" t="n"/>
      <c r="C63" s="61" t="n"/>
      <c r="D63" s="61" t="n"/>
      <c r="E63" s="61" t="n"/>
      <c r="F63" s="55" t="n"/>
      <c r="G63" s="56" t="n"/>
      <c r="H63" s="55" t="n"/>
      <c r="I63" s="62" t="n"/>
      <c r="J63" s="58" t="n"/>
      <c r="K63" s="63">
        <f>IF(tblMovement[[#This Row],[Source]]="","",IFERROR(INDEX(tblSources[Type],MATCH(tblMovement[[#This Row],[Source]],tblSources[Source],0)),"?"))</f>
        <v/>
      </c>
      <c r="L63" s="63">
        <f>IF(tblMovement[[#This Row],[Destination]]="","",IFERROR(INDEX(tblDestinations[Type],MATCH(tblMovement[[#This Row],[Destination]],tblDestinations[Destination],0)),"?"))</f>
        <v/>
      </c>
      <c r="M63" s="64">
        <f>IF(tblMovement[[#This Row],[Material]]="","",IF(LEFT(tblMovement[[#This Row],[Material]],3)="Ore",1,0))</f>
        <v/>
      </c>
      <c r="N63" s="59">
        <f>IF(OR(tblMovement[[#This Row],[Tonnes_t]]="",tblMovement[[#This Row],[Grade_gpt]]=""),0,tblMovement[[#This Row],[Tonnes_t]]*tblMovement[[#This Row],[Grade_gpt]]/cfg_TroyOz)</f>
        <v/>
      </c>
      <c r="O63" s="59">
        <f>IF(tblMovement[[#This Row],[Is_Ore]]=1,tblMovement[[#This Row],[Contained_oz]],0)</f>
        <v/>
      </c>
    </row>
    <row r="64">
      <c r="A64" s="54" t="n"/>
      <c r="B64" s="61" t="n"/>
      <c r="C64" s="61" t="n"/>
      <c r="D64" s="61" t="n"/>
      <c r="E64" s="61" t="n"/>
      <c r="F64" s="55" t="n"/>
      <c r="G64" s="56" t="n"/>
      <c r="H64" s="55" t="n"/>
      <c r="I64" s="62" t="n"/>
      <c r="J64" s="58" t="n"/>
      <c r="K64" s="63">
        <f>IF(tblMovement[[#This Row],[Source]]="","",IFERROR(INDEX(tblSources[Type],MATCH(tblMovement[[#This Row],[Source]],tblSources[Source],0)),"?"))</f>
        <v/>
      </c>
      <c r="L64" s="63">
        <f>IF(tblMovement[[#This Row],[Destination]]="","",IFERROR(INDEX(tblDestinations[Type],MATCH(tblMovement[[#This Row],[Destination]],tblDestinations[Destination],0)),"?"))</f>
        <v/>
      </c>
      <c r="M64" s="64">
        <f>IF(tblMovement[[#This Row],[Material]]="","",IF(LEFT(tblMovement[[#This Row],[Material]],3)="Ore",1,0))</f>
        <v/>
      </c>
      <c r="N64" s="59">
        <f>IF(OR(tblMovement[[#This Row],[Tonnes_t]]="",tblMovement[[#This Row],[Grade_gpt]]=""),0,tblMovement[[#This Row],[Tonnes_t]]*tblMovement[[#This Row],[Grade_gpt]]/cfg_TroyOz)</f>
        <v/>
      </c>
      <c r="O64" s="59">
        <f>IF(tblMovement[[#This Row],[Is_Ore]]=1,tblMovement[[#This Row],[Contained_oz]],0)</f>
        <v/>
      </c>
    </row>
    <row r="65">
      <c r="A65" s="54" t="n"/>
      <c r="B65" s="61" t="n"/>
      <c r="C65" s="61" t="n"/>
      <c r="D65" s="61" t="n"/>
      <c r="E65" s="61" t="n"/>
      <c r="F65" s="55" t="n"/>
      <c r="G65" s="56" t="n"/>
      <c r="H65" s="55" t="n"/>
      <c r="I65" s="62" t="n"/>
      <c r="J65" s="58" t="n"/>
      <c r="K65" s="63">
        <f>IF(tblMovement[[#This Row],[Source]]="","",IFERROR(INDEX(tblSources[Type],MATCH(tblMovement[[#This Row],[Source]],tblSources[Source],0)),"?"))</f>
        <v/>
      </c>
      <c r="L65" s="63">
        <f>IF(tblMovement[[#This Row],[Destination]]="","",IFERROR(INDEX(tblDestinations[Type],MATCH(tblMovement[[#This Row],[Destination]],tblDestinations[Destination],0)),"?"))</f>
        <v/>
      </c>
      <c r="M65" s="64">
        <f>IF(tblMovement[[#This Row],[Material]]="","",IF(LEFT(tblMovement[[#This Row],[Material]],3)="Ore",1,0))</f>
        <v/>
      </c>
      <c r="N65" s="59">
        <f>IF(OR(tblMovement[[#This Row],[Tonnes_t]]="",tblMovement[[#This Row],[Grade_gpt]]=""),0,tblMovement[[#This Row],[Tonnes_t]]*tblMovement[[#This Row],[Grade_gpt]]/cfg_TroyOz)</f>
        <v/>
      </c>
      <c r="O65" s="59">
        <f>IF(tblMovement[[#This Row],[Is_Ore]]=1,tblMovement[[#This Row],[Contained_oz]],0)</f>
        <v/>
      </c>
    </row>
    <row r="66">
      <c r="A66" s="54" t="n"/>
      <c r="B66" s="61" t="n"/>
      <c r="C66" s="61" t="n"/>
      <c r="D66" s="61" t="n"/>
      <c r="E66" s="61" t="n"/>
      <c r="F66" s="55" t="n"/>
      <c r="G66" s="56" t="n"/>
      <c r="H66" s="55" t="n"/>
      <c r="I66" s="62" t="n"/>
      <c r="J66" s="58" t="n"/>
      <c r="K66" s="63">
        <f>IF(tblMovement[[#This Row],[Source]]="","",IFERROR(INDEX(tblSources[Type],MATCH(tblMovement[[#This Row],[Source]],tblSources[Source],0)),"?"))</f>
        <v/>
      </c>
      <c r="L66" s="63">
        <f>IF(tblMovement[[#This Row],[Destination]]="","",IFERROR(INDEX(tblDestinations[Type],MATCH(tblMovement[[#This Row],[Destination]],tblDestinations[Destination],0)),"?"))</f>
        <v/>
      </c>
      <c r="M66" s="64">
        <f>IF(tblMovement[[#This Row],[Material]]="","",IF(LEFT(tblMovement[[#This Row],[Material]],3)="Ore",1,0))</f>
        <v/>
      </c>
      <c r="N66" s="59">
        <f>IF(OR(tblMovement[[#This Row],[Tonnes_t]]="",tblMovement[[#This Row],[Grade_gpt]]=""),0,tblMovement[[#This Row],[Tonnes_t]]*tblMovement[[#This Row],[Grade_gpt]]/cfg_TroyOz)</f>
        <v/>
      </c>
      <c r="O66" s="59">
        <f>IF(tblMovement[[#This Row],[Is_Ore]]=1,tblMovement[[#This Row],[Contained_oz]],0)</f>
        <v/>
      </c>
    </row>
    <row r="67">
      <c r="A67" s="54" t="n"/>
      <c r="B67" s="61" t="n"/>
      <c r="C67" s="61" t="n"/>
      <c r="D67" s="61" t="n"/>
      <c r="E67" s="61" t="n"/>
      <c r="F67" s="55" t="n"/>
      <c r="G67" s="56" t="n"/>
      <c r="H67" s="55" t="n"/>
      <c r="I67" s="62" t="n"/>
      <c r="J67" s="58" t="n"/>
      <c r="K67" s="63">
        <f>IF(tblMovement[[#This Row],[Source]]="","",IFERROR(INDEX(tblSources[Type],MATCH(tblMovement[[#This Row],[Source]],tblSources[Source],0)),"?"))</f>
        <v/>
      </c>
      <c r="L67" s="63">
        <f>IF(tblMovement[[#This Row],[Destination]]="","",IFERROR(INDEX(tblDestinations[Type],MATCH(tblMovement[[#This Row],[Destination]],tblDestinations[Destination],0)),"?"))</f>
        <v/>
      </c>
      <c r="M67" s="64">
        <f>IF(tblMovement[[#This Row],[Material]]="","",IF(LEFT(tblMovement[[#This Row],[Material]],3)="Ore",1,0))</f>
        <v/>
      </c>
      <c r="N67" s="59">
        <f>IF(OR(tblMovement[[#This Row],[Tonnes_t]]="",tblMovement[[#This Row],[Grade_gpt]]=""),0,tblMovement[[#This Row],[Tonnes_t]]*tblMovement[[#This Row],[Grade_gpt]]/cfg_TroyOz)</f>
        <v/>
      </c>
      <c r="O67" s="59">
        <f>IF(tblMovement[[#This Row],[Is_Ore]]=1,tblMovement[[#This Row],[Contained_oz]],0)</f>
        <v/>
      </c>
    </row>
    <row r="68">
      <c r="A68" s="54" t="n"/>
      <c r="B68" s="61" t="n"/>
      <c r="C68" s="61" t="n"/>
      <c r="D68" s="61" t="n"/>
      <c r="E68" s="61" t="n"/>
      <c r="F68" s="55" t="n"/>
      <c r="G68" s="56" t="n"/>
      <c r="H68" s="55" t="n"/>
      <c r="I68" s="62" t="n"/>
      <c r="J68" s="58" t="n"/>
      <c r="K68" s="63">
        <f>IF(tblMovement[[#This Row],[Source]]="","",IFERROR(INDEX(tblSources[Type],MATCH(tblMovement[[#This Row],[Source]],tblSources[Source],0)),"?"))</f>
        <v/>
      </c>
      <c r="L68" s="63">
        <f>IF(tblMovement[[#This Row],[Destination]]="","",IFERROR(INDEX(tblDestinations[Type],MATCH(tblMovement[[#This Row],[Destination]],tblDestinations[Destination],0)),"?"))</f>
        <v/>
      </c>
      <c r="M68" s="64">
        <f>IF(tblMovement[[#This Row],[Material]]="","",IF(LEFT(tblMovement[[#This Row],[Material]],3)="Ore",1,0))</f>
        <v/>
      </c>
      <c r="N68" s="59">
        <f>IF(OR(tblMovement[[#This Row],[Tonnes_t]]="",tblMovement[[#This Row],[Grade_gpt]]=""),0,tblMovement[[#This Row],[Tonnes_t]]*tblMovement[[#This Row],[Grade_gpt]]/cfg_TroyOz)</f>
        <v/>
      </c>
      <c r="O68" s="59">
        <f>IF(tblMovement[[#This Row],[Is_Ore]]=1,tblMovement[[#This Row],[Contained_oz]],0)</f>
        <v/>
      </c>
    </row>
    <row r="69">
      <c r="A69" s="54" t="n"/>
      <c r="B69" s="61" t="n"/>
      <c r="C69" s="61" t="n"/>
      <c r="D69" s="61" t="n"/>
      <c r="E69" s="61" t="n"/>
      <c r="F69" s="55" t="n"/>
      <c r="G69" s="56" t="n"/>
      <c r="H69" s="55" t="n"/>
      <c r="I69" s="62" t="n"/>
      <c r="J69" s="58" t="n"/>
      <c r="K69" s="63">
        <f>IF(tblMovement[[#This Row],[Source]]="","",IFERROR(INDEX(tblSources[Type],MATCH(tblMovement[[#This Row],[Source]],tblSources[Source],0)),"?"))</f>
        <v/>
      </c>
      <c r="L69" s="63">
        <f>IF(tblMovement[[#This Row],[Destination]]="","",IFERROR(INDEX(tblDestinations[Type],MATCH(tblMovement[[#This Row],[Destination]],tblDestinations[Destination],0)),"?"))</f>
        <v/>
      </c>
      <c r="M69" s="64">
        <f>IF(tblMovement[[#This Row],[Material]]="","",IF(LEFT(tblMovement[[#This Row],[Material]],3)="Ore",1,0))</f>
        <v/>
      </c>
      <c r="N69" s="59">
        <f>IF(OR(tblMovement[[#This Row],[Tonnes_t]]="",tblMovement[[#This Row],[Grade_gpt]]=""),0,tblMovement[[#This Row],[Tonnes_t]]*tblMovement[[#This Row],[Grade_gpt]]/cfg_TroyOz)</f>
        <v/>
      </c>
      <c r="O69" s="59">
        <f>IF(tblMovement[[#This Row],[Is_Ore]]=1,tblMovement[[#This Row],[Contained_oz]],0)</f>
        <v/>
      </c>
    </row>
    <row r="70">
      <c r="A70" s="54" t="n"/>
      <c r="B70" s="61" t="n"/>
      <c r="C70" s="61" t="n"/>
      <c r="D70" s="61" t="n"/>
      <c r="E70" s="61" t="n"/>
      <c r="F70" s="55" t="n"/>
      <c r="G70" s="56" t="n"/>
      <c r="H70" s="55" t="n"/>
      <c r="I70" s="62" t="n"/>
      <c r="J70" s="58" t="n"/>
      <c r="K70" s="63">
        <f>IF(tblMovement[[#This Row],[Source]]="","",IFERROR(INDEX(tblSources[Type],MATCH(tblMovement[[#This Row],[Source]],tblSources[Source],0)),"?"))</f>
        <v/>
      </c>
      <c r="L70" s="63">
        <f>IF(tblMovement[[#This Row],[Destination]]="","",IFERROR(INDEX(tblDestinations[Type],MATCH(tblMovement[[#This Row],[Destination]],tblDestinations[Destination],0)),"?"))</f>
        <v/>
      </c>
      <c r="M70" s="64">
        <f>IF(tblMovement[[#This Row],[Material]]="","",IF(LEFT(tblMovement[[#This Row],[Material]],3)="Ore",1,0))</f>
        <v/>
      </c>
      <c r="N70" s="59">
        <f>IF(OR(tblMovement[[#This Row],[Tonnes_t]]="",tblMovement[[#This Row],[Grade_gpt]]=""),0,tblMovement[[#This Row],[Tonnes_t]]*tblMovement[[#This Row],[Grade_gpt]]/cfg_TroyOz)</f>
        <v/>
      </c>
      <c r="O70" s="59">
        <f>IF(tblMovement[[#This Row],[Is_Ore]]=1,tblMovement[[#This Row],[Contained_oz]],0)</f>
        <v/>
      </c>
    </row>
    <row r="71">
      <c r="A71" s="54" t="n"/>
      <c r="B71" s="61" t="n"/>
      <c r="C71" s="61" t="n"/>
      <c r="D71" s="61" t="n"/>
      <c r="E71" s="61" t="n"/>
      <c r="F71" s="55" t="n"/>
      <c r="G71" s="56" t="n"/>
      <c r="H71" s="55" t="n"/>
      <c r="I71" s="62" t="n"/>
      <c r="J71" s="58" t="n"/>
      <c r="K71" s="63">
        <f>IF(tblMovement[[#This Row],[Source]]="","",IFERROR(INDEX(tblSources[Type],MATCH(tblMovement[[#This Row],[Source]],tblSources[Source],0)),"?"))</f>
        <v/>
      </c>
      <c r="L71" s="63">
        <f>IF(tblMovement[[#This Row],[Destination]]="","",IFERROR(INDEX(tblDestinations[Type],MATCH(tblMovement[[#This Row],[Destination]],tblDestinations[Destination],0)),"?"))</f>
        <v/>
      </c>
      <c r="M71" s="64">
        <f>IF(tblMovement[[#This Row],[Material]]="","",IF(LEFT(tblMovement[[#This Row],[Material]],3)="Ore",1,0))</f>
        <v/>
      </c>
      <c r="N71" s="59">
        <f>IF(OR(tblMovement[[#This Row],[Tonnes_t]]="",tblMovement[[#This Row],[Grade_gpt]]=""),0,tblMovement[[#This Row],[Tonnes_t]]*tblMovement[[#This Row],[Grade_gpt]]/cfg_TroyOz)</f>
        <v/>
      </c>
      <c r="O71" s="59">
        <f>IF(tblMovement[[#This Row],[Is_Ore]]=1,tblMovement[[#This Row],[Contained_oz]],0)</f>
        <v/>
      </c>
    </row>
    <row r="72">
      <c r="A72" s="54" t="n"/>
      <c r="B72" s="61" t="n"/>
      <c r="C72" s="61" t="n"/>
      <c r="D72" s="61" t="n"/>
      <c r="E72" s="61" t="n"/>
      <c r="F72" s="55" t="n"/>
      <c r="G72" s="56" t="n"/>
      <c r="H72" s="55" t="n"/>
      <c r="I72" s="62" t="n"/>
      <c r="J72" s="58" t="n"/>
      <c r="K72" s="63">
        <f>IF(tblMovement[[#This Row],[Source]]="","",IFERROR(INDEX(tblSources[Type],MATCH(tblMovement[[#This Row],[Source]],tblSources[Source],0)),"?"))</f>
        <v/>
      </c>
      <c r="L72" s="63">
        <f>IF(tblMovement[[#This Row],[Destination]]="","",IFERROR(INDEX(tblDestinations[Type],MATCH(tblMovement[[#This Row],[Destination]],tblDestinations[Destination],0)),"?"))</f>
        <v/>
      </c>
      <c r="M72" s="64">
        <f>IF(tblMovement[[#This Row],[Material]]="","",IF(LEFT(tblMovement[[#This Row],[Material]],3)="Ore",1,0))</f>
        <v/>
      </c>
      <c r="N72" s="59">
        <f>IF(OR(tblMovement[[#This Row],[Tonnes_t]]="",tblMovement[[#This Row],[Grade_gpt]]=""),0,tblMovement[[#This Row],[Tonnes_t]]*tblMovement[[#This Row],[Grade_gpt]]/cfg_TroyOz)</f>
        <v/>
      </c>
      <c r="O72" s="59">
        <f>IF(tblMovement[[#This Row],[Is_Ore]]=1,tblMovement[[#This Row],[Contained_oz]],0)</f>
        <v/>
      </c>
    </row>
    <row r="73">
      <c r="A73" s="54" t="n"/>
      <c r="B73" s="61" t="n"/>
      <c r="C73" s="61" t="n"/>
      <c r="D73" s="61" t="n"/>
      <c r="E73" s="61" t="n"/>
      <c r="F73" s="55" t="n"/>
      <c r="G73" s="56" t="n"/>
      <c r="H73" s="55" t="n"/>
      <c r="I73" s="62" t="n"/>
      <c r="J73" s="58" t="n"/>
      <c r="K73" s="63">
        <f>IF(tblMovement[[#This Row],[Source]]="","",IFERROR(INDEX(tblSources[Type],MATCH(tblMovement[[#This Row],[Source]],tblSources[Source],0)),"?"))</f>
        <v/>
      </c>
      <c r="L73" s="63">
        <f>IF(tblMovement[[#This Row],[Destination]]="","",IFERROR(INDEX(tblDestinations[Type],MATCH(tblMovement[[#This Row],[Destination]],tblDestinations[Destination],0)),"?"))</f>
        <v/>
      </c>
      <c r="M73" s="64">
        <f>IF(tblMovement[[#This Row],[Material]]="","",IF(LEFT(tblMovement[[#This Row],[Material]],3)="Ore",1,0))</f>
        <v/>
      </c>
      <c r="N73" s="59">
        <f>IF(OR(tblMovement[[#This Row],[Tonnes_t]]="",tblMovement[[#This Row],[Grade_gpt]]=""),0,tblMovement[[#This Row],[Tonnes_t]]*tblMovement[[#This Row],[Grade_gpt]]/cfg_TroyOz)</f>
        <v/>
      </c>
      <c r="O73" s="59">
        <f>IF(tblMovement[[#This Row],[Is_Ore]]=1,tblMovement[[#This Row],[Contained_oz]],0)</f>
        <v/>
      </c>
    </row>
    <row r="74">
      <c r="A74" s="54" t="n"/>
      <c r="B74" s="61" t="n"/>
      <c r="C74" s="61" t="n"/>
      <c r="D74" s="61" t="n"/>
      <c r="E74" s="61" t="n"/>
      <c r="F74" s="55" t="n"/>
      <c r="G74" s="56" t="n"/>
      <c r="H74" s="55" t="n"/>
      <c r="I74" s="62" t="n"/>
      <c r="J74" s="58" t="n"/>
      <c r="K74" s="63">
        <f>IF(tblMovement[[#This Row],[Source]]="","",IFERROR(INDEX(tblSources[Type],MATCH(tblMovement[[#This Row],[Source]],tblSources[Source],0)),"?"))</f>
        <v/>
      </c>
      <c r="L74" s="63">
        <f>IF(tblMovement[[#This Row],[Destination]]="","",IFERROR(INDEX(tblDestinations[Type],MATCH(tblMovement[[#This Row],[Destination]],tblDestinations[Destination],0)),"?"))</f>
        <v/>
      </c>
      <c r="M74" s="64">
        <f>IF(tblMovement[[#This Row],[Material]]="","",IF(LEFT(tblMovement[[#This Row],[Material]],3)="Ore",1,0))</f>
        <v/>
      </c>
      <c r="N74" s="59">
        <f>IF(OR(tblMovement[[#This Row],[Tonnes_t]]="",tblMovement[[#This Row],[Grade_gpt]]=""),0,tblMovement[[#This Row],[Tonnes_t]]*tblMovement[[#This Row],[Grade_gpt]]/cfg_TroyOz)</f>
        <v/>
      </c>
      <c r="O74" s="59">
        <f>IF(tblMovement[[#This Row],[Is_Ore]]=1,tblMovement[[#This Row],[Contained_oz]],0)</f>
        <v/>
      </c>
    </row>
    <row r="75">
      <c r="A75" s="54" t="n"/>
      <c r="B75" s="61" t="n"/>
      <c r="C75" s="61" t="n"/>
      <c r="D75" s="61" t="n"/>
      <c r="E75" s="61" t="n"/>
      <c r="F75" s="55" t="n"/>
      <c r="G75" s="56" t="n"/>
      <c r="H75" s="55" t="n"/>
      <c r="I75" s="62" t="n"/>
      <c r="J75" s="58" t="n"/>
      <c r="K75" s="63">
        <f>IF(tblMovement[[#This Row],[Source]]="","",IFERROR(INDEX(tblSources[Type],MATCH(tblMovement[[#This Row],[Source]],tblSources[Source],0)),"?"))</f>
        <v/>
      </c>
      <c r="L75" s="63">
        <f>IF(tblMovement[[#This Row],[Destination]]="","",IFERROR(INDEX(tblDestinations[Type],MATCH(tblMovement[[#This Row],[Destination]],tblDestinations[Destination],0)),"?"))</f>
        <v/>
      </c>
      <c r="M75" s="64">
        <f>IF(tblMovement[[#This Row],[Material]]="","",IF(LEFT(tblMovement[[#This Row],[Material]],3)="Ore",1,0))</f>
        <v/>
      </c>
      <c r="N75" s="59">
        <f>IF(OR(tblMovement[[#This Row],[Tonnes_t]]="",tblMovement[[#This Row],[Grade_gpt]]=""),0,tblMovement[[#This Row],[Tonnes_t]]*tblMovement[[#This Row],[Grade_gpt]]/cfg_TroyOz)</f>
        <v/>
      </c>
      <c r="O75" s="59">
        <f>IF(tblMovement[[#This Row],[Is_Ore]]=1,tblMovement[[#This Row],[Contained_oz]],0)</f>
        <v/>
      </c>
    </row>
    <row r="76">
      <c r="A76" s="54" t="n"/>
      <c r="B76" s="61" t="n"/>
      <c r="C76" s="61" t="n"/>
      <c r="D76" s="61" t="n"/>
      <c r="E76" s="61" t="n"/>
      <c r="F76" s="55" t="n"/>
      <c r="G76" s="56" t="n"/>
      <c r="H76" s="55" t="n"/>
      <c r="I76" s="62" t="n"/>
      <c r="J76" s="58" t="n"/>
      <c r="K76" s="63">
        <f>IF(tblMovement[[#This Row],[Source]]="","",IFERROR(INDEX(tblSources[Type],MATCH(tblMovement[[#This Row],[Source]],tblSources[Source],0)),"?"))</f>
        <v/>
      </c>
      <c r="L76" s="63">
        <f>IF(tblMovement[[#This Row],[Destination]]="","",IFERROR(INDEX(tblDestinations[Type],MATCH(tblMovement[[#This Row],[Destination]],tblDestinations[Destination],0)),"?"))</f>
        <v/>
      </c>
      <c r="M76" s="64">
        <f>IF(tblMovement[[#This Row],[Material]]="","",IF(LEFT(tblMovement[[#This Row],[Material]],3)="Ore",1,0))</f>
        <v/>
      </c>
      <c r="N76" s="59">
        <f>IF(OR(tblMovement[[#This Row],[Tonnes_t]]="",tblMovement[[#This Row],[Grade_gpt]]=""),0,tblMovement[[#This Row],[Tonnes_t]]*tblMovement[[#This Row],[Grade_gpt]]/cfg_TroyOz)</f>
        <v/>
      </c>
      <c r="O76" s="59">
        <f>IF(tblMovement[[#This Row],[Is_Ore]]=1,tblMovement[[#This Row],[Contained_oz]],0)</f>
        <v/>
      </c>
    </row>
    <row r="77">
      <c r="A77" s="54" t="n"/>
      <c r="B77" s="61" t="n"/>
      <c r="C77" s="61" t="n"/>
      <c r="D77" s="61" t="n"/>
      <c r="E77" s="61" t="n"/>
      <c r="F77" s="55" t="n"/>
      <c r="G77" s="56" t="n"/>
      <c r="H77" s="55" t="n"/>
      <c r="I77" s="62" t="n"/>
      <c r="J77" s="58" t="n"/>
      <c r="K77" s="63">
        <f>IF(tblMovement[[#This Row],[Source]]="","",IFERROR(INDEX(tblSources[Type],MATCH(tblMovement[[#This Row],[Source]],tblSources[Source],0)),"?"))</f>
        <v/>
      </c>
      <c r="L77" s="63">
        <f>IF(tblMovement[[#This Row],[Destination]]="","",IFERROR(INDEX(tblDestinations[Type],MATCH(tblMovement[[#This Row],[Destination]],tblDestinations[Destination],0)),"?"))</f>
        <v/>
      </c>
      <c r="M77" s="64">
        <f>IF(tblMovement[[#This Row],[Material]]="","",IF(LEFT(tblMovement[[#This Row],[Material]],3)="Ore",1,0))</f>
        <v/>
      </c>
      <c r="N77" s="59">
        <f>IF(OR(tblMovement[[#This Row],[Tonnes_t]]="",tblMovement[[#This Row],[Grade_gpt]]=""),0,tblMovement[[#This Row],[Tonnes_t]]*tblMovement[[#This Row],[Grade_gpt]]/cfg_TroyOz)</f>
        <v/>
      </c>
      <c r="O77" s="59">
        <f>IF(tblMovement[[#This Row],[Is_Ore]]=1,tblMovement[[#This Row],[Contained_oz]],0)</f>
        <v/>
      </c>
    </row>
    <row r="78">
      <c r="A78" s="54" t="n"/>
      <c r="B78" s="61" t="n"/>
      <c r="C78" s="61" t="n"/>
      <c r="D78" s="61" t="n"/>
      <c r="E78" s="61" t="n"/>
      <c r="F78" s="55" t="n"/>
      <c r="G78" s="56" t="n"/>
      <c r="H78" s="55" t="n"/>
      <c r="I78" s="62" t="n"/>
      <c r="J78" s="58" t="n"/>
      <c r="K78" s="63">
        <f>IF(tblMovement[[#This Row],[Source]]="","",IFERROR(INDEX(tblSources[Type],MATCH(tblMovement[[#This Row],[Source]],tblSources[Source],0)),"?"))</f>
        <v/>
      </c>
      <c r="L78" s="63">
        <f>IF(tblMovement[[#This Row],[Destination]]="","",IFERROR(INDEX(tblDestinations[Type],MATCH(tblMovement[[#This Row],[Destination]],tblDestinations[Destination],0)),"?"))</f>
        <v/>
      </c>
      <c r="M78" s="64">
        <f>IF(tblMovement[[#This Row],[Material]]="","",IF(LEFT(tblMovement[[#This Row],[Material]],3)="Ore",1,0))</f>
        <v/>
      </c>
      <c r="N78" s="59">
        <f>IF(OR(tblMovement[[#This Row],[Tonnes_t]]="",tblMovement[[#This Row],[Grade_gpt]]=""),0,tblMovement[[#This Row],[Tonnes_t]]*tblMovement[[#This Row],[Grade_gpt]]/cfg_TroyOz)</f>
        <v/>
      </c>
      <c r="O78" s="59">
        <f>IF(tblMovement[[#This Row],[Is_Ore]]=1,tblMovement[[#This Row],[Contained_oz]],0)</f>
        <v/>
      </c>
    </row>
    <row r="79">
      <c r="A79" s="54" t="n"/>
      <c r="B79" s="61" t="n"/>
      <c r="C79" s="61" t="n"/>
      <c r="D79" s="61" t="n"/>
      <c r="E79" s="61" t="n"/>
      <c r="F79" s="55" t="n"/>
      <c r="G79" s="56" t="n"/>
      <c r="H79" s="55" t="n"/>
      <c r="I79" s="62" t="n"/>
      <c r="J79" s="58" t="n"/>
      <c r="K79" s="63">
        <f>IF(tblMovement[[#This Row],[Source]]="","",IFERROR(INDEX(tblSources[Type],MATCH(tblMovement[[#This Row],[Source]],tblSources[Source],0)),"?"))</f>
        <v/>
      </c>
      <c r="L79" s="63">
        <f>IF(tblMovement[[#This Row],[Destination]]="","",IFERROR(INDEX(tblDestinations[Type],MATCH(tblMovement[[#This Row],[Destination]],tblDestinations[Destination],0)),"?"))</f>
        <v/>
      </c>
      <c r="M79" s="64">
        <f>IF(tblMovement[[#This Row],[Material]]="","",IF(LEFT(tblMovement[[#This Row],[Material]],3)="Ore",1,0))</f>
        <v/>
      </c>
      <c r="N79" s="59">
        <f>IF(OR(tblMovement[[#This Row],[Tonnes_t]]="",tblMovement[[#This Row],[Grade_gpt]]=""),0,tblMovement[[#This Row],[Tonnes_t]]*tblMovement[[#This Row],[Grade_gpt]]/cfg_TroyOz)</f>
        <v/>
      </c>
      <c r="O79" s="59">
        <f>IF(tblMovement[[#This Row],[Is_Ore]]=1,tblMovement[[#This Row],[Contained_oz]],0)</f>
        <v/>
      </c>
    </row>
    <row r="80">
      <c r="A80" s="54" t="n"/>
      <c r="B80" s="61" t="n"/>
      <c r="C80" s="61" t="n"/>
      <c r="D80" s="61" t="n"/>
      <c r="E80" s="61" t="n"/>
      <c r="F80" s="55" t="n"/>
      <c r="G80" s="56" t="n"/>
      <c r="H80" s="55" t="n"/>
      <c r="I80" s="62" t="n"/>
      <c r="J80" s="58" t="n"/>
      <c r="K80" s="63">
        <f>IF(tblMovement[[#This Row],[Source]]="","",IFERROR(INDEX(tblSources[Type],MATCH(tblMovement[[#This Row],[Source]],tblSources[Source],0)),"?"))</f>
        <v/>
      </c>
      <c r="L80" s="63">
        <f>IF(tblMovement[[#This Row],[Destination]]="","",IFERROR(INDEX(tblDestinations[Type],MATCH(tblMovement[[#This Row],[Destination]],tblDestinations[Destination],0)),"?"))</f>
        <v/>
      </c>
      <c r="M80" s="64">
        <f>IF(tblMovement[[#This Row],[Material]]="","",IF(LEFT(tblMovement[[#This Row],[Material]],3)="Ore",1,0))</f>
        <v/>
      </c>
      <c r="N80" s="59">
        <f>IF(OR(tblMovement[[#This Row],[Tonnes_t]]="",tblMovement[[#This Row],[Grade_gpt]]=""),0,tblMovement[[#This Row],[Tonnes_t]]*tblMovement[[#This Row],[Grade_gpt]]/cfg_TroyOz)</f>
        <v/>
      </c>
      <c r="O80" s="59">
        <f>IF(tblMovement[[#This Row],[Is_Ore]]=1,tblMovement[[#This Row],[Contained_oz]],0)</f>
        <v/>
      </c>
    </row>
    <row r="81">
      <c r="A81" s="54" t="n"/>
      <c r="B81" s="61" t="n"/>
      <c r="C81" s="61" t="n"/>
      <c r="D81" s="61" t="n"/>
      <c r="E81" s="61" t="n"/>
      <c r="F81" s="55" t="n"/>
      <c r="G81" s="56" t="n"/>
      <c r="H81" s="55" t="n"/>
      <c r="I81" s="62" t="n"/>
      <c r="J81" s="58" t="n"/>
      <c r="K81" s="63">
        <f>IF(tblMovement[[#This Row],[Source]]="","",IFERROR(INDEX(tblSources[Type],MATCH(tblMovement[[#This Row],[Source]],tblSources[Source],0)),"?"))</f>
        <v/>
      </c>
      <c r="L81" s="63">
        <f>IF(tblMovement[[#This Row],[Destination]]="","",IFERROR(INDEX(tblDestinations[Type],MATCH(tblMovement[[#This Row],[Destination]],tblDestinations[Destination],0)),"?"))</f>
        <v/>
      </c>
      <c r="M81" s="64">
        <f>IF(tblMovement[[#This Row],[Material]]="","",IF(LEFT(tblMovement[[#This Row],[Material]],3)="Ore",1,0))</f>
        <v/>
      </c>
      <c r="N81" s="59">
        <f>IF(OR(tblMovement[[#This Row],[Tonnes_t]]="",tblMovement[[#This Row],[Grade_gpt]]=""),0,tblMovement[[#This Row],[Tonnes_t]]*tblMovement[[#This Row],[Grade_gpt]]/cfg_TroyOz)</f>
        <v/>
      </c>
      <c r="O81" s="59">
        <f>IF(tblMovement[[#This Row],[Is_Ore]]=1,tblMovement[[#This Row],[Contained_oz]],0)</f>
        <v/>
      </c>
    </row>
    <row r="82">
      <c r="A82" s="54" t="n"/>
      <c r="B82" s="61" t="n"/>
      <c r="C82" s="61" t="n"/>
      <c r="D82" s="61" t="n"/>
      <c r="E82" s="61" t="n"/>
      <c r="F82" s="55" t="n"/>
      <c r="G82" s="56" t="n"/>
      <c r="H82" s="55" t="n"/>
      <c r="I82" s="62" t="n"/>
      <c r="J82" s="58" t="n"/>
      <c r="K82" s="63">
        <f>IF(tblMovement[[#This Row],[Source]]="","",IFERROR(INDEX(tblSources[Type],MATCH(tblMovement[[#This Row],[Source]],tblSources[Source],0)),"?"))</f>
        <v/>
      </c>
      <c r="L82" s="63">
        <f>IF(tblMovement[[#This Row],[Destination]]="","",IFERROR(INDEX(tblDestinations[Type],MATCH(tblMovement[[#This Row],[Destination]],tblDestinations[Destination],0)),"?"))</f>
        <v/>
      </c>
      <c r="M82" s="64">
        <f>IF(tblMovement[[#This Row],[Material]]="","",IF(LEFT(tblMovement[[#This Row],[Material]],3)="Ore",1,0))</f>
        <v/>
      </c>
      <c r="N82" s="59">
        <f>IF(OR(tblMovement[[#This Row],[Tonnes_t]]="",tblMovement[[#This Row],[Grade_gpt]]=""),0,tblMovement[[#This Row],[Tonnes_t]]*tblMovement[[#This Row],[Grade_gpt]]/cfg_TroyOz)</f>
        <v/>
      </c>
      <c r="O82" s="59">
        <f>IF(tblMovement[[#This Row],[Is_Ore]]=1,tblMovement[[#This Row],[Contained_oz]],0)</f>
        <v/>
      </c>
    </row>
    <row r="83">
      <c r="A83" s="54" t="n"/>
      <c r="B83" s="61" t="n"/>
      <c r="C83" s="61" t="n"/>
      <c r="D83" s="61" t="n"/>
      <c r="E83" s="61" t="n"/>
      <c r="F83" s="55" t="n"/>
      <c r="G83" s="56" t="n"/>
      <c r="H83" s="55" t="n"/>
      <c r="I83" s="62" t="n"/>
      <c r="J83" s="58" t="n"/>
      <c r="K83" s="63">
        <f>IF(tblMovement[[#This Row],[Source]]="","",IFERROR(INDEX(tblSources[Type],MATCH(tblMovement[[#This Row],[Source]],tblSources[Source],0)),"?"))</f>
        <v/>
      </c>
      <c r="L83" s="63">
        <f>IF(tblMovement[[#This Row],[Destination]]="","",IFERROR(INDEX(tblDestinations[Type],MATCH(tblMovement[[#This Row],[Destination]],tblDestinations[Destination],0)),"?"))</f>
        <v/>
      </c>
      <c r="M83" s="64">
        <f>IF(tblMovement[[#This Row],[Material]]="","",IF(LEFT(tblMovement[[#This Row],[Material]],3)="Ore",1,0))</f>
        <v/>
      </c>
      <c r="N83" s="59">
        <f>IF(OR(tblMovement[[#This Row],[Tonnes_t]]="",tblMovement[[#This Row],[Grade_gpt]]=""),0,tblMovement[[#This Row],[Tonnes_t]]*tblMovement[[#This Row],[Grade_gpt]]/cfg_TroyOz)</f>
        <v/>
      </c>
      <c r="O83" s="59">
        <f>IF(tblMovement[[#This Row],[Is_Ore]]=1,tblMovement[[#This Row],[Contained_oz]],0)</f>
        <v/>
      </c>
    </row>
    <row r="84">
      <c r="A84" s="54" t="n"/>
      <c r="B84" s="61" t="n"/>
      <c r="C84" s="61" t="n"/>
      <c r="D84" s="61" t="n"/>
      <c r="E84" s="61" t="n"/>
      <c r="F84" s="55" t="n"/>
      <c r="G84" s="56" t="n"/>
      <c r="H84" s="55" t="n"/>
      <c r="I84" s="62" t="n"/>
      <c r="J84" s="58" t="n"/>
      <c r="K84" s="63">
        <f>IF(tblMovement[[#This Row],[Source]]="","",IFERROR(INDEX(tblSources[Type],MATCH(tblMovement[[#This Row],[Source]],tblSources[Source],0)),"?"))</f>
        <v/>
      </c>
      <c r="L84" s="63">
        <f>IF(tblMovement[[#This Row],[Destination]]="","",IFERROR(INDEX(tblDestinations[Type],MATCH(tblMovement[[#This Row],[Destination]],tblDestinations[Destination],0)),"?"))</f>
        <v/>
      </c>
      <c r="M84" s="64">
        <f>IF(tblMovement[[#This Row],[Material]]="","",IF(LEFT(tblMovement[[#This Row],[Material]],3)="Ore",1,0))</f>
        <v/>
      </c>
      <c r="N84" s="59">
        <f>IF(OR(tblMovement[[#This Row],[Tonnes_t]]="",tblMovement[[#This Row],[Grade_gpt]]=""),0,tblMovement[[#This Row],[Tonnes_t]]*tblMovement[[#This Row],[Grade_gpt]]/cfg_TroyOz)</f>
        <v/>
      </c>
      <c r="O84" s="59">
        <f>IF(tblMovement[[#This Row],[Is_Ore]]=1,tblMovement[[#This Row],[Contained_oz]],0)</f>
        <v/>
      </c>
    </row>
    <row r="85">
      <c r="A85" s="54" t="n"/>
      <c r="B85" s="61" t="n"/>
      <c r="C85" s="61" t="n"/>
      <c r="D85" s="61" t="n"/>
      <c r="E85" s="61" t="n"/>
      <c r="F85" s="55" t="n"/>
      <c r="G85" s="56" t="n"/>
      <c r="H85" s="55" t="n"/>
      <c r="I85" s="62" t="n"/>
      <c r="J85" s="58" t="n"/>
      <c r="K85" s="63">
        <f>IF(tblMovement[[#This Row],[Source]]="","",IFERROR(INDEX(tblSources[Type],MATCH(tblMovement[[#This Row],[Source]],tblSources[Source],0)),"?"))</f>
        <v/>
      </c>
      <c r="L85" s="63">
        <f>IF(tblMovement[[#This Row],[Destination]]="","",IFERROR(INDEX(tblDestinations[Type],MATCH(tblMovement[[#This Row],[Destination]],tblDestinations[Destination],0)),"?"))</f>
        <v/>
      </c>
      <c r="M85" s="64">
        <f>IF(tblMovement[[#This Row],[Material]]="","",IF(LEFT(tblMovement[[#This Row],[Material]],3)="Ore",1,0))</f>
        <v/>
      </c>
      <c r="N85" s="59">
        <f>IF(OR(tblMovement[[#This Row],[Tonnes_t]]="",tblMovement[[#This Row],[Grade_gpt]]=""),0,tblMovement[[#This Row],[Tonnes_t]]*tblMovement[[#This Row],[Grade_gpt]]/cfg_TroyOz)</f>
        <v/>
      </c>
      <c r="O85" s="59">
        <f>IF(tblMovement[[#This Row],[Is_Ore]]=1,tblMovement[[#This Row],[Contained_oz]],0)</f>
        <v/>
      </c>
    </row>
    <row r="86">
      <c r="A86" s="54" t="n"/>
      <c r="B86" s="61" t="n"/>
      <c r="C86" s="61" t="n"/>
      <c r="D86" s="61" t="n"/>
      <c r="E86" s="61" t="n"/>
      <c r="F86" s="55" t="n"/>
      <c r="G86" s="56" t="n"/>
      <c r="H86" s="55" t="n"/>
      <c r="I86" s="62" t="n"/>
      <c r="J86" s="58" t="n"/>
      <c r="K86" s="63">
        <f>IF(tblMovement[[#This Row],[Source]]="","",IFERROR(INDEX(tblSources[Type],MATCH(tblMovement[[#This Row],[Source]],tblSources[Source],0)),"?"))</f>
        <v/>
      </c>
      <c r="L86" s="63">
        <f>IF(tblMovement[[#This Row],[Destination]]="","",IFERROR(INDEX(tblDestinations[Type],MATCH(tblMovement[[#This Row],[Destination]],tblDestinations[Destination],0)),"?"))</f>
        <v/>
      </c>
      <c r="M86" s="64">
        <f>IF(tblMovement[[#This Row],[Material]]="","",IF(LEFT(tblMovement[[#This Row],[Material]],3)="Ore",1,0))</f>
        <v/>
      </c>
      <c r="N86" s="59">
        <f>IF(OR(tblMovement[[#This Row],[Tonnes_t]]="",tblMovement[[#This Row],[Grade_gpt]]=""),0,tblMovement[[#This Row],[Tonnes_t]]*tblMovement[[#This Row],[Grade_gpt]]/cfg_TroyOz)</f>
        <v/>
      </c>
      <c r="O86" s="59">
        <f>IF(tblMovement[[#This Row],[Is_Ore]]=1,tblMovement[[#This Row],[Contained_oz]],0)</f>
        <v/>
      </c>
    </row>
    <row r="87">
      <c r="A87" s="54" t="n"/>
      <c r="B87" s="61" t="n"/>
      <c r="C87" s="61" t="n"/>
      <c r="D87" s="61" t="n"/>
      <c r="E87" s="61" t="n"/>
      <c r="F87" s="55" t="n"/>
      <c r="G87" s="56" t="n"/>
      <c r="H87" s="55" t="n"/>
      <c r="I87" s="62" t="n"/>
      <c r="J87" s="58" t="n"/>
      <c r="K87" s="63">
        <f>IF(tblMovement[[#This Row],[Source]]="","",IFERROR(INDEX(tblSources[Type],MATCH(tblMovement[[#This Row],[Source]],tblSources[Source],0)),"?"))</f>
        <v/>
      </c>
      <c r="L87" s="63">
        <f>IF(tblMovement[[#This Row],[Destination]]="","",IFERROR(INDEX(tblDestinations[Type],MATCH(tblMovement[[#This Row],[Destination]],tblDestinations[Destination],0)),"?"))</f>
        <v/>
      </c>
      <c r="M87" s="64">
        <f>IF(tblMovement[[#This Row],[Material]]="","",IF(LEFT(tblMovement[[#This Row],[Material]],3)="Ore",1,0))</f>
        <v/>
      </c>
      <c r="N87" s="59">
        <f>IF(OR(tblMovement[[#This Row],[Tonnes_t]]="",tblMovement[[#This Row],[Grade_gpt]]=""),0,tblMovement[[#This Row],[Tonnes_t]]*tblMovement[[#This Row],[Grade_gpt]]/cfg_TroyOz)</f>
        <v/>
      </c>
      <c r="O87" s="59">
        <f>IF(tblMovement[[#This Row],[Is_Ore]]=1,tblMovement[[#This Row],[Contained_oz]],0)</f>
        <v/>
      </c>
    </row>
    <row r="88">
      <c r="A88" s="54" t="n"/>
      <c r="B88" s="61" t="n"/>
      <c r="C88" s="61" t="n"/>
      <c r="D88" s="61" t="n"/>
      <c r="E88" s="61" t="n"/>
      <c r="F88" s="55" t="n"/>
      <c r="G88" s="56" t="n"/>
      <c r="H88" s="55" t="n"/>
      <c r="I88" s="62" t="n"/>
      <c r="J88" s="58" t="n"/>
      <c r="K88" s="63">
        <f>IF(tblMovement[[#This Row],[Source]]="","",IFERROR(INDEX(tblSources[Type],MATCH(tblMovement[[#This Row],[Source]],tblSources[Source],0)),"?"))</f>
        <v/>
      </c>
      <c r="L88" s="63">
        <f>IF(tblMovement[[#This Row],[Destination]]="","",IFERROR(INDEX(tblDestinations[Type],MATCH(tblMovement[[#This Row],[Destination]],tblDestinations[Destination],0)),"?"))</f>
        <v/>
      </c>
      <c r="M88" s="64">
        <f>IF(tblMovement[[#This Row],[Material]]="","",IF(LEFT(tblMovement[[#This Row],[Material]],3)="Ore",1,0))</f>
        <v/>
      </c>
      <c r="N88" s="59">
        <f>IF(OR(tblMovement[[#This Row],[Tonnes_t]]="",tblMovement[[#This Row],[Grade_gpt]]=""),0,tblMovement[[#This Row],[Tonnes_t]]*tblMovement[[#This Row],[Grade_gpt]]/cfg_TroyOz)</f>
        <v/>
      </c>
      <c r="O88" s="59">
        <f>IF(tblMovement[[#This Row],[Is_Ore]]=1,tblMovement[[#This Row],[Contained_oz]],0)</f>
        <v/>
      </c>
    </row>
    <row r="89">
      <c r="A89" s="54" t="n"/>
      <c r="B89" s="61" t="n"/>
      <c r="C89" s="61" t="n"/>
      <c r="D89" s="61" t="n"/>
      <c r="E89" s="61" t="n"/>
      <c r="F89" s="55" t="n"/>
      <c r="G89" s="56" t="n"/>
      <c r="H89" s="55" t="n"/>
      <c r="I89" s="62" t="n"/>
      <c r="J89" s="58" t="n"/>
      <c r="K89" s="63">
        <f>IF(tblMovement[[#This Row],[Source]]="","",IFERROR(INDEX(tblSources[Type],MATCH(tblMovement[[#This Row],[Source]],tblSources[Source],0)),"?"))</f>
        <v/>
      </c>
      <c r="L89" s="63">
        <f>IF(tblMovement[[#This Row],[Destination]]="","",IFERROR(INDEX(tblDestinations[Type],MATCH(tblMovement[[#This Row],[Destination]],tblDestinations[Destination],0)),"?"))</f>
        <v/>
      </c>
      <c r="M89" s="64">
        <f>IF(tblMovement[[#This Row],[Material]]="","",IF(LEFT(tblMovement[[#This Row],[Material]],3)="Ore",1,0))</f>
        <v/>
      </c>
      <c r="N89" s="59">
        <f>IF(OR(tblMovement[[#This Row],[Tonnes_t]]="",tblMovement[[#This Row],[Grade_gpt]]=""),0,tblMovement[[#This Row],[Tonnes_t]]*tblMovement[[#This Row],[Grade_gpt]]/cfg_TroyOz)</f>
        <v/>
      </c>
      <c r="O89" s="59">
        <f>IF(tblMovement[[#This Row],[Is_Ore]]=1,tblMovement[[#This Row],[Contained_oz]],0)</f>
        <v/>
      </c>
    </row>
    <row r="90">
      <c r="A90" s="54" t="n"/>
      <c r="B90" s="61" t="n"/>
      <c r="C90" s="61" t="n"/>
      <c r="D90" s="61" t="n"/>
      <c r="E90" s="61" t="n"/>
      <c r="F90" s="55" t="n"/>
      <c r="G90" s="56" t="n"/>
      <c r="H90" s="55" t="n"/>
      <c r="I90" s="62" t="n"/>
      <c r="J90" s="58" t="n"/>
      <c r="K90" s="63">
        <f>IF(tblMovement[[#This Row],[Source]]="","",IFERROR(INDEX(tblSources[Type],MATCH(tblMovement[[#This Row],[Source]],tblSources[Source],0)),"?"))</f>
        <v/>
      </c>
      <c r="L90" s="63">
        <f>IF(tblMovement[[#This Row],[Destination]]="","",IFERROR(INDEX(tblDestinations[Type],MATCH(tblMovement[[#This Row],[Destination]],tblDestinations[Destination],0)),"?"))</f>
        <v/>
      </c>
      <c r="M90" s="64">
        <f>IF(tblMovement[[#This Row],[Material]]="","",IF(LEFT(tblMovement[[#This Row],[Material]],3)="Ore",1,0))</f>
        <v/>
      </c>
      <c r="N90" s="59">
        <f>IF(OR(tblMovement[[#This Row],[Tonnes_t]]="",tblMovement[[#This Row],[Grade_gpt]]=""),0,tblMovement[[#This Row],[Tonnes_t]]*tblMovement[[#This Row],[Grade_gpt]]/cfg_TroyOz)</f>
        <v/>
      </c>
      <c r="O90" s="59">
        <f>IF(tblMovement[[#This Row],[Is_Ore]]=1,tblMovement[[#This Row],[Contained_oz]],0)</f>
        <v/>
      </c>
    </row>
    <row r="91">
      <c r="A91" s="54" t="n"/>
      <c r="B91" s="61" t="n"/>
      <c r="C91" s="61" t="n"/>
      <c r="D91" s="61" t="n"/>
      <c r="E91" s="61" t="n"/>
      <c r="F91" s="55" t="n"/>
      <c r="G91" s="56" t="n"/>
      <c r="H91" s="55" t="n"/>
      <c r="I91" s="62" t="n"/>
      <c r="J91" s="58" t="n"/>
      <c r="K91" s="63">
        <f>IF(tblMovement[[#This Row],[Source]]="","",IFERROR(INDEX(tblSources[Type],MATCH(tblMovement[[#This Row],[Source]],tblSources[Source],0)),"?"))</f>
        <v/>
      </c>
      <c r="L91" s="63">
        <f>IF(tblMovement[[#This Row],[Destination]]="","",IFERROR(INDEX(tblDestinations[Type],MATCH(tblMovement[[#This Row],[Destination]],tblDestinations[Destination],0)),"?"))</f>
        <v/>
      </c>
      <c r="M91" s="64">
        <f>IF(tblMovement[[#This Row],[Material]]="","",IF(LEFT(tblMovement[[#This Row],[Material]],3)="Ore",1,0))</f>
        <v/>
      </c>
      <c r="N91" s="59">
        <f>IF(OR(tblMovement[[#This Row],[Tonnes_t]]="",tblMovement[[#This Row],[Grade_gpt]]=""),0,tblMovement[[#This Row],[Tonnes_t]]*tblMovement[[#This Row],[Grade_gpt]]/cfg_TroyOz)</f>
        <v/>
      </c>
      <c r="O91" s="59">
        <f>IF(tblMovement[[#This Row],[Is_Ore]]=1,tblMovement[[#This Row],[Contained_oz]],0)</f>
        <v/>
      </c>
    </row>
    <row r="92">
      <c r="A92" s="54" t="n"/>
      <c r="B92" s="61" t="n"/>
      <c r="C92" s="61" t="n"/>
      <c r="D92" s="61" t="n"/>
      <c r="E92" s="61" t="n"/>
      <c r="F92" s="55" t="n"/>
      <c r="G92" s="56" t="n"/>
      <c r="H92" s="55" t="n"/>
      <c r="I92" s="62" t="n"/>
      <c r="J92" s="58" t="n"/>
      <c r="K92" s="63">
        <f>IF(tblMovement[[#This Row],[Source]]="","",IFERROR(INDEX(tblSources[Type],MATCH(tblMovement[[#This Row],[Source]],tblSources[Source],0)),"?"))</f>
        <v/>
      </c>
      <c r="L92" s="63">
        <f>IF(tblMovement[[#This Row],[Destination]]="","",IFERROR(INDEX(tblDestinations[Type],MATCH(tblMovement[[#This Row],[Destination]],tblDestinations[Destination],0)),"?"))</f>
        <v/>
      </c>
      <c r="M92" s="64">
        <f>IF(tblMovement[[#This Row],[Material]]="","",IF(LEFT(tblMovement[[#This Row],[Material]],3)="Ore",1,0))</f>
        <v/>
      </c>
      <c r="N92" s="59">
        <f>IF(OR(tblMovement[[#This Row],[Tonnes_t]]="",tblMovement[[#This Row],[Grade_gpt]]=""),0,tblMovement[[#This Row],[Tonnes_t]]*tblMovement[[#This Row],[Grade_gpt]]/cfg_TroyOz)</f>
        <v/>
      </c>
      <c r="O92" s="59">
        <f>IF(tblMovement[[#This Row],[Is_Ore]]=1,tblMovement[[#This Row],[Contained_oz]],0)</f>
        <v/>
      </c>
    </row>
    <row r="93">
      <c r="A93" s="54" t="n"/>
      <c r="B93" s="61" t="n"/>
      <c r="C93" s="61" t="n"/>
      <c r="D93" s="61" t="n"/>
      <c r="E93" s="61" t="n"/>
      <c r="F93" s="55" t="n"/>
      <c r="G93" s="56" t="n"/>
      <c r="H93" s="55" t="n"/>
      <c r="I93" s="62" t="n"/>
      <c r="J93" s="58" t="n"/>
      <c r="K93" s="63">
        <f>IF(tblMovement[[#This Row],[Source]]="","",IFERROR(INDEX(tblSources[Type],MATCH(tblMovement[[#This Row],[Source]],tblSources[Source],0)),"?"))</f>
        <v/>
      </c>
      <c r="L93" s="63">
        <f>IF(tblMovement[[#This Row],[Destination]]="","",IFERROR(INDEX(tblDestinations[Type],MATCH(tblMovement[[#This Row],[Destination]],tblDestinations[Destination],0)),"?"))</f>
        <v/>
      </c>
      <c r="M93" s="64">
        <f>IF(tblMovement[[#This Row],[Material]]="","",IF(LEFT(tblMovement[[#This Row],[Material]],3)="Ore",1,0))</f>
        <v/>
      </c>
      <c r="N93" s="59">
        <f>IF(OR(tblMovement[[#This Row],[Tonnes_t]]="",tblMovement[[#This Row],[Grade_gpt]]=""),0,tblMovement[[#This Row],[Tonnes_t]]*tblMovement[[#This Row],[Grade_gpt]]/cfg_TroyOz)</f>
        <v/>
      </c>
      <c r="O93" s="59">
        <f>IF(tblMovement[[#This Row],[Is_Ore]]=1,tblMovement[[#This Row],[Contained_oz]],0)</f>
        <v/>
      </c>
    </row>
    <row r="94">
      <c r="A94" s="54" t="n"/>
      <c r="B94" s="61" t="n"/>
      <c r="C94" s="61" t="n"/>
      <c r="D94" s="61" t="n"/>
      <c r="E94" s="61" t="n"/>
      <c r="F94" s="55" t="n"/>
      <c r="G94" s="56" t="n"/>
      <c r="H94" s="55" t="n"/>
      <c r="I94" s="62" t="n"/>
      <c r="J94" s="58" t="n"/>
      <c r="K94" s="63">
        <f>IF(tblMovement[[#This Row],[Source]]="","",IFERROR(INDEX(tblSources[Type],MATCH(tblMovement[[#This Row],[Source]],tblSources[Source],0)),"?"))</f>
        <v/>
      </c>
      <c r="L94" s="63">
        <f>IF(tblMovement[[#This Row],[Destination]]="","",IFERROR(INDEX(tblDestinations[Type],MATCH(tblMovement[[#This Row],[Destination]],tblDestinations[Destination],0)),"?"))</f>
        <v/>
      </c>
      <c r="M94" s="64">
        <f>IF(tblMovement[[#This Row],[Material]]="","",IF(LEFT(tblMovement[[#This Row],[Material]],3)="Ore",1,0))</f>
        <v/>
      </c>
      <c r="N94" s="59">
        <f>IF(OR(tblMovement[[#This Row],[Tonnes_t]]="",tblMovement[[#This Row],[Grade_gpt]]=""),0,tblMovement[[#This Row],[Tonnes_t]]*tblMovement[[#This Row],[Grade_gpt]]/cfg_TroyOz)</f>
        <v/>
      </c>
      <c r="O94" s="59">
        <f>IF(tblMovement[[#This Row],[Is_Ore]]=1,tblMovement[[#This Row],[Contained_oz]],0)</f>
        <v/>
      </c>
    </row>
    <row r="95">
      <c r="A95" s="54" t="n"/>
      <c r="B95" s="61" t="n"/>
      <c r="C95" s="61" t="n"/>
      <c r="D95" s="61" t="n"/>
      <c r="E95" s="61" t="n"/>
      <c r="F95" s="55" t="n"/>
      <c r="G95" s="56" t="n"/>
      <c r="H95" s="55" t="n"/>
      <c r="I95" s="62" t="n"/>
      <c r="J95" s="58" t="n"/>
      <c r="K95" s="63">
        <f>IF(tblMovement[[#This Row],[Source]]="","",IFERROR(INDEX(tblSources[Type],MATCH(tblMovement[[#This Row],[Source]],tblSources[Source],0)),"?"))</f>
        <v/>
      </c>
      <c r="L95" s="63">
        <f>IF(tblMovement[[#This Row],[Destination]]="","",IFERROR(INDEX(tblDestinations[Type],MATCH(tblMovement[[#This Row],[Destination]],tblDestinations[Destination],0)),"?"))</f>
        <v/>
      </c>
      <c r="M95" s="64">
        <f>IF(tblMovement[[#This Row],[Material]]="","",IF(LEFT(tblMovement[[#This Row],[Material]],3)="Ore",1,0))</f>
        <v/>
      </c>
      <c r="N95" s="59">
        <f>IF(OR(tblMovement[[#This Row],[Tonnes_t]]="",tblMovement[[#This Row],[Grade_gpt]]=""),0,tblMovement[[#This Row],[Tonnes_t]]*tblMovement[[#This Row],[Grade_gpt]]/cfg_TroyOz)</f>
        <v/>
      </c>
      <c r="O95" s="59">
        <f>IF(tblMovement[[#This Row],[Is_Ore]]=1,tblMovement[[#This Row],[Contained_oz]],0)</f>
        <v/>
      </c>
    </row>
    <row r="96">
      <c r="A96" s="54" t="n"/>
      <c r="B96" s="61" t="n"/>
      <c r="C96" s="61" t="n"/>
      <c r="D96" s="61" t="n"/>
      <c r="E96" s="61" t="n"/>
      <c r="F96" s="55" t="n"/>
      <c r="G96" s="56" t="n"/>
      <c r="H96" s="55" t="n"/>
      <c r="I96" s="62" t="n"/>
      <c r="J96" s="58" t="n"/>
      <c r="K96" s="63">
        <f>IF(tblMovement[[#This Row],[Source]]="","",IFERROR(INDEX(tblSources[Type],MATCH(tblMovement[[#This Row],[Source]],tblSources[Source],0)),"?"))</f>
        <v/>
      </c>
      <c r="L96" s="63">
        <f>IF(tblMovement[[#This Row],[Destination]]="","",IFERROR(INDEX(tblDestinations[Type],MATCH(tblMovement[[#This Row],[Destination]],tblDestinations[Destination],0)),"?"))</f>
        <v/>
      </c>
      <c r="M96" s="64">
        <f>IF(tblMovement[[#This Row],[Material]]="","",IF(LEFT(tblMovement[[#This Row],[Material]],3)="Ore",1,0))</f>
        <v/>
      </c>
      <c r="N96" s="59">
        <f>IF(OR(tblMovement[[#This Row],[Tonnes_t]]="",tblMovement[[#This Row],[Grade_gpt]]=""),0,tblMovement[[#This Row],[Tonnes_t]]*tblMovement[[#This Row],[Grade_gpt]]/cfg_TroyOz)</f>
        <v/>
      </c>
      <c r="O96" s="59">
        <f>IF(tblMovement[[#This Row],[Is_Ore]]=1,tblMovement[[#This Row],[Contained_oz]],0)</f>
        <v/>
      </c>
    </row>
    <row r="97">
      <c r="A97" s="54" t="n"/>
      <c r="B97" s="61" t="n"/>
      <c r="C97" s="61" t="n"/>
      <c r="D97" s="61" t="n"/>
      <c r="E97" s="61" t="n"/>
      <c r="F97" s="55" t="n"/>
      <c r="G97" s="56" t="n"/>
      <c r="H97" s="55" t="n"/>
      <c r="I97" s="62" t="n"/>
      <c r="J97" s="58" t="n"/>
      <c r="K97" s="63">
        <f>IF(tblMovement[[#This Row],[Source]]="","",IFERROR(INDEX(tblSources[Type],MATCH(tblMovement[[#This Row],[Source]],tblSources[Source],0)),"?"))</f>
        <v/>
      </c>
      <c r="L97" s="63">
        <f>IF(tblMovement[[#This Row],[Destination]]="","",IFERROR(INDEX(tblDestinations[Type],MATCH(tblMovement[[#This Row],[Destination]],tblDestinations[Destination],0)),"?"))</f>
        <v/>
      </c>
      <c r="M97" s="64">
        <f>IF(tblMovement[[#This Row],[Material]]="","",IF(LEFT(tblMovement[[#This Row],[Material]],3)="Ore",1,0))</f>
        <v/>
      </c>
      <c r="N97" s="59">
        <f>IF(OR(tblMovement[[#This Row],[Tonnes_t]]="",tblMovement[[#This Row],[Grade_gpt]]=""),0,tblMovement[[#This Row],[Tonnes_t]]*tblMovement[[#This Row],[Grade_gpt]]/cfg_TroyOz)</f>
        <v/>
      </c>
      <c r="O97" s="59">
        <f>IF(tblMovement[[#This Row],[Is_Ore]]=1,tblMovement[[#This Row],[Contained_oz]],0)</f>
        <v/>
      </c>
    </row>
    <row r="98">
      <c r="A98" s="54" t="n"/>
      <c r="B98" s="61" t="n"/>
      <c r="C98" s="61" t="n"/>
      <c r="D98" s="61" t="n"/>
      <c r="E98" s="61" t="n"/>
      <c r="F98" s="55" t="n"/>
      <c r="G98" s="56" t="n"/>
      <c r="H98" s="55" t="n"/>
      <c r="I98" s="62" t="n"/>
      <c r="J98" s="58" t="n"/>
      <c r="K98" s="63">
        <f>IF(tblMovement[[#This Row],[Source]]="","",IFERROR(INDEX(tblSources[Type],MATCH(tblMovement[[#This Row],[Source]],tblSources[Source],0)),"?"))</f>
        <v/>
      </c>
      <c r="L98" s="63">
        <f>IF(tblMovement[[#This Row],[Destination]]="","",IFERROR(INDEX(tblDestinations[Type],MATCH(tblMovement[[#This Row],[Destination]],tblDestinations[Destination],0)),"?"))</f>
        <v/>
      </c>
      <c r="M98" s="64">
        <f>IF(tblMovement[[#This Row],[Material]]="","",IF(LEFT(tblMovement[[#This Row],[Material]],3)="Ore",1,0))</f>
        <v/>
      </c>
      <c r="N98" s="59">
        <f>IF(OR(tblMovement[[#This Row],[Tonnes_t]]="",tblMovement[[#This Row],[Grade_gpt]]=""),0,tblMovement[[#This Row],[Tonnes_t]]*tblMovement[[#This Row],[Grade_gpt]]/cfg_TroyOz)</f>
        <v/>
      </c>
      <c r="O98" s="59">
        <f>IF(tblMovement[[#This Row],[Is_Ore]]=1,tblMovement[[#This Row],[Contained_oz]],0)</f>
        <v/>
      </c>
    </row>
    <row r="99">
      <c r="A99" s="54" t="n"/>
      <c r="B99" s="61" t="n"/>
      <c r="C99" s="61" t="n"/>
      <c r="D99" s="61" t="n"/>
      <c r="E99" s="61" t="n"/>
      <c r="F99" s="55" t="n"/>
      <c r="G99" s="56" t="n"/>
      <c r="H99" s="55" t="n"/>
      <c r="I99" s="62" t="n"/>
      <c r="J99" s="58" t="n"/>
      <c r="K99" s="63">
        <f>IF(tblMovement[[#This Row],[Source]]="","",IFERROR(INDEX(tblSources[Type],MATCH(tblMovement[[#This Row],[Source]],tblSources[Source],0)),"?"))</f>
        <v/>
      </c>
      <c r="L99" s="63">
        <f>IF(tblMovement[[#This Row],[Destination]]="","",IFERROR(INDEX(tblDestinations[Type],MATCH(tblMovement[[#This Row],[Destination]],tblDestinations[Destination],0)),"?"))</f>
        <v/>
      </c>
      <c r="M99" s="64">
        <f>IF(tblMovement[[#This Row],[Material]]="","",IF(LEFT(tblMovement[[#This Row],[Material]],3)="Ore",1,0))</f>
        <v/>
      </c>
      <c r="N99" s="59">
        <f>IF(OR(tblMovement[[#This Row],[Tonnes_t]]="",tblMovement[[#This Row],[Grade_gpt]]=""),0,tblMovement[[#This Row],[Tonnes_t]]*tblMovement[[#This Row],[Grade_gpt]]/cfg_TroyOz)</f>
        <v/>
      </c>
      <c r="O99" s="59">
        <f>IF(tblMovement[[#This Row],[Is_Ore]]=1,tblMovement[[#This Row],[Contained_oz]],0)</f>
        <v/>
      </c>
    </row>
    <row r="100">
      <c r="A100" s="54" t="n"/>
      <c r="B100" s="61" t="n"/>
      <c r="C100" s="61" t="n"/>
      <c r="D100" s="61" t="n"/>
      <c r="E100" s="61" t="n"/>
      <c r="F100" s="55" t="n"/>
      <c r="G100" s="56" t="n"/>
      <c r="H100" s="55" t="n"/>
      <c r="I100" s="62" t="n"/>
      <c r="J100" s="58" t="n"/>
      <c r="K100" s="63">
        <f>IF(tblMovement[[#This Row],[Source]]="","",IFERROR(INDEX(tblSources[Type],MATCH(tblMovement[[#This Row],[Source]],tblSources[Source],0)),"?"))</f>
        <v/>
      </c>
      <c r="L100" s="63">
        <f>IF(tblMovement[[#This Row],[Destination]]="","",IFERROR(INDEX(tblDestinations[Type],MATCH(tblMovement[[#This Row],[Destination]],tblDestinations[Destination],0)),"?"))</f>
        <v/>
      </c>
      <c r="M100" s="64">
        <f>IF(tblMovement[[#This Row],[Material]]="","",IF(LEFT(tblMovement[[#This Row],[Material]],3)="Ore",1,0))</f>
        <v/>
      </c>
      <c r="N100" s="59">
        <f>IF(OR(tblMovement[[#This Row],[Tonnes_t]]="",tblMovement[[#This Row],[Grade_gpt]]=""),0,tblMovement[[#This Row],[Tonnes_t]]*tblMovement[[#This Row],[Grade_gpt]]/cfg_TroyOz)</f>
        <v/>
      </c>
      <c r="O100" s="59">
        <f>IF(tblMovement[[#This Row],[Is_Ore]]=1,tblMovement[[#This Row],[Contained_oz]],0)</f>
        <v/>
      </c>
    </row>
    <row r="101">
      <c r="A101" s="54" t="n"/>
      <c r="B101" s="61" t="n"/>
      <c r="C101" s="61" t="n"/>
      <c r="D101" s="61" t="n"/>
      <c r="E101" s="61" t="n"/>
      <c r="F101" s="55" t="n"/>
      <c r="G101" s="56" t="n"/>
      <c r="H101" s="55" t="n"/>
      <c r="I101" s="62" t="n"/>
      <c r="J101" s="58" t="n"/>
      <c r="K101" s="63">
        <f>IF(tblMovement[[#This Row],[Source]]="","",IFERROR(INDEX(tblSources[Type],MATCH(tblMovement[[#This Row],[Source]],tblSources[Source],0)),"?"))</f>
        <v/>
      </c>
      <c r="L101" s="63">
        <f>IF(tblMovement[[#This Row],[Destination]]="","",IFERROR(INDEX(tblDestinations[Type],MATCH(tblMovement[[#This Row],[Destination]],tblDestinations[Destination],0)),"?"))</f>
        <v/>
      </c>
      <c r="M101" s="64">
        <f>IF(tblMovement[[#This Row],[Material]]="","",IF(LEFT(tblMovement[[#This Row],[Material]],3)="Ore",1,0))</f>
        <v/>
      </c>
      <c r="N101" s="59">
        <f>IF(OR(tblMovement[[#This Row],[Tonnes_t]]="",tblMovement[[#This Row],[Grade_gpt]]=""),0,tblMovement[[#This Row],[Tonnes_t]]*tblMovement[[#This Row],[Grade_gpt]]/cfg_TroyOz)</f>
        <v/>
      </c>
      <c r="O101" s="59">
        <f>IF(tblMovement[[#This Row],[Is_Ore]]=1,tblMovement[[#This Row],[Contained_oz]],0)</f>
        <v/>
      </c>
    </row>
    <row r="102">
      <c r="A102" s="54" t="n"/>
      <c r="B102" s="61" t="n"/>
      <c r="C102" s="61" t="n"/>
      <c r="D102" s="61" t="n"/>
      <c r="E102" s="61" t="n"/>
      <c r="F102" s="55" t="n"/>
      <c r="G102" s="56" t="n"/>
      <c r="H102" s="55" t="n"/>
      <c r="I102" s="62" t="n"/>
      <c r="J102" s="58" t="n"/>
      <c r="K102" s="63">
        <f>IF(tblMovement[[#This Row],[Source]]="","",IFERROR(INDEX(tblSources[Type],MATCH(tblMovement[[#This Row],[Source]],tblSources[Source],0)),"?"))</f>
        <v/>
      </c>
      <c r="L102" s="63">
        <f>IF(tblMovement[[#This Row],[Destination]]="","",IFERROR(INDEX(tblDestinations[Type],MATCH(tblMovement[[#This Row],[Destination]],tblDestinations[Destination],0)),"?"))</f>
        <v/>
      </c>
      <c r="M102" s="64">
        <f>IF(tblMovement[[#This Row],[Material]]="","",IF(LEFT(tblMovement[[#This Row],[Material]],3)="Ore",1,0))</f>
        <v/>
      </c>
      <c r="N102" s="59">
        <f>IF(OR(tblMovement[[#This Row],[Tonnes_t]]="",tblMovement[[#This Row],[Grade_gpt]]=""),0,tblMovement[[#This Row],[Tonnes_t]]*tblMovement[[#This Row],[Grade_gpt]]/cfg_TroyOz)</f>
        <v/>
      </c>
      <c r="O102" s="59">
        <f>IF(tblMovement[[#This Row],[Is_Ore]]=1,tblMovement[[#This Row],[Contained_oz]],0)</f>
        <v/>
      </c>
    </row>
    <row r="103">
      <c r="A103" s="54" t="n"/>
      <c r="B103" s="61" t="n"/>
      <c r="C103" s="61" t="n"/>
      <c r="D103" s="61" t="n"/>
      <c r="E103" s="61" t="n"/>
      <c r="F103" s="55" t="n"/>
      <c r="G103" s="56" t="n"/>
      <c r="H103" s="55" t="n"/>
      <c r="I103" s="62" t="n"/>
      <c r="J103" s="58" t="n"/>
      <c r="K103" s="63">
        <f>IF(tblMovement[[#This Row],[Source]]="","",IFERROR(INDEX(tblSources[Type],MATCH(tblMovement[[#This Row],[Source]],tblSources[Source],0)),"?"))</f>
        <v/>
      </c>
      <c r="L103" s="63">
        <f>IF(tblMovement[[#This Row],[Destination]]="","",IFERROR(INDEX(tblDestinations[Type],MATCH(tblMovement[[#This Row],[Destination]],tblDestinations[Destination],0)),"?"))</f>
        <v/>
      </c>
      <c r="M103" s="64">
        <f>IF(tblMovement[[#This Row],[Material]]="","",IF(LEFT(tblMovement[[#This Row],[Material]],3)="Ore",1,0))</f>
        <v/>
      </c>
      <c r="N103" s="59">
        <f>IF(OR(tblMovement[[#This Row],[Tonnes_t]]="",tblMovement[[#This Row],[Grade_gpt]]=""),0,tblMovement[[#This Row],[Tonnes_t]]*tblMovement[[#This Row],[Grade_gpt]]/cfg_TroyOz)</f>
        <v/>
      </c>
      <c r="O103" s="59">
        <f>IF(tblMovement[[#This Row],[Is_Ore]]=1,tblMovement[[#This Row],[Contained_oz]],0)</f>
        <v/>
      </c>
    </row>
    <row r="104">
      <c r="A104" s="54" t="n"/>
      <c r="B104" s="61" t="n"/>
      <c r="C104" s="61" t="n"/>
      <c r="D104" s="61" t="n"/>
      <c r="E104" s="61" t="n"/>
      <c r="F104" s="55" t="n"/>
      <c r="G104" s="56" t="n"/>
      <c r="H104" s="55" t="n"/>
      <c r="I104" s="62" t="n"/>
      <c r="J104" s="58" t="n"/>
      <c r="K104" s="63">
        <f>IF(tblMovement[[#This Row],[Source]]="","",IFERROR(INDEX(tblSources[Type],MATCH(tblMovement[[#This Row],[Source]],tblSources[Source],0)),"?"))</f>
        <v/>
      </c>
      <c r="L104" s="63">
        <f>IF(tblMovement[[#This Row],[Destination]]="","",IFERROR(INDEX(tblDestinations[Type],MATCH(tblMovement[[#This Row],[Destination]],tblDestinations[Destination],0)),"?"))</f>
        <v/>
      </c>
      <c r="M104" s="64">
        <f>IF(tblMovement[[#This Row],[Material]]="","",IF(LEFT(tblMovement[[#This Row],[Material]],3)="Ore",1,0))</f>
        <v/>
      </c>
      <c r="N104" s="59">
        <f>IF(OR(tblMovement[[#This Row],[Tonnes_t]]="",tblMovement[[#This Row],[Grade_gpt]]=""),0,tblMovement[[#This Row],[Tonnes_t]]*tblMovement[[#This Row],[Grade_gpt]]/cfg_TroyOz)</f>
        <v/>
      </c>
      <c r="O104" s="59">
        <f>IF(tblMovement[[#This Row],[Is_Ore]]=1,tblMovement[[#This Row],[Contained_oz]],0)</f>
        <v/>
      </c>
    </row>
    <row r="105">
      <c r="A105" s="54" t="n"/>
      <c r="B105" s="61" t="n"/>
      <c r="C105" s="61" t="n"/>
      <c r="D105" s="61" t="n"/>
      <c r="E105" s="61" t="n"/>
      <c r="F105" s="55" t="n"/>
      <c r="G105" s="56" t="n"/>
      <c r="H105" s="55" t="n"/>
      <c r="I105" s="62" t="n"/>
      <c r="J105" s="58" t="n"/>
      <c r="K105" s="63">
        <f>IF(tblMovement[[#This Row],[Source]]="","",IFERROR(INDEX(tblSources[Type],MATCH(tblMovement[[#This Row],[Source]],tblSources[Source],0)),"?"))</f>
        <v/>
      </c>
      <c r="L105" s="63">
        <f>IF(tblMovement[[#This Row],[Destination]]="","",IFERROR(INDEX(tblDestinations[Type],MATCH(tblMovement[[#This Row],[Destination]],tblDestinations[Destination],0)),"?"))</f>
        <v/>
      </c>
      <c r="M105" s="64">
        <f>IF(tblMovement[[#This Row],[Material]]="","",IF(LEFT(tblMovement[[#This Row],[Material]],3)="Ore",1,0))</f>
        <v/>
      </c>
      <c r="N105" s="59">
        <f>IF(OR(tblMovement[[#This Row],[Tonnes_t]]="",tblMovement[[#This Row],[Grade_gpt]]=""),0,tblMovement[[#This Row],[Tonnes_t]]*tblMovement[[#This Row],[Grade_gpt]]/cfg_TroyOz)</f>
        <v/>
      </c>
      <c r="O105" s="59">
        <f>IF(tblMovement[[#This Row],[Is_Ore]]=1,tblMovement[[#This Row],[Contained_oz]],0)</f>
        <v/>
      </c>
    </row>
    <row r="106">
      <c r="A106" s="54" t="n"/>
      <c r="B106" s="61" t="n"/>
      <c r="C106" s="61" t="n"/>
      <c r="D106" s="61" t="n"/>
      <c r="E106" s="61" t="n"/>
      <c r="F106" s="55" t="n"/>
      <c r="G106" s="56" t="n"/>
      <c r="H106" s="55" t="n"/>
      <c r="I106" s="62" t="n"/>
      <c r="J106" s="58" t="n"/>
      <c r="K106" s="63">
        <f>IF(tblMovement[[#This Row],[Source]]="","",IFERROR(INDEX(tblSources[Type],MATCH(tblMovement[[#This Row],[Source]],tblSources[Source],0)),"?"))</f>
        <v/>
      </c>
      <c r="L106" s="63">
        <f>IF(tblMovement[[#This Row],[Destination]]="","",IFERROR(INDEX(tblDestinations[Type],MATCH(tblMovement[[#This Row],[Destination]],tblDestinations[Destination],0)),"?"))</f>
        <v/>
      </c>
      <c r="M106" s="64">
        <f>IF(tblMovement[[#This Row],[Material]]="","",IF(LEFT(tblMovement[[#This Row],[Material]],3)="Ore",1,0))</f>
        <v/>
      </c>
      <c r="N106" s="59">
        <f>IF(OR(tblMovement[[#This Row],[Tonnes_t]]="",tblMovement[[#This Row],[Grade_gpt]]=""),0,tblMovement[[#This Row],[Tonnes_t]]*tblMovement[[#This Row],[Grade_gpt]]/cfg_TroyOz)</f>
        <v/>
      </c>
      <c r="O106" s="59">
        <f>IF(tblMovement[[#This Row],[Is_Ore]]=1,tblMovement[[#This Row],[Contained_oz]],0)</f>
        <v/>
      </c>
    </row>
    <row r="107">
      <c r="A107" s="54" t="n"/>
      <c r="B107" s="61" t="n"/>
      <c r="C107" s="61" t="n"/>
      <c r="D107" s="61" t="n"/>
      <c r="E107" s="61" t="n"/>
      <c r="F107" s="55" t="n"/>
      <c r="G107" s="56" t="n"/>
      <c r="H107" s="55" t="n"/>
      <c r="I107" s="62" t="n"/>
      <c r="J107" s="58" t="n"/>
      <c r="K107" s="63">
        <f>IF(tblMovement[[#This Row],[Source]]="","",IFERROR(INDEX(tblSources[Type],MATCH(tblMovement[[#This Row],[Source]],tblSources[Source],0)),"?"))</f>
        <v/>
      </c>
      <c r="L107" s="63">
        <f>IF(tblMovement[[#This Row],[Destination]]="","",IFERROR(INDEX(tblDestinations[Type],MATCH(tblMovement[[#This Row],[Destination]],tblDestinations[Destination],0)),"?"))</f>
        <v/>
      </c>
      <c r="M107" s="64">
        <f>IF(tblMovement[[#This Row],[Material]]="","",IF(LEFT(tblMovement[[#This Row],[Material]],3)="Ore",1,0))</f>
        <v/>
      </c>
      <c r="N107" s="59">
        <f>IF(OR(tblMovement[[#This Row],[Tonnes_t]]="",tblMovement[[#This Row],[Grade_gpt]]=""),0,tblMovement[[#This Row],[Tonnes_t]]*tblMovement[[#This Row],[Grade_gpt]]/cfg_TroyOz)</f>
        <v/>
      </c>
      <c r="O107" s="59">
        <f>IF(tblMovement[[#This Row],[Is_Ore]]=1,tblMovement[[#This Row],[Contained_oz]],0)</f>
        <v/>
      </c>
    </row>
    <row r="108">
      <c r="A108" s="54" t="n"/>
      <c r="B108" s="61" t="n"/>
      <c r="C108" s="61" t="n"/>
      <c r="D108" s="61" t="n"/>
      <c r="E108" s="61" t="n"/>
      <c r="F108" s="55" t="n"/>
      <c r="G108" s="56" t="n"/>
      <c r="H108" s="55" t="n"/>
      <c r="I108" s="62" t="n"/>
      <c r="J108" s="58" t="n"/>
      <c r="K108" s="63">
        <f>IF(tblMovement[[#This Row],[Source]]="","",IFERROR(INDEX(tblSources[Type],MATCH(tblMovement[[#This Row],[Source]],tblSources[Source],0)),"?"))</f>
        <v/>
      </c>
      <c r="L108" s="63">
        <f>IF(tblMovement[[#This Row],[Destination]]="","",IFERROR(INDEX(tblDestinations[Type],MATCH(tblMovement[[#This Row],[Destination]],tblDestinations[Destination],0)),"?"))</f>
        <v/>
      </c>
      <c r="M108" s="64">
        <f>IF(tblMovement[[#This Row],[Material]]="","",IF(LEFT(tblMovement[[#This Row],[Material]],3)="Ore",1,0))</f>
        <v/>
      </c>
      <c r="N108" s="59">
        <f>IF(OR(tblMovement[[#This Row],[Tonnes_t]]="",tblMovement[[#This Row],[Grade_gpt]]=""),0,tblMovement[[#This Row],[Tonnes_t]]*tblMovement[[#This Row],[Grade_gpt]]/cfg_TroyOz)</f>
        <v/>
      </c>
      <c r="O108" s="59">
        <f>IF(tblMovement[[#This Row],[Is_Ore]]=1,tblMovement[[#This Row],[Contained_oz]],0)</f>
        <v/>
      </c>
    </row>
    <row r="109">
      <c r="A109" s="54" t="n"/>
      <c r="B109" s="61" t="n"/>
      <c r="C109" s="61" t="n"/>
      <c r="D109" s="61" t="n"/>
      <c r="E109" s="61" t="n"/>
      <c r="F109" s="55" t="n"/>
      <c r="G109" s="56" t="n"/>
      <c r="H109" s="55" t="n"/>
      <c r="I109" s="62" t="n"/>
      <c r="J109" s="58" t="n"/>
      <c r="K109" s="63">
        <f>IF(tblMovement[[#This Row],[Source]]="","",IFERROR(INDEX(tblSources[Type],MATCH(tblMovement[[#This Row],[Source]],tblSources[Source],0)),"?"))</f>
        <v/>
      </c>
      <c r="L109" s="63">
        <f>IF(tblMovement[[#This Row],[Destination]]="","",IFERROR(INDEX(tblDestinations[Type],MATCH(tblMovement[[#This Row],[Destination]],tblDestinations[Destination],0)),"?"))</f>
        <v/>
      </c>
      <c r="M109" s="64">
        <f>IF(tblMovement[[#This Row],[Material]]="","",IF(LEFT(tblMovement[[#This Row],[Material]],3)="Ore",1,0))</f>
        <v/>
      </c>
      <c r="N109" s="59">
        <f>IF(OR(tblMovement[[#This Row],[Tonnes_t]]="",tblMovement[[#This Row],[Grade_gpt]]=""),0,tblMovement[[#This Row],[Tonnes_t]]*tblMovement[[#This Row],[Grade_gpt]]/cfg_TroyOz)</f>
        <v/>
      </c>
      <c r="O109" s="59">
        <f>IF(tblMovement[[#This Row],[Is_Ore]]=1,tblMovement[[#This Row],[Contained_oz]],0)</f>
        <v/>
      </c>
    </row>
    <row r="110">
      <c r="A110" s="54" t="n"/>
      <c r="B110" s="61" t="n"/>
      <c r="C110" s="61" t="n"/>
      <c r="D110" s="61" t="n"/>
      <c r="E110" s="61" t="n"/>
      <c r="F110" s="55" t="n"/>
      <c r="G110" s="56" t="n"/>
      <c r="H110" s="55" t="n"/>
      <c r="I110" s="62" t="n"/>
      <c r="J110" s="58" t="n"/>
      <c r="K110" s="63">
        <f>IF(tblMovement[[#This Row],[Source]]="","",IFERROR(INDEX(tblSources[Type],MATCH(tblMovement[[#This Row],[Source]],tblSources[Source],0)),"?"))</f>
        <v/>
      </c>
      <c r="L110" s="63">
        <f>IF(tblMovement[[#This Row],[Destination]]="","",IFERROR(INDEX(tblDestinations[Type],MATCH(tblMovement[[#This Row],[Destination]],tblDestinations[Destination],0)),"?"))</f>
        <v/>
      </c>
      <c r="M110" s="64">
        <f>IF(tblMovement[[#This Row],[Material]]="","",IF(LEFT(tblMovement[[#This Row],[Material]],3)="Ore",1,0))</f>
        <v/>
      </c>
      <c r="N110" s="59">
        <f>IF(OR(tblMovement[[#This Row],[Tonnes_t]]="",tblMovement[[#This Row],[Grade_gpt]]=""),0,tblMovement[[#This Row],[Tonnes_t]]*tblMovement[[#This Row],[Grade_gpt]]/cfg_TroyOz)</f>
        <v/>
      </c>
      <c r="O110" s="59">
        <f>IF(tblMovement[[#This Row],[Is_Ore]]=1,tblMovement[[#This Row],[Contained_oz]],0)</f>
        <v/>
      </c>
    </row>
    <row r="111">
      <c r="A111" s="54" t="n"/>
      <c r="B111" s="61" t="n"/>
      <c r="C111" s="61" t="n"/>
      <c r="D111" s="61" t="n"/>
      <c r="E111" s="61" t="n"/>
      <c r="F111" s="55" t="n"/>
      <c r="G111" s="56" t="n"/>
      <c r="H111" s="55" t="n"/>
      <c r="I111" s="62" t="n"/>
      <c r="J111" s="58" t="n"/>
      <c r="K111" s="63">
        <f>IF(tblMovement[[#This Row],[Source]]="","",IFERROR(INDEX(tblSources[Type],MATCH(tblMovement[[#This Row],[Source]],tblSources[Source],0)),"?"))</f>
        <v/>
      </c>
      <c r="L111" s="63">
        <f>IF(tblMovement[[#This Row],[Destination]]="","",IFERROR(INDEX(tblDestinations[Type],MATCH(tblMovement[[#This Row],[Destination]],tblDestinations[Destination],0)),"?"))</f>
        <v/>
      </c>
      <c r="M111" s="64">
        <f>IF(tblMovement[[#This Row],[Material]]="","",IF(LEFT(tblMovement[[#This Row],[Material]],3)="Ore",1,0))</f>
        <v/>
      </c>
      <c r="N111" s="59">
        <f>IF(OR(tblMovement[[#This Row],[Tonnes_t]]="",tblMovement[[#This Row],[Grade_gpt]]=""),0,tblMovement[[#This Row],[Tonnes_t]]*tblMovement[[#This Row],[Grade_gpt]]/cfg_TroyOz)</f>
        <v/>
      </c>
      <c r="O111" s="59">
        <f>IF(tblMovement[[#This Row],[Is_Ore]]=1,tblMovement[[#This Row],[Contained_oz]],0)</f>
        <v/>
      </c>
    </row>
    <row r="112">
      <c r="A112" s="54" t="n"/>
      <c r="B112" s="61" t="n"/>
      <c r="C112" s="61" t="n"/>
      <c r="D112" s="61" t="n"/>
      <c r="E112" s="61" t="n"/>
      <c r="F112" s="55" t="n"/>
      <c r="G112" s="56" t="n"/>
      <c r="H112" s="55" t="n"/>
      <c r="I112" s="62" t="n"/>
      <c r="J112" s="58" t="n"/>
      <c r="K112" s="63">
        <f>IF(tblMovement[[#This Row],[Source]]="","",IFERROR(INDEX(tblSources[Type],MATCH(tblMovement[[#This Row],[Source]],tblSources[Source],0)),"?"))</f>
        <v/>
      </c>
      <c r="L112" s="63">
        <f>IF(tblMovement[[#This Row],[Destination]]="","",IFERROR(INDEX(tblDestinations[Type],MATCH(tblMovement[[#This Row],[Destination]],tblDestinations[Destination],0)),"?"))</f>
        <v/>
      </c>
      <c r="M112" s="64">
        <f>IF(tblMovement[[#This Row],[Material]]="","",IF(LEFT(tblMovement[[#This Row],[Material]],3)="Ore",1,0))</f>
        <v/>
      </c>
      <c r="N112" s="59">
        <f>IF(OR(tblMovement[[#This Row],[Tonnes_t]]="",tblMovement[[#This Row],[Grade_gpt]]=""),0,tblMovement[[#This Row],[Tonnes_t]]*tblMovement[[#This Row],[Grade_gpt]]/cfg_TroyOz)</f>
        <v/>
      </c>
      <c r="O112" s="59">
        <f>IF(tblMovement[[#This Row],[Is_Ore]]=1,tblMovement[[#This Row],[Contained_oz]],0)</f>
        <v/>
      </c>
    </row>
    <row r="113">
      <c r="A113" s="54" t="n"/>
      <c r="B113" s="61" t="n"/>
      <c r="C113" s="61" t="n"/>
      <c r="D113" s="61" t="n"/>
      <c r="E113" s="61" t="n"/>
      <c r="F113" s="55" t="n"/>
      <c r="G113" s="56" t="n"/>
      <c r="H113" s="55" t="n"/>
      <c r="I113" s="62" t="n"/>
      <c r="J113" s="58" t="n"/>
      <c r="K113" s="63">
        <f>IF(tblMovement[[#This Row],[Source]]="","",IFERROR(INDEX(tblSources[Type],MATCH(tblMovement[[#This Row],[Source]],tblSources[Source],0)),"?"))</f>
        <v/>
      </c>
      <c r="L113" s="63">
        <f>IF(tblMovement[[#This Row],[Destination]]="","",IFERROR(INDEX(tblDestinations[Type],MATCH(tblMovement[[#This Row],[Destination]],tblDestinations[Destination],0)),"?"))</f>
        <v/>
      </c>
      <c r="M113" s="64">
        <f>IF(tblMovement[[#This Row],[Material]]="","",IF(LEFT(tblMovement[[#This Row],[Material]],3)="Ore",1,0))</f>
        <v/>
      </c>
      <c r="N113" s="59">
        <f>IF(OR(tblMovement[[#This Row],[Tonnes_t]]="",tblMovement[[#This Row],[Grade_gpt]]=""),0,tblMovement[[#This Row],[Tonnes_t]]*tblMovement[[#This Row],[Grade_gpt]]/cfg_TroyOz)</f>
        <v/>
      </c>
      <c r="O113" s="59">
        <f>IF(tblMovement[[#This Row],[Is_Ore]]=1,tblMovement[[#This Row],[Contained_oz]],0)</f>
        <v/>
      </c>
    </row>
    <row r="114">
      <c r="A114" s="54" t="n"/>
      <c r="B114" s="61" t="n"/>
      <c r="C114" s="61" t="n"/>
      <c r="D114" s="61" t="n"/>
      <c r="E114" s="61" t="n"/>
      <c r="F114" s="55" t="n"/>
      <c r="G114" s="56" t="n"/>
      <c r="H114" s="55" t="n"/>
      <c r="I114" s="62" t="n"/>
      <c r="J114" s="58" t="n"/>
      <c r="K114" s="63">
        <f>IF(tblMovement[[#This Row],[Source]]="","",IFERROR(INDEX(tblSources[Type],MATCH(tblMovement[[#This Row],[Source]],tblSources[Source],0)),"?"))</f>
        <v/>
      </c>
      <c r="L114" s="63">
        <f>IF(tblMovement[[#This Row],[Destination]]="","",IFERROR(INDEX(tblDestinations[Type],MATCH(tblMovement[[#This Row],[Destination]],tblDestinations[Destination],0)),"?"))</f>
        <v/>
      </c>
      <c r="M114" s="64">
        <f>IF(tblMovement[[#This Row],[Material]]="","",IF(LEFT(tblMovement[[#This Row],[Material]],3)="Ore",1,0))</f>
        <v/>
      </c>
      <c r="N114" s="59">
        <f>IF(OR(tblMovement[[#This Row],[Tonnes_t]]="",tblMovement[[#This Row],[Grade_gpt]]=""),0,tblMovement[[#This Row],[Tonnes_t]]*tblMovement[[#This Row],[Grade_gpt]]/cfg_TroyOz)</f>
        <v/>
      </c>
      <c r="O114" s="59">
        <f>IF(tblMovement[[#This Row],[Is_Ore]]=1,tblMovement[[#This Row],[Contained_oz]],0)</f>
        <v/>
      </c>
    </row>
    <row r="115">
      <c r="A115" s="54" t="n"/>
      <c r="B115" s="61" t="n"/>
      <c r="C115" s="61" t="n"/>
      <c r="D115" s="61" t="n"/>
      <c r="E115" s="61" t="n"/>
      <c r="F115" s="55" t="n"/>
      <c r="G115" s="56" t="n"/>
      <c r="H115" s="55" t="n"/>
      <c r="I115" s="62" t="n"/>
      <c r="J115" s="58" t="n"/>
      <c r="K115" s="63">
        <f>IF(tblMovement[[#This Row],[Source]]="","",IFERROR(INDEX(tblSources[Type],MATCH(tblMovement[[#This Row],[Source]],tblSources[Source],0)),"?"))</f>
        <v/>
      </c>
      <c r="L115" s="63">
        <f>IF(tblMovement[[#This Row],[Destination]]="","",IFERROR(INDEX(tblDestinations[Type],MATCH(tblMovement[[#This Row],[Destination]],tblDestinations[Destination],0)),"?"))</f>
        <v/>
      </c>
      <c r="M115" s="64">
        <f>IF(tblMovement[[#This Row],[Material]]="","",IF(LEFT(tblMovement[[#This Row],[Material]],3)="Ore",1,0))</f>
        <v/>
      </c>
      <c r="N115" s="59">
        <f>IF(OR(tblMovement[[#This Row],[Tonnes_t]]="",tblMovement[[#This Row],[Grade_gpt]]=""),0,tblMovement[[#This Row],[Tonnes_t]]*tblMovement[[#This Row],[Grade_gpt]]/cfg_TroyOz)</f>
        <v/>
      </c>
      <c r="O115" s="59">
        <f>IF(tblMovement[[#This Row],[Is_Ore]]=1,tblMovement[[#This Row],[Contained_oz]],0)</f>
        <v/>
      </c>
    </row>
    <row r="116">
      <c r="A116" s="54" t="n"/>
      <c r="B116" s="61" t="n"/>
      <c r="C116" s="61" t="n"/>
      <c r="D116" s="61" t="n"/>
      <c r="E116" s="61" t="n"/>
      <c r="F116" s="55" t="n"/>
      <c r="G116" s="56" t="n"/>
      <c r="H116" s="55" t="n"/>
      <c r="I116" s="62" t="n"/>
      <c r="J116" s="58" t="n"/>
      <c r="K116" s="63">
        <f>IF(tblMovement[[#This Row],[Source]]="","",IFERROR(INDEX(tblSources[Type],MATCH(tblMovement[[#This Row],[Source]],tblSources[Source],0)),"?"))</f>
        <v/>
      </c>
      <c r="L116" s="63">
        <f>IF(tblMovement[[#This Row],[Destination]]="","",IFERROR(INDEX(tblDestinations[Type],MATCH(tblMovement[[#This Row],[Destination]],tblDestinations[Destination],0)),"?"))</f>
        <v/>
      </c>
      <c r="M116" s="64">
        <f>IF(tblMovement[[#This Row],[Material]]="","",IF(LEFT(tblMovement[[#This Row],[Material]],3)="Ore",1,0))</f>
        <v/>
      </c>
      <c r="N116" s="59">
        <f>IF(OR(tblMovement[[#This Row],[Tonnes_t]]="",tblMovement[[#This Row],[Grade_gpt]]=""),0,tblMovement[[#This Row],[Tonnes_t]]*tblMovement[[#This Row],[Grade_gpt]]/cfg_TroyOz)</f>
        <v/>
      </c>
      <c r="O116" s="59">
        <f>IF(tblMovement[[#This Row],[Is_Ore]]=1,tblMovement[[#This Row],[Contained_oz]],0)</f>
        <v/>
      </c>
    </row>
    <row r="117">
      <c r="A117" s="54" t="n"/>
      <c r="B117" s="61" t="n"/>
      <c r="C117" s="61" t="n"/>
      <c r="D117" s="61" t="n"/>
      <c r="E117" s="61" t="n"/>
      <c r="F117" s="55" t="n"/>
      <c r="G117" s="56" t="n"/>
      <c r="H117" s="55" t="n"/>
      <c r="I117" s="62" t="n"/>
      <c r="J117" s="58" t="n"/>
      <c r="K117" s="63">
        <f>IF(tblMovement[[#This Row],[Source]]="","",IFERROR(INDEX(tblSources[Type],MATCH(tblMovement[[#This Row],[Source]],tblSources[Source],0)),"?"))</f>
        <v/>
      </c>
      <c r="L117" s="63">
        <f>IF(tblMovement[[#This Row],[Destination]]="","",IFERROR(INDEX(tblDestinations[Type],MATCH(tblMovement[[#This Row],[Destination]],tblDestinations[Destination],0)),"?"))</f>
        <v/>
      </c>
      <c r="M117" s="64">
        <f>IF(tblMovement[[#This Row],[Material]]="","",IF(LEFT(tblMovement[[#This Row],[Material]],3)="Ore",1,0))</f>
        <v/>
      </c>
      <c r="N117" s="59">
        <f>IF(OR(tblMovement[[#This Row],[Tonnes_t]]="",tblMovement[[#This Row],[Grade_gpt]]=""),0,tblMovement[[#This Row],[Tonnes_t]]*tblMovement[[#This Row],[Grade_gpt]]/cfg_TroyOz)</f>
        <v/>
      </c>
      <c r="O117" s="59">
        <f>IF(tblMovement[[#This Row],[Is_Ore]]=1,tblMovement[[#This Row],[Contained_oz]],0)</f>
        <v/>
      </c>
    </row>
    <row r="118">
      <c r="A118" s="54" t="n"/>
      <c r="B118" s="61" t="n"/>
      <c r="C118" s="61" t="n"/>
      <c r="D118" s="61" t="n"/>
      <c r="E118" s="61" t="n"/>
      <c r="F118" s="55" t="n"/>
      <c r="G118" s="56" t="n"/>
      <c r="H118" s="55" t="n"/>
      <c r="I118" s="62" t="n"/>
      <c r="J118" s="58" t="n"/>
      <c r="K118" s="63">
        <f>IF(tblMovement[[#This Row],[Source]]="","",IFERROR(INDEX(tblSources[Type],MATCH(tblMovement[[#This Row],[Source]],tblSources[Source],0)),"?"))</f>
        <v/>
      </c>
      <c r="L118" s="63">
        <f>IF(tblMovement[[#This Row],[Destination]]="","",IFERROR(INDEX(tblDestinations[Type],MATCH(tblMovement[[#This Row],[Destination]],tblDestinations[Destination],0)),"?"))</f>
        <v/>
      </c>
      <c r="M118" s="64">
        <f>IF(tblMovement[[#This Row],[Material]]="","",IF(LEFT(tblMovement[[#This Row],[Material]],3)="Ore",1,0))</f>
        <v/>
      </c>
      <c r="N118" s="59">
        <f>IF(OR(tblMovement[[#This Row],[Tonnes_t]]="",tblMovement[[#This Row],[Grade_gpt]]=""),0,tblMovement[[#This Row],[Tonnes_t]]*tblMovement[[#This Row],[Grade_gpt]]/cfg_TroyOz)</f>
        <v/>
      </c>
      <c r="O118" s="59">
        <f>IF(tblMovement[[#This Row],[Is_Ore]]=1,tblMovement[[#This Row],[Contained_oz]],0)</f>
        <v/>
      </c>
    </row>
    <row r="119">
      <c r="A119" s="54" t="n"/>
      <c r="B119" s="61" t="n"/>
      <c r="C119" s="61" t="n"/>
      <c r="D119" s="61" t="n"/>
      <c r="E119" s="61" t="n"/>
      <c r="F119" s="55" t="n"/>
      <c r="G119" s="56" t="n"/>
      <c r="H119" s="55" t="n"/>
      <c r="I119" s="62" t="n"/>
      <c r="J119" s="58" t="n"/>
      <c r="K119" s="63">
        <f>IF(tblMovement[[#This Row],[Source]]="","",IFERROR(INDEX(tblSources[Type],MATCH(tblMovement[[#This Row],[Source]],tblSources[Source],0)),"?"))</f>
        <v/>
      </c>
      <c r="L119" s="63">
        <f>IF(tblMovement[[#This Row],[Destination]]="","",IFERROR(INDEX(tblDestinations[Type],MATCH(tblMovement[[#This Row],[Destination]],tblDestinations[Destination],0)),"?"))</f>
        <v/>
      </c>
      <c r="M119" s="64">
        <f>IF(tblMovement[[#This Row],[Material]]="","",IF(LEFT(tblMovement[[#This Row],[Material]],3)="Ore",1,0))</f>
        <v/>
      </c>
      <c r="N119" s="59">
        <f>IF(OR(tblMovement[[#This Row],[Tonnes_t]]="",tblMovement[[#This Row],[Grade_gpt]]=""),0,tblMovement[[#This Row],[Tonnes_t]]*tblMovement[[#This Row],[Grade_gpt]]/cfg_TroyOz)</f>
        <v/>
      </c>
      <c r="O119" s="59">
        <f>IF(tblMovement[[#This Row],[Is_Ore]]=1,tblMovement[[#This Row],[Contained_oz]],0)</f>
        <v/>
      </c>
    </row>
    <row r="120">
      <c r="A120" s="54" t="n"/>
      <c r="B120" s="61" t="n"/>
      <c r="C120" s="61" t="n"/>
      <c r="D120" s="61" t="n"/>
      <c r="E120" s="61" t="n"/>
      <c r="F120" s="55" t="n"/>
      <c r="G120" s="56" t="n"/>
      <c r="H120" s="55" t="n"/>
      <c r="I120" s="62" t="n"/>
      <c r="J120" s="58" t="n"/>
      <c r="K120" s="63">
        <f>IF(tblMovement[[#This Row],[Source]]="","",IFERROR(INDEX(tblSources[Type],MATCH(tblMovement[[#This Row],[Source]],tblSources[Source],0)),"?"))</f>
        <v/>
      </c>
      <c r="L120" s="63">
        <f>IF(tblMovement[[#This Row],[Destination]]="","",IFERROR(INDEX(tblDestinations[Type],MATCH(tblMovement[[#This Row],[Destination]],tblDestinations[Destination],0)),"?"))</f>
        <v/>
      </c>
      <c r="M120" s="64">
        <f>IF(tblMovement[[#This Row],[Material]]="","",IF(LEFT(tblMovement[[#This Row],[Material]],3)="Ore",1,0))</f>
        <v/>
      </c>
      <c r="N120" s="59">
        <f>IF(OR(tblMovement[[#This Row],[Tonnes_t]]="",tblMovement[[#This Row],[Grade_gpt]]=""),0,tblMovement[[#This Row],[Tonnes_t]]*tblMovement[[#This Row],[Grade_gpt]]/cfg_TroyOz)</f>
        <v/>
      </c>
      <c r="O120" s="59">
        <f>IF(tblMovement[[#This Row],[Is_Ore]]=1,tblMovement[[#This Row],[Contained_oz]],0)</f>
        <v/>
      </c>
    </row>
    <row r="121">
      <c r="A121" s="54" t="n"/>
      <c r="B121" s="61" t="n"/>
      <c r="C121" s="61" t="n"/>
      <c r="D121" s="61" t="n"/>
      <c r="E121" s="61" t="n"/>
      <c r="F121" s="55" t="n"/>
      <c r="G121" s="56" t="n"/>
      <c r="H121" s="55" t="n"/>
      <c r="I121" s="62" t="n"/>
      <c r="J121" s="58" t="n"/>
      <c r="K121" s="63">
        <f>IF(tblMovement[[#This Row],[Source]]="","",IFERROR(INDEX(tblSources[Type],MATCH(tblMovement[[#This Row],[Source]],tblSources[Source],0)),"?"))</f>
        <v/>
      </c>
      <c r="L121" s="63">
        <f>IF(tblMovement[[#This Row],[Destination]]="","",IFERROR(INDEX(tblDestinations[Type],MATCH(tblMovement[[#This Row],[Destination]],tblDestinations[Destination],0)),"?"))</f>
        <v/>
      </c>
      <c r="M121" s="64">
        <f>IF(tblMovement[[#This Row],[Material]]="","",IF(LEFT(tblMovement[[#This Row],[Material]],3)="Ore",1,0))</f>
        <v/>
      </c>
      <c r="N121" s="59">
        <f>IF(OR(tblMovement[[#This Row],[Tonnes_t]]="",tblMovement[[#This Row],[Grade_gpt]]=""),0,tblMovement[[#This Row],[Tonnes_t]]*tblMovement[[#This Row],[Grade_gpt]]/cfg_TroyOz)</f>
        <v/>
      </c>
      <c r="O121" s="59">
        <f>IF(tblMovement[[#This Row],[Is_Ore]]=1,tblMovement[[#This Row],[Contained_oz]],0)</f>
        <v/>
      </c>
    </row>
    <row r="122">
      <c r="A122" s="54" t="n"/>
      <c r="B122" s="61" t="n"/>
      <c r="C122" s="61" t="n"/>
      <c r="D122" s="61" t="n"/>
      <c r="E122" s="61" t="n"/>
      <c r="F122" s="55" t="n"/>
      <c r="G122" s="56" t="n"/>
      <c r="H122" s="55" t="n"/>
      <c r="I122" s="62" t="n"/>
      <c r="J122" s="58" t="n"/>
      <c r="K122" s="63">
        <f>IF(tblMovement[[#This Row],[Source]]="","",IFERROR(INDEX(tblSources[Type],MATCH(tblMovement[[#This Row],[Source]],tblSources[Source],0)),"?"))</f>
        <v/>
      </c>
      <c r="L122" s="63">
        <f>IF(tblMovement[[#This Row],[Destination]]="","",IFERROR(INDEX(tblDestinations[Type],MATCH(tblMovement[[#This Row],[Destination]],tblDestinations[Destination],0)),"?"))</f>
        <v/>
      </c>
      <c r="M122" s="64">
        <f>IF(tblMovement[[#This Row],[Material]]="","",IF(LEFT(tblMovement[[#This Row],[Material]],3)="Ore",1,0))</f>
        <v/>
      </c>
      <c r="N122" s="59">
        <f>IF(OR(tblMovement[[#This Row],[Tonnes_t]]="",tblMovement[[#This Row],[Grade_gpt]]=""),0,tblMovement[[#This Row],[Tonnes_t]]*tblMovement[[#This Row],[Grade_gpt]]/cfg_TroyOz)</f>
        <v/>
      </c>
      <c r="O122" s="59">
        <f>IF(tblMovement[[#This Row],[Is_Ore]]=1,tblMovement[[#This Row],[Contained_oz]],0)</f>
        <v/>
      </c>
    </row>
    <row r="123">
      <c r="A123" s="54" t="n"/>
      <c r="B123" s="61" t="n"/>
      <c r="C123" s="61" t="n"/>
      <c r="D123" s="61" t="n"/>
      <c r="E123" s="61" t="n"/>
      <c r="F123" s="55" t="n"/>
      <c r="G123" s="56" t="n"/>
      <c r="H123" s="55" t="n"/>
      <c r="I123" s="62" t="n"/>
      <c r="J123" s="58" t="n"/>
      <c r="K123" s="63">
        <f>IF(tblMovement[[#This Row],[Source]]="","",IFERROR(INDEX(tblSources[Type],MATCH(tblMovement[[#This Row],[Source]],tblSources[Source],0)),"?"))</f>
        <v/>
      </c>
      <c r="L123" s="63">
        <f>IF(tblMovement[[#This Row],[Destination]]="","",IFERROR(INDEX(tblDestinations[Type],MATCH(tblMovement[[#This Row],[Destination]],tblDestinations[Destination],0)),"?"))</f>
        <v/>
      </c>
      <c r="M123" s="64">
        <f>IF(tblMovement[[#This Row],[Material]]="","",IF(LEFT(tblMovement[[#This Row],[Material]],3)="Ore",1,0))</f>
        <v/>
      </c>
      <c r="N123" s="59">
        <f>IF(OR(tblMovement[[#This Row],[Tonnes_t]]="",tblMovement[[#This Row],[Grade_gpt]]=""),0,tblMovement[[#This Row],[Tonnes_t]]*tblMovement[[#This Row],[Grade_gpt]]/cfg_TroyOz)</f>
        <v/>
      </c>
      <c r="O123" s="59">
        <f>IF(tblMovement[[#This Row],[Is_Ore]]=1,tblMovement[[#This Row],[Contained_oz]],0)</f>
        <v/>
      </c>
    </row>
    <row r="124">
      <c r="A124" s="54" t="n"/>
      <c r="B124" s="61" t="n"/>
      <c r="C124" s="61" t="n"/>
      <c r="D124" s="61" t="n"/>
      <c r="E124" s="61" t="n"/>
      <c r="F124" s="55" t="n"/>
      <c r="G124" s="56" t="n"/>
      <c r="H124" s="55" t="n"/>
      <c r="I124" s="62" t="n"/>
      <c r="J124" s="58" t="n"/>
      <c r="K124" s="63">
        <f>IF(tblMovement[[#This Row],[Source]]="","",IFERROR(INDEX(tblSources[Type],MATCH(tblMovement[[#This Row],[Source]],tblSources[Source],0)),"?"))</f>
        <v/>
      </c>
      <c r="L124" s="63">
        <f>IF(tblMovement[[#This Row],[Destination]]="","",IFERROR(INDEX(tblDestinations[Type],MATCH(tblMovement[[#This Row],[Destination]],tblDestinations[Destination],0)),"?"))</f>
        <v/>
      </c>
      <c r="M124" s="64">
        <f>IF(tblMovement[[#This Row],[Material]]="","",IF(LEFT(tblMovement[[#This Row],[Material]],3)="Ore",1,0))</f>
        <v/>
      </c>
      <c r="N124" s="59">
        <f>IF(OR(tblMovement[[#This Row],[Tonnes_t]]="",tblMovement[[#This Row],[Grade_gpt]]=""),0,tblMovement[[#This Row],[Tonnes_t]]*tblMovement[[#This Row],[Grade_gpt]]/cfg_TroyOz)</f>
        <v/>
      </c>
      <c r="O124" s="59">
        <f>IF(tblMovement[[#This Row],[Is_Ore]]=1,tblMovement[[#This Row],[Contained_oz]],0)</f>
        <v/>
      </c>
    </row>
    <row r="125">
      <c r="A125" s="54" t="n"/>
      <c r="B125" s="61" t="n"/>
      <c r="C125" s="61" t="n"/>
      <c r="D125" s="61" t="n"/>
      <c r="E125" s="61" t="n"/>
      <c r="F125" s="55" t="n"/>
      <c r="G125" s="56" t="n"/>
      <c r="H125" s="55" t="n"/>
      <c r="I125" s="62" t="n"/>
      <c r="J125" s="58" t="n"/>
      <c r="K125" s="63">
        <f>IF(tblMovement[[#This Row],[Source]]="","",IFERROR(INDEX(tblSources[Type],MATCH(tblMovement[[#This Row],[Source]],tblSources[Source],0)),"?"))</f>
        <v/>
      </c>
      <c r="L125" s="63">
        <f>IF(tblMovement[[#This Row],[Destination]]="","",IFERROR(INDEX(tblDestinations[Type],MATCH(tblMovement[[#This Row],[Destination]],tblDestinations[Destination],0)),"?"))</f>
        <v/>
      </c>
      <c r="M125" s="64">
        <f>IF(tblMovement[[#This Row],[Material]]="","",IF(LEFT(tblMovement[[#This Row],[Material]],3)="Ore",1,0))</f>
        <v/>
      </c>
      <c r="N125" s="59">
        <f>IF(OR(tblMovement[[#This Row],[Tonnes_t]]="",tblMovement[[#This Row],[Grade_gpt]]=""),0,tblMovement[[#This Row],[Tonnes_t]]*tblMovement[[#This Row],[Grade_gpt]]/cfg_TroyOz)</f>
        <v/>
      </c>
      <c r="O125" s="59">
        <f>IF(tblMovement[[#This Row],[Is_Ore]]=1,tblMovement[[#This Row],[Contained_oz]],0)</f>
        <v/>
      </c>
    </row>
    <row r="126">
      <c r="A126" s="54" t="n"/>
      <c r="B126" s="61" t="n"/>
      <c r="C126" s="61" t="n"/>
      <c r="D126" s="61" t="n"/>
      <c r="E126" s="61" t="n"/>
      <c r="F126" s="55" t="n"/>
      <c r="G126" s="56" t="n"/>
      <c r="H126" s="55" t="n"/>
      <c r="I126" s="62" t="n"/>
      <c r="J126" s="58" t="n"/>
      <c r="K126" s="63">
        <f>IF(tblMovement[[#This Row],[Source]]="","",IFERROR(INDEX(tblSources[Type],MATCH(tblMovement[[#This Row],[Source]],tblSources[Source],0)),"?"))</f>
        <v/>
      </c>
      <c r="L126" s="63">
        <f>IF(tblMovement[[#This Row],[Destination]]="","",IFERROR(INDEX(tblDestinations[Type],MATCH(tblMovement[[#This Row],[Destination]],tblDestinations[Destination],0)),"?"))</f>
        <v/>
      </c>
      <c r="M126" s="64">
        <f>IF(tblMovement[[#This Row],[Material]]="","",IF(LEFT(tblMovement[[#This Row],[Material]],3)="Ore",1,0))</f>
        <v/>
      </c>
      <c r="N126" s="59">
        <f>IF(OR(tblMovement[[#This Row],[Tonnes_t]]="",tblMovement[[#This Row],[Grade_gpt]]=""),0,tblMovement[[#This Row],[Tonnes_t]]*tblMovement[[#This Row],[Grade_gpt]]/cfg_TroyOz)</f>
        <v/>
      </c>
      <c r="O126" s="59">
        <f>IF(tblMovement[[#This Row],[Is_Ore]]=1,tblMovement[[#This Row],[Contained_oz]],0)</f>
        <v/>
      </c>
    </row>
    <row r="127">
      <c r="A127" s="54" t="n"/>
      <c r="B127" s="61" t="n"/>
      <c r="C127" s="61" t="n"/>
      <c r="D127" s="61" t="n"/>
      <c r="E127" s="61" t="n"/>
      <c r="F127" s="55" t="n"/>
      <c r="G127" s="56" t="n"/>
      <c r="H127" s="55" t="n"/>
      <c r="I127" s="62" t="n"/>
      <c r="J127" s="58" t="n"/>
      <c r="K127" s="63">
        <f>IF(tblMovement[[#This Row],[Source]]="","",IFERROR(INDEX(tblSources[Type],MATCH(tblMovement[[#This Row],[Source]],tblSources[Source],0)),"?"))</f>
        <v/>
      </c>
      <c r="L127" s="63">
        <f>IF(tblMovement[[#This Row],[Destination]]="","",IFERROR(INDEX(tblDestinations[Type],MATCH(tblMovement[[#This Row],[Destination]],tblDestinations[Destination],0)),"?"))</f>
        <v/>
      </c>
      <c r="M127" s="64">
        <f>IF(tblMovement[[#This Row],[Material]]="","",IF(LEFT(tblMovement[[#This Row],[Material]],3)="Ore",1,0))</f>
        <v/>
      </c>
      <c r="N127" s="59">
        <f>IF(OR(tblMovement[[#This Row],[Tonnes_t]]="",tblMovement[[#This Row],[Grade_gpt]]=""),0,tblMovement[[#This Row],[Tonnes_t]]*tblMovement[[#This Row],[Grade_gpt]]/cfg_TroyOz)</f>
        <v/>
      </c>
      <c r="O127" s="59">
        <f>IF(tblMovement[[#This Row],[Is_Ore]]=1,tblMovement[[#This Row],[Contained_oz]],0)</f>
        <v/>
      </c>
    </row>
    <row r="128">
      <c r="A128" s="54" t="n"/>
      <c r="B128" s="61" t="n"/>
      <c r="C128" s="61" t="n"/>
      <c r="D128" s="61" t="n"/>
      <c r="E128" s="61" t="n"/>
      <c r="F128" s="55" t="n"/>
      <c r="G128" s="56" t="n"/>
      <c r="H128" s="55" t="n"/>
      <c r="I128" s="62" t="n"/>
      <c r="J128" s="58" t="n"/>
      <c r="K128" s="63">
        <f>IF(tblMovement[[#This Row],[Source]]="","",IFERROR(INDEX(tblSources[Type],MATCH(tblMovement[[#This Row],[Source]],tblSources[Source],0)),"?"))</f>
        <v/>
      </c>
      <c r="L128" s="63">
        <f>IF(tblMovement[[#This Row],[Destination]]="","",IFERROR(INDEX(tblDestinations[Type],MATCH(tblMovement[[#This Row],[Destination]],tblDestinations[Destination],0)),"?"))</f>
        <v/>
      </c>
      <c r="M128" s="64">
        <f>IF(tblMovement[[#This Row],[Material]]="","",IF(LEFT(tblMovement[[#This Row],[Material]],3)="Ore",1,0))</f>
        <v/>
      </c>
      <c r="N128" s="59">
        <f>IF(OR(tblMovement[[#This Row],[Tonnes_t]]="",tblMovement[[#This Row],[Grade_gpt]]=""),0,tblMovement[[#This Row],[Tonnes_t]]*tblMovement[[#This Row],[Grade_gpt]]/cfg_TroyOz)</f>
        <v/>
      </c>
      <c r="O128" s="59">
        <f>IF(tblMovement[[#This Row],[Is_Ore]]=1,tblMovement[[#This Row],[Contained_oz]],0)</f>
        <v/>
      </c>
    </row>
    <row r="129">
      <c r="A129" s="54" t="n"/>
      <c r="B129" s="61" t="n"/>
      <c r="C129" s="61" t="n"/>
      <c r="D129" s="61" t="n"/>
      <c r="E129" s="61" t="n"/>
      <c r="F129" s="55" t="n"/>
      <c r="G129" s="56" t="n"/>
      <c r="H129" s="55" t="n"/>
      <c r="I129" s="62" t="n"/>
      <c r="J129" s="58" t="n"/>
      <c r="K129" s="63">
        <f>IF(tblMovement[[#This Row],[Source]]="","",IFERROR(INDEX(tblSources[Type],MATCH(tblMovement[[#This Row],[Source]],tblSources[Source],0)),"?"))</f>
        <v/>
      </c>
      <c r="L129" s="63">
        <f>IF(tblMovement[[#This Row],[Destination]]="","",IFERROR(INDEX(tblDestinations[Type],MATCH(tblMovement[[#This Row],[Destination]],tblDestinations[Destination],0)),"?"))</f>
        <v/>
      </c>
      <c r="M129" s="64">
        <f>IF(tblMovement[[#This Row],[Material]]="","",IF(LEFT(tblMovement[[#This Row],[Material]],3)="Ore",1,0))</f>
        <v/>
      </c>
      <c r="N129" s="59">
        <f>IF(OR(tblMovement[[#This Row],[Tonnes_t]]="",tblMovement[[#This Row],[Grade_gpt]]=""),0,tblMovement[[#This Row],[Tonnes_t]]*tblMovement[[#This Row],[Grade_gpt]]/cfg_TroyOz)</f>
        <v/>
      </c>
      <c r="O129" s="59">
        <f>IF(tblMovement[[#This Row],[Is_Ore]]=1,tblMovement[[#This Row],[Contained_oz]],0)</f>
        <v/>
      </c>
    </row>
    <row r="130">
      <c r="A130" s="54" t="n"/>
      <c r="B130" s="61" t="n"/>
      <c r="C130" s="61" t="n"/>
      <c r="D130" s="61" t="n"/>
      <c r="E130" s="61" t="n"/>
      <c r="F130" s="55" t="n"/>
      <c r="G130" s="56" t="n"/>
      <c r="H130" s="55" t="n"/>
      <c r="I130" s="62" t="n"/>
      <c r="J130" s="58" t="n"/>
      <c r="K130" s="63">
        <f>IF(tblMovement[[#This Row],[Source]]="","",IFERROR(INDEX(tblSources[Type],MATCH(tblMovement[[#This Row],[Source]],tblSources[Source],0)),"?"))</f>
        <v/>
      </c>
      <c r="L130" s="63">
        <f>IF(tblMovement[[#This Row],[Destination]]="","",IFERROR(INDEX(tblDestinations[Type],MATCH(tblMovement[[#This Row],[Destination]],tblDestinations[Destination],0)),"?"))</f>
        <v/>
      </c>
      <c r="M130" s="64">
        <f>IF(tblMovement[[#This Row],[Material]]="","",IF(LEFT(tblMovement[[#This Row],[Material]],3)="Ore",1,0))</f>
        <v/>
      </c>
      <c r="N130" s="59">
        <f>IF(OR(tblMovement[[#This Row],[Tonnes_t]]="",tblMovement[[#This Row],[Grade_gpt]]=""),0,tblMovement[[#This Row],[Tonnes_t]]*tblMovement[[#This Row],[Grade_gpt]]/cfg_TroyOz)</f>
        <v/>
      </c>
      <c r="O130" s="59">
        <f>IF(tblMovement[[#This Row],[Is_Ore]]=1,tblMovement[[#This Row],[Contained_oz]],0)</f>
        <v/>
      </c>
    </row>
    <row r="131">
      <c r="A131" s="54" t="n"/>
      <c r="B131" s="61" t="n"/>
      <c r="C131" s="61" t="n"/>
      <c r="D131" s="61" t="n"/>
      <c r="E131" s="61" t="n"/>
      <c r="F131" s="55" t="n"/>
      <c r="G131" s="56" t="n"/>
      <c r="H131" s="55" t="n"/>
      <c r="I131" s="62" t="n"/>
      <c r="J131" s="58" t="n"/>
      <c r="K131" s="63">
        <f>IF(tblMovement[[#This Row],[Source]]="","",IFERROR(INDEX(tblSources[Type],MATCH(tblMovement[[#This Row],[Source]],tblSources[Source],0)),"?"))</f>
        <v/>
      </c>
      <c r="L131" s="63">
        <f>IF(tblMovement[[#This Row],[Destination]]="","",IFERROR(INDEX(tblDestinations[Type],MATCH(tblMovement[[#This Row],[Destination]],tblDestinations[Destination],0)),"?"))</f>
        <v/>
      </c>
      <c r="M131" s="64">
        <f>IF(tblMovement[[#This Row],[Material]]="","",IF(LEFT(tblMovement[[#This Row],[Material]],3)="Ore",1,0))</f>
        <v/>
      </c>
      <c r="N131" s="59">
        <f>IF(OR(tblMovement[[#This Row],[Tonnes_t]]="",tblMovement[[#This Row],[Grade_gpt]]=""),0,tblMovement[[#This Row],[Tonnes_t]]*tblMovement[[#This Row],[Grade_gpt]]/cfg_TroyOz)</f>
        <v/>
      </c>
      <c r="O131" s="59">
        <f>IF(tblMovement[[#This Row],[Is_Ore]]=1,tblMovement[[#This Row],[Contained_oz]],0)</f>
        <v/>
      </c>
    </row>
    <row r="132">
      <c r="A132" s="54" t="n"/>
      <c r="B132" s="61" t="n"/>
      <c r="C132" s="61" t="n"/>
      <c r="D132" s="61" t="n"/>
      <c r="E132" s="61" t="n"/>
      <c r="F132" s="55" t="n"/>
      <c r="G132" s="56" t="n"/>
      <c r="H132" s="55" t="n"/>
      <c r="I132" s="62" t="n"/>
      <c r="J132" s="58" t="n"/>
      <c r="K132" s="63">
        <f>IF(tblMovement[[#This Row],[Source]]="","",IFERROR(INDEX(tblSources[Type],MATCH(tblMovement[[#This Row],[Source]],tblSources[Source],0)),"?"))</f>
        <v/>
      </c>
      <c r="L132" s="63">
        <f>IF(tblMovement[[#This Row],[Destination]]="","",IFERROR(INDEX(tblDestinations[Type],MATCH(tblMovement[[#This Row],[Destination]],tblDestinations[Destination],0)),"?"))</f>
        <v/>
      </c>
      <c r="M132" s="64">
        <f>IF(tblMovement[[#This Row],[Material]]="","",IF(LEFT(tblMovement[[#This Row],[Material]],3)="Ore",1,0))</f>
        <v/>
      </c>
      <c r="N132" s="59">
        <f>IF(OR(tblMovement[[#This Row],[Tonnes_t]]="",tblMovement[[#This Row],[Grade_gpt]]=""),0,tblMovement[[#This Row],[Tonnes_t]]*tblMovement[[#This Row],[Grade_gpt]]/cfg_TroyOz)</f>
        <v/>
      </c>
      <c r="O132" s="59">
        <f>IF(tblMovement[[#This Row],[Is_Ore]]=1,tblMovement[[#This Row],[Contained_oz]],0)</f>
        <v/>
      </c>
    </row>
    <row r="133">
      <c r="A133" s="54" t="n"/>
      <c r="B133" s="61" t="n"/>
      <c r="C133" s="61" t="n"/>
      <c r="D133" s="61" t="n"/>
      <c r="E133" s="61" t="n"/>
      <c r="F133" s="55" t="n"/>
      <c r="G133" s="56" t="n"/>
      <c r="H133" s="55" t="n"/>
      <c r="I133" s="62" t="n"/>
      <c r="J133" s="58" t="n"/>
      <c r="K133" s="63">
        <f>IF(tblMovement[[#This Row],[Source]]="","",IFERROR(INDEX(tblSources[Type],MATCH(tblMovement[[#This Row],[Source]],tblSources[Source],0)),"?"))</f>
        <v/>
      </c>
      <c r="L133" s="63">
        <f>IF(tblMovement[[#This Row],[Destination]]="","",IFERROR(INDEX(tblDestinations[Type],MATCH(tblMovement[[#This Row],[Destination]],tblDestinations[Destination],0)),"?"))</f>
        <v/>
      </c>
      <c r="M133" s="64">
        <f>IF(tblMovement[[#This Row],[Material]]="","",IF(LEFT(tblMovement[[#This Row],[Material]],3)="Ore",1,0))</f>
        <v/>
      </c>
      <c r="N133" s="59">
        <f>IF(OR(tblMovement[[#This Row],[Tonnes_t]]="",tblMovement[[#This Row],[Grade_gpt]]=""),0,tblMovement[[#This Row],[Tonnes_t]]*tblMovement[[#This Row],[Grade_gpt]]/cfg_TroyOz)</f>
        <v/>
      </c>
      <c r="O133" s="59">
        <f>IF(tblMovement[[#This Row],[Is_Ore]]=1,tblMovement[[#This Row],[Contained_oz]],0)</f>
        <v/>
      </c>
    </row>
    <row r="134">
      <c r="A134" s="54" t="n"/>
      <c r="B134" s="61" t="n"/>
      <c r="C134" s="61" t="n"/>
      <c r="D134" s="61" t="n"/>
      <c r="E134" s="61" t="n"/>
      <c r="F134" s="55" t="n"/>
      <c r="G134" s="56" t="n"/>
      <c r="H134" s="55" t="n"/>
      <c r="I134" s="62" t="n"/>
      <c r="J134" s="58" t="n"/>
      <c r="K134" s="63">
        <f>IF(tblMovement[[#This Row],[Source]]="","",IFERROR(INDEX(tblSources[Type],MATCH(tblMovement[[#This Row],[Source]],tblSources[Source],0)),"?"))</f>
        <v/>
      </c>
      <c r="L134" s="63">
        <f>IF(tblMovement[[#This Row],[Destination]]="","",IFERROR(INDEX(tblDestinations[Type],MATCH(tblMovement[[#This Row],[Destination]],tblDestinations[Destination],0)),"?"))</f>
        <v/>
      </c>
      <c r="M134" s="64">
        <f>IF(tblMovement[[#This Row],[Material]]="","",IF(LEFT(tblMovement[[#This Row],[Material]],3)="Ore",1,0))</f>
        <v/>
      </c>
      <c r="N134" s="59">
        <f>IF(OR(tblMovement[[#This Row],[Tonnes_t]]="",tblMovement[[#This Row],[Grade_gpt]]=""),0,tblMovement[[#This Row],[Tonnes_t]]*tblMovement[[#This Row],[Grade_gpt]]/cfg_TroyOz)</f>
        <v/>
      </c>
      <c r="O134" s="59">
        <f>IF(tblMovement[[#This Row],[Is_Ore]]=1,tblMovement[[#This Row],[Contained_oz]],0)</f>
        <v/>
      </c>
    </row>
    <row r="135">
      <c r="A135" s="54" t="n"/>
      <c r="B135" s="61" t="n"/>
      <c r="C135" s="61" t="n"/>
      <c r="D135" s="61" t="n"/>
      <c r="E135" s="61" t="n"/>
      <c r="F135" s="55" t="n"/>
      <c r="G135" s="56" t="n"/>
      <c r="H135" s="55" t="n"/>
      <c r="I135" s="62" t="n"/>
      <c r="J135" s="58" t="n"/>
      <c r="K135" s="63">
        <f>IF(tblMovement[[#This Row],[Source]]="","",IFERROR(INDEX(tblSources[Type],MATCH(tblMovement[[#This Row],[Source]],tblSources[Source],0)),"?"))</f>
        <v/>
      </c>
      <c r="L135" s="63">
        <f>IF(tblMovement[[#This Row],[Destination]]="","",IFERROR(INDEX(tblDestinations[Type],MATCH(tblMovement[[#This Row],[Destination]],tblDestinations[Destination],0)),"?"))</f>
        <v/>
      </c>
      <c r="M135" s="64">
        <f>IF(tblMovement[[#This Row],[Material]]="","",IF(LEFT(tblMovement[[#This Row],[Material]],3)="Ore",1,0))</f>
        <v/>
      </c>
      <c r="N135" s="59">
        <f>IF(OR(tblMovement[[#This Row],[Tonnes_t]]="",tblMovement[[#This Row],[Grade_gpt]]=""),0,tblMovement[[#This Row],[Tonnes_t]]*tblMovement[[#This Row],[Grade_gpt]]/cfg_TroyOz)</f>
        <v/>
      </c>
      <c r="O135" s="59">
        <f>IF(tblMovement[[#This Row],[Is_Ore]]=1,tblMovement[[#This Row],[Contained_oz]],0)</f>
        <v/>
      </c>
    </row>
    <row r="136">
      <c r="A136" s="54" t="n"/>
      <c r="B136" s="61" t="n"/>
      <c r="C136" s="61" t="n"/>
      <c r="D136" s="61" t="n"/>
      <c r="E136" s="61" t="n"/>
      <c r="F136" s="55" t="n"/>
      <c r="G136" s="56" t="n"/>
      <c r="H136" s="55" t="n"/>
      <c r="I136" s="62" t="n"/>
      <c r="J136" s="58" t="n"/>
      <c r="K136" s="63">
        <f>IF(tblMovement[[#This Row],[Source]]="","",IFERROR(INDEX(tblSources[Type],MATCH(tblMovement[[#This Row],[Source]],tblSources[Source],0)),"?"))</f>
        <v/>
      </c>
      <c r="L136" s="63">
        <f>IF(tblMovement[[#This Row],[Destination]]="","",IFERROR(INDEX(tblDestinations[Type],MATCH(tblMovement[[#This Row],[Destination]],tblDestinations[Destination],0)),"?"))</f>
        <v/>
      </c>
      <c r="M136" s="64">
        <f>IF(tblMovement[[#This Row],[Material]]="","",IF(LEFT(tblMovement[[#This Row],[Material]],3)="Ore",1,0))</f>
        <v/>
      </c>
      <c r="N136" s="59">
        <f>IF(OR(tblMovement[[#This Row],[Tonnes_t]]="",tblMovement[[#This Row],[Grade_gpt]]=""),0,tblMovement[[#This Row],[Tonnes_t]]*tblMovement[[#This Row],[Grade_gpt]]/cfg_TroyOz)</f>
        <v/>
      </c>
      <c r="O136" s="59">
        <f>IF(tblMovement[[#This Row],[Is_Ore]]=1,tblMovement[[#This Row],[Contained_oz]],0)</f>
        <v/>
      </c>
    </row>
    <row r="137">
      <c r="A137" s="54" t="n"/>
      <c r="B137" s="61" t="n"/>
      <c r="C137" s="61" t="n"/>
      <c r="D137" s="61" t="n"/>
      <c r="E137" s="61" t="n"/>
      <c r="F137" s="55" t="n"/>
      <c r="G137" s="56" t="n"/>
      <c r="H137" s="55" t="n"/>
      <c r="I137" s="62" t="n"/>
      <c r="J137" s="58" t="n"/>
      <c r="K137" s="63">
        <f>IF(tblMovement[[#This Row],[Source]]="","",IFERROR(INDEX(tblSources[Type],MATCH(tblMovement[[#This Row],[Source]],tblSources[Source],0)),"?"))</f>
        <v/>
      </c>
      <c r="L137" s="63">
        <f>IF(tblMovement[[#This Row],[Destination]]="","",IFERROR(INDEX(tblDestinations[Type],MATCH(tblMovement[[#This Row],[Destination]],tblDestinations[Destination],0)),"?"))</f>
        <v/>
      </c>
      <c r="M137" s="64">
        <f>IF(tblMovement[[#This Row],[Material]]="","",IF(LEFT(tblMovement[[#This Row],[Material]],3)="Ore",1,0))</f>
        <v/>
      </c>
      <c r="N137" s="59">
        <f>IF(OR(tblMovement[[#This Row],[Tonnes_t]]="",tblMovement[[#This Row],[Grade_gpt]]=""),0,tblMovement[[#This Row],[Tonnes_t]]*tblMovement[[#This Row],[Grade_gpt]]/cfg_TroyOz)</f>
        <v/>
      </c>
      <c r="O137" s="59">
        <f>IF(tblMovement[[#This Row],[Is_Ore]]=1,tblMovement[[#This Row],[Contained_oz]],0)</f>
        <v/>
      </c>
    </row>
    <row r="138">
      <c r="A138" s="54" t="n"/>
      <c r="B138" s="61" t="n"/>
      <c r="C138" s="61" t="n"/>
      <c r="D138" s="61" t="n"/>
      <c r="E138" s="61" t="n"/>
      <c r="F138" s="55" t="n"/>
      <c r="G138" s="56" t="n"/>
      <c r="H138" s="55" t="n"/>
      <c r="I138" s="62" t="n"/>
      <c r="J138" s="58" t="n"/>
      <c r="K138" s="63">
        <f>IF(tblMovement[[#This Row],[Source]]="","",IFERROR(INDEX(tblSources[Type],MATCH(tblMovement[[#This Row],[Source]],tblSources[Source],0)),"?"))</f>
        <v/>
      </c>
      <c r="L138" s="63">
        <f>IF(tblMovement[[#This Row],[Destination]]="","",IFERROR(INDEX(tblDestinations[Type],MATCH(tblMovement[[#This Row],[Destination]],tblDestinations[Destination],0)),"?"))</f>
        <v/>
      </c>
      <c r="M138" s="64">
        <f>IF(tblMovement[[#This Row],[Material]]="","",IF(LEFT(tblMovement[[#This Row],[Material]],3)="Ore",1,0))</f>
        <v/>
      </c>
      <c r="N138" s="59">
        <f>IF(OR(tblMovement[[#This Row],[Tonnes_t]]="",tblMovement[[#This Row],[Grade_gpt]]=""),0,tblMovement[[#This Row],[Tonnes_t]]*tblMovement[[#This Row],[Grade_gpt]]/cfg_TroyOz)</f>
        <v/>
      </c>
      <c r="O138" s="59">
        <f>IF(tblMovement[[#This Row],[Is_Ore]]=1,tblMovement[[#This Row],[Contained_oz]],0)</f>
        <v/>
      </c>
    </row>
    <row r="139">
      <c r="A139" s="54" t="n"/>
      <c r="B139" s="61" t="n"/>
      <c r="C139" s="61" t="n"/>
      <c r="D139" s="61" t="n"/>
      <c r="E139" s="61" t="n"/>
      <c r="F139" s="55" t="n"/>
      <c r="G139" s="56" t="n"/>
      <c r="H139" s="55" t="n"/>
      <c r="I139" s="62" t="n"/>
      <c r="J139" s="58" t="n"/>
      <c r="K139" s="63">
        <f>IF(tblMovement[[#This Row],[Source]]="","",IFERROR(INDEX(tblSources[Type],MATCH(tblMovement[[#This Row],[Source]],tblSources[Source],0)),"?"))</f>
        <v/>
      </c>
      <c r="L139" s="63">
        <f>IF(tblMovement[[#This Row],[Destination]]="","",IFERROR(INDEX(tblDestinations[Type],MATCH(tblMovement[[#This Row],[Destination]],tblDestinations[Destination],0)),"?"))</f>
        <v/>
      </c>
      <c r="M139" s="64">
        <f>IF(tblMovement[[#This Row],[Material]]="","",IF(LEFT(tblMovement[[#This Row],[Material]],3)="Ore",1,0))</f>
        <v/>
      </c>
      <c r="N139" s="59">
        <f>IF(OR(tblMovement[[#This Row],[Tonnes_t]]="",tblMovement[[#This Row],[Grade_gpt]]=""),0,tblMovement[[#This Row],[Tonnes_t]]*tblMovement[[#This Row],[Grade_gpt]]/cfg_TroyOz)</f>
        <v/>
      </c>
      <c r="O139" s="59">
        <f>IF(tblMovement[[#This Row],[Is_Ore]]=1,tblMovement[[#This Row],[Contained_oz]],0)</f>
        <v/>
      </c>
    </row>
    <row r="140">
      <c r="A140" s="54" t="n"/>
      <c r="B140" s="61" t="n"/>
      <c r="C140" s="61" t="n"/>
      <c r="D140" s="61" t="n"/>
      <c r="E140" s="61" t="n"/>
      <c r="F140" s="55" t="n"/>
      <c r="G140" s="56" t="n"/>
      <c r="H140" s="55" t="n"/>
      <c r="I140" s="62" t="n"/>
      <c r="J140" s="58" t="n"/>
      <c r="K140" s="63">
        <f>IF(tblMovement[[#This Row],[Source]]="","",IFERROR(INDEX(tblSources[Type],MATCH(tblMovement[[#This Row],[Source]],tblSources[Source],0)),"?"))</f>
        <v/>
      </c>
      <c r="L140" s="63">
        <f>IF(tblMovement[[#This Row],[Destination]]="","",IFERROR(INDEX(tblDestinations[Type],MATCH(tblMovement[[#This Row],[Destination]],tblDestinations[Destination],0)),"?"))</f>
        <v/>
      </c>
      <c r="M140" s="64">
        <f>IF(tblMovement[[#This Row],[Material]]="","",IF(LEFT(tblMovement[[#This Row],[Material]],3)="Ore",1,0))</f>
        <v/>
      </c>
      <c r="N140" s="59">
        <f>IF(OR(tblMovement[[#This Row],[Tonnes_t]]="",tblMovement[[#This Row],[Grade_gpt]]=""),0,tblMovement[[#This Row],[Tonnes_t]]*tblMovement[[#This Row],[Grade_gpt]]/cfg_TroyOz)</f>
        <v/>
      </c>
      <c r="O140" s="59">
        <f>IF(tblMovement[[#This Row],[Is_Ore]]=1,tblMovement[[#This Row],[Contained_oz]],0)</f>
        <v/>
      </c>
    </row>
    <row r="141">
      <c r="A141" s="54" t="n"/>
      <c r="B141" s="61" t="n"/>
      <c r="C141" s="61" t="n"/>
      <c r="D141" s="61" t="n"/>
      <c r="E141" s="61" t="n"/>
      <c r="F141" s="55" t="n"/>
      <c r="G141" s="56" t="n"/>
      <c r="H141" s="55" t="n"/>
      <c r="I141" s="62" t="n"/>
      <c r="J141" s="58" t="n"/>
      <c r="K141" s="63">
        <f>IF(tblMovement[[#This Row],[Source]]="","",IFERROR(INDEX(tblSources[Type],MATCH(tblMovement[[#This Row],[Source]],tblSources[Source],0)),"?"))</f>
        <v/>
      </c>
      <c r="L141" s="63">
        <f>IF(tblMovement[[#This Row],[Destination]]="","",IFERROR(INDEX(tblDestinations[Type],MATCH(tblMovement[[#This Row],[Destination]],tblDestinations[Destination],0)),"?"))</f>
        <v/>
      </c>
      <c r="M141" s="64">
        <f>IF(tblMovement[[#This Row],[Material]]="","",IF(LEFT(tblMovement[[#This Row],[Material]],3)="Ore",1,0))</f>
        <v/>
      </c>
      <c r="N141" s="59">
        <f>IF(OR(tblMovement[[#This Row],[Tonnes_t]]="",tblMovement[[#This Row],[Grade_gpt]]=""),0,tblMovement[[#This Row],[Tonnes_t]]*tblMovement[[#This Row],[Grade_gpt]]/cfg_TroyOz)</f>
        <v/>
      </c>
      <c r="O141" s="59">
        <f>IF(tblMovement[[#This Row],[Is_Ore]]=1,tblMovement[[#This Row],[Contained_oz]],0)</f>
        <v/>
      </c>
    </row>
    <row r="142">
      <c r="A142" s="54" t="n"/>
      <c r="B142" s="61" t="n"/>
      <c r="C142" s="61" t="n"/>
      <c r="D142" s="61" t="n"/>
      <c r="E142" s="61" t="n"/>
      <c r="F142" s="55" t="n"/>
      <c r="G142" s="56" t="n"/>
      <c r="H142" s="55" t="n"/>
      <c r="I142" s="62" t="n"/>
      <c r="J142" s="58" t="n"/>
      <c r="K142" s="63">
        <f>IF(tblMovement[[#This Row],[Source]]="","",IFERROR(INDEX(tblSources[Type],MATCH(tblMovement[[#This Row],[Source]],tblSources[Source],0)),"?"))</f>
        <v/>
      </c>
      <c r="L142" s="63">
        <f>IF(tblMovement[[#This Row],[Destination]]="","",IFERROR(INDEX(tblDestinations[Type],MATCH(tblMovement[[#This Row],[Destination]],tblDestinations[Destination],0)),"?"))</f>
        <v/>
      </c>
      <c r="M142" s="64">
        <f>IF(tblMovement[[#This Row],[Material]]="","",IF(LEFT(tblMovement[[#This Row],[Material]],3)="Ore",1,0))</f>
        <v/>
      </c>
      <c r="N142" s="59">
        <f>IF(OR(tblMovement[[#This Row],[Tonnes_t]]="",tblMovement[[#This Row],[Grade_gpt]]=""),0,tblMovement[[#This Row],[Tonnes_t]]*tblMovement[[#This Row],[Grade_gpt]]/cfg_TroyOz)</f>
        <v/>
      </c>
      <c r="O142" s="59">
        <f>IF(tblMovement[[#This Row],[Is_Ore]]=1,tblMovement[[#This Row],[Contained_oz]],0)</f>
        <v/>
      </c>
    </row>
    <row r="143">
      <c r="A143" s="54" t="n"/>
      <c r="B143" s="61" t="n"/>
      <c r="C143" s="61" t="n"/>
      <c r="D143" s="61" t="n"/>
      <c r="E143" s="61" t="n"/>
      <c r="F143" s="55" t="n"/>
      <c r="G143" s="56" t="n"/>
      <c r="H143" s="55" t="n"/>
      <c r="I143" s="62" t="n"/>
      <c r="J143" s="58" t="n"/>
      <c r="K143" s="63">
        <f>IF(tblMovement[[#This Row],[Source]]="","",IFERROR(INDEX(tblSources[Type],MATCH(tblMovement[[#This Row],[Source]],tblSources[Source],0)),"?"))</f>
        <v/>
      </c>
      <c r="L143" s="63">
        <f>IF(tblMovement[[#This Row],[Destination]]="","",IFERROR(INDEX(tblDestinations[Type],MATCH(tblMovement[[#This Row],[Destination]],tblDestinations[Destination],0)),"?"))</f>
        <v/>
      </c>
      <c r="M143" s="64">
        <f>IF(tblMovement[[#This Row],[Material]]="","",IF(LEFT(tblMovement[[#This Row],[Material]],3)="Ore",1,0))</f>
        <v/>
      </c>
      <c r="N143" s="59">
        <f>IF(OR(tblMovement[[#This Row],[Tonnes_t]]="",tblMovement[[#This Row],[Grade_gpt]]=""),0,tblMovement[[#This Row],[Tonnes_t]]*tblMovement[[#This Row],[Grade_gpt]]/cfg_TroyOz)</f>
        <v/>
      </c>
      <c r="O143" s="59">
        <f>IF(tblMovement[[#This Row],[Is_Ore]]=1,tblMovement[[#This Row],[Contained_oz]],0)</f>
        <v/>
      </c>
    </row>
    <row r="144">
      <c r="A144" s="54" t="n"/>
      <c r="B144" s="61" t="n"/>
      <c r="C144" s="61" t="n"/>
      <c r="D144" s="61" t="n"/>
      <c r="E144" s="61" t="n"/>
      <c r="F144" s="55" t="n"/>
      <c r="G144" s="56" t="n"/>
      <c r="H144" s="55" t="n"/>
      <c r="I144" s="62" t="n"/>
      <c r="J144" s="58" t="n"/>
      <c r="K144" s="63">
        <f>IF(tblMovement[[#This Row],[Source]]="","",IFERROR(INDEX(tblSources[Type],MATCH(tblMovement[[#This Row],[Source]],tblSources[Source],0)),"?"))</f>
        <v/>
      </c>
      <c r="L144" s="63">
        <f>IF(tblMovement[[#This Row],[Destination]]="","",IFERROR(INDEX(tblDestinations[Type],MATCH(tblMovement[[#This Row],[Destination]],tblDestinations[Destination],0)),"?"))</f>
        <v/>
      </c>
      <c r="M144" s="64">
        <f>IF(tblMovement[[#This Row],[Material]]="","",IF(LEFT(tblMovement[[#This Row],[Material]],3)="Ore",1,0))</f>
        <v/>
      </c>
      <c r="N144" s="59">
        <f>IF(OR(tblMovement[[#This Row],[Tonnes_t]]="",tblMovement[[#This Row],[Grade_gpt]]=""),0,tblMovement[[#This Row],[Tonnes_t]]*tblMovement[[#This Row],[Grade_gpt]]/cfg_TroyOz)</f>
        <v/>
      </c>
      <c r="O144" s="59">
        <f>IF(tblMovement[[#This Row],[Is_Ore]]=1,tblMovement[[#This Row],[Contained_oz]],0)</f>
        <v/>
      </c>
    </row>
    <row r="145">
      <c r="A145" s="54" t="n"/>
      <c r="B145" s="61" t="n"/>
      <c r="C145" s="61" t="n"/>
      <c r="D145" s="61" t="n"/>
      <c r="E145" s="61" t="n"/>
      <c r="F145" s="55" t="n"/>
      <c r="G145" s="56" t="n"/>
      <c r="H145" s="55" t="n"/>
      <c r="I145" s="62" t="n"/>
      <c r="J145" s="58" t="n"/>
      <c r="K145" s="63">
        <f>IF(tblMovement[[#This Row],[Source]]="","",IFERROR(INDEX(tblSources[Type],MATCH(tblMovement[[#This Row],[Source]],tblSources[Source],0)),"?"))</f>
        <v/>
      </c>
      <c r="L145" s="63">
        <f>IF(tblMovement[[#This Row],[Destination]]="","",IFERROR(INDEX(tblDestinations[Type],MATCH(tblMovement[[#This Row],[Destination]],tblDestinations[Destination],0)),"?"))</f>
        <v/>
      </c>
      <c r="M145" s="64">
        <f>IF(tblMovement[[#This Row],[Material]]="","",IF(LEFT(tblMovement[[#This Row],[Material]],3)="Ore",1,0))</f>
        <v/>
      </c>
      <c r="N145" s="59">
        <f>IF(OR(tblMovement[[#This Row],[Tonnes_t]]="",tblMovement[[#This Row],[Grade_gpt]]=""),0,tblMovement[[#This Row],[Tonnes_t]]*tblMovement[[#This Row],[Grade_gpt]]/cfg_TroyOz)</f>
        <v/>
      </c>
      <c r="O145" s="59">
        <f>IF(tblMovement[[#This Row],[Is_Ore]]=1,tblMovement[[#This Row],[Contained_oz]],0)</f>
        <v/>
      </c>
    </row>
    <row r="146">
      <c r="A146" s="54" t="n"/>
      <c r="B146" s="61" t="n"/>
      <c r="C146" s="61" t="n"/>
      <c r="D146" s="61" t="n"/>
      <c r="E146" s="61" t="n"/>
      <c r="F146" s="55" t="n"/>
      <c r="G146" s="56" t="n"/>
      <c r="H146" s="55" t="n"/>
      <c r="I146" s="62" t="n"/>
      <c r="J146" s="58" t="n"/>
      <c r="K146" s="63">
        <f>IF(tblMovement[[#This Row],[Source]]="","",IFERROR(INDEX(tblSources[Type],MATCH(tblMovement[[#This Row],[Source]],tblSources[Source],0)),"?"))</f>
        <v/>
      </c>
      <c r="L146" s="63">
        <f>IF(tblMovement[[#This Row],[Destination]]="","",IFERROR(INDEX(tblDestinations[Type],MATCH(tblMovement[[#This Row],[Destination]],tblDestinations[Destination],0)),"?"))</f>
        <v/>
      </c>
      <c r="M146" s="64">
        <f>IF(tblMovement[[#This Row],[Material]]="","",IF(LEFT(tblMovement[[#This Row],[Material]],3)="Ore",1,0))</f>
        <v/>
      </c>
      <c r="N146" s="59">
        <f>IF(OR(tblMovement[[#This Row],[Tonnes_t]]="",tblMovement[[#This Row],[Grade_gpt]]=""),0,tblMovement[[#This Row],[Tonnes_t]]*tblMovement[[#This Row],[Grade_gpt]]/cfg_TroyOz)</f>
        <v/>
      </c>
      <c r="O146" s="59">
        <f>IF(tblMovement[[#This Row],[Is_Ore]]=1,tblMovement[[#This Row],[Contained_oz]],0)</f>
        <v/>
      </c>
    </row>
    <row r="147">
      <c r="A147" s="54" t="n"/>
      <c r="B147" s="61" t="n"/>
      <c r="C147" s="61" t="n"/>
      <c r="D147" s="61" t="n"/>
      <c r="E147" s="61" t="n"/>
      <c r="F147" s="55" t="n"/>
      <c r="G147" s="56" t="n"/>
      <c r="H147" s="55" t="n"/>
      <c r="I147" s="62" t="n"/>
      <c r="J147" s="58" t="n"/>
      <c r="K147" s="63">
        <f>IF(tblMovement[[#This Row],[Source]]="","",IFERROR(INDEX(tblSources[Type],MATCH(tblMovement[[#This Row],[Source]],tblSources[Source],0)),"?"))</f>
        <v/>
      </c>
      <c r="L147" s="63">
        <f>IF(tblMovement[[#This Row],[Destination]]="","",IFERROR(INDEX(tblDestinations[Type],MATCH(tblMovement[[#This Row],[Destination]],tblDestinations[Destination],0)),"?"))</f>
        <v/>
      </c>
      <c r="M147" s="64">
        <f>IF(tblMovement[[#This Row],[Material]]="","",IF(LEFT(tblMovement[[#This Row],[Material]],3)="Ore",1,0))</f>
        <v/>
      </c>
      <c r="N147" s="59">
        <f>IF(OR(tblMovement[[#This Row],[Tonnes_t]]="",tblMovement[[#This Row],[Grade_gpt]]=""),0,tblMovement[[#This Row],[Tonnes_t]]*tblMovement[[#This Row],[Grade_gpt]]/cfg_TroyOz)</f>
        <v/>
      </c>
      <c r="O147" s="59">
        <f>IF(tblMovement[[#This Row],[Is_Ore]]=1,tblMovement[[#This Row],[Contained_oz]],0)</f>
        <v/>
      </c>
    </row>
    <row r="148">
      <c r="A148" s="54" t="n"/>
      <c r="B148" s="61" t="n"/>
      <c r="C148" s="61" t="n"/>
      <c r="D148" s="61" t="n"/>
      <c r="E148" s="61" t="n"/>
      <c r="F148" s="55" t="n"/>
      <c r="G148" s="56" t="n"/>
      <c r="H148" s="55" t="n"/>
      <c r="I148" s="62" t="n"/>
      <c r="J148" s="58" t="n"/>
      <c r="K148" s="63">
        <f>IF(tblMovement[[#This Row],[Source]]="","",IFERROR(INDEX(tblSources[Type],MATCH(tblMovement[[#This Row],[Source]],tblSources[Source],0)),"?"))</f>
        <v/>
      </c>
      <c r="L148" s="63">
        <f>IF(tblMovement[[#This Row],[Destination]]="","",IFERROR(INDEX(tblDestinations[Type],MATCH(tblMovement[[#This Row],[Destination]],tblDestinations[Destination],0)),"?"))</f>
        <v/>
      </c>
      <c r="M148" s="64">
        <f>IF(tblMovement[[#This Row],[Material]]="","",IF(LEFT(tblMovement[[#This Row],[Material]],3)="Ore",1,0))</f>
        <v/>
      </c>
      <c r="N148" s="59">
        <f>IF(OR(tblMovement[[#This Row],[Tonnes_t]]="",tblMovement[[#This Row],[Grade_gpt]]=""),0,tblMovement[[#This Row],[Tonnes_t]]*tblMovement[[#This Row],[Grade_gpt]]/cfg_TroyOz)</f>
        <v/>
      </c>
      <c r="O148" s="59">
        <f>IF(tblMovement[[#This Row],[Is_Ore]]=1,tblMovement[[#This Row],[Contained_oz]],0)</f>
        <v/>
      </c>
    </row>
    <row r="149">
      <c r="A149" s="54" t="n"/>
      <c r="B149" s="61" t="n"/>
      <c r="C149" s="61" t="n"/>
      <c r="D149" s="61" t="n"/>
      <c r="E149" s="61" t="n"/>
      <c r="F149" s="55" t="n"/>
      <c r="G149" s="56" t="n"/>
      <c r="H149" s="55" t="n"/>
      <c r="I149" s="62" t="n"/>
      <c r="J149" s="58" t="n"/>
      <c r="K149" s="63">
        <f>IF(tblMovement[[#This Row],[Source]]="","",IFERROR(INDEX(tblSources[Type],MATCH(tblMovement[[#This Row],[Source]],tblSources[Source],0)),"?"))</f>
        <v/>
      </c>
      <c r="L149" s="63">
        <f>IF(tblMovement[[#This Row],[Destination]]="","",IFERROR(INDEX(tblDestinations[Type],MATCH(tblMovement[[#This Row],[Destination]],tblDestinations[Destination],0)),"?"))</f>
        <v/>
      </c>
      <c r="M149" s="64">
        <f>IF(tblMovement[[#This Row],[Material]]="","",IF(LEFT(tblMovement[[#This Row],[Material]],3)="Ore",1,0))</f>
        <v/>
      </c>
      <c r="N149" s="59">
        <f>IF(OR(tblMovement[[#This Row],[Tonnes_t]]="",tblMovement[[#This Row],[Grade_gpt]]=""),0,tblMovement[[#This Row],[Tonnes_t]]*tblMovement[[#This Row],[Grade_gpt]]/cfg_TroyOz)</f>
        <v/>
      </c>
      <c r="O149" s="59">
        <f>IF(tblMovement[[#This Row],[Is_Ore]]=1,tblMovement[[#This Row],[Contained_oz]],0)</f>
        <v/>
      </c>
    </row>
    <row r="150">
      <c r="A150" s="54" t="n"/>
      <c r="B150" s="61" t="n"/>
      <c r="C150" s="61" t="n"/>
      <c r="D150" s="61" t="n"/>
      <c r="E150" s="61" t="n"/>
      <c r="F150" s="55" t="n"/>
      <c r="G150" s="56" t="n"/>
      <c r="H150" s="55" t="n"/>
      <c r="I150" s="62" t="n"/>
      <c r="J150" s="58" t="n"/>
      <c r="K150" s="63">
        <f>IF(tblMovement[[#This Row],[Source]]="","",IFERROR(INDEX(tblSources[Type],MATCH(tblMovement[[#This Row],[Source]],tblSources[Source],0)),"?"))</f>
        <v/>
      </c>
      <c r="L150" s="63">
        <f>IF(tblMovement[[#This Row],[Destination]]="","",IFERROR(INDEX(tblDestinations[Type],MATCH(tblMovement[[#This Row],[Destination]],tblDestinations[Destination],0)),"?"))</f>
        <v/>
      </c>
      <c r="M150" s="64">
        <f>IF(tblMovement[[#This Row],[Material]]="","",IF(LEFT(tblMovement[[#This Row],[Material]],3)="Ore",1,0))</f>
        <v/>
      </c>
      <c r="N150" s="59">
        <f>IF(OR(tblMovement[[#This Row],[Tonnes_t]]="",tblMovement[[#This Row],[Grade_gpt]]=""),0,tblMovement[[#This Row],[Tonnes_t]]*tblMovement[[#This Row],[Grade_gpt]]/cfg_TroyOz)</f>
        <v/>
      </c>
      <c r="O150" s="59">
        <f>IF(tblMovement[[#This Row],[Is_Ore]]=1,tblMovement[[#This Row],[Contained_oz]],0)</f>
        <v/>
      </c>
    </row>
    <row r="151">
      <c r="A151" s="54" t="n"/>
      <c r="B151" s="61" t="n"/>
      <c r="C151" s="61" t="n"/>
      <c r="D151" s="61" t="n"/>
      <c r="E151" s="61" t="n"/>
      <c r="F151" s="55" t="n"/>
      <c r="G151" s="56" t="n"/>
      <c r="H151" s="55" t="n"/>
      <c r="I151" s="62" t="n"/>
      <c r="J151" s="58" t="n"/>
      <c r="K151" s="63">
        <f>IF(tblMovement[[#This Row],[Source]]="","",IFERROR(INDEX(tblSources[Type],MATCH(tblMovement[[#This Row],[Source]],tblSources[Source],0)),"?"))</f>
        <v/>
      </c>
      <c r="L151" s="63">
        <f>IF(tblMovement[[#This Row],[Destination]]="","",IFERROR(INDEX(tblDestinations[Type],MATCH(tblMovement[[#This Row],[Destination]],tblDestinations[Destination],0)),"?"))</f>
        <v/>
      </c>
      <c r="M151" s="64">
        <f>IF(tblMovement[[#This Row],[Material]]="","",IF(LEFT(tblMovement[[#This Row],[Material]],3)="Ore",1,0))</f>
        <v/>
      </c>
      <c r="N151" s="59">
        <f>IF(OR(tblMovement[[#This Row],[Tonnes_t]]="",tblMovement[[#This Row],[Grade_gpt]]=""),0,tblMovement[[#This Row],[Tonnes_t]]*tblMovement[[#This Row],[Grade_gpt]]/cfg_TroyOz)</f>
        <v/>
      </c>
      <c r="O151" s="59">
        <f>IF(tblMovement[[#This Row],[Is_Ore]]=1,tblMovement[[#This Row],[Contained_oz]],0)</f>
        <v/>
      </c>
    </row>
    <row r="152">
      <c r="A152" s="54" t="n"/>
      <c r="B152" s="61" t="n"/>
      <c r="C152" s="61" t="n"/>
      <c r="D152" s="61" t="n"/>
      <c r="E152" s="61" t="n"/>
      <c r="F152" s="55" t="n"/>
      <c r="G152" s="56" t="n"/>
      <c r="H152" s="55" t="n"/>
      <c r="I152" s="62" t="n"/>
      <c r="J152" s="58" t="n"/>
      <c r="K152" s="63">
        <f>IF(tblMovement[[#This Row],[Source]]="","",IFERROR(INDEX(tblSources[Type],MATCH(tblMovement[[#This Row],[Source]],tblSources[Source],0)),"?"))</f>
        <v/>
      </c>
      <c r="L152" s="63">
        <f>IF(tblMovement[[#This Row],[Destination]]="","",IFERROR(INDEX(tblDestinations[Type],MATCH(tblMovement[[#This Row],[Destination]],tblDestinations[Destination],0)),"?"))</f>
        <v/>
      </c>
      <c r="M152" s="64">
        <f>IF(tblMovement[[#This Row],[Material]]="","",IF(LEFT(tblMovement[[#This Row],[Material]],3)="Ore",1,0))</f>
        <v/>
      </c>
      <c r="N152" s="59">
        <f>IF(OR(tblMovement[[#This Row],[Tonnes_t]]="",tblMovement[[#This Row],[Grade_gpt]]=""),0,tblMovement[[#This Row],[Tonnes_t]]*tblMovement[[#This Row],[Grade_gpt]]/cfg_TroyOz)</f>
        <v/>
      </c>
      <c r="O152" s="59">
        <f>IF(tblMovement[[#This Row],[Is_Ore]]=1,tblMovement[[#This Row],[Contained_oz]],0)</f>
        <v/>
      </c>
    </row>
    <row r="153">
      <c r="A153" s="54" t="n"/>
      <c r="B153" s="61" t="n"/>
      <c r="C153" s="61" t="n"/>
      <c r="D153" s="61" t="n"/>
      <c r="E153" s="61" t="n"/>
      <c r="F153" s="55" t="n"/>
      <c r="G153" s="56" t="n"/>
      <c r="H153" s="55" t="n"/>
      <c r="I153" s="62" t="n"/>
      <c r="J153" s="58" t="n"/>
      <c r="K153" s="63">
        <f>IF(tblMovement[[#This Row],[Source]]="","",IFERROR(INDEX(tblSources[Type],MATCH(tblMovement[[#This Row],[Source]],tblSources[Source],0)),"?"))</f>
        <v/>
      </c>
      <c r="L153" s="63">
        <f>IF(tblMovement[[#This Row],[Destination]]="","",IFERROR(INDEX(tblDestinations[Type],MATCH(tblMovement[[#This Row],[Destination]],tblDestinations[Destination],0)),"?"))</f>
        <v/>
      </c>
      <c r="M153" s="64">
        <f>IF(tblMovement[[#This Row],[Material]]="","",IF(LEFT(tblMovement[[#This Row],[Material]],3)="Ore",1,0))</f>
        <v/>
      </c>
      <c r="N153" s="59">
        <f>IF(OR(tblMovement[[#This Row],[Tonnes_t]]="",tblMovement[[#This Row],[Grade_gpt]]=""),0,tblMovement[[#This Row],[Tonnes_t]]*tblMovement[[#This Row],[Grade_gpt]]/cfg_TroyOz)</f>
        <v/>
      </c>
      <c r="O153" s="59">
        <f>IF(tblMovement[[#This Row],[Is_Ore]]=1,tblMovement[[#This Row],[Contained_oz]],0)</f>
        <v/>
      </c>
    </row>
    <row r="154">
      <c r="A154" s="54" t="n"/>
      <c r="B154" s="61" t="n"/>
      <c r="C154" s="61" t="n"/>
      <c r="D154" s="61" t="n"/>
      <c r="E154" s="61" t="n"/>
      <c r="F154" s="55" t="n"/>
      <c r="G154" s="56" t="n"/>
      <c r="H154" s="55" t="n"/>
      <c r="I154" s="62" t="n"/>
      <c r="J154" s="58" t="n"/>
      <c r="K154" s="63">
        <f>IF(tblMovement[[#This Row],[Source]]="","",IFERROR(INDEX(tblSources[Type],MATCH(tblMovement[[#This Row],[Source]],tblSources[Source],0)),"?"))</f>
        <v/>
      </c>
      <c r="L154" s="63">
        <f>IF(tblMovement[[#This Row],[Destination]]="","",IFERROR(INDEX(tblDestinations[Type],MATCH(tblMovement[[#This Row],[Destination]],tblDestinations[Destination],0)),"?"))</f>
        <v/>
      </c>
      <c r="M154" s="64">
        <f>IF(tblMovement[[#This Row],[Material]]="","",IF(LEFT(tblMovement[[#This Row],[Material]],3)="Ore",1,0))</f>
        <v/>
      </c>
      <c r="N154" s="59">
        <f>IF(OR(tblMovement[[#This Row],[Tonnes_t]]="",tblMovement[[#This Row],[Grade_gpt]]=""),0,tblMovement[[#This Row],[Tonnes_t]]*tblMovement[[#This Row],[Grade_gpt]]/cfg_TroyOz)</f>
        <v/>
      </c>
      <c r="O154" s="59">
        <f>IF(tblMovement[[#This Row],[Is_Ore]]=1,tblMovement[[#This Row],[Contained_oz]],0)</f>
        <v/>
      </c>
    </row>
    <row r="155">
      <c r="A155" s="54" t="n"/>
      <c r="B155" s="61" t="n"/>
      <c r="C155" s="61" t="n"/>
      <c r="D155" s="61" t="n"/>
      <c r="E155" s="61" t="n"/>
      <c r="F155" s="55" t="n"/>
      <c r="G155" s="56" t="n"/>
      <c r="H155" s="55" t="n"/>
      <c r="I155" s="62" t="n"/>
      <c r="J155" s="58" t="n"/>
      <c r="K155" s="63">
        <f>IF(tblMovement[[#This Row],[Source]]="","",IFERROR(INDEX(tblSources[Type],MATCH(tblMovement[[#This Row],[Source]],tblSources[Source],0)),"?"))</f>
        <v/>
      </c>
      <c r="L155" s="63">
        <f>IF(tblMovement[[#This Row],[Destination]]="","",IFERROR(INDEX(tblDestinations[Type],MATCH(tblMovement[[#This Row],[Destination]],tblDestinations[Destination],0)),"?"))</f>
        <v/>
      </c>
      <c r="M155" s="64">
        <f>IF(tblMovement[[#This Row],[Material]]="","",IF(LEFT(tblMovement[[#This Row],[Material]],3)="Ore",1,0))</f>
        <v/>
      </c>
      <c r="N155" s="59">
        <f>IF(OR(tblMovement[[#This Row],[Tonnes_t]]="",tblMovement[[#This Row],[Grade_gpt]]=""),0,tblMovement[[#This Row],[Tonnes_t]]*tblMovement[[#This Row],[Grade_gpt]]/cfg_TroyOz)</f>
        <v/>
      </c>
      <c r="O155" s="59">
        <f>IF(tblMovement[[#This Row],[Is_Ore]]=1,tblMovement[[#This Row],[Contained_oz]],0)</f>
        <v/>
      </c>
    </row>
    <row r="156">
      <c r="A156" s="54" t="n"/>
      <c r="B156" s="61" t="n"/>
      <c r="C156" s="61" t="n"/>
      <c r="D156" s="61" t="n"/>
      <c r="E156" s="61" t="n"/>
      <c r="F156" s="55" t="n"/>
      <c r="G156" s="56" t="n"/>
      <c r="H156" s="55" t="n"/>
      <c r="I156" s="62" t="n"/>
      <c r="J156" s="58" t="n"/>
      <c r="K156" s="63">
        <f>IF(tblMovement[[#This Row],[Source]]="","",IFERROR(INDEX(tblSources[Type],MATCH(tblMovement[[#This Row],[Source]],tblSources[Source],0)),"?"))</f>
        <v/>
      </c>
      <c r="L156" s="63">
        <f>IF(tblMovement[[#This Row],[Destination]]="","",IFERROR(INDEX(tblDestinations[Type],MATCH(tblMovement[[#This Row],[Destination]],tblDestinations[Destination],0)),"?"))</f>
        <v/>
      </c>
      <c r="M156" s="64">
        <f>IF(tblMovement[[#This Row],[Material]]="","",IF(LEFT(tblMovement[[#This Row],[Material]],3)="Ore",1,0))</f>
        <v/>
      </c>
      <c r="N156" s="59">
        <f>IF(OR(tblMovement[[#This Row],[Tonnes_t]]="",tblMovement[[#This Row],[Grade_gpt]]=""),0,tblMovement[[#This Row],[Tonnes_t]]*tblMovement[[#This Row],[Grade_gpt]]/cfg_TroyOz)</f>
        <v/>
      </c>
      <c r="O156" s="59">
        <f>IF(tblMovement[[#This Row],[Is_Ore]]=1,tblMovement[[#This Row],[Contained_oz]],0)</f>
        <v/>
      </c>
    </row>
    <row r="157">
      <c r="A157" s="54" t="n"/>
      <c r="B157" s="61" t="n"/>
      <c r="C157" s="61" t="n"/>
      <c r="D157" s="61" t="n"/>
      <c r="E157" s="61" t="n"/>
      <c r="F157" s="55" t="n"/>
      <c r="G157" s="56" t="n"/>
      <c r="H157" s="55" t="n"/>
      <c r="I157" s="62" t="n"/>
      <c r="J157" s="58" t="n"/>
      <c r="K157" s="63">
        <f>IF(tblMovement[[#This Row],[Source]]="","",IFERROR(INDEX(tblSources[Type],MATCH(tblMovement[[#This Row],[Source]],tblSources[Source],0)),"?"))</f>
        <v/>
      </c>
      <c r="L157" s="63">
        <f>IF(tblMovement[[#This Row],[Destination]]="","",IFERROR(INDEX(tblDestinations[Type],MATCH(tblMovement[[#This Row],[Destination]],tblDestinations[Destination],0)),"?"))</f>
        <v/>
      </c>
      <c r="M157" s="64">
        <f>IF(tblMovement[[#This Row],[Material]]="","",IF(LEFT(tblMovement[[#This Row],[Material]],3)="Ore",1,0))</f>
        <v/>
      </c>
      <c r="N157" s="59">
        <f>IF(OR(tblMovement[[#This Row],[Tonnes_t]]="",tblMovement[[#This Row],[Grade_gpt]]=""),0,tblMovement[[#This Row],[Tonnes_t]]*tblMovement[[#This Row],[Grade_gpt]]/cfg_TroyOz)</f>
        <v/>
      </c>
      <c r="O157" s="59">
        <f>IF(tblMovement[[#This Row],[Is_Ore]]=1,tblMovement[[#This Row],[Contained_oz]],0)</f>
        <v/>
      </c>
    </row>
    <row r="158">
      <c r="A158" s="54" t="n"/>
      <c r="B158" s="61" t="n"/>
      <c r="C158" s="61" t="n"/>
      <c r="D158" s="61" t="n"/>
      <c r="E158" s="61" t="n"/>
      <c r="F158" s="55" t="n"/>
      <c r="G158" s="56" t="n"/>
      <c r="H158" s="55" t="n"/>
      <c r="I158" s="62" t="n"/>
      <c r="J158" s="58" t="n"/>
      <c r="K158" s="63">
        <f>IF(tblMovement[[#This Row],[Source]]="","",IFERROR(INDEX(tblSources[Type],MATCH(tblMovement[[#This Row],[Source]],tblSources[Source],0)),"?"))</f>
        <v/>
      </c>
      <c r="L158" s="63">
        <f>IF(tblMovement[[#This Row],[Destination]]="","",IFERROR(INDEX(tblDestinations[Type],MATCH(tblMovement[[#This Row],[Destination]],tblDestinations[Destination],0)),"?"))</f>
        <v/>
      </c>
      <c r="M158" s="64">
        <f>IF(tblMovement[[#This Row],[Material]]="","",IF(LEFT(tblMovement[[#This Row],[Material]],3)="Ore",1,0))</f>
        <v/>
      </c>
      <c r="N158" s="59">
        <f>IF(OR(tblMovement[[#This Row],[Tonnes_t]]="",tblMovement[[#This Row],[Grade_gpt]]=""),0,tblMovement[[#This Row],[Tonnes_t]]*tblMovement[[#This Row],[Grade_gpt]]/cfg_TroyOz)</f>
        <v/>
      </c>
      <c r="O158" s="59">
        <f>IF(tblMovement[[#This Row],[Is_Ore]]=1,tblMovement[[#This Row],[Contained_oz]],0)</f>
        <v/>
      </c>
    </row>
    <row r="159">
      <c r="A159" s="54" t="n"/>
      <c r="B159" s="61" t="n"/>
      <c r="C159" s="61" t="n"/>
      <c r="D159" s="61" t="n"/>
      <c r="E159" s="61" t="n"/>
      <c r="F159" s="55" t="n"/>
      <c r="G159" s="56" t="n"/>
      <c r="H159" s="55" t="n"/>
      <c r="I159" s="62" t="n"/>
      <c r="J159" s="58" t="n"/>
      <c r="K159" s="63">
        <f>IF(tblMovement[[#This Row],[Source]]="","",IFERROR(INDEX(tblSources[Type],MATCH(tblMovement[[#This Row],[Source]],tblSources[Source],0)),"?"))</f>
        <v/>
      </c>
      <c r="L159" s="63">
        <f>IF(tblMovement[[#This Row],[Destination]]="","",IFERROR(INDEX(tblDestinations[Type],MATCH(tblMovement[[#This Row],[Destination]],tblDestinations[Destination],0)),"?"))</f>
        <v/>
      </c>
      <c r="M159" s="64">
        <f>IF(tblMovement[[#This Row],[Material]]="","",IF(LEFT(tblMovement[[#This Row],[Material]],3)="Ore",1,0))</f>
        <v/>
      </c>
      <c r="N159" s="59">
        <f>IF(OR(tblMovement[[#This Row],[Tonnes_t]]="",tblMovement[[#This Row],[Grade_gpt]]=""),0,tblMovement[[#This Row],[Tonnes_t]]*tblMovement[[#This Row],[Grade_gpt]]/cfg_TroyOz)</f>
        <v/>
      </c>
      <c r="O159" s="59">
        <f>IF(tblMovement[[#This Row],[Is_Ore]]=1,tblMovement[[#This Row],[Contained_oz]],0)</f>
        <v/>
      </c>
    </row>
    <row r="160">
      <c r="A160" s="54" t="n"/>
      <c r="B160" s="61" t="n"/>
      <c r="C160" s="61" t="n"/>
      <c r="D160" s="61" t="n"/>
      <c r="E160" s="61" t="n"/>
      <c r="F160" s="55" t="n"/>
      <c r="G160" s="56" t="n"/>
      <c r="H160" s="55" t="n"/>
      <c r="I160" s="62" t="n"/>
      <c r="J160" s="58" t="n"/>
      <c r="K160" s="63">
        <f>IF(tblMovement[[#This Row],[Source]]="","",IFERROR(INDEX(tblSources[Type],MATCH(tblMovement[[#This Row],[Source]],tblSources[Source],0)),"?"))</f>
        <v/>
      </c>
      <c r="L160" s="63">
        <f>IF(tblMovement[[#This Row],[Destination]]="","",IFERROR(INDEX(tblDestinations[Type],MATCH(tblMovement[[#This Row],[Destination]],tblDestinations[Destination],0)),"?"))</f>
        <v/>
      </c>
      <c r="M160" s="64">
        <f>IF(tblMovement[[#This Row],[Material]]="","",IF(LEFT(tblMovement[[#This Row],[Material]],3)="Ore",1,0))</f>
        <v/>
      </c>
      <c r="N160" s="59">
        <f>IF(OR(tblMovement[[#This Row],[Tonnes_t]]="",tblMovement[[#This Row],[Grade_gpt]]=""),0,tblMovement[[#This Row],[Tonnes_t]]*tblMovement[[#This Row],[Grade_gpt]]/cfg_TroyOz)</f>
        <v/>
      </c>
      <c r="O160" s="59">
        <f>IF(tblMovement[[#This Row],[Is_Ore]]=1,tblMovement[[#This Row],[Contained_oz]],0)</f>
        <v/>
      </c>
    </row>
    <row r="161">
      <c r="A161" s="54" t="n"/>
      <c r="B161" s="61" t="n"/>
      <c r="C161" s="61" t="n"/>
      <c r="D161" s="61" t="n"/>
      <c r="E161" s="61" t="n"/>
      <c r="F161" s="55" t="n"/>
      <c r="G161" s="56" t="n"/>
      <c r="H161" s="55" t="n"/>
      <c r="I161" s="62" t="n"/>
      <c r="J161" s="58" t="n"/>
      <c r="K161" s="63">
        <f>IF(tblMovement[[#This Row],[Source]]="","",IFERROR(INDEX(tblSources[Type],MATCH(tblMovement[[#This Row],[Source]],tblSources[Source],0)),"?"))</f>
        <v/>
      </c>
      <c r="L161" s="63">
        <f>IF(tblMovement[[#This Row],[Destination]]="","",IFERROR(INDEX(tblDestinations[Type],MATCH(tblMovement[[#This Row],[Destination]],tblDestinations[Destination],0)),"?"))</f>
        <v/>
      </c>
      <c r="M161" s="64">
        <f>IF(tblMovement[[#This Row],[Material]]="","",IF(LEFT(tblMovement[[#This Row],[Material]],3)="Ore",1,0))</f>
        <v/>
      </c>
      <c r="N161" s="59">
        <f>IF(OR(tblMovement[[#This Row],[Tonnes_t]]="",tblMovement[[#This Row],[Grade_gpt]]=""),0,tblMovement[[#This Row],[Tonnes_t]]*tblMovement[[#This Row],[Grade_gpt]]/cfg_TroyOz)</f>
        <v/>
      </c>
      <c r="O161" s="59">
        <f>IF(tblMovement[[#This Row],[Is_Ore]]=1,tblMovement[[#This Row],[Contained_oz]],0)</f>
        <v/>
      </c>
    </row>
    <row r="162">
      <c r="A162" s="54" t="n"/>
      <c r="B162" s="61" t="n"/>
      <c r="C162" s="61" t="n"/>
      <c r="D162" s="61" t="n"/>
      <c r="E162" s="61" t="n"/>
      <c r="F162" s="55" t="n"/>
      <c r="G162" s="56" t="n"/>
      <c r="H162" s="55" t="n"/>
      <c r="I162" s="62" t="n"/>
      <c r="J162" s="58" t="n"/>
      <c r="K162" s="63">
        <f>IF(tblMovement[[#This Row],[Source]]="","",IFERROR(INDEX(tblSources[Type],MATCH(tblMovement[[#This Row],[Source]],tblSources[Source],0)),"?"))</f>
        <v/>
      </c>
      <c r="L162" s="63">
        <f>IF(tblMovement[[#This Row],[Destination]]="","",IFERROR(INDEX(tblDestinations[Type],MATCH(tblMovement[[#This Row],[Destination]],tblDestinations[Destination],0)),"?"))</f>
        <v/>
      </c>
      <c r="M162" s="64">
        <f>IF(tblMovement[[#This Row],[Material]]="","",IF(LEFT(tblMovement[[#This Row],[Material]],3)="Ore",1,0))</f>
        <v/>
      </c>
      <c r="N162" s="59">
        <f>IF(OR(tblMovement[[#This Row],[Tonnes_t]]="",tblMovement[[#This Row],[Grade_gpt]]=""),0,tblMovement[[#This Row],[Tonnes_t]]*tblMovement[[#This Row],[Grade_gpt]]/cfg_TroyOz)</f>
        <v/>
      </c>
      <c r="O162" s="59">
        <f>IF(tblMovement[[#This Row],[Is_Ore]]=1,tblMovement[[#This Row],[Contained_oz]],0)</f>
        <v/>
      </c>
    </row>
    <row r="163">
      <c r="A163" s="54" t="n"/>
      <c r="B163" s="61" t="n"/>
      <c r="C163" s="61" t="n"/>
      <c r="D163" s="61" t="n"/>
      <c r="E163" s="61" t="n"/>
      <c r="F163" s="55" t="n"/>
      <c r="G163" s="56" t="n"/>
      <c r="H163" s="55" t="n"/>
      <c r="I163" s="62" t="n"/>
      <c r="J163" s="58" t="n"/>
      <c r="K163" s="63">
        <f>IF(tblMovement[[#This Row],[Source]]="","",IFERROR(INDEX(tblSources[Type],MATCH(tblMovement[[#This Row],[Source]],tblSources[Source],0)),"?"))</f>
        <v/>
      </c>
      <c r="L163" s="63">
        <f>IF(tblMovement[[#This Row],[Destination]]="","",IFERROR(INDEX(tblDestinations[Type],MATCH(tblMovement[[#This Row],[Destination]],tblDestinations[Destination],0)),"?"))</f>
        <v/>
      </c>
      <c r="M163" s="64">
        <f>IF(tblMovement[[#This Row],[Material]]="","",IF(LEFT(tblMovement[[#This Row],[Material]],3)="Ore",1,0))</f>
        <v/>
      </c>
      <c r="N163" s="59">
        <f>IF(OR(tblMovement[[#This Row],[Tonnes_t]]="",tblMovement[[#This Row],[Grade_gpt]]=""),0,tblMovement[[#This Row],[Tonnes_t]]*tblMovement[[#This Row],[Grade_gpt]]/cfg_TroyOz)</f>
        <v/>
      </c>
      <c r="O163" s="59">
        <f>IF(tblMovement[[#This Row],[Is_Ore]]=1,tblMovement[[#This Row],[Contained_oz]],0)</f>
        <v/>
      </c>
    </row>
    <row r="164">
      <c r="A164" s="54" t="n"/>
      <c r="B164" s="61" t="n"/>
      <c r="C164" s="61" t="n"/>
      <c r="D164" s="61" t="n"/>
      <c r="E164" s="61" t="n"/>
      <c r="F164" s="55" t="n"/>
      <c r="G164" s="56" t="n"/>
      <c r="H164" s="55" t="n"/>
      <c r="I164" s="62" t="n"/>
      <c r="J164" s="58" t="n"/>
      <c r="K164" s="63">
        <f>IF(tblMovement[[#This Row],[Source]]="","",IFERROR(INDEX(tblSources[Type],MATCH(tblMovement[[#This Row],[Source]],tblSources[Source],0)),"?"))</f>
        <v/>
      </c>
      <c r="L164" s="63">
        <f>IF(tblMovement[[#This Row],[Destination]]="","",IFERROR(INDEX(tblDestinations[Type],MATCH(tblMovement[[#This Row],[Destination]],tblDestinations[Destination],0)),"?"))</f>
        <v/>
      </c>
      <c r="M164" s="64">
        <f>IF(tblMovement[[#This Row],[Material]]="","",IF(LEFT(tblMovement[[#This Row],[Material]],3)="Ore",1,0))</f>
        <v/>
      </c>
      <c r="N164" s="59">
        <f>IF(OR(tblMovement[[#This Row],[Tonnes_t]]="",tblMovement[[#This Row],[Grade_gpt]]=""),0,tblMovement[[#This Row],[Tonnes_t]]*tblMovement[[#This Row],[Grade_gpt]]/cfg_TroyOz)</f>
        <v/>
      </c>
      <c r="O164" s="59">
        <f>IF(tblMovement[[#This Row],[Is_Ore]]=1,tblMovement[[#This Row],[Contained_oz]],0)</f>
        <v/>
      </c>
    </row>
    <row r="165">
      <c r="A165" s="54" t="n"/>
      <c r="B165" s="61" t="n"/>
      <c r="C165" s="61" t="n"/>
      <c r="D165" s="61" t="n"/>
      <c r="E165" s="61" t="n"/>
      <c r="F165" s="55" t="n"/>
      <c r="G165" s="56" t="n"/>
      <c r="H165" s="55" t="n"/>
      <c r="I165" s="62" t="n"/>
      <c r="J165" s="58" t="n"/>
      <c r="K165" s="63">
        <f>IF(tblMovement[[#This Row],[Source]]="","",IFERROR(INDEX(tblSources[Type],MATCH(tblMovement[[#This Row],[Source]],tblSources[Source],0)),"?"))</f>
        <v/>
      </c>
      <c r="L165" s="63">
        <f>IF(tblMovement[[#This Row],[Destination]]="","",IFERROR(INDEX(tblDestinations[Type],MATCH(tblMovement[[#This Row],[Destination]],tblDestinations[Destination],0)),"?"))</f>
        <v/>
      </c>
      <c r="M165" s="64">
        <f>IF(tblMovement[[#This Row],[Material]]="","",IF(LEFT(tblMovement[[#This Row],[Material]],3)="Ore",1,0))</f>
        <v/>
      </c>
      <c r="N165" s="59">
        <f>IF(OR(tblMovement[[#This Row],[Tonnes_t]]="",tblMovement[[#This Row],[Grade_gpt]]=""),0,tblMovement[[#This Row],[Tonnes_t]]*tblMovement[[#This Row],[Grade_gpt]]/cfg_TroyOz)</f>
        <v/>
      </c>
      <c r="O165" s="59">
        <f>IF(tblMovement[[#This Row],[Is_Ore]]=1,tblMovement[[#This Row],[Contained_oz]],0)</f>
        <v/>
      </c>
    </row>
    <row r="166">
      <c r="A166" s="54" t="n"/>
      <c r="B166" s="61" t="n"/>
      <c r="C166" s="61" t="n"/>
      <c r="D166" s="61" t="n"/>
      <c r="E166" s="61" t="n"/>
      <c r="F166" s="55" t="n"/>
      <c r="G166" s="56" t="n"/>
      <c r="H166" s="55" t="n"/>
      <c r="I166" s="62" t="n"/>
      <c r="J166" s="58" t="n"/>
      <c r="K166" s="63">
        <f>IF(tblMovement[[#This Row],[Source]]="","",IFERROR(INDEX(tblSources[Type],MATCH(tblMovement[[#This Row],[Source]],tblSources[Source],0)),"?"))</f>
        <v/>
      </c>
      <c r="L166" s="63">
        <f>IF(tblMovement[[#This Row],[Destination]]="","",IFERROR(INDEX(tblDestinations[Type],MATCH(tblMovement[[#This Row],[Destination]],tblDestinations[Destination],0)),"?"))</f>
        <v/>
      </c>
      <c r="M166" s="64">
        <f>IF(tblMovement[[#This Row],[Material]]="","",IF(LEFT(tblMovement[[#This Row],[Material]],3)="Ore",1,0))</f>
        <v/>
      </c>
      <c r="N166" s="59">
        <f>IF(OR(tblMovement[[#This Row],[Tonnes_t]]="",tblMovement[[#This Row],[Grade_gpt]]=""),0,tblMovement[[#This Row],[Tonnes_t]]*tblMovement[[#This Row],[Grade_gpt]]/cfg_TroyOz)</f>
        <v/>
      </c>
      <c r="O166" s="59">
        <f>IF(tblMovement[[#This Row],[Is_Ore]]=1,tblMovement[[#This Row],[Contained_oz]],0)</f>
        <v/>
      </c>
    </row>
    <row r="167">
      <c r="A167" s="54" t="n"/>
      <c r="B167" s="61" t="n"/>
      <c r="C167" s="61" t="n"/>
      <c r="D167" s="61" t="n"/>
      <c r="E167" s="61" t="n"/>
      <c r="F167" s="55" t="n"/>
      <c r="G167" s="56" t="n"/>
      <c r="H167" s="55" t="n"/>
      <c r="I167" s="62" t="n"/>
      <c r="J167" s="58" t="n"/>
      <c r="K167" s="63">
        <f>IF(tblMovement[[#This Row],[Source]]="","",IFERROR(INDEX(tblSources[Type],MATCH(tblMovement[[#This Row],[Source]],tblSources[Source],0)),"?"))</f>
        <v/>
      </c>
      <c r="L167" s="63">
        <f>IF(tblMovement[[#This Row],[Destination]]="","",IFERROR(INDEX(tblDestinations[Type],MATCH(tblMovement[[#This Row],[Destination]],tblDestinations[Destination],0)),"?"))</f>
        <v/>
      </c>
      <c r="M167" s="64">
        <f>IF(tblMovement[[#This Row],[Material]]="","",IF(LEFT(tblMovement[[#This Row],[Material]],3)="Ore",1,0))</f>
        <v/>
      </c>
      <c r="N167" s="59">
        <f>IF(OR(tblMovement[[#This Row],[Tonnes_t]]="",tblMovement[[#This Row],[Grade_gpt]]=""),0,tblMovement[[#This Row],[Tonnes_t]]*tblMovement[[#This Row],[Grade_gpt]]/cfg_TroyOz)</f>
        <v/>
      </c>
      <c r="O167" s="59">
        <f>IF(tblMovement[[#This Row],[Is_Ore]]=1,tblMovement[[#This Row],[Contained_oz]],0)</f>
        <v/>
      </c>
    </row>
    <row r="168">
      <c r="A168" s="54" t="n"/>
      <c r="B168" s="61" t="n"/>
      <c r="C168" s="61" t="n"/>
      <c r="D168" s="61" t="n"/>
      <c r="E168" s="61" t="n"/>
      <c r="F168" s="55" t="n"/>
      <c r="G168" s="56" t="n"/>
      <c r="H168" s="55" t="n"/>
      <c r="I168" s="62" t="n"/>
      <c r="J168" s="58" t="n"/>
      <c r="K168" s="63">
        <f>IF(tblMovement[[#This Row],[Source]]="","",IFERROR(INDEX(tblSources[Type],MATCH(tblMovement[[#This Row],[Source]],tblSources[Source],0)),"?"))</f>
        <v/>
      </c>
      <c r="L168" s="63">
        <f>IF(tblMovement[[#This Row],[Destination]]="","",IFERROR(INDEX(tblDestinations[Type],MATCH(tblMovement[[#This Row],[Destination]],tblDestinations[Destination],0)),"?"))</f>
        <v/>
      </c>
      <c r="M168" s="64">
        <f>IF(tblMovement[[#This Row],[Material]]="","",IF(LEFT(tblMovement[[#This Row],[Material]],3)="Ore",1,0))</f>
        <v/>
      </c>
      <c r="N168" s="59">
        <f>IF(OR(tblMovement[[#This Row],[Tonnes_t]]="",tblMovement[[#This Row],[Grade_gpt]]=""),0,tblMovement[[#This Row],[Tonnes_t]]*tblMovement[[#This Row],[Grade_gpt]]/cfg_TroyOz)</f>
        <v/>
      </c>
      <c r="O168" s="59">
        <f>IF(tblMovement[[#This Row],[Is_Ore]]=1,tblMovement[[#This Row],[Contained_oz]],0)</f>
        <v/>
      </c>
    </row>
    <row r="169">
      <c r="A169" s="54" t="n"/>
      <c r="B169" s="61" t="n"/>
      <c r="C169" s="61" t="n"/>
      <c r="D169" s="61" t="n"/>
      <c r="E169" s="61" t="n"/>
      <c r="F169" s="55" t="n"/>
      <c r="G169" s="56" t="n"/>
      <c r="H169" s="55" t="n"/>
      <c r="I169" s="62" t="n"/>
      <c r="J169" s="58" t="n"/>
      <c r="K169" s="63">
        <f>IF(tblMovement[[#This Row],[Source]]="","",IFERROR(INDEX(tblSources[Type],MATCH(tblMovement[[#This Row],[Source]],tblSources[Source],0)),"?"))</f>
        <v/>
      </c>
      <c r="L169" s="63">
        <f>IF(tblMovement[[#This Row],[Destination]]="","",IFERROR(INDEX(tblDestinations[Type],MATCH(tblMovement[[#This Row],[Destination]],tblDestinations[Destination],0)),"?"))</f>
        <v/>
      </c>
      <c r="M169" s="64">
        <f>IF(tblMovement[[#This Row],[Material]]="","",IF(LEFT(tblMovement[[#This Row],[Material]],3)="Ore",1,0))</f>
        <v/>
      </c>
      <c r="N169" s="59">
        <f>IF(OR(tblMovement[[#This Row],[Tonnes_t]]="",tblMovement[[#This Row],[Grade_gpt]]=""),0,tblMovement[[#This Row],[Tonnes_t]]*tblMovement[[#This Row],[Grade_gpt]]/cfg_TroyOz)</f>
        <v/>
      </c>
      <c r="O169" s="59">
        <f>IF(tblMovement[[#This Row],[Is_Ore]]=1,tblMovement[[#This Row],[Contained_oz]],0)</f>
        <v/>
      </c>
    </row>
    <row r="170">
      <c r="A170" s="54" t="n"/>
      <c r="B170" s="61" t="n"/>
      <c r="C170" s="61" t="n"/>
      <c r="D170" s="61" t="n"/>
      <c r="E170" s="61" t="n"/>
      <c r="F170" s="55" t="n"/>
      <c r="G170" s="56" t="n"/>
      <c r="H170" s="55" t="n"/>
      <c r="I170" s="62" t="n"/>
      <c r="J170" s="58" t="n"/>
      <c r="K170" s="63">
        <f>IF(tblMovement[[#This Row],[Source]]="","",IFERROR(INDEX(tblSources[Type],MATCH(tblMovement[[#This Row],[Source]],tblSources[Source],0)),"?"))</f>
        <v/>
      </c>
      <c r="L170" s="63">
        <f>IF(tblMovement[[#This Row],[Destination]]="","",IFERROR(INDEX(tblDestinations[Type],MATCH(tblMovement[[#This Row],[Destination]],tblDestinations[Destination],0)),"?"))</f>
        <v/>
      </c>
      <c r="M170" s="64">
        <f>IF(tblMovement[[#This Row],[Material]]="","",IF(LEFT(tblMovement[[#This Row],[Material]],3)="Ore",1,0))</f>
        <v/>
      </c>
      <c r="N170" s="59">
        <f>IF(OR(tblMovement[[#This Row],[Tonnes_t]]="",tblMovement[[#This Row],[Grade_gpt]]=""),0,tblMovement[[#This Row],[Tonnes_t]]*tblMovement[[#This Row],[Grade_gpt]]/cfg_TroyOz)</f>
        <v/>
      </c>
      <c r="O170" s="59">
        <f>IF(tblMovement[[#This Row],[Is_Ore]]=1,tblMovement[[#This Row],[Contained_oz]],0)</f>
        <v/>
      </c>
    </row>
    <row r="171">
      <c r="A171" s="54" t="n"/>
      <c r="B171" s="61" t="n"/>
      <c r="C171" s="61" t="n"/>
      <c r="D171" s="61" t="n"/>
      <c r="E171" s="61" t="n"/>
      <c r="F171" s="55" t="n"/>
      <c r="G171" s="56" t="n"/>
      <c r="H171" s="55" t="n"/>
      <c r="I171" s="62" t="n"/>
      <c r="J171" s="58" t="n"/>
      <c r="K171" s="63">
        <f>IF(tblMovement[[#This Row],[Source]]="","",IFERROR(INDEX(tblSources[Type],MATCH(tblMovement[[#This Row],[Source]],tblSources[Source],0)),"?"))</f>
        <v/>
      </c>
      <c r="L171" s="63">
        <f>IF(tblMovement[[#This Row],[Destination]]="","",IFERROR(INDEX(tblDestinations[Type],MATCH(tblMovement[[#This Row],[Destination]],tblDestinations[Destination],0)),"?"))</f>
        <v/>
      </c>
      <c r="M171" s="64">
        <f>IF(tblMovement[[#This Row],[Material]]="","",IF(LEFT(tblMovement[[#This Row],[Material]],3)="Ore",1,0))</f>
        <v/>
      </c>
      <c r="N171" s="59">
        <f>IF(OR(tblMovement[[#This Row],[Tonnes_t]]="",tblMovement[[#This Row],[Grade_gpt]]=""),0,tblMovement[[#This Row],[Tonnes_t]]*tblMovement[[#This Row],[Grade_gpt]]/cfg_TroyOz)</f>
        <v/>
      </c>
      <c r="O171" s="59">
        <f>IF(tblMovement[[#This Row],[Is_Ore]]=1,tblMovement[[#This Row],[Contained_oz]],0)</f>
        <v/>
      </c>
    </row>
    <row r="172">
      <c r="A172" s="54" t="n"/>
      <c r="B172" s="61" t="n"/>
      <c r="C172" s="61" t="n"/>
      <c r="D172" s="61" t="n"/>
      <c r="E172" s="61" t="n"/>
      <c r="F172" s="55" t="n"/>
      <c r="G172" s="56" t="n"/>
      <c r="H172" s="55" t="n"/>
      <c r="I172" s="62" t="n"/>
      <c r="J172" s="58" t="n"/>
      <c r="K172" s="63">
        <f>IF(tblMovement[[#This Row],[Source]]="","",IFERROR(INDEX(tblSources[Type],MATCH(tblMovement[[#This Row],[Source]],tblSources[Source],0)),"?"))</f>
        <v/>
      </c>
      <c r="L172" s="63">
        <f>IF(tblMovement[[#This Row],[Destination]]="","",IFERROR(INDEX(tblDestinations[Type],MATCH(tblMovement[[#This Row],[Destination]],tblDestinations[Destination],0)),"?"))</f>
        <v/>
      </c>
      <c r="M172" s="64">
        <f>IF(tblMovement[[#This Row],[Material]]="","",IF(LEFT(tblMovement[[#This Row],[Material]],3)="Ore",1,0))</f>
        <v/>
      </c>
      <c r="N172" s="59">
        <f>IF(OR(tblMovement[[#This Row],[Tonnes_t]]="",tblMovement[[#This Row],[Grade_gpt]]=""),0,tblMovement[[#This Row],[Tonnes_t]]*tblMovement[[#This Row],[Grade_gpt]]/cfg_TroyOz)</f>
        <v/>
      </c>
      <c r="O172" s="59">
        <f>IF(tblMovement[[#This Row],[Is_Ore]]=1,tblMovement[[#This Row],[Contained_oz]],0)</f>
        <v/>
      </c>
    </row>
    <row r="173">
      <c r="A173" s="54" t="n"/>
      <c r="B173" s="61" t="n"/>
      <c r="C173" s="61" t="n"/>
      <c r="D173" s="61" t="n"/>
      <c r="E173" s="61" t="n"/>
      <c r="F173" s="55" t="n"/>
      <c r="G173" s="56" t="n"/>
      <c r="H173" s="55" t="n"/>
      <c r="I173" s="62" t="n"/>
      <c r="J173" s="58" t="n"/>
      <c r="K173" s="63">
        <f>IF(tblMovement[[#This Row],[Source]]="","",IFERROR(INDEX(tblSources[Type],MATCH(tblMovement[[#This Row],[Source]],tblSources[Source],0)),"?"))</f>
        <v/>
      </c>
      <c r="L173" s="63">
        <f>IF(tblMovement[[#This Row],[Destination]]="","",IFERROR(INDEX(tblDestinations[Type],MATCH(tblMovement[[#This Row],[Destination]],tblDestinations[Destination],0)),"?"))</f>
        <v/>
      </c>
      <c r="M173" s="64">
        <f>IF(tblMovement[[#This Row],[Material]]="","",IF(LEFT(tblMovement[[#This Row],[Material]],3)="Ore",1,0))</f>
        <v/>
      </c>
      <c r="N173" s="59">
        <f>IF(OR(tblMovement[[#This Row],[Tonnes_t]]="",tblMovement[[#This Row],[Grade_gpt]]=""),0,tblMovement[[#This Row],[Tonnes_t]]*tblMovement[[#This Row],[Grade_gpt]]/cfg_TroyOz)</f>
        <v/>
      </c>
      <c r="O173" s="59">
        <f>IF(tblMovement[[#This Row],[Is_Ore]]=1,tblMovement[[#This Row],[Contained_oz]],0)</f>
        <v/>
      </c>
    </row>
    <row r="174">
      <c r="A174" s="54" t="n"/>
      <c r="B174" s="61" t="n"/>
      <c r="C174" s="61" t="n"/>
      <c r="D174" s="61" t="n"/>
      <c r="E174" s="61" t="n"/>
      <c r="F174" s="55" t="n"/>
      <c r="G174" s="56" t="n"/>
      <c r="H174" s="55" t="n"/>
      <c r="I174" s="62" t="n"/>
      <c r="J174" s="58" t="n"/>
      <c r="K174" s="63">
        <f>IF(tblMovement[[#This Row],[Source]]="","",IFERROR(INDEX(tblSources[Type],MATCH(tblMovement[[#This Row],[Source]],tblSources[Source],0)),"?"))</f>
        <v/>
      </c>
      <c r="L174" s="63">
        <f>IF(tblMovement[[#This Row],[Destination]]="","",IFERROR(INDEX(tblDestinations[Type],MATCH(tblMovement[[#This Row],[Destination]],tblDestinations[Destination],0)),"?"))</f>
        <v/>
      </c>
      <c r="M174" s="64">
        <f>IF(tblMovement[[#This Row],[Material]]="","",IF(LEFT(tblMovement[[#This Row],[Material]],3)="Ore",1,0))</f>
        <v/>
      </c>
      <c r="N174" s="59">
        <f>IF(OR(tblMovement[[#This Row],[Tonnes_t]]="",tblMovement[[#This Row],[Grade_gpt]]=""),0,tblMovement[[#This Row],[Tonnes_t]]*tblMovement[[#This Row],[Grade_gpt]]/cfg_TroyOz)</f>
        <v/>
      </c>
      <c r="O174" s="59">
        <f>IF(tblMovement[[#This Row],[Is_Ore]]=1,tblMovement[[#This Row],[Contained_oz]],0)</f>
        <v/>
      </c>
    </row>
    <row r="175">
      <c r="A175" s="54" t="n"/>
      <c r="B175" s="61" t="n"/>
      <c r="C175" s="61" t="n"/>
      <c r="D175" s="61" t="n"/>
      <c r="E175" s="61" t="n"/>
      <c r="F175" s="55" t="n"/>
      <c r="G175" s="56" t="n"/>
      <c r="H175" s="55" t="n"/>
      <c r="I175" s="62" t="n"/>
      <c r="J175" s="58" t="n"/>
      <c r="K175" s="63">
        <f>IF(tblMovement[[#This Row],[Source]]="","",IFERROR(INDEX(tblSources[Type],MATCH(tblMovement[[#This Row],[Source]],tblSources[Source],0)),"?"))</f>
        <v/>
      </c>
      <c r="L175" s="63">
        <f>IF(tblMovement[[#This Row],[Destination]]="","",IFERROR(INDEX(tblDestinations[Type],MATCH(tblMovement[[#This Row],[Destination]],tblDestinations[Destination],0)),"?"))</f>
        <v/>
      </c>
      <c r="M175" s="64">
        <f>IF(tblMovement[[#This Row],[Material]]="","",IF(LEFT(tblMovement[[#This Row],[Material]],3)="Ore",1,0))</f>
        <v/>
      </c>
      <c r="N175" s="59">
        <f>IF(OR(tblMovement[[#This Row],[Tonnes_t]]="",tblMovement[[#This Row],[Grade_gpt]]=""),0,tblMovement[[#This Row],[Tonnes_t]]*tblMovement[[#This Row],[Grade_gpt]]/cfg_TroyOz)</f>
        <v/>
      </c>
      <c r="O175" s="59">
        <f>IF(tblMovement[[#This Row],[Is_Ore]]=1,tblMovement[[#This Row],[Contained_oz]],0)</f>
        <v/>
      </c>
    </row>
    <row r="176">
      <c r="A176" s="54" t="n"/>
      <c r="B176" s="61" t="n"/>
      <c r="C176" s="61" t="n"/>
      <c r="D176" s="61" t="n"/>
      <c r="E176" s="61" t="n"/>
      <c r="F176" s="55" t="n"/>
      <c r="G176" s="56" t="n"/>
      <c r="H176" s="55" t="n"/>
      <c r="I176" s="62" t="n"/>
      <c r="J176" s="58" t="n"/>
      <c r="K176" s="63">
        <f>IF(tblMovement[[#This Row],[Source]]="","",IFERROR(INDEX(tblSources[Type],MATCH(tblMovement[[#This Row],[Source]],tblSources[Source],0)),"?"))</f>
        <v/>
      </c>
      <c r="L176" s="63">
        <f>IF(tblMovement[[#This Row],[Destination]]="","",IFERROR(INDEX(tblDestinations[Type],MATCH(tblMovement[[#This Row],[Destination]],tblDestinations[Destination],0)),"?"))</f>
        <v/>
      </c>
      <c r="M176" s="64">
        <f>IF(tblMovement[[#This Row],[Material]]="","",IF(LEFT(tblMovement[[#This Row],[Material]],3)="Ore",1,0))</f>
        <v/>
      </c>
      <c r="N176" s="59">
        <f>IF(OR(tblMovement[[#This Row],[Tonnes_t]]="",tblMovement[[#This Row],[Grade_gpt]]=""),0,tblMovement[[#This Row],[Tonnes_t]]*tblMovement[[#This Row],[Grade_gpt]]/cfg_TroyOz)</f>
        <v/>
      </c>
      <c r="O176" s="59">
        <f>IF(tblMovement[[#This Row],[Is_Ore]]=1,tblMovement[[#This Row],[Contained_oz]],0)</f>
        <v/>
      </c>
    </row>
    <row r="177">
      <c r="A177" s="54" t="n"/>
      <c r="B177" s="61" t="n"/>
      <c r="C177" s="61" t="n"/>
      <c r="D177" s="61" t="n"/>
      <c r="E177" s="61" t="n"/>
      <c r="F177" s="55" t="n"/>
      <c r="G177" s="56" t="n"/>
      <c r="H177" s="55" t="n"/>
      <c r="I177" s="62" t="n"/>
      <c r="J177" s="58" t="n"/>
      <c r="K177" s="63">
        <f>IF(tblMovement[[#This Row],[Source]]="","",IFERROR(INDEX(tblSources[Type],MATCH(tblMovement[[#This Row],[Source]],tblSources[Source],0)),"?"))</f>
        <v/>
      </c>
      <c r="L177" s="63">
        <f>IF(tblMovement[[#This Row],[Destination]]="","",IFERROR(INDEX(tblDestinations[Type],MATCH(tblMovement[[#This Row],[Destination]],tblDestinations[Destination],0)),"?"))</f>
        <v/>
      </c>
      <c r="M177" s="64">
        <f>IF(tblMovement[[#This Row],[Material]]="","",IF(LEFT(tblMovement[[#This Row],[Material]],3)="Ore",1,0))</f>
        <v/>
      </c>
      <c r="N177" s="59">
        <f>IF(OR(tblMovement[[#This Row],[Tonnes_t]]="",tblMovement[[#This Row],[Grade_gpt]]=""),0,tblMovement[[#This Row],[Tonnes_t]]*tblMovement[[#This Row],[Grade_gpt]]/cfg_TroyOz)</f>
        <v/>
      </c>
      <c r="O177" s="59">
        <f>IF(tblMovement[[#This Row],[Is_Ore]]=1,tblMovement[[#This Row],[Contained_oz]],0)</f>
        <v/>
      </c>
    </row>
    <row r="178">
      <c r="A178" s="54" t="n"/>
      <c r="B178" s="61" t="n"/>
      <c r="C178" s="61" t="n"/>
      <c r="D178" s="61" t="n"/>
      <c r="E178" s="61" t="n"/>
      <c r="F178" s="55" t="n"/>
      <c r="G178" s="56" t="n"/>
      <c r="H178" s="55" t="n"/>
      <c r="I178" s="62" t="n"/>
      <c r="J178" s="58" t="n"/>
      <c r="K178" s="63">
        <f>IF(tblMovement[[#This Row],[Source]]="","",IFERROR(INDEX(tblSources[Type],MATCH(tblMovement[[#This Row],[Source]],tblSources[Source],0)),"?"))</f>
        <v/>
      </c>
      <c r="L178" s="63">
        <f>IF(tblMovement[[#This Row],[Destination]]="","",IFERROR(INDEX(tblDestinations[Type],MATCH(tblMovement[[#This Row],[Destination]],tblDestinations[Destination],0)),"?"))</f>
        <v/>
      </c>
      <c r="M178" s="64">
        <f>IF(tblMovement[[#This Row],[Material]]="","",IF(LEFT(tblMovement[[#This Row],[Material]],3)="Ore",1,0))</f>
        <v/>
      </c>
      <c r="N178" s="59">
        <f>IF(OR(tblMovement[[#This Row],[Tonnes_t]]="",tblMovement[[#This Row],[Grade_gpt]]=""),0,tblMovement[[#This Row],[Tonnes_t]]*tblMovement[[#This Row],[Grade_gpt]]/cfg_TroyOz)</f>
        <v/>
      </c>
      <c r="O178" s="59">
        <f>IF(tblMovement[[#This Row],[Is_Ore]]=1,tblMovement[[#This Row],[Contained_oz]],0)</f>
        <v/>
      </c>
    </row>
    <row r="179">
      <c r="A179" s="54" t="n"/>
      <c r="B179" s="61" t="n"/>
      <c r="C179" s="61" t="n"/>
      <c r="D179" s="61" t="n"/>
      <c r="E179" s="61" t="n"/>
      <c r="F179" s="55" t="n"/>
      <c r="G179" s="56" t="n"/>
      <c r="H179" s="55" t="n"/>
      <c r="I179" s="62" t="n"/>
      <c r="J179" s="58" t="n"/>
      <c r="K179" s="63">
        <f>IF(tblMovement[[#This Row],[Source]]="","",IFERROR(INDEX(tblSources[Type],MATCH(tblMovement[[#This Row],[Source]],tblSources[Source],0)),"?"))</f>
        <v/>
      </c>
      <c r="L179" s="63">
        <f>IF(tblMovement[[#This Row],[Destination]]="","",IFERROR(INDEX(tblDestinations[Type],MATCH(tblMovement[[#This Row],[Destination]],tblDestinations[Destination],0)),"?"))</f>
        <v/>
      </c>
      <c r="M179" s="64">
        <f>IF(tblMovement[[#This Row],[Material]]="","",IF(LEFT(tblMovement[[#This Row],[Material]],3)="Ore",1,0))</f>
        <v/>
      </c>
      <c r="N179" s="59">
        <f>IF(OR(tblMovement[[#This Row],[Tonnes_t]]="",tblMovement[[#This Row],[Grade_gpt]]=""),0,tblMovement[[#This Row],[Tonnes_t]]*tblMovement[[#This Row],[Grade_gpt]]/cfg_TroyOz)</f>
        <v/>
      </c>
      <c r="O179" s="59">
        <f>IF(tblMovement[[#This Row],[Is_Ore]]=1,tblMovement[[#This Row],[Contained_oz]],0)</f>
        <v/>
      </c>
    </row>
    <row r="180">
      <c r="A180" s="54" t="n"/>
      <c r="B180" s="61" t="n"/>
      <c r="C180" s="61" t="n"/>
      <c r="D180" s="61" t="n"/>
      <c r="E180" s="61" t="n"/>
      <c r="F180" s="55" t="n"/>
      <c r="G180" s="56" t="n"/>
      <c r="H180" s="55" t="n"/>
      <c r="I180" s="62" t="n"/>
      <c r="J180" s="58" t="n"/>
      <c r="K180" s="63">
        <f>IF(tblMovement[[#This Row],[Source]]="","",IFERROR(INDEX(tblSources[Type],MATCH(tblMovement[[#This Row],[Source]],tblSources[Source],0)),"?"))</f>
        <v/>
      </c>
      <c r="L180" s="63">
        <f>IF(tblMovement[[#This Row],[Destination]]="","",IFERROR(INDEX(tblDestinations[Type],MATCH(tblMovement[[#This Row],[Destination]],tblDestinations[Destination],0)),"?"))</f>
        <v/>
      </c>
      <c r="M180" s="64">
        <f>IF(tblMovement[[#This Row],[Material]]="","",IF(LEFT(tblMovement[[#This Row],[Material]],3)="Ore",1,0))</f>
        <v/>
      </c>
      <c r="N180" s="59">
        <f>IF(OR(tblMovement[[#This Row],[Tonnes_t]]="",tblMovement[[#This Row],[Grade_gpt]]=""),0,tblMovement[[#This Row],[Tonnes_t]]*tblMovement[[#This Row],[Grade_gpt]]/cfg_TroyOz)</f>
        <v/>
      </c>
      <c r="O180" s="59">
        <f>IF(tblMovement[[#This Row],[Is_Ore]]=1,tblMovement[[#This Row],[Contained_oz]],0)</f>
        <v/>
      </c>
    </row>
    <row r="181">
      <c r="A181" s="54" t="n"/>
      <c r="B181" s="61" t="n"/>
      <c r="C181" s="61" t="n"/>
      <c r="D181" s="61" t="n"/>
      <c r="E181" s="61" t="n"/>
      <c r="F181" s="55" t="n"/>
      <c r="G181" s="56" t="n"/>
      <c r="H181" s="55" t="n"/>
      <c r="I181" s="62" t="n"/>
      <c r="J181" s="58" t="n"/>
      <c r="K181" s="63">
        <f>IF(tblMovement[[#This Row],[Source]]="","",IFERROR(INDEX(tblSources[Type],MATCH(tblMovement[[#This Row],[Source]],tblSources[Source],0)),"?"))</f>
        <v/>
      </c>
      <c r="L181" s="63">
        <f>IF(tblMovement[[#This Row],[Destination]]="","",IFERROR(INDEX(tblDestinations[Type],MATCH(tblMovement[[#This Row],[Destination]],tblDestinations[Destination],0)),"?"))</f>
        <v/>
      </c>
      <c r="M181" s="64">
        <f>IF(tblMovement[[#This Row],[Material]]="","",IF(LEFT(tblMovement[[#This Row],[Material]],3)="Ore",1,0))</f>
        <v/>
      </c>
      <c r="N181" s="59">
        <f>IF(OR(tblMovement[[#This Row],[Tonnes_t]]="",tblMovement[[#This Row],[Grade_gpt]]=""),0,tblMovement[[#This Row],[Tonnes_t]]*tblMovement[[#This Row],[Grade_gpt]]/cfg_TroyOz)</f>
        <v/>
      </c>
      <c r="O181" s="59">
        <f>IF(tblMovement[[#This Row],[Is_Ore]]=1,tblMovement[[#This Row],[Contained_oz]],0)</f>
        <v/>
      </c>
    </row>
    <row r="182">
      <c r="A182" s="54" t="n"/>
      <c r="B182" s="61" t="n"/>
      <c r="C182" s="61" t="n"/>
      <c r="D182" s="61" t="n"/>
      <c r="E182" s="61" t="n"/>
      <c r="F182" s="55" t="n"/>
      <c r="G182" s="56" t="n"/>
      <c r="H182" s="55" t="n"/>
      <c r="I182" s="62" t="n"/>
      <c r="J182" s="58" t="n"/>
      <c r="K182" s="63">
        <f>IF(tblMovement[[#This Row],[Source]]="","",IFERROR(INDEX(tblSources[Type],MATCH(tblMovement[[#This Row],[Source]],tblSources[Source],0)),"?"))</f>
        <v/>
      </c>
      <c r="L182" s="63">
        <f>IF(tblMovement[[#This Row],[Destination]]="","",IFERROR(INDEX(tblDestinations[Type],MATCH(tblMovement[[#This Row],[Destination]],tblDestinations[Destination],0)),"?"))</f>
        <v/>
      </c>
      <c r="M182" s="64">
        <f>IF(tblMovement[[#This Row],[Material]]="","",IF(LEFT(tblMovement[[#This Row],[Material]],3)="Ore",1,0))</f>
        <v/>
      </c>
      <c r="N182" s="59">
        <f>IF(OR(tblMovement[[#This Row],[Tonnes_t]]="",tblMovement[[#This Row],[Grade_gpt]]=""),0,tblMovement[[#This Row],[Tonnes_t]]*tblMovement[[#This Row],[Grade_gpt]]/cfg_TroyOz)</f>
        <v/>
      </c>
      <c r="O182" s="59">
        <f>IF(tblMovement[[#This Row],[Is_Ore]]=1,tblMovement[[#This Row],[Contained_oz]],0)</f>
        <v/>
      </c>
    </row>
    <row r="183">
      <c r="A183" s="54" t="n"/>
      <c r="B183" s="61" t="n"/>
      <c r="C183" s="61" t="n"/>
      <c r="D183" s="61" t="n"/>
      <c r="E183" s="61" t="n"/>
      <c r="F183" s="55" t="n"/>
      <c r="G183" s="56" t="n"/>
      <c r="H183" s="55" t="n"/>
      <c r="I183" s="62" t="n"/>
      <c r="J183" s="58" t="n"/>
      <c r="K183" s="63">
        <f>IF(tblMovement[[#This Row],[Source]]="","",IFERROR(INDEX(tblSources[Type],MATCH(tblMovement[[#This Row],[Source]],tblSources[Source],0)),"?"))</f>
        <v/>
      </c>
      <c r="L183" s="63">
        <f>IF(tblMovement[[#This Row],[Destination]]="","",IFERROR(INDEX(tblDestinations[Type],MATCH(tblMovement[[#This Row],[Destination]],tblDestinations[Destination],0)),"?"))</f>
        <v/>
      </c>
      <c r="M183" s="64">
        <f>IF(tblMovement[[#This Row],[Material]]="","",IF(LEFT(tblMovement[[#This Row],[Material]],3)="Ore",1,0))</f>
        <v/>
      </c>
      <c r="N183" s="59">
        <f>IF(OR(tblMovement[[#This Row],[Tonnes_t]]="",tblMovement[[#This Row],[Grade_gpt]]=""),0,tblMovement[[#This Row],[Tonnes_t]]*tblMovement[[#This Row],[Grade_gpt]]/cfg_TroyOz)</f>
        <v/>
      </c>
      <c r="O183" s="59">
        <f>IF(tblMovement[[#This Row],[Is_Ore]]=1,tblMovement[[#This Row],[Contained_oz]],0)</f>
        <v/>
      </c>
    </row>
    <row r="184">
      <c r="A184" s="54" t="n"/>
      <c r="B184" s="61" t="n"/>
      <c r="C184" s="61" t="n"/>
      <c r="D184" s="61" t="n"/>
      <c r="E184" s="61" t="n"/>
      <c r="F184" s="55" t="n"/>
      <c r="G184" s="56" t="n"/>
      <c r="H184" s="55" t="n"/>
      <c r="I184" s="62" t="n"/>
      <c r="J184" s="58" t="n"/>
      <c r="K184" s="63">
        <f>IF(tblMovement[[#This Row],[Source]]="","",IFERROR(INDEX(tblSources[Type],MATCH(tblMovement[[#This Row],[Source]],tblSources[Source],0)),"?"))</f>
        <v/>
      </c>
      <c r="L184" s="63">
        <f>IF(tblMovement[[#This Row],[Destination]]="","",IFERROR(INDEX(tblDestinations[Type],MATCH(tblMovement[[#This Row],[Destination]],tblDestinations[Destination],0)),"?"))</f>
        <v/>
      </c>
      <c r="M184" s="64">
        <f>IF(tblMovement[[#This Row],[Material]]="","",IF(LEFT(tblMovement[[#This Row],[Material]],3)="Ore",1,0))</f>
        <v/>
      </c>
      <c r="N184" s="59">
        <f>IF(OR(tblMovement[[#This Row],[Tonnes_t]]="",tblMovement[[#This Row],[Grade_gpt]]=""),0,tblMovement[[#This Row],[Tonnes_t]]*tblMovement[[#This Row],[Grade_gpt]]/cfg_TroyOz)</f>
        <v/>
      </c>
      <c r="O184" s="59">
        <f>IF(tblMovement[[#This Row],[Is_Ore]]=1,tblMovement[[#This Row],[Contained_oz]],0)</f>
        <v/>
      </c>
    </row>
    <row r="185">
      <c r="A185" s="54" t="n"/>
      <c r="B185" s="61" t="n"/>
      <c r="C185" s="61" t="n"/>
      <c r="D185" s="61" t="n"/>
      <c r="E185" s="61" t="n"/>
      <c r="F185" s="55" t="n"/>
      <c r="G185" s="56" t="n"/>
      <c r="H185" s="55" t="n"/>
      <c r="I185" s="62" t="n"/>
      <c r="J185" s="58" t="n"/>
      <c r="K185" s="63">
        <f>IF(tblMovement[[#This Row],[Source]]="","",IFERROR(INDEX(tblSources[Type],MATCH(tblMovement[[#This Row],[Source]],tblSources[Source],0)),"?"))</f>
        <v/>
      </c>
      <c r="L185" s="63">
        <f>IF(tblMovement[[#This Row],[Destination]]="","",IFERROR(INDEX(tblDestinations[Type],MATCH(tblMovement[[#This Row],[Destination]],tblDestinations[Destination],0)),"?"))</f>
        <v/>
      </c>
      <c r="M185" s="64">
        <f>IF(tblMovement[[#This Row],[Material]]="","",IF(LEFT(tblMovement[[#This Row],[Material]],3)="Ore",1,0))</f>
        <v/>
      </c>
      <c r="N185" s="59">
        <f>IF(OR(tblMovement[[#This Row],[Tonnes_t]]="",tblMovement[[#This Row],[Grade_gpt]]=""),0,tblMovement[[#This Row],[Tonnes_t]]*tblMovement[[#This Row],[Grade_gpt]]/cfg_TroyOz)</f>
        <v/>
      </c>
      <c r="O185" s="59">
        <f>IF(tblMovement[[#This Row],[Is_Ore]]=1,tblMovement[[#This Row],[Contained_oz]],0)</f>
        <v/>
      </c>
    </row>
    <row r="186">
      <c r="A186" s="54" t="n"/>
      <c r="B186" s="61" t="n"/>
      <c r="C186" s="61" t="n"/>
      <c r="D186" s="61" t="n"/>
      <c r="E186" s="61" t="n"/>
      <c r="F186" s="55" t="n"/>
      <c r="G186" s="56" t="n"/>
      <c r="H186" s="55" t="n"/>
      <c r="I186" s="62" t="n"/>
      <c r="J186" s="58" t="n"/>
      <c r="K186" s="63">
        <f>IF(tblMovement[[#This Row],[Source]]="","",IFERROR(INDEX(tblSources[Type],MATCH(tblMovement[[#This Row],[Source]],tblSources[Source],0)),"?"))</f>
        <v/>
      </c>
      <c r="L186" s="63">
        <f>IF(tblMovement[[#This Row],[Destination]]="","",IFERROR(INDEX(tblDestinations[Type],MATCH(tblMovement[[#This Row],[Destination]],tblDestinations[Destination],0)),"?"))</f>
        <v/>
      </c>
      <c r="M186" s="64">
        <f>IF(tblMovement[[#This Row],[Material]]="","",IF(LEFT(tblMovement[[#This Row],[Material]],3)="Ore",1,0))</f>
        <v/>
      </c>
      <c r="N186" s="59">
        <f>IF(OR(tblMovement[[#This Row],[Tonnes_t]]="",tblMovement[[#This Row],[Grade_gpt]]=""),0,tblMovement[[#This Row],[Tonnes_t]]*tblMovement[[#This Row],[Grade_gpt]]/cfg_TroyOz)</f>
        <v/>
      </c>
      <c r="O186" s="59">
        <f>IF(tblMovement[[#This Row],[Is_Ore]]=1,tblMovement[[#This Row],[Contained_oz]],0)</f>
        <v/>
      </c>
    </row>
    <row r="187">
      <c r="A187" s="54" t="n"/>
      <c r="B187" s="61" t="n"/>
      <c r="C187" s="61" t="n"/>
      <c r="D187" s="61" t="n"/>
      <c r="E187" s="61" t="n"/>
      <c r="F187" s="55" t="n"/>
      <c r="G187" s="56" t="n"/>
      <c r="H187" s="55" t="n"/>
      <c r="I187" s="62" t="n"/>
      <c r="J187" s="58" t="n"/>
      <c r="K187" s="63">
        <f>IF(tblMovement[[#This Row],[Source]]="","",IFERROR(INDEX(tblSources[Type],MATCH(tblMovement[[#This Row],[Source]],tblSources[Source],0)),"?"))</f>
        <v/>
      </c>
      <c r="L187" s="63">
        <f>IF(tblMovement[[#This Row],[Destination]]="","",IFERROR(INDEX(tblDestinations[Type],MATCH(tblMovement[[#This Row],[Destination]],tblDestinations[Destination],0)),"?"))</f>
        <v/>
      </c>
      <c r="M187" s="64">
        <f>IF(tblMovement[[#This Row],[Material]]="","",IF(LEFT(tblMovement[[#This Row],[Material]],3)="Ore",1,0))</f>
        <v/>
      </c>
      <c r="N187" s="59">
        <f>IF(OR(tblMovement[[#This Row],[Tonnes_t]]="",tblMovement[[#This Row],[Grade_gpt]]=""),0,tblMovement[[#This Row],[Tonnes_t]]*tblMovement[[#This Row],[Grade_gpt]]/cfg_TroyOz)</f>
        <v/>
      </c>
      <c r="O187" s="59">
        <f>IF(tblMovement[[#This Row],[Is_Ore]]=1,tblMovement[[#This Row],[Contained_oz]],0)</f>
        <v/>
      </c>
    </row>
    <row r="188">
      <c r="A188" s="54" t="n"/>
      <c r="B188" s="61" t="n"/>
      <c r="C188" s="61" t="n"/>
      <c r="D188" s="61" t="n"/>
      <c r="E188" s="61" t="n"/>
      <c r="F188" s="55" t="n"/>
      <c r="G188" s="56" t="n"/>
      <c r="H188" s="55" t="n"/>
      <c r="I188" s="62" t="n"/>
      <c r="J188" s="58" t="n"/>
      <c r="K188" s="63">
        <f>IF(tblMovement[[#This Row],[Source]]="","",IFERROR(INDEX(tblSources[Type],MATCH(tblMovement[[#This Row],[Source]],tblSources[Source],0)),"?"))</f>
        <v/>
      </c>
      <c r="L188" s="63">
        <f>IF(tblMovement[[#This Row],[Destination]]="","",IFERROR(INDEX(tblDestinations[Type],MATCH(tblMovement[[#This Row],[Destination]],tblDestinations[Destination],0)),"?"))</f>
        <v/>
      </c>
      <c r="M188" s="64">
        <f>IF(tblMovement[[#This Row],[Material]]="","",IF(LEFT(tblMovement[[#This Row],[Material]],3)="Ore",1,0))</f>
        <v/>
      </c>
      <c r="N188" s="59">
        <f>IF(OR(tblMovement[[#This Row],[Tonnes_t]]="",tblMovement[[#This Row],[Grade_gpt]]=""),0,tblMovement[[#This Row],[Tonnes_t]]*tblMovement[[#This Row],[Grade_gpt]]/cfg_TroyOz)</f>
        <v/>
      </c>
      <c r="O188" s="59">
        <f>IF(tblMovement[[#This Row],[Is_Ore]]=1,tblMovement[[#This Row],[Contained_oz]],0)</f>
        <v/>
      </c>
    </row>
    <row r="189">
      <c r="A189" s="54" t="n"/>
      <c r="B189" s="61" t="n"/>
      <c r="C189" s="61" t="n"/>
      <c r="D189" s="61" t="n"/>
      <c r="E189" s="61" t="n"/>
      <c r="F189" s="55" t="n"/>
      <c r="G189" s="56" t="n"/>
      <c r="H189" s="55" t="n"/>
      <c r="I189" s="62" t="n"/>
      <c r="J189" s="58" t="n"/>
      <c r="K189" s="63">
        <f>IF(tblMovement[[#This Row],[Source]]="","",IFERROR(INDEX(tblSources[Type],MATCH(tblMovement[[#This Row],[Source]],tblSources[Source],0)),"?"))</f>
        <v/>
      </c>
      <c r="L189" s="63">
        <f>IF(tblMovement[[#This Row],[Destination]]="","",IFERROR(INDEX(tblDestinations[Type],MATCH(tblMovement[[#This Row],[Destination]],tblDestinations[Destination],0)),"?"))</f>
        <v/>
      </c>
      <c r="M189" s="64">
        <f>IF(tblMovement[[#This Row],[Material]]="","",IF(LEFT(tblMovement[[#This Row],[Material]],3)="Ore",1,0))</f>
        <v/>
      </c>
      <c r="N189" s="59">
        <f>IF(OR(tblMovement[[#This Row],[Tonnes_t]]="",tblMovement[[#This Row],[Grade_gpt]]=""),0,tblMovement[[#This Row],[Tonnes_t]]*tblMovement[[#This Row],[Grade_gpt]]/cfg_TroyOz)</f>
        <v/>
      </c>
      <c r="O189" s="59">
        <f>IF(tblMovement[[#This Row],[Is_Ore]]=1,tblMovement[[#This Row],[Contained_oz]],0)</f>
        <v/>
      </c>
    </row>
    <row r="190">
      <c r="A190" s="54" t="n"/>
      <c r="B190" s="61" t="n"/>
      <c r="C190" s="61" t="n"/>
      <c r="D190" s="61" t="n"/>
      <c r="E190" s="61" t="n"/>
      <c r="F190" s="55" t="n"/>
      <c r="G190" s="56" t="n"/>
      <c r="H190" s="55" t="n"/>
      <c r="I190" s="62" t="n"/>
      <c r="J190" s="58" t="n"/>
      <c r="K190" s="63">
        <f>IF(tblMovement[[#This Row],[Source]]="","",IFERROR(INDEX(tblSources[Type],MATCH(tblMovement[[#This Row],[Source]],tblSources[Source],0)),"?"))</f>
        <v/>
      </c>
      <c r="L190" s="63">
        <f>IF(tblMovement[[#This Row],[Destination]]="","",IFERROR(INDEX(tblDestinations[Type],MATCH(tblMovement[[#This Row],[Destination]],tblDestinations[Destination],0)),"?"))</f>
        <v/>
      </c>
      <c r="M190" s="64">
        <f>IF(tblMovement[[#This Row],[Material]]="","",IF(LEFT(tblMovement[[#This Row],[Material]],3)="Ore",1,0))</f>
        <v/>
      </c>
      <c r="N190" s="59">
        <f>IF(OR(tblMovement[[#This Row],[Tonnes_t]]="",tblMovement[[#This Row],[Grade_gpt]]=""),0,tblMovement[[#This Row],[Tonnes_t]]*tblMovement[[#This Row],[Grade_gpt]]/cfg_TroyOz)</f>
        <v/>
      </c>
      <c r="O190" s="59">
        <f>IF(tblMovement[[#This Row],[Is_Ore]]=1,tblMovement[[#This Row],[Contained_oz]],0)</f>
        <v/>
      </c>
    </row>
    <row r="191">
      <c r="A191" s="54" t="n"/>
      <c r="B191" s="61" t="n"/>
      <c r="C191" s="61" t="n"/>
      <c r="D191" s="61" t="n"/>
      <c r="E191" s="61" t="n"/>
      <c r="F191" s="55" t="n"/>
      <c r="G191" s="56" t="n"/>
      <c r="H191" s="55" t="n"/>
      <c r="I191" s="62" t="n"/>
      <c r="J191" s="58" t="n"/>
      <c r="K191" s="63">
        <f>IF(tblMovement[[#This Row],[Source]]="","",IFERROR(INDEX(tblSources[Type],MATCH(tblMovement[[#This Row],[Source]],tblSources[Source],0)),"?"))</f>
        <v/>
      </c>
      <c r="L191" s="63">
        <f>IF(tblMovement[[#This Row],[Destination]]="","",IFERROR(INDEX(tblDestinations[Type],MATCH(tblMovement[[#This Row],[Destination]],tblDestinations[Destination],0)),"?"))</f>
        <v/>
      </c>
      <c r="M191" s="64">
        <f>IF(tblMovement[[#This Row],[Material]]="","",IF(LEFT(tblMovement[[#This Row],[Material]],3)="Ore",1,0))</f>
        <v/>
      </c>
      <c r="N191" s="59">
        <f>IF(OR(tblMovement[[#This Row],[Tonnes_t]]="",tblMovement[[#This Row],[Grade_gpt]]=""),0,tblMovement[[#This Row],[Tonnes_t]]*tblMovement[[#This Row],[Grade_gpt]]/cfg_TroyOz)</f>
        <v/>
      </c>
      <c r="O191" s="59">
        <f>IF(tblMovement[[#This Row],[Is_Ore]]=1,tblMovement[[#This Row],[Contained_oz]],0)</f>
        <v/>
      </c>
    </row>
    <row r="192">
      <c r="A192" s="54" t="n"/>
      <c r="B192" s="61" t="n"/>
      <c r="C192" s="61" t="n"/>
      <c r="D192" s="61" t="n"/>
      <c r="E192" s="61" t="n"/>
      <c r="F192" s="55" t="n"/>
      <c r="G192" s="56" t="n"/>
      <c r="H192" s="55" t="n"/>
      <c r="I192" s="62" t="n"/>
      <c r="J192" s="58" t="n"/>
      <c r="K192" s="63">
        <f>IF(tblMovement[[#This Row],[Source]]="","",IFERROR(INDEX(tblSources[Type],MATCH(tblMovement[[#This Row],[Source]],tblSources[Source],0)),"?"))</f>
        <v/>
      </c>
      <c r="L192" s="63">
        <f>IF(tblMovement[[#This Row],[Destination]]="","",IFERROR(INDEX(tblDestinations[Type],MATCH(tblMovement[[#This Row],[Destination]],tblDestinations[Destination],0)),"?"))</f>
        <v/>
      </c>
      <c r="M192" s="64">
        <f>IF(tblMovement[[#This Row],[Material]]="","",IF(LEFT(tblMovement[[#This Row],[Material]],3)="Ore",1,0))</f>
        <v/>
      </c>
      <c r="N192" s="59">
        <f>IF(OR(tblMovement[[#This Row],[Tonnes_t]]="",tblMovement[[#This Row],[Grade_gpt]]=""),0,tblMovement[[#This Row],[Tonnes_t]]*tblMovement[[#This Row],[Grade_gpt]]/cfg_TroyOz)</f>
        <v/>
      </c>
      <c r="O192" s="59">
        <f>IF(tblMovement[[#This Row],[Is_Ore]]=1,tblMovement[[#This Row],[Contained_oz]],0)</f>
        <v/>
      </c>
    </row>
    <row r="193">
      <c r="A193" s="54" t="n"/>
      <c r="B193" s="61" t="n"/>
      <c r="C193" s="61" t="n"/>
      <c r="D193" s="61" t="n"/>
      <c r="E193" s="61" t="n"/>
      <c r="F193" s="55" t="n"/>
      <c r="G193" s="56" t="n"/>
      <c r="H193" s="55" t="n"/>
      <c r="I193" s="62" t="n"/>
      <c r="J193" s="58" t="n"/>
      <c r="K193" s="63">
        <f>IF(tblMovement[[#This Row],[Source]]="","",IFERROR(INDEX(tblSources[Type],MATCH(tblMovement[[#This Row],[Source]],tblSources[Source],0)),"?"))</f>
        <v/>
      </c>
      <c r="L193" s="63">
        <f>IF(tblMovement[[#This Row],[Destination]]="","",IFERROR(INDEX(tblDestinations[Type],MATCH(tblMovement[[#This Row],[Destination]],tblDestinations[Destination],0)),"?"))</f>
        <v/>
      </c>
      <c r="M193" s="64">
        <f>IF(tblMovement[[#This Row],[Material]]="","",IF(LEFT(tblMovement[[#This Row],[Material]],3)="Ore",1,0))</f>
        <v/>
      </c>
      <c r="N193" s="59">
        <f>IF(OR(tblMovement[[#This Row],[Tonnes_t]]="",tblMovement[[#This Row],[Grade_gpt]]=""),0,tblMovement[[#This Row],[Tonnes_t]]*tblMovement[[#This Row],[Grade_gpt]]/cfg_TroyOz)</f>
        <v/>
      </c>
      <c r="O193" s="59">
        <f>IF(tblMovement[[#This Row],[Is_Ore]]=1,tblMovement[[#This Row],[Contained_oz]],0)</f>
        <v/>
      </c>
    </row>
    <row r="194">
      <c r="A194" s="54" t="n"/>
      <c r="B194" s="61" t="n"/>
      <c r="C194" s="61" t="n"/>
      <c r="D194" s="61" t="n"/>
      <c r="E194" s="61" t="n"/>
      <c r="F194" s="55" t="n"/>
      <c r="G194" s="56" t="n"/>
      <c r="H194" s="55" t="n"/>
      <c r="I194" s="62" t="n"/>
      <c r="J194" s="58" t="n"/>
      <c r="K194" s="63">
        <f>IF(tblMovement[[#This Row],[Source]]="","",IFERROR(INDEX(tblSources[Type],MATCH(tblMovement[[#This Row],[Source]],tblSources[Source],0)),"?"))</f>
        <v/>
      </c>
      <c r="L194" s="63">
        <f>IF(tblMovement[[#This Row],[Destination]]="","",IFERROR(INDEX(tblDestinations[Type],MATCH(tblMovement[[#This Row],[Destination]],tblDestinations[Destination],0)),"?"))</f>
        <v/>
      </c>
      <c r="M194" s="64">
        <f>IF(tblMovement[[#This Row],[Material]]="","",IF(LEFT(tblMovement[[#This Row],[Material]],3)="Ore",1,0))</f>
        <v/>
      </c>
      <c r="N194" s="59">
        <f>IF(OR(tblMovement[[#This Row],[Tonnes_t]]="",tblMovement[[#This Row],[Grade_gpt]]=""),0,tblMovement[[#This Row],[Tonnes_t]]*tblMovement[[#This Row],[Grade_gpt]]/cfg_TroyOz)</f>
        <v/>
      </c>
      <c r="O194" s="59">
        <f>IF(tblMovement[[#This Row],[Is_Ore]]=1,tblMovement[[#This Row],[Contained_oz]],0)</f>
        <v/>
      </c>
    </row>
    <row r="195">
      <c r="A195" s="54" t="n"/>
      <c r="B195" s="61" t="n"/>
      <c r="C195" s="61" t="n"/>
      <c r="D195" s="61" t="n"/>
      <c r="E195" s="61" t="n"/>
      <c r="F195" s="55" t="n"/>
      <c r="G195" s="56" t="n"/>
      <c r="H195" s="55" t="n"/>
      <c r="I195" s="62" t="n"/>
      <c r="J195" s="58" t="n"/>
      <c r="K195" s="63">
        <f>IF(tblMovement[[#This Row],[Source]]="","",IFERROR(INDEX(tblSources[Type],MATCH(tblMovement[[#This Row],[Source]],tblSources[Source],0)),"?"))</f>
        <v/>
      </c>
      <c r="L195" s="63">
        <f>IF(tblMovement[[#This Row],[Destination]]="","",IFERROR(INDEX(tblDestinations[Type],MATCH(tblMovement[[#This Row],[Destination]],tblDestinations[Destination],0)),"?"))</f>
        <v/>
      </c>
      <c r="M195" s="64">
        <f>IF(tblMovement[[#This Row],[Material]]="","",IF(LEFT(tblMovement[[#This Row],[Material]],3)="Ore",1,0))</f>
        <v/>
      </c>
      <c r="N195" s="59">
        <f>IF(OR(tblMovement[[#This Row],[Tonnes_t]]="",tblMovement[[#This Row],[Grade_gpt]]=""),0,tblMovement[[#This Row],[Tonnes_t]]*tblMovement[[#This Row],[Grade_gpt]]/cfg_TroyOz)</f>
        <v/>
      </c>
      <c r="O195" s="59">
        <f>IF(tblMovement[[#This Row],[Is_Ore]]=1,tblMovement[[#This Row],[Contained_oz]],0)</f>
        <v/>
      </c>
    </row>
    <row r="196">
      <c r="A196" s="54" t="n"/>
      <c r="B196" s="61" t="n"/>
      <c r="C196" s="61" t="n"/>
      <c r="D196" s="61" t="n"/>
      <c r="E196" s="61" t="n"/>
      <c r="F196" s="55" t="n"/>
      <c r="G196" s="56" t="n"/>
      <c r="H196" s="55" t="n"/>
      <c r="I196" s="62" t="n"/>
      <c r="J196" s="58" t="n"/>
      <c r="K196" s="63">
        <f>IF(tblMovement[[#This Row],[Source]]="","",IFERROR(INDEX(tblSources[Type],MATCH(tblMovement[[#This Row],[Source]],tblSources[Source],0)),"?"))</f>
        <v/>
      </c>
      <c r="L196" s="63">
        <f>IF(tblMovement[[#This Row],[Destination]]="","",IFERROR(INDEX(tblDestinations[Type],MATCH(tblMovement[[#This Row],[Destination]],tblDestinations[Destination],0)),"?"))</f>
        <v/>
      </c>
      <c r="M196" s="64">
        <f>IF(tblMovement[[#This Row],[Material]]="","",IF(LEFT(tblMovement[[#This Row],[Material]],3)="Ore",1,0))</f>
        <v/>
      </c>
      <c r="N196" s="59">
        <f>IF(OR(tblMovement[[#This Row],[Tonnes_t]]="",tblMovement[[#This Row],[Grade_gpt]]=""),0,tblMovement[[#This Row],[Tonnes_t]]*tblMovement[[#This Row],[Grade_gpt]]/cfg_TroyOz)</f>
        <v/>
      </c>
      <c r="O196" s="59">
        <f>IF(tblMovement[[#This Row],[Is_Ore]]=1,tblMovement[[#This Row],[Contained_oz]],0)</f>
        <v/>
      </c>
    </row>
    <row r="197">
      <c r="A197" s="54" t="n"/>
      <c r="B197" s="61" t="n"/>
      <c r="C197" s="61" t="n"/>
      <c r="D197" s="61" t="n"/>
      <c r="E197" s="61" t="n"/>
      <c r="F197" s="55" t="n"/>
      <c r="G197" s="56" t="n"/>
      <c r="H197" s="55" t="n"/>
      <c r="I197" s="62" t="n"/>
      <c r="J197" s="58" t="n"/>
      <c r="K197" s="63">
        <f>IF(tblMovement[[#This Row],[Source]]="","",IFERROR(INDEX(tblSources[Type],MATCH(tblMovement[[#This Row],[Source]],tblSources[Source],0)),"?"))</f>
        <v/>
      </c>
      <c r="L197" s="63">
        <f>IF(tblMovement[[#This Row],[Destination]]="","",IFERROR(INDEX(tblDestinations[Type],MATCH(tblMovement[[#This Row],[Destination]],tblDestinations[Destination],0)),"?"))</f>
        <v/>
      </c>
      <c r="M197" s="64">
        <f>IF(tblMovement[[#This Row],[Material]]="","",IF(LEFT(tblMovement[[#This Row],[Material]],3)="Ore",1,0))</f>
        <v/>
      </c>
      <c r="N197" s="59">
        <f>IF(OR(tblMovement[[#This Row],[Tonnes_t]]="",tblMovement[[#This Row],[Grade_gpt]]=""),0,tblMovement[[#This Row],[Tonnes_t]]*tblMovement[[#This Row],[Grade_gpt]]/cfg_TroyOz)</f>
        <v/>
      </c>
      <c r="O197" s="59">
        <f>IF(tblMovement[[#This Row],[Is_Ore]]=1,tblMovement[[#This Row],[Contained_oz]],0)</f>
        <v/>
      </c>
    </row>
    <row r="198">
      <c r="A198" s="54" t="n"/>
      <c r="B198" s="61" t="n"/>
      <c r="C198" s="61" t="n"/>
      <c r="D198" s="61" t="n"/>
      <c r="E198" s="61" t="n"/>
      <c r="F198" s="55" t="n"/>
      <c r="G198" s="56" t="n"/>
      <c r="H198" s="55" t="n"/>
      <c r="I198" s="62" t="n"/>
      <c r="J198" s="58" t="n"/>
      <c r="K198" s="63">
        <f>IF(tblMovement[[#This Row],[Source]]="","",IFERROR(INDEX(tblSources[Type],MATCH(tblMovement[[#This Row],[Source]],tblSources[Source],0)),"?"))</f>
        <v/>
      </c>
      <c r="L198" s="63">
        <f>IF(tblMovement[[#This Row],[Destination]]="","",IFERROR(INDEX(tblDestinations[Type],MATCH(tblMovement[[#This Row],[Destination]],tblDestinations[Destination],0)),"?"))</f>
        <v/>
      </c>
      <c r="M198" s="64">
        <f>IF(tblMovement[[#This Row],[Material]]="","",IF(LEFT(tblMovement[[#This Row],[Material]],3)="Ore",1,0))</f>
        <v/>
      </c>
      <c r="N198" s="59">
        <f>IF(OR(tblMovement[[#This Row],[Tonnes_t]]="",tblMovement[[#This Row],[Grade_gpt]]=""),0,tblMovement[[#This Row],[Tonnes_t]]*tblMovement[[#This Row],[Grade_gpt]]/cfg_TroyOz)</f>
        <v/>
      </c>
      <c r="O198" s="59">
        <f>IF(tblMovement[[#This Row],[Is_Ore]]=1,tblMovement[[#This Row],[Contained_oz]],0)</f>
        <v/>
      </c>
    </row>
    <row r="199">
      <c r="A199" s="54" t="n"/>
      <c r="B199" s="61" t="n"/>
      <c r="C199" s="61" t="n"/>
      <c r="D199" s="61" t="n"/>
      <c r="E199" s="61" t="n"/>
      <c r="F199" s="55" t="n"/>
      <c r="G199" s="56" t="n"/>
      <c r="H199" s="55" t="n"/>
      <c r="I199" s="62" t="n"/>
      <c r="J199" s="58" t="n"/>
      <c r="K199" s="63">
        <f>IF(tblMovement[[#This Row],[Source]]="","",IFERROR(INDEX(tblSources[Type],MATCH(tblMovement[[#This Row],[Source]],tblSources[Source],0)),"?"))</f>
        <v/>
      </c>
      <c r="L199" s="63">
        <f>IF(tblMovement[[#This Row],[Destination]]="","",IFERROR(INDEX(tblDestinations[Type],MATCH(tblMovement[[#This Row],[Destination]],tblDestinations[Destination],0)),"?"))</f>
        <v/>
      </c>
      <c r="M199" s="64">
        <f>IF(tblMovement[[#This Row],[Material]]="","",IF(LEFT(tblMovement[[#This Row],[Material]],3)="Ore",1,0))</f>
        <v/>
      </c>
      <c r="N199" s="59">
        <f>IF(OR(tblMovement[[#This Row],[Tonnes_t]]="",tblMovement[[#This Row],[Grade_gpt]]=""),0,tblMovement[[#This Row],[Tonnes_t]]*tblMovement[[#This Row],[Grade_gpt]]/cfg_TroyOz)</f>
        <v/>
      </c>
      <c r="O199" s="59">
        <f>IF(tblMovement[[#This Row],[Is_Ore]]=1,tblMovement[[#This Row],[Contained_oz]],0)</f>
        <v/>
      </c>
    </row>
    <row r="200">
      <c r="A200" s="54" t="n"/>
      <c r="B200" s="61" t="n"/>
      <c r="C200" s="61" t="n"/>
      <c r="D200" s="61" t="n"/>
      <c r="E200" s="61" t="n"/>
      <c r="F200" s="55" t="n"/>
      <c r="G200" s="56" t="n"/>
      <c r="H200" s="55" t="n"/>
      <c r="I200" s="62" t="n"/>
      <c r="J200" s="58" t="n"/>
      <c r="K200" s="63">
        <f>IF(tblMovement[[#This Row],[Source]]="","",IFERROR(INDEX(tblSources[Type],MATCH(tblMovement[[#This Row],[Source]],tblSources[Source],0)),"?"))</f>
        <v/>
      </c>
      <c r="L200" s="63">
        <f>IF(tblMovement[[#This Row],[Destination]]="","",IFERROR(INDEX(tblDestinations[Type],MATCH(tblMovement[[#This Row],[Destination]],tblDestinations[Destination],0)),"?"))</f>
        <v/>
      </c>
      <c r="M200" s="64">
        <f>IF(tblMovement[[#This Row],[Material]]="","",IF(LEFT(tblMovement[[#This Row],[Material]],3)="Ore",1,0))</f>
        <v/>
      </c>
      <c r="N200" s="59">
        <f>IF(OR(tblMovement[[#This Row],[Tonnes_t]]="",tblMovement[[#This Row],[Grade_gpt]]=""),0,tblMovement[[#This Row],[Tonnes_t]]*tblMovement[[#This Row],[Grade_gpt]]/cfg_TroyOz)</f>
        <v/>
      </c>
      <c r="O200" s="59">
        <f>IF(tblMovement[[#This Row],[Is_Ore]]=1,tblMovement[[#This Row],[Contained_oz]],0)</f>
        <v/>
      </c>
    </row>
    <row r="201">
      <c r="A201" s="54" t="n"/>
      <c r="B201" s="61" t="n"/>
      <c r="C201" s="61" t="n"/>
      <c r="D201" s="61" t="n"/>
      <c r="E201" s="61" t="n"/>
      <c r="F201" s="55" t="n"/>
      <c r="G201" s="56" t="n"/>
      <c r="H201" s="55" t="n"/>
      <c r="I201" s="62" t="n"/>
      <c r="J201" s="58" t="n"/>
      <c r="K201" s="63">
        <f>IF(tblMovement[[#This Row],[Source]]="","",IFERROR(INDEX(tblSources[Type],MATCH(tblMovement[[#This Row],[Source]],tblSources[Source],0)),"?"))</f>
        <v/>
      </c>
      <c r="L201" s="63">
        <f>IF(tblMovement[[#This Row],[Destination]]="","",IFERROR(INDEX(tblDestinations[Type],MATCH(tblMovement[[#This Row],[Destination]],tblDestinations[Destination],0)),"?"))</f>
        <v/>
      </c>
      <c r="M201" s="64">
        <f>IF(tblMovement[[#This Row],[Material]]="","",IF(LEFT(tblMovement[[#This Row],[Material]],3)="Ore",1,0))</f>
        <v/>
      </c>
      <c r="N201" s="59">
        <f>IF(OR(tblMovement[[#This Row],[Tonnes_t]]="",tblMovement[[#This Row],[Grade_gpt]]=""),0,tblMovement[[#This Row],[Tonnes_t]]*tblMovement[[#This Row],[Grade_gpt]]/cfg_TroyOz)</f>
        <v/>
      </c>
      <c r="O201" s="59">
        <f>IF(tblMovement[[#This Row],[Is_Ore]]=1,tblMovement[[#This Row],[Contained_oz]],0)</f>
        <v/>
      </c>
    </row>
    <row r="202">
      <c r="A202" s="54" t="n"/>
      <c r="B202" s="61" t="n"/>
      <c r="C202" s="61" t="n"/>
      <c r="D202" s="61" t="n"/>
      <c r="E202" s="61" t="n"/>
      <c r="F202" s="55" t="n"/>
      <c r="G202" s="56" t="n"/>
      <c r="H202" s="55" t="n"/>
      <c r="I202" s="62" t="n"/>
      <c r="J202" s="58" t="n"/>
      <c r="K202" s="63">
        <f>IF(tblMovement[[#This Row],[Source]]="","",IFERROR(INDEX(tblSources[Type],MATCH(tblMovement[[#This Row],[Source]],tblSources[Source],0)),"?"))</f>
        <v/>
      </c>
      <c r="L202" s="63">
        <f>IF(tblMovement[[#This Row],[Destination]]="","",IFERROR(INDEX(tblDestinations[Type],MATCH(tblMovement[[#This Row],[Destination]],tblDestinations[Destination],0)),"?"))</f>
        <v/>
      </c>
      <c r="M202" s="64">
        <f>IF(tblMovement[[#This Row],[Material]]="","",IF(LEFT(tblMovement[[#This Row],[Material]],3)="Ore",1,0))</f>
        <v/>
      </c>
      <c r="N202" s="59">
        <f>IF(OR(tblMovement[[#This Row],[Tonnes_t]]="",tblMovement[[#This Row],[Grade_gpt]]=""),0,tblMovement[[#This Row],[Tonnes_t]]*tblMovement[[#This Row],[Grade_gpt]]/cfg_TroyOz)</f>
        <v/>
      </c>
      <c r="O202" s="59">
        <f>IF(tblMovement[[#This Row],[Is_Ore]]=1,tblMovement[[#This Row],[Contained_oz]],0)</f>
        <v/>
      </c>
    </row>
    <row r="203">
      <c r="A203" s="54" t="n"/>
      <c r="B203" s="61" t="n"/>
      <c r="C203" s="61" t="n"/>
      <c r="D203" s="61" t="n"/>
      <c r="E203" s="61" t="n"/>
      <c r="F203" s="55" t="n"/>
      <c r="G203" s="56" t="n"/>
      <c r="H203" s="55" t="n"/>
      <c r="I203" s="62" t="n"/>
      <c r="J203" s="58" t="n"/>
      <c r="K203" s="63">
        <f>IF(tblMovement[[#This Row],[Source]]="","",IFERROR(INDEX(tblSources[Type],MATCH(tblMovement[[#This Row],[Source]],tblSources[Source],0)),"?"))</f>
        <v/>
      </c>
      <c r="L203" s="63">
        <f>IF(tblMovement[[#This Row],[Destination]]="","",IFERROR(INDEX(tblDestinations[Type],MATCH(tblMovement[[#This Row],[Destination]],tblDestinations[Destination],0)),"?"))</f>
        <v/>
      </c>
      <c r="M203" s="64">
        <f>IF(tblMovement[[#This Row],[Material]]="","",IF(LEFT(tblMovement[[#This Row],[Material]],3)="Ore",1,0))</f>
        <v/>
      </c>
      <c r="N203" s="59">
        <f>IF(OR(tblMovement[[#This Row],[Tonnes_t]]="",tblMovement[[#This Row],[Grade_gpt]]=""),0,tblMovement[[#This Row],[Tonnes_t]]*tblMovement[[#This Row],[Grade_gpt]]/cfg_TroyOz)</f>
        <v/>
      </c>
      <c r="O203" s="59">
        <f>IF(tblMovement[[#This Row],[Is_Ore]]=1,tblMovement[[#This Row],[Contained_oz]],0)</f>
        <v/>
      </c>
    </row>
    <row r="204">
      <c r="A204" s="54" t="n"/>
      <c r="B204" s="61" t="n"/>
      <c r="C204" s="61" t="n"/>
      <c r="D204" s="61" t="n"/>
      <c r="E204" s="61" t="n"/>
      <c r="F204" s="55" t="n"/>
      <c r="G204" s="56" t="n"/>
      <c r="H204" s="55" t="n"/>
      <c r="I204" s="62" t="n"/>
      <c r="J204" s="58" t="n"/>
      <c r="K204" s="63">
        <f>IF(tblMovement[[#This Row],[Source]]="","",IFERROR(INDEX(tblSources[Type],MATCH(tblMovement[[#This Row],[Source]],tblSources[Source],0)),"?"))</f>
        <v/>
      </c>
      <c r="L204" s="63">
        <f>IF(tblMovement[[#This Row],[Destination]]="","",IFERROR(INDEX(tblDestinations[Type],MATCH(tblMovement[[#This Row],[Destination]],tblDestinations[Destination],0)),"?"))</f>
        <v/>
      </c>
      <c r="M204" s="64">
        <f>IF(tblMovement[[#This Row],[Material]]="","",IF(LEFT(tblMovement[[#This Row],[Material]],3)="Ore",1,0))</f>
        <v/>
      </c>
      <c r="N204" s="59">
        <f>IF(OR(tblMovement[[#This Row],[Tonnes_t]]="",tblMovement[[#This Row],[Grade_gpt]]=""),0,tblMovement[[#This Row],[Tonnes_t]]*tblMovement[[#This Row],[Grade_gpt]]/cfg_TroyOz)</f>
        <v/>
      </c>
      <c r="O204" s="59">
        <f>IF(tblMovement[[#This Row],[Is_Ore]]=1,tblMovement[[#This Row],[Contained_oz]],0)</f>
        <v/>
      </c>
    </row>
    <row r="205">
      <c r="A205" s="54" t="n"/>
      <c r="B205" s="61" t="n"/>
      <c r="C205" s="61" t="n"/>
      <c r="D205" s="61" t="n"/>
      <c r="E205" s="61" t="n"/>
      <c r="F205" s="55" t="n"/>
      <c r="G205" s="56" t="n"/>
      <c r="H205" s="55" t="n"/>
      <c r="I205" s="62" t="n"/>
      <c r="J205" s="58" t="n"/>
      <c r="K205" s="63">
        <f>IF(tblMovement[[#This Row],[Source]]="","",IFERROR(INDEX(tblSources[Type],MATCH(tblMovement[[#This Row],[Source]],tblSources[Source],0)),"?"))</f>
        <v/>
      </c>
      <c r="L205" s="63">
        <f>IF(tblMovement[[#This Row],[Destination]]="","",IFERROR(INDEX(tblDestinations[Type],MATCH(tblMovement[[#This Row],[Destination]],tblDestinations[Destination],0)),"?"))</f>
        <v/>
      </c>
      <c r="M205" s="64">
        <f>IF(tblMovement[[#This Row],[Material]]="","",IF(LEFT(tblMovement[[#This Row],[Material]],3)="Ore",1,0))</f>
        <v/>
      </c>
      <c r="N205" s="59">
        <f>IF(OR(tblMovement[[#This Row],[Tonnes_t]]="",tblMovement[[#This Row],[Grade_gpt]]=""),0,tblMovement[[#This Row],[Tonnes_t]]*tblMovement[[#This Row],[Grade_gpt]]/cfg_TroyOz)</f>
        <v/>
      </c>
      <c r="O205" s="59">
        <f>IF(tblMovement[[#This Row],[Is_Ore]]=1,tblMovement[[#This Row],[Contained_oz]],0)</f>
        <v/>
      </c>
    </row>
    <row r="206">
      <c r="A206" s="54" t="n"/>
      <c r="B206" s="61" t="n"/>
      <c r="C206" s="61" t="n"/>
      <c r="D206" s="61" t="n"/>
      <c r="E206" s="61" t="n"/>
      <c r="F206" s="55" t="n"/>
      <c r="G206" s="56" t="n"/>
      <c r="H206" s="55" t="n"/>
      <c r="I206" s="62" t="n"/>
      <c r="J206" s="58" t="n"/>
      <c r="K206" s="63">
        <f>IF(tblMovement[[#This Row],[Source]]="","",IFERROR(INDEX(tblSources[Type],MATCH(tblMovement[[#This Row],[Source]],tblSources[Source],0)),"?"))</f>
        <v/>
      </c>
      <c r="L206" s="63">
        <f>IF(tblMovement[[#This Row],[Destination]]="","",IFERROR(INDEX(tblDestinations[Type],MATCH(tblMovement[[#This Row],[Destination]],tblDestinations[Destination],0)),"?"))</f>
        <v/>
      </c>
      <c r="M206" s="64">
        <f>IF(tblMovement[[#This Row],[Material]]="","",IF(LEFT(tblMovement[[#This Row],[Material]],3)="Ore",1,0))</f>
        <v/>
      </c>
      <c r="N206" s="59">
        <f>IF(OR(tblMovement[[#This Row],[Tonnes_t]]="",tblMovement[[#This Row],[Grade_gpt]]=""),0,tblMovement[[#This Row],[Tonnes_t]]*tblMovement[[#This Row],[Grade_gpt]]/cfg_TroyOz)</f>
        <v/>
      </c>
      <c r="O206" s="59">
        <f>IF(tblMovement[[#This Row],[Is_Ore]]=1,tblMovement[[#This Row],[Contained_oz]],0)</f>
        <v/>
      </c>
    </row>
    <row r="207">
      <c r="A207" s="54" t="n"/>
      <c r="B207" s="61" t="n"/>
      <c r="C207" s="61" t="n"/>
      <c r="D207" s="61" t="n"/>
      <c r="E207" s="61" t="n"/>
      <c r="F207" s="55" t="n"/>
      <c r="G207" s="56" t="n"/>
      <c r="H207" s="55" t="n"/>
      <c r="I207" s="62" t="n"/>
      <c r="J207" s="58" t="n"/>
      <c r="K207" s="63">
        <f>IF(tblMovement[[#This Row],[Source]]="","",IFERROR(INDEX(tblSources[Type],MATCH(tblMovement[[#This Row],[Source]],tblSources[Source],0)),"?"))</f>
        <v/>
      </c>
      <c r="L207" s="63">
        <f>IF(tblMovement[[#This Row],[Destination]]="","",IFERROR(INDEX(tblDestinations[Type],MATCH(tblMovement[[#This Row],[Destination]],tblDestinations[Destination],0)),"?"))</f>
        <v/>
      </c>
      <c r="M207" s="64">
        <f>IF(tblMovement[[#This Row],[Material]]="","",IF(LEFT(tblMovement[[#This Row],[Material]],3)="Ore",1,0))</f>
        <v/>
      </c>
      <c r="N207" s="59">
        <f>IF(OR(tblMovement[[#This Row],[Tonnes_t]]="",tblMovement[[#This Row],[Grade_gpt]]=""),0,tblMovement[[#This Row],[Tonnes_t]]*tblMovement[[#This Row],[Grade_gpt]]/cfg_TroyOz)</f>
        <v/>
      </c>
      <c r="O207" s="59">
        <f>IF(tblMovement[[#This Row],[Is_Ore]]=1,tblMovement[[#This Row],[Contained_oz]],0)</f>
        <v/>
      </c>
    </row>
    <row r="208">
      <c r="A208" s="54" t="n"/>
      <c r="B208" s="61" t="n"/>
      <c r="C208" s="61" t="n"/>
      <c r="D208" s="61" t="n"/>
      <c r="E208" s="61" t="n"/>
      <c r="F208" s="55" t="n"/>
      <c r="G208" s="56" t="n"/>
      <c r="H208" s="55" t="n"/>
      <c r="I208" s="62" t="n"/>
      <c r="J208" s="58" t="n"/>
      <c r="K208" s="63">
        <f>IF(tblMovement[[#This Row],[Source]]="","",IFERROR(INDEX(tblSources[Type],MATCH(tblMovement[[#This Row],[Source]],tblSources[Source],0)),"?"))</f>
        <v/>
      </c>
      <c r="L208" s="63">
        <f>IF(tblMovement[[#This Row],[Destination]]="","",IFERROR(INDEX(tblDestinations[Type],MATCH(tblMovement[[#This Row],[Destination]],tblDestinations[Destination],0)),"?"))</f>
        <v/>
      </c>
      <c r="M208" s="64">
        <f>IF(tblMovement[[#This Row],[Material]]="","",IF(LEFT(tblMovement[[#This Row],[Material]],3)="Ore",1,0))</f>
        <v/>
      </c>
      <c r="N208" s="59">
        <f>IF(OR(tblMovement[[#This Row],[Tonnes_t]]="",tblMovement[[#This Row],[Grade_gpt]]=""),0,tblMovement[[#This Row],[Tonnes_t]]*tblMovement[[#This Row],[Grade_gpt]]/cfg_TroyOz)</f>
        <v/>
      </c>
      <c r="O208" s="59">
        <f>IF(tblMovement[[#This Row],[Is_Ore]]=1,tblMovement[[#This Row],[Contained_oz]],0)</f>
        <v/>
      </c>
    </row>
    <row r="209">
      <c r="A209" s="54" t="n"/>
      <c r="B209" s="61" t="n"/>
      <c r="C209" s="61" t="n"/>
      <c r="D209" s="61" t="n"/>
      <c r="E209" s="61" t="n"/>
      <c r="F209" s="55" t="n"/>
      <c r="G209" s="56" t="n"/>
      <c r="H209" s="55" t="n"/>
      <c r="I209" s="62" t="n"/>
      <c r="J209" s="58" t="n"/>
      <c r="K209" s="63">
        <f>IF(tblMovement[[#This Row],[Source]]="","",IFERROR(INDEX(tblSources[Type],MATCH(tblMovement[[#This Row],[Source]],tblSources[Source],0)),"?"))</f>
        <v/>
      </c>
      <c r="L209" s="63">
        <f>IF(tblMovement[[#This Row],[Destination]]="","",IFERROR(INDEX(tblDestinations[Type],MATCH(tblMovement[[#This Row],[Destination]],tblDestinations[Destination],0)),"?"))</f>
        <v/>
      </c>
      <c r="M209" s="64">
        <f>IF(tblMovement[[#This Row],[Material]]="","",IF(LEFT(tblMovement[[#This Row],[Material]],3)="Ore",1,0))</f>
        <v/>
      </c>
      <c r="N209" s="59">
        <f>IF(OR(tblMovement[[#This Row],[Tonnes_t]]="",tblMovement[[#This Row],[Grade_gpt]]=""),0,tblMovement[[#This Row],[Tonnes_t]]*tblMovement[[#This Row],[Grade_gpt]]/cfg_TroyOz)</f>
        <v/>
      </c>
      <c r="O209" s="59">
        <f>IF(tblMovement[[#This Row],[Is_Ore]]=1,tblMovement[[#This Row],[Contained_oz]],0)</f>
        <v/>
      </c>
    </row>
    <row r="210">
      <c r="A210" s="54" t="n"/>
      <c r="B210" s="61" t="n"/>
      <c r="C210" s="61" t="n"/>
      <c r="D210" s="61" t="n"/>
      <c r="E210" s="61" t="n"/>
      <c r="F210" s="55" t="n"/>
      <c r="G210" s="56" t="n"/>
      <c r="H210" s="55" t="n"/>
      <c r="I210" s="62" t="n"/>
      <c r="J210" s="58" t="n"/>
      <c r="K210" s="63">
        <f>IF(tblMovement[[#This Row],[Source]]="","",IFERROR(INDEX(tblSources[Type],MATCH(tblMovement[[#This Row],[Source]],tblSources[Source],0)),"?"))</f>
        <v/>
      </c>
      <c r="L210" s="63">
        <f>IF(tblMovement[[#This Row],[Destination]]="","",IFERROR(INDEX(tblDestinations[Type],MATCH(tblMovement[[#This Row],[Destination]],tblDestinations[Destination],0)),"?"))</f>
        <v/>
      </c>
      <c r="M210" s="64">
        <f>IF(tblMovement[[#This Row],[Material]]="","",IF(LEFT(tblMovement[[#This Row],[Material]],3)="Ore",1,0))</f>
        <v/>
      </c>
      <c r="N210" s="59">
        <f>IF(OR(tblMovement[[#This Row],[Tonnes_t]]="",tblMovement[[#This Row],[Grade_gpt]]=""),0,tblMovement[[#This Row],[Tonnes_t]]*tblMovement[[#This Row],[Grade_gpt]]/cfg_TroyOz)</f>
        <v/>
      </c>
      <c r="O210" s="59">
        <f>IF(tblMovement[[#This Row],[Is_Ore]]=1,tblMovement[[#This Row],[Contained_oz]],0)</f>
        <v/>
      </c>
    </row>
    <row r="211">
      <c r="A211" s="54" t="n"/>
      <c r="B211" s="61" t="n"/>
      <c r="C211" s="61" t="n"/>
      <c r="D211" s="61" t="n"/>
      <c r="E211" s="61" t="n"/>
      <c r="F211" s="55" t="n"/>
      <c r="G211" s="56" t="n"/>
      <c r="H211" s="55" t="n"/>
      <c r="I211" s="62" t="n"/>
      <c r="J211" s="58" t="n"/>
      <c r="K211" s="63">
        <f>IF(tblMovement[[#This Row],[Source]]="","",IFERROR(INDEX(tblSources[Type],MATCH(tblMovement[[#This Row],[Source]],tblSources[Source],0)),"?"))</f>
        <v/>
      </c>
      <c r="L211" s="63">
        <f>IF(tblMovement[[#This Row],[Destination]]="","",IFERROR(INDEX(tblDestinations[Type],MATCH(tblMovement[[#This Row],[Destination]],tblDestinations[Destination],0)),"?"))</f>
        <v/>
      </c>
      <c r="M211" s="64">
        <f>IF(tblMovement[[#This Row],[Material]]="","",IF(LEFT(tblMovement[[#This Row],[Material]],3)="Ore",1,0))</f>
        <v/>
      </c>
      <c r="N211" s="59">
        <f>IF(OR(tblMovement[[#This Row],[Tonnes_t]]="",tblMovement[[#This Row],[Grade_gpt]]=""),0,tblMovement[[#This Row],[Tonnes_t]]*tblMovement[[#This Row],[Grade_gpt]]/cfg_TroyOz)</f>
        <v/>
      </c>
      <c r="O211" s="59">
        <f>IF(tblMovement[[#This Row],[Is_Ore]]=1,tblMovement[[#This Row],[Contained_oz]],0)</f>
        <v/>
      </c>
    </row>
    <row r="212">
      <c r="A212" s="54" t="n"/>
      <c r="B212" s="61" t="n"/>
      <c r="C212" s="61" t="n"/>
      <c r="D212" s="61" t="n"/>
      <c r="E212" s="61" t="n"/>
      <c r="F212" s="55" t="n"/>
      <c r="G212" s="56" t="n"/>
      <c r="H212" s="55" t="n"/>
      <c r="I212" s="62" t="n"/>
      <c r="J212" s="58" t="n"/>
      <c r="K212" s="63">
        <f>IF(tblMovement[[#This Row],[Source]]="","",IFERROR(INDEX(tblSources[Type],MATCH(tblMovement[[#This Row],[Source]],tblSources[Source],0)),"?"))</f>
        <v/>
      </c>
      <c r="L212" s="63">
        <f>IF(tblMovement[[#This Row],[Destination]]="","",IFERROR(INDEX(tblDestinations[Type],MATCH(tblMovement[[#This Row],[Destination]],tblDestinations[Destination],0)),"?"))</f>
        <v/>
      </c>
      <c r="M212" s="64">
        <f>IF(tblMovement[[#This Row],[Material]]="","",IF(LEFT(tblMovement[[#This Row],[Material]],3)="Ore",1,0))</f>
        <v/>
      </c>
      <c r="N212" s="59">
        <f>IF(OR(tblMovement[[#This Row],[Tonnes_t]]="",tblMovement[[#This Row],[Grade_gpt]]=""),0,tblMovement[[#This Row],[Tonnes_t]]*tblMovement[[#This Row],[Grade_gpt]]/cfg_TroyOz)</f>
        <v/>
      </c>
      <c r="O212" s="59">
        <f>IF(tblMovement[[#This Row],[Is_Ore]]=1,tblMovement[[#This Row],[Contained_oz]],0)</f>
        <v/>
      </c>
    </row>
    <row r="213">
      <c r="A213" s="54" t="n"/>
      <c r="B213" s="61" t="n"/>
      <c r="C213" s="61" t="n"/>
      <c r="D213" s="61" t="n"/>
      <c r="E213" s="61" t="n"/>
      <c r="F213" s="55" t="n"/>
      <c r="G213" s="56" t="n"/>
      <c r="H213" s="55" t="n"/>
      <c r="I213" s="62" t="n"/>
      <c r="J213" s="58" t="n"/>
      <c r="K213" s="63">
        <f>IF(tblMovement[[#This Row],[Source]]="","",IFERROR(INDEX(tblSources[Type],MATCH(tblMovement[[#This Row],[Source]],tblSources[Source],0)),"?"))</f>
        <v/>
      </c>
      <c r="L213" s="63">
        <f>IF(tblMovement[[#This Row],[Destination]]="","",IFERROR(INDEX(tblDestinations[Type],MATCH(tblMovement[[#This Row],[Destination]],tblDestinations[Destination],0)),"?"))</f>
        <v/>
      </c>
      <c r="M213" s="64">
        <f>IF(tblMovement[[#This Row],[Material]]="","",IF(LEFT(tblMovement[[#This Row],[Material]],3)="Ore",1,0))</f>
        <v/>
      </c>
      <c r="N213" s="59">
        <f>IF(OR(tblMovement[[#This Row],[Tonnes_t]]="",tblMovement[[#This Row],[Grade_gpt]]=""),0,tblMovement[[#This Row],[Tonnes_t]]*tblMovement[[#This Row],[Grade_gpt]]/cfg_TroyOz)</f>
        <v/>
      </c>
      <c r="O213" s="59">
        <f>IF(tblMovement[[#This Row],[Is_Ore]]=1,tblMovement[[#This Row],[Contained_oz]],0)</f>
        <v/>
      </c>
    </row>
    <row r="214">
      <c r="A214" s="54" t="n"/>
      <c r="B214" s="61" t="n"/>
      <c r="C214" s="61" t="n"/>
      <c r="D214" s="61" t="n"/>
      <c r="E214" s="61" t="n"/>
      <c r="F214" s="55" t="n"/>
      <c r="G214" s="56" t="n"/>
      <c r="H214" s="55" t="n"/>
      <c r="I214" s="62" t="n"/>
      <c r="J214" s="58" t="n"/>
      <c r="K214" s="63">
        <f>IF(tblMovement[[#This Row],[Source]]="","",IFERROR(INDEX(tblSources[Type],MATCH(tblMovement[[#This Row],[Source]],tblSources[Source],0)),"?"))</f>
        <v/>
      </c>
      <c r="L214" s="63">
        <f>IF(tblMovement[[#This Row],[Destination]]="","",IFERROR(INDEX(tblDestinations[Type],MATCH(tblMovement[[#This Row],[Destination]],tblDestinations[Destination],0)),"?"))</f>
        <v/>
      </c>
      <c r="M214" s="64">
        <f>IF(tblMovement[[#This Row],[Material]]="","",IF(LEFT(tblMovement[[#This Row],[Material]],3)="Ore",1,0))</f>
        <v/>
      </c>
      <c r="N214" s="59">
        <f>IF(OR(tblMovement[[#This Row],[Tonnes_t]]="",tblMovement[[#This Row],[Grade_gpt]]=""),0,tblMovement[[#This Row],[Tonnes_t]]*tblMovement[[#This Row],[Grade_gpt]]/cfg_TroyOz)</f>
        <v/>
      </c>
      <c r="O214" s="59">
        <f>IF(tblMovement[[#This Row],[Is_Ore]]=1,tblMovement[[#This Row],[Contained_oz]],0)</f>
        <v/>
      </c>
    </row>
    <row r="215">
      <c r="A215" s="54" t="n"/>
      <c r="B215" s="61" t="n"/>
      <c r="C215" s="61" t="n"/>
      <c r="D215" s="61" t="n"/>
      <c r="E215" s="61" t="n"/>
      <c r="F215" s="55" t="n"/>
      <c r="G215" s="56" t="n"/>
      <c r="H215" s="55" t="n"/>
      <c r="I215" s="62" t="n"/>
      <c r="J215" s="58" t="n"/>
      <c r="K215" s="63">
        <f>IF(tblMovement[[#This Row],[Source]]="","",IFERROR(INDEX(tblSources[Type],MATCH(tblMovement[[#This Row],[Source]],tblSources[Source],0)),"?"))</f>
        <v/>
      </c>
      <c r="L215" s="63">
        <f>IF(tblMovement[[#This Row],[Destination]]="","",IFERROR(INDEX(tblDestinations[Type],MATCH(tblMovement[[#This Row],[Destination]],tblDestinations[Destination],0)),"?"))</f>
        <v/>
      </c>
      <c r="M215" s="64">
        <f>IF(tblMovement[[#This Row],[Material]]="","",IF(LEFT(tblMovement[[#This Row],[Material]],3)="Ore",1,0))</f>
        <v/>
      </c>
      <c r="N215" s="59">
        <f>IF(OR(tblMovement[[#This Row],[Tonnes_t]]="",tblMovement[[#This Row],[Grade_gpt]]=""),0,tblMovement[[#This Row],[Tonnes_t]]*tblMovement[[#This Row],[Grade_gpt]]/cfg_TroyOz)</f>
        <v/>
      </c>
      <c r="O215" s="59">
        <f>IF(tblMovement[[#This Row],[Is_Ore]]=1,tblMovement[[#This Row],[Contained_oz]],0)</f>
        <v/>
      </c>
    </row>
    <row r="216">
      <c r="A216" s="54" t="n"/>
      <c r="B216" s="61" t="n"/>
      <c r="C216" s="61" t="n"/>
      <c r="D216" s="61" t="n"/>
      <c r="E216" s="61" t="n"/>
      <c r="F216" s="55" t="n"/>
      <c r="G216" s="56" t="n"/>
      <c r="H216" s="55" t="n"/>
      <c r="I216" s="62" t="n"/>
      <c r="J216" s="58" t="n"/>
      <c r="K216" s="63">
        <f>IF(tblMovement[[#This Row],[Source]]="","",IFERROR(INDEX(tblSources[Type],MATCH(tblMovement[[#This Row],[Source]],tblSources[Source],0)),"?"))</f>
        <v/>
      </c>
      <c r="L216" s="63">
        <f>IF(tblMovement[[#This Row],[Destination]]="","",IFERROR(INDEX(tblDestinations[Type],MATCH(tblMovement[[#This Row],[Destination]],tblDestinations[Destination],0)),"?"))</f>
        <v/>
      </c>
      <c r="M216" s="64">
        <f>IF(tblMovement[[#This Row],[Material]]="","",IF(LEFT(tblMovement[[#This Row],[Material]],3)="Ore",1,0))</f>
        <v/>
      </c>
      <c r="N216" s="59">
        <f>IF(OR(tblMovement[[#This Row],[Tonnes_t]]="",tblMovement[[#This Row],[Grade_gpt]]=""),0,tblMovement[[#This Row],[Tonnes_t]]*tblMovement[[#This Row],[Grade_gpt]]/cfg_TroyOz)</f>
        <v/>
      </c>
      <c r="O216" s="59">
        <f>IF(tblMovement[[#This Row],[Is_Ore]]=1,tblMovement[[#This Row],[Contained_oz]],0)</f>
        <v/>
      </c>
    </row>
    <row r="217">
      <c r="A217" s="54" t="n"/>
      <c r="B217" s="61" t="n"/>
      <c r="C217" s="61" t="n"/>
      <c r="D217" s="61" t="n"/>
      <c r="E217" s="61" t="n"/>
      <c r="F217" s="55" t="n"/>
      <c r="G217" s="56" t="n"/>
      <c r="H217" s="55" t="n"/>
      <c r="I217" s="62" t="n"/>
      <c r="J217" s="58" t="n"/>
      <c r="K217" s="63">
        <f>IF(tblMovement[[#This Row],[Source]]="","",IFERROR(INDEX(tblSources[Type],MATCH(tblMovement[[#This Row],[Source]],tblSources[Source],0)),"?"))</f>
        <v/>
      </c>
      <c r="L217" s="63">
        <f>IF(tblMovement[[#This Row],[Destination]]="","",IFERROR(INDEX(tblDestinations[Type],MATCH(tblMovement[[#This Row],[Destination]],tblDestinations[Destination],0)),"?"))</f>
        <v/>
      </c>
      <c r="M217" s="64">
        <f>IF(tblMovement[[#This Row],[Material]]="","",IF(LEFT(tblMovement[[#This Row],[Material]],3)="Ore",1,0))</f>
        <v/>
      </c>
      <c r="N217" s="59">
        <f>IF(OR(tblMovement[[#This Row],[Tonnes_t]]="",tblMovement[[#This Row],[Grade_gpt]]=""),0,tblMovement[[#This Row],[Tonnes_t]]*tblMovement[[#This Row],[Grade_gpt]]/cfg_TroyOz)</f>
        <v/>
      </c>
      <c r="O217" s="59">
        <f>IF(tblMovement[[#This Row],[Is_Ore]]=1,tblMovement[[#This Row],[Contained_oz]],0)</f>
        <v/>
      </c>
    </row>
    <row r="218">
      <c r="A218" s="54" t="n"/>
      <c r="B218" s="61" t="n"/>
      <c r="C218" s="61" t="n"/>
      <c r="D218" s="61" t="n"/>
      <c r="E218" s="61" t="n"/>
      <c r="F218" s="55" t="n"/>
      <c r="G218" s="56" t="n"/>
      <c r="H218" s="55" t="n"/>
      <c r="I218" s="62" t="n"/>
      <c r="J218" s="58" t="n"/>
      <c r="K218" s="63">
        <f>IF(tblMovement[[#This Row],[Source]]="","",IFERROR(INDEX(tblSources[Type],MATCH(tblMovement[[#This Row],[Source]],tblSources[Source],0)),"?"))</f>
        <v/>
      </c>
      <c r="L218" s="63">
        <f>IF(tblMovement[[#This Row],[Destination]]="","",IFERROR(INDEX(tblDestinations[Type],MATCH(tblMovement[[#This Row],[Destination]],tblDestinations[Destination],0)),"?"))</f>
        <v/>
      </c>
      <c r="M218" s="64">
        <f>IF(tblMovement[[#This Row],[Material]]="","",IF(LEFT(tblMovement[[#This Row],[Material]],3)="Ore",1,0))</f>
        <v/>
      </c>
      <c r="N218" s="59">
        <f>IF(OR(tblMovement[[#This Row],[Tonnes_t]]="",tblMovement[[#This Row],[Grade_gpt]]=""),0,tblMovement[[#This Row],[Tonnes_t]]*tblMovement[[#This Row],[Grade_gpt]]/cfg_TroyOz)</f>
        <v/>
      </c>
      <c r="O218" s="59">
        <f>IF(tblMovement[[#This Row],[Is_Ore]]=1,tblMovement[[#This Row],[Contained_oz]],0)</f>
        <v/>
      </c>
    </row>
    <row r="219">
      <c r="A219" s="54" t="n"/>
      <c r="B219" s="61" t="n"/>
      <c r="C219" s="61" t="n"/>
      <c r="D219" s="61" t="n"/>
      <c r="E219" s="61" t="n"/>
      <c r="F219" s="55" t="n"/>
      <c r="G219" s="56" t="n"/>
      <c r="H219" s="55" t="n"/>
      <c r="I219" s="62" t="n"/>
      <c r="J219" s="58" t="n"/>
      <c r="K219" s="63">
        <f>IF(tblMovement[[#This Row],[Source]]="","",IFERROR(INDEX(tblSources[Type],MATCH(tblMovement[[#This Row],[Source]],tblSources[Source],0)),"?"))</f>
        <v/>
      </c>
      <c r="L219" s="63">
        <f>IF(tblMovement[[#This Row],[Destination]]="","",IFERROR(INDEX(tblDestinations[Type],MATCH(tblMovement[[#This Row],[Destination]],tblDestinations[Destination],0)),"?"))</f>
        <v/>
      </c>
      <c r="M219" s="64">
        <f>IF(tblMovement[[#This Row],[Material]]="","",IF(LEFT(tblMovement[[#This Row],[Material]],3)="Ore",1,0))</f>
        <v/>
      </c>
      <c r="N219" s="59">
        <f>IF(OR(tblMovement[[#This Row],[Tonnes_t]]="",tblMovement[[#This Row],[Grade_gpt]]=""),0,tblMovement[[#This Row],[Tonnes_t]]*tblMovement[[#This Row],[Grade_gpt]]/cfg_TroyOz)</f>
        <v/>
      </c>
      <c r="O219" s="59">
        <f>IF(tblMovement[[#This Row],[Is_Ore]]=1,tblMovement[[#This Row],[Contained_oz]],0)</f>
        <v/>
      </c>
    </row>
    <row r="220">
      <c r="A220" s="54" t="n"/>
      <c r="B220" s="61" t="n"/>
      <c r="C220" s="61" t="n"/>
      <c r="D220" s="61" t="n"/>
      <c r="E220" s="61" t="n"/>
      <c r="F220" s="55" t="n"/>
      <c r="G220" s="56" t="n"/>
      <c r="H220" s="55" t="n"/>
      <c r="I220" s="62" t="n"/>
      <c r="J220" s="58" t="n"/>
      <c r="K220" s="63">
        <f>IF(tblMovement[[#This Row],[Source]]="","",IFERROR(INDEX(tblSources[Type],MATCH(tblMovement[[#This Row],[Source]],tblSources[Source],0)),"?"))</f>
        <v/>
      </c>
      <c r="L220" s="63">
        <f>IF(tblMovement[[#This Row],[Destination]]="","",IFERROR(INDEX(tblDestinations[Type],MATCH(tblMovement[[#This Row],[Destination]],tblDestinations[Destination],0)),"?"))</f>
        <v/>
      </c>
      <c r="M220" s="64">
        <f>IF(tblMovement[[#This Row],[Material]]="","",IF(LEFT(tblMovement[[#This Row],[Material]],3)="Ore",1,0))</f>
        <v/>
      </c>
      <c r="N220" s="59">
        <f>IF(OR(tblMovement[[#This Row],[Tonnes_t]]="",tblMovement[[#This Row],[Grade_gpt]]=""),0,tblMovement[[#This Row],[Tonnes_t]]*tblMovement[[#This Row],[Grade_gpt]]/cfg_TroyOz)</f>
        <v/>
      </c>
      <c r="O220" s="59">
        <f>IF(tblMovement[[#This Row],[Is_Ore]]=1,tblMovement[[#This Row],[Contained_oz]],0)</f>
        <v/>
      </c>
    </row>
    <row r="221">
      <c r="A221" s="54" t="n"/>
      <c r="B221" s="61" t="n"/>
      <c r="C221" s="61" t="n"/>
      <c r="D221" s="61" t="n"/>
      <c r="E221" s="61" t="n"/>
      <c r="F221" s="55" t="n"/>
      <c r="G221" s="56" t="n"/>
      <c r="H221" s="55" t="n"/>
      <c r="I221" s="62" t="n"/>
      <c r="J221" s="58" t="n"/>
      <c r="K221" s="63">
        <f>IF(tblMovement[[#This Row],[Source]]="","",IFERROR(INDEX(tblSources[Type],MATCH(tblMovement[[#This Row],[Source]],tblSources[Source],0)),"?"))</f>
        <v/>
      </c>
      <c r="L221" s="63">
        <f>IF(tblMovement[[#This Row],[Destination]]="","",IFERROR(INDEX(tblDestinations[Type],MATCH(tblMovement[[#This Row],[Destination]],tblDestinations[Destination],0)),"?"))</f>
        <v/>
      </c>
      <c r="M221" s="64">
        <f>IF(tblMovement[[#This Row],[Material]]="","",IF(LEFT(tblMovement[[#This Row],[Material]],3)="Ore",1,0))</f>
        <v/>
      </c>
      <c r="N221" s="59">
        <f>IF(OR(tblMovement[[#This Row],[Tonnes_t]]="",tblMovement[[#This Row],[Grade_gpt]]=""),0,tblMovement[[#This Row],[Tonnes_t]]*tblMovement[[#This Row],[Grade_gpt]]/cfg_TroyOz)</f>
        <v/>
      </c>
      <c r="O221" s="59">
        <f>IF(tblMovement[[#This Row],[Is_Ore]]=1,tblMovement[[#This Row],[Contained_oz]],0)</f>
        <v/>
      </c>
    </row>
    <row r="222">
      <c r="A222" s="54" t="n"/>
      <c r="B222" s="61" t="n"/>
      <c r="C222" s="61" t="n"/>
      <c r="D222" s="61" t="n"/>
      <c r="E222" s="61" t="n"/>
      <c r="F222" s="55" t="n"/>
      <c r="G222" s="56" t="n"/>
      <c r="H222" s="55" t="n"/>
      <c r="I222" s="62" t="n"/>
      <c r="J222" s="58" t="n"/>
      <c r="K222" s="63">
        <f>IF(tblMovement[[#This Row],[Source]]="","",IFERROR(INDEX(tblSources[Type],MATCH(tblMovement[[#This Row],[Source]],tblSources[Source],0)),"?"))</f>
        <v/>
      </c>
      <c r="L222" s="63">
        <f>IF(tblMovement[[#This Row],[Destination]]="","",IFERROR(INDEX(tblDestinations[Type],MATCH(tblMovement[[#This Row],[Destination]],tblDestinations[Destination],0)),"?"))</f>
        <v/>
      </c>
      <c r="M222" s="64">
        <f>IF(tblMovement[[#This Row],[Material]]="","",IF(LEFT(tblMovement[[#This Row],[Material]],3)="Ore",1,0))</f>
        <v/>
      </c>
      <c r="N222" s="59">
        <f>IF(OR(tblMovement[[#This Row],[Tonnes_t]]="",tblMovement[[#This Row],[Grade_gpt]]=""),0,tblMovement[[#This Row],[Tonnes_t]]*tblMovement[[#This Row],[Grade_gpt]]/cfg_TroyOz)</f>
        <v/>
      </c>
      <c r="O222" s="59">
        <f>IF(tblMovement[[#This Row],[Is_Ore]]=1,tblMovement[[#This Row],[Contained_oz]],0)</f>
        <v/>
      </c>
    </row>
    <row r="223">
      <c r="A223" s="54" t="n"/>
      <c r="B223" s="61" t="n"/>
      <c r="C223" s="61" t="n"/>
      <c r="D223" s="61" t="n"/>
      <c r="E223" s="61" t="n"/>
      <c r="F223" s="55" t="n"/>
      <c r="G223" s="56" t="n"/>
      <c r="H223" s="55" t="n"/>
      <c r="I223" s="62" t="n"/>
      <c r="J223" s="58" t="n"/>
      <c r="K223" s="63">
        <f>IF(tblMovement[[#This Row],[Source]]="","",IFERROR(INDEX(tblSources[Type],MATCH(tblMovement[[#This Row],[Source]],tblSources[Source],0)),"?"))</f>
        <v/>
      </c>
      <c r="L223" s="63">
        <f>IF(tblMovement[[#This Row],[Destination]]="","",IFERROR(INDEX(tblDestinations[Type],MATCH(tblMovement[[#This Row],[Destination]],tblDestinations[Destination],0)),"?"))</f>
        <v/>
      </c>
      <c r="M223" s="64">
        <f>IF(tblMovement[[#This Row],[Material]]="","",IF(LEFT(tblMovement[[#This Row],[Material]],3)="Ore",1,0))</f>
        <v/>
      </c>
      <c r="N223" s="59">
        <f>IF(OR(tblMovement[[#This Row],[Tonnes_t]]="",tblMovement[[#This Row],[Grade_gpt]]=""),0,tblMovement[[#This Row],[Tonnes_t]]*tblMovement[[#This Row],[Grade_gpt]]/cfg_TroyOz)</f>
        <v/>
      </c>
      <c r="O223" s="59">
        <f>IF(tblMovement[[#This Row],[Is_Ore]]=1,tblMovement[[#This Row],[Contained_oz]],0)</f>
        <v/>
      </c>
    </row>
    <row r="224">
      <c r="A224" s="54" t="n"/>
      <c r="B224" s="61" t="n"/>
      <c r="C224" s="61" t="n"/>
      <c r="D224" s="61" t="n"/>
      <c r="E224" s="61" t="n"/>
      <c r="F224" s="55" t="n"/>
      <c r="G224" s="56" t="n"/>
      <c r="H224" s="55" t="n"/>
      <c r="I224" s="62" t="n"/>
      <c r="J224" s="58" t="n"/>
      <c r="K224" s="63">
        <f>IF(tblMovement[[#This Row],[Source]]="","",IFERROR(INDEX(tblSources[Type],MATCH(tblMovement[[#This Row],[Source]],tblSources[Source],0)),"?"))</f>
        <v/>
      </c>
      <c r="L224" s="63">
        <f>IF(tblMovement[[#This Row],[Destination]]="","",IFERROR(INDEX(tblDestinations[Type],MATCH(tblMovement[[#This Row],[Destination]],tblDestinations[Destination],0)),"?"))</f>
        <v/>
      </c>
      <c r="M224" s="64">
        <f>IF(tblMovement[[#This Row],[Material]]="","",IF(LEFT(tblMovement[[#This Row],[Material]],3)="Ore",1,0))</f>
        <v/>
      </c>
      <c r="N224" s="59">
        <f>IF(OR(tblMovement[[#This Row],[Tonnes_t]]="",tblMovement[[#This Row],[Grade_gpt]]=""),0,tblMovement[[#This Row],[Tonnes_t]]*tblMovement[[#This Row],[Grade_gpt]]/cfg_TroyOz)</f>
        <v/>
      </c>
      <c r="O224" s="59">
        <f>IF(tblMovement[[#This Row],[Is_Ore]]=1,tblMovement[[#This Row],[Contained_oz]],0)</f>
        <v/>
      </c>
    </row>
    <row r="225">
      <c r="A225" s="54" t="n"/>
      <c r="B225" s="61" t="n"/>
      <c r="C225" s="61" t="n"/>
      <c r="D225" s="61" t="n"/>
      <c r="E225" s="61" t="n"/>
      <c r="F225" s="55" t="n"/>
      <c r="G225" s="56" t="n"/>
      <c r="H225" s="55" t="n"/>
      <c r="I225" s="62" t="n"/>
      <c r="J225" s="58" t="n"/>
      <c r="K225" s="63">
        <f>IF(tblMovement[[#This Row],[Source]]="","",IFERROR(INDEX(tblSources[Type],MATCH(tblMovement[[#This Row],[Source]],tblSources[Source],0)),"?"))</f>
        <v/>
      </c>
      <c r="L225" s="63">
        <f>IF(tblMovement[[#This Row],[Destination]]="","",IFERROR(INDEX(tblDestinations[Type],MATCH(tblMovement[[#This Row],[Destination]],tblDestinations[Destination],0)),"?"))</f>
        <v/>
      </c>
      <c r="M225" s="64">
        <f>IF(tblMovement[[#This Row],[Material]]="","",IF(LEFT(tblMovement[[#This Row],[Material]],3)="Ore",1,0))</f>
        <v/>
      </c>
      <c r="N225" s="59">
        <f>IF(OR(tblMovement[[#This Row],[Tonnes_t]]="",tblMovement[[#This Row],[Grade_gpt]]=""),0,tblMovement[[#This Row],[Tonnes_t]]*tblMovement[[#This Row],[Grade_gpt]]/cfg_TroyOz)</f>
        <v/>
      </c>
      <c r="O225" s="59">
        <f>IF(tblMovement[[#This Row],[Is_Ore]]=1,tblMovement[[#This Row],[Contained_oz]],0)</f>
        <v/>
      </c>
    </row>
    <row r="226">
      <c r="A226" s="54" t="n"/>
      <c r="B226" s="61" t="n"/>
      <c r="C226" s="61" t="n"/>
      <c r="D226" s="61" t="n"/>
      <c r="E226" s="61" t="n"/>
      <c r="F226" s="55" t="n"/>
      <c r="G226" s="56" t="n"/>
      <c r="H226" s="55" t="n"/>
      <c r="I226" s="62" t="n"/>
      <c r="J226" s="58" t="n"/>
      <c r="K226" s="63">
        <f>IF(tblMovement[[#This Row],[Source]]="","",IFERROR(INDEX(tblSources[Type],MATCH(tblMovement[[#This Row],[Source]],tblSources[Source],0)),"?"))</f>
        <v/>
      </c>
      <c r="L226" s="63">
        <f>IF(tblMovement[[#This Row],[Destination]]="","",IFERROR(INDEX(tblDestinations[Type],MATCH(tblMovement[[#This Row],[Destination]],tblDestinations[Destination],0)),"?"))</f>
        <v/>
      </c>
      <c r="M226" s="64">
        <f>IF(tblMovement[[#This Row],[Material]]="","",IF(LEFT(tblMovement[[#This Row],[Material]],3)="Ore",1,0))</f>
        <v/>
      </c>
      <c r="N226" s="59">
        <f>IF(OR(tblMovement[[#This Row],[Tonnes_t]]="",tblMovement[[#This Row],[Grade_gpt]]=""),0,tblMovement[[#This Row],[Tonnes_t]]*tblMovement[[#This Row],[Grade_gpt]]/cfg_TroyOz)</f>
        <v/>
      </c>
      <c r="O226" s="59">
        <f>IF(tblMovement[[#This Row],[Is_Ore]]=1,tblMovement[[#This Row],[Contained_oz]],0)</f>
        <v/>
      </c>
    </row>
    <row r="227">
      <c r="A227" s="54" t="n"/>
      <c r="B227" s="61" t="n"/>
      <c r="C227" s="61" t="n"/>
      <c r="D227" s="61" t="n"/>
      <c r="E227" s="61" t="n"/>
      <c r="F227" s="55" t="n"/>
      <c r="G227" s="56" t="n"/>
      <c r="H227" s="55" t="n"/>
      <c r="I227" s="62" t="n"/>
      <c r="J227" s="58" t="n"/>
      <c r="K227" s="63">
        <f>IF(tblMovement[[#This Row],[Source]]="","",IFERROR(INDEX(tblSources[Type],MATCH(tblMovement[[#This Row],[Source]],tblSources[Source],0)),"?"))</f>
        <v/>
      </c>
      <c r="L227" s="63">
        <f>IF(tblMovement[[#This Row],[Destination]]="","",IFERROR(INDEX(tblDestinations[Type],MATCH(tblMovement[[#This Row],[Destination]],tblDestinations[Destination],0)),"?"))</f>
        <v/>
      </c>
      <c r="M227" s="64">
        <f>IF(tblMovement[[#This Row],[Material]]="","",IF(LEFT(tblMovement[[#This Row],[Material]],3)="Ore",1,0))</f>
        <v/>
      </c>
      <c r="N227" s="59">
        <f>IF(OR(tblMovement[[#This Row],[Tonnes_t]]="",tblMovement[[#This Row],[Grade_gpt]]=""),0,tblMovement[[#This Row],[Tonnes_t]]*tblMovement[[#This Row],[Grade_gpt]]/cfg_TroyOz)</f>
        <v/>
      </c>
      <c r="O227" s="59">
        <f>IF(tblMovement[[#This Row],[Is_Ore]]=1,tblMovement[[#This Row],[Contained_oz]],0)</f>
        <v/>
      </c>
    </row>
    <row r="228">
      <c r="A228" s="54" t="n"/>
      <c r="B228" s="61" t="n"/>
      <c r="C228" s="61" t="n"/>
      <c r="D228" s="61" t="n"/>
      <c r="E228" s="61" t="n"/>
      <c r="F228" s="55" t="n"/>
      <c r="G228" s="56" t="n"/>
      <c r="H228" s="55" t="n"/>
      <c r="I228" s="62" t="n"/>
      <c r="J228" s="58" t="n"/>
      <c r="K228" s="63">
        <f>IF(tblMovement[[#This Row],[Source]]="","",IFERROR(INDEX(tblSources[Type],MATCH(tblMovement[[#This Row],[Source]],tblSources[Source],0)),"?"))</f>
        <v/>
      </c>
      <c r="L228" s="63">
        <f>IF(tblMovement[[#This Row],[Destination]]="","",IFERROR(INDEX(tblDestinations[Type],MATCH(tblMovement[[#This Row],[Destination]],tblDestinations[Destination],0)),"?"))</f>
        <v/>
      </c>
      <c r="M228" s="64">
        <f>IF(tblMovement[[#This Row],[Material]]="","",IF(LEFT(tblMovement[[#This Row],[Material]],3)="Ore",1,0))</f>
        <v/>
      </c>
      <c r="N228" s="59">
        <f>IF(OR(tblMovement[[#This Row],[Tonnes_t]]="",tblMovement[[#This Row],[Grade_gpt]]=""),0,tblMovement[[#This Row],[Tonnes_t]]*tblMovement[[#This Row],[Grade_gpt]]/cfg_TroyOz)</f>
        <v/>
      </c>
      <c r="O228" s="59">
        <f>IF(tblMovement[[#This Row],[Is_Ore]]=1,tblMovement[[#This Row],[Contained_oz]],0)</f>
        <v/>
      </c>
    </row>
    <row r="229">
      <c r="A229" s="54" t="n"/>
      <c r="B229" s="61" t="n"/>
      <c r="C229" s="61" t="n"/>
      <c r="D229" s="61" t="n"/>
      <c r="E229" s="61" t="n"/>
      <c r="F229" s="55" t="n"/>
      <c r="G229" s="56" t="n"/>
      <c r="H229" s="55" t="n"/>
      <c r="I229" s="62" t="n"/>
      <c r="J229" s="58" t="n"/>
      <c r="K229" s="63">
        <f>IF(tblMovement[[#This Row],[Source]]="","",IFERROR(INDEX(tblSources[Type],MATCH(tblMovement[[#This Row],[Source]],tblSources[Source],0)),"?"))</f>
        <v/>
      </c>
      <c r="L229" s="63">
        <f>IF(tblMovement[[#This Row],[Destination]]="","",IFERROR(INDEX(tblDestinations[Type],MATCH(tblMovement[[#This Row],[Destination]],tblDestinations[Destination],0)),"?"))</f>
        <v/>
      </c>
      <c r="M229" s="64">
        <f>IF(tblMovement[[#This Row],[Material]]="","",IF(LEFT(tblMovement[[#This Row],[Material]],3)="Ore",1,0))</f>
        <v/>
      </c>
      <c r="N229" s="59">
        <f>IF(OR(tblMovement[[#This Row],[Tonnes_t]]="",tblMovement[[#This Row],[Grade_gpt]]=""),0,tblMovement[[#This Row],[Tonnes_t]]*tblMovement[[#This Row],[Grade_gpt]]/cfg_TroyOz)</f>
        <v/>
      </c>
      <c r="O229" s="59">
        <f>IF(tblMovement[[#This Row],[Is_Ore]]=1,tblMovement[[#This Row],[Contained_oz]],0)</f>
        <v/>
      </c>
    </row>
    <row r="230">
      <c r="A230" s="54" t="n"/>
      <c r="B230" s="61" t="n"/>
      <c r="C230" s="61" t="n"/>
      <c r="D230" s="61" t="n"/>
      <c r="E230" s="61" t="n"/>
      <c r="F230" s="55" t="n"/>
      <c r="G230" s="56" t="n"/>
      <c r="H230" s="55" t="n"/>
      <c r="I230" s="62" t="n"/>
      <c r="J230" s="58" t="n"/>
      <c r="K230" s="63">
        <f>IF(tblMovement[[#This Row],[Source]]="","",IFERROR(INDEX(tblSources[Type],MATCH(tblMovement[[#This Row],[Source]],tblSources[Source],0)),"?"))</f>
        <v/>
      </c>
      <c r="L230" s="63">
        <f>IF(tblMovement[[#This Row],[Destination]]="","",IFERROR(INDEX(tblDestinations[Type],MATCH(tblMovement[[#This Row],[Destination]],tblDestinations[Destination],0)),"?"))</f>
        <v/>
      </c>
      <c r="M230" s="64">
        <f>IF(tblMovement[[#This Row],[Material]]="","",IF(LEFT(tblMovement[[#This Row],[Material]],3)="Ore",1,0))</f>
        <v/>
      </c>
      <c r="N230" s="59">
        <f>IF(OR(tblMovement[[#This Row],[Tonnes_t]]="",tblMovement[[#This Row],[Grade_gpt]]=""),0,tblMovement[[#This Row],[Tonnes_t]]*tblMovement[[#This Row],[Grade_gpt]]/cfg_TroyOz)</f>
        <v/>
      </c>
      <c r="O230" s="59">
        <f>IF(tblMovement[[#This Row],[Is_Ore]]=1,tblMovement[[#This Row],[Contained_oz]],0)</f>
        <v/>
      </c>
    </row>
    <row r="231">
      <c r="A231" s="54" t="n"/>
      <c r="B231" s="61" t="n"/>
      <c r="C231" s="61" t="n"/>
      <c r="D231" s="61" t="n"/>
      <c r="E231" s="61" t="n"/>
      <c r="F231" s="55" t="n"/>
      <c r="G231" s="56" t="n"/>
      <c r="H231" s="55" t="n"/>
      <c r="I231" s="62" t="n"/>
      <c r="J231" s="58" t="n"/>
      <c r="K231" s="63">
        <f>IF(tblMovement[[#This Row],[Source]]="","",IFERROR(INDEX(tblSources[Type],MATCH(tblMovement[[#This Row],[Source]],tblSources[Source],0)),"?"))</f>
        <v/>
      </c>
      <c r="L231" s="63">
        <f>IF(tblMovement[[#This Row],[Destination]]="","",IFERROR(INDEX(tblDestinations[Type],MATCH(tblMovement[[#This Row],[Destination]],tblDestinations[Destination],0)),"?"))</f>
        <v/>
      </c>
      <c r="M231" s="64">
        <f>IF(tblMovement[[#This Row],[Material]]="","",IF(LEFT(tblMovement[[#This Row],[Material]],3)="Ore",1,0))</f>
        <v/>
      </c>
      <c r="N231" s="59">
        <f>IF(OR(tblMovement[[#This Row],[Tonnes_t]]="",tblMovement[[#This Row],[Grade_gpt]]=""),0,tblMovement[[#This Row],[Tonnes_t]]*tblMovement[[#This Row],[Grade_gpt]]/cfg_TroyOz)</f>
        <v/>
      </c>
      <c r="O231" s="59">
        <f>IF(tblMovement[[#This Row],[Is_Ore]]=1,tblMovement[[#This Row],[Contained_oz]],0)</f>
        <v/>
      </c>
    </row>
    <row r="232">
      <c r="A232" s="54" t="n"/>
      <c r="B232" s="61" t="n"/>
      <c r="C232" s="61" t="n"/>
      <c r="D232" s="61" t="n"/>
      <c r="E232" s="61" t="n"/>
      <c r="F232" s="55" t="n"/>
      <c r="G232" s="56" t="n"/>
      <c r="H232" s="55" t="n"/>
      <c r="I232" s="62" t="n"/>
      <c r="J232" s="58" t="n"/>
      <c r="K232" s="63">
        <f>IF(tblMovement[[#This Row],[Source]]="","",IFERROR(INDEX(tblSources[Type],MATCH(tblMovement[[#This Row],[Source]],tblSources[Source],0)),"?"))</f>
        <v/>
      </c>
      <c r="L232" s="63">
        <f>IF(tblMovement[[#This Row],[Destination]]="","",IFERROR(INDEX(tblDestinations[Type],MATCH(tblMovement[[#This Row],[Destination]],tblDestinations[Destination],0)),"?"))</f>
        <v/>
      </c>
      <c r="M232" s="64">
        <f>IF(tblMovement[[#This Row],[Material]]="","",IF(LEFT(tblMovement[[#This Row],[Material]],3)="Ore",1,0))</f>
        <v/>
      </c>
      <c r="N232" s="59">
        <f>IF(OR(tblMovement[[#This Row],[Tonnes_t]]="",tblMovement[[#This Row],[Grade_gpt]]=""),0,tblMovement[[#This Row],[Tonnes_t]]*tblMovement[[#This Row],[Grade_gpt]]/cfg_TroyOz)</f>
        <v/>
      </c>
      <c r="O232" s="59">
        <f>IF(tblMovement[[#This Row],[Is_Ore]]=1,tblMovement[[#This Row],[Contained_oz]],0)</f>
        <v/>
      </c>
    </row>
    <row r="233">
      <c r="A233" s="54" t="n"/>
      <c r="B233" s="61" t="n"/>
      <c r="C233" s="61" t="n"/>
      <c r="D233" s="61" t="n"/>
      <c r="E233" s="61" t="n"/>
      <c r="F233" s="55" t="n"/>
      <c r="G233" s="56" t="n"/>
      <c r="H233" s="55" t="n"/>
      <c r="I233" s="62" t="n"/>
      <c r="J233" s="58" t="n"/>
      <c r="K233" s="63">
        <f>IF(tblMovement[[#This Row],[Source]]="","",IFERROR(INDEX(tblSources[Type],MATCH(tblMovement[[#This Row],[Source]],tblSources[Source],0)),"?"))</f>
        <v/>
      </c>
      <c r="L233" s="63">
        <f>IF(tblMovement[[#This Row],[Destination]]="","",IFERROR(INDEX(tblDestinations[Type],MATCH(tblMovement[[#This Row],[Destination]],tblDestinations[Destination],0)),"?"))</f>
        <v/>
      </c>
      <c r="M233" s="64">
        <f>IF(tblMovement[[#This Row],[Material]]="","",IF(LEFT(tblMovement[[#This Row],[Material]],3)="Ore",1,0))</f>
        <v/>
      </c>
      <c r="N233" s="59">
        <f>IF(OR(tblMovement[[#This Row],[Tonnes_t]]="",tblMovement[[#This Row],[Grade_gpt]]=""),0,tblMovement[[#This Row],[Tonnes_t]]*tblMovement[[#This Row],[Grade_gpt]]/cfg_TroyOz)</f>
        <v/>
      </c>
      <c r="O233" s="59">
        <f>IF(tblMovement[[#This Row],[Is_Ore]]=1,tblMovement[[#This Row],[Contained_oz]],0)</f>
        <v/>
      </c>
    </row>
    <row r="234">
      <c r="A234" s="54" t="n"/>
      <c r="B234" s="61" t="n"/>
      <c r="C234" s="61" t="n"/>
      <c r="D234" s="61" t="n"/>
      <c r="E234" s="61" t="n"/>
      <c r="F234" s="55" t="n"/>
      <c r="G234" s="56" t="n"/>
      <c r="H234" s="55" t="n"/>
      <c r="I234" s="62" t="n"/>
      <c r="J234" s="58" t="n"/>
      <c r="K234" s="63">
        <f>IF(tblMovement[[#This Row],[Source]]="","",IFERROR(INDEX(tblSources[Type],MATCH(tblMovement[[#This Row],[Source]],tblSources[Source],0)),"?"))</f>
        <v/>
      </c>
      <c r="L234" s="63">
        <f>IF(tblMovement[[#This Row],[Destination]]="","",IFERROR(INDEX(tblDestinations[Type],MATCH(tblMovement[[#This Row],[Destination]],tblDestinations[Destination],0)),"?"))</f>
        <v/>
      </c>
      <c r="M234" s="64">
        <f>IF(tblMovement[[#This Row],[Material]]="","",IF(LEFT(tblMovement[[#This Row],[Material]],3)="Ore",1,0))</f>
        <v/>
      </c>
      <c r="N234" s="59">
        <f>IF(OR(tblMovement[[#This Row],[Tonnes_t]]="",tblMovement[[#This Row],[Grade_gpt]]=""),0,tblMovement[[#This Row],[Tonnes_t]]*tblMovement[[#This Row],[Grade_gpt]]/cfg_TroyOz)</f>
        <v/>
      </c>
      <c r="O234" s="59">
        <f>IF(tblMovement[[#This Row],[Is_Ore]]=1,tblMovement[[#This Row],[Contained_oz]],0)</f>
        <v/>
      </c>
    </row>
    <row r="235">
      <c r="A235" s="54" t="n"/>
      <c r="B235" s="61" t="n"/>
      <c r="C235" s="61" t="n"/>
      <c r="D235" s="61" t="n"/>
      <c r="E235" s="61" t="n"/>
      <c r="F235" s="55" t="n"/>
      <c r="G235" s="56" t="n"/>
      <c r="H235" s="55" t="n"/>
      <c r="I235" s="62" t="n"/>
      <c r="J235" s="58" t="n"/>
      <c r="K235" s="63">
        <f>IF(tblMovement[[#This Row],[Source]]="","",IFERROR(INDEX(tblSources[Type],MATCH(tblMovement[[#This Row],[Source]],tblSources[Source],0)),"?"))</f>
        <v/>
      </c>
      <c r="L235" s="63">
        <f>IF(tblMovement[[#This Row],[Destination]]="","",IFERROR(INDEX(tblDestinations[Type],MATCH(tblMovement[[#This Row],[Destination]],tblDestinations[Destination],0)),"?"))</f>
        <v/>
      </c>
      <c r="M235" s="64">
        <f>IF(tblMovement[[#This Row],[Material]]="","",IF(LEFT(tblMovement[[#This Row],[Material]],3)="Ore",1,0))</f>
        <v/>
      </c>
      <c r="N235" s="59">
        <f>IF(OR(tblMovement[[#This Row],[Tonnes_t]]="",tblMovement[[#This Row],[Grade_gpt]]=""),0,tblMovement[[#This Row],[Tonnes_t]]*tblMovement[[#This Row],[Grade_gpt]]/cfg_TroyOz)</f>
        <v/>
      </c>
      <c r="O235" s="59">
        <f>IF(tblMovement[[#This Row],[Is_Ore]]=1,tblMovement[[#This Row],[Contained_oz]],0)</f>
        <v/>
      </c>
    </row>
    <row r="236">
      <c r="A236" s="54" t="n"/>
      <c r="B236" s="61" t="n"/>
      <c r="C236" s="61" t="n"/>
      <c r="D236" s="61" t="n"/>
      <c r="E236" s="61" t="n"/>
      <c r="F236" s="55" t="n"/>
      <c r="G236" s="56" t="n"/>
      <c r="H236" s="55" t="n"/>
      <c r="I236" s="62" t="n"/>
      <c r="J236" s="58" t="n"/>
      <c r="K236" s="63">
        <f>IF(tblMovement[[#This Row],[Source]]="","",IFERROR(INDEX(tblSources[Type],MATCH(tblMovement[[#This Row],[Source]],tblSources[Source],0)),"?"))</f>
        <v/>
      </c>
      <c r="L236" s="63">
        <f>IF(tblMovement[[#This Row],[Destination]]="","",IFERROR(INDEX(tblDestinations[Type],MATCH(tblMovement[[#This Row],[Destination]],tblDestinations[Destination],0)),"?"))</f>
        <v/>
      </c>
      <c r="M236" s="64">
        <f>IF(tblMovement[[#This Row],[Material]]="","",IF(LEFT(tblMovement[[#This Row],[Material]],3)="Ore",1,0))</f>
        <v/>
      </c>
      <c r="N236" s="59">
        <f>IF(OR(tblMovement[[#This Row],[Tonnes_t]]="",tblMovement[[#This Row],[Grade_gpt]]=""),0,tblMovement[[#This Row],[Tonnes_t]]*tblMovement[[#This Row],[Grade_gpt]]/cfg_TroyOz)</f>
        <v/>
      </c>
      <c r="O236" s="59">
        <f>IF(tblMovement[[#This Row],[Is_Ore]]=1,tblMovement[[#This Row],[Contained_oz]],0)</f>
        <v/>
      </c>
    </row>
    <row r="237">
      <c r="A237" s="54" t="n"/>
      <c r="B237" s="61" t="n"/>
      <c r="C237" s="61" t="n"/>
      <c r="D237" s="61" t="n"/>
      <c r="E237" s="61" t="n"/>
      <c r="F237" s="55" t="n"/>
      <c r="G237" s="56" t="n"/>
      <c r="H237" s="55" t="n"/>
      <c r="I237" s="62" t="n"/>
      <c r="J237" s="58" t="n"/>
      <c r="K237" s="63">
        <f>IF(tblMovement[[#This Row],[Source]]="","",IFERROR(INDEX(tblSources[Type],MATCH(tblMovement[[#This Row],[Source]],tblSources[Source],0)),"?"))</f>
        <v/>
      </c>
      <c r="L237" s="63">
        <f>IF(tblMovement[[#This Row],[Destination]]="","",IFERROR(INDEX(tblDestinations[Type],MATCH(tblMovement[[#This Row],[Destination]],tblDestinations[Destination],0)),"?"))</f>
        <v/>
      </c>
      <c r="M237" s="64">
        <f>IF(tblMovement[[#This Row],[Material]]="","",IF(LEFT(tblMovement[[#This Row],[Material]],3)="Ore",1,0))</f>
        <v/>
      </c>
      <c r="N237" s="59">
        <f>IF(OR(tblMovement[[#This Row],[Tonnes_t]]="",tblMovement[[#This Row],[Grade_gpt]]=""),0,tblMovement[[#This Row],[Tonnes_t]]*tblMovement[[#This Row],[Grade_gpt]]/cfg_TroyOz)</f>
        <v/>
      </c>
      <c r="O237" s="59">
        <f>IF(tblMovement[[#This Row],[Is_Ore]]=1,tblMovement[[#This Row],[Contained_oz]],0)</f>
        <v/>
      </c>
    </row>
    <row r="238">
      <c r="A238" s="54" t="n"/>
      <c r="B238" s="61" t="n"/>
      <c r="C238" s="61" t="n"/>
      <c r="D238" s="61" t="n"/>
      <c r="E238" s="61" t="n"/>
      <c r="F238" s="55" t="n"/>
      <c r="G238" s="56" t="n"/>
      <c r="H238" s="55" t="n"/>
      <c r="I238" s="62" t="n"/>
      <c r="J238" s="58" t="n"/>
      <c r="K238" s="63">
        <f>IF(tblMovement[[#This Row],[Source]]="","",IFERROR(INDEX(tblSources[Type],MATCH(tblMovement[[#This Row],[Source]],tblSources[Source],0)),"?"))</f>
        <v/>
      </c>
      <c r="L238" s="63">
        <f>IF(tblMovement[[#This Row],[Destination]]="","",IFERROR(INDEX(tblDestinations[Type],MATCH(tblMovement[[#This Row],[Destination]],tblDestinations[Destination],0)),"?"))</f>
        <v/>
      </c>
      <c r="M238" s="64">
        <f>IF(tblMovement[[#This Row],[Material]]="","",IF(LEFT(tblMovement[[#This Row],[Material]],3)="Ore",1,0))</f>
        <v/>
      </c>
      <c r="N238" s="59">
        <f>IF(OR(tblMovement[[#This Row],[Tonnes_t]]="",tblMovement[[#This Row],[Grade_gpt]]=""),0,tblMovement[[#This Row],[Tonnes_t]]*tblMovement[[#This Row],[Grade_gpt]]/cfg_TroyOz)</f>
        <v/>
      </c>
      <c r="O238" s="59">
        <f>IF(tblMovement[[#This Row],[Is_Ore]]=1,tblMovement[[#This Row],[Contained_oz]],0)</f>
        <v/>
      </c>
    </row>
    <row r="239">
      <c r="A239" s="54" t="n"/>
      <c r="B239" s="61" t="n"/>
      <c r="C239" s="61" t="n"/>
      <c r="D239" s="61" t="n"/>
      <c r="E239" s="61" t="n"/>
      <c r="F239" s="55" t="n"/>
      <c r="G239" s="56" t="n"/>
      <c r="H239" s="55" t="n"/>
      <c r="I239" s="62" t="n"/>
      <c r="J239" s="58" t="n"/>
      <c r="K239" s="63">
        <f>IF(tblMovement[[#This Row],[Source]]="","",IFERROR(INDEX(tblSources[Type],MATCH(tblMovement[[#This Row],[Source]],tblSources[Source],0)),"?"))</f>
        <v/>
      </c>
      <c r="L239" s="63">
        <f>IF(tblMovement[[#This Row],[Destination]]="","",IFERROR(INDEX(tblDestinations[Type],MATCH(tblMovement[[#This Row],[Destination]],tblDestinations[Destination],0)),"?"))</f>
        <v/>
      </c>
      <c r="M239" s="64">
        <f>IF(tblMovement[[#This Row],[Material]]="","",IF(LEFT(tblMovement[[#This Row],[Material]],3)="Ore",1,0))</f>
        <v/>
      </c>
      <c r="N239" s="59">
        <f>IF(OR(tblMovement[[#This Row],[Tonnes_t]]="",tblMovement[[#This Row],[Grade_gpt]]=""),0,tblMovement[[#This Row],[Tonnes_t]]*tblMovement[[#This Row],[Grade_gpt]]/cfg_TroyOz)</f>
        <v/>
      </c>
      <c r="O239" s="59">
        <f>IF(tblMovement[[#This Row],[Is_Ore]]=1,tblMovement[[#This Row],[Contained_oz]],0)</f>
        <v/>
      </c>
    </row>
    <row r="240">
      <c r="A240" s="54" t="n"/>
      <c r="B240" s="61" t="n"/>
      <c r="C240" s="61" t="n"/>
      <c r="D240" s="61" t="n"/>
      <c r="E240" s="61" t="n"/>
      <c r="F240" s="55" t="n"/>
      <c r="G240" s="56" t="n"/>
      <c r="H240" s="55" t="n"/>
      <c r="I240" s="62" t="n"/>
      <c r="J240" s="58" t="n"/>
      <c r="K240" s="63">
        <f>IF(tblMovement[[#This Row],[Source]]="","",IFERROR(INDEX(tblSources[Type],MATCH(tblMovement[[#This Row],[Source]],tblSources[Source],0)),"?"))</f>
        <v/>
      </c>
      <c r="L240" s="63">
        <f>IF(tblMovement[[#This Row],[Destination]]="","",IFERROR(INDEX(tblDestinations[Type],MATCH(tblMovement[[#This Row],[Destination]],tblDestinations[Destination],0)),"?"))</f>
        <v/>
      </c>
      <c r="M240" s="64">
        <f>IF(tblMovement[[#This Row],[Material]]="","",IF(LEFT(tblMovement[[#This Row],[Material]],3)="Ore",1,0))</f>
        <v/>
      </c>
      <c r="N240" s="59">
        <f>IF(OR(tblMovement[[#This Row],[Tonnes_t]]="",tblMovement[[#This Row],[Grade_gpt]]=""),0,tblMovement[[#This Row],[Tonnes_t]]*tblMovement[[#This Row],[Grade_gpt]]/cfg_TroyOz)</f>
        <v/>
      </c>
      <c r="O240" s="59">
        <f>IF(tblMovement[[#This Row],[Is_Ore]]=1,tblMovement[[#This Row],[Contained_oz]],0)</f>
        <v/>
      </c>
    </row>
    <row r="241">
      <c r="A241" s="54" t="n"/>
      <c r="B241" s="61" t="n"/>
      <c r="C241" s="61" t="n"/>
      <c r="D241" s="61" t="n"/>
      <c r="E241" s="61" t="n"/>
      <c r="F241" s="55" t="n"/>
      <c r="G241" s="56" t="n"/>
      <c r="H241" s="55" t="n"/>
      <c r="I241" s="62" t="n"/>
      <c r="J241" s="58" t="n"/>
      <c r="K241" s="63">
        <f>IF(tblMovement[[#This Row],[Source]]="","",IFERROR(INDEX(tblSources[Type],MATCH(tblMovement[[#This Row],[Source]],tblSources[Source],0)),"?"))</f>
        <v/>
      </c>
      <c r="L241" s="63">
        <f>IF(tblMovement[[#This Row],[Destination]]="","",IFERROR(INDEX(tblDestinations[Type],MATCH(tblMovement[[#This Row],[Destination]],tblDestinations[Destination],0)),"?"))</f>
        <v/>
      </c>
      <c r="M241" s="64">
        <f>IF(tblMovement[[#This Row],[Material]]="","",IF(LEFT(tblMovement[[#This Row],[Material]],3)="Ore",1,0))</f>
        <v/>
      </c>
      <c r="N241" s="59">
        <f>IF(OR(tblMovement[[#This Row],[Tonnes_t]]="",tblMovement[[#This Row],[Grade_gpt]]=""),0,tblMovement[[#This Row],[Tonnes_t]]*tblMovement[[#This Row],[Grade_gpt]]/cfg_TroyOz)</f>
        <v/>
      </c>
      <c r="O241" s="59">
        <f>IF(tblMovement[[#This Row],[Is_Ore]]=1,tblMovement[[#This Row],[Contained_oz]],0)</f>
        <v/>
      </c>
    </row>
    <row r="242">
      <c r="A242" s="54" t="n"/>
      <c r="B242" s="61" t="n"/>
      <c r="C242" s="61" t="n"/>
      <c r="D242" s="61" t="n"/>
      <c r="E242" s="61" t="n"/>
      <c r="F242" s="55" t="n"/>
      <c r="G242" s="56" t="n"/>
      <c r="H242" s="55" t="n"/>
      <c r="I242" s="62" t="n"/>
      <c r="J242" s="58" t="n"/>
      <c r="K242" s="63">
        <f>IF(tblMovement[[#This Row],[Source]]="","",IFERROR(INDEX(tblSources[Type],MATCH(tblMovement[[#This Row],[Source]],tblSources[Source],0)),"?"))</f>
        <v/>
      </c>
      <c r="L242" s="63">
        <f>IF(tblMovement[[#This Row],[Destination]]="","",IFERROR(INDEX(tblDestinations[Type],MATCH(tblMovement[[#This Row],[Destination]],tblDestinations[Destination],0)),"?"))</f>
        <v/>
      </c>
      <c r="M242" s="64">
        <f>IF(tblMovement[[#This Row],[Material]]="","",IF(LEFT(tblMovement[[#This Row],[Material]],3)="Ore",1,0))</f>
        <v/>
      </c>
      <c r="N242" s="59">
        <f>IF(OR(tblMovement[[#This Row],[Tonnes_t]]="",tblMovement[[#This Row],[Grade_gpt]]=""),0,tblMovement[[#This Row],[Tonnes_t]]*tblMovement[[#This Row],[Grade_gpt]]/cfg_TroyOz)</f>
        <v/>
      </c>
      <c r="O242" s="59">
        <f>IF(tblMovement[[#This Row],[Is_Ore]]=1,tblMovement[[#This Row],[Contained_oz]],0)</f>
        <v/>
      </c>
    </row>
    <row r="243">
      <c r="A243" s="54" t="n"/>
      <c r="B243" s="61" t="n"/>
      <c r="C243" s="61" t="n"/>
      <c r="D243" s="61" t="n"/>
      <c r="E243" s="61" t="n"/>
      <c r="F243" s="55" t="n"/>
      <c r="G243" s="56" t="n"/>
      <c r="H243" s="55" t="n"/>
      <c r="I243" s="62" t="n"/>
      <c r="J243" s="58" t="n"/>
      <c r="K243" s="63">
        <f>IF(tblMovement[[#This Row],[Source]]="","",IFERROR(INDEX(tblSources[Type],MATCH(tblMovement[[#This Row],[Source]],tblSources[Source],0)),"?"))</f>
        <v/>
      </c>
      <c r="L243" s="63">
        <f>IF(tblMovement[[#This Row],[Destination]]="","",IFERROR(INDEX(tblDestinations[Type],MATCH(tblMovement[[#This Row],[Destination]],tblDestinations[Destination],0)),"?"))</f>
        <v/>
      </c>
      <c r="M243" s="64">
        <f>IF(tblMovement[[#This Row],[Material]]="","",IF(LEFT(tblMovement[[#This Row],[Material]],3)="Ore",1,0))</f>
        <v/>
      </c>
      <c r="N243" s="59">
        <f>IF(OR(tblMovement[[#This Row],[Tonnes_t]]="",tblMovement[[#This Row],[Grade_gpt]]=""),0,tblMovement[[#This Row],[Tonnes_t]]*tblMovement[[#This Row],[Grade_gpt]]/cfg_TroyOz)</f>
        <v/>
      </c>
      <c r="O243" s="59">
        <f>IF(tblMovement[[#This Row],[Is_Ore]]=1,tblMovement[[#This Row],[Contained_oz]],0)</f>
        <v/>
      </c>
    </row>
    <row r="244">
      <c r="A244" s="54" t="n"/>
      <c r="B244" s="61" t="n"/>
      <c r="C244" s="61" t="n"/>
      <c r="D244" s="61" t="n"/>
      <c r="E244" s="61" t="n"/>
      <c r="F244" s="55" t="n"/>
      <c r="G244" s="56" t="n"/>
      <c r="H244" s="55" t="n"/>
      <c r="I244" s="62" t="n"/>
      <c r="J244" s="58" t="n"/>
      <c r="K244" s="63">
        <f>IF(tblMovement[[#This Row],[Source]]="","",IFERROR(INDEX(tblSources[Type],MATCH(tblMovement[[#This Row],[Source]],tblSources[Source],0)),"?"))</f>
        <v/>
      </c>
      <c r="L244" s="63">
        <f>IF(tblMovement[[#This Row],[Destination]]="","",IFERROR(INDEX(tblDestinations[Type],MATCH(tblMovement[[#This Row],[Destination]],tblDestinations[Destination],0)),"?"))</f>
        <v/>
      </c>
      <c r="M244" s="64">
        <f>IF(tblMovement[[#This Row],[Material]]="","",IF(LEFT(tblMovement[[#This Row],[Material]],3)="Ore",1,0))</f>
        <v/>
      </c>
      <c r="N244" s="59">
        <f>IF(OR(tblMovement[[#This Row],[Tonnes_t]]="",tblMovement[[#This Row],[Grade_gpt]]=""),0,tblMovement[[#This Row],[Tonnes_t]]*tblMovement[[#This Row],[Grade_gpt]]/cfg_TroyOz)</f>
        <v/>
      </c>
      <c r="O244" s="59">
        <f>IF(tblMovement[[#This Row],[Is_Ore]]=1,tblMovement[[#This Row],[Contained_oz]],0)</f>
        <v/>
      </c>
    </row>
    <row r="245">
      <c r="A245" s="54" t="n"/>
      <c r="B245" s="61" t="n"/>
      <c r="C245" s="61" t="n"/>
      <c r="D245" s="61" t="n"/>
      <c r="E245" s="61" t="n"/>
      <c r="F245" s="55" t="n"/>
      <c r="G245" s="56" t="n"/>
      <c r="H245" s="55" t="n"/>
      <c r="I245" s="62" t="n"/>
      <c r="J245" s="58" t="n"/>
      <c r="K245" s="63">
        <f>IF(tblMovement[[#This Row],[Source]]="","",IFERROR(INDEX(tblSources[Type],MATCH(tblMovement[[#This Row],[Source]],tblSources[Source],0)),"?"))</f>
        <v/>
      </c>
      <c r="L245" s="63">
        <f>IF(tblMovement[[#This Row],[Destination]]="","",IFERROR(INDEX(tblDestinations[Type],MATCH(tblMovement[[#This Row],[Destination]],tblDestinations[Destination],0)),"?"))</f>
        <v/>
      </c>
      <c r="M245" s="64">
        <f>IF(tblMovement[[#This Row],[Material]]="","",IF(LEFT(tblMovement[[#This Row],[Material]],3)="Ore",1,0))</f>
        <v/>
      </c>
      <c r="N245" s="59">
        <f>IF(OR(tblMovement[[#This Row],[Tonnes_t]]="",tblMovement[[#This Row],[Grade_gpt]]=""),0,tblMovement[[#This Row],[Tonnes_t]]*tblMovement[[#This Row],[Grade_gpt]]/cfg_TroyOz)</f>
        <v/>
      </c>
      <c r="O245" s="59">
        <f>IF(tblMovement[[#This Row],[Is_Ore]]=1,tblMovement[[#This Row],[Contained_oz]],0)</f>
        <v/>
      </c>
    </row>
    <row r="246">
      <c r="A246" s="54" t="n"/>
      <c r="B246" s="61" t="n"/>
      <c r="C246" s="61" t="n"/>
      <c r="D246" s="61" t="n"/>
      <c r="E246" s="61" t="n"/>
      <c r="F246" s="55" t="n"/>
      <c r="G246" s="56" t="n"/>
      <c r="H246" s="55" t="n"/>
      <c r="I246" s="62" t="n"/>
      <c r="J246" s="58" t="n"/>
      <c r="K246" s="63">
        <f>IF(tblMovement[[#This Row],[Source]]="","",IFERROR(INDEX(tblSources[Type],MATCH(tblMovement[[#This Row],[Source]],tblSources[Source],0)),"?"))</f>
        <v/>
      </c>
      <c r="L246" s="63">
        <f>IF(tblMovement[[#This Row],[Destination]]="","",IFERROR(INDEX(tblDestinations[Type],MATCH(tblMovement[[#This Row],[Destination]],tblDestinations[Destination],0)),"?"))</f>
        <v/>
      </c>
      <c r="M246" s="64">
        <f>IF(tblMovement[[#This Row],[Material]]="","",IF(LEFT(tblMovement[[#This Row],[Material]],3)="Ore",1,0))</f>
        <v/>
      </c>
      <c r="N246" s="59">
        <f>IF(OR(tblMovement[[#This Row],[Tonnes_t]]="",tblMovement[[#This Row],[Grade_gpt]]=""),0,tblMovement[[#This Row],[Tonnes_t]]*tblMovement[[#This Row],[Grade_gpt]]/cfg_TroyOz)</f>
        <v/>
      </c>
      <c r="O246" s="59">
        <f>IF(tblMovement[[#This Row],[Is_Ore]]=1,tblMovement[[#This Row],[Contained_oz]],0)</f>
        <v/>
      </c>
    </row>
    <row r="247">
      <c r="A247" s="54" t="n"/>
      <c r="B247" s="61" t="n"/>
      <c r="C247" s="61" t="n"/>
      <c r="D247" s="61" t="n"/>
      <c r="E247" s="61" t="n"/>
      <c r="F247" s="55" t="n"/>
      <c r="G247" s="56" t="n"/>
      <c r="H247" s="55" t="n"/>
      <c r="I247" s="62" t="n"/>
      <c r="J247" s="58" t="n"/>
      <c r="K247" s="63">
        <f>IF(tblMovement[[#This Row],[Source]]="","",IFERROR(INDEX(tblSources[Type],MATCH(tblMovement[[#This Row],[Source]],tblSources[Source],0)),"?"))</f>
        <v/>
      </c>
      <c r="L247" s="63">
        <f>IF(tblMovement[[#This Row],[Destination]]="","",IFERROR(INDEX(tblDestinations[Type],MATCH(tblMovement[[#This Row],[Destination]],tblDestinations[Destination],0)),"?"))</f>
        <v/>
      </c>
      <c r="M247" s="64">
        <f>IF(tblMovement[[#This Row],[Material]]="","",IF(LEFT(tblMovement[[#This Row],[Material]],3)="Ore",1,0))</f>
        <v/>
      </c>
      <c r="N247" s="59">
        <f>IF(OR(tblMovement[[#This Row],[Tonnes_t]]="",tblMovement[[#This Row],[Grade_gpt]]=""),0,tblMovement[[#This Row],[Tonnes_t]]*tblMovement[[#This Row],[Grade_gpt]]/cfg_TroyOz)</f>
        <v/>
      </c>
      <c r="O247" s="59">
        <f>IF(tblMovement[[#This Row],[Is_Ore]]=1,tblMovement[[#This Row],[Contained_oz]],0)</f>
        <v/>
      </c>
    </row>
    <row r="248">
      <c r="A248" s="54" t="n"/>
      <c r="B248" s="61" t="n"/>
      <c r="C248" s="61" t="n"/>
      <c r="D248" s="61" t="n"/>
      <c r="E248" s="61" t="n"/>
      <c r="F248" s="55" t="n"/>
      <c r="G248" s="56" t="n"/>
      <c r="H248" s="55" t="n"/>
      <c r="I248" s="62" t="n"/>
      <c r="J248" s="58" t="n"/>
      <c r="K248" s="63">
        <f>IF(tblMovement[[#This Row],[Source]]="","",IFERROR(INDEX(tblSources[Type],MATCH(tblMovement[[#This Row],[Source]],tblSources[Source],0)),"?"))</f>
        <v/>
      </c>
      <c r="L248" s="63">
        <f>IF(tblMovement[[#This Row],[Destination]]="","",IFERROR(INDEX(tblDestinations[Type],MATCH(tblMovement[[#This Row],[Destination]],tblDestinations[Destination],0)),"?"))</f>
        <v/>
      </c>
      <c r="M248" s="64">
        <f>IF(tblMovement[[#This Row],[Material]]="","",IF(LEFT(tblMovement[[#This Row],[Material]],3)="Ore",1,0))</f>
        <v/>
      </c>
      <c r="N248" s="59">
        <f>IF(OR(tblMovement[[#This Row],[Tonnes_t]]="",tblMovement[[#This Row],[Grade_gpt]]=""),0,tblMovement[[#This Row],[Tonnes_t]]*tblMovement[[#This Row],[Grade_gpt]]/cfg_TroyOz)</f>
        <v/>
      </c>
      <c r="O248" s="59">
        <f>IF(tblMovement[[#This Row],[Is_Ore]]=1,tblMovement[[#This Row],[Contained_oz]],0)</f>
        <v/>
      </c>
    </row>
    <row r="249">
      <c r="A249" s="54" t="n"/>
      <c r="B249" s="61" t="n"/>
      <c r="C249" s="61" t="n"/>
      <c r="D249" s="61" t="n"/>
      <c r="E249" s="61" t="n"/>
      <c r="F249" s="55" t="n"/>
      <c r="G249" s="56" t="n"/>
      <c r="H249" s="55" t="n"/>
      <c r="I249" s="62" t="n"/>
      <c r="J249" s="58" t="n"/>
      <c r="K249" s="63">
        <f>IF(tblMovement[[#This Row],[Source]]="","",IFERROR(INDEX(tblSources[Type],MATCH(tblMovement[[#This Row],[Source]],tblSources[Source],0)),"?"))</f>
        <v/>
      </c>
      <c r="L249" s="63">
        <f>IF(tblMovement[[#This Row],[Destination]]="","",IFERROR(INDEX(tblDestinations[Type],MATCH(tblMovement[[#This Row],[Destination]],tblDestinations[Destination],0)),"?"))</f>
        <v/>
      </c>
      <c r="M249" s="64">
        <f>IF(tblMovement[[#This Row],[Material]]="","",IF(LEFT(tblMovement[[#This Row],[Material]],3)="Ore",1,0))</f>
        <v/>
      </c>
      <c r="N249" s="59">
        <f>IF(OR(tblMovement[[#This Row],[Tonnes_t]]="",tblMovement[[#This Row],[Grade_gpt]]=""),0,tblMovement[[#This Row],[Tonnes_t]]*tblMovement[[#This Row],[Grade_gpt]]/cfg_TroyOz)</f>
        <v/>
      </c>
      <c r="O249" s="59">
        <f>IF(tblMovement[[#This Row],[Is_Ore]]=1,tblMovement[[#This Row],[Contained_oz]],0)</f>
        <v/>
      </c>
    </row>
    <row r="250">
      <c r="A250" s="54" t="n"/>
      <c r="B250" s="61" t="n"/>
      <c r="C250" s="61" t="n"/>
      <c r="D250" s="61" t="n"/>
      <c r="E250" s="61" t="n"/>
      <c r="F250" s="55" t="n"/>
      <c r="G250" s="56" t="n"/>
      <c r="H250" s="55" t="n"/>
      <c r="I250" s="62" t="n"/>
      <c r="J250" s="58" t="n"/>
      <c r="K250" s="63">
        <f>IF(tblMovement[[#This Row],[Source]]="","",IFERROR(INDEX(tblSources[Type],MATCH(tblMovement[[#This Row],[Source]],tblSources[Source],0)),"?"))</f>
        <v/>
      </c>
      <c r="L250" s="63">
        <f>IF(tblMovement[[#This Row],[Destination]]="","",IFERROR(INDEX(tblDestinations[Type],MATCH(tblMovement[[#This Row],[Destination]],tblDestinations[Destination],0)),"?"))</f>
        <v/>
      </c>
      <c r="M250" s="64">
        <f>IF(tblMovement[[#This Row],[Material]]="","",IF(LEFT(tblMovement[[#This Row],[Material]],3)="Ore",1,0))</f>
        <v/>
      </c>
      <c r="N250" s="59">
        <f>IF(OR(tblMovement[[#This Row],[Tonnes_t]]="",tblMovement[[#This Row],[Grade_gpt]]=""),0,tblMovement[[#This Row],[Tonnes_t]]*tblMovement[[#This Row],[Grade_gpt]]/cfg_TroyOz)</f>
        <v/>
      </c>
      <c r="O250" s="59">
        <f>IF(tblMovement[[#This Row],[Is_Ore]]=1,tblMovement[[#This Row],[Contained_oz]],0)</f>
        <v/>
      </c>
    </row>
    <row r="251">
      <c r="A251" s="54" t="n"/>
      <c r="B251" s="61" t="n"/>
      <c r="C251" s="61" t="n"/>
      <c r="D251" s="61" t="n"/>
      <c r="E251" s="61" t="n"/>
      <c r="F251" s="55" t="n"/>
      <c r="G251" s="56" t="n"/>
      <c r="H251" s="55" t="n"/>
      <c r="I251" s="62" t="n"/>
      <c r="J251" s="58" t="n"/>
      <c r="K251" s="63">
        <f>IF(tblMovement[[#This Row],[Source]]="","",IFERROR(INDEX(tblSources[Type],MATCH(tblMovement[[#This Row],[Source]],tblSources[Source],0)),"?"))</f>
        <v/>
      </c>
      <c r="L251" s="63">
        <f>IF(tblMovement[[#This Row],[Destination]]="","",IFERROR(INDEX(tblDestinations[Type],MATCH(tblMovement[[#This Row],[Destination]],tblDestinations[Destination],0)),"?"))</f>
        <v/>
      </c>
      <c r="M251" s="64">
        <f>IF(tblMovement[[#This Row],[Material]]="","",IF(LEFT(tblMovement[[#This Row],[Material]],3)="Ore",1,0))</f>
        <v/>
      </c>
      <c r="N251" s="59">
        <f>IF(OR(tblMovement[[#This Row],[Tonnes_t]]="",tblMovement[[#This Row],[Grade_gpt]]=""),0,tblMovement[[#This Row],[Tonnes_t]]*tblMovement[[#This Row],[Grade_gpt]]/cfg_TroyOz)</f>
        <v/>
      </c>
      <c r="O251" s="59">
        <f>IF(tblMovement[[#This Row],[Is_Ore]]=1,tblMovement[[#This Row],[Contained_oz]],0)</f>
        <v/>
      </c>
    </row>
    <row r="252">
      <c r="A252" s="54" t="n"/>
      <c r="B252" s="61" t="n"/>
      <c r="C252" s="61" t="n"/>
      <c r="D252" s="61" t="n"/>
      <c r="E252" s="61" t="n"/>
      <c r="F252" s="55" t="n"/>
      <c r="G252" s="56" t="n"/>
      <c r="H252" s="55" t="n"/>
      <c r="I252" s="62" t="n"/>
      <c r="J252" s="58" t="n"/>
      <c r="K252" s="63">
        <f>IF(tblMovement[[#This Row],[Source]]="","",IFERROR(INDEX(tblSources[Type],MATCH(tblMovement[[#This Row],[Source]],tblSources[Source],0)),"?"))</f>
        <v/>
      </c>
      <c r="L252" s="63">
        <f>IF(tblMovement[[#This Row],[Destination]]="","",IFERROR(INDEX(tblDestinations[Type],MATCH(tblMovement[[#This Row],[Destination]],tblDestinations[Destination],0)),"?"))</f>
        <v/>
      </c>
      <c r="M252" s="64">
        <f>IF(tblMovement[[#This Row],[Material]]="","",IF(LEFT(tblMovement[[#This Row],[Material]],3)="Ore",1,0))</f>
        <v/>
      </c>
      <c r="N252" s="59">
        <f>IF(OR(tblMovement[[#This Row],[Tonnes_t]]="",tblMovement[[#This Row],[Grade_gpt]]=""),0,tblMovement[[#This Row],[Tonnes_t]]*tblMovement[[#This Row],[Grade_gpt]]/cfg_TroyOz)</f>
        <v/>
      </c>
      <c r="O252" s="59">
        <f>IF(tblMovement[[#This Row],[Is_Ore]]=1,tblMovement[[#This Row],[Contained_oz]],0)</f>
        <v/>
      </c>
    </row>
    <row r="253">
      <c r="A253" s="54" t="n"/>
      <c r="B253" s="61" t="n"/>
      <c r="C253" s="61" t="n"/>
      <c r="D253" s="61" t="n"/>
      <c r="E253" s="61" t="n"/>
      <c r="F253" s="55" t="n"/>
      <c r="G253" s="56" t="n"/>
      <c r="H253" s="55" t="n"/>
      <c r="I253" s="62" t="n"/>
      <c r="J253" s="58" t="n"/>
      <c r="K253" s="63">
        <f>IF(tblMovement[[#This Row],[Source]]="","",IFERROR(INDEX(tblSources[Type],MATCH(tblMovement[[#This Row],[Source]],tblSources[Source],0)),"?"))</f>
        <v/>
      </c>
      <c r="L253" s="63">
        <f>IF(tblMovement[[#This Row],[Destination]]="","",IFERROR(INDEX(tblDestinations[Type],MATCH(tblMovement[[#This Row],[Destination]],tblDestinations[Destination],0)),"?"))</f>
        <v/>
      </c>
      <c r="M253" s="64">
        <f>IF(tblMovement[[#This Row],[Material]]="","",IF(LEFT(tblMovement[[#This Row],[Material]],3)="Ore",1,0))</f>
        <v/>
      </c>
      <c r="N253" s="59">
        <f>IF(OR(tblMovement[[#This Row],[Tonnes_t]]="",tblMovement[[#This Row],[Grade_gpt]]=""),0,tblMovement[[#This Row],[Tonnes_t]]*tblMovement[[#This Row],[Grade_gpt]]/cfg_TroyOz)</f>
        <v/>
      </c>
      <c r="O253" s="59">
        <f>IF(tblMovement[[#This Row],[Is_Ore]]=1,tblMovement[[#This Row],[Contained_oz]],0)</f>
        <v/>
      </c>
    </row>
    <row r="254">
      <c r="A254" s="54" t="n"/>
      <c r="B254" s="61" t="n"/>
      <c r="C254" s="61" t="n"/>
      <c r="D254" s="61" t="n"/>
      <c r="E254" s="61" t="n"/>
      <c r="F254" s="55" t="n"/>
      <c r="G254" s="56" t="n"/>
      <c r="H254" s="55" t="n"/>
      <c r="I254" s="62" t="n"/>
      <c r="J254" s="58" t="n"/>
      <c r="K254" s="63">
        <f>IF(tblMovement[[#This Row],[Source]]="","",IFERROR(INDEX(tblSources[Type],MATCH(tblMovement[[#This Row],[Source]],tblSources[Source],0)),"?"))</f>
        <v/>
      </c>
      <c r="L254" s="63">
        <f>IF(tblMovement[[#This Row],[Destination]]="","",IFERROR(INDEX(tblDestinations[Type],MATCH(tblMovement[[#This Row],[Destination]],tblDestinations[Destination],0)),"?"))</f>
        <v/>
      </c>
      <c r="M254" s="64">
        <f>IF(tblMovement[[#This Row],[Material]]="","",IF(LEFT(tblMovement[[#This Row],[Material]],3)="Ore",1,0))</f>
        <v/>
      </c>
      <c r="N254" s="59">
        <f>IF(OR(tblMovement[[#This Row],[Tonnes_t]]="",tblMovement[[#This Row],[Grade_gpt]]=""),0,tblMovement[[#This Row],[Tonnes_t]]*tblMovement[[#This Row],[Grade_gpt]]/cfg_TroyOz)</f>
        <v/>
      </c>
      <c r="O254" s="59">
        <f>IF(tblMovement[[#This Row],[Is_Ore]]=1,tblMovement[[#This Row],[Contained_oz]],0)</f>
        <v/>
      </c>
    </row>
    <row r="255">
      <c r="A255" s="54" t="n"/>
      <c r="B255" s="61" t="n"/>
      <c r="C255" s="61" t="n"/>
      <c r="D255" s="61" t="n"/>
      <c r="E255" s="61" t="n"/>
      <c r="F255" s="55" t="n"/>
      <c r="G255" s="56" t="n"/>
      <c r="H255" s="55" t="n"/>
      <c r="I255" s="62" t="n"/>
      <c r="J255" s="58" t="n"/>
      <c r="K255" s="63">
        <f>IF(tblMovement[[#This Row],[Source]]="","",IFERROR(INDEX(tblSources[Type],MATCH(tblMovement[[#This Row],[Source]],tblSources[Source],0)),"?"))</f>
        <v/>
      </c>
      <c r="L255" s="63">
        <f>IF(tblMovement[[#This Row],[Destination]]="","",IFERROR(INDEX(tblDestinations[Type],MATCH(tblMovement[[#This Row],[Destination]],tblDestinations[Destination],0)),"?"))</f>
        <v/>
      </c>
      <c r="M255" s="64">
        <f>IF(tblMovement[[#This Row],[Material]]="","",IF(LEFT(tblMovement[[#This Row],[Material]],3)="Ore",1,0))</f>
        <v/>
      </c>
      <c r="N255" s="59">
        <f>IF(OR(tblMovement[[#This Row],[Tonnes_t]]="",tblMovement[[#This Row],[Grade_gpt]]=""),0,tblMovement[[#This Row],[Tonnes_t]]*tblMovement[[#This Row],[Grade_gpt]]/cfg_TroyOz)</f>
        <v/>
      </c>
      <c r="O255" s="59">
        <f>IF(tblMovement[[#This Row],[Is_Ore]]=1,tblMovement[[#This Row],[Contained_oz]],0)</f>
        <v/>
      </c>
    </row>
    <row r="256">
      <c r="A256" s="54" t="n"/>
      <c r="B256" s="61" t="n"/>
      <c r="C256" s="61" t="n"/>
      <c r="D256" s="61" t="n"/>
      <c r="E256" s="61" t="n"/>
      <c r="F256" s="55" t="n"/>
      <c r="G256" s="56" t="n"/>
      <c r="H256" s="55" t="n"/>
      <c r="I256" s="62" t="n"/>
      <c r="J256" s="58" t="n"/>
      <c r="K256" s="63">
        <f>IF(tblMovement[[#This Row],[Source]]="","",IFERROR(INDEX(tblSources[Type],MATCH(tblMovement[[#This Row],[Source]],tblSources[Source],0)),"?"))</f>
        <v/>
      </c>
      <c r="L256" s="63">
        <f>IF(tblMovement[[#This Row],[Destination]]="","",IFERROR(INDEX(tblDestinations[Type],MATCH(tblMovement[[#This Row],[Destination]],tblDestinations[Destination],0)),"?"))</f>
        <v/>
      </c>
      <c r="M256" s="64">
        <f>IF(tblMovement[[#This Row],[Material]]="","",IF(LEFT(tblMovement[[#This Row],[Material]],3)="Ore",1,0))</f>
        <v/>
      </c>
      <c r="N256" s="59">
        <f>IF(OR(tblMovement[[#This Row],[Tonnes_t]]="",tblMovement[[#This Row],[Grade_gpt]]=""),0,tblMovement[[#This Row],[Tonnes_t]]*tblMovement[[#This Row],[Grade_gpt]]/cfg_TroyOz)</f>
        <v/>
      </c>
      <c r="O256" s="59">
        <f>IF(tblMovement[[#This Row],[Is_Ore]]=1,tblMovement[[#This Row],[Contained_oz]],0)</f>
        <v/>
      </c>
    </row>
    <row r="257">
      <c r="A257" s="54" t="n"/>
      <c r="B257" s="61" t="n"/>
      <c r="C257" s="61" t="n"/>
      <c r="D257" s="61" t="n"/>
      <c r="E257" s="61" t="n"/>
      <c r="F257" s="55" t="n"/>
      <c r="G257" s="56" t="n"/>
      <c r="H257" s="55" t="n"/>
      <c r="I257" s="62" t="n"/>
      <c r="J257" s="58" t="n"/>
      <c r="K257" s="63">
        <f>IF(tblMovement[[#This Row],[Source]]="","",IFERROR(INDEX(tblSources[Type],MATCH(tblMovement[[#This Row],[Source]],tblSources[Source],0)),"?"))</f>
        <v/>
      </c>
      <c r="L257" s="63">
        <f>IF(tblMovement[[#This Row],[Destination]]="","",IFERROR(INDEX(tblDestinations[Type],MATCH(tblMovement[[#This Row],[Destination]],tblDestinations[Destination],0)),"?"))</f>
        <v/>
      </c>
      <c r="M257" s="64">
        <f>IF(tblMovement[[#This Row],[Material]]="","",IF(LEFT(tblMovement[[#This Row],[Material]],3)="Ore",1,0))</f>
        <v/>
      </c>
      <c r="N257" s="59">
        <f>IF(OR(tblMovement[[#This Row],[Tonnes_t]]="",tblMovement[[#This Row],[Grade_gpt]]=""),0,tblMovement[[#This Row],[Tonnes_t]]*tblMovement[[#This Row],[Grade_gpt]]/cfg_TroyOz)</f>
        <v/>
      </c>
      <c r="O257" s="59">
        <f>IF(tblMovement[[#This Row],[Is_Ore]]=1,tblMovement[[#This Row],[Contained_oz]],0)</f>
        <v/>
      </c>
    </row>
    <row r="258">
      <c r="A258" s="54" t="n"/>
      <c r="B258" s="61" t="n"/>
      <c r="C258" s="61" t="n"/>
      <c r="D258" s="61" t="n"/>
      <c r="E258" s="61" t="n"/>
      <c r="F258" s="55" t="n"/>
      <c r="G258" s="56" t="n"/>
      <c r="H258" s="55" t="n"/>
      <c r="I258" s="62" t="n"/>
      <c r="J258" s="58" t="n"/>
      <c r="K258" s="63">
        <f>IF(tblMovement[[#This Row],[Source]]="","",IFERROR(INDEX(tblSources[Type],MATCH(tblMovement[[#This Row],[Source]],tblSources[Source],0)),"?"))</f>
        <v/>
      </c>
      <c r="L258" s="63">
        <f>IF(tblMovement[[#This Row],[Destination]]="","",IFERROR(INDEX(tblDestinations[Type],MATCH(tblMovement[[#This Row],[Destination]],tblDestinations[Destination],0)),"?"))</f>
        <v/>
      </c>
      <c r="M258" s="64">
        <f>IF(tblMovement[[#This Row],[Material]]="","",IF(LEFT(tblMovement[[#This Row],[Material]],3)="Ore",1,0))</f>
        <v/>
      </c>
      <c r="N258" s="59">
        <f>IF(OR(tblMovement[[#This Row],[Tonnes_t]]="",tblMovement[[#This Row],[Grade_gpt]]=""),0,tblMovement[[#This Row],[Tonnes_t]]*tblMovement[[#This Row],[Grade_gpt]]/cfg_TroyOz)</f>
        <v/>
      </c>
      <c r="O258" s="59">
        <f>IF(tblMovement[[#This Row],[Is_Ore]]=1,tblMovement[[#This Row],[Contained_oz]],0)</f>
        <v/>
      </c>
    </row>
    <row r="259">
      <c r="A259" s="54" t="n"/>
      <c r="B259" s="61" t="n"/>
      <c r="C259" s="61" t="n"/>
      <c r="D259" s="61" t="n"/>
      <c r="E259" s="61" t="n"/>
      <c r="F259" s="55" t="n"/>
      <c r="G259" s="56" t="n"/>
      <c r="H259" s="55" t="n"/>
      <c r="I259" s="62" t="n"/>
      <c r="J259" s="58" t="n"/>
      <c r="K259" s="63">
        <f>IF(tblMovement[[#This Row],[Source]]="","",IFERROR(INDEX(tblSources[Type],MATCH(tblMovement[[#This Row],[Source]],tblSources[Source],0)),"?"))</f>
        <v/>
      </c>
      <c r="L259" s="63">
        <f>IF(tblMovement[[#This Row],[Destination]]="","",IFERROR(INDEX(tblDestinations[Type],MATCH(tblMovement[[#This Row],[Destination]],tblDestinations[Destination],0)),"?"))</f>
        <v/>
      </c>
      <c r="M259" s="64">
        <f>IF(tblMovement[[#This Row],[Material]]="","",IF(LEFT(tblMovement[[#This Row],[Material]],3)="Ore",1,0))</f>
        <v/>
      </c>
      <c r="N259" s="59">
        <f>IF(OR(tblMovement[[#This Row],[Tonnes_t]]="",tblMovement[[#This Row],[Grade_gpt]]=""),0,tblMovement[[#This Row],[Tonnes_t]]*tblMovement[[#This Row],[Grade_gpt]]/cfg_TroyOz)</f>
        <v/>
      </c>
      <c r="O259" s="59">
        <f>IF(tblMovement[[#This Row],[Is_Ore]]=1,tblMovement[[#This Row],[Contained_oz]],0)</f>
        <v/>
      </c>
    </row>
    <row r="260">
      <c r="A260" s="54" t="n"/>
      <c r="B260" s="61" t="n"/>
      <c r="C260" s="61" t="n"/>
      <c r="D260" s="61" t="n"/>
      <c r="E260" s="61" t="n"/>
      <c r="F260" s="55" t="n"/>
      <c r="G260" s="56" t="n"/>
      <c r="H260" s="55" t="n"/>
      <c r="I260" s="62" t="n"/>
      <c r="J260" s="58" t="n"/>
      <c r="K260" s="63">
        <f>IF(tblMovement[[#This Row],[Source]]="","",IFERROR(INDEX(tblSources[Type],MATCH(tblMovement[[#This Row],[Source]],tblSources[Source],0)),"?"))</f>
        <v/>
      </c>
      <c r="L260" s="63">
        <f>IF(tblMovement[[#This Row],[Destination]]="","",IFERROR(INDEX(tblDestinations[Type],MATCH(tblMovement[[#This Row],[Destination]],tblDestinations[Destination],0)),"?"))</f>
        <v/>
      </c>
      <c r="M260" s="64">
        <f>IF(tblMovement[[#This Row],[Material]]="","",IF(LEFT(tblMovement[[#This Row],[Material]],3)="Ore",1,0))</f>
        <v/>
      </c>
      <c r="N260" s="59">
        <f>IF(OR(tblMovement[[#This Row],[Tonnes_t]]="",tblMovement[[#This Row],[Grade_gpt]]=""),0,tblMovement[[#This Row],[Tonnes_t]]*tblMovement[[#This Row],[Grade_gpt]]/cfg_TroyOz)</f>
        <v/>
      </c>
      <c r="O260" s="59">
        <f>IF(tblMovement[[#This Row],[Is_Ore]]=1,tblMovement[[#This Row],[Contained_oz]],0)</f>
        <v/>
      </c>
    </row>
    <row r="261">
      <c r="A261" s="54" t="n"/>
      <c r="B261" s="61" t="n"/>
      <c r="C261" s="61" t="n"/>
      <c r="D261" s="61" t="n"/>
      <c r="E261" s="61" t="n"/>
      <c r="F261" s="55" t="n"/>
      <c r="G261" s="56" t="n"/>
      <c r="H261" s="55" t="n"/>
      <c r="I261" s="62" t="n"/>
      <c r="J261" s="58" t="n"/>
      <c r="K261" s="63">
        <f>IF(tblMovement[[#This Row],[Source]]="","",IFERROR(INDEX(tblSources[Type],MATCH(tblMovement[[#This Row],[Source]],tblSources[Source],0)),"?"))</f>
        <v/>
      </c>
      <c r="L261" s="63">
        <f>IF(tblMovement[[#This Row],[Destination]]="","",IFERROR(INDEX(tblDestinations[Type],MATCH(tblMovement[[#This Row],[Destination]],tblDestinations[Destination],0)),"?"))</f>
        <v/>
      </c>
      <c r="M261" s="64">
        <f>IF(tblMovement[[#This Row],[Material]]="","",IF(LEFT(tblMovement[[#This Row],[Material]],3)="Ore",1,0))</f>
        <v/>
      </c>
      <c r="N261" s="59">
        <f>IF(OR(tblMovement[[#This Row],[Tonnes_t]]="",tblMovement[[#This Row],[Grade_gpt]]=""),0,tblMovement[[#This Row],[Tonnes_t]]*tblMovement[[#This Row],[Grade_gpt]]/cfg_TroyOz)</f>
        <v/>
      </c>
      <c r="O261" s="59">
        <f>IF(tblMovement[[#This Row],[Is_Ore]]=1,tblMovement[[#This Row],[Contained_oz]],0)</f>
        <v/>
      </c>
    </row>
    <row r="262">
      <c r="A262" s="54" t="n"/>
      <c r="B262" s="61" t="n"/>
      <c r="C262" s="61" t="n"/>
      <c r="D262" s="61" t="n"/>
      <c r="E262" s="61" t="n"/>
      <c r="F262" s="55" t="n"/>
      <c r="G262" s="56" t="n"/>
      <c r="H262" s="55" t="n"/>
      <c r="I262" s="62" t="n"/>
      <c r="J262" s="58" t="n"/>
      <c r="K262" s="63">
        <f>IF(tblMovement[[#This Row],[Source]]="","",IFERROR(INDEX(tblSources[Type],MATCH(tblMovement[[#This Row],[Source]],tblSources[Source],0)),"?"))</f>
        <v/>
      </c>
      <c r="L262" s="63">
        <f>IF(tblMovement[[#This Row],[Destination]]="","",IFERROR(INDEX(tblDestinations[Type],MATCH(tblMovement[[#This Row],[Destination]],tblDestinations[Destination],0)),"?"))</f>
        <v/>
      </c>
      <c r="M262" s="64">
        <f>IF(tblMovement[[#This Row],[Material]]="","",IF(LEFT(tblMovement[[#This Row],[Material]],3)="Ore",1,0))</f>
        <v/>
      </c>
      <c r="N262" s="59">
        <f>IF(OR(tblMovement[[#This Row],[Tonnes_t]]="",tblMovement[[#This Row],[Grade_gpt]]=""),0,tblMovement[[#This Row],[Tonnes_t]]*tblMovement[[#This Row],[Grade_gpt]]/cfg_TroyOz)</f>
        <v/>
      </c>
      <c r="O262" s="59">
        <f>IF(tblMovement[[#This Row],[Is_Ore]]=1,tblMovement[[#This Row],[Contained_oz]],0)</f>
        <v/>
      </c>
    </row>
    <row r="263">
      <c r="A263" s="54" t="n"/>
      <c r="B263" s="61" t="n"/>
      <c r="C263" s="61" t="n"/>
      <c r="D263" s="61" t="n"/>
      <c r="E263" s="61" t="n"/>
      <c r="F263" s="55" t="n"/>
      <c r="G263" s="56" t="n"/>
      <c r="H263" s="55" t="n"/>
      <c r="I263" s="62" t="n"/>
      <c r="J263" s="58" t="n"/>
      <c r="K263" s="63">
        <f>IF(tblMovement[[#This Row],[Source]]="","",IFERROR(INDEX(tblSources[Type],MATCH(tblMovement[[#This Row],[Source]],tblSources[Source],0)),"?"))</f>
        <v/>
      </c>
      <c r="L263" s="63">
        <f>IF(tblMovement[[#This Row],[Destination]]="","",IFERROR(INDEX(tblDestinations[Type],MATCH(tblMovement[[#This Row],[Destination]],tblDestinations[Destination],0)),"?"))</f>
        <v/>
      </c>
      <c r="M263" s="64">
        <f>IF(tblMovement[[#This Row],[Material]]="","",IF(LEFT(tblMovement[[#This Row],[Material]],3)="Ore",1,0))</f>
        <v/>
      </c>
      <c r="N263" s="59">
        <f>IF(OR(tblMovement[[#This Row],[Tonnes_t]]="",tblMovement[[#This Row],[Grade_gpt]]=""),0,tblMovement[[#This Row],[Tonnes_t]]*tblMovement[[#This Row],[Grade_gpt]]/cfg_TroyOz)</f>
        <v/>
      </c>
      <c r="O263" s="59">
        <f>IF(tblMovement[[#This Row],[Is_Ore]]=1,tblMovement[[#This Row],[Contained_oz]],0)</f>
        <v/>
      </c>
    </row>
    <row r="264">
      <c r="A264" s="54" t="n"/>
      <c r="B264" s="61" t="n"/>
      <c r="C264" s="61" t="n"/>
      <c r="D264" s="61" t="n"/>
      <c r="E264" s="61" t="n"/>
      <c r="F264" s="55" t="n"/>
      <c r="G264" s="56" t="n"/>
      <c r="H264" s="55" t="n"/>
      <c r="I264" s="62" t="n"/>
      <c r="J264" s="58" t="n"/>
      <c r="K264" s="63">
        <f>IF(tblMovement[[#This Row],[Source]]="","",IFERROR(INDEX(tblSources[Type],MATCH(tblMovement[[#This Row],[Source]],tblSources[Source],0)),"?"))</f>
        <v/>
      </c>
      <c r="L264" s="63">
        <f>IF(tblMovement[[#This Row],[Destination]]="","",IFERROR(INDEX(tblDestinations[Type],MATCH(tblMovement[[#This Row],[Destination]],tblDestinations[Destination],0)),"?"))</f>
        <v/>
      </c>
      <c r="M264" s="64">
        <f>IF(tblMovement[[#This Row],[Material]]="","",IF(LEFT(tblMovement[[#This Row],[Material]],3)="Ore",1,0))</f>
        <v/>
      </c>
      <c r="N264" s="59">
        <f>IF(OR(tblMovement[[#This Row],[Tonnes_t]]="",tblMovement[[#This Row],[Grade_gpt]]=""),0,tblMovement[[#This Row],[Tonnes_t]]*tblMovement[[#This Row],[Grade_gpt]]/cfg_TroyOz)</f>
        <v/>
      </c>
      <c r="O264" s="59">
        <f>IF(tblMovement[[#This Row],[Is_Ore]]=1,tblMovement[[#This Row],[Contained_oz]],0)</f>
        <v/>
      </c>
    </row>
    <row r="265">
      <c r="A265" s="54" t="n"/>
      <c r="B265" s="61" t="n"/>
      <c r="C265" s="61" t="n"/>
      <c r="D265" s="61" t="n"/>
      <c r="E265" s="61" t="n"/>
      <c r="F265" s="55" t="n"/>
      <c r="G265" s="56" t="n"/>
      <c r="H265" s="55" t="n"/>
      <c r="I265" s="62" t="n"/>
      <c r="J265" s="58" t="n"/>
      <c r="K265" s="63">
        <f>IF(tblMovement[[#This Row],[Source]]="","",IFERROR(INDEX(tblSources[Type],MATCH(tblMovement[[#This Row],[Source]],tblSources[Source],0)),"?"))</f>
        <v/>
      </c>
      <c r="L265" s="63">
        <f>IF(tblMovement[[#This Row],[Destination]]="","",IFERROR(INDEX(tblDestinations[Type],MATCH(tblMovement[[#This Row],[Destination]],tblDestinations[Destination],0)),"?"))</f>
        <v/>
      </c>
      <c r="M265" s="64">
        <f>IF(tblMovement[[#This Row],[Material]]="","",IF(LEFT(tblMovement[[#This Row],[Material]],3)="Ore",1,0))</f>
        <v/>
      </c>
      <c r="N265" s="59">
        <f>IF(OR(tblMovement[[#This Row],[Tonnes_t]]="",tblMovement[[#This Row],[Grade_gpt]]=""),0,tblMovement[[#This Row],[Tonnes_t]]*tblMovement[[#This Row],[Grade_gpt]]/cfg_TroyOz)</f>
        <v/>
      </c>
      <c r="O265" s="59">
        <f>IF(tblMovement[[#This Row],[Is_Ore]]=1,tblMovement[[#This Row],[Contained_oz]],0)</f>
        <v/>
      </c>
    </row>
    <row r="266">
      <c r="A266" s="54" t="n"/>
      <c r="B266" s="61" t="n"/>
      <c r="C266" s="61" t="n"/>
      <c r="D266" s="61" t="n"/>
      <c r="E266" s="61" t="n"/>
      <c r="F266" s="55" t="n"/>
      <c r="G266" s="56" t="n"/>
      <c r="H266" s="55" t="n"/>
      <c r="I266" s="62" t="n"/>
      <c r="J266" s="58" t="n"/>
      <c r="K266" s="63">
        <f>IF(tblMovement[[#This Row],[Source]]="","",IFERROR(INDEX(tblSources[Type],MATCH(tblMovement[[#This Row],[Source]],tblSources[Source],0)),"?"))</f>
        <v/>
      </c>
      <c r="L266" s="63">
        <f>IF(tblMovement[[#This Row],[Destination]]="","",IFERROR(INDEX(tblDestinations[Type],MATCH(tblMovement[[#This Row],[Destination]],tblDestinations[Destination],0)),"?"))</f>
        <v/>
      </c>
      <c r="M266" s="64">
        <f>IF(tblMovement[[#This Row],[Material]]="","",IF(LEFT(tblMovement[[#This Row],[Material]],3)="Ore",1,0))</f>
        <v/>
      </c>
      <c r="N266" s="59">
        <f>IF(OR(tblMovement[[#This Row],[Tonnes_t]]="",tblMovement[[#This Row],[Grade_gpt]]=""),0,tblMovement[[#This Row],[Tonnes_t]]*tblMovement[[#This Row],[Grade_gpt]]/cfg_TroyOz)</f>
        <v/>
      </c>
      <c r="O266" s="59">
        <f>IF(tblMovement[[#This Row],[Is_Ore]]=1,tblMovement[[#This Row],[Contained_oz]],0)</f>
        <v/>
      </c>
    </row>
    <row r="267">
      <c r="A267" s="54" t="n"/>
      <c r="B267" s="61" t="n"/>
      <c r="C267" s="61" t="n"/>
      <c r="D267" s="61" t="n"/>
      <c r="E267" s="61" t="n"/>
      <c r="F267" s="55" t="n"/>
      <c r="G267" s="56" t="n"/>
      <c r="H267" s="55" t="n"/>
      <c r="I267" s="62" t="n"/>
      <c r="J267" s="58" t="n"/>
      <c r="K267" s="63">
        <f>IF(tblMovement[[#This Row],[Source]]="","",IFERROR(INDEX(tblSources[Type],MATCH(tblMovement[[#This Row],[Source]],tblSources[Source],0)),"?"))</f>
        <v/>
      </c>
      <c r="L267" s="63">
        <f>IF(tblMovement[[#This Row],[Destination]]="","",IFERROR(INDEX(tblDestinations[Type],MATCH(tblMovement[[#This Row],[Destination]],tblDestinations[Destination],0)),"?"))</f>
        <v/>
      </c>
      <c r="M267" s="64">
        <f>IF(tblMovement[[#This Row],[Material]]="","",IF(LEFT(tblMovement[[#This Row],[Material]],3)="Ore",1,0))</f>
        <v/>
      </c>
      <c r="N267" s="59">
        <f>IF(OR(tblMovement[[#This Row],[Tonnes_t]]="",tblMovement[[#This Row],[Grade_gpt]]=""),0,tblMovement[[#This Row],[Tonnes_t]]*tblMovement[[#This Row],[Grade_gpt]]/cfg_TroyOz)</f>
        <v/>
      </c>
      <c r="O267" s="59">
        <f>IF(tblMovement[[#This Row],[Is_Ore]]=1,tblMovement[[#This Row],[Contained_oz]],0)</f>
        <v/>
      </c>
    </row>
    <row r="268">
      <c r="A268" s="54" t="n"/>
      <c r="B268" s="61" t="n"/>
      <c r="C268" s="61" t="n"/>
      <c r="D268" s="61" t="n"/>
      <c r="E268" s="61" t="n"/>
      <c r="F268" s="55" t="n"/>
      <c r="G268" s="56" t="n"/>
      <c r="H268" s="55" t="n"/>
      <c r="I268" s="62" t="n"/>
      <c r="J268" s="58" t="n"/>
      <c r="K268" s="63">
        <f>IF(tblMovement[[#This Row],[Source]]="","",IFERROR(INDEX(tblSources[Type],MATCH(tblMovement[[#This Row],[Source]],tblSources[Source],0)),"?"))</f>
        <v/>
      </c>
      <c r="L268" s="63">
        <f>IF(tblMovement[[#This Row],[Destination]]="","",IFERROR(INDEX(tblDestinations[Type],MATCH(tblMovement[[#This Row],[Destination]],tblDestinations[Destination],0)),"?"))</f>
        <v/>
      </c>
      <c r="M268" s="64">
        <f>IF(tblMovement[[#This Row],[Material]]="","",IF(LEFT(tblMovement[[#This Row],[Material]],3)="Ore",1,0))</f>
        <v/>
      </c>
      <c r="N268" s="59">
        <f>IF(OR(tblMovement[[#This Row],[Tonnes_t]]="",tblMovement[[#This Row],[Grade_gpt]]=""),0,tblMovement[[#This Row],[Tonnes_t]]*tblMovement[[#This Row],[Grade_gpt]]/cfg_TroyOz)</f>
        <v/>
      </c>
      <c r="O268" s="59">
        <f>IF(tblMovement[[#This Row],[Is_Ore]]=1,tblMovement[[#This Row],[Contained_oz]],0)</f>
        <v/>
      </c>
    </row>
    <row r="269">
      <c r="A269" s="54" t="n"/>
      <c r="B269" s="61" t="n"/>
      <c r="C269" s="61" t="n"/>
      <c r="D269" s="61" t="n"/>
      <c r="E269" s="61" t="n"/>
      <c r="F269" s="55" t="n"/>
      <c r="G269" s="56" t="n"/>
      <c r="H269" s="55" t="n"/>
      <c r="I269" s="62" t="n"/>
      <c r="J269" s="58" t="n"/>
      <c r="K269" s="63">
        <f>IF(tblMovement[[#This Row],[Source]]="","",IFERROR(INDEX(tblSources[Type],MATCH(tblMovement[[#This Row],[Source]],tblSources[Source],0)),"?"))</f>
        <v/>
      </c>
      <c r="L269" s="63">
        <f>IF(tblMovement[[#This Row],[Destination]]="","",IFERROR(INDEX(tblDestinations[Type],MATCH(tblMovement[[#This Row],[Destination]],tblDestinations[Destination],0)),"?"))</f>
        <v/>
      </c>
      <c r="M269" s="64">
        <f>IF(tblMovement[[#This Row],[Material]]="","",IF(LEFT(tblMovement[[#This Row],[Material]],3)="Ore",1,0))</f>
        <v/>
      </c>
      <c r="N269" s="59">
        <f>IF(OR(tblMovement[[#This Row],[Tonnes_t]]="",tblMovement[[#This Row],[Grade_gpt]]=""),0,tblMovement[[#This Row],[Tonnes_t]]*tblMovement[[#This Row],[Grade_gpt]]/cfg_TroyOz)</f>
        <v/>
      </c>
      <c r="O269" s="59">
        <f>IF(tblMovement[[#This Row],[Is_Ore]]=1,tblMovement[[#This Row],[Contained_oz]],0)</f>
        <v/>
      </c>
    </row>
    <row r="270">
      <c r="A270" s="54" t="n"/>
      <c r="B270" s="61" t="n"/>
      <c r="C270" s="61" t="n"/>
      <c r="D270" s="61" t="n"/>
      <c r="E270" s="61" t="n"/>
      <c r="F270" s="55" t="n"/>
      <c r="G270" s="56" t="n"/>
      <c r="H270" s="55" t="n"/>
      <c r="I270" s="62" t="n"/>
      <c r="J270" s="58" t="n"/>
      <c r="K270" s="63">
        <f>IF(tblMovement[[#This Row],[Source]]="","",IFERROR(INDEX(tblSources[Type],MATCH(tblMovement[[#This Row],[Source]],tblSources[Source],0)),"?"))</f>
        <v/>
      </c>
      <c r="L270" s="63">
        <f>IF(tblMovement[[#This Row],[Destination]]="","",IFERROR(INDEX(tblDestinations[Type],MATCH(tblMovement[[#This Row],[Destination]],tblDestinations[Destination],0)),"?"))</f>
        <v/>
      </c>
      <c r="M270" s="64">
        <f>IF(tblMovement[[#This Row],[Material]]="","",IF(LEFT(tblMovement[[#This Row],[Material]],3)="Ore",1,0))</f>
        <v/>
      </c>
      <c r="N270" s="59">
        <f>IF(OR(tblMovement[[#This Row],[Tonnes_t]]="",tblMovement[[#This Row],[Grade_gpt]]=""),0,tblMovement[[#This Row],[Tonnes_t]]*tblMovement[[#This Row],[Grade_gpt]]/cfg_TroyOz)</f>
        <v/>
      </c>
      <c r="O270" s="59">
        <f>IF(tblMovement[[#This Row],[Is_Ore]]=1,tblMovement[[#This Row],[Contained_oz]],0)</f>
        <v/>
      </c>
    </row>
    <row r="271">
      <c r="A271" s="54" t="n"/>
      <c r="B271" s="61" t="n"/>
      <c r="C271" s="61" t="n"/>
      <c r="D271" s="61" t="n"/>
      <c r="E271" s="61" t="n"/>
      <c r="F271" s="55" t="n"/>
      <c r="G271" s="56" t="n"/>
      <c r="H271" s="55" t="n"/>
      <c r="I271" s="62" t="n"/>
      <c r="J271" s="58" t="n"/>
      <c r="K271" s="63">
        <f>IF(tblMovement[[#This Row],[Source]]="","",IFERROR(INDEX(tblSources[Type],MATCH(tblMovement[[#This Row],[Source]],tblSources[Source],0)),"?"))</f>
        <v/>
      </c>
      <c r="L271" s="63">
        <f>IF(tblMovement[[#This Row],[Destination]]="","",IFERROR(INDEX(tblDestinations[Type],MATCH(tblMovement[[#This Row],[Destination]],tblDestinations[Destination],0)),"?"))</f>
        <v/>
      </c>
      <c r="M271" s="64">
        <f>IF(tblMovement[[#This Row],[Material]]="","",IF(LEFT(tblMovement[[#This Row],[Material]],3)="Ore",1,0))</f>
        <v/>
      </c>
      <c r="N271" s="59">
        <f>IF(OR(tblMovement[[#This Row],[Tonnes_t]]="",tblMovement[[#This Row],[Grade_gpt]]=""),0,tblMovement[[#This Row],[Tonnes_t]]*tblMovement[[#This Row],[Grade_gpt]]/cfg_TroyOz)</f>
        <v/>
      </c>
      <c r="O271" s="59">
        <f>IF(tblMovement[[#This Row],[Is_Ore]]=1,tblMovement[[#This Row],[Contained_oz]],0)</f>
        <v/>
      </c>
    </row>
    <row r="272">
      <c r="A272" s="54" t="n"/>
      <c r="B272" s="61" t="n"/>
      <c r="C272" s="61" t="n"/>
      <c r="D272" s="61" t="n"/>
      <c r="E272" s="61" t="n"/>
      <c r="F272" s="55" t="n"/>
      <c r="G272" s="56" t="n"/>
      <c r="H272" s="55" t="n"/>
      <c r="I272" s="62" t="n"/>
      <c r="J272" s="58" t="n"/>
      <c r="K272" s="63">
        <f>IF(tblMovement[[#This Row],[Source]]="","",IFERROR(INDEX(tblSources[Type],MATCH(tblMovement[[#This Row],[Source]],tblSources[Source],0)),"?"))</f>
        <v/>
      </c>
      <c r="L272" s="63">
        <f>IF(tblMovement[[#This Row],[Destination]]="","",IFERROR(INDEX(tblDestinations[Type],MATCH(tblMovement[[#This Row],[Destination]],tblDestinations[Destination],0)),"?"))</f>
        <v/>
      </c>
      <c r="M272" s="64">
        <f>IF(tblMovement[[#This Row],[Material]]="","",IF(LEFT(tblMovement[[#This Row],[Material]],3)="Ore",1,0))</f>
        <v/>
      </c>
      <c r="N272" s="59">
        <f>IF(OR(tblMovement[[#This Row],[Tonnes_t]]="",tblMovement[[#This Row],[Grade_gpt]]=""),0,tblMovement[[#This Row],[Tonnes_t]]*tblMovement[[#This Row],[Grade_gpt]]/cfg_TroyOz)</f>
        <v/>
      </c>
      <c r="O272" s="59">
        <f>IF(tblMovement[[#This Row],[Is_Ore]]=1,tblMovement[[#This Row],[Contained_oz]],0)</f>
        <v/>
      </c>
    </row>
    <row r="273">
      <c r="A273" s="54" t="n"/>
      <c r="B273" s="61" t="n"/>
      <c r="C273" s="61" t="n"/>
      <c r="D273" s="61" t="n"/>
      <c r="E273" s="61" t="n"/>
      <c r="F273" s="55" t="n"/>
      <c r="G273" s="56" t="n"/>
      <c r="H273" s="55" t="n"/>
      <c r="I273" s="62" t="n"/>
      <c r="J273" s="58" t="n"/>
      <c r="K273" s="63">
        <f>IF(tblMovement[[#This Row],[Source]]="","",IFERROR(INDEX(tblSources[Type],MATCH(tblMovement[[#This Row],[Source]],tblSources[Source],0)),"?"))</f>
        <v/>
      </c>
      <c r="L273" s="63">
        <f>IF(tblMovement[[#This Row],[Destination]]="","",IFERROR(INDEX(tblDestinations[Type],MATCH(tblMovement[[#This Row],[Destination]],tblDestinations[Destination],0)),"?"))</f>
        <v/>
      </c>
      <c r="M273" s="64">
        <f>IF(tblMovement[[#This Row],[Material]]="","",IF(LEFT(tblMovement[[#This Row],[Material]],3)="Ore",1,0))</f>
        <v/>
      </c>
      <c r="N273" s="59">
        <f>IF(OR(tblMovement[[#This Row],[Tonnes_t]]="",tblMovement[[#This Row],[Grade_gpt]]=""),0,tblMovement[[#This Row],[Tonnes_t]]*tblMovement[[#This Row],[Grade_gpt]]/cfg_TroyOz)</f>
        <v/>
      </c>
      <c r="O273" s="59">
        <f>IF(tblMovement[[#This Row],[Is_Ore]]=1,tblMovement[[#This Row],[Contained_oz]],0)</f>
        <v/>
      </c>
    </row>
    <row r="274">
      <c r="A274" s="54" t="n"/>
      <c r="B274" s="61" t="n"/>
      <c r="C274" s="61" t="n"/>
      <c r="D274" s="61" t="n"/>
      <c r="E274" s="61" t="n"/>
      <c r="F274" s="55" t="n"/>
      <c r="G274" s="56" t="n"/>
      <c r="H274" s="55" t="n"/>
      <c r="I274" s="62" t="n"/>
      <c r="J274" s="58" t="n"/>
      <c r="K274" s="63">
        <f>IF(tblMovement[[#This Row],[Source]]="","",IFERROR(INDEX(tblSources[Type],MATCH(tblMovement[[#This Row],[Source]],tblSources[Source],0)),"?"))</f>
        <v/>
      </c>
      <c r="L274" s="63">
        <f>IF(tblMovement[[#This Row],[Destination]]="","",IFERROR(INDEX(tblDestinations[Type],MATCH(tblMovement[[#This Row],[Destination]],tblDestinations[Destination],0)),"?"))</f>
        <v/>
      </c>
      <c r="M274" s="64">
        <f>IF(tblMovement[[#This Row],[Material]]="","",IF(LEFT(tblMovement[[#This Row],[Material]],3)="Ore",1,0))</f>
        <v/>
      </c>
      <c r="N274" s="59">
        <f>IF(OR(tblMovement[[#This Row],[Tonnes_t]]="",tblMovement[[#This Row],[Grade_gpt]]=""),0,tblMovement[[#This Row],[Tonnes_t]]*tblMovement[[#This Row],[Grade_gpt]]/cfg_TroyOz)</f>
        <v/>
      </c>
      <c r="O274" s="59">
        <f>IF(tblMovement[[#This Row],[Is_Ore]]=1,tblMovement[[#This Row],[Contained_oz]],0)</f>
        <v/>
      </c>
    </row>
    <row r="275">
      <c r="A275" s="54" t="n"/>
      <c r="B275" s="61" t="n"/>
      <c r="C275" s="61" t="n"/>
      <c r="D275" s="61" t="n"/>
      <c r="E275" s="61" t="n"/>
      <c r="F275" s="55" t="n"/>
      <c r="G275" s="56" t="n"/>
      <c r="H275" s="55" t="n"/>
      <c r="I275" s="62" t="n"/>
      <c r="J275" s="58" t="n"/>
      <c r="K275" s="63">
        <f>IF(tblMovement[[#This Row],[Source]]="","",IFERROR(INDEX(tblSources[Type],MATCH(tblMovement[[#This Row],[Source]],tblSources[Source],0)),"?"))</f>
        <v/>
      </c>
      <c r="L275" s="63">
        <f>IF(tblMovement[[#This Row],[Destination]]="","",IFERROR(INDEX(tblDestinations[Type],MATCH(tblMovement[[#This Row],[Destination]],tblDestinations[Destination],0)),"?"))</f>
        <v/>
      </c>
      <c r="M275" s="64">
        <f>IF(tblMovement[[#This Row],[Material]]="","",IF(LEFT(tblMovement[[#This Row],[Material]],3)="Ore",1,0))</f>
        <v/>
      </c>
      <c r="N275" s="59">
        <f>IF(OR(tblMovement[[#This Row],[Tonnes_t]]="",tblMovement[[#This Row],[Grade_gpt]]=""),0,tblMovement[[#This Row],[Tonnes_t]]*tblMovement[[#This Row],[Grade_gpt]]/cfg_TroyOz)</f>
        <v/>
      </c>
      <c r="O275" s="59">
        <f>IF(tblMovement[[#This Row],[Is_Ore]]=1,tblMovement[[#This Row],[Contained_oz]],0)</f>
        <v/>
      </c>
    </row>
    <row r="276">
      <c r="A276" s="54" t="n"/>
      <c r="B276" s="61" t="n"/>
      <c r="C276" s="61" t="n"/>
      <c r="D276" s="61" t="n"/>
      <c r="E276" s="61" t="n"/>
      <c r="F276" s="55" t="n"/>
      <c r="G276" s="56" t="n"/>
      <c r="H276" s="55" t="n"/>
      <c r="I276" s="62" t="n"/>
      <c r="J276" s="58" t="n"/>
      <c r="K276" s="63">
        <f>IF(tblMovement[[#This Row],[Source]]="","",IFERROR(INDEX(tblSources[Type],MATCH(tblMovement[[#This Row],[Source]],tblSources[Source],0)),"?"))</f>
        <v/>
      </c>
      <c r="L276" s="63">
        <f>IF(tblMovement[[#This Row],[Destination]]="","",IFERROR(INDEX(tblDestinations[Type],MATCH(tblMovement[[#This Row],[Destination]],tblDestinations[Destination],0)),"?"))</f>
        <v/>
      </c>
      <c r="M276" s="64">
        <f>IF(tblMovement[[#This Row],[Material]]="","",IF(LEFT(tblMovement[[#This Row],[Material]],3)="Ore",1,0))</f>
        <v/>
      </c>
      <c r="N276" s="59">
        <f>IF(OR(tblMovement[[#This Row],[Tonnes_t]]="",tblMovement[[#This Row],[Grade_gpt]]=""),0,tblMovement[[#This Row],[Tonnes_t]]*tblMovement[[#This Row],[Grade_gpt]]/cfg_TroyOz)</f>
        <v/>
      </c>
      <c r="O276" s="59">
        <f>IF(tblMovement[[#This Row],[Is_Ore]]=1,tblMovement[[#This Row],[Contained_oz]],0)</f>
        <v/>
      </c>
    </row>
    <row r="277">
      <c r="A277" s="54" t="n"/>
      <c r="B277" s="61" t="n"/>
      <c r="C277" s="61" t="n"/>
      <c r="D277" s="61" t="n"/>
      <c r="E277" s="61" t="n"/>
      <c r="F277" s="55" t="n"/>
      <c r="G277" s="56" t="n"/>
      <c r="H277" s="55" t="n"/>
      <c r="I277" s="62" t="n"/>
      <c r="J277" s="58" t="n"/>
      <c r="K277" s="63">
        <f>IF(tblMovement[[#This Row],[Source]]="","",IFERROR(INDEX(tblSources[Type],MATCH(tblMovement[[#This Row],[Source]],tblSources[Source],0)),"?"))</f>
        <v/>
      </c>
      <c r="L277" s="63">
        <f>IF(tblMovement[[#This Row],[Destination]]="","",IFERROR(INDEX(tblDestinations[Type],MATCH(tblMovement[[#This Row],[Destination]],tblDestinations[Destination],0)),"?"))</f>
        <v/>
      </c>
      <c r="M277" s="64">
        <f>IF(tblMovement[[#This Row],[Material]]="","",IF(LEFT(tblMovement[[#This Row],[Material]],3)="Ore",1,0))</f>
        <v/>
      </c>
      <c r="N277" s="59">
        <f>IF(OR(tblMovement[[#This Row],[Tonnes_t]]="",tblMovement[[#This Row],[Grade_gpt]]=""),0,tblMovement[[#This Row],[Tonnes_t]]*tblMovement[[#This Row],[Grade_gpt]]/cfg_TroyOz)</f>
        <v/>
      </c>
      <c r="O277" s="59">
        <f>IF(tblMovement[[#This Row],[Is_Ore]]=1,tblMovement[[#This Row],[Contained_oz]],0)</f>
        <v/>
      </c>
    </row>
    <row r="278">
      <c r="A278" s="54" t="n"/>
      <c r="B278" s="61" t="n"/>
      <c r="C278" s="61" t="n"/>
      <c r="D278" s="61" t="n"/>
      <c r="E278" s="61" t="n"/>
      <c r="F278" s="55" t="n"/>
      <c r="G278" s="56" t="n"/>
      <c r="H278" s="55" t="n"/>
      <c r="I278" s="62" t="n"/>
      <c r="J278" s="58" t="n"/>
      <c r="K278" s="63">
        <f>IF(tblMovement[[#This Row],[Source]]="","",IFERROR(INDEX(tblSources[Type],MATCH(tblMovement[[#This Row],[Source]],tblSources[Source],0)),"?"))</f>
        <v/>
      </c>
      <c r="L278" s="63">
        <f>IF(tblMovement[[#This Row],[Destination]]="","",IFERROR(INDEX(tblDestinations[Type],MATCH(tblMovement[[#This Row],[Destination]],tblDestinations[Destination],0)),"?"))</f>
        <v/>
      </c>
      <c r="M278" s="64">
        <f>IF(tblMovement[[#This Row],[Material]]="","",IF(LEFT(tblMovement[[#This Row],[Material]],3)="Ore",1,0))</f>
        <v/>
      </c>
      <c r="N278" s="59">
        <f>IF(OR(tblMovement[[#This Row],[Tonnes_t]]="",tblMovement[[#This Row],[Grade_gpt]]=""),0,tblMovement[[#This Row],[Tonnes_t]]*tblMovement[[#This Row],[Grade_gpt]]/cfg_TroyOz)</f>
        <v/>
      </c>
      <c r="O278" s="59">
        <f>IF(tblMovement[[#This Row],[Is_Ore]]=1,tblMovement[[#This Row],[Contained_oz]],0)</f>
        <v/>
      </c>
    </row>
    <row r="279">
      <c r="A279" s="54" t="n"/>
      <c r="B279" s="61" t="n"/>
      <c r="C279" s="61" t="n"/>
      <c r="D279" s="61" t="n"/>
      <c r="E279" s="61" t="n"/>
      <c r="F279" s="55" t="n"/>
      <c r="G279" s="56" t="n"/>
      <c r="H279" s="55" t="n"/>
      <c r="I279" s="62" t="n"/>
      <c r="J279" s="58" t="n"/>
      <c r="K279" s="63">
        <f>IF(tblMovement[[#This Row],[Source]]="","",IFERROR(INDEX(tblSources[Type],MATCH(tblMovement[[#This Row],[Source]],tblSources[Source],0)),"?"))</f>
        <v/>
      </c>
      <c r="L279" s="63">
        <f>IF(tblMovement[[#This Row],[Destination]]="","",IFERROR(INDEX(tblDestinations[Type],MATCH(tblMovement[[#This Row],[Destination]],tblDestinations[Destination],0)),"?"))</f>
        <v/>
      </c>
      <c r="M279" s="64">
        <f>IF(tblMovement[[#This Row],[Material]]="","",IF(LEFT(tblMovement[[#This Row],[Material]],3)="Ore",1,0))</f>
        <v/>
      </c>
      <c r="N279" s="59">
        <f>IF(OR(tblMovement[[#This Row],[Tonnes_t]]="",tblMovement[[#This Row],[Grade_gpt]]=""),0,tblMovement[[#This Row],[Tonnes_t]]*tblMovement[[#This Row],[Grade_gpt]]/cfg_TroyOz)</f>
        <v/>
      </c>
      <c r="O279" s="59">
        <f>IF(tblMovement[[#This Row],[Is_Ore]]=1,tblMovement[[#This Row],[Contained_oz]],0)</f>
        <v/>
      </c>
    </row>
    <row r="280">
      <c r="A280" s="54" t="n"/>
      <c r="B280" s="61" t="n"/>
      <c r="C280" s="61" t="n"/>
      <c r="D280" s="61" t="n"/>
      <c r="E280" s="61" t="n"/>
      <c r="F280" s="55" t="n"/>
      <c r="G280" s="56" t="n"/>
      <c r="H280" s="55" t="n"/>
      <c r="I280" s="62" t="n"/>
      <c r="J280" s="58" t="n"/>
      <c r="K280" s="63">
        <f>IF(tblMovement[[#This Row],[Source]]="","",IFERROR(INDEX(tblSources[Type],MATCH(tblMovement[[#This Row],[Source]],tblSources[Source],0)),"?"))</f>
        <v/>
      </c>
      <c r="L280" s="63">
        <f>IF(tblMovement[[#This Row],[Destination]]="","",IFERROR(INDEX(tblDestinations[Type],MATCH(tblMovement[[#This Row],[Destination]],tblDestinations[Destination],0)),"?"))</f>
        <v/>
      </c>
      <c r="M280" s="64">
        <f>IF(tblMovement[[#This Row],[Material]]="","",IF(LEFT(tblMovement[[#This Row],[Material]],3)="Ore",1,0))</f>
        <v/>
      </c>
      <c r="N280" s="59">
        <f>IF(OR(tblMovement[[#This Row],[Tonnes_t]]="",tblMovement[[#This Row],[Grade_gpt]]=""),0,tblMovement[[#This Row],[Tonnes_t]]*tblMovement[[#This Row],[Grade_gpt]]/cfg_TroyOz)</f>
        <v/>
      </c>
      <c r="O280" s="59">
        <f>IF(tblMovement[[#This Row],[Is_Ore]]=1,tblMovement[[#This Row],[Contained_oz]],0)</f>
        <v/>
      </c>
    </row>
    <row r="281">
      <c r="A281" s="54" t="n"/>
      <c r="B281" s="61" t="n"/>
      <c r="C281" s="61" t="n"/>
      <c r="D281" s="61" t="n"/>
      <c r="E281" s="61" t="n"/>
      <c r="F281" s="55" t="n"/>
      <c r="G281" s="56" t="n"/>
      <c r="H281" s="55" t="n"/>
      <c r="I281" s="62" t="n"/>
      <c r="J281" s="58" t="n"/>
      <c r="K281" s="63">
        <f>IF(tblMovement[[#This Row],[Source]]="","",IFERROR(INDEX(tblSources[Type],MATCH(tblMovement[[#This Row],[Source]],tblSources[Source],0)),"?"))</f>
        <v/>
      </c>
      <c r="L281" s="63">
        <f>IF(tblMovement[[#This Row],[Destination]]="","",IFERROR(INDEX(tblDestinations[Type],MATCH(tblMovement[[#This Row],[Destination]],tblDestinations[Destination],0)),"?"))</f>
        <v/>
      </c>
      <c r="M281" s="64">
        <f>IF(tblMovement[[#This Row],[Material]]="","",IF(LEFT(tblMovement[[#This Row],[Material]],3)="Ore",1,0))</f>
        <v/>
      </c>
      <c r="N281" s="59">
        <f>IF(OR(tblMovement[[#This Row],[Tonnes_t]]="",tblMovement[[#This Row],[Grade_gpt]]=""),0,tblMovement[[#This Row],[Tonnes_t]]*tblMovement[[#This Row],[Grade_gpt]]/cfg_TroyOz)</f>
        <v/>
      </c>
      <c r="O281" s="59">
        <f>IF(tblMovement[[#This Row],[Is_Ore]]=1,tblMovement[[#This Row],[Contained_oz]],0)</f>
        <v/>
      </c>
    </row>
    <row r="282">
      <c r="A282" s="54" t="n"/>
      <c r="B282" s="61" t="n"/>
      <c r="C282" s="61" t="n"/>
      <c r="D282" s="61" t="n"/>
      <c r="E282" s="61" t="n"/>
      <c r="F282" s="55" t="n"/>
      <c r="G282" s="56" t="n"/>
      <c r="H282" s="55" t="n"/>
      <c r="I282" s="62" t="n"/>
      <c r="J282" s="58" t="n"/>
      <c r="K282" s="63">
        <f>IF(tblMovement[[#This Row],[Source]]="","",IFERROR(INDEX(tblSources[Type],MATCH(tblMovement[[#This Row],[Source]],tblSources[Source],0)),"?"))</f>
        <v/>
      </c>
      <c r="L282" s="63">
        <f>IF(tblMovement[[#This Row],[Destination]]="","",IFERROR(INDEX(tblDestinations[Type],MATCH(tblMovement[[#This Row],[Destination]],tblDestinations[Destination],0)),"?"))</f>
        <v/>
      </c>
      <c r="M282" s="64">
        <f>IF(tblMovement[[#This Row],[Material]]="","",IF(LEFT(tblMovement[[#This Row],[Material]],3)="Ore",1,0))</f>
        <v/>
      </c>
      <c r="N282" s="59">
        <f>IF(OR(tblMovement[[#This Row],[Tonnes_t]]="",tblMovement[[#This Row],[Grade_gpt]]=""),0,tblMovement[[#This Row],[Tonnes_t]]*tblMovement[[#This Row],[Grade_gpt]]/cfg_TroyOz)</f>
        <v/>
      </c>
      <c r="O282" s="59">
        <f>IF(tblMovement[[#This Row],[Is_Ore]]=1,tblMovement[[#This Row],[Contained_oz]],0)</f>
        <v/>
      </c>
    </row>
    <row r="283">
      <c r="A283" s="54" t="n"/>
      <c r="B283" s="61" t="n"/>
      <c r="C283" s="61" t="n"/>
      <c r="D283" s="61" t="n"/>
      <c r="E283" s="61" t="n"/>
      <c r="F283" s="55" t="n"/>
      <c r="G283" s="56" t="n"/>
      <c r="H283" s="55" t="n"/>
      <c r="I283" s="62" t="n"/>
      <c r="J283" s="58" t="n"/>
      <c r="K283" s="63">
        <f>IF(tblMovement[[#This Row],[Source]]="","",IFERROR(INDEX(tblSources[Type],MATCH(tblMovement[[#This Row],[Source]],tblSources[Source],0)),"?"))</f>
        <v/>
      </c>
      <c r="L283" s="63">
        <f>IF(tblMovement[[#This Row],[Destination]]="","",IFERROR(INDEX(tblDestinations[Type],MATCH(tblMovement[[#This Row],[Destination]],tblDestinations[Destination],0)),"?"))</f>
        <v/>
      </c>
      <c r="M283" s="64">
        <f>IF(tblMovement[[#This Row],[Material]]="","",IF(LEFT(tblMovement[[#This Row],[Material]],3)="Ore",1,0))</f>
        <v/>
      </c>
      <c r="N283" s="59">
        <f>IF(OR(tblMovement[[#This Row],[Tonnes_t]]="",tblMovement[[#This Row],[Grade_gpt]]=""),0,tblMovement[[#This Row],[Tonnes_t]]*tblMovement[[#This Row],[Grade_gpt]]/cfg_TroyOz)</f>
        <v/>
      </c>
      <c r="O283" s="59">
        <f>IF(tblMovement[[#This Row],[Is_Ore]]=1,tblMovement[[#This Row],[Contained_oz]],0)</f>
        <v/>
      </c>
    </row>
    <row r="284">
      <c r="A284" s="54" t="n"/>
      <c r="B284" s="61" t="n"/>
      <c r="C284" s="61" t="n"/>
      <c r="D284" s="61" t="n"/>
      <c r="E284" s="61" t="n"/>
      <c r="F284" s="55" t="n"/>
      <c r="G284" s="56" t="n"/>
      <c r="H284" s="55" t="n"/>
      <c r="I284" s="62" t="n"/>
      <c r="J284" s="58" t="n"/>
      <c r="K284" s="63">
        <f>IF(tblMovement[[#This Row],[Source]]="","",IFERROR(INDEX(tblSources[Type],MATCH(tblMovement[[#This Row],[Source]],tblSources[Source],0)),"?"))</f>
        <v/>
      </c>
      <c r="L284" s="63">
        <f>IF(tblMovement[[#This Row],[Destination]]="","",IFERROR(INDEX(tblDestinations[Type],MATCH(tblMovement[[#This Row],[Destination]],tblDestinations[Destination],0)),"?"))</f>
        <v/>
      </c>
      <c r="M284" s="64">
        <f>IF(tblMovement[[#This Row],[Material]]="","",IF(LEFT(tblMovement[[#This Row],[Material]],3)="Ore",1,0))</f>
        <v/>
      </c>
      <c r="N284" s="59">
        <f>IF(OR(tblMovement[[#This Row],[Tonnes_t]]="",tblMovement[[#This Row],[Grade_gpt]]=""),0,tblMovement[[#This Row],[Tonnes_t]]*tblMovement[[#This Row],[Grade_gpt]]/cfg_TroyOz)</f>
        <v/>
      </c>
      <c r="O284" s="59">
        <f>IF(tblMovement[[#This Row],[Is_Ore]]=1,tblMovement[[#This Row],[Contained_oz]],0)</f>
        <v/>
      </c>
    </row>
    <row r="285">
      <c r="A285" s="54" t="n"/>
      <c r="B285" s="61" t="n"/>
      <c r="C285" s="61" t="n"/>
      <c r="D285" s="61" t="n"/>
      <c r="E285" s="61" t="n"/>
      <c r="F285" s="55" t="n"/>
      <c r="G285" s="56" t="n"/>
      <c r="H285" s="55" t="n"/>
      <c r="I285" s="62" t="n"/>
      <c r="J285" s="58" t="n"/>
      <c r="K285" s="63">
        <f>IF(tblMovement[[#This Row],[Source]]="","",IFERROR(INDEX(tblSources[Type],MATCH(tblMovement[[#This Row],[Source]],tblSources[Source],0)),"?"))</f>
        <v/>
      </c>
      <c r="L285" s="63">
        <f>IF(tblMovement[[#This Row],[Destination]]="","",IFERROR(INDEX(tblDestinations[Type],MATCH(tblMovement[[#This Row],[Destination]],tblDestinations[Destination],0)),"?"))</f>
        <v/>
      </c>
      <c r="M285" s="64">
        <f>IF(tblMovement[[#This Row],[Material]]="","",IF(LEFT(tblMovement[[#This Row],[Material]],3)="Ore",1,0))</f>
        <v/>
      </c>
      <c r="N285" s="59">
        <f>IF(OR(tblMovement[[#This Row],[Tonnes_t]]="",tblMovement[[#This Row],[Grade_gpt]]=""),0,tblMovement[[#This Row],[Tonnes_t]]*tblMovement[[#This Row],[Grade_gpt]]/cfg_TroyOz)</f>
        <v/>
      </c>
      <c r="O285" s="59">
        <f>IF(tblMovement[[#This Row],[Is_Ore]]=1,tblMovement[[#This Row],[Contained_oz]],0)</f>
        <v/>
      </c>
    </row>
    <row r="286">
      <c r="A286" s="54" t="n"/>
      <c r="B286" s="61" t="n"/>
      <c r="C286" s="61" t="n"/>
      <c r="D286" s="61" t="n"/>
      <c r="E286" s="61" t="n"/>
      <c r="F286" s="55" t="n"/>
      <c r="G286" s="56" t="n"/>
      <c r="H286" s="55" t="n"/>
      <c r="I286" s="62" t="n"/>
      <c r="J286" s="58" t="n"/>
      <c r="K286" s="63">
        <f>IF(tblMovement[[#This Row],[Source]]="","",IFERROR(INDEX(tblSources[Type],MATCH(tblMovement[[#This Row],[Source]],tblSources[Source],0)),"?"))</f>
        <v/>
      </c>
      <c r="L286" s="63">
        <f>IF(tblMovement[[#This Row],[Destination]]="","",IFERROR(INDEX(tblDestinations[Type],MATCH(tblMovement[[#This Row],[Destination]],tblDestinations[Destination],0)),"?"))</f>
        <v/>
      </c>
      <c r="M286" s="64">
        <f>IF(tblMovement[[#This Row],[Material]]="","",IF(LEFT(tblMovement[[#This Row],[Material]],3)="Ore",1,0))</f>
        <v/>
      </c>
      <c r="N286" s="59">
        <f>IF(OR(tblMovement[[#This Row],[Tonnes_t]]="",tblMovement[[#This Row],[Grade_gpt]]=""),0,tblMovement[[#This Row],[Tonnes_t]]*tblMovement[[#This Row],[Grade_gpt]]/cfg_TroyOz)</f>
        <v/>
      </c>
      <c r="O286" s="59">
        <f>IF(tblMovement[[#This Row],[Is_Ore]]=1,tblMovement[[#This Row],[Contained_oz]],0)</f>
        <v/>
      </c>
    </row>
    <row r="287">
      <c r="A287" s="54" t="n"/>
      <c r="B287" s="61" t="n"/>
      <c r="C287" s="61" t="n"/>
      <c r="D287" s="61" t="n"/>
      <c r="E287" s="61" t="n"/>
      <c r="F287" s="55" t="n"/>
      <c r="G287" s="56" t="n"/>
      <c r="H287" s="55" t="n"/>
      <c r="I287" s="62" t="n"/>
      <c r="J287" s="58" t="n"/>
      <c r="K287" s="63">
        <f>IF(tblMovement[[#This Row],[Source]]="","",IFERROR(INDEX(tblSources[Type],MATCH(tblMovement[[#This Row],[Source]],tblSources[Source],0)),"?"))</f>
        <v/>
      </c>
      <c r="L287" s="63">
        <f>IF(tblMovement[[#This Row],[Destination]]="","",IFERROR(INDEX(tblDestinations[Type],MATCH(tblMovement[[#This Row],[Destination]],tblDestinations[Destination],0)),"?"))</f>
        <v/>
      </c>
      <c r="M287" s="64">
        <f>IF(tblMovement[[#This Row],[Material]]="","",IF(LEFT(tblMovement[[#This Row],[Material]],3)="Ore",1,0))</f>
        <v/>
      </c>
      <c r="N287" s="59">
        <f>IF(OR(tblMovement[[#This Row],[Tonnes_t]]="",tblMovement[[#This Row],[Grade_gpt]]=""),0,tblMovement[[#This Row],[Tonnes_t]]*tblMovement[[#This Row],[Grade_gpt]]/cfg_TroyOz)</f>
        <v/>
      </c>
      <c r="O287" s="59">
        <f>IF(tblMovement[[#This Row],[Is_Ore]]=1,tblMovement[[#This Row],[Contained_oz]],0)</f>
        <v/>
      </c>
    </row>
    <row r="288">
      <c r="A288" s="54" t="n"/>
      <c r="B288" s="61" t="n"/>
      <c r="C288" s="61" t="n"/>
      <c r="D288" s="61" t="n"/>
      <c r="E288" s="61" t="n"/>
      <c r="F288" s="55" t="n"/>
      <c r="G288" s="56" t="n"/>
      <c r="H288" s="55" t="n"/>
      <c r="I288" s="62" t="n"/>
      <c r="J288" s="58" t="n"/>
      <c r="K288" s="63">
        <f>IF(tblMovement[[#This Row],[Source]]="","",IFERROR(INDEX(tblSources[Type],MATCH(tblMovement[[#This Row],[Source]],tblSources[Source],0)),"?"))</f>
        <v/>
      </c>
      <c r="L288" s="63">
        <f>IF(tblMovement[[#This Row],[Destination]]="","",IFERROR(INDEX(tblDestinations[Type],MATCH(tblMovement[[#This Row],[Destination]],tblDestinations[Destination],0)),"?"))</f>
        <v/>
      </c>
      <c r="M288" s="64">
        <f>IF(tblMovement[[#This Row],[Material]]="","",IF(LEFT(tblMovement[[#This Row],[Material]],3)="Ore",1,0))</f>
        <v/>
      </c>
      <c r="N288" s="59">
        <f>IF(OR(tblMovement[[#This Row],[Tonnes_t]]="",tblMovement[[#This Row],[Grade_gpt]]=""),0,tblMovement[[#This Row],[Tonnes_t]]*tblMovement[[#This Row],[Grade_gpt]]/cfg_TroyOz)</f>
        <v/>
      </c>
      <c r="O288" s="59">
        <f>IF(tblMovement[[#This Row],[Is_Ore]]=1,tblMovement[[#This Row],[Contained_oz]],0)</f>
        <v/>
      </c>
    </row>
    <row r="289">
      <c r="A289" s="54" t="n"/>
      <c r="B289" s="61" t="n"/>
      <c r="C289" s="61" t="n"/>
      <c r="D289" s="61" t="n"/>
      <c r="E289" s="61" t="n"/>
      <c r="F289" s="55" t="n"/>
      <c r="G289" s="56" t="n"/>
      <c r="H289" s="55" t="n"/>
      <c r="I289" s="62" t="n"/>
      <c r="J289" s="58" t="n"/>
      <c r="K289" s="63">
        <f>IF(tblMovement[[#This Row],[Source]]="","",IFERROR(INDEX(tblSources[Type],MATCH(tblMovement[[#This Row],[Source]],tblSources[Source],0)),"?"))</f>
        <v/>
      </c>
      <c r="L289" s="63">
        <f>IF(tblMovement[[#This Row],[Destination]]="","",IFERROR(INDEX(tblDestinations[Type],MATCH(tblMovement[[#This Row],[Destination]],tblDestinations[Destination],0)),"?"))</f>
        <v/>
      </c>
      <c r="M289" s="64">
        <f>IF(tblMovement[[#This Row],[Material]]="","",IF(LEFT(tblMovement[[#This Row],[Material]],3)="Ore",1,0))</f>
        <v/>
      </c>
      <c r="N289" s="59">
        <f>IF(OR(tblMovement[[#This Row],[Tonnes_t]]="",tblMovement[[#This Row],[Grade_gpt]]=""),0,tblMovement[[#This Row],[Tonnes_t]]*tblMovement[[#This Row],[Grade_gpt]]/cfg_TroyOz)</f>
        <v/>
      </c>
      <c r="O289" s="59">
        <f>IF(tblMovement[[#This Row],[Is_Ore]]=1,tblMovement[[#This Row],[Contained_oz]],0)</f>
        <v/>
      </c>
    </row>
    <row r="290">
      <c r="A290" s="54" t="n"/>
      <c r="B290" s="61" t="n"/>
      <c r="C290" s="61" t="n"/>
      <c r="D290" s="61" t="n"/>
      <c r="E290" s="61" t="n"/>
      <c r="F290" s="55" t="n"/>
      <c r="G290" s="56" t="n"/>
      <c r="H290" s="55" t="n"/>
      <c r="I290" s="62" t="n"/>
      <c r="J290" s="58" t="n"/>
      <c r="K290" s="63">
        <f>IF(tblMovement[[#This Row],[Source]]="","",IFERROR(INDEX(tblSources[Type],MATCH(tblMovement[[#This Row],[Source]],tblSources[Source],0)),"?"))</f>
        <v/>
      </c>
      <c r="L290" s="63">
        <f>IF(tblMovement[[#This Row],[Destination]]="","",IFERROR(INDEX(tblDestinations[Type],MATCH(tblMovement[[#This Row],[Destination]],tblDestinations[Destination],0)),"?"))</f>
        <v/>
      </c>
      <c r="M290" s="64">
        <f>IF(tblMovement[[#This Row],[Material]]="","",IF(LEFT(tblMovement[[#This Row],[Material]],3)="Ore",1,0))</f>
        <v/>
      </c>
      <c r="N290" s="59">
        <f>IF(OR(tblMovement[[#This Row],[Tonnes_t]]="",tblMovement[[#This Row],[Grade_gpt]]=""),0,tblMovement[[#This Row],[Tonnes_t]]*tblMovement[[#This Row],[Grade_gpt]]/cfg_TroyOz)</f>
        <v/>
      </c>
      <c r="O290" s="59">
        <f>IF(tblMovement[[#This Row],[Is_Ore]]=1,tblMovement[[#This Row],[Contained_oz]],0)</f>
        <v/>
      </c>
    </row>
    <row r="291">
      <c r="A291" s="54" t="n"/>
      <c r="B291" s="61" t="n"/>
      <c r="C291" s="61" t="n"/>
      <c r="D291" s="61" t="n"/>
      <c r="E291" s="61" t="n"/>
      <c r="F291" s="55" t="n"/>
      <c r="G291" s="56" t="n"/>
      <c r="H291" s="55" t="n"/>
      <c r="I291" s="62" t="n"/>
      <c r="J291" s="58" t="n"/>
      <c r="K291" s="63">
        <f>IF(tblMovement[[#This Row],[Source]]="","",IFERROR(INDEX(tblSources[Type],MATCH(tblMovement[[#This Row],[Source]],tblSources[Source],0)),"?"))</f>
        <v/>
      </c>
      <c r="L291" s="63">
        <f>IF(tblMovement[[#This Row],[Destination]]="","",IFERROR(INDEX(tblDestinations[Type],MATCH(tblMovement[[#This Row],[Destination]],tblDestinations[Destination],0)),"?"))</f>
        <v/>
      </c>
      <c r="M291" s="64">
        <f>IF(tblMovement[[#This Row],[Material]]="","",IF(LEFT(tblMovement[[#This Row],[Material]],3)="Ore",1,0))</f>
        <v/>
      </c>
      <c r="N291" s="59">
        <f>IF(OR(tblMovement[[#This Row],[Tonnes_t]]="",tblMovement[[#This Row],[Grade_gpt]]=""),0,tblMovement[[#This Row],[Tonnes_t]]*tblMovement[[#This Row],[Grade_gpt]]/cfg_TroyOz)</f>
        <v/>
      </c>
      <c r="O291" s="59">
        <f>IF(tblMovement[[#This Row],[Is_Ore]]=1,tblMovement[[#This Row],[Contained_oz]],0)</f>
        <v/>
      </c>
    </row>
    <row r="292">
      <c r="A292" s="54" t="n"/>
      <c r="B292" s="61" t="n"/>
      <c r="C292" s="61" t="n"/>
      <c r="D292" s="61" t="n"/>
      <c r="E292" s="61" t="n"/>
      <c r="F292" s="55" t="n"/>
      <c r="G292" s="56" t="n"/>
      <c r="H292" s="55" t="n"/>
      <c r="I292" s="62" t="n"/>
      <c r="J292" s="58" t="n"/>
      <c r="K292" s="63">
        <f>IF(tblMovement[[#This Row],[Source]]="","",IFERROR(INDEX(tblSources[Type],MATCH(tblMovement[[#This Row],[Source]],tblSources[Source],0)),"?"))</f>
        <v/>
      </c>
      <c r="L292" s="63">
        <f>IF(tblMovement[[#This Row],[Destination]]="","",IFERROR(INDEX(tblDestinations[Type],MATCH(tblMovement[[#This Row],[Destination]],tblDestinations[Destination],0)),"?"))</f>
        <v/>
      </c>
      <c r="M292" s="64">
        <f>IF(tblMovement[[#This Row],[Material]]="","",IF(LEFT(tblMovement[[#This Row],[Material]],3)="Ore",1,0))</f>
        <v/>
      </c>
      <c r="N292" s="59">
        <f>IF(OR(tblMovement[[#This Row],[Tonnes_t]]="",tblMovement[[#This Row],[Grade_gpt]]=""),0,tblMovement[[#This Row],[Tonnes_t]]*tblMovement[[#This Row],[Grade_gpt]]/cfg_TroyOz)</f>
        <v/>
      </c>
      <c r="O292" s="59">
        <f>IF(tblMovement[[#This Row],[Is_Ore]]=1,tblMovement[[#This Row],[Contained_oz]],0)</f>
        <v/>
      </c>
    </row>
    <row r="293">
      <c r="A293" s="54" t="n"/>
      <c r="B293" s="61" t="n"/>
      <c r="C293" s="61" t="n"/>
      <c r="D293" s="61" t="n"/>
      <c r="E293" s="61" t="n"/>
      <c r="F293" s="55" t="n"/>
      <c r="G293" s="56" t="n"/>
      <c r="H293" s="55" t="n"/>
      <c r="I293" s="62" t="n"/>
      <c r="J293" s="58" t="n"/>
      <c r="K293" s="63">
        <f>IF(tblMovement[[#This Row],[Source]]="","",IFERROR(INDEX(tblSources[Type],MATCH(tblMovement[[#This Row],[Source]],tblSources[Source],0)),"?"))</f>
        <v/>
      </c>
      <c r="L293" s="63">
        <f>IF(tblMovement[[#This Row],[Destination]]="","",IFERROR(INDEX(tblDestinations[Type],MATCH(tblMovement[[#This Row],[Destination]],tblDestinations[Destination],0)),"?"))</f>
        <v/>
      </c>
      <c r="M293" s="64">
        <f>IF(tblMovement[[#This Row],[Material]]="","",IF(LEFT(tblMovement[[#This Row],[Material]],3)="Ore",1,0))</f>
        <v/>
      </c>
      <c r="N293" s="59">
        <f>IF(OR(tblMovement[[#This Row],[Tonnes_t]]="",tblMovement[[#This Row],[Grade_gpt]]=""),0,tblMovement[[#This Row],[Tonnes_t]]*tblMovement[[#This Row],[Grade_gpt]]/cfg_TroyOz)</f>
        <v/>
      </c>
      <c r="O293" s="59">
        <f>IF(tblMovement[[#This Row],[Is_Ore]]=1,tblMovement[[#This Row],[Contained_oz]],0)</f>
        <v/>
      </c>
    </row>
    <row r="294">
      <c r="A294" s="54" t="n"/>
      <c r="B294" s="61" t="n"/>
      <c r="C294" s="61" t="n"/>
      <c r="D294" s="61" t="n"/>
      <c r="E294" s="61" t="n"/>
      <c r="F294" s="55" t="n"/>
      <c r="G294" s="56" t="n"/>
      <c r="H294" s="55" t="n"/>
      <c r="I294" s="62" t="n"/>
      <c r="J294" s="58" t="n"/>
      <c r="K294" s="63">
        <f>IF(tblMovement[[#This Row],[Source]]="","",IFERROR(INDEX(tblSources[Type],MATCH(tblMovement[[#This Row],[Source]],tblSources[Source],0)),"?"))</f>
        <v/>
      </c>
      <c r="L294" s="63">
        <f>IF(tblMovement[[#This Row],[Destination]]="","",IFERROR(INDEX(tblDestinations[Type],MATCH(tblMovement[[#This Row],[Destination]],tblDestinations[Destination],0)),"?"))</f>
        <v/>
      </c>
      <c r="M294" s="64">
        <f>IF(tblMovement[[#This Row],[Material]]="","",IF(LEFT(tblMovement[[#This Row],[Material]],3)="Ore",1,0))</f>
        <v/>
      </c>
      <c r="N294" s="59">
        <f>IF(OR(tblMovement[[#This Row],[Tonnes_t]]="",tblMovement[[#This Row],[Grade_gpt]]=""),0,tblMovement[[#This Row],[Tonnes_t]]*tblMovement[[#This Row],[Grade_gpt]]/cfg_TroyOz)</f>
        <v/>
      </c>
      <c r="O294" s="59">
        <f>IF(tblMovement[[#This Row],[Is_Ore]]=1,tblMovement[[#This Row],[Contained_oz]],0)</f>
        <v/>
      </c>
    </row>
    <row r="295">
      <c r="A295" s="54" t="n"/>
      <c r="B295" s="61" t="n"/>
      <c r="C295" s="61" t="n"/>
      <c r="D295" s="61" t="n"/>
      <c r="E295" s="61" t="n"/>
      <c r="F295" s="55" t="n"/>
      <c r="G295" s="56" t="n"/>
      <c r="H295" s="55" t="n"/>
      <c r="I295" s="62" t="n"/>
      <c r="J295" s="58" t="n"/>
      <c r="K295" s="63">
        <f>IF(tblMovement[[#This Row],[Source]]="","",IFERROR(INDEX(tblSources[Type],MATCH(tblMovement[[#This Row],[Source]],tblSources[Source],0)),"?"))</f>
        <v/>
      </c>
      <c r="L295" s="63">
        <f>IF(tblMovement[[#This Row],[Destination]]="","",IFERROR(INDEX(tblDestinations[Type],MATCH(tblMovement[[#This Row],[Destination]],tblDestinations[Destination],0)),"?"))</f>
        <v/>
      </c>
      <c r="M295" s="64">
        <f>IF(tblMovement[[#This Row],[Material]]="","",IF(LEFT(tblMovement[[#This Row],[Material]],3)="Ore",1,0))</f>
        <v/>
      </c>
      <c r="N295" s="59">
        <f>IF(OR(tblMovement[[#This Row],[Tonnes_t]]="",tblMovement[[#This Row],[Grade_gpt]]=""),0,tblMovement[[#This Row],[Tonnes_t]]*tblMovement[[#This Row],[Grade_gpt]]/cfg_TroyOz)</f>
        <v/>
      </c>
      <c r="O295" s="59">
        <f>IF(tblMovement[[#This Row],[Is_Ore]]=1,tblMovement[[#This Row],[Contained_oz]],0)</f>
        <v/>
      </c>
    </row>
    <row r="296">
      <c r="A296" s="54" t="n"/>
      <c r="B296" s="61" t="n"/>
      <c r="C296" s="61" t="n"/>
      <c r="D296" s="61" t="n"/>
      <c r="E296" s="61" t="n"/>
      <c r="F296" s="55" t="n"/>
      <c r="G296" s="56" t="n"/>
      <c r="H296" s="55" t="n"/>
      <c r="I296" s="62" t="n"/>
      <c r="J296" s="58" t="n"/>
      <c r="K296" s="63">
        <f>IF(tblMovement[[#This Row],[Source]]="","",IFERROR(INDEX(tblSources[Type],MATCH(tblMovement[[#This Row],[Source]],tblSources[Source],0)),"?"))</f>
        <v/>
      </c>
      <c r="L296" s="63">
        <f>IF(tblMovement[[#This Row],[Destination]]="","",IFERROR(INDEX(tblDestinations[Type],MATCH(tblMovement[[#This Row],[Destination]],tblDestinations[Destination],0)),"?"))</f>
        <v/>
      </c>
      <c r="M296" s="64">
        <f>IF(tblMovement[[#This Row],[Material]]="","",IF(LEFT(tblMovement[[#This Row],[Material]],3)="Ore",1,0))</f>
        <v/>
      </c>
      <c r="N296" s="59">
        <f>IF(OR(tblMovement[[#This Row],[Tonnes_t]]="",tblMovement[[#This Row],[Grade_gpt]]=""),0,tblMovement[[#This Row],[Tonnes_t]]*tblMovement[[#This Row],[Grade_gpt]]/cfg_TroyOz)</f>
        <v/>
      </c>
      <c r="O296" s="59">
        <f>IF(tblMovement[[#This Row],[Is_Ore]]=1,tblMovement[[#This Row],[Contained_oz]],0)</f>
        <v/>
      </c>
    </row>
    <row r="297">
      <c r="A297" s="54" t="n"/>
      <c r="B297" s="61" t="n"/>
      <c r="C297" s="61" t="n"/>
      <c r="D297" s="61" t="n"/>
      <c r="E297" s="61" t="n"/>
      <c r="F297" s="55" t="n"/>
      <c r="G297" s="56" t="n"/>
      <c r="H297" s="55" t="n"/>
      <c r="I297" s="62" t="n"/>
      <c r="J297" s="58" t="n"/>
      <c r="K297" s="63">
        <f>IF(tblMovement[[#This Row],[Source]]="","",IFERROR(INDEX(tblSources[Type],MATCH(tblMovement[[#This Row],[Source]],tblSources[Source],0)),"?"))</f>
        <v/>
      </c>
      <c r="L297" s="63">
        <f>IF(tblMovement[[#This Row],[Destination]]="","",IFERROR(INDEX(tblDestinations[Type],MATCH(tblMovement[[#This Row],[Destination]],tblDestinations[Destination],0)),"?"))</f>
        <v/>
      </c>
      <c r="M297" s="64">
        <f>IF(tblMovement[[#This Row],[Material]]="","",IF(LEFT(tblMovement[[#This Row],[Material]],3)="Ore",1,0))</f>
        <v/>
      </c>
      <c r="N297" s="59">
        <f>IF(OR(tblMovement[[#This Row],[Tonnes_t]]="",tblMovement[[#This Row],[Grade_gpt]]=""),0,tblMovement[[#This Row],[Tonnes_t]]*tblMovement[[#This Row],[Grade_gpt]]/cfg_TroyOz)</f>
        <v/>
      </c>
      <c r="O297" s="59">
        <f>IF(tblMovement[[#This Row],[Is_Ore]]=1,tblMovement[[#This Row],[Contained_oz]],0)</f>
        <v/>
      </c>
    </row>
    <row r="298">
      <c r="A298" s="54" t="n"/>
      <c r="B298" s="61" t="n"/>
      <c r="C298" s="61" t="n"/>
      <c r="D298" s="61" t="n"/>
      <c r="E298" s="61" t="n"/>
      <c r="F298" s="55" t="n"/>
      <c r="G298" s="56" t="n"/>
      <c r="H298" s="55" t="n"/>
      <c r="I298" s="62" t="n"/>
      <c r="J298" s="58" t="n"/>
      <c r="K298" s="63">
        <f>IF(tblMovement[[#This Row],[Source]]="","",IFERROR(INDEX(tblSources[Type],MATCH(tblMovement[[#This Row],[Source]],tblSources[Source],0)),"?"))</f>
        <v/>
      </c>
      <c r="L298" s="63">
        <f>IF(tblMovement[[#This Row],[Destination]]="","",IFERROR(INDEX(tblDestinations[Type],MATCH(tblMovement[[#This Row],[Destination]],tblDestinations[Destination],0)),"?"))</f>
        <v/>
      </c>
      <c r="M298" s="64">
        <f>IF(tblMovement[[#This Row],[Material]]="","",IF(LEFT(tblMovement[[#This Row],[Material]],3)="Ore",1,0))</f>
        <v/>
      </c>
      <c r="N298" s="59">
        <f>IF(OR(tblMovement[[#This Row],[Tonnes_t]]="",tblMovement[[#This Row],[Grade_gpt]]=""),0,tblMovement[[#This Row],[Tonnes_t]]*tblMovement[[#This Row],[Grade_gpt]]/cfg_TroyOz)</f>
        <v/>
      </c>
      <c r="O298" s="59">
        <f>IF(tblMovement[[#This Row],[Is_Ore]]=1,tblMovement[[#This Row],[Contained_oz]],0)</f>
        <v/>
      </c>
    </row>
    <row r="299">
      <c r="A299" s="54" t="n"/>
      <c r="B299" s="61" t="n"/>
      <c r="C299" s="61" t="n"/>
      <c r="D299" s="61" t="n"/>
      <c r="E299" s="61" t="n"/>
      <c r="F299" s="55" t="n"/>
      <c r="G299" s="56" t="n"/>
      <c r="H299" s="55" t="n"/>
      <c r="I299" s="62" t="n"/>
      <c r="J299" s="58" t="n"/>
      <c r="K299" s="63">
        <f>IF(tblMovement[[#This Row],[Source]]="","",IFERROR(INDEX(tblSources[Type],MATCH(tblMovement[[#This Row],[Source]],tblSources[Source],0)),"?"))</f>
        <v/>
      </c>
      <c r="L299" s="63">
        <f>IF(tblMovement[[#This Row],[Destination]]="","",IFERROR(INDEX(tblDestinations[Type],MATCH(tblMovement[[#This Row],[Destination]],tblDestinations[Destination],0)),"?"))</f>
        <v/>
      </c>
      <c r="M299" s="64">
        <f>IF(tblMovement[[#This Row],[Material]]="","",IF(LEFT(tblMovement[[#This Row],[Material]],3)="Ore",1,0))</f>
        <v/>
      </c>
      <c r="N299" s="59">
        <f>IF(OR(tblMovement[[#This Row],[Tonnes_t]]="",tblMovement[[#This Row],[Grade_gpt]]=""),0,tblMovement[[#This Row],[Tonnes_t]]*tblMovement[[#This Row],[Grade_gpt]]/cfg_TroyOz)</f>
        <v/>
      </c>
      <c r="O299" s="59">
        <f>IF(tblMovement[[#This Row],[Is_Ore]]=1,tblMovement[[#This Row],[Contained_oz]],0)</f>
        <v/>
      </c>
    </row>
    <row r="300">
      <c r="A300" s="54" t="n"/>
      <c r="B300" s="61" t="n"/>
      <c r="C300" s="61" t="n"/>
      <c r="D300" s="61" t="n"/>
      <c r="E300" s="61" t="n"/>
      <c r="F300" s="55" t="n"/>
      <c r="G300" s="56" t="n"/>
      <c r="H300" s="55" t="n"/>
      <c r="I300" s="62" t="n"/>
      <c r="J300" s="58" t="n"/>
      <c r="K300" s="63">
        <f>IF(tblMovement[[#This Row],[Source]]="","",IFERROR(INDEX(tblSources[Type],MATCH(tblMovement[[#This Row],[Source]],tblSources[Source],0)),"?"))</f>
        <v/>
      </c>
      <c r="L300" s="63">
        <f>IF(tblMovement[[#This Row],[Destination]]="","",IFERROR(INDEX(tblDestinations[Type],MATCH(tblMovement[[#This Row],[Destination]],tblDestinations[Destination],0)),"?"))</f>
        <v/>
      </c>
      <c r="M300" s="64">
        <f>IF(tblMovement[[#This Row],[Material]]="","",IF(LEFT(tblMovement[[#This Row],[Material]],3)="Ore",1,0))</f>
        <v/>
      </c>
      <c r="N300" s="59">
        <f>IF(OR(tblMovement[[#This Row],[Tonnes_t]]="",tblMovement[[#This Row],[Grade_gpt]]=""),0,tblMovement[[#This Row],[Tonnes_t]]*tblMovement[[#This Row],[Grade_gpt]]/cfg_TroyOz)</f>
        <v/>
      </c>
      <c r="O300" s="59">
        <f>IF(tblMovement[[#This Row],[Is_Ore]]=1,tblMovement[[#This Row],[Contained_oz]],0)</f>
        <v/>
      </c>
    </row>
    <row r="301">
      <c r="A301" s="54" t="n"/>
      <c r="B301" s="61" t="n"/>
      <c r="C301" s="61" t="n"/>
      <c r="D301" s="61" t="n"/>
      <c r="E301" s="61" t="n"/>
      <c r="F301" s="55" t="n"/>
      <c r="G301" s="56" t="n"/>
      <c r="H301" s="55" t="n"/>
      <c r="I301" s="62" t="n"/>
      <c r="J301" s="58" t="n"/>
      <c r="K301" s="63">
        <f>IF(tblMovement[[#This Row],[Source]]="","",IFERROR(INDEX(tblSources[Type],MATCH(tblMovement[[#This Row],[Source]],tblSources[Source],0)),"?"))</f>
        <v/>
      </c>
      <c r="L301" s="63">
        <f>IF(tblMovement[[#This Row],[Destination]]="","",IFERROR(INDEX(tblDestinations[Type],MATCH(tblMovement[[#This Row],[Destination]],tblDestinations[Destination],0)),"?"))</f>
        <v/>
      </c>
      <c r="M301" s="64">
        <f>IF(tblMovement[[#This Row],[Material]]="","",IF(LEFT(tblMovement[[#This Row],[Material]],3)="Ore",1,0))</f>
        <v/>
      </c>
      <c r="N301" s="59">
        <f>IF(OR(tblMovement[[#This Row],[Tonnes_t]]="",tblMovement[[#This Row],[Grade_gpt]]=""),0,tblMovement[[#This Row],[Tonnes_t]]*tblMovement[[#This Row],[Grade_gpt]]/cfg_TroyOz)</f>
        <v/>
      </c>
      <c r="O301" s="59">
        <f>IF(tblMovement[[#This Row],[Is_Ore]]=1,tblMovement[[#This Row],[Contained_oz]],0)</f>
        <v/>
      </c>
    </row>
    <row r="302">
      <c r="A302" s="54" t="n"/>
      <c r="B302" s="61" t="n"/>
      <c r="C302" s="61" t="n"/>
      <c r="D302" s="61" t="n"/>
      <c r="E302" s="61" t="n"/>
      <c r="F302" s="55" t="n"/>
      <c r="G302" s="56" t="n"/>
      <c r="H302" s="55" t="n"/>
      <c r="I302" s="62" t="n"/>
      <c r="J302" s="58" t="n"/>
      <c r="K302" s="63">
        <f>IF(tblMovement[[#This Row],[Source]]="","",IFERROR(INDEX(tblSources[Type],MATCH(tblMovement[[#This Row],[Source]],tblSources[Source],0)),"?"))</f>
        <v/>
      </c>
      <c r="L302" s="63">
        <f>IF(tblMovement[[#This Row],[Destination]]="","",IFERROR(INDEX(tblDestinations[Type],MATCH(tblMovement[[#This Row],[Destination]],tblDestinations[Destination],0)),"?"))</f>
        <v/>
      </c>
      <c r="M302" s="64">
        <f>IF(tblMovement[[#This Row],[Material]]="","",IF(LEFT(tblMovement[[#This Row],[Material]],3)="Ore",1,0))</f>
        <v/>
      </c>
      <c r="N302" s="59">
        <f>IF(OR(tblMovement[[#This Row],[Tonnes_t]]="",tblMovement[[#This Row],[Grade_gpt]]=""),0,tblMovement[[#This Row],[Tonnes_t]]*tblMovement[[#This Row],[Grade_gpt]]/cfg_TroyOz)</f>
        <v/>
      </c>
      <c r="O302" s="59">
        <f>IF(tblMovement[[#This Row],[Is_Ore]]=1,tblMovement[[#This Row],[Contained_oz]],0)</f>
        <v/>
      </c>
    </row>
    <row r="303">
      <c r="A303" s="54" t="n"/>
      <c r="B303" s="61" t="n"/>
      <c r="C303" s="61" t="n"/>
      <c r="D303" s="61" t="n"/>
      <c r="E303" s="61" t="n"/>
      <c r="F303" s="55" t="n"/>
      <c r="G303" s="56" t="n"/>
      <c r="H303" s="55" t="n"/>
      <c r="I303" s="62" t="n"/>
      <c r="J303" s="58" t="n"/>
      <c r="K303" s="63">
        <f>IF(tblMovement[[#This Row],[Source]]="","",IFERROR(INDEX(tblSources[Type],MATCH(tblMovement[[#This Row],[Source]],tblSources[Source],0)),"?"))</f>
        <v/>
      </c>
      <c r="L303" s="63">
        <f>IF(tblMovement[[#This Row],[Destination]]="","",IFERROR(INDEX(tblDestinations[Type],MATCH(tblMovement[[#This Row],[Destination]],tblDestinations[Destination],0)),"?"))</f>
        <v/>
      </c>
      <c r="M303" s="64">
        <f>IF(tblMovement[[#This Row],[Material]]="","",IF(LEFT(tblMovement[[#This Row],[Material]],3)="Ore",1,0))</f>
        <v/>
      </c>
      <c r="N303" s="59">
        <f>IF(OR(tblMovement[[#This Row],[Tonnes_t]]="",tblMovement[[#This Row],[Grade_gpt]]=""),0,tblMovement[[#This Row],[Tonnes_t]]*tblMovement[[#This Row],[Grade_gpt]]/cfg_TroyOz)</f>
        <v/>
      </c>
      <c r="O303" s="59">
        <f>IF(tblMovement[[#This Row],[Is_Ore]]=1,tblMovement[[#This Row],[Contained_oz]],0)</f>
        <v/>
      </c>
    </row>
    <row r="304">
      <c r="A304" s="54" t="n"/>
      <c r="B304" s="61" t="n"/>
      <c r="C304" s="61" t="n"/>
      <c r="D304" s="61" t="n"/>
      <c r="E304" s="61" t="n"/>
      <c r="F304" s="55" t="n"/>
      <c r="G304" s="56" t="n"/>
      <c r="H304" s="55" t="n"/>
      <c r="I304" s="62" t="n"/>
      <c r="J304" s="58" t="n"/>
      <c r="K304" s="63">
        <f>IF(tblMovement[[#This Row],[Source]]="","",IFERROR(INDEX(tblSources[Type],MATCH(tblMovement[[#This Row],[Source]],tblSources[Source],0)),"?"))</f>
        <v/>
      </c>
      <c r="L304" s="63">
        <f>IF(tblMovement[[#This Row],[Destination]]="","",IFERROR(INDEX(tblDestinations[Type],MATCH(tblMovement[[#This Row],[Destination]],tblDestinations[Destination],0)),"?"))</f>
        <v/>
      </c>
      <c r="M304" s="64">
        <f>IF(tblMovement[[#This Row],[Material]]="","",IF(LEFT(tblMovement[[#This Row],[Material]],3)="Ore",1,0))</f>
        <v/>
      </c>
      <c r="N304" s="59">
        <f>IF(OR(tblMovement[[#This Row],[Tonnes_t]]="",tblMovement[[#This Row],[Grade_gpt]]=""),0,tblMovement[[#This Row],[Tonnes_t]]*tblMovement[[#This Row],[Grade_gpt]]/cfg_TroyOz)</f>
        <v/>
      </c>
      <c r="O304" s="59">
        <f>IF(tblMovement[[#This Row],[Is_Ore]]=1,tblMovement[[#This Row],[Contained_oz]],0)</f>
        <v/>
      </c>
    </row>
    <row r="305">
      <c r="A305" s="54" t="n"/>
      <c r="B305" s="61" t="n"/>
      <c r="C305" s="61" t="n"/>
      <c r="D305" s="61" t="n"/>
      <c r="E305" s="61" t="n"/>
      <c r="F305" s="55" t="n"/>
      <c r="G305" s="56" t="n"/>
      <c r="H305" s="55" t="n"/>
      <c r="I305" s="62" t="n"/>
      <c r="J305" s="58" t="n"/>
      <c r="K305" s="63">
        <f>IF(tblMovement[[#This Row],[Source]]="","",IFERROR(INDEX(tblSources[Type],MATCH(tblMovement[[#This Row],[Source]],tblSources[Source],0)),"?"))</f>
        <v/>
      </c>
      <c r="L305" s="63">
        <f>IF(tblMovement[[#This Row],[Destination]]="","",IFERROR(INDEX(tblDestinations[Type],MATCH(tblMovement[[#This Row],[Destination]],tblDestinations[Destination],0)),"?"))</f>
        <v/>
      </c>
      <c r="M305" s="64">
        <f>IF(tblMovement[[#This Row],[Material]]="","",IF(LEFT(tblMovement[[#This Row],[Material]],3)="Ore",1,0))</f>
        <v/>
      </c>
      <c r="N305" s="59">
        <f>IF(OR(tblMovement[[#This Row],[Tonnes_t]]="",tblMovement[[#This Row],[Grade_gpt]]=""),0,tblMovement[[#This Row],[Tonnes_t]]*tblMovement[[#This Row],[Grade_gpt]]/cfg_TroyOz)</f>
        <v/>
      </c>
      <c r="O305" s="59">
        <f>IF(tblMovement[[#This Row],[Is_Ore]]=1,tblMovement[[#This Row],[Contained_oz]],0)</f>
        <v/>
      </c>
    </row>
    <row r="306">
      <c r="A306" s="54" t="n"/>
      <c r="B306" s="61" t="n"/>
      <c r="C306" s="61" t="n"/>
      <c r="D306" s="61" t="n"/>
      <c r="E306" s="61" t="n"/>
      <c r="F306" s="55" t="n"/>
      <c r="G306" s="56" t="n"/>
      <c r="H306" s="55" t="n"/>
      <c r="I306" s="62" t="n"/>
      <c r="J306" s="58" t="n"/>
      <c r="K306" s="63">
        <f>IF(tblMovement[[#This Row],[Source]]="","",IFERROR(INDEX(tblSources[Type],MATCH(tblMovement[[#This Row],[Source]],tblSources[Source],0)),"?"))</f>
        <v/>
      </c>
      <c r="L306" s="63">
        <f>IF(tblMovement[[#This Row],[Destination]]="","",IFERROR(INDEX(tblDestinations[Type],MATCH(tblMovement[[#This Row],[Destination]],tblDestinations[Destination],0)),"?"))</f>
        <v/>
      </c>
      <c r="M306" s="64">
        <f>IF(tblMovement[[#This Row],[Material]]="","",IF(LEFT(tblMovement[[#This Row],[Material]],3)="Ore",1,0))</f>
        <v/>
      </c>
      <c r="N306" s="59">
        <f>IF(OR(tblMovement[[#This Row],[Tonnes_t]]="",tblMovement[[#This Row],[Grade_gpt]]=""),0,tblMovement[[#This Row],[Tonnes_t]]*tblMovement[[#This Row],[Grade_gpt]]/cfg_TroyOz)</f>
        <v/>
      </c>
      <c r="O306" s="59">
        <f>IF(tblMovement[[#This Row],[Is_Ore]]=1,tblMovement[[#This Row],[Contained_oz]],0)</f>
        <v/>
      </c>
    </row>
    <row r="307">
      <c r="A307" s="54" t="n"/>
      <c r="B307" s="61" t="n"/>
      <c r="C307" s="61" t="n"/>
      <c r="D307" s="61" t="n"/>
      <c r="E307" s="61" t="n"/>
      <c r="F307" s="55" t="n"/>
      <c r="G307" s="56" t="n"/>
      <c r="H307" s="55" t="n"/>
      <c r="I307" s="62" t="n"/>
      <c r="J307" s="58" t="n"/>
      <c r="K307" s="63">
        <f>IF(tblMovement[[#This Row],[Source]]="","",IFERROR(INDEX(tblSources[Type],MATCH(tblMovement[[#This Row],[Source]],tblSources[Source],0)),"?"))</f>
        <v/>
      </c>
      <c r="L307" s="63">
        <f>IF(tblMovement[[#This Row],[Destination]]="","",IFERROR(INDEX(tblDestinations[Type],MATCH(tblMovement[[#This Row],[Destination]],tblDestinations[Destination],0)),"?"))</f>
        <v/>
      </c>
      <c r="M307" s="64">
        <f>IF(tblMovement[[#This Row],[Material]]="","",IF(LEFT(tblMovement[[#This Row],[Material]],3)="Ore",1,0))</f>
        <v/>
      </c>
      <c r="N307" s="59">
        <f>IF(OR(tblMovement[[#This Row],[Tonnes_t]]="",tblMovement[[#This Row],[Grade_gpt]]=""),0,tblMovement[[#This Row],[Tonnes_t]]*tblMovement[[#This Row],[Grade_gpt]]/cfg_TroyOz)</f>
        <v/>
      </c>
      <c r="O307" s="59">
        <f>IF(tblMovement[[#This Row],[Is_Ore]]=1,tblMovement[[#This Row],[Contained_oz]],0)</f>
        <v/>
      </c>
    </row>
    <row r="308">
      <c r="A308" s="54" t="n"/>
      <c r="B308" s="61" t="n"/>
      <c r="C308" s="61" t="n"/>
      <c r="D308" s="61" t="n"/>
      <c r="E308" s="61" t="n"/>
      <c r="F308" s="55" t="n"/>
      <c r="G308" s="56" t="n"/>
      <c r="H308" s="55" t="n"/>
      <c r="I308" s="62" t="n"/>
      <c r="J308" s="58" t="n"/>
      <c r="K308" s="63">
        <f>IF(tblMovement[[#This Row],[Source]]="","",IFERROR(INDEX(tblSources[Type],MATCH(tblMovement[[#This Row],[Source]],tblSources[Source],0)),"?"))</f>
        <v/>
      </c>
      <c r="L308" s="63">
        <f>IF(tblMovement[[#This Row],[Destination]]="","",IFERROR(INDEX(tblDestinations[Type],MATCH(tblMovement[[#This Row],[Destination]],tblDestinations[Destination],0)),"?"))</f>
        <v/>
      </c>
      <c r="M308" s="64">
        <f>IF(tblMovement[[#This Row],[Material]]="","",IF(LEFT(tblMovement[[#This Row],[Material]],3)="Ore",1,0))</f>
        <v/>
      </c>
      <c r="N308" s="59">
        <f>IF(OR(tblMovement[[#This Row],[Tonnes_t]]="",tblMovement[[#This Row],[Grade_gpt]]=""),0,tblMovement[[#This Row],[Tonnes_t]]*tblMovement[[#This Row],[Grade_gpt]]/cfg_TroyOz)</f>
        <v/>
      </c>
      <c r="O308" s="59">
        <f>IF(tblMovement[[#This Row],[Is_Ore]]=1,tblMovement[[#This Row],[Contained_oz]],0)</f>
        <v/>
      </c>
    </row>
    <row r="309">
      <c r="A309" s="54" t="n"/>
      <c r="B309" s="61" t="n"/>
      <c r="C309" s="61" t="n"/>
      <c r="D309" s="61" t="n"/>
      <c r="E309" s="61" t="n"/>
      <c r="F309" s="55" t="n"/>
      <c r="G309" s="56" t="n"/>
      <c r="H309" s="55" t="n"/>
      <c r="I309" s="62" t="n"/>
      <c r="J309" s="58" t="n"/>
      <c r="K309" s="63">
        <f>IF(tblMovement[[#This Row],[Source]]="","",IFERROR(INDEX(tblSources[Type],MATCH(tblMovement[[#This Row],[Source]],tblSources[Source],0)),"?"))</f>
        <v/>
      </c>
      <c r="L309" s="63">
        <f>IF(tblMovement[[#This Row],[Destination]]="","",IFERROR(INDEX(tblDestinations[Type],MATCH(tblMovement[[#This Row],[Destination]],tblDestinations[Destination],0)),"?"))</f>
        <v/>
      </c>
      <c r="M309" s="64">
        <f>IF(tblMovement[[#This Row],[Material]]="","",IF(LEFT(tblMovement[[#This Row],[Material]],3)="Ore",1,0))</f>
        <v/>
      </c>
      <c r="N309" s="59">
        <f>IF(OR(tblMovement[[#This Row],[Tonnes_t]]="",tblMovement[[#This Row],[Grade_gpt]]=""),0,tblMovement[[#This Row],[Tonnes_t]]*tblMovement[[#This Row],[Grade_gpt]]/cfg_TroyOz)</f>
        <v/>
      </c>
      <c r="O309" s="59">
        <f>IF(tblMovement[[#This Row],[Is_Ore]]=1,tblMovement[[#This Row],[Contained_oz]],0)</f>
        <v/>
      </c>
    </row>
    <row r="310">
      <c r="A310" s="54" t="n"/>
      <c r="B310" s="61" t="n"/>
      <c r="C310" s="61" t="n"/>
      <c r="D310" s="61" t="n"/>
      <c r="E310" s="61" t="n"/>
      <c r="F310" s="55" t="n"/>
      <c r="G310" s="56" t="n"/>
      <c r="H310" s="55" t="n"/>
      <c r="I310" s="62" t="n"/>
      <c r="J310" s="58" t="n"/>
      <c r="K310" s="63">
        <f>IF(tblMovement[[#This Row],[Source]]="","",IFERROR(INDEX(tblSources[Type],MATCH(tblMovement[[#This Row],[Source]],tblSources[Source],0)),"?"))</f>
        <v/>
      </c>
      <c r="L310" s="63">
        <f>IF(tblMovement[[#This Row],[Destination]]="","",IFERROR(INDEX(tblDestinations[Type],MATCH(tblMovement[[#This Row],[Destination]],tblDestinations[Destination],0)),"?"))</f>
        <v/>
      </c>
      <c r="M310" s="64">
        <f>IF(tblMovement[[#This Row],[Material]]="","",IF(LEFT(tblMovement[[#This Row],[Material]],3)="Ore",1,0))</f>
        <v/>
      </c>
      <c r="N310" s="59">
        <f>IF(OR(tblMovement[[#This Row],[Tonnes_t]]="",tblMovement[[#This Row],[Grade_gpt]]=""),0,tblMovement[[#This Row],[Tonnes_t]]*tblMovement[[#This Row],[Grade_gpt]]/cfg_TroyOz)</f>
        <v/>
      </c>
      <c r="O310" s="59">
        <f>IF(tblMovement[[#This Row],[Is_Ore]]=1,tblMovement[[#This Row],[Contained_oz]],0)</f>
        <v/>
      </c>
    </row>
    <row r="311">
      <c r="A311" s="54" t="n"/>
      <c r="B311" s="61" t="n"/>
      <c r="C311" s="61" t="n"/>
      <c r="D311" s="61" t="n"/>
      <c r="E311" s="61" t="n"/>
      <c r="F311" s="55" t="n"/>
      <c r="G311" s="56" t="n"/>
      <c r="H311" s="55" t="n"/>
      <c r="I311" s="62" t="n"/>
      <c r="J311" s="58" t="n"/>
      <c r="K311" s="63">
        <f>IF(tblMovement[[#This Row],[Source]]="","",IFERROR(INDEX(tblSources[Type],MATCH(tblMovement[[#This Row],[Source]],tblSources[Source],0)),"?"))</f>
        <v/>
      </c>
      <c r="L311" s="63">
        <f>IF(tblMovement[[#This Row],[Destination]]="","",IFERROR(INDEX(tblDestinations[Type],MATCH(tblMovement[[#This Row],[Destination]],tblDestinations[Destination],0)),"?"))</f>
        <v/>
      </c>
      <c r="M311" s="64">
        <f>IF(tblMovement[[#This Row],[Material]]="","",IF(LEFT(tblMovement[[#This Row],[Material]],3)="Ore",1,0))</f>
        <v/>
      </c>
      <c r="N311" s="59">
        <f>IF(OR(tblMovement[[#This Row],[Tonnes_t]]="",tblMovement[[#This Row],[Grade_gpt]]=""),0,tblMovement[[#This Row],[Tonnes_t]]*tblMovement[[#This Row],[Grade_gpt]]/cfg_TroyOz)</f>
        <v/>
      </c>
      <c r="O311" s="59">
        <f>IF(tblMovement[[#This Row],[Is_Ore]]=1,tblMovement[[#This Row],[Contained_oz]],0)</f>
        <v/>
      </c>
    </row>
    <row r="312">
      <c r="A312" s="54" t="n"/>
      <c r="B312" s="61" t="n"/>
      <c r="C312" s="61" t="n"/>
      <c r="D312" s="61" t="n"/>
      <c r="E312" s="61" t="n"/>
      <c r="F312" s="55" t="n"/>
      <c r="G312" s="56" t="n"/>
      <c r="H312" s="55" t="n"/>
      <c r="I312" s="62" t="n"/>
      <c r="J312" s="58" t="n"/>
      <c r="K312" s="63">
        <f>IF(tblMovement[[#This Row],[Source]]="","",IFERROR(INDEX(tblSources[Type],MATCH(tblMovement[[#This Row],[Source]],tblSources[Source],0)),"?"))</f>
        <v/>
      </c>
      <c r="L312" s="63">
        <f>IF(tblMovement[[#This Row],[Destination]]="","",IFERROR(INDEX(tblDestinations[Type],MATCH(tblMovement[[#This Row],[Destination]],tblDestinations[Destination],0)),"?"))</f>
        <v/>
      </c>
      <c r="M312" s="64">
        <f>IF(tblMovement[[#This Row],[Material]]="","",IF(LEFT(tblMovement[[#This Row],[Material]],3)="Ore",1,0))</f>
        <v/>
      </c>
      <c r="N312" s="59">
        <f>IF(OR(tblMovement[[#This Row],[Tonnes_t]]="",tblMovement[[#This Row],[Grade_gpt]]=""),0,tblMovement[[#This Row],[Tonnes_t]]*tblMovement[[#This Row],[Grade_gpt]]/cfg_TroyOz)</f>
        <v/>
      </c>
      <c r="O312" s="59">
        <f>IF(tblMovement[[#This Row],[Is_Ore]]=1,tblMovement[[#This Row],[Contained_oz]],0)</f>
        <v/>
      </c>
    </row>
    <row r="313">
      <c r="A313" s="54" t="n"/>
      <c r="B313" s="61" t="n"/>
      <c r="C313" s="61" t="n"/>
      <c r="D313" s="61" t="n"/>
      <c r="E313" s="61" t="n"/>
      <c r="F313" s="55" t="n"/>
      <c r="G313" s="56" t="n"/>
      <c r="H313" s="55" t="n"/>
      <c r="I313" s="62" t="n"/>
      <c r="J313" s="58" t="n"/>
      <c r="K313" s="63">
        <f>IF(tblMovement[[#This Row],[Source]]="","",IFERROR(INDEX(tblSources[Type],MATCH(tblMovement[[#This Row],[Source]],tblSources[Source],0)),"?"))</f>
        <v/>
      </c>
      <c r="L313" s="63">
        <f>IF(tblMovement[[#This Row],[Destination]]="","",IFERROR(INDEX(tblDestinations[Type],MATCH(tblMovement[[#This Row],[Destination]],tblDestinations[Destination],0)),"?"))</f>
        <v/>
      </c>
      <c r="M313" s="64">
        <f>IF(tblMovement[[#This Row],[Material]]="","",IF(LEFT(tblMovement[[#This Row],[Material]],3)="Ore",1,0))</f>
        <v/>
      </c>
      <c r="N313" s="59">
        <f>IF(OR(tblMovement[[#This Row],[Tonnes_t]]="",tblMovement[[#This Row],[Grade_gpt]]=""),0,tblMovement[[#This Row],[Tonnes_t]]*tblMovement[[#This Row],[Grade_gpt]]/cfg_TroyOz)</f>
        <v/>
      </c>
      <c r="O313" s="59">
        <f>IF(tblMovement[[#This Row],[Is_Ore]]=1,tblMovement[[#This Row],[Contained_oz]],0)</f>
        <v/>
      </c>
    </row>
    <row r="314">
      <c r="A314" s="54" t="n"/>
      <c r="B314" s="61" t="n"/>
      <c r="C314" s="61" t="n"/>
      <c r="D314" s="61" t="n"/>
      <c r="E314" s="61" t="n"/>
      <c r="F314" s="55" t="n"/>
      <c r="G314" s="56" t="n"/>
      <c r="H314" s="55" t="n"/>
      <c r="I314" s="62" t="n"/>
      <c r="J314" s="58" t="n"/>
      <c r="K314" s="63">
        <f>IF(tblMovement[[#This Row],[Source]]="","",IFERROR(INDEX(tblSources[Type],MATCH(tblMovement[[#This Row],[Source]],tblSources[Source],0)),"?"))</f>
        <v/>
      </c>
      <c r="L314" s="63">
        <f>IF(tblMovement[[#This Row],[Destination]]="","",IFERROR(INDEX(tblDestinations[Type],MATCH(tblMovement[[#This Row],[Destination]],tblDestinations[Destination],0)),"?"))</f>
        <v/>
      </c>
      <c r="M314" s="64">
        <f>IF(tblMovement[[#This Row],[Material]]="","",IF(LEFT(tblMovement[[#This Row],[Material]],3)="Ore",1,0))</f>
        <v/>
      </c>
      <c r="N314" s="59">
        <f>IF(OR(tblMovement[[#This Row],[Tonnes_t]]="",tblMovement[[#This Row],[Grade_gpt]]=""),0,tblMovement[[#This Row],[Tonnes_t]]*tblMovement[[#This Row],[Grade_gpt]]/cfg_TroyOz)</f>
        <v/>
      </c>
      <c r="O314" s="59">
        <f>IF(tblMovement[[#This Row],[Is_Ore]]=1,tblMovement[[#This Row],[Contained_oz]],0)</f>
        <v/>
      </c>
    </row>
    <row r="315">
      <c r="A315" s="54" t="n"/>
      <c r="B315" s="61" t="n"/>
      <c r="C315" s="61" t="n"/>
      <c r="D315" s="61" t="n"/>
      <c r="E315" s="61" t="n"/>
      <c r="F315" s="55" t="n"/>
      <c r="G315" s="56" t="n"/>
      <c r="H315" s="55" t="n"/>
      <c r="I315" s="62" t="n"/>
      <c r="J315" s="58" t="n"/>
      <c r="K315" s="63">
        <f>IF(tblMovement[[#This Row],[Source]]="","",IFERROR(INDEX(tblSources[Type],MATCH(tblMovement[[#This Row],[Source]],tblSources[Source],0)),"?"))</f>
        <v/>
      </c>
      <c r="L315" s="63">
        <f>IF(tblMovement[[#This Row],[Destination]]="","",IFERROR(INDEX(tblDestinations[Type],MATCH(tblMovement[[#This Row],[Destination]],tblDestinations[Destination],0)),"?"))</f>
        <v/>
      </c>
      <c r="M315" s="64">
        <f>IF(tblMovement[[#This Row],[Material]]="","",IF(LEFT(tblMovement[[#This Row],[Material]],3)="Ore",1,0))</f>
        <v/>
      </c>
      <c r="N315" s="59">
        <f>IF(OR(tblMovement[[#This Row],[Tonnes_t]]="",tblMovement[[#This Row],[Grade_gpt]]=""),0,tblMovement[[#This Row],[Tonnes_t]]*tblMovement[[#This Row],[Grade_gpt]]/cfg_TroyOz)</f>
        <v/>
      </c>
      <c r="O315" s="59">
        <f>IF(tblMovement[[#This Row],[Is_Ore]]=1,tblMovement[[#This Row],[Contained_oz]],0)</f>
        <v/>
      </c>
    </row>
    <row r="316">
      <c r="A316" s="54" t="n"/>
      <c r="B316" s="61" t="n"/>
      <c r="C316" s="61" t="n"/>
      <c r="D316" s="61" t="n"/>
      <c r="E316" s="61" t="n"/>
      <c r="F316" s="55" t="n"/>
      <c r="G316" s="56" t="n"/>
      <c r="H316" s="55" t="n"/>
      <c r="I316" s="62" t="n"/>
      <c r="J316" s="58" t="n"/>
      <c r="K316" s="63">
        <f>IF(tblMovement[[#This Row],[Source]]="","",IFERROR(INDEX(tblSources[Type],MATCH(tblMovement[[#This Row],[Source]],tblSources[Source],0)),"?"))</f>
        <v/>
      </c>
      <c r="L316" s="63">
        <f>IF(tblMovement[[#This Row],[Destination]]="","",IFERROR(INDEX(tblDestinations[Type],MATCH(tblMovement[[#This Row],[Destination]],tblDestinations[Destination],0)),"?"))</f>
        <v/>
      </c>
      <c r="M316" s="64">
        <f>IF(tblMovement[[#This Row],[Material]]="","",IF(LEFT(tblMovement[[#This Row],[Material]],3)="Ore",1,0))</f>
        <v/>
      </c>
      <c r="N316" s="59">
        <f>IF(OR(tblMovement[[#This Row],[Tonnes_t]]="",tblMovement[[#This Row],[Grade_gpt]]=""),0,tblMovement[[#This Row],[Tonnes_t]]*tblMovement[[#This Row],[Grade_gpt]]/cfg_TroyOz)</f>
        <v/>
      </c>
      <c r="O316" s="59">
        <f>IF(tblMovement[[#This Row],[Is_Ore]]=1,tblMovement[[#This Row],[Contained_oz]],0)</f>
        <v/>
      </c>
    </row>
    <row r="317">
      <c r="A317" s="54" t="n"/>
      <c r="B317" s="61" t="n"/>
      <c r="C317" s="61" t="n"/>
      <c r="D317" s="61" t="n"/>
      <c r="E317" s="61" t="n"/>
      <c r="F317" s="55" t="n"/>
      <c r="G317" s="56" t="n"/>
      <c r="H317" s="55" t="n"/>
      <c r="I317" s="62" t="n"/>
      <c r="J317" s="58" t="n"/>
      <c r="K317" s="63">
        <f>IF(tblMovement[[#This Row],[Source]]="","",IFERROR(INDEX(tblSources[Type],MATCH(tblMovement[[#This Row],[Source]],tblSources[Source],0)),"?"))</f>
        <v/>
      </c>
      <c r="L317" s="63">
        <f>IF(tblMovement[[#This Row],[Destination]]="","",IFERROR(INDEX(tblDestinations[Type],MATCH(tblMovement[[#This Row],[Destination]],tblDestinations[Destination],0)),"?"))</f>
        <v/>
      </c>
      <c r="M317" s="64">
        <f>IF(tblMovement[[#This Row],[Material]]="","",IF(LEFT(tblMovement[[#This Row],[Material]],3)="Ore",1,0))</f>
        <v/>
      </c>
      <c r="N317" s="59">
        <f>IF(OR(tblMovement[[#This Row],[Tonnes_t]]="",tblMovement[[#This Row],[Grade_gpt]]=""),0,tblMovement[[#This Row],[Tonnes_t]]*tblMovement[[#This Row],[Grade_gpt]]/cfg_TroyOz)</f>
        <v/>
      </c>
      <c r="O317" s="59">
        <f>IF(tblMovement[[#This Row],[Is_Ore]]=1,tblMovement[[#This Row],[Contained_oz]],0)</f>
        <v/>
      </c>
    </row>
    <row r="318">
      <c r="A318" s="54" t="n"/>
      <c r="B318" s="61" t="n"/>
      <c r="C318" s="61" t="n"/>
      <c r="D318" s="61" t="n"/>
      <c r="E318" s="61" t="n"/>
      <c r="F318" s="55" t="n"/>
      <c r="G318" s="56" t="n"/>
      <c r="H318" s="55" t="n"/>
      <c r="I318" s="62" t="n"/>
      <c r="J318" s="58" t="n"/>
      <c r="K318" s="63">
        <f>IF(tblMovement[[#This Row],[Source]]="","",IFERROR(INDEX(tblSources[Type],MATCH(tblMovement[[#This Row],[Source]],tblSources[Source],0)),"?"))</f>
        <v/>
      </c>
      <c r="L318" s="63">
        <f>IF(tblMovement[[#This Row],[Destination]]="","",IFERROR(INDEX(tblDestinations[Type],MATCH(tblMovement[[#This Row],[Destination]],tblDestinations[Destination],0)),"?"))</f>
        <v/>
      </c>
      <c r="M318" s="64">
        <f>IF(tblMovement[[#This Row],[Material]]="","",IF(LEFT(tblMovement[[#This Row],[Material]],3)="Ore",1,0))</f>
        <v/>
      </c>
      <c r="N318" s="59">
        <f>IF(OR(tblMovement[[#This Row],[Tonnes_t]]="",tblMovement[[#This Row],[Grade_gpt]]=""),0,tblMovement[[#This Row],[Tonnes_t]]*tblMovement[[#This Row],[Grade_gpt]]/cfg_TroyOz)</f>
        <v/>
      </c>
      <c r="O318" s="59">
        <f>IF(tblMovement[[#This Row],[Is_Ore]]=1,tblMovement[[#This Row],[Contained_oz]],0)</f>
        <v/>
      </c>
    </row>
    <row r="319">
      <c r="A319" s="54" t="n"/>
      <c r="B319" s="61" t="n"/>
      <c r="C319" s="61" t="n"/>
      <c r="D319" s="61" t="n"/>
      <c r="E319" s="61" t="n"/>
      <c r="F319" s="55" t="n"/>
      <c r="G319" s="56" t="n"/>
      <c r="H319" s="55" t="n"/>
      <c r="I319" s="62" t="n"/>
      <c r="J319" s="58" t="n"/>
      <c r="K319" s="63">
        <f>IF(tblMovement[[#This Row],[Source]]="","",IFERROR(INDEX(tblSources[Type],MATCH(tblMovement[[#This Row],[Source]],tblSources[Source],0)),"?"))</f>
        <v/>
      </c>
      <c r="L319" s="63">
        <f>IF(tblMovement[[#This Row],[Destination]]="","",IFERROR(INDEX(tblDestinations[Type],MATCH(tblMovement[[#This Row],[Destination]],tblDestinations[Destination],0)),"?"))</f>
        <v/>
      </c>
      <c r="M319" s="64">
        <f>IF(tblMovement[[#This Row],[Material]]="","",IF(LEFT(tblMovement[[#This Row],[Material]],3)="Ore",1,0))</f>
        <v/>
      </c>
      <c r="N319" s="59">
        <f>IF(OR(tblMovement[[#This Row],[Tonnes_t]]="",tblMovement[[#This Row],[Grade_gpt]]=""),0,tblMovement[[#This Row],[Tonnes_t]]*tblMovement[[#This Row],[Grade_gpt]]/cfg_TroyOz)</f>
        <v/>
      </c>
      <c r="O319" s="59">
        <f>IF(tblMovement[[#This Row],[Is_Ore]]=1,tblMovement[[#This Row],[Contained_oz]],0)</f>
        <v/>
      </c>
    </row>
    <row r="320">
      <c r="A320" s="54" t="n"/>
      <c r="B320" s="61" t="n"/>
      <c r="C320" s="61" t="n"/>
      <c r="D320" s="61" t="n"/>
      <c r="E320" s="61" t="n"/>
      <c r="F320" s="55" t="n"/>
      <c r="G320" s="56" t="n"/>
      <c r="H320" s="55" t="n"/>
      <c r="I320" s="62" t="n"/>
      <c r="J320" s="58" t="n"/>
      <c r="K320" s="63">
        <f>IF(tblMovement[[#This Row],[Source]]="","",IFERROR(INDEX(tblSources[Type],MATCH(tblMovement[[#This Row],[Source]],tblSources[Source],0)),"?"))</f>
        <v/>
      </c>
      <c r="L320" s="63">
        <f>IF(tblMovement[[#This Row],[Destination]]="","",IFERROR(INDEX(tblDestinations[Type],MATCH(tblMovement[[#This Row],[Destination]],tblDestinations[Destination],0)),"?"))</f>
        <v/>
      </c>
      <c r="M320" s="64">
        <f>IF(tblMovement[[#This Row],[Material]]="","",IF(LEFT(tblMovement[[#This Row],[Material]],3)="Ore",1,0))</f>
        <v/>
      </c>
      <c r="N320" s="59">
        <f>IF(OR(tblMovement[[#This Row],[Tonnes_t]]="",tblMovement[[#This Row],[Grade_gpt]]=""),0,tblMovement[[#This Row],[Tonnes_t]]*tblMovement[[#This Row],[Grade_gpt]]/cfg_TroyOz)</f>
        <v/>
      </c>
      <c r="O320" s="59">
        <f>IF(tblMovement[[#This Row],[Is_Ore]]=1,tblMovement[[#This Row],[Contained_oz]],0)</f>
        <v/>
      </c>
    </row>
    <row r="321">
      <c r="A321" s="54" t="n"/>
      <c r="B321" s="61" t="n"/>
      <c r="C321" s="61" t="n"/>
      <c r="D321" s="61" t="n"/>
      <c r="E321" s="61" t="n"/>
      <c r="F321" s="55" t="n"/>
      <c r="G321" s="56" t="n"/>
      <c r="H321" s="55" t="n"/>
      <c r="I321" s="62" t="n"/>
      <c r="J321" s="58" t="n"/>
      <c r="K321" s="63">
        <f>IF(tblMovement[[#This Row],[Source]]="","",IFERROR(INDEX(tblSources[Type],MATCH(tblMovement[[#This Row],[Source]],tblSources[Source],0)),"?"))</f>
        <v/>
      </c>
      <c r="L321" s="63">
        <f>IF(tblMovement[[#This Row],[Destination]]="","",IFERROR(INDEX(tblDestinations[Type],MATCH(tblMovement[[#This Row],[Destination]],tblDestinations[Destination],0)),"?"))</f>
        <v/>
      </c>
      <c r="M321" s="64">
        <f>IF(tblMovement[[#This Row],[Material]]="","",IF(LEFT(tblMovement[[#This Row],[Material]],3)="Ore",1,0))</f>
        <v/>
      </c>
      <c r="N321" s="59">
        <f>IF(OR(tblMovement[[#This Row],[Tonnes_t]]="",tblMovement[[#This Row],[Grade_gpt]]=""),0,tblMovement[[#This Row],[Tonnes_t]]*tblMovement[[#This Row],[Grade_gpt]]/cfg_TroyOz)</f>
        <v/>
      </c>
      <c r="O321" s="59">
        <f>IF(tblMovement[[#This Row],[Is_Ore]]=1,tblMovement[[#This Row],[Contained_oz]],0)</f>
        <v/>
      </c>
    </row>
    <row r="322">
      <c r="A322" s="54" t="n"/>
      <c r="B322" s="61" t="n"/>
      <c r="C322" s="61" t="n"/>
      <c r="D322" s="61" t="n"/>
      <c r="E322" s="61" t="n"/>
      <c r="F322" s="55" t="n"/>
      <c r="G322" s="56" t="n"/>
      <c r="H322" s="55" t="n"/>
      <c r="I322" s="62" t="n"/>
      <c r="J322" s="58" t="n"/>
      <c r="K322" s="63">
        <f>IF(tblMovement[[#This Row],[Source]]="","",IFERROR(INDEX(tblSources[Type],MATCH(tblMovement[[#This Row],[Source]],tblSources[Source],0)),"?"))</f>
        <v/>
      </c>
      <c r="L322" s="63">
        <f>IF(tblMovement[[#This Row],[Destination]]="","",IFERROR(INDEX(tblDestinations[Type],MATCH(tblMovement[[#This Row],[Destination]],tblDestinations[Destination],0)),"?"))</f>
        <v/>
      </c>
      <c r="M322" s="64">
        <f>IF(tblMovement[[#This Row],[Material]]="","",IF(LEFT(tblMovement[[#This Row],[Material]],3)="Ore",1,0))</f>
        <v/>
      </c>
      <c r="N322" s="59">
        <f>IF(OR(tblMovement[[#This Row],[Tonnes_t]]="",tblMovement[[#This Row],[Grade_gpt]]=""),0,tblMovement[[#This Row],[Tonnes_t]]*tblMovement[[#This Row],[Grade_gpt]]/cfg_TroyOz)</f>
        <v/>
      </c>
      <c r="O322" s="59">
        <f>IF(tblMovement[[#This Row],[Is_Ore]]=1,tblMovement[[#This Row],[Contained_oz]],0)</f>
        <v/>
      </c>
    </row>
    <row r="323">
      <c r="A323" s="54" t="n"/>
      <c r="B323" s="61" t="n"/>
      <c r="C323" s="61" t="n"/>
      <c r="D323" s="61" t="n"/>
      <c r="E323" s="61" t="n"/>
      <c r="F323" s="55" t="n"/>
      <c r="G323" s="56" t="n"/>
      <c r="H323" s="55" t="n"/>
      <c r="I323" s="62" t="n"/>
      <c r="J323" s="58" t="n"/>
      <c r="K323" s="63">
        <f>IF(tblMovement[[#This Row],[Source]]="","",IFERROR(INDEX(tblSources[Type],MATCH(tblMovement[[#This Row],[Source]],tblSources[Source],0)),"?"))</f>
        <v/>
      </c>
      <c r="L323" s="63">
        <f>IF(tblMovement[[#This Row],[Destination]]="","",IFERROR(INDEX(tblDestinations[Type],MATCH(tblMovement[[#This Row],[Destination]],tblDestinations[Destination],0)),"?"))</f>
        <v/>
      </c>
      <c r="M323" s="64">
        <f>IF(tblMovement[[#This Row],[Material]]="","",IF(LEFT(tblMovement[[#This Row],[Material]],3)="Ore",1,0))</f>
        <v/>
      </c>
      <c r="N323" s="59">
        <f>IF(OR(tblMovement[[#This Row],[Tonnes_t]]="",tblMovement[[#This Row],[Grade_gpt]]=""),0,tblMovement[[#This Row],[Tonnes_t]]*tblMovement[[#This Row],[Grade_gpt]]/cfg_TroyOz)</f>
        <v/>
      </c>
      <c r="O323" s="59">
        <f>IF(tblMovement[[#This Row],[Is_Ore]]=1,tblMovement[[#This Row],[Contained_oz]],0)</f>
        <v/>
      </c>
    </row>
    <row r="324">
      <c r="A324" s="54" t="n"/>
      <c r="B324" s="61" t="n"/>
      <c r="C324" s="61" t="n"/>
      <c r="D324" s="61" t="n"/>
      <c r="E324" s="61" t="n"/>
      <c r="F324" s="55" t="n"/>
      <c r="G324" s="56" t="n"/>
      <c r="H324" s="55" t="n"/>
      <c r="I324" s="62" t="n"/>
      <c r="J324" s="58" t="n"/>
      <c r="K324" s="63">
        <f>IF(tblMovement[[#This Row],[Source]]="","",IFERROR(INDEX(tblSources[Type],MATCH(tblMovement[[#This Row],[Source]],tblSources[Source],0)),"?"))</f>
        <v/>
      </c>
      <c r="L324" s="63">
        <f>IF(tblMovement[[#This Row],[Destination]]="","",IFERROR(INDEX(tblDestinations[Type],MATCH(tblMovement[[#This Row],[Destination]],tblDestinations[Destination],0)),"?"))</f>
        <v/>
      </c>
      <c r="M324" s="64">
        <f>IF(tblMovement[[#This Row],[Material]]="","",IF(LEFT(tblMovement[[#This Row],[Material]],3)="Ore",1,0))</f>
        <v/>
      </c>
      <c r="N324" s="59">
        <f>IF(OR(tblMovement[[#This Row],[Tonnes_t]]="",tblMovement[[#This Row],[Grade_gpt]]=""),0,tblMovement[[#This Row],[Tonnes_t]]*tblMovement[[#This Row],[Grade_gpt]]/cfg_TroyOz)</f>
        <v/>
      </c>
      <c r="O324" s="59">
        <f>IF(tblMovement[[#This Row],[Is_Ore]]=1,tblMovement[[#This Row],[Contained_oz]],0)</f>
        <v/>
      </c>
    </row>
    <row r="325">
      <c r="A325" s="54" t="n"/>
      <c r="B325" s="61" t="n"/>
      <c r="C325" s="61" t="n"/>
      <c r="D325" s="61" t="n"/>
      <c r="E325" s="61" t="n"/>
      <c r="F325" s="55" t="n"/>
      <c r="G325" s="56" t="n"/>
      <c r="H325" s="55" t="n"/>
      <c r="I325" s="62" t="n"/>
      <c r="J325" s="58" t="n"/>
      <c r="K325" s="63">
        <f>IF(tblMovement[[#This Row],[Source]]="","",IFERROR(INDEX(tblSources[Type],MATCH(tblMovement[[#This Row],[Source]],tblSources[Source],0)),"?"))</f>
        <v/>
      </c>
      <c r="L325" s="63">
        <f>IF(tblMovement[[#This Row],[Destination]]="","",IFERROR(INDEX(tblDestinations[Type],MATCH(tblMovement[[#This Row],[Destination]],tblDestinations[Destination],0)),"?"))</f>
        <v/>
      </c>
      <c r="M325" s="64">
        <f>IF(tblMovement[[#This Row],[Material]]="","",IF(LEFT(tblMovement[[#This Row],[Material]],3)="Ore",1,0))</f>
        <v/>
      </c>
      <c r="N325" s="59">
        <f>IF(OR(tblMovement[[#This Row],[Tonnes_t]]="",tblMovement[[#This Row],[Grade_gpt]]=""),0,tblMovement[[#This Row],[Tonnes_t]]*tblMovement[[#This Row],[Grade_gpt]]/cfg_TroyOz)</f>
        <v/>
      </c>
      <c r="O325" s="59">
        <f>IF(tblMovement[[#This Row],[Is_Ore]]=1,tblMovement[[#This Row],[Contained_oz]],0)</f>
        <v/>
      </c>
    </row>
    <row r="326">
      <c r="A326" s="54" t="n"/>
      <c r="B326" s="61" t="n"/>
      <c r="C326" s="61" t="n"/>
      <c r="D326" s="61" t="n"/>
      <c r="E326" s="61" t="n"/>
      <c r="F326" s="55" t="n"/>
      <c r="G326" s="56" t="n"/>
      <c r="H326" s="55" t="n"/>
      <c r="I326" s="62" t="n"/>
      <c r="J326" s="58" t="n"/>
      <c r="K326" s="63">
        <f>IF(tblMovement[[#This Row],[Source]]="","",IFERROR(INDEX(tblSources[Type],MATCH(tblMovement[[#This Row],[Source]],tblSources[Source],0)),"?"))</f>
        <v/>
      </c>
      <c r="L326" s="63">
        <f>IF(tblMovement[[#This Row],[Destination]]="","",IFERROR(INDEX(tblDestinations[Type],MATCH(tblMovement[[#This Row],[Destination]],tblDestinations[Destination],0)),"?"))</f>
        <v/>
      </c>
      <c r="M326" s="64">
        <f>IF(tblMovement[[#This Row],[Material]]="","",IF(LEFT(tblMovement[[#This Row],[Material]],3)="Ore",1,0))</f>
        <v/>
      </c>
      <c r="N326" s="59">
        <f>IF(OR(tblMovement[[#This Row],[Tonnes_t]]="",tblMovement[[#This Row],[Grade_gpt]]=""),0,tblMovement[[#This Row],[Tonnes_t]]*tblMovement[[#This Row],[Grade_gpt]]/cfg_TroyOz)</f>
        <v/>
      </c>
      <c r="O326" s="59">
        <f>IF(tblMovement[[#This Row],[Is_Ore]]=1,tblMovement[[#This Row],[Contained_oz]],0)</f>
        <v/>
      </c>
    </row>
    <row r="327">
      <c r="A327" s="54" t="n"/>
      <c r="B327" s="61" t="n"/>
      <c r="C327" s="61" t="n"/>
      <c r="D327" s="61" t="n"/>
      <c r="E327" s="61" t="n"/>
      <c r="F327" s="55" t="n"/>
      <c r="G327" s="56" t="n"/>
      <c r="H327" s="55" t="n"/>
      <c r="I327" s="62" t="n"/>
      <c r="J327" s="58" t="n"/>
      <c r="K327" s="63">
        <f>IF(tblMovement[[#This Row],[Source]]="","",IFERROR(INDEX(tblSources[Type],MATCH(tblMovement[[#This Row],[Source]],tblSources[Source],0)),"?"))</f>
        <v/>
      </c>
      <c r="L327" s="63">
        <f>IF(tblMovement[[#This Row],[Destination]]="","",IFERROR(INDEX(tblDestinations[Type],MATCH(tblMovement[[#This Row],[Destination]],tblDestinations[Destination],0)),"?"))</f>
        <v/>
      </c>
      <c r="M327" s="64">
        <f>IF(tblMovement[[#This Row],[Material]]="","",IF(LEFT(tblMovement[[#This Row],[Material]],3)="Ore",1,0))</f>
        <v/>
      </c>
      <c r="N327" s="59">
        <f>IF(OR(tblMovement[[#This Row],[Tonnes_t]]="",tblMovement[[#This Row],[Grade_gpt]]=""),0,tblMovement[[#This Row],[Tonnes_t]]*tblMovement[[#This Row],[Grade_gpt]]/cfg_TroyOz)</f>
        <v/>
      </c>
      <c r="O327" s="59">
        <f>IF(tblMovement[[#This Row],[Is_Ore]]=1,tblMovement[[#This Row],[Contained_oz]],0)</f>
        <v/>
      </c>
    </row>
    <row r="328">
      <c r="A328" s="54" t="n"/>
      <c r="B328" s="61" t="n"/>
      <c r="C328" s="61" t="n"/>
      <c r="D328" s="61" t="n"/>
      <c r="E328" s="61" t="n"/>
      <c r="F328" s="55" t="n"/>
      <c r="G328" s="56" t="n"/>
      <c r="H328" s="55" t="n"/>
      <c r="I328" s="62" t="n"/>
      <c r="J328" s="58" t="n"/>
      <c r="K328" s="63">
        <f>IF(tblMovement[[#This Row],[Source]]="","",IFERROR(INDEX(tblSources[Type],MATCH(tblMovement[[#This Row],[Source]],tblSources[Source],0)),"?"))</f>
        <v/>
      </c>
      <c r="L328" s="63">
        <f>IF(tblMovement[[#This Row],[Destination]]="","",IFERROR(INDEX(tblDestinations[Type],MATCH(tblMovement[[#This Row],[Destination]],tblDestinations[Destination],0)),"?"))</f>
        <v/>
      </c>
      <c r="M328" s="64">
        <f>IF(tblMovement[[#This Row],[Material]]="","",IF(LEFT(tblMovement[[#This Row],[Material]],3)="Ore",1,0))</f>
        <v/>
      </c>
      <c r="N328" s="59">
        <f>IF(OR(tblMovement[[#This Row],[Tonnes_t]]="",tblMovement[[#This Row],[Grade_gpt]]=""),0,tblMovement[[#This Row],[Tonnes_t]]*tblMovement[[#This Row],[Grade_gpt]]/cfg_TroyOz)</f>
        <v/>
      </c>
      <c r="O328" s="59">
        <f>IF(tblMovement[[#This Row],[Is_Ore]]=1,tblMovement[[#This Row],[Contained_oz]],0)</f>
        <v/>
      </c>
    </row>
    <row r="329">
      <c r="A329" s="54" t="n"/>
      <c r="B329" s="61" t="n"/>
      <c r="C329" s="61" t="n"/>
      <c r="D329" s="61" t="n"/>
      <c r="E329" s="61" t="n"/>
      <c r="F329" s="55" t="n"/>
      <c r="G329" s="56" t="n"/>
      <c r="H329" s="55" t="n"/>
      <c r="I329" s="62" t="n"/>
      <c r="J329" s="58" t="n"/>
      <c r="K329" s="63">
        <f>IF(tblMovement[[#This Row],[Source]]="","",IFERROR(INDEX(tblSources[Type],MATCH(tblMovement[[#This Row],[Source]],tblSources[Source],0)),"?"))</f>
        <v/>
      </c>
      <c r="L329" s="63">
        <f>IF(tblMovement[[#This Row],[Destination]]="","",IFERROR(INDEX(tblDestinations[Type],MATCH(tblMovement[[#This Row],[Destination]],tblDestinations[Destination],0)),"?"))</f>
        <v/>
      </c>
      <c r="M329" s="64">
        <f>IF(tblMovement[[#This Row],[Material]]="","",IF(LEFT(tblMovement[[#This Row],[Material]],3)="Ore",1,0))</f>
        <v/>
      </c>
      <c r="N329" s="59">
        <f>IF(OR(tblMovement[[#This Row],[Tonnes_t]]="",tblMovement[[#This Row],[Grade_gpt]]=""),0,tblMovement[[#This Row],[Tonnes_t]]*tblMovement[[#This Row],[Grade_gpt]]/cfg_TroyOz)</f>
        <v/>
      </c>
      <c r="O329" s="59">
        <f>IF(tblMovement[[#This Row],[Is_Ore]]=1,tblMovement[[#This Row],[Contained_oz]],0)</f>
        <v/>
      </c>
    </row>
    <row r="330">
      <c r="A330" s="54" t="n"/>
      <c r="B330" s="61" t="n"/>
      <c r="C330" s="61" t="n"/>
      <c r="D330" s="61" t="n"/>
      <c r="E330" s="61" t="n"/>
      <c r="F330" s="55" t="n"/>
      <c r="G330" s="56" t="n"/>
      <c r="H330" s="55" t="n"/>
      <c r="I330" s="62" t="n"/>
      <c r="J330" s="58" t="n"/>
      <c r="K330" s="63">
        <f>IF(tblMovement[[#This Row],[Source]]="","",IFERROR(INDEX(tblSources[Type],MATCH(tblMovement[[#This Row],[Source]],tblSources[Source],0)),"?"))</f>
        <v/>
      </c>
      <c r="L330" s="63">
        <f>IF(tblMovement[[#This Row],[Destination]]="","",IFERROR(INDEX(tblDestinations[Type],MATCH(tblMovement[[#This Row],[Destination]],tblDestinations[Destination],0)),"?"))</f>
        <v/>
      </c>
      <c r="M330" s="64">
        <f>IF(tblMovement[[#This Row],[Material]]="","",IF(LEFT(tblMovement[[#This Row],[Material]],3)="Ore",1,0))</f>
        <v/>
      </c>
      <c r="N330" s="59">
        <f>IF(OR(tblMovement[[#This Row],[Tonnes_t]]="",tblMovement[[#This Row],[Grade_gpt]]=""),0,tblMovement[[#This Row],[Tonnes_t]]*tblMovement[[#This Row],[Grade_gpt]]/cfg_TroyOz)</f>
        <v/>
      </c>
      <c r="O330" s="59">
        <f>IF(tblMovement[[#This Row],[Is_Ore]]=1,tblMovement[[#This Row],[Contained_oz]],0)</f>
        <v/>
      </c>
    </row>
    <row r="331">
      <c r="A331" s="54" t="n"/>
      <c r="B331" s="61" t="n"/>
      <c r="C331" s="61" t="n"/>
      <c r="D331" s="61" t="n"/>
      <c r="E331" s="61" t="n"/>
      <c r="F331" s="55" t="n"/>
      <c r="G331" s="56" t="n"/>
      <c r="H331" s="55" t="n"/>
      <c r="I331" s="62" t="n"/>
      <c r="J331" s="58" t="n"/>
      <c r="K331" s="63">
        <f>IF(tblMovement[[#This Row],[Source]]="","",IFERROR(INDEX(tblSources[Type],MATCH(tblMovement[[#This Row],[Source]],tblSources[Source],0)),"?"))</f>
        <v/>
      </c>
      <c r="L331" s="63">
        <f>IF(tblMovement[[#This Row],[Destination]]="","",IFERROR(INDEX(tblDestinations[Type],MATCH(tblMovement[[#This Row],[Destination]],tblDestinations[Destination],0)),"?"))</f>
        <v/>
      </c>
      <c r="M331" s="64">
        <f>IF(tblMovement[[#This Row],[Material]]="","",IF(LEFT(tblMovement[[#This Row],[Material]],3)="Ore",1,0))</f>
        <v/>
      </c>
      <c r="N331" s="59">
        <f>IF(OR(tblMovement[[#This Row],[Tonnes_t]]="",tblMovement[[#This Row],[Grade_gpt]]=""),0,tblMovement[[#This Row],[Tonnes_t]]*tblMovement[[#This Row],[Grade_gpt]]/cfg_TroyOz)</f>
        <v/>
      </c>
      <c r="O331" s="59">
        <f>IF(tblMovement[[#This Row],[Is_Ore]]=1,tblMovement[[#This Row],[Contained_oz]],0)</f>
        <v/>
      </c>
    </row>
    <row r="332">
      <c r="A332" s="54" t="n"/>
      <c r="B332" s="61" t="n"/>
      <c r="C332" s="61" t="n"/>
      <c r="D332" s="61" t="n"/>
      <c r="E332" s="61" t="n"/>
      <c r="F332" s="55" t="n"/>
      <c r="G332" s="56" t="n"/>
      <c r="H332" s="55" t="n"/>
      <c r="I332" s="62" t="n"/>
      <c r="J332" s="58" t="n"/>
      <c r="K332" s="63">
        <f>IF(tblMovement[[#This Row],[Source]]="","",IFERROR(INDEX(tblSources[Type],MATCH(tblMovement[[#This Row],[Source]],tblSources[Source],0)),"?"))</f>
        <v/>
      </c>
      <c r="L332" s="63">
        <f>IF(tblMovement[[#This Row],[Destination]]="","",IFERROR(INDEX(tblDestinations[Type],MATCH(tblMovement[[#This Row],[Destination]],tblDestinations[Destination],0)),"?"))</f>
        <v/>
      </c>
      <c r="M332" s="64">
        <f>IF(tblMovement[[#This Row],[Material]]="","",IF(LEFT(tblMovement[[#This Row],[Material]],3)="Ore",1,0))</f>
        <v/>
      </c>
      <c r="N332" s="59">
        <f>IF(OR(tblMovement[[#This Row],[Tonnes_t]]="",tblMovement[[#This Row],[Grade_gpt]]=""),0,tblMovement[[#This Row],[Tonnes_t]]*tblMovement[[#This Row],[Grade_gpt]]/cfg_TroyOz)</f>
        <v/>
      </c>
      <c r="O332" s="59">
        <f>IF(tblMovement[[#This Row],[Is_Ore]]=1,tblMovement[[#This Row],[Contained_oz]],0)</f>
        <v/>
      </c>
    </row>
    <row r="333">
      <c r="A333" s="54" t="n"/>
      <c r="B333" s="61" t="n"/>
      <c r="C333" s="61" t="n"/>
      <c r="D333" s="61" t="n"/>
      <c r="E333" s="61" t="n"/>
      <c r="F333" s="55" t="n"/>
      <c r="G333" s="56" t="n"/>
      <c r="H333" s="55" t="n"/>
      <c r="I333" s="62" t="n"/>
      <c r="J333" s="58" t="n"/>
      <c r="K333" s="63">
        <f>IF(tblMovement[[#This Row],[Source]]="","",IFERROR(INDEX(tblSources[Type],MATCH(tblMovement[[#This Row],[Source]],tblSources[Source],0)),"?"))</f>
        <v/>
      </c>
      <c r="L333" s="63">
        <f>IF(tblMovement[[#This Row],[Destination]]="","",IFERROR(INDEX(tblDestinations[Type],MATCH(tblMovement[[#This Row],[Destination]],tblDestinations[Destination],0)),"?"))</f>
        <v/>
      </c>
      <c r="M333" s="64">
        <f>IF(tblMovement[[#This Row],[Material]]="","",IF(LEFT(tblMovement[[#This Row],[Material]],3)="Ore",1,0))</f>
        <v/>
      </c>
      <c r="N333" s="59">
        <f>IF(OR(tblMovement[[#This Row],[Tonnes_t]]="",tblMovement[[#This Row],[Grade_gpt]]=""),0,tblMovement[[#This Row],[Tonnes_t]]*tblMovement[[#This Row],[Grade_gpt]]/cfg_TroyOz)</f>
        <v/>
      </c>
      <c r="O333" s="59">
        <f>IF(tblMovement[[#This Row],[Is_Ore]]=1,tblMovement[[#This Row],[Contained_oz]],0)</f>
        <v/>
      </c>
    </row>
    <row r="334">
      <c r="A334" s="54" t="n"/>
      <c r="B334" s="61" t="n"/>
      <c r="C334" s="61" t="n"/>
      <c r="D334" s="61" t="n"/>
      <c r="E334" s="61" t="n"/>
      <c r="F334" s="55" t="n"/>
      <c r="G334" s="56" t="n"/>
      <c r="H334" s="55" t="n"/>
      <c r="I334" s="62" t="n"/>
      <c r="J334" s="58" t="n"/>
      <c r="K334" s="63">
        <f>IF(tblMovement[[#This Row],[Source]]="","",IFERROR(INDEX(tblSources[Type],MATCH(tblMovement[[#This Row],[Source]],tblSources[Source],0)),"?"))</f>
        <v/>
      </c>
      <c r="L334" s="63">
        <f>IF(tblMovement[[#This Row],[Destination]]="","",IFERROR(INDEX(tblDestinations[Type],MATCH(tblMovement[[#This Row],[Destination]],tblDestinations[Destination],0)),"?"))</f>
        <v/>
      </c>
      <c r="M334" s="64">
        <f>IF(tblMovement[[#This Row],[Material]]="","",IF(LEFT(tblMovement[[#This Row],[Material]],3)="Ore",1,0))</f>
        <v/>
      </c>
      <c r="N334" s="59">
        <f>IF(OR(tblMovement[[#This Row],[Tonnes_t]]="",tblMovement[[#This Row],[Grade_gpt]]=""),0,tblMovement[[#This Row],[Tonnes_t]]*tblMovement[[#This Row],[Grade_gpt]]/cfg_TroyOz)</f>
        <v/>
      </c>
      <c r="O334" s="59">
        <f>IF(tblMovement[[#This Row],[Is_Ore]]=1,tblMovement[[#This Row],[Contained_oz]],0)</f>
        <v/>
      </c>
    </row>
    <row r="335">
      <c r="A335" s="54" t="n"/>
      <c r="B335" s="61" t="n"/>
      <c r="C335" s="61" t="n"/>
      <c r="D335" s="61" t="n"/>
      <c r="E335" s="61" t="n"/>
      <c r="F335" s="55" t="n"/>
      <c r="G335" s="56" t="n"/>
      <c r="H335" s="55" t="n"/>
      <c r="I335" s="62" t="n"/>
      <c r="J335" s="58" t="n"/>
      <c r="K335" s="63">
        <f>IF(tblMovement[[#This Row],[Source]]="","",IFERROR(INDEX(tblSources[Type],MATCH(tblMovement[[#This Row],[Source]],tblSources[Source],0)),"?"))</f>
        <v/>
      </c>
      <c r="L335" s="63">
        <f>IF(tblMovement[[#This Row],[Destination]]="","",IFERROR(INDEX(tblDestinations[Type],MATCH(tblMovement[[#This Row],[Destination]],tblDestinations[Destination],0)),"?"))</f>
        <v/>
      </c>
      <c r="M335" s="64">
        <f>IF(tblMovement[[#This Row],[Material]]="","",IF(LEFT(tblMovement[[#This Row],[Material]],3)="Ore",1,0))</f>
        <v/>
      </c>
      <c r="N335" s="59">
        <f>IF(OR(tblMovement[[#This Row],[Tonnes_t]]="",tblMovement[[#This Row],[Grade_gpt]]=""),0,tblMovement[[#This Row],[Tonnes_t]]*tblMovement[[#This Row],[Grade_gpt]]/cfg_TroyOz)</f>
        <v/>
      </c>
      <c r="O335" s="59">
        <f>IF(tblMovement[[#This Row],[Is_Ore]]=1,tblMovement[[#This Row],[Contained_oz]],0)</f>
        <v/>
      </c>
    </row>
    <row r="336">
      <c r="A336" s="54" t="n"/>
      <c r="B336" s="61" t="n"/>
      <c r="C336" s="61" t="n"/>
      <c r="D336" s="61" t="n"/>
      <c r="E336" s="61" t="n"/>
      <c r="F336" s="55" t="n"/>
      <c r="G336" s="56" t="n"/>
      <c r="H336" s="55" t="n"/>
      <c r="I336" s="62" t="n"/>
      <c r="J336" s="58" t="n"/>
      <c r="K336" s="63">
        <f>IF(tblMovement[[#This Row],[Source]]="","",IFERROR(INDEX(tblSources[Type],MATCH(tblMovement[[#This Row],[Source]],tblSources[Source],0)),"?"))</f>
        <v/>
      </c>
      <c r="L336" s="63">
        <f>IF(tblMovement[[#This Row],[Destination]]="","",IFERROR(INDEX(tblDestinations[Type],MATCH(tblMovement[[#This Row],[Destination]],tblDestinations[Destination],0)),"?"))</f>
        <v/>
      </c>
      <c r="M336" s="64">
        <f>IF(tblMovement[[#This Row],[Material]]="","",IF(LEFT(tblMovement[[#This Row],[Material]],3)="Ore",1,0))</f>
        <v/>
      </c>
      <c r="N336" s="59">
        <f>IF(OR(tblMovement[[#This Row],[Tonnes_t]]="",tblMovement[[#This Row],[Grade_gpt]]=""),0,tblMovement[[#This Row],[Tonnes_t]]*tblMovement[[#This Row],[Grade_gpt]]/cfg_TroyOz)</f>
        <v/>
      </c>
      <c r="O336" s="59">
        <f>IF(tblMovement[[#This Row],[Is_Ore]]=1,tblMovement[[#This Row],[Contained_oz]],0)</f>
        <v/>
      </c>
    </row>
    <row r="337">
      <c r="A337" s="54" t="n"/>
      <c r="B337" s="61" t="n"/>
      <c r="C337" s="61" t="n"/>
      <c r="D337" s="61" t="n"/>
      <c r="E337" s="61" t="n"/>
      <c r="F337" s="55" t="n"/>
      <c r="G337" s="56" t="n"/>
      <c r="H337" s="55" t="n"/>
      <c r="I337" s="62" t="n"/>
      <c r="J337" s="58" t="n"/>
      <c r="K337" s="63">
        <f>IF(tblMovement[[#This Row],[Source]]="","",IFERROR(INDEX(tblSources[Type],MATCH(tblMovement[[#This Row],[Source]],tblSources[Source],0)),"?"))</f>
        <v/>
      </c>
      <c r="L337" s="63">
        <f>IF(tblMovement[[#This Row],[Destination]]="","",IFERROR(INDEX(tblDestinations[Type],MATCH(tblMovement[[#This Row],[Destination]],tblDestinations[Destination],0)),"?"))</f>
        <v/>
      </c>
      <c r="M337" s="64">
        <f>IF(tblMovement[[#This Row],[Material]]="","",IF(LEFT(tblMovement[[#This Row],[Material]],3)="Ore",1,0))</f>
        <v/>
      </c>
      <c r="N337" s="59">
        <f>IF(OR(tblMovement[[#This Row],[Tonnes_t]]="",tblMovement[[#This Row],[Grade_gpt]]=""),0,tblMovement[[#This Row],[Tonnes_t]]*tblMovement[[#This Row],[Grade_gpt]]/cfg_TroyOz)</f>
        <v/>
      </c>
      <c r="O337" s="59">
        <f>IF(tblMovement[[#This Row],[Is_Ore]]=1,tblMovement[[#This Row],[Contained_oz]],0)</f>
        <v/>
      </c>
    </row>
    <row r="338">
      <c r="A338" s="54" t="n"/>
      <c r="B338" s="61" t="n"/>
      <c r="C338" s="61" t="n"/>
      <c r="D338" s="61" t="n"/>
      <c r="E338" s="61" t="n"/>
      <c r="F338" s="55" t="n"/>
      <c r="G338" s="56" t="n"/>
      <c r="H338" s="55" t="n"/>
      <c r="I338" s="62" t="n"/>
      <c r="J338" s="58" t="n"/>
      <c r="K338" s="63">
        <f>IF(tblMovement[[#This Row],[Source]]="","",IFERROR(INDEX(tblSources[Type],MATCH(tblMovement[[#This Row],[Source]],tblSources[Source],0)),"?"))</f>
        <v/>
      </c>
      <c r="L338" s="63">
        <f>IF(tblMovement[[#This Row],[Destination]]="","",IFERROR(INDEX(tblDestinations[Type],MATCH(tblMovement[[#This Row],[Destination]],tblDestinations[Destination],0)),"?"))</f>
        <v/>
      </c>
      <c r="M338" s="64">
        <f>IF(tblMovement[[#This Row],[Material]]="","",IF(LEFT(tblMovement[[#This Row],[Material]],3)="Ore",1,0))</f>
        <v/>
      </c>
      <c r="N338" s="59">
        <f>IF(OR(tblMovement[[#This Row],[Tonnes_t]]="",tblMovement[[#This Row],[Grade_gpt]]=""),0,tblMovement[[#This Row],[Tonnes_t]]*tblMovement[[#This Row],[Grade_gpt]]/cfg_TroyOz)</f>
        <v/>
      </c>
      <c r="O338" s="59">
        <f>IF(tblMovement[[#This Row],[Is_Ore]]=1,tblMovement[[#This Row],[Contained_oz]],0)</f>
        <v/>
      </c>
    </row>
    <row r="339">
      <c r="A339" s="54" t="n"/>
      <c r="B339" s="61" t="n"/>
      <c r="C339" s="61" t="n"/>
      <c r="D339" s="61" t="n"/>
      <c r="E339" s="61" t="n"/>
      <c r="F339" s="55" t="n"/>
      <c r="G339" s="56" t="n"/>
      <c r="H339" s="55" t="n"/>
      <c r="I339" s="62" t="n"/>
      <c r="J339" s="58" t="n"/>
      <c r="K339" s="63">
        <f>IF(tblMovement[[#This Row],[Source]]="","",IFERROR(INDEX(tblSources[Type],MATCH(tblMovement[[#This Row],[Source]],tblSources[Source],0)),"?"))</f>
        <v/>
      </c>
      <c r="L339" s="63">
        <f>IF(tblMovement[[#This Row],[Destination]]="","",IFERROR(INDEX(tblDestinations[Type],MATCH(tblMovement[[#This Row],[Destination]],tblDestinations[Destination],0)),"?"))</f>
        <v/>
      </c>
      <c r="M339" s="64">
        <f>IF(tblMovement[[#This Row],[Material]]="","",IF(LEFT(tblMovement[[#This Row],[Material]],3)="Ore",1,0))</f>
        <v/>
      </c>
      <c r="N339" s="59">
        <f>IF(OR(tblMovement[[#This Row],[Tonnes_t]]="",tblMovement[[#This Row],[Grade_gpt]]=""),0,tblMovement[[#This Row],[Tonnes_t]]*tblMovement[[#This Row],[Grade_gpt]]/cfg_TroyOz)</f>
        <v/>
      </c>
      <c r="O339" s="59">
        <f>IF(tblMovement[[#This Row],[Is_Ore]]=1,tblMovement[[#This Row],[Contained_oz]],0)</f>
        <v/>
      </c>
    </row>
    <row r="340">
      <c r="A340" s="54" t="n"/>
      <c r="B340" s="61" t="n"/>
      <c r="C340" s="61" t="n"/>
      <c r="D340" s="61" t="n"/>
      <c r="E340" s="61" t="n"/>
      <c r="F340" s="55" t="n"/>
      <c r="G340" s="56" t="n"/>
      <c r="H340" s="55" t="n"/>
      <c r="I340" s="62" t="n"/>
      <c r="J340" s="58" t="n"/>
      <c r="K340" s="63">
        <f>IF(tblMovement[[#This Row],[Source]]="","",IFERROR(INDEX(tblSources[Type],MATCH(tblMovement[[#This Row],[Source]],tblSources[Source],0)),"?"))</f>
        <v/>
      </c>
      <c r="L340" s="63">
        <f>IF(tblMovement[[#This Row],[Destination]]="","",IFERROR(INDEX(tblDestinations[Type],MATCH(tblMovement[[#This Row],[Destination]],tblDestinations[Destination],0)),"?"))</f>
        <v/>
      </c>
      <c r="M340" s="64">
        <f>IF(tblMovement[[#This Row],[Material]]="","",IF(LEFT(tblMovement[[#This Row],[Material]],3)="Ore",1,0))</f>
        <v/>
      </c>
      <c r="N340" s="59">
        <f>IF(OR(tblMovement[[#This Row],[Tonnes_t]]="",tblMovement[[#This Row],[Grade_gpt]]=""),0,tblMovement[[#This Row],[Tonnes_t]]*tblMovement[[#This Row],[Grade_gpt]]/cfg_TroyOz)</f>
        <v/>
      </c>
      <c r="O340" s="59">
        <f>IF(tblMovement[[#This Row],[Is_Ore]]=1,tblMovement[[#This Row],[Contained_oz]],0)</f>
        <v/>
      </c>
    </row>
    <row r="341">
      <c r="A341" s="54" t="n"/>
      <c r="B341" s="61" t="n"/>
      <c r="C341" s="61" t="n"/>
      <c r="D341" s="61" t="n"/>
      <c r="E341" s="61" t="n"/>
      <c r="F341" s="55" t="n"/>
      <c r="G341" s="56" t="n"/>
      <c r="H341" s="55" t="n"/>
      <c r="I341" s="62" t="n"/>
      <c r="J341" s="58" t="n"/>
      <c r="K341" s="63">
        <f>IF(tblMovement[[#This Row],[Source]]="","",IFERROR(INDEX(tblSources[Type],MATCH(tblMovement[[#This Row],[Source]],tblSources[Source],0)),"?"))</f>
        <v/>
      </c>
      <c r="L341" s="63">
        <f>IF(tblMovement[[#This Row],[Destination]]="","",IFERROR(INDEX(tblDestinations[Type],MATCH(tblMovement[[#This Row],[Destination]],tblDestinations[Destination],0)),"?"))</f>
        <v/>
      </c>
      <c r="M341" s="64">
        <f>IF(tblMovement[[#This Row],[Material]]="","",IF(LEFT(tblMovement[[#This Row],[Material]],3)="Ore",1,0))</f>
        <v/>
      </c>
      <c r="N341" s="59">
        <f>IF(OR(tblMovement[[#This Row],[Tonnes_t]]="",tblMovement[[#This Row],[Grade_gpt]]=""),0,tblMovement[[#This Row],[Tonnes_t]]*tblMovement[[#This Row],[Grade_gpt]]/cfg_TroyOz)</f>
        <v/>
      </c>
      <c r="O341" s="59">
        <f>IF(tblMovement[[#This Row],[Is_Ore]]=1,tblMovement[[#This Row],[Contained_oz]],0)</f>
        <v/>
      </c>
    </row>
    <row r="342">
      <c r="A342" s="54" t="n"/>
      <c r="B342" s="61" t="n"/>
      <c r="C342" s="61" t="n"/>
      <c r="D342" s="61" t="n"/>
      <c r="E342" s="61" t="n"/>
      <c r="F342" s="55" t="n"/>
      <c r="G342" s="56" t="n"/>
      <c r="H342" s="55" t="n"/>
      <c r="I342" s="62" t="n"/>
      <c r="J342" s="58" t="n"/>
      <c r="K342" s="63">
        <f>IF(tblMovement[[#This Row],[Source]]="","",IFERROR(INDEX(tblSources[Type],MATCH(tblMovement[[#This Row],[Source]],tblSources[Source],0)),"?"))</f>
        <v/>
      </c>
      <c r="L342" s="63">
        <f>IF(tblMovement[[#This Row],[Destination]]="","",IFERROR(INDEX(tblDestinations[Type],MATCH(tblMovement[[#This Row],[Destination]],tblDestinations[Destination],0)),"?"))</f>
        <v/>
      </c>
      <c r="M342" s="64">
        <f>IF(tblMovement[[#This Row],[Material]]="","",IF(LEFT(tblMovement[[#This Row],[Material]],3)="Ore",1,0))</f>
        <v/>
      </c>
      <c r="N342" s="59">
        <f>IF(OR(tblMovement[[#This Row],[Tonnes_t]]="",tblMovement[[#This Row],[Grade_gpt]]=""),0,tblMovement[[#This Row],[Tonnes_t]]*tblMovement[[#This Row],[Grade_gpt]]/cfg_TroyOz)</f>
        <v/>
      </c>
      <c r="O342" s="59">
        <f>IF(tblMovement[[#This Row],[Is_Ore]]=1,tblMovement[[#This Row],[Contained_oz]],0)</f>
        <v/>
      </c>
    </row>
    <row r="343">
      <c r="A343" s="54" t="n"/>
      <c r="B343" s="61" t="n"/>
      <c r="C343" s="61" t="n"/>
      <c r="D343" s="61" t="n"/>
      <c r="E343" s="61" t="n"/>
      <c r="F343" s="55" t="n"/>
      <c r="G343" s="56" t="n"/>
      <c r="H343" s="55" t="n"/>
      <c r="I343" s="62" t="n"/>
      <c r="J343" s="58" t="n"/>
      <c r="K343" s="63">
        <f>IF(tblMovement[[#This Row],[Source]]="","",IFERROR(INDEX(tblSources[Type],MATCH(tblMovement[[#This Row],[Source]],tblSources[Source],0)),"?"))</f>
        <v/>
      </c>
      <c r="L343" s="63">
        <f>IF(tblMovement[[#This Row],[Destination]]="","",IFERROR(INDEX(tblDestinations[Type],MATCH(tblMovement[[#This Row],[Destination]],tblDestinations[Destination],0)),"?"))</f>
        <v/>
      </c>
      <c r="M343" s="64">
        <f>IF(tblMovement[[#This Row],[Material]]="","",IF(LEFT(tblMovement[[#This Row],[Material]],3)="Ore",1,0))</f>
        <v/>
      </c>
      <c r="N343" s="59">
        <f>IF(OR(tblMovement[[#This Row],[Tonnes_t]]="",tblMovement[[#This Row],[Grade_gpt]]=""),0,tblMovement[[#This Row],[Tonnes_t]]*tblMovement[[#This Row],[Grade_gpt]]/cfg_TroyOz)</f>
        <v/>
      </c>
      <c r="O343" s="59">
        <f>IF(tblMovement[[#This Row],[Is_Ore]]=1,tblMovement[[#This Row],[Contained_oz]],0)</f>
        <v/>
      </c>
    </row>
    <row r="344">
      <c r="A344" s="54" t="n"/>
      <c r="B344" s="61" t="n"/>
      <c r="C344" s="61" t="n"/>
      <c r="D344" s="61" t="n"/>
      <c r="E344" s="61" t="n"/>
      <c r="F344" s="55" t="n"/>
      <c r="G344" s="56" t="n"/>
      <c r="H344" s="55" t="n"/>
      <c r="I344" s="62" t="n"/>
      <c r="J344" s="58" t="n"/>
      <c r="K344" s="63">
        <f>IF(tblMovement[[#This Row],[Source]]="","",IFERROR(INDEX(tblSources[Type],MATCH(tblMovement[[#This Row],[Source]],tblSources[Source],0)),"?"))</f>
        <v/>
      </c>
      <c r="L344" s="63">
        <f>IF(tblMovement[[#This Row],[Destination]]="","",IFERROR(INDEX(tblDestinations[Type],MATCH(tblMovement[[#This Row],[Destination]],tblDestinations[Destination],0)),"?"))</f>
        <v/>
      </c>
      <c r="M344" s="64">
        <f>IF(tblMovement[[#This Row],[Material]]="","",IF(LEFT(tblMovement[[#This Row],[Material]],3)="Ore",1,0))</f>
        <v/>
      </c>
      <c r="N344" s="59">
        <f>IF(OR(tblMovement[[#This Row],[Tonnes_t]]="",tblMovement[[#This Row],[Grade_gpt]]=""),0,tblMovement[[#This Row],[Tonnes_t]]*tblMovement[[#This Row],[Grade_gpt]]/cfg_TroyOz)</f>
        <v/>
      </c>
      <c r="O344" s="59">
        <f>IF(tblMovement[[#This Row],[Is_Ore]]=1,tblMovement[[#This Row],[Contained_oz]],0)</f>
        <v/>
      </c>
    </row>
    <row r="345">
      <c r="A345" s="54" t="n"/>
      <c r="B345" s="61" t="n"/>
      <c r="C345" s="61" t="n"/>
      <c r="D345" s="61" t="n"/>
      <c r="E345" s="61" t="n"/>
      <c r="F345" s="55" t="n"/>
      <c r="G345" s="56" t="n"/>
      <c r="H345" s="55" t="n"/>
      <c r="I345" s="62" t="n"/>
      <c r="J345" s="58" t="n"/>
      <c r="K345" s="63">
        <f>IF(tblMovement[[#This Row],[Source]]="","",IFERROR(INDEX(tblSources[Type],MATCH(tblMovement[[#This Row],[Source]],tblSources[Source],0)),"?"))</f>
        <v/>
      </c>
      <c r="L345" s="63">
        <f>IF(tblMovement[[#This Row],[Destination]]="","",IFERROR(INDEX(tblDestinations[Type],MATCH(tblMovement[[#This Row],[Destination]],tblDestinations[Destination],0)),"?"))</f>
        <v/>
      </c>
      <c r="M345" s="64">
        <f>IF(tblMovement[[#This Row],[Material]]="","",IF(LEFT(tblMovement[[#This Row],[Material]],3)="Ore",1,0))</f>
        <v/>
      </c>
      <c r="N345" s="59">
        <f>IF(OR(tblMovement[[#This Row],[Tonnes_t]]="",tblMovement[[#This Row],[Grade_gpt]]=""),0,tblMovement[[#This Row],[Tonnes_t]]*tblMovement[[#This Row],[Grade_gpt]]/cfg_TroyOz)</f>
        <v/>
      </c>
      <c r="O345" s="59">
        <f>IF(tblMovement[[#This Row],[Is_Ore]]=1,tblMovement[[#This Row],[Contained_oz]],0)</f>
        <v/>
      </c>
    </row>
    <row r="346">
      <c r="A346" s="54" t="n"/>
      <c r="B346" s="61" t="n"/>
      <c r="C346" s="61" t="n"/>
      <c r="D346" s="61" t="n"/>
      <c r="E346" s="61" t="n"/>
      <c r="F346" s="55" t="n"/>
      <c r="G346" s="56" t="n"/>
      <c r="H346" s="55" t="n"/>
      <c r="I346" s="62" t="n"/>
      <c r="J346" s="58" t="n"/>
      <c r="K346" s="63">
        <f>IF(tblMovement[[#This Row],[Source]]="","",IFERROR(INDEX(tblSources[Type],MATCH(tblMovement[[#This Row],[Source]],tblSources[Source],0)),"?"))</f>
        <v/>
      </c>
      <c r="L346" s="63">
        <f>IF(tblMovement[[#This Row],[Destination]]="","",IFERROR(INDEX(tblDestinations[Type],MATCH(tblMovement[[#This Row],[Destination]],tblDestinations[Destination],0)),"?"))</f>
        <v/>
      </c>
      <c r="M346" s="64">
        <f>IF(tblMovement[[#This Row],[Material]]="","",IF(LEFT(tblMovement[[#This Row],[Material]],3)="Ore",1,0))</f>
        <v/>
      </c>
      <c r="N346" s="59">
        <f>IF(OR(tblMovement[[#This Row],[Tonnes_t]]="",tblMovement[[#This Row],[Grade_gpt]]=""),0,tblMovement[[#This Row],[Tonnes_t]]*tblMovement[[#This Row],[Grade_gpt]]/cfg_TroyOz)</f>
        <v/>
      </c>
      <c r="O346" s="59">
        <f>IF(tblMovement[[#This Row],[Is_Ore]]=1,tblMovement[[#This Row],[Contained_oz]],0)</f>
        <v/>
      </c>
    </row>
    <row r="347">
      <c r="A347" s="54" t="n"/>
      <c r="B347" s="61" t="n"/>
      <c r="C347" s="61" t="n"/>
      <c r="D347" s="61" t="n"/>
      <c r="E347" s="61" t="n"/>
      <c r="F347" s="55" t="n"/>
      <c r="G347" s="56" t="n"/>
      <c r="H347" s="55" t="n"/>
      <c r="I347" s="62" t="n"/>
      <c r="J347" s="58" t="n"/>
      <c r="K347" s="63">
        <f>IF(tblMovement[[#This Row],[Source]]="","",IFERROR(INDEX(tblSources[Type],MATCH(tblMovement[[#This Row],[Source]],tblSources[Source],0)),"?"))</f>
        <v/>
      </c>
      <c r="L347" s="63">
        <f>IF(tblMovement[[#This Row],[Destination]]="","",IFERROR(INDEX(tblDestinations[Type],MATCH(tblMovement[[#This Row],[Destination]],tblDestinations[Destination],0)),"?"))</f>
        <v/>
      </c>
      <c r="M347" s="64">
        <f>IF(tblMovement[[#This Row],[Material]]="","",IF(LEFT(tblMovement[[#This Row],[Material]],3)="Ore",1,0))</f>
        <v/>
      </c>
      <c r="N347" s="59">
        <f>IF(OR(tblMovement[[#This Row],[Tonnes_t]]="",tblMovement[[#This Row],[Grade_gpt]]=""),0,tblMovement[[#This Row],[Tonnes_t]]*tblMovement[[#This Row],[Grade_gpt]]/cfg_TroyOz)</f>
        <v/>
      </c>
      <c r="O347" s="59">
        <f>IF(tblMovement[[#This Row],[Is_Ore]]=1,tblMovement[[#This Row],[Contained_oz]],0)</f>
        <v/>
      </c>
    </row>
    <row r="348">
      <c r="A348" s="54" t="n"/>
      <c r="B348" s="61" t="n"/>
      <c r="C348" s="61" t="n"/>
      <c r="D348" s="61" t="n"/>
      <c r="E348" s="61" t="n"/>
      <c r="F348" s="55" t="n"/>
      <c r="G348" s="56" t="n"/>
      <c r="H348" s="55" t="n"/>
      <c r="I348" s="62" t="n"/>
      <c r="J348" s="58" t="n"/>
      <c r="K348" s="63">
        <f>IF(tblMovement[[#This Row],[Source]]="","",IFERROR(INDEX(tblSources[Type],MATCH(tblMovement[[#This Row],[Source]],tblSources[Source],0)),"?"))</f>
        <v/>
      </c>
      <c r="L348" s="63">
        <f>IF(tblMovement[[#This Row],[Destination]]="","",IFERROR(INDEX(tblDestinations[Type],MATCH(tblMovement[[#This Row],[Destination]],tblDestinations[Destination],0)),"?"))</f>
        <v/>
      </c>
      <c r="M348" s="64">
        <f>IF(tblMovement[[#This Row],[Material]]="","",IF(LEFT(tblMovement[[#This Row],[Material]],3)="Ore",1,0))</f>
        <v/>
      </c>
      <c r="N348" s="59">
        <f>IF(OR(tblMovement[[#This Row],[Tonnes_t]]="",tblMovement[[#This Row],[Grade_gpt]]=""),0,tblMovement[[#This Row],[Tonnes_t]]*tblMovement[[#This Row],[Grade_gpt]]/cfg_TroyOz)</f>
        <v/>
      </c>
      <c r="O348" s="59">
        <f>IF(tblMovement[[#This Row],[Is_Ore]]=1,tblMovement[[#This Row],[Contained_oz]],0)</f>
        <v/>
      </c>
    </row>
    <row r="349">
      <c r="A349" s="54" t="n"/>
      <c r="B349" s="61" t="n"/>
      <c r="C349" s="61" t="n"/>
      <c r="D349" s="61" t="n"/>
      <c r="E349" s="61" t="n"/>
      <c r="F349" s="55" t="n"/>
      <c r="G349" s="56" t="n"/>
      <c r="H349" s="55" t="n"/>
      <c r="I349" s="62" t="n"/>
      <c r="J349" s="58" t="n"/>
      <c r="K349" s="63">
        <f>IF(tblMovement[[#This Row],[Source]]="","",IFERROR(INDEX(tblSources[Type],MATCH(tblMovement[[#This Row],[Source]],tblSources[Source],0)),"?"))</f>
        <v/>
      </c>
      <c r="L349" s="63">
        <f>IF(tblMovement[[#This Row],[Destination]]="","",IFERROR(INDEX(tblDestinations[Type],MATCH(tblMovement[[#This Row],[Destination]],tblDestinations[Destination],0)),"?"))</f>
        <v/>
      </c>
      <c r="M349" s="64">
        <f>IF(tblMovement[[#This Row],[Material]]="","",IF(LEFT(tblMovement[[#This Row],[Material]],3)="Ore",1,0))</f>
        <v/>
      </c>
      <c r="N349" s="59">
        <f>IF(OR(tblMovement[[#This Row],[Tonnes_t]]="",tblMovement[[#This Row],[Grade_gpt]]=""),0,tblMovement[[#This Row],[Tonnes_t]]*tblMovement[[#This Row],[Grade_gpt]]/cfg_TroyOz)</f>
        <v/>
      </c>
      <c r="O349" s="59">
        <f>IF(tblMovement[[#This Row],[Is_Ore]]=1,tblMovement[[#This Row],[Contained_oz]],0)</f>
        <v/>
      </c>
    </row>
    <row r="350">
      <c r="A350" s="54" t="n"/>
      <c r="B350" s="61" t="n"/>
      <c r="C350" s="61" t="n"/>
      <c r="D350" s="61" t="n"/>
      <c r="E350" s="61" t="n"/>
      <c r="F350" s="55" t="n"/>
      <c r="G350" s="56" t="n"/>
      <c r="H350" s="55" t="n"/>
      <c r="I350" s="62" t="n"/>
      <c r="J350" s="58" t="n"/>
      <c r="K350" s="63">
        <f>IF(tblMovement[[#This Row],[Source]]="","",IFERROR(INDEX(tblSources[Type],MATCH(tblMovement[[#This Row],[Source]],tblSources[Source],0)),"?"))</f>
        <v/>
      </c>
      <c r="L350" s="63">
        <f>IF(tblMovement[[#This Row],[Destination]]="","",IFERROR(INDEX(tblDestinations[Type],MATCH(tblMovement[[#This Row],[Destination]],tblDestinations[Destination],0)),"?"))</f>
        <v/>
      </c>
      <c r="M350" s="64">
        <f>IF(tblMovement[[#This Row],[Material]]="","",IF(LEFT(tblMovement[[#This Row],[Material]],3)="Ore",1,0))</f>
        <v/>
      </c>
      <c r="N350" s="59">
        <f>IF(OR(tblMovement[[#This Row],[Tonnes_t]]="",tblMovement[[#This Row],[Grade_gpt]]=""),0,tblMovement[[#This Row],[Tonnes_t]]*tblMovement[[#This Row],[Grade_gpt]]/cfg_TroyOz)</f>
        <v/>
      </c>
      <c r="O350" s="59">
        <f>IF(tblMovement[[#This Row],[Is_Ore]]=1,tblMovement[[#This Row],[Contained_oz]],0)</f>
        <v/>
      </c>
    </row>
    <row r="351">
      <c r="A351" s="54" t="n"/>
      <c r="B351" s="61" t="n"/>
      <c r="C351" s="61" t="n"/>
      <c r="D351" s="61" t="n"/>
      <c r="E351" s="61" t="n"/>
      <c r="F351" s="55" t="n"/>
      <c r="G351" s="56" t="n"/>
      <c r="H351" s="55" t="n"/>
      <c r="I351" s="62" t="n"/>
      <c r="J351" s="58" t="n"/>
      <c r="K351" s="63">
        <f>IF(tblMovement[[#This Row],[Source]]="","",IFERROR(INDEX(tblSources[Type],MATCH(tblMovement[[#This Row],[Source]],tblSources[Source],0)),"?"))</f>
        <v/>
      </c>
      <c r="L351" s="63">
        <f>IF(tblMovement[[#This Row],[Destination]]="","",IFERROR(INDEX(tblDestinations[Type],MATCH(tblMovement[[#This Row],[Destination]],tblDestinations[Destination],0)),"?"))</f>
        <v/>
      </c>
      <c r="M351" s="64">
        <f>IF(tblMovement[[#This Row],[Material]]="","",IF(LEFT(tblMovement[[#This Row],[Material]],3)="Ore",1,0))</f>
        <v/>
      </c>
      <c r="N351" s="59">
        <f>IF(OR(tblMovement[[#This Row],[Tonnes_t]]="",tblMovement[[#This Row],[Grade_gpt]]=""),0,tblMovement[[#This Row],[Tonnes_t]]*tblMovement[[#This Row],[Grade_gpt]]/cfg_TroyOz)</f>
        <v/>
      </c>
      <c r="O351" s="59">
        <f>IF(tblMovement[[#This Row],[Is_Ore]]=1,tblMovement[[#This Row],[Contained_oz]],0)</f>
        <v/>
      </c>
    </row>
    <row r="352">
      <c r="A352" s="54" t="n"/>
      <c r="B352" s="61" t="n"/>
      <c r="C352" s="61" t="n"/>
      <c r="D352" s="61" t="n"/>
      <c r="E352" s="61" t="n"/>
      <c r="F352" s="55" t="n"/>
      <c r="G352" s="56" t="n"/>
      <c r="H352" s="55" t="n"/>
      <c r="I352" s="62" t="n"/>
      <c r="J352" s="58" t="n"/>
      <c r="K352" s="63">
        <f>IF(tblMovement[[#This Row],[Source]]="","",IFERROR(INDEX(tblSources[Type],MATCH(tblMovement[[#This Row],[Source]],tblSources[Source],0)),"?"))</f>
        <v/>
      </c>
      <c r="L352" s="63">
        <f>IF(tblMovement[[#This Row],[Destination]]="","",IFERROR(INDEX(tblDestinations[Type],MATCH(tblMovement[[#This Row],[Destination]],tblDestinations[Destination],0)),"?"))</f>
        <v/>
      </c>
      <c r="M352" s="64">
        <f>IF(tblMovement[[#This Row],[Material]]="","",IF(LEFT(tblMovement[[#This Row],[Material]],3)="Ore",1,0))</f>
        <v/>
      </c>
      <c r="N352" s="59">
        <f>IF(OR(tblMovement[[#This Row],[Tonnes_t]]="",tblMovement[[#This Row],[Grade_gpt]]=""),0,tblMovement[[#This Row],[Tonnes_t]]*tblMovement[[#This Row],[Grade_gpt]]/cfg_TroyOz)</f>
        <v/>
      </c>
      <c r="O352" s="59">
        <f>IF(tblMovement[[#This Row],[Is_Ore]]=1,tblMovement[[#This Row],[Contained_oz]],0)</f>
        <v/>
      </c>
    </row>
    <row r="353">
      <c r="A353" s="54" t="n"/>
      <c r="B353" s="61" t="n"/>
      <c r="C353" s="61" t="n"/>
      <c r="D353" s="61" t="n"/>
      <c r="E353" s="61" t="n"/>
      <c r="F353" s="55" t="n"/>
      <c r="G353" s="56" t="n"/>
      <c r="H353" s="55" t="n"/>
      <c r="I353" s="62" t="n"/>
      <c r="J353" s="58" t="n"/>
      <c r="K353" s="63">
        <f>IF(tblMovement[[#This Row],[Source]]="","",IFERROR(INDEX(tblSources[Type],MATCH(tblMovement[[#This Row],[Source]],tblSources[Source],0)),"?"))</f>
        <v/>
      </c>
      <c r="L353" s="63">
        <f>IF(tblMovement[[#This Row],[Destination]]="","",IFERROR(INDEX(tblDestinations[Type],MATCH(tblMovement[[#This Row],[Destination]],tblDestinations[Destination],0)),"?"))</f>
        <v/>
      </c>
      <c r="M353" s="64">
        <f>IF(tblMovement[[#This Row],[Material]]="","",IF(LEFT(tblMovement[[#This Row],[Material]],3)="Ore",1,0))</f>
        <v/>
      </c>
      <c r="N353" s="59">
        <f>IF(OR(tblMovement[[#This Row],[Tonnes_t]]="",tblMovement[[#This Row],[Grade_gpt]]=""),0,tblMovement[[#This Row],[Tonnes_t]]*tblMovement[[#This Row],[Grade_gpt]]/cfg_TroyOz)</f>
        <v/>
      </c>
      <c r="O353" s="59">
        <f>IF(tblMovement[[#This Row],[Is_Ore]]=1,tblMovement[[#This Row],[Contained_oz]],0)</f>
        <v/>
      </c>
    </row>
    <row r="354">
      <c r="A354" s="54" t="n"/>
      <c r="B354" s="61" t="n"/>
      <c r="C354" s="61" t="n"/>
      <c r="D354" s="61" t="n"/>
      <c r="E354" s="61" t="n"/>
      <c r="F354" s="55" t="n"/>
      <c r="G354" s="56" t="n"/>
      <c r="H354" s="55" t="n"/>
      <c r="I354" s="62" t="n"/>
      <c r="J354" s="58" t="n"/>
      <c r="K354" s="63">
        <f>IF(tblMovement[[#This Row],[Source]]="","",IFERROR(INDEX(tblSources[Type],MATCH(tblMovement[[#This Row],[Source]],tblSources[Source],0)),"?"))</f>
        <v/>
      </c>
      <c r="L354" s="63">
        <f>IF(tblMovement[[#This Row],[Destination]]="","",IFERROR(INDEX(tblDestinations[Type],MATCH(tblMovement[[#This Row],[Destination]],tblDestinations[Destination],0)),"?"))</f>
        <v/>
      </c>
      <c r="M354" s="64">
        <f>IF(tblMovement[[#This Row],[Material]]="","",IF(LEFT(tblMovement[[#This Row],[Material]],3)="Ore",1,0))</f>
        <v/>
      </c>
      <c r="N354" s="59">
        <f>IF(OR(tblMovement[[#This Row],[Tonnes_t]]="",tblMovement[[#This Row],[Grade_gpt]]=""),0,tblMovement[[#This Row],[Tonnes_t]]*tblMovement[[#This Row],[Grade_gpt]]/cfg_TroyOz)</f>
        <v/>
      </c>
      <c r="O354" s="59">
        <f>IF(tblMovement[[#This Row],[Is_Ore]]=1,tblMovement[[#This Row],[Contained_oz]],0)</f>
        <v/>
      </c>
    </row>
    <row r="355">
      <c r="A355" s="54" t="n"/>
      <c r="B355" s="61" t="n"/>
      <c r="C355" s="61" t="n"/>
      <c r="D355" s="61" t="n"/>
      <c r="E355" s="61" t="n"/>
      <c r="F355" s="55" t="n"/>
      <c r="G355" s="56" t="n"/>
      <c r="H355" s="55" t="n"/>
      <c r="I355" s="62" t="n"/>
      <c r="J355" s="58" t="n"/>
      <c r="K355" s="63">
        <f>IF(tblMovement[[#This Row],[Source]]="","",IFERROR(INDEX(tblSources[Type],MATCH(tblMovement[[#This Row],[Source]],tblSources[Source],0)),"?"))</f>
        <v/>
      </c>
      <c r="L355" s="63">
        <f>IF(tblMovement[[#This Row],[Destination]]="","",IFERROR(INDEX(tblDestinations[Type],MATCH(tblMovement[[#This Row],[Destination]],tblDestinations[Destination],0)),"?"))</f>
        <v/>
      </c>
      <c r="M355" s="64">
        <f>IF(tblMovement[[#This Row],[Material]]="","",IF(LEFT(tblMovement[[#This Row],[Material]],3)="Ore",1,0))</f>
        <v/>
      </c>
      <c r="N355" s="59">
        <f>IF(OR(tblMovement[[#This Row],[Tonnes_t]]="",tblMovement[[#This Row],[Grade_gpt]]=""),0,tblMovement[[#This Row],[Tonnes_t]]*tblMovement[[#This Row],[Grade_gpt]]/cfg_TroyOz)</f>
        <v/>
      </c>
      <c r="O355" s="59">
        <f>IF(tblMovement[[#This Row],[Is_Ore]]=1,tblMovement[[#This Row],[Contained_oz]],0)</f>
        <v/>
      </c>
    </row>
    <row r="356">
      <c r="A356" s="54" t="n"/>
      <c r="B356" s="61" t="n"/>
      <c r="C356" s="61" t="n"/>
      <c r="D356" s="61" t="n"/>
      <c r="E356" s="61" t="n"/>
      <c r="F356" s="55" t="n"/>
      <c r="G356" s="56" t="n"/>
      <c r="H356" s="55" t="n"/>
      <c r="I356" s="62" t="n"/>
      <c r="J356" s="58" t="n"/>
      <c r="K356" s="63">
        <f>IF(tblMovement[[#This Row],[Source]]="","",IFERROR(INDEX(tblSources[Type],MATCH(tblMovement[[#This Row],[Source]],tblSources[Source],0)),"?"))</f>
        <v/>
      </c>
      <c r="L356" s="63">
        <f>IF(tblMovement[[#This Row],[Destination]]="","",IFERROR(INDEX(tblDestinations[Type],MATCH(tblMovement[[#This Row],[Destination]],tblDestinations[Destination],0)),"?"))</f>
        <v/>
      </c>
      <c r="M356" s="64">
        <f>IF(tblMovement[[#This Row],[Material]]="","",IF(LEFT(tblMovement[[#This Row],[Material]],3)="Ore",1,0))</f>
        <v/>
      </c>
      <c r="N356" s="59">
        <f>IF(OR(tblMovement[[#This Row],[Tonnes_t]]="",tblMovement[[#This Row],[Grade_gpt]]=""),0,tblMovement[[#This Row],[Tonnes_t]]*tblMovement[[#This Row],[Grade_gpt]]/cfg_TroyOz)</f>
        <v/>
      </c>
      <c r="O356" s="59">
        <f>IF(tblMovement[[#This Row],[Is_Ore]]=1,tblMovement[[#This Row],[Contained_oz]],0)</f>
        <v/>
      </c>
    </row>
    <row r="357">
      <c r="A357" s="54" t="n"/>
      <c r="B357" s="61" t="n"/>
      <c r="C357" s="61" t="n"/>
      <c r="D357" s="61" t="n"/>
      <c r="E357" s="61" t="n"/>
      <c r="F357" s="55" t="n"/>
      <c r="G357" s="56" t="n"/>
      <c r="H357" s="55" t="n"/>
      <c r="I357" s="62" t="n"/>
      <c r="J357" s="58" t="n"/>
      <c r="K357" s="63">
        <f>IF(tblMovement[[#This Row],[Source]]="","",IFERROR(INDEX(tblSources[Type],MATCH(tblMovement[[#This Row],[Source]],tblSources[Source],0)),"?"))</f>
        <v/>
      </c>
      <c r="L357" s="63">
        <f>IF(tblMovement[[#This Row],[Destination]]="","",IFERROR(INDEX(tblDestinations[Type],MATCH(tblMovement[[#This Row],[Destination]],tblDestinations[Destination],0)),"?"))</f>
        <v/>
      </c>
      <c r="M357" s="64">
        <f>IF(tblMovement[[#This Row],[Material]]="","",IF(LEFT(tblMovement[[#This Row],[Material]],3)="Ore",1,0))</f>
        <v/>
      </c>
      <c r="N357" s="59">
        <f>IF(OR(tblMovement[[#This Row],[Tonnes_t]]="",tblMovement[[#This Row],[Grade_gpt]]=""),0,tblMovement[[#This Row],[Tonnes_t]]*tblMovement[[#This Row],[Grade_gpt]]/cfg_TroyOz)</f>
        <v/>
      </c>
      <c r="O357" s="59">
        <f>IF(tblMovement[[#This Row],[Is_Ore]]=1,tblMovement[[#This Row],[Contained_oz]],0)</f>
        <v/>
      </c>
    </row>
    <row r="358">
      <c r="A358" s="54" t="n"/>
      <c r="B358" s="61" t="n"/>
      <c r="C358" s="61" t="n"/>
      <c r="D358" s="61" t="n"/>
      <c r="E358" s="61" t="n"/>
      <c r="F358" s="55" t="n"/>
      <c r="G358" s="56" t="n"/>
      <c r="H358" s="55" t="n"/>
      <c r="I358" s="62" t="n"/>
      <c r="J358" s="58" t="n"/>
      <c r="K358" s="63">
        <f>IF(tblMovement[[#This Row],[Source]]="","",IFERROR(INDEX(tblSources[Type],MATCH(tblMovement[[#This Row],[Source]],tblSources[Source],0)),"?"))</f>
        <v/>
      </c>
      <c r="L358" s="63">
        <f>IF(tblMovement[[#This Row],[Destination]]="","",IFERROR(INDEX(tblDestinations[Type],MATCH(tblMovement[[#This Row],[Destination]],tblDestinations[Destination],0)),"?"))</f>
        <v/>
      </c>
      <c r="M358" s="64">
        <f>IF(tblMovement[[#This Row],[Material]]="","",IF(LEFT(tblMovement[[#This Row],[Material]],3)="Ore",1,0))</f>
        <v/>
      </c>
      <c r="N358" s="59">
        <f>IF(OR(tblMovement[[#This Row],[Tonnes_t]]="",tblMovement[[#This Row],[Grade_gpt]]=""),0,tblMovement[[#This Row],[Tonnes_t]]*tblMovement[[#This Row],[Grade_gpt]]/cfg_TroyOz)</f>
        <v/>
      </c>
      <c r="O358" s="59">
        <f>IF(tblMovement[[#This Row],[Is_Ore]]=1,tblMovement[[#This Row],[Contained_oz]],0)</f>
        <v/>
      </c>
    </row>
    <row r="359">
      <c r="A359" s="54" t="n"/>
      <c r="B359" s="61" t="n"/>
      <c r="C359" s="61" t="n"/>
      <c r="D359" s="61" t="n"/>
      <c r="E359" s="61" t="n"/>
      <c r="F359" s="55" t="n"/>
      <c r="G359" s="56" t="n"/>
      <c r="H359" s="55" t="n"/>
      <c r="I359" s="62" t="n"/>
      <c r="J359" s="58" t="n"/>
      <c r="K359" s="63">
        <f>IF(tblMovement[[#This Row],[Source]]="","",IFERROR(INDEX(tblSources[Type],MATCH(tblMovement[[#This Row],[Source]],tblSources[Source],0)),"?"))</f>
        <v/>
      </c>
      <c r="L359" s="63">
        <f>IF(tblMovement[[#This Row],[Destination]]="","",IFERROR(INDEX(tblDestinations[Type],MATCH(tblMovement[[#This Row],[Destination]],tblDestinations[Destination],0)),"?"))</f>
        <v/>
      </c>
      <c r="M359" s="64">
        <f>IF(tblMovement[[#This Row],[Material]]="","",IF(LEFT(tblMovement[[#This Row],[Material]],3)="Ore",1,0))</f>
        <v/>
      </c>
      <c r="N359" s="59">
        <f>IF(OR(tblMovement[[#This Row],[Tonnes_t]]="",tblMovement[[#This Row],[Grade_gpt]]=""),0,tblMovement[[#This Row],[Tonnes_t]]*tblMovement[[#This Row],[Grade_gpt]]/cfg_TroyOz)</f>
        <v/>
      </c>
      <c r="O359" s="59">
        <f>IF(tblMovement[[#This Row],[Is_Ore]]=1,tblMovement[[#This Row],[Contained_oz]],0)</f>
        <v/>
      </c>
    </row>
    <row r="360">
      <c r="A360" s="54" t="n"/>
      <c r="B360" s="61" t="n"/>
      <c r="C360" s="61" t="n"/>
      <c r="D360" s="61" t="n"/>
      <c r="E360" s="61" t="n"/>
      <c r="F360" s="55" t="n"/>
      <c r="G360" s="56" t="n"/>
      <c r="H360" s="55" t="n"/>
      <c r="I360" s="62" t="n"/>
      <c r="J360" s="58" t="n"/>
      <c r="K360" s="63">
        <f>IF(tblMovement[[#This Row],[Source]]="","",IFERROR(INDEX(tblSources[Type],MATCH(tblMovement[[#This Row],[Source]],tblSources[Source],0)),"?"))</f>
        <v/>
      </c>
      <c r="L360" s="63">
        <f>IF(tblMovement[[#This Row],[Destination]]="","",IFERROR(INDEX(tblDestinations[Type],MATCH(tblMovement[[#This Row],[Destination]],tblDestinations[Destination],0)),"?"))</f>
        <v/>
      </c>
      <c r="M360" s="64">
        <f>IF(tblMovement[[#This Row],[Material]]="","",IF(LEFT(tblMovement[[#This Row],[Material]],3)="Ore",1,0))</f>
        <v/>
      </c>
      <c r="N360" s="59">
        <f>IF(OR(tblMovement[[#This Row],[Tonnes_t]]="",tblMovement[[#This Row],[Grade_gpt]]=""),0,tblMovement[[#This Row],[Tonnes_t]]*tblMovement[[#This Row],[Grade_gpt]]/cfg_TroyOz)</f>
        <v/>
      </c>
      <c r="O360" s="59">
        <f>IF(tblMovement[[#This Row],[Is_Ore]]=1,tblMovement[[#This Row],[Contained_oz]],0)</f>
        <v/>
      </c>
    </row>
    <row r="361">
      <c r="A361" s="54" t="n"/>
      <c r="B361" s="61" t="n"/>
      <c r="C361" s="61" t="n"/>
      <c r="D361" s="61" t="n"/>
      <c r="E361" s="61" t="n"/>
      <c r="F361" s="55" t="n"/>
      <c r="G361" s="56" t="n"/>
      <c r="H361" s="55" t="n"/>
      <c r="I361" s="62" t="n"/>
      <c r="J361" s="58" t="n"/>
      <c r="K361" s="63">
        <f>IF(tblMovement[[#This Row],[Source]]="","",IFERROR(INDEX(tblSources[Type],MATCH(tblMovement[[#This Row],[Source]],tblSources[Source],0)),"?"))</f>
        <v/>
      </c>
      <c r="L361" s="63">
        <f>IF(tblMovement[[#This Row],[Destination]]="","",IFERROR(INDEX(tblDestinations[Type],MATCH(tblMovement[[#This Row],[Destination]],tblDestinations[Destination],0)),"?"))</f>
        <v/>
      </c>
      <c r="M361" s="64">
        <f>IF(tblMovement[[#This Row],[Material]]="","",IF(LEFT(tblMovement[[#This Row],[Material]],3)="Ore",1,0))</f>
        <v/>
      </c>
      <c r="N361" s="59">
        <f>IF(OR(tblMovement[[#This Row],[Tonnes_t]]="",tblMovement[[#This Row],[Grade_gpt]]=""),0,tblMovement[[#This Row],[Tonnes_t]]*tblMovement[[#This Row],[Grade_gpt]]/cfg_TroyOz)</f>
        <v/>
      </c>
      <c r="O361" s="59">
        <f>IF(tblMovement[[#This Row],[Is_Ore]]=1,tblMovement[[#This Row],[Contained_oz]],0)</f>
        <v/>
      </c>
    </row>
    <row r="362">
      <c r="A362" s="54" t="n"/>
      <c r="B362" s="61" t="n"/>
      <c r="C362" s="61" t="n"/>
      <c r="D362" s="61" t="n"/>
      <c r="E362" s="61" t="n"/>
      <c r="F362" s="55" t="n"/>
      <c r="G362" s="56" t="n"/>
      <c r="H362" s="55" t="n"/>
      <c r="I362" s="62" t="n"/>
      <c r="J362" s="58" t="n"/>
      <c r="K362" s="63">
        <f>IF(tblMovement[[#This Row],[Source]]="","",IFERROR(INDEX(tblSources[Type],MATCH(tblMovement[[#This Row],[Source]],tblSources[Source],0)),"?"))</f>
        <v/>
      </c>
      <c r="L362" s="63">
        <f>IF(tblMovement[[#This Row],[Destination]]="","",IFERROR(INDEX(tblDestinations[Type],MATCH(tblMovement[[#This Row],[Destination]],tblDestinations[Destination],0)),"?"))</f>
        <v/>
      </c>
      <c r="M362" s="64">
        <f>IF(tblMovement[[#This Row],[Material]]="","",IF(LEFT(tblMovement[[#This Row],[Material]],3)="Ore",1,0))</f>
        <v/>
      </c>
      <c r="N362" s="59">
        <f>IF(OR(tblMovement[[#This Row],[Tonnes_t]]="",tblMovement[[#This Row],[Grade_gpt]]=""),0,tblMovement[[#This Row],[Tonnes_t]]*tblMovement[[#This Row],[Grade_gpt]]/cfg_TroyOz)</f>
        <v/>
      </c>
      <c r="O362" s="59">
        <f>IF(tblMovement[[#This Row],[Is_Ore]]=1,tblMovement[[#This Row],[Contained_oz]],0)</f>
        <v/>
      </c>
    </row>
    <row r="363">
      <c r="A363" s="54" t="n"/>
      <c r="B363" s="61" t="n"/>
      <c r="C363" s="61" t="n"/>
      <c r="D363" s="61" t="n"/>
      <c r="E363" s="61" t="n"/>
      <c r="F363" s="55" t="n"/>
      <c r="G363" s="56" t="n"/>
      <c r="H363" s="55" t="n"/>
      <c r="I363" s="62" t="n"/>
      <c r="J363" s="58" t="n"/>
      <c r="K363" s="63">
        <f>IF(tblMovement[[#This Row],[Source]]="","",IFERROR(INDEX(tblSources[Type],MATCH(tblMovement[[#This Row],[Source]],tblSources[Source],0)),"?"))</f>
        <v/>
      </c>
      <c r="L363" s="63">
        <f>IF(tblMovement[[#This Row],[Destination]]="","",IFERROR(INDEX(tblDestinations[Type],MATCH(tblMovement[[#This Row],[Destination]],tblDestinations[Destination],0)),"?"))</f>
        <v/>
      </c>
      <c r="M363" s="64">
        <f>IF(tblMovement[[#This Row],[Material]]="","",IF(LEFT(tblMovement[[#This Row],[Material]],3)="Ore",1,0))</f>
        <v/>
      </c>
      <c r="N363" s="59">
        <f>IF(OR(tblMovement[[#This Row],[Tonnes_t]]="",tblMovement[[#This Row],[Grade_gpt]]=""),0,tblMovement[[#This Row],[Tonnes_t]]*tblMovement[[#This Row],[Grade_gpt]]/cfg_TroyOz)</f>
        <v/>
      </c>
      <c r="O363" s="59">
        <f>IF(tblMovement[[#This Row],[Is_Ore]]=1,tblMovement[[#This Row],[Contained_oz]],0)</f>
        <v/>
      </c>
    </row>
    <row r="364">
      <c r="A364" s="54" t="n"/>
      <c r="B364" s="61" t="n"/>
      <c r="C364" s="61" t="n"/>
      <c r="D364" s="61" t="n"/>
      <c r="E364" s="61" t="n"/>
      <c r="F364" s="55" t="n"/>
      <c r="G364" s="56" t="n"/>
      <c r="H364" s="55" t="n"/>
      <c r="I364" s="62" t="n"/>
      <c r="J364" s="58" t="n"/>
      <c r="K364" s="63">
        <f>IF(tblMovement[[#This Row],[Source]]="","",IFERROR(INDEX(tblSources[Type],MATCH(tblMovement[[#This Row],[Source]],tblSources[Source],0)),"?"))</f>
        <v/>
      </c>
      <c r="L364" s="63">
        <f>IF(tblMovement[[#This Row],[Destination]]="","",IFERROR(INDEX(tblDestinations[Type],MATCH(tblMovement[[#This Row],[Destination]],tblDestinations[Destination],0)),"?"))</f>
        <v/>
      </c>
      <c r="M364" s="64">
        <f>IF(tblMovement[[#This Row],[Material]]="","",IF(LEFT(tblMovement[[#This Row],[Material]],3)="Ore",1,0))</f>
        <v/>
      </c>
      <c r="N364" s="59">
        <f>IF(OR(tblMovement[[#This Row],[Tonnes_t]]="",tblMovement[[#This Row],[Grade_gpt]]=""),0,tblMovement[[#This Row],[Tonnes_t]]*tblMovement[[#This Row],[Grade_gpt]]/cfg_TroyOz)</f>
        <v/>
      </c>
      <c r="O364" s="59">
        <f>IF(tblMovement[[#This Row],[Is_Ore]]=1,tblMovement[[#This Row],[Contained_oz]],0)</f>
        <v/>
      </c>
    </row>
    <row r="365">
      <c r="A365" s="54" t="n"/>
      <c r="B365" s="61" t="n"/>
      <c r="C365" s="61" t="n"/>
      <c r="D365" s="61" t="n"/>
      <c r="E365" s="61" t="n"/>
      <c r="F365" s="55" t="n"/>
      <c r="G365" s="56" t="n"/>
      <c r="H365" s="55" t="n"/>
      <c r="I365" s="62" t="n"/>
      <c r="J365" s="58" t="n"/>
      <c r="K365" s="63">
        <f>IF(tblMovement[[#This Row],[Source]]="","",IFERROR(INDEX(tblSources[Type],MATCH(tblMovement[[#This Row],[Source]],tblSources[Source],0)),"?"))</f>
        <v/>
      </c>
      <c r="L365" s="63">
        <f>IF(tblMovement[[#This Row],[Destination]]="","",IFERROR(INDEX(tblDestinations[Type],MATCH(tblMovement[[#This Row],[Destination]],tblDestinations[Destination],0)),"?"))</f>
        <v/>
      </c>
      <c r="M365" s="64">
        <f>IF(tblMovement[[#This Row],[Material]]="","",IF(LEFT(tblMovement[[#This Row],[Material]],3)="Ore",1,0))</f>
        <v/>
      </c>
      <c r="N365" s="59">
        <f>IF(OR(tblMovement[[#This Row],[Tonnes_t]]="",tblMovement[[#This Row],[Grade_gpt]]=""),0,tblMovement[[#This Row],[Tonnes_t]]*tblMovement[[#This Row],[Grade_gpt]]/cfg_TroyOz)</f>
        <v/>
      </c>
      <c r="O365" s="59">
        <f>IF(tblMovement[[#This Row],[Is_Ore]]=1,tblMovement[[#This Row],[Contained_oz]],0)</f>
        <v/>
      </c>
    </row>
    <row r="366">
      <c r="A366" s="54" t="n"/>
      <c r="B366" s="61" t="n"/>
      <c r="C366" s="61" t="n"/>
      <c r="D366" s="61" t="n"/>
      <c r="E366" s="61" t="n"/>
      <c r="F366" s="55" t="n"/>
      <c r="G366" s="56" t="n"/>
      <c r="H366" s="55" t="n"/>
      <c r="I366" s="62" t="n"/>
      <c r="J366" s="58" t="n"/>
      <c r="K366" s="63">
        <f>IF(tblMovement[[#This Row],[Source]]="","",IFERROR(INDEX(tblSources[Type],MATCH(tblMovement[[#This Row],[Source]],tblSources[Source],0)),"?"))</f>
        <v/>
      </c>
      <c r="L366" s="63">
        <f>IF(tblMovement[[#This Row],[Destination]]="","",IFERROR(INDEX(tblDestinations[Type],MATCH(tblMovement[[#This Row],[Destination]],tblDestinations[Destination],0)),"?"))</f>
        <v/>
      </c>
      <c r="M366" s="64">
        <f>IF(tblMovement[[#This Row],[Material]]="","",IF(LEFT(tblMovement[[#This Row],[Material]],3)="Ore",1,0))</f>
        <v/>
      </c>
      <c r="N366" s="59">
        <f>IF(OR(tblMovement[[#This Row],[Tonnes_t]]="",tblMovement[[#This Row],[Grade_gpt]]=""),0,tblMovement[[#This Row],[Tonnes_t]]*tblMovement[[#This Row],[Grade_gpt]]/cfg_TroyOz)</f>
        <v/>
      </c>
      <c r="O366" s="59">
        <f>IF(tblMovement[[#This Row],[Is_Ore]]=1,tblMovement[[#This Row],[Contained_oz]],0)</f>
        <v/>
      </c>
    </row>
    <row r="367">
      <c r="A367" s="54" t="n"/>
      <c r="B367" s="61" t="n"/>
      <c r="C367" s="61" t="n"/>
      <c r="D367" s="61" t="n"/>
      <c r="E367" s="61" t="n"/>
      <c r="F367" s="55" t="n"/>
      <c r="G367" s="56" t="n"/>
      <c r="H367" s="55" t="n"/>
      <c r="I367" s="62" t="n"/>
      <c r="J367" s="58" t="n"/>
      <c r="K367" s="63">
        <f>IF(tblMovement[[#This Row],[Source]]="","",IFERROR(INDEX(tblSources[Type],MATCH(tblMovement[[#This Row],[Source]],tblSources[Source],0)),"?"))</f>
        <v/>
      </c>
      <c r="L367" s="63">
        <f>IF(tblMovement[[#This Row],[Destination]]="","",IFERROR(INDEX(tblDestinations[Type],MATCH(tblMovement[[#This Row],[Destination]],tblDestinations[Destination],0)),"?"))</f>
        <v/>
      </c>
      <c r="M367" s="64">
        <f>IF(tblMovement[[#This Row],[Material]]="","",IF(LEFT(tblMovement[[#This Row],[Material]],3)="Ore",1,0))</f>
        <v/>
      </c>
      <c r="N367" s="59">
        <f>IF(OR(tblMovement[[#This Row],[Tonnes_t]]="",tblMovement[[#This Row],[Grade_gpt]]=""),0,tblMovement[[#This Row],[Tonnes_t]]*tblMovement[[#This Row],[Grade_gpt]]/cfg_TroyOz)</f>
        <v/>
      </c>
      <c r="O367" s="59">
        <f>IF(tblMovement[[#This Row],[Is_Ore]]=1,tblMovement[[#This Row],[Contained_oz]],0)</f>
        <v/>
      </c>
    </row>
    <row r="368">
      <c r="A368" s="54" t="n"/>
      <c r="B368" s="61" t="n"/>
      <c r="C368" s="61" t="n"/>
      <c r="D368" s="61" t="n"/>
      <c r="E368" s="61" t="n"/>
      <c r="F368" s="55" t="n"/>
      <c r="G368" s="56" t="n"/>
      <c r="H368" s="55" t="n"/>
      <c r="I368" s="62" t="n"/>
      <c r="J368" s="58" t="n"/>
      <c r="K368" s="63">
        <f>IF(tblMovement[[#This Row],[Source]]="","",IFERROR(INDEX(tblSources[Type],MATCH(tblMovement[[#This Row],[Source]],tblSources[Source],0)),"?"))</f>
        <v/>
      </c>
      <c r="L368" s="63">
        <f>IF(tblMovement[[#This Row],[Destination]]="","",IFERROR(INDEX(tblDestinations[Type],MATCH(tblMovement[[#This Row],[Destination]],tblDestinations[Destination],0)),"?"))</f>
        <v/>
      </c>
      <c r="M368" s="64">
        <f>IF(tblMovement[[#This Row],[Material]]="","",IF(LEFT(tblMovement[[#This Row],[Material]],3)="Ore",1,0))</f>
        <v/>
      </c>
      <c r="N368" s="59">
        <f>IF(OR(tblMovement[[#This Row],[Tonnes_t]]="",tblMovement[[#This Row],[Grade_gpt]]=""),0,tblMovement[[#This Row],[Tonnes_t]]*tblMovement[[#This Row],[Grade_gpt]]/cfg_TroyOz)</f>
        <v/>
      </c>
      <c r="O368" s="59">
        <f>IF(tblMovement[[#This Row],[Is_Ore]]=1,tblMovement[[#This Row],[Contained_oz]],0)</f>
        <v/>
      </c>
    </row>
    <row r="369">
      <c r="A369" s="54" t="n"/>
      <c r="B369" s="61" t="n"/>
      <c r="C369" s="61" t="n"/>
      <c r="D369" s="61" t="n"/>
      <c r="E369" s="61" t="n"/>
      <c r="F369" s="55" t="n"/>
      <c r="G369" s="56" t="n"/>
      <c r="H369" s="55" t="n"/>
      <c r="I369" s="62" t="n"/>
      <c r="J369" s="58" t="n"/>
      <c r="K369" s="63">
        <f>IF(tblMovement[[#This Row],[Source]]="","",IFERROR(INDEX(tblSources[Type],MATCH(tblMovement[[#This Row],[Source]],tblSources[Source],0)),"?"))</f>
        <v/>
      </c>
      <c r="L369" s="63">
        <f>IF(tblMovement[[#This Row],[Destination]]="","",IFERROR(INDEX(tblDestinations[Type],MATCH(tblMovement[[#This Row],[Destination]],tblDestinations[Destination],0)),"?"))</f>
        <v/>
      </c>
      <c r="M369" s="64">
        <f>IF(tblMovement[[#This Row],[Material]]="","",IF(LEFT(tblMovement[[#This Row],[Material]],3)="Ore",1,0))</f>
        <v/>
      </c>
      <c r="N369" s="59">
        <f>IF(OR(tblMovement[[#This Row],[Tonnes_t]]="",tblMovement[[#This Row],[Grade_gpt]]=""),0,tblMovement[[#This Row],[Tonnes_t]]*tblMovement[[#This Row],[Grade_gpt]]/cfg_TroyOz)</f>
        <v/>
      </c>
      <c r="O369" s="59">
        <f>IF(tblMovement[[#This Row],[Is_Ore]]=1,tblMovement[[#This Row],[Contained_oz]],0)</f>
        <v/>
      </c>
    </row>
    <row r="370">
      <c r="A370" s="54" t="n"/>
      <c r="B370" s="61" t="n"/>
      <c r="C370" s="61" t="n"/>
      <c r="D370" s="61" t="n"/>
      <c r="E370" s="61" t="n"/>
      <c r="F370" s="55" t="n"/>
      <c r="G370" s="56" t="n"/>
      <c r="H370" s="55" t="n"/>
      <c r="I370" s="62" t="n"/>
      <c r="J370" s="58" t="n"/>
      <c r="K370" s="63">
        <f>IF(tblMovement[[#This Row],[Source]]="","",IFERROR(INDEX(tblSources[Type],MATCH(tblMovement[[#This Row],[Source]],tblSources[Source],0)),"?"))</f>
        <v/>
      </c>
      <c r="L370" s="63">
        <f>IF(tblMovement[[#This Row],[Destination]]="","",IFERROR(INDEX(tblDestinations[Type],MATCH(tblMovement[[#This Row],[Destination]],tblDestinations[Destination],0)),"?"))</f>
        <v/>
      </c>
      <c r="M370" s="64">
        <f>IF(tblMovement[[#This Row],[Material]]="","",IF(LEFT(tblMovement[[#This Row],[Material]],3)="Ore",1,0))</f>
        <v/>
      </c>
      <c r="N370" s="59">
        <f>IF(OR(tblMovement[[#This Row],[Tonnes_t]]="",tblMovement[[#This Row],[Grade_gpt]]=""),0,tblMovement[[#This Row],[Tonnes_t]]*tblMovement[[#This Row],[Grade_gpt]]/cfg_TroyOz)</f>
        <v/>
      </c>
      <c r="O370" s="59">
        <f>IF(tblMovement[[#This Row],[Is_Ore]]=1,tblMovement[[#This Row],[Contained_oz]],0)</f>
        <v/>
      </c>
    </row>
    <row r="371">
      <c r="A371" s="54" t="n"/>
      <c r="B371" s="61" t="n"/>
      <c r="C371" s="61" t="n"/>
      <c r="D371" s="61" t="n"/>
      <c r="E371" s="61" t="n"/>
      <c r="F371" s="55" t="n"/>
      <c r="G371" s="56" t="n"/>
      <c r="H371" s="55" t="n"/>
      <c r="I371" s="62" t="n"/>
      <c r="J371" s="58" t="n"/>
      <c r="K371" s="63">
        <f>IF(tblMovement[[#This Row],[Source]]="","",IFERROR(INDEX(tblSources[Type],MATCH(tblMovement[[#This Row],[Source]],tblSources[Source],0)),"?"))</f>
        <v/>
      </c>
      <c r="L371" s="63">
        <f>IF(tblMovement[[#This Row],[Destination]]="","",IFERROR(INDEX(tblDestinations[Type],MATCH(tblMovement[[#This Row],[Destination]],tblDestinations[Destination],0)),"?"))</f>
        <v/>
      </c>
      <c r="M371" s="64">
        <f>IF(tblMovement[[#This Row],[Material]]="","",IF(LEFT(tblMovement[[#This Row],[Material]],3)="Ore",1,0))</f>
        <v/>
      </c>
      <c r="N371" s="59">
        <f>IF(OR(tblMovement[[#This Row],[Tonnes_t]]="",tblMovement[[#This Row],[Grade_gpt]]=""),0,tblMovement[[#This Row],[Tonnes_t]]*tblMovement[[#This Row],[Grade_gpt]]/cfg_TroyOz)</f>
        <v/>
      </c>
      <c r="O371" s="59">
        <f>IF(tblMovement[[#This Row],[Is_Ore]]=1,tblMovement[[#This Row],[Contained_oz]],0)</f>
        <v/>
      </c>
    </row>
    <row r="372">
      <c r="A372" s="54" t="n"/>
      <c r="B372" s="61" t="n"/>
      <c r="C372" s="61" t="n"/>
      <c r="D372" s="61" t="n"/>
      <c r="E372" s="61" t="n"/>
      <c r="F372" s="55" t="n"/>
      <c r="G372" s="56" t="n"/>
      <c r="H372" s="55" t="n"/>
      <c r="I372" s="62" t="n"/>
      <c r="J372" s="58" t="n"/>
      <c r="K372" s="63">
        <f>IF(tblMovement[[#This Row],[Source]]="","",IFERROR(INDEX(tblSources[Type],MATCH(tblMovement[[#This Row],[Source]],tblSources[Source],0)),"?"))</f>
        <v/>
      </c>
      <c r="L372" s="63">
        <f>IF(tblMovement[[#This Row],[Destination]]="","",IFERROR(INDEX(tblDestinations[Type],MATCH(tblMovement[[#This Row],[Destination]],tblDestinations[Destination],0)),"?"))</f>
        <v/>
      </c>
      <c r="M372" s="64">
        <f>IF(tblMovement[[#This Row],[Material]]="","",IF(LEFT(tblMovement[[#This Row],[Material]],3)="Ore",1,0))</f>
        <v/>
      </c>
      <c r="N372" s="59">
        <f>IF(OR(tblMovement[[#This Row],[Tonnes_t]]="",tblMovement[[#This Row],[Grade_gpt]]=""),0,tblMovement[[#This Row],[Tonnes_t]]*tblMovement[[#This Row],[Grade_gpt]]/cfg_TroyOz)</f>
        <v/>
      </c>
      <c r="O372" s="59">
        <f>IF(tblMovement[[#This Row],[Is_Ore]]=1,tblMovement[[#This Row],[Contained_oz]],0)</f>
        <v/>
      </c>
    </row>
    <row r="373">
      <c r="A373" s="54" t="n"/>
      <c r="B373" s="61" t="n"/>
      <c r="C373" s="61" t="n"/>
      <c r="D373" s="61" t="n"/>
      <c r="E373" s="61" t="n"/>
      <c r="F373" s="55" t="n"/>
      <c r="G373" s="56" t="n"/>
      <c r="H373" s="55" t="n"/>
      <c r="I373" s="62" t="n"/>
      <c r="J373" s="58" t="n"/>
      <c r="K373" s="63">
        <f>IF(tblMovement[[#This Row],[Source]]="","",IFERROR(INDEX(tblSources[Type],MATCH(tblMovement[[#This Row],[Source]],tblSources[Source],0)),"?"))</f>
        <v/>
      </c>
      <c r="L373" s="63">
        <f>IF(tblMovement[[#This Row],[Destination]]="","",IFERROR(INDEX(tblDestinations[Type],MATCH(tblMovement[[#This Row],[Destination]],tblDestinations[Destination],0)),"?"))</f>
        <v/>
      </c>
      <c r="M373" s="64">
        <f>IF(tblMovement[[#This Row],[Material]]="","",IF(LEFT(tblMovement[[#This Row],[Material]],3)="Ore",1,0))</f>
        <v/>
      </c>
      <c r="N373" s="59">
        <f>IF(OR(tblMovement[[#This Row],[Tonnes_t]]="",tblMovement[[#This Row],[Grade_gpt]]=""),0,tblMovement[[#This Row],[Tonnes_t]]*tblMovement[[#This Row],[Grade_gpt]]/cfg_TroyOz)</f>
        <v/>
      </c>
      <c r="O373" s="59">
        <f>IF(tblMovement[[#This Row],[Is_Ore]]=1,tblMovement[[#This Row],[Contained_oz]],0)</f>
        <v/>
      </c>
    </row>
    <row r="374">
      <c r="A374" s="54" t="n"/>
      <c r="B374" s="61" t="n"/>
      <c r="C374" s="61" t="n"/>
      <c r="D374" s="61" t="n"/>
      <c r="E374" s="61" t="n"/>
      <c r="F374" s="55" t="n"/>
      <c r="G374" s="56" t="n"/>
      <c r="H374" s="55" t="n"/>
      <c r="I374" s="62" t="n"/>
      <c r="J374" s="58" t="n"/>
      <c r="K374" s="63">
        <f>IF(tblMovement[[#This Row],[Source]]="","",IFERROR(INDEX(tblSources[Type],MATCH(tblMovement[[#This Row],[Source]],tblSources[Source],0)),"?"))</f>
        <v/>
      </c>
      <c r="L374" s="63">
        <f>IF(tblMovement[[#This Row],[Destination]]="","",IFERROR(INDEX(tblDestinations[Type],MATCH(tblMovement[[#This Row],[Destination]],tblDestinations[Destination],0)),"?"))</f>
        <v/>
      </c>
      <c r="M374" s="64">
        <f>IF(tblMovement[[#This Row],[Material]]="","",IF(LEFT(tblMovement[[#This Row],[Material]],3)="Ore",1,0))</f>
        <v/>
      </c>
      <c r="N374" s="59">
        <f>IF(OR(tblMovement[[#This Row],[Tonnes_t]]="",tblMovement[[#This Row],[Grade_gpt]]=""),0,tblMovement[[#This Row],[Tonnes_t]]*tblMovement[[#This Row],[Grade_gpt]]/cfg_TroyOz)</f>
        <v/>
      </c>
      <c r="O374" s="59">
        <f>IF(tblMovement[[#This Row],[Is_Ore]]=1,tblMovement[[#This Row],[Contained_oz]],0)</f>
        <v/>
      </c>
    </row>
    <row r="375">
      <c r="A375" s="54" t="n"/>
      <c r="B375" s="61" t="n"/>
      <c r="C375" s="61" t="n"/>
      <c r="D375" s="61" t="n"/>
      <c r="E375" s="61" t="n"/>
      <c r="F375" s="55" t="n"/>
      <c r="G375" s="56" t="n"/>
      <c r="H375" s="55" t="n"/>
      <c r="I375" s="62" t="n"/>
      <c r="J375" s="58" t="n"/>
      <c r="K375" s="63">
        <f>IF(tblMovement[[#This Row],[Source]]="","",IFERROR(INDEX(tblSources[Type],MATCH(tblMovement[[#This Row],[Source]],tblSources[Source],0)),"?"))</f>
        <v/>
      </c>
      <c r="L375" s="63">
        <f>IF(tblMovement[[#This Row],[Destination]]="","",IFERROR(INDEX(tblDestinations[Type],MATCH(tblMovement[[#This Row],[Destination]],tblDestinations[Destination],0)),"?"))</f>
        <v/>
      </c>
      <c r="M375" s="64">
        <f>IF(tblMovement[[#This Row],[Material]]="","",IF(LEFT(tblMovement[[#This Row],[Material]],3)="Ore",1,0))</f>
        <v/>
      </c>
      <c r="N375" s="59">
        <f>IF(OR(tblMovement[[#This Row],[Tonnes_t]]="",tblMovement[[#This Row],[Grade_gpt]]=""),0,tblMovement[[#This Row],[Tonnes_t]]*tblMovement[[#This Row],[Grade_gpt]]/cfg_TroyOz)</f>
        <v/>
      </c>
      <c r="O375" s="59">
        <f>IF(tblMovement[[#This Row],[Is_Ore]]=1,tblMovement[[#This Row],[Contained_oz]],0)</f>
        <v/>
      </c>
    </row>
    <row r="376">
      <c r="A376" s="54" t="n"/>
      <c r="B376" s="61" t="n"/>
      <c r="C376" s="61" t="n"/>
      <c r="D376" s="61" t="n"/>
      <c r="E376" s="61" t="n"/>
      <c r="F376" s="55" t="n"/>
      <c r="G376" s="56" t="n"/>
      <c r="H376" s="55" t="n"/>
      <c r="I376" s="62" t="n"/>
      <c r="J376" s="58" t="n"/>
      <c r="K376" s="63">
        <f>IF(tblMovement[[#This Row],[Source]]="","",IFERROR(INDEX(tblSources[Type],MATCH(tblMovement[[#This Row],[Source]],tblSources[Source],0)),"?"))</f>
        <v/>
      </c>
      <c r="L376" s="63">
        <f>IF(tblMovement[[#This Row],[Destination]]="","",IFERROR(INDEX(tblDestinations[Type],MATCH(tblMovement[[#This Row],[Destination]],tblDestinations[Destination],0)),"?"))</f>
        <v/>
      </c>
      <c r="M376" s="64">
        <f>IF(tblMovement[[#This Row],[Material]]="","",IF(LEFT(tblMovement[[#This Row],[Material]],3)="Ore",1,0))</f>
        <v/>
      </c>
      <c r="N376" s="59">
        <f>IF(OR(tblMovement[[#This Row],[Tonnes_t]]="",tblMovement[[#This Row],[Grade_gpt]]=""),0,tblMovement[[#This Row],[Tonnes_t]]*tblMovement[[#This Row],[Grade_gpt]]/cfg_TroyOz)</f>
        <v/>
      </c>
      <c r="O376" s="59">
        <f>IF(tblMovement[[#This Row],[Is_Ore]]=1,tblMovement[[#This Row],[Contained_oz]],0)</f>
        <v/>
      </c>
    </row>
    <row r="377">
      <c r="A377" s="54" t="n"/>
      <c r="B377" s="61" t="n"/>
      <c r="C377" s="61" t="n"/>
      <c r="D377" s="61" t="n"/>
      <c r="E377" s="61" t="n"/>
      <c r="F377" s="55" t="n"/>
      <c r="G377" s="56" t="n"/>
      <c r="H377" s="55" t="n"/>
      <c r="I377" s="62" t="n"/>
      <c r="J377" s="58" t="n"/>
      <c r="K377" s="63">
        <f>IF(tblMovement[[#This Row],[Source]]="","",IFERROR(INDEX(tblSources[Type],MATCH(tblMovement[[#This Row],[Source]],tblSources[Source],0)),"?"))</f>
        <v/>
      </c>
      <c r="L377" s="63">
        <f>IF(tblMovement[[#This Row],[Destination]]="","",IFERROR(INDEX(tblDestinations[Type],MATCH(tblMovement[[#This Row],[Destination]],tblDestinations[Destination],0)),"?"))</f>
        <v/>
      </c>
      <c r="M377" s="64">
        <f>IF(tblMovement[[#This Row],[Material]]="","",IF(LEFT(tblMovement[[#This Row],[Material]],3)="Ore",1,0))</f>
        <v/>
      </c>
      <c r="N377" s="59">
        <f>IF(OR(tblMovement[[#This Row],[Tonnes_t]]="",tblMovement[[#This Row],[Grade_gpt]]=""),0,tblMovement[[#This Row],[Tonnes_t]]*tblMovement[[#This Row],[Grade_gpt]]/cfg_TroyOz)</f>
        <v/>
      </c>
      <c r="O377" s="59">
        <f>IF(tblMovement[[#This Row],[Is_Ore]]=1,tblMovement[[#This Row],[Contained_oz]],0)</f>
        <v/>
      </c>
    </row>
    <row r="378">
      <c r="A378" s="54" t="n"/>
      <c r="B378" s="61" t="n"/>
      <c r="C378" s="61" t="n"/>
      <c r="D378" s="61" t="n"/>
      <c r="E378" s="61" t="n"/>
      <c r="F378" s="55" t="n"/>
      <c r="G378" s="56" t="n"/>
      <c r="H378" s="55" t="n"/>
      <c r="I378" s="62" t="n"/>
      <c r="J378" s="58" t="n"/>
      <c r="K378" s="63">
        <f>IF(tblMovement[[#This Row],[Source]]="","",IFERROR(INDEX(tblSources[Type],MATCH(tblMovement[[#This Row],[Source]],tblSources[Source],0)),"?"))</f>
        <v/>
      </c>
      <c r="L378" s="63">
        <f>IF(tblMovement[[#This Row],[Destination]]="","",IFERROR(INDEX(tblDestinations[Type],MATCH(tblMovement[[#This Row],[Destination]],tblDestinations[Destination],0)),"?"))</f>
        <v/>
      </c>
      <c r="M378" s="64">
        <f>IF(tblMovement[[#This Row],[Material]]="","",IF(LEFT(tblMovement[[#This Row],[Material]],3)="Ore",1,0))</f>
        <v/>
      </c>
      <c r="N378" s="59">
        <f>IF(OR(tblMovement[[#This Row],[Tonnes_t]]="",tblMovement[[#This Row],[Grade_gpt]]=""),0,tblMovement[[#This Row],[Tonnes_t]]*tblMovement[[#This Row],[Grade_gpt]]/cfg_TroyOz)</f>
        <v/>
      </c>
      <c r="O378" s="59">
        <f>IF(tblMovement[[#This Row],[Is_Ore]]=1,tblMovement[[#This Row],[Contained_oz]],0)</f>
        <v/>
      </c>
    </row>
    <row r="379">
      <c r="A379" s="54" t="n"/>
      <c r="B379" s="61" t="n"/>
      <c r="C379" s="61" t="n"/>
      <c r="D379" s="61" t="n"/>
      <c r="E379" s="61" t="n"/>
      <c r="F379" s="55" t="n"/>
      <c r="G379" s="56" t="n"/>
      <c r="H379" s="55" t="n"/>
      <c r="I379" s="62" t="n"/>
      <c r="J379" s="58" t="n"/>
      <c r="K379" s="63">
        <f>IF(tblMovement[[#This Row],[Source]]="","",IFERROR(INDEX(tblSources[Type],MATCH(tblMovement[[#This Row],[Source]],tblSources[Source],0)),"?"))</f>
        <v/>
      </c>
      <c r="L379" s="63">
        <f>IF(tblMovement[[#This Row],[Destination]]="","",IFERROR(INDEX(tblDestinations[Type],MATCH(tblMovement[[#This Row],[Destination]],tblDestinations[Destination],0)),"?"))</f>
        <v/>
      </c>
      <c r="M379" s="64">
        <f>IF(tblMovement[[#This Row],[Material]]="","",IF(LEFT(tblMovement[[#This Row],[Material]],3)="Ore",1,0))</f>
        <v/>
      </c>
      <c r="N379" s="59">
        <f>IF(OR(tblMovement[[#This Row],[Tonnes_t]]="",tblMovement[[#This Row],[Grade_gpt]]=""),0,tblMovement[[#This Row],[Tonnes_t]]*tblMovement[[#This Row],[Grade_gpt]]/cfg_TroyOz)</f>
        <v/>
      </c>
      <c r="O379" s="59">
        <f>IF(tblMovement[[#This Row],[Is_Ore]]=1,tblMovement[[#This Row],[Contained_oz]],0)</f>
        <v/>
      </c>
    </row>
    <row r="380">
      <c r="A380" s="54" t="n"/>
      <c r="B380" s="61" t="n"/>
      <c r="C380" s="61" t="n"/>
      <c r="D380" s="61" t="n"/>
      <c r="E380" s="61" t="n"/>
      <c r="F380" s="55" t="n"/>
      <c r="G380" s="56" t="n"/>
      <c r="H380" s="55" t="n"/>
      <c r="I380" s="62" t="n"/>
      <c r="J380" s="58" t="n"/>
      <c r="K380" s="63">
        <f>IF(tblMovement[[#This Row],[Source]]="","",IFERROR(INDEX(tblSources[Type],MATCH(tblMovement[[#This Row],[Source]],tblSources[Source],0)),"?"))</f>
        <v/>
      </c>
      <c r="L380" s="63">
        <f>IF(tblMovement[[#This Row],[Destination]]="","",IFERROR(INDEX(tblDestinations[Type],MATCH(tblMovement[[#This Row],[Destination]],tblDestinations[Destination],0)),"?"))</f>
        <v/>
      </c>
      <c r="M380" s="64">
        <f>IF(tblMovement[[#This Row],[Material]]="","",IF(LEFT(tblMovement[[#This Row],[Material]],3)="Ore",1,0))</f>
        <v/>
      </c>
      <c r="N380" s="59">
        <f>IF(OR(tblMovement[[#This Row],[Tonnes_t]]="",tblMovement[[#This Row],[Grade_gpt]]=""),0,tblMovement[[#This Row],[Tonnes_t]]*tblMovement[[#This Row],[Grade_gpt]]/cfg_TroyOz)</f>
        <v/>
      </c>
      <c r="O380" s="59">
        <f>IF(tblMovement[[#This Row],[Is_Ore]]=1,tblMovement[[#This Row],[Contained_oz]],0)</f>
        <v/>
      </c>
    </row>
    <row r="381">
      <c r="A381" s="54" t="n"/>
      <c r="B381" s="61" t="n"/>
      <c r="C381" s="61" t="n"/>
      <c r="D381" s="61" t="n"/>
      <c r="E381" s="61" t="n"/>
      <c r="F381" s="55" t="n"/>
      <c r="G381" s="56" t="n"/>
      <c r="H381" s="55" t="n"/>
      <c r="I381" s="62" t="n"/>
      <c r="J381" s="58" t="n"/>
      <c r="K381" s="63">
        <f>IF(tblMovement[[#This Row],[Source]]="","",IFERROR(INDEX(tblSources[Type],MATCH(tblMovement[[#This Row],[Source]],tblSources[Source],0)),"?"))</f>
        <v/>
      </c>
      <c r="L381" s="63">
        <f>IF(tblMovement[[#This Row],[Destination]]="","",IFERROR(INDEX(tblDestinations[Type],MATCH(tblMovement[[#This Row],[Destination]],tblDestinations[Destination],0)),"?"))</f>
        <v/>
      </c>
      <c r="M381" s="64">
        <f>IF(tblMovement[[#This Row],[Material]]="","",IF(LEFT(tblMovement[[#This Row],[Material]],3)="Ore",1,0))</f>
        <v/>
      </c>
      <c r="N381" s="59">
        <f>IF(OR(tblMovement[[#This Row],[Tonnes_t]]="",tblMovement[[#This Row],[Grade_gpt]]=""),0,tblMovement[[#This Row],[Tonnes_t]]*tblMovement[[#This Row],[Grade_gpt]]/cfg_TroyOz)</f>
        <v/>
      </c>
      <c r="O381" s="59">
        <f>IF(tblMovement[[#This Row],[Is_Ore]]=1,tblMovement[[#This Row],[Contained_oz]],0)</f>
        <v/>
      </c>
    </row>
    <row r="382">
      <c r="A382" s="54" t="n"/>
      <c r="B382" s="61" t="n"/>
      <c r="C382" s="61" t="n"/>
      <c r="D382" s="61" t="n"/>
      <c r="E382" s="61" t="n"/>
      <c r="F382" s="55" t="n"/>
      <c r="G382" s="56" t="n"/>
      <c r="H382" s="55" t="n"/>
      <c r="I382" s="62" t="n"/>
      <c r="J382" s="58" t="n"/>
      <c r="K382" s="63">
        <f>IF(tblMovement[[#This Row],[Source]]="","",IFERROR(INDEX(tblSources[Type],MATCH(tblMovement[[#This Row],[Source]],tblSources[Source],0)),"?"))</f>
        <v/>
      </c>
      <c r="L382" s="63">
        <f>IF(tblMovement[[#This Row],[Destination]]="","",IFERROR(INDEX(tblDestinations[Type],MATCH(tblMovement[[#This Row],[Destination]],tblDestinations[Destination],0)),"?"))</f>
        <v/>
      </c>
      <c r="M382" s="64">
        <f>IF(tblMovement[[#This Row],[Material]]="","",IF(LEFT(tblMovement[[#This Row],[Material]],3)="Ore",1,0))</f>
        <v/>
      </c>
      <c r="N382" s="59">
        <f>IF(OR(tblMovement[[#This Row],[Tonnes_t]]="",tblMovement[[#This Row],[Grade_gpt]]=""),0,tblMovement[[#This Row],[Tonnes_t]]*tblMovement[[#This Row],[Grade_gpt]]/cfg_TroyOz)</f>
        <v/>
      </c>
      <c r="O382" s="59">
        <f>IF(tblMovement[[#This Row],[Is_Ore]]=1,tblMovement[[#This Row],[Contained_oz]],0)</f>
        <v/>
      </c>
    </row>
    <row r="383">
      <c r="A383" s="54" t="n"/>
      <c r="B383" s="61" t="n"/>
      <c r="C383" s="61" t="n"/>
      <c r="D383" s="61" t="n"/>
      <c r="E383" s="61" t="n"/>
      <c r="F383" s="55" t="n"/>
      <c r="G383" s="56" t="n"/>
      <c r="H383" s="55" t="n"/>
      <c r="I383" s="62" t="n"/>
      <c r="J383" s="58" t="n"/>
      <c r="K383" s="63">
        <f>IF(tblMovement[[#This Row],[Source]]="","",IFERROR(INDEX(tblSources[Type],MATCH(tblMovement[[#This Row],[Source]],tblSources[Source],0)),"?"))</f>
        <v/>
      </c>
      <c r="L383" s="63">
        <f>IF(tblMovement[[#This Row],[Destination]]="","",IFERROR(INDEX(tblDestinations[Type],MATCH(tblMovement[[#This Row],[Destination]],tblDestinations[Destination],0)),"?"))</f>
        <v/>
      </c>
      <c r="M383" s="64">
        <f>IF(tblMovement[[#This Row],[Material]]="","",IF(LEFT(tblMovement[[#This Row],[Material]],3)="Ore",1,0))</f>
        <v/>
      </c>
      <c r="N383" s="59">
        <f>IF(OR(tblMovement[[#This Row],[Tonnes_t]]="",tblMovement[[#This Row],[Grade_gpt]]=""),0,tblMovement[[#This Row],[Tonnes_t]]*tblMovement[[#This Row],[Grade_gpt]]/cfg_TroyOz)</f>
        <v/>
      </c>
      <c r="O383" s="59">
        <f>IF(tblMovement[[#This Row],[Is_Ore]]=1,tblMovement[[#This Row],[Contained_oz]],0)</f>
        <v/>
      </c>
    </row>
    <row r="384">
      <c r="A384" s="54" t="n"/>
      <c r="B384" s="61" t="n"/>
      <c r="C384" s="61" t="n"/>
      <c r="D384" s="61" t="n"/>
      <c r="E384" s="61" t="n"/>
      <c r="F384" s="55" t="n"/>
      <c r="G384" s="56" t="n"/>
      <c r="H384" s="55" t="n"/>
      <c r="I384" s="62" t="n"/>
      <c r="J384" s="58" t="n"/>
      <c r="K384" s="63">
        <f>IF(tblMovement[[#This Row],[Source]]="","",IFERROR(INDEX(tblSources[Type],MATCH(tblMovement[[#This Row],[Source]],tblSources[Source],0)),"?"))</f>
        <v/>
      </c>
      <c r="L384" s="63">
        <f>IF(tblMovement[[#This Row],[Destination]]="","",IFERROR(INDEX(tblDestinations[Type],MATCH(tblMovement[[#This Row],[Destination]],tblDestinations[Destination],0)),"?"))</f>
        <v/>
      </c>
      <c r="M384" s="64">
        <f>IF(tblMovement[[#This Row],[Material]]="","",IF(LEFT(tblMovement[[#This Row],[Material]],3)="Ore",1,0))</f>
        <v/>
      </c>
      <c r="N384" s="59">
        <f>IF(OR(tblMovement[[#This Row],[Tonnes_t]]="",tblMovement[[#This Row],[Grade_gpt]]=""),0,tblMovement[[#This Row],[Tonnes_t]]*tblMovement[[#This Row],[Grade_gpt]]/cfg_TroyOz)</f>
        <v/>
      </c>
      <c r="O384" s="59">
        <f>IF(tblMovement[[#This Row],[Is_Ore]]=1,tblMovement[[#This Row],[Contained_oz]],0)</f>
        <v/>
      </c>
    </row>
    <row r="385">
      <c r="A385" s="54" t="n"/>
      <c r="B385" s="61" t="n"/>
      <c r="C385" s="61" t="n"/>
      <c r="D385" s="61" t="n"/>
      <c r="E385" s="61" t="n"/>
      <c r="F385" s="55" t="n"/>
      <c r="G385" s="56" t="n"/>
      <c r="H385" s="55" t="n"/>
      <c r="I385" s="62" t="n"/>
      <c r="J385" s="58" t="n"/>
      <c r="K385" s="63">
        <f>IF(tblMovement[[#This Row],[Source]]="","",IFERROR(INDEX(tblSources[Type],MATCH(tblMovement[[#This Row],[Source]],tblSources[Source],0)),"?"))</f>
        <v/>
      </c>
      <c r="L385" s="63">
        <f>IF(tblMovement[[#This Row],[Destination]]="","",IFERROR(INDEX(tblDestinations[Type],MATCH(tblMovement[[#This Row],[Destination]],tblDestinations[Destination],0)),"?"))</f>
        <v/>
      </c>
      <c r="M385" s="64">
        <f>IF(tblMovement[[#This Row],[Material]]="","",IF(LEFT(tblMovement[[#This Row],[Material]],3)="Ore",1,0))</f>
        <v/>
      </c>
      <c r="N385" s="59">
        <f>IF(OR(tblMovement[[#This Row],[Tonnes_t]]="",tblMovement[[#This Row],[Grade_gpt]]=""),0,tblMovement[[#This Row],[Tonnes_t]]*tblMovement[[#This Row],[Grade_gpt]]/cfg_TroyOz)</f>
        <v/>
      </c>
      <c r="O385" s="59">
        <f>IF(tblMovement[[#This Row],[Is_Ore]]=1,tblMovement[[#This Row],[Contained_oz]],0)</f>
        <v/>
      </c>
    </row>
    <row r="386">
      <c r="A386" s="54" t="n"/>
      <c r="B386" s="61" t="n"/>
      <c r="C386" s="61" t="n"/>
      <c r="D386" s="61" t="n"/>
      <c r="E386" s="61" t="n"/>
      <c r="F386" s="55" t="n"/>
      <c r="G386" s="56" t="n"/>
      <c r="H386" s="55" t="n"/>
      <c r="I386" s="62" t="n"/>
      <c r="J386" s="58" t="n"/>
      <c r="K386" s="63">
        <f>IF(tblMovement[[#This Row],[Source]]="","",IFERROR(INDEX(tblSources[Type],MATCH(tblMovement[[#This Row],[Source]],tblSources[Source],0)),"?"))</f>
        <v/>
      </c>
      <c r="L386" s="63">
        <f>IF(tblMovement[[#This Row],[Destination]]="","",IFERROR(INDEX(tblDestinations[Type],MATCH(tblMovement[[#This Row],[Destination]],tblDestinations[Destination],0)),"?"))</f>
        <v/>
      </c>
      <c r="M386" s="64">
        <f>IF(tblMovement[[#This Row],[Material]]="","",IF(LEFT(tblMovement[[#This Row],[Material]],3)="Ore",1,0))</f>
        <v/>
      </c>
      <c r="N386" s="59">
        <f>IF(OR(tblMovement[[#This Row],[Tonnes_t]]="",tblMovement[[#This Row],[Grade_gpt]]=""),0,tblMovement[[#This Row],[Tonnes_t]]*tblMovement[[#This Row],[Grade_gpt]]/cfg_TroyOz)</f>
        <v/>
      </c>
      <c r="O386" s="59">
        <f>IF(tblMovement[[#This Row],[Is_Ore]]=1,tblMovement[[#This Row],[Contained_oz]],0)</f>
        <v/>
      </c>
    </row>
    <row r="387">
      <c r="A387" s="54" t="n"/>
      <c r="B387" s="61" t="n"/>
      <c r="C387" s="61" t="n"/>
      <c r="D387" s="61" t="n"/>
      <c r="E387" s="61" t="n"/>
      <c r="F387" s="55" t="n"/>
      <c r="G387" s="56" t="n"/>
      <c r="H387" s="55" t="n"/>
      <c r="I387" s="62" t="n"/>
      <c r="J387" s="58" t="n"/>
      <c r="K387" s="63">
        <f>IF(tblMovement[[#This Row],[Source]]="","",IFERROR(INDEX(tblSources[Type],MATCH(tblMovement[[#This Row],[Source]],tblSources[Source],0)),"?"))</f>
        <v/>
      </c>
      <c r="L387" s="63">
        <f>IF(tblMovement[[#This Row],[Destination]]="","",IFERROR(INDEX(tblDestinations[Type],MATCH(tblMovement[[#This Row],[Destination]],tblDestinations[Destination],0)),"?"))</f>
        <v/>
      </c>
      <c r="M387" s="64">
        <f>IF(tblMovement[[#This Row],[Material]]="","",IF(LEFT(tblMovement[[#This Row],[Material]],3)="Ore",1,0))</f>
        <v/>
      </c>
      <c r="N387" s="59">
        <f>IF(OR(tblMovement[[#This Row],[Tonnes_t]]="",tblMovement[[#This Row],[Grade_gpt]]=""),0,tblMovement[[#This Row],[Tonnes_t]]*tblMovement[[#This Row],[Grade_gpt]]/cfg_TroyOz)</f>
        <v/>
      </c>
      <c r="O387" s="59">
        <f>IF(tblMovement[[#This Row],[Is_Ore]]=1,tblMovement[[#This Row],[Contained_oz]],0)</f>
        <v/>
      </c>
    </row>
    <row r="388">
      <c r="A388" s="54" t="n"/>
      <c r="B388" s="61" t="n"/>
      <c r="C388" s="61" t="n"/>
      <c r="D388" s="61" t="n"/>
      <c r="E388" s="61" t="n"/>
      <c r="F388" s="55" t="n"/>
      <c r="G388" s="56" t="n"/>
      <c r="H388" s="55" t="n"/>
      <c r="I388" s="62" t="n"/>
      <c r="J388" s="58" t="n"/>
      <c r="K388" s="63">
        <f>IF(tblMovement[[#This Row],[Source]]="","",IFERROR(INDEX(tblSources[Type],MATCH(tblMovement[[#This Row],[Source]],tblSources[Source],0)),"?"))</f>
        <v/>
      </c>
      <c r="L388" s="63">
        <f>IF(tblMovement[[#This Row],[Destination]]="","",IFERROR(INDEX(tblDestinations[Type],MATCH(tblMovement[[#This Row],[Destination]],tblDestinations[Destination],0)),"?"))</f>
        <v/>
      </c>
      <c r="M388" s="64">
        <f>IF(tblMovement[[#This Row],[Material]]="","",IF(LEFT(tblMovement[[#This Row],[Material]],3)="Ore",1,0))</f>
        <v/>
      </c>
      <c r="N388" s="59">
        <f>IF(OR(tblMovement[[#This Row],[Tonnes_t]]="",tblMovement[[#This Row],[Grade_gpt]]=""),0,tblMovement[[#This Row],[Tonnes_t]]*tblMovement[[#This Row],[Grade_gpt]]/cfg_TroyOz)</f>
        <v/>
      </c>
      <c r="O388" s="59">
        <f>IF(tblMovement[[#This Row],[Is_Ore]]=1,tblMovement[[#This Row],[Contained_oz]],0)</f>
        <v/>
      </c>
    </row>
    <row r="389">
      <c r="A389" s="54" t="n"/>
      <c r="B389" s="61" t="n"/>
      <c r="C389" s="61" t="n"/>
      <c r="D389" s="61" t="n"/>
      <c r="E389" s="61" t="n"/>
      <c r="F389" s="55" t="n"/>
      <c r="G389" s="56" t="n"/>
      <c r="H389" s="55" t="n"/>
      <c r="I389" s="62" t="n"/>
      <c r="J389" s="58" t="n"/>
      <c r="K389" s="63">
        <f>IF(tblMovement[[#This Row],[Source]]="","",IFERROR(INDEX(tblSources[Type],MATCH(tblMovement[[#This Row],[Source]],tblSources[Source],0)),"?"))</f>
        <v/>
      </c>
      <c r="L389" s="63">
        <f>IF(tblMovement[[#This Row],[Destination]]="","",IFERROR(INDEX(tblDestinations[Type],MATCH(tblMovement[[#This Row],[Destination]],tblDestinations[Destination],0)),"?"))</f>
        <v/>
      </c>
      <c r="M389" s="64">
        <f>IF(tblMovement[[#This Row],[Material]]="","",IF(LEFT(tblMovement[[#This Row],[Material]],3)="Ore",1,0))</f>
        <v/>
      </c>
      <c r="N389" s="59">
        <f>IF(OR(tblMovement[[#This Row],[Tonnes_t]]="",tblMovement[[#This Row],[Grade_gpt]]=""),0,tblMovement[[#This Row],[Tonnes_t]]*tblMovement[[#This Row],[Grade_gpt]]/cfg_TroyOz)</f>
        <v/>
      </c>
      <c r="O389" s="59">
        <f>IF(tblMovement[[#This Row],[Is_Ore]]=1,tblMovement[[#This Row],[Contained_oz]],0)</f>
        <v/>
      </c>
    </row>
    <row r="390">
      <c r="A390" s="54" t="n"/>
      <c r="B390" s="61" t="n"/>
      <c r="C390" s="61" t="n"/>
      <c r="D390" s="61" t="n"/>
      <c r="E390" s="61" t="n"/>
      <c r="F390" s="55" t="n"/>
      <c r="G390" s="56" t="n"/>
      <c r="H390" s="55" t="n"/>
      <c r="I390" s="62" t="n"/>
      <c r="J390" s="58" t="n"/>
      <c r="K390" s="63">
        <f>IF(tblMovement[[#This Row],[Source]]="","",IFERROR(INDEX(tblSources[Type],MATCH(tblMovement[[#This Row],[Source]],tblSources[Source],0)),"?"))</f>
        <v/>
      </c>
      <c r="L390" s="63">
        <f>IF(tblMovement[[#This Row],[Destination]]="","",IFERROR(INDEX(tblDestinations[Type],MATCH(tblMovement[[#This Row],[Destination]],tblDestinations[Destination],0)),"?"))</f>
        <v/>
      </c>
      <c r="M390" s="64">
        <f>IF(tblMovement[[#This Row],[Material]]="","",IF(LEFT(tblMovement[[#This Row],[Material]],3)="Ore",1,0))</f>
        <v/>
      </c>
      <c r="N390" s="59">
        <f>IF(OR(tblMovement[[#This Row],[Tonnes_t]]="",tblMovement[[#This Row],[Grade_gpt]]=""),0,tblMovement[[#This Row],[Tonnes_t]]*tblMovement[[#This Row],[Grade_gpt]]/cfg_TroyOz)</f>
        <v/>
      </c>
      <c r="O390" s="59">
        <f>IF(tblMovement[[#This Row],[Is_Ore]]=1,tblMovement[[#This Row],[Contained_oz]],0)</f>
        <v/>
      </c>
    </row>
    <row r="391">
      <c r="A391" s="54" t="n"/>
      <c r="B391" s="61" t="n"/>
      <c r="C391" s="61" t="n"/>
      <c r="D391" s="61" t="n"/>
      <c r="E391" s="61" t="n"/>
      <c r="F391" s="55" t="n"/>
      <c r="G391" s="56" t="n"/>
      <c r="H391" s="55" t="n"/>
      <c r="I391" s="62" t="n"/>
      <c r="J391" s="58" t="n"/>
      <c r="K391" s="63">
        <f>IF(tblMovement[[#This Row],[Source]]="","",IFERROR(INDEX(tblSources[Type],MATCH(tblMovement[[#This Row],[Source]],tblSources[Source],0)),"?"))</f>
        <v/>
      </c>
      <c r="L391" s="63">
        <f>IF(tblMovement[[#This Row],[Destination]]="","",IFERROR(INDEX(tblDestinations[Type],MATCH(tblMovement[[#This Row],[Destination]],tblDestinations[Destination],0)),"?"))</f>
        <v/>
      </c>
      <c r="M391" s="64">
        <f>IF(tblMovement[[#This Row],[Material]]="","",IF(LEFT(tblMovement[[#This Row],[Material]],3)="Ore",1,0))</f>
        <v/>
      </c>
      <c r="N391" s="59">
        <f>IF(OR(tblMovement[[#This Row],[Tonnes_t]]="",tblMovement[[#This Row],[Grade_gpt]]=""),0,tblMovement[[#This Row],[Tonnes_t]]*tblMovement[[#This Row],[Grade_gpt]]/cfg_TroyOz)</f>
        <v/>
      </c>
      <c r="O391" s="59">
        <f>IF(tblMovement[[#This Row],[Is_Ore]]=1,tblMovement[[#This Row],[Contained_oz]],0)</f>
        <v/>
      </c>
    </row>
    <row r="392">
      <c r="A392" s="54" t="n"/>
      <c r="B392" s="61" t="n"/>
      <c r="C392" s="61" t="n"/>
      <c r="D392" s="61" t="n"/>
      <c r="E392" s="61" t="n"/>
      <c r="F392" s="55" t="n"/>
      <c r="G392" s="56" t="n"/>
      <c r="H392" s="55" t="n"/>
      <c r="I392" s="62" t="n"/>
      <c r="J392" s="58" t="n"/>
      <c r="K392" s="63">
        <f>IF(tblMovement[[#This Row],[Source]]="","",IFERROR(INDEX(tblSources[Type],MATCH(tblMovement[[#This Row],[Source]],tblSources[Source],0)),"?"))</f>
        <v/>
      </c>
      <c r="L392" s="63">
        <f>IF(tblMovement[[#This Row],[Destination]]="","",IFERROR(INDEX(tblDestinations[Type],MATCH(tblMovement[[#This Row],[Destination]],tblDestinations[Destination],0)),"?"))</f>
        <v/>
      </c>
      <c r="M392" s="64">
        <f>IF(tblMovement[[#This Row],[Material]]="","",IF(LEFT(tblMovement[[#This Row],[Material]],3)="Ore",1,0))</f>
        <v/>
      </c>
      <c r="N392" s="59">
        <f>IF(OR(tblMovement[[#This Row],[Tonnes_t]]="",tblMovement[[#This Row],[Grade_gpt]]=""),0,tblMovement[[#This Row],[Tonnes_t]]*tblMovement[[#This Row],[Grade_gpt]]/cfg_TroyOz)</f>
        <v/>
      </c>
      <c r="O392" s="59">
        <f>IF(tblMovement[[#This Row],[Is_Ore]]=1,tblMovement[[#This Row],[Contained_oz]],0)</f>
        <v/>
      </c>
    </row>
    <row r="393">
      <c r="A393" s="54" t="n"/>
      <c r="B393" s="61" t="n"/>
      <c r="C393" s="61" t="n"/>
      <c r="D393" s="61" t="n"/>
      <c r="E393" s="61" t="n"/>
      <c r="F393" s="55" t="n"/>
      <c r="G393" s="56" t="n"/>
      <c r="H393" s="55" t="n"/>
      <c r="I393" s="62" t="n"/>
      <c r="J393" s="58" t="n"/>
      <c r="K393" s="63">
        <f>IF(tblMovement[[#This Row],[Source]]="","",IFERROR(INDEX(tblSources[Type],MATCH(tblMovement[[#This Row],[Source]],tblSources[Source],0)),"?"))</f>
        <v/>
      </c>
      <c r="L393" s="63">
        <f>IF(tblMovement[[#This Row],[Destination]]="","",IFERROR(INDEX(tblDestinations[Type],MATCH(tblMovement[[#This Row],[Destination]],tblDestinations[Destination],0)),"?"))</f>
        <v/>
      </c>
      <c r="M393" s="64">
        <f>IF(tblMovement[[#This Row],[Material]]="","",IF(LEFT(tblMovement[[#This Row],[Material]],3)="Ore",1,0))</f>
        <v/>
      </c>
      <c r="N393" s="59">
        <f>IF(OR(tblMovement[[#This Row],[Tonnes_t]]="",tblMovement[[#This Row],[Grade_gpt]]=""),0,tblMovement[[#This Row],[Tonnes_t]]*tblMovement[[#This Row],[Grade_gpt]]/cfg_TroyOz)</f>
        <v/>
      </c>
      <c r="O393" s="59">
        <f>IF(tblMovement[[#This Row],[Is_Ore]]=1,tblMovement[[#This Row],[Contained_oz]],0)</f>
        <v/>
      </c>
    </row>
    <row r="394">
      <c r="A394" s="54" t="n"/>
      <c r="B394" s="61" t="n"/>
      <c r="C394" s="61" t="n"/>
      <c r="D394" s="61" t="n"/>
      <c r="E394" s="61" t="n"/>
      <c r="F394" s="55" t="n"/>
      <c r="G394" s="56" t="n"/>
      <c r="H394" s="55" t="n"/>
      <c r="I394" s="62" t="n"/>
      <c r="J394" s="58" t="n"/>
      <c r="K394" s="63">
        <f>IF(tblMovement[[#This Row],[Source]]="","",IFERROR(INDEX(tblSources[Type],MATCH(tblMovement[[#This Row],[Source]],tblSources[Source],0)),"?"))</f>
        <v/>
      </c>
      <c r="L394" s="63">
        <f>IF(tblMovement[[#This Row],[Destination]]="","",IFERROR(INDEX(tblDestinations[Type],MATCH(tblMovement[[#This Row],[Destination]],tblDestinations[Destination],0)),"?"))</f>
        <v/>
      </c>
      <c r="M394" s="64">
        <f>IF(tblMovement[[#This Row],[Material]]="","",IF(LEFT(tblMovement[[#This Row],[Material]],3)="Ore",1,0))</f>
        <v/>
      </c>
      <c r="N394" s="59">
        <f>IF(OR(tblMovement[[#This Row],[Tonnes_t]]="",tblMovement[[#This Row],[Grade_gpt]]=""),0,tblMovement[[#This Row],[Tonnes_t]]*tblMovement[[#This Row],[Grade_gpt]]/cfg_TroyOz)</f>
        <v/>
      </c>
      <c r="O394" s="59">
        <f>IF(tblMovement[[#This Row],[Is_Ore]]=1,tblMovement[[#This Row],[Contained_oz]],0)</f>
        <v/>
      </c>
    </row>
    <row r="395">
      <c r="A395" s="54" t="n"/>
      <c r="B395" s="61" t="n"/>
      <c r="C395" s="61" t="n"/>
      <c r="D395" s="61" t="n"/>
      <c r="E395" s="61" t="n"/>
      <c r="F395" s="55" t="n"/>
      <c r="G395" s="56" t="n"/>
      <c r="H395" s="55" t="n"/>
      <c r="I395" s="62" t="n"/>
      <c r="J395" s="58" t="n"/>
      <c r="K395" s="63">
        <f>IF(tblMovement[[#This Row],[Source]]="","",IFERROR(INDEX(tblSources[Type],MATCH(tblMovement[[#This Row],[Source]],tblSources[Source],0)),"?"))</f>
        <v/>
      </c>
      <c r="L395" s="63">
        <f>IF(tblMovement[[#This Row],[Destination]]="","",IFERROR(INDEX(tblDestinations[Type],MATCH(tblMovement[[#This Row],[Destination]],tblDestinations[Destination],0)),"?"))</f>
        <v/>
      </c>
      <c r="M395" s="64">
        <f>IF(tblMovement[[#This Row],[Material]]="","",IF(LEFT(tblMovement[[#This Row],[Material]],3)="Ore",1,0))</f>
        <v/>
      </c>
      <c r="N395" s="59">
        <f>IF(OR(tblMovement[[#This Row],[Tonnes_t]]="",tblMovement[[#This Row],[Grade_gpt]]=""),0,tblMovement[[#This Row],[Tonnes_t]]*tblMovement[[#This Row],[Grade_gpt]]/cfg_TroyOz)</f>
        <v/>
      </c>
      <c r="O395" s="59">
        <f>IF(tblMovement[[#This Row],[Is_Ore]]=1,tblMovement[[#This Row],[Contained_oz]],0)</f>
        <v/>
      </c>
    </row>
    <row r="396">
      <c r="A396" s="54" t="n"/>
      <c r="B396" s="61" t="n"/>
      <c r="C396" s="61" t="n"/>
      <c r="D396" s="61" t="n"/>
      <c r="E396" s="61" t="n"/>
      <c r="F396" s="55" t="n"/>
      <c r="G396" s="56" t="n"/>
      <c r="H396" s="55" t="n"/>
      <c r="I396" s="62" t="n"/>
      <c r="J396" s="58" t="n"/>
      <c r="K396" s="63">
        <f>IF(tblMovement[[#This Row],[Source]]="","",IFERROR(INDEX(tblSources[Type],MATCH(tblMovement[[#This Row],[Source]],tblSources[Source],0)),"?"))</f>
        <v/>
      </c>
      <c r="L396" s="63">
        <f>IF(tblMovement[[#This Row],[Destination]]="","",IFERROR(INDEX(tblDestinations[Type],MATCH(tblMovement[[#This Row],[Destination]],tblDestinations[Destination],0)),"?"))</f>
        <v/>
      </c>
      <c r="M396" s="64">
        <f>IF(tblMovement[[#This Row],[Material]]="","",IF(LEFT(tblMovement[[#This Row],[Material]],3)="Ore",1,0))</f>
        <v/>
      </c>
      <c r="N396" s="59">
        <f>IF(OR(tblMovement[[#This Row],[Tonnes_t]]="",tblMovement[[#This Row],[Grade_gpt]]=""),0,tblMovement[[#This Row],[Tonnes_t]]*tblMovement[[#This Row],[Grade_gpt]]/cfg_TroyOz)</f>
        <v/>
      </c>
      <c r="O396" s="59">
        <f>IF(tblMovement[[#This Row],[Is_Ore]]=1,tblMovement[[#This Row],[Contained_oz]],0)</f>
        <v/>
      </c>
    </row>
    <row r="397">
      <c r="A397" s="54" t="n"/>
      <c r="B397" s="61" t="n"/>
      <c r="C397" s="61" t="n"/>
      <c r="D397" s="61" t="n"/>
      <c r="E397" s="61" t="n"/>
      <c r="F397" s="55" t="n"/>
      <c r="G397" s="56" t="n"/>
      <c r="H397" s="55" t="n"/>
      <c r="I397" s="62" t="n"/>
      <c r="J397" s="58" t="n"/>
      <c r="K397" s="63">
        <f>IF(tblMovement[[#This Row],[Source]]="","",IFERROR(INDEX(tblSources[Type],MATCH(tblMovement[[#This Row],[Source]],tblSources[Source],0)),"?"))</f>
        <v/>
      </c>
      <c r="L397" s="63">
        <f>IF(tblMovement[[#This Row],[Destination]]="","",IFERROR(INDEX(tblDestinations[Type],MATCH(tblMovement[[#This Row],[Destination]],tblDestinations[Destination],0)),"?"))</f>
        <v/>
      </c>
      <c r="M397" s="64">
        <f>IF(tblMovement[[#This Row],[Material]]="","",IF(LEFT(tblMovement[[#This Row],[Material]],3)="Ore",1,0))</f>
        <v/>
      </c>
      <c r="N397" s="59">
        <f>IF(OR(tblMovement[[#This Row],[Tonnes_t]]="",tblMovement[[#This Row],[Grade_gpt]]=""),0,tblMovement[[#This Row],[Tonnes_t]]*tblMovement[[#This Row],[Grade_gpt]]/cfg_TroyOz)</f>
        <v/>
      </c>
      <c r="O397" s="59">
        <f>IF(tblMovement[[#This Row],[Is_Ore]]=1,tblMovement[[#This Row],[Contained_oz]],0)</f>
        <v/>
      </c>
    </row>
    <row r="398">
      <c r="A398" s="54" t="n"/>
      <c r="B398" s="61" t="n"/>
      <c r="C398" s="61" t="n"/>
      <c r="D398" s="61" t="n"/>
      <c r="E398" s="61" t="n"/>
      <c r="F398" s="55" t="n"/>
      <c r="G398" s="56" t="n"/>
      <c r="H398" s="55" t="n"/>
      <c r="I398" s="62" t="n"/>
      <c r="J398" s="58" t="n"/>
      <c r="K398" s="63">
        <f>IF(tblMovement[[#This Row],[Source]]="","",IFERROR(INDEX(tblSources[Type],MATCH(tblMovement[[#This Row],[Source]],tblSources[Source],0)),"?"))</f>
        <v/>
      </c>
      <c r="L398" s="63">
        <f>IF(tblMovement[[#This Row],[Destination]]="","",IFERROR(INDEX(tblDestinations[Type],MATCH(tblMovement[[#This Row],[Destination]],tblDestinations[Destination],0)),"?"))</f>
        <v/>
      </c>
      <c r="M398" s="64">
        <f>IF(tblMovement[[#This Row],[Material]]="","",IF(LEFT(tblMovement[[#This Row],[Material]],3)="Ore",1,0))</f>
        <v/>
      </c>
      <c r="N398" s="59">
        <f>IF(OR(tblMovement[[#This Row],[Tonnes_t]]="",tblMovement[[#This Row],[Grade_gpt]]=""),0,tblMovement[[#This Row],[Tonnes_t]]*tblMovement[[#This Row],[Grade_gpt]]/cfg_TroyOz)</f>
        <v/>
      </c>
      <c r="O398" s="59">
        <f>IF(tblMovement[[#This Row],[Is_Ore]]=1,tblMovement[[#This Row],[Contained_oz]],0)</f>
        <v/>
      </c>
    </row>
    <row r="399">
      <c r="A399" s="54" t="n"/>
      <c r="B399" s="61" t="n"/>
      <c r="C399" s="61" t="n"/>
      <c r="D399" s="61" t="n"/>
      <c r="E399" s="61" t="n"/>
      <c r="F399" s="55" t="n"/>
      <c r="G399" s="56" t="n"/>
      <c r="H399" s="55" t="n"/>
      <c r="I399" s="62" t="n"/>
      <c r="J399" s="58" t="n"/>
      <c r="K399" s="63">
        <f>IF(tblMovement[[#This Row],[Source]]="","",IFERROR(INDEX(tblSources[Type],MATCH(tblMovement[[#This Row],[Source]],tblSources[Source],0)),"?"))</f>
        <v/>
      </c>
      <c r="L399" s="63">
        <f>IF(tblMovement[[#This Row],[Destination]]="","",IFERROR(INDEX(tblDestinations[Type],MATCH(tblMovement[[#This Row],[Destination]],tblDestinations[Destination],0)),"?"))</f>
        <v/>
      </c>
      <c r="M399" s="64">
        <f>IF(tblMovement[[#This Row],[Material]]="","",IF(LEFT(tblMovement[[#This Row],[Material]],3)="Ore",1,0))</f>
        <v/>
      </c>
      <c r="N399" s="59">
        <f>IF(OR(tblMovement[[#This Row],[Tonnes_t]]="",tblMovement[[#This Row],[Grade_gpt]]=""),0,tblMovement[[#This Row],[Tonnes_t]]*tblMovement[[#This Row],[Grade_gpt]]/cfg_TroyOz)</f>
        <v/>
      </c>
      <c r="O399" s="59">
        <f>IF(tblMovement[[#This Row],[Is_Ore]]=1,tblMovement[[#This Row],[Contained_oz]],0)</f>
        <v/>
      </c>
    </row>
    <row r="400">
      <c r="A400" s="54" t="n"/>
      <c r="B400" s="61" t="n"/>
      <c r="C400" s="61" t="n"/>
      <c r="D400" s="61" t="n"/>
      <c r="E400" s="61" t="n"/>
      <c r="F400" s="55" t="n"/>
      <c r="G400" s="56" t="n"/>
      <c r="H400" s="55" t="n"/>
      <c r="I400" s="62" t="n"/>
      <c r="J400" s="58" t="n"/>
      <c r="K400" s="63">
        <f>IF(tblMovement[[#This Row],[Source]]="","",IFERROR(INDEX(tblSources[Type],MATCH(tblMovement[[#This Row],[Source]],tblSources[Source],0)),"?"))</f>
        <v/>
      </c>
      <c r="L400" s="63">
        <f>IF(tblMovement[[#This Row],[Destination]]="","",IFERROR(INDEX(tblDestinations[Type],MATCH(tblMovement[[#This Row],[Destination]],tblDestinations[Destination],0)),"?"))</f>
        <v/>
      </c>
      <c r="M400" s="64">
        <f>IF(tblMovement[[#This Row],[Material]]="","",IF(LEFT(tblMovement[[#This Row],[Material]],3)="Ore",1,0))</f>
        <v/>
      </c>
      <c r="N400" s="59">
        <f>IF(OR(tblMovement[[#This Row],[Tonnes_t]]="",tblMovement[[#This Row],[Grade_gpt]]=""),0,tblMovement[[#This Row],[Tonnes_t]]*tblMovement[[#This Row],[Grade_gpt]]/cfg_TroyOz)</f>
        <v/>
      </c>
      <c r="O400" s="59">
        <f>IF(tblMovement[[#This Row],[Is_Ore]]=1,tblMovement[[#This Row],[Contained_oz]],0)</f>
        <v/>
      </c>
    </row>
    <row r="401">
      <c r="A401" s="54" t="n"/>
      <c r="B401" s="61" t="n"/>
      <c r="C401" s="61" t="n"/>
      <c r="D401" s="61" t="n"/>
      <c r="E401" s="61" t="n"/>
      <c r="F401" s="55" t="n"/>
      <c r="G401" s="56" t="n"/>
      <c r="H401" s="55" t="n"/>
      <c r="I401" s="62" t="n"/>
      <c r="J401" s="58" t="n"/>
      <c r="K401" s="63">
        <f>IF(tblMovement[[#This Row],[Source]]="","",IFERROR(INDEX(tblSources[Type],MATCH(tblMovement[[#This Row],[Source]],tblSources[Source],0)),"?"))</f>
        <v/>
      </c>
      <c r="L401" s="63">
        <f>IF(tblMovement[[#This Row],[Destination]]="","",IFERROR(INDEX(tblDestinations[Type],MATCH(tblMovement[[#This Row],[Destination]],tblDestinations[Destination],0)),"?"))</f>
        <v/>
      </c>
      <c r="M401" s="64">
        <f>IF(tblMovement[[#This Row],[Material]]="","",IF(LEFT(tblMovement[[#This Row],[Material]],3)="Ore",1,0))</f>
        <v/>
      </c>
      <c r="N401" s="59">
        <f>IF(OR(tblMovement[[#This Row],[Tonnes_t]]="",tblMovement[[#This Row],[Grade_gpt]]=""),0,tblMovement[[#This Row],[Tonnes_t]]*tblMovement[[#This Row],[Grade_gpt]]/cfg_TroyOz)</f>
        <v/>
      </c>
      <c r="O401" s="59">
        <f>IF(tblMovement[[#This Row],[Is_Ore]]=1,tblMovement[[#This Row],[Contained_oz]],0)</f>
        <v/>
      </c>
    </row>
    <row r="402">
      <c r="A402" s="54" t="n"/>
      <c r="B402" s="61" t="n"/>
      <c r="C402" s="61" t="n"/>
      <c r="D402" s="61" t="n"/>
      <c r="E402" s="61" t="n"/>
      <c r="F402" s="55" t="n"/>
      <c r="G402" s="56" t="n"/>
      <c r="H402" s="55" t="n"/>
      <c r="I402" s="62" t="n"/>
      <c r="J402" s="58" t="n"/>
      <c r="K402" s="63">
        <f>IF(tblMovement[[#This Row],[Source]]="","",IFERROR(INDEX(tblSources[Type],MATCH(tblMovement[[#This Row],[Source]],tblSources[Source],0)),"?"))</f>
        <v/>
      </c>
      <c r="L402" s="63">
        <f>IF(tblMovement[[#This Row],[Destination]]="","",IFERROR(INDEX(tblDestinations[Type],MATCH(tblMovement[[#This Row],[Destination]],tblDestinations[Destination],0)),"?"))</f>
        <v/>
      </c>
      <c r="M402" s="64">
        <f>IF(tblMovement[[#This Row],[Material]]="","",IF(LEFT(tblMovement[[#This Row],[Material]],3)="Ore",1,0))</f>
        <v/>
      </c>
      <c r="N402" s="59">
        <f>IF(OR(tblMovement[[#This Row],[Tonnes_t]]="",tblMovement[[#This Row],[Grade_gpt]]=""),0,tblMovement[[#This Row],[Tonnes_t]]*tblMovement[[#This Row],[Grade_gpt]]/cfg_TroyOz)</f>
        <v/>
      </c>
      <c r="O402" s="59">
        <f>IF(tblMovement[[#This Row],[Is_Ore]]=1,tblMovement[[#This Row],[Contained_oz]],0)</f>
        <v/>
      </c>
    </row>
    <row r="403">
      <c r="A403" s="54" t="n"/>
      <c r="B403" s="61" t="n"/>
      <c r="C403" s="61" t="n"/>
      <c r="D403" s="61" t="n"/>
      <c r="E403" s="61" t="n"/>
      <c r="F403" s="55" t="n"/>
      <c r="G403" s="56" t="n"/>
      <c r="H403" s="55" t="n"/>
      <c r="I403" s="62" t="n"/>
      <c r="J403" s="58" t="n"/>
      <c r="K403" s="63">
        <f>IF(tblMovement[[#This Row],[Source]]="","",IFERROR(INDEX(tblSources[Type],MATCH(tblMovement[[#This Row],[Source]],tblSources[Source],0)),"?"))</f>
        <v/>
      </c>
      <c r="L403" s="63">
        <f>IF(tblMovement[[#This Row],[Destination]]="","",IFERROR(INDEX(tblDestinations[Type],MATCH(tblMovement[[#This Row],[Destination]],tblDestinations[Destination],0)),"?"))</f>
        <v/>
      </c>
      <c r="M403" s="64">
        <f>IF(tblMovement[[#This Row],[Material]]="","",IF(LEFT(tblMovement[[#This Row],[Material]],3)="Ore",1,0))</f>
        <v/>
      </c>
      <c r="N403" s="59">
        <f>IF(OR(tblMovement[[#This Row],[Tonnes_t]]="",tblMovement[[#This Row],[Grade_gpt]]=""),0,tblMovement[[#This Row],[Tonnes_t]]*tblMovement[[#This Row],[Grade_gpt]]/cfg_TroyOz)</f>
        <v/>
      </c>
      <c r="O403" s="59">
        <f>IF(tblMovement[[#This Row],[Is_Ore]]=1,tblMovement[[#This Row],[Contained_oz]],0)</f>
        <v/>
      </c>
    </row>
    <row r="404">
      <c r="A404" s="54" t="n"/>
      <c r="B404" s="61" t="n"/>
      <c r="C404" s="61" t="n"/>
      <c r="D404" s="61" t="n"/>
      <c r="E404" s="61" t="n"/>
      <c r="F404" s="55" t="n"/>
      <c r="G404" s="56" t="n"/>
      <c r="H404" s="55" t="n"/>
      <c r="I404" s="62" t="n"/>
      <c r="J404" s="58" t="n"/>
      <c r="K404" s="63">
        <f>IF(tblMovement[[#This Row],[Source]]="","",IFERROR(INDEX(tblSources[Type],MATCH(tblMovement[[#This Row],[Source]],tblSources[Source],0)),"?"))</f>
        <v/>
      </c>
      <c r="L404" s="63">
        <f>IF(tblMovement[[#This Row],[Destination]]="","",IFERROR(INDEX(tblDestinations[Type],MATCH(tblMovement[[#This Row],[Destination]],tblDestinations[Destination],0)),"?"))</f>
        <v/>
      </c>
      <c r="M404" s="64">
        <f>IF(tblMovement[[#This Row],[Material]]="","",IF(LEFT(tblMovement[[#This Row],[Material]],3)="Ore",1,0))</f>
        <v/>
      </c>
      <c r="N404" s="59">
        <f>IF(OR(tblMovement[[#This Row],[Tonnes_t]]="",tblMovement[[#This Row],[Grade_gpt]]=""),0,tblMovement[[#This Row],[Tonnes_t]]*tblMovement[[#This Row],[Grade_gpt]]/cfg_TroyOz)</f>
        <v/>
      </c>
      <c r="O404" s="59">
        <f>IF(tblMovement[[#This Row],[Is_Ore]]=1,tblMovement[[#This Row],[Contained_oz]],0)</f>
        <v/>
      </c>
    </row>
    <row r="405">
      <c r="A405" s="54" t="n"/>
      <c r="B405" s="61" t="n"/>
      <c r="C405" s="61" t="n"/>
      <c r="D405" s="61" t="n"/>
      <c r="E405" s="61" t="n"/>
      <c r="F405" s="55" t="n"/>
      <c r="G405" s="56" t="n"/>
      <c r="H405" s="55" t="n"/>
      <c r="I405" s="62" t="n"/>
      <c r="J405" s="58" t="n"/>
      <c r="K405" s="63">
        <f>IF(tblMovement[[#This Row],[Source]]="","",IFERROR(INDEX(tblSources[Type],MATCH(tblMovement[[#This Row],[Source]],tblSources[Source],0)),"?"))</f>
        <v/>
      </c>
      <c r="L405" s="63">
        <f>IF(tblMovement[[#This Row],[Destination]]="","",IFERROR(INDEX(tblDestinations[Type],MATCH(tblMovement[[#This Row],[Destination]],tblDestinations[Destination],0)),"?"))</f>
        <v/>
      </c>
      <c r="M405" s="64">
        <f>IF(tblMovement[[#This Row],[Material]]="","",IF(LEFT(tblMovement[[#This Row],[Material]],3)="Ore",1,0))</f>
        <v/>
      </c>
      <c r="N405" s="59">
        <f>IF(OR(tblMovement[[#This Row],[Tonnes_t]]="",tblMovement[[#This Row],[Grade_gpt]]=""),0,tblMovement[[#This Row],[Tonnes_t]]*tblMovement[[#This Row],[Grade_gpt]]/cfg_TroyOz)</f>
        <v/>
      </c>
      <c r="O405" s="59">
        <f>IF(tblMovement[[#This Row],[Is_Ore]]=1,tblMovement[[#This Row],[Contained_oz]],0)</f>
        <v/>
      </c>
    </row>
    <row r="406">
      <c r="A406" s="54" t="n"/>
      <c r="B406" s="61" t="n"/>
      <c r="C406" s="61" t="n"/>
      <c r="D406" s="61" t="n"/>
      <c r="E406" s="61" t="n"/>
      <c r="F406" s="55" t="n"/>
      <c r="G406" s="56" t="n"/>
      <c r="H406" s="55" t="n"/>
      <c r="I406" s="62" t="n"/>
      <c r="J406" s="58" t="n"/>
      <c r="K406" s="63">
        <f>IF(tblMovement[[#This Row],[Source]]="","",IFERROR(INDEX(tblSources[Type],MATCH(tblMovement[[#This Row],[Source]],tblSources[Source],0)),"?"))</f>
        <v/>
      </c>
      <c r="L406" s="63">
        <f>IF(tblMovement[[#This Row],[Destination]]="","",IFERROR(INDEX(tblDestinations[Type],MATCH(tblMovement[[#This Row],[Destination]],tblDestinations[Destination],0)),"?"))</f>
        <v/>
      </c>
      <c r="M406" s="64">
        <f>IF(tblMovement[[#This Row],[Material]]="","",IF(LEFT(tblMovement[[#This Row],[Material]],3)="Ore",1,0))</f>
        <v/>
      </c>
      <c r="N406" s="59">
        <f>IF(OR(tblMovement[[#This Row],[Tonnes_t]]="",tblMovement[[#This Row],[Grade_gpt]]=""),0,tblMovement[[#This Row],[Tonnes_t]]*tblMovement[[#This Row],[Grade_gpt]]/cfg_TroyOz)</f>
        <v/>
      </c>
      <c r="O406" s="59">
        <f>IF(tblMovement[[#This Row],[Is_Ore]]=1,tblMovement[[#This Row],[Contained_oz]],0)</f>
        <v/>
      </c>
    </row>
    <row r="407">
      <c r="A407" s="54" t="n"/>
      <c r="B407" s="61" t="n"/>
      <c r="C407" s="61" t="n"/>
      <c r="D407" s="61" t="n"/>
      <c r="E407" s="61" t="n"/>
      <c r="F407" s="55" t="n"/>
      <c r="G407" s="56" t="n"/>
      <c r="H407" s="55" t="n"/>
      <c r="I407" s="62" t="n"/>
      <c r="J407" s="58" t="n"/>
      <c r="K407" s="63">
        <f>IF(tblMovement[[#This Row],[Source]]="","",IFERROR(INDEX(tblSources[Type],MATCH(tblMovement[[#This Row],[Source]],tblSources[Source],0)),"?"))</f>
        <v/>
      </c>
      <c r="L407" s="63">
        <f>IF(tblMovement[[#This Row],[Destination]]="","",IFERROR(INDEX(tblDestinations[Type],MATCH(tblMovement[[#This Row],[Destination]],tblDestinations[Destination],0)),"?"))</f>
        <v/>
      </c>
      <c r="M407" s="64">
        <f>IF(tblMovement[[#This Row],[Material]]="","",IF(LEFT(tblMovement[[#This Row],[Material]],3)="Ore",1,0))</f>
        <v/>
      </c>
      <c r="N407" s="59">
        <f>IF(OR(tblMovement[[#This Row],[Tonnes_t]]="",tblMovement[[#This Row],[Grade_gpt]]=""),0,tblMovement[[#This Row],[Tonnes_t]]*tblMovement[[#This Row],[Grade_gpt]]/cfg_TroyOz)</f>
        <v/>
      </c>
      <c r="O407" s="59">
        <f>IF(tblMovement[[#This Row],[Is_Ore]]=1,tblMovement[[#This Row],[Contained_oz]],0)</f>
        <v/>
      </c>
    </row>
    <row r="408">
      <c r="A408" s="54" t="n"/>
      <c r="B408" s="61" t="n"/>
      <c r="C408" s="61" t="n"/>
      <c r="D408" s="61" t="n"/>
      <c r="E408" s="61" t="n"/>
      <c r="F408" s="55" t="n"/>
      <c r="G408" s="56" t="n"/>
      <c r="H408" s="55" t="n"/>
      <c r="I408" s="62" t="n"/>
      <c r="J408" s="58" t="n"/>
      <c r="K408" s="63">
        <f>IF(tblMovement[[#This Row],[Source]]="","",IFERROR(INDEX(tblSources[Type],MATCH(tblMovement[[#This Row],[Source]],tblSources[Source],0)),"?"))</f>
        <v/>
      </c>
      <c r="L408" s="63">
        <f>IF(tblMovement[[#This Row],[Destination]]="","",IFERROR(INDEX(tblDestinations[Type],MATCH(tblMovement[[#This Row],[Destination]],tblDestinations[Destination],0)),"?"))</f>
        <v/>
      </c>
      <c r="M408" s="64">
        <f>IF(tblMovement[[#This Row],[Material]]="","",IF(LEFT(tblMovement[[#This Row],[Material]],3)="Ore",1,0))</f>
        <v/>
      </c>
      <c r="N408" s="59">
        <f>IF(OR(tblMovement[[#This Row],[Tonnes_t]]="",tblMovement[[#This Row],[Grade_gpt]]=""),0,tblMovement[[#This Row],[Tonnes_t]]*tblMovement[[#This Row],[Grade_gpt]]/cfg_TroyOz)</f>
        <v/>
      </c>
      <c r="O408" s="59">
        <f>IF(tblMovement[[#This Row],[Is_Ore]]=1,tblMovement[[#This Row],[Contained_oz]],0)</f>
        <v/>
      </c>
    </row>
    <row r="409">
      <c r="A409" s="54" t="n"/>
      <c r="B409" s="61" t="n"/>
      <c r="C409" s="61" t="n"/>
      <c r="D409" s="61" t="n"/>
      <c r="E409" s="61" t="n"/>
      <c r="F409" s="55" t="n"/>
      <c r="G409" s="56" t="n"/>
      <c r="H409" s="55" t="n"/>
      <c r="I409" s="62" t="n"/>
      <c r="J409" s="58" t="n"/>
      <c r="K409" s="63">
        <f>IF(tblMovement[[#This Row],[Source]]="","",IFERROR(INDEX(tblSources[Type],MATCH(tblMovement[[#This Row],[Source]],tblSources[Source],0)),"?"))</f>
        <v/>
      </c>
      <c r="L409" s="63">
        <f>IF(tblMovement[[#This Row],[Destination]]="","",IFERROR(INDEX(tblDestinations[Type],MATCH(tblMovement[[#This Row],[Destination]],tblDestinations[Destination],0)),"?"))</f>
        <v/>
      </c>
      <c r="M409" s="64">
        <f>IF(tblMovement[[#This Row],[Material]]="","",IF(LEFT(tblMovement[[#This Row],[Material]],3)="Ore",1,0))</f>
        <v/>
      </c>
      <c r="N409" s="59">
        <f>IF(OR(tblMovement[[#This Row],[Tonnes_t]]="",tblMovement[[#This Row],[Grade_gpt]]=""),0,tblMovement[[#This Row],[Tonnes_t]]*tblMovement[[#This Row],[Grade_gpt]]/cfg_TroyOz)</f>
        <v/>
      </c>
      <c r="O409" s="59">
        <f>IF(tblMovement[[#This Row],[Is_Ore]]=1,tblMovement[[#This Row],[Contained_oz]],0)</f>
        <v/>
      </c>
    </row>
    <row r="410">
      <c r="A410" s="54" t="n"/>
      <c r="B410" s="61" t="n"/>
      <c r="C410" s="61" t="n"/>
      <c r="D410" s="61" t="n"/>
      <c r="E410" s="61" t="n"/>
      <c r="F410" s="55" t="n"/>
      <c r="G410" s="56" t="n"/>
      <c r="H410" s="55" t="n"/>
      <c r="I410" s="62" t="n"/>
      <c r="J410" s="58" t="n"/>
      <c r="K410" s="63">
        <f>IF(tblMovement[[#This Row],[Source]]="","",IFERROR(INDEX(tblSources[Type],MATCH(tblMovement[[#This Row],[Source]],tblSources[Source],0)),"?"))</f>
        <v/>
      </c>
      <c r="L410" s="63">
        <f>IF(tblMovement[[#This Row],[Destination]]="","",IFERROR(INDEX(tblDestinations[Type],MATCH(tblMovement[[#This Row],[Destination]],tblDestinations[Destination],0)),"?"))</f>
        <v/>
      </c>
      <c r="M410" s="64">
        <f>IF(tblMovement[[#This Row],[Material]]="","",IF(LEFT(tblMovement[[#This Row],[Material]],3)="Ore",1,0))</f>
        <v/>
      </c>
      <c r="N410" s="59">
        <f>IF(OR(tblMovement[[#This Row],[Tonnes_t]]="",tblMovement[[#This Row],[Grade_gpt]]=""),0,tblMovement[[#This Row],[Tonnes_t]]*tblMovement[[#This Row],[Grade_gpt]]/cfg_TroyOz)</f>
        <v/>
      </c>
      <c r="O410" s="59">
        <f>IF(tblMovement[[#This Row],[Is_Ore]]=1,tblMovement[[#This Row],[Contained_oz]],0)</f>
        <v/>
      </c>
    </row>
    <row r="411">
      <c r="A411" s="54" t="n"/>
      <c r="B411" s="61" t="n"/>
      <c r="C411" s="61" t="n"/>
      <c r="D411" s="61" t="n"/>
      <c r="E411" s="61" t="n"/>
      <c r="F411" s="55" t="n"/>
      <c r="G411" s="56" t="n"/>
      <c r="H411" s="55" t="n"/>
      <c r="I411" s="62" t="n"/>
      <c r="J411" s="58" t="n"/>
      <c r="K411" s="63">
        <f>IF(tblMovement[[#This Row],[Source]]="","",IFERROR(INDEX(tblSources[Type],MATCH(tblMovement[[#This Row],[Source]],tblSources[Source],0)),"?"))</f>
        <v/>
      </c>
      <c r="L411" s="63">
        <f>IF(tblMovement[[#This Row],[Destination]]="","",IFERROR(INDEX(tblDestinations[Type],MATCH(tblMovement[[#This Row],[Destination]],tblDestinations[Destination],0)),"?"))</f>
        <v/>
      </c>
      <c r="M411" s="64">
        <f>IF(tblMovement[[#This Row],[Material]]="","",IF(LEFT(tblMovement[[#This Row],[Material]],3)="Ore",1,0))</f>
        <v/>
      </c>
      <c r="N411" s="59">
        <f>IF(OR(tblMovement[[#This Row],[Tonnes_t]]="",tblMovement[[#This Row],[Grade_gpt]]=""),0,tblMovement[[#This Row],[Tonnes_t]]*tblMovement[[#This Row],[Grade_gpt]]/cfg_TroyOz)</f>
        <v/>
      </c>
      <c r="O411" s="59">
        <f>IF(tblMovement[[#This Row],[Is_Ore]]=1,tblMovement[[#This Row],[Contained_oz]],0)</f>
        <v/>
      </c>
    </row>
    <row r="412">
      <c r="A412" s="54" t="n"/>
      <c r="B412" s="61" t="n"/>
      <c r="C412" s="61" t="n"/>
      <c r="D412" s="61" t="n"/>
      <c r="E412" s="61" t="n"/>
      <c r="F412" s="55" t="n"/>
      <c r="G412" s="56" t="n"/>
      <c r="H412" s="55" t="n"/>
      <c r="I412" s="62" t="n"/>
      <c r="J412" s="58" t="n"/>
      <c r="K412" s="63">
        <f>IF(tblMovement[[#This Row],[Source]]="","",IFERROR(INDEX(tblSources[Type],MATCH(tblMovement[[#This Row],[Source]],tblSources[Source],0)),"?"))</f>
        <v/>
      </c>
      <c r="L412" s="63">
        <f>IF(tblMovement[[#This Row],[Destination]]="","",IFERROR(INDEX(tblDestinations[Type],MATCH(tblMovement[[#This Row],[Destination]],tblDestinations[Destination],0)),"?"))</f>
        <v/>
      </c>
      <c r="M412" s="64">
        <f>IF(tblMovement[[#This Row],[Material]]="","",IF(LEFT(tblMovement[[#This Row],[Material]],3)="Ore",1,0))</f>
        <v/>
      </c>
      <c r="N412" s="59">
        <f>IF(OR(tblMovement[[#This Row],[Tonnes_t]]="",tblMovement[[#This Row],[Grade_gpt]]=""),0,tblMovement[[#This Row],[Tonnes_t]]*tblMovement[[#This Row],[Grade_gpt]]/cfg_TroyOz)</f>
        <v/>
      </c>
      <c r="O412" s="59">
        <f>IF(tblMovement[[#This Row],[Is_Ore]]=1,tblMovement[[#This Row],[Contained_oz]],0)</f>
        <v/>
      </c>
    </row>
    <row r="413">
      <c r="A413" s="54" t="n"/>
      <c r="B413" s="61" t="n"/>
      <c r="C413" s="61" t="n"/>
      <c r="D413" s="61" t="n"/>
      <c r="E413" s="61" t="n"/>
      <c r="F413" s="55" t="n"/>
      <c r="G413" s="56" t="n"/>
      <c r="H413" s="55" t="n"/>
      <c r="I413" s="62" t="n"/>
      <c r="J413" s="58" t="n"/>
      <c r="K413" s="63">
        <f>IF(tblMovement[[#This Row],[Source]]="","",IFERROR(INDEX(tblSources[Type],MATCH(tblMovement[[#This Row],[Source]],tblSources[Source],0)),"?"))</f>
        <v/>
      </c>
      <c r="L413" s="63">
        <f>IF(tblMovement[[#This Row],[Destination]]="","",IFERROR(INDEX(tblDestinations[Type],MATCH(tblMovement[[#This Row],[Destination]],tblDestinations[Destination],0)),"?"))</f>
        <v/>
      </c>
      <c r="M413" s="64">
        <f>IF(tblMovement[[#This Row],[Material]]="","",IF(LEFT(tblMovement[[#This Row],[Material]],3)="Ore",1,0))</f>
        <v/>
      </c>
      <c r="N413" s="59">
        <f>IF(OR(tblMovement[[#This Row],[Tonnes_t]]="",tblMovement[[#This Row],[Grade_gpt]]=""),0,tblMovement[[#This Row],[Tonnes_t]]*tblMovement[[#This Row],[Grade_gpt]]/cfg_TroyOz)</f>
        <v/>
      </c>
      <c r="O413" s="59">
        <f>IF(tblMovement[[#This Row],[Is_Ore]]=1,tblMovement[[#This Row],[Contained_oz]],0)</f>
        <v/>
      </c>
    </row>
    <row r="414">
      <c r="A414" s="54" t="n"/>
      <c r="B414" s="61" t="n"/>
      <c r="C414" s="61" t="n"/>
      <c r="D414" s="61" t="n"/>
      <c r="E414" s="61" t="n"/>
      <c r="F414" s="55" t="n"/>
      <c r="G414" s="56" t="n"/>
      <c r="H414" s="55" t="n"/>
      <c r="I414" s="62" t="n"/>
      <c r="J414" s="58" t="n"/>
      <c r="K414" s="63">
        <f>IF(tblMovement[[#This Row],[Source]]="","",IFERROR(INDEX(tblSources[Type],MATCH(tblMovement[[#This Row],[Source]],tblSources[Source],0)),"?"))</f>
        <v/>
      </c>
      <c r="L414" s="63">
        <f>IF(tblMovement[[#This Row],[Destination]]="","",IFERROR(INDEX(tblDestinations[Type],MATCH(tblMovement[[#This Row],[Destination]],tblDestinations[Destination],0)),"?"))</f>
        <v/>
      </c>
      <c r="M414" s="64">
        <f>IF(tblMovement[[#This Row],[Material]]="","",IF(LEFT(tblMovement[[#This Row],[Material]],3)="Ore",1,0))</f>
        <v/>
      </c>
      <c r="N414" s="59">
        <f>IF(OR(tblMovement[[#This Row],[Tonnes_t]]="",tblMovement[[#This Row],[Grade_gpt]]=""),0,tblMovement[[#This Row],[Tonnes_t]]*tblMovement[[#This Row],[Grade_gpt]]/cfg_TroyOz)</f>
        <v/>
      </c>
      <c r="O414" s="59">
        <f>IF(tblMovement[[#This Row],[Is_Ore]]=1,tblMovement[[#This Row],[Contained_oz]],0)</f>
        <v/>
      </c>
    </row>
    <row r="415">
      <c r="A415" s="54" t="n"/>
      <c r="B415" s="61" t="n"/>
      <c r="C415" s="61" t="n"/>
      <c r="D415" s="61" t="n"/>
      <c r="E415" s="61" t="n"/>
      <c r="F415" s="55" t="n"/>
      <c r="G415" s="56" t="n"/>
      <c r="H415" s="55" t="n"/>
      <c r="I415" s="62" t="n"/>
      <c r="J415" s="58" t="n"/>
      <c r="K415" s="63">
        <f>IF(tblMovement[[#This Row],[Source]]="","",IFERROR(INDEX(tblSources[Type],MATCH(tblMovement[[#This Row],[Source]],tblSources[Source],0)),"?"))</f>
        <v/>
      </c>
      <c r="L415" s="63">
        <f>IF(tblMovement[[#This Row],[Destination]]="","",IFERROR(INDEX(tblDestinations[Type],MATCH(tblMovement[[#This Row],[Destination]],tblDestinations[Destination],0)),"?"))</f>
        <v/>
      </c>
      <c r="M415" s="64">
        <f>IF(tblMovement[[#This Row],[Material]]="","",IF(LEFT(tblMovement[[#This Row],[Material]],3)="Ore",1,0))</f>
        <v/>
      </c>
      <c r="N415" s="59">
        <f>IF(OR(tblMovement[[#This Row],[Tonnes_t]]="",tblMovement[[#This Row],[Grade_gpt]]=""),0,tblMovement[[#This Row],[Tonnes_t]]*tblMovement[[#This Row],[Grade_gpt]]/cfg_TroyOz)</f>
        <v/>
      </c>
      <c r="O415" s="59">
        <f>IF(tblMovement[[#This Row],[Is_Ore]]=1,tblMovement[[#This Row],[Contained_oz]],0)</f>
        <v/>
      </c>
    </row>
    <row r="416">
      <c r="A416" s="54" t="n"/>
      <c r="B416" s="61" t="n"/>
      <c r="C416" s="61" t="n"/>
      <c r="D416" s="61" t="n"/>
      <c r="E416" s="61" t="n"/>
      <c r="F416" s="55" t="n"/>
      <c r="G416" s="56" t="n"/>
      <c r="H416" s="55" t="n"/>
      <c r="I416" s="62" t="n"/>
      <c r="J416" s="58" t="n"/>
      <c r="K416" s="63">
        <f>IF(tblMovement[[#This Row],[Source]]="","",IFERROR(INDEX(tblSources[Type],MATCH(tblMovement[[#This Row],[Source]],tblSources[Source],0)),"?"))</f>
        <v/>
      </c>
      <c r="L416" s="63">
        <f>IF(tblMovement[[#This Row],[Destination]]="","",IFERROR(INDEX(tblDestinations[Type],MATCH(tblMovement[[#This Row],[Destination]],tblDestinations[Destination],0)),"?"))</f>
        <v/>
      </c>
      <c r="M416" s="64">
        <f>IF(tblMovement[[#This Row],[Material]]="","",IF(LEFT(tblMovement[[#This Row],[Material]],3)="Ore",1,0))</f>
        <v/>
      </c>
      <c r="N416" s="59">
        <f>IF(OR(tblMovement[[#This Row],[Tonnes_t]]="",tblMovement[[#This Row],[Grade_gpt]]=""),0,tblMovement[[#This Row],[Tonnes_t]]*tblMovement[[#This Row],[Grade_gpt]]/cfg_TroyOz)</f>
        <v/>
      </c>
      <c r="O416" s="59">
        <f>IF(tblMovement[[#This Row],[Is_Ore]]=1,tblMovement[[#This Row],[Contained_oz]],0)</f>
        <v/>
      </c>
    </row>
    <row r="417">
      <c r="A417" s="54" t="n"/>
      <c r="B417" s="61" t="n"/>
      <c r="C417" s="61" t="n"/>
      <c r="D417" s="61" t="n"/>
      <c r="E417" s="61" t="n"/>
      <c r="F417" s="55" t="n"/>
      <c r="G417" s="56" t="n"/>
      <c r="H417" s="55" t="n"/>
      <c r="I417" s="62" t="n"/>
      <c r="J417" s="58" t="n"/>
      <c r="K417" s="63">
        <f>IF(tblMovement[[#This Row],[Source]]="","",IFERROR(INDEX(tblSources[Type],MATCH(tblMovement[[#This Row],[Source]],tblSources[Source],0)),"?"))</f>
        <v/>
      </c>
      <c r="L417" s="63">
        <f>IF(tblMovement[[#This Row],[Destination]]="","",IFERROR(INDEX(tblDestinations[Type],MATCH(tblMovement[[#This Row],[Destination]],tblDestinations[Destination],0)),"?"))</f>
        <v/>
      </c>
      <c r="M417" s="64">
        <f>IF(tblMovement[[#This Row],[Material]]="","",IF(LEFT(tblMovement[[#This Row],[Material]],3)="Ore",1,0))</f>
        <v/>
      </c>
      <c r="N417" s="59">
        <f>IF(OR(tblMovement[[#This Row],[Tonnes_t]]="",tblMovement[[#This Row],[Grade_gpt]]=""),0,tblMovement[[#This Row],[Tonnes_t]]*tblMovement[[#This Row],[Grade_gpt]]/cfg_TroyOz)</f>
        <v/>
      </c>
      <c r="O417" s="59">
        <f>IF(tblMovement[[#This Row],[Is_Ore]]=1,tblMovement[[#This Row],[Contained_oz]],0)</f>
        <v/>
      </c>
    </row>
    <row r="418">
      <c r="A418" s="54" t="n"/>
      <c r="B418" s="61" t="n"/>
      <c r="C418" s="61" t="n"/>
      <c r="D418" s="61" t="n"/>
      <c r="E418" s="61" t="n"/>
      <c r="F418" s="55" t="n"/>
      <c r="G418" s="56" t="n"/>
      <c r="H418" s="55" t="n"/>
      <c r="I418" s="62" t="n"/>
      <c r="J418" s="58" t="n"/>
      <c r="K418" s="63">
        <f>IF(tblMovement[[#This Row],[Source]]="","",IFERROR(INDEX(tblSources[Type],MATCH(tblMovement[[#This Row],[Source]],tblSources[Source],0)),"?"))</f>
        <v/>
      </c>
      <c r="L418" s="63">
        <f>IF(tblMovement[[#This Row],[Destination]]="","",IFERROR(INDEX(tblDestinations[Type],MATCH(tblMovement[[#This Row],[Destination]],tblDestinations[Destination],0)),"?"))</f>
        <v/>
      </c>
      <c r="M418" s="64">
        <f>IF(tblMovement[[#This Row],[Material]]="","",IF(LEFT(tblMovement[[#This Row],[Material]],3)="Ore",1,0))</f>
        <v/>
      </c>
      <c r="N418" s="59">
        <f>IF(OR(tblMovement[[#This Row],[Tonnes_t]]="",tblMovement[[#This Row],[Grade_gpt]]=""),0,tblMovement[[#This Row],[Tonnes_t]]*tblMovement[[#This Row],[Grade_gpt]]/cfg_TroyOz)</f>
        <v/>
      </c>
      <c r="O418" s="59">
        <f>IF(tblMovement[[#This Row],[Is_Ore]]=1,tblMovement[[#This Row],[Contained_oz]],0)</f>
        <v/>
      </c>
    </row>
    <row r="419">
      <c r="A419" s="54" t="n"/>
      <c r="B419" s="61" t="n"/>
      <c r="C419" s="61" t="n"/>
      <c r="D419" s="61" t="n"/>
      <c r="E419" s="61" t="n"/>
      <c r="F419" s="55" t="n"/>
      <c r="G419" s="56" t="n"/>
      <c r="H419" s="55" t="n"/>
      <c r="I419" s="62" t="n"/>
      <c r="J419" s="58" t="n"/>
      <c r="K419" s="63">
        <f>IF(tblMovement[[#This Row],[Source]]="","",IFERROR(INDEX(tblSources[Type],MATCH(tblMovement[[#This Row],[Source]],tblSources[Source],0)),"?"))</f>
        <v/>
      </c>
      <c r="L419" s="63">
        <f>IF(tblMovement[[#This Row],[Destination]]="","",IFERROR(INDEX(tblDestinations[Type],MATCH(tblMovement[[#This Row],[Destination]],tblDestinations[Destination],0)),"?"))</f>
        <v/>
      </c>
      <c r="M419" s="64">
        <f>IF(tblMovement[[#This Row],[Material]]="","",IF(LEFT(tblMovement[[#This Row],[Material]],3)="Ore",1,0))</f>
        <v/>
      </c>
      <c r="N419" s="59">
        <f>IF(OR(tblMovement[[#This Row],[Tonnes_t]]="",tblMovement[[#This Row],[Grade_gpt]]=""),0,tblMovement[[#This Row],[Tonnes_t]]*tblMovement[[#This Row],[Grade_gpt]]/cfg_TroyOz)</f>
        <v/>
      </c>
      <c r="O419" s="59">
        <f>IF(tblMovement[[#This Row],[Is_Ore]]=1,tblMovement[[#This Row],[Contained_oz]],0)</f>
        <v/>
      </c>
    </row>
    <row r="420">
      <c r="A420" s="54" t="n"/>
      <c r="B420" s="61" t="n"/>
      <c r="C420" s="61" t="n"/>
      <c r="D420" s="61" t="n"/>
      <c r="E420" s="61" t="n"/>
      <c r="F420" s="55" t="n"/>
      <c r="G420" s="56" t="n"/>
      <c r="H420" s="55" t="n"/>
      <c r="I420" s="62" t="n"/>
      <c r="J420" s="58" t="n"/>
      <c r="K420" s="63">
        <f>IF(tblMovement[[#This Row],[Source]]="","",IFERROR(INDEX(tblSources[Type],MATCH(tblMovement[[#This Row],[Source]],tblSources[Source],0)),"?"))</f>
        <v/>
      </c>
      <c r="L420" s="63">
        <f>IF(tblMovement[[#This Row],[Destination]]="","",IFERROR(INDEX(tblDestinations[Type],MATCH(tblMovement[[#This Row],[Destination]],tblDestinations[Destination],0)),"?"))</f>
        <v/>
      </c>
      <c r="M420" s="64">
        <f>IF(tblMovement[[#This Row],[Material]]="","",IF(LEFT(tblMovement[[#This Row],[Material]],3)="Ore",1,0))</f>
        <v/>
      </c>
      <c r="N420" s="59">
        <f>IF(OR(tblMovement[[#This Row],[Tonnes_t]]="",tblMovement[[#This Row],[Grade_gpt]]=""),0,tblMovement[[#This Row],[Tonnes_t]]*tblMovement[[#This Row],[Grade_gpt]]/cfg_TroyOz)</f>
        <v/>
      </c>
      <c r="O420" s="59">
        <f>IF(tblMovement[[#This Row],[Is_Ore]]=1,tblMovement[[#This Row],[Contained_oz]],0)</f>
        <v/>
      </c>
    </row>
    <row r="421">
      <c r="A421" s="54" t="n"/>
      <c r="B421" s="61" t="n"/>
      <c r="C421" s="61" t="n"/>
      <c r="D421" s="61" t="n"/>
      <c r="E421" s="61" t="n"/>
      <c r="F421" s="55" t="n"/>
      <c r="G421" s="56" t="n"/>
      <c r="H421" s="55" t="n"/>
      <c r="I421" s="62" t="n"/>
      <c r="J421" s="58" t="n"/>
      <c r="K421" s="63">
        <f>IF(tblMovement[[#This Row],[Source]]="","",IFERROR(INDEX(tblSources[Type],MATCH(tblMovement[[#This Row],[Source]],tblSources[Source],0)),"?"))</f>
        <v/>
      </c>
      <c r="L421" s="63">
        <f>IF(tblMovement[[#This Row],[Destination]]="","",IFERROR(INDEX(tblDestinations[Type],MATCH(tblMovement[[#This Row],[Destination]],tblDestinations[Destination],0)),"?"))</f>
        <v/>
      </c>
      <c r="M421" s="64">
        <f>IF(tblMovement[[#This Row],[Material]]="","",IF(LEFT(tblMovement[[#This Row],[Material]],3)="Ore",1,0))</f>
        <v/>
      </c>
      <c r="N421" s="59">
        <f>IF(OR(tblMovement[[#This Row],[Tonnes_t]]="",tblMovement[[#This Row],[Grade_gpt]]=""),0,tblMovement[[#This Row],[Tonnes_t]]*tblMovement[[#This Row],[Grade_gpt]]/cfg_TroyOz)</f>
        <v/>
      </c>
      <c r="O421" s="59">
        <f>IF(tblMovement[[#This Row],[Is_Ore]]=1,tblMovement[[#This Row],[Contained_oz]],0)</f>
        <v/>
      </c>
    </row>
    <row r="422">
      <c r="A422" s="54" t="n"/>
      <c r="B422" s="61" t="n"/>
      <c r="C422" s="61" t="n"/>
      <c r="D422" s="61" t="n"/>
      <c r="E422" s="61" t="n"/>
      <c r="F422" s="55" t="n"/>
      <c r="G422" s="56" t="n"/>
      <c r="H422" s="55" t="n"/>
      <c r="I422" s="62" t="n"/>
      <c r="J422" s="58" t="n"/>
      <c r="K422" s="63">
        <f>IF(tblMovement[[#This Row],[Source]]="","",IFERROR(INDEX(tblSources[Type],MATCH(tblMovement[[#This Row],[Source]],tblSources[Source],0)),"?"))</f>
        <v/>
      </c>
      <c r="L422" s="63">
        <f>IF(tblMovement[[#This Row],[Destination]]="","",IFERROR(INDEX(tblDestinations[Type],MATCH(tblMovement[[#This Row],[Destination]],tblDestinations[Destination],0)),"?"))</f>
        <v/>
      </c>
      <c r="M422" s="64">
        <f>IF(tblMovement[[#This Row],[Material]]="","",IF(LEFT(tblMovement[[#This Row],[Material]],3)="Ore",1,0))</f>
        <v/>
      </c>
      <c r="N422" s="59">
        <f>IF(OR(tblMovement[[#This Row],[Tonnes_t]]="",tblMovement[[#This Row],[Grade_gpt]]=""),0,tblMovement[[#This Row],[Tonnes_t]]*tblMovement[[#This Row],[Grade_gpt]]/cfg_TroyOz)</f>
        <v/>
      </c>
      <c r="O422" s="59">
        <f>IF(tblMovement[[#This Row],[Is_Ore]]=1,tblMovement[[#This Row],[Contained_oz]],0)</f>
        <v/>
      </c>
    </row>
    <row r="423">
      <c r="A423" s="54" t="n"/>
      <c r="B423" s="61" t="n"/>
      <c r="C423" s="61" t="n"/>
      <c r="D423" s="61" t="n"/>
      <c r="E423" s="61" t="n"/>
      <c r="F423" s="55" t="n"/>
      <c r="G423" s="56" t="n"/>
      <c r="H423" s="55" t="n"/>
      <c r="I423" s="62" t="n"/>
      <c r="J423" s="58" t="n"/>
      <c r="K423" s="63">
        <f>IF(tblMovement[[#This Row],[Source]]="","",IFERROR(INDEX(tblSources[Type],MATCH(tblMovement[[#This Row],[Source]],tblSources[Source],0)),"?"))</f>
        <v/>
      </c>
      <c r="L423" s="63">
        <f>IF(tblMovement[[#This Row],[Destination]]="","",IFERROR(INDEX(tblDestinations[Type],MATCH(tblMovement[[#This Row],[Destination]],tblDestinations[Destination],0)),"?"))</f>
        <v/>
      </c>
      <c r="M423" s="64">
        <f>IF(tblMovement[[#This Row],[Material]]="","",IF(LEFT(tblMovement[[#This Row],[Material]],3)="Ore",1,0))</f>
        <v/>
      </c>
      <c r="N423" s="59">
        <f>IF(OR(tblMovement[[#This Row],[Tonnes_t]]="",tblMovement[[#This Row],[Grade_gpt]]=""),0,tblMovement[[#This Row],[Tonnes_t]]*tblMovement[[#This Row],[Grade_gpt]]/cfg_TroyOz)</f>
        <v/>
      </c>
      <c r="O423" s="59">
        <f>IF(tblMovement[[#This Row],[Is_Ore]]=1,tblMovement[[#This Row],[Contained_oz]],0)</f>
        <v/>
      </c>
    </row>
    <row r="424">
      <c r="A424" s="54" t="n"/>
      <c r="B424" s="61" t="n"/>
      <c r="C424" s="61" t="n"/>
      <c r="D424" s="61" t="n"/>
      <c r="E424" s="61" t="n"/>
      <c r="F424" s="55" t="n"/>
      <c r="G424" s="56" t="n"/>
      <c r="H424" s="55" t="n"/>
      <c r="I424" s="62" t="n"/>
      <c r="J424" s="58" t="n"/>
      <c r="K424" s="63">
        <f>IF(tblMovement[[#This Row],[Source]]="","",IFERROR(INDEX(tblSources[Type],MATCH(tblMovement[[#This Row],[Source]],tblSources[Source],0)),"?"))</f>
        <v/>
      </c>
      <c r="L424" s="63">
        <f>IF(tblMovement[[#This Row],[Destination]]="","",IFERROR(INDEX(tblDestinations[Type],MATCH(tblMovement[[#This Row],[Destination]],tblDestinations[Destination],0)),"?"))</f>
        <v/>
      </c>
      <c r="M424" s="64">
        <f>IF(tblMovement[[#This Row],[Material]]="","",IF(LEFT(tblMovement[[#This Row],[Material]],3)="Ore",1,0))</f>
        <v/>
      </c>
      <c r="N424" s="59">
        <f>IF(OR(tblMovement[[#This Row],[Tonnes_t]]="",tblMovement[[#This Row],[Grade_gpt]]=""),0,tblMovement[[#This Row],[Tonnes_t]]*tblMovement[[#This Row],[Grade_gpt]]/cfg_TroyOz)</f>
        <v/>
      </c>
      <c r="O424" s="59">
        <f>IF(tblMovement[[#This Row],[Is_Ore]]=1,tblMovement[[#This Row],[Contained_oz]],0)</f>
        <v/>
      </c>
    </row>
    <row r="425">
      <c r="A425" s="54" t="n"/>
      <c r="B425" s="61" t="n"/>
      <c r="C425" s="61" t="n"/>
      <c r="D425" s="61" t="n"/>
      <c r="E425" s="61" t="n"/>
      <c r="F425" s="55" t="n"/>
      <c r="G425" s="56" t="n"/>
      <c r="H425" s="55" t="n"/>
      <c r="I425" s="62" t="n"/>
      <c r="J425" s="58" t="n"/>
      <c r="K425" s="63">
        <f>IF(tblMovement[[#This Row],[Source]]="","",IFERROR(INDEX(tblSources[Type],MATCH(tblMovement[[#This Row],[Source]],tblSources[Source],0)),"?"))</f>
        <v/>
      </c>
      <c r="L425" s="63">
        <f>IF(tblMovement[[#This Row],[Destination]]="","",IFERROR(INDEX(tblDestinations[Type],MATCH(tblMovement[[#This Row],[Destination]],tblDestinations[Destination],0)),"?"))</f>
        <v/>
      </c>
      <c r="M425" s="64">
        <f>IF(tblMovement[[#This Row],[Material]]="","",IF(LEFT(tblMovement[[#This Row],[Material]],3)="Ore",1,0))</f>
        <v/>
      </c>
      <c r="N425" s="59">
        <f>IF(OR(tblMovement[[#This Row],[Tonnes_t]]="",tblMovement[[#This Row],[Grade_gpt]]=""),0,tblMovement[[#This Row],[Tonnes_t]]*tblMovement[[#This Row],[Grade_gpt]]/cfg_TroyOz)</f>
        <v/>
      </c>
      <c r="O425" s="59">
        <f>IF(tblMovement[[#This Row],[Is_Ore]]=1,tblMovement[[#This Row],[Contained_oz]],0)</f>
        <v/>
      </c>
    </row>
    <row r="426">
      <c r="A426" s="54" t="n"/>
      <c r="B426" s="61" t="n"/>
      <c r="C426" s="61" t="n"/>
      <c r="D426" s="61" t="n"/>
      <c r="E426" s="61" t="n"/>
      <c r="F426" s="55" t="n"/>
      <c r="G426" s="56" t="n"/>
      <c r="H426" s="55" t="n"/>
      <c r="I426" s="62" t="n"/>
      <c r="J426" s="58" t="n"/>
      <c r="K426" s="63">
        <f>IF(tblMovement[[#This Row],[Source]]="","",IFERROR(INDEX(tblSources[Type],MATCH(tblMovement[[#This Row],[Source]],tblSources[Source],0)),"?"))</f>
        <v/>
      </c>
      <c r="L426" s="63">
        <f>IF(tblMovement[[#This Row],[Destination]]="","",IFERROR(INDEX(tblDestinations[Type],MATCH(tblMovement[[#This Row],[Destination]],tblDestinations[Destination],0)),"?"))</f>
        <v/>
      </c>
      <c r="M426" s="64">
        <f>IF(tblMovement[[#This Row],[Material]]="","",IF(LEFT(tblMovement[[#This Row],[Material]],3)="Ore",1,0))</f>
        <v/>
      </c>
      <c r="N426" s="59">
        <f>IF(OR(tblMovement[[#This Row],[Tonnes_t]]="",tblMovement[[#This Row],[Grade_gpt]]=""),0,tblMovement[[#This Row],[Tonnes_t]]*tblMovement[[#This Row],[Grade_gpt]]/cfg_TroyOz)</f>
        <v/>
      </c>
      <c r="O426" s="59">
        <f>IF(tblMovement[[#This Row],[Is_Ore]]=1,tblMovement[[#This Row],[Contained_oz]],0)</f>
        <v/>
      </c>
    </row>
    <row r="427">
      <c r="A427" s="54" t="n"/>
      <c r="B427" s="61" t="n"/>
      <c r="C427" s="61" t="n"/>
      <c r="D427" s="61" t="n"/>
      <c r="E427" s="61" t="n"/>
      <c r="F427" s="55" t="n"/>
      <c r="G427" s="56" t="n"/>
      <c r="H427" s="55" t="n"/>
      <c r="I427" s="62" t="n"/>
      <c r="J427" s="58" t="n"/>
      <c r="K427" s="63">
        <f>IF(tblMovement[[#This Row],[Source]]="","",IFERROR(INDEX(tblSources[Type],MATCH(tblMovement[[#This Row],[Source]],tblSources[Source],0)),"?"))</f>
        <v/>
      </c>
      <c r="L427" s="63">
        <f>IF(tblMovement[[#This Row],[Destination]]="","",IFERROR(INDEX(tblDestinations[Type],MATCH(tblMovement[[#This Row],[Destination]],tblDestinations[Destination],0)),"?"))</f>
        <v/>
      </c>
      <c r="M427" s="64">
        <f>IF(tblMovement[[#This Row],[Material]]="","",IF(LEFT(tblMovement[[#This Row],[Material]],3)="Ore",1,0))</f>
        <v/>
      </c>
      <c r="N427" s="59">
        <f>IF(OR(tblMovement[[#This Row],[Tonnes_t]]="",tblMovement[[#This Row],[Grade_gpt]]=""),0,tblMovement[[#This Row],[Tonnes_t]]*tblMovement[[#This Row],[Grade_gpt]]/cfg_TroyOz)</f>
        <v/>
      </c>
      <c r="O427" s="59">
        <f>IF(tblMovement[[#This Row],[Is_Ore]]=1,tblMovement[[#This Row],[Contained_oz]],0)</f>
        <v/>
      </c>
    </row>
    <row r="428">
      <c r="A428" s="54" t="n"/>
      <c r="B428" s="61" t="n"/>
      <c r="C428" s="61" t="n"/>
      <c r="D428" s="61" t="n"/>
      <c r="E428" s="61" t="n"/>
      <c r="F428" s="55" t="n"/>
      <c r="G428" s="56" t="n"/>
      <c r="H428" s="55" t="n"/>
      <c r="I428" s="62" t="n"/>
      <c r="J428" s="58" t="n"/>
      <c r="K428" s="63">
        <f>IF(tblMovement[[#This Row],[Source]]="","",IFERROR(INDEX(tblSources[Type],MATCH(tblMovement[[#This Row],[Source]],tblSources[Source],0)),"?"))</f>
        <v/>
      </c>
      <c r="L428" s="63">
        <f>IF(tblMovement[[#This Row],[Destination]]="","",IFERROR(INDEX(tblDestinations[Type],MATCH(tblMovement[[#This Row],[Destination]],tblDestinations[Destination],0)),"?"))</f>
        <v/>
      </c>
      <c r="M428" s="64">
        <f>IF(tblMovement[[#This Row],[Material]]="","",IF(LEFT(tblMovement[[#This Row],[Material]],3)="Ore",1,0))</f>
        <v/>
      </c>
      <c r="N428" s="59">
        <f>IF(OR(tblMovement[[#This Row],[Tonnes_t]]="",tblMovement[[#This Row],[Grade_gpt]]=""),0,tblMovement[[#This Row],[Tonnes_t]]*tblMovement[[#This Row],[Grade_gpt]]/cfg_TroyOz)</f>
        <v/>
      </c>
      <c r="O428" s="59">
        <f>IF(tblMovement[[#This Row],[Is_Ore]]=1,tblMovement[[#This Row],[Contained_oz]],0)</f>
        <v/>
      </c>
    </row>
    <row r="429">
      <c r="A429" s="54" t="n"/>
      <c r="B429" s="61" t="n"/>
      <c r="C429" s="61" t="n"/>
      <c r="D429" s="61" t="n"/>
      <c r="E429" s="61" t="n"/>
      <c r="F429" s="55" t="n"/>
      <c r="G429" s="56" t="n"/>
      <c r="H429" s="55" t="n"/>
      <c r="I429" s="62" t="n"/>
      <c r="J429" s="58" t="n"/>
      <c r="K429" s="63">
        <f>IF(tblMovement[[#This Row],[Source]]="","",IFERROR(INDEX(tblSources[Type],MATCH(tblMovement[[#This Row],[Source]],tblSources[Source],0)),"?"))</f>
        <v/>
      </c>
      <c r="L429" s="63">
        <f>IF(tblMovement[[#This Row],[Destination]]="","",IFERROR(INDEX(tblDestinations[Type],MATCH(tblMovement[[#This Row],[Destination]],tblDestinations[Destination],0)),"?"))</f>
        <v/>
      </c>
      <c r="M429" s="64">
        <f>IF(tblMovement[[#This Row],[Material]]="","",IF(LEFT(tblMovement[[#This Row],[Material]],3)="Ore",1,0))</f>
        <v/>
      </c>
      <c r="N429" s="59">
        <f>IF(OR(tblMovement[[#This Row],[Tonnes_t]]="",tblMovement[[#This Row],[Grade_gpt]]=""),0,tblMovement[[#This Row],[Tonnes_t]]*tblMovement[[#This Row],[Grade_gpt]]/cfg_TroyOz)</f>
        <v/>
      </c>
      <c r="O429" s="59">
        <f>IF(tblMovement[[#This Row],[Is_Ore]]=1,tblMovement[[#This Row],[Contained_oz]],0)</f>
        <v/>
      </c>
    </row>
    <row r="430">
      <c r="A430" s="54" t="n"/>
      <c r="B430" s="61" t="n"/>
      <c r="C430" s="61" t="n"/>
      <c r="D430" s="61" t="n"/>
      <c r="E430" s="61" t="n"/>
      <c r="F430" s="55" t="n"/>
      <c r="G430" s="56" t="n"/>
      <c r="H430" s="55" t="n"/>
      <c r="I430" s="62" t="n"/>
      <c r="J430" s="58" t="n"/>
      <c r="K430" s="63">
        <f>IF(tblMovement[[#This Row],[Source]]="","",IFERROR(INDEX(tblSources[Type],MATCH(tblMovement[[#This Row],[Source]],tblSources[Source],0)),"?"))</f>
        <v/>
      </c>
      <c r="L430" s="63">
        <f>IF(tblMovement[[#This Row],[Destination]]="","",IFERROR(INDEX(tblDestinations[Type],MATCH(tblMovement[[#This Row],[Destination]],tblDestinations[Destination],0)),"?"))</f>
        <v/>
      </c>
      <c r="M430" s="64">
        <f>IF(tblMovement[[#This Row],[Material]]="","",IF(LEFT(tblMovement[[#This Row],[Material]],3)="Ore",1,0))</f>
        <v/>
      </c>
      <c r="N430" s="59">
        <f>IF(OR(tblMovement[[#This Row],[Tonnes_t]]="",tblMovement[[#This Row],[Grade_gpt]]=""),0,tblMovement[[#This Row],[Tonnes_t]]*tblMovement[[#This Row],[Grade_gpt]]/cfg_TroyOz)</f>
        <v/>
      </c>
      <c r="O430" s="59">
        <f>IF(tblMovement[[#This Row],[Is_Ore]]=1,tblMovement[[#This Row],[Contained_oz]],0)</f>
        <v/>
      </c>
    </row>
    <row r="431">
      <c r="A431" s="54" t="n"/>
      <c r="B431" s="61" t="n"/>
      <c r="C431" s="61" t="n"/>
      <c r="D431" s="61" t="n"/>
      <c r="E431" s="61" t="n"/>
      <c r="F431" s="55" t="n"/>
      <c r="G431" s="56" t="n"/>
      <c r="H431" s="55" t="n"/>
      <c r="I431" s="62" t="n"/>
      <c r="J431" s="58" t="n"/>
      <c r="K431" s="63">
        <f>IF(tblMovement[[#This Row],[Source]]="","",IFERROR(INDEX(tblSources[Type],MATCH(tblMovement[[#This Row],[Source]],tblSources[Source],0)),"?"))</f>
        <v/>
      </c>
      <c r="L431" s="63">
        <f>IF(tblMovement[[#This Row],[Destination]]="","",IFERROR(INDEX(tblDestinations[Type],MATCH(tblMovement[[#This Row],[Destination]],tblDestinations[Destination],0)),"?"))</f>
        <v/>
      </c>
      <c r="M431" s="64">
        <f>IF(tblMovement[[#This Row],[Material]]="","",IF(LEFT(tblMovement[[#This Row],[Material]],3)="Ore",1,0))</f>
        <v/>
      </c>
      <c r="N431" s="59">
        <f>IF(OR(tblMovement[[#This Row],[Tonnes_t]]="",tblMovement[[#This Row],[Grade_gpt]]=""),0,tblMovement[[#This Row],[Tonnes_t]]*tblMovement[[#This Row],[Grade_gpt]]/cfg_TroyOz)</f>
        <v/>
      </c>
      <c r="O431" s="59">
        <f>IF(tblMovement[[#This Row],[Is_Ore]]=1,tblMovement[[#This Row],[Contained_oz]],0)</f>
        <v/>
      </c>
    </row>
    <row r="432">
      <c r="A432" s="54" t="n"/>
      <c r="B432" s="61" t="n"/>
      <c r="C432" s="61" t="n"/>
      <c r="D432" s="61" t="n"/>
      <c r="E432" s="61" t="n"/>
      <c r="F432" s="55" t="n"/>
      <c r="G432" s="56" t="n"/>
      <c r="H432" s="55" t="n"/>
      <c r="I432" s="62" t="n"/>
      <c r="J432" s="58" t="n"/>
      <c r="K432" s="63">
        <f>IF(tblMovement[[#This Row],[Source]]="","",IFERROR(INDEX(tblSources[Type],MATCH(tblMovement[[#This Row],[Source]],tblSources[Source],0)),"?"))</f>
        <v/>
      </c>
      <c r="L432" s="63">
        <f>IF(tblMovement[[#This Row],[Destination]]="","",IFERROR(INDEX(tblDestinations[Type],MATCH(tblMovement[[#This Row],[Destination]],tblDestinations[Destination],0)),"?"))</f>
        <v/>
      </c>
      <c r="M432" s="64">
        <f>IF(tblMovement[[#This Row],[Material]]="","",IF(LEFT(tblMovement[[#This Row],[Material]],3)="Ore",1,0))</f>
        <v/>
      </c>
      <c r="N432" s="59">
        <f>IF(OR(tblMovement[[#This Row],[Tonnes_t]]="",tblMovement[[#This Row],[Grade_gpt]]=""),0,tblMovement[[#This Row],[Tonnes_t]]*tblMovement[[#This Row],[Grade_gpt]]/cfg_TroyOz)</f>
        <v/>
      </c>
      <c r="O432" s="59">
        <f>IF(tblMovement[[#This Row],[Is_Ore]]=1,tblMovement[[#This Row],[Contained_oz]],0)</f>
        <v/>
      </c>
    </row>
    <row r="433">
      <c r="A433" s="54" t="n"/>
      <c r="B433" s="61" t="n"/>
      <c r="C433" s="61" t="n"/>
      <c r="D433" s="61" t="n"/>
      <c r="E433" s="61" t="n"/>
      <c r="F433" s="55" t="n"/>
      <c r="G433" s="56" t="n"/>
      <c r="H433" s="55" t="n"/>
      <c r="I433" s="62" t="n"/>
      <c r="J433" s="58" t="n"/>
      <c r="K433" s="63">
        <f>IF(tblMovement[[#This Row],[Source]]="","",IFERROR(INDEX(tblSources[Type],MATCH(tblMovement[[#This Row],[Source]],tblSources[Source],0)),"?"))</f>
        <v/>
      </c>
      <c r="L433" s="63">
        <f>IF(tblMovement[[#This Row],[Destination]]="","",IFERROR(INDEX(tblDestinations[Type],MATCH(tblMovement[[#This Row],[Destination]],tblDestinations[Destination],0)),"?"))</f>
        <v/>
      </c>
      <c r="M433" s="64">
        <f>IF(tblMovement[[#This Row],[Material]]="","",IF(LEFT(tblMovement[[#This Row],[Material]],3)="Ore",1,0))</f>
        <v/>
      </c>
      <c r="N433" s="59">
        <f>IF(OR(tblMovement[[#This Row],[Tonnes_t]]="",tblMovement[[#This Row],[Grade_gpt]]=""),0,tblMovement[[#This Row],[Tonnes_t]]*tblMovement[[#This Row],[Grade_gpt]]/cfg_TroyOz)</f>
        <v/>
      </c>
      <c r="O433" s="59">
        <f>IF(tblMovement[[#This Row],[Is_Ore]]=1,tblMovement[[#This Row],[Contained_oz]],0)</f>
        <v/>
      </c>
    </row>
    <row r="434">
      <c r="A434" s="54" t="n"/>
      <c r="B434" s="61" t="n"/>
      <c r="C434" s="61" t="n"/>
      <c r="D434" s="61" t="n"/>
      <c r="E434" s="61" t="n"/>
      <c r="F434" s="55" t="n"/>
      <c r="G434" s="56" t="n"/>
      <c r="H434" s="55" t="n"/>
      <c r="I434" s="62" t="n"/>
      <c r="J434" s="58" t="n"/>
      <c r="K434" s="63">
        <f>IF(tblMovement[[#This Row],[Source]]="","",IFERROR(INDEX(tblSources[Type],MATCH(tblMovement[[#This Row],[Source]],tblSources[Source],0)),"?"))</f>
        <v/>
      </c>
      <c r="L434" s="63">
        <f>IF(tblMovement[[#This Row],[Destination]]="","",IFERROR(INDEX(tblDestinations[Type],MATCH(tblMovement[[#This Row],[Destination]],tblDestinations[Destination],0)),"?"))</f>
        <v/>
      </c>
      <c r="M434" s="64">
        <f>IF(tblMovement[[#This Row],[Material]]="","",IF(LEFT(tblMovement[[#This Row],[Material]],3)="Ore",1,0))</f>
        <v/>
      </c>
      <c r="N434" s="59">
        <f>IF(OR(tblMovement[[#This Row],[Tonnes_t]]="",tblMovement[[#This Row],[Grade_gpt]]=""),0,tblMovement[[#This Row],[Tonnes_t]]*tblMovement[[#This Row],[Grade_gpt]]/cfg_TroyOz)</f>
        <v/>
      </c>
      <c r="O434" s="59">
        <f>IF(tblMovement[[#This Row],[Is_Ore]]=1,tblMovement[[#This Row],[Contained_oz]],0)</f>
        <v/>
      </c>
    </row>
    <row r="435">
      <c r="A435" s="54" t="n"/>
      <c r="B435" s="61" t="n"/>
      <c r="C435" s="61" t="n"/>
      <c r="D435" s="61" t="n"/>
      <c r="E435" s="61" t="n"/>
      <c r="F435" s="55" t="n"/>
      <c r="G435" s="56" t="n"/>
      <c r="H435" s="55" t="n"/>
      <c r="I435" s="62" t="n"/>
      <c r="J435" s="58" t="n"/>
      <c r="K435" s="63">
        <f>IF(tblMovement[[#This Row],[Source]]="","",IFERROR(INDEX(tblSources[Type],MATCH(tblMovement[[#This Row],[Source]],tblSources[Source],0)),"?"))</f>
        <v/>
      </c>
      <c r="L435" s="63">
        <f>IF(tblMovement[[#This Row],[Destination]]="","",IFERROR(INDEX(tblDestinations[Type],MATCH(tblMovement[[#This Row],[Destination]],tblDestinations[Destination],0)),"?"))</f>
        <v/>
      </c>
      <c r="M435" s="64">
        <f>IF(tblMovement[[#This Row],[Material]]="","",IF(LEFT(tblMovement[[#This Row],[Material]],3)="Ore",1,0))</f>
        <v/>
      </c>
      <c r="N435" s="59">
        <f>IF(OR(tblMovement[[#This Row],[Tonnes_t]]="",tblMovement[[#This Row],[Grade_gpt]]=""),0,tblMovement[[#This Row],[Tonnes_t]]*tblMovement[[#This Row],[Grade_gpt]]/cfg_TroyOz)</f>
        <v/>
      </c>
      <c r="O435" s="59">
        <f>IF(tblMovement[[#This Row],[Is_Ore]]=1,tblMovement[[#This Row],[Contained_oz]],0)</f>
        <v/>
      </c>
    </row>
    <row r="436">
      <c r="A436" s="54" t="n"/>
      <c r="B436" s="61" t="n"/>
      <c r="C436" s="61" t="n"/>
      <c r="D436" s="61" t="n"/>
      <c r="E436" s="61" t="n"/>
      <c r="F436" s="55" t="n"/>
      <c r="G436" s="56" t="n"/>
      <c r="H436" s="55" t="n"/>
      <c r="I436" s="62" t="n"/>
      <c r="J436" s="58" t="n"/>
      <c r="K436" s="63">
        <f>IF(tblMovement[[#This Row],[Source]]="","",IFERROR(INDEX(tblSources[Type],MATCH(tblMovement[[#This Row],[Source]],tblSources[Source],0)),"?"))</f>
        <v/>
      </c>
      <c r="L436" s="63">
        <f>IF(tblMovement[[#This Row],[Destination]]="","",IFERROR(INDEX(tblDestinations[Type],MATCH(tblMovement[[#This Row],[Destination]],tblDestinations[Destination],0)),"?"))</f>
        <v/>
      </c>
      <c r="M436" s="64">
        <f>IF(tblMovement[[#This Row],[Material]]="","",IF(LEFT(tblMovement[[#This Row],[Material]],3)="Ore",1,0))</f>
        <v/>
      </c>
      <c r="N436" s="59">
        <f>IF(OR(tblMovement[[#This Row],[Tonnes_t]]="",tblMovement[[#This Row],[Grade_gpt]]=""),0,tblMovement[[#This Row],[Tonnes_t]]*tblMovement[[#This Row],[Grade_gpt]]/cfg_TroyOz)</f>
        <v/>
      </c>
      <c r="O436" s="59">
        <f>IF(tblMovement[[#This Row],[Is_Ore]]=1,tblMovement[[#This Row],[Contained_oz]],0)</f>
        <v/>
      </c>
    </row>
    <row r="437">
      <c r="A437" s="54" t="n"/>
      <c r="B437" s="61" t="n"/>
      <c r="C437" s="61" t="n"/>
      <c r="D437" s="61" t="n"/>
      <c r="E437" s="61" t="n"/>
      <c r="F437" s="55" t="n"/>
      <c r="G437" s="56" t="n"/>
      <c r="H437" s="55" t="n"/>
      <c r="I437" s="62" t="n"/>
      <c r="J437" s="58" t="n"/>
      <c r="K437" s="63">
        <f>IF(tblMovement[[#This Row],[Source]]="","",IFERROR(INDEX(tblSources[Type],MATCH(tblMovement[[#This Row],[Source]],tblSources[Source],0)),"?"))</f>
        <v/>
      </c>
      <c r="L437" s="63">
        <f>IF(tblMovement[[#This Row],[Destination]]="","",IFERROR(INDEX(tblDestinations[Type],MATCH(tblMovement[[#This Row],[Destination]],tblDestinations[Destination],0)),"?"))</f>
        <v/>
      </c>
      <c r="M437" s="64">
        <f>IF(tblMovement[[#This Row],[Material]]="","",IF(LEFT(tblMovement[[#This Row],[Material]],3)="Ore",1,0))</f>
        <v/>
      </c>
      <c r="N437" s="59">
        <f>IF(OR(tblMovement[[#This Row],[Tonnes_t]]="",tblMovement[[#This Row],[Grade_gpt]]=""),0,tblMovement[[#This Row],[Tonnes_t]]*tblMovement[[#This Row],[Grade_gpt]]/cfg_TroyOz)</f>
        <v/>
      </c>
      <c r="O437" s="59">
        <f>IF(tblMovement[[#This Row],[Is_Ore]]=1,tblMovement[[#This Row],[Contained_oz]],0)</f>
        <v/>
      </c>
    </row>
    <row r="438">
      <c r="A438" s="54" t="n"/>
      <c r="B438" s="61" t="n"/>
      <c r="C438" s="61" t="n"/>
      <c r="D438" s="61" t="n"/>
      <c r="E438" s="61" t="n"/>
      <c r="F438" s="55" t="n"/>
      <c r="G438" s="56" t="n"/>
      <c r="H438" s="55" t="n"/>
      <c r="I438" s="62" t="n"/>
      <c r="J438" s="58" t="n"/>
      <c r="K438" s="63">
        <f>IF(tblMovement[[#This Row],[Source]]="","",IFERROR(INDEX(tblSources[Type],MATCH(tblMovement[[#This Row],[Source]],tblSources[Source],0)),"?"))</f>
        <v/>
      </c>
      <c r="L438" s="63">
        <f>IF(tblMovement[[#This Row],[Destination]]="","",IFERROR(INDEX(tblDestinations[Type],MATCH(tblMovement[[#This Row],[Destination]],tblDestinations[Destination],0)),"?"))</f>
        <v/>
      </c>
      <c r="M438" s="64">
        <f>IF(tblMovement[[#This Row],[Material]]="","",IF(LEFT(tblMovement[[#This Row],[Material]],3)="Ore",1,0))</f>
        <v/>
      </c>
      <c r="N438" s="59">
        <f>IF(OR(tblMovement[[#This Row],[Tonnes_t]]="",tblMovement[[#This Row],[Grade_gpt]]=""),0,tblMovement[[#This Row],[Tonnes_t]]*tblMovement[[#This Row],[Grade_gpt]]/cfg_TroyOz)</f>
        <v/>
      </c>
      <c r="O438" s="59">
        <f>IF(tblMovement[[#This Row],[Is_Ore]]=1,tblMovement[[#This Row],[Contained_oz]],0)</f>
        <v/>
      </c>
    </row>
    <row r="439">
      <c r="A439" s="54" t="n"/>
      <c r="B439" s="61" t="n"/>
      <c r="C439" s="61" t="n"/>
      <c r="D439" s="61" t="n"/>
      <c r="E439" s="61" t="n"/>
      <c r="F439" s="55" t="n"/>
      <c r="G439" s="56" t="n"/>
      <c r="H439" s="55" t="n"/>
      <c r="I439" s="62" t="n"/>
      <c r="J439" s="58" t="n"/>
      <c r="K439" s="63">
        <f>IF(tblMovement[[#This Row],[Source]]="","",IFERROR(INDEX(tblSources[Type],MATCH(tblMovement[[#This Row],[Source]],tblSources[Source],0)),"?"))</f>
        <v/>
      </c>
      <c r="L439" s="63">
        <f>IF(tblMovement[[#This Row],[Destination]]="","",IFERROR(INDEX(tblDestinations[Type],MATCH(tblMovement[[#This Row],[Destination]],tblDestinations[Destination],0)),"?"))</f>
        <v/>
      </c>
      <c r="M439" s="64">
        <f>IF(tblMovement[[#This Row],[Material]]="","",IF(LEFT(tblMovement[[#This Row],[Material]],3)="Ore",1,0))</f>
        <v/>
      </c>
      <c r="N439" s="59">
        <f>IF(OR(tblMovement[[#This Row],[Tonnes_t]]="",tblMovement[[#This Row],[Grade_gpt]]=""),0,tblMovement[[#This Row],[Tonnes_t]]*tblMovement[[#This Row],[Grade_gpt]]/cfg_TroyOz)</f>
        <v/>
      </c>
      <c r="O439" s="59">
        <f>IF(tblMovement[[#This Row],[Is_Ore]]=1,tblMovement[[#This Row],[Contained_oz]],0)</f>
        <v/>
      </c>
    </row>
    <row r="440">
      <c r="A440" s="54" t="n"/>
      <c r="B440" s="61" t="n"/>
      <c r="C440" s="61" t="n"/>
      <c r="D440" s="61" t="n"/>
      <c r="E440" s="61" t="n"/>
      <c r="F440" s="55" t="n"/>
      <c r="G440" s="56" t="n"/>
      <c r="H440" s="55" t="n"/>
      <c r="I440" s="62" t="n"/>
      <c r="J440" s="58" t="n"/>
      <c r="K440" s="63">
        <f>IF(tblMovement[[#This Row],[Source]]="","",IFERROR(INDEX(tblSources[Type],MATCH(tblMovement[[#This Row],[Source]],tblSources[Source],0)),"?"))</f>
        <v/>
      </c>
      <c r="L440" s="63">
        <f>IF(tblMovement[[#This Row],[Destination]]="","",IFERROR(INDEX(tblDestinations[Type],MATCH(tblMovement[[#This Row],[Destination]],tblDestinations[Destination],0)),"?"))</f>
        <v/>
      </c>
      <c r="M440" s="64">
        <f>IF(tblMovement[[#This Row],[Material]]="","",IF(LEFT(tblMovement[[#This Row],[Material]],3)="Ore",1,0))</f>
        <v/>
      </c>
      <c r="N440" s="59">
        <f>IF(OR(tblMovement[[#This Row],[Tonnes_t]]="",tblMovement[[#This Row],[Grade_gpt]]=""),0,tblMovement[[#This Row],[Tonnes_t]]*tblMovement[[#This Row],[Grade_gpt]]/cfg_TroyOz)</f>
        <v/>
      </c>
      <c r="O440" s="59">
        <f>IF(tblMovement[[#This Row],[Is_Ore]]=1,tblMovement[[#This Row],[Contained_oz]],0)</f>
        <v/>
      </c>
    </row>
    <row r="441">
      <c r="A441" s="54" t="n"/>
      <c r="B441" s="61" t="n"/>
      <c r="C441" s="61" t="n"/>
      <c r="D441" s="61" t="n"/>
      <c r="E441" s="61" t="n"/>
      <c r="F441" s="55" t="n"/>
      <c r="G441" s="56" t="n"/>
      <c r="H441" s="55" t="n"/>
      <c r="I441" s="62" t="n"/>
      <c r="J441" s="58" t="n"/>
      <c r="K441" s="63">
        <f>IF(tblMovement[[#This Row],[Source]]="","",IFERROR(INDEX(tblSources[Type],MATCH(tblMovement[[#This Row],[Source]],tblSources[Source],0)),"?"))</f>
        <v/>
      </c>
      <c r="L441" s="63">
        <f>IF(tblMovement[[#This Row],[Destination]]="","",IFERROR(INDEX(tblDestinations[Type],MATCH(tblMovement[[#This Row],[Destination]],tblDestinations[Destination],0)),"?"))</f>
        <v/>
      </c>
      <c r="M441" s="64">
        <f>IF(tblMovement[[#This Row],[Material]]="","",IF(LEFT(tblMovement[[#This Row],[Material]],3)="Ore",1,0))</f>
        <v/>
      </c>
      <c r="N441" s="59">
        <f>IF(OR(tblMovement[[#This Row],[Tonnes_t]]="",tblMovement[[#This Row],[Grade_gpt]]=""),0,tblMovement[[#This Row],[Tonnes_t]]*tblMovement[[#This Row],[Grade_gpt]]/cfg_TroyOz)</f>
        <v/>
      </c>
      <c r="O441" s="59">
        <f>IF(tblMovement[[#This Row],[Is_Ore]]=1,tblMovement[[#This Row],[Contained_oz]],0)</f>
        <v/>
      </c>
    </row>
    <row r="442">
      <c r="A442" s="54" t="n"/>
      <c r="B442" s="61" t="n"/>
      <c r="C442" s="61" t="n"/>
      <c r="D442" s="61" t="n"/>
      <c r="E442" s="61" t="n"/>
      <c r="F442" s="55" t="n"/>
      <c r="G442" s="56" t="n"/>
      <c r="H442" s="55" t="n"/>
      <c r="I442" s="62" t="n"/>
      <c r="J442" s="58" t="n"/>
      <c r="K442" s="63">
        <f>IF(tblMovement[[#This Row],[Source]]="","",IFERROR(INDEX(tblSources[Type],MATCH(tblMovement[[#This Row],[Source]],tblSources[Source],0)),"?"))</f>
        <v/>
      </c>
      <c r="L442" s="63">
        <f>IF(tblMovement[[#This Row],[Destination]]="","",IFERROR(INDEX(tblDestinations[Type],MATCH(tblMovement[[#This Row],[Destination]],tblDestinations[Destination],0)),"?"))</f>
        <v/>
      </c>
      <c r="M442" s="64">
        <f>IF(tblMovement[[#This Row],[Material]]="","",IF(LEFT(tblMovement[[#This Row],[Material]],3)="Ore",1,0))</f>
        <v/>
      </c>
      <c r="N442" s="59">
        <f>IF(OR(tblMovement[[#This Row],[Tonnes_t]]="",tblMovement[[#This Row],[Grade_gpt]]=""),0,tblMovement[[#This Row],[Tonnes_t]]*tblMovement[[#This Row],[Grade_gpt]]/cfg_TroyOz)</f>
        <v/>
      </c>
      <c r="O442" s="59">
        <f>IF(tblMovement[[#This Row],[Is_Ore]]=1,tblMovement[[#This Row],[Contained_oz]],0)</f>
        <v/>
      </c>
    </row>
    <row r="443">
      <c r="A443" s="54" t="n"/>
      <c r="B443" s="61" t="n"/>
      <c r="C443" s="61" t="n"/>
      <c r="D443" s="61" t="n"/>
      <c r="E443" s="61" t="n"/>
      <c r="F443" s="55" t="n"/>
      <c r="G443" s="56" t="n"/>
      <c r="H443" s="55" t="n"/>
      <c r="I443" s="62" t="n"/>
      <c r="J443" s="58" t="n"/>
      <c r="K443" s="63">
        <f>IF(tblMovement[[#This Row],[Source]]="","",IFERROR(INDEX(tblSources[Type],MATCH(tblMovement[[#This Row],[Source]],tblSources[Source],0)),"?"))</f>
        <v/>
      </c>
      <c r="L443" s="63">
        <f>IF(tblMovement[[#This Row],[Destination]]="","",IFERROR(INDEX(tblDestinations[Type],MATCH(tblMovement[[#This Row],[Destination]],tblDestinations[Destination],0)),"?"))</f>
        <v/>
      </c>
      <c r="M443" s="64">
        <f>IF(tblMovement[[#This Row],[Material]]="","",IF(LEFT(tblMovement[[#This Row],[Material]],3)="Ore",1,0))</f>
        <v/>
      </c>
      <c r="N443" s="59">
        <f>IF(OR(tblMovement[[#This Row],[Tonnes_t]]="",tblMovement[[#This Row],[Grade_gpt]]=""),0,tblMovement[[#This Row],[Tonnes_t]]*tblMovement[[#This Row],[Grade_gpt]]/cfg_TroyOz)</f>
        <v/>
      </c>
      <c r="O443" s="59">
        <f>IF(tblMovement[[#This Row],[Is_Ore]]=1,tblMovement[[#This Row],[Contained_oz]],0)</f>
        <v/>
      </c>
    </row>
    <row r="444">
      <c r="A444" s="54" t="n"/>
      <c r="B444" s="61" t="n"/>
      <c r="C444" s="61" t="n"/>
      <c r="D444" s="61" t="n"/>
      <c r="E444" s="61" t="n"/>
      <c r="F444" s="55" t="n"/>
      <c r="G444" s="56" t="n"/>
      <c r="H444" s="55" t="n"/>
      <c r="I444" s="62" t="n"/>
      <c r="J444" s="58" t="n"/>
      <c r="K444" s="63">
        <f>IF(tblMovement[[#This Row],[Source]]="","",IFERROR(INDEX(tblSources[Type],MATCH(tblMovement[[#This Row],[Source]],tblSources[Source],0)),"?"))</f>
        <v/>
      </c>
      <c r="L444" s="63">
        <f>IF(tblMovement[[#This Row],[Destination]]="","",IFERROR(INDEX(tblDestinations[Type],MATCH(tblMovement[[#This Row],[Destination]],tblDestinations[Destination],0)),"?"))</f>
        <v/>
      </c>
      <c r="M444" s="64">
        <f>IF(tblMovement[[#This Row],[Material]]="","",IF(LEFT(tblMovement[[#This Row],[Material]],3)="Ore",1,0))</f>
        <v/>
      </c>
      <c r="N444" s="59">
        <f>IF(OR(tblMovement[[#This Row],[Tonnes_t]]="",tblMovement[[#This Row],[Grade_gpt]]=""),0,tblMovement[[#This Row],[Tonnes_t]]*tblMovement[[#This Row],[Grade_gpt]]/cfg_TroyOz)</f>
        <v/>
      </c>
      <c r="O444" s="59">
        <f>IF(tblMovement[[#This Row],[Is_Ore]]=1,tblMovement[[#This Row],[Contained_oz]],0)</f>
        <v/>
      </c>
    </row>
    <row r="445">
      <c r="A445" s="54" t="n"/>
      <c r="B445" s="61" t="n"/>
      <c r="C445" s="61" t="n"/>
      <c r="D445" s="61" t="n"/>
      <c r="E445" s="61" t="n"/>
      <c r="F445" s="55" t="n"/>
      <c r="G445" s="56" t="n"/>
      <c r="H445" s="55" t="n"/>
      <c r="I445" s="62" t="n"/>
      <c r="J445" s="58" t="n"/>
      <c r="K445" s="63">
        <f>IF(tblMovement[[#This Row],[Source]]="","",IFERROR(INDEX(tblSources[Type],MATCH(tblMovement[[#This Row],[Source]],tblSources[Source],0)),"?"))</f>
        <v/>
      </c>
      <c r="L445" s="63">
        <f>IF(tblMovement[[#This Row],[Destination]]="","",IFERROR(INDEX(tblDestinations[Type],MATCH(tblMovement[[#This Row],[Destination]],tblDestinations[Destination],0)),"?"))</f>
        <v/>
      </c>
      <c r="M445" s="64">
        <f>IF(tblMovement[[#This Row],[Material]]="","",IF(LEFT(tblMovement[[#This Row],[Material]],3)="Ore",1,0))</f>
        <v/>
      </c>
      <c r="N445" s="59">
        <f>IF(OR(tblMovement[[#This Row],[Tonnes_t]]="",tblMovement[[#This Row],[Grade_gpt]]=""),0,tblMovement[[#This Row],[Tonnes_t]]*tblMovement[[#This Row],[Grade_gpt]]/cfg_TroyOz)</f>
        <v/>
      </c>
      <c r="O445" s="59">
        <f>IF(tblMovement[[#This Row],[Is_Ore]]=1,tblMovement[[#This Row],[Contained_oz]],0)</f>
        <v/>
      </c>
    </row>
    <row r="446">
      <c r="A446" s="54" t="n"/>
      <c r="B446" s="61" t="n"/>
      <c r="C446" s="61" t="n"/>
      <c r="D446" s="61" t="n"/>
      <c r="E446" s="61" t="n"/>
      <c r="F446" s="55" t="n"/>
      <c r="G446" s="56" t="n"/>
      <c r="H446" s="55" t="n"/>
      <c r="I446" s="62" t="n"/>
      <c r="J446" s="58" t="n"/>
      <c r="K446" s="63">
        <f>IF(tblMovement[[#This Row],[Source]]="","",IFERROR(INDEX(tblSources[Type],MATCH(tblMovement[[#This Row],[Source]],tblSources[Source],0)),"?"))</f>
        <v/>
      </c>
      <c r="L446" s="63">
        <f>IF(tblMovement[[#This Row],[Destination]]="","",IFERROR(INDEX(tblDestinations[Type],MATCH(tblMovement[[#This Row],[Destination]],tblDestinations[Destination],0)),"?"))</f>
        <v/>
      </c>
      <c r="M446" s="64">
        <f>IF(tblMovement[[#This Row],[Material]]="","",IF(LEFT(tblMovement[[#This Row],[Material]],3)="Ore",1,0))</f>
        <v/>
      </c>
      <c r="N446" s="59">
        <f>IF(OR(tblMovement[[#This Row],[Tonnes_t]]="",tblMovement[[#This Row],[Grade_gpt]]=""),0,tblMovement[[#This Row],[Tonnes_t]]*tblMovement[[#This Row],[Grade_gpt]]/cfg_TroyOz)</f>
        <v/>
      </c>
      <c r="O446" s="59">
        <f>IF(tblMovement[[#This Row],[Is_Ore]]=1,tblMovement[[#This Row],[Contained_oz]],0)</f>
        <v/>
      </c>
    </row>
    <row r="447">
      <c r="A447" s="54" t="n"/>
      <c r="B447" s="61" t="n"/>
      <c r="C447" s="61" t="n"/>
      <c r="D447" s="61" t="n"/>
      <c r="E447" s="61" t="n"/>
      <c r="F447" s="55" t="n"/>
      <c r="G447" s="56" t="n"/>
      <c r="H447" s="55" t="n"/>
      <c r="I447" s="62" t="n"/>
      <c r="J447" s="58" t="n"/>
      <c r="K447" s="63">
        <f>IF(tblMovement[[#This Row],[Source]]="","",IFERROR(INDEX(tblSources[Type],MATCH(tblMovement[[#This Row],[Source]],tblSources[Source],0)),"?"))</f>
        <v/>
      </c>
      <c r="L447" s="63">
        <f>IF(tblMovement[[#This Row],[Destination]]="","",IFERROR(INDEX(tblDestinations[Type],MATCH(tblMovement[[#This Row],[Destination]],tblDestinations[Destination],0)),"?"))</f>
        <v/>
      </c>
      <c r="M447" s="64">
        <f>IF(tblMovement[[#This Row],[Material]]="","",IF(LEFT(tblMovement[[#This Row],[Material]],3)="Ore",1,0))</f>
        <v/>
      </c>
      <c r="N447" s="59">
        <f>IF(OR(tblMovement[[#This Row],[Tonnes_t]]="",tblMovement[[#This Row],[Grade_gpt]]=""),0,tblMovement[[#This Row],[Tonnes_t]]*tblMovement[[#This Row],[Grade_gpt]]/cfg_TroyOz)</f>
        <v/>
      </c>
      <c r="O447" s="59">
        <f>IF(tblMovement[[#This Row],[Is_Ore]]=1,tblMovement[[#This Row],[Contained_oz]],0)</f>
        <v/>
      </c>
    </row>
    <row r="448">
      <c r="A448" s="54" t="n"/>
      <c r="B448" s="61" t="n"/>
      <c r="C448" s="61" t="n"/>
      <c r="D448" s="61" t="n"/>
      <c r="E448" s="61" t="n"/>
      <c r="F448" s="55" t="n"/>
      <c r="G448" s="56" t="n"/>
      <c r="H448" s="55" t="n"/>
      <c r="I448" s="62" t="n"/>
      <c r="J448" s="58" t="n"/>
      <c r="K448" s="63">
        <f>IF(tblMovement[[#This Row],[Source]]="","",IFERROR(INDEX(tblSources[Type],MATCH(tblMovement[[#This Row],[Source]],tblSources[Source],0)),"?"))</f>
        <v/>
      </c>
      <c r="L448" s="63">
        <f>IF(tblMovement[[#This Row],[Destination]]="","",IFERROR(INDEX(tblDestinations[Type],MATCH(tblMovement[[#This Row],[Destination]],tblDestinations[Destination],0)),"?"))</f>
        <v/>
      </c>
      <c r="M448" s="64">
        <f>IF(tblMovement[[#This Row],[Material]]="","",IF(LEFT(tblMovement[[#This Row],[Material]],3)="Ore",1,0))</f>
        <v/>
      </c>
      <c r="N448" s="59">
        <f>IF(OR(tblMovement[[#This Row],[Tonnes_t]]="",tblMovement[[#This Row],[Grade_gpt]]=""),0,tblMovement[[#This Row],[Tonnes_t]]*tblMovement[[#This Row],[Grade_gpt]]/cfg_TroyOz)</f>
        <v/>
      </c>
      <c r="O448" s="59">
        <f>IF(tblMovement[[#This Row],[Is_Ore]]=1,tblMovement[[#This Row],[Contained_oz]],0)</f>
        <v/>
      </c>
    </row>
    <row r="449">
      <c r="A449" s="54" t="n"/>
      <c r="B449" s="61" t="n"/>
      <c r="C449" s="61" t="n"/>
      <c r="D449" s="61" t="n"/>
      <c r="E449" s="61" t="n"/>
      <c r="F449" s="55" t="n"/>
      <c r="G449" s="56" t="n"/>
      <c r="H449" s="55" t="n"/>
      <c r="I449" s="62" t="n"/>
      <c r="J449" s="58" t="n"/>
      <c r="K449" s="63">
        <f>IF(tblMovement[[#This Row],[Source]]="","",IFERROR(INDEX(tblSources[Type],MATCH(tblMovement[[#This Row],[Source]],tblSources[Source],0)),"?"))</f>
        <v/>
      </c>
      <c r="L449" s="63">
        <f>IF(tblMovement[[#This Row],[Destination]]="","",IFERROR(INDEX(tblDestinations[Type],MATCH(tblMovement[[#This Row],[Destination]],tblDestinations[Destination],0)),"?"))</f>
        <v/>
      </c>
      <c r="M449" s="64">
        <f>IF(tblMovement[[#This Row],[Material]]="","",IF(LEFT(tblMovement[[#This Row],[Material]],3)="Ore",1,0))</f>
        <v/>
      </c>
      <c r="N449" s="59">
        <f>IF(OR(tblMovement[[#This Row],[Tonnes_t]]="",tblMovement[[#This Row],[Grade_gpt]]=""),0,tblMovement[[#This Row],[Tonnes_t]]*tblMovement[[#This Row],[Grade_gpt]]/cfg_TroyOz)</f>
        <v/>
      </c>
      <c r="O449" s="59">
        <f>IF(tblMovement[[#This Row],[Is_Ore]]=1,tblMovement[[#This Row],[Contained_oz]],0)</f>
        <v/>
      </c>
    </row>
    <row r="450">
      <c r="A450" s="54" t="n"/>
      <c r="B450" s="61" t="n"/>
      <c r="C450" s="61" t="n"/>
      <c r="D450" s="61" t="n"/>
      <c r="E450" s="61" t="n"/>
      <c r="F450" s="55" t="n"/>
      <c r="G450" s="56" t="n"/>
      <c r="H450" s="55" t="n"/>
      <c r="I450" s="62" t="n"/>
      <c r="J450" s="58" t="n"/>
      <c r="K450" s="63">
        <f>IF(tblMovement[[#This Row],[Source]]="","",IFERROR(INDEX(tblSources[Type],MATCH(tblMovement[[#This Row],[Source]],tblSources[Source],0)),"?"))</f>
        <v/>
      </c>
      <c r="L450" s="63">
        <f>IF(tblMovement[[#This Row],[Destination]]="","",IFERROR(INDEX(tblDestinations[Type],MATCH(tblMovement[[#This Row],[Destination]],tblDestinations[Destination],0)),"?"))</f>
        <v/>
      </c>
      <c r="M450" s="64">
        <f>IF(tblMovement[[#This Row],[Material]]="","",IF(LEFT(tblMovement[[#This Row],[Material]],3)="Ore",1,0))</f>
        <v/>
      </c>
      <c r="N450" s="59">
        <f>IF(OR(tblMovement[[#This Row],[Tonnes_t]]="",tblMovement[[#This Row],[Grade_gpt]]=""),0,tblMovement[[#This Row],[Tonnes_t]]*tblMovement[[#This Row],[Grade_gpt]]/cfg_TroyOz)</f>
        <v/>
      </c>
      <c r="O450" s="59">
        <f>IF(tblMovement[[#This Row],[Is_Ore]]=1,tblMovement[[#This Row],[Contained_oz]],0)</f>
        <v/>
      </c>
    </row>
    <row r="451">
      <c r="A451" s="54" t="n"/>
      <c r="B451" s="61" t="n"/>
      <c r="C451" s="61" t="n"/>
      <c r="D451" s="61" t="n"/>
      <c r="E451" s="61" t="n"/>
      <c r="F451" s="55" t="n"/>
      <c r="G451" s="56" t="n"/>
      <c r="H451" s="55" t="n"/>
      <c r="I451" s="62" t="n"/>
      <c r="J451" s="58" t="n"/>
      <c r="K451" s="63">
        <f>IF(tblMovement[[#This Row],[Source]]="","",IFERROR(INDEX(tblSources[Type],MATCH(tblMovement[[#This Row],[Source]],tblSources[Source],0)),"?"))</f>
        <v/>
      </c>
      <c r="L451" s="63">
        <f>IF(tblMovement[[#This Row],[Destination]]="","",IFERROR(INDEX(tblDestinations[Type],MATCH(tblMovement[[#This Row],[Destination]],tblDestinations[Destination],0)),"?"))</f>
        <v/>
      </c>
      <c r="M451" s="64">
        <f>IF(tblMovement[[#This Row],[Material]]="","",IF(LEFT(tblMovement[[#This Row],[Material]],3)="Ore",1,0))</f>
        <v/>
      </c>
      <c r="N451" s="59">
        <f>IF(OR(tblMovement[[#This Row],[Tonnes_t]]="",tblMovement[[#This Row],[Grade_gpt]]=""),0,tblMovement[[#This Row],[Tonnes_t]]*tblMovement[[#This Row],[Grade_gpt]]/cfg_TroyOz)</f>
        <v/>
      </c>
      <c r="O451" s="59">
        <f>IF(tblMovement[[#This Row],[Is_Ore]]=1,tblMovement[[#This Row],[Contained_oz]],0)</f>
        <v/>
      </c>
    </row>
    <row r="452">
      <c r="A452" s="54" t="n"/>
      <c r="B452" s="61" t="n"/>
      <c r="C452" s="61" t="n"/>
      <c r="D452" s="61" t="n"/>
      <c r="E452" s="61" t="n"/>
      <c r="F452" s="55" t="n"/>
      <c r="G452" s="56" t="n"/>
      <c r="H452" s="55" t="n"/>
      <c r="I452" s="62" t="n"/>
      <c r="J452" s="58" t="n"/>
      <c r="K452" s="63">
        <f>IF(tblMovement[[#This Row],[Source]]="","",IFERROR(INDEX(tblSources[Type],MATCH(tblMovement[[#This Row],[Source]],tblSources[Source],0)),"?"))</f>
        <v/>
      </c>
      <c r="L452" s="63">
        <f>IF(tblMovement[[#This Row],[Destination]]="","",IFERROR(INDEX(tblDestinations[Type],MATCH(tblMovement[[#This Row],[Destination]],tblDestinations[Destination],0)),"?"))</f>
        <v/>
      </c>
      <c r="M452" s="64">
        <f>IF(tblMovement[[#This Row],[Material]]="","",IF(LEFT(tblMovement[[#This Row],[Material]],3)="Ore",1,0))</f>
        <v/>
      </c>
      <c r="N452" s="59">
        <f>IF(OR(tblMovement[[#This Row],[Tonnes_t]]="",tblMovement[[#This Row],[Grade_gpt]]=""),0,tblMovement[[#This Row],[Tonnes_t]]*tblMovement[[#This Row],[Grade_gpt]]/cfg_TroyOz)</f>
        <v/>
      </c>
      <c r="O452" s="59">
        <f>IF(tblMovement[[#This Row],[Is_Ore]]=1,tblMovement[[#This Row],[Contained_oz]],0)</f>
        <v/>
      </c>
    </row>
    <row r="453">
      <c r="A453" s="54" t="n"/>
      <c r="B453" s="61" t="n"/>
      <c r="C453" s="61" t="n"/>
      <c r="D453" s="61" t="n"/>
      <c r="E453" s="61" t="n"/>
      <c r="F453" s="55" t="n"/>
      <c r="G453" s="56" t="n"/>
      <c r="H453" s="55" t="n"/>
      <c r="I453" s="62" t="n"/>
      <c r="J453" s="58" t="n"/>
      <c r="K453" s="63">
        <f>IF(tblMovement[[#This Row],[Source]]="","",IFERROR(INDEX(tblSources[Type],MATCH(tblMovement[[#This Row],[Source]],tblSources[Source],0)),"?"))</f>
        <v/>
      </c>
      <c r="L453" s="63">
        <f>IF(tblMovement[[#This Row],[Destination]]="","",IFERROR(INDEX(tblDestinations[Type],MATCH(tblMovement[[#This Row],[Destination]],tblDestinations[Destination],0)),"?"))</f>
        <v/>
      </c>
      <c r="M453" s="64">
        <f>IF(tblMovement[[#This Row],[Material]]="","",IF(LEFT(tblMovement[[#This Row],[Material]],3)="Ore",1,0))</f>
        <v/>
      </c>
      <c r="N453" s="59">
        <f>IF(OR(tblMovement[[#This Row],[Tonnes_t]]="",tblMovement[[#This Row],[Grade_gpt]]=""),0,tblMovement[[#This Row],[Tonnes_t]]*tblMovement[[#This Row],[Grade_gpt]]/cfg_TroyOz)</f>
        <v/>
      </c>
      <c r="O453" s="59">
        <f>IF(tblMovement[[#This Row],[Is_Ore]]=1,tblMovement[[#This Row],[Contained_oz]],0)</f>
        <v/>
      </c>
    </row>
    <row r="454">
      <c r="A454" s="54" t="n"/>
      <c r="B454" s="61" t="n"/>
      <c r="C454" s="61" t="n"/>
      <c r="D454" s="61" t="n"/>
      <c r="E454" s="61" t="n"/>
      <c r="F454" s="55" t="n"/>
      <c r="G454" s="56" t="n"/>
      <c r="H454" s="55" t="n"/>
      <c r="I454" s="62" t="n"/>
      <c r="J454" s="58" t="n"/>
      <c r="K454" s="63">
        <f>IF(tblMovement[[#This Row],[Source]]="","",IFERROR(INDEX(tblSources[Type],MATCH(tblMovement[[#This Row],[Source]],tblSources[Source],0)),"?"))</f>
        <v/>
      </c>
      <c r="L454" s="63">
        <f>IF(tblMovement[[#This Row],[Destination]]="","",IFERROR(INDEX(tblDestinations[Type],MATCH(tblMovement[[#This Row],[Destination]],tblDestinations[Destination],0)),"?"))</f>
        <v/>
      </c>
      <c r="M454" s="64">
        <f>IF(tblMovement[[#This Row],[Material]]="","",IF(LEFT(tblMovement[[#This Row],[Material]],3)="Ore",1,0))</f>
        <v/>
      </c>
      <c r="N454" s="59">
        <f>IF(OR(tblMovement[[#This Row],[Tonnes_t]]="",tblMovement[[#This Row],[Grade_gpt]]=""),0,tblMovement[[#This Row],[Tonnes_t]]*tblMovement[[#This Row],[Grade_gpt]]/cfg_TroyOz)</f>
        <v/>
      </c>
      <c r="O454" s="59">
        <f>IF(tblMovement[[#This Row],[Is_Ore]]=1,tblMovement[[#This Row],[Contained_oz]],0)</f>
        <v/>
      </c>
    </row>
    <row r="455">
      <c r="A455" s="54" t="n"/>
      <c r="B455" s="61" t="n"/>
      <c r="C455" s="61" t="n"/>
      <c r="D455" s="61" t="n"/>
      <c r="E455" s="61" t="n"/>
      <c r="F455" s="55" t="n"/>
      <c r="G455" s="56" t="n"/>
      <c r="H455" s="55" t="n"/>
      <c r="I455" s="62" t="n"/>
      <c r="J455" s="58" t="n"/>
      <c r="K455" s="63">
        <f>IF(tblMovement[[#This Row],[Source]]="","",IFERROR(INDEX(tblSources[Type],MATCH(tblMovement[[#This Row],[Source]],tblSources[Source],0)),"?"))</f>
        <v/>
      </c>
      <c r="L455" s="63">
        <f>IF(tblMovement[[#This Row],[Destination]]="","",IFERROR(INDEX(tblDestinations[Type],MATCH(tblMovement[[#This Row],[Destination]],tblDestinations[Destination],0)),"?"))</f>
        <v/>
      </c>
      <c r="M455" s="64">
        <f>IF(tblMovement[[#This Row],[Material]]="","",IF(LEFT(tblMovement[[#This Row],[Material]],3)="Ore",1,0))</f>
        <v/>
      </c>
      <c r="N455" s="59">
        <f>IF(OR(tblMovement[[#This Row],[Tonnes_t]]="",tblMovement[[#This Row],[Grade_gpt]]=""),0,tblMovement[[#This Row],[Tonnes_t]]*tblMovement[[#This Row],[Grade_gpt]]/cfg_TroyOz)</f>
        <v/>
      </c>
      <c r="O455" s="59">
        <f>IF(tblMovement[[#This Row],[Is_Ore]]=1,tblMovement[[#This Row],[Contained_oz]],0)</f>
        <v/>
      </c>
    </row>
    <row r="456">
      <c r="A456" s="54" t="n"/>
      <c r="B456" s="61" t="n"/>
      <c r="C456" s="61" t="n"/>
      <c r="D456" s="61" t="n"/>
      <c r="E456" s="61" t="n"/>
      <c r="F456" s="55" t="n"/>
      <c r="G456" s="56" t="n"/>
      <c r="H456" s="55" t="n"/>
      <c r="I456" s="62" t="n"/>
      <c r="J456" s="58" t="n"/>
      <c r="K456" s="63">
        <f>IF(tblMovement[[#This Row],[Source]]="","",IFERROR(INDEX(tblSources[Type],MATCH(tblMovement[[#This Row],[Source]],tblSources[Source],0)),"?"))</f>
        <v/>
      </c>
      <c r="L456" s="63">
        <f>IF(tblMovement[[#This Row],[Destination]]="","",IFERROR(INDEX(tblDestinations[Type],MATCH(tblMovement[[#This Row],[Destination]],tblDestinations[Destination],0)),"?"))</f>
        <v/>
      </c>
      <c r="M456" s="64">
        <f>IF(tblMovement[[#This Row],[Material]]="","",IF(LEFT(tblMovement[[#This Row],[Material]],3)="Ore",1,0))</f>
        <v/>
      </c>
      <c r="N456" s="59">
        <f>IF(OR(tblMovement[[#This Row],[Tonnes_t]]="",tblMovement[[#This Row],[Grade_gpt]]=""),0,tblMovement[[#This Row],[Tonnes_t]]*tblMovement[[#This Row],[Grade_gpt]]/cfg_TroyOz)</f>
        <v/>
      </c>
      <c r="O456" s="59">
        <f>IF(tblMovement[[#This Row],[Is_Ore]]=1,tblMovement[[#This Row],[Contained_oz]],0)</f>
        <v/>
      </c>
    </row>
    <row r="457">
      <c r="A457" s="54" t="n"/>
      <c r="B457" s="61" t="n"/>
      <c r="C457" s="61" t="n"/>
      <c r="D457" s="61" t="n"/>
      <c r="E457" s="61" t="n"/>
      <c r="F457" s="55" t="n"/>
      <c r="G457" s="56" t="n"/>
      <c r="H457" s="55" t="n"/>
      <c r="I457" s="62" t="n"/>
      <c r="J457" s="58" t="n"/>
      <c r="K457" s="63">
        <f>IF(tblMovement[[#This Row],[Source]]="","",IFERROR(INDEX(tblSources[Type],MATCH(tblMovement[[#This Row],[Source]],tblSources[Source],0)),"?"))</f>
        <v/>
      </c>
      <c r="L457" s="63">
        <f>IF(tblMovement[[#This Row],[Destination]]="","",IFERROR(INDEX(tblDestinations[Type],MATCH(tblMovement[[#This Row],[Destination]],tblDestinations[Destination],0)),"?"))</f>
        <v/>
      </c>
      <c r="M457" s="64">
        <f>IF(tblMovement[[#This Row],[Material]]="","",IF(LEFT(tblMovement[[#This Row],[Material]],3)="Ore",1,0))</f>
        <v/>
      </c>
      <c r="N457" s="59">
        <f>IF(OR(tblMovement[[#This Row],[Tonnes_t]]="",tblMovement[[#This Row],[Grade_gpt]]=""),0,tblMovement[[#This Row],[Tonnes_t]]*tblMovement[[#This Row],[Grade_gpt]]/cfg_TroyOz)</f>
        <v/>
      </c>
      <c r="O457" s="59">
        <f>IF(tblMovement[[#This Row],[Is_Ore]]=1,tblMovement[[#This Row],[Contained_oz]],0)</f>
        <v/>
      </c>
    </row>
    <row r="458">
      <c r="A458" s="54" t="n"/>
      <c r="B458" s="61" t="n"/>
      <c r="C458" s="61" t="n"/>
      <c r="D458" s="61" t="n"/>
      <c r="E458" s="61" t="n"/>
      <c r="F458" s="55" t="n"/>
      <c r="G458" s="56" t="n"/>
      <c r="H458" s="55" t="n"/>
      <c r="I458" s="62" t="n"/>
      <c r="J458" s="58" t="n"/>
      <c r="K458" s="63">
        <f>IF(tblMovement[[#This Row],[Source]]="","",IFERROR(INDEX(tblSources[Type],MATCH(tblMovement[[#This Row],[Source]],tblSources[Source],0)),"?"))</f>
        <v/>
      </c>
      <c r="L458" s="63">
        <f>IF(tblMovement[[#This Row],[Destination]]="","",IFERROR(INDEX(tblDestinations[Type],MATCH(tblMovement[[#This Row],[Destination]],tblDestinations[Destination],0)),"?"))</f>
        <v/>
      </c>
      <c r="M458" s="64">
        <f>IF(tblMovement[[#This Row],[Material]]="","",IF(LEFT(tblMovement[[#This Row],[Material]],3)="Ore",1,0))</f>
        <v/>
      </c>
      <c r="N458" s="59">
        <f>IF(OR(tblMovement[[#This Row],[Tonnes_t]]="",tblMovement[[#This Row],[Grade_gpt]]=""),0,tblMovement[[#This Row],[Tonnes_t]]*tblMovement[[#This Row],[Grade_gpt]]/cfg_TroyOz)</f>
        <v/>
      </c>
      <c r="O458" s="59">
        <f>IF(tblMovement[[#This Row],[Is_Ore]]=1,tblMovement[[#This Row],[Contained_oz]],0)</f>
        <v/>
      </c>
    </row>
    <row r="459">
      <c r="A459" s="54" t="n"/>
      <c r="B459" s="61" t="n"/>
      <c r="C459" s="61" t="n"/>
      <c r="D459" s="61" t="n"/>
      <c r="E459" s="61" t="n"/>
      <c r="F459" s="55" t="n"/>
      <c r="G459" s="56" t="n"/>
      <c r="H459" s="55" t="n"/>
      <c r="I459" s="62" t="n"/>
      <c r="J459" s="58" t="n"/>
      <c r="K459" s="63">
        <f>IF(tblMovement[[#This Row],[Source]]="","",IFERROR(INDEX(tblSources[Type],MATCH(tblMovement[[#This Row],[Source]],tblSources[Source],0)),"?"))</f>
        <v/>
      </c>
      <c r="L459" s="63">
        <f>IF(tblMovement[[#This Row],[Destination]]="","",IFERROR(INDEX(tblDestinations[Type],MATCH(tblMovement[[#This Row],[Destination]],tblDestinations[Destination],0)),"?"))</f>
        <v/>
      </c>
      <c r="M459" s="64">
        <f>IF(tblMovement[[#This Row],[Material]]="","",IF(LEFT(tblMovement[[#This Row],[Material]],3)="Ore",1,0))</f>
        <v/>
      </c>
      <c r="N459" s="59">
        <f>IF(OR(tblMovement[[#This Row],[Tonnes_t]]="",tblMovement[[#This Row],[Grade_gpt]]=""),0,tblMovement[[#This Row],[Tonnes_t]]*tblMovement[[#This Row],[Grade_gpt]]/cfg_TroyOz)</f>
        <v/>
      </c>
      <c r="O459" s="59">
        <f>IF(tblMovement[[#This Row],[Is_Ore]]=1,tblMovement[[#This Row],[Contained_oz]],0)</f>
        <v/>
      </c>
    </row>
    <row r="460">
      <c r="A460" s="54" t="n"/>
      <c r="B460" s="61" t="n"/>
      <c r="C460" s="61" t="n"/>
      <c r="D460" s="61" t="n"/>
      <c r="E460" s="61" t="n"/>
      <c r="F460" s="55" t="n"/>
      <c r="G460" s="56" t="n"/>
      <c r="H460" s="55" t="n"/>
      <c r="I460" s="62" t="n"/>
      <c r="J460" s="58" t="n"/>
      <c r="K460" s="63">
        <f>IF(tblMovement[[#This Row],[Source]]="","",IFERROR(INDEX(tblSources[Type],MATCH(tblMovement[[#This Row],[Source]],tblSources[Source],0)),"?"))</f>
        <v/>
      </c>
      <c r="L460" s="63">
        <f>IF(tblMovement[[#This Row],[Destination]]="","",IFERROR(INDEX(tblDestinations[Type],MATCH(tblMovement[[#This Row],[Destination]],tblDestinations[Destination],0)),"?"))</f>
        <v/>
      </c>
      <c r="M460" s="64">
        <f>IF(tblMovement[[#This Row],[Material]]="","",IF(LEFT(tblMovement[[#This Row],[Material]],3)="Ore",1,0))</f>
        <v/>
      </c>
      <c r="N460" s="59">
        <f>IF(OR(tblMovement[[#This Row],[Tonnes_t]]="",tblMovement[[#This Row],[Grade_gpt]]=""),0,tblMovement[[#This Row],[Tonnes_t]]*tblMovement[[#This Row],[Grade_gpt]]/cfg_TroyOz)</f>
        <v/>
      </c>
      <c r="O460" s="59">
        <f>IF(tblMovement[[#This Row],[Is_Ore]]=1,tblMovement[[#This Row],[Contained_oz]],0)</f>
        <v/>
      </c>
    </row>
    <row r="461">
      <c r="A461" s="54" t="n"/>
      <c r="B461" s="61" t="n"/>
      <c r="C461" s="61" t="n"/>
      <c r="D461" s="61" t="n"/>
      <c r="E461" s="61" t="n"/>
      <c r="F461" s="55" t="n"/>
      <c r="G461" s="56" t="n"/>
      <c r="H461" s="55" t="n"/>
      <c r="I461" s="62" t="n"/>
      <c r="J461" s="58" t="n"/>
      <c r="K461" s="63">
        <f>IF(tblMovement[[#This Row],[Source]]="","",IFERROR(INDEX(tblSources[Type],MATCH(tblMovement[[#This Row],[Source]],tblSources[Source],0)),"?"))</f>
        <v/>
      </c>
      <c r="L461" s="63">
        <f>IF(tblMovement[[#This Row],[Destination]]="","",IFERROR(INDEX(tblDestinations[Type],MATCH(tblMovement[[#This Row],[Destination]],tblDestinations[Destination],0)),"?"))</f>
        <v/>
      </c>
      <c r="M461" s="64">
        <f>IF(tblMovement[[#This Row],[Material]]="","",IF(LEFT(tblMovement[[#This Row],[Material]],3)="Ore",1,0))</f>
        <v/>
      </c>
      <c r="N461" s="59">
        <f>IF(OR(tblMovement[[#This Row],[Tonnes_t]]="",tblMovement[[#This Row],[Grade_gpt]]=""),0,tblMovement[[#This Row],[Tonnes_t]]*tblMovement[[#This Row],[Grade_gpt]]/cfg_TroyOz)</f>
        <v/>
      </c>
      <c r="O461" s="59">
        <f>IF(tblMovement[[#This Row],[Is_Ore]]=1,tblMovement[[#This Row],[Contained_oz]],0)</f>
        <v/>
      </c>
    </row>
    <row r="462">
      <c r="A462" s="54" t="n"/>
      <c r="B462" s="61" t="n"/>
      <c r="C462" s="61" t="n"/>
      <c r="D462" s="61" t="n"/>
      <c r="E462" s="61" t="n"/>
      <c r="F462" s="55" t="n"/>
      <c r="G462" s="56" t="n"/>
      <c r="H462" s="55" t="n"/>
      <c r="I462" s="62" t="n"/>
      <c r="J462" s="58" t="n"/>
      <c r="K462" s="63">
        <f>IF(tblMovement[[#This Row],[Source]]="","",IFERROR(INDEX(tblSources[Type],MATCH(tblMovement[[#This Row],[Source]],tblSources[Source],0)),"?"))</f>
        <v/>
      </c>
      <c r="L462" s="63">
        <f>IF(tblMovement[[#This Row],[Destination]]="","",IFERROR(INDEX(tblDestinations[Type],MATCH(tblMovement[[#This Row],[Destination]],tblDestinations[Destination],0)),"?"))</f>
        <v/>
      </c>
      <c r="M462" s="64">
        <f>IF(tblMovement[[#This Row],[Material]]="","",IF(LEFT(tblMovement[[#This Row],[Material]],3)="Ore",1,0))</f>
        <v/>
      </c>
      <c r="N462" s="59">
        <f>IF(OR(tblMovement[[#This Row],[Tonnes_t]]="",tblMovement[[#This Row],[Grade_gpt]]=""),0,tblMovement[[#This Row],[Tonnes_t]]*tblMovement[[#This Row],[Grade_gpt]]/cfg_TroyOz)</f>
        <v/>
      </c>
      <c r="O462" s="59">
        <f>IF(tblMovement[[#This Row],[Is_Ore]]=1,tblMovement[[#This Row],[Contained_oz]],0)</f>
        <v/>
      </c>
    </row>
    <row r="463">
      <c r="A463" s="54" t="n"/>
      <c r="B463" s="61" t="n"/>
      <c r="C463" s="61" t="n"/>
      <c r="D463" s="61" t="n"/>
      <c r="E463" s="61" t="n"/>
      <c r="F463" s="55" t="n"/>
      <c r="G463" s="56" t="n"/>
      <c r="H463" s="55" t="n"/>
      <c r="I463" s="62" t="n"/>
      <c r="J463" s="58" t="n"/>
      <c r="K463" s="63">
        <f>IF(tblMovement[[#This Row],[Source]]="","",IFERROR(INDEX(tblSources[Type],MATCH(tblMovement[[#This Row],[Source]],tblSources[Source],0)),"?"))</f>
        <v/>
      </c>
      <c r="L463" s="63">
        <f>IF(tblMovement[[#This Row],[Destination]]="","",IFERROR(INDEX(tblDestinations[Type],MATCH(tblMovement[[#This Row],[Destination]],tblDestinations[Destination],0)),"?"))</f>
        <v/>
      </c>
      <c r="M463" s="64">
        <f>IF(tblMovement[[#This Row],[Material]]="","",IF(LEFT(tblMovement[[#This Row],[Material]],3)="Ore",1,0))</f>
        <v/>
      </c>
      <c r="N463" s="59">
        <f>IF(OR(tblMovement[[#This Row],[Tonnes_t]]="",tblMovement[[#This Row],[Grade_gpt]]=""),0,tblMovement[[#This Row],[Tonnes_t]]*tblMovement[[#This Row],[Grade_gpt]]/cfg_TroyOz)</f>
        <v/>
      </c>
      <c r="O463" s="59">
        <f>IF(tblMovement[[#This Row],[Is_Ore]]=1,tblMovement[[#This Row],[Contained_oz]],0)</f>
        <v/>
      </c>
    </row>
    <row r="464">
      <c r="A464" s="54" t="n"/>
      <c r="B464" s="61" t="n"/>
      <c r="C464" s="61" t="n"/>
      <c r="D464" s="61" t="n"/>
      <c r="E464" s="61" t="n"/>
      <c r="F464" s="55" t="n"/>
      <c r="G464" s="56" t="n"/>
      <c r="H464" s="55" t="n"/>
      <c r="I464" s="62" t="n"/>
      <c r="J464" s="58" t="n"/>
      <c r="K464" s="63">
        <f>IF(tblMovement[[#This Row],[Source]]="","",IFERROR(INDEX(tblSources[Type],MATCH(tblMovement[[#This Row],[Source]],tblSources[Source],0)),"?"))</f>
        <v/>
      </c>
      <c r="L464" s="63">
        <f>IF(tblMovement[[#This Row],[Destination]]="","",IFERROR(INDEX(tblDestinations[Type],MATCH(tblMovement[[#This Row],[Destination]],tblDestinations[Destination],0)),"?"))</f>
        <v/>
      </c>
      <c r="M464" s="64">
        <f>IF(tblMovement[[#This Row],[Material]]="","",IF(LEFT(tblMovement[[#This Row],[Material]],3)="Ore",1,0))</f>
        <v/>
      </c>
      <c r="N464" s="59">
        <f>IF(OR(tblMovement[[#This Row],[Tonnes_t]]="",tblMovement[[#This Row],[Grade_gpt]]=""),0,tblMovement[[#This Row],[Tonnes_t]]*tblMovement[[#This Row],[Grade_gpt]]/cfg_TroyOz)</f>
        <v/>
      </c>
      <c r="O464" s="59">
        <f>IF(tblMovement[[#This Row],[Is_Ore]]=1,tblMovement[[#This Row],[Contained_oz]],0)</f>
        <v/>
      </c>
    </row>
    <row r="465">
      <c r="A465" s="54" t="n"/>
      <c r="B465" s="61" t="n"/>
      <c r="C465" s="61" t="n"/>
      <c r="D465" s="61" t="n"/>
      <c r="E465" s="61" t="n"/>
      <c r="F465" s="55" t="n"/>
      <c r="G465" s="56" t="n"/>
      <c r="H465" s="55" t="n"/>
      <c r="I465" s="62" t="n"/>
      <c r="J465" s="58" t="n"/>
      <c r="K465" s="63">
        <f>IF(tblMovement[[#This Row],[Source]]="","",IFERROR(INDEX(tblSources[Type],MATCH(tblMovement[[#This Row],[Source]],tblSources[Source],0)),"?"))</f>
        <v/>
      </c>
      <c r="L465" s="63">
        <f>IF(tblMovement[[#This Row],[Destination]]="","",IFERROR(INDEX(tblDestinations[Type],MATCH(tblMovement[[#This Row],[Destination]],tblDestinations[Destination],0)),"?"))</f>
        <v/>
      </c>
      <c r="M465" s="64">
        <f>IF(tblMovement[[#This Row],[Material]]="","",IF(LEFT(tblMovement[[#This Row],[Material]],3)="Ore",1,0))</f>
        <v/>
      </c>
      <c r="N465" s="59">
        <f>IF(OR(tblMovement[[#This Row],[Tonnes_t]]="",tblMovement[[#This Row],[Grade_gpt]]=""),0,tblMovement[[#This Row],[Tonnes_t]]*tblMovement[[#This Row],[Grade_gpt]]/cfg_TroyOz)</f>
        <v/>
      </c>
      <c r="O465" s="59">
        <f>IF(tblMovement[[#This Row],[Is_Ore]]=1,tblMovement[[#This Row],[Contained_oz]],0)</f>
        <v/>
      </c>
    </row>
    <row r="466">
      <c r="A466" s="54" t="n"/>
      <c r="B466" s="61" t="n"/>
      <c r="C466" s="61" t="n"/>
      <c r="D466" s="61" t="n"/>
      <c r="E466" s="61" t="n"/>
      <c r="F466" s="55" t="n"/>
      <c r="G466" s="56" t="n"/>
      <c r="H466" s="55" t="n"/>
      <c r="I466" s="62" t="n"/>
      <c r="J466" s="58" t="n"/>
      <c r="K466" s="63">
        <f>IF(tblMovement[[#This Row],[Source]]="","",IFERROR(INDEX(tblSources[Type],MATCH(tblMovement[[#This Row],[Source]],tblSources[Source],0)),"?"))</f>
        <v/>
      </c>
      <c r="L466" s="63">
        <f>IF(tblMovement[[#This Row],[Destination]]="","",IFERROR(INDEX(tblDestinations[Type],MATCH(tblMovement[[#This Row],[Destination]],tblDestinations[Destination],0)),"?"))</f>
        <v/>
      </c>
      <c r="M466" s="64">
        <f>IF(tblMovement[[#This Row],[Material]]="","",IF(LEFT(tblMovement[[#This Row],[Material]],3)="Ore",1,0))</f>
        <v/>
      </c>
      <c r="N466" s="59">
        <f>IF(OR(tblMovement[[#This Row],[Tonnes_t]]="",tblMovement[[#This Row],[Grade_gpt]]=""),0,tblMovement[[#This Row],[Tonnes_t]]*tblMovement[[#This Row],[Grade_gpt]]/cfg_TroyOz)</f>
        <v/>
      </c>
      <c r="O466" s="59">
        <f>IF(tblMovement[[#This Row],[Is_Ore]]=1,tblMovement[[#This Row],[Contained_oz]],0)</f>
        <v/>
      </c>
    </row>
    <row r="467">
      <c r="A467" s="54" t="n"/>
      <c r="B467" s="61" t="n"/>
      <c r="C467" s="61" t="n"/>
      <c r="D467" s="61" t="n"/>
      <c r="E467" s="61" t="n"/>
      <c r="F467" s="55" t="n"/>
      <c r="G467" s="56" t="n"/>
      <c r="H467" s="55" t="n"/>
      <c r="I467" s="62" t="n"/>
      <c r="J467" s="58" t="n"/>
      <c r="K467" s="63">
        <f>IF(tblMovement[[#This Row],[Source]]="","",IFERROR(INDEX(tblSources[Type],MATCH(tblMovement[[#This Row],[Source]],tblSources[Source],0)),"?"))</f>
        <v/>
      </c>
      <c r="L467" s="63">
        <f>IF(tblMovement[[#This Row],[Destination]]="","",IFERROR(INDEX(tblDestinations[Type],MATCH(tblMovement[[#This Row],[Destination]],tblDestinations[Destination],0)),"?"))</f>
        <v/>
      </c>
      <c r="M467" s="64">
        <f>IF(tblMovement[[#This Row],[Material]]="","",IF(LEFT(tblMovement[[#This Row],[Material]],3)="Ore",1,0))</f>
        <v/>
      </c>
      <c r="N467" s="59">
        <f>IF(OR(tblMovement[[#This Row],[Tonnes_t]]="",tblMovement[[#This Row],[Grade_gpt]]=""),0,tblMovement[[#This Row],[Tonnes_t]]*tblMovement[[#This Row],[Grade_gpt]]/cfg_TroyOz)</f>
        <v/>
      </c>
      <c r="O467" s="59">
        <f>IF(tblMovement[[#This Row],[Is_Ore]]=1,tblMovement[[#This Row],[Contained_oz]],0)</f>
        <v/>
      </c>
    </row>
    <row r="468">
      <c r="A468" s="54" t="n"/>
      <c r="B468" s="61" t="n"/>
      <c r="C468" s="61" t="n"/>
      <c r="D468" s="61" t="n"/>
      <c r="E468" s="61" t="n"/>
      <c r="F468" s="55" t="n"/>
      <c r="G468" s="56" t="n"/>
      <c r="H468" s="55" t="n"/>
      <c r="I468" s="62" t="n"/>
      <c r="J468" s="58" t="n"/>
      <c r="K468" s="63">
        <f>IF(tblMovement[[#This Row],[Source]]="","",IFERROR(INDEX(tblSources[Type],MATCH(tblMovement[[#This Row],[Source]],tblSources[Source],0)),"?"))</f>
        <v/>
      </c>
      <c r="L468" s="63">
        <f>IF(tblMovement[[#This Row],[Destination]]="","",IFERROR(INDEX(tblDestinations[Type],MATCH(tblMovement[[#This Row],[Destination]],tblDestinations[Destination],0)),"?"))</f>
        <v/>
      </c>
      <c r="M468" s="64">
        <f>IF(tblMovement[[#This Row],[Material]]="","",IF(LEFT(tblMovement[[#This Row],[Material]],3)="Ore",1,0))</f>
        <v/>
      </c>
      <c r="N468" s="59">
        <f>IF(OR(tblMovement[[#This Row],[Tonnes_t]]="",tblMovement[[#This Row],[Grade_gpt]]=""),0,tblMovement[[#This Row],[Tonnes_t]]*tblMovement[[#This Row],[Grade_gpt]]/cfg_TroyOz)</f>
        <v/>
      </c>
      <c r="O468" s="59">
        <f>IF(tblMovement[[#This Row],[Is_Ore]]=1,tblMovement[[#This Row],[Contained_oz]],0)</f>
        <v/>
      </c>
    </row>
    <row r="469">
      <c r="A469" s="54" t="n"/>
      <c r="B469" s="61" t="n"/>
      <c r="C469" s="61" t="n"/>
      <c r="D469" s="61" t="n"/>
      <c r="E469" s="61" t="n"/>
      <c r="F469" s="55" t="n"/>
      <c r="G469" s="56" t="n"/>
      <c r="H469" s="55" t="n"/>
      <c r="I469" s="62" t="n"/>
      <c r="J469" s="58" t="n"/>
      <c r="K469" s="63">
        <f>IF(tblMovement[[#This Row],[Source]]="","",IFERROR(INDEX(tblSources[Type],MATCH(tblMovement[[#This Row],[Source]],tblSources[Source],0)),"?"))</f>
        <v/>
      </c>
      <c r="L469" s="63">
        <f>IF(tblMovement[[#This Row],[Destination]]="","",IFERROR(INDEX(tblDestinations[Type],MATCH(tblMovement[[#This Row],[Destination]],tblDestinations[Destination],0)),"?"))</f>
        <v/>
      </c>
      <c r="M469" s="64">
        <f>IF(tblMovement[[#This Row],[Material]]="","",IF(LEFT(tblMovement[[#This Row],[Material]],3)="Ore",1,0))</f>
        <v/>
      </c>
      <c r="N469" s="59">
        <f>IF(OR(tblMovement[[#This Row],[Tonnes_t]]="",tblMovement[[#This Row],[Grade_gpt]]=""),0,tblMovement[[#This Row],[Tonnes_t]]*tblMovement[[#This Row],[Grade_gpt]]/cfg_TroyOz)</f>
        <v/>
      </c>
      <c r="O469" s="59">
        <f>IF(tblMovement[[#This Row],[Is_Ore]]=1,tblMovement[[#This Row],[Contained_oz]],0)</f>
        <v/>
      </c>
    </row>
    <row r="470">
      <c r="A470" s="54" t="n"/>
      <c r="B470" s="61" t="n"/>
      <c r="C470" s="61" t="n"/>
      <c r="D470" s="61" t="n"/>
      <c r="E470" s="61" t="n"/>
      <c r="F470" s="55" t="n"/>
      <c r="G470" s="56" t="n"/>
      <c r="H470" s="55" t="n"/>
      <c r="I470" s="62" t="n"/>
      <c r="J470" s="58" t="n"/>
      <c r="K470" s="63">
        <f>IF(tblMovement[[#This Row],[Source]]="","",IFERROR(INDEX(tblSources[Type],MATCH(tblMovement[[#This Row],[Source]],tblSources[Source],0)),"?"))</f>
        <v/>
      </c>
      <c r="L470" s="63">
        <f>IF(tblMovement[[#This Row],[Destination]]="","",IFERROR(INDEX(tblDestinations[Type],MATCH(tblMovement[[#This Row],[Destination]],tblDestinations[Destination],0)),"?"))</f>
        <v/>
      </c>
      <c r="M470" s="64">
        <f>IF(tblMovement[[#This Row],[Material]]="","",IF(LEFT(tblMovement[[#This Row],[Material]],3)="Ore",1,0))</f>
        <v/>
      </c>
      <c r="N470" s="59">
        <f>IF(OR(tblMovement[[#This Row],[Tonnes_t]]="",tblMovement[[#This Row],[Grade_gpt]]=""),0,tblMovement[[#This Row],[Tonnes_t]]*tblMovement[[#This Row],[Grade_gpt]]/cfg_TroyOz)</f>
        <v/>
      </c>
      <c r="O470" s="59">
        <f>IF(tblMovement[[#This Row],[Is_Ore]]=1,tblMovement[[#This Row],[Contained_oz]],0)</f>
        <v/>
      </c>
    </row>
    <row r="471">
      <c r="A471" s="54" t="n"/>
      <c r="B471" s="61" t="n"/>
      <c r="C471" s="61" t="n"/>
      <c r="D471" s="61" t="n"/>
      <c r="E471" s="61" t="n"/>
      <c r="F471" s="55" t="n"/>
      <c r="G471" s="56" t="n"/>
      <c r="H471" s="55" t="n"/>
      <c r="I471" s="62" t="n"/>
      <c r="J471" s="58" t="n"/>
      <c r="K471" s="63">
        <f>IF(tblMovement[[#This Row],[Source]]="","",IFERROR(INDEX(tblSources[Type],MATCH(tblMovement[[#This Row],[Source]],tblSources[Source],0)),"?"))</f>
        <v/>
      </c>
      <c r="L471" s="63">
        <f>IF(tblMovement[[#This Row],[Destination]]="","",IFERROR(INDEX(tblDestinations[Type],MATCH(tblMovement[[#This Row],[Destination]],tblDestinations[Destination],0)),"?"))</f>
        <v/>
      </c>
      <c r="M471" s="64">
        <f>IF(tblMovement[[#This Row],[Material]]="","",IF(LEFT(tblMovement[[#This Row],[Material]],3)="Ore",1,0))</f>
        <v/>
      </c>
      <c r="N471" s="59">
        <f>IF(OR(tblMovement[[#This Row],[Tonnes_t]]="",tblMovement[[#This Row],[Grade_gpt]]=""),0,tblMovement[[#This Row],[Tonnes_t]]*tblMovement[[#This Row],[Grade_gpt]]/cfg_TroyOz)</f>
        <v/>
      </c>
      <c r="O471" s="59">
        <f>IF(tblMovement[[#This Row],[Is_Ore]]=1,tblMovement[[#This Row],[Contained_oz]],0)</f>
        <v/>
      </c>
    </row>
    <row r="472">
      <c r="A472" s="54" t="n"/>
      <c r="B472" s="61" t="n"/>
      <c r="C472" s="61" t="n"/>
      <c r="D472" s="61" t="n"/>
      <c r="E472" s="61" t="n"/>
      <c r="F472" s="55" t="n"/>
      <c r="G472" s="56" t="n"/>
      <c r="H472" s="55" t="n"/>
      <c r="I472" s="62" t="n"/>
      <c r="J472" s="58" t="n"/>
      <c r="K472" s="63">
        <f>IF(tblMovement[[#This Row],[Source]]="","",IFERROR(INDEX(tblSources[Type],MATCH(tblMovement[[#This Row],[Source]],tblSources[Source],0)),"?"))</f>
        <v/>
      </c>
      <c r="L472" s="63">
        <f>IF(tblMovement[[#This Row],[Destination]]="","",IFERROR(INDEX(tblDestinations[Type],MATCH(tblMovement[[#This Row],[Destination]],tblDestinations[Destination],0)),"?"))</f>
        <v/>
      </c>
      <c r="M472" s="64">
        <f>IF(tblMovement[[#This Row],[Material]]="","",IF(LEFT(tblMovement[[#This Row],[Material]],3)="Ore",1,0))</f>
        <v/>
      </c>
      <c r="N472" s="59">
        <f>IF(OR(tblMovement[[#This Row],[Tonnes_t]]="",tblMovement[[#This Row],[Grade_gpt]]=""),0,tblMovement[[#This Row],[Tonnes_t]]*tblMovement[[#This Row],[Grade_gpt]]/cfg_TroyOz)</f>
        <v/>
      </c>
      <c r="O472" s="59">
        <f>IF(tblMovement[[#This Row],[Is_Ore]]=1,tblMovement[[#This Row],[Contained_oz]],0)</f>
        <v/>
      </c>
    </row>
    <row r="473">
      <c r="A473" s="54" t="n"/>
      <c r="B473" s="61" t="n"/>
      <c r="C473" s="61" t="n"/>
      <c r="D473" s="61" t="n"/>
      <c r="E473" s="61" t="n"/>
      <c r="F473" s="55" t="n"/>
      <c r="G473" s="56" t="n"/>
      <c r="H473" s="55" t="n"/>
      <c r="I473" s="62" t="n"/>
      <c r="J473" s="58" t="n"/>
      <c r="K473" s="63">
        <f>IF(tblMovement[[#This Row],[Source]]="","",IFERROR(INDEX(tblSources[Type],MATCH(tblMovement[[#This Row],[Source]],tblSources[Source],0)),"?"))</f>
        <v/>
      </c>
      <c r="L473" s="63">
        <f>IF(tblMovement[[#This Row],[Destination]]="","",IFERROR(INDEX(tblDestinations[Type],MATCH(tblMovement[[#This Row],[Destination]],tblDestinations[Destination],0)),"?"))</f>
        <v/>
      </c>
      <c r="M473" s="64">
        <f>IF(tblMovement[[#This Row],[Material]]="","",IF(LEFT(tblMovement[[#This Row],[Material]],3)="Ore",1,0))</f>
        <v/>
      </c>
      <c r="N473" s="59">
        <f>IF(OR(tblMovement[[#This Row],[Tonnes_t]]="",tblMovement[[#This Row],[Grade_gpt]]=""),0,tblMovement[[#This Row],[Tonnes_t]]*tblMovement[[#This Row],[Grade_gpt]]/cfg_TroyOz)</f>
        <v/>
      </c>
      <c r="O473" s="59">
        <f>IF(tblMovement[[#This Row],[Is_Ore]]=1,tblMovement[[#This Row],[Contained_oz]],0)</f>
        <v/>
      </c>
    </row>
    <row r="474">
      <c r="A474" s="54" t="n"/>
      <c r="B474" s="61" t="n"/>
      <c r="C474" s="61" t="n"/>
      <c r="D474" s="61" t="n"/>
      <c r="E474" s="61" t="n"/>
      <c r="F474" s="55" t="n"/>
      <c r="G474" s="56" t="n"/>
      <c r="H474" s="55" t="n"/>
      <c r="I474" s="62" t="n"/>
      <c r="J474" s="58" t="n"/>
      <c r="K474" s="63">
        <f>IF(tblMovement[[#This Row],[Source]]="","",IFERROR(INDEX(tblSources[Type],MATCH(tblMovement[[#This Row],[Source]],tblSources[Source],0)),"?"))</f>
        <v/>
      </c>
      <c r="L474" s="63">
        <f>IF(tblMovement[[#This Row],[Destination]]="","",IFERROR(INDEX(tblDestinations[Type],MATCH(tblMovement[[#This Row],[Destination]],tblDestinations[Destination],0)),"?"))</f>
        <v/>
      </c>
      <c r="M474" s="64">
        <f>IF(tblMovement[[#This Row],[Material]]="","",IF(LEFT(tblMovement[[#This Row],[Material]],3)="Ore",1,0))</f>
        <v/>
      </c>
      <c r="N474" s="59">
        <f>IF(OR(tblMovement[[#This Row],[Tonnes_t]]="",tblMovement[[#This Row],[Grade_gpt]]=""),0,tblMovement[[#This Row],[Tonnes_t]]*tblMovement[[#This Row],[Grade_gpt]]/cfg_TroyOz)</f>
        <v/>
      </c>
      <c r="O474" s="59">
        <f>IF(tblMovement[[#This Row],[Is_Ore]]=1,tblMovement[[#This Row],[Contained_oz]],0)</f>
        <v/>
      </c>
    </row>
    <row r="475">
      <c r="A475" s="54" t="n"/>
      <c r="B475" s="61" t="n"/>
      <c r="C475" s="61" t="n"/>
      <c r="D475" s="61" t="n"/>
      <c r="E475" s="61" t="n"/>
      <c r="F475" s="55" t="n"/>
      <c r="G475" s="56" t="n"/>
      <c r="H475" s="55" t="n"/>
      <c r="I475" s="62" t="n"/>
      <c r="J475" s="58" t="n"/>
      <c r="K475" s="63">
        <f>IF(tblMovement[[#This Row],[Source]]="","",IFERROR(INDEX(tblSources[Type],MATCH(tblMovement[[#This Row],[Source]],tblSources[Source],0)),"?"))</f>
        <v/>
      </c>
      <c r="L475" s="63">
        <f>IF(tblMovement[[#This Row],[Destination]]="","",IFERROR(INDEX(tblDestinations[Type],MATCH(tblMovement[[#This Row],[Destination]],tblDestinations[Destination],0)),"?"))</f>
        <v/>
      </c>
      <c r="M475" s="64">
        <f>IF(tblMovement[[#This Row],[Material]]="","",IF(LEFT(tblMovement[[#This Row],[Material]],3)="Ore",1,0))</f>
        <v/>
      </c>
      <c r="N475" s="59">
        <f>IF(OR(tblMovement[[#This Row],[Tonnes_t]]="",tblMovement[[#This Row],[Grade_gpt]]=""),0,tblMovement[[#This Row],[Tonnes_t]]*tblMovement[[#This Row],[Grade_gpt]]/cfg_TroyOz)</f>
        <v/>
      </c>
      <c r="O475" s="59">
        <f>IF(tblMovement[[#This Row],[Is_Ore]]=1,tblMovement[[#This Row],[Contained_oz]],0)</f>
        <v/>
      </c>
    </row>
    <row r="476">
      <c r="A476" s="54" t="n"/>
      <c r="B476" s="61" t="n"/>
      <c r="C476" s="61" t="n"/>
      <c r="D476" s="61" t="n"/>
      <c r="E476" s="61" t="n"/>
      <c r="F476" s="55" t="n"/>
      <c r="G476" s="56" t="n"/>
      <c r="H476" s="55" t="n"/>
      <c r="I476" s="62" t="n"/>
      <c r="J476" s="58" t="n"/>
      <c r="K476" s="63">
        <f>IF(tblMovement[[#This Row],[Source]]="","",IFERROR(INDEX(tblSources[Type],MATCH(tblMovement[[#This Row],[Source]],tblSources[Source],0)),"?"))</f>
        <v/>
      </c>
      <c r="L476" s="63">
        <f>IF(tblMovement[[#This Row],[Destination]]="","",IFERROR(INDEX(tblDestinations[Type],MATCH(tblMovement[[#This Row],[Destination]],tblDestinations[Destination],0)),"?"))</f>
        <v/>
      </c>
      <c r="M476" s="64">
        <f>IF(tblMovement[[#This Row],[Material]]="","",IF(LEFT(tblMovement[[#This Row],[Material]],3)="Ore",1,0))</f>
        <v/>
      </c>
      <c r="N476" s="59">
        <f>IF(OR(tblMovement[[#This Row],[Tonnes_t]]="",tblMovement[[#This Row],[Grade_gpt]]=""),0,tblMovement[[#This Row],[Tonnes_t]]*tblMovement[[#This Row],[Grade_gpt]]/cfg_TroyOz)</f>
        <v/>
      </c>
      <c r="O476" s="59">
        <f>IF(tblMovement[[#This Row],[Is_Ore]]=1,tblMovement[[#This Row],[Contained_oz]],0)</f>
        <v/>
      </c>
    </row>
    <row r="477">
      <c r="A477" s="54" t="n"/>
      <c r="B477" s="61" t="n"/>
      <c r="C477" s="61" t="n"/>
      <c r="D477" s="61" t="n"/>
      <c r="E477" s="61" t="n"/>
      <c r="F477" s="55" t="n"/>
      <c r="G477" s="56" t="n"/>
      <c r="H477" s="55" t="n"/>
      <c r="I477" s="62" t="n"/>
      <c r="J477" s="58" t="n"/>
      <c r="K477" s="63">
        <f>IF(tblMovement[[#This Row],[Source]]="","",IFERROR(INDEX(tblSources[Type],MATCH(tblMovement[[#This Row],[Source]],tblSources[Source],0)),"?"))</f>
        <v/>
      </c>
      <c r="L477" s="63">
        <f>IF(tblMovement[[#This Row],[Destination]]="","",IFERROR(INDEX(tblDestinations[Type],MATCH(tblMovement[[#This Row],[Destination]],tblDestinations[Destination],0)),"?"))</f>
        <v/>
      </c>
      <c r="M477" s="64">
        <f>IF(tblMovement[[#This Row],[Material]]="","",IF(LEFT(tblMovement[[#This Row],[Material]],3)="Ore",1,0))</f>
        <v/>
      </c>
      <c r="N477" s="59">
        <f>IF(OR(tblMovement[[#This Row],[Tonnes_t]]="",tblMovement[[#This Row],[Grade_gpt]]=""),0,tblMovement[[#This Row],[Tonnes_t]]*tblMovement[[#This Row],[Grade_gpt]]/cfg_TroyOz)</f>
        <v/>
      </c>
      <c r="O477" s="59">
        <f>IF(tblMovement[[#This Row],[Is_Ore]]=1,tblMovement[[#This Row],[Contained_oz]],0)</f>
        <v/>
      </c>
    </row>
    <row r="478">
      <c r="A478" s="54" t="n"/>
      <c r="B478" s="61" t="n"/>
      <c r="C478" s="61" t="n"/>
      <c r="D478" s="61" t="n"/>
      <c r="E478" s="61" t="n"/>
      <c r="F478" s="55" t="n"/>
      <c r="G478" s="56" t="n"/>
      <c r="H478" s="55" t="n"/>
      <c r="I478" s="62" t="n"/>
      <c r="J478" s="58" t="n"/>
      <c r="K478" s="63">
        <f>IF(tblMovement[[#This Row],[Source]]="","",IFERROR(INDEX(tblSources[Type],MATCH(tblMovement[[#This Row],[Source]],tblSources[Source],0)),"?"))</f>
        <v/>
      </c>
      <c r="L478" s="63">
        <f>IF(tblMovement[[#This Row],[Destination]]="","",IFERROR(INDEX(tblDestinations[Type],MATCH(tblMovement[[#This Row],[Destination]],tblDestinations[Destination],0)),"?"))</f>
        <v/>
      </c>
      <c r="M478" s="64">
        <f>IF(tblMovement[[#This Row],[Material]]="","",IF(LEFT(tblMovement[[#This Row],[Material]],3)="Ore",1,0))</f>
        <v/>
      </c>
      <c r="N478" s="59">
        <f>IF(OR(tblMovement[[#This Row],[Tonnes_t]]="",tblMovement[[#This Row],[Grade_gpt]]=""),0,tblMovement[[#This Row],[Tonnes_t]]*tblMovement[[#This Row],[Grade_gpt]]/cfg_TroyOz)</f>
        <v/>
      </c>
      <c r="O478" s="59">
        <f>IF(tblMovement[[#This Row],[Is_Ore]]=1,tblMovement[[#This Row],[Contained_oz]],0)</f>
        <v/>
      </c>
    </row>
    <row r="479">
      <c r="A479" s="54" t="n"/>
      <c r="B479" s="61" t="n"/>
      <c r="C479" s="61" t="n"/>
      <c r="D479" s="61" t="n"/>
      <c r="E479" s="61" t="n"/>
      <c r="F479" s="55" t="n"/>
      <c r="G479" s="56" t="n"/>
      <c r="H479" s="55" t="n"/>
      <c r="I479" s="62" t="n"/>
      <c r="J479" s="58" t="n"/>
      <c r="K479" s="63">
        <f>IF(tblMovement[[#This Row],[Source]]="","",IFERROR(INDEX(tblSources[Type],MATCH(tblMovement[[#This Row],[Source]],tblSources[Source],0)),"?"))</f>
        <v/>
      </c>
      <c r="L479" s="63">
        <f>IF(tblMovement[[#This Row],[Destination]]="","",IFERROR(INDEX(tblDestinations[Type],MATCH(tblMovement[[#This Row],[Destination]],tblDestinations[Destination],0)),"?"))</f>
        <v/>
      </c>
      <c r="M479" s="64">
        <f>IF(tblMovement[[#This Row],[Material]]="","",IF(LEFT(tblMovement[[#This Row],[Material]],3)="Ore",1,0))</f>
        <v/>
      </c>
      <c r="N479" s="59">
        <f>IF(OR(tblMovement[[#This Row],[Tonnes_t]]="",tblMovement[[#This Row],[Grade_gpt]]=""),0,tblMovement[[#This Row],[Tonnes_t]]*tblMovement[[#This Row],[Grade_gpt]]/cfg_TroyOz)</f>
        <v/>
      </c>
      <c r="O479" s="59">
        <f>IF(tblMovement[[#This Row],[Is_Ore]]=1,tblMovement[[#This Row],[Contained_oz]],0)</f>
        <v/>
      </c>
    </row>
    <row r="480">
      <c r="A480" s="54" t="n"/>
      <c r="B480" s="61" t="n"/>
      <c r="C480" s="61" t="n"/>
      <c r="D480" s="61" t="n"/>
      <c r="E480" s="61" t="n"/>
      <c r="F480" s="55" t="n"/>
      <c r="G480" s="56" t="n"/>
      <c r="H480" s="55" t="n"/>
      <c r="I480" s="62" t="n"/>
      <c r="J480" s="58" t="n"/>
      <c r="K480" s="63">
        <f>IF(tblMovement[[#This Row],[Source]]="","",IFERROR(INDEX(tblSources[Type],MATCH(tblMovement[[#This Row],[Source]],tblSources[Source],0)),"?"))</f>
        <v/>
      </c>
      <c r="L480" s="63">
        <f>IF(tblMovement[[#This Row],[Destination]]="","",IFERROR(INDEX(tblDestinations[Type],MATCH(tblMovement[[#This Row],[Destination]],tblDestinations[Destination],0)),"?"))</f>
        <v/>
      </c>
      <c r="M480" s="64">
        <f>IF(tblMovement[[#This Row],[Material]]="","",IF(LEFT(tblMovement[[#This Row],[Material]],3)="Ore",1,0))</f>
        <v/>
      </c>
      <c r="N480" s="59">
        <f>IF(OR(tblMovement[[#This Row],[Tonnes_t]]="",tblMovement[[#This Row],[Grade_gpt]]=""),0,tblMovement[[#This Row],[Tonnes_t]]*tblMovement[[#This Row],[Grade_gpt]]/cfg_TroyOz)</f>
        <v/>
      </c>
      <c r="O480" s="59">
        <f>IF(tblMovement[[#This Row],[Is_Ore]]=1,tblMovement[[#This Row],[Contained_oz]],0)</f>
        <v/>
      </c>
    </row>
    <row r="481">
      <c r="A481" s="54" t="n"/>
      <c r="B481" s="61" t="n"/>
      <c r="C481" s="61" t="n"/>
      <c r="D481" s="61" t="n"/>
      <c r="E481" s="61" t="n"/>
      <c r="F481" s="55" t="n"/>
      <c r="G481" s="56" t="n"/>
      <c r="H481" s="55" t="n"/>
      <c r="I481" s="62" t="n"/>
      <c r="J481" s="58" t="n"/>
      <c r="K481" s="63">
        <f>IF(tblMovement[[#This Row],[Source]]="","",IFERROR(INDEX(tblSources[Type],MATCH(tblMovement[[#This Row],[Source]],tblSources[Source],0)),"?"))</f>
        <v/>
      </c>
      <c r="L481" s="63">
        <f>IF(tblMovement[[#This Row],[Destination]]="","",IFERROR(INDEX(tblDestinations[Type],MATCH(tblMovement[[#This Row],[Destination]],tblDestinations[Destination],0)),"?"))</f>
        <v/>
      </c>
      <c r="M481" s="64">
        <f>IF(tblMovement[[#This Row],[Material]]="","",IF(LEFT(tblMovement[[#This Row],[Material]],3)="Ore",1,0))</f>
        <v/>
      </c>
      <c r="N481" s="59">
        <f>IF(OR(tblMovement[[#This Row],[Tonnes_t]]="",tblMovement[[#This Row],[Grade_gpt]]=""),0,tblMovement[[#This Row],[Tonnes_t]]*tblMovement[[#This Row],[Grade_gpt]]/cfg_TroyOz)</f>
        <v/>
      </c>
      <c r="O481" s="59">
        <f>IF(tblMovement[[#This Row],[Is_Ore]]=1,tblMovement[[#This Row],[Contained_oz]],0)</f>
        <v/>
      </c>
    </row>
    <row r="482">
      <c r="A482" s="54" t="n"/>
      <c r="B482" s="61" t="n"/>
      <c r="C482" s="61" t="n"/>
      <c r="D482" s="61" t="n"/>
      <c r="E482" s="61" t="n"/>
      <c r="F482" s="55" t="n"/>
      <c r="G482" s="56" t="n"/>
      <c r="H482" s="55" t="n"/>
      <c r="I482" s="62" t="n"/>
      <c r="J482" s="58" t="n"/>
      <c r="K482" s="63">
        <f>IF(tblMovement[[#This Row],[Source]]="","",IFERROR(INDEX(tblSources[Type],MATCH(tblMovement[[#This Row],[Source]],tblSources[Source],0)),"?"))</f>
        <v/>
      </c>
      <c r="L482" s="63">
        <f>IF(tblMovement[[#This Row],[Destination]]="","",IFERROR(INDEX(tblDestinations[Type],MATCH(tblMovement[[#This Row],[Destination]],tblDestinations[Destination],0)),"?"))</f>
        <v/>
      </c>
      <c r="M482" s="64">
        <f>IF(tblMovement[[#This Row],[Material]]="","",IF(LEFT(tblMovement[[#This Row],[Material]],3)="Ore",1,0))</f>
        <v/>
      </c>
      <c r="N482" s="59">
        <f>IF(OR(tblMovement[[#This Row],[Tonnes_t]]="",tblMovement[[#This Row],[Grade_gpt]]=""),0,tblMovement[[#This Row],[Tonnes_t]]*tblMovement[[#This Row],[Grade_gpt]]/cfg_TroyOz)</f>
        <v/>
      </c>
      <c r="O482" s="59">
        <f>IF(tblMovement[[#This Row],[Is_Ore]]=1,tblMovement[[#This Row],[Contained_oz]],0)</f>
        <v/>
      </c>
    </row>
    <row r="483">
      <c r="A483" s="54" t="n"/>
      <c r="B483" s="61" t="n"/>
      <c r="C483" s="61" t="n"/>
      <c r="D483" s="61" t="n"/>
      <c r="E483" s="61" t="n"/>
      <c r="F483" s="55" t="n"/>
      <c r="G483" s="56" t="n"/>
      <c r="H483" s="55" t="n"/>
      <c r="I483" s="62" t="n"/>
      <c r="J483" s="58" t="n"/>
      <c r="K483" s="63">
        <f>IF(tblMovement[[#This Row],[Source]]="","",IFERROR(INDEX(tblSources[Type],MATCH(tblMovement[[#This Row],[Source]],tblSources[Source],0)),"?"))</f>
        <v/>
      </c>
      <c r="L483" s="63">
        <f>IF(tblMovement[[#This Row],[Destination]]="","",IFERROR(INDEX(tblDestinations[Type],MATCH(tblMovement[[#This Row],[Destination]],tblDestinations[Destination],0)),"?"))</f>
        <v/>
      </c>
      <c r="M483" s="64">
        <f>IF(tblMovement[[#This Row],[Material]]="","",IF(LEFT(tblMovement[[#This Row],[Material]],3)="Ore",1,0))</f>
        <v/>
      </c>
      <c r="N483" s="59">
        <f>IF(OR(tblMovement[[#This Row],[Tonnes_t]]="",tblMovement[[#This Row],[Grade_gpt]]=""),0,tblMovement[[#This Row],[Tonnes_t]]*tblMovement[[#This Row],[Grade_gpt]]/cfg_TroyOz)</f>
        <v/>
      </c>
      <c r="O483" s="59">
        <f>IF(tblMovement[[#This Row],[Is_Ore]]=1,tblMovement[[#This Row],[Contained_oz]],0)</f>
        <v/>
      </c>
    </row>
    <row r="484">
      <c r="A484" s="54" t="n"/>
      <c r="B484" s="61" t="n"/>
      <c r="C484" s="61" t="n"/>
      <c r="D484" s="61" t="n"/>
      <c r="E484" s="61" t="n"/>
      <c r="F484" s="55" t="n"/>
      <c r="G484" s="56" t="n"/>
      <c r="H484" s="55" t="n"/>
      <c r="I484" s="62" t="n"/>
      <c r="J484" s="58" t="n"/>
      <c r="K484" s="63">
        <f>IF(tblMovement[[#This Row],[Source]]="","",IFERROR(INDEX(tblSources[Type],MATCH(tblMovement[[#This Row],[Source]],tblSources[Source],0)),"?"))</f>
        <v/>
      </c>
      <c r="L484" s="63">
        <f>IF(tblMovement[[#This Row],[Destination]]="","",IFERROR(INDEX(tblDestinations[Type],MATCH(tblMovement[[#This Row],[Destination]],tblDestinations[Destination],0)),"?"))</f>
        <v/>
      </c>
      <c r="M484" s="64">
        <f>IF(tblMovement[[#This Row],[Material]]="","",IF(LEFT(tblMovement[[#This Row],[Material]],3)="Ore",1,0))</f>
        <v/>
      </c>
      <c r="N484" s="59">
        <f>IF(OR(tblMovement[[#This Row],[Tonnes_t]]="",tblMovement[[#This Row],[Grade_gpt]]=""),0,tblMovement[[#This Row],[Tonnes_t]]*tblMovement[[#This Row],[Grade_gpt]]/cfg_TroyOz)</f>
        <v/>
      </c>
      <c r="O484" s="59">
        <f>IF(tblMovement[[#This Row],[Is_Ore]]=1,tblMovement[[#This Row],[Contained_oz]],0)</f>
        <v/>
      </c>
    </row>
    <row r="485">
      <c r="A485" s="54" t="n"/>
      <c r="B485" s="61" t="n"/>
      <c r="C485" s="61" t="n"/>
      <c r="D485" s="61" t="n"/>
      <c r="E485" s="61" t="n"/>
      <c r="F485" s="55" t="n"/>
      <c r="G485" s="56" t="n"/>
      <c r="H485" s="55" t="n"/>
      <c r="I485" s="62" t="n"/>
      <c r="J485" s="58" t="n"/>
      <c r="K485" s="63">
        <f>IF(tblMovement[[#This Row],[Source]]="","",IFERROR(INDEX(tblSources[Type],MATCH(tblMovement[[#This Row],[Source]],tblSources[Source],0)),"?"))</f>
        <v/>
      </c>
      <c r="L485" s="63">
        <f>IF(tblMovement[[#This Row],[Destination]]="","",IFERROR(INDEX(tblDestinations[Type],MATCH(tblMovement[[#This Row],[Destination]],tblDestinations[Destination],0)),"?"))</f>
        <v/>
      </c>
      <c r="M485" s="64">
        <f>IF(tblMovement[[#This Row],[Material]]="","",IF(LEFT(tblMovement[[#This Row],[Material]],3)="Ore",1,0))</f>
        <v/>
      </c>
      <c r="N485" s="59">
        <f>IF(OR(tblMovement[[#This Row],[Tonnes_t]]="",tblMovement[[#This Row],[Grade_gpt]]=""),0,tblMovement[[#This Row],[Tonnes_t]]*tblMovement[[#This Row],[Grade_gpt]]/cfg_TroyOz)</f>
        <v/>
      </c>
      <c r="O485" s="59">
        <f>IF(tblMovement[[#This Row],[Is_Ore]]=1,tblMovement[[#This Row],[Contained_oz]],0)</f>
        <v/>
      </c>
    </row>
    <row r="486">
      <c r="A486" s="54" t="n"/>
      <c r="B486" s="61" t="n"/>
      <c r="C486" s="61" t="n"/>
      <c r="D486" s="61" t="n"/>
      <c r="E486" s="61" t="n"/>
      <c r="F486" s="55" t="n"/>
      <c r="G486" s="56" t="n"/>
      <c r="H486" s="55" t="n"/>
      <c r="I486" s="62" t="n"/>
      <c r="J486" s="58" t="n"/>
      <c r="K486" s="63">
        <f>IF(tblMovement[[#This Row],[Source]]="","",IFERROR(INDEX(tblSources[Type],MATCH(tblMovement[[#This Row],[Source]],tblSources[Source],0)),"?"))</f>
        <v/>
      </c>
      <c r="L486" s="63">
        <f>IF(tblMovement[[#This Row],[Destination]]="","",IFERROR(INDEX(tblDestinations[Type],MATCH(tblMovement[[#This Row],[Destination]],tblDestinations[Destination],0)),"?"))</f>
        <v/>
      </c>
      <c r="M486" s="64">
        <f>IF(tblMovement[[#This Row],[Material]]="","",IF(LEFT(tblMovement[[#This Row],[Material]],3)="Ore",1,0))</f>
        <v/>
      </c>
      <c r="N486" s="59">
        <f>IF(OR(tblMovement[[#This Row],[Tonnes_t]]="",tblMovement[[#This Row],[Grade_gpt]]=""),0,tblMovement[[#This Row],[Tonnes_t]]*tblMovement[[#This Row],[Grade_gpt]]/cfg_TroyOz)</f>
        <v/>
      </c>
      <c r="O486" s="59">
        <f>IF(tblMovement[[#This Row],[Is_Ore]]=1,tblMovement[[#This Row],[Contained_oz]],0)</f>
        <v/>
      </c>
    </row>
    <row r="487">
      <c r="A487" s="54" t="n"/>
      <c r="B487" s="61" t="n"/>
      <c r="C487" s="61" t="n"/>
      <c r="D487" s="61" t="n"/>
      <c r="E487" s="61" t="n"/>
      <c r="F487" s="55" t="n"/>
      <c r="G487" s="56" t="n"/>
      <c r="H487" s="55" t="n"/>
      <c r="I487" s="62" t="n"/>
      <c r="J487" s="58" t="n"/>
      <c r="K487" s="63">
        <f>IF(tblMovement[[#This Row],[Source]]="","",IFERROR(INDEX(tblSources[Type],MATCH(tblMovement[[#This Row],[Source]],tblSources[Source],0)),"?"))</f>
        <v/>
      </c>
      <c r="L487" s="63">
        <f>IF(tblMovement[[#This Row],[Destination]]="","",IFERROR(INDEX(tblDestinations[Type],MATCH(tblMovement[[#This Row],[Destination]],tblDestinations[Destination],0)),"?"))</f>
        <v/>
      </c>
      <c r="M487" s="64">
        <f>IF(tblMovement[[#This Row],[Material]]="","",IF(LEFT(tblMovement[[#This Row],[Material]],3)="Ore",1,0))</f>
        <v/>
      </c>
      <c r="N487" s="59">
        <f>IF(OR(tblMovement[[#This Row],[Tonnes_t]]="",tblMovement[[#This Row],[Grade_gpt]]=""),0,tblMovement[[#This Row],[Tonnes_t]]*tblMovement[[#This Row],[Grade_gpt]]/cfg_TroyOz)</f>
        <v/>
      </c>
      <c r="O487" s="59">
        <f>IF(tblMovement[[#This Row],[Is_Ore]]=1,tblMovement[[#This Row],[Contained_oz]],0)</f>
        <v/>
      </c>
    </row>
    <row r="488">
      <c r="A488" s="54" t="n"/>
      <c r="B488" s="61" t="n"/>
      <c r="C488" s="61" t="n"/>
      <c r="D488" s="61" t="n"/>
      <c r="E488" s="61" t="n"/>
      <c r="F488" s="55" t="n"/>
      <c r="G488" s="56" t="n"/>
      <c r="H488" s="55" t="n"/>
      <c r="I488" s="62" t="n"/>
      <c r="J488" s="58" t="n"/>
      <c r="K488" s="63">
        <f>IF(tblMovement[[#This Row],[Source]]="","",IFERROR(INDEX(tblSources[Type],MATCH(tblMovement[[#This Row],[Source]],tblSources[Source],0)),"?"))</f>
        <v/>
      </c>
      <c r="L488" s="63">
        <f>IF(tblMovement[[#This Row],[Destination]]="","",IFERROR(INDEX(tblDestinations[Type],MATCH(tblMovement[[#This Row],[Destination]],tblDestinations[Destination],0)),"?"))</f>
        <v/>
      </c>
      <c r="M488" s="64">
        <f>IF(tblMovement[[#This Row],[Material]]="","",IF(LEFT(tblMovement[[#This Row],[Material]],3)="Ore",1,0))</f>
        <v/>
      </c>
      <c r="N488" s="59">
        <f>IF(OR(tblMovement[[#This Row],[Tonnes_t]]="",tblMovement[[#This Row],[Grade_gpt]]=""),0,tblMovement[[#This Row],[Tonnes_t]]*tblMovement[[#This Row],[Grade_gpt]]/cfg_TroyOz)</f>
        <v/>
      </c>
      <c r="O488" s="59">
        <f>IF(tblMovement[[#This Row],[Is_Ore]]=1,tblMovement[[#This Row],[Contained_oz]],0)</f>
        <v/>
      </c>
    </row>
    <row r="489">
      <c r="A489" s="54" t="n"/>
      <c r="B489" s="61" t="n"/>
      <c r="C489" s="61" t="n"/>
      <c r="D489" s="61" t="n"/>
      <c r="E489" s="61" t="n"/>
      <c r="F489" s="55" t="n"/>
      <c r="G489" s="56" t="n"/>
      <c r="H489" s="55" t="n"/>
      <c r="I489" s="62" t="n"/>
      <c r="J489" s="58" t="n"/>
      <c r="K489" s="63">
        <f>IF(tblMovement[[#This Row],[Source]]="","",IFERROR(INDEX(tblSources[Type],MATCH(tblMovement[[#This Row],[Source]],tblSources[Source],0)),"?"))</f>
        <v/>
      </c>
      <c r="L489" s="63">
        <f>IF(tblMovement[[#This Row],[Destination]]="","",IFERROR(INDEX(tblDestinations[Type],MATCH(tblMovement[[#This Row],[Destination]],tblDestinations[Destination],0)),"?"))</f>
        <v/>
      </c>
      <c r="M489" s="64">
        <f>IF(tblMovement[[#This Row],[Material]]="","",IF(LEFT(tblMovement[[#This Row],[Material]],3)="Ore",1,0))</f>
        <v/>
      </c>
      <c r="N489" s="59">
        <f>IF(OR(tblMovement[[#This Row],[Tonnes_t]]="",tblMovement[[#This Row],[Grade_gpt]]=""),0,tblMovement[[#This Row],[Tonnes_t]]*tblMovement[[#This Row],[Grade_gpt]]/cfg_TroyOz)</f>
        <v/>
      </c>
      <c r="O489" s="59">
        <f>IF(tblMovement[[#This Row],[Is_Ore]]=1,tblMovement[[#This Row],[Contained_oz]],0)</f>
        <v/>
      </c>
    </row>
    <row r="490">
      <c r="A490" s="54" t="n"/>
      <c r="B490" s="61" t="n"/>
      <c r="C490" s="61" t="n"/>
      <c r="D490" s="61" t="n"/>
      <c r="E490" s="61" t="n"/>
      <c r="F490" s="55" t="n"/>
      <c r="G490" s="56" t="n"/>
      <c r="H490" s="55" t="n"/>
      <c r="I490" s="62" t="n"/>
      <c r="J490" s="58" t="n"/>
      <c r="K490" s="63">
        <f>IF(tblMovement[[#This Row],[Source]]="","",IFERROR(INDEX(tblSources[Type],MATCH(tblMovement[[#This Row],[Source]],tblSources[Source],0)),"?"))</f>
        <v/>
      </c>
      <c r="L490" s="63">
        <f>IF(tblMovement[[#This Row],[Destination]]="","",IFERROR(INDEX(tblDestinations[Type],MATCH(tblMovement[[#This Row],[Destination]],tblDestinations[Destination],0)),"?"))</f>
        <v/>
      </c>
      <c r="M490" s="64">
        <f>IF(tblMovement[[#This Row],[Material]]="","",IF(LEFT(tblMovement[[#This Row],[Material]],3)="Ore",1,0))</f>
        <v/>
      </c>
      <c r="N490" s="59">
        <f>IF(OR(tblMovement[[#This Row],[Tonnes_t]]="",tblMovement[[#This Row],[Grade_gpt]]=""),0,tblMovement[[#This Row],[Tonnes_t]]*tblMovement[[#This Row],[Grade_gpt]]/cfg_TroyOz)</f>
        <v/>
      </c>
      <c r="O490" s="59">
        <f>IF(tblMovement[[#This Row],[Is_Ore]]=1,tblMovement[[#This Row],[Contained_oz]],0)</f>
        <v/>
      </c>
    </row>
    <row r="491">
      <c r="A491" s="54" t="n"/>
      <c r="B491" s="61" t="n"/>
      <c r="C491" s="61" t="n"/>
      <c r="D491" s="61" t="n"/>
      <c r="E491" s="61" t="n"/>
      <c r="F491" s="55" t="n"/>
      <c r="G491" s="56" t="n"/>
      <c r="H491" s="55" t="n"/>
      <c r="I491" s="62" t="n"/>
      <c r="J491" s="58" t="n"/>
      <c r="K491" s="63">
        <f>IF(tblMovement[[#This Row],[Source]]="","",IFERROR(INDEX(tblSources[Type],MATCH(tblMovement[[#This Row],[Source]],tblSources[Source],0)),"?"))</f>
        <v/>
      </c>
      <c r="L491" s="63">
        <f>IF(tblMovement[[#This Row],[Destination]]="","",IFERROR(INDEX(tblDestinations[Type],MATCH(tblMovement[[#This Row],[Destination]],tblDestinations[Destination],0)),"?"))</f>
        <v/>
      </c>
      <c r="M491" s="64">
        <f>IF(tblMovement[[#This Row],[Material]]="","",IF(LEFT(tblMovement[[#This Row],[Material]],3)="Ore",1,0))</f>
        <v/>
      </c>
      <c r="N491" s="59">
        <f>IF(OR(tblMovement[[#This Row],[Tonnes_t]]="",tblMovement[[#This Row],[Grade_gpt]]=""),0,tblMovement[[#This Row],[Tonnes_t]]*tblMovement[[#This Row],[Grade_gpt]]/cfg_TroyOz)</f>
        <v/>
      </c>
      <c r="O491" s="59">
        <f>IF(tblMovement[[#This Row],[Is_Ore]]=1,tblMovement[[#This Row],[Contained_oz]],0)</f>
        <v/>
      </c>
    </row>
    <row r="492">
      <c r="A492" s="54" t="n"/>
      <c r="B492" s="61" t="n"/>
      <c r="C492" s="61" t="n"/>
      <c r="D492" s="61" t="n"/>
      <c r="E492" s="61" t="n"/>
      <c r="F492" s="55" t="n"/>
      <c r="G492" s="56" t="n"/>
      <c r="H492" s="55" t="n"/>
      <c r="I492" s="62" t="n"/>
      <c r="J492" s="58" t="n"/>
      <c r="K492" s="63">
        <f>IF(tblMovement[[#This Row],[Source]]="","",IFERROR(INDEX(tblSources[Type],MATCH(tblMovement[[#This Row],[Source]],tblSources[Source],0)),"?"))</f>
        <v/>
      </c>
      <c r="L492" s="63">
        <f>IF(tblMovement[[#This Row],[Destination]]="","",IFERROR(INDEX(tblDestinations[Type],MATCH(tblMovement[[#This Row],[Destination]],tblDestinations[Destination],0)),"?"))</f>
        <v/>
      </c>
      <c r="M492" s="64">
        <f>IF(tblMovement[[#This Row],[Material]]="","",IF(LEFT(tblMovement[[#This Row],[Material]],3)="Ore",1,0))</f>
        <v/>
      </c>
      <c r="N492" s="59">
        <f>IF(OR(tblMovement[[#This Row],[Tonnes_t]]="",tblMovement[[#This Row],[Grade_gpt]]=""),0,tblMovement[[#This Row],[Tonnes_t]]*tblMovement[[#This Row],[Grade_gpt]]/cfg_TroyOz)</f>
        <v/>
      </c>
      <c r="O492" s="59">
        <f>IF(tblMovement[[#This Row],[Is_Ore]]=1,tblMovement[[#This Row],[Contained_oz]],0)</f>
        <v/>
      </c>
    </row>
    <row r="493">
      <c r="A493" s="54" t="n"/>
      <c r="B493" s="61" t="n"/>
      <c r="C493" s="61" t="n"/>
      <c r="D493" s="61" t="n"/>
      <c r="E493" s="61" t="n"/>
      <c r="F493" s="55" t="n"/>
      <c r="G493" s="56" t="n"/>
      <c r="H493" s="55" t="n"/>
      <c r="I493" s="62" t="n"/>
      <c r="J493" s="58" t="n"/>
      <c r="K493" s="63">
        <f>IF(tblMovement[[#This Row],[Source]]="","",IFERROR(INDEX(tblSources[Type],MATCH(tblMovement[[#This Row],[Source]],tblSources[Source],0)),"?"))</f>
        <v/>
      </c>
      <c r="L493" s="63">
        <f>IF(tblMovement[[#This Row],[Destination]]="","",IFERROR(INDEX(tblDestinations[Type],MATCH(tblMovement[[#This Row],[Destination]],tblDestinations[Destination],0)),"?"))</f>
        <v/>
      </c>
      <c r="M493" s="64">
        <f>IF(tblMovement[[#This Row],[Material]]="","",IF(LEFT(tblMovement[[#This Row],[Material]],3)="Ore",1,0))</f>
        <v/>
      </c>
      <c r="N493" s="59">
        <f>IF(OR(tblMovement[[#This Row],[Tonnes_t]]="",tblMovement[[#This Row],[Grade_gpt]]=""),0,tblMovement[[#This Row],[Tonnes_t]]*tblMovement[[#This Row],[Grade_gpt]]/cfg_TroyOz)</f>
        <v/>
      </c>
      <c r="O493" s="59">
        <f>IF(tblMovement[[#This Row],[Is_Ore]]=1,tblMovement[[#This Row],[Contained_oz]],0)</f>
        <v/>
      </c>
    </row>
    <row r="494">
      <c r="A494" s="54" t="n"/>
      <c r="B494" s="61" t="n"/>
      <c r="C494" s="61" t="n"/>
      <c r="D494" s="61" t="n"/>
      <c r="E494" s="61" t="n"/>
      <c r="F494" s="55" t="n"/>
      <c r="G494" s="56" t="n"/>
      <c r="H494" s="55" t="n"/>
      <c r="I494" s="62" t="n"/>
      <c r="J494" s="58" t="n"/>
      <c r="K494" s="63">
        <f>IF(tblMovement[[#This Row],[Source]]="","",IFERROR(INDEX(tblSources[Type],MATCH(tblMovement[[#This Row],[Source]],tblSources[Source],0)),"?"))</f>
        <v/>
      </c>
      <c r="L494" s="63">
        <f>IF(tblMovement[[#This Row],[Destination]]="","",IFERROR(INDEX(tblDestinations[Type],MATCH(tblMovement[[#This Row],[Destination]],tblDestinations[Destination],0)),"?"))</f>
        <v/>
      </c>
      <c r="M494" s="64">
        <f>IF(tblMovement[[#This Row],[Material]]="","",IF(LEFT(tblMovement[[#This Row],[Material]],3)="Ore",1,0))</f>
        <v/>
      </c>
      <c r="N494" s="59">
        <f>IF(OR(tblMovement[[#This Row],[Tonnes_t]]="",tblMovement[[#This Row],[Grade_gpt]]=""),0,tblMovement[[#This Row],[Tonnes_t]]*tblMovement[[#This Row],[Grade_gpt]]/cfg_TroyOz)</f>
        <v/>
      </c>
      <c r="O494" s="59">
        <f>IF(tblMovement[[#This Row],[Is_Ore]]=1,tblMovement[[#This Row],[Contained_oz]],0)</f>
        <v/>
      </c>
    </row>
    <row r="495">
      <c r="A495" s="54" t="n"/>
      <c r="B495" s="61" t="n"/>
      <c r="C495" s="61" t="n"/>
      <c r="D495" s="61" t="n"/>
      <c r="E495" s="61" t="n"/>
      <c r="F495" s="55" t="n"/>
      <c r="G495" s="56" t="n"/>
      <c r="H495" s="55" t="n"/>
      <c r="I495" s="62" t="n"/>
      <c r="J495" s="58" t="n"/>
      <c r="K495" s="63">
        <f>IF(tblMovement[[#This Row],[Source]]="","",IFERROR(INDEX(tblSources[Type],MATCH(tblMovement[[#This Row],[Source]],tblSources[Source],0)),"?"))</f>
        <v/>
      </c>
      <c r="L495" s="63">
        <f>IF(tblMovement[[#This Row],[Destination]]="","",IFERROR(INDEX(tblDestinations[Type],MATCH(tblMovement[[#This Row],[Destination]],tblDestinations[Destination],0)),"?"))</f>
        <v/>
      </c>
      <c r="M495" s="64">
        <f>IF(tblMovement[[#This Row],[Material]]="","",IF(LEFT(tblMovement[[#This Row],[Material]],3)="Ore",1,0))</f>
        <v/>
      </c>
      <c r="N495" s="59">
        <f>IF(OR(tblMovement[[#This Row],[Tonnes_t]]="",tblMovement[[#This Row],[Grade_gpt]]=""),0,tblMovement[[#This Row],[Tonnes_t]]*tblMovement[[#This Row],[Grade_gpt]]/cfg_TroyOz)</f>
        <v/>
      </c>
      <c r="O495" s="59">
        <f>IF(tblMovement[[#This Row],[Is_Ore]]=1,tblMovement[[#This Row],[Contained_oz]],0)</f>
        <v/>
      </c>
    </row>
    <row r="496">
      <c r="A496" s="54" t="n"/>
      <c r="B496" s="61" t="n"/>
      <c r="C496" s="61" t="n"/>
      <c r="D496" s="61" t="n"/>
      <c r="E496" s="61" t="n"/>
      <c r="F496" s="55" t="n"/>
      <c r="G496" s="56" t="n"/>
      <c r="H496" s="55" t="n"/>
      <c r="I496" s="62" t="n"/>
      <c r="J496" s="58" t="n"/>
      <c r="K496" s="63">
        <f>IF(tblMovement[[#This Row],[Source]]="","",IFERROR(INDEX(tblSources[Type],MATCH(tblMovement[[#This Row],[Source]],tblSources[Source],0)),"?"))</f>
        <v/>
      </c>
      <c r="L496" s="63">
        <f>IF(tblMovement[[#This Row],[Destination]]="","",IFERROR(INDEX(tblDestinations[Type],MATCH(tblMovement[[#This Row],[Destination]],tblDestinations[Destination],0)),"?"))</f>
        <v/>
      </c>
      <c r="M496" s="64">
        <f>IF(tblMovement[[#This Row],[Material]]="","",IF(LEFT(tblMovement[[#This Row],[Material]],3)="Ore",1,0))</f>
        <v/>
      </c>
      <c r="N496" s="59">
        <f>IF(OR(tblMovement[[#This Row],[Tonnes_t]]="",tblMovement[[#This Row],[Grade_gpt]]=""),0,tblMovement[[#This Row],[Tonnes_t]]*tblMovement[[#This Row],[Grade_gpt]]/cfg_TroyOz)</f>
        <v/>
      </c>
      <c r="O496" s="59">
        <f>IF(tblMovement[[#This Row],[Is_Ore]]=1,tblMovement[[#This Row],[Contained_oz]],0)</f>
        <v/>
      </c>
    </row>
    <row r="497">
      <c r="A497" s="54" t="n"/>
      <c r="B497" s="61" t="n"/>
      <c r="C497" s="61" t="n"/>
      <c r="D497" s="61" t="n"/>
      <c r="E497" s="61" t="n"/>
      <c r="F497" s="55" t="n"/>
      <c r="G497" s="56" t="n"/>
      <c r="H497" s="55" t="n"/>
      <c r="I497" s="62" t="n"/>
      <c r="J497" s="58" t="n"/>
      <c r="K497" s="63">
        <f>IF(tblMovement[[#This Row],[Source]]="","",IFERROR(INDEX(tblSources[Type],MATCH(tblMovement[[#This Row],[Source]],tblSources[Source],0)),"?"))</f>
        <v/>
      </c>
      <c r="L497" s="63">
        <f>IF(tblMovement[[#This Row],[Destination]]="","",IFERROR(INDEX(tblDestinations[Type],MATCH(tblMovement[[#This Row],[Destination]],tblDestinations[Destination],0)),"?"))</f>
        <v/>
      </c>
      <c r="M497" s="64">
        <f>IF(tblMovement[[#This Row],[Material]]="","",IF(LEFT(tblMovement[[#This Row],[Material]],3)="Ore",1,0))</f>
        <v/>
      </c>
      <c r="N497" s="59">
        <f>IF(OR(tblMovement[[#This Row],[Tonnes_t]]="",tblMovement[[#This Row],[Grade_gpt]]=""),0,tblMovement[[#This Row],[Tonnes_t]]*tblMovement[[#This Row],[Grade_gpt]]/cfg_TroyOz)</f>
        <v/>
      </c>
      <c r="O497" s="59">
        <f>IF(tblMovement[[#This Row],[Is_Ore]]=1,tblMovement[[#This Row],[Contained_oz]],0)</f>
        <v/>
      </c>
    </row>
    <row r="498">
      <c r="A498" s="54" t="n"/>
      <c r="B498" s="61" t="n"/>
      <c r="C498" s="61" t="n"/>
      <c r="D498" s="61" t="n"/>
      <c r="E498" s="61" t="n"/>
      <c r="F498" s="55" t="n"/>
      <c r="G498" s="56" t="n"/>
      <c r="H498" s="55" t="n"/>
      <c r="I498" s="62" t="n"/>
      <c r="J498" s="58" t="n"/>
      <c r="K498" s="63">
        <f>IF(tblMovement[[#This Row],[Source]]="","",IFERROR(INDEX(tblSources[Type],MATCH(tblMovement[[#This Row],[Source]],tblSources[Source],0)),"?"))</f>
        <v/>
      </c>
      <c r="L498" s="63">
        <f>IF(tblMovement[[#This Row],[Destination]]="","",IFERROR(INDEX(tblDestinations[Type],MATCH(tblMovement[[#This Row],[Destination]],tblDestinations[Destination],0)),"?"))</f>
        <v/>
      </c>
      <c r="M498" s="64">
        <f>IF(tblMovement[[#This Row],[Material]]="","",IF(LEFT(tblMovement[[#This Row],[Material]],3)="Ore",1,0))</f>
        <v/>
      </c>
      <c r="N498" s="59">
        <f>IF(OR(tblMovement[[#This Row],[Tonnes_t]]="",tblMovement[[#This Row],[Grade_gpt]]=""),0,tblMovement[[#This Row],[Tonnes_t]]*tblMovement[[#This Row],[Grade_gpt]]/cfg_TroyOz)</f>
        <v/>
      </c>
      <c r="O498" s="59">
        <f>IF(tblMovement[[#This Row],[Is_Ore]]=1,tblMovement[[#This Row],[Contained_oz]],0)</f>
        <v/>
      </c>
    </row>
    <row r="499">
      <c r="A499" s="54" t="n"/>
      <c r="B499" s="61" t="n"/>
      <c r="C499" s="61" t="n"/>
      <c r="D499" s="61" t="n"/>
      <c r="E499" s="61" t="n"/>
      <c r="F499" s="55" t="n"/>
      <c r="G499" s="56" t="n"/>
      <c r="H499" s="55" t="n"/>
      <c r="I499" s="62" t="n"/>
      <c r="J499" s="58" t="n"/>
      <c r="K499" s="63">
        <f>IF(tblMovement[[#This Row],[Source]]="","",IFERROR(INDEX(tblSources[Type],MATCH(tblMovement[[#This Row],[Source]],tblSources[Source],0)),"?"))</f>
        <v/>
      </c>
      <c r="L499" s="63">
        <f>IF(tblMovement[[#This Row],[Destination]]="","",IFERROR(INDEX(tblDestinations[Type],MATCH(tblMovement[[#This Row],[Destination]],tblDestinations[Destination],0)),"?"))</f>
        <v/>
      </c>
      <c r="M499" s="64">
        <f>IF(tblMovement[[#This Row],[Material]]="","",IF(LEFT(tblMovement[[#This Row],[Material]],3)="Ore",1,0))</f>
        <v/>
      </c>
      <c r="N499" s="59">
        <f>IF(OR(tblMovement[[#This Row],[Tonnes_t]]="",tblMovement[[#This Row],[Grade_gpt]]=""),0,tblMovement[[#This Row],[Tonnes_t]]*tblMovement[[#This Row],[Grade_gpt]]/cfg_TroyOz)</f>
        <v/>
      </c>
      <c r="O499" s="59">
        <f>IF(tblMovement[[#This Row],[Is_Ore]]=1,tblMovement[[#This Row],[Contained_oz]],0)</f>
        <v/>
      </c>
    </row>
    <row r="500">
      <c r="A500" s="54" t="n"/>
      <c r="B500" s="61" t="n"/>
      <c r="C500" s="61" t="n"/>
      <c r="D500" s="61" t="n"/>
      <c r="E500" s="61" t="n"/>
      <c r="F500" s="55" t="n"/>
      <c r="G500" s="56" t="n"/>
      <c r="H500" s="55" t="n"/>
      <c r="I500" s="62" t="n"/>
      <c r="J500" s="58" t="n"/>
      <c r="K500" s="63">
        <f>IF(tblMovement[[#This Row],[Source]]="","",IFERROR(INDEX(tblSources[Type],MATCH(tblMovement[[#This Row],[Source]],tblSources[Source],0)),"?"))</f>
        <v/>
      </c>
      <c r="L500" s="63">
        <f>IF(tblMovement[[#This Row],[Destination]]="","",IFERROR(INDEX(tblDestinations[Type],MATCH(tblMovement[[#This Row],[Destination]],tblDestinations[Destination],0)),"?"))</f>
        <v/>
      </c>
      <c r="M500" s="64">
        <f>IF(tblMovement[[#This Row],[Material]]="","",IF(LEFT(tblMovement[[#This Row],[Material]],3)="Ore",1,0))</f>
        <v/>
      </c>
      <c r="N500" s="59">
        <f>IF(OR(tblMovement[[#This Row],[Tonnes_t]]="",tblMovement[[#This Row],[Grade_gpt]]=""),0,tblMovement[[#This Row],[Tonnes_t]]*tblMovement[[#This Row],[Grade_gpt]]/cfg_TroyOz)</f>
        <v/>
      </c>
      <c r="O500" s="59">
        <f>IF(tblMovement[[#This Row],[Is_Ore]]=1,tblMovement[[#This Row],[Contained_oz]],0)</f>
        <v/>
      </c>
    </row>
    <row r="501">
      <c r="A501" s="54" t="n"/>
      <c r="B501" s="61" t="n"/>
      <c r="C501" s="61" t="n"/>
      <c r="D501" s="61" t="n"/>
      <c r="E501" s="61" t="n"/>
      <c r="F501" s="55" t="n"/>
      <c r="G501" s="56" t="n"/>
      <c r="H501" s="55" t="n"/>
      <c r="I501" s="62" t="n"/>
      <c r="J501" s="58" t="n"/>
      <c r="K501" s="63">
        <f>IF(tblMovement[[#This Row],[Source]]="","",IFERROR(INDEX(tblSources[Type],MATCH(tblMovement[[#This Row],[Source]],tblSources[Source],0)),"?"))</f>
        <v/>
      </c>
      <c r="L501" s="63">
        <f>IF(tblMovement[[#This Row],[Destination]]="","",IFERROR(INDEX(tblDestinations[Type],MATCH(tblMovement[[#This Row],[Destination]],tblDestinations[Destination],0)),"?"))</f>
        <v/>
      </c>
      <c r="M501" s="64">
        <f>IF(tblMovement[[#This Row],[Material]]="","",IF(LEFT(tblMovement[[#This Row],[Material]],3)="Ore",1,0))</f>
        <v/>
      </c>
      <c r="N501" s="59">
        <f>IF(OR(tblMovement[[#This Row],[Tonnes_t]]="",tblMovement[[#This Row],[Grade_gpt]]=""),0,tblMovement[[#This Row],[Tonnes_t]]*tblMovement[[#This Row],[Grade_gpt]]/cfg_TroyOz)</f>
        <v/>
      </c>
      <c r="O501" s="59">
        <f>IF(tblMovement[[#This Row],[Is_Ore]]=1,tblMovement[[#This Row],[Contained_oz]],0)</f>
        <v/>
      </c>
    </row>
    <row r="502">
      <c r="A502" s="54" t="n"/>
      <c r="B502" s="61" t="n"/>
      <c r="C502" s="61" t="n"/>
      <c r="D502" s="61" t="n"/>
      <c r="E502" s="61" t="n"/>
      <c r="F502" s="55" t="n"/>
      <c r="G502" s="56" t="n"/>
      <c r="H502" s="55" t="n"/>
      <c r="I502" s="62" t="n"/>
      <c r="J502" s="58" t="n"/>
      <c r="K502" s="63">
        <f>IF(tblMovement[[#This Row],[Source]]="","",IFERROR(INDEX(tblSources[Type],MATCH(tblMovement[[#This Row],[Source]],tblSources[Source],0)),"?"))</f>
        <v/>
      </c>
      <c r="L502" s="63">
        <f>IF(tblMovement[[#This Row],[Destination]]="","",IFERROR(INDEX(tblDestinations[Type],MATCH(tblMovement[[#This Row],[Destination]],tblDestinations[Destination],0)),"?"))</f>
        <v/>
      </c>
      <c r="M502" s="64">
        <f>IF(tblMovement[[#This Row],[Material]]="","",IF(LEFT(tblMovement[[#This Row],[Material]],3)="Ore",1,0))</f>
        <v/>
      </c>
      <c r="N502" s="59">
        <f>IF(OR(tblMovement[[#This Row],[Tonnes_t]]="",tblMovement[[#This Row],[Grade_gpt]]=""),0,tblMovement[[#This Row],[Tonnes_t]]*tblMovement[[#This Row],[Grade_gpt]]/cfg_TroyOz)</f>
        <v/>
      </c>
      <c r="O502" s="59">
        <f>IF(tblMovement[[#This Row],[Is_Ore]]=1,tblMovement[[#This Row],[Contained_oz]],0)</f>
        <v/>
      </c>
    </row>
    <row r="503">
      <c r="A503" s="54" t="n"/>
      <c r="B503" s="61" t="n"/>
      <c r="C503" s="61" t="n"/>
      <c r="D503" s="61" t="n"/>
      <c r="E503" s="61" t="n"/>
      <c r="F503" s="55" t="n"/>
      <c r="G503" s="56" t="n"/>
      <c r="H503" s="55" t="n"/>
      <c r="I503" s="62" t="n"/>
      <c r="J503" s="58" t="n"/>
      <c r="K503" s="63">
        <f>IF(tblMovement[[#This Row],[Source]]="","",IFERROR(INDEX(tblSources[Type],MATCH(tblMovement[[#This Row],[Source]],tblSources[Source],0)),"?"))</f>
        <v/>
      </c>
      <c r="L503" s="63">
        <f>IF(tblMovement[[#This Row],[Destination]]="","",IFERROR(INDEX(tblDestinations[Type],MATCH(tblMovement[[#This Row],[Destination]],tblDestinations[Destination],0)),"?"))</f>
        <v/>
      </c>
      <c r="M503" s="64">
        <f>IF(tblMovement[[#This Row],[Material]]="","",IF(LEFT(tblMovement[[#This Row],[Material]],3)="Ore",1,0))</f>
        <v/>
      </c>
      <c r="N503" s="59">
        <f>IF(OR(tblMovement[[#This Row],[Tonnes_t]]="",tblMovement[[#This Row],[Grade_gpt]]=""),0,tblMovement[[#This Row],[Tonnes_t]]*tblMovement[[#This Row],[Grade_gpt]]/cfg_TroyOz)</f>
        <v/>
      </c>
      <c r="O503" s="59">
        <f>IF(tblMovement[[#This Row],[Is_Ore]]=1,tblMovement[[#This Row],[Contained_oz]],0)</f>
        <v/>
      </c>
    </row>
    <row r="504">
      <c r="A504" s="54" t="n"/>
      <c r="B504" s="61" t="n"/>
      <c r="C504" s="61" t="n"/>
      <c r="D504" s="61" t="n"/>
      <c r="E504" s="61" t="n"/>
      <c r="F504" s="55" t="n"/>
      <c r="G504" s="56" t="n"/>
      <c r="H504" s="55" t="n"/>
      <c r="I504" s="62" t="n"/>
      <c r="J504" s="58" t="n"/>
      <c r="K504" s="63">
        <f>IF(tblMovement[[#This Row],[Source]]="","",IFERROR(INDEX(tblSources[Type],MATCH(tblMovement[[#This Row],[Source]],tblSources[Source],0)),"?"))</f>
        <v/>
      </c>
      <c r="L504" s="63">
        <f>IF(tblMovement[[#This Row],[Destination]]="","",IFERROR(INDEX(tblDestinations[Type],MATCH(tblMovement[[#This Row],[Destination]],tblDestinations[Destination],0)),"?"))</f>
        <v/>
      </c>
      <c r="M504" s="64">
        <f>IF(tblMovement[[#This Row],[Material]]="","",IF(LEFT(tblMovement[[#This Row],[Material]],3)="Ore",1,0))</f>
        <v/>
      </c>
      <c r="N504" s="59">
        <f>IF(OR(tblMovement[[#This Row],[Tonnes_t]]="",tblMovement[[#This Row],[Grade_gpt]]=""),0,tblMovement[[#This Row],[Tonnes_t]]*tblMovement[[#This Row],[Grade_gpt]]/cfg_TroyOz)</f>
        <v/>
      </c>
      <c r="O504" s="59">
        <f>IF(tblMovement[[#This Row],[Is_Ore]]=1,tblMovement[[#This Row],[Contained_oz]],0)</f>
        <v/>
      </c>
    </row>
    <row r="505">
      <c r="A505" s="54" t="n"/>
      <c r="B505" s="61" t="n"/>
      <c r="C505" s="61" t="n"/>
      <c r="D505" s="61" t="n"/>
      <c r="E505" s="61" t="n"/>
      <c r="F505" s="55" t="n"/>
      <c r="G505" s="56" t="n"/>
      <c r="H505" s="55" t="n"/>
      <c r="I505" s="62" t="n"/>
      <c r="J505" s="58" t="n"/>
      <c r="K505" s="63">
        <f>IF(tblMovement[[#This Row],[Source]]="","",IFERROR(INDEX(tblSources[Type],MATCH(tblMovement[[#This Row],[Source]],tblSources[Source],0)),"?"))</f>
        <v/>
      </c>
      <c r="L505" s="63">
        <f>IF(tblMovement[[#This Row],[Destination]]="","",IFERROR(INDEX(tblDestinations[Type],MATCH(tblMovement[[#This Row],[Destination]],tblDestinations[Destination],0)),"?"))</f>
        <v/>
      </c>
      <c r="M505" s="64">
        <f>IF(tblMovement[[#This Row],[Material]]="","",IF(LEFT(tblMovement[[#This Row],[Material]],3)="Ore",1,0))</f>
        <v/>
      </c>
      <c r="N505" s="59">
        <f>IF(OR(tblMovement[[#This Row],[Tonnes_t]]="",tblMovement[[#This Row],[Grade_gpt]]=""),0,tblMovement[[#This Row],[Tonnes_t]]*tblMovement[[#This Row],[Grade_gpt]]/cfg_TroyOz)</f>
        <v/>
      </c>
      <c r="O505" s="59">
        <f>IF(tblMovement[[#This Row],[Is_Ore]]=1,tblMovement[[#This Row],[Contained_oz]],0)</f>
        <v/>
      </c>
    </row>
    <row r="506">
      <c r="A506" s="54" t="n"/>
      <c r="B506" s="61" t="n"/>
      <c r="C506" s="61" t="n"/>
      <c r="D506" s="61" t="n"/>
      <c r="E506" s="61" t="n"/>
      <c r="F506" s="55" t="n"/>
      <c r="G506" s="56" t="n"/>
      <c r="H506" s="55" t="n"/>
      <c r="I506" s="62" t="n"/>
      <c r="J506" s="58" t="n"/>
      <c r="K506" s="63">
        <f>IF(tblMovement[[#This Row],[Source]]="","",IFERROR(INDEX(tblSources[Type],MATCH(tblMovement[[#This Row],[Source]],tblSources[Source],0)),"?"))</f>
        <v/>
      </c>
      <c r="L506" s="63">
        <f>IF(tblMovement[[#This Row],[Destination]]="","",IFERROR(INDEX(tblDestinations[Type],MATCH(tblMovement[[#This Row],[Destination]],tblDestinations[Destination],0)),"?"))</f>
        <v/>
      </c>
      <c r="M506" s="64">
        <f>IF(tblMovement[[#This Row],[Material]]="","",IF(LEFT(tblMovement[[#This Row],[Material]],3)="Ore",1,0))</f>
        <v/>
      </c>
      <c r="N506" s="59">
        <f>IF(OR(tblMovement[[#This Row],[Tonnes_t]]="",tblMovement[[#This Row],[Grade_gpt]]=""),0,tblMovement[[#This Row],[Tonnes_t]]*tblMovement[[#This Row],[Grade_gpt]]/cfg_TroyOz)</f>
        <v/>
      </c>
      <c r="O506" s="59">
        <f>IF(tblMovement[[#This Row],[Is_Ore]]=1,tblMovement[[#This Row],[Contained_oz]],0)</f>
        <v/>
      </c>
    </row>
    <row r="507">
      <c r="A507" s="54" t="n"/>
      <c r="B507" s="61" t="n"/>
      <c r="C507" s="61" t="n"/>
      <c r="D507" s="61" t="n"/>
      <c r="E507" s="61" t="n"/>
      <c r="F507" s="55" t="n"/>
      <c r="G507" s="56" t="n"/>
      <c r="H507" s="55" t="n"/>
      <c r="I507" s="62" t="n"/>
      <c r="J507" s="58" t="n"/>
      <c r="K507" s="63">
        <f>IF(tblMovement[[#This Row],[Source]]="","",IFERROR(INDEX(tblSources[Type],MATCH(tblMovement[[#This Row],[Source]],tblSources[Source],0)),"?"))</f>
        <v/>
      </c>
      <c r="L507" s="63">
        <f>IF(tblMovement[[#This Row],[Destination]]="","",IFERROR(INDEX(tblDestinations[Type],MATCH(tblMovement[[#This Row],[Destination]],tblDestinations[Destination],0)),"?"))</f>
        <v/>
      </c>
      <c r="M507" s="64">
        <f>IF(tblMovement[[#This Row],[Material]]="","",IF(LEFT(tblMovement[[#This Row],[Material]],3)="Ore",1,0))</f>
        <v/>
      </c>
      <c r="N507" s="59">
        <f>IF(OR(tblMovement[[#This Row],[Tonnes_t]]="",tblMovement[[#This Row],[Grade_gpt]]=""),0,tblMovement[[#This Row],[Tonnes_t]]*tblMovement[[#This Row],[Grade_gpt]]/cfg_TroyOz)</f>
        <v/>
      </c>
      <c r="O507" s="59">
        <f>IF(tblMovement[[#This Row],[Is_Ore]]=1,tblMovement[[#This Row],[Contained_oz]],0)</f>
        <v/>
      </c>
    </row>
    <row r="508">
      <c r="A508" s="54" t="n"/>
      <c r="B508" s="61" t="n"/>
      <c r="C508" s="61" t="n"/>
      <c r="D508" s="61" t="n"/>
      <c r="E508" s="61" t="n"/>
      <c r="F508" s="55" t="n"/>
      <c r="G508" s="56" t="n"/>
      <c r="H508" s="55" t="n"/>
      <c r="I508" s="62" t="n"/>
      <c r="J508" s="58" t="n"/>
      <c r="K508" s="63">
        <f>IF(tblMovement[[#This Row],[Source]]="","",IFERROR(INDEX(tblSources[Type],MATCH(tblMovement[[#This Row],[Source]],tblSources[Source],0)),"?"))</f>
        <v/>
      </c>
      <c r="L508" s="63">
        <f>IF(tblMovement[[#This Row],[Destination]]="","",IFERROR(INDEX(tblDestinations[Type],MATCH(tblMovement[[#This Row],[Destination]],tblDestinations[Destination],0)),"?"))</f>
        <v/>
      </c>
      <c r="M508" s="64">
        <f>IF(tblMovement[[#This Row],[Material]]="","",IF(LEFT(tblMovement[[#This Row],[Material]],3)="Ore",1,0))</f>
        <v/>
      </c>
      <c r="N508" s="59">
        <f>IF(OR(tblMovement[[#This Row],[Tonnes_t]]="",tblMovement[[#This Row],[Grade_gpt]]=""),0,tblMovement[[#This Row],[Tonnes_t]]*tblMovement[[#This Row],[Grade_gpt]]/cfg_TroyOz)</f>
        <v/>
      </c>
      <c r="O508" s="59">
        <f>IF(tblMovement[[#This Row],[Is_Ore]]=1,tblMovement[[#This Row],[Contained_oz]],0)</f>
        <v/>
      </c>
    </row>
    <row r="509">
      <c r="A509" s="54" t="n"/>
      <c r="B509" s="61" t="n"/>
      <c r="C509" s="61" t="n"/>
      <c r="D509" s="61" t="n"/>
      <c r="E509" s="61" t="n"/>
      <c r="F509" s="55" t="n"/>
      <c r="G509" s="56" t="n"/>
      <c r="H509" s="55" t="n"/>
      <c r="I509" s="62" t="n"/>
      <c r="J509" s="58" t="n"/>
      <c r="K509" s="63">
        <f>IF(tblMovement[[#This Row],[Source]]="","",IFERROR(INDEX(tblSources[Type],MATCH(tblMovement[[#This Row],[Source]],tblSources[Source],0)),"?"))</f>
        <v/>
      </c>
      <c r="L509" s="63">
        <f>IF(tblMovement[[#This Row],[Destination]]="","",IFERROR(INDEX(tblDestinations[Type],MATCH(tblMovement[[#This Row],[Destination]],tblDestinations[Destination],0)),"?"))</f>
        <v/>
      </c>
      <c r="M509" s="64">
        <f>IF(tblMovement[[#This Row],[Material]]="","",IF(LEFT(tblMovement[[#This Row],[Material]],3)="Ore",1,0))</f>
        <v/>
      </c>
      <c r="N509" s="59">
        <f>IF(OR(tblMovement[[#This Row],[Tonnes_t]]="",tblMovement[[#This Row],[Grade_gpt]]=""),0,tblMovement[[#This Row],[Tonnes_t]]*tblMovement[[#This Row],[Grade_gpt]]/cfg_TroyOz)</f>
        <v/>
      </c>
      <c r="O509" s="59">
        <f>IF(tblMovement[[#This Row],[Is_Ore]]=1,tblMovement[[#This Row],[Contained_oz]],0)</f>
        <v/>
      </c>
    </row>
    <row r="510">
      <c r="A510" s="54" t="n"/>
      <c r="B510" s="61" t="n"/>
      <c r="C510" s="61" t="n"/>
      <c r="D510" s="61" t="n"/>
      <c r="E510" s="61" t="n"/>
      <c r="F510" s="55" t="n"/>
      <c r="G510" s="56" t="n"/>
      <c r="H510" s="55" t="n"/>
      <c r="I510" s="62" t="n"/>
      <c r="J510" s="58" t="n"/>
      <c r="K510" s="63">
        <f>IF(tblMovement[[#This Row],[Source]]="","",IFERROR(INDEX(tblSources[Type],MATCH(tblMovement[[#This Row],[Source]],tblSources[Source],0)),"?"))</f>
        <v/>
      </c>
      <c r="L510" s="63">
        <f>IF(tblMovement[[#This Row],[Destination]]="","",IFERROR(INDEX(tblDestinations[Type],MATCH(tblMovement[[#This Row],[Destination]],tblDestinations[Destination],0)),"?"))</f>
        <v/>
      </c>
      <c r="M510" s="64">
        <f>IF(tblMovement[[#This Row],[Material]]="","",IF(LEFT(tblMovement[[#This Row],[Material]],3)="Ore",1,0))</f>
        <v/>
      </c>
      <c r="N510" s="59">
        <f>IF(OR(tblMovement[[#This Row],[Tonnes_t]]="",tblMovement[[#This Row],[Grade_gpt]]=""),0,tblMovement[[#This Row],[Tonnes_t]]*tblMovement[[#This Row],[Grade_gpt]]/cfg_TroyOz)</f>
        <v/>
      </c>
      <c r="O510" s="59">
        <f>IF(tblMovement[[#This Row],[Is_Ore]]=1,tblMovement[[#This Row],[Contained_oz]],0)</f>
        <v/>
      </c>
    </row>
    <row r="511">
      <c r="A511" s="54" t="n"/>
      <c r="B511" s="61" t="n"/>
      <c r="C511" s="61" t="n"/>
      <c r="D511" s="61" t="n"/>
      <c r="E511" s="61" t="n"/>
      <c r="F511" s="55" t="n"/>
      <c r="G511" s="56" t="n"/>
      <c r="H511" s="55" t="n"/>
      <c r="I511" s="62" t="n"/>
      <c r="J511" s="58" t="n"/>
      <c r="K511" s="63">
        <f>IF(tblMovement[[#This Row],[Source]]="","",IFERROR(INDEX(tblSources[Type],MATCH(tblMovement[[#This Row],[Source]],tblSources[Source],0)),"?"))</f>
        <v/>
      </c>
      <c r="L511" s="63">
        <f>IF(tblMovement[[#This Row],[Destination]]="","",IFERROR(INDEX(tblDestinations[Type],MATCH(tblMovement[[#This Row],[Destination]],tblDestinations[Destination],0)),"?"))</f>
        <v/>
      </c>
      <c r="M511" s="64">
        <f>IF(tblMovement[[#This Row],[Material]]="","",IF(LEFT(tblMovement[[#This Row],[Material]],3)="Ore",1,0))</f>
        <v/>
      </c>
      <c r="N511" s="59">
        <f>IF(OR(tblMovement[[#This Row],[Tonnes_t]]="",tblMovement[[#This Row],[Grade_gpt]]=""),0,tblMovement[[#This Row],[Tonnes_t]]*tblMovement[[#This Row],[Grade_gpt]]/cfg_TroyOz)</f>
        <v/>
      </c>
      <c r="O511" s="59">
        <f>IF(tblMovement[[#This Row],[Is_Ore]]=1,tblMovement[[#This Row],[Contained_oz]],0)</f>
        <v/>
      </c>
    </row>
    <row r="512">
      <c r="A512" s="54" t="n"/>
      <c r="B512" s="61" t="n"/>
      <c r="C512" s="61" t="n"/>
      <c r="D512" s="61" t="n"/>
      <c r="E512" s="61" t="n"/>
      <c r="F512" s="55" t="n"/>
      <c r="G512" s="56" t="n"/>
      <c r="H512" s="55" t="n"/>
      <c r="I512" s="62" t="n"/>
      <c r="J512" s="58" t="n"/>
      <c r="K512" s="63">
        <f>IF(tblMovement[[#This Row],[Source]]="","",IFERROR(INDEX(tblSources[Type],MATCH(tblMovement[[#This Row],[Source]],tblSources[Source],0)),"?"))</f>
        <v/>
      </c>
      <c r="L512" s="63">
        <f>IF(tblMovement[[#This Row],[Destination]]="","",IFERROR(INDEX(tblDestinations[Type],MATCH(tblMovement[[#This Row],[Destination]],tblDestinations[Destination],0)),"?"))</f>
        <v/>
      </c>
      <c r="M512" s="64">
        <f>IF(tblMovement[[#This Row],[Material]]="","",IF(LEFT(tblMovement[[#This Row],[Material]],3)="Ore",1,0))</f>
        <v/>
      </c>
      <c r="N512" s="59">
        <f>IF(OR(tblMovement[[#This Row],[Tonnes_t]]="",tblMovement[[#This Row],[Grade_gpt]]=""),0,tblMovement[[#This Row],[Tonnes_t]]*tblMovement[[#This Row],[Grade_gpt]]/cfg_TroyOz)</f>
        <v/>
      </c>
      <c r="O512" s="59">
        <f>IF(tblMovement[[#This Row],[Is_Ore]]=1,tblMovement[[#This Row],[Contained_oz]],0)</f>
        <v/>
      </c>
    </row>
    <row r="513">
      <c r="A513" s="54" t="n"/>
      <c r="B513" s="61" t="n"/>
      <c r="C513" s="61" t="n"/>
      <c r="D513" s="61" t="n"/>
      <c r="E513" s="61" t="n"/>
      <c r="F513" s="55" t="n"/>
      <c r="G513" s="56" t="n"/>
      <c r="H513" s="55" t="n"/>
      <c r="I513" s="62" t="n"/>
      <c r="J513" s="58" t="n"/>
      <c r="K513" s="63">
        <f>IF(tblMovement[[#This Row],[Source]]="","",IFERROR(INDEX(tblSources[Type],MATCH(tblMovement[[#This Row],[Source]],tblSources[Source],0)),"?"))</f>
        <v/>
      </c>
      <c r="L513" s="63">
        <f>IF(tblMovement[[#This Row],[Destination]]="","",IFERROR(INDEX(tblDestinations[Type],MATCH(tblMovement[[#This Row],[Destination]],tblDestinations[Destination],0)),"?"))</f>
        <v/>
      </c>
      <c r="M513" s="64">
        <f>IF(tblMovement[[#This Row],[Material]]="","",IF(LEFT(tblMovement[[#This Row],[Material]],3)="Ore",1,0))</f>
        <v/>
      </c>
      <c r="N513" s="59">
        <f>IF(OR(tblMovement[[#This Row],[Tonnes_t]]="",tblMovement[[#This Row],[Grade_gpt]]=""),0,tblMovement[[#This Row],[Tonnes_t]]*tblMovement[[#This Row],[Grade_gpt]]/cfg_TroyOz)</f>
        <v/>
      </c>
      <c r="O513" s="59">
        <f>IF(tblMovement[[#This Row],[Is_Ore]]=1,tblMovement[[#This Row],[Contained_oz]],0)</f>
        <v/>
      </c>
    </row>
    <row r="514">
      <c r="A514" s="54" t="n"/>
      <c r="B514" s="61" t="n"/>
      <c r="C514" s="61" t="n"/>
      <c r="D514" s="61" t="n"/>
      <c r="E514" s="61" t="n"/>
      <c r="F514" s="55" t="n"/>
      <c r="G514" s="56" t="n"/>
      <c r="H514" s="55" t="n"/>
      <c r="I514" s="62" t="n"/>
      <c r="J514" s="58" t="n"/>
      <c r="K514" s="63">
        <f>IF(tblMovement[[#This Row],[Source]]="","",IFERROR(INDEX(tblSources[Type],MATCH(tblMovement[[#This Row],[Source]],tblSources[Source],0)),"?"))</f>
        <v/>
      </c>
      <c r="L514" s="63">
        <f>IF(tblMovement[[#This Row],[Destination]]="","",IFERROR(INDEX(tblDestinations[Type],MATCH(tblMovement[[#This Row],[Destination]],tblDestinations[Destination],0)),"?"))</f>
        <v/>
      </c>
      <c r="M514" s="64">
        <f>IF(tblMovement[[#This Row],[Material]]="","",IF(LEFT(tblMovement[[#This Row],[Material]],3)="Ore",1,0))</f>
        <v/>
      </c>
      <c r="N514" s="59">
        <f>IF(OR(tblMovement[[#This Row],[Tonnes_t]]="",tblMovement[[#This Row],[Grade_gpt]]=""),0,tblMovement[[#This Row],[Tonnes_t]]*tblMovement[[#This Row],[Grade_gpt]]/cfg_TroyOz)</f>
        <v/>
      </c>
      <c r="O514" s="59">
        <f>IF(tblMovement[[#This Row],[Is_Ore]]=1,tblMovement[[#This Row],[Contained_oz]],0)</f>
        <v/>
      </c>
    </row>
    <row r="515">
      <c r="A515" s="54" t="n"/>
      <c r="B515" s="61" t="n"/>
      <c r="C515" s="61" t="n"/>
      <c r="D515" s="61" t="n"/>
      <c r="E515" s="61" t="n"/>
      <c r="F515" s="55" t="n"/>
      <c r="G515" s="56" t="n"/>
      <c r="H515" s="55" t="n"/>
      <c r="I515" s="62" t="n"/>
      <c r="J515" s="58" t="n"/>
      <c r="K515" s="63">
        <f>IF(tblMovement[[#This Row],[Source]]="","",IFERROR(INDEX(tblSources[Type],MATCH(tblMovement[[#This Row],[Source]],tblSources[Source],0)),"?"))</f>
        <v/>
      </c>
      <c r="L515" s="63">
        <f>IF(tblMovement[[#This Row],[Destination]]="","",IFERROR(INDEX(tblDestinations[Type],MATCH(tblMovement[[#This Row],[Destination]],tblDestinations[Destination],0)),"?"))</f>
        <v/>
      </c>
      <c r="M515" s="64">
        <f>IF(tblMovement[[#This Row],[Material]]="","",IF(LEFT(tblMovement[[#This Row],[Material]],3)="Ore",1,0))</f>
        <v/>
      </c>
      <c r="N515" s="59">
        <f>IF(OR(tblMovement[[#This Row],[Tonnes_t]]="",tblMovement[[#This Row],[Grade_gpt]]=""),0,tblMovement[[#This Row],[Tonnes_t]]*tblMovement[[#This Row],[Grade_gpt]]/cfg_TroyOz)</f>
        <v/>
      </c>
      <c r="O515" s="59">
        <f>IF(tblMovement[[#This Row],[Is_Ore]]=1,tblMovement[[#This Row],[Contained_oz]],0)</f>
        <v/>
      </c>
    </row>
    <row r="516">
      <c r="A516" s="54" t="n"/>
      <c r="B516" s="61" t="n"/>
      <c r="C516" s="61" t="n"/>
      <c r="D516" s="61" t="n"/>
      <c r="E516" s="61" t="n"/>
      <c r="F516" s="55" t="n"/>
      <c r="G516" s="56" t="n"/>
      <c r="H516" s="55" t="n"/>
      <c r="I516" s="62" t="n"/>
      <c r="J516" s="58" t="n"/>
      <c r="K516" s="63">
        <f>IF(tblMovement[[#This Row],[Source]]="","",IFERROR(INDEX(tblSources[Type],MATCH(tblMovement[[#This Row],[Source]],tblSources[Source],0)),"?"))</f>
        <v/>
      </c>
      <c r="L516" s="63">
        <f>IF(tblMovement[[#This Row],[Destination]]="","",IFERROR(INDEX(tblDestinations[Type],MATCH(tblMovement[[#This Row],[Destination]],tblDestinations[Destination],0)),"?"))</f>
        <v/>
      </c>
      <c r="M516" s="64">
        <f>IF(tblMovement[[#This Row],[Material]]="","",IF(LEFT(tblMovement[[#This Row],[Material]],3)="Ore",1,0))</f>
        <v/>
      </c>
      <c r="N516" s="59">
        <f>IF(OR(tblMovement[[#This Row],[Tonnes_t]]="",tblMovement[[#This Row],[Grade_gpt]]=""),0,tblMovement[[#This Row],[Tonnes_t]]*tblMovement[[#This Row],[Grade_gpt]]/cfg_TroyOz)</f>
        <v/>
      </c>
      <c r="O516" s="59">
        <f>IF(tblMovement[[#This Row],[Is_Ore]]=1,tblMovement[[#This Row],[Contained_oz]],0)</f>
        <v/>
      </c>
    </row>
    <row r="517">
      <c r="A517" s="54" t="n"/>
      <c r="B517" s="61" t="n"/>
      <c r="C517" s="61" t="n"/>
      <c r="D517" s="61" t="n"/>
      <c r="E517" s="61" t="n"/>
      <c r="F517" s="55" t="n"/>
      <c r="G517" s="56" t="n"/>
      <c r="H517" s="55" t="n"/>
      <c r="I517" s="62" t="n"/>
      <c r="J517" s="58" t="n"/>
      <c r="K517" s="63">
        <f>IF(tblMovement[[#This Row],[Source]]="","",IFERROR(INDEX(tblSources[Type],MATCH(tblMovement[[#This Row],[Source]],tblSources[Source],0)),"?"))</f>
        <v/>
      </c>
      <c r="L517" s="63">
        <f>IF(tblMovement[[#This Row],[Destination]]="","",IFERROR(INDEX(tblDestinations[Type],MATCH(tblMovement[[#This Row],[Destination]],tblDestinations[Destination],0)),"?"))</f>
        <v/>
      </c>
      <c r="M517" s="64">
        <f>IF(tblMovement[[#This Row],[Material]]="","",IF(LEFT(tblMovement[[#This Row],[Material]],3)="Ore",1,0))</f>
        <v/>
      </c>
      <c r="N517" s="59">
        <f>IF(OR(tblMovement[[#This Row],[Tonnes_t]]="",tblMovement[[#This Row],[Grade_gpt]]=""),0,tblMovement[[#This Row],[Tonnes_t]]*tblMovement[[#This Row],[Grade_gpt]]/cfg_TroyOz)</f>
        <v/>
      </c>
      <c r="O517" s="59">
        <f>IF(tblMovement[[#This Row],[Is_Ore]]=1,tblMovement[[#This Row],[Contained_oz]],0)</f>
        <v/>
      </c>
    </row>
    <row r="518">
      <c r="A518" s="54" t="n"/>
      <c r="B518" s="61" t="n"/>
      <c r="C518" s="61" t="n"/>
      <c r="D518" s="61" t="n"/>
      <c r="E518" s="61" t="n"/>
      <c r="F518" s="55" t="n"/>
      <c r="G518" s="56" t="n"/>
      <c r="H518" s="55" t="n"/>
      <c r="I518" s="62" t="n"/>
      <c r="J518" s="58" t="n"/>
      <c r="K518" s="63">
        <f>IF(tblMovement[[#This Row],[Source]]="","",IFERROR(INDEX(tblSources[Type],MATCH(tblMovement[[#This Row],[Source]],tblSources[Source],0)),"?"))</f>
        <v/>
      </c>
      <c r="L518" s="63">
        <f>IF(tblMovement[[#This Row],[Destination]]="","",IFERROR(INDEX(tblDestinations[Type],MATCH(tblMovement[[#This Row],[Destination]],tblDestinations[Destination],0)),"?"))</f>
        <v/>
      </c>
      <c r="M518" s="64">
        <f>IF(tblMovement[[#This Row],[Material]]="","",IF(LEFT(tblMovement[[#This Row],[Material]],3)="Ore",1,0))</f>
        <v/>
      </c>
      <c r="N518" s="59">
        <f>IF(OR(tblMovement[[#This Row],[Tonnes_t]]="",tblMovement[[#This Row],[Grade_gpt]]=""),0,tblMovement[[#This Row],[Tonnes_t]]*tblMovement[[#This Row],[Grade_gpt]]/cfg_TroyOz)</f>
        <v/>
      </c>
      <c r="O518" s="59">
        <f>IF(tblMovement[[#This Row],[Is_Ore]]=1,tblMovement[[#This Row],[Contained_oz]],0)</f>
        <v/>
      </c>
    </row>
    <row r="519">
      <c r="A519" s="54" t="n"/>
      <c r="B519" s="61" t="n"/>
      <c r="C519" s="61" t="n"/>
      <c r="D519" s="61" t="n"/>
      <c r="E519" s="61" t="n"/>
      <c r="F519" s="55" t="n"/>
      <c r="G519" s="56" t="n"/>
      <c r="H519" s="55" t="n"/>
      <c r="I519" s="62" t="n"/>
      <c r="J519" s="58" t="n"/>
      <c r="K519" s="63">
        <f>IF(tblMovement[[#This Row],[Source]]="","",IFERROR(INDEX(tblSources[Type],MATCH(tblMovement[[#This Row],[Source]],tblSources[Source],0)),"?"))</f>
        <v/>
      </c>
      <c r="L519" s="63">
        <f>IF(tblMovement[[#This Row],[Destination]]="","",IFERROR(INDEX(tblDestinations[Type],MATCH(tblMovement[[#This Row],[Destination]],tblDestinations[Destination],0)),"?"))</f>
        <v/>
      </c>
      <c r="M519" s="64">
        <f>IF(tblMovement[[#This Row],[Material]]="","",IF(LEFT(tblMovement[[#This Row],[Material]],3)="Ore",1,0))</f>
        <v/>
      </c>
      <c r="N519" s="59">
        <f>IF(OR(tblMovement[[#This Row],[Tonnes_t]]="",tblMovement[[#This Row],[Grade_gpt]]=""),0,tblMovement[[#This Row],[Tonnes_t]]*tblMovement[[#This Row],[Grade_gpt]]/cfg_TroyOz)</f>
        <v/>
      </c>
      <c r="O519" s="59">
        <f>IF(tblMovement[[#This Row],[Is_Ore]]=1,tblMovement[[#This Row],[Contained_oz]],0)</f>
        <v/>
      </c>
    </row>
    <row r="520">
      <c r="A520" s="54" t="n"/>
      <c r="B520" s="61" t="n"/>
      <c r="C520" s="61" t="n"/>
      <c r="D520" s="61" t="n"/>
      <c r="E520" s="61" t="n"/>
      <c r="F520" s="55" t="n"/>
      <c r="G520" s="56" t="n"/>
      <c r="H520" s="55" t="n"/>
      <c r="I520" s="62" t="n"/>
      <c r="J520" s="58" t="n"/>
      <c r="K520" s="63">
        <f>IF(tblMovement[[#This Row],[Source]]="","",IFERROR(INDEX(tblSources[Type],MATCH(tblMovement[[#This Row],[Source]],tblSources[Source],0)),"?"))</f>
        <v/>
      </c>
      <c r="L520" s="63">
        <f>IF(tblMovement[[#This Row],[Destination]]="","",IFERROR(INDEX(tblDestinations[Type],MATCH(tblMovement[[#This Row],[Destination]],tblDestinations[Destination],0)),"?"))</f>
        <v/>
      </c>
      <c r="M520" s="64">
        <f>IF(tblMovement[[#This Row],[Material]]="","",IF(LEFT(tblMovement[[#This Row],[Material]],3)="Ore",1,0))</f>
        <v/>
      </c>
      <c r="N520" s="59">
        <f>IF(OR(tblMovement[[#This Row],[Tonnes_t]]="",tblMovement[[#This Row],[Grade_gpt]]=""),0,tblMovement[[#This Row],[Tonnes_t]]*tblMovement[[#This Row],[Grade_gpt]]/cfg_TroyOz)</f>
        <v/>
      </c>
      <c r="O520" s="59">
        <f>IF(tblMovement[[#This Row],[Is_Ore]]=1,tblMovement[[#This Row],[Contained_oz]],0)</f>
        <v/>
      </c>
    </row>
    <row r="521">
      <c r="A521" s="54" t="n"/>
      <c r="B521" s="61" t="n"/>
      <c r="C521" s="61" t="n"/>
      <c r="D521" s="61" t="n"/>
      <c r="E521" s="61" t="n"/>
      <c r="F521" s="55" t="n"/>
      <c r="G521" s="56" t="n"/>
      <c r="H521" s="55" t="n"/>
      <c r="I521" s="62" t="n"/>
      <c r="J521" s="58" t="n"/>
      <c r="K521" s="63">
        <f>IF(tblMovement[[#This Row],[Source]]="","",IFERROR(INDEX(tblSources[Type],MATCH(tblMovement[[#This Row],[Source]],tblSources[Source],0)),"?"))</f>
        <v/>
      </c>
      <c r="L521" s="63">
        <f>IF(tblMovement[[#This Row],[Destination]]="","",IFERROR(INDEX(tblDestinations[Type],MATCH(tblMovement[[#This Row],[Destination]],tblDestinations[Destination],0)),"?"))</f>
        <v/>
      </c>
      <c r="M521" s="64">
        <f>IF(tblMovement[[#This Row],[Material]]="","",IF(LEFT(tblMovement[[#This Row],[Material]],3)="Ore",1,0))</f>
        <v/>
      </c>
      <c r="N521" s="59">
        <f>IF(OR(tblMovement[[#This Row],[Tonnes_t]]="",tblMovement[[#This Row],[Grade_gpt]]=""),0,tblMovement[[#This Row],[Tonnes_t]]*tblMovement[[#This Row],[Grade_gpt]]/cfg_TroyOz)</f>
        <v/>
      </c>
      <c r="O521" s="59">
        <f>IF(tblMovement[[#This Row],[Is_Ore]]=1,tblMovement[[#This Row],[Contained_oz]],0)</f>
        <v/>
      </c>
    </row>
    <row r="522">
      <c r="A522" s="54" t="n"/>
      <c r="B522" s="61" t="n"/>
      <c r="C522" s="61" t="n"/>
      <c r="D522" s="61" t="n"/>
      <c r="E522" s="61" t="n"/>
      <c r="F522" s="55" t="n"/>
      <c r="G522" s="56" t="n"/>
      <c r="H522" s="55" t="n"/>
      <c r="I522" s="62" t="n"/>
      <c r="J522" s="58" t="n"/>
      <c r="K522" s="63">
        <f>IF(tblMovement[[#This Row],[Source]]="","",IFERROR(INDEX(tblSources[Type],MATCH(tblMovement[[#This Row],[Source]],tblSources[Source],0)),"?"))</f>
        <v/>
      </c>
      <c r="L522" s="63">
        <f>IF(tblMovement[[#This Row],[Destination]]="","",IFERROR(INDEX(tblDestinations[Type],MATCH(tblMovement[[#This Row],[Destination]],tblDestinations[Destination],0)),"?"))</f>
        <v/>
      </c>
      <c r="M522" s="64">
        <f>IF(tblMovement[[#This Row],[Material]]="","",IF(LEFT(tblMovement[[#This Row],[Material]],3)="Ore",1,0))</f>
        <v/>
      </c>
      <c r="N522" s="59">
        <f>IF(OR(tblMovement[[#This Row],[Tonnes_t]]="",tblMovement[[#This Row],[Grade_gpt]]=""),0,tblMovement[[#This Row],[Tonnes_t]]*tblMovement[[#This Row],[Grade_gpt]]/cfg_TroyOz)</f>
        <v/>
      </c>
      <c r="O522" s="59">
        <f>IF(tblMovement[[#This Row],[Is_Ore]]=1,tblMovement[[#This Row],[Contained_oz]],0)</f>
        <v/>
      </c>
    </row>
    <row r="523">
      <c r="A523" s="54" t="n"/>
      <c r="B523" s="61" t="n"/>
      <c r="C523" s="61" t="n"/>
      <c r="D523" s="61" t="n"/>
      <c r="E523" s="61" t="n"/>
      <c r="F523" s="55" t="n"/>
      <c r="G523" s="56" t="n"/>
      <c r="H523" s="55" t="n"/>
      <c r="I523" s="62" t="n"/>
      <c r="J523" s="58" t="n"/>
      <c r="K523" s="63">
        <f>IF(tblMovement[[#This Row],[Source]]="","",IFERROR(INDEX(tblSources[Type],MATCH(tblMovement[[#This Row],[Source]],tblSources[Source],0)),"?"))</f>
        <v/>
      </c>
      <c r="L523" s="63">
        <f>IF(tblMovement[[#This Row],[Destination]]="","",IFERROR(INDEX(tblDestinations[Type],MATCH(tblMovement[[#This Row],[Destination]],tblDestinations[Destination],0)),"?"))</f>
        <v/>
      </c>
      <c r="M523" s="64">
        <f>IF(tblMovement[[#This Row],[Material]]="","",IF(LEFT(tblMovement[[#This Row],[Material]],3)="Ore",1,0))</f>
        <v/>
      </c>
      <c r="N523" s="59">
        <f>IF(OR(tblMovement[[#This Row],[Tonnes_t]]="",tblMovement[[#This Row],[Grade_gpt]]=""),0,tblMovement[[#This Row],[Tonnes_t]]*tblMovement[[#This Row],[Grade_gpt]]/cfg_TroyOz)</f>
        <v/>
      </c>
      <c r="O523" s="59">
        <f>IF(tblMovement[[#This Row],[Is_Ore]]=1,tblMovement[[#This Row],[Contained_oz]],0)</f>
        <v/>
      </c>
    </row>
    <row r="524">
      <c r="A524" s="54" t="n"/>
      <c r="B524" s="61" t="n"/>
      <c r="C524" s="61" t="n"/>
      <c r="D524" s="61" t="n"/>
      <c r="E524" s="61" t="n"/>
      <c r="F524" s="55" t="n"/>
      <c r="G524" s="56" t="n"/>
      <c r="H524" s="55" t="n"/>
      <c r="I524" s="62" t="n"/>
      <c r="J524" s="58" t="n"/>
      <c r="K524" s="63">
        <f>IF(tblMovement[[#This Row],[Source]]="","",IFERROR(INDEX(tblSources[Type],MATCH(tblMovement[[#This Row],[Source]],tblSources[Source],0)),"?"))</f>
        <v/>
      </c>
      <c r="L524" s="63">
        <f>IF(tblMovement[[#This Row],[Destination]]="","",IFERROR(INDEX(tblDestinations[Type],MATCH(tblMovement[[#This Row],[Destination]],tblDestinations[Destination],0)),"?"))</f>
        <v/>
      </c>
      <c r="M524" s="64">
        <f>IF(tblMovement[[#This Row],[Material]]="","",IF(LEFT(tblMovement[[#This Row],[Material]],3)="Ore",1,0))</f>
        <v/>
      </c>
      <c r="N524" s="59">
        <f>IF(OR(tblMovement[[#This Row],[Tonnes_t]]="",tblMovement[[#This Row],[Grade_gpt]]=""),0,tblMovement[[#This Row],[Tonnes_t]]*tblMovement[[#This Row],[Grade_gpt]]/cfg_TroyOz)</f>
        <v/>
      </c>
      <c r="O524" s="59">
        <f>IF(tblMovement[[#This Row],[Is_Ore]]=1,tblMovement[[#This Row],[Contained_oz]],0)</f>
        <v/>
      </c>
    </row>
    <row r="525">
      <c r="A525" s="54" t="n"/>
      <c r="B525" s="61" t="n"/>
      <c r="C525" s="61" t="n"/>
      <c r="D525" s="61" t="n"/>
      <c r="E525" s="61" t="n"/>
      <c r="F525" s="55" t="n"/>
      <c r="G525" s="56" t="n"/>
      <c r="H525" s="55" t="n"/>
      <c r="I525" s="62" t="n"/>
      <c r="J525" s="58" t="n"/>
      <c r="K525" s="63">
        <f>IF(tblMovement[[#This Row],[Source]]="","",IFERROR(INDEX(tblSources[Type],MATCH(tblMovement[[#This Row],[Source]],tblSources[Source],0)),"?"))</f>
        <v/>
      </c>
      <c r="L525" s="63">
        <f>IF(tblMovement[[#This Row],[Destination]]="","",IFERROR(INDEX(tblDestinations[Type],MATCH(tblMovement[[#This Row],[Destination]],tblDestinations[Destination],0)),"?"))</f>
        <v/>
      </c>
      <c r="M525" s="64">
        <f>IF(tblMovement[[#This Row],[Material]]="","",IF(LEFT(tblMovement[[#This Row],[Material]],3)="Ore",1,0))</f>
        <v/>
      </c>
      <c r="N525" s="59">
        <f>IF(OR(tblMovement[[#This Row],[Tonnes_t]]="",tblMovement[[#This Row],[Grade_gpt]]=""),0,tblMovement[[#This Row],[Tonnes_t]]*tblMovement[[#This Row],[Grade_gpt]]/cfg_TroyOz)</f>
        <v/>
      </c>
      <c r="O525" s="59">
        <f>IF(tblMovement[[#This Row],[Is_Ore]]=1,tblMovement[[#This Row],[Contained_oz]],0)</f>
        <v/>
      </c>
    </row>
    <row r="526">
      <c r="A526" s="54" t="n"/>
      <c r="B526" s="61" t="n"/>
      <c r="C526" s="61" t="n"/>
      <c r="D526" s="61" t="n"/>
      <c r="E526" s="61" t="n"/>
      <c r="F526" s="55" t="n"/>
      <c r="G526" s="56" t="n"/>
      <c r="H526" s="55" t="n"/>
      <c r="I526" s="62" t="n"/>
      <c r="J526" s="58" t="n"/>
      <c r="K526" s="63">
        <f>IF(tblMovement[[#This Row],[Source]]="","",IFERROR(INDEX(tblSources[Type],MATCH(tblMovement[[#This Row],[Source]],tblSources[Source],0)),"?"))</f>
        <v/>
      </c>
      <c r="L526" s="63">
        <f>IF(tblMovement[[#This Row],[Destination]]="","",IFERROR(INDEX(tblDestinations[Type],MATCH(tblMovement[[#This Row],[Destination]],tblDestinations[Destination],0)),"?"))</f>
        <v/>
      </c>
      <c r="M526" s="64">
        <f>IF(tblMovement[[#This Row],[Material]]="","",IF(LEFT(tblMovement[[#This Row],[Material]],3)="Ore",1,0))</f>
        <v/>
      </c>
      <c r="N526" s="59">
        <f>IF(OR(tblMovement[[#This Row],[Tonnes_t]]="",tblMovement[[#This Row],[Grade_gpt]]=""),0,tblMovement[[#This Row],[Tonnes_t]]*tblMovement[[#This Row],[Grade_gpt]]/cfg_TroyOz)</f>
        <v/>
      </c>
      <c r="O526" s="59">
        <f>IF(tblMovement[[#This Row],[Is_Ore]]=1,tblMovement[[#This Row],[Contained_oz]],0)</f>
        <v/>
      </c>
    </row>
    <row r="527">
      <c r="A527" s="54" t="n"/>
      <c r="B527" s="61" t="n"/>
      <c r="C527" s="61" t="n"/>
      <c r="D527" s="61" t="n"/>
      <c r="E527" s="61" t="n"/>
      <c r="F527" s="55" t="n"/>
      <c r="G527" s="56" t="n"/>
      <c r="H527" s="55" t="n"/>
      <c r="I527" s="62" t="n"/>
      <c r="J527" s="58" t="n"/>
      <c r="K527" s="63">
        <f>IF(tblMovement[[#This Row],[Source]]="","",IFERROR(INDEX(tblSources[Type],MATCH(tblMovement[[#This Row],[Source]],tblSources[Source],0)),"?"))</f>
        <v/>
      </c>
      <c r="L527" s="63">
        <f>IF(tblMovement[[#This Row],[Destination]]="","",IFERROR(INDEX(tblDestinations[Type],MATCH(tblMovement[[#This Row],[Destination]],tblDestinations[Destination],0)),"?"))</f>
        <v/>
      </c>
      <c r="M527" s="64">
        <f>IF(tblMovement[[#This Row],[Material]]="","",IF(LEFT(tblMovement[[#This Row],[Material]],3)="Ore",1,0))</f>
        <v/>
      </c>
      <c r="N527" s="59">
        <f>IF(OR(tblMovement[[#This Row],[Tonnes_t]]="",tblMovement[[#This Row],[Grade_gpt]]=""),0,tblMovement[[#This Row],[Tonnes_t]]*tblMovement[[#This Row],[Grade_gpt]]/cfg_TroyOz)</f>
        <v/>
      </c>
      <c r="O527" s="59">
        <f>IF(tblMovement[[#This Row],[Is_Ore]]=1,tblMovement[[#This Row],[Contained_oz]],0)</f>
        <v/>
      </c>
    </row>
    <row r="528">
      <c r="A528" s="54" t="n"/>
      <c r="B528" s="61" t="n"/>
      <c r="C528" s="61" t="n"/>
      <c r="D528" s="61" t="n"/>
      <c r="E528" s="61" t="n"/>
      <c r="F528" s="55" t="n"/>
      <c r="G528" s="56" t="n"/>
      <c r="H528" s="55" t="n"/>
      <c r="I528" s="62" t="n"/>
      <c r="J528" s="58" t="n"/>
      <c r="K528" s="63">
        <f>IF(tblMovement[[#This Row],[Source]]="","",IFERROR(INDEX(tblSources[Type],MATCH(tblMovement[[#This Row],[Source]],tblSources[Source],0)),"?"))</f>
        <v/>
      </c>
      <c r="L528" s="63">
        <f>IF(tblMovement[[#This Row],[Destination]]="","",IFERROR(INDEX(tblDestinations[Type],MATCH(tblMovement[[#This Row],[Destination]],tblDestinations[Destination],0)),"?"))</f>
        <v/>
      </c>
      <c r="M528" s="64">
        <f>IF(tblMovement[[#This Row],[Material]]="","",IF(LEFT(tblMovement[[#This Row],[Material]],3)="Ore",1,0))</f>
        <v/>
      </c>
      <c r="N528" s="59">
        <f>IF(OR(tblMovement[[#This Row],[Tonnes_t]]="",tblMovement[[#This Row],[Grade_gpt]]=""),0,tblMovement[[#This Row],[Tonnes_t]]*tblMovement[[#This Row],[Grade_gpt]]/cfg_TroyOz)</f>
        <v/>
      </c>
      <c r="O528" s="59">
        <f>IF(tblMovement[[#This Row],[Is_Ore]]=1,tblMovement[[#This Row],[Contained_oz]],0)</f>
        <v/>
      </c>
    </row>
    <row r="529">
      <c r="A529" s="54" t="n"/>
      <c r="B529" s="61" t="n"/>
      <c r="C529" s="61" t="n"/>
      <c r="D529" s="61" t="n"/>
      <c r="E529" s="61" t="n"/>
      <c r="F529" s="55" t="n"/>
      <c r="G529" s="56" t="n"/>
      <c r="H529" s="55" t="n"/>
      <c r="I529" s="62" t="n"/>
      <c r="J529" s="58" t="n"/>
      <c r="K529" s="63">
        <f>IF(tblMovement[[#This Row],[Source]]="","",IFERROR(INDEX(tblSources[Type],MATCH(tblMovement[[#This Row],[Source]],tblSources[Source],0)),"?"))</f>
        <v/>
      </c>
      <c r="L529" s="63">
        <f>IF(tblMovement[[#This Row],[Destination]]="","",IFERROR(INDEX(tblDestinations[Type],MATCH(tblMovement[[#This Row],[Destination]],tblDestinations[Destination],0)),"?"))</f>
        <v/>
      </c>
      <c r="M529" s="64">
        <f>IF(tblMovement[[#This Row],[Material]]="","",IF(LEFT(tblMovement[[#This Row],[Material]],3)="Ore",1,0))</f>
        <v/>
      </c>
      <c r="N529" s="59">
        <f>IF(OR(tblMovement[[#This Row],[Tonnes_t]]="",tblMovement[[#This Row],[Grade_gpt]]=""),0,tblMovement[[#This Row],[Tonnes_t]]*tblMovement[[#This Row],[Grade_gpt]]/cfg_TroyOz)</f>
        <v/>
      </c>
      <c r="O529" s="59">
        <f>IF(tblMovement[[#This Row],[Is_Ore]]=1,tblMovement[[#This Row],[Contained_oz]],0)</f>
        <v/>
      </c>
    </row>
    <row r="530">
      <c r="A530" s="54" t="n"/>
      <c r="B530" s="61" t="n"/>
      <c r="C530" s="61" t="n"/>
      <c r="D530" s="61" t="n"/>
      <c r="E530" s="61" t="n"/>
      <c r="F530" s="55" t="n"/>
      <c r="G530" s="56" t="n"/>
      <c r="H530" s="55" t="n"/>
      <c r="I530" s="62" t="n"/>
      <c r="J530" s="58" t="n"/>
      <c r="K530" s="63">
        <f>IF(tblMovement[[#This Row],[Source]]="","",IFERROR(INDEX(tblSources[Type],MATCH(tblMovement[[#This Row],[Source]],tblSources[Source],0)),"?"))</f>
        <v/>
      </c>
      <c r="L530" s="63">
        <f>IF(tblMovement[[#This Row],[Destination]]="","",IFERROR(INDEX(tblDestinations[Type],MATCH(tblMovement[[#This Row],[Destination]],tblDestinations[Destination],0)),"?"))</f>
        <v/>
      </c>
      <c r="M530" s="64">
        <f>IF(tblMovement[[#This Row],[Material]]="","",IF(LEFT(tblMovement[[#This Row],[Material]],3)="Ore",1,0))</f>
        <v/>
      </c>
      <c r="N530" s="59">
        <f>IF(OR(tblMovement[[#This Row],[Tonnes_t]]="",tblMovement[[#This Row],[Grade_gpt]]=""),0,tblMovement[[#This Row],[Tonnes_t]]*tblMovement[[#This Row],[Grade_gpt]]/cfg_TroyOz)</f>
        <v/>
      </c>
      <c r="O530" s="59">
        <f>IF(tblMovement[[#This Row],[Is_Ore]]=1,tblMovement[[#This Row],[Contained_oz]],0)</f>
        <v/>
      </c>
    </row>
    <row r="531">
      <c r="A531" s="54" t="n"/>
      <c r="B531" s="61" t="n"/>
      <c r="C531" s="61" t="n"/>
      <c r="D531" s="61" t="n"/>
      <c r="E531" s="61" t="n"/>
      <c r="F531" s="55" t="n"/>
      <c r="G531" s="56" t="n"/>
      <c r="H531" s="55" t="n"/>
      <c r="I531" s="62" t="n"/>
      <c r="J531" s="58" t="n"/>
      <c r="K531" s="63">
        <f>IF(tblMovement[[#This Row],[Source]]="","",IFERROR(INDEX(tblSources[Type],MATCH(tblMovement[[#This Row],[Source]],tblSources[Source],0)),"?"))</f>
        <v/>
      </c>
      <c r="L531" s="63">
        <f>IF(tblMovement[[#This Row],[Destination]]="","",IFERROR(INDEX(tblDestinations[Type],MATCH(tblMovement[[#This Row],[Destination]],tblDestinations[Destination],0)),"?"))</f>
        <v/>
      </c>
      <c r="M531" s="64">
        <f>IF(tblMovement[[#This Row],[Material]]="","",IF(LEFT(tblMovement[[#This Row],[Material]],3)="Ore",1,0))</f>
        <v/>
      </c>
      <c r="N531" s="59">
        <f>IF(OR(tblMovement[[#This Row],[Tonnes_t]]="",tblMovement[[#This Row],[Grade_gpt]]=""),0,tblMovement[[#This Row],[Tonnes_t]]*tblMovement[[#This Row],[Grade_gpt]]/cfg_TroyOz)</f>
        <v/>
      </c>
      <c r="O531" s="59">
        <f>IF(tblMovement[[#This Row],[Is_Ore]]=1,tblMovement[[#This Row],[Contained_oz]],0)</f>
        <v/>
      </c>
    </row>
    <row r="532">
      <c r="A532" s="54" t="n"/>
      <c r="B532" s="61" t="n"/>
      <c r="C532" s="61" t="n"/>
      <c r="D532" s="61" t="n"/>
      <c r="E532" s="61" t="n"/>
      <c r="F532" s="55" t="n"/>
      <c r="G532" s="56" t="n"/>
      <c r="H532" s="55" t="n"/>
      <c r="I532" s="62" t="n"/>
      <c r="J532" s="58" t="n"/>
      <c r="K532" s="63">
        <f>IF(tblMovement[[#This Row],[Source]]="","",IFERROR(INDEX(tblSources[Type],MATCH(tblMovement[[#This Row],[Source]],tblSources[Source],0)),"?"))</f>
        <v/>
      </c>
      <c r="L532" s="63">
        <f>IF(tblMovement[[#This Row],[Destination]]="","",IFERROR(INDEX(tblDestinations[Type],MATCH(tblMovement[[#This Row],[Destination]],tblDestinations[Destination],0)),"?"))</f>
        <v/>
      </c>
      <c r="M532" s="64">
        <f>IF(tblMovement[[#This Row],[Material]]="","",IF(LEFT(tblMovement[[#This Row],[Material]],3)="Ore",1,0))</f>
        <v/>
      </c>
      <c r="N532" s="59">
        <f>IF(OR(tblMovement[[#This Row],[Tonnes_t]]="",tblMovement[[#This Row],[Grade_gpt]]=""),0,tblMovement[[#This Row],[Tonnes_t]]*tblMovement[[#This Row],[Grade_gpt]]/cfg_TroyOz)</f>
        <v/>
      </c>
      <c r="O532" s="59">
        <f>IF(tblMovement[[#This Row],[Is_Ore]]=1,tblMovement[[#This Row],[Contained_oz]],0)</f>
        <v/>
      </c>
    </row>
    <row r="533">
      <c r="A533" s="54" t="n"/>
      <c r="B533" s="61" t="n"/>
      <c r="C533" s="61" t="n"/>
      <c r="D533" s="61" t="n"/>
      <c r="E533" s="61" t="n"/>
      <c r="F533" s="55" t="n"/>
      <c r="G533" s="56" t="n"/>
      <c r="H533" s="55" t="n"/>
      <c r="I533" s="62" t="n"/>
      <c r="J533" s="58" t="n"/>
      <c r="K533" s="63">
        <f>IF(tblMovement[[#This Row],[Source]]="","",IFERROR(INDEX(tblSources[Type],MATCH(tblMovement[[#This Row],[Source]],tblSources[Source],0)),"?"))</f>
        <v/>
      </c>
      <c r="L533" s="63">
        <f>IF(tblMovement[[#This Row],[Destination]]="","",IFERROR(INDEX(tblDestinations[Type],MATCH(tblMovement[[#This Row],[Destination]],tblDestinations[Destination],0)),"?"))</f>
        <v/>
      </c>
      <c r="M533" s="64">
        <f>IF(tblMovement[[#This Row],[Material]]="","",IF(LEFT(tblMovement[[#This Row],[Material]],3)="Ore",1,0))</f>
        <v/>
      </c>
      <c r="N533" s="59">
        <f>IF(OR(tblMovement[[#This Row],[Tonnes_t]]="",tblMovement[[#This Row],[Grade_gpt]]=""),0,tblMovement[[#This Row],[Tonnes_t]]*tblMovement[[#This Row],[Grade_gpt]]/cfg_TroyOz)</f>
        <v/>
      </c>
      <c r="O533" s="59">
        <f>IF(tblMovement[[#This Row],[Is_Ore]]=1,tblMovement[[#This Row],[Contained_oz]],0)</f>
        <v/>
      </c>
    </row>
    <row r="534">
      <c r="A534" s="54" t="n"/>
      <c r="B534" s="61" t="n"/>
      <c r="C534" s="61" t="n"/>
      <c r="D534" s="61" t="n"/>
      <c r="E534" s="61" t="n"/>
      <c r="F534" s="55" t="n"/>
      <c r="G534" s="56" t="n"/>
      <c r="H534" s="55" t="n"/>
      <c r="I534" s="62" t="n"/>
      <c r="J534" s="58" t="n"/>
      <c r="K534" s="63">
        <f>IF(tblMovement[[#This Row],[Source]]="","",IFERROR(INDEX(tblSources[Type],MATCH(tblMovement[[#This Row],[Source]],tblSources[Source],0)),"?"))</f>
        <v/>
      </c>
      <c r="L534" s="63">
        <f>IF(tblMovement[[#This Row],[Destination]]="","",IFERROR(INDEX(tblDestinations[Type],MATCH(tblMovement[[#This Row],[Destination]],tblDestinations[Destination],0)),"?"))</f>
        <v/>
      </c>
      <c r="M534" s="64">
        <f>IF(tblMovement[[#This Row],[Material]]="","",IF(LEFT(tblMovement[[#This Row],[Material]],3)="Ore",1,0))</f>
        <v/>
      </c>
      <c r="N534" s="59">
        <f>IF(OR(tblMovement[[#This Row],[Tonnes_t]]="",tblMovement[[#This Row],[Grade_gpt]]=""),0,tblMovement[[#This Row],[Tonnes_t]]*tblMovement[[#This Row],[Grade_gpt]]/cfg_TroyOz)</f>
        <v/>
      </c>
      <c r="O534" s="59">
        <f>IF(tblMovement[[#This Row],[Is_Ore]]=1,tblMovement[[#This Row],[Contained_oz]],0)</f>
        <v/>
      </c>
    </row>
    <row r="535">
      <c r="A535" s="54" t="n"/>
      <c r="B535" s="61" t="n"/>
      <c r="C535" s="61" t="n"/>
      <c r="D535" s="61" t="n"/>
      <c r="E535" s="61" t="n"/>
      <c r="F535" s="55" t="n"/>
      <c r="G535" s="56" t="n"/>
      <c r="H535" s="55" t="n"/>
      <c r="I535" s="62" t="n"/>
      <c r="J535" s="58" t="n"/>
      <c r="K535" s="63">
        <f>IF(tblMovement[[#This Row],[Source]]="","",IFERROR(INDEX(tblSources[Type],MATCH(tblMovement[[#This Row],[Source]],tblSources[Source],0)),"?"))</f>
        <v/>
      </c>
      <c r="L535" s="63">
        <f>IF(tblMovement[[#This Row],[Destination]]="","",IFERROR(INDEX(tblDestinations[Type],MATCH(tblMovement[[#This Row],[Destination]],tblDestinations[Destination],0)),"?"))</f>
        <v/>
      </c>
      <c r="M535" s="64">
        <f>IF(tblMovement[[#This Row],[Material]]="","",IF(LEFT(tblMovement[[#This Row],[Material]],3)="Ore",1,0))</f>
        <v/>
      </c>
      <c r="N535" s="59">
        <f>IF(OR(tblMovement[[#This Row],[Tonnes_t]]="",tblMovement[[#This Row],[Grade_gpt]]=""),0,tblMovement[[#This Row],[Tonnes_t]]*tblMovement[[#This Row],[Grade_gpt]]/cfg_TroyOz)</f>
        <v/>
      </c>
      <c r="O535" s="59">
        <f>IF(tblMovement[[#This Row],[Is_Ore]]=1,tblMovement[[#This Row],[Contained_oz]],0)</f>
        <v/>
      </c>
    </row>
    <row r="536">
      <c r="A536" s="54" t="n"/>
      <c r="B536" s="61" t="n"/>
      <c r="C536" s="61" t="n"/>
      <c r="D536" s="61" t="n"/>
      <c r="E536" s="61" t="n"/>
      <c r="F536" s="55" t="n"/>
      <c r="G536" s="56" t="n"/>
      <c r="H536" s="55" t="n"/>
      <c r="I536" s="62" t="n"/>
      <c r="J536" s="58" t="n"/>
      <c r="K536" s="63">
        <f>IF(tblMovement[[#This Row],[Source]]="","",IFERROR(INDEX(tblSources[Type],MATCH(tblMovement[[#This Row],[Source]],tblSources[Source],0)),"?"))</f>
        <v/>
      </c>
      <c r="L536" s="63">
        <f>IF(tblMovement[[#This Row],[Destination]]="","",IFERROR(INDEX(tblDestinations[Type],MATCH(tblMovement[[#This Row],[Destination]],tblDestinations[Destination],0)),"?"))</f>
        <v/>
      </c>
      <c r="M536" s="64">
        <f>IF(tblMovement[[#This Row],[Material]]="","",IF(LEFT(tblMovement[[#This Row],[Material]],3)="Ore",1,0))</f>
        <v/>
      </c>
      <c r="N536" s="59">
        <f>IF(OR(tblMovement[[#This Row],[Tonnes_t]]="",tblMovement[[#This Row],[Grade_gpt]]=""),0,tblMovement[[#This Row],[Tonnes_t]]*tblMovement[[#This Row],[Grade_gpt]]/cfg_TroyOz)</f>
        <v/>
      </c>
      <c r="O536" s="59">
        <f>IF(tblMovement[[#This Row],[Is_Ore]]=1,tblMovement[[#This Row],[Contained_oz]],0)</f>
        <v/>
      </c>
    </row>
    <row r="537">
      <c r="A537" s="54" t="n"/>
      <c r="B537" s="61" t="n"/>
      <c r="C537" s="61" t="n"/>
      <c r="D537" s="61" t="n"/>
      <c r="E537" s="61" t="n"/>
      <c r="F537" s="55" t="n"/>
      <c r="G537" s="56" t="n"/>
      <c r="H537" s="55" t="n"/>
      <c r="I537" s="62" t="n"/>
      <c r="J537" s="58" t="n"/>
      <c r="K537" s="63">
        <f>IF(tblMovement[[#This Row],[Source]]="","",IFERROR(INDEX(tblSources[Type],MATCH(tblMovement[[#This Row],[Source]],tblSources[Source],0)),"?"))</f>
        <v/>
      </c>
      <c r="L537" s="63">
        <f>IF(tblMovement[[#This Row],[Destination]]="","",IFERROR(INDEX(tblDestinations[Type],MATCH(tblMovement[[#This Row],[Destination]],tblDestinations[Destination],0)),"?"))</f>
        <v/>
      </c>
      <c r="M537" s="64">
        <f>IF(tblMovement[[#This Row],[Material]]="","",IF(LEFT(tblMovement[[#This Row],[Material]],3)="Ore",1,0))</f>
        <v/>
      </c>
      <c r="N537" s="59">
        <f>IF(OR(tblMovement[[#This Row],[Tonnes_t]]="",tblMovement[[#This Row],[Grade_gpt]]=""),0,tblMovement[[#This Row],[Tonnes_t]]*tblMovement[[#This Row],[Grade_gpt]]/cfg_TroyOz)</f>
        <v/>
      </c>
      <c r="O537" s="59">
        <f>IF(tblMovement[[#This Row],[Is_Ore]]=1,tblMovement[[#This Row],[Contained_oz]],0)</f>
        <v/>
      </c>
    </row>
    <row r="538">
      <c r="A538" s="54" t="n"/>
      <c r="B538" s="61" t="n"/>
      <c r="C538" s="61" t="n"/>
      <c r="D538" s="61" t="n"/>
      <c r="E538" s="61" t="n"/>
      <c r="F538" s="55" t="n"/>
      <c r="G538" s="56" t="n"/>
      <c r="H538" s="55" t="n"/>
      <c r="I538" s="62" t="n"/>
      <c r="J538" s="58" t="n"/>
      <c r="K538" s="63">
        <f>IF(tblMovement[[#This Row],[Source]]="","",IFERROR(INDEX(tblSources[Type],MATCH(tblMovement[[#This Row],[Source]],tblSources[Source],0)),"?"))</f>
        <v/>
      </c>
      <c r="L538" s="63">
        <f>IF(tblMovement[[#This Row],[Destination]]="","",IFERROR(INDEX(tblDestinations[Type],MATCH(tblMovement[[#This Row],[Destination]],tblDestinations[Destination],0)),"?"))</f>
        <v/>
      </c>
      <c r="M538" s="64">
        <f>IF(tblMovement[[#This Row],[Material]]="","",IF(LEFT(tblMovement[[#This Row],[Material]],3)="Ore",1,0))</f>
        <v/>
      </c>
      <c r="N538" s="59">
        <f>IF(OR(tblMovement[[#This Row],[Tonnes_t]]="",tblMovement[[#This Row],[Grade_gpt]]=""),0,tblMovement[[#This Row],[Tonnes_t]]*tblMovement[[#This Row],[Grade_gpt]]/cfg_TroyOz)</f>
        <v/>
      </c>
      <c r="O538" s="59">
        <f>IF(tblMovement[[#This Row],[Is_Ore]]=1,tblMovement[[#This Row],[Contained_oz]],0)</f>
        <v/>
      </c>
    </row>
    <row r="539">
      <c r="A539" s="54" t="n"/>
      <c r="B539" s="61" t="n"/>
      <c r="C539" s="61" t="n"/>
      <c r="D539" s="61" t="n"/>
      <c r="E539" s="61" t="n"/>
      <c r="F539" s="55" t="n"/>
      <c r="G539" s="56" t="n"/>
      <c r="H539" s="55" t="n"/>
      <c r="I539" s="62" t="n"/>
      <c r="J539" s="58" t="n"/>
      <c r="K539" s="63">
        <f>IF(tblMovement[[#This Row],[Source]]="","",IFERROR(INDEX(tblSources[Type],MATCH(tblMovement[[#This Row],[Source]],tblSources[Source],0)),"?"))</f>
        <v/>
      </c>
      <c r="L539" s="63">
        <f>IF(tblMovement[[#This Row],[Destination]]="","",IFERROR(INDEX(tblDestinations[Type],MATCH(tblMovement[[#This Row],[Destination]],tblDestinations[Destination],0)),"?"))</f>
        <v/>
      </c>
      <c r="M539" s="64">
        <f>IF(tblMovement[[#This Row],[Material]]="","",IF(LEFT(tblMovement[[#This Row],[Material]],3)="Ore",1,0))</f>
        <v/>
      </c>
      <c r="N539" s="59">
        <f>IF(OR(tblMovement[[#This Row],[Tonnes_t]]="",tblMovement[[#This Row],[Grade_gpt]]=""),0,tblMovement[[#This Row],[Tonnes_t]]*tblMovement[[#This Row],[Grade_gpt]]/cfg_TroyOz)</f>
        <v/>
      </c>
      <c r="O539" s="59">
        <f>IF(tblMovement[[#This Row],[Is_Ore]]=1,tblMovement[[#This Row],[Contained_oz]],0)</f>
        <v/>
      </c>
    </row>
    <row r="540">
      <c r="A540" s="54" t="n"/>
      <c r="B540" s="61" t="n"/>
      <c r="C540" s="61" t="n"/>
      <c r="D540" s="61" t="n"/>
      <c r="E540" s="61" t="n"/>
      <c r="F540" s="55" t="n"/>
      <c r="G540" s="56" t="n"/>
      <c r="H540" s="55" t="n"/>
      <c r="I540" s="62" t="n"/>
      <c r="J540" s="58" t="n"/>
      <c r="K540" s="63">
        <f>IF(tblMovement[[#This Row],[Source]]="","",IFERROR(INDEX(tblSources[Type],MATCH(tblMovement[[#This Row],[Source]],tblSources[Source],0)),"?"))</f>
        <v/>
      </c>
      <c r="L540" s="63">
        <f>IF(tblMovement[[#This Row],[Destination]]="","",IFERROR(INDEX(tblDestinations[Type],MATCH(tblMovement[[#This Row],[Destination]],tblDestinations[Destination],0)),"?"))</f>
        <v/>
      </c>
      <c r="M540" s="64">
        <f>IF(tblMovement[[#This Row],[Material]]="","",IF(LEFT(tblMovement[[#This Row],[Material]],3)="Ore",1,0))</f>
        <v/>
      </c>
      <c r="N540" s="59">
        <f>IF(OR(tblMovement[[#This Row],[Tonnes_t]]="",tblMovement[[#This Row],[Grade_gpt]]=""),0,tblMovement[[#This Row],[Tonnes_t]]*tblMovement[[#This Row],[Grade_gpt]]/cfg_TroyOz)</f>
        <v/>
      </c>
      <c r="O540" s="59">
        <f>IF(tblMovement[[#This Row],[Is_Ore]]=1,tblMovement[[#This Row],[Contained_oz]],0)</f>
        <v/>
      </c>
    </row>
    <row r="541">
      <c r="A541" s="54" t="n"/>
      <c r="B541" s="61" t="n"/>
      <c r="C541" s="61" t="n"/>
      <c r="D541" s="61" t="n"/>
      <c r="E541" s="61" t="n"/>
      <c r="F541" s="55" t="n"/>
      <c r="G541" s="56" t="n"/>
      <c r="H541" s="55" t="n"/>
      <c r="I541" s="62" t="n"/>
      <c r="J541" s="58" t="n"/>
      <c r="K541" s="63">
        <f>IF(tblMovement[[#This Row],[Source]]="","",IFERROR(INDEX(tblSources[Type],MATCH(tblMovement[[#This Row],[Source]],tblSources[Source],0)),"?"))</f>
        <v/>
      </c>
      <c r="L541" s="63">
        <f>IF(tblMovement[[#This Row],[Destination]]="","",IFERROR(INDEX(tblDestinations[Type],MATCH(tblMovement[[#This Row],[Destination]],tblDestinations[Destination],0)),"?"))</f>
        <v/>
      </c>
      <c r="M541" s="64">
        <f>IF(tblMovement[[#This Row],[Material]]="","",IF(LEFT(tblMovement[[#This Row],[Material]],3)="Ore",1,0))</f>
        <v/>
      </c>
      <c r="N541" s="59">
        <f>IF(OR(tblMovement[[#This Row],[Tonnes_t]]="",tblMovement[[#This Row],[Grade_gpt]]=""),0,tblMovement[[#This Row],[Tonnes_t]]*tblMovement[[#This Row],[Grade_gpt]]/cfg_TroyOz)</f>
        <v/>
      </c>
      <c r="O541" s="59">
        <f>IF(tblMovement[[#This Row],[Is_Ore]]=1,tblMovement[[#This Row],[Contained_oz]],0)</f>
        <v/>
      </c>
    </row>
    <row r="542">
      <c r="A542" s="54" t="n"/>
      <c r="B542" s="61" t="n"/>
      <c r="C542" s="61" t="n"/>
      <c r="D542" s="61" t="n"/>
      <c r="E542" s="61" t="n"/>
      <c r="F542" s="55" t="n"/>
      <c r="G542" s="56" t="n"/>
      <c r="H542" s="55" t="n"/>
      <c r="I542" s="62" t="n"/>
      <c r="J542" s="58" t="n"/>
      <c r="K542" s="63">
        <f>IF(tblMovement[[#This Row],[Source]]="","",IFERROR(INDEX(tblSources[Type],MATCH(tblMovement[[#This Row],[Source]],tblSources[Source],0)),"?"))</f>
        <v/>
      </c>
      <c r="L542" s="63">
        <f>IF(tblMovement[[#This Row],[Destination]]="","",IFERROR(INDEX(tblDestinations[Type],MATCH(tblMovement[[#This Row],[Destination]],tblDestinations[Destination],0)),"?"))</f>
        <v/>
      </c>
      <c r="M542" s="64">
        <f>IF(tblMovement[[#This Row],[Material]]="","",IF(LEFT(tblMovement[[#This Row],[Material]],3)="Ore",1,0))</f>
        <v/>
      </c>
      <c r="N542" s="59">
        <f>IF(OR(tblMovement[[#This Row],[Tonnes_t]]="",tblMovement[[#This Row],[Grade_gpt]]=""),0,tblMovement[[#This Row],[Tonnes_t]]*tblMovement[[#This Row],[Grade_gpt]]/cfg_TroyOz)</f>
        <v/>
      </c>
      <c r="O542" s="59">
        <f>IF(tblMovement[[#This Row],[Is_Ore]]=1,tblMovement[[#This Row],[Contained_oz]],0)</f>
        <v/>
      </c>
    </row>
    <row r="543">
      <c r="A543" s="54" t="n"/>
      <c r="B543" s="61" t="n"/>
      <c r="C543" s="61" t="n"/>
      <c r="D543" s="61" t="n"/>
      <c r="E543" s="61" t="n"/>
      <c r="F543" s="55" t="n"/>
      <c r="G543" s="56" t="n"/>
      <c r="H543" s="55" t="n"/>
      <c r="I543" s="62" t="n"/>
      <c r="J543" s="58" t="n"/>
      <c r="K543" s="63">
        <f>IF(tblMovement[[#This Row],[Source]]="","",IFERROR(INDEX(tblSources[Type],MATCH(tblMovement[[#This Row],[Source]],tblSources[Source],0)),"?"))</f>
        <v/>
      </c>
      <c r="L543" s="63">
        <f>IF(tblMovement[[#This Row],[Destination]]="","",IFERROR(INDEX(tblDestinations[Type],MATCH(tblMovement[[#This Row],[Destination]],tblDestinations[Destination],0)),"?"))</f>
        <v/>
      </c>
      <c r="M543" s="64">
        <f>IF(tblMovement[[#This Row],[Material]]="","",IF(LEFT(tblMovement[[#This Row],[Material]],3)="Ore",1,0))</f>
        <v/>
      </c>
      <c r="N543" s="59">
        <f>IF(OR(tblMovement[[#This Row],[Tonnes_t]]="",tblMovement[[#This Row],[Grade_gpt]]=""),0,tblMovement[[#This Row],[Tonnes_t]]*tblMovement[[#This Row],[Grade_gpt]]/cfg_TroyOz)</f>
        <v/>
      </c>
      <c r="O543" s="59">
        <f>IF(tblMovement[[#This Row],[Is_Ore]]=1,tblMovement[[#This Row],[Contained_oz]],0)</f>
        <v/>
      </c>
    </row>
    <row r="544">
      <c r="A544" s="54" t="n"/>
      <c r="B544" s="61" t="n"/>
      <c r="C544" s="61" t="n"/>
      <c r="D544" s="61" t="n"/>
      <c r="E544" s="61" t="n"/>
      <c r="F544" s="55" t="n"/>
      <c r="G544" s="56" t="n"/>
      <c r="H544" s="55" t="n"/>
      <c r="I544" s="62" t="n"/>
      <c r="J544" s="58" t="n"/>
      <c r="K544" s="63">
        <f>IF(tblMovement[[#This Row],[Source]]="","",IFERROR(INDEX(tblSources[Type],MATCH(tblMovement[[#This Row],[Source]],tblSources[Source],0)),"?"))</f>
        <v/>
      </c>
      <c r="L544" s="63">
        <f>IF(tblMovement[[#This Row],[Destination]]="","",IFERROR(INDEX(tblDestinations[Type],MATCH(tblMovement[[#This Row],[Destination]],tblDestinations[Destination],0)),"?"))</f>
        <v/>
      </c>
      <c r="M544" s="64">
        <f>IF(tblMovement[[#This Row],[Material]]="","",IF(LEFT(tblMovement[[#This Row],[Material]],3)="Ore",1,0))</f>
        <v/>
      </c>
      <c r="N544" s="59">
        <f>IF(OR(tblMovement[[#This Row],[Tonnes_t]]="",tblMovement[[#This Row],[Grade_gpt]]=""),0,tblMovement[[#This Row],[Tonnes_t]]*tblMovement[[#This Row],[Grade_gpt]]/cfg_TroyOz)</f>
        <v/>
      </c>
      <c r="O544" s="59">
        <f>IF(tblMovement[[#This Row],[Is_Ore]]=1,tblMovement[[#This Row],[Contained_oz]],0)</f>
        <v/>
      </c>
    </row>
    <row r="545">
      <c r="A545" s="54" t="n"/>
      <c r="B545" s="61" t="n"/>
      <c r="C545" s="61" t="n"/>
      <c r="D545" s="61" t="n"/>
      <c r="E545" s="61" t="n"/>
      <c r="F545" s="55" t="n"/>
      <c r="G545" s="56" t="n"/>
      <c r="H545" s="55" t="n"/>
      <c r="I545" s="62" t="n"/>
      <c r="J545" s="58" t="n"/>
      <c r="K545" s="63">
        <f>IF(tblMovement[[#This Row],[Source]]="","",IFERROR(INDEX(tblSources[Type],MATCH(tblMovement[[#This Row],[Source]],tblSources[Source],0)),"?"))</f>
        <v/>
      </c>
      <c r="L545" s="63">
        <f>IF(tblMovement[[#This Row],[Destination]]="","",IFERROR(INDEX(tblDestinations[Type],MATCH(tblMovement[[#This Row],[Destination]],tblDestinations[Destination],0)),"?"))</f>
        <v/>
      </c>
      <c r="M545" s="64">
        <f>IF(tblMovement[[#This Row],[Material]]="","",IF(LEFT(tblMovement[[#This Row],[Material]],3)="Ore",1,0))</f>
        <v/>
      </c>
      <c r="N545" s="59">
        <f>IF(OR(tblMovement[[#This Row],[Tonnes_t]]="",tblMovement[[#This Row],[Grade_gpt]]=""),0,tblMovement[[#This Row],[Tonnes_t]]*tblMovement[[#This Row],[Grade_gpt]]/cfg_TroyOz)</f>
        <v/>
      </c>
      <c r="O545" s="59">
        <f>IF(tblMovement[[#This Row],[Is_Ore]]=1,tblMovement[[#This Row],[Contained_oz]],0)</f>
        <v/>
      </c>
    </row>
    <row r="546">
      <c r="A546" s="54" t="n"/>
      <c r="B546" s="61" t="n"/>
      <c r="C546" s="61" t="n"/>
      <c r="D546" s="61" t="n"/>
      <c r="E546" s="61" t="n"/>
      <c r="F546" s="55" t="n"/>
      <c r="G546" s="56" t="n"/>
      <c r="H546" s="55" t="n"/>
      <c r="I546" s="62" t="n"/>
      <c r="J546" s="58" t="n"/>
      <c r="K546" s="63">
        <f>IF(tblMovement[[#This Row],[Source]]="","",IFERROR(INDEX(tblSources[Type],MATCH(tblMovement[[#This Row],[Source]],tblSources[Source],0)),"?"))</f>
        <v/>
      </c>
      <c r="L546" s="63">
        <f>IF(tblMovement[[#This Row],[Destination]]="","",IFERROR(INDEX(tblDestinations[Type],MATCH(tblMovement[[#This Row],[Destination]],tblDestinations[Destination],0)),"?"))</f>
        <v/>
      </c>
      <c r="M546" s="64">
        <f>IF(tblMovement[[#This Row],[Material]]="","",IF(LEFT(tblMovement[[#This Row],[Material]],3)="Ore",1,0))</f>
        <v/>
      </c>
      <c r="N546" s="59">
        <f>IF(OR(tblMovement[[#This Row],[Tonnes_t]]="",tblMovement[[#This Row],[Grade_gpt]]=""),0,tblMovement[[#This Row],[Tonnes_t]]*tblMovement[[#This Row],[Grade_gpt]]/cfg_TroyOz)</f>
        <v/>
      </c>
      <c r="O546" s="59">
        <f>IF(tblMovement[[#This Row],[Is_Ore]]=1,tblMovement[[#This Row],[Contained_oz]],0)</f>
        <v/>
      </c>
    </row>
    <row r="547">
      <c r="A547" s="54" t="n"/>
      <c r="B547" s="61" t="n"/>
      <c r="C547" s="61" t="n"/>
      <c r="D547" s="61" t="n"/>
      <c r="E547" s="61" t="n"/>
      <c r="F547" s="55" t="n"/>
      <c r="G547" s="56" t="n"/>
      <c r="H547" s="55" t="n"/>
      <c r="I547" s="62" t="n"/>
      <c r="J547" s="58" t="n"/>
      <c r="K547" s="63">
        <f>IF(tblMovement[[#This Row],[Source]]="","",IFERROR(INDEX(tblSources[Type],MATCH(tblMovement[[#This Row],[Source]],tblSources[Source],0)),"?"))</f>
        <v/>
      </c>
      <c r="L547" s="63">
        <f>IF(tblMovement[[#This Row],[Destination]]="","",IFERROR(INDEX(tblDestinations[Type],MATCH(tblMovement[[#This Row],[Destination]],tblDestinations[Destination],0)),"?"))</f>
        <v/>
      </c>
      <c r="M547" s="64">
        <f>IF(tblMovement[[#This Row],[Material]]="","",IF(LEFT(tblMovement[[#This Row],[Material]],3)="Ore",1,0))</f>
        <v/>
      </c>
      <c r="N547" s="59">
        <f>IF(OR(tblMovement[[#This Row],[Tonnes_t]]="",tblMovement[[#This Row],[Grade_gpt]]=""),0,tblMovement[[#This Row],[Tonnes_t]]*tblMovement[[#This Row],[Grade_gpt]]/cfg_TroyOz)</f>
        <v/>
      </c>
      <c r="O547" s="59">
        <f>IF(tblMovement[[#This Row],[Is_Ore]]=1,tblMovement[[#This Row],[Contained_oz]],0)</f>
        <v/>
      </c>
    </row>
    <row r="548">
      <c r="A548" s="54" t="n"/>
      <c r="B548" s="61" t="n"/>
      <c r="C548" s="61" t="n"/>
      <c r="D548" s="61" t="n"/>
      <c r="E548" s="61" t="n"/>
      <c r="F548" s="55" t="n"/>
      <c r="G548" s="56" t="n"/>
      <c r="H548" s="55" t="n"/>
      <c r="I548" s="62" t="n"/>
      <c r="J548" s="58" t="n"/>
      <c r="K548" s="63">
        <f>IF(tblMovement[[#This Row],[Source]]="","",IFERROR(INDEX(tblSources[Type],MATCH(tblMovement[[#This Row],[Source]],tblSources[Source],0)),"?"))</f>
        <v/>
      </c>
      <c r="L548" s="63">
        <f>IF(tblMovement[[#This Row],[Destination]]="","",IFERROR(INDEX(tblDestinations[Type],MATCH(tblMovement[[#This Row],[Destination]],tblDestinations[Destination],0)),"?"))</f>
        <v/>
      </c>
      <c r="M548" s="64">
        <f>IF(tblMovement[[#This Row],[Material]]="","",IF(LEFT(tblMovement[[#This Row],[Material]],3)="Ore",1,0))</f>
        <v/>
      </c>
      <c r="N548" s="59">
        <f>IF(OR(tblMovement[[#This Row],[Tonnes_t]]="",tblMovement[[#This Row],[Grade_gpt]]=""),0,tblMovement[[#This Row],[Tonnes_t]]*tblMovement[[#This Row],[Grade_gpt]]/cfg_TroyOz)</f>
        <v/>
      </c>
      <c r="O548" s="59">
        <f>IF(tblMovement[[#This Row],[Is_Ore]]=1,tblMovement[[#This Row],[Contained_oz]],0)</f>
        <v/>
      </c>
    </row>
    <row r="549">
      <c r="A549" s="54" t="n"/>
      <c r="B549" s="61" t="n"/>
      <c r="C549" s="61" t="n"/>
      <c r="D549" s="61" t="n"/>
      <c r="E549" s="61" t="n"/>
      <c r="F549" s="55" t="n"/>
      <c r="G549" s="56" t="n"/>
      <c r="H549" s="55" t="n"/>
      <c r="I549" s="62" t="n"/>
      <c r="J549" s="58" t="n"/>
      <c r="K549" s="63">
        <f>IF(tblMovement[[#This Row],[Source]]="","",IFERROR(INDEX(tblSources[Type],MATCH(tblMovement[[#This Row],[Source]],tblSources[Source],0)),"?"))</f>
        <v/>
      </c>
      <c r="L549" s="63">
        <f>IF(tblMovement[[#This Row],[Destination]]="","",IFERROR(INDEX(tblDestinations[Type],MATCH(tblMovement[[#This Row],[Destination]],tblDestinations[Destination],0)),"?"))</f>
        <v/>
      </c>
      <c r="M549" s="64">
        <f>IF(tblMovement[[#This Row],[Material]]="","",IF(LEFT(tblMovement[[#This Row],[Material]],3)="Ore",1,0))</f>
        <v/>
      </c>
      <c r="N549" s="59">
        <f>IF(OR(tblMovement[[#This Row],[Tonnes_t]]="",tblMovement[[#This Row],[Grade_gpt]]=""),0,tblMovement[[#This Row],[Tonnes_t]]*tblMovement[[#This Row],[Grade_gpt]]/cfg_TroyOz)</f>
        <v/>
      </c>
      <c r="O549" s="59">
        <f>IF(tblMovement[[#This Row],[Is_Ore]]=1,tblMovement[[#This Row],[Contained_oz]],0)</f>
        <v/>
      </c>
    </row>
    <row r="550">
      <c r="A550" s="54" t="n"/>
      <c r="B550" s="61" t="n"/>
      <c r="C550" s="61" t="n"/>
      <c r="D550" s="61" t="n"/>
      <c r="E550" s="61" t="n"/>
      <c r="F550" s="55" t="n"/>
      <c r="G550" s="56" t="n"/>
      <c r="H550" s="55" t="n"/>
      <c r="I550" s="62" t="n"/>
      <c r="J550" s="58" t="n"/>
      <c r="K550" s="63">
        <f>IF(tblMovement[[#This Row],[Source]]="","",IFERROR(INDEX(tblSources[Type],MATCH(tblMovement[[#This Row],[Source]],tblSources[Source],0)),"?"))</f>
        <v/>
      </c>
      <c r="L550" s="63">
        <f>IF(tblMovement[[#This Row],[Destination]]="","",IFERROR(INDEX(tblDestinations[Type],MATCH(tblMovement[[#This Row],[Destination]],tblDestinations[Destination],0)),"?"))</f>
        <v/>
      </c>
      <c r="M550" s="64">
        <f>IF(tblMovement[[#This Row],[Material]]="","",IF(LEFT(tblMovement[[#This Row],[Material]],3)="Ore",1,0))</f>
        <v/>
      </c>
      <c r="N550" s="59">
        <f>IF(OR(tblMovement[[#This Row],[Tonnes_t]]="",tblMovement[[#This Row],[Grade_gpt]]=""),0,tblMovement[[#This Row],[Tonnes_t]]*tblMovement[[#This Row],[Grade_gpt]]/cfg_TroyOz)</f>
        <v/>
      </c>
      <c r="O550" s="59">
        <f>IF(tblMovement[[#This Row],[Is_Ore]]=1,tblMovement[[#This Row],[Contained_oz]],0)</f>
        <v/>
      </c>
    </row>
    <row r="551">
      <c r="A551" s="54" t="n"/>
      <c r="B551" s="61" t="n"/>
      <c r="C551" s="61" t="n"/>
      <c r="D551" s="61" t="n"/>
      <c r="E551" s="61" t="n"/>
      <c r="F551" s="55" t="n"/>
      <c r="G551" s="56" t="n"/>
      <c r="H551" s="55" t="n"/>
      <c r="I551" s="62" t="n"/>
      <c r="J551" s="58" t="n"/>
      <c r="K551" s="63">
        <f>IF(tblMovement[[#This Row],[Source]]="","",IFERROR(INDEX(tblSources[Type],MATCH(tblMovement[[#This Row],[Source]],tblSources[Source],0)),"?"))</f>
        <v/>
      </c>
      <c r="L551" s="63">
        <f>IF(tblMovement[[#This Row],[Destination]]="","",IFERROR(INDEX(tblDestinations[Type],MATCH(tblMovement[[#This Row],[Destination]],tblDestinations[Destination],0)),"?"))</f>
        <v/>
      </c>
      <c r="M551" s="64">
        <f>IF(tblMovement[[#This Row],[Material]]="","",IF(LEFT(tblMovement[[#This Row],[Material]],3)="Ore",1,0))</f>
        <v/>
      </c>
      <c r="N551" s="59">
        <f>IF(OR(tblMovement[[#This Row],[Tonnes_t]]="",tblMovement[[#This Row],[Grade_gpt]]=""),0,tblMovement[[#This Row],[Tonnes_t]]*tblMovement[[#This Row],[Grade_gpt]]/cfg_TroyOz)</f>
        <v/>
      </c>
      <c r="O551" s="59">
        <f>IF(tblMovement[[#This Row],[Is_Ore]]=1,tblMovement[[#This Row],[Contained_oz]],0)</f>
        <v/>
      </c>
    </row>
    <row r="552">
      <c r="A552" s="54" t="n"/>
      <c r="B552" s="61" t="n"/>
      <c r="C552" s="61" t="n"/>
      <c r="D552" s="61" t="n"/>
      <c r="E552" s="61" t="n"/>
      <c r="F552" s="55" t="n"/>
      <c r="G552" s="56" t="n"/>
      <c r="H552" s="55" t="n"/>
      <c r="I552" s="62" t="n"/>
      <c r="J552" s="58" t="n"/>
      <c r="K552" s="63">
        <f>IF(tblMovement[[#This Row],[Source]]="","",IFERROR(INDEX(tblSources[Type],MATCH(tblMovement[[#This Row],[Source]],tblSources[Source],0)),"?"))</f>
        <v/>
      </c>
      <c r="L552" s="63">
        <f>IF(tblMovement[[#This Row],[Destination]]="","",IFERROR(INDEX(tblDestinations[Type],MATCH(tblMovement[[#This Row],[Destination]],tblDestinations[Destination],0)),"?"))</f>
        <v/>
      </c>
      <c r="M552" s="64">
        <f>IF(tblMovement[[#This Row],[Material]]="","",IF(LEFT(tblMovement[[#This Row],[Material]],3)="Ore",1,0))</f>
        <v/>
      </c>
      <c r="N552" s="59">
        <f>IF(OR(tblMovement[[#This Row],[Tonnes_t]]="",tblMovement[[#This Row],[Grade_gpt]]=""),0,tblMovement[[#This Row],[Tonnes_t]]*tblMovement[[#This Row],[Grade_gpt]]/cfg_TroyOz)</f>
        <v/>
      </c>
      <c r="O552" s="59">
        <f>IF(tblMovement[[#This Row],[Is_Ore]]=1,tblMovement[[#This Row],[Contained_oz]],0)</f>
        <v/>
      </c>
    </row>
    <row r="553">
      <c r="A553" s="54" t="n"/>
      <c r="B553" s="61" t="n"/>
      <c r="C553" s="61" t="n"/>
      <c r="D553" s="61" t="n"/>
      <c r="E553" s="61" t="n"/>
      <c r="F553" s="55" t="n"/>
      <c r="G553" s="56" t="n"/>
      <c r="H553" s="55" t="n"/>
      <c r="I553" s="62" t="n"/>
      <c r="J553" s="58" t="n"/>
      <c r="K553" s="63">
        <f>IF(tblMovement[[#This Row],[Source]]="","",IFERROR(INDEX(tblSources[Type],MATCH(tblMovement[[#This Row],[Source]],tblSources[Source],0)),"?"))</f>
        <v/>
      </c>
      <c r="L553" s="63">
        <f>IF(tblMovement[[#This Row],[Destination]]="","",IFERROR(INDEX(tblDestinations[Type],MATCH(tblMovement[[#This Row],[Destination]],tblDestinations[Destination],0)),"?"))</f>
        <v/>
      </c>
      <c r="M553" s="64">
        <f>IF(tblMovement[[#This Row],[Material]]="","",IF(LEFT(tblMovement[[#This Row],[Material]],3)="Ore",1,0))</f>
        <v/>
      </c>
      <c r="N553" s="59">
        <f>IF(OR(tblMovement[[#This Row],[Tonnes_t]]="",tblMovement[[#This Row],[Grade_gpt]]=""),0,tblMovement[[#This Row],[Tonnes_t]]*tblMovement[[#This Row],[Grade_gpt]]/cfg_TroyOz)</f>
        <v/>
      </c>
      <c r="O553" s="59">
        <f>IF(tblMovement[[#This Row],[Is_Ore]]=1,tblMovement[[#This Row],[Contained_oz]],0)</f>
        <v/>
      </c>
    </row>
    <row r="554">
      <c r="A554" s="54" t="n"/>
      <c r="B554" s="61" t="n"/>
      <c r="C554" s="61" t="n"/>
      <c r="D554" s="61" t="n"/>
      <c r="E554" s="61" t="n"/>
      <c r="F554" s="55" t="n"/>
      <c r="G554" s="56" t="n"/>
      <c r="H554" s="55" t="n"/>
      <c r="I554" s="62" t="n"/>
      <c r="J554" s="58" t="n"/>
      <c r="K554" s="63">
        <f>IF(tblMovement[[#This Row],[Source]]="","",IFERROR(INDEX(tblSources[Type],MATCH(tblMovement[[#This Row],[Source]],tblSources[Source],0)),"?"))</f>
        <v/>
      </c>
      <c r="L554" s="63">
        <f>IF(tblMovement[[#This Row],[Destination]]="","",IFERROR(INDEX(tblDestinations[Type],MATCH(tblMovement[[#This Row],[Destination]],tblDestinations[Destination],0)),"?"))</f>
        <v/>
      </c>
      <c r="M554" s="64">
        <f>IF(tblMovement[[#This Row],[Material]]="","",IF(LEFT(tblMovement[[#This Row],[Material]],3)="Ore",1,0))</f>
        <v/>
      </c>
      <c r="N554" s="59">
        <f>IF(OR(tblMovement[[#This Row],[Tonnes_t]]="",tblMovement[[#This Row],[Grade_gpt]]=""),0,tblMovement[[#This Row],[Tonnes_t]]*tblMovement[[#This Row],[Grade_gpt]]/cfg_TroyOz)</f>
        <v/>
      </c>
      <c r="O554" s="59">
        <f>IF(tblMovement[[#This Row],[Is_Ore]]=1,tblMovement[[#This Row],[Contained_oz]],0)</f>
        <v/>
      </c>
    </row>
    <row r="555">
      <c r="A555" s="54" t="n"/>
      <c r="B555" s="61" t="n"/>
      <c r="C555" s="61" t="n"/>
      <c r="D555" s="61" t="n"/>
      <c r="E555" s="61" t="n"/>
      <c r="F555" s="55" t="n"/>
      <c r="G555" s="56" t="n"/>
      <c r="H555" s="55" t="n"/>
      <c r="I555" s="62" t="n"/>
      <c r="J555" s="58" t="n"/>
      <c r="K555" s="63">
        <f>IF(tblMovement[[#This Row],[Source]]="","",IFERROR(INDEX(tblSources[Type],MATCH(tblMovement[[#This Row],[Source]],tblSources[Source],0)),"?"))</f>
        <v/>
      </c>
      <c r="L555" s="63">
        <f>IF(tblMovement[[#This Row],[Destination]]="","",IFERROR(INDEX(tblDestinations[Type],MATCH(tblMovement[[#This Row],[Destination]],tblDestinations[Destination],0)),"?"))</f>
        <v/>
      </c>
      <c r="M555" s="64">
        <f>IF(tblMovement[[#This Row],[Material]]="","",IF(LEFT(tblMovement[[#This Row],[Material]],3)="Ore",1,0))</f>
        <v/>
      </c>
      <c r="N555" s="59">
        <f>IF(OR(tblMovement[[#This Row],[Tonnes_t]]="",tblMovement[[#This Row],[Grade_gpt]]=""),0,tblMovement[[#This Row],[Tonnes_t]]*tblMovement[[#This Row],[Grade_gpt]]/cfg_TroyOz)</f>
        <v/>
      </c>
      <c r="O555" s="59">
        <f>IF(tblMovement[[#This Row],[Is_Ore]]=1,tblMovement[[#This Row],[Contained_oz]],0)</f>
        <v/>
      </c>
    </row>
    <row r="556">
      <c r="A556" s="54" t="n"/>
      <c r="B556" s="61" t="n"/>
      <c r="C556" s="61" t="n"/>
      <c r="D556" s="61" t="n"/>
      <c r="E556" s="61" t="n"/>
      <c r="F556" s="55" t="n"/>
      <c r="G556" s="56" t="n"/>
      <c r="H556" s="55" t="n"/>
      <c r="I556" s="62" t="n"/>
      <c r="J556" s="58" t="n"/>
      <c r="K556" s="63">
        <f>IF(tblMovement[[#This Row],[Source]]="","",IFERROR(INDEX(tblSources[Type],MATCH(tblMovement[[#This Row],[Source]],tblSources[Source],0)),"?"))</f>
        <v/>
      </c>
      <c r="L556" s="63">
        <f>IF(tblMovement[[#This Row],[Destination]]="","",IFERROR(INDEX(tblDestinations[Type],MATCH(tblMovement[[#This Row],[Destination]],tblDestinations[Destination],0)),"?"))</f>
        <v/>
      </c>
      <c r="M556" s="64">
        <f>IF(tblMovement[[#This Row],[Material]]="","",IF(LEFT(tblMovement[[#This Row],[Material]],3)="Ore",1,0))</f>
        <v/>
      </c>
      <c r="N556" s="59">
        <f>IF(OR(tblMovement[[#This Row],[Tonnes_t]]="",tblMovement[[#This Row],[Grade_gpt]]=""),0,tblMovement[[#This Row],[Tonnes_t]]*tblMovement[[#This Row],[Grade_gpt]]/cfg_TroyOz)</f>
        <v/>
      </c>
      <c r="O556" s="59">
        <f>IF(tblMovement[[#This Row],[Is_Ore]]=1,tblMovement[[#This Row],[Contained_oz]],0)</f>
        <v/>
      </c>
    </row>
    <row r="557">
      <c r="A557" s="54" t="n"/>
      <c r="B557" s="61" t="n"/>
      <c r="C557" s="61" t="n"/>
      <c r="D557" s="61" t="n"/>
      <c r="E557" s="61" t="n"/>
      <c r="F557" s="55" t="n"/>
      <c r="G557" s="56" t="n"/>
      <c r="H557" s="55" t="n"/>
      <c r="I557" s="62" t="n"/>
      <c r="J557" s="58" t="n"/>
      <c r="K557" s="63">
        <f>IF(tblMovement[[#This Row],[Source]]="","",IFERROR(INDEX(tblSources[Type],MATCH(tblMovement[[#This Row],[Source]],tblSources[Source],0)),"?"))</f>
        <v/>
      </c>
      <c r="L557" s="63">
        <f>IF(tblMovement[[#This Row],[Destination]]="","",IFERROR(INDEX(tblDestinations[Type],MATCH(tblMovement[[#This Row],[Destination]],tblDestinations[Destination],0)),"?"))</f>
        <v/>
      </c>
      <c r="M557" s="64">
        <f>IF(tblMovement[[#This Row],[Material]]="","",IF(LEFT(tblMovement[[#This Row],[Material]],3)="Ore",1,0))</f>
        <v/>
      </c>
      <c r="N557" s="59">
        <f>IF(OR(tblMovement[[#This Row],[Tonnes_t]]="",tblMovement[[#This Row],[Grade_gpt]]=""),0,tblMovement[[#This Row],[Tonnes_t]]*tblMovement[[#This Row],[Grade_gpt]]/cfg_TroyOz)</f>
        <v/>
      </c>
      <c r="O557" s="59">
        <f>IF(tblMovement[[#This Row],[Is_Ore]]=1,tblMovement[[#This Row],[Contained_oz]],0)</f>
        <v/>
      </c>
    </row>
    <row r="558">
      <c r="A558" s="54" t="n"/>
      <c r="B558" s="61" t="n"/>
      <c r="C558" s="61" t="n"/>
      <c r="D558" s="61" t="n"/>
      <c r="E558" s="61" t="n"/>
      <c r="F558" s="55" t="n"/>
      <c r="G558" s="56" t="n"/>
      <c r="H558" s="55" t="n"/>
      <c r="I558" s="62" t="n"/>
      <c r="J558" s="58" t="n"/>
      <c r="K558" s="63">
        <f>IF(tblMovement[[#This Row],[Source]]="","",IFERROR(INDEX(tblSources[Type],MATCH(tblMovement[[#This Row],[Source]],tblSources[Source],0)),"?"))</f>
        <v/>
      </c>
      <c r="L558" s="63">
        <f>IF(tblMovement[[#This Row],[Destination]]="","",IFERROR(INDEX(tblDestinations[Type],MATCH(tblMovement[[#This Row],[Destination]],tblDestinations[Destination],0)),"?"))</f>
        <v/>
      </c>
      <c r="M558" s="64">
        <f>IF(tblMovement[[#This Row],[Material]]="","",IF(LEFT(tblMovement[[#This Row],[Material]],3)="Ore",1,0))</f>
        <v/>
      </c>
      <c r="N558" s="59">
        <f>IF(OR(tblMovement[[#This Row],[Tonnes_t]]="",tblMovement[[#This Row],[Grade_gpt]]=""),0,tblMovement[[#This Row],[Tonnes_t]]*tblMovement[[#This Row],[Grade_gpt]]/cfg_TroyOz)</f>
        <v/>
      </c>
      <c r="O558" s="59">
        <f>IF(tblMovement[[#This Row],[Is_Ore]]=1,tblMovement[[#This Row],[Contained_oz]],0)</f>
        <v/>
      </c>
    </row>
    <row r="559">
      <c r="A559" s="54" t="n"/>
      <c r="B559" s="61" t="n"/>
      <c r="C559" s="61" t="n"/>
      <c r="D559" s="61" t="n"/>
      <c r="E559" s="61" t="n"/>
      <c r="F559" s="55" t="n"/>
      <c r="G559" s="56" t="n"/>
      <c r="H559" s="55" t="n"/>
      <c r="I559" s="62" t="n"/>
      <c r="J559" s="58" t="n"/>
      <c r="K559" s="63">
        <f>IF(tblMovement[[#This Row],[Source]]="","",IFERROR(INDEX(tblSources[Type],MATCH(tblMovement[[#This Row],[Source]],tblSources[Source],0)),"?"))</f>
        <v/>
      </c>
      <c r="L559" s="63">
        <f>IF(tblMovement[[#This Row],[Destination]]="","",IFERROR(INDEX(tblDestinations[Type],MATCH(tblMovement[[#This Row],[Destination]],tblDestinations[Destination],0)),"?"))</f>
        <v/>
      </c>
      <c r="M559" s="64">
        <f>IF(tblMovement[[#This Row],[Material]]="","",IF(LEFT(tblMovement[[#This Row],[Material]],3)="Ore",1,0))</f>
        <v/>
      </c>
      <c r="N559" s="59">
        <f>IF(OR(tblMovement[[#This Row],[Tonnes_t]]="",tblMovement[[#This Row],[Grade_gpt]]=""),0,tblMovement[[#This Row],[Tonnes_t]]*tblMovement[[#This Row],[Grade_gpt]]/cfg_TroyOz)</f>
        <v/>
      </c>
      <c r="O559" s="59">
        <f>IF(tblMovement[[#This Row],[Is_Ore]]=1,tblMovement[[#This Row],[Contained_oz]],0)</f>
        <v/>
      </c>
    </row>
    <row r="560">
      <c r="A560" s="54" t="n"/>
      <c r="B560" s="61" t="n"/>
      <c r="C560" s="61" t="n"/>
      <c r="D560" s="61" t="n"/>
      <c r="E560" s="61" t="n"/>
      <c r="F560" s="55" t="n"/>
      <c r="G560" s="56" t="n"/>
      <c r="H560" s="55" t="n"/>
      <c r="I560" s="62" t="n"/>
      <c r="J560" s="58" t="n"/>
      <c r="K560" s="63">
        <f>IF(tblMovement[[#This Row],[Source]]="","",IFERROR(INDEX(tblSources[Type],MATCH(tblMovement[[#This Row],[Source]],tblSources[Source],0)),"?"))</f>
        <v/>
      </c>
      <c r="L560" s="63">
        <f>IF(tblMovement[[#This Row],[Destination]]="","",IFERROR(INDEX(tblDestinations[Type],MATCH(tblMovement[[#This Row],[Destination]],tblDestinations[Destination],0)),"?"))</f>
        <v/>
      </c>
      <c r="M560" s="64">
        <f>IF(tblMovement[[#This Row],[Material]]="","",IF(LEFT(tblMovement[[#This Row],[Material]],3)="Ore",1,0))</f>
        <v/>
      </c>
      <c r="N560" s="59">
        <f>IF(OR(tblMovement[[#This Row],[Tonnes_t]]="",tblMovement[[#This Row],[Grade_gpt]]=""),0,tblMovement[[#This Row],[Tonnes_t]]*tblMovement[[#This Row],[Grade_gpt]]/cfg_TroyOz)</f>
        <v/>
      </c>
      <c r="O560" s="59">
        <f>IF(tblMovement[[#This Row],[Is_Ore]]=1,tblMovement[[#This Row],[Contained_oz]],0)</f>
        <v/>
      </c>
    </row>
    <row r="561">
      <c r="A561" s="54" t="n"/>
      <c r="B561" s="61" t="n"/>
      <c r="C561" s="61" t="n"/>
      <c r="D561" s="61" t="n"/>
      <c r="E561" s="61" t="n"/>
      <c r="F561" s="55" t="n"/>
      <c r="G561" s="56" t="n"/>
      <c r="H561" s="55" t="n"/>
      <c r="I561" s="62" t="n"/>
      <c r="J561" s="58" t="n"/>
      <c r="K561" s="63">
        <f>IF(tblMovement[[#This Row],[Source]]="","",IFERROR(INDEX(tblSources[Type],MATCH(tblMovement[[#This Row],[Source]],tblSources[Source],0)),"?"))</f>
        <v/>
      </c>
      <c r="L561" s="63">
        <f>IF(tblMovement[[#This Row],[Destination]]="","",IFERROR(INDEX(tblDestinations[Type],MATCH(tblMovement[[#This Row],[Destination]],tblDestinations[Destination],0)),"?"))</f>
        <v/>
      </c>
      <c r="M561" s="64">
        <f>IF(tblMovement[[#This Row],[Material]]="","",IF(LEFT(tblMovement[[#This Row],[Material]],3)="Ore",1,0))</f>
        <v/>
      </c>
      <c r="N561" s="59">
        <f>IF(OR(tblMovement[[#This Row],[Tonnes_t]]="",tblMovement[[#This Row],[Grade_gpt]]=""),0,tblMovement[[#This Row],[Tonnes_t]]*tblMovement[[#This Row],[Grade_gpt]]/cfg_TroyOz)</f>
        <v/>
      </c>
      <c r="O561" s="59">
        <f>IF(tblMovement[[#This Row],[Is_Ore]]=1,tblMovement[[#This Row],[Contained_oz]],0)</f>
        <v/>
      </c>
    </row>
    <row r="562">
      <c r="A562" s="54" t="n"/>
      <c r="B562" s="61" t="n"/>
      <c r="C562" s="61" t="n"/>
      <c r="D562" s="61" t="n"/>
      <c r="E562" s="61" t="n"/>
      <c r="F562" s="55" t="n"/>
      <c r="G562" s="56" t="n"/>
      <c r="H562" s="55" t="n"/>
      <c r="I562" s="62" t="n"/>
      <c r="J562" s="58" t="n"/>
      <c r="K562" s="63">
        <f>IF(tblMovement[[#This Row],[Source]]="","",IFERROR(INDEX(tblSources[Type],MATCH(tblMovement[[#This Row],[Source]],tblSources[Source],0)),"?"))</f>
        <v/>
      </c>
      <c r="L562" s="63">
        <f>IF(tblMovement[[#This Row],[Destination]]="","",IFERROR(INDEX(tblDestinations[Type],MATCH(tblMovement[[#This Row],[Destination]],tblDestinations[Destination],0)),"?"))</f>
        <v/>
      </c>
      <c r="M562" s="64">
        <f>IF(tblMovement[[#This Row],[Material]]="","",IF(LEFT(tblMovement[[#This Row],[Material]],3)="Ore",1,0))</f>
        <v/>
      </c>
      <c r="N562" s="59">
        <f>IF(OR(tblMovement[[#This Row],[Tonnes_t]]="",tblMovement[[#This Row],[Grade_gpt]]=""),0,tblMovement[[#This Row],[Tonnes_t]]*tblMovement[[#This Row],[Grade_gpt]]/cfg_TroyOz)</f>
        <v/>
      </c>
      <c r="O562" s="59">
        <f>IF(tblMovement[[#This Row],[Is_Ore]]=1,tblMovement[[#This Row],[Contained_oz]],0)</f>
        <v/>
      </c>
    </row>
    <row r="563">
      <c r="A563" s="54" t="n"/>
      <c r="B563" s="61" t="n"/>
      <c r="C563" s="61" t="n"/>
      <c r="D563" s="61" t="n"/>
      <c r="E563" s="61" t="n"/>
      <c r="F563" s="55" t="n"/>
      <c r="G563" s="56" t="n"/>
      <c r="H563" s="55" t="n"/>
      <c r="I563" s="62" t="n"/>
      <c r="J563" s="58" t="n"/>
      <c r="K563" s="63">
        <f>IF(tblMovement[[#This Row],[Source]]="","",IFERROR(INDEX(tblSources[Type],MATCH(tblMovement[[#This Row],[Source]],tblSources[Source],0)),"?"))</f>
        <v/>
      </c>
      <c r="L563" s="63">
        <f>IF(tblMovement[[#This Row],[Destination]]="","",IFERROR(INDEX(tblDestinations[Type],MATCH(tblMovement[[#This Row],[Destination]],tblDestinations[Destination],0)),"?"))</f>
        <v/>
      </c>
      <c r="M563" s="64">
        <f>IF(tblMovement[[#This Row],[Material]]="","",IF(LEFT(tblMovement[[#This Row],[Material]],3)="Ore",1,0))</f>
        <v/>
      </c>
      <c r="N563" s="59">
        <f>IF(OR(tblMovement[[#This Row],[Tonnes_t]]="",tblMovement[[#This Row],[Grade_gpt]]=""),0,tblMovement[[#This Row],[Tonnes_t]]*tblMovement[[#This Row],[Grade_gpt]]/cfg_TroyOz)</f>
        <v/>
      </c>
      <c r="O563" s="59">
        <f>IF(tblMovement[[#This Row],[Is_Ore]]=1,tblMovement[[#This Row],[Contained_oz]],0)</f>
        <v/>
      </c>
    </row>
    <row r="564">
      <c r="A564" s="54" t="n"/>
      <c r="B564" s="61" t="n"/>
      <c r="C564" s="61" t="n"/>
      <c r="D564" s="61" t="n"/>
      <c r="E564" s="61" t="n"/>
      <c r="F564" s="55" t="n"/>
      <c r="G564" s="56" t="n"/>
      <c r="H564" s="55" t="n"/>
      <c r="I564" s="62" t="n"/>
      <c r="J564" s="58" t="n"/>
      <c r="K564" s="63">
        <f>IF(tblMovement[[#This Row],[Source]]="","",IFERROR(INDEX(tblSources[Type],MATCH(tblMovement[[#This Row],[Source]],tblSources[Source],0)),"?"))</f>
        <v/>
      </c>
      <c r="L564" s="63">
        <f>IF(tblMovement[[#This Row],[Destination]]="","",IFERROR(INDEX(tblDestinations[Type],MATCH(tblMovement[[#This Row],[Destination]],tblDestinations[Destination],0)),"?"))</f>
        <v/>
      </c>
      <c r="M564" s="64">
        <f>IF(tblMovement[[#This Row],[Material]]="","",IF(LEFT(tblMovement[[#This Row],[Material]],3)="Ore",1,0))</f>
        <v/>
      </c>
      <c r="N564" s="59">
        <f>IF(OR(tblMovement[[#This Row],[Tonnes_t]]="",tblMovement[[#This Row],[Grade_gpt]]=""),0,tblMovement[[#This Row],[Tonnes_t]]*tblMovement[[#This Row],[Grade_gpt]]/cfg_TroyOz)</f>
        <v/>
      </c>
      <c r="O564" s="59">
        <f>IF(tblMovement[[#This Row],[Is_Ore]]=1,tblMovement[[#This Row],[Contained_oz]],0)</f>
        <v/>
      </c>
    </row>
    <row r="565">
      <c r="A565" s="54" t="n"/>
      <c r="B565" s="61" t="n"/>
      <c r="C565" s="61" t="n"/>
      <c r="D565" s="61" t="n"/>
      <c r="E565" s="61" t="n"/>
      <c r="F565" s="55" t="n"/>
      <c r="G565" s="56" t="n"/>
      <c r="H565" s="55" t="n"/>
      <c r="I565" s="62" t="n"/>
      <c r="J565" s="58" t="n"/>
      <c r="K565" s="63">
        <f>IF(tblMovement[[#This Row],[Source]]="","",IFERROR(INDEX(tblSources[Type],MATCH(tblMovement[[#This Row],[Source]],tblSources[Source],0)),"?"))</f>
        <v/>
      </c>
      <c r="L565" s="63">
        <f>IF(tblMovement[[#This Row],[Destination]]="","",IFERROR(INDEX(tblDestinations[Type],MATCH(tblMovement[[#This Row],[Destination]],tblDestinations[Destination],0)),"?"))</f>
        <v/>
      </c>
      <c r="M565" s="64">
        <f>IF(tblMovement[[#This Row],[Material]]="","",IF(LEFT(tblMovement[[#This Row],[Material]],3)="Ore",1,0))</f>
        <v/>
      </c>
      <c r="N565" s="59">
        <f>IF(OR(tblMovement[[#This Row],[Tonnes_t]]="",tblMovement[[#This Row],[Grade_gpt]]=""),0,tblMovement[[#This Row],[Tonnes_t]]*tblMovement[[#This Row],[Grade_gpt]]/cfg_TroyOz)</f>
        <v/>
      </c>
      <c r="O565" s="59">
        <f>IF(tblMovement[[#This Row],[Is_Ore]]=1,tblMovement[[#This Row],[Contained_oz]],0)</f>
        <v/>
      </c>
    </row>
    <row r="566">
      <c r="A566" s="54" t="n"/>
      <c r="B566" s="61" t="n"/>
      <c r="C566" s="61" t="n"/>
      <c r="D566" s="61" t="n"/>
      <c r="E566" s="61" t="n"/>
      <c r="F566" s="55" t="n"/>
      <c r="G566" s="56" t="n"/>
      <c r="H566" s="55" t="n"/>
      <c r="I566" s="62" t="n"/>
      <c r="J566" s="58" t="n"/>
      <c r="K566" s="63">
        <f>IF(tblMovement[[#This Row],[Source]]="","",IFERROR(INDEX(tblSources[Type],MATCH(tblMovement[[#This Row],[Source]],tblSources[Source],0)),"?"))</f>
        <v/>
      </c>
      <c r="L566" s="63">
        <f>IF(tblMovement[[#This Row],[Destination]]="","",IFERROR(INDEX(tblDestinations[Type],MATCH(tblMovement[[#This Row],[Destination]],tblDestinations[Destination],0)),"?"))</f>
        <v/>
      </c>
      <c r="M566" s="64">
        <f>IF(tblMovement[[#This Row],[Material]]="","",IF(LEFT(tblMovement[[#This Row],[Material]],3)="Ore",1,0))</f>
        <v/>
      </c>
      <c r="N566" s="59">
        <f>IF(OR(tblMovement[[#This Row],[Tonnes_t]]="",tblMovement[[#This Row],[Grade_gpt]]=""),0,tblMovement[[#This Row],[Tonnes_t]]*tblMovement[[#This Row],[Grade_gpt]]/cfg_TroyOz)</f>
        <v/>
      </c>
      <c r="O566" s="59">
        <f>IF(tblMovement[[#This Row],[Is_Ore]]=1,tblMovement[[#This Row],[Contained_oz]],0)</f>
        <v/>
      </c>
    </row>
    <row r="567">
      <c r="A567" s="54" t="n"/>
      <c r="B567" s="61" t="n"/>
      <c r="C567" s="61" t="n"/>
      <c r="D567" s="61" t="n"/>
      <c r="E567" s="61" t="n"/>
      <c r="F567" s="55" t="n"/>
      <c r="G567" s="56" t="n"/>
      <c r="H567" s="55" t="n"/>
      <c r="I567" s="62" t="n"/>
      <c r="J567" s="58" t="n"/>
      <c r="K567" s="63">
        <f>IF(tblMovement[[#This Row],[Source]]="","",IFERROR(INDEX(tblSources[Type],MATCH(tblMovement[[#This Row],[Source]],tblSources[Source],0)),"?"))</f>
        <v/>
      </c>
      <c r="L567" s="63">
        <f>IF(tblMovement[[#This Row],[Destination]]="","",IFERROR(INDEX(tblDestinations[Type],MATCH(tblMovement[[#This Row],[Destination]],tblDestinations[Destination],0)),"?"))</f>
        <v/>
      </c>
      <c r="M567" s="64">
        <f>IF(tblMovement[[#This Row],[Material]]="","",IF(LEFT(tblMovement[[#This Row],[Material]],3)="Ore",1,0))</f>
        <v/>
      </c>
      <c r="N567" s="59">
        <f>IF(OR(tblMovement[[#This Row],[Tonnes_t]]="",tblMovement[[#This Row],[Grade_gpt]]=""),0,tblMovement[[#This Row],[Tonnes_t]]*tblMovement[[#This Row],[Grade_gpt]]/cfg_TroyOz)</f>
        <v/>
      </c>
      <c r="O567" s="59">
        <f>IF(tblMovement[[#This Row],[Is_Ore]]=1,tblMovement[[#This Row],[Contained_oz]],0)</f>
        <v/>
      </c>
    </row>
    <row r="568">
      <c r="A568" s="54" t="n"/>
      <c r="B568" s="61" t="n"/>
      <c r="C568" s="61" t="n"/>
      <c r="D568" s="61" t="n"/>
      <c r="E568" s="61" t="n"/>
      <c r="F568" s="55" t="n"/>
      <c r="G568" s="56" t="n"/>
      <c r="H568" s="55" t="n"/>
      <c r="I568" s="62" t="n"/>
      <c r="J568" s="58" t="n"/>
      <c r="K568" s="63">
        <f>IF(tblMovement[[#This Row],[Source]]="","",IFERROR(INDEX(tblSources[Type],MATCH(tblMovement[[#This Row],[Source]],tblSources[Source],0)),"?"))</f>
        <v/>
      </c>
      <c r="L568" s="63">
        <f>IF(tblMovement[[#This Row],[Destination]]="","",IFERROR(INDEX(tblDestinations[Type],MATCH(tblMovement[[#This Row],[Destination]],tblDestinations[Destination],0)),"?"))</f>
        <v/>
      </c>
      <c r="M568" s="64">
        <f>IF(tblMovement[[#This Row],[Material]]="","",IF(LEFT(tblMovement[[#This Row],[Material]],3)="Ore",1,0))</f>
        <v/>
      </c>
      <c r="N568" s="59">
        <f>IF(OR(tblMovement[[#This Row],[Tonnes_t]]="",tblMovement[[#This Row],[Grade_gpt]]=""),0,tblMovement[[#This Row],[Tonnes_t]]*tblMovement[[#This Row],[Grade_gpt]]/cfg_TroyOz)</f>
        <v/>
      </c>
      <c r="O568" s="59">
        <f>IF(tblMovement[[#This Row],[Is_Ore]]=1,tblMovement[[#This Row],[Contained_oz]],0)</f>
        <v/>
      </c>
    </row>
    <row r="569">
      <c r="A569" s="54" t="n"/>
      <c r="B569" s="61" t="n"/>
      <c r="C569" s="61" t="n"/>
      <c r="D569" s="61" t="n"/>
      <c r="E569" s="61" t="n"/>
      <c r="F569" s="55" t="n"/>
      <c r="G569" s="56" t="n"/>
      <c r="H569" s="55" t="n"/>
      <c r="I569" s="62" t="n"/>
      <c r="J569" s="58" t="n"/>
      <c r="K569" s="63">
        <f>IF(tblMovement[[#This Row],[Source]]="","",IFERROR(INDEX(tblSources[Type],MATCH(tblMovement[[#This Row],[Source]],tblSources[Source],0)),"?"))</f>
        <v/>
      </c>
      <c r="L569" s="63">
        <f>IF(tblMovement[[#This Row],[Destination]]="","",IFERROR(INDEX(tblDestinations[Type],MATCH(tblMovement[[#This Row],[Destination]],tblDestinations[Destination],0)),"?"))</f>
        <v/>
      </c>
      <c r="M569" s="64">
        <f>IF(tblMovement[[#This Row],[Material]]="","",IF(LEFT(tblMovement[[#This Row],[Material]],3)="Ore",1,0))</f>
        <v/>
      </c>
      <c r="N569" s="59">
        <f>IF(OR(tblMovement[[#This Row],[Tonnes_t]]="",tblMovement[[#This Row],[Grade_gpt]]=""),0,tblMovement[[#This Row],[Tonnes_t]]*tblMovement[[#This Row],[Grade_gpt]]/cfg_TroyOz)</f>
        <v/>
      </c>
      <c r="O569" s="59">
        <f>IF(tblMovement[[#This Row],[Is_Ore]]=1,tblMovement[[#This Row],[Contained_oz]],0)</f>
        <v/>
      </c>
    </row>
    <row r="570">
      <c r="A570" s="54" t="n"/>
      <c r="B570" s="61" t="n"/>
      <c r="C570" s="61" t="n"/>
      <c r="D570" s="61" t="n"/>
      <c r="E570" s="61" t="n"/>
      <c r="F570" s="55" t="n"/>
      <c r="G570" s="56" t="n"/>
      <c r="H570" s="55" t="n"/>
      <c r="I570" s="62" t="n"/>
      <c r="J570" s="58" t="n"/>
      <c r="K570" s="63">
        <f>IF(tblMovement[[#This Row],[Source]]="","",IFERROR(INDEX(tblSources[Type],MATCH(tblMovement[[#This Row],[Source]],tblSources[Source],0)),"?"))</f>
        <v/>
      </c>
      <c r="L570" s="63">
        <f>IF(tblMovement[[#This Row],[Destination]]="","",IFERROR(INDEX(tblDestinations[Type],MATCH(tblMovement[[#This Row],[Destination]],tblDestinations[Destination],0)),"?"))</f>
        <v/>
      </c>
      <c r="M570" s="64">
        <f>IF(tblMovement[[#This Row],[Material]]="","",IF(LEFT(tblMovement[[#This Row],[Material]],3)="Ore",1,0))</f>
        <v/>
      </c>
      <c r="N570" s="59">
        <f>IF(OR(tblMovement[[#This Row],[Tonnes_t]]="",tblMovement[[#This Row],[Grade_gpt]]=""),0,tblMovement[[#This Row],[Tonnes_t]]*tblMovement[[#This Row],[Grade_gpt]]/cfg_TroyOz)</f>
        <v/>
      </c>
      <c r="O570" s="59">
        <f>IF(tblMovement[[#This Row],[Is_Ore]]=1,tblMovement[[#This Row],[Contained_oz]],0)</f>
        <v/>
      </c>
    </row>
    <row r="571">
      <c r="A571" s="54" t="n"/>
      <c r="B571" s="61" t="n"/>
      <c r="C571" s="61" t="n"/>
      <c r="D571" s="61" t="n"/>
      <c r="E571" s="61" t="n"/>
      <c r="F571" s="55" t="n"/>
      <c r="G571" s="56" t="n"/>
      <c r="H571" s="55" t="n"/>
      <c r="I571" s="62" t="n"/>
      <c r="J571" s="58" t="n"/>
      <c r="K571" s="63">
        <f>IF(tblMovement[[#This Row],[Source]]="","",IFERROR(INDEX(tblSources[Type],MATCH(tblMovement[[#This Row],[Source]],tblSources[Source],0)),"?"))</f>
        <v/>
      </c>
      <c r="L571" s="63">
        <f>IF(tblMovement[[#This Row],[Destination]]="","",IFERROR(INDEX(tblDestinations[Type],MATCH(tblMovement[[#This Row],[Destination]],tblDestinations[Destination],0)),"?"))</f>
        <v/>
      </c>
      <c r="M571" s="64">
        <f>IF(tblMovement[[#This Row],[Material]]="","",IF(LEFT(tblMovement[[#This Row],[Material]],3)="Ore",1,0))</f>
        <v/>
      </c>
      <c r="N571" s="59">
        <f>IF(OR(tblMovement[[#This Row],[Tonnes_t]]="",tblMovement[[#This Row],[Grade_gpt]]=""),0,tblMovement[[#This Row],[Tonnes_t]]*tblMovement[[#This Row],[Grade_gpt]]/cfg_TroyOz)</f>
        <v/>
      </c>
      <c r="O571" s="59">
        <f>IF(tblMovement[[#This Row],[Is_Ore]]=1,tblMovement[[#This Row],[Contained_oz]],0)</f>
        <v/>
      </c>
    </row>
    <row r="572">
      <c r="A572" s="54" t="n"/>
      <c r="B572" s="61" t="n"/>
      <c r="C572" s="61" t="n"/>
      <c r="D572" s="61" t="n"/>
      <c r="E572" s="61" t="n"/>
      <c r="F572" s="55" t="n"/>
      <c r="G572" s="56" t="n"/>
      <c r="H572" s="55" t="n"/>
      <c r="I572" s="62" t="n"/>
      <c r="J572" s="58" t="n"/>
      <c r="K572" s="63">
        <f>IF(tblMovement[[#This Row],[Source]]="","",IFERROR(INDEX(tblSources[Type],MATCH(tblMovement[[#This Row],[Source]],tblSources[Source],0)),"?"))</f>
        <v/>
      </c>
      <c r="L572" s="63">
        <f>IF(tblMovement[[#This Row],[Destination]]="","",IFERROR(INDEX(tblDestinations[Type],MATCH(tblMovement[[#This Row],[Destination]],tblDestinations[Destination],0)),"?"))</f>
        <v/>
      </c>
      <c r="M572" s="64">
        <f>IF(tblMovement[[#This Row],[Material]]="","",IF(LEFT(tblMovement[[#This Row],[Material]],3)="Ore",1,0))</f>
        <v/>
      </c>
      <c r="N572" s="59">
        <f>IF(OR(tblMovement[[#This Row],[Tonnes_t]]="",tblMovement[[#This Row],[Grade_gpt]]=""),0,tblMovement[[#This Row],[Tonnes_t]]*tblMovement[[#This Row],[Grade_gpt]]/cfg_TroyOz)</f>
        <v/>
      </c>
      <c r="O572" s="59">
        <f>IF(tblMovement[[#This Row],[Is_Ore]]=1,tblMovement[[#This Row],[Contained_oz]],0)</f>
        <v/>
      </c>
    </row>
    <row r="573">
      <c r="A573" s="54" t="n"/>
      <c r="B573" s="61" t="n"/>
      <c r="C573" s="61" t="n"/>
      <c r="D573" s="61" t="n"/>
      <c r="E573" s="61" t="n"/>
      <c r="F573" s="55" t="n"/>
      <c r="G573" s="56" t="n"/>
      <c r="H573" s="55" t="n"/>
      <c r="I573" s="62" t="n"/>
      <c r="J573" s="58" t="n"/>
      <c r="K573" s="63">
        <f>IF(tblMovement[[#This Row],[Source]]="","",IFERROR(INDEX(tblSources[Type],MATCH(tblMovement[[#This Row],[Source]],tblSources[Source],0)),"?"))</f>
        <v/>
      </c>
      <c r="L573" s="63">
        <f>IF(tblMovement[[#This Row],[Destination]]="","",IFERROR(INDEX(tblDestinations[Type],MATCH(tblMovement[[#This Row],[Destination]],tblDestinations[Destination],0)),"?"))</f>
        <v/>
      </c>
      <c r="M573" s="64">
        <f>IF(tblMovement[[#This Row],[Material]]="","",IF(LEFT(tblMovement[[#This Row],[Material]],3)="Ore",1,0))</f>
        <v/>
      </c>
      <c r="N573" s="59">
        <f>IF(OR(tblMovement[[#This Row],[Tonnes_t]]="",tblMovement[[#This Row],[Grade_gpt]]=""),0,tblMovement[[#This Row],[Tonnes_t]]*tblMovement[[#This Row],[Grade_gpt]]/cfg_TroyOz)</f>
        <v/>
      </c>
      <c r="O573" s="59">
        <f>IF(tblMovement[[#This Row],[Is_Ore]]=1,tblMovement[[#This Row],[Contained_oz]],0)</f>
        <v/>
      </c>
    </row>
    <row r="574">
      <c r="A574" s="54" t="n"/>
      <c r="B574" s="61" t="n"/>
      <c r="C574" s="61" t="n"/>
      <c r="D574" s="61" t="n"/>
      <c r="E574" s="61" t="n"/>
      <c r="F574" s="55" t="n"/>
      <c r="G574" s="56" t="n"/>
      <c r="H574" s="55" t="n"/>
      <c r="I574" s="62" t="n"/>
      <c r="J574" s="58" t="n"/>
      <c r="K574" s="63">
        <f>IF(tblMovement[[#This Row],[Source]]="","",IFERROR(INDEX(tblSources[Type],MATCH(tblMovement[[#This Row],[Source]],tblSources[Source],0)),"?"))</f>
        <v/>
      </c>
      <c r="L574" s="63">
        <f>IF(tblMovement[[#This Row],[Destination]]="","",IFERROR(INDEX(tblDestinations[Type],MATCH(tblMovement[[#This Row],[Destination]],tblDestinations[Destination],0)),"?"))</f>
        <v/>
      </c>
      <c r="M574" s="64">
        <f>IF(tblMovement[[#This Row],[Material]]="","",IF(LEFT(tblMovement[[#This Row],[Material]],3)="Ore",1,0))</f>
        <v/>
      </c>
      <c r="N574" s="59">
        <f>IF(OR(tblMovement[[#This Row],[Tonnes_t]]="",tblMovement[[#This Row],[Grade_gpt]]=""),0,tblMovement[[#This Row],[Tonnes_t]]*tblMovement[[#This Row],[Grade_gpt]]/cfg_TroyOz)</f>
        <v/>
      </c>
      <c r="O574" s="59">
        <f>IF(tblMovement[[#This Row],[Is_Ore]]=1,tblMovement[[#This Row],[Contained_oz]],0)</f>
        <v/>
      </c>
    </row>
    <row r="575">
      <c r="A575" s="54" t="n"/>
      <c r="B575" s="61" t="n"/>
      <c r="C575" s="61" t="n"/>
      <c r="D575" s="61" t="n"/>
      <c r="E575" s="61" t="n"/>
      <c r="F575" s="55" t="n"/>
      <c r="G575" s="56" t="n"/>
      <c r="H575" s="55" t="n"/>
      <c r="I575" s="62" t="n"/>
      <c r="J575" s="58" t="n"/>
      <c r="K575" s="63">
        <f>IF(tblMovement[[#This Row],[Source]]="","",IFERROR(INDEX(tblSources[Type],MATCH(tblMovement[[#This Row],[Source]],tblSources[Source],0)),"?"))</f>
        <v/>
      </c>
      <c r="L575" s="63">
        <f>IF(tblMovement[[#This Row],[Destination]]="","",IFERROR(INDEX(tblDestinations[Type],MATCH(tblMovement[[#This Row],[Destination]],tblDestinations[Destination],0)),"?"))</f>
        <v/>
      </c>
      <c r="M575" s="64">
        <f>IF(tblMovement[[#This Row],[Material]]="","",IF(LEFT(tblMovement[[#This Row],[Material]],3)="Ore",1,0))</f>
        <v/>
      </c>
      <c r="N575" s="59">
        <f>IF(OR(tblMovement[[#This Row],[Tonnes_t]]="",tblMovement[[#This Row],[Grade_gpt]]=""),0,tblMovement[[#This Row],[Tonnes_t]]*tblMovement[[#This Row],[Grade_gpt]]/cfg_TroyOz)</f>
        <v/>
      </c>
      <c r="O575" s="59">
        <f>IF(tblMovement[[#This Row],[Is_Ore]]=1,tblMovement[[#This Row],[Contained_oz]],0)</f>
        <v/>
      </c>
    </row>
    <row r="576">
      <c r="A576" s="54" t="n"/>
      <c r="B576" s="61" t="n"/>
      <c r="C576" s="61" t="n"/>
      <c r="D576" s="61" t="n"/>
      <c r="E576" s="61" t="n"/>
      <c r="F576" s="55" t="n"/>
      <c r="G576" s="56" t="n"/>
      <c r="H576" s="55" t="n"/>
      <c r="I576" s="62" t="n"/>
      <c r="J576" s="58" t="n"/>
      <c r="K576" s="63">
        <f>IF(tblMovement[[#This Row],[Source]]="","",IFERROR(INDEX(tblSources[Type],MATCH(tblMovement[[#This Row],[Source]],tblSources[Source],0)),"?"))</f>
        <v/>
      </c>
      <c r="L576" s="63">
        <f>IF(tblMovement[[#This Row],[Destination]]="","",IFERROR(INDEX(tblDestinations[Type],MATCH(tblMovement[[#This Row],[Destination]],tblDestinations[Destination],0)),"?"))</f>
        <v/>
      </c>
      <c r="M576" s="64">
        <f>IF(tblMovement[[#This Row],[Material]]="","",IF(LEFT(tblMovement[[#This Row],[Material]],3)="Ore",1,0))</f>
        <v/>
      </c>
      <c r="N576" s="59">
        <f>IF(OR(tblMovement[[#This Row],[Tonnes_t]]="",tblMovement[[#This Row],[Grade_gpt]]=""),0,tblMovement[[#This Row],[Tonnes_t]]*tblMovement[[#This Row],[Grade_gpt]]/cfg_TroyOz)</f>
        <v/>
      </c>
      <c r="O576" s="59">
        <f>IF(tblMovement[[#This Row],[Is_Ore]]=1,tblMovement[[#This Row],[Contained_oz]],0)</f>
        <v/>
      </c>
    </row>
    <row r="577">
      <c r="A577" s="54" t="n"/>
      <c r="B577" s="61" t="n"/>
      <c r="C577" s="61" t="n"/>
      <c r="D577" s="61" t="n"/>
      <c r="E577" s="61" t="n"/>
      <c r="F577" s="55" t="n"/>
      <c r="G577" s="56" t="n"/>
      <c r="H577" s="55" t="n"/>
      <c r="I577" s="62" t="n"/>
      <c r="J577" s="58" t="n"/>
      <c r="K577" s="63">
        <f>IF(tblMovement[[#This Row],[Source]]="","",IFERROR(INDEX(tblSources[Type],MATCH(tblMovement[[#This Row],[Source]],tblSources[Source],0)),"?"))</f>
        <v/>
      </c>
      <c r="L577" s="63">
        <f>IF(tblMovement[[#This Row],[Destination]]="","",IFERROR(INDEX(tblDestinations[Type],MATCH(tblMovement[[#This Row],[Destination]],tblDestinations[Destination],0)),"?"))</f>
        <v/>
      </c>
      <c r="M577" s="64">
        <f>IF(tblMovement[[#This Row],[Material]]="","",IF(LEFT(tblMovement[[#This Row],[Material]],3)="Ore",1,0))</f>
        <v/>
      </c>
      <c r="N577" s="59">
        <f>IF(OR(tblMovement[[#This Row],[Tonnes_t]]="",tblMovement[[#This Row],[Grade_gpt]]=""),0,tblMovement[[#This Row],[Tonnes_t]]*tblMovement[[#This Row],[Grade_gpt]]/cfg_TroyOz)</f>
        <v/>
      </c>
      <c r="O577" s="59">
        <f>IF(tblMovement[[#This Row],[Is_Ore]]=1,tblMovement[[#This Row],[Contained_oz]],0)</f>
        <v/>
      </c>
    </row>
    <row r="578">
      <c r="A578" s="54" t="n"/>
      <c r="B578" s="61" t="n"/>
      <c r="C578" s="61" t="n"/>
      <c r="D578" s="61" t="n"/>
      <c r="E578" s="61" t="n"/>
      <c r="F578" s="55" t="n"/>
      <c r="G578" s="56" t="n"/>
      <c r="H578" s="55" t="n"/>
      <c r="I578" s="62" t="n"/>
      <c r="J578" s="58" t="n"/>
      <c r="K578" s="63">
        <f>IF(tblMovement[[#This Row],[Source]]="","",IFERROR(INDEX(tblSources[Type],MATCH(tblMovement[[#This Row],[Source]],tblSources[Source],0)),"?"))</f>
        <v/>
      </c>
      <c r="L578" s="63">
        <f>IF(tblMovement[[#This Row],[Destination]]="","",IFERROR(INDEX(tblDestinations[Type],MATCH(tblMovement[[#This Row],[Destination]],tblDestinations[Destination],0)),"?"))</f>
        <v/>
      </c>
      <c r="M578" s="64">
        <f>IF(tblMovement[[#This Row],[Material]]="","",IF(LEFT(tblMovement[[#This Row],[Material]],3)="Ore",1,0))</f>
        <v/>
      </c>
      <c r="N578" s="59">
        <f>IF(OR(tblMovement[[#This Row],[Tonnes_t]]="",tblMovement[[#This Row],[Grade_gpt]]=""),0,tblMovement[[#This Row],[Tonnes_t]]*tblMovement[[#This Row],[Grade_gpt]]/cfg_TroyOz)</f>
        <v/>
      </c>
      <c r="O578" s="59">
        <f>IF(tblMovement[[#This Row],[Is_Ore]]=1,tblMovement[[#This Row],[Contained_oz]],0)</f>
        <v/>
      </c>
    </row>
    <row r="579">
      <c r="A579" s="54" t="n"/>
      <c r="B579" s="61" t="n"/>
      <c r="C579" s="61" t="n"/>
      <c r="D579" s="61" t="n"/>
      <c r="E579" s="61" t="n"/>
      <c r="F579" s="55" t="n"/>
      <c r="G579" s="56" t="n"/>
      <c r="H579" s="55" t="n"/>
      <c r="I579" s="62" t="n"/>
      <c r="J579" s="58" t="n"/>
      <c r="K579" s="63">
        <f>IF(tblMovement[[#This Row],[Source]]="","",IFERROR(INDEX(tblSources[Type],MATCH(tblMovement[[#This Row],[Source]],tblSources[Source],0)),"?"))</f>
        <v/>
      </c>
      <c r="L579" s="63">
        <f>IF(tblMovement[[#This Row],[Destination]]="","",IFERROR(INDEX(tblDestinations[Type],MATCH(tblMovement[[#This Row],[Destination]],tblDestinations[Destination],0)),"?"))</f>
        <v/>
      </c>
      <c r="M579" s="64">
        <f>IF(tblMovement[[#This Row],[Material]]="","",IF(LEFT(tblMovement[[#This Row],[Material]],3)="Ore",1,0))</f>
        <v/>
      </c>
      <c r="N579" s="59">
        <f>IF(OR(tblMovement[[#This Row],[Tonnes_t]]="",tblMovement[[#This Row],[Grade_gpt]]=""),0,tblMovement[[#This Row],[Tonnes_t]]*tblMovement[[#This Row],[Grade_gpt]]/cfg_TroyOz)</f>
        <v/>
      </c>
      <c r="O579" s="59">
        <f>IF(tblMovement[[#This Row],[Is_Ore]]=1,tblMovement[[#This Row],[Contained_oz]],0)</f>
        <v/>
      </c>
    </row>
    <row r="580">
      <c r="A580" s="54" t="n"/>
      <c r="B580" s="61" t="n"/>
      <c r="C580" s="61" t="n"/>
      <c r="D580" s="61" t="n"/>
      <c r="E580" s="61" t="n"/>
      <c r="F580" s="55" t="n"/>
      <c r="G580" s="56" t="n"/>
      <c r="H580" s="55" t="n"/>
      <c r="I580" s="62" t="n"/>
      <c r="J580" s="58" t="n"/>
      <c r="K580" s="63">
        <f>IF(tblMovement[[#This Row],[Source]]="","",IFERROR(INDEX(tblSources[Type],MATCH(tblMovement[[#This Row],[Source]],tblSources[Source],0)),"?"))</f>
        <v/>
      </c>
      <c r="L580" s="63">
        <f>IF(tblMovement[[#This Row],[Destination]]="","",IFERROR(INDEX(tblDestinations[Type],MATCH(tblMovement[[#This Row],[Destination]],tblDestinations[Destination],0)),"?"))</f>
        <v/>
      </c>
      <c r="M580" s="64">
        <f>IF(tblMovement[[#This Row],[Material]]="","",IF(LEFT(tblMovement[[#This Row],[Material]],3)="Ore",1,0))</f>
        <v/>
      </c>
      <c r="N580" s="59">
        <f>IF(OR(tblMovement[[#This Row],[Tonnes_t]]="",tblMovement[[#This Row],[Grade_gpt]]=""),0,tblMovement[[#This Row],[Tonnes_t]]*tblMovement[[#This Row],[Grade_gpt]]/cfg_TroyOz)</f>
        <v/>
      </c>
      <c r="O580" s="59">
        <f>IF(tblMovement[[#This Row],[Is_Ore]]=1,tblMovement[[#This Row],[Contained_oz]],0)</f>
        <v/>
      </c>
    </row>
    <row r="581">
      <c r="A581" s="54" t="n"/>
      <c r="B581" s="61" t="n"/>
      <c r="C581" s="61" t="n"/>
      <c r="D581" s="61" t="n"/>
      <c r="E581" s="61" t="n"/>
      <c r="F581" s="55" t="n"/>
      <c r="G581" s="56" t="n"/>
      <c r="H581" s="55" t="n"/>
      <c r="I581" s="62" t="n"/>
      <c r="J581" s="58" t="n"/>
      <c r="K581" s="63">
        <f>IF(tblMovement[[#This Row],[Source]]="","",IFERROR(INDEX(tblSources[Type],MATCH(tblMovement[[#This Row],[Source]],tblSources[Source],0)),"?"))</f>
        <v/>
      </c>
      <c r="L581" s="63">
        <f>IF(tblMovement[[#This Row],[Destination]]="","",IFERROR(INDEX(tblDestinations[Type],MATCH(tblMovement[[#This Row],[Destination]],tblDestinations[Destination],0)),"?"))</f>
        <v/>
      </c>
      <c r="M581" s="64">
        <f>IF(tblMovement[[#This Row],[Material]]="","",IF(LEFT(tblMovement[[#This Row],[Material]],3)="Ore",1,0))</f>
        <v/>
      </c>
      <c r="N581" s="59">
        <f>IF(OR(tblMovement[[#This Row],[Tonnes_t]]="",tblMovement[[#This Row],[Grade_gpt]]=""),0,tblMovement[[#This Row],[Tonnes_t]]*tblMovement[[#This Row],[Grade_gpt]]/cfg_TroyOz)</f>
        <v/>
      </c>
      <c r="O581" s="59">
        <f>IF(tblMovement[[#This Row],[Is_Ore]]=1,tblMovement[[#This Row],[Contained_oz]],0)</f>
        <v/>
      </c>
    </row>
    <row r="582">
      <c r="A582" s="54" t="n"/>
      <c r="B582" s="61" t="n"/>
      <c r="C582" s="61" t="n"/>
      <c r="D582" s="61" t="n"/>
      <c r="E582" s="61" t="n"/>
      <c r="F582" s="55" t="n"/>
      <c r="G582" s="56" t="n"/>
      <c r="H582" s="55" t="n"/>
      <c r="I582" s="62" t="n"/>
      <c r="J582" s="58" t="n"/>
      <c r="K582" s="63">
        <f>IF(tblMovement[[#This Row],[Source]]="","",IFERROR(INDEX(tblSources[Type],MATCH(tblMovement[[#This Row],[Source]],tblSources[Source],0)),"?"))</f>
        <v/>
      </c>
      <c r="L582" s="63">
        <f>IF(tblMovement[[#This Row],[Destination]]="","",IFERROR(INDEX(tblDestinations[Type],MATCH(tblMovement[[#This Row],[Destination]],tblDestinations[Destination],0)),"?"))</f>
        <v/>
      </c>
      <c r="M582" s="64">
        <f>IF(tblMovement[[#This Row],[Material]]="","",IF(LEFT(tblMovement[[#This Row],[Material]],3)="Ore",1,0))</f>
        <v/>
      </c>
      <c r="N582" s="59">
        <f>IF(OR(tblMovement[[#This Row],[Tonnes_t]]="",tblMovement[[#This Row],[Grade_gpt]]=""),0,tblMovement[[#This Row],[Tonnes_t]]*tblMovement[[#This Row],[Grade_gpt]]/cfg_TroyOz)</f>
        <v/>
      </c>
      <c r="O582" s="59">
        <f>IF(tblMovement[[#This Row],[Is_Ore]]=1,tblMovement[[#This Row],[Contained_oz]],0)</f>
        <v/>
      </c>
    </row>
    <row r="583">
      <c r="A583" s="54" t="n"/>
      <c r="B583" s="61" t="n"/>
      <c r="C583" s="61" t="n"/>
      <c r="D583" s="61" t="n"/>
      <c r="E583" s="61" t="n"/>
      <c r="F583" s="55" t="n"/>
      <c r="G583" s="56" t="n"/>
      <c r="H583" s="55" t="n"/>
      <c r="I583" s="62" t="n"/>
      <c r="J583" s="58" t="n"/>
      <c r="K583" s="63">
        <f>IF(tblMovement[[#This Row],[Source]]="","",IFERROR(INDEX(tblSources[Type],MATCH(tblMovement[[#This Row],[Source]],tblSources[Source],0)),"?"))</f>
        <v/>
      </c>
      <c r="L583" s="63">
        <f>IF(tblMovement[[#This Row],[Destination]]="","",IFERROR(INDEX(tblDestinations[Type],MATCH(tblMovement[[#This Row],[Destination]],tblDestinations[Destination],0)),"?"))</f>
        <v/>
      </c>
      <c r="M583" s="64">
        <f>IF(tblMovement[[#This Row],[Material]]="","",IF(LEFT(tblMovement[[#This Row],[Material]],3)="Ore",1,0))</f>
        <v/>
      </c>
      <c r="N583" s="59">
        <f>IF(OR(tblMovement[[#This Row],[Tonnes_t]]="",tblMovement[[#This Row],[Grade_gpt]]=""),0,tblMovement[[#This Row],[Tonnes_t]]*tblMovement[[#This Row],[Grade_gpt]]/cfg_TroyOz)</f>
        <v/>
      </c>
      <c r="O583" s="59">
        <f>IF(tblMovement[[#This Row],[Is_Ore]]=1,tblMovement[[#This Row],[Contained_oz]],0)</f>
        <v/>
      </c>
    </row>
    <row r="584">
      <c r="A584" s="54" t="n"/>
      <c r="B584" s="61" t="n"/>
      <c r="C584" s="61" t="n"/>
      <c r="D584" s="61" t="n"/>
      <c r="E584" s="61" t="n"/>
      <c r="F584" s="55" t="n"/>
      <c r="G584" s="56" t="n"/>
      <c r="H584" s="55" t="n"/>
      <c r="I584" s="62" t="n"/>
      <c r="J584" s="58" t="n"/>
      <c r="K584" s="63">
        <f>IF(tblMovement[[#This Row],[Source]]="","",IFERROR(INDEX(tblSources[Type],MATCH(tblMovement[[#This Row],[Source]],tblSources[Source],0)),"?"))</f>
        <v/>
      </c>
      <c r="L584" s="63">
        <f>IF(tblMovement[[#This Row],[Destination]]="","",IFERROR(INDEX(tblDestinations[Type],MATCH(tblMovement[[#This Row],[Destination]],tblDestinations[Destination],0)),"?"))</f>
        <v/>
      </c>
      <c r="M584" s="64">
        <f>IF(tblMovement[[#This Row],[Material]]="","",IF(LEFT(tblMovement[[#This Row],[Material]],3)="Ore",1,0))</f>
        <v/>
      </c>
      <c r="N584" s="59">
        <f>IF(OR(tblMovement[[#This Row],[Tonnes_t]]="",tblMovement[[#This Row],[Grade_gpt]]=""),0,tblMovement[[#This Row],[Tonnes_t]]*tblMovement[[#This Row],[Grade_gpt]]/cfg_TroyOz)</f>
        <v/>
      </c>
      <c r="O584" s="59">
        <f>IF(tblMovement[[#This Row],[Is_Ore]]=1,tblMovement[[#This Row],[Contained_oz]],0)</f>
        <v/>
      </c>
    </row>
    <row r="585">
      <c r="A585" s="54" t="n"/>
      <c r="B585" s="61" t="n"/>
      <c r="C585" s="61" t="n"/>
      <c r="D585" s="61" t="n"/>
      <c r="E585" s="61" t="n"/>
      <c r="F585" s="55" t="n"/>
      <c r="G585" s="56" t="n"/>
      <c r="H585" s="55" t="n"/>
      <c r="I585" s="62" t="n"/>
      <c r="J585" s="58" t="n"/>
      <c r="K585" s="63">
        <f>IF(tblMovement[[#This Row],[Source]]="","",IFERROR(INDEX(tblSources[Type],MATCH(tblMovement[[#This Row],[Source]],tblSources[Source],0)),"?"))</f>
        <v/>
      </c>
      <c r="L585" s="63">
        <f>IF(tblMovement[[#This Row],[Destination]]="","",IFERROR(INDEX(tblDestinations[Type],MATCH(tblMovement[[#This Row],[Destination]],tblDestinations[Destination],0)),"?"))</f>
        <v/>
      </c>
      <c r="M585" s="64">
        <f>IF(tblMovement[[#This Row],[Material]]="","",IF(LEFT(tblMovement[[#This Row],[Material]],3)="Ore",1,0))</f>
        <v/>
      </c>
      <c r="N585" s="59">
        <f>IF(OR(tblMovement[[#This Row],[Tonnes_t]]="",tblMovement[[#This Row],[Grade_gpt]]=""),0,tblMovement[[#This Row],[Tonnes_t]]*tblMovement[[#This Row],[Grade_gpt]]/cfg_TroyOz)</f>
        <v/>
      </c>
      <c r="O585" s="59">
        <f>IF(tblMovement[[#This Row],[Is_Ore]]=1,tblMovement[[#This Row],[Contained_oz]],0)</f>
        <v/>
      </c>
    </row>
    <row r="586">
      <c r="A586" s="54" t="n"/>
      <c r="B586" s="61" t="n"/>
      <c r="C586" s="61" t="n"/>
      <c r="D586" s="61" t="n"/>
      <c r="E586" s="61" t="n"/>
      <c r="F586" s="55" t="n"/>
      <c r="G586" s="56" t="n"/>
      <c r="H586" s="55" t="n"/>
      <c r="I586" s="62" t="n"/>
      <c r="J586" s="58" t="n"/>
      <c r="K586" s="63">
        <f>IF(tblMovement[[#This Row],[Source]]="","",IFERROR(INDEX(tblSources[Type],MATCH(tblMovement[[#This Row],[Source]],tblSources[Source],0)),"?"))</f>
        <v/>
      </c>
      <c r="L586" s="63">
        <f>IF(tblMovement[[#This Row],[Destination]]="","",IFERROR(INDEX(tblDestinations[Type],MATCH(tblMovement[[#This Row],[Destination]],tblDestinations[Destination],0)),"?"))</f>
        <v/>
      </c>
      <c r="M586" s="64">
        <f>IF(tblMovement[[#This Row],[Material]]="","",IF(LEFT(tblMovement[[#This Row],[Material]],3)="Ore",1,0))</f>
        <v/>
      </c>
      <c r="N586" s="59">
        <f>IF(OR(tblMovement[[#This Row],[Tonnes_t]]="",tblMovement[[#This Row],[Grade_gpt]]=""),0,tblMovement[[#This Row],[Tonnes_t]]*tblMovement[[#This Row],[Grade_gpt]]/cfg_TroyOz)</f>
        <v/>
      </c>
      <c r="O586" s="59">
        <f>IF(tblMovement[[#This Row],[Is_Ore]]=1,tblMovement[[#This Row],[Contained_oz]],0)</f>
        <v/>
      </c>
    </row>
    <row r="587">
      <c r="A587" s="54" t="n"/>
      <c r="B587" s="61" t="n"/>
      <c r="C587" s="61" t="n"/>
      <c r="D587" s="61" t="n"/>
      <c r="E587" s="61" t="n"/>
      <c r="F587" s="55" t="n"/>
      <c r="G587" s="56" t="n"/>
      <c r="H587" s="55" t="n"/>
      <c r="I587" s="62" t="n"/>
      <c r="J587" s="58" t="n"/>
      <c r="K587" s="63">
        <f>IF(tblMovement[[#This Row],[Source]]="","",IFERROR(INDEX(tblSources[Type],MATCH(tblMovement[[#This Row],[Source]],tblSources[Source],0)),"?"))</f>
        <v/>
      </c>
      <c r="L587" s="63">
        <f>IF(tblMovement[[#This Row],[Destination]]="","",IFERROR(INDEX(tblDestinations[Type],MATCH(tblMovement[[#This Row],[Destination]],tblDestinations[Destination],0)),"?"))</f>
        <v/>
      </c>
      <c r="M587" s="64">
        <f>IF(tblMovement[[#This Row],[Material]]="","",IF(LEFT(tblMovement[[#This Row],[Material]],3)="Ore",1,0))</f>
        <v/>
      </c>
      <c r="N587" s="59">
        <f>IF(OR(tblMovement[[#This Row],[Tonnes_t]]="",tblMovement[[#This Row],[Grade_gpt]]=""),0,tblMovement[[#This Row],[Tonnes_t]]*tblMovement[[#This Row],[Grade_gpt]]/cfg_TroyOz)</f>
        <v/>
      </c>
      <c r="O587" s="59">
        <f>IF(tblMovement[[#This Row],[Is_Ore]]=1,tblMovement[[#This Row],[Contained_oz]],0)</f>
        <v/>
      </c>
    </row>
    <row r="588">
      <c r="A588" s="54" t="n"/>
      <c r="B588" s="61" t="n"/>
      <c r="C588" s="61" t="n"/>
      <c r="D588" s="61" t="n"/>
      <c r="E588" s="61" t="n"/>
      <c r="F588" s="55" t="n"/>
      <c r="G588" s="56" t="n"/>
      <c r="H588" s="55" t="n"/>
      <c r="I588" s="62" t="n"/>
      <c r="J588" s="58" t="n"/>
      <c r="K588" s="63">
        <f>IF(tblMovement[[#This Row],[Source]]="","",IFERROR(INDEX(tblSources[Type],MATCH(tblMovement[[#This Row],[Source]],tblSources[Source],0)),"?"))</f>
        <v/>
      </c>
      <c r="L588" s="63">
        <f>IF(tblMovement[[#This Row],[Destination]]="","",IFERROR(INDEX(tblDestinations[Type],MATCH(tblMovement[[#This Row],[Destination]],tblDestinations[Destination],0)),"?"))</f>
        <v/>
      </c>
      <c r="M588" s="64">
        <f>IF(tblMovement[[#This Row],[Material]]="","",IF(LEFT(tblMovement[[#This Row],[Material]],3)="Ore",1,0))</f>
        <v/>
      </c>
      <c r="N588" s="59">
        <f>IF(OR(tblMovement[[#This Row],[Tonnes_t]]="",tblMovement[[#This Row],[Grade_gpt]]=""),0,tblMovement[[#This Row],[Tonnes_t]]*tblMovement[[#This Row],[Grade_gpt]]/cfg_TroyOz)</f>
        <v/>
      </c>
      <c r="O588" s="59">
        <f>IF(tblMovement[[#This Row],[Is_Ore]]=1,tblMovement[[#This Row],[Contained_oz]],0)</f>
        <v/>
      </c>
    </row>
    <row r="589">
      <c r="A589" s="54" t="n"/>
      <c r="B589" s="61" t="n"/>
      <c r="C589" s="61" t="n"/>
      <c r="D589" s="61" t="n"/>
      <c r="E589" s="61" t="n"/>
      <c r="F589" s="55" t="n"/>
      <c r="G589" s="56" t="n"/>
      <c r="H589" s="55" t="n"/>
      <c r="I589" s="62" t="n"/>
      <c r="J589" s="58" t="n"/>
      <c r="K589" s="63">
        <f>IF(tblMovement[[#This Row],[Source]]="","",IFERROR(INDEX(tblSources[Type],MATCH(tblMovement[[#This Row],[Source]],tblSources[Source],0)),"?"))</f>
        <v/>
      </c>
      <c r="L589" s="63">
        <f>IF(tblMovement[[#This Row],[Destination]]="","",IFERROR(INDEX(tblDestinations[Type],MATCH(tblMovement[[#This Row],[Destination]],tblDestinations[Destination],0)),"?"))</f>
        <v/>
      </c>
      <c r="M589" s="64">
        <f>IF(tblMovement[[#This Row],[Material]]="","",IF(LEFT(tblMovement[[#This Row],[Material]],3)="Ore",1,0))</f>
        <v/>
      </c>
      <c r="N589" s="59">
        <f>IF(OR(tblMovement[[#This Row],[Tonnes_t]]="",tblMovement[[#This Row],[Grade_gpt]]=""),0,tblMovement[[#This Row],[Tonnes_t]]*tblMovement[[#This Row],[Grade_gpt]]/cfg_TroyOz)</f>
        <v/>
      </c>
      <c r="O589" s="59">
        <f>IF(tblMovement[[#This Row],[Is_Ore]]=1,tblMovement[[#This Row],[Contained_oz]],0)</f>
        <v/>
      </c>
    </row>
    <row r="590">
      <c r="A590" s="54" t="n"/>
      <c r="B590" s="61" t="n"/>
      <c r="C590" s="61" t="n"/>
      <c r="D590" s="61" t="n"/>
      <c r="E590" s="61" t="n"/>
      <c r="F590" s="55" t="n"/>
      <c r="G590" s="56" t="n"/>
      <c r="H590" s="55" t="n"/>
      <c r="I590" s="62" t="n"/>
      <c r="J590" s="58" t="n"/>
      <c r="K590" s="63">
        <f>IF(tblMovement[[#This Row],[Source]]="","",IFERROR(INDEX(tblSources[Type],MATCH(tblMovement[[#This Row],[Source]],tblSources[Source],0)),"?"))</f>
        <v/>
      </c>
      <c r="L590" s="63">
        <f>IF(tblMovement[[#This Row],[Destination]]="","",IFERROR(INDEX(tblDestinations[Type],MATCH(tblMovement[[#This Row],[Destination]],tblDestinations[Destination],0)),"?"))</f>
        <v/>
      </c>
      <c r="M590" s="64">
        <f>IF(tblMovement[[#This Row],[Material]]="","",IF(LEFT(tblMovement[[#This Row],[Material]],3)="Ore",1,0))</f>
        <v/>
      </c>
      <c r="N590" s="59">
        <f>IF(OR(tblMovement[[#This Row],[Tonnes_t]]="",tblMovement[[#This Row],[Grade_gpt]]=""),0,tblMovement[[#This Row],[Tonnes_t]]*tblMovement[[#This Row],[Grade_gpt]]/cfg_TroyOz)</f>
        <v/>
      </c>
      <c r="O590" s="59">
        <f>IF(tblMovement[[#This Row],[Is_Ore]]=1,tblMovement[[#This Row],[Contained_oz]],0)</f>
        <v/>
      </c>
    </row>
    <row r="591">
      <c r="A591" s="54" t="n"/>
      <c r="B591" s="61" t="n"/>
      <c r="C591" s="61" t="n"/>
      <c r="D591" s="61" t="n"/>
      <c r="E591" s="61" t="n"/>
      <c r="F591" s="55" t="n"/>
      <c r="G591" s="56" t="n"/>
      <c r="H591" s="55" t="n"/>
      <c r="I591" s="62" t="n"/>
      <c r="J591" s="58" t="n"/>
      <c r="K591" s="63">
        <f>IF(tblMovement[[#This Row],[Source]]="","",IFERROR(INDEX(tblSources[Type],MATCH(tblMovement[[#This Row],[Source]],tblSources[Source],0)),"?"))</f>
        <v/>
      </c>
      <c r="L591" s="63">
        <f>IF(tblMovement[[#This Row],[Destination]]="","",IFERROR(INDEX(tblDestinations[Type],MATCH(tblMovement[[#This Row],[Destination]],tblDestinations[Destination],0)),"?"))</f>
        <v/>
      </c>
      <c r="M591" s="64">
        <f>IF(tblMovement[[#This Row],[Material]]="","",IF(LEFT(tblMovement[[#This Row],[Material]],3)="Ore",1,0))</f>
        <v/>
      </c>
      <c r="N591" s="59">
        <f>IF(OR(tblMovement[[#This Row],[Tonnes_t]]="",tblMovement[[#This Row],[Grade_gpt]]=""),0,tblMovement[[#This Row],[Tonnes_t]]*tblMovement[[#This Row],[Grade_gpt]]/cfg_TroyOz)</f>
        <v/>
      </c>
      <c r="O591" s="59">
        <f>IF(tblMovement[[#This Row],[Is_Ore]]=1,tblMovement[[#This Row],[Contained_oz]],0)</f>
        <v/>
      </c>
    </row>
    <row r="592">
      <c r="A592" s="54" t="n"/>
      <c r="B592" s="61" t="n"/>
      <c r="C592" s="61" t="n"/>
      <c r="D592" s="61" t="n"/>
      <c r="E592" s="61" t="n"/>
      <c r="F592" s="55" t="n"/>
      <c r="G592" s="56" t="n"/>
      <c r="H592" s="55" t="n"/>
      <c r="I592" s="62" t="n"/>
      <c r="J592" s="58" t="n"/>
      <c r="K592" s="63">
        <f>IF(tblMovement[[#This Row],[Source]]="","",IFERROR(INDEX(tblSources[Type],MATCH(tblMovement[[#This Row],[Source]],tblSources[Source],0)),"?"))</f>
        <v/>
      </c>
      <c r="L592" s="63">
        <f>IF(tblMovement[[#This Row],[Destination]]="","",IFERROR(INDEX(tblDestinations[Type],MATCH(tblMovement[[#This Row],[Destination]],tblDestinations[Destination],0)),"?"))</f>
        <v/>
      </c>
      <c r="M592" s="64">
        <f>IF(tblMovement[[#This Row],[Material]]="","",IF(LEFT(tblMovement[[#This Row],[Material]],3)="Ore",1,0))</f>
        <v/>
      </c>
      <c r="N592" s="59">
        <f>IF(OR(tblMovement[[#This Row],[Tonnes_t]]="",tblMovement[[#This Row],[Grade_gpt]]=""),0,tblMovement[[#This Row],[Tonnes_t]]*tblMovement[[#This Row],[Grade_gpt]]/cfg_TroyOz)</f>
        <v/>
      </c>
      <c r="O592" s="59">
        <f>IF(tblMovement[[#This Row],[Is_Ore]]=1,tblMovement[[#This Row],[Contained_oz]],0)</f>
        <v/>
      </c>
    </row>
    <row r="593">
      <c r="A593" s="54" t="n"/>
      <c r="B593" s="61" t="n"/>
      <c r="C593" s="61" t="n"/>
      <c r="D593" s="61" t="n"/>
      <c r="E593" s="61" t="n"/>
      <c r="F593" s="55" t="n"/>
      <c r="G593" s="56" t="n"/>
      <c r="H593" s="55" t="n"/>
      <c r="I593" s="62" t="n"/>
      <c r="J593" s="58" t="n"/>
      <c r="K593" s="63">
        <f>IF(tblMovement[[#This Row],[Source]]="","",IFERROR(INDEX(tblSources[Type],MATCH(tblMovement[[#This Row],[Source]],tblSources[Source],0)),"?"))</f>
        <v/>
      </c>
      <c r="L593" s="63">
        <f>IF(tblMovement[[#This Row],[Destination]]="","",IFERROR(INDEX(tblDestinations[Type],MATCH(tblMovement[[#This Row],[Destination]],tblDestinations[Destination],0)),"?"))</f>
        <v/>
      </c>
      <c r="M593" s="64">
        <f>IF(tblMovement[[#This Row],[Material]]="","",IF(LEFT(tblMovement[[#This Row],[Material]],3)="Ore",1,0))</f>
        <v/>
      </c>
      <c r="N593" s="59">
        <f>IF(OR(tblMovement[[#This Row],[Tonnes_t]]="",tblMovement[[#This Row],[Grade_gpt]]=""),0,tblMovement[[#This Row],[Tonnes_t]]*tblMovement[[#This Row],[Grade_gpt]]/cfg_TroyOz)</f>
        <v/>
      </c>
      <c r="O593" s="59">
        <f>IF(tblMovement[[#This Row],[Is_Ore]]=1,tblMovement[[#This Row],[Contained_oz]],0)</f>
        <v/>
      </c>
    </row>
    <row r="594">
      <c r="A594" s="54" t="n"/>
      <c r="B594" s="61" t="n"/>
      <c r="C594" s="61" t="n"/>
      <c r="D594" s="61" t="n"/>
      <c r="E594" s="61" t="n"/>
      <c r="F594" s="55" t="n"/>
      <c r="G594" s="56" t="n"/>
      <c r="H594" s="55" t="n"/>
      <c r="I594" s="62" t="n"/>
      <c r="J594" s="58" t="n"/>
      <c r="K594" s="63">
        <f>IF(tblMovement[[#This Row],[Source]]="","",IFERROR(INDEX(tblSources[Type],MATCH(tblMovement[[#This Row],[Source]],tblSources[Source],0)),"?"))</f>
        <v/>
      </c>
      <c r="L594" s="63">
        <f>IF(tblMovement[[#This Row],[Destination]]="","",IFERROR(INDEX(tblDestinations[Type],MATCH(tblMovement[[#This Row],[Destination]],tblDestinations[Destination],0)),"?"))</f>
        <v/>
      </c>
      <c r="M594" s="64">
        <f>IF(tblMovement[[#This Row],[Material]]="","",IF(LEFT(tblMovement[[#This Row],[Material]],3)="Ore",1,0))</f>
        <v/>
      </c>
      <c r="N594" s="59">
        <f>IF(OR(tblMovement[[#This Row],[Tonnes_t]]="",tblMovement[[#This Row],[Grade_gpt]]=""),0,tblMovement[[#This Row],[Tonnes_t]]*tblMovement[[#This Row],[Grade_gpt]]/cfg_TroyOz)</f>
        <v/>
      </c>
      <c r="O594" s="59">
        <f>IF(tblMovement[[#This Row],[Is_Ore]]=1,tblMovement[[#This Row],[Contained_oz]],0)</f>
        <v/>
      </c>
    </row>
    <row r="595">
      <c r="A595" s="54" t="n"/>
      <c r="B595" s="61" t="n"/>
      <c r="C595" s="61" t="n"/>
      <c r="D595" s="61" t="n"/>
      <c r="E595" s="61" t="n"/>
      <c r="F595" s="55" t="n"/>
      <c r="G595" s="56" t="n"/>
      <c r="H595" s="55" t="n"/>
      <c r="I595" s="62" t="n"/>
      <c r="J595" s="58" t="n"/>
      <c r="K595" s="63">
        <f>IF(tblMovement[[#This Row],[Source]]="","",IFERROR(INDEX(tblSources[Type],MATCH(tblMovement[[#This Row],[Source]],tblSources[Source],0)),"?"))</f>
        <v/>
      </c>
      <c r="L595" s="63">
        <f>IF(tblMovement[[#This Row],[Destination]]="","",IFERROR(INDEX(tblDestinations[Type],MATCH(tblMovement[[#This Row],[Destination]],tblDestinations[Destination],0)),"?"))</f>
        <v/>
      </c>
      <c r="M595" s="64">
        <f>IF(tblMovement[[#This Row],[Material]]="","",IF(LEFT(tblMovement[[#This Row],[Material]],3)="Ore",1,0))</f>
        <v/>
      </c>
      <c r="N595" s="59">
        <f>IF(OR(tblMovement[[#This Row],[Tonnes_t]]="",tblMovement[[#This Row],[Grade_gpt]]=""),0,tblMovement[[#This Row],[Tonnes_t]]*tblMovement[[#This Row],[Grade_gpt]]/cfg_TroyOz)</f>
        <v/>
      </c>
      <c r="O595" s="59">
        <f>IF(tblMovement[[#This Row],[Is_Ore]]=1,tblMovement[[#This Row],[Contained_oz]],0)</f>
        <v/>
      </c>
    </row>
    <row r="596">
      <c r="A596" s="54" t="n"/>
      <c r="B596" s="61" t="n"/>
      <c r="C596" s="61" t="n"/>
      <c r="D596" s="61" t="n"/>
      <c r="E596" s="61" t="n"/>
      <c r="F596" s="55" t="n"/>
      <c r="G596" s="56" t="n"/>
      <c r="H596" s="55" t="n"/>
      <c r="I596" s="62" t="n"/>
      <c r="J596" s="58" t="n"/>
      <c r="K596" s="63">
        <f>IF(tblMovement[[#This Row],[Source]]="","",IFERROR(INDEX(tblSources[Type],MATCH(tblMovement[[#This Row],[Source]],tblSources[Source],0)),"?"))</f>
        <v/>
      </c>
      <c r="L596" s="63">
        <f>IF(tblMovement[[#This Row],[Destination]]="","",IFERROR(INDEX(tblDestinations[Type],MATCH(tblMovement[[#This Row],[Destination]],tblDestinations[Destination],0)),"?"))</f>
        <v/>
      </c>
      <c r="M596" s="64">
        <f>IF(tblMovement[[#This Row],[Material]]="","",IF(LEFT(tblMovement[[#This Row],[Material]],3)="Ore",1,0))</f>
        <v/>
      </c>
      <c r="N596" s="59">
        <f>IF(OR(tblMovement[[#This Row],[Tonnes_t]]="",tblMovement[[#This Row],[Grade_gpt]]=""),0,tblMovement[[#This Row],[Tonnes_t]]*tblMovement[[#This Row],[Grade_gpt]]/cfg_TroyOz)</f>
        <v/>
      </c>
      <c r="O596" s="59">
        <f>IF(tblMovement[[#This Row],[Is_Ore]]=1,tblMovement[[#This Row],[Contained_oz]],0)</f>
        <v/>
      </c>
    </row>
    <row r="597">
      <c r="A597" s="54" t="n"/>
      <c r="B597" s="61" t="n"/>
      <c r="C597" s="61" t="n"/>
      <c r="D597" s="61" t="n"/>
      <c r="E597" s="61" t="n"/>
      <c r="F597" s="55" t="n"/>
      <c r="G597" s="56" t="n"/>
      <c r="H597" s="55" t="n"/>
      <c r="I597" s="62" t="n"/>
      <c r="J597" s="58" t="n"/>
      <c r="K597" s="63">
        <f>IF(tblMovement[[#This Row],[Source]]="","",IFERROR(INDEX(tblSources[Type],MATCH(tblMovement[[#This Row],[Source]],tblSources[Source],0)),"?"))</f>
        <v/>
      </c>
      <c r="L597" s="63">
        <f>IF(tblMovement[[#This Row],[Destination]]="","",IFERROR(INDEX(tblDestinations[Type],MATCH(tblMovement[[#This Row],[Destination]],tblDestinations[Destination],0)),"?"))</f>
        <v/>
      </c>
      <c r="M597" s="64">
        <f>IF(tblMovement[[#This Row],[Material]]="","",IF(LEFT(tblMovement[[#This Row],[Material]],3)="Ore",1,0))</f>
        <v/>
      </c>
      <c r="N597" s="59">
        <f>IF(OR(tblMovement[[#This Row],[Tonnes_t]]="",tblMovement[[#This Row],[Grade_gpt]]=""),0,tblMovement[[#This Row],[Tonnes_t]]*tblMovement[[#This Row],[Grade_gpt]]/cfg_TroyOz)</f>
        <v/>
      </c>
      <c r="O597" s="59">
        <f>IF(tblMovement[[#This Row],[Is_Ore]]=1,tblMovement[[#This Row],[Contained_oz]],0)</f>
        <v/>
      </c>
    </row>
    <row r="598">
      <c r="A598" s="54" t="n"/>
      <c r="B598" s="61" t="n"/>
      <c r="C598" s="61" t="n"/>
      <c r="D598" s="61" t="n"/>
      <c r="E598" s="61" t="n"/>
      <c r="F598" s="55" t="n"/>
      <c r="G598" s="56" t="n"/>
      <c r="H598" s="55" t="n"/>
      <c r="I598" s="62" t="n"/>
      <c r="J598" s="58" t="n"/>
      <c r="K598" s="63">
        <f>IF(tblMovement[[#This Row],[Source]]="","",IFERROR(INDEX(tblSources[Type],MATCH(tblMovement[[#This Row],[Source]],tblSources[Source],0)),"?"))</f>
        <v/>
      </c>
      <c r="L598" s="63">
        <f>IF(tblMovement[[#This Row],[Destination]]="","",IFERROR(INDEX(tblDestinations[Type],MATCH(tblMovement[[#This Row],[Destination]],tblDestinations[Destination],0)),"?"))</f>
        <v/>
      </c>
      <c r="M598" s="64">
        <f>IF(tblMovement[[#This Row],[Material]]="","",IF(LEFT(tblMovement[[#This Row],[Material]],3)="Ore",1,0))</f>
        <v/>
      </c>
      <c r="N598" s="59">
        <f>IF(OR(tblMovement[[#This Row],[Tonnes_t]]="",tblMovement[[#This Row],[Grade_gpt]]=""),0,tblMovement[[#This Row],[Tonnes_t]]*tblMovement[[#This Row],[Grade_gpt]]/cfg_TroyOz)</f>
        <v/>
      </c>
      <c r="O598" s="59">
        <f>IF(tblMovement[[#This Row],[Is_Ore]]=1,tblMovement[[#This Row],[Contained_oz]],0)</f>
        <v/>
      </c>
    </row>
    <row r="599">
      <c r="A599" s="54" t="n"/>
      <c r="B599" s="61" t="n"/>
      <c r="C599" s="61" t="n"/>
      <c r="D599" s="61" t="n"/>
      <c r="E599" s="61" t="n"/>
      <c r="F599" s="55" t="n"/>
      <c r="G599" s="56" t="n"/>
      <c r="H599" s="55" t="n"/>
      <c r="I599" s="62" t="n"/>
      <c r="J599" s="58" t="n"/>
      <c r="K599" s="63">
        <f>IF(tblMovement[[#This Row],[Source]]="","",IFERROR(INDEX(tblSources[Type],MATCH(tblMovement[[#This Row],[Source]],tblSources[Source],0)),"?"))</f>
        <v/>
      </c>
      <c r="L599" s="63">
        <f>IF(tblMovement[[#This Row],[Destination]]="","",IFERROR(INDEX(tblDestinations[Type],MATCH(tblMovement[[#This Row],[Destination]],tblDestinations[Destination],0)),"?"))</f>
        <v/>
      </c>
      <c r="M599" s="64">
        <f>IF(tblMovement[[#This Row],[Material]]="","",IF(LEFT(tblMovement[[#This Row],[Material]],3)="Ore",1,0))</f>
        <v/>
      </c>
      <c r="N599" s="59">
        <f>IF(OR(tblMovement[[#This Row],[Tonnes_t]]="",tblMovement[[#This Row],[Grade_gpt]]=""),0,tblMovement[[#This Row],[Tonnes_t]]*tblMovement[[#This Row],[Grade_gpt]]/cfg_TroyOz)</f>
        <v/>
      </c>
      <c r="O599" s="59">
        <f>IF(tblMovement[[#This Row],[Is_Ore]]=1,tblMovement[[#This Row],[Contained_oz]],0)</f>
        <v/>
      </c>
    </row>
    <row r="600">
      <c r="A600" s="54" t="n"/>
      <c r="B600" s="61" t="n"/>
      <c r="C600" s="61" t="n"/>
      <c r="D600" s="61" t="n"/>
      <c r="E600" s="61" t="n"/>
      <c r="F600" s="55" t="n"/>
      <c r="G600" s="56" t="n"/>
      <c r="H600" s="55" t="n"/>
      <c r="I600" s="62" t="n"/>
      <c r="J600" s="58" t="n"/>
      <c r="K600" s="63">
        <f>IF(tblMovement[[#This Row],[Source]]="","",IFERROR(INDEX(tblSources[Type],MATCH(tblMovement[[#This Row],[Source]],tblSources[Source],0)),"?"))</f>
        <v/>
      </c>
      <c r="L600" s="63">
        <f>IF(tblMovement[[#This Row],[Destination]]="","",IFERROR(INDEX(tblDestinations[Type],MATCH(tblMovement[[#This Row],[Destination]],tblDestinations[Destination],0)),"?"))</f>
        <v/>
      </c>
      <c r="M600" s="64">
        <f>IF(tblMovement[[#This Row],[Material]]="","",IF(LEFT(tblMovement[[#This Row],[Material]],3)="Ore",1,0))</f>
        <v/>
      </c>
      <c r="N600" s="59">
        <f>IF(OR(tblMovement[[#This Row],[Tonnes_t]]="",tblMovement[[#This Row],[Grade_gpt]]=""),0,tblMovement[[#This Row],[Tonnes_t]]*tblMovement[[#This Row],[Grade_gpt]]/cfg_TroyOz)</f>
        <v/>
      </c>
      <c r="O600" s="59">
        <f>IF(tblMovement[[#This Row],[Is_Ore]]=1,tblMovement[[#This Row],[Contained_oz]],0)</f>
        <v/>
      </c>
    </row>
    <row r="601">
      <c r="A601" s="54" t="n"/>
      <c r="B601" s="61" t="n"/>
      <c r="C601" s="61" t="n"/>
      <c r="D601" s="61" t="n"/>
      <c r="E601" s="61" t="n"/>
      <c r="F601" s="55" t="n"/>
      <c r="G601" s="56" t="n"/>
      <c r="H601" s="55" t="n"/>
      <c r="I601" s="62" t="n"/>
      <c r="J601" s="58" t="n"/>
      <c r="K601" s="63">
        <f>IF(tblMovement[[#This Row],[Source]]="","",IFERROR(INDEX(tblSources[Type],MATCH(tblMovement[[#This Row],[Source]],tblSources[Source],0)),"?"))</f>
        <v/>
      </c>
      <c r="L601" s="63">
        <f>IF(tblMovement[[#This Row],[Destination]]="","",IFERROR(INDEX(tblDestinations[Type],MATCH(tblMovement[[#This Row],[Destination]],tblDestinations[Destination],0)),"?"))</f>
        <v/>
      </c>
      <c r="M601" s="64">
        <f>IF(tblMovement[[#This Row],[Material]]="","",IF(LEFT(tblMovement[[#This Row],[Material]],3)="Ore",1,0))</f>
        <v/>
      </c>
      <c r="N601" s="59">
        <f>IF(OR(tblMovement[[#This Row],[Tonnes_t]]="",tblMovement[[#This Row],[Grade_gpt]]=""),0,tblMovement[[#This Row],[Tonnes_t]]*tblMovement[[#This Row],[Grade_gpt]]/cfg_TroyOz)</f>
        <v/>
      </c>
      <c r="O601" s="59">
        <f>IF(tblMovement[[#This Row],[Is_Ore]]=1,tblMovement[[#This Row],[Contained_oz]],0)</f>
        <v/>
      </c>
    </row>
    <row r="602">
      <c r="A602" s="54" t="n"/>
      <c r="B602" s="61" t="n"/>
      <c r="C602" s="61" t="n"/>
      <c r="D602" s="61" t="n"/>
      <c r="E602" s="61" t="n"/>
      <c r="F602" s="55" t="n"/>
      <c r="G602" s="56" t="n"/>
      <c r="H602" s="55" t="n"/>
      <c r="I602" s="62" t="n"/>
      <c r="J602" s="58" t="n"/>
      <c r="K602" s="63">
        <f>IF(tblMovement[[#This Row],[Source]]="","",IFERROR(INDEX(tblSources[Type],MATCH(tblMovement[[#This Row],[Source]],tblSources[Source],0)),"?"))</f>
        <v/>
      </c>
      <c r="L602" s="63">
        <f>IF(tblMovement[[#This Row],[Destination]]="","",IFERROR(INDEX(tblDestinations[Type],MATCH(tblMovement[[#This Row],[Destination]],tblDestinations[Destination],0)),"?"))</f>
        <v/>
      </c>
      <c r="M602" s="64">
        <f>IF(tblMovement[[#This Row],[Material]]="","",IF(LEFT(tblMovement[[#This Row],[Material]],3)="Ore",1,0))</f>
        <v/>
      </c>
      <c r="N602" s="59">
        <f>IF(OR(tblMovement[[#This Row],[Tonnes_t]]="",tblMovement[[#This Row],[Grade_gpt]]=""),0,tblMovement[[#This Row],[Tonnes_t]]*tblMovement[[#This Row],[Grade_gpt]]/cfg_TroyOz)</f>
        <v/>
      </c>
      <c r="O602" s="59">
        <f>IF(tblMovement[[#This Row],[Is_Ore]]=1,tblMovement[[#This Row],[Contained_oz]],0)</f>
        <v/>
      </c>
    </row>
    <row r="603">
      <c r="A603" s="54" t="n"/>
      <c r="B603" s="61" t="n"/>
      <c r="C603" s="61" t="n"/>
      <c r="D603" s="61" t="n"/>
      <c r="E603" s="61" t="n"/>
      <c r="F603" s="55" t="n"/>
      <c r="G603" s="56" t="n"/>
      <c r="H603" s="55" t="n"/>
      <c r="I603" s="62" t="n"/>
      <c r="J603" s="58" t="n"/>
      <c r="K603" s="63">
        <f>IF(tblMovement[[#This Row],[Source]]="","",IFERROR(INDEX(tblSources[Type],MATCH(tblMovement[[#This Row],[Source]],tblSources[Source],0)),"?"))</f>
        <v/>
      </c>
      <c r="L603" s="63">
        <f>IF(tblMovement[[#This Row],[Destination]]="","",IFERROR(INDEX(tblDestinations[Type],MATCH(tblMovement[[#This Row],[Destination]],tblDestinations[Destination],0)),"?"))</f>
        <v/>
      </c>
      <c r="M603" s="64">
        <f>IF(tblMovement[[#This Row],[Material]]="","",IF(LEFT(tblMovement[[#This Row],[Material]],3)="Ore",1,0))</f>
        <v/>
      </c>
      <c r="N603" s="59">
        <f>IF(OR(tblMovement[[#This Row],[Tonnes_t]]="",tblMovement[[#This Row],[Grade_gpt]]=""),0,tblMovement[[#This Row],[Tonnes_t]]*tblMovement[[#This Row],[Grade_gpt]]/cfg_TroyOz)</f>
        <v/>
      </c>
      <c r="O603" s="59">
        <f>IF(tblMovement[[#This Row],[Is_Ore]]=1,tblMovement[[#This Row],[Contained_oz]],0)</f>
        <v/>
      </c>
    </row>
    <row r="604">
      <c r="A604" s="54" t="n"/>
      <c r="B604" s="61" t="n"/>
      <c r="C604" s="61" t="n"/>
      <c r="D604" s="61" t="n"/>
      <c r="E604" s="61" t="n"/>
      <c r="F604" s="55" t="n"/>
      <c r="G604" s="56" t="n"/>
      <c r="H604" s="55" t="n"/>
      <c r="I604" s="62" t="n"/>
      <c r="J604" s="58" t="n"/>
      <c r="K604" s="63">
        <f>IF(tblMovement[[#This Row],[Source]]="","",IFERROR(INDEX(tblSources[Type],MATCH(tblMovement[[#This Row],[Source]],tblSources[Source],0)),"?"))</f>
        <v/>
      </c>
      <c r="L604" s="63">
        <f>IF(tblMovement[[#This Row],[Destination]]="","",IFERROR(INDEX(tblDestinations[Type],MATCH(tblMovement[[#This Row],[Destination]],tblDestinations[Destination],0)),"?"))</f>
        <v/>
      </c>
      <c r="M604" s="64">
        <f>IF(tblMovement[[#This Row],[Material]]="","",IF(LEFT(tblMovement[[#This Row],[Material]],3)="Ore",1,0))</f>
        <v/>
      </c>
      <c r="N604" s="59">
        <f>IF(OR(tblMovement[[#This Row],[Tonnes_t]]="",tblMovement[[#This Row],[Grade_gpt]]=""),0,tblMovement[[#This Row],[Tonnes_t]]*tblMovement[[#This Row],[Grade_gpt]]/cfg_TroyOz)</f>
        <v/>
      </c>
      <c r="O604" s="59">
        <f>IF(tblMovement[[#This Row],[Is_Ore]]=1,tblMovement[[#This Row],[Contained_oz]],0)</f>
        <v/>
      </c>
    </row>
    <row r="605">
      <c r="A605" s="54" t="n"/>
      <c r="B605" s="61" t="n"/>
      <c r="C605" s="61" t="n"/>
      <c r="D605" s="61" t="n"/>
      <c r="E605" s="61" t="n"/>
      <c r="F605" s="55" t="n"/>
      <c r="G605" s="56" t="n"/>
      <c r="H605" s="55" t="n"/>
      <c r="I605" s="62" t="n"/>
      <c r="J605" s="58" t="n"/>
      <c r="K605" s="63">
        <f>IF(tblMovement[[#This Row],[Source]]="","",IFERROR(INDEX(tblSources[Type],MATCH(tblMovement[[#This Row],[Source]],tblSources[Source],0)),"?"))</f>
        <v/>
      </c>
      <c r="L605" s="63">
        <f>IF(tblMovement[[#This Row],[Destination]]="","",IFERROR(INDEX(tblDestinations[Type],MATCH(tblMovement[[#This Row],[Destination]],tblDestinations[Destination],0)),"?"))</f>
        <v/>
      </c>
      <c r="M605" s="64">
        <f>IF(tblMovement[[#This Row],[Material]]="","",IF(LEFT(tblMovement[[#This Row],[Material]],3)="Ore",1,0))</f>
        <v/>
      </c>
      <c r="N605" s="59">
        <f>IF(OR(tblMovement[[#This Row],[Tonnes_t]]="",tblMovement[[#This Row],[Grade_gpt]]=""),0,tblMovement[[#This Row],[Tonnes_t]]*tblMovement[[#This Row],[Grade_gpt]]/cfg_TroyOz)</f>
        <v/>
      </c>
      <c r="O605" s="59">
        <f>IF(tblMovement[[#This Row],[Is_Ore]]=1,tblMovement[[#This Row],[Contained_oz]],0)</f>
        <v/>
      </c>
    </row>
    <row r="606">
      <c r="A606" s="54" t="n"/>
      <c r="B606" s="61" t="n"/>
      <c r="C606" s="61" t="n"/>
      <c r="D606" s="61" t="n"/>
      <c r="E606" s="61" t="n"/>
      <c r="F606" s="55" t="n"/>
      <c r="G606" s="56" t="n"/>
      <c r="H606" s="55" t="n"/>
      <c r="I606" s="62" t="n"/>
      <c r="J606" s="58" t="n"/>
      <c r="K606" s="63">
        <f>IF(tblMovement[[#This Row],[Source]]="","",IFERROR(INDEX(tblSources[Type],MATCH(tblMovement[[#This Row],[Source]],tblSources[Source],0)),"?"))</f>
        <v/>
      </c>
      <c r="L606" s="63">
        <f>IF(tblMovement[[#This Row],[Destination]]="","",IFERROR(INDEX(tblDestinations[Type],MATCH(tblMovement[[#This Row],[Destination]],tblDestinations[Destination],0)),"?"))</f>
        <v/>
      </c>
      <c r="M606" s="64">
        <f>IF(tblMovement[[#This Row],[Material]]="","",IF(LEFT(tblMovement[[#This Row],[Material]],3)="Ore",1,0))</f>
        <v/>
      </c>
      <c r="N606" s="59">
        <f>IF(OR(tblMovement[[#This Row],[Tonnes_t]]="",tblMovement[[#This Row],[Grade_gpt]]=""),0,tblMovement[[#This Row],[Tonnes_t]]*tblMovement[[#This Row],[Grade_gpt]]/cfg_TroyOz)</f>
        <v/>
      </c>
      <c r="O606" s="59">
        <f>IF(tblMovement[[#This Row],[Is_Ore]]=1,tblMovement[[#This Row],[Contained_oz]],0)</f>
        <v/>
      </c>
    </row>
    <row r="607">
      <c r="A607" s="54" t="n"/>
      <c r="B607" s="61" t="n"/>
      <c r="C607" s="61" t="n"/>
      <c r="D607" s="61" t="n"/>
      <c r="E607" s="61" t="n"/>
      <c r="F607" s="55" t="n"/>
      <c r="G607" s="56" t="n"/>
      <c r="H607" s="55" t="n"/>
      <c r="I607" s="62" t="n"/>
      <c r="J607" s="58" t="n"/>
      <c r="K607" s="63">
        <f>IF(tblMovement[[#This Row],[Source]]="","",IFERROR(INDEX(tblSources[Type],MATCH(tblMovement[[#This Row],[Source]],tblSources[Source],0)),"?"))</f>
        <v/>
      </c>
      <c r="L607" s="63">
        <f>IF(tblMovement[[#This Row],[Destination]]="","",IFERROR(INDEX(tblDestinations[Type],MATCH(tblMovement[[#This Row],[Destination]],tblDestinations[Destination],0)),"?"))</f>
        <v/>
      </c>
      <c r="M607" s="64">
        <f>IF(tblMovement[[#This Row],[Material]]="","",IF(LEFT(tblMovement[[#This Row],[Material]],3)="Ore",1,0))</f>
        <v/>
      </c>
      <c r="N607" s="59">
        <f>IF(OR(tblMovement[[#This Row],[Tonnes_t]]="",tblMovement[[#This Row],[Grade_gpt]]=""),0,tblMovement[[#This Row],[Tonnes_t]]*tblMovement[[#This Row],[Grade_gpt]]/cfg_TroyOz)</f>
        <v/>
      </c>
      <c r="O607" s="59">
        <f>IF(tblMovement[[#This Row],[Is_Ore]]=1,tblMovement[[#This Row],[Contained_oz]],0)</f>
        <v/>
      </c>
    </row>
    <row r="608">
      <c r="A608" s="54" t="n"/>
      <c r="B608" s="61" t="n"/>
      <c r="C608" s="61" t="n"/>
      <c r="D608" s="61" t="n"/>
      <c r="E608" s="61" t="n"/>
      <c r="F608" s="55" t="n"/>
      <c r="G608" s="56" t="n"/>
      <c r="H608" s="55" t="n"/>
      <c r="I608" s="62" t="n"/>
      <c r="J608" s="58" t="n"/>
      <c r="K608" s="63">
        <f>IF(tblMovement[[#This Row],[Source]]="","",IFERROR(INDEX(tblSources[Type],MATCH(tblMovement[[#This Row],[Source]],tblSources[Source],0)),"?"))</f>
        <v/>
      </c>
      <c r="L608" s="63">
        <f>IF(tblMovement[[#This Row],[Destination]]="","",IFERROR(INDEX(tblDestinations[Type],MATCH(tblMovement[[#This Row],[Destination]],tblDestinations[Destination],0)),"?"))</f>
        <v/>
      </c>
      <c r="M608" s="64">
        <f>IF(tblMovement[[#This Row],[Material]]="","",IF(LEFT(tblMovement[[#This Row],[Material]],3)="Ore",1,0))</f>
        <v/>
      </c>
      <c r="N608" s="59">
        <f>IF(OR(tblMovement[[#This Row],[Tonnes_t]]="",tblMovement[[#This Row],[Grade_gpt]]=""),0,tblMovement[[#This Row],[Tonnes_t]]*tblMovement[[#This Row],[Grade_gpt]]/cfg_TroyOz)</f>
        <v/>
      </c>
      <c r="O608" s="59">
        <f>IF(tblMovement[[#This Row],[Is_Ore]]=1,tblMovement[[#This Row],[Contained_oz]],0)</f>
        <v/>
      </c>
    </row>
    <row r="609">
      <c r="A609" s="54" t="n"/>
      <c r="B609" s="61" t="n"/>
      <c r="C609" s="61" t="n"/>
      <c r="D609" s="61" t="n"/>
      <c r="E609" s="61" t="n"/>
      <c r="F609" s="55" t="n"/>
      <c r="G609" s="56" t="n"/>
      <c r="H609" s="55" t="n"/>
      <c r="I609" s="62" t="n"/>
      <c r="J609" s="58" t="n"/>
      <c r="K609" s="63">
        <f>IF(tblMovement[[#This Row],[Source]]="","",IFERROR(INDEX(tblSources[Type],MATCH(tblMovement[[#This Row],[Source]],tblSources[Source],0)),"?"))</f>
        <v/>
      </c>
      <c r="L609" s="63">
        <f>IF(tblMovement[[#This Row],[Destination]]="","",IFERROR(INDEX(tblDestinations[Type],MATCH(tblMovement[[#This Row],[Destination]],tblDestinations[Destination],0)),"?"))</f>
        <v/>
      </c>
      <c r="M609" s="64">
        <f>IF(tblMovement[[#This Row],[Material]]="","",IF(LEFT(tblMovement[[#This Row],[Material]],3)="Ore",1,0))</f>
        <v/>
      </c>
      <c r="N609" s="59">
        <f>IF(OR(tblMovement[[#This Row],[Tonnes_t]]="",tblMovement[[#This Row],[Grade_gpt]]=""),0,tblMovement[[#This Row],[Tonnes_t]]*tblMovement[[#This Row],[Grade_gpt]]/cfg_TroyOz)</f>
        <v/>
      </c>
      <c r="O609" s="59">
        <f>IF(tblMovement[[#This Row],[Is_Ore]]=1,tblMovement[[#This Row],[Contained_oz]],0)</f>
        <v/>
      </c>
    </row>
    <row r="610">
      <c r="A610" s="54" t="n"/>
      <c r="B610" s="61" t="n"/>
      <c r="C610" s="61" t="n"/>
      <c r="D610" s="61" t="n"/>
      <c r="E610" s="61" t="n"/>
      <c r="F610" s="55" t="n"/>
      <c r="G610" s="56" t="n"/>
      <c r="H610" s="55" t="n"/>
      <c r="I610" s="62" t="n"/>
      <c r="J610" s="58" t="n"/>
      <c r="K610" s="63">
        <f>IF(tblMovement[[#This Row],[Source]]="","",IFERROR(INDEX(tblSources[Type],MATCH(tblMovement[[#This Row],[Source]],tblSources[Source],0)),"?"))</f>
        <v/>
      </c>
      <c r="L610" s="63">
        <f>IF(tblMovement[[#This Row],[Destination]]="","",IFERROR(INDEX(tblDestinations[Type],MATCH(tblMovement[[#This Row],[Destination]],tblDestinations[Destination],0)),"?"))</f>
        <v/>
      </c>
      <c r="M610" s="64">
        <f>IF(tblMovement[[#This Row],[Material]]="","",IF(LEFT(tblMovement[[#This Row],[Material]],3)="Ore",1,0))</f>
        <v/>
      </c>
      <c r="N610" s="59">
        <f>IF(OR(tblMovement[[#This Row],[Tonnes_t]]="",tblMovement[[#This Row],[Grade_gpt]]=""),0,tblMovement[[#This Row],[Tonnes_t]]*tblMovement[[#This Row],[Grade_gpt]]/cfg_TroyOz)</f>
        <v/>
      </c>
      <c r="O610" s="59">
        <f>IF(tblMovement[[#This Row],[Is_Ore]]=1,tblMovement[[#This Row],[Contained_oz]],0)</f>
        <v/>
      </c>
    </row>
    <row r="611">
      <c r="A611" s="54" t="n"/>
      <c r="B611" s="61" t="n"/>
      <c r="C611" s="61" t="n"/>
      <c r="D611" s="61" t="n"/>
      <c r="E611" s="61" t="n"/>
      <c r="F611" s="55" t="n"/>
      <c r="G611" s="56" t="n"/>
      <c r="H611" s="55" t="n"/>
      <c r="I611" s="62" t="n"/>
      <c r="J611" s="58" t="n"/>
      <c r="K611" s="63">
        <f>IF(tblMovement[[#This Row],[Source]]="","",IFERROR(INDEX(tblSources[Type],MATCH(tblMovement[[#This Row],[Source]],tblSources[Source],0)),"?"))</f>
        <v/>
      </c>
      <c r="L611" s="63">
        <f>IF(tblMovement[[#This Row],[Destination]]="","",IFERROR(INDEX(tblDestinations[Type],MATCH(tblMovement[[#This Row],[Destination]],tblDestinations[Destination],0)),"?"))</f>
        <v/>
      </c>
      <c r="M611" s="64">
        <f>IF(tblMovement[[#This Row],[Material]]="","",IF(LEFT(tblMovement[[#This Row],[Material]],3)="Ore",1,0))</f>
        <v/>
      </c>
      <c r="N611" s="59">
        <f>IF(OR(tblMovement[[#This Row],[Tonnes_t]]="",tblMovement[[#This Row],[Grade_gpt]]=""),0,tblMovement[[#This Row],[Tonnes_t]]*tblMovement[[#This Row],[Grade_gpt]]/cfg_TroyOz)</f>
        <v/>
      </c>
      <c r="O611" s="59">
        <f>IF(tblMovement[[#This Row],[Is_Ore]]=1,tblMovement[[#This Row],[Contained_oz]],0)</f>
        <v/>
      </c>
    </row>
    <row r="612">
      <c r="A612" s="54" t="n"/>
      <c r="B612" s="61" t="n"/>
      <c r="C612" s="61" t="n"/>
      <c r="D612" s="61" t="n"/>
      <c r="E612" s="61" t="n"/>
      <c r="F612" s="55" t="n"/>
      <c r="G612" s="56" t="n"/>
      <c r="H612" s="55" t="n"/>
      <c r="I612" s="62" t="n"/>
      <c r="J612" s="58" t="n"/>
      <c r="K612" s="63">
        <f>IF(tblMovement[[#This Row],[Source]]="","",IFERROR(INDEX(tblSources[Type],MATCH(tblMovement[[#This Row],[Source]],tblSources[Source],0)),"?"))</f>
        <v/>
      </c>
      <c r="L612" s="63">
        <f>IF(tblMovement[[#This Row],[Destination]]="","",IFERROR(INDEX(tblDestinations[Type],MATCH(tblMovement[[#This Row],[Destination]],tblDestinations[Destination],0)),"?"))</f>
        <v/>
      </c>
      <c r="M612" s="64">
        <f>IF(tblMovement[[#This Row],[Material]]="","",IF(LEFT(tblMovement[[#This Row],[Material]],3)="Ore",1,0))</f>
        <v/>
      </c>
      <c r="N612" s="59">
        <f>IF(OR(tblMovement[[#This Row],[Tonnes_t]]="",tblMovement[[#This Row],[Grade_gpt]]=""),0,tblMovement[[#This Row],[Tonnes_t]]*tblMovement[[#This Row],[Grade_gpt]]/cfg_TroyOz)</f>
        <v/>
      </c>
      <c r="O612" s="59">
        <f>IF(tblMovement[[#This Row],[Is_Ore]]=1,tblMovement[[#This Row],[Contained_oz]],0)</f>
        <v/>
      </c>
    </row>
    <row r="613">
      <c r="A613" s="54" t="n"/>
      <c r="B613" s="61" t="n"/>
      <c r="C613" s="61" t="n"/>
      <c r="D613" s="61" t="n"/>
      <c r="E613" s="61" t="n"/>
      <c r="F613" s="55" t="n"/>
      <c r="G613" s="56" t="n"/>
      <c r="H613" s="55" t="n"/>
      <c r="I613" s="62" t="n"/>
      <c r="J613" s="58" t="n"/>
      <c r="K613" s="63">
        <f>IF(tblMovement[[#This Row],[Source]]="","",IFERROR(INDEX(tblSources[Type],MATCH(tblMovement[[#This Row],[Source]],tblSources[Source],0)),"?"))</f>
        <v/>
      </c>
      <c r="L613" s="63">
        <f>IF(tblMovement[[#This Row],[Destination]]="","",IFERROR(INDEX(tblDestinations[Type],MATCH(tblMovement[[#This Row],[Destination]],tblDestinations[Destination],0)),"?"))</f>
        <v/>
      </c>
      <c r="M613" s="64">
        <f>IF(tblMovement[[#This Row],[Material]]="","",IF(LEFT(tblMovement[[#This Row],[Material]],3)="Ore",1,0))</f>
        <v/>
      </c>
      <c r="N613" s="59">
        <f>IF(OR(tblMovement[[#This Row],[Tonnes_t]]="",tblMovement[[#This Row],[Grade_gpt]]=""),0,tblMovement[[#This Row],[Tonnes_t]]*tblMovement[[#This Row],[Grade_gpt]]/cfg_TroyOz)</f>
        <v/>
      </c>
      <c r="O613" s="59">
        <f>IF(tblMovement[[#This Row],[Is_Ore]]=1,tblMovement[[#This Row],[Contained_oz]],0)</f>
        <v/>
      </c>
    </row>
    <row r="614">
      <c r="A614" s="54" t="n"/>
      <c r="B614" s="61" t="n"/>
      <c r="C614" s="61" t="n"/>
      <c r="D614" s="61" t="n"/>
      <c r="E614" s="61" t="n"/>
      <c r="F614" s="55" t="n"/>
      <c r="G614" s="56" t="n"/>
      <c r="H614" s="55" t="n"/>
      <c r="I614" s="62" t="n"/>
      <c r="J614" s="58" t="n"/>
      <c r="K614" s="63">
        <f>IF(tblMovement[[#This Row],[Source]]="","",IFERROR(INDEX(tblSources[Type],MATCH(tblMovement[[#This Row],[Source]],tblSources[Source],0)),"?"))</f>
        <v/>
      </c>
      <c r="L614" s="63">
        <f>IF(tblMovement[[#This Row],[Destination]]="","",IFERROR(INDEX(tblDestinations[Type],MATCH(tblMovement[[#This Row],[Destination]],tblDestinations[Destination],0)),"?"))</f>
        <v/>
      </c>
      <c r="M614" s="64">
        <f>IF(tblMovement[[#This Row],[Material]]="","",IF(LEFT(tblMovement[[#This Row],[Material]],3)="Ore",1,0))</f>
        <v/>
      </c>
      <c r="N614" s="59">
        <f>IF(OR(tblMovement[[#This Row],[Tonnes_t]]="",tblMovement[[#This Row],[Grade_gpt]]=""),0,tblMovement[[#This Row],[Tonnes_t]]*tblMovement[[#This Row],[Grade_gpt]]/cfg_TroyOz)</f>
        <v/>
      </c>
      <c r="O614" s="59">
        <f>IF(tblMovement[[#This Row],[Is_Ore]]=1,tblMovement[[#This Row],[Contained_oz]],0)</f>
        <v/>
      </c>
    </row>
    <row r="615">
      <c r="A615" s="54" t="n"/>
      <c r="B615" s="61" t="n"/>
      <c r="C615" s="61" t="n"/>
      <c r="D615" s="61" t="n"/>
      <c r="E615" s="61" t="n"/>
      <c r="F615" s="55" t="n"/>
      <c r="G615" s="56" t="n"/>
      <c r="H615" s="55" t="n"/>
      <c r="I615" s="62" t="n"/>
      <c r="J615" s="58" t="n"/>
      <c r="K615" s="63">
        <f>IF(tblMovement[[#This Row],[Source]]="","",IFERROR(INDEX(tblSources[Type],MATCH(tblMovement[[#This Row],[Source]],tblSources[Source],0)),"?"))</f>
        <v/>
      </c>
      <c r="L615" s="63">
        <f>IF(tblMovement[[#This Row],[Destination]]="","",IFERROR(INDEX(tblDestinations[Type],MATCH(tblMovement[[#This Row],[Destination]],tblDestinations[Destination],0)),"?"))</f>
        <v/>
      </c>
      <c r="M615" s="64">
        <f>IF(tblMovement[[#This Row],[Material]]="","",IF(LEFT(tblMovement[[#This Row],[Material]],3)="Ore",1,0))</f>
        <v/>
      </c>
      <c r="N615" s="59">
        <f>IF(OR(tblMovement[[#This Row],[Tonnes_t]]="",tblMovement[[#This Row],[Grade_gpt]]=""),0,tblMovement[[#This Row],[Tonnes_t]]*tblMovement[[#This Row],[Grade_gpt]]/cfg_TroyOz)</f>
        <v/>
      </c>
      <c r="O615" s="59">
        <f>IF(tblMovement[[#This Row],[Is_Ore]]=1,tblMovement[[#This Row],[Contained_oz]],0)</f>
        <v/>
      </c>
    </row>
    <row r="616">
      <c r="A616" s="54" t="n"/>
      <c r="B616" s="61" t="n"/>
      <c r="C616" s="61" t="n"/>
      <c r="D616" s="61" t="n"/>
      <c r="E616" s="61" t="n"/>
      <c r="F616" s="55" t="n"/>
      <c r="G616" s="56" t="n"/>
      <c r="H616" s="55" t="n"/>
      <c r="I616" s="62" t="n"/>
      <c r="J616" s="58" t="n"/>
      <c r="K616" s="63">
        <f>IF(tblMovement[[#This Row],[Source]]="","",IFERROR(INDEX(tblSources[Type],MATCH(tblMovement[[#This Row],[Source]],tblSources[Source],0)),"?"))</f>
        <v/>
      </c>
      <c r="L616" s="63">
        <f>IF(tblMovement[[#This Row],[Destination]]="","",IFERROR(INDEX(tblDestinations[Type],MATCH(tblMovement[[#This Row],[Destination]],tblDestinations[Destination],0)),"?"))</f>
        <v/>
      </c>
      <c r="M616" s="64">
        <f>IF(tblMovement[[#This Row],[Material]]="","",IF(LEFT(tblMovement[[#This Row],[Material]],3)="Ore",1,0))</f>
        <v/>
      </c>
      <c r="N616" s="59">
        <f>IF(OR(tblMovement[[#This Row],[Tonnes_t]]="",tblMovement[[#This Row],[Grade_gpt]]=""),0,tblMovement[[#This Row],[Tonnes_t]]*tblMovement[[#This Row],[Grade_gpt]]/cfg_TroyOz)</f>
        <v/>
      </c>
      <c r="O616" s="59">
        <f>IF(tblMovement[[#This Row],[Is_Ore]]=1,tblMovement[[#This Row],[Contained_oz]],0)</f>
        <v/>
      </c>
    </row>
    <row r="617">
      <c r="A617" s="54" t="n"/>
      <c r="B617" s="61" t="n"/>
      <c r="C617" s="61" t="n"/>
      <c r="D617" s="61" t="n"/>
      <c r="E617" s="61" t="n"/>
      <c r="F617" s="55" t="n"/>
      <c r="G617" s="56" t="n"/>
      <c r="H617" s="55" t="n"/>
      <c r="I617" s="62" t="n"/>
      <c r="J617" s="58" t="n"/>
      <c r="K617" s="63">
        <f>IF(tblMovement[[#This Row],[Source]]="","",IFERROR(INDEX(tblSources[Type],MATCH(tblMovement[[#This Row],[Source]],tblSources[Source],0)),"?"))</f>
        <v/>
      </c>
      <c r="L617" s="63">
        <f>IF(tblMovement[[#This Row],[Destination]]="","",IFERROR(INDEX(tblDestinations[Type],MATCH(tblMovement[[#This Row],[Destination]],tblDestinations[Destination],0)),"?"))</f>
        <v/>
      </c>
      <c r="M617" s="64">
        <f>IF(tblMovement[[#This Row],[Material]]="","",IF(LEFT(tblMovement[[#This Row],[Material]],3)="Ore",1,0))</f>
        <v/>
      </c>
      <c r="N617" s="59">
        <f>IF(OR(tblMovement[[#This Row],[Tonnes_t]]="",tblMovement[[#This Row],[Grade_gpt]]=""),0,tblMovement[[#This Row],[Tonnes_t]]*tblMovement[[#This Row],[Grade_gpt]]/cfg_TroyOz)</f>
        <v/>
      </c>
      <c r="O617" s="59">
        <f>IF(tblMovement[[#This Row],[Is_Ore]]=1,tblMovement[[#This Row],[Contained_oz]],0)</f>
        <v/>
      </c>
    </row>
    <row r="618">
      <c r="A618" s="54" t="n"/>
      <c r="B618" s="61" t="n"/>
      <c r="C618" s="61" t="n"/>
      <c r="D618" s="61" t="n"/>
      <c r="E618" s="61" t="n"/>
      <c r="F618" s="55" t="n"/>
      <c r="G618" s="56" t="n"/>
      <c r="H618" s="55" t="n"/>
      <c r="I618" s="62" t="n"/>
      <c r="J618" s="58" t="n"/>
      <c r="K618" s="63">
        <f>IF(tblMovement[[#This Row],[Source]]="","",IFERROR(INDEX(tblSources[Type],MATCH(tblMovement[[#This Row],[Source]],tblSources[Source],0)),"?"))</f>
        <v/>
      </c>
      <c r="L618" s="63">
        <f>IF(tblMovement[[#This Row],[Destination]]="","",IFERROR(INDEX(tblDestinations[Type],MATCH(tblMovement[[#This Row],[Destination]],tblDestinations[Destination],0)),"?"))</f>
        <v/>
      </c>
      <c r="M618" s="64">
        <f>IF(tblMovement[[#This Row],[Material]]="","",IF(LEFT(tblMovement[[#This Row],[Material]],3)="Ore",1,0))</f>
        <v/>
      </c>
      <c r="N618" s="59">
        <f>IF(OR(tblMovement[[#This Row],[Tonnes_t]]="",tblMovement[[#This Row],[Grade_gpt]]=""),0,tblMovement[[#This Row],[Tonnes_t]]*tblMovement[[#This Row],[Grade_gpt]]/cfg_TroyOz)</f>
        <v/>
      </c>
      <c r="O618" s="59">
        <f>IF(tblMovement[[#This Row],[Is_Ore]]=1,tblMovement[[#This Row],[Contained_oz]],0)</f>
        <v/>
      </c>
    </row>
    <row r="619">
      <c r="A619" s="54" t="n"/>
      <c r="B619" s="61" t="n"/>
      <c r="C619" s="61" t="n"/>
      <c r="D619" s="61" t="n"/>
      <c r="E619" s="61" t="n"/>
      <c r="F619" s="55" t="n"/>
      <c r="G619" s="56" t="n"/>
      <c r="H619" s="55" t="n"/>
      <c r="I619" s="62" t="n"/>
      <c r="J619" s="58" t="n"/>
      <c r="K619" s="63">
        <f>IF(tblMovement[[#This Row],[Source]]="","",IFERROR(INDEX(tblSources[Type],MATCH(tblMovement[[#This Row],[Source]],tblSources[Source],0)),"?"))</f>
        <v/>
      </c>
      <c r="L619" s="63">
        <f>IF(tblMovement[[#This Row],[Destination]]="","",IFERROR(INDEX(tblDestinations[Type],MATCH(tblMovement[[#This Row],[Destination]],tblDestinations[Destination],0)),"?"))</f>
        <v/>
      </c>
      <c r="M619" s="64">
        <f>IF(tblMovement[[#This Row],[Material]]="","",IF(LEFT(tblMovement[[#This Row],[Material]],3)="Ore",1,0))</f>
        <v/>
      </c>
      <c r="N619" s="59">
        <f>IF(OR(tblMovement[[#This Row],[Tonnes_t]]="",tblMovement[[#This Row],[Grade_gpt]]=""),0,tblMovement[[#This Row],[Tonnes_t]]*tblMovement[[#This Row],[Grade_gpt]]/cfg_TroyOz)</f>
        <v/>
      </c>
      <c r="O619" s="59">
        <f>IF(tblMovement[[#This Row],[Is_Ore]]=1,tblMovement[[#This Row],[Contained_oz]],0)</f>
        <v/>
      </c>
    </row>
    <row r="620">
      <c r="A620" s="54" t="n"/>
      <c r="B620" s="61" t="n"/>
      <c r="C620" s="61" t="n"/>
      <c r="D620" s="61" t="n"/>
      <c r="E620" s="61" t="n"/>
      <c r="F620" s="55" t="n"/>
      <c r="G620" s="56" t="n"/>
      <c r="H620" s="55" t="n"/>
      <c r="I620" s="62" t="n"/>
      <c r="J620" s="58" t="n"/>
      <c r="K620" s="63">
        <f>IF(tblMovement[[#This Row],[Source]]="","",IFERROR(INDEX(tblSources[Type],MATCH(tblMovement[[#This Row],[Source]],tblSources[Source],0)),"?"))</f>
        <v/>
      </c>
      <c r="L620" s="63">
        <f>IF(tblMovement[[#This Row],[Destination]]="","",IFERROR(INDEX(tblDestinations[Type],MATCH(tblMovement[[#This Row],[Destination]],tblDestinations[Destination],0)),"?"))</f>
        <v/>
      </c>
      <c r="M620" s="64">
        <f>IF(tblMovement[[#This Row],[Material]]="","",IF(LEFT(tblMovement[[#This Row],[Material]],3)="Ore",1,0))</f>
        <v/>
      </c>
      <c r="N620" s="59">
        <f>IF(OR(tblMovement[[#This Row],[Tonnes_t]]="",tblMovement[[#This Row],[Grade_gpt]]=""),0,tblMovement[[#This Row],[Tonnes_t]]*tblMovement[[#This Row],[Grade_gpt]]/cfg_TroyOz)</f>
        <v/>
      </c>
      <c r="O620" s="59">
        <f>IF(tblMovement[[#This Row],[Is_Ore]]=1,tblMovement[[#This Row],[Contained_oz]],0)</f>
        <v/>
      </c>
    </row>
    <row r="621">
      <c r="A621" s="54" t="n"/>
      <c r="B621" s="61" t="n"/>
      <c r="C621" s="61" t="n"/>
      <c r="D621" s="61" t="n"/>
      <c r="E621" s="61" t="n"/>
      <c r="F621" s="55" t="n"/>
      <c r="G621" s="56" t="n"/>
      <c r="H621" s="55" t="n"/>
      <c r="I621" s="62" t="n"/>
      <c r="J621" s="58" t="n"/>
      <c r="K621" s="63">
        <f>IF(tblMovement[[#This Row],[Source]]="","",IFERROR(INDEX(tblSources[Type],MATCH(tblMovement[[#This Row],[Source]],tblSources[Source],0)),"?"))</f>
        <v/>
      </c>
      <c r="L621" s="63">
        <f>IF(tblMovement[[#This Row],[Destination]]="","",IFERROR(INDEX(tblDestinations[Type],MATCH(tblMovement[[#This Row],[Destination]],tblDestinations[Destination],0)),"?"))</f>
        <v/>
      </c>
      <c r="M621" s="64">
        <f>IF(tblMovement[[#This Row],[Material]]="","",IF(LEFT(tblMovement[[#This Row],[Material]],3)="Ore",1,0))</f>
        <v/>
      </c>
      <c r="N621" s="59">
        <f>IF(OR(tblMovement[[#This Row],[Tonnes_t]]="",tblMovement[[#This Row],[Grade_gpt]]=""),0,tblMovement[[#This Row],[Tonnes_t]]*tblMovement[[#This Row],[Grade_gpt]]/cfg_TroyOz)</f>
        <v/>
      </c>
      <c r="O621" s="59">
        <f>IF(tblMovement[[#This Row],[Is_Ore]]=1,tblMovement[[#This Row],[Contained_oz]],0)</f>
        <v/>
      </c>
    </row>
    <row r="622">
      <c r="A622" s="54" t="n"/>
      <c r="B622" s="61" t="n"/>
      <c r="C622" s="61" t="n"/>
      <c r="D622" s="61" t="n"/>
      <c r="E622" s="61" t="n"/>
      <c r="F622" s="55" t="n"/>
      <c r="G622" s="56" t="n"/>
      <c r="H622" s="55" t="n"/>
      <c r="I622" s="62" t="n"/>
      <c r="J622" s="58" t="n"/>
      <c r="K622" s="63">
        <f>IF(tblMovement[[#This Row],[Source]]="","",IFERROR(INDEX(tblSources[Type],MATCH(tblMovement[[#This Row],[Source]],tblSources[Source],0)),"?"))</f>
        <v/>
      </c>
      <c r="L622" s="63">
        <f>IF(tblMovement[[#This Row],[Destination]]="","",IFERROR(INDEX(tblDestinations[Type],MATCH(tblMovement[[#This Row],[Destination]],tblDestinations[Destination],0)),"?"))</f>
        <v/>
      </c>
      <c r="M622" s="64">
        <f>IF(tblMovement[[#This Row],[Material]]="","",IF(LEFT(tblMovement[[#This Row],[Material]],3)="Ore",1,0))</f>
        <v/>
      </c>
      <c r="N622" s="59">
        <f>IF(OR(tblMovement[[#This Row],[Tonnes_t]]="",tblMovement[[#This Row],[Grade_gpt]]=""),0,tblMovement[[#This Row],[Tonnes_t]]*tblMovement[[#This Row],[Grade_gpt]]/cfg_TroyOz)</f>
        <v/>
      </c>
      <c r="O622" s="59">
        <f>IF(tblMovement[[#This Row],[Is_Ore]]=1,tblMovement[[#This Row],[Contained_oz]],0)</f>
        <v/>
      </c>
    </row>
    <row r="623">
      <c r="A623" s="54" t="n"/>
      <c r="B623" s="61" t="n"/>
      <c r="C623" s="61" t="n"/>
      <c r="D623" s="61" t="n"/>
      <c r="E623" s="61" t="n"/>
      <c r="F623" s="55" t="n"/>
      <c r="G623" s="56" t="n"/>
      <c r="H623" s="55" t="n"/>
      <c r="I623" s="62" t="n"/>
      <c r="J623" s="58" t="n"/>
      <c r="K623" s="63">
        <f>IF(tblMovement[[#This Row],[Source]]="","",IFERROR(INDEX(tblSources[Type],MATCH(tblMovement[[#This Row],[Source]],tblSources[Source],0)),"?"))</f>
        <v/>
      </c>
      <c r="L623" s="63">
        <f>IF(tblMovement[[#This Row],[Destination]]="","",IFERROR(INDEX(tblDestinations[Type],MATCH(tblMovement[[#This Row],[Destination]],tblDestinations[Destination],0)),"?"))</f>
        <v/>
      </c>
      <c r="M623" s="64">
        <f>IF(tblMovement[[#This Row],[Material]]="","",IF(LEFT(tblMovement[[#This Row],[Material]],3)="Ore",1,0))</f>
        <v/>
      </c>
      <c r="N623" s="59">
        <f>IF(OR(tblMovement[[#This Row],[Tonnes_t]]="",tblMovement[[#This Row],[Grade_gpt]]=""),0,tblMovement[[#This Row],[Tonnes_t]]*tblMovement[[#This Row],[Grade_gpt]]/cfg_TroyOz)</f>
        <v/>
      </c>
      <c r="O623" s="59">
        <f>IF(tblMovement[[#This Row],[Is_Ore]]=1,tblMovement[[#This Row],[Contained_oz]],0)</f>
        <v/>
      </c>
    </row>
    <row r="624">
      <c r="A624" s="54" t="n"/>
      <c r="B624" s="61" t="n"/>
      <c r="C624" s="61" t="n"/>
      <c r="D624" s="61" t="n"/>
      <c r="E624" s="61" t="n"/>
      <c r="F624" s="55" t="n"/>
      <c r="G624" s="56" t="n"/>
      <c r="H624" s="55" t="n"/>
      <c r="I624" s="62" t="n"/>
      <c r="J624" s="58" t="n"/>
      <c r="K624" s="63">
        <f>IF(tblMovement[[#This Row],[Source]]="","",IFERROR(INDEX(tblSources[Type],MATCH(tblMovement[[#This Row],[Source]],tblSources[Source],0)),"?"))</f>
        <v/>
      </c>
      <c r="L624" s="63">
        <f>IF(tblMovement[[#This Row],[Destination]]="","",IFERROR(INDEX(tblDestinations[Type],MATCH(tblMovement[[#This Row],[Destination]],tblDestinations[Destination],0)),"?"))</f>
        <v/>
      </c>
      <c r="M624" s="64">
        <f>IF(tblMovement[[#This Row],[Material]]="","",IF(LEFT(tblMovement[[#This Row],[Material]],3)="Ore",1,0))</f>
        <v/>
      </c>
      <c r="N624" s="59">
        <f>IF(OR(tblMovement[[#This Row],[Tonnes_t]]="",tblMovement[[#This Row],[Grade_gpt]]=""),0,tblMovement[[#This Row],[Tonnes_t]]*tblMovement[[#This Row],[Grade_gpt]]/cfg_TroyOz)</f>
        <v/>
      </c>
      <c r="O624" s="59">
        <f>IF(tblMovement[[#This Row],[Is_Ore]]=1,tblMovement[[#This Row],[Contained_oz]],0)</f>
        <v/>
      </c>
    </row>
    <row r="625">
      <c r="A625" s="54" t="n"/>
      <c r="B625" s="61" t="n"/>
      <c r="C625" s="61" t="n"/>
      <c r="D625" s="61" t="n"/>
      <c r="E625" s="61" t="n"/>
      <c r="F625" s="55" t="n"/>
      <c r="G625" s="56" t="n"/>
      <c r="H625" s="55" t="n"/>
      <c r="I625" s="62" t="n"/>
      <c r="J625" s="58" t="n"/>
      <c r="K625" s="63">
        <f>IF(tblMovement[[#This Row],[Source]]="","",IFERROR(INDEX(tblSources[Type],MATCH(tblMovement[[#This Row],[Source]],tblSources[Source],0)),"?"))</f>
        <v/>
      </c>
      <c r="L625" s="63">
        <f>IF(tblMovement[[#This Row],[Destination]]="","",IFERROR(INDEX(tblDestinations[Type],MATCH(tblMovement[[#This Row],[Destination]],tblDestinations[Destination],0)),"?"))</f>
        <v/>
      </c>
      <c r="M625" s="64">
        <f>IF(tblMovement[[#This Row],[Material]]="","",IF(LEFT(tblMovement[[#This Row],[Material]],3)="Ore",1,0))</f>
        <v/>
      </c>
      <c r="N625" s="59">
        <f>IF(OR(tblMovement[[#This Row],[Tonnes_t]]="",tblMovement[[#This Row],[Grade_gpt]]=""),0,tblMovement[[#This Row],[Tonnes_t]]*tblMovement[[#This Row],[Grade_gpt]]/cfg_TroyOz)</f>
        <v/>
      </c>
      <c r="O625" s="59">
        <f>IF(tblMovement[[#This Row],[Is_Ore]]=1,tblMovement[[#This Row],[Contained_oz]],0)</f>
        <v/>
      </c>
    </row>
    <row r="626">
      <c r="A626" s="54" t="n"/>
      <c r="B626" s="61" t="n"/>
      <c r="C626" s="61" t="n"/>
      <c r="D626" s="61" t="n"/>
      <c r="E626" s="61" t="n"/>
      <c r="F626" s="55" t="n"/>
      <c r="G626" s="56" t="n"/>
      <c r="H626" s="55" t="n"/>
      <c r="I626" s="62" t="n"/>
      <c r="J626" s="58" t="n"/>
      <c r="K626" s="63">
        <f>IF(tblMovement[[#This Row],[Source]]="","",IFERROR(INDEX(tblSources[Type],MATCH(tblMovement[[#This Row],[Source]],tblSources[Source],0)),"?"))</f>
        <v/>
      </c>
      <c r="L626" s="63">
        <f>IF(tblMovement[[#This Row],[Destination]]="","",IFERROR(INDEX(tblDestinations[Type],MATCH(tblMovement[[#This Row],[Destination]],tblDestinations[Destination],0)),"?"))</f>
        <v/>
      </c>
      <c r="M626" s="64">
        <f>IF(tblMovement[[#This Row],[Material]]="","",IF(LEFT(tblMovement[[#This Row],[Material]],3)="Ore",1,0))</f>
        <v/>
      </c>
      <c r="N626" s="59">
        <f>IF(OR(tblMovement[[#This Row],[Tonnes_t]]="",tblMovement[[#This Row],[Grade_gpt]]=""),0,tblMovement[[#This Row],[Tonnes_t]]*tblMovement[[#This Row],[Grade_gpt]]/cfg_TroyOz)</f>
        <v/>
      </c>
      <c r="O626" s="59">
        <f>IF(tblMovement[[#This Row],[Is_Ore]]=1,tblMovement[[#This Row],[Contained_oz]],0)</f>
        <v/>
      </c>
    </row>
    <row r="627">
      <c r="A627" s="54" t="n"/>
      <c r="B627" s="61" t="n"/>
      <c r="C627" s="61" t="n"/>
      <c r="D627" s="61" t="n"/>
      <c r="E627" s="61" t="n"/>
      <c r="F627" s="55" t="n"/>
      <c r="G627" s="56" t="n"/>
      <c r="H627" s="55" t="n"/>
      <c r="I627" s="62" t="n"/>
      <c r="J627" s="58" t="n"/>
      <c r="K627" s="63">
        <f>IF(tblMovement[[#This Row],[Source]]="","",IFERROR(INDEX(tblSources[Type],MATCH(tblMovement[[#This Row],[Source]],tblSources[Source],0)),"?"))</f>
        <v/>
      </c>
      <c r="L627" s="63">
        <f>IF(tblMovement[[#This Row],[Destination]]="","",IFERROR(INDEX(tblDestinations[Type],MATCH(tblMovement[[#This Row],[Destination]],tblDestinations[Destination],0)),"?"))</f>
        <v/>
      </c>
      <c r="M627" s="64">
        <f>IF(tblMovement[[#This Row],[Material]]="","",IF(LEFT(tblMovement[[#This Row],[Material]],3)="Ore",1,0))</f>
        <v/>
      </c>
      <c r="N627" s="59">
        <f>IF(OR(tblMovement[[#This Row],[Tonnes_t]]="",tblMovement[[#This Row],[Grade_gpt]]=""),0,tblMovement[[#This Row],[Tonnes_t]]*tblMovement[[#This Row],[Grade_gpt]]/cfg_TroyOz)</f>
        <v/>
      </c>
      <c r="O627" s="59">
        <f>IF(tblMovement[[#This Row],[Is_Ore]]=1,tblMovement[[#This Row],[Contained_oz]],0)</f>
        <v/>
      </c>
    </row>
    <row r="628">
      <c r="A628" s="54" t="n"/>
      <c r="B628" s="61" t="n"/>
      <c r="C628" s="61" t="n"/>
      <c r="D628" s="61" t="n"/>
      <c r="E628" s="61" t="n"/>
      <c r="F628" s="55" t="n"/>
      <c r="G628" s="56" t="n"/>
      <c r="H628" s="55" t="n"/>
      <c r="I628" s="62" t="n"/>
      <c r="J628" s="58" t="n"/>
      <c r="K628" s="63">
        <f>IF(tblMovement[[#This Row],[Source]]="","",IFERROR(INDEX(tblSources[Type],MATCH(tblMovement[[#This Row],[Source]],tblSources[Source],0)),"?"))</f>
        <v/>
      </c>
      <c r="L628" s="63">
        <f>IF(tblMovement[[#This Row],[Destination]]="","",IFERROR(INDEX(tblDestinations[Type],MATCH(tblMovement[[#This Row],[Destination]],tblDestinations[Destination],0)),"?"))</f>
        <v/>
      </c>
      <c r="M628" s="64">
        <f>IF(tblMovement[[#This Row],[Material]]="","",IF(LEFT(tblMovement[[#This Row],[Material]],3)="Ore",1,0))</f>
        <v/>
      </c>
      <c r="N628" s="59">
        <f>IF(OR(tblMovement[[#This Row],[Tonnes_t]]="",tblMovement[[#This Row],[Grade_gpt]]=""),0,tblMovement[[#This Row],[Tonnes_t]]*tblMovement[[#This Row],[Grade_gpt]]/cfg_TroyOz)</f>
        <v/>
      </c>
      <c r="O628" s="59">
        <f>IF(tblMovement[[#This Row],[Is_Ore]]=1,tblMovement[[#This Row],[Contained_oz]],0)</f>
        <v/>
      </c>
    </row>
    <row r="629">
      <c r="A629" s="54" t="n"/>
      <c r="B629" s="61" t="n"/>
      <c r="C629" s="61" t="n"/>
      <c r="D629" s="61" t="n"/>
      <c r="E629" s="61" t="n"/>
      <c r="F629" s="55" t="n"/>
      <c r="G629" s="56" t="n"/>
      <c r="H629" s="55" t="n"/>
      <c r="I629" s="62" t="n"/>
      <c r="J629" s="58" t="n"/>
      <c r="K629" s="63">
        <f>IF(tblMovement[[#This Row],[Source]]="","",IFERROR(INDEX(tblSources[Type],MATCH(tblMovement[[#This Row],[Source]],tblSources[Source],0)),"?"))</f>
        <v/>
      </c>
      <c r="L629" s="63">
        <f>IF(tblMovement[[#This Row],[Destination]]="","",IFERROR(INDEX(tblDestinations[Type],MATCH(tblMovement[[#This Row],[Destination]],tblDestinations[Destination],0)),"?"))</f>
        <v/>
      </c>
      <c r="M629" s="64">
        <f>IF(tblMovement[[#This Row],[Material]]="","",IF(LEFT(tblMovement[[#This Row],[Material]],3)="Ore",1,0))</f>
        <v/>
      </c>
      <c r="N629" s="59">
        <f>IF(OR(tblMovement[[#This Row],[Tonnes_t]]="",tblMovement[[#This Row],[Grade_gpt]]=""),0,tblMovement[[#This Row],[Tonnes_t]]*tblMovement[[#This Row],[Grade_gpt]]/cfg_TroyOz)</f>
        <v/>
      </c>
      <c r="O629" s="59">
        <f>IF(tblMovement[[#This Row],[Is_Ore]]=1,tblMovement[[#This Row],[Contained_oz]],0)</f>
        <v/>
      </c>
    </row>
    <row r="630">
      <c r="A630" s="54" t="n"/>
      <c r="B630" s="61" t="n"/>
      <c r="C630" s="61" t="n"/>
      <c r="D630" s="61" t="n"/>
      <c r="E630" s="61" t="n"/>
      <c r="F630" s="55" t="n"/>
      <c r="G630" s="56" t="n"/>
      <c r="H630" s="55" t="n"/>
      <c r="I630" s="62" t="n"/>
      <c r="J630" s="58" t="n"/>
      <c r="K630" s="63">
        <f>IF(tblMovement[[#This Row],[Source]]="","",IFERROR(INDEX(tblSources[Type],MATCH(tblMovement[[#This Row],[Source]],tblSources[Source],0)),"?"))</f>
        <v/>
      </c>
      <c r="L630" s="63">
        <f>IF(tblMovement[[#This Row],[Destination]]="","",IFERROR(INDEX(tblDestinations[Type],MATCH(tblMovement[[#This Row],[Destination]],tblDestinations[Destination],0)),"?"))</f>
        <v/>
      </c>
      <c r="M630" s="64">
        <f>IF(tblMovement[[#This Row],[Material]]="","",IF(LEFT(tblMovement[[#This Row],[Material]],3)="Ore",1,0))</f>
        <v/>
      </c>
      <c r="N630" s="59">
        <f>IF(OR(tblMovement[[#This Row],[Tonnes_t]]="",tblMovement[[#This Row],[Grade_gpt]]=""),0,tblMovement[[#This Row],[Tonnes_t]]*tblMovement[[#This Row],[Grade_gpt]]/cfg_TroyOz)</f>
        <v/>
      </c>
      <c r="O630" s="59">
        <f>IF(tblMovement[[#This Row],[Is_Ore]]=1,tblMovement[[#This Row],[Contained_oz]],0)</f>
        <v/>
      </c>
    </row>
    <row r="631">
      <c r="A631" s="54" t="n"/>
      <c r="B631" s="61" t="n"/>
      <c r="C631" s="61" t="n"/>
      <c r="D631" s="61" t="n"/>
      <c r="E631" s="61" t="n"/>
      <c r="F631" s="55" t="n"/>
      <c r="G631" s="56" t="n"/>
      <c r="H631" s="55" t="n"/>
      <c r="I631" s="62" t="n"/>
      <c r="J631" s="58" t="n"/>
      <c r="K631" s="63">
        <f>IF(tblMovement[[#This Row],[Source]]="","",IFERROR(INDEX(tblSources[Type],MATCH(tblMovement[[#This Row],[Source]],tblSources[Source],0)),"?"))</f>
        <v/>
      </c>
      <c r="L631" s="63">
        <f>IF(tblMovement[[#This Row],[Destination]]="","",IFERROR(INDEX(tblDestinations[Type],MATCH(tblMovement[[#This Row],[Destination]],tblDestinations[Destination],0)),"?"))</f>
        <v/>
      </c>
      <c r="M631" s="64">
        <f>IF(tblMovement[[#This Row],[Material]]="","",IF(LEFT(tblMovement[[#This Row],[Material]],3)="Ore",1,0))</f>
        <v/>
      </c>
      <c r="N631" s="59">
        <f>IF(OR(tblMovement[[#This Row],[Tonnes_t]]="",tblMovement[[#This Row],[Grade_gpt]]=""),0,tblMovement[[#This Row],[Tonnes_t]]*tblMovement[[#This Row],[Grade_gpt]]/cfg_TroyOz)</f>
        <v/>
      </c>
      <c r="O631" s="59">
        <f>IF(tblMovement[[#This Row],[Is_Ore]]=1,tblMovement[[#This Row],[Contained_oz]],0)</f>
        <v/>
      </c>
    </row>
    <row r="632">
      <c r="A632" s="54" t="n"/>
      <c r="B632" s="61" t="n"/>
      <c r="C632" s="61" t="n"/>
      <c r="D632" s="61" t="n"/>
      <c r="E632" s="61" t="n"/>
      <c r="F632" s="55" t="n"/>
      <c r="G632" s="56" t="n"/>
      <c r="H632" s="55" t="n"/>
      <c r="I632" s="62" t="n"/>
      <c r="J632" s="58" t="n"/>
      <c r="K632" s="63">
        <f>IF(tblMovement[[#This Row],[Source]]="","",IFERROR(INDEX(tblSources[Type],MATCH(tblMovement[[#This Row],[Source]],tblSources[Source],0)),"?"))</f>
        <v/>
      </c>
      <c r="L632" s="63">
        <f>IF(tblMovement[[#This Row],[Destination]]="","",IFERROR(INDEX(tblDestinations[Type],MATCH(tblMovement[[#This Row],[Destination]],tblDestinations[Destination],0)),"?"))</f>
        <v/>
      </c>
      <c r="M632" s="64">
        <f>IF(tblMovement[[#This Row],[Material]]="","",IF(LEFT(tblMovement[[#This Row],[Material]],3)="Ore",1,0))</f>
        <v/>
      </c>
      <c r="N632" s="59">
        <f>IF(OR(tblMovement[[#This Row],[Tonnes_t]]="",tblMovement[[#This Row],[Grade_gpt]]=""),0,tblMovement[[#This Row],[Tonnes_t]]*tblMovement[[#This Row],[Grade_gpt]]/cfg_TroyOz)</f>
        <v/>
      </c>
      <c r="O632" s="59">
        <f>IF(tblMovement[[#This Row],[Is_Ore]]=1,tblMovement[[#This Row],[Contained_oz]],0)</f>
        <v/>
      </c>
    </row>
    <row r="633">
      <c r="A633" s="54" t="n"/>
      <c r="B633" s="61" t="n"/>
      <c r="C633" s="61" t="n"/>
      <c r="D633" s="61" t="n"/>
      <c r="E633" s="61" t="n"/>
      <c r="F633" s="55" t="n"/>
      <c r="G633" s="56" t="n"/>
      <c r="H633" s="55" t="n"/>
      <c r="I633" s="62" t="n"/>
      <c r="J633" s="58" t="n"/>
      <c r="K633" s="63">
        <f>IF(tblMovement[[#This Row],[Source]]="","",IFERROR(INDEX(tblSources[Type],MATCH(tblMovement[[#This Row],[Source]],tblSources[Source],0)),"?"))</f>
        <v/>
      </c>
      <c r="L633" s="63">
        <f>IF(tblMovement[[#This Row],[Destination]]="","",IFERROR(INDEX(tblDestinations[Type],MATCH(tblMovement[[#This Row],[Destination]],tblDestinations[Destination],0)),"?"))</f>
        <v/>
      </c>
      <c r="M633" s="64">
        <f>IF(tblMovement[[#This Row],[Material]]="","",IF(LEFT(tblMovement[[#This Row],[Material]],3)="Ore",1,0))</f>
        <v/>
      </c>
      <c r="N633" s="59">
        <f>IF(OR(tblMovement[[#This Row],[Tonnes_t]]="",tblMovement[[#This Row],[Grade_gpt]]=""),0,tblMovement[[#This Row],[Tonnes_t]]*tblMovement[[#This Row],[Grade_gpt]]/cfg_TroyOz)</f>
        <v/>
      </c>
      <c r="O633" s="59">
        <f>IF(tblMovement[[#This Row],[Is_Ore]]=1,tblMovement[[#This Row],[Contained_oz]],0)</f>
        <v/>
      </c>
    </row>
    <row r="634">
      <c r="A634" s="54" t="n"/>
      <c r="B634" s="61" t="n"/>
      <c r="C634" s="61" t="n"/>
      <c r="D634" s="61" t="n"/>
      <c r="E634" s="61" t="n"/>
      <c r="F634" s="55" t="n"/>
      <c r="G634" s="56" t="n"/>
      <c r="H634" s="55" t="n"/>
      <c r="I634" s="62" t="n"/>
      <c r="J634" s="58" t="n"/>
      <c r="K634" s="63">
        <f>IF(tblMovement[[#This Row],[Source]]="","",IFERROR(INDEX(tblSources[Type],MATCH(tblMovement[[#This Row],[Source]],tblSources[Source],0)),"?"))</f>
        <v/>
      </c>
      <c r="L634" s="63">
        <f>IF(tblMovement[[#This Row],[Destination]]="","",IFERROR(INDEX(tblDestinations[Type],MATCH(tblMovement[[#This Row],[Destination]],tblDestinations[Destination],0)),"?"))</f>
        <v/>
      </c>
      <c r="M634" s="64">
        <f>IF(tblMovement[[#This Row],[Material]]="","",IF(LEFT(tblMovement[[#This Row],[Material]],3)="Ore",1,0))</f>
        <v/>
      </c>
      <c r="N634" s="59">
        <f>IF(OR(tblMovement[[#This Row],[Tonnes_t]]="",tblMovement[[#This Row],[Grade_gpt]]=""),0,tblMovement[[#This Row],[Tonnes_t]]*tblMovement[[#This Row],[Grade_gpt]]/cfg_TroyOz)</f>
        <v/>
      </c>
      <c r="O634" s="59">
        <f>IF(tblMovement[[#This Row],[Is_Ore]]=1,tblMovement[[#This Row],[Contained_oz]],0)</f>
        <v/>
      </c>
    </row>
    <row r="635">
      <c r="A635" s="54" t="n"/>
      <c r="B635" s="61" t="n"/>
      <c r="C635" s="61" t="n"/>
      <c r="D635" s="61" t="n"/>
      <c r="E635" s="61" t="n"/>
      <c r="F635" s="55" t="n"/>
      <c r="G635" s="56" t="n"/>
      <c r="H635" s="55" t="n"/>
      <c r="I635" s="62" t="n"/>
      <c r="J635" s="58" t="n"/>
      <c r="K635" s="63">
        <f>IF(tblMovement[[#This Row],[Source]]="","",IFERROR(INDEX(tblSources[Type],MATCH(tblMovement[[#This Row],[Source]],tblSources[Source],0)),"?"))</f>
        <v/>
      </c>
      <c r="L635" s="63">
        <f>IF(tblMovement[[#This Row],[Destination]]="","",IFERROR(INDEX(tblDestinations[Type],MATCH(tblMovement[[#This Row],[Destination]],tblDestinations[Destination],0)),"?"))</f>
        <v/>
      </c>
      <c r="M635" s="64">
        <f>IF(tblMovement[[#This Row],[Material]]="","",IF(LEFT(tblMovement[[#This Row],[Material]],3)="Ore",1,0))</f>
        <v/>
      </c>
      <c r="N635" s="59">
        <f>IF(OR(tblMovement[[#This Row],[Tonnes_t]]="",tblMovement[[#This Row],[Grade_gpt]]=""),0,tblMovement[[#This Row],[Tonnes_t]]*tblMovement[[#This Row],[Grade_gpt]]/cfg_TroyOz)</f>
        <v/>
      </c>
      <c r="O635" s="59">
        <f>IF(tblMovement[[#This Row],[Is_Ore]]=1,tblMovement[[#This Row],[Contained_oz]],0)</f>
        <v/>
      </c>
    </row>
    <row r="636">
      <c r="A636" s="54" t="n"/>
      <c r="B636" s="61" t="n"/>
      <c r="C636" s="61" t="n"/>
      <c r="D636" s="61" t="n"/>
      <c r="E636" s="61" t="n"/>
      <c r="F636" s="55" t="n"/>
      <c r="G636" s="56" t="n"/>
      <c r="H636" s="55" t="n"/>
      <c r="I636" s="62" t="n"/>
      <c r="J636" s="58" t="n"/>
      <c r="K636" s="63">
        <f>IF(tblMovement[[#This Row],[Source]]="","",IFERROR(INDEX(tblSources[Type],MATCH(tblMovement[[#This Row],[Source]],tblSources[Source],0)),"?"))</f>
        <v/>
      </c>
      <c r="L636" s="63">
        <f>IF(tblMovement[[#This Row],[Destination]]="","",IFERROR(INDEX(tblDestinations[Type],MATCH(tblMovement[[#This Row],[Destination]],tblDestinations[Destination],0)),"?"))</f>
        <v/>
      </c>
      <c r="M636" s="64">
        <f>IF(tblMovement[[#This Row],[Material]]="","",IF(LEFT(tblMovement[[#This Row],[Material]],3)="Ore",1,0))</f>
        <v/>
      </c>
      <c r="N636" s="59">
        <f>IF(OR(tblMovement[[#This Row],[Tonnes_t]]="",tblMovement[[#This Row],[Grade_gpt]]=""),0,tblMovement[[#This Row],[Tonnes_t]]*tblMovement[[#This Row],[Grade_gpt]]/cfg_TroyOz)</f>
        <v/>
      </c>
      <c r="O636" s="59">
        <f>IF(tblMovement[[#This Row],[Is_Ore]]=1,tblMovement[[#This Row],[Contained_oz]],0)</f>
        <v/>
      </c>
    </row>
    <row r="637">
      <c r="A637" s="54" t="n"/>
      <c r="B637" s="61" t="n"/>
      <c r="C637" s="61" t="n"/>
      <c r="D637" s="61" t="n"/>
      <c r="E637" s="61" t="n"/>
      <c r="F637" s="55" t="n"/>
      <c r="G637" s="56" t="n"/>
      <c r="H637" s="55" t="n"/>
      <c r="I637" s="62" t="n"/>
      <c r="J637" s="58" t="n"/>
      <c r="K637" s="63">
        <f>IF(tblMovement[[#This Row],[Source]]="","",IFERROR(INDEX(tblSources[Type],MATCH(tblMovement[[#This Row],[Source]],tblSources[Source],0)),"?"))</f>
        <v/>
      </c>
      <c r="L637" s="63">
        <f>IF(tblMovement[[#This Row],[Destination]]="","",IFERROR(INDEX(tblDestinations[Type],MATCH(tblMovement[[#This Row],[Destination]],tblDestinations[Destination],0)),"?"))</f>
        <v/>
      </c>
      <c r="M637" s="64">
        <f>IF(tblMovement[[#This Row],[Material]]="","",IF(LEFT(tblMovement[[#This Row],[Material]],3)="Ore",1,0))</f>
        <v/>
      </c>
      <c r="N637" s="59">
        <f>IF(OR(tblMovement[[#This Row],[Tonnes_t]]="",tblMovement[[#This Row],[Grade_gpt]]=""),0,tblMovement[[#This Row],[Tonnes_t]]*tblMovement[[#This Row],[Grade_gpt]]/cfg_TroyOz)</f>
        <v/>
      </c>
      <c r="O637" s="59">
        <f>IF(tblMovement[[#This Row],[Is_Ore]]=1,tblMovement[[#This Row],[Contained_oz]],0)</f>
        <v/>
      </c>
    </row>
    <row r="638">
      <c r="A638" s="54" t="n"/>
      <c r="B638" s="61" t="n"/>
      <c r="C638" s="61" t="n"/>
      <c r="D638" s="61" t="n"/>
      <c r="E638" s="61" t="n"/>
      <c r="F638" s="55" t="n"/>
      <c r="G638" s="56" t="n"/>
      <c r="H638" s="55" t="n"/>
      <c r="I638" s="62" t="n"/>
      <c r="J638" s="58" t="n"/>
      <c r="K638" s="63">
        <f>IF(tblMovement[[#This Row],[Source]]="","",IFERROR(INDEX(tblSources[Type],MATCH(tblMovement[[#This Row],[Source]],tblSources[Source],0)),"?"))</f>
        <v/>
      </c>
      <c r="L638" s="63">
        <f>IF(tblMovement[[#This Row],[Destination]]="","",IFERROR(INDEX(tblDestinations[Type],MATCH(tblMovement[[#This Row],[Destination]],tblDestinations[Destination],0)),"?"))</f>
        <v/>
      </c>
      <c r="M638" s="64">
        <f>IF(tblMovement[[#This Row],[Material]]="","",IF(LEFT(tblMovement[[#This Row],[Material]],3)="Ore",1,0))</f>
        <v/>
      </c>
      <c r="N638" s="59">
        <f>IF(OR(tblMovement[[#This Row],[Tonnes_t]]="",tblMovement[[#This Row],[Grade_gpt]]=""),0,tblMovement[[#This Row],[Tonnes_t]]*tblMovement[[#This Row],[Grade_gpt]]/cfg_TroyOz)</f>
        <v/>
      </c>
      <c r="O638" s="59">
        <f>IF(tblMovement[[#This Row],[Is_Ore]]=1,tblMovement[[#This Row],[Contained_oz]],0)</f>
        <v/>
      </c>
    </row>
    <row r="639">
      <c r="A639" s="54" t="n"/>
      <c r="B639" s="61" t="n"/>
      <c r="C639" s="61" t="n"/>
      <c r="D639" s="61" t="n"/>
      <c r="E639" s="61" t="n"/>
      <c r="F639" s="55" t="n"/>
      <c r="G639" s="56" t="n"/>
      <c r="H639" s="55" t="n"/>
      <c r="I639" s="62" t="n"/>
      <c r="J639" s="58" t="n"/>
      <c r="K639" s="63">
        <f>IF(tblMovement[[#This Row],[Source]]="","",IFERROR(INDEX(tblSources[Type],MATCH(tblMovement[[#This Row],[Source]],tblSources[Source],0)),"?"))</f>
        <v/>
      </c>
      <c r="L639" s="63">
        <f>IF(tblMovement[[#This Row],[Destination]]="","",IFERROR(INDEX(tblDestinations[Type],MATCH(tblMovement[[#This Row],[Destination]],tblDestinations[Destination],0)),"?"))</f>
        <v/>
      </c>
      <c r="M639" s="64">
        <f>IF(tblMovement[[#This Row],[Material]]="","",IF(LEFT(tblMovement[[#This Row],[Material]],3)="Ore",1,0))</f>
        <v/>
      </c>
      <c r="N639" s="59">
        <f>IF(OR(tblMovement[[#This Row],[Tonnes_t]]="",tblMovement[[#This Row],[Grade_gpt]]=""),0,tblMovement[[#This Row],[Tonnes_t]]*tblMovement[[#This Row],[Grade_gpt]]/cfg_TroyOz)</f>
        <v/>
      </c>
      <c r="O639" s="59">
        <f>IF(tblMovement[[#This Row],[Is_Ore]]=1,tblMovement[[#This Row],[Contained_oz]],0)</f>
        <v/>
      </c>
    </row>
    <row r="640">
      <c r="A640" s="54" t="n"/>
      <c r="B640" s="61" t="n"/>
      <c r="C640" s="61" t="n"/>
      <c r="D640" s="61" t="n"/>
      <c r="E640" s="61" t="n"/>
      <c r="F640" s="55" t="n"/>
      <c r="G640" s="56" t="n"/>
      <c r="H640" s="55" t="n"/>
      <c r="I640" s="62" t="n"/>
      <c r="J640" s="58" t="n"/>
      <c r="K640" s="63">
        <f>IF(tblMovement[[#This Row],[Source]]="","",IFERROR(INDEX(tblSources[Type],MATCH(tblMovement[[#This Row],[Source]],tblSources[Source],0)),"?"))</f>
        <v/>
      </c>
      <c r="L640" s="63">
        <f>IF(tblMovement[[#This Row],[Destination]]="","",IFERROR(INDEX(tblDestinations[Type],MATCH(tblMovement[[#This Row],[Destination]],tblDestinations[Destination],0)),"?"))</f>
        <v/>
      </c>
      <c r="M640" s="64">
        <f>IF(tblMovement[[#This Row],[Material]]="","",IF(LEFT(tblMovement[[#This Row],[Material]],3)="Ore",1,0))</f>
        <v/>
      </c>
      <c r="N640" s="59">
        <f>IF(OR(tblMovement[[#This Row],[Tonnes_t]]="",tblMovement[[#This Row],[Grade_gpt]]=""),0,tblMovement[[#This Row],[Tonnes_t]]*tblMovement[[#This Row],[Grade_gpt]]/cfg_TroyOz)</f>
        <v/>
      </c>
      <c r="O640" s="59">
        <f>IF(tblMovement[[#This Row],[Is_Ore]]=1,tblMovement[[#This Row],[Contained_oz]],0)</f>
        <v/>
      </c>
    </row>
    <row r="641">
      <c r="A641" s="54" t="n"/>
      <c r="B641" s="61" t="n"/>
      <c r="C641" s="61" t="n"/>
      <c r="D641" s="61" t="n"/>
      <c r="E641" s="61" t="n"/>
      <c r="F641" s="55" t="n"/>
      <c r="G641" s="56" t="n"/>
      <c r="H641" s="55" t="n"/>
      <c r="I641" s="62" t="n"/>
      <c r="J641" s="58" t="n"/>
      <c r="K641" s="63">
        <f>IF(tblMovement[[#This Row],[Source]]="","",IFERROR(INDEX(tblSources[Type],MATCH(tblMovement[[#This Row],[Source]],tblSources[Source],0)),"?"))</f>
        <v/>
      </c>
      <c r="L641" s="63">
        <f>IF(tblMovement[[#This Row],[Destination]]="","",IFERROR(INDEX(tblDestinations[Type],MATCH(tblMovement[[#This Row],[Destination]],tblDestinations[Destination],0)),"?"))</f>
        <v/>
      </c>
      <c r="M641" s="64">
        <f>IF(tblMovement[[#This Row],[Material]]="","",IF(LEFT(tblMovement[[#This Row],[Material]],3)="Ore",1,0))</f>
        <v/>
      </c>
      <c r="N641" s="59">
        <f>IF(OR(tblMovement[[#This Row],[Tonnes_t]]="",tblMovement[[#This Row],[Grade_gpt]]=""),0,tblMovement[[#This Row],[Tonnes_t]]*tblMovement[[#This Row],[Grade_gpt]]/cfg_TroyOz)</f>
        <v/>
      </c>
      <c r="O641" s="59">
        <f>IF(tblMovement[[#This Row],[Is_Ore]]=1,tblMovement[[#This Row],[Contained_oz]],0)</f>
        <v/>
      </c>
    </row>
    <row r="642">
      <c r="A642" s="54" t="n"/>
      <c r="B642" s="61" t="n"/>
      <c r="C642" s="61" t="n"/>
      <c r="D642" s="61" t="n"/>
      <c r="E642" s="61" t="n"/>
      <c r="F642" s="55" t="n"/>
      <c r="G642" s="56" t="n"/>
      <c r="H642" s="55" t="n"/>
      <c r="I642" s="62" t="n"/>
      <c r="J642" s="58" t="n"/>
      <c r="K642" s="63">
        <f>IF(tblMovement[[#This Row],[Source]]="","",IFERROR(INDEX(tblSources[Type],MATCH(tblMovement[[#This Row],[Source]],tblSources[Source],0)),"?"))</f>
        <v/>
      </c>
      <c r="L642" s="63">
        <f>IF(tblMovement[[#This Row],[Destination]]="","",IFERROR(INDEX(tblDestinations[Type],MATCH(tblMovement[[#This Row],[Destination]],tblDestinations[Destination],0)),"?"))</f>
        <v/>
      </c>
      <c r="M642" s="64">
        <f>IF(tblMovement[[#This Row],[Material]]="","",IF(LEFT(tblMovement[[#This Row],[Material]],3)="Ore",1,0))</f>
        <v/>
      </c>
      <c r="N642" s="59">
        <f>IF(OR(tblMovement[[#This Row],[Tonnes_t]]="",tblMovement[[#This Row],[Grade_gpt]]=""),0,tblMovement[[#This Row],[Tonnes_t]]*tblMovement[[#This Row],[Grade_gpt]]/cfg_TroyOz)</f>
        <v/>
      </c>
      <c r="O642" s="59">
        <f>IF(tblMovement[[#This Row],[Is_Ore]]=1,tblMovement[[#This Row],[Contained_oz]],0)</f>
        <v/>
      </c>
    </row>
    <row r="643">
      <c r="A643" s="54" t="n"/>
      <c r="B643" s="61" t="n"/>
      <c r="C643" s="61" t="n"/>
      <c r="D643" s="61" t="n"/>
      <c r="E643" s="61" t="n"/>
      <c r="F643" s="55" t="n"/>
      <c r="G643" s="56" t="n"/>
      <c r="H643" s="55" t="n"/>
      <c r="I643" s="62" t="n"/>
      <c r="J643" s="58" t="n"/>
      <c r="K643" s="63">
        <f>IF(tblMovement[[#This Row],[Source]]="","",IFERROR(INDEX(tblSources[Type],MATCH(tblMovement[[#This Row],[Source]],tblSources[Source],0)),"?"))</f>
        <v/>
      </c>
      <c r="L643" s="63">
        <f>IF(tblMovement[[#This Row],[Destination]]="","",IFERROR(INDEX(tblDestinations[Type],MATCH(tblMovement[[#This Row],[Destination]],tblDestinations[Destination],0)),"?"))</f>
        <v/>
      </c>
      <c r="M643" s="64">
        <f>IF(tblMovement[[#This Row],[Material]]="","",IF(LEFT(tblMovement[[#This Row],[Material]],3)="Ore",1,0))</f>
        <v/>
      </c>
      <c r="N643" s="59">
        <f>IF(OR(tblMovement[[#This Row],[Tonnes_t]]="",tblMovement[[#This Row],[Grade_gpt]]=""),0,tblMovement[[#This Row],[Tonnes_t]]*tblMovement[[#This Row],[Grade_gpt]]/cfg_TroyOz)</f>
        <v/>
      </c>
      <c r="O643" s="59">
        <f>IF(tblMovement[[#This Row],[Is_Ore]]=1,tblMovement[[#This Row],[Contained_oz]],0)</f>
        <v/>
      </c>
    </row>
    <row r="644">
      <c r="A644" s="54" t="n"/>
      <c r="B644" s="61" t="n"/>
      <c r="C644" s="61" t="n"/>
      <c r="D644" s="61" t="n"/>
      <c r="E644" s="61" t="n"/>
      <c r="F644" s="55" t="n"/>
      <c r="G644" s="56" t="n"/>
      <c r="H644" s="55" t="n"/>
      <c r="I644" s="62" t="n"/>
      <c r="J644" s="58" t="n"/>
      <c r="K644" s="63">
        <f>IF(tblMovement[[#This Row],[Source]]="","",IFERROR(INDEX(tblSources[Type],MATCH(tblMovement[[#This Row],[Source]],tblSources[Source],0)),"?"))</f>
        <v/>
      </c>
      <c r="L644" s="63">
        <f>IF(tblMovement[[#This Row],[Destination]]="","",IFERROR(INDEX(tblDestinations[Type],MATCH(tblMovement[[#This Row],[Destination]],tblDestinations[Destination],0)),"?"))</f>
        <v/>
      </c>
      <c r="M644" s="64">
        <f>IF(tblMovement[[#This Row],[Material]]="","",IF(LEFT(tblMovement[[#This Row],[Material]],3)="Ore",1,0))</f>
        <v/>
      </c>
      <c r="N644" s="59">
        <f>IF(OR(tblMovement[[#This Row],[Tonnes_t]]="",tblMovement[[#This Row],[Grade_gpt]]=""),0,tblMovement[[#This Row],[Tonnes_t]]*tblMovement[[#This Row],[Grade_gpt]]/cfg_TroyOz)</f>
        <v/>
      </c>
      <c r="O644" s="59">
        <f>IF(tblMovement[[#This Row],[Is_Ore]]=1,tblMovement[[#This Row],[Contained_oz]],0)</f>
        <v/>
      </c>
    </row>
    <row r="645">
      <c r="A645" s="54" t="n"/>
      <c r="B645" s="61" t="n"/>
      <c r="C645" s="61" t="n"/>
      <c r="D645" s="61" t="n"/>
      <c r="E645" s="61" t="n"/>
      <c r="F645" s="55" t="n"/>
      <c r="G645" s="56" t="n"/>
      <c r="H645" s="55" t="n"/>
      <c r="I645" s="62" t="n"/>
      <c r="J645" s="58" t="n"/>
      <c r="K645" s="63">
        <f>IF(tblMovement[[#This Row],[Source]]="","",IFERROR(INDEX(tblSources[Type],MATCH(tblMovement[[#This Row],[Source]],tblSources[Source],0)),"?"))</f>
        <v/>
      </c>
      <c r="L645" s="63">
        <f>IF(tblMovement[[#This Row],[Destination]]="","",IFERROR(INDEX(tblDestinations[Type],MATCH(tblMovement[[#This Row],[Destination]],tblDestinations[Destination],0)),"?"))</f>
        <v/>
      </c>
      <c r="M645" s="64">
        <f>IF(tblMovement[[#This Row],[Material]]="","",IF(LEFT(tblMovement[[#This Row],[Material]],3)="Ore",1,0))</f>
        <v/>
      </c>
      <c r="N645" s="59">
        <f>IF(OR(tblMovement[[#This Row],[Tonnes_t]]="",tblMovement[[#This Row],[Grade_gpt]]=""),0,tblMovement[[#This Row],[Tonnes_t]]*tblMovement[[#This Row],[Grade_gpt]]/cfg_TroyOz)</f>
        <v/>
      </c>
      <c r="O645" s="59">
        <f>IF(tblMovement[[#This Row],[Is_Ore]]=1,tblMovement[[#This Row],[Contained_oz]],0)</f>
        <v/>
      </c>
    </row>
    <row r="646">
      <c r="A646" s="54" t="n"/>
      <c r="B646" s="61" t="n"/>
      <c r="C646" s="61" t="n"/>
      <c r="D646" s="61" t="n"/>
      <c r="E646" s="61" t="n"/>
      <c r="F646" s="55" t="n"/>
      <c r="G646" s="56" t="n"/>
      <c r="H646" s="55" t="n"/>
      <c r="I646" s="62" t="n"/>
      <c r="J646" s="58" t="n"/>
      <c r="K646" s="63">
        <f>IF(tblMovement[[#This Row],[Source]]="","",IFERROR(INDEX(tblSources[Type],MATCH(tblMovement[[#This Row],[Source]],tblSources[Source],0)),"?"))</f>
        <v/>
      </c>
      <c r="L646" s="63">
        <f>IF(tblMovement[[#This Row],[Destination]]="","",IFERROR(INDEX(tblDestinations[Type],MATCH(tblMovement[[#This Row],[Destination]],tblDestinations[Destination],0)),"?"))</f>
        <v/>
      </c>
      <c r="M646" s="64">
        <f>IF(tblMovement[[#This Row],[Material]]="","",IF(LEFT(tblMovement[[#This Row],[Material]],3)="Ore",1,0))</f>
        <v/>
      </c>
      <c r="N646" s="59">
        <f>IF(OR(tblMovement[[#This Row],[Tonnes_t]]="",tblMovement[[#This Row],[Grade_gpt]]=""),0,tblMovement[[#This Row],[Tonnes_t]]*tblMovement[[#This Row],[Grade_gpt]]/cfg_TroyOz)</f>
        <v/>
      </c>
      <c r="O646" s="59">
        <f>IF(tblMovement[[#This Row],[Is_Ore]]=1,tblMovement[[#This Row],[Contained_oz]],0)</f>
        <v/>
      </c>
    </row>
    <row r="647">
      <c r="A647" s="54" t="n"/>
      <c r="B647" s="61" t="n"/>
      <c r="C647" s="61" t="n"/>
      <c r="D647" s="61" t="n"/>
      <c r="E647" s="61" t="n"/>
      <c r="F647" s="55" t="n"/>
      <c r="G647" s="56" t="n"/>
      <c r="H647" s="55" t="n"/>
      <c r="I647" s="62" t="n"/>
      <c r="J647" s="58" t="n"/>
      <c r="K647" s="63">
        <f>IF(tblMovement[[#This Row],[Source]]="","",IFERROR(INDEX(tblSources[Type],MATCH(tblMovement[[#This Row],[Source]],tblSources[Source],0)),"?"))</f>
        <v/>
      </c>
      <c r="L647" s="63">
        <f>IF(tblMovement[[#This Row],[Destination]]="","",IFERROR(INDEX(tblDestinations[Type],MATCH(tblMovement[[#This Row],[Destination]],tblDestinations[Destination],0)),"?"))</f>
        <v/>
      </c>
      <c r="M647" s="64">
        <f>IF(tblMovement[[#This Row],[Material]]="","",IF(LEFT(tblMovement[[#This Row],[Material]],3)="Ore",1,0))</f>
        <v/>
      </c>
      <c r="N647" s="59">
        <f>IF(OR(tblMovement[[#This Row],[Tonnes_t]]="",tblMovement[[#This Row],[Grade_gpt]]=""),0,tblMovement[[#This Row],[Tonnes_t]]*tblMovement[[#This Row],[Grade_gpt]]/cfg_TroyOz)</f>
        <v/>
      </c>
      <c r="O647" s="59">
        <f>IF(tblMovement[[#This Row],[Is_Ore]]=1,tblMovement[[#This Row],[Contained_oz]],0)</f>
        <v/>
      </c>
    </row>
    <row r="648">
      <c r="A648" s="54" t="n"/>
      <c r="B648" s="61" t="n"/>
      <c r="C648" s="61" t="n"/>
      <c r="D648" s="61" t="n"/>
      <c r="E648" s="61" t="n"/>
      <c r="F648" s="55" t="n"/>
      <c r="G648" s="56" t="n"/>
      <c r="H648" s="55" t="n"/>
      <c r="I648" s="62" t="n"/>
      <c r="J648" s="58" t="n"/>
      <c r="K648" s="63">
        <f>IF(tblMovement[[#This Row],[Source]]="","",IFERROR(INDEX(tblSources[Type],MATCH(tblMovement[[#This Row],[Source]],tblSources[Source],0)),"?"))</f>
        <v/>
      </c>
      <c r="L648" s="63">
        <f>IF(tblMovement[[#This Row],[Destination]]="","",IFERROR(INDEX(tblDestinations[Type],MATCH(tblMovement[[#This Row],[Destination]],tblDestinations[Destination],0)),"?"))</f>
        <v/>
      </c>
      <c r="M648" s="64">
        <f>IF(tblMovement[[#This Row],[Material]]="","",IF(LEFT(tblMovement[[#This Row],[Material]],3)="Ore",1,0))</f>
        <v/>
      </c>
      <c r="N648" s="59">
        <f>IF(OR(tblMovement[[#This Row],[Tonnes_t]]="",tblMovement[[#This Row],[Grade_gpt]]=""),0,tblMovement[[#This Row],[Tonnes_t]]*tblMovement[[#This Row],[Grade_gpt]]/cfg_TroyOz)</f>
        <v/>
      </c>
      <c r="O648" s="59">
        <f>IF(tblMovement[[#This Row],[Is_Ore]]=1,tblMovement[[#This Row],[Contained_oz]],0)</f>
        <v/>
      </c>
    </row>
    <row r="649">
      <c r="A649" s="54" t="n"/>
      <c r="B649" s="61" t="n"/>
      <c r="C649" s="61" t="n"/>
      <c r="D649" s="61" t="n"/>
      <c r="E649" s="61" t="n"/>
      <c r="F649" s="55" t="n"/>
      <c r="G649" s="56" t="n"/>
      <c r="H649" s="55" t="n"/>
      <c r="I649" s="62" t="n"/>
      <c r="J649" s="58" t="n"/>
      <c r="K649" s="63">
        <f>IF(tblMovement[[#This Row],[Source]]="","",IFERROR(INDEX(tblSources[Type],MATCH(tblMovement[[#This Row],[Source]],tblSources[Source],0)),"?"))</f>
        <v/>
      </c>
      <c r="L649" s="63">
        <f>IF(tblMovement[[#This Row],[Destination]]="","",IFERROR(INDEX(tblDestinations[Type],MATCH(tblMovement[[#This Row],[Destination]],tblDestinations[Destination],0)),"?"))</f>
        <v/>
      </c>
      <c r="M649" s="64">
        <f>IF(tblMovement[[#This Row],[Material]]="","",IF(LEFT(tblMovement[[#This Row],[Material]],3)="Ore",1,0))</f>
        <v/>
      </c>
      <c r="N649" s="59">
        <f>IF(OR(tblMovement[[#This Row],[Tonnes_t]]="",tblMovement[[#This Row],[Grade_gpt]]=""),0,tblMovement[[#This Row],[Tonnes_t]]*tblMovement[[#This Row],[Grade_gpt]]/cfg_TroyOz)</f>
        <v/>
      </c>
      <c r="O649" s="59">
        <f>IF(tblMovement[[#This Row],[Is_Ore]]=1,tblMovement[[#This Row],[Contained_oz]],0)</f>
        <v/>
      </c>
    </row>
    <row r="650">
      <c r="A650" s="54" t="n"/>
      <c r="B650" s="61" t="n"/>
      <c r="C650" s="61" t="n"/>
      <c r="D650" s="61" t="n"/>
      <c r="E650" s="61" t="n"/>
      <c r="F650" s="55" t="n"/>
      <c r="G650" s="56" t="n"/>
      <c r="H650" s="55" t="n"/>
      <c r="I650" s="62" t="n"/>
      <c r="J650" s="58" t="n"/>
      <c r="K650" s="63">
        <f>IF(tblMovement[[#This Row],[Source]]="","",IFERROR(INDEX(tblSources[Type],MATCH(tblMovement[[#This Row],[Source]],tblSources[Source],0)),"?"))</f>
        <v/>
      </c>
      <c r="L650" s="63">
        <f>IF(tblMovement[[#This Row],[Destination]]="","",IFERROR(INDEX(tblDestinations[Type],MATCH(tblMovement[[#This Row],[Destination]],tblDestinations[Destination],0)),"?"))</f>
        <v/>
      </c>
      <c r="M650" s="64">
        <f>IF(tblMovement[[#This Row],[Material]]="","",IF(LEFT(tblMovement[[#This Row],[Material]],3)="Ore",1,0))</f>
        <v/>
      </c>
      <c r="N650" s="59">
        <f>IF(OR(tblMovement[[#This Row],[Tonnes_t]]="",tblMovement[[#This Row],[Grade_gpt]]=""),0,tblMovement[[#This Row],[Tonnes_t]]*tblMovement[[#This Row],[Grade_gpt]]/cfg_TroyOz)</f>
        <v/>
      </c>
      <c r="O650" s="59">
        <f>IF(tblMovement[[#This Row],[Is_Ore]]=1,tblMovement[[#This Row],[Contained_oz]],0)</f>
        <v/>
      </c>
    </row>
    <row r="651">
      <c r="A651" s="54" t="n"/>
      <c r="B651" s="61" t="n"/>
      <c r="C651" s="61" t="n"/>
      <c r="D651" s="61" t="n"/>
      <c r="E651" s="61" t="n"/>
      <c r="F651" s="55" t="n"/>
      <c r="G651" s="56" t="n"/>
      <c r="H651" s="55" t="n"/>
      <c r="I651" s="62" t="n"/>
      <c r="J651" s="58" t="n"/>
      <c r="K651" s="63">
        <f>IF(tblMovement[[#This Row],[Source]]="","",IFERROR(INDEX(tblSources[Type],MATCH(tblMovement[[#This Row],[Source]],tblSources[Source],0)),"?"))</f>
        <v/>
      </c>
      <c r="L651" s="63">
        <f>IF(tblMovement[[#This Row],[Destination]]="","",IFERROR(INDEX(tblDestinations[Type],MATCH(tblMovement[[#This Row],[Destination]],tblDestinations[Destination],0)),"?"))</f>
        <v/>
      </c>
      <c r="M651" s="64">
        <f>IF(tblMovement[[#This Row],[Material]]="","",IF(LEFT(tblMovement[[#This Row],[Material]],3)="Ore",1,0))</f>
        <v/>
      </c>
      <c r="N651" s="59">
        <f>IF(OR(tblMovement[[#This Row],[Tonnes_t]]="",tblMovement[[#This Row],[Grade_gpt]]=""),0,tblMovement[[#This Row],[Tonnes_t]]*tblMovement[[#This Row],[Grade_gpt]]/cfg_TroyOz)</f>
        <v/>
      </c>
      <c r="O651" s="59">
        <f>IF(tblMovement[[#This Row],[Is_Ore]]=1,tblMovement[[#This Row],[Contained_oz]],0)</f>
        <v/>
      </c>
    </row>
    <row r="652">
      <c r="A652" s="54" t="n"/>
      <c r="B652" s="61" t="n"/>
      <c r="C652" s="61" t="n"/>
      <c r="D652" s="61" t="n"/>
      <c r="E652" s="61" t="n"/>
      <c r="F652" s="55" t="n"/>
      <c r="G652" s="56" t="n"/>
      <c r="H652" s="55" t="n"/>
      <c r="I652" s="62" t="n"/>
      <c r="J652" s="58" t="n"/>
      <c r="K652" s="63">
        <f>IF(tblMovement[[#This Row],[Source]]="","",IFERROR(INDEX(tblSources[Type],MATCH(tblMovement[[#This Row],[Source]],tblSources[Source],0)),"?"))</f>
        <v/>
      </c>
      <c r="L652" s="63">
        <f>IF(tblMovement[[#This Row],[Destination]]="","",IFERROR(INDEX(tblDestinations[Type],MATCH(tblMovement[[#This Row],[Destination]],tblDestinations[Destination],0)),"?"))</f>
        <v/>
      </c>
      <c r="M652" s="64">
        <f>IF(tblMovement[[#This Row],[Material]]="","",IF(LEFT(tblMovement[[#This Row],[Material]],3)="Ore",1,0))</f>
        <v/>
      </c>
      <c r="N652" s="59">
        <f>IF(OR(tblMovement[[#This Row],[Tonnes_t]]="",tblMovement[[#This Row],[Grade_gpt]]=""),0,tblMovement[[#This Row],[Tonnes_t]]*tblMovement[[#This Row],[Grade_gpt]]/cfg_TroyOz)</f>
        <v/>
      </c>
      <c r="O652" s="59">
        <f>IF(tblMovement[[#This Row],[Is_Ore]]=1,tblMovement[[#This Row],[Contained_oz]],0)</f>
        <v/>
      </c>
    </row>
    <row r="653">
      <c r="A653" s="54" t="n"/>
      <c r="B653" s="61" t="n"/>
      <c r="C653" s="61" t="n"/>
      <c r="D653" s="61" t="n"/>
      <c r="E653" s="61" t="n"/>
      <c r="F653" s="55" t="n"/>
      <c r="G653" s="56" t="n"/>
      <c r="H653" s="55" t="n"/>
      <c r="I653" s="62" t="n"/>
      <c r="J653" s="58" t="n"/>
      <c r="K653" s="63">
        <f>IF(tblMovement[[#This Row],[Source]]="","",IFERROR(INDEX(tblSources[Type],MATCH(tblMovement[[#This Row],[Source]],tblSources[Source],0)),"?"))</f>
        <v/>
      </c>
      <c r="L653" s="63">
        <f>IF(tblMovement[[#This Row],[Destination]]="","",IFERROR(INDEX(tblDestinations[Type],MATCH(tblMovement[[#This Row],[Destination]],tblDestinations[Destination],0)),"?"))</f>
        <v/>
      </c>
      <c r="M653" s="64">
        <f>IF(tblMovement[[#This Row],[Material]]="","",IF(LEFT(tblMovement[[#This Row],[Material]],3)="Ore",1,0))</f>
        <v/>
      </c>
      <c r="N653" s="59">
        <f>IF(OR(tblMovement[[#This Row],[Tonnes_t]]="",tblMovement[[#This Row],[Grade_gpt]]=""),0,tblMovement[[#This Row],[Tonnes_t]]*tblMovement[[#This Row],[Grade_gpt]]/cfg_TroyOz)</f>
        <v/>
      </c>
      <c r="O653" s="59">
        <f>IF(tblMovement[[#This Row],[Is_Ore]]=1,tblMovement[[#This Row],[Contained_oz]],0)</f>
        <v/>
      </c>
    </row>
    <row r="654">
      <c r="A654" s="54" t="n"/>
      <c r="B654" s="61" t="n"/>
      <c r="C654" s="61" t="n"/>
      <c r="D654" s="61" t="n"/>
      <c r="E654" s="61" t="n"/>
      <c r="F654" s="55" t="n"/>
      <c r="G654" s="56" t="n"/>
      <c r="H654" s="55" t="n"/>
      <c r="I654" s="62" t="n"/>
      <c r="J654" s="58" t="n"/>
      <c r="K654" s="63">
        <f>IF(tblMovement[[#This Row],[Source]]="","",IFERROR(INDEX(tblSources[Type],MATCH(tblMovement[[#This Row],[Source]],tblSources[Source],0)),"?"))</f>
        <v/>
      </c>
      <c r="L654" s="63">
        <f>IF(tblMovement[[#This Row],[Destination]]="","",IFERROR(INDEX(tblDestinations[Type],MATCH(tblMovement[[#This Row],[Destination]],tblDestinations[Destination],0)),"?"))</f>
        <v/>
      </c>
      <c r="M654" s="64">
        <f>IF(tblMovement[[#This Row],[Material]]="","",IF(LEFT(tblMovement[[#This Row],[Material]],3)="Ore",1,0))</f>
        <v/>
      </c>
      <c r="N654" s="59">
        <f>IF(OR(tblMovement[[#This Row],[Tonnes_t]]="",tblMovement[[#This Row],[Grade_gpt]]=""),0,tblMovement[[#This Row],[Tonnes_t]]*tblMovement[[#This Row],[Grade_gpt]]/cfg_TroyOz)</f>
        <v/>
      </c>
      <c r="O654" s="59">
        <f>IF(tblMovement[[#This Row],[Is_Ore]]=1,tblMovement[[#This Row],[Contained_oz]],0)</f>
        <v/>
      </c>
    </row>
    <row r="655">
      <c r="A655" s="54" t="n"/>
      <c r="B655" s="61" t="n"/>
      <c r="C655" s="61" t="n"/>
      <c r="D655" s="61" t="n"/>
      <c r="E655" s="61" t="n"/>
      <c r="F655" s="55" t="n"/>
      <c r="G655" s="56" t="n"/>
      <c r="H655" s="55" t="n"/>
      <c r="I655" s="62" t="n"/>
      <c r="J655" s="58" t="n"/>
      <c r="K655" s="63">
        <f>IF(tblMovement[[#This Row],[Source]]="","",IFERROR(INDEX(tblSources[Type],MATCH(tblMovement[[#This Row],[Source]],tblSources[Source],0)),"?"))</f>
        <v/>
      </c>
      <c r="L655" s="63">
        <f>IF(tblMovement[[#This Row],[Destination]]="","",IFERROR(INDEX(tblDestinations[Type],MATCH(tblMovement[[#This Row],[Destination]],tblDestinations[Destination],0)),"?"))</f>
        <v/>
      </c>
      <c r="M655" s="64">
        <f>IF(tblMovement[[#This Row],[Material]]="","",IF(LEFT(tblMovement[[#This Row],[Material]],3)="Ore",1,0))</f>
        <v/>
      </c>
      <c r="N655" s="59">
        <f>IF(OR(tblMovement[[#This Row],[Tonnes_t]]="",tblMovement[[#This Row],[Grade_gpt]]=""),0,tblMovement[[#This Row],[Tonnes_t]]*tblMovement[[#This Row],[Grade_gpt]]/cfg_TroyOz)</f>
        <v/>
      </c>
      <c r="O655" s="59">
        <f>IF(tblMovement[[#This Row],[Is_Ore]]=1,tblMovement[[#This Row],[Contained_oz]],0)</f>
        <v/>
      </c>
    </row>
    <row r="656">
      <c r="A656" s="54" t="n"/>
      <c r="B656" s="61" t="n"/>
      <c r="C656" s="61" t="n"/>
      <c r="D656" s="61" t="n"/>
      <c r="E656" s="61" t="n"/>
      <c r="F656" s="55" t="n"/>
      <c r="G656" s="56" t="n"/>
      <c r="H656" s="55" t="n"/>
      <c r="I656" s="62" t="n"/>
      <c r="J656" s="58" t="n"/>
      <c r="K656" s="63">
        <f>IF(tblMovement[[#This Row],[Source]]="","",IFERROR(INDEX(tblSources[Type],MATCH(tblMovement[[#This Row],[Source]],tblSources[Source],0)),"?"))</f>
        <v/>
      </c>
      <c r="L656" s="63">
        <f>IF(tblMovement[[#This Row],[Destination]]="","",IFERROR(INDEX(tblDestinations[Type],MATCH(tblMovement[[#This Row],[Destination]],tblDestinations[Destination],0)),"?"))</f>
        <v/>
      </c>
      <c r="M656" s="64">
        <f>IF(tblMovement[[#This Row],[Material]]="","",IF(LEFT(tblMovement[[#This Row],[Material]],3)="Ore",1,0))</f>
        <v/>
      </c>
      <c r="N656" s="59">
        <f>IF(OR(tblMovement[[#This Row],[Tonnes_t]]="",tblMovement[[#This Row],[Grade_gpt]]=""),0,tblMovement[[#This Row],[Tonnes_t]]*tblMovement[[#This Row],[Grade_gpt]]/cfg_TroyOz)</f>
        <v/>
      </c>
      <c r="O656" s="59">
        <f>IF(tblMovement[[#This Row],[Is_Ore]]=1,tblMovement[[#This Row],[Contained_oz]],0)</f>
        <v/>
      </c>
    </row>
    <row r="657">
      <c r="A657" s="54" t="n"/>
      <c r="B657" s="61" t="n"/>
      <c r="C657" s="61" t="n"/>
      <c r="D657" s="61" t="n"/>
      <c r="E657" s="61" t="n"/>
      <c r="F657" s="55" t="n"/>
      <c r="G657" s="56" t="n"/>
      <c r="H657" s="55" t="n"/>
      <c r="I657" s="62" t="n"/>
      <c r="J657" s="58" t="n"/>
      <c r="K657" s="63">
        <f>IF(tblMovement[[#This Row],[Source]]="","",IFERROR(INDEX(tblSources[Type],MATCH(tblMovement[[#This Row],[Source]],tblSources[Source],0)),"?"))</f>
        <v/>
      </c>
      <c r="L657" s="63">
        <f>IF(tblMovement[[#This Row],[Destination]]="","",IFERROR(INDEX(tblDestinations[Type],MATCH(tblMovement[[#This Row],[Destination]],tblDestinations[Destination],0)),"?"))</f>
        <v/>
      </c>
      <c r="M657" s="64">
        <f>IF(tblMovement[[#This Row],[Material]]="","",IF(LEFT(tblMovement[[#This Row],[Material]],3)="Ore",1,0))</f>
        <v/>
      </c>
      <c r="N657" s="59">
        <f>IF(OR(tblMovement[[#This Row],[Tonnes_t]]="",tblMovement[[#This Row],[Grade_gpt]]=""),0,tblMovement[[#This Row],[Tonnes_t]]*tblMovement[[#This Row],[Grade_gpt]]/cfg_TroyOz)</f>
        <v/>
      </c>
      <c r="O657" s="59">
        <f>IF(tblMovement[[#This Row],[Is_Ore]]=1,tblMovement[[#This Row],[Contained_oz]],0)</f>
        <v/>
      </c>
    </row>
    <row r="658">
      <c r="A658" s="54" t="n"/>
      <c r="B658" s="61" t="n"/>
      <c r="C658" s="61" t="n"/>
      <c r="D658" s="61" t="n"/>
      <c r="E658" s="61" t="n"/>
      <c r="F658" s="55" t="n"/>
      <c r="G658" s="56" t="n"/>
      <c r="H658" s="55" t="n"/>
      <c r="I658" s="62" t="n"/>
      <c r="J658" s="58" t="n"/>
      <c r="K658" s="63">
        <f>IF(tblMovement[[#This Row],[Source]]="","",IFERROR(INDEX(tblSources[Type],MATCH(tblMovement[[#This Row],[Source]],tblSources[Source],0)),"?"))</f>
        <v/>
      </c>
      <c r="L658" s="63">
        <f>IF(tblMovement[[#This Row],[Destination]]="","",IFERROR(INDEX(tblDestinations[Type],MATCH(tblMovement[[#This Row],[Destination]],tblDestinations[Destination],0)),"?"))</f>
        <v/>
      </c>
      <c r="M658" s="64">
        <f>IF(tblMovement[[#This Row],[Material]]="","",IF(LEFT(tblMovement[[#This Row],[Material]],3)="Ore",1,0))</f>
        <v/>
      </c>
      <c r="N658" s="59">
        <f>IF(OR(tblMovement[[#This Row],[Tonnes_t]]="",tblMovement[[#This Row],[Grade_gpt]]=""),0,tblMovement[[#This Row],[Tonnes_t]]*tblMovement[[#This Row],[Grade_gpt]]/cfg_TroyOz)</f>
        <v/>
      </c>
      <c r="O658" s="59">
        <f>IF(tblMovement[[#This Row],[Is_Ore]]=1,tblMovement[[#This Row],[Contained_oz]],0)</f>
        <v/>
      </c>
    </row>
    <row r="659">
      <c r="A659" s="54" t="n"/>
      <c r="B659" s="61" t="n"/>
      <c r="C659" s="61" t="n"/>
      <c r="D659" s="61" t="n"/>
      <c r="E659" s="61" t="n"/>
      <c r="F659" s="55" t="n"/>
      <c r="G659" s="56" t="n"/>
      <c r="H659" s="55" t="n"/>
      <c r="I659" s="62" t="n"/>
      <c r="J659" s="58" t="n"/>
      <c r="K659" s="63">
        <f>IF(tblMovement[[#This Row],[Source]]="","",IFERROR(INDEX(tblSources[Type],MATCH(tblMovement[[#This Row],[Source]],tblSources[Source],0)),"?"))</f>
        <v/>
      </c>
      <c r="L659" s="63">
        <f>IF(tblMovement[[#This Row],[Destination]]="","",IFERROR(INDEX(tblDestinations[Type],MATCH(tblMovement[[#This Row],[Destination]],tblDestinations[Destination],0)),"?"))</f>
        <v/>
      </c>
      <c r="M659" s="64">
        <f>IF(tblMovement[[#This Row],[Material]]="","",IF(LEFT(tblMovement[[#This Row],[Material]],3)="Ore",1,0))</f>
        <v/>
      </c>
      <c r="N659" s="59">
        <f>IF(OR(tblMovement[[#This Row],[Tonnes_t]]="",tblMovement[[#This Row],[Grade_gpt]]=""),0,tblMovement[[#This Row],[Tonnes_t]]*tblMovement[[#This Row],[Grade_gpt]]/cfg_TroyOz)</f>
        <v/>
      </c>
      <c r="O659" s="59">
        <f>IF(tblMovement[[#This Row],[Is_Ore]]=1,tblMovement[[#This Row],[Contained_oz]],0)</f>
        <v/>
      </c>
    </row>
    <row r="660">
      <c r="A660" s="54" t="n"/>
      <c r="B660" s="61" t="n"/>
      <c r="C660" s="61" t="n"/>
      <c r="D660" s="61" t="n"/>
      <c r="E660" s="61" t="n"/>
      <c r="F660" s="55" t="n"/>
      <c r="G660" s="56" t="n"/>
      <c r="H660" s="55" t="n"/>
      <c r="I660" s="62" t="n"/>
      <c r="J660" s="58" t="n"/>
      <c r="K660" s="63">
        <f>IF(tblMovement[[#This Row],[Source]]="","",IFERROR(INDEX(tblSources[Type],MATCH(tblMovement[[#This Row],[Source]],tblSources[Source],0)),"?"))</f>
        <v/>
      </c>
      <c r="L660" s="63">
        <f>IF(tblMovement[[#This Row],[Destination]]="","",IFERROR(INDEX(tblDestinations[Type],MATCH(tblMovement[[#This Row],[Destination]],tblDestinations[Destination],0)),"?"))</f>
        <v/>
      </c>
      <c r="M660" s="64">
        <f>IF(tblMovement[[#This Row],[Material]]="","",IF(LEFT(tblMovement[[#This Row],[Material]],3)="Ore",1,0))</f>
        <v/>
      </c>
      <c r="N660" s="59">
        <f>IF(OR(tblMovement[[#This Row],[Tonnes_t]]="",tblMovement[[#This Row],[Grade_gpt]]=""),0,tblMovement[[#This Row],[Tonnes_t]]*tblMovement[[#This Row],[Grade_gpt]]/cfg_TroyOz)</f>
        <v/>
      </c>
      <c r="O660" s="59">
        <f>IF(tblMovement[[#This Row],[Is_Ore]]=1,tblMovement[[#This Row],[Contained_oz]],0)</f>
        <v/>
      </c>
    </row>
    <row r="661">
      <c r="A661" s="54" t="n"/>
      <c r="B661" s="61" t="n"/>
      <c r="C661" s="61" t="n"/>
      <c r="D661" s="61" t="n"/>
      <c r="E661" s="61" t="n"/>
      <c r="F661" s="55" t="n"/>
      <c r="G661" s="56" t="n"/>
      <c r="H661" s="55" t="n"/>
      <c r="I661" s="62" t="n"/>
      <c r="J661" s="58" t="n"/>
      <c r="K661" s="63">
        <f>IF(tblMovement[[#This Row],[Source]]="","",IFERROR(INDEX(tblSources[Type],MATCH(tblMovement[[#This Row],[Source]],tblSources[Source],0)),"?"))</f>
        <v/>
      </c>
      <c r="L661" s="63">
        <f>IF(tblMovement[[#This Row],[Destination]]="","",IFERROR(INDEX(tblDestinations[Type],MATCH(tblMovement[[#This Row],[Destination]],tblDestinations[Destination],0)),"?"))</f>
        <v/>
      </c>
      <c r="M661" s="64">
        <f>IF(tblMovement[[#This Row],[Material]]="","",IF(LEFT(tblMovement[[#This Row],[Material]],3)="Ore",1,0))</f>
        <v/>
      </c>
      <c r="N661" s="59">
        <f>IF(OR(tblMovement[[#This Row],[Tonnes_t]]="",tblMovement[[#This Row],[Grade_gpt]]=""),0,tblMovement[[#This Row],[Tonnes_t]]*tblMovement[[#This Row],[Grade_gpt]]/cfg_TroyOz)</f>
        <v/>
      </c>
      <c r="O661" s="59">
        <f>IF(tblMovement[[#This Row],[Is_Ore]]=1,tblMovement[[#This Row],[Contained_oz]],0)</f>
        <v/>
      </c>
    </row>
    <row r="662">
      <c r="A662" s="54" t="n"/>
      <c r="B662" s="61" t="n"/>
      <c r="C662" s="61" t="n"/>
      <c r="D662" s="61" t="n"/>
      <c r="E662" s="61" t="n"/>
      <c r="F662" s="55" t="n"/>
      <c r="G662" s="56" t="n"/>
      <c r="H662" s="55" t="n"/>
      <c r="I662" s="62" t="n"/>
      <c r="J662" s="58" t="n"/>
      <c r="K662" s="63">
        <f>IF(tblMovement[[#This Row],[Source]]="","",IFERROR(INDEX(tblSources[Type],MATCH(tblMovement[[#This Row],[Source]],tblSources[Source],0)),"?"))</f>
        <v/>
      </c>
      <c r="L662" s="63">
        <f>IF(tblMovement[[#This Row],[Destination]]="","",IFERROR(INDEX(tblDestinations[Type],MATCH(tblMovement[[#This Row],[Destination]],tblDestinations[Destination],0)),"?"))</f>
        <v/>
      </c>
      <c r="M662" s="64">
        <f>IF(tblMovement[[#This Row],[Material]]="","",IF(LEFT(tblMovement[[#This Row],[Material]],3)="Ore",1,0))</f>
        <v/>
      </c>
      <c r="N662" s="59">
        <f>IF(OR(tblMovement[[#This Row],[Tonnes_t]]="",tblMovement[[#This Row],[Grade_gpt]]=""),0,tblMovement[[#This Row],[Tonnes_t]]*tblMovement[[#This Row],[Grade_gpt]]/cfg_TroyOz)</f>
        <v/>
      </c>
      <c r="O662" s="59">
        <f>IF(tblMovement[[#This Row],[Is_Ore]]=1,tblMovement[[#This Row],[Contained_oz]],0)</f>
        <v/>
      </c>
    </row>
    <row r="663">
      <c r="A663" s="54" t="n"/>
      <c r="B663" s="61" t="n"/>
      <c r="C663" s="61" t="n"/>
      <c r="D663" s="61" t="n"/>
      <c r="E663" s="61" t="n"/>
      <c r="F663" s="55" t="n"/>
      <c r="G663" s="56" t="n"/>
      <c r="H663" s="55" t="n"/>
      <c r="I663" s="62" t="n"/>
      <c r="J663" s="58" t="n"/>
      <c r="K663" s="63">
        <f>IF(tblMovement[[#This Row],[Source]]="","",IFERROR(INDEX(tblSources[Type],MATCH(tblMovement[[#This Row],[Source]],tblSources[Source],0)),"?"))</f>
        <v/>
      </c>
      <c r="L663" s="63">
        <f>IF(tblMovement[[#This Row],[Destination]]="","",IFERROR(INDEX(tblDestinations[Type],MATCH(tblMovement[[#This Row],[Destination]],tblDestinations[Destination],0)),"?"))</f>
        <v/>
      </c>
      <c r="M663" s="64">
        <f>IF(tblMovement[[#This Row],[Material]]="","",IF(LEFT(tblMovement[[#This Row],[Material]],3)="Ore",1,0))</f>
        <v/>
      </c>
      <c r="N663" s="59">
        <f>IF(OR(tblMovement[[#This Row],[Tonnes_t]]="",tblMovement[[#This Row],[Grade_gpt]]=""),0,tblMovement[[#This Row],[Tonnes_t]]*tblMovement[[#This Row],[Grade_gpt]]/cfg_TroyOz)</f>
        <v/>
      </c>
      <c r="O663" s="59">
        <f>IF(tblMovement[[#This Row],[Is_Ore]]=1,tblMovement[[#This Row],[Contained_oz]],0)</f>
        <v/>
      </c>
    </row>
    <row r="664">
      <c r="A664" s="54" t="n"/>
      <c r="B664" s="61" t="n"/>
      <c r="C664" s="61" t="n"/>
      <c r="D664" s="61" t="n"/>
      <c r="E664" s="61" t="n"/>
      <c r="F664" s="55" t="n"/>
      <c r="G664" s="56" t="n"/>
      <c r="H664" s="55" t="n"/>
      <c r="I664" s="62" t="n"/>
      <c r="J664" s="58" t="n"/>
      <c r="K664" s="63">
        <f>IF(tblMovement[[#This Row],[Source]]="","",IFERROR(INDEX(tblSources[Type],MATCH(tblMovement[[#This Row],[Source]],tblSources[Source],0)),"?"))</f>
        <v/>
      </c>
      <c r="L664" s="63">
        <f>IF(tblMovement[[#This Row],[Destination]]="","",IFERROR(INDEX(tblDestinations[Type],MATCH(tblMovement[[#This Row],[Destination]],tblDestinations[Destination],0)),"?"))</f>
        <v/>
      </c>
      <c r="M664" s="64">
        <f>IF(tblMovement[[#This Row],[Material]]="","",IF(LEFT(tblMovement[[#This Row],[Material]],3)="Ore",1,0))</f>
        <v/>
      </c>
      <c r="N664" s="59">
        <f>IF(OR(tblMovement[[#This Row],[Tonnes_t]]="",tblMovement[[#This Row],[Grade_gpt]]=""),0,tblMovement[[#This Row],[Tonnes_t]]*tblMovement[[#This Row],[Grade_gpt]]/cfg_TroyOz)</f>
        <v/>
      </c>
      <c r="O664" s="59">
        <f>IF(tblMovement[[#This Row],[Is_Ore]]=1,tblMovement[[#This Row],[Contained_oz]],0)</f>
        <v/>
      </c>
    </row>
    <row r="665">
      <c r="A665" s="54" t="n"/>
      <c r="B665" s="61" t="n"/>
      <c r="C665" s="61" t="n"/>
      <c r="D665" s="61" t="n"/>
      <c r="E665" s="61" t="n"/>
      <c r="F665" s="55" t="n"/>
      <c r="G665" s="56" t="n"/>
      <c r="H665" s="55" t="n"/>
      <c r="I665" s="62" t="n"/>
      <c r="J665" s="58" t="n"/>
      <c r="K665" s="63">
        <f>IF(tblMovement[[#This Row],[Source]]="","",IFERROR(INDEX(tblSources[Type],MATCH(tblMovement[[#This Row],[Source]],tblSources[Source],0)),"?"))</f>
        <v/>
      </c>
      <c r="L665" s="63">
        <f>IF(tblMovement[[#This Row],[Destination]]="","",IFERROR(INDEX(tblDestinations[Type],MATCH(tblMovement[[#This Row],[Destination]],tblDestinations[Destination],0)),"?"))</f>
        <v/>
      </c>
      <c r="M665" s="64">
        <f>IF(tblMovement[[#This Row],[Material]]="","",IF(LEFT(tblMovement[[#This Row],[Material]],3)="Ore",1,0))</f>
        <v/>
      </c>
      <c r="N665" s="59">
        <f>IF(OR(tblMovement[[#This Row],[Tonnes_t]]="",tblMovement[[#This Row],[Grade_gpt]]=""),0,tblMovement[[#This Row],[Tonnes_t]]*tblMovement[[#This Row],[Grade_gpt]]/cfg_TroyOz)</f>
        <v/>
      </c>
      <c r="O665" s="59">
        <f>IF(tblMovement[[#This Row],[Is_Ore]]=1,tblMovement[[#This Row],[Contained_oz]],0)</f>
        <v/>
      </c>
    </row>
    <row r="666">
      <c r="A666" s="54" t="n"/>
      <c r="B666" s="61" t="n"/>
      <c r="C666" s="61" t="n"/>
      <c r="D666" s="61" t="n"/>
      <c r="E666" s="61" t="n"/>
      <c r="F666" s="55" t="n"/>
      <c r="G666" s="56" t="n"/>
      <c r="H666" s="55" t="n"/>
      <c r="I666" s="62" t="n"/>
      <c r="J666" s="58" t="n"/>
      <c r="K666" s="63">
        <f>IF(tblMovement[[#This Row],[Source]]="","",IFERROR(INDEX(tblSources[Type],MATCH(tblMovement[[#This Row],[Source]],tblSources[Source],0)),"?"))</f>
        <v/>
      </c>
      <c r="L666" s="63">
        <f>IF(tblMovement[[#This Row],[Destination]]="","",IFERROR(INDEX(tblDestinations[Type],MATCH(tblMovement[[#This Row],[Destination]],tblDestinations[Destination],0)),"?"))</f>
        <v/>
      </c>
      <c r="M666" s="64">
        <f>IF(tblMovement[[#This Row],[Material]]="","",IF(LEFT(tblMovement[[#This Row],[Material]],3)="Ore",1,0))</f>
        <v/>
      </c>
      <c r="N666" s="59">
        <f>IF(OR(tblMovement[[#This Row],[Tonnes_t]]="",tblMovement[[#This Row],[Grade_gpt]]=""),0,tblMovement[[#This Row],[Tonnes_t]]*tblMovement[[#This Row],[Grade_gpt]]/cfg_TroyOz)</f>
        <v/>
      </c>
      <c r="O666" s="59">
        <f>IF(tblMovement[[#This Row],[Is_Ore]]=1,tblMovement[[#This Row],[Contained_oz]],0)</f>
        <v/>
      </c>
    </row>
    <row r="667">
      <c r="A667" s="54" t="n"/>
      <c r="B667" s="61" t="n"/>
      <c r="C667" s="61" t="n"/>
      <c r="D667" s="61" t="n"/>
      <c r="E667" s="61" t="n"/>
      <c r="F667" s="55" t="n"/>
      <c r="G667" s="56" t="n"/>
      <c r="H667" s="55" t="n"/>
      <c r="I667" s="62" t="n"/>
      <c r="J667" s="58" t="n"/>
      <c r="K667" s="63">
        <f>IF(tblMovement[[#This Row],[Source]]="","",IFERROR(INDEX(tblSources[Type],MATCH(tblMovement[[#This Row],[Source]],tblSources[Source],0)),"?"))</f>
        <v/>
      </c>
      <c r="L667" s="63">
        <f>IF(tblMovement[[#This Row],[Destination]]="","",IFERROR(INDEX(tblDestinations[Type],MATCH(tblMovement[[#This Row],[Destination]],tblDestinations[Destination],0)),"?"))</f>
        <v/>
      </c>
      <c r="M667" s="64">
        <f>IF(tblMovement[[#This Row],[Material]]="","",IF(LEFT(tblMovement[[#This Row],[Material]],3)="Ore",1,0))</f>
        <v/>
      </c>
      <c r="N667" s="59">
        <f>IF(OR(tblMovement[[#This Row],[Tonnes_t]]="",tblMovement[[#This Row],[Grade_gpt]]=""),0,tblMovement[[#This Row],[Tonnes_t]]*tblMovement[[#This Row],[Grade_gpt]]/cfg_TroyOz)</f>
        <v/>
      </c>
      <c r="O667" s="59">
        <f>IF(tblMovement[[#This Row],[Is_Ore]]=1,tblMovement[[#This Row],[Contained_oz]],0)</f>
        <v/>
      </c>
    </row>
    <row r="668">
      <c r="A668" s="54" t="n"/>
      <c r="B668" s="61" t="n"/>
      <c r="C668" s="61" t="n"/>
      <c r="D668" s="61" t="n"/>
      <c r="E668" s="61" t="n"/>
      <c r="F668" s="55" t="n"/>
      <c r="G668" s="56" t="n"/>
      <c r="H668" s="55" t="n"/>
      <c r="I668" s="62" t="n"/>
      <c r="J668" s="58" t="n"/>
      <c r="K668" s="63">
        <f>IF(tblMovement[[#This Row],[Source]]="","",IFERROR(INDEX(tblSources[Type],MATCH(tblMovement[[#This Row],[Source]],tblSources[Source],0)),"?"))</f>
        <v/>
      </c>
      <c r="L668" s="63">
        <f>IF(tblMovement[[#This Row],[Destination]]="","",IFERROR(INDEX(tblDestinations[Type],MATCH(tblMovement[[#This Row],[Destination]],tblDestinations[Destination],0)),"?"))</f>
        <v/>
      </c>
      <c r="M668" s="64">
        <f>IF(tblMovement[[#This Row],[Material]]="","",IF(LEFT(tblMovement[[#This Row],[Material]],3)="Ore",1,0))</f>
        <v/>
      </c>
      <c r="N668" s="59">
        <f>IF(OR(tblMovement[[#This Row],[Tonnes_t]]="",tblMovement[[#This Row],[Grade_gpt]]=""),0,tblMovement[[#This Row],[Tonnes_t]]*tblMovement[[#This Row],[Grade_gpt]]/cfg_TroyOz)</f>
        <v/>
      </c>
      <c r="O668" s="59">
        <f>IF(tblMovement[[#This Row],[Is_Ore]]=1,tblMovement[[#This Row],[Contained_oz]],0)</f>
        <v/>
      </c>
    </row>
    <row r="669">
      <c r="A669" s="54" t="n"/>
      <c r="B669" s="61" t="n"/>
      <c r="C669" s="61" t="n"/>
      <c r="D669" s="61" t="n"/>
      <c r="E669" s="61" t="n"/>
      <c r="F669" s="55" t="n"/>
      <c r="G669" s="56" t="n"/>
      <c r="H669" s="55" t="n"/>
      <c r="I669" s="62" t="n"/>
      <c r="J669" s="58" t="n"/>
      <c r="K669" s="63">
        <f>IF(tblMovement[[#This Row],[Source]]="","",IFERROR(INDEX(tblSources[Type],MATCH(tblMovement[[#This Row],[Source]],tblSources[Source],0)),"?"))</f>
        <v/>
      </c>
      <c r="L669" s="63">
        <f>IF(tblMovement[[#This Row],[Destination]]="","",IFERROR(INDEX(tblDestinations[Type],MATCH(tblMovement[[#This Row],[Destination]],tblDestinations[Destination],0)),"?"))</f>
        <v/>
      </c>
      <c r="M669" s="64">
        <f>IF(tblMovement[[#This Row],[Material]]="","",IF(LEFT(tblMovement[[#This Row],[Material]],3)="Ore",1,0))</f>
        <v/>
      </c>
      <c r="N669" s="59">
        <f>IF(OR(tblMovement[[#This Row],[Tonnes_t]]="",tblMovement[[#This Row],[Grade_gpt]]=""),0,tblMovement[[#This Row],[Tonnes_t]]*tblMovement[[#This Row],[Grade_gpt]]/cfg_TroyOz)</f>
        <v/>
      </c>
      <c r="O669" s="59">
        <f>IF(tblMovement[[#This Row],[Is_Ore]]=1,tblMovement[[#This Row],[Contained_oz]],0)</f>
        <v/>
      </c>
    </row>
    <row r="670">
      <c r="A670" s="54" t="n"/>
      <c r="B670" s="61" t="n"/>
      <c r="C670" s="61" t="n"/>
      <c r="D670" s="61" t="n"/>
      <c r="E670" s="61" t="n"/>
      <c r="F670" s="55" t="n"/>
      <c r="G670" s="56" t="n"/>
      <c r="H670" s="55" t="n"/>
      <c r="I670" s="62" t="n"/>
      <c r="J670" s="58" t="n"/>
      <c r="K670" s="63">
        <f>IF(tblMovement[[#This Row],[Source]]="","",IFERROR(INDEX(tblSources[Type],MATCH(tblMovement[[#This Row],[Source]],tblSources[Source],0)),"?"))</f>
        <v/>
      </c>
      <c r="L670" s="63">
        <f>IF(tblMovement[[#This Row],[Destination]]="","",IFERROR(INDEX(tblDestinations[Type],MATCH(tblMovement[[#This Row],[Destination]],tblDestinations[Destination],0)),"?"))</f>
        <v/>
      </c>
      <c r="M670" s="64">
        <f>IF(tblMovement[[#This Row],[Material]]="","",IF(LEFT(tblMovement[[#This Row],[Material]],3)="Ore",1,0))</f>
        <v/>
      </c>
      <c r="N670" s="59">
        <f>IF(OR(tblMovement[[#This Row],[Tonnes_t]]="",tblMovement[[#This Row],[Grade_gpt]]=""),0,tblMovement[[#This Row],[Tonnes_t]]*tblMovement[[#This Row],[Grade_gpt]]/cfg_TroyOz)</f>
        <v/>
      </c>
      <c r="O670" s="59">
        <f>IF(tblMovement[[#This Row],[Is_Ore]]=1,tblMovement[[#This Row],[Contained_oz]],0)</f>
        <v/>
      </c>
    </row>
    <row r="671">
      <c r="A671" s="54" t="n"/>
      <c r="B671" s="61" t="n"/>
      <c r="C671" s="61" t="n"/>
      <c r="D671" s="61" t="n"/>
      <c r="E671" s="61" t="n"/>
      <c r="F671" s="55" t="n"/>
      <c r="G671" s="56" t="n"/>
      <c r="H671" s="55" t="n"/>
      <c r="I671" s="62" t="n"/>
      <c r="J671" s="58" t="n"/>
      <c r="K671" s="63">
        <f>IF(tblMovement[[#This Row],[Source]]="","",IFERROR(INDEX(tblSources[Type],MATCH(tblMovement[[#This Row],[Source]],tblSources[Source],0)),"?"))</f>
        <v/>
      </c>
      <c r="L671" s="63">
        <f>IF(tblMovement[[#This Row],[Destination]]="","",IFERROR(INDEX(tblDestinations[Type],MATCH(tblMovement[[#This Row],[Destination]],tblDestinations[Destination],0)),"?"))</f>
        <v/>
      </c>
      <c r="M671" s="64">
        <f>IF(tblMovement[[#This Row],[Material]]="","",IF(LEFT(tblMovement[[#This Row],[Material]],3)="Ore",1,0))</f>
        <v/>
      </c>
      <c r="N671" s="59">
        <f>IF(OR(tblMovement[[#This Row],[Tonnes_t]]="",tblMovement[[#This Row],[Grade_gpt]]=""),0,tblMovement[[#This Row],[Tonnes_t]]*tblMovement[[#This Row],[Grade_gpt]]/cfg_TroyOz)</f>
        <v/>
      </c>
      <c r="O671" s="59">
        <f>IF(tblMovement[[#This Row],[Is_Ore]]=1,tblMovement[[#This Row],[Contained_oz]],0)</f>
        <v/>
      </c>
    </row>
    <row r="672">
      <c r="A672" s="54" t="n"/>
      <c r="B672" s="61" t="n"/>
      <c r="C672" s="61" t="n"/>
      <c r="D672" s="61" t="n"/>
      <c r="E672" s="61" t="n"/>
      <c r="F672" s="55" t="n"/>
      <c r="G672" s="56" t="n"/>
      <c r="H672" s="55" t="n"/>
      <c r="I672" s="62" t="n"/>
      <c r="J672" s="58" t="n"/>
      <c r="K672" s="63">
        <f>IF(tblMovement[[#This Row],[Source]]="","",IFERROR(INDEX(tblSources[Type],MATCH(tblMovement[[#This Row],[Source]],tblSources[Source],0)),"?"))</f>
        <v/>
      </c>
      <c r="L672" s="63">
        <f>IF(tblMovement[[#This Row],[Destination]]="","",IFERROR(INDEX(tblDestinations[Type],MATCH(tblMovement[[#This Row],[Destination]],tblDestinations[Destination],0)),"?"))</f>
        <v/>
      </c>
      <c r="M672" s="64">
        <f>IF(tblMovement[[#This Row],[Material]]="","",IF(LEFT(tblMovement[[#This Row],[Material]],3)="Ore",1,0))</f>
        <v/>
      </c>
      <c r="N672" s="59">
        <f>IF(OR(tblMovement[[#This Row],[Tonnes_t]]="",tblMovement[[#This Row],[Grade_gpt]]=""),0,tblMovement[[#This Row],[Tonnes_t]]*tblMovement[[#This Row],[Grade_gpt]]/cfg_TroyOz)</f>
        <v/>
      </c>
      <c r="O672" s="59">
        <f>IF(tblMovement[[#This Row],[Is_Ore]]=1,tblMovement[[#This Row],[Contained_oz]],0)</f>
        <v/>
      </c>
    </row>
    <row r="673">
      <c r="A673" s="54" t="n"/>
      <c r="B673" s="61" t="n"/>
      <c r="C673" s="61" t="n"/>
      <c r="D673" s="61" t="n"/>
      <c r="E673" s="61" t="n"/>
      <c r="F673" s="55" t="n"/>
      <c r="G673" s="56" t="n"/>
      <c r="H673" s="55" t="n"/>
      <c r="I673" s="62" t="n"/>
      <c r="J673" s="58" t="n"/>
      <c r="K673" s="63">
        <f>IF(tblMovement[[#This Row],[Source]]="","",IFERROR(INDEX(tblSources[Type],MATCH(tblMovement[[#This Row],[Source]],tblSources[Source],0)),"?"))</f>
        <v/>
      </c>
      <c r="L673" s="63">
        <f>IF(tblMovement[[#This Row],[Destination]]="","",IFERROR(INDEX(tblDestinations[Type],MATCH(tblMovement[[#This Row],[Destination]],tblDestinations[Destination],0)),"?"))</f>
        <v/>
      </c>
      <c r="M673" s="64">
        <f>IF(tblMovement[[#This Row],[Material]]="","",IF(LEFT(tblMovement[[#This Row],[Material]],3)="Ore",1,0))</f>
        <v/>
      </c>
      <c r="N673" s="59">
        <f>IF(OR(tblMovement[[#This Row],[Tonnes_t]]="",tblMovement[[#This Row],[Grade_gpt]]=""),0,tblMovement[[#This Row],[Tonnes_t]]*tblMovement[[#This Row],[Grade_gpt]]/cfg_TroyOz)</f>
        <v/>
      </c>
      <c r="O673" s="59">
        <f>IF(tblMovement[[#This Row],[Is_Ore]]=1,tblMovement[[#This Row],[Contained_oz]],0)</f>
        <v/>
      </c>
    </row>
    <row r="674">
      <c r="A674" s="54" t="n"/>
      <c r="B674" s="61" t="n"/>
      <c r="C674" s="61" t="n"/>
      <c r="D674" s="61" t="n"/>
      <c r="E674" s="61" t="n"/>
      <c r="F674" s="55" t="n"/>
      <c r="G674" s="56" t="n"/>
      <c r="H674" s="55" t="n"/>
      <c r="I674" s="62" t="n"/>
      <c r="J674" s="58" t="n"/>
      <c r="K674" s="63">
        <f>IF(tblMovement[[#This Row],[Source]]="","",IFERROR(INDEX(tblSources[Type],MATCH(tblMovement[[#This Row],[Source]],tblSources[Source],0)),"?"))</f>
        <v/>
      </c>
      <c r="L674" s="63">
        <f>IF(tblMovement[[#This Row],[Destination]]="","",IFERROR(INDEX(tblDestinations[Type],MATCH(tblMovement[[#This Row],[Destination]],tblDestinations[Destination],0)),"?"))</f>
        <v/>
      </c>
      <c r="M674" s="64">
        <f>IF(tblMovement[[#This Row],[Material]]="","",IF(LEFT(tblMovement[[#This Row],[Material]],3)="Ore",1,0))</f>
        <v/>
      </c>
      <c r="N674" s="59">
        <f>IF(OR(tblMovement[[#This Row],[Tonnes_t]]="",tblMovement[[#This Row],[Grade_gpt]]=""),0,tblMovement[[#This Row],[Tonnes_t]]*tblMovement[[#This Row],[Grade_gpt]]/cfg_TroyOz)</f>
        <v/>
      </c>
      <c r="O674" s="59">
        <f>IF(tblMovement[[#This Row],[Is_Ore]]=1,tblMovement[[#This Row],[Contained_oz]],0)</f>
        <v/>
      </c>
    </row>
    <row r="675">
      <c r="A675" s="54" t="n"/>
      <c r="B675" s="61" t="n"/>
      <c r="C675" s="61" t="n"/>
      <c r="D675" s="61" t="n"/>
      <c r="E675" s="61" t="n"/>
      <c r="F675" s="55" t="n"/>
      <c r="G675" s="56" t="n"/>
      <c r="H675" s="55" t="n"/>
      <c r="I675" s="62" t="n"/>
      <c r="J675" s="58" t="n"/>
      <c r="K675" s="63">
        <f>IF(tblMovement[[#This Row],[Source]]="","",IFERROR(INDEX(tblSources[Type],MATCH(tblMovement[[#This Row],[Source]],tblSources[Source],0)),"?"))</f>
        <v/>
      </c>
      <c r="L675" s="63">
        <f>IF(tblMovement[[#This Row],[Destination]]="","",IFERROR(INDEX(tblDestinations[Type],MATCH(tblMovement[[#This Row],[Destination]],tblDestinations[Destination],0)),"?"))</f>
        <v/>
      </c>
      <c r="M675" s="64">
        <f>IF(tblMovement[[#This Row],[Material]]="","",IF(LEFT(tblMovement[[#This Row],[Material]],3)="Ore",1,0))</f>
        <v/>
      </c>
      <c r="N675" s="59">
        <f>IF(OR(tblMovement[[#This Row],[Tonnes_t]]="",tblMovement[[#This Row],[Grade_gpt]]=""),0,tblMovement[[#This Row],[Tonnes_t]]*tblMovement[[#This Row],[Grade_gpt]]/cfg_TroyOz)</f>
        <v/>
      </c>
      <c r="O675" s="59">
        <f>IF(tblMovement[[#This Row],[Is_Ore]]=1,tblMovement[[#This Row],[Contained_oz]],0)</f>
        <v/>
      </c>
    </row>
    <row r="676">
      <c r="A676" s="54" t="n"/>
      <c r="B676" s="61" t="n"/>
      <c r="C676" s="61" t="n"/>
      <c r="D676" s="61" t="n"/>
      <c r="E676" s="61" t="n"/>
      <c r="F676" s="55" t="n"/>
      <c r="G676" s="56" t="n"/>
      <c r="H676" s="55" t="n"/>
      <c r="I676" s="62" t="n"/>
      <c r="J676" s="58" t="n"/>
      <c r="K676" s="63">
        <f>IF(tblMovement[[#This Row],[Source]]="","",IFERROR(INDEX(tblSources[Type],MATCH(tblMovement[[#This Row],[Source]],tblSources[Source],0)),"?"))</f>
        <v/>
      </c>
      <c r="L676" s="63">
        <f>IF(tblMovement[[#This Row],[Destination]]="","",IFERROR(INDEX(tblDestinations[Type],MATCH(tblMovement[[#This Row],[Destination]],tblDestinations[Destination],0)),"?"))</f>
        <v/>
      </c>
      <c r="M676" s="64">
        <f>IF(tblMovement[[#This Row],[Material]]="","",IF(LEFT(tblMovement[[#This Row],[Material]],3)="Ore",1,0))</f>
        <v/>
      </c>
      <c r="N676" s="59">
        <f>IF(OR(tblMovement[[#This Row],[Tonnes_t]]="",tblMovement[[#This Row],[Grade_gpt]]=""),0,tblMovement[[#This Row],[Tonnes_t]]*tblMovement[[#This Row],[Grade_gpt]]/cfg_TroyOz)</f>
        <v/>
      </c>
      <c r="O676" s="59">
        <f>IF(tblMovement[[#This Row],[Is_Ore]]=1,tblMovement[[#This Row],[Contained_oz]],0)</f>
        <v/>
      </c>
    </row>
    <row r="677">
      <c r="A677" s="54" t="n"/>
      <c r="B677" s="61" t="n"/>
      <c r="C677" s="61" t="n"/>
      <c r="D677" s="61" t="n"/>
      <c r="E677" s="61" t="n"/>
      <c r="F677" s="55" t="n"/>
      <c r="G677" s="56" t="n"/>
      <c r="H677" s="55" t="n"/>
      <c r="I677" s="62" t="n"/>
      <c r="J677" s="58" t="n"/>
      <c r="K677" s="63">
        <f>IF(tblMovement[[#This Row],[Source]]="","",IFERROR(INDEX(tblSources[Type],MATCH(tblMovement[[#This Row],[Source]],tblSources[Source],0)),"?"))</f>
        <v/>
      </c>
      <c r="L677" s="63">
        <f>IF(tblMovement[[#This Row],[Destination]]="","",IFERROR(INDEX(tblDestinations[Type],MATCH(tblMovement[[#This Row],[Destination]],tblDestinations[Destination],0)),"?"))</f>
        <v/>
      </c>
      <c r="M677" s="64">
        <f>IF(tblMovement[[#This Row],[Material]]="","",IF(LEFT(tblMovement[[#This Row],[Material]],3)="Ore",1,0))</f>
        <v/>
      </c>
      <c r="N677" s="59">
        <f>IF(OR(tblMovement[[#This Row],[Tonnes_t]]="",tblMovement[[#This Row],[Grade_gpt]]=""),0,tblMovement[[#This Row],[Tonnes_t]]*tblMovement[[#This Row],[Grade_gpt]]/cfg_TroyOz)</f>
        <v/>
      </c>
      <c r="O677" s="59">
        <f>IF(tblMovement[[#This Row],[Is_Ore]]=1,tblMovement[[#This Row],[Contained_oz]],0)</f>
        <v/>
      </c>
    </row>
    <row r="678">
      <c r="A678" s="54" t="n"/>
      <c r="B678" s="61" t="n"/>
      <c r="C678" s="61" t="n"/>
      <c r="D678" s="61" t="n"/>
      <c r="E678" s="61" t="n"/>
      <c r="F678" s="55" t="n"/>
      <c r="G678" s="56" t="n"/>
      <c r="H678" s="55" t="n"/>
      <c r="I678" s="62" t="n"/>
      <c r="J678" s="58" t="n"/>
      <c r="K678" s="63">
        <f>IF(tblMovement[[#This Row],[Source]]="","",IFERROR(INDEX(tblSources[Type],MATCH(tblMovement[[#This Row],[Source]],tblSources[Source],0)),"?"))</f>
        <v/>
      </c>
      <c r="L678" s="63">
        <f>IF(tblMovement[[#This Row],[Destination]]="","",IFERROR(INDEX(tblDestinations[Type],MATCH(tblMovement[[#This Row],[Destination]],tblDestinations[Destination],0)),"?"))</f>
        <v/>
      </c>
      <c r="M678" s="64">
        <f>IF(tblMovement[[#This Row],[Material]]="","",IF(LEFT(tblMovement[[#This Row],[Material]],3)="Ore",1,0))</f>
        <v/>
      </c>
      <c r="N678" s="59">
        <f>IF(OR(tblMovement[[#This Row],[Tonnes_t]]="",tblMovement[[#This Row],[Grade_gpt]]=""),0,tblMovement[[#This Row],[Tonnes_t]]*tblMovement[[#This Row],[Grade_gpt]]/cfg_TroyOz)</f>
        <v/>
      </c>
      <c r="O678" s="59">
        <f>IF(tblMovement[[#This Row],[Is_Ore]]=1,tblMovement[[#This Row],[Contained_oz]],0)</f>
        <v/>
      </c>
    </row>
    <row r="679">
      <c r="A679" s="54" t="n"/>
      <c r="B679" s="61" t="n"/>
      <c r="C679" s="61" t="n"/>
      <c r="D679" s="61" t="n"/>
      <c r="E679" s="61" t="n"/>
      <c r="F679" s="55" t="n"/>
      <c r="G679" s="56" t="n"/>
      <c r="H679" s="55" t="n"/>
      <c r="I679" s="62" t="n"/>
      <c r="J679" s="58" t="n"/>
      <c r="K679" s="63">
        <f>IF(tblMovement[[#This Row],[Source]]="","",IFERROR(INDEX(tblSources[Type],MATCH(tblMovement[[#This Row],[Source]],tblSources[Source],0)),"?"))</f>
        <v/>
      </c>
      <c r="L679" s="63">
        <f>IF(tblMovement[[#This Row],[Destination]]="","",IFERROR(INDEX(tblDestinations[Type],MATCH(tblMovement[[#This Row],[Destination]],tblDestinations[Destination],0)),"?"))</f>
        <v/>
      </c>
      <c r="M679" s="64">
        <f>IF(tblMovement[[#This Row],[Material]]="","",IF(LEFT(tblMovement[[#This Row],[Material]],3)="Ore",1,0))</f>
        <v/>
      </c>
      <c r="N679" s="59">
        <f>IF(OR(tblMovement[[#This Row],[Tonnes_t]]="",tblMovement[[#This Row],[Grade_gpt]]=""),0,tblMovement[[#This Row],[Tonnes_t]]*tblMovement[[#This Row],[Grade_gpt]]/cfg_TroyOz)</f>
        <v/>
      </c>
      <c r="O679" s="59">
        <f>IF(tblMovement[[#This Row],[Is_Ore]]=1,tblMovement[[#This Row],[Contained_oz]],0)</f>
        <v/>
      </c>
    </row>
    <row r="680">
      <c r="A680" s="54" t="n"/>
      <c r="B680" s="61" t="n"/>
      <c r="C680" s="61" t="n"/>
      <c r="D680" s="61" t="n"/>
      <c r="E680" s="61" t="n"/>
      <c r="F680" s="55" t="n"/>
      <c r="G680" s="56" t="n"/>
      <c r="H680" s="55" t="n"/>
      <c r="I680" s="62" t="n"/>
      <c r="J680" s="58" t="n"/>
      <c r="K680" s="63">
        <f>IF(tblMovement[[#This Row],[Source]]="","",IFERROR(INDEX(tblSources[Type],MATCH(tblMovement[[#This Row],[Source]],tblSources[Source],0)),"?"))</f>
        <v/>
      </c>
      <c r="L680" s="63">
        <f>IF(tblMovement[[#This Row],[Destination]]="","",IFERROR(INDEX(tblDestinations[Type],MATCH(tblMovement[[#This Row],[Destination]],tblDestinations[Destination],0)),"?"))</f>
        <v/>
      </c>
      <c r="M680" s="64">
        <f>IF(tblMovement[[#This Row],[Material]]="","",IF(LEFT(tblMovement[[#This Row],[Material]],3)="Ore",1,0))</f>
        <v/>
      </c>
      <c r="N680" s="59">
        <f>IF(OR(tblMovement[[#This Row],[Tonnes_t]]="",tblMovement[[#This Row],[Grade_gpt]]=""),0,tblMovement[[#This Row],[Tonnes_t]]*tblMovement[[#This Row],[Grade_gpt]]/cfg_TroyOz)</f>
        <v/>
      </c>
      <c r="O680" s="59">
        <f>IF(tblMovement[[#This Row],[Is_Ore]]=1,tblMovement[[#This Row],[Contained_oz]],0)</f>
        <v/>
      </c>
    </row>
    <row r="681">
      <c r="A681" s="54" t="n"/>
      <c r="B681" s="61" t="n"/>
      <c r="C681" s="61" t="n"/>
      <c r="D681" s="61" t="n"/>
      <c r="E681" s="61" t="n"/>
      <c r="F681" s="55" t="n"/>
      <c r="G681" s="56" t="n"/>
      <c r="H681" s="55" t="n"/>
      <c r="I681" s="62" t="n"/>
      <c r="J681" s="58" t="n"/>
      <c r="K681" s="63">
        <f>IF(tblMovement[[#This Row],[Source]]="","",IFERROR(INDEX(tblSources[Type],MATCH(tblMovement[[#This Row],[Source]],tblSources[Source],0)),"?"))</f>
        <v/>
      </c>
      <c r="L681" s="63">
        <f>IF(tblMovement[[#This Row],[Destination]]="","",IFERROR(INDEX(tblDestinations[Type],MATCH(tblMovement[[#This Row],[Destination]],tblDestinations[Destination],0)),"?"))</f>
        <v/>
      </c>
      <c r="M681" s="64">
        <f>IF(tblMovement[[#This Row],[Material]]="","",IF(LEFT(tblMovement[[#This Row],[Material]],3)="Ore",1,0))</f>
        <v/>
      </c>
      <c r="N681" s="59">
        <f>IF(OR(tblMovement[[#This Row],[Tonnes_t]]="",tblMovement[[#This Row],[Grade_gpt]]=""),0,tblMovement[[#This Row],[Tonnes_t]]*tblMovement[[#This Row],[Grade_gpt]]/cfg_TroyOz)</f>
        <v/>
      </c>
      <c r="O681" s="59">
        <f>IF(tblMovement[[#This Row],[Is_Ore]]=1,tblMovement[[#This Row],[Contained_oz]],0)</f>
        <v/>
      </c>
    </row>
    <row r="682">
      <c r="A682" s="54" t="n"/>
      <c r="B682" s="61" t="n"/>
      <c r="C682" s="61" t="n"/>
      <c r="D682" s="61" t="n"/>
      <c r="E682" s="61" t="n"/>
      <c r="F682" s="55" t="n"/>
      <c r="G682" s="56" t="n"/>
      <c r="H682" s="55" t="n"/>
      <c r="I682" s="62" t="n"/>
      <c r="J682" s="58" t="n"/>
      <c r="K682" s="63">
        <f>IF(tblMovement[[#This Row],[Source]]="","",IFERROR(INDEX(tblSources[Type],MATCH(tblMovement[[#This Row],[Source]],tblSources[Source],0)),"?"))</f>
        <v/>
      </c>
      <c r="L682" s="63">
        <f>IF(tblMovement[[#This Row],[Destination]]="","",IFERROR(INDEX(tblDestinations[Type],MATCH(tblMovement[[#This Row],[Destination]],tblDestinations[Destination],0)),"?"))</f>
        <v/>
      </c>
      <c r="M682" s="64">
        <f>IF(tblMovement[[#This Row],[Material]]="","",IF(LEFT(tblMovement[[#This Row],[Material]],3)="Ore",1,0))</f>
        <v/>
      </c>
      <c r="N682" s="59">
        <f>IF(OR(tblMovement[[#This Row],[Tonnes_t]]="",tblMovement[[#This Row],[Grade_gpt]]=""),0,tblMovement[[#This Row],[Tonnes_t]]*tblMovement[[#This Row],[Grade_gpt]]/cfg_TroyOz)</f>
        <v/>
      </c>
      <c r="O682" s="59">
        <f>IF(tblMovement[[#This Row],[Is_Ore]]=1,tblMovement[[#This Row],[Contained_oz]],0)</f>
        <v/>
      </c>
    </row>
    <row r="683">
      <c r="A683" s="54" t="n"/>
      <c r="B683" s="61" t="n"/>
      <c r="C683" s="61" t="n"/>
      <c r="D683" s="61" t="n"/>
      <c r="E683" s="61" t="n"/>
      <c r="F683" s="55" t="n"/>
      <c r="G683" s="56" t="n"/>
      <c r="H683" s="55" t="n"/>
      <c r="I683" s="62" t="n"/>
      <c r="J683" s="58" t="n"/>
      <c r="K683" s="63">
        <f>IF(tblMovement[[#This Row],[Source]]="","",IFERROR(INDEX(tblSources[Type],MATCH(tblMovement[[#This Row],[Source]],tblSources[Source],0)),"?"))</f>
        <v/>
      </c>
      <c r="L683" s="63">
        <f>IF(tblMovement[[#This Row],[Destination]]="","",IFERROR(INDEX(tblDestinations[Type],MATCH(tblMovement[[#This Row],[Destination]],tblDestinations[Destination],0)),"?"))</f>
        <v/>
      </c>
      <c r="M683" s="64">
        <f>IF(tblMovement[[#This Row],[Material]]="","",IF(LEFT(tblMovement[[#This Row],[Material]],3)="Ore",1,0))</f>
        <v/>
      </c>
      <c r="N683" s="59">
        <f>IF(OR(tblMovement[[#This Row],[Tonnes_t]]="",tblMovement[[#This Row],[Grade_gpt]]=""),0,tblMovement[[#This Row],[Tonnes_t]]*tblMovement[[#This Row],[Grade_gpt]]/cfg_TroyOz)</f>
        <v/>
      </c>
      <c r="O683" s="59">
        <f>IF(tblMovement[[#This Row],[Is_Ore]]=1,tblMovement[[#This Row],[Contained_oz]],0)</f>
        <v/>
      </c>
    </row>
    <row r="684">
      <c r="A684" s="54" t="n"/>
      <c r="B684" s="61" t="n"/>
      <c r="C684" s="61" t="n"/>
      <c r="D684" s="61" t="n"/>
      <c r="E684" s="61" t="n"/>
      <c r="F684" s="55" t="n"/>
      <c r="G684" s="56" t="n"/>
      <c r="H684" s="55" t="n"/>
      <c r="I684" s="62" t="n"/>
      <c r="J684" s="58" t="n"/>
      <c r="K684" s="63">
        <f>IF(tblMovement[[#This Row],[Source]]="","",IFERROR(INDEX(tblSources[Type],MATCH(tblMovement[[#This Row],[Source]],tblSources[Source],0)),"?"))</f>
        <v/>
      </c>
      <c r="L684" s="63">
        <f>IF(tblMovement[[#This Row],[Destination]]="","",IFERROR(INDEX(tblDestinations[Type],MATCH(tblMovement[[#This Row],[Destination]],tblDestinations[Destination],0)),"?"))</f>
        <v/>
      </c>
      <c r="M684" s="64">
        <f>IF(tblMovement[[#This Row],[Material]]="","",IF(LEFT(tblMovement[[#This Row],[Material]],3)="Ore",1,0))</f>
        <v/>
      </c>
      <c r="N684" s="59">
        <f>IF(OR(tblMovement[[#This Row],[Tonnes_t]]="",tblMovement[[#This Row],[Grade_gpt]]=""),0,tblMovement[[#This Row],[Tonnes_t]]*tblMovement[[#This Row],[Grade_gpt]]/cfg_TroyOz)</f>
        <v/>
      </c>
      <c r="O684" s="59">
        <f>IF(tblMovement[[#This Row],[Is_Ore]]=1,tblMovement[[#This Row],[Contained_oz]],0)</f>
        <v/>
      </c>
    </row>
    <row r="685">
      <c r="A685" s="54" t="n"/>
      <c r="B685" s="61" t="n"/>
      <c r="C685" s="61" t="n"/>
      <c r="D685" s="61" t="n"/>
      <c r="E685" s="61" t="n"/>
      <c r="F685" s="55" t="n"/>
      <c r="G685" s="56" t="n"/>
      <c r="H685" s="55" t="n"/>
      <c r="I685" s="62" t="n"/>
      <c r="J685" s="58" t="n"/>
      <c r="K685" s="63">
        <f>IF(tblMovement[[#This Row],[Source]]="","",IFERROR(INDEX(tblSources[Type],MATCH(tblMovement[[#This Row],[Source]],tblSources[Source],0)),"?"))</f>
        <v/>
      </c>
      <c r="L685" s="63">
        <f>IF(tblMovement[[#This Row],[Destination]]="","",IFERROR(INDEX(tblDestinations[Type],MATCH(tblMovement[[#This Row],[Destination]],tblDestinations[Destination],0)),"?"))</f>
        <v/>
      </c>
      <c r="M685" s="64">
        <f>IF(tblMovement[[#This Row],[Material]]="","",IF(LEFT(tblMovement[[#This Row],[Material]],3)="Ore",1,0))</f>
        <v/>
      </c>
      <c r="N685" s="59">
        <f>IF(OR(tblMovement[[#This Row],[Tonnes_t]]="",tblMovement[[#This Row],[Grade_gpt]]=""),0,tblMovement[[#This Row],[Tonnes_t]]*tblMovement[[#This Row],[Grade_gpt]]/cfg_TroyOz)</f>
        <v/>
      </c>
      <c r="O685" s="59">
        <f>IF(tblMovement[[#This Row],[Is_Ore]]=1,tblMovement[[#This Row],[Contained_oz]],0)</f>
        <v/>
      </c>
    </row>
    <row r="686">
      <c r="A686" s="54" t="n"/>
      <c r="B686" s="61" t="n"/>
      <c r="C686" s="61" t="n"/>
      <c r="D686" s="61" t="n"/>
      <c r="E686" s="61" t="n"/>
      <c r="F686" s="55" t="n"/>
      <c r="G686" s="56" t="n"/>
      <c r="H686" s="55" t="n"/>
      <c r="I686" s="62" t="n"/>
      <c r="J686" s="58" t="n"/>
      <c r="K686" s="63">
        <f>IF(tblMovement[[#This Row],[Source]]="","",IFERROR(INDEX(tblSources[Type],MATCH(tblMovement[[#This Row],[Source]],tblSources[Source],0)),"?"))</f>
        <v/>
      </c>
      <c r="L686" s="63">
        <f>IF(tblMovement[[#This Row],[Destination]]="","",IFERROR(INDEX(tblDestinations[Type],MATCH(tblMovement[[#This Row],[Destination]],tblDestinations[Destination],0)),"?"))</f>
        <v/>
      </c>
      <c r="M686" s="64">
        <f>IF(tblMovement[[#This Row],[Material]]="","",IF(LEFT(tblMovement[[#This Row],[Material]],3)="Ore",1,0))</f>
        <v/>
      </c>
      <c r="N686" s="59">
        <f>IF(OR(tblMovement[[#This Row],[Tonnes_t]]="",tblMovement[[#This Row],[Grade_gpt]]=""),0,tblMovement[[#This Row],[Tonnes_t]]*tblMovement[[#This Row],[Grade_gpt]]/cfg_TroyOz)</f>
        <v/>
      </c>
      <c r="O686" s="59">
        <f>IF(tblMovement[[#This Row],[Is_Ore]]=1,tblMovement[[#This Row],[Contained_oz]],0)</f>
        <v/>
      </c>
    </row>
    <row r="687">
      <c r="A687" s="54" t="n"/>
      <c r="B687" s="61" t="n"/>
      <c r="C687" s="61" t="n"/>
      <c r="D687" s="61" t="n"/>
      <c r="E687" s="61" t="n"/>
      <c r="F687" s="55" t="n"/>
      <c r="G687" s="56" t="n"/>
      <c r="H687" s="55" t="n"/>
      <c r="I687" s="62" t="n"/>
      <c r="J687" s="58" t="n"/>
      <c r="K687" s="63">
        <f>IF(tblMovement[[#This Row],[Source]]="","",IFERROR(INDEX(tblSources[Type],MATCH(tblMovement[[#This Row],[Source]],tblSources[Source],0)),"?"))</f>
        <v/>
      </c>
      <c r="L687" s="63">
        <f>IF(tblMovement[[#This Row],[Destination]]="","",IFERROR(INDEX(tblDestinations[Type],MATCH(tblMovement[[#This Row],[Destination]],tblDestinations[Destination],0)),"?"))</f>
        <v/>
      </c>
      <c r="M687" s="64">
        <f>IF(tblMovement[[#This Row],[Material]]="","",IF(LEFT(tblMovement[[#This Row],[Material]],3)="Ore",1,0))</f>
        <v/>
      </c>
      <c r="N687" s="59">
        <f>IF(OR(tblMovement[[#This Row],[Tonnes_t]]="",tblMovement[[#This Row],[Grade_gpt]]=""),0,tblMovement[[#This Row],[Tonnes_t]]*tblMovement[[#This Row],[Grade_gpt]]/cfg_TroyOz)</f>
        <v/>
      </c>
      <c r="O687" s="59">
        <f>IF(tblMovement[[#This Row],[Is_Ore]]=1,tblMovement[[#This Row],[Contained_oz]],0)</f>
        <v/>
      </c>
    </row>
    <row r="688">
      <c r="A688" s="54" t="n"/>
      <c r="B688" s="61" t="n"/>
      <c r="C688" s="61" t="n"/>
      <c r="D688" s="61" t="n"/>
      <c r="E688" s="61" t="n"/>
      <c r="F688" s="55" t="n"/>
      <c r="G688" s="56" t="n"/>
      <c r="H688" s="55" t="n"/>
      <c r="I688" s="62" t="n"/>
      <c r="J688" s="58" t="n"/>
      <c r="K688" s="63">
        <f>IF(tblMovement[[#This Row],[Source]]="","",IFERROR(INDEX(tblSources[Type],MATCH(tblMovement[[#This Row],[Source]],tblSources[Source],0)),"?"))</f>
        <v/>
      </c>
      <c r="L688" s="63">
        <f>IF(tblMovement[[#This Row],[Destination]]="","",IFERROR(INDEX(tblDestinations[Type],MATCH(tblMovement[[#This Row],[Destination]],tblDestinations[Destination],0)),"?"))</f>
        <v/>
      </c>
      <c r="M688" s="64">
        <f>IF(tblMovement[[#This Row],[Material]]="","",IF(LEFT(tblMovement[[#This Row],[Material]],3)="Ore",1,0))</f>
        <v/>
      </c>
      <c r="N688" s="59">
        <f>IF(OR(tblMovement[[#This Row],[Tonnes_t]]="",tblMovement[[#This Row],[Grade_gpt]]=""),0,tblMovement[[#This Row],[Tonnes_t]]*tblMovement[[#This Row],[Grade_gpt]]/cfg_TroyOz)</f>
        <v/>
      </c>
      <c r="O688" s="59">
        <f>IF(tblMovement[[#This Row],[Is_Ore]]=1,tblMovement[[#This Row],[Contained_oz]],0)</f>
        <v/>
      </c>
    </row>
    <row r="689">
      <c r="A689" s="54" t="n"/>
      <c r="B689" s="61" t="n"/>
      <c r="C689" s="61" t="n"/>
      <c r="D689" s="61" t="n"/>
      <c r="E689" s="61" t="n"/>
      <c r="F689" s="55" t="n"/>
      <c r="G689" s="56" t="n"/>
      <c r="H689" s="55" t="n"/>
      <c r="I689" s="62" t="n"/>
      <c r="J689" s="58" t="n"/>
      <c r="K689" s="63">
        <f>IF(tblMovement[[#This Row],[Source]]="","",IFERROR(INDEX(tblSources[Type],MATCH(tblMovement[[#This Row],[Source]],tblSources[Source],0)),"?"))</f>
        <v/>
      </c>
      <c r="L689" s="63">
        <f>IF(tblMovement[[#This Row],[Destination]]="","",IFERROR(INDEX(tblDestinations[Type],MATCH(tblMovement[[#This Row],[Destination]],tblDestinations[Destination],0)),"?"))</f>
        <v/>
      </c>
      <c r="M689" s="64">
        <f>IF(tblMovement[[#This Row],[Material]]="","",IF(LEFT(tblMovement[[#This Row],[Material]],3)="Ore",1,0))</f>
        <v/>
      </c>
      <c r="N689" s="59">
        <f>IF(OR(tblMovement[[#This Row],[Tonnes_t]]="",tblMovement[[#This Row],[Grade_gpt]]=""),0,tblMovement[[#This Row],[Tonnes_t]]*tblMovement[[#This Row],[Grade_gpt]]/cfg_TroyOz)</f>
        <v/>
      </c>
      <c r="O689" s="59">
        <f>IF(tblMovement[[#This Row],[Is_Ore]]=1,tblMovement[[#This Row],[Contained_oz]],0)</f>
        <v/>
      </c>
    </row>
    <row r="690">
      <c r="A690" s="54" t="n"/>
      <c r="B690" s="61" t="n"/>
      <c r="C690" s="61" t="n"/>
      <c r="D690" s="61" t="n"/>
      <c r="E690" s="61" t="n"/>
      <c r="F690" s="55" t="n"/>
      <c r="G690" s="56" t="n"/>
      <c r="H690" s="55" t="n"/>
      <c r="I690" s="62" t="n"/>
      <c r="J690" s="58" t="n"/>
      <c r="K690" s="63">
        <f>IF(tblMovement[[#This Row],[Source]]="","",IFERROR(INDEX(tblSources[Type],MATCH(tblMovement[[#This Row],[Source]],tblSources[Source],0)),"?"))</f>
        <v/>
      </c>
      <c r="L690" s="63">
        <f>IF(tblMovement[[#This Row],[Destination]]="","",IFERROR(INDEX(tblDestinations[Type],MATCH(tblMovement[[#This Row],[Destination]],tblDestinations[Destination],0)),"?"))</f>
        <v/>
      </c>
      <c r="M690" s="64">
        <f>IF(tblMovement[[#This Row],[Material]]="","",IF(LEFT(tblMovement[[#This Row],[Material]],3)="Ore",1,0))</f>
        <v/>
      </c>
      <c r="N690" s="59">
        <f>IF(OR(tblMovement[[#This Row],[Tonnes_t]]="",tblMovement[[#This Row],[Grade_gpt]]=""),0,tblMovement[[#This Row],[Tonnes_t]]*tblMovement[[#This Row],[Grade_gpt]]/cfg_TroyOz)</f>
        <v/>
      </c>
      <c r="O690" s="59">
        <f>IF(tblMovement[[#This Row],[Is_Ore]]=1,tblMovement[[#This Row],[Contained_oz]],0)</f>
        <v/>
      </c>
    </row>
    <row r="691">
      <c r="A691" s="54" t="n"/>
      <c r="B691" s="61" t="n"/>
      <c r="C691" s="61" t="n"/>
      <c r="D691" s="61" t="n"/>
      <c r="E691" s="61" t="n"/>
      <c r="F691" s="55" t="n"/>
      <c r="G691" s="56" t="n"/>
      <c r="H691" s="55" t="n"/>
      <c r="I691" s="62" t="n"/>
      <c r="J691" s="58" t="n"/>
      <c r="K691" s="63">
        <f>IF(tblMovement[[#This Row],[Source]]="","",IFERROR(INDEX(tblSources[Type],MATCH(tblMovement[[#This Row],[Source]],tblSources[Source],0)),"?"))</f>
        <v/>
      </c>
      <c r="L691" s="63">
        <f>IF(tblMovement[[#This Row],[Destination]]="","",IFERROR(INDEX(tblDestinations[Type],MATCH(tblMovement[[#This Row],[Destination]],tblDestinations[Destination],0)),"?"))</f>
        <v/>
      </c>
      <c r="M691" s="64">
        <f>IF(tblMovement[[#This Row],[Material]]="","",IF(LEFT(tblMovement[[#This Row],[Material]],3)="Ore",1,0))</f>
        <v/>
      </c>
      <c r="N691" s="59">
        <f>IF(OR(tblMovement[[#This Row],[Tonnes_t]]="",tblMovement[[#This Row],[Grade_gpt]]=""),0,tblMovement[[#This Row],[Tonnes_t]]*tblMovement[[#This Row],[Grade_gpt]]/cfg_TroyOz)</f>
        <v/>
      </c>
      <c r="O691" s="59">
        <f>IF(tblMovement[[#This Row],[Is_Ore]]=1,tblMovement[[#This Row],[Contained_oz]],0)</f>
        <v/>
      </c>
    </row>
    <row r="692">
      <c r="A692" s="54" t="n"/>
      <c r="B692" s="61" t="n"/>
      <c r="C692" s="61" t="n"/>
      <c r="D692" s="61" t="n"/>
      <c r="E692" s="61" t="n"/>
      <c r="F692" s="55" t="n"/>
      <c r="G692" s="56" t="n"/>
      <c r="H692" s="55" t="n"/>
      <c r="I692" s="62" t="n"/>
      <c r="J692" s="58" t="n"/>
      <c r="K692" s="63">
        <f>IF(tblMovement[[#This Row],[Source]]="","",IFERROR(INDEX(tblSources[Type],MATCH(tblMovement[[#This Row],[Source]],tblSources[Source],0)),"?"))</f>
        <v/>
      </c>
      <c r="L692" s="63">
        <f>IF(tblMovement[[#This Row],[Destination]]="","",IFERROR(INDEX(tblDestinations[Type],MATCH(tblMovement[[#This Row],[Destination]],tblDestinations[Destination],0)),"?"))</f>
        <v/>
      </c>
      <c r="M692" s="64">
        <f>IF(tblMovement[[#This Row],[Material]]="","",IF(LEFT(tblMovement[[#This Row],[Material]],3)="Ore",1,0))</f>
        <v/>
      </c>
      <c r="N692" s="59">
        <f>IF(OR(tblMovement[[#This Row],[Tonnes_t]]="",tblMovement[[#This Row],[Grade_gpt]]=""),0,tblMovement[[#This Row],[Tonnes_t]]*tblMovement[[#This Row],[Grade_gpt]]/cfg_TroyOz)</f>
        <v/>
      </c>
      <c r="O692" s="59">
        <f>IF(tblMovement[[#This Row],[Is_Ore]]=1,tblMovement[[#This Row],[Contained_oz]],0)</f>
        <v/>
      </c>
    </row>
    <row r="693">
      <c r="A693" s="54" t="n"/>
      <c r="B693" s="61" t="n"/>
      <c r="C693" s="61" t="n"/>
      <c r="D693" s="61" t="n"/>
      <c r="E693" s="61" t="n"/>
      <c r="F693" s="55" t="n"/>
      <c r="G693" s="56" t="n"/>
      <c r="H693" s="55" t="n"/>
      <c r="I693" s="62" t="n"/>
      <c r="J693" s="58" t="n"/>
      <c r="K693" s="63">
        <f>IF(tblMovement[[#This Row],[Source]]="","",IFERROR(INDEX(tblSources[Type],MATCH(tblMovement[[#This Row],[Source]],tblSources[Source],0)),"?"))</f>
        <v/>
      </c>
      <c r="L693" s="63">
        <f>IF(tblMovement[[#This Row],[Destination]]="","",IFERROR(INDEX(tblDestinations[Type],MATCH(tblMovement[[#This Row],[Destination]],tblDestinations[Destination],0)),"?"))</f>
        <v/>
      </c>
      <c r="M693" s="64">
        <f>IF(tblMovement[[#This Row],[Material]]="","",IF(LEFT(tblMovement[[#This Row],[Material]],3)="Ore",1,0))</f>
        <v/>
      </c>
      <c r="N693" s="59">
        <f>IF(OR(tblMovement[[#This Row],[Tonnes_t]]="",tblMovement[[#This Row],[Grade_gpt]]=""),0,tblMovement[[#This Row],[Tonnes_t]]*tblMovement[[#This Row],[Grade_gpt]]/cfg_TroyOz)</f>
        <v/>
      </c>
      <c r="O693" s="59">
        <f>IF(tblMovement[[#This Row],[Is_Ore]]=1,tblMovement[[#This Row],[Contained_oz]],0)</f>
        <v/>
      </c>
    </row>
    <row r="694">
      <c r="A694" s="54" t="n"/>
      <c r="B694" s="61" t="n"/>
      <c r="C694" s="61" t="n"/>
      <c r="D694" s="61" t="n"/>
      <c r="E694" s="61" t="n"/>
      <c r="F694" s="55" t="n"/>
      <c r="G694" s="56" t="n"/>
      <c r="H694" s="55" t="n"/>
      <c r="I694" s="62" t="n"/>
      <c r="J694" s="58" t="n"/>
      <c r="K694" s="63">
        <f>IF(tblMovement[[#This Row],[Source]]="","",IFERROR(INDEX(tblSources[Type],MATCH(tblMovement[[#This Row],[Source]],tblSources[Source],0)),"?"))</f>
        <v/>
      </c>
      <c r="L694" s="63">
        <f>IF(tblMovement[[#This Row],[Destination]]="","",IFERROR(INDEX(tblDestinations[Type],MATCH(tblMovement[[#This Row],[Destination]],tblDestinations[Destination],0)),"?"))</f>
        <v/>
      </c>
      <c r="M694" s="64">
        <f>IF(tblMovement[[#This Row],[Material]]="","",IF(LEFT(tblMovement[[#This Row],[Material]],3)="Ore",1,0))</f>
        <v/>
      </c>
      <c r="N694" s="59">
        <f>IF(OR(tblMovement[[#This Row],[Tonnes_t]]="",tblMovement[[#This Row],[Grade_gpt]]=""),0,tblMovement[[#This Row],[Tonnes_t]]*tblMovement[[#This Row],[Grade_gpt]]/cfg_TroyOz)</f>
        <v/>
      </c>
      <c r="O694" s="59">
        <f>IF(tblMovement[[#This Row],[Is_Ore]]=1,tblMovement[[#This Row],[Contained_oz]],0)</f>
        <v/>
      </c>
    </row>
    <row r="695">
      <c r="A695" s="54" t="n"/>
      <c r="B695" s="61" t="n"/>
      <c r="C695" s="61" t="n"/>
      <c r="D695" s="61" t="n"/>
      <c r="E695" s="61" t="n"/>
      <c r="F695" s="55" t="n"/>
      <c r="G695" s="56" t="n"/>
      <c r="H695" s="55" t="n"/>
      <c r="I695" s="62" t="n"/>
      <c r="J695" s="58" t="n"/>
      <c r="K695" s="63">
        <f>IF(tblMovement[[#This Row],[Source]]="","",IFERROR(INDEX(tblSources[Type],MATCH(tblMovement[[#This Row],[Source]],tblSources[Source],0)),"?"))</f>
        <v/>
      </c>
      <c r="L695" s="63">
        <f>IF(tblMovement[[#This Row],[Destination]]="","",IFERROR(INDEX(tblDestinations[Type],MATCH(tblMovement[[#This Row],[Destination]],tblDestinations[Destination],0)),"?"))</f>
        <v/>
      </c>
      <c r="M695" s="64">
        <f>IF(tblMovement[[#This Row],[Material]]="","",IF(LEFT(tblMovement[[#This Row],[Material]],3)="Ore",1,0))</f>
        <v/>
      </c>
      <c r="N695" s="59">
        <f>IF(OR(tblMovement[[#This Row],[Tonnes_t]]="",tblMovement[[#This Row],[Grade_gpt]]=""),0,tblMovement[[#This Row],[Tonnes_t]]*tblMovement[[#This Row],[Grade_gpt]]/cfg_TroyOz)</f>
        <v/>
      </c>
      <c r="O695" s="59">
        <f>IF(tblMovement[[#This Row],[Is_Ore]]=1,tblMovement[[#This Row],[Contained_oz]],0)</f>
        <v/>
      </c>
    </row>
    <row r="696">
      <c r="A696" s="54" t="n"/>
      <c r="B696" s="61" t="n"/>
      <c r="C696" s="61" t="n"/>
      <c r="D696" s="61" t="n"/>
      <c r="E696" s="61" t="n"/>
      <c r="F696" s="55" t="n"/>
      <c r="G696" s="56" t="n"/>
      <c r="H696" s="55" t="n"/>
      <c r="I696" s="62" t="n"/>
      <c r="J696" s="58" t="n"/>
      <c r="K696" s="63">
        <f>IF(tblMovement[[#This Row],[Source]]="","",IFERROR(INDEX(tblSources[Type],MATCH(tblMovement[[#This Row],[Source]],tblSources[Source],0)),"?"))</f>
        <v/>
      </c>
      <c r="L696" s="63">
        <f>IF(tblMovement[[#This Row],[Destination]]="","",IFERROR(INDEX(tblDestinations[Type],MATCH(tblMovement[[#This Row],[Destination]],tblDestinations[Destination],0)),"?"))</f>
        <v/>
      </c>
      <c r="M696" s="64">
        <f>IF(tblMovement[[#This Row],[Material]]="","",IF(LEFT(tblMovement[[#This Row],[Material]],3)="Ore",1,0))</f>
        <v/>
      </c>
      <c r="N696" s="59">
        <f>IF(OR(tblMovement[[#This Row],[Tonnes_t]]="",tblMovement[[#This Row],[Grade_gpt]]=""),0,tblMovement[[#This Row],[Tonnes_t]]*tblMovement[[#This Row],[Grade_gpt]]/cfg_TroyOz)</f>
        <v/>
      </c>
      <c r="O696" s="59">
        <f>IF(tblMovement[[#This Row],[Is_Ore]]=1,tblMovement[[#This Row],[Contained_oz]],0)</f>
        <v/>
      </c>
    </row>
    <row r="697">
      <c r="A697" s="54" t="n"/>
      <c r="B697" s="61" t="n"/>
      <c r="C697" s="61" t="n"/>
      <c r="D697" s="61" t="n"/>
      <c r="E697" s="61" t="n"/>
      <c r="F697" s="55" t="n"/>
      <c r="G697" s="56" t="n"/>
      <c r="H697" s="55" t="n"/>
      <c r="I697" s="62" t="n"/>
      <c r="J697" s="58" t="n"/>
      <c r="K697" s="63">
        <f>IF(tblMovement[[#This Row],[Source]]="","",IFERROR(INDEX(tblSources[Type],MATCH(tblMovement[[#This Row],[Source]],tblSources[Source],0)),"?"))</f>
        <v/>
      </c>
      <c r="L697" s="63">
        <f>IF(tblMovement[[#This Row],[Destination]]="","",IFERROR(INDEX(tblDestinations[Type],MATCH(tblMovement[[#This Row],[Destination]],tblDestinations[Destination],0)),"?"))</f>
        <v/>
      </c>
      <c r="M697" s="64">
        <f>IF(tblMovement[[#This Row],[Material]]="","",IF(LEFT(tblMovement[[#This Row],[Material]],3)="Ore",1,0))</f>
        <v/>
      </c>
      <c r="N697" s="59">
        <f>IF(OR(tblMovement[[#This Row],[Tonnes_t]]="",tblMovement[[#This Row],[Grade_gpt]]=""),0,tblMovement[[#This Row],[Tonnes_t]]*tblMovement[[#This Row],[Grade_gpt]]/cfg_TroyOz)</f>
        <v/>
      </c>
      <c r="O697" s="59">
        <f>IF(tblMovement[[#This Row],[Is_Ore]]=1,tblMovement[[#This Row],[Contained_oz]],0)</f>
        <v/>
      </c>
    </row>
    <row r="698">
      <c r="A698" s="54" t="n"/>
      <c r="B698" s="61" t="n"/>
      <c r="C698" s="61" t="n"/>
      <c r="D698" s="61" t="n"/>
      <c r="E698" s="61" t="n"/>
      <c r="F698" s="55" t="n"/>
      <c r="G698" s="56" t="n"/>
      <c r="H698" s="55" t="n"/>
      <c r="I698" s="62" t="n"/>
      <c r="J698" s="58" t="n"/>
      <c r="K698" s="63">
        <f>IF(tblMovement[[#This Row],[Source]]="","",IFERROR(INDEX(tblSources[Type],MATCH(tblMovement[[#This Row],[Source]],tblSources[Source],0)),"?"))</f>
        <v/>
      </c>
      <c r="L698" s="63">
        <f>IF(tblMovement[[#This Row],[Destination]]="","",IFERROR(INDEX(tblDestinations[Type],MATCH(tblMovement[[#This Row],[Destination]],tblDestinations[Destination],0)),"?"))</f>
        <v/>
      </c>
      <c r="M698" s="64">
        <f>IF(tblMovement[[#This Row],[Material]]="","",IF(LEFT(tblMovement[[#This Row],[Material]],3)="Ore",1,0))</f>
        <v/>
      </c>
      <c r="N698" s="59">
        <f>IF(OR(tblMovement[[#This Row],[Tonnes_t]]="",tblMovement[[#This Row],[Grade_gpt]]=""),0,tblMovement[[#This Row],[Tonnes_t]]*tblMovement[[#This Row],[Grade_gpt]]/cfg_TroyOz)</f>
        <v/>
      </c>
      <c r="O698" s="59">
        <f>IF(tblMovement[[#This Row],[Is_Ore]]=1,tblMovement[[#This Row],[Contained_oz]],0)</f>
        <v/>
      </c>
    </row>
    <row r="699">
      <c r="A699" s="54" t="n"/>
      <c r="B699" s="61" t="n"/>
      <c r="C699" s="61" t="n"/>
      <c r="D699" s="61" t="n"/>
      <c r="E699" s="61" t="n"/>
      <c r="F699" s="55" t="n"/>
      <c r="G699" s="56" t="n"/>
      <c r="H699" s="55" t="n"/>
      <c r="I699" s="62" t="n"/>
      <c r="J699" s="58" t="n"/>
      <c r="K699" s="63">
        <f>IF(tblMovement[[#This Row],[Source]]="","",IFERROR(INDEX(tblSources[Type],MATCH(tblMovement[[#This Row],[Source]],tblSources[Source],0)),"?"))</f>
        <v/>
      </c>
      <c r="L699" s="63">
        <f>IF(tblMovement[[#This Row],[Destination]]="","",IFERROR(INDEX(tblDestinations[Type],MATCH(tblMovement[[#This Row],[Destination]],tblDestinations[Destination],0)),"?"))</f>
        <v/>
      </c>
      <c r="M699" s="64">
        <f>IF(tblMovement[[#This Row],[Material]]="","",IF(LEFT(tblMovement[[#This Row],[Material]],3)="Ore",1,0))</f>
        <v/>
      </c>
      <c r="N699" s="59">
        <f>IF(OR(tblMovement[[#This Row],[Tonnes_t]]="",tblMovement[[#This Row],[Grade_gpt]]=""),0,tblMovement[[#This Row],[Tonnes_t]]*tblMovement[[#This Row],[Grade_gpt]]/cfg_TroyOz)</f>
        <v/>
      </c>
      <c r="O699" s="59">
        <f>IF(tblMovement[[#This Row],[Is_Ore]]=1,tblMovement[[#This Row],[Contained_oz]],0)</f>
        <v/>
      </c>
    </row>
    <row r="700">
      <c r="A700" s="54" t="n"/>
      <c r="B700" s="61" t="n"/>
      <c r="C700" s="61" t="n"/>
      <c r="D700" s="61" t="n"/>
      <c r="E700" s="61" t="n"/>
      <c r="F700" s="55" t="n"/>
      <c r="G700" s="56" t="n"/>
      <c r="H700" s="55" t="n"/>
      <c r="I700" s="62" t="n"/>
      <c r="J700" s="58" t="n"/>
      <c r="K700" s="63">
        <f>IF(tblMovement[[#This Row],[Source]]="","",IFERROR(INDEX(tblSources[Type],MATCH(tblMovement[[#This Row],[Source]],tblSources[Source],0)),"?"))</f>
        <v/>
      </c>
      <c r="L700" s="63">
        <f>IF(tblMovement[[#This Row],[Destination]]="","",IFERROR(INDEX(tblDestinations[Type],MATCH(tblMovement[[#This Row],[Destination]],tblDestinations[Destination],0)),"?"))</f>
        <v/>
      </c>
      <c r="M700" s="64">
        <f>IF(tblMovement[[#This Row],[Material]]="","",IF(LEFT(tblMovement[[#This Row],[Material]],3)="Ore",1,0))</f>
        <v/>
      </c>
      <c r="N700" s="59">
        <f>IF(OR(tblMovement[[#This Row],[Tonnes_t]]="",tblMovement[[#This Row],[Grade_gpt]]=""),0,tblMovement[[#This Row],[Tonnes_t]]*tblMovement[[#This Row],[Grade_gpt]]/cfg_TroyOz)</f>
        <v/>
      </c>
      <c r="O700" s="59">
        <f>IF(tblMovement[[#This Row],[Is_Ore]]=1,tblMovement[[#This Row],[Contained_oz]],0)</f>
        <v/>
      </c>
    </row>
    <row r="701">
      <c r="A701" s="54" t="n"/>
      <c r="B701" s="61" t="n"/>
      <c r="C701" s="61" t="n"/>
      <c r="D701" s="61" t="n"/>
      <c r="E701" s="61" t="n"/>
      <c r="F701" s="55" t="n"/>
      <c r="G701" s="56" t="n"/>
      <c r="H701" s="55" t="n"/>
      <c r="I701" s="62" t="n"/>
      <c r="J701" s="58" t="n"/>
      <c r="K701" s="63">
        <f>IF(tblMovement[[#This Row],[Source]]="","",IFERROR(INDEX(tblSources[Type],MATCH(tblMovement[[#This Row],[Source]],tblSources[Source],0)),"?"))</f>
        <v/>
      </c>
      <c r="L701" s="63">
        <f>IF(tblMovement[[#This Row],[Destination]]="","",IFERROR(INDEX(tblDestinations[Type],MATCH(tblMovement[[#This Row],[Destination]],tblDestinations[Destination],0)),"?"))</f>
        <v/>
      </c>
      <c r="M701" s="64">
        <f>IF(tblMovement[[#This Row],[Material]]="","",IF(LEFT(tblMovement[[#This Row],[Material]],3)="Ore",1,0))</f>
        <v/>
      </c>
      <c r="N701" s="59">
        <f>IF(OR(tblMovement[[#This Row],[Tonnes_t]]="",tblMovement[[#This Row],[Grade_gpt]]=""),0,tblMovement[[#This Row],[Tonnes_t]]*tblMovement[[#This Row],[Grade_gpt]]/cfg_TroyOz)</f>
        <v/>
      </c>
      <c r="O701" s="59">
        <f>IF(tblMovement[[#This Row],[Is_Ore]]=1,tblMovement[[#This Row],[Contained_oz]],0)</f>
        <v/>
      </c>
    </row>
    <row r="702">
      <c r="A702" s="54" t="n"/>
      <c r="B702" s="61" t="n"/>
      <c r="C702" s="61" t="n"/>
      <c r="D702" s="61" t="n"/>
      <c r="E702" s="61" t="n"/>
      <c r="F702" s="55" t="n"/>
      <c r="G702" s="56" t="n"/>
      <c r="H702" s="55" t="n"/>
      <c r="I702" s="62" t="n"/>
      <c r="J702" s="58" t="n"/>
      <c r="K702" s="63">
        <f>IF(tblMovement[[#This Row],[Source]]="","",IFERROR(INDEX(tblSources[Type],MATCH(tblMovement[[#This Row],[Source]],tblSources[Source],0)),"?"))</f>
        <v/>
      </c>
      <c r="L702" s="63">
        <f>IF(tblMovement[[#This Row],[Destination]]="","",IFERROR(INDEX(tblDestinations[Type],MATCH(tblMovement[[#This Row],[Destination]],tblDestinations[Destination],0)),"?"))</f>
        <v/>
      </c>
      <c r="M702" s="64">
        <f>IF(tblMovement[[#This Row],[Material]]="","",IF(LEFT(tblMovement[[#This Row],[Material]],3)="Ore",1,0))</f>
        <v/>
      </c>
      <c r="N702" s="59">
        <f>IF(OR(tblMovement[[#This Row],[Tonnes_t]]="",tblMovement[[#This Row],[Grade_gpt]]=""),0,tblMovement[[#This Row],[Tonnes_t]]*tblMovement[[#This Row],[Grade_gpt]]/cfg_TroyOz)</f>
        <v/>
      </c>
      <c r="O702" s="59">
        <f>IF(tblMovement[[#This Row],[Is_Ore]]=1,tblMovement[[#This Row],[Contained_oz]],0)</f>
        <v/>
      </c>
    </row>
    <row r="703">
      <c r="A703" s="54" t="n"/>
      <c r="B703" s="61" t="n"/>
      <c r="C703" s="61" t="n"/>
      <c r="D703" s="61" t="n"/>
      <c r="E703" s="61" t="n"/>
      <c r="F703" s="55" t="n"/>
      <c r="G703" s="56" t="n"/>
      <c r="H703" s="55" t="n"/>
      <c r="I703" s="62" t="n"/>
      <c r="J703" s="58" t="n"/>
      <c r="K703" s="63">
        <f>IF(tblMovement[[#This Row],[Source]]="","",IFERROR(INDEX(tblSources[Type],MATCH(tblMovement[[#This Row],[Source]],tblSources[Source],0)),"?"))</f>
        <v/>
      </c>
      <c r="L703" s="63">
        <f>IF(tblMovement[[#This Row],[Destination]]="","",IFERROR(INDEX(tblDestinations[Type],MATCH(tblMovement[[#This Row],[Destination]],tblDestinations[Destination],0)),"?"))</f>
        <v/>
      </c>
      <c r="M703" s="64">
        <f>IF(tblMovement[[#This Row],[Material]]="","",IF(LEFT(tblMovement[[#This Row],[Material]],3)="Ore",1,0))</f>
        <v/>
      </c>
      <c r="N703" s="59">
        <f>IF(OR(tblMovement[[#This Row],[Tonnes_t]]="",tblMovement[[#This Row],[Grade_gpt]]=""),0,tblMovement[[#This Row],[Tonnes_t]]*tblMovement[[#This Row],[Grade_gpt]]/cfg_TroyOz)</f>
        <v/>
      </c>
      <c r="O703" s="59">
        <f>IF(tblMovement[[#This Row],[Is_Ore]]=1,tblMovement[[#This Row],[Contained_oz]],0)</f>
        <v/>
      </c>
    </row>
    <row r="704">
      <c r="A704" s="54" t="n"/>
      <c r="B704" s="61" t="n"/>
      <c r="C704" s="61" t="n"/>
      <c r="D704" s="61" t="n"/>
      <c r="E704" s="61" t="n"/>
      <c r="F704" s="55" t="n"/>
      <c r="G704" s="56" t="n"/>
      <c r="H704" s="55" t="n"/>
      <c r="I704" s="62" t="n"/>
      <c r="J704" s="58" t="n"/>
      <c r="K704" s="63">
        <f>IF(tblMovement[[#This Row],[Source]]="","",IFERROR(INDEX(tblSources[Type],MATCH(tblMovement[[#This Row],[Source]],tblSources[Source],0)),"?"))</f>
        <v/>
      </c>
      <c r="L704" s="63">
        <f>IF(tblMovement[[#This Row],[Destination]]="","",IFERROR(INDEX(tblDestinations[Type],MATCH(tblMovement[[#This Row],[Destination]],tblDestinations[Destination],0)),"?"))</f>
        <v/>
      </c>
      <c r="M704" s="64">
        <f>IF(tblMovement[[#This Row],[Material]]="","",IF(LEFT(tblMovement[[#This Row],[Material]],3)="Ore",1,0))</f>
        <v/>
      </c>
      <c r="N704" s="59">
        <f>IF(OR(tblMovement[[#This Row],[Tonnes_t]]="",tblMovement[[#This Row],[Grade_gpt]]=""),0,tblMovement[[#This Row],[Tonnes_t]]*tblMovement[[#This Row],[Grade_gpt]]/cfg_TroyOz)</f>
        <v/>
      </c>
      <c r="O704" s="59">
        <f>IF(tblMovement[[#This Row],[Is_Ore]]=1,tblMovement[[#This Row],[Contained_oz]],0)</f>
        <v/>
      </c>
    </row>
    <row r="705">
      <c r="A705" s="54" t="n"/>
      <c r="B705" s="61" t="n"/>
      <c r="C705" s="61" t="n"/>
      <c r="D705" s="61" t="n"/>
      <c r="E705" s="61" t="n"/>
      <c r="F705" s="55" t="n"/>
      <c r="G705" s="56" t="n"/>
      <c r="H705" s="55" t="n"/>
      <c r="I705" s="62" t="n"/>
      <c r="J705" s="58" t="n"/>
      <c r="K705" s="63">
        <f>IF(tblMovement[[#This Row],[Source]]="","",IFERROR(INDEX(tblSources[Type],MATCH(tblMovement[[#This Row],[Source]],tblSources[Source],0)),"?"))</f>
        <v/>
      </c>
      <c r="L705" s="63">
        <f>IF(tblMovement[[#This Row],[Destination]]="","",IFERROR(INDEX(tblDestinations[Type],MATCH(tblMovement[[#This Row],[Destination]],tblDestinations[Destination],0)),"?"))</f>
        <v/>
      </c>
      <c r="M705" s="64">
        <f>IF(tblMovement[[#This Row],[Material]]="","",IF(LEFT(tblMovement[[#This Row],[Material]],3)="Ore",1,0))</f>
        <v/>
      </c>
      <c r="N705" s="59">
        <f>IF(OR(tblMovement[[#This Row],[Tonnes_t]]="",tblMovement[[#This Row],[Grade_gpt]]=""),0,tblMovement[[#This Row],[Tonnes_t]]*tblMovement[[#This Row],[Grade_gpt]]/cfg_TroyOz)</f>
        <v/>
      </c>
      <c r="O705" s="59">
        <f>IF(tblMovement[[#This Row],[Is_Ore]]=1,tblMovement[[#This Row],[Contained_oz]],0)</f>
        <v/>
      </c>
    </row>
    <row r="706">
      <c r="A706" s="54" t="n"/>
      <c r="B706" s="61" t="n"/>
      <c r="C706" s="61" t="n"/>
      <c r="D706" s="61" t="n"/>
      <c r="E706" s="61" t="n"/>
      <c r="F706" s="55" t="n"/>
      <c r="G706" s="56" t="n"/>
      <c r="H706" s="55" t="n"/>
      <c r="I706" s="62" t="n"/>
      <c r="J706" s="58" t="n"/>
      <c r="K706" s="63">
        <f>IF(tblMovement[[#This Row],[Source]]="","",IFERROR(INDEX(tblSources[Type],MATCH(tblMovement[[#This Row],[Source]],tblSources[Source],0)),"?"))</f>
        <v/>
      </c>
      <c r="L706" s="63">
        <f>IF(tblMovement[[#This Row],[Destination]]="","",IFERROR(INDEX(tblDestinations[Type],MATCH(tblMovement[[#This Row],[Destination]],tblDestinations[Destination],0)),"?"))</f>
        <v/>
      </c>
      <c r="M706" s="64">
        <f>IF(tblMovement[[#This Row],[Material]]="","",IF(LEFT(tblMovement[[#This Row],[Material]],3)="Ore",1,0))</f>
        <v/>
      </c>
      <c r="N706" s="59">
        <f>IF(OR(tblMovement[[#This Row],[Tonnes_t]]="",tblMovement[[#This Row],[Grade_gpt]]=""),0,tblMovement[[#This Row],[Tonnes_t]]*tblMovement[[#This Row],[Grade_gpt]]/cfg_TroyOz)</f>
        <v/>
      </c>
      <c r="O706" s="59">
        <f>IF(tblMovement[[#This Row],[Is_Ore]]=1,tblMovement[[#This Row],[Contained_oz]],0)</f>
        <v/>
      </c>
    </row>
    <row r="707">
      <c r="A707" s="54" t="n"/>
      <c r="B707" s="61" t="n"/>
      <c r="C707" s="61" t="n"/>
      <c r="D707" s="61" t="n"/>
      <c r="E707" s="61" t="n"/>
      <c r="F707" s="55" t="n"/>
      <c r="G707" s="56" t="n"/>
      <c r="H707" s="55" t="n"/>
      <c r="I707" s="62" t="n"/>
      <c r="J707" s="58" t="n"/>
      <c r="K707" s="63">
        <f>IF(tblMovement[[#This Row],[Source]]="","",IFERROR(INDEX(tblSources[Type],MATCH(tblMovement[[#This Row],[Source]],tblSources[Source],0)),"?"))</f>
        <v/>
      </c>
      <c r="L707" s="63">
        <f>IF(tblMovement[[#This Row],[Destination]]="","",IFERROR(INDEX(tblDestinations[Type],MATCH(tblMovement[[#This Row],[Destination]],tblDestinations[Destination],0)),"?"))</f>
        <v/>
      </c>
      <c r="M707" s="64">
        <f>IF(tblMovement[[#This Row],[Material]]="","",IF(LEFT(tblMovement[[#This Row],[Material]],3)="Ore",1,0))</f>
        <v/>
      </c>
      <c r="N707" s="59">
        <f>IF(OR(tblMovement[[#This Row],[Tonnes_t]]="",tblMovement[[#This Row],[Grade_gpt]]=""),0,tblMovement[[#This Row],[Tonnes_t]]*tblMovement[[#This Row],[Grade_gpt]]/cfg_TroyOz)</f>
        <v/>
      </c>
      <c r="O707" s="59">
        <f>IF(tblMovement[[#This Row],[Is_Ore]]=1,tblMovement[[#This Row],[Contained_oz]],0)</f>
        <v/>
      </c>
    </row>
    <row r="708">
      <c r="A708" s="54" t="n"/>
      <c r="B708" s="61" t="n"/>
      <c r="C708" s="61" t="n"/>
      <c r="D708" s="61" t="n"/>
      <c r="E708" s="61" t="n"/>
      <c r="F708" s="55" t="n"/>
      <c r="G708" s="56" t="n"/>
      <c r="H708" s="55" t="n"/>
      <c r="I708" s="62" t="n"/>
      <c r="J708" s="58" t="n"/>
      <c r="K708" s="63">
        <f>IF(tblMovement[[#This Row],[Source]]="","",IFERROR(INDEX(tblSources[Type],MATCH(tblMovement[[#This Row],[Source]],tblSources[Source],0)),"?"))</f>
        <v/>
      </c>
      <c r="L708" s="63">
        <f>IF(tblMovement[[#This Row],[Destination]]="","",IFERROR(INDEX(tblDestinations[Type],MATCH(tblMovement[[#This Row],[Destination]],tblDestinations[Destination],0)),"?"))</f>
        <v/>
      </c>
      <c r="M708" s="64">
        <f>IF(tblMovement[[#This Row],[Material]]="","",IF(LEFT(tblMovement[[#This Row],[Material]],3)="Ore",1,0))</f>
        <v/>
      </c>
      <c r="N708" s="59">
        <f>IF(OR(tblMovement[[#This Row],[Tonnes_t]]="",tblMovement[[#This Row],[Grade_gpt]]=""),0,tblMovement[[#This Row],[Tonnes_t]]*tblMovement[[#This Row],[Grade_gpt]]/cfg_TroyOz)</f>
        <v/>
      </c>
      <c r="O708" s="59">
        <f>IF(tblMovement[[#This Row],[Is_Ore]]=1,tblMovement[[#This Row],[Contained_oz]],0)</f>
        <v/>
      </c>
    </row>
    <row r="709">
      <c r="A709" s="54" t="n"/>
      <c r="B709" s="61" t="n"/>
      <c r="C709" s="61" t="n"/>
      <c r="D709" s="61" t="n"/>
      <c r="E709" s="61" t="n"/>
      <c r="F709" s="55" t="n"/>
      <c r="G709" s="56" t="n"/>
      <c r="H709" s="55" t="n"/>
      <c r="I709" s="62" t="n"/>
      <c r="J709" s="58" t="n"/>
      <c r="K709" s="63">
        <f>IF(tblMovement[[#This Row],[Source]]="","",IFERROR(INDEX(tblSources[Type],MATCH(tblMovement[[#This Row],[Source]],tblSources[Source],0)),"?"))</f>
        <v/>
      </c>
      <c r="L709" s="63">
        <f>IF(tblMovement[[#This Row],[Destination]]="","",IFERROR(INDEX(tblDestinations[Type],MATCH(tblMovement[[#This Row],[Destination]],tblDestinations[Destination],0)),"?"))</f>
        <v/>
      </c>
      <c r="M709" s="64">
        <f>IF(tblMovement[[#This Row],[Material]]="","",IF(LEFT(tblMovement[[#This Row],[Material]],3)="Ore",1,0))</f>
        <v/>
      </c>
      <c r="N709" s="59">
        <f>IF(OR(tblMovement[[#This Row],[Tonnes_t]]="",tblMovement[[#This Row],[Grade_gpt]]=""),0,tblMovement[[#This Row],[Tonnes_t]]*tblMovement[[#This Row],[Grade_gpt]]/cfg_TroyOz)</f>
        <v/>
      </c>
      <c r="O709" s="59">
        <f>IF(tblMovement[[#This Row],[Is_Ore]]=1,tblMovement[[#This Row],[Contained_oz]],0)</f>
        <v/>
      </c>
    </row>
    <row r="710">
      <c r="A710" s="54" t="n"/>
      <c r="B710" s="61" t="n"/>
      <c r="C710" s="61" t="n"/>
      <c r="D710" s="61" t="n"/>
      <c r="E710" s="61" t="n"/>
      <c r="F710" s="55" t="n"/>
      <c r="G710" s="56" t="n"/>
      <c r="H710" s="55" t="n"/>
      <c r="I710" s="62" t="n"/>
      <c r="J710" s="58" t="n"/>
      <c r="K710" s="63">
        <f>IF(tblMovement[[#This Row],[Source]]="","",IFERROR(INDEX(tblSources[Type],MATCH(tblMovement[[#This Row],[Source]],tblSources[Source],0)),"?"))</f>
        <v/>
      </c>
      <c r="L710" s="63">
        <f>IF(tblMovement[[#This Row],[Destination]]="","",IFERROR(INDEX(tblDestinations[Type],MATCH(tblMovement[[#This Row],[Destination]],tblDestinations[Destination],0)),"?"))</f>
        <v/>
      </c>
      <c r="M710" s="64">
        <f>IF(tblMovement[[#This Row],[Material]]="","",IF(LEFT(tblMovement[[#This Row],[Material]],3)="Ore",1,0))</f>
        <v/>
      </c>
      <c r="N710" s="59">
        <f>IF(OR(tblMovement[[#This Row],[Tonnes_t]]="",tblMovement[[#This Row],[Grade_gpt]]=""),0,tblMovement[[#This Row],[Tonnes_t]]*tblMovement[[#This Row],[Grade_gpt]]/cfg_TroyOz)</f>
        <v/>
      </c>
      <c r="O710" s="59">
        <f>IF(tblMovement[[#This Row],[Is_Ore]]=1,tblMovement[[#This Row],[Contained_oz]],0)</f>
        <v/>
      </c>
    </row>
    <row r="711">
      <c r="A711" s="54" t="n"/>
      <c r="B711" s="61" t="n"/>
      <c r="C711" s="61" t="n"/>
      <c r="D711" s="61" t="n"/>
      <c r="E711" s="61" t="n"/>
      <c r="F711" s="55" t="n"/>
      <c r="G711" s="56" t="n"/>
      <c r="H711" s="55" t="n"/>
      <c r="I711" s="62" t="n"/>
      <c r="J711" s="58" t="n"/>
      <c r="K711" s="63">
        <f>IF(tblMovement[[#This Row],[Source]]="","",IFERROR(INDEX(tblSources[Type],MATCH(tblMovement[[#This Row],[Source]],tblSources[Source],0)),"?"))</f>
        <v/>
      </c>
      <c r="L711" s="63">
        <f>IF(tblMovement[[#This Row],[Destination]]="","",IFERROR(INDEX(tblDestinations[Type],MATCH(tblMovement[[#This Row],[Destination]],tblDestinations[Destination],0)),"?"))</f>
        <v/>
      </c>
      <c r="M711" s="64">
        <f>IF(tblMovement[[#This Row],[Material]]="","",IF(LEFT(tblMovement[[#This Row],[Material]],3)="Ore",1,0))</f>
        <v/>
      </c>
      <c r="N711" s="59">
        <f>IF(OR(tblMovement[[#This Row],[Tonnes_t]]="",tblMovement[[#This Row],[Grade_gpt]]=""),0,tblMovement[[#This Row],[Tonnes_t]]*tblMovement[[#This Row],[Grade_gpt]]/cfg_TroyOz)</f>
        <v/>
      </c>
      <c r="O711" s="59">
        <f>IF(tblMovement[[#This Row],[Is_Ore]]=1,tblMovement[[#This Row],[Contained_oz]],0)</f>
        <v/>
      </c>
    </row>
    <row r="712">
      <c r="A712" s="54" t="n"/>
      <c r="B712" s="61" t="n"/>
      <c r="C712" s="61" t="n"/>
      <c r="D712" s="61" t="n"/>
      <c r="E712" s="61" t="n"/>
      <c r="F712" s="55" t="n"/>
      <c r="G712" s="56" t="n"/>
      <c r="H712" s="55" t="n"/>
      <c r="I712" s="62" t="n"/>
      <c r="J712" s="58" t="n"/>
      <c r="K712" s="63">
        <f>IF(tblMovement[[#This Row],[Source]]="","",IFERROR(INDEX(tblSources[Type],MATCH(tblMovement[[#This Row],[Source]],tblSources[Source],0)),"?"))</f>
        <v/>
      </c>
      <c r="L712" s="63">
        <f>IF(tblMovement[[#This Row],[Destination]]="","",IFERROR(INDEX(tblDestinations[Type],MATCH(tblMovement[[#This Row],[Destination]],tblDestinations[Destination],0)),"?"))</f>
        <v/>
      </c>
      <c r="M712" s="64">
        <f>IF(tblMovement[[#This Row],[Material]]="","",IF(LEFT(tblMovement[[#This Row],[Material]],3)="Ore",1,0))</f>
        <v/>
      </c>
      <c r="N712" s="59">
        <f>IF(OR(tblMovement[[#This Row],[Tonnes_t]]="",tblMovement[[#This Row],[Grade_gpt]]=""),0,tblMovement[[#This Row],[Tonnes_t]]*tblMovement[[#This Row],[Grade_gpt]]/cfg_TroyOz)</f>
        <v/>
      </c>
      <c r="O712" s="59">
        <f>IF(tblMovement[[#This Row],[Is_Ore]]=1,tblMovement[[#This Row],[Contained_oz]],0)</f>
        <v/>
      </c>
    </row>
    <row r="713">
      <c r="A713" s="54" t="n"/>
      <c r="B713" s="61" t="n"/>
      <c r="C713" s="61" t="n"/>
      <c r="D713" s="61" t="n"/>
      <c r="E713" s="61" t="n"/>
      <c r="F713" s="55" t="n"/>
      <c r="G713" s="56" t="n"/>
      <c r="H713" s="55" t="n"/>
      <c r="I713" s="62" t="n"/>
      <c r="J713" s="58" t="n"/>
      <c r="K713" s="63">
        <f>IF(tblMovement[[#This Row],[Source]]="","",IFERROR(INDEX(tblSources[Type],MATCH(tblMovement[[#This Row],[Source]],tblSources[Source],0)),"?"))</f>
        <v/>
      </c>
      <c r="L713" s="63">
        <f>IF(tblMovement[[#This Row],[Destination]]="","",IFERROR(INDEX(tblDestinations[Type],MATCH(tblMovement[[#This Row],[Destination]],tblDestinations[Destination],0)),"?"))</f>
        <v/>
      </c>
      <c r="M713" s="64">
        <f>IF(tblMovement[[#This Row],[Material]]="","",IF(LEFT(tblMovement[[#This Row],[Material]],3)="Ore",1,0))</f>
        <v/>
      </c>
      <c r="N713" s="59">
        <f>IF(OR(tblMovement[[#This Row],[Tonnes_t]]="",tblMovement[[#This Row],[Grade_gpt]]=""),0,tblMovement[[#This Row],[Tonnes_t]]*tblMovement[[#This Row],[Grade_gpt]]/cfg_TroyOz)</f>
        <v/>
      </c>
      <c r="O713" s="59">
        <f>IF(tblMovement[[#This Row],[Is_Ore]]=1,tblMovement[[#This Row],[Contained_oz]],0)</f>
        <v/>
      </c>
    </row>
    <row r="714">
      <c r="A714" s="54" t="n"/>
      <c r="B714" s="61" t="n"/>
      <c r="C714" s="61" t="n"/>
      <c r="D714" s="61" t="n"/>
      <c r="E714" s="61" t="n"/>
      <c r="F714" s="55" t="n"/>
      <c r="G714" s="56" t="n"/>
      <c r="H714" s="55" t="n"/>
      <c r="I714" s="62" t="n"/>
      <c r="J714" s="58" t="n"/>
      <c r="K714" s="63">
        <f>IF(tblMovement[[#This Row],[Source]]="","",IFERROR(INDEX(tblSources[Type],MATCH(tblMovement[[#This Row],[Source]],tblSources[Source],0)),"?"))</f>
        <v/>
      </c>
      <c r="L714" s="63">
        <f>IF(tblMovement[[#This Row],[Destination]]="","",IFERROR(INDEX(tblDestinations[Type],MATCH(tblMovement[[#This Row],[Destination]],tblDestinations[Destination],0)),"?"))</f>
        <v/>
      </c>
      <c r="M714" s="64">
        <f>IF(tblMovement[[#This Row],[Material]]="","",IF(LEFT(tblMovement[[#This Row],[Material]],3)="Ore",1,0))</f>
        <v/>
      </c>
      <c r="N714" s="59">
        <f>IF(OR(tblMovement[[#This Row],[Tonnes_t]]="",tblMovement[[#This Row],[Grade_gpt]]=""),0,tblMovement[[#This Row],[Tonnes_t]]*tblMovement[[#This Row],[Grade_gpt]]/cfg_TroyOz)</f>
        <v/>
      </c>
      <c r="O714" s="59">
        <f>IF(tblMovement[[#This Row],[Is_Ore]]=1,tblMovement[[#This Row],[Contained_oz]],0)</f>
        <v/>
      </c>
    </row>
    <row r="715">
      <c r="A715" s="54" t="n"/>
      <c r="B715" s="61" t="n"/>
      <c r="C715" s="61" t="n"/>
      <c r="D715" s="61" t="n"/>
      <c r="E715" s="61" t="n"/>
      <c r="F715" s="55" t="n"/>
      <c r="G715" s="56" t="n"/>
      <c r="H715" s="55" t="n"/>
      <c r="I715" s="62" t="n"/>
      <c r="J715" s="58" t="n"/>
      <c r="K715" s="63">
        <f>IF(tblMovement[[#This Row],[Source]]="","",IFERROR(INDEX(tblSources[Type],MATCH(tblMovement[[#This Row],[Source]],tblSources[Source],0)),"?"))</f>
        <v/>
      </c>
      <c r="L715" s="63">
        <f>IF(tblMovement[[#This Row],[Destination]]="","",IFERROR(INDEX(tblDestinations[Type],MATCH(tblMovement[[#This Row],[Destination]],tblDestinations[Destination],0)),"?"))</f>
        <v/>
      </c>
      <c r="M715" s="64">
        <f>IF(tblMovement[[#This Row],[Material]]="","",IF(LEFT(tblMovement[[#This Row],[Material]],3)="Ore",1,0))</f>
        <v/>
      </c>
      <c r="N715" s="59">
        <f>IF(OR(tblMovement[[#This Row],[Tonnes_t]]="",tblMovement[[#This Row],[Grade_gpt]]=""),0,tblMovement[[#This Row],[Tonnes_t]]*tblMovement[[#This Row],[Grade_gpt]]/cfg_TroyOz)</f>
        <v/>
      </c>
      <c r="O715" s="59">
        <f>IF(tblMovement[[#This Row],[Is_Ore]]=1,tblMovement[[#This Row],[Contained_oz]],0)</f>
        <v/>
      </c>
    </row>
    <row r="716">
      <c r="A716" s="54" t="n"/>
      <c r="B716" s="61" t="n"/>
      <c r="C716" s="61" t="n"/>
      <c r="D716" s="61" t="n"/>
      <c r="E716" s="61" t="n"/>
      <c r="F716" s="55" t="n"/>
      <c r="G716" s="56" t="n"/>
      <c r="H716" s="55" t="n"/>
      <c r="I716" s="62" t="n"/>
      <c r="J716" s="58" t="n"/>
      <c r="K716" s="63">
        <f>IF(tblMovement[[#This Row],[Source]]="","",IFERROR(INDEX(tblSources[Type],MATCH(tblMovement[[#This Row],[Source]],tblSources[Source],0)),"?"))</f>
        <v/>
      </c>
      <c r="L716" s="63">
        <f>IF(tblMovement[[#This Row],[Destination]]="","",IFERROR(INDEX(tblDestinations[Type],MATCH(tblMovement[[#This Row],[Destination]],tblDestinations[Destination],0)),"?"))</f>
        <v/>
      </c>
      <c r="M716" s="64">
        <f>IF(tblMovement[[#This Row],[Material]]="","",IF(LEFT(tblMovement[[#This Row],[Material]],3)="Ore",1,0))</f>
        <v/>
      </c>
      <c r="N716" s="59">
        <f>IF(OR(tblMovement[[#This Row],[Tonnes_t]]="",tblMovement[[#This Row],[Grade_gpt]]=""),0,tblMovement[[#This Row],[Tonnes_t]]*tblMovement[[#This Row],[Grade_gpt]]/cfg_TroyOz)</f>
        <v/>
      </c>
      <c r="O716" s="59">
        <f>IF(tblMovement[[#This Row],[Is_Ore]]=1,tblMovement[[#This Row],[Contained_oz]],0)</f>
        <v/>
      </c>
    </row>
    <row r="717">
      <c r="A717" s="54" t="n"/>
      <c r="B717" s="61" t="n"/>
      <c r="C717" s="61" t="n"/>
      <c r="D717" s="61" t="n"/>
      <c r="E717" s="61" t="n"/>
      <c r="F717" s="55" t="n"/>
      <c r="G717" s="56" t="n"/>
      <c r="H717" s="55" t="n"/>
      <c r="I717" s="62" t="n"/>
      <c r="J717" s="58" t="n"/>
      <c r="K717" s="63">
        <f>IF(tblMovement[[#This Row],[Source]]="","",IFERROR(INDEX(tblSources[Type],MATCH(tblMovement[[#This Row],[Source]],tblSources[Source],0)),"?"))</f>
        <v/>
      </c>
      <c r="L717" s="63">
        <f>IF(tblMovement[[#This Row],[Destination]]="","",IFERROR(INDEX(tblDestinations[Type],MATCH(tblMovement[[#This Row],[Destination]],tblDestinations[Destination],0)),"?"))</f>
        <v/>
      </c>
      <c r="M717" s="64">
        <f>IF(tblMovement[[#This Row],[Material]]="","",IF(LEFT(tblMovement[[#This Row],[Material]],3)="Ore",1,0))</f>
        <v/>
      </c>
      <c r="N717" s="59">
        <f>IF(OR(tblMovement[[#This Row],[Tonnes_t]]="",tblMovement[[#This Row],[Grade_gpt]]=""),0,tblMovement[[#This Row],[Tonnes_t]]*tblMovement[[#This Row],[Grade_gpt]]/cfg_TroyOz)</f>
        <v/>
      </c>
      <c r="O717" s="59">
        <f>IF(tblMovement[[#This Row],[Is_Ore]]=1,tblMovement[[#This Row],[Contained_oz]],0)</f>
        <v/>
      </c>
    </row>
    <row r="718">
      <c r="A718" s="54" t="n"/>
      <c r="B718" s="61" t="n"/>
      <c r="C718" s="61" t="n"/>
      <c r="D718" s="61" t="n"/>
      <c r="E718" s="61" t="n"/>
      <c r="F718" s="55" t="n"/>
      <c r="G718" s="56" t="n"/>
      <c r="H718" s="55" t="n"/>
      <c r="I718" s="62" t="n"/>
      <c r="J718" s="58" t="n"/>
      <c r="K718" s="63">
        <f>IF(tblMovement[[#This Row],[Source]]="","",IFERROR(INDEX(tblSources[Type],MATCH(tblMovement[[#This Row],[Source]],tblSources[Source],0)),"?"))</f>
        <v/>
      </c>
      <c r="L718" s="63">
        <f>IF(tblMovement[[#This Row],[Destination]]="","",IFERROR(INDEX(tblDestinations[Type],MATCH(tblMovement[[#This Row],[Destination]],tblDestinations[Destination],0)),"?"))</f>
        <v/>
      </c>
      <c r="M718" s="64">
        <f>IF(tblMovement[[#This Row],[Material]]="","",IF(LEFT(tblMovement[[#This Row],[Material]],3)="Ore",1,0))</f>
        <v/>
      </c>
      <c r="N718" s="59">
        <f>IF(OR(tblMovement[[#This Row],[Tonnes_t]]="",tblMovement[[#This Row],[Grade_gpt]]=""),0,tblMovement[[#This Row],[Tonnes_t]]*tblMovement[[#This Row],[Grade_gpt]]/cfg_TroyOz)</f>
        <v/>
      </c>
      <c r="O718" s="59">
        <f>IF(tblMovement[[#This Row],[Is_Ore]]=1,tblMovement[[#This Row],[Contained_oz]],0)</f>
        <v/>
      </c>
    </row>
    <row r="719">
      <c r="A719" s="54" t="n"/>
      <c r="B719" s="61" t="n"/>
      <c r="C719" s="61" t="n"/>
      <c r="D719" s="61" t="n"/>
      <c r="E719" s="61" t="n"/>
      <c r="F719" s="55" t="n"/>
      <c r="G719" s="56" t="n"/>
      <c r="H719" s="55" t="n"/>
      <c r="I719" s="62" t="n"/>
      <c r="J719" s="58" t="n"/>
      <c r="K719" s="63">
        <f>IF(tblMovement[[#This Row],[Source]]="","",IFERROR(INDEX(tblSources[Type],MATCH(tblMovement[[#This Row],[Source]],tblSources[Source],0)),"?"))</f>
        <v/>
      </c>
      <c r="L719" s="63">
        <f>IF(tblMovement[[#This Row],[Destination]]="","",IFERROR(INDEX(tblDestinations[Type],MATCH(tblMovement[[#This Row],[Destination]],tblDestinations[Destination],0)),"?"))</f>
        <v/>
      </c>
      <c r="M719" s="64">
        <f>IF(tblMovement[[#This Row],[Material]]="","",IF(LEFT(tblMovement[[#This Row],[Material]],3)="Ore",1,0))</f>
        <v/>
      </c>
      <c r="N719" s="59">
        <f>IF(OR(tblMovement[[#This Row],[Tonnes_t]]="",tblMovement[[#This Row],[Grade_gpt]]=""),0,tblMovement[[#This Row],[Tonnes_t]]*tblMovement[[#This Row],[Grade_gpt]]/cfg_TroyOz)</f>
        <v/>
      </c>
      <c r="O719" s="59">
        <f>IF(tblMovement[[#This Row],[Is_Ore]]=1,tblMovement[[#This Row],[Contained_oz]],0)</f>
        <v/>
      </c>
    </row>
    <row r="720">
      <c r="A720" s="54" t="n"/>
      <c r="B720" s="61" t="n"/>
      <c r="C720" s="61" t="n"/>
      <c r="D720" s="61" t="n"/>
      <c r="E720" s="61" t="n"/>
      <c r="F720" s="55" t="n"/>
      <c r="G720" s="56" t="n"/>
      <c r="H720" s="55" t="n"/>
      <c r="I720" s="62" t="n"/>
      <c r="J720" s="58" t="n"/>
      <c r="K720" s="63">
        <f>IF(tblMovement[[#This Row],[Source]]="","",IFERROR(INDEX(tblSources[Type],MATCH(tblMovement[[#This Row],[Source]],tblSources[Source],0)),"?"))</f>
        <v/>
      </c>
      <c r="L720" s="63">
        <f>IF(tblMovement[[#This Row],[Destination]]="","",IFERROR(INDEX(tblDestinations[Type],MATCH(tblMovement[[#This Row],[Destination]],tblDestinations[Destination],0)),"?"))</f>
        <v/>
      </c>
      <c r="M720" s="64">
        <f>IF(tblMovement[[#This Row],[Material]]="","",IF(LEFT(tblMovement[[#This Row],[Material]],3)="Ore",1,0))</f>
        <v/>
      </c>
      <c r="N720" s="59">
        <f>IF(OR(tblMovement[[#This Row],[Tonnes_t]]="",tblMovement[[#This Row],[Grade_gpt]]=""),0,tblMovement[[#This Row],[Tonnes_t]]*tblMovement[[#This Row],[Grade_gpt]]/cfg_TroyOz)</f>
        <v/>
      </c>
      <c r="O720" s="59">
        <f>IF(tblMovement[[#This Row],[Is_Ore]]=1,tblMovement[[#This Row],[Contained_oz]],0)</f>
        <v/>
      </c>
    </row>
    <row r="721">
      <c r="A721" s="54" t="n"/>
      <c r="B721" s="61" t="n"/>
      <c r="C721" s="61" t="n"/>
      <c r="D721" s="61" t="n"/>
      <c r="E721" s="61" t="n"/>
      <c r="F721" s="55" t="n"/>
      <c r="G721" s="56" t="n"/>
      <c r="H721" s="55" t="n"/>
      <c r="I721" s="62" t="n"/>
      <c r="J721" s="58" t="n"/>
      <c r="K721" s="63">
        <f>IF(tblMovement[[#This Row],[Source]]="","",IFERROR(INDEX(tblSources[Type],MATCH(tblMovement[[#This Row],[Source]],tblSources[Source],0)),"?"))</f>
        <v/>
      </c>
      <c r="L721" s="63">
        <f>IF(tblMovement[[#This Row],[Destination]]="","",IFERROR(INDEX(tblDestinations[Type],MATCH(tblMovement[[#This Row],[Destination]],tblDestinations[Destination],0)),"?"))</f>
        <v/>
      </c>
      <c r="M721" s="64">
        <f>IF(tblMovement[[#This Row],[Material]]="","",IF(LEFT(tblMovement[[#This Row],[Material]],3)="Ore",1,0))</f>
        <v/>
      </c>
      <c r="N721" s="59">
        <f>IF(OR(tblMovement[[#This Row],[Tonnes_t]]="",tblMovement[[#This Row],[Grade_gpt]]=""),0,tblMovement[[#This Row],[Tonnes_t]]*tblMovement[[#This Row],[Grade_gpt]]/cfg_TroyOz)</f>
        <v/>
      </c>
      <c r="O721" s="59">
        <f>IF(tblMovement[[#This Row],[Is_Ore]]=1,tblMovement[[#This Row],[Contained_oz]],0)</f>
        <v/>
      </c>
    </row>
    <row r="722">
      <c r="A722" s="54" t="n"/>
      <c r="B722" s="61" t="n"/>
      <c r="C722" s="61" t="n"/>
      <c r="D722" s="61" t="n"/>
      <c r="E722" s="61" t="n"/>
      <c r="F722" s="55" t="n"/>
      <c r="G722" s="56" t="n"/>
      <c r="H722" s="55" t="n"/>
      <c r="I722" s="62" t="n"/>
      <c r="J722" s="58" t="n"/>
      <c r="K722" s="63">
        <f>IF(tblMovement[[#This Row],[Source]]="","",IFERROR(INDEX(tblSources[Type],MATCH(tblMovement[[#This Row],[Source]],tblSources[Source],0)),"?"))</f>
        <v/>
      </c>
      <c r="L722" s="63">
        <f>IF(tblMovement[[#This Row],[Destination]]="","",IFERROR(INDEX(tblDestinations[Type],MATCH(tblMovement[[#This Row],[Destination]],tblDestinations[Destination],0)),"?"))</f>
        <v/>
      </c>
      <c r="M722" s="64">
        <f>IF(tblMovement[[#This Row],[Material]]="","",IF(LEFT(tblMovement[[#This Row],[Material]],3)="Ore",1,0))</f>
        <v/>
      </c>
      <c r="N722" s="59">
        <f>IF(OR(tblMovement[[#This Row],[Tonnes_t]]="",tblMovement[[#This Row],[Grade_gpt]]=""),0,tblMovement[[#This Row],[Tonnes_t]]*tblMovement[[#This Row],[Grade_gpt]]/cfg_TroyOz)</f>
        <v/>
      </c>
      <c r="O722" s="59">
        <f>IF(tblMovement[[#This Row],[Is_Ore]]=1,tblMovement[[#This Row],[Contained_oz]],0)</f>
        <v/>
      </c>
    </row>
    <row r="723">
      <c r="A723" s="54" t="n"/>
      <c r="B723" s="61" t="n"/>
      <c r="C723" s="61" t="n"/>
      <c r="D723" s="61" t="n"/>
      <c r="E723" s="61" t="n"/>
      <c r="F723" s="55" t="n"/>
      <c r="G723" s="56" t="n"/>
      <c r="H723" s="55" t="n"/>
      <c r="I723" s="62" t="n"/>
      <c r="J723" s="58" t="n"/>
      <c r="K723" s="63">
        <f>IF(tblMovement[[#This Row],[Source]]="","",IFERROR(INDEX(tblSources[Type],MATCH(tblMovement[[#This Row],[Source]],tblSources[Source],0)),"?"))</f>
        <v/>
      </c>
      <c r="L723" s="63">
        <f>IF(tblMovement[[#This Row],[Destination]]="","",IFERROR(INDEX(tblDestinations[Type],MATCH(tblMovement[[#This Row],[Destination]],tblDestinations[Destination],0)),"?"))</f>
        <v/>
      </c>
      <c r="M723" s="64">
        <f>IF(tblMovement[[#This Row],[Material]]="","",IF(LEFT(tblMovement[[#This Row],[Material]],3)="Ore",1,0))</f>
        <v/>
      </c>
      <c r="N723" s="59">
        <f>IF(OR(tblMovement[[#This Row],[Tonnes_t]]="",tblMovement[[#This Row],[Grade_gpt]]=""),0,tblMovement[[#This Row],[Tonnes_t]]*tblMovement[[#This Row],[Grade_gpt]]/cfg_TroyOz)</f>
        <v/>
      </c>
      <c r="O723" s="59">
        <f>IF(tblMovement[[#This Row],[Is_Ore]]=1,tblMovement[[#This Row],[Contained_oz]],0)</f>
        <v/>
      </c>
    </row>
    <row r="724">
      <c r="A724" s="54" t="n"/>
      <c r="B724" s="61" t="n"/>
      <c r="C724" s="61" t="n"/>
      <c r="D724" s="61" t="n"/>
      <c r="E724" s="61" t="n"/>
      <c r="F724" s="55" t="n"/>
      <c r="G724" s="56" t="n"/>
      <c r="H724" s="55" t="n"/>
      <c r="I724" s="62" t="n"/>
      <c r="J724" s="58" t="n"/>
      <c r="K724" s="63">
        <f>IF(tblMovement[[#This Row],[Source]]="","",IFERROR(INDEX(tblSources[Type],MATCH(tblMovement[[#This Row],[Source]],tblSources[Source],0)),"?"))</f>
        <v/>
      </c>
      <c r="L724" s="63">
        <f>IF(tblMovement[[#This Row],[Destination]]="","",IFERROR(INDEX(tblDestinations[Type],MATCH(tblMovement[[#This Row],[Destination]],tblDestinations[Destination],0)),"?"))</f>
        <v/>
      </c>
      <c r="M724" s="64">
        <f>IF(tblMovement[[#This Row],[Material]]="","",IF(LEFT(tblMovement[[#This Row],[Material]],3)="Ore",1,0))</f>
        <v/>
      </c>
      <c r="N724" s="59">
        <f>IF(OR(tblMovement[[#This Row],[Tonnes_t]]="",tblMovement[[#This Row],[Grade_gpt]]=""),0,tblMovement[[#This Row],[Tonnes_t]]*tblMovement[[#This Row],[Grade_gpt]]/cfg_TroyOz)</f>
        <v/>
      </c>
      <c r="O724" s="59">
        <f>IF(tblMovement[[#This Row],[Is_Ore]]=1,tblMovement[[#This Row],[Contained_oz]],0)</f>
        <v/>
      </c>
    </row>
    <row r="725">
      <c r="A725" s="54" t="n"/>
      <c r="B725" s="61" t="n"/>
      <c r="C725" s="61" t="n"/>
      <c r="D725" s="61" t="n"/>
      <c r="E725" s="61" t="n"/>
      <c r="F725" s="55" t="n"/>
      <c r="G725" s="56" t="n"/>
      <c r="H725" s="55" t="n"/>
      <c r="I725" s="62" t="n"/>
      <c r="J725" s="58" t="n"/>
      <c r="K725" s="63">
        <f>IF(tblMovement[[#This Row],[Source]]="","",IFERROR(INDEX(tblSources[Type],MATCH(tblMovement[[#This Row],[Source]],tblSources[Source],0)),"?"))</f>
        <v/>
      </c>
      <c r="L725" s="63">
        <f>IF(tblMovement[[#This Row],[Destination]]="","",IFERROR(INDEX(tblDestinations[Type],MATCH(tblMovement[[#This Row],[Destination]],tblDestinations[Destination],0)),"?"))</f>
        <v/>
      </c>
      <c r="M725" s="64">
        <f>IF(tblMovement[[#This Row],[Material]]="","",IF(LEFT(tblMovement[[#This Row],[Material]],3)="Ore",1,0))</f>
        <v/>
      </c>
      <c r="N725" s="59">
        <f>IF(OR(tblMovement[[#This Row],[Tonnes_t]]="",tblMovement[[#This Row],[Grade_gpt]]=""),0,tblMovement[[#This Row],[Tonnes_t]]*tblMovement[[#This Row],[Grade_gpt]]/cfg_TroyOz)</f>
        <v/>
      </c>
      <c r="O725" s="59">
        <f>IF(tblMovement[[#This Row],[Is_Ore]]=1,tblMovement[[#This Row],[Contained_oz]],0)</f>
        <v/>
      </c>
    </row>
    <row r="726">
      <c r="A726" s="54" t="n"/>
      <c r="B726" s="61" t="n"/>
      <c r="C726" s="61" t="n"/>
      <c r="D726" s="61" t="n"/>
      <c r="E726" s="61" t="n"/>
      <c r="F726" s="55" t="n"/>
      <c r="G726" s="56" t="n"/>
      <c r="H726" s="55" t="n"/>
      <c r="I726" s="62" t="n"/>
      <c r="J726" s="58" t="n"/>
      <c r="K726" s="63">
        <f>IF(tblMovement[[#This Row],[Source]]="","",IFERROR(INDEX(tblSources[Type],MATCH(tblMovement[[#This Row],[Source]],tblSources[Source],0)),"?"))</f>
        <v/>
      </c>
      <c r="L726" s="63">
        <f>IF(tblMovement[[#This Row],[Destination]]="","",IFERROR(INDEX(tblDestinations[Type],MATCH(tblMovement[[#This Row],[Destination]],tblDestinations[Destination],0)),"?"))</f>
        <v/>
      </c>
      <c r="M726" s="64">
        <f>IF(tblMovement[[#This Row],[Material]]="","",IF(LEFT(tblMovement[[#This Row],[Material]],3)="Ore",1,0))</f>
        <v/>
      </c>
      <c r="N726" s="59">
        <f>IF(OR(tblMovement[[#This Row],[Tonnes_t]]="",tblMovement[[#This Row],[Grade_gpt]]=""),0,tblMovement[[#This Row],[Tonnes_t]]*tblMovement[[#This Row],[Grade_gpt]]/cfg_TroyOz)</f>
        <v/>
      </c>
      <c r="O726" s="59">
        <f>IF(tblMovement[[#This Row],[Is_Ore]]=1,tblMovement[[#This Row],[Contained_oz]],0)</f>
        <v/>
      </c>
    </row>
    <row r="727">
      <c r="A727" s="54" t="n"/>
      <c r="B727" s="61" t="n"/>
      <c r="C727" s="61" t="n"/>
      <c r="D727" s="61" t="n"/>
      <c r="E727" s="61" t="n"/>
      <c r="F727" s="55" t="n"/>
      <c r="G727" s="56" t="n"/>
      <c r="H727" s="55" t="n"/>
      <c r="I727" s="62" t="n"/>
      <c r="J727" s="58" t="n"/>
      <c r="K727" s="63">
        <f>IF(tblMovement[[#This Row],[Source]]="","",IFERROR(INDEX(tblSources[Type],MATCH(tblMovement[[#This Row],[Source]],tblSources[Source],0)),"?"))</f>
        <v/>
      </c>
      <c r="L727" s="63">
        <f>IF(tblMovement[[#This Row],[Destination]]="","",IFERROR(INDEX(tblDestinations[Type],MATCH(tblMovement[[#This Row],[Destination]],tblDestinations[Destination],0)),"?"))</f>
        <v/>
      </c>
      <c r="M727" s="64">
        <f>IF(tblMovement[[#This Row],[Material]]="","",IF(LEFT(tblMovement[[#This Row],[Material]],3)="Ore",1,0))</f>
        <v/>
      </c>
      <c r="N727" s="59">
        <f>IF(OR(tblMovement[[#This Row],[Tonnes_t]]="",tblMovement[[#This Row],[Grade_gpt]]=""),0,tblMovement[[#This Row],[Tonnes_t]]*tblMovement[[#This Row],[Grade_gpt]]/cfg_TroyOz)</f>
        <v/>
      </c>
      <c r="O727" s="59">
        <f>IF(tblMovement[[#This Row],[Is_Ore]]=1,tblMovement[[#This Row],[Contained_oz]],0)</f>
        <v/>
      </c>
    </row>
    <row r="728">
      <c r="A728" s="54" t="n"/>
      <c r="B728" s="61" t="n"/>
      <c r="C728" s="61" t="n"/>
      <c r="D728" s="61" t="n"/>
      <c r="E728" s="61" t="n"/>
      <c r="F728" s="55" t="n"/>
      <c r="G728" s="56" t="n"/>
      <c r="H728" s="55" t="n"/>
      <c r="I728" s="62" t="n"/>
      <c r="J728" s="58" t="n"/>
      <c r="K728" s="63">
        <f>IF(tblMovement[[#This Row],[Source]]="","",IFERROR(INDEX(tblSources[Type],MATCH(tblMovement[[#This Row],[Source]],tblSources[Source],0)),"?"))</f>
        <v/>
      </c>
      <c r="L728" s="63">
        <f>IF(tblMovement[[#This Row],[Destination]]="","",IFERROR(INDEX(tblDestinations[Type],MATCH(tblMovement[[#This Row],[Destination]],tblDestinations[Destination],0)),"?"))</f>
        <v/>
      </c>
      <c r="M728" s="64">
        <f>IF(tblMovement[[#This Row],[Material]]="","",IF(LEFT(tblMovement[[#This Row],[Material]],3)="Ore",1,0))</f>
        <v/>
      </c>
      <c r="N728" s="59">
        <f>IF(OR(tblMovement[[#This Row],[Tonnes_t]]="",tblMovement[[#This Row],[Grade_gpt]]=""),0,tblMovement[[#This Row],[Tonnes_t]]*tblMovement[[#This Row],[Grade_gpt]]/cfg_TroyOz)</f>
        <v/>
      </c>
      <c r="O728" s="59">
        <f>IF(tblMovement[[#This Row],[Is_Ore]]=1,tblMovement[[#This Row],[Contained_oz]],0)</f>
        <v/>
      </c>
    </row>
    <row r="729">
      <c r="A729" s="54" t="n"/>
      <c r="B729" s="61" t="n"/>
      <c r="C729" s="61" t="n"/>
      <c r="D729" s="61" t="n"/>
      <c r="E729" s="61" t="n"/>
      <c r="F729" s="55" t="n"/>
      <c r="G729" s="56" t="n"/>
      <c r="H729" s="55" t="n"/>
      <c r="I729" s="62" t="n"/>
      <c r="J729" s="58" t="n"/>
      <c r="K729" s="63">
        <f>IF(tblMovement[[#This Row],[Source]]="","",IFERROR(INDEX(tblSources[Type],MATCH(tblMovement[[#This Row],[Source]],tblSources[Source],0)),"?"))</f>
        <v/>
      </c>
      <c r="L729" s="63">
        <f>IF(tblMovement[[#This Row],[Destination]]="","",IFERROR(INDEX(tblDestinations[Type],MATCH(tblMovement[[#This Row],[Destination]],tblDestinations[Destination],0)),"?"))</f>
        <v/>
      </c>
      <c r="M729" s="64">
        <f>IF(tblMovement[[#This Row],[Material]]="","",IF(LEFT(tblMovement[[#This Row],[Material]],3)="Ore",1,0))</f>
        <v/>
      </c>
      <c r="N729" s="59">
        <f>IF(OR(tblMovement[[#This Row],[Tonnes_t]]="",tblMovement[[#This Row],[Grade_gpt]]=""),0,tblMovement[[#This Row],[Tonnes_t]]*tblMovement[[#This Row],[Grade_gpt]]/cfg_TroyOz)</f>
        <v/>
      </c>
      <c r="O729" s="59">
        <f>IF(tblMovement[[#This Row],[Is_Ore]]=1,tblMovement[[#This Row],[Contained_oz]],0)</f>
        <v/>
      </c>
    </row>
    <row r="730">
      <c r="A730" s="54" t="n"/>
      <c r="B730" s="61" t="n"/>
      <c r="C730" s="61" t="n"/>
      <c r="D730" s="61" t="n"/>
      <c r="E730" s="61" t="n"/>
      <c r="F730" s="55" t="n"/>
      <c r="G730" s="56" t="n"/>
      <c r="H730" s="55" t="n"/>
      <c r="I730" s="62" t="n"/>
      <c r="J730" s="58" t="n"/>
      <c r="K730" s="63">
        <f>IF(tblMovement[[#This Row],[Source]]="","",IFERROR(INDEX(tblSources[Type],MATCH(tblMovement[[#This Row],[Source]],tblSources[Source],0)),"?"))</f>
        <v/>
      </c>
      <c r="L730" s="63">
        <f>IF(tblMovement[[#This Row],[Destination]]="","",IFERROR(INDEX(tblDestinations[Type],MATCH(tblMovement[[#This Row],[Destination]],tblDestinations[Destination],0)),"?"))</f>
        <v/>
      </c>
      <c r="M730" s="64">
        <f>IF(tblMovement[[#This Row],[Material]]="","",IF(LEFT(tblMovement[[#This Row],[Material]],3)="Ore",1,0))</f>
        <v/>
      </c>
      <c r="N730" s="59">
        <f>IF(OR(tblMovement[[#This Row],[Tonnes_t]]="",tblMovement[[#This Row],[Grade_gpt]]=""),0,tblMovement[[#This Row],[Tonnes_t]]*tblMovement[[#This Row],[Grade_gpt]]/cfg_TroyOz)</f>
        <v/>
      </c>
      <c r="O730" s="59">
        <f>IF(tblMovement[[#This Row],[Is_Ore]]=1,tblMovement[[#This Row],[Contained_oz]],0)</f>
        <v/>
      </c>
    </row>
    <row r="731">
      <c r="A731" s="54" t="n"/>
      <c r="B731" s="61" t="n"/>
      <c r="C731" s="61" t="n"/>
      <c r="D731" s="61" t="n"/>
      <c r="E731" s="61" t="n"/>
      <c r="F731" s="55" t="n"/>
      <c r="G731" s="56" t="n"/>
      <c r="H731" s="55" t="n"/>
      <c r="I731" s="62" t="n"/>
      <c r="J731" s="58" t="n"/>
      <c r="K731" s="63">
        <f>IF(tblMovement[[#This Row],[Source]]="","",IFERROR(INDEX(tblSources[Type],MATCH(tblMovement[[#This Row],[Source]],tblSources[Source],0)),"?"))</f>
        <v/>
      </c>
      <c r="L731" s="63">
        <f>IF(tblMovement[[#This Row],[Destination]]="","",IFERROR(INDEX(tblDestinations[Type],MATCH(tblMovement[[#This Row],[Destination]],tblDestinations[Destination],0)),"?"))</f>
        <v/>
      </c>
      <c r="M731" s="64">
        <f>IF(tblMovement[[#This Row],[Material]]="","",IF(LEFT(tblMovement[[#This Row],[Material]],3)="Ore",1,0))</f>
        <v/>
      </c>
      <c r="N731" s="59">
        <f>IF(OR(tblMovement[[#This Row],[Tonnes_t]]="",tblMovement[[#This Row],[Grade_gpt]]=""),0,tblMovement[[#This Row],[Tonnes_t]]*tblMovement[[#This Row],[Grade_gpt]]/cfg_TroyOz)</f>
        <v/>
      </c>
      <c r="O731" s="59">
        <f>IF(tblMovement[[#This Row],[Is_Ore]]=1,tblMovement[[#This Row],[Contained_oz]],0)</f>
        <v/>
      </c>
    </row>
    <row r="732">
      <c r="A732" s="54" t="n"/>
      <c r="B732" s="61" t="n"/>
      <c r="C732" s="61" t="n"/>
      <c r="D732" s="61" t="n"/>
      <c r="E732" s="61" t="n"/>
      <c r="F732" s="55" t="n"/>
      <c r="G732" s="56" t="n"/>
      <c r="H732" s="55" t="n"/>
      <c r="I732" s="62" t="n"/>
      <c r="J732" s="58" t="n"/>
      <c r="K732" s="63">
        <f>IF(tblMovement[[#This Row],[Source]]="","",IFERROR(INDEX(tblSources[Type],MATCH(tblMovement[[#This Row],[Source]],tblSources[Source],0)),"?"))</f>
        <v/>
      </c>
      <c r="L732" s="63">
        <f>IF(tblMovement[[#This Row],[Destination]]="","",IFERROR(INDEX(tblDestinations[Type],MATCH(tblMovement[[#This Row],[Destination]],tblDestinations[Destination],0)),"?"))</f>
        <v/>
      </c>
      <c r="M732" s="64">
        <f>IF(tblMovement[[#This Row],[Material]]="","",IF(LEFT(tblMovement[[#This Row],[Material]],3)="Ore",1,0))</f>
        <v/>
      </c>
      <c r="N732" s="59">
        <f>IF(OR(tblMovement[[#This Row],[Tonnes_t]]="",tblMovement[[#This Row],[Grade_gpt]]=""),0,tblMovement[[#This Row],[Tonnes_t]]*tblMovement[[#This Row],[Grade_gpt]]/cfg_TroyOz)</f>
        <v/>
      </c>
      <c r="O732" s="59">
        <f>IF(tblMovement[[#This Row],[Is_Ore]]=1,tblMovement[[#This Row],[Contained_oz]],0)</f>
        <v/>
      </c>
    </row>
    <row r="733">
      <c r="A733" s="54" t="n"/>
      <c r="B733" s="61" t="n"/>
      <c r="C733" s="61" t="n"/>
      <c r="D733" s="61" t="n"/>
      <c r="E733" s="61" t="n"/>
      <c r="F733" s="55" t="n"/>
      <c r="G733" s="56" t="n"/>
      <c r="H733" s="55" t="n"/>
      <c r="I733" s="62" t="n"/>
      <c r="J733" s="58" t="n"/>
      <c r="K733" s="63">
        <f>IF(tblMovement[[#This Row],[Source]]="","",IFERROR(INDEX(tblSources[Type],MATCH(tblMovement[[#This Row],[Source]],tblSources[Source],0)),"?"))</f>
        <v/>
      </c>
      <c r="L733" s="63">
        <f>IF(tblMovement[[#This Row],[Destination]]="","",IFERROR(INDEX(tblDestinations[Type],MATCH(tblMovement[[#This Row],[Destination]],tblDestinations[Destination],0)),"?"))</f>
        <v/>
      </c>
      <c r="M733" s="64">
        <f>IF(tblMovement[[#This Row],[Material]]="","",IF(LEFT(tblMovement[[#This Row],[Material]],3)="Ore",1,0))</f>
        <v/>
      </c>
      <c r="N733" s="59">
        <f>IF(OR(tblMovement[[#This Row],[Tonnes_t]]="",tblMovement[[#This Row],[Grade_gpt]]=""),0,tblMovement[[#This Row],[Tonnes_t]]*tblMovement[[#This Row],[Grade_gpt]]/cfg_TroyOz)</f>
        <v/>
      </c>
      <c r="O733" s="59">
        <f>IF(tblMovement[[#This Row],[Is_Ore]]=1,tblMovement[[#This Row],[Contained_oz]],0)</f>
        <v/>
      </c>
    </row>
    <row r="734">
      <c r="A734" s="54" t="n"/>
      <c r="B734" s="61" t="n"/>
      <c r="C734" s="61" t="n"/>
      <c r="D734" s="61" t="n"/>
      <c r="E734" s="61" t="n"/>
      <c r="F734" s="55" t="n"/>
      <c r="G734" s="56" t="n"/>
      <c r="H734" s="55" t="n"/>
      <c r="I734" s="62" t="n"/>
      <c r="J734" s="58" t="n"/>
      <c r="K734" s="63">
        <f>IF(tblMovement[[#This Row],[Source]]="","",IFERROR(INDEX(tblSources[Type],MATCH(tblMovement[[#This Row],[Source]],tblSources[Source],0)),"?"))</f>
        <v/>
      </c>
      <c r="L734" s="63">
        <f>IF(tblMovement[[#This Row],[Destination]]="","",IFERROR(INDEX(tblDestinations[Type],MATCH(tblMovement[[#This Row],[Destination]],tblDestinations[Destination],0)),"?"))</f>
        <v/>
      </c>
      <c r="M734" s="64">
        <f>IF(tblMovement[[#This Row],[Material]]="","",IF(LEFT(tblMovement[[#This Row],[Material]],3)="Ore",1,0))</f>
        <v/>
      </c>
      <c r="N734" s="59">
        <f>IF(OR(tblMovement[[#This Row],[Tonnes_t]]="",tblMovement[[#This Row],[Grade_gpt]]=""),0,tblMovement[[#This Row],[Tonnes_t]]*tblMovement[[#This Row],[Grade_gpt]]/cfg_TroyOz)</f>
        <v/>
      </c>
      <c r="O734" s="59">
        <f>IF(tblMovement[[#This Row],[Is_Ore]]=1,tblMovement[[#This Row],[Contained_oz]],0)</f>
        <v/>
      </c>
    </row>
    <row r="735">
      <c r="A735" s="54" t="n"/>
      <c r="B735" s="61" t="n"/>
      <c r="C735" s="61" t="n"/>
      <c r="D735" s="61" t="n"/>
      <c r="E735" s="61" t="n"/>
      <c r="F735" s="55" t="n"/>
      <c r="G735" s="56" t="n"/>
      <c r="H735" s="55" t="n"/>
      <c r="I735" s="62" t="n"/>
      <c r="J735" s="58" t="n"/>
      <c r="K735" s="63">
        <f>IF(tblMovement[[#This Row],[Source]]="","",IFERROR(INDEX(tblSources[Type],MATCH(tblMovement[[#This Row],[Source]],tblSources[Source],0)),"?"))</f>
        <v/>
      </c>
      <c r="L735" s="63">
        <f>IF(tblMovement[[#This Row],[Destination]]="","",IFERROR(INDEX(tblDestinations[Type],MATCH(tblMovement[[#This Row],[Destination]],tblDestinations[Destination],0)),"?"))</f>
        <v/>
      </c>
      <c r="M735" s="64">
        <f>IF(tblMovement[[#This Row],[Material]]="","",IF(LEFT(tblMovement[[#This Row],[Material]],3)="Ore",1,0))</f>
        <v/>
      </c>
      <c r="N735" s="59">
        <f>IF(OR(tblMovement[[#This Row],[Tonnes_t]]="",tblMovement[[#This Row],[Grade_gpt]]=""),0,tblMovement[[#This Row],[Tonnes_t]]*tblMovement[[#This Row],[Grade_gpt]]/cfg_TroyOz)</f>
        <v/>
      </c>
      <c r="O735" s="59">
        <f>IF(tblMovement[[#This Row],[Is_Ore]]=1,tblMovement[[#This Row],[Contained_oz]],0)</f>
        <v/>
      </c>
    </row>
    <row r="736">
      <c r="A736" s="54" t="n"/>
      <c r="B736" s="61" t="n"/>
      <c r="C736" s="61" t="n"/>
      <c r="D736" s="61" t="n"/>
      <c r="E736" s="61" t="n"/>
      <c r="F736" s="55" t="n"/>
      <c r="G736" s="56" t="n"/>
      <c r="H736" s="55" t="n"/>
      <c r="I736" s="62" t="n"/>
      <c r="J736" s="58" t="n"/>
      <c r="K736" s="63">
        <f>IF(tblMovement[[#This Row],[Source]]="","",IFERROR(INDEX(tblSources[Type],MATCH(tblMovement[[#This Row],[Source]],tblSources[Source],0)),"?"))</f>
        <v/>
      </c>
      <c r="L736" s="63">
        <f>IF(tblMovement[[#This Row],[Destination]]="","",IFERROR(INDEX(tblDestinations[Type],MATCH(tblMovement[[#This Row],[Destination]],tblDestinations[Destination],0)),"?"))</f>
        <v/>
      </c>
      <c r="M736" s="64">
        <f>IF(tblMovement[[#This Row],[Material]]="","",IF(LEFT(tblMovement[[#This Row],[Material]],3)="Ore",1,0))</f>
        <v/>
      </c>
      <c r="N736" s="59">
        <f>IF(OR(tblMovement[[#This Row],[Tonnes_t]]="",tblMovement[[#This Row],[Grade_gpt]]=""),0,tblMovement[[#This Row],[Tonnes_t]]*tblMovement[[#This Row],[Grade_gpt]]/cfg_TroyOz)</f>
        <v/>
      </c>
      <c r="O736" s="59">
        <f>IF(tblMovement[[#This Row],[Is_Ore]]=1,tblMovement[[#This Row],[Contained_oz]],0)</f>
        <v/>
      </c>
    </row>
    <row r="737">
      <c r="A737" s="54" t="n"/>
      <c r="B737" s="61" t="n"/>
      <c r="C737" s="61" t="n"/>
      <c r="D737" s="61" t="n"/>
      <c r="E737" s="61" t="n"/>
      <c r="F737" s="55" t="n"/>
      <c r="G737" s="56" t="n"/>
      <c r="H737" s="55" t="n"/>
      <c r="I737" s="62" t="n"/>
      <c r="J737" s="58" t="n"/>
      <c r="K737" s="63">
        <f>IF(tblMovement[[#This Row],[Source]]="","",IFERROR(INDEX(tblSources[Type],MATCH(tblMovement[[#This Row],[Source]],tblSources[Source],0)),"?"))</f>
        <v/>
      </c>
      <c r="L737" s="63">
        <f>IF(tblMovement[[#This Row],[Destination]]="","",IFERROR(INDEX(tblDestinations[Type],MATCH(tblMovement[[#This Row],[Destination]],tblDestinations[Destination],0)),"?"))</f>
        <v/>
      </c>
      <c r="M737" s="64">
        <f>IF(tblMovement[[#This Row],[Material]]="","",IF(LEFT(tblMovement[[#This Row],[Material]],3)="Ore",1,0))</f>
        <v/>
      </c>
      <c r="N737" s="59">
        <f>IF(OR(tblMovement[[#This Row],[Tonnes_t]]="",tblMovement[[#This Row],[Grade_gpt]]=""),0,tblMovement[[#This Row],[Tonnes_t]]*tblMovement[[#This Row],[Grade_gpt]]/cfg_TroyOz)</f>
        <v/>
      </c>
      <c r="O737" s="59">
        <f>IF(tblMovement[[#This Row],[Is_Ore]]=1,tblMovement[[#This Row],[Contained_oz]],0)</f>
        <v/>
      </c>
    </row>
    <row r="738">
      <c r="A738" s="54" t="n"/>
      <c r="B738" s="61" t="n"/>
      <c r="C738" s="61" t="n"/>
      <c r="D738" s="61" t="n"/>
      <c r="E738" s="61" t="n"/>
      <c r="F738" s="55" t="n"/>
      <c r="G738" s="56" t="n"/>
      <c r="H738" s="55" t="n"/>
      <c r="I738" s="62" t="n"/>
      <c r="J738" s="58" t="n"/>
      <c r="K738" s="63">
        <f>IF(tblMovement[[#This Row],[Source]]="","",IFERROR(INDEX(tblSources[Type],MATCH(tblMovement[[#This Row],[Source]],tblSources[Source],0)),"?"))</f>
        <v/>
      </c>
      <c r="L738" s="63">
        <f>IF(tblMovement[[#This Row],[Destination]]="","",IFERROR(INDEX(tblDestinations[Type],MATCH(tblMovement[[#This Row],[Destination]],tblDestinations[Destination],0)),"?"))</f>
        <v/>
      </c>
      <c r="M738" s="64">
        <f>IF(tblMovement[[#This Row],[Material]]="","",IF(LEFT(tblMovement[[#This Row],[Material]],3)="Ore",1,0))</f>
        <v/>
      </c>
      <c r="N738" s="59">
        <f>IF(OR(tblMovement[[#This Row],[Tonnes_t]]="",tblMovement[[#This Row],[Grade_gpt]]=""),0,tblMovement[[#This Row],[Tonnes_t]]*tblMovement[[#This Row],[Grade_gpt]]/cfg_TroyOz)</f>
        <v/>
      </c>
      <c r="O738" s="59">
        <f>IF(tblMovement[[#This Row],[Is_Ore]]=1,tblMovement[[#This Row],[Contained_oz]],0)</f>
        <v/>
      </c>
    </row>
    <row r="739">
      <c r="A739" s="54" t="n"/>
      <c r="B739" s="61" t="n"/>
      <c r="C739" s="61" t="n"/>
      <c r="D739" s="61" t="n"/>
      <c r="E739" s="61" t="n"/>
      <c r="F739" s="55" t="n"/>
      <c r="G739" s="56" t="n"/>
      <c r="H739" s="55" t="n"/>
      <c r="I739" s="62" t="n"/>
      <c r="J739" s="58" t="n"/>
      <c r="K739" s="63">
        <f>IF(tblMovement[[#This Row],[Source]]="","",IFERROR(INDEX(tblSources[Type],MATCH(tblMovement[[#This Row],[Source]],tblSources[Source],0)),"?"))</f>
        <v/>
      </c>
      <c r="L739" s="63">
        <f>IF(tblMovement[[#This Row],[Destination]]="","",IFERROR(INDEX(tblDestinations[Type],MATCH(tblMovement[[#This Row],[Destination]],tblDestinations[Destination],0)),"?"))</f>
        <v/>
      </c>
      <c r="M739" s="64">
        <f>IF(tblMovement[[#This Row],[Material]]="","",IF(LEFT(tblMovement[[#This Row],[Material]],3)="Ore",1,0))</f>
        <v/>
      </c>
      <c r="N739" s="59">
        <f>IF(OR(tblMovement[[#This Row],[Tonnes_t]]="",tblMovement[[#This Row],[Grade_gpt]]=""),0,tblMovement[[#This Row],[Tonnes_t]]*tblMovement[[#This Row],[Grade_gpt]]/cfg_TroyOz)</f>
        <v/>
      </c>
      <c r="O739" s="59">
        <f>IF(tblMovement[[#This Row],[Is_Ore]]=1,tblMovement[[#This Row],[Contained_oz]],0)</f>
        <v/>
      </c>
    </row>
    <row r="740">
      <c r="A740" s="54" t="n"/>
      <c r="B740" s="61" t="n"/>
      <c r="C740" s="61" t="n"/>
      <c r="D740" s="61" t="n"/>
      <c r="E740" s="61" t="n"/>
      <c r="F740" s="55" t="n"/>
      <c r="G740" s="56" t="n"/>
      <c r="H740" s="55" t="n"/>
      <c r="I740" s="62" t="n"/>
      <c r="J740" s="58" t="n"/>
      <c r="K740" s="63">
        <f>IF(tblMovement[[#This Row],[Source]]="","",IFERROR(INDEX(tblSources[Type],MATCH(tblMovement[[#This Row],[Source]],tblSources[Source],0)),"?"))</f>
        <v/>
      </c>
      <c r="L740" s="63">
        <f>IF(tblMovement[[#This Row],[Destination]]="","",IFERROR(INDEX(tblDestinations[Type],MATCH(tblMovement[[#This Row],[Destination]],tblDestinations[Destination],0)),"?"))</f>
        <v/>
      </c>
      <c r="M740" s="64">
        <f>IF(tblMovement[[#This Row],[Material]]="","",IF(LEFT(tblMovement[[#This Row],[Material]],3)="Ore",1,0))</f>
        <v/>
      </c>
      <c r="N740" s="59">
        <f>IF(OR(tblMovement[[#This Row],[Tonnes_t]]="",tblMovement[[#This Row],[Grade_gpt]]=""),0,tblMovement[[#This Row],[Tonnes_t]]*tblMovement[[#This Row],[Grade_gpt]]/cfg_TroyOz)</f>
        <v/>
      </c>
      <c r="O740" s="59">
        <f>IF(tblMovement[[#This Row],[Is_Ore]]=1,tblMovement[[#This Row],[Contained_oz]],0)</f>
        <v/>
      </c>
    </row>
    <row r="741">
      <c r="A741" s="54" t="n"/>
      <c r="B741" s="61" t="n"/>
      <c r="C741" s="61" t="n"/>
      <c r="D741" s="61" t="n"/>
      <c r="E741" s="61" t="n"/>
      <c r="F741" s="55" t="n"/>
      <c r="G741" s="56" t="n"/>
      <c r="H741" s="55" t="n"/>
      <c r="I741" s="62" t="n"/>
      <c r="J741" s="58" t="n"/>
      <c r="K741" s="63">
        <f>IF(tblMovement[[#This Row],[Source]]="","",IFERROR(INDEX(tblSources[Type],MATCH(tblMovement[[#This Row],[Source]],tblSources[Source],0)),"?"))</f>
        <v/>
      </c>
      <c r="L741" s="63">
        <f>IF(tblMovement[[#This Row],[Destination]]="","",IFERROR(INDEX(tblDestinations[Type],MATCH(tblMovement[[#This Row],[Destination]],tblDestinations[Destination],0)),"?"))</f>
        <v/>
      </c>
      <c r="M741" s="64">
        <f>IF(tblMovement[[#This Row],[Material]]="","",IF(LEFT(tblMovement[[#This Row],[Material]],3)="Ore",1,0))</f>
        <v/>
      </c>
      <c r="N741" s="59">
        <f>IF(OR(tblMovement[[#This Row],[Tonnes_t]]="",tblMovement[[#This Row],[Grade_gpt]]=""),0,tblMovement[[#This Row],[Tonnes_t]]*tblMovement[[#This Row],[Grade_gpt]]/cfg_TroyOz)</f>
        <v/>
      </c>
      <c r="O741" s="59">
        <f>IF(tblMovement[[#This Row],[Is_Ore]]=1,tblMovement[[#This Row],[Contained_oz]],0)</f>
        <v/>
      </c>
    </row>
    <row r="742">
      <c r="A742" s="54" t="n"/>
      <c r="B742" s="61" t="n"/>
      <c r="C742" s="61" t="n"/>
      <c r="D742" s="61" t="n"/>
      <c r="E742" s="61" t="n"/>
      <c r="F742" s="55" t="n"/>
      <c r="G742" s="56" t="n"/>
      <c r="H742" s="55" t="n"/>
      <c r="I742" s="62" t="n"/>
      <c r="J742" s="58" t="n"/>
      <c r="K742" s="63">
        <f>IF(tblMovement[[#This Row],[Source]]="","",IFERROR(INDEX(tblSources[Type],MATCH(tblMovement[[#This Row],[Source]],tblSources[Source],0)),"?"))</f>
        <v/>
      </c>
      <c r="L742" s="63">
        <f>IF(tblMovement[[#This Row],[Destination]]="","",IFERROR(INDEX(tblDestinations[Type],MATCH(tblMovement[[#This Row],[Destination]],tblDestinations[Destination],0)),"?"))</f>
        <v/>
      </c>
      <c r="M742" s="64">
        <f>IF(tblMovement[[#This Row],[Material]]="","",IF(LEFT(tblMovement[[#This Row],[Material]],3)="Ore",1,0))</f>
        <v/>
      </c>
      <c r="N742" s="59">
        <f>IF(OR(tblMovement[[#This Row],[Tonnes_t]]="",tblMovement[[#This Row],[Grade_gpt]]=""),0,tblMovement[[#This Row],[Tonnes_t]]*tblMovement[[#This Row],[Grade_gpt]]/cfg_TroyOz)</f>
        <v/>
      </c>
      <c r="O742" s="59">
        <f>IF(tblMovement[[#This Row],[Is_Ore]]=1,tblMovement[[#This Row],[Contained_oz]],0)</f>
        <v/>
      </c>
    </row>
    <row r="743">
      <c r="A743" s="54" t="n"/>
      <c r="B743" s="61" t="n"/>
      <c r="C743" s="61" t="n"/>
      <c r="D743" s="61" t="n"/>
      <c r="E743" s="61" t="n"/>
      <c r="F743" s="55" t="n"/>
      <c r="G743" s="56" t="n"/>
      <c r="H743" s="55" t="n"/>
      <c r="I743" s="62" t="n"/>
      <c r="J743" s="58" t="n"/>
      <c r="K743" s="63">
        <f>IF(tblMovement[[#This Row],[Source]]="","",IFERROR(INDEX(tblSources[Type],MATCH(tblMovement[[#This Row],[Source]],tblSources[Source],0)),"?"))</f>
        <v/>
      </c>
      <c r="L743" s="63">
        <f>IF(tblMovement[[#This Row],[Destination]]="","",IFERROR(INDEX(tblDestinations[Type],MATCH(tblMovement[[#This Row],[Destination]],tblDestinations[Destination],0)),"?"))</f>
        <v/>
      </c>
      <c r="M743" s="64">
        <f>IF(tblMovement[[#This Row],[Material]]="","",IF(LEFT(tblMovement[[#This Row],[Material]],3)="Ore",1,0))</f>
        <v/>
      </c>
      <c r="N743" s="59">
        <f>IF(OR(tblMovement[[#This Row],[Tonnes_t]]="",tblMovement[[#This Row],[Grade_gpt]]=""),0,tblMovement[[#This Row],[Tonnes_t]]*tblMovement[[#This Row],[Grade_gpt]]/cfg_TroyOz)</f>
        <v/>
      </c>
      <c r="O743" s="59">
        <f>IF(tblMovement[[#This Row],[Is_Ore]]=1,tblMovement[[#This Row],[Contained_oz]],0)</f>
        <v/>
      </c>
    </row>
    <row r="744">
      <c r="A744" s="54" t="n"/>
      <c r="B744" s="61" t="n"/>
      <c r="C744" s="61" t="n"/>
      <c r="D744" s="61" t="n"/>
      <c r="E744" s="61" t="n"/>
      <c r="F744" s="55" t="n"/>
      <c r="G744" s="56" t="n"/>
      <c r="H744" s="55" t="n"/>
      <c r="I744" s="62" t="n"/>
      <c r="J744" s="58" t="n"/>
      <c r="K744" s="63">
        <f>IF(tblMovement[[#This Row],[Source]]="","",IFERROR(INDEX(tblSources[Type],MATCH(tblMovement[[#This Row],[Source]],tblSources[Source],0)),"?"))</f>
        <v/>
      </c>
      <c r="L744" s="63">
        <f>IF(tblMovement[[#This Row],[Destination]]="","",IFERROR(INDEX(tblDestinations[Type],MATCH(tblMovement[[#This Row],[Destination]],tblDestinations[Destination],0)),"?"))</f>
        <v/>
      </c>
      <c r="M744" s="64">
        <f>IF(tblMovement[[#This Row],[Material]]="","",IF(LEFT(tblMovement[[#This Row],[Material]],3)="Ore",1,0))</f>
        <v/>
      </c>
      <c r="N744" s="59">
        <f>IF(OR(tblMovement[[#This Row],[Tonnes_t]]="",tblMovement[[#This Row],[Grade_gpt]]=""),0,tblMovement[[#This Row],[Tonnes_t]]*tblMovement[[#This Row],[Grade_gpt]]/cfg_TroyOz)</f>
        <v/>
      </c>
      <c r="O744" s="59">
        <f>IF(tblMovement[[#This Row],[Is_Ore]]=1,tblMovement[[#This Row],[Contained_oz]],0)</f>
        <v/>
      </c>
    </row>
    <row r="745">
      <c r="A745" s="54" t="n"/>
      <c r="B745" s="61" t="n"/>
      <c r="C745" s="61" t="n"/>
      <c r="D745" s="61" t="n"/>
      <c r="E745" s="61" t="n"/>
      <c r="F745" s="55" t="n"/>
      <c r="G745" s="56" t="n"/>
      <c r="H745" s="55" t="n"/>
      <c r="I745" s="62" t="n"/>
      <c r="J745" s="58" t="n"/>
      <c r="K745" s="63">
        <f>IF(tblMovement[[#This Row],[Source]]="","",IFERROR(INDEX(tblSources[Type],MATCH(tblMovement[[#This Row],[Source]],tblSources[Source],0)),"?"))</f>
        <v/>
      </c>
      <c r="L745" s="63">
        <f>IF(tblMovement[[#This Row],[Destination]]="","",IFERROR(INDEX(tblDestinations[Type],MATCH(tblMovement[[#This Row],[Destination]],tblDestinations[Destination],0)),"?"))</f>
        <v/>
      </c>
      <c r="M745" s="64">
        <f>IF(tblMovement[[#This Row],[Material]]="","",IF(LEFT(tblMovement[[#This Row],[Material]],3)="Ore",1,0))</f>
        <v/>
      </c>
      <c r="N745" s="59">
        <f>IF(OR(tblMovement[[#This Row],[Tonnes_t]]="",tblMovement[[#This Row],[Grade_gpt]]=""),0,tblMovement[[#This Row],[Tonnes_t]]*tblMovement[[#This Row],[Grade_gpt]]/cfg_TroyOz)</f>
        <v/>
      </c>
      <c r="O745" s="59">
        <f>IF(tblMovement[[#This Row],[Is_Ore]]=1,tblMovement[[#This Row],[Contained_oz]],0)</f>
        <v/>
      </c>
    </row>
    <row r="746">
      <c r="A746" s="54" t="n"/>
      <c r="B746" s="61" t="n"/>
      <c r="C746" s="61" t="n"/>
      <c r="D746" s="61" t="n"/>
      <c r="E746" s="61" t="n"/>
      <c r="F746" s="55" t="n"/>
      <c r="G746" s="56" t="n"/>
      <c r="H746" s="55" t="n"/>
      <c r="I746" s="62" t="n"/>
      <c r="J746" s="58" t="n"/>
      <c r="K746" s="63">
        <f>IF(tblMovement[[#This Row],[Source]]="","",IFERROR(INDEX(tblSources[Type],MATCH(tblMovement[[#This Row],[Source]],tblSources[Source],0)),"?"))</f>
        <v/>
      </c>
      <c r="L746" s="63">
        <f>IF(tblMovement[[#This Row],[Destination]]="","",IFERROR(INDEX(tblDestinations[Type],MATCH(tblMovement[[#This Row],[Destination]],tblDestinations[Destination],0)),"?"))</f>
        <v/>
      </c>
      <c r="M746" s="64">
        <f>IF(tblMovement[[#This Row],[Material]]="","",IF(LEFT(tblMovement[[#This Row],[Material]],3)="Ore",1,0))</f>
        <v/>
      </c>
      <c r="N746" s="59">
        <f>IF(OR(tblMovement[[#This Row],[Tonnes_t]]="",tblMovement[[#This Row],[Grade_gpt]]=""),0,tblMovement[[#This Row],[Tonnes_t]]*tblMovement[[#This Row],[Grade_gpt]]/cfg_TroyOz)</f>
        <v/>
      </c>
      <c r="O746" s="59">
        <f>IF(tblMovement[[#This Row],[Is_Ore]]=1,tblMovement[[#This Row],[Contained_oz]],0)</f>
        <v/>
      </c>
    </row>
    <row r="747">
      <c r="A747" s="54" t="n"/>
      <c r="B747" s="61" t="n"/>
      <c r="C747" s="61" t="n"/>
      <c r="D747" s="61" t="n"/>
      <c r="E747" s="61" t="n"/>
      <c r="F747" s="55" t="n"/>
      <c r="G747" s="56" t="n"/>
      <c r="H747" s="55" t="n"/>
      <c r="I747" s="62" t="n"/>
      <c r="J747" s="58" t="n"/>
      <c r="K747" s="63">
        <f>IF(tblMovement[[#This Row],[Source]]="","",IFERROR(INDEX(tblSources[Type],MATCH(tblMovement[[#This Row],[Source]],tblSources[Source],0)),"?"))</f>
        <v/>
      </c>
      <c r="L747" s="63">
        <f>IF(tblMovement[[#This Row],[Destination]]="","",IFERROR(INDEX(tblDestinations[Type],MATCH(tblMovement[[#This Row],[Destination]],tblDestinations[Destination],0)),"?"))</f>
        <v/>
      </c>
      <c r="M747" s="64">
        <f>IF(tblMovement[[#This Row],[Material]]="","",IF(LEFT(tblMovement[[#This Row],[Material]],3)="Ore",1,0))</f>
        <v/>
      </c>
      <c r="N747" s="59">
        <f>IF(OR(tblMovement[[#This Row],[Tonnes_t]]="",tblMovement[[#This Row],[Grade_gpt]]=""),0,tblMovement[[#This Row],[Tonnes_t]]*tblMovement[[#This Row],[Grade_gpt]]/cfg_TroyOz)</f>
        <v/>
      </c>
      <c r="O747" s="59">
        <f>IF(tblMovement[[#This Row],[Is_Ore]]=1,tblMovement[[#This Row],[Contained_oz]],0)</f>
        <v/>
      </c>
    </row>
    <row r="748">
      <c r="A748" s="54" t="n"/>
      <c r="B748" s="61" t="n"/>
      <c r="C748" s="61" t="n"/>
      <c r="D748" s="61" t="n"/>
      <c r="E748" s="61" t="n"/>
      <c r="F748" s="55" t="n"/>
      <c r="G748" s="56" t="n"/>
      <c r="H748" s="55" t="n"/>
      <c r="I748" s="62" t="n"/>
      <c r="J748" s="58" t="n"/>
      <c r="K748" s="63">
        <f>IF(tblMovement[[#This Row],[Source]]="","",IFERROR(INDEX(tblSources[Type],MATCH(tblMovement[[#This Row],[Source]],tblSources[Source],0)),"?"))</f>
        <v/>
      </c>
      <c r="L748" s="63">
        <f>IF(tblMovement[[#This Row],[Destination]]="","",IFERROR(INDEX(tblDestinations[Type],MATCH(tblMovement[[#This Row],[Destination]],tblDestinations[Destination],0)),"?"))</f>
        <v/>
      </c>
      <c r="M748" s="64">
        <f>IF(tblMovement[[#This Row],[Material]]="","",IF(LEFT(tblMovement[[#This Row],[Material]],3)="Ore",1,0))</f>
        <v/>
      </c>
      <c r="N748" s="59">
        <f>IF(OR(tblMovement[[#This Row],[Tonnes_t]]="",tblMovement[[#This Row],[Grade_gpt]]=""),0,tblMovement[[#This Row],[Tonnes_t]]*tblMovement[[#This Row],[Grade_gpt]]/cfg_TroyOz)</f>
        <v/>
      </c>
      <c r="O748" s="59">
        <f>IF(tblMovement[[#This Row],[Is_Ore]]=1,tblMovement[[#This Row],[Contained_oz]],0)</f>
        <v/>
      </c>
    </row>
    <row r="749">
      <c r="A749" s="54" t="n"/>
      <c r="B749" s="61" t="n"/>
      <c r="C749" s="61" t="n"/>
      <c r="D749" s="61" t="n"/>
      <c r="E749" s="61" t="n"/>
      <c r="F749" s="55" t="n"/>
      <c r="G749" s="56" t="n"/>
      <c r="H749" s="55" t="n"/>
      <c r="I749" s="62" t="n"/>
      <c r="J749" s="58" t="n"/>
      <c r="K749" s="63">
        <f>IF(tblMovement[[#This Row],[Source]]="","",IFERROR(INDEX(tblSources[Type],MATCH(tblMovement[[#This Row],[Source]],tblSources[Source],0)),"?"))</f>
        <v/>
      </c>
      <c r="L749" s="63">
        <f>IF(tblMovement[[#This Row],[Destination]]="","",IFERROR(INDEX(tblDestinations[Type],MATCH(tblMovement[[#This Row],[Destination]],tblDestinations[Destination],0)),"?"))</f>
        <v/>
      </c>
      <c r="M749" s="64">
        <f>IF(tblMovement[[#This Row],[Material]]="","",IF(LEFT(tblMovement[[#This Row],[Material]],3)="Ore",1,0))</f>
        <v/>
      </c>
      <c r="N749" s="59">
        <f>IF(OR(tblMovement[[#This Row],[Tonnes_t]]="",tblMovement[[#This Row],[Grade_gpt]]=""),0,tblMovement[[#This Row],[Tonnes_t]]*tblMovement[[#This Row],[Grade_gpt]]/cfg_TroyOz)</f>
        <v/>
      </c>
      <c r="O749" s="59">
        <f>IF(tblMovement[[#This Row],[Is_Ore]]=1,tblMovement[[#This Row],[Contained_oz]],0)</f>
        <v/>
      </c>
    </row>
    <row r="750">
      <c r="A750" s="54" t="n"/>
      <c r="B750" s="61" t="n"/>
      <c r="C750" s="61" t="n"/>
      <c r="D750" s="61" t="n"/>
      <c r="E750" s="61" t="n"/>
      <c r="F750" s="55" t="n"/>
      <c r="G750" s="56" t="n"/>
      <c r="H750" s="55" t="n"/>
      <c r="I750" s="62" t="n"/>
      <c r="J750" s="58" t="n"/>
      <c r="K750" s="63">
        <f>IF(tblMovement[[#This Row],[Source]]="","",IFERROR(INDEX(tblSources[Type],MATCH(tblMovement[[#This Row],[Source]],tblSources[Source],0)),"?"))</f>
        <v/>
      </c>
      <c r="L750" s="63">
        <f>IF(tblMovement[[#This Row],[Destination]]="","",IFERROR(INDEX(tblDestinations[Type],MATCH(tblMovement[[#This Row],[Destination]],tblDestinations[Destination],0)),"?"))</f>
        <v/>
      </c>
      <c r="M750" s="64">
        <f>IF(tblMovement[[#This Row],[Material]]="","",IF(LEFT(tblMovement[[#This Row],[Material]],3)="Ore",1,0))</f>
        <v/>
      </c>
      <c r="N750" s="59">
        <f>IF(OR(tblMovement[[#This Row],[Tonnes_t]]="",tblMovement[[#This Row],[Grade_gpt]]=""),0,tblMovement[[#This Row],[Tonnes_t]]*tblMovement[[#This Row],[Grade_gpt]]/cfg_TroyOz)</f>
        <v/>
      </c>
      <c r="O750" s="59">
        <f>IF(tblMovement[[#This Row],[Is_Ore]]=1,tblMovement[[#This Row],[Contained_oz]],0)</f>
        <v/>
      </c>
    </row>
    <row r="751">
      <c r="A751" s="54" t="n"/>
      <c r="B751" s="61" t="n"/>
      <c r="C751" s="61" t="n"/>
      <c r="D751" s="61" t="n"/>
      <c r="E751" s="61" t="n"/>
      <c r="F751" s="55" t="n"/>
      <c r="G751" s="56" t="n"/>
      <c r="H751" s="55" t="n"/>
      <c r="I751" s="62" t="n"/>
      <c r="J751" s="58" t="n"/>
      <c r="K751" s="63">
        <f>IF(tblMovement[[#This Row],[Source]]="","",IFERROR(INDEX(tblSources[Type],MATCH(tblMovement[[#This Row],[Source]],tblSources[Source],0)),"?"))</f>
        <v/>
      </c>
      <c r="L751" s="63">
        <f>IF(tblMovement[[#This Row],[Destination]]="","",IFERROR(INDEX(tblDestinations[Type],MATCH(tblMovement[[#This Row],[Destination]],tblDestinations[Destination],0)),"?"))</f>
        <v/>
      </c>
      <c r="M751" s="64">
        <f>IF(tblMovement[[#This Row],[Material]]="","",IF(LEFT(tblMovement[[#This Row],[Material]],3)="Ore",1,0))</f>
        <v/>
      </c>
      <c r="N751" s="59">
        <f>IF(OR(tblMovement[[#This Row],[Tonnes_t]]="",tblMovement[[#This Row],[Grade_gpt]]=""),0,tblMovement[[#This Row],[Tonnes_t]]*tblMovement[[#This Row],[Grade_gpt]]/cfg_TroyOz)</f>
        <v/>
      </c>
      <c r="O751" s="59">
        <f>IF(tblMovement[[#This Row],[Is_Ore]]=1,tblMovement[[#This Row],[Contained_oz]],0)</f>
        <v/>
      </c>
    </row>
    <row r="752">
      <c r="A752" s="54" t="n"/>
      <c r="B752" s="61" t="n"/>
      <c r="C752" s="61" t="n"/>
      <c r="D752" s="61" t="n"/>
      <c r="E752" s="61" t="n"/>
      <c r="F752" s="55" t="n"/>
      <c r="G752" s="56" t="n"/>
      <c r="H752" s="55" t="n"/>
      <c r="I752" s="62" t="n"/>
      <c r="J752" s="58" t="n"/>
      <c r="K752" s="63">
        <f>IF(tblMovement[[#This Row],[Source]]="","",IFERROR(INDEX(tblSources[Type],MATCH(tblMovement[[#This Row],[Source]],tblSources[Source],0)),"?"))</f>
        <v/>
      </c>
      <c r="L752" s="63">
        <f>IF(tblMovement[[#This Row],[Destination]]="","",IFERROR(INDEX(tblDestinations[Type],MATCH(tblMovement[[#This Row],[Destination]],tblDestinations[Destination],0)),"?"))</f>
        <v/>
      </c>
      <c r="M752" s="64">
        <f>IF(tblMovement[[#This Row],[Material]]="","",IF(LEFT(tblMovement[[#This Row],[Material]],3)="Ore",1,0))</f>
        <v/>
      </c>
      <c r="N752" s="59">
        <f>IF(OR(tblMovement[[#This Row],[Tonnes_t]]="",tblMovement[[#This Row],[Grade_gpt]]=""),0,tblMovement[[#This Row],[Tonnes_t]]*tblMovement[[#This Row],[Grade_gpt]]/cfg_TroyOz)</f>
        <v/>
      </c>
      <c r="O752" s="59">
        <f>IF(tblMovement[[#This Row],[Is_Ore]]=1,tblMovement[[#This Row],[Contained_oz]],0)</f>
        <v/>
      </c>
    </row>
    <row r="753">
      <c r="A753" s="54" t="n"/>
      <c r="B753" s="61" t="n"/>
      <c r="C753" s="61" t="n"/>
      <c r="D753" s="61" t="n"/>
      <c r="E753" s="61" t="n"/>
      <c r="F753" s="55" t="n"/>
      <c r="G753" s="56" t="n"/>
      <c r="H753" s="55" t="n"/>
      <c r="I753" s="62" t="n"/>
      <c r="J753" s="58" t="n"/>
      <c r="K753" s="63">
        <f>IF(tblMovement[[#This Row],[Source]]="","",IFERROR(INDEX(tblSources[Type],MATCH(tblMovement[[#This Row],[Source]],tblSources[Source],0)),"?"))</f>
        <v/>
      </c>
      <c r="L753" s="63">
        <f>IF(tblMovement[[#This Row],[Destination]]="","",IFERROR(INDEX(tblDestinations[Type],MATCH(tblMovement[[#This Row],[Destination]],tblDestinations[Destination],0)),"?"))</f>
        <v/>
      </c>
      <c r="M753" s="64">
        <f>IF(tblMovement[[#This Row],[Material]]="","",IF(LEFT(tblMovement[[#This Row],[Material]],3)="Ore",1,0))</f>
        <v/>
      </c>
      <c r="N753" s="59">
        <f>IF(OR(tblMovement[[#This Row],[Tonnes_t]]="",tblMovement[[#This Row],[Grade_gpt]]=""),0,tblMovement[[#This Row],[Tonnes_t]]*tblMovement[[#This Row],[Grade_gpt]]/cfg_TroyOz)</f>
        <v/>
      </c>
      <c r="O753" s="59">
        <f>IF(tblMovement[[#This Row],[Is_Ore]]=1,tblMovement[[#This Row],[Contained_oz]],0)</f>
        <v/>
      </c>
    </row>
    <row r="754">
      <c r="A754" s="54" t="n"/>
      <c r="B754" s="61" t="n"/>
      <c r="C754" s="61" t="n"/>
      <c r="D754" s="61" t="n"/>
      <c r="E754" s="61" t="n"/>
      <c r="F754" s="55" t="n"/>
      <c r="G754" s="56" t="n"/>
      <c r="H754" s="55" t="n"/>
      <c r="I754" s="62" t="n"/>
      <c r="J754" s="58" t="n"/>
      <c r="K754" s="63">
        <f>IF(tblMovement[[#This Row],[Source]]="","",IFERROR(INDEX(tblSources[Type],MATCH(tblMovement[[#This Row],[Source]],tblSources[Source],0)),"?"))</f>
        <v/>
      </c>
      <c r="L754" s="63">
        <f>IF(tblMovement[[#This Row],[Destination]]="","",IFERROR(INDEX(tblDestinations[Type],MATCH(tblMovement[[#This Row],[Destination]],tblDestinations[Destination],0)),"?"))</f>
        <v/>
      </c>
      <c r="M754" s="64">
        <f>IF(tblMovement[[#This Row],[Material]]="","",IF(LEFT(tblMovement[[#This Row],[Material]],3)="Ore",1,0))</f>
        <v/>
      </c>
      <c r="N754" s="59">
        <f>IF(OR(tblMovement[[#This Row],[Tonnes_t]]="",tblMovement[[#This Row],[Grade_gpt]]=""),0,tblMovement[[#This Row],[Tonnes_t]]*tblMovement[[#This Row],[Grade_gpt]]/cfg_TroyOz)</f>
        <v/>
      </c>
      <c r="O754" s="59">
        <f>IF(tblMovement[[#This Row],[Is_Ore]]=1,tblMovement[[#This Row],[Contained_oz]],0)</f>
        <v/>
      </c>
    </row>
    <row r="755">
      <c r="A755" s="54" t="n"/>
      <c r="B755" s="61" t="n"/>
      <c r="C755" s="61" t="n"/>
      <c r="D755" s="61" t="n"/>
      <c r="E755" s="61" t="n"/>
      <c r="F755" s="55" t="n"/>
      <c r="G755" s="56" t="n"/>
      <c r="H755" s="55" t="n"/>
      <c r="I755" s="62" t="n"/>
      <c r="J755" s="58" t="n"/>
      <c r="K755" s="63">
        <f>IF(tblMovement[[#This Row],[Source]]="","",IFERROR(INDEX(tblSources[Type],MATCH(tblMovement[[#This Row],[Source]],tblSources[Source],0)),"?"))</f>
        <v/>
      </c>
      <c r="L755" s="63">
        <f>IF(tblMovement[[#This Row],[Destination]]="","",IFERROR(INDEX(tblDestinations[Type],MATCH(tblMovement[[#This Row],[Destination]],tblDestinations[Destination],0)),"?"))</f>
        <v/>
      </c>
      <c r="M755" s="64">
        <f>IF(tblMovement[[#This Row],[Material]]="","",IF(LEFT(tblMovement[[#This Row],[Material]],3)="Ore",1,0))</f>
        <v/>
      </c>
      <c r="N755" s="59">
        <f>IF(OR(tblMovement[[#This Row],[Tonnes_t]]="",tblMovement[[#This Row],[Grade_gpt]]=""),0,tblMovement[[#This Row],[Tonnes_t]]*tblMovement[[#This Row],[Grade_gpt]]/cfg_TroyOz)</f>
        <v/>
      </c>
      <c r="O755" s="59">
        <f>IF(tblMovement[[#This Row],[Is_Ore]]=1,tblMovement[[#This Row],[Contained_oz]],0)</f>
        <v/>
      </c>
    </row>
    <row r="756">
      <c r="A756" s="54" t="n"/>
      <c r="B756" s="61" t="n"/>
      <c r="C756" s="61" t="n"/>
      <c r="D756" s="61" t="n"/>
      <c r="E756" s="61" t="n"/>
      <c r="F756" s="55" t="n"/>
      <c r="G756" s="56" t="n"/>
      <c r="H756" s="55" t="n"/>
      <c r="I756" s="62" t="n"/>
      <c r="J756" s="58" t="n"/>
      <c r="K756" s="63">
        <f>IF(tblMovement[[#This Row],[Source]]="","",IFERROR(INDEX(tblSources[Type],MATCH(tblMovement[[#This Row],[Source]],tblSources[Source],0)),"?"))</f>
        <v/>
      </c>
      <c r="L756" s="63">
        <f>IF(tblMovement[[#This Row],[Destination]]="","",IFERROR(INDEX(tblDestinations[Type],MATCH(tblMovement[[#This Row],[Destination]],tblDestinations[Destination],0)),"?"))</f>
        <v/>
      </c>
      <c r="M756" s="64">
        <f>IF(tblMovement[[#This Row],[Material]]="","",IF(LEFT(tblMovement[[#This Row],[Material]],3)="Ore",1,0))</f>
        <v/>
      </c>
      <c r="N756" s="59">
        <f>IF(OR(tblMovement[[#This Row],[Tonnes_t]]="",tblMovement[[#This Row],[Grade_gpt]]=""),0,tblMovement[[#This Row],[Tonnes_t]]*tblMovement[[#This Row],[Grade_gpt]]/cfg_TroyOz)</f>
        <v/>
      </c>
      <c r="O756" s="59">
        <f>IF(tblMovement[[#This Row],[Is_Ore]]=1,tblMovement[[#This Row],[Contained_oz]],0)</f>
        <v/>
      </c>
    </row>
    <row r="757">
      <c r="A757" s="54" t="n"/>
      <c r="B757" s="61" t="n"/>
      <c r="C757" s="61" t="n"/>
      <c r="D757" s="61" t="n"/>
      <c r="E757" s="61" t="n"/>
      <c r="F757" s="55" t="n"/>
      <c r="G757" s="56" t="n"/>
      <c r="H757" s="55" t="n"/>
      <c r="I757" s="62" t="n"/>
      <c r="J757" s="58" t="n"/>
      <c r="K757" s="63">
        <f>IF(tblMovement[[#This Row],[Source]]="","",IFERROR(INDEX(tblSources[Type],MATCH(tblMovement[[#This Row],[Source]],tblSources[Source],0)),"?"))</f>
        <v/>
      </c>
      <c r="L757" s="63">
        <f>IF(tblMovement[[#This Row],[Destination]]="","",IFERROR(INDEX(tblDestinations[Type],MATCH(tblMovement[[#This Row],[Destination]],tblDestinations[Destination],0)),"?"))</f>
        <v/>
      </c>
      <c r="M757" s="64">
        <f>IF(tblMovement[[#This Row],[Material]]="","",IF(LEFT(tblMovement[[#This Row],[Material]],3)="Ore",1,0))</f>
        <v/>
      </c>
      <c r="N757" s="59">
        <f>IF(OR(tblMovement[[#This Row],[Tonnes_t]]="",tblMovement[[#This Row],[Grade_gpt]]=""),0,tblMovement[[#This Row],[Tonnes_t]]*tblMovement[[#This Row],[Grade_gpt]]/cfg_TroyOz)</f>
        <v/>
      </c>
      <c r="O757" s="59">
        <f>IF(tblMovement[[#This Row],[Is_Ore]]=1,tblMovement[[#This Row],[Contained_oz]],0)</f>
        <v/>
      </c>
    </row>
    <row r="758">
      <c r="A758" s="54" t="n"/>
      <c r="B758" s="61" t="n"/>
      <c r="C758" s="61" t="n"/>
      <c r="D758" s="61" t="n"/>
      <c r="E758" s="61" t="n"/>
      <c r="F758" s="55" t="n"/>
      <c r="G758" s="56" t="n"/>
      <c r="H758" s="55" t="n"/>
      <c r="I758" s="62" t="n"/>
      <c r="J758" s="58" t="n"/>
      <c r="K758" s="63">
        <f>IF(tblMovement[[#This Row],[Source]]="","",IFERROR(INDEX(tblSources[Type],MATCH(tblMovement[[#This Row],[Source]],tblSources[Source],0)),"?"))</f>
        <v/>
      </c>
      <c r="L758" s="63">
        <f>IF(tblMovement[[#This Row],[Destination]]="","",IFERROR(INDEX(tblDestinations[Type],MATCH(tblMovement[[#This Row],[Destination]],tblDestinations[Destination],0)),"?"))</f>
        <v/>
      </c>
      <c r="M758" s="64">
        <f>IF(tblMovement[[#This Row],[Material]]="","",IF(LEFT(tblMovement[[#This Row],[Material]],3)="Ore",1,0))</f>
        <v/>
      </c>
      <c r="N758" s="59">
        <f>IF(OR(tblMovement[[#This Row],[Tonnes_t]]="",tblMovement[[#This Row],[Grade_gpt]]=""),0,tblMovement[[#This Row],[Tonnes_t]]*tblMovement[[#This Row],[Grade_gpt]]/cfg_TroyOz)</f>
        <v/>
      </c>
      <c r="O758" s="59">
        <f>IF(tblMovement[[#This Row],[Is_Ore]]=1,tblMovement[[#This Row],[Contained_oz]],0)</f>
        <v/>
      </c>
    </row>
    <row r="759">
      <c r="A759" s="54" t="n"/>
      <c r="B759" s="61" t="n"/>
      <c r="C759" s="61" t="n"/>
      <c r="D759" s="61" t="n"/>
      <c r="E759" s="61" t="n"/>
      <c r="F759" s="55" t="n"/>
      <c r="G759" s="56" t="n"/>
      <c r="H759" s="55" t="n"/>
      <c r="I759" s="62" t="n"/>
      <c r="J759" s="58" t="n"/>
      <c r="K759" s="63">
        <f>IF(tblMovement[[#This Row],[Source]]="","",IFERROR(INDEX(tblSources[Type],MATCH(tblMovement[[#This Row],[Source]],tblSources[Source],0)),"?"))</f>
        <v/>
      </c>
      <c r="L759" s="63">
        <f>IF(tblMovement[[#This Row],[Destination]]="","",IFERROR(INDEX(tblDestinations[Type],MATCH(tblMovement[[#This Row],[Destination]],tblDestinations[Destination],0)),"?"))</f>
        <v/>
      </c>
      <c r="M759" s="64">
        <f>IF(tblMovement[[#This Row],[Material]]="","",IF(LEFT(tblMovement[[#This Row],[Material]],3)="Ore",1,0))</f>
        <v/>
      </c>
      <c r="N759" s="59">
        <f>IF(OR(tblMovement[[#This Row],[Tonnes_t]]="",tblMovement[[#This Row],[Grade_gpt]]=""),0,tblMovement[[#This Row],[Tonnes_t]]*tblMovement[[#This Row],[Grade_gpt]]/cfg_TroyOz)</f>
        <v/>
      </c>
      <c r="O759" s="59">
        <f>IF(tblMovement[[#This Row],[Is_Ore]]=1,tblMovement[[#This Row],[Contained_oz]],0)</f>
        <v/>
      </c>
    </row>
    <row r="760">
      <c r="A760" s="54" t="n"/>
      <c r="B760" s="61" t="n"/>
      <c r="C760" s="61" t="n"/>
      <c r="D760" s="61" t="n"/>
      <c r="E760" s="61" t="n"/>
      <c r="F760" s="55" t="n"/>
      <c r="G760" s="56" t="n"/>
      <c r="H760" s="55" t="n"/>
      <c r="I760" s="62" t="n"/>
      <c r="J760" s="58" t="n"/>
      <c r="K760" s="63">
        <f>IF(tblMovement[[#This Row],[Source]]="","",IFERROR(INDEX(tblSources[Type],MATCH(tblMovement[[#This Row],[Source]],tblSources[Source],0)),"?"))</f>
        <v/>
      </c>
      <c r="L760" s="63">
        <f>IF(tblMovement[[#This Row],[Destination]]="","",IFERROR(INDEX(tblDestinations[Type],MATCH(tblMovement[[#This Row],[Destination]],tblDestinations[Destination],0)),"?"))</f>
        <v/>
      </c>
      <c r="M760" s="64">
        <f>IF(tblMovement[[#This Row],[Material]]="","",IF(LEFT(tblMovement[[#This Row],[Material]],3)="Ore",1,0))</f>
        <v/>
      </c>
      <c r="N760" s="59">
        <f>IF(OR(tblMovement[[#This Row],[Tonnes_t]]="",tblMovement[[#This Row],[Grade_gpt]]=""),0,tblMovement[[#This Row],[Tonnes_t]]*tblMovement[[#This Row],[Grade_gpt]]/cfg_TroyOz)</f>
        <v/>
      </c>
      <c r="O760" s="59">
        <f>IF(tblMovement[[#This Row],[Is_Ore]]=1,tblMovement[[#This Row],[Contained_oz]],0)</f>
        <v/>
      </c>
    </row>
    <row r="761">
      <c r="A761" s="54" t="n"/>
      <c r="B761" s="61" t="n"/>
      <c r="C761" s="61" t="n"/>
      <c r="D761" s="61" t="n"/>
      <c r="E761" s="61" t="n"/>
      <c r="F761" s="55" t="n"/>
      <c r="G761" s="56" t="n"/>
      <c r="H761" s="55" t="n"/>
      <c r="I761" s="62" t="n"/>
      <c r="J761" s="58" t="n"/>
      <c r="K761" s="63">
        <f>IF(tblMovement[[#This Row],[Source]]="","",IFERROR(INDEX(tblSources[Type],MATCH(tblMovement[[#This Row],[Source]],tblSources[Source],0)),"?"))</f>
        <v/>
      </c>
      <c r="L761" s="63">
        <f>IF(tblMovement[[#This Row],[Destination]]="","",IFERROR(INDEX(tblDestinations[Type],MATCH(tblMovement[[#This Row],[Destination]],tblDestinations[Destination],0)),"?"))</f>
        <v/>
      </c>
      <c r="M761" s="64">
        <f>IF(tblMovement[[#This Row],[Material]]="","",IF(LEFT(tblMovement[[#This Row],[Material]],3)="Ore",1,0))</f>
        <v/>
      </c>
      <c r="N761" s="59">
        <f>IF(OR(tblMovement[[#This Row],[Tonnes_t]]="",tblMovement[[#This Row],[Grade_gpt]]=""),0,tblMovement[[#This Row],[Tonnes_t]]*tblMovement[[#This Row],[Grade_gpt]]/cfg_TroyOz)</f>
        <v/>
      </c>
      <c r="O761" s="59">
        <f>IF(tblMovement[[#This Row],[Is_Ore]]=1,tblMovement[[#This Row],[Contained_oz]],0)</f>
        <v/>
      </c>
    </row>
    <row r="762">
      <c r="A762" s="54" t="n"/>
      <c r="B762" s="61" t="n"/>
      <c r="C762" s="61" t="n"/>
      <c r="D762" s="61" t="n"/>
      <c r="E762" s="61" t="n"/>
      <c r="F762" s="55" t="n"/>
      <c r="G762" s="56" t="n"/>
      <c r="H762" s="55" t="n"/>
      <c r="I762" s="62" t="n"/>
      <c r="J762" s="58" t="n"/>
      <c r="K762" s="63">
        <f>IF(tblMovement[[#This Row],[Source]]="","",IFERROR(INDEX(tblSources[Type],MATCH(tblMovement[[#This Row],[Source]],tblSources[Source],0)),"?"))</f>
        <v/>
      </c>
      <c r="L762" s="63">
        <f>IF(tblMovement[[#This Row],[Destination]]="","",IFERROR(INDEX(tblDestinations[Type],MATCH(tblMovement[[#This Row],[Destination]],tblDestinations[Destination],0)),"?"))</f>
        <v/>
      </c>
      <c r="M762" s="64">
        <f>IF(tblMovement[[#This Row],[Material]]="","",IF(LEFT(tblMovement[[#This Row],[Material]],3)="Ore",1,0))</f>
        <v/>
      </c>
      <c r="N762" s="59">
        <f>IF(OR(tblMovement[[#This Row],[Tonnes_t]]="",tblMovement[[#This Row],[Grade_gpt]]=""),0,tblMovement[[#This Row],[Tonnes_t]]*tblMovement[[#This Row],[Grade_gpt]]/cfg_TroyOz)</f>
        <v/>
      </c>
      <c r="O762" s="59">
        <f>IF(tblMovement[[#This Row],[Is_Ore]]=1,tblMovement[[#This Row],[Contained_oz]],0)</f>
        <v/>
      </c>
    </row>
    <row r="763">
      <c r="A763" s="54" t="n"/>
      <c r="B763" s="61" t="n"/>
      <c r="C763" s="61" t="n"/>
      <c r="D763" s="61" t="n"/>
      <c r="E763" s="61" t="n"/>
      <c r="F763" s="55" t="n"/>
      <c r="G763" s="56" t="n"/>
      <c r="H763" s="55" t="n"/>
      <c r="I763" s="62" t="n"/>
      <c r="J763" s="58" t="n"/>
      <c r="K763" s="63">
        <f>IF(tblMovement[[#This Row],[Source]]="","",IFERROR(INDEX(tblSources[Type],MATCH(tblMovement[[#This Row],[Source]],tblSources[Source],0)),"?"))</f>
        <v/>
      </c>
      <c r="L763" s="63">
        <f>IF(tblMovement[[#This Row],[Destination]]="","",IFERROR(INDEX(tblDestinations[Type],MATCH(tblMovement[[#This Row],[Destination]],tblDestinations[Destination],0)),"?"))</f>
        <v/>
      </c>
      <c r="M763" s="64">
        <f>IF(tblMovement[[#This Row],[Material]]="","",IF(LEFT(tblMovement[[#This Row],[Material]],3)="Ore",1,0))</f>
        <v/>
      </c>
      <c r="N763" s="59">
        <f>IF(OR(tblMovement[[#This Row],[Tonnes_t]]="",tblMovement[[#This Row],[Grade_gpt]]=""),0,tblMovement[[#This Row],[Tonnes_t]]*tblMovement[[#This Row],[Grade_gpt]]/cfg_TroyOz)</f>
        <v/>
      </c>
      <c r="O763" s="59">
        <f>IF(tblMovement[[#This Row],[Is_Ore]]=1,tblMovement[[#This Row],[Contained_oz]],0)</f>
        <v/>
      </c>
    </row>
    <row r="764">
      <c r="A764" s="54" t="n"/>
      <c r="B764" s="61" t="n"/>
      <c r="C764" s="61" t="n"/>
      <c r="D764" s="61" t="n"/>
      <c r="E764" s="61" t="n"/>
      <c r="F764" s="55" t="n"/>
      <c r="G764" s="56" t="n"/>
      <c r="H764" s="55" t="n"/>
      <c r="I764" s="62" t="n"/>
      <c r="J764" s="58" t="n"/>
      <c r="K764" s="63">
        <f>IF(tblMovement[[#This Row],[Source]]="","",IFERROR(INDEX(tblSources[Type],MATCH(tblMovement[[#This Row],[Source]],tblSources[Source],0)),"?"))</f>
        <v/>
      </c>
      <c r="L764" s="63">
        <f>IF(tblMovement[[#This Row],[Destination]]="","",IFERROR(INDEX(tblDestinations[Type],MATCH(tblMovement[[#This Row],[Destination]],tblDestinations[Destination],0)),"?"))</f>
        <v/>
      </c>
      <c r="M764" s="64">
        <f>IF(tblMovement[[#This Row],[Material]]="","",IF(LEFT(tblMovement[[#This Row],[Material]],3)="Ore",1,0))</f>
        <v/>
      </c>
      <c r="N764" s="59">
        <f>IF(OR(tblMovement[[#This Row],[Tonnes_t]]="",tblMovement[[#This Row],[Grade_gpt]]=""),0,tblMovement[[#This Row],[Tonnes_t]]*tblMovement[[#This Row],[Grade_gpt]]/cfg_TroyOz)</f>
        <v/>
      </c>
      <c r="O764" s="59">
        <f>IF(tblMovement[[#This Row],[Is_Ore]]=1,tblMovement[[#This Row],[Contained_oz]],0)</f>
        <v/>
      </c>
    </row>
    <row r="765">
      <c r="A765" s="54" t="n"/>
      <c r="B765" s="61" t="n"/>
      <c r="C765" s="61" t="n"/>
      <c r="D765" s="61" t="n"/>
      <c r="E765" s="61" t="n"/>
      <c r="F765" s="55" t="n"/>
      <c r="G765" s="56" t="n"/>
      <c r="H765" s="55" t="n"/>
      <c r="I765" s="62" t="n"/>
      <c r="J765" s="58" t="n"/>
      <c r="K765" s="63">
        <f>IF(tblMovement[[#This Row],[Source]]="","",IFERROR(INDEX(tblSources[Type],MATCH(tblMovement[[#This Row],[Source]],tblSources[Source],0)),"?"))</f>
        <v/>
      </c>
      <c r="L765" s="63">
        <f>IF(tblMovement[[#This Row],[Destination]]="","",IFERROR(INDEX(tblDestinations[Type],MATCH(tblMovement[[#This Row],[Destination]],tblDestinations[Destination],0)),"?"))</f>
        <v/>
      </c>
      <c r="M765" s="64">
        <f>IF(tblMovement[[#This Row],[Material]]="","",IF(LEFT(tblMovement[[#This Row],[Material]],3)="Ore",1,0))</f>
        <v/>
      </c>
      <c r="N765" s="59">
        <f>IF(OR(tblMovement[[#This Row],[Tonnes_t]]="",tblMovement[[#This Row],[Grade_gpt]]=""),0,tblMovement[[#This Row],[Tonnes_t]]*tblMovement[[#This Row],[Grade_gpt]]/cfg_TroyOz)</f>
        <v/>
      </c>
      <c r="O765" s="59">
        <f>IF(tblMovement[[#This Row],[Is_Ore]]=1,tblMovement[[#This Row],[Contained_oz]],0)</f>
        <v/>
      </c>
    </row>
    <row r="766">
      <c r="A766" s="54" t="n"/>
      <c r="B766" s="61" t="n"/>
      <c r="C766" s="61" t="n"/>
      <c r="D766" s="61" t="n"/>
      <c r="E766" s="61" t="n"/>
      <c r="F766" s="55" t="n"/>
      <c r="G766" s="56" t="n"/>
      <c r="H766" s="55" t="n"/>
      <c r="I766" s="62" t="n"/>
      <c r="J766" s="58" t="n"/>
      <c r="K766" s="63">
        <f>IF(tblMovement[[#This Row],[Source]]="","",IFERROR(INDEX(tblSources[Type],MATCH(tblMovement[[#This Row],[Source]],tblSources[Source],0)),"?"))</f>
        <v/>
      </c>
      <c r="L766" s="63">
        <f>IF(tblMovement[[#This Row],[Destination]]="","",IFERROR(INDEX(tblDestinations[Type],MATCH(tblMovement[[#This Row],[Destination]],tblDestinations[Destination],0)),"?"))</f>
        <v/>
      </c>
      <c r="M766" s="64">
        <f>IF(tblMovement[[#This Row],[Material]]="","",IF(LEFT(tblMovement[[#This Row],[Material]],3)="Ore",1,0))</f>
        <v/>
      </c>
      <c r="N766" s="59">
        <f>IF(OR(tblMovement[[#This Row],[Tonnes_t]]="",tblMovement[[#This Row],[Grade_gpt]]=""),0,tblMovement[[#This Row],[Tonnes_t]]*tblMovement[[#This Row],[Grade_gpt]]/cfg_TroyOz)</f>
        <v/>
      </c>
      <c r="O766" s="59">
        <f>IF(tblMovement[[#This Row],[Is_Ore]]=1,tblMovement[[#This Row],[Contained_oz]],0)</f>
        <v/>
      </c>
    </row>
    <row r="767">
      <c r="A767" s="54" t="n"/>
      <c r="B767" s="61" t="n"/>
      <c r="C767" s="61" t="n"/>
      <c r="D767" s="61" t="n"/>
      <c r="E767" s="61" t="n"/>
      <c r="F767" s="55" t="n"/>
      <c r="G767" s="56" t="n"/>
      <c r="H767" s="55" t="n"/>
      <c r="I767" s="62" t="n"/>
      <c r="J767" s="58" t="n"/>
      <c r="K767" s="63">
        <f>IF(tblMovement[[#This Row],[Source]]="","",IFERROR(INDEX(tblSources[Type],MATCH(tblMovement[[#This Row],[Source]],tblSources[Source],0)),"?"))</f>
        <v/>
      </c>
      <c r="L767" s="63">
        <f>IF(tblMovement[[#This Row],[Destination]]="","",IFERROR(INDEX(tblDestinations[Type],MATCH(tblMovement[[#This Row],[Destination]],tblDestinations[Destination],0)),"?"))</f>
        <v/>
      </c>
      <c r="M767" s="64">
        <f>IF(tblMovement[[#This Row],[Material]]="","",IF(LEFT(tblMovement[[#This Row],[Material]],3)="Ore",1,0))</f>
        <v/>
      </c>
      <c r="N767" s="59">
        <f>IF(OR(tblMovement[[#This Row],[Tonnes_t]]="",tblMovement[[#This Row],[Grade_gpt]]=""),0,tblMovement[[#This Row],[Tonnes_t]]*tblMovement[[#This Row],[Grade_gpt]]/cfg_TroyOz)</f>
        <v/>
      </c>
      <c r="O767" s="59">
        <f>IF(tblMovement[[#This Row],[Is_Ore]]=1,tblMovement[[#This Row],[Contained_oz]],0)</f>
        <v/>
      </c>
    </row>
    <row r="768">
      <c r="A768" s="54" t="n"/>
      <c r="B768" s="61" t="n"/>
      <c r="C768" s="61" t="n"/>
      <c r="D768" s="61" t="n"/>
      <c r="E768" s="61" t="n"/>
      <c r="F768" s="55" t="n"/>
      <c r="G768" s="56" t="n"/>
      <c r="H768" s="55" t="n"/>
      <c r="I768" s="62" t="n"/>
      <c r="J768" s="58" t="n"/>
      <c r="K768" s="63">
        <f>IF(tblMovement[[#This Row],[Source]]="","",IFERROR(INDEX(tblSources[Type],MATCH(tblMovement[[#This Row],[Source]],tblSources[Source],0)),"?"))</f>
        <v/>
      </c>
      <c r="L768" s="63">
        <f>IF(tblMovement[[#This Row],[Destination]]="","",IFERROR(INDEX(tblDestinations[Type],MATCH(tblMovement[[#This Row],[Destination]],tblDestinations[Destination],0)),"?"))</f>
        <v/>
      </c>
      <c r="M768" s="64">
        <f>IF(tblMovement[[#This Row],[Material]]="","",IF(LEFT(tblMovement[[#This Row],[Material]],3)="Ore",1,0))</f>
        <v/>
      </c>
      <c r="N768" s="59">
        <f>IF(OR(tblMovement[[#This Row],[Tonnes_t]]="",tblMovement[[#This Row],[Grade_gpt]]=""),0,tblMovement[[#This Row],[Tonnes_t]]*tblMovement[[#This Row],[Grade_gpt]]/cfg_TroyOz)</f>
        <v/>
      </c>
      <c r="O768" s="59">
        <f>IF(tblMovement[[#This Row],[Is_Ore]]=1,tblMovement[[#This Row],[Contained_oz]],0)</f>
        <v/>
      </c>
    </row>
    <row r="769">
      <c r="A769" s="54" t="n"/>
      <c r="B769" s="61" t="n"/>
      <c r="C769" s="61" t="n"/>
      <c r="D769" s="61" t="n"/>
      <c r="E769" s="61" t="n"/>
      <c r="F769" s="55" t="n"/>
      <c r="G769" s="56" t="n"/>
      <c r="H769" s="55" t="n"/>
      <c r="I769" s="62" t="n"/>
      <c r="J769" s="58" t="n"/>
      <c r="K769" s="63">
        <f>IF(tblMovement[[#This Row],[Source]]="","",IFERROR(INDEX(tblSources[Type],MATCH(tblMovement[[#This Row],[Source]],tblSources[Source],0)),"?"))</f>
        <v/>
      </c>
      <c r="L769" s="63">
        <f>IF(tblMovement[[#This Row],[Destination]]="","",IFERROR(INDEX(tblDestinations[Type],MATCH(tblMovement[[#This Row],[Destination]],tblDestinations[Destination],0)),"?"))</f>
        <v/>
      </c>
      <c r="M769" s="64">
        <f>IF(tblMovement[[#This Row],[Material]]="","",IF(LEFT(tblMovement[[#This Row],[Material]],3)="Ore",1,0))</f>
        <v/>
      </c>
      <c r="N769" s="59">
        <f>IF(OR(tblMovement[[#This Row],[Tonnes_t]]="",tblMovement[[#This Row],[Grade_gpt]]=""),0,tblMovement[[#This Row],[Tonnes_t]]*tblMovement[[#This Row],[Grade_gpt]]/cfg_TroyOz)</f>
        <v/>
      </c>
      <c r="O769" s="59">
        <f>IF(tblMovement[[#This Row],[Is_Ore]]=1,tblMovement[[#This Row],[Contained_oz]],0)</f>
        <v/>
      </c>
    </row>
    <row r="770">
      <c r="A770" s="54" t="n"/>
      <c r="B770" s="61" t="n"/>
      <c r="C770" s="61" t="n"/>
      <c r="D770" s="61" t="n"/>
      <c r="E770" s="61" t="n"/>
      <c r="F770" s="55" t="n"/>
      <c r="G770" s="56" t="n"/>
      <c r="H770" s="55" t="n"/>
      <c r="I770" s="62" t="n"/>
      <c r="J770" s="58" t="n"/>
      <c r="K770" s="63">
        <f>IF(tblMovement[[#This Row],[Source]]="","",IFERROR(INDEX(tblSources[Type],MATCH(tblMovement[[#This Row],[Source]],tblSources[Source],0)),"?"))</f>
        <v/>
      </c>
      <c r="L770" s="63">
        <f>IF(tblMovement[[#This Row],[Destination]]="","",IFERROR(INDEX(tblDestinations[Type],MATCH(tblMovement[[#This Row],[Destination]],tblDestinations[Destination],0)),"?"))</f>
        <v/>
      </c>
      <c r="M770" s="64">
        <f>IF(tblMovement[[#This Row],[Material]]="","",IF(LEFT(tblMovement[[#This Row],[Material]],3)="Ore",1,0))</f>
        <v/>
      </c>
      <c r="N770" s="59">
        <f>IF(OR(tblMovement[[#This Row],[Tonnes_t]]="",tblMovement[[#This Row],[Grade_gpt]]=""),0,tblMovement[[#This Row],[Tonnes_t]]*tblMovement[[#This Row],[Grade_gpt]]/cfg_TroyOz)</f>
        <v/>
      </c>
      <c r="O770" s="59">
        <f>IF(tblMovement[[#This Row],[Is_Ore]]=1,tblMovement[[#This Row],[Contained_oz]],0)</f>
        <v/>
      </c>
    </row>
    <row r="771">
      <c r="A771" s="54" t="n"/>
      <c r="B771" s="61" t="n"/>
      <c r="C771" s="61" t="n"/>
      <c r="D771" s="61" t="n"/>
      <c r="E771" s="61" t="n"/>
      <c r="F771" s="55" t="n"/>
      <c r="G771" s="56" t="n"/>
      <c r="H771" s="55" t="n"/>
      <c r="I771" s="62" t="n"/>
      <c r="J771" s="58" t="n"/>
      <c r="K771" s="63">
        <f>IF(tblMovement[[#This Row],[Source]]="","",IFERROR(INDEX(tblSources[Type],MATCH(tblMovement[[#This Row],[Source]],tblSources[Source],0)),"?"))</f>
        <v/>
      </c>
      <c r="L771" s="63">
        <f>IF(tblMovement[[#This Row],[Destination]]="","",IFERROR(INDEX(tblDestinations[Type],MATCH(tblMovement[[#This Row],[Destination]],tblDestinations[Destination],0)),"?"))</f>
        <v/>
      </c>
      <c r="M771" s="64">
        <f>IF(tblMovement[[#This Row],[Material]]="","",IF(LEFT(tblMovement[[#This Row],[Material]],3)="Ore",1,0))</f>
        <v/>
      </c>
      <c r="N771" s="59">
        <f>IF(OR(tblMovement[[#This Row],[Tonnes_t]]="",tblMovement[[#This Row],[Grade_gpt]]=""),0,tblMovement[[#This Row],[Tonnes_t]]*tblMovement[[#This Row],[Grade_gpt]]/cfg_TroyOz)</f>
        <v/>
      </c>
      <c r="O771" s="59">
        <f>IF(tblMovement[[#This Row],[Is_Ore]]=1,tblMovement[[#This Row],[Contained_oz]],0)</f>
        <v/>
      </c>
    </row>
    <row r="772">
      <c r="A772" s="54" t="n"/>
      <c r="B772" s="61" t="n"/>
      <c r="C772" s="61" t="n"/>
      <c r="D772" s="61" t="n"/>
      <c r="E772" s="61" t="n"/>
      <c r="F772" s="55" t="n"/>
      <c r="G772" s="56" t="n"/>
      <c r="H772" s="55" t="n"/>
      <c r="I772" s="62" t="n"/>
      <c r="J772" s="58" t="n"/>
      <c r="K772" s="63">
        <f>IF(tblMovement[[#This Row],[Source]]="","",IFERROR(INDEX(tblSources[Type],MATCH(tblMovement[[#This Row],[Source]],tblSources[Source],0)),"?"))</f>
        <v/>
      </c>
      <c r="L772" s="63">
        <f>IF(tblMovement[[#This Row],[Destination]]="","",IFERROR(INDEX(tblDestinations[Type],MATCH(tblMovement[[#This Row],[Destination]],tblDestinations[Destination],0)),"?"))</f>
        <v/>
      </c>
      <c r="M772" s="64">
        <f>IF(tblMovement[[#This Row],[Material]]="","",IF(LEFT(tblMovement[[#This Row],[Material]],3)="Ore",1,0))</f>
        <v/>
      </c>
      <c r="N772" s="59">
        <f>IF(OR(tblMovement[[#This Row],[Tonnes_t]]="",tblMovement[[#This Row],[Grade_gpt]]=""),0,tblMovement[[#This Row],[Tonnes_t]]*tblMovement[[#This Row],[Grade_gpt]]/cfg_TroyOz)</f>
        <v/>
      </c>
      <c r="O772" s="59">
        <f>IF(tblMovement[[#This Row],[Is_Ore]]=1,tblMovement[[#This Row],[Contained_oz]],0)</f>
        <v/>
      </c>
    </row>
    <row r="773">
      <c r="A773" s="54" t="n"/>
      <c r="B773" s="61" t="n"/>
      <c r="C773" s="61" t="n"/>
      <c r="D773" s="61" t="n"/>
      <c r="E773" s="61" t="n"/>
      <c r="F773" s="55" t="n"/>
      <c r="G773" s="56" t="n"/>
      <c r="H773" s="55" t="n"/>
      <c r="I773" s="62" t="n"/>
      <c r="J773" s="58" t="n"/>
      <c r="K773" s="63">
        <f>IF(tblMovement[[#This Row],[Source]]="","",IFERROR(INDEX(tblSources[Type],MATCH(tblMovement[[#This Row],[Source]],tblSources[Source],0)),"?"))</f>
        <v/>
      </c>
      <c r="L773" s="63">
        <f>IF(tblMovement[[#This Row],[Destination]]="","",IFERROR(INDEX(tblDestinations[Type],MATCH(tblMovement[[#This Row],[Destination]],tblDestinations[Destination],0)),"?"))</f>
        <v/>
      </c>
      <c r="M773" s="64">
        <f>IF(tblMovement[[#This Row],[Material]]="","",IF(LEFT(tblMovement[[#This Row],[Material]],3)="Ore",1,0))</f>
        <v/>
      </c>
      <c r="N773" s="59">
        <f>IF(OR(tblMovement[[#This Row],[Tonnes_t]]="",tblMovement[[#This Row],[Grade_gpt]]=""),0,tblMovement[[#This Row],[Tonnes_t]]*tblMovement[[#This Row],[Grade_gpt]]/cfg_TroyOz)</f>
        <v/>
      </c>
      <c r="O773" s="59">
        <f>IF(tblMovement[[#This Row],[Is_Ore]]=1,tblMovement[[#This Row],[Contained_oz]],0)</f>
        <v/>
      </c>
    </row>
    <row r="774">
      <c r="A774" s="54" t="n"/>
      <c r="B774" s="61" t="n"/>
      <c r="C774" s="61" t="n"/>
      <c r="D774" s="61" t="n"/>
      <c r="E774" s="61" t="n"/>
      <c r="F774" s="55" t="n"/>
      <c r="G774" s="56" t="n"/>
      <c r="H774" s="55" t="n"/>
      <c r="I774" s="62" t="n"/>
      <c r="J774" s="58" t="n"/>
      <c r="K774" s="63">
        <f>IF(tblMovement[[#This Row],[Source]]="","",IFERROR(INDEX(tblSources[Type],MATCH(tblMovement[[#This Row],[Source]],tblSources[Source],0)),"?"))</f>
        <v/>
      </c>
      <c r="L774" s="63">
        <f>IF(tblMovement[[#This Row],[Destination]]="","",IFERROR(INDEX(tblDestinations[Type],MATCH(tblMovement[[#This Row],[Destination]],tblDestinations[Destination],0)),"?"))</f>
        <v/>
      </c>
      <c r="M774" s="64">
        <f>IF(tblMovement[[#This Row],[Material]]="","",IF(LEFT(tblMovement[[#This Row],[Material]],3)="Ore",1,0))</f>
        <v/>
      </c>
      <c r="N774" s="59">
        <f>IF(OR(tblMovement[[#This Row],[Tonnes_t]]="",tblMovement[[#This Row],[Grade_gpt]]=""),0,tblMovement[[#This Row],[Tonnes_t]]*tblMovement[[#This Row],[Grade_gpt]]/cfg_TroyOz)</f>
        <v/>
      </c>
      <c r="O774" s="59">
        <f>IF(tblMovement[[#This Row],[Is_Ore]]=1,tblMovement[[#This Row],[Contained_oz]],0)</f>
        <v/>
      </c>
    </row>
    <row r="775">
      <c r="A775" s="54" t="n"/>
      <c r="B775" s="61" t="n"/>
      <c r="C775" s="61" t="n"/>
      <c r="D775" s="61" t="n"/>
      <c r="E775" s="61" t="n"/>
      <c r="F775" s="55" t="n"/>
      <c r="G775" s="56" t="n"/>
      <c r="H775" s="55" t="n"/>
      <c r="I775" s="62" t="n"/>
      <c r="J775" s="58" t="n"/>
      <c r="K775" s="63">
        <f>IF(tblMovement[[#This Row],[Source]]="","",IFERROR(INDEX(tblSources[Type],MATCH(tblMovement[[#This Row],[Source]],tblSources[Source],0)),"?"))</f>
        <v/>
      </c>
      <c r="L775" s="63">
        <f>IF(tblMovement[[#This Row],[Destination]]="","",IFERROR(INDEX(tblDestinations[Type],MATCH(tblMovement[[#This Row],[Destination]],tblDestinations[Destination],0)),"?"))</f>
        <v/>
      </c>
      <c r="M775" s="64">
        <f>IF(tblMovement[[#This Row],[Material]]="","",IF(LEFT(tblMovement[[#This Row],[Material]],3)="Ore",1,0))</f>
        <v/>
      </c>
      <c r="N775" s="59">
        <f>IF(OR(tblMovement[[#This Row],[Tonnes_t]]="",tblMovement[[#This Row],[Grade_gpt]]=""),0,tblMovement[[#This Row],[Tonnes_t]]*tblMovement[[#This Row],[Grade_gpt]]/cfg_TroyOz)</f>
        <v/>
      </c>
      <c r="O775" s="59">
        <f>IF(tblMovement[[#This Row],[Is_Ore]]=1,tblMovement[[#This Row],[Contained_oz]],0)</f>
        <v/>
      </c>
    </row>
    <row r="776">
      <c r="A776" s="54" t="n"/>
      <c r="B776" s="61" t="n"/>
      <c r="C776" s="61" t="n"/>
      <c r="D776" s="61" t="n"/>
      <c r="E776" s="61" t="n"/>
      <c r="F776" s="55" t="n"/>
      <c r="G776" s="56" t="n"/>
      <c r="H776" s="55" t="n"/>
      <c r="I776" s="62" t="n"/>
      <c r="J776" s="58" t="n"/>
      <c r="K776" s="63">
        <f>IF(tblMovement[[#This Row],[Source]]="","",IFERROR(INDEX(tblSources[Type],MATCH(tblMovement[[#This Row],[Source]],tblSources[Source],0)),"?"))</f>
        <v/>
      </c>
      <c r="L776" s="63">
        <f>IF(tblMovement[[#This Row],[Destination]]="","",IFERROR(INDEX(tblDestinations[Type],MATCH(tblMovement[[#This Row],[Destination]],tblDestinations[Destination],0)),"?"))</f>
        <v/>
      </c>
      <c r="M776" s="64">
        <f>IF(tblMovement[[#This Row],[Material]]="","",IF(LEFT(tblMovement[[#This Row],[Material]],3)="Ore",1,0))</f>
        <v/>
      </c>
      <c r="N776" s="59">
        <f>IF(OR(tblMovement[[#This Row],[Tonnes_t]]="",tblMovement[[#This Row],[Grade_gpt]]=""),0,tblMovement[[#This Row],[Tonnes_t]]*tblMovement[[#This Row],[Grade_gpt]]/cfg_TroyOz)</f>
        <v/>
      </c>
      <c r="O776" s="59">
        <f>IF(tblMovement[[#This Row],[Is_Ore]]=1,tblMovement[[#This Row],[Contained_oz]],0)</f>
        <v/>
      </c>
    </row>
    <row r="777">
      <c r="A777" s="54" t="n"/>
      <c r="B777" s="61" t="n"/>
      <c r="C777" s="61" t="n"/>
      <c r="D777" s="61" t="n"/>
      <c r="E777" s="61" t="n"/>
      <c r="F777" s="55" t="n"/>
      <c r="G777" s="56" t="n"/>
      <c r="H777" s="55" t="n"/>
      <c r="I777" s="62" t="n"/>
      <c r="J777" s="58" t="n"/>
      <c r="K777" s="63">
        <f>IF(tblMovement[[#This Row],[Source]]="","",IFERROR(INDEX(tblSources[Type],MATCH(tblMovement[[#This Row],[Source]],tblSources[Source],0)),"?"))</f>
        <v/>
      </c>
      <c r="L777" s="63">
        <f>IF(tblMovement[[#This Row],[Destination]]="","",IFERROR(INDEX(tblDestinations[Type],MATCH(tblMovement[[#This Row],[Destination]],tblDestinations[Destination],0)),"?"))</f>
        <v/>
      </c>
      <c r="M777" s="64">
        <f>IF(tblMovement[[#This Row],[Material]]="","",IF(LEFT(tblMovement[[#This Row],[Material]],3)="Ore",1,0))</f>
        <v/>
      </c>
      <c r="N777" s="59">
        <f>IF(OR(tblMovement[[#This Row],[Tonnes_t]]="",tblMovement[[#This Row],[Grade_gpt]]=""),0,tblMovement[[#This Row],[Tonnes_t]]*tblMovement[[#This Row],[Grade_gpt]]/cfg_TroyOz)</f>
        <v/>
      </c>
      <c r="O777" s="59">
        <f>IF(tblMovement[[#This Row],[Is_Ore]]=1,tblMovement[[#This Row],[Contained_oz]],0)</f>
        <v/>
      </c>
    </row>
    <row r="778">
      <c r="A778" s="54" t="n"/>
      <c r="B778" s="61" t="n"/>
      <c r="C778" s="61" t="n"/>
      <c r="D778" s="61" t="n"/>
      <c r="E778" s="61" t="n"/>
      <c r="F778" s="55" t="n"/>
      <c r="G778" s="56" t="n"/>
      <c r="H778" s="55" t="n"/>
      <c r="I778" s="62" t="n"/>
      <c r="J778" s="58" t="n"/>
      <c r="K778" s="63">
        <f>IF(tblMovement[[#This Row],[Source]]="","",IFERROR(INDEX(tblSources[Type],MATCH(tblMovement[[#This Row],[Source]],tblSources[Source],0)),"?"))</f>
        <v/>
      </c>
      <c r="L778" s="63">
        <f>IF(tblMovement[[#This Row],[Destination]]="","",IFERROR(INDEX(tblDestinations[Type],MATCH(tblMovement[[#This Row],[Destination]],tblDestinations[Destination],0)),"?"))</f>
        <v/>
      </c>
      <c r="M778" s="64">
        <f>IF(tblMovement[[#This Row],[Material]]="","",IF(LEFT(tblMovement[[#This Row],[Material]],3)="Ore",1,0))</f>
        <v/>
      </c>
      <c r="N778" s="59">
        <f>IF(OR(tblMovement[[#This Row],[Tonnes_t]]="",tblMovement[[#This Row],[Grade_gpt]]=""),0,tblMovement[[#This Row],[Tonnes_t]]*tblMovement[[#This Row],[Grade_gpt]]/cfg_TroyOz)</f>
        <v/>
      </c>
      <c r="O778" s="59">
        <f>IF(tblMovement[[#This Row],[Is_Ore]]=1,tblMovement[[#This Row],[Contained_oz]],0)</f>
        <v/>
      </c>
    </row>
    <row r="779">
      <c r="A779" s="54" t="n"/>
      <c r="B779" s="61" t="n"/>
      <c r="C779" s="61" t="n"/>
      <c r="D779" s="61" t="n"/>
      <c r="E779" s="61" t="n"/>
      <c r="F779" s="55" t="n"/>
      <c r="G779" s="56" t="n"/>
      <c r="H779" s="55" t="n"/>
      <c r="I779" s="62" t="n"/>
      <c r="J779" s="58" t="n"/>
      <c r="K779" s="63">
        <f>IF(tblMovement[[#This Row],[Source]]="","",IFERROR(INDEX(tblSources[Type],MATCH(tblMovement[[#This Row],[Source]],tblSources[Source],0)),"?"))</f>
        <v/>
      </c>
      <c r="L779" s="63">
        <f>IF(tblMovement[[#This Row],[Destination]]="","",IFERROR(INDEX(tblDestinations[Type],MATCH(tblMovement[[#This Row],[Destination]],tblDestinations[Destination],0)),"?"))</f>
        <v/>
      </c>
      <c r="M779" s="64">
        <f>IF(tblMovement[[#This Row],[Material]]="","",IF(LEFT(tblMovement[[#This Row],[Material]],3)="Ore",1,0))</f>
        <v/>
      </c>
      <c r="N779" s="59">
        <f>IF(OR(tblMovement[[#This Row],[Tonnes_t]]="",tblMovement[[#This Row],[Grade_gpt]]=""),0,tblMovement[[#This Row],[Tonnes_t]]*tblMovement[[#This Row],[Grade_gpt]]/cfg_TroyOz)</f>
        <v/>
      </c>
      <c r="O779" s="59">
        <f>IF(tblMovement[[#This Row],[Is_Ore]]=1,tblMovement[[#This Row],[Contained_oz]],0)</f>
        <v/>
      </c>
    </row>
    <row r="780">
      <c r="A780" s="54" t="n"/>
      <c r="B780" s="61" t="n"/>
      <c r="C780" s="61" t="n"/>
      <c r="D780" s="61" t="n"/>
      <c r="E780" s="61" t="n"/>
      <c r="F780" s="55" t="n"/>
      <c r="G780" s="56" t="n"/>
      <c r="H780" s="55" t="n"/>
      <c r="I780" s="62" t="n"/>
      <c r="J780" s="58" t="n"/>
      <c r="K780" s="63">
        <f>IF(tblMovement[[#This Row],[Source]]="","",IFERROR(INDEX(tblSources[Type],MATCH(tblMovement[[#This Row],[Source]],tblSources[Source],0)),"?"))</f>
        <v/>
      </c>
      <c r="L780" s="63">
        <f>IF(tblMovement[[#This Row],[Destination]]="","",IFERROR(INDEX(tblDestinations[Type],MATCH(tblMovement[[#This Row],[Destination]],tblDestinations[Destination],0)),"?"))</f>
        <v/>
      </c>
      <c r="M780" s="64">
        <f>IF(tblMovement[[#This Row],[Material]]="","",IF(LEFT(tblMovement[[#This Row],[Material]],3)="Ore",1,0))</f>
        <v/>
      </c>
      <c r="N780" s="59">
        <f>IF(OR(tblMovement[[#This Row],[Tonnes_t]]="",tblMovement[[#This Row],[Grade_gpt]]=""),0,tblMovement[[#This Row],[Tonnes_t]]*tblMovement[[#This Row],[Grade_gpt]]/cfg_TroyOz)</f>
        <v/>
      </c>
      <c r="O780" s="59">
        <f>IF(tblMovement[[#This Row],[Is_Ore]]=1,tblMovement[[#This Row],[Contained_oz]],0)</f>
        <v/>
      </c>
    </row>
    <row r="781">
      <c r="A781" s="54" t="n"/>
      <c r="B781" s="61" t="n"/>
      <c r="C781" s="61" t="n"/>
      <c r="D781" s="61" t="n"/>
      <c r="E781" s="61" t="n"/>
      <c r="F781" s="55" t="n"/>
      <c r="G781" s="56" t="n"/>
      <c r="H781" s="55" t="n"/>
      <c r="I781" s="62" t="n"/>
      <c r="J781" s="58" t="n"/>
      <c r="K781" s="63">
        <f>IF(tblMovement[[#This Row],[Source]]="","",IFERROR(INDEX(tblSources[Type],MATCH(tblMovement[[#This Row],[Source]],tblSources[Source],0)),"?"))</f>
        <v/>
      </c>
      <c r="L781" s="63">
        <f>IF(tblMovement[[#This Row],[Destination]]="","",IFERROR(INDEX(tblDestinations[Type],MATCH(tblMovement[[#This Row],[Destination]],tblDestinations[Destination],0)),"?"))</f>
        <v/>
      </c>
      <c r="M781" s="64">
        <f>IF(tblMovement[[#This Row],[Material]]="","",IF(LEFT(tblMovement[[#This Row],[Material]],3)="Ore",1,0))</f>
        <v/>
      </c>
      <c r="N781" s="59">
        <f>IF(OR(tblMovement[[#This Row],[Tonnes_t]]="",tblMovement[[#This Row],[Grade_gpt]]=""),0,tblMovement[[#This Row],[Tonnes_t]]*tblMovement[[#This Row],[Grade_gpt]]/cfg_TroyOz)</f>
        <v/>
      </c>
      <c r="O781" s="59">
        <f>IF(tblMovement[[#This Row],[Is_Ore]]=1,tblMovement[[#This Row],[Contained_oz]],0)</f>
        <v/>
      </c>
    </row>
    <row r="782">
      <c r="A782" s="54" t="n"/>
      <c r="B782" s="61" t="n"/>
      <c r="C782" s="61" t="n"/>
      <c r="D782" s="61" t="n"/>
      <c r="E782" s="61" t="n"/>
      <c r="F782" s="55" t="n"/>
      <c r="G782" s="56" t="n"/>
      <c r="H782" s="55" t="n"/>
      <c r="I782" s="62" t="n"/>
      <c r="J782" s="58" t="n"/>
      <c r="K782" s="63">
        <f>IF(tblMovement[[#This Row],[Source]]="","",IFERROR(INDEX(tblSources[Type],MATCH(tblMovement[[#This Row],[Source]],tblSources[Source],0)),"?"))</f>
        <v/>
      </c>
      <c r="L782" s="63">
        <f>IF(tblMovement[[#This Row],[Destination]]="","",IFERROR(INDEX(tblDestinations[Type],MATCH(tblMovement[[#This Row],[Destination]],tblDestinations[Destination],0)),"?"))</f>
        <v/>
      </c>
      <c r="M782" s="64">
        <f>IF(tblMovement[[#This Row],[Material]]="","",IF(LEFT(tblMovement[[#This Row],[Material]],3)="Ore",1,0))</f>
        <v/>
      </c>
      <c r="N782" s="59">
        <f>IF(OR(tblMovement[[#This Row],[Tonnes_t]]="",tblMovement[[#This Row],[Grade_gpt]]=""),0,tblMovement[[#This Row],[Tonnes_t]]*tblMovement[[#This Row],[Grade_gpt]]/cfg_TroyOz)</f>
        <v/>
      </c>
      <c r="O782" s="59">
        <f>IF(tblMovement[[#This Row],[Is_Ore]]=1,tblMovement[[#This Row],[Contained_oz]],0)</f>
        <v/>
      </c>
    </row>
    <row r="783">
      <c r="A783" s="54" t="n"/>
      <c r="B783" s="61" t="n"/>
      <c r="C783" s="61" t="n"/>
      <c r="D783" s="61" t="n"/>
      <c r="E783" s="61" t="n"/>
      <c r="F783" s="55" t="n"/>
      <c r="G783" s="56" t="n"/>
      <c r="H783" s="55" t="n"/>
      <c r="I783" s="62" t="n"/>
      <c r="J783" s="58" t="n"/>
      <c r="K783" s="63">
        <f>IF(tblMovement[[#This Row],[Source]]="","",IFERROR(INDEX(tblSources[Type],MATCH(tblMovement[[#This Row],[Source]],tblSources[Source],0)),"?"))</f>
        <v/>
      </c>
      <c r="L783" s="63">
        <f>IF(tblMovement[[#This Row],[Destination]]="","",IFERROR(INDEX(tblDestinations[Type],MATCH(tblMovement[[#This Row],[Destination]],tblDestinations[Destination],0)),"?"))</f>
        <v/>
      </c>
      <c r="M783" s="64">
        <f>IF(tblMovement[[#This Row],[Material]]="","",IF(LEFT(tblMovement[[#This Row],[Material]],3)="Ore",1,0))</f>
        <v/>
      </c>
      <c r="N783" s="59">
        <f>IF(OR(tblMovement[[#This Row],[Tonnes_t]]="",tblMovement[[#This Row],[Grade_gpt]]=""),0,tblMovement[[#This Row],[Tonnes_t]]*tblMovement[[#This Row],[Grade_gpt]]/cfg_TroyOz)</f>
        <v/>
      </c>
      <c r="O783" s="59">
        <f>IF(tblMovement[[#This Row],[Is_Ore]]=1,tblMovement[[#This Row],[Contained_oz]],0)</f>
        <v/>
      </c>
    </row>
    <row r="784">
      <c r="A784" s="54" t="n"/>
      <c r="B784" s="61" t="n"/>
      <c r="C784" s="61" t="n"/>
      <c r="D784" s="61" t="n"/>
      <c r="E784" s="61" t="n"/>
      <c r="F784" s="55" t="n"/>
      <c r="G784" s="56" t="n"/>
      <c r="H784" s="55" t="n"/>
      <c r="I784" s="62" t="n"/>
      <c r="J784" s="58" t="n"/>
      <c r="K784" s="63">
        <f>IF(tblMovement[[#This Row],[Source]]="","",IFERROR(INDEX(tblSources[Type],MATCH(tblMovement[[#This Row],[Source]],tblSources[Source],0)),"?"))</f>
        <v/>
      </c>
      <c r="L784" s="63">
        <f>IF(tblMovement[[#This Row],[Destination]]="","",IFERROR(INDEX(tblDestinations[Type],MATCH(tblMovement[[#This Row],[Destination]],tblDestinations[Destination],0)),"?"))</f>
        <v/>
      </c>
      <c r="M784" s="64">
        <f>IF(tblMovement[[#This Row],[Material]]="","",IF(LEFT(tblMovement[[#This Row],[Material]],3)="Ore",1,0))</f>
        <v/>
      </c>
      <c r="N784" s="59">
        <f>IF(OR(tblMovement[[#This Row],[Tonnes_t]]="",tblMovement[[#This Row],[Grade_gpt]]=""),0,tblMovement[[#This Row],[Tonnes_t]]*tblMovement[[#This Row],[Grade_gpt]]/cfg_TroyOz)</f>
        <v/>
      </c>
      <c r="O784" s="59">
        <f>IF(tblMovement[[#This Row],[Is_Ore]]=1,tblMovement[[#This Row],[Contained_oz]],0)</f>
        <v/>
      </c>
    </row>
    <row r="785">
      <c r="A785" s="54" t="n"/>
      <c r="B785" s="61" t="n"/>
      <c r="C785" s="61" t="n"/>
      <c r="D785" s="61" t="n"/>
      <c r="E785" s="61" t="n"/>
      <c r="F785" s="55" t="n"/>
      <c r="G785" s="56" t="n"/>
      <c r="H785" s="55" t="n"/>
      <c r="I785" s="62" t="n"/>
      <c r="J785" s="58" t="n"/>
      <c r="K785" s="63">
        <f>IF(tblMovement[[#This Row],[Source]]="","",IFERROR(INDEX(tblSources[Type],MATCH(tblMovement[[#This Row],[Source]],tblSources[Source],0)),"?"))</f>
        <v/>
      </c>
      <c r="L785" s="63">
        <f>IF(tblMovement[[#This Row],[Destination]]="","",IFERROR(INDEX(tblDestinations[Type],MATCH(tblMovement[[#This Row],[Destination]],tblDestinations[Destination],0)),"?"))</f>
        <v/>
      </c>
      <c r="M785" s="64">
        <f>IF(tblMovement[[#This Row],[Material]]="","",IF(LEFT(tblMovement[[#This Row],[Material]],3)="Ore",1,0))</f>
        <v/>
      </c>
      <c r="N785" s="59">
        <f>IF(OR(tblMovement[[#This Row],[Tonnes_t]]="",tblMovement[[#This Row],[Grade_gpt]]=""),0,tblMovement[[#This Row],[Tonnes_t]]*tblMovement[[#This Row],[Grade_gpt]]/cfg_TroyOz)</f>
        <v/>
      </c>
      <c r="O785" s="59">
        <f>IF(tblMovement[[#This Row],[Is_Ore]]=1,tblMovement[[#This Row],[Contained_oz]],0)</f>
        <v/>
      </c>
    </row>
    <row r="786">
      <c r="A786" s="54" t="n"/>
      <c r="B786" s="61" t="n"/>
      <c r="C786" s="61" t="n"/>
      <c r="D786" s="61" t="n"/>
      <c r="E786" s="61" t="n"/>
      <c r="F786" s="55" t="n"/>
      <c r="G786" s="56" t="n"/>
      <c r="H786" s="55" t="n"/>
      <c r="I786" s="62" t="n"/>
      <c r="J786" s="58" t="n"/>
      <c r="K786" s="63">
        <f>IF(tblMovement[[#This Row],[Source]]="","",IFERROR(INDEX(tblSources[Type],MATCH(tblMovement[[#This Row],[Source]],tblSources[Source],0)),"?"))</f>
        <v/>
      </c>
      <c r="L786" s="63">
        <f>IF(tblMovement[[#This Row],[Destination]]="","",IFERROR(INDEX(tblDestinations[Type],MATCH(tblMovement[[#This Row],[Destination]],tblDestinations[Destination],0)),"?"))</f>
        <v/>
      </c>
      <c r="M786" s="64">
        <f>IF(tblMovement[[#This Row],[Material]]="","",IF(LEFT(tblMovement[[#This Row],[Material]],3)="Ore",1,0))</f>
        <v/>
      </c>
      <c r="N786" s="59">
        <f>IF(OR(tblMovement[[#This Row],[Tonnes_t]]="",tblMovement[[#This Row],[Grade_gpt]]=""),0,tblMovement[[#This Row],[Tonnes_t]]*tblMovement[[#This Row],[Grade_gpt]]/cfg_TroyOz)</f>
        <v/>
      </c>
      <c r="O786" s="59">
        <f>IF(tblMovement[[#This Row],[Is_Ore]]=1,tblMovement[[#This Row],[Contained_oz]],0)</f>
        <v/>
      </c>
    </row>
    <row r="787">
      <c r="A787" s="54" t="n"/>
      <c r="B787" s="61" t="n"/>
      <c r="C787" s="61" t="n"/>
      <c r="D787" s="61" t="n"/>
      <c r="E787" s="61" t="n"/>
      <c r="F787" s="55" t="n"/>
      <c r="G787" s="56" t="n"/>
      <c r="H787" s="55" t="n"/>
      <c r="I787" s="62" t="n"/>
      <c r="J787" s="58" t="n"/>
      <c r="K787" s="63">
        <f>IF(tblMovement[[#This Row],[Source]]="","",IFERROR(INDEX(tblSources[Type],MATCH(tblMovement[[#This Row],[Source]],tblSources[Source],0)),"?"))</f>
        <v/>
      </c>
      <c r="L787" s="63">
        <f>IF(tblMovement[[#This Row],[Destination]]="","",IFERROR(INDEX(tblDestinations[Type],MATCH(tblMovement[[#This Row],[Destination]],tblDestinations[Destination],0)),"?"))</f>
        <v/>
      </c>
      <c r="M787" s="64">
        <f>IF(tblMovement[[#This Row],[Material]]="","",IF(LEFT(tblMovement[[#This Row],[Material]],3)="Ore",1,0))</f>
        <v/>
      </c>
      <c r="N787" s="59">
        <f>IF(OR(tblMovement[[#This Row],[Tonnes_t]]="",tblMovement[[#This Row],[Grade_gpt]]=""),0,tblMovement[[#This Row],[Tonnes_t]]*tblMovement[[#This Row],[Grade_gpt]]/cfg_TroyOz)</f>
        <v/>
      </c>
      <c r="O787" s="59">
        <f>IF(tblMovement[[#This Row],[Is_Ore]]=1,tblMovement[[#This Row],[Contained_oz]],0)</f>
        <v/>
      </c>
    </row>
    <row r="788">
      <c r="A788" s="54" t="n"/>
      <c r="B788" s="61" t="n"/>
      <c r="C788" s="61" t="n"/>
      <c r="D788" s="61" t="n"/>
      <c r="E788" s="61" t="n"/>
      <c r="F788" s="55" t="n"/>
      <c r="G788" s="56" t="n"/>
      <c r="H788" s="55" t="n"/>
      <c r="I788" s="62" t="n"/>
      <c r="J788" s="58" t="n"/>
      <c r="K788" s="63">
        <f>IF(tblMovement[[#This Row],[Source]]="","",IFERROR(INDEX(tblSources[Type],MATCH(tblMovement[[#This Row],[Source]],tblSources[Source],0)),"?"))</f>
        <v/>
      </c>
      <c r="L788" s="63">
        <f>IF(tblMovement[[#This Row],[Destination]]="","",IFERROR(INDEX(tblDestinations[Type],MATCH(tblMovement[[#This Row],[Destination]],tblDestinations[Destination],0)),"?"))</f>
        <v/>
      </c>
      <c r="M788" s="64">
        <f>IF(tblMovement[[#This Row],[Material]]="","",IF(LEFT(tblMovement[[#This Row],[Material]],3)="Ore",1,0))</f>
        <v/>
      </c>
      <c r="N788" s="59">
        <f>IF(OR(tblMovement[[#This Row],[Tonnes_t]]="",tblMovement[[#This Row],[Grade_gpt]]=""),0,tblMovement[[#This Row],[Tonnes_t]]*tblMovement[[#This Row],[Grade_gpt]]/cfg_TroyOz)</f>
        <v/>
      </c>
      <c r="O788" s="59">
        <f>IF(tblMovement[[#This Row],[Is_Ore]]=1,tblMovement[[#This Row],[Contained_oz]],0)</f>
        <v/>
      </c>
    </row>
    <row r="789">
      <c r="A789" s="54" t="n"/>
      <c r="B789" s="61" t="n"/>
      <c r="C789" s="61" t="n"/>
      <c r="D789" s="61" t="n"/>
      <c r="E789" s="61" t="n"/>
      <c r="F789" s="55" t="n"/>
      <c r="G789" s="56" t="n"/>
      <c r="H789" s="55" t="n"/>
      <c r="I789" s="62" t="n"/>
      <c r="J789" s="58" t="n"/>
      <c r="K789" s="63">
        <f>IF(tblMovement[[#This Row],[Source]]="","",IFERROR(INDEX(tblSources[Type],MATCH(tblMovement[[#This Row],[Source]],tblSources[Source],0)),"?"))</f>
        <v/>
      </c>
      <c r="L789" s="63">
        <f>IF(tblMovement[[#This Row],[Destination]]="","",IFERROR(INDEX(tblDestinations[Type],MATCH(tblMovement[[#This Row],[Destination]],tblDestinations[Destination],0)),"?"))</f>
        <v/>
      </c>
      <c r="M789" s="64">
        <f>IF(tblMovement[[#This Row],[Material]]="","",IF(LEFT(tblMovement[[#This Row],[Material]],3)="Ore",1,0))</f>
        <v/>
      </c>
      <c r="N789" s="59">
        <f>IF(OR(tblMovement[[#This Row],[Tonnes_t]]="",tblMovement[[#This Row],[Grade_gpt]]=""),0,tblMovement[[#This Row],[Tonnes_t]]*tblMovement[[#This Row],[Grade_gpt]]/cfg_TroyOz)</f>
        <v/>
      </c>
      <c r="O789" s="59">
        <f>IF(tblMovement[[#This Row],[Is_Ore]]=1,tblMovement[[#This Row],[Contained_oz]],0)</f>
        <v/>
      </c>
    </row>
    <row r="790">
      <c r="A790" s="54" t="n"/>
      <c r="B790" s="61" t="n"/>
      <c r="C790" s="61" t="n"/>
      <c r="D790" s="61" t="n"/>
      <c r="E790" s="61" t="n"/>
      <c r="F790" s="55" t="n"/>
      <c r="G790" s="56" t="n"/>
      <c r="H790" s="55" t="n"/>
      <c r="I790" s="62" t="n"/>
      <c r="J790" s="58" t="n"/>
      <c r="K790" s="63">
        <f>IF(tblMovement[[#This Row],[Source]]="","",IFERROR(INDEX(tblSources[Type],MATCH(tblMovement[[#This Row],[Source]],tblSources[Source],0)),"?"))</f>
        <v/>
      </c>
      <c r="L790" s="63">
        <f>IF(tblMovement[[#This Row],[Destination]]="","",IFERROR(INDEX(tblDestinations[Type],MATCH(tblMovement[[#This Row],[Destination]],tblDestinations[Destination],0)),"?"))</f>
        <v/>
      </c>
      <c r="M790" s="64">
        <f>IF(tblMovement[[#This Row],[Material]]="","",IF(LEFT(tblMovement[[#This Row],[Material]],3)="Ore",1,0))</f>
        <v/>
      </c>
      <c r="N790" s="59">
        <f>IF(OR(tblMovement[[#This Row],[Tonnes_t]]="",tblMovement[[#This Row],[Grade_gpt]]=""),0,tblMovement[[#This Row],[Tonnes_t]]*tblMovement[[#This Row],[Grade_gpt]]/cfg_TroyOz)</f>
        <v/>
      </c>
      <c r="O790" s="59">
        <f>IF(tblMovement[[#This Row],[Is_Ore]]=1,tblMovement[[#This Row],[Contained_oz]],0)</f>
        <v/>
      </c>
    </row>
    <row r="791">
      <c r="A791" s="54" t="n"/>
      <c r="B791" s="61" t="n"/>
      <c r="C791" s="61" t="n"/>
      <c r="D791" s="61" t="n"/>
      <c r="E791" s="61" t="n"/>
      <c r="F791" s="55" t="n"/>
      <c r="G791" s="56" t="n"/>
      <c r="H791" s="55" t="n"/>
      <c r="I791" s="62" t="n"/>
      <c r="J791" s="58" t="n"/>
      <c r="K791" s="63">
        <f>IF(tblMovement[[#This Row],[Source]]="","",IFERROR(INDEX(tblSources[Type],MATCH(tblMovement[[#This Row],[Source]],tblSources[Source],0)),"?"))</f>
        <v/>
      </c>
      <c r="L791" s="63">
        <f>IF(tblMovement[[#This Row],[Destination]]="","",IFERROR(INDEX(tblDestinations[Type],MATCH(tblMovement[[#This Row],[Destination]],tblDestinations[Destination],0)),"?"))</f>
        <v/>
      </c>
      <c r="M791" s="64">
        <f>IF(tblMovement[[#This Row],[Material]]="","",IF(LEFT(tblMovement[[#This Row],[Material]],3)="Ore",1,0))</f>
        <v/>
      </c>
      <c r="N791" s="59">
        <f>IF(OR(tblMovement[[#This Row],[Tonnes_t]]="",tblMovement[[#This Row],[Grade_gpt]]=""),0,tblMovement[[#This Row],[Tonnes_t]]*tblMovement[[#This Row],[Grade_gpt]]/cfg_TroyOz)</f>
        <v/>
      </c>
      <c r="O791" s="59">
        <f>IF(tblMovement[[#This Row],[Is_Ore]]=1,tblMovement[[#This Row],[Contained_oz]],0)</f>
        <v/>
      </c>
    </row>
    <row r="792">
      <c r="A792" s="54" t="n"/>
      <c r="B792" s="61" t="n"/>
      <c r="C792" s="61" t="n"/>
      <c r="D792" s="61" t="n"/>
      <c r="E792" s="61" t="n"/>
      <c r="F792" s="55" t="n"/>
      <c r="G792" s="56" t="n"/>
      <c r="H792" s="55" t="n"/>
      <c r="I792" s="62" t="n"/>
      <c r="J792" s="58" t="n"/>
      <c r="K792" s="63">
        <f>IF(tblMovement[[#This Row],[Source]]="","",IFERROR(INDEX(tblSources[Type],MATCH(tblMovement[[#This Row],[Source]],tblSources[Source],0)),"?"))</f>
        <v/>
      </c>
      <c r="L792" s="63">
        <f>IF(tblMovement[[#This Row],[Destination]]="","",IFERROR(INDEX(tblDestinations[Type],MATCH(tblMovement[[#This Row],[Destination]],tblDestinations[Destination],0)),"?"))</f>
        <v/>
      </c>
      <c r="M792" s="64">
        <f>IF(tblMovement[[#This Row],[Material]]="","",IF(LEFT(tblMovement[[#This Row],[Material]],3)="Ore",1,0))</f>
        <v/>
      </c>
      <c r="N792" s="59">
        <f>IF(OR(tblMovement[[#This Row],[Tonnes_t]]="",tblMovement[[#This Row],[Grade_gpt]]=""),0,tblMovement[[#This Row],[Tonnes_t]]*tblMovement[[#This Row],[Grade_gpt]]/cfg_TroyOz)</f>
        <v/>
      </c>
      <c r="O792" s="59">
        <f>IF(tblMovement[[#This Row],[Is_Ore]]=1,tblMovement[[#This Row],[Contained_oz]],0)</f>
        <v/>
      </c>
    </row>
    <row r="793">
      <c r="A793" s="54" t="n"/>
      <c r="B793" s="61" t="n"/>
      <c r="C793" s="61" t="n"/>
      <c r="D793" s="61" t="n"/>
      <c r="E793" s="61" t="n"/>
      <c r="F793" s="55" t="n"/>
      <c r="G793" s="56" t="n"/>
      <c r="H793" s="55" t="n"/>
      <c r="I793" s="62" t="n"/>
      <c r="J793" s="58" t="n"/>
      <c r="K793" s="63">
        <f>IF(tblMovement[[#This Row],[Source]]="","",IFERROR(INDEX(tblSources[Type],MATCH(tblMovement[[#This Row],[Source]],tblSources[Source],0)),"?"))</f>
        <v/>
      </c>
      <c r="L793" s="63">
        <f>IF(tblMovement[[#This Row],[Destination]]="","",IFERROR(INDEX(tblDestinations[Type],MATCH(tblMovement[[#This Row],[Destination]],tblDestinations[Destination],0)),"?"))</f>
        <v/>
      </c>
      <c r="M793" s="64">
        <f>IF(tblMovement[[#This Row],[Material]]="","",IF(LEFT(tblMovement[[#This Row],[Material]],3)="Ore",1,0))</f>
        <v/>
      </c>
      <c r="N793" s="59">
        <f>IF(OR(tblMovement[[#This Row],[Tonnes_t]]="",tblMovement[[#This Row],[Grade_gpt]]=""),0,tblMovement[[#This Row],[Tonnes_t]]*tblMovement[[#This Row],[Grade_gpt]]/cfg_TroyOz)</f>
        <v/>
      </c>
      <c r="O793" s="59">
        <f>IF(tblMovement[[#This Row],[Is_Ore]]=1,tblMovement[[#This Row],[Contained_oz]],0)</f>
        <v/>
      </c>
    </row>
    <row r="794">
      <c r="A794" s="54" t="n"/>
      <c r="B794" s="61" t="n"/>
      <c r="C794" s="61" t="n"/>
      <c r="D794" s="61" t="n"/>
      <c r="E794" s="61" t="n"/>
      <c r="F794" s="55" t="n"/>
      <c r="G794" s="56" t="n"/>
      <c r="H794" s="55" t="n"/>
      <c r="I794" s="62" t="n"/>
      <c r="J794" s="58" t="n"/>
      <c r="K794" s="63">
        <f>IF(tblMovement[[#This Row],[Source]]="","",IFERROR(INDEX(tblSources[Type],MATCH(tblMovement[[#This Row],[Source]],tblSources[Source],0)),"?"))</f>
        <v/>
      </c>
      <c r="L794" s="63">
        <f>IF(tblMovement[[#This Row],[Destination]]="","",IFERROR(INDEX(tblDestinations[Type],MATCH(tblMovement[[#This Row],[Destination]],tblDestinations[Destination],0)),"?"))</f>
        <v/>
      </c>
      <c r="M794" s="64">
        <f>IF(tblMovement[[#This Row],[Material]]="","",IF(LEFT(tblMovement[[#This Row],[Material]],3)="Ore",1,0))</f>
        <v/>
      </c>
      <c r="N794" s="59">
        <f>IF(OR(tblMovement[[#This Row],[Tonnes_t]]="",tblMovement[[#This Row],[Grade_gpt]]=""),0,tblMovement[[#This Row],[Tonnes_t]]*tblMovement[[#This Row],[Grade_gpt]]/cfg_TroyOz)</f>
        <v/>
      </c>
      <c r="O794" s="59">
        <f>IF(tblMovement[[#This Row],[Is_Ore]]=1,tblMovement[[#This Row],[Contained_oz]],0)</f>
        <v/>
      </c>
    </row>
    <row r="795">
      <c r="A795" s="54" t="n"/>
      <c r="B795" s="61" t="n"/>
      <c r="C795" s="61" t="n"/>
      <c r="D795" s="61" t="n"/>
      <c r="E795" s="61" t="n"/>
      <c r="F795" s="55" t="n"/>
      <c r="G795" s="56" t="n"/>
      <c r="H795" s="55" t="n"/>
      <c r="I795" s="62" t="n"/>
      <c r="J795" s="58" t="n"/>
      <c r="K795" s="63">
        <f>IF(tblMovement[[#This Row],[Source]]="","",IFERROR(INDEX(tblSources[Type],MATCH(tblMovement[[#This Row],[Source]],tblSources[Source],0)),"?"))</f>
        <v/>
      </c>
      <c r="L795" s="63">
        <f>IF(tblMovement[[#This Row],[Destination]]="","",IFERROR(INDEX(tblDestinations[Type],MATCH(tblMovement[[#This Row],[Destination]],tblDestinations[Destination],0)),"?"))</f>
        <v/>
      </c>
      <c r="M795" s="64">
        <f>IF(tblMovement[[#This Row],[Material]]="","",IF(LEFT(tblMovement[[#This Row],[Material]],3)="Ore",1,0))</f>
        <v/>
      </c>
      <c r="N795" s="59">
        <f>IF(OR(tblMovement[[#This Row],[Tonnes_t]]="",tblMovement[[#This Row],[Grade_gpt]]=""),0,tblMovement[[#This Row],[Tonnes_t]]*tblMovement[[#This Row],[Grade_gpt]]/cfg_TroyOz)</f>
        <v/>
      </c>
      <c r="O795" s="59">
        <f>IF(tblMovement[[#This Row],[Is_Ore]]=1,tblMovement[[#This Row],[Contained_oz]],0)</f>
        <v/>
      </c>
    </row>
    <row r="796">
      <c r="A796" s="54" t="n"/>
      <c r="B796" s="61" t="n"/>
      <c r="C796" s="61" t="n"/>
      <c r="D796" s="61" t="n"/>
      <c r="E796" s="61" t="n"/>
      <c r="F796" s="55" t="n"/>
      <c r="G796" s="56" t="n"/>
      <c r="H796" s="55" t="n"/>
      <c r="I796" s="62" t="n"/>
      <c r="J796" s="58" t="n"/>
      <c r="K796" s="63">
        <f>IF(tblMovement[[#This Row],[Source]]="","",IFERROR(INDEX(tblSources[Type],MATCH(tblMovement[[#This Row],[Source]],tblSources[Source],0)),"?"))</f>
        <v/>
      </c>
      <c r="L796" s="63">
        <f>IF(tblMovement[[#This Row],[Destination]]="","",IFERROR(INDEX(tblDestinations[Type],MATCH(tblMovement[[#This Row],[Destination]],tblDestinations[Destination],0)),"?"))</f>
        <v/>
      </c>
      <c r="M796" s="64">
        <f>IF(tblMovement[[#This Row],[Material]]="","",IF(LEFT(tblMovement[[#This Row],[Material]],3)="Ore",1,0))</f>
        <v/>
      </c>
      <c r="N796" s="59">
        <f>IF(OR(tblMovement[[#This Row],[Tonnes_t]]="",tblMovement[[#This Row],[Grade_gpt]]=""),0,tblMovement[[#This Row],[Tonnes_t]]*tblMovement[[#This Row],[Grade_gpt]]/cfg_TroyOz)</f>
        <v/>
      </c>
      <c r="O796" s="59">
        <f>IF(tblMovement[[#This Row],[Is_Ore]]=1,tblMovement[[#This Row],[Contained_oz]],0)</f>
        <v/>
      </c>
    </row>
    <row r="797">
      <c r="A797" s="54" t="n"/>
      <c r="B797" s="61" t="n"/>
      <c r="C797" s="61" t="n"/>
      <c r="D797" s="61" t="n"/>
      <c r="E797" s="61" t="n"/>
      <c r="F797" s="55" t="n"/>
      <c r="G797" s="56" t="n"/>
      <c r="H797" s="55" t="n"/>
      <c r="I797" s="62" t="n"/>
      <c r="J797" s="58" t="n"/>
      <c r="K797" s="63">
        <f>IF(tblMovement[[#This Row],[Source]]="","",IFERROR(INDEX(tblSources[Type],MATCH(tblMovement[[#This Row],[Source]],tblSources[Source],0)),"?"))</f>
        <v/>
      </c>
      <c r="L797" s="63">
        <f>IF(tblMovement[[#This Row],[Destination]]="","",IFERROR(INDEX(tblDestinations[Type],MATCH(tblMovement[[#This Row],[Destination]],tblDestinations[Destination],0)),"?"))</f>
        <v/>
      </c>
      <c r="M797" s="64">
        <f>IF(tblMovement[[#This Row],[Material]]="","",IF(LEFT(tblMovement[[#This Row],[Material]],3)="Ore",1,0))</f>
        <v/>
      </c>
      <c r="N797" s="59">
        <f>IF(OR(tblMovement[[#This Row],[Tonnes_t]]="",tblMovement[[#This Row],[Grade_gpt]]=""),0,tblMovement[[#This Row],[Tonnes_t]]*tblMovement[[#This Row],[Grade_gpt]]/cfg_TroyOz)</f>
        <v/>
      </c>
      <c r="O797" s="59">
        <f>IF(tblMovement[[#This Row],[Is_Ore]]=1,tblMovement[[#This Row],[Contained_oz]],0)</f>
        <v/>
      </c>
    </row>
    <row r="798">
      <c r="A798" s="54" t="n"/>
      <c r="B798" s="61" t="n"/>
      <c r="C798" s="61" t="n"/>
      <c r="D798" s="61" t="n"/>
      <c r="E798" s="61" t="n"/>
      <c r="F798" s="55" t="n"/>
      <c r="G798" s="56" t="n"/>
      <c r="H798" s="55" t="n"/>
      <c r="I798" s="62" t="n"/>
      <c r="J798" s="58" t="n"/>
      <c r="K798" s="63">
        <f>IF(tblMovement[[#This Row],[Source]]="","",IFERROR(INDEX(tblSources[Type],MATCH(tblMovement[[#This Row],[Source]],tblSources[Source],0)),"?"))</f>
        <v/>
      </c>
      <c r="L798" s="63">
        <f>IF(tblMovement[[#This Row],[Destination]]="","",IFERROR(INDEX(tblDestinations[Type],MATCH(tblMovement[[#This Row],[Destination]],tblDestinations[Destination],0)),"?"))</f>
        <v/>
      </c>
      <c r="M798" s="64">
        <f>IF(tblMovement[[#This Row],[Material]]="","",IF(LEFT(tblMovement[[#This Row],[Material]],3)="Ore",1,0))</f>
        <v/>
      </c>
      <c r="N798" s="59">
        <f>IF(OR(tblMovement[[#This Row],[Tonnes_t]]="",tblMovement[[#This Row],[Grade_gpt]]=""),0,tblMovement[[#This Row],[Tonnes_t]]*tblMovement[[#This Row],[Grade_gpt]]/cfg_TroyOz)</f>
        <v/>
      </c>
      <c r="O798" s="59">
        <f>IF(tblMovement[[#This Row],[Is_Ore]]=1,tblMovement[[#This Row],[Contained_oz]],0)</f>
        <v/>
      </c>
    </row>
    <row r="799">
      <c r="A799" s="54" t="n"/>
      <c r="B799" s="61" t="n"/>
      <c r="C799" s="61" t="n"/>
      <c r="D799" s="61" t="n"/>
      <c r="E799" s="61" t="n"/>
      <c r="F799" s="55" t="n"/>
      <c r="G799" s="56" t="n"/>
      <c r="H799" s="55" t="n"/>
      <c r="I799" s="62" t="n"/>
      <c r="J799" s="58" t="n"/>
      <c r="K799" s="63">
        <f>IF(tblMovement[[#This Row],[Source]]="","",IFERROR(INDEX(tblSources[Type],MATCH(tblMovement[[#This Row],[Source]],tblSources[Source],0)),"?"))</f>
        <v/>
      </c>
      <c r="L799" s="63">
        <f>IF(tblMovement[[#This Row],[Destination]]="","",IFERROR(INDEX(tblDestinations[Type],MATCH(tblMovement[[#This Row],[Destination]],tblDestinations[Destination],0)),"?"))</f>
        <v/>
      </c>
      <c r="M799" s="64">
        <f>IF(tblMovement[[#This Row],[Material]]="","",IF(LEFT(tblMovement[[#This Row],[Material]],3)="Ore",1,0))</f>
        <v/>
      </c>
      <c r="N799" s="59">
        <f>IF(OR(tblMovement[[#This Row],[Tonnes_t]]="",tblMovement[[#This Row],[Grade_gpt]]=""),0,tblMovement[[#This Row],[Tonnes_t]]*tblMovement[[#This Row],[Grade_gpt]]/cfg_TroyOz)</f>
        <v/>
      </c>
      <c r="O799" s="59">
        <f>IF(tblMovement[[#This Row],[Is_Ore]]=1,tblMovement[[#This Row],[Contained_oz]],0)</f>
        <v/>
      </c>
    </row>
    <row r="800">
      <c r="A800" s="54" t="n"/>
      <c r="B800" s="61" t="n"/>
      <c r="C800" s="61" t="n"/>
      <c r="D800" s="61" t="n"/>
      <c r="E800" s="61" t="n"/>
      <c r="F800" s="55" t="n"/>
      <c r="G800" s="56" t="n"/>
      <c r="H800" s="55" t="n"/>
      <c r="I800" s="62" t="n"/>
      <c r="J800" s="58" t="n"/>
      <c r="K800" s="63">
        <f>IF(tblMovement[[#This Row],[Source]]="","",IFERROR(INDEX(tblSources[Type],MATCH(tblMovement[[#This Row],[Source]],tblSources[Source],0)),"?"))</f>
        <v/>
      </c>
      <c r="L800" s="63">
        <f>IF(tblMovement[[#This Row],[Destination]]="","",IFERROR(INDEX(tblDestinations[Type],MATCH(tblMovement[[#This Row],[Destination]],tblDestinations[Destination],0)),"?"))</f>
        <v/>
      </c>
      <c r="M800" s="64">
        <f>IF(tblMovement[[#This Row],[Material]]="","",IF(LEFT(tblMovement[[#This Row],[Material]],3)="Ore",1,0))</f>
        <v/>
      </c>
      <c r="N800" s="59">
        <f>IF(OR(tblMovement[[#This Row],[Tonnes_t]]="",tblMovement[[#This Row],[Grade_gpt]]=""),0,tblMovement[[#This Row],[Tonnes_t]]*tblMovement[[#This Row],[Grade_gpt]]/cfg_TroyOz)</f>
        <v/>
      </c>
      <c r="O800" s="59">
        <f>IF(tblMovement[[#This Row],[Is_Ore]]=1,tblMovement[[#This Row],[Contained_oz]],0)</f>
        <v/>
      </c>
    </row>
    <row r="801">
      <c r="A801" s="54" t="n"/>
      <c r="B801" s="61" t="n"/>
      <c r="C801" s="61" t="n"/>
      <c r="D801" s="61" t="n"/>
      <c r="E801" s="61" t="n"/>
      <c r="F801" s="55" t="n"/>
      <c r="G801" s="56" t="n"/>
      <c r="H801" s="55" t="n"/>
      <c r="I801" s="62" t="n"/>
      <c r="J801" s="58" t="n"/>
      <c r="K801" s="63">
        <f>IF(tblMovement[[#This Row],[Source]]="","",IFERROR(INDEX(tblSources[Type],MATCH(tblMovement[[#This Row],[Source]],tblSources[Source],0)),"?"))</f>
        <v/>
      </c>
      <c r="L801" s="63">
        <f>IF(tblMovement[[#This Row],[Destination]]="","",IFERROR(INDEX(tblDestinations[Type],MATCH(tblMovement[[#This Row],[Destination]],tblDestinations[Destination],0)),"?"))</f>
        <v/>
      </c>
      <c r="M801" s="64">
        <f>IF(tblMovement[[#This Row],[Material]]="","",IF(LEFT(tblMovement[[#This Row],[Material]],3)="Ore",1,0))</f>
        <v/>
      </c>
      <c r="N801" s="59">
        <f>IF(OR(tblMovement[[#This Row],[Tonnes_t]]="",tblMovement[[#This Row],[Grade_gpt]]=""),0,tblMovement[[#This Row],[Tonnes_t]]*tblMovement[[#This Row],[Grade_gpt]]/cfg_TroyOz)</f>
        <v/>
      </c>
      <c r="O801" s="59">
        <f>IF(tblMovement[[#This Row],[Is_Ore]]=1,tblMovement[[#This Row],[Contained_oz]],0)</f>
        <v/>
      </c>
    </row>
    <row r="802">
      <c r="A802" s="54" t="n"/>
      <c r="B802" s="61" t="n"/>
      <c r="C802" s="61" t="n"/>
      <c r="D802" s="61" t="n"/>
      <c r="E802" s="61" t="n"/>
      <c r="F802" s="55" t="n"/>
      <c r="G802" s="56" t="n"/>
      <c r="H802" s="55" t="n"/>
      <c r="I802" s="62" t="n"/>
      <c r="J802" s="58" t="n"/>
      <c r="K802" s="63">
        <f>IF(tblMovement[[#This Row],[Source]]="","",IFERROR(INDEX(tblSources[Type],MATCH(tblMovement[[#This Row],[Source]],tblSources[Source],0)),"?"))</f>
        <v/>
      </c>
      <c r="L802" s="63">
        <f>IF(tblMovement[[#This Row],[Destination]]="","",IFERROR(INDEX(tblDestinations[Type],MATCH(tblMovement[[#This Row],[Destination]],tblDestinations[Destination],0)),"?"))</f>
        <v/>
      </c>
      <c r="M802" s="64">
        <f>IF(tblMovement[[#This Row],[Material]]="","",IF(LEFT(tblMovement[[#This Row],[Material]],3)="Ore",1,0))</f>
        <v/>
      </c>
      <c r="N802" s="59">
        <f>IF(OR(tblMovement[[#This Row],[Tonnes_t]]="",tblMovement[[#This Row],[Grade_gpt]]=""),0,tblMovement[[#This Row],[Tonnes_t]]*tblMovement[[#This Row],[Grade_gpt]]/cfg_TroyOz)</f>
        <v/>
      </c>
      <c r="O802" s="59">
        <f>IF(tblMovement[[#This Row],[Is_Ore]]=1,tblMovement[[#This Row],[Contained_oz]],0)</f>
        <v/>
      </c>
    </row>
    <row r="803">
      <c r="A803" s="54" t="n"/>
      <c r="B803" s="61" t="n"/>
      <c r="C803" s="61" t="n"/>
      <c r="D803" s="61" t="n"/>
      <c r="E803" s="61" t="n"/>
      <c r="F803" s="55" t="n"/>
      <c r="G803" s="56" t="n"/>
      <c r="H803" s="55" t="n"/>
      <c r="I803" s="62" t="n"/>
      <c r="J803" s="58" t="n"/>
      <c r="K803" s="63">
        <f>IF(tblMovement[[#This Row],[Source]]="","",IFERROR(INDEX(tblSources[Type],MATCH(tblMovement[[#This Row],[Source]],tblSources[Source],0)),"?"))</f>
        <v/>
      </c>
      <c r="L803" s="63">
        <f>IF(tblMovement[[#This Row],[Destination]]="","",IFERROR(INDEX(tblDestinations[Type],MATCH(tblMovement[[#This Row],[Destination]],tblDestinations[Destination],0)),"?"))</f>
        <v/>
      </c>
      <c r="M803" s="64">
        <f>IF(tblMovement[[#This Row],[Material]]="","",IF(LEFT(tblMovement[[#This Row],[Material]],3)="Ore",1,0))</f>
        <v/>
      </c>
      <c r="N803" s="59">
        <f>IF(OR(tblMovement[[#This Row],[Tonnes_t]]="",tblMovement[[#This Row],[Grade_gpt]]=""),0,tblMovement[[#This Row],[Tonnes_t]]*tblMovement[[#This Row],[Grade_gpt]]/cfg_TroyOz)</f>
        <v/>
      </c>
      <c r="O803" s="59">
        <f>IF(tblMovement[[#This Row],[Is_Ore]]=1,tblMovement[[#This Row],[Contained_oz]],0)</f>
        <v/>
      </c>
    </row>
    <row r="804">
      <c r="A804" s="54" t="n"/>
      <c r="B804" s="61" t="n"/>
      <c r="C804" s="61" t="n"/>
      <c r="D804" s="61" t="n"/>
      <c r="E804" s="61" t="n"/>
      <c r="F804" s="55" t="n"/>
      <c r="G804" s="56" t="n"/>
      <c r="H804" s="55" t="n"/>
      <c r="I804" s="62" t="n"/>
      <c r="J804" s="58" t="n"/>
      <c r="K804" s="63">
        <f>IF(tblMovement[[#This Row],[Source]]="","",IFERROR(INDEX(tblSources[Type],MATCH(tblMovement[[#This Row],[Source]],tblSources[Source],0)),"?"))</f>
        <v/>
      </c>
      <c r="L804" s="63">
        <f>IF(tblMovement[[#This Row],[Destination]]="","",IFERROR(INDEX(tblDestinations[Type],MATCH(tblMovement[[#This Row],[Destination]],tblDestinations[Destination],0)),"?"))</f>
        <v/>
      </c>
      <c r="M804" s="64">
        <f>IF(tblMovement[[#This Row],[Material]]="","",IF(LEFT(tblMovement[[#This Row],[Material]],3)="Ore",1,0))</f>
        <v/>
      </c>
      <c r="N804" s="59">
        <f>IF(OR(tblMovement[[#This Row],[Tonnes_t]]="",tblMovement[[#This Row],[Grade_gpt]]=""),0,tblMovement[[#This Row],[Tonnes_t]]*tblMovement[[#This Row],[Grade_gpt]]/cfg_TroyOz)</f>
        <v/>
      </c>
      <c r="O804" s="59">
        <f>IF(tblMovement[[#This Row],[Is_Ore]]=1,tblMovement[[#This Row],[Contained_oz]],0)</f>
        <v/>
      </c>
    </row>
    <row r="805">
      <c r="A805" s="54" t="n"/>
      <c r="B805" s="61" t="n"/>
      <c r="C805" s="61" t="n"/>
      <c r="D805" s="61" t="n"/>
      <c r="E805" s="61" t="n"/>
      <c r="F805" s="55" t="n"/>
      <c r="G805" s="56" t="n"/>
      <c r="H805" s="55" t="n"/>
      <c r="I805" s="62" t="n"/>
      <c r="J805" s="58" t="n"/>
      <c r="K805" s="63">
        <f>IF(tblMovement[[#This Row],[Source]]="","",IFERROR(INDEX(tblSources[Type],MATCH(tblMovement[[#This Row],[Source]],tblSources[Source],0)),"?"))</f>
        <v/>
      </c>
      <c r="L805" s="63">
        <f>IF(tblMovement[[#This Row],[Destination]]="","",IFERROR(INDEX(tblDestinations[Type],MATCH(tblMovement[[#This Row],[Destination]],tblDestinations[Destination],0)),"?"))</f>
        <v/>
      </c>
      <c r="M805" s="64">
        <f>IF(tblMovement[[#This Row],[Material]]="","",IF(LEFT(tblMovement[[#This Row],[Material]],3)="Ore",1,0))</f>
        <v/>
      </c>
      <c r="N805" s="59">
        <f>IF(OR(tblMovement[[#This Row],[Tonnes_t]]="",tblMovement[[#This Row],[Grade_gpt]]=""),0,tblMovement[[#This Row],[Tonnes_t]]*tblMovement[[#This Row],[Grade_gpt]]/cfg_TroyOz)</f>
        <v/>
      </c>
      <c r="O805" s="59">
        <f>IF(tblMovement[[#This Row],[Is_Ore]]=1,tblMovement[[#This Row],[Contained_oz]],0)</f>
        <v/>
      </c>
    </row>
    <row r="806">
      <c r="A806" s="54" t="n"/>
      <c r="B806" s="61" t="n"/>
      <c r="C806" s="61" t="n"/>
      <c r="D806" s="61" t="n"/>
      <c r="E806" s="61" t="n"/>
      <c r="F806" s="55" t="n"/>
      <c r="G806" s="56" t="n"/>
      <c r="H806" s="55" t="n"/>
      <c r="I806" s="62" t="n"/>
      <c r="J806" s="58" t="n"/>
      <c r="K806" s="63">
        <f>IF(tblMovement[[#This Row],[Source]]="","",IFERROR(INDEX(tblSources[Type],MATCH(tblMovement[[#This Row],[Source]],tblSources[Source],0)),"?"))</f>
        <v/>
      </c>
      <c r="L806" s="63">
        <f>IF(tblMovement[[#This Row],[Destination]]="","",IFERROR(INDEX(tblDestinations[Type],MATCH(tblMovement[[#This Row],[Destination]],tblDestinations[Destination],0)),"?"))</f>
        <v/>
      </c>
      <c r="M806" s="64">
        <f>IF(tblMovement[[#This Row],[Material]]="","",IF(LEFT(tblMovement[[#This Row],[Material]],3)="Ore",1,0))</f>
        <v/>
      </c>
      <c r="N806" s="59">
        <f>IF(OR(tblMovement[[#This Row],[Tonnes_t]]="",tblMovement[[#This Row],[Grade_gpt]]=""),0,tblMovement[[#This Row],[Tonnes_t]]*tblMovement[[#This Row],[Grade_gpt]]/cfg_TroyOz)</f>
        <v/>
      </c>
      <c r="O806" s="59">
        <f>IF(tblMovement[[#This Row],[Is_Ore]]=1,tblMovement[[#This Row],[Contained_oz]],0)</f>
        <v/>
      </c>
    </row>
    <row r="807">
      <c r="A807" s="54" t="n"/>
      <c r="B807" s="61" t="n"/>
      <c r="C807" s="61" t="n"/>
      <c r="D807" s="61" t="n"/>
      <c r="E807" s="61" t="n"/>
      <c r="F807" s="55" t="n"/>
      <c r="G807" s="56" t="n"/>
      <c r="H807" s="55" t="n"/>
      <c r="I807" s="62" t="n"/>
      <c r="J807" s="58" t="n"/>
      <c r="K807" s="63">
        <f>IF(tblMovement[[#This Row],[Source]]="","",IFERROR(INDEX(tblSources[Type],MATCH(tblMovement[[#This Row],[Source]],tblSources[Source],0)),"?"))</f>
        <v/>
      </c>
      <c r="L807" s="63">
        <f>IF(tblMovement[[#This Row],[Destination]]="","",IFERROR(INDEX(tblDestinations[Type],MATCH(tblMovement[[#This Row],[Destination]],tblDestinations[Destination],0)),"?"))</f>
        <v/>
      </c>
      <c r="M807" s="64">
        <f>IF(tblMovement[[#This Row],[Material]]="","",IF(LEFT(tblMovement[[#This Row],[Material]],3)="Ore",1,0))</f>
        <v/>
      </c>
      <c r="N807" s="59">
        <f>IF(OR(tblMovement[[#This Row],[Tonnes_t]]="",tblMovement[[#This Row],[Grade_gpt]]=""),0,tblMovement[[#This Row],[Tonnes_t]]*tblMovement[[#This Row],[Grade_gpt]]/cfg_TroyOz)</f>
        <v/>
      </c>
      <c r="O807" s="59">
        <f>IF(tblMovement[[#This Row],[Is_Ore]]=1,tblMovement[[#This Row],[Contained_oz]],0)</f>
        <v/>
      </c>
    </row>
    <row r="808">
      <c r="A808" s="54" t="n"/>
      <c r="B808" s="61" t="n"/>
      <c r="C808" s="61" t="n"/>
      <c r="D808" s="61" t="n"/>
      <c r="E808" s="61" t="n"/>
      <c r="F808" s="55" t="n"/>
      <c r="G808" s="56" t="n"/>
      <c r="H808" s="55" t="n"/>
      <c r="I808" s="62" t="n"/>
      <c r="J808" s="58" t="n"/>
      <c r="K808" s="63">
        <f>IF(tblMovement[[#This Row],[Source]]="","",IFERROR(INDEX(tblSources[Type],MATCH(tblMovement[[#This Row],[Source]],tblSources[Source],0)),"?"))</f>
        <v/>
      </c>
      <c r="L808" s="63">
        <f>IF(tblMovement[[#This Row],[Destination]]="","",IFERROR(INDEX(tblDestinations[Type],MATCH(tblMovement[[#This Row],[Destination]],tblDestinations[Destination],0)),"?"))</f>
        <v/>
      </c>
      <c r="M808" s="64">
        <f>IF(tblMovement[[#This Row],[Material]]="","",IF(LEFT(tblMovement[[#This Row],[Material]],3)="Ore",1,0))</f>
        <v/>
      </c>
      <c r="N808" s="59">
        <f>IF(OR(tblMovement[[#This Row],[Tonnes_t]]="",tblMovement[[#This Row],[Grade_gpt]]=""),0,tblMovement[[#This Row],[Tonnes_t]]*tblMovement[[#This Row],[Grade_gpt]]/cfg_TroyOz)</f>
        <v/>
      </c>
      <c r="O808" s="59">
        <f>IF(tblMovement[[#This Row],[Is_Ore]]=1,tblMovement[[#This Row],[Contained_oz]],0)</f>
        <v/>
      </c>
    </row>
    <row r="809">
      <c r="A809" s="54" t="n"/>
      <c r="B809" s="61" t="n"/>
      <c r="C809" s="61" t="n"/>
      <c r="D809" s="61" t="n"/>
      <c r="E809" s="61" t="n"/>
      <c r="F809" s="55" t="n"/>
      <c r="G809" s="56" t="n"/>
      <c r="H809" s="55" t="n"/>
      <c r="I809" s="62" t="n"/>
      <c r="J809" s="58" t="n"/>
      <c r="K809" s="63">
        <f>IF(tblMovement[[#This Row],[Source]]="","",IFERROR(INDEX(tblSources[Type],MATCH(tblMovement[[#This Row],[Source]],tblSources[Source],0)),"?"))</f>
        <v/>
      </c>
      <c r="L809" s="63">
        <f>IF(tblMovement[[#This Row],[Destination]]="","",IFERROR(INDEX(tblDestinations[Type],MATCH(tblMovement[[#This Row],[Destination]],tblDestinations[Destination],0)),"?"))</f>
        <v/>
      </c>
      <c r="M809" s="64">
        <f>IF(tblMovement[[#This Row],[Material]]="","",IF(LEFT(tblMovement[[#This Row],[Material]],3)="Ore",1,0))</f>
        <v/>
      </c>
      <c r="N809" s="59">
        <f>IF(OR(tblMovement[[#This Row],[Tonnes_t]]="",tblMovement[[#This Row],[Grade_gpt]]=""),0,tblMovement[[#This Row],[Tonnes_t]]*tblMovement[[#This Row],[Grade_gpt]]/cfg_TroyOz)</f>
        <v/>
      </c>
      <c r="O809" s="59">
        <f>IF(tblMovement[[#This Row],[Is_Ore]]=1,tblMovement[[#This Row],[Contained_oz]],0)</f>
        <v/>
      </c>
    </row>
    <row r="810">
      <c r="A810" s="54" t="n"/>
      <c r="B810" s="61" t="n"/>
      <c r="C810" s="61" t="n"/>
      <c r="D810" s="61" t="n"/>
      <c r="E810" s="61" t="n"/>
      <c r="F810" s="55" t="n"/>
      <c r="G810" s="56" t="n"/>
      <c r="H810" s="55" t="n"/>
      <c r="I810" s="62" t="n"/>
      <c r="J810" s="58" t="n"/>
      <c r="K810" s="63">
        <f>IF(tblMovement[[#This Row],[Source]]="","",IFERROR(INDEX(tblSources[Type],MATCH(tblMovement[[#This Row],[Source]],tblSources[Source],0)),"?"))</f>
        <v/>
      </c>
      <c r="L810" s="63">
        <f>IF(tblMovement[[#This Row],[Destination]]="","",IFERROR(INDEX(tblDestinations[Type],MATCH(tblMovement[[#This Row],[Destination]],tblDestinations[Destination],0)),"?"))</f>
        <v/>
      </c>
      <c r="M810" s="64">
        <f>IF(tblMovement[[#This Row],[Material]]="","",IF(LEFT(tblMovement[[#This Row],[Material]],3)="Ore",1,0))</f>
        <v/>
      </c>
      <c r="N810" s="59">
        <f>IF(OR(tblMovement[[#This Row],[Tonnes_t]]="",tblMovement[[#This Row],[Grade_gpt]]=""),0,tblMovement[[#This Row],[Tonnes_t]]*tblMovement[[#This Row],[Grade_gpt]]/cfg_TroyOz)</f>
        <v/>
      </c>
      <c r="O810" s="59">
        <f>IF(tblMovement[[#This Row],[Is_Ore]]=1,tblMovement[[#This Row],[Contained_oz]],0)</f>
        <v/>
      </c>
    </row>
    <row r="811">
      <c r="A811" s="54" t="n"/>
      <c r="B811" s="61" t="n"/>
      <c r="C811" s="61" t="n"/>
      <c r="D811" s="61" t="n"/>
      <c r="E811" s="61" t="n"/>
      <c r="F811" s="55" t="n"/>
      <c r="G811" s="56" t="n"/>
      <c r="H811" s="55" t="n"/>
      <c r="I811" s="62" t="n"/>
      <c r="J811" s="58" t="n"/>
      <c r="K811" s="63">
        <f>IF(tblMovement[[#This Row],[Source]]="","",IFERROR(INDEX(tblSources[Type],MATCH(tblMovement[[#This Row],[Source]],tblSources[Source],0)),"?"))</f>
        <v/>
      </c>
      <c r="L811" s="63">
        <f>IF(tblMovement[[#This Row],[Destination]]="","",IFERROR(INDEX(tblDestinations[Type],MATCH(tblMovement[[#This Row],[Destination]],tblDestinations[Destination],0)),"?"))</f>
        <v/>
      </c>
      <c r="M811" s="64">
        <f>IF(tblMovement[[#This Row],[Material]]="","",IF(LEFT(tblMovement[[#This Row],[Material]],3)="Ore",1,0))</f>
        <v/>
      </c>
      <c r="N811" s="59">
        <f>IF(OR(tblMovement[[#This Row],[Tonnes_t]]="",tblMovement[[#This Row],[Grade_gpt]]=""),0,tblMovement[[#This Row],[Tonnes_t]]*tblMovement[[#This Row],[Grade_gpt]]/cfg_TroyOz)</f>
        <v/>
      </c>
      <c r="O811" s="59">
        <f>IF(tblMovement[[#This Row],[Is_Ore]]=1,tblMovement[[#This Row],[Contained_oz]],0)</f>
        <v/>
      </c>
    </row>
    <row r="812">
      <c r="A812" s="54" t="n"/>
      <c r="B812" s="61" t="n"/>
      <c r="C812" s="61" t="n"/>
      <c r="D812" s="61" t="n"/>
      <c r="E812" s="61" t="n"/>
      <c r="F812" s="55" t="n"/>
      <c r="G812" s="56" t="n"/>
      <c r="H812" s="55" t="n"/>
      <c r="I812" s="62" t="n"/>
      <c r="J812" s="58" t="n"/>
      <c r="K812" s="63">
        <f>IF(tblMovement[[#This Row],[Source]]="","",IFERROR(INDEX(tblSources[Type],MATCH(tblMovement[[#This Row],[Source]],tblSources[Source],0)),"?"))</f>
        <v/>
      </c>
      <c r="L812" s="63">
        <f>IF(tblMovement[[#This Row],[Destination]]="","",IFERROR(INDEX(tblDestinations[Type],MATCH(tblMovement[[#This Row],[Destination]],tblDestinations[Destination],0)),"?"))</f>
        <v/>
      </c>
      <c r="M812" s="64">
        <f>IF(tblMovement[[#This Row],[Material]]="","",IF(LEFT(tblMovement[[#This Row],[Material]],3)="Ore",1,0))</f>
        <v/>
      </c>
      <c r="N812" s="59">
        <f>IF(OR(tblMovement[[#This Row],[Tonnes_t]]="",tblMovement[[#This Row],[Grade_gpt]]=""),0,tblMovement[[#This Row],[Tonnes_t]]*tblMovement[[#This Row],[Grade_gpt]]/cfg_TroyOz)</f>
        <v/>
      </c>
      <c r="O812" s="59">
        <f>IF(tblMovement[[#This Row],[Is_Ore]]=1,tblMovement[[#This Row],[Contained_oz]],0)</f>
        <v/>
      </c>
    </row>
    <row r="813">
      <c r="A813" s="54" t="n"/>
      <c r="B813" s="61" t="n"/>
      <c r="C813" s="61" t="n"/>
      <c r="D813" s="61" t="n"/>
      <c r="E813" s="61" t="n"/>
      <c r="F813" s="55" t="n"/>
      <c r="G813" s="56" t="n"/>
      <c r="H813" s="55" t="n"/>
      <c r="I813" s="62" t="n"/>
      <c r="J813" s="58" t="n"/>
      <c r="K813" s="63">
        <f>IF(tblMovement[[#This Row],[Source]]="","",IFERROR(INDEX(tblSources[Type],MATCH(tblMovement[[#This Row],[Source]],tblSources[Source],0)),"?"))</f>
        <v/>
      </c>
      <c r="L813" s="63">
        <f>IF(tblMovement[[#This Row],[Destination]]="","",IFERROR(INDEX(tblDestinations[Type],MATCH(tblMovement[[#This Row],[Destination]],tblDestinations[Destination],0)),"?"))</f>
        <v/>
      </c>
      <c r="M813" s="64">
        <f>IF(tblMovement[[#This Row],[Material]]="","",IF(LEFT(tblMovement[[#This Row],[Material]],3)="Ore",1,0))</f>
        <v/>
      </c>
      <c r="N813" s="59">
        <f>IF(OR(tblMovement[[#This Row],[Tonnes_t]]="",tblMovement[[#This Row],[Grade_gpt]]=""),0,tblMovement[[#This Row],[Tonnes_t]]*tblMovement[[#This Row],[Grade_gpt]]/cfg_TroyOz)</f>
        <v/>
      </c>
      <c r="O813" s="59">
        <f>IF(tblMovement[[#This Row],[Is_Ore]]=1,tblMovement[[#This Row],[Contained_oz]],0)</f>
        <v/>
      </c>
    </row>
    <row r="814">
      <c r="A814" s="54" t="n"/>
      <c r="B814" s="61" t="n"/>
      <c r="C814" s="61" t="n"/>
      <c r="D814" s="61" t="n"/>
      <c r="E814" s="61" t="n"/>
      <c r="F814" s="55" t="n"/>
      <c r="G814" s="56" t="n"/>
      <c r="H814" s="55" t="n"/>
      <c r="I814" s="62" t="n"/>
      <c r="J814" s="58" t="n"/>
      <c r="K814" s="63">
        <f>IF(tblMovement[[#This Row],[Source]]="","",IFERROR(INDEX(tblSources[Type],MATCH(tblMovement[[#This Row],[Source]],tblSources[Source],0)),"?"))</f>
        <v/>
      </c>
      <c r="L814" s="63">
        <f>IF(tblMovement[[#This Row],[Destination]]="","",IFERROR(INDEX(tblDestinations[Type],MATCH(tblMovement[[#This Row],[Destination]],tblDestinations[Destination],0)),"?"))</f>
        <v/>
      </c>
      <c r="M814" s="64">
        <f>IF(tblMovement[[#This Row],[Material]]="","",IF(LEFT(tblMovement[[#This Row],[Material]],3)="Ore",1,0))</f>
        <v/>
      </c>
      <c r="N814" s="59">
        <f>IF(OR(tblMovement[[#This Row],[Tonnes_t]]="",tblMovement[[#This Row],[Grade_gpt]]=""),0,tblMovement[[#This Row],[Tonnes_t]]*tblMovement[[#This Row],[Grade_gpt]]/cfg_TroyOz)</f>
        <v/>
      </c>
      <c r="O814" s="59">
        <f>IF(tblMovement[[#This Row],[Is_Ore]]=1,tblMovement[[#This Row],[Contained_oz]],0)</f>
        <v/>
      </c>
    </row>
    <row r="815">
      <c r="A815" s="54" t="n"/>
      <c r="B815" s="61" t="n"/>
      <c r="C815" s="61" t="n"/>
      <c r="D815" s="61" t="n"/>
      <c r="E815" s="61" t="n"/>
      <c r="F815" s="55" t="n"/>
      <c r="G815" s="56" t="n"/>
      <c r="H815" s="55" t="n"/>
      <c r="I815" s="62" t="n"/>
      <c r="J815" s="58" t="n"/>
      <c r="K815" s="63">
        <f>IF(tblMovement[[#This Row],[Source]]="","",IFERROR(INDEX(tblSources[Type],MATCH(tblMovement[[#This Row],[Source]],tblSources[Source],0)),"?"))</f>
        <v/>
      </c>
      <c r="L815" s="63">
        <f>IF(tblMovement[[#This Row],[Destination]]="","",IFERROR(INDEX(tblDestinations[Type],MATCH(tblMovement[[#This Row],[Destination]],tblDestinations[Destination],0)),"?"))</f>
        <v/>
      </c>
      <c r="M815" s="64">
        <f>IF(tblMovement[[#This Row],[Material]]="","",IF(LEFT(tblMovement[[#This Row],[Material]],3)="Ore",1,0))</f>
        <v/>
      </c>
      <c r="N815" s="59">
        <f>IF(OR(tblMovement[[#This Row],[Tonnes_t]]="",tblMovement[[#This Row],[Grade_gpt]]=""),0,tblMovement[[#This Row],[Tonnes_t]]*tblMovement[[#This Row],[Grade_gpt]]/cfg_TroyOz)</f>
        <v/>
      </c>
      <c r="O815" s="59">
        <f>IF(tblMovement[[#This Row],[Is_Ore]]=1,tblMovement[[#This Row],[Contained_oz]],0)</f>
        <v/>
      </c>
    </row>
    <row r="816">
      <c r="A816" s="54" t="n"/>
      <c r="B816" s="61" t="n"/>
      <c r="C816" s="61" t="n"/>
      <c r="D816" s="61" t="n"/>
      <c r="E816" s="61" t="n"/>
      <c r="F816" s="55" t="n"/>
      <c r="G816" s="56" t="n"/>
      <c r="H816" s="55" t="n"/>
      <c r="I816" s="62" t="n"/>
      <c r="J816" s="58" t="n"/>
      <c r="K816" s="63">
        <f>IF(tblMovement[[#This Row],[Source]]="","",IFERROR(INDEX(tblSources[Type],MATCH(tblMovement[[#This Row],[Source]],tblSources[Source],0)),"?"))</f>
        <v/>
      </c>
      <c r="L816" s="63">
        <f>IF(tblMovement[[#This Row],[Destination]]="","",IFERROR(INDEX(tblDestinations[Type],MATCH(tblMovement[[#This Row],[Destination]],tblDestinations[Destination],0)),"?"))</f>
        <v/>
      </c>
      <c r="M816" s="64">
        <f>IF(tblMovement[[#This Row],[Material]]="","",IF(LEFT(tblMovement[[#This Row],[Material]],3)="Ore",1,0))</f>
        <v/>
      </c>
      <c r="N816" s="59">
        <f>IF(OR(tblMovement[[#This Row],[Tonnes_t]]="",tblMovement[[#This Row],[Grade_gpt]]=""),0,tblMovement[[#This Row],[Tonnes_t]]*tblMovement[[#This Row],[Grade_gpt]]/cfg_TroyOz)</f>
        <v/>
      </c>
      <c r="O816" s="59">
        <f>IF(tblMovement[[#This Row],[Is_Ore]]=1,tblMovement[[#This Row],[Contained_oz]],0)</f>
        <v/>
      </c>
    </row>
    <row r="817">
      <c r="A817" s="54" t="n"/>
      <c r="B817" s="61" t="n"/>
      <c r="C817" s="61" t="n"/>
      <c r="D817" s="61" t="n"/>
      <c r="E817" s="61" t="n"/>
      <c r="F817" s="55" t="n"/>
      <c r="G817" s="56" t="n"/>
      <c r="H817" s="55" t="n"/>
      <c r="I817" s="62" t="n"/>
      <c r="J817" s="58" t="n"/>
      <c r="K817" s="63">
        <f>IF(tblMovement[[#This Row],[Source]]="","",IFERROR(INDEX(tblSources[Type],MATCH(tblMovement[[#This Row],[Source]],tblSources[Source],0)),"?"))</f>
        <v/>
      </c>
      <c r="L817" s="63">
        <f>IF(tblMovement[[#This Row],[Destination]]="","",IFERROR(INDEX(tblDestinations[Type],MATCH(tblMovement[[#This Row],[Destination]],tblDestinations[Destination],0)),"?"))</f>
        <v/>
      </c>
      <c r="M817" s="64">
        <f>IF(tblMovement[[#This Row],[Material]]="","",IF(LEFT(tblMovement[[#This Row],[Material]],3)="Ore",1,0))</f>
        <v/>
      </c>
      <c r="N817" s="59">
        <f>IF(OR(tblMovement[[#This Row],[Tonnes_t]]="",tblMovement[[#This Row],[Grade_gpt]]=""),0,tblMovement[[#This Row],[Tonnes_t]]*tblMovement[[#This Row],[Grade_gpt]]/cfg_TroyOz)</f>
        <v/>
      </c>
      <c r="O817" s="59">
        <f>IF(tblMovement[[#This Row],[Is_Ore]]=1,tblMovement[[#This Row],[Contained_oz]],0)</f>
        <v/>
      </c>
    </row>
    <row r="818">
      <c r="A818" s="54" t="n"/>
      <c r="B818" s="61" t="n"/>
      <c r="C818" s="61" t="n"/>
      <c r="D818" s="61" t="n"/>
      <c r="E818" s="61" t="n"/>
      <c r="F818" s="55" t="n"/>
      <c r="G818" s="56" t="n"/>
      <c r="H818" s="55" t="n"/>
      <c r="I818" s="62" t="n"/>
      <c r="J818" s="58" t="n"/>
      <c r="K818" s="63">
        <f>IF(tblMovement[[#This Row],[Source]]="","",IFERROR(INDEX(tblSources[Type],MATCH(tblMovement[[#This Row],[Source]],tblSources[Source],0)),"?"))</f>
        <v/>
      </c>
      <c r="L818" s="63">
        <f>IF(tblMovement[[#This Row],[Destination]]="","",IFERROR(INDEX(tblDestinations[Type],MATCH(tblMovement[[#This Row],[Destination]],tblDestinations[Destination],0)),"?"))</f>
        <v/>
      </c>
      <c r="M818" s="64">
        <f>IF(tblMovement[[#This Row],[Material]]="","",IF(LEFT(tblMovement[[#This Row],[Material]],3)="Ore",1,0))</f>
        <v/>
      </c>
      <c r="N818" s="59">
        <f>IF(OR(tblMovement[[#This Row],[Tonnes_t]]="",tblMovement[[#This Row],[Grade_gpt]]=""),0,tblMovement[[#This Row],[Tonnes_t]]*tblMovement[[#This Row],[Grade_gpt]]/cfg_TroyOz)</f>
        <v/>
      </c>
      <c r="O818" s="59">
        <f>IF(tblMovement[[#This Row],[Is_Ore]]=1,tblMovement[[#This Row],[Contained_oz]],0)</f>
        <v/>
      </c>
    </row>
    <row r="819">
      <c r="A819" s="54" t="n"/>
      <c r="B819" s="61" t="n"/>
      <c r="C819" s="61" t="n"/>
      <c r="D819" s="61" t="n"/>
      <c r="E819" s="61" t="n"/>
      <c r="F819" s="55" t="n"/>
      <c r="G819" s="56" t="n"/>
      <c r="H819" s="55" t="n"/>
      <c r="I819" s="62" t="n"/>
      <c r="J819" s="58" t="n"/>
      <c r="K819" s="63">
        <f>IF(tblMovement[[#This Row],[Source]]="","",IFERROR(INDEX(tblSources[Type],MATCH(tblMovement[[#This Row],[Source]],tblSources[Source],0)),"?"))</f>
        <v/>
      </c>
      <c r="L819" s="63">
        <f>IF(tblMovement[[#This Row],[Destination]]="","",IFERROR(INDEX(tblDestinations[Type],MATCH(tblMovement[[#This Row],[Destination]],tblDestinations[Destination],0)),"?"))</f>
        <v/>
      </c>
      <c r="M819" s="64">
        <f>IF(tblMovement[[#This Row],[Material]]="","",IF(LEFT(tblMovement[[#This Row],[Material]],3)="Ore",1,0))</f>
        <v/>
      </c>
      <c r="N819" s="59">
        <f>IF(OR(tblMovement[[#This Row],[Tonnes_t]]="",tblMovement[[#This Row],[Grade_gpt]]=""),0,tblMovement[[#This Row],[Tonnes_t]]*tblMovement[[#This Row],[Grade_gpt]]/cfg_TroyOz)</f>
        <v/>
      </c>
      <c r="O819" s="59">
        <f>IF(tblMovement[[#This Row],[Is_Ore]]=1,tblMovement[[#This Row],[Contained_oz]],0)</f>
        <v/>
      </c>
    </row>
    <row r="820">
      <c r="A820" s="54" t="n"/>
      <c r="B820" s="61" t="n"/>
      <c r="C820" s="61" t="n"/>
      <c r="D820" s="61" t="n"/>
      <c r="E820" s="61" t="n"/>
      <c r="F820" s="55" t="n"/>
      <c r="G820" s="56" t="n"/>
      <c r="H820" s="55" t="n"/>
      <c r="I820" s="62" t="n"/>
      <c r="J820" s="58" t="n"/>
      <c r="K820" s="63">
        <f>IF(tblMovement[[#This Row],[Source]]="","",IFERROR(INDEX(tblSources[Type],MATCH(tblMovement[[#This Row],[Source]],tblSources[Source],0)),"?"))</f>
        <v/>
      </c>
      <c r="L820" s="63">
        <f>IF(tblMovement[[#This Row],[Destination]]="","",IFERROR(INDEX(tblDestinations[Type],MATCH(tblMovement[[#This Row],[Destination]],tblDestinations[Destination],0)),"?"))</f>
        <v/>
      </c>
      <c r="M820" s="64">
        <f>IF(tblMovement[[#This Row],[Material]]="","",IF(LEFT(tblMovement[[#This Row],[Material]],3)="Ore",1,0))</f>
        <v/>
      </c>
      <c r="N820" s="59">
        <f>IF(OR(tblMovement[[#This Row],[Tonnes_t]]="",tblMovement[[#This Row],[Grade_gpt]]=""),0,tblMovement[[#This Row],[Tonnes_t]]*tblMovement[[#This Row],[Grade_gpt]]/cfg_TroyOz)</f>
        <v/>
      </c>
      <c r="O820" s="59">
        <f>IF(tblMovement[[#This Row],[Is_Ore]]=1,tblMovement[[#This Row],[Contained_oz]],0)</f>
        <v/>
      </c>
    </row>
    <row r="821">
      <c r="A821" s="54" t="n"/>
      <c r="B821" s="61" t="n"/>
      <c r="C821" s="61" t="n"/>
      <c r="D821" s="61" t="n"/>
      <c r="E821" s="61" t="n"/>
      <c r="F821" s="55" t="n"/>
      <c r="G821" s="56" t="n"/>
      <c r="H821" s="55" t="n"/>
      <c r="I821" s="62" t="n"/>
      <c r="J821" s="58" t="n"/>
      <c r="K821" s="63">
        <f>IF(tblMovement[[#This Row],[Source]]="","",IFERROR(INDEX(tblSources[Type],MATCH(tblMovement[[#This Row],[Source]],tblSources[Source],0)),"?"))</f>
        <v/>
      </c>
      <c r="L821" s="63">
        <f>IF(tblMovement[[#This Row],[Destination]]="","",IFERROR(INDEX(tblDestinations[Type],MATCH(tblMovement[[#This Row],[Destination]],tblDestinations[Destination],0)),"?"))</f>
        <v/>
      </c>
      <c r="M821" s="64">
        <f>IF(tblMovement[[#This Row],[Material]]="","",IF(LEFT(tblMovement[[#This Row],[Material]],3)="Ore",1,0))</f>
        <v/>
      </c>
      <c r="N821" s="59">
        <f>IF(OR(tblMovement[[#This Row],[Tonnes_t]]="",tblMovement[[#This Row],[Grade_gpt]]=""),0,tblMovement[[#This Row],[Tonnes_t]]*tblMovement[[#This Row],[Grade_gpt]]/cfg_TroyOz)</f>
        <v/>
      </c>
      <c r="O821" s="59">
        <f>IF(tblMovement[[#This Row],[Is_Ore]]=1,tblMovement[[#This Row],[Contained_oz]],0)</f>
        <v/>
      </c>
    </row>
    <row r="822">
      <c r="A822" s="54" t="n"/>
      <c r="B822" s="61" t="n"/>
      <c r="C822" s="61" t="n"/>
      <c r="D822" s="61" t="n"/>
      <c r="E822" s="61" t="n"/>
      <c r="F822" s="55" t="n"/>
      <c r="G822" s="56" t="n"/>
      <c r="H822" s="55" t="n"/>
      <c r="I822" s="62" t="n"/>
      <c r="J822" s="58" t="n"/>
      <c r="K822" s="63">
        <f>IF(tblMovement[[#This Row],[Source]]="","",IFERROR(INDEX(tblSources[Type],MATCH(tblMovement[[#This Row],[Source]],tblSources[Source],0)),"?"))</f>
        <v/>
      </c>
      <c r="L822" s="63">
        <f>IF(tblMovement[[#This Row],[Destination]]="","",IFERROR(INDEX(tblDestinations[Type],MATCH(tblMovement[[#This Row],[Destination]],tblDestinations[Destination],0)),"?"))</f>
        <v/>
      </c>
      <c r="M822" s="64">
        <f>IF(tblMovement[[#This Row],[Material]]="","",IF(LEFT(tblMovement[[#This Row],[Material]],3)="Ore",1,0))</f>
        <v/>
      </c>
      <c r="N822" s="59">
        <f>IF(OR(tblMovement[[#This Row],[Tonnes_t]]="",tblMovement[[#This Row],[Grade_gpt]]=""),0,tblMovement[[#This Row],[Tonnes_t]]*tblMovement[[#This Row],[Grade_gpt]]/cfg_TroyOz)</f>
        <v/>
      </c>
      <c r="O822" s="59">
        <f>IF(tblMovement[[#This Row],[Is_Ore]]=1,tblMovement[[#This Row],[Contained_oz]],0)</f>
        <v/>
      </c>
    </row>
    <row r="823">
      <c r="A823" s="54" t="n"/>
      <c r="B823" s="61" t="n"/>
      <c r="C823" s="61" t="n"/>
      <c r="D823" s="61" t="n"/>
      <c r="E823" s="61" t="n"/>
      <c r="F823" s="55" t="n"/>
      <c r="G823" s="56" t="n"/>
      <c r="H823" s="55" t="n"/>
      <c r="I823" s="62" t="n"/>
      <c r="J823" s="58" t="n"/>
      <c r="K823" s="63">
        <f>IF(tblMovement[[#This Row],[Source]]="","",IFERROR(INDEX(tblSources[Type],MATCH(tblMovement[[#This Row],[Source]],tblSources[Source],0)),"?"))</f>
        <v/>
      </c>
      <c r="L823" s="63">
        <f>IF(tblMovement[[#This Row],[Destination]]="","",IFERROR(INDEX(tblDestinations[Type],MATCH(tblMovement[[#This Row],[Destination]],tblDestinations[Destination],0)),"?"))</f>
        <v/>
      </c>
      <c r="M823" s="64">
        <f>IF(tblMovement[[#This Row],[Material]]="","",IF(LEFT(tblMovement[[#This Row],[Material]],3)="Ore",1,0))</f>
        <v/>
      </c>
      <c r="N823" s="59">
        <f>IF(OR(tblMovement[[#This Row],[Tonnes_t]]="",tblMovement[[#This Row],[Grade_gpt]]=""),0,tblMovement[[#This Row],[Tonnes_t]]*tblMovement[[#This Row],[Grade_gpt]]/cfg_TroyOz)</f>
        <v/>
      </c>
      <c r="O823" s="59">
        <f>IF(tblMovement[[#This Row],[Is_Ore]]=1,tblMovement[[#This Row],[Contained_oz]],0)</f>
        <v/>
      </c>
    </row>
    <row r="824">
      <c r="A824" s="54" t="n"/>
      <c r="B824" s="61" t="n"/>
      <c r="C824" s="61" t="n"/>
      <c r="D824" s="61" t="n"/>
      <c r="E824" s="61" t="n"/>
      <c r="F824" s="55" t="n"/>
      <c r="G824" s="56" t="n"/>
      <c r="H824" s="55" t="n"/>
      <c r="I824" s="62" t="n"/>
      <c r="J824" s="58" t="n"/>
      <c r="K824" s="63">
        <f>IF(tblMovement[[#This Row],[Source]]="","",IFERROR(INDEX(tblSources[Type],MATCH(tblMovement[[#This Row],[Source]],tblSources[Source],0)),"?"))</f>
        <v/>
      </c>
      <c r="L824" s="63">
        <f>IF(tblMovement[[#This Row],[Destination]]="","",IFERROR(INDEX(tblDestinations[Type],MATCH(tblMovement[[#This Row],[Destination]],tblDestinations[Destination],0)),"?"))</f>
        <v/>
      </c>
      <c r="M824" s="64">
        <f>IF(tblMovement[[#This Row],[Material]]="","",IF(LEFT(tblMovement[[#This Row],[Material]],3)="Ore",1,0))</f>
        <v/>
      </c>
      <c r="N824" s="59">
        <f>IF(OR(tblMovement[[#This Row],[Tonnes_t]]="",tblMovement[[#This Row],[Grade_gpt]]=""),0,tblMovement[[#This Row],[Tonnes_t]]*tblMovement[[#This Row],[Grade_gpt]]/cfg_TroyOz)</f>
        <v/>
      </c>
      <c r="O824" s="59">
        <f>IF(tblMovement[[#This Row],[Is_Ore]]=1,tblMovement[[#This Row],[Contained_oz]],0)</f>
        <v/>
      </c>
    </row>
    <row r="825">
      <c r="A825" s="54" t="n"/>
      <c r="B825" s="61" t="n"/>
      <c r="C825" s="61" t="n"/>
      <c r="D825" s="61" t="n"/>
      <c r="E825" s="61" t="n"/>
      <c r="F825" s="55" t="n"/>
      <c r="G825" s="56" t="n"/>
      <c r="H825" s="55" t="n"/>
      <c r="I825" s="62" t="n"/>
      <c r="J825" s="58" t="n"/>
      <c r="K825" s="63">
        <f>IF(tblMovement[[#This Row],[Source]]="","",IFERROR(INDEX(tblSources[Type],MATCH(tblMovement[[#This Row],[Source]],tblSources[Source],0)),"?"))</f>
        <v/>
      </c>
      <c r="L825" s="63">
        <f>IF(tblMovement[[#This Row],[Destination]]="","",IFERROR(INDEX(tblDestinations[Type],MATCH(tblMovement[[#This Row],[Destination]],tblDestinations[Destination],0)),"?"))</f>
        <v/>
      </c>
      <c r="M825" s="64">
        <f>IF(tblMovement[[#This Row],[Material]]="","",IF(LEFT(tblMovement[[#This Row],[Material]],3)="Ore",1,0))</f>
        <v/>
      </c>
      <c r="N825" s="59">
        <f>IF(OR(tblMovement[[#This Row],[Tonnes_t]]="",tblMovement[[#This Row],[Grade_gpt]]=""),0,tblMovement[[#This Row],[Tonnes_t]]*tblMovement[[#This Row],[Grade_gpt]]/cfg_TroyOz)</f>
        <v/>
      </c>
      <c r="O825" s="59">
        <f>IF(tblMovement[[#This Row],[Is_Ore]]=1,tblMovement[[#This Row],[Contained_oz]],0)</f>
        <v/>
      </c>
    </row>
    <row r="826">
      <c r="A826" s="54" t="n"/>
      <c r="B826" s="61" t="n"/>
      <c r="C826" s="61" t="n"/>
      <c r="D826" s="61" t="n"/>
      <c r="E826" s="61" t="n"/>
      <c r="F826" s="55" t="n"/>
      <c r="G826" s="56" t="n"/>
      <c r="H826" s="55" t="n"/>
      <c r="I826" s="62" t="n"/>
      <c r="J826" s="58" t="n"/>
      <c r="K826" s="63">
        <f>IF(tblMovement[[#This Row],[Source]]="","",IFERROR(INDEX(tblSources[Type],MATCH(tblMovement[[#This Row],[Source]],tblSources[Source],0)),"?"))</f>
        <v/>
      </c>
      <c r="L826" s="63">
        <f>IF(tblMovement[[#This Row],[Destination]]="","",IFERROR(INDEX(tblDestinations[Type],MATCH(tblMovement[[#This Row],[Destination]],tblDestinations[Destination],0)),"?"))</f>
        <v/>
      </c>
      <c r="M826" s="64">
        <f>IF(tblMovement[[#This Row],[Material]]="","",IF(LEFT(tblMovement[[#This Row],[Material]],3)="Ore",1,0))</f>
        <v/>
      </c>
      <c r="N826" s="59">
        <f>IF(OR(tblMovement[[#This Row],[Tonnes_t]]="",tblMovement[[#This Row],[Grade_gpt]]=""),0,tblMovement[[#This Row],[Tonnes_t]]*tblMovement[[#This Row],[Grade_gpt]]/cfg_TroyOz)</f>
        <v/>
      </c>
      <c r="O826" s="59">
        <f>IF(tblMovement[[#This Row],[Is_Ore]]=1,tblMovement[[#This Row],[Contained_oz]],0)</f>
        <v/>
      </c>
    </row>
    <row r="827">
      <c r="A827" s="54" t="n"/>
      <c r="B827" s="61" t="n"/>
      <c r="C827" s="61" t="n"/>
      <c r="D827" s="61" t="n"/>
      <c r="E827" s="61" t="n"/>
      <c r="F827" s="55" t="n"/>
      <c r="G827" s="56" t="n"/>
      <c r="H827" s="55" t="n"/>
      <c r="I827" s="62" t="n"/>
      <c r="J827" s="58" t="n"/>
      <c r="K827" s="63">
        <f>IF(tblMovement[[#This Row],[Source]]="","",IFERROR(INDEX(tblSources[Type],MATCH(tblMovement[[#This Row],[Source]],tblSources[Source],0)),"?"))</f>
        <v/>
      </c>
      <c r="L827" s="63">
        <f>IF(tblMovement[[#This Row],[Destination]]="","",IFERROR(INDEX(tblDestinations[Type],MATCH(tblMovement[[#This Row],[Destination]],tblDestinations[Destination],0)),"?"))</f>
        <v/>
      </c>
      <c r="M827" s="64">
        <f>IF(tblMovement[[#This Row],[Material]]="","",IF(LEFT(tblMovement[[#This Row],[Material]],3)="Ore",1,0))</f>
        <v/>
      </c>
      <c r="N827" s="59">
        <f>IF(OR(tblMovement[[#This Row],[Tonnes_t]]="",tblMovement[[#This Row],[Grade_gpt]]=""),0,tblMovement[[#This Row],[Tonnes_t]]*tblMovement[[#This Row],[Grade_gpt]]/cfg_TroyOz)</f>
        <v/>
      </c>
      <c r="O827" s="59">
        <f>IF(tblMovement[[#This Row],[Is_Ore]]=1,tblMovement[[#This Row],[Contained_oz]],0)</f>
        <v/>
      </c>
    </row>
    <row r="828">
      <c r="A828" s="54" t="n"/>
      <c r="B828" s="61" t="n"/>
      <c r="C828" s="61" t="n"/>
      <c r="D828" s="61" t="n"/>
      <c r="E828" s="61" t="n"/>
      <c r="F828" s="55" t="n"/>
      <c r="G828" s="56" t="n"/>
      <c r="H828" s="55" t="n"/>
      <c r="I828" s="62" t="n"/>
      <c r="J828" s="58" t="n"/>
      <c r="K828" s="63">
        <f>IF(tblMovement[[#This Row],[Source]]="","",IFERROR(INDEX(tblSources[Type],MATCH(tblMovement[[#This Row],[Source]],tblSources[Source],0)),"?"))</f>
        <v/>
      </c>
      <c r="L828" s="63">
        <f>IF(tblMovement[[#This Row],[Destination]]="","",IFERROR(INDEX(tblDestinations[Type],MATCH(tblMovement[[#This Row],[Destination]],tblDestinations[Destination],0)),"?"))</f>
        <v/>
      </c>
      <c r="M828" s="64">
        <f>IF(tblMovement[[#This Row],[Material]]="","",IF(LEFT(tblMovement[[#This Row],[Material]],3)="Ore",1,0))</f>
        <v/>
      </c>
      <c r="N828" s="59">
        <f>IF(OR(tblMovement[[#This Row],[Tonnes_t]]="",tblMovement[[#This Row],[Grade_gpt]]=""),0,tblMovement[[#This Row],[Tonnes_t]]*tblMovement[[#This Row],[Grade_gpt]]/cfg_TroyOz)</f>
        <v/>
      </c>
      <c r="O828" s="59">
        <f>IF(tblMovement[[#This Row],[Is_Ore]]=1,tblMovement[[#This Row],[Contained_oz]],0)</f>
        <v/>
      </c>
    </row>
    <row r="829">
      <c r="A829" s="54" t="n"/>
      <c r="B829" s="61" t="n"/>
      <c r="C829" s="61" t="n"/>
      <c r="D829" s="61" t="n"/>
      <c r="E829" s="61" t="n"/>
      <c r="F829" s="55" t="n"/>
      <c r="G829" s="56" t="n"/>
      <c r="H829" s="55" t="n"/>
      <c r="I829" s="62" t="n"/>
      <c r="J829" s="58" t="n"/>
      <c r="K829" s="63">
        <f>IF(tblMovement[[#This Row],[Source]]="","",IFERROR(INDEX(tblSources[Type],MATCH(tblMovement[[#This Row],[Source]],tblSources[Source],0)),"?"))</f>
        <v/>
      </c>
      <c r="L829" s="63">
        <f>IF(tblMovement[[#This Row],[Destination]]="","",IFERROR(INDEX(tblDestinations[Type],MATCH(tblMovement[[#This Row],[Destination]],tblDestinations[Destination],0)),"?"))</f>
        <v/>
      </c>
      <c r="M829" s="64">
        <f>IF(tblMovement[[#This Row],[Material]]="","",IF(LEFT(tblMovement[[#This Row],[Material]],3)="Ore",1,0))</f>
        <v/>
      </c>
      <c r="N829" s="59">
        <f>IF(OR(tblMovement[[#This Row],[Tonnes_t]]="",tblMovement[[#This Row],[Grade_gpt]]=""),0,tblMovement[[#This Row],[Tonnes_t]]*tblMovement[[#This Row],[Grade_gpt]]/cfg_TroyOz)</f>
        <v/>
      </c>
      <c r="O829" s="59">
        <f>IF(tblMovement[[#This Row],[Is_Ore]]=1,tblMovement[[#This Row],[Contained_oz]],0)</f>
        <v/>
      </c>
    </row>
    <row r="830">
      <c r="A830" s="54" t="n"/>
      <c r="B830" s="61" t="n"/>
      <c r="C830" s="61" t="n"/>
      <c r="D830" s="61" t="n"/>
      <c r="E830" s="61" t="n"/>
      <c r="F830" s="55" t="n"/>
      <c r="G830" s="56" t="n"/>
      <c r="H830" s="55" t="n"/>
      <c r="I830" s="62" t="n"/>
      <c r="J830" s="58" t="n"/>
      <c r="K830" s="63">
        <f>IF(tblMovement[[#This Row],[Source]]="","",IFERROR(INDEX(tblSources[Type],MATCH(tblMovement[[#This Row],[Source]],tblSources[Source],0)),"?"))</f>
        <v/>
      </c>
      <c r="L830" s="63">
        <f>IF(tblMovement[[#This Row],[Destination]]="","",IFERROR(INDEX(tblDestinations[Type],MATCH(tblMovement[[#This Row],[Destination]],tblDestinations[Destination],0)),"?"))</f>
        <v/>
      </c>
      <c r="M830" s="64">
        <f>IF(tblMovement[[#This Row],[Material]]="","",IF(LEFT(tblMovement[[#This Row],[Material]],3)="Ore",1,0))</f>
        <v/>
      </c>
      <c r="N830" s="59">
        <f>IF(OR(tblMovement[[#This Row],[Tonnes_t]]="",tblMovement[[#This Row],[Grade_gpt]]=""),0,tblMovement[[#This Row],[Tonnes_t]]*tblMovement[[#This Row],[Grade_gpt]]/cfg_TroyOz)</f>
        <v/>
      </c>
      <c r="O830" s="59">
        <f>IF(tblMovement[[#This Row],[Is_Ore]]=1,tblMovement[[#This Row],[Contained_oz]],0)</f>
        <v/>
      </c>
    </row>
    <row r="831">
      <c r="A831" s="54" t="n"/>
      <c r="B831" s="61" t="n"/>
      <c r="C831" s="61" t="n"/>
      <c r="D831" s="61" t="n"/>
      <c r="E831" s="61" t="n"/>
      <c r="F831" s="55" t="n"/>
      <c r="G831" s="56" t="n"/>
      <c r="H831" s="55" t="n"/>
      <c r="I831" s="62" t="n"/>
      <c r="J831" s="58" t="n"/>
      <c r="K831" s="63">
        <f>IF(tblMovement[[#This Row],[Source]]="","",IFERROR(INDEX(tblSources[Type],MATCH(tblMovement[[#This Row],[Source]],tblSources[Source],0)),"?"))</f>
        <v/>
      </c>
      <c r="L831" s="63">
        <f>IF(tblMovement[[#This Row],[Destination]]="","",IFERROR(INDEX(tblDestinations[Type],MATCH(tblMovement[[#This Row],[Destination]],tblDestinations[Destination],0)),"?"))</f>
        <v/>
      </c>
      <c r="M831" s="64">
        <f>IF(tblMovement[[#This Row],[Material]]="","",IF(LEFT(tblMovement[[#This Row],[Material]],3)="Ore",1,0))</f>
        <v/>
      </c>
      <c r="N831" s="59">
        <f>IF(OR(tblMovement[[#This Row],[Tonnes_t]]="",tblMovement[[#This Row],[Grade_gpt]]=""),0,tblMovement[[#This Row],[Tonnes_t]]*tblMovement[[#This Row],[Grade_gpt]]/cfg_TroyOz)</f>
        <v/>
      </c>
      <c r="O831" s="59">
        <f>IF(tblMovement[[#This Row],[Is_Ore]]=1,tblMovement[[#This Row],[Contained_oz]],0)</f>
        <v/>
      </c>
    </row>
    <row r="832">
      <c r="A832" s="54" t="n"/>
      <c r="B832" s="61" t="n"/>
      <c r="C832" s="61" t="n"/>
      <c r="D832" s="61" t="n"/>
      <c r="E832" s="61" t="n"/>
      <c r="F832" s="55" t="n"/>
      <c r="G832" s="56" t="n"/>
      <c r="H832" s="55" t="n"/>
      <c r="I832" s="62" t="n"/>
      <c r="J832" s="58" t="n"/>
      <c r="K832" s="63">
        <f>IF(tblMovement[[#This Row],[Source]]="","",IFERROR(INDEX(tblSources[Type],MATCH(tblMovement[[#This Row],[Source]],tblSources[Source],0)),"?"))</f>
        <v/>
      </c>
      <c r="L832" s="63">
        <f>IF(tblMovement[[#This Row],[Destination]]="","",IFERROR(INDEX(tblDestinations[Type],MATCH(tblMovement[[#This Row],[Destination]],tblDestinations[Destination],0)),"?"))</f>
        <v/>
      </c>
      <c r="M832" s="64">
        <f>IF(tblMovement[[#This Row],[Material]]="","",IF(LEFT(tblMovement[[#This Row],[Material]],3)="Ore",1,0))</f>
        <v/>
      </c>
      <c r="N832" s="59">
        <f>IF(OR(tblMovement[[#This Row],[Tonnes_t]]="",tblMovement[[#This Row],[Grade_gpt]]=""),0,tblMovement[[#This Row],[Tonnes_t]]*tblMovement[[#This Row],[Grade_gpt]]/cfg_TroyOz)</f>
        <v/>
      </c>
      <c r="O832" s="59">
        <f>IF(tblMovement[[#This Row],[Is_Ore]]=1,tblMovement[[#This Row],[Contained_oz]],0)</f>
        <v/>
      </c>
    </row>
    <row r="833">
      <c r="A833" s="54" t="n"/>
      <c r="B833" s="61" t="n"/>
      <c r="C833" s="61" t="n"/>
      <c r="D833" s="61" t="n"/>
      <c r="E833" s="61" t="n"/>
      <c r="F833" s="55" t="n"/>
      <c r="G833" s="56" t="n"/>
      <c r="H833" s="55" t="n"/>
      <c r="I833" s="62" t="n"/>
      <c r="J833" s="58" t="n"/>
      <c r="K833" s="63">
        <f>IF(tblMovement[[#This Row],[Source]]="","",IFERROR(INDEX(tblSources[Type],MATCH(tblMovement[[#This Row],[Source]],tblSources[Source],0)),"?"))</f>
        <v/>
      </c>
      <c r="L833" s="63">
        <f>IF(tblMovement[[#This Row],[Destination]]="","",IFERROR(INDEX(tblDestinations[Type],MATCH(tblMovement[[#This Row],[Destination]],tblDestinations[Destination],0)),"?"))</f>
        <v/>
      </c>
      <c r="M833" s="64">
        <f>IF(tblMovement[[#This Row],[Material]]="","",IF(LEFT(tblMovement[[#This Row],[Material]],3)="Ore",1,0))</f>
        <v/>
      </c>
      <c r="N833" s="59">
        <f>IF(OR(tblMovement[[#This Row],[Tonnes_t]]="",tblMovement[[#This Row],[Grade_gpt]]=""),0,tblMovement[[#This Row],[Tonnes_t]]*tblMovement[[#This Row],[Grade_gpt]]/cfg_TroyOz)</f>
        <v/>
      </c>
      <c r="O833" s="59">
        <f>IF(tblMovement[[#This Row],[Is_Ore]]=1,tblMovement[[#This Row],[Contained_oz]],0)</f>
        <v/>
      </c>
    </row>
    <row r="834">
      <c r="A834" s="54" t="n"/>
      <c r="B834" s="61" t="n"/>
      <c r="C834" s="61" t="n"/>
      <c r="D834" s="61" t="n"/>
      <c r="E834" s="61" t="n"/>
      <c r="F834" s="55" t="n"/>
      <c r="G834" s="56" t="n"/>
      <c r="H834" s="55" t="n"/>
      <c r="I834" s="62" t="n"/>
      <c r="J834" s="58" t="n"/>
      <c r="K834" s="63">
        <f>IF(tblMovement[[#This Row],[Source]]="","",IFERROR(INDEX(tblSources[Type],MATCH(tblMovement[[#This Row],[Source]],tblSources[Source],0)),"?"))</f>
        <v/>
      </c>
      <c r="L834" s="63">
        <f>IF(tblMovement[[#This Row],[Destination]]="","",IFERROR(INDEX(tblDestinations[Type],MATCH(tblMovement[[#This Row],[Destination]],tblDestinations[Destination],0)),"?"))</f>
        <v/>
      </c>
      <c r="M834" s="64">
        <f>IF(tblMovement[[#This Row],[Material]]="","",IF(LEFT(tblMovement[[#This Row],[Material]],3)="Ore",1,0))</f>
        <v/>
      </c>
      <c r="N834" s="59">
        <f>IF(OR(tblMovement[[#This Row],[Tonnes_t]]="",tblMovement[[#This Row],[Grade_gpt]]=""),0,tblMovement[[#This Row],[Tonnes_t]]*tblMovement[[#This Row],[Grade_gpt]]/cfg_TroyOz)</f>
        <v/>
      </c>
      <c r="O834" s="59">
        <f>IF(tblMovement[[#This Row],[Is_Ore]]=1,tblMovement[[#This Row],[Contained_oz]],0)</f>
        <v/>
      </c>
    </row>
    <row r="835">
      <c r="A835" s="54" t="n"/>
      <c r="B835" s="61" t="n"/>
      <c r="C835" s="61" t="n"/>
      <c r="D835" s="61" t="n"/>
      <c r="E835" s="61" t="n"/>
      <c r="F835" s="55" t="n"/>
      <c r="G835" s="56" t="n"/>
      <c r="H835" s="55" t="n"/>
      <c r="I835" s="62" t="n"/>
      <c r="J835" s="58" t="n"/>
      <c r="K835" s="63">
        <f>IF(tblMovement[[#This Row],[Source]]="","",IFERROR(INDEX(tblSources[Type],MATCH(tblMovement[[#This Row],[Source]],tblSources[Source],0)),"?"))</f>
        <v/>
      </c>
      <c r="L835" s="63">
        <f>IF(tblMovement[[#This Row],[Destination]]="","",IFERROR(INDEX(tblDestinations[Type],MATCH(tblMovement[[#This Row],[Destination]],tblDestinations[Destination],0)),"?"))</f>
        <v/>
      </c>
      <c r="M835" s="64">
        <f>IF(tblMovement[[#This Row],[Material]]="","",IF(LEFT(tblMovement[[#This Row],[Material]],3)="Ore",1,0))</f>
        <v/>
      </c>
      <c r="N835" s="59">
        <f>IF(OR(tblMovement[[#This Row],[Tonnes_t]]="",tblMovement[[#This Row],[Grade_gpt]]=""),0,tblMovement[[#This Row],[Tonnes_t]]*tblMovement[[#This Row],[Grade_gpt]]/cfg_TroyOz)</f>
        <v/>
      </c>
      <c r="O835" s="59">
        <f>IF(tblMovement[[#This Row],[Is_Ore]]=1,tblMovement[[#This Row],[Contained_oz]],0)</f>
        <v/>
      </c>
    </row>
    <row r="836">
      <c r="A836" s="54" t="n"/>
      <c r="B836" s="61" t="n"/>
      <c r="C836" s="61" t="n"/>
      <c r="D836" s="61" t="n"/>
      <c r="E836" s="61" t="n"/>
      <c r="F836" s="55" t="n"/>
      <c r="G836" s="56" t="n"/>
      <c r="H836" s="55" t="n"/>
      <c r="I836" s="62" t="n"/>
      <c r="J836" s="58" t="n"/>
      <c r="K836" s="63">
        <f>IF(tblMovement[[#This Row],[Source]]="","",IFERROR(INDEX(tblSources[Type],MATCH(tblMovement[[#This Row],[Source]],tblSources[Source],0)),"?"))</f>
        <v/>
      </c>
      <c r="L836" s="63">
        <f>IF(tblMovement[[#This Row],[Destination]]="","",IFERROR(INDEX(tblDestinations[Type],MATCH(tblMovement[[#This Row],[Destination]],tblDestinations[Destination],0)),"?"))</f>
        <v/>
      </c>
      <c r="M836" s="64">
        <f>IF(tblMovement[[#This Row],[Material]]="","",IF(LEFT(tblMovement[[#This Row],[Material]],3)="Ore",1,0))</f>
        <v/>
      </c>
      <c r="N836" s="59">
        <f>IF(OR(tblMovement[[#This Row],[Tonnes_t]]="",tblMovement[[#This Row],[Grade_gpt]]=""),0,tblMovement[[#This Row],[Tonnes_t]]*tblMovement[[#This Row],[Grade_gpt]]/cfg_TroyOz)</f>
        <v/>
      </c>
      <c r="O836" s="59">
        <f>IF(tblMovement[[#This Row],[Is_Ore]]=1,tblMovement[[#This Row],[Contained_oz]],0)</f>
        <v/>
      </c>
    </row>
    <row r="837">
      <c r="A837" s="54" t="n"/>
      <c r="B837" s="61" t="n"/>
      <c r="C837" s="61" t="n"/>
      <c r="D837" s="61" t="n"/>
      <c r="E837" s="61" t="n"/>
      <c r="F837" s="55" t="n"/>
      <c r="G837" s="56" t="n"/>
      <c r="H837" s="55" t="n"/>
      <c r="I837" s="62" t="n"/>
      <c r="J837" s="58" t="n"/>
      <c r="K837" s="63">
        <f>IF(tblMovement[[#This Row],[Source]]="","",IFERROR(INDEX(tblSources[Type],MATCH(tblMovement[[#This Row],[Source]],tblSources[Source],0)),"?"))</f>
        <v/>
      </c>
      <c r="L837" s="63">
        <f>IF(tblMovement[[#This Row],[Destination]]="","",IFERROR(INDEX(tblDestinations[Type],MATCH(tblMovement[[#This Row],[Destination]],tblDestinations[Destination],0)),"?"))</f>
        <v/>
      </c>
      <c r="M837" s="64">
        <f>IF(tblMovement[[#This Row],[Material]]="","",IF(LEFT(tblMovement[[#This Row],[Material]],3)="Ore",1,0))</f>
        <v/>
      </c>
      <c r="N837" s="59">
        <f>IF(OR(tblMovement[[#This Row],[Tonnes_t]]="",tblMovement[[#This Row],[Grade_gpt]]=""),0,tblMovement[[#This Row],[Tonnes_t]]*tblMovement[[#This Row],[Grade_gpt]]/cfg_TroyOz)</f>
        <v/>
      </c>
      <c r="O837" s="59">
        <f>IF(tblMovement[[#This Row],[Is_Ore]]=1,tblMovement[[#This Row],[Contained_oz]],0)</f>
        <v/>
      </c>
    </row>
    <row r="838">
      <c r="A838" s="54" t="n"/>
      <c r="B838" s="61" t="n"/>
      <c r="C838" s="61" t="n"/>
      <c r="D838" s="61" t="n"/>
      <c r="E838" s="61" t="n"/>
      <c r="F838" s="55" t="n"/>
      <c r="G838" s="56" t="n"/>
      <c r="H838" s="55" t="n"/>
      <c r="I838" s="62" t="n"/>
      <c r="J838" s="58" t="n"/>
      <c r="K838" s="63">
        <f>IF(tblMovement[[#This Row],[Source]]="","",IFERROR(INDEX(tblSources[Type],MATCH(tblMovement[[#This Row],[Source]],tblSources[Source],0)),"?"))</f>
        <v/>
      </c>
      <c r="L838" s="63">
        <f>IF(tblMovement[[#This Row],[Destination]]="","",IFERROR(INDEX(tblDestinations[Type],MATCH(tblMovement[[#This Row],[Destination]],tblDestinations[Destination],0)),"?"))</f>
        <v/>
      </c>
      <c r="M838" s="64">
        <f>IF(tblMovement[[#This Row],[Material]]="","",IF(LEFT(tblMovement[[#This Row],[Material]],3)="Ore",1,0))</f>
        <v/>
      </c>
      <c r="N838" s="59">
        <f>IF(OR(tblMovement[[#This Row],[Tonnes_t]]="",tblMovement[[#This Row],[Grade_gpt]]=""),0,tblMovement[[#This Row],[Tonnes_t]]*tblMovement[[#This Row],[Grade_gpt]]/cfg_TroyOz)</f>
        <v/>
      </c>
      <c r="O838" s="59">
        <f>IF(tblMovement[[#This Row],[Is_Ore]]=1,tblMovement[[#This Row],[Contained_oz]],0)</f>
        <v/>
      </c>
    </row>
    <row r="839">
      <c r="A839" s="54" t="n"/>
      <c r="B839" s="61" t="n"/>
      <c r="C839" s="61" t="n"/>
      <c r="D839" s="61" t="n"/>
      <c r="E839" s="61" t="n"/>
      <c r="F839" s="55" t="n"/>
      <c r="G839" s="56" t="n"/>
      <c r="H839" s="55" t="n"/>
      <c r="I839" s="62" t="n"/>
      <c r="J839" s="58" t="n"/>
      <c r="K839" s="63">
        <f>IF(tblMovement[[#This Row],[Source]]="","",IFERROR(INDEX(tblSources[Type],MATCH(tblMovement[[#This Row],[Source]],tblSources[Source],0)),"?"))</f>
        <v/>
      </c>
      <c r="L839" s="63">
        <f>IF(tblMovement[[#This Row],[Destination]]="","",IFERROR(INDEX(tblDestinations[Type],MATCH(tblMovement[[#This Row],[Destination]],tblDestinations[Destination],0)),"?"))</f>
        <v/>
      </c>
      <c r="M839" s="64">
        <f>IF(tblMovement[[#This Row],[Material]]="","",IF(LEFT(tblMovement[[#This Row],[Material]],3)="Ore",1,0))</f>
        <v/>
      </c>
      <c r="N839" s="59">
        <f>IF(OR(tblMovement[[#This Row],[Tonnes_t]]="",tblMovement[[#This Row],[Grade_gpt]]=""),0,tblMovement[[#This Row],[Tonnes_t]]*tblMovement[[#This Row],[Grade_gpt]]/cfg_TroyOz)</f>
        <v/>
      </c>
      <c r="O839" s="59">
        <f>IF(tblMovement[[#This Row],[Is_Ore]]=1,tblMovement[[#This Row],[Contained_oz]],0)</f>
        <v/>
      </c>
    </row>
    <row r="840">
      <c r="A840" s="54" t="n"/>
      <c r="B840" s="61" t="n"/>
      <c r="C840" s="61" t="n"/>
      <c r="D840" s="61" t="n"/>
      <c r="E840" s="61" t="n"/>
      <c r="F840" s="55" t="n"/>
      <c r="G840" s="56" t="n"/>
      <c r="H840" s="55" t="n"/>
      <c r="I840" s="62" t="n"/>
      <c r="J840" s="58" t="n"/>
      <c r="K840" s="63">
        <f>IF(tblMovement[[#This Row],[Source]]="","",IFERROR(INDEX(tblSources[Type],MATCH(tblMovement[[#This Row],[Source]],tblSources[Source],0)),"?"))</f>
        <v/>
      </c>
      <c r="L840" s="63">
        <f>IF(tblMovement[[#This Row],[Destination]]="","",IFERROR(INDEX(tblDestinations[Type],MATCH(tblMovement[[#This Row],[Destination]],tblDestinations[Destination],0)),"?"))</f>
        <v/>
      </c>
      <c r="M840" s="64">
        <f>IF(tblMovement[[#This Row],[Material]]="","",IF(LEFT(tblMovement[[#This Row],[Material]],3)="Ore",1,0))</f>
        <v/>
      </c>
      <c r="N840" s="59">
        <f>IF(OR(tblMovement[[#This Row],[Tonnes_t]]="",tblMovement[[#This Row],[Grade_gpt]]=""),0,tblMovement[[#This Row],[Tonnes_t]]*tblMovement[[#This Row],[Grade_gpt]]/cfg_TroyOz)</f>
        <v/>
      </c>
      <c r="O840" s="59">
        <f>IF(tblMovement[[#This Row],[Is_Ore]]=1,tblMovement[[#This Row],[Contained_oz]],0)</f>
        <v/>
      </c>
    </row>
    <row r="841">
      <c r="A841" s="54" t="n"/>
      <c r="B841" s="61" t="n"/>
      <c r="C841" s="61" t="n"/>
      <c r="D841" s="61" t="n"/>
      <c r="E841" s="61" t="n"/>
      <c r="F841" s="55" t="n"/>
      <c r="G841" s="56" t="n"/>
      <c r="H841" s="55" t="n"/>
      <c r="I841" s="62" t="n"/>
      <c r="J841" s="58" t="n"/>
      <c r="K841" s="63">
        <f>IF(tblMovement[[#This Row],[Source]]="","",IFERROR(INDEX(tblSources[Type],MATCH(tblMovement[[#This Row],[Source]],tblSources[Source],0)),"?"))</f>
        <v/>
      </c>
      <c r="L841" s="63">
        <f>IF(tblMovement[[#This Row],[Destination]]="","",IFERROR(INDEX(tblDestinations[Type],MATCH(tblMovement[[#This Row],[Destination]],tblDestinations[Destination],0)),"?"))</f>
        <v/>
      </c>
      <c r="M841" s="64">
        <f>IF(tblMovement[[#This Row],[Material]]="","",IF(LEFT(tblMovement[[#This Row],[Material]],3)="Ore",1,0))</f>
        <v/>
      </c>
      <c r="N841" s="59">
        <f>IF(OR(tblMovement[[#This Row],[Tonnes_t]]="",tblMovement[[#This Row],[Grade_gpt]]=""),0,tblMovement[[#This Row],[Tonnes_t]]*tblMovement[[#This Row],[Grade_gpt]]/cfg_TroyOz)</f>
        <v/>
      </c>
      <c r="O841" s="59">
        <f>IF(tblMovement[[#This Row],[Is_Ore]]=1,tblMovement[[#This Row],[Contained_oz]],0)</f>
        <v/>
      </c>
    </row>
    <row r="842">
      <c r="A842" s="54" t="n"/>
      <c r="B842" s="61" t="n"/>
      <c r="C842" s="61" t="n"/>
      <c r="D842" s="61" t="n"/>
      <c r="E842" s="61" t="n"/>
      <c r="F842" s="55" t="n"/>
      <c r="G842" s="56" t="n"/>
      <c r="H842" s="55" t="n"/>
      <c r="I842" s="62" t="n"/>
      <c r="J842" s="58" t="n"/>
      <c r="K842" s="63">
        <f>IF(tblMovement[[#This Row],[Source]]="","",IFERROR(INDEX(tblSources[Type],MATCH(tblMovement[[#This Row],[Source]],tblSources[Source],0)),"?"))</f>
        <v/>
      </c>
      <c r="L842" s="63">
        <f>IF(tblMovement[[#This Row],[Destination]]="","",IFERROR(INDEX(tblDestinations[Type],MATCH(tblMovement[[#This Row],[Destination]],tblDestinations[Destination],0)),"?"))</f>
        <v/>
      </c>
      <c r="M842" s="64">
        <f>IF(tblMovement[[#This Row],[Material]]="","",IF(LEFT(tblMovement[[#This Row],[Material]],3)="Ore",1,0))</f>
        <v/>
      </c>
      <c r="N842" s="59">
        <f>IF(OR(tblMovement[[#This Row],[Tonnes_t]]="",tblMovement[[#This Row],[Grade_gpt]]=""),0,tblMovement[[#This Row],[Tonnes_t]]*tblMovement[[#This Row],[Grade_gpt]]/cfg_TroyOz)</f>
        <v/>
      </c>
      <c r="O842" s="59">
        <f>IF(tblMovement[[#This Row],[Is_Ore]]=1,tblMovement[[#This Row],[Contained_oz]],0)</f>
        <v/>
      </c>
    </row>
    <row r="843">
      <c r="A843" s="54" t="n"/>
      <c r="B843" s="61" t="n"/>
      <c r="C843" s="61" t="n"/>
      <c r="D843" s="61" t="n"/>
      <c r="E843" s="61" t="n"/>
      <c r="F843" s="55" t="n"/>
      <c r="G843" s="56" t="n"/>
      <c r="H843" s="55" t="n"/>
      <c r="I843" s="62" t="n"/>
      <c r="J843" s="58" t="n"/>
      <c r="K843" s="63">
        <f>IF(tblMovement[[#This Row],[Source]]="","",IFERROR(INDEX(tblSources[Type],MATCH(tblMovement[[#This Row],[Source]],tblSources[Source],0)),"?"))</f>
        <v/>
      </c>
      <c r="L843" s="63">
        <f>IF(tblMovement[[#This Row],[Destination]]="","",IFERROR(INDEX(tblDestinations[Type],MATCH(tblMovement[[#This Row],[Destination]],tblDestinations[Destination],0)),"?"))</f>
        <v/>
      </c>
      <c r="M843" s="64">
        <f>IF(tblMovement[[#This Row],[Material]]="","",IF(LEFT(tblMovement[[#This Row],[Material]],3)="Ore",1,0))</f>
        <v/>
      </c>
      <c r="N843" s="59">
        <f>IF(OR(tblMovement[[#This Row],[Tonnes_t]]="",tblMovement[[#This Row],[Grade_gpt]]=""),0,tblMovement[[#This Row],[Tonnes_t]]*tblMovement[[#This Row],[Grade_gpt]]/cfg_TroyOz)</f>
        <v/>
      </c>
      <c r="O843" s="59">
        <f>IF(tblMovement[[#This Row],[Is_Ore]]=1,tblMovement[[#This Row],[Contained_oz]],0)</f>
        <v/>
      </c>
    </row>
    <row r="844">
      <c r="A844" s="54" t="n"/>
      <c r="B844" s="61" t="n"/>
      <c r="C844" s="61" t="n"/>
      <c r="D844" s="61" t="n"/>
      <c r="E844" s="61" t="n"/>
      <c r="F844" s="55" t="n"/>
      <c r="G844" s="56" t="n"/>
      <c r="H844" s="55" t="n"/>
      <c r="I844" s="62" t="n"/>
      <c r="J844" s="58" t="n"/>
      <c r="K844" s="63">
        <f>IF(tblMovement[[#This Row],[Source]]="","",IFERROR(INDEX(tblSources[Type],MATCH(tblMovement[[#This Row],[Source]],tblSources[Source],0)),"?"))</f>
        <v/>
      </c>
      <c r="L844" s="63">
        <f>IF(tblMovement[[#This Row],[Destination]]="","",IFERROR(INDEX(tblDestinations[Type],MATCH(tblMovement[[#This Row],[Destination]],tblDestinations[Destination],0)),"?"))</f>
        <v/>
      </c>
      <c r="M844" s="64">
        <f>IF(tblMovement[[#This Row],[Material]]="","",IF(LEFT(tblMovement[[#This Row],[Material]],3)="Ore",1,0))</f>
        <v/>
      </c>
      <c r="N844" s="59">
        <f>IF(OR(tblMovement[[#This Row],[Tonnes_t]]="",tblMovement[[#This Row],[Grade_gpt]]=""),0,tblMovement[[#This Row],[Tonnes_t]]*tblMovement[[#This Row],[Grade_gpt]]/cfg_TroyOz)</f>
        <v/>
      </c>
      <c r="O844" s="59">
        <f>IF(tblMovement[[#This Row],[Is_Ore]]=1,tblMovement[[#This Row],[Contained_oz]],0)</f>
        <v/>
      </c>
    </row>
    <row r="845">
      <c r="A845" s="54" t="n"/>
      <c r="B845" s="61" t="n"/>
      <c r="C845" s="61" t="n"/>
      <c r="D845" s="61" t="n"/>
      <c r="E845" s="61" t="n"/>
      <c r="F845" s="55" t="n"/>
      <c r="G845" s="56" t="n"/>
      <c r="H845" s="55" t="n"/>
      <c r="I845" s="62" t="n"/>
      <c r="J845" s="58" t="n"/>
      <c r="K845" s="63">
        <f>IF(tblMovement[[#This Row],[Source]]="","",IFERROR(INDEX(tblSources[Type],MATCH(tblMovement[[#This Row],[Source]],tblSources[Source],0)),"?"))</f>
        <v/>
      </c>
      <c r="L845" s="63">
        <f>IF(tblMovement[[#This Row],[Destination]]="","",IFERROR(INDEX(tblDestinations[Type],MATCH(tblMovement[[#This Row],[Destination]],tblDestinations[Destination],0)),"?"))</f>
        <v/>
      </c>
      <c r="M845" s="64">
        <f>IF(tblMovement[[#This Row],[Material]]="","",IF(LEFT(tblMovement[[#This Row],[Material]],3)="Ore",1,0))</f>
        <v/>
      </c>
      <c r="N845" s="59">
        <f>IF(OR(tblMovement[[#This Row],[Tonnes_t]]="",tblMovement[[#This Row],[Grade_gpt]]=""),0,tblMovement[[#This Row],[Tonnes_t]]*tblMovement[[#This Row],[Grade_gpt]]/cfg_TroyOz)</f>
        <v/>
      </c>
      <c r="O845" s="59">
        <f>IF(tblMovement[[#This Row],[Is_Ore]]=1,tblMovement[[#This Row],[Contained_oz]],0)</f>
        <v/>
      </c>
    </row>
    <row r="846">
      <c r="A846" s="54" t="n"/>
      <c r="B846" s="61" t="n"/>
      <c r="C846" s="61" t="n"/>
      <c r="D846" s="61" t="n"/>
      <c r="E846" s="61" t="n"/>
      <c r="F846" s="55" t="n"/>
      <c r="G846" s="56" t="n"/>
      <c r="H846" s="55" t="n"/>
      <c r="I846" s="62" t="n"/>
      <c r="J846" s="58" t="n"/>
      <c r="K846" s="63">
        <f>IF(tblMovement[[#This Row],[Source]]="","",IFERROR(INDEX(tblSources[Type],MATCH(tblMovement[[#This Row],[Source]],tblSources[Source],0)),"?"))</f>
        <v/>
      </c>
      <c r="L846" s="63">
        <f>IF(tblMovement[[#This Row],[Destination]]="","",IFERROR(INDEX(tblDestinations[Type],MATCH(tblMovement[[#This Row],[Destination]],tblDestinations[Destination],0)),"?"))</f>
        <v/>
      </c>
      <c r="M846" s="64">
        <f>IF(tblMovement[[#This Row],[Material]]="","",IF(LEFT(tblMovement[[#This Row],[Material]],3)="Ore",1,0))</f>
        <v/>
      </c>
      <c r="N846" s="59">
        <f>IF(OR(tblMovement[[#This Row],[Tonnes_t]]="",tblMovement[[#This Row],[Grade_gpt]]=""),0,tblMovement[[#This Row],[Tonnes_t]]*tblMovement[[#This Row],[Grade_gpt]]/cfg_TroyOz)</f>
        <v/>
      </c>
      <c r="O846" s="59">
        <f>IF(tblMovement[[#This Row],[Is_Ore]]=1,tblMovement[[#This Row],[Contained_oz]],0)</f>
        <v/>
      </c>
    </row>
    <row r="847">
      <c r="A847" s="54" t="n"/>
      <c r="B847" s="61" t="n"/>
      <c r="C847" s="61" t="n"/>
      <c r="D847" s="61" t="n"/>
      <c r="E847" s="61" t="n"/>
      <c r="F847" s="55" t="n"/>
      <c r="G847" s="56" t="n"/>
      <c r="H847" s="55" t="n"/>
      <c r="I847" s="62" t="n"/>
      <c r="J847" s="58" t="n"/>
      <c r="K847" s="63">
        <f>IF(tblMovement[[#This Row],[Source]]="","",IFERROR(INDEX(tblSources[Type],MATCH(tblMovement[[#This Row],[Source]],tblSources[Source],0)),"?"))</f>
        <v/>
      </c>
      <c r="L847" s="63">
        <f>IF(tblMovement[[#This Row],[Destination]]="","",IFERROR(INDEX(tblDestinations[Type],MATCH(tblMovement[[#This Row],[Destination]],tblDestinations[Destination],0)),"?"))</f>
        <v/>
      </c>
      <c r="M847" s="64">
        <f>IF(tblMovement[[#This Row],[Material]]="","",IF(LEFT(tblMovement[[#This Row],[Material]],3)="Ore",1,0))</f>
        <v/>
      </c>
      <c r="N847" s="59">
        <f>IF(OR(tblMovement[[#This Row],[Tonnes_t]]="",tblMovement[[#This Row],[Grade_gpt]]=""),0,tblMovement[[#This Row],[Tonnes_t]]*tblMovement[[#This Row],[Grade_gpt]]/cfg_TroyOz)</f>
        <v/>
      </c>
      <c r="O847" s="59">
        <f>IF(tblMovement[[#This Row],[Is_Ore]]=1,tblMovement[[#This Row],[Contained_oz]],0)</f>
        <v/>
      </c>
    </row>
    <row r="848">
      <c r="A848" s="54" t="n"/>
      <c r="B848" s="61" t="n"/>
      <c r="C848" s="61" t="n"/>
      <c r="D848" s="61" t="n"/>
      <c r="E848" s="61" t="n"/>
      <c r="F848" s="55" t="n"/>
      <c r="G848" s="56" t="n"/>
      <c r="H848" s="55" t="n"/>
      <c r="I848" s="62" t="n"/>
      <c r="J848" s="58" t="n"/>
      <c r="K848" s="63">
        <f>IF(tblMovement[[#This Row],[Source]]="","",IFERROR(INDEX(tblSources[Type],MATCH(tblMovement[[#This Row],[Source]],tblSources[Source],0)),"?"))</f>
        <v/>
      </c>
      <c r="L848" s="63">
        <f>IF(tblMovement[[#This Row],[Destination]]="","",IFERROR(INDEX(tblDestinations[Type],MATCH(tblMovement[[#This Row],[Destination]],tblDestinations[Destination],0)),"?"))</f>
        <v/>
      </c>
      <c r="M848" s="64">
        <f>IF(tblMovement[[#This Row],[Material]]="","",IF(LEFT(tblMovement[[#This Row],[Material]],3)="Ore",1,0))</f>
        <v/>
      </c>
      <c r="N848" s="59">
        <f>IF(OR(tblMovement[[#This Row],[Tonnes_t]]="",tblMovement[[#This Row],[Grade_gpt]]=""),0,tblMovement[[#This Row],[Tonnes_t]]*tblMovement[[#This Row],[Grade_gpt]]/cfg_TroyOz)</f>
        <v/>
      </c>
      <c r="O848" s="59">
        <f>IF(tblMovement[[#This Row],[Is_Ore]]=1,tblMovement[[#This Row],[Contained_oz]],0)</f>
        <v/>
      </c>
    </row>
    <row r="849">
      <c r="A849" s="54" t="n"/>
      <c r="B849" s="61" t="n"/>
      <c r="C849" s="61" t="n"/>
      <c r="D849" s="61" t="n"/>
      <c r="E849" s="61" t="n"/>
      <c r="F849" s="55" t="n"/>
      <c r="G849" s="56" t="n"/>
      <c r="H849" s="55" t="n"/>
      <c r="I849" s="62" t="n"/>
      <c r="J849" s="58" t="n"/>
      <c r="K849" s="63">
        <f>IF(tblMovement[[#This Row],[Source]]="","",IFERROR(INDEX(tblSources[Type],MATCH(tblMovement[[#This Row],[Source]],tblSources[Source],0)),"?"))</f>
        <v/>
      </c>
      <c r="L849" s="63">
        <f>IF(tblMovement[[#This Row],[Destination]]="","",IFERROR(INDEX(tblDestinations[Type],MATCH(tblMovement[[#This Row],[Destination]],tblDestinations[Destination],0)),"?"))</f>
        <v/>
      </c>
      <c r="M849" s="64">
        <f>IF(tblMovement[[#This Row],[Material]]="","",IF(LEFT(tblMovement[[#This Row],[Material]],3)="Ore",1,0))</f>
        <v/>
      </c>
      <c r="N849" s="59">
        <f>IF(OR(tblMovement[[#This Row],[Tonnes_t]]="",tblMovement[[#This Row],[Grade_gpt]]=""),0,tblMovement[[#This Row],[Tonnes_t]]*tblMovement[[#This Row],[Grade_gpt]]/cfg_TroyOz)</f>
        <v/>
      </c>
      <c r="O849" s="59">
        <f>IF(tblMovement[[#This Row],[Is_Ore]]=1,tblMovement[[#This Row],[Contained_oz]],0)</f>
        <v/>
      </c>
    </row>
    <row r="850">
      <c r="A850" s="54" t="n"/>
      <c r="B850" s="61" t="n"/>
      <c r="C850" s="61" t="n"/>
      <c r="D850" s="61" t="n"/>
      <c r="E850" s="61" t="n"/>
      <c r="F850" s="55" t="n"/>
      <c r="G850" s="56" t="n"/>
      <c r="H850" s="55" t="n"/>
      <c r="I850" s="62" t="n"/>
      <c r="J850" s="58" t="n"/>
      <c r="K850" s="63">
        <f>IF(tblMovement[[#This Row],[Source]]="","",IFERROR(INDEX(tblSources[Type],MATCH(tblMovement[[#This Row],[Source]],tblSources[Source],0)),"?"))</f>
        <v/>
      </c>
      <c r="L850" s="63">
        <f>IF(tblMovement[[#This Row],[Destination]]="","",IFERROR(INDEX(tblDestinations[Type],MATCH(tblMovement[[#This Row],[Destination]],tblDestinations[Destination],0)),"?"))</f>
        <v/>
      </c>
      <c r="M850" s="64">
        <f>IF(tblMovement[[#This Row],[Material]]="","",IF(LEFT(tblMovement[[#This Row],[Material]],3)="Ore",1,0))</f>
        <v/>
      </c>
      <c r="N850" s="59">
        <f>IF(OR(tblMovement[[#This Row],[Tonnes_t]]="",tblMovement[[#This Row],[Grade_gpt]]=""),0,tblMovement[[#This Row],[Tonnes_t]]*tblMovement[[#This Row],[Grade_gpt]]/cfg_TroyOz)</f>
        <v/>
      </c>
      <c r="O850" s="59">
        <f>IF(tblMovement[[#This Row],[Is_Ore]]=1,tblMovement[[#This Row],[Contained_oz]],0)</f>
        <v/>
      </c>
    </row>
    <row r="851">
      <c r="A851" s="54" t="n"/>
      <c r="B851" s="61" t="n"/>
      <c r="C851" s="61" t="n"/>
      <c r="D851" s="61" t="n"/>
      <c r="E851" s="61" t="n"/>
      <c r="F851" s="55" t="n"/>
      <c r="G851" s="56" t="n"/>
      <c r="H851" s="55" t="n"/>
      <c r="I851" s="62" t="n"/>
      <c r="J851" s="58" t="n"/>
      <c r="K851" s="63">
        <f>IF(tblMovement[[#This Row],[Source]]="","",IFERROR(INDEX(tblSources[Type],MATCH(tblMovement[[#This Row],[Source]],tblSources[Source],0)),"?"))</f>
        <v/>
      </c>
      <c r="L851" s="63">
        <f>IF(tblMovement[[#This Row],[Destination]]="","",IFERROR(INDEX(tblDestinations[Type],MATCH(tblMovement[[#This Row],[Destination]],tblDestinations[Destination],0)),"?"))</f>
        <v/>
      </c>
      <c r="M851" s="64">
        <f>IF(tblMovement[[#This Row],[Material]]="","",IF(LEFT(tblMovement[[#This Row],[Material]],3)="Ore",1,0))</f>
        <v/>
      </c>
      <c r="N851" s="59">
        <f>IF(OR(tblMovement[[#This Row],[Tonnes_t]]="",tblMovement[[#This Row],[Grade_gpt]]=""),0,tblMovement[[#This Row],[Tonnes_t]]*tblMovement[[#This Row],[Grade_gpt]]/cfg_TroyOz)</f>
        <v/>
      </c>
      <c r="O851" s="59">
        <f>IF(tblMovement[[#This Row],[Is_Ore]]=1,tblMovement[[#This Row],[Contained_oz]],0)</f>
        <v/>
      </c>
    </row>
    <row r="852">
      <c r="A852" s="54" t="n"/>
      <c r="B852" s="61" t="n"/>
      <c r="C852" s="61" t="n"/>
      <c r="D852" s="61" t="n"/>
      <c r="E852" s="61" t="n"/>
      <c r="F852" s="55" t="n"/>
      <c r="G852" s="56" t="n"/>
      <c r="H852" s="55" t="n"/>
      <c r="I852" s="62" t="n"/>
      <c r="J852" s="58" t="n"/>
      <c r="K852" s="63">
        <f>IF(tblMovement[[#This Row],[Source]]="","",IFERROR(INDEX(tblSources[Type],MATCH(tblMovement[[#This Row],[Source]],tblSources[Source],0)),"?"))</f>
        <v/>
      </c>
      <c r="L852" s="63">
        <f>IF(tblMovement[[#This Row],[Destination]]="","",IFERROR(INDEX(tblDestinations[Type],MATCH(tblMovement[[#This Row],[Destination]],tblDestinations[Destination],0)),"?"))</f>
        <v/>
      </c>
      <c r="M852" s="64">
        <f>IF(tblMovement[[#This Row],[Material]]="","",IF(LEFT(tblMovement[[#This Row],[Material]],3)="Ore",1,0))</f>
        <v/>
      </c>
      <c r="N852" s="59">
        <f>IF(OR(tblMovement[[#This Row],[Tonnes_t]]="",tblMovement[[#This Row],[Grade_gpt]]=""),0,tblMovement[[#This Row],[Tonnes_t]]*tblMovement[[#This Row],[Grade_gpt]]/cfg_TroyOz)</f>
        <v/>
      </c>
      <c r="O852" s="59">
        <f>IF(tblMovement[[#This Row],[Is_Ore]]=1,tblMovement[[#This Row],[Contained_oz]],0)</f>
        <v/>
      </c>
    </row>
    <row r="853">
      <c r="A853" s="54" t="n"/>
      <c r="B853" s="61" t="n"/>
      <c r="C853" s="61" t="n"/>
      <c r="D853" s="61" t="n"/>
      <c r="E853" s="61" t="n"/>
      <c r="F853" s="55" t="n"/>
      <c r="G853" s="56" t="n"/>
      <c r="H853" s="55" t="n"/>
      <c r="I853" s="62" t="n"/>
      <c r="J853" s="58" t="n"/>
      <c r="K853" s="63">
        <f>IF(tblMovement[[#This Row],[Source]]="","",IFERROR(INDEX(tblSources[Type],MATCH(tblMovement[[#This Row],[Source]],tblSources[Source],0)),"?"))</f>
        <v/>
      </c>
      <c r="L853" s="63">
        <f>IF(tblMovement[[#This Row],[Destination]]="","",IFERROR(INDEX(tblDestinations[Type],MATCH(tblMovement[[#This Row],[Destination]],tblDestinations[Destination],0)),"?"))</f>
        <v/>
      </c>
      <c r="M853" s="64">
        <f>IF(tblMovement[[#This Row],[Material]]="","",IF(LEFT(tblMovement[[#This Row],[Material]],3)="Ore",1,0))</f>
        <v/>
      </c>
      <c r="N853" s="59">
        <f>IF(OR(tblMovement[[#This Row],[Tonnes_t]]="",tblMovement[[#This Row],[Grade_gpt]]=""),0,tblMovement[[#This Row],[Tonnes_t]]*tblMovement[[#This Row],[Grade_gpt]]/cfg_TroyOz)</f>
        <v/>
      </c>
      <c r="O853" s="59">
        <f>IF(tblMovement[[#This Row],[Is_Ore]]=1,tblMovement[[#This Row],[Contained_oz]],0)</f>
        <v/>
      </c>
    </row>
    <row r="854">
      <c r="A854" s="54" t="n"/>
      <c r="B854" s="61" t="n"/>
      <c r="C854" s="61" t="n"/>
      <c r="D854" s="61" t="n"/>
      <c r="E854" s="61" t="n"/>
      <c r="F854" s="55" t="n"/>
      <c r="G854" s="56" t="n"/>
      <c r="H854" s="55" t="n"/>
      <c r="I854" s="62" t="n"/>
      <c r="J854" s="58" t="n"/>
      <c r="K854" s="63">
        <f>IF(tblMovement[[#This Row],[Source]]="","",IFERROR(INDEX(tblSources[Type],MATCH(tblMovement[[#This Row],[Source]],tblSources[Source],0)),"?"))</f>
        <v/>
      </c>
      <c r="L854" s="63">
        <f>IF(tblMovement[[#This Row],[Destination]]="","",IFERROR(INDEX(tblDestinations[Type],MATCH(tblMovement[[#This Row],[Destination]],tblDestinations[Destination],0)),"?"))</f>
        <v/>
      </c>
      <c r="M854" s="64">
        <f>IF(tblMovement[[#This Row],[Material]]="","",IF(LEFT(tblMovement[[#This Row],[Material]],3)="Ore",1,0))</f>
        <v/>
      </c>
      <c r="N854" s="59">
        <f>IF(OR(tblMovement[[#This Row],[Tonnes_t]]="",tblMovement[[#This Row],[Grade_gpt]]=""),0,tblMovement[[#This Row],[Tonnes_t]]*tblMovement[[#This Row],[Grade_gpt]]/cfg_TroyOz)</f>
        <v/>
      </c>
      <c r="O854" s="59">
        <f>IF(tblMovement[[#This Row],[Is_Ore]]=1,tblMovement[[#This Row],[Contained_oz]],0)</f>
        <v/>
      </c>
    </row>
    <row r="855">
      <c r="A855" s="54" t="n"/>
      <c r="B855" s="61" t="n"/>
      <c r="C855" s="61" t="n"/>
      <c r="D855" s="61" t="n"/>
      <c r="E855" s="61" t="n"/>
      <c r="F855" s="55" t="n"/>
      <c r="G855" s="56" t="n"/>
      <c r="H855" s="55" t="n"/>
      <c r="I855" s="62" t="n"/>
      <c r="J855" s="58" t="n"/>
      <c r="K855" s="63">
        <f>IF(tblMovement[[#This Row],[Source]]="","",IFERROR(INDEX(tblSources[Type],MATCH(tblMovement[[#This Row],[Source]],tblSources[Source],0)),"?"))</f>
        <v/>
      </c>
      <c r="L855" s="63">
        <f>IF(tblMovement[[#This Row],[Destination]]="","",IFERROR(INDEX(tblDestinations[Type],MATCH(tblMovement[[#This Row],[Destination]],tblDestinations[Destination],0)),"?"))</f>
        <v/>
      </c>
      <c r="M855" s="64">
        <f>IF(tblMovement[[#This Row],[Material]]="","",IF(LEFT(tblMovement[[#This Row],[Material]],3)="Ore",1,0))</f>
        <v/>
      </c>
      <c r="N855" s="59">
        <f>IF(OR(tblMovement[[#This Row],[Tonnes_t]]="",tblMovement[[#This Row],[Grade_gpt]]=""),0,tblMovement[[#This Row],[Tonnes_t]]*tblMovement[[#This Row],[Grade_gpt]]/cfg_TroyOz)</f>
        <v/>
      </c>
      <c r="O855" s="59">
        <f>IF(tblMovement[[#This Row],[Is_Ore]]=1,tblMovement[[#This Row],[Contained_oz]],0)</f>
        <v/>
      </c>
    </row>
    <row r="856">
      <c r="A856" s="54" t="n"/>
      <c r="B856" s="61" t="n"/>
      <c r="C856" s="61" t="n"/>
      <c r="D856" s="61" t="n"/>
      <c r="E856" s="61" t="n"/>
      <c r="F856" s="55" t="n"/>
      <c r="G856" s="56" t="n"/>
      <c r="H856" s="55" t="n"/>
      <c r="I856" s="62" t="n"/>
      <c r="J856" s="58" t="n"/>
      <c r="K856" s="63">
        <f>IF(tblMovement[[#This Row],[Source]]="","",IFERROR(INDEX(tblSources[Type],MATCH(tblMovement[[#This Row],[Source]],tblSources[Source],0)),"?"))</f>
        <v/>
      </c>
      <c r="L856" s="63">
        <f>IF(tblMovement[[#This Row],[Destination]]="","",IFERROR(INDEX(tblDestinations[Type],MATCH(tblMovement[[#This Row],[Destination]],tblDestinations[Destination],0)),"?"))</f>
        <v/>
      </c>
      <c r="M856" s="64">
        <f>IF(tblMovement[[#This Row],[Material]]="","",IF(LEFT(tblMovement[[#This Row],[Material]],3)="Ore",1,0))</f>
        <v/>
      </c>
      <c r="N856" s="59">
        <f>IF(OR(tblMovement[[#This Row],[Tonnes_t]]="",tblMovement[[#This Row],[Grade_gpt]]=""),0,tblMovement[[#This Row],[Tonnes_t]]*tblMovement[[#This Row],[Grade_gpt]]/cfg_TroyOz)</f>
        <v/>
      </c>
      <c r="O856" s="59">
        <f>IF(tblMovement[[#This Row],[Is_Ore]]=1,tblMovement[[#This Row],[Contained_oz]],0)</f>
        <v/>
      </c>
    </row>
    <row r="857">
      <c r="A857" s="54" t="n"/>
      <c r="B857" s="61" t="n"/>
      <c r="C857" s="61" t="n"/>
      <c r="D857" s="61" t="n"/>
      <c r="E857" s="61" t="n"/>
      <c r="F857" s="55" t="n"/>
      <c r="G857" s="56" t="n"/>
      <c r="H857" s="55" t="n"/>
      <c r="I857" s="62" t="n"/>
      <c r="J857" s="58" t="n"/>
      <c r="K857" s="63">
        <f>IF(tblMovement[[#This Row],[Source]]="","",IFERROR(INDEX(tblSources[Type],MATCH(tblMovement[[#This Row],[Source]],tblSources[Source],0)),"?"))</f>
        <v/>
      </c>
      <c r="L857" s="63">
        <f>IF(tblMovement[[#This Row],[Destination]]="","",IFERROR(INDEX(tblDestinations[Type],MATCH(tblMovement[[#This Row],[Destination]],tblDestinations[Destination],0)),"?"))</f>
        <v/>
      </c>
      <c r="M857" s="64">
        <f>IF(tblMovement[[#This Row],[Material]]="","",IF(LEFT(tblMovement[[#This Row],[Material]],3)="Ore",1,0))</f>
        <v/>
      </c>
      <c r="N857" s="59">
        <f>IF(OR(tblMovement[[#This Row],[Tonnes_t]]="",tblMovement[[#This Row],[Grade_gpt]]=""),0,tblMovement[[#This Row],[Tonnes_t]]*tblMovement[[#This Row],[Grade_gpt]]/cfg_TroyOz)</f>
        <v/>
      </c>
      <c r="O857" s="59">
        <f>IF(tblMovement[[#This Row],[Is_Ore]]=1,tblMovement[[#This Row],[Contained_oz]],0)</f>
        <v/>
      </c>
    </row>
    <row r="858">
      <c r="A858" s="54" t="n"/>
      <c r="B858" s="61" t="n"/>
      <c r="C858" s="61" t="n"/>
      <c r="D858" s="61" t="n"/>
      <c r="E858" s="61" t="n"/>
      <c r="F858" s="55" t="n"/>
      <c r="G858" s="56" t="n"/>
      <c r="H858" s="55" t="n"/>
      <c r="I858" s="62" t="n"/>
      <c r="J858" s="58" t="n"/>
      <c r="K858" s="63">
        <f>IF(tblMovement[[#This Row],[Source]]="","",IFERROR(INDEX(tblSources[Type],MATCH(tblMovement[[#This Row],[Source]],tblSources[Source],0)),"?"))</f>
        <v/>
      </c>
      <c r="L858" s="63">
        <f>IF(tblMovement[[#This Row],[Destination]]="","",IFERROR(INDEX(tblDestinations[Type],MATCH(tblMovement[[#This Row],[Destination]],tblDestinations[Destination],0)),"?"))</f>
        <v/>
      </c>
      <c r="M858" s="64">
        <f>IF(tblMovement[[#This Row],[Material]]="","",IF(LEFT(tblMovement[[#This Row],[Material]],3)="Ore",1,0))</f>
        <v/>
      </c>
      <c r="N858" s="59">
        <f>IF(OR(tblMovement[[#This Row],[Tonnes_t]]="",tblMovement[[#This Row],[Grade_gpt]]=""),0,tblMovement[[#This Row],[Tonnes_t]]*tblMovement[[#This Row],[Grade_gpt]]/cfg_TroyOz)</f>
        <v/>
      </c>
      <c r="O858" s="59">
        <f>IF(tblMovement[[#This Row],[Is_Ore]]=1,tblMovement[[#This Row],[Contained_oz]],0)</f>
        <v/>
      </c>
    </row>
    <row r="859">
      <c r="A859" s="54" t="n"/>
      <c r="B859" s="61" t="n"/>
      <c r="C859" s="61" t="n"/>
      <c r="D859" s="61" t="n"/>
      <c r="E859" s="61" t="n"/>
      <c r="F859" s="55" t="n"/>
      <c r="G859" s="56" t="n"/>
      <c r="H859" s="55" t="n"/>
      <c r="I859" s="62" t="n"/>
      <c r="J859" s="58" t="n"/>
      <c r="K859" s="63">
        <f>IF(tblMovement[[#This Row],[Source]]="","",IFERROR(INDEX(tblSources[Type],MATCH(tblMovement[[#This Row],[Source]],tblSources[Source],0)),"?"))</f>
        <v/>
      </c>
      <c r="L859" s="63">
        <f>IF(tblMovement[[#This Row],[Destination]]="","",IFERROR(INDEX(tblDestinations[Type],MATCH(tblMovement[[#This Row],[Destination]],tblDestinations[Destination],0)),"?"))</f>
        <v/>
      </c>
      <c r="M859" s="64">
        <f>IF(tblMovement[[#This Row],[Material]]="","",IF(LEFT(tblMovement[[#This Row],[Material]],3)="Ore",1,0))</f>
        <v/>
      </c>
      <c r="N859" s="59">
        <f>IF(OR(tblMovement[[#This Row],[Tonnes_t]]="",tblMovement[[#This Row],[Grade_gpt]]=""),0,tblMovement[[#This Row],[Tonnes_t]]*tblMovement[[#This Row],[Grade_gpt]]/cfg_TroyOz)</f>
        <v/>
      </c>
      <c r="O859" s="59">
        <f>IF(tblMovement[[#This Row],[Is_Ore]]=1,tblMovement[[#This Row],[Contained_oz]],0)</f>
        <v/>
      </c>
    </row>
    <row r="860">
      <c r="A860" s="54" t="n"/>
      <c r="B860" s="61" t="n"/>
      <c r="C860" s="61" t="n"/>
      <c r="D860" s="61" t="n"/>
      <c r="E860" s="61" t="n"/>
      <c r="F860" s="55" t="n"/>
      <c r="G860" s="56" t="n"/>
      <c r="H860" s="55" t="n"/>
      <c r="I860" s="62" t="n"/>
      <c r="J860" s="58" t="n"/>
      <c r="K860" s="63">
        <f>IF(tblMovement[[#This Row],[Source]]="","",IFERROR(INDEX(tblSources[Type],MATCH(tblMovement[[#This Row],[Source]],tblSources[Source],0)),"?"))</f>
        <v/>
      </c>
      <c r="L860" s="63">
        <f>IF(tblMovement[[#This Row],[Destination]]="","",IFERROR(INDEX(tblDestinations[Type],MATCH(tblMovement[[#This Row],[Destination]],tblDestinations[Destination],0)),"?"))</f>
        <v/>
      </c>
      <c r="M860" s="64">
        <f>IF(tblMovement[[#This Row],[Material]]="","",IF(LEFT(tblMovement[[#This Row],[Material]],3)="Ore",1,0))</f>
        <v/>
      </c>
      <c r="N860" s="59">
        <f>IF(OR(tblMovement[[#This Row],[Tonnes_t]]="",tblMovement[[#This Row],[Grade_gpt]]=""),0,tblMovement[[#This Row],[Tonnes_t]]*tblMovement[[#This Row],[Grade_gpt]]/cfg_TroyOz)</f>
        <v/>
      </c>
      <c r="O860" s="59">
        <f>IF(tblMovement[[#This Row],[Is_Ore]]=1,tblMovement[[#This Row],[Contained_oz]],0)</f>
        <v/>
      </c>
    </row>
    <row r="861">
      <c r="A861" s="54" t="n"/>
      <c r="B861" s="61" t="n"/>
      <c r="C861" s="61" t="n"/>
      <c r="D861" s="61" t="n"/>
      <c r="E861" s="61" t="n"/>
      <c r="F861" s="55" t="n"/>
      <c r="G861" s="56" t="n"/>
      <c r="H861" s="55" t="n"/>
      <c r="I861" s="62" t="n"/>
      <c r="J861" s="58" t="n"/>
      <c r="K861" s="63">
        <f>IF(tblMovement[[#This Row],[Source]]="","",IFERROR(INDEX(tblSources[Type],MATCH(tblMovement[[#This Row],[Source]],tblSources[Source],0)),"?"))</f>
        <v/>
      </c>
      <c r="L861" s="63">
        <f>IF(tblMovement[[#This Row],[Destination]]="","",IFERROR(INDEX(tblDestinations[Type],MATCH(tblMovement[[#This Row],[Destination]],tblDestinations[Destination],0)),"?"))</f>
        <v/>
      </c>
      <c r="M861" s="64">
        <f>IF(tblMovement[[#This Row],[Material]]="","",IF(LEFT(tblMovement[[#This Row],[Material]],3)="Ore",1,0))</f>
        <v/>
      </c>
      <c r="N861" s="59">
        <f>IF(OR(tblMovement[[#This Row],[Tonnes_t]]="",tblMovement[[#This Row],[Grade_gpt]]=""),0,tblMovement[[#This Row],[Tonnes_t]]*tblMovement[[#This Row],[Grade_gpt]]/cfg_TroyOz)</f>
        <v/>
      </c>
      <c r="O861" s="59">
        <f>IF(tblMovement[[#This Row],[Is_Ore]]=1,tblMovement[[#This Row],[Contained_oz]],0)</f>
        <v/>
      </c>
    </row>
    <row r="862">
      <c r="A862" s="54" t="n"/>
      <c r="B862" s="61" t="n"/>
      <c r="C862" s="61" t="n"/>
      <c r="D862" s="61" t="n"/>
      <c r="E862" s="61" t="n"/>
      <c r="F862" s="55" t="n"/>
      <c r="G862" s="56" t="n"/>
      <c r="H862" s="55" t="n"/>
      <c r="I862" s="62" t="n"/>
      <c r="J862" s="58" t="n"/>
      <c r="K862" s="63">
        <f>IF(tblMovement[[#This Row],[Source]]="","",IFERROR(INDEX(tblSources[Type],MATCH(tblMovement[[#This Row],[Source]],tblSources[Source],0)),"?"))</f>
        <v/>
      </c>
      <c r="L862" s="63">
        <f>IF(tblMovement[[#This Row],[Destination]]="","",IFERROR(INDEX(tblDestinations[Type],MATCH(tblMovement[[#This Row],[Destination]],tblDestinations[Destination],0)),"?"))</f>
        <v/>
      </c>
      <c r="M862" s="64">
        <f>IF(tblMovement[[#This Row],[Material]]="","",IF(LEFT(tblMovement[[#This Row],[Material]],3)="Ore",1,0))</f>
        <v/>
      </c>
      <c r="N862" s="59">
        <f>IF(OR(tblMovement[[#This Row],[Tonnes_t]]="",tblMovement[[#This Row],[Grade_gpt]]=""),0,tblMovement[[#This Row],[Tonnes_t]]*tblMovement[[#This Row],[Grade_gpt]]/cfg_TroyOz)</f>
        <v/>
      </c>
      <c r="O862" s="59">
        <f>IF(tblMovement[[#This Row],[Is_Ore]]=1,tblMovement[[#This Row],[Contained_oz]],0)</f>
        <v/>
      </c>
    </row>
    <row r="863">
      <c r="A863" s="54" t="n"/>
      <c r="B863" s="61" t="n"/>
      <c r="C863" s="61" t="n"/>
      <c r="D863" s="61" t="n"/>
      <c r="E863" s="61" t="n"/>
      <c r="F863" s="55" t="n"/>
      <c r="G863" s="56" t="n"/>
      <c r="H863" s="55" t="n"/>
      <c r="I863" s="62" t="n"/>
      <c r="J863" s="58" t="n"/>
      <c r="K863" s="63">
        <f>IF(tblMovement[[#This Row],[Source]]="","",IFERROR(INDEX(tblSources[Type],MATCH(tblMovement[[#This Row],[Source]],tblSources[Source],0)),"?"))</f>
        <v/>
      </c>
      <c r="L863" s="63">
        <f>IF(tblMovement[[#This Row],[Destination]]="","",IFERROR(INDEX(tblDestinations[Type],MATCH(tblMovement[[#This Row],[Destination]],tblDestinations[Destination],0)),"?"))</f>
        <v/>
      </c>
      <c r="M863" s="64">
        <f>IF(tblMovement[[#This Row],[Material]]="","",IF(LEFT(tblMovement[[#This Row],[Material]],3)="Ore",1,0))</f>
        <v/>
      </c>
      <c r="N863" s="59">
        <f>IF(OR(tblMovement[[#This Row],[Tonnes_t]]="",tblMovement[[#This Row],[Grade_gpt]]=""),0,tblMovement[[#This Row],[Tonnes_t]]*tblMovement[[#This Row],[Grade_gpt]]/cfg_TroyOz)</f>
        <v/>
      </c>
      <c r="O863" s="59">
        <f>IF(tblMovement[[#This Row],[Is_Ore]]=1,tblMovement[[#This Row],[Contained_oz]],0)</f>
        <v/>
      </c>
    </row>
    <row r="864">
      <c r="A864" s="54" t="n"/>
      <c r="B864" s="61" t="n"/>
      <c r="C864" s="61" t="n"/>
      <c r="D864" s="61" t="n"/>
      <c r="E864" s="61" t="n"/>
      <c r="F864" s="55" t="n"/>
      <c r="G864" s="56" t="n"/>
      <c r="H864" s="55" t="n"/>
      <c r="I864" s="62" t="n"/>
      <c r="J864" s="58" t="n"/>
      <c r="K864" s="63">
        <f>IF(tblMovement[[#This Row],[Source]]="","",IFERROR(INDEX(tblSources[Type],MATCH(tblMovement[[#This Row],[Source]],tblSources[Source],0)),"?"))</f>
        <v/>
      </c>
      <c r="L864" s="63">
        <f>IF(tblMovement[[#This Row],[Destination]]="","",IFERROR(INDEX(tblDestinations[Type],MATCH(tblMovement[[#This Row],[Destination]],tblDestinations[Destination],0)),"?"))</f>
        <v/>
      </c>
      <c r="M864" s="64">
        <f>IF(tblMovement[[#This Row],[Material]]="","",IF(LEFT(tblMovement[[#This Row],[Material]],3)="Ore",1,0))</f>
        <v/>
      </c>
      <c r="N864" s="59">
        <f>IF(OR(tblMovement[[#This Row],[Tonnes_t]]="",tblMovement[[#This Row],[Grade_gpt]]=""),0,tblMovement[[#This Row],[Tonnes_t]]*tblMovement[[#This Row],[Grade_gpt]]/cfg_TroyOz)</f>
        <v/>
      </c>
      <c r="O864" s="59">
        <f>IF(tblMovement[[#This Row],[Is_Ore]]=1,tblMovement[[#This Row],[Contained_oz]],0)</f>
        <v/>
      </c>
    </row>
    <row r="865">
      <c r="A865" s="54" t="n"/>
      <c r="B865" s="61" t="n"/>
      <c r="C865" s="61" t="n"/>
      <c r="D865" s="61" t="n"/>
      <c r="E865" s="61" t="n"/>
      <c r="F865" s="55" t="n"/>
      <c r="G865" s="56" t="n"/>
      <c r="H865" s="55" t="n"/>
      <c r="I865" s="62" t="n"/>
      <c r="J865" s="58" t="n"/>
      <c r="K865" s="63">
        <f>IF(tblMovement[[#This Row],[Source]]="","",IFERROR(INDEX(tblSources[Type],MATCH(tblMovement[[#This Row],[Source]],tblSources[Source],0)),"?"))</f>
        <v/>
      </c>
      <c r="L865" s="63">
        <f>IF(tblMovement[[#This Row],[Destination]]="","",IFERROR(INDEX(tblDestinations[Type],MATCH(tblMovement[[#This Row],[Destination]],tblDestinations[Destination],0)),"?"))</f>
        <v/>
      </c>
      <c r="M865" s="64">
        <f>IF(tblMovement[[#This Row],[Material]]="","",IF(LEFT(tblMovement[[#This Row],[Material]],3)="Ore",1,0))</f>
        <v/>
      </c>
      <c r="N865" s="59">
        <f>IF(OR(tblMovement[[#This Row],[Tonnes_t]]="",tblMovement[[#This Row],[Grade_gpt]]=""),0,tblMovement[[#This Row],[Tonnes_t]]*tblMovement[[#This Row],[Grade_gpt]]/cfg_TroyOz)</f>
        <v/>
      </c>
      <c r="O865" s="59">
        <f>IF(tblMovement[[#This Row],[Is_Ore]]=1,tblMovement[[#This Row],[Contained_oz]],0)</f>
        <v/>
      </c>
    </row>
    <row r="866">
      <c r="A866" s="54" t="n"/>
      <c r="B866" s="61" t="n"/>
      <c r="C866" s="61" t="n"/>
      <c r="D866" s="61" t="n"/>
      <c r="E866" s="61" t="n"/>
      <c r="F866" s="55" t="n"/>
      <c r="G866" s="56" t="n"/>
      <c r="H866" s="55" t="n"/>
      <c r="I866" s="62" t="n"/>
      <c r="J866" s="58" t="n"/>
      <c r="K866" s="63">
        <f>IF(tblMovement[[#This Row],[Source]]="","",IFERROR(INDEX(tblSources[Type],MATCH(tblMovement[[#This Row],[Source]],tblSources[Source],0)),"?"))</f>
        <v/>
      </c>
      <c r="L866" s="63">
        <f>IF(tblMovement[[#This Row],[Destination]]="","",IFERROR(INDEX(tblDestinations[Type],MATCH(tblMovement[[#This Row],[Destination]],tblDestinations[Destination],0)),"?"))</f>
        <v/>
      </c>
      <c r="M866" s="64">
        <f>IF(tblMovement[[#This Row],[Material]]="","",IF(LEFT(tblMovement[[#This Row],[Material]],3)="Ore",1,0))</f>
        <v/>
      </c>
      <c r="N866" s="59">
        <f>IF(OR(tblMovement[[#This Row],[Tonnes_t]]="",tblMovement[[#This Row],[Grade_gpt]]=""),0,tblMovement[[#This Row],[Tonnes_t]]*tblMovement[[#This Row],[Grade_gpt]]/cfg_TroyOz)</f>
        <v/>
      </c>
      <c r="O866" s="59">
        <f>IF(tblMovement[[#This Row],[Is_Ore]]=1,tblMovement[[#This Row],[Contained_oz]],0)</f>
        <v/>
      </c>
    </row>
    <row r="867">
      <c r="A867" s="54" t="n"/>
      <c r="B867" s="61" t="n"/>
      <c r="C867" s="61" t="n"/>
      <c r="D867" s="61" t="n"/>
      <c r="E867" s="61" t="n"/>
      <c r="F867" s="55" t="n"/>
      <c r="G867" s="56" t="n"/>
      <c r="H867" s="55" t="n"/>
      <c r="I867" s="62" t="n"/>
      <c r="J867" s="58" t="n"/>
      <c r="K867" s="63">
        <f>IF(tblMovement[[#This Row],[Source]]="","",IFERROR(INDEX(tblSources[Type],MATCH(tblMovement[[#This Row],[Source]],tblSources[Source],0)),"?"))</f>
        <v/>
      </c>
      <c r="L867" s="63">
        <f>IF(tblMovement[[#This Row],[Destination]]="","",IFERROR(INDEX(tblDestinations[Type],MATCH(tblMovement[[#This Row],[Destination]],tblDestinations[Destination],0)),"?"))</f>
        <v/>
      </c>
      <c r="M867" s="64">
        <f>IF(tblMovement[[#This Row],[Material]]="","",IF(LEFT(tblMovement[[#This Row],[Material]],3)="Ore",1,0))</f>
        <v/>
      </c>
      <c r="N867" s="59">
        <f>IF(OR(tblMovement[[#This Row],[Tonnes_t]]="",tblMovement[[#This Row],[Grade_gpt]]=""),0,tblMovement[[#This Row],[Tonnes_t]]*tblMovement[[#This Row],[Grade_gpt]]/cfg_TroyOz)</f>
        <v/>
      </c>
      <c r="O867" s="59">
        <f>IF(tblMovement[[#This Row],[Is_Ore]]=1,tblMovement[[#This Row],[Contained_oz]],0)</f>
        <v/>
      </c>
    </row>
    <row r="868">
      <c r="A868" s="54" t="n"/>
      <c r="B868" s="61" t="n"/>
      <c r="C868" s="61" t="n"/>
      <c r="D868" s="61" t="n"/>
      <c r="E868" s="61" t="n"/>
      <c r="F868" s="55" t="n"/>
      <c r="G868" s="56" t="n"/>
      <c r="H868" s="55" t="n"/>
      <c r="I868" s="62" t="n"/>
      <c r="J868" s="58" t="n"/>
      <c r="K868" s="63">
        <f>IF(tblMovement[[#This Row],[Source]]="","",IFERROR(INDEX(tblSources[Type],MATCH(tblMovement[[#This Row],[Source]],tblSources[Source],0)),"?"))</f>
        <v/>
      </c>
      <c r="L868" s="63">
        <f>IF(tblMovement[[#This Row],[Destination]]="","",IFERROR(INDEX(tblDestinations[Type],MATCH(tblMovement[[#This Row],[Destination]],tblDestinations[Destination],0)),"?"))</f>
        <v/>
      </c>
      <c r="M868" s="64">
        <f>IF(tblMovement[[#This Row],[Material]]="","",IF(LEFT(tblMovement[[#This Row],[Material]],3)="Ore",1,0))</f>
        <v/>
      </c>
      <c r="N868" s="59">
        <f>IF(OR(tblMovement[[#This Row],[Tonnes_t]]="",tblMovement[[#This Row],[Grade_gpt]]=""),0,tblMovement[[#This Row],[Tonnes_t]]*tblMovement[[#This Row],[Grade_gpt]]/cfg_TroyOz)</f>
        <v/>
      </c>
      <c r="O868" s="59">
        <f>IF(tblMovement[[#This Row],[Is_Ore]]=1,tblMovement[[#This Row],[Contained_oz]],0)</f>
        <v/>
      </c>
    </row>
    <row r="869">
      <c r="A869" s="54" t="n"/>
      <c r="B869" s="61" t="n"/>
      <c r="C869" s="61" t="n"/>
      <c r="D869" s="61" t="n"/>
      <c r="E869" s="61" t="n"/>
      <c r="F869" s="55" t="n"/>
      <c r="G869" s="56" t="n"/>
      <c r="H869" s="55" t="n"/>
      <c r="I869" s="62" t="n"/>
      <c r="J869" s="58" t="n"/>
      <c r="K869" s="63">
        <f>IF(tblMovement[[#This Row],[Source]]="","",IFERROR(INDEX(tblSources[Type],MATCH(tblMovement[[#This Row],[Source]],tblSources[Source],0)),"?"))</f>
        <v/>
      </c>
      <c r="L869" s="63">
        <f>IF(tblMovement[[#This Row],[Destination]]="","",IFERROR(INDEX(tblDestinations[Type],MATCH(tblMovement[[#This Row],[Destination]],tblDestinations[Destination],0)),"?"))</f>
        <v/>
      </c>
      <c r="M869" s="64">
        <f>IF(tblMovement[[#This Row],[Material]]="","",IF(LEFT(tblMovement[[#This Row],[Material]],3)="Ore",1,0))</f>
        <v/>
      </c>
      <c r="N869" s="59">
        <f>IF(OR(tblMovement[[#This Row],[Tonnes_t]]="",tblMovement[[#This Row],[Grade_gpt]]=""),0,tblMovement[[#This Row],[Tonnes_t]]*tblMovement[[#This Row],[Grade_gpt]]/cfg_TroyOz)</f>
        <v/>
      </c>
      <c r="O869" s="59">
        <f>IF(tblMovement[[#This Row],[Is_Ore]]=1,tblMovement[[#This Row],[Contained_oz]],0)</f>
        <v/>
      </c>
    </row>
    <row r="870">
      <c r="A870" s="54" t="n"/>
      <c r="B870" s="61" t="n"/>
      <c r="C870" s="61" t="n"/>
      <c r="D870" s="61" t="n"/>
      <c r="E870" s="61" t="n"/>
      <c r="F870" s="55" t="n"/>
      <c r="G870" s="56" t="n"/>
      <c r="H870" s="55" t="n"/>
      <c r="I870" s="62" t="n"/>
      <c r="J870" s="58" t="n"/>
      <c r="K870" s="63">
        <f>IF(tblMovement[[#This Row],[Source]]="","",IFERROR(INDEX(tblSources[Type],MATCH(tblMovement[[#This Row],[Source]],tblSources[Source],0)),"?"))</f>
        <v/>
      </c>
      <c r="L870" s="63">
        <f>IF(tblMovement[[#This Row],[Destination]]="","",IFERROR(INDEX(tblDestinations[Type],MATCH(tblMovement[[#This Row],[Destination]],tblDestinations[Destination],0)),"?"))</f>
        <v/>
      </c>
      <c r="M870" s="64">
        <f>IF(tblMovement[[#This Row],[Material]]="","",IF(LEFT(tblMovement[[#This Row],[Material]],3)="Ore",1,0))</f>
        <v/>
      </c>
      <c r="N870" s="59">
        <f>IF(OR(tblMovement[[#This Row],[Tonnes_t]]="",tblMovement[[#This Row],[Grade_gpt]]=""),0,tblMovement[[#This Row],[Tonnes_t]]*tblMovement[[#This Row],[Grade_gpt]]/cfg_TroyOz)</f>
        <v/>
      </c>
      <c r="O870" s="59">
        <f>IF(tblMovement[[#This Row],[Is_Ore]]=1,tblMovement[[#This Row],[Contained_oz]],0)</f>
        <v/>
      </c>
    </row>
    <row r="871">
      <c r="A871" s="54" t="n"/>
      <c r="B871" s="61" t="n"/>
      <c r="C871" s="61" t="n"/>
      <c r="D871" s="61" t="n"/>
      <c r="E871" s="61" t="n"/>
      <c r="F871" s="55" t="n"/>
      <c r="G871" s="56" t="n"/>
      <c r="H871" s="55" t="n"/>
      <c r="I871" s="62" t="n"/>
      <c r="J871" s="58" t="n"/>
      <c r="K871" s="63">
        <f>IF(tblMovement[[#This Row],[Source]]="","",IFERROR(INDEX(tblSources[Type],MATCH(tblMovement[[#This Row],[Source]],tblSources[Source],0)),"?"))</f>
        <v/>
      </c>
      <c r="L871" s="63">
        <f>IF(tblMovement[[#This Row],[Destination]]="","",IFERROR(INDEX(tblDestinations[Type],MATCH(tblMovement[[#This Row],[Destination]],tblDestinations[Destination],0)),"?"))</f>
        <v/>
      </c>
      <c r="M871" s="64">
        <f>IF(tblMovement[[#This Row],[Material]]="","",IF(LEFT(tblMovement[[#This Row],[Material]],3)="Ore",1,0))</f>
        <v/>
      </c>
      <c r="N871" s="59">
        <f>IF(OR(tblMovement[[#This Row],[Tonnes_t]]="",tblMovement[[#This Row],[Grade_gpt]]=""),0,tblMovement[[#This Row],[Tonnes_t]]*tblMovement[[#This Row],[Grade_gpt]]/cfg_TroyOz)</f>
        <v/>
      </c>
      <c r="O871" s="59">
        <f>IF(tblMovement[[#This Row],[Is_Ore]]=1,tblMovement[[#This Row],[Contained_oz]],0)</f>
        <v/>
      </c>
    </row>
    <row r="872">
      <c r="A872" s="54" t="n"/>
      <c r="B872" s="61" t="n"/>
      <c r="C872" s="61" t="n"/>
      <c r="D872" s="61" t="n"/>
      <c r="E872" s="61" t="n"/>
      <c r="F872" s="55" t="n"/>
      <c r="G872" s="56" t="n"/>
      <c r="H872" s="55" t="n"/>
      <c r="I872" s="62" t="n"/>
      <c r="J872" s="58" t="n"/>
      <c r="K872" s="63">
        <f>IF(tblMovement[[#This Row],[Source]]="","",IFERROR(INDEX(tblSources[Type],MATCH(tblMovement[[#This Row],[Source]],tblSources[Source],0)),"?"))</f>
        <v/>
      </c>
      <c r="L872" s="63">
        <f>IF(tblMovement[[#This Row],[Destination]]="","",IFERROR(INDEX(tblDestinations[Type],MATCH(tblMovement[[#This Row],[Destination]],tblDestinations[Destination],0)),"?"))</f>
        <v/>
      </c>
      <c r="M872" s="64">
        <f>IF(tblMovement[[#This Row],[Material]]="","",IF(LEFT(tblMovement[[#This Row],[Material]],3)="Ore",1,0))</f>
        <v/>
      </c>
      <c r="N872" s="59">
        <f>IF(OR(tblMovement[[#This Row],[Tonnes_t]]="",tblMovement[[#This Row],[Grade_gpt]]=""),0,tblMovement[[#This Row],[Tonnes_t]]*tblMovement[[#This Row],[Grade_gpt]]/cfg_TroyOz)</f>
        <v/>
      </c>
      <c r="O872" s="59">
        <f>IF(tblMovement[[#This Row],[Is_Ore]]=1,tblMovement[[#This Row],[Contained_oz]],0)</f>
        <v/>
      </c>
    </row>
    <row r="873">
      <c r="A873" s="54" t="n"/>
      <c r="B873" s="61" t="n"/>
      <c r="C873" s="61" t="n"/>
      <c r="D873" s="61" t="n"/>
      <c r="E873" s="61" t="n"/>
      <c r="F873" s="55" t="n"/>
      <c r="G873" s="56" t="n"/>
      <c r="H873" s="55" t="n"/>
      <c r="I873" s="62" t="n"/>
      <c r="J873" s="58" t="n"/>
      <c r="K873" s="63">
        <f>IF(tblMovement[[#This Row],[Source]]="","",IFERROR(INDEX(tblSources[Type],MATCH(tblMovement[[#This Row],[Source]],tblSources[Source],0)),"?"))</f>
        <v/>
      </c>
      <c r="L873" s="63">
        <f>IF(tblMovement[[#This Row],[Destination]]="","",IFERROR(INDEX(tblDestinations[Type],MATCH(tblMovement[[#This Row],[Destination]],tblDestinations[Destination],0)),"?"))</f>
        <v/>
      </c>
      <c r="M873" s="64">
        <f>IF(tblMovement[[#This Row],[Material]]="","",IF(LEFT(tblMovement[[#This Row],[Material]],3)="Ore",1,0))</f>
        <v/>
      </c>
      <c r="N873" s="59">
        <f>IF(OR(tblMovement[[#This Row],[Tonnes_t]]="",tblMovement[[#This Row],[Grade_gpt]]=""),0,tblMovement[[#This Row],[Tonnes_t]]*tblMovement[[#This Row],[Grade_gpt]]/cfg_TroyOz)</f>
        <v/>
      </c>
      <c r="O873" s="59">
        <f>IF(tblMovement[[#This Row],[Is_Ore]]=1,tblMovement[[#This Row],[Contained_oz]],0)</f>
        <v/>
      </c>
    </row>
    <row r="874">
      <c r="A874" s="54" t="n"/>
      <c r="B874" s="61" t="n"/>
      <c r="C874" s="61" t="n"/>
      <c r="D874" s="61" t="n"/>
      <c r="E874" s="61" t="n"/>
      <c r="F874" s="55" t="n"/>
      <c r="G874" s="56" t="n"/>
      <c r="H874" s="55" t="n"/>
      <c r="I874" s="62" t="n"/>
      <c r="J874" s="58" t="n"/>
      <c r="K874" s="63">
        <f>IF(tblMovement[[#This Row],[Source]]="","",IFERROR(INDEX(tblSources[Type],MATCH(tblMovement[[#This Row],[Source]],tblSources[Source],0)),"?"))</f>
        <v/>
      </c>
      <c r="L874" s="63">
        <f>IF(tblMovement[[#This Row],[Destination]]="","",IFERROR(INDEX(tblDestinations[Type],MATCH(tblMovement[[#This Row],[Destination]],tblDestinations[Destination],0)),"?"))</f>
        <v/>
      </c>
      <c r="M874" s="64">
        <f>IF(tblMovement[[#This Row],[Material]]="","",IF(LEFT(tblMovement[[#This Row],[Material]],3)="Ore",1,0))</f>
        <v/>
      </c>
      <c r="N874" s="59">
        <f>IF(OR(tblMovement[[#This Row],[Tonnes_t]]="",tblMovement[[#This Row],[Grade_gpt]]=""),0,tblMovement[[#This Row],[Tonnes_t]]*tblMovement[[#This Row],[Grade_gpt]]/cfg_TroyOz)</f>
        <v/>
      </c>
      <c r="O874" s="59">
        <f>IF(tblMovement[[#This Row],[Is_Ore]]=1,tblMovement[[#This Row],[Contained_oz]],0)</f>
        <v/>
      </c>
    </row>
    <row r="875">
      <c r="A875" s="54" t="n"/>
      <c r="B875" s="61" t="n"/>
      <c r="C875" s="61" t="n"/>
      <c r="D875" s="61" t="n"/>
      <c r="E875" s="61" t="n"/>
      <c r="F875" s="55" t="n"/>
      <c r="G875" s="56" t="n"/>
      <c r="H875" s="55" t="n"/>
      <c r="I875" s="62" t="n"/>
      <c r="J875" s="58" t="n"/>
      <c r="K875" s="63">
        <f>IF(tblMovement[[#This Row],[Source]]="","",IFERROR(INDEX(tblSources[Type],MATCH(tblMovement[[#This Row],[Source]],tblSources[Source],0)),"?"))</f>
        <v/>
      </c>
      <c r="L875" s="63">
        <f>IF(tblMovement[[#This Row],[Destination]]="","",IFERROR(INDEX(tblDestinations[Type],MATCH(tblMovement[[#This Row],[Destination]],tblDestinations[Destination],0)),"?"))</f>
        <v/>
      </c>
      <c r="M875" s="64">
        <f>IF(tblMovement[[#This Row],[Material]]="","",IF(LEFT(tblMovement[[#This Row],[Material]],3)="Ore",1,0))</f>
        <v/>
      </c>
      <c r="N875" s="59">
        <f>IF(OR(tblMovement[[#This Row],[Tonnes_t]]="",tblMovement[[#This Row],[Grade_gpt]]=""),0,tblMovement[[#This Row],[Tonnes_t]]*tblMovement[[#This Row],[Grade_gpt]]/cfg_TroyOz)</f>
        <v/>
      </c>
      <c r="O875" s="59">
        <f>IF(tblMovement[[#This Row],[Is_Ore]]=1,tblMovement[[#This Row],[Contained_oz]],0)</f>
        <v/>
      </c>
    </row>
    <row r="876">
      <c r="A876" s="54" t="n"/>
      <c r="B876" s="61" t="n"/>
      <c r="C876" s="61" t="n"/>
      <c r="D876" s="61" t="n"/>
      <c r="E876" s="61" t="n"/>
      <c r="F876" s="55" t="n"/>
      <c r="G876" s="56" t="n"/>
      <c r="H876" s="55" t="n"/>
      <c r="I876" s="62" t="n"/>
      <c r="J876" s="58" t="n"/>
      <c r="K876" s="63">
        <f>IF(tblMovement[[#This Row],[Source]]="","",IFERROR(INDEX(tblSources[Type],MATCH(tblMovement[[#This Row],[Source]],tblSources[Source],0)),"?"))</f>
        <v/>
      </c>
      <c r="L876" s="63">
        <f>IF(tblMovement[[#This Row],[Destination]]="","",IFERROR(INDEX(tblDestinations[Type],MATCH(tblMovement[[#This Row],[Destination]],tblDestinations[Destination],0)),"?"))</f>
        <v/>
      </c>
      <c r="M876" s="64">
        <f>IF(tblMovement[[#This Row],[Material]]="","",IF(LEFT(tblMovement[[#This Row],[Material]],3)="Ore",1,0))</f>
        <v/>
      </c>
      <c r="N876" s="59">
        <f>IF(OR(tblMovement[[#This Row],[Tonnes_t]]="",tblMovement[[#This Row],[Grade_gpt]]=""),0,tblMovement[[#This Row],[Tonnes_t]]*tblMovement[[#This Row],[Grade_gpt]]/cfg_TroyOz)</f>
        <v/>
      </c>
      <c r="O876" s="59">
        <f>IF(tblMovement[[#This Row],[Is_Ore]]=1,tblMovement[[#This Row],[Contained_oz]],0)</f>
        <v/>
      </c>
    </row>
    <row r="877">
      <c r="A877" s="54" t="n"/>
      <c r="B877" s="61" t="n"/>
      <c r="C877" s="61" t="n"/>
      <c r="D877" s="61" t="n"/>
      <c r="E877" s="61" t="n"/>
      <c r="F877" s="55" t="n"/>
      <c r="G877" s="56" t="n"/>
      <c r="H877" s="55" t="n"/>
      <c r="I877" s="62" t="n"/>
      <c r="J877" s="58" t="n"/>
      <c r="K877" s="63">
        <f>IF(tblMovement[[#This Row],[Source]]="","",IFERROR(INDEX(tblSources[Type],MATCH(tblMovement[[#This Row],[Source]],tblSources[Source],0)),"?"))</f>
        <v/>
      </c>
      <c r="L877" s="63">
        <f>IF(tblMovement[[#This Row],[Destination]]="","",IFERROR(INDEX(tblDestinations[Type],MATCH(tblMovement[[#This Row],[Destination]],tblDestinations[Destination],0)),"?"))</f>
        <v/>
      </c>
      <c r="M877" s="64">
        <f>IF(tblMovement[[#This Row],[Material]]="","",IF(LEFT(tblMovement[[#This Row],[Material]],3)="Ore",1,0))</f>
        <v/>
      </c>
      <c r="N877" s="59">
        <f>IF(OR(tblMovement[[#This Row],[Tonnes_t]]="",tblMovement[[#This Row],[Grade_gpt]]=""),0,tblMovement[[#This Row],[Tonnes_t]]*tblMovement[[#This Row],[Grade_gpt]]/cfg_TroyOz)</f>
        <v/>
      </c>
      <c r="O877" s="59">
        <f>IF(tblMovement[[#This Row],[Is_Ore]]=1,tblMovement[[#This Row],[Contained_oz]],0)</f>
        <v/>
      </c>
    </row>
    <row r="878">
      <c r="A878" s="54" t="n"/>
      <c r="B878" s="61" t="n"/>
      <c r="C878" s="61" t="n"/>
      <c r="D878" s="61" t="n"/>
      <c r="E878" s="61" t="n"/>
      <c r="F878" s="55" t="n"/>
      <c r="G878" s="56" t="n"/>
      <c r="H878" s="55" t="n"/>
      <c r="I878" s="62" t="n"/>
      <c r="J878" s="58" t="n"/>
      <c r="K878" s="63">
        <f>IF(tblMovement[[#This Row],[Source]]="","",IFERROR(INDEX(tblSources[Type],MATCH(tblMovement[[#This Row],[Source]],tblSources[Source],0)),"?"))</f>
        <v/>
      </c>
      <c r="L878" s="63">
        <f>IF(tblMovement[[#This Row],[Destination]]="","",IFERROR(INDEX(tblDestinations[Type],MATCH(tblMovement[[#This Row],[Destination]],tblDestinations[Destination],0)),"?"))</f>
        <v/>
      </c>
      <c r="M878" s="64">
        <f>IF(tblMovement[[#This Row],[Material]]="","",IF(LEFT(tblMovement[[#This Row],[Material]],3)="Ore",1,0))</f>
        <v/>
      </c>
      <c r="N878" s="59">
        <f>IF(OR(tblMovement[[#This Row],[Tonnes_t]]="",tblMovement[[#This Row],[Grade_gpt]]=""),0,tblMovement[[#This Row],[Tonnes_t]]*tblMovement[[#This Row],[Grade_gpt]]/cfg_TroyOz)</f>
        <v/>
      </c>
      <c r="O878" s="59">
        <f>IF(tblMovement[[#This Row],[Is_Ore]]=1,tblMovement[[#This Row],[Contained_oz]],0)</f>
        <v/>
      </c>
    </row>
    <row r="879">
      <c r="A879" s="54" t="n"/>
      <c r="B879" s="61" t="n"/>
      <c r="C879" s="61" t="n"/>
      <c r="D879" s="61" t="n"/>
      <c r="E879" s="61" t="n"/>
      <c r="F879" s="55" t="n"/>
      <c r="G879" s="56" t="n"/>
      <c r="H879" s="55" t="n"/>
      <c r="I879" s="62" t="n"/>
      <c r="J879" s="58" t="n"/>
      <c r="K879" s="63">
        <f>IF(tblMovement[[#This Row],[Source]]="","",IFERROR(INDEX(tblSources[Type],MATCH(tblMovement[[#This Row],[Source]],tblSources[Source],0)),"?"))</f>
        <v/>
      </c>
      <c r="L879" s="63">
        <f>IF(tblMovement[[#This Row],[Destination]]="","",IFERROR(INDEX(tblDestinations[Type],MATCH(tblMovement[[#This Row],[Destination]],tblDestinations[Destination],0)),"?"))</f>
        <v/>
      </c>
      <c r="M879" s="64">
        <f>IF(tblMovement[[#This Row],[Material]]="","",IF(LEFT(tblMovement[[#This Row],[Material]],3)="Ore",1,0))</f>
        <v/>
      </c>
      <c r="N879" s="59">
        <f>IF(OR(tblMovement[[#This Row],[Tonnes_t]]="",tblMovement[[#This Row],[Grade_gpt]]=""),0,tblMovement[[#This Row],[Tonnes_t]]*tblMovement[[#This Row],[Grade_gpt]]/cfg_TroyOz)</f>
        <v/>
      </c>
      <c r="O879" s="59">
        <f>IF(tblMovement[[#This Row],[Is_Ore]]=1,tblMovement[[#This Row],[Contained_oz]],0)</f>
        <v/>
      </c>
    </row>
    <row r="880">
      <c r="A880" s="54" t="n"/>
      <c r="B880" s="61" t="n"/>
      <c r="C880" s="61" t="n"/>
      <c r="D880" s="61" t="n"/>
      <c r="E880" s="61" t="n"/>
      <c r="F880" s="55" t="n"/>
      <c r="G880" s="56" t="n"/>
      <c r="H880" s="55" t="n"/>
      <c r="I880" s="62" t="n"/>
      <c r="J880" s="58" t="n"/>
      <c r="K880" s="63">
        <f>IF(tblMovement[[#This Row],[Source]]="","",IFERROR(INDEX(tblSources[Type],MATCH(tblMovement[[#This Row],[Source]],tblSources[Source],0)),"?"))</f>
        <v/>
      </c>
      <c r="L880" s="63">
        <f>IF(tblMovement[[#This Row],[Destination]]="","",IFERROR(INDEX(tblDestinations[Type],MATCH(tblMovement[[#This Row],[Destination]],tblDestinations[Destination],0)),"?"))</f>
        <v/>
      </c>
      <c r="M880" s="64">
        <f>IF(tblMovement[[#This Row],[Material]]="","",IF(LEFT(tblMovement[[#This Row],[Material]],3)="Ore",1,0))</f>
        <v/>
      </c>
      <c r="N880" s="59">
        <f>IF(OR(tblMovement[[#This Row],[Tonnes_t]]="",tblMovement[[#This Row],[Grade_gpt]]=""),0,tblMovement[[#This Row],[Tonnes_t]]*tblMovement[[#This Row],[Grade_gpt]]/cfg_TroyOz)</f>
        <v/>
      </c>
      <c r="O880" s="59">
        <f>IF(tblMovement[[#This Row],[Is_Ore]]=1,tblMovement[[#This Row],[Contained_oz]],0)</f>
        <v/>
      </c>
    </row>
    <row r="881">
      <c r="A881" s="54" t="n"/>
      <c r="B881" s="61" t="n"/>
      <c r="C881" s="61" t="n"/>
      <c r="D881" s="61" t="n"/>
      <c r="E881" s="61" t="n"/>
      <c r="F881" s="55" t="n"/>
      <c r="G881" s="56" t="n"/>
      <c r="H881" s="55" t="n"/>
      <c r="I881" s="62" t="n"/>
      <c r="J881" s="58" t="n"/>
      <c r="K881" s="63">
        <f>IF(tblMovement[[#This Row],[Source]]="","",IFERROR(INDEX(tblSources[Type],MATCH(tblMovement[[#This Row],[Source]],tblSources[Source],0)),"?"))</f>
        <v/>
      </c>
      <c r="L881" s="63">
        <f>IF(tblMovement[[#This Row],[Destination]]="","",IFERROR(INDEX(tblDestinations[Type],MATCH(tblMovement[[#This Row],[Destination]],tblDestinations[Destination],0)),"?"))</f>
        <v/>
      </c>
      <c r="M881" s="64">
        <f>IF(tblMovement[[#This Row],[Material]]="","",IF(LEFT(tblMovement[[#This Row],[Material]],3)="Ore",1,0))</f>
        <v/>
      </c>
      <c r="N881" s="59">
        <f>IF(OR(tblMovement[[#This Row],[Tonnes_t]]="",tblMovement[[#This Row],[Grade_gpt]]=""),0,tblMovement[[#This Row],[Tonnes_t]]*tblMovement[[#This Row],[Grade_gpt]]/cfg_TroyOz)</f>
        <v/>
      </c>
      <c r="O881" s="59">
        <f>IF(tblMovement[[#This Row],[Is_Ore]]=1,tblMovement[[#This Row],[Contained_oz]],0)</f>
        <v/>
      </c>
    </row>
    <row r="882">
      <c r="A882" s="54" t="n"/>
      <c r="B882" s="61" t="n"/>
      <c r="C882" s="61" t="n"/>
      <c r="D882" s="61" t="n"/>
      <c r="E882" s="61" t="n"/>
      <c r="F882" s="55" t="n"/>
      <c r="G882" s="56" t="n"/>
      <c r="H882" s="55" t="n"/>
      <c r="I882" s="62" t="n"/>
      <c r="J882" s="58" t="n"/>
      <c r="K882" s="63">
        <f>IF(tblMovement[[#This Row],[Source]]="","",IFERROR(INDEX(tblSources[Type],MATCH(tblMovement[[#This Row],[Source]],tblSources[Source],0)),"?"))</f>
        <v/>
      </c>
      <c r="L882" s="63">
        <f>IF(tblMovement[[#This Row],[Destination]]="","",IFERROR(INDEX(tblDestinations[Type],MATCH(tblMovement[[#This Row],[Destination]],tblDestinations[Destination],0)),"?"))</f>
        <v/>
      </c>
      <c r="M882" s="64">
        <f>IF(tblMovement[[#This Row],[Material]]="","",IF(LEFT(tblMovement[[#This Row],[Material]],3)="Ore",1,0))</f>
        <v/>
      </c>
      <c r="N882" s="59">
        <f>IF(OR(tblMovement[[#This Row],[Tonnes_t]]="",tblMovement[[#This Row],[Grade_gpt]]=""),0,tblMovement[[#This Row],[Tonnes_t]]*tblMovement[[#This Row],[Grade_gpt]]/cfg_TroyOz)</f>
        <v/>
      </c>
      <c r="O882" s="59">
        <f>IF(tblMovement[[#This Row],[Is_Ore]]=1,tblMovement[[#This Row],[Contained_oz]],0)</f>
        <v/>
      </c>
    </row>
    <row r="883">
      <c r="A883" s="54" t="n"/>
      <c r="B883" s="61" t="n"/>
      <c r="C883" s="61" t="n"/>
      <c r="D883" s="61" t="n"/>
      <c r="E883" s="61" t="n"/>
      <c r="F883" s="55" t="n"/>
      <c r="G883" s="56" t="n"/>
      <c r="H883" s="55" t="n"/>
      <c r="I883" s="62" t="n"/>
      <c r="J883" s="58" t="n"/>
      <c r="K883" s="63">
        <f>IF(tblMovement[[#This Row],[Source]]="","",IFERROR(INDEX(tblSources[Type],MATCH(tblMovement[[#This Row],[Source]],tblSources[Source],0)),"?"))</f>
        <v/>
      </c>
      <c r="L883" s="63">
        <f>IF(tblMovement[[#This Row],[Destination]]="","",IFERROR(INDEX(tblDestinations[Type],MATCH(tblMovement[[#This Row],[Destination]],tblDestinations[Destination],0)),"?"))</f>
        <v/>
      </c>
      <c r="M883" s="64">
        <f>IF(tblMovement[[#This Row],[Material]]="","",IF(LEFT(tblMovement[[#This Row],[Material]],3)="Ore",1,0))</f>
        <v/>
      </c>
      <c r="N883" s="59">
        <f>IF(OR(tblMovement[[#This Row],[Tonnes_t]]="",tblMovement[[#This Row],[Grade_gpt]]=""),0,tblMovement[[#This Row],[Tonnes_t]]*tblMovement[[#This Row],[Grade_gpt]]/cfg_TroyOz)</f>
        <v/>
      </c>
      <c r="O883" s="59">
        <f>IF(tblMovement[[#This Row],[Is_Ore]]=1,tblMovement[[#This Row],[Contained_oz]],0)</f>
        <v/>
      </c>
    </row>
    <row r="884">
      <c r="A884" s="54" t="n"/>
      <c r="B884" s="61" t="n"/>
      <c r="C884" s="61" t="n"/>
      <c r="D884" s="61" t="n"/>
      <c r="E884" s="61" t="n"/>
      <c r="F884" s="55" t="n"/>
      <c r="G884" s="56" t="n"/>
      <c r="H884" s="55" t="n"/>
      <c r="I884" s="62" t="n"/>
      <c r="J884" s="58" t="n"/>
      <c r="K884" s="63">
        <f>IF(tblMovement[[#This Row],[Source]]="","",IFERROR(INDEX(tblSources[Type],MATCH(tblMovement[[#This Row],[Source]],tblSources[Source],0)),"?"))</f>
        <v/>
      </c>
      <c r="L884" s="63">
        <f>IF(tblMovement[[#This Row],[Destination]]="","",IFERROR(INDEX(tblDestinations[Type],MATCH(tblMovement[[#This Row],[Destination]],tblDestinations[Destination],0)),"?"))</f>
        <v/>
      </c>
      <c r="M884" s="64">
        <f>IF(tblMovement[[#This Row],[Material]]="","",IF(LEFT(tblMovement[[#This Row],[Material]],3)="Ore",1,0))</f>
        <v/>
      </c>
      <c r="N884" s="59">
        <f>IF(OR(tblMovement[[#This Row],[Tonnes_t]]="",tblMovement[[#This Row],[Grade_gpt]]=""),0,tblMovement[[#This Row],[Tonnes_t]]*tblMovement[[#This Row],[Grade_gpt]]/cfg_TroyOz)</f>
        <v/>
      </c>
      <c r="O884" s="59">
        <f>IF(tblMovement[[#This Row],[Is_Ore]]=1,tblMovement[[#This Row],[Contained_oz]],0)</f>
        <v/>
      </c>
    </row>
    <row r="885">
      <c r="A885" s="54" t="n"/>
      <c r="B885" s="61" t="n"/>
      <c r="C885" s="61" t="n"/>
      <c r="D885" s="61" t="n"/>
      <c r="E885" s="61" t="n"/>
      <c r="F885" s="55" t="n"/>
      <c r="G885" s="56" t="n"/>
      <c r="H885" s="55" t="n"/>
      <c r="I885" s="62" t="n"/>
      <c r="J885" s="58" t="n"/>
      <c r="K885" s="63">
        <f>IF(tblMovement[[#This Row],[Source]]="","",IFERROR(INDEX(tblSources[Type],MATCH(tblMovement[[#This Row],[Source]],tblSources[Source],0)),"?"))</f>
        <v/>
      </c>
      <c r="L885" s="63">
        <f>IF(tblMovement[[#This Row],[Destination]]="","",IFERROR(INDEX(tblDestinations[Type],MATCH(tblMovement[[#This Row],[Destination]],tblDestinations[Destination],0)),"?"))</f>
        <v/>
      </c>
      <c r="M885" s="64">
        <f>IF(tblMovement[[#This Row],[Material]]="","",IF(LEFT(tblMovement[[#This Row],[Material]],3)="Ore",1,0))</f>
        <v/>
      </c>
      <c r="N885" s="59">
        <f>IF(OR(tblMovement[[#This Row],[Tonnes_t]]="",tblMovement[[#This Row],[Grade_gpt]]=""),0,tblMovement[[#This Row],[Tonnes_t]]*tblMovement[[#This Row],[Grade_gpt]]/cfg_TroyOz)</f>
        <v/>
      </c>
      <c r="O885" s="59">
        <f>IF(tblMovement[[#This Row],[Is_Ore]]=1,tblMovement[[#This Row],[Contained_oz]],0)</f>
        <v/>
      </c>
    </row>
    <row r="886">
      <c r="A886" s="54" t="n"/>
      <c r="B886" s="61" t="n"/>
      <c r="C886" s="61" t="n"/>
      <c r="D886" s="61" t="n"/>
      <c r="E886" s="61" t="n"/>
      <c r="F886" s="55" t="n"/>
      <c r="G886" s="56" t="n"/>
      <c r="H886" s="55" t="n"/>
      <c r="I886" s="62" t="n"/>
      <c r="J886" s="58" t="n"/>
      <c r="K886" s="63">
        <f>IF(tblMovement[[#This Row],[Source]]="","",IFERROR(INDEX(tblSources[Type],MATCH(tblMovement[[#This Row],[Source]],tblSources[Source],0)),"?"))</f>
        <v/>
      </c>
      <c r="L886" s="63">
        <f>IF(tblMovement[[#This Row],[Destination]]="","",IFERROR(INDEX(tblDestinations[Type],MATCH(tblMovement[[#This Row],[Destination]],tblDestinations[Destination],0)),"?"))</f>
        <v/>
      </c>
      <c r="M886" s="64">
        <f>IF(tblMovement[[#This Row],[Material]]="","",IF(LEFT(tblMovement[[#This Row],[Material]],3)="Ore",1,0))</f>
        <v/>
      </c>
      <c r="N886" s="59">
        <f>IF(OR(tblMovement[[#This Row],[Tonnes_t]]="",tblMovement[[#This Row],[Grade_gpt]]=""),0,tblMovement[[#This Row],[Tonnes_t]]*tblMovement[[#This Row],[Grade_gpt]]/cfg_TroyOz)</f>
        <v/>
      </c>
      <c r="O886" s="59">
        <f>IF(tblMovement[[#This Row],[Is_Ore]]=1,tblMovement[[#This Row],[Contained_oz]],0)</f>
        <v/>
      </c>
    </row>
    <row r="887">
      <c r="A887" s="54" t="n"/>
      <c r="B887" s="61" t="n"/>
      <c r="C887" s="61" t="n"/>
      <c r="D887" s="61" t="n"/>
      <c r="E887" s="61" t="n"/>
      <c r="F887" s="55" t="n"/>
      <c r="G887" s="56" t="n"/>
      <c r="H887" s="55" t="n"/>
      <c r="I887" s="62" t="n"/>
      <c r="J887" s="58" t="n"/>
      <c r="K887" s="63">
        <f>IF(tblMovement[[#This Row],[Source]]="","",IFERROR(INDEX(tblSources[Type],MATCH(tblMovement[[#This Row],[Source]],tblSources[Source],0)),"?"))</f>
        <v/>
      </c>
      <c r="L887" s="63">
        <f>IF(tblMovement[[#This Row],[Destination]]="","",IFERROR(INDEX(tblDestinations[Type],MATCH(tblMovement[[#This Row],[Destination]],tblDestinations[Destination],0)),"?"))</f>
        <v/>
      </c>
      <c r="M887" s="64">
        <f>IF(tblMovement[[#This Row],[Material]]="","",IF(LEFT(tblMovement[[#This Row],[Material]],3)="Ore",1,0))</f>
        <v/>
      </c>
      <c r="N887" s="59">
        <f>IF(OR(tblMovement[[#This Row],[Tonnes_t]]="",tblMovement[[#This Row],[Grade_gpt]]=""),0,tblMovement[[#This Row],[Tonnes_t]]*tblMovement[[#This Row],[Grade_gpt]]/cfg_TroyOz)</f>
        <v/>
      </c>
      <c r="O887" s="59">
        <f>IF(tblMovement[[#This Row],[Is_Ore]]=1,tblMovement[[#This Row],[Contained_oz]],0)</f>
        <v/>
      </c>
    </row>
    <row r="888">
      <c r="A888" s="54" t="n"/>
      <c r="B888" s="61" t="n"/>
      <c r="C888" s="61" t="n"/>
      <c r="D888" s="61" t="n"/>
      <c r="E888" s="61" t="n"/>
      <c r="F888" s="55" t="n"/>
      <c r="G888" s="56" t="n"/>
      <c r="H888" s="55" t="n"/>
      <c r="I888" s="62" t="n"/>
      <c r="J888" s="58" t="n"/>
      <c r="K888" s="63">
        <f>IF(tblMovement[[#This Row],[Source]]="","",IFERROR(INDEX(tblSources[Type],MATCH(tblMovement[[#This Row],[Source]],tblSources[Source],0)),"?"))</f>
        <v/>
      </c>
      <c r="L888" s="63">
        <f>IF(tblMovement[[#This Row],[Destination]]="","",IFERROR(INDEX(tblDestinations[Type],MATCH(tblMovement[[#This Row],[Destination]],tblDestinations[Destination],0)),"?"))</f>
        <v/>
      </c>
      <c r="M888" s="64">
        <f>IF(tblMovement[[#This Row],[Material]]="","",IF(LEFT(tblMovement[[#This Row],[Material]],3)="Ore",1,0))</f>
        <v/>
      </c>
      <c r="N888" s="59">
        <f>IF(OR(tblMovement[[#This Row],[Tonnes_t]]="",tblMovement[[#This Row],[Grade_gpt]]=""),0,tblMovement[[#This Row],[Tonnes_t]]*tblMovement[[#This Row],[Grade_gpt]]/cfg_TroyOz)</f>
        <v/>
      </c>
      <c r="O888" s="59">
        <f>IF(tblMovement[[#This Row],[Is_Ore]]=1,tblMovement[[#This Row],[Contained_oz]],0)</f>
        <v/>
      </c>
    </row>
    <row r="889">
      <c r="A889" s="54" t="n"/>
      <c r="B889" s="61" t="n"/>
      <c r="C889" s="61" t="n"/>
      <c r="D889" s="61" t="n"/>
      <c r="E889" s="61" t="n"/>
      <c r="F889" s="55" t="n"/>
      <c r="G889" s="56" t="n"/>
      <c r="H889" s="55" t="n"/>
      <c r="I889" s="62" t="n"/>
      <c r="J889" s="58" t="n"/>
      <c r="K889" s="63">
        <f>IF(tblMovement[[#This Row],[Source]]="","",IFERROR(INDEX(tblSources[Type],MATCH(tblMovement[[#This Row],[Source]],tblSources[Source],0)),"?"))</f>
        <v/>
      </c>
      <c r="L889" s="63">
        <f>IF(tblMovement[[#This Row],[Destination]]="","",IFERROR(INDEX(tblDestinations[Type],MATCH(tblMovement[[#This Row],[Destination]],tblDestinations[Destination],0)),"?"))</f>
        <v/>
      </c>
      <c r="M889" s="64">
        <f>IF(tblMovement[[#This Row],[Material]]="","",IF(LEFT(tblMovement[[#This Row],[Material]],3)="Ore",1,0))</f>
        <v/>
      </c>
      <c r="N889" s="59">
        <f>IF(OR(tblMovement[[#This Row],[Tonnes_t]]="",tblMovement[[#This Row],[Grade_gpt]]=""),0,tblMovement[[#This Row],[Tonnes_t]]*tblMovement[[#This Row],[Grade_gpt]]/cfg_TroyOz)</f>
        <v/>
      </c>
      <c r="O889" s="59">
        <f>IF(tblMovement[[#This Row],[Is_Ore]]=1,tblMovement[[#This Row],[Contained_oz]],0)</f>
        <v/>
      </c>
    </row>
    <row r="890">
      <c r="A890" s="54" t="n"/>
      <c r="B890" s="61" t="n"/>
      <c r="C890" s="61" t="n"/>
      <c r="D890" s="61" t="n"/>
      <c r="E890" s="61" t="n"/>
      <c r="F890" s="55" t="n"/>
      <c r="G890" s="56" t="n"/>
      <c r="H890" s="55" t="n"/>
      <c r="I890" s="62" t="n"/>
      <c r="J890" s="58" t="n"/>
      <c r="K890" s="63">
        <f>IF(tblMovement[[#This Row],[Source]]="","",IFERROR(INDEX(tblSources[Type],MATCH(tblMovement[[#This Row],[Source]],tblSources[Source],0)),"?"))</f>
        <v/>
      </c>
      <c r="L890" s="63">
        <f>IF(tblMovement[[#This Row],[Destination]]="","",IFERROR(INDEX(tblDestinations[Type],MATCH(tblMovement[[#This Row],[Destination]],tblDestinations[Destination],0)),"?"))</f>
        <v/>
      </c>
      <c r="M890" s="64">
        <f>IF(tblMovement[[#This Row],[Material]]="","",IF(LEFT(tblMovement[[#This Row],[Material]],3)="Ore",1,0))</f>
        <v/>
      </c>
      <c r="N890" s="59">
        <f>IF(OR(tblMovement[[#This Row],[Tonnes_t]]="",tblMovement[[#This Row],[Grade_gpt]]=""),0,tblMovement[[#This Row],[Tonnes_t]]*tblMovement[[#This Row],[Grade_gpt]]/cfg_TroyOz)</f>
        <v/>
      </c>
      <c r="O890" s="59">
        <f>IF(tblMovement[[#This Row],[Is_Ore]]=1,tblMovement[[#This Row],[Contained_oz]],0)</f>
        <v/>
      </c>
    </row>
    <row r="891">
      <c r="A891" s="54" t="n"/>
      <c r="B891" s="61" t="n"/>
      <c r="C891" s="61" t="n"/>
      <c r="D891" s="61" t="n"/>
      <c r="E891" s="61" t="n"/>
      <c r="F891" s="55" t="n"/>
      <c r="G891" s="56" t="n"/>
      <c r="H891" s="55" t="n"/>
      <c r="I891" s="62" t="n"/>
      <c r="J891" s="58" t="n"/>
      <c r="K891" s="63">
        <f>IF(tblMovement[[#This Row],[Source]]="","",IFERROR(INDEX(tblSources[Type],MATCH(tblMovement[[#This Row],[Source]],tblSources[Source],0)),"?"))</f>
        <v/>
      </c>
      <c r="L891" s="63">
        <f>IF(tblMovement[[#This Row],[Destination]]="","",IFERROR(INDEX(tblDestinations[Type],MATCH(tblMovement[[#This Row],[Destination]],tblDestinations[Destination],0)),"?"))</f>
        <v/>
      </c>
      <c r="M891" s="64">
        <f>IF(tblMovement[[#This Row],[Material]]="","",IF(LEFT(tblMovement[[#This Row],[Material]],3)="Ore",1,0))</f>
        <v/>
      </c>
      <c r="N891" s="59">
        <f>IF(OR(tblMovement[[#This Row],[Tonnes_t]]="",tblMovement[[#This Row],[Grade_gpt]]=""),0,tblMovement[[#This Row],[Tonnes_t]]*tblMovement[[#This Row],[Grade_gpt]]/cfg_TroyOz)</f>
        <v/>
      </c>
      <c r="O891" s="59">
        <f>IF(tblMovement[[#This Row],[Is_Ore]]=1,tblMovement[[#This Row],[Contained_oz]],0)</f>
        <v/>
      </c>
    </row>
    <row r="892">
      <c r="A892" s="54" t="n"/>
      <c r="B892" s="61" t="n"/>
      <c r="C892" s="61" t="n"/>
      <c r="D892" s="61" t="n"/>
      <c r="E892" s="61" t="n"/>
      <c r="F892" s="55" t="n"/>
      <c r="G892" s="56" t="n"/>
      <c r="H892" s="55" t="n"/>
      <c r="I892" s="62" t="n"/>
      <c r="J892" s="58" t="n"/>
      <c r="K892" s="63">
        <f>IF(tblMovement[[#This Row],[Source]]="","",IFERROR(INDEX(tblSources[Type],MATCH(tblMovement[[#This Row],[Source]],tblSources[Source],0)),"?"))</f>
        <v/>
      </c>
      <c r="L892" s="63">
        <f>IF(tblMovement[[#This Row],[Destination]]="","",IFERROR(INDEX(tblDestinations[Type],MATCH(tblMovement[[#This Row],[Destination]],tblDestinations[Destination],0)),"?"))</f>
        <v/>
      </c>
      <c r="M892" s="64">
        <f>IF(tblMovement[[#This Row],[Material]]="","",IF(LEFT(tblMovement[[#This Row],[Material]],3)="Ore",1,0))</f>
        <v/>
      </c>
      <c r="N892" s="59">
        <f>IF(OR(tblMovement[[#This Row],[Tonnes_t]]="",tblMovement[[#This Row],[Grade_gpt]]=""),0,tblMovement[[#This Row],[Tonnes_t]]*tblMovement[[#This Row],[Grade_gpt]]/cfg_TroyOz)</f>
        <v/>
      </c>
      <c r="O892" s="59">
        <f>IF(tblMovement[[#This Row],[Is_Ore]]=1,tblMovement[[#This Row],[Contained_oz]],0)</f>
        <v/>
      </c>
    </row>
    <row r="893">
      <c r="A893" s="54" t="n"/>
      <c r="B893" s="61" t="n"/>
      <c r="C893" s="61" t="n"/>
      <c r="D893" s="61" t="n"/>
      <c r="E893" s="61" t="n"/>
      <c r="F893" s="55" t="n"/>
      <c r="G893" s="56" t="n"/>
      <c r="H893" s="55" t="n"/>
      <c r="I893" s="62" t="n"/>
      <c r="J893" s="58" t="n"/>
      <c r="K893" s="63">
        <f>IF(tblMovement[[#This Row],[Source]]="","",IFERROR(INDEX(tblSources[Type],MATCH(tblMovement[[#This Row],[Source]],tblSources[Source],0)),"?"))</f>
        <v/>
      </c>
      <c r="L893" s="63">
        <f>IF(tblMovement[[#This Row],[Destination]]="","",IFERROR(INDEX(tblDestinations[Type],MATCH(tblMovement[[#This Row],[Destination]],tblDestinations[Destination],0)),"?"))</f>
        <v/>
      </c>
      <c r="M893" s="64">
        <f>IF(tblMovement[[#This Row],[Material]]="","",IF(LEFT(tblMovement[[#This Row],[Material]],3)="Ore",1,0))</f>
        <v/>
      </c>
      <c r="N893" s="59">
        <f>IF(OR(tblMovement[[#This Row],[Tonnes_t]]="",tblMovement[[#This Row],[Grade_gpt]]=""),0,tblMovement[[#This Row],[Tonnes_t]]*tblMovement[[#This Row],[Grade_gpt]]/cfg_TroyOz)</f>
        <v/>
      </c>
      <c r="O893" s="59">
        <f>IF(tblMovement[[#This Row],[Is_Ore]]=1,tblMovement[[#This Row],[Contained_oz]],0)</f>
        <v/>
      </c>
    </row>
    <row r="894">
      <c r="A894" s="54" t="n"/>
      <c r="B894" s="61" t="n"/>
      <c r="C894" s="61" t="n"/>
      <c r="D894" s="61" t="n"/>
      <c r="E894" s="61" t="n"/>
      <c r="F894" s="55" t="n"/>
      <c r="G894" s="56" t="n"/>
      <c r="H894" s="55" t="n"/>
      <c r="I894" s="62" t="n"/>
      <c r="J894" s="58" t="n"/>
      <c r="K894" s="63">
        <f>IF(tblMovement[[#This Row],[Source]]="","",IFERROR(INDEX(tblSources[Type],MATCH(tblMovement[[#This Row],[Source]],tblSources[Source],0)),"?"))</f>
        <v/>
      </c>
      <c r="L894" s="63">
        <f>IF(tblMovement[[#This Row],[Destination]]="","",IFERROR(INDEX(tblDestinations[Type],MATCH(tblMovement[[#This Row],[Destination]],tblDestinations[Destination],0)),"?"))</f>
        <v/>
      </c>
      <c r="M894" s="64">
        <f>IF(tblMovement[[#This Row],[Material]]="","",IF(LEFT(tblMovement[[#This Row],[Material]],3)="Ore",1,0))</f>
        <v/>
      </c>
      <c r="N894" s="59">
        <f>IF(OR(tblMovement[[#This Row],[Tonnes_t]]="",tblMovement[[#This Row],[Grade_gpt]]=""),0,tblMovement[[#This Row],[Tonnes_t]]*tblMovement[[#This Row],[Grade_gpt]]/cfg_TroyOz)</f>
        <v/>
      </c>
      <c r="O894" s="59">
        <f>IF(tblMovement[[#This Row],[Is_Ore]]=1,tblMovement[[#This Row],[Contained_oz]],0)</f>
        <v/>
      </c>
    </row>
    <row r="895">
      <c r="A895" s="54" t="n"/>
      <c r="B895" s="61" t="n"/>
      <c r="C895" s="61" t="n"/>
      <c r="D895" s="61" t="n"/>
      <c r="E895" s="61" t="n"/>
      <c r="F895" s="55" t="n"/>
      <c r="G895" s="56" t="n"/>
      <c r="H895" s="55" t="n"/>
      <c r="I895" s="62" t="n"/>
      <c r="J895" s="58" t="n"/>
      <c r="K895" s="63">
        <f>IF(tblMovement[[#This Row],[Source]]="","",IFERROR(INDEX(tblSources[Type],MATCH(tblMovement[[#This Row],[Source]],tblSources[Source],0)),"?"))</f>
        <v/>
      </c>
      <c r="L895" s="63">
        <f>IF(tblMovement[[#This Row],[Destination]]="","",IFERROR(INDEX(tblDestinations[Type],MATCH(tblMovement[[#This Row],[Destination]],tblDestinations[Destination],0)),"?"))</f>
        <v/>
      </c>
      <c r="M895" s="64">
        <f>IF(tblMovement[[#This Row],[Material]]="","",IF(LEFT(tblMovement[[#This Row],[Material]],3)="Ore",1,0))</f>
        <v/>
      </c>
      <c r="N895" s="59">
        <f>IF(OR(tblMovement[[#This Row],[Tonnes_t]]="",tblMovement[[#This Row],[Grade_gpt]]=""),0,tblMovement[[#This Row],[Tonnes_t]]*tblMovement[[#This Row],[Grade_gpt]]/cfg_TroyOz)</f>
        <v/>
      </c>
      <c r="O895" s="59">
        <f>IF(tblMovement[[#This Row],[Is_Ore]]=1,tblMovement[[#This Row],[Contained_oz]],0)</f>
        <v/>
      </c>
    </row>
    <row r="896">
      <c r="A896" s="54" t="n"/>
      <c r="B896" s="61" t="n"/>
      <c r="C896" s="61" t="n"/>
      <c r="D896" s="61" t="n"/>
      <c r="E896" s="61" t="n"/>
      <c r="F896" s="55" t="n"/>
      <c r="G896" s="56" t="n"/>
      <c r="H896" s="55" t="n"/>
      <c r="I896" s="62" t="n"/>
      <c r="J896" s="58" t="n"/>
      <c r="K896" s="63">
        <f>IF(tblMovement[[#This Row],[Source]]="","",IFERROR(INDEX(tblSources[Type],MATCH(tblMovement[[#This Row],[Source]],tblSources[Source],0)),"?"))</f>
        <v/>
      </c>
      <c r="L896" s="63">
        <f>IF(tblMovement[[#This Row],[Destination]]="","",IFERROR(INDEX(tblDestinations[Type],MATCH(tblMovement[[#This Row],[Destination]],tblDestinations[Destination],0)),"?"))</f>
        <v/>
      </c>
      <c r="M896" s="64">
        <f>IF(tblMovement[[#This Row],[Material]]="","",IF(LEFT(tblMovement[[#This Row],[Material]],3)="Ore",1,0))</f>
        <v/>
      </c>
      <c r="N896" s="59">
        <f>IF(OR(tblMovement[[#This Row],[Tonnes_t]]="",tblMovement[[#This Row],[Grade_gpt]]=""),0,tblMovement[[#This Row],[Tonnes_t]]*tblMovement[[#This Row],[Grade_gpt]]/cfg_TroyOz)</f>
        <v/>
      </c>
      <c r="O896" s="59">
        <f>IF(tblMovement[[#This Row],[Is_Ore]]=1,tblMovement[[#This Row],[Contained_oz]],0)</f>
        <v/>
      </c>
    </row>
    <row r="897">
      <c r="A897" s="54" t="n"/>
      <c r="B897" s="61" t="n"/>
      <c r="C897" s="61" t="n"/>
      <c r="D897" s="61" t="n"/>
      <c r="E897" s="61" t="n"/>
      <c r="F897" s="55" t="n"/>
      <c r="G897" s="56" t="n"/>
      <c r="H897" s="55" t="n"/>
      <c r="I897" s="62" t="n"/>
      <c r="J897" s="58" t="n"/>
      <c r="K897" s="63">
        <f>IF(tblMovement[[#This Row],[Source]]="","",IFERROR(INDEX(tblSources[Type],MATCH(tblMovement[[#This Row],[Source]],tblSources[Source],0)),"?"))</f>
        <v/>
      </c>
      <c r="L897" s="63">
        <f>IF(tblMovement[[#This Row],[Destination]]="","",IFERROR(INDEX(tblDestinations[Type],MATCH(tblMovement[[#This Row],[Destination]],tblDestinations[Destination],0)),"?"))</f>
        <v/>
      </c>
      <c r="M897" s="64">
        <f>IF(tblMovement[[#This Row],[Material]]="","",IF(LEFT(tblMovement[[#This Row],[Material]],3)="Ore",1,0))</f>
        <v/>
      </c>
      <c r="N897" s="59">
        <f>IF(OR(tblMovement[[#This Row],[Tonnes_t]]="",tblMovement[[#This Row],[Grade_gpt]]=""),0,tblMovement[[#This Row],[Tonnes_t]]*tblMovement[[#This Row],[Grade_gpt]]/cfg_TroyOz)</f>
        <v/>
      </c>
      <c r="O897" s="59">
        <f>IF(tblMovement[[#This Row],[Is_Ore]]=1,tblMovement[[#This Row],[Contained_oz]],0)</f>
        <v/>
      </c>
    </row>
    <row r="898">
      <c r="A898" s="54" t="n"/>
      <c r="B898" s="61" t="n"/>
      <c r="C898" s="61" t="n"/>
      <c r="D898" s="61" t="n"/>
      <c r="E898" s="61" t="n"/>
      <c r="F898" s="55" t="n"/>
      <c r="G898" s="56" t="n"/>
      <c r="H898" s="55" t="n"/>
      <c r="I898" s="62" t="n"/>
      <c r="J898" s="58" t="n"/>
      <c r="K898" s="63">
        <f>IF(tblMovement[[#This Row],[Source]]="","",IFERROR(INDEX(tblSources[Type],MATCH(tblMovement[[#This Row],[Source]],tblSources[Source],0)),"?"))</f>
        <v/>
      </c>
      <c r="L898" s="63">
        <f>IF(tblMovement[[#This Row],[Destination]]="","",IFERROR(INDEX(tblDestinations[Type],MATCH(tblMovement[[#This Row],[Destination]],tblDestinations[Destination],0)),"?"))</f>
        <v/>
      </c>
      <c r="M898" s="64">
        <f>IF(tblMovement[[#This Row],[Material]]="","",IF(LEFT(tblMovement[[#This Row],[Material]],3)="Ore",1,0))</f>
        <v/>
      </c>
      <c r="N898" s="59">
        <f>IF(OR(tblMovement[[#This Row],[Tonnes_t]]="",tblMovement[[#This Row],[Grade_gpt]]=""),0,tblMovement[[#This Row],[Tonnes_t]]*tblMovement[[#This Row],[Grade_gpt]]/cfg_TroyOz)</f>
        <v/>
      </c>
      <c r="O898" s="59">
        <f>IF(tblMovement[[#This Row],[Is_Ore]]=1,tblMovement[[#This Row],[Contained_oz]],0)</f>
        <v/>
      </c>
    </row>
    <row r="899">
      <c r="A899" s="54" t="n"/>
      <c r="B899" s="61" t="n"/>
      <c r="C899" s="61" t="n"/>
      <c r="D899" s="61" t="n"/>
      <c r="E899" s="61" t="n"/>
      <c r="F899" s="55" t="n"/>
      <c r="G899" s="56" t="n"/>
      <c r="H899" s="55" t="n"/>
      <c r="I899" s="62" t="n"/>
      <c r="J899" s="58" t="n"/>
      <c r="K899" s="63">
        <f>IF(tblMovement[[#This Row],[Source]]="","",IFERROR(INDEX(tblSources[Type],MATCH(tblMovement[[#This Row],[Source]],tblSources[Source],0)),"?"))</f>
        <v/>
      </c>
      <c r="L899" s="63">
        <f>IF(tblMovement[[#This Row],[Destination]]="","",IFERROR(INDEX(tblDestinations[Type],MATCH(tblMovement[[#This Row],[Destination]],tblDestinations[Destination],0)),"?"))</f>
        <v/>
      </c>
      <c r="M899" s="64">
        <f>IF(tblMovement[[#This Row],[Material]]="","",IF(LEFT(tblMovement[[#This Row],[Material]],3)="Ore",1,0))</f>
        <v/>
      </c>
      <c r="N899" s="59">
        <f>IF(OR(tblMovement[[#This Row],[Tonnes_t]]="",tblMovement[[#This Row],[Grade_gpt]]=""),0,tblMovement[[#This Row],[Tonnes_t]]*tblMovement[[#This Row],[Grade_gpt]]/cfg_TroyOz)</f>
        <v/>
      </c>
      <c r="O899" s="59">
        <f>IF(tblMovement[[#This Row],[Is_Ore]]=1,tblMovement[[#This Row],[Contained_oz]],0)</f>
        <v/>
      </c>
    </row>
    <row r="900">
      <c r="A900" s="54" t="n"/>
      <c r="B900" s="61" t="n"/>
      <c r="C900" s="61" t="n"/>
      <c r="D900" s="61" t="n"/>
      <c r="E900" s="61" t="n"/>
      <c r="F900" s="55" t="n"/>
      <c r="G900" s="56" t="n"/>
      <c r="H900" s="55" t="n"/>
      <c r="I900" s="62" t="n"/>
      <c r="J900" s="58" t="n"/>
      <c r="K900" s="63">
        <f>IF(tblMovement[[#This Row],[Source]]="","",IFERROR(INDEX(tblSources[Type],MATCH(tblMovement[[#This Row],[Source]],tblSources[Source],0)),"?"))</f>
        <v/>
      </c>
      <c r="L900" s="63">
        <f>IF(tblMovement[[#This Row],[Destination]]="","",IFERROR(INDEX(tblDestinations[Type],MATCH(tblMovement[[#This Row],[Destination]],tblDestinations[Destination],0)),"?"))</f>
        <v/>
      </c>
      <c r="M900" s="64">
        <f>IF(tblMovement[[#This Row],[Material]]="","",IF(LEFT(tblMovement[[#This Row],[Material]],3)="Ore",1,0))</f>
        <v/>
      </c>
      <c r="N900" s="59">
        <f>IF(OR(tblMovement[[#This Row],[Tonnes_t]]="",tblMovement[[#This Row],[Grade_gpt]]=""),0,tblMovement[[#This Row],[Tonnes_t]]*tblMovement[[#This Row],[Grade_gpt]]/cfg_TroyOz)</f>
        <v/>
      </c>
      <c r="O900" s="59">
        <f>IF(tblMovement[[#This Row],[Is_Ore]]=1,tblMovement[[#This Row],[Contained_oz]],0)</f>
        <v/>
      </c>
    </row>
    <row r="901">
      <c r="A901" s="54" t="n"/>
      <c r="B901" s="61" t="n"/>
      <c r="C901" s="61" t="n"/>
      <c r="D901" s="61" t="n"/>
      <c r="E901" s="61" t="n"/>
      <c r="F901" s="55" t="n"/>
      <c r="G901" s="56" t="n"/>
      <c r="H901" s="55" t="n"/>
      <c r="I901" s="62" t="n"/>
      <c r="J901" s="58" t="n"/>
      <c r="K901" s="63">
        <f>IF(tblMovement[[#This Row],[Source]]="","",IFERROR(INDEX(tblSources[Type],MATCH(tblMovement[[#This Row],[Source]],tblSources[Source],0)),"?"))</f>
        <v/>
      </c>
      <c r="L901" s="63">
        <f>IF(tblMovement[[#This Row],[Destination]]="","",IFERROR(INDEX(tblDestinations[Type],MATCH(tblMovement[[#This Row],[Destination]],tblDestinations[Destination],0)),"?"))</f>
        <v/>
      </c>
      <c r="M901" s="64">
        <f>IF(tblMovement[[#This Row],[Material]]="","",IF(LEFT(tblMovement[[#This Row],[Material]],3)="Ore",1,0))</f>
        <v/>
      </c>
      <c r="N901" s="59">
        <f>IF(OR(tblMovement[[#This Row],[Tonnes_t]]="",tblMovement[[#This Row],[Grade_gpt]]=""),0,tblMovement[[#This Row],[Tonnes_t]]*tblMovement[[#This Row],[Grade_gpt]]/cfg_TroyOz)</f>
        <v/>
      </c>
      <c r="O901" s="59">
        <f>IF(tblMovement[[#This Row],[Is_Ore]]=1,tblMovement[[#This Row],[Contained_oz]],0)</f>
        <v/>
      </c>
    </row>
    <row r="902">
      <c r="A902" s="54" t="n"/>
      <c r="B902" s="61" t="n"/>
      <c r="C902" s="61" t="n"/>
      <c r="D902" s="61" t="n"/>
      <c r="E902" s="61" t="n"/>
      <c r="F902" s="55" t="n"/>
      <c r="G902" s="56" t="n"/>
      <c r="H902" s="55" t="n"/>
      <c r="I902" s="62" t="n"/>
      <c r="J902" s="58" t="n"/>
      <c r="K902" s="63">
        <f>IF(tblMovement[[#This Row],[Source]]="","",IFERROR(INDEX(tblSources[Type],MATCH(tblMovement[[#This Row],[Source]],tblSources[Source],0)),"?"))</f>
        <v/>
      </c>
      <c r="L902" s="63">
        <f>IF(tblMovement[[#This Row],[Destination]]="","",IFERROR(INDEX(tblDestinations[Type],MATCH(tblMovement[[#This Row],[Destination]],tblDestinations[Destination],0)),"?"))</f>
        <v/>
      </c>
      <c r="M902" s="64">
        <f>IF(tblMovement[[#This Row],[Material]]="","",IF(LEFT(tblMovement[[#This Row],[Material]],3)="Ore",1,0))</f>
        <v/>
      </c>
      <c r="N902" s="59">
        <f>IF(OR(tblMovement[[#This Row],[Tonnes_t]]="",tblMovement[[#This Row],[Grade_gpt]]=""),0,tblMovement[[#This Row],[Tonnes_t]]*tblMovement[[#This Row],[Grade_gpt]]/cfg_TroyOz)</f>
        <v/>
      </c>
      <c r="O902" s="59">
        <f>IF(tblMovement[[#This Row],[Is_Ore]]=1,tblMovement[[#This Row],[Contained_oz]],0)</f>
        <v/>
      </c>
    </row>
    <row r="903">
      <c r="A903" s="54" t="n"/>
      <c r="B903" s="61" t="n"/>
      <c r="C903" s="61" t="n"/>
      <c r="D903" s="61" t="n"/>
      <c r="E903" s="61" t="n"/>
      <c r="F903" s="55" t="n"/>
      <c r="G903" s="56" t="n"/>
      <c r="H903" s="55" t="n"/>
      <c r="I903" s="62" t="n"/>
      <c r="J903" s="58" t="n"/>
      <c r="K903" s="63">
        <f>IF(tblMovement[[#This Row],[Source]]="","",IFERROR(INDEX(tblSources[Type],MATCH(tblMovement[[#This Row],[Source]],tblSources[Source],0)),"?"))</f>
        <v/>
      </c>
      <c r="L903" s="63">
        <f>IF(tblMovement[[#This Row],[Destination]]="","",IFERROR(INDEX(tblDestinations[Type],MATCH(tblMovement[[#This Row],[Destination]],tblDestinations[Destination],0)),"?"))</f>
        <v/>
      </c>
      <c r="M903" s="64">
        <f>IF(tblMovement[[#This Row],[Material]]="","",IF(LEFT(tblMovement[[#This Row],[Material]],3)="Ore",1,0))</f>
        <v/>
      </c>
      <c r="N903" s="59">
        <f>IF(OR(tblMovement[[#This Row],[Tonnes_t]]="",tblMovement[[#This Row],[Grade_gpt]]=""),0,tblMovement[[#This Row],[Tonnes_t]]*tblMovement[[#This Row],[Grade_gpt]]/cfg_TroyOz)</f>
        <v/>
      </c>
      <c r="O903" s="59">
        <f>IF(tblMovement[[#This Row],[Is_Ore]]=1,tblMovement[[#This Row],[Contained_oz]],0)</f>
        <v/>
      </c>
    </row>
    <row r="904">
      <c r="A904" s="54" t="n"/>
      <c r="B904" s="61" t="n"/>
      <c r="C904" s="61" t="n"/>
      <c r="D904" s="61" t="n"/>
      <c r="E904" s="61" t="n"/>
      <c r="F904" s="55" t="n"/>
      <c r="G904" s="56" t="n"/>
      <c r="H904" s="55" t="n"/>
      <c r="I904" s="62" t="n"/>
      <c r="J904" s="58" t="n"/>
      <c r="K904" s="63">
        <f>IF(tblMovement[[#This Row],[Source]]="","",IFERROR(INDEX(tblSources[Type],MATCH(tblMovement[[#This Row],[Source]],tblSources[Source],0)),"?"))</f>
        <v/>
      </c>
      <c r="L904" s="63">
        <f>IF(tblMovement[[#This Row],[Destination]]="","",IFERROR(INDEX(tblDestinations[Type],MATCH(tblMovement[[#This Row],[Destination]],tblDestinations[Destination],0)),"?"))</f>
        <v/>
      </c>
      <c r="M904" s="64">
        <f>IF(tblMovement[[#This Row],[Material]]="","",IF(LEFT(tblMovement[[#This Row],[Material]],3)="Ore",1,0))</f>
        <v/>
      </c>
      <c r="N904" s="59">
        <f>IF(OR(tblMovement[[#This Row],[Tonnes_t]]="",tblMovement[[#This Row],[Grade_gpt]]=""),0,tblMovement[[#This Row],[Tonnes_t]]*tblMovement[[#This Row],[Grade_gpt]]/cfg_TroyOz)</f>
        <v/>
      </c>
      <c r="O904" s="59">
        <f>IF(tblMovement[[#This Row],[Is_Ore]]=1,tblMovement[[#This Row],[Contained_oz]],0)</f>
        <v/>
      </c>
    </row>
    <row r="905">
      <c r="A905" s="54" t="n"/>
      <c r="B905" s="61" t="n"/>
      <c r="C905" s="61" t="n"/>
      <c r="D905" s="61" t="n"/>
      <c r="E905" s="61" t="n"/>
      <c r="F905" s="55" t="n"/>
      <c r="G905" s="56" t="n"/>
      <c r="H905" s="55" t="n"/>
      <c r="I905" s="62" t="n"/>
      <c r="J905" s="58" t="n"/>
      <c r="K905" s="63">
        <f>IF(tblMovement[[#This Row],[Source]]="","",IFERROR(INDEX(tblSources[Type],MATCH(tblMovement[[#This Row],[Source]],tblSources[Source],0)),"?"))</f>
        <v/>
      </c>
      <c r="L905" s="63">
        <f>IF(tblMovement[[#This Row],[Destination]]="","",IFERROR(INDEX(tblDestinations[Type],MATCH(tblMovement[[#This Row],[Destination]],tblDestinations[Destination],0)),"?"))</f>
        <v/>
      </c>
      <c r="M905" s="64">
        <f>IF(tblMovement[[#This Row],[Material]]="","",IF(LEFT(tblMovement[[#This Row],[Material]],3)="Ore",1,0))</f>
        <v/>
      </c>
      <c r="N905" s="59">
        <f>IF(OR(tblMovement[[#This Row],[Tonnes_t]]="",tblMovement[[#This Row],[Grade_gpt]]=""),0,tblMovement[[#This Row],[Tonnes_t]]*tblMovement[[#This Row],[Grade_gpt]]/cfg_TroyOz)</f>
        <v/>
      </c>
      <c r="O905" s="59">
        <f>IF(tblMovement[[#This Row],[Is_Ore]]=1,tblMovement[[#This Row],[Contained_oz]],0)</f>
        <v/>
      </c>
    </row>
    <row r="906">
      <c r="A906" s="54" t="n"/>
      <c r="B906" s="61" t="n"/>
      <c r="C906" s="61" t="n"/>
      <c r="D906" s="61" t="n"/>
      <c r="E906" s="61" t="n"/>
      <c r="F906" s="55" t="n"/>
      <c r="G906" s="56" t="n"/>
      <c r="H906" s="55" t="n"/>
      <c r="I906" s="62" t="n"/>
      <c r="J906" s="58" t="n"/>
      <c r="K906" s="63">
        <f>IF(tblMovement[[#This Row],[Source]]="","",IFERROR(INDEX(tblSources[Type],MATCH(tblMovement[[#This Row],[Source]],tblSources[Source],0)),"?"))</f>
        <v/>
      </c>
      <c r="L906" s="63">
        <f>IF(tblMovement[[#This Row],[Destination]]="","",IFERROR(INDEX(tblDestinations[Type],MATCH(tblMovement[[#This Row],[Destination]],tblDestinations[Destination],0)),"?"))</f>
        <v/>
      </c>
      <c r="M906" s="64">
        <f>IF(tblMovement[[#This Row],[Material]]="","",IF(LEFT(tblMovement[[#This Row],[Material]],3)="Ore",1,0))</f>
        <v/>
      </c>
      <c r="N906" s="59">
        <f>IF(OR(tblMovement[[#This Row],[Tonnes_t]]="",tblMovement[[#This Row],[Grade_gpt]]=""),0,tblMovement[[#This Row],[Tonnes_t]]*tblMovement[[#This Row],[Grade_gpt]]/cfg_TroyOz)</f>
        <v/>
      </c>
      <c r="O906" s="59">
        <f>IF(tblMovement[[#This Row],[Is_Ore]]=1,tblMovement[[#This Row],[Contained_oz]],0)</f>
        <v/>
      </c>
    </row>
    <row r="907">
      <c r="A907" s="54" t="n"/>
      <c r="B907" s="61" t="n"/>
      <c r="C907" s="61" t="n"/>
      <c r="D907" s="61" t="n"/>
      <c r="E907" s="61" t="n"/>
      <c r="F907" s="55" t="n"/>
      <c r="G907" s="56" t="n"/>
      <c r="H907" s="55" t="n"/>
      <c r="I907" s="62" t="n"/>
      <c r="J907" s="58" t="n"/>
      <c r="K907" s="63">
        <f>IF(tblMovement[[#This Row],[Source]]="","",IFERROR(INDEX(tblSources[Type],MATCH(tblMovement[[#This Row],[Source]],tblSources[Source],0)),"?"))</f>
        <v/>
      </c>
      <c r="L907" s="63">
        <f>IF(tblMovement[[#This Row],[Destination]]="","",IFERROR(INDEX(tblDestinations[Type],MATCH(tblMovement[[#This Row],[Destination]],tblDestinations[Destination],0)),"?"))</f>
        <v/>
      </c>
      <c r="M907" s="64">
        <f>IF(tblMovement[[#This Row],[Material]]="","",IF(LEFT(tblMovement[[#This Row],[Material]],3)="Ore",1,0))</f>
        <v/>
      </c>
      <c r="N907" s="59">
        <f>IF(OR(tblMovement[[#This Row],[Tonnes_t]]="",tblMovement[[#This Row],[Grade_gpt]]=""),0,tblMovement[[#This Row],[Tonnes_t]]*tblMovement[[#This Row],[Grade_gpt]]/cfg_TroyOz)</f>
        <v/>
      </c>
      <c r="O907" s="59">
        <f>IF(tblMovement[[#This Row],[Is_Ore]]=1,tblMovement[[#This Row],[Contained_oz]],0)</f>
        <v/>
      </c>
    </row>
    <row r="908">
      <c r="A908" s="54" t="n"/>
      <c r="B908" s="61" t="n"/>
      <c r="C908" s="61" t="n"/>
      <c r="D908" s="61" t="n"/>
      <c r="E908" s="61" t="n"/>
      <c r="F908" s="55" t="n"/>
      <c r="G908" s="56" t="n"/>
      <c r="H908" s="55" t="n"/>
      <c r="I908" s="62" t="n"/>
      <c r="J908" s="58" t="n"/>
      <c r="K908" s="63">
        <f>IF(tblMovement[[#This Row],[Source]]="","",IFERROR(INDEX(tblSources[Type],MATCH(tblMovement[[#This Row],[Source]],tblSources[Source],0)),"?"))</f>
        <v/>
      </c>
      <c r="L908" s="63">
        <f>IF(tblMovement[[#This Row],[Destination]]="","",IFERROR(INDEX(tblDestinations[Type],MATCH(tblMovement[[#This Row],[Destination]],tblDestinations[Destination],0)),"?"))</f>
        <v/>
      </c>
      <c r="M908" s="64">
        <f>IF(tblMovement[[#This Row],[Material]]="","",IF(LEFT(tblMovement[[#This Row],[Material]],3)="Ore",1,0))</f>
        <v/>
      </c>
      <c r="N908" s="59">
        <f>IF(OR(tblMovement[[#This Row],[Tonnes_t]]="",tblMovement[[#This Row],[Grade_gpt]]=""),0,tblMovement[[#This Row],[Tonnes_t]]*tblMovement[[#This Row],[Grade_gpt]]/cfg_TroyOz)</f>
        <v/>
      </c>
      <c r="O908" s="59">
        <f>IF(tblMovement[[#This Row],[Is_Ore]]=1,tblMovement[[#This Row],[Contained_oz]],0)</f>
        <v/>
      </c>
    </row>
    <row r="909">
      <c r="A909" s="54" t="n"/>
      <c r="B909" s="61" t="n"/>
      <c r="C909" s="61" t="n"/>
      <c r="D909" s="61" t="n"/>
      <c r="E909" s="61" t="n"/>
      <c r="F909" s="55" t="n"/>
      <c r="G909" s="56" t="n"/>
      <c r="H909" s="55" t="n"/>
      <c r="I909" s="62" t="n"/>
      <c r="J909" s="58" t="n"/>
      <c r="K909" s="63">
        <f>IF(tblMovement[[#This Row],[Source]]="","",IFERROR(INDEX(tblSources[Type],MATCH(tblMovement[[#This Row],[Source]],tblSources[Source],0)),"?"))</f>
        <v/>
      </c>
      <c r="L909" s="63">
        <f>IF(tblMovement[[#This Row],[Destination]]="","",IFERROR(INDEX(tblDestinations[Type],MATCH(tblMovement[[#This Row],[Destination]],tblDestinations[Destination],0)),"?"))</f>
        <v/>
      </c>
      <c r="M909" s="64">
        <f>IF(tblMovement[[#This Row],[Material]]="","",IF(LEFT(tblMovement[[#This Row],[Material]],3)="Ore",1,0))</f>
        <v/>
      </c>
      <c r="N909" s="59">
        <f>IF(OR(tblMovement[[#This Row],[Tonnes_t]]="",tblMovement[[#This Row],[Grade_gpt]]=""),0,tblMovement[[#This Row],[Tonnes_t]]*tblMovement[[#This Row],[Grade_gpt]]/cfg_TroyOz)</f>
        <v/>
      </c>
      <c r="O909" s="59">
        <f>IF(tblMovement[[#This Row],[Is_Ore]]=1,tblMovement[[#This Row],[Contained_oz]],0)</f>
        <v/>
      </c>
    </row>
    <row r="910">
      <c r="A910" s="54" t="n"/>
      <c r="B910" s="61" t="n"/>
      <c r="C910" s="61" t="n"/>
      <c r="D910" s="61" t="n"/>
      <c r="E910" s="61" t="n"/>
      <c r="F910" s="55" t="n"/>
      <c r="G910" s="56" t="n"/>
      <c r="H910" s="55" t="n"/>
      <c r="I910" s="62" t="n"/>
      <c r="J910" s="58" t="n"/>
      <c r="K910" s="63">
        <f>IF(tblMovement[[#This Row],[Source]]="","",IFERROR(INDEX(tblSources[Type],MATCH(tblMovement[[#This Row],[Source]],tblSources[Source],0)),"?"))</f>
        <v/>
      </c>
      <c r="L910" s="63">
        <f>IF(tblMovement[[#This Row],[Destination]]="","",IFERROR(INDEX(tblDestinations[Type],MATCH(tblMovement[[#This Row],[Destination]],tblDestinations[Destination],0)),"?"))</f>
        <v/>
      </c>
      <c r="M910" s="64">
        <f>IF(tblMovement[[#This Row],[Material]]="","",IF(LEFT(tblMovement[[#This Row],[Material]],3)="Ore",1,0))</f>
        <v/>
      </c>
      <c r="N910" s="59">
        <f>IF(OR(tblMovement[[#This Row],[Tonnes_t]]="",tblMovement[[#This Row],[Grade_gpt]]=""),0,tblMovement[[#This Row],[Tonnes_t]]*tblMovement[[#This Row],[Grade_gpt]]/cfg_TroyOz)</f>
        <v/>
      </c>
      <c r="O910" s="59">
        <f>IF(tblMovement[[#This Row],[Is_Ore]]=1,tblMovement[[#This Row],[Contained_oz]],0)</f>
        <v/>
      </c>
    </row>
    <row r="911">
      <c r="A911" s="54" t="n"/>
      <c r="B911" s="61" t="n"/>
      <c r="C911" s="61" t="n"/>
      <c r="D911" s="61" t="n"/>
      <c r="E911" s="61" t="n"/>
      <c r="F911" s="55" t="n"/>
      <c r="G911" s="56" t="n"/>
      <c r="H911" s="55" t="n"/>
      <c r="I911" s="62" t="n"/>
      <c r="J911" s="58" t="n"/>
      <c r="K911" s="63">
        <f>IF(tblMovement[[#This Row],[Source]]="","",IFERROR(INDEX(tblSources[Type],MATCH(tblMovement[[#This Row],[Source]],tblSources[Source],0)),"?"))</f>
        <v/>
      </c>
      <c r="L911" s="63">
        <f>IF(tblMovement[[#This Row],[Destination]]="","",IFERROR(INDEX(tblDestinations[Type],MATCH(tblMovement[[#This Row],[Destination]],tblDestinations[Destination],0)),"?"))</f>
        <v/>
      </c>
      <c r="M911" s="64">
        <f>IF(tblMovement[[#This Row],[Material]]="","",IF(LEFT(tblMovement[[#This Row],[Material]],3)="Ore",1,0))</f>
        <v/>
      </c>
      <c r="N911" s="59">
        <f>IF(OR(tblMovement[[#This Row],[Tonnes_t]]="",tblMovement[[#This Row],[Grade_gpt]]=""),0,tblMovement[[#This Row],[Tonnes_t]]*tblMovement[[#This Row],[Grade_gpt]]/cfg_TroyOz)</f>
        <v/>
      </c>
      <c r="O911" s="59">
        <f>IF(tblMovement[[#This Row],[Is_Ore]]=1,tblMovement[[#This Row],[Contained_oz]],0)</f>
        <v/>
      </c>
    </row>
    <row r="912">
      <c r="A912" s="54" t="n"/>
      <c r="B912" s="61" t="n"/>
      <c r="C912" s="61" t="n"/>
      <c r="D912" s="61" t="n"/>
      <c r="E912" s="61" t="n"/>
      <c r="F912" s="55" t="n"/>
      <c r="G912" s="56" t="n"/>
      <c r="H912" s="55" t="n"/>
      <c r="I912" s="62" t="n"/>
      <c r="J912" s="58" t="n"/>
      <c r="K912" s="63">
        <f>IF(tblMovement[[#This Row],[Source]]="","",IFERROR(INDEX(tblSources[Type],MATCH(tblMovement[[#This Row],[Source]],tblSources[Source],0)),"?"))</f>
        <v/>
      </c>
      <c r="L912" s="63">
        <f>IF(tblMovement[[#This Row],[Destination]]="","",IFERROR(INDEX(tblDestinations[Type],MATCH(tblMovement[[#This Row],[Destination]],tblDestinations[Destination],0)),"?"))</f>
        <v/>
      </c>
      <c r="M912" s="64">
        <f>IF(tblMovement[[#This Row],[Material]]="","",IF(LEFT(tblMovement[[#This Row],[Material]],3)="Ore",1,0))</f>
        <v/>
      </c>
      <c r="N912" s="59">
        <f>IF(OR(tblMovement[[#This Row],[Tonnes_t]]="",tblMovement[[#This Row],[Grade_gpt]]=""),0,tblMovement[[#This Row],[Tonnes_t]]*tblMovement[[#This Row],[Grade_gpt]]/cfg_TroyOz)</f>
        <v/>
      </c>
      <c r="O912" s="59">
        <f>IF(tblMovement[[#This Row],[Is_Ore]]=1,tblMovement[[#This Row],[Contained_oz]],0)</f>
        <v/>
      </c>
    </row>
    <row r="913">
      <c r="A913" s="54" t="n"/>
      <c r="B913" s="61" t="n"/>
      <c r="C913" s="61" t="n"/>
      <c r="D913" s="61" t="n"/>
      <c r="E913" s="61" t="n"/>
      <c r="F913" s="55" t="n"/>
      <c r="G913" s="56" t="n"/>
      <c r="H913" s="55" t="n"/>
      <c r="I913" s="62" t="n"/>
      <c r="J913" s="58" t="n"/>
      <c r="K913" s="63">
        <f>IF(tblMovement[[#This Row],[Source]]="","",IFERROR(INDEX(tblSources[Type],MATCH(tblMovement[[#This Row],[Source]],tblSources[Source],0)),"?"))</f>
        <v/>
      </c>
      <c r="L913" s="63">
        <f>IF(tblMovement[[#This Row],[Destination]]="","",IFERROR(INDEX(tblDestinations[Type],MATCH(tblMovement[[#This Row],[Destination]],tblDestinations[Destination],0)),"?"))</f>
        <v/>
      </c>
      <c r="M913" s="64">
        <f>IF(tblMovement[[#This Row],[Material]]="","",IF(LEFT(tblMovement[[#This Row],[Material]],3)="Ore",1,0))</f>
        <v/>
      </c>
      <c r="N913" s="59">
        <f>IF(OR(tblMovement[[#This Row],[Tonnes_t]]="",tblMovement[[#This Row],[Grade_gpt]]=""),0,tblMovement[[#This Row],[Tonnes_t]]*tblMovement[[#This Row],[Grade_gpt]]/cfg_TroyOz)</f>
        <v/>
      </c>
      <c r="O913" s="59">
        <f>IF(tblMovement[[#This Row],[Is_Ore]]=1,tblMovement[[#This Row],[Contained_oz]],0)</f>
        <v/>
      </c>
    </row>
    <row r="914">
      <c r="A914" s="54" t="n"/>
      <c r="B914" s="61" t="n"/>
      <c r="C914" s="61" t="n"/>
      <c r="D914" s="61" t="n"/>
      <c r="E914" s="61" t="n"/>
      <c r="F914" s="55" t="n"/>
      <c r="G914" s="56" t="n"/>
      <c r="H914" s="55" t="n"/>
      <c r="I914" s="62" t="n"/>
      <c r="J914" s="58" t="n"/>
      <c r="K914" s="63">
        <f>IF(tblMovement[[#This Row],[Source]]="","",IFERROR(INDEX(tblSources[Type],MATCH(tblMovement[[#This Row],[Source]],tblSources[Source],0)),"?"))</f>
        <v/>
      </c>
      <c r="L914" s="63">
        <f>IF(tblMovement[[#This Row],[Destination]]="","",IFERROR(INDEX(tblDestinations[Type],MATCH(tblMovement[[#This Row],[Destination]],tblDestinations[Destination],0)),"?"))</f>
        <v/>
      </c>
      <c r="M914" s="64">
        <f>IF(tblMovement[[#This Row],[Material]]="","",IF(LEFT(tblMovement[[#This Row],[Material]],3)="Ore",1,0))</f>
        <v/>
      </c>
      <c r="N914" s="59">
        <f>IF(OR(tblMovement[[#This Row],[Tonnes_t]]="",tblMovement[[#This Row],[Grade_gpt]]=""),0,tblMovement[[#This Row],[Tonnes_t]]*tblMovement[[#This Row],[Grade_gpt]]/cfg_TroyOz)</f>
        <v/>
      </c>
      <c r="O914" s="59">
        <f>IF(tblMovement[[#This Row],[Is_Ore]]=1,tblMovement[[#This Row],[Contained_oz]],0)</f>
        <v/>
      </c>
    </row>
    <row r="915">
      <c r="A915" s="54" t="n"/>
      <c r="B915" s="61" t="n"/>
      <c r="C915" s="61" t="n"/>
      <c r="D915" s="61" t="n"/>
      <c r="E915" s="61" t="n"/>
      <c r="F915" s="55" t="n"/>
      <c r="G915" s="56" t="n"/>
      <c r="H915" s="55" t="n"/>
      <c r="I915" s="62" t="n"/>
      <c r="J915" s="58" t="n"/>
      <c r="K915" s="63">
        <f>IF(tblMovement[[#This Row],[Source]]="","",IFERROR(INDEX(tblSources[Type],MATCH(tblMovement[[#This Row],[Source]],tblSources[Source],0)),"?"))</f>
        <v/>
      </c>
      <c r="L915" s="63">
        <f>IF(tblMovement[[#This Row],[Destination]]="","",IFERROR(INDEX(tblDestinations[Type],MATCH(tblMovement[[#This Row],[Destination]],tblDestinations[Destination],0)),"?"))</f>
        <v/>
      </c>
      <c r="M915" s="64">
        <f>IF(tblMovement[[#This Row],[Material]]="","",IF(LEFT(tblMovement[[#This Row],[Material]],3)="Ore",1,0))</f>
        <v/>
      </c>
      <c r="N915" s="59">
        <f>IF(OR(tblMovement[[#This Row],[Tonnes_t]]="",tblMovement[[#This Row],[Grade_gpt]]=""),0,tblMovement[[#This Row],[Tonnes_t]]*tblMovement[[#This Row],[Grade_gpt]]/cfg_TroyOz)</f>
        <v/>
      </c>
      <c r="O915" s="59">
        <f>IF(tblMovement[[#This Row],[Is_Ore]]=1,tblMovement[[#This Row],[Contained_oz]],0)</f>
        <v/>
      </c>
    </row>
    <row r="916">
      <c r="A916" s="54" t="n"/>
      <c r="B916" s="61" t="n"/>
      <c r="C916" s="61" t="n"/>
      <c r="D916" s="61" t="n"/>
      <c r="E916" s="61" t="n"/>
      <c r="F916" s="55" t="n"/>
      <c r="G916" s="56" t="n"/>
      <c r="H916" s="55" t="n"/>
      <c r="I916" s="62" t="n"/>
      <c r="J916" s="58" t="n"/>
      <c r="K916" s="63">
        <f>IF(tblMovement[[#This Row],[Source]]="","",IFERROR(INDEX(tblSources[Type],MATCH(tblMovement[[#This Row],[Source]],tblSources[Source],0)),"?"))</f>
        <v/>
      </c>
      <c r="L916" s="63">
        <f>IF(tblMovement[[#This Row],[Destination]]="","",IFERROR(INDEX(tblDestinations[Type],MATCH(tblMovement[[#This Row],[Destination]],tblDestinations[Destination],0)),"?"))</f>
        <v/>
      </c>
      <c r="M916" s="64">
        <f>IF(tblMovement[[#This Row],[Material]]="","",IF(LEFT(tblMovement[[#This Row],[Material]],3)="Ore",1,0))</f>
        <v/>
      </c>
      <c r="N916" s="59">
        <f>IF(OR(tblMovement[[#This Row],[Tonnes_t]]="",tblMovement[[#This Row],[Grade_gpt]]=""),0,tblMovement[[#This Row],[Tonnes_t]]*tblMovement[[#This Row],[Grade_gpt]]/cfg_TroyOz)</f>
        <v/>
      </c>
      <c r="O916" s="59">
        <f>IF(tblMovement[[#This Row],[Is_Ore]]=1,tblMovement[[#This Row],[Contained_oz]],0)</f>
        <v/>
      </c>
    </row>
    <row r="917">
      <c r="A917" s="54" t="n"/>
      <c r="B917" s="61" t="n"/>
      <c r="C917" s="61" t="n"/>
      <c r="D917" s="61" t="n"/>
      <c r="E917" s="61" t="n"/>
      <c r="F917" s="55" t="n"/>
      <c r="G917" s="56" t="n"/>
      <c r="H917" s="55" t="n"/>
      <c r="I917" s="62" t="n"/>
      <c r="J917" s="58" t="n"/>
      <c r="K917" s="63">
        <f>IF(tblMovement[[#This Row],[Source]]="","",IFERROR(INDEX(tblSources[Type],MATCH(tblMovement[[#This Row],[Source]],tblSources[Source],0)),"?"))</f>
        <v/>
      </c>
      <c r="L917" s="63">
        <f>IF(tblMovement[[#This Row],[Destination]]="","",IFERROR(INDEX(tblDestinations[Type],MATCH(tblMovement[[#This Row],[Destination]],tblDestinations[Destination],0)),"?"))</f>
        <v/>
      </c>
      <c r="M917" s="64">
        <f>IF(tblMovement[[#This Row],[Material]]="","",IF(LEFT(tblMovement[[#This Row],[Material]],3)="Ore",1,0))</f>
        <v/>
      </c>
      <c r="N917" s="59">
        <f>IF(OR(tblMovement[[#This Row],[Tonnes_t]]="",tblMovement[[#This Row],[Grade_gpt]]=""),0,tblMovement[[#This Row],[Tonnes_t]]*tblMovement[[#This Row],[Grade_gpt]]/cfg_TroyOz)</f>
        <v/>
      </c>
      <c r="O917" s="59">
        <f>IF(tblMovement[[#This Row],[Is_Ore]]=1,tblMovement[[#This Row],[Contained_oz]],0)</f>
        <v/>
      </c>
    </row>
    <row r="918">
      <c r="A918" s="54" t="n"/>
      <c r="B918" s="61" t="n"/>
      <c r="C918" s="61" t="n"/>
      <c r="D918" s="61" t="n"/>
      <c r="E918" s="61" t="n"/>
      <c r="F918" s="55" t="n"/>
      <c r="G918" s="56" t="n"/>
      <c r="H918" s="55" t="n"/>
      <c r="I918" s="62" t="n"/>
      <c r="J918" s="58" t="n"/>
      <c r="K918" s="63">
        <f>IF(tblMovement[[#This Row],[Source]]="","",IFERROR(INDEX(tblSources[Type],MATCH(tblMovement[[#This Row],[Source]],tblSources[Source],0)),"?"))</f>
        <v/>
      </c>
      <c r="L918" s="63">
        <f>IF(tblMovement[[#This Row],[Destination]]="","",IFERROR(INDEX(tblDestinations[Type],MATCH(tblMovement[[#This Row],[Destination]],tblDestinations[Destination],0)),"?"))</f>
        <v/>
      </c>
      <c r="M918" s="64">
        <f>IF(tblMovement[[#This Row],[Material]]="","",IF(LEFT(tblMovement[[#This Row],[Material]],3)="Ore",1,0))</f>
        <v/>
      </c>
      <c r="N918" s="59">
        <f>IF(OR(tblMovement[[#This Row],[Tonnes_t]]="",tblMovement[[#This Row],[Grade_gpt]]=""),0,tblMovement[[#This Row],[Tonnes_t]]*tblMovement[[#This Row],[Grade_gpt]]/cfg_TroyOz)</f>
        <v/>
      </c>
      <c r="O918" s="59">
        <f>IF(tblMovement[[#This Row],[Is_Ore]]=1,tblMovement[[#This Row],[Contained_oz]],0)</f>
        <v/>
      </c>
    </row>
    <row r="919">
      <c r="A919" s="54" t="n"/>
      <c r="B919" s="61" t="n"/>
      <c r="C919" s="61" t="n"/>
      <c r="D919" s="61" t="n"/>
      <c r="E919" s="61" t="n"/>
      <c r="F919" s="55" t="n"/>
      <c r="G919" s="56" t="n"/>
      <c r="H919" s="55" t="n"/>
      <c r="I919" s="62" t="n"/>
      <c r="J919" s="58" t="n"/>
      <c r="K919" s="63">
        <f>IF(tblMovement[[#This Row],[Source]]="","",IFERROR(INDEX(tblSources[Type],MATCH(tblMovement[[#This Row],[Source]],tblSources[Source],0)),"?"))</f>
        <v/>
      </c>
      <c r="L919" s="63">
        <f>IF(tblMovement[[#This Row],[Destination]]="","",IFERROR(INDEX(tblDestinations[Type],MATCH(tblMovement[[#This Row],[Destination]],tblDestinations[Destination],0)),"?"))</f>
        <v/>
      </c>
      <c r="M919" s="64">
        <f>IF(tblMovement[[#This Row],[Material]]="","",IF(LEFT(tblMovement[[#This Row],[Material]],3)="Ore",1,0))</f>
        <v/>
      </c>
      <c r="N919" s="59">
        <f>IF(OR(tblMovement[[#This Row],[Tonnes_t]]="",tblMovement[[#This Row],[Grade_gpt]]=""),0,tblMovement[[#This Row],[Tonnes_t]]*tblMovement[[#This Row],[Grade_gpt]]/cfg_TroyOz)</f>
        <v/>
      </c>
      <c r="O919" s="59">
        <f>IF(tblMovement[[#This Row],[Is_Ore]]=1,tblMovement[[#This Row],[Contained_oz]],0)</f>
        <v/>
      </c>
    </row>
    <row r="920">
      <c r="A920" s="54" t="n"/>
      <c r="B920" s="61" t="n"/>
      <c r="C920" s="61" t="n"/>
      <c r="D920" s="61" t="n"/>
      <c r="E920" s="61" t="n"/>
      <c r="F920" s="55" t="n"/>
      <c r="G920" s="56" t="n"/>
      <c r="H920" s="55" t="n"/>
      <c r="I920" s="62" t="n"/>
      <c r="J920" s="58" t="n"/>
      <c r="K920" s="63">
        <f>IF(tblMovement[[#This Row],[Source]]="","",IFERROR(INDEX(tblSources[Type],MATCH(tblMovement[[#This Row],[Source]],tblSources[Source],0)),"?"))</f>
        <v/>
      </c>
      <c r="L920" s="63">
        <f>IF(tblMovement[[#This Row],[Destination]]="","",IFERROR(INDEX(tblDestinations[Type],MATCH(tblMovement[[#This Row],[Destination]],tblDestinations[Destination],0)),"?"))</f>
        <v/>
      </c>
      <c r="M920" s="64">
        <f>IF(tblMovement[[#This Row],[Material]]="","",IF(LEFT(tblMovement[[#This Row],[Material]],3)="Ore",1,0))</f>
        <v/>
      </c>
      <c r="N920" s="59">
        <f>IF(OR(tblMovement[[#This Row],[Tonnes_t]]="",tblMovement[[#This Row],[Grade_gpt]]=""),0,tblMovement[[#This Row],[Tonnes_t]]*tblMovement[[#This Row],[Grade_gpt]]/cfg_TroyOz)</f>
        <v/>
      </c>
      <c r="O920" s="59">
        <f>IF(tblMovement[[#This Row],[Is_Ore]]=1,tblMovement[[#This Row],[Contained_oz]],0)</f>
        <v/>
      </c>
    </row>
    <row r="921">
      <c r="A921" s="54" t="n"/>
      <c r="B921" s="61" t="n"/>
      <c r="C921" s="61" t="n"/>
      <c r="D921" s="61" t="n"/>
      <c r="E921" s="61" t="n"/>
      <c r="F921" s="55" t="n"/>
      <c r="G921" s="56" t="n"/>
      <c r="H921" s="55" t="n"/>
      <c r="I921" s="62" t="n"/>
      <c r="J921" s="58" t="n"/>
      <c r="K921" s="63">
        <f>IF(tblMovement[[#This Row],[Source]]="","",IFERROR(INDEX(tblSources[Type],MATCH(tblMovement[[#This Row],[Source]],tblSources[Source],0)),"?"))</f>
        <v/>
      </c>
      <c r="L921" s="63">
        <f>IF(tblMovement[[#This Row],[Destination]]="","",IFERROR(INDEX(tblDestinations[Type],MATCH(tblMovement[[#This Row],[Destination]],tblDestinations[Destination],0)),"?"))</f>
        <v/>
      </c>
      <c r="M921" s="64">
        <f>IF(tblMovement[[#This Row],[Material]]="","",IF(LEFT(tblMovement[[#This Row],[Material]],3)="Ore",1,0))</f>
        <v/>
      </c>
      <c r="N921" s="59">
        <f>IF(OR(tblMovement[[#This Row],[Tonnes_t]]="",tblMovement[[#This Row],[Grade_gpt]]=""),0,tblMovement[[#This Row],[Tonnes_t]]*tblMovement[[#This Row],[Grade_gpt]]/cfg_TroyOz)</f>
        <v/>
      </c>
      <c r="O921" s="59">
        <f>IF(tblMovement[[#This Row],[Is_Ore]]=1,tblMovement[[#This Row],[Contained_oz]],0)</f>
        <v/>
      </c>
    </row>
    <row r="922">
      <c r="A922" s="54" t="n"/>
      <c r="B922" s="61" t="n"/>
      <c r="C922" s="61" t="n"/>
      <c r="D922" s="61" t="n"/>
      <c r="E922" s="61" t="n"/>
      <c r="F922" s="55" t="n"/>
      <c r="G922" s="56" t="n"/>
      <c r="H922" s="55" t="n"/>
      <c r="I922" s="62" t="n"/>
      <c r="J922" s="58" t="n"/>
      <c r="K922" s="63">
        <f>IF(tblMovement[[#This Row],[Source]]="","",IFERROR(INDEX(tblSources[Type],MATCH(tblMovement[[#This Row],[Source]],tblSources[Source],0)),"?"))</f>
        <v/>
      </c>
      <c r="L922" s="63">
        <f>IF(tblMovement[[#This Row],[Destination]]="","",IFERROR(INDEX(tblDestinations[Type],MATCH(tblMovement[[#This Row],[Destination]],tblDestinations[Destination],0)),"?"))</f>
        <v/>
      </c>
      <c r="M922" s="64">
        <f>IF(tblMovement[[#This Row],[Material]]="","",IF(LEFT(tblMovement[[#This Row],[Material]],3)="Ore",1,0))</f>
        <v/>
      </c>
      <c r="N922" s="59">
        <f>IF(OR(tblMovement[[#This Row],[Tonnes_t]]="",tblMovement[[#This Row],[Grade_gpt]]=""),0,tblMovement[[#This Row],[Tonnes_t]]*tblMovement[[#This Row],[Grade_gpt]]/cfg_TroyOz)</f>
        <v/>
      </c>
      <c r="O922" s="59">
        <f>IF(tblMovement[[#This Row],[Is_Ore]]=1,tblMovement[[#This Row],[Contained_oz]],0)</f>
        <v/>
      </c>
    </row>
    <row r="923">
      <c r="A923" s="54" t="n"/>
      <c r="B923" s="61" t="n"/>
      <c r="C923" s="61" t="n"/>
      <c r="D923" s="61" t="n"/>
      <c r="E923" s="61" t="n"/>
      <c r="F923" s="55" t="n"/>
      <c r="G923" s="56" t="n"/>
      <c r="H923" s="55" t="n"/>
      <c r="I923" s="62" t="n"/>
      <c r="J923" s="58" t="n"/>
      <c r="K923" s="63">
        <f>IF(tblMovement[[#This Row],[Source]]="","",IFERROR(INDEX(tblSources[Type],MATCH(tblMovement[[#This Row],[Source]],tblSources[Source],0)),"?"))</f>
        <v/>
      </c>
      <c r="L923" s="63">
        <f>IF(tblMovement[[#This Row],[Destination]]="","",IFERROR(INDEX(tblDestinations[Type],MATCH(tblMovement[[#This Row],[Destination]],tblDestinations[Destination],0)),"?"))</f>
        <v/>
      </c>
      <c r="M923" s="64">
        <f>IF(tblMovement[[#This Row],[Material]]="","",IF(LEFT(tblMovement[[#This Row],[Material]],3)="Ore",1,0))</f>
        <v/>
      </c>
      <c r="N923" s="59">
        <f>IF(OR(tblMovement[[#This Row],[Tonnes_t]]="",tblMovement[[#This Row],[Grade_gpt]]=""),0,tblMovement[[#This Row],[Tonnes_t]]*tblMovement[[#This Row],[Grade_gpt]]/cfg_TroyOz)</f>
        <v/>
      </c>
      <c r="O923" s="59">
        <f>IF(tblMovement[[#This Row],[Is_Ore]]=1,tblMovement[[#This Row],[Contained_oz]],0)</f>
        <v/>
      </c>
    </row>
    <row r="924">
      <c r="A924" s="54" t="n"/>
      <c r="B924" s="61" t="n"/>
      <c r="C924" s="61" t="n"/>
      <c r="D924" s="61" t="n"/>
      <c r="E924" s="61" t="n"/>
      <c r="F924" s="55" t="n"/>
      <c r="G924" s="56" t="n"/>
      <c r="H924" s="55" t="n"/>
      <c r="I924" s="62" t="n"/>
      <c r="J924" s="58" t="n"/>
      <c r="K924" s="63">
        <f>IF(tblMovement[[#This Row],[Source]]="","",IFERROR(INDEX(tblSources[Type],MATCH(tblMovement[[#This Row],[Source]],tblSources[Source],0)),"?"))</f>
        <v/>
      </c>
      <c r="L924" s="63">
        <f>IF(tblMovement[[#This Row],[Destination]]="","",IFERROR(INDEX(tblDestinations[Type],MATCH(tblMovement[[#This Row],[Destination]],tblDestinations[Destination],0)),"?"))</f>
        <v/>
      </c>
      <c r="M924" s="64">
        <f>IF(tblMovement[[#This Row],[Material]]="","",IF(LEFT(tblMovement[[#This Row],[Material]],3)="Ore",1,0))</f>
        <v/>
      </c>
      <c r="N924" s="59">
        <f>IF(OR(tblMovement[[#This Row],[Tonnes_t]]="",tblMovement[[#This Row],[Grade_gpt]]=""),0,tblMovement[[#This Row],[Tonnes_t]]*tblMovement[[#This Row],[Grade_gpt]]/cfg_TroyOz)</f>
        <v/>
      </c>
      <c r="O924" s="59">
        <f>IF(tblMovement[[#This Row],[Is_Ore]]=1,tblMovement[[#This Row],[Contained_oz]],0)</f>
        <v/>
      </c>
    </row>
    <row r="925">
      <c r="A925" s="54" t="n"/>
      <c r="B925" s="61" t="n"/>
      <c r="C925" s="61" t="n"/>
      <c r="D925" s="61" t="n"/>
      <c r="E925" s="61" t="n"/>
      <c r="F925" s="55" t="n"/>
      <c r="G925" s="56" t="n"/>
      <c r="H925" s="55" t="n"/>
      <c r="I925" s="62" t="n"/>
      <c r="J925" s="58" t="n"/>
      <c r="K925" s="63">
        <f>IF(tblMovement[[#This Row],[Source]]="","",IFERROR(INDEX(tblSources[Type],MATCH(tblMovement[[#This Row],[Source]],tblSources[Source],0)),"?"))</f>
        <v/>
      </c>
      <c r="L925" s="63">
        <f>IF(tblMovement[[#This Row],[Destination]]="","",IFERROR(INDEX(tblDestinations[Type],MATCH(tblMovement[[#This Row],[Destination]],tblDestinations[Destination],0)),"?"))</f>
        <v/>
      </c>
      <c r="M925" s="64">
        <f>IF(tblMovement[[#This Row],[Material]]="","",IF(LEFT(tblMovement[[#This Row],[Material]],3)="Ore",1,0))</f>
        <v/>
      </c>
      <c r="N925" s="59">
        <f>IF(OR(tblMovement[[#This Row],[Tonnes_t]]="",tblMovement[[#This Row],[Grade_gpt]]=""),0,tblMovement[[#This Row],[Tonnes_t]]*tblMovement[[#This Row],[Grade_gpt]]/cfg_TroyOz)</f>
        <v/>
      </c>
      <c r="O925" s="59">
        <f>IF(tblMovement[[#This Row],[Is_Ore]]=1,tblMovement[[#This Row],[Contained_oz]],0)</f>
        <v/>
      </c>
    </row>
    <row r="926">
      <c r="A926" s="54" t="n"/>
      <c r="B926" s="61" t="n"/>
      <c r="C926" s="61" t="n"/>
      <c r="D926" s="61" t="n"/>
      <c r="E926" s="61" t="n"/>
      <c r="F926" s="55" t="n"/>
      <c r="G926" s="56" t="n"/>
      <c r="H926" s="55" t="n"/>
      <c r="I926" s="62" t="n"/>
      <c r="J926" s="58" t="n"/>
      <c r="K926" s="63">
        <f>IF(tblMovement[[#This Row],[Source]]="","",IFERROR(INDEX(tblSources[Type],MATCH(tblMovement[[#This Row],[Source]],tblSources[Source],0)),"?"))</f>
        <v/>
      </c>
      <c r="L926" s="63">
        <f>IF(tblMovement[[#This Row],[Destination]]="","",IFERROR(INDEX(tblDestinations[Type],MATCH(tblMovement[[#This Row],[Destination]],tblDestinations[Destination],0)),"?"))</f>
        <v/>
      </c>
      <c r="M926" s="64">
        <f>IF(tblMovement[[#This Row],[Material]]="","",IF(LEFT(tblMovement[[#This Row],[Material]],3)="Ore",1,0))</f>
        <v/>
      </c>
      <c r="N926" s="59">
        <f>IF(OR(tblMovement[[#This Row],[Tonnes_t]]="",tblMovement[[#This Row],[Grade_gpt]]=""),0,tblMovement[[#This Row],[Tonnes_t]]*tblMovement[[#This Row],[Grade_gpt]]/cfg_TroyOz)</f>
        <v/>
      </c>
      <c r="O926" s="59">
        <f>IF(tblMovement[[#This Row],[Is_Ore]]=1,tblMovement[[#This Row],[Contained_oz]],0)</f>
        <v/>
      </c>
    </row>
    <row r="927">
      <c r="A927" s="54" t="n"/>
      <c r="B927" s="61" t="n"/>
      <c r="C927" s="61" t="n"/>
      <c r="D927" s="61" t="n"/>
      <c r="E927" s="61" t="n"/>
      <c r="F927" s="55" t="n"/>
      <c r="G927" s="56" t="n"/>
      <c r="H927" s="55" t="n"/>
      <c r="I927" s="62" t="n"/>
      <c r="J927" s="58" t="n"/>
      <c r="K927" s="63">
        <f>IF(tblMovement[[#This Row],[Source]]="","",IFERROR(INDEX(tblSources[Type],MATCH(tblMovement[[#This Row],[Source]],tblSources[Source],0)),"?"))</f>
        <v/>
      </c>
      <c r="L927" s="63">
        <f>IF(tblMovement[[#This Row],[Destination]]="","",IFERROR(INDEX(tblDestinations[Type],MATCH(tblMovement[[#This Row],[Destination]],tblDestinations[Destination],0)),"?"))</f>
        <v/>
      </c>
      <c r="M927" s="64">
        <f>IF(tblMovement[[#This Row],[Material]]="","",IF(LEFT(tblMovement[[#This Row],[Material]],3)="Ore",1,0))</f>
        <v/>
      </c>
      <c r="N927" s="59">
        <f>IF(OR(tblMovement[[#This Row],[Tonnes_t]]="",tblMovement[[#This Row],[Grade_gpt]]=""),0,tblMovement[[#This Row],[Tonnes_t]]*tblMovement[[#This Row],[Grade_gpt]]/cfg_TroyOz)</f>
        <v/>
      </c>
      <c r="O927" s="59">
        <f>IF(tblMovement[[#This Row],[Is_Ore]]=1,tblMovement[[#This Row],[Contained_oz]],0)</f>
        <v/>
      </c>
    </row>
    <row r="928">
      <c r="A928" s="54" t="n"/>
      <c r="B928" s="61" t="n"/>
      <c r="C928" s="61" t="n"/>
      <c r="D928" s="61" t="n"/>
      <c r="E928" s="61" t="n"/>
      <c r="F928" s="55" t="n"/>
      <c r="G928" s="56" t="n"/>
      <c r="H928" s="55" t="n"/>
      <c r="I928" s="62" t="n"/>
      <c r="J928" s="58" t="n"/>
      <c r="K928" s="63">
        <f>IF(tblMovement[[#This Row],[Source]]="","",IFERROR(INDEX(tblSources[Type],MATCH(tblMovement[[#This Row],[Source]],tblSources[Source],0)),"?"))</f>
        <v/>
      </c>
      <c r="L928" s="63">
        <f>IF(tblMovement[[#This Row],[Destination]]="","",IFERROR(INDEX(tblDestinations[Type],MATCH(tblMovement[[#This Row],[Destination]],tblDestinations[Destination],0)),"?"))</f>
        <v/>
      </c>
      <c r="M928" s="64">
        <f>IF(tblMovement[[#This Row],[Material]]="","",IF(LEFT(tblMovement[[#This Row],[Material]],3)="Ore",1,0))</f>
        <v/>
      </c>
      <c r="N928" s="59">
        <f>IF(OR(tblMovement[[#This Row],[Tonnes_t]]="",tblMovement[[#This Row],[Grade_gpt]]=""),0,tblMovement[[#This Row],[Tonnes_t]]*tblMovement[[#This Row],[Grade_gpt]]/cfg_TroyOz)</f>
        <v/>
      </c>
      <c r="O928" s="59">
        <f>IF(tblMovement[[#This Row],[Is_Ore]]=1,tblMovement[[#This Row],[Contained_oz]],0)</f>
        <v/>
      </c>
    </row>
    <row r="929">
      <c r="A929" s="54" t="n"/>
      <c r="B929" s="61" t="n"/>
      <c r="C929" s="61" t="n"/>
      <c r="D929" s="61" t="n"/>
      <c r="E929" s="61" t="n"/>
      <c r="F929" s="55" t="n"/>
      <c r="G929" s="56" t="n"/>
      <c r="H929" s="55" t="n"/>
      <c r="I929" s="62" t="n"/>
      <c r="J929" s="58" t="n"/>
      <c r="K929" s="63">
        <f>IF(tblMovement[[#This Row],[Source]]="","",IFERROR(INDEX(tblSources[Type],MATCH(tblMovement[[#This Row],[Source]],tblSources[Source],0)),"?"))</f>
        <v/>
      </c>
      <c r="L929" s="63">
        <f>IF(tblMovement[[#This Row],[Destination]]="","",IFERROR(INDEX(tblDestinations[Type],MATCH(tblMovement[[#This Row],[Destination]],tblDestinations[Destination],0)),"?"))</f>
        <v/>
      </c>
      <c r="M929" s="64">
        <f>IF(tblMovement[[#This Row],[Material]]="","",IF(LEFT(tblMovement[[#This Row],[Material]],3)="Ore",1,0))</f>
        <v/>
      </c>
      <c r="N929" s="59">
        <f>IF(OR(tblMovement[[#This Row],[Tonnes_t]]="",tblMovement[[#This Row],[Grade_gpt]]=""),0,tblMovement[[#This Row],[Tonnes_t]]*tblMovement[[#This Row],[Grade_gpt]]/cfg_TroyOz)</f>
        <v/>
      </c>
      <c r="O929" s="59">
        <f>IF(tblMovement[[#This Row],[Is_Ore]]=1,tblMovement[[#This Row],[Contained_oz]],0)</f>
        <v/>
      </c>
    </row>
    <row r="930">
      <c r="A930" s="54" t="n"/>
      <c r="B930" s="61" t="n"/>
      <c r="C930" s="61" t="n"/>
      <c r="D930" s="61" t="n"/>
      <c r="E930" s="61" t="n"/>
      <c r="F930" s="55" t="n"/>
      <c r="G930" s="56" t="n"/>
      <c r="H930" s="55" t="n"/>
      <c r="I930" s="62" t="n"/>
      <c r="J930" s="58" t="n"/>
      <c r="K930" s="63">
        <f>IF(tblMovement[[#This Row],[Source]]="","",IFERROR(INDEX(tblSources[Type],MATCH(tblMovement[[#This Row],[Source]],tblSources[Source],0)),"?"))</f>
        <v/>
      </c>
      <c r="L930" s="63">
        <f>IF(tblMovement[[#This Row],[Destination]]="","",IFERROR(INDEX(tblDestinations[Type],MATCH(tblMovement[[#This Row],[Destination]],tblDestinations[Destination],0)),"?"))</f>
        <v/>
      </c>
      <c r="M930" s="64">
        <f>IF(tblMovement[[#This Row],[Material]]="","",IF(LEFT(tblMovement[[#This Row],[Material]],3)="Ore",1,0))</f>
        <v/>
      </c>
      <c r="N930" s="59">
        <f>IF(OR(tblMovement[[#This Row],[Tonnes_t]]="",tblMovement[[#This Row],[Grade_gpt]]=""),0,tblMovement[[#This Row],[Tonnes_t]]*tblMovement[[#This Row],[Grade_gpt]]/cfg_TroyOz)</f>
        <v/>
      </c>
      <c r="O930" s="59">
        <f>IF(tblMovement[[#This Row],[Is_Ore]]=1,tblMovement[[#This Row],[Contained_oz]],0)</f>
        <v/>
      </c>
    </row>
    <row r="931">
      <c r="A931" s="54" t="n"/>
      <c r="B931" s="61" t="n"/>
      <c r="C931" s="61" t="n"/>
      <c r="D931" s="61" t="n"/>
      <c r="E931" s="61" t="n"/>
      <c r="F931" s="55" t="n"/>
      <c r="G931" s="56" t="n"/>
      <c r="H931" s="55" t="n"/>
      <c r="I931" s="62" t="n"/>
      <c r="J931" s="58" t="n"/>
      <c r="K931" s="63">
        <f>IF(tblMovement[[#This Row],[Source]]="","",IFERROR(INDEX(tblSources[Type],MATCH(tblMovement[[#This Row],[Source]],tblSources[Source],0)),"?"))</f>
        <v/>
      </c>
      <c r="L931" s="63">
        <f>IF(tblMovement[[#This Row],[Destination]]="","",IFERROR(INDEX(tblDestinations[Type],MATCH(tblMovement[[#This Row],[Destination]],tblDestinations[Destination],0)),"?"))</f>
        <v/>
      </c>
      <c r="M931" s="64">
        <f>IF(tblMovement[[#This Row],[Material]]="","",IF(LEFT(tblMovement[[#This Row],[Material]],3)="Ore",1,0))</f>
        <v/>
      </c>
      <c r="N931" s="59">
        <f>IF(OR(tblMovement[[#This Row],[Tonnes_t]]="",tblMovement[[#This Row],[Grade_gpt]]=""),0,tblMovement[[#This Row],[Tonnes_t]]*tblMovement[[#This Row],[Grade_gpt]]/cfg_TroyOz)</f>
        <v/>
      </c>
      <c r="O931" s="59">
        <f>IF(tblMovement[[#This Row],[Is_Ore]]=1,tblMovement[[#This Row],[Contained_oz]],0)</f>
        <v/>
      </c>
    </row>
    <row r="932">
      <c r="A932" s="54" t="n"/>
      <c r="B932" s="61" t="n"/>
      <c r="C932" s="61" t="n"/>
      <c r="D932" s="61" t="n"/>
      <c r="E932" s="61" t="n"/>
      <c r="F932" s="55" t="n"/>
      <c r="G932" s="56" t="n"/>
      <c r="H932" s="55" t="n"/>
      <c r="I932" s="62" t="n"/>
      <c r="J932" s="58" t="n"/>
      <c r="K932" s="63">
        <f>IF(tblMovement[[#This Row],[Source]]="","",IFERROR(INDEX(tblSources[Type],MATCH(tblMovement[[#This Row],[Source]],tblSources[Source],0)),"?"))</f>
        <v/>
      </c>
      <c r="L932" s="63">
        <f>IF(tblMovement[[#This Row],[Destination]]="","",IFERROR(INDEX(tblDestinations[Type],MATCH(tblMovement[[#This Row],[Destination]],tblDestinations[Destination],0)),"?"))</f>
        <v/>
      </c>
      <c r="M932" s="64">
        <f>IF(tblMovement[[#This Row],[Material]]="","",IF(LEFT(tblMovement[[#This Row],[Material]],3)="Ore",1,0))</f>
        <v/>
      </c>
      <c r="N932" s="59">
        <f>IF(OR(tblMovement[[#This Row],[Tonnes_t]]="",tblMovement[[#This Row],[Grade_gpt]]=""),0,tblMovement[[#This Row],[Tonnes_t]]*tblMovement[[#This Row],[Grade_gpt]]/cfg_TroyOz)</f>
        <v/>
      </c>
      <c r="O932" s="59">
        <f>IF(tblMovement[[#This Row],[Is_Ore]]=1,tblMovement[[#This Row],[Contained_oz]],0)</f>
        <v/>
      </c>
    </row>
    <row r="933">
      <c r="A933" s="54" t="n"/>
      <c r="B933" s="61" t="n"/>
      <c r="C933" s="61" t="n"/>
      <c r="D933" s="61" t="n"/>
      <c r="E933" s="61" t="n"/>
      <c r="F933" s="55" t="n"/>
      <c r="G933" s="56" t="n"/>
      <c r="H933" s="55" t="n"/>
      <c r="I933" s="62" t="n"/>
      <c r="J933" s="58" t="n"/>
      <c r="K933" s="63">
        <f>IF(tblMovement[[#This Row],[Source]]="","",IFERROR(INDEX(tblSources[Type],MATCH(tblMovement[[#This Row],[Source]],tblSources[Source],0)),"?"))</f>
        <v/>
      </c>
      <c r="L933" s="63">
        <f>IF(tblMovement[[#This Row],[Destination]]="","",IFERROR(INDEX(tblDestinations[Type],MATCH(tblMovement[[#This Row],[Destination]],tblDestinations[Destination],0)),"?"))</f>
        <v/>
      </c>
      <c r="M933" s="64">
        <f>IF(tblMovement[[#This Row],[Material]]="","",IF(LEFT(tblMovement[[#This Row],[Material]],3)="Ore",1,0))</f>
        <v/>
      </c>
      <c r="N933" s="59">
        <f>IF(OR(tblMovement[[#This Row],[Tonnes_t]]="",tblMovement[[#This Row],[Grade_gpt]]=""),0,tblMovement[[#This Row],[Tonnes_t]]*tblMovement[[#This Row],[Grade_gpt]]/cfg_TroyOz)</f>
        <v/>
      </c>
      <c r="O933" s="59">
        <f>IF(tblMovement[[#This Row],[Is_Ore]]=1,tblMovement[[#This Row],[Contained_oz]],0)</f>
        <v/>
      </c>
    </row>
    <row r="934">
      <c r="A934" s="54" t="n"/>
      <c r="B934" s="61" t="n"/>
      <c r="C934" s="61" t="n"/>
      <c r="D934" s="61" t="n"/>
      <c r="E934" s="61" t="n"/>
      <c r="F934" s="55" t="n"/>
      <c r="G934" s="56" t="n"/>
      <c r="H934" s="55" t="n"/>
      <c r="I934" s="62" t="n"/>
      <c r="J934" s="58" t="n"/>
      <c r="K934" s="63">
        <f>IF(tblMovement[[#This Row],[Source]]="","",IFERROR(INDEX(tblSources[Type],MATCH(tblMovement[[#This Row],[Source]],tblSources[Source],0)),"?"))</f>
        <v/>
      </c>
      <c r="L934" s="63">
        <f>IF(tblMovement[[#This Row],[Destination]]="","",IFERROR(INDEX(tblDestinations[Type],MATCH(tblMovement[[#This Row],[Destination]],tblDestinations[Destination],0)),"?"))</f>
        <v/>
      </c>
      <c r="M934" s="64">
        <f>IF(tblMovement[[#This Row],[Material]]="","",IF(LEFT(tblMovement[[#This Row],[Material]],3)="Ore",1,0))</f>
        <v/>
      </c>
      <c r="N934" s="59">
        <f>IF(OR(tblMovement[[#This Row],[Tonnes_t]]="",tblMovement[[#This Row],[Grade_gpt]]=""),0,tblMovement[[#This Row],[Tonnes_t]]*tblMovement[[#This Row],[Grade_gpt]]/cfg_TroyOz)</f>
        <v/>
      </c>
      <c r="O934" s="59">
        <f>IF(tblMovement[[#This Row],[Is_Ore]]=1,tblMovement[[#This Row],[Contained_oz]],0)</f>
        <v/>
      </c>
    </row>
    <row r="935">
      <c r="A935" s="54" t="n"/>
      <c r="B935" s="61" t="n"/>
      <c r="C935" s="61" t="n"/>
      <c r="D935" s="61" t="n"/>
      <c r="E935" s="61" t="n"/>
      <c r="F935" s="55" t="n"/>
      <c r="G935" s="56" t="n"/>
      <c r="H935" s="55" t="n"/>
      <c r="I935" s="62" t="n"/>
      <c r="J935" s="58" t="n"/>
      <c r="K935" s="63">
        <f>IF(tblMovement[[#This Row],[Source]]="","",IFERROR(INDEX(tblSources[Type],MATCH(tblMovement[[#This Row],[Source]],tblSources[Source],0)),"?"))</f>
        <v/>
      </c>
      <c r="L935" s="63">
        <f>IF(tblMovement[[#This Row],[Destination]]="","",IFERROR(INDEX(tblDestinations[Type],MATCH(tblMovement[[#This Row],[Destination]],tblDestinations[Destination],0)),"?"))</f>
        <v/>
      </c>
      <c r="M935" s="64">
        <f>IF(tblMovement[[#This Row],[Material]]="","",IF(LEFT(tblMovement[[#This Row],[Material]],3)="Ore",1,0))</f>
        <v/>
      </c>
      <c r="N935" s="59">
        <f>IF(OR(tblMovement[[#This Row],[Tonnes_t]]="",tblMovement[[#This Row],[Grade_gpt]]=""),0,tblMovement[[#This Row],[Tonnes_t]]*tblMovement[[#This Row],[Grade_gpt]]/cfg_TroyOz)</f>
        <v/>
      </c>
      <c r="O935" s="59">
        <f>IF(tblMovement[[#This Row],[Is_Ore]]=1,tblMovement[[#This Row],[Contained_oz]],0)</f>
        <v/>
      </c>
    </row>
    <row r="936">
      <c r="A936" s="54" t="n"/>
      <c r="B936" s="61" t="n"/>
      <c r="C936" s="61" t="n"/>
      <c r="D936" s="61" t="n"/>
      <c r="E936" s="61" t="n"/>
      <c r="F936" s="55" t="n"/>
      <c r="G936" s="56" t="n"/>
      <c r="H936" s="55" t="n"/>
      <c r="I936" s="62" t="n"/>
      <c r="J936" s="58" t="n"/>
      <c r="K936" s="63">
        <f>IF(tblMovement[[#This Row],[Source]]="","",IFERROR(INDEX(tblSources[Type],MATCH(tblMovement[[#This Row],[Source]],tblSources[Source],0)),"?"))</f>
        <v/>
      </c>
      <c r="L936" s="63">
        <f>IF(tblMovement[[#This Row],[Destination]]="","",IFERROR(INDEX(tblDestinations[Type],MATCH(tblMovement[[#This Row],[Destination]],tblDestinations[Destination],0)),"?"))</f>
        <v/>
      </c>
      <c r="M936" s="64">
        <f>IF(tblMovement[[#This Row],[Material]]="","",IF(LEFT(tblMovement[[#This Row],[Material]],3)="Ore",1,0))</f>
        <v/>
      </c>
      <c r="N936" s="59">
        <f>IF(OR(tblMovement[[#This Row],[Tonnes_t]]="",tblMovement[[#This Row],[Grade_gpt]]=""),0,tblMovement[[#This Row],[Tonnes_t]]*tblMovement[[#This Row],[Grade_gpt]]/cfg_TroyOz)</f>
        <v/>
      </c>
      <c r="O936" s="59">
        <f>IF(tblMovement[[#This Row],[Is_Ore]]=1,tblMovement[[#This Row],[Contained_oz]],0)</f>
        <v/>
      </c>
    </row>
    <row r="937">
      <c r="A937" s="54" t="n"/>
      <c r="B937" s="61" t="n"/>
      <c r="C937" s="61" t="n"/>
      <c r="D937" s="61" t="n"/>
      <c r="E937" s="61" t="n"/>
      <c r="F937" s="55" t="n"/>
      <c r="G937" s="56" t="n"/>
      <c r="H937" s="55" t="n"/>
      <c r="I937" s="62" t="n"/>
      <c r="J937" s="58" t="n"/>
      <c r="K937" s="63">
        <f>IF(tblMovement[[#This Row],[Source]]="","",IFERROR(INDEX(tblSources[Type],MATCH(tblMovement[[#This Row],[Source]],tblSources[Source],0)),"?"))</f>
        <v/>
      </c>
      <c r="L937" s="63">
        <f>IF(tblMovement[[#This Row],[Destination]]="","",IFERROR(INDEX(tblDestinations[Type],MATCH(tblMovement[[#This Row],[Destination]],tblDestinations[Destination],0)),"?"))</f>
        <v/>
      </c>
      <c r="M937" s="64">
        <f>IF(tblMovement[[#This Row],[Material]]="","",IF(LEFT(tblMovement[[#This Row],[Material]],3)="Ore",1,0))</f>
        <v/>
      </c>
      <c r="N937" s="59">
        <f>IF(OR(tblMovement[[#This Row],[Tonnes_t]]="",tblMovement[[#This Row],[Grade_gpt]]=""),0,tblMovement[[#This Row],[Tonnes_t]]*tblMovement[[#This Row],[Grade_gpt]]/cfg_TroyOz)</f>
        <v/>
      </c>
      <c r="O937" s="59">
        <f>IF(tblMovement[[#This Row],[Is_Ore]]=1,tblMovement[[#This Row],[Contained_oz]],0)</f>
        <v/>
      </c>
    </row>
    <row r="938">
      <c r="A938" s="54" t="n"/>
      <c r="B938" s="61" t="n"/>
      <c r="C938" s="61" t="n"/>
      <c r="D938" s="61" t="n"/>
      <c r="E938" s="61" t="n"/>
      <c r="F938" s="55" t="n"/>
      <c r="G938" s="56" t="n"/>
      <c r="H938" s="55" t="n"/>
      <c r="I938" s="62" t="n"/>
      <c r="J938" s="58" t="n"/>
      <c r="K938" s="63">
        <f>IF(tblMovement[[#This Row],[Source]]="","",IFERROR(INDEX(tblSources[Type],MATCH(tblMovement[[#This Row],[Source]],tblSources[Source],0)),"?"))</f>
        <v/>
      </c>
      <c r="L938" s="63">
        <f>IF(tblMovement[[#This Row],[Destination]]="","",IFERROR(INDEX(tblDestinations[Type],MATCH(tblMovement[[#This Row],[Destination]],tblDestinations[Destination],0)),"?"))</f>
        <v/>
      </c>
      <c r="M938" s="64">
        <f>IF(tblMovement[[#This Row],[Material]]="","",IF(LEFT(tblMovement[[#This Row],[Material]],3)="Ore",1,0))</f>
        <v/>
      </c>
      <c r="N938" s="59">
        <f>IF(OR(tblMovement[[#This Row],[Tonnes_t]]="",tblMovement[[#This Row],[Grade_gpt]]=""),0,tblMovement[[#This Row],[Tonnes_t]]*tblMovement[[#This Row],[Grade_gpt]]/cfg_TroyOz)</f>
        <v/>
      </c>
      <c r="O938" s="59">
        <f>IF(tblMovement[[#This Row],[Is_Ore]]=1,tblMovement[[#This Row],[Contained_oz]],0)</f>
        <v/>
      </c>
    </row>
    <row r="939">
      <c r="A939" s="54" t="n"/>
      <c r="B939" s="61" t="n"/>
      <c r="C939" s="61" t="n"/>
      <c r="D939" s="61" t="n"/>
      <c r="E939" s="61" t="n"/>
      <c r="F939" s="55" t="n"/>
      <c r="G939" s="56" t="n"/>
      <c r="H939" s="55" t="n"/>
      <c r="I939" s="62" t="n"/>
      <c r="J939" s="58" t="n"/>
      <c r="K939" s="63">
        <f>IF(tblMovement[[#This Row],[Source]]="","",IFERROR(INDEX(tblSources[Type],MATCH(tblMovement[[#This Row],[Source]],tblSources[Source],0)),"?"))</f>
        <v/>
      </c>
      <c r="L939" s="63">
        <f>IF(tblMovement[[#This Row],[Destination]]="","",IFERROR(INDEX(tblDestinations[Type],MATCH(tblMovement[[#This Row],[Destination]],tblDestinations[Destination],0)),"?"))</f>
        <v/>
      </c>
      <c r="M939" s="64">
        <f>IF(tblMovement[[#This Row],[Material]]="","",IF(LEFT(tblMovement[[#This Row],[Material]],3)="Ore",1,0))</f>
        <v/>
      </c>
      <c r="N939" s="59">
        <f>IF(OR(tblMovement[[#This Row],[Tonnes_t]]="",tblMovement[[#This Row],[Grade_gpt]]=""),0,tblMovement[[#This Row],[Tonnes_t]]*tblMovement[[#This Row],[Grade_gpt]]/cfg_TroyOz)</f>
        <v/>
      </c>
      <c r="O939" s="59">
        <f>IF(tblMovement[[#This Row],[Is_Ore]]=1,tblMovement[[#This Row],[Contained_oz]],0)</f>
        <v/>
      </c>
    </row>
    <row r="940">
      <c r="A940" s="54" t="n"/>
      <c r="B940" s="61" t="n"/>
      <c r="C940" s="61" t="n"/>
      <c r="D940" s="61" t="n"/>
      <c r="E940" s="61" t="n"/>
      <c r="F940" s="55" t="n"/>
      <c r="G940" s="56" t="n"/>
      <c r="H940" s="55" t="n"/>
      <c r="I940" s="62" t="n"/>
      <c r="J940" s="58" t="n"/>
      <c r="K940" s="63">
        <f>IF(tblMovement[[#This Row],[Source]]="","",IFERROR(INDEX(tblSources[Type],MATCH(tblMovement[[#This Row],[Source]],tblSources[Source],0)),"?"))</f>
        <v/>
      </c>
      <c r="L940" s="63">
        <f>IF(tblMovement[[#This Row],[Destination]]="","",IFERROR(INDEX(tblDestinations[Type],MATCH(tblMovement[[#This Row],[Destination]],tblDestinations[Destination],0)),"?"))</f>
        <v/>
      </c>
      <c r="M940" s="64">
        <f>IF(tblMovement[[#This Row],[Material]]="","",IF(LEFT(tblMovement[[#This Row],[Material]],3)="Ore",1,0))</f>
        <v/>
      </c>
      <c r="N940" s="59">
        <f>IF(OR(tblMovement[[#This Row],[Tonnes_t]]="",tblMovement[[#This Row],[Grade_gpt]]=""),0,tblMovement[[#This Row],[Tonnes_t]]*tblMovement[[#This Row],[Grade_gpt]]/cfg_TroyOz)</f>
        <v/>
      </c>
      <c r="O940" s="59">
        <f>IF(tblMovement[[#This Row],[Is_Ore]]=1,tblMovement[[#This Row],[Contained_oz]],0)</f>
        <v/>
      </c>
    </row>
    <row r="941">
      <c r="A941" s="54" t="n"/>
      <c r="B941" s="61" t="n"/>
      <c r="C941" s="61" t="n"/>
      <c r="D941" s="61" t="n"/>
      <c r="E941" s="61" t="n"/>
      <c r="F941" s="55" t="n"/>
      <c r="G941" s="56" t="n"/>
      <c r="H941" s="55" t="n"/>
      <c r="I941" s="62" t="n"/>
      <c r="J941" s="58" t="n"/>
      <c r="K941" s="63">
        <f>IF(tblMovement[[#This Row],[Source]]="","",IFERROR(INDEX(tblSources[Type],MATCH(tblMovement[[#This Row],[Source]],tblSources[Source],0)),"?"))</f>
        <v/>
      </c>
      <c r="L941" s="63">
        <f>IF(tblMovement[[#This Row],[Destination]]="","",IFERROR(INDEX(tblDestinations[Type],MATCH(tblMovement[[#This Row],[Destination]],tblDestinations[Destination],0)),"?"))</f>
        <v/>
      </c>
      <c r="M941" s="64">
        <f>IF(tblMovement[[#This Row],[Material]]="","",IF(LEFT(tblMovement[[#This Row],[Material]],3)="Ore",1,0))</f>
        <v/>
      </c>
      <c r="N941" s="59">
        <f>IF(OR(tblMovement[[#This Row],[Tonnes_t]]="",tblMovement[[#This Row],[Grade_gpt]]=""),0,tblMovement[[#This Row],[Tonnes_t]]*tblMovement[[#This Row],[Grade_gpt]]/cfg_TroyOz)</f>
        <v/>
      </c>
      <c r="O941" s="59">
        <f>IF(tblMovement[[#This Row],[Is_Ore]]=1,tblMovement[[#This Row],[Contained_oz]],0)</f>
        <v/>
      </c>
    </row>
    <row r="942">
      <c r="A942" s="54" t="n"/>
      <c r="B942" s="61" t="n"/>
      <c r="C942" s="61" t="n"/>
      <c r="D942" s="61" t="n"/>
      <c r="E942" s="61" t="n"/>
      <c r="F942" s="55" t="n"/>
      <c r="G942" s="56" t="n"/>
      <c r="H942" s="55" t="n"/>
      <c r="I942" s="62" t="n"/>
      <c r="J942" s="58" t="n"/>
      <c r="K942" s="63">
        <f>IF(tblMovement[[#This Row],[Source]]="","",IFERROR(INDEX(tblSources[Type],MATCH(tblMovement[[#This Row],[Source]],tblSources[Source],0)),"?"))</f>
        <v/>
      </c>
      <c r="L942" s="63">
        <f>IF(tblMovement[[#This Row],[Destination]]="","",IFERROR(INDEX(tblDestinations[Type],MATCH(tblMovement[[#This Row],[Destination]],tblDestinations[Destination],0)),"?"))</f>
        <v/>
      </c>
      <c r="M942" s="64">
        <f>IF(tblMovement[[#This Row],[Material]]="","",IF(LEFT(tblMovement[[#This Row],[Material]],3)="Ore",1,0))</f>
        <v/>
      </c>
      <c r="N942" s="59">
        <f>IF(OR(tblMovement[[#This Row],[Tonnes_t]]="",tblMovement[[#This Row],[Grade_gpt]]=""),0,tblMovement[[#This Row],[Tonnes_t]]*tblMovement[[#This Row],[Grade_gpt]]/cfg_TroyOz)</f>
        <v/>
      </c>
      <c r="O942" s="59">
        <f>IF(tblMovement[[#This Row],[Is_Ore]]=1,tblMovement[[#This Row],[Contained_oz]],0)</f>
        <v/>
      </c>
    </row>
    <row r="943">
      <c r="A943" s="54" t="n"/>
      <c r="B943" s="61" t="n"/>
      <c r="C943" s="61" t="n"/>
      <c r="D943" s="61" t="n"/>
      <c r="E943" s="61" t="n"/>
      <c r="F943" s="55" t="n"/>
      <c r="G943" s="56" t="n"/>
      <c r="H943" s="55" t="n"/>
      <c r="I943" s="62" t="n"/>
      <c r="J943" s="58" t="n"/>
      <c r="K943" s="63">
        <f>IF(tblMovement[[#This Row],[Source]]="","",IFERROR(INDEX(tblSources[Type],MATCH(tblMovement[[#This Row],[Source]],tblSources[Source],0)),"?"))</f>
        <v/>
      </c>
      <c r="L943" s="63">
        <f>IF(tblMovement[[#This Row],[Destination]]="","",IFERROR(INDEX(tblDestinations[Type],MATCH(tblMovement[[#This Row],[Destination]],tblDestinations[Destination],0)),"?"))</f>
        <v/>
      </c>
      <c r="M943" s="64">
        <f>IF(tblMovement[[#This Row],[Material]]="","",IF(LEFT(tblMovement[[#This Row],[Material]],3)="Ore",1,0))</f>
        <v/>
      </c>
      <c r="N943" s="59">
        <f>IF(OR(tblMovement[[#This Row],[Tonnes_t]]="",tblMovement[[#This Row],[Grade_gpt]]=""),0,tblMovement[[#This Row],[Tonnes_t]]*tblMovement[[#This Row],[Grade_gpt]]/cfg_TroyOz)</f>
        <v/>
      </c>
      <c r="O943" s="59">
        <f>IF(tblMovement[[#This Row],[Is_Ore]]=1,tblMovement[[#This Row],[Contained_oz]],0)</f>
        <v/>
      </c>
    </row>
    <row r="944">
      <c r="A944" s="54" t="n"/>
      <c r="B944" s="61" t="n"/>
      <c r="C944" s="61" t="n"/>
      <c r="D944" s="61" t="n"/>
      <c r="E944" s="61" t="n"/>
      <c r="F944" s="55" t="n"/>
      <c r="G944" s="56" t="n"/>
      <c r="H944" s="55" t="n"/>
      <c r="I944" s="62" t="n"/>
      <c r="J944" s="58" t="n"/>
      <c r="K944" s="63">
        <f>IF(tblMovement[[#This Row],[Source]]="","",IFERROR(INDEX(tblSources[Type],MATCH(tblMovement[[#This Row],[Source]],tblSources[Source],0)),"?"))</f>
        <v/>
      </c>
      <c r="L944" s="63">
        <f>IF(tblMovement[[#This Row],[Destination]]="","",IFERROR(INDEX(tblDestinations[Type],MATCH(tblMovement[[#This Row],[Destination]],tblDestinations[Destination],0)),"?"))</f>
        <v/>
      </c>
      <c r="M944" s="64">
        <f>IF(tblMovement[[#This Row],[Material]]="","",IF(LEFT(tblMovement[[#This Row],[Material]],3)="Ore",1,0))</f>
        <v/>
      </c>
      <c r="N944" s="59">
        <f>IF(OR(tblMovement[[#This Row],[Tonnes_t]]="",tblMovement[[#This Row],[Grade_gpt]]=""),0,tblMovement[[#This Row],[Tonnes_t]]*tblMovement[[#This Row],[Grade_gpt]]/cfg_TroyOz)</f>
        <v/>
      </c>
      <c r="O944" s="59">
        <f>IF(tblMovement[[#This Row],[Is_Ore]]=1,tblMovement[[#This Row],[Contained_oz]],0)</f>
        <v/>
      </c>
    </row>
    <row r="945">
      <c r="A945" s="54" t="n"/>
      <c r="B945" s="61" t="n"/>
      <c r="C945" s="61" t="n"/>
      <c r="D945" s="61" t="n"/>
      <c r="E945" s="61" t="n"/>
      <c r="F945" s="55" t="n"/>
      <c r="G945" s="56" t="n"/>
      <c r="H945" s="55" t="n"/>
      <c r="I945" s="62" t="n"/>
      <c r="J945" s="58" t="n"/>
      <c r="K945" s="63">
        <f>IF(tblMovement[[#This Row],[Source]]="","",IFERROR(INDEX(tblSources[Type],MATCH(tblMovement[[#This Row],[Source]],tblSources[Source],0)),"?"))</f>
        <v/>
      </c>
      <c r="L945" s="63">
        <f>IF(tblMovement[[#This Row],[Destination]]="","",IFERROR(INDEX(tblDestinations[Type],MATCH(tblMovement[[#This Row],[Destination]],tblDestinations[Destination],0)),"?"))</f>
        <v/>
      </c>
      <c r="M945" s="64">
        <f>IF(tblMovement[[#This Row],[Material]]="","",IF(LEFT(tblMovement[[#This Row],[Material]],3)="Ore",1,0))</f>
        <v/>
      </c>
      <c r="N945" s="59">
        <f>IF(OR(tblMovement[[#This Row],[Tonnes_t]]="",tblMovement[[#This Row],[Grade_gpt]]=""),0,tblMovement[[#This Row],[Tonnes_t]]*tblMovement[[#This Row],[Grade_gpt]]/cfg_TroyOz)</f>
        <v/>
      </c>
      <c r="O945" s="59">
        <f>IF(tblMovement[[#This Row],[Is_Ore]]=1,tblMovement[[#This Row],[Contained_oz]],0)</f>
        <v/>
      </c>
    </row>
    <row r="946">
      <c r="A946" s="54" t="n"/>
      <c r="B946" s="61" t="n"/>
      <c r="C946" s="61" t="n"/>
      <c r="D946" s="61" t="n"/>
      <c r="E946" s="61" t="n"/>
      <c r="F946" s="55" t="n"/>
      <c r="G946" s="56" t="n"/>
      <c r="H946" s="55" t="n"/>
      <c r="I946" s="62" t="n"/>
      <c r="J946" s="58" t="n"/>
      <c r="K946" s="63">
        <f>IF(tblMovement[[#This Row],[Source]]="","",IFERROR(INDEX(tblSources[Type],MATCH(tblMovement[[#This Row],[Source]],tblSources[Source],0)),"?"))</f>
        <v/>
      </c>
      <c r="L946" s="63">
        <f>IF(tblMovement[[#This Row],[Destination]]="","",IFERROR(INDEX(tblDestinations[Type],MATCH(tblMovement[[#This Row],[Destination]],tblDestinations[Destination],0)),"?"))</f>
        <v/>
      </c>
      <c r="M946" s="64">
        <f>IF(tblMovement[[#This Row],[Material]]="","",IF(LEFT(tblMovement[[#This Row],[Material]],3)="Ore",1,0))</f>
        <v/>
      </c>
      <c r="N946" s="59">
        <f>IF(OR(tblMovement[[#This Row],[Tonnes_t]]="",tblMovement[[#This Row],[Grade_gpt]]=""),0,tblMovement[[#This Row],[Tonnes_t]]*tblMovement[[#This Row],[Grade_gpt]]/cfg_TroyOz)</f>
        <v/>
      </c>
      <c r="O946" s="59">
        <f>IF(tblMovement[[#This Row],[Is_Ore]]=1,tblMovement[[#This Row],[Contained_oz]],0)</f>
        <v/>
      </c>
    </row>
    <row r="947">
      <c r="A947" s="54" t="n"/>
      <c r="B947" s="61" t="n"/>
      <c r="C947" s="61" t="n"/>
      <c r="D947" s="61" t="n"/>
      <c r="E947" s="61" t="n"/>
      <c r="F947" s="55" t="n"/>
      <c r="G947" s="56" t="n"/>
      <c r="H947" s="55" t="n"/>
      <c r="I947" s="62" t="n"/>
      <c r="J947" s="58" t="n"/>
      <c r="K947" s="63">
        <f>IF(tblMovement[[#This Row],[Source]]="","",IFERROR(INDEX(tblSources[Type],MATCH(tblMovement[[#This Row],[Source]],tblSources[Source],0)),"?"))</f>
        <v/>
      </c>
      <c r="L947" s="63">
        <f>IF(tblMovement[[#This Row],[Destination]]="","",IFERROR(INDEX(tblDestinations[Type],MATCH(tblMovement[[#This Row],[Destination]],tblDestinations[Destination],0)),"?"))</f>
        <v/>
      </c>
      <c r="M947" s="64">
        <f>IF(tblMovement[[#This Row],[Material]]="","",IF(LEFT(tblMovement[[#This Row],[Material]],3)="Ore",1,0))</f>
        <v/>
      </c>
      <c r="N947" s="59">
        <f>IF(OR(tblMovement[[#This Row],[Tonnes_t]]="",tblMovement[[#This Row],[Grade_gpt]]=""),0,tblMovement[[#This Row],[Tonnes_t]]*tblMovement[[#This Row],[Grade_gpt]]/cfg_TroyOz)</f>
        <v/>
      </c>
      <c r="O947" s="59">
        <f>IF(tblMovement[[#This Row],[Is_Ore]]=1,tblMovement[[#This Row],[Contained_oz]],0)</f>
        <v/>
      </c>
    </row>
    <row r="948">
      <c r="A948" s="54" t="n"/>
      <c r="B948" s="61" t="n"/>
      <c r="C948" s="61" t="n"/>
      <c r="D948" s="61" t="n"/>
      <c r="E948" s="61" t="n"/>
      <c r="F948" s="55" t="n"/>
      <c r="G948" s="56" t="n"/>
      <c r="H948" s="55" t="n"/>
      <c r="I948" s="62" t="n"/>
      <c r="J948" s="58" t="n"/>
      <c r="K948" s="63">
        <f>IF(tblMovement[[#This Row],[Source]]="","",IFERROR(INDEX(tblSources[Type],MATCH(tblMovement[[#This Row],[Source]],tblSources[Source],0)),"?"))</f>
        <v/>
      </c>
      <c r="L948" s="63">
        <f>IF(tblMovement[[#This Row],[Destination]]="","",IFERROR(INDEX(tblDestinations[Type],MATCH(tblMovement[[#This Row],[Destination]],tblDestinations[Destination],0)),"?"))</f>
        <v/>
      </c>
      <c r="M948" s="64">
        <f>IF(tblMovement[[#This Row],[Material]]="","",IF(LEFT(tblMovement[[#This Row],[Material]],3)="Ore",1,0))</f>
        <v/>
      </c>
      <c r="N948" s="59">
        <f>IF(OR(tblMovement[[#This Row],[Tonnes_t]]="",tblMovement[[#This Row],[Grade_gpt]]=""),0,tblMovement[[#This Row],[Tonnes_t]]*tblMovement[[#This Row],[Grade_gpt]]/cfg_TroyOz)</f>
        <v/>
      </c>
      <c r="O948" s="59">
        <f>IF(tblMovement[[#This Row],[Is_Ore]]=1,tblMovement[[#This Row],[Contained_oz]],0)</f>
        <v/>
      </c>
    </row>
    <row r="949">
      <c r="A949" s="54" t="n"/>
      <c r="B949" s="61" t="n"/>
      <c r="C949" s="61" t="n"/>
      <c r="D949" s="61" t="n"/>
      <c r="E949" s="61" t="n"/>
      <c r="F949" s="55" t="n"/>
      <c r="G949" s="56" t="n"/>
      <c r="H949" s="55" t="n"/>
      <c r="I949" s="62" t="n"/>
      <c r="J949" s="58" t="n"/>
      <c r="K949" s="63">
        <f>IF(tblMovement[[#This Row],[Source]]="","",IFERROR(INDEX(tblSources[Type],MATCH(tblMovement[[#This Row],[Source]],tblSources[Source],0)),"?"))</f>
        <v/>
      </c>
      <c r="L949" s="63">
        <f>IF(tblMovement[[#This Row],[Destination]]="","",IFERROR(INDEX(tblDestinations[Type],MATCH(tblMovement[[#This Row],[Destination]],tblDestinations[Destination],0)),"?"))</f>
        <v/>
      </c>
      <c r="M949" s="64">
        <f>IF(tblMovement[[#This Row],[Material]]="","",IF(LEFT(tblMovement[[#This Row],[Material]],3)="Ore",1,0))</f>
        <v/>
      </c>
      <c r="N949" s="59">
        <f>IF(OR(tblMovement[[#This Row],[Tonnes_t]]="",tblMovement[[#This Row],[Grade_gpt]]=""),0,tblMovement[[#This Row],[Tonnes_t]]*tblMovement[[#This Row],[Grade_gpt]]/cfg_TroyOz)</f>
        <v/>
      </c>
      <c r="O949" s="59">
        <f>IF(tblMovement[[#This Row],[Is_Ore]]=1,tblMovement[[#This Row],[Contained_oz]],0)</f>
        <v/>
      </c>
    </row>
    <row r="950">
      <c r="A950" s="54" t="n"/>
      <c r="B950" s="61" t="n"/>
      <c r="C950" s="61" t="n"/>
      <c r="D950" s="61" t="n"/>
      <c r="E950" s="61" t="n"/>
      <c r="F950" s="55" t="n"/>
      <c r="G950" s="56" t="n"/>
      <c r="H950" s="55" t="n"/>
      <c r="I950" s="62" t="n"/>
      <c r="J950" s="58" t="n"/>
      <c r="K950" s="63">
        <f>IF(tblMovement[[#This Row],[Source]]="","",IFERROR(INDEX(tblSources[Type],MATCH(tblMovement[[#This Row],[Source]],tblSources[Source],0)),"?"))</f>
        <v/>
      </c>
      <c r="L950" s="63">
        <f>IF(tblMovement[[#This Row],[Destination]]="","",IFERROR(INDEX(tblDestinations[Type],MATCH(tblMovement[[#This Row],[Destination]],tblDestinations[Destination],0)),"?"))</f>
        <v/>
      </c>
      <c r="M950" s="64">
        <f>IF(tblMovement[[#This Row],[Material]]="","",IF(LEFT(tblMovement[[#This Row],[Material]],3)="Ore",1,0))</f>
        <v/>
      </c>
      <c r="N950" s="59">
        <f>IF(OR(tblMovement[[#This Row],[Tonnes_t]]="",tblMovement[[#This Row],[Grade_gpt]]=""),0,tblMovement[[#This Row],[Tonnes_t]]*tblMovement[[#This Row],[Grade_gpt]]/cfg_TroyOz)</f>
        <v/>
      </c>
      <c r="O950" s="59">
        <f>IF(tblMovement[[#This Row],[Is_Ore]]=1,tblMovement[[#This Row],[Contained_oz]],0)</f>
        <v/>
      </c>
    </row>
    <row r="951">
      <c r="A951" s="54" t="n"/>
      <c r="B951" s="61" t="n"/>
      <c r="C951" s="61" t="n"/>
      <c r="D951" s="61" t="n"/>
      <c r="E951" s="61" t="n"/>
      <c r="F951" s="55" t="n"/>
      <c r="G951" s="56" t="n"/>
      <c r="H951" s="55" t="n"/>
      <c r="I951" s="62" t="n"/>
      <c r="J951" s="58" t="n"/>
      <c r="K951" s="63">
        <f>IF(tblMovement[[#This Row],[Source]]="","",IFERROR(INDEX(tblSources[Type],MATCH(tblMovement[[#This Row],[Source]],tblSources[Source],0)),"?"))</f>
        <v/>
      </c>
      <c r="L951" s="63">
        <f>IF(tblMovement[[#This Row],[Destination]]="","",IFERROR(INDEX(tblDestinations[Type],MATCH(tblMovement[[#This Row],[Destination]],tblDestinations[Destination],0)),"?"))</f>
        <v/>
      </c>
      <c r="M951" s="64">
        <f>IF(tblMovement[[#This Row],[Material]]="","",IF(LEFT(tblMovement[[#This Row],[Material]],3)="Ore",1,0))</f>
        <v/>
      </c>
      <c r="N951" s="59">
        <f>IF(OR(tblMovement[[#This Row],[Tonnes_t]]="",tblMovement[[#This Row],[Grade_gpt]]=""),0,tblMovement[[#This Row],[Tonnes_t]]*tblMovement[[#This Row],[Grade_gpt]]/cfg_TroyOz)</f>
        <v/>
      </c>
      <c r="O951" s="59">
        <f>IF(tblMovement[[#This Row],[Is_Ore]]=1,tblMovement[[#This Row],[Contained_oz]],0)</f>
        <v/>
      </c>
    </row>
    <row r="952">
      <c r="A952" s="54" t="n"/>
      <c r="B952" s="61" t="n"/>
      <c r="C952" s="61" t="n"/>
      <c r="D952" s="61" t="n"/>
      <c r="E952" s="61" t="n"/>
      <c r="F952" s="55" t="n"/>
      <c r="G952" s="56" t="n"/>
      <c r="H952" s="55" t="n"/>
      <c r="I952" s="62" t="n"/>
      <c r="J952" s="58" t="n"/>
      <c r="K952" s="63">
        <f>IF(tblMovement[[#This Row],[Source]]="","",IFERROR(INDEX(tblSources[Type],MATCH(tblMovement[[#This Row],[Source]],tblSources[Source],0)),"?"))</f>
        <v/>
      </c>
      <c r="L952" s="63">
        <f>IF(tblMovement[[#This Row],[Destination]]="","",IFERROR(INDEX(tblDestinations[Type],MATCH(tblMovement[[#This Row],[Destination]],tblDestinations[Destination],0)),"?"))</f>
        <v/>
      </c>
      <c r="M952" s="64">
        <f>IF(tblMovement[[#This Row],[Material]]="","",IF(LEFT(tblMovement[[#This Row],[Material]],3)="Ore",1,0))</f>
        <v/>
      </c>
      <c r="N952" s="59">
        <f>IF(OR(tblMovement[[#This Row],[Tonnes_t]]="",tblMovement[[#This Row],[Grade_gpt]]=""),0,tblMovement[[#This Row],[Tonnes_t]]*tblMovement[[#This Row],[Grade_gpt]]/cfg_TroyOz)</f>
        <v/>
      </c>
      <c r="O952" s="59">
        <f>IF(tblMovement[[#This Row],[Is_Ore]]=1,tblMovement[[#This Row],[Contained_oz]],0)</f>
        <v/>
      </c>
    </row>
    <row r="953">
      <c r="A953" s="54" t="n"/>
      <c r="B953" s="61" t="n"/>
      <c r="C953" s="61" t="n"/>
      <c r="D953" s="61" t="n"/>
      <c r="E953" s="61" t="n"/>
      <c r="F953" s="55" t="n"/>
      <c r="G953" s="56" t="n"/>
      <c r="H953" s="55" t="n"/>
      <c r="I953" s="62" t="n"/>
      <c r="J953" s="58" t="n"/>
      <c r="K953" s="63">
        <f>IF(tblMovement[[#This Row],[Source]]="","",IFERROR(INDEX(tblSources[Type],MATCH(tblMovement[[#This Row],[Source]],tblSources[Source],0)),"?"))</f>
        <v/>
      </c>
      <c r="L953" s="63">
        <f>IF(tblMovement[[#This Row],[Destination]]="","",IFERROR(INDEX(tblDestinations[Type],MATCH(tblMovement[[#This Row],[Destination]],tblDestinations[Destination],0)),"?"))</f>
        <v/>
      </c>
      <c r="M953" s="64">
        <f>IF(tblMovement[[#This Row],[Material]]="","",IF(LEFT(tblMovement[[#This Row],[Material]],3)="Ore",1,0))</f>
        <v/>
      </c>
      <c r="N953" s="59">
        <f>IF(OR(tblMovement[[#This Row],[Tonnes_t]]="",tblMovement[[#This Row],[Grade_gpt]]=""),0,tblMovement[[#This Row],[Tonnes_t]]*tblMovement[[#This Row],[Grade_gpt]]/cfg_TroyOz)</f>
        <v/>
      </c>
      <c r="O953" s="59">
        <f>IF(tblMovement[[#This Row],[Is_Ore]]=1,tblMovement[[#This Row],[Contained_oz]],0)</f>
        <v/>
      </c>
    </row>
    <row r="954">
      <c r="A954" s="54" t="n"/>
      <c r="B954" s="61" t="n"/>
      <c r="C954" s="61" t="n"/>
      <c r="D954" s="61" t="n"/>
      <c r="E954" s="61" t="n"/>
      <c r="F954" s="55" t="n"/>
      <c r="G954" s="56" t="n"/>
      <c r="H954" s="55" t="n"/>
      <c r="I954" s="62" t="n"/>
      <c r="J954" s="58" t="n"/>
      <c r="K954" s="63">
        <f>IF(tblMovement[[#This Row],[Source]]="","",IFERROR(INDEX(tblSources[Type],MATCH(tblMovement[[#This Row],[Source]],tblSources[Source],0)),"?"))</f>
        <v/>
      </c>
      <c r="L954" s="63">
        <f>IF(tblMovement[[#This Row],[Destination]]="","",IFERROR(INDEX(tblDestinations[Type],MATCH(tblMovement[[#This Row],[Destination]],tblDestinations[Destination],0)),"?"))</f>
        <v/>
      </c>
      <c r="M954" s="64">
        <f>IF(tblMovement[[#This Row],[Material]]="","",IF(LEFT(tblMovement[[#This Row],[Material]],3)="Ore",1,0))</f>
        <v/>
      </c>
      <c r="N954" s="59">
        <f>IF(OR(tblMovement[[#This Row],[Tonnes_t]]="",tblMovement[[#This Row],[Grade_gpt]]=""),0,tblMovement[[#This Row],[Tonnes_t]]*tblMovement[[#This Row],[Grade_gpt]]/cfg_TroyOz)</f>
        <v/>
      </c>
      <c r="O954" s="59">
        <f>IF(tblMovement[[#This Row],[Is_Ore]]=1,tblMovement[[#This Row],[Contained_oz]],0)</f>
        <v/>
      </c>
    </row>
    <row r="955">
      <c r="A955" s="54" t="n"/>
      <c r="B955" s="61" t="n"/>
      <c r="C955" s="61" t="n"/>
      <c r="D955" s="61" t="n"/>
      <c r="E955" s="61" t="n"/>
      <c r="F955" s="55" t="n"/>
      <c r="G955" s="56" t="n"/>
      <c r="H955" s="55" t="n"/>
      <c r="I955" s="62" t="n"/>
      <c r="J955" s="58" t="n"/>
      <c r="K955" s="63">
        <f>IF(tblMovement[[#This Row],[Source]]="","",IFERROR(INDEX(tblSources[Type],MATCH(tblMovement[[#This Row],[Source]],tblSources[Source],0)),"?"))</f>
        <v/>
      </c>
      <c r="L955" s="63">
        <f>IF(tblMovement[[#This Row],[Destination]]="","",IFERROR(INDEX(tblDestinations[Type],MATCH(tblMovement[[#This Row],[Destination]],tblDestinations[Destination],0)),"?"))</f>
        <v/>
      </c>
      <c r="M955" s="64">
        <f>IF(tblMovement[[#This Row],[Material]]="","",IF(LEFT(tblMovement[[#This Row],[Material]],3)="Ore",1,0))</f>
        <v/>
      </c>
      <c r="N955" s="59">
        <f>IF(OR(tblMovement[[#This Row],[Tonnes_t]]="",tblMovement[[#This Row],[Grade_gpt]]=""),0,tblMovement[[#This Row],[Tonnes_t]]*tblMovement[[#This Row],[Grade_gpt]]/cfg_TroyOz)</f>
        <v/>
      </c>
      <c r="O955" s="59">
        <f>IF(tblMovement[[#This Row],[Is_Ore]]=1,tblMovement[[#This Row],[Contained_oz]],0)</f>
        <v/>
      </c>
    </row>
    <row r="956">
      <c r="A956" s="54" t="n"/>
      <c r="B956" s="61" t="n"/>
      <c r="C956" s="61" t="n"/>
      <c r="D956" s="61" t="n"/>
      <c r="E956" s="61" t="n"/>
      <c r="F956" s="55" t="n"/>
      <c r="G956" s="56" t="n"/>
      <c r="H956" s="55" t="n"/>
      <c r="I956" s="62" t="n"/>
      <c r="J956" s="58" t="n"/>
      <c r="K956" s="63">
        <f>IF(tblMovement[[#This Row],[Source]]="","",IFERROR(INDEX(tblSources[Type],MATCH(tblMovement[[#This Row],[Source]],tblSources[Source],0)),"?"))</f>
        <v/>
      </c>
      <c r="L956" s="63">
        <f>IF(tblMovement[[#This Row],[Destination]]="","",IFERROR(INDEX(tblDestinations[Type],MATCH(tblMovement[[#This Row],[Destination]],tblDestinations[Destination],0)),"?"))</f>
        <v/>
      </c>
      <c r="M956" s="64">
        <f>IF(tblMovement[[#This Row],[Material]]="","",IF(LEFT(tblMovement[[#This Row],[Material]],3)="Ore",1,0))</f>
        <v/>
      </c>
      <c r="N956" s="59">
        <f>IF(OR(tblMovement[[#This Row],[Tonnes_t]]="",tblMovement[[#This Row],[Grade_gpt]]=""),0,tblMovement[[#This Row],[Tonnes_t]]*tblMovement[[#This Row],[Grade_gpt]]/cfg_TroyOz)</f>
        <v/>
      </c>
      <c r="O956" s="59">
        <f>IF(tblMovement[[#This Row],[Is_Ore]]=1,tblMovement[[#This Row],[Contained_oz]],0)</f>
        <v/>
      </c>
    </row>
    <row r="957">
      <c r="A957" s="54" t="n"/>
      <c r="B957" s="61" t="n"/>
      <c r="C957" s="61" t="n"/>
      <c r="D957" s="61" t="n"/>
      <c r="E957" s="61" t="n"/>
      <c r="F957" s="55" t="n"/>
      <c r="G957" s="56" t="n"/>
      <c r="H957" s="55" t="n"/>
      <c r="I957" s="62" t="n"/>
      <c r="J957" s="58" t="n"/>
      <c r="K957" s="63">
        <f>IF(tblMovement[[#This Row],[Source]]="","",IFERROR(INDEX(tblSources[Type],MATCH(tblMovement[[#This Row],[Source]],tblSources[Source],0)),"?"))</f>
        <v/>
      </c>
      <c r="L957" s="63">
        <f>IF(tblMovement[[#This Row],[Destination]]="","",IFERROR(INDEX(tblDestinations[Type],MATCH(tblMovement[[#This Row],[Destination]],tblDestinations[Destination],0)),"?"))</f>
        <v/>
      </c>
      <c r="M957" s="64">
        <f>IF(tblMovement[[#This Row],[Material]]="","",IF(LEFT(tblMovement[[#This Row],[Material]],3)="Ore",1,0))</f>
        <v/>
      </c>
      <c r="N957" s="59">
        <f>IF(OR(tblMovement[[#This Row],[Tonnes_t]]="",tblMovement[[#This Row],[Grade_gpt]]=""),0,tblMovement[[#This Row],[Tonnes_t]]*tblMovement[[#This Row],[Grade_gpt]]/cfg_TroyOz)</f>
        <v/>
      </c>
      <c r="O957" s="59">
        <f>IF(tblMovement[[#This Row],[Is_Ore]]=1,tblMovement[[#This Row],[Contained_oz]],0)</f>
        <v/>
      </c>
    </row>
    <row r="958">
      <c r="A958" s="54" t="n"/>
      <c r="B958" s="61" t="n"/>
      <c r="C958" s="61" t="n"/>
      <c r="D958" s="61" t="n"/>
      <c r="E958" s="61" t="n"/>
      <c r="F958" s="55" t="n"/>
      <c r="G958" s="56" t="n"/>
      <c r="H958" s="55" t="n"/>
      <c r="I958" s="62" t="n"/>
      <c r="J958" s="58" t="n"/>
      <c r="K958" s="63">
        <f>IF(tblMovement[[#This Row],[Source]]="","",IFERROR(INDEX(tblSources[Type],MATCH(tblMovement[[#This Row],[Source]],tblSources[Source],0)),"?"))</f>
        <v/>
      </c>
      <c r="L958" s="63">
        <f>IF(tblMovement[[#This Row],[Destination]]="","",IFERROR(INDEX(tblDestinations[Type],MATCH(tblMovement[[#This Row],[Destination]],tblDestinations[Destination],0)),"?"))</f>
        <v/>
      </c>
      <c r="M958" s="64">
        <f>IF(tblMovement[[#This Row],[Material]]="","",IF(LEFT(tblMovement[[#This Row],[Material]],3)="Ore",1,0))</f>
        <v/>
      </c>
      <c r="N958" s="59">
        <f>IF(OR(tblMovement[[#This Row],[Tonnes_t]]="",tblMovement[[#This Row],[Grade_gpt]]=""),0,tblMovement[[#This Row],[Tonnes_t]]*tblMovement[[#This Row],[Grade_gpt]]/cfg_TroyOz)</f>
        <v/>
      </c>
      <c r="O958" s="59">
        <f>IF(tblMovement[[#This Row],[Is_Ore]]=1,tblMovement[[#This Row],[Contained_oz]],0)</f>
        <v/>
      </c>
    </row>
    <row r="959">
      <c r="A959" s="54" t="n"/>
      <c r="B959" s="61" t="n"/>
      <c r="C959" s="61" t="n"/>
      <c r="D959" s="61" t="n"/>
      <c r="E959" s="61" t="n"/>
      <c r="F959" s="55" t="n"/>
      <c r="G959" s="56" t="n"/>
      <c r="H959" s="55" t="n"/>
      <c r="I959" s="62" t="n"/>
      <c r="J959" s="58" t="n"/>
      <c r="K959" s="63">
        <f>IF(tblMovement[[#This Row],[Source]]="","",IFERROR(INDEX(tblSources[Type],MATCH(tblMovement[[#This Row],[Source]],tblSources[Source],0)),"?"))</f>
        <v/>
      </c>
      <c r="L959" s="63">
        <f>IF(tblMovement[[#This Row],[Destination]]="","",IFERROR(INDEX(tblDestinations[Type],MATCH(tblMovement[[#This Row],[Destination]],tblDestinations[Destination],0)),"?"))</f>
        <v/>
      </c>
      <c r="M959" s="64">
        <f>IF(tblMovement[[#This Row],[Material]]="","",IF(LEFT(tblMovement[[#This Row],[Material]],3)="Ore",1,0))</f>
        <v/>
      </c>
      <c r="N959" s="59">
        <f>IF(OR(tblMovement[[#This Row],[Tonnes_t]]="",tblMovement[[#This Row],[Grade_gpt]]=""),0,tblMovement[[#This Row],[Tonnes_t]]*tblMovement[[#This Row],[Grade_gpt]]/cfg_TroyOz)</f>
        <v/>
      </c>
      <c r="O959" s="59">
        <f>IF(tblMovement[[#This Row],[Is_Ore]]=1,tblMovement[[#This Row],[Contained_oz]],0)</f>
        <v/>
      </c>
    </row>
    <row r="960">
      <c r="A960" s="54" t="n"/>
      <c r="B960" s="61" t="n"/>
      <c r="C960" s="61" t="n"/>
      <c r="D960" s="61" t="n"/>
      <c r="E960" s="61" t="n"/>
      <c r="F960" s="55" t="n"/>
      <c r="G960" s="56" t="n"/>
      <c r="H960" s="55" t="n"/>
      <c r="I960" s="62" t="n"/>
      <c r="J960" s="58" t="n"/>
      <c r="K960" s="63">
        <f>IF(tblMovement[[#This Row],[Source]]="","",IFERROR(INDEX(tblSources[Type],MATCH(tblMovement[[#This Row],[Source]],tblSources[Source],0)),"?"))</f>
        <v/>
      </c>
      <c r="L960" s="63">
        <f>IF(tblMovement[[#This Row],[Destination]]="","",IFERROR(INDEX(tblDestinations[Type],MATCH(tblMovement[[#This Row],[Destination]],tblDestinations[Destination],0)),"?"))</f>
        <v/>
      </c>
      <c r="M960" s="64">
        <f>IF(tblMovement[[#This Row],[Material]]="","",IF(LEFT(tblMovement[[#This Row],[Material]],3)="Ore",1,0))</f>
        <v/>
      </c>
      <c r="N960" s="59">
        <f>IF(OR(tblMovement[[#This Row],[Tonnes_t]]="",tblMovement[[#This Row],[Grade_gpt]]=""),0,tblMovement[[#This Row],[Tonnes_t]]*tblMovement[[#This Row],[Grade_gpt]]/cfg_TroyOz)</f>
        <v/>
      </c>
      <c r="O960" s="59">
        <f>IF(tblMovement[[#This Row],[Is_Ore]]=1,tblMovement[[#This Row],[Contained_oz]],0)</f>
        <v/>
      </c>
    </row>
    <row r="961">
      <c r="A961" s="54" t="n"/>
      <c r="B961" s="61" t="n"/>
      <c r="C961" s="61" t="n"/>
      <c r="D961" s="61" t="n"/>
      <c r="E961" s="61" t="n"/>
      <c r="F961" s="55" t="n"/>
      <c r="G961" s="56" t="n"/>
      <c r="H961" s="55" t="n"/>
      <c r="I961" s="62" t="n"/>
      <c r="J961" s="58" t="n"/>
      <c r="K961" s="63">
        <f>IF(tblMovement[[#This Row],[Source]]="","",IFERROR(INDEX(tblSources[Type],MATCH(tblMovement[[#This Row],[Source]],tblSources[Source],0)),"?"))</f>
        <v/>
      </c>
      <c r="L961" s="63">
        <f>IF(tblMovement[[#This Row],[Destination]]="","",IFERROR(INDEX(tblDestinations[Type],MATCH(tblMovement[[#This Row],[Destination]],tblDestinations[Destination],0)),"?"))</f>
        <v/>
      </c>
      <c r="M961" s="64">
        <f>IF(tblMovement[[#This Row],[Material]]="","",IF(LEFT(tblMovement[[#This Row],[Material]],3)="Ore",1,0))</f>
        <v/>
      </c>
      <c r="N961" s="59">
        <f>IF(OR(tblMovement[[#This Row],[Tonnes_t]]="",tblMovement[[#This Row],[Grade_gpt]]=""),0,tblMovement[[#This Row],[Tonnes_t]]*tblMovement[[#This Row],[Grade_gpt]]/cfg_TroyOz)</f>
        <v/>
      </c>
      <c r="O961" s="59">
        <f>IF(tblMovement[[#This Row],[Is_Ore]]=1,tblMovement[[#This Row],[Contained_oz]],0)</f>
        <v/>
      </c>
    </row>
    <row r="962">
      <c r="A962" s="54" t="n"/>
      <c r="B962" s="61" t="n"/>
      <c r="C962" s="61" t="n"/>
      <c r="D962" s="61" t="n"/>
      <c r="E962" s="61" t="n"/>
      <c r="F962" s="55" t="n"/>
      <c r="G962" s="56" t="n"/>
      <c r="H962" s="55" t="n"/>
      <c r="I962" s="62" t="n"/>
      <c r="J962" s="58" t="n"/>
      <c r="K962" s="63">
        <f>IF(tblMovement[[#This Row],[Source]]="","",IFERROR(INDEX(tblSources[Type],MATCH(tblMovement[[#This Row],[Source]],tblSources[Source],0)),"?"))</f>
        <v/>
      </c>
      <c r="L962" s="63">
        <f>IF(tblMovement[[#This Row],[Destination]]="","",IFERROR(INDEX(tblDestinations[Type],MATCH(tblMovement[[#This Row],[Destination]],tblDestinations[Destination],0)),"?"))</f>
        <v/>
      </c>
      <c r="M962" s="64">
        <f>IF(tblMovement[[#This Row],[Material]]="","",IF(LEFT(tblMovement[[#This Row],[Material]],3)="Ore",1,0))</f>
        <v/>
      </c>
      <c r="N962" s="59">
        <f>IF(OR(tblMovement[[#This Row],[Tonnes_t]]="",tblMovement[[#This Row],[Grade_gpt]]=""),0,tblMovement[[#This Row],[Tonnes_t]]*tblMovement[[#This Row],[Grade_gpt]]/cfg_TroyOz)</f>
        <v/>
      </c>
      <c r="O962" s="59">
        <f>IF(tblMovement[[#This Row],[Is_Ore]]=1,tblMovement[[#This Row],[Contained_oz]],0)</f>
        <v/>
      </c>
    </row>
    <row r="963">
      <c r="A963" s="54" t="n"/>
      <c r="B963" s="61" t="n"/>
      <c r="C963" s="61" t="n"/>
      <c r="D963" s="61" t="n"/>
      <c r="E963" s="61" t="n"/>
      <c r="F963" s="55" t="n"/>
      <c r="G963" s="56" t="n"/>
      <c r="H963" s="55" t="n"/>
      <c r="I963" s="62" t="n"/>
      <c r="J963" s="58" t="n"/>
      <c r="K963" s="63">
        <f>IF(tblMovement[[#This Row],[Source]]="","",IFERROR(INDEX(tblSources[Type],MATCH(tblMovement[[#This Row],[Source]],tblSources[Source],0)),"?"))</f>
        <v/>
      </c>
      <c r="L963" s="63">
        <f>IF(tblMovement[[#This Row],[Destination]]="","",IFERROR(INDEX(tblDestinations[Type],MATCH(tblMovement[[#This Row],[Destination]],tblDestinations[Destination],0)),"?"))</f>
        <v/>
      </c>
      <c r="M963" s="64">
        <f>IF(tblMovement[[#This Row],[Material]]="","",IF(LEFT(tblMovement[[#This Row],[Material]],3)="Ore",1,0))</f>
        <v/>
      </c>
      <c r="N963" s="59">
        <f>IF(OR(tblMovement[[#This Row],[Tonnes_t]]="",tblMovement[[#This Row],[Grade_gpt]]=""),0,tblMovement[[#This Row],[Tonnes_t]]*tblMovement[[#This Row],[Grade_gpt]]/cfg_TroyOz)</f>
        <v/>
      </c>
      <c r="O963" s="59">
        <f>IF(tblMovement[[#This Row],[Is_Ore]]=1,tblMovement[[#This Row],[Contained_oz]],0)</f>
        <v/>
      </c>
    </row>
    <row r="964">
      <c r="A964" s="54" t="n"/>
      <c r="B964" s="61" t="n"/>
      <c r="C964" s="61" t="n"/>
      <c r="D964" s="61" t="n"/>
      <c r="E964" s="61" t="n"/>
      <c r="F964" s="55" t="n"/>
      <c r="G964" s="56" t="n"/>
      <c r="H964" s="55" t="n"/>
      <c r="I964" s="62" t="n"/>
      <c r="J964" s="58" t="n"/>
      <c r="K964" s="63">
        <f>IF(tblMovement[[#This Row],[Source]]="","",IFERROR(INDEX(tblSources[Type],MATCH(tblMovement[[#This Row],[Source]],tblSources[Source],0)),"?"))</f>
        <v/>
      </c>
      <c r="L964" s="63">
        <f>IF(tblMovement[[#This Row],[Destination]]="","",IFERROR(INDEX(tblDestinations[Type],MATCH(tblMovement[[#This Row],[Destination]],tblDestinations[Destination],0)),"?"))</f>
        <v/>
      </c>
      <c r="M964" s="64">
        <f>IF(tblMovement[[#This Row],[Material]]="","",IF(LEFT(tblMovement[[#This Row],[Material]],3)="Ore",1,0))</f>
        <v/>
      </c>
      <c r="N964" s="59">
        <f>IF(OR(tblMovement[[#This Row],[Tonnes_t]]="",tblMovement[[#This Row],[Grade_gpt]]=""),0,tblMovement[[#This Row],[Tonnes_t]]*tblMovement[[#This Row],[Grade_gpt]]/cfg_TroyOz)</f>
        <v/>
      </c>
      <c r="O964" s="59">
        <f>IF(tblMovement[[#This Row],[Is_Ore]]=1,tblMovement[[#This Row],[Contained_oz]],0)</f>
        <v/>
      </c>
    </row>
    <row r="965">
      <c r="A965" s="54" t="n"/>
      <c r="B965" s="61" t="n"/>
      <c r="C965" s="61" t="n"/>
      <c r="D965" s="61" t="n"/>
      <c r="E965" s="61" t="n"/>
      <c r="F965" s="55" t="n"/>
      <c r="G965" s="56" t="n"/>
      <c r="H965" s="55" t="n"/>
      <c r="I965" s="62" t="n"/>
      <c r="J965" s="58" t="n"/>
      <c r="K965" s="63">
        <f>IF(tblMovement[[#This Row],[Source]]="","",IFERROR(INDEX(tblSources[Type],MATCH(tblMovement[[#This Row],[Source]],tblSources[Source],0)),"?"))</f>
        <v/>
      </c>
      <c r="L965" s="63">
        <f>IF(tblMovement[[#This Row],[Destination]]="","",IFERROR(INDEX(tblDestinations[Type],MATCH(tblMovement[[#This Row],[Destination]],tblDestinations[Destination],0)),"?"))</f>
        <v/>
      </c>
      <c r="M965" s="64">
        <f>IF(tblMovement[[#This Row],[Material]]="","",IF(LEFT(tblMovement[[#This Row],[Material]],3)="Ore",1,0))</f>
        <v/>
      </c>
      <c r="N965" s="59">
        <f>IF(OR(tblMovement[[#This Row],[Tonnes_t]]="",tblMovement[[#This Row],[Grade_gpt]]=""),0,tblMovement[[#This Row],[Tonnes_t]]*tblMovement[[#This Row],[Grade_gpt]]/cfg_TroyOz)</f>
        <v/>
      </c>
      <c r="O965" s="59">
        <f>IF(tblMovement[[#This Row],[Is_Ore]]=1,tblMovement[[#This Row],[Contained_oz]],0)</f>
        <v/>
      </c>
    </row>
    <row r="966">
      <c r="A966" s="54" t="n"/>
      <c r="B966" s="61" t="n"/>
      <c r="C966" s="61" t="n"/>
      <c r="D966" s="61" t="n"/>
      <c r="E966" s="61" t="n"/>
      <c r="F966" s="55" t="n"/>
      <c r="G966" s="56" t="n"/>
      <c r="H966" s="55" t="n"/>
      <c r="I966" s="62" t="n"/>
      <c r="J966" s="58" t="n"/>
      <c r="K966" s="63">
        <f>IF(tblMovement[[#This Row],[Source]]="","",IFERROR(INDEX(tblSources[Type],MATCH(tblMovement[[#This Row],[Source]],tblSources[Source],0)),"?"))</f>
        <v/>
      </c>
      <c r="L966" s="63">
        <f>IF(tblMovement[[#This Row],[Destination]]="","",IFERROR(INDEX(tblDestinations[Type],MATCH(tblMovement[[#This Row],[Destination]],tblDestinations[Destination],0)),"?"))</f>
        <v/>
      </c>
      <c r="M966" s="64">
        <f>IF(tblMovement[[#This Row],[Material]]="","",IF(LEFT(tblMovement[[#This Row],[Material]],3)="Ore",1,0))</f>
        <v/>
      </c>
      <c r="N966" s="59">
        <f>IF(OR(tblMovement[[#This Row],[Tonnes_t]]="",tblMovement[[#This Row],[Grade_gpt]]=""),0,tblMovement[[#This Row],[Tonnes_t]]*tblMovement[[#This Row],[Grade_gpt]]/cfg_TroyOz)</f>
        <v/>
      </c>
      <c r="O966" s="59">
        <f>IF(tblMovement[[#This Row],[Is_Ore]]=1,tblMovement[[#This Row],[Contained_oz]],0)</f>
        <v/>
      </c>
    </row>
    <row r="967">
      <c r="A967" s="54" t="n"/>
      <c r="B967" s="61" t="n"/>
      <c r="C967" s="61" t="n"/>
      <c r="D967" s="61" t="n"/>
      <c r="E967" s="61" t="n"/>
      <c r="F967" s="55" t="n"/>
      <c r="G967" s="56" t="n"/>
      <c r="H967" s="55" t="n"/>
      <c r="I967" s="62" t="n"/>
      <c r="J967" s="58" t="n"/>
      <c r="K967" s="63">
        <f>IF(tblMovement[[#This Row],[Source]]="","",IFERROR(INDEX(tblSources[Type],MATCH(tblMovement[[#This Row],[Source]],tblSources[Source],0)),"?"))</f>
        <v/>
      </c>
      <c r="L967" s="63">
        <f>IF(tblMovement[[#This Row],[Destination]]="","",IFERROR(INDEX(tblDestinations[Type],MATCH(tblMovement[[#This Row],[Destination]],tblDestinations[Destination],0)),"?"))</f>
        <v/>
      </c>
      <c r="M967" s="64">
        <f>IF(tblMovement[[#This Row],[Material]]="","",IF(LEFT(tblMovement[[#This Row],[Material]],3)="Ore",1,0))</f>
        <v/>
      </c>
      <c r="N967" s="59">
        <f>IF(OR(tblMovement[[#This Row],[Tonnes_t]]="",tblMovement[[#This Row],[Grade_gpt]]=""),0,tblMovement[[#This Row],[Tonnes_t]]*tblMovement[[#This Row],[Grade_gpt]]/cfg_TroyOz)</f>
        <v/>
      </c>
      <c r="O967" s="59">
        <f>IF(tblMovement[[#This Row],[Is_Ore]]=1,tblMovement[[#This Row],[Contained_oz]],0)</f>
        <v/>
      </c>
    </row>
    <row r="968">
      <c r="A968" s="54" t="n"/>
      <c r="B968" s="61" t="n"/>
      <c r="C968" s="61" t="n"/>
      <c r="D968" s="61" t="n"/>
      <c r="E968" s="61" t="n"/>
      <c r="F968" s="55" t="n"/>
      <c r="G968" s="56" t="n"/>
      <c r="H968" s="55" t="n"/>
      <c r="I968" s="62" t="n"/>
      <c r="J968" s="58" t="n"/>
      <c r="K968" s="63">
        <f>IF(tblMovement[[#This Row],[Source]]="","",IFERROR(INDEX(tblSources[Type],MATCH(tblMovement[[#This Row],[Source]],tblSources[Source],0)),"?"))</f>
        <v/>
      </c>
      <c r="L968" s="63">
        <f>IF(tblMovement[[#This Row],[Destination]]="","",IFERROR(INDEX(tblDestinations[Type],MATCH(tblMovement[[#This Row],[Destination]],tblDestinations[Destination],0)),"?"))</f>
        <v/>
      </c>
      <c r="M968" s="64">
        <f>IF(tblMovement[[#This Row],[Material]]="","",IF(LEFT(tblMovement[[#This Row],[Material]],3)="Ore",1,0))</f>
        <v/>
      </c>
      <c r="N968" s="59">
        <f>IF(OR(tblMovement[[#This Row],[Tonnes_t]]="",tblMovement[[#This Row],[Grade_gpt]]=""),0,tblMovement[[#This Row],[Tonnes_t]]*tblMovement[[#This Row],[Grade_gpt]]/cfg_TroyOz)</f>
        <v/>
      </c>
      <c r="O968" s="59">
        <f>IF(tblMovement[[#This Row],[Is_Ore]]=1,tblMovement[[#This Row],[Contained_oz]],0)</f>
        <v/>
      </c>
    </row>
    <row r="969">
      <c r="A969" s="54" t="n"/>
      <c r="B969" s="61" t="n"/>
      <c r="C969" s="61" t="n"/>
      <c r="D969" s="61" t="n"/>
      <c r="E969" s="61" t="n"/>
      <c r="F969" s="55" t="n"/>
      <c r="G969" s="56" t="n"/>
      <c r="H969" s="55" t="n"/>
      <c r="I969" s="62" t="n"/>
      <c r="J969" s="58" t="n"/>
      <c r="K969" s="63">
        <f>IF(tblMovement[[#This Row],[Source]]="","",IFERROR(INDEX(tblSources[Type],MATCH(tblMovement[[#This Row],[Source]],tblSources[Source],0)),"?"))</f>
        <v/>
      </c>
      <c r="L969" s="63">
        <f>IF(tblMovement[[#This Row],[Destination]]="","",IFERROR(INDEX(tblDestinations[Type],MATCH(tblMovement[[#This Row],[Destination]],tblDestinations[Destination],0)),"?"))</f>
        <v/>
      </c>
      <c r="M969" s="64">
        <f>IF(tblMovement[[#This Row],[Material]]="","",IF(LEFT(tblMovement[[#This Row],[Material]],3)="Ore",1,0))</f>
        <v/>
      </c>
      <c r="N969" s="59">
        <f>IF(OR(tblMovement[[#This Row],[Tonnes_t]]="",tblMovement[[#This Row],[Grade_gpt]]=""),0,tblMovement[[#This Row],[Tonnes_t]]*tblMovement[[#This Row],[Grade_gpt]]/cfg_TroyOz)</f>
        <v/>
      </c>
      <c r="O969" s="59">
        <f>IF(tblMovement[[#This Row],[Is_Ore]]=1,tblMovement[[#This Row],[Contained_oz]],0)</f>
        <v/>
      </c>
    </row>
    <row r="970">
      <c r="A970" s="54" t="n"/>
      <c r="B970" s="61" t="n"/>
      <c r="C970" s="61" t="n"/>
      <c r="D970" s="61" t="n"/>
      <c r="E970" s="61" t="n"/>
      <c r="F970" s="55" t="n"/>
      <c r="G970" s="56" t="n"/>
      <c r="H970" s="55" t="n"/>
      <c r="I970" s="62" t="n"/>
      <c r="J970" s="58" t="n"/>
      <c r="K970" s="63">
        <f>IF(tblMovement[[#This Row],[Source]]="","",IFERROR(INDEX(tblSources[Type],MATCH(tblMovement[[#This Row],[Source]],tblSources[Source],0)),"?"))</f>
        <v/>
      </c>
      <c r="L970" s="63">
        <f>IF(tblMovement[[#This Row],[Destination]]="","",IFERROR(INDEX(tblDestinations[Type],MATCH(tblMovement[[#This Row],[Destination]],tblDestinations[Destination],0)),"?"))</f>
        <v/>
      </c>
      <c r="M970" s="64">
        <f>IF(tblMovement[[#This Row],[Material]]="","",IF(LEFT(tblMovement[[#This Row],[Material]],3)="Ore",1,0))</f>
        <v/>
      </c>
      <c r="N970" s="59">
        <f>IF(OR(tblMovement[[#This Row],[Tonnes_t]]="",tblMovement[[#This Row],[Grade_gpt]]=""),0,tblMovement[[#This Row],[Tonnes_t]]*tblMovement[[#This Row],[Grade_gpt]]/cfg_TroyOz)</f>
        <v/>
      </c>
      <c r="O970" s="59">
        <f>IF(tblMovement[[#This Row],[Is_Ore]]=1,tblMovement[[#This Row],[Contained_oz]],0)</f>
        <v/>
      </c>
    </row>
    <row r="971">
      <c r="A971" s="54" t="n"/>
      <c r="B971" s="61" t="n"/>
      <c r="C971" s="61" t="n"/>
      <c r="D971" s="61" t="n"/>
      <c r="E971" s="61" t="n"/>
      <c r="F971" s="55" t="n"/>
      <c r="G971" s="56" t="n"/>
      <c r="H971" s="55" t="n"/>
      <c r="I971" s="62" t="n"/>
      <c r="J971" s="58" t="n"/>
      <c r="K971" s="63">
        <f>IF(tblMovement[[#This Row],[Source]]="","",IFERROR(INDEX(tblSources[Type],MATCH(tblMovement[[#This Row],[Source]],tblSources[Source],0)),"?"))</f>
        <v/>
      </c>
      <c r="L971" s="63">
        <f>IF(tblMovement[[#This Row],[Destination]]="","",IFERROR(INDEX(tblDestinations[Type],MATCH(tblMovement[[#This Row],[Destination]],tblDestinations[Destination],0)),"?"))</f>
        <v/>
      </c>
      <c r="M971" s="64">
        <f>IF(tblMovement[[#This Row],[Material]]="","",IF(LEFT(tblMovement[[#This Row],[Material]],3)="Ore",1,0))</f>
        <v/>
      </c>
      <c r="N971" s="59">
        <f>IF(OR(tblMovement[[#This Row],[Tonnes_t]]="",tblMovement[[#This Row],[Grade_gpt]]=""),0,tblMovement[[#This Row],[Tonnes_t]]*tblMovement[[#This Row],[Grade_gpt]]/cfg_TroyOz)</f>
        <v/>
      </c>
      <c r="O971" s="59">
        <f>IF(tblMovement[[#This Row],[Is_Ore]]=1,tblMovement[[#This Row],[Contained_oz]],0)</f>
        <v/>
      </c>
    </row>
    <row r="972">
      <c r="A972" s="54" t="n"/>
      <c r="B972" s="61" t="n"/>
      <c r="C972" s="61" t="n"/>
      <c r="D972" s="61" t="n"/>
      <c r="E972" s="61" t="n"/>
      <c r="F972" s="55" t="n"/>
      <c r="G972" s="56" t="n"/>
      <c r="H972" s="55" t="n"/>
      <c r="I972" s="62" t="n"/>
      <c r="J972" s="58" t="n"/>
      <c r="K972" s="63">
        <f>IF(tblMovement[[#This Row],[Source]]="","",IFERROR(INDEX(tblSources[Type],MATCH(tblMovement[[#This Row],[Source]],tblSources[Source],0)),"?"))</f>
        <v/>
      </c>
      <c r="L972" s="63">
        <f>IF(tblMovement[[#This Row],[Destination]]="","",IFERROR(INDEX(tblDestinations[Type],MATCH(tblMovement[[#This Row],[Destination]],tblDestinations[Destination],0)),"?"))</f>
        <v/>
      </c>
      <c r="M972" s="64">
        <f>IF(tblMovement[[#This Row],[Material]]="","",IF(LEFT(tblMovement[[#This Row],[Material]],3)="Ore",1,0))</f>
        <v/>
      </c>
      <c r="N972" s="59">
        <f>IF(OR(tblMovement[[#This Row],[Tonnes_t]]="",tblMovement[[#This Row],[Grade_gpt]]=""),0,tblMovement[[#This Row],[Tonnes_t]]*tblMovement[[#This Row],[Grade_gpt]]/cfg_TroyOz)</f>
        <v/>
      </c>
      <c r="O972" s="59">
        <f>IF(tblMovement[[#This Row],[Is_Ore]]=1,tblMovement[[#This Row],[Contained_oz]],0)</f>
        <v/>
      </c>
    </row>
    <row r="973">
      <c r="A973" s="54" t="n"/>
      <c r="B973" s="61" t="n"/>
      <c r="C973" s="61" t="n"/>
      <c r="D973" s="61" t="n"/>
      <c r="E973" s="61" t="n"/>
      <c r="F973" s="55" t="n"/>
      <c r="G973" s="56" t="n"/>
      <c r="H973" s="55" t="n"/>
      <c r="I973" s="62" t="n"/>
      <c r="J973" s="58" t="n"/>
      <c r="K973" s="63">
        <f>IF(tblMovement[[#This Row],[Source]]="","",IFERROR(INDEX(tblSources[Type],MATCH(tblMovement[[#This Row],[Source]],tblSources[Source],0)),"?"))</f>
        <v/>
      </c>
      <c r="L973" s="63">
        <f>IF(tblMovement[[#This Row],[Destination]]="","",IFERROR(INDEX(tblDestinations[Type],MATCH(tblMovement[[#This Row],[Destination]],tblDestinations[Destination],0)),"?"))</f>
        <v/>
      </c>
      <c r="M973" s="64">
        <f>IF(tblMovement[[#This Row],[Material]]="","",IF(LEFT(tblMovement[[#This Row],[Material]],3)="Ore",1,0))</f>
        <v/>
      </c>
      <c r="N973" s="59">
        <f>IF(OR(tblMovement[[#This Row],[Tonnes_t]]="",tblMovement[[#This Row],[Grade_gpt]]=""),0,tblMovement[[#This Row],[Tonnes_t]]*tblMovement[[#This Row],[Grade_gpt]]/cfg_TroyOz)</f>
        <v/>
      </c>
      <c r="O973" s="59">
        <f>IF(tblMovement[[#This Row],[Is_Ore]]=1,tblMovement[[#This Row],[Contained_oz]],0)</f>
        <v/>
      </c>
    </row>
    <row r="974">
      <c r="A974" s="54" t="n"/>
      <c r="B974" s="61" t="n"/>
      <c r="C974" s="61" t="n"/>
      <c r="D974" s="61" t="n"/>
      <c r="E974" s="61" t="n"/>
      <c r="F974" s="55" t="n"/>
      <c r="G974" s="56" t="n"/>
      <c r="H974" s="55" t="n"/>
      <c r="I974" s="62" t="n"/>
      <c r="J974" s="58" t="n"/>
      <c r="K974" s="63">
        <f>IF(tblMovement[[#This Row],[Source]]="","",IFERROR(INDEX(tblSources[Type],MATCH(tblMovement[[#This Row],[Source]],tblSources[Source],0)),"?"))</f>
        <v/>
      </c>
      <c r="L974" s="63">
        <f>IF(tblMovement[[#This Row],[Destination]]="","",IFERROR(INDEX(tblDestinations[Type],MATCH(tblMovement[[#This Row],[Destination]],tblDestinations[Destination],0)),"?"))</f>
        <v/>
      </c>
      <c r="M974" s="64">
        <f>IF(tblMovement[[#This Row],[Material]]="","",IF(LEFT(tblMovement[[#This Row],[Material]],3)="Ore",1,0))</f>
        <v/>
      </c>
      <c r="N974" s="59">
        <f>IF(OR(tblMovement[[#This Row],[Tonnes_t]]="",tblMovement[[#This Row],[Grade_gpt]]=""),0,tblMovement[[#This Row],[Tonnes_t]]*tblMovement[[#This Row],[Grade_gpt]]/cfg_TroyOz)</f>
        <v/>
      </c>
      <c r="O974" s="59">
        <f>IF(tblMovement[[#This Row],[Is_Ore]]=1,tblMovement[[#This Row],[Contained_oz]],0)</f>
        <v/>
      </c>
    </row>
    <row r="975">
      <c r="A975" s="54" t="n"/>
      <c r="B975" s="61" t="n"/>
      <c r="C975" s="61" t="n"/>
      <c r="D975" s="61" t="n"/>
      <c r="E975" s="61" t="n"/>
      <c r="F975" s="55" t="n"/>
      <c r="G975" s="56" t="n"/>
      <c r="H975" s="55" t="n"/>
      <c r="I975" s="62" t="n"/>
      <c r="J975" s="58" t="n"/>
      <c r="K975" s="63">
        <f>IF(tblMovement[[#This Row],[Source]]="","",IFERROR(INDEX(tblSources[Type],MATCH(tblMovement[[#This Row],[Source]],tblSources[Source],0)),"?"))</f>
        <v/>
      </c>
      <c r="L975" s="63">
        <f>IF(tblMovement[[#This Row],[Destination]]="","",IFERROR(INDEX(tblDestinations[Type],MATCH(tblMovement[[#This Row],[Destination]],tblDestinations[Destination],0)),"?"))</f>
        <v/>
      </c>
      <c r="M975" s="64">
        <f>IF(tblMovement[[#This Row],[Material]]="","",IF(LEFT(tblMovement[[#This Row],[Material]],3)="Ore",1,0))</f>
        <v/>
      </c>
      <c r="N975" s="59">
        <f>IF(OR(tblMovement[[#This Row],[Tonnes_t]]="",tblMovement[[#This Row],[Grade_gpt]]=""),0,tblMovement[[#This Row],[Tonnes_t]]*tblMovement[[#This Row],[Grade_gpt]]/cfg_TroyOz)</f>
        <v/>
      </c>
      <c r="O975" s="59">
        <f>IF(tblMovement[[#This Row],[Is_Ore]]=1,tblMovement[[#This Row],[Contained_oz]],0)</f>
        <v/>
      </c>
    </row>
    <row r="976">
      <c r="A976" s="54" t="n"/>
      <c r="B976" s="61" t="n"/>
      <c r="C976" s="61" t="n"/>
      <c r="D976" s="61" t="n"/>
      <c r="E976" s="61" t="n"/>
      <c r="F976" s="55" t="n"/>
      <c r="G976" s="56" t="n"/>
      <c r="H976" s="55" t="n"/>
      <c r="I976" s="62" t="n"/>
      <c r="J976" s="58" t="n"/>
      <c r="K976" s="63">
        <f>IF(tblMovement[[#This Row],[Source]]="","",IFERROR(INDEX(tblSources[Type],MATCH(tblMovement[[#This Row],[Source]],tblSources[Source],0)),"?"))</f>
        <v/>
      </c>
      <c r="L976" s="63">
        <f>IF(tblMovement[[#This Row],[Destination]]="","",IFERROR(INDEX(tblDestinations[Type],MATCH(tblMovement[[#This Row],[Destination]],tblDestinations[Destination],0)),"?"))</f>
        <v/>
      </c>
      <c r="M976" s="64">
        <f>IF(tblMovement[[#This Row],[Material]]="","",IF(LEFT(tblMovement[[#This Row],[Material]],3)="Ore",1,0))</f>
        <v/>
      </c>
      <c r="N976" s="59">
        <f>IF(OR(tblMovement[[#This Row],[Tonnes_t]]="",tblMovement[[#This Row],[Grade_gpt]]=""),0,tblMovement[[#This Row],[Tonnes_t]]*tblMovement[[#This Row],[Grade_gpt]]/cfg_TroyOz)</f>
        <v/>
      </c>
      <c r="O976" s="59">
        <f>IF(tblMovement[[#This Row],[Is_Ore]]=1,tblMovement[[#This Row],[Contained_oz]],0)</f>
        <v/>
      </c>
    </row>
    <row r="977">
      <c r="A977" s="54" t="n"/>
      <c r="B977" s="61" t="n"/>
      <c r="C977" s="61" t="n"/>
      <c r="D977" s="61" t="n"/>
      <c r="E977" s="61" t="n"/>
      <c r="F977" s="55" t="n"/>
      <c r="G977" s="56" t="n"/>
      <c r="H977" s="55" t="n"/>
      <c r="I977" s="62" t="n"/>
      <c r="J977" s="58" t="n"/>
      <c r="K977" s="63">
        <f>IF(tblMovement[[#This Row],[Source]]="","",IFERROR(INDEX(tblSources[Type],MATCH(tblMovement[[#This Row],[Source]],tblSources[Source],0)),"?"))</f>
        <v/>
      </c>
      <c r="L977" s="63">
        <f>IF(tblMovement[[#This Row],[Destination]]="","",IFERROR(INDEX(tblDestinations[Type],MATCH(tblMovement[[#This Row],[Destination]],tblDestinations[Destination],0)),"?"))</f>
        <v/>
      </c>
      <c r="M977" s="64">
        <f>IF(tblMovement[[#This Row],[Material]]="","",IF(LEFT(tblMovement[[#This Row],[Material]],3)="Ore",1,0))</f>
        <v/>
      </c>
      <c r="N977" s="59">
        <f>IF(OR(tblMovement[[#This Row],[Tonnes_t]]="",tblMovement[[#This Row],[Grade_gpt]]=""),0,tblMovement[[#This Row],[Tonnes_t]]*tblMovement[[#This Row],[Grade_gpt]]/cfg_TroyOz)</f>
        <v/>
      </c>
      <c r="O977" s="59">
        <f>IF(tblMovement[[#This Row],[Is_Ore]]=1,tblMovement[[#This Row],[Contained_oz]],0)</f>
        <v/>
      </c>
    </row>
    <row r="978">
      <c r="A978" s="54" t="n"/>
      <c r="B978" s="61" t="n"/>
      <c r="C978" s="61" t="n"/>
      <c r="D978" s="61" t="n"/>
      <c r="E978" s="61" t="n"/>
      <c r="F978" s="55" t="n"/>
      <c r="G978" s="56" t="n"/>
      <c r="H978" s="55" t="n"/>
      <c r="I978" s="62" t="n"/>
      <c r="J978" s="58" t="n"/>
      <c r="K978" s="63">
        <f>IF(tblMovement[[#This Row],[Source]]="","",IFERROR(INDEX(tblSources[Type],MATCH(tblMovement[[#This Row],[Source]],tblSources[Source],0)),"?"))</f>
        <v/>
      </c>
      <c r="L978" s="63">
        <f>IF(tblMovement[[#This Row],[Destination]]="","",IFERROR(INDEX(tblDestinations[Type],MATCH(tblMovement[[#This Row],[Destination]],tblDestinations[Destination],0)),"?"))</f>
        <v/>
      </c>
      <c r="M978" s="64">
        <f>IF(tblMovement[[#This Row],[Material]]="","",IF(LEFT(tblMovement[[#This Row],[Material]],3)="Ore",1,0))</f>
        <v/>
      </c>
      <c r="N978" s="59">
        <f>IF(OR(tblMovement[[#This Row],[Tonnes_t]]="",tblMovement[[#This Row],[Grade_gpt]]=""),0,tblMovement[[#This Row],[Tonnes_t]]*tblMovement[[#This Row],[Grade_gpt]]/cfg_TroyOz)</f>
        <v/>
      </c>
      <c r="O978" s="59">
        <f>IF(tblMovement[[#This Row],[Is_Ore]]=1,tblMovement[[#This Row],[Contained_oz]],0)</f>
        <v/>
      </c>
    </row>
    <row r="979">
      <c r="A979" s="54" t="n"/>
      <c r="B979" s="61" t="n"/>
      <c r="C979" s="61" t="n"/>
      <c r="D979" s="61" t="n"/>
      <c r="E979" s="61" t="n"/>
      <c r="F979" s="55" t="n"/>
      <c r="G979" s="56" t="n"/>
      <c r="H979" s="55" t="n"/>
      <c r="I979" s="62" t="n"/>
      <c r="J979" s="58" t="n"/>
      <c r="K979" s="63">
        <f>IF(tblMovement[[#This Row],[Source]]="","",IFERROR(INDEX(tblSources[Type],MATCH(tblMovement[[#This Row],[Source]],tblSources[Source],0)),"?"))</f>
        <v/>
      </c>
      <c r="L979" s="63">
        <f>IF(tblMovement[[#This Row],[Destination]]="","",IFERROR(INDEX(tblDestinations[Type],MATCH(tblMovement[[#This Row],[Destination]],tblDestinations[Destination],0)),"?"))</f>
        <v/>
      </c>
      <c r="M979" s="64">
        <f>IF(tblMovement[[#This Row],[Material]]="","",IF(LEFT(tblMovement[[#This Row],[Material]],3)="Ore",1,0))</f>
        <v/>
      </c>
      <c r="N979" s="59">
        <f>IF(OR(tblMovement[[#This Row],[Tonnes_t]]="",tblMovement[[#This Row],[Grade_gpt]]=""),0,tblMovement[[#This Row],[Tonnes_t]]*tblMovement[[#This Row],[Grade_gpt]]/cfg_TroyOz)</f>
        <v/>
      </c>
      <c r="O979" s="59">
        <f>IF(tblMovement[[#This Row],[Is_Ore]]=1,tblMovement[[#This Row],[Contained_oz]],0)</f>
        <v/>
      </c>
    </row>
    <row r="980">
      <c r="A980" s="54" t="n"/>
      <c r="B980" s="61" t="n"/>
      <c r="C980" s="61" t="n"/>
      <c r="D980" s="61" t="n"/>
      <c r="E980" s="61" t="n"/>
      <c r="F980" s="55" t="n"/>
      <c r="G980" s="56" t="n"/>
      <c r="H980" s="55" t="n"/>
      <c r="I980" s="62" t="n"/>
      <c r="J980" s="58" t="n"/>
      <c r="K980" s="63">
        <f>IF(tblMovement[[#This Row],[Source]]="","",IFERROR(INDEX(tblSources[Type],MATCH(tblMovement[[#This Row],[Source]],tblSources[Source],0)),"?"))</f>
        <v/>
      </c>
      <c r="L980" s="63">
        <f>IF(tblMovement[[#This Row],[Destination]]="","",IFERROR(INDEX(tblDestinations[Type],MATCH(tblMovement[[#This Row],[Destination]],tblDestinations[Destination],0)),"?"))</f>
        <v/>
      </c>
      <c r="M980" s="64">
        <f>IF(tblMovement[[#This Row],[Material]]="","",IF(LEFT(tblMovement[[#This Row],[Material]],3)="Ore",1,0))</f>
        <v/>
      </c>
      <c r="N980" s="59">
        <f>IF(OR(tblMovement[[#This Row],[Tonnes_t]]="",tblMovement[[#This Row],[Grade_gpt]]=""),0,tblMovement[[#This Row],[Tonnes_t]]*tblMovement[[#This Row],[Grade_gpt]]/cfg_TroyOz)</f>
        <v/>
      </c>
      <c r="O980" s="59">
        <f>IF(tblMovement[[#This Row],[Is_Ore]]=1,tblMovement[[#This Row],[Contained_oz]],0)</f>
        <v/>
      </c>
    </row>
    <row r="981">
      <c r="A981" s="54" t="n"/>
      <c r="B981" s="61" t="n"/>
      <c r="C981" s="61" t="n"/>
      <c r="D981" s="61" t="n"/>
      <c r="E981" s="61" t="n"/>
      <c r="F981" s="55" t="n"/>
      <c r="G981" s="56" t="n"/>
      <c r="H981" s="55" t="n"/>
      <c r="I981" s="62" t="n"/>
      <c r="J981" s="58" t="n"/>
      <c r="K981" s="63">
        <f>IF(tblMovement[[#This Row],[Source]]="","",IFERROR(INDEX(tblSources[Type],MATCH(tblMovement[[#This Row],[Source]],tblSources[Source],0)),"?"))</f>
        <v/>
      </c>
      <c r="L981" s="63">
        <f>IF(tblMovement[[#This Row],[Destination]]="","",IFERROR(INDEX(tblDestinations[Type],MATCH(tblMovement[[#This Row],[Destination]],tblDestinations[Destination],0)),"?"))</f>
        <v/>
      </c>
      <c r="M981" s="64">
        <f>IF(tblMovement[[#This Row],[Material]]="","",IF(LEFT(tblMovement[[#This Row],[Material]],3)="Ore",1,0))</f>
        <v/>
      </c>
      <c r="N981" s="59">
        <f>IF(OR(tblMovement[[#This Row],[Tonnes_t]]="",tblMovement[[#This Row],[Grade_gpt]]=""),0,tblMovement[[#This Row],[Tonnes_t]]*tblMovement[[#This Row],[Grade_gpt]]/cfg_TroyOz)</f>
        <v/>
      </c>
      <c r="O981" s="59">
        <f>IF(tblMovement[[#This Row],[Is_Ore]]=1,tblMovement[[#This Row],[Contained_oz]],0)</f>
        <v/>
      </c>
    </row>
    <row r="982">
      <c r="A982" s="54" t="n"/>
      <c r="B982" s="61" t="n"/>
      <c r="C982" s="61" t="n"/>
      <c r="D982" s="61" t="n"/>
      <c r="E982" s="61" t="n"/>
      <c r="F982" s="55" t="n"/>
      <c r="G982" s="56" t="n"/>
      <c r="H982" s="55" t="n"/>
      <c r="I982" s="62" t="n"/>
      <c r="J982" s="58" t="n"/>
      <c r="K982" s="63">
        <f>IF(tblMovement[[#This Row],[Source]]="","",IFERROR(INDEX(tblSources[Type],MATCH(tblMovement[[#This Row],[Source]],tblSources[Source],0)),"?"))</f>
        <v/>
      </c>
      <c r="L982" s="63">
        <f>IF(tblMovement[[#This Row],[Destination]]="","",IFERROR(INDEX(tblDestinations[Type],MATCH(tblMovement[[#This Row],[Destination]],tblDestinations[Destination],0)),"?"))</f>
        <v/>
      </c>
      <c r="M982" s="64">
        <f>IF(tblMovement[[#This Row],[Material]]="","",IF(LEFT(tblMovement[[#This Row],[Material]],3)="Ore",1,0))</f>
        <v/>
      </c>
      <c r="N982" s="59">
        <f>IF(OR(tblMovement[[#This Row],[Tonnes_t]]="",tblMovement[[#This Row],[Grade_gpt]]=""),0,tblMovement[[#This Row],[Tonnes_t]]*tblMovement[[#This Row],[Grade_gpt]]/cfg_TroyOz)</f>
        <v/>
      </c>
      <c r="O982" s="59">
        <f>IF(tblMovement[[#This Row],[Is_Ore]]=1,tblMovement[[#This Row],[Contained_oz]],0)</f>
        <v/>
      </c>
    </row>
    <row r="983">
      <c r="A983" s="54" t="n"/>
      <c r="B983" s="61" t="n"/>
      <c r="C983" s="61" t="n"/>
      <c r="D983" s="61" t="n"/>
      <c r="E983" s="61" t="n"/>
      <c r="F983" s="55" t="n"/>
      <c r="G983" s="56" t="n"/>
      <c r="H983" s="55" t="n"/>
      <c r="I983" s="62" t="n"/>
      <c r="J983" s="58" t="n"/>
      <c r="K983" s="63">
        <f>IF(tblMovement[[#This Row],[Source]]="","",IFERROR(INDEX(tblSources[Type],MATCH(tblMovement[[#This Row],[Source]],tblSources[Source],0)),"?"))</f>
        <v/>
      </c>
      <c r="L983" s="63">
        <f>IF(tblMovement[[#This Row],[Destination]]="","",IFERROR(INDEX(tblDestinations[Type],MATCH(tblMovement[[#This Row],[Destination]],tblDestinations[Destination],0)),"?"))</f>
        <v/>
      </c>
      <c r="M983" s="64">
        <f>IF(tblMovement[[#This Row],[Material]]="","",IF(LEFT(tblMovement[[#This Row],[Material]],3)="Ore",1,0))</f>
        <v/>
      </c>
      <c r="N983" s="59">
        <f>IF(OR(tblMovement[[#This Row],[Tonnes_t]]="",tblMovement[[#This Row],[Grade_gpt]]=""),0,tblMovement[[#This Row],[Tonnes_t]]*tblMovement[[#This Row],[Grade_gpt]]/cfg_TroyOz)</f>
        <v/>
      </c>
      <c r="O983" s="59">
        <f>IF(tblMovement[[#This Row],[Is_Ore]]=1,tblMovement[[#This Row],[Contained_oz]],0)</f>
        <v/>
      </c>
    </row>
    <row r="984">
      <c r="A984" s="54" t="n"/>
      <c r="B984" s="61" t="n"/>
      <c r="C984" s="61" t="n"/>
      <c r="D984" s="61" t="n"/>
      <c r="E984" s="61" t="n"/>
      <c r="F984" s="55" t="n"/>
      <c r="G984" s="56" t="n"/>
      <c r="H984" s="55" t="n"/>
      <c r="I984" s="62" t="n"/>
      <c r="J984" s="58" t="n"/>
      <c r="K984" s="63">
        <f>IF(tblMovement[[#This Row],[Source]]="","",IFERROR(INDEX(tblSources[Type],MATCH(tblMovement[[#This Row],[Source]],tblSources[Source],0)),"?"))</f>
        <v/>
      </c>
      <c r="L984" s="63">
        <f>IF(tblMovement[[#This Row],[Destination]]="","",IFERROR(INDEX(tblDestinations[Type],MATCH(tblMovement[[#This Row],[Destination]],tblDestinations[Destination],0)),"?"))</f>
        <v/>
      </c>
      <c r="M984" s="64">
        <f>IF(tblMovement[[#This Row],[Material]]="","",IF(LEFT(tblMovement[[#This Row],[Material]],3)="Ore",1,0))</f>
        <v/>
      </c>
      <c r="N984" s="59">
        <f>IF(OR(tblMovement[[#This Row],[Tonnes_t]]="",tblMovement[[#This Row],[Grade_gpt]]=""),0,tblMovement[[#This Row],[Tonnes_t]]*tblMovement[[#This Row],[Grade_gpt]]/cfg_TroyOz)</f>
        <v/>
      </c>
      <c r="O984" s="59">
        <f>IF(tblMovement[[#This Row],[Is_Ore]]=1,tblMovement[[#This Row],[Contained_oz]],0)</f>
        <v/>
      </c>
    </row>
    <row r="985">
      <c r="A985" s="54" t="n"/>
      <c r="B985" s="61" t="n"/>
      <c r="C985" s="61" t="n"/>
      <c r="D985" s="61" t="n"/>
      <c r="E985" s="61" t="n"/>
      <c r="F985" s="55" t="n"/>
      <c r="G985" s="56" t="n"/>
      <c r="H985" s="55" t="n"/>
      <c r="I985" s="62" t="n"/>
      <c r="J985" s="58" t="n"/>
      <c r="K985" s="63">
        <f>IF(tblMovement[[#This Row],[Source]]="","",IFERROR(INDEX(tblSources[Type],MATCH(tblMovement[[#This Row],[Source]],tblSources[Source],0)),"?"))</f>
        <v/>
      </c>
      <c r="L985" s="63">
        <f>IF(tblMovement[[#This Row],[Destination]]="","",IFERROR(INDEX(tblDestinations[Type],MATCH(tblMovement[[#This Row],[Destination]],tblDestinations[Destination],0)),"?"))</f>
        <v/>
      </c>
      <c r="M985" s="64">
        <f>IF(tblMovement[[#This Row],[Material]]="","",IF(LEFT(tblMovement[[#This Row],[Material]],3)="Ore",1,0))</f>
        <v/>
      </c>
      <c r="N985" s="59">
        <f>IF(OR(tblMovement[[#This Row],[Tonnes_t]]="",tblMovement[[#This Row],[Grade_gpt]]=""),0,tblMovement[[#This Row],[Tonnes_t]]*tblMovement[[#This Row],[Grade_gpt]]/cfg_TroyOz)</f>
        <v/>
      </c>
      <c r="O985" s="59">
        <f>IF(tblMovement[[#This Row],[Is_Ore]]=1,tblMovement[[#This Row],[Contained_oz]],0)</f>
        <v/>
      </c>
    </row>
    <row r="986">
      <c r="A986" s="54" t="n"/>
      <c r="B986" s="61" t="n"/>
      <c r="C986" s="61" t="n"/>
      <c r="D986" s="61" t="n"/>
      <c r="E986" s="61" t="n"/>
      <c r="F986" s="55" t="n"/>
      <c r="G986" s="56" t="n"/>
      <c r="H986" s="55" t="n"/>
      <c r="I986" s="62" t="n"/>
      <c r="J986" s="58" t="n"/>
      <c r="K986" s="63">
        <f>IF(tblMovement[[#This Row],[Source]]="","",IFERROR(INDEX(tblSources[Type],MATCH(tblMovement[[#This Row],[Source]],tblSources[Source],0)),"?"))</f>
        <v/>
      </c>
      <c r="L986" s="63">
        <f>IF(tblMovement[[#This Row],[Destination]]="","",IFERROR(INDEX(tblDestinations[Type],MATCH(tblMovement[[#This Row],[Destination]],tblDestinations[Destination],0)),"?"))</f>
        <v/>
      </c>
      <c r="M986" s="64">
        <f>IF(tblMovement[[#This Row],[Material]]="","",IF(LEFT(tblMovement[[#This Row],[Material]],3)="Ore",1,0))</f>
        <v/>
      </c>
      <c r="N986" s="59">
        <f>IF(OR(tblMovement[[#This Row],[Tonnes_t]]="",tblMovement[[#This Row],[Grade_gpt]]=""),0,tblMovement[[#This Row],[Tonnes_t]]*tblMovement[[#This Row],[Grade_gpt]]/cfg_TroyOz)</f>
        <v/>
      </c>
      <c r="O986" s="59">
        <f>IF(tblMovement[[#This Row],[Is_Ore]]=1,tblMovement[[#This Row],[Contained_oz]],0)</f>
        <v/>
      </c>
    </row>
    <row r="987">
      <c r="A987" s="54" t="n"/>
      <c r="B987" s="61" t="n"/>
      <c r="C987" s="61" t="n"/>
      <c r="D987" s="61" t="n"/>
      <c r="E987" s="61" t="n"/>
      <c r="F987" s="55" t="n"/>
      <c r="G987" s="56" t="n"/>
      <c r="H987" s="55" t="n"/>
      <c r="I987" s="62" t="n"/>
      <c r="J987" s="58" t="n"/>
      <c r="K987" s="63">
        <f>IF(tblMovement[[#This Row],[Source]]="","",IFERROR(INDEX(tblSources[Type],MATCH(tblMovement[[#This Row],[Source]],tblSources[Source],0)),"?"))</f>
        <v/>
      </c>
      <c r="L987" s="63">
        <f>IF(tblMovement[[#This Row],[Destination]]="","",IFERROR(INDEX(tblDestinations[Type],MATCH(tblMovement[[#This Row],[Destination]],tblDestinations[Destination],0)),"?"))</f>
        <v/>
      </c>
      <c r="M987" s="64">
        <f>IF(tblMovement[[#This Row],[Material]]="","",IF(LEFT(tblMovement[[#This Row],[Material]],3)="Ore",1,0))</f>
        <v/>
      </c>
      <c r="N987" s="59">
        <f>IF(OR(tblMovement[[#This Row],[Tonnes_t]]="",tblMovement[[#This Row],[Grade_gpt]]=""),0,tblMovement[[#This Row],[Tonnes_t]]*tblMovement[[#This Row],[Grade_gpt]]/cfg_TroyOz)</f>
        <v/>
      </c>
      <c r="O987" s="59">
        <f>IF(tblMovement[[#This Row],[Is_Ore]]=1,tblMovement[[#This Row],[Contained_oz]],0)</f>
        <v/>
      </c>
    </row>
    <row r="988">
      <c r="A988" s="54" t="n"/>
      <c r="B988" s="61" t="n"/>
      <c r="C988" s="61" t="n"/>
      <c r="D988" s="61" t="n"/>
      <c r="E988" s="61" t="n"/>
      <c r="F988" s="55" t="n"/>
      <c r="G988" s="56" t="n"/>
      <c r="H988" s="55" t="n"/>
      <c r="I988" s="62" t="n"/>
      <c r="J988" s="58" t="n"/>
      <c r="K988" s="63">
        <f>IF(tblMovement[[#This Row],[Source]]="","",IFERROR(INDEX(tblSources[Type],MATCH(tblMovement[[#This Row],[Source]],tblSources[Source],0)),"?"))</f>
        <v/>
      </c>
      <c r="L988" s="63">
        <f>IF(tblMovement[[#This Row],[Destination]]="","",IFERROR(INDEX(tblDestinations[Type],MATCH(tblMovement[[#This Row],[Destination]],tblDestinations[Destination],0)),"?"))</f>
        <v/>
      </c>
      <c r="M988" s="64">
        <f>IF(tblMovement[[#This Row],[Material]]="","",IF(LEFT(tblMovement[[#This Row],[Material]],3)="Ore",1,0))</f>
        <v/>
      </c>
      <c r="N988" s="59">
        <f>IF(OR(tblMovement[[#This Row],[Tonnes_t]]="",tblMovement[[#This Row],[Grade_gpt]]=""),0,tblMovement[[#This Row],[Tonnes_t]]*tblMovement[[#This Row],[Grade_gpt]]/cfg_TroyOz)</f>
        <v/>
      </c>
      <c r="O988" s="59">
        <f>IF(tblMovement[[#This Row],[Is_Ore]]=1,tblMovement[[#This Row],[Contained_oz]],0)</f>
        <v/>
      </c>
    </row>
    <row r="989">
      <c r="A989" s="54" t="n"/>
      <c r="B989" s="61" t="n"/>
      <c r="C989" s="61" t="n"/>
      <c r="D989" s="61" t="n"/>
      <c r="E989" s="61" t="n"/>
      <c r="F989" s="55" t="n"/>
      <c r="G989" s="56" t="n"/>
      <c r="H989" s="55" t="n"/>
      <c r="I989" s="62" t="n"/>
      <c r="J989" s="58" t="n"/>
      <c r="K989" s="63">
        <f>IF(tblMovement[[#This Row],[Source]]="","",IFERROR(INDEX(tblSources[Type],MATCH(tblMovement[[#This Row],[Source]],tblSources[Source],0)),"?"))</f>
        <v/>
      </c>
      <c r="L989" s="63">
        <f>IF(tblMovement[[#This Row],[Destination]]="","",IFERROR(INDEX(tblDestinations[Type],MATCH(tblMovement[[#This Row],[Destination]],tblDestinations[Destination],0)),"?"))</f>
        <v/>
      </c>
      <c r="M989" s="64">
        <f>IF(tblMovement[[#This Row],[Material]]="","",IF(LEFT(tblMovement[[#This Row],[Material]],3)="Ore",1,0))</f>
        <v/>
      </c>
      <c r="N989" s="59">
        <f>IF(OR(tblMovement[[#This Row],[Tonnes_t]]="",tblMovement[[#This Row],[Grade_gpt]]=""),0,tblMovement[[#This Row],[Tonnes_t]]*tblMovement[[#This Row],[Grade_gpt]]/cfg_TroyOz)</f>
        <v/>
      </c>
      <c r="O989" s="59">
        <f>IF(tblMovement[[#This Row],[Is_Ore]]=1,tblMovement[[#This Row],[Contained_oz]],0)</f>
        <v/>
      </c>
    </row>
    <row r="990">
      <c r="A990" s="54" t="n"/>
      <c r="B990" s="61" t="n"/>
      <c r="C990" s="61" t="n"/>
      <c r="D990" s="61" t="n"/>
      <c r="E990" s="61" t="n"/>
      <c r="F990" s="55" t="n"/>
      <c r="G990" s="56" t="n"/>
      <c r="H990" s="55" t="n"/>
      <c r="I990" s="62" t="n"/>
      <c r="J990" s="58" t="n"/>
      <c r="K990" s="63">
        <f>IF(tblMovement[[#This Row],[Source]]="","",IFERROR(INDEX(tblSources[Type],MATCH(tblMovement[[#This Row],[Source]],tblSources[Source],0)),"?"))</f>
        <v/>
      </c>
      <c r="L990" s="63">
        <f>IF(tblMovement[[#This Row],[Destination]]="","",IFERROR(INDEX(tblDestinations[Type],MATCH(tblMovement[[#This Row],[Destination]],tblDestinations[Destination],0)),"?"))</f>
        <v/>
      </c>
      <c r="M990" s="64">
        <f>IF(tblMovement[[#This Row],[Material]]="","",IF(LEFT(tblMovement[[#This Row],[Material]],3)="Ore",1,0))</f>
        <v/>
      </c>
      <c r="N990" s="59">
        <f>IF(OR(tblMovement[[#This Row],[Tonnes_t]]="",tblMovement[[#This Row],[Grade_gpt]]=""),0,tblMovement[[#This Row],[Tonnes_t]]*tblMovement[[#This Row],[Grade_gpt]]/cfg_TroyOz)</f>
        <v/>
      </c>
      <c r="O990" s="59">
        <f>IF(tblMovement[[#This Row],[Is_Ore]]=1,tblMovement[[#This Row],[Contained_oz]],0)</f>
        <v/>
      </c>
    </row>
    <row r="991">
      <c r="A991" s="54" t="n"/>
      <c r="B991" s="61" t="n"/>
      <c r="C991" s="61" t="n"/>
      <c r="D991" s="61" t="n"/>
      <c r="E991" s="61" t="n"/>
      <c r="F991" s="55" t="n"/>
      <c r="G991" s="56" t="n"/>
      <c r="H991" s="55" t="n"/>
      <c r="I991" s="62" t="n"/>
      <c r="J991" s="58" t="n"/>
      <c r="K991" s="63">
        <f>IF(tblMovement[[#This Row],[Source]]="","",IFERROR(INDEX(tblSources[Type],MATCH(tblMovement[[#This Row],[Source]],tblSources[Source],0)),"?"))</f>
        <v/>
      </c>
      <c r="L991" s="63">
        <f>IF(tblMovement[[#This Row],[Destination]]="","",IFERROR(INDEX(tblDestinations[Type],MATCH(tblMovement[[#This Row],[Destination]],tblDestinations[Destination],0)),"?"))</f>
        <v/>
      </c>
      <c r="M991" s="64">
        <f>IF(tblMovement[[#This Row],[Material]]="","",IF(LEFT(tblMovement[[#This Row],[Material]],3)="Ore",1,0))</f>
        <v/>
      </c>
      <c r="N991" s="59">
        <f>IF(OR(tblMovement[[#This Row],[Tonnes_t]]="",tblMovement[[#This Row],[Grade_gpt]]=""),0,tblMovement[[#This Row],[Tonnes_t]]*tblMovement[[#This Row],[Grade_gpt]]/cfg_TroyOz)</f>
        <v/>
      </c>
      <c r="O991" s="59">
        <f>IF(tblMovement[[#This Row],[Is_Ore]]=1,tblMovement[[#This Row],[Contained_oz]],0)</f>
        <v/>
      </c>
    </row>
    <row r="992">
      <c r="A992" s="54" t="n"/>
      <c r="B992" s="61" t="n"/>
      <c r="C992" s="61" t="n"/>
      <c r="D992" s="61" t="n"/>
      <c r="E992" s="61" t="n"/>
      <c r="F992" s="55" t="n"/>
      <c r="G992" s="56" t="n"/>
      <c r="H992" s="55" t="n"/>
      <c r="I992" s="62" t="n"/>
      <c r="J992" s="58" t="n"/>
      <c r="K992" s="63">
        <f>IF(tblMovement[[#This Row],[Source]]="","",IFERROR(INDEX(tblSources[Type],MATCH(tblMovement[[#This Row],[Source]],tblSources[Source],0)),"?"))</f>
        <v/>
      </c>
      <c r="L992" s="63">
        <f>IF(tblMovement[[#This Row],[Destination]]="","",IFERROR(INDEX(tblDestinations[Type],MATCH(tblMovement[[#This Row],[Destination]],tblDestinations[Destination],0)),"?"))</f>
        <v/>
      </c>
      <c r="M992" s="64">
        <f>IF(tblMovement[[#This Row],[Material]]="","",IF(LEFT(tblMovement[[#This Row],[Material]],3)="Ore",1,0))</f>
        <v/>
      </c>
      <c r="N992" s="59">
        <f>IF(OR(tblMovement[[#This Row],[Tonnes_t]]="",tblMovement[[#This Row],[Grade_gpt]]=""),0,tblMovement[[#This Row],[Tonnes_t]]*tblMovement[[#This Row],[Grade_gpt]]/cfg_TroyOz)</f>
        <v/>
      </c>
      <c r="O992" s="59">
        <f>IF(tblMovement[[#This Row],[Is_Ore]]=1,tblMovement[[#This Row],[Contained_oz]],0)</f>
        <v/>
      </c>
    </row>
    <row r="993">
      <c r="A993" s="54" t="n"/>
      <c r="B993" s="61" t="n"/>
      <c r="C993" s="61" t="n"/>
      <c r="D993" s="61" t="n"/>
      <c r="E993" s="61" t="n"/>
      <c r="F993" s="55" t="n"/>
      <c r="G993" s="56" t="n"/>
      <c r="H993" s="55" t="n"/>
      <c r="I993" s="62" t="n"/>
      <c r="J993" s="58" t="n"/>
      <c r="K993" s="63">
        <f>IF(tblMovement[[#This Row],[Source]]="","",IFERROR(INDEX(tblSources[Type],MATCH(tblMovement[[#This Row],[Source]],tblSources[Source],0)),"?"))</f>
        <v/>
      </c>
      <c r="L993" s="63">
        <f>IF(tblMovement[[#This Row],[Destination]]="","",IFERROR(INDEX(tblDestinations[Type],MATCH(tblMovement[[#This Row],[Destination]],tblDestinations[Destination],0)),"?"))</f>
        <v/>
      </c>
      <c r="M993" s="64">
        <f>IF(tblMovement[[#This Row],[Material]]="","",IF(LEFT(tblMovement[[#This Row],[Material]],3)="Ore",1,0))</f>
        <v/>
      </c>
      <c r="N993" s="59">
        <f>IF(OR(tblMovement[[#This Row],[Tonnes_t]]="",tblMovement[[#This Row],[Grade_gpt]]=""),0,tblMovement[[#This Row],[Tonnes_t]]*tblMovement[[#This Row],[Grade_gpt]]/cfg_TroyOz)</f>
        <v/>
      </c>
      <c r="O993" s="59">
        <f>IF(tblMovement[[#This Row],[Is_Ore]]=1,tblMovement[[#This Row],[Contained_oz]],0)</f>
        <v/>
      </c>
    </row>
    <row r="994">
      <c r="A994" s="54" t="n"/>
      <c r="B994" s="61" t="n"/>
      <c r="C994" s="61" t="n"/>
      <c r="D994" s="61" t="n"/>
      <c r="E994" s="61" t="n"/>
      <c r="F994" s="55" t="n"/>
      <c r="G994" s="56" t="n"/>
      <c r="H994" s="55" t="n"/>
      <c r="I994" s="62" t="n"/>
      <c r="J994" s="58" t="n"/>
      <c r="K994" s="63">
        <f>IF(tblMovement[[#This Row],[Source]]="","",IFERROR(INDEX(tblSources[Type],MATCH(tblMovement[[#This Row],[Source]],tblSources[Source],0)),"?"))</f>
        <v/>
      </c>
      <c r="L994" s="63">
        <f>IF(tblMovement[[#This Row],[Destination]]="","",IFERROR(INDEX(tblDestinations[Type],MATCH(tblMovement[[#This Row],[Destination]],tblDestinations[Destination],0)),"?"))</f>
        <v/>
      </c>
      <c r="M994" s="64">
        <f>IF(tblMovement[[#This Row],[Material]]="","",IF(LEFT(tblMovement[[#This Row],[Material]],3)="Ore",1,0))</f>
        <v/>
      </c>
      <c r="N994" s="59">
        <f>IF(OR(tblMovement[[#This Row],[Tonnes_t]]="",tblMovement[[#This Row],[Grade_gpt]]=""),0,tblMovement[[#This Row],[Tonnes_t]]*tblMovement[[#This Row],[Grade_gpt]]/cfg_TroyOz)</f>
        <v/>
      </c>
      <c r="O994" s="59">
        <f>IF(tblMovement[[#This Row],[Is_Ore]]=1,tblMovement[[#This Row],[Contained_oz]],0)</f>
        <v/>
      </c>
    </row>
    <row r="995">
      <c r="A995" s="54" t="n"/>
      <c r="B995" s="61" t="n"/>
      <c r="C995" s="61" t="n"/>
      <c r="D995" s="61" t="n"/>
      <c r="E995" s="61" t="n"/>
      <c r="F995" s="55" t="n"/>
      <c r="G995" s="56" t="n"/>
      <c r="H995" s="55" t="n"/>
      <c r="I995" s="62" t="n"/>
      <c r="J995" s="58" t="n"/>
      <c r="K995" s="63">
        <f>IF(tblMovement[[#This Row],[Source]]="","",IFERROR(INDEX(tblSources[Type],MATCH(tblMovement[[#This Row],[Source]],tblSources[Source],0)),"?"))</f>
        <v/>
      </c>
      <c r="L995" s="63">
        <f>IF(tblMovement[[#This Row],[Destination]]="","",IFERROR(INDEX(tblDestinations[Type],MATCH(tblMovement[[#This Row],[Destination]],tblDestinations[Destination],0)),"?"))</f>
        <v/>
      </c>
      <c r="M995" s="64">
        <f>IF(tblMovement[[#This Row],[Material]]="","",IF(LEFT(tblMovement[[#This Row],[Material]],3)="Ore",1,0))</f>
        <v/>
      </c>
      <c r="N995" s="59">
        <f>IF(OR(tblMovement[[#This Row],[Tonnes_t]]="",tblMovement[[#This Row],[Grade_gpt]]=""),0,tblMovement[[#This Row],[Tonnes_t]]*tblMovement[[#This Row],[Grade_gpt]]/cfg_TroyOz)</f>
        <v/>
      </c>
      <c r="O995" s="59">
        <f>IF(tblMovement[[#This Row],[Is_Ore]]=1,tblMovement[[#This Row],[Contained_oz]],0)</f>
        <v/>
      </c>
    </row>
    <row r="996">
      <c r="A996" s="54" t="n"/>
      <c r="B996" s="61" t="n"/>
      <c r="C996" s="61" t="n"/>
      <c r="D996" s="61" t="n"/>
      <c r="E996" s="61" t="n"/>
      <c r="F996" s="55" t="n"/>
      <c r="G996" s="56" t="n"/>
      <c r="H996" s="55" t="n"/>
      <c r="I996" s="62" t="n"/>
      <c r="J996" s="58" t="n"/>
      <c r="K996" s="63">
        <f>IF(tblMovement[[#This Row],[Source]]="","",IFERROR(INDEX(tblSources[Type],MATCH(tblMovement[[#This Row],[Source]],tblSources[Source],0)),"?"))</f>
        <v/>
      </c>
      <c r="L996" s="63">
        <f>IF(tblMovement[[#This Row],[Destination]]="","",IFERROR(INDEX(tblDestinations[Type],MATCH(tblMovement[[#This Row],[Destination]],tblDestinations[Destination],0)),"?"))</f>
        <v/>
      </c>
      <c r="M996" s="64">
        <f>IF(tblMovement[[#This Row],[Material]]="","",IF(LEFT(tblMovement[[#This Row],[Material]],3)="Ore",1,0))</f>
        <v/>
      </c>
      <c r="N996" s="59">
        <f>IF(OR(tblMovement[[#This Row],[Tonnes_t]]="",tblMovement[[#This Row],[Grade_gpt]]=""),0,tblMovement[[#This Row],[Tonnes_t]]*tblMovement[[#This Row],[Grade_gpt]]/cfg_TroyOz)</f>
        <v/>
      </c>
      <c r="O996" s="59">
        <f>IF(tblMovement[[#This Row],[Is_Ore]]=1,tblMovement[[#This Row],[Contained_oz]],0)</f>
        <v/>
      </c>
    </row>
    <row r="997">
      <c r="A997" s="54" t="n"/>
      <c r="B997" s="61" t="n"/>
      <c r="C997" s="61" t="n"/>
      <c r="D997" s="61" t="n"/>
      <c r="E997" s="61" t="n"/>
      <c r="F997" s="55" t="n"/>
      <c r="G997" s="56" t="n"/>
      <c r="H997" s="55" t="n"/>
      <c r="I997" s="62" t="n"/>
      <c r="J997" s="58" t="n"/>
      <c r="K997" s="63">
        <f>IF(tblMovement[[#This Row],[Source]]="","",IFERROR(INDEX(tblSources[Type],MATCH(tblMovement[[#This Row],[Source]],tblSources[Source],0)),"?"))</f>
        <v/>
      </c>
      <c r="L997" s="63">
        <f>IF(tblMovement[[#This Row],[Destination]]="","",IFERROR(INDEX(tblDestinations[Type],MATCH(tblMovement[[#This Row],[Destination]],tblDestinations[Destination],0)),"?"))</f>
        <v/>
      </c>
      <c r="M997" s="64">
        <f>IF(tblMovement[[#This Row],[Material]]="","",IF(LEFT(tblMovement[[#This Row],[Material]],3)="Ore",1,0))</f>
        <v/>
      </c>
      <c r="N997" s="59">
        <f>IF(OR(tblMovement[[#This Row],[Tonnes_t]]="",tblMovement[[#This Row],[Grade_gpt]]=""),0,tblMovement[[#This Row],[Tonnes_t]]*tblMovement[[#This Row],[Grade_gpt]]/cfg_TroyOz)</f>
        <v/>
      </c>
      <c r="O997" s="59">
        <f>IF(tblMovement[[#This Row],[Is_Ore]]=1,tblMovement[[#This Row],[Contained_oz]],0)</f>
        <v/>
      </c>
    </row>
    <row r="998">
      <c r="A998" s="54" t="n"/>
      <c r="B998" s="61" t="n"/>
      <c r="C998" s="61" t="n"/>
      <c r="D998" s="61" t="n"/>
      <c r="E998" s="61" t="n"/>
      <c r="F998" s="55" t="n"/>
      <c r="G998" s="56" t="n"/>
      <c r="H998" s="55" t="n"/>
      <c r="I998" s="62" t="n"/>
      <c r="J998" s="58" t="n"/>
      <c r="K998" s="63">
        <f>IF(tblMovement[[#This Row],[Source]]="","",IFERROR(INDEX(tblSources[Type],MATCH(tblMovement[[#This Row],[Source]],tblSources[Source],0)),"?"))</f>
        <v/>
      </c>
      <c r="L998" s="63">
        <f>IF(tblMovement[[#This Row],[Destination]]="","",IFERROR(INDEX(tblDestinations[Type],MATCH(tblMovement[[#This Row],[Destination]],tblDestinations[Destination],0)),"?"))</f>
        <v/>
      </c>
      <c r="M998" s="64">
        <f>IF(tblMovement[[#This Row],[Material]]="","",IF(LEFT(tblMovement[[#This Row],[Material]],3)="Ore",1,0))</f>
        <v/>
      </c>
      <c r="N998" s="59">
        <f>IF(OR(tblMovement[[#This Row],[Tonnes_t]]="",tblMovement[[#This Row],[Grade_gpt]]=""),0,tblMovement[[#This Row],[Tonnes_t]]*tblMovement[[#This Row],[Grade_gpt]]/cfg_TroyOz)</f>
        <v/>
      </c>
      <c r="O998" s="59">
        <f>IF(tblMovement[[#This Row],[Is_Ore]]=1,tblMovement[[#This Row],[Contained_oz]],0)</f>
        <v/>
      </c>
    </row>
    <row r="999">
      <c r="A999" s="54" t="n"/>
      <c r="B999" s="61" t="n"/>
      <c r="C999" s="61" t="n"/>
      <c r="D999" s="61" t="n"/>
      <c r="E999" s="61" t="n"/>
      <c r="F999" s="55" t="n"/>
      <c r="G999" s="56" t="n"/>
      <c r="H999" s="55" t="n"/>
      <c r="I999" s="62" t="n"/>
      <c r="J999" s="58" t="n"/>
      <c r="K999" s="63">
        <f>IF(tblMovement[[#This Row],[Source]]="","",IFERROR(INDEX(tblSources[Type],MATCH(tblMovement[[#This Row],[Source]],tblSources[Source],0)),"?"))</f>
        <v/>
      </c>
      <c r="L999" s="63">
        <f>IF(tblMovement[[#This Row],[Destination]]="","",IFERROR(INDEX(tblDestinations[Type],MATCH(tblMovement[[#This Row],[Destination]],tblDestinations[Destination],0)),"?"))</f>
        <v/>
      </c>
      <c r="M999" s="64">
        <f>IF(tblMovement[[#This Row],[Material]]="","",IF(LEFT(tblMovement[[#This Row],[Material]],3)="Ore",1,0))</f>
        <v/>
      </c>
      <c r="N999" s="59">
        <f>IF(OR(tblMovement[[#This Row],[Tonnes_t]]="",tblMovement[[#This Row],[Grade_gpt]]=""),0,tblMovement[[#This Row],[Tonnes_t]]*tblMovement[[#This Row],[Grade_gpt]]/cfg_TroyOz)</f>
        <v/>
      </c>
      <c r="O999" s="59">
        <f>IF(tblMovement[[#This Row],[Is_Ore]]=1,tblMovement[[#This Row],[Contained_oz]],0)</f>
        <v/>
      </c>
    </row>
    <row r="1000">
      <c r="A1000" s="54" t="n"/>
      <c r="B1000" s="61" t="n"/>
      <c r="C1000" s="61" t="n"/>
      <c r="D1000" s="61" t="n"/>
      <c r="E1000" s="61" t="n"/>
      <c r="F1000" s="55" t="n"/>
      <c r="G1000" s="56" t="n"/>
      <c r="H1000" s="55" t="n"/>
      <c r="I1000" s="62" t="n"/>
      <c r="J1000" s="58" t="n"/>
      <c r="K1000" s="63">
        <f>IF(tblMovement[[#This Row],[Source]]="","",IFERROR(INDEX(tblSources[Type],MATCH(tblMovement[[#This Row],[Source]],tblSources[Source],0)),"?"))</f>
        <v/>
      </c>
      <c r="L1000" s="63">
        <f>IF(tblMovement[[#This Row],[Destination]]="","",IFERROR(INDEX(tblDestinations[Type],MATCH(tblMovement[[#This Row],[Destination]],tblDestinations[Destination],0)),"?"))</f>
        <v/>
      </c>
      <c r="M1000" s="64">
        <f>IF(tblMovement[[#This Row],[Material]]="","",IF(LEFT(tblMovement[[#This Row],[Material]],3)="Ore",1,0))</f>
        <v/>
      </c>
      <c r="N1000" s="59">
        <f>IF(OR(tblMovement[[#This Row],[Tonnes_t]]="",tblMovement[[#This Row],[Grade_gpt]]=""),0,tblMovement[[#This Row],[Tonnes_t]]*tblMovement[[#This Row],[Grade_gpt]]/cfg_TroyOz)</f>
        <v/>
      </c>
      <c r="O1000" s="59">
        <f>IF(tblMovement[[#This Row],[Is_Ore]]=1,tblMovement[[#This Row],[Contained_oz]],0)</f>
        <v/>
      </c>
    </row>
    <row r="1001">
      <c r="A1001" s="54" t="n"/>
      <c r="B1001" s="61" t="n"/>
      <c r="C1001" s="61" t="n"/>
      <c r="D1001" s="61" t="n"/>
      <c r="E1001" s="61" t="n"/>
      <c r="F1001" s="55" t="n"/>
      <c r="G1001" s="56" t="n"/>
      <c r="H1001" s="55" t="n"/>
      <c r="I1001" s="62" t="n"/>
      <c r="J1001" s="58" t="n"/>
      <c r="K1001" s="63">
        <f>IF(tblMovement[[#This Row],[Source]]="","",IFERROR(INDEX(tblSources[Type],MATCH(tblMovement[[#This Row],[Source]],tblSources[Source],0)),"?"))</f>
        <v/>
      </c>
      <c r="L1001" s="63">
        <f>IF(tblMovement[[#This Row],[Destination]]="","",IFERROR(INDEX(tblDestinations[Type],MATCH(tblMovement[[#This Row],[Destination]],tblDestinations[Destination],0)),"?"))</f>
        <v/>
      </c>
      <c r="M1001" s="64">
        <f>IF(tblMovement[[#This Row],[Material]]="","",IF(LEFT(tblMovement[[#This Row],[Material]],3)="Ore",1,0))</f>
        <v/>
      </c>
      <c r="N1001" s="59">
        <f>IF(OR(tblMovement[[#This Row],[Tonnes_t]]="",tblMovement[[#This Row],[Grade_gpt]]=""),0,tblMovement[[#This Row],[Tonnes_t]]*tblMovement[[#This Row],[Grade_gpt]]/cfg_TroyOz)</f>
        <v/>
      </c>
      <c r="O1001" s="59">
        <f>IF(tblMovement[[#This Row],[Is_Ore]]=1,tblMovement[[#This Row],[Contained_oz]],0)</f>
        <v/>
      </c>
    </row>
    <row r="1002">
      <c r="A1002" s="54" t="n"/>
      <c r="B1002" s="61" t="n"/>
      <c r="C1002" s="61" t="n"/>
      <c r="D1002" s="61" t="n"/>
      <c r="E1002" s="61" t="n"/>
      <c r="F1002" s="55" t="n"/>
      <c r="G1002" s="56" t="n"/>
      <c r="H1002" s="55" t="n"/>
      <c r="I1002" s="62" t="n"/>
      <c r="J1002" s="58" t="n"/>
      <c r="K1002" s="63">
        <f>IF(tblMovement[[#This Row],[Source]]="","",IFERROR(INDEX(tblSources[Type],MATCH(tblMovement[[#This Row],[Source]],tblSources[Source],0)),"?"))</f>
        <v/>
      </c>
      <c r="L1002" s="63">
        <f>IF(tblMovement[[#This Row],[Destination]]="","",IFERROR(INDEX(tblDestinations[Type],MATCH(tblMovement[[#This Row],[Destination]],tblDestinations[Destination],0)),"?"))</f>
        <v/>
      </c>
      <c r="M1002" s="64">
        <f>IF(tblMovement[[#This Row],[Material]]="","",IF(LEFT(tblMovement[[#This Row],[Material]],3)="Ore",1,0))</f>
        <v/>
      </c>
      <c r="N1002" s="59">
        <f>IF(OR(tblMovement[[#This Row],[Tonnes_t]]="",tblMovement[[#This Row],[Grade_gpt]]=""),0,tblMovement[[#This Row],[Tonnes_t]]*tblMovement[[#This Row],[Grade_gpt]]/cfg_TroyOz)</f>
        <v/>
      </c>
      <c r="O1002" s="59">
        <f>IF(tblMovement[[#This Row],[Is_Ore]]=1,tblMovement[[#This Row],[Contained_oz]],0)</f>
        <v/>
      </c>
    </row>
    <row r="1003">
      <c r="A1003" s="54" t="n"/>
      <c r="B1003" s="61" t="n"/>
      <c r="C1003" s="61" t="n"/>
      <c r="D1003" s="61" t="n"/>
      <c r="E1003" s="61" t="n"/>
      <c r="F1003" s="55" t="n"/>
      <c r="G1003" s="56" t="n"/>
      <c r="H1003" s="55" t="n"/>
      <c r="I1003" s="62" t="n"/>
      <c r="J1003" s="58" t="n"/>
      <c r="K1003" s="63">
        <f>IF(tblMovement[[#This Row],[Source]]="","",IFERROR(INDEX(tblSources[Type],MATCH(tblMovement[[#This Row],[Source]],tblSources[Source],0)),"?"))</f>
        <v/>
      </c>
      <c r="L1003" s="63">
        <f>IF(tblMovement[[#This Row],[Destination]]="","",IFERROR(INDEX(tblDestinations[Type],MATCH(tblMovement[[#This Row],[Destination]],tblDestinations[Destination],0)),"?"))</f>
        <v/>
      </c>
      <c r="M1003" s="64">
        <f>IF(tblMovement[[#This Row],[Material]]="","",IF(LEFT(tblMovement[[#This Row],[Material]],3)="Ore",1,0))</f>
        <v/>
      </c>
      <c r="N1003" s="59">
        <f>IF(OR(tblMovement[[#This Row],[Tonnes_t]]="",tblMovement[[#This Row],[Grade_gpt]]=""),0,tblMovement[[#This Row],[Tonnes_t]]*tblMovement[[#This Row],[Grade_gpt]]/cfg_TroyOz)</f>
        <v/>
      </c>
      <c r="O1003" s="59">
        <f>IF(tblMovement[[#This Row],[Is_Ore]]=1,tblMovement[[#This Row],[Contained_oz]],0)</f>
        <v/>
      </c>
    </row>
    <row r="1004">
      <c r="A1004" s="54" t="n"/>
      <c r="B1004" s="61" t="n"/>
      <c r="C1004" s="61" t="n"/>
      <c r="D1004" s="61" t="n"/>
      <c r="E1004" s="61" t="n"/>
      <c r="F1004" s="55" t="n"/>
      <c r="G1004" s="56" t="n"/>
      <c r="H1004" s="55" t="n"/>
      <c r="I1004" s="62" t="n"/>
      <c r="J1004" s="58" t="n"/>
      <c r="K1004" s="63">
        <f>IF(tblMovement[[#This Row],[Source]]="","",IFERROR(INDEX(tblSources[Type],MATCH(tblMovement[[#This Row],[Source]],tblSources[Source],0)),"?"))</f>
        <v/>
      </c>
      <c r="L1004" s="63">
        <f>IF(tblMovement[[#This Row],[Destination]]="","",IFERROR(INDEX(tblDestinations[Type],MATCH(tblMovement[[#This Row],[Destination]],tblDestinations[Destination],0)),"?"))</f>
        <v/>
      </c>
      <c r="M1004" s="64">
        <f>IF(tblMovement[[#This Row],[Material]]="","",IF(LEFT(tblMovement[[#This Row],[Material]],3)="Ore",1,0))</f>
        <v/>
      </c>
      <c r="N1004" s="59">
        <f>IF(OR(tblMovement[[#This Row],[Tonnes_t]]="",tblMovement[[#This Row],[Grade_gpt]]=""),0,tblMovement[[#This Row],[Tonnes_t]]*tblMovement[[#This Row],[Grade_gpt]]/cfg_TroyOz)</f>
        <v/>
      </c>
      <c r="O1004" s="59">
        <f>IF(tblMovement[[#This Row],[Is_Ore]]=1,tblMovement[[#This Row],[Contained_oz]],0)</f>
        <v/>
      </c>
    </row>
    <row r="1005">
      <c r="A1005" s="54" t="n"/>
      <c r="B1005" s="61" t="n"/>
      <c r="C1005" s="61" t="n"/>
      <c r="D1005" s="61" t="n"/>
      <c r="E1005" s="61" t="n"/>
      <c r="F1005" s="55" t="n"/>
      <c r="G1005" s="56" t="n"/>
      <c r="H1005" s="55" t="n"/>
      <c r="I1005" s="62" t="n"/>
      <c r="J1005" s="58" t="n"/>
      <c r="K1005" s="63">
        <f>IF(tblMovement[[#This Row],[Source]]="","",IFERROR(INDEX(tblSources[Type],MATCH(tblMovement[[#This Row],[Source]],tblSources[Source],0)),"?"))</f>
        <v/>
      </c>
      <c r="L1005" s="63">
        <f>IF(tblMovement[[#This Row],[Destination]]="","",IFERROR(INDEX(tblDestinations[Type],MATCH(tblMovement[[#This Row],[Destination]],tblDestinations[Destination],0)),"?"))</f>
        <v/>
      </c>
      <c r="M1005" s="64">
        <f>IF(tblMovement[[#This Row],[Material]]="","",IF(LEFT(tblMovement[[#This Row],[Material]],3)="Ore",1,0))</f>
        <v/>
      </c>
      <c r="N1005" s="59">
        <f>IF(OR(tblMovement[[#This Row],[Tonnes_t]]="",tblMovement[[#This Row],[Grade_gpt]]=""),0,tblMovement[[#This Row],[Tonnes_t]]*tblMovement[[#This Row],[Grade_gpt]]/cfg_TroyOz)</f>
        <v/>
      </c>
      <c r="O1005" s="59">
        <f>IF(tblMovement[[#This Row],[Is_Ore]]=1,tblMovement[[#This Row],[Contained_oz]],0)</f>
        <v/>
      </c>
    </row>
    <row r="1006">
      <c r="A1006" s="54" t="n"/>
      <c r="B1006" s="61" t="n"/>
      <c r="C1006" s="61" t="n"/>
      <c r="D1006" s="61" t="n"/>
      <c r="E1006" s="61" t="n"/>
      <c r="F1006" s="55" t="n"/>
      <c r="G1006" s="56" t="n"/>
      <c r="H1006" s="55" t="n"/>
      <c r="I1006" s="62" t="n"/>
      <c r="J1006" s="58" t="n"/>
      <c r="K1006" s="63">
        <f>IF(tblMovement[[#This Row],[Source]]="","",IFERROR(INDEX(tblSources[Type],MATCH(tblMovement[[#This Row],[Source]],tblSources[Source],0)),"?"))</f>
        <v/>
      </c>
      <c r="L1006" s="63">
        <f>IF(tblMovement[[#This Row],[Destination]]="","",IFERROR(INDEX(tblDestinations[Type],MATCH(tblMovement[[#This Row],[Destination]],tblDestinations[Destination],0)),"?"))</f>
        <v/>
      </c>
      <c r="M1006" s="64">
        <f>IF(tblMovement[[#This Row],[Material]]="","",IF(LEFT(tblMovement[[#This Row],[Material]],3)="Ore",1,0))</f>
        <v/>
      </c>
      <c r="N1006" s="59">
        <f>IF(OR(tblMovement[[#This Row],[Tonnes_t]]="",tblMovement[[#This Row],[Grade_gpt]]=""),0,tblMovement[[#This Row],[Tonnes_t]]*tblMovement[[#This Row],[Grade_gpt]]/cfg_TroyOz)</f>
        <v/>
      </c>
      <c r="O1006" s="59">
        <f>IF(tblMovement[[#This Row],[Is_Ore]]=1,tblMovement[[#This Row],[Contained_oz]],0)</f>
        <v/>
      </c>
    </row>
    <row r="1007">
      <c r="A1007" s="54" t="n"/>
      <c r="B1007" s="61" t="n"/>
      <c r="C1007" s="61" t="n"/>
      <c r="D1007" s="61" t="n"/>
      <c r="E1007" s="61" t="n"/>
      <c r="F1007" s="55" t="n"/>
      <c r="G1007" s="56" t="n"/>
      <c r="H1007" s="55" t="n"/>
      <c r="I1007" s="62" t="n"/>
      <c r="J1007" s="58" t="n"/>
      <c r="K1007" s="63">
        <f>IF(tblMovement[[#This Row],[Source]]="","",IFERROR(INDEX(tblSources[Type],MATCH(tblMovement[[#This Row],[Source]],tblSources[Source],0)),"?"))</f>
        <v/>
      </c>
      <c r="L1007" s="63">
        <f>IF(tblMovement[[#This Row],[Destination]]="","",IFERROR(INDEX(tblDestinations[Type],MATCH(tblMovement[[#This Row],[Destination]],tblDestinations[Destination],0)),"?"))</f>
        <v/>
      </c>
      <c r="M1007" s="64">
        <f>IF(tblMovement[[#This Row],[Material]]="","",IF(LEFT(tblMovement[[#This Row],[Material]],3)="Ore",1,0))</f>
        <v/>
      </c>
      <c r="N1007" s="59">
        <f>IF(OR(tblMovement[[#This Row],[Tonnes_t]]="",tblMovement[[#This Row],[Grade_gpt]]=""),0,tblMovement[[#This Row],[Tonnes_t]]*tblMovement[[#This Row],[Grade_gpt]]/cfg_TroyOz)</f>
        <v/>
      </c>
      <c r="O1007" s="59">
        <f>IF(tblMovement[[#This Row],[Is_Ore]]=1,tblMovement[[#This Row],[Contained_oz]],0)</f>
        <v/>
      </c>
    </row>
    <row r="1008">
      <c r="A1008" s="54" t="n"/>
      <c r="B1008" s="61" t="n"/>
      <c r="C1008" s="61" t="n"/>
      <c r="D1008" s="61" t="n"/>
      <c r="E1008" s="61" t="n"/>
      <c r="F1008" s="55" t="n"/>
      <c r="G1008" s="56" t="n"/>
      <c r="H1008" s="55" t="n"/>
      <c r="I1008" s="62" t="n"/>
      <c r="J1008" s="58" t="n"/>
      <c r="K1008" s="63">
        <f>IF(tblMovement[[#This Row],[Source]]="","",IFERROR(INDEX(tblSources[Type],MATCH(tblMovement[[#This Row],[Source]],tblSources[Source],0)),"?"))</f>
        <v/>
      </c>
      <c r="L1008" s="63">
        <f>IF(tblMovement[[#This Row],[Destination]]="","",IFERROR(INDEX(tblDestinations[Type],MATCH(tblMovement[[#This Row],[Destination]],tblDestinations[Destination],0)),"?"))</f>
        <v/>
      </c>
      <c r="M1008" s="64">
        <f>IF(tblMovement[[#This Row],[Material]]="","",IF(LEFT(tblMovement[[#This Row],[Material]],3)="Ore",1,0))</f>
        <v/>
      </c>
      <c r="N1008" s="59">
        <f>IF(OR(tblMovement[[#This Row],[Tonnes_t]]="",tblMovement[[#This Row],[Grade_gpt]]=""),0,tblMovement[[#This Row],[Tonnes_t]]*tblMovement[[#This Row],[Grade_gpt]]/cfg_TroyOz)</f>
        <v/>
      </c>
      <c r="O1008" s="59">
        <f>IF(tblMovement[[#This Row],[Is_Ore]]=1,tblMovement[[#This Row],[Contained_oz]],0)</f>
        <v/>
      </c>
    </row>
    <row r="1009">
      <c r="A1009" s="54" t="n"/>
      <c r="B1009" s="61" t="n"/>
      <c r="C1009" s="61" t="n"/>
      <c r="D1009" s="61" t="n"/>
      <c r="E1009" s="61" t="n"/>
      <c r="F1009" s="55" t="n"/>
      <c r="G1009" s="56" t="n"/>
      <c r="H1009" s="55" t="n"/>
      <c r="I1009" s="62" t="n"/>
      <c r="J1009" s="58" t="n"/>
      <c r="K1009" s="63">
        <f>IF(tblMovement[[#This Row],[Source]]="","",IFERROR(INDEX(tblSources[Type],MATCH(tblMovement[[#This Row],[Source]],tblSources[Source],0)),"?"))</f>
        <v/>
      </c>
      <c r="L1009" s="63">
        <f>IF(tblMovement[[#This Row],[Destination]]="","",IFERROR(INDEX(tblDestinations[Type],MATCH(tblMovement[[#This Row],[Destination]],tblDestinations[Destination],0)),"?"))</f>
        <v/>
      </c>
      <c r="M1009" s="64">
        <f>IF(tblMovement[[#This Row],[Material]]="","",IF(LEFT(tblMovement[[#This Row],[Material]],3)="Ore",1,0))</f>
        <v/>
      </c>
      <c r="N1009" s="59">
        <f>IF(OR(tblMovement[[#This Row],[Tonnes_t]]="",tblMovement[[#This Row],[Grade_gpt]]=""),0,tblMovement[[#This Row],[Tonnes_t]]*tblMovement[[#This Row],[Grade_gpt]]/cfg_TroyOz)</f>
        <v/>
      </c>
      <c r="O1009" s="59">
        <f>IF(tblMovement[[#This Row],[Is_Ore]]=1,tblMovement[[#This Row],[Contained_oz]],0)</f>
        <v/>
      </c>
    </row>
    <row r="1010">
      <c r="A1010" s="54" t="n"/>
      <c r="B1010" s="61" t="n"/>
      <c r="C1010" s="61" t="n"/>
      <c r="D1010" s="61" t="n"/>
      <c r="E1010" s="61" t="n"/>
      <c r="F1010" s="55" t="n"/>
      <c r="G1010" s="56" t="n"/>
      <c r="H1010" s="55" t="n"/>
      <c r="I1010" s="62" t="n"/>
      <c r="J1010" s="58" t="n"/>
      <c r="K1010" s="63">
        <f>IF(tblMovement[[#This Row],[Source]]="","",IFERROR(INDEX(tblSources[Type],MATCH(tblMovement[[#This Row],[Source]],tblSources[Source],0)),"?"))</f>
        <v/>
      </c>
      <c r="L1010" s="63">
        <f>IF(tblMovement[[#This Row],[Destination]]="","",IFERROR(INDEX(tblDestinations[Type],MATCH(tblMovement[[#This Row],[Destination]],tblDestinations[Destination],0)),"?"))</f>
        <v/>
      </c>
      <c r="M1010" s="64">
        <f>IF(tblMovement[[#This Row],[Material]]="","",IF(LEFT(tblMovement[[#This Row],[Material]],3)="Ore",1,0))</f>
        <v/>
      </c>
      <c r="N1010" s="59">
        <f>IF(OR(tblMovement[[#This Row],[Tonnes_t]]="",tblMovement[[#This Row],[Grade_gpt]]=""),0,tblMovement[[#This Row],[Tonnes_t]]*tblMovement[[#This Row],[Grade_gpt]]/cfg_TroyOz)</f>
        <v/>
      </c>
      <c r="O1010" s="59">
        <f>IF(tblMovement[[#This Row],[Is_Ore]]=1,tblMovement[[#This Row],[Contained_oz]],0)</f>
        <v/>
      </c>
    </row>
    <row r="1011">
      <c r="A1011" s="54" t="n"/>
      <c r="B1011" s="61" t="n"/>
      <c r="C1011" s="61" t="n"/>
      <c r="D1011" s="61" t="n"/>
      <c r="E1011" s="61" t="n"/>
      <c r="F1011" s="55" t="n"/>
      <c r="G1011" s="56" t="n"/>
      <c r="H1011" s="55" t="n"/>
      <c r="I1011" s="62" t="n"/>
      <c r="J1011" s="58" t="n"/>
      <c r="K1011" s="63">
        <f>IF(tblMovement[[#This Row],[Source]]="","",IFERROR(INDEX(tblSources[Type],MATCH(tblMovement[[#This Row],[Source]],tblSources[Source],0)),"?"))</f>
        <v/>
      </c>
      <c r="L1011" s="63">
        <f>IF(tblMovement[[#This Row],[Destination]]="","",IFERROR(INDEX(tblDestinations[Type],MATCH(tblMovement[[#This Row],[Destination]],tblDestinations[Destination],0)),"?"))</f>
        <v/>
      </c>
      <c r="M1011" s="64">
        <f>IF(tblMovement[[#This Row],[Material]]="","",IF(LEFT(tblMovement[[#This Row],[Material]],3)="Ore",1,0))</f>
        <v/>
      </c>
      <c r="N1011" s="59">
        <f>IF(OR(tblMovement[[#This Row],[Tonnes_t]]="",tblMovement[[#This Row],[Grade_gpt]]=""),0,tblMovement[[#This Row],[Tonnes_t]]*tblMovement[[#This Row],[Grade_gpt]]/cfg_TroyOz)</f>
        <v/>
      </c>
      <c r="O1011" s="59">
        <f>IF(tblMovement[[#This Row],[Is_Ore]]=1,tblMovement[[#This Row],[Contained_oz]],0)</f>
        <v/>
      </c>
    </row>
    <row r="1012">
      <c r="A1012" s="54" t="n"/>
      <c r="B1012" s="61" t="n"/>
      <c r="C1012" s="61" t="n"/>
      <c r="D1012" s="61" t="n"/>
      <c r="E1012" s="61" t="n"/>
      <c r="F1012" s="55" t="n"/>
      <c r="G1012" s="56" t="n"/>
      <c r="H1012" s="55" t="n"/>
      <c r="I1012" s="62" t="n"/>
      <c r="J1012" s="58" t="n"/>
      <c r="K1012" s="63">
        <f>IF(tblMovement[[#This Row],[Source]]="","",IFERROR(INDEX(tblSources[Type],MATCH(tblMovement[[#This Row],[Source]],tblSources[Source],0)),"?"))</f>
        <v/>
      </c>
      <c r="L1012" s="63">
        <f>IF(tblMovement[[#This Row],[Destination]]="","",IFERROR(INDEX(tblDestinations[Type],MATCH(tblMovement[[#This Row],[Destination]],tblDestinations[Destination],0)),"?"))</f>
        <v/>
      </c>
      <c r="M1012" s="64">
        <f>IF(tblMovement[[#This Row],[Material]]="","",IF(LEFT(tblMovement[[#This Row],[Material]],3)="Ore",1,0))</f>
        <v/>
      </c>
      <c r="N1012" s="59">
        <f>IF(OR(tblMovement[[#This Row],[Tonnes_t]]="",tblMovement[[#This Row],[Grade_gpt]]=""),0,tblMovement[[#This Row],[Tonnes_t]]*tblMovement[[#This Row],[Grade_gpt]]/cfg_TroyOz)</f>
        <v/>
      </c>
      <c r="O1012" s="59">
        <f>IF(tblMovement[[#This Row],[Is_Ore]]=1,tblMovement[[#This Row],[Contained_oz]],0)</f>
        <v/>
      </c>
    </row>
    <row r="1013">
      <c r="A1013" s="54" t="n"/>
      <c r="B1013" s="61" t="n"/>
      <c r="C1013" s="61" t="n"/>
      <c r="D1013" s="61" t="n"/>
      <c r="E1013" s="61" t="n"/>
      <c r="F1013" s="55" t="n"/>
      <c r="G1013" s="56" t="n"/>
      <c r="H1013" s="55" t="n"/>
      <c r="I1013" s="62" t="n"/>
      <c r="J1013" s="58" t="n"/>
      <c r="K1013" s="63">
        <f>IF(tblMovement[[#This Row],[Source]]="","",IFERROR(INDEX(tblSources[Type],MATCH(tblMovement[[#This Row],[Source]],tblSources[Source],0)),"?"))</f>
        <v/>
      </c>
      <c r="L1013" s="63">
        <f>IF(tblMovement[[#This Row],[Destination]]="","",IFERROR(INDEX(tblDestinations[Type],MATCH(tblMovement[[#This Row],[Destination]],tblDestinations[Destination],0)),"?"))</f>
        <v/>
      </c>
      <c r="M1013" s="64">
        <f>IF(tblMovement[[#This Row],[Material]]="","",IF(LEFT(tblMovement[[#This Row],[Material]],3)="Ore",1,0))</f>
        <v/>
      </c>
      <c r="N1013" s="59">
        <f>IF(OR(tblMovement[[#This Row],[Tonnes_t]]="",tblMovement[[#This Row],[Grade_gpt]]=""),0,tblMovement[[#This Row],[Tonnes_t]]*tblMovement[[#This Row],[Grade_gpt]]/cfg_TroyOz)</f>
        <v/>
      </c>
      <c r="O1013" s="59">
        <f>IF(tblMovement[[#This Row],[Is_Ore]]=1,tblMovement[[#This Row],[Contained_oz]],0)</f>
        <v/>
      </c>
    </row>
    <row r="1014">
      <c r="A1014" s="54" t="n"/>
      <c r="B1014" s="61" t="n"/>
      <c r="C1014" s="61" t="n"/>
      <c r="D1014" s="61" t="n"/>
      <c r="E1014" s="61" t="n"/>
      <c r="F1014" s="55" t="n"/>
      <c r="G1014" s="56" t="n"/>
      <c r="H1014" s="55" t="n"/>
      <c r="I1014" s="62" t="n"/>
      <c r="J1014" s="58" t="n"/>
      <c r="K1014" s="63">
        <f>IF(tblMovement[[#This Row],[Source]]="","",IFERROR(INDEX(tblSources[Type],MATCH(tblMovement[[#This Row],[Source]],tblSources[Source],0)),"?"))</f>
        <v/>
      </c>
      <c r="L1014" s="63">
        <f>IF(tblMovement[[#This Row],[Destination]]="","",IFERROR(INDEX(tblDestinations[Type],MATCH(tblMovement[[#This Row],[Destination]],tblDestinations[Destination],0)),"?"))</f>
        <v/>
      </c>
      <c r="M1014" s="64">
        <f>IF(tblMovement[[#This Row],[Material]]="","",IF(LEFT(tblMovement[[#This Row],[Material]],3)="Ore",1,0))</f>
        <v/>
      </c>
      <c r="N1014" s="59">
        <f>IF(OR(tblMovement[[#This Row],[Tonnes_t]]="",tblMovement[[#This Row],[Grade_gpt]]=""),0,tblMovement[[#This Row],[Tonnes_t]]*tblMovement[[#This Row],[Grade_gpt]]/cfg_TroyOz)</f>
        <v/>
      </c>
      <c r="O1014" s="59">
        <f>IF(tblMovement[[#This Row],[Is_Ore]]=1,tblMovement[[#This Row],[Contained_oz]],0)</f>
        <v/>
      </c>
    </row>
    <row r="1015">
      <c r="A1015" s="54" t="n"/>
      <c r="B1015" s="61" t="n"/>
      <c r="C1015" s="61" t="n"/>
      <c r="D1015" s="61" t="n"/>
      <c r="E1015" s="61" t="n"/>
      <c r="F1015" s="55" t="n"/>
      <c r="G1015" s="56" t="n"/>
      <c r="H1015" s="55" t="n"/>
      <c r="I1015" s="62" t="n"/>
      <c r="J1015" s="58" t="n"/>
      <c r="K1015" s="63">
        <f>IF(tblMovement[[#This Row],[Source]]="","",IFERROR(INDEX(tblSources[Type],MATCH(tblMovement[[#This Row],[Source]],tblSources[Source],0)),"?"))</f>
        <v/>
      </c>
      <c r="L1015" s="63">
        <f>IF(tblMovement[[#This Row],[Destination]]="","",IFERROR(INDEX(tblDestinations[Type],MATCH(tblMovement[[#This Row],[Destination]],tblDestinations[Destination],0)),"?"))</f>
        <v/>
      </c>
      <c r="M1015" s="64">
        <f>IF(tblMovement[[#This Row],[Material]]="","",IF(LEFT(tblMovement[[#This Row],[Material]],3)="Ore",1,0))</f>
        <v/>
      </c>
      <c r="N1015" s="59">
        <f>IF(OR(tblMovement[[#This Row],[Tonnes_t]]="",tblMovement[[#This Row],[Grade_gpt]]=""),0,tblMovement[[#This Row],[Tonnes_t]]*tblMovement[[#This Row],[Grade_gpt]]/cfg_TroyOz)</f>
        <v/>
      </c>
      <c r="O1015" s="59">
        <f>IF(tblMovement[[#This Row],[Is_Ore]]=1,tblMovement[[#This Row],[Contained_oz]],0)</f>
        <v/>
      </c>
    </row>
    <row r="1016">
      <c r="A1016" s="54" t="n"/>
      <c r="B1016" s="61" t="n"/>
      <c r="C1016" s="61" t="n"/>
      <c r="D1016" s="61" t="n"/>
      <c r="E1016" s="61" t="n"/>
      <c r="F1016" s="55" t="n"/>
      <c r="G1016" s="56" t="n"/>
      <c r="H1016" s="55" t="n"/>
      <c r="I1016" s="62" t="n"/>
      <c r="J1016" s="58" t="n"/>
      <c r="K1016" s="63">
        <f>IF(tblMovement[[#This Row],[Source]]="","",IFERROR(INDEX(tblSources[Type],MATCH(tblMovement[[#This Row],[Source]],tblSources[Source],0)),"?"))</f>
        <v/>
      </c>
      <c r="L1016" s="63">
        <f>IF(tblMovement[[#This Row],[Destination]]="","",IFERROR(INDEX(tblDestinations[Type],MATCH(tblMovement[[#This Row],[Destination]],tblDestinations[Destination],0)),"?"))</f>
        <v/>
      </c>
      <c r="M1016" s="64">
        <f>IF(tblMovement[[#This Row],[Material]]="","",IF(LEFT(tblMovement[[#This Row],[Material]],3)="Ore",1,0))</f>
        <v/>
      </c>
      <c r="N1016" s="59">
        <f>IF(OR(tblMovement[[#This Row],[Tonnes_t]]="",tblMovement[[#This Row],[Grade_gpt]]=""),0,tblMovement[[#This Row],[Tonnes_t]]*tblMovement[[#This Row],[Grade_gpt]]/cfg_TroyOz)</f>
        <v/>
      </c>
      <c r="O1016" s="59">
        <f>IF(tblMovement[[#This Row],[Is_Ore]]=1,tblMovement[[#This Row],[Contained_oz]],0)</f>
        <v/>
      </c>
    </row>
    <row r="1017">
      <c r="A1017" s="54" t="n"/>
      <c r="B1017" s="61" t="n"/>
      <c r="C1017" s="61" t="n"/>
      <c r="D1017" s="61" t="n"/>
      <c r="E1017" s="61" t="n"/>
      <c r="F1017" s="55" t="n"/>
      <c r="G1017" s="56" t="n"/>
      <c r="H1017" s="55" t="n"/>
      <c r="I1017" s="62" t="n"/>
      <c r="J1017" s="58" t="n"/>
      <c r="K1017" s="63">
        <f>IF(tblMovement[[#This Row],[Source]]="","",IFERROR(INDEX(tblSources[Type],MATCH(tblMovement[[#This Row],[Source]],tblSources[Source],0)),"?"))</f>
        <v/>
      </c>
      <c r="L1017" s="63">
        <f>IF(tblMovement[[#This Row],[Destination]]="","",IFERROR(INDEX(tblDestinations[Type],MATCH(tblMovement[[#This Row],[Destination]],tblDestinations[Destination],0)),"?"))</f>
        <v/>
      </c>
      <c r="M1017" s="64">
        <f>IF(tblMovement[[#This Row],[Material]]="","",IF(LEFT(tblMovement[[#This Row],[Material]],3)="Ore",1,0))</f>
        <v/>
      </c>
      <c r="N1017" s="59">
        <f>IF(OR(tblMovement[[#This Row],[Tonnes_t]]="",tblMovement[[#This Row],[Grade_gpt]]=""),0,tblMovement[[#This Row],[Tonnes_t]]*tblMovement[[#This Row],[Grade_gpt]]/cfg_TroyOz)</f>
        <v/>
      </c>
      <c r="O1017" s="59">
        <f>IF(tblMovement[[#This Row],[Is_Ore]]=1,tblMovement[[#This Row],[Contained_oz]],0)</f>
        <v/>
      </c>
    </row>
    <row r="1018">
      <c r="A1018" s="54" t="n"/>
      <c r="B1018" s="61" t="n"/>
      <c r="C1018" s="61" t="n"/>
      <c r="D1018" s="61" t="n"/>
      <c r="E1018" s="61" t="n"/>
      <c r="F1018" s="55" t="n"/>
      <c r="G1018" s="56" t="n"/>
      <c r="H1018" s="55" t="n"/>
      <c r="I1018" s="62" t="n"/>
      <c r="J1018" s="58" t="n"/>
      <c r="K1018" s="63">
        <f>IF(tblMovement[[#This Row],[Source]]="","",IFERROR(INDEX(tblSources[Type],MATCH(tblMovement[[#This Row],[Source]],tblSources[Source],0)),"?"))</f>
        <v/>
      </c>
      <c r="L1018" s="63">
        <f>IF(tblMovement[[#This Row],[Destination]]="","",IFERROR(INDEX(tblDestinations[Type],MATCH(tblMovement[[#This Row],[Destination]],tblDestinations[Destination],0)),"?"))</f>
        <v/>
      </c>
      <c r="M1018" s="64">
        <f>IF(tblMovement[[#This Row],[Material]]="","",IF(LEFT(tblMovement[[#This Row],[Material]],3)="Ore",1,0))</f>
        <v/>
      </c>
      <c r="N1018" s="59">
        <f>IF(OR(tblMovement[[#This Row],[Tonnes_t]]="",tblMovement[[#This Row],[Grade_gpt]]=""),0,tblMovement[[#This Row],[Tonnes_t]]*tblMovement[[#This Row],[Grade_gpt]]/cfg_TroyOz)</f>
        <v/>
      </c>
      <c r="O1018" s="59">
        <f>IF(tblMovement[[#This Row],[Is_Ore]]=1,tblMovement[[#This Row],[Contained_oz]],0)</f>
        <v/>
      </c>
    </row>
    <row r="1019">
      <c r="A1019" s="54" t="n"/>
      <c r="B1019" s="61" t="n"/>
      <c r="C1019" s="61" t="n"/>
      <c r="D1019" s="61" t="n"/>
      <c r="E1019" s="61" t="n"/>
      <c r="F1019" s="55" t="n"/>
      <c r="G1019" s="56" t="n"/>
      <c r="H1019" s="55" t="n"/>
      <c r="I1019" s="62" t="n"/>
      <c r="J1019" s="58" t="n"/>
      <c r="K1019" s="63">
        <f>IF(tblMovement[[#This Row],[Source]]="","",IFERROR(INDEX(tblSources[Type],MATCH(tblMovement[[#This Row],[Source]],tblSources[Source],0)),"?"))</f>
        <v/>
      </c>
      <c r="L1019" s="63">
        <f>IF(tblMovement[[#This Row],[Destination]]="","",IFERROR(INDEX(tblDestinations[Type],MATCH(tblMovement[[#This Row],[Destination]],tblDestinations[Destination],0)),"?"))</f>
        <v/>
      </c>
      <c r="M1019" s="64">
        <f>IF(tblMovement[[#This Row],[Material]]="","",IF(LEFT(tblMovement[[#This Row],[Material]],3)="Ore",1,0))</f>
        <v/>
      </c>
      <c r="N1019" s="59">
        <f>IF(OR(tblMovement[[#This Row],[Tonnes_t]]="",tblMovement[[#This Row],[Grade_gpt]]=""),0,tblMovement[[#This Row],[Tonnes_t]]*tblMovement[[#This Row],[Grade_gpt]]/cfg_TroyOz)</f>
        <v/>
      </c>
      <c r="O1019" s="59">
        <f>IF(tblMovement[[#This Row],[Is_Ore]]=1,tblMovement[[#This Row],[Contained_oz]],0)</f>
        <v/>
      </c>
    </row>
    <row r="1020">
      <c r="A1020" s="54" t="n"/>
      <c r="B1020" s="61" t="n"/>
      <c r="C1020" s="61" t="n"/>
      <c r="D1020" s="61" t="n"/>
      <c r="E1020" s="61" t="n"/>
      <c r="F1020" s="55" t="n"/>
      <c r="G1020" s="56" t="n"/>
      <c r="H1020" s="55" t="n"/>
      <c r="I1020" s="62" t="n"/>
      <c r="J1020" s="58" t="n"/>
      <c r="K1020" s="63">
        <f>IF(tblMovement[[#This Row],[Source]]="","",IFERROR(INDEX(tblSources[Type],MATCH(tblMovement[[#This Row],[Source]],tblSources[Source],0)),"?"))</f>
        <v/>
      </c>
      <c r="L1020" s="63">
        <f>IF(tblMovement[[#This Row],[Destination]]="","",IFERROR(INDEX(tblDestinations[Type],MATCH(tblMovement[[#This Row],[Destination]],tblDestinations[Destination],0)),"?"))</f>
        <v/>
      </c>
      <c r="M1020" s="64">
        <f>IF(tblMovement[[#This Row],[Material]]="","",IF(LEFT(tblMovement[[#This Row],[Material]],3)="Ore",1,0))</f>
        <v/>
      </c>
      <c r="N1020" s="59">
        <f>IF(OR(tblMovement[[#This Row],[Tonnes_t]]="",tblMovement[[#This Row],[Grade_gpt]]=""),0,tblMovement[[#This Row],[Tonnes_t]]*tblMovement[[#This Row],[Grade_gpt]]/cfg_TroyOz)</f>
        <v/>
      </c>
      <c r="O1020" s="59">
        <f>IF(tblMovement[[#This Row],[Is_Ore]]=1,tblMovement[[#This Row],[Contained_oz]],0)</f>
        <v/>
      </c>
    </row>
    <row r="1021">
      <c r="A1021" s="54" t="n"/>
      <c r="B1021" s="61" t="n"/>
      <c r="C1021" s="61" t="n"/>
      <c r="D1021" s="61" t="n"/>
      <c r="E1021" s="61" t="n"/>
      <c r="F1021" s="55" t="n"/>
      <c r="G1021" s="56" t="n"/>
      <c r="H1021" s="55" t="n"/>
      <c r="I1021" s="62" t="n"/>
      <c r="J1021" s="58" t="n"/>
      <c r="K1021" s="63">
        <f>IF(tblMovement[[#This Row],[Source]]="","",IFERROR(INDEX(tblSources[Type],MATCH(tblMovement[[#This Row],[Source]],tblSources[Source],0)),"?"))</f>
        <v/>
      </c>
      <c r="L1021" s="63">
        <f>IF(tblMovement[[#This Row],[Destination]]="","",IFERROR(INDEX(tblDestinations[Type],MATCH(tblMovement[[#This Row],[Destination]],tblDestinations[Destination],0)),"?"))</f>
        <v/>
      </c>
      <c r="M1021" s="64">
        <f>IF(tblMovement[[#This Row],[Material]]="","",IF(LEFT(tblMovement[[#This Row],[Material]],3)="Ore",1,0))</f>
        <v/>
      </c>
      <c r="N1021" s="59">
        <f>IF(OR(tblMovement[[#This Row],[Tonnes_t]]="",tblMovement[[#This Row],[Grade_gpt]]=""),0,tblMovement[[#This Row],[Tonnes_t]]*tblMovement[[#This Row],[Grade_gpt]]/cfg_TroyOz)</f>
        <v/>
      </c>
      <c r="O1021" s="59">
        <f>IF(tblMovement[[#This Row],[Is_Ore]]=1,tblMovement[[#This Row],[Contained_oz]],0)</f>
        <v/>
      </c>
    </row>
    <row r="1022">
      <c r="A1022" s="54" t="n"/>
      <c r="B1022" s="61" t="n"/>
      <c r="C1022" s="61" t="n"/>
      <c r="D1022" s="61" t="n"/>
      <c r="E1022" s="61" t="n"/>
      <c r="F1022" s="55" t="n"/>
      <c r="G1022" s="56" t="n"/>
      <c r="H1022" s="55" t="n"/>
      <c r="I1022" s="62" t="n"/>
      <c r="J1022" s="58" t="n"/>
      <c r="K1022" s="63">
        <f>IF(tblMovement[[#This Row],[Source]]="","",IFERROR(INDEX(tblSources[Type],MATCH(tblMovement[[#This Row],[Source]],tblSources[Source],0)),"?"))</f>
        <v/>
      </c>
      <c r="L1022" s="63">
        <f>IF(tblMovement[[#This Row],[Destination]]="","",IFERROR(INDEX(tblDestinations[Type],MATCH(tblMovement[[#This Row],[Destination]],tblDestinations[Destination],0)),"?"))</f>
        <v/>
      </c>
      <c r="M1022" s="64">
        <f>IF(tblMovement[[#This Row],[Material]]="","",IF(LEFT(tblMovement[[#This Row],[Material]],3)="Ore",1,0))</f>
        <v/>
      </c>
      <c r="N1022" s="59">
        <f>IF(OR(tblMovement[[#This Row],[Tonnes_t]]="",tblMovement[[#This Row],[Grade_gpt]]=""),0,tblMovement[[#This Row],[Tonnes_t]]*tblMovement[[#This Row],[Grade_gpt]]/cfg_TroyOz)</f>
        <v/>
      </c>
      <c r="O1022" s="59">
        <f>IF(tblMovement[[#This Row],[Is_Ore]]=1,tblMovement[[#This Row],[Contained_oz]],0)</f>
        <v/>
      </c>
    </row>
    <row r="1023">
      <c r="A1023" s="54" t="n"/>
      <c r="B1023" s="61" t="n"/>
      <c r="C1023" s="61" t="n"/>
      <c r="D1023" s="61" t="n"/>
      <c r="E1023" s="61" t="n"/>
      <c r="F1023" s="55" t="n"/>
      <c r="G1023" s="56" t="n"/>
      <c r="H1023" s="55" t="n"/>
      <c r="I1023" s="62" t="n"/>
      <c r="J1023" s="58" t="n"/>
      <c r="K1023" s="63">
        <f>IF(tblMovement[[#This Row],[Source]]="","",IFERROR(INDEX(tblSources[Type],MATCH(tblMovement[[#This Row],[Source]],tblSources[Source],0)),"?"))</f>
        <v/>
      </c>
      <c r="L1023" s="63">
        <f>IF(tblMovement[[#This Row],[Destination]]="","",IFERROR(INDEX(tblDestinations[Type],MATCH(tblMovement[[#This Row],[Destination]],tblDestinations[Destination],0)),"?"))</f>
        <v/>
      </c>
      <c r="M1023" s="64">
        <f>IF(tblMovement[[#This Row],[Material]]="","",IF(LEFT(tblMovement[[#This Row],[Material]],3)="Ore",1,0))</f>
        <v/>
      </c>
      <c r="N1023" s="59">
        <f>IF(OR(tblMovement[[#This Row],[Tonnes_t]]="",tblMovement[[#This Row],[Grade_gpt]]=""),0,tblMovement[[#This Row],[Tonnes_t]]*tblMovement[[#This Row],[Grade_gpt]]/cfg_TroyOz)</f>
        <v/>
      </c>
      <c r="O1023" s="59">
        <f>IF(tblMovement[[#This Row],[Is_Ore]]=1,tblMovement[[#This Row],[Contained_oz]],0)</f>
        <v/>
      </c>
    </row>
    <row r="1024">
      <c r="A1024" s="54" t="n"/>
      <c r="B1024" s="61" t="n"/>
      <c r="C1024" s="61" t="n"/>
      <c r="D1024" s="61" t="n"/>
      <c r="E1024" s="61" t="n"/>
      <c r="F1024" s="55" t="n"/>
      <c r="G1024" s="56" t="n"/>
      <c r="H1024" s="55" t="n"/>
      <c r="I1024" s="62" t="n"/>
      <c r="J1024" s="58" t="n"/>
      <c r="K1024" s="63">
        <f>IF(tblMovement[[#This Row],[Source]]="","",IFERROR(INDEX(tblSources[Type],MATCH(tblMovement[[#This Row],[Source]],tblSources[Source],0)),"?"))</f>
        <v/>
      </c>
      <c r="L1024" s="63">
        <f>IF(tblMovement[[#This Row],[Destination]]="","",IFERROR(INDEX(tblDestinations[Type],MATCH(tblMovement[[#This Row],[Destination]],tblDestinations[Destination],0)),"?"))</f>
        <v/>
      </c>
      <c r="M1024" s="64">
        <f>IF(tblMovement[[#This Row],[Material]]="","",IF(LEFT(tblMovement[[#This Row],[Material]],3)="Ore",1,0))</f>
        <v/>
      </c>
      <c r="N1024" s="59">
        <f>IF(OR(tblMovement[[#This Row],[Tonnes_t]]="",tblMovement[[#This Row],[Grade_gpt]]=""),0,tblMovement[[#This Row],[Tonnes_t]]*tblMovement[[#This Row],[Grade_gpt]]/cfg_TroyOz)</f>
        <v/>
      </c>
      <c r="O1024" s="59">
        <f>IF(tblMovement[[#This Row],[Is_Ore]]=1,tblMovement[[#This Row],[Contained_oz]],0)</f>
        <v/>
      </c>
    </row>
    <row r="1025">
      <c r="A1025" s="54" t="n"/>
      <c r="B1025" s="61" t="n"/>
      <c r="C1025" s="61" t="n"/>
      <c r="D1025" s="61" t="n"/>
      <c r="E1025" s="61" t="n"/>
      <c r="F1025" s="55" t="n"/>
      <c r="G1025" s="56" t="n"/>
      <c r="H1025" s="55" t="n"/>
      <c r="I1025" s="62" t="n"/>
      <c r="J1025" s="58" t="n"/>
      <c r="K1025" s="63">
        <f>IF(tblMovement[[#This Row],[Source]]="","",IFERROR(INDEX(tblSources[Type],MATCH(tblMovement[[#This Row],[Source]],tblSources[Source],0)),"?"))</f>
        <v/>
      </c>
      <c r="L1025" s="63">
        <f>IF(tblMovement[[#This Row],[Destination]]="","",IFERROR(INDEX(tblDestinations[Type],MATCH(tblMovement[[#This Row],[Destination]],tblDestinations[Destination],0)),"?"))</f>
        <v/>
      </c>
      <c r="M1025" s="64">
        <f>IF(tblMovement[[#This Row],[Material]]="","",IF(LEFT(tblMovement[[#This Row],[Material]],3)="Ore",1,0))</f>
        <v/>
      </c>
      <c r="N1025" s="59">
        <f>IF(OR(tblMovement[[#This Row],[Tonnes_t]]="",tblMovement[[#This Row],[Grade_gpt]]=""),0,tblMovement[[#This Row],[Tonnes_t]]*tblMovement[[#This Row],[Grade_gpt]]/cfg_TroyOz)</f>
        <v/>
      </c>
      <c r="O1025" s="59">
        <f>IF(tblMovement[[#This Row],[Is_Ore]]=1,tblMovement[[#This Row],[Contained_oz]],0)</f>
        <v/>
      </c>
    </row>
    <row r="1026">
      <c r="A1026" s="54" t="n"/>
      <c r="B1026" s="61" t="n"/>
      <c r="C1026" s="61" t="n"/>
      <c r="D1026" s="61" t="n"/>
      <c r="E1026" s="61" t="n"/>
      <c r="F1026" s="55" t="n"/>
      <c r="G1026" s="56" t="n"/>
      <c r="H1026" s="55" t="n"/>
      <c r="I1026" s="62" t="n"/>
      <c r="J1026" s="58" t="n"/>
      <c r="K1026" s="63">
        <f>IF(tblMovement[[#This Row],[Source]]="","",IFERROR(INDEX(tblSources[Type],MATCH(tblMovement[[#This Row],[Source]],tblSources[Source],0)),"?"))</f>
        <v/>
      </c>
      <c r="L1026" s="63">
        <f>IF(tblMovement[[#This Row],[Destination]]="","",IFERROR(INDEX(tblDestinations[Type],MATCH(tblMovement[[#This Row],[Destination]],tblDestinations[Destination],0)),"?"))</f>
        <v/>
      </c>
      <c r="M1026" s="64">
        <f>IF(tblMovement[[#This Row],[Material]]="","",IF(LEFT(tblMovement[[#This Row],[Material]],3)="Ore",1,0))</f>
        <v/>
      </c>
      <c r="N1026" s="59">
        <f>IF(OR(tblMovement[[#This Row],[Tonnes_t]]="",tblMovement[[#This Row],[Grade_gpt]]=""),0,tblMovement[[#This Row],[Tonnes_t]]*tblMovement[[#This Row],[Grade_gpt]]/cfg_TroyOz)</f>
        <v/>
      </c>
      <c r="O1026" s="59">
        <f>IF(tblMovement[[#This Row],[Is_Ore]]=1,tblMovement[[#This Row],[Contained_oz]],0)</f>
        <v/>
      </c>
    </row>
    <row r="1027">
      <c r="A1027" s="54" t="n"/>
      <c r="B1027" s="61" t="n"/>
      <c r="C1027" s="61" t="n"/>
      <c r="D1027" s="61" t="n"/>
      <c r="E1027" s="61" t="n"/>
      <c r="F1027" s="55" t="n"/>
      <c r="G1027" s="56" t="n"/>
      <c r="H1027" s="55" t="n"/>
      <c r="I1027" s="62" t="n"/>
      <c r="J1027" s="58" t="n"/>
      <c r="K1027" s="63">
        <f>IF(tblMovement[[#This Row],[Source]]="","",IFERROR(INDEX(tblSources[Type],MATCH(tblMovement[[#This Row],[Source]],tblSources[Source],0)),"?"))</f>
        <v/>
      </c>
      <c r="L1027" s="63">
        <f>IF(tblMovement[[#This Row],[Destination]]="","",IFERROR(INDEX(tblDestinations[Type],MATCH(tblMovement[[#This Row],[Destination]],tblDestinations[Destination],0)),"?"))</f>
        <v/>
      </c>
      <c r="M1027" s="64">
        <f>IF(tblMovement[[#This Row],[Material]]="","",IF(LEFT(tblMovement[[#This Row],[Material]],3)="Ore",1,0))</f>
        <v/>
      </c>
      <c r="N1027" s="59">
        <f>IF(OR(tblMovement[[#This Row],[Tonnes_t]]="",tblMovement[[#This Row],[Grade_gpt]]=""),0,tblMovement[[#This Row],[Tonnes_t]]*tblMovement[[#This Row],[Grade_gpt]]/cfg_TroyOz)</f>
        <v/>
      </c>
      <c r="O1027" s="59">
        <f>IF(tblMovement[[#This Row],[Is_Ore]]=1,tblMovement[[#This Row],[Contained_oz]],0)</f>
        <v/>
      </c>
    </row>
    <row r="1028">
      <c r="A1028" s="54" t="n"/>
      <c r="B1028" s="61" t="n"/>
      <c r="C1028" s="61" t="n"/>
      <c r="D1028" s="61" t="n"/>
      <c r="E1028" s="61" t="n"/>
      <c r="F1028" s="55" t="n"/>
      <c r="G1028" s="56" t="n"/>
      <c r="H1028" s="55" t="n"/>
      <c r="I1028" s="62" t="n"/>
      <c r="J1028" s="58" t="n"/>
      <c r="K1028" s="63">
        <f>IF(tblMovement[[#This Row],[Source]]="","",IFERROR(INDEX(tblSources[Type],MATCH(tblMovement[[#This Row],[Source]],tblSources[Source],0)),"?"))</f>
        <v/>
      </c>
      <c r="L1028" s="63">
        <f>IF(tblMovement[[#This Row],[Destination]]="","",IFERROR(INDEX(tblDestinations[Type],MATCH(tblMovement[[#This Row],[Destination]],tblDestinations[Destination],0)),"?"))</f>
        <v/>
      </c>
      <c r="M1028" s="64">
        <f>IF(tblMovement[[#This Row],[Material]]="","",IF(LEFT(tblMovement[[#This Row],[Material]],3)="Ore",1,0))</f>
        <v/>
      </c>
      <c r="N1028" s="59">
        <f>IF(OR(tblMovement[[#This Row],[Tonnes_t]]="",tblMovement[[#This Row],[Grade_gpt]]=""),0,tblMovement[[#This Row],[Tonnes_t]]*tblMovement[[#This Row],[Grade_gpt]]/cfg_TroyOz)</f>
        <v/>
      </c>
      <c r="O1028" s="59">
        <f>IF(tblMovement[[#This Row],[Is_Ore]]=1,tblMovement[[#This Row],[Contained_oz]],0)</f>
        <v/>
      </c>
    </row>
    <row r="1029">
      <c r="A1029" s="54" t="n"/>
      <c r="B1029" s="61" t="n"/>
      <c r="C1029" s="61" t="n"/>
      <c r="D1029" s="61" t="n"/>
      <c r="E1029" s="61" t="n"/>
      <c r="F1029" s="55" t="n"/>
      <c r="G1029" s="56" t="n"/>
      <c r="H1029" s="55" t="n"/>
      <c r="I1029" s="62" t="n"/>
      <c r="J1029" s="58" t="n"/>
      <c r="K1029" s="63">
        <f>IF(tblMovement[[#This Row],[Source]]="","",IFERROR(INDEX(tblSources[Type],MATCH(tblMovement[[#This Row],[Source]],tblSources[Source],0)),"?"))</f>
        <v/>
      </c>
      <c r="L1029" s="63">
        <f>IF(tblMovement[[#This Row],[Destination]]="","",IFERROR(INDEX(tblDestinations[Type],MATCH(tblMovement[[#This Row],[Destination]],tblDestinations[Destination],0)),"?"))</f>
        <v/>
      </c>
      <c r="M1029" s="64">
        <f>IF(tblMovement[[#This Row],[Material]]="","",IF(LEFT(tblMovement[[#This Row],[Material]],3)="Ore",1,0))</f>
        <v/>
      </c>
      <c r="N1029" s="59">
        <f>IF(OR(tblMovement[[#This Row],[Tonnes_t]]="",tblMovement[[#This Row],[Grade_gpt]]=""),0,tblMovement[[#This Row],[Tonnes_t]]*tblMovement[[#This Row],[Grade_gpt]]/cfg_TroyOz)</f>
        <v/>
      </c>
      <c r="O1029" s="59">
        <f>IF(tblMovement[[#This Row],[Is_Ore]]=1,tblMovement[[#This Row],[Contained_oz]],0)</f>
        <v/>
      </c>
    </row>
    <row r="1030">
      <c r="A1030" s="54" t="n"/>
      <c r="B1030" s="61" t="n"/>
      <c r="C1030" s="61" t="n"/>
      <c r="D1030" s="61" t="n"/>
      <c r="E1030" s="61" t="n"/>
      <c r="F1030" s="55" t="n"/>
      <c r="G1030" s="56" t="n"/>
      <c r="H1030" s="55" t="n"/>
      <c r="I1030" s="62" t="n"/>
      <c r="J1030" s="58" t="n"/>
      <c r="K1030" s="63">
        <f>IF(tblMovement[[#This Row],[Source]]="","",IFERROR(INDEX(tblSources[Type],MATCH(tblMovement[[#This Row],[Source]],tblSources[Source],0)),"?"))</f>
        <v/>
      </c>
      <c r="L1030" s="63">
        <f>IF(tblMovement[[#This Row],[Destination]]="","",IFERROR(INDEX(tblDestinations[Type],MATCH(tblMovement[[#This Row],[Destination]],tblDestinations[Destination],0)),"?"))</f>
        <v/>
      </c>
      <c r="M1030" s="64">
        <f>IF(tblMovement[[#This Row],[Material]]="","",IF(LEFT(tblMovement[[#This Row],[Material]],3)="Ore",1,0))</f>
        <v/>
      </c>
      <c r="N1030" s="59">
        <f>IF(OR(tblMovement[[#This Row],[Tonnes_t]]="",tblMovement[[#This Row],[Grade_gpt]]=""),0,tblMovement[[#This Row],[Tonnes_t]]*tblMovement[[#This Row],[Grade_gpt]]/cfg_TroyOz)</f>
        <v/>
      </c>
      <c r="O1030" s="59">
        <f>IF(tblMovement[[#This Row],[Is_Ore]]=1,tblMovement[[#This Row],[Contained_oz]],0)</f>
        <v/>
      </c>
    </row>
    <row r="1031">
      <c r="A1031" s="54" t="n"/>
      <c r="B1031" s="61" t="n"/>
      <c r="C1031" s="61" t="n"/>
      <c r="D1031" s="61" t="n"/>
      <c r="E1031" s="61" t="n"/>
      <c r="F1031" s="55" t="n"/>
      <c r="G1031" s="56" t="n"/>
      <c r="H1031" s="55" t="n"/>
      <c r="I1031" s="62" t="n"/>
      <c r="J1031" s="58" t="n"/>
      <c r="K1031" s="63">
        <f>IF(tblMovement[[#This Row],[Source]]="","",IFERROR(INDEX(tblSources[Type],MATCH(tblMovement[[#This Row],[Source]],tblSources[Source],0)),"?"))</f>
        <v/>
      </c>
      <c r="L1031" s="63">
        <f>IF(tblMovement[[#This Row],[Destination]]="","",IFERROR(INDEX(tblDestinations[Type],MATCH(tblMovement[[#This Row],[Destination]],tblDestinations[Destination],0)),"?"))</f>
        <v/>
      </c>
      <c r="M1031" s="64">
        <f>IF(tblMovement[[#This Row],[Material]]="","",IF(LEFT(tblMovement[[#This Row],[Material]],3)="Ore",1,0))</f>
        <v/>
      </c>
      <c r="N1031" s="59">
        <f>IF(OR(tblMovement[[#This Row],[Tonnes_t]]="",tblMovement[[#This Row],[Grade_gpt]]=""),0,tblMovement[[#This Row],[Tonnes_t]]*tblMovement[[#This Row],[Grade_gpt]]/cfg_TroyOz)</f>
        <v/>
      </c>
      <c r="O1031" s="59">
        <f>IF(tblMovement[[#This Row],[Is_Ore]]=1,tblMovement[[#This Row],[Contained_oz]],0)</f>
        <v/>
      </c>
    </row>
    <row r="1032">
      <c r="A1032" s="54" t="n"/>
      <c r="B1032" s="61" t="n"/>
      <c r="C1032" s="61" t="n"/>
      <c r="D1032" s="61" t="n"/>
      <c r="E1032" s="61" t="n"/>
      <c r="F1032" s="55" t="n"/>
      <c r="G1032" s="56" t="n"/>
      <c r="H1032" s="55" t="n"/>
      <c r="I1032" s="62" t="n"/>
      <c r="J1032" s="58" t="n"/>
      <c r="K1032" s="63">
        <f>IF(tblMovement[[#This Row],[Source]]="","",IFERROR(INDEX(tblSources[Type],MATCH(tblMovement[[#This Row],[Source]],tblSources[Source],0)),"?"))</f>
        <v/>
      </c>
      <c r="L1032" s="63">
        <f>IF(tblMovement[[#This Row],[Destination]]="","",IFERROR(INDEX(tblDestinations[Type],MATCH(tblMovement[[#This Row],[Destination]],tblDestinations[Destination],0)),"?"))</f>
        <v/>
      </c>
      <c r="M1032" s="64">
        <f>IF(tblMovement[[#This Row],[Material]]="","",IF(LEFT(tblMovement[[#This Row],[Material]],3)="Ore",1,0))</f>
        <v/>
      </c>
      <c r="N1032" s="59">
        <f>IF(OR(tblMovement[[#This Row],[Tonnes_t]]="",tblMovement[[#This Row],[Grade_gpt]]=""),0,tblMovement[[#This Row],[Tonnes_t]]*tblMovement[[#This Row],[Grade_gpt]]/cfg_TroyOz)</f>
        <v/>
      </c>
      <c r="O1032" s="59">
        <f>IF(tblMovement[[#This Row],[Is_Ore]]=1,tblMovement[[#This Row],[Contained_oz]],0)</f>
        <v/>
      </c>
    </row>
    <row r="1033">
      <c r="A1033" s="54" t="n"/>
      <c r="B1033" s="61" t="n"/>
      <c r="C1033" s="61" t="n"/>
      <c r="D1033" s="61" t="n"/>
      <c r="E1033" s="61" t="n"/>
      <c r="F1033" s="55" t="n"/>
      <c r="G1033" s="56" t="n"/>
      <c r="H1033" s="55" t="n"/>
      <c r="I1033" s="62" t="n"/>
      <c r="J1033" s="58" t="n"/>
      <c r="K1033" s="63">
        <f>IF(tblMovement[[#This Row],[Source]]="","",IFERROR(INDEX(tblSources[Type],MATCH(tblMovement[[#This Row],[Source]],tblSources[Source],0)),"?"))</f>
        <v/>
      </c>
      <c r="L1033" s="63">
        <f>IF(tblMovement[[#This Row],[Destination]]="","",IFERROR(INDEX(tblDestinations[Type],MATCH(tblMovement[[#This Row],[Destination]],tblDestinations[Destination],0)),"?"))</f>
        <v/>
      </c>
      <c r="M1033" s="64">
        <f>IF(tblMovement[[#This Row],[Material]]="","",IF(LEFT(tblMovement[[#This Row],[Material]],3)="Ore",1,0))</f>
        <v/>
      </c>
      <c r="N1033" s="59">
        <f>IF(OR(tblMovement[[#This Row],[Tonnes_t]]="",tblMovement[[#This Row],[Grade_gpt]]=""),0,tblMovement[[#This Row],[Tonnes_t]]*tblMovement[[#This Row],[Grade_gpt]]/cfg_TroyOz)</f>
        <v/>
      </c>
      <c r="O1033" s="59">
        <f>IF(tblMovement[[#This Row],[Is_Ore]]=1,tblMovement[[#This Row],[Contained_oz]],0)</f>
        <v/>
      </c>
    </row>
    <row r="1034">
      <c r="A1034" s="54" t="n"/>
      <c r="B1034" s="61" t="n"/>
      <c r="C1034" s="61" t="n"/>
      <c r="D1034" s="61" t="n"/>
      <c r="E1034" s="61" t="n"/>
      <c r="F1034" s="55" t="n"/>
      <c r="G1034" s="56" t="n"/>
      <c r="H1034" s="55" t="n"/>
      <c r="I1034" s="62" t="n"/>
      <c r="J1034" s="58" t="n"/>
      <c r="K1034" s="63">
        <f>IF(tblMovement[[#This Row],[Source]]="","",IFERROR(INDEX(tblSources[Type],MATCH(tblMovement[[#This Row],[Source]],tblSources[Source],0)),"?"))</f>
        <v/>
      </c>
      <c r="L1034" s="63">
        <f>IF(tblMovement[[#This Row],[Destination]]="","",IFERROR(INDEX(tblDestinations[Type],MATCH(tblMovement[[#This Row],[Destination]],tblDestinations[Destination],0)),"?"))</f>
        <v/>
      </c>
      <c r="M1034" s="64">
        <f>IF(tblMovement[[#This Row],[Material]]="","",IF(LEFT(tblMovement[[#This Row],[Material]],3)="Ore",1,0))</f>
        <v/>
      </c>
      <c r="N1034" s="59">
        <f>IF(OR(tblMovement[[#This Row],[Tonnes_t]]="",tblMovement[[#This Row],[Grade_gpt]]=""),0,tblMovement[[#This Row],[Tonnes_t]]*tblMovement[[#This Row],[Grade_gpt]]/cfg_TroyOz)</f>
        <v/>
      </c>
      <c r="O1034" s="59">
        <f>IF(tblMovement[[#This Row],[Is_Ore]]=1,tblMovement[[#This Row],[Contained_oz]],0)</f>
        <v/>
      </c>
    </row>
    <row r="1035">
      <c r="A1035" s="54" t="n"/>
      <c r="B1035" s="61" t="n"/>
      <c r="C1035" s="61" t="n"/>
      <c r="D1035" s="61" t="n"/>
      <c r="E1035" s="61" t="n"/>
      <c r="F1035" s="55" t="n"/>
      <c r="G1035" s="56" t="n"/>
      <c r="H1035" s="55" t="n"/>
      <c r="I1035" s="62" t="n"/>
      <c r="J1035" s="58" t="n"/>
      <c r="K1035" s="63">
        <f>IF(tblMovement[[#This Row],[Source]]="","",IFERROR(INDEX(tblSources[Type],MATCH(tblMovement[[#This Row],[Source]],tblSources[Source],0)),"?"))</f>
        <v/>
      </c>
      <c r="L1035" s="63">
        <f>IF(tblMovement[[#This Row],[Destination]]="","",IFERROR(INDEX(tblDestinations[Type],MATCH(tblMovement[[#This Row],[Destination]],tblDestinations[Destination],0)),"?"))</f>
        <v/>
      </c>
      <c r="M1035" s="64">
        <f>IF(tblMovement[[#This Row],[Material]]="","",IF(LEFT(tblMovement[[#This Row],[Material]],3)="Ore",1,0))</f>
        <v/>
      </c>
      <c r="N1035" s="59">
        <f>IF(OR(tblMovement[[#This Row],[Tonnes_t]]="",tblMovement[[#This Row],[Grade_gpt]]=""),0,tblMovement[[#This Row],[Tonnes_t]]*tblMovement[[#This Row],[Grade_gpt]]/cfg_TroyOz)</f>
        <v/>
      </c>
      <c r="O1035" s="59">
        <f>IF(tblMovement[[#This Row],[Is_Ore]]=1,tblMovement[[#This Row],[Contained_oz]],0)</f>
        <v/>
      </c>
    </row>
    <row r="1036">
      <c r="A1036" s="54" t="n"/>
      <c r="B1036" s="61" t="n"/>
      <c r="C1036" s="61" t="n"/>
      <c r="D1036" s="61" t="n"/>
      <c r="E1036" s="61" t="n"/>
      <c r="F1036" s="55" t="n"/>
      <c r="G1036" s="56" t="n"/>
      <c r="H1036" s="55" t="n"/>
      <c r="I1036" s="62" t="n"/>
      <c r="J1036" s="58" t="n"/>
      <c r="K1036" s="63">
        <f>IF(tblMovement[[#This Row],[Source]]="","",IFERROR(INDEX(tblSources[Type],MATCH(tblMovement[[#This Row],[Source]],tblSources[Source],0)),"?"))</f>
        <v/>
      </c>
      <c r="L1036" s="63">
        <f>IF(tblMovement[[#This Row],[Destination]]="","",IFERROR(INDEX(tblDestinations[Type],MATCH(tblMovement[[#This Row],[Destination]],tblDestinations[Destination],0)),"?"))</f>
        <v/>
      </c>
      <c r="M1036" s="64">
        <f>IF(tblMovement[[#This Row],[Material]]="","",IF(LEFT(tblMovement[[#This Row],[Material]],3)="Ore",1,0))</f>
        <v/>
      </c>
      <c r="N1036" s="59">
        <f>IF(OR(tblMovement[[#This Row],[Tonnes_t]]="",tblMovement[[#This Row],[Grade_gpt]]=""),0,tblMovement[[#This Row],[Tonnes_t]]*tblMovement[[#This Row],[Grade_gpt]]/cfg_TroyOz)</f>
        <v/>
      </c>
      <c r="O1036" s="59">
        <f>IF(tblMovement[[#This Row],[Is_Ore]]=1,tblMovement[[#This Row],[Contained_oz]],0)</f>
        <v/>
      </c>
    </row>
    <row r="1037">
      <c r="A1037" s="54" t="n"/>
      <c r="B1037" s="61" t="n"/>
      <c r="C1037" s="61" t="n"/>
      <c r="D1037" s="61" t="n"/>
      <c r="E1037" s="61" t="n"/>
      <c r="F1037" s="55" t="n"/>
      <c r="G1037" s="56" t="n"/>
      <c r="H1037" s="55" t="n"/>
      <c r="I1037" s="62" t="n"/>
      <c r="J1037" s="58" t="n"/>
      <c r="K1037" s="63">
        <f>IF(tblMovement[[#This Row],[Source]]="","",IFERROR(INDEX(tblSources[Type],MATCH(tblMovement[[#This Row],[Source]],tblSources[Source],0)),"?"))</f>
        <v/>
      </c>
      <c r="L1037" s="63">
        <f>IF(tblMovement[[#This Row],[Destination]]="","",IFERROR(INDEX(tblDestinations[Type],MATCH(tblMovement[[#This Row],[Destination]],tblDestinations[Destination],0)),"?"))</f>
        <v/>
      </c>
      <c r="M1037" s="64">
        <f>IF(tblMovement[[#This Row],[Material]]="","",IF(LEFT(tblMovement[[#This Row],[Material]],3)="Ore",1,0))</f>
        <v/>
      </c>
      <c r="N1037" s="59">
        <f>IF(OR(tblMovement[[#This Row],[Tonnes_t]]="",tblMovement[[#This Row],[Grade_gpt]]=""),0,tblMovement[[#This Row],[Tonnes_t]]*tblMovement[[#This Row],[Grade_gpt]]/cfg_TroyOz)</f>
        <v/>
      </c>
      <c r="O1037" s="59">
        <f>IF(tblMovement[[#This Row],[Is_Ore]]=1,tblMovement[[#This Row],[Contained_oz]],0)</f>
        <v/>
      </c>
    </row>
    <row r="1038">
      <c r="A1038" s="54" t="n"/>
      <c r="B1038" s="61" t="n"/>
      <c r="C1038" s="61" t="n"/>
      <c r="D1038" s="61" t="n"/>
      <c r="E1038" s="61" t="n"/>
      <c r="F1038" s="55" t="n"/>
      <c r="G1038" s="56" t="n"/>
      <c r="H1038" s="55" t="n"/>
      <c r="I1038" s="62" t="n"/>
      <c r="J1038" s="58" t="n"/>
      <c r="K1038" s="63">
        <f>IF(tblMovement[[#This Row],[Source]]="","",IFERROR(INDEX(tblSources[Type],MATCH(tblMovement[[#This Row],[Source]],tblSources[Source],0)),"?"))</f>
        <v/>
      </c>
      <c r="L1038" s="63">
        <f>IF(tblMovement[[#This Row],[Destination]]="","",IFERROR(INDEX(tblDestinations[Type],MATCH(tblMovement[[#This Row],[Destination]],tblDestinations[Destination],0)),"?"))</f>
        <v/>
      </c>
      <c r="M1038" s="64">
        <f>IF(tblMovement[[#This Row],[Material]]="","",IF(LEFT(tblMovement[[#This Row],[Material]],3)="Ore",1,0))</f>
        <v/>
      </c>
      <c r="N1038" s="59">
        <f>IF(OR(tblMovement[[#This Row],[Tonnes_t]]="",tblMovement[[#This Row],[Grade_gpt]]=""),0,tblMovement[[#This Row],[Tonnes_t]]*tblMovement[[#This Row],[Grade_gpt]]/cfg_TroyOz)</f>
        <v/>
      </c>
      <c r="O1038" s="59">
        <f>IF(tblMovement[[#This Row],[Is_Ore]]=1,tblMovement[[#This Row],[Contained_oz]],0)</f>
        <v/>
      </c>
    </row>
    <row r="1039">
      <c r="A1039" s="54" t="n"/>
      <c r="B1039" s="61" t="n"/>
      <c r="C1039" s="61" t="n"/>
      <c r="D1039" s="61" t="n"/>
      <c r="E1039" s="61" t="n"/>
      <c r="F1039" s="55" t="n"/>
      <c r="G1039" s="56" t="n"/>
      <c r="H1039" s="55" t="n"/>
      <c r="I1039" s="62" t="n"/>
      <c r="J1039" s="58" t="n"/>
      <c r="K1039" s="63">
        <f>IF(tblMovement[[#This Row],[Source]]="","",IFERROR(INDEX(tblSources[Type],MATCH(tblMovement[[#This Row],[Source]],tblSources[Source],0)),"?"))</f>
        <v/>
      </c>
      <c r="L1039" s="63">
        <f>IF(tblMovement[[#This Row],[Destination]]="","",IFERROR(INDEX(tblDestinations[Type],MATCH(tblMovement[[#This Row],[Destination]],tblDestinations[Destination],0)),"?"))</f>
        <v/>
      </c>
      <c r="M1039" s="64">
        <f>IF(tblMovement[[#This Row],[Material]]="","",IF(LEFT(tblMovement[[#This Row],[Material]],3)="Ore",1,0))</f>
        <v/>
      </c>
      <c r="N1039" s="59">
        <f>IF(OR(tblMovement[[#This Row],[Tonnes_t]]="",tblMovement[[#This Row],[Grade_gpt]]=""),0,tblMovement[[#This Row],[Tonnes_t]]*tblMovement[[#This Row],[Grade_gpt]]/cfg_TroyOz)</f>
        <v/>
      </c>
      <c r="O1039" s="59">
        <f>IF(tblMovement[[#This Row],[Is_Ore]]=1,tblMovement[[#This Row],[Contained_oz]],0)</f>
        <v/>
      </c>
    </row>
    <row r="1040">
      <c r="A1040" s="54" t="n"/>
      <c r="B1040" s="61" t="n"/>
      <c r="C1040" s="61" t="n"/>
      <c r="D1040" s="61" t="n"/>
      <c r="E1040" s="61" t="n"/>
      <c r="F1040" s="55" t="n"/>
      <c r="G1040" s="56" t="n"/>
      <c r="H1040" s="55" t="n"/>
      <c r="I1040" s="62" t="n"/>
      <c r="J1040" s="58" t="n"/>
      <c r="K1040" s="63">
        <f>IF(tblMovement[[#This Row],[Source]]="","",IFERROR(INDEX(tblSources[Type],MATCH(tblMovement[[#This Row],[Source]],tblSources[Source],0)),"?"))</f>
        <v/>
      </c>
      <c r="L1040" s="63">
        <f>IF(tblMovement[[#This Row],[Destination]]="","",IFERROR(INDEX(tblDestinations[Type],MATCH(tblMovement[[#This Row],[Destination]],tblDestinations[Destination],0)),"?"))</f>
        <v/>
      </c>
      <c r="M1040" s="64">
        <f>IF(tblMovement[[#This Row],[Material]]="","",IF(LEFT(tblMovement[[#This Row],[Material]],3)="Ore",1,0))</f>
        <v/>
      </c>
      <c r="N1040" s="59">
        <f>IF(OR(tblMovement[[#This Row],[Tonnes_t]]="",tblMovement[[#This Row],[Grade_gpt]]=""),0,tblMovement[[#This Row],[Tonnes_t]]*tblMovement[[#This Row],[Grade_gpt]]/cfg_TroyOz)</f>
        <v/>
      </c>
      <c r="O1040" s="59">
        <f>IF(tblMovement[[#This Row],[Is_Ore]]=1,tblMovement[[#This Row],[Contained_oz]],0)</f>
        <v/>
      </c>
    </row>
    <row r="1041">
      <c r="A1041" s="54" t="n"/>
      <c r="B1041" s="61" t="n"/>
      <c r="C1041" s="61" t="n"/>
      <c r="D1041" s="61" t="n"/>
      <c r="E1041" s="61" t="n"/>
      <c r="F1041" s="55" t="n"/>
      <c r="G1041" s="56" t="n"/>
      <c r="H1041" s="55" t="n"/>
      <c r="I1041" s="62" t="n"/>
      <c r="J1041" s="58" t="n"/>
      <c r="K1041" s="63">
        <f>IF(tblMovement[[#This Row],[Source]]="","",IFERROR(INDEX(tblSources[Type],MATCH(tblMovement[[#This Row],[Source]],tblSources[Source],0)),"?"))</f>
        <v/>
      </c>
      <c r="L1041" s="63">
        <f>IF(tblMovement[[#This Row],[Destination]]="","",IFERROR(INDEX(tblDestinations[Type],MATCH(tblMovement[[#This Row],[Destination]],tblDestinations[Destination],0)),"?"))</f>
        <v/>
      </c>
      <c r="M1041" s="64">
        <f>IF(tblMovement[[#This Row],[Material]]="","",IF(LEFT(tblMovement[[#This Row],[Material]],3)="Ore",1,0))</f>
        <v/>
      </c>
      <c r="N1041" s="59">
        <f>IF(OR(tblMovement[[#This Row],[Tonnes_t]]="",tblMovement[[#This Row],[Grade_gpt]]=""),0,tblMovement[[#This Row],[Tonnes_t]]*tblMovement[[#This Row],[Grade_gpt]]/cfg_TroyOz)</f>
        <v/>
      </c>
      <c r="O1041" s="59">
        <f>IF(tblMovement[[#This Row],[Is_Ore]]=1,tblMovement[[#This Row],[Contained_oz]],0)</f>
        <v/>
      </c>
    </row>
    <row r="1042">
      <c r="A1042" s="54" t="n"/>
      <c r="B1042" s="61" t="n"/>
      <c r="C1042" s="61" t="n"/>
      <c r="D1042" s="61" t="n"/>
      <c r="E1042" s="61" t="n"/>
      <c r="F1042" s="55" t="n"/>
      <c r="G1042" s="56" t="n"/>
      <c r="H1042" s="55" t="n"/>
      <c r="I1042" s="62" t="n"/>
      <c r="J1042" s="58" t="n"/>
      <c r="K1042" s="63">
        <f>IF(tblMovement[[#This Row],[Source]]="","",IFERROR(INDEX(tblSources[Type],MATCH(tblMovement[[#This Row],[Source]],tblSources[Source],0)),"?"))</f>
        <v/>
      </c>
      <c r="L1042" s="63">
        <f>IF(tblMovement[[#This Row],[Destination]]="","",IFERROR(INDEX(tblDestinations[Type],MATCH(tblMovement[[#This Row],[Destination]],tblDestinations[Destination],0)),"?"))</f>
        <v/>
      </c>
      <c r="M1042" s="64">
        <f>IF(tblMovement[[#This Row],[Material]]="","",IF(LEFT(tblMovement[[#This Row],[Material]],3)="Ore",1,0))</f>
        <v/>
      </c>
      <c r="N1042" s="59">
        <f>IF(OR(tblMovement[[#This Row],[Tonnes_t]]="",tblMovement[[#This Row],[Grade_gpt]]=""),0,tblMovement[[#This Row],[Tonnes_t]]*tblMovement[[#This Row],[Grade_gpt]]/cfg_TroyOz)</f>
        <v/>
      </c>
      <c r="O1042" s="59">
        <f>IF(tblMovement[[#This Row],[Is_Ore]]=1,tblMovement[[#This Row],[Contained_oz]],0)</f>
        <v/>
      </c>
    </row>
    <row r="1043">
      <c r="A1043" s="54" t="n"/>
      <c r="B1043" s="61" t="n"/>
      <c r="C1043" s="61" t="n"/>
      <c r="D1043" s="61" t="n"/>
      <c r="E1043" s="61" t="n"/>
      <c r="F1043" s="55" t="n"/>
      <c r="G1043" s="56" t="n"/>
      <c r="H1043" s="55" t="n"/>
      <c r="I1043" s="62" t="n"/>
      <c r="J1043" s="58" t="n"/>
      <c r="K1043" s="63">
        <f>IF(tblMovement[[#This Row],[Source]]="","",IFERROR(INDEX(tblSources[Type],MATCH(tblMovement[[#This Row],[Source]],tblSources[Source],0)),"?"))</f>
        <v/>
      </c>
      <c r="L1043" s="63">
        <f>IF(tblMovement[[#This Row],[Destination]]="","",IFERROR(INDEX(tblDestinations[Type],MATCH(tblMovement[[#This Row],[Destination]],tblDestinations[Destination],0)),"?"))</f>
        <v/>
      </c>
      <c r="M1043" s="64">
        <f>IF(tblMovement[[#This Row],[Material]]="","",IF(LEFT(tblMovement[[#This Row],[Material]],3)="Ore",1,0))</f>
        <v/>
      </c>
      <c r="N1043" s="59">
        <f>IF(OR(tblMovement[[#This Row],[Tonnes_t]]="",tblMovement[[#This Row],[Grade_gpt]]=""),0,tblMovement[[#This Row],[Tonnes_t]]*tblMovement[[#This Row],[Grade_gpt]]/cfg_TroyOz)</f>
        <v/>
      </c>
      <c r="O1043" s="59">
        <f>IF(tblMovement[[#This Row],[Is_Ore]]=1,tblMovement[[#This Row],[Contained_oz]],0)</f>
        <v/>
      </c>
    </row>
    <row r="1044">
      <c r="A1044" s="54" t="n"/>
      <c r="B1044" s="61" t="n"/>
      <c r="C1044" s="61" t="n"/>
      <c r="D1044" s="61" t="n"/>
      <c r="E1044" s="61" t="n"/>
      <c r="F1044" s="55" t="n"/>
      <c r="G1044" s="56" t="n"/>
      <c r="H1044" s="55" t="n"/>
      <c r="I1044" s="62" t="n"/>
      <c r="J1044" s="58" t="n"/>
      <c r="K1044" s="63">
        <f>IF(tblMovement[[#This Row],[Source]]="","",IFERROR(INDEX(tblSources[Type],MATCH(tblMovement[[#This Row],[Source]],tblSources[Source],0)),"?"))</f>
        <v/>
      </c>
      <c r="L1044" s="63">
        <f>IF(tblMovement[[#This Row],[Destination]]="","",IFERROR(INDEX(tblDestinations[Type],MATCH(tblMovement[[#This Row],[Destination]],tblDestinations[Destination],0)),"?"))</f>
        <v/>
      </c>
      <c r="M1044" s="64">
        <f>IF(tblMovement[[#This Row],[Material]]="","",IF(LEFT(tblMovement[[#This Row],[Material]],3)="Ore",1,0))</f>
        <v/>
      </c>
      <c r="N1044" s="59">
        <f>IF(OR(tblMovement[[#This Row],[Tonnes_t]]="",tblMovement[[#This Row],[Grade_gpt]]=""),0,tblMovement[[#This Row],[Tonnes_t]]*tblMovement[[#This Row],[Grade_gpt]]/cfg_TroyOz)</f>
        <v/>
      </c>
      <c r="O1044" s="59">
        <f>IF(tblMovement[[#This Row],[Is_Ore]]=1,tblMovement[[#This Row],[Contained_oz]],0)</f>
        <v/>
      </c>
    </row>
    <row r="1045">
      <c r="A1045" s="54" t="n"/>
      <c r="B1045" s="61" t="n"/>
      <c r="C1045" s="61" t="n"/>
      <c r="D1045" s="61" t="n"/>
      <c r="E1045" s="61" t="n"/>
      <c r="F1045" s="55" t="n"/>
      <c r="G1045" s="56" t="n"/>
      <c r="H1045" s="55" t="n"/>
      <c r="I1045" s="62" t="n"/>
      <c r="J1045" s="58" t="n"/>
      <c r="K1045" s="63">
        <f>IF(tblMovement[[#This Row],[Source]]="","",IFERROR(INDEX(tblSources[Type],MATCH(tblMovement[[#This Row],[Source]],tblSources[Source],0)),"?"))</f>
        <v/>
      </c>
      <c r="L1045" s="63">
        <f>IF(tblMovement[[#This Row],[Destination]]="","",IFERROR(INDEX(tblDestinations[Type],MATCH(tblMovement[[#This Row],[Destination]],tblDestinations[Destination],0)),"?"))</f>
        <v/>
      </c>
      <c r="M1045" s="64">
        <f>IF(tblMovement[[#This Row],[Material]]="","",IF(LEFT(tblMovement[[#This Row],[Material]],3)="Ore",1,0))</f>
        <v/>
      </c>
      <c r="N1045" s="59">
        <f>IF(OR(tblMovement[[#This Row],[Tonnes_t]]="",tblMovement[[#This Row],[Grade_gpt]]=""),0,tblMovement[[#This Row],[Tonnes_t]]*tblMovement[[#This Row],[Grade_gpt]]/cfg_TroyOz)</f>
        <v/>
      </c>
      <c r="O1045" s="59">
        <f>IF(tblMovement[[#This Row],[Is_Ore]]=1,tblMovement[[#This Row],[Contained_oz]],0)</f>
        <v/>
      </c>
    </row>
    <row r="1046">
      <c r="A1046" s="54" t="n"/>
      <c r="B1046" s="61" t="n"/>
      <c r="C1046" s="61" t="n"/>
      <c r="D1046" s="61" t="n"/>
      <c r="E1046" s="61" t="n"/>
      <c r="F1046" s="55" t="n"/>
      <c r="G1046" s="56" t="n"/>
      <c r="H1046" s="55" t="n"/>
      <c r="I1046" s="62" t="n"/>
      <c r="J1046" s="58" t="n"/>
      <c r="K1046" s="63">
        <f>IF(tblMovement[[#This Row],[Source]]="","",IFERROR(INDEX(tblSources[Type],MATCH(tblMovement[[#This Row],[Source]],tblSources[Source],0)),"?"))</f>
        <v/>
      </c>
      <c r="L1046" s="63">
        <f>IF(tblMovement[[#This Row],[Destination]]="","",IFERROR(INDEX(tblDestinations[Type],MATCH(tblMovement[[#This Row],[Destination]],tblDestinations[Destination],0)),"?"))</f>
        <v/>
      </c>
      <c r="M1046" s="64">
        <f>IF(tblMovement[[#This Row],[Material]]="","",IF(LEFT(tblMovement[[#This Row],[Material]],3)="Ore",1,0))</f>
        <v/>
      </c>
      <c r="N1046" s="59">
        <f>IF(OR(tblMovement[[#This Row],[Tonnes_t]]="",tblMovement[[#This Row],[Grade_gpt]]=""),0,tblMovement[[#This Row],[Tonnes_t]]*tblMovement[[#This Row],[Grade_gpt]]/cfg_TroyOz)</f>
        <v/>
      </c>
      <c r="O1046" s="59">
        <f>IF(tblMovement[[#This Row],[Is_Ore]]=1,tblMovement[[#This Row],[Contained_oz]],0)</f>
        <v/>
      </c>
    </row>
    <row r="1047">
      <c r="A1047" s="54" t="n"/>
      <c r="B1047" s="61" t="n"/>
      <c r="C1047" s="61" t="n"/>
      <c r="D1047" s="61" t="n"/>
      <c r="E1047" s="61" t="n"/>
      <c r="F1047" s="55" t="n"/>
      <c r="G1047" s="56" t="n"/>
      <c r="H1047" s="55" t="n"/>
      <c r="I1047" s="62" t="n"/>
      <c r="J1047" s="58" t="n"/>
      <c r="K1047" s="63">
        <f>IF(tblMovement[[#This Row],[Source]]="","",IFERROR(INDEX(tblSources[Type],MATCH(tblMovement[[#This Row],[Source]],tblSources[Source],0)),"?"))</f>
        <v/>
      </c>
      <c r="L1047" s="63">
        <f>IF(tblMovement[[#This Row],[Destination]]="","",IFERROR(INDEX(tblDestinations[Type],MATCH(tblMovement[[#This Row],[Destination]],tblDestinations[Destination],0)),"?"))</f>
        <v/>
      </c>
      <c r="M1047" s="64">
        <f>IF(tblMovement[[#This Row],[Material]]="","",IF(LEFT(tblMovement[[#This Row],[Material]],3)="Ore",1,0))</f>
        <v/>
      </c>
      <c r="N1047" s="59">
        <f>IF(OR(tblMovement[[#This Row],[Tonnes_t]]="",tblMovement[[#This Row],[Grade_gpt]]=""),0,tblMovement[[#This Row],[Tonnes_t]]*tblMovement[[#This Row],[Grade_gpt]]/cfg_TroyOz)</f>
        <v/>
      </c>
      <c r="O1047" s="59">
        <f>IF(tblMovement[[#This Row],[Is_Ore]]=1,tblMovement[[#This Row],[Contained_oz]],0)</f>
        <v/>
      </c>
    </row>
    <row r="1048">
      <c r="A1048" s="54" t="n"/>
      <c r="B1048" s="61" t="n"/>
      <c r="C1048" s="61" t="n"/>
      <c r="D1048" s="61" t="n"/>
      <c r="E1048" s="61" t="n"/>
      <c r="F1048" s="55" t="n"/>
      <c r="G1048" s="56" t="n"/>
      <c r="H1048" s="55" t="n"/>
      <c r="I1048" s="62" t="n"/>
      <c r="J1048" s="58" t="n"/>
      <c r="K1048" s="63">
        <f>IF(tblMovement[[#This Row],[Source]]="","",IFERROR(INDEX(tblSources[Type],MATCH(tblMovement[[#This Row],[Source]],tblSources[Source],0)),"?"))</f>
        <v/>
      </c>
      <c r="L1048" s="63">
        <f>IF(tblMovement[[#This Row],[Destination]]="","",IFERROR(INDEX(tblDestinations[Type],MATCH(tblMovement[[#This Row],[Destination]],tblDestinations[Destination],0)),"?"))</f>
        <v/>
      </c>
      <c r="M1048" s="64">
        <f>IF(tblMovement[[#This Row],[Material]]="","",IF(LEFT(tblMovement[[#This Row],[Material]],3)="Ore",1,0))</f>
        <v/>
      </c>
      <c r="N1048" s="59">
        <f>IF(OR(tblMovement[[#This Row],[Tonnes_t]]="",tblMovement[[#This Row],[Grade_gpt]]=""),0,tblMovement[[#This Row],[Tonnes_t]]*tblMovement[[#This Row],[Grade_gpt]]/cfg_TroyOz)</f>
        <v/>
      </c>
      <c r="O1048" s="59">
        <f>IF(tblMovement[[#This Row],[Is_Ore]]=1,tblMovement[[#This Row],[Contained_oz]],0)</f>
        <v/>
      </c>
    </row>
    <row r="1049">
      <c r="A1049" s="54" t="n"/>
      <c r="B1049" s="61" t="n"/>
      <c r="C1049" s="61" t="n"/>
      <c r="D1049" s="61" t="n"/>
      <c r="E1049" s="61" t="n"/>
      <c r="F1049" s="55" t="n"/>
      <c r="G1049" s="56" t="n"/>
      <c r="H1049" s="55" t="n"/>
      <c r="I1049" s="62" t="n"/>
      <c r="J1049" s="58" t="n"/>
      <c r="K1049" s="63">
        <f>IF(tblMovement[[#This Row],[Source]]="","",IFERROR(INDEX(tblSources[Type],MATCH(tblMovement[[#This Row],[Source]],tblSources[Source],0)),"?"))</f>
        <v/>
      </c>
      <c r="L1049" s="63">
        <f>IF(tblMovement[[#This Row],[Destination]]="","",IFERROR(INDEX(tblDestinations[Type],MATCH(tblMovement[[#This Row],[Destination]],tblDestinations[Destination],0)),"?"))</f>
        <v/>
      </c>
      <c r="M1049" s="64">
        <f>IF(tblMovement[[#This Row],[Material]]="","",IF(LEFT(tblMovement[[#This Row],[Material]],3)="Ore",1,0))</f>
        <v/>
      </c>
      <c r="N1049" s="59">
        <f>IF(OR(tblMovement[[#This Row],[Tonnes_t]]="",tblMovement[[#This Row],[Grade_gpt]]=""),0,tblMovement[[#This Row],[Tonnes_t]]*tblMovement[[#This Row],[Grade_gpt]]/cfg_TroyOz)</f>
        <v/>
      </c>
      <c r="O1049" s="59">
        <f>IF(tblMovement[[#This Row],[Is_Ore]]=1,tblMovement[[#This Row],[Contained_oz]],0)</f>
        <v/>
      </c>
    </row>
    <row r="1050">
      <c r="A1050" s="54" t="n"/>
      <c r="B1050" s="61" t="n"/>
      <c r="C1050" s="61" t="n"/>
      <c r="D1050" s="61" t="n"/>
      <c r="E1050" s="61" t="n"/>
      <c r="F1050" s="55" t="n"/>
      <c r="G1050" s="56" t="n"/>
      <c r="H1050" s="55" t="n"/>
      <c r="I1050" s="62" t="n"/>
      <c r="J1050" s="58" t="n"/>
      <c r="K1050" s="63">
        <f>IF(tblMovement[[#This Row],[Source]]="","",IFERROR(INDEX(tblSources[Type],MATCH(tblMovement[[#This Row],[Source]],tblSources[Source],0)),"?"))</f>
        <v/>
      </c>
      <c r="L1050" s="63">
        <f>IF(tblMovement[[#This Row],[Destination]]="","",IFERROR(INDEX(tblDestinations[Type],MATCH(tblMovement[[#This Row],[Destination]],tblDestinations[Destination],0)),"?"))</f>
        <v/>
      </c>
      <c r="M1050" s="64">
        <f>IF(tblMovement[[#This Row],[Material]]="","",IF(LEFT(tblMovement[[#This Row],[Material]],3)="Ore",1,0))</f>
        <v/>
      </c>
      <c r="N1050" s="59">
        <f>IF(OR(tblMovement[[#This Row],[Tonnes_t]]="",tblMovement[[#This Row],[Grade_gpt]]=""),0,tblMovement[[#This Row],[Tonnes_t]]*tblMovement[[#This Row],[Grade_gpt]]/cfg_TroyOz)</f>
        <v/>
      </c>
      <c r="O1050" s="59">
        <f>IF(tblMovement[[#This Row],[Is_Ore]]=1,tblMovement[[#This Row],[Contained_oz]],0)</f>
        <v/>
      </c>
    </row>
    <row r="1051">
      <c r="A1051" s="54" t="n"/>
      <c r="B1051" s="61" t="n"/>
      <c r="C1051" s="61" t="n"/>
      <c r="D1051" s="61" t="n"/>
      <c r="E1051" s="61" t="n"/>
      <c r="F1051" s="55" t="n"/>
      <c r="G1051" s="56" t="n"/>
      <c r="H1051" s="55" t="n"/>
      <c r="I1051" s="62" t="n"/>
      <c r="J1051" s="58" t="n"/>
      <c r="K1051" s="63">
        <f>IF(tblMovement[[#This Row],[Source]]="","",IFERROR(INDEX(tblSources[Type],MATCH(tblMovement[[#This Row],[Source]],tblSources[Source],0)),"?"))</f>
        <v/>
      </c>
      <c r="L1051" s="63">
        <f>IF(tblMovement[[#This Row],[Destination]]="","",IFERROR(INDEX(tblDestinations[Type],MATCH(tblMovement[[#This Row],[Destination]],tblDestinations[Destination],0)),"?"))</f>
        <v/>
      </c>
      <c r="M1051" s="64">
        <f>IF(tblMovement[[#This Row],[Material]]="","",IF(LEFT(tblMovement[[#This Row],[Material]],3)="Ore",1,0))</f>
        <v/>
      </c>
      <c r="N1051" s="59">
        <f>IF(OR(tblMovement[[#This Row],[Tonnes_t]]="",tblMovement[[#This Row],[Grade_gpt]]=""),0,tblMovement[[#This Row],[Tonnes_t]]*tblMovement[[#This Row],[Grade_gpt]]/cfg_TroyOz)</f>
        <v/>
      </c>
      <c r="O1051" s="59">
        <f>IF(tblMovement[[#This Row],[Is_Ore]]=1,tblMovement[[#This Row],[Contained_oz]],0)</f>
        <v/>
      </c>
    </row>
    <row r="1052">
      <c r="A1052" s="54" t="n"/>
      <c r="B1052" s="61" t="n"/>
      <c r="C1052" s="61" t="n"/>
      <c r="D1052" s="61" t="n"/>
      <c r="E1052" s="61" t="n"/>
      <c r="F1052" s="55" t="n"/>
      <c r="G1052" s="56" t="n"/>
      <c r="H1052" s="55" t="n"/>
      <c r="I1052" s="62" t="n"/>
      <c r="J1052" s="58" t="n"/>
      <c r="K1052" s="63">
        <f>IF(tblMovement[[#This Row],[Source]]="","",IFERROR(INDEX(tblSources[Type],MATCH(tblMovement[[#This Row],[Source]],tblSources[Source],0)),"?"))</f>
        <v/>
      </c>
      <c r="L1052" s="63">
        <f>IF(tblMovement[[#This Row],[Destination]]="","",IFERROR(INDEX(tblDestinations[Type],MATCH(tblMovement[[#This Row],[Destination]],tblDestinations[Destination],0)),"?"))</f>
        <v/>
      </c>
      <c r="M1052" s="64">
        <f>IF(tblMovement[[#This Row],[Material]]="","",IF(LEFT(tblMovement[[#This Row],[Material]],3)="Ore",1,0))</f>
        <v/>
      </c>
      <c r="N1052" s="59">
        <f>IF(OR(tblMovement[[#This Row],[Tonnes_t]]="",tblMovement[[#This Row],[Grade_gpt]]=""),0,tblMovement[[#This Row],[Tonnes_t]]*tblMovement[[#This Row],[Grade_gpt]]/cfg_TroyOz)</f>
        <v/>
      </c>
      <c r="O1052" s="59">
        <f>IF(tblMovement[[#This Row],[Is_Ore]]=1,tblMovement[[#This Row],[Contained_oz]],0)</f>
        <v/>
      </c>
    </row>
    <row r="1053">
      <c r="A1053" s="54" t="n"/>
      <c r="B1053" s="61" t="n"/>
      <c r="C1053" s="61" t="n"/>
      <c r="D1053" s="61" t="n"/>
      <c r="E1053" s="61" t="n"/>
      <c r="F1053" s="55" t="n"/>
      <c r="G1053" s="56" t="n"/>
      <c r="H1053" s="55" t="n"/>
      <c r="I1053" s="62" t="n"/>
      <c r="J1053" s="58" t="n"/>
      <c r="K1053" s="63">
        <f>IF(tblMovement[[#This Row],[Source]]="","",IFERROR(INDEX(tblSources[Type],MATCH(tblMovement[[#This Row],[Source]],tblSources[Source],0)),"?"))</f>
        <v/>
      </c>
      <c r="L1053" s="63">
        <f>IF(tblMovement[[#This Row],[Destination]]="","",IFERROR(INDEX(tblDestinations[Type],MATCH(tblMovement[[#This Row],[Destination]],tblDestinations[Destination],0)),"?"))</f>
        <v/>
      </c>
      <c r="M1053" s="64">
        <f>IF(tblMovement[[#This Row],[Material]]="","",IF(LEFT(tblMovement[[#This Row],[Material]],3)="Ore",1,0))</f>
        <v/>
      </c>
      <c r="N1053" s="59">
        <f>IF(OR(tblMovement[[#This Row],[Tonnes_t]]="",tblMovement[[#This Row],[Grade_gpt]]=""),0,tblMovement[[#This Row],[Tonnes_t]]*tblMovement[[#This Row],[Grade_gpt]]/cfg_TroyOz)</f>
        <v/>
      </c>
      <c r="O1053" s="59">
        <f>IF(tblMovement[[#This Row],[Is_Ore]]=1,tblMovement[[#This Row],[Contained_oz]],0)</f>
        <v/>
      </c>
    </row>
    <row r="1054">
      <c r="A1054" s="54" t="n"/>
      <c r="B1054" s="61" t="n"/>
      <c r="C1054" s="61" t="n"/>
      <c r="D1054" s="61" t="n"/>
      <c r="E1054" s="61" t="n"/>
      <c r="F1054" s="55" t="n"/>
      <c r="G1054" s="56" t="n"/>
      <c r="H1054" s="55" t="n"/>
      <c r="I1054" s="62" t="n"/>
      <c r="J1054" s="58" t="n"/>
      <c r="K1054" s="63">
        <f>IF(tblMovement[[#This Row],[Source]]="","",IFERROR(INDEX(tblSources[Type],MATCH(tblMovement[[#This Row],[Source]],tblSources[Source],0)),"?"))</f>
        <v/>
      </c>
      <c r="L1054" s="63">
        <f>IF(tblMovement[[#This Row],[Destination]]="","",IFERROR(INDEX(tblDestinations[Type],MATCH(tblMovement[[#This Row],[Destination]],tblDestinations[Destination],0)),"?"))</f>
        <v/>
      </c>
      <c r="M1054" s="64">
        <f>IF(tblMovement[[#This Row],[Material]]="","",IF(LEFT(tblMovement[[#This Row],[Material]],3)="Ore",1,0))</f>
        <v/>
      </c>
      <c r="N1054" s="59">
        <f>IF(OR(tblMovement[[#This Row],[Tonnes_t]]="",tblMovement[[#This Row],[Grade_gpt]]=""),0,tblMovement[[#This Row],[Tonnes_t]]*tblMovement[[#This Row],[Grade_gpt]]/cfg_TroyOz)</f>
        <v/>
      </c>
      <c r="O1054" s="59">
        <f>IF(tblMovement[[#This Row],[Is_Ore]]=1,tblMovement[[#This Row],[Contained_oz]],0)</f>
        <v/>
      </c>
    </row>
    <row r="1055">
      <c r="A1055" s="54" t="n"/>
      <c r="B1055" s="61" t="n"/>
      <c r="C1055" s="61" t="n"/>
      <c r="D1055" s="61" t="n"/>
      <c r="E1055" s="61" t="n"/>
      <c r="F1055" s="55" t="n"/>
      <c r="G1055" s="56" t="n"/>
      <c r="H1055" s="55" t="n"/>
      <c r="I1055" s="62" t="n"/>
      <c r="J1055" s="58" t="n"/>
      <c r="K1055" s="63">
        <f>IF(tblMovement[[#This Row],[Source]]="","",IFERROR(INDEX(tblSources[Type],MATCH(tblMovement[[#This Row],[Source]],tblSources[Source],0)),"?"))</f>
        <v/>
      </c>
      <c r="L1055" s="63">
        <f>IF(tblMovement[[#This Row],[Destination]]="","",IFERROR(INDEX(tblDestinations[Type],MATCH(tblMovement[[#This Row],[Destination]],tblDestinations[Destination],0)),"?"))</f>
        <v/>
      </c>
      <c r="M1055" s="64">
        <f>IF(tblMovement[[#This Row],[Material]]="","",IF(LEFT(tblMovement[[#This Row],[Material]],3)="Ore",1,0))</f>
        <v/>
      </c>
      <c r="N1055" s="59">
        <f>IF(OR(tblMovement[[#This Row],[Tonnes_t]]="",tblMovement[[#This Row],[Grade_gpt]]=""),0,tblMovement[[#This Row],[Tonnes_t]]*tblMovement[[#This Row],[Grade_gpt]]/cfg_TroyOz)</f>
        <v/>
      </c>
      <c r="O1055" s="59">
        <f>IF(tblMovement[[#This Row],[Is_Ore]]=1,tblMovement[[#This Row],[Contained_oz]],0)</f>
        <v/>
      </c>
    </row>
    <row r="1056">
      <c r="A1056" s="54" t="n"/>
      <c r="B1056" s="61" t="n"/>
      <c r="C1056" s="61" t="n"/>
      <c r="D1056" s="61" t="n"/>
      <c r="E1056" s="61" t="n"/>
      <c r="F1056" s="55" t="n"/>
      <c r="G1056" s="56" t="n"/>
      <c r="H1056" s="55" t="n"/>
      <c r="I1056" s="62" t="n"/>
      <c r="J1056" s="58" t="n"/>
      <c r="K1056" s="63">
        <f>IF(tblMovement[[#This Row],[Source]]="","",IFERROR(INDEX(tblSources[Type],MATCH(tblMovement[[#This Row],[Source]],tblSources[Source],0)),"?"))</f>
        <v/>
      </c>
      <c r="L1056" s="63">
        <f>IF(tblMovement[[#This Row],[Destination]]="","",IFERROR(INDEX(tblDestinations[Type],MATCH(tblMovement[[#This Row],[Destination]],tblDestinations[Destination],0)),"?"))</f>
        <v/>
      </c>
      <c r="M1056" s="64">
        <f>IF(tblMovement[[#This Row],[Material]]="","",IF(LEFT(tblMovement[[#This Row],[Material]],3)="Ore",1,0))</f>
        <v/>
      </c>
      <c r="N1056" s="59">
        <f>IF(OR(tblMovement[[#This Row],[Tonnes_t]]="",tblMovement[[#This Row],[Grade_gpt]]=""),0,tblMovement[[#This Row],[Tonnes_t]]*tblMovement[[#This Row],[Grade_gpt]]/cfg_TroyOz)</f>
        <v/>
      </c>
      <c r="O1056" s="59">
        <f>IF(tblMovement[[#This Row],[Is_Ore]]=1,tblMovement[[#This Row],[Contained_oz]],0)</f>
        <v/>
      </c>
    </row>
    <row r="1057">
      <c r="A1057" s="54" t="n"/>
      <c r="B1057" s="61" t="n"/>
      <c r="C1057" s="61" t="n"/>
      <c r="D1057" s="61" t="n"/>
      <c r="E1057" s="61" t="n"/>
      <c r="F1057" s="55" t="n"/>
      <c r="G1057" s="56" t="n"/>
      <c r="H1057" s="55" t="n"/>
      <c r="I1057" s="62" t="n"/>
      <c r="J1057" s="58" t="n"/>
      <c r="K1057" s="63">
        <f>IF(tblMovement[[#This Row],[Source]]="","",IFERROR(INDEX(tblSources[Type],MATCH(tblMovement[[#This Row],[Source]],tblSources[Source],0)),"?"))</f>
        <v/>
      </c>
      <c r="L1057" s="63">
        <f>IF(tblMovement[[#This Row],[Destination]]="","",IFERROR(INDEX(tblDestinations[Type],MATCH(tblMovement[[#This Row],[Destination]],tblDestinations[Destination],0)),"?"))</f>
        <v/>
      </c>
      <c r="M1057" s="64">
        <f>IF(tblMovement[[#This Row],[Material]]="","",IF(LEFT(tblMovement[[#This Row],[Material]],3)="Ore",1,0))</f>
        <v/>
      </c>
      <c r="N1057" s="59">
        <f>IF(OR(tblMovement[[#This Row],[Tonnes_t]]="",tblMovement[[#This Row],[Grade_gpt]]=""),0,tblMovement[[#This Row],[Tonnes_t]]*tblMovement[[#This Row],[Grade_gpt]]/cfg_TroyOz)</f>
        <v/>
      </c>
      <c r="O1057" s="59">
        <f>IF(tblMovement[[#This Row],[Is_Ore]]=1,tblMovement[[#This Row],[Contained_oz]],0)</f>
        <v/>
      </c>
    </row>
    <row r="1058">
      <c r="A1058" s="54" t="n"/>
      <c r="B1058" s="61" t="n"/>
      <c r="C1058" s="61" t="n"/>
      <c r="D1058" s="61" t="n"/>
      <c r="E1058" s="61" t="n"/>
      <c r="F1058" s="55" t="n"/>
      <c r="G1058" s="56" t="n"/>
      <c r="H1058" s="55" t="n"/>
      <c r="I1058" s="62" t="n"/>
      <c r="J1058" s="58" t="n"/>
      <c r="K1058" s="63">
        <f>IF(tblMovement[[#This Row],[Source]]="","",IFERROR(INDEX(tblSources[Type],MATCH(tblMovement[[#This Row],[Source]],tblSources[Source],0)),"?"))</f>
        <v/>
      </c>
      <c r="L1058" s="63">
        <f>IF(tblMovement[[#This Row],[Destination]]="","",IFERROR(INDEX(tblDestinations[Type],MATCH(tblMovement[[#This Row],[Destination]],tblDestinations[Destination],0)),"?"))</f>
        <v/>
      </c>
      <c r="M1058" s="64">
        <f>IF(tblMovement[[#This Row],[Material]]="","",IF(LEFT(tblMovement[[#This Row],[Material]],3)="Ore",1,0))</f>
        <v/>
      </c>
      <c r="N1058" s="59">
        <f>IF(OR(tblMovement[[#This Row],[Tonnes_t]]="",tblMovement[[#This Row],[Grade_gpt]]=""),0,tblMovement[[#This Row],[Tonnes_t]]*tblMovement[[#This Row],[Grade_gpt]]/cfg_TroyOz)</f>
        <v/>
      </c>
      <c r="O1058" s="59">
        <f>IF(tblMovement[[#This Row],[Is_Ore]]=1,tblMovement[[#This Row],[Contained_oz]],0)</f>
        <v/>
      </c>
    </row>
    <row r="1059">
      <c r="A1059" s="54" t="n"/>
      <c r="B1059" s="61" t="n"/>
      <c r="C1059" s="61" t="n"/>
      <c r="D1059" s="61" t="n"/>
      <c r="E1059" s="61" t="n"/>
      <c r="F1059" s="55" t="n"/>
      <c r="G1059" s="56" t="n"/>
      <c r="H1059" s="55" t="n"/>
      <c r="I1059" s="62" t="n"/>
      <c r="J1059" s="58" t="n"/>
      <c r="K1059" s="63">
        <f>IF(tblMovement[[#This Row],[Source]]="","",IFERROR(INDEX(tblSources[Type],MATCH(tblMovement[[#This Row],[Source]],tblSources[Source],0)),"?"))</f>
        <v/>
      </c>
      <c r="L1059" s="63">
        <f>IF(tblMovement[[#This Row],[Destination]]="","",IFERROR(INDEX(tblDestinations[Type],MATCH(tblMovement[[#This Row],[Destination]],tblDestinations[Destination],0)),"?"))</f>
        <v/>
      </c>
      <c r="M1059" s="64">
        <f>IF(tblMovement[[#This Row],[Material]]="","",IF(LEFT(tblMovement[[#This Row],[Material]],3)="Ore",1,0))</f>
        <v/>
      </c>
      <c r="N1059" s="59">
        <f>IF(OR(tblMovement[[#This Row],[Tonnes_t]]="",tblMovement[[#This Row],[Grade_gpt]]=""),0,tblMovement[[#This Row],[Tonnes_t]]*tblMovement[[#This Row],[Grade_gpt]]/cfg_TroyOz)</f>
        <v/>
      </c>
      <c r="O1059" s="59">
        <f>IF(tblMovement[[#This Row],[Is_Ore]]=1,tblMovement[[#This Row],[Contained_oz]],0)</f>
        <v/>
      </c>
    </row>
    <row r="1060">
      <c r="A1060" s="54" t="n"/>
      <c r="B1060" s="61" t="n"/>
      <c r="C1060" s="61" t="n"/>
      <c r="D1060" s="61" t="n"/>
      <c r="E1060" s="61" t="n"/>
      <c r="F1060" s="55" t="n"/>
      <c r="G1060" s="56" t="n"/>
      <c r="H1060" s="55" t="n"/>
      <c r="I1060" s="62" t="n"/>
      <c r="J1060" s="58" t="n"/>
      <c r="K1060" s="63">
        <f>IF(tblMovement[[#This Row],[Source]]="","",IFERROR(INDEX(tblSources[Type],MATCH(tblMovement[[#This Row],[Source]],tblSources[Source],0)),"?"))</f>
        <v/>
      </c>
      <c r="L1060" s="63">
        <f>IF(tblMovement[[#This Row],[Destination]]="","",IFERROR(INDEX(tblDestinations[Type],MATCH(tblMovement[[#This Row],[Destination]],tblDestinations[Destination],0)),"?"))</f>
        <v/>
      </c>
      <c r="M1060" s="64">
        <f>IF(tblMovement[[#This Row],[Material]]="","",IF(LEFT(tblMovement[[#This Row],[Material]],3)="Ore",1,0))</f>
        <v/>
      </c>
      <c r="N1060" s="59">
        <f>IF(OR(tblMovement[[#This Row],[Tonnes_t]]="",tblMovement[[#This Row],[Grade_gpt]]=""),0,tblMovement[[#This Row],[Tonnes_t]]*tblMovement[[#This Row],[Grade_gpt]]/cfg_TroyOz)</f>
        <v/>
      </c>
      <c r="O1060" s="59">
        <f>IF(tblMovement[[#This Row],[Is_Ore]]=1,tblMovement[[#This Row],[Contained_oz]],0)</f>
        <v/>
      </c>
    </row>
    <row r="1061">
      <c r="A1061" s="54" t="n"/>
      <c r="B1061" s="61" t="n"/>
      <c r="C1061" s="61" t="n"/>
      <c r="D1061" s="61" t="n"/>
      <c r="E1061" s="61" t="n"/>
      <c r="F1061" s="55" t="n"/>
      <c r="G1061" s="56" t="n"/>
      <c r="H1061" s="55" t="n"/>
      <c r="I1061" s="62" t="n"/>
      <c r="J1061" s="58" t="n"/>
      <c r="K1061" s="63">
        <f>IF(tblMovement[[#This Row],[Source]]="","",IFERROR(INDEX(tblSources[Type],MATCH(tblMovement[[#This Row],[Source]],tblSources[Source],0)),"?"))</f>
        <v/>
      </c>
      <c r="L1061" s="63">
        <f>IF(tblMovement[[#This Row],[Destination]]="","",IFERROR(INDEX(tblDestinations[Type],MATCH(tblMovement[[#This Row],[Destination]],tblDestinations[Destination],0)),"?"))</f>
        <v/>
      </c>
      <c r="M1061" s="64">
        <f>IF(tblMovement[[#This Row],[Material]]="","",IF(LEFT(tblMovement[[#This Row],[Material]],3)="Ore",1,0))</f>
        <v/>
      </c>
      <c r="N1061" s="59">
        <f>IF(OR(tblMovement[[#This Row],[Tonnes_t]]="",tblMovement[[#This Row],[Grade_gpt]]=""),0,tblMovement[[#This Row],[Tonnes_t]]*tblMovement[[#This Row],[Grade_gpt]]/cfg_TroyOz)</f>
        <v/>
      </c>
      <c r="O1061" s="59">
        <f>IF(tblMovement[[#This Row],[Is_Ore]]=1,tblMovement[[#This Row],[Contained_oz]],0)</f>
        <v/>
      </c>
    </row>
    <row r="1062">
      <c r="A1062" s="54" t="n"/>
      <c r="B1062" s="61" t="n"/>
      <c r="C1062" s="61" t="n"/>
      <c r="D1062" s="61" t="n"/>
      <c r="E1062" s="61" t="n"/>
      <c r="F1062" s="55" t="n"/>
      <c r="G1062" s="56" t="n"/>
      <c r="H1062" s="55" t="n"/>
      <c r="I1062" s="62" t="n"/>
      <c r="J1062" s="58" t="n"/>
      <c r="K1062" s="63">
        <f>IF(tblMovement[[#This Row],[Source]]="","",IFERROR(INDEX(tblSources[Type],MATCH(tblMovement[[#This Row],[Source]],tblSources[Source],0)),"?"))</f>
        <v/>
      </c>
      <c r="L1062" s="63">
        <f>IF(tblMovement[[#This Row],[Destination]]="","",IFERROR(INDEX(tblDestinations[Type],MATCH(tblMovement[[#This Row],[Destination]],tblDestinations[Destination],0)),"?"))</f>
        <v/>
      </c>
      <c r="M1062" s="64">
        <f>IF(tblMovement[[#This Row],[Material]]="","",IF(LEFT(tblMovement[[#This Row],[Material]],3)="Ore",1,0))</f>
        <v/>
      </c>
      <c r="N1062" s="59">
        <f>IF(OR(tblMovement[[#This Row],[Tonnes_t]]="",tblMovement[[#This Row],[Grade_gpt]]=""),0,tblMovement[[#This Row],[Tonnes_t]]*tblMovement[[#This Row],[Grade_gpt]]/cfg_TroyOz)</f>
        <v/>
      </c>
      <c r="O1062" s="59">
        <f>IF(tblMovement[[#This Row],[Is_Ore]]=1,tblMovement[[#This Row],[Contained_oz]],0)</f>
        <v/>
      </c>
    </row>
    <row r="1063">
      <c r="A1063" s="54" t="n"/>
      <c r="B1063" s="61" t="n"/>
      <c r="C1063" s="61" t="n"/>
      <c r="D1063" s="61" t="n"/>
      <c r="E1063" s="61" t="n"/>
      <c r="F1063" s="55" t="n"/>
      <c r="G1063" s="56" t="n"/>
      <c r="H1063" s="55" t="n"/>
      <c r="I1063" s="62" t="n"/>
      <c r="J1063" s="58" t="n"/>
      <c r="K1063" s="63">
        <f>IF(tblMovement[[#This Row],[Source]]="","",IFERROR(INDEX(tblSources[Type],MATCH(tblMovement[[#This Row],[Source]],tblSources[Source],0)),"?"))</f>
        <v/>
      </c>
      <c r="L1063" s="63">
        <f>IF(tblMovement[[#This Row],[Destination]]="","",IFERROR(INDEX(tblDestinations[Type],MATCH(tblMovement[[#This Row],[Destination]],tblDestinations[Destination],0)),"?"))</f>
        <v/>
      </c>
      <c r="M1063" s="64">
        <f>IF(tblMovement[[#This Row],[Material]]="","",IF(LEFT(tblMovement[[#This Row],[Material]],3)="Ore",1,0))</f>
        <v/>
      </c>
      <c r="N1063" s="59">
        <f>IF(OR(tblMovement[[#This Row],[Tonnes_t]]="",tblMovement[[#This Row],[Grade_gpt]]=""),0,tblMovement[[#This Row],[Tonnes_t]]*tblMovement[[#This Row],[Grade_gpt]]/cfg_TroyOz)</f>
        <v/>
      </c>
      <c r="O1063" s="59">
        <f>IF(tblMovement[[#This Row],[Is_Ore]]=1,tblMovement[[#This Row],[Contained_oz]],0)</f>
        <v/>
      </c>
    </row>
    <row r="1064">
      <c r="A1064" s="54" t="n"/>
      <c r="B1064" s="61" t="n"/>
      <c r="C1064" s="61" t="n"/>
      <c r="D1064" s="61" t="n"/>
      <c r="E1064" s="61" t="n"/>
      <c r="F1064" s="55" t="n"/>
      <c r="G1064" s="56" t="n"/>
      <c r="H1064" s="55" t="n"/>
      <c r="I1064" s="62" t="n"/>
      <c r="J1064" s="58" t="n"/>
      <c r="K1064" s="63">
        <f>IF(tblMovement[[#This Row],[Source]]="","",IFERROR(INDEX(tblSources[Type],MATCH(tblMovement[[#This Row],[Source]],tblSources[Source],0)),"?"))</f>
        <v/>
      </c>
      <c r="L1064" s="63">
        <f>IF(tblMovement[[#This Row],[Destination]]="","",IFERROR(INDEX(tblDestinations[Type],MATCH(tblMovement[[#This Row],[Destination]],tblDestinations[Destination],0)),"?"))</f>
        <v/>
      </c>
      <c r="M1064" s="64">
        <f>IF(tblMovement[[#This Row],[Material]]="","",IF(LEFT(tblMovement[[#This Row],[Material]],3)="Ore",1,0))</f>
        <v/>
      </c>
      <c r="N1064" s="59">
        <f>IF(OR(tblMovement[[#This Row],[Tonnes_t]]="",tblMovement[[#This Row],[Grade_gpt]]=""),0,tblMovement[[#This Row],[Tonnes_t]]*tblMovement[[#This Row],[Grade_gpt]]/cfg_TroyOz)</f>
        <v/>
      </c>
      <c r="O1064" s="59">
        <f>IF(tblMovement[[#This Row],[Is_Ore]]=1,tblMovement[[#This Row],[Contained_oz]],0)</f>
        <v/>
      </c>
    </row>
    <row r="1065">
      <c r="A1065" s="54" t="n"/>
      <c r="B1065" s="61" t="n"/>
      <c r="C1065" s="61" t="n"/>
      <c r="D1065" s="61" t="n"/>
      <c r="E1065" s="61" t="n"/>
      <c r="F1065" s="55" t="n"/>
      <c r="G1065" s="56" t="n"/>
      <c r="H1065" s="55" t="n"/>
      <c r="I1065" s="62" t="n"/>
      <c r="J1065" s="58" t="n"/>
      <c r="K1065" s="63">
        <f>IF(tblMovement[[#This Row],[Source]]="","",IFERROR(INDEX(tblSources[Type],MATCH(tblMovement[[#This Row],[Source]],tblSources[Source],0)),"?"))</f>
        <v/>
      </c>
      <c r="L1065" s="63">
        <f>IF(tblMovement[[#This Row],[Destination]]="","",IFERROR(INDEX(tblDestinations[Type],MATCH(tblMovement[[#This Row],[Destination]],tblDestinations[Destination],0)),"?"))</f>
        <v/>
      </c>
      <c r="M1065" s="64">
        <f>IF(tblMovement[[#This Row],[Material]]="","",IF(LEFT(tblMovement[[#This Row],[Material]],3)="Ore",1,0))</f>
        <v/>
      </c>
      <c r="N1065" s="59">
        <f>IF(OR(tblMovement[[#This Row],[Tonnes_t]]="",tblMovement[[#This Row],[Grade_gpt]]=""),0,tblMovement[[#This Row],[Tonnes_t]]*tblMovement[[#This Row],[Grade_gpt]]/cfg_TroyOz)</f>
        <v/>
      </c>
      <c r="O1065" s="59">
        <f>IF(tblMovement[[#This Row],[Is_Ore]]=1,tblMovement[[#This Row],[Contained_oz]],0)</f>
        <v/>
      </c>
    </row>
    <row r="1066">
      <c r="A1066" s="54" t="n"/>
      <c r="B1066" s="61" t="n"/>
      <c r="C1066" s="61" t="n"/>
      <c r="D1066" s="61" t="n"/>
      <c r="E1066" s="61" t="n"/>
      <c r="F1066" s="55" t="n"/>
      <c r="G1066" s="56" t="n"/>
      <c r="H1066" s="55" t="n"/>
      <c r="I1066" s="62" t="n"/>
      <c r="J1066" s="58" t="n"/>
      <c r="K1066" s="63">
        <f>IF(tblMovement[[#This Row],[Source]]="","",IFERROR(INDEX(tblSources[Type],MATCH(tblMovement[[#This Row],[Source]],tblSources[Source],0)),"?"))</f>
        <v/>
      </c>
      <c r="L1066" s="63">
        <f>IF(tblMovement[[#This Row],[Destination]]="","",IFERROR(INDEX(tblDestinations[Type],MATCH(tblMovement[[#This Row],[Destination]],tblDestinations[Destination],0)),"?"))</f>
        <v/>
      </c>
      <c r="M1066" s="64">
        <f>IF(tblMovement[[#This Row],[Material]]="","",IF(LEFT(tblMovement[[#This Row],[Material]],3)="Ore",1,0))</f>
        <v/>
      </c>
      <c r="N1066" s="59">
        <f>IF(OR(tblMovement[[#This Row],[Tonnes_t]]="",tblMovement[[#This Row],[Grade_gpt]]=""),0,tblMovement[[#This Row],[Tonnes_t]]*tblMovement[[#This Row],[Grade_gpt]]/cfg_TroyOz)</f>
        <v/>
      </c>
      <c r="O1066" s="59">
        <f>IF(tblMovement[[#This Row],[Is_Ore]]=1,tblMovement[[#This Row],[Contained_oz]],0)</f>
        <v/>
      </c>
    </row>
    <row r="1067">
      <c r="A1067" s="54" t="n"/>
      <c r="B1067" s="61" t="n"/>
      <c r="C1067" s="61" t="n"/>
      <c r="D1067" s="61" t="n"/>
      <c r="E1067" s="61" t="n"/>
      <c r="F1067" s="55" t="n"/>
      <c r="G1067" s="56" t="n"/>
      <c r="H1067" s="55" t="n"/>
      <c r="I1067" s="62" t="n"/>
      <c r="J1067" s="58" t="n"/>
      <c r="K1067" s="63">
        <f>IF(tblMovement[[#This Row],[Source]]="","",IFERROR(INDEX(tblSources[Type],MATCH(tblMovement[[#This Row],[Source]],tblSources[Source],0)),"?"))</f>
        <v/>
      </c>
      <c r="L1067" s="63">
        <f>IF(tblMovement[[#This Row],[Destination]]="","",IFERROR(INDEX(tblDestinations[Type],MATCH(tblMovement[[#This Row],[Destination]],tblDestinations[Destination],0)),"?"))</f>
        <v/>
      </c>
      <c r="M1067" s="64">
        <f>IF(tblMovement[[#This Row],[Material]]="","",IF(LEFT(tblMovement[[#This Row],[Material]],3)="Ore",1,0))</f>
        <v/>
      </c>
      <c r="N1067" s="59">
        <f>IF(OR(tblMovement[[#This Row],[Tonnes_t]]="",tblMovement[[#This Row],[Grade_gpt]]=""),0,tblMovement[[#This Row],[Tonnes_t]]*tblMovement[[#This Row],[Grade_gpt]]/cfg_TroyOz)</f>
        <v/>
      </c>
      <c r="O1067" s="59">
        <f>IF(tblMovement[[#This Row],[Is_Ore]]=1,tblMovement[[#This Row],[Contained_oz]],0)</f>
        <v/>
      </c>
    </row>
    <row r="1068">
      <c r="A1068" s="54" t="n"/>
      <c r="B1068" s="61" t="n"/>
      <c r="C1068" s="61" t="n"/>
      <c r="D1068" s="61" t="n"/>
      <c r="E1068" s="61" t="n"/>
      <c r="F1068" s="55" t="n"/>
      <c r="G1068" s="56" t="n"/>
      <c r="H1068" s="55" t="n"/>
      <c r="I1068" s="62" t="n"/>
      <c r="J1068" s="58" t="n"/>
      <c r="K1068" s="63">
        <f>IF(tblMovement[[#This Row],[Source]]="","",IFERROR(INDEX(tblSources[Type],MATCH(tblMovement[[#This Row],[Source]],tblSources[Source],0)),"?"))</f>
        <v/>
      </c>
      <c r="L1068" s="63">
        <f>IF(tblMovement[[#This Row],[Destination]]="","",IFERROR(INDEX(tblDestinations[Type],MATCH(tblMovement[[#This Row],[Destination]],tblDestinations[Destination],0)),"?"))</f>
        <v/>
      </c>
      <c r="M1068" s="64">
        <f>IF(tblMovement[[#This Row],[Material]]="","",IF(LEFT(tblMovement[[#This Row],[Material]],3)="Ore",1,0))</f>
        <v/>
      </c>
      <c r="N1068" s="59">
        <f>IF(OR(tblMovement[[#This Row],[Tonnes_t]]="",tblMovement[[#This Row],[Grade_gpt]]=""),0,tblMovement[[#This Row],[Tonnes_t]]*tblMovement[[#This Row],[Grade_gpt]]/cfg_TroyOz)</f>
        <v/>
      </c>
      <c r="O1068" s="59">
        <f>IF(tblMovement[[#This Row],[Is_Ore]]=1,tblMovement[[#This Row],[Contained_oz]],0)</f>
        <v/>
      </c>
    </row>
    <row r="1069">
      <c r="A1069" s="54" t="n"/>
      <c r="B1069" s="61" t="n"/>
      <c r="C1069" s="61" t="n"/>
      <c r="D1069" s="61" t="n"/>
      <c r="E1069" s="61" t="n"/>
      <c r="F1069" s="55" t="n"/>
      <c r="G1069" s="56" t="n"/>
      <c r="H1069" s="55" t="n"/>
      <c r="I1069" s="62" t="n"/>
      <c r="J1069" s="58" t="n"/>
      <c r="K1069" s="63">
        <f>IF(tblMovement[[#This Row],[Source]]="","",IFERROR(INDEX(tblSources[Type],MATCH(tblMovement[[#This Row],[Source]],tblSources[Source],0)),"?"))</f>
        <v/>
      </c>
      <c r="L1069" s="63">
        <f>IF(tblMovement[[#This Row],[Destination]]="","",IFERROR(INDEX(tblDestinations[Type],MATCH(tblMovement[[#This Row],[Destination]],tblDestinations[Destination],0)),"?"))</f>
        <v/>
      </c>
      <c r="M1069" s="64">
        <f>IF(tblMovement[[#This Row],[Material]]="","",IF(LEFT(tblMovement[[#This Row],[Material]],3)="Ore",1,0))</f>
        <v/>
      </c>
      <c r="N1069" s="59">
        <f>IF(OR(tblMovement[[#This Row],[Tonnes_t]]="",tblMovement[[#This Row],[Grade_gpt]]=""),0,tblMovement[[#This Row],[Tonnes_t]]*tblMovement[[#This Row],[Grade_gpt]]/cfg_TroyOz)</f>
        <v/>
      </c>
      <c r="O1069" s="59">
        <f>IF(tblMovement[[#This Row],[Is_Ore]]=1,tblMovement[[#This Row],[Contained_oz]],0)</f>
        <v/>
      </c>
    </row>
    <row r="1070">
      <c r="A1070" s="54" t="n"/>
      <c r="B1070" s="61" t="n"/>
      <c r="C1070" s="61" t="n"/>
      <c r="D1070" s="61" t="n"/>
      <c r="E1070" s="61" t="n"/>
      <c r="F1070" s="55" t="n"/>
      <c r="G1070" s="56" t="n"/>
      <c r="H1070" s="55" t="n"/>
      <c r="I1070" s="62" t="n"/>
      <c r="J1070" s="58" t="n"/>
      <c r="K1070" s="63">
        <f>IF(tblMovement[[#This Row],[Source]]="","",IFERROR(INDEX(tblSources[Type],MATCH(tblMovement[[#This Row],[Source]],tblSources[Source],0)),"?"))</f>
        <v/>
      </c>
      <c r="L1070" s="63">
        <f>IF(tblMovement[[#This Row],[Destination]]="","",IFERROR(INDEX(tblDestinations[Type],MATCH(tblMovement[[#This Row],[Destination]],tblDestinations[Destination],0)),"?"))</f>
        <v/>
      </c>
      <c r="M1070" s="64">
        <f>IF(tblMovement[[#This Row],[Material]]="","",IF(LEFT(tblMovement[[#This Row],[Material]],3)="Ore",1,0))</f>
        <v/>
      </c>
      <c r="N1070" s="59">
        <f>IF(OR(tblMovement[[#This Row],[Tonnes_t]]="",tblMovement[[#This Row],[Grade_gpt]]=""),0,tblMovement[[#This Row],[Tonnes_t]]*tblMovement[[#This Row],[Grade_gpt]]/cfg_TroyOz)</f>
        <v/>
      </c>
      <c r="O1070" s="59">
        <f>IF(tblMovement[[#This Row],[Is_Ore]]=1,tblMovement[[#This Row],[Contained_oz]],0)</f>
        <v/>
      </c>
    </row>
    <row r="1071">
      <c r="A1071" s="54" t="n"/>
      <c r="B1071" s="61" t="n"/>
      <c r="C1071" s="61" t="n"/>
      <c r="D1071" s="61" t="n"/>
      <c r="E1071" s="61" t="n"/>
      <c r="F1071" s="55" t="n"/>
      <c r="G1071" s="56" t="n"/>
      <c r="H1071" s="55" t="n"/>
      <c r="I1071" s="62" t="n"/>
      <c r="J1071" s="58" t="n"/>
      <c r="K1071" s="63">
        <f>IF(tblMovement[[#This Row],[Source]]="","",IFERROR(INDEX(tblSources[Type],MATCH(tblMovement[[#This Row],[Source]],tblSources[Source],0)),"?"))</f>
        <v/>
      </c>
      <c r="L1071" s="63">
        <f>IF(tblMovement[[#This Row],[Destination]]="","",IFERROR(INDEX(tblDestinations[Type],MATCH(tblMovement[[#This Row],[Destination]],tblDestinations[Destination],0)),"?"))</f>
        <v/>
      </c>
      <c r="M1071" s="64">
        <f>IF(tblMovement[[#This Row],[Material]]="","",IF(LEFT(tblMovement[[#This Row],[Material]],3)="Ore",1,0))</f>
        <v/>
      </c>
      <c r="N1071" s="59">
        <f>IF(OR(tblMovement[[#This Row],[Tonnes_t]]="",tblMovement[[#This Row],[Grade_gpt]]=""),0,tblMovement[[#This Row],[Tonnes_t]]*tblMovement[[#This Row],[Grade_gpt]]/cfg_TroyOz)</f>
        <v/>
      </c>
      <c r="O1071" s="59">
        <f>IF(tblMovement[[#This Row],[Is_Ore]]=1,tblMovement[[#This Row],[Contained_oz]],0)</f>
        <v/>
      </c>
    </row>
    <row r="1072">
      <c r="A1072" s="54" t="n"/>
      <c r="B1072" s="61" t="n"/>
      <c r="C1072" s="61" t="n"/>
      <c r="D1072" s="61" t="n"/>
      <c r="E1072" s="61" t="n"/>
      <c r="F1072" s="55" t="n"/>
      <c r="G1072" s="56" t="n"/>
      <c r="H1072" s="55" t="n"/>
      <c r="I1072" s="62" t="n"/>
      <c r="J1072" s="58" t="n"/>
      <c r="K1072" s="63">
        <f>IF(tblMovement[[#This Row],[Source]]="","",IFERROR(INDEX(tblSources[Type],MATCH(tblMovement[[#This Row],[Source]],tblSources[Source],0)),"?"))</f>
        <v/>
      </c>
      <c r="L1072" s="63">
        <f>IF(tblMovement[[#This Row],[Destination]]="","",IFERROR(INDEX(tblDestinations[Type],MATCH(tblMovement[[#This Row],[Destination]],tblDestinations[Destination],0)),"?"))</f>
        <v/>
      </c>
      <c r="M1072" s="64">
        <f>IF(tblMovement[[#This Row],[Material]]="","",IF(LEFT(tblMovement[[#This Row],[Material]],3)="Ore",1,0))</f>
        <v/>
      </c>
      <c r="N1072" s="59">
        <f>IF(OR(tblMovement[[#This Row],[Tonnes_t]]="",tblMovement[[#This Row],[Grade_gpt]]=""),0,tblMovement[[#This Row],[Tonnes_t]]*tblMovement[[#This Row],[Grade_gpt]]/cfg_TroyOz)</f>
        <v/>
      </c>
      <c r="O1072" s="59">
        <f>IF(tblMovement[[#This Row],[Is_Ore]]=1,tblMovement[[#This Row],[Contained_oz]],0)</f>
        <v/>
      </c>
    </row>
    <row r="1073">
      <c r="A1073" s="54" t="n"/>
      <c r="B1073" s="61" t="n"/>
      <c r="C1073" s="61" t="n"/>
      <c r="D1073" s="61" t="n"/>
      <c r="E1073" s="61" t="n"/>
      <c r="F1073" s="55" t="n"/>
      <c r="G1073" s="56" t="n"/>
      <c r="H1073" s="55" t="n"/>
      <c r="I1073" s="62" t="n"/>
      <c r="J1073" s="58" t="n"/>
      <c r="K1073" s="63">
        <f>IF(tblMovement[[#This Row],[Source]]="","",IFERROR(INDEX(tblSources[Type],MATCH(tblMovement[[#This Row],[Source]],tblSources[Source],0)),"?"))</f>
        <v/>
      </c>
      <c r="L1073" s="63">
        <f>IF(tblMovement[[#This Row],[Destination]]="","",IFERROR(INDEX(tblDestinations[Type],MATCH(tblMovement[[#This Row],[Destination]],tblDestinations[Destination],0)),"?"))</f>
        <v/>
      </c>
      <c r="M1073" s="64">
        <f>IF(tblMovement[[#This Row],[Material]]="","",IF(LEFT(tblMovement[[#This Row],[Material]],3)="Ore",1,0))</f>
        <v/>
      </c>
      <c r="N1073" s="59">
        <f>IF(OR(tblMovement[[#This Row],[Tonnes_t]]="",tblMovement[[#This Row],[Grade_gpt]]=""),0,tblMovement[[#This Row],[Tonnes_t]]*tblMovement[[#This Row],[Grade_gpt]]/cfg_TroyOz)</f>
        <v/>
      </c>
      <c r="O1073" s="59">
        <f>IF(tblMovement[[#This Row],[Is_Ore]]=1,tblMovement[[#This Row],[Contained_oz]],0)</f>
        <v/>
      </c>
    </row>
    <row r="1074">
      <c r="A1074" s="54" t="n"/>
      <c r="B1074" s="61" t="n"/>
      <c r="C1074" s="61" t="n"/>
      <c r="D1074" s="61" t="n"/>
      <c r="E1074" s="61" t="n"/>
      <c r="F1074" s="55" t="n"/>
      <c r="G1074" s="56" t="n"/>
      <c r="H1074" s="55" t="n"/>
      <c r="I1074" s="62" t="n"/>
      <c r="J1074" s="58" t="n"/>
      <c r="K1074" s="63">
        <f>IF(tblMovement[[#This Row],[Source]]="","",IFERROR(INDEX(tblSources[Type],MATCH(tblMovement[[#This Row],[Source]],tblSources[Source],0)),"?"))</f>
        <v/>
      </c>
      <c r="L1074" s="63">
        <f>IF(tblMovement[[#This Row],[Destination]]="","",IFERROR(INDEX(tblDestinations[Type],MATCH(tblMovement[[#This Row],[Destination]],tblDestinations[Destination],0)),"?"))</f>
        <v/>
      </c>
      <c r="M1074" s="64">
        <f>IF(tblMovement[[#This Row],[Material]]="","",IF(LEFT(tblMovement[[#This Row],[Material]],3)="Ore",1,0))</f>
        <v/>
      </c>
      <c r="N1074" s="59">
        <f>IF(OR(tblMovement[[#This Row],[Tonnes_t]]="",tblMovement[[#This Row],[Grade_gpt]]=""),0,tblMovement[[#This Row],[Tonnes_t]]*tblMovement[[#This Row],[Grade_gpt]]/cfg_TroyOz)</f>
        <v/>
      </c>
      <c r="O1074" s="59">
        <f>IF(tblMovement[[#This Row],[Is_Ore]]=1,tblMovement[[#This Row],[Contained_oz]],0)</f>
        <v/>
      </c>
    </row>
    <row r="1075">
      <c r="A1075" s="54" t="n"/>
      <c r="B1075" s="61" t="n"/>
      <c r="C1075" s="61" t="n"/>
      <c r="D1075" s="61" t="n"/>
      <c r="E1075" s="61" t="n"/>
      <c r="F1075" s="55" t="n"/>
      <c r="G1075" s="56" t="n"/>
      <c r="H1075" s="55" t="n"/>
      <c r="I1075" s="62" t="n"/>
      <c r="J1075" s="58" t="n"/>
      <c r="K1075" s="63">
        <f>IF(tblMovement[[#This Row],[Source]]="","",IFERROR(INDEX(tblSources[Type],MATCH(tblMovement[[#This Row],[Source]],tblSources[Source],0)),"?"))</f>
        <v/>
      </c>
      <c r="L1075" s="63">
        <f>IF(tblMovement[[#This Row],[Destination]]="","",IFERROR(INDEX(tblDestinations[Type],MATCH(tblMovement[[#This Row],[Destination]],tblDestinations[Destination],0)),"?"))</f>
        <v/>
      </c>
      <c r="M1075" s="64">
        <f>IF(tblMovement[[#This Row],[Material]]="","",IF(LEFT(tblMovement[[#This Row],[Material]],3)="Ore",1,0))</f>
        <v/>
      </c>
      <c r="N1075" s="59">
        <f>IF(OR(tblMovement[[#This Row],[Tonnes_t]]="",tblMovement[[#This Row],[Grade_gpt]]=""),0,tblMovement[[#This Row],[Tonnes_t]]*tblMovement[[#This Row],[Grade_gpt]]/cfg_TroyOz)</f>
        <v/>
      </c>
      <c r="O1075" s="59">
        <f>IF(tblMovement[[#This Row],[Is_Ore]]=1,tblMovement[[#This Row],[Contained_oz]],0)</f>
        <v/>
      </c>
    </row>
    <row r="1076">
      <c r="A1076" s="54" t="n"/>
      <c r="B1076" s="61" t="n"/>
      <c r="C1076" s="61" t="n"/>
      <c r="D1076" s="61" t="n"/>
      <c r="E1076" s="61" t="n"/>
      <c r="F1076" s="55" t="n"/>
      <c r="G1076" s="56" t="n"/>
      <c r="H1076" s="55" t="n"/>
      <c r="I1076" s="62" t="n"/>
      <c r="J1076" s="58" t="n"/>
      <c r="K1076" s="63">
        <f>IF(tblMovement[[#This Row],[Source]]="","",IFERROR(INDEX(tblSources[Type],MATCH(tblMovement[[#This Row],[Source]],tblSources[Source],0)),"?"))</f>
        <v/>
      </c>
      <c r="L1076" s="63">
        <f>IF(tblMovement[[#This Row],[Destination]]="","",IFERROR(INDEX(tblDestinations[Type],MATCH(tblMovement[[#This Row],[Destination]],tblDestinations[Destination],0)),"?"))</f>
        <v/>
      </c>
      <c r="M1076" s="64">
        <f>IF(tblMovement[[#This Row],[Material]]="","",IF(LEFT(tblMovement[[#This Row],[Material]],3)="Ore",1,0))</f>
        <v/>
      </c>
      <c r="N1076" s="59">
        <f>IF(OR(tblMovement[[#This Row],[Tonnes_t]]="",tblMovement[[#This Row],[Grade_gpt]]=""),0,tblMovement[[#This Row],[Tonnes_t]]*tblMovement[[#This Row],[Grade_gpt]]/cfg_TroyOz)</f>
        <v/>
      </c>
      <c r="O1076" s="59">
        <f>IF(tblMovement[[#This Row],[Is_Ore]]=1,tblMovement[[#This Row],[Contained_oz]],0)</f>
        <v/>
      </c>
    </row>
    <row r="1077">
      <c r="A1077" s="54" t="n"/>
      <c r="B1077" s="61" t="n"/>
      <c r="C1077" s="61" t="n"/>
      <c r="D1077" s="61" t="n"/>
      <c r="E1077" s="61" t="n"/>
      <c r="F1077" s="55" t="n"/>
      <c r="G1077" s="56" t="n"/>
      <c r="H1077" s="55" t="n"/>
      <c r="I1077" s="62" t="n"/>
      <c r="J1077" s="58" t="n"/>
      <c r="K1077" s="63">
        <f>IF(tblMovement[[#This Row],[Source]]="","",IFERROR(INDEX(tblSources[Type],MATCH(tblMovement[[#This Row],[Source]],tblSources[Source],0)),"?"))</f>
        <v/>
      </c>
      <c r="L1077" s="63">
        <f>IF(tblMovement[[#This Row],[Destination]]="","",IFERROR(INDEX(tblDestinations[Type],MATCH(tblMovement[[#This Row],[Destination]],tblDestinations[Destination],0)),"?"))</f>
        <v/>
      </c>
      <c r="M1077" s="64">
        <f>IF(tblMovement[[#This Row],[Material]]="","",IF(LEFT(tblMovement[[#This Row],[Material]],3)="Ore",1,0))</f>
        <v/>
      </c>
      <c r="N1077" s="59">
        <f>IF(OR(tblMovement[[#This Row],[Tonnes_t]]="",tblMovement[[#This Row],[Grade_gpt]]=""),0,tblMovement[[#This Row],[Tonnes_t]]*tblMovement[[#This Row],[Grade_gpt]]/cfg_TroyOz)</f>
        <v/>
      </c>
      <c r="O1077" s="59">
        <f>IF(tblMovement[[#This Row],[Is_Ore]]=1,tblMovement[[#This Row],[Contained_oz]],0)</f>
        <v/>
      </c>
    </row>
    <row r="1078">
      <c r="A1078" s="54" t="n"/>
      <c r="B1078" s="61" t="n"/>
      <c r="C1078" s="61" t="n"/>
      <c r="D1078" s="61" t="n"/>
      <c r="E1078" s="61" t="n"/>
      <c r="F1078" s="55" t="n"/>
      <c r="G1078" s="56" t="n"/>
      <c r="H1078" s="55" t="n"/>
      <c r="I1078" s="62" t="n"/>
      <c r="J1078" s="58" t="n"/>
      <c r="K1078" s="63">
        <f>IF(tblMovement[[#This Row],[Source]]="","",IFERROR(INDEX(tblSources[Type],MATCH(tblMovement[[#This Row],[Source]],tblSources[Source],0)),"?"))</f>
        <v/>
      </c>
      <c r="L1078" s="63">
        <f>IF(tblMovement[[#This Row],[Destination]]="","",IFERROR(INDEX(tblDestinations[Type],MATCH(tblMovement[[#This Row],[Destination]],tblDestinations[Destination],0)),"?"))</f>
        <v/>
      </c>
      <c r="M1078" s="64">
        <f>IF(tblMovement[[#This Row],[Material]]="","",IF(LEFT(tblMovement[[#This Row],[Material]],3)="Ore",1,0))</f>
        <v/>
      </c>
      <c r="N1078" s="59">
        <f>IF(OR(tblMovement[[#This Row],[Tonnes_t]]="",tblMovement[[#This Row],[Grade_gpt]]=""),0,tblMovement[[#This Row],[Tonnes_t]]*tblMovement[[#This Row],[Grade_gpt]]/cfg_TroyOz)</f>
        <v/>
      </c>
      <c r="O1078" s="59">
        <f>IF(tblMovement[[#This Row],[Is_Ore]]=1,tblMovement[[#This Row],[Contained_oz]],0)</f>
        <v/>
      </c>
    </row>
    <row r="1079">
      <c r="A1079" s="54" t="n"/>
      <c r="B1079" s="61" t="n"/>
      <c r="C1079" s="61" t="n"/>
      <c r="D1079" s="61" t="n"/>
      <c r="E1079" s="61" t="n"/>
      <c r="F1079" s="55" t="n"/>
      <c r="G1079" s="56" t="n"/>
      <c r="H1079" s="55" t="n"/>
      <c r="I1079" s="62" t="n"/>
      <c r="J1079" s="58" t="n"/>
      <c r="K1079" s="63">
        <f>IF(tblMovement[[#This Row],[Source]]="","",IFERROR(INDEX(tblSources[Type],MATCH(tblMovement[[#This Row],[Source]],tblSources[Source],0)),"?"))</f>
        <v/>
      </c>
      <c r="L1079" s="63">
        <f>IF(tblMovement[[#This Row],[Destination]]="","",IFERROR(INDEX(tblDestinations[Type],MATCH(tblMovement[[#This Row],[Destination]],tblDestinations[Destination],0)),"?"))</f>
        <v/>
      </c>
      <c r="M1079" s="64">
        <f>IF(tblMovement[[#This Row],[Material]]="","",IF(LEFT(tblMovement[[#This Row],[Material]],3)="Ore",1,0))</f>
        <v/>
      </c>
      <c r="N1079" s="59">
        <f>IF(OR(tblMovement[[#This Row],[Tonnes_t]]="",tblMovement[[#This Row],[Grade_gpt]]=""),0,tblMovement[[#This Row],[Tonnes_t]]*tblMovement[[#This Row],[Grade_gpt]]/cfg_TroyOz)</f>
        <v/>
      </c>
      <c r="O1079" s="59">
        <f>IF(tblMovement[[#This Row],[Is_Ore]]=1,tblMovement[[#This Row],[Contained_oz]],0)</f>
        <v/>
      </c>
    </row>
    <row r="1080">
      <c r="A1080" s="54" t="n"/>
      <c r="B1080" s="61" t="n"/>
      <c r="C1080" s="61" t="n"/>
      <c r="D1080" s="61" t="n"/>
      <c r="E1080" s="61" t="n"/>
      <c r="F1080" s="55" t="n"/>
      <c r="G1080" s="56" t="n"/>
      <c r="H1080" s="55" t="n"/>
      <c r="I1080" s="62" t="n"/>
      <c r="J1080" s="58" t="n"/>
      <c r="K1080" s="63">
        <f>IF(tblMovement[[#This Row],[Source]]="","",IFERROR(INDEX(tblSources[Type],MATCH(tblMovement[[#This Row],[Source]],tblSources[Source],0)),"?"))</f>
        <v/>
      </c>
      <c r="L1080" s="63">
        <f>IF(tblMovement[[#This Row],[Destination]]="","",IFERROR(INDEX(tblDestinations[Type],MATCH(tblMovement[[#This Row],[Destination]],tblDestinations[Destination],0)),"?"))</f>
        <v/>
      </c>
      <c r="M1080" s="64">
        <f>IF(tblMovement[[#This Row],[Material]]="","",IF(LEFT(tblMovement[[#This Row],[Material]],3)="Ore",1,0))</f>
        <v/>
      </c>
      <c r="N1080" s="59">
        <f>IF(OR(tblMovement[[#This Row],[Tonnes_t]]="",tblMovement[[#This Row],[Grade_gpt]]=""),0,tblMovement[[#This Row],[Tonnes_t]]*tblMovement[[#This Row],[Grade_gpt]]/cfg_TroyOz)</f>
        <v/>
      </c>
      <c r="O1080" s="59">
        <f>IF(tblMovement[[#This Row],[Is_Ore]]=1,tblMovement[[#This Row],[Contained_oz]],0)</f>
        <v/>
      </c>
    </row>
    <row r="1081">
      <c r="A1081" s="54" t="n"/>
      <c r="B1081" s="61" t="n"/>
      <c r="C1081" s="61" t="n"/>
      <c r="D1081" s="61" t="n"/>
      <c r="E1081" s="61" t="n"/>
      <c r="F1081" s="55" t="n"/>
      <c r="G1081" s="56" t="n"/>
      <c r="H1081" s="55" t="n"/>
      <c r="I1081" s="62" t="n"/>
      <c r="J1081" s="58" t="n"/>
      <c r="K1081" s="63">
        <f>IF(tblMovement[[#This Row],[Source]]="","",IFERROR(INDEX(tblSources[Type],MATCH(tblMovement[[#This Row],[Source]],tblSources[Source],0)),"?"))</f>
        <v/>
      </c>
      <c r="L1081" s="63">
        <f>IF(tblMovement[[#This Row],[Destination]]="","",IFERROR(INDEX(tblDestinations[Type],MATCH(tblMovement[[#This Row],[Destination]],tblDestinations[Destination],0)),"?"))</f>
        <v/>
      </c>
      <c r="M1081" s="64">
        <f>IF(tblMovement[[#This Row],[Material]]="","",IF(LEFT(tblMovement[[#This Row],[Material]],3)="Ore",1,0))</f>
        <v/>
      </c>
      <c r="N1081" s="59">
        <f>IF(OR(tblMovement[[#This Row],[Tonnes_t]]="",tblMovement[[#This Row],[Grade_gpt]]=""),0,tblMovement[[#This Row],[Tonnes_t]]*tblMovement[[#This Row],[Grade_gpt]]/cfg_TroyOz)</f>
        <v/>
      </c>
      <c r="O1081" s="59">
        <f>IF(tblMovement[[#This Row],[Is_Ore]]=1,tblMovement[[#This Row],[Contained_oz]],0)</f>
        <v/>
      </c>
    </row>
    <row r="1082">
      <c r="A1082" s="54" t="n"/>
      <c r="B1082" s="61" t="n"/>
      <c r="C1082" s="61" t="n"/>
      <c r="D1082" s="61" t="n"/>
      <c r="E1082" s="61" t="n"/>
      <c r="F1082" s="55" t="n"/>
      <c r="G1082" s="56" t="n"/>
      <c r="H1082" s="55" t="n"/>
      <c r="I1082" s="62" t="n"/>
      <c r="J1082" s="58" t="n"/>
      <c r="K1082" s="63">
        <f>IF(tblMovement[[#This Row],[Source]]="","",IFERROR(INDEX(tblSources[Type],MATCH(tblMovement[[#This Row],[Source]],tblSources[Source],0)),"?"))</f>
        <v/>
      </c>
      <c r="L1082" s="63">
        <f>IF(tblMovement[[#This Row],[Destination]]="","",IFERROR(INDEX(tblDestinations[Type],MATCH(tblMovement[[#This Row],[Destination]],tblDestinations[Destination],0)),"?"))</f>
        <v/>
      </c>
      <c r="M1082" s="64">
        <f>IF(tblMovement[[#This Row],[Material]]="","",IF(LEFT(tblMovement[[#This Row],[Material]],3)="Ore",1,0))</f>
        <v/>
      </c>
      <c r="N1082" s="59">
        <f>IF(OR(tblMovement[[#This Row],[Tonnes_t]]="",tblMovement[[#This Row],[Grade_gpt]]=""),0,tblMovement[[#This Row],[Tonnes_t]]*tblMovement[[#This Row],[Grade_gpt]]/cfg_TroyOz)</f>
        <v/>
      </c>
      <c r="O1082" s="59">
        <f>IF(tblMovement[[#This Row],[Is_Ore]]=1,tblMovement[[#This Row],[Contained_oz]],0)</f>
        <v/>
      </c>
    </row>
    <row r="1083">
      <c r="A1083" s="54" t="n"/>
      <c r="B1083" s="61" t="n"/>
      <c r="C1083" s="61" t="n"/>
      <c r="D1083" s="61" t="n"/>
      <c r="E1083" s="61" t="n"/>
      <c r="F1083" s="55" t="n"/>
      <c r="G1083" s="56" t="n"/>
      <c r="H1083" s="55" t="n"/>
      <c r="I1083" s="62" t="n"/>
      <c r="J1083" s="58" t="n"/>
      <c r="K1083" s="63">
        <f>IF(tblMovement[[#This Row],[Source]]="","",IFERROR(INDEX(tblSources[Type],MATCH(tblMovement[[#This Row],[Source]],tblSources[Source],0)),"?"))</f>
        <v/>
      </c>
      <c r="L1083" s="63">
        <f>IF(tblMovement[[#This Row],[Destination]]="","",IFERROR(INDEX(tblDestinations[Type],MATCH(tblMovement[[#This Row],[Destination]],tblDestinations[Destination],0)),"?"))</f>
        <v/>
      </c>
      <c r="M1083" s="64">
        <f>IF(tblMovement[[#This Row],[Material]]="","",IF(LEFT(tblMovement[[#This Row],[Material]],3)="Ore",1,0))</f>
        <v/>
      </c>
      <c r="N1083" s="59">
        <f>IF(OR(tblMovement[[#This Row],[Tonnes_t]]="",tblMovement[[#This Row],[Grade_gpt]]=""),0,tblMovement[[#This Row],[Tonnes_t]]*tblMovement[[#This Row],[Grade_gpt]]/cfg_TroyOz)</f>
        <v/>
      </c>
      <c r="O1083" s="59">
        <f>IF(tblMovement[[#This Row],[Is_Ore]]=1,tblMovement[[#This Row],[Contained_oz]],0)</f>
        <v/>
      </c>
    </row>
    <row r="1084">
      <c r="A1084" s="54" t="n"/>
      <c r="B1084" s="61" t="n"/>
      <c r="C1084" s="61" t="n"/>
      <c r="D1084" s="61" t="n"/>
      <c r="E1084" s="61" t="n"/>
      <c r="F1084" s="55" t="n"/>
      <c r="G1084" s="56" t="n"/>
      <c r="H1084" s="55" t="n"/>
      <c r="I1084" s="62" t="n"/>
      <c r="J1084" s="58" t="n"/>
      <c r="K1084" s="63">
        <f>IF(tblMovement[[#This Row],[Source]]="","",IFERROR(INDEX(tblSources[Type],MATCH(tblMovement[[#This Row],[Source]],tblSources[Source],0)),"?"))</f>
        <v/>
      </c>
      <c r="L1084" s="63">
        <f>IF(tblMovement[[#This Row],[Destination]]="","",IFERROR(INDEX(tblDestinations[Type],MATCH(tblMovement[[#This Row],[Destination]],tblDestinations[Destination],0)),"?"))</f>
        <v/>
      </c>
      <c r="M1084" s="64">
        <f>IF(tblMovement[[#This Row],[Material]]="","",IF(LEFT(tblMovement[[#This Row],[Material]],3)="Ore",1,0))</f>
        <v/>
      </c>
      <c r="N1084" s="59">
        <f>IF(OR(tblMovement[[#This Row],[Tonnes_t]]="",tblMovement[[#This Row],[Grade_gpt]]=""),0,tblMovement[[#This Row],[Tonnes_t]]*tblMovement[[#This Row],[Grade_gpt]]/cfg_TroyOz)</f>
        <v/>
      </c>
      <c r="O1084" s="59">
        <f>IF(tblMovement[[#This Row],[Is_Ore]]=1,tblMovement[[#This Row],[Contained_oz]],0)</f>
        <v/>
      </c>
    </row>
    <row r="1085">
      <c r="A1085" s="54" t="n"/>
      <c r="B1085" s="61" t="n"/>
      <c r="C1085" s="61" t="n"/>
      <c r="D1085" s="61" t="n"/>
      <c r="E1085" s="61" t="n"/>
      <c r="F1085" s="55" t="n"/>
      <c r="G1085" s="56" t="n"/>
      <c r="H1085" s="55" t="n"/>
      <c r="I1085" s="62" t="n"/>
      <c r="J1085" s="58" t="n"/>
      <c r="K1085" s="63">
        <f>IF(tblMovement[[#This Row],[Source]]="","",IFERROR(INDEX(tblSources[Type],MATCH(tblMovement[[#This Row],[Source]],tblSources[Source],0)),"?"))</f>
        <v/>
      </c>
      <c r="L1085" s="63">
        <f>IF(tblMovement[[#This Row],[Destination]]="","",IFERROR(INDEX(tblDestinations[Type],MATCH(tblMovement[[#This Row],[Destination]],tblDestinations[Destination],0)),"?"))</f>
        <v/>
      </c>
      <c r="M1085" s="64">
        <f>IF(tblMovement[[#This Row],[Material]]="","",IF(LEFT(tblMovement[[#This Row],[Material]],3)="Ore",1,0))</f>
        <v/>
      </c>
      <c r="N1085" s="59">
        <f>IF(OR(tblMovement[[#This Row],[Tonnes_t]]="",tblMovement[[#This Row],[Grade_gpt]]=""),0,tblMovement[[#This Row],[Tonnes_t]]*tblMovement[[#This Row],[Grade_gpt]]/cfg_TroyOz)</f>
        <v/>
      </c>
      <c r="O1085" s="59">
        <f>IF(tblMovement[[#This Row],[Is_Ore]]=1,tblMovement[[#This Row],[Contained_oz]],0)</f>
        <v/>
      </c>
    </row>
    <row r="1086">
      <c r="A1086" s="54" t="n"/>
      <c r="B1086" s="61" t="n"/>
      <c r="C1086" s="61" t="n"/>
      <c r="D1086" s="61" t="n"/>
      <c r="E1086" s="61" t="n"/>
      <c r="F1086" s="55" t="n"/>
      <c r="G1086" s="56" t="n"/>
      <c r="H1086" s="55" t="n"/>
      <c r="I1086" s="62" t="n"/>
      <c r="J1086" s="58" t="n"/>
      <c r="K1086" s="63">
        <f>IF(tblMovement[[#This Row],[Source]]="","",IFERROR(INDEX(tblSources[Type],MATCH(tblMovement[[#This Row],[Source]],tblSources[Source],0)),"?"))</f>
        <v/>
      </c>
      <c r="L1086" s="63">
        <f>IF(tblMovement[[#This Row],[Destination]]="","",IFERROR(INDEX(tblDestinations[Type],MATCH(tblMovement[[#This Row],[Destination]],tblDestinations[Destination],0)),"?"))</f>
        <v/>
      </c>
      <c r="M1086" s="64">
        <f>IF(tblMovement[[#This Row],[Material]]="","",IF(LEFT(tblMovement[[#This Row],[Material]],3)="Ore",1,0))</f>
        <v/>
      </c>
      <c r="N1086" s="59">
        <f>IF(OR(tblMovement[[#This Row],[Tonnes_t]]="",tblMovement[[#This Row],[Grade_gpt]]=""),0,tblMovement[[#This Row],[Tonnes_t]]*tblMovement[[#This Row],[Grade_gpt]]/cfg_TroyOz)</f>
        <v/>
      </c>
      <c r="O1086" s="59">
        <f>IF(tblMovement[[#This Row],[Is_Ore]]=1,tblMovement[[#This Row],[Contained_oz]],0)</f>
        <v/>
      </c>
    </row>
    <row r="1087">
      <c r="A1087" s="54" t="n"/>
      <c r="B1087" s="61" t="n"/>
      <c r="C1087" s="61" t="n"/>
      <c r="D1087" s="61" t="n"/>
      <c r="E1087" s="61" t="n"/>
      <c r="F1087" s="55" t="n"/>
      <c r="G1087" s="56" t="n"/>
      <c r="H1087" s="55" t="n"/>
      <c r="I1087" s="62" t="n"/>
      <c r="J1087" s="58" t="n"/>
      <c r="K1087" s="63">
        <f>IF(tblMovement[[#This Row],[Source]]="","",IFERROR(INDEX(tblSources[Type],MATCH(tblMovement[[#This Row],[Source]],tblSources[Source],0)),"?"))</f>
        <v/>
      </c>
      <c r="L1087" s="63">
        <f>IF(tblMovement[[#This Row],[Destination]]="","",IFERROR(INDEX(tblDestinations[Type],MATCH(tblMovement[[#This Row],[Destination]],tblDestinations[Destination],0)),"?"))</f>
        <v/>
      </c>
      <c r="M1087" s="64">
        <f>IF(tblMovement[[#This Row],[Material]]="","",IF(LEFT(tblMovement[[#This Row],[Material]],3)="Ore",1,0))</f>
        <v/>
      </c>
      <c r="N1087" s="59">
        <f>IF(OR(tblMovement[[#This Row],[Tonnes_t]]="",tblMovement[[#This Row],[Grade_gpt]]=""),0,tblMovement[[#This Row],[Tonnes_t]]*tblMovement[[#This Row],[Grade_gpt]]/cfg_TroyOz)</f>
        <v/>
      </c>
      <c r="O1087" s="59">
        <f>IF(tblMovement[[#This Row],[Is_Ore]]=1,tblMovement[[#This Row],[Contained_oz]],0)</f>
        <v/>
      </c>
    </row>
    <row r="1088">
      <c r="A1088" s="54" t="n"/>
      <c r="B1088" s="61" t="n"/>
      <c r="C1088" s="61" t="n"/>
      <c r="D1088" s="61" t="n"/>
      <c r="E1088" s="61" t="n"/>
      <c r="F1088" s="55" t="n"/>
      <c r="G1088" s="56" t="n"/>
      <c r="H1088" s="55" t="n"/>
      <c r="I1088" s="62" t="n"/>
      <c r="J1088" s="58" t="n"/>
      <c r="K1088" s="63">
        <f>IF(tblMovement[[#This Row],[Source]]="","",IFERROR(INDEX(tblSources[Type],MATCH(tblMovement[[#This Row],[Source]],tblSources[Source],0)),"?"))</f>
        <v/>
      </c>
      <c r="L1088" s="63">
        <f>IF(tblMovement[[#This Row],[Destination]]="","",IFERROR(INDEX(tblDestinations[Type],MATCH(tblMovement[[#This Row],[Destination]],tblDestinations[Destination],0)),"?"))</f>
        <v/>
      </c>
      <c r="M1088" s="64">
        <f>IF(tblMovement[[#This Row],[Material]]="","",IF(LEFT(tblMovement[[#This Row],[Material]],3)="Ore",1,0))</f>
        <v/>
      </c>
      <c r="N1088" s="59">
        <f>IF(OR(tblMovement[[#This Row],[Tonnes_t]]="",tblMovement[[#This Row],[Grade_gpt]]=""),0,tblMovement[[#This Row],[Tonnes_t]]*tblMovement[[#This Row],[Grade_gpt]]/cfg_TroyOz)</f>
        <v/>
      </c>
      <c r="O1088" s="59">
        <f>IF(tblMovement[[#This Row],[Is_Ore]]=1,tblMovement[[#This Row],[Contained_oz]],0)</f>
        <v/>
      </c>
    </row>
    <row r="1089">
      <c r="A1089" s="54" t="n"/>
      <c r="B1089" s="61" t="n"/>
      <c r="C1089" s="61" t="n"/>
      <c r="D1089" s="61" t="n"/>
      <c r="E1089" s="61" t="n"/>
      <c r="F1089" s="55" t="n"/>
      <c r="G1089" s="56" t="n"/>
      <c r="H1089" s="55" t="n"/>
      <c r="I1089" s="62" t="n"/>
      <c r="J1089" s="58" t="n"/>
      <c r="K1089" s="63">
        <f>IF(tblMovement[[#This Row],[Source]]="","",IFERROR(INDEX(tblSources[Type],MATCH(tblMovement[[#This Row],[Source]],tblSources[Source],0)),"?"))</f>
        <v/>
      </c>
      <c r="L1089" s="63">
        <f>IF(tblMovement[[#This Row],[Destination]]="","",IFERROR(INDEX(tblDestinations[Type],MATCH(tblMovement[[#This Row],[Destination]],tblDestinations[Destination],0)),"?"))</f>
        <v/>
      </c>
      <c r="M1089" s="64">
        <f>IF(tblMovement[[#This Row],[Material]]="","",IF(LEFT(tblMovement[[#This Row],[Material]],3)="Ore",1,0))</f>
        <v/>
      </c>
      <c r="N1089" s="59">
        <f>IF(OR(tblMovement[[#This Row],[Tonnes_t]]="",tblMovement[[#This Row],[Grade_gpt]]=""),0,tblMovement[[#This Row],[Tonnes_t]]*tblMovement[[#This Row],[Grade_gpt]]/cfg_TroyOz)</f>
        <v/>
      </c>
      <c r="O1089" s="59">
        <f>IF(tblMovement[[#This Row],[Is_Ore]]=1,tblMovement[[#This Row],[Contained_oz]],0)</f>
        <v/>
      </c>
    </row>
    <row r="1090">
      <c r="A1090" s="54" t="n"/>
      <c r="B1090" s="61" t="n"/>
      <c r="C1090" s="61" t="n"/>
      <c r="D1090" s="61" t="n"/>
      <c r="E1090" s="61" t="n"/>
      <c r="F1090" s="55" t="n"/>
      <c r="G1090" s="56" t="n"/>
      <c r="H1090" s="55" t="n"/>
      <c r="I1090" s="62" t="n"/>
      <c r="J1090" s="58" t="n"/>
      <c r="K1090" s="63">
        <f>IF(tblMovement[[#This Row],[Source]]="","",IFERROR(INDEX(tblSources[Type],MATCH(tblMovement[[#This Row],[Source]],tblSources[Source],0)),"?"))</f>
        <v/>
      </c>
      <c r="L1090" s="63">
        <f>IF(tblMovement[[#This Row],[Destination]]="","",IFERROR(INDEX(tblDestinations[Type],MATCH(tblMovement[[#This Row],[Destination]],tblDestinations[Destination],0)),"?"))</f>
        <v/>
      </c>
      <c r="M1090" s="64">
        <f>IF(tblMovement[[#This Row],[Material]]="","",IF(LEFT(tblMovement[[#This Row],[Material]],3)="Ore",1,0))</f>
        <v/>
      </c>
      <c r="N1090" s="59">
        <f>IF(OR(tblMovement[[#This Row],[Tonnes_t]]="",tblMovement[[#This Row],[Grade_gpt]]=""),0,tblMovement[[#This Row],[Tonnes_t]]*tblMovement[[#This Row],[Grade_gpt]]/cfg_TroyOz)</f>
        <v/>
      </c>
      <c r="O1090" s="59">
        <f>IF(tblMovement[[#This Row],[Is_Ore]]=1,tblMovement[[#This Row],[Contained_oz]],0)</f>
        <v/>
      </c>
    </row>
    <row r="1091">
      <c r="A1091" s="54" t="n"/>
      <c r="B1091" s="61" t="n"/>
      <c r="C1091" s="61" t="n"/>
      <c r="D1091" s="61" t="n"/>
      <c r="E1091" s="61" t="n"/>
      <c r="F1091" s="55" t="n"/>
      <c r="G1091" s="56" t="n"/>
      <c r="H1091" s="55" t="n"/>
      <c r="I1091" s="62" t="n"/>
      <c r="J1091" s="58" t="n"/>
      <c r="K1091" s="63">
        <f>IF(tblMovement[[#This Row],[Source]]="","",IFERROR(INDEX(tblSources[Type],MATCH(tblMovement[[#This Row],[Source]],tblSources[Source],0)),"?"))</f>
        <v/>
      </c>
      <c r="L1091" s="63">
        <f>IF(tblMovement[[#This Row],[Destination]]="","",IFERROR(INDEX(tblDestinations[Type],MATCH(tblMovement[[#This Row],[Destination]],tblDestinations[Destination],0)),"?"))</f>
        <v/>
      </c>
      <c r="M1091" s="64">
        <f>IF(tblMovement[[#This Row],[Material]]="","",IF(LEFT(tblMovement[[#This Row],[Material]],3)="Ore",1,0))</f>
        <v/>
      </c>
      <c r="N1091" s="59">
        <f>IF(OR(tblMovement[[#This Row],[Tonnes_t]]="",tblMovement[[#This Row],[Grade_gpt]]=""),0,tblMovement[[#This Row],[Tonnes_t]]*tblMovement[[#This Row],[Grade_gpt]]/cfg_TroyOz)</f>
        <v/>
      </c>
      <c r="O1091" s="59">
        <f>IF(tblMovement[[#This Row],[Is_Ore]]=1,tblMovement[[#This Row],[Contained_oz]],0)</f>
        <v/>
      </c>
    </row>
    <row r="1092">
      <c r="A1092" s="54" t="n"/>
      <c r="B1092" s="61" t="n"/>
      <c r="C1092" s="61" t="n"/>
      <c r="D1092" s="61" t="n"/>
      <c r="E1092" s="61" t="n"/>
      <c r="F1092" s="55" t="n"/>
      <c r="G1092" s="56" t="n"/>
      <c r="H1092" s="55" t="n"/>
      <c r="I1092" s="62" t="n"/>
      <c r="J1092" s="58" t="n"/>
      <c r="K1092" s="63">
        <f>IF(tblMovement[[#This Row],[Source]]="","",IFERROR(INDEX(tblSources[Type],MATCH(tblMovement[[#This Row],[Source]],tblSources[Source],0)),"?"))</f>
        <v/>
      </c>
      <c r="L1092" s="63">
        <f>IF(tblMovement[[#This Row],[Destination]]="","",IFERROR(INDEX(tblDestinations[Type],MATCH(tblMovement[[#This Row],[Destination]],tblDestinations[Destination],0)),"?"))</f>
        <v/>
      </c>
      <c r="M1092" s="64">
        <f>IF(tblMovement[[#This Row],[Material]]="","",IF(LEFT(tblMovement[[#This Row],[Material]],3)="Ore",1,0))</f>
        <v/>
      </c>
      <c r="N1092" s="59">
        <f>IF(OR(tblMovement[[#This Row],[Tonnes_t]]="",tblMovement[[#This Row],[Grade_gpt]]=""),0,tblMovement[[#This Row],[Tonnes_t]]*tblMovement[[#This Row],[Grade_gpt]]/cfg_TroyOz)</f>
        <v/>
      </c>
      <c r="O1092" s="59">
        <f>IF(tblMovement[[#This Row],[Is_Ore]]=1,tblMovement[[#This Row],[Contained_oz]],0)</f>
        <v/>
      </c>
    </row>
    <row r="1093">
      <c r="A1093" s="54" t="n"/>
      <c r="B1093" s="61" t="n"/>
      <c r="C1093" s="61" t="n"/>
      <c r="D1093" s="61" t="n"/>
      <c r="E1093" s="61" t="n"/>
      <c r="F1093" s="55" t="n"/>
      <c r="G1093" s="56" t="n"/>
      <c r="H1093" s="55" t="n"/>
      <c r="I1093" s="62" t="n"/>
      <c r="J1093" s="58" t="n"/>
      <c r="K1093" s="63">
        <f>IF(tblMovement[[#This Row],[Source]]="","",IFERROR(INDEX(tblSources[Type],MATCH(tblMovement[[#This Row],[Source]],tblSources[Source],0)),"?"))</f>
        <v/>
      </c>
      <c r="L1093" s="63">
        <f>IF(tblMovement[[#This Row],[Destination]]="","",IFERROR(INDEX(tblDestinations[Type],MATCH(tblMovement[[#This Row],[Destination]],tblDestinations[Destination],0)),"?"))</f>
        <v/>
      </c>
      <c r="M1093" s="64">
        <f>IF(tblMovement[[#This Row],[Material]]="","",IF(LEFT(tblMovement[[#This Row],[Material]],3)="Ore",1,0))</f>
        <v/>
      </c>
      <c r="N1093" s="59">
        <f>IF(OR(tblMovement[[#This Row],[Tonnes_t]]="",tblMovement[[#This Row],[Grade_gpt]]=""),0,tblMovement[[#This Row],[Tonnes_t]]*tblMovement[[#This Row],[Grade_gpt]]/cfg_TroyOz)</f>
        <v/>
      </c>
      <c r="O1093" s="59">
        <f>IF(tblMovement[[#This Row],[Is_Ore]]=1,tblMovement[[#This Row],[Contained_oz]],0)</f>
        <v/>
      </c>
    </row>
    <row r="1094">
      <c r="A1094" s="54" t="n"/>
      <c r="B1094" s="61" t="n"/>
      <c r="C1094" s="61" t="n"/>
      <c r="D1094" s="61" t="n"/>
      <c r="E1094" s="61" t="n"/>
      <c r="F1094" s="55" t="n"/>
      <c r="G1094" s="56" t="n"/>
      <c r="H1094" s="55" t="n"/>
      <c r="I1094" s="62" t="n"/>
      <c r="J1094" s="58" t="n"/>
      <c r="K1094" s="63">
        <f>IF(tblMovement[[#This Row],[Source]]="","",IFERROR(INDEX(tblSources[Type],MATCH(tblMovement[[#This Row],[Source]],tblSources[Source],0)),"?"))</f>
        <v/>
      </c>
      <c r="L1094" s="63">
        <f>IF(tblMovement[[#This Row],[Destination]]="","",IFERROR(INDEX(tblDestinations[Type],MATCH(tblMovement[[#This Row],[Destination]],tblDestinations[Destination],0)),"?"))</f>
        <v/>
      </c>
      <c r="M1094" s="64">
        <f>IF(tblMovement[[#This Row],[Material]]="","",IF(LEFT(tblMovement[[#This Row],[Material]],3)="Ore",1,0))</f>
        <v/>
      </c>
      <c r="N1094" s="59">
        <f>IF(OR(tblMovement[[#This Row],[Tonnes_t]]="",tblMovement[[#This Row],[Grade_gpt]]=""),0,tblMovement[[#This Row],[Tonnes_t]]*tblMovement[[#This Row],[Grade_gpt]]/cfg_TroyOz)</f>
        <v/>
      </c>
      <c r="O1094" s="59">
        <f>IF(tblMovement[[#This Row],[Is_Ore]]=1,tblMovement[[#This Row],[Contained_oz]],0)</f>
        <v/>
      </c>
    </row>
    <row r="1095">
      <c r="A1095" s="54" t="n"/>
      <c r="B1095" s="61" t="n"/>
      <c r="C1095" s="61" t="n"/>
      <c r="D1095" s="61" t="n"/>
      <c r="E1095" s="61" t="n"/>
      <c r="F1095" s="55" t="n"/>
      <c r="G1095" s="56" t="n"/>
      <c r="H1095" s="55" t="n"/>
      <c r="I1095" s="62" t="n"/>
      <c r="J1095" s="58" t="n"/>
      <c r="K1095" s="63">
        <f>IF(tblMovement[[#This Row],[Source]]="","",IFERROR(INDEX(tblSources[Type],MATCH(tblMovement[[#This Row],[Source]],tblSources[Source],0)),"?"))</f>
        <v/>
      </c>
      <c r="L1095" s="63">
        <f>IF(tblMovement[[#This Row],[Destination]]="","",IFERROR(INDEX(tblDestinations[Type],MATCH(tblMovement[[#This Row],[Destination]],tblDestinations[Destination],0)),"?"))</f>
        <v/>
      </c>
      <c r="M1095" s="64">
        <f>IF(tblMovement[[#This Row],[Material]]="","",IF(LEFT(tblMovement[[#This Row],[Material]],3)="Ore",1,0))</f>
        <v/>
      </c>
      <c r="N1095" s="59">
        <f>IF(OR(tblMovement[[#This Row],[Tonnes_t]]="",tblMovement[[#This Row],[Grade_gpt]]=""),0,tblMovement[[#This Row],[Tonnes_t]]*tblMovement[[#This Row],[Grade_gpt]]/cfg_TroyOz)</f>
        <v/>
      </c>
      <c r="O1095" s="59">
        <f>IF(tblMovement[[#This Row],[Is_Ore]]=1,tblMovement[[#This Row],[Contained_oz]],0)</f>
        <v/>
      </c>
    </row>
    <row r="1096">
      <c r="A1096" s="54" t="n"/>
      <c r="B1096" s="61" t="n"/>
      <c r="C1096" s="61" t="n"/>
      <c r="D1096" s="61" t="n"/>
      <c r="E1096" s="61" t="n"/>
      <c r="F1096" s="55" t="n"/>
      <c r="G1096" s="56" t="n"/>
      <c r="H1096" s="55" t="n"/>
      <c r="I1096" s="62" t="n"/>
      <c r="J1096" s="58" t="n"/>
      <c r="K1096" s="63">
        <f>IF(tblMovement[[#This Row],[Source]]="","",IFERROR(INDEX(tblSources[Type],MATCH(tblMovement[[#This Row],[Source]],tblSources[Source],0)),"?"))</f>
        <v/>
      </c>
      <c r="L1096" s="63">
        <f>IF(tblMovement[[#This Row],[Destination]]="","",IFERROR(INDEX(tblDestinations[Type],MATCH(tblMovement[[#This Row],[Destination]],tblDestinations[Destination],0)),"?"))</f>
        <v/>
      </c>
      <c r="M1096" s="64">
        <f>IF(tblMovement[[#This Row],[Material]]="","",IF(LEFT(tblMovement[[#This Row],[Material]],3)="Ore",1,0))</f>
        <v/>
      </c>
      <c r="N1096" s="59">
        <f>IF(OR(tblMovement[[#This Row],[Tonnes_t]]="",tblMovement[[#This Row],[Grade_gpt]]=""),0,tblMovement[[#This Row],[Tonnes_t]]*tblMovement[[#This Row],[Grade_gpt]]/cfg_TroyOz)</f>
        <v/>
      </c>
      <c r="O1096" s="59">
        <f>IF(tblMovement[[#This Row],[Is_Ore]]=1,tblMovement[[#This Row],[Contained_oz]],0)</f>
        <v/>
      </c>
    </row>
    <row r="1097">
      <c r="A1097" s="54" t="n"/>
      <c r="B1097" s="61" t="n"/>
      <c r="C1097" s="61" t="n"/>
      <c r="D1097" s="61" t="n"/>
      <c r="E1097" s="61" t="n"/>
      <c r="F1097" s="55" t="n"/>
      <c r="G1097" s="56" t="n"/>
      <c r="H1097" s="55" t="n"/>
      <c r="I1097" s="62" t="n"/>
      <c r="J1097" s="58" t="n"/>
      <c r="K1097" s="63">
        <f>IF(tblMovement[[#This Row],[Source]]="","",IFERROR(INDEX(tblSources[Type],MATCH(tblMovement[[#This Row],[Source]],tblSources[Source],0)),"?"))</f>
        <v/>
      </c>
      <c r="L1097" s="63">
        <f>IF(tblMovement[[#This Row],[Destination]]="","",IFERROR(INDEX(tblDestinations[Type],MATCH(tblMovement[[#This Row],[Destination]],tblDestinations[Destination],0)),"?"))</f>
        <v/>
      </c>
      <c r="M1097" s="64">
        <f>IF(tblMovement[[#This Row],[Material]]="","",IF(LEFT(tblMovement[[#This Row],[Material]],3)="Ore",1,0))</f>
        <v/>
      </c>
      <c r="N1097" s="59">
        <f>IF(OR(tblMovement[[#This Row],[Tonnes_t]]="",tblMovement[[#This Row],[Grade_gpt]]=""),0,tblMovement[[#This Row],[Tonnes_t]]*tblMovement[[#This Row],[Grade_gpt]]/cfg_TroyOz)</f>
        <v/>
      </c>
      <c r="O1097" s="59">
        <f>IF(tblMovement[[#This Row],[Is_Ore]]=1,tblMovement[[#This Row],[Contained_oz]],0)</f>
        <v/>
      </c>
    </row>
    <row r="1098">
      <c r="A1098" s="54" t="n"/>
      <c r="B1098" s="61" t="n"/>
      <c r="C1098" s="61" t="n"/>
      <c r="D1098" s="61" t="n"/>
      <c r="E1098" s="61" t="n"/>
      <c r="F1098" s="55" t="n"/>
      <c r="G1098" s="56" t="n"/>
      <c r="H1098" s="55" t="n"/>
      <c r="I1098" s="62" t="n"/>
      <c r="J1098" s="58" t="n"/>
      <c r="K1098" s="63">
        <f>IF(tblMovement[[#This Row],[Source]]="","",IFERROR(INDEX(tblSources[Type],MATCH(tblMovement[[#This Row],[Source]],tblSources[Source],0)),"?"))</f>
        <v/>
      </c>
      <c r="L1098" s="63">
        <f>IF(tblMovement[[#This Row],[Destination]]="","",IFERROR(INDEX(tblDestinations[Type],MATCH(tblMovement[[#This Row],[Destination]],tblDestinations[Destination],0)),"?"))</f>
        <v/>
      </c>
      <c r="M1098" s="64">
        <f>IF(tblMovement[[#This Row],[Material]]="","",IF(LEFT(tblMovement[[#This Row],[Material]],3)="Ore",1,0))</f>
        <v/>
      </c>
      <c r="N1098" s="59">
        <f>IF(OR(tblMovement[[#This Row],[Tonnes_t]]="",tblMovement[[#This Row],[Grade_gpt]]=""),0,tblMovement[[#This Row],[Tonnes_t]]*tblMovement[[#This Row],[Grade_gpt]]/cfg_TroyOz)</f>
        <v/>
      </c>
      <c r="O1098" s="59">
        <f>IF(tblMovement[[#This Row],[Is_Ore]]=1,tblMovement[[#This Row],[Contained_oz]],0)</f>
        <v/>
      </c>
    </row>
    <row r="1099">
      <c r="A1099" s="54" t="n"/>
      <c r="B1099" s="61" t="n"/>
      <c r="C1099" s="61" t="n"/>
      <c r="D1099" s="61" t="n"/>
      <c r="E1099" s="61" t="n"/>
      <c r="F1099" s="55" t="n"/>
      <c r="G1099" s="56" t="n"/>
      <c r="H1099" s="55" t="n"/>
      <c r="I1099" s="62" t="n"/>
      <c r="J1099" s="58" t="n"/>
      <c r="K1099" s="63">
        <f>IF(tblMovement[[#This Row],[Source]]="","",IFERROR(INDEX(tblSources[Type],MATCH(tblMovement[[#This Row],[Source]],tblSources[Source],0)),"?"))</f>
        <v/>
      </c>
      <c r="L1099" s="63">
        <f>IF(tblMovement[[#This Row],[Destination]]="","",IFERROR(INDEX(tblDestinations[Type],MATCH(tblMovement[[#This Row],[Destination]],tblDestinations[Destination],0)),"?"))</f>
        <v/>
      </c>
      <c r="M1099" s="64">
        <f>IF(tblMovement[[#This Row],[Material]]="","",IF(LEFT(tblMovement[[#This Row],[Material]],3)="Ore",1,0))</f>
        <v/>
      </c>
      <c r="N1099" s="59">
        <f>IF(OR(tblMovement[[#This Row],[Tonnes_t]]="",tblMovement[[#This Row],[Grade_gpt]]=""),0,tblMovement[[#This Row],[Tonnes_t]]*tblMovement[[#This Row],[Grade_gpt]]/cfg_TroyOz)</f>
        <v/>
      </c>
      <c r="O1099" s="59">
        <f>IF(tblMovement[[#This Row],[Is_Ore]]=1,tblMovement[[#This Row],[Contained_oz]],0)</f>
        <v/>
      </c>
    </row>
    <row r="1100">
      <c r="A1100" s="54" t="n"/>
      <c r="B1100" s="61" t="n"/>
      <c r="C1100" s="61" t="n"/>
      <c r="D1100" s="61" t="n"/>
      <c r="E1100" s="61" t="n"/>
      <c r="F1100" s="55" t="n"/>
      <c r="G1100" s="56" t="n"/>
      <c r="H1100" s="55" t="n"/>
      <c r="I1100" s="62" t="n"/>
      <c r="J1100" s="58" t="n"/>
      <c r="K1100" s="63">
        <f>IF(tblMovement[[#This Row],[Source]]="","",IFERROR(INDEX(tblSources[Type],MATCH(tblMovement[[#This Row],[Source]],tblSources[Source],0)),"?"))</f>
        <v/>
      </c>
      <c r="L1100" s="63">
        <f>IF(tblMovement[[#This Row],[Destination]]="","",IFERROR(INDEX(tblDestinations[Type],MATCH(tblMovement[[#This Row],[Destination]],tblDestinations[Destination],0)),"?"))</f>
        <v/>
      </c>
      <c r="M1100" s="64">
        <f>IF(tblMovement[[#This Row],[Material]]="","",IF(LEFT(tblMovement[[#This Row],[Material]],3)="Ore",1,0))</f>
        <v/>
      </c>
      <c r="N1100" s="59">
        <f>IF(OR(tblMovement[[#This Row],[Tonnes_t]]="",tblMovement[[#This Row],[Grade_gpt]]=""),0,tblMovement[[#This Row],[Tonnes_t]]*tblMovement[[#This Row],[Grade_gpt]]/cfg_TroyOz)</f>
        <v/>
      </c>
      <c r="O1100" s="59">
        <f>IF(tblMovement[[#This Row],[Is_Ore]]=1,tblMovement[[#This Row],[Contained_oz]],0)</f>
        <v/>
      </c>
    </row>
    <row r="1101">
      <c r="A1101" s="54" t="n"/>
      <c r="B1101" s="61" t="n"/>
      <c r="C1101" s="61" t="n"/>
      <c r="D1101" s="61" t="n"/>
      <c r="E1101" s="61" t="n"/>
      <c r="F1101" s="55" t="n"/>
      <c r="G1101" s="56" t="n"/>
      <c r="H1101" s="55" t="n"/>
      <c r="I1101" s="62" t="n"/>
      <c r="J1101" s="58" t="n"/>
      <c r="K1101" s="63">
        <f>IF(tblMovement[[#This Row],[Source]]="","",IFERROR(INDEX(tblSources[Type],MATCH(tblMovement[[#This Row],[Source]],tblSources[Source],0)),"?"))</f>
        <v/>
      </c>
      <c r="L1101" s="63">
        <f>IF(tblMovement[[#This Row],[Destination]]="","",IFERROR(INDEX(tblDestinations[Type],MATCH(tblMovement[[#This Row],[Destination]],tblDestinations[Destination],0)),"?"))</f>
        <v/>
      </c>
      <c r="M1101" s="64">
        <f>IF(tblMovement[[#This Row],[Material]]="","",IF(LEFT(tblMovement[[#This Row],[Material]],3)="Ore",1,0))</f>
        <v/>
      </c>
      <c r="N1101" s="59">
        <f>IF(OR(tblMovement[[#This Row],[Tonnes_t]]="",tblMovement[[#This Row],[Grade_gpt]]=""),0,tblMovement[[#This Row],[Tonnes_t]]*tblMovement[[#This Row],[Grade_gpt]]/cfg_TroyOz)</f>
        <v/>
      </c>
      <c r="O1101" s="59">
        <f>IF(tblMovement[[#This Row],[Is_Ore]]=1,tblMovement[[#This Row],[Contained_oz]],0)</f>
        <v/>
      </c>
    </row>
    <row r="1102">
      <c r="A1102" s="54" t="n"/>
      <c r="B1102" s="61" t="n"/>
      <c r="C1102" s="61" t="n"/>
      <c r="D1102" s="61" t="n"/>
      <c r="E1102" s="61" t="n"/>
      <c r="F1102" s="55" t="n"/>
      <c r="G1102" s="56" t="n"/>
      <c r="H1102" s="55" t="n"/>
      <c r="I1102" s="62" t="n"/>
      <c r="J1102" s="58" t="n"/>
      <c r="K1102" s="63">
        <f>IF(tblMovement[[#This Row],[Source]]="","",IFERROR(INDEX(tblSources[Type],MATCH(tblMovement[[#This Row],[Source]],tblSources[Source],0)),"?"))</f>
        <v/>
      </c>
      <c r="L1102" s="63">
        <f>IF(tblMovement[[#This Row],[Destination]]="","",IFERROR(INDEX(tblDestinations[Type],MATCH(tblMovement[[#This Row],[Destination]],tblDestinations[Destination],0)),"?"))</f>
        <v/>
      </c>
      <c r="M1102" s="64">
        <f>IF(tblMovement[[#This Row],[Material]]="","",IF(LEFT(tblMovement[[#This Row],[Material]],3)="Ore",1,0))</f>
        <v/>
      </c>
      <c r="N1102" s="59">
        <f>IF(OR(tblMovement[[#This Row],[Tonnes_t]]="",tblMovement[[#This Row],[Grade_gpt]]=""),0,tblMovement[[#This Row],[Tonnes_t]]*tblMovement[[#This Row],[Grade_gpt]]/cfg_TroyOz)</f>
        <v/>
      </c>
      <c r="O1102" s="59">
        <f>IF(tblMovement[[#This Row],[Is_Ore]]=1,tblMovement[[#This Row],[Contained_oz]],0)</f>
        <v/>
      </c>
    </row>
    <row r="1103">
      <c r="A1103" s="54" t="n"/>
      <c r="B1103" s="61" t="n"/>
      <c r="C1103" s="61" t="n"/>
      <c r="D1103" s="61" t="n"/>
      <c r="E1103" s="61" t="n"/>
      <c r="F1103" s="55" t="n"/>
      <c r="G1103" s="56" t="n"/>
      <c r="H1103" s="55" t="n"/>
      <c r="I1103" s="62" t="n"/>
      <c r="J1103" s="58" t="n"/>
      <c r="K1103" s="63">
        <f>IF(tblMovement[[#This Row],[Source]]="","",IFERROR(INDEX(tblSources[Type],MATCH(tblMovement[[#This Row],[Source]],tblSources[Source],0)),"?"))</f>
        <v/>
      </c>
      <c r="L1103" s="63">
        <f>IF(tblMovement[[#This Row],[Destination]]="","",IFERROR(INDEX(tblDestinations[Type],MATCH(tblMovement[[#This Row],[Destination]],tblDestinations[Destination],0)),"?"))</f>
        <v/>
      </c>
      <c r="M1103" s="64">
        <f>IF(tblMovement[[#This Row],[Material]]="","",IF(LEFT(tblMovement[[#This Row],[Material]],3)="Ore",1,0))</f>
        <v/>
      </c>
      <c r="N1103" s="59">
        <f>IF(OR(tblMovement[[#This Row],[Tonnes_t]]="",tblMovement[[#This Row],[Grade_gpt]]=""),0,tblMovement[[#This Row],[Tonnes_t]]*tblMovement[[#This Row],[Grade_gpt]]/cfg_TroyOz)</f>
        <v/>
      </c>
      <c r="O1103" s="59">
        <f>IF(tblMovement[[#This Row],[Is_Ore]]=1,tblMovement[[#This Row],[Contained_oz]],0)</f>
        <v/>
      </c>
    </row>
    <row r="1104">
      <c r="A1104" s="54" t="n"/>
      <c r="B1104" s="61" t="n"/>
      <c r="C1104" s="61" t="n"/>
      <c r="D1104" s="61" t="n"/>
      <c r="E1104" s="61" t="n"/>
      <c r="F1104" s="55" t="n"/>
      <c r="G1104" s="56" t="n"/>
      <c r="H1104" s="55" t="n"/>
      <c r="I1104" s="62" t="n"/>
      <c r="J1104" s="58" t="n"/>
      <c r="K1104" s="63">
        <f>IF(tblMovement[[#This Row],[Source]]="","",IFERROR(INDEX(tblSources[Type],MATCH(tblMovement[[#This Row],[Source]],tblSources[Source],0)),"?"))</f>
        <v/>
      </c>
      <c r="L1104" s="63">
        <f>IF(tblMovement[[#This Row],[Destination]]="","",IFERROR(INDEX(tblDestinations[Type],MATCH(tblMovement[[#This Row],[Destination]],tblDestinations[Destination],0)),"?"))</f>
        <v/>
      </c>
      <c r="M1104" s="64">
        <f>IF(tblMovement[[#This Row],[Material]]="","",IF(LEFT(tblMovement[[#This Row],[Material]],3)="Ore",1,0))</f>
        <v/>
      </c>
      <c r="N1104" s="59">
        <f>IF(OR(tblMovement[[#This Row],[Tonnes_t]]="",tblMovement[[#This Row],[Grade_gpt]]=""),0,tblMovement[[#This Row],[Tonnes_t]]*tblMovement[[#This Row],[Grade_gpt]]/cfg_TroyOz)</f>
        <v/>
      </c>
      <c r="O1104" s="59">
        <f>IF(tblMovement[[#This Row],[Is_Ore]]=1,tblMovement[[#This Row],[Contained_oz]],0)</f>
        <v/>
      </c>
    </row>
    <row r="1105">
      <c r="A1105" s="54" t="n"/>
      <c r="B1105" s="61" t="n"/>
      <c r="C1105" s="61" t="n"/>
      <c r="D1105" s="61" t="n"/>
      <c r="E1105" s="61" t="n"/>
      <c r="F1105" s="55" t="n"/>
      <c r="G1105" s="56" t="n"/>
      <c r="H1105" s="55" t="n"/>
      <c r="I1105" s="62" t="n"/>
      <c r="J1105" s="58" t="n"/>
      <c r="K1105" s="63">
        <f>IF(tblMovement[[#This Row],[Source]]="","",IFERROR(INDEX(tblSources[Type],MATCH(tblMovement[[#This Row],[Source]],tblSources[Source],0)),"?"))</f>
        <v/>
      </c>
      <c r="L1105" s="63">
        <f>IF(tblMovement[[#This Row],[Destination]]="","",IFERROR(INDEX(tblDestinations[Type],MATCH(tblMovement[[#This Row],[Destination]],tblDestinations[Destination],0)),"?"))</f>
        <v/>
      </c>
      <c r="M1105" s="64">
        <f>IF(tblMovement[[#This Row],[Material]]="","",IF(LEFT(tblMovement[[#This Row],[Material]],3)="Ore",1,0))</f>
        <v/>
      </c>
      <c r="N1105" s="59">
        <f>IF(OR(tblMovement[[#This Row],[Tonnes_t]]="",tblMovement[[#This Row],[Grade_gpt]]=""),0,tblMovement[[#This Row],[Tonnes_t]]*tblMovement[[#This Row],[Grade_gpt]]/cfg_TroyOz)</f>
        <v/>
      </c>
      <c r="O1105" s="59">
        <f>IF(tblMovement[[#This Row],[Is_Ore]]=1,tblMovement[[#This Row],[Contained_oz]],0)</f>
        <v/>
      </c>
    </row>
    <row r="1106">
      <c r="A1106" s="54" t="n"/>
      <c r="B1106" s="61" t="n"/>
      <c r="C1106" s="61" t="n"/>
      <c r="D1106" s="61" t="n"/>
      <c r="E1106" s="61" t="n"/>
      <c r="F1106" s="55" t="n"/>
      <c r="G1106" s="56" t="n"/>
      <c r="H1106" s="55" t="n"/>
      <c r="I1106" s="62" t="n"/>
      <c r="J1106" s="58" t="n"/>
      <c r="K1106" s="63">
        <f>IF(tblMovement[[#This Row],[Source]]="","",IFERROR(INDEX(tblSources[Type],MATCH(tblMovement[[#This Row],[Source]],tblSources[Source],0)),"?"))</f>
        <v/>
      </c>
      <c r="L1106" s="63">
        <f>IF(tblMovement[[#This Row],[Destination]]="","",IFERROR(INDEX(tblDestinations[Type],MATCH(tblMovement[[#This Row],[Destination]],tblDestinations[Destination],0)),"?"))</f>
        <v/>
      </c>
      <c r="M1106" s="64">
        <f>IF(tblMovement[[#This Row],[Material]]="","",IF(LEFT(tblMovement[[#This Row],[Material]],3)="Ore",1,0))</f>
        <v/>
      </c>
      <c r="N1106" s="59">
        <f>IF(OR(tblMovement[[#This Row],[Tonnes_t]]="",tblMovement[[#This Row],[Grade_gpt]]=""),0,tblMovement[[#This Row],[Tonnes_t]]*tblMovement[[#This Row],[Grade_gpt]]/cfg_TroyOz)</f>
        <v/>
      </c>
      <c r="O1106" s="59">
        <f>IF(tblMovement[[#This Row],[Is_Ore]]=1,tblMovement[[#This Row],[Contained_oz]],0)</f>
        <v/>
      </c>
    </row>
    <row r="1107">
      <c r="A1107" s="54" t="n"/>
      <c r="B1107" s="61" t="n"/>
      <c r="C1107" s="61" t="n"/>
      <c r="D1107" s="61" t="n"/>
      <c r="E1107" s="61" t="n"/>
      <c r="F1107" s="55" t="n"/>
      <c r="G1107" s="56" t="n"/>
      <c r="H1107" s="55" t="n"/>
      <c r="I1107" s="62" t="n"/>
      <c r="J1107" s="58" t="n"/>
      <c r="K1107" s="63">
        <f>IF(tblMovement[[#This Row],[Source]]="","",IFERROR(INDEX(tblSources[Type],MATCH(tblMovement[[#This Row],[Source]],tblSources[Source],0)),"?"))</f>
        <v/>
      </c>
      <c r="L1107" s="63">
        <f>IF(tblMovement[[#This Row],[Destination]]="","",IFERROR(INDEX(tblDestinations[Type],MATCH(tblMovement[[#This Row],[Destination]],tblDestinations[Destination],0)),"?"))</f>
        <v/>
      </c>
      <c r="M1107" s="64">
        <f>IF(tblMovement[[#This Row],[Material]]="","",IF(LEFT(tblMovement[[#This Row],[Material]],3)="Ore",1,0))</f>
        <v/>
      </c>
      <c r="N1107" s="59">
        <f>IF(OR(tblMovement[[#This Row],[Tonnes_t]]="",tblMovement[[#This Row],[Grade_gpt]]=""),0,tblMovement[[#This Row],[Tonnes_t]]*tblMovement[[#This Row],[Grade_gpt]]/cfg_TroyOz)</f>
        <v/>
      </c>
      <c r="O1107" s="59">
        <f>IF(tblMovement[[#This Row],[Is_Ore]]=1,tblMovement[[#This Row],[Contained_oz]],0)</f>
        <v/>
      </c>
    </row>
    <row r="1108">
      <c r="A1108" s="54" t="n"/>
      <c r="B1108" s="61" t="n"/>
      <c r="C1108" s="61" t="n"/>
      <c r="D1108" s="61" t="n"/>
      <c r="E1108" s="61" t="n"/>
      <c r="F1108" s="55" t="n"/>
      <c r="G1108" s="56" t="n"/>
      <c r="H1108" s="55" t="n"/>
      <c r="I1108" s="62" t="n"/>
      <c r="J1108" s="58" t="n"/>
      <c r="K1108" s="63">
        <f>IF(tblMovement[[#This Row],[Source]]="","",IFERROR(INDEX(tblSources[Type],MATCH(tblMovement[[#This Row],[Source]],tblSources[Source],0)),"?"))</f>
        <v/>
      </c>
      <c r="L1108" s="63">
        <f>IF(tblMovement[[#This Row],[Destination]]="","",IFERROR(INDEX(tblDestinations[Type],MATCH(tblMovement[[#This Row],[Destination]],tblDestinations[Destination],0)),"?"))</f>
        <v/>
      </c>
      <c r="M1108" s="64">
        <f>IF(tblMovement[[#This Row],[Material]]="","",IF(LEFT(tblMovement[[#This Row],[Material]],3)="Ore",1,0))</f>
        <v/>
      </c>
      <c r="N1108" s="59">
        <f>IF(OR(tblMovement[[#This Row],[Tonnes_t]]="",tblMovement[[#This Row],[Grade_gpt]]=""),0,tblMovement[[#This Row],[Tonnes_t]]*tblMovement[[#This Row],[Grade_gpt]]/cfg_TroyOz)</f>
        <v/>
      </c>
      <c r="O1108" s="59">
        <f>IF(tblMovement[[#This Row],[Is_Ore]]=1,tblMovement[[#This Row],[Contained_oz]],0)</f>
        <v/>
      </c>
    </row>
    <row r="1109">
      <c r="A1109" s="54" t="n"/>
      <c r="B1109" s="61" t="n"/>
      <c r="C1109" s="61" t="n"/>
      <c r="D1109" s="61" t="n"/>
      <c r="E1109" s="61" t="n"/>
      <c r="F1109" s="55" t="n"/>
      <c r="G1109" s="56" t="n"/>
      <c r="H1109" s="55" t="n"/>
      <c r="I1109" s="62" t="n"/>
      <c r="J1109" s="58" t="n"/>
      <c r="K1109" s="63">
        <f>IF(tblMovement[[#This Row],[Source]]="","",IFERROR(INDEX(tblSources[Type],MATCH(tblMovement[[#This Row],[Source]],tblSources[Source],0)),"?"))</f>
        <v/>
      </c>
      <c r="L1109" s="63">
        <f>IF(tblMovement[[#This Row],[Destination]]="","",IFERROR(INDEX(tblDestinations[Type],MATCH(tblMovement[[#This Row],[Destination]],tblDestinations[Destination],0)),"?"))</f>
        <v/>
      </c>
      <c r="M1109" s="64">
        <f>IF(tblMovement[[#This Row],[Material]]="","",IF(LEFT(tblMovement[[#This Row],[Material]],3)="Ore",1,0))</f>
        <v/>
      </c>
      <c r="N1109" s="59">
        <f>IF(OR(tblMovement[[#This Row],[Tonnes_t]]="",tblMovement[[#This Row],[Grade_gpt]]=""),0,tblMovement[[#This Row],[Tonnes_t]]*tblMovement[[#This Row],[Grade_gpt]]/cfg_TroyOz)</f>
        <v/>
      </c>
      <c r="O1109" s="59">
        <f>IF(tblMovement[[#This Row],[Is_Ore]]=1,tblMovement[[#This Row],[Contained_oz]],0)</f>
        <v/>
      </c>
    </row>
    <row r="1110">
      <c r="A1110" s="54" t="n"/>
      <c r="B1110" s="61" t="n"/>
      <c r="C1110" s="61" t="n"/>
      <c r="D1110" s="61" t="n"/>
      <c r="E1110" s="61" t="n"/>
      <c r="F1110" s="55" t="n"/>
      <c r="G1110" s="56" t="n"/>
      <c r="H1110" s="55" t="n"/>
      <c r="I1110" s="62" t="n"/>
      <c r="J1110" s="58" t="n"/>
      <c r="K1110" s="63">
        <f>IF(tblMovement[[#This Row],[Source]]="","",IFERROR(INDEX(tblSources[Type],MATCH(tblMovement[[#This Row],[Source]],tblSources[Source],0)),"?"))</f>
        <v/>
      </c>
      <c r="L1110" s="63">
        <f>IF(tblMovement[[#This Row],[Destination]]="","",IFERROR(INDEX(tblDestinations[Type],MATCH(tblMovement[[#This Row],[Destination]],tblDestinations[Destination],0)),"?"))</f>
        <v/>
      </c>
      <c r="M1110" s="64">
        <f>IF(tblMovement[[#This Row],[Material]]="","",IF(LEFT(tblMovement[[#This Row],[Material]],3)="Ore",1,0))</f>
        <v/>
      </c>
      <c r="N1110" s="59">
        <f>IF(OR(tblMovement[[#This Row],[Tonnes_t]]="",tblMovement[[#This Row],[Grade_gpt]]=""),0,tblMovement[[#This Row],[Tonnes_t]]*tblMovement[[#This Row],[Grade_gpt]]/cfg_TroyOz)</f>
        <v/>
      </c>
      <c r="O1110" s="59">
        <f>IF(tblMovement[[#This Row],[Is_Ore]]=1,tblMovement[[#This Row],[Contained_oz]],0)</f>
        <v/>
      </c>
    </row>
    <row r="1111">
      <c r="A1111" s="54" t="n"/>
      <c r="B1111" s="61" t="n"/>
      <c r="C1111" s="61" t="n"/>
      <c r="D1111" s="61" t="n"/>
      <c r="E1111" s="61" t="n"/>
      <c r="F1111" s="55" t="n"/>
      <c r="G1111" s="56" t="n"/>
      <c r="H1111" s="55" t="n"/>
      <c r="I1111" s="62" t="n"/>
      <c r="J1111" s="58" t="n"/>
      <c r="K1111" s="63">
        <f>IF(tblMovement[[#This Row],[Source]]="","",IFERROR(INDEX(tblSources[Type],MATCH(tblMovement[[#This Row],[Source]],tblSources[Source],0)),"?"))</f>
        <v/>
      </c>
      <c r="L1111" s="63">
        <f>IF(tblMovement[[#This Row],[Destination]]="","",IFERROR(INDEX(tblDestinations[Type],MATCH(tblMovement[[#This Row],[Destination]],tblDestinations[Destination],0)),"?"))</f>
        <v/>
      </c>
      <c r="M1111" s="64">
        <f>IF(tblMovement[[#This Row],[Material]]="","",IF(LEFT(tblMovement[[#This Row],[Material]],3)="Ore",1,0))</f>
        <v/>
      </c>
      <c r="N1111" s="59">
        <f>IF(OR(tblMovement[[#This Row],[Tonnes_t]]="",tblMovement[[#This Row],[Grade_gpt]]=""),0,tblMovement[[#This Row],[Tonnes_t]]*tblMovement[[#This Row],[Grade_gpt]]/cfg_TroyOz)</f>
        <v/>
      </c>
      <c r="O1111" s="59">
        <f>IF(tblMovement[[#This Row],[Is_Ore]]=1,tblMovement[[#This Row],[Contained_oz]],0)</f>
        <v/>
      </c>
    </row>
    <row r="1112">
      <c r="A1112" s="54" t="n"/>
      <c r="B1112" s="61" t="n"/>
      <c r="C1112" s="61" t="n"/>
      <c r="D1112" s="61" t="n"/>
      <c r="E1112" s="61" t="n"/>
      <c r="F1112" s="55" t="n"/>
      <c r="G1112" s="56" t="n"/>
      <c r="H1112" s="55" t="n"/>
      <c r="I1112" s="62" t="n"/>
      <c r="J1112" s="58" t="n"/>
      <c r="K1112" s="63">
        <f>IF(tblMovement[[#This Row],[Source]]="","",IFERROR(INDEX(tblSources[Type],MATCH(tblMovement[[#This Row],[Source]],tblSources[Source],0)),"?"))</f>
        <v/>
      </c>
      <c r="L1112" s="63">
        <f>IF(tblMovement[[#This Row],[Destination]]="","",IFERROR(INDEX(tblDestinations[Type],MATCH(tblMovement[[#This Row],[Destination]],tblDestinations[Destination],0)),"?"))</f>
        <v/>
      </c>
      <c r="M1112" s="64">
        <f>IF(tblMovement[[#This Row],[Material]]="","",IF(LEFT(tblMovement[[#This Row],[Material]],3)="Ore",1,0))</f>
        <v/>
      </c>
      <c r="N1112" s="59">
        <f>IF(OR(tblMovement[[#This Row],[Tonnes_t]]="",tblMovement[[#This Row],[Grade_gpt]]=""),0,tblMovement[[#This Row],[Tonnes_t]]*tblMovement[[#This Row],[Grade_gpt]]/cfg_TroyOz)</f>
        <v/>
      </c>
      <c r="O1112" s="59">
        <f>IF(tblMovement[[#This Row],[Is_Ore]]=1,tblMovement[[#This Row],[Contained_oz]],0)</f>
        <v/>
      </c>
    </row>
    <row r="1113">
      <c r="A1113" s="54" t="n"/>
      <c r="B1113" s="61" t="n"/>
      <c r="C1113" s="61" t="n"/>
      <c r="D1113" s="61" t="n"/>
      <c r="E1113" s="61" t="n"/>
      <c r="F1113" s="55" t="n"/>
      <c r="G1113" s="56" t="n"/>
      <c r="H1113" s="55" t="n"/>
      <c r="I1113" s="62" t="n"/>
      <c r="J1113" s="58" t="n"/>
      <c r="K1113" s="63">
        <f>IF(tblMovement[[#This Row],[Source]]="","",IFERROR(INDEX(tblSources[Type],MATCH(tblMovement[[#This Row],[Source]],tblSources[Source],0)),"?"))</f>
        <v/>
      </c>
      <c r="L1113" s="63">
        <f>IF(tblMovement[[#This Row],[Destination]]="","",IFERROR(INDEX(tblDestinations[Type],MATCH(tblMovement[[#This Row],[Destination]],tblDestinations[Destination],0)),"?"))</f>
        <v/>
      </c>
      <c r="M1113" s="64">
        <f>IF(tblMovement[[#This Row],[Material]]="","",IF(LEFT(tblMovement[[#This Row],[Material]],3)="Ore",1,0))</f>
        <v/>
      </c>
      <c r="N1113" s="59">
        <f>IF(OR(tblMovement[[#This Row],[Tonnes_t]]="",tblMovement[[#This Row],[Grade_gpt]]=""),0,tblMovement[[#This Row],[Tonnes_t]]*tblMovement[[#This Row],[Grade_gpt]]/cfg_TroyOz)</f>
        <v/>
      </c>
      <c r="O1113" s="59">
        <f>IF(tblMovement[[#This Row],[Is_Ore]]=1,tblMovement[[#This Row],[Contained_oz]],0)</f>
        <v/>
      </c>
    </row>
    <row r="1114">
      <c r="A1114" s="54" t="n"/>
      <c r="B1114" s="61" t="n"/>
      <c r="C1114" s="61" t="n"/>
      <c r="D1114" s="61" t="n"/>
      <c r="E1114" s="61" t="n"/>
      <c r="F1114" s="55" t="n"/>
      <c r="G1114" s="56" t="n"/>
      <c r="H1114" s="55" t="n"/>
      <c r="I1114" s="62" t="n"/>
      <c r="J1114" s="58" t="n"/>
      <c r="K1114" s="63">
        <f>IF(tblMovement[[#This Row],[Source]]="","",IFERROR(INDEX(tblSources[Type],MATCH(tblMovement[[#This Row],[Source]],tblSources[Source],0)),"?"))</f>
        <v/>
      </c>
      <c r="L1114" s="63">
        <f>IF(tblMovement[[#This Row],[Destination]]="","",IFERROR(INDEX(tblDestinations[Type],MATCH(tblMovement[[#This Row],[Destination]],tblDestinations[Destination],0)),"?"))</f>
        <v/>
      </c>
      <c r="M1114" s="64">
        <f>IF(tblMovement[[#This Row],[Material]]="","",IF(LEFT(tblMovement[[#This Row],[Material]],3)="Ore",1,0))</f>
        <v/>
      </c>
      <c r="N1114" s="59">
        <f>IF(OR(tblMovement[[#This Row],[Tonnes_t]]="",tblMovement[[#This Row],[Grade_gpt]]=""),0,tblMovement[[#This Row],[Tonnes_t]]*tblMovement[[#This Row],[Grade_gpt]]/cfg_TroyOz)</f>
        <v/>
      </c>
      <c r="O1114" s="59">
        <f>IF(tblMovement[[#This Row],[Is_Ore]]=1,tblMovement[[#This Row],[Contained_oz]],0)</f>
        <v/>
      </c>
    </row>
    <row r="1115">
      <c r="A1115" s="54" t="n"/>
      <c r="B1115" s="61" t="n"/>
      <c r="C1115" s="61" t="n"/>
      <c r="D1115" s="61" t="n"/>
      <c r="E1115" s="61" t="n"/>
      <c r="F1115" s="55" t="n"/>
      <c r="G1115" s="56" t="n"/>
      <c r="H1115" s="55" t="n"/>
      <c r="I1115" s="62" t="n"/>
      <c r="J1115" s="58" t="n"/>
      <c r="K1115" s="63">
        <f>IF(tblMovement[[#This Row],[Source]]="","",IFERROR(INDEX(tblSources[Type],MATCH(tblMovement[[#This Row],[Source]],tblSources[Source],0)),"?"))</f>
        <v/>
      </c>
      <c r="L1115" s="63">
        <f>IF(tblMovement[[#This Row],[Destination]]="","",IFERROR(INDEX(tblDestinations[Type],MATCH(tblMovement[[#This Row],[Destination]],tblDestinations[Destination],0)),"?"))</f>
        <v/>
      </c>
      <c r="M1115" s="64">
        <f>IF(tblMovement[[#This Row],[Material]]="","",IF(LEFT(tblMovement[[#This Row],[Material]],3)="Ore",1,0))</f>
        <v/>
      </c>
      <c r="N1115" s="59">
        <f>IF(OR(tblMovement[[#This Row],[Tonnes_t]]="",tblMovement[[#This Row],[Grade_gpt]]=""),0,tblMovement[[#This Row],[Tonnes_t]]*tblMovement[[#This Row],[Grade_gpt]]/cfg_TroyOz)</f>
        <v/>
      </c>
      <c r="O1115" s="59">
        <f>IF(tblMovement[[#This Row],[Is_Ore]]=1,tblMovement[[#This Row],[Contained_oz]],0)</f>
        <v/>
      </c>
    </row>
    <row r="1116">
      <c r="A1116" s="54" t="n"/>
      <c r="B1116" s="61" t="n"/>
      <c r="C1116" s="61" t="n"/>
      <c r="D1116" s="61" t="n"/>
      <c r="E1116" s="61" t="n"/>
      <c r="F1116" s="55" t="n"/>
      <c r="G1116" s="56" t="n"/>
      <c r="H1116" s="55" t="n"/>
      <c r="I1116" s="62" t="n"/>
      <c r="J1116" s="58" t="n"/>
      <c r="K1116" s="63">
        <f>IF(tblMovement[[#This Row],[Source]]="","",IFERROR(INDEX(tblSources[Type],MATCH(tblMovement[[#This Row],[Source]],tblSources[Source],0)),"?"))</f>
        <v/>
      </c>
      <c r="L1116" s="63">
        <f>IF(tblMovement[[#This Row],[Destination]]="","",IFERROR(INDEX(tblDestinations[Type],MATCH(tblMovement[[#This Row],[Destination]],tblDestinations[Destination],0)),"?"))</f>
        <v/>
      </c>
      <c r="M1116" s="64">
        <f>IF(tblMovement[[#This Row],[Material]]="","",IF(LEFT(tblMovement[[#This Row],[Material]],3)="Ore",1,0))</f>
        <v/>
      </c>
      <c r="N1116" s="59">
        <f>IF(OR(tblMovement[[#This Row],[Tonnes_t]]="",tblMovement[[#This Row],[Grade_gpt]]=""),0,tblMovement[[#This Row],[Tonnes_t]]*tblMovement[[#This Row],[Grade_gpt]]/cfg_TroyOz)</f>
        <v/>
      </c>
      <c r="O1116" s="59">
        <f>IF(tblMovement[[#This Row],[Is_Ore]]=1,tblMovement[[#This Row],[Contained_oz]],0)</f>
        <v/>
      </c>
    </row>
    <row r="1117">
      <c r="A1117" s="54" t="n"/>
      <c r="B1117" s="61" t="n"/>
      <c r="C1117" s="61" t="n"/>
      <c r="D1117" s="61" t="n"/>
      <c r="E1117" s="61" t="n"/>
      <c r="F1117" s="55" t="n"/>
      <c r="G1117" s="56" t="n"/>
      <c r="H1117" s="55" t="n"/>
      <c r="I1117" s="62" t="n"/>
      <c r="J1117" s="58" t="n"/>
      <c r="K1117" s="63">
        <f>IF(tblMovement[[#This Row],[Source]]="","",IFERROR(INDEX(tblSources[Type],MATCH(tblMovement[[#This Row],[Source]],tblSources[Source],0)),"?"))</f>
        <v/>
      </c>
      <c r="L1117" s="63">
        <f>IF(tblMovement[[#This Row],[Destination]]="","",IFERROR(INDEX(tblDestinations[Type],MATCH(tblMovement[[#This Row],[Destination]],tblDestinations[Destination],0)),"?"))</f>
        <v/>
      </c>
      <c r="M1117" s="64">
        <f>IF(tblMovement[[#This Row],[Material]]="","",IF(LEFT(tblMovement[[#This Row],[Material]],3)="Ore",1,0))</f>
        <v/>
      </c>
      <c r="N1117" s="59">
        <f>IF(OR(tblMovement[[#This Row],[Tonnes_t]]="",tblMovement[[#This Row],[Grade_gpt]]=""),0,tblMovement[[#This Row],[Tonnes_t]]*tblMovement[[#This Row],[Grade_gpt]]/cfg_TroyOz)</f>
        <v/>
      </c>
      <c r="O1117" s="59">
        <f>IF(tblMovement[[#This Row],[Is_Ore]]=1,tblMovement[[#This Row],[Contained_oz]],0)</f>
        <v/>
      </c>
    </row>
    <row r="1118">
      <c r="A1118" s="54" t="n"/>
      <c r="B1118" s="61" t="n"/>
      <c r="C1118" s="61" t="n"/>
      <c r="D1118" s="61" t="n"/>
      <c r="E1118" s="61" t="n"/>
      <c r="F1118" s="55" t="n"/>
      <c r="G1118" s="56" t="n"/>
      <c r="H1118" s="55" t="n"/>
      <c r="I1118" s="62" t="n"/>
      <c r="J1118" s="58" t="n"/>
      <c r="K1118" s="63">
        <f>IF(tblMovement[[#This Row],[Source]]="","",IFERROR(INDEX(tblSources[Type],MATCH(tblMovement[[#This Row],[Source]],tblSources[Source],0)),"?"))</f>
        <v/>
      </c>
      <c r="L1118" s="63">
        <f>IF(tblMovement[[#This Row],[Destination]]="","",IFERROR(INDEX(tblDestinations[Type],MATCH(tblMovement[[#This Row],[Destination]],tblDestinations[Destination],0)),"?"))</f>
        <v/>
      </c>
      <c r="M1118" s="64">
        <f>IF(tblMovement[[#This Row],[Material]]="","",IF(LEFT(tblMovement[[#This Row],[Material]],3)="Ore",1,0))</f>
        <v/>
      </c>
      <c r="N1118" s="59">
        <f>IF(OR(tblMovement[[#This Row],[Tonnes_t]]="",tblMovement[[#This Row],[Grade_gpt]]=""),0,tblMovement[[#This Row],[Tonnes_t]]*tblMovement[[#This Row],[Grade_gpt]]/cfg_TroyOz)</f>
        <v/>
      </c>
      <c r="O1118" s="59">
        <f>IF(tblMovement[[#This Row],[Is_Ore]]=1,tblMovement[[#This Row],[Contained_oz]],0)</f>
        <v/>
      </c>
    </row>
    <row r="1119">
      <c r="A1119" s="54" t="n"/>
      <c r="B1119" s="61" t="n"/>
      <c r="C1119" s="61" t="n"/>
      <c r="D1119" s="61" t="n"/>
      <c r="E1119" s="61" t="n"/>
      <c r="F1119" s="55" t="n"/>
      <c r="G1119" s="56" t="n"/>
      <c r="H1119" s="55" t="n"/>
      <c r="I1119" s="62" t="n"/>
      <c r="J1119" s="58" t="n"/>
      <c r="K1119" s="63">
        <f>IF(tblMovement[[#This Row],[Source]]="","",IFERROR(INDEX(tblSources[Type],MATCH(tblMovement[[#This Row],[Source]],tblSources[Source],0)),"?"))</f>
        <v/>
      </c>
      <c r="L1119" s="63">
        <f>IF(tblMovement[[#This Row],[Destination]]="","",IFERROR(INDEX(tblDestinations[Type],MATCH(tblMovement[[#This Row],[Destination]],tblDestinations[Destination],0)),"?"))</f>
        <v/>
      </c>
      <c r="M1119" s="64">
        <f>IF(tblMovement[[#This Row],[Material]]="","",IF(LEFT(tblMovement[[#This Row],[Material]],3)="Ore",1,0))</f>
        <v/>
      </c>
      <c r="N1119" s="59">
        <f>IF(OR(tblMovement[[#This Row],[Tonnes_t]]="",tblMovement[[#This Row],[Grade_gpt]]=""),0,tblMovement[[#This Row],[Tonnes_t]]*tblMovement[[#This Row],[Grade_gpt]]/cfg_TroyOz)</f>
        <v/>
      </c>
      <c r="O1119" s="59">
        <f>IF(tblMovement[[#This Row],[Is_Ore]]=1,tblMovement[[#This Row],[Contained_oz]],0)</f>
        <v/>
      </c>
    </row>
    <row r="1120">
      <c r="A1120" s="54" t="n"/>
      <c r="B1120" s="61" t="n"/>
      <c r="C1120" s="61" t="n"/>
      <c r="D1120" s="61" t="n"/>
      <c r="E1120" s="61" t="n"/>
      <c r="F1120" s="55" t="n"/>
      <c r="G1120" s="56" t="n"/>
      <c r="H1120" s="55" t="n"/>
      <c r="I1120" s="62" t="n"/>
      <c r="J1120" s="58" t="n"/>
      <c r="K1120" s="63">
        <f>IF(tblMovement[[#This Row],[Source]]="","",IFERROR(INDEX(tblSources[Type],MATCH(tblMovement[[#This Row],[Source]],tblSources[Source],0)),"?"))</f>
        <v/>
      </c>
      <c r="L1120" s="63">
        <f>IF(tblMovement[[#This Row],[Destination]]="","",IFERROR(INDEX(tblDestinations[Type],MATCH(tblMovement[[#This Row],[Destination]],tblDestinations[Destination],0)),"?"))</f>
        <v/>
      </c>
      <c r="M1120" s="64">
        <f>IF(tblMovement[[#This Row],[Material]]="","",IF(LEFT(tblMovement[[#This Row],[Material]],3)="Ore",1,0))</f>
        <v/>
      </c>
      <c r="N1120" s="59">
        <f>IF(OR(tblMovement[[#This Row],[Tonnes_t]]="",tblMovement[[#This Row],[Grade_gpt]]=""),0,tblMovement[[#This Row],[Tonnes_t]]*tblMovement[[#This Row],[Grade_gpt]]/cfg_TroyOz)</f>
        <v/>
      </c>
      <c r="O1120" s="59">
        <f>IF(tblMovement[[#This Row],[Is_Ore]]=1,tblMovement[[#This Row],[Contained_oz]],0)</f>
        <v/>
      </c>
    </row>
    <row r="1121">
      <c r="A1121" s="54" t="n"/>
      <c r="B1121" s="61" t="n"/>
      <c r="C1121" s="61" t="n"/>
      <c r="D1121" s="61" t="n"/>
      <c r="E1121" s="61" t="n"/>
      <c r="F1121" s="55" t="n"/>
      <c r="G1121" s="56" t="n"/>
      <c r="H1121" s="55" t="n"/>
      <c r="I1121" s="62" t="n"/>
      <c r="J1121" s="58" t="n"/>
      <c r="K1121" s="63">
        <f>IF(tblMovement[[#This Row],[Source]]="","",IFERROR(INDEX(tblSources[Type],MATCH(tblMovement[[#This Row],[Source]],tblSources[Source],0)),"?"))</f>
        <v/>
      </c>
      <c r="L1121" s="63">
        <f>IF(tblMovement[[#This Row],[Destination]]="","",IFERROR(INDEX(tblDestinations[Type],MATCH(tblMovement[[#This Row],[Destination]],tblDestinations[Destination],0)),"?"))</f>
        <v/>
      </c>
      <c r="M1121" s="64">
        <f>IF(tblMovement[[#This Row],[Material]]="","",IF(LEFT(tblMovement[[#This Row],[Material]],3)="Ore",1,0))</f>
        <v/>
      </c>
      <c r="N1121" s="59">
        <f>IF(OR(tblMovement[[#This Row],[Tonnes_t]]="",tblMovement[[#This Row],[Grade_gpt]]=""),0,tblMovement[[#This Row],[Tonnes_t]]*tblMovement[[#This Row],[Grade_gpt]]/cfg_TroyOz)</f>
        <v/>
      </c>
      <c r="O1121" s="59">
        <f>IF(tblMovement[[#This Row],[Is_Ore]]=1,tblMovement[[#This Row],[Contained_oz]],0)</f>
        <v/>
      </c>
    </row>
    <row r="1122">
      <c r="A1122" s="54" t="n"/>
      <c r="B1122" s="61" t="n"/>
      <c r="C1122" s="61" t="n"/>
      <c r="D1122" s="61" t="n"/>
      <c r="E1122" s="61" t="n"/>
      <c r="F1122" s="55" t="n"/>
      <c r="G1122" s="56" t="n"/>
      <c r="H1122" s="55" t="n"/>
      <c r="I1122" s="62" t="n"/>
      <c r="J1122" s="58" t="n"/>
      <c r="K1122" s="63">
        <f>IF(tblMovement[[#This Row],[Source]]="","",IFERROR(INDEX(tblSources[Type],MATCH(tblMovement[[#This Row],[Source]],tblSources[Source],0)),"?"))</f>
        <v/>
      </c>
      <c r="L1122" s="63">
        <f>IF(tblMovement[[#This Row],[Destination]]="","",IFERROR(INDEX(tblDestinations[Type],MATCH(tblMovement[[#This Row],[Destination]],tblDestinations[Destination],0)),"?"))</f>
        <v/>
      </c>
      <c r="M1122" s="64">
        <f>IF(tblMovement[[#This Row],[Material]]="","",IF(LEFT(tblMovement[[#This Row],[Material]],3)="Ore",1,0))</f>
        <v/>
      </c>
      <c r="N1122" s="59">
        <f>IF(OR(tblMovement[[#This Row],[Tonnes_t]]="",tblMovement[[#This Row],[Grade_gpt]]=""),0,tblMovement[[#This Row],[Tonnes_t]]*tblMovement[[#This Row],[Grade_gpt]]/cfg_TroyOz)</f>
        <v/>
      </c>
      <c r="O1122" s="59">
        <f>IF(tblMovement[[#This Row],[Is_Ore]]=1,tblMovement[[#This Row],[Contained_oz]],0)</f>
        <v/>
      </c>
    </row>
    <row r="1123">
      <c r="A1123" s="54" t="n"/>
      <c r="B1123" s="61" t="n"/>
      <c r="C1123" s="61" t="n"/>
      <c r="D1123" s="61" t="n"/>
      <c r="E1123" s="61" t="n"/>
      <c r="F1123" s="55" t="n"/>
      <c r="G1123" s="56" t="n"/>
      <c r="H1123" s="55" t="n"/>
      <c r="I1123" s="62" t="n"/>
      <c r="J1123" s="58" t="n"/>
      <c r="K1123" s="63">
        <f>IF(tblMovement[[#This Row],[Source]]="","",IFERROR(INDEX(tblSources[Type],MATCH(tblMovement[[#This Row],[Source]],tblSources[Source],0)),"?"))</f>
        <v/>
      </c>
      <c r="L1123" s="63">
        <f>IF(tblMovement[[#This Row],[Destination]]="","",IFERROR(INDEX(tblDestinations[Type],MATCH(tblMovement[[#This Row],[Destination]],tblDestinations[Destination],0)),"?"))</f>
        <v/>
      </c>
      <c r="M1123" s="64">
        <f>IF(tblMovement[[#This Row],[Material]]="","",IF(LEFT(tblMovement[[#This Row],[Material]],3)="Ore",1,0))</f>
        <v/>
      </c>
      <c r="N1123" s="59">
        <f>IF(OR(tblMovement[[#This Row],[Tonnes_t]]="",tblMovement[[#This Row],[Grade_gpt]]=""),0,tblMovement[[#This Row],[Tonnes_t]]*tblMovement[[#This Row],[Grade_gpt]]/cfg_TroyOz)</f>
        <v/>
      </c>
      <c r="O1123" s="59">
        <f>IF(tblMovement[[#This Row],[Is_Ore]]=1,tblMovement[[#This Row],[Contained_oz]],0)</f>
        <v/>
      </c>
    </row>
    <row r="1124">
      <c r="A1124" s="54" t="n"/>
      <c r="B1124" s="61" t="n"/>
      <c r="C1124" s="61" t="n"/>
      <c r="D1124" s="61" t="n"/>
      <c r="E1124" s="61" t="n"/>
      <c r="F1124" s="55" t="n"/>
      <c r="G1124" s="56" t="n"/>
      <c r="H1124" s="55" t="n"/>
      <c r="I1124" s="62" t="n"/>
      <c r="J1124" s="58" t="n"/>
      <c r="K1124" s="63">
        <f>IF(tblMovement[[#This Row],[Source]]="","",IFERROR(INDEX(tblSources[Type],MATCH(tblMovement[[#This Row],[Source]],tblSources[Source],0)),"?"))</f>
        <v/>
      </c>
      <c r="L1124" s="63">
        <f>IF(tblMovement[[#This Row],[Destination]]="","",IFERROR(INDEX(tblDestinations[Type],MATCH(tblMovement[[#This Row],[Destination]],tblDestinations[Destination],0)),"?"))</f>
        <v/>
      </c>
      <c r="M1124" s="64">
        <f>IF(tblMovement[[#This Row],[Material]]="","",IF(LEFT(tblMovement[[#This Row],[Material]],3)="Ore",1,0))</f>
        <v/>
      </c>
      <c r="N1124" s="59">
        <f>IF(OR(tblMovement[[#This Row],[Tonnes_t]]="",tblMovement[[#This Row],[Grade_gpt]]=""),0,tblMovement[[#This Row],[Tonnes_t]]*tblMovement[[#This Row],[Grade_gpt]]/cfg_TroyOz)</f>
        <v/>
      </c>
      <c r="O1124" s="59">
        <f>IF(tblMovement[[#This Row],[Is_Ore]]=1,tblMovement[[#This Row],[Contained_oz]],0)</f>
        <v/>
      </c>
    </row>
    <row r="1125">
      <c r="A1125" s="54" t="n"/>
      <c r="B1125" s="61" t="n"/>
      <c r="C1125" s="61" t="n"/>
      <c r="D1125" s="61" t="n"/>
      <c r="E1125" s="61" t="n"/>
      <c r="F1125" s="55" t="n"/>
      <c r="G1125" s="56" t="n"/>
      <c r="H1125" s="55" t="n"/>
      <c r="I1125" s="62" t="n"/>
      <c r="J1125" s="58" t="n"/>
      <c r="K1125" s="63">
        <f>IF(tblMovement[[#This Row],[Source]]="","",IFERROR(INDEX(tblSources[Type],MATCH(tblMovement[[#This Row],[Source]],tblSources[Source],0)),"?"))</f>
        <v/>
      </c>
      <c r="L1125" s="63">
        <f>IF(tblMovement[[#This Row],[Destination]]="","",IFERROR(INDEX(tblDestinations[Type],MATCH(tblMovement[[#This Row],[Destination]],tblDestinations[Destination],0)),"?"))</f>
        <v/>
      </c>
      <c r="M1125" s="64">
        <f>IF(tblMovement[[#This Row],[Material]]="","",IF(LEFT(tblMovement[[#This Row],[Material]],3)="Ore",1,0))</f>
        <v/>
      </c>
      <c r="N1125" s="59">
        <f>IF(OR(tblMovement[[#This Row],[Tonnes_t]]="",tblMovement[[#This Row],[Grade_gpt]]=""),0,tblMovement[[#This Row],[Tonnes_t]]*tblMovement[[#This Row],[Grade_gpt]]/cfg_TroyOz)</f>
        <v/>
      </c>
      <c r="O1125" s="59">
        <f>IF(tblMovement[[#This Row],[Is_Ore]]=1,tblMovement[[#This Row],[Contained_oz]],0)</f>
        <v/>
      </c>
    </row>
    <row r="1126">
      <c r="A1126" s="54" t="n"/>
      <c r="B1126" s="61" t="n"/>
      <c r="C1126" s="61" t="n"/>
      <c r="D1126" s="61" t="n"/>
      <c r="E1126" s="61" t="n"/>
      <c r="F1126" s="55" t="n"/>
      <c r="G1126" s="56" t="n"/>
      <c r="H1126" s="55" t="n"/>
      <c r="I1126" s="62" t="n"/>
      <c r="J1126" s="58" t="n"/>
      <c r="K1126" s="63">
        <f>IF(tblMovement[[#This Row],[Source]]="","",IFERROR(INDEX(tblSources[Type],MATCH(tblMovement[[#This Row],[Source]],tblSources[Source],0)),"?"))</f>
        <v/>
      </c>
      <c r="L1126" s="63">
        <f>IF(tblMovement[[#This Row],[Destination]]="","",IFERROR(INDEX(tblDestinations[Type],MATCH(tblMovement[[#This Row],[Destination]],tblDestinations[Destination],0)),"?"))</f>
        <v/>
      </c>
      <c r="M1126" s="64">
        <f>IF(tblMovement[[#This Row],[Material]]="","",IF(LEFT(tblMovement[[#This Row],[Material]],3)="Ore",1,0))</f>
        <v/>
      </c>
      <c r="N1126" s="59">
        <f>IF(OR(tblMovement[[#This Row],[Tonnes_t]]="",tblMovement[[#This Row],[Grade_gpt]]=""),0,tblMovement[[#This Row],[Tonnes_t]]*tblMovement[[#This Row],[Grade_gpt]]/cfg_TroyOz)</f>
        <v/>
      </c>
      <c r="O1126" s="59">
        <f>IF(tblMovement[[#This Row],[Is_Ore]]=1,tblMovement[[#This Row],[Contained_oz]],0)</f>
        <v/>
      </c>
    </row>
    <row r="1127">
      <c r="A1127" s="54" t="n"/>
      <c r="B1127" s="61" t="n"/>
      <c r="C1127" s="61" t="n"/>
      <c r="D1127" s="61" t="n"/>
      <c r="E1127" s="61" t="n"/>
      <c r="F1127" s="55" t="n"/>
      <c r="G1127" s="56" t="n"/>
      <c r="H1127" s="55" t="n"/>
      <c r="I1127" s="62" t="n"/>
      <c r="J1127" s="58" t="n"/>
      <c r="K1127" s="63">
        <f>IF(tblMovement[[#This Row],[Source]]="","",IFERROR(INDEX(tblSources[Type],MATCH(tblMovement[[#This Row],[Source]],tblSources[Source],0)),"?"))</f>
        <v/>
      </c>
      <c r="L1127" s="63">
        <f>IF(tblMovement[[#This Row],[Destination]]="","",IFERROR(INDEX(tblDestinations[Type],MATCH(tblMovement[[#This Row],[Destination]],tblDestinations[Destination],0)),"?"))</f>
        <v/>
      </c>
      <c r="M1127" s="64">
        <f>IF(tblMovement[[#This Row],[Material]]="","",IF(LEFT(tblMovement[[#This Row],[Material]],3)="Ore",1,0))</f>
        <v/>
      </c>
      <c r="N1127" s="59">
        <f>IF(OR(tblMovement[[#This Row],[Tonnes_t]]="",tblMovement[[#This Row],[Grade_gpt]]=""),0,tblMovement[[#This Row],[Tonnes_t]]*tblMovement[[#This Row],[Grade_gpt]]/cfg_TroyOz)</f>
        <v/>
      </c>
      <c r="O1127" s="59">
        <f>IF(tblMovement[[#This Row],[Is_Ore]]=1,tblMovement[[#This Row],[Contained_oz]],0)</f>
        <v/>
      </c>
    </row>
    <row r="1128">
      <c r="A1128" s="54" t="n"/>
      <c r="B1128" s="61" t="n"/>
      <c r="C1128" s="61" t="n"/>
      <c r="D1128" s="61" t="n"/>
      <c r="E1128" s="61" t="n"/>
      <c r="F1128" s="55" t="n"/>
      <c r="G1128" s="56" t="n"/>
      <c r="H1128" s="55" t="n"/>
      <c r="I1128" s="62" t="n"/>
      <c r="J1128" s="58" t="n"/>
      <c r="K1128" s="63">
        <f>IF(tblMovement[[#This Row],[Source]]="","",IFERROR(INDEX(tblSources[Type],MATCH(tblMovement[[#This Row],[Source]],tblSources[Source],0)),"?"))</f>
        <v/>
      </c>
      <c r="L1128" s="63">
        <f>IF(tblMovement[[#This Row],[Destination]]="","",IFERROR(INDEX(tblDestinations[Type],MATCH(tblMovement[[#This Row],[Destination]],tblDestinations[Destination],0)),"?"))</f>
        <v/>
      </c>
      <c r="M1128" s="64">
        <f>IF(tblMovement[[#This Row],[Material]]="","",IF(LEFT(tblMovement[[#This Row],[Material]],3)="Ore",1,0))</f>
        <v/>
      </c>
      <c r="N1128" s="59">
        <f>IF(OR(tblMovement[[#This Row],[Tonnes_t]]="",tblMovement[[#This Row],[Grade_gpt]]=""),0,tblMovement[[#This Row],[Tonnes_t]]*tblMovement[[#This Row],[Grade_gpt]]/cfg_TroyOz)</f>
        <v/>
      </c>
      <c r="O1128" s="59">
        <f>IF(tblMovement[[#This Row],[Is_Ore]]=1,tblMovement[[#This Row],[Contained_oz]],0)</f>
        <v/>
      </c>
    </row>
    <row r="1129">
      <c r="A1129" s="54" t="n"/>
      <c r="B1129" s="61" t="n"/>
      <c r="C1129" s="61" t="n"/>
      <c r="D1129" s="61" t="n"/>
      <c r="E1129" s="61" t="n"/>
      <c r="F1129" s="55" t="n"/>
      <c r="G1129" s="56" t="n"/>
      <c r="H1129" s="55" t="n"/>
      <c r="I1129" s="62" t="n"/>
      <c r="J1129" s="58" t="n"/>
      <c r="K1129" s="63">
        <f>IF(tblMovement[[#This Row],[Source]]="","",IFERROR(INDEX(tblSources[Type],MATCH(tblMovement[[#This Row],[Source]],tblSources[Source],0)),"?"))</f>
        <v/>
      </c>
      <c r="L1129" s="63">
        <f>IF(tblMovement[[#This Row],[Destination]]="","",IFERROR(INDEX(tblDestinations[Type],MATCH(tblMovement[[#This Row],[Destination]],tblDestinations[Destination],0)),"?"))</f>
        <v/>
      </c>
      <c r="M1129" s="64">
        <f>IF(tblMovement[[#This Row],[Material]]="","",IF(LEFT(tblMovement[[#This Row],[Material]],3)="Ore",1,0))</f>
        <v/>
      </c>
      <c r="N1129" s="59">
        <f>IF(OR(tblMovement[[#This Row],[Tonnes_t]]="",tblMovement[[#This Row],[Grade_gpt]]=""),0,tblMovement[[#This Row],[Tonnes_t]]*tblMovement[[#This Row],[Grade_gpt]]/cfg_TroyOz)</f>
        <v/>
      </c>
      <c r="O1129" s="59">
        <f>IF(tblMovement[[#This Row],[Is_Ore]]=1,tblMovement[[#This Row],[Contained_oz]],0)</f>
        <v/>
      </c>
    </row>
    <row r="1130">
      <c r="A1130" s="54" t="n"/>
      <c r="B1130" s="61" t="n"/>
      <c r="C1130" s="61" t="n"/>
      <c r="D1130" s="61" t="n"/>
      <c r="E1130" s="61" t="n"/>
      <c r="F1130" s="55" t="n"/>
      <c r="G1130" s="56" t="n"/>
      <c r="H1130" s="55" t="n"/>
      <c r="I1130" s="62" t="n"/>
      <c r="J1130" s="58" t="n"/>
      <c r="K1130" s="63">
        <f>IF(tblMovement[[#This Row],[Source]]="","",IFERROR(INDEX(tblSources[Type],MATCH(tblMovement[[#This Row],[Source]],tblSources[Source],0)),"?"))</f>
        <v/>
      </c>
      <c r="L1130" s="63">
        <f>IF(tblMovement[[#This Row],[Destination]]="","",IFERROR(INDEX(tblDestinations[Type],MATCH(tblMovement[[#This Row],[Destination]],tblDestinations[Destination],0)),"?"))</f>
        <v/>
      </c>
      <c r="M1130" s="64">
        <f>IF(tblMovement[[#This Row],[Material]]="","",IF(LEFT(tblMovement[[#This Row],[Material]],3)="Ore",1,0))</f>
        <v/>
      </c>
      <c r="N1130" s="59">
        <f>IF(OR(tblMovement[[#This Row],[Tonnes_t]]="",tblMovement[[#This Row],[Grade_gpt]]=""),0,tblMovement[[#This Row],[Tonnes_t]]*tblMovement[[#This Row],[Grade_gpt]]/cfg_TroyOz)</f>
        <v/>
      </c>
      <c r="O1130" s="59">
        <f>IF(tblMovement[[#This Row],[Is_Ore]]=1,tblMovement[[#This Row],[Contained_oz]],0)</f>
        <v/>
      </c>
    </row>
    <row r="1131">
      <c r="A1131" s="54" t="n"/>
      <c r="B1131" s="61" t="n"/>
      <c r="C1131" s="61" t="n"/>
      <c r="D1131" s="61" t="n"/>
      <c r="E1131" s="61" t="n"/>
      <c r="F1131" s="55" t="n"/>
      <c r="G1131" s="56" t="n"/>
      <c r="H1131" s="55" t="n"/>
      <c r="I1131" s="62" t="n"/>
      <c r="J1131" s="58" t="n"/>
      <c r="K1131" s="63">
        <f>IF(tblMovement[[#This Row],[Source]]="","",IFERROR(INDEX(tblSources[Type],MATCH(tblMovement[[#This Row],[Source]],tblSources[Source],0)),"?"))</f>
        <v/>
      </c>
      <c r="L1131" s="63">
        <f>IF(tblMovement[[#This Row],[Destination]]="","",IFERROR(INDEX(tblDestinations[Type],MATCH(tblMovement[[#This Row],[Destination]],tblDestinations[Destination],0)),"?"))</f>
        <v/>
      </c>
      <c r="M1131" s="64">
        <f>IF(tblMovement[[#This Row],[Material]]="","",IF(LEFT(tblMovement[[#This Row],[Material]],3)="Ore",1,0))</f>
        <v/>
      </c>
      <c r="N1131" s="59">
        <f>IF(OR(tblMovement[[#This Row],[Tonnes_t]]="",tblMovement[[#This Row],[Grade_gpt]]=""),0,tblMovement[[#This Row],[Tonnes_t]]*tblMovement[[#This Row],[Grade_gpt]]/cfg_TroyOz)</f>
        <v/>
      </c>
      <c r="O1131" s="59">
        <f>IF(tblMovement[[#This Row],[Is_Ore]]=1,tblMovement[[#This Row],[Contained_oz]],0)</f>
        <v/>
      </c>
    </row>
    <row r="1132">
      <c r="A1132" s="54" t="n"/>
      <c r="B1132" s="61" t="n"/>
      <c r="C1132" s="61" t="n"/>
      <c r="D1132" s="61" t="n"/>
      <c r="E1132" s="61" t="n"/>
      <c r="F1132" s="55" t="n"/>
      <c r="G1132" s="56" t="n"/>
      <c r="H1132" s="55" t="n"/>
      <c r="I1132" s="62" t="n"/>
      <c r="J1132" s="58" t="n"/>
      <c r="K1132" s="63">
        <f>IF(tblMovement[[#This Row],[Source]]="","",IFERROR(INDEX(tblSources[Type],MATCH(tblMovement[[#This Row],[Source]],tblSources[Source],0)),"?"))</f>
        <v/>
      </c>
      <c r="L1132" s="63">
        <f>IF(tblMovement[[#This Row],[Destination]]="","",IFERROR(INDEX(tblDestinations[Type],MATCH(tblMovement[[#This Row],[Destination]],tblDestinations[Destination],0)),"?"))</f>
        <v/>
      </c>
      <c r="M1132" s="64">
        <f>IF(tblMovement[[#This Row],[Material]]="","",IF(LEFT(tblMovement[[#This Row],[Material]],3)="Ore",1,0))</f>
        <v/>
      </c>
      <c r="N1132" s="59">
        <f>IF(OR(tblMovement[[#This Row],[Tonnes_t]]="",tblMovement[[#This Row],[Grade_gpt]]=""),0,tblMovement[[#This Row],[Tonnes_t]]*tblMovement[[#This Row],[Grade_gpt]]/cfg_TroyOz)</f>
        <v/>
      </c>
      <c r="O1132" s="59">
        <f>IF(tblMovement[[#This Row],[Is_Ore]]=1,tblMovement[[#This Row],[Contained_oz]],0)</f>
        <v/>
      </c>
    </row>
    <row r="1133">
      <c r="A1133" s="54" t="n"/>
      <c r="B1133" s="61" t="n"/>
      <c r="C1133" s="61" t="n"/>
      <c r="D1133" s="61" t="n"/>
      <c r="E1133" s="61" t="n"/>
      <c r="F1133" s="55" t="n"/>
      <c r="G1133" s="56" t="n"/>
      <c r="H1133" s="55" t="n"/>
      <c r="I1133" s="62" t="n"/>
      <c r="J1133" s="58" t="n"/>
      <c r="K1133" s="63">
        <f>IF(tblMovement[[#This Row],[Source]]="","",IFERROR(INDEX(tblSources[Type],MATCH(tblMovement[[#This Row],[Source]],tblSources[Source],0)),"?"))</f>
        <v/>
      </c>
      <c r="L1133" s="63">
        <f>IF(tblMovement[[#This Row],[Destination]]="","",IFERROR(INDEX(tblDestinations[Type],MATCH(tblMovement[[#This Row],[Destination]],tblDestinations[Destination],0)),"?"))</f>
        <v/>
      </c>
      <c r="M1133" s="64">
        <f>IF(tblMovement[[#This Row],[Material]]="","",IF(LEFT(tblMovement[[#This Row],[Material]],3)="Ore",1,0))</f>
        <v/>
      </c>
      <c r="N1133" s="59">
        <f>IF(OR(tblMovement[[#This Row],[Tonnes_t]]="",tblMovement[[#This Row],[Grade_gpt]]=""),0,tblMovement[[#This Row],[Tonnes_t]]*tblMovement[[#This Row],[Grade_gpt]]/cfg_TroyOz)</f>
        <v/>
      </c>
      <c r="O1133" s="59">
        <f>IF(tblMovement[[#This Row],[Is_Ore]]=1,tblMovement[[#This Row],[Contained_oz]],0)</f>
        <v/>
      </c>
    </row>
    <row r="1134">
      <c r="A1134" s="54" t="n"/>
      <c r="B1134" s="61" t="n"/>
      <c r="C1134" s="61" t="n"/>
      <c r="D1134" s="61" t="n"/>
      <c r="E1134" s="61" t="n"/>
      <c r="F1134" s="55" t="n"/>
      <c r="G1134" s="56" t="n"/>
      <c r="H1134" s="55" t="n"/>
      <c r="I1134" s="62" t="n"/>
      <c r="J1134" s="58" t="n"/>
      <c r="K1134" s="63">
        <f>IF(tblMovement[[#This Row],[Source]]="","",IFERROR(INDEX(tblSources[Type],MATCH(tblMovement[[#This Row],[Source]],tblSources[Source],0)),"?"))</f>
        <v/>
      </c>
      <c r="L1134" s="63">
        <f>IF(tblMovement[[#This Row],[Destination]]="","",IFERROR(INDEX(tblDestinations[Type],MATCH(tblMovement[[#This Row],[Destination]],tblDestinations[Destination],0)),"?"))</f>
        <v/>
      </c>
      <c r="M1134" s="64">
        <f>IF(tblMovement[[#This Row],[Material]]="","",IF(LEFT(tblMovement[[#This Row],[Material]],3)="Ore",1,0))</f>
        <v/>
      </c>
      <c r="N1134" s="59">
        <f>IF(OR(tblMovement[[#This Row],[Tonnes_t]]="",tblMovement[[#This Row],[Grade_gpt]]=""),0,tblMovement[[#This Row],[Tonnes_t]]*tblMovement[[#This Row],[Grade_gpt]]/cfg_TroyOz)</f>
        <v/>
      </c>
      <c r="O1134" s="59">
        <f>IF(tblMovement[[#This Row],[Is_Ore]]=1,tblMovement[[#This Row],[Contained_oz]],0)</f>
        <v/>
      </c>
    </row>
    <row r="1135">
      <c r="A1135" s="54" t="n"/>
      <c r="B1135" s="61" t="n"/>
      <c r="C1135" s="61" t="n"/>
      <c r="D1135" s="61" t="n"/>
      <c r="E1135" s="61" t="n"/>
      <c r="F1135" s="55" t="n"/>
      <c r="G1135" s="56" t="n"/>
      <c r="H1135" s="55" t="n"/>
      <c r="I1135" s="62" t="n"/>
      <c r="J1135" s="58" t="n"/>
      <c r="K1135" s="63">
        <f>IF(tblMovement[[#This Row],[Source]]="","",IFERROR(INDEX(tblSources[Type],MATCH(tblMovement[[#This Row],[Source]],tblSources[Source],0)),"?"))</f>
        <v/>
      </c>
      <c r="L1135" s="63">
        <f>IF(tblMovement[[#This Row],[Destination]]="","",IFERROR(INDEX(tblDestinations[Type],MATCH(tblMovement[[#This Row],[Destination]],tblDestinations[Destination],0)),"?"))</f>
        <v/>
      </c>
      <c r="M1135" s="64">
        <f>IF(tblMovement[[#This Row],[Material]]="","",IF(LEFT(tblMovement[[#This Row],[Material]],3)="Ore",1,0))</f>
        <v/>
      </c>
      <c r="N1135" s="59">
        <f>IF(OR(tblMovement[[#This Row],[Tonnes_t]]="",tblMovement[[#This Row],[Grade_gpt]]=""),0,tblMovement[[#This Row],[Tonnes_t]]*tblMovement[[#This Row],[Grade_gpt]]/cfg_TroyOz)</f>
        <v/>
      </c>
      <c r="O1135" s="59">
        <f>IF(tblMovement[[#This Row],[Is_Ore]]=1,tblMovement[[#This Row],[Contained_oz]],0)</f>
        <v/>
      </c>
    </row>
    <row r="1136">
      <c r="A1136" s="54" t="n"/>
      <c r="B1136" s="61" t="n"/>
      <c r="C1136" s="61" t="n"/>
      <c r="D1136" s="61" t="n"/>
      <c r="E1136" s="61" t="n"/>
      <c r="F1136" s="55" t="n"/>
      <c r="G1136" s="56" t="n"/>
      <c r="H1136" s="55" t="n"/>
      <c r="I1136" s="62" t="n"/>
      <c r="J1136" s="58" t="n"/>
      <c r="K1136" s="63">
        <f>IF(tblMovement[[#This Row],[Source]]="","",IFERROR(INDEX(tblSources[Type],MATCH(tblMovement[[#This Row],[Source]],tblSources[Source],0)),"?"))</f>
        <v/>
      </c>
      <c r="L1136" s="63">
        <f>IF(tblMovement[[#This Row],[Destination]]="","",IFERROR(INDEX(tblDestinations[Type],MATCH(tblMovement[[#This Row],[Destination]],tblDestinations[Destination],0)),"?"))</f>
        <v/>
      </c>
      <c r="M1136" s="64">
        <f>IF(tblMovement[[#This Row],[Material]]="","",IF(LEFT(tblMovement[[#This Row],[Material]],3)="Ore",1,0))</f>
        <v/>
      </c>
      <c r="N1136" s="59">
        <f>IF(OR(tblMovement[[#This Row],[Tonnes_t]]="",tblMovement[[#This Row],[Grade_gpt]]=""),0,tblMovement[[#This Row],[Tonnes_t]]*tblMovement[[#This Row],[Grade_gpt]]/cfg_TroyOz)</f>
        <v/>
      </c>
      <c r="O1136" s="59">
        <f>IF(tblMovement[[#This Row],[Is_Ore]]=1,tblMovement[[#This Row],[Contained_oz]],0)</f>
        <v/>
      </c>
    </row>
    <row r="1137">
      <c r="A1137" s="54" t="n"/>
      <c r="B1137" s="61" t="n"/>
      <c r="C1137" s="61" t="n"/>
      <c r="D1137" s="61" t="n"/>
      <c r="E1137" s="61" t="n"/>
      <c r="F1137" s="55" t="n"/>
      <c r="G1137" s="56" t="n"/>
      <c r="H1137" s="55" t="n"/>
      <c r="I1137" s="62" t="n"/>
      <c r="J1137" s="58" t="n"/>
      <c r="K1137" s="63">
        <f>IF(tblMovement[[#This Row],[Source]]="","",IFERROR(INDEX(tblSources[Type],MATCH(tblMovement[[#This Row],[Source]],tblSources[Source],0)),"?"))</f>
        <v/>
      </c>
      <c r="L1137" s="63">
        <f>IF(tblMovement[[#This Row],[Destination]]="","",IFERROR(INDEX(tblDestinations[Type],MATCH(tblMovement[[#This Row],[Destination]],tblDestinations[Destination],0)),"?"))</f>
        <v/>
      </c>
      <c r="M1137" s="64">
        <f>IF(tblMovement[[#This Row],[Material]]="","",IF(LEFT(tblMovement[[#This Row],[Material]],3)="Ore",1,0))</f>
        <v/>
      </c>
      <c r="N1137" s="59">
        <f>IF(OR(tblMovement[[#This Row],[Tonnes_t]]="",tblMovement[[#This Row],[Grade_gpt]]=""),0,tblMovement[[#This Row],[Tonnes_t]]*tblMovement[[#This Row],[Grade_gpt]]/cfg_TroyOz)</f>
        <v/>
      </c>
      <c r="O1137" s="59">
        <f>IF(tblMovement[[#This Row],[Is_Ore]]=1,tblMovement[[#This Row],[Contained_oz]],0)</f>
        <v/>
      </c>
    </row>
    <row r="1138">
      <c r="A1138" s="54" t="n"/>
      <c r="B1138" s="61" t="n"/>
      <c r="C1138" s="61" t="n"/>
      <c r="D1138" s="61" t="n"/>
      <c r="E1138" s="61" t="n"/>
      <c r="F1138" s="55" t="n"/>
      <c r="G1138" s="56" t="n"/>
      <c r="H1138" s="55" t="n"/>
      <c r="I1138" s="62" t="n"/>
      <c r="J1138" s="58" t="n"/>
      <c r="K1138" s="63">
        <f>IF(tblMovement[[#This Row],[Source]]="","",IFERROR(INDEX(tblSources[Type],MATCH(tblMovement[[#This Row],[Source]],tblSources[Source],0)),"?"))</f>
        <v/>
      </c>
      <c r="L1138" s="63">
        <f>IF(tblMovement[[#This Row],[Destination]]="","",IFERROR(INDEX(tblDestinations[Type],MATCH(tblMovement[[#This Row],[Destination]],tblDestinations[Destination],0)),"?"))</f>
        <v/>
      </c>
      <c r="M1138" s="64">
        <f>IF(tblMovement[[#This Row],[Material]]="","",IF(LEFT(tblMovement[[#This Row],[Material]],3)="Ore",1,0))</f>
        <v/>
      </c>
      <c r="N1138" s="59">
        <f>IF(OR(tblMovement[[#This Row],[Tonnes_t]]="",tblMovement[[#This Row],[Grade_gpt]]=""),0,tblMovement[[#This Row],[Tonnes_t]]*tblMovement[[#This Row],[Grade_gpt]]/cfg_TroyOz)</f>
        <v/>
      </c>
      <c r="O1138" s="59">
        <f>IF(tblMovement[[#This Row],[Is_Ore]]=1,tblMovement[[#This Row],[Contained_oz]],0)</f>
        <v/>
      </c>
    </row>
    <row r="1139">
      <c r="A1139" s="54" t="n"/>
      <c r="B1139" s="61" t="n"/>
      <c r="C1139" s="61" t="n"/>
      <c r="D1139" s="61" t="n"/>
      <c r="E1139" s="61" t="n"/>
      <c r="F1139" s="55" t="n"/>
      <c r="G1139" s="56" t="n"/>
      <c r="H1139" s="55" t="n"/>
      <c r="I1139" s="62" t="n"/>
      <c r="J1139" s="58" t="n"/>
      <c r="K1139" s="63">
        <f>IF(tblMovement[[#This Row],[Source]]="","",IFERROR(INDEX(tblSources[Type],MATCH(tblMovement[[#This Row],[Source]],tblSources[Source],0)),"?"))</f>
        <v/>
      </c>
      <c r="L1139" s="63">
        <f>IF(tblMovement[[#This Row],[Destination]]="","",IFERROR(INDEX(tblDestinations[Type],MATCH(tblMovement[[#This Row],[Destination]],tblDestinations[Destination],0)),"?"))</f>
        <v/>
      </c>
      <c r="M1139" s="64">
        <f>IF(tblMovement[[#This Row],[Material]]="","",IF(LEFT(tblMovement[[#This Row],[Material]],3)="Ore",1,0))</f>
        <v/>
      </c>
      <c r="N1139" s="59">
        <f>IF(OR(tblMovement[[#This Row],[Tonnes_t]]="",tblMovement[[#This Row],[Grade_gpt]]=""),0,tblMovement[[#This Row],[Tonnes_t]]*tblMovement[[#This Row],[Grade_gpt]]/cfg_TroyOz)</f>
        <v/>
      </c>
      <c r="O1139" s="59">
        <f>IF(tblMovement[[#This Row],[Is_Ore]]=1,tblMovement[[#This Row],[Contained_oz]],0)</f>
        <v/>
      </c>
    </row>
    <row r="1140">
      <c r="A1140" s="54" t="n"/>
      <c r="B1140" s="61" t="n"/>
      <c r="C1140" s="61" t="n"/>
      <c r="D1140" s="61" t="n"/>
      <c r="E1140" s="61" t="n"/>
      <c r="F1140" s="55" t="n"/>
      <c r="G1140" s="56" t="n"/>
      <c r="H1140" s="55" t="n"/>
      <c r="I1140" s="62" t="n"/>
      <c r="J1140" s="58" t="n"/>
      <c r="K1140" s="63">
        <f>IF(tblMovement[[#This Row],[Source]]="","",IFERROR(INDEX(tblSources[Type],MATCH(tblMovement[[#This Row],[Source]],tblSources[Source],0)),"?"))</f>
        <v/>
      </c>
      <c r="L1140" s="63">
        <f>IF(tblMovement[[#This Row],[Destination]]="","",IFERROR(INDEX(tblDestinations[Type],MATCH(tblMovement[[#This Row],[Destination]],tblDestinations[Destination],0)),"?"))</f>
        <v/>
      </c>
      <c r="M1140" s="64">
        <f>IF(tblMovement[[#This Row],[Material]]="","",IF(LEFT(tblMovement[[#This Row],[Material]],3)="Ore",1,0))</f>
        <v/>
      </c>
      <c r="N1140" s="59">
        <f>IF(OR(tblMovement[[#This Row],[Tonnes_t]]="",tblMovement[[#This Row],[Grade_gpt]]=""),0,tblMovement[[#This Row],[Tonnes_t]]*tblMovement[[#This Row],[Grade_gpt]]/cfg_TroyOz)</f>
        <v/>
      </c>
      <c r="O1140" s="59">
        <f>IF(tblMovement[[#This Row],[Is_Ore]]=1,tblMovement[[#This Row],[Contained_oz]],0)</f>
        <v/>
      </c>
    </row>
    <row r="1141">
      <c r="A1141" s="54" t="n"/>
      <c r="B1141" s="61" t="n"/>
      <c r="C1141" s="61" t="n"/>
      <c r="D1141" s="61" t="n"/>
      <c r="E1141" s="61" t="n"/>
      <c r="F1141" s="55" t="n"/>
      <c r="G1141" s="56" t="n"/>
      <c r="H1141" s="55" t="n"/>
      <c r="I1141" s="62" t="n"/>
      <c r="J1141" s="58" t="n"/>
      <c r="K1141" s="63">
        <f>IF(tblMovement[[#This Row],[Source]]="","",IFERROR(INDEX(tblSources[Type],MATCH(tblMovement[[#This Row],[Source]],tblSources[Source],0)),"?"))</f>
        <v/>
      </c>
      <c r="L1141" s="63">
        <f>IF(tblMovement[[#This Row],[Destination]]="","",IFERROR(INDEX(tblDestinations[Type],MATCH(tblMovement[[#This Row],[Destination]],tblDestinations[Destination],0)),"?"))</f>
        <v/>
      </c>
      <c r="M1141" s="64">
        <f>IF(tblMovement[[#This Row],[Material]]="","",IF(LEFT(tblMovement[[#This Row],[Material]],3)="Ore",1,0))</f>
        <v/>
      </c>
      <c r="N1141" s="59">
        <f>IF(OR(tblMovement[[#This Row],[Tonnes_t]]="",tblMovement[[#This Row],[Grade_gpt]]=""),0,tblMovement[[#This Row],[Tonnes_t]]*tblMovement[[#This Row],[Grade_gpt]]/cfg_TroyOz)</f>
        <v/>
      </c>
      <c r="O1141" s="59">
        <f>IF(tblMovement[[#This Row],[Is_Ore]]=1,tblMovement[[#This Row],[Contained_oz]],0)</f>
        <v/>
      </c>
    </row>
    <row r="1142">
      <c r="A1142" s="54" t="n"/>
      <c r="B1142" s="61" t="n"/>
      <c r="C1142" s="61" t="n"/>
      <c r="D1142" s="61" t="n"/>
      <c r="E1142" s="61" t="n"/>
      <c r="F1142" s="55" t="n"/>
      <c r="G1142" s="56" t="n"/>
      <c r="H1142" s="55" t="n"/>
      <c r="I1142" s="62" t="n"/>
      <c r="J1142" s="58" t="n"/>
      <c r="K1142" s="63">
        <f>IF(tblMovement[[#This Row],[Source]]="","",IFERROR(INDEX(tblSources[Type],MATCH(tblMovement[[#This Row],[Source]],tblSources[Source],0)),"?"))</f>
        <v/>
      </c>
      <c r="L1142" s="63">
        <f>IF(tblMovement[[#This Row],[Destination]]="","",IFERROR(INDEX(tblDestinations[Type],MATCH(tblMovement[[#This Row],[Destination]],tblDestinations[Destination],0)),"?"))</f>
        <v/>
      </c>
      <c r="M1142" s="64">
        <f>IF(tblMovement[[#This Row],[Material]]="","",IF(LEFT(tblMovement[[#This Row],[Material]],3)="Ore",1,0))</f>
        <v/>
      </c>
      <c r="N1142" s="59">
        <f>IF(OR(tblMovement[[#This Row],[Tonnes_t]]="",tblMovement[[#This Row],[Grade_gpt]]=""),0,tblMovement[[#This Row],[Tonnes_t]]*tblMovement[[#This Row],[Grade_gpt]]/cfg_TroyOz)</f>
        <v/>
      </c>
      <c r="O1142" s="59">
        <f>IF(tblMovement[[#This Row],[Is_Ore]]=1,tblMovement[[#This Row],[Contained_oz]],0)</f>
        <v/>
      </c>
    </row>
    <row r="1143">
      <c r="A1143" s="54" t="n"/>
      <c r="B1143" s="61" t="n"/>
      <c r="C1143" s="61" t="n"/>
      <c r="D1143" s="61" t="n"/>
      <c r="E1143" s="61" t="n"/>
      <c r="F1143" s="55" t="n"/>
      <c r="G1143" s="56" t="n"/>
      <c r="H1143" s="55" t="n"/>
      <c r="I1143" s="62" t="n"/>
      <c r="J1143" s="58" t="n"/>
      <c r="K1143" s="63">
        <f>IF(tblMovement[[#This Row],[Source]]="","",IFERROR(INDEX(tblSources[Type],MATCH(tblMovement[[#This Row],[Source]],tblSources[Source],0)),"?"))</f>
        <v/>
      </c>
      <c r="L1143" s="63">
        <f>IF(tblMovement[[#This Row],[Destination]]="","",IFERROR(INDEX(tblDestinations[Type],MATCH(tblMovement[[#This Row],[Destination]],tblDestinations[Destination],0)),"?"))</f>
        <v/>
      </c>
      <c r="M1143" s="64">
        <f>IF(tblMovement[[#This Row],[Material]]="","",IF(LEFT(tblMovement[[#This Row],[Material]],3)="Ore",1,0))</f>
        <v/>
      </c>
      <c r="N1143" s="59">
        <f>IF(OR(tblMovement[[#This Row],[Tonnes_t]]="",tblMovement[[#This Row],[Grade_gpt]]=""),0,tblMovement[[#This Row],[Tonnes_t]]*tblMovement[[#This Row],[Grade_gpt]]/cfg_TroyOz)</f>
        <v/>
      </c>
      <c r="O1143" s="59">
        <f>IF(tblMovement[[#This Row],[Is_Ore]]=1,tblMovement[[#This Row],[Contained_oz]],0)</f>
        <v/>
      </c>
    </row>
    <row r="1144">
      <c r="A1144" s="54" t="n"/>
      <c r="B1144" s="61" t="n"/>
      <c r="C1144" s="61" t="n"/>
      <c r="D1144" s="61" t="n"/>
      <c r="E1144" s="61" t="n"/>
      <c r="F1144" s="55" t="n"/>
      <c r="G1144" s="56" t="n"/>
      <c r="H1144" s="55" t="n"/>
      <c r="I1144" s="62" t="n"/>
      <c r="J1144" s="58" t="n"/>
      <c r="K1144" s="63">
        <f>IF(tblMovement[[#This Row],[Source]]="","",IFERROR(INDEX(tblSources[Type],MATCH(tblMovement[[#This Row],[Source]],tblSources[Source],0)),"?"))</f>
        <v/>
      </c>
      <c r="L1144" s="63">
        <f>IF(tblMovement[[#This Row],[Destination]]="","",IFERROR(INDEX(tblDestinations[Type],MATCH(tblMovement[[#This Row],[Destination]],tblDestinations[Destination],0)),"?"))</f>
        <v/>
      </c>
      <c r="M1144" s="64">
        <f>IF(tblMovement[[#This Row],[Material]]="","",IF(LEFT(tblMovement[[#This Row],[Material]],3)="Ore",1,0))</f>
        <v/>
      </c>
      <c r="N1144" s="59">
        <f>IF(OR(tblMovement[[#This Row],[Tonnes_t]]="",tblMovement[[#This Row],[Grade_gpt]]=""),0,tblMovement[[#This Row],[Tonnes_t]]*tblMovement[[#This Row],[Grade_gpt]]/cfg_TroyOz)</f>
        <v/>
      </c>
      <c r="O1144" s="59">
        <f>IF(tblMovement[[#This Row],[Is_Ore]]=1,tblMovement[[#This Row],[Contained_oz]],0)</f>
        <v/>
      </c>
    </row>
    <row r="1145">
      <c r="A1145" s="54" t="n"/>
      <c r="B1145" s="61" t="n"/>
      <c r="C1145" s="61" t="n"/>
      <c r="D1145" s="61" t="n"/>
      <c r="E1145" s="61" t="n"/>
      <c r="F1145" s="55" t="n"/>
      <c r="G1145" s="56" t="n"/>
      <c r="H1145" s="55" t="n"/>
      <c r="I1145" s="62" t="n"/>
      <c r="J1145" s="58" t="n"/>
      <c r="K1145" s="63">
        <f>IF(tblMovement[[#This Row],[Source]]="","",IFERROR(INDEX(tblSources[Type],MATCH(tblMovement[[#This Row],[Source]],tblSources[Source],0)),"?"))</f>
        <v/>
      </c>
      <c r="L1145" s="63">
        <f>IF(tblMovement[[#This Row],[Destination]]="","",IFERROR(INDEX(tblDestinations[Type],MATCH(tblMovement[[#This Row],[Destination]],tblDestinations[Destination],0)),"?"))</f>
        <v/>
      </c>
      <c r="M1145" s="64">
        <f>IF(tblMovement[[#This Row],[Material]]="","",IF(LEFT(tblMovement[[#This Row],[Material]],3)="Ore",1,0))</f>
        <v/>
      </c>
      <c r="N1145" s="59">
        <f>IF(OR(tblMovement[[#This Row],[Tonnes_t]]="",tblMovement[[#This Row],[Grade_gpt]]=""),0,tblMovement[[#This Row],[Tonnes_t]]*tblMovement[[#This Row],[Grade_gpt]]/cfg_TroyOz)</f>
        <v/>
      </c>
      <c r="O1145" s="59">
        <f>IF(tblMovement[[#This Row],[Is_Ore]]=1,tblMovement[[#This Row],[Contained_oz]],0)</f>
        <v/>
      </c>
    </row>
    <row r="1146">
      <c r="A1146" s="54" t="n"/>
      <c r="B1146" s="61" t="n"/>
      <c r="C1146" s="61" t="n"/>
      <c r="D1146" s="61" t="n"/>
      <c r="E1146" s="61" t="n"/>
      <c r="F1146" s="55" t="n"/>
      <c r="G1146" s="56" t="n"/>
      <c r="H1146" s="55" t="n"/>
      <c r="I1146" s="62" t="n"/>
      <c r="J1146" s="58" t="n"/>
      <c r="K1146" s="63">
        <f>IF(tblMovement[[#This Row],[Source]]="","",IFERROR(INDEX(tblSources[Type],MATCH(tblMovement[[#This Row],[Source]],tblSources[Source],0)),"?"))</f>
        <v/>
      </c>
      <c r="L1146" s="63">
        <f>IF(tblMovement[[#This Row],[Destination]]="","",IFERROR(INDEX(tblDestinations[Type],MATCH(tblMovement[[#This Row],[Destination]],tblDestinations[Destination],0)),"?"))</f>
        <v/>
      </c>
      <c r="M1146" s="64">
        <f>IF(tblMovement[[#This Row],[Material]]="","",IF(LEFT(tblMovement[[#This Row],[Material]],3)="Ore",1,0))</f>
        <v/>
      </c>
      <c r="N1146" s="59">
        <f>IF(OR(tblMovement[[#This Row],[Tonnes_t]]="",tblMovement[[#This Row],[Grade_gpt]]=""),0,tblMovement[[#This Row],[Tonnes_t]]*tblMovement[[#This Row],[Grade_gpt]]/cfg_TroyOz)</f>
        <v/>
      </c>
      <c r="O1146" s="59">
        <f>IF(tblMovement[[#This Row],[Is_Ore]]=1,tblMovement[[#This Row],[Contained_oz]],0)</f>
        <v/>
      </c>
    </row>
    <row r="1147">
      <c r="A1147" s="54" t="n"/>
      <c r="B1147" s="61" t="n"/>
      <c r="C1147" s="61" t="n"/>
      <c r="D1147" s="61" t="n"/>
      <c r="E1147" s="61" t="n"/>
      <c r="F1147" s="55" t="n"/>
      <c r="G1147" s="56" t="n"/>
      <c r="H1147" s="55" t="n"/>
      <c r="I1147" s="62" t="n"/>
      <c r="J1147" s="58" t="n"/>
      <c r="K1147" s="63">
        <f>IF(tblMovement[[#This Row],[Source]]="","",IFERROR(INDEX(tblSources[Type],MATCH(tblMovement[[#This Row],[Source]],tblSources[Source],0)),"?"))</f>
        <v/>
      </c>
      <c r="L1147" s="63">
        <f>IF(tblMovement[[#This Row],[Destination]]="","",IFERROR(INDEX(tblDestinations[Type],MATCH(tblMovement[[#This Row],[Destination]],tblDestinations[Destination],0)),"?"))</f>
        <v/>
      </c>
      <c r="M1147" s="64">
        <f>IF(tblMovement[[#This Row],[Material]]="","",IF(LEFT(tblMovement[[#This Row],[Material]],3)="Ore",1,0))</f>
        <v/>
      </c>
      <c r="N1147" s="59">
        <f>IF(OR(tblMovement[[#This Row],[Tonnes_t]]="",tblMovement[[#This Row],[Grade_gpt]]=""),0,tblMovement[[#This Row],[Tonnes_t]]*tblMovement[[#This Row],[Grade_gpt]]/cfg_TroyOz)</f>
        <v/>
      </c>
      <c r="O1147" s="59">
        <f>IF(tblMovement[[#This Row],[Is_Ore]]=1,tblMovement[[#This Row],[Contained_oz]],0)</f>
        <v/>
      </c>
    </row>
    <row r="1148">
      <c r="A1148" s="54" t="n"/>
      <c r="B1148" s="61" t="n"/>
      <c r="C1148" s="61" t="n"/>
      <c r="D1148" s="61" t="n"/>
      <c r="E1148" s="61" t="n"/>
      <c r="F1148" s="55" t="n"/>
      <c r="G1148" s="56" t="n"/>
      <c r="H1148" s="55" t="n"/>
      <c r="I1148" s="62" t="n"/>
      <c r="J1148" s="58" t="n"/>
      <c r="K1148" s="63">
        <f>IF(tblMovement[[#This Row],[Source]]="","",IFERROR(INDEX(tblSources[Type],MATCH(tblMovement[[#This Row],[Source]],tblSources[Source],0)),"?"))</f>
        <v/>
      </c>
      <c r="L1148" s="63">
        <f>IF(tblMovement[[#This Row],[Destination]]="","",IFERROR(INDEX(tblDestinations[Type],MATCH(tblMovement[[#This Row],[Destination]],tblDestinations[Destination],0)),"?"))</f>
        <v/>
      </c>
      <c r="M1148" s="64">
        <f>IF(tblMovement[[#This Row],[Material]]="","",IF(LEFT(tblMovement[[#This Row],[Material]],3)="Ore",1,0))</f>
        <v/>
      </c>
      <c r="N1148" s="59">
        <f>IF(OR(tblMovement[[#This Row],[Tonnes_t]]="",tblMovement[[#This Row],[Grade_gpt]]=""),0,tblMovement[[#This Row],[Tonnes_t]]*tblMovement[[#This Row],[Grade_gpt]]/cfg_TroyOz)</f>
        <v/>
      </c>
      <c r="O1148" s="59">
        <f>IF(tblMovement[[#This Row],[Is_Ore]]=1,tblMovement[[#This Row],[Contained_oz]],0)</f>
        <v/>
      </c>
    </row>
    <row r="1149">
      <c r="A1149" s="54" t="n"/>
      <c r="B1149" s="61" t="n"/>
      <c r="C1149" s="61" t="n"/>
      <c r="D1149" s="61" t="n"/>
      <c r="E1149" s="61" t="n"/>
      <c r="F1149" s="55" t="n"/>
      <c r="G1149" s="56" t="n"/>
      <c r="H1149" s="55" t="n"/>
      <c r="I1149" s="62" t="n"/>
      <c r="J1149" s="58" t="n"/>
      <c r="K1149" s="63">
        <f>IF(tblMovement[[#This Row],[Source]]="","",IFERROR(INDEX(tblSources[Type],MATCH(tblMovement[[#This Row],[Source]],tblSources[Source],0)),"?"))</f>
        <v/>
      </c>
      <c r="L1149" s="63">
        <f>IF(tblMovement[[#This Row],[Destination]]="","",IFERROR(INDEX(tblDestinations[Type],MATCH(tblMovement[[#This Row],[Destination]],tblDestinations[Destination],0)),"?"))</f>
        <v/>
      </c>
      <c r="M1149" s="64">
        <f>IF(tblMovement[[#This Row],[Material]]="","",IF(LEFT(tblMovement[[#This Row],[Material]],3)="Ore",1,0))</f>
        <v/>
      </c>
      <c r="N1149" s="59">
        <f>IF(OR(tblMovement[[#This Row],[Tonnes_t]]="",tblMovement[[#This Row],[Grade_gpt]]=""),0,tblMovement[[#This Row],[Tonnes_t]]*tblMovement[[#This Row],[Grade_gpt]]/cfg_TroyOz)</f>
        <v/>
      </c>
      <c r="O1149" s="59">
        <f>IF(tblMovement[[#This Row],[Is_Ore]]=1,tblMovement[[#This Row],[Contained_oz]],0)</f>
        <v/>
      </c>
    </row>
    <row r="1150">
      <c r="A1150" s="54" t="n"/>
      <c r="B1150" s="61" t="n"/>
      <c r="C1150" s="61" t="n"/>
      <c r="D1150" s="61" t="n"/>
      <c r="E1150" s="61" t="n"/>
      <c r="F1150" s="55" t="n"/>
      <c r="G1150" s="56" t="n"/>
      <c r="H1150" s="55" t="n"/>
      <c r="I1150" s="62" t="n"/>
      <c r="J1150" s="58" t="n"/>
      <c r="K1150" s="63">
        <f>IF(tblMovement[[#This Row],[Source]]="","",IFERROR(INDEX(tblSources[Type],MATCH(tblMovement[[#This Row],[Source]],tblSources[Source],0)),"?"))</f>
        <v/>
      </c>
      <c r="L1150" s="63">
        <f>IF(tblMovement[[#This Row],[Destination]]="","",IFERROR(INDEX(tblDestinations[Type],MATCH(tblMovement[[#This Row],[Destination]],tblDestinations[Destination],0)),"?"))</f>
        <v/>
      </c>
      <c r="M1150" s="64">
        <f>IF(tblMovement[[#This Row],[Material]]="","",IF(LEFT(tblMovement[[#This Row],[Material]],3)="Ore",1,0))</f>
        <v/>
      </c>
      <c r="N1150" s="59">
        <f>IF(OR(tblMovement[[#This Row],[Tonnes_t]]="",tblMovement[[#This Row],[Grade_gpt]]=""),0,tblMovement[[#This Row],[Tonnes_t]]*tblMovement[[#This Row],[Grade_gpt]]/cfg_TroyOz)</f>
        <v/>
      </c>
      <c r="O1150" s="59">
        <f>IF(tblMovement[[#This Row],[Is_Ore]]=1,tblMovement[[#This Row],[Contained_oz]],0)</f>
        <v/>
      </c>
    </row>
    <row r="1151">
      <c r="A1151" s="54" t="n"/>
      <c r="B1151" s="61" t="n"/>
      <c r="C1151" s="61" t="n"/>
      <c r="D1151" s="61" t="n"/>
      <c r="E1151" s="61" t="n"/>
      <c r="F1151" s="55" t="n"/>
      <c r="G1151" s="56" t="n"/>
      <c r="H1151" s="55" t="n"/>
      <c r="I1151" s="62" t="n"/>
      <c r="J1151" s="58" t="n"/>
      <c r="K1151" s="63">
        <f>IF(tblMovement[[#This Row],[Source]]="","",IFERROR(INDEX(tblSources[Type],MATCH(tblMovement[[#This Row],[Source]],tblSources[Source],0)),"?"))</f>
        <v/>
      </c>
      <c r="L1151" s="63">
        <f>IF(tblMovement[[#This Row],[Destination]]="","",IFERROR(INDEX(tblDestinations[Type],MATCH(tblMovement[[#This Row],[Destination]],tblDestinations[Destination],0)),"?"))</f>
        <v/>
      </c>
      <c r="M1151" s="64">
        <f>IF(tblMovement[[#This Row],[Material]]="","",IF(LEFT(tblMovement[[#This Row],[Material]],3)="Ore",1,0))</f>
        <v/>
      </c>
      <c r="N1151" s="59">
        <f>IF(OR(tblMovement[[#This Row],[Tonnes_t]]="",tblMovement[[#This Row],[Grade_gpt]]=""),0,tblMovement[[#This Row],[Tonnes_t]]*tblMovement[[#This Row],[Grade_gpt]]/cfg_TroyOz)</f>
        <v/>
      </c>
      <c r="O1151" s="59">
        <f>IF(tblMovement[[#This Row],[Is_Ore]]=1,tblMovement[[#This Row],[Contained_oz]],0)</f>
        <v/>
      </c>
    </row>
    <row r="1152">
      <c r="A1152" s="54" t="n"/>
      <c r="B1152" s="61" t="n"/>
      <c r="C1152" s="61" t="n"/>
      <c r="D1152" s="61" t="n"/>
      <c r="E1152" s="61" t="n"/>
      <c r="F1152" s="55" t="n"/>
      <c r="G1152" s="56" t="n"/>
      <c r="H1152" s="55" t="n"/>
      <c r="I1152" s="62" t="n"/>
      <c r="J1152" s="58" t="n"/>
      <c r="K1152" s="63">
        <f>IF(tblMovement[[#This Row],[Source]]="","",IFERROR(INDEX(tblSources[Type],MATCH(tblMovement[[#This Row],[Source]],tblSources[Source],0)),"?"))</f>
        <v/>
      </c>
      <c r="L1152" s="63">
        <f>IF(tblMovement[[#This Row],[Destination]]="","",IFERROR(INDEX(tblDestinations[Type],MATCH(tblMovement[[#This Row],[Destination]],tblDestinations[Destination],0)),"?"))</f>
        <v/>
      </c>
      <c r="M1152" s="64">
        <f>IF(tblMovement[[#This Row],[Material]]="","",IF(LEFT(tblMovement[[#This Row],[Material]],3)="Ore",1,0))</f>
        <v/>
      </c>
      <c r="N1152" s="59">
        <f>IF(OR(tblMovement[[#This Row],[Tonnes_t]]="",tblMovement[[#This Row],[Grade_gpt]]=""),0,tblMovement[[#This Row],[Tonnes_t]]*tblMovement[[#This Row],[Grade_gpt]]/cfg_TroyOz)</f>
        <v/>
      </c>
      <c r="O1152" s="59">
        <f>IF(tblMovement[[#This Row],[Is_Ore]]=1,tblMovement[[#This Row],[Contained_oz]],0)</f>
        <v/>
      </c>
    </row>
    <row r="1153">
      <c r="A1153" s="54" t="n"/>
      <c r="B1153" s="61" t="n"/>
      <c r="C1153" s="61" t="n"/>
      <c r="D1153" s="61" t="n"/>
      <c r="E1153" s="61" t="n"/>
      <c r="F1153" s="55" t="n"/>
      <c r="G1153" s="56" t="n"/>
      <c r="H1153" s="55" t="n"/>
      <c r="I1153" s="62" t="n"/>
      <c r="J1153" s="58" t="n"/>
      <c r="K1153" s="63">
        <f>IF(tblMovement[[#This Row],[Source]]="","",IFERROR(INDEX(tblSources[Type],MATCH(tblMovement[[#This Row],[Source]],tblSources[Source],0)),"?"))</f>
        <v/>
      </c>
      <c r="L1153" s="63">
        <f>IF(tblMovement[[#This Row],[Destination]]="","",IFERROR(INDEX(tblDestinations[Type],MATCH(tblMovement[[#This Row],[Destination]],tblDestinations[Destination],0)),"?"))</f>
        <v/>
      </c>
      <c r="M1153" s="64">
        <f>IF(tblMovement[[#This Row],[Material]]="","",IF(LEFT(tblMovement[[#This Row],[Material]],3)="Ore",1,0))</f>
        <v/>
      </c>
      <c r="N1153" s="59">
        <f>IF(OR(tblMovement[[#This Row],[Tonnes_t]]="",tblMovement[[#This Row],[Grade_gpt]]=""),0,tblMovement[[#This Row],[Tonnes_t]]*tblMovement[[#This Row],[Grade_gpt]]/cfg_TroyOz)</f>
        <v/>
      </c>
      <c r="O1153" s="59">
        <f>IF(tblMovement[[#This Row],[Is_Ore]]=1,tblMovement[[#This Row],[Contained_oz]],0)</f>
        <v/>
      </c>
    </row>
    <row r="1154">
      <c r="A1154" s="54" t="n"/>
      <c r="B1154" s="61" t="n"/>
      <c r="C1154" s="61" t="n"/>
      <c r="D1154" s="61" t="n"/>
      <c r="E1154" s="61" t="n"/>
      <c r="F1154" s="55" t="n"/>
      <c r="G1154" s="56" t="n"/>
      <c r="H1154" s="55" t="n"/>
      <c r="I1154" s="62" t="n"/>
      <c r="J1154" s="58" t="n"/>
      <c r="K1154" s="63">
        <f>IF(tblMovement[[#This Row],[Source]]="","",IFERROR(INDEX(tblSources[Type],MATCH(tblMovement[[#This Row],[Source]],tblSources[Source],0)),"?"))</f>
        <v/>
      </c>
      <c r="L1154" s="63">
        <f>IF(tblMovement[[#This Row],[Destination]]="","",IFERROR(INDEX(tblDestinations[Type],MATCH(tblMovement[[#This Row],[Destination]],tblDestinations[Destination],0)),"?"))</f>
        <v/>
      </c>
      <c r="M1154" s="64">
        <f>IF(tblMovement[[#This Row],[Material]]="","",IF(LEFT(tblMovement[[#This Row],[Material]],3)="Ore",1,0))</f>
        <v/>
      </c>
      <c r="N1154" s="59">
        <f>IF(OR(tblMovement[[#This Row],[Tonnes_t]]="",tblMovement[[#This Row],[Grade_gpt]]=""),0,tblMovement[[#This Row],[Tonnes_t]]*tblMovement[[#This Row],[Grade_gpt]]/cfg_TroyOz)</f>
        <v/>
      </c>
      <c r="O1154" s="59">
        <f>IF(tblMovement[[#This Row],[Is_Ore]]=1,tblMovement[[#This Row],[Contained_oz]],0)</f>
        <v/>
      </c>
    </row>
    <row r="1155">
      <c r="A1155" s="54" t="n"/>
      <c r="B1155" s="61" t="n"/>
      <c r="C1155" s="61" t="n"/>
      <c r="D1155" s="61" t="n"/>
      <c r="E1155" s="61" t="n"/>
      <c r="F1155" s="55" t="n"/>
      <c r="G1155" s="56" t="n"/>
      <c r="H1155" s="55" t="n"/>
      <c r="I1155" s="62" t="n"/>
      <c r="J1155" s="58" t="n"/>
      <c r="K1155" s="63">
        <f>IF(tblMovement[[#This Row],[Source]]="","",IFERROR(INDEX(tblSources[Type],MATCH(tblMovement[[#This Row],[Source]],tblSources[Source],0)),"?"))</f>
        <v/>
      </c>
      <c r="L1155" s="63">
        <f>IF(tblMovement[[#This Row],[Destination]]="","",IFERROR(INDEX(tblDestinations[Type],MATCH(tblMovement[[#This Row],[Destination]],tblDestinations[Destination],0)),"?"))</f>
        <v/>
      </c>
      <c r="M1155" s="64">
        <f>IF(tblMovement[[#This Row],[Material]]="","",IF(LEFT(tblMovement[[#This Row],[Material]],3)="Ore",1,0))</f>
        <v/>
      </c>
      <c r="N1155" s="59">
        <f>IF(OR(tblMovement[[#This Row],[Tonnes_t]]="",tblMovement[[#This Row],[Grade_gpt]]=""),0,tblMovement[[#This Row],[Tonnes_t]]*tblMovement[[#This Row],[Grade_gpt]]/cfg_TroyOz)</f>
        <v/>
      </c>
      <c r="O1155" s="59">
        <f>IF(tblMovement[[#This Row],[Is_Ore]]=1,tblMovement[[#This Row],[Contained_oz]],0)</f>
        <v/>
      </c>
    </row>
    <row r="1156">
      <c r="A1156" s="54" t="n"/>
      <c r="B1156" s="61" t="n"/>
      <c r="C1156" s="61" t="n"/>
      <c r="D1156" s="61" t="n"/>
      <c r="E1156" s="61" t="n"/>
      <c r="F1156" s="55" t="n"/>
      <c r="G1156" s="56" t="n"/>
      <c r="H1156" s="55" t="n"/>
      <c r="I1156" s="62" t="n"/>
      <c r="J1156" s="58" t="n"/>
      <c r="K1156" s="63">
        <f>IF(tblMovement[[#This Row],[Source]]="","",IFERROR(INDEX(tblSources[Type],MATCH(tblMovement[[#This Row],[Source]],tblSources[Source],0)),"?"))</f>
        <v/>
      </c>
      <c r="L1156" s="63">
        <f>IF(tblMovement[[#This Row],[Destination]]="","",IFERROR(INDEX(tblDestinations[Type],MATCH(tblMovement[[#This Row],[Destination]],tblDestinations[Destination],0)),"?"))</f>
        <v/>
      </c>
      <c r="M1156" s="64">
        <f>IF(tblMovement[[#This Row],[Material]]="","",IF(LEFT(tblMovement[[#This Row],[Material]],3)="Ore",1,0))</f>
        <v/>
      </c>
      <c r="N1156" s="59">
        <f>IF(OR(tblMovement[[#This Row],[Tonnes_t]]="",tblMovement[[#This Row],[Grade_gpt]]=""),0,tblMovement[[#This Row],[Tonnes_t]]*tblMovement[[#This Row],[Grade_gpt]]/cfg_TroyOz)</f>
        <v/>
      </c>
      <c r="O1156" s="59">
        <f>IF(tblMovement[[#This Row],[Is_Ore]]=1,tblMovement[[#This Row],[Contained_oz]],0)</f>
        <v/>
      </c>
    </row>
    <row r="1157">
      <c r="A1157" s="54" t="n"/>
      <c r="B1157" s="61" t="n"/>
      <c r="C1157" s="61" t="n"/>
      <c r="D1157" s="61" t="n"/>
      <c r="E1157" s="61" t="n"/>
      <c r="F1157" s="55" t="n"/>
      <c r="G1157" s="56" t="n"/>
      <c r="H1157" s="55" t="n"/>
      <c r="I1157" s="62" t="n"/>
      <c r="J1157" s="58" t="n"/>
      <c r="K1157" s="63">
        <f>IF(tblMovement[[#This Row],[Source]]="","",IFERROR(INDEX(tblSources[Type],MATCH(tblMovement[[#This Row],[Source]],tblSources[Source],0)),"?"))</f>
        <v/>
      </c>
      <c r="L1157" s="63">
        <f>IF(tblMovement[[#This Row],[Destination]]="","",IFERROR(INDEX(tblDestinations[Type],MATCH(tblMovement[[#This Row],[Destination]],tblDestinations[Destination],0)),"?"))</f>
        <v/>
      </c>
      <c r="M1157" s="64">
        <f>IF(tblMovement[[#This Row],[Material]]="","",IF(LEFT(tblMovement[[#This Row],[Material]],3)="Ore",1,0))</f>
        <v/>
      </c>
      <c r="N1157" s="59">
        <f>IF(OR(tblMovement[[#This Row],[Tonnes_t]]="",tblMovement[[#This Row],[Grade_gpt]]=""),0,tblMovement[[#This Row],[Tonnes_t]]*tblMovement[[#This Row],[Grade_gpt]]/cfg_TroyOz)</f>
        <v/>
      </c>
      <c r="O1157" s="59">
        <f>IF(tblMovement[[#This Row],[Is_Ore]]=1,tblMovement[[#This Row],[Contained_oz]],0)</f>
        <v/>
      </c>
    </row>
    <row r="1158">
      <c r="A1158" s="54" t="n"/>
      <c r="B1158" s="61" t="n"/>
      <c r="C1158" s="61" t="n"/>
      <c r="D1158" s="61" t="n"/>
      <c r="E1158" s="61" t="n"/>
      <c r="F1158" s="55" t="n"/>
      <c r="G1158" s="56" t="n"/>
      <c r="H1158" s="55" t="n"/>
      <c r="I1158" s="62" t="n"/>
      <c r="J1158" s="58" t="n"/>
      <c r="K1158" s="63">
        <f>IF(tblMovement[[#This Row],[Source]]="","",IFERROR(INDEX(tblSources[Type],MATCH(tblMovement[[#This Row],[Source]],tblSources[Source],0)),"?"))</f>
        <v/>
      </c>
      <c r="L1158" s="63">
        <f>IF(tblMovement[[#This Row],[Destination]]="","",IFERROR(INDEX(tblDestinations[Type],MATCH(tblMovement[[#This Row],[Destination]],tblDestinations[Destination],0)),"?"))</f>
        <v/>
      </c>
      <c r="M1158" s="64">
        <f>IF(tblMovement[[#This Row],[Material]]="","",IF(LEFT(tblMovement[[#This Row],[Material]],3)="Ore",1,0))</f>
        <v/>
      </c>
      <c r="N1158" s="59">
        <f>IF(OR(tblMovement[[#This Row],[Tonnes_t]]="",tblMovement[[#This Row],[Grade_gpt]]=""),0,tblMovement[[#This Row],[Tonnes_t]]*tblMovement[[#This Row],[Grade_gpt]]/cfg_TroyOz)</f>
        <v/>
      </c>
      <c r="O1158" s="59">
        <f>IF(tblMovement[[#This Row],[Is_Ore]]=1,tblMovement[[#This Row],[Contained_oz]],0)</f>
        <v/>
      </c>
    </row>
    <row r="1159">
      <c r="A1159" s="54" t="n"/>
      <c r="B1159" s="61" t="n"/>
      <c r="C1159" s="61" t="n"/>
      <c r="D1159" s="61" t="n"/>
      <c r="E1159" s="61" t="n"/>
      <c r="F1159" s="55" t="n"/>
      <c r="G1159" s="56" t="n"/>
      <c r="H1159" s="55" t="n"/>
      <c r="I1159" s="62" t="n"/>
      <c r="J1159" s="58" t="n"/>
      <c r="K1159" s="63">
        <f>IF(tblMovement[[#This Row],[Source]]="","",IFERROR(INDEX(tblSources[Type],MATCH(tblMovement[[#This Row],[Source]],tblSources[Source],0)),"?"))</f>
        <v/>
      </c>
      <c r="L1159" s="63">
        <f>IF(tblMovement[[#This Row],[Destination]]="","",IFERROR(INDEX(tblDestinations[Type],MATCH(tblMovement[[#This Row],[Destination]],tblDestinations[Destination],0)),"?"))</f>
        <v/>
      </c>
      <c r="M1159" s="64">
        <f>IF(tblMovement[[#This Row],[Material]]="","",IF(LEFT(tblMovement[[#This Row],[Material]],3)="Ore",1,0))</f>
        <v/>
      </c>
      <c r="N1159" s="59">
        <f>IF(OR(tblMovement[[#This Row],[Tonnes_t]]="",tblMovement[[#This Row],[Grade_gpt]]=""),0,tblMovement[[#This Row],[Tonnes_t]]*tblMovement[[#This Row],[Grade_gpt]]/cfg_TroyOz)</f>
        <v/>
      </c>
      <c r="O1159" s="59">
        <f>IF(tblMovement[[#This Row],[Is_Ore]]=1,tblMovement[[#This Row],[Contained_oz]],0)</f>
        <v/>
      </c>
    </row>
    <row r="1160">
      <c r="A1160" s="54" t="n"/>
      <c r="B1160" s="61" t="n"/>
      <c r="C1160" s="61" t="n"/>
      <c r="D1160" s="61" t="n"/>
      <c r="E1160" s="61" t="n"/>
      <c r="F1160" s="55" t="n"/>
      <c r="G1160" s="56" t="n"/>
      <c r="H1160" s="55" t="n"/>
      <c r="I1160" s="62" t="n"/>
      <c r="J1160" s="58" t="n"/>
      <c r="K1160" s="63">
        <f>IF(tblMovement[[#This Row],[Source]]="","",IFERROR(INDEX(tblSources[Type],MATCH(tblMovement[[#This Row],[Source]],tblSources[Source],0)),"?"))</f>
        <v/>
      </c>
      <c r="L1160" s="63">
        <f>IF(tblMovement[[#This Row],[Destination]]="","",IFERROR(INDEX(tblDestinations[Type],MATCH(tblMovement[[#This Row],[Destination]],tblDestinations[Destination],0)),"?"))</f>
        <v/>
      </c>
      <c r="M1160" s="64">
        <f>IF(tblMovement[[#This Row],[Material]]="","",IF(LEFT(tblMovement[[#This Row],[Material]],3)="Ore",1,0))</f>
        <v/>
      </c>
      <c r="N1160" s="59">
        <f>IF(OR(tblMovement[[#This Row],[Tonnes_t]]="",tblMovement[[#This Row],[Grade_gpt]]=""),0,tblMovement[[#This Row],[Tonnes_t]]*tblMovement[[#This Row],[Grade_gpt]]/cfg_TroyOz)</f>
        <v/>
      </c>
      <c r="O1160" s="59">
        <f>IF(tblMovement[[#This Row],[Is_Ore]]=1,tblMovement[[#This Row],[Contained_oz]],0)</f>
        <v/>
      </c>
    </row>
    <row r="1161">
      <c r="A1161" s="54" t="n"/>
      <c r="B1161" s="61" t="n"/>
      <c r="C1161" s="61" t="n"/>
      <c r="D1161" s="61" t="n"/>
      <c r="E1161" s="61" t="n"/>
      <c r="F1161" s="55" t="n"/>
      <c r="G1161" s="56" t="n"/>
      <c r="H1161" s="55" t="n"/>
      <c r="I1161" s="62" t="n"/>
      <c r="J1161" s="58" t="n"/>
      <c r="K1161" s="63">
        <f>IF(tblMovement[[#This Row],[Source]]="","",IFERROR(INDEX(tblSources[Type],MATCH(tblMovement[[#This Row],[Source]],tblSources[Source],0)),"?"))</f>
        <v/>
      </c>
      <c r="L1161" s="63">
        <f>IF(tblMovement[[#This Row],[Destination]]="","",IFERROR(INDEX(tblDestinations[Type],MATCH(tblMovement[[#This Row],[Destination]],tblDestinations[Destination],0)),"?"))</f>
        <v/>
      </c>
      <c r="M1161" s="64">
        <f>IF(tblMovement[[#This Row],[Material]]="","",IF(LEFT(tblMovement[[#This Row],[Material]],3)="Ore",1,0))</f>
        <v/>
      </c>
      <c r="N1161" s="59">
        <f>IF(OR(tblMovement[[#This Row],[Tonnes_t]]="",tblMovement[[#This Row],[Grade_gpt]]=""),0,tblMovement[[#This Row],[Tonnes_t]]*tblMovement[[#This Row],[Grade_gpt]]/cfg_TroyOz)</f>
        <v/>
      </c>
      <c r="O1161" s="59">
        <f>IF(tblMovement[[#This Row],[Is_Ore]]=1,tblMovement[[#This Row],[Contained_oz]],0)</f>
        <v/>
      </c>
    </row>
    <row r="1162">
      <c r="A1162" s="54" t="n"/>
      <c r="B1162" s="61" t="n"/>
      <c r="C1162" s="61" t="n"/>
      <c r="D1162" s="61" t="n"/>
      <c r="E1162" s="61" t="n"/>
      <c r="F1162" s="55" t="n"/>
      <c r="G1162" s="56" t="n"/>
      <c r="H1162" s="55" t="n"/>
      <c r="I1162" s="62" t="n"/>
      <c r="J1162" s="58" t="n"/>
      <c r="K1162" s="63">
        <f>IF(tblMovement[[#This Row],[Source]]="","",IFERROR(INDEX(tblSources[Type],MATCH(tblMovement[[#This Row],[Source]],tblSources[Source],0)),"?"))</f>
        <v/>
      </c>
      <c r="L1162" s="63">
        <f>IF(tblMovement[[#This Row],[Destination]]="","",IFERROR(INDEX(tblDestinations[Type],MATCH(tblMovement[[#This Row],[Destination]],tblDestinations[Destination],0)),"?"))</f>
        <v/>
      </c>
      <c r="M1162" s="64">
        <f>IF(tblMovement[[#This Row],[Material]]="","",IF(LEFT(tblMovement[[#This Row],[Material]],3)="Ore",1,0))</f>
        <v/>
      </c>
      <c r="N1162" s="59">
        <f>IF(OR(tblMovement[[#This Row],[Tonnes_t]]="",tblMovement[[#This Row],[Grade_gpt]]=""),0,tblMovement[[#This Row],[Tonnes_t]]*tblMovement[[#This Row],[Grade_gpt]]/cfg_TroyOz)</f>
        <v/>
      </c>
      <c r="O1162" s="59">
        <f>IF(tblMovement[[#This Row],[Is_Ore]]=1,tblMovement[[#This Row],[Contained_oz]],0)</f>
        <v/>
      </c>
    </row>
    <row r="1163">
      <c r="A1163" s="54" t="n"/>
      <c r="B1163" s="61" t="n"/>
      <c r="C1163" s="61" t="n"/>
      <c r="D1163" s="61" t="n"/>
      <c r="E1163" s="61" t="n"/>
      <c r="F1163" s="55" t="n"/>
      <c r="G1163" s="56" t="n"/>
      <c r="H1163" s="55" t="n"/>
      <c r="I1163" s="62" t="n"/>
      <c r="J1163" s="58" t="n"/>
      <c r="K1163" s="63">
        <f>IF(tblMovement[[#This Row],[Source]]="","",IFERROR(INDEX(tblSources[Type],MATCH(tblMovement[[#This Row],[Source]],tblSources[Source],0)),"?"))</f>
        <v/>
      </c>
      <c r="L1163" s="63">
        <f>IF(tblMovement[[#This Row],[Destination]]="","",IFERROR(INDEX(tblDestinations[Type],MATCH(tblMovement[[#This Row],[Destination]],tblDestinations[Destination],0)),"?"))</f>
        <v/>
      </c>
      <c r="M1163" s="64">
        <f>IF(tblMovement[[#This Row],[Material]]="","",IF(LEFT(tblMovement[[#This Row],[Material]],3)="Ore",1,0))</f>
        <v/>
      </c>
      <c r="N1163" s="59">
        <f>IF(OR(tblMovement[[#This Row],[Tonnes_t]]="",tblMovement[[#This Row],[Grade_gpt]]=""),0,tblMovement[[#This Row],[Tonnes_t]]*tblMovement[[#This Row],[Grade_gpt]]/cfg_TroyOz)</f>
        <v/>
      </c>
      <c r="O1163" s="59">
        <f>IF(tblMovement[[#This Row],[Is_Ore]]=1,tblMovement[[#This Row],[Contained_oz]],0)</f>
        <v/>
      </c>
    </row>
    <row r="1164">
      <c r="A1164" s="54" t="n"/>
      <c r="B1164" s="61" t="n"/>
      <c r="C1164" s="61" t="n"/>
      <c r="D1164" s="61" t="n"/>
      <c r="E1164" s="61" t="n"/>
      <c r="F1164" s="55" t="n"/>
      <c r="G1164" s="56" t="n"/>
      <c r="H1164" s="55" t="n"/>
      <c r="I1164" s="62" t="n"/>
      <c r="J1164" s="58" t="n"/>
      <c r="K1164" s="63">
        <f>IF(tblMovement[[#This Row],[Source]]="","",IFERROR(INDEX(tblSources[Type],MATCH(tblMovement[[#This Row],[Source]],tblSources[Source],0)),"?"))</f>
        <v/>
      </c>
      <c r="L1164" s="63">
        <f>IF(tblMovement[[#This Row],[Destination]]="","",IFERROR(INDEX(tblDestinations[Type],MATCH(tblMovement[[#This Row],[Destination]],tblDestinations[Destination],0)),"?"))</f>
        <v/>
      </c>
      <c r="M1164" s="64">
        <f>IF(tblMovement[[#This Row],[Material]]="","",IF(LEFT(tblMovement[[#This Row],[Material]],3)="Ore",1,0))</f>
        <v/>
      </c>
      <c r="N1164" s="59">
        <f>IF(OR(tblMovement[[#This Row],[Tonnes_t]]="",tblMovement[[#This Row],[Grade_gpt]]=""),0,tblMovement[[#This Row],[Tonnes_t]]*tblMovement[[#This Row],[Grade_gpt]]/cfg_TroyOz)</f>
        <v/>
      </c>
      <c r="O1164" s="59">
        <f>IF(tblMovement[[#This Row],[Is_Ore]]=1,tblMovement[[#This Row],[Contained_oz]],0)</f>
        <v/>
      </c>
    </row>
    <row r="1165">
      <c r="A1165" s="54" t="n"/>
      <c r="B1165" s="61" t="n"/>
      <c r="C1165" s="61" t="n"/>
      <c r="D1165" s="61" t="n"/>
      <c r="E1165" s="61" t="n"/>
      <c r="F1165" s="55" t="n"/>
      <c r="G1165" s="56" t="n"/>
      <c r="H1165" s="55" t="n"/>
      <c r="I1165" s="62" t="n"/>
      <c r="J1165" s="58" t="n"/>
      <c r="K1165" s="63">
        <f>IF(tblMovement[[#This Row],[Source]]="","",IFERROR(INDEX(tblSources[Type],MATCH(tblMovement[[#This Row],[Source]],tblSources[Source],0)),"?"))</f>
        <v/>
      </c>
      <c r="L1165" s="63">
        <f>IF(tblMovement[[#This Row],[Destination]]="","",IFERROR(INDEX(tblDestinations[Type],MATCH(tblMovement[[#This Row],[Destination]],tblDestinations[Destination],0)),"?"))</f>
        <v/>
      </c>
      <c r="M1165" s="64">
        <f>IF(tblMovement[[#This Row],[Material]]="","",IF(LEFT(tblMovement[[#This Row],[Material]],3)="Ore",1,0))</f>
        <v/>
      </c>
      <c r="N1165" s="59">
        <f>IF(OR(tblMovement[[#This Row],[Tonnes_t]]="",tblMovement[[#This Row],[Grade_gpt]]=""),0,tblMovement[[#This Row],[Tonnes_t]]*tblMovement[[#This Row],[Grade_gpt]]/cfg_TroyOz)</f>
        <v/>
      </c>
      <c r="O1165" s="59">
        <f>IF(tblMovement[[#This Row],[Is_Ore]]=1,tblMovement[[#This Row],[Contained_oz]],0)</f>
        <v/>
      </c>
    </row>
    <row r="1166">
      <c r="A1166" s="54" t="n"/>
      <c r="B1166" s="61" t="n"/>
      <c r="C1166" s="61" t="n"/>
      <c r="D1166" s="61" t="n"/>
      <c r="E1166" s="61" t="n"/>
      <c r="F1166" s="55" t="n"/>
      <c r="G1166" s="56" t="n"/>
      <c r="H1166" s="55" t="n"/>
      <c r="I1166" s="62" t="n"/>
      <c r="J1166" s="58" t="n"/>
      <c r="K1166" s="63">
        <f>IF(tblMovement[[#This Row],[Source]]="","",IFERROR(INDEX(tblSources[Type],MATCH(tblMovement[[#This Row],[Source]],tblSources[Source],0)),"?"))</f>
        <v/>
      </c>
      <c r="L1166" s="63">
        <f>IF(tblMovement[[#This Row],[Destination]]="","",IFERROR(INDEX(tblDestinations[Type],MATCH(tblMovement[[#This Row],[Destination]],tblDestinations[Destination],0)),"?"))</f>
        <v/>
      </c>
      <c r="M1166" s="64">
        <f>IF(tblMovement[[#This Row],[Material]]="","",IF(LEFT(tblMovement[[#This Row],[Material]],3)="Ore",1,0))</f>
        <v/>
      </c>
      <c r="N1166" s="59">
        <f>IF(OR(tblMovement[[#This Row],[Tonnes_t]]="",tblMovement[[#This Row],[Grade_gpt]]=""),0,tblMovement[[#This Row],[Tonnes_t]]*tblMovement[[#This Row],[Grade_gpt]]/cfg_TroyOz)</f>
        <v/>
      </c>
      <c r="O1166" s="59">
        <f>IF(tblMovement[[#This Row],[Is_Ore]]=1,tblMovement[[#This Row],[Contained_oz]],0)</f>
        <v/>
      </c>
    </row>
    <row r="1167">
      <c r="A1167" s="54" t="n"/>
      <c r="B1167" s="61" t="n"/>
      <c r="C1167" s="61" t="n"/>
      <c r="D1167" s="61" t="n"/>
      <c r="E1167" s="61" t="n"/>
      <c r="F1167" s="55" t="n"/>
      <c r="G1167" s="56" t="n"/>
      <c r="H1167" s="55" t="n"/>
      <c r="I1167" s="62" t="n"/>
      <c r="J1167" s="58" t="n"/>
      <c r="K1167" s="63">
        <f>IF(tblMovement[[#This Row],[Source]]="","",IFERROR(INDEX(tblSources[Type],MATCH(tblMovement[[#This Row],[Source]],tblSources[Source],0)),"?"))</f>
        <v/>
      </c>
      <c r="L1167" s="63">
        <f>IF(tblMovement[[#This Row],[Destination]]="","",IFERROR(INDEX(tblDestinations[Type],MATCH(tblMovement[[#This Row],[Destination]],tblDestinations[Destination],0)),"?"))</f>
        <v/>
      </c>
      <c r="M1167" s="64">
        <f>IF(tblMovement[[#This Row],[Material]]="","",IF(LEFT(tblMovement[[#This Row],[Material]],3)="Ore",1,0))</f>
        <v/>
      </c>
      <c r="N1167" s="59">
        <f>IF(OR(tblMovement[[#This Row],[Tonnes_t]]="",tblMovement[[#This Row],[Grade_gpt]]=""),0,tblMovement[[#This Row],[Tonnes_t]]*tblMovement[[#This Row],[Grade_gpt]]/cfg_TroyOz)</f>
        <v/>
      </c>
      <c r="O1167" s="59">
        <f>IF(tblMovement[[#This Row],[Is_Ore]]=1,tblMovement[[#This Row],[Contained_oz]],0)</f>
        <v/>
      </c>
    </row>
    <row r="1168">
      <c r="A1168" s="54" t="n"/>
      <c r="B1168" s="61" t="n"/>
      <c r="C1168" s="61" t="n"/>
      <c r="D1168" s="61" t="n"/>
      <c r="E1168" s="61" t="n"/>
      <c r="F1168" s="55" t="n"/>
      <c r="G1168" s="56" t="n"/>
      <c r="H1168" s="55" t="n"/>
      <c r="I1168" s="62" t="n"/>
      <c r="J1168" s="58" t="n"/>
      <c r="K1168" s="63">
        <f>IF(tblMovement[[#This Row],[Source]]="","",IFERROR(INDEX(tblSources[Type],MATCH(tblMovement[[#This Row],[Source]],tblSources[Source],0)),"?"))</f>
        <v/>
      </c>
      <c r="L1168" s="63">
        <f>IF(tblMovement[[#This Row],[Destination]]="","",IFERROR(INDEX(tblDestinations[Type],MATCH(tblMovement[[#This Row],[Destination]],tblDestinations[Destination],0)),"?"))</f>
        <v/>
      </c>
      <c r="M1168" s="64">
        <f>IF(tblMovement[[#This Row],[Material]]="","",IF(LEFT(tblMovement[[#This Row],[Material]],3)="Ore",1,0))</f>
        <v/>
      </c>
      <c r="N1168" s="59">
        <f>IF(OR(tblMovement[[#This Row],[Tonnes_t]]="",tblMovement[[#This Row],[Grade_gpt]]=""),0,tblMovement[[#This Row],[Tonnes_t]]*tblMovement[[#This Row],[Grade_gpt]]/cfg_TroyOz)</f>
        <v/>
      </c>
      <c r="O1168" s="59">
        <f>IF(tblMovement[[#This Row],[Is_Ore]]=1,tblMovement[[#This Row],[Contained_oz]],0)</f>
        <v/>
      </c>
    </row>
    <row r="1169">
      <c r="A1169" s="54" t="n"/>
      <c r="B1169" s="61" t="n"/>
      <c r="C1169" s="61" t="n"/>
      <c r="D1169" s="61" t="n"/>
      <c r="E1169" s="61" t="n"/>
      <c r="F1169" s="55" t="n"/>
      <c r="G1169" s="56" t="n"/>
      <c r="H1169" s="55" t="n"/>
      <c r="I1169" s="62" t="n"/>
      <c r="J1169" s="58" t="n"/>
      <c r="K1169" s="63">
        <f>IF(tblMovement[[#This Row],[Source]]="","",IFERROR(INDEX(tblSources[Type],MATCH(tblMovement[[#This Row],[Source]],tblSources[Source],0)),"?"))</f>
        <v/>
      </c>
      <c r="L1169" s="63">
        <f>IF(tblMovement[[#This Row],[Destination]]="","",IFERROR(INDEX(tblDestinations[Type],MATCH(tblMovement[[#This Row],[Destination]],tblDestinations[Destination],0)),"?"))</f>
        <v/>
      </c>
      <c r="M1169" s="64">
        <f>IF(tblMovement[[#This Row],[Material]]="","",IF(LEFT(tblMovement[[#This Row],[Material]],3)="Ore",1,0))</f>
        <v/>
      </c>
      <c r="N1169" s="59">
        <f>IF(OR(tblMovement[[#This Row],[Tonnes_t]]="",tblMovement[[#This Row],[Grade_gpt]]=""),0,tblMovement[[#This Row],[Tonnes_t]]*tblMovement[[#This Row],[Grade_gpt]]/cfg_TroyOz)</f>
        <v/>
      </c>
      <c r="O1169" s="59">
        <f>IF(tblMovement[[#This Row],[Is_Ore]]=1,tblMovement[[#This Row],[Contained_oz]],0)</f>
        <v/>
      </c>
    </row>
    <row r="1170">
      <c r="A1170" s="54" t="n"/>
      <c r="B1170" s="61" t="n"/>
      <c r="C1170" s="61" t="n"/>
      <c r="D1170" s="61" t="n"/>
      <c r="E1170" s="61" t="n"/>
      <c r="F1170" s="55" t="n"/>
      <c r="G1170" s="56" t="n"/>
      <c r="H1170" s="55" t="n"/>
      <c r="I1170" s="62" t="n"/>
      <c r="J1170" s="58" t="n"/>
      <c r="K1170" s="63">
        <f>IF(tblMovement[[#This Row],[Source]]="","",IFERROR(INDEX(tblSources[Type],MATCH(tblMovement[[#This Row],[Source]],tblSources[Source],0)),"?"))</f>
        <v/>
      </c>
      <c r="L1170" s="63">
        <f>IF(tblMovement[[#This Row],[Destination]]="","",IFERROR(INDEX(tblDestinations[Type],MATCH(tblMovement[[#This Row],[Destination]],tblDestinations[Destination],0)),"?"))</f>
        <v/>
      </c>
      <c r="M1170" s="64">
        <f>IF(tblMovement[[#This Row],[Material]]="","",IF(LEFT(tblMovement[[#This Row],[Material]],3)="Ore",1,0))</f>
        <v/>
      </c>
      <c r="N1170" s="59">
        <f>IF(OR(tblMovement[[#This Row],[Tonnes_t]]="",tblMovement[[#This Row],[Grade_gpt]]=""),0,tblMovement[[#This Row],[Tonnes_t]]*tblMovement[[#This Row],[Grade_gpt]]/cfg_TroyOz)</f>
        <v/>
      </c>
      <c r="O1170" s="59">
        <f>IF(tblMovement[[#This Row],[Is_Ore]]=1,tblMovement[[#This Row],[Contained_oz]],0)</f>
        <v/>
      </c>
    </row>
    <row r="1171">
      <c r="A1171" s="54" t="n"/>
      <c r="B1171" s="61" t="n"/>
      <c r="C1171" s="61" t="n"/>
      <c r="D1171" s="61" t="n"/>
      <c r="E1171" s="61" t="n"/>
      <c r="F1171" s="55" t="n"/>
      <c r="G1171" s="56" t="n"/>
      <c r="H1171" s="55" t="n"/>
      <c r="I1171" s="62" t="n"/>
      <c r="J1171" s="58" t="n"/>
      <c r="K1171" s="63">
        <f>IF(tblMovement[[#This Row],[Source]]="","",IFERROR(INDEX(tblSources[Type],MATCH(tblMovement[[#This Row],[Source]],tblSources[Source],0)),"?"))</f>
        <v/>
      </c>
      <c r="L1171" s="63">
        <f>IF(tblMovement[[#This Row],[Destination]]="","",IFERROR(INDEX(tblDestinations[Type],MATCH(tblMovement[[#This Row],[Destination]],tblDestinations[Destination],0)),"?"))</f>
        <v/>
      </c>
      <c r="M1171" s="64">
        <f>IF(tblMovement[[#This Row],[Material]]="","",IF(LEFT(tblMovement[[#This Row],[Material]],3)="Ore",1,0))</f>
        <v/>
      </c>
      <c r="N1171" s="59">
        <f>IF(OR(tblMovement[[#This Row],[Tonnes_t]]="",tblMovement[[#This Row],[Grade_gpt]]=""),0,tblMovement[[#This Row],[Tonnes_t]]*tblMovement[[#This Row],[Grade_gpt]]/cfg_TroyOz)</f>
        <v/>
      </c>
      <c r="O1171" s="59">
        <f>IF(tblMovement[[#This Row],[Is_Ore]]=1,tblMovement[[#This Row],[Contained_oz]],0)</f>
        <v/>
      </c>
    </row>
    <row r="1172">
      <c r="A1172" s="54" t="n"/>
      <c r="B1172" s="61" t="n"/>
      <c r="C1172" s="61" t="n"/>
      <c r="D1172" s="61" t="n"/>
      <c r="E1172" s="61" t="n"/>
      <c r="F1172" s="55" t="n"/>
      <c r="G1172" s="56" t="n"/>
      <c r="H1172" s="55" t="n"/>
      <c r="I1172" s="62" t="n"/>
      <c r="J1172" s="58" t="n"/>
      <c r="K1172" s="63">
        <f>IF(tblMovement[[#This Row],[Source]]="","",IFERROR(INDEX(tblSources[Type],MATCH(tblMovement[[#This Row],[Source]],tblSources[Source],0)),"?"))</f>
        <v/>
      </c>
      <c r="L1172" s="63">
        <f>IF(tblMovement[[#This Row],[Destination]]="","",IFERROR(INDEX(tblDestinations[Type],MATCH(tblMovement[[#This Row],[Destination]],tblDestinations[Destination],0)),"?"))</f>
        <v/>
      </c>
      <c r="M1172" s="64">
        <f>IF(tblMovement[[#This Row],[Material]]="","",IF(LEFT(tblMovement[[#This Row],[Material]],3)="Ore",1,0))</f>
        <v/>
      </c>
      <c r="N1172" s="59">
        <f>IF(OR(tblMovement[[#This Row],[Tonnes_t]]="",tblMovement[[#This Row],[Grade_gpt]]=""),0,tblMovement[[#This Row],[Tonnes_t]]*tblMovement[[#This Row],[Grade_gpt]]/cfg_TroyOz)</f>
        <v/>
      </c>
      <c r="O1172" s="59">
        <f>IF(tblMovement[[#This Row],[Is_Ore]]=1,tblMovement[[#This Row],[Contained_oz]],0)</f>
        <v/>
      </c>
    </row>
    <row r="1173">
      <c r="A1173" s="54" t="n"/>
      <c r="B1173" s="61" t="n"/>
      <c r="C1173" s="61" t="n"/>
      <c r="D1173" s="61" t="n"/>
      <c r="E1173" s="61" t="n"/>
      <c r="F1173" s="55" t="n"/>
      <c r="G1173" s="56" t="n"/>
      <c r="H1173" s="55" t="n"/>
      <c r="I1173" s="62" t="n"/>
      <c r="J1173" s="58" t="n"/>
      <c r="K1173" s="63">
        <f>IF(tblMovement[[#This Row],[Source]]="","",IFERROR(INDEX(tblSources[Type],MATCH(tblMovement[[#This Row],[Source]],tblSources[Source],0)),"?"))</f>
        <v/>
      </c>
      <c r="L1173" s="63">
        <f>IF(tblMovement[[#This Row],[Destination]]="","",IFERROR(INDEX(tblDestinations[Type],MATCH(tblMovement[[#This Row],[Destination]],tblDestinations[Destination],0)),"?"))</f>
        <v/>
      </c>
      <c r="M1173" s="64">
        <f>IF(tblMovement[[#This Row],[Material]]="","",IF(LEFT(tblMovement[[#This Row],[Material]],3)="Ore",1,0))</f>
        <v/>
      </c>
      <c r="N1173" s="59">
        <f>IF(OR(tblMovement[[#This Row],[Tonnes_t]]="",tblMovement[[#This Row],[Grade_gpt]]=""),0,tblMovement[[#This Row],[Tonnes_t]]*tblMovement[[#This Row],[Grade_gpt]]/cfg_TroyOz)</f>
        <v/>
      </c>
      <c r="O1173" s="59">
        <f>IF(tblMovement[[#This Row],[Is_Ore]]=1,tblMovement[[#This Row],[Contained_oz]],0)</f>
        <v/>
      </c>
    </row>
    <row r="1174">
      <c r="A1174" s="54" t="n"/>
      <c r="B1174" s="61" t="n"/>
      <c r="C1174" s="61" t="n"/>
      <c r="D1174" s="61" t="n"/>
      <c r="E1174" s="61" t="n"/>
      <c r="F1174" s="55" t="n"/>
      <c r="G1174" s="56" t="n"/>
      <c r="H1174" s="55" t="n"/>
      <c r="I1174" s="62" t="n"/>
      <c r="J1174" s="58" t="n"/>
      <c r="K1174" s="63">
        <f>IF(tblMovement[[#This Row],[Source]]="","",IFERROR(INDEX(tblSources[Type],MATCH(tblMovement[[#This Row],[Source]],tblSources[Source],0)),"?"))</f>
        <v/>
      </c>
      <c r="L1174" s="63">
        <f>IF(tblMovement[[#This Row],[Destination]]="","",IFERROR(INDEX(tblDestinations[Type],MATCH(tblMovement[[#This Row],[Destination]],tblDestinations[Destination],0)),"?"))</f>
        <v/>
      </c>
      <c r="M1174" s="64">
        <f>IF(tblMovement[[#This Row],[Material]]="","",IF(LEFT(tblMovement[[#This Row],[Material]],3)="Ore",1,0))</f>
        <v/>
      </c>
      <c r="N1174" s="59">
        <f>IF(OR(tblMovement[[#This Row],[Tonnes_t]]="",tblMovement[[#This Row],[Grade_gpt]]=""),0,tblMovement[[#This Row],[Tonnes_t]]*tblMovement[[#This Row],[Grade_gpt]]/cfg_TroyOz)</f>
        <v/>
      </c>
      <c r="O1174" s="59">
        <f>IF(tblMovement[[#This Row],[Is_Ore]]=1,tblMovement[[#This Row],[Contained_oz]],0)</f>
        <v/>
      </c>
    </row>
    <row r="1175">
      <c r="A1175" s="54" t="n"/>
      <c r="B1175" s="61" t="n"/>
      <c r="C1175" s="61" t="n"/>
      <c r="D1175" s="61" t="n"/>
      <c r="E1175" s="61" t="n"/>
      <c r="F1175" s="55" t="n"/>
      <c r="G1175" s="56" t="n"/>
      <c r="H1175" s="55" t="n"/>
      <c r="I1175" s="62" t="n"/>
      <c r="J1175" s="58" t="n"/>
      <c r="K1175" s="63">
        <f>IF(tblMovement[[#This Row],[Source]]="","",IFERROR(INDEX(tblSources[Type],MATCH(tblMovement[[#This Row],[Source]],tblSources[Source],0)),"?"))</f>
        <v/>
      </c>
      <c r="L1175" s="63">
        <f>IF(tblMovement[[#This Row],[Destination]]="","",IFERROR(INDEX(tblDestinations[Type],MATCH(tblMovement[[#This Row],[Destination]],tblDestinations[Destination],0)),"?"))</f>
        <v/>
      </c>
      <c r="M1175" s="64">
        <f>IF(tblMovement[[#This Row],[Material]]="","",IF(LEFT(tblMovement[[#This Row],[Material]],3)="Ore",1,0))</f>
        <v/>
      </c>
      <c r="N1175" s="59">
        <f>IF(OR(tblMovement[[#This Row],[Tonnes_t]]="",tblMovement[[#This Row],[Grade_gpt]]=""),0,tblMovement[[#This Row],[Tonnes_t]]*tblMovement[[#This Row],[Grade_gpt]]/cfg_TroyOz)</f>
        <v/>
      </c>
      <c r="O1175" s="59">
        <f>IF(tblMovement[[#This Row],[Is_Ore]]=1,tblMovement[[#This Row],[Contained_oz]],0)</f>
        <v/>
      </c>
    </row>
    <row r="1176">
      <c r="A1176" s="54" t="n"/>
      <c r="B1176" s="61" t="n"/>
      <c r="C1176" s="61" t="n"/>
      <c r="D1176" s="61" t="n"/>
      <c r="E1176" s="61" t="n"/>
      <c r="F1176" s="55" t="n"/>
      <c r="G1176" s="56" t="n"/>
      <c r="H1176" s="55" t="n"/>
      <c r="I1176" s="62" t="n"/>
      <c r="J1176" s="58" t="n"/>
      <c r="K1176" s="63">
        <f>IF(tblMovement[[#This Row],[Source]]="","",IFERROR(INDEX(tblSources[Type],MATCH(tblMovement[[#This Row],[Source]],tblSources[Source],0)),"?"))</f>
        <v/>
      </c>
      <c r="L1176" s="63">
        <f>IF(tblMovement[[#This Row],[Destination]]="","",IFERROR(INDEX(tblDestinations[Type],MATCH(tblMovement[[#This Row],[Destination]],tblDestinations[Destination],0)),"?"))</f>
        <v/>
      </c>
      <c r="M1176" s="64">
        <f>IF(tblMovement[[#This Row],[Material]]="","",IF(LEFT(tblMovement[[#This Row],[Material]],3)="Ore",1,0))</f>
        <v/>
      </c>
      <c r="N1176" s="59">
        <f>IF(OR(tblMovement[[#This Row],[Tonnes_t]]="",tblMovement[[#This Row],[Grade_gpt]]=""),0,tblMovement[[#This Row],[Tonnes_t]]*tblMovement[[#This Row],[Grade_gpt]]/cfg_TroyOz)</f>
        <v/>
      </c>
      <c r="O1176" s="59">
        <f>IF(tblMovement[[#This Row],[Is_Ore]]=1,tblMovement[[#This Row],[Contained_oz]],0)</f>
        <v/>
      </c>
    </row>
    <row r="1177">
      <c r="A1177" s="54" t="n"/>
      <c r="B1177" s="61" t="n"/>
      <c r="C1177" s="61" t="n"/>
      <c r="D1177" s="61" t="n"/>
      <c r="E1177" s="61" t="n"/>
      <c r="F1177" s="55" t="n"/>
      <c r="G1177" s="56" t="n"/>
      <c r="H1177" s="55" t="n"/>
      <c r="I1177" s="62" t="n"/>
      <c r="J1177" s="58" t="n"/>
      <c r="K1177" s="63">
        <f>IF(tblMovement[[#This Row],[Source]]="","",IFERROR(INDEX(tblSources[Type],MATCH(tblMovement[[#This Row],[Source]],tblSources[Source],0)),"?"))</f>
        <v/>
      </c>
      <c r="L1177" s="63">
        <f>IF(tblMovement[[#This Row],[Destination]]="","",IFERROR(INDEX(tblDestinations[Type],MATCH(tblMovement[[#This Row],[Destination]],tblDestinations[Destination],0)),"?"))</f>
        <v/>
      </c>
      <c r="M1177" s="64">
        <f>IF(tblMovement[[#This Row],[Material]]="","",IF(LEFT(tblMovement[[#This Row],[Material]],3)="Ore",1,0))</f>
        <v/>
      </c>
      <c r="N1177" s="59">
        <f>IF(OR(tblMovement[[#This Row],[Tonnes_t]]="",tblMovement[[#This Row],[Grade_gpt]]=""),0,tblMovement[[#This Row],[Tonnes_t]]*tblMovement[[#This Row],[Grade_gpt]]/cfg_TroyOz)</f>
        <v/>
      </c>
      <c r="O1177" s="59">
        <f>IF(tblMovement[[#This Row],[Is_Ore]]=1,tblMovement[[#This Row],[Contained_oz]],0)</f>
        <v/>
      </c>
    </row>
    <row r="1178">
      <c r="A1178" s="54" t="n"/>
      <c r="B1178" s="61" t="n"/>
      <c r="C1178" s="61" t="n"/>
      <c r="D1178" s="61" t="n"/>
      <c r="E1178" s="61" t="n"/>
      <c r="F1178" s="55" t="n"/>
      <c r="G1178" s="56" t="n"/>
      <c r="H1178" s="55" t="n"/>
      <c r="I1178" s="62" t="n"/>
      <c r="J1178" s="58" t="n"/>
      <c r="K1178" s="63">
        <f>IF(tblMovement[[#This Row],[Source]]="","",IFERROR(INDEX(tblSources[Type],MATCH(tblMovement[[#This Row],[Source]],tblSources[Source],0)),"?"))</f>
        <v/>
      </c>
      <c r="L1178" s="63">
        <f>IF(tblMovement[[#This Row],[Destination]]="","",IFERROR(INDEX(tblDestinations[Type],MATCH(tblMovement[[#This Row],[Destination]],tblDestinations[Destination],0)),"?"))</f>
        <v/>
      </c>
      <c r="M1178" s="64">
        <f>IF(tblMovement[[#This Row],[Material]]="","",IF(LEFT(tblMovement[[#This Row],[Material]],3)="Ore",1,0))</f>
        <v/>
      </c>
      <c r="N1178" s="59">
        <f>IF(OR(tblMovement[[#This Row],[Tonnes_t]]="",tblMovement[[#This Row],[Grade_gpt]]=""),0,tblMovement[[#This Row],[Tonnes_t]]*tblMovement[[#This Row],[Grade_gpt]]/cfg_TroyOz)</f>
        <v/>
      </c>
      <c r="O1178" s="59">
        <f>IF(tblMovement[[#This Row],[Is_Ore]]=1,tblMovement[[#This Row],[Contained_oz]],0)</f>
        <v/>
      </c>
    </row>
    <row r="1179">
      <c r="A1179" s="54" t="n"/>
      <c r="B1179" s="61" t="n"/>
      <c r="C1179" s="61" t="n"/>
      <c r="D1179" s="61" t="n"/>
      <c r="E1179" s="61" t="n"/>
      <c r="F1179" s="55" t="n"/>
      <c r="G1179" s="56" t="n"/>
      <c r="H1179" s="55" t="n"/>
      <c r="I1179" s="62" t="n"/>
      <c r="J1179" s="58" t="n"/>
      <c r="K1179" s="63">
        <f>IF(tblMovement[[#This Row],[Source]]="","",IFERROR(INDEX(tblSources[Type],MATCH(tblMovement[[#This Row],[Source]],tblSources[Source],0)),"?"))</f>
        <v/>
      </c>
      <c r="L1179" s="63">
        <f>IF(tblMovement[[#This Row],[Destination]]="","",IFERROR(INDEX(tblDestinations[Type],MATCH(tblMovement[[#This Row],[Destination]],tblDestinations[Destination],0)),"?"))</f>
        <v/>
      </c>
      <c r="M1179" s="64">
        <f>IF(tblMovement[[#This Row],[Material]]="","",IF(LEFT(tblMovement[[#This Row],[Material]],3)="Ore",1,0))</f>
        <v/>
      </c>
      <c r="N1179" s="59">
        <f>IF(OR(tblMovement[[#This Row],[Tonnes_t]]="",tblMovement[[#This Row],[Grade_gpt]]=""),0,tblMovement[[#This Row],[Tonnes_t]]*tblMovement[[#This Row],[Grade_gpt]]/cfg_TroyOz)</f>
        <v/>
      </c>
      <c r="O1179" s="59">
        <f>IF(tblMovement[[#This Row],[Is_Ore]]=1,tblMovement[[#This Row],[Contained_oz]],0)</f>
        <v/>
      </c>
    </row>
    <row r="1180">
      <c r="A1180" s="54" t="n"/>
      <c r="B1180" s="61" t="n"/>
      <c r="C1180" s="61" t="n"/>
      <c r="D1180" s="61" t="n"/>
      <c r="E1180" s="61" t="n"/>
      <c r="F1180" s="55" t="n"/>
      <c r="G1180" s="56" t="n"/>
      <c r="H1180" s="55" t="n"/>
      <c r="I1180" s="62" t="n"/>
      <c r="J1180" s="58" t="n"/>
      <c r="K1180" s="63">
        <f>IF(tblMovement[[#This Row],[Source]]="","",IFERROR(INDEX(tblSources[Type],MATCH(tblMovement[[#This Row],[Source]],tblSources[Source],0)),"?"))</f>
        <v/>
      </c>
      <c r="L1180" s="63">
        <f>IF(tblMovement[[#This Row],[Destination]]="","",IFERROR(INDEX(tblDestinations[Type],MATCH(tblMovement[[#This Row],[Destination]],tblDestinations[Destination],0)),"?"))</f>
        <v/>
      </c>
      <c r="M1180" s="64">
        <f>IF(tblMovement[[#This Row],[Material]]="","",IF(LEFT(tblMovement[[#This Row],[Material]],3)="Ore",1,0))</f>
        <v/>
      </c>
      <c r="N1180" s="59">
        <f>IF(OR(tblMovement[[#This Row],[Tonnes_t]]="",tblMovement[[#This Row],[Grade_gpt]]=""),0,tblMovement[[#This Row],[Tonnes_t]]*tblMovement[[#This Row],[Grade_gpt]]/cfg_TroyOz)</f>
        <v/>
      </c>
      <c r="O1180" s="59">
        <f>IF(tblMovement[[#This Row],[Is_Ore]]=1,tblMovement[[#This Row],[Contained_oz]],0)</f>
        <v/>
      </c>
    </row>
    <row r="1181">
      <c r="A1181" s="54" t="n"/>
      <c r="B1181" s="61" t="n"/>
      <c r="C1181" s="61" t="n"/>
      <c r="D1181" s="61" t="n"/>
      <c r="E1181" s="61" t="n"/>
      <c r="F1181" s="55" t="n"/>
      <c r="G1181" s="56" t="n"/>
      <c r="H1181" s="55" t="n"/>
      <c r="I1181" s="62" t="n"/>
      <c r="J1181" s="58" t="n"/>
      <c r="K1181" s="63">
        <f>IF(tblMovement[[#This Row],[Source]]="","",IFERROR(INDEX(tblSources[Type],MATCH(tblMovement[[#This Row],[Source]],tblSources[Source],0)),"?"))</f>
        <v/>
      </c>
      <c r="L1181" s="63">
        <f>IF(tblMovement[[#This Row],[Destination]]="","",IFERROR(INDEX(tblDestinations[Type],MATCH(tblMovement[[#This Row],[Destination]],tblDestinations[Destination],0)),"?"))</f>
        <v/>
      </c>
      <c r="M1181" s="64">
        <f>IF(tblMovement[[#This Row],[Material]]="","",IF(LEFT(tblMovement[[#This Row],[Material]],3)="Ore",1,0))</f>
        <v/>
      </c>
      <c r="N1181" s="59">
        <f>IF(OR(tblMovement[[#This Row],[Tonnes_t]]="",tblMovement[[#This Row],[Grade_gpt]]=""),0,tblMovement[[#This Row],[Tonnes_t]]*tblMovement[[#This Row],[Grade_gpt]]/cfg_TroyOz)</f>
        <v/>
      </c>
      <c r="O1181" s="59">
        <f>IF(tblMovement[[#This Row],[Is_Ore]]=1,tblMovement[[#This Row],[Contained_oz]],0)</f>
        <v/>
      </c>
    </row>
    <row r="1182">
      <c r="A1182" s="54" t="n"/>
      <c r="B1182" s="61" t="n"/>
      <c r="C1182" s="61" t="n"/>
      <c r="D1182" s="61" t="n"/>
      <c r="E1182" s="61" t="n"/>
      <c r="F1182" s="55" t="n"/>
      <c r="G1182" s="56" t="n"/>
      <c r="H1182" s="55" t="n"/>
      <c r="I1182" s="62" t="n"/>
      <c r="J1182" s="58" t="n"/>
      <c r="K1182" s="63">
        <f>IF(tblMovement[[#This Row],[Source]]="","",IFERROR(INDEX(tblSources[Type],MATCH(tblMovement[[#This Row],[Source]],tblSources[Source],0)),"?"))</f>
        <v/>
      </c>
      <c r="L1182" s="63">
        <f>IF(tblMovement[[#This Row],[Destination]]="","",IFERROR(INDEX(tblDestinations[Type],MATCH(tblMovement[[#This Row],[Destination]],tblDestinations[Destination],0)),"?"))</f>
        <v/>
      </c>
      <c r="M1182" s="64">
        <f>IF(tblMovement[[#This Row],[Material]]="","",IF(LEFT(tblMovement[[#This Row],[Material]],3)="Ore",1,0))</f>
        <v/>
      </c>
      <c r="N1182" s="59">
        <f>IF(OR(tblMovement[[#This Row],[Tonnes_t]]="",tblMovement[[#This Row],[Grade_gpt]]=""),0,tblMovement[[#This Row],[Tonnes_t]]*tblMovement[[#This Row],[Grade_gpt]]/cfg_TroyOz)</f>
        <v/>
      </c>
      <c r="O1182" s="59">
        <f>IF(tblMovement[[#This Row],[Is_Ore]]=1,tblMovement[[#This Row],[Contained_oz]],0)</f>
        <v/>
      </c>
    </row>
    <row r="1183">
      <c r="A1183" s="54" t="n"/>
      <c r="B1183" s="61" t="n"/>
      <c r="C1183" s="61" t="n"/>
      <c r="D1183" s="61" t="n"/>
      <c r="E1183" s="61" t="n"/>
      <c r="F1183" s="55" t="n"/>
      <c r="G1183" s="56" t="n"/>
      <c r="H1183" s="55" t="n"/>
      <c r="I1183" s="62" t="n"/>
      <c r="J1183" s="58" t="n"/>
      <c r="K1183" s="63">
        <f>IF(tblMovement[[#This Row],[Source]]="","",IFERROR(INDEX(tblSources[Type],MATCH(tblMovement[[#This Row],[Source]],tblSources[Source],0)),"?"))</f>
        <v/>
      </c>
      <c r="L1183" s="63">
        <f>IF(tblMovement[[#This Row],[Destination]]="","",IFERROR(INDEX(tblDestinations[Type],MATCH(tblMovement[[#This Row],[Destination]],tblDestinations[Destination],0)),"?"))</f>
        <v/>
      </c>
      <c r="M1183" s="64">
        <f>IF(tblMovement[[#This Row],[Material]]="","",IF(LEFT(tblMovement[[#This Row],[Material]],3)="Ore",1,0))</f>
        <v/>
      </c>
      <c r="N1183" s="59">
        <f>IF(OR(tblMovement[[#This Row],[Tonnes_t]]="",tblMovement[[#This Row],[Grade_gpt]]=""),0,tblMovement[[#This Row],[Tonnes_t]]*tblMovement[[#This Row],[Grade_gpt]]/cfg_TroyOz)</f>
        <v/>
      </c>
      <c r="O1183" s="59">
        <f>IF(tblMovement[[#This Row],[Is_Ore]]=1,tblMovement[[#This Row],[Contained_oz]],0)</f>
        <v/>
      </c>
    </row>
    <row r="1184">
      <c r="A1184" s="54" t="n"/>
      <c r="B1184" s="61" t="n"/>
      <c r="C1184" s="61" t="n"/>
      <c r="D1184" s="61" t="n"/>
      <c r="E1184" s="61" t="n"/>
      <c r="F1184" s="55" t="n"/>
      <c r="G1184" s="56" t="n"/>
      <c r="H1184" s="55" t="n"/>
      <c r="I1184" s="62" t="n"/>
      <c r="J1184" s="58" t="n"/>
      <c r="K1184" s="63">
        <f>IF(tblMovement[[#This Row],[Source]]="","",IFERROR(INDEX(tblSources[Type],MATCH(tblMovement[[#This Row],[Source]],tblSources[Source],0)),"?"))</f>
        <v/>
      </c>
      <c r="L1184" s="63">
        <f>IF(tblMovement[[#This Row],[Destination]]="","",IFERROR(INDEX(tblDestinations[Type],MATCH(tblMovement[[#This Row],[Destination]],tblDestinations[Destination],0)),"?"))</f>
        <v/>
      </c>
      <c r="M1184" s="64">
        <f>IF(tblMovement[[#This Row],[Material]]="","",IF(LEFT(tblMovement[[#This Row],[Material]],3)="Ore",1,0))</f>
        <v/>
      </c>
      <c r="N1184" s="59">
        <f>IF(OR(tblMovement[[#This Row],[Tonnes_t]]="",tblMovement[[#This Row],[Grade_gpt]]=""),0,tblMovement[[#This Row],[Tonnes_t]]*tblMovement[[#This Row],[Grade_gpt]]/cfg_TroyOz)</f>
        <v/>
      </c>
      <c r="O1184" s="59">
        <f>IF(tblMovement[[#This Row],[Is_Ore]]=1,tblMovement[[#This Row],[Contained_oz]],0)</f>
        <v/>
      </c>
    </row>
    <row r="1185">
      <c r="A1185" s="54" t="n"/>
      <c r="B1185" s="61" t="n"/>
      <c r="C1185" s="61" t="n"/>
      <c r="D1185" s="61" t="n"/>
      <c r="E1185" s="61" t="n"/>
      <c r="F1185" s="55" t="n"/>
      <c r="G1185" s="56" t="n"/>
      <c r="H1185" s="55" t="n"/>
      <c r="I1185" s="62" t="n"/>
      <c r="J1185" s="58" t="n"/>
      <c r="K1185" s="63">
        <f>IF(tblMovement[[#This Row],[Source]]="","",IFERROR(INDEX(tblSources[Type],MATCH(tblMovement[[#This Row],[Source]],tblSources[Source],0)),"?"))</f>
        <v/>
      </c>
      <c r="L1185" s="63">
        <f>IF(tblMovement[[#This Row],[Destination]]="","",IFERROR(INDEX(tblDestinations[Type],MATCH(tblMovement[[#This Row],[Destination]],tblDestinations[Destination],0)),"?"))</f>
        <v/>
      </c>
      <c r="M1185" s="64">
        <f>IF(tblMovement[[#This Row],[Material]]="","",IF(LEFT(tblMovement[[#This Row],[Material]],3)="Ore",1,0))</f>
        <v/>
      </c>
      <c r="N1185" s="59">
        <f>IF(OR(tblMovement[[#This Row],[Tonnes_t]]="",tblMovement[[#This Row],[Grade_gpt]]=""),0,tblMovement[[#This Row],[Tonnes_t]]*tblMovement[[#This Row],[Grade_gpt]]/cfg_TroyOz)</f>
        <v/>
      </c>
      <c r="O1185" s="59">
        <f>IF(tblMovement[[#This Row],[Is_Ore]]=1,tblMovement[[#This Row],[Contained_oz]],0)</f>
        <v/>
      </c>
    </row>
    <row r="1186">
      <c r="A1186" s="54" t="n"/>
      <c r="B1186" s="61" t="n"/>
      <c r="C1186" s="61" t="n"/>
      <c r="D1186" s="61" t="n"/>
      <c r="E1186" s="61" t="n"/>
      <c r="F1186" s="55" t="n"/>
      <c r="G1186" s="56" t="n"/>
      <c r="H1186" s="55" t="n"/>
      <c r="I1186" s="62" t="n"/>
      <c r="J1186" s="58" t="n"/>
      <c r="K1186" s="63">
        <f>IF(tblMovement[[#This Row],[Source]]="","",IFERROR(INDEX(tblSources[Type],MATCH(tblMovement[[#This Row],[Source]],tblSources[Source],0)),"?"))</f>
        <v/>
      </c>
      <c r="L1186" s="63">
        <f>IF(tblMovement[[#This Row],[Destination]]="","",IFERROR(INDEX(tblDestinations[Type],MATCH(tblMovement[[#This Row],[Destination]],tblDestinations[Destination],0)),"?"))</f>
        <v/>
      </c>
      <c r="M1186" s="64">
        <f>IF(tblMovement[[#This Row],[Material]]="","",IF(LEFT(tblMovement[[#This Row],[Material]],3)="Ore",1,0))</f>
        <v/>
      </c>
      <c r="N1186" s="59">
        <f>IF(OR(tblMovement[[#This Row],[Tonnes_t]]="",tblMovement[[#This Row],[Grade_gpt]]=""),0,tblMovement[[#This Row],[Tonnes_t]]*tblMovement[[#This Row],[Grade_gpt]]/cfg_TroyOz)</f>
        <v/>
      </c>
      <c r="O1186" s="59">
        <f>IF(tblMovement[[#This Row],[Is_Ore]]=1,tblMovement[[#This Row],[Contained_oz]],0)</f>
        <v/>
      </c>
    </row>
    <row r="1187">
      <c r="A1187" s="54" t="n"/>
      <c r="B1187" s="61" t="n"/>
      <c r="C1187" s="61" t="n"/>
      <c r="D1187" s="61" t="n"/>
      <c r="E1187" s="61" t="n"/>
      <c r="F1187" s="55" t="n"/>
      <c r="G1187" s="56" t="n"/>
      <c r="H1187" s="55" t="n"/>
      <c r="I1187" s="62" t="n"/>
      <c r="J1187" s="58" t="n"/>
      <c r="K1187" s="63">
        <f>IF(tblMovement[[#This Row],[Source]]="","",IFERROR(INDEX(tblSources[Type],MATCH(tblMovement[[#This Row],[Source]],tblSources[Source],0)),"?"))</f>
        <v/>
      </c>
      <c r="L1187" s="63">
        <f>IF(tblMovement[[#This Row],[Destination]]="","",IFERROR(INDEX(tblDestinations[Type],MATCH(tblMovement[[#This Row],[Destination]],tblDestinations[Destination],0)),"?"))</f>
        <v/>
      </c>
      <c r="M1187" s="64">
        <f>IF(tblMovement[[#This Row],[Material]]="","",IF(LEFT(tblMovement[[#This Row],[Material]],3)="Ore",1,0))</f>
        <v/>
      </c>
      <c r="N1187" s="59">
        <f>IF(OR(tblMovement[[#This Row],[Tonnes_t]]="",tblMovement[[#This Row],[Grade_gpt]]=""),0,tblMovement[[#This Row],[Tonnes_t]]*tblMovement[[#This Row],[Grade_gpt]]/cfg_TroyOz)</f>
        <v/>
      </c>
      <c r="O1187" s="59">
        <f>IF(tblMovement[[#This Row],[Is_Ore]]=1,tblMovement[[#This Row],[Contained_oz]],0)</f>
        <v/>
      </c>
    </row>
    <row r="1188">
      <c r="A1188" s="54" t="n"/>
      <c r="B1188" s="61" t="n"/>
      <c r="C1188" s="61" t="n"/>
      <c r="D1188" s="61" t="n"/>
      <c r="E1188" s="61" t="n"/>
      <c r="F1188" s="55" t="n"/>
      <c r="G1188" s="56" t="n"/>
      <c r="H1188" s="55" t="n"/>
      <c r="I1188" s="62" t="n"/>
      <c r="J1188" s="58" t="n"/>
      <c r="K1188" s="63">
        <f>IF(tblMovement[[#This Row],[Source]]="","",IFERROR(INDEX(tblSources[Type],MATCH(tblMovement[[#This Row],[Source]],tblSources[Source],0)),"?"))</f>
        <v/>
      </c>
      <c r="L1188" s="63">
        <f>IF(tblMovement[[#This Row],[Destination]]="","",IFERROR(INDEX(tblDestinations[Type],MATCH(tblMovement[[#This Row],[Destination]],tblDestinations[Destination],0)),"?"))</f>
        <v/>
      </c>
      <c r="M1188" s="64">
        <f>IF(tblMovement[[#This Row],[Material]]="","",IF(LEFT(tblMovement[[#This Row],[Material]],3)="Ore",1,0))</f>
        <v/>
      </c>
      <c r="N1188" s="59">
        <f>IF(OR(tblMovement[[#This Row],[Tonnes_t]]="",tblMovement[[#This Row],[Grade_gpt]]=""),0,tblMovement[[#This Row],[Tonnes_t]]*tblMovement[[#This Row],[Grade_gpt]]/cfg_TroyOz)</f>
        <v/>
      </c>
      <c r="O1188" s="59">
        <f>IF(tblMovement[[#This Row],[Is_Ore]]=1,tblMovement[[#This Row],[Contained_oz]],0)</f>
        <v/>
      </c>
    </row>
    <row r="1189">
      <c r="A1189" s="54" t="n"/>
      <c r="B1189" s="61" t="n"/>
      <c r="C1189" s="61" t="n"/>
      <c r="D1189" s="61" t="n"/>
      <c r="E1189" s="61" t="n"/>
      <c r="F1189" s="55" t="n"/>
      <c r="G1189" s="56" t="n"/>
      <c r="H1189" s="55" t="n"/>
      <c r="I1189" s="62" t="n"/>
      <c r="J1189" s="58" t="n"/>
      <c r="K1189" s="63">
        <f>IF(tblMovement[[#This Row],[Source]]="","",IFERROR(INDEX(tblSources[Type],MATCH(tblMovement[[#This Row],[Source]],tblSources[Source],0)),"?"))</f>
        <v/>
      </c>
      <c r="L1189" s="63">
        <f>IF(tblMovement[[#This Row],[Destination]]="","",IFERROR(INDEX(tblDestinations[Type],MATCH(tblMovement[[#This Row],[Destination]],tblDestinations[Destination],0)),"?"))</f>
        <v/>
      </c>
      <c r="M1189" s="64">
        <f>IF(tblMovement[[#This Row],[Material]]="","",IF(LEFT(tblMovement[[#This Row],[Material]],3)="Ore",1,0))</f>
        <v/>
      </c>
      <c r="N1189" s="59">
        <f>IF(OR(tblMovement[[#This Row],[Tonnes_t]]="",tblMovement[[#This Row],[Grade_gpt]]=""),0,tblMovement[[#This Row],[Tonnes_t]]*tblMovement[[#This Row],[Grade_gpt]]/cfg_TroyOz)</f>
        <v/>
      </c>
      <c r="O1189" s="59">
        <f>IF(tblMovement[[#This Row],[Is_Ore]]=1,tblMovement[[#This Row],[Contained_oz]],0)</f>
        <v/>
      </c>
    </row>
    <row r="1190">
      <c r="A1190" s="54" t="n"/>
      <c r="B1190" s="61" t="n"/>
      <c r="C1190" s="61" t="n"/>
      <c r="D1190" s="61" t="n"/>
      <c r="E1190" s="61" t="n"/>
      <c r="F1190" s="55" t="n"/>
      <c r="G1190" s="56" t="n"/>
      <c r="H1190" s="55" t="n"/>
      <c r="I1190" s="62" t="n"/>
      <c r="J1190" s="58" t="n"/>
      <c r="K1190" s="63">
        <f>IF(tblMovement[[#This Row],[Source]]="","",IFERROR(INDEX(tblSources[Type],MATCH(tblMovement[[#This Row],[Source]],tblSources[Source],0)),"?"))</f>
        <v/>
      </c>
      <c r="L1190" s="63">
        <f>IF(tblMovement[[#This Row],[Destination]]="","",IFERROR(INDEX(tblDestinations[Type],MATCH(tblMovement[[#This Row],[Destination]],tblDestinations[Destination],0)),"?"))</f>
        <v/>
      </c>
      <c r="M1190" s="64">
        <f>IF(tblMovement[[#This Row],[Material]]="","",IF(LEFT(tblMovement[[#This Row],[Material]],3)="Ore",1,0))</f>
        <v/>
      </c>
      <c r="N1190" s="59">
        <f>IF(OR(tblMovement[[#This Row],[Tonnes_t]]="",tblMovement[[#This Row],[Grade_gpt]]=""),0,tblMovement[[#This Row],[Tonnes_t]]*tblMovement[[#This Row],[Grade_gpt]]/cfg_TroyOz)</f>
        <v/>
      </c>
      <c r="O1190" s="59">
        <f>IF(tblMovement[[#This Row],[Is_Ore]]=1,tblMovement[[#This Row],[Contained_oz]],0)</f>
        <v/>
      </c>
    </row>
    <row r="1191">
      <c r="A1191" s="54" t="n"/>
      <c r="B1191" s="61" t="n"/>
      <c r="C1191" s="61" t="n"/>
      <c r="D1191" s="61" t="n"/>
      <c r="E1191" s="61" t="n"/>
      <c r="F1191" s="55" t="n"/>
      <c r="G1191" s="56" t="n"/>
      <c r="H1191" s="55" t="n"/>
      <c r="I1191" s="62" t="n"/>
      <c r="J1191" s="58" t="n"/>
      <c r="K1191" s="63">
        <f>IF(tblMovement[[#This Row],[Source]]="","",IFERROR(INDEX(tblSources[Type],MATCH(tblMovement[[#This Row],[Source]],tblSources[Source],0)),"?"))</f>
        <v/>
      </c>
      <c r="L1191" s="63">
        <f>IF(tblMovement[[#This Row],[Destination]]="","",IFERROR(INDEX(tblDestinations[Type],MATCH(tblMovement[[#This Row],[Destination]],tblDestinations[Destination],0)),"?"))</f>
        <v/>
      </c>
      <c r="M1191" s="64">
        <f>IF(tblMovement[[#This Row],[Material]]="","",IF(LEFT(tblMovement[[#This Row],[Material]],3)="Ore",1,0))</f>
        <v/>
      </c>
      <c r="N1191" s="59">
        <f>IF(OR(tblMovement[[#This Row],[Tonnes_t]]="",tblMovement[[#This Row],[Grade_gpt]]=""),0,tblMovement[[#This Row],[Tonnes_t]]*tblMovement[[#This Row],[Grade_gpt]]/cfg_TroyOz)</f>
        <v/>
      </c>
      <c r="O1191" s="59">
        <f>IF(tblMovement[[#This Row],[Is_Ore]]=1,tblMovement[[#This Row],[Contained_oz]],0)</f>
        <v/>
      </c>
    </row>
    <row r="1192">
      <c r="A1192" s="54" t="n"/>
      <c r="B1192" s="61" t="n"/>
      <c r="C1192" s="61" t="n"/>
      <c r="D1192" s="61" t="n"/>
      <c r="E1192" s="61" t="n"/>
      <c r="F1192" s="55" t="n"/>
      <c r="G1192" s="56" t="n"/>
      <c r="H1192" s="55" t="n"/>
      <c r="I1192" s="62" t="n"/>
      <c r="J1192" s="58" t="n"/>
      <c r="K1192" s="63">
        <f>IF(tblMovement[[#This Row],[Source]]="","",IFERROR(INDEX(tblSources[Type],MATCH(tblMovement[[#This Row],[Source]],tblSources[Source],0)),"?"))</f>
        <v/>
      </c>
      <c r="L1192" s="63">
        <f>IF(tblMovement[[#This Row],[Destination]]="","",IFERROR(INDEX(tblDestinations[Type],MATCH(tblMovement[[#This Row],[Destination]],tblDestinations[Destination],0)),"?"))</f>
        <v/>
      </c>
      <c r="M1192" s="64">
        <f>IF(tblMovement[[#This Row],[Material]]="","",IF(LEFT(tblMovement[[#This Row],[Material]],3)="Ore",1,0))</f>
        <v/>
      </c>
      <c r="N1192" s="59">
        <f>IF(OR(tblMovement[[#This Row],[Tonnes_t]]="",tblMovement[[#This Row],[Grade_gpt]]=""),0,tblMovement[[#This Row],[Tonnes_t]]*tblMovement[[#This Row],[Grade_gpt]]/cfg_TroyOz)</f>
        <v/>
      </c>
      <c r="O1192" s="59">
        <f>IF(tblMovement[[#This Row],[Is_Ore]]=1,tblMovement[[#This Row],[Contained_oz]],0)</f>
        <v/>
      </c>
    </row>
    <row r="1193">
      <c r="A1193" s="54" t="n"/>
      <c r="B1193" s="61" t="n"/>
      <c r="C1193" s="61" t="n"/>
      <c r="D1193" s="61" t="n"/>
      <c r="E1193" s="61" t="n"/>
      <c r="F1193" s="55" t="n"/>
      <c r="G1193" s="56" t="n"/>
      <c r="H1193" s="55" t="n"/>
      <c r="I1193" s="62" t="n"/>
      <c r="J1193" s="58" t="n"/>
      <c r="K1193" s="63">
        <f>IF(tblMovement[[#This Row],[Source]]="","",IFERROR(INDEX(tblSources[Type],MATCH(tblMovement[[#This Row],[Source]],tblSources[Source],0)),"?"))</f>
        <v/>
      </c>
      <c r="L1193" s="63">
        <f>IF(tblMovement[[#This Row],[Destination]]="","",IFERROR(INDEX(tblDestinations[Type],MATCH(tblMovement[[#This Row],[Destination]],tblDestinations[Destination],0)),"?"))</f>
        <v/>
      </c>
      <c r="M1193" s="64">
        <f>IF(tblMovement[[#This Row],[Material]]="","",IF(LEFT(tblMovement[[#This Row],[Material]],3)="Ore",1,0))</f>
        <v/>
      </c>
      <c r="N1193" s="59">
        <f>IF(OR(tblMovement[[#This Row],[Tonnes_t]]="",tblMovement[[#This Row],[Grade_gpt]]=""),0,tblMovement[[#This Row],[Tonnes_t]]*tblMovement[[#This Row],[Grade_gpt]]/cfg_TroyOz)</f>
        <v/>
      </c>
      <c r="O1193" s="59">
        <f>IF(tblMovement[[#This Row],[Is_Ore]]=1,tblMovement[[#This Row],[Contained_oz]],0)</f>
        <v/>
      </c>
    </row>
    <row r="1194">
      <c r="A1194" s="54" t="n"/>
      <c r="B1194" s="61" t="n"/>
      <c r="C1194" s="61" t="n"/>
      <c r="D1194" s="61" t="n"/>
      <c r="E1194" s="61" t="n"/>
      <c r="F1194" s="55" t="n"/>
      <c r="G1194" s="56" t="n"/>
      <c r="H1194" s="55" t="n"/>
      <c r="I1194" s="62" t="n"/>
      <c r="J1194" s="58" t="n"/>
      <c r="K1194" s="63">
        <f>IF(tblMovement[[#This Row],[Source]]="","",IFERROR(INDEX(tblSources[Type],MATCH(tblMovement[[#This Row],[Source]],tblSources[Source],0)),"?"))</f>
        <v/>
      </c>
      <c r="L1194" s="63">
        <f>IF(tblMovement[[#This Row],[Destination]]="","",IFERROR(INDEX(tblDestinations[Type],MATCH(tblMovement[[#This Row],[Destination]],tblDestinations[Destination],0)),"?"))</f>
        <v/>
      </c>
      <c r="M1194" s="64">
        <f>IF(tblMovement[[#This Row],[Material]]="","",IF(LEFT(tblMovement[[#This Row],[Material]],3)="Ore",1,0))</f>
        <v/>
      </c>
      <c r="N1194" s="59">
        <f>IF(OR(tblMovement[[#This Row],[Tonnes_t]]="",tblMovement[[#This Row],[Grade_gpt]]=""),0,tblMovement[[#This Row],[Tonnes_t]]*tblMovement[[#This Row],[Grade_gpt]]/cfg_TroyOz)</f>
        <v/>
      </c>
      <c r="O1194" s="59">
        <f>IF(tblMovement[[#This Row],[Is_Ore]]=1,tblMovement[[#This Row],[Contained_oz]],0)</f>
        <v/>
      </c>
    </row>
    <row r="1195">
      <c r="A1195" s="54" t="n"/>
      <c r="B1195" s="61" t="n"/>
      <c r="C1195" s="61" t="n"/>
      <c r="D1195" s="61" t="n"/>
      <c r="E1195" s="61" t="n"/>
      <c r="F1195" s="55" t="n"/>
      <c r="G1195" s="56" t="n"/>
      <c r="H1195" s="55" t="n"/>
      <c r="I1195" s="62" t="n"/>
      <c r="J1195" s="58" t="n"/>
      <c r="K1195" s="63">
        <f>IF(tblMovement[[#This Row],[Source]]="","",IFERROR(INDEX(tblSources[Type],MATCH(tblMovement[[#This Row],[Source]],tblSources[Source],0)),"?"))</f>
        <v/>
      </c>
      <c r="L1195" s="63">
        <f>IF(tblMovement[[#This Row],[Destination]]="","",IFERROR(INDEX(tblDestinations[Type],MATCH(tblMovement[[#This Row],[Destination]],tblDestinations[Destination],0)),"?"))</f>
        <v/>
      </c>
      <c r="M1195" s="64">
        <f>IF(tblMovement[[#This Row],[Material]]="","",IF(LEFT(tblMovement[[#This Row],[Material]],3)="Ore",1,0))</f>
        <v/>
      </c>
      <c r="N1195" s="59">
        <f>IF(OR(tblMovement[[#This Row],[Tonnes_t]]="",tblMovement[[#This Row],[Grade_gpt]]=""),0,tblMovement[[#This Row],[Tonnes_t]]*tblMovement[[#This Row],[Grade_gpt]]/cfg_TroyOz)</f>
        <v/>
      </c>
      <c r="O1195" s="59">
        <f>IF(tblMovement[[#This Row],[Is_Ore]]=1,tblMovement[[#This Row],[Contained_oz]],0)</f>
        <v/>
      </c>
    </row>
    <row r="1196">
      <c r="A1196" s="54" t="n"/>
      <c r="B1196" s="61" t="n"/>
      <c r="C1196" s="61" t="n"/>
      <c r="D1196" s="61" t="n"/>
      <c r="E1196" s="61" t="n"/>
      <c r="F1196" s="55" t="n"/>
      <c r="G1196" s="56" t="n"/>
      <c r="H1196" s="55" t="n"/>
      <c r="I1196" s="62" t="n"/>
      <c r="J1196" s="58" t="n"/>
      <c r="K1196" s="63">
        <f>IF(tblMovement[[#This Row],[Source]]="","",IFERROR(INDEX(tblSources[Type],MATCH(tblMovement[[#This Row],[Source]],tblSources[Source],0)),"?"))</f>
        <v/>
      </c>
      <c r="L1196" s="63">
        <f>IF(tblMovement[[#This Row],[Destination]]="","",IFERROR(INDEX(tblDestinations[Type],MATCH(tblMovement[[#This Row],[Destination]],tblDestinations[Destination],0)),"?"))</f>
        <v/>
      </c>
      <c r="M1196" s="64">
        <f>IF(tblMovement[[#This Row],[Material]]="","",IF(LEFT(tblMovement[[#This Row],[Material]],3)="Ore",1,0))</f>
        <v/>
      </c>
      <c r="N1196" s="59">
        <f>IF(OR(tblMovement[[#This Row],[Tonnes_t]]="",tblMovement[[#This Row],[Grade_gpt]]=""),0,tblMovement[[#This Row],[Tonnes_t]]*tblMovement[[#This Row],[Grade_gpt]]/cfg_TroyOz)</f>
        <v/>
      </c>
      <c r="O1196" s="59">
        <f>IF(tblMovement[[#This Row],[Is_Ore]]=1,tblMovement[[#This Row],[Contained_oz]],0)</f>
        <v/>
      </c>
    </row>
    <row r="1197">
      <c r="A1197" s="54" t="n"/>
      <c r="B1197" s="61" t="n"/>
      <c r="C1197" s="61" t="n"/>
      <c r="D1197" s="61" t="n"/>
      <c r="E1197" s="61" t="n"/>
      <c r="F1197" s="55" t="n"/>
      <c r="G1197" s="56" t="n"/>
      <c r="H1197" s="55" t="n"/>
      <c r="I1197" s="62" t="n"/>
      <c r="J1197" s="58" t="n"/>
      <c r="K1197" s="63">
        <f>IF(tblMovement[[#This Row],[Source]]="","",IFERROR(INDEX(tblSources[Type],MATCH(tblMovement[[#This Row],[Source]],tblSources[Source],0)),"?"))</f>
        <v/>
      </c>
      <c r="L1197" s="63">
        <f>IF(tblMovement[[#This Row],[Destination]]="","",IFERROR(INDEX(tblDestinations[Type],MATCH(tblMovement[[#This Row],[Destination]],tblDestinations[Destination],0)),"?"))</f>
        <v/>
      </c>
      <c r="M1197" s="64">
        <f>IF(tblMovement[[#This Row],[Material]]="","",IF(LEFT(tblMovement[[#This Row],[Material]],3)="Ore",1,0))</f>
        <v/>
      </c>
      <c r="N1197" s="59">
        <f>IF(OR(tblMovement[[#This Row],[Tonnes_t]]="",tblMovement[[#This Row],[Grade_gpt]]=""),0,tblMovement[[#This Row],[Tonnes_t]]*tblMovement[[#This Row],[Grade_gpt]]/cfg_TroyOz)</f>
        <v/>
      </c>
      <c r="O1197" s="59">
        <f>IF(tblMovement[[#This Row],[Is_Ore]]=1,tblMovement[[#This Row],[Contained_oz]],0)</f>
        <v/>
      </c>
    </row>
    <row r="1198">
      <c r="A1198" s="54" t="n"/>
      <c r="B1198" s="61" t="n"/>
      <c r="C1198" s="61" t="n"/>
      <c r="D1198" s="61" t="n"/>
      <c r="E1198" s="61" t="n"/>
      <c r="F1198" s="55" t="n"/>
      <c r="G1198" s="56" t="n"/>
      <c r="H1198" s="55" t="n"/>
      <c r="I1198" s="62" t="n"/>
      <c r="J1198" s="58" t="n"/>
      <c r="K1198" s="63">
        <f>IF(tblMovement[[#This Row],[Source]]="","",IFERROR(INDEX(tblSources[Type],MATCH(tblMovement[[#This Row],[Source]],tblSources[Source],0)),"?"))</f>
        <v/>
      </c>
      <c r="L1198" s="63">
        <f>IF(tblMovement[[#This Row],[Destination]]="","",IFERROR(INDEX(tblDestinations[Type],MATCH(tblMovement[[#This Row],[Destination]],tblDestinations[Destination],0)),"?"))</f>
        <v/>
      </c>
      <c r="M1198" s="64">
        <f>IF(tblMovement[[#This Row],[Material]]="","",IF(LEFT(tblMovement[[#This Row],[Material]],3)="Ore",1,0))</f>
        <v/>
      </c>
      <c r="N1198" s="59">
        <f>IF(OR(tblMovement[[#This Row],[Tonnes_t]]="",tblMovement[[#This Row],[Grade_gpt]]=""),0,tblMovement[[#This Row],[Tonnes_t]]*tblMovement[[#This Row],[Grade_gpt]]/cfg_TroyOz)</f>
        <v/>
      </c>
      <c r="O1198" s="59">
        <f>IF(tblMovement[[#This Row],[Is_Ore]]=1,tblMovement[[#This Row],[Contained_oz]],0)</f>
        <v/>
      </c>
    </row>
    <row r="1199">
      <c r="A1199" s="54" t="n"/>
      <c r="B1199" s="61" t="n"/>
      <c r="C1199" s="61" t="n"/>
      <c r="D1199" s="61" t="n"/>
      <c r="E1199" s="61" t="n"/>
      <c r="F1199" s="55" t="n"/>
      <c r="G1199" s="56" t="n"/>
      <c r="H1199" s="55" t="n"/>
      <c r="I1199" s="62" t="n"/>
      <c r="J1199" s="58" t="n"/>
      <c r="K1199" s="63">
        <f>IF(tblMovement[[#This Row],[Source]]="","",IFERROR(INDEX(tblSources[Type],MATCH(tblMovement[[#This Row],[Source]],tblSources[Source],0)),"?"))</f>
        <v/>
      </c>
      <c r="L1199" s="63">
        <f>IF(tblMovement[[#This Row],[Destination]]="","",IFERROR(INDEX(tblDestinations[Type],MATCH(tblMovement[[#This Row],[Destination]],tblDestinations[Destination],0)),"?"))</f>
        <v/>
      </c>
      <c r="M1199" s="64">
        <f>IF(tblMovement[[#This Row],[Material]]="","",IF(LEFT(tblMovement[[#This Row],[Material]],3)="Ore",1,0))</f>
        <v/>
      </c>
      <c r="N1199" s="59">
        <f>IF(OR(tblMovement[[#This Row],[Tonnes_t]]="",tblMovement[[#This Row],[Grade_gpt]]=""),0,tblMovement[[#This Row],[Tonnes_t]]*tblMovement[[#This Row],[Grade_gpt]]/cfg_TroyOz)</f>
        <v/>
      </c>
      <c r="O1199" s="59">
        <f>IF(tblMovement[[#This Row],[Is_Ore]]=1,tblMovement[[#This Row],[Contained_oz]],0)</f>
        <v/>
      </c>
    </row>
    <row r="1200">
      <c r="A1200" s="54" t="n"/>
      <c r="B1200" s="61" t="n"/>
      <c r="C1200" s="61" t="n"/>
      <c r="D1200" s="61" t="n"/>
      <c r="E1200" s="61" t="n"/>
      <c r="F1200" s="55" t="n"/>
      <c r="G1200" s="56" t="n"/>
      <c r="H1200" s="55" t="n"/>
      <c r="I1200" s="62" t="n"/>
      <c r="J1200" s="58" t="n"/>
      <c r="K1200" s="63">
        <f>IF(tblMovement[[#This Row],[Source]]="","",IFERROR(INDEX(tblSources[Type],MATCH(tblMovement[[#This Row],[Source]],tblSources[Source],0)),"?"))</f>
        <v/>
      </c>
      <c r="L1200" s="63">
        <f>IF(tblMovement[[#This Row],[Destination]]="","",IFERROR(INDEX(tblDestinations[Type],MATCH(tblMovement[[#This Row],[Destination]],tblDestinations[Destination],0)),"?"))</f>
        <v/>
      </c>
      <c r="M1200" s="64">
        <f>IF(tblMovement[[#This Row],[Material]]="","",IF(LEFT(tblMovement[[#This Row],[Material]],3)="Ore",1,0))</f>
        <v/>
      </c>
      <c r="N1200" s="59">
        <f>IF(OR(tblMovement[[#This Row],[Tonnes_t]]="",tblMovement[[#This Row],[Grade_gpt]]=""),0,tblMovement[[#This Row],[Tonnes_t]]*tblMovement[[#This Row],[Grade_gpt]]/cfg_TroyOz)</f>
        <v/>
      </c>
      <c r="O1200" s="59">
        <f>IF(tblMovement[[#This Row],[Is_Ore]]=1,tblMovement[[#This Row],[Contained_oz]],0)</f>
        <v/>
      </c>
    </row>
    <row r="1201">
      <c r="A1201" s="54" t="n"/>
      <c r="B1201" s="61" t="n"/>
      <c r="C1201" s="61" t="n"/>
      <c r="D1201" s="61" t="n"/>
      <c r="E1201" s="61" t="n"/>
      <c r="F1201" s="55" t="n"/>
      <c r="G1201" s="56" t="n"/>
      <c r="H1201" s="55" t="n"/>
      <c r="I1201" s="62" t="n"/>
      <c r="J1201" s="58" t="n"/>
      <c r="K1201" s="63">
        <f>IF(tblMovement[[#This Row],[Source]]="","",IFERROR(INDEX(tblSources[Type],MATCH(tblMovement[[#This Row],[Source]],tblSources[Source],0)),"?"))</f>
        <v/>
      </c>
      <c r="L1201" s="63">
        <f>IF(tblMovement[[#This Row],[Destination]]="","",IFERROR(INDEX(tblDestinations[Type],MATCH(tblMovement[[#This Row],[Destination]],tblDestinations[Destination],0)),"?"))</f>
        <v/>
      </c>
      <c r="M1201" s="64">
        <f>IF(tblMovement[[#This Row],[Material]]="","",IF(LEFT(tblMovement[[#This Row],[Material]],3)="Ore",1,0))</f>
        <v/>
      </c>
      <c r="N1201" s="59">
        <f>IF(OR(tblMovement[[#This Row],[Tonnes_t]]="",tblMovement[[#This Row],[Grade_gpt]]=""),0,tblMovement[[#This Row],[Tonnes_t]]*tblMovement[[#This Row],[Grade_gpt]]/cfg_TroyOz)</f>
        <v/>
      </c>
      <c r="O1201" s="59">
        <f>IF(tblMovement[[#This Row],[Is_Ore]]=1,tblMovement[[#This Row],[Contained_oz]],0)</f>
        <v/>
      </c>
    </row>
    <row r="1202">
      <c r="A1202" s="54" t="n"/>
      <c r="B1202" s="61" t="n"/>
      <c r="C1202" s="61" t="n"/>
      <c r="D1202" s="61" t="n"/>
      <c r="E1202" s="61" t="n"/>
      <c r="F1202" s="55" t="n"/>
      <c r="G1202" s="56" t="n"/>
      <c r="H1202" s="55" t="n"/>
      <c r="I1202" s="62" t="n"/>
      <c r="J1202" s="58" t="n"/>
      <c r="K1202" s="63">
        <f>IF(tblMovement[[#This Row],[Source]]="","",IFERROR(INDEX(tblSources[Type],MATCH(tblMovement[[#This Row],[Source]],tblSources[Source],0)),"?"))</f>
        <v/>
      </c>
      <c r="L1202" s="63">
        <f>IF(tblMovement[[#This Row],[Destination]]="","",IFERROR(INDEX(tblDestinations[Type],MATCH(tblMovement[[#This Row],[Destination]],tblDestinations[Destination],0)),"?"))</f>
        <v/>
      </c>
      <c r="M1202" s="64">
        <f>IF(tblMovement[[#This Row],[Material]]="","",IF(LEFT(tblMovement[[#This Row],[Material]],3)="Ore",1,0))</f>
        <v/>
      </c>
      <c r="N1202" s="59">
        <f>IF(OR(tblMovement[[#This Row],[Tonnes_t]]="",tblMovement[[#This Row],[Grade_gpt]]=""),0,tblMovement[[#This Row],[Tonnes_t]]*tblMovement[[#This Row],[Grade_gpt]]/cfg_TroyOz)</f>
        <v/>
      </c>
      <c r="O1202" s="59">
        <f>IF(tblMovement[[#This Row],[Is_Ore]]=1,tblMovement[[#This Row],[Contained_oz]],0)</f>
        <v/>
      </c>
    </row>
    <row r="1203">
      <c r="A1203" s="54" t="n"/>
      <c r="B1203" s="61" t="n"/>
      <c r="C1203" s="61" t="n"/>
      <c r="D1203" s="61" t="n"/>
      <c r="E1203" s="61" t="n"/>
      <c r="F1203" s="55" t="n"/>
      <c r="G1203" s="56" t="n"/>
      <c r="H1203" s="55" t="n"/>
      <c r="I1203" s="62" t="n"/>
      <c r="J1203" s="58" t="n"/>
      <c r="K1203" s="63">
        <f>IF(tblMovement[[#This Row],[Source]]="","",IFERROR(INDEX(tblSources[Type],MATCH(tblMovement[[#This Row],[Source]],tblSources[Source],0)),"?"))</f>
        <v/>
      </c>
      <c r="L1203" s="63">
        <f>IF(tblMovement[[#This Row],[Destination]]="","",IFERROR(INDEX(tblDestinations[Type],MATCH(tblMovement[[#This Row],[Destination]],tblDestinations[Destination],0)),"?"))</f>
        <v/>
      </c>
      <c r="M1203" s="64">
        <f>IF(tblMovement[[#This Row],[Material]]="","",IF(LEFT(tblMovement[[#This Row],[Material]],3)="Ore",1,0))</f>
        <v/>
      </c>
      <c r="N1203" s="59">
        <f>IF(OR(tblMovement[[#This Row],[Tonnes_t]]="",tblMovement[[#This Row],[Grade_gpt]]=""),0,tblMovement[[#This Row],[Tonnes_t]]*tblMovement[[#This Row],[Grade_gpt]]/cfg_TroyOz)</f>
        <v/>
      </c>
      <c r="O1203" s="59">
        <f>IF(tblMovement[[#This Row],[Is_Ore]]=1,tblMovement[[#This Row],[Contained_oz]],0)</f>
        <v/>
      </c>
    </row>
    <row r="1204">
      <c r="A1204" s="54" t="n"/>
      <c r="B1204" s="61" t="n"/>
      <c r="C1204" s="61" t="n"/>
      <c r="D1204" s="61" t="n"/>
      <c r="E1204" s="61" t="n"/>
      <c r="F1204" s="55" t="n"/>
      <c r="G1204" s="56" t="n"/>
      <c r="H1204" s="55" t="n"/>
      <c r="I1204" s="62" t="n"/>
      <c r="J1204" s="58" t="n"/>
      <c r="K1204" s="63">
        <f>IF(tblMovement[[#This Row],[Source]]="","",IFERROR(INDEX(tblSources[Type],MATCH(tblMovement[[#This Row],[Source]],tblSources[Source],0)),"?"))</f>
        <v/>
      </c>
      <c r="L1204" s="63">
        <f>IF(tblMovement[[#This Row],[Destination]]="","",IFERROR(INDEX(tblDestinations[Type],MATCH(tblMovement[[#This Row],[Destination]],tblDestinations[Destination],0)),"?"))</f>
        <v/>
      </c>
      <c r="M1204" s="64">
        <f>IF(tblMovement[[#This Row],[Material]]="","",IF(LEFT(tblMovement[[#This Row],[Material]],3)="Ore",1,0))</f>
        <v/>
      </c>
      <c r="N1204" s="59">
        <f>IF(OR(tblMovement[[#This Row],[Tonnes_t]]="",tblMovement[[#This Row],[Grade_gpt]]=""),0,tblMovement[[#This Row],[Tonnes_t]]*tblMovement[[#This Row],[Grade_gpt]]/cfg_TroyOz)</f>
        <v/>
      </c>
      <c r="O1204" s="59">
        <f>IF(tblMovement[[#This Row],[Is_Ore]]=1,tblMovement[[#This Row],[Contained_oz]],0)</f>
        <v/>
      </c>
    </row>
    <row r="1205">
      <c r="A1205" s="54" t="n"/>
      <c r="B1205" s="61" t="n"/>
      <c r="C1205" s="61" t="n"/>
      <c r="D1205" s="61" t="n"/>
      <c r="E1205" s="61" t="n"/>
      <c r="F1205" s="55" t="n"/>
      <c r="G1205" s="56" t="n"/>
      <c r="H1205" s="55" t="n"/>
      <c r="I1205" s="62" t="n"/>
      <c r="J1205" s="58" t="n"/>
      <c r="K1205" s="63">
        <f>IF(tblMovement[[#This Row],[Source]]="","",IFERROR(INDEX(tblSources[Type],MATCH(tblMovement[[#This Row],[Source]],tblSources[Source],0)),"?"))</f>
        <v/>
      </c>
      <c r="L1205" s="63">
        <f>IF(tblMovement[[#This Row],[Destination]]="","",IFERROR(INDEX(tblDestinations[Type],MATCH(tblMovement[[#This Row],[Destination]],tblDestinations[Destination],0)),"?"))</f>
        <v/>
      </c>
      <c r="M1205" s="64">
        <f>IF(tblMovement[[#This Row],[Material]]="","",IF(LEFT(tblMovement[[#This Row],[Material]],3)="Ore",1,0))</f>
        <v/>
      </c>
      <c r="N1205" s="59">
        <f>IF(OR(tblMovement[[#This Row],[Tonnes_t]]="",tblMovement[[#This Row],[Grade_gpt]]=""),0,tblMovement[[#This Row],[Tonnes_t]]*tblMovement[[#This Row],[Grade_gpt]]/cfg_TroyOz)</f>
        <v/>
      </c>
      <c r="O1205" s="59">
        <f>IF(tblMovement[[#This Row],[Is_Ore]]=1,tblMovement[[#This Row],[Contained_oz]],0)</f>
        <v/>
      </c>
    </row>
    <row r="1206">
      <c r="A1206" s="54" t="n"/>
      <c r="B1206" s="61" t="n"/>
      <c r="C1206" s="61" t="n"/>
      <c r="D1206" s="61" t="n"/>
      <c r="E1206" s="61" t="n"/>
      <c r="F1206" s="55" t="n"/>
      <c r="G1206" s="56" t="n"/>
      <c r="H1206" s="55" t="n"/>
      <c r="I1206" s="62" t="n"/>
      <c r="J1206" s="58" t="n"/>
      <c r="K1206" s="63">
        <f>IF(tblMovement[[#This Row],[Source]]="","",IFERROR(INDEX(tblSources[Type],MATCH(tblMovement[[#This Row],[Source]],tblSources[Source],0)),"?"))</f>
        <v/>
      </c>
      <c r="L1206" s="63">
        <f>IF(tblMovement[[#This Row],[Destination]]="","",IFERROR(INDEX(tblDestinations[Type],MATCH(tblMovement[[#This Row],[Destination]],tblDestinations[Destination],0)),"?"))</f>
        <v/>
      </c>
      <c r="M1206" s="64">
        <f>IF(tblMovement[[#This Row],[Material]]="","",IF(LEFT(tblMovement[[#This Row],[Material]],3)="Ore",1,0))</f>
        <v/>
      </c>
      <c r="N1206" s="59">
        <f>IF(OR(tblMovement[[#This Row],[Tonnes_t]]="",tblMovement[[#This Row],[Grade_gpt]]=""),0,tblMovement[[#This Row],[Tonnes_t]]*tblMovement[[#This Row],[Grade_gpt]]/cfg_TroyOz)</f>
        <v/>
      </c>
      <c r="O1206" s="59">
        <f>IF(tblMovement[[#This Row],[Is_Ore]]=1,tblMovement[[#This Row],[Contained_oz]],0)</f>
        <v/>
      </c>
    </row>
    <row r="1207">
      <c r="A1207" s="54" t="n"/>
      <c r="B1207" s="61" t="n"/>
      <c r="C1207" s="61" t="n"/>
      <c r="D1207" s="61" t="n"/>
      <c r="E1207" s="61" t="n"/>
      <c r="F1207" s="55" t="n"/>
      <c r="G1207" s="56" t="n"/>
      <c r="H1207" s="55" t="n"/>
      <c r="I1207" s="62" t="n"/>
      <c r="J1207" s="58" t="n"/>
      <c r="K1207" s="63">
        <f>IF(tblMovement[[#This Row],[Source]]="","",IFERROR(INDEX(tblSources[Type],MATCH(tblMovement[[#This Row],[Source]],tblSources[Source],0)),"?"))</f>
        <v/>
      </c>
      <c r="L1207" s="63">
        <f>IF(tblMovement[[#This Row],[Destination]]="","",IFERROR(INDEX(tblDestinations[Type],MATCH(tblMovement[[#This Row],[Destination]],tblDestinations[Destination],0)),"?"))</f>
        <v/>
      </c>
      <c r="M1207" s="64">
        <f>IF(tblMovement[[#This Row],[Material]]="","",IF(LEFT(tblMovement[[#This Row],[Material]],3)="Ore",1,0))</f>
        <v/>
      </c>
      <c r="N1207" s="59">
        <f>IF(OR(tblMovement[[#This Row],[Tonnes_t]]="",tblMovement[[#This Row],[Grade_gpt]]=""),0,tblMovement[[#This Row],[Tonnes_t]]*tblMovement[[#This Row],[Grade_gpt]]/cfg_TroyOz)</f>
        <v/>
      </c>
      <c r="O1207" s="59">
        <f>IF(tblMovement[[#This Row],[Is_Ore]]=1,tblMovement[[#This Row],[Contained_oz]],0)</f>
        <v/>
      </c>
    </row>
    <row r="1208">
      <c r="A1208" s="54" t="n"/>
      <c r="B1208" s="61" t="n"/>
      <c r="C1208" s="61" t="n"/>
      <c r="D1208" s="61" t="n"/>
      <c r="E1208" s="61" t="n"/>
      <c r="F1208" s="55" t="n"/>
      <c r="G1208" s="56" t="n"/>
      <c r="H1208" s="55" t="n"/>
      <c r="I1208" s="62" t="n"/>
      <c r="J1208" s="58" t="n"/>
      <c r="K1208" s="63">
        <f>IF(tblMovement[[#This Row],[Source]]="","",IFERROR(INDEX(tblSources[Type],MATCH(tblMovement[[#This Row],[Source]],tblSources[Source],0)),"?"))</f>
        <v/>
      </c>
      <c r="L1208" s="63">
        <f>IF(tblMovement[[#This Row],[Destination]]="","",IFERROR(INDEX(tblDestinations[Type],MATCH(tblMovement[[#This Row],[Destination]],tblDestinations[Destination],0)),"?"))</f>
        <v/>
      </c>
      <c r="M1208" s="64">
        <f>IF(tblMovement[[#This Row],[Material]]="","",IF(LEFT(tblMovement[[#This Row],[Material]],3)="Ore",1,0))</f>
        <v/>
      </c>
      <c r="N1208" s="59">
        <f>IF(OR(tblMovement[[#This Row],[Tonnes_t]]="",tblMovement[[#This Row],[Grade_gpt]]=""),0,tblMovement[[#This Row],[Tonnes_t]]*tblMovement[[#This Row],[Grade_gpt]]/cfg_TroyOz)</f>
        <v/>
      </c>
      <c r="O1208" s="59">
        <f>IF(tblMovement[[#This Row],[Is_Ore]]=1,tblMovement[[#This Row],[Contained_oz]],0)</f>
        <v/>
      </c>
    </row>
    <row r="1209">
      <c r="A1209" s="54" t="n"/>
      <c r="B1209" s="61" t="n"/>
      <c r="C1209" s="61" t="n"/>
      <c r="D1209" s="61" t="n"/>
      <c r="E1209" s="61" t="n"/>
      <c r="F1209" s="55" t="n"/>
      <c r="G1209" s="56" t="n"/>
      <c r="H1209" s="55" t="n"/>
      <c r="I1209" s="62" t="n"/>
      <c r="J1209" s="58" t="n"/>
      <c r="K1209" s="63">
        <f>IF(tblMovement[[#This Row],[Source]]="","",IFERROR(INDEX(tblSources[Type],MATCH(tblMovement[[#This Row],[Source]],tblSources[Source],0)),"?"))</f>
        <v/>
      </c>
      <c r="L1209" s="63">
        <f>IF(tblMovement[[#This Row],[Destination]]="","",IFERROR(INDEX(tblDestinations[Type],MATCH(tblMovement[[#This Row],[Destination]],tblDestinations[Destination],0)),"?"))</f>
        <v/>
      </c>
      <c r="M1209" s="64">
        <f>IF(tblMovement[[#This Row],[Material]]="","",IF(LEFT(tblMovement[[#This Row],[Material]],3)="Ore",1,0))</f>
        <v/>
      </c>
      <c r="N1209" s="59">
        <f>IF(OR(tblMovement[[#This Row],[Tonnes_t]]="",tblMovement[[#This Row],[Grade_gpt]]=""),0,tblMovement[[#This Row],[Tonnes_t]]*tblMovement[[#This Row],[Grade_gpt]]/cfg_TroyOz)</f>
        <v/>
      </c>
      <c r="O1209" s="59">
        <f>IF(tblMovement[[#This Row],[Is_Ore]]=1,tblMovement[[#This Row],[Contained_oz]],0)</f>
        <v/>
      </c>
    </row>
    <row r="1210">
      <c r="A1210" s="54" t="n"/>
      <c r="B1210" s="61" t="n"/>
      <c r="C1210" s="61" t="n"/>
      <c r="D1210" s="61" t="n"/>
      <c r="E1210" s="61" t="n"/>
      <c r="F1210" s="55" t="n"/>
      <c r="G1210" s="56" t="n"/>
      <c r="H1210" s="55" t="n"/>
      <c r="I1210" s="62" t="n"/>
      <c r="J1210" s="58" t="n"/>
      <c r="K1210" s="63">
        <f>IF(tblMovement[[#This Row],[Source]]="","",IFERROR(INDEX(tblSources[Type],MATCH(tblMovement[[#This Row],[Source]],tblSources[Source],0)),"?"))</f>
        <v/>
      </c>
      <c r="L1210" s="63">
        <f>IF(tblMovement[[#This Row],[Destination]]="","",IFERROR(INDEX(tblDestinations[Type],MATCH(tblMovement[[#This Row],[Destination]],tblDestinations[Destination],0)),"?"))</f>
        <v/>
      </c>
      <c r="M1210" s="64">
        <f>IF(tblMovement[[#This Row],[Material]]="","",IF(LEFT(tblMovement[[#This Row],[Material]],3)="Ore",1,0))</f>
        <v/>
      </c>
      <c r="N1210" s="59">
        <f>IF(OR(tblMovement[[#This Row],[Tonnes_t]]="",tblMovement[[#This Row],[Grade_gpt]]=""),0,tblMovement[[#This Row],[Tonnes_t]]*tblMovement[[#This Row],[Grade_gpt]]/cfg_TroyOz)</f>
        <v/>
      </c>
      <c r="O1210" s="59">
        <f>IF(tblMovement[[#This Row],[Is_Ore]]=1,tblMovement[[#This Row],[Contained_oz]],0)</f>
        <v/>
      </c>
    </row>
    <row r="1211">
      <c r="A1211" s="54" t="n"/>
      <c r="B1211" s="61" t="n"/>
      <c r="C1211" s="61" t="n"/>
      <c r="D1211" s="61" t="n"/>
      <c r="E1211" s="61" t="n"/>
      <c r="F1211" s="55" t="n"/>
      <c r="G1211" s="56" t="n"/>
      <c r="H1211" s="55" t="n"/>
      <c r="I1211" s="62" t="n"/>
      <c r="J1211" s="58" t="n"/>
      <c r="K1211" s="63">
        <f>IF(tblMovement[[#This Row],[Source]]="","",IFERROR(INDEX(tblSources[Type],MATCH(tblMovement[[#This Row],[Source]],tblSources[Source],0)),"?"))</f>
        <v/>
      </c>
      <c r="L1211" s="63">
        <f>IF(tblMovement[[#This Row],[Destination]]="","",IFERROR(INDEX(tblDestinations[Type],MATCH(tblMovement[[#This Row],[Destination]],tblDestinations[Destination],0)),"?"))</f>
        <v/>
      </c>
      <c r="M1211" s="64">
        <f>IF(tblMovement[[#This Row],[Material]]="","",IF(LEFT(tblMovement[[#This Row],[Material]],3)="Ore",1,0))</f>
        <v/>
      </c>
      <c r="N1211" s="59">
        <f>IF(OR(tblMovement[[#This Row],[Tonnes_t]]="",tblMovement[[#This Row],[Grade_gpt]]=""),0,tblMovement[[#This Row],[Tonnes_t]]*tblMovement[[#This Row],[Grade_gpt]]/cfg_TroyOz)</f>
        <v/>
      </c>
      <c r="O1211" s="59">
        <f>IF(tblMovement[[#This Row],[Is_Ore]]=1,tblMovement[[#This Row],[Contained_oz]],0)</f>
        <v/>
      </c>
    </row>
    <row r="1212">
      <c r="A1212" s="54" t="n"/>
      <c r="B1212" s="61" t="n"/>
      <c r="C1212" s="61" t="n"/>
      <c r="D1212" s="61" t="n"/>
      <c r="E1212" s="61" t="n"/>
      <c r="F1212" s="55" t="n"/>
      <c r="G1212" s="56" t="n"/>
      <c r="H1212" s="55" t="n"/>
      <c r="I1212" s="62" t="n"/>
      <c r="J1212" s="58" t="n"/>
      <c r="K1212" s="63">
        <f>IF(tblMovement[[#This Row],[Source]]="","",IFERROR(INDEX(tblSources[Type],MATCH(tblMovement[[#This Row],[Source]],tblSources[Source],0)),"?"))</f>
        <v/>
      </c>
      <c r="L1212" s="63">
        <f>IF(tblMovement[[#This Row],[Destination]]="","",IFERROR(INDEX(tblDestinations[Type],MATCH(tblMovement[[#This Row],[Destination]],tblDestinations[Destination],0)),"?"))</f>
        <v/>
      </c>
      <c r="M1212" s="64">
        <f>IF(tblMovement[[#This Row],[Material]]="","",IF(LEFT(tblMovement[[#This Row],[Material]],3)="Ore",1,0))</f>
        <v/>
      </c>
      <c r="N1212" s="59">
        <f>IF(OR(tblMovement[[#This Row],[Tonnes_t]]="",tblMovement[[#This Row],[Grade_gpt]]=""),0,tblMovement[[#This Row],[Tonnes_t]]*tblMovement[[#This Row],[Grade_gpt]]/cfg_TroyOz)</f>
        <v/>
      </c>
      <c r="O1212" s="59">
        <f>IF(tblMovement[[#This Row],[Is_Ore]]=1,tblMovement[[#This Row],[Contained_oz]],0)</f>
        <v/>
      </c>
    </row>
    <row r="1213">
      <c r="A1213" s="54" t="n"/>
      <c r="B1213" s="61" t="n"/>
      <c r="C1213" s="61" t="n"/>
      <c r="D1213" s="61" t="n"/>
      <c r="E1213" s="61" t="n"/>
      <c r="F1213" s="55" t="n"/>
      <c r="G1213" s="56" t="n"/>
      <c r="H1213" s="55" t="n"/>
      <c r="I1213" s="62" t="n"/>
      <c r="J1213" s="58" t="n"/>
      <c r="K1213" s="63">
        <f>IF(tblMovement[[#This Row],[Source]]="","",IFERROR(INDEX(tblSources[Type],MATCH(tblMovement[[#This Row],[Source]],tblSources[Source],0)),"?"))</f>
        <v/>
      </c>
      <c r="L1213" s="63">
        <f>IF(tblMovement[[#This Row],[Destination]]="","",IFERROR(INDEX(tblDestinations[Type],MATCH(tblMovement[[#This Row],[Destination]],tblDestinations[Destination],0)),"?"))</f>
        <v/>
      </c>
      <c r="M1213" s="64">
        <f>IF(tblMovement[[#This Row],[Material]]="","",IF(LEFT(tblMovement[[#This Row],[Material]],3)="Ore",1,0))</f>
        <v/>
      </c>
      <c r="N1213" s="59">
        <f>IF(OR(tblMovement[[#This Row],[Tonnes_t]]="",tblMovement[[#This Row],[Grade_gpt]]=""),0,tblMovement[[#This Row],[Tonnes_t]]*tblMovement[[#This Row],[Grade_gpt]]/cfg_TroyOz)</f>
        <v/>
      </c>
      <c r="O1213" s="59">
        <f>IF(tblMovement[[#This Row],[Is_Ore]]=1,tblMovement[[#This Row],[Contained_oz]],0)</f>
        <v/>
      </c>
    </row>
    <row r="1214">
      <c r="A1214" s="54" t="n"/>
      <c r="B1214" s="61" t="n"/>
      <c r="C1214" s="61" t="n"/>
      <c r="D1214" s="61" t="n"/>
      <c r="E1214" s="61" t="n"/>
      <c r="F1214" s="55" t="n"/>
      <c r="G1214" s="56" t="n"/>
      <c r="H1214" s="55" t="n"/>
      <c r="I1214" s="62" t="n"/>
      <c r="J1214" s="58" t="n"/>
      <c r="K1214" s="63">
        <f>IF(tblMovement[[#This Row],[Source]]="","",IFERROR(INDEX(tblSources[Type],MATCH(tblMovement[[#This Row],[Source]],tblSources[Source],0)),"?"))</f>
        <v/>
      </c>
      <c r="L1214" s="63">
        <f>IF(tblMovement[[#This Row],[Destination]]="","",IFERROR(INDEX(tblDestinations[Type],MATCH(tblMovement[[#This Row],[Destination]],tblDestinations[Destination],0)),"?"))</f>
        <v/>
      </c>
      <c r="M1214" s="64">
        <f>IF(tblMovement[[#This Row],[Material]]="","",IF(LEFT(tblMovement[[#This Row],[Material]],3)="Ore",1,0))</f>
        <v/>
      </c>
      <c r="N1214" s="59">
        <f>IF(OR(tblMovement[[#This Row],[Tonnes_t]]="",tblMovement[[#This Row],[Grade_gpt]]=""),0,tblMovement[[#This Row],[Tonnes_t]]*tblMovement[[#This Row],[Grade_gpt]]/cfg_TroyOz)</f>
        <v/>
      </c>
      <c r="O1214" s="59">
        <f>IF(tblMovement[[#This Row],[Is_Ore]]=1,tblMovement[[#This Row],[Contained_oz]],0)</f>
        <v/>
      </c>
    </row>
    <row r="1215">
      <c r="A1215" s="54" t="n"/>
      <c r="B1215" s="61" t="n"/>
      <c r="C1215" s="61" t="n"/>
      <c r="D1215" s="61" t="n"/>
      <c r="E1215" s="61" t="n"/>
      <c r="F1215" s="55" t="n"/>
      <c r="G1215" s="56" t="n"/>
      <c r="H1215" s="55" t="n"/>
      <c r="I1215" s="62" t="n"/>
      <c r="J1215" s="58" t="n"/>
      <c r="K1215" s="63">
        <f>IF(tblMovement[[#This Row],[Source]]="","",IFERROR(INDEX(tblSources[Type],MATCH(tblMovement[[#This Row],[Source]],tblSources[Source],0)),"?"))</f>
        <v/>
      </c>
      <c r="L1215" s="63">
        <f>IF(tblMovement[[#This Row],[Destination]]="","",IFERROR(INDEX(tblDestinations[Type],MATCH(tblMovement[[#This Row],[Destination]],tblDestinations[Destination],0)),"?"))</f>
        <v/>
      </c>
      <c r="M1215" s="64">
        <f>IF(tblMovement[[#This Row],[Material]]="","",IF(LEFT(tblMovement[[#This Row],[Material]],3)="Ore",1,0))</f>
        <v/>
      </c>
      <c r="N1215" s="59">
        <f>IF(OR(tblMovement[[#This Row],[Tonnes_t]]="",tblMovement[[#This Row],[Grade_gpt]]=""),0,tblMovement[[#This Row],[Tonnes_t]]*tblMovement[[#This Row],[Grade_gpt]]/cfg_TroyOz)</f>
        <v/>
      </c>
      <c r="O1215" s="59">
        <f>IF(tblMovement[[#This Row],[Is_Ore]]=1,tblMovement[[#This Row],[Contained_oz]],0)</f>
        <v/>
      </c>
    </row>
    <row r="1216">
      <c r="A1216" s="54" t="n"/>
      <c r="B1216" s="61" t="n"/>
      <c r="C1216" s="61" t="n"/>
      <c r="D1216" s="61" t="n"/>
      <c r="E1216" s="61" t="n"/>
      <c r="F1216" s="55" t="n"/>
      <c r="G1216" s="56" t="n"/>
      <c r="H1216" s="55" t="n"/>
      <c r="I1216" s="62" t="n"/>
      <c r="J1216" s="58" t="n"/>
      <c r="K1216" s="63">
        <f>IF(tblMovement[[#This Row],[Source]]="","",IFERROR(INDEX(tblSources[Type],MATCH(tblMovement[[#This Row],[Source]],tblSources[Source],0)),"?"))</f>
        <v/>
      </c>
      <c r="L1216" s="63">
        <f>IF(tblMovement[[#This Row],[Destination]]="","",IFERROR(INDEX(tblDestinations[Type],MATCH(tblMovement[[#This Row],[Destination]],tblDestinations[Destination],0)),"?"))</f>
        <v/>
      </c>
      <c r="M1216" s="64">
        <f>IF(tblMovement[[#This Row],[Material]]="","",IF(LEFT(tblMovement[[#This Row],[Material]],3)="Ore",1,0))</f>
        <v/>
      </c>
      <c r="N1216" s="59">
        <f>IF(OR(tblMovement[[#This Row],[Tonnes_t]]="",tblMovement[[#This Row],[Grade_gpt]]=""),0,tblMovement[[#This Row],[Tonnes_t]]*tblMovement[[#This Row],[Grade_gpt]]/cfg_TroyOz)</f>
        <v/>
      </c>
      <c r="O1216" s="59">
        <f>IF(tblMovement[[#This Row],[Is_Ore]]=1,tblMovement[[#This Row],[Contained_oz]],0)</f>
        <v/>
      </c>
    </row>
    <row r="1217">
      <c r="A1217" s="54" t="n"/>
      <c r="B1217" s="61" t="n"/>
      <c r="C1217" s="61" t="n"/>
      <c r="D1217" s="61" t="n"/>
      <c r="E1217" s="61" t="n"/>
      <c r="F1217" s="55" t="n"/>
      <c r="G1217" s="56" t="n"/>
      <c r="H1217" s="55" t="n"/>
      <c r="I1217" s="62" t="n"/>
      <c r="J1217" s="58" t="n"/>
      <c r="K1217" s="63">
        <f>IF(tblMovement[[#This Row],[Source]]="","",IFERROR(INDEX(tblSources[Type],MATCH(tblMovement[[#This Row],[Source]],tblSources[Source],0)),"?"))</f>
        <v/>
      </c>
      <c r="L1217" s="63">
        <f>IF(tblMovement[[#This Row],[Destination]]="","",IFERROR(INDEX(tblDestinations[Type],MATCH(tblMovement[[#This Row],[Destination]],tblDestinations[Destination],0)),"?"))</f>
        <v/>
      </c>
      <c r="M1217" s="64">
        <f>IF(tblMovement[[#This Row],[Material]]="","",IF(LEFT(tblMovement[[#This Row],[Material]],3)="Ore",1,0))</f>
        <v/>
      </c>
      <c r="N1217" s="59">
        <f>IF(OR(tblMovement[[#This Row],[Tonnes_t]]="",tblMovement[[#This Row],[Grade_gpt]]=""),0,tblMovement[[#This Row],[Tonnes_t]]*tblMovement[[#This Row],[Grade_gpt]]/cfg_TroyOz)</f>
        <v/>
      </c>
      <c r="O1217" s="59">
        <f>IF(tblMovement[[#This Row],[Is_Ore]]=1,tblMovement[[#This Row],[Contained_oz]],0)</f>
        <v/>
      </c>
    </row>
    <row r="1218">
      <c r="A1218" s="54" t="n"/>
      <c r="B1218" s="61" t="n"/>
      <c r="C1218" s="61" t="n"/>
      <c r="D1218" s="61" t="n"/>
      <c r="E1218" s="61" t="n"/>
      <c r="F1218" s="55" t="n"/>
      <c r="G1218" s="56" t="n"/>
      <c r="H1218" s="55" t="n"/>
      <c r="I1218" s="62" t="n"/>
      <c r="J1218" s="58" t="n"/>
      <c r="K1218" s="63">
        <f>IF(tblMovement[[#This Row],[Source]]="","",IFERROR(INDEX(tblSources[Type],MATCH(tblMovement[[#This Row],[Source]],tblSources[Source],0)),"?"))</f>
        <v/>
      </c>
      <c r="L1218" s="63">
        <f>IF(tblMovement[[#This Row],[Destination]]="","",IFERROR(INDEX(tblDestinations[Type],MATCH(tblMovement[[#This Row],[Destination]],tblDestinations[Destination],0)),"?"))</f>
        <v/>
      </c>
      <c r="M1218" s="64">
        <f>IF(tblMovement[[#This Row],[Material]]="","",IF(LEFT(tblMovement[[#This Row],[Material]],3)="Ore",1,0))</f>
        <v/>
      </c>
      <c r="N1218" s="59">
        <f>IF(OR(tblMovement[[#This Row],[Tonnes_t]]="",tblMovement[[#This Row],[Grade_gpt]]=""),0,tblMovement[[#This Row],[Tonnes_t]]*tblMovement[[#This Row],[Grade_gpt]]/cfg_TroyOz)</f>
        <v/>
      </c>
      <c r="O1218" s="59">
        <f>IF(tblMovement[[#This Row],[Is_Ore]]=1,tblMovement[[#This Row],[Contained_oz]],0)</f>
        <v/>
      </c>
    </row>
    <row r="1219">
      <c r="A1219" s="54" t="n"/>
      <c r="B1219" s="61" t="n"/>
      <c r="C1219" s="61" t="n"/>
      <c r="D1219" s="61" t="n"/>
      <c r="E1219" s="61" t="n"/>
      <c r="F1219" s="55" t="n"/>
      <c r="G1219" s="56" t="n"/>
      <c r="H1219" s="55" t="n"/>
      <c r="I1219" s="62" t="n"/>
      <c r="J1219" s="58" t="n"/>
      <c r="K1219" s="63">
        <f>IF(tblMovement[[#This Row],[Source]]="","",IFERROR(INDEX(tblSources[Type],MATCH(tblMovement[[#This Row],[Source]],tblSources[Source],0)),"?"))</f>
        <v/>
      </c>
      <c r="L1219" s="63">
        <f>IF(tblMovement[[#This Row],[Destination]]="","",IFERROR(INDEX(tblDestinations[Type],MATCH(tblMovement[[#This Row],[Destination]],tblDestinations[Destination],0)),"?"))</f>
        <v/>
      </c>
      <c r="M1219" s="64">
        <f>IF(tblMovement[[#This Row],[Material]]="","",IF(LEFT(tblMovement[[#This Row],[Material]],3)="Ore",1,0))</f>
        <v/>
      </c>
      <c r="N1219" s="59">
        <f>IF(OR(tblMovement[[#This Row],[Tonnes_t]]="",tblMovement[[#This Row],[Grade_gpt]]=""),0,tblMovement[[#This Row],[Tonnes_t]]*tblMovement[[#This Row],[Grade_gpt]]/cfg_TroyOz)</f>
        <v/>
      </c>
      <c r="O1219" s="59">
        <f>IF(tblMovement[[#This Row],[Is_Ore]]=1,tblMovement[[#This Row],[Contained_oz]],0)</f>
        <v/>
      </c>
    </row>
    <row r="1220">
      <c r="A1220" s="54" t="n"/>
      <c r="B1220" s="61" t="n"/>
      <c r="C1220" s="61" t="n"/>
      <c r="D1220" s="61" t="n"/>
      <c r="E1220" s="61" t="n"/>
      <c r="F1220" s="55" t="n"/>
      <c r="G1220" s="56" t="n"/>
      <c r="H1220" s="55" t="n"/>
      <c r="I1220" s="62" t="n"/>
      <c r="J1220" s="58" t="n"/>
      <c r="K1220" s="63">
        <f>IF(tblMovement[[#This Row],[Source]]="","",IFERROR(INDEX(tblSources[Type],MATCH(tblMovement[[#This Row],[Source]],tblSources[Source],0)),"?"))</f>
        <v/>
      </c>
      <c r="L1220" s="63">
        <f>IF(tblMovement[[#This Row],[Destination]]="","",IFERROR(INDEX(tblDestinations[Type],MATCH(tblMovement[[#This Row],[Destination]],tblDestinations[Destination],0)),"?"))</f>
        <v/>
      </c>
      <c r="M1220" s="64">
        <f>IF(tblMovement[[#This Row],[Material]]="","",IF(LEFT(tblMovement[[#This Row],[Material]],3)="Ore",1,0))</f>
        <v/>
      </c>
      <c r="N1220" s="59">
        <f>IF(OR(tblMovement[[#This Row],[Tonnes_t]]="",tblMovement[[#This Row],[Grade_gpt]]=""),0,tblMovement[[#This Row],[Tonnes_t]]*tblMovement[[#This Row],[Grade_gpt]]/cfg_TroyOz)</f>
        <v/>
      </c>
      <c r="O1220" s="59">
        <f>IF(tblMovement[[#This Row],[Is_Ore]]=1,tblMovement[[#This Row],[Contained_oz]],0)</f>
        <v/>
      </c>
    </row>
    <row r="1221">
      <c r="A1221" s="54" t="n"/>
      <c r="B1221" s="61" t="n"/>
      <c r="C1221" s="61" t="n"/>
      <c r="D1221" s="61" t="n"/>
      <c r="E1221" s="61" t="n"/>
      <c r="F1221" s="55" t="n"/>
      <c r="G1221" s="56" t="n"/>
      <c r="H1221" s="55" t="n"/>
      <c r="I1221" s="62" t="n"/>
      <c r="J1221" s="58" t="n"/>
      <c r="K1221" s="63">
        <f>IF(tblMovement[[#This Row],[Source]]="","",IFERROR(INDEX(tblSources[Type],MATCH(tblMovement[[#This Row],[Source]],tblSources[Source],0)),"?"))</f>
        <v/>
      </c>
      <c r="L1221" s="63">
        <f>IF(tblMovement[[#This Row],[Destination]]="","",IFERROR(INDEX(tblDestinations[Type],MATCH(tblMovement[[#This Row],[Destination]],tblDestinations[Destination],0)),"?"))</f>
        <v/>
      </c>
      <c r="M1221" s="64">
        <f>IF(tblMovement[[#This Row],[Material]]="","",IF(LEFT(tblMovement[[#This Row],[Material]],3)="Ore",1,0))</f>
        <v/>
      </c>
      <c r="N1221" s="59">
        <f>IF(OR(tblMovement[[#This Row],[Tonnes_t]]="",tblMovement[[#This Row],[Grade_gpt]]=""),0,tblMovement[[#This Row],[Tonnes_t]]*tblMovement[[#This Row],[Grade_gpt]]/cfg_TroyOz)</f>
        <v/>
      </c>
      <c r="O1221" s="59">
        <f>IF(tblMovement[[#This Row],[Is_Ore]]=1,tblMovement[[#This Row],[Contained_oz]],0)</f>
        <v/>
      </c>
    </row>
    <row r="1222">
      <c r="A1222" s="54" t="n"/>
      <c r="B1222" s="61" t="n"/>
      <c r="C1222" s="61" t="n"/>
      <c r="D1222" s="61" t="n"/>
      <c r="E1222" s="61" t="n"/>
      <c r="F1222" s="55" t="n"/>
      <c r="G1222" s="56" t="n"/>
      <c r="H1222" s="55" t="n"/>
      <c r="I1222" s="62" t="n"/>
      <c r="J1222" s="58" t="n"/>
      <c r="K1222" s="63">
        <f>IF(tblMovement[[#This Row],[Source]]="","",IFERROR(INDEX(tblSources[Type],MATCH(tblMovement[[#This Row],[Source]],tblSources[Source],0)),"?"))</f>
        <v/>
      </c>
      <c r="L1222" s="63">
        <f>IF(tblMovement[[#This Row],[Destination]]="","",IFERROR(INDEX(tblDestinations[Type],MATCH(tblMovement[[#This Row],[Destination]],tblDestinations[Destination],0)),"?"))</f>
        <v/>
      </c>
      <c r="M1222" s="64">
        <f>IF(tblMovement[[#This Row],[Material]]="","",IF(LEFT(tblMovement[[#This Row],[Material]],3)="Ore",1,0))</f>
        <v/>
      </c>
      <c r="N1222" s="59">
        <f>IF(OR(tblMovement[[#This Row],[Tonnes_t]]="",tblMovement[[#This Row],[Grade_gpt]]=""),0,tblMovement[[#This Row],[Tonnes_t]]*tblMovement[[#This Row],[Grade_gpt]]/cfg_TroyOz)</f>
        <v/>
      </c>
      <c r="O1222" s="59">
        <f>IF(tblMovement[[#This Row],[Is_Ore]]=1,tblMovement[[#This Row],[Contained_oz]],0)</f>
        <v/>
      </c>
    </row>
    <row r="1223">
      <c r="A1223" s="54" t="n"/>
      <c r="B1223" s="61" t="n"/>
      <c r="C1223" s="61" t="n"/>
      <c r="D1223" s="61" t="n"/>
      <c r="E1223" s="61" t="n"/>
      <c r="F1223" s="55" t="n"/>
      <c r="G1223" s="56" t="n"/>
      <c r="H1223" s="55" t="n"/>
      <c r="I1223" s="62" t="n"/>
      <c r="J1223" s="58" t="n"/>
      <c r="K1223" s="63">
        <f>IF(tblMovement[[#This Row],[Source]]="","",IFERROR(INDEX(tblSources[Type],MATCH(tblMovement[[#This Row],[Source]],tblSources[Source],0)),"?"))</f>
        <v/>
      </c>
      <c r="L1223" s="63">
        <f>IF(tblMovement[[#This Row],[Destination]]="","",IFERROR(INDEX(tblDestinations[Type],MATCH(tblMovement[[#This Row],[Destination]],tblDestinations[Destination],0)),"?"))</f>
        <v/>
      </c>
      <c r="M1223" s="64">
        <f>IF(tblMovement[[#This Row],[Material]]="","",IF(LEFT(tblMovement[[#This Row],[Material]],3)="Ore",1,0))</f>
        <v/>
      </c>
      <c r="N1223" s="59">
        <f>IF(OR(tblMovement[[#This Row],[Tonnes_t]]="",tblMovement[[#This Row],[Grade_gpt]]=""),0,tblMovement[[#This Row],[Tonnes_t]]*tblMovement[[#This Row],[Grade_gpt]]/cfg_TroyOz)</f>
        <v/>
      </c>
      <c r="O1223" s="59">
        <f>IF(tblMovement[[#This Row],[Is_Ore]]=1,tblMovement[[#This Row],[Contained_oz]],0)</f>
        <v/>
      </c>
    </row>
    <row r="1224">
      <c r="A1224" s="54" t="n"/>
      <c r="B1224" s="61" t="n"/>
      <c r="C1224" s="61" t="n"/>
      <c r="D1224" s="61" t="n"/>
      <c r="E1224" s="61" t="n"/>
      <c r="F1224" s="55" t="n"/>
      <c r="G1224" s="56" t="n"/>
      <c r="H1224" s="55" t="n"/>
      <c r="I1224" s="62" t="n"/>
      <c r="J1224" s="58" t="n"/>
      <c r="K1224" s="63">
        <f>IF(tblMovement[[#This Row],[Source]]="","",IFERROR(INDEX(tblSources[Type],MATCH(tblMovement[[#This Row],[Source]],tblSources[Source],0)),"?"))</f>
        <v/>
      </c>
      <c r="L1224" s="63">
        <f>IF(tblMovement[[#This Row],[Destination]]="","",IFERROR(INDEX(tblDestinations[Type],MATCH(tblMovement[[#This Row],[Destination]],tblDestinations[Destination],0)),"?"))</f>
        <v/>
      </c>
      <c r="M1224" s="64">
        <f>IF(tblMovement[[#This Row],[Material]]="","",IF(LEFT(tblMovement[[#This Row],[Material]],3)="Ore",1,0))</f>
        <v/>
      </c>
      <c r="N1224" s="59">
        <f>IF(OR(tblMovement[[#This Row],[Tonnes_t]]="",tblMovement[[#This Row],[Grade_gpt]]=""),0,tblMovement[[#This Row],[Tonnes_t]]*tblMovement[[#This Row],[Grade_gpt]]/cfg_TroyOz)</f>
        <v/>
      </c>
      <c r="O1224" s="59">
        <f>IF(tblMovement[[#This Row],[Is_Ore]]=1,tblMovement[[#This Row],[Contained_oz]],0)</f>
        <v/>
      </c>
    </row>
    <row r="1225">
      <c r="A1225" s="54" t="n"/>
      <c r="B1225" s="61" t="n"/>
      <c r="C1225" s="61" t="n"/>
      <c r="D1225" s="61" t="n"/>
      <c r="E1225" s="61" t="n"/>
      <c r="F1225" s="55" t="n"/>
      <c r="G1225" s="56" t="n"/>
      <c r="H1225" s="55" t="n"/>
      <c r="I1225" s="62" t="n"/>
      <c r="J1225" s="58" t="n"/>
      <c r="K1225" s="63">
        <f>IF(tblMovement[[#This Row],[Source]]="","",IFERROR(INDEX(tblSources[Type],MATCH(tblMovement[[#This Row],[Source]],tblSources[Source],0)),"?"))</f>
        <v/>
      </c>
      <c r="L1225" s="63">
        <f>IF(tblMovement[[#This Row],[Destination]]="","",IFERROR(INDEX(tblDestinations[Type],MATCH(tblMovement[[#This Row],[Destination]],tblDestinations[Destination],0)),"?"))</f>
        <v/>
      </c>
      <c r="M1225" s="64">
        <f>IF(tblMovement[[#This Row],[Material]]="","",IF(LEFT(tblMovement[[#This Row],[Material]],3)="Ore",1,0))</f>
        <v/>
      </c>
      <c r="N1225" s="59">
        <f>IF(OR(tblMovement[[#This Row],[Tonnes_t]]="",tblMovement[[#This Row],[Grade_gpt]]=""),0,tblMovement[[#This Row],[Tonnes_t]]*tblMovement[[#This Row],[Grade_gpt]]/cfg_TroyOz)</f>
        <v/>
      </c>
      <c r="O1225" s="59">
        <f>IF(tblMovement[[#This Row],[Is_Ore]]=1,tblMovement[[#This Row],[Contained_oz]],0)</f>
        <v/>
      </c>
    </row>
    <row r="1226">
      <c r="A1226" s="54" t="n"/>
      <c r="B1226" s="61" t="n"/>
      <c r="C1226" s="61" t="n"/>
      <c r="D1226" s="61" t="n"/>
      <c r="E1226" s="61" t="n"/>
      <c r="F1226" s="55" t="n"/>
      <c r="G1226" s="56" t="n"/>
      <c r="H1226" s="55" t="n"/>
      <c r="I1226" s="62" t="n"/>
      <c r="J1226" s="58" t="n"/>
      <c r="K1226" s="63">
        <f>IF(tblMovement[[#This Row],[Source]]="","",IFERROR(INDEX(tblSources[Type],MATCH(tblMovement[[#This Row],[Source]],tblSources[Source],0)),"?"))</f>
        <v/>
      </c>
      <c r="L1226" s="63">
        <f>IF(tblMovement[[#This Row],[Destination]]="","",IFERROR(INDEX(tblDestinations[Type],MATCH(tblMovement[[#This Row],[Destination]],tblDestinations[Destination],0)),"?"))</f>
        <v/>
      </c>
      <c r="M1226" s="64">
        <f>IF(tblMovement[[#This Row],[Material]]="","",IF(LEFT(tblMovement[[#This Row],[Material]],3)="Ore",1,0))</f>
        <v/>
      </c>
      <c r="N1226" s="59">
        <f>IF(OR(tblMovement[[#This Row],[Tonnes_t]]="",tblMovement[[#This Row],[Grade_gpt]]=""),0,tblMovement[[#This Row],[Tonnes_t]]*tblMovement[[#This Row],[Grade_gpt]]/cfg_TroyOz)</f>
        <v/>
      </c>
      <c r="O1226" s="59">
        <f>IF(tblMovement[[#This Row],[Is_Ore]]=1,tblMovement[[#This Row],[Contained_oz]],0)</f>
        <v/>
      </c>
    </row>
    <row r="1227">
      <c r="A1227" s="54" t="n"/>
      <c r="B1227" s="61" t="n"/>
      <c r="C1227" s="61" t="n"/>
      <c r="D1227" s="61" t="n"/>
      <c r="E1227" s="61" t="n"/>
      <c r="F1227" s="55" t="n"/>
      <c r="G1227" s="56" t="n"/>
      <c r="H1227" s="55" t="n"/>
      <c r="I1227" s="62" t="n"/>
      <c r="J1227" s="58" t="n"/>
      <c r="K1227" s="63">
        <f>IF(tblMovement[[#This Row],[Source]]="","",IFERROR(INDEX(tblSources[Type],MATCH(tblMovement[[#This Row],[Source]],tblSources[Source],0)),"?"))</f>
        <v/>
      </c>
      <c r="L1227" s="63">
        <f>IF(tblMovement[[#This Row],[Destination]]="","",IFERROR(INDEX(tblDestinations[Type],MATCH(tblMovement[[#This Row],[Destination]],tblDestinations[Destination],0)),"?"))</f>
        <v/>
      </c>
      <c r="M1227" s="64">
        <f>IF(tblMovement[[#This Row],[Material]]="","",IF(LEFT(tblMovement[[#This Row],[Material]],3)="Ore",1,0))</f>
        <v/>
      </c>
      <c r="N1227" s="59">
        <f>IF(OR(tblMovement[[#This Row],[Tonnes_t]]="",tblMovement[[#This Row],[Grade_gpt]]=""),0,tblMovement[[#This Row],[Tonnes_t]]*tblMovement[[#This Row],[Grade_gpt]]/cfg_TroyOz)</f>
        <v/>
      </c>
      <c r="O1227" s="59">
        <f>IF(tblMovement[[#This Row],[Is_Ore]]=1,tblMovement[[#This Row],[Contained_oz]],0)</f>
        <v/>
      </c>
    </row>
    <row r="1228">
      <c r="A1228" s="54" t="n"/>
      <c r="B1228" s="61" t="n"/>
      <c r="C1228" s="61" t="n"/>
      <c r="D1228" s="61" t="n"/>
      <c r="E1228" s="61" t="n"/>
      <c r="F1228" s="55" t="n"/>
      <c r="G1228" s="56" t="n"/>
      <c r="H1228" s="55" t="n"/>
      <c r="I1228" s="62" t="n"/>
      <c r="J1228" s="58" t="n"/>
      <c r="K1228" s="63">
        <f>IF(tblMovement[[#This Row],[Source]]="","",IFERROR(INDEX(tblSources[Type],MATCH(tblMovement[[#This Row],[Source]],tblSources[Source],0)),"?"))</f>
        <v/>
      </c>
      <c r="L1228" s="63">
        <f>IF(tblMovement[[#This Row],[Destination]]="","",IFERROR(INDEX(tblDestinations[Type],MATCH(tblMovement[[#This Row],[Destination]],tblDestinations[Destination],0)),"?"))</f>
        <v/>
      </c>
      <c r="M1228" s="64">
        <f>IF(tblMovement[[#This Row],[Material]]="","",IF(LEFT(tblMovement[[#This Row],[Material]],3)="Ore",1,0))</f>
        <v/>
      </c>
      <c r="N1228" s="59">
        <f>IF(OR(tblMovement[[#This Row],[Tonnes_t]]="",tblMovement[[#This Row],[Grade_gpt]]=""),0,tblMovement[[#This Row],[Tonnes_t]]*tblMovement[[#This Row],[Grade_gpt]]/cfg_TroyOz)</f>
        <v/>
      </c>
      <c r="O1228" s="59">
        <f>IF(tblMovement[[#This Row],[Is_Ore]]=1,tblMovement[[#This Row],[Contained_oz]],0)</f>
        <v/>
      </c>
    </row>
    <row r="1229">
      <c r="A1229" s="54" t="n"/>
      <c r="B1229" s="61" t="n"/>
      <c r="C1229" s="61" t="n"/>
      <c r="D1229" s="61" t="n"/>
      <c r="E1229" s="61" t="n"/>
      <c r="F1229" s="55" t="n"/>
      <c r="G1229" s="56" t="n"/>
      <c r="H1229" s="55" t="n"/>
      <c r="I1229" s="62" t="n"/>
      <c r="J1229" s="58" t="n"/>
      <c r="K1229" s="63">
        <f>IF(tblMovement[[#This Row],[Source]]="","",IFERROR(INDEX(tblSources[Type],MATCH(tblMovement[[#This Row],[Source]],tblSources[Source],0)),"?"))</f>
        <v/>
      </c>
      <c r="L1229" s="63">
        <f>IF(tblMovement[[#This Row],[Destination]]="","",IFERROR(INDEX(tblDestinations[Type],MATCH(tblMovement[[#This Row],[Destination]],tblDestinations[Destination],0)),"?"))</f>
        <v/>
      </c>
      <c r="M1229" s="64">
        <f>IF(tblMovement[[#This Row],[Material]]="","",IF(LEFT(tblMovement[[#This Row],[Material]],3)="Ore",1,0))</f>
        <v/>
      </c>
      <c r="N1229" s="59">
        <f>IF(OR(tblMovement[[#This Row],[Tonnes_t]]="",tblMovement[[#This Row],[Grade_gpt]]=""),0,tblMovement[[#This Row],[Tonnes_t]]*tblMovement[[#This Row],[Grade_gpt]]/cfg_TroyOz)</f>
        <v/>
      </c>
      <c r="O1229" s="59">
        <f>IF(tblMovement[[#This Row],[Is_Ore]]=1,tblMovement[[#This Row],[Contained_oz]],0)</f>
        <v/>
      </c>
    </row>
    <row r="1230">
      <c r="A1230" s="54" t="n"/>
      <c r="B1230" s="61" t="n"/>
      <c r="C1230" s="61" t="n"/>
      <c r="D1230" s="61" t="n"/>
      <c r="E1230" s="61" t="n"/>
      <c r="F1230" s="55" t="n"/>
      <c r="G1230" s="56" t="n"/>
      <c r="H1230" s="55" t="n"/>
      <c r="I1230" s="62" t="n"/>
      <c r="J1230" s="58" t="n"/>
      <c r="K1230" s="63">
        <f>IF(tblMovement[[#This Row],[Source]]="","",IFERROR(INDEX(tblSources[Type],MATCH(tblMovement[[#This Row],[Source]],tblSources[Source],0)),"?"))</f>
        <v/>
      </c>
      <c r="L1230" s="63">
        <f>IF(tblMovement[[#This Row],[Destination]]="","",IFERROR(INDEX(tblDestinations[Type],MATCH(tblMovement[[#This Row],[Destination]],tblDestinations[Destination],0)),"?"))</f>
        <v/>
      </c>
      <c r="M1230" s="64">
        <f>IF(tblMovement[[#This Row],[Material]]="","",IF(LEFT(tblMovement[[#This Row],[Material]],3)="Ore",1,0))</f>
        <v/>
      </c>
      <c r="N1230" s="59">
        <f>IF(OR(tblMovement[[#This Row],[Tonnes_t]]="",tblMovement[[#This Row],[Grade_gpt]]=""),0,tblMovement[[#This Row],[Tonnes_t]]*tblMovement[[#This Row],[Grade_gpt]]/cfg_TroyOz)</f>
        <v/>
      </c>
      <c r="O1230" s="59">
        <f>IF(tblMovement[[#This Row],[Is_Ore]]=1,tblMovement[[#This Row],[Contained_oz]],0)</f>
        <v/>
      </c>
    </row>
    <row r="1231">
      <c r="A1231" s="54" t="n"/>
      <c r="B1231" s="61" t="n"/>
      <c r="C1231" s="61" t="n"/>
      <c r="D1231" s="61" t="n"/>
      <c r="E1231" s="61" t="n"/>
      <c r="F1231" s="55" t="n"/>
      <c r="G1231" s="56" t="n"/>
      <c r="H1231" s="55" t="n"/>
      <c r="I1231" s="62" t="n"/>
      <c r="J1231" s="58" t="n"/>
      <c r="K1231" s="63">
        <f>IF(tblMovement[[#This Row],[Source]]="","",IFERROR(INDEX(tblSources[Type],MATCH(tblMovement[[#This Row],[Source]],tblSources[Source],0)),"?"))</f>
        <v/>
      </c>
      <c r="L1231" s="63">
        <f>IF(tblMovement[[#This Row],[Destination]]="","",IFERROR(INDEX(tblDestinations[Type],MATCH(tblMovement[[#This Row],[Destination]],tblDestinations[Destination],0)),"?"))</f>
        <v/>
      </c>
      <c r="M1231" s="64">
        <f>IF(tblMovement[[#This Row],[Material]]="","",IF(LEFT(tblMovement[[#This Row],[Material]],3)="Ore",1,0))</f>
        <v/>
      </c>
      <c r="N1231" s="59">
        <f>IF(OR(tblMovement[[#This Row],[Tonnes_t]]="",tblMovement[[#This Row],[Grade_gpt]]=""),0,tblMovement[[#This Row],[Tonnes_t]]*tblMovement[[#This Row],[Grade_gpt]]/cfg_TroyOz)</f>
        <v/>
      </c>
      <c r="O1231" s="59">
        <f>IF(tblMovement[[#This Row],[Is_Ore]]=1,tblMovement[[#This Row],[Contained_oz]],0)</f>
        <v/>
      </c>
    </row>
    <row r="1232">
      <c r="A1232" s="54" t="n"/>
      <c r="B1232" s="61" t="n"/>
      <c r="C1232" s="61" t="n"/>
      <c r="D1232" s="61" t="n"/>
      <c r="E1232" s="61" t="n"/>
      <c r="F1232" s="55" t="n"/>
      <c r="G1232" s="56" t="n"/>
      <c r="H1232" s="55" t="n"/>
      <c r="I1232" s="62" t="n"/>
      <c r="J1232" s="58" t="n"/>
      <c r="K1232" s="63">
        <f>IF(tblMovement[[#This Row],[Source]]="","",IFERROR(INDEX(tblSources[Type],MATCH(tblMovement[[#This Row],[Source]],tblSources[Source],0)),"?"))</f>
        <v/>
      </c>
      <c r="L1232" s="63">
        <f>IF(tblMovement[[#This Row],[Destination]]="","",IFERROR(INDEX(tblDestinations[Type],MATCH(tblMovement[[#This Row],[Destination]],tblDestinations[Destination],0)),"?"))</f>
        <v/>
      </c>
      <c r="M1232" s="64">
        <f>IF(tblMovement[[#This Row],[Material]]="","",IF(LEFT(tblMovement[[#This Row],[Material]],3)="Ore",1,0))</f>
        <v/>
      </c>
      <c r="N1232" s="59">
        <f>IF(OR(tblMovement[[#This Row],[Tonnes_t]]="",tblMovement[[#This Row],[Grade_gpt]]=""),0,tblMovement[[#This Row],[Tonnes_t]]*tblMovement[[#This Row],[Grade_gpt]]/cfg_TroyOz)</f>
        <v/>
      </c>
      <c r="O1232" s="59">
        <f>IF(tblMovement[[#This Row],[Is_Ore]]=1,tblMovement[[#This Row],[Contained_oz]],0)</f>
        <v/>
      </c>
    </row>
    <row r="1233">
      <c r="A1233" s="54" t="n"/>
      <c r="B1233" s="61" t="n"/>
      <c r="C1233" s="61" t="n"/>
      <c r="D1233" s="61" t="n"/>
      <c r="E1233" s="61" t="n"/>
      <c r="F1233" s="55" t="n"/>
      <c r="G1233" s="56" t="n"/>
      <c r="H1233" s="55" t="n"/>
      <c r="I1233" s="62" t="n"/>
      <c r="J1233" s="58" t="n"/>
      <c r="K1233" s="63">
        <f>IF(tblMovement[[#This Row],[Source]]="","",IFERROR(INDEX(tblSources[Type],MATCH(tblMovement[[#This Row],[Source]],tblSources[Source],0)),"?"))</f>
        <v/>
      </c>
      <c r="L1233" s="63">
        <f>IF(tblMovement[[#This Row],[Destination]]="","",IFERROR(INDEX(tblDestinations[Type],MATCH(tblMovement[[#This Row],[Destination]],tblDestinations[Destination],0)),"?"))</f>
        <v/>
      </c>
      <c r="M1233" s="64">
        <f>IF(tblMovement[[#This Row],[Material]]="","",IF(LEFT(tblMovement[[#This Row],[Material]],3)="Ore",1,0))</f>
        <v/>
      </c>
      <c r="N1233" s="59">
        <f>IF(OR(tblMovement[[#This Row],[Tonnes_t]]="",tblMovement[[#This Row],[Grade_gpt]]=""),0,tblMovement[[#This Row],[Tonnes_t]]*tblMovement[[#This Row],[Grade_gpt]]/cfg_TroyOz)</f>
        <v/>
      </c>
      <c r="O1233" s="59">
        <f>IF(tblMovement[[#This Row],[Is_Ore]]=1,tblMovement[[#This Row],[Contained_oz]],0)</f>
        <v/>
      </c>
    </row>
    <row r="1234">
      <c r="A1234" s="54" t="n"/>
      <c r="B1234" s="61" t="n"/>
      <c r="C1234" s="61" t="n"/>
      <c r="D1234" s="61" t="n"/>
      <c r="E1234" s="61" t="n"/>
      <c r="F1234" s="55" t="n"/>
      <c r="G1234" s="56" t="n"/>
      <c r="H1234" s="55" t="n"/>
      <c r="I1234" s="62" t="n"/>
      <c r="J1234" s="58" t="n"/>
      <c r="K1234" s="63">
        <f>IF(tblMovement[[#This Row],[Source]]="","",IFERROR(INDEX(tblSources[Type],MATCH(tblMovement[[#This Row],[Source]],tblSources[Source],0)),"?"))</f>
        <v/>
      </c>
      <c r="L1234" s="63">
        <f>IF(tblMovement[[#This Row],[Destination]]="","",IFERROR(INDEX(tblDestinations[Type],MATCH(tblMovement[[#This Row],[Destination]],tblDestinations[Destination],0)),"?"))</f>
        <v/>
      </c>
      <c r="M1234" s="64">
        <f>IF(tblMovement[[#This Row],[Material]]="","",IF(LEFT(tblMovement[[#This Row],[Material]],3)="Ore",1,0))</f>
        <v/>
      </c>
      <c r="N1234" s="59">
        <f>IF(OR(tblMovement[[#This Row],[Tonnes_t]]="",tblMovement[[#This Row],[Grade_gpt]]=""),0,tblMovement[[#This Row],[Tonnes_t]]*tblMovement[[#This Row],[Grade_gpt]]/cfg_TroyOz)</f>
        <v/>
      </c>
      <c r="O1234" s="59">
        <f>IF(tblMovement[[#This Row],[Is_Ore]]=1,tblMovement[[#This Row],[Contained_oz]],0)</f>
        <v/>
      </c>
    </row>
    <row r="1235">
      <c r="A1235" s="54" t="n"/>
      <c r="B1235" s="61" t="n"/>
      <c r="C1235" s="61" t="n"/>
      <c r="D1235" s="61" t="n"/>
      <c r="E1235" s="61" t="n"/>
      <c r="F1235" s="55" t="n"/>
      <c r="G1235" s="56" t="n"/>
      <c r="H1235" s="55" t="n"/>
      <c r="I1235" s="62" t="n"/>
      <c r="J1235" s="58" t="n"/>
      <c r="K1235" s="63">
        <f>IF(tblMovement[[#This Row],[Source]]="","",IFERROR(INDEX(tblSources[Type],MATCH(tblMovement[[#This Row],[Source]],tblSources[Source],0)),"?"))</f>
        <v/>
      </c>
      <c r="L1235" s="63">
        <f>IF(tblMovement[[#This Row],[Destination]]="","",IFERROR(INDEX(tblDestinations[Type],MATCH(tblMovement[[#This Row],[Destination]],tblDestinations[Destination],0)),"?"))</f>
        <v/>
      </c>
      <c r="M1235" s="64">
        <f>IF(tblMovement[[#This Row],[Material]]="","",IF(LEFT(tblMovement[[#This Row],[Material]],3)="Ore",1,0))</f>
        <v/>
      </c>
      <c r="N1235" s="59">
        <f>IF(OR(tblMovement[[#This Row],[Tonnes_t]]="",tblMovement[[#This Row],[Grade_gpt]]=""),0,tblMovement[[#This Row],[Tonnes_t]]*tblMovement[[#This Row],[Grade_gpt]]/cfg_TroyOz)</f>
        <v/>
      </c>
      <c r="O1235" s="59">
        <f>IF(tblMovement[[#This Row],[Is_Ore]]=1,tblMovement[[#This Row],[Contained_oz]],0)</f>
        <v/>
      </c>
    </row>
    <row r="1236">
      <c r="A1236" s="54" t="n"/>
      <c r="B1236" s="61" t="n"/>
      <c r="C1236" s="61" t="n"/>
      <c r="D1236" s="61" t="n"/>
      <c r="E1236" s="61" t="n"/>
      <c r="F1236" s="55" t="n"/>
      <c r="G1236" s="56" t="n"/>
      <c r="H1236" s="55" t="n"/>
      <c r="I1236" s="62" t="n"/>
      <c r="J1236" s="58" t="n"/>
      <c r="K1236" s="63">
        <f>IF(tblMovement[[#This Row],[Source]]="","",IFERROR(INDEX(tblSources[Type],MATCH(tblMovement[[#This Row],[Source]],tblSources[Source],0)),"?"))</f>
        <v/>
      </c>
      <c r="L1236" s="63">
        <f>IF(tblMovement[[#This Row],[Destination]]="","",IFERROR(INDEX(tblDestinations[Type],MATCH(tblMovement[[#This Row],[Destination]],tblDestinations[Destination],0)),"?"))</f>
        <v/>
      </c>
      <c r="M1236" s="64">
        <f>IF(tblMovement[[#This Row],[Material]]="","",IF(LEFT(tblMovement[[#This Row],[Material]],3)="Ore",1,0))</f>
        <v/>
      </c>
      <c r="N1236" s="59">
        <f>IF(OR(tblMovement[[#This Row],[Tonnes_t]]="",tblMovement[[#This Row],[Grade_gpt]]=""),0,tblMovement[[#This Row],[Tonnes_t]]*tblMovement[[#This Row],[Grade_gpt]]/cfg_TroyOz)</f>
        <v/>
      </c>
      <c r="O1236" s="59">
        <f>IF(tblMovement[[#This Row],[Is_Ore]]=1,tblMovement[[#This Row],[Contained_oz]],0)</f>
        <v/>
      </c>
    </row>
    <row r="1237">
      <c r="A1237" s="54" t="n"/>
      <c r="B1237" s="61" t="n"/>
      <c r="C1237" s="61" t="n"/>
      <c r="D1237" s="61" t="n"/>
      <c r="E1237" s="61" t="n"/>
      <c r="F1237" s="55" t="n"/>
      <c r="G1237" s="56" t="n"/>
      <c r="H1237" s="55" t="n"/>
      <c r="I1237" s="62" t="n"/>
      <c r="J1237" s="58" t="n"/>
      <c r="K1237" s="63">
        <f>IF(tblMovement[[#This Row],[Source]]="","",IFERROR(INDEX(tblSources[Type],MATCH(tblMovement[[#This Row],[Source]],tblSources[Source],0)),"?"))</f>
        <v/>
      </c>
      <c r="L1237" s="63">
        <f>IF(tblMovement[[#This Row],[Destination]]="","",IFERROR(INDEX(tblDestinations[Type],MATCH(tblMovement[[#This Row],[Destination]],tblDestinations[Destination],0)),"?"))</f>
        <v/>
      </c>
      <c r="M1237" s="64">
        <f>IF(tblMovement[[#This Row],[Material]]="","",IF(LEFT(tblMovement[[#This Row],[Material]],3)="Ore",1,0))</f>
        <v/>
      </c>
      <c r="N1237" s="59">
        <f>IF(OR(tblMovement[[#This Row],[Tonnes_t]]="",tblMovement[[#This Row],[Grade_gpt]]=""),0,tblMovement[[#This Row],[Tonnes_t]]*tblMovement[[#This Row],[Grade_gpt]]/cfg_TroyOz)</f>
        <v/>
      </c>
      <c r="O1237" s="59">
        <f>IF(tblMovement[[#This Row],[Is_Ore]]=1,tblMovement[[#This Row],[Contained_oz]],0)</f>
        <v/>
      </c>
    </row>
    <row r="1238">
      <c r="A1238" s="54" t="n"/>
      <c r="B1238" s="61" t="n"/>
      <c r="C1238" s="61" t="n"/>
      <c r="D1238" s="61" t="n"/>
      <c r="E1238" s="61" t="n"/>
      <c r="F1238" s="55" t="n"/>
      <c r="G1238" s="56" t="n"/>
      <c r="H1238" s="55" t="n"/>
      <c r="I1238" s="62" t="n"/>
      <c r="J1238" s="58" t="n"/>
      <c r="K1238" s="63">
        <f>IF(tblMovement[[#This Row],[Source]]="","",IFERROR(INDEX(tblSources[Type],MATCH(tblMovement[[#This Row],[Source]],tblSources[Source],0)),"?"))</f>
        <v/>
      </c>
      <c r="L1238" s="63">
        <f>IF(tblMovement[[#This Row],[Destination]]="","",IFERROR(INDEX(tblDestinations[Type],MATCH(tblMovement[[#This Row],[Destination]],tblDestinations[Destination],0)),"?"))</f>
        <v/>
      </c>
      <c r="M1238" s="64">
        <f>IF(tblMovement[[#This Row],[Material]]="","",IF(LEFT(tblMovement[[#This Row],[Material]],3)="Ore",1,0))</f>
        <v/>
      </c>
      <c r="N1238" s="59">
        <f>IF(OR(tblMovement[[#This Row],[Tonnes_t]]="",tblMovement[[#This Row],[Grade_gpt]]=""),0,tblMovement[[#This Row],[Tonnes_t]]*tblMovement[[#This Row],[Grade_gpt]]/cfg_TroyOz)</f>
        <v/>
      </c>
      <c r="O1238" s="59">
        <f>IF(tblMovement[[#This Row],[Is_Ore]]=1,tblMovement[[#This Row],[Contained_oz]],0)</f>
        <v/>
      </c>
    </row>
    <row r="1239">
      <c r="A1239" s="54" t="n"/>
      <c r="B1239" s="61" t="n"/>
      <c r="C1239" s="61" t="n"/>
      <c r="D1239" s="61" t="n"/>
      <c r="E1239" s="61" t="n"/>
      <c r="F1239" s="55" t="n"/>
      <c r="G1239" s="56" t="n"/>
      <c r="H1239" s="55" t="n"/>
      <c r="I1239" s="62" t="n"/>
      <c r="J1239" s="58" t="n"/>
      <c r="K1239" s="63">
        <f>IF(tblMovement[[#This Row],[Source]]="","",IFERROR(INDEX(tblSources[Type],MATCH(tblMovement[[#This Row],[Source]],tblSources[Source],0)),"?"))</f>
        <v/>
      </c>
      <c r="L1239" s="63">
        <f>IF(tblMovement[[#This Row],[Destination]]="","",IFERROR(INDEX(tblDestinations[Type],MATCH(tblMovement[[#This Row],[Destination]],tblDestinations[Destination],0)),"?"))</f>
        <v/>
      </c>
      <c r="M1239" s="64">
        <f>IF(tblMovement[[#This Row],[Material]]="","",IF(LEFT(tblMovement[[#This Row],[Material]],3)="Ore",1,0))</f>
        <v/>
      </c>
      <c r="N1239" s="59">
        <f>IF(OR(tblMovement[[#This Row],[Tonnes_t]]="",tblMovement[[#This Row],[Grade_gpt]]=""),0,tblMovement[[#This Row],[Tonnes_t]]*tblMovement[[#This Row],[Grade_gpt]]/cfg_TroyOz)</f>
        <v/>
      </c>
      <c r="O1239" s="59">
        <f>IF(tblMovement[[#This Row],[Is_Ore]]=1,tblMovement[[#This Row],[Contained_oz]],0)</f>
        <v/>
      </c>
    </row>
    <row r="1240">
      <c r="A1240" s="54" t="n"/>
      <c r="B1240" s="61" t="n"/>
      <c r="C1240" s="61" t="n"/>
      <c r="D1240" s="61" t="n"/>
      <c r="E1240" s="61" t="n"/>
      <c r="F1240" s="55" t="n"/>
      <c r="G1240" s="56" t="n"/>
      <c r="H1240" s="55" t="n"/>
      <c r="I1240" s="62" t="n"/>
      <c r="J1240" s="58" t="n"/>
      <c r="K1240" s="63">
        <f>IF(tblMovement[[#This Row],[Source]]="","",IFERROR(INDEX(tblSources[Type],MATCH(tblMovement[[#This Row],[Source]],tblSources[Source],0)),"?"))</f>
        <v/>
      </c>
      <c r="L1240" s="63">
        <f>IF(tblMovement[[#This Row],[Destination]]="","",IFERROR(INDEX(tblDestinations[Type],MATCH(tblMovement[[#This Row],[Destination]],tblDestinations[Destination],0)),"?"))</f>
        <v/>
      </c>
      <c r="M1240" s="64">
        <f>IF(tblMovement[[#This Row],[Material]]="","",IF(LEFT(tblMovement[[#This Row],[Material]],3)="Ore",1,0))</f>
        <v/>
      </c>
      <c r="N1240" s="59">
        <f>IF(OR(tblMovement[[#This Row],[Tonnes_t]]="",tblMovement[[#This Row],[Grade_gpt]]=""),0,tblMovement[[#This Row],[Tonnes_t]]*tblMovement[[#This Row],[Grade_gpt]]/cfg_TroyOz)</f>
        <v/>
      </c>
      <c r="O1240" s="59">
        <f>IF(tblMovement[[#This Row],[Is_Ore]]=1,tblMovement[[#This Row],[Contained_oz]],0)</f>
        <v/>
      </c>
    </row>
    <row r="1241">
      <c r="A1241" s="54" t="n"/>
      <c r="B1241" s="61" t="n"/>
      <c r="C1241" s="61" t="n"/>
      <c r="D1241" s="61" t="n"/>
      <c r="E1241" s="61" t="n"/>
      <c r="F1241" s="55" t="n"/>
      <c r="G1241" s="56" t="n"/>
      <c r="H1241" s="55" t="n"/>
      <c r="I1241" s="62" t="n"/>
      <c r="J1241" s="58" t="n"/>
      <c r="K1241" s="63">
        <f>IF(tblMovement[[#This Row],[Source]]="","",IFERROR(INDEX(tblSources[Type],MATCH(tblMovement[[#This Row],[Source]],tblSources[Source],0)),"?"))</f>
        <v/>
      </c>
      <c r="L1241" s="63">
        <f>IF(tblMovement[[#This Row],[Destination]]="","",IFERROR(INDEX(tblDestinations[Type],MATCH(tblMovement[[#This Row],[Destination]],tblDestinations[Destination],0)),"?"))</f>
        <v/>
      </c>
      <c r="M1241" s="64">
        <f>IF(tblMovement[[#This Row],[Material]]="","",IF(LEFT(tblMovement[[#This Row],[Material]],3)="Ore",1,0))</f>
        <v/>
      </c>
      <c r="N1241" s="59">
        <f>IF(OR(tblMovement[[#This Row],[Tonnes_t]]="",tblMovement[[#This Row],[Grade_gpt]]=""),0,tblMovement[[#This Row],[Tonnes_t]]*tblMovement[[#This Row],[Grade_gpt]]/cfg_TroyOz)</f>
        <v/>
      </c>
      <c r="O1241" s="59">
        <f>IF(tblMovement[[#This Row],[Is_Ore]]=1,tblMovement[[#This Row],[Contained_oz]],0)</f>
        <v/>
      </c>
    </row>
    <row r="1242">
      <c r="A1242" s="54" t="n"/>
      <c r="B1242" s="61" t="n"/>
      <c r="C1242" s="61" t="n"/>
      <c r="D1242" s="61" t="n"/>
      <c r="E1242" s="61" t="n"/>
      <c r="F1242" s="55" t="n"/>
      <c r="G1242" s="56" t="n"/>
      <c r="H1242" s="55" t="n"/>
      <c r="I1242" s="62" t="n"/>
      <c r="J1242" s="58" t="n"/>
      <c r="K1242" s="63">
        <f>IF(tblMovement[[#This Row],[Source]]="","",IFERROR(INDEX(tblSources[Type],MATCH(tblMovement[[#This Row],[Source]],tblSources[Source],0)),"?"))</f>
        <v/>
      </c>
      <c r="L1242" s="63">
        <f>IF(tblMovement[[#This Row],[Destination]]="","",IFERROR(INDEX(tblDestinations[Type],MATCH(tblMovement[[#This Row],[Destination]],tblDestinations[Destination],0)),"?"))</f>
        <v/>
      </c>
      <c r="M1242" s="64">
        <f>IF(tblMovement[[#This Row],[Material]]="","",IF(LEFT(tblMovement[[#This Row],[Material]],3)="Ore",1,0))</f>
        <v/>
      </c>
      <c r="N1242" s="59">
        <f>IF(OR(tblMovement[[#This Row],[Tonnes_t]]="",tblMovement[[#This Row],[Grade_gpt]]=""),0,tblMovement[[#This Row],[Tonnes_t]]*tblMovement[[#This Row],[Grade_gpt]]/cfg_TroyOz)</f>
        <v/>
      </c>
      <c r="O1242" s="59">
        <f>IF(tblMovement[[#This Row],[Is_Ore]]=1,tblMovement[[#This Row],[Contained_oz]],0)</f>
        <v/>
      </c>
    </row>
    <row r="1243">
      <c r="A1243" s="54" t="n"/>
      <c r="B1243" s="61" t="n"/>
      <c r="C1243" s="61" t="n"/>
      <c r="D1243" s="61" t="n"/>
      <c r="E1243" s="61" t="n"/>
      <c r="F1243" s="55" t="n"/>
      <c r="G1243" s="56" t="n"/>
      <c r="H1243" s="55" t="n"/>
      <c r="I1243" s="62" t="n"/>
      <c r="J1243" s="58" t="n"/>
      <c r="K1243" s="63">
        <f>IF(tblMovement[[#This Row],[Source]]="","",IFERROR(INDEX(tblSources[Type],MATCH(tblMovement[[#This Row],[Source]],tblSources[Source],0)),"?"))</f>
        <v/>
      </c>
      <c r="L1243" s="63">
        <f>IF(tblMovement[[#This Row],[Destination]]="","",IFERROR(INDEX(tblDestinations[Type],MATCH(tblMovement[[#This Row],[Destination]],tblDestinations[Destination],0)),"?"))</f>
        <v/>
      </c>
      <c r="M1243" s="64">
        <f>IF(tblMovement[[#This Row],[Material]]="","",IF(LEFT(tblMovement[[#This Row],[Material]],3)="Ore",1,0))</f>
        <v/>
      </c>
      <c r="N1243" s="59">
        <f>IF(OR(tblMovement[[#This Row],[Tonnes_t]]="",tblMovement[[#This Row],[Grade_gpt]]=""),0,tblMovement[[#This Row],[Tonnes_t]]*tblMovement[[#This Row],[Grade_gpt]]/cfg_TroyOz)</f>
        <v/>
      </c>
      <c r="O1243" s="59">
        <f>IF(tblMovement[[#This Row],[Is_Ore]]=1,tblMovement[[#This Row],[Contained_oz]],0)</f>
        <v/>
      </c>
    </row>
    <row r="1244">
      <c r="A1244" s="54" t="n"/>
      <c r="B1244" s="61" t="n"/>
      <c r="C1244" s="61" t="n"/>
      <c r="D1244" s="61" t="n"/>
      <c r="E1244" s="61" t="n"/>
      <c r="F1244" s="55" t="n"/>
      <c r="G1244" s="56" t="n"/>
      <c r="H1244" s="55" t="n"/>
      <c r="I1244" s="62" t="n"/>
      <c r="J1244" s="58" t="n"/>
      <c r="K1244" s="63">
        <f>IF(tblMovement[[#This Row],[Source]]="","",IFERROR(INDEX(tblSources[Type],MATCH(tblMovement[[#This Row],[Source]],tblSources[Source],0)),"?"))</f>
        <v/>
      </c>
      <c r="L1244" s="63">
        <f>IF(tblMovement[[#This Row],[Destination]]="","",IFERROR(INDEX(tblDestinations[Type],MATCH(tblMovement[[#This Row],[Destination]],tblDestinations[Destination],0)),"?"))</f>
        <v/>
      </c>
      <c r="M1244" s="64">
        <f>IF(tblMovement[[#This Row],[Material]]="","",IF(LEFT(tblMovement[[#This Row],[Material]],3)="Ore",1,0))</f>
        <v/>
      </c>
      <c r="N1244" s="59">
        <f>IF(OR(tblMovement[[#This Row],[Tonnes_t]]="",tblMovement[[#This Row],[Grade_gpt]]=""),0,tblMovement[[#This Row],[Tonnes_t]]*tblMovement[[#This Row],[Grade_gpt]]/cfg_TroyOz)</f>
        <v/>
      </c>
      <c r="O1244" s="59">
        <f>IF(tblMovement[[#This Row],[Is_Ore]]=1,tblMovement[[#This Row],[Contained_oz]],0)</f>
        <v/>
      </c>
    </row>
    <row r="1245">
      <c r="A1245" s="54" t="n"/>
      <c r="B1245" s="61" t="n"/>
      <c r="C1245" s="61" t="n"/>
      <c r="D1245" s="61" t="n"/>
      <c r="E1245" s="61" t="n"/>
      <c r="F1245" s="55" t="n"/>
      <c r="G1245" s="56" t="n"/>
      <c r="H1245" s="55" t="n"/>
      <c r="I1245" s="62" t="n"/>
      <c r="J1245" s="58" t="n"/>
      <c r="K1245" s="63">
        <f>IF(tblMovement[[#This Row],[Source]]="","",IFERROR(INDEX(tblSources[Type],MATCH(tblMovement[[#This Row],[Source]],tblSources[Source],0)),"?"))</f>
        <v/>
      </c>
      <c r="L1245" s="63">
        <f>IF(tblMovement[[#This Row],[Destination]]="","",IFERROR(INDEX(tblDestinations[Type],MATCH(tblMovement[[#This Row],[Destination]],tblDestinations[Destination],0)),"?"))</f>
        <v/>
      </c>
      <c r="M1245" s="64">
        <f>IF(tblMovement[[#This Row],[Material]]="","",IF(LEFT(tblMovement[[#This Row],[Material]],3)="Ore",1,0))</f>
        <v/>
      </c>
      <c r="N1245" s="59">
        <f>IF(OR(tblMovement[[#This Row],[Tonnes_t]]="",tblMovement[[#This Row],[Grade_gpt]]=""),0,tblMovement[[#This Row],[Tonnes_t]]*tblMovement[[#This Row],[Grade_gpt]]/cfg_TroyOz)</f>
        <v/>
      </c>
      <c r="O1245" s="59">
        <f>IF(tblMovement[[#This Row],[Is_Ore]]=1,tblMovement[[#This Row],[Contained_oz]],0)</f>
        <v/>
      </c>
    </row>
    <row r="1246">
      <c r="A1246" s="54" t="n"/>
      <c r="B1246" s="61" t="n"/>
      <c r="C1246" s="61" t="n"/>
      <c r="D1246" s="61" t="n"/>
      <c r="E1246" s="61" t="n"/>
      <c r="F1246" s="55" t="n"/>
      <c r="G1246" s="56" t="n"/>
      <c r="H1246" s="55" t="n"/>
      <c r="I1246" s="62" t="n"/>
      <c r="J1246" s="58" t="n"/>
      <c r="K1246" s="63">
        <f>IF(tblMovement[[#This Row],[Source]]="","",IFERROR(INDEX(tblSources[Type],MATCH(tblMovement[[#This Row],[Source]],tblSources[Source],0)),"?"))</f>
        <v/>
      </c>
      <c r="L1246" s="63">
        <f>IF(tblMovement[[#This Row],[Destination]]="","",IFERROR(INDEX(tblDestinations[Type],MATCH(tblMovement[[#This Row],[Destination]],tblDestinations[Destination],0)),"?"))</f>
        <v/>
      </c>
      <c r="M1246" s="64">
        <f>IF(tblMovement[[#This Row],[Material]]="","",IF(LEFT(tblMovement[[#This Row],[Material]],3)="Ore",1,0))</f>
        <v/>
      </c>
      <c r="N1246" s="59">
        <f>IF(OR(tblMovement[[#This Row],[Tonnes_t]]="",tblMovement[[#This Row],[Grade_gpt]]=""),0,tblMovement[[#This Row],[Tonnes_t]]*tblMovement[[#This Row],[Grade_gpt]]/cfg_TroyOz)</f>
        <v/>
      </c>
      <c r="O1246" s="59">
        <f>IF(tblMovement[[#This Row],[Is_Ore]]=1,tblMovement[[#This Row],[Contained_oz]],0)</f>
        <v/>
      </c>
    </row>
    <row r="1247">
      <c r="A1247" s="54" t="n"/>
      <c r="B1247" s="61" t="n"/>
      <c r="C1247" s="61" t="n"/>
      <c r="D1247" s="61" t="n"/>
      <c r="E1247" s="61" t="n"/>
      <c r="F1247" s="55" t="n"/>
      <c r="G1247" s="56" t="n"/>
      <c r="H1247" s="55" t="n"/>
      <c r="I1247" s="62" t="n"/>
      <c r="J1247" s="58" t="n"/>
      <c r="K1247" s="63">
        <f>IF(tblMovement[[#This Row],[Source]]="","",IFERROR(INDEX(tblSources[Type],MATCH(tblMovement[[#This Row],[Source]],tblSources[Source],0)),"?"))</f>
        <v/>
      </c>
      <c r="L1247" s="63">
        <f>IF(tblMovement[[#This Row],[Destination]]="","",IFERROR(INDEX(tblDestinations[Type],MATCH(tblMovement[[#This Row],[Destination]],tblDestinations[Destination],0)),"?"))</f>
        <v/>
      </c>
      <c r="M1247" s="64">
        <f>IF(tblMovement[[#This Row],[Material]]="","",IF(LEFT(tblMovement[[#This Row],[Material]],3)="Ore",1,0))</f>
        <v/>
      </c>
      <c r="N1247" s="59">
        <f>IF(OR(tblMovement[[#This Row],[Tonnes_t]]="",tblMovement[[#This Row],[Grade_gpt]]=""),0,tblMovement[[#This Row],[Tonnes_t]]*tblMovement[[#This Row],[Grade_gpt]]/cfg_TroyOz)</f>
        <v/>
      </c>
      <c r="O1247" s="59">
        <f>IF(tblMovement[[#This Row],[Is_Ore]]=1,tblMovement[[#This Row],[Contained_oz]],0)</f>
        <v/>
      </c>
    </row>
    <row r="1248">
      <c r="A1248" s="54" t="n"/>
      <c r="B1248" s="61" t="n"/>
      <c r="C1248" s="61" t="n"/>
      <c r="D1248" s="61" t="n"/>
      <c r="E1248" s="61" t="n"/>
      <c r="F1248" s="55" t="n"/>
      <c r="G1248" s="56" t="n"/>
      <c r="H1248" s="55" t="n"/>
      <c r="I1248" s="62" t="n"/>
      <c r="J1248" s="58" t="n"/>
      <c r="K1248" s="63">
        <f>IF(tblMovement[[#This Row],[Source]]="","",IFERROR(INDEX(tblSources[Type],MATCH(tblMovement[[#This Row],[Source]],tblSources[Source],0)),"?"))</f>
        <v/>
      </c>
      <c r="L1248" s="63">
        <f>IF(tblMovement[[#This Row],[Destination]]="","",IFERROR(INDEX(tblDestinations[Type],MATCH(tblMovement[[#This Row],[Destination]],tblDestinations[Destination],0)),"?"))</f>
        <v/>
      </c>
      <c r="M1248" s="64">
        <f>IF(tblMovement[[#This Row],[Material]]="","",IF(LEFT(tblMovement[[#This Row],[Material]],3)="Ore",1,0))</f>
        <v/>
      </c>
      <c r="N1248" s="59">
        <f>IF(OR(tblMovement[[#This Row],[Tonnes_t]]="",tblMovement[[#This Row],[Grade_gpt]]=""),0,tblMovement[[#This Row],[Tonnes_t]]*tblMovement[[#This Row],[Grade_gpt]]/cfg_TroyOz)</f>
        <v/>
      </c>
      <c r="O1248" s="59">
        <f>IF(tblMovement[[#This Row],[Is_Ore]]=1,tblMovement[[#This Row],[Contained_oz]],0)</f>
        <v/>
      </c>
    </row>
    <row r="1249">
      <c r="A1249" s="54" t="n"/>
      <c r="B1249" s="61" t="n"/>
      <c r="C1249" s="61" t="n"/>
      <c r="D1249" s="61" t="n"/>
      <c r="E1249" s="61" t="n"/>
      <c r="F1249" s="55" t="n"/>
      <c r="G1249" s="56" t="n"/>
      <c r="H1249" s="55" t="n"/>
      <c r="I1249" s="62" t="n"/>
      <c r="J1249" s="58" t="n"/>
      <c r="K1249" s="63">
        <f>IF(tblMovement[[#This Row],[Source]]="","",IFERROR(INDEX(tblSources[Type],MATCH(tblMovement[[#This Row],[Source]],tblSources[Source],0)),"?"))</f>
        <v/>
      </c>
      <c r="L1249" s="63">
        <f>IF(tblMovement[[#This Row],[Destination]]="","",IFERROR(INDEX(tblDestinations[Type],MATCH(tblMovement[[#This Row],[Destination]],tblDestinations[Destination],0)),"?"))</f>
        <v/>
      </c>
      <c r="M1249" s="64">
        <f>IF(tblMovement[[#This Row],[Material]]="","",IF(LEFT(tblMovement[[#This Row],[Material]],3)="Ore",1,0))</f>
        <v/>
      </c>
      <c r="N1249" s="59">
        <f>IF(OR(tblMovement[[#This Row],[Tonnes_t]]="",tblMovement[[#This Row],[Grade_gpt]]=""),0,tblMovement[[#This Row],[Tonnes_t]]*tblMovement[[#This Row],[Grade_gpt]]/cfg_TroyOz)</f>
        <v/>
      </c>
      <c r="O1249" s="59">
        <f>IF(tblMovement[[#This Row],[Is_Ore]]=1,tblMovement[[#This Row],[Contained_oz]],0)</f>
        <v/>
      </c>
    </row>
    <row r="1250">
      <c r="A1250" s="54" t="n"/>
      <c r="B1250" s="61" t="n"/>
      <c r="C1250" s="61" t="n"/>
      <c r="D1250" s="61" t="n"/>
      <c r="E1250" s="61" t="n"/>
      <c r="F1250" s="55" t="n"/>
      <c r="G1250" s="56" t="n"/>
      <c r="H1250" s="55" t="n"/>
      <c r="I1250" s="62" t="n"/>
      <c r="J1250" s="58" t="n"/>
      <c r="K1250" s="63">
        <f>IF(tblMovement[[#This Row],[Source]]="","",IFERROR(INDEX(tblSources[Type],MATCH(tblMovement[[#This Row],[Source]],tblSources[Source],0)),"?"))</f>
        <v/>
      </c>
      <c r="L1250" s="63">
        <f>IF(tblMovement[[#This Row],[Destination]]="","",IFERROR(INDEX(tblDestinations[Type],MATCH(tblMovement[[#This Row],[Destination]],tblDestinations[Destination],0)),"?"))</f>
        <v/>
      </c>
      <c r="M1250" s="64">
        <f>IF(tblMovement[[#This Row],[Material]]="","",IF(LEFT(tblMovement[[#This Row],[Material]],3)="Ore",1,0))</f>
        <v/>
      </c>
      <c r="N1250" s="59">
        <f>IF(OR(tblMovement[[#This Row],[Tonnes_t]]="",tblMovement[[#This Row],[Grade_gpt]]=""),0,tblMovement[[#This Row],[Tonnes_t]]*tblMovement[[#This Row],[Grade_gpt]]/cfg_TroyOz)</f>
        <v/>
      </c>
      <c r="O1250" s="59">
        <f>IF(tblMovement[[#This Row],[Is_Ore]]=1,tblMovement[[#This Row],[Contained_oz]],0)</f>
        <v/>
      </c>
    </row>
    <row r="1251">
      <c r="A1251" s="54" t="n"/>
      <c r="B1251" s="61" t="n"/>
      <c r="C1251" s="61" t="n"/>
      <c r="D1251" s="61" t="n"/>
      <c r="E1251" s="61" t="n"/>
      <c r="F1251" s="55" t="n"/>
      <c r="G1251" s="56" t="n"/>
      <c r="H1251" s="55" t="n"/>
      <c r="I1251" s="62" t="n"/>
      <c r="J1251" s="58" t="n"/>
      <c r="K1251" s="63">
        <f>IF(tblMovement[[#This Row],[Source]]="","",IFERROR(INDEX(tblSources[Type],MATCH(tblMovement[[#This Row],[Source]],tblSources[Source],0)),"?"))</f>
        <v/>
      </c>
      <c r="L1251" s="63">
        <f>IF(tblMovement[[#This Row],[Destination]]="","",IFERROR(INDEX(tblDestinations[Type],MATCH(tblMovement[[#This Row],[Destination]],tblDestinations[Destination],0)),"?"))</f>
        <v/>
      </c>
      <c r="M1251" s="64">
        <f>IF(tblMovement[[#This Row],[Material]]="","",IF(LEFT(tblMovement[[#This Row],[Material]],3)="Ore",1,0))</f>
        <v/>
      </c>
      <c r="N1251" s="59">
        <f>IF(OR(tblMovement[[#This Row],[Tonnes_t]]="",tblMovement[[#This Row],[Grade_gpt]]=""),0,tblMovement[[#This Row],[Tonnes_t]]*tblMovement[[#This Row],[Grade_gpt]]/cfg_TroyOz)</f>
        <v/>
      </c>
      <c r="O1251" s="59">
        <f>IF(tblMovement[[#This Row],[Is_Ore]]=1,tblMovement[[#This Row],[Contained_oz]],0)</f>
        <v/>
      </c>
    </row>
    <row r="1252">
      <c r="A1252" s="54" t="n"/>
      <c r="B1252" s="61" t="n"/>
      <c r="C1252" s="61" t="n"/>
      <c r="D1252" s="61" t="n"/>
      <c r="E1252" s="61" t="n"/>
      <c r="F1252" s="55" t="n"/>
      <c r="G1252" s="56" t="n"/>
      <c r="H1252" s="55" t="n"/>
      <c r="I1252" s="62" t="n"/>
      <c r="J1252" s="58" t="n"/>
      <c r="K1252" s="63">
        <f>IF(tblMovement[[#This Row],[Source]]="","",IFERROR(INDEX(tblSources[Type],MATCH(tblMovement[[#This Row],[Source]],tblSources[Source],0)),"?"))</f>
        <v/>
      </c>
      <c r="L1252" s="63">
        <f>IF(tblMovement[[#This Row],[Destination]]="","",IFERROR(INDEX(tblDestinations[Type],MATCH(tblMovement[[#This Row],[Destination]],tblDestinations[Destination],0)),"?"))</f>
        <v/>
      </c>
      <c r="M1252" s="64">
        <f>IF(tblMovement[[#This Row],[Material]]="","",IF(LEFT(tblMovement[[#This Row],[Material]],3)="Ore",1,0))</f>
        <v/>
      </c>
      <c r="N1252" s="59">
        <f>IF(OR(tblMovement[[#This Row],[Tonnes_t]]="",tblMovement[[#This Row],[Grade_gpt]]=""),0,tblMovement[[#This Row],[Tonnes_t]]*tblMovement[[#This Row],[Grade_gpt]]/cfg_TroyOz)</f>
        <v/>
      </c>
      <c r="O1252" s="59">
        <f>IF(tblMovement[[#This Row],[Is_Ore]]=1,tblMovement[[#This Row],[Contained_oz]],0)</f>
        <v/>
      </c>
    </row>
    <row r="1253">
      <c r="A1253" s="54" t="n"/>
      <c r="B1253" s="61" t="n"/>
      <c r="C1253" s="61" t="n"/>
      <c r="D1253" s="61" t="n"/>
      <c r="E1253" s="61" t="n"/>
      <c r="F1253" s="55" t="n"/>
      <c r="G1253" s="56" t="n"/>
      <c r="H1253" s="55" t="n"/>
      <c r="I1253" s="62" t="n"/>
      <c r="J1253" s="58" t="n"/>
      <c r="K1253" s="63">
        <f>IF(tblMovement[[#This Row],[Source]]="","",IFERROR(INDEX(tblSources[Type],MATCH(tblMovement[[#This Row],[Source]],tblSources[Source],0)),"?"))</f>
        <v/>
      </c>
      <c r="L1253" s="63">
        <f>IF(tblMovement[[#This Row],[Destination]]="","",IFERROR(INDEX(tblDestinations[Type],MATCH(tblMovement[[#This Row],[Destination]],tblDestinations[Destination],0)),"?"))</f>
        <v/>
      </c>
      <c r="M1253" s="64">
        <f>IF(tblMovement[[#This Row],[Material]]="","",IF(LEFT(tblMovement[[#This Row],[Material]],3)="Ore",1,0))</f>
        <v/>
      </c>
      <c r="N1253" s="59">
        <f>IF(OR(tblMovement[[#This Row],[Tonnes_t]]="",tblMovement[[#This Row],[Grade_gpt]]=""),0,tblMovement[[#This Row],[Tonnes_t]]*tblMovement[[#This Row],[Grade_gpt]]/cfg_TroyOz)</f>
        <v/>
      </c>
      <c r="O1253" s="59">
        <f>IF(tblMovement[[#This Row],[Is_Ore]]=1,tblMovement[[#This Row],[Contained_oz]],0)</f>
        <v/>
      </c>
    </row>
    <row r="1254">
      <c r="A1254" s="54" t="n"/>
      <c r="B1254" s="61" t="n"/>
      <c r="C1254" s="61" t="n"/>
      <c r="D1254" s="61" t="n"/>
      <c r="E1254" s="61" t="n"/>
      <c r="F1254" s="55" t="n"/>
      <c r="G1254" s="56" t="n"/>
      <c r="H1254" s="55" t="n"/>
      <c r="I1254" s="62" t="n"/>
      <c r="J1254" s="58" t="n"/>
      <c r="K1254" s="63">
        <f>IF(tblMovement[[#This Row],[Source]]="","",IFERROR(INDEX(tblSources[Type],MATCH(tblMovement[[#This Row],[Source]],tblSources[Source],0)),"?"))</f>
        <v/>
      </c>
      <c r="L1254" s="63">
        <f>IF(tblMovement[[#This Row],[Destination]]="","",IFERROR(INDEX(tblDestinations[Type],MATCH(tblMovement[[#This Row],[Destination]],tblDestinations[Destination],0)),"?"))</f>
        <v/>
      </c>
      <c r="M1254" s="64">
        <f>IF(tblMovement[[#This Row],[Material]]="","",IF(LEFT(tblMovement[[#This Row],[Material]],3)="Ore",1,0))</f>
        <v/>
      </c>
      <c r="N1254" s="59">
        <f>IF(OR(tblMovement[[#This Row],[Tonnes_t]]="",tblMovement[[#This Row],[Grade_gpt]]=""),0,tblMovement[[#This Row],[Tonnes_t]]*tblMovement[[#This Row],[Grade_gpt]]/cfg_TroyOz)</f>
        <v/>
      </c>
      <c r="O1254" s="59">
        <f>IF(tblMovement[[#This Row],[Is_Ore]]=1,tblMovement[[#This Row],[Contained_oz]],0)</f>
        <v/>
      </c>
    </row>
    <row r="1255">
      <c r="A1255" s="54" t="n"/>
      <c r="B1255" s="61" t="n"/>
      <c r="C1255" s="61" t="n"/>
      <c r="D1255" s="61" t="n"/>
      <c r="E1255" s="61" t="n"/>
      <c r="F1255" s="55" t="n"/>
      <c r="G1255" s="56" t="n"/>
      <c r="H1255" s="55" t="n"/>
      <c r="I1255" s="62" t="n"/>
      <c r="J1255" s="58" t="n"/>
      <c r="K1255" s="63">
        <f>IF(tblMovement[[#This Row],[Source]]="","",IFERROR(INDEX(tblSources[Type],MATCH(tblMovement[[#This Row],[Source]],tblSources[Source],0)),"?"))</f>
        <v/>
      </c>
      <c r="L1255" s="63">
        <f>IF(tblMovement[[#This Row],[Destination]]="","",IFERROR(INDEX(tblDestinations[Type],MATCH(tblMovement[[#This Row],[Destination]],tblDestinations[Destination],0)),"?"))</f>
        <v/>
      </c>
      <c r="M1255" s="64">
        <f>IF(tblMovement[[#This Row],[Material]]="","",IF(LEFT(tblMovement[[#This Row],[Material]],3)="Ore",1,0))</f>
        <v/>
      </c>
      <c r="N1255" s="59">
        <f>IF(OR(tblMovement[[#This Row],[Tonnes_t]]="",tblMovement[[#This Row],[Grade_gpt]]=""),0,tblMovement[[#This Row],[Tonnes_t]]*tblMovement[[#This Row],[Grade_gpt]]/cfg_TroyOz)</f>
        <v/>
      </c>
      <c r="O1255" s="59">
        <f>IF(tblMovement[[#This Row],[Is_Ore]]=1,tblMovement[[#This Row],[Contained_oz]],0)</f>
        <v/>
      </c>
    </row>
    <row r="1256">
      <c r="A1256" s="54" t="n"/>
      <c r="B1256" s="61" t="n"/>
      <c r="C1256" s="61" t="n"/>
      <c r="D1256" s="61" t="n"/>
      <c r="E1256" s="61" t="n"/>
      <c r="F1256" s="55" t="n"/>
      <c r="G1256" s="56" t="n"/>
      <c r="H1256" s="55" t="n"/>
      <c r="I1256" s="62" t="n"/>
      <c r="J1256" s="58" t="n"/>
      <c r="K1256" s="63">
        <f>IF(tblMovement[[#This Row],[Source]]="","",IFERROR(INDEX(tblSources[Type],MATCH(tblMovement[[#This Row],[Source]],tblSources[Source],0)),"?"))</f>
        <v/>
      </c>
      <c r="L1256" s="63">
        <f>IF(tblMovement[[#This Row],[Destination]]="","",IFERROR(INDEX(tblDestinations[Type],MATCH(tblMovement[[#This Row],[Destination]],tblDestinations[Destination],0)),"?"))</f>
        <v/>
      </c>
      <c r="M1256" s="64">
        <f>IF(tblMovement[[#This Row],[Material]]="","",IF(LEFT(tblMovement[[#This Row],[Material]],3)="Ore",1,0))</f>
        <v/>
      </c>
      <c r="N1256" s="59">
        <f>IF(OR(tblMovement[[#This Row],[Tonnes_t]]="",tblMovement[[#This Row],[Grade_gpt]]=""),0,tblMovement[[#This Row],[Tonnes_t]]*tblMovement[[#This Row],[Grade_gpt]]/cfg_TroyOz)</f>
        <v/>
      </c>
      <c r="O1256" s="59">
        <f>IF(tblMovement[[#This Row],[Is_Ore]]=1,tblMovement[[#This Row],[Contained_oz]],0)</f>
        <v/>
      </c>
    </row>
    <row r="1257">
      <c r="A1257" s="54" t="n"/>
      <c r="B1257" s="61" t="n"/>
      <c r="C1257" s="61" t="n"/>
      <c r="D1257" s="61" t="n"/>
      <c r="E1257" s="61" t="n"/>
      <c r="F1257" s="55" t="n"/>
      <c r="G1257" s="56" t="n"/>
      <c r="H1257" s="55" t="n"/>
      <c r="I1257" s="62" t="n"/>
      <c r="J1257" s="58" t="n"/>
      <c r="K1257" s="63">
        <f>IF(tblMovement[[#This Row],[Source]]="","",IFERROR(INDEX(tblSources[Type],MATCH(tblMovement[[#This Row],[Source]],tblSources[Source],0)),"?"))</f>
        <v/>
      </c>
      <c r="L1257" s="63">
        <f>IF(tblMovement[[#This Row],[Destination]]="","",IFERROR(INDEX(tblDestinations[Type],MATCH(tblMovement[[#This Row],[Destination]],tblDestinations[Destination],0)),"?"))</f>
        <v/>
      </c>
      <c r="M1257" s="64">
        <f>IF(tblMovement[[#This Row],[Material]]="","",IF(LEFT(tblMovement[[#This Row],[Material]],3)="Ore",1,0))</f>
        <v/>
      </c>
      <c r="N1257" s="59">
        <f>IF(OR(tblMovement[[#This Row],[Tonnes_t]]="",tblMovement[[#This Row],[Grade_gpt]]=""),0,tblMovement[[#This Row],[Tonnes_t]]*tblMovement[[#This Row],[Grade_gpt]]/cfg_TroyOz)</f>
        <v/>
      </c>
      <c r="O1257" s="59">
        <f>IF(tblMovement[[#This Row],[Is_Ore]]=1,tblMovement[[#This Row],[Contained_oz]],0)</f>
        <v/>
      </c>
    </row>
    <row r="1258">
      <c r="A1258" s="54" t="n"/>
      <c r="B1258" s="61" t="n"/>
      <c r="C1258" s="61" t="n"/>
      <c r="D1258" s="61" t="n"/>
      <c r="E1258" s="61" t="n"/>
      <c r="F1258" s="55" t="n"/>
      <c r="G1258" s="56" t="n"/>
      <c r="H1258" s="55" t="n"/>
      <c r="I1258" s="62" t="n"/>
      <c r="J1258" s="58" t="n"/>
      <c r="K1258" s="63">
        <f>IF(tblMovement[[#This Row],[Source]]="","",IFERROR(INDEX(tblSources[Type],MATCH(tblMovement[[#This Row],[Source]],tblSources[Source],0)),"?"))</f>
        <v/>
      </c>
      <c r="L1258" s="63">
        <f>IF(tblMovement[[#This Row],[Destination]]="","",IFERROR(INDEX(tblDestinations[Type],MATCH(tblMovement[[#This Row],[Destination]],tblDestinations[Destination],0)),"?"))</f>
        <v/>
      </c>
      <c r="M1258" s="64">
        <f>IF(tblMovement[[#This Row],[Material]]="","",IF(LEFT(tblMovement[[#This Row],[Material]],3)="Ore",1,0))</f>
        <v/>
      </c>
      <c r="N1258" s="59">
        <f>IF(OR(tblMovement[[#This Row],[Tonnes_t]]="",tblMovement[[#This Row],[Grade_gpt]]=""),0,tblMovement[[#This Row],[Tonnes_t]]*tblMovement[[#This Row],[Grade_gpt]]/cfg_TroyOz)</f>
        <v/>
      </c>
      <c r="O1258" s="59">
        <f>IF(tblMovement[[#This Row],[Is_Ore]]=1,tblMovement[[#This Row],[Contained_oz]],0)</f>
        <v/>
      </c>
    </row>
    <row r="1259">
      <c r="A1259" s="54" t="n"/>
      <c r="B1259" s="61" t="n"/>
      <c r="C1259" s="61" t="n"/>
      <c r="D1259" s="61" t="n"/>
      <c r="E1259" s="61" t="n"/>
      <c r="F1259" s="55" t="n"/>
      <c r="G1259" s="56" t="n"/>
      <c r="H1259" s="55" t="n"/>
      <c r="I1259" s="62" t="n"/>
      <c r="J1259" s="58" t="n"/>
      <c r="K1259" s="63">
        <f>IF(tblMovement[[#This Row],[Source]]="","",IFERROR(INDEX(tblSources[Type],MATCH(tblMovement[[#This Row],[Source]],tblSources[Source],0)),"?"))</f>
        <v/>
      </c>
      <c r="L1259" s="63">
        <f>IF(tblMovement[[#This Row],[Destination]]="","",IFERROR(INDEX(tblDestinations[Type],MATCH(tblMovement[[#This Row],[Destination]],tblDestinations[Destination],0)),"?"))</f>
        <v/>
      </c>
      <c r="M1259" s="64">
        <f>IF(tblMovement[[#This Row],[Material]]="","",IF(LEFT(tblMovement[[#This Row],[Material]],3)="Ore",1,0))</f>
        <v/>
      </c>
      <c r="N1259" s="59">
        <f>IF(OR(tblMovement[[#This Row],[Tonnes_t]]="",tblMovement[[#This Row],[Grade_gpt]]=""),0,tblMovement[[#This Row],[Tonnes_t]]*tblMovement[[#This Row],[Grade_gpt]]/cfg_TroyOz)</f>
        <v/>
      </c>
      <c r="O1259" s="59">
        <f>IF(tblMovement[[#This Row],[Is_Ore]]=1,tblMovement[[#This Row],[Contained_oz]],0)</f>
        <v/>
      </c>
    </row>
    <row r="1260">
      <c r="A1260" s="54" t="n"/>
      <c r="B1260" s="61" t="n"/>
      <c r="C1260" s="61" t="n"/>
      <c r="D1260" s="61" t="n"/>
      <c r="E1260" s="61" t="n"/>
      <c r="F1260" s="55" t="n"/>
      <c r="G1260" s="56" t="n"/>
      <c r="H1260" s="55" t="n"/>
      <c r="I1260" s="62" t="n"/>
      <c r="J1260" s="58" t="n"/>
      <c r="K1260" s="63">
        <f>IF(tblMovement[[#This Row],[Source]]="","",IFERROR(INDEX(tblSources[Type],MATCH(tblMovement[[#This Row],[Source]],tblSources[Source],0)),"?"))</f>
        <v/>
      </c>
      <c r="L1260" s="63">
        <f>IF(tblMovement[[#This Row],[Destination]]="","",IFERROR(INDEX(tblDestinations[Type],MATCH(tblMovement[[#This Row],[Destination]],tblDestinations[Destination],0)),"?"))</f>
        <v/>
      </c>
      <c r="M1260" s="64">
        <f>IF(tblMovement[[#This Row],[Material]]="","",IF(LEFT(tblMovement[[#This Row],[Material]],3)="Ore",1,0))</f>
        <v/>
      </c>
      <c r="N1260" s="59">
        <f>IF(OR(tblMovement[[#This Row],[Tonnes_t]]="",tblMovement[[#This Row],[Grade_gpt]]=""),0,tblMovement[[#This Row],[Tonnes_t]]*tblMovement[[#This Row],[Grade_gpt]]/cfg_TroyOz)</f>
        <v/>
      </c>
      <c r="O1260" s="59">
        <f>IF(tblMovement[[#This Row],[Is_Ore]]=1,tblMovement[[#This Row],[Contained_oz]],0)</f>
        <v/>
      </c>
    </row>
    <row r="1261">
      <c r="A1261" s="54" t="n"/>
      <c r="B1261" s="61" t="n"/>
      <c r="C1261" s="61" t="n"/>
      <c r="D1261" s="61" t="n"/>
      <c r="E1261" s="61" t="n"/>
      <c r="F1261" s="55" t="n"/>
      <c r="G1261" s="56" t="n"/>
      <c r="H1261" s="55" t="n"/>
      <c r="I1261" s="62" t="n"/>
      <c r="J1261" s="58" t="n"/>
      <c r="K1261" s="63">
        <f>IF(tblMovement[[#This Row],[Source]]="","",IFERROR(INDEX(tblSources[Type],MATCH(tblMovement[[#This Row],[Source]],tblSources[Source],0)),"?"))</f>
        <v/>
      </c>
      <c r="L1261" s="63">
        <f>IF(tblMovement[[#This Row],[Destination]]="","",IFERROR(INDEX(tblDestinations[Type],MATCH(tblMovement[[#This Row],[Destination]],tblDestinations[Destination],0)),"?"))</f>
        <v/>
      </c>
      <c r="M1261" s="64">
        <f>IF(tblMovement[[#This Row],[Material]]="","",IF(LEFT(tblMovement[[#This Row],[Material]],3)="Ore",1,0))</f>
        <v/>
      </c>
      <c r="N1261" s="59">
        <f>IF(OR(tblMovement[[#This Row],[Tonnes_t]]="",tblMovement[[#This Row],[Grade_gpt]]=""),0,tblMovement[[#This Row],[Tonnes_t]]*tblMovement[[#This Row],[Grade_gpt]]/cfg_TroyOz)</f>
        <v/>
      </c>
      <c r="O1261" s="59">
        <f>IF(tblMovement[[#This Row],[Is_Ore]]=1,tblMovement[[#This Row],[Contained_oz]],0)</f>
        <v/>
      </c>
    </row>
    <row r="1262">
      <c r="A1262" s="54" t="n"/>
      <c r="B1262" s="61" t="n"/>
      <c r="C1262" s="61" t="n"/>
      <c r="D1262" s="61" t="n"/>
      <c r="E1262" s="61" t="n"/>
      <c r="F1262" s="55" t="n"/>
      <c r="G1262" s="56" t="n"/>
      <c r="H1262" s="55" t="n"/>
      <c r="I1262" s="62" t="n"/>
      <c r="J1262" s="58" t="n"/>
      <c r="K1262" s="63">
        <f>IF(tblMovement[[#This Row],[Source]]="","",IFERROR(INDEX(tblSources[Type],MATCH(tblMovement[[#This Row],[Source]],tblSources[Source],0)),"?"))</f>
        <v/>
      </c>
      <c r="L1262" s="63">
        <f>IF(tblMovement[[#This Row],[Destination]]="","",IFERROR(INDEX(tblDestinations[Type],MATCH(tblMovement[[#This Row],[Destination]],tblDestinations[Destination],0)),"?"))</f>
        <v/>
      </c>
      <c r="M1262" s="64">
        <f>IF(tblMovement[[#This Row],[Material]]="","",IF(LEFT(tblMovement[[#This Row],[Material]],3)="Ore",1,0))</f>
        <v/>
      </c>
      <c r="N1262" s="59">
        <f>IF(OR(tblMovement[[#This Row],[Tonnes_t]]="",tblMovement[[#This Row],[Grade_gpt]]=""),0,tblMovement[[#This Row],[Tonnes_t]]*tblMovement[[#This Row],[Grade_gpt]]/cfg_TroyOz)</f>
        <v/>
      </c>
      <c r="O1262" s="59">
        <f>IF(tblMovement[[#This Row],[Is_Ore]]=1,tblMovement[[#This Row],[Contained_oz]],0)</f>
        <v/>
      </c>
    </row>
    <row r="1263">
      <c r="A1263" s="54" t="n"/>
      <c r="B1263" s="61" t="n"/>
      <c r="C1263" s="61" t="n"/>
      <c r="D1263" s="61" t="n"/>
      <c r="E1263" s="61" t="n"/>
      <c r="F1263" s="55" t="n"/>
      <c r="G1263" s="56" t="n"/>
      <c r="H1263" s="55" t="n"/>
      <c r="I1263" s="62" t="n"/>
      <c r="J1263" s="58" t="n"/>
      <c r="K1263" s="63">
        <f>IF(tblMovement[[#This Row],[Source]]="","",IFERROR(INDEX(tblSources[Type],MATCH(tblMovement[[#This Row],[Source]],tblSources[Source],0)),"?"))</f>
        <v/>
      </c>
      <c r="L1263" s="63">
        <f>IF(tblMovement[[#This Row],[Destination]]="","",IFERROR(INDEX(tblDestinations[Type],MATCH(tblMovement[[#This Row],[Destination]],tblDestinations[Destination],0)),"?"))</f>
        <v/>
      </c>
      <c r="M1263" s="64">
        <f>IF(tblMovement[[#This Row],[Material]]="","",IF(LEFT(tblMovement[[#This Row],[Material]],3)="Ore",1,0))</f>
        <v/>
      </c>
      <c r="N1263" s="59">
        <f>IF(OR(tblMovement[[#This Row],[Tonnes_t]]="",tblMovement[[#This Row],[Grade_gpt]]=""),0,tblMovement[[#This Row],[Tonnes_t]]*tblMovement[[#This Row],[Grade_gpt]]/cfg_TroyOz)</f>
        <v/>
      </c>
      <c r="O1263" s="59">
        <f>IF(tblMovement[[#This Row],[Is_Ore]]=1,tblMovement[[#This Row],[Contained_oz]],0)</f>
        <v/>
      </c>
    </row>
    <row r="1264">
      <c r="A1264" s="54" t="n"/>
      <c r="B1264" s="61" t="n"/>
      <c r="C1264" s="61" t="n"/>
      <c r="D1264" s="61" t="n"/>
      <c r="E1264" s="61" t="n"/>
      <c r="F1264" s="55" t="n"/>
      <c r="G1264" s="56" t="n"/>
      <c r="H1264" s="55" t="n"/>
      <c r="I1264" s="62" t="n"/>
      <c r="J1264" s="58" t="n"/>
      <c r="K1264" s="63">
        <f>IF(tblMovement[[#This Row],[Source]]="","",IFERROR(INDEX(tblSources[Type],MATCH(tblMovement[[#This Row],[Source]],tblSources[Source],0)),"?"))</f>
        <v/>
      </c>
      <c r="L1264" s="63">
        <f>IF(tblMovement[[#This Row],[Destination]]="","",IFERROR(INDEX(tblDestinations[Type],MATCH(tblMovement[[#This Row],[Destination]],tblDestinations[Destination],0)),"?"))</f>
        <v/>
      </c>
      <c r="M1264" s="64">
        <f>IF(tblMovement[[#This Row],[Material]]="","",IF(LEFT(tblMovement[[#This Row],[Material]],3)="Ore",1,0))</f>
        <v/>
      </c>
      <c r="N1264" s="59">
        <f>IF(OR(tblMovement[[#This Row],[Tonnes_t]]="",tblMovement[[#This Row],[Grade_gpt]]=""),0,tblMovement[[#This Row],[Tonnes_t]]*tblMovement[[#This Row],[Grade_gpt]]/cfg_TroyOz)</f>
        <v/>
      </c>
      <c r="O1264" s="59">
        <f>IF(tblMovement[[#This Row],[Is_Ore]]=1,tblMovement[[#This Row],[Contained_oz]],0)</f>
        <v/>
      </c>
    </row>
    <row r="1265">
      <c r="A1265" s="54" t="n"/>
      <c r="B1265" s="61" t="n"/>
      <c r="C1265" s="61" t="n"/>
      <c r="D1265" s="61" t="n"/>
      <c r="E1265" s="61" t="n"/>
      <c r="F1265" s="55" t="n"/>
      <c r="G1265" s="56" t="n"/>
      <c r="H1265" s="55" t="n"/>
      <c r="I1265" s="62" t="n"/>
      <c r="J1265" s="58" t="n"/>
      <c r="K1265" s="63">
        <f>IF(tblMovement[[#This Row],[Source]]="","",IFERROR(INDEX(tblSources[Type],MATCH(tblMovement[[#This Row],[Source]],tblSources[Source],0)),"?"))</f>
        <v/>
      </c>
      <c r="L1265" s="63">
        <f>IF(tblMovement[[#This Row],[Destination]]="","",IFERROR(INDEX(tblDestinations[Type],MATCH(tblMovement[[#This Row],[Destination]],tblDestinations[Destination],0)),"?"))</f>
        <v/>
      </c>
      <c r="M1265" s="64">
        <f>IF(tblMovement[[#This Row],[Material]]="","",IF(LEFT(tblMovement[[#This Row],[Material]],3)="Ore",1,0))</f>
        <v/>
      </c>
      <c r="N1265" s="59">
        <f>IF(OR(tblMovement[[#This Row],[Tonnes_t]]="",tblMovement[[#This Row],[Grade_gpt]]=""),0,tblMovement[[#This Row],[Tonnes_t]]*tblMovement[[#This Row],[Grade_gpt]]/cfg_TroyOz)</f>
        <v/>
      </c>
      <c r="O1265" s="59">
        <f>IF(tblMovement[[#This Row],[Is_Ore]]=1,tblMovement[[#This Row],[Contained_oz]],0)</f>
        <v/>
      </c>
    </row>
    <row r="1266">
      <c r="A1266" s="54" t="n"/>
      <c r="B1266" s="61" t="n"/>
      <c r="C1266" s="61" t="n"/>
      <c r="D1266" s="61" t="n"/>
      <c r="E1266" s="61" t="n"/>
      <c r="F1266" s="55" t="n"/>
      <c r="G1266" s="56" t="n"/>
      <c r="H1266" s="55" t="n"/>
      <c r="I1266" s="62" t="n"/>
      <c r="J1266" s="58" t="n"/>
      <c r="K1266" s="63">
        <f>IF(tblMovement[[#This Row],[Source]]="","",IFERROR(INDEX(tblSources[Type],MATCH(tblMovement[[#This Row],[Source]],tblSources[Source],0)),"?"))</f>
        <v/>
      </c>
      <c r="L1266" s="63">
        <f>IF(tblMovement[[#This Row],[Destination]]="","",IFERROR(INDEX(tblDestinations[Type],MATCH(tblMovement[[#This Row],[Destination]],tblDestinations[Destination],0)),"?"))</f>
        <v/>
      </c>
      <c r="M1266" s="64">
        <f>IF(tblMovement[[#This Row],[Material]]="","",IF(LEFT(tblMovement[[#This Row],[Material]],3)="Ore",1,0))</f>
        <v/>
      </c>
      <c r="N1266" s="59">
        <f>IF(OR(tblMovement[[#This Row],[Tonnes_t]]="",tblMovement[[#This Row],[Grade_gpt]]=""),0,tblMovement[[#This Row],[Tonnes_t]]*tblMovement[[#This Row],[Grade_gpt]]/cfg_TroyOz)</f>
        <v/>
      </c>
      <c r="O1266" s="59">
        <f>IF(tblMovement[[#This Row],[Is_Ore]]=1,tblMovement[[#This Row],[Contained_oz]],0)</f>
        <v/>
      </c>
    </row>
    <row r="1267">
      <c r="A1267" s="54" t="n"/>
      <c r="B1267" s="61" t="n"/>
      <c r="C1267" s="61" t="n"/>
      <c r="D1267" s="61" t="n"/>
      <c r="E1267" s="61" t="n"/>
      <c r="F1267" s="55" t="n"/>
      <c r="G1267" s="56" t="n"/>
      <c r="H1267" s="55" t="n"/>
      <c r="I1267" s="62" t="n"/>
      <c r="J1267" s="58" t="n"/>
      <c r="K1267" s="63">
        <f>IF(tblMovement[[#This Row],[Source]]="","",IFERROR(INDEX(tblSources[Type],MATCH(tblMovement[[#This Row],[Source]],tblSources[Source],0)),"?"))</f>
        <v/>
      </c>
      <c r="L1267" s="63">
        <f>IF(tblMovement[[#This Row],[Destination]]="","",IFERROR(INDEX(tblDestinations[Type],MATCH(tblMovement[[#This Row],[Destination]],tblDestinations[Destination],0)),"?"))</f>
        <v/>
      </c>
      <c r="M1267" s="64">
        <f>IF(tblMovement[[#This Row],[Material]]="","",IF(LEFT(tblMovement[[#This Row],[Material]],3)="Ore",1,0))</f>
        <v/>
      </c>
      <c r="N1267" s="59">
        <f>IF(OR(tblMovement[[#This Row],[Tonnes_t]]="",tblMovement[[#This Row],[Grade_gpt]]=""),0,tblMovement[[#This Row],[Tonnes_t]]*tblMovement[[#This Row],[Grade_gpt]]/cfg_TroyOz)</f>
        <v/>
      </c>
      <c r="O1267" s="59">
        <f>IF(tblMovement[[#This Row],[Is_Ore]]=1,tblMovement[[#This Row],[Contained_oz]],0)</f>
        <v/>
      </c>
    </row>
    <row r="1268">
      <c r="A1268" s="54" t="n"/>
      <c r="B1268" s="61" t="n"/>
      <c r="C1268" s="61" t="n"/>
      <c r="D1268" s="61" t="n"/>
      <c r="E1268" s="61" t="n"/>
      <c r="F1268" s="55" t="n"/>
      <c r="G1268" s="56" t="n"/>
      <c r="H1268" s="55" t="n"/>
      <c r="I1268" s="62" t="n"/>
      <c r="J1268" s="58" t="n"/>
      <c r="K1268" s="63">
        <f>IF(tblMovement[[#This Row],[Source]]="","",IFERROR(INDEX(tblSources[Type],MATCH(tblMovement[[#This Row],[Source]],tblSources[Source],0)),"?"))</f>
        <v/>
      </c>
      <c r="L1268" s="63">
        <f>IF(tblMovement[[#This Row],[Destination]]="","",IFERROR(INDEX(tblDestinations[Type],MATCH(tblMovement[[#This Row],[Destination]],tblDestinations[Destination],0)),"?"))</f>
        <v/>
      </c>
      <c r="M1268" s="64">
        <f>IF(tblMovement[[#This Row],[Material]]="","",IF(LEFT(tblMovement[[#This Row],[Material]],3)="Ore",1,0))</f>
        <v/>
      </c>
      <c r="N1268" s="59">
        <f>IF(OR(tblMovement[[#This Row],[Tonnes_t]]="",tblMovement[[#This Row],[Grade_gpt]]=""),0,tblMovement[[#This Row],[Tonnes_t]]*tblMovement[[#This Row],[Grade_gpt]]/cfg_TroyOz)</f>
        <v/>
      </c>
      <c r="O1268" s="59">
        <f>IF(tblMovement[[#This Row],[Is_Ore]]=1,tblMovement[[#This Row],[Contained_oz]],0)</f>
        <v/>
      </c>
    </row>
    <row r="1269">
      <c r="A1269" s="54" t="n"/>
      <c r="B1269" s="61" t="n"/>
      <c r="C1269" s="61" t="n"/>
      <c r="D1269" s="61" t="n"/>
      <c r="E1269" s="61" t="n"/>
      <c r="F1269" s="55" t="n"/>
      <c r="G1269" s="56" t="n"/>
      <c r="H1269" s="55" t="n"/>
      <c r="I1269" s="62" t="n"/>
      <c r="J1269" s="58" t="n"/>
      <c r="K1269" s="63">
        <f>IF(tblMovement[[#This Row],[Source]]="","",IFERROR(INDEX(tblSources[Type],MATCH(tblMovement[[#This Row],[Source]],tblSources[Source],0)),"?"))</f>
        <v/>
      </c>
      <c r="L1269" s="63">
        <f>IF(tblMovement[[#This Row],[Destination]]="","",IFERROR(INDEX(tblDestinations[Type],MATCH(tblMovement[[#This Row],[Destination]],tblDestinations[Destination],0)),"?"))</f>
        <v/>
      </c>
      <c r="M1269" s="64">
        <f>IF(tblMovement[[#This Row],[Material]]="","",IF(LEFT(tblMovement[[#This Row],[Material]],3)="Ore",1,0))</f>
        <v/>
      </c>
      <c r="N1269" s="59">
        <f>IF(OR(tblMovement[[#This Row],[Tonnes_t]]="",tblMovement[[#This Row],[Grade_gpt]]=""),0,tblMovement[[#This Row],[Tonnes_t]]*tblMovement[[#This Row],[Grade_gpt]]/cfg_TroyOz)</f>
        <v/>
      </c>
      <c r="O1269" s="59">
        <f>IF(tblMovement[[#This Row],[Is_Ore]]=1,tblMovement[[#This Row],[Contained_oz]],0)</f>
        <v/>
      </c>
    </row>
    <row r="1270">
      <c r="A1270" s="54" t="n"/>
      <c r="B1270" s="61" t="n"/>
      <c r="C1270" s="61" t="n"/>
      <c r="D1270" s="61" t="n"/>
      <c r="E1270" s="61" t="n"/>
      <c r="F1270" s="55" t="n"/>
      <c r="G1270" s="56" t="n"/>
      <c r="H1270" s="55" t="n"/>
      <c r="I1270" s="62" t="n"/>
      <c r="J1270" s="58" t="n"/>
      <c r="K1270" s="63">
        <f>IF(tblMovement[[#This Row],[Source]]="","",IFERROR(INDEX(tblSources[Type],MATCH(tblMovement[[#This Row],[Source]],tblSources[Source],0)),"?"))</f>
        <v/>
      </c>
      <c r="L1270" s="63">
        <f>IF(tblMovement[[#This Row],[Destination]]="","",IFERROR(INDEX(tblDestinations[Type],MATCH(tblMovement[[#This Row],[Destination]],tblDestinations[Destination],0)),"?"))</f>
        <v/>
      </c>
      <c r="M1270" s="64">
        <f>IF(tblMovement[[#This Row],[Material]]="","",IF(LEFT(tblMovement[[#This Row],[Material]],3)="Ore",1,0))</f>
        <v/>
      </c>
      <c r="N1270" s="59">
        <f>IF(OR(tblMovement[[#This Row],[Tonnes_t]]="",tblMovement[[#This Row],[Grade_gpt]]=""),0,tblMovement[[#This Row],[Tonnes_t]]*tblMovement[[#This Row],[Grade_gpt]]/cfg_TroyOz)</f>
        <v/>
      </c>
      <c r="O1270" s="59">
        <f>IF(tblMovement[[#This Row],[Is_Ore]]=1,tblMovement[[#This Row],[Contained_oz]],0)</f>
        <v/>
      </c>
    </row>
    <row r="1271">
      <c r="A1271" s="54" t="n"/>
      <c r="B1271" s="61" t="n"/>
      <c r="C1271" s="61" t="n"/>
      <c r="D1271" s="61" t="n"/>
      <c r="E1271" s="61" t="n"/>
      <c r="F1271" s="55" t="n"/>
      <c r="G1271" s="56" t="n"/>
      <c r="H1271" s="55" t="n"/>
      <c r="I1271" s="62" t="n"/>
      <c r="J1271" s="58" t="n"/>
      <c r="K1271" s="63">
        <f>IF(tblMovement[[#This Row],[Source]]="","",IFERROR(INDEX(tblSources[Type],MATCH(tblMovement[[#This Row],[Source]],tblSources[Source],0)),"?"))</f>
        <v/>
      </c>
      <c r="L1271" s="63">
        <f>IF(tblMovement[[#This Row],[Destination]]="","",IFERROR(INDEX(tblDestinations[Type],MATCH(tblMovement[[#This Row],[Destination]],tblDestinations[Destination],0)),"?"))</f>
        <v/>
      </c>
      <c r="M1271" s="64">
        <f>IF(tblMovement[[#This Row],[Material]]="","",IF(LEFT(tblMovement[[#This Row],[Material]],3)="Ore",1,0))</f>
        <v/>
      </c>
      <c r="N1271" s="59">
        <f>IF(OR(tblMovement[[#This Row],[Tonnes_t]]="",tblMovement[[#This Row],[Grade_gpt]]=""),0,tblMovement[[#This Row],[Tonnes_t]]*tblMovement[[#This Row],[Grade_gpt]]/cfg_TroyOz)</f>
        <v/>
      </c>
      <c r="O1271" s="59">
        <f>IF(tblMovement[[#This Row],[Is_Ore]]=1,tblMovement[[#This Row],[Contained_oz]],0)</f>
        <v/>
      </c>
    </row>
    <row r="1272">
      <c r="A1272" s="54" t="n"/>
      <c r="B1272" s="61" t="n"/>
      <c r="C1272" s="61" t="n"/>
      <c r="D1272" s="61" t="n"/>
      <c r="E1272" s="61" t="n"/>
      <c r="F1272" s="55" t="n"/>
      <c r="G1272" s="56" t="n"/>
      <c r="H1272" s="55" t="n"/>
      <c r="I1272" s="62" t="n"/>
      <c r="J1272" s="58" t="n"/>
      <c r="K1272" s="63">
        <f>IF(tblMovement[[#This Row],[Source]]="","",IFERROR(INDEX(tblSources[Type],MATCH(tblMovement[[#This Row],[Source]],tblSources[Source],0)),"?"))</f>
        <v/>
      </c>
      <c r="L1272" s="63">
        <f>IF(tblMovement[[#This Row],[Destination]]="","",IFERROR(INDEX(tblDestinations[Type],MATCH(tblMovement[[#This Row],[Destination]],tblDestinations[Destination],0)),"?"))</f>
        <v/>
      </c>
      <c r="M1272" s="64">
        <f>IF(tblMovement[[#This Row],[Material]]="","",IF(LEFT(tblMovement[[#This Row],[Material]],3)="Ore",1,0))</f>
        <v/>
      </c>
      <c r="N1272" s="59">
        <f>IF(OR(tblMovement[[#This Row],[Tonnes_t]]="",tblMovement[[#This Row],[Grade_gpt]]=""),0,tblMovement[[#This Row],[Tonnes_t]]*tblMovement[[#This Row],[Grade_gpt]]/cfg_TroyOz)</f>
        <v/>
      </c>
      <c r="O1272" s="59">
        <f>IF(tblMovement[[#This Row],[Is_Ore]]=1,tblMovement[[#This Row],[Contained_oz]],0)</f>
        <v/>
      </c>
    </row>
    <row r="1273">
      <c r="A1273" s="54" t="n"/>
      <c r="B1273" s="61" t="n"/>
      <c r="C1273" s="61" t="n"/>
      <c r="D1273" s="61" t="n"/>
      <c r="E1273" s="61" t="n"/>
      <c r="F1273" s="55" t="n"/>
      <c r="G1273" s="56" t="n"/>
      <c r="H1273" s="55" t="n"/>
      <c r="I1273" s="62" t="n"/>
      <c r="J1273" s="58" t="n"/>
      <c r="K1273" s="63">
        <f>IF(tblMovement[[#This Row],[Source]]="","",IFERROR(INDEX(tblSources[Type],MATCH(tblMovement[[#This Row],[Source]],tblSources[Source],0)),"?"))</f>
        <v/>
      </c>
      <c r="L1273" s="63">
        <f>IF(tblMovement[[#This Row],[Destination]]="","",IFERROR(INDEX(tblDestinations[Type],MATCH(tblMovement[[#This Row],[Destination]],tblDestinations[Destination],0)),"?"))</f>
        <v/>
      </c>
      <c r="M1273" s="64">
        <f>IF(tblMovement[[#This Row],[Material]]="","",IF(LEFT(tblMovement[[#This Row],[Material]],3)="Ore",1,0))</f>
        <v/>
      </c>
      <c r="N1273" s="59">
        <f>IF(OR(tblMovement[[#This Row],[Tonnes_t]]="",tblMovement[[#This Row],[Grade_gpt]]=""),0,tblMovement[[#This Row],[Tonnes_t]]*tblMovement[[#This Row],[Grade_gpt]]/cfg_TroyOz)</f>
        <v/>
      </c>
      <c r="O1273" s="59">
        <f>IF(tblMovement[[#This Row],[Is_Ore]]=1,tblMovement[[#This Row],[Contained_oz]],0)</f>
        <v/>
      </c>
    </row>
    <row r="1274">
      <c r="A1274" s="54" t="n"/>
      <c r="B1274" s="61" t="n"/>
      <c r="C1274" s="61" t="n"/>
      <c r="D1274" s="61" t="n"/>
      <c r="E1274" s="61" t="n"/>
      <c r="F1274" s="55" t="n"/>
      <c r="G1274" s="56" t="n"/>
      <c r="H1274" s="55" t="n"/>
      <c r="I1274" s="62" t="n"/>
      <c r="J1274" s="58" t="n"/>
      <c r="K1274" s="63">
        <f>IF(tblMovement[[#This Row],[Source]]="","",IFERROR(INDEX(tblSources[Type],MATCH(tblMovement[[#This Row],[Source]],tblSources[Source],0)),"?"))</f>
        <v/>
      </c>
      <c r="L1274" s="63">
        <f>IF(tblMovement[[#This Row],[Destination]]="","",IFERROR(INDEX(tblDestinations[Type],MATCH(tblMovement[[#This Row],[Destination]],tblDestinations[Destination],0)),"?"))</f>
        <v/>
      </c>
      <c r="M1274" s="64">
        <f>IF(tblMovement[[#This Row],[Material]]="","",IF(LEFT(tblMovement[[#This Row],[Material]],3)="Ore",1,0))</f>
        <v/>
      </c>
      <c r="N1274" s="59">
        <f>IF(OR(tblMovement[[#This Row],[Tonnes_t]]="",tblMovement[[#This Row],[Grade_gpt]]=""),0,tblMovement[[#This Row],[Tonnes_t]]*tblMovement[[#This Row],[Grade_gpt]]/cfg_TroyOz)</f>
        <v/>
      </c>
      <c r="O1274" s="59">
        <f>IF(tblMovement[[#This Row],[Is_Ore]]=1,tblMovement[[#This Row],[Contained_oz]],0)</f>
        <v/>
      </c>
    </row>
    <row r="1275">
      <c r="A1275" s="54" t="n"/>
      <c r="B1275" s="61" t="n"/>
      <c r="C1275" s="61" t="n"/>
      <c r="D1275" s="61" t="n"/>
      <c r="E1275" s="61" t="n"/>
      <c r="F1275" s="55" t="n"/>
      <c r="G1275" s="56" t="n"/>
      <c r="H1275" s="55" t="n"/>
      <c r="I1275" s="62" t="n"/>
      <c r="J1275" s="58" t="n"/>
      <c r="K1275" s="63">
        <f>IF(tblMovement[[#This Row],[Source]]="","",IFERROR(INDEX(tblSources[Type],MATCH(tblMovement[[#This Row],[Source]],tblSources[Source],0)),"?"))</f>
        <v/>
      </c>
      <c r="L1275" s="63">
        <f>IF(tblMovement[[#This Row],[Destination]]="","",IFERROR(INDEX(tblDestinations[Type],MATCH(tblMovement[[#This Row],[Destination]],tblDestinations[Destination],0)),"?"))</f>
        <v/>
      </c>
      <c r="M1275" s="64">
        <f>IF(tblMovement[[#This Row],[Material]]="","",IF(LEFT(tblMovement[[#This Row],[Material]],3)="Ore",1,0))</f>
        <v/>
      </c>
      <c r="N1275" s="59">
        <f>IF(OR(tblMovement[[#This Row],[Tonnes_t]]="",tblMovement[[#This Row],[Grade_gpt]]=""),0,tblMovement[[#This Row],[Tonnes_t]]*tblMovement[[#This Row],[Grade_gpt]]/cfg_TroyOz)</f>
        <v/>
      </c>
      <c r="O1275" s="59">
        <f>IF(tblMovement[[#This Row],[Is_Ore]]=1,tblMovement[[#This Row],[Contained_oz]],0)</f>
        <v/>
      </c>
    </row>
    <row r="1276">
      <c r="A1276" s="54" t="n"/>
      <c r="B1276" s="61" t="n"/>
      <c r="C1276" s="61" t="n"/>
      <c r="D1276" s="61" t="n"/>
      <c r="E1276" s="61" t="n"/>
      <c r="F1276" s="55" t="n"/>
      <c r="G1276" s="56" t="n"/>
      <c r="H1276" s="55" t="n"/>
      <c r="I1276" s="62" t="n"/>
      <c r="J1276" s="58" t="n"/>
      <c r="K1276" s="63">
        <f>IF(tblMovement[[#This Row],[Source]]="","",IFERROR(INDEX(tblSources[Type],MATCH(tblMovement[[#This Row],[Source]],tblSources[Source],0)),"?"))</f>
        <v/>
      </c>
      <c r="L1276" s="63">
        <f>IF(tblMovement[[#This Row],[Destination]]="","",IFERROR(INDEX(tblDestinations[Type],MATCH(tblMovement[[#This Row],[Destination]],tblDestinations[Destination],0)),"?"))</f>
        <v/>
      </c>
      <c r="M1276" s="64">
        <f>IF(tblMovement[[#This Row],[Material]]="","",IF(LEFT(tblMovement[[#This Row],[Material]],3)="Ore",1,0))</f>
        <v/>
      </c>
      <c r="N1276" s="59">
        <f>IF(OR(tblMovement[[#This Row],[Tonnes_t]]="",tblMovement[[#This Row],[Grade_gpt]]=""),0,tblMovement[[#This Row],[Tonnes_t]]*tblMovement[[#This Row],[Grade_gpt]]/cfg_TroyOz)</f>
        <v/>
      </c>
      <c r="O1276" s="59">
        <f>IF(tblMovement[[#This Row],[Is_Ore]]=1,tblMovement[[#This Row],[Contained_oz]],0)</f>
        <v/>
      </c>
    </row>
    <row r="1277">
      <c r="A1277" s="54" t="n"/>
      <c r="B1277" s="61" t="n"/>
      <c r="C1277" s="61" t="n"/>
      <c r="D1277" s="61" t="n"/>
      <c r="E1277" s="61" t="n"/>
      <c r="F1277" s="55" t="n"/>
      <c r="G1277" s="56" t="n"/>
      <c r="H1277" s="55" t="n"/>
      <c r="I1277" s="62" t="n"/>
      <c r="J1277" s="58" t="n"/>
      <c r="K1277" s="63">
        <f>IF(tblMovement[[#This Row],[Source]]="","",IFERROR(INDEX(tblSources[Type],MATCH(tblMovement[[#This Row],[Source]],tblSources[Source],0)),"?"))</f>
        <v/>
      </c>
      <c r="L1277" s="63">
        <f>IF(tblMovement[[#This Row],[Destination]]="","",IFERROR(INDEX(tblDestinations[Type],MATCH(tblMovement[[#This Row],[Destination]],tblDestinations[Destination],0)),"?"))</f>
        <v/>
      </c>
      <c r="M1277" s="64">
        <f>IF(tblMovement[[#This Row],[Material]]="","",IF(LEFT(tblMovement[[#This Row],[Material]],3)="Ore",1,0))</f>
        <v/>
      </c>
      <c r="N1277" s="59">
        <f>IF(OR(tblMovement[[#This Row],[Tonnes_t]]="",tblMovement[[#This Row],[Grade_gpt]]=""),0,tblMovement[[#This Row],[Tonnes_t]]*tblMovement[[#This Row],[Grade_gpt]]/cfg_TroyOz)</f>
        <v/>
      </c>
      <c r="O1277" s="59">
        <f>IF(tblMovement[[#This Row],[Is_Ore]]=1,tblMovement[[#This Row],[Contained_oz]],0)</f>
        <v/>
      </c>
    </row>
    <row r="1278">
      <c r="A1278" s="54" t="n"/>
      <c r="B1278" s="61" t="n"/>
      <c r="C1278" s="61" t="n"/>
      <c r="D1278" s="61" t="n"/>
      <c r="E1278" s="61" t="n"/>
      <c r="F1278" s="55" t="n"/>
      <c r="G1278" s="56" t="n"/>
      <c r="H1278" s="55" t="n"/>
      <c r="I1278" s="62" t="n"/>
      <c r="J1278" s="58" t="n"/>
      <c r="K1278" s="63">
        <f>IF(tblMovement[[#This Row],[Source]]="","",IFERROR(INDEX(tblSources[Type],MATCH(tblMovement[[#This Row],[Source]],tblSources[Source],0)),"?"))</f>
        <v/>
      </c>
      <c r="L1278" s="63">
        <f>IF(tblMovement[[#This Row],[Destination]]="","",IFERROR(INDEX(tblDestinations[Type],MATCH(tblMovement[[#This Row],[Destination]],tblDestinations[Destination],0)),"?"))</f>
        <v/>
      </c>
      <c r="M1278" s="64">
        <f>IF(tblMovement[[#This Row],[Material]]="","",IF(LEFT(tblMovement[[#This Row],[Material]],3)="Ore",1,0))</f>
        <v/>
      </c>
      <c r="N1278" s="59">
        <f>IF(OR(tblMovement[[#This Row],[Tonnes_t]]="",tblMovement[[#This Row],[Grade_gpt]]=""),0,tblMovement[[#This Row],[Tonnes_t]]*tblMovement[[#This Row],[Grade_gpt]]/cfg_TroyOz)</f>
        <v/>
      </c>
      <c r="O1278" s="59">
        <f>IF(tblMovement[[#This Row],[Is_Ore]]=1,tblMovement[[#This Row],[Contained_oz]],0)</f>
        <v/>
      </c>
    </row>
    <row r="1279">
      <c r="A1279" s="54" t="n"/>
      <c r="B1279" s="61" t="n"/>
      <c r="C1279" s="61" t="n"/>
      <c r="D1279" s="61" t="n"/>
      <c r="E1279" s="61" t="n"/>
      <c r="F1279" s="55" t="n"/>
      <c r="G1279" s="56" t="n"/>
      <c r="H1279" s="55" t="n"/>
      <c r="I1279" s="62" t="n"/>
      <c r="J1279" s="58" t="n"/>
      <c r="K1279" s="63">
        <f>IF(tblMovement[[#This Row],[Source]]="","",IFERROR(INDEX(tblSources[Type],MATCH(tblMovement[[#This Row],[Source]],tblSources[Source],0)),"?"))</f>
        <v/>
      </c>
      <c r="L1279" s="63">
        <f>IF(tblMovement[[#This Row],[Destination]]="","",IFERROR(INDEX(tblDestinations[Type],MATCH(tblMovement[[#This Row],[Destination]],tblDestinations[Destination],0)),"?"))</f>
        <v/>
      </c>
      <c r="M1279" s="64">
        <f>IF(tblMovement[[#This Row],[Material]]="","",IF(LEFT(tblMovement[[#This Row],[Material]],3)="Ore",1,0))</f>
        <v/>
      </c>
      <c r="N1279" s="59">
        <f>IF(OR(tblMovement[[#This Row],[Tonnes_t]]="",tblMovement[[#This Row],[Grade_gpt]]=""),0,tblMovement[[#This Row],[Tonnes_t]]*tblMovement[[#This Row],[Grade_gpt]]/cfg_TroyOz)</f>
        <v/>
      </c>
      <c r="O1279" s="59">
        <f>IF(tblMovement[[#This Row],[Is_Ore]]=1,tblMovement[[#This Row],[Contained_oz]],0)</f>
        <v/>
      </c>
    </row>
    <row r="1280">
      <c r="A1280" s="54" t="n"/>
      <c r="B1280" s="61" t="n"/>
      <c r="C1280" s="61" t="n"/>
      <c r="D1280" s="61" t="n"/>
      <c r="E1280" s="61" t="n"/>
      <c r="F1280" s="55" t="n"/>
      <c r="G1280" s="56" t="n"/>
      <c r="H1280" s="55" t="n"/>
      <c r="I1280" s="62" t="n"/>
      <c r="J1280" s="58" t="n"/>
      <c r="K1280" s="63">
        <f>IF(tblMovement[[#This Row],[Source]]="","",IFERROR(INDEX(tblSources[Type],MATCH(tblMovement[[#This Row],[Source]],tblSources[Source],0)),"?"))</f>
        <v/>
      </c>
      <c r="L1280" s="63">
        <f>IF(tblMovement[[#This Row],[Destination]]="","",IFERROR(INDEX(tblDestinations[Type],MATCH(tblMovement[[#This Row],[Destination]],tblDestinations[Destination],0)),"?"))</f>
        <v/>
      </c>
      <c r="M1280" s="64">
        <f>IF(tblMovement[[#This Row],[Material]]="","",IF(LEFT(tblMovement[[#This Row],[Material]],3)="Ore",1,0))</f>
        <v/>
      </c>
      <c r="N1280" s="59">
        <f>IF(OR(tblMovement[[#This Row],[Tonnes_t]]="",tblMovement[[#This Row],[Grade_gpt]]=""),0,tblMovement[[#This Row],[Tonnes_t]]*tblMovement[[#This Row],[Grade_gpt]]/cfg_TroyOz)</f>
        <v/>
      </c>
      <c r="O1280" s="59">
        <f>IF(tblMovement[[#This Row],[Is_Ore]]=1,tblMovement[[#This Row],[Contained_oz]],0)</f>
        <v/>
      </c>
    </row>
    <row r="1281">
      <c r="A1281" s="54" t="n"/>
      <c r="B1281" s="61" t="n"/>
      <c r="C1281" s="61" t="n"/>
      <c r="D1281" s="61" t="n"/>
      <c r="E1281" s="61" t="n"/>
      <c r="F1281" s="55" t="n"/>
      <c r="G1281" s="56" t="n"/>
      <c r="H1281" s="55" t="n"/>
      <c r="I1281" s="62" t="n"/>
      <c r="J1281" s="58" t="n"/>
      <c r="K1281" s="63">
        <f>IF(tblMovement[[#This Row],[Source]]="","",IFERROR(INDEX(tblSources[Type],MATCH(tblMovement[[#This Row],[Source]],tblSources[Source],0)),"?"))</f>
        <v/>
      </c>
      <c r="L1281" s="63">
        <f>IF(tblMovement[[#This Row],[Destination]]="","",IFERROR(INDEX(tblDestinations[Type],MATCH(tblMovement[[#This Row],[Destination]],tblDestinations[Destination],0)),"?"))</f>
        <v/>
      </c>
      <c r="M1281" s="64">
        <f>IF(tblMovement[[#This Row],[Material]]="","",IF(LEFT(tblMovement[[#This Row],[Material]],3)="Ore",1,0))</f>
        <v/>
      </c>
      <c r="N1281" s="59">
        <f>IF(OR(tblMovement[[#This Row],[Tonnes_t]]="",tblMovement[[#This Row],[Grade_gpt]]=""),0,tblMovement[[#This Row],[Tonnes_t]]*tblMovement[[#This Row],[Grade_gpt]]/cfg_TroyOz)</f>
        <v/>
      </c>
      <c r="O1281" s="59">
        <f>IF(tblMovement[[#This Row],[Is_Ore]]=1,tblMovement[[#This Row],[Contained_oz]],0)</f>
        <v/>
      </c>
    </row>
    <row r="1282">
      <c r="A1282" s="54" t="n"/>
      <c r="B1282" s="61" t="n"/>
      <c r="C1282" s="61" t="n"/>
      <c r="D1282" s="61" t="n"/>
      <c r="E1282" s="61" t="n"/>
      <c r="F1282" s="55" t="n"/>
      <c r="G1282" s="56" t="n"/>
      <c r="H1282" s="55" t="n"/>
      <c r="I1282" s="62" t="n"/>
      <c r="J1282" s="58" t="n"/>
      <c r="K1282" s="63">
        <f>IF(tblMovement[[#This Row],[Source]]="","",IFERROR(INDEX(tblSources[Type],MATCH(tblMovement[[#This Row],[Source]],tblSources[Source],0)),"?"))</f>
        <v/>
      </c>
      <c r="L1282" s="63">
        <f>IF(tblMovement[[#This Row],[Destination]]="","",IFERROR(INDEX(tblDestinations[Type],MATCH(tblMovement[[#This Row],[Destination]],tblDestinations[Destination],0)),"?"))</f>
        <v/>
      </c>
      <c r="M1282" s="64">
        <f>IF(tblMovement[[#This Row],[Material]]="","",IF(LEFT(tblMovement[[#This Row],[Material]],3)="Ore",1,0))</f>
        <v/>
      </c>
      <c r="N1282" s="59">
        <f>IF(OR(tblMovement[[#This Row],[Tonnes_t]]="",tblMovement[[#This Row],[Grade_gpt]]=""),0,tblMovement[[#This Row],[Tonnes_t]]*tblMovement[[#This Row],[Grade_gpt]]/cfg_TroyOz)</f>
        <v/>
      </c>
      <c r="O1282" s="59">
        <f>IF(tblMovement[[#This Row],[Is_Ore]]=1,tblMovement[[#This Row],[Contained_oz]],0)</f>
        <v/>
      </c>
    </row>
    <row r="1283">
      <c r="A1283" s="54" t="n"/>
      <c r="B1283" s="61" t="n"/>
      <c r="C1283" s="61" t="n"/>
      <c r="D1283" s="61" t="n"/>
      <c r="E1283" s="61" t="n"/>
      <c r="F1283" s="55" t="n"/>
      <c r="G1283" s="56" t="n"/>
      <c r="H1283" s="55" t="n"/>
      <c r="I1283" s="62" t="n"/>
      <c r="J1283" s="58" t="n"/>
      <c r="K1283" s="63">
        <f>IF(tblMovement[[#This Row],[Source]]="","",IFERROR(INDEX(tblSources[Type],MATCH(tblMovement[[#This Row],[Source]],tblSources[Source],0)),"?"))</f>
        <v/>
      </c>
      <c r="L1283" s="63">
        <f>IF(tblMovement[[#This Row],[Destination]]="","",IFERROR(INDEX(tblDestinations[Type],MATCH(tblMovement[[#This Row],[Destination]],tblDestinations[Destination],0)),"?"))</f>
        <v/>
      </c>
      <c r="M1283" s="64">
        <f>IF(tblMovement[[#This Row],[Material]]="","",IF(LEFT(tblMovement[[#This Row],[Material]],3)="Ore",1,0))</f>
        <v/>
      </c>
      <c r="N1283" s="59">
        <f>IF(OR(tblMovement[[#This Row],[Tonnes_t]]="",tblMovement[[#This Row],[Grade_gpt]]=""),0,tblMovement[[#This Row],[Tonnes_t]]*tblMovement[[#This Row],[Grade_gpt]]/cfg_TroyOz)</f>
        <v/>
      </c>
      <c r="O1283" s="59">
        <f>IF(tblMovement[[#This Row],[Is_Ore]]=1,tblMovement[[#This Row],[Contained_oz]],0)</f>
        <v/>
      </c>
    </row>
    <row r="1284">
      <c r="A1284" s="54" t="n"/>
      <c r="B1284" s="61" t="n"/>
      <c r="C1284" s="61" t="n"/>
      <c r="D1284" s="61" t="n"/>
      <c r="E1284" s="61" t="n"/>
      <c r="F1284" s="55" t="n"/>
      <c r="G1284" s="56" t="n"/>
      <c r="H1284" s="55" t="n"/>
      <c r="I1284" s="62" t="n"/>
      <c r="J1284" s="58" t="n"/>
      <c r="K1284" s="63">
        <f>IF(tblMovement[[#This Row],[Source]]="","",IFERROR(INDEX(tblSources[Type],MATCH(tblMovement[[#This Row],[Source]],tblSources[Source],0)),"?"))</f>
        <v/>
      </c>
      <c r="L1284" s="63">
        <f>IF(tblMovement[[#This Row],[Destination]]="","",IFERROR(INDEX(tblDestinations[Type],MATCH(tblMovement[[#This Row],[Destination]],tblDestinations[Destination],0)),"?"))</f>
        <v/>
      </c>
      <c r="M1284" s="64">
        <f>IF(tblMovement[[#This Row],[Material]]="","",IF(LEFT(tblMovement[[#This Row],[Material]],3)="Ore",1,0))</f>
        <v/>
      </c>
      <c r="N1284" s="59">
        <f>IF(OR(tblMovement[[#This Row],[Tonnes_t]]="",tblMovement[[#This Row],[Grade_gpt]]=""),0,tblMovement[[#This Row],[Tonnes_t]]*tblMovement[[#This Row],[Grade_gpt]]/cfg_TroyOz)</f>
        <v/>
      </c>
      <c r="O1284" s="59">
        <f>IF(tblMovement[[#This Row],[Is_Ore]]=1,tblMovement[[#This Row],[Contained_oz]],0)</f>
        <v/>
      </c>
    </row>
    <row r="1285">
      <c r="A1285" s="54" t="n"/>
      <c r="B1285" s="61" t="n"/>
      <c r="C1285" s="61" t="n"/>
      <c r="D1285" s="61" t="n"/>
      <c r="E1285" s="61" t="n"/>
      <c r="F1285" s="55" t="n"/>
      <c r="G1285" s="56" t="n"/>
      <c r="H1285" s="55" t="n"/>
      <c r="I1285" s="62" t="n"/>
      <c r="J1285" s="58" t="n"/>
      <c r="K1285" s="63">
        <f>IF(tblMovement[[#This Row],[Source]]="","",IFERROR(INDEX(tblSources[Type],MATCH(tblMovement[[#This Row],[Source]],tblSources[Source],0)),"?"))</f>
        <v/>
      </c>
      <c r="L1285" s="63">
        <f>IF(tblMovement[[#This Row],[Destination]]="","",IFERROR(INDEX(tblDestinations[Type],MATCH(tblMovement[[#This Row],[Destination]],tblDestinations[Destination],0)),"?"))</f>
        <v/>
      </c>
      <c r="M1285" s="64">
        <f>IF(tblMovement[[#This Row],[Material]]="","",IF(LEFT(tblMovement[[#This Row],[Material]],3)="Ore",1,0))</f>
        <v/>
      </c>
      <c r="N1285" s="59">
        <f>IF(OR(tblMovement[[#This Row],[Tonnes_t]]="",tblMovement[[#This Row],[Grade_gpt]]=""),0,tblMovement[[#This Row],[Tonnes_t]]*tblMovement[[#This Row],[Grade_gpt]]/cfg_TroyOz)</f>
        <v/>
      </c>
      <c r="O1285" s="59">
        <f>IF(tblMovement[[#This Row],[Is_Ore]]=1,tblMovement[[#This Row],[Contained_oz]],0)</f>
        <v/>
      </c>
    </row>
    <row r="1286">
      <c r="A1286" s="54" t="n"/>
      <c r="B1286" s="61" t="n"/>
      <c r="C1286" s="61" t="n"/>
      <c r="D1286" s="61" t="n"/>
      <c r="E1286" s="61" t="n"/>
      <c r="F1286" s="55" t="n"/>
      <c r="G1286" s="56" t="n"/>
      <c r="H1286" s="55" t="n"/>
      <c r="I1286" s="62" t="n"/>
      <c r="J1286" s="58" t="n"/>
      <c r="K1286" s="63">
        <f>IF(tblMovement[[#This Row],[Source]]="","",IFERROR(INDEX(tblSources[Type],MATCH(tblMovement[[#This Row],[Source]],tblSources[Source],0)),"?"))</f>
        <v/>
      </c>
      <c r="L1286" s="63">
        <f>IF(tblMovement[[#This Row],[Destination]]="","",IFERROR(INDEX(tblDestinations[Type],MATCH(tblMovement[[#This Row],[Destination]],tblDestinations[Destination],0)),"?"))</f>
        <v/>
      </c>
      <c r="M1286" s="64">
        <f>IF(tblMovement[[#This Row],[Material]]="","",IF(LEFT(tblMovement[[#This Row],[Material]],3)="Ore",1,0))</f>
        <v/>
      </c>
      <c r="N1286" s="59">
        <f>IF(OR(tblMovement[[#This Row],[Tonnes_t]]="",tblMovement[[#This Row],[Grade_gpt]]=""),0,tblMovement[[#This Row],[Tonnes_t]]*tblMovement[[#This Row],[Grade_gpt]]/cfg_TroyOz)</f>
        <v/>
      </c>
      <c r="O1286" s="59">
        <f>IF(tblMovement[[#This Row],[Is_Ore]]=1,tblMovement[[#This Row],[Contained_oz]],0)</f>
        <v/>
      </c>
    </row>
    <row r="1287">
      <c r="A1287" s="54" t="n"/>
      <c r="B1287" s="61" t="n"/>
      <c r="C1287" s="61" t="n"/>
      <c r="D1287" s="61" t="n"/>
      <c r="E1287" s="61" t="n"/>
      <c r="F1287" s="55" t="n"/>
      <c r="G1287" s="56" t="n"/>
      <c r="H1287" s="55" t="n"/>
      <c r="I1287" s="62" t="n"/>
      <c r="J1287" s="58" t="n"/>
      <c r="K1287" s="63">
        <f>IF(tblMovement[[#This Row],[Source]]="","",IFERROR(INDEX(tblSources[Type],MATCH(tblMovement[[#This Row],[Source]],tblSources[Source],0)),"?"))</f>
        <v/>
      </c>
      <c r="L1287" s="63">
        <f>IF(tblMovement[[#This Row],[Destination]]="","",IFERROR(INDEX(tblDestinations[Type],MATCH(tblMovement[[#This Row],[Destination]],tblDestinations[Destination],0)),"?"))</f>
        <v/>
      </c>
      <c r="M1287" s="64">
        <f>IF(tblMovement[[#This Row],[Material]]="","",IF(LEFT(tblMovement[[#This Row],[Material]],3)="Ore",1,0))</f>
        <v/>
      </c>
      <c r="N1287" s="59">
        <f>IF(OR(tblMovement[[#This Row],[Tonnes_t]]="",tblMovement[[#This Row],[Grade_gpt]]=""),0,tblMovement[[#This Row],[Tonnes_t]]*tblMovement[[#This Row],[Grade_gpt]]/cfg_TroyOz)</f>
        <v/>
      </c>
      <c r="O1287" s="59">
        <f>IF(tblMovement[[#This Row],[Is_Ore]]=1,tblMovement[[#This Row],[Contained_oz]],0)</f>
        <v/>
      </c>
    </row>
    <row r="1288">
      <c r="A1288" s="54" t="n"/>
      <c r="B1288" s="61" t="n"/>
      <c r="C1288" s="61" t="n"/>
      <c r="D1288" s="61" t="n"/>
      <c r="E1288" s="61" t="n"/>
      <c r="F1288" s="55" t="n"/>
      <c r="G1288" s="56" t="n"/>
      <c r="H1288" s="55" t="n"/>
      <c r="I1288" s="62" t="n"/>
      <c r="J1288" s="58" t="n"/>
      <c r="K1288" s="63">
        <f>IF(tblMovement[[#This Row],[Source]]="","",IFERROR(INDEX(tblSources[Type],MATCH(tblMovement[[#This Row],[Source]],tblSources[Source],0)),"?"))</f>
        <v/>
      </c>
      <c r="L1288" s="63">
        <f>IF(tblMovement[[#This Row],[Destination]]="","",IFERROR(INDEX(tblDestinations[Type],MATCH(tblMovement[[#This Row],[Destination]],tblDestinations[Destination],0)),"?"))</f>
        <v/>
      </c>
      <c r="M1288" s="64">
        <f>IF(tblMovement[[#This Row],[Material]]="","",IF(LEFT(tblMovement[[#This Row],[Material]],3)="Ore",1,0))</f>
        <v/>
      </c>
      <c r="N1288" s="59">
        <f>IF(OR(tblMovement[[#This Row],[Tonnes_t]]="",tblMovement[[#This Row],[Grade_gpt]]=""),0,tblMovement[[#This Row],[Tonnes_t]]*tblMovement[[#This Row],[Grade_gpt]]/cfg_TroyOz)</f>
        <v/>
      </c>
      <c r="O1288" s="59">
        <f>IF(tblMovement[[#This Row],[Is_Ore]]=1,tblMovement[[#This Row],[Contained_oz]],0)</f>
        <v/>
      </c>
    </row>
    <row r="1289">
      <c r="A1289" s="54" t="n"/>
      <c r="B1289" s="61" t="n"/>
      <c r="C1289" s="61" t="n"/>
      <c r="D1289" s="61" t="n"/>
      <c r="E1289" s="61" t="n"/>
      <c r="F1289" s="55" t="n"/>
      <c r="G1289" s="56" t="n"/>
      <c r="H1289" s="55" t="n"/>
      <c r="I1289" s="62" t="n"/>
      <c r="J1289" s="58" t="n"/>
      <c r="K1289" s="63">
        <f>IF(tblMovement[[#This Row],[Source]]="","",IFERROR(INDEX(tblSources[Type],MATCH(tblMovement[[#This Row],[Source]],tblSources[Source],0)),"?"))</f>
        <v/>
      </c>
      <c r="L1289" s="63">
        <f>IF(tblMovement[[#This Row],[Destination]]="","",IFERROR(INDEX(tblDestinations[Type],MATCH(tblMovement[[#This Row],[Destination]],tblDestinations[Destination],0)),"?"))</f>
        <v/>
      </c>
      <c r="M1289" s="64">
        <f>IF(tblMovement[[#This Row],[Material]]="","",IF(LEFT(tblMovement[[#This Row],[Material]],3)="Ore",1,0))</f>
        <v/>
      </c>
      <c r="N1289" s="59">
        <f>IF(OR(tblMovement[[#This Row],[Tonnes_t]]="",tblMovement[[#This Row],[Grade_gpt]]=""),0,tblMovement[[#This Row],[Tonnes_t]]*tblMovement[[#This Row],[Grade_gpt]]/cfg_TroyOz)</f>
        <v/>
      </c>
      <c r="O1289" s="59">
        <f>IF(tblMovement[[#This Row],[Is_Ore]]=1,tblMovement[[#This Row],[Contained_oz]],0)</f>
        <v/>
      </c>
    </row>
    <row r="1290">
      <c r="A1290" s="54" t="n"/>
      <c r="B1290" s="61" t="n"/>
      <c r="C1290" s="61" t="n"/>
      <c r="D1290" s="61" t="n"/>
      <c r="E1290" s="61" t="n"/>
      <c r="F1290" s="55" t="n"/>
      <c r="G1290" s="56" t="n"/>
      <c r="H1290" s="55" t="n"/>
      <c r="I1290" s="62" t="n"/>
      <c r="J1290" s="58" t="n"/>
      <c r="K1290" s="63">
        <f>IF(tblMovement[[#This Row],[Source]]="","",IFERROR(INDEX(tblSources[Type],MATCH(tblMovement[[#This Row],[Source]],tblSources[Source],0)),"?"))</f>
        <v/>
      </c>
      <c r="L1290" s="63">
        <f>IF(tblMovement[[#This Row],[Destination]]="","",IFERROR(INDEX(tblDestinations[Type],MATCH(tblMovement[[#This Row],[Destination]],tblDestinations[Destination],0)),"?"))</f>
        <v/>
      </c>
      <c r="M1290" s="64">
        <f>IF(tblMovement[[#This Row],[Material]]="","",IF(LEFT(tblMovement[[#This Row],[Material]],3)="Ore",1,0))</f>
        <v/>
      </c>
      <c r="N1290" s="59">
        <f>IF(OR(tblMovement[[#This Row],[Tonnes_t]]="",tblMovement[[#This Row],[Grade_gpt]]=""),0,tblMovement[[#This Row],[Tonnes_t]]*tblMovement[[#This Row],[Grade_gpt]]/cfg_TroyOz)</f>
        <v/>
      </c>
      <c r="O1290" s="59">
        <f>IF(tblMovement[[#This Row],[Is_Ore]]=1,tblMovement[[#This Row],[Contained_oz]],0)</f>
        <v/>
      </c>
    </row>
    <row r="1291">
      <c r="A1291" s="54" t="n"/>
      <c r="B1291" s="61" t="n"/>
      <c r="C1291" s="61" t="n"/>
      <c r="D1291" s="61" t="n"/>
      <c r="E1291" s="61" t="n"/>
      <c r="F1291" s="55" t="n"/>
      <c r="G1291" s="56" t="n"/>
      <c r="H1291" s="55" t="n"/>
      <c r="I1291" s="62" t="n"/>
      <c r="J1291" s="58" t="n"/>
      <c r="K1291" s="63">
        <f>IF(tblMovement[[#This Row],[Source]]="","",IFERROR(INDEX(tblSources[Type],MATCH(tblMovement[[#This Row],[Source]],tblSources[Source],0)),"?"))</f>
        <v/>
      </c>
      <c r="L1291" s="63">
        <f>IF(tblMovement[[#This Row],[Destination]]="","",IFERROR(INDEX(tblDestinations[Type],MATCH(tblMovement[[#This Row],[Destination]],tblDestinations[Destination],0)),"?"))</f>
        <v/>
      </c>
      <c r="M1291" s="64">
        <f>IF(tblMovement[[#This Row],[Material]]="","",IF(LEFT(tblMovement[[#This Row],[Material]],3)="Ore",1,0))</f>
        <v/>
      </c>
      <c r="N1291" s="59">
        <f>IF(OR(tblMovement[[#This Row],[Tonnes_t]]="",tblMovement[[#This Row],[Grade_gpt]]=""),0,tblMovement[[#This Row],[Tonnes_t]]*tblMovement[[#This Row],[Grade_gpt]]/cfg_TroyOz)</f>
        <v/>
      </c>
      <c r="O1291" s="59">
        <f>IF(tblMovement[[#This Row],[Is_Ore]]=1,tblMovement[[#This Row],[Contained_oz]],0)</f>
        <v/>
      </c>
    </row>
    <row r="1292">
      <c r="A1292" s="54" t="n"/>
      <c r="B1292" s="61" t="n"/>
      <c r="C1292" s="61" t="n"/>
      <c r="D1292" s="61" t="n"/>
      <c r="E1292" s="61" t="n"/>
      <c r="F1292" s="55" t="n"/>
      <c r="G1292" s="56" t="n"/>
      <c r="H1292" s="55" t="n"/>
      <c r="I1292" s="62" t="n"/>
      <c r="J1292" s="58" t="n"/>
      <c r="K1292" s="63">
        <f>IF(tblMovement[[#This Row],[Source]]="","",IFERROR(INDEX(tblSources[Type],MATCH(tblMovement[[#This Row],[Source]],tblSources[Source],0)),"?"))</f>
        <v/>
      </c>
      <c r="L1292" s="63">
        <f>IF(tblMovement[[#This Row],[Destination]]="","",IFERROR(INDEX(tblDestinations[Type],MATCH(tblMovement[[#This Row],[Destination]],tblDestinations[Destination],0)),"?"))</f>
        <v/>
      </c>
      <c r="M1292" s="64">
        <f>IF(tblMovement[[#This Row],[Material]]="","",IF(LEFT(tblMovement[[#This Row],[Material]],3)="Ore",1,0))</f>
        <v/>
      </c>
      <c r="N1292" s="59">
        <f>IF(OR(tblMovement[[#This Row],[Tonnes_t]]="",tblMovement[[#This Row],[Grade_gpt]]=""),0,tblMovement[[#This Row],[Tonnes_t]]*tblMovement[[#This Row],[Grade_gpt]]/cfg_TroyOz)</f>
        <v/>
      </c>
      <c r="O1292" s="59">
        <f>IF(tblMovement[[#This Row],[Is_Ore]]=1,tblMovement[[#This Row],[Contained_oz]],0)</f>
        <v/>
      </c>
    </row>
    <row r="1293">
      <c r="A1293" s="54" t="n"/>
      <c r="B1293" s="61" t="n"/>
      <c r="C1293" s="61" t="n"/>
      <c r="D1293" s="61" t="n"/>
      <c r="E1293" s="61" t="n"/>
      <c r="F1293" s="55" t="n"/>
      <c r="G1293" s="56" t="n"/>
      <c r="H1293" s="55" t="n"/>
      <c r="I1293" s="62" t="n"/>
      <c r="J1293" s="58" t="n"/>
      <c r="K1293" s="63">
        <f>IF(tblMovement[[#This Row],[Source]]="","",IFERROR(INDEX(tblSources[Type],MATCH(tblMovement[[#This Row],[Source]],tblSources[Source],0)),"?"))</f>
        <v/>
      </c>
      <c r="L1293" s="63">
        <f>IF(tblMovement[[#This Row],[Destination]]="","",IFERROR(INDEX(tblDestinations[Type],MATCH(tblMovement[[#This Row],[Destination]],tblDestinations[Destination],0)),"?"))</f>
        <v/>
      </c>
      <c r="M1293" s="64">
        <f>IF(tblMovement[[#This Row],[Material]]="","",IF(LEFT(tblMovement[[#This Row],[Material]],3)="Ore",1,0))</f>
        <v/>
      </c>
      <c r="N1293" s="59">
        <f>IF(OR(tblMovement[[#This Row],[Tonnes_t]]="",tblMovement[[#This Row],[Grade_gpt]]=""),0,tblMovement[[#This Row],[Tonnes_t]]*tblMovement[[#This Row],[Grade_gpt]]/cfg_TroyOz)</f>
        <v/>
      </c>
      <c r="O1293" s="59">
        <f>IF(tblMovement[[#This Row],[Is_Ore]]=1,tblMovement[[#This Row],[Contained_oz]],0)</f>
        <v/>
      </c>
    </row>
    <row r="1294">
      <c r="A1294" s="54" t="n"/>
      <c r="B1294" s="61" t="n"/>
      <c r="C1294" s="61" t="n"/>
      <c r="D1294" s="61" t="n"/>
      <c r="E1294" s="61" t="n"/>
      <c r="F1294" s="55" t="n"/>
      <c r="G1294" s="56" t="n"/>
      <c r="H1294" s="55" t="n"/>
      <c r="I1294" s="62" t="n"/>
      <c r="J1294" s="58" t="n"/>
      <c r="K1294" s="63">
        <f>IF(tblMovement[[#This Row],[Source]]="","",IFERROR(INDEX(tblSources[Type],MATCH(tblMovement[[#This Row],[Source]],tblSources[Source],0)),"?"))</f>
        <v/>
      </c>
      <c r="L1294" s="63">
        <f>IF(tblMovement[[#This Row],[Destination]]="","",IFERROR(INDEX(tblDestinations[Type],MATCH(tblMovement[[#This Row],[Destination]],tblDestinations[Destination],0)),"?"))</f>
        <v/>
      </c>
      <c r="M1294" s="64">
        <f>IF(tblMovement[[#This Row],[Material]]="","",IF(LEFT(tblMovement[[#This Row],[Material]],3)="Ore",1,0))</f>
        <v/>
      </c>
      <c r="N1294" s="59">
        <f>IF(OR(tblMovement[[#This Row],[Tonnes_t]]="",tblMovement[[#This Row],[Grade_gpt]]=""),0,tblMovement[[#This Row],[Tonnes_t]]*tblMovement[[#This Row],[Grade_gpt]]/cfg_TroyOz)</f>
        <v/>
      </c>
      <c r="O1294" s="59">
        <f>IF(tblMovement[[#This Row],[Is_Ore]]=1,tblMovement[[#This Row],[Contained_oz]],0)</f>
        <v/>
      </c>
    </row>
    <row r="1295">
      <c r="A1295" s="54" t="n"/>
      <c r="B1295" s="61" t="n"/>
      <c r="C1295" s="61" t="n"/>
      <c r="D1295" s="61" t="n"/>
      <c r="E1295" s="61" t="n"/>
      <c r="F1295" s="55" t="n"/>
      <c r="G1295" s="56" t="n"/>
      <c r="H1295" s="55" t="n"/>
      <c r="I1295" s="62" t="n"/>
      <c r="J1295" s="58" t="n"/>
      <c r="K1295" s="63">
        <f>IF(tblMovement[[#This Row],[Source]]="","",IFERROR(INDEX(tblSources[Type],MATCH(tblMovement[[#This Row],[Source]],tblSources[Source],0)),"?"))</f>
        <v/>
      </c>
      <c r="L1295" s="63">
        <f>IF(tblMovement[[#This Row],[Destination]]="","",IFERROR(INDEX(tblDestinations[Type],MATCH(tblMovement[[#This Row],[Destination]],tblDestinations[Destination],0)),"?"))</f>
        <v/>
      </c>
      <c r="M1295" s="64">
        <f>IF(tblMovement[[#This Row],[Material]]="","",IF(LEFT(tblMovement[[#This Row],[Material]],3)="Ore",1,0))</f>
        <v/>
      </c>
      <c r="N1295" s="59">
        <f>IF(OR(tblMovement[[#This Row],[Tonnes_t]]="",tblMovement[[#This Row],[Grade_gpt]]=""),0,tblMovement[[#This Row],[Tonnes_t]]*tblMovement[[#This Row],[Grade_gpt]]/cfg_TroyOz)</f>
        <v/>
      </c>
      <c r="O1295" s="59">
        <f>IF(tblMovement[[#This Row],[Is_Ore]]=1,tblMovement[[#This Row],[Contained_oz]],0)</f>
        <v/>
      </c>
    </row>
    <row r="1296">
      <c r="A1296" s="54" t="n"/>
      <c r="B1296" s="61" t="n"/>
      <c r="C1296" s="61" t="n"/>
      <c r="D1296" s="61" t="n"/>
      <c r="E1296" s="61" t="n"/>
      <c r="F1296" s="55" t="n"/>
      <c r="G1296" s="56" t="n"/>
      <c r="H1296" s="55" t="n"/>
      <c r="I1296" s="62" t="n"/>
      <c r="J1296" s="58" t="n"/>
      <c r="K1296" s="63">
        <f>IF(tblMovement[[#This Row],[Source]]="","",IFERROR(INDEX(tblSources[Type],MATCH(tblMovement[[#This Row],[Source]],tblSources[Source],0)),"?"))</f>
        <v/>
      </c>
      <c r="L1296" s="63">
        <f>IF(tblMovement[[#This Row],[Destination]]="","",IFERROR(INDEX(tblDestinations[Type],MATCH(tblMovement[[#This Row],[Destination]],tblDestinations[Destination],0)),"?"))</f>
        <v/>
      </c>
      <c r="M1296" s="64">
        <f>IF(tblMovement[[#This Row],[Material]]="","",IF(LEFT(tblMovement[[#This Row],[Material]],3)="Ore",1,0))</f>
        <v/>
      </c>
      <c r="N1296" s="59">
        <f>IF(OR(tblMovement[[#This Row],[Tonnes_t]]="",tblMovement[[#This Row],[Grade_gpt]]=""),0,tblMovement[[#This Row],[Tonnes_t]]*tblMovement[[#This Row],[Grade_gpt]]/cfg_TroyOz)</f>
        <v/>
      </c>
      <c r="O1296" s="59">
        <f>IF(tblMovement[[#This Row],[Is_Ore]]=1,tblMovement[[#This Row],[Contained_oz]],0)</f>
        <v/>
      </c>
    </row>
    <row r="1297">
      <c r="A1297" s="54" t="n"/>
      <c r="B1297" s="61" t="n"/>
      <c r="C1297" s="61" t="n"/>
      <c r="D1297" s="61" t="n"/>
      <c r="E1297" s="61" t="n"/>
      <c r="F1297" s="55" t="n"/>
      <c r="G1297" s="56" t="n"/>
      <c r="H1297" s="55" t="n"/>
      <c r="I1297" s="62" t="n"/>
      <c r="J1297" s="58" t="n"/>
      <c r="K1297" s="63">
        <f>IF(tblMovement[[#This Row],[Source]]="","",IFERROR(INDEX(tblSources[Type],MATCH(tblMovement[[#This Row],[Source]],tblSources[Source],0)),"?"))</f>
        <v/>
      </c>
      <c r="L1297" s="63">
        <f>IF(tblMovement[[#This Row],[Destination]]="","",IFERROR(INDEX(tblDestinations[Type],MATCH(tblMovement[[#This Row],[Destination]],tblDestinations[Destination],0)),"?"))</f>
        <v/>
      </c>
      <c r="M1297" s="64">
        <f>IF(tblMovement[[#This Row],[Material]]="","",IF(LEFT(tblMovement[[#This Row],[Material]],3)="Ore",1,0))</f>
        <v/>
      </c>
      <c r="N1297" s="59">
        <f>IF(OR(tblMovement[[#This Row],[Tonnes_t]]="",tblMovement[[#This Row],[Grade_gpt]]=""),0,tblMovement[[#This Row],[Tonnes_t]]*tblMovement[[#This Row],[Grade_gpt]]/cfg_TroyOz)</f>
        <v/>
      </c>
      <c r="O1297" s="59">
        <f>IF(tblMovement[[#This Row],[Is_Ore]]=1,tblMovement[[#This Row],[Contained_oz]],0)</f>
        <v/>
      </c>
    </row>
    <row r="1298">
      <c r="A1298" s="54" t="n"/>
      <c r="B1298" s="61" t="n"/>
      <c r="C1298" s="61" t="n"/>
      <c r="D1298" s="61" t="n"/>
      <c r="E1298" s="61" t="n"/>
      <c r="F1298" s="55" t="n"/>
      <c r="G1298" s="56" t="n"/>
      <c r="H1298" s="55" t="n"/>
      <c r="I1298" s="62" t="n"/>
      <c r="J1298" s="58" t="n"/>
      <c r="K1298" s="63">
        <f>IF(tblMovement[[#This Row],[Source]]="","",IFERROR(INDEX(tblSources[Type],MATCH(tblMovement[[#This Row],[Source]],tblSources[Source],0)),"?"))</f>
        <v/>
      </c>
      <c r="L1298" s="63">
        <f>IF(tblMovement[[#This Row],[Destination]]="","",IFERROR(INDEX(tblDestinations[Type],MATCH(tblMovement[[#This Row],[Destination]],tblDestinations[Destination],0)),"?"))</f>
        <v/>
      </c>
      <c r="M1298" s="64">
        <f>IF(tblMovement[[#This Row],[Material]]="","",IF(LEFT(tblMovement[[#This Row],[Material]],3)="Ore",1,0))</f>
        <v/>
      </c>
      <c r="N1298" s="59">
        <f>IF(OR(tblMovement[[#This Row],[Tonnes_t]]="",tblMovement[[#This Row],[Grade_gpt]]=""),0,tblMovement[[#This Row],[Tonnes_t]]*tblMovement[[#This Row],[Grade_gpt]]/cfg_TroyOz)</f>
        <v/>
      </c>
      <c r="O1298" s="59">
        <f>IF(tblMovement[[#This Row],[Is_Ore]]=1,tblMovement[[#This Row],[Contained_oz]],0)</f>
        <v/>
      </c>
    </row>
    <row r="1299">
      <c r="A1299" s="54" t="n"/>
      <c r="B1299" s="61" t="n"/>
      <c r="C1299" s="61" t="n"/>
      <c r="D1299" s="61" t="n"/>
      <c r="E1299" s="61" t="n"/>
      <c r="F1299" s="55" t="n"/>
      <c r="G1299" s="56" t="n"/>
      <c r="H1299" s="55" t="n"/>
      <c r="I1299" s="62" t="n"/>
      <c r="J1299" s="58" t="n"/>
      <c r="K1299" s="63">
        <f>IF(tblMovement[[#This Row],[Source]]="","",IFERROR(INDEX(tblSources[Type],MATCH(tblMovement[[#This Row],[Source]],tblSources[Source],0)),"?"))</f>
        <v/>
      </c>
      <c r="L1299" s="63">
        <f>IF(tblMovement[[#This Row],[Destination]]="","",IFERROR(INDEX(tblDestinations[Type],MATCH(tblMovement[[#This Row],[Destination]],tblDestinations[Destination],0)),"?"))</f>
        <v/>
      </c>
      <c r="M1299" s="64">
        <f>IF(tblMovement[[#This Row],[Material]]="","",IF(LEFT(tblMovement[[#This Row],[Material]],3)="Ore",1,0))</f>
        <v/>
      </c>
      <c r="N1299" s="59">
        <f>IF(OR(tblMovement[[#This Row],[Tonnes_t]]="",tblMovement[[#This Row],[Grade_gpt]]=""),0,tblMovement[[#This Row],[Tonnes_t]]*tblMovement[[#This Row],[Grade_gpt]]/cfg_TroyOz)</f>
        <v/>
      </c>
      <c r="O1299" s="59">
        <f>IF(tblMovement[[#This Row],[Is_Ore]]=1,tblMovement[[#This Row],[Contained_oz]],0)</f>
        <v/>
      </c>
    </row>
    <row r="1300">
      <c r="A1300" s="54" t="n"/>
      <c r="B1300" s="61" t="n"/>
      <c r="C1300" s="61" t="n"/>
      <c r="D1300" s="61" t="n"/>
      <c r="E1300" s="61" t="n"/>
      <c r="F1300" s="55" t="n"/>
      <c r="G1300" s="56" t="n"/>
      <c r="H1300" s="55" t="n"/>
      <c r="I1300" s="62" t="n"/>
      <c r="J1300" s="58" t="n"/>
      <c r="K1300" s="63">
        <f>IF(tblMovement[[#This Row],[Source]]="","",IFERROR(INDEX(tblSources[Type],MATCH(tblMovement[[#This Row],[Source]],tblSources[Source],0)),"?"))</f>
        <v/>
      </c>
      <c r="L1300" s="63">
        <f>IF(tblMovement[[#This Row],[Destination]]="","",IFERROR(INDEX(tblDestinations[Type],MATCH(tblMovement[[#This Row],[Destination]],tblDestinations[Destination],0)),"?"))</f>
        <v/>
      </c>
      <c r="M1300" s="64">
        <f>IF(tblMovement[[#This Row],[Material]]="","",IF(LEFT(tblMovement[[#This Row],[Material]],3)="Ore",1,0))</f>
        <v/>
      </c>
      <c r="N1300" s="59">
        <f>IF(OR(tblMovement[[#This Row],[Tonnes_t]]="",tblMovement[[#This Row],[Grade_gpt]]=""),0,tblMovement[[#This Row],[Tonnes_t]]*tblMovement[[#This Row],[Grade_gpt]]/cfg_TroyOz)</f>
        <v/>
      </c>
      <c r="O1300" s="59">
        <f>IF(tblMovement[[#This Row],[Is_Ore]]=1,tblMovement[[#This Row],[Contained_oz]],0)</f>
        <v/>
      </c>
    </row>
    <row r="1301">
      <c r="A1301" s="54" t="n"/>
      <c r="B1301" s="61" t="n"/>
      <c r="C1301" s="61" t="n"/>
      <c r="D1301" s="61" t="n"/>
      <c r="E1301" s="61" t="n"/>
      <c r="F1301" s="55" t="n"/>
      <c r="G1301" s="56" t="n"/>
      <c r="H1301" s="55" t="n"/>
      <c r="I1301" s="62" t="n"/>
      <c r="J1301" s="58" t="n"/>
      <c r="K1301" s="63">
        <f>IF(tblMovement[[#This Row],[Source]]="","",IFERROR(INDEX(tblSources[Type],MATCH(tblMovement[[#This Row],[Source]],tblSources[Source],0)),"?"))</f>
        <v/>
      </c>
      <c r="L1301" s="63">
        <f>IF(tblMovement[[#This Row],[Destination]]="","",IFERROR(INDEX(tblDestinations[Type],MATCH(tblMovement[[#This Row],[Destination]],tblDestinations[Destination],0)),"?"))</f>
        <v/>
      </c>
      <c r="M1301" s="64">
        <f>IF(tblMovement[[#This Row],[Material]]="","",IF(LEFT(tblMovement[[#This Row],[Material]],3)="Ore",1,0))</f>
        <v/>
      </c>
      <c r="N1301" s="59">
        <f>IF(OR(tblMovement[[#This Row],[Tonnes_t]]="",tblMovement[[#This Row],[Grade_gpt]]=""),0,tblMovement[[#This Row],[Tonnes_t]]*tblMovement[[#This Row],[Grade_gpt]]/cfg_TroyOz)</f>
        <v/>
      </c>
      <c r="O1301" s="59">
        <f>IF(tblMovement[[#This Row],[Is_Ore]]=1,tblMovement[[#This Row],[Contained_oz]],0)</f>
        <v/>
      </c>
    </row>
    <row r="1302">
      <c r="A1302" s="54" t="n"/>
      <c r="B1302" s="61" t="n"/>
      <c r="C1302" s="61" t="n"/>
      <c r="D1302" s="61" t="n"/>
      <c r="E1302" s="61" t="n"/>
      <c r="F1302" s="55" t="n"/>
      <c r="G1302" s="56" t="n"/>
      <c r="H1302" s="55" t="n"/>
      <c r="I1302" s="62" t="n"/>
      <c r="J1302" s="58" t="n"/>
      <c r="K1302" s="63">
        <f>IF(tblMovement[[#This Row],[Source]]="","",IFERROR(INDEX(tblSources[Type],MATCH(tblMovement[[#This Row],[Source]],tblSources[Source],0)),"?"))</f>
        <v/>
      </c>
      <c r="L1302" s="63">
        <f>IF(tblMovement[[#This Row],[Destination]]="","",IFERROR(INDEX(tblDestinations[Type],MATCH(tblMovement[[#This Row],[Destination]],tblDestinations[Destination],0)),"?"))</f>
        <v/>
      </c>
      <c r="M1302" s="64">
        <f>IF(tblMovement[[#This Row],[Material]]="","",IF(LEFT(tblMovement[[#This Row],[Material]],3)="Ore",1,0))</f>
        <v/>
      </c>
      <c r="N1302" s="59">
        <f>IF(OR(tblMovement[[#This Row],[Tonnes_t]]="",tblMovement[[#This Row],[Grade_gpt]]=""),0,tblMovement[[#This Row],[Tonnes_t]]*tblMovement[[#This Row],[Grade_gpt]]/cfg_TroyOz)</f>
        <v/>
      </c>
      <c r="O1302" s="59">
        <f>IF(tblMovement[[#This Row],[Is_Ore]]=1,tblMovement[[#This Row],[Contained_oz]],0)</f>
        <v/>
      </c>
    </row>
    <row r="1303">
      <c r="A1303" s="54" t="n"/>
      <c r="B1303" s="61" t="n"/>
      <c r="C1303" s="61" t="n"/>
      <c r="D1303" s="61" t="n"/>
      <c r="E1303" s="61" t="n"/>
      <c r="F1303" s="55" t="n"/>
      <c r="G1303" s="56" t="n"/>
      <c r="H1303" s="55" t="n"/>
      <c r="I1303" s="62" t="n"/>
      <c r="J1303" s="58" t="n"/>
      <c r="K1303" s="63">
        <f>IF(tblMovement[[#This Row],[Source]]="","",IFERROR(INDEX(tblSources[Type],MATCH(tblMovement[[#This Row],[Source]],tblSources[Source],0)),"?"))</f>
        <v/>
      </c>
      <c r="L1303" s="63">
        <f>IF(tblMovement[[#This Row],[Destination]]="","",IFERROR(INDEX(tblDestinations[Type],MATCH(tblMovement[[#This Row],[Destination]],tblDestinations[Destination],0)),"?"))</f>
        <v/>
      </c>
      <c r="M1303" s="64">
        <f>IF(tblMovement[[#This Row],[Material]]="","",IF(LEFT(tblMovement[[#This Row],[Material]],3)="Ore",1,0))</f>
        <v/>
      </c>
      <c r="N1303" s="59">
        <f>IF(OR(tblMovement[[#This Row],[Tonnes_t]]="",tblMovement[[#This Row],[Grade_gpt]]=""),0,tblMovement[[#This Row],[Tonnes_t]]*tblMovement[[#This Row],[Grade_gpt]]/cfg_TroyOz)</f>
        <v/>
      </c>
      <c r="O1303" s="59">
        <f>IF(tblMovement[[#This Row],[Is_Ore]]=1,tblMovement[[#This Row],[Contained_oz]],0)</f>
        <v/>
      </c>
    </row>
    <row r="1304">
      <c r="A1304" s="54" t="n"/>
      <c r="B1304" s="61" t="n"/>
      <c r="C1304" s="61" t="n"/>
      <c r="D1304" s="61" t="n"/>
      <c r="E1304" s="61" t="n"/>
      <c r="F1304" s="55" t="n"/>
      <c r="G1304" s="56" t="n"/>
      <c r="H1304" s="55" t="n"/>
      <c r="I1304" s="62" t="n"/>
      <c r="J1304" s="58" t="n"/>
      <c r="K1304" s="63">
        <f>IF(tblMovement[[#This Row],[Source]]="","",IFERROR(INDEX(tblSources[Type],MATCH(tblMovement[[#This Row],[Source]],tblSources[Source],0)),"?"))</f>
        <v/>
      </c>
      <c r="L1304" s="63">
        <f>IF(tblMovement[[#This Row],[Destination]]="","",IFERROR(INDEX(tblDestinations[Type],MATCH(tblMovement[[#This Row],[Destination]],tblDestinations[Destination],0)),"?"))</f>
        <v/>
      </c>
      <c r="M1304" s="64">
        <f>IF(tblMovement[[#This Row],[Material]]="","",IF(LEFT(tblMovement[[#This Row],[Material]],3)="Ore",1,0))</f>
        <v/>
      </c>
      <c r="N1304" s="59">
        <f>IF(OR(tblMovement[[#This Row],[Tonnes_t]]="",tblMovement[[#This Row],[Grade_gpt]]=""),0,tblMovement[[#This Row],[Tonnes_t]]*tblMovement[[#This Row],[Grade_gpt]]/cfg_TroyOz)</f>
        <v/>
      </c>
      <c r="O1304" s="59">
        <f>IF(tblMovement[[#This Row],[Is_Ore]]=1,tblMovement[[#This Row],[Contained_oz]],0)</f>
        <v/>
      </c>
    </row>
    <row r="1305">
      <c r="A1305" s="54" t="n"/>
      <c r="B1305" s="61" t="n"/>
      <c r="C1305" s="61" t="n"/>
      <c r="D1305" s="61" t="n"/>
      <c r="E1305" s="61" t="n"/>
      <c r="F1305" s="55" t="n"/>
      <c r="G1305" s="56" t="n"/>
      <c r="H1305" s="55" t="n"/>
      <c r="I1305" s="62" t="n"/>
      <c r="J1305" s="58" t="n"/>
      <c r="K1305" s="63">
        <f>IF(tblMovement[[#This Row],[Source]]="","",IFERROR(INDEX(tblSources[Type],MATCH(tblMovement[[#This Row],[Source]],tblSources[Source],0)),"?"))</f>
        <v/>
      </c>
      <c r="L1305" s="63">
        <f>IF(tblMovement[[#This Row],[Destination]]="","",IFERROR(INDEX(tblDestinations[Type],MATCH(tblMovement[[#This Row],[Destination]],tblDestinations[Destination],0)),"?"))</f>
        <v/>
      </c>
      <c r="M1305" s="64">
        <f>IF(tblMovement[[#This Row],[Material]]="","",IF(LEFT(tblMovement[[#This Row],[Material]],3)="Ore",1,0))</f>
        <v/>
      </c>
      <c r="N1305" s="59">
        <f>IF(OR(tblMovement[[#This Row],[Tonnes_t]]="",tblMovement[[#This Row],[Grade_gpt]]=""),0,tblMovement[[#This Row],[Tonnes_t]]*tblMovement[[#This Row],[Grade_gpt]]/cfg_TroyOz)</f>
        <v/>
      </c>
      <c r="O1305" s="59">
        <f>IF(tblMovement[[#This Row],[Is_Ore]]=1,tblMovement[[#This Row],[Contained_oz]],0)</f>
        <v/>
      </c>
    </row>
    <row r="1306">
      <c r="A1306" s="54" t="n"/>
      <c r="B1306" s="61" t="n"/>
      <c r="C1306" s="61" t="n"/>
      <c r="D1306" s="61" t="n"/>
      <c r="E1306" s="61" t="n"/>
      <c r="F1306" s="55" t="n"/>
      <c r="G1306" s="56" t="n"/>
      <c r="H1306" s="55" t="n"/>
      <c r="I1306" s="62" t="n"/>
      <c r="J1306" s="58" t="n"/>
      <c r="K1306" s="63">
        <f>IF(tblMovement[[#This Row],[Source]]="","",IFERROR(INDEX(tblSources[Type],MATCH(tblMovement[[#This Row],[Source]],tblSources[Source],0)),"?"))</f>
        <v/>
      </c>
      <c r="L1306" s="63">
        <f>IF(tblMovement[[#This Row],[Destination]]="","",IFERROR(INDEX(tblDestinations[Type],MATCH(tblMovement[[#This Row],[Destination]],tblDestinations[Destination],0)),"?"))</f>
        <v/>
      </c>
      <c r="M1306" s="64">
        <f>IF(tblMovement[[#This Row],[Material]]="","",IF(LEFT(tblMovement[[#This Row],[Material]],3)="Ore",1,0))</f>
        <v/>
      </c>
      <c r="N1306" s="59">
        <f>IF(OR(tblMovement[[#This Row],[Tonnes_t]]="",tblMovement[[#This Row],[Grade_gpt]]=""),0,tblMovement[[#This Row],[Tonnes_t]]*tblMovement[[#This Row],[Grade_gpt]]/cfg_TroyOz)</f>
        <v/>
      </c>
      <c r="O1306" s="59">
        <f>IF(tblMovement[[#This Row],[Is_Ore]]=1,tblMovement[[#This Row],[Contained_oz]],0)</f>
        <v/>
      </c>
    </row>
    <row r="1307">
      <c r="A1307" s="54" t="n"/>
      <c r="B1307" s="61" t="n"/>
      <c r="C1307" s="61" t="n"/>
      <c r="D1307" s="61" t="n"/>
      <c r="E1307" s="61" t="n"/>
      <c r="F1307" s="55" t="n"/>
      <c r="G1307" s="56" t="n"/>
      <c r="H1307" s="55" t="n"/>
      <c r="I1307" s="62" t="n"/>
      <c r="J1307" s="58" t="n"/>
      <c r="K1307" s="63">
        <f>IF(tblMovement[[#This Row],[Source]]="","",IFERROR(INDEX(tblSources[Type],MATCH(tblMovement[[#This Row],[Source]],tblSources[Source],0)),"?"))</f>
        <v/>
      </c>
      <c r="L1307" s="63">
        <f>IF(tblMovement[[#This Row],[Destination]]="","",IFERROR(INDEX(tblDestinations[Type],MATCH(tblMovement[[#This Row],[Destination]],tblDestinations[Destination],0)),"?"))</f>
        <v/>
      </c>
      <c r="M1307" s="64">
        <f>IF(tblMovement[[#This Row],[Material]]="","",IF(LEFT(tblMovement[[#This Row],[Material]],3)="Ore",1,0))</f>
        <v/>
      </c>
      <c r="N1307" s="59">
        <f>IF(OR(tblMovement[[#This Row],[Tonnes_t]]="",tblMovement[[#This Row],[Grade_gpt]]=""),0,tblMovement[[#This Row],[Tonnes_t]]*tblMovement[[#This Row],[Grade_gpt]]/cfg_TroyOz)</f>
        <v/>
      </c>
      <c r="O1307" s="59">
        <f>IF(tblMovement[[#This Row],[Is_Ore]]=1,tblMovement[[#This Row],[Contained_oz]],0)</f>
        <v/>
      </c>
    </row>
    <row r="1308">
      <c r="A1308" s="54" t="n"/>
      <c r="B1308" s="61" t="n"/>
      <c r="C1308" s="61" t="n"/>
      <c r="D1308" s="61" t="n"/>
      <c r="E1308" s="61" t="n"/>
      <c r="F1308" s="55" t="n"/>
      <c r="G1308" s="56" t="n"/>
      <c r="H1308" s="55" t="n"/>
      <c r="I1308" s="62" t="n"/>
      <c r="J1308" s="58" t="n"/>
      <c r="K1308" s="63">
        <f>IF(tblMovement[[#This Row],[Source]]="","",IFERROR(INDEX(tblSources[Type],MATCH(tblMovement[[#This Row],[Source]],tblSources[Source],0)),"?"))</f>
        <v/>
      </c>
      <c r="L1308" s="63">
        <f>IF(tblMovement[[#This Row],[Destination]]="","",IFERROR(INDEX(tblDestinations[Type],MATCH(tblMovement[[#This Row],[Destination]],tblDestinations[Destination],0)),"?"))</f>
        <v/>
      </c>
      <c r="M1308" s="64">
        <f>IF(tblMovement[[#This Row],[Material]]="","",IF(LEFT(tblMovement[[#This Row],[Material]],3)="Ore",1,0))</f>
        <v/>
      </c>
      <c r="N1308" s="59">
        <f>IF(OR(tblMovement[[#This Row],[Tonnes_t]]="",tblMovement[[#This Row],[Grade_gpt]]=""),0,tblMovement[[#This Row],[Tonnes_t]]*tblMovement[[#This Row],[Grade_gpt]]/cfg_TroyOz)</f>
        <v/>
      </c>
      <c r="O1308" s="59">
        <f>IF(tblMovement[[#This Row],[Is_Ore]]=1,tblMovement[[#This Row],[Contained_oz]],0)</f>
        <v/>
      </c>
    </row>
    <row r="1309">
      <c r="A1309" s="54" t="n"/>
      <c r="B1309" s="61" t="n"/>
      <c r="C1309" s="61" t="n"/>
      <c r="D1309" s="61" t="n"/>
      <c r="E1309" s="61" t="n"/>
      <c r="F1309" s="55" t="n"/>
      <c r="G1309" s="56" t="n"/>
      <c r="H1309" s="55" t="n"/>
      <c r="I1309" s="62" t="n"/>
      <c r="J1309" s="58" t="n"/>
      <c r="K1309" s="63">
        <f>IF(tblMovement[[#This Row],[Source]]="","",IFERROR(INDEX(tblSources[Type],MATCH(tblMovement[[#This Row],[Source]],tblSources[Source],0)),"?"))</f>
        <v/>
      </c>
      <c r="L1309" s="63">
        <f>IF(tblMovement[[#This Row],[Destination]]="","",IFERROR(INDEX(tblDestinations[Type],MATCH(tblMovement[[#This Row],[Destination]],tblDestinations[Destination],0)),"?"))</f>
        <v/>
      </c>
      <c r="M1309" s="64">
        <f>IF(tblMovement[[#This Row],[Material]]="","",IF(LEFT(tblMovement[[#This Row],[Material]],3)="Ore",1,0))</f>
        <v/>
      </c>
      <c r="N1309" s="59">
        <f>IF(OR(tblMovement[[#This Row],[Tonnes_t]]="",tblMovement[[#This Row],[Grade_gpt]]=""),0,tblMovement[[#This Row],[Tonnes_t]]*tblMovement[[#This Row],[Grade_gpt]]/cfg_TroyOz)</f>
        <v/>
      </c>
      <c r="O1309" s="59">
        <f>IF(tblMovement[[#This Row],[Is_Ore]]=1,tblMovement[[#This Row],[Contained_oz]],0)</f>
        <v/>
      </c>
    </row>
    <row r="1310">
      <c r="A1310" s="54" t="n"/>
      <c r="B1310" s="61" t="n"/>
      <c r="C1310" s="61" t="n"/>
      <c r="D1310" s="61" t="n"/>
      <c r="E1310" s="61" t="n"/>
      <c r="F1310" s="55" t="n"/>
      <c r="G1310" s="56" t="n"/>
      <c r="H1310" s="55" t="n"/>
      <c r="I1310" s="62" t="n"/>
      <c r="J1310" s="58" t="n"/>
      <c r="K1310" s="63">
        <f>IF(tblMovement[[#This Row],[Source]]="","",IFERROR(INDEX(tblSources[Type],MATCH(tblMovement[[#This Row],[Source]],tblSources[Source],0)),"?"))</f>
        <v/>
      </c>
      <c r="L1310" s="63">
        <f>IF(tblMovement[[#This Row],[Destination]]="","",IFERROR(INDEX(tblDestinations[Type],MATCH(tblMovement[[#This Row],[Destination]],tblDestinations[Destination],0)),"?"))</f>
        <v/>
      </c>
      <c r="M1310" s="64">
        <f>IF(tblMovement[[#This Row],[Material]]="","",IF(LEFT(tblMovement[[#This Row],[Material]],3)="Ore",1,0))</f>
        <v/>
      </c>
      <c r="N1310" s="59">
        <f>IF(OR(tblMovement[[#This Row],[Tonnes_t]]="",tblMovement[[#This Row],[Grade_gpt]]=""),0,tblMovement[[#This Row],[Tonnes_t]]*tblMovement[[#This Row],[Grade_gpt]]/cfg_TroyOz)</f>
        <v/>
      </c>
      <c r="O1310" s="59">
        <f>IF(tblMovement[[#This Row],[Is_Ore]]=1,tblMovement[[#This Row],[Contained_oz]],0)</f>
        <v/>
      </c>
    </row>
    <row r="1311">
      <c r="A1311" s="54" t="n"/>
      <c r="B1311" s="61" t="n"/>
      <c r="C1311" s="61" t="n"/>
      <c r="D1311" s="61" t="n"/>
      <c r="E1311" s="61" t="n"/>
      <c r="F1311" s="55" t="n"/>
      <c r="G1311" s="56" t="n"/>
      <c r="H1311" s="55" t="n"/>
      <c r="I1311" s="62" t="n"/>
      <c r="J1311" s="58" t="n"/>
      <c r="K1311" s="63">
        <f>IF(tblMovement[[#This Row],[Source]]="","",IFERROR(INDEX(tblSources[Type],MATCH(tblMovement[[#This Row],[Source]],tblSources[Source],0)),"?"))</f>
        <v/>
      </c>
      <c r="L1311" s="63">
        <f>IF(tblMovement[[#This Row],[Destination]]="","",IFERROR(INDEX(tblDestinations[Type],MATCH(tblMovement[[#This Row],[Destination]],tblDestinations[Destination],0)),"?"))</f>
        <v/>
      </c>
      <c r="M1311" s="64">
        <f>IF(tblMovement[[#This Row],[Material]]="","",IF(LEFT(tblMovement[[#This Row],[Material]],3)="Ore",1,0))</f>
        <v/>
      </c>
      <c r="N1311" s="59">
        <f>IF(OR(tblMovement[[#This Row],[Tonnes_t]]="",tblMovement[[#This Row],[Grade_gpt]]=""),0,tblMovement[[#This Row],[Tonnes_t]]*tblMovement[[#This Row],[Grade_gpt]]/cfg_TroyOz)</f>
        <v/>
      </c>
      <c r="O1311" s="59">
        <f>IF(tblMovement[[#This Row],[Is_Ore]]=1,tblMovement[[#This Row],[Contained_oz]],0)</f>
        <v/>
      </c>
    </row>
    <row r="1312">
      <c r="A1312" s="54" t="n"/>
      <c r="B1312" s="61" t="n"/>
      <c r="C1312" s="61" t="n"/>
      <c r="D1312" s="61" t="n"/>
      <c r="E1312" s="61" t="n"/>
      <c r="F1312" s="55" t="n"/>
      <c r="G1312" s="56" t="n"/>
      <c r="H1312" s="55" t="n"/>
      <c r="I1312" s="62" t="n"/>
      <c r="J1312" s="58" t="n"/>
      <c r="K1312" s="63">
        <f>IF(tblMovement[[#This Row],[Source]]="","",IFERROR(INDEX(tblSources[Type],MATCH(tblMovement[[#This Row],[Source]],tblSources[Source],0)),"?"))</f>
        <v/>
      </c>
      <c r="L1312" s="63">
        <f>IF(tblMovement[[#This Row],[Destination]]="","",IFERROR(INDEX(tblDestinations[Type],MATCH(tblMovement[[#This Row],[Destination]],tblDestinations[Destination],0)),"?"))</f>
        <v/>
      </c>
      <c r="M1312" s="64">
        <f>IF(tblMovement[[#This Row],[Material]]="","",IF(LEFT(tblMovement[[#This Row],[Material]],3)="Ore",1,0))</f>
        <v/>
      </c>
      <c r="N1312" s="59">
        <f>IF(OR(tblMovement[[#This Row],[Tonnes_t]]="",tblMovement[[#This Row],[Grade_gpt]]=""),0,tblMovement[[#This Row],[Tonnes_t]]*tblMovement[[#This Row],[Grade_gpt]]/cfg_TroyOz)</f>
        <v/>
      </c>
      <c r="O1312" s="59">
        <f>IF(tblMovement[[#This Row],[Is_Ore]]=1,tblMovement[[#This Row],[Contained_oz]],0)</f>
        <v/>
      </c>
    </row>
    <row r="1313">
      <c r="A1313" s="54" t="n"/>
      <c r="B1313" s="61" t="n"/>
      <c r="C1313" s="61" t="n"/>
      <c r="D1313" s="61" t="n"/>
      <c r="E1313" s="61" t="n"/>
      <c r="F1313" s="55" t="n"/>
      <c r="G1313" s="56" t="n"/>
      <c r="H1313" s="55" t="n"/>
      <c r="I1313" s="62" t="n"/>
      <c r="J1313" s="58" t="n"/>
      <c r="K1313" s="63">
        <f>IF(tblMovement[[#This Row],[Source]]="","",IFERROR(INDEX(tblSources[Type],MATCH(tblMovement[[#This Row],[Source]],tblSources[Source],0)),"?"))</f>
        <v/>
      </c>
      <c r="L1313" s="63">
        <f>IF(tblMovement[[#This Row],[Destination]]="","",IFERROR(INDEX(tblDestinations[Type],MATCH(tblMovement[[#This Row],[Destination]],tblDestinations[Destination],0)),"?"))</f>
        <v/>
      </c>
      <c r="M1313" s="64">
        <f>IF(tblMovement[[#This Row],[Material]]="","",IF(LEFT(tblMovement[[#This Row],[Material]],3)="Ore",1,0))</f>
        <v/>
      </c>
      <c r="N1313" s="59">
        <f>IF(OR(tblMovement[[#This Row],[Tonnes_t]]="",tblMovement[[#This Row],[Grade_gpt]]=""),0,tblMovement[[#This Row],[Tonnes_t]]*tblMovement[[#This Row],[Grade_gpt]]/cfg_TroyOz)</f>
        <v/>
      </c>
      <c r="O1313" s="59">
        <f>IF(tblMovement[[#This Row],[Is_Ore]]=1,tblMovement[[#This Row],[Contained_oz]],0)</f>
        <v/>
      </c>
    </row>
    <row r="1314">
      <c r="A1314" s="54" t="n"/>
      <c r="B1314" s="61" t="n"/>
      <c r="C1314" s="61" t="n"/>
      <c r="D1314" s="61" t="n"/>
      <c r="E1314" s="61" t="n"/>
      <c r="F1314" s="55" t="n"/>
      <c r="G1314" s="56" t="n"/>
      <c r="H1314" s="55" t="n"/>
      <c r="I1314" s="62" t="n"/>
      <c r="J1314" s="58" t="n"/>
      <c r="K1314" s="63">
        <f>IF(tblMovement[[#This Row],[Source]]="","",IFERROR(INDEX(tblSources[Type],MATCH(tblMovement[[#This Row],[Source]],tblSources[Source],0)),"?"))</f>
        <v/>
      </c>
      <c r="L1314" s="63">
        <f>IF(tblMovement[[#This Row],[Destination]]="","",IFERROR(INDEX(tblDestinations[Type],MATCH(tblMovement[[#This Row],[Destination]],tblDestinations[Destination],0)),"?"))</f>
        <v/>
      </c>
      <c r="M1314" s="64">
        <f>IF(tblMovement[[#This Row],[Material]]="","",IF(LEFT(tblMovement[[#This Row],[Material]],3)="Ore",1,0))</f>
        <v/>
      </c>
      <c r="N1314" s="59">
        <f>IF(OR(tblMovement[[#This Row],[Tonnes_t]]="",tblMovement[[#This Row],[Grade_gpt]]=""),0,tblMovement[[#This Row],[Tonnes_t]]*tblMovement[[#This Row],[Grade_gpt]]/cfg_TroyOz)</f>
        <v/>
      </c>
      <c r="O1314" s="59">
        <f>IF(tblMovement[[#This Row],[Is_Ore]]=1,tblMovement[[#This Row],[Contained_oz]],0)</f>
        <v/>
      </c>
    </row>
    <row r="1315">
      <c r="A1315" s="54" t="n"/>
      <c r="B1315" s="61" t="n"/>
      <c r="C1315" s="61" t="n"/>
      <c r="D1315" s="61" t="n"/>
      <c r="E1315" s="61" t="n"/>
      <c r="F1315" s="55" t="n"/>
      <c r="G1315" s="56" t="n"/>
      <c r="H1315" s="55" t="n"/>
      <c r="I1315" s="62" t="n"/>
      <c r="J1315" s="58" t="n"/>
      <c r="K1315" s="63">
        <f>IF(tblMovement[[#This Row],[Source]]="","",IFERROR(INDEX(tblSources[Type],MATCH(tblMovement[[#This Row],[Source]],tblSources[Source],0)),"?"))</f>
        <v/>
      </c>
      <c r="L1315" s="63">
        <f>IF(tblMovement[[#This Row],[Destination]]="","",IFERROR(INDEX(tblDestinations[Type],MATCH(tblMovement[[#This Row],[Destination]],tblDestinations[Destination],0)),"?"))</f>
        <v/>
      </c>
      <c r="M1315" s="64">
        <f>IF(tblMovement[[#This Row],[Material]]="","",IF(LEFT(tblMovement[[#This Row],[Material]],3)="Ore",1,0))</f>
        <v/>
      </c>
      <c r="N1315" s="59">
        <f>IF(OR(tblMovement[[#This Row],[Tonnes_t]]="",tblMovement[[#This Row],[Grade_gpt]]=""),0,tblMovement[[#This Row],[Tonnes_t]]*tblMovement[[#This Row],[Grade_gpt]]/cfg_TroyOz)</f>
        <v/>
      </c>
      <c r="O1315" s="59">
        <f>IF(tblMovement[[#This Row],[Is_Ore]]=1,tblMovement[[#This Row],[Contained_oz]],0)</f>
        <v/>
      </c>
    </row>
    <row r="1316">
      <c r="A1316" s="54" t="n"/>
      <c r="B1316" s="61" t="n"/>
      <c r="C1316" s="61" t="n"/>
      <c r="D1316" s="61" t="n"/>
      <c r="E1316" s="61" t="n"/>
      <c r="F1316" s="55" t="n"/>
      <c r="G1316" s="56" t="n"/>
      <c r="H1316" s="55" t="n"/>
      <c r="I1316" s="62" t="n"/>
      <c r="J1316" s="58" t="n"/>
      <c r="K1316" s="63">
        <f>IF(tblMovement[[#This Row],[Source]]="","",IFERROR(INDEX(tblSources[Type],MATCH(tblMovement[[#This Row],[Source]],tblSources[Source],0)),"?"))</f>
        <v/>
      </c>
      <c r="L1316" s="63">
        <f>IF(tblMovement[[#This Row],[Destination]]="","",IFERROR(INDEX(tblDestinations[Type],MATCH(tblMovement[[#This Row],[Destination]],tblDestinations[Destination],0)),"?"))</f>
        <v/>
      </c>
      <c r="M1316" s="64">
        <f>IF(tblMovement[[#This Row],[Material]]="","",IF(LEFT(tblMovement[[#This Row],[Material]],3)="Ore",1,0))</f>
        <v/>
      </c>
      <c r="N1316" s="59">
        <f>IF(OR(tblMovement[[#This Row],[Tonnes_t]]="",tblMovement[[#This Row],[Grade_gpt]]=""),0,tblMovement[[#This Row],[Tonnes_t]]*tblMovement[[#This Row],[Grade_gpt]]/cfg_TroyOz)</f>
        <v/>
      </c>
      <c r="O1316" s="59">
        <f>IF(tblMovement[[#This Row],[Is_Ore]]=1,tblMovement[[#This Row],[Contained_oz]],0)</f>
        <v/>
      </c>
    </row>
    <row r="1317">
      <c r="A1317" s="54" t="n"/>
      <c r="B1317" s="61" t="n"/>
      <c r="C1317" s="61" t="n"/>
      <c r="D1317" s="61" t="n"/>
      <c r="E1317" s="61" t="n"/>
      <c r="F1317" s="55" t="n"/>
      <c r="G1317" s="56" t="n"/>
      <c r="H1317" s="55" t="n"/>
      <c r="I1317" s="62" t="n"/>
      <c r="J1317" s="58" t="n"/>
      <c r="K1317" s="63">
        <f>IF(tblMovement[[#This Row],[Source]]="","",IFERROR(INDEX(tblSources[Type],MATCH(tblMovement[[#This Row],[Source]],tblSources[Source],0)),"?"))</f>
        <v/>
      </c>
      <c r="L1317" s="63">
        <f>IF(tblMovement[[#This Row],[Destination]]="","",IFERROR(INDEX(tblDestinations[Type],MATCH(tblMovement[[#This Row],[Destination]],tblDestinations[Destination],0)),"?"))</f>
        <v/>
      </c>
      <c r="M1317" s="64">
        <f>IF(tblMovement[[#This Row],[Material]]="","",IF(LEFT(tblMovement[[#This Row],[Material]],3)="Ore",1,0))</f>
        <v/>
      </c>
      <c r="N1317" s="59">
        <f>IF(OR(tblMovement[[#This Row],[Tonnes_t]]="",tblMovement[[#This Row],[Grade_gpt]]=""),0,tblMovement[[#This Row],[Tonnes_t]]*tblMovement[[#This Row],[Grade_gpt]]/cfg_TroyOz)</f>
        <v/>
      </c>
      <c r="O1317" s="59">
        <f>IF(tblMovement[[#This Row],[Is_Ore]]=1,tblMovement[[#This Row],[Contained_oz]],0)</f>
        <v/>
      </c>
    </row>
    <row r="1318">
      <c r="A1318" s="54" t="n"/>
      <c r="B1318" s="61" t="n"/>
      <c r="C1318" s="61" t="n"/>
      <c r="D1318" s="61" t="n"/>
      <c r="E1318" s="61" t="n"/>
      <c r="F1318" s="55" t="n"/>
      <c r="G1318" s="56" t="n"/>
      <c r="H1318" s="55" t="n"/>
      <c r="I1318" s="62" t="n"/>
      <c r="J1318" s="58" t="n"/>
      <c r="K1318" s="63">
        <f>IF(tblMovement[[#This Row],[Source]]="","",IFERROR(INDEX(tblSources[Type],MATCH(tblMovement[[#This Row],[Source]],tblSources[Source],0)),"?"))</f>
        <v/>
      </c>
      <c r="L1318" s="63">
        <f>IF(tblMovement[[#This Row],[Destination]]="","",IFERROR(INDEX(tblDestinations[Type],MATCH(tblMovement[[#This Row],[Destination]],tblDestinations[Destination],0)),"?"))</f>
        <v/>
      </c>
      <c r="M1318" s="64">
        <f>IF(tblMovement[[#This Row],[Material]]="","",IF(LEFT(tblMovement[[#This Row],[Material]],3)="Ore",1,0))</f>
        <v/>
      </c>
      <c r="N1318" s="59">
        <f>IF(OR(tblMovement[[#This Row],[Tonnes_t]]="",tblMovement[[#This Row],[Grade_gpt]]=""),0,tblMovement[[#This Row],[Tonnes_t]]*tblMovement[[#This Row],[Grade_gpt]]/cfg_TroyOz)</f>
        <v/>
      </c>
      <c r="O1318" s="59">
        <f>IF(tblMovement[[#This Row],[Is_Ore]]=1,tblMovement[[#This Row],[Contained_oz]],0)</f>
        <v/>
      </c>
    </row>
    <row r="1319">
      <c r="A1319" s="54" t="n"/>
      <c r="B1319" s="61" t="n"/>
      <c r="C1319" s="61" t="n"/>
      <c r="D1319" s="61" t="n"/>
      <c r="E1319" s="61" t="n"/>
      <c r="F1319" s="55" t="n"/>
      <c r="G1319" s="56" t="n"/>
      <c r="H1319" s="55" t="n"/>
      <c r="I1319" s="62" t="n"/>
      <c r="J1319" s="58" t="n"/>
      <c r="K1319" s="63">
        <f>IF(tblMovement[[#This Row],[Source]]="","",IFERROR(INDEX(tblSources[Type],MATCH(tblMovement[[#This Row],[Source]],tblSources[Source],0)),"?"))</f>
        <v/>
      </c>
      <c r="L1319" s="63">
        <f>IF(tblMovement[[#This Row],[Destination]]="","",IFERROR(INDEX(tblDestinations[Type],MATCH(tblMovement[[#This Row],[Destination]],tblDestinations[Destination],0)),"?"))</f>
        <v/>
      </c>
      <c r="M1319" s="64">
        <f>IF(tblMovement[[#This Row],[Material]]="","",IF(LEFT(tblMovement[[#This Row],[Material]],3)="Ore",1,0))</f>
        <v/>
      </c>
      <c r="N1319" s="59">
        <f>IF(OR(tblMovement[[#This Row],[Tonnes_t]]="",tblMovement[[#This Row],[Grade_gpt]]=""),0,tblMovement[[#This Row],[Tonnes_t]]*tblMovement[[#This Row],[Grade_gpt]]/cfg_TroyOz)</f>
        <v/>
      </c>
      <c r="O1319" s="59">
        <f>IF(tblMovement[[#This Row],[Is_Ore]]=1,tblMovement[[#This Row],[Contained_oz]],0)</f>
        <v/>
      </c>
    </row>
    <row r="1320">
      <c r="A1320" s="54" t="n"/>
      <c r="B1320" s="61" t="n"/>
      <c r="C1320" s="61" t="n"/>
      <c r="D1320" s="61" t="n"/>
      <c r="E1320" s="61" t="n"/>
      <c r="F1320" s="55" t="n"/>
      <c r="G1320" s="56" t="n"/>
      <c r="H1320" s="55" t="n"/>
      <c r="I1320" s="62" t="n"/>
      <c r="J1320" s="58" t="n"/>
      <c r="K1320" s="63">
        <f>IF(tblMovement[[#This Row],[Source]]="","",IFERROR(INDEX(tblSources[Type],MATCH(tblMovement[[#This Row],[Source]],tblSources[Source],0)),"?"))</f>
        <v/>
      </c>
      <c r="L1320" s="63">
        <f>IF(tblMovement[[#This Row],[Destination]]="","",IFERROR(INDEX(tblDestinations[Type],MATCH(tblMovement[[#This Row],[Destination]],tblDestinations[Destination],0)),"?"))</f>
        <v/>
      </c>
      <c r="M1320" s="64">
        <f>IF(tblMovement[[#This Row],[Material]]="","",IF(LEFT(tblMovement[[#This Row],[Material]],3)="Ore",1,0))</f>
        <v/>
      </c>
      <c r="N1320" s="59">
        <f>IF(OR(tblMovement[[#This Row],[Tonnes_t]]="",tblMovement[[#This Row],[Grade_gpt]]=""),0,tblMovement[[#This Row],[Tonnes_t]]*tblMovement[[#This Row],[Grade_gpt]]/cfg_TroyOz)</f>
        <v/>
      </c>
      <c r="O1320" s="59">
        <f>IF(tblMovement[[#This Row],[Is_Ore]]=1,tblMovement[[#This Row],[Contained_oz]],0)</f>
        <v/>
      </c>
    </row>
    <row r="1321">
      <c r="A1321" s="54" t="n"/>
      <c r="B1321" s="61" t="n"/>
      <c r="C1321" s="61" t="n"/>
      <c r="D1321" s="61" t="n"/>
      <c r="E1321" s="61" t="n"/>
      <c r="F1321" s="55" t="n"/>
      <c r="G1321" s="56" t="n"/>
      <c r="H1321" s="55" t="n"/>
      <c r="I1321" s="62" t="n"/>
      <c r="J1321" s="58" t="n"/>
      <c r="K1321" s="63">
        <f>IF(tblMovement[[#This Row],[Source]]="","",IFERROR(INDEX(tblSources[Type],MATCH(tblMovement[[#This Row],[Source]],tblSources[Source],0)),"?"))</f>
        <v/>
      </c>
      <c r="L1321" s="63">
        <f>IF(tblMovement[[#This Row],[Destination]]="","",IFERROR(INDEX(tblDestinations[Type],MATCH(tblMovement[[#This Row],[Destination]],tblDestinations[Destination],0)),"?"))</f>
        <v/>
      </c>
      <c r="M1321" s="64">
        <f>IF(tblMovement[[#This Row],[Material]]="","",IF(LEFT(tblMovement[[#This Row],[Material]],3)="Ore",1,0))</f>
        <v/>
      </c>
      <c r="N1321" s="59">
        <f>IF(OR(tblMovement[[#This Row],[Tonnes_t]]="",tblMovement[[#This Row],[Grade_gpt]]=""),0,tblMovement[[#This Row],[Tonnes_t]]*tblMovement[[#This Row],[Grade_gpt]]/cfg_TroyOz)</f>
        <v/>
      </c>
      <c r="O1321" s="59">
        <f>IF(tblMovement[[#This Row],[Is_Ore]]=1,tblMovement[[#This Row],[Contained_oz]],0)</f>
        <v/>
      </c>
    </row>
    <row r="1322">
      <c r="A1322" s="54" t="n"/>
      <c r="B1322" s="61" t="n"/>
      <c r="C1322" s="61" t="n"/>
      <c r="D1322" s="61" t="n"/>
      <c r="E1322" s="61" t="n"/>
      <c r="F1322" s="55" t="n"/>
      <c r="G1322" s="56" t="n"/>
      <c r="H1322" s="55" t="n"/>
      <c r="I1322" s="62" t="n"/>
      <c r="J1322" s="58" t="n"/>
      <c r="K1322" s="63">
        <f>IF(tblMovement[[#This Row],[Source]]="","",IFERROR(INDEX(tblSources[Type],MATCH(tblMovement[[#This Row],[Source]],tblSources[Source],0)),"?"))</f>
        <v/>
      </c>
      <c r="L1322" s="63">
        <f>IF(tblMovement[[#This Row],[Destination]]="","",IFERROR(INDEX(tblDestinations[Type],MATCH(tblMovement[[#This Row],[Destination]],tblDestinations[Destination],0)),"?"))</f>
        <v/>
      </c>
      <c r="M1322" s="64">
        <f>IF(tblMovement[[#This Row],[Material]]="","",IF(LEFT(tblMovement[[#This Row],[Material]],3)="Ore",1,0))</f>
        <v/>
      </c>
      <c r="N1322" s="59">
        <f>IF(OR(tblMovement[[#This Row],[Tonnes_t]]="",tblMovement[[#This Row],[Grade_gpt]]=""),0,tblMovement[[#This Row],[Tonnes_t]]*tblMovement[[#This Row],[Grade_gpt]]/cfg_TroyOz)</f>
        <v/>
      </c>
      <c r="O1322" s="59">
        <f>IF(tblMovement[[#This Row],[Is_Ore]]=1,tblMovement[[#This Row],[Contained_oz]],0)</f>
        <v/>
      </c>
    </row>
    <row r="1323">
      <c r="A1323" s="54" t="n"/>
      <c r="B1323" s="61" t="n"/>
      <c r="C1323" s="61" t="n"/>
      <c r="D1323" s="61" t="n"/>
      <c r="E1323" s="61" t="n"/>
      <c r="F1323" s="55" t="n"/>
      <c r="G1323" s="56" t="n"/>
      <c r="H1323" s="55" t="n"/>
      <c r="I1323" s="62" t="n"/>
      <c r="J1323" s="58" t="n"/>
      <c r="K1323" s="63">
        <f>IF(tblMovement[[#This Row],[Source]]="","",IFERROR(INDEX(tblSources[Type],MATCH(tblMovement[[#This Row],[Source]],tblSources[Source],0)),"?"))</f>
        <v/>
      </c>
      <c r="L1323" s="63">
        <f>IF(tblMovement[[#This Row],[Destination]]="","",IFERROR(INDEX(tblDestinations[Type],MATCH(tblMovement[[#This Row],[Destination]],tblDestinations[Destination],0)),"?"))</f>
        <v/>
      </c>
      <c r="M1323" s="64">
        <f>IF(tblMovement[[#This Row],[Material]]="","",IF(LEFT(tblMovement[[#This Row],[Material]],3)="Ore",1,0))</f>
        <v/>
      </c>
      <c r="N1323" s="59">
        <f>IF(OR(tblMovement[[#This Row],[Tonnes_t]]="",tblMovement[[#This Row],[Grade_gpt]]=""),0,tblMovement[[#This Row],[Tonnes_t]]*tblMovement[[#This Row],[Grade_gpt]]/cfg_TroyOz)</f>
        <v/>
      </c>
      <c r="O1323" s="59">
        <f>IF(tblMovement[[#This Row],[Is_Ore]]=1,tblMovement[[#This Row],[Contained_oz]],0)</f>
        <v/>
      </c>
    </row>
    <row r="1324">
      <c r="A1324" s="54" t="n"/>
      <c r="B1324" s="61" t="n"/>
      <c r="C1324" s="61" t="n"/>
      <c r="D1324" s="61" t="n"/>
      <c r="E1324" s="61" t="n"/>
      <c r="F1324" s="55" t="n"/>
      <c r="G1324" s="56" t="n"/>
      <c r="H1324" s="55" t="n"/>
      <c r="I1324" s="62" t="n"/>
      <c r="J1324" s="58" t="n"/>
      <c r="K1324" s="63">
        <f>IF(tblMovement[[#This Row],[Source]]="","",IFERROR(INDEX(tblSources[Type],MATCH(tblMovement[[#This Row],[Source]],tblSources[Source],0)),"?"))</f>
        <v/>
      </c>
      <c r="L1324" s="63">
        <f>IF(tblMovement[[#This Row],[Destination]]="","",IFERROR(INDEX(tblDestinations[Type],MATCH(tblMovement[[#This Row],[Destination]],tblDestinations[Destination],0)),"?"))</f>
        <v/>
      </c>
      <c r="M1324" s="64">
        <f>IF(tblMovement[[#This Row],[Material]]="","",IF(LEFT(tblMovement[[#This Row],[Material]],3)="Ore",1,0))</f>
        <v/>
      </c>
      <c r="N1324" s="59">
        <f>IF(OR(tblMovement[[#This Row],[Tonnes_t]]="",tblMovement[[#This Row],[Grade_gpt]]=""),0,tblMovement[[#This Row],[Tonnes_t]]*tblMovement[[#This Row],[Grade_gpt]]/cfg_TroyOz)</f>
        <v/>
      </c>
      <c r="O1324" s="59">
        <f>IF(tblMovement[[#This Row],[Is_Ore]]=1,tblMovement[[#This Row],[Contained_oz]],0)</f>
        <v/>
      </c>
    </row>
    <row r="1325">
      <c r="A1325" s="54" t="n"/>
      <c r="B1325" s="61" t="n"/>
      <c r="C1325" s="61" t="n"/>
      <c r="D1325" s="61" t="n"/>
      <c r="E1325" s="61" t="n"/>
      <c r="F1325" s="55" t="n"/>
      <c r="G1325" s="56" t="n"/>
      <c r="H1325" s="55" t="n"/>
      <c r="I1325" s="62" t="n"/>
      <c r="J1325" s="58" t="n"/>
      <c r="K1325" s="63">
        <f>IF(tblMovement[[#This Row],[Source]]="","",IFERROR(INDEX(tblSources[Type],MATCH(tblMovement[[#This Row],[Source]],tblSources[Source],0)),"?"))</f>
        <v/>
      </c>
      <c r="L1325" s="63">
        <f>IF(tblMovement[[#This Row],[Destination]]="","",IFERROR(INDEX(tblDestinations[Type],MATCH(tblMovement[[#This Row],[Destination]],tblDestinations[Destination],0)),"?"))</f>
        <v/>
      </c>
      <c r="M1325" s="64">
        <f>IF(tblMovement[[#This Row],[Material]]="","",IF(LEFT(tblMovement[[#This Row],[Material]],3)="Ore",1,0))</f>
        <v/>
      </c>
      <c r="N1325" s="59">
        <f>IF(OR(tblMovement[[#This Row],[Tonnes_t]]="",tblMovement[[#This Row],[Grade_gpt]]=""),0,tblMovement[[#This Row],[Tonnes_t]]*tblMovement[[#This Row],[Grade_gpt]]/cfg_TroyOz)</f>
        <v/>
      </c>
      <c r="O1325" s="59">
        <f>IF(tblMovement[[#This Row],[Is_Ore]]=1,tblMovement[[#This Row],[Contained_oz]],0)</f>
        <v/>
      </c>
    </row>
    <row r="1326">
      <c r="A1326" s="54" t="n"/>
      <c r="B1326" s="61" t="n"/>
      <c r="C1326" s="61" t="n"/>
      <c r="D1326" s="61" t="n"/>
      <c r="E1326" s="61" t="n"/>
      <c r="F1326" s="55" t="n"/>
      <c r="G1326" s="56" t="n"/>
      <c r="H1326" s="55" t="n"/>
      <c r="I1326" s="62" t="n"/>
      <c r="J1326" s="58" t="n"/>
      <c r="K1326" s="63">
        <f>IF(tblMovement[[#This Row],[Source]]="","",IFERROR(INDEX(tblSources[Type],MATCH(tblMovement[[#This Row],[Source]],tblSources[Source],0)),"?"))</f>
        <v/>
      </c>
      <c r="L1326" s="63">
        <f>IF(tblMovement[[#This Row],[Destination]]="","",IFERROR(INDEX(tblDestinations[Type],MATCH(tblMovement[[#This Row],[Destination]],tblDestinations[Destination],0)),"?"))</f>
        <v/>
      </c>
      <c r="M1326" s="64">
        <f>IF(tblMovement[[#This Row],[Material]]="","",IF(LEFT(tblMovement[[#This Row],[Material]],3)="Ore",1,0))</f>
        <v/>
      </c>
      <c r="N1326" s="59">
        <f>IF(OR(tblMovement[[#This Row],[Tonnes_t]]="",tblMovement[[#This Row],[Grade_gpt]]=""),0,tblMovement[[#This Row],[Tonnes_t]]*tblMovement[[#This Row],[Grade_gpt]]/cfg_TroyOz)</f>
        <v/>
      </c>
      <c r="O1326" s="59">
        <f>IF(tblMovement[[#This Row],[Is_Ore]]=1,tblMovement[[#This Row],[Contained_oz]],0)</f>
        <v/>
      </c>
    </row>
    <row r="1327">
      <c r="A1327" s="54" t="n"/>
      <c r="B1327" s="61" t="n"/>
      <c r="C1327" s="61" t="n"/>
      <c r="D1327" s="61" t="n"/>
      <c r="E1327" s="61" t="n"/>
      <c r="F1327" s="55" t="n"/>
      <c r="G1327" s="56" t="n"/>
      <c r="H1327" s="55" t="n"/>
      <c r="I1327" s="62" t="n"/>
      <c r="J1327" s="58" t="n"/>
      <c r="K1327" s="63">
        <f>IF(tblMovement[[#This Row],[Source]]="","",IFERROR(INDEX(tblSources[Type],MATCH(tblMovement[[#This Row],[Source]],tblSources[Source],0)),"?"))</f>
        <v/>
      </c>
      <c r="L1327" s="63">
        <f>IF(tblMovement[[#This Row],[Destination]]="","",IFERROR(INDEX(tblDestinations[Type],MATCH(tblMovement[[#This Row],[Destination]],tblDestinations[Destination],0)),"?"))</f>
        <v/>
      </c>
      <c r="M1327" s="64">
        <f>IF(tblMovement[[#This Row],[Material]]="","",IF(LEFT(tblMovement[[#This Row],[Material]],3)="Ore",1,0))</f>
        <v/>
      </c>
      <c r="N1327" s="59">
        <f>IF(OR(tblMovement[[#This Row],[Tonnes_t]]="",tblMovement[[#This Row],[Grade_gpt]]=""),0,tblMovement[[#This Row],[Tonnes_t]]*tblMovement[[#This Row],[Grade_gpt]]/cfg_TroyOz)</f>
        <v/>
      </c>
      <c r="O1327" s="59">
        <f>IF(tblMovement[[#This Row],[Is_Ore]]=1,tblMovement[[#This Row],[Contained_oz]],0)</f>
        <v/>
      </c>
    </row>
    <row r="1328">
      <c r="A1328" s="54" t="n"/>
      <c r="B1328" s="61" t="n"/>
      <c r="C1328" s="61" t="n"/>
      <c r="D1328" s="61" t="n"/>
      <c r="E1328" s="61" t="n"/>
      <c r="F1328" s="55" t="n"/>
      <c r="G1328" s="56" t="n"/>
      <c r="H1328" s="55" t="n"/>
      <c r="I1328" s="62" t="n"/>
      <c r="J1328" s="58" t="n"/>
      <c r="K1328" s="63">
        <f>IF(tblMovement[[#This Row],[Source]]="","",IFERROR(INDEX(tblSources[Type],MATCH(tblMovement[[#This Row],[Source]],tblSources[Source],0)),"?"))</f>
        <v/>
      </c>
      <c r="L1328" s="63">
        <f>IF(tblMovement[[#This Row],[Destination]]="","",IFERROR(INDEX(tblDestinations[Type],MATCH(tblMovement[[#This Row],[Destination]],tblDestinations[Destination],0)),"?"))</f>
        <v/>
      </c>
      <c r="M1328" s="64">
        <f>IF(tblMovement[[#This Row],[Material]]="","",IF(LEFT(tblMovement[[#This Row],[Material]],3)="Ore",1,0))</f>
        <v/>
      </c>
      <c r="N1328" s="59">
        <f>IF(OR(tblMovement[[#This Row],[Tonnes_t]]="",tblMovement[[#This Row],[Grade_gpt]]=""),0,tblMovement[[#This Row],[Tonnes_t]]*tblMovement[[#This Row],[Grade_gpt]]/cfg_TroyOz)</f>
        <v/>
      </c>
      <c r="O1328" s="59">
        <f>IF(tblMovement[[#This Row],[Is_Ore]]=1,tblMovement[[#This Row],[Contained_oz]],0)</f>
        <v/>
      </c>
    </row>
    <row r="1329">
      <c r="A1329" s="54" t="n"/>
      <c r="B1329" s="61" t="n"/>
      <c r="C1329" s="61" t="n"/>
      <c r="D1329" s="61" t="n"/>
      <c r="E1329" s="61" t="n"/>
      <c r="F1329" s="55" t="n"/>
      <c r="G1329" s="56" t="n"/>
      <c r="H1329" s="55" t="n"/>
      <c r="I1329" s="62" t="n"/>
      <c r="J1329" s="58" t="n"/>
      <c r="K1329" s="63">
        <f>IF(tblMovement[[#This Row],[Source]]="","",IFERROR(INDEX(tblSources[Type],MATCH(tblMovement[[#This Row],[Source]],tblSources[Source],0)),"?"))</f>
        <v/>
      </c>
      <c r="L1329" s="63">
        <f>IF(tblMovement[[#This Row],[Destination]]="","",IFERROR(INDEX(tblDestinations[Type],MATCH(tblMovement[[#This Row],[Destination]],tblDestinations[Destination],0)),"?"))</f>
        <v/>
      </c>
      <c r="M1329" s="64">
        <f>IF(tblMovement[[#This Row],[Material]]="","",IF(LEFT(tblMovement[[#This Row],[Material]],3)="Ore",1,0))</f>
        <v/>
      </c>
      <c r="N1329" s="59">
        <f>IF(OR(tblMovement[[#This Row],[Tonnes_t]]="",tblMovement[[#This Row],[Grade_gpt]]=""),0,tblMovement[[#This Row],[Tonnes_t]]*tblMovement[[#This Row],[Grade_gpt]]/cfg_TroyOz)</f>
        <v/>
      </c>
      <c r="O1329" s="59">
        <f>IF(tblMovement[[#This Row],[Is_Ore]]=1,tblMovement[[#This Row],[Contained_oz]],0)</f>
        <v/>
      </c>
    </row>
    <row r="1330">
      <c r="A1330" s="54" t="n"/>
      <c r="B1330" s="61" t="n"/>
      <c r="C1330" s="61" t="n"/>
      <c r="D1330" s="61" t="n"/>
      <c r="E1330" s="61" t="n"/>
      <c r="F1330" s="55" t="n"/>
      <c r="G1330" s="56" t="n"/>
      <c r="H1330" s="55" t="n"/>
      <c r="I1330" s="62" t="n"/>
      <c r="J1330" s="58" t="n"/>
      <c r="K1330" s="63">
        <f>IF(tblMovement[[#This Row],[Source]]="","",IFERROR(INDEX(tblSources[Type],MATCH(tblMovement[[#This Row],[Source]],tblSources[Source],0)),"?"))</f>
        <v/>
      </c>
      <c r="L1330" s="63">
        <f>IF(tblMovement[[#This Row],[Destination]]="","",IFERROR(INDEX(tblDestinations[Type],MATCH(tblMovement[[#This Row],[Destination]],tblDestinations[Destination],0)),"?"))</f>
        <v/>
      </c>
      <c r="M1330" s="64">
        <f>IF(tblMovement[[#This Row],[Material]]="","",IF(LEFT(tblMovement[[#This Row],[Material]],3)="Ore",1,0))</f>
        <v/>
      </c>
      <c r="N1330" s="59">
        <f>IF(OR(tblMovement[[#This Row],[Tonnes_t]]="",tblMovement[[#This Row],[Grade_gpt]]=""),0,tblMovement[[#This Row],[Tonnes_t]]*tblMovement[[#This Row],[Grade_gpt]]/cfg_TroyOz)</f>
        <v/>
      </c>
      <c r="O1330" s="59">
        <f>IF(tblMovement[[#This Row],[Is_Ore]]=1,tblMovement[[#This Row],[Contained_oz]],0)</f>
        <v/>
      </c>
    </row>
    <row r="1331">
      <c r="A1331" s="54" t="n"/>
      <c r="B1331" s="61" t="n"/>
      <c r="C1331" s="61" t="n"/>
      <c r="D1331" s="61" t="n"/>
      <c r="E1331" s="61" t="n"/>
      <c r="F1331" s="55" t="n"/>
      <c r="G1331" s="56" t="n"/>
      <c r="H1331" s="55" t="n"/>
      <c r="I1331" s="62" t="n"/>
      <c r="J1331" s="58" t="n"/>
      <c r="K1331" s="63">
        <f>IF(tblMovement[[#This Row],[Source]]="","",IFERROR(INDEX(tblSources[Type],MATCH(tblMovement[[#This Row],[Source]],tblSources[Source],0)),"?"))</f>
        <v/>
      </c>
      <c r="L1331" s="63">
        <f>IF(tblMovement[[#This Row],[Destination]]="","",IFERROR(INDEX(tblDestinations[Type],MATCH(tblMovement[[#This Row],[Destination]],tblDestinations[Destination],0)),"?"))</f>
        <v/>
      </c>
      <c r="M1331" s="64">
        <f>IF(tblMovement[[#This Row],[Material]]="","",IF(LEFT(tblMovement[[#This Row],[Material]],3)="Ore",1,0))</f>
        <v/>
      </c>
      <c r="N1331" s="59">
        <f>IF(OR(tblMovement[[#This Row],[Tonnes_t]]="",tblMovement[[#This Row],[Grade_gpt]]=""),0,tblMovement[[#This Row],[Tonnes_t]]*tblMovement[[#This Row],[Grade_gpt]]/cfg_TroyOz)</f>
        <v/>
      </c>
      <c r="O1331" s="59">
        <f>IF(tblMovement[[#This Row],[Is_Ore]]=1,tblMovement[[#This Row],[Contained_oz]],0)</f>
        <v/>
      </c>
    </row>
    <row r="1332">
      <c r="A1332" s="54" t="n"/>
      <c r="B1332" s="61" t="n"/>
      <c r="C1332" s="61" t="n"/>
      <c r="D1332" s="61" t="n"/>
      <c r="E1332" s="61" t="n"/>
      <c r="F1332" s="55" t="n"/>
      <c r="G1332" s="56" t="n"/>
      <c r="H1332" s="55" t="n"/>
      <c r="I1332" s="62" t="n"/>
      <c r="J1332" s="58" t="n"/>
      <c r="K1332" s="63">
        <f>IF(tblMovement[[#This Row],[Source]]="","",IFERROR(INDEX(tblSources[Type],MATCH(tblMovement[[#This Row],[Source]],tblSources[Source],0)),"?"))</f>
        <v/>
      </c>
      <c r="L1332" s="63">
        <f>IF(tblMovement[[#This Row],[Destination]]="","",IFERROR(INDEX(tblDestinations[Type],MATCH(tblMovement[[#This Row],[Destination]],tblDestinations[Destination],0)),"?"))</f>
        <v/>
      </c>
      <c r="M1332" s="64">
        <f>IF(tblMovement[[#This Row],[Material]]="","",IF(LEFT(tblMovement[[#This Row],[Material]],3)="Ore",1,0))</f>
        <v/>
      </c>
      <c r="N1332" s="59">
        <f>IF(OR(tblMovement[[#This Row],[Tonnes_t]]="",tblMovement[[#This Row],[Grade_gpt]]=""),0,tblMovement[[#This Row],[Tonnes_t]]*tblMovement[[#This Row],[Grade_gpt]]/cfg_TroyOz)</f>
        <v/>
      </c>
      <c r="O1332" s="59">
        <f>IF(tblMovement[[#This Row],[Is_Ore]]=1,tblMovement[[#This Row],[Contained_oz]],0)</f>
        <v/>
      </c>
    </row>
    <row r="1333">
      <c r="A1333" s="54" t="n"/>
      <c r="B1333" s="61" t="n"/>
      <c r="C1333" s="61" t="n"/>
      <c r="D1333" s="61" t="n"/>
      <c r="E1333" s="61" t="n"/>
      <c r="F1333" s="55" t="n"/>
      <c r="G1333" s="56" t="n"/>
      <c r="H1333" s="55" t="n"/>
      <c r="I1333" s="62" t="n"/>
      <c r="J1333" s="58" t="n"/>
      <c r="K1333" s="63">
        <f>IF(tblMovement[[#This Row],[Source]]="","",IFERROR(INDEX(tblSources[Type],MATCH(tblMovement[[#This Row],[Source]],tblSources[Source],0)),"?"))</f>
        <v/>
      </c>
      <c r="L1333" s="63">
        <f>IF(tblMovement[[#This Row],[Destination]]="","",IFERROR(INDEX(tblDestinations[Type],MATCH(tblMovement[[#This Row],[Destination]],tblDestinations[Destination],0)),"?"))</f>
        <v/>
      </c>
      <c r="M1333" s="64">
        <f>IF(tblMovement[[#This Row],[Material]]="","",IF(LEFT(tblMovement[[#This Row],[Material]],3)="Ore",1,0))</f>
        <v/>
      </c>
      <c r="N1333" s="59">
        <f>IF(OR(tblMovement[[#This Row],[Tonnes_t]]="",tblMovement[[#This Row],[Grade_gpt]]=""),0,tblMovement[[#This Row],[Tonnes_t]]*tblMovement[[#This Row],[Grade_gpt]]/cfg_TroyOz)</f>
        <v/>
      </c>
      <c r="O1333" s="59">
        <f>IF(tblMovement[[#This Row],[Is_Ore]]=1,tblMovement[[#This Row],[Contained_oz]],0)</f>
        <v/>
      </c>
    </row>
    <row r="1334">
      <c r="A1334" s="54" t="n"/>
      <c r="B1334" s="61" t="n"/>
      <c r="C1334" s="61" t="n"/>
      <c r="D1334" s="61" t="n"/>
      <c r="E1334" s="61" t="n"/>
      <c r="F1334" s="55" t="n"/>
      <c r="G1334" s="56" t="n"/>
      <c r="H1334" s="55" t="n"/>
      <c r="I1334" s="62" t="n"/>
      <c r="J1334" s="58" t="n"/>
      <c r="K1334" s="63">
        <f>IF(tblMovement[[#This Row],[Source]]="","",IFERROR(INDEX(tblSources[Type],MATCH(tblMovement[[#This Row],[Source]],tblSources[Source],0)),"?"))</f>
        <v/>
      </c>
      <c r="L1334" s="63">
        <f>IF(tblMovement[[#This Row],[Destination]]="","",IFERROR(INDEX(tblDestinations[Type],MATCH(tblMovement[[#This Row],[Destination]],tblDestinations[Destination],0)),"?"))</f>
        <v/>
      </c>
      <c r="M1334" s="64">
        <f>IF(tblMovement[[#This Row],[Material]]="","",IF(LEFT(tblMovement[[#This Row],[Material]],3)="Ore",1,0))</f>
        <v/>
      </c>
      <c r="N1334" s="59">
        <f>IF(OR(tblMovement[[#This Row],[Tonnes_t]]="",tblMovement[[#This Row],[Grade_gpt]]=""),0,tblMovement[[#This Row],[Tonnes_t]]*tblMovement[[#This Row],[Grade_gpt]]/cfg_TroyOz)</f>
        <v/>
      </c>
      <c r="O1334" s="59">
        <f>IF(tblMovement[[#This Row],[Is_Ore]]=1,tblMovement[[#This Row],[Contained_oz]],0)</f>
        <v/>
      </c>
    </row>
    <row r="1335">
      <c r="A1335" s="54" t="n"/>
      <c r="B1335" s="61" t="n"/>
      <c r="C1335" s="61" t="n"/>
      <c r="D1335" s="61" t="n"/>
      <c r="E1335" s="61" t="n"/>
      <c r="F1335" s="55" t="n"/>
      <c r="G1335" s="56" t="n"/>
      <c r="H1335" s="55" t="n"/>
      <c r="I1335" s="62" t="n"/>
      <c r="J1335" s="58" t="n"/>
      <c r="K1335" s="63">
        <f>IF(tblMovement[[#This Row],[Source]]="","",IFERROR(INDEX(tblSources[Type],MATCH(tblMovement[[#This Row],[Source]],tblSources[Source],0)),"?"))</f>
        <v/>
      </c>
      <c r="L1335" s="63">
        <f>IF(tblMovement[[#This Row],[Destination]]="","",IFERROR(INDEX(tblDestinations[Type],MATCH(tblMovement[[#This Row],[Destination]],tblDestinations[Destination],0)),"?"))</f>
        <v/>
      </c>
      <c r="M1335" s="64">
        <f>IF(tblMovement[[#This Row],[Material]]="","",IF(LEFT(tblMovement[[#This Row],[Material]],3)="Ore",1,0))</f>
        <v/>
      </c>
      <c r="N1335" s="59">
        <f>IF(OR(tblMovement[[#This Row],[Tonnes_t]]="",tblMovement[[#This Row],[Grade_gpt]]=""),0,tblMovement[[#This Row],[Tonnes_t]]*tblMovement[[#This Row],[Grade_gpt]]/cfg_TroyOz)</f>
        <v/>
      </c>
      <c r="O1335" s="59">
        <f>IF(tblMovement[[#This Row],[Is_Ore]]=1,tblMovement[[#This Row],[Contained_oz]],0)</f>
        <v/>
      </c>
    </row>
    <row r="1336">
      <c r="A1336" s="54" t="n"/>
      <c r="B1336" s="61" t="n"/>
      <c r="C1336" s="61" t="n"/>
      <c r="D1336" s="61" t="n"/>
      <c r="E1336" s="61" t="n"/>
      <c r="F1336" s="55" t="n"/>
      <c r="G1336" s="56" t="n"/>
      <c r="H1336" s="55" t="n"/>
      <c r="I1336" s="62" t="n"/>
      <c r="J1336" s="58" t="n"/>
      <c r="K1336" s="63">
        <f>IF(tblMovement[[#This Row],[Source]]="","",IFERROR(INDEX(tblSources[Type],MATCH(tblMovement[[#This Row],[Source]],tblSources[Source],0)),"?"))</f>
        <v/>
      </c>
      <c r="L1336" s="63">
        <f>IF(tblMovement[[#This Row],[Destination]]="","",IFERROR(INDEX(tblDestinations[Type],MATCH(tblMovement[[#This Row],[Destination]],tblDestinations[Destination],0)),"?"))</f>
        <v/>
      </c>
      <c r="M1336" s="64">
        <f>IF(tblMovement[[#This Row],[Material]]="","",IF(LEFT(tblMovement[[#This Row],[Material]],3)="Ore",1,0))</f>
        <v/>
      </c>
      <c r="N1336" s="59">
        <f>IF(OR(tblMovement[[#This Row],[Tonnes_t]]="",tblMovement[[#This Row],[Grade_gpt]]=""),0,tblMovement[[#This Row],[Tonnes_t]]*tblMovement[[#This Row],[Grade_gpt]]/cfg_TroyOz)</f>
        <v/>
      </c>
      <c r="O1336" s="59">
        <f>IF(tblMovement[[#This Row],[Is_Ore]]=1,tblMovement[[#This Row],[Contained_oz]],0)</f>
        <v/>
      </c>
    </row>
    <row r="1337">
      <c r="A1337" s="54" t="n"/>
      <c r="B1337" s="61" t="n"/>
      <c r="C1337" s="61" t="n"/>
      <c r="D1337" s="61" t="n"/>
      <c r="E1337" s="61" t="n"/>
      <c r="F1337" s="55" t="n"/>
      <c r="G1337" s="56" t="n"/>
      <c r="H1337" s="55" t="n"/>
      <c r="I1337" s="62" t="n"/>
      <c r="J1337" s="58" t="n"/>
      <c r="K1337" s="63">
        <f>IF(tblMovement[[#This Row],[Source]]="","",IFERROR(INDEX(tblSources[Type],MATCH(tblMovement[[#This Row],[Source]],tblSources[Source],0)),"?"))</f>
        <v/>
      </c>
      <c r="L1337" s="63">
        <f>IF(tblMovement[[#This Row],[Destination]]="","",IFERROR(INDEX(tblDestinations[Type],MATCH(tblMovement[[#This Row],[Destination]],tblDestinations[Destination],0)),"?"))</f>
        <v/>
      </c>
      <c r="M1337" s="64">
        <f>IF(tblMovement[[#This Row],[Material]]="","",IF(LEFT(tblMovement[[#This Row],[Material]],3)="Ore",1,0))</f>
        <v/>
      </c>
      <c r="N1337" s="59">
        <f>IF(OR(tblMovement[[#This Row],[Tonnes_t]]="",tblMovement[[#This Row],[Grade_gpt]]=""),0,tblMovement[[#This Row],[Tonnes_t]]*tblMovement[[#This Row],[Grade_gpt]]/cfg_TroyOz)</f>
        <v/>
      </c>
      <c r="O1337" s="59">
        <f>IF(tblMovement[[#This Row],[Is_Ore]]=1,tblMovement[[#This Row],[Contained_oz]],0)</f>
        <v/>
      </c>
    </row>
    <row r="1338">
      <c r="A1338" s="54" t="n"/>
      <c r="B1338" s="61" t="n"/>
      <c r="C1338" s="61" t="n"/>
      <c r="D1338" s="61" t="n"/>
      <c r="E1338" s="61" t="n"/>
      <c r="F1338" s="55" t="n"/>
      <c r="G1338" s="56" t="n"/>
      <c r="H1338" s="55" t="n"/>
      <c r="I1338" s="62" t="n"/>
      <c r="J1338" s="58" t="n"/>
      <c r="K1338" s="63">
        <f>IF(tblMovement[[#This Row],[Source]]="","",IFERROR(INDEX(tblSources[Type],MATCH(tblMovement[[#This Row],[Source]],tblSources[Source],0)),"?"))</f>
        <v/>
      </c>
      <c r="L1338" s="63">
        <f>IF(tblMovement[[#This Row],[Destination]]="","",IFERROR(INDEX(tblDestinations[Type],MATCH(tblMovement[[#This Row],[Destination]],tblDestinations[Destination],0)),"?"))</f>
        <v/>
      </c>
      <c r="M1338" s="64">
        <f>IF(tblMovement[[#This Row],[Material]]="","",IF(LEFT(tblMovement[[#This Row],[Material]],3)="Ore",1,0))</f>
        <v/>
      </c>
      <c r="N1338" s="59">
        <f>IF(OR(tblMovement[[#This Row],[Tonnes_t]]="",tblMovement[[#This Row],[Grade_gpt]]=""),0,tblMovement[[#This Row],[Tonnes_t]]*tblMovement[[#This Row],[Grade_gpt]]/cfg_TroyOz)</f>
        <v/>
      </c>
      <c r="O1338" s="59">
        <f>IF(tblMovement[[#This Row],[Is_Ore]]=1,tblMovement[[#This Row],[Contained_oz]],0)</f>
        <v/>
      </c>
    </row>
    <row r="1339">
      <c r="A1339" s="54" t="n"/>
      <c r="B1339" s="61" t="n"/>
      <c r="C1339" s="61" t="n"/>
      <c r="D1339" s="61" t="n"/>
      <c r="E1339" s="61" t="n"/>
      <c r="F1339" s="55" t="n"/>
      <c r="G1339" s="56" t="n"/>
      <c r="H1339" s="55" t="n"/>
      <c r="I1339" s="62" t="n"/>
      <c r="J1339" s="58" t="n"/>
      <c r="K1339" s="63">
        <f>IF(tblMovement[[#This Row],[Source]]="","",IFERROR(INDEX(tblSources[Type],MATCH(tblMovement[[#This Row],[Source]],tblSources[Source],0)),"?"))</f>
        <v/>
      </c>
      <c r="L1339" s="63">
        <f>IF(tblMovement[[#This Row],[Destination]]="","",IFERROR(INDEX(tblDestinations[Type],MATCH(tblMovement[[#This Row],[Destination]],tblDestinations[Destination],0)),"?"))</f>
        <v/>
      </c>
      <c r="M1339" s="64">
        <f>IF(tblMovement[[#This Row],[Material]]="","",IF(LEFT(tblMovement[[#This Row],[Material]],3)="Ore",1,0))</f>
        <v/>
      </c>
      <c r="N1339" s="59">
        <f>IF(OR(tblMovement[[#This Row],[Tonnes_t]]="",tblMovement[[#This Row],[Grade_gpt]]=""),0,tblMovement[[#This Row],[Tonnes_t]]*tblMovement[[#This Row],[Grade_gpt]]/cfg_TroyOz)</f>
        <v/>
      </c>
      <c r="O1339" s="59">
        <f>IF(tblMovement[[#This Row],[Is_Ore]]=1,tblMovement[[#This Row],[Contained_oz]],0)</f>
        <v/>
      </c>
    </row>
    <row r="1340">
      <c r="A1340" s="54" t="n"/>
      <c r="B1340" s="61" t="n"/>
      <c r="C1340" s="61" t="n"/>
      <c r="D1340" s="61" t="n"/>
      <c r="E1340" s="61" t="n"/>
      <c r="F1340" s="55" t="n"/>
      <c r="G1340" s="56" t="n"/>
      <c r="H1340" s="55" t="n"/>
      <c r="I1340" s="62" t="n"/>
      <c r="J1340" s="58" t="n"/>
      <c r="K1340" s="63">
        <f>IF(tblMovement[[#This Row],[Source]]="","",IFERROR(INDEX(tblSources[Type],MATCH(tblMovement[[#This Row],[Source]],tblSources[Source],0)),"?"))</f>
        <v/>
      </c>
      <c r="L1340" s="63">
        <f>IF(tblMovement[[#This Row],[Destination]]="","",IFERROR(INDEX(tblDestinations[Type],MATCH(tblMovement[[#This Row],[Destination]],tblDestinations[Destination],0)),"?"))</f>
        <v/>
      </c>
      <c r="M1340" s="64">
        <f>IF(tblMovement[[#This Row],[Material]]="","",IF(LEFT(tblMovement[[#This Row],[Material]],3)="Ore",1,0))</f>
        <v/>
      </c>
      <c r="N1340" s="59">
        <f>IF(OR(tblMovement[[#This Row],[Tonnes_t]]="",tblMovement[[#This Row],[Grade_gpt]]=""),0,tblMovement[[#This Row],[Tonnes_t]]*tblMovement[[#This Row],[Grade_gpt]]/cfg_TroyOz)</f>
        <v/>
      </c>
      <c r="O1340" s="59">
        <f>IF(tblMovement[[#This Row],[Is_Ore]]=1,tblMovement[[#This Row],[Contained_oz]],0)</f>
        <v/>
      </c>
    </row>
    <row r="1341">
      <c r="A1341" s="54" t="n"/>
      <c r="B1341" s="61" t="n"/>
      <c r="C1341" s="61" t="n"/>
      <c r="D1341" s="61" t="n"/>
      <c r="E1341" s="61" t="n"/>
      <c r="F1341" s="55" t="n"/>
      <c r="G1341" s="56" t="n"/>
      <c r="H1341" s="55" t="n"/>
      <c r="I1341" s="62" t="n"/>
      <c r="J1341" s="58" t="n"/>
      <c r="K1341" s="63">
        <f>IF(tblMovement[[#This Row],[Source]]="","",IFERROR(INDEX(tblSources[Type],MATCH(tblMovement[[#This Row],[Source]],tblSources[Source],0)),"?"))</f>
        <v/>
      </c>
      <c r="L1341" s="63">
        <f>IF(tblMovement[[#This Row],[Destination]]="","",IFERROR(INDEX(tblDestinations[Type],MATCH(tblMovement[[#This Row],[Destination]],tblDestinations[Destination],0)),"?"))</f>
        <v/>
      </c>
      <c r="M1341" s="64">
        <f>IF(tblMovement[[#This Row],[Material]]="","",IF(LEFT(tblMovement[[#This Row],[Material]],3)="Ore",1,0))</f>
        <v/>
      </c>
      <c r="N1341" s="59">
        <f>IF(OR(tblMovement[[#This Row],[Tonnes_t]]="",tblMovement[[#This Row],[Grade_gpt]]=""),0,tblMovement[[#This Row],[Tonnes_t]]*tblMovement[[#This Row],[Grade_gpt]]/cfg_TroyOz)</f>
        <v/>
      </c>
      <c r="O1341" s="59">
        <f>IF(tblMovement[[#This Row],[Is_Ore]]=1,tblMovement[[#This Row],[Contained_oz]],0)</f>
        <v/>
      </c>
    </row>
    <row r="1342">
      <c r="A1342" s="54" t="n"/>
      <c r="B1342" s="61" t="n"/>
      <c r="C1342" s="61" t="n"/>
      <c r="D1342" s="61" t="n"/>
      <c r="E1342" s="61" t="n"/>
      <c r="F1342" s="55" t="n"/>
      <c r="G1342" s="56" t="n"/>
      <c r="H1342" s="55" t="n"/>
      <c r="I1342" s="62" t="n"/>
      <c r="J1342" s="58" t="n"/>
      <c r="K1342" s="63">
        <f>IF(tblMovement[[#This Row],[Source]]="","",IFERROR(INDEX(tblSources[Type],MATCH(tblMovement[[#This Row],[Source]],tblSources[Source],0)),"?"))</f>
        <v/>
      </c>
      <c r="L1342" s="63">
        <f>IF(tblMovement[[#This Row],[Destination]]="","",IFERROR(INDEX(tblDestinations[Type],MATCH(tblMovement[[#This Row],[Destination]],tblDestinations[Destination],0)),"?"))</f>
        <v/>
      </c>
      <c r="M1342" s="64">
        <f>IF(tblMovement[[#This Row],[Material]]="","",IF(LEFT(tblMovement[[#This Row],[Material]],3)="Ore",1,0))</f>
        <v/>
      </c>
      <c r="N1342" s="59">
        <f>IF(OR(tblMovement[[#This Row],[Tonnes_t]]="",tblMovement[[#This Row],[Grade_gpt]]=""),0,tblMovement[[#This Row],[Tonnes_t]]*tblMovement[[#This Row],[Grade_gpt]]/cfg_TroyOz)</f>
        <v/>
      </c>
      <c r="O1342" s="59">
        <f>IF(tblMovement[[#This Row],[Is_Ore]]=1,tblMovement[[#This Row],[Contained_oz]],0)</f>
        <v/>
      </c>
    </row>
    <row r="1343">
      <c r="A1343" s="54" t="n"/>
      <c r="B1343" s="61" t="n"/>
      <c r="C1343" s="61" t="n"/>
      <c r="D1343" s="61" t="n"/>
      <c r="E1343" s="61" t="n"/>
      <c r="F1343" s="55" t="n"/>
      <c r="G1343" s="56" t="n"/>
      <c r="H1343" s="55" t="n"/>
      <c r="I1343" s="62" t="n"/>
      <c r="J1343" s="58" t="n"/>
      <c r="K1343" s="63">
        <f>IF(tblMovement[[#This Row],[Source]]="","",IFERROR(INDEX(tblSources[Type],MATCH(tblMovement[[#This Row],[Source]],tblSources[Source],0)),"?"))</f>
        <v/>
      </c>
      <c r="L1343" s="63">
        <f>IF(tblMovement[[#This Row],[Destination]]="","",IFERROR(INDEX(tblDestinations[Type],MATCH(tblMovement[[#This Row],[Destination]],tblDestinations[Destination],0)),"?"))</f>
        <v/>
      </c>
      <c r="M1343" s="64">
        <f>IF(tblMovement[[#This Row],[Material]]="","",IF(LEFT(tblMovement[[#This Row],[Material]],3)="Ore",1,0))</f>
        <v/>
      </c>
      <c r="N1343" s="59">
        <f>IF(OR(tblMovement[[#This Row],[Tonnes_t]]="",tblMovement[[#This Row],[Grade_gpt]]=""),0,tblMovement[[#This Row],[Tonnes_t]]*tblMovement[[#This Row],[Grade_gpt]]/cfg_TroyOz)</f>
        <v/>
      </c>
      <c r="O1343" s="59">
        <f>IF(tblMovement[[#This Row],[Is_Ore]]=1,tblMovement[[#This Row],[Contained_oz]],0)</f>
        <v/>
      </c>
    </row>
    <row r="1344">
      <c r="A1344" s="54" t="n"/>
      <c r="B1344" s="61" t="n"/>
      <c r="C1344" s="61" t="n"/>
      <c r="D1344" s="61" t="n"/>
      <c r="E1344" s="61" t="n"/>
      <c r="F1344" s="55" t="n"/>
      <c r="G1344" s="56" t="n"/>
      <c r="H1344" s="55" t="n"/>
      <c r="I1344" s="62" t="n"/>
      <c r="J1344" s="58" t="n"/>
      <c r="K1344" s="63">
        <f>IF(tblMovement[[#This Row],[Source]]="","",IFERROR(INDEX(tblSources[Type],MATCH(tblMovement[[#This Row],[Source]],tblSources[Source],0)),"?"))</f>
        <v/>
      </c>
      <c r="L1344" s="63">
        <f>IF(tblMovement[[#This Row],[Destination]]="","",IFERROR(INDEX(tblDestinations[Type],MATCH(tblMovement[[#This Row],[Destination]],tblDestinations[Destination],0)),"?"))</f>
        <v/>
      </c>
      <c r="M1344" s="64">
        <f>IF(tblMovement[[#This Row],[Material]]="","",IF(LEFT(tblMovement[[#This Row],[Material]],3)="Ore",1,0))</f>
        <v/>
      </c>
      <c r="N1344" s="59">
        <f>IF(OR(tblMovement[[#This Row],[Tonnes_t]]="",tblMovement[[#This Row],[Grade_gpt]]=""),0,tblMovement[[#This Row],[Tonnes_t]]*tblMovement[[#This Row],[Grade_gpt]]/cfg_TroyOz)</f>
        <v/>
      </c>
      <c r="O1344" s="59">
        <f>IF(tblMovement[[#This Row],[Is_Ore]]=1,tblMovement[[#This Row],[Contained_oz]],0)</f>
        <v/>
      </c>
    </row>
    <row r="1345">
      <c r="A1345" s="54" t="n"/>
      <c r="B1345" s="61" t="n"/>
      <c r="C1345" s="61" t="n"/>
      <c r="D1345" s="61" t="n"/>
      <c r="E1345" s="61" t="n"/>
      <c r="F1345" s="55" t="n"/>
      <c r="G1345" s="56" t="n"/>
      <c r="H1345" s="55" t="n"/>
      <c r="I1345" s="62" t="n"/>
      <c r="J1345" s="58" t="n"/>
      <c r="K1345" s="63">
        <f>IF(tblMovement[[#This Row],[Source]]="","",IFERROR(INDEX(tblSources[Type],MATCH(tblMovement[[#This Row],[Source]],tblSources[Source],0)),"?"))</f>
        <v/>
      </c>
      <c r="L1345" s="63">
        <f>IF(tblMovement[[#This Row],[Destination]]="","",IFERROR(INDEX(tblDestinations[Type],MATCH(tblMovement[[#This Row],[Destination]],tblDestinations[Destination],0)),"?"))</f>
        <v/>
      </c>
      <c r="M1345" s="64">
        <f>IF(tblMovement[[#This Row],[Material]]="","",IF(LEFT(tblMovement[[#This Row],[Material]],3)="Ore",1,0))</f>
        <v/>
      </c>
      <c r="N1345" s="59">
        <f>IF(OR(tblMovement[[#This Row],[Tonnes_t]]="",tblMovement[[#This Row],[Grade_gpt]]=""),0,tblMovement[[#This Row],[Tonnes_t]]*tblMovement[[#This Row],[Grade_gpt]]/cfg_TroyOz)</f>
        <v/>
      </c>
      <c r="O1345" s="59">
        <f>IF(tblMovement[[#This Row],[Is_Ore]]=1,tblMovement[[#This Row],[Contained_oz]],0)</f>
        <v/>
      </c>
    </row>
    <row r="1346">
      <c r="A1346" s="54" t="n"/>
      <c r="B1346" s="61" t="n"/>
      <c r="C1346" s="61" t="n"/>
      <c r="D1346" s="61" t="n"/>
      <c r="E1346" s="61" t="n"/>
      <c r="F1346" s="55" t="n"/>
      <c r="G1346" s="56" t="n"/>
      <c r="H1346" s="55" t="n"/>
      <c r="I1346" s="62" t="n"/>
      <c r="J1346" s="58" t="n"/>
      <c r="K1346" s="63">
        <f>IF(tblMovement[[#This Row],[Source]]="","",IFERROR(INDEX(tblSources[Type],MATCH(tblMovement[[#This Row],[Source]],tblSources[Source],0)),"?"))</f>
        <v/>
      </c>
      <c r="L1346" s="63">
        <f>IF(tblMovement[[#This Row],[Destination]]="","",IFERROR(INDEX(tblDestinations[Type],MATCH(tblMovement[[#This Row],[Destination]],tblDestinations[Destination],0)),"?"))</f>
        <v/>
      </c>
      <c r="M1346" s="64">
        <f>IF(tblMovement[[#This Row],[Material]]="","",IF(LEFT(tblMovement[[#This Row],[Material]],3)="Ore",1,0))</f>
        <v/>
      </c>
      <c r="N1346" s="59">
        <f>IF(OR(tblMovement[[#This Row],[Tonnes_t]]="",tblMovement[[#This Row],[Grade_gpt]]=""),0,tblMovement[[#This Row],[Tonnes_t]]*tblMovement[[#This Row],[Grade_gpt]]/cfg_TroyOz)</f>
        <v/>
      </c>
      <c r="O1346" s="59">
        <f>IF(tblMovement[[#This Row],[Is_Ore]]=1,tblMovement[[#This Row],[Contained_oz]],0)</f>
        <v/>
      </c>
    </row>
    <row r="1347">
      <c r="A1347" s="54" t="n"/>
      <c r="B1347" s="61" t="n"/>
      <c r="C1347" s="61" t="n"/>
      <c r="D1347" s="61" t="n"/>
      <c r="E1347" s="61" t="n"/>
      <c r="F1347" s="55" t="n"/>
      <c r="G1347" s="56" t="n"/>
      <c r="H1347" s="55" t="n"/>
      <c r="I1347" s="62" t="n"/>
      <c r="J1347" s="58" t="n"/>
      <c r="K1347" s="63">
        <f>IF(tblMovement[[#This Row],[Source]]="","",IFERROR(INDEX(tblSources[Type],MATCH(tblMovement[[#This Row],[Source]],tblSources[Source],0)),"?"))</f>
        <v/>
      </c>
      <c r="L1347" s="63">
        <f>IF(tblMovement[[#This Row],[Destination]]="","",IFERROR(INDEX(tblDestinations[Type],MATCH(tblMovement[[#This Row],[Destination]],tblDestinations[Destination],0)),"?"))</f>
        <v/>
      </c>
      <c r="M1347" s="64">
        <f>IF(tblMovement[[#This Row],[Material]]="","",IF(LEFT(tblMovement[[#This Row],[Material]],3)="Ore",1,0))</f>
        <v/>
      </c>
      <c r="N1347" s="59">
        <f>IF(OR(tblMovement[[#This Row],[Tonnes_t]]="",tblMovement[[#This Row],[Grade_gpt]]=""),0,tblMovement[[#This Row],[Tonnes_t]]*tblMovement[[#This Row],[Grade_gpt]]/cfg_TroyOz)</f>
        <v/>
      </c>
      <c r="O1347" s="59">
        <f>IF(tblMovement[[#This Row],[Is_Ore]]=1,tblMovement[[#This Row],[Contained_oz]],0)</f>
        <v/>
      </c>
    </row>
    <row r="1348">
      <c r="A1348" s="54" t="n"/>
      <c r="B1348" s="61" t="n"/>
      <c r="C1348" s="61" t="n"/>
      <c r="D1348" s="61" t="n"/>
      <c r="E1348" s="61" t="n"/>
      <c r="F1348" s="55" t="n"/>
      <c r="G1348" s="56" t="n"/>
      <c r="H1348" s="55" t="n"/>
      <c r="I1348" s="62" t="n"/>
      <c r="J1348" s="58" t="n"/>
      <c r="K1348" s="63">
        <f>IF(tblMovement[[#This Row],[Source]]="","",IFERROR(INDEX(tblSources[Type],MATCH(tblMovement[[#This Row],[Source]],tblSources[Source],0)),"?"))</f>
        <v/>
      </c>
      <c r="L1348" s="63">
        <f>IF(tblMovement[[#This Row],[Destination]]="","",IFERROR(INDEX(tblDestinations[Type],MATCH(tblMovement[[#This Row],[Destination]],tblDestinations[Destination],0)),"?"))</f>
        <v/>
      </c>
      <c r="M1348" s="64">
        <f>IF(tblMovement[[#This Row],[Material]]="","",IF(LEFT(tblMovement[[#This Row],[Material]],3)="Ore",1,0))</f>
        <v/>
      </c>
      <c r="N1348" s="59">
        <f>IF(OR(tblMovement[[#This Row],[Tonnes_t]]="",tblMovement[[#This Row],[Grade_gpt]]=""),0,tblMovement[[#This Row],[Tonnes_t]]*tblMovement[[#This Row],[Grade_gpt]]/cfg_TroyOz)</f>
        <v/>
      </c>
      <c r="O1348" s="59">
        <f>IF(tblMovement[[#This Row],[Is_Ore]]=1,tblMovement[[#This Row],[Contained_oz]],0)</f>
        <v/>
      </c>
    </row>
    <row r="1349">
      <c r="A1349" s="54" t="n"/>
      <c r="B1349" s="61" t="n"/>
      <c r="C1349" s="61" t="n"/>
      <c r="D1349" s="61" t="n"/>
      <c r="E1349" s="61" t="n"/>
      <c r="F1349" s="55" t="n"/>
      <c r="G1349" s="56" t="n"/>
      <c r="H1349" s="55" t="n"/>
      <c r="I1349" s="62" t="n"/>
      <c r="J1349" s="58" t="n"/>
      <c r="K1349" s="63">
        <f>IF(tblMovement[[#This Row],[Source]]="","",IFERROR(INDEX(tblSources[Type],MATCH(tblMovement[[#This Row],[Source]],tblSources[Source],0)),"?"))</f>
        <v/>
      </c>
      <c r="L1349" s="63">
        <f>IF(tblMovement[[#This Row],[Destination]]="","",IFERROR(INDEX(tblDestinations[Type],MATCH(tblMovement[[#This Row],[Destination]],tblDestinations[Destination],0)),"?"))</f>
        <v/>
      </c>
      <c r="M1349" s="64">
        <f>IF(tblMovement[[#This Row],[Material]]="","",IF(LEFT(tblMovement[[#This Row],[Material]],3)="Ore",1,0))</f>
        <v/>
      </c>
      <c r="N1349" s="59">
        <f>IF(OR(tblMovement[[#This Row],[Tonnes_t]]="",tblMovement[[#This Row],[Grade_gpt]]=""),0,tblMovement[[#This Row],[Tonnes_t]]*tblMovement[[#This Row],[Grade_gpt]]/cfg_TroyOz)</f>
        <v/>
      </c>
      <c r="O1349" s="59">
        <f>IF(tblMovement[[#This Row],[Is_Ore]]=1,tblMovement[[#This Row],[Contained_oz]],0)</f>
        <v/>
      </c>
    </row>
    <row r="1350">
      <c r="A1350" s="54" t="n"/>
      <c r="B1350" s="61" t="n"/>
      <c r="C1350" s="61" t="n"/>
      <c r="D1350" s="61" t="n"/>
      <c r="E1350" s="61" t="n"/>
      <c r="F1350" s="55" t="n"/>
      <c r="G1350" s="56" t="n"/>
      <c r="H1350" s="55" t="n"/>
      <c r="I1350" s="62" t="n"/>
      <c r="J1350" s="58" t="n"/>
      <c r="K1350" s="63">
        <f>IF(tblMovement[[#This Row],[Source]]="","",IFERROR(INDEX(tblSources[Type],MATCH(tblMovement[[#This Row],[Source]],tblSources[Source],0)),"?"))</f>
        <v/>
      </c>
      <c r="L1350" s="63">
        <f>IF(tblMovement[[#This Row],[Destination]]="","",IFERROR(INDEX(tblDestinations[Type],MATCH(tblMovement[[#This Row],[Destination]],tblDestinations[Destination],0)),"?"))</f>
        <v/>
      </c>
      <c r="M1350" s="64">
        <f>IF(tblMovement[[#This Row],[Material]]="","",IF(LEFT(tblMovement[[#This Row],[Material]],3)="Ore",1,0))</f>
        <v/>
      </c>
      <c r="N1350" s="59">
        <f>IF(OR(tblMovement[[#This Row],[Tonnes_t]]="",tblMovement[[#This Row],[Grade_gpt]]=""),0,tblMovement[[#This Row],[Tonnes_t]]*tblMovement[[#This Row],[Grade_gpt]]/cfg_TroyOz)</f>
        <v/>
      </c>
      <c r="O1350" s="59">
        <f>IF(tblMovement[[#This Row],[Is_Ore]]=1,tblMovement[[#This Row],[Contained_oz]],0)</f>
        <v/>
      </c>
    </row>
    <row r="1351">
      <c r="A1351" s="54" t="n"/>
      <c r="B1351" s="61" t="n"/>
      <c r="C1351" s="61" t="n"/>
      <c r="D1351" s="61" t="n"/>
      <c r="E1351" s="61" t="n"/>
      <c r="F1351" s="55" t="n"/>
      <c r="G1351" s="56" t="n"/>
      <c r="H1351" s="55" t="n"/>
      <c r="I1351" s="62" t="n"/>
      <c r="J1351" s="58" t="n"/>
      <c r="K1351" s="63">
        <f>IF(tblMovement[[#This Row],[Source]]="","",IFERROR(INDEX(tblSources[Type],MATCH(tblMovement[[#This Row],[Source]],tblSources[Source],0)),"?"))</f>
        <v/>
      </c>
      <c r="L1351" s="63">
        <f>IF(tblMovement[[#This Row],[Destination]]="","",IFERROR(INDEX(tblDestinations[Type],MATCH(tblMovement[[#This Row],[Destination]],tblDestinations[Destination],0)),"?"))</f>
        <v/>
      </c>
      <c r="M1351" s="64">
        <f>IF(tblMovement[[#This Row],[Material]]="","",IF(LEFT(tblMovement[[#This Row],[Material]],3)="Ore",1,0))</f>
        <v/>
      </c>
      <c r="N1351" s="59">
        <f>IF(OR(tblMovement[[#This Row],[Tonnes_t]]="",tblMovement[[#This Row],[Grade_gpt]]=""),0,tblMovement[[#This Row],[Tonnes_t]]*tblMovement[[#This Row],[Grade_gpt]]/cfg_TroyOz)</f>
        <v/>
      </c>
      <c r="O1351" s="59">
        <f>IF(tblMovement[[#This Row],[Is_Ore]]=1,tblMovement[[#This Row],[Contained_oz]],0)</f>
        <v/>
      </c>
    </row>
    <row r="1352">
      <c r="A1352" s="54" t="n"/>
      <c r="B1352" s="61" t="n"/>
      <c r="C1352" s="61" t="n"/>
      <c r="D1352" s="61" t="n"/>
      <c r="E1352" s="61" t="n"/>
      <c r="F1352" s="55" t="n"/>
      <c r="G1352" s="56" t="n"/>
      <c r="H1352" s="55" t="n"/>
      <c r="I1352" s="62" t="n"/>
      <c r="J1352" s="58" t="n"/>
      <c r="K1352" s="63">
        <f>IF(tblMovement[[#This Row],[Source]]="","",IFERROR(INDEX(tblSources[Type],MATCH(tblMovement[[#This Row],[Source]],tblSources[Source],0)),"?"))</f>
        <v/>
      </c>
      <c r="L1352" s="63">
        <f>IF(tblMovement[[#This Row],[Destination]]="","",IFERROR(INDEX(tblDestinations[Type],MATCH(tblMovement[[#This Row],[Destination]],tblDestinations[Destination],0)),"?"))</f>
        <v/>
      </c>
      <c r="M1352" s="64">
        <f>IF(tblMovement[[#This Row],[Material]]="","",IF(LEFT(tblMovement[[#This Row],[Material]],3)="Ore",1,0))</f>
        <v/>
      </c>
      <c r="N1352" s="59">
        <f>IF(OR(tblMovement[[#This Row],[Tonnes_t]]="",tblMovement[[#This Row],[Grade_gpt]]=""),0,tblMovement[[#This Row],[Tonnes_t]]*tblMovement[[#This Row],[Grade_gpt]]/cfg_TroyOz)</f>
        <v/>
      </c>
      <c r="O1352" s="59">
        <f>IF(tblMovement[[#This Row],[Is_Ore]]=1,tblMovement[[#This Row],[Contained_oz]],0)</f>
        <v/>
      </c>
    </row>
    <row r="1353">
      <c r="A1353" s="54" t="n"/>
      <c r="B1353" s="61" t="n"/>
      <c r="C1353" s="61" t="n"/>
      <c r="D1353" s="61" t="n"/>
      <c r="E1353" s="61" t="n"/>
      <c r="F1353" s="55" t="n"/>
      <c r="G1353" s="56" t="n"/>
      <c r="H1353" s="55" t="n"/>
      <c r="I1353" s="62" t="n"/>
      <c r="J1353" s="58" t="n"/>
      <c r="K1353" s="63">
        <f>IF(tblMovement[[#This Row],[Source]]="","",IFERROR(INDEX(tblSources[Type],MATCH(tblMovement[[#This Row],[Source]],tblSources[Source],0)),"?"))</f>
        <v/>
      </c>
      <c r="L1353" s="63">
        <f>IF(tblMovement[[#This Row],[Destination]]="","",IFERROR(INDEX(tblDestinations[Type],MATCH(tblMovement[[#This Row],[Destination]],tblDestinations[Destination],0)),"?"))</f>
        <v/>
      </c>
      <c r="M1353" s="64">
        <f>IF(tblMovement[[#This Row],[Material]]="","",IF(LEFT(tblMovement[[#This Row],[Material]],3)="Ore",1,0))</f>
        <v/>
      </c>
      <c r="N1353" s="59">
        <f>IF(OR(tblMovement[[#This Row],[Tonnes_t]]="",tblMovement[[#This Row],[Grade_gpt]]=""),0,tblMovement[[#This Row],[Tonnes_t]]*tblMovement[[#This Row],[Grade_gpt]]/cfg_TroyOz)</f>
        <v/>
      </c>
      <c r="O1353" s="59">
        <f>IF(tblMovement[[#This Row],[Is_Ore]]=1,tblMovement[[#This Row],[Contained_oz]],0)</f>
        <v/>
      </c>
    </row>
    <row r="1354">
      <c r="A1354" s="54" t="n"/>
      <c r="B1354" s="61" t="n"/>
      <c r="C1354" s="61" t="n"/>
      <c r="D1354" s="61" t="n"/>
      <c r="E1354" s="61" t="n"/>
      <c r="F1354" s="55" t="n"/>
      <c r="G1354" s="56" t="n"/>
      <c r="H1354" s="55" t="n"/>
      <c r="I1354" s="62" t="n"/>
      <c r="J1354" s="58" t="n"/>
      <c r="K1354" s="63">
        <f>IF(tblMovement[[#This Row],[Source]]="","",IFERROR(INDEX(tblSources[Type],MATCH(tblMovement[[#This Row],[Source]],tblSources[Source],0)),"?"))</f>
        <v/>
      </c>
      <c r="L1354" s="63">
        <f>IF(tblMovement[[#This Row],[Destination]]="","",IFERROR(INDEX(tblDestinations[Type],MATCH(tblMovement[[#This Row],[Destination]],tblDestinations[Destination],0)),"?"))</f>
        <v/>
      </c>
      <c r="M1354" s="64">
        <f>IF(tblMovement[[#This Row],[Material]]="","",IF(LEFT(tblMovement[[#This Row],[Material]],3)="Ore",1,0))</f>
        <v/>
      </c>
      <c r="N1354" s="59">
        <f>IF(OR(tblMovement[[#This Row],[Tonnes_t]]="",tblMovement[[#This Row],[Grade_gpt]]=""),0,tblMovement[[#This Row],[Tonnes_t]]*tblMovement[[#This Row],[Grade_gpt]]/cfg_TroyOz)</f>
        <v/>
      </c>
      <c r="O1354" s="59">
        <f>IF(tblMovement[[#This Row],[Is_Ore]]=1,tblMovement[[#This Row],[Contained_oz]],0)</f>
        <v/>
      </c>
    </row>
    <row r="1355">
      <c r="A1355" s="54" t="n"/>
      <c r="B1355" s="61" t="n"/>
      <c r="C1355" s="61" t="n"/>
      <c r="D1355" s="61" t="n"/>
      <c r="E1355" s="61" t="n"/>
      <c r="F1355" s="55" t="n"/>
      <c r="G1355" s="56" t="n"/>
      <c r="H1355" s="55" t="n"/>
      <c r="I1355" s="62" t="n"/>
      <c r="J1355" s="58" t="n"/>
      <c r="K1355" s="63">
        <f>IF(tblMovement[[#This Row],[Source]]="","",IFERROR(INDEX(tblSources[Type],MATCH(tblMovement[[#This Row],[Source]],tblSources[Source],0)),"?"))</f>
        <v/>
      </c>
      <c r="L1355" s="63">
        <f>IF(tblMovement[[#This Row],[Destination]]="","",IFERROR(INDEX(tblDestinations[Type],MATCH(tblMovement[[#This Row],[Destination]],tblDestinations[Destination],0)),"?"))</f>
        <v/>
      </c>
      <c r="M1355" s="64">
        <f>IF(tblMovement[[#This Row],[Material]]="","",IF(LEFT(tblMovement[[#This Row],[Material]],3)="Ore",1,0))</f>
        <v/>
      </c>
      <c r="N1355" s="59">
        <f>IF(OR(tblMovement[[#This Row],[Tonnes_t]]="",tblMovement[[#This Row],[Grade_gpt]]=""),0,tblMovement[[#This Row],[Tonnes_t]]*tblMovement[[#This Row],[Grade_gpt]]/cfg_TroyOz)</f>
        <v/>
      </c>
      <c r="O1355" s="59">
        <f>IF(tblMovement[[#This Row],[Is_Ore]]=1,tblMovement[[#This Row],[Contained_oz]],0)</f>
        <v/>
      </c>
    </row>
    <row r="1356">
      <c r="A1356" s="54" t="n"/>
      <c r="B1356" s="61" t="n"/>
      <c r="C1356" s="61" t="n"/>
      <c r="D1356" s="61" t="n"/>
      <c r="E1356" s="61" t="n"/>
      <c r="F1356" s="55" t="n"/>
      <c r="G1356" s="56" t="n"/>
      <c r="H1356" s="55" t="n"/>
      <c r="I1356" s="62" t="n"/>
      <c r="J1356" s="58" t="n"/>
      <c r="K1356" s="63">
        <f>IF(tblMovement[[#This Row],[Source]]="","",IFERROR(INDEX(tblSources[Type],MATCH(tblMovement[[#This Row],[Source]],tblSources[Source],0)),"?"))</f>
        <v/>
      </c>
      <c r="L1356" s="63">
        <f>IF(tblMovement[[#This Row],[Destination]]="","",IFERROR(INDEX(tblDestinations[Type],MATCH(tblMovement[[#This Row],[Destination]],tblDestinations[Destination],0)),"?"))</f>
        <v/>
      </c>
      <c r="M1356" s="64">
        <f>IF(tblMovement[[#This Row],[Material]]="","",IF(LEFT(tblMovement[[#This Row],[Material]],3)="Ore",1,0))</f>
        <v/>
      </c>
      <c r="N1356" s="59">
        <f>IF(OR(tblMovement[[#This Row],[Tonnes_t]]="",tblMovement[[#This Row],[Grade_gpt]]=""),0,tblMovement[[#This Row],[Tonnes_t]]*tblMovement[[#This Row],[Grade_gpt]]/cfg_TroyOz)</f>
        <v/>
      </c>
      <c r="O1356" s="59">
        <f>IF(tblMovement[[#This Row],[Is_Ore]]=1,tblMovement[[#This Row],[Contained_oz]],0)</f>
        <v/>
      </c>
    </row>
    <row r="1357">
      <c r="A1357" s="54" t="n"/>
      <c r="B1357" s="61" t="n"/>
      <c r="C1357" s="61" t="n"/>
      <c r="D1357" s="61" t="n"/>
      <c r="E1357" s="61" t="n"/>
      <c r="F1357" s="55" t="n"/>
      <c r="G1357" s="56" t="n"/>
      <c r="H1357" s="55" t="n"/>
      <c r="I1357" s="62" t="n"/>
      <c r="J1357" s="58" t="n"/>
      <c r="K1357" s="63">
        <f>IF(tblMovement[[#This Row],[Source]]="","",IFERROR(INDEX(tblSources[Type],MATCH(tblMovement[[#This Row],[Source]],tblSources[Source],0)),"?"))</f>
        <v/>
      </c>
      <c r="L1357" s="63">
        <f>IF(tblMovement[[#This Row],[Destination]]="","",IFERROR(INDEX(tblDestinations[Type],MATCH(tblMovement[[#This Row],[Destination]],tblDestinations[Destination],0)),"?"))</f>
        <v/>
      </c>
      <c r="M1357" s="64">
        <f>IF(tblMovement[[#This Row],[Material]]="","",IF(LEFT(tblMovement[[#This Row],[Material]],3)="Ore",1,0))</f>
        <v/>
      </c>
      <c r="N1357" s="59">
        <f>IF(OR(tblMovement[[#This Row],[Tonnes_t]]="",tblMovement[[#This Row],[Grade_gpt]]=""),0,tblMovement[[#This Row],[Tonnes_t]]*tblMovement[[#This Row],[Grade_gpt]]/cfg_TroyOz)</f>
        <v/>
      </c>
      <c r="O1357" s="59">
        <f>IF(tblMovement[[#This Row],[Is_Ore]]=1,tblMovement[[#This Row],[Contained_oz]],0)</f>
        <v/>
      </c>
    </row>
    <row r="1358">
      <c r="A1358" s="54" t="n"/>
      <c r="B1358" s="61" t="n"/>
      <c r="C1358" s="61" t="n"/>
      <c r="D1358" s="61" t="n"/>
      <c r="E1358" s="61" t="n"/>
      <c r="F1358" s="55" t="n"/>
      <c r="G1358" s="56" t="n"/>
      <c r="H1358" s="55" t="n"/>
      <c r="I1358" s="62" t="n"/>
      <c r="J1358" s="58" t="n"/>
      <c r="K1358" s="63">
        <f>IF(tblMovement[[#This Row],[Source]]="","",IFERROR(INDEX(tblSources[Type],MATCH(tblMovement[[#This Row],[Source]],tblSources[Source],0)),"?"))</f>
        <v/>
      </c>
      <c r="L1358" s="63">
        <f>IF(tblMovement[[#This Row],[Destination]]="","",IFERROR(INDEX(tblDestinations[Type],MATCH(tblMovement[[#This Row],[Destination]],tblDestinations[Destination],0)),"?"))</f>
        <v/>
      </c>
      <c r="M1358" s="64">
        <f>IF(tblMovement[[#This Row],[Material]]="","",IF(LEFT(tblMovement[[#This Row],[Material]],3)="Ore",1,0))</f>
        <v/>
      </c>
      <c r="N1358" s="59">
        <f>IF(OR(tblMovement[[#This Row],[Tonnes_t]]="",tblMovement[[#This Row],[Grade_gpt]]=""),0,tblMovement[[#This Row],[Tonnes_t]]*tblMovement[[#This Row],[Grade_gpt]]/cfg_TroyOz)</f>
        <v/>
      </c>
      <c r="O1358" s="59">
        <f>IF(tblMovement[[#This Row],[Is_Ore]]=1,tblMovement[[#This Row],[Contained_oz]],0)</f>
        <v/>
      </c>
    </row>
    <row r="1359">
      <c r="A1359" s="54" t="n"/>
      <c r="B1359" s="61" t="n"/>
      <c r="C1359" s="61" t="n"/>
      <c r="D1359" s="61" t="n"/>
      <c r="E1359" s="61" t="n"/>
      <c r="F1359" s="55" t="n"/>
      <c r="G1359" s="56" t="n"/>
      <c r="H1359" s="55" t="n"/>
      <c r="I1359" s="62" t="n"/>
      <c r="J1359" s="58" t="n"/>
      <c r="K1359" s="63">
        <f>IF(tblMovement[[#This Row],[Source]]="","",IFERROR(INDEX(tblSources[Type],MATCH(tblMovement[[#This Row],[Source]],tblSources[Source],0)),"?"))</f>
        <v/>
      </c>
      <c r="L1359" s="63">
        <f>IF(tblMovement[[#This Row],[Destination]]="","",IFERROR(INDEX(tblDestinations[Type],MATCH(tblMovement[[#This Row],[Destination]],tblDestinations[Destination],0)),"?"))</f>
        <v/>
      </c>
      <c r="M1359" s="64">
        <f>IF(tblMovement[[#This Row],[Material]]="","",IF(LEFT(tblMovement[[#This Row],[Material]],3)="Ore",1,0))</f>
        <v/>
      </c>
      <c r="N1359" s="59">
        <f>IF(OR(tblMovement[[#This Row],[Tonnes_t]]="",tblMovement[[#This Row],[Grade_gpt]]=""),0,tblMovement[[#This Row],[Tonnes_t]]*tblMovement[[#This Row],[Grade_gpt]]/cfg_TroyOz)</f>
        <v/>
      </c>
      <c r="O1359" s="59">
        <f>IF(tblMovement[[#This Row],[Is_Ore]]=1,tblMovement[[#This Row],[Contained_oz]],0)</f>
        <v/>
      </c>
    </row>
    <row r="1360">
      <c r="A1360" s="54" t="n"/>
      <c r="B1360" s="61" t="n"/>
      <c r="C1360" s="61" t="n"/>
      <c r="D1360" s="61" t="n"/>
      <c r="E1360" s="61" t="n"/>
      <c r="F1360" s="55" t="n"/>
      <c r="G1360" s="56" t="n"/>
      <c r="H1360" s="55" t="n"/>
      <c r="I1360" s="62" t="n"/>
      <c r="J1360" s="58" t="n"/>
      <c r="K1360" s="63">
        <f>IF(tblMovement[[#This Row],[Source]]="","",IFERROR(INDEX(tblSources[Type],MATCH(tblMovement[[#This Row],[Source]],tblSources[Source],0)),"?"))</f>
        <v/>
      </c>
      <c r="L1360" s="63">
        <f>IF(tblMovement[[#This Row],[Destination]]="","",IFERROR(INDEX(tblDestinations[Type],MATCH(tblMovement[[#This Row],[Destination]],tblDestinations[Destination],0)),"?"))</f>
        <v/>
      </c>
      <c r="M1360" s="64">
        <f>IF(tblMovement[[#This Row],[Material]]="","",IF(LEFT(tblMovement[[#This Row],[Material]],3)="Ore",1,0))</f>
        <v/>
      </c>
      <c r="N1360" s="59">
        <f>IF(OR(tblMovement[[#This Row],[Tonnes_t]]="",tblMovement[[#This Row],[Grade_gpt]]=""),0,tblMovement[[#This Row],[Tonnes_t]]*tblMovement[[#This Row],[Grade_gpt]]/cfg_TroyOz)</f>
        <v/>
      </c>
      <c r="O1360" s="59">
        <f>IF(tblMovement[[#This Row],[Is_Ore]]=1,tblMovement[[#This Row],[Contained_oz]],0)</f>
        <v/>
      </c>
    </row>
    <row r="1361">
      <c r="A1361" s="54" t="n"/>
      <c r="B1361" s="61" t="n"/>
      <c r="C1361" s="61" t="n"/>
      <c r="D1361" s="61" t="n"/>
      <c r="E1361" s="61" t="n"/>
      <c r="F1361" s="55" t="n"/>
      <c r="G1361" s="56" t="n"/>
      <c r="H1361" s="55" t="n"/>
      <c r="I1361" s="62" t="n"/>
      <c r="J1361" s="58" t="n"/>
      <c r="K1361" s="63">
        <f>IF(tblMovement[[#This Row],[Source]]="","",IFERROR(INDEX(tblSources[Type],MATCH(tblMovement[[#This Row],[Source]],tblSources[Source],0)),"?"))</f>
        <v/>
      </c>
      <c r="L1361" s="63">
        <f>IF(tblMovement[[#This Row],[Destination]]="","",IFERROR(INDEX(tblDestinations[Type],MATCH(tblMovement[[#This Row],[Destination]],tblDestinations[Destination],0)),"?"))</f>
        <v/>
      </c>
      <c r="M1361" s="64">
        <f>IF(tblMovement[[#This Row],[Material]]="","",IF(LEFT(tblMovement[[#This Row],[Material]],3)="Ore",1,0))</f>
        <v/>
      </c>
      <c r="N1361" s="59">
        <f>IF(OR(tblMovement[[#This Row],[Tonnes_t]]="",tblMovement[[#This Row],[Grade_gpt]]=""),0,tblMovement[[#This Row],[Tonnes_t]]*tblMovement[[#This Row],[Grade_gpt]]/cfg_TroyOz)</f>
        <v/>
      </c>
      <c r="O1361" s="59">
        <f>IF(tblMovement[[#This Row],[Is_Ore]]=1,tblMovement[[#This Row],[Contained_oz]],0)</f>
        <v/>
      </c>
    </row>
    <row r="1362">
      <c r="A1362" s="54" t="n"/>
      <c r="B1362" s="61" t="n"/>
      <c r="C1362" s="61" t="n"/>
      <c r="D1362" s="61" t="n"/>
      <c r="E1362" s="61" t="n"/>
      <c r="F1362" s="55" t="n"/>
      <c r="G1362" s="56" t="n"/>
      <c r="H1362" s="55" t="n"/>
      <c r="I1362" s="62" t="n"/>
      <c r="J1362" s="58" t="n"/>
      <c r="K1362" s="63">
        <f>IF(tblMovement[[#This Row],[Source]]="","",IFERROR(INDEX(tblSources[Type],MATCH(tblMovement[[#This Row],[Source]],tblSources[Source],0)),"?"))</f>
        <v/>
      </c>
      <c r="L1362" s="63">
        <f>IF(tblMovement[[#This Row],[Destination]]="","",IFERROR(INDEX(tblDestinations[Type],MATCH(tblMovement[[#This Row],[Destination]],tblDestinations[Destination],0)),"?"))</f>
        <v/>
      </c>
      <c r="M1362" s="64">
        <f>IF(tblMovement[[#This Row],[Material]]="","",IF(LEFT(tblMovement[[#This Row],[Material]],3)="Ore",1,0))</f>
        <v/>
      </c>
      <c r="N1362" s="59">
        <f>IF(OR(tblMovement[[#This Row],[Tonnes_t]]="",tblMovement[[#This Row],[Grade_gpt]]=""),0,tblMovement[[#This Row],[Tonnes_t]]*tblMovement[[#This Row],[Grade_gpt]]/cfg_TroyOz)</f>
        <v/>
      </c>
      <c r="O1362" s="59">
        <f>IF(tblMovement[[#This Row],[Is_Ore]]=1,tblMovement[[#This Row],[Contained_oz]],0)</f>
        <v/>
      </c>
    </row>
    <row r="1363">
      <c r="A1363" s="54" t="n"/>
      <c r="B1363" s="61" t="n"/>
      <c r="C1363" s="61" t="n"/>
      <c r="D1363" s="61" t="n"/>
      <c r="E1363" s="61" t="n"/>
      <c r="F1363" s="55" t="n"/>
      <c r="G1363" s="56" t="n"/>
      <c r="H1363" s="55" t="n"/>
      <c r="I1363" s="62" t="n"/>
      <c r="J1363" s="58" t="n"/>
      <c r="K1363" s="63">
        <f>IF(tblMovement[[#This Row],[Source]]="","",IFERROR(INDEX(tblSources[Type],MATCH(tblMovement[[#This Row],[Source]],tblSources[Source],0)),"?"))</f>
        <v/>
      </c>
      <c r="L1363" s="63">
        <f>IF(tblMovement[[#This Row],[Destination]]="","",IFERROR(INDEX(tblDestinations[Type],MATCH(tblMovement[[#This Row],[Destination]],tblDestinations[Destination],0)),"?"))</f>
        <v/>
      </c>
      <c r="M1363" s="64">
        <f>IF(tblMovement[[#This Row],[Material]]="","",IF(LEFT(tblMovement[[#This Row],[Material]],3)="Ore",1,0))</f>
        <v/>
      </c>
      <c r="N1363" s="59">
        <f>IF(OR(tblMovement[[#This Row],[Tonnes_t]]="",tblMovement[[#This Row],[Grade_gpt]]=""),0,tblMovement[[#This Row],[Tonnes_t]]*tblMovement[[#This Row],[Grade_gpt]]/cfg_TroyOz)</f>
        <v/>
      </c>
      <c r="O1363" s="59">
        <f>IF(tblMovement[[#This Row],[Is_Ore]]=1,tblMovement[[#This Row],[Contained_oz]],0)</f>
        <v/>
      </c>
    </row>
    <row r="1364">
      <c r="A1364" s="54" t="n"/>
      <c r="B1364" s="61" t="n"/>
      <c r="C1364" s="61" t="n"/>
      <c r="D1364" s="61" t="n"/>
      <c r="E1364" s="61" t="n"/>
      <c r="F1364" s="55" t="n"/>
      <c r="G1364" s="56" t="n"/>
      <c r="H1364" s="55" t="n"/>
      <c r="I1364" s="62" t="n"/>
      <c r="J1364" s="58" t="n"/>
      <c r="K1364" s="63">
        <f>IF(tblMovement[[#This Row],[Source]]="","",IFERROR(INDEX(tblSources[Type],MATCH(tblMovement[[#This Row],[Source]],tblSources[Source],0)),"?"))</f>
        <v/>
      </c>
      <c r="L1364" s="63">
        <f>IF(tblMovement[[#This Row],[Destination]]="","",IFERROR(INDEX(tblDestinations[Type],MATCH(tblMovement[[#This Row],[Destination]],tblDestinations[Destination],0)),"?"))</f>
        <v/>
      </c>
      <c r="M1364" s="64">
        <f>IF(tblMovement[[#This Row],[Material]]="","",IF(LEFT(tblMovement[[#This Row],[Material]],3)="Ore",1,0))</f>
        <v/>
      </c>
      <c r="N1364" s="59">
        <f>IF(OR(tblMovement[[#This Row],[Tonnes_t]]="",tblMovement[[#This Row],[Grade_gpt]]=""),0,tblMovement[[#This Row],[Tonnes_t]]*tblMovement[[#This Row],[Grade_gpt]]/cfg_TroyOz)</f>
        <v/>
      </c>
      <c r="O1364" s="59">
        <f>IF(tblMovement[[#This Row],[Is_Ore]]=1,tblMovement[[#This Row],[Contained_oz]],0)</f>
        <v/>
      </c>
    </row>
    <row r="1365">
      <c r="A1365" s="54" t="n"/>
      <c r="B1365" s="61" t="n"/>
      <c r="C1365" s="61" t="n"/>
      <c r="D1365" s="61" t="n"/>
      <c r="E1365" s="61" t="n"/>
      <c r="F1365" s="55" t="n"/>
      <c r="G1365" s="56" t="n"/>
      <c r="H1365" s="55" t="n"/>
      <c r="I1365" s="62" t="n"/>
      <c r="J1365" s="58" t="n"/>
      <c r="K1365" s="63">
        <f>IF(tblMovement[[#This Row],[Source]]="","",IFERROR(INDEX(tblSources[Type],MATCH(tblMovement[[#This Row],[Source]],tblSources[Source],0)),"?"))</f>
        <v/>
      </c>
      <c r="L1365" s="63">
        <f>IF(tblMovement[[#This Row],[Destination]]="","",IFERROR(INDEX(tblDestinations[Type],MATCH(tblMovement[[#This Row],[Destination]],tblDestinations[Destination],0)),"?"))</f>
        <v/>
      </c>
      <c r="M1365" s="64">
        <f>IF(tblMovement[[#This Row],[Material]]="","",IF(LEFT(tblMovement[[#This Row],[Material]],3)="Ore",1,0))</f>
        <v/>
      </c>
      <c r="N1365" s="59">
        <f>IF(OR(tblMovement[[#This Row],[Tonnes_t]]="",tblMovement[[#This Row],[Grade_gpt]]=""),0,tblMovement[[#This Row],[Tonnes_t]]*tblMovement[[#This Row],[Grade_gpt]]/cfg_TroyOz)</f>
        <v/>
      </c>
      <c r="O1365" s="59">
        <f>IF(tblMovement[[#This Row],[Is_Ore]]=1,tblMovement[[#This Row],[Contained_oz]],0)</f>
        <v/>
      </c>
    </row>
    <row r="1366">
      <c r="A1366" s="54" t="n"/>
      <c r="B1366" s="61" t="n"/>
      <c r="C1366" s="61" t="n"/>
      <c r="D1366" s="61" t="n"/>
      <c r="E1366" s="61" t="n"/>
      <c r="F1366" s="55" t="n"/>
      <c r="G1366" s="56" t="n"/>
      <c r="H1366" s="55" t="n"/>
      <c r="I1366" s="62" t="n"/>
      <c r="J1366" s="58" t="n"/>
      <c r="K1366" s="63">
        <f>IF(tblMovement[[#This Row],[Source]]="","",IFERROR(INDEX(tblSources[Type],MATCH(tblMovement[[#This Row],[Source]],tblSources[Source],0)),"?"))</f>
        <v/>
      </c>
      <c r="L1366" s="63">
        <f>IF(tblMovement[[#This Row],[Destination]]="","",IFERROR(INDEX(tblDestinations[Type],MATCH(tblMovement[[#This Row],[Destination]],tblDestinations[Destination],0)),"?"))</f>
        <v/>
      </c>
      <c r="M1366" s="64">
        <f>IF(tblMovement[[#This Row],[Material]]="","",IF(LEFT(tblMovement[[#This Row],[Material]],3)="Ore",1,0))</f>
        <v/>
      </c>
      <c r="N1366" s="59">
        <f>IF(OR(tblMovement[[#This Row],[Tonnes_t]]="",tblMovement[[#This Row],[Grade_gpt]]=""),0,tblMovement[[#This Row],[Tonnes_t]]*tblMovement[[#This Row],[Grade_gpt]]/cfg_TroyOz)</f>
        <v/>
      </c>
      <c r="O1366" s="59">
        <f>IF(tblMovement[[#This Row],[Is_Ore]]=1,tblMovement[[#This Row],[Contained_oz]],0)</f>
        <v/>
      </c>
    </row>
    <row r="1367">
      <c r="A1367" s="54" t="n"/>
      <c r="B1367" s="61" t="n"/>
      <c r="C1367" s="61" t="n"/>
      <c r="D1367" s="61" t="n"/>
      <c r="E1367" s="61" t="n"/>
      <c r="F1367" s="55" t="n"/>
      <c r="G1367" s="56" t="n"/>
      <c r="H1367" s="55" t="n"/>
      <c r="I1367" s="62" t="n"/>
      <c r="J1367" s="58" t="n"/>
      <c r="K1367" s="63">
        <f>IF(tblMovement[[#This Row],[Source]]="","",IFERROR(INDEX(tblSources[Type],MATCH(tblMovement[[#This Row],[Source]],tblSources[Source],0)),"?"))</f>
        <v/>
      </c>
      <c r="L1367" s="63">
        <f>IF(tblMovement[[#This Row],[Destination]]="","",IFERROR(INDEX(tblDestinations[Type],MATCH(tblMovement[[#This Row],[Destination]],tblDestinations[Destination],0)),"?"))</f>
        <v/>
      </c>
      <c r="M1367" s="64">
        <f>IF(tblMovement[[#This Row],[Material]]="","",IF(LEFT(tblMovement[[#This Row],[Material]],3)="Ore",1,0))</f>
        <v/>
      </c>
      <c r="N1367" s="59">
        <f>IF(OR(tblMovement[[#This Row],[Tonnes_t]]="",tblMovement[[#This Row],[Grade_gpt]]=""),0,tblMovement[[#This Row],[Tonnes_t]]*tblMovement[[#This Row],[Grade_gpt]]/cfg_TroyOz)</f>
        <v/>
      </c>
      <c r="O1367" s="59">
        <f>IF(tblMovement[[#This Row],[Is_Ore]]=1,tblMovement[[#This Row],[Contained_oz]],0)</f>
        <v/>
      </c>
    </row>
    <row r="1368">
      <c r="A1368" s="54" t="n"/>
      <c r="B1368" s="61" t="n"/>
      <c r="C1368" s="61" t="n"/>
      <c r="D1368" s="61" t="n"/>
      <c r="E1368" s="61" t="n"/>
      <c r="F1368" s="55" t="n"/>
      <c r="G1368" s="56" t="n"/>
      <c r="H1368" s="55" t="n"/>
      <c r="I1368" s="62" t="n"/>
      <c r="J1368" s="58" t="n"/>
      <c r="K1368" s="63">
        <f>IF(tblMovement[[#This Row],[Source]]="","",IFERROR(INDEX(tblSources[Type],MATCH(tblMovement[[#This Row],[Source]],tblSources[Source],0)),"?"))</f>
        <v/>
      </c>
      <c r="L1368" s="63">
        <f>IF(tblMovement[[#This Row],[Destination]]="","",IFERROR(INDEX(tblDestinations[Type],MATCH(tblMovement[[#This Row],[Destination]],tblDestinations[Destination],0)),"?"))</f>
        <v/>
      </c>
      <c r="M1368" s="64">
        <f>IF(tblMovement[[#This Row],[Material]]="","",IF(LEFT(tblMovement[[#This Row],[Material]],3)="Ore",1,0))</f>
        <v/>
      </c>
      <c r="N1368" s="59">
        <f>IF(OR(tblMovement[[#This Row],[Tonnes_t]]="",tblMovement[[#This Row],[Grade_gpt]]=""),0,tblMovement[[#This Row],[Tonnes_t]]*tblMovement[[#This Row],[Grade_gpt]]/cfg_TroyOz)</f>
        <v/>
      </c>
      <c r="O1368" s="59">
        <f>IF(tblMovement[[#This Row],[Is_Ore]]=1,tblMovement[[#This Row],[Contained_oz]],0)</f>
        <v/>
      </c>
    </row>
    <row r="1369">
      <c r="A1369" s="54" t="n"/>
      <c r="B1369" s="61" t="n"/>
      <c r="C1369" s="61" t="n"/>
      <c r="D1369" s="61" t="n"/>
      <c r="E1369" s="61" t="n"/>
      <c r="F1369" s="55" t="n"/>
      <c r="G1369" s="56" t="n"/>
      <c r="H1369" s="55" t="n"/>
      <c r="I1369" s="62" t="n"/>
      <c r="J1369" s="58" t="n"/>
      <c r="K1369" s="63">
        <f>IF(tblMovement[[#This Row],[Source]]="","",IFERROR(INDEX(tblSources[Type],MATCH(tblMovement[[#This Row],[Source]],tblSources[Source],0)),"?"))</f>
        <v/>
      </c>
      <c r="L1369" s="63">
        <f>IF(tblMovement[[#This Row],[Destination]]="","",IFERROR(INDEX(tblDestinations[Type],MATCH(tblMovement[[#This Row],[Destination]],tblDestinations[Destination],0)),"?"))</f>
        <v/>
      </c>
      <c r="M1369" s="64">
        <f>IF(tblMovement[[#This Row],[Material]]="","",IF(LEFT(tblMovement[[#This Row],[Material]],3)="Ore",1,0))</f>
        <v/>
      </c>
      <c r="N1369" s="59">
        <f>IF(OR(tblMovement[[#This Row],[Tonnes_t]]="",tblMovement[[#This Row],[Grade_gpt]]=""),0,tblMovement[[#This Row],[Tonnes_t]]*tblMovement[[#This Row],[Grade_gpt]]/cfg_TroyOz)</f>
        <v/>
      </c>
      <c r="O1369" s="59">
        <f>IF(tblMovement[[#This Row],[Is_Ore]]=1,tblMovement[[#This Row],[Contained_oz]],0)</f>
        <v/>
      </c>
    </row>
    <row r="1370">
      <c r="A1370" s="54" t="n"/>
      <c r="B1370" s="61" t="n"/>
      <c r="C1370" s="61" t="n"/>
      <c r="D1370" s="61" t="n"/>
      <c r="E1370" s="61" t="n"/>
      <c r="F1370" s="55" t="n"/>
      <c r="G1370" s="56" t="n"/>
      <c r="H1370" s="55" t="n"/>
      <c r="I1370" s="62" t="n"/>
      <c r="J1370" s="58" t="n"/>
      <c r="K1370" s="63">
        <f>IF(tblMovement[[#This Row],[Source]]="","",IFERROR(INDEX(tblSources[Type],MATCH(tblMovement[[#This Row],[Source]],tblSources[Source],0)),"?"))</f>
        <v/>
      </c>
      <c r="L1370" s="63">
        <f>IF(tblMovement[[#This Row],[Destination]]="","",IFERROR(INDEX(tblDestinations[Type],MATCH(tblMovement[[#This Row],[Destination]],tblDestinations[Destination],0)),"?"))</f>
        <v/>
      </c>
      <c r="M1370" s="64">
        <f>IF(tblMovement[[#This Row],[Material]]="","",IF(LEFT(tblMovement[[#This Row],[Material]],3)="Ore",1,0))</f>
        <v/>
      </c>
      <c r="N1370" s="59">
        <f>IF(OR(tblMovement[[#This Row],[Tonnes_t]]="",tblMovement[[#This Row],[Grade_gpt]]=""),0,tblMovement[[#This Row],[Tonnes_t]]*tblMovement[[#This Row],[Grade_gpt]]/cfg_TroyOz)</f>
        <v/>
      </c>
      <c r="O1370" s="59">
        <f>IF(tblMovement[[#This Row],[Is_Ore]]=1,tblMovement[[#This Row],[Contained_oz]],0)</f>
        <v/>
      </c>
    </row>
    <row r="1371">
      <c r="A1371" s="54" t="n"/>
      <c r="B1371" s="61" t="n"/>
      <c r="C1371" s="61" t="n"/>
      <c r="D1371" s="61" t="n"/>
      <c r="E1371" s="61" t="n"/>
      <c r="F1371" s="55" t="n"/>
      <c r="G1371" s="56" t="n"/>
      <c r="H1371" s="55" t="n"/>
      <c r="I1371" s="62" t="n"/>
      <c r="J1371" s="58" t="n"/>
      <c r="K1371" s="63">
        <f>IF(tblMovement[[#This Row],[Source]]="","",IFERROR(INDEX(tblSources[Type],MATCH(tblMovement[[#This Row],[Source]],tblSources[Source],0)),"?"))</f>
        <v/>
      </c>
      <c r="L1371" s="63">
        <f>IF(tblMovement[[#This Row],[Destination]]="","",IFERROR(INDEX(tblDestinations[Type],MATCH(tblMovement[[#This Row],[Destination]],tblDestinations[Destination],0)),"?"))</f>
        <v/>
      </c>
      <c r="M1371" s="64">
        <f>IF(tblMovement[[#This Row],[Material]]="","",IF(LEFT(tblMovement[[#This Row],[Material]],3)="Ore",1,0))</f>
        <v/>
      </c>
      <c r="N1371" s="59">
        <f>IF(OR(tblMovement[[#This Row],[Tonnes_t]]="",tblMovement[[#This Row],[Grade_gpt]]=""),0,tblMovement[[#This Row],[Tonnes_t]]*tblMovement[[#This Row],[Grade_gpt]]/cfg_TroyOz)</f>
        <v/>
      </c>
      <c r="O1371" s="59">
        <f>IF(tblMovement[[#This Row],[Is_Ore]]=1,tblMovement[[#This Row],[Contained_oz]],0)</f>
        <v/>
      </c>
    </row>
    <row r="1372">
      <c r="A1372" s="54" t="n"/>
      <c r="B1372" s="61" t="n"/>
      <c r="C1372" s="61" t="n"/>
      <c r="D1372" s="61" t="n"/>
      <c r="E1372" s="61" t="n"/>
      <c r="F1372" s="55" t="n"/>
      <c r="G1372" s="56" t="n"/>
      <c r="H1372" s="55" t="n"/>
      <c r="I1372" s="62" t="n"/>
      <c r="J1372" s="58" t="n"/>
      <c r="K1372" s="63">
        <f>IF(tblMovement[[#This Row],[Source]]="","",IFERROR(INDEX(tblSources[Type],MATCH(tblMovement[[#This Row],[Source]],tblSources[Source],0)),"?"))</f>
        <v/>
      </c>
      <c r="L1372" s="63">
        <f>IF(tblMovement[[#This Row],[Destination]]="","",IFERROR(INDEX(tblDestinations[Type],MATCH(tblMovement[[#This Row],[Destination]],tblDestinations[Destination],0)),"?"))</f>
        <v/>
      </c>
      <c r="M1372" s="64">
        <f>IF(tblMovement[[#This Row],[Material]]="","",IF(LEFT(tblMovement[[#This Row],[Material]],3)="Ore",1,0))</f>
        <v/>
      </c>
      <c r="N1372" s="59">
        <f>IF(OR(tblMovement[[#This Row],[Tonnes_t]]="",tblMovement[[#This Row],[Grade_gpt]]=""),0,tblMovement[[#This Row],[Tonnes_t]]*tblMovement[[#This Row],[Grade_gpt]]/cfg_TroyOz)</f>
        <v/>
      </c>
      <c r="O1372" s="59">
        <f>IF(tblMovement[[#This Row],[Is_Ore]]=1,tblMovement[[#This Row],[Contained_oz]],0)</f>
        <v/>
      </c>
    </row>
    <row r="1373">
      <c r="A1373" s="54" t="n"/>
      <c r="B1373" s="61" t="n"/>
      <c r="C1373" s="61" t="n"/>
      <c r="D1373" s="61" t="n"/>
      <c r="E1373" s="61" t="n"/>
      <c r="F1373" s="55" t="n"/>
      <c r="G1373" s="56" t="n"/>
      <c r="H1373" s="55" t="n"/>
      <c r="I1373" s="62" t="n"/>
      <c r="J1373" s="58" t="n"/>
      <c r="K1373" s="63">
        <f>IF(tblMovement[[#This Row],[Source]]="","",IFERROR(INDEX(tblSources[Type],MATCH(tblMovement[[#This Row],[Source]],tblSources[Source],0)),"?"))</f>
        <v/>
      </c>
      <c r="L1373" s="63">
        <f>IF(tblMovement[[#This Row],[Destination]]="","",IFERROR(INDEX(tblDestinations[Type],MATCH(tblMovement[[#This Row],[Destination]],tblDestinations[Destination],0)),"?"))</f>
        <v/>
      </c>
      <c r="M1373" s="64">
        <f>IF(tblMovement[[#This Row],[Material]]="","",IF(LEFT(tblMovement[[#This Row],[Material]],3)="Ore",1,0))</f>
        <v/>
      </c>
      <c r="N1373" s="59">
        <f>IF(OR(tblMovement[[#This Row],[Tonnes_t]]="",tblMovement[[#This Row],[Grade_gpt]]=""),0,tblMovement[[#This Row],[Tonnes_t]]*tblMovement[[#This Row],[Grade_gpt]]/cfg_TroyOz)</f>
        <v/>
      </c>
      <c r="O1373" s="59">
        <f>IF(tblMovement[[#This Row],[Is_Ore]]=1,tblMovement[[#This Row],[Contained_oz]],0)</f>
        <v/>
      </c>
    </row>
    <row r="1374">
      <c r="A1374" s="54" t="n"/>
      <c r="B1374" s="61" t="n"/>
      <c r="C1374" s="61" t="n"/>
      <c r="D1374" s="61" t="n"/>
      <c r="E1374" s="61" t="n"/>
      <c r="F1374" s="55" t="n"/>
      <c r="G1374" s="56" t="n"/>
      <c r="H1374" s="55" t="n"/>
      <c r="I1374" s="62" t="n"/>
      <c r="J1374" s="58" t="n"/>
      <c r="K1374" s="63">
        <f>IF(tblMovement[[#This Row],[Source]]="","",IFERROR(INDEX(tblSources[Type],MATCH(tblMovement[[#This Row],[Source]],tblSources[Source],0)),"?"))</f>
        <v/>
      </c>
      <c r="L1374" s="63">
        <f>IF(tblMovement[[#This Row],[Destination]]="","",IFERROR(INDEX(tblDestinations[Type],MATCH(tblMovement[[#This Row],[Destination]],tblDestinations[Destination],0)),"?"))</f>
        <v/>
      </c>
      <c r="M1374" s="64">
        <f>IF(tblMovement[[#This Row],[Material]]="","",IF(LEFT(tblMovement[[#This Row],[Material]],3)="Ore",1,0))</f>
        <v/>
      </c>
      <c r="N1374" s="59">
        <f>IF(OR(tblMovement[[#This Row],[Tonnes_t]]="",tblMovement[[#This Row],[Grade_gpt]]=""),0,tblMovement[[#This Row],[Tonnes_t]]*tblMovement[[#This Row],[Grade_gpt]]/cfg_TroyOz)</f>
        <v/>
      </c>
      <c r="O1374" s="59">
        <f>IF(tblMovement[[#This Row],[Is_Ore]]=1,tblMovement[[#This Row],[Contained_oz]],0)</f>
        <v/>
      </c>
    </row>
    <row r="1375">
      <c r="A1375" s="54" t="n"/>
      <c r="B1375" s="61" t="n"/>
      <c r="C1375" s="61" t="n"/>
      <c r="D1375" s="61" t="n"/>
      <c r="E1375" s="61" t="n"/>
      <c r="F1375" s="55" t="n"/>
      <c r="G1375" s="56" t="n"/>
      <c r="H1375" s="55" t="n"/>
      <c r="I1375" s="62" t="n"/>
      <c r="J1375" s="58" t="n"/>
      <c r="K1375" s="63">
        <f>IF(tblMovement[[#This Row],[Source]]="","",IFERROR(INDEX(tblSources[Type],MATCH(tblMovement[[#This Row],[Source]],tblSources[Source],0)),"?"))</f>
        <v/>
      </c>
      <c r="L1375" s="63">
        <f>IF(tblMovement[[#This Row],[Destination]]="","",IFERROR(INDEX(tblDestinations[Type],MATCH(tblMovement[[#This Row],[Destination]],tblDestinations[Destination],0)),"?"))</f>
        <v/>
      </c>
      <c r="M1375" s="64">
        <f>IF(tblMovement[[#This Row],[Material]]="","",IF(LEFT(tblMovement[[#This Row],[Material]],3)="Ore",1,0))</f>
        <v/>
      </c>
      <c r="N1375" s="59">
        <f>IF(OR(tblMovement[[#This Row],[Tonnes_t]]="",tblMovement[[#This Row],[Grade_gpt]]=""),0,tblMovement[[#This Row],[Tonnes_t]]*tblMovement[[#This Row],[Grade_gpt]]/cfg_TroyOz)</f>
        <v/>
      </c>
      <c r="O1375" s="59">
        <f>IF(tblMovement[[#This Row],[Is_Ore]]=1,tblMovement[[#This Row],[Contained_oz]],0)</f>
        <v/>
      </c>
    </row>
    <row r="1376">
      <c r="A1376" s="54" t="n"/>
      <c r="B1376" s="61" t="n"/>
      <c r="C1376" s="61" t="n"/>
      <c r="D1376" s="61" t="n"/>
      <c r="E1376" s="61" t="n"/>
      <c r="F1376" s="55" t="n"/>
      <c r="G1376" s="56" t="n"/>
      <c r="H1376" s="55" t="n"/>
      <c r="I1376" s="62" t="n"/>
      <c r="J1376" s="58" t="n"/>
      <c r="K1376" s="63">
        <f>IF(tblMovement[[#This Row],[Source]]="","",IFERROR(INDEX(tblSources[Type],MATCH(tblMovement[[#This Row],[Source]],tblSources[Source],0)),"?"))</f>
        <v/>
      </c>
      <c r="L1376" s="63">
        <f>IF(tblMovement[[#This Row],[Destination]]="","",IFERROR(INDEX(tblDestinations[Type],MATCH(tblMovement[[#This Row],[Destination]],tblDestinations[Destination],0)),"?"))</f>
        <v/>
      </c>
      <c r="M1376" s="64">
        <f>IF(tblMovement[[#This Row],[Material]]="","",IF(LEFT(tblMovement[[#This Row],[Material]],3)="Ore",1,0))</f>
        <v/>
      </c>
      <c r="N1376" s="59">
        <f>IF(OR(tblMovement[[#This Row],[Tonnes_t]]="",tblMovement[[#This Row],[Grade_gpt]]=""),0,tblMovement[[#This Row],[Tonnes_t]]*tblMovement[[#This Row],[Grade_gpt]]/cfg_TroyOz)</f>
        <v/>
      </c>
      <c r="O1376" s="59">
        <f>IF(tblMovement[[#This Row],[Is_Ore]]=1,tblMovement[[#This Row],[Contained_oz]],0)</f>
        <v/>
      </c>
    </row>
    <row r="1377">
      <c r="A1377" s="54" t="n"/>
      <c r="B1377" s="61" t="n"/>
      <c r="C1377" s="61" t="n"/>
      <c r="D1377" s="61" t="n"/>
      <c r="E1377" s="61" t="n"/>
      <c r="F1377" s="55" t="n"/>
      <c r="G1377" s="56" t="n"/>
      <c r="H1377" s="55" t="n"/>
      <c r="I1377" s="62" t="n"/>
      <c r="J1377" s="58" t="n"/>
      <c r="K1377" s="63">
        <f>IF(tblMovement[[#This Row],[Source]]="","",IFERROR(INDEX(tblSources[Type],MATCH(tblMovement[[#This Row],[Source]],tblSources[Source],0)),"?"))</f>
        <v/>
      </c>
      <c r="L1377" s="63">
        <f>IF(tblMovement[[#This Row],[Destination]]="","",IFERROR(INDEX(tblDestinations[Type],MATCH(tblMovement[[#This Row],[Destination]],tblDestinations[Destination],0)),"?"))</f>
        <v/>
      </c>
      <c r="M1377" s="64">
        <f>IF(tblMovement[[#This Row],[Material]]="","",IF(LEFT(tblMovement[[#This Row],[Material]],3)="Ore",1,0))</f>
        <v/>
      </c>
      <c r="N1377" s="59">
        <f>IF(OR(tblMovement[[#This Row],[Tonnes_t]]="",tblMovement[[#This Row],[Grade_gpt]]=""),0,tblMovement[[#This Row],[Tonnes_t]]*tblMovement[[#This Row],[Grade_gpt]]/cfg_TroyOz)</f>
        <v/>
      </c>
      <c r="O1377" s="59">
        <f>IF(tblMovement[[#This Row],[Is_Ore]]=1,tblMovement[[#This Row],[Contained_oz]],0)</f>
        <v/>
      </c>
    </row>
    <row r="1378">
      <c r="A1378" s="54" t="n"/>
      <c r="B1378" s="61" t="n"/>
      <c r="C1378" s="61" t="n"/>
      <c r="D1378" s="61" t="n"/>
      <c r="E1378" s="61" t="n"/>
      <c r="F1378" s="55" t="n"/>
      <c r="G1378" s="56" t="n"/>
      <c r="H1378" s="55" t="n"/>
      <c r="I1378" s="62" t="n"/>
      <c r="J1378" s="58" t="n"/>
      <c r="K1378" s="63">
        <f>IF(tblMovement[[#This Row],[Source]]="","",IFERROR(INDEX(tblSources[Type],MATCH(tblMovement[[#This Row],[Source]],tblSources[Source],0)),"?"))</f>
        <v/>
      </c>
      <c r="L1378" s="63">
        <f>IF(tblMovement[[#This Row],[Destination]]="","",IFERROR(INDEX(tblDestinations[Type],MATCH(tblMovement[[#This Row],[Destination]],tblDestinations[Destination],0)),"?"))</f>
        <v/>
      </c>
      <c r="M1378" s="64">
        <f>IF(tblMovement[[#This Row],[Material]]="","",IF(LEFT(tblMovement[[#This Row],[Material]],3)="Ore",1,0))</f>
        <v/>
      </c>
      <c r="N1378" s="59">
        <f>IF(OR(tblMovement[[#This Row],[Tonnes_t]]="",tblMovement[[#This Row],[Grade_gpt]]=""),0,tblMovement[[#This Row],[Tonnes_t]]*tblMovement[[#This Row],[Grade_gpt]]/cfg_TroyOz)</f>
        <v/>
      </c>
      <c r="O1378" s="59">
        <f>IF(tblMovement[[#This Row],[Is_Ore]]=1,tblMovement[[#This Row],[Contained_oz]],0)</f>
        <v/>
      </c>
    </row>
    <row r="1379">
      <c r="A1379" s="54" t="n"/>
      <c r="B1379" s="61" t="n"/>
      <c r="C1379" s="61" t="n"/>
      <c r="D1379" s="61" t="n"/>
      <c r="E1379" s="61" t="n"/>
      <c r="F1379" s="55" t="n"/>
      <c r="G1379" s="56" t="n"/>
      <c r="H1379" s="55" t="n"/>
      <c r="I1379" s="62" t="n"/>
      <c r="J1379" s="58" t="n"/>
      <c r="K1379" s="63">
        <f>IF(tblMovement[[#This Row],[Source]]="","",IFERROR(INDEX(tblSources[Type],MATCH(tblMovement[[#This Row],[Source]],tblSources[Source],0)),"?"))</f>
        <v/>
      </c>
      <c r="L1379" s="63">
        <f>IF(tblMovement[[#This Row],[Destination]]="","",IFERROR(INDEX(tblDestinations[Type],MATCH(tblMovement[[#This Row],[Destination]],tblDestinations[Destination],0)),"?"))</f>
        <v/>
      </c>
      <c r="M1379" s="64">
        <f>IF(tblMovement[[#This Row],[Material]]="","",IF(LEFT(tblMovement[[#This Row],[Material]],3)="Ore",1,0))</f>
        <v/>
      </c>
      <c r="N1379" s="59">
        <f>IF(OR(tblMovement[[#This Row],[Tonnes_t]]="",tblMovement[[#This Row],[Grade_gpt]]=""),0,tblMovement[[#This Row],[Tonnes_t]]*tblMovement[[#This Row],[Grade_gpt]]/cfg_TroyOz)</f>
        <v/>
      </c>
      <c r="O1379" s="59">
        <f>IF(tblMovement[[#This Row],[Is_Ore]]=1,tblMovement[[#This Row],[Contained_oz]],0)</f>
        <v/>
      </c>
    </row>
    <row r="1380">
      <c r="A1380" s="54" t="n"/>
      <c r="B1380" s="61" t="n"/>
      <c r="C1380" s="61" t="n"/>
      <c r="D1380" s="61" t="n"/>
      <c r="E1380" s="61" t="n"/>
      <c r="F1380" s="55" t="n"/>
      <c r="G1380" s="56" t="n"/>
      <c r="H1380" s="55" t="n"/>
      <c r="I1380" s="62" t="n"/>
      <c r="J1380" s="58" t="n"/>
      <c r="K1380" s="63">
        <f>IF(tblMovement[[#This Row],[Source]]="","",IFERROR(INDEX(tblSources[Type],MATCH(tblMovement[[#This Row],[Source]],tblSources[Source],0)),"?"))</f>
        <v/>
      </c>
      <c r="L1380" s="63">
        <f>IF(tblMovement[[#This Row],[Destination]]="","",IFERROR(INDEX(tblDestinations[Type],MATCH(tblMovement[[#This Row],[Destination]],tblDestinations[Destination],0)),"?"))</f>
        <v/>
      </c>
      <c r="M1380" s="64">
        <f>IF(tblMovement[[#This Row],[Material]]="","",IF(LEFT(tblMovement[[#This Row],[Material]],3)="Ore",1,0))</f>
        <v/>
      </c>
      <c r="N1380" s="59">
        <f>IF(OR(tblMovement[[#This Row],[Tonnes_t]]="",tblMovement[[#This Row],[Grade_gpt]]=""),0,tblMovement[[#This Row],[Tonnes_t]]*tblMovement[[#This Row],[Grade_gpt]]/cfg_TroyOz)</f>
        <v/>
      </c>
      <c r="O1380" s="59">
        <f>IF(tblMovement[[#This Row],[Is_Ore]]=1,tblMovement[[#This Row],[Contained_oz]],0)</f>
        <v/>
      </c>
    </row>
    <row r="1381">
      <c r="A1381" s="54" t="n"/>
      <c r="B1381" s="61" t="n"/>
      <c r="C1381" s="61" t="n"/>
      <c r="D1381" s="61" t="n"/>
      <c r="E1381" s="61" t="n"/>
      <c r="F1381" s="55" t="n"/>
      <c r="G1381" s="56" t="n"/>
      <c r="H1381" s="55" t="n"/>
      <c r="I1381" s="62" t="n"/>
      <c r="J1381" s="58" t="n"/>
      <c r="K1381" s="63">
        <f>IF(tblMovement[[#This Row],[Source]]="","",IFERROR(INDEX(tblSources[Type],MATCH(tblMovement[[#This Row],[Source]],tblSources[Source],0)),"?"))</f>
        <v/>
      </c>
      <c r="L1381" s="63">
        <f>IF(tblMovement[[#This Row],[Destination]]="","",IFERROR(INDEX(tblDestinations[Type],MATCH(tblMovement[[#This Row],[Destination]],tblDestinations[Destination],0)),"?"))</f>
        <v/>
      </c>
      <c r="M1381" s="64">
        <f>IF(tblMovement[[#This Row],[Material]]="","",IF(LEFT(tblMovement[[#This Row],[Material]],3)="Ore",1,0))</f>
        <v/>
      </c>
      <c r="N1381" s="59">
        <f>IF(OR(tblMovement[[#This Row],[Tonnes_t]]="",tblMovement[[#This Row],[Grade_gpt]]=""),0,tblMovement[[#This Row],[Tonnes_t]]*tblMovement[[#This Row],[Grade_gpt]]/cfg_TroyOz)</f>
        <v/>
      </c>
      <c r="O1381" s="59">
        <f>IF(tblMovement[[#This Row],[Is_Ore]]=1,tblMovement[[#This Row],[Contained_oz]],0)</f>
        <v/>
      </c>
    </row>
    <row r="1382">
      <c r="A1382" s="54" t="n"/>
      <c r="B1382" s="61" t="n"/>
      <c r="C1382" s="61" t="n"/>
      <c r="D1382" s="61" t="n"/>
      <c r="E1382" s="61" t="n"/>
      <c r="F1382" s="55" t="n"/>
      <c r="G1382" s="56" t="n"/>
      <c r="H1382" s="55" t="n"/>
      <c r="I1382" s="62" t="n"/>
      <c r="J1382" s="58" t="n"/>
      <c r="K1382" s="63">
        <f>IF(tblMovement[[#This Row],[Source]]="","",IFERROR(INDEX(tblSources[Type],MATCH(tblMovement[[#This Row],[Source]],tblSources[Source],0)),"?"))</f>
        <v/>
      </c>
      <c r="L1382" s="63">
        <f>IF(tblMovement[[#This Row],[Destination]]="","",IFERROR(INDEX(tblDestinations[Type],MATCH(tblMovement[[#This Row],[Destination]],tblDestinations[Destination],0)),"?"))</f>
        <v/>
      </c>
      <c r="M1382" s="64">
        <f>IF(tblMovement[[#This Row],[Material]]="","",IF(LEFT(tblMovement[[#This Row],[Material]],3)="Ore",1,0))</f>
        <v/>
      </c>
      <c r="N1382" s="59">
        <f>IF(OR(tblMovement[[#This Row],[Tonnes_t]]="",tblMovement[[#This Row],[Grade_gpt]]=""),0,tblMovement[[#This Row],[Tonnes_t]]*tblMovement[[#This Row],[Grade_gpt]]/cfg_TroyOz)</f>
        <v/>
      </c>
      <c r="O1382" s="59">
        <f>IF(tblMovement[[#This Row],[Is_Ore]]=1,tblMovement[[#This Row],[Contained_oz]],0)</f>
        <v/>
      </c>
    </row>
    <row r="1383">
      <c r="A1383" s="54" t="n"/>
      <c r="B1383" s="61" t="n"/>
      <c r="C1383" s="61" t="n"/>
      <c r="D1383" s="61" t="n"/>
      <c r="E1383" s="61" t="n"/>
      <c r="F1383" s="55" t="n"/>
      <c r="G1383" s="56" t="n"/>
      <c r="H1383" s="55" t="n"/>
      <c r="I1383" s="62" t="n"/>
      <c r="J1383" s="58" t="n"/>
      <c r="K1383" s="63">
        <f>IF(tblMovement[[#This Row],[Source]]="","",IFERROR(INDEX(tblSources[Type],MATCH(tblMovement[[#This Row],[Source]],tblSources[Source],0)),"?"))</f>
        <v/>
      </c>
      <c r="L1383" s="63">
        <f>IF(tblMovement[[#This Row],[Destination]]="","",IFERROR(INDEX(tblDestinations[Type],MATCH(tblMovement[[#This Row],[Destination]],tblDestinations[Destination],0)),"?"))</f>
        <v/>
      </c>
      <c r="M1383" s="64">
        <f>IF(tblMovement[[#This Row],[Material]]="","",IF(LEFT(tblMovement[[#This Row],[Material]],3)="Ore",1,0))</f>
        <v/>
      </c>
      <c r="N1383" s="59">
        <f>IF(OR(tblMovement[[#This Row],[Tonnes_t]]="",tblMovement[[#This Row],[Grade_gpt]]=""),0,tblMovement[[#This Row],[Tonnes_t]]*tblMovement[[#This Row],[Grade_gpt]]/cfg_TroyOz)</f>
        <v/>
      </c>
      <c r="O1383" s="59">
        <f>IF(tblMovement[[#This Row],[Is_Ore]]=1,tblMovement[[#This Row],[Contained_oz]],0)</f>
        <v/>
      </c>
    </row>
    <row r="1384">
      <c r="A1384" s="54" t="n"/>
      <c r="B1384" s="61" t="n"/>
      <c r="C1384" s="61" t="n"/>
      <c r="D1384" s="61" t="n"/>
      <c r="E1384" s="61" t="n"/>
      <c r="F1384" s="55" t="n"/>
      <c r="G1384" s="56" t="n"/>
      <c r="H1384" s="55" t="n"/>
      <c r="I1384" s="62" t="n"/>
      <c r="J1384" s="58" t="n"/>
      <c r="K1384" s="63">
        <f>IF(tblMovement[[#This Row],[Source]]="","",IFERROR(INDEX(tblSources[Type],MATCH(tblMovement[[#This Row],[Source]],tblSources[Source],0)),"?"))</f>
        <v/>
      </c>
      <c r="L1384" s="63">
        <f>IF(tblMovement[[#This Row],[Destination]]="","",IFERROR(INDEX(tblDestinations[Type],MATCH(tblMovement[[#This Row],[Destination]],tblDestinations[Destination],0)),"?"))</f>
        <v/>
      </c>
      <c r="M1384" s="64">
        <f>IF(tblMovement[[#This Row],[Material]]="","",IF(LEFT(tblMovement[[#This Row],[Material]],3)="Ore",1,0))</f>
        <v/>
      </c>
      <c r="N1384" s="59">
        <f>IF(OR(tblMovement[[#This Row],[Tonnes_t]]="",tblMovement[[#This Row],[Grade_gpt]]=""),0,tblMovement[[#This Row],[Tonnes_t]]*tblMovement[[#This Row],[Grade_gpt]]/cfg_TroyOz)</f>
        <v/>
      </c>
      <c r="O1384" s="59">
        <f>IF(tblMovement[[#This Row],[Is_Ore]]=1,tblMovement[[#This Row],[Contained_oz]],0)</f>
        <v/>
      </c>
    </row>
    <row r="1385">
      <c r="A1385" s="54" t="n"/>
      <c r="B1385" s="61" t="n"/>
      <c r="C1385" s="61" t="n"/>
      <c r="D1385" s="61" t="n"/>
      <c r="E1385" s="61" t="n"/>
      <c r="F1385" s="55" t="n"/>
      <c r="G1385" s="56" t="n"/>
      <c r="H1385" s="55" t="n"/>
      <c r="I1385" s="62" t="n"/>
      <c r="J1385" s="58" t="n"/>
      <c r="K1385" s="63">
        <f>IF(tblMovement[[#This Row],[Source]]="","",IFERROR(INDEX(tblSources[Type],MATCH(tblMovement[[#This Row],[Source]],tblSources[Source],0)),"?"))</f>
        <v/>
      </c>
      <c r="L1385" s="63">
        <f>IF(tblMovement[[#This Row],[Destination]]="","",IFERROR(INDEX(tblDestinations[Type],MATCH(tblMovement[[#This Row],[Destination]],tblDestinations[Destination],0)),"?"))</f>
        <v/>
      </c>
      <c r="M1385" s="64">
        <f>IF(tblMovement[[#This Row],[Material]]="","",IF(LEFT(tblMovement[[#This Row],[Material]],3)="Ore",1,0))</f>
        <v/>
      </c>
      <c r="N1385" s="59">
        <f>IF(OR(tblMovement[[#This Row],[Tonnes_t]]="",tblMovement[[#This Row],[Grade_gpt]]=""),0,tblMovement[[#This Row],[Tonnes_t]]*tblMovement[[#This Row],[Grade_gpt]]/cfg_TroyOz)</f>
        <v/>
      </c>
      <c r="O1385" s="59">
        <f>IF(tblMovement[[#This Row],[Is_Ore]]=1,tblMovement[[#This Row],[Contained_oz]],0)</f>
        <v/>
      </c>
    </row>
    <row r="1386">
      <c r="A1386" s="54" t="n"/>
      <c r="B1386" s="61" t="n"/>
      <c r="C1386" s="61" t="n"/>
      <c r="D1386" s="61" t="n"/>
      <c r="E1386" s="61" t="n"/>
      <c r="F1386" s="55" t="n"/>
      <c r="G1386" s="56" t="n"/>
      <c r="H1386" s="55" t="n"/>
      <c r="I1386" s="62" t="n"/>
      <c r="J1386" s="58" t="n"/>
      <c r="K1386" s="63">
        <f>IF(tblMovement[[#This Row],[Source]]="","",IFERROR(INDEX(tblSources[Type],MATCH(tblMovement[[#This Row],[Source]],tblSources[Source],0)),"?"))</f>
        <v/>
      </c>
      <c r="L1386" s="63">
        <f>IF(tblMovement[[#This Row],[Destination]]="","",IFERROR(INDEX(tblDestinations[Type],MATCH(tblMovement[[#This Row],[Destination]],tblDestinations[Destination],0)),"?"))</f>
        <v/>
      </c>
      <c r="M1386" s="64">
        <f>IF(tblMovement[[#This Row],[Material]]="","",IF(LEFT(tblMovement[[#This Row],[Material]],3)="Ore",1,0))</f>
        <v/>
      </c>
      <c r="N1386" s="59">
        <f>IF(OR(tblMovement[[#This Row],[Tonnes_t]]="",tblMovement[[#This Row],[Grade_gpt]]=""),0,tblMovement[[#This Row],[Tonnes_t]]*tblMovement[[#This Row],[Grade_gpt]]/cfg_TroyOz)</f>
        <v/>
      </c>
      <c r="O1386" s="59">
        <f>IF(tblMovement[[#This Row],[Is_Ore]]=1,tblMovement[[#This Row],[Contained_oz]],0)</f>
        <v/>
      </c>
    </row>
    <row r="1387">
      <c r="A1387" s="54" t="n"/>
      <c r="B1387" s="61" t="n"/>
      <c r="C1387" s="61" t="n"/>
      <c r="D1387" s="61" t="n"/>
      <c r="E1387" s="61" t="n"/>
      <c r="F1387" s="55" t="n"/>
      <c r="G1387" s="56" t="n"/>
      <c r="H1387" s="55" t="n"/>
      <c r="I1387" s="62" t="n"/>
      <c r="J1387" s="58" t="n"/>
      <c r="K1387" s="63">
        <f>IF(tblMovement[[#This Row],[Source]]="","",IFERROR(INDEX(tblSources[Type],MATCH(tblMovement[[#This Row],[Source]],tblSources[Source],0)),"?"))</f>
        <v/>
      </c>
      <c r="L1387" s="63">
        <f>IF(tblMovement[[#This Row],[Destination]]="","",IFERROR(INDEX(tblDestinations[Type],MATCH(tblMovement[[#This Row],[Destination]],tblDestinations[Destination],0)),"?"))</f>
        <v/>
      </c>
      <c r="M1387" s="64">
        <f>IF(tblMovement[[#This Row],[Material]]="","",IF(LEFT(tblMovement[[#This Row],[Material]],3)="Ore",1,0))</f>
        <v/>
      </c>
      <c r="N1387" s="59">
        <f>IF(OR(tblMovement[[#This Row],[Tonnes_t]]="",tblMovement[[#This Row],[Grade_gpt]]=""),0,tblMovement[[#This Row],[Tonnes_t]]*tblMovement[[#This Row],[Grade_gpt]]/cfg_TroyOz)</f>
        <v/>
      </c>
      <c r="O1387" s="59">
        <f>IF(tblMovement[[#This Row],[Is_Ore]]=1,tblMovement[[#This Row],[Contained_oz]],0)</f>
        <v/>
      </c>
    </row>
    <row r="1388">
      <c r="A1388" s="54" t="n"/>
      <c r="B1388" s="61" t="n"/>
      <c r="C1388" s="61" t="n"/>
      <c r="D1388" s="61" t="n"/>
      <c r="E1388" s="61" t="n"/>
      <c r="F1388" s="55" t="n"/>
      <c r="G1388" s="56" t="n"/>
      <c r="H1388" s="55" t="n"/>
      <c r="I1388" s="62" t="n"/>
      <c r="J1388" s="58" t="n"/>
      <c r="K1388" s="63">
        <f>IF(tblMovement[[#This Row],[Source]]="","",IFERROR(INDEX(tblSources[Type],MATCH(tblMovement[[#This Row],[Source]],tblSources[Source],0)),"?"))</f>
        <v/>
      </c>
      <c r="L1388" s="63">
        <f>IF(tblMovement[[#This Row],[Destination]]="","",IFERROR(INDEX(tblDestinations[Type],MATCH(tblMovement[[#This Row],[Destination]],tblDestinations[Destination],0)),"?"))</f>
        <v/>
      </c>
      <c r="M1388" s="64">
        <f>IF(tblMovement[[#This Row],[Material]]="","",IF(LEFT(tblMovement[[#This Row],[Material]],3)="Ore",1,0))</f>
        <v/>
      </c>
      <c r="N1388" s="59">
        <f>IF(OR(tblMovement[[#This Row],[Tonnes_t]]="",tblMovement[[#This Row],[Grade_gpt]]=""),0,tblMovement[[#This Row],[Tonnes_t]]*tblMovement[[#This Row],[Grade_gpt]]/cfg_TroyOz)</f>
        <v/>
      </c>
      <c r="O1388" s="59">
        <f>IF(tblMovement[[#This Row],[Is_Ore]]=1,tblMovement[[#This Row],[Contained_oz]],0)</f>
        <v/>
      </c>
    </row>
    <row r="1389">
      <c r="A1389" s="54" t="n"/>
      <c r="B1389" s="61" t="n"/>
      <c r="C1389" s="61" t="n"/>
      <c r="D1389" s="61" t="n"/>
      <c r="E1389" s="61" t="n"/>
      <c r="F1389" s="55" t="n"/>
      <c r="G1389" s="56" t="n"/>
      <c r="H1389" s="55" t="n"/>
      <c r="I1389" s="62" t="n"/>
      <c r="J1389" s="58" t="n"/>
      <c r="K1389" s="63">
        <f>IF(tblMovement[[#This Row],[Source]]="","",IFERROR(INDEX(tblSources[Type],MATCH(tblMovement[[#This Row],[Source]],tblSources[Source],0)),"?"))</f>
        <v/>
      </c>
      <c r="L1389" s="63">
        <f>IF(tblMovement[[#This Row],[Destination]]="","",IFERROR(INDEX(tblDestinations[Type],MATCH(tblMovement[[#This Row],[Destination]],tblDestinations[Destination],0)),"?"))</f>
        <v/>
      </c>
      <c r="M1389" s="64">
        <f>IF(tblMovement[[#This Row],[Material]]="","",IF(LEFT(tblMovement[[#This Row],[Material]],3)="Ore",1,0))</f>
        <v/>
      </c>
      <c r="N1389" s="59">
        <f>IF(OR(tblMovement[[#This Row],[Tonnes_t]]="",tblMovement[[#This Row],[Grade_gpt]]=""),0,tblMovement[[#This Row],[Tonnes_t]]*tblMovement[[#This Row],[Grade_gpt]]/cfg_TroyOz)</f>
        <v/>
      </c>
      <c r="O1389" s="59">
        <f>IF(tblMovement[[#This Row],[Is_Ore]]=1,tblMovement[[#This Row],[Contained_oz]],0)</f>
        <v/>
      </c>
    </row>
    <row r="1390">
      <c r="A1390" s="54" t="n"/>
      <c r="B1390" s="61" t="n"/>
      <c r="C1390" s="61" t="n"/>
      <c r="D1390" s="61" t="n"/>
      <c r="E1390" s="61" t="n"/>
      <c r="F1390" s="55" t="n"/>
      <c r="G1390" s="56" t="n"/>
      <c r="H1390" s="55" t="n"/>
      <c r="I1390" s="62" t="n"/>
      <c r="J1390" s="58" t="n"/>
      <c r="K1390" s="63">
        <f>IF(tblMovement[[#This Row],[Source]]="","",IFERROR(INDEX(tblSources[Type],MATCH(tblMovement[[#This Row],[Source]],tblSources[Source],0)),"?"))</f>
        <v/>
      </c>
      <c r="L1390" s="63">
        <f>IF(tblMovement[[#This Row],[Destination]]="","",IFERROR(INDEX(tblDestinations[Type],MATCH(tblMovement[[#This Row],[Destination]],tblDestinations[Destination],0)),"?"))</f>
        <v/>
      </c>
      <c r="M1390" s="64">
        <f>IF(tblMovement[[#This Row],[Material]]="","",IF(LEFT(tblMovement[[#This Row],[Material]],3)="Ore",1,0))</f>
        <v/>
      </c>
      <c r="N1390" s="59">
        <f>IF(OR(tblMovement[[#This Row],[Tonnes_t]]="",tblMovement[[#This Row],[Grade_gpt]]=""),0,tblMovement[[#This Row],[Tonnes_t]]*tblMovement[[#This Row],[Grade_gpt]]/cfg_TroyOz)</f>
        <v/>
      </c>
      <c r="O1390" s="59">
        <f>IF(tblMovement[[#This Row],[Is_Ore]]=1,tblMovement[[#This Row],[Contained_oz]],0)</f>
        <v/>
      </c>
    </row>
    <row r="1391">
      <c r="A1391" s="54" t="n"/>
      <c r="B1391" s="61" t="n"/>
      <c r="C1391" s="61" t="n"/>
      <c r="D1391" s="61" t="n"/>
      <c r="E1391" s="61" t="n"/>
      <c r="F1391" s="55" t="n"/>
      <c r="G1391" s="56" t="n"/>
      <c r="H1391" s="55" t="n"/>
      <c r="I1391" s="62" t="n"/>
      <c r="J1391" s="58" t="n"/>
      <c r="K1391" s="63">
        <f>IF(tblMovement[[#This Row],[Source]]="","",IFERROR(INDEX(tblSources[Type],MATCH(tblMovement[[#This Row],[Source]],tblSources[Source],0)),"?"))</f>
        <v/>
      </c>
      <c r="L1391" s="63">
        <f>IF(tblMovement[[#This Row],[Destination]]="","",IFERROR(INDEX(tblDestinations[Type],MATCH(tblMovement[[#This Row],[Destination]],tblDestinations[Destination],0)),"?"))</f>
        <v/>
      </c>
      <c r="M1391" s="64">
        <f>IF(tblMovement[[#This Row],[Material]]="","",IF(LEFT(tblMovement[[#This Row],[Material]],3)="Ore",1,0))</f>
        <v/>
      </c>
      <c r="N1391" s="59">
        <f>IF(OR(tblMovement[[#This Row],[Tonnes_t]]="",tblMovement[[#This Row],[Grade_gpt]]=""),0,tblMovement[[#This Row],[Tonnes_t]]*tblMovement[[#This Row],[Grade_gpt]]/cfg_TroyOz)</f>
        <v/>
      </c>
      <c r="O1391" s="59">
        <f>IF(tblMovement[[#This Row],[Is_Ore]]=1,tblMovement[[#This Row],[Contained_oz]],0)</f>
        <v/>
      </c>
    </row>
    <row r="1392">
      <c r="A1392" s="54" t="n"/>
      <c r="B1392" s="61" t="n"/>
      <c r="C1392" s="61" t="n"/>
      <c r="D1392" s="61" t="n"/>
      <c r="E1392" s="61" t="n"/>
      <c r="F1392" s="55" t="n"/>
      <c r="G1392" s="56" t="n"/>
      <c r="H1392" s="55" t="n"/>
      <c r="I1392" s="62" t="n"/>
      <c r="J1392" s="58" t="n"/>
      <c r="K1392" s="63">
        <f>IF(tblMovement[[#This Row],[Source]]="","",IFERROR(INDEX(tblSources[Type],MATCH(tblMovement[[#This Row],[Source]],tblSources[Source],0)),"?"))</f>
        <v/>
      </c>
      <c r="L1392" s="63">
        <f>IF(tblMovement[[#This Row],[Destination]]="","",IFERROR(INDEX(tblDestinations[Type],MATCH(tblMovement[[#This Row],[Destination]],tblDestinations[Destination],0)),"?"))</f>
        <v/>
      </c>
      <c r="M1392" s="64">
        <f>IF(tblMovement[[#This Row],[Material]]="","",IF(LEFT(tblMovement[[#This Row],[Material]],3)="Ore",1,0))</f>
        <v/>
      </c>
      <c r="N1392" s="59">
        <f>IF(OR(tblMovement[[#This Row],[Tonnes_t]]="",tblMovement[[#This Row],[Grade_gpt]]=""),0,tblMovement[[#This Row],[Tonnes_t]]*tblMovement[[#This Row],[Grade_gpt]]/cfg_TroyOz)</f>
        <v/>
      </c>
      <c r="O1392" s="59">
        <f>IF(tblMovement[[#This Row],[Is_Ore]]=1,tblMovement[[#This Row],[Contained_oz]],0)</f>
        <v/>
      </c>
    </row>
    <row r="1393">
      <c r="A1393" s="54" t="n"/>
      <c r="B1393" s="61" t="n"/>
      <c r="C1393" s="61" t="n"/>
      <c r="D1393" s="61" t="n"/>
      <c r="E1393" s="61" t="n"/>
      <c r="F1393" s="55" t="n"/>
      <c r="G1393" s="56" t="n"/>
      <c r="H1393" s="55" t="n"/>
      <c r="I1393" s="62" t="n"/>
      <c r="J1393" s="58" t="n"/>
      <c r="K1393" s="63">
        <f>IF(tblMovement[[#This Row],[Source]]="","",IFERROR(INDEX(tblSources[Type],MATCH(tblMovement[[#This Row],[Source]],tblSources[Source],0)),"?"))</f>
        <v/>
      </c>
      <c r="L1393" s="63">
        <f>IF(tblMovement[[#This Row],[Destination]]="","",IFERROR(INDEX(tblDestinations[Type],MATCH(tblMovement[[#This Row],[Destination]],tblDestinations[Destination],0)),"?"))</f>
        <v/>
      </c>
      <c r="M1393" s="64">
        <f>IF(tblMovement[[#This Row],[Material]]="","",IF(LEFT(tblMovement[[#This Row],[Material]],3)="Ore",1,0))</f>
        <v/>
      </c>
      <c r="N1393" s="59">
        <f>IF(OR(tblMovement[[#This Row],[Tonnes_t]]="",tblMovement[[#This Row],[Grade_gpt]]=""),0,tblMovement[[#This Row],[Tonnes_t]]*tblMovement[[#This Row],[Grade_gpt]]/cfg_TroyOz)</f>
        <v/>
      </c>
      <c r="O1393" s="59">
        <f>IF(tblMovement[[#This Row],[Is_Ore]]=1,tblMovement[[#This Row],[Contained_oz]],0)</f>
        <v/>
      </c>
    </row>
    <row r="1394">
      <c r="A1394" s="54" t="n"/>
      <c r="B1394" s="61" t="n"/>
      <c r="C1394" s="61" t="n"/>
      <c r="D1394" s="61" t="n"/>
      <c r="E1394" s="61" t="n"/>
      <c r="F1394" s="55" t="n"/>
      <c r="G1394" s="56" t="n"/>
      <c r="H1394" s="55" t="n"/>
      <c r="I1394" s="62" t="n"/>
      <c r="J1394" s="58" t="n"/>
      <c r="K1394" s="63">
        <f>IF(tblMovement[[#This Row],[Source]]="","",IFERROR(INDEX(tblSources[Type],MATCH(tblMovement[[#This Row],[Source]],tblSources[Source],0)),"?"))</f>
        <v/>
      </c>
      <c r="L1394" s="63">
        <f>IF(tblMovement[[#This Row],[Destination]]="","",IFERROR(INDEX(tblDestinations[Type],MATCH(tblMovement[[#This Row],[Destination]],tblDestinations[Destination],0)),"?"))</f>
        <v/>
      </c>
      <c r="M1394" s="64">
        <f>IF(tblMovement[[#This Row],[Material]]="","",IF(LEFT(tblMovement[[#This Row],[Material]],3)="Ore",1,0))</f>
        <v/>
      </c>
      <c r="N1394" s="59">
        <f>IF(OR(tblMovement[[#This Row],[Tonnes_t]]="",tblMovement[[#This Row],[Grade_gpt]]=""),0,tblMovement[[#This Row],[Tonnes_t]]*tblMovement[[#This Row],[Grade_gpt]]/cfg_TroyOz)</f>
        <v/>
      </c>
      <c r="O1394" s="59">
        <f>IF(tblMovement[[#This Row],[Is_Ore]]=1,tblMovement[[#This Row],[Contained_oz]],0)</f>
        <v/>
      </c>
    </row>
    <row r="1395">
      <c r="A1395" s="54" t="n"/>
      <c r="B1395" s="61" t="n"/>
      <c r="C1395" s="61" t="n"/>
      <c r="D1395" s="61" t="n"/>
      <c r="E1395" s="61" t="n"/>
      <c r="F1395" s="55" t="n"/>
      <c r="G1395" s="56" t="n"/>
      <c r="H1395" s="55" t="n"/>
      <c r="I1395" s="62" t="n"/>
      <c r="J1395" s="58" t="n"/>
      <c r="K1395" s="63">
        <f>IF(tblMovement[[#This Row],[Source]]="","",IFERROR(INDEX(tblSources[Type],MATCH(tblMovement[[#This Row],[Source]],tblSources[Source],0)),"?"))</f>
        <v/>
      </c>
      <c r="L1395" s="63">
        <f>IF(tblMovement[[#This Row],[Destination]]="","",IFERROR(INDEX(tblDestinations[Type],MATCH(tblMovement[[#This Row],[Destination]],tblDestinations[Destination],0)),"?"))</f>
        <v/>
      </c>
      <c r="M1395" s="64">
        <f>IF(tblMovement[[#This Row],[Material]]="","",IF(LEFT(tblMovement[[#This Row],[Material]],3)="Ore",1,0))</f>
        <v/>
      </c>
      <c r="N1395" s="59">
        <f>IF(OR(tblMovement[[#This Row],[Tonnes_t]]="",tblMovement[[#This Row],[Grade_gpt]]=""),0,tblMovement[[#This Row],[Tonnes_t]]*tblMovement[[#This Row],[Grade_gpt]]/cfg_TroyOz)</f>
        <v/>
      </c>
      <c r="O1395" s="59">
        <f>IF(tblMovement[[#This Row],[Is_Ore]]=1,tblMovement[[#This Row],[Contained_oz]],0)</f>
        <v/>
      </c>
    </row>
    <row r="1396">
      <c r="A1396" s="54" t="n"/>
      <c r="B1396" s="61" t="n"/>
      <c r="C1396" s="61" t="n"/>
      <c r="D1396" s="61" t="n"/>
      <c r="E1396" s="61" t="n"/>
      <c r="F1396" s="55" t="n"/>
      <c r="G1396" s="56" t="n"/>
      <c r="H1396" s="55" t="n"/>
      <c r="I1396" s="62" t="n"/>
      <c r="J1396" s="58" t="n"/>
      <c r="K1396" s="63">
        <f>IF(tblMovement[[#This Row],[Source]]="","",IFERROR(INDEX(tblSources[Type],MATCH(tblMovement[[#This Row],[Source]],tblSources[Source],0)),"?"))</f>
        <v/>
      </c>
      <c r="L1396" s="63">
        <f>IF(tblMovement[[#This Row],[Destination]]="","",IFERROR(INDEX(tblDestinations[Type],MATCH(tblMovement[[#This Row],[Destination]],tblDestinations[Destination],0)),"?"))</f>
        <v/>
      </c>
      <c r="M1396" s="64">
        <f>IF(tblMovement[[#This Row],[Material]]="","",IF(LEFT(tblMovement[[#This Row],[Material]],3)="Ore",1,0))</f>
        <v/>
      </c>
      <c r="N1396" s="59">
        <f>IF(OR(tblMovement[[#This Row],[Tonnes_t]]="",tblMovement[[#This Row],[Grade_gpt]]=""),0,tblMovement[[#This Row],[Tonnes_t]]*tblMovement[[#This Row],[Grade_gpt]]/cfg_TroyOz)</f>
        <v/>
      </c>
      <c r="O1396" s="59">
        <f>IF(tblMovement[[#This Row],[Is_Ore]]=1,tblMovement[[#This Row],[Contained_oz]],0)</f>
        <v/>
      </c>
    </row>
    <row r="1397">
      <c r="A1397" s="54" t="n"/>
      <c r="B1397" s="61" t="n"/>
      <c r="C1397" s="61" t="n"/>
      <c r="D1397" s="61" t="n"/>
      <c r="E1397" s="61" t="n"/>
      <c r="F1397" s="55" t="n"/>
      <c r="G1397" s="56" t="n"/>
      <c r="H1397" s="55" t="n"/>
      <c r="I1397" s="62" t="n"/>
      <c r="J1397" s="58" t="n"/>
      <c r="K1397" s="63">
        <f>IF(tblMovement[[#This Row],[Source]]="","",IFERROR(INDEX(tblSources[Type],MATCH(tblMovement[[#This Row],[Source]],tblSources[Source],0)),"?"))</f>
        <v/>
      </c>
      <c r="L1397" s="63">
        <f>IF(tblMovement[[#This Row],[Destination]]="","",IFERROR(INDEX(tblDestinations[Type],MATCH(tblMovement[[#This Row],[Destination]],tblDestinations[Destination],0)),"?"))</f>
        <v/>
      </c>
      <c r="M1397" s="64">
        <f>IF(tblMovement[[#This Row],[Material]]="","",IF(LEFT(tblMovement[[#This Row],[Material]],3)="Ore",1,0))</f>
        <v/>
      </c>
      <c r="N1397" s="59">
        <f>IF(OR(tblMovement[[#This Row],[Tonnes_t]]="",tblMovement[[#This Row],[Grade_gpt]]=""),0,tblMovement[[#This Row],[Tonnes_t]]*tblMovement[[#This Row],[Grade_gpt]]/cfg_TroyOz)</f>
        <v/>
      </c>
      <c r="O1397" s="59">
        <f>IF(tblMovement[[#This Row],[Is_Ore]]=1,tblMovement[[#This Row],[Contained_oz]],0)</f>
        <v/>
      </c>
    </row>
    <row r="1398">
      <c r="A1398" s="54" t="n"/>
      <c r="B1398" s="61" t="n"/>
      <c r="C1398" s="61" t="n"/>
      <c r="D1398" s="61" t="n"/>
      <c r="E1398" s="61" t="n"/>
      <c r="F1398" s="55" t="n"/>
      <c r="G1398" s="56" t="n"/>
      <c r="H1398" s="55" t="n"/>
      <c r="I1398" s="62" t="n"/>
      <c r="J1398" s="58" t="n"/>
      <c r="K1398" s="63">
        <f>IF(tblMovement[[#This Row],[Source]]="","",IFERROR(INDEX(tblSources[Type],MATCH(tblMovement[[#This Row],[Source]],tblSources[Source],0)),"?"))</f>
        <v/>
      </c>
      <c r="L1398" s="63">
        <f>IF(tblMovement[[#This Row],[Destination]]="","",IFERROR(INDEX(tblDestinations[Type],MATCH(tblMovement[[#This Row],[Destination]],tblDestinations[Destination],0)),"?"))</f>
        <v/>
      </c>
      <c r="M1398" s="64">
        <f>IF(tblMovement[[#This Row],[Material]]="","",IF(LEFT(tblMovement[[#This Row],[Material]],3)="Ore",1,0))</f>
        <v/>
      </c>
      <c r="N1398" s="59">
        <f>IF(OR(tblMovement[[#This Row],[Tonnes_t]]="",tblMovement[[#This Row],[Grade_gpt]]=""),0,tblMovement[[#This Row],[Tonnes_t]]*tblMovement[[#This Row],[Grade_gpt]]/cfg_TroyOz)</f>
        <v/>
      </c>
      <c r="O1398" s="59">
        <f>IF(tblMovement[[#This Row],[Is_Ore]]=1,tblMovement[[#This Row],[Contained_oz]],0)</f>
        <v/>
      </c>
    </row>
    <row r="1399">
      <c r="A1399" s="54" t="n"/>
      <c r="B1399" s="61" t="n"/>
      <c r="C1399" s="61" t="n"/>
      <c r="D1399" s="61" t="n"/>
      <c r="E1399" s="61" t="n"/>
      <c r="F1399" s="55" t="n"/>
      <c r="G1399" s="56" t="n"/>
      <c r="H1399" s="55" t="n"/>
      <c r="I1399" s="62" t="n"/>
      <c r="J1399" s="58" t="n"/>
      <c r="K1399" s="63">
        <f>IF(tblMovement[[#This Row],[Source]]="","",IFERROR(INDEX(tblSources[Type],MATCH(tblMovement[[#This Row],[Source]],tblSources[Source],0)),"?"))</f>
        <v/>
      </c>
      <c r="L1399" s="63">
        <f>IF(tblMovement[[#This Row],[Destination]]="","",IFERROR(INDEX(tblDestinations[Type],MATCH(tblMovement[[#This Row],[Destination]],tblDestinations[Destination],0)),"?"))</f>
        <v/>
      </c>
      <c r="M1399" s="64">
        <f>IF(tblMovement[[#This Row],[Material]]="","",IF(LEFT(tblMovement[[#This Row],[Material]],3)="Ore",1,0))</f>
        <v/>
      </c>
      <c r="N1399" s="59">
        <f>IF(OR(tblMovement[[#This Row],[Tonnes_t]]="",tblMovement[[#This Row],[Grade_gpt]]=""),0,tblMovement[[#This Row],[Tonnes_t]]*tblMovement[[#This Row],[Grade_gpt]]/cfg_TroyOz)</f>
        <v/>
      </c>
      <c r="O1399" s="59">
        <f>IF(tblMovement[[#This Row],[Is_Ore]]=1,tblMovement[[#This Row],[Contained_oz]],0)</f>
        <v/>
      </c>
    </row>
    <row r="1400">
      <c r="A1400" s="54" t="n"/>
      <c r="B1400" s="61" t="n"/>
      <c r="C1400" s="61" t="n"/>
      <c r="D1400" s="61" t="n"/>
      <c r="E1400" s="61" t="n"/>
      <c r="F1400" s="55" t="n"/>
      <c r="G1400" s="56" t="n"/>
      <c r="H1400" s="55" t="n"/>
      <c r="I1400" s="62" t="n"/>
      <c r="J1400" s="58" t="n"/>
      <c r="K1400" s="63">
        <f>IF(tblMovement[[#This Row],[Source]]="","",IFERROR(INDEX(tblSources[Type],MATCH(tblMovement[[#This Row],[Source]],tblSources[Source],0)),"?"))</f>
        <v/>
      </c>
      <c r="L1400" s="63">
        <f>IF(tblMovement[[#This Row],[Destination]]="","",IFERROR(INDEX(tblDestinations[Type],MATCH(tblMovement[[#This Row],[Destination]],tblDestinations[Destination],0)),"?"))</f>
        <v/>
      </c>
      <c r="M1400" s="64">
        <f>IF(tblMovement[[#This Row],[Material]]="","",IF(LEFT(tblMovement[[#This Row],[Material]],3)="Ore",1,0))</f>
        <v/>
      </c>
      <c r="N1400" s="59">
        <f>IF(OR(tblMovement[[#This Row],[Tonnes_t]]="",tblMovement[[#This Row],[Grade_gpt]]=""),0,tblMovement[[#This Row],[Tonnes_t]]*tblMovement[[#This Row],[Grade_gpt]]/cfg_TroyOz)</f>
        <v/>
      </c>
      <c r="O1400" s="59">
        <f>IF(tblMovement[[#This Row],[Is_Ore]]=1,tblMovement[[#This Row],[Contained_oz]],0)</f>
        <v/>
      </c>
    </row>
    <row r="1401">
      <c r="A1401" s="54" t="n"/>
      <c r="B1401" s="61" t="n"/>
      <c r="C1401" s="61" t="n"/>
      <c r="D1401" s="61" t="n"/>
      <c r="E1401" s="61" t="n"/>
      <c r="F1401" s="55" t="n"/>
      <c r="G1401" s="56" t="n"/>
      <c r="H1401" s="55" t="n"/>
      <c r="I1401" s="62" t="n"/>
      <c r="J1401" s="58" t="n"/>
      <c r="K1401" s="63">
        <f>IF(tblMovement[[#This Row],[Source]]="","",IFERROR(INDEX(tblSources[Type],MATCH(tblMovement[[#This Row],[Source]],tblSources[Source],0)),"?"))</f>
        <v/>
      </c>
      <c r="L1401" s="63">
        <f>IF(tblMovement[[#This Row],[Destination]]="","",IFERROR(INDEX(tblDestinations[Type],MATCH(tblMovement[[#This Row],[Destination]],tblDestinations[Destination],0)),"?"))</f>
        <v/>
      </c>
      <c r="M1401" s="64">
        <f>IF(tblMovement[[#This Row],[Material]]="","",IF(LEFT(tblMovement[[#This Row],[Material]],3)="Ore",1,0))</f>
        <v/>
      </c>
      <c r="N1401" s="59">
        <f>IF(OR(tblMovement[[#This Row],[Tonnes_t]]="",tblMovement[[#This Row],[Grade_gpt]]=""),0,tblMovement[[#This Row],[Tonnes_t]]*tblMovement[[#This Row],[Grade_gpt]]/cfg_TroyOz)</f>
        <v/>
      </c>
      <c r="O1401" s="59">
        <f>IF(tblMovement[[#This Row],[Is_Ore]]=1,tblMovement[[#This Row],[Contained_oz]],0)</f>
        <v/>
      </c>
    </row>
    <row r="1402">
      <c r="A1402" s="54" t="n"/>
      <c r="B1402" s="61" t="n"/>
      <c r="C1402" s="61" t="n"/>
      <c r="D1402" s="61" t="n"/>
      <c r="E1402" s="61" t="n"/>
      <c r="F1402" s="55" t="n"/>
      <c r="G1402" s="56" t="n"/>
      <c r="H1402" s="55" t="n"/>
      <c r="I1402" s="62" t="n"/>
      <c r="J1402" s="58" t="n"/>
      <c r="K1402" s="63">
        <f>IF(tblMovement[[#This Row],[Source]]="","",IFERROR(INDEX(tblSources[Type],MATCH(tblMovement[[#This Row],[Source]],tblSources[Source],0)),"?"))</f>
        <v/>
      </c>
      <c r="L1402" s="63">
        <f>IF(tblMovement[[#This Row],[Destination]]="","",IFERROR(INDEX(tblDestinations[Type],MATCH(tblMovement[[#This Row],[Destination]],tblDestinations[Destination],0)),"?"))</f>
        <v/>
      </c>
      <c r="M1402" s="64">
        <f>IF(tblMovement[[#This Row],[Material]]="","",IF(LEFT(tblMovement[[#This Row],[Material]],3)="Ore",1,0))</f>
        <v/>
      </c>
      <c r="N1402" s="59">
        <f>IF(OR(tblMovement[[#This Row],[Tonnes_t]]="",tblMovement[[#This Row],[Grade_gpt]]=""),0,tblMovement[[#This Row],[Tonnes_t]]*tblMovement[[#This Row],[Grade_gpt]]/cfg_TroyOz)</f>
        <v/>
      </c>
      <c r="O1402" s="59">
        <f>IF(tblMovement[[#This Row],[Is_Ore]]=1,tblMovement[[#This Row],[Contained_oz]],0)</f>
        <v/>
      </c>
    </row>
    <row r="1403">
      <c r="A1403" s="54" t="n"/>
      <c r="B1403" s="61" t="n"/>
      <c r="C1403" s="61" t="n"/>
      <c r="D1403" s="61" t="n"/>
      <c r="E1403" s="61" t="n"/>
      <c r="F1403" s="55" t="n"/>
      <c r="G1403" s="56" t="n"/>
      <c r="H1403" s="55" t="n"/>
      <c r="I1403" s="62" t="n"/>
      <c r="J1403" s="58" t="n"/>
      <c r="K1403" s="63">
        <f>IF(tblMovement[[#This Row],[Source]]="","",IFERROR(INDEX(tblSources[Type],MATCH(tblMovement[[#This Row],[Source]],tblSources[Source],0)),"?"))</f>
        <v/>
      </c>
      <c r="L1403" s="63">
        <f>IF(tblMovement[[#This Row],[Destination]]="","",IFERROR(INDEX(tblDestinations[Type],MATCH(tblMovement[[#This Row],[Destination]],tblDestinations[Destination],0)),"?"))</f>
        <v/>
      </c>
      <c r="M1403" s="64">
        <f>IF(tblMovement[[#This Row],[Material]]="","",IF(LEFT(tblMovement[[#This Row],[Material]],3)="Ore",1,0))</f>
        <v/>
      </c>
      <c r="N1403" s="59">
        <f>IF(OR(tblMovement[[#This Row],[Tonnes_t]]="",tblMovement[[#This Row],[Grade_gpt]]=""),0,tblMovement[[#This Row],[Tonnes_t]]*tblMovement[[#This Row],[Grade_gpt]]/cfg_TroyOz)</f>
        <v/>
      </c>
      <c r="O1403" s="59">
        <f>IF(tblMovement[[#This Row],[Is_Ore]]=1,tblMovement[[#This Row],[Contained_oz]],0)</f>
        <v/>
      </c>
    </row>
    <row r="1404">
      <c r="A1404" s="54" t="n"/>
      <c r="B1404" s="61" t="n"/>
      <c r="C1404" s="61" t="n"/>
      <c r="D1404" s="61" t="n"/>
      <c r="E1404" s="61" t="n"/>
      <c r="F1404" s="55" t="n"/>
      <c r="G1404" s="56" t="n"/>
      <c r="H1404" s="55" t="n"/>
      <c r="I1404" s="62" t="n"/>
      <c r="J1404" s="58" t="n"/>
      <c r="K1404" s="63">
        <f>IF(tblMovement[[#This Row],[Source]]="","",IFERROR(INDEX(tblSources[Type],MATCH(tblMovement[[#This Row],[Source]],tblSources[Source],0)),"?"))</f>
        <v/>
      </c>
      <c r="L1404" s="63">
        <f>IF(tblMovement[[#This Row],[Destination]]="","",IFERROR(INDEX(tblDestinations[Type],MATCH(tblMovement[[#This Row],[Destination]],tblDestinations[Destination],0)),"?"))</f>
        <v/>
      </c>
      <c r="M1404" s="64">
        <f>IF(tblMovement[[#This Row],[Material]]="","",IF(LEFT(tblMovement[[#This Row],[Material]],3)="Ore",1,0))</f>
        <v/>
      </c>
      <c r="N1404" s="59">
        <f>IF(OR(tblMovement[[#This Row],[Tonnes_t]]="",tblMovement[[#This Row],[Grade_gpt]]=""),0,tblMovement[[#This Row],[Tonnes_t]]*tblMovement[[#This Row],[Grade_gpt]]/cfg_TroyOz)</f>
        <v/>
      </c>
      <c r="O1404" s="59">
        <f>IF(tblMovement[[#This Row],[Is_Ore]]=1,tblMovement[[#This Row],[Contained_oz]],0)</f>
        <v/>
      </c>
    </row>
    <row r="1405">
      <c r="A1405" s="54" t="n"/>
      <c r="B1405" s="61" t="n"/>
      <c r="C1405" s="61" t="n"/>
      <c r="D1405" s="61" t="n"/>
      <c r="E1405" s="61" t="n"/>
      <c r="F1405" s="55" t="n"/>
      <c r="G1405" s="56" t="n"/>
      <c r="H1405" s="55" t="n"/>
      <c r="I1405" s="62" t="n"/>
      <c r="J1405" s="58" t="n"/>
      <c r="K1405" s="63">
        <f>IF(tblMovement[[#This Row],[Source]]="","",IFERROR(INDEX(tblSources[Type],MATCH(tblMovement[[#This Row],[Source]],tblSources[Source],0)),"?"))</f>
        <v/>
      </c>
      <c r="L1405" s="63">
        <f>IF(tblMovement[[#This Row],[Destination]]="","",IFERROR(INDEX(tblDestinations[Type],MATCH(tblMovement[[#This Row],[Destination]],tblDestinations[Destination],0)),"?"))</f>
        <v/>
      </c>
      <c r="M1405" s="64">
        <f>IF(tblMovement[[#This Row],[Material]]="","",IF(LEFT(tblMovement[[#This Row],[Material]],3)="Ore",1,0))</f>
        <v/>
      </c>
      <c r="N1405" s="59">
        <f>IF(OR(tblMovement[[#This Row],[Tonnes_t]]="",tblMovement[[#This Row],[Grade_gpt]]=""),0,tblMovement[[#This Row],[Tonnes_t]]*tblMovement[[#This Row],[Grade_gpt]]/cfg_TroyOz)</f>
        <v/>
      </c>
      <c r="O1405" s="59">
        <f>IF(tblMovement[[#This Row],[Is_Ore]]=1,tblMovement[[#This Row],[Contained_oz]],0)</f>
        <v/>
      </c>
    </row>
    <row r="1406">
      <c r="A1406" s="54" t="n"/>
      <c r="B1406" s="61" t="n"/>
      <c r="C1406" s="61" t="n"/>
      <c r="D1406" s="61" t="n"/>
      <c r="E1406" s="61" t="n"/>
      <c r="F1406" s="55" t="n"/>
      <c r="G1406" s="56" t="n"/>
      <c r="H1406" s="55" t="n"/>
      <c r="I1406" s="62" t="n"/>
      <c r="J1406" s="58" t="n"/>
      <c r="K1406" s="63">
        <f>IF(tblMovement[[#This Row],[Source]]="","",IFERROR(INDEX(tblSources[Type],MATCH(tblMovement[[#This Row],[Source]],tblSources[Source],0)),"?"))</f>
        <v/>
      </c>
      <c r="L1406" s="63">
        <f>IF(tblMovement[[#This Row],[Destination]]="","",IFERROR(INDEX(tblDestinations[Type],MATCH(tblMovement[[#This Row],[Destination]],tblDestinations[Destination],0)),"?"))</f>
        <v/>
      </c>
      <c r="M1406" s="64">
        <f>IF(tblMovement[[#This Row],[Material]]="","",IF(LEFT(tblMovement[[#This Row],[Material]],3)="Ore",1,0))</f>
        <v/>
      </c>
      <c r="N1406" s="59">
        <f>IF(OR(tblMovement[[#This Row],[Tonnes_t]]="",tblMovement[[#This Row],[Grade_gpt]]=""),0,tblMovement[[#This Row],[Tonnes_t]]*tblMovement[[#This Row],[Grade_gpt]]/cfg_TroyOz)</f>
        <v/>
      </c>
      <c r="O1406" s="59">
        <f>IF(tblMovement[[#This Row],[Is_Ore]]=1,tblMovement[[#This Row],[Contained_oz]],0)</f>
        <v/>
      </c>
    </row>
    <row r="1407">
      <c r="A1407" s="54" t="n"/>
      <c r="B1407" s="61" t="n"/>
      <c r="C1407" s="61" t="n"/>
      <c r="D1407" s="61" t="n"/>
      <c r="E1407" s="61" t="n"/>
      <c r="F1407" s="55" t="n"/>
      <c r="G1407" s="56" t="n"/>
      <c r="H1407" s="55" t="n"/>
      <c r="I1407" s="62" t="n"/>
      <c r="J1407" s="58" t="n"/>
      <c r="K1407" s="63">
        <f>IF(tblMovement[[#This Row],[Source]]="","",IFERROR(INDEX(tblSources[Type],MATCH(tblMovement[[#This Row],[Source]],tblSources[Source],0)),"?"))</f>
        <v/>
      </c>
      <c r="L1407" s="63">
        <f>IF(tblMovement[[#This Row],[Destination]]="","",IFERROR(INDEX(tblDestinations[Type],MATCH(tblMovement[[#This Row],[Destination]],tblDestinations[Destination],0)),"?"))</f>
        <v/>
      </c>
      <c r="M1407" s="64">
        <f>IF(tblMovement[[#This Row],[Material]]="","",IF(LEFT(tblMovement[[#This Row],[Material]],3)="Ore",1,0))</f>
        <v/>
      </c>
      <c r="N1407" s="59">
        <f>IF(OR(tblMovement[[#This Row],[Tonnes_t]]="",tblMovement[[#This Row],[Grade_gpt]]=""),0,tblMovement[[#This Row],[Tonnes_t]]*tblMovement[[#This Row],[Grade_gpt]]/cfg_TroyOz)</f>
        <v/>
      </c>
      <c r="O1407" s="59">
        <f>IF(tblMovement[[#This Row],[Is_Ore]]=1,tblMovement[[#This Row],[Contained_oz]],0)</f>
        <v/>
      </c>
    </row>
    <row r="1408">
      <c r="A1408" s="54" t="n"/>
      <c r="B1408" s="61" t="n"/>
      <c r="C1408" s="61" t="n"/>
      <c r="D1408" s="61" t="n"/>
      <c r="E1408" s="61" t="n"/>
      <c r="F1408" s="55" t="n"/>
      <c r="G1408" s="56" t="n"/>
      <c r="H1408" s="55" t="n"/>
      <c r="I1408" s="62" t="n"/>
      <c r="J1408" s="58" t="n"/>
      <c r="K1408" s="63">
        <f>IF(tblMovement[[#This Row],[Source]]="","",IFERROR(INDEX(tblSources[Type],MATCH(tblMovement[[#This Row],[Source]],tblSources[Source],0)),"?"))</f>
        <v/>
      </c>
      <c r="L1408" s="63">
        <f>IF(tblMovement[[#This Row],[Destination]]="","",IFERROR(INDEX(tblDestinations[Type],MATCH(tblMovement[[#This Row],[Destination]],tblDestinations[Destination],0)),"?"))</f>
        <v/>
      </c>
      <c r="M1408" s="64">
        <f>IF(tblMovement[[#This Row],[Material]]="","",IF(LEFT(tblMovement[[#This Row],[Material]],3)="Ore",1,0))</f>
        <v/>
      </c>
      <c r="N1408" s="59">
        <f>IF(OR(tblMovement[[#This Row],[Tonnes_t]]="",tblMovement[[#This Row],[Grade_gpt]]=""),0,tblMovement[[#This Row],[Tonnes_t]]*tblMovement[[#This Row],[Grade_gpt]]/cfg_TroyOz)</f>
        <v/>
      </c>
      <c r="O1408" s="59">
        <f>IF(tblMovement[[#This Row],[Is_Ore]]=1,tblMovement[[#This Row],[Contained_oz]],0)</f>
        <v/>
      </c>
    </row>
    <row r="1409">
      <c r="A1409" s="54" t="n"/>
      <c r="B1409" s="61" t="n"/>
      <c r="C1409" s="61" t="n"/>
      <c r="D1409" s="61" t="n"/>
      <c r="E1409" s="61" t="n"/>
      <c r="F1409" s="55" t="n"/>
      <c r="G1409" s="56" t="n"/>
      <c r="H1409" s="55" t="n"/>
      <c r="I1409" s="62" t="n"/>
      <c r="J1409" s="58" t="n"/>
      <c r="K1409" s="63">
        <f>IF(tblMovement[[#This Row],[Source]]="","",IFERROR(INDEX(tblSources[Type],MATCH(tblMovement[[#This Row],[Source]],tblSources[Source],0)),"?"))</f>
        <v/>
      </c>
      <c r="L1409" s="63">
        <f>IF(tblMovement[[#This Row],[Destination]]="","",IFERROR(INDEX(tblDestinations[Type],MATCH(tblMovement[[#This Row],[Destination]],tblDestinations[Destination],0)),"?"))</f>
        <v/>
      </c>
      <c r="M1409" s="64">
        <f>IF(tblMovement[[#This Row],[Material]]="","",IF(LEFT(tblMovement[[#This Row],[Material]],3)="Ore",1,0))</f>
        <v/>
      </c>
      <c r="N1409" s="59">
        <f>IF(OR(tblMovement[[#This Row],[Tonnes_t]]="",tblMovement[[#This Row],[Grade_gpt]]=""),0,tblMovement[[#This Row],[Tonnes_t]]*tblMovement[[#This Row],[Grade_gpt]]/cfg_TroyOz)</f>
        <v/>
      </c>
      <c r="O1409" s="59">
        <f>IF(tblMovement[[#This Row],[Is_Ore]]=1,tblMovement[[#This Row],[Contained_oz]],0)</f>
        <v/>
      </c>
    </row>
    <row r="1410">
      <c r="A1410" s="54" t="n"/>
      <c r="B1410" s="61" t="n"/>
      <c r="C1410" s="61" t="n"/>
      <c r="D1410" s="61" t="n"/>
      <c r="E1410" s="61" t="n"/>
      <c r="F1410" s="55" t="n"/>
      <c r="G1410" s="56" t="n"/>
      <c r="H1410" s="55" t="n"/>
      <c r="I1410" s="62" t="n"/>
      <c r="J1410" s="58" t="n"/>
      <c r="K1410" s="63">
        <f>IF(tblMovement[[#This Row],[Source]]="","",IFERROR(INDEX(tblSources[Type],MATCH(tblMovement[[#This Row],[Source]],tblSources[Source],0)),"?"))</f>
        <v/>
      </c>
      <c r="L1410" s="63">
        <f>IF(tblMovement[[#This Row],[Destination]]="","",IFERROR(INDEX(tblDestinations[Type],MATCH(tblMovement[[#This Row],[Destination]],tblDestinations[Destination],0)),"?"))</f>
        <v/>
      </c>
      <c r="M1410" s="64">
        <f>IF(tblMovement[[#This Row],[Material]]="","",IF(LEFT(tblMovement[[#This Row],[Material]],3)="Ore",1,0))</f>
        <v/>
      </c>
      <c r="N1410" s="59">
        <f>IF(OR(tblMovement[[#This Row],[Tonnes_t]]="",tblMovement[[#This Row],[Grade_gpt]]=""),0,tblMovement[[#This Row],[Tonnes_t]]*tblMovement[[#This Row],[Grade_gpt]]/cfg_TroyOz)</f>
        <v/>
      </c>
      <c r="O1410" s="59">
        <f>IF(tblMovement[[#This Row],[Is_Ore]]=1,tblMovement[[#This Row],[Contained_oz]],0)</f>
        <v/>
      </c>
    </row>
    <row r="1411">
      <c r="A1411" s="54" t="n"/>
      <c r="B1411" s="61" t="n"/>
      <c r="C1411" s="61" t="n"/>
      <c r="D1411" s="61" t="n"/>
      <c r="E1411" s="61" t="n"/>
      <c r="F1411" s="55" t="n"/>
      <c r="G1411" s="56" t="n"/>
      <c r="H1411" s="55" t="n"/>
      <c r="I1411" s="62" t="n"/>
      <c r="J1411" s="58" t="n"/>
      <c r="K1411" s="63">
        <f>IF(tblMovement[[#This Row],[Source]]="","",IFERROR(INDEX(tblSources[Type],MATCH(tblMovement[[#This Row],[Source]],tblSources[Source],0)),"?"))</f>
        <v/>
      </c>
      <c r="L1411" s="63">
        <f>IF(tblMovement[[#This Row],[Destination]]="","",IFERROR(INDEX(tblDestinations[Type],MATCH(tblMovement[[#This Row],[Destination]],tblDestinations[Destination],0)),"?"))</f>
        <v/>
      </c>
      <c r="M1411" s="64">
        <f>IF(tblMovement[[#This Row],[Material]]="","",IF(LEFT(tblMovement[[#This Row],[Material]],3)="Ore",1,0))</f>
        <v/>
      </c>
      <c r="N1411" s="59">
        <f>IF(OR(tblMovement[[#This Row],[Tonnes_t]]="",tblMovement[[#This Row],[Grade_gpt]]=""),0,tblMovement[[#This Row],[Tonnes_t]]*tblMovement[[#This Row],[Grade_gpt]]/cfg_TroyOz)</f>
        <v/>
      </c>
      <c r="O1411" s="59">
        <f>IF(tblMovement[[#This Row],[Is_Ore]]=1,tblMovement[[#This Row],[Contained_oz]],0)</f>
        <v/>
      </c>
    </row>
    <row r="1412">
      <c r="A1412" s="54" t="n"/>
      <c r="B1412" s="61" t="n"/>
      <c r="C1412" s="61" t="n"/>
      <c r="D1412" s="61" t="n"/>
      <c r="E1412" s="61" t="n"/>
      <c r="F1412" s="55" t="n"/>
      <c r="G1412" s="56" t="n"/>
      <c r="H1412" s="55" t="n"/>
      <c r="I1412" s="62" t="n"/>
      <c r="J1412" s="58" t="n"/>
      <c r="K1412" s="63">
        <f>IF(tblMovement[[#This Row],[Source]]="","",IFERROR(INDEX(tblSources[Type],MATCH(tblMovement[[#This Row],[Source]],tblSources[Source],0)),"?"))</f>
        <v/>
      </c>
      <c r="L1412" s="63">
        <f>IF(tblMovement[[#This Row],[Destination]]="","",IFERROR(INDEX(tblDestinations[Type],MATCH(tblMovement[[#This Row],[Destination]],tblDestinations[Destination],0)),"?"))</f>
        <v/>
      </c>
      <c r="M1412" s="64">
        <f>IF(tblMovement[[#This Row],[Material]]="","",IF(LEFT(tblMovement[[#This Row],[Material]],3)="Ore",1,0))</f>
        <v/>
      </c>
      <c r="N1412" s="59">
        <f>IF(OR(tblMovement[[#This Row],[Tonnes_t]]="",tblMovement[[#This Row],[Grade_gpt]]=""),0,tblMovement[[#This Row],[Tonnes_t]]*tblMovement[[#This Row],[Grade_gpt]]/cfg_TroyOz)</f>
        <v/>
      </c>
      <c r="O1412" s="59">
        <f>IF(tblMovement[[#This Row],[Is_Ore]]=1,tblMovement[[#This Row],[Contained_oz]],0)</f>
        <v/>
      </c>
    </row>
    <row r="1413">
      <c r="A1413" s="54" t="n"/>
      <c r="B1413" s="61" t="n"/>
      <c r="C1413" s="61" t="n"/>
      <c r="D1413" s="61" t="n"/>
      <c r="E1413" s="61" t="n"/>
      <c r="F1413" s="55" t="n"/>
      <c r="G1413" s="56" t="n"/>
      <c r="H1413" s="55" t="n"/>
      <c r="I1413" s="62" t="n"/>
      <c r="J1413" s="58" t="n"/>
      <c r="K1413" s="63">
        <f>IF(tblMovement[[#This Row],[Source]]="","",IFERROR(INDEX(tblSources[Type],MATCH(tblMovement[[#This Row],[Source]],tblSources[Source],0)),"?"))</f>
        <v/>
      </c>
      <c r="L1413" s="63">
        <f>IF(tblMovement[[#This Row],[Destination]]="","",IFERROR(INDEX(tblDestinations[Type],MATCH(tblMovement[[#This Row],[Destination]],tblDestinations[Destination],0)),"?"))</f>
        <v/>
      </c>
      <c r="M1413" s="64">
        <f>IF(tblMovement[[#This Row],[Material]]="","",IF(LEFT(tblMovement[[#This Row],[Material]],3)="Ore",1,0))</f>
        <v/>
      </c>
      <c r="N1413" s="59">
        <f>IF(OR(tblMovement[[#This Row],[Tonnes_t]]="",tblMovement[[#This Row],[Grade_gpt]]=""),0,tblMovement[[#This Row],[Tonnes_t]]*tblMovement[[#This Row],[Grade_gpt]]/cfg_TroyOz)</f>
        <v/>
      </c>
      <c r="O1413" s="59">
        <f>IF(tblMovement[[#This Row],[Is_Ore]]=1,tblMovement[[#This Row],[Contained_oz]],0)</f>
        <v/>
      </c>
    </row>
    <row r="1414">
      <c r="A1414" s="54" t="n"/>
      <c r="B1414" s="61" t="n"/>
      <c r="C1414" s="61" t="n"/>
      <c r="D1414" s="61" t="n"/>
      <c r="E1414" s="61" t="n"/>
      <c r="F1414" s="55" t="n"/>
      <c r="G1414" s="56" t="n"/>
      <c r="H1414" s="55" t="n"/>
      <c r="I1414" s="62" t="n"/>
      <c r="J1414" s="58" t="n"/>
      <c r="K1414" s="63">
        <f>IF(tblMovement[[#This Row],[Source]]="","",IFERROR(INDEX(tblSources[Type],MATCH(tblMovement[[#This Row],[Source]],tblSources[Source],0)),"?"))</f>
        <v/>
      </c>
      <c r="L1414" s="63">
        <f>IF(tblMovement[[#This Row],[Destination]]="","",IFERROR(INDEX(tblDestinations[Type],MATCH(tblMovement[[#This Row],[Destination]],tblDestinations[Destination],0)),"?"))</f>
        <v/>
      </c>
      <c r="M1414" s="64">
        <f>IF(tblMovement[[#This Row],[Material]]="","",IF(LEFT(tblMovement[[#This Row],[Material]],3)="Ore",1,0))</f>
        <v/>
      </c>
      <c r="N1414" s="59">
        <f>IF(OR(tblMovement[[#This Row],[Tonnes_t]]="",tblMovement[[#This Row],[Grade_gpt]]=""),0,tblMovement[[#This Row],[Tonnes_t]]*tblMovement[[#This Row],[Grade_gpt]]/cfg_TroyOz)</f>
        <v/>
      </c>
      <c r="O1414" s="59">
        <f>IF(tblMovement[[#This Row],[Is_Ore]]=1,tblMovement[[#This Row],[Contained_oz]],0)</f>
        <v/>
      </c>
    </row>
    <row r="1415">
      <c r="A1415" s="54" t="n"/>
      <c r="B1415" s="61" t="n"/>
      <c r="C1415" s="61" t="n"/>
      <c r="D1415" s="61" t="n"/>
      <c r="E1415" s="61" t="n"/>
      <c r="F1415" s="55" t="n"/>
      <c r="G1415" s="56" t="n"/>
      <c r="H1415" s="55" t="n"/>
      <c r="I1415" s="62" t="n"/>
      <c r="J1415" s="58" t="n"/>
      <c r="K1415" s="63">
        <f>IF(tblMovement[[#This Row],[Source]]="","",IFERROR(INDEX(tblSources[Type],MATCH(tblMovement[[#This Row],[Source]],tblSources[Source],0)),"?"))</f>
        <v/>
      </c>
      <c r="L1415" s="63">
        <f>IF(tblMovement[[#This Row],[Destination]]="","",IFERROR(INDEX(tblDestinations[Type],MATCH(tblMovement[[#This Row],[Destination]],tblDestinations[Destination],0)),"?"))</f>
        <v/>
      </c>
      <c r="M1415" s="64">
        <f>IF(tblMovement[[#This Row],[Material]]="","",IF(LEFT(tblMovement[[#This Row],[Material]],3)="Ore",1,0))</f>
        <v/>
      </c>
      <c r="N1415" s="59">
        <f>IF(OR(tblMovement[[#This Row],[Tonnes_t]]="",tblMovement[[#This Row],[Grade_gpt]]=""),0,tblMovement[[#This Row],[Tonnes_t]]*tblMovement[[#This Row],[Grade_gpt]]/cfg_TroyOz)</f>
        <v/>
      </c>
      <c r="O1415" s="59">
        <f>IF(tblMovement[[#This Row],[Is_Ore]]=1,tblMovement[[#This Row],[Contained_oz]],0)</f>
        <v/>
      </c>
    </row>
    <row r="1416">
      <c r="A1416" s="54" t="n"/>
      <c r="B1416" s="61" t="n"/>
      <c r="C1416" s="61" t="n"/>
      <c r="D1416" s="61" t="n"/>
      <c r="E1416" s="61" t="n"/>
      <c r="F1416" s="55" t="n"/>
      <c r="G1416" s="56" t="n"/>
      <c r="H1416" s="55" t="n"/>
      <c r="I1416" s="62" t="n"/>
      <c r="J1416" s="58" t="n"/>
      <c r="K1416" s="63">
        <f>IF(tblMovement[[#This Row],[Source]]="","",IFERROR(INDEX(tblSources[Type],MATCH(tblMovement[[#This Row],[Source]],tblSources[Source],0)),"?"))</f>
        <v/>
      </c>
      <c r="L1416" s="63">
        <f>IF(tblMovement[[#This Row],[Destination]]="","",IFERROR(INDEX(tblDestinations[Type],MATCH(tblMovement[[#This Row],[Destination]],tblDestinations[Destination],0)),"?"))</f>
        <v/>
      </c>
      <c r="M1416" s="64">
        <f>IF(tblMovement[[#This Row],[Material]]="","",IF(LEFT(tblMovement[[#This Row],[Material]],3)="Ore",1,0))</f>
        <v/>
      </c>
      <c r="N1416" s="59">
        <f>IF(OR(tblMovement[[#This Row],[Tonnes_t]]="",tblMovement[[#This Row],[Grade_gpt]]=""),0,tblMovement[[#This Row],[Tonnes_t]]*tblMovement[[#This Row],[Grade_gpt]]/cfg_TroyOz)</f>
        <v/>
      </c>
      <c r="O1416" s="59">
        <f>IF(tblMovement[[#This Row],[Is_Ore]]=1,tblMovement[[#This Row],[Contained_oz]],0)</f>
        <v/>
      </c>
    </row>
    <row r="1417">
      <c r="A1417" s="54" t="n"/>
      <c r="B1417" s="61" t="n"/>
      <c r="C1417" s="61" t="n"/>
      <c r="D1417" s="61" t="n"/>
      <c r="E1417" s="61" t="n"/>
      <c r="F1417" s="55" t="n"/>
      <c r="G1417" s="56" t="n"/>
      <c r="H1417" s="55" t="n"/>
      <c r="I1417" s="62" t="n"/>
      <c r="J1417" s="58" t="n"/>
      <c r="K1417" s="63">
        <f>IF(tblMovement[[#This Row],[Source]]="","",IFERROR(INDEX(tblSources[Type],MATCH(tblMovement[[#This Row],[Source]],tblSources[Source],0)),"?"))</f>
        <v/>
      </c>
      <c r="L1417" s="63">
        <f>IF(tblMovement[[#This Row],[Destination]]="","",IFERROR(INDEX(tblDestinations[Type],MATCH(tblMovement[[#This Row],[Destination]],tblDestinations[Destination],0)),"?"))</f>
        <v/>
      </c>
      <c r="M1417" s="64">
        <f>IF(tblMovement[[#This Row],[Material]]="","",IF(LEFT(tblMovement[[#This Row],[Material]],3)="Ore",1,0))</f>
        <v/>
      </c>
      <c r="N1417" s="59">
        <f>IF(OR(tblMovement[[#This Row],[Tonnes_t]]="",tblMovement[[#This Row],[Grade_gpt]]=""),0,tblMovement[[#This Row],[Tonnes_t]]*tblMovement[[#This Row],[Grade_gpt]]/cfg_TroyOz)</f>
        <v/>
      </c>
      <c r="O1417" s="59">
        <f>IF(tblMovement[[#This Row],[Is_Ore]]=1,tblMovement[[#This Row],[Contained_oz]],0)</f>
        <v/>
      </c>
    </row>
    <row r="1418">
      <c r="A1418" s="54" t="n"/>
      <c r="B1418" s="61" t="n"/>
      <c r="C1418" s="61" t="n"/>
      <c r="D1418" s="61" t="n"/>
      <c r="E1418" s="61" t="n"/>
      <c r="F1418" s="55" t="n"/>
      <c r="G1418" s="56" t="n"/>
      <c r="H1418" s="55" t="n"/>
      <c r="I1418" s="62" t="n"/>
      <c r="J1418" s="58" t="n"/>
      <c r="K1418" s="63">
        <f>IF(tblMovement[[#This Row],[Source]]="","",IFERROR(INDEX(tblSources[Type],MATCH(tblMovement[[#This Row],[Source]],tblSources[Source],0)),"?"))</f>
        <v/>
      </c>
      <c r="L1418" s="63">
        <f>IF(tblMovement[[#This Row],[Destination]]="","",IFERROR(INDEX(tblDestinations[Type],MATCH(tblMovement[[#This Row],[Destination]],tblDestinations[Destination],0)),"?"))</f>
        <v/>
      </c>
      <c r="M1418" s="64">
        <f>IF(tblMovement[[#This Row],[Material]]="","",IF(LEFT(tblMovement[[#This Row],[Material]],3)="Ore",1,0))</f>
        <v/>
      </c>
      <c r="N1418" s="59">
        <f>IF(OR(tblMovement[[#This Row],[Tonnes_t]]="",tblMovement[[#This Row],[Grade_gpt]]=""),0,tblMovement[[#This Row],[Tonnes_t]]*tblMovement[[#This Row],[Grade_gpt]]/cfg_TroyOz)</f>
        <v/>
      </c>
      <c r="O1418" s="59">
        <f>IF(tblMovement[[#This Row],[Is_Ore]]=1,tblMovement[[#This Row],[Contained_oz]],0)</f>
        <v/>
      </c>
    </row>
    <row r="1419">
      <c r="A1419" s="54" t="n"/>
      <c r="B1419" s="61" t="n"/>
      <c r="C1419" s="61" t="n"/>
      <c r="D1419" s="61" t="n"/>
      <c r="E1419" s="61" t="n"/>
      <c r="F1419" s="55" t="n"/>
      <c r="G1419" s="56" t="n"/>
      <c r="H1419" s="55" t="n"/>
      <c r="I1419" s="62" t="n"/>
      <c r="J1419" s="58" t="n"/>
      <c r="K1419" s="63">
        <f>IF(tblMovement[[#This Row],[Source]]="","",IFERROR(INDEX(tblSources[Type],MATCH(tblMovement[[#This Row],[Source]],tblSources[Source],0)),"?"))</f>
        <v/>
      </c>
      <c r="L1419" s="63">
        <f>IF(tblMovement[[#This Row],[Destination]]="","",IFERROR(INDEX(tblDestinations[Type],MATCH(tblMovement[[#This Row],[Destination]],tblDestinations[Destination],0)),"?"))</f>
        <v/>
      </c>
      <c r="M1419" s="64">
        <f>IF(tblMovement[[#This Row],[Material]]="","",IF(LEFT(tblMovement[[#This Row],[Material]],3)="Ore",1,0))</f>
        <v/>
      </c>
      <c r="N1419" s="59">
        <f>IF(OR(tblMovement[[#This Row],[Tonnes_t]]="",tblMovement[[#This Row],[Grade_gpt]]=""),0,tblMovement[[#This Row],[Tonnes_t]]*tblMovement[[#This Row],[Grade_gpt]]/cfg_TroyOz)</f>
        <v/>
      </c>
      <c r="O1419" s="59">
        <f>IF(tblMovement[[#This Row],[Is_Ore]]=1,tblMovement[[#This Row],[Contained_oz]],0)</f>
        <v/>
      </c>
    </row>
    <row r="1420">
      <c r="A1420" s="54" t="n"/>
      <c r="B1420" s="61" t="n"/>
      <c r="C1420" s="61" t="n"/>
      <c r="D1420" s="61" t="n"/>
      <c r="E1420" s="61" t="n"/>
      <c r="F1420" s="55" t="n"/>
      <c r="G1420" s="56" t="n"/>
      <c r="H1420" s="55" t="n"/>
      <c r="I1420" s="62" t="n"/>
      <c r="J1420" s="58" t="n"/>
      <c r="K1420" s="63">
        <f>IF(tblMovement[[#This Row],[Source]]="","",IFERROR(INDEX(tblSources[Type],MATCH(tblMovement[[#This Row],[Source]],tblSources[Source],0)),"?"))</f>
        <v/>
      </c>
      <c r="L1420" s="63">
        <f>IF(tblMovement[[#This Row],[Destination]]="","",IFERROR(INDEX(tblDestinations[Type],MATCH(tblMovement[[#This Row],[Destination]],tblDestinations[Destination],0)),"?"))</f>
        <v/>
      </c>
      <c r="M1420" s="64">
        <f>IF(tblMovement[[#This Row],[Material]]="","",IF(LEFT(tblMovement[[#This Row],[Material]],3)="Ore",1,0))</f>
        <v/>
      </c>
      <c r="N1420" s="59">
        <f>IF(OR(tblMovement[[#This Row],[Tonnes_t]]="",tblMovement[[#This Row],[Grade_gpt]]=""),0,tblMovement[[#This Row],[Tonnes_t]]*tblMovement[[#This Row],[Grade_gpt]]/cfg_TroyOz)</f>
        <v/>
      </c>
      <c r="O1420" s="59">
        <f>IF(tblMovement[[#This Row],[Is_Ore]]=1,tblMovement[[#This Row],[Contained_oz]],0)</f>
        <v/>
      </c>
    </row>
    <row r="1421">
      <c r="A1421" s="54" t="n"/>
      <c r="B1421" s="61" t="n"/>
      <c r="C1421" s="61" t="n"/>
      <c r="D1421" s="61" t="n"/>
      <c r="E1421" s="61" t="n"/>
      <c r="F1421" s="55" t="n"/>
      <c r="G1421" s="56" t="n"/>
      <c r="H1421" s="55" t="n"/>
      <c r="I1421" s="62" t="n"/>
      <c r="J1421" s="58" t="n"/>
      <c r="K1421" s="63">
        <f>IF(tblMovement[[#This Row],[Source]]="","",IFERROR(INDEX(tblSources[Type],MATCH(tblMovement[[#This Row],[Source]],tblSources[Source],0)),"?"))</f>
        <v/>
      </c>
      <c r="L1421" s="63">
        <f>IF(tblMovement[[#This Row],[Destination]]="","",IFERROR(INDEX(tblDestinations[Type],MATCH(tblMovement[[#This Row],[Destination]],tblDestinations[Destination],0)),"?"))</f>
        <v/>
      </c>
      <c r="M1421" s="64">
        <f>IF(tblMovement[[#This Row],[Material]]="","",IF(LEFT(tblMovement[[#This Row],[Material]],3)="Ore",1,0))</f>
        <v/>
      </c>
      <c r="N1421" s="59">
        <f>IF(OR(tblMovement[[#This Row],[Tonnes_t]]="",tblMovement[[#This Row],[Grade_gpt]]=""),0,tblMovement[[#This Row],[Tonnes_t]]*tblMovement[[#This Row],[Grade_gpt]]/cfg_TroyOz)</f>
        <v/>
      </c>
      <c r="O1421" s="59">
        <f>IF(tblMovement[[#This Row],[Is_Ore]]=1,tblMovement[[#This Row],[Contained_oz]],0)</f>
        <v/>
      </c>
    </row>
    <row r="1422">
      <c r="A1422" s="54" t="n"/>
      <c r="B1422" s="61" t="n"/>
      <c r="C1422" s="61" t="n"/>
      <c r="D1422" s="61" t="n"/>
      <c r="E1422" s="61" t="n"/>
      <c r="F1422" s="55" t="n"/>
      <c r="G1422" s="56" t="n"/>
      <c r="H1422" s="55" t="n"/>
      <c r="I1422" s="62" t="n"/>
      <c r="J1422" s="58" t="n"/>
      <c r="K1422" s="63">
        <f>IF(tblMovement[[#This Row],[Source]]="","",IFERROR(INDEX(tblSources[Type],MATCH(tblMovement[[#This Row],[Source]],tblSources[Source],0)),"?"))</f>
        <v/>
      </c>
      <c r="L1422" s="63">
        <f>IF(tblMovement[[#This Row],[Destination]]="","",IFERROR(INDEX(tblDestinations[Type],MATCH(tblMovement[[#This Row],[Destination]],tblDestinations[Destination],0)),"?"))</f>
        <v/>
      </c>
      <c r="M1422" s="64">
        <f>IF(tblMovement[[#This Row],[Material]]="","",IF(LEFT(tblMovement[[#This Row],[Material]],3)="Ore",1,0))</f>
        <v/>
      </c>
      <c r="N1422" s="59">
        <f>IF(OR(tblMovement[[#This Row],[Tonnes_t]]="",tblMovement[[#This Row],[Grade_gpt]]=""),0,tblMovement[[#This Row],[Tonnes_t]]*tblMovement[[#This Row],[Grade_gpt]]/cfg_TroyOz)</f>
        <v/>
      </c>
      <c r="O1422" s="59">
        <f>IF(tblMovement[[#This Row],[Is_Ore]]=1,tblMovement[[#This Row],[Contained_oz]],0)</f>
        <v/>
      </c>
    </row>
    <row r="1423">
      <c r="A1423" s="54" t="n"/>
      <c r="B1423" s="61" t="n"/>
      <c r="C1423" s="61" t="n"/>
      <c r="D1423" s="61" t="n"/>
      <c r="E1423" s="61" t="n"/>
      <c r="F1423" s="55" t="n"/>
      <c r="G1423" s="56" t="n"/>
      <c r="H1423" s="55" t="n"/>
      <c r="I1423" s="62" t="n"/>
      <c r="J1423" s="58" t="n"/>
      <c r="K1423" s="63">
        <f>IF(tblMovement[[#This Row],[Source]]="","",IFERROR(INDEX(tblSources[Type],MATCH(tblMovement[[#This Row],[Source]],tblSources[Source],0)),"?"))</f>
        <v/>
      </c>
      <c r="L1423" s="63">
        <f>IF(tblMovement[[#This Row],[Destination]]="","",IFERROR(INDEX(tblDestinations[Type],MATCH(tblMovement[[#This Row],[Destination]],tblDestinations[Destination],0)),"?"))</f>
        <v/>
      </c>
      <c r="M1423" s="64">
        <f>IF(tblMovement[[#This Row],[Material]]="","",IF(LEFT(tblMovement[[#This Row],[Material]],3)="Ore",1,0))</f>
        <v/>
      </c>
      <c r="N1423" s="59">
        <f>IF(OR(tblMovement[[#This Row],[Tonnes_t]]="",tblMovement[[#This Row],[Grade_gpt]]=""),0,tblMovement[[#This Row],[Tonnes_t]]*tblMovement[[#This Row],[Grade_gpt]]/cfg_TroyOz)</f>
        <v/>
      </c>
      <c r="O1423" s="59">
        <f>IF(tblMovement[[#This Row],[Is_Ore]]=1,tblMovement[[#This Row],[Contained_oz]],0)</f>
        <v/>
      </c>
    </row>
    <row r="1424">
      <c r="A1424" s="54" t="n"/>
      <c r="B1424" s="61" t="n"/>
      <c r="C1424" s="61" t="n"/>
      <c r="D1424" s="61" t="n"/>
      <c r="E1424" s="61" t="n"/>
      <c r="F1424" s="55" t="n"/>
      <c r="G1424" s="56" t="n"/>
      <c r="H1424" s="55" t="n"/>
      <c r="I1424" s="62" t="n"/>
      <c r="J1424" s="58" t="n"/>
      <c r="K1424" s="63">
        <f>IF(tblMovement[[#This Row],[Source]]="","",IFERROR(INDEX(tblSources[Type],MATCH(tblMovement[[#This Row],[Source]],tblSources[Source],0)),"?"))</f>
        <v/>
      </c>
      <c r="L1424" s="63">
        <f>IF(tblMovement[[#This Row],[Destination]]="","",IFERROR(INDEX(tblDestinations[Type],MATCH(tblMovement[[#This Row],[Destination]],tblDestinations[Destination],0)),"?"))</f>
        <v/>
      </c>
      <c r="M1424" s="64">
        <f>IF(tblMovement[[#This Row],[Material]]="","",IF(LEFT(tblMovement[[#This Row],[Material]],3)="Ore",1,0))</f>
        <v/>
      </c>
      <c r="N1424" s="59">
        <f>IF(OR(tblMovement[[#This Row],[Tonnes_t]]="",tblMovement[[#This Row],[Grade_gpt]]=""),0,tblMovement[[#This Row],[Tonnes_t]]*tblMovement[[#This Row],[Grade_gpt]]/cfg_TroyOz)</f>
        <v/>
      </c>
      <c r="O1424" s="59">
        <f>IF(tblMovement[[#This Row],[Is_Ore]]=1,tblMovement[[#This Row],[Contained_oz]],0)</f>
        <v/>
      </c>
    </row>
    <row r="1425">
      <c r="A1425" s="54" t="n"/>
      <c r="B1425" s="61" t="n"/>
      <c r="C1425" s="61" t="n"/>
      <c r="D1425" s="61" t="n"/>
      <c r="E1425" s="61" t="n"/>
      <c r="F1425" s="55" t="n"/>
      <c r="G1425" s="56" t="n"/>
      <c r="H1425" s="55" t="n"/>
      <c r="I1425" s="62" t="n"/>
      <c r="J1425" s="58" t="n"/>
      <c r="K1425" s="63">
        <f>IF(tblMovement[[#This Row],[Source]]="","",IFERROR(INDEX(tblSources[Type],MATCH(tblMovement[[#This Row],[Source]],tblSources[Source],0)),"?"))</f>
        <v/>
      </c>
      <c r="L1425" s="63">
        <f>IF(tblMovement[[#This Row],[Destination]]="","",IFERROR(INDEX(tblDestinations[Type],MATCH(tblMovement[[#This Row],[Destination]],tblDestinations[Destination],0)),"?"))</f>
        <v/>
      </c>
      <c r="M1425" s="64">
        <f>IF(tblMovement[[#This Row],[Material]]="","",IF(LEFT(tblMovement[[#This Row],[Material]],3)="Ore",1,0))</f>
        <v/>
      </c>
      <c r="N1425" s="59">
        <f>IF(OR(tblMovement[[#This Row],[Tonnes_t]]="",tblMovement[[#This Row],[Grade_gpt]]=""),0,tblMovement[[#This Row],[Tonnes_t]]*tblMovement[[#This Row],[Grade_gpt]]/cfg_TroyOz)</f>
        <v/>
      </c>
      <c r="O1425" s="59">
        <f>IF(tblMovement[[#This Row],[Is_Ore]]=1,tblMovement[[#This Row],[Contained_oz]],0)</f>
        <v/>
      </c>
    </row>
    <row r="1426">
      <c r="A1426" s="54" t="n"/>
      <c r="B1426" s="61" t="n"/>
      <c r="C1426" s="61" t="n"/>
      <c r="D1426" s="61" t="n"/>
      <c r="E1426" s="61" t="n"/>
      <c r="F1426" s="55" t="n"/>
      <c r="G1426" s="56" t="n"/>
      <c r="H1426" s="55" t="n"/>
      <c r="I1426" s="62" t="n"/>
      <c r="J1426" s="58" t="n"/>
      <c r="K1426" s="63">
        <f>IF(tblMovement[[#This Row],[Source]]="","",IFERROR(INDEX(tblSources[Type],MATCH(tblMovement[[#This Row],[Source]],tblSources[Source],0)),"?"))</f>
        <v/>
      </c>
      <c r="L1426" s="63">
        <f>IF(tblMovement[[#This Row],[Destination]]="","",IFERROR(INDEX(tblDestinations[Type],MATCH(tblMovement[[#This Row],[Destination]],tblDestinations[Destination],0)),"?"))</f>
        <v/>
      </c>
      <c r="M1426" s="64">
        <f>IF(tblMovement[[#This Row],[Material]]="","",IF(LEFT(tblMovement[[#This Row],[Material]],3)="Ore",1,0))</f>
        <v/>
      </c>
      <c r="N1426" s="59">
        <f>IF(OR(tblMovement[[#This Row],[Tonnes_t]]="",tblMovement[[#This Row],[Grade_gpt]]=""),0,tblMovement[[#This Row],[Tonnes_t]]*tblMovement[[#This Row],[Grade_gpt]]/cfg_TroyOz)</f>
        <v/>
      </c>
      <c r="O1426" s="59">
        <f>IF(tblMovement[[#This Row],[Is_Ore]]=1,tblMovement[[#This Row],[Contained_oz]],0)</f>
        <v/>
      </c>
    </row>
    <row r="1427">
      <c r="A1427" s="54" t="n"/>
      <c r="B1427" s="61" t="n"/>
      <c r="C1427" s="61" t="n"/>
      <c r="D1427" s="61" t="n"/>
      <c r="E1427" s="61" t="n"/>
      <c r="F1427" s="55" t="n"/>
      <c r="G1427" s="56" t="n"/>
      <c r="H1427" s="55" t="n"/>
      <c r="I1427" s="62" t="n"/>
      <c r="J1427" s="58" t="n"/>
      <c r="K1427" s="63">
        <f>IF(tblMovement[[#This Row],[Source]]="","",IFERROR(INDEX(tblSources[Type],MATCH(tblMovement[[#This Row],[Source]],tblSources[Source],0)),"?"))</f>
        <v/>
      </c>
      <c r="L1427" s="63">
        <f>IF(tblMovement[[#This Row],[Destination]]="","",IFERROR(INDEX(tblDestinations[Type],MATCH(tblMovement[[#This Row],[Destination]],tblDestinations[Destination],0)),"?"))</f>
        <v/>
      </c>
      <c r="M1427" s="64">
        <f>IF(tblMovement[[#This Row],[Material]]="","",IF(LEFT(tblMovement[[#This Row],[Material]],3)="Ore",1,0))</f>
        <v/>
      </c>
      <c r="N1427" s="59">
        <f>IF(OR(tblMovement[[#This Row],[Tonnes_t]]="",tblMovement[[#This Row],[Grade_gpt]]=""),0,tblMovement[[#This Row],[Tonnes_t]]*tblMovement[[#This Row],[Grade_gpt]]/cfg_TroyOz)</f>
        <v/>
      </c>
      <c r="O1427" s="59">
        <f>IF(tblMovement[[#This Row],[Is_Ore]]=1,tblMovement[[#This Row],[Contained_oz]],0)</f>
        <v/>
      </c>
    </row>
    <row r="1428">
      <c r="A1428" s="54" t="n"/>
      <c r="B1428" s="61" t="n"/>
      <c r="C1428" s="61" t="n"/>
      <c r="D1428" s="61" t="n"/>
      <c r="E1428" s="61" t="n"/>
      <c r="F1428" s="55" t="n"/>
      <c r="G1428" s="56" t="n"/>
      <c r="H1428" s="55" t="n"/>
      <c r="I1428" s="62" t="n"/>
      <c r="J1428" s="58" t="n"/>
      <c r="K1428" s="63">
        <f>IF(tblMovement[[#This Row],[Source]]="","",IFERROR(INDEX(tblSources[Type],MATCH(tblMovement[[#This Row],[Source]],tblSources[Source],0)),"?"))</f>
        <v/>
      </c>
      <c r="L1428" s="63">
        <f>IF(tblMovement[[#This Row],[Destination]]="","",IFERROR(INDEX(tblDestinations[Type],MATCH(tblMovement[[#This Row],[Destination]],tblDestinations[Destination],0)),"?"))</f>
        <v/>
      </c>
      <c r="M1428" s="64">
        <f>IF(tblMovement[[#This Row],[Material]]="","",IF(LEFT(tblMovement[[#This Row],[Material]],3)="Ore",1,0))</f>
        <v/>
      </c>
      <c r="N1428" s="59">
        <f>IF(OR(tblMovement[[#This Row],[Tonnes_t]]="",tblMovement[[#This Row],[Grade_gpt]]=""),0,tblMovement[[#This Row],[Tonnes_t]]*tblMovement[[#This Row],[Grade_gpt]]/cfg_TroyOz)</f>
        <v/>
      </c>
      <c r="O1428" s="59">
        <f>IF(tblMovement[[#This Row],[Is_Ore]]=1,tblMovement[[#This Row],[Contained_oz]],0)</f>
        <v/>
      </c>
    </row>
    <row r="1429">
      <c r="A1429" s="54" t="n"/>
      <c r="B1429" s="61" t="n"/>
      <c r="C1429" s="61" t="n"/>
      <c r="D1429" s="61" t="n"/>
      <c r="E1429" s="61" t="n"/>
      <c r="F1429" s="55" t="n"/>
      <c r="G1429" s="56" t="n"/>
      <c r="H1429" s="55" t="n"/>
      <c r="I1429" s="62" t="n"/>
      <c r="J1429" s="58" t="n"/>
      <c r="K1429" s="63">
        <f>IF(tblMovement[[#This Row],[Source]]="","",IFERROR(INDEX(tblSources[Type],MATCH(tblMovement[[#This Row],[Source]],tblSources[Source],0)),"?"))</f>
        <v/>
      </c>
      <c r="L1429" s="63">
        <f>IF(tblMovement[[#This Row],[Destination]]="","",IFERROR(INDEX(tblDestinations[Type],MATCH(tblMovement[[#This Row],[Destination]],tblDestinations[Destination],0)),"?"))</f>
        <v/>
      </c>
      <c r="M1429" s="64">
        <f>IF(tblMovement[[#This Row],[Material]]="","",IF(LEFT(tblMovement[[#This Row],[Material]],3)="Ore",1,0))</f>
        <v/>
      </c>
      <c r="N1429" s="59">
        <f>IF(OR(tblMovement[[#This Row],[Tonnes_t]]="",tblMovement[[#This Row],[Grade_gpt]]=""),0,tblMovement[[#This Row],[Tonnes_t]]*tblMovement[[#This Row],[Grade_gpt]]/cfg_TroyOz)</f>
        <v/>
      </c>
      <c r="O1429" s="59">
        <f>IF(tblMovement[[#This Row],[Is_Ore]]=1,tblMovement[[#This Row],[Contained_oz]],0)</f>
        <v/>
      </c>
    </row>
    <row r="1430">
      <c r="A1430" s="54" t="n"/>
      <c r="B1430" s="61" t="n"/>
      <c r="C1430" s="61" t="n"/>
      <c r="D1430" s="61" t="n"/>
      <c r="E1430" s="61" t="n"/>
      <c r="F1430" s="55" t="n"/>
      <c r="G1430" s="56" t="n"/>
      <c r="H1430" s="55" t="n"/>
      <c r="I1430" s="62" t="n"/>
      <c r="J1430" s="58" t="n"/>
      <c r="K1430" s="63">
        <f>IF(tblMovement[[#This Row],[Source]]="","",IFERROR(INDEX(tblSources[Type],MATCH(tblMovement[[#This Row],[Source]],tblSources[Source],0)),"?"))</f>
        <v/>
      </c>
      <c r="L1430" s="63">
        <f>IF(tblMovement[[#This Row],[Destination]]="","",IFERROR(INDEX(tblDestinations[Type],MATCH(tblMovement[[#This Row],[Destination]],tblDestinations[Destination],0)),"?"))</f>
        <v/>
      </c>
      <c r="M1430" s="64">
        <f>IF(tblMovement[[#This Row],[Material]]="","",IF(LEFT(tblMovement[[#This Row],[Material]],3)="Ore",1,0))</f>
        <v/>
      </c>
      <c r="N1430" s="59">
        <f>IF(OR(tblMovement[[#This Row],[Tonnes_t]]="",tblMovement[[#This Row],[Grade_gpt]]=""),0,tblMovement[[#This Row],[Tonnes_t]]*tblMovement[[#This Row],[Grade_gpt]]/cfg_TroyOz)</f>
        <v/>
      </c>
      <c r="O1430" s="59">
        <f>IF(tblMovement[[#This Row],[Is_Ore]]=1,tblMovement[[#This Row],[Contained_oz]],0)</f>
        <v/>
      </c>
    </row>
    <row r="1431">
      <c r="A1431" s="54" t="n"/>
      <c r="B1431" s="61" t="n"/>
      <c r="C1431" s="61" t="n"/>
      <c r="D1431" s="61" t="n"/>
      <c r="E1431" s="61" t="n"/>
      <c r="F1431" s="55" t="n"/>
      <c r="G1431" s="56" t="n"/>
      <c r="H1431" s="55" t="n"/>
      <c r="I1431" s="62" t="n"/>
      <c r="J1431" s="58" t="n"/>
      <c r="K1431" s="63">
        <f>IF(tblMovement[[#This Row],[Source]]="","",IFERROR(INDEX(tblSources[Type],MATCH(tblMovement[[#This Row],[Source]],tblSources[Source],0)),"?"))</f>
        <v/>
      </c>
      <c r="L1431" s="63">
        <f>IF(tblMovement[[#This Row],[Destination]]="","",IFERROR(INDEX(tblDestinations[Type],MATCH(tblMovement[[#This Row],[Destination]],tblDestinations[Destination],0)),"?"))</f>
        <v/>
      </c>
      <c r="M1431" s="64">
        <f>IF(tblMovement[[#This Row],[Material]]="","",IF(LEFT(tblMovement[[#This Row],[Material]],3)="Ore",1,0))</f>
        <v/>
      </c>
      <c r="N1431" s="59">
        <f>IF(OR(tblMovement[[#This Row],[Tonnes_t]]="",tblMovement[[#This Row],[Grade_gpt]]=""),0,tblMovement[[#This Row],[Tonnes_t]]*tblMovement[[#This Row],[Grade_gpt]]/cfg_TroyOz)</f>
        <v/>
      </c>
      <c r="O1431" s="59">
        <f>IF(tblMovement[[#This Row],[Is_Ore]]=1,tblMovement[[#This Row],[Contained_oz]],0)</f>
        <v/>
      </c>
    </row>
    <row r="1432">
      <c r="A1432" s="54" t="n"/>
      <c r="B1432" s="61" t="n"/>
      <c r="C1432" s="61" t="n"/>
      <c r="D1432" s="61" t="n"/>
      <c r="E1432" s="61" t="n"/>
      <c r="F1432" s="55" t="n"/>
      <c r="G1432" s="56" t="n"/>
      <c r="H1432" s="55" t="n"/>
      <c r="I1432" s="62" t="n"/>
      <c r="J1432" s="58" t="n"/>
      <c r="K1432" s="63">
        <f>IF(tblMovement[[#This Row],[Source]]="","",IFERROR(INDEX(tblSources[Type],MATCH(tblMovement[[#This Row],[Source]],tblSources[Source],0)),"?"))</f>
        <v/>
      </c>
      <c r="L1432" s="63">
        <f>IF(tblMovement[[#This Row],[Destination]]="","",IFERROR(INDEX(tblDestinations[Type],MATCH(tblMovement[[#This Row],[Destination]],tblDestinations[Destination],0)),"?"))</f>
        <v/>
      </c>
      <c r="M1432" s="64">
        <f>IF(tblMovement[[#This Row],[Material]]="","",IF(LEFT(tblMovement[[#This Row],[Material]],3)="Ore",1,0))</f>
        <v/>
      </c>
      <c r="N1432" s="59">
        <f>IF(OR(tblMovement[[#This Row],[Tonnes_t]]="",tblMovement[[#This Row],[Grade_gpt]]=""),0,tblMovement[[#This Row],[Tonnes_t]]*tblMovement[[#This Row],[Grade_gpt]]/cfg_TroyOz)</f>
        <v/>
      </c>
      <c r="O1432" s="59">
        <f>IF(tblMovement[[#This Row],[Is_Ore]]=1,tblMovement[[#This Row],[Contained_oz]],0)</f>
        <v/>
      </c>
    </row>
    <row r="1433">
      <c r="A1433" s="54" t="n"/>
      <c r="B1433" s="61" t="n"/>
      <c r="C1433" s="61" t="n"/>
      <c r="D1433" s="61" t="n"/>
      <c r="E1433" s="61" t="n"/>
      <c r="F1433" s="55" t="n"/>
      <c r="G1433" s="56" t="n"/>
      <c r="H1433" s="55" t="n"/>
      <c r="I1433" s="62" t="n"/>
      <c r="J1433" s="58" t="n"/>
      <c r="K1433" s="63">
        <f>IF(tblMovement[[#This Row],[Source]]="","",IFERROR(INDEX(tblSources[Type],MATCH(tblMovement[[#This Row],[Source]],tblSources[Source],0)),"?"))</f>
        <v/>
      </c>
      <c r="L1433" s="63">
        <f>IF(tblMovement[[#This Row],[Destination]]="","",IFERROR(INDEX(tblDestinations[Type],MATCH(tblMovement[[#This Row],[Destination]],tblDestinations[Destination],0)),"?"))</f>
        <v/>
      </c>
      <c r="M1433" s="64">
        <f>IF(tblMovement[[#This Row],[Material]]="","",IF(LEFT(tblMovement[[#This Row],[Material]],3)="Ore",1,0))</f>
        <v/>
      </c>
      <c r="N1433" s="59">
        <f>IF(OR(tblMovement[[#This Row],[Tonnes_t]]="",tblMovement[[#This Row],[Grade_gpt]]=""),0,tblMovement[[#This Row],[Tonnes_t]]*tblMovement[[#This Row],[Grade_gpt]]/cfg_TroyOz)</f>
        <v/>
      </c>
      <c r="O1433" s="59">
        <f>IF(tblMovement[[#This Row],[Is_Ore]]=1,tblMovement[[#This Row],[Contained_oz]],0)</f>
        <v/>
      </c>
    </row>
    <row r="1434">
      <c r="A1434" s="54" t="n"/>
      <c r="B1434" s="61" t="n"/>
      <c r="C1434" s="61" t="n"/>
      <c r="D1434" s="61" t="n"/>
      <c r="E1434" s="61" t="n"/>
      <c r="F1434" s="55" t="n"/>
      <c r="G1434" s="56" t="n"/>
      <c r="H1434" s="55" t="n"/>
      <c r="I1434" s="62" t="n"/>
      <c r="J1434" s="58" t="n"/>
      <c r="K1434" s="63">
        <f>IF(tblMovement[[#This Row],[Source]]="","",IFERROR(INDEX(tblSources[Type],MATCH(tblMovement[[#This Row],[Source]],tblSources[Source],0)),"?"))</f>
        <v/>
      </c>
      <c r="L1434" s="63">
        <f>IF(tblMovement[[#This Row],[Destination]]="","",IFERROR(INDEX(tblDestinations[Type],MATCH(tblMovement[[#This Row],[Destination]],tblDestinations[Destination],0)),"?"))</f>
        <v/>
      </c>
      <c r="M1434" s="64">
        <f>IF(tblMovement[[#This Row],[Material]]="","",IF(LEFT(tblMovement[[#This Row],[Material]],3)="Ore",1,0))</f>
        <v/>
      </c>
      <c r="N1434" s="59">
        <f>IF(OR(tblMovement[[#This Row],[Tonnes_t]]="",tblMovement[[#This Row],[Grade_gpt]]=""),0,tblMovement[[#This Row],[Tonnes_t]]*tblMovement[[#This Row],[Grade_gpt]]/cfg_TroyOz)</f>
        <v/>
      </c>
      <c r="O1434" s="59">
        <f>IF(tblMovement[[#This Row],[Is_Ore]]=1,tblMovement[[#This Row],[Contained_oz]],0)</f>
        <v/>
      </c>
    </row>
    <row r="1435">
      <c r="A1435" s="54" t="n"/>
      <c r="B1435" s="61" t="n"/>
      <c r="C1435" s="61" t="n"/>
      <c r="D1435" s="61" t="n"/>
      <c r="E1435" s="61" t="n"/>
      <c r="F1435" s="55" t="n"/>
      <c r="G1435" s="56" t="n"/>
      <c r="H1435" s="55" t="n"/>
      <c r="I1435" s="62" t="n"/>
      <c r="J1435" s="58" t="n"/>
      <c r="K1435" s="63">
        <f>IF(tblMovement[[#This Row],[Source]]="","",IFERROR(INDEX(tblSources[Type],MATCH(tblMovement[[#This Row],[Source]],tblSources[Source],0)),"?"))</f>
        <v/>
      </c>
      <c r="L1435" s="63">
        <f>IF(tblMovement[[#This Row],[Destination]]="","",IFERROR(INDEX(tblDestinations[Type],MATCH(tblMovement[[#This Row],[Destination]],tblDestinations[Destination],0)),"?"))</f>
        <v/>
      </c>
      <c r="M1435" s="64">
        <f>IF(tblMovement[[#This Row],[Material]]="","",IF(LEFT(tblMovement[[#This Row],[Material]],3)="Ore",1,0))</f>
        <v/>
      </c>
      <c r="N1435" s="59">
        <f>IF(OR(tblMovement[[#This Row],[Tonnes_t]]="",tblMovement[[#This Row],[Grade_gpt]]=""),0,tblMovement[[#This Row],[Tonnes_t]]*tblMovement[[#This Row],[Grade_gpt]]/cfg_TroyOz)</f>
        <v/>
      </c>
      <c r="O1435" s="59">
        <f>IF(tblMovement[[#This Row],[Is_Ore]]=1,tblMovement[[#This Row],[Contained_oz]],0)</f>
        <v/>
      </c>
    </row>
    <row r="1436">
      <c r="A1436" s="54" t="n"/>
      <c r="B1436" s="61" t="n"/>
      <c r="C1436" s="61" t="n"/>
      <c r="D1436" s="61" t="n"/>
      <c r="E1436" s="61" t="n"/>
      <c r="F1436" s="55" t="n"/>
      <c r="G1436" s="56" t="n"/>
      <c r="H1436" s="55" t="n"/>
      <c r="I1436" s="62" t="n"/>
      <c r="J1436" s="58" t="n"/>
      <c r="K1436" s="63">
        <f>IF(tblMovement[[#This Row],[Source]]="","",IFERROR(INDEX(tblSources[Type],MATCH(tblMovement[[#This Row],[Source]],tblSources[Source],0)),"?"))</f>
        <v/>
      </c>
      <c r="L1436" s="63">
        <f>IF(tblMovement[[#This Row],[Destination]]="","",IFERROR(INDEX(tblDestinations[Type],MATCH(tblMovement[[#This Row],[Destination]],tblDestinations[Destination],0)),"?"))</f>
        <v/>
      </c>
      <c r="M1436" s="64">
        <f>IF(tblMovement[[#This Row],[Material]]="","",IF(LEFT(tblMovement[[#This Row],[Material]],3)="Ore",1,0))</f>
        <v/>
      </c>
      <c r="N1436" s="59">
        <f>IF(OR(tblMovement[[#This Row],[Tonnes_t]]="",tblMovement[[#This Row],[Grade_gpt]]=""),0,tblMovement[[#This Row],[Tonnes_t]]*tblMovement[[#This Row],[Grade_gpt]]/cfg_TroyOz)</f>
        <v/>
      </c>
      <c r="O1436" s="59">
        <f>IF(tblMovement[[#This Row],[Is_Ore]]=1,tblMovement[[#This Row],[Contained_oz]],0)</f>
        <v/>
      </c>
    </row>
    <row r="1437">
      <c r="A1437" s="54" t="n"/>
      <c r="B1437" s="61" t="n"/>
      <c r="C1437" s="61" t="n"/>
      <c r="D1437" s="61" t="n"/>
      <c r="E1437" s="61" t="n"/>
      <c r="F1437" s="55" t="n"/>
      <c r="G1437" s="56" t="n"/>
      <c r="H1437" s="55" t="n"/>
      <c r="I1437" s="62" t="n"/>
      <c r="J1437" s="58" t="n"/>
      <c r="K1437" s="63">
        <f>IF(tblMovement[[#This Row],[Source]]="","",IFERROR(INDEX(tblSources[Type],MATCH(tblMovement[[#This Row],[Source]],tblSources[Source],0)),"?"))</f>
        <v/>
      </c>
      <c r="L1437" s="63">
        <f>IF(tblMovement[[#This Row],[Destination]]="","",IFERROR(INDEX(tblDestinations[Type],MATCH(tblMovement[[#This Row],[Destination]],tblDestinations[Destination],0)),"?"))</f>
        <v/>
      </c>
      <c r="M1437" s="64">
        <f>IF(tblMovement[[#This Row],[Material]]="","",IF(LEFT(tblMovement[[#This Row],[Material]],3)="Ore",1,0))</f>
        <v/>
      </c>
      <c r="N1437" s="59">
        <f>IF(OR(tblMovement[[#This Row],[Tonnes_t]]="",tblMovement[[#This Row],[Grade_gpt]]=""),0,tblMovement[[#This Row],[Tonnes_t]]*tblMovement[[#This Row],[Grade_gpt]]/cfg_TroyOz)</f>
        <v/>
      </c>
      <c r="O1437" s="59">
        <f>IF(tblMovement[[#This Row],[Is_Ore]]=1,tblMovement[[#This Row],[Contained_oz]],0)</f>
        <v/>
      </c>
    </row>
    <row r="1438">
      <c r="A1438" s="54" t="n"/>
      <c r="B1438" s="61" t="n"/>
      <c r="C1438" s="61" t="n"/>
      <c r="D1438" s="61" t="n"/>
      <c r="E1438" s="61" t="n"/>
      <c r="F1438" s="55" t="n"/>
      <c r="G1438" s="56" t="n"/>
      <c r="H1438" s="55" t="n"/>
      <c r="I1438" s="62" t="n"/>
      <c r="J1438" s="58" t="n"/>
      <c r="K1438" s="63">
        <f>IF(tblMovement[[#This Row],[Source]]="","",IFERROR(INDEX(tblSources[Type],MATCH(tblMovement[[#This Row],[Source]],tblSources[Source],0)),"?"))</f>
        <v/>
      </c>
      <c r="L1438" s="63">
        <f>IF(tblMovement[[#This Row],[Destination]]="","",IFERROR(INDEX(tblDestinations[Type],MATCH(tblMovement[[#This Row],[Destination]],tblDestinations[Destination],0)),"?"))</f>
        <v/>
      </c>
      <c r="M1438" s="64">
        <f>IF(tblMovement[[#This Row],[Material]]="","",IF(LEFT(tblMovement[[#This Row],[Material]],3)="Ore",1,0))</f>
        <v/>
      </c>
      <c r="N1438" s="59">
        <f>IF(OR(tblMovement[[#This Row],[Tonnes_t]]="",tblMovement[[#This Row],[Grade_gpt]]=""),0,tblMovement[[#This Row],[Tonnes_t]]*tblMovement[[#This Row],[Grade_gpt]]/cfg_TroyOz)</f>
        <v/>
      </c>
      <c r="O1438" s="59">
        <f>IF(tblMovement[[#This Row],[Is_Ore]]=1,tblMovement[[#This Row],[Contained_oz]],0)</f>
        <v/>
      </c>
    </row>
    <row r="1439">
      <c r="A1439" s="54" t="n"/>
      <c r="B1439" s="61" t="n"/>
      <c r="C1439" s="61" t="n"/>
      <c r="D1439" s="61" t="n"/>
      <c r="E1439" s="61" t="n"/>
      <c r="F1439" s="55" t="n"/>
      <c r="G1439" s="56" t="n"/>
      <c r="H1439" s="55" t="n"/>
      <c r="I1439" s="62" t="n"/>
      <c r="J1439" s="58" t="n"/>
      <c r="K1439" s="63">
        <f>IF(tblMovement[[#This Row],[Source]]="","",IFERROR(INDEX(tblSources[Type],MATCH(tblMovement[[#This Row],[Source]],tblSources[Source],0)),"?"))</f>
        <v/>
      </c>
      <c r="L1439" s="63">
        <f>IF(tblMovement[[#This Row],[Destination]]="","",IFERROR(INDEX(tblDestinations[Type],MATCH(tblMovement[[#This Row],[Destination]],tblDestinations[Destination],0)),"?"))</f>
        <v/>
      </c>
      <c r="M1439" s="64">
        <f>IF(tblMovement[[#This Row],[Material]]="","",IF(LEFT(tblMovement[[#This Row],[Material]],3)="Ore",1,0))</f>
        <v/>
      </c>
      <c r="N1439" s="59">
        <f>IF(OR(tblMovement[[#This Row],[Tonnes_t]]="",tblMovement[[#This Row],[Grade_gpt]]=""),0,tblMovement[[#This Row],[Tonnes_t]]*tblMovement[[#This Row],[Grade_gpt]]/cfg_TroyOz)</f>
        <v/>
      </c>
      <c r="O1439" s="59">
        <f>IF(tblMovement[[#This Row],[Is_Ore]]=1,tblMovement[[#This Row],[Contained_oz]],0)</f>
        <v/>
      </c>
    </row>
    <row r="1440">
      <c r="A1440" s="54" t="n"/>
      <c r="B1440" s="61" t="n"/>
      <c r="C1440" s="61" t="n"/>
      <c r="D1440" s="61" t="n"/>
      <c r="E1440" s="61" t="n"/>
      <c r="F1440" s="55" t="n"/>
      <c r="G1440" s="56" t="n"/>
      <c r="H1440" s="55" t="n"/>
      <c r="I1440" s="62" t="n"/>
      <c r="J1440" s="58" t="n"/>
      <c r="K1440" s="63">
        <f>IF(tblMovement[[#This Row],[Source]]="","",IFERROR(INDEX(tblSources[Type],MATCH(tblMovement[[#This Row],[Source]],tblSources[Source],0)),"?"))</f>
        <v/>
      </c>
      <c r="L1440" s="63">
        <f>IF(tblMovement[[#This Row],[Destination]]="","",IFERROR(INDEX(tblDestinations[Type],MATCH(tblMovement[[#This Row],[Destination]],tblDestinations[Destination],0)),"?"))</f>
        <v/>
      </c>
      <c r="M1440" s="64">
        <f>IF(tblMovement[[#This Row],[Material]]="","",IF(LEFT(tblMovement[[#This Row],[Material]],3)="Ore",1,0))</f>
        <v/>
      </c>
      <c r="N1440" s="59">
        <f>IF(OR(tblMovement[[#This Row],[Tonnes_t]]="",tblMovement[[#This Row],[Grade_gpt]]=""),0,tblMovement[[#This Row],[Tonnes_t]]*tblMovement[[#This Row],[Grade_gpt]]/cfg_TroyOz)</f>
        <v/>
      </c>
      <c r="O1440" s="59">
        <f>IF(tblMovement[[#This Row],[Is_Ore]]=1,tblMovement[[#This Row],[Contained_oz]],0)</f>
        <v/>
      </c>
    </row>
    <row r="1441">
      <c r="A1441" s="54" t="n"/>
      <c r="B1441" s="61" t="n"/>
      <c r="C1441" s="61" t="n"/>
      <c r="D1441" s="61" t="n"/>
      <c r="E1441" s="61" t="n"/>
      <c r="F1441" s="55" t="n"/>
      <c r="G1441" s="56" t="n"/>
      <c r="H1441" s="55" t="n"/>
      <c r="I1441" s="62" t="n"/>
      <c r="J1441" s="58" t="n"/>
      <c r="K1441" s="63">
        <f>IF(tblMovement[[#This Row],[Source]]="","",IFERROR(INDEX(tblSources[Type],MATCH(tblMovement[[#This Row],[Source]],tblSources[Source],0)),"?"))</f>
        <v/>
      </c>
      <c r="L1441" s="63">
        <f>IF(tblMovement[[#This Row],[Destination]]="","",IFERROR(INDEX(tblDestinations[Type],MATCH(tblMovement[[#This Row],[Destination]],tblDestinations[Destination],0)),"?"))</f>
        <v/>
      </c>
      <c r="M1441" s="64">
        <f>IF(tblMovement[[#This Row],[Material]]="","",IF(LEFT(tblMovement[[#This Row],[Material]],3)="Ore",1,0))</f>
        <v/>
      </c>
      <c r="N1441" s="59">
        <f>IF(OR(tblMovement[[#This Row],[Tonnes_t]]="",tblMovement[[#This Row],[Grade_gpt]]=""),0,tblMovement[[#This Row],[Tonnes_t]]*tblMovement[[#This Row],[Grade_gpt]]/cfg_TroyOz)</f>
        <v/>
      </c>
      <c r="O1441" s="59">
        <f>IF(tblMovement[[#This Row],[Is_Ore]]=1,tblMovement[[#This Row],[Contained_oz]],0)</f>
        <v/>
      </c>
    </row>
    <row r="1442">
      <c r="A1442" s="54" t="n"/>
      <c r="B1442" s="61" t="n"/>
      <c r="C1442" s="61" t="n"/>
      <c r="D1442" s="61" t="n"/>
      <c r="E1442" s="61" t="n"/>
      <c r="F1442" s="55" t="n"/>
      <c r="G1442" s="56" t="n"/>
      <c r="H1442" s="55" t="n"/>
      <c r="I1442" s="62" t="n"/>
      <c r="J1442" s="58" t="n"/>
      <c r="K1442" s="63">
        <f>IF(tblMovement[[#This Row],[Source]]="","",IFERROR(INDEX(tblSources[Type],MATCH(tblMovement[[#This Row],[Source]],tblSources[Source],0)),"?"))</f>
        <v/>
      </c>
      <c r="L1442" s="63">
        <f>IF(tblMovement[[#This Row],[Destination]]="","",IFERROR(INDEX(tblDestinations[Type],MATCH(tblMovement[[#This Row],[Destination]],tblDestinations[Destination],0)),"?"))</f>
        <v/>
      </c>
      <c r="M1442" s="64">
        <f>IF(tblMovement[[#This Row],[Material]]="","",IF(LEFT(tblMovement[[#This Row],[Material]],3)="Ore",1,0))</f>
        <v/>
      </c>
      <c r="N1442" s="59">
        <f>IF(OR(tblMovement[[#This Row],[Tonnes_t]]="",tblMovement[[#This Row],[Grade_gpt]]=""),0,tblMovement[[#This Row],[Tonnes_t]]*tblMovement[[#This Row],[Grade_gpt]]/cfg_TroyOz)</f>
        <v/>
      </c>
      <c r="O1442" s="59">
        <f>IF(tblMovement[[#This Row],[Is_Ore]]=1,tblMovement[[#This Row],[Contained_oz]],0)</f>
        <v/>
      </c>
    </row>
    <row r="1443">
      <c r="A1443" s="54" t="n"/>
      <c r="B1443" s="61" t="n"/>
      <c r="C1443" s="61" t="n"/>
      <c r="D1443" s="61" t="n"/>
      <c r="E1443" s="61" t="n"/>
      <c r="F1443" s="55" t="n"/>
      <c r="G1443" s="56" t="n"/>
      <c r="H1443" s="55" t="n"/>
      <c r="I1443" s="62" t="n"/>
      <c r="J1443" s="58" t="n"/>
      <c r="K1443" s="63">
        <f>IF(tblMovement[[#This Row],[Source]]="","",IFERROR(INDEX(tblSources[Type],MATCH(tblMovement[[#This Row],[Source]],tblSources[Source],0)),"?"))</f>
        <v/>
      </c>
      <c r="L1443" s="63">
        <f>IF(tblMovement[[#This Row],[Destination]]="","",IFERROR(INDEX(tblDestinations[Type],MATCH(tblMovement[[#This Row],[Destination]],tblDestinations[Destination],0)),"?"))</f>
        <v/>
      </c>
      <c r="M1443" s="64">
        <f>IF(tblMovement[[#This Row],[Material]]="","",IF(LEFT(tblMovement[[#This Row],[Material]],3)="Ore",1,0))</f>
        <v/>
      </c>
      <c r="N1443" s="59">
        <f>IF(OR(tblMovement[[#This Row],[Tonnes_t]]="",tblMovement[[#This Row],[Grade_gpt]]=""),0,tblMovement[[#This Row],[Tonnes_t]]*tblMovement[[#This Row],[Grade_gpt]]/cfg_TroyOz)</f>
        <v/>
      </c>
      <c r="O1443" s="59">
        <f>IF(tblMovement[[#This Row],[Is_Ore]]=1,tblMovement[[#This Row],[Contained_oz]],0)</f>
        <v/>
      </c>
    </row>
    <row r="1444">
      <c r="A1444" s="54" t="n"/>
      <c r="B1444" s="61" t="n"/>
      <c r="C1444" s="61" t="n"/>
      <c r="D1444" s="61" t="n"/>
      <c r="E1444" s="61" t="n"/>
      <c r="F1444" s="55" t="n"/>
      <c r="G1444" s="56" t="n"/>
      <c r="H1444" s="55" t="n"/>
      <c r="I1444" s="62" t="n"/>
      <c r="J1444" s="58" t="n"/>
      <c r="K1444" s="63">
        <f>IF(tblMovement[[#This Row],[Source]]="","",IFERROR(INDEX(tblSources[Type],MATCH(tblMovement[[#This Row],[Source]],tblSources[Source],0)),"?"))</f>
        <v/>
      </c>
      <c r="L1444" s="63">
        <f>IF(tblMovement[[#This Row],[Destination]]="","",IFERROR(INDEX(tblDestinations[Type],MATCH(tblMovement[[#This Row],[Destination]],tblDestinations[Destination],0)),"?"))</f>
        <v/>
      </c>
      <c r="M1444" s="64">
        <f>IF(tblMovement[[#This Row],[Material]]="","",IF(LEFT(tblMovement[[#This Row],[Material]],3)="Ore",1,0))</f>
        <v/>
      </c>
      <c r="N1444" s="59">
        <f>IF(OR(tblMovement[[#This Row],[Tonnes_t]]="",tblMovement[[#This Row],[Grade_gpt]]=""),0,tblMovement[[#This Row],[Tonnes_t]]*tblMovement[[#This Row],[Grade_gpt]]/cfg_TroyOz)</f>
        <v/>
      </c>
      <c r="O1444" s="59">
        <f>IF(tblMovement[[#This Row],[Is_Ore]]=1,tblMovement[[#This Row],[Contained_oz]],0)</f>
        <v/>
      </c>
    </row>
    <row r="1445">
      <c r="A1445" s="54" t="n"/>
      <c r="B1445" s="61" t="n"/>
      <c r="C1445" s="61" t="n"/>
      <c r="D1445" s="61" t="n"/>
      <c r="E1445" s="61" t="n"/>
      <c r="F1445" s="55" t="n"/>
      <c r="G1445" s="56" t="n"/>
      <c r="H1445" s="55" t="n"/>
      <c r="I1445" s="62" t="n"/>
      <c r="J1445" s="58" t="n"/>
      <c r="K1445" s="63">
        <f>IF(tblMovement[[#This Row],[Source]]="","",IFERROR(INDEX(tblSources[Type],MATCH(tblMovement[[#This Row],[Source]],tblSources[Source],0)),"?"))</f>
        <v/>
      </c>
      <c r="L1445" s="63">
        <f>IF(tblMovement[[#This Row],[Destination]]="","",IFERROR(INDEX(tblDestinations[Type],MATCH(tblMovement[[#This Row],[Destination]],tblDestinations[Destination],0)),"?"))</f>
        <v/>
      </c>
      <c r="M1445" s="64">
        <f>IF(tblMovement[[#This Row],[Material]]="","",IF(LEFT(tblMovement[[#This Row],[Material]],3)="Ore",1,0))</f>
        <v/>
      </c>
      <c r="N1445" s="59">
        <f>IF(OR(tblMovement[[#This Row],[Tonnes_t]]="",tblMovement[[#This Row],[Grade_gpt]]=""),0,tblMovement[[#This Row],[Tonnes_t]]*tblMovement[[#This Row],[Grade_gpt]]/cfg_TroyOz)</f>
        <v/>
      </c>
      <c r="O1445" s="59">
        <f>IF(tblMovement[[#This Row],[Is_Ore]]=1,tblMovement[[#This Row],[Contained_oz]],0)</f>
        <v/>
      </c>
    </row>
    <row r="1446">
      <c r="A1446" s="54" t="n"/>
      <c r="B1446" s="61" t="n"/>
      <c r="C1446" s="61" t="n"/>
      <c r="D1446" s="61" t="n"/>
      <c r="E1446" s="61" t="n"/>
      <c r="F1446" s="55" t="n"/>
      <c r="G1446" s="56" t="n"/>
      <c r="H1446" s="55" t="n"/>
      <c r="I1446" s="62" t="n"/>
      <c r="J1446" s="58" t="n"/>
      <c r="K1446" s="63">
        <f>IF(tblMovement[[#This Row],[Source]]="","",IFERROR(INDEX(tblSources[Type],MATCH(tblMovement[[#This Row],[Source]],tblSources[Source],0)),"?"))</f>
        <v/>
      </c>
      <c r="L1446" s="63">
        <f>IF(tblMovement[[#This Row],[Destination]]="","",IFERROR(INDEX(tblDestinations[Type],MATCH(tblMovement[[#This Row],[Destination]],tblDestinations[Destination],0)),"?"))</f>
        <v/>
      </c>
      <c r="M1446" s="64">
        <f>IF(tblMovement[[#This Row],[Material]]="","",IF(LEFT(tblMovement[[#This Row],[Material]],3)="Ore",1,0))</f>
        <v/>
      </c>
      <c r="N1446" s="59">
        <f>IF(OR(tblMovement[[#This Row],[Tonnes_t]]="",tblMovement[[#This Row],[Grade_gpt]]=""),0,tblMovement[[#This Row],[Tonnes_t]]*tblMovement[[#This Row],[Grade_gpt]]/cfg_TroyOz)</f>
        <v/>
      </c>
      <c r="O1446" s="59">
        <f>IF(tblMovement[[#This Row],[Is_Ore]]=1,tblMovement[[#This Row],[Contained_oz]],0)</f>
        <v/>
      </c>
    </row>
    <row r="1447">
      <c r="A1447" s="54" t="n"/>
      <c r="B1447" s="61" t="n"/>
      <c r="C1447" s="61" t="n"/>
      <c r="D1447" s="61" t="n"/>
      <c r="E1447" s="61" t="n"/>
      <c r="F1447" s="55" t="n"/>
      <c r="G1447" s="56" t="n"/>
      <c r="H1447" s="55" t="n"/>
      <c r="I1447" s="62" t="n"/>
      <c r="J1447" s="58" t="n"/>
      <c r="K1447" s="63">
        <f>IF(tblMovement[[#This Row],[Source]]="","",IFERROR(INDEX(tblSources[Type],MATCH(tblMovement[[#This Row],[Source]],tblSources[Source],0)),"?"))</f>
        <v/>
      </c>
      <c r="L1447" s="63">
        <f>IF(tblMovement[[#This Row],[Destination]]="","",IFERROR(INDEX(tblDestinations[Type],MATCH(tblMovement[[#This Row],[Destination]],tblDestinations[Destination],0)),"?"))</f>
        <v/>
      </c>
      <c r="M1447" s="64">
        <f>IF(tblMovement[[#This Row],[Material]]="","",IF(LEFT(tblMovement[[#This Row],[Material]],3)="Ore",1,0))</f>
        <v/>
      </c>
      <c r="N1447" s="59">
        <f>IF(OR(tblMovement[[#This Row],[Tonnes_t]]="",tblMovement[[#This Row],[Grade_gpt]]=""),0,tblMovement[[#This Row],[Tonnes_t]]*tblMovement[[#This Row],[Grade_gpt]]/cfg_TroyOz)</f>
        <v/>
      </c>
      <c r="O1447" s="59">
        <f>IF(tblMovement[[#This Row],[Is_Ore]]=1,tblMovement[[#This Row],[Contained_oz]],0)</f>
        <v/>
      </c>
    </row>
    <row r="1448">
      <c r="A1448" s="54" t="n"/>
      <c r="B1448" s="61" t="n"/>
      <c r="C1448" s="61" t="n"/>
      <c r="D1448" s="61" t="n"/>
      <c r="E1448" s="61" t="n"/>
      <c r="F1448" s="55" t="n"/>
      <c r="G1448" s="56" t="n"/>
      <c r="H1448" s="55" t="n"/>
      <c r="I1448" s="62" t="n"/>
      <c r="J1448" s="58" t="n"/>
      <c r="K1448" s="63">
        <f>IF(tblMovement[[#This Row],[Source]]="","",IFERROR(INDEX(tblSources[Type],MATCH(tblMovement[[#This Row],[Source]],tblSources[Source],0)),"?"))</f>
        <v/>
      </c>
      <c r="L1448" s="63">
        <f>IF(tblMovement[[#This Row],[Destination]]="","",IFERROR(INDEX(tblDestinations[Type],MATCH(tblMovement[[#This Row],[Destination]],tblDestinations[Destination],0)),"?"))</f>
        <v/>
      </c>
      <c r="M1448" s="64">
        <f>IF(tblMovement[[#This Row],[Material]]="","",IF(LEFT(tblMovement[[#This Row],[Material]],3)="Ore",1,0))</f>
        <v/>
      </c>
      <c r="N1448" s="59">
        <f>IF(OR(tblMovement[[#This Row],[Tonnes_t]]="",tblMovement[[#This Row],[Grade_gpt]]=""),0,tblMovement[[#This Row],[Tonnes_t]]*tblMovement[[#This Row],[Grade_gpt]]/cfg_TroyOz)</f>
        <v/>
      </c>
      <c r="O1448" s="59">
        <f>IF(tblMovement[[#This Row],[Is_Ore]]=1,tblMovement[[#This Row],[Contained_oz]],0)</f>
        <v/>
      </c>
    </row>
    <row r="1449">
      <c r="A1449" s="54" t="n"/>
      <c r="B1449" s="61" t="n"/>
      <c r="C1449" s="61" t="n"/>
      <c r="D1449" s="61" t="n"/>
      <c r="E1449" s="61" t="n"/>
      <c r="F1449" s="55" t="n"/>
      <c r="G1449" s="56" t="n"/>
      <c r="H1449" s="55" t="n"/>
      <c r="I1449" s="62" t="n"/>
      <c r="J1449" s="58" t="n"/>
      <c r="K1449" s="63">
        <f>IF(tblMovement[[#This Row],[Source]]="","",IFERROR(INDEX(tblSources[Type],MATCH(tblMovement[[#This Row],[Source]],tblSources[Source],0)),"?"))</f>
        <v/>
      </c>
      <c r="L1449" s="63">
        <f>IF(tblMovement[[#This Row],[Destination]]="","",IFERROR(INDEX(tblDestinations[Type],MATCH(tblMovement[[#This Row],[Destination]],tblDestinations[Destination],0)),"?"))</f>
        <v/>
      </c>
      <c r="M1449" s="64">
        <f>IF(tblMovement[[#This Row],[Material]]="","",IF(LEFT(tblMovement[[#This Row],[Material]],3)="Ore",1,0))</f>
        <v/>
      </c>
      <c r="N1449" s="59">
        <f>IF(OR(tblMovement[[#This Row],[Tonnes_t]]="",tblMovement[[#This Row],[Grade_gpt]]=""),0,tblMovement[[#This Row],[Tonnes_t]]*tblMovement[[#This Row],[Grade_gpt]]/cfg_TroyOz)</f>
        <v/>
      </c>
      <c r="O1449" s="59">
        <f>IF(tblMovement[[#This Row],[Is_Ore]]=1,tblMovement[[#This Row],[Contained_oz]],0)</f>
        <v/>
      </c>
    </row>
    <row r="1450">
      <c r="A1450" s="54" t="n"/>
      <c r="B1450" s="61" t="n"/>
      <c r="C1450" s="61" t="n"/>
      <c r="D1450" s="61" t="n"/>
      <c r="E1450" s="61" t="n"/>
      <c r="F1450" s="55" t="n"/>
      <c r="G1450" s="56" t="n"/>
      <c r="H1450" s="55" t="n"/>
      <c r="I1450" s="62" t="n"/>
      <c r="J1450" s="58" t="n"/>
      <c r="K1450" s="63">
        <f>IF(tblMovement[[#This Row],[Source]]="","",IFERROR(INDEX(tblSources[Type],MATCH(tblMovement[[#This Row],[Source]],tblSources[Source],0)),"?"))</f>
        <v/>
      </c>
      <c r="L1450" s="63">
        <f>IF(tblMovement[[#This Row],[Destination]]="","",IFERROR(INDEX(tblDestinations[Type],MATCH(tblMovement[[#This Row],[Destination]],tblDestinations[Destination],0)),"?"))</f>
        <v/>
      </c>
      <c r="M1450" s="64">
        <f>IF(tblMovement[[#This Row],[Material]]="","",IF(LEFT(tblMovement[[#This Row],[Material]],3)="Ore",1,0))</f>
        <v/>
      </c>
      <c r="N1450" s="59">
        <f>IF(OR(tblMovement[[#This Row],[Tonnes_t]]="",tblMovement[[#This Row],[Grade_gpt]]=""),0,tblMovement[[#This Row],[Tonnes_t]]*tblMovement[[#This Row],[Grade_gpt]]/cfg_TroyOz)</f>
        <v/>
      </c>
      <c r="O1450" s="59">
        <f>IF(tblMovement[[#This Row],[Is_Ore]]=1,tblMovement[[#This Row],[Contained_oz]],0)</f>
        <v/>
      </c>
    </row>
    <row r="1451">
      <c r="A1451" s="54" t="n"/>
      <c r="B1451" s="61" t="n"/>
      <c r="C1451" s="61" t="n"/>
      <c r="D1451" s="61" t="n"/>
      <c r="E1451" s="61" t="n"/>
      <c r="F1451" s="55" t="n"/>
      <c r="G1451" s="56" t="n"/>
      <c r="H1451" s="55" t="n"/>
      <c r="I1451" s="62" t="n"/>
      <c r="J1451" s="58" t="n"/>
      <c r="K1451" s="63">
        <f>IF(tblMovement[[#This Row],[Source]]="","",IFERROR(INDEX(tblSources[Type],MATCH(tblMovement[[#This Row],[Source]],tblSources[Source],0)),"?"))</f>
        <v/>
      </c>
      <c r="L1451" s="63">
        <f>IF(tblMovement[[#This Row],[Destination]]="","",IFERROR(INDEX(tblDestinations[Type],MATCH(tblMovement[[#This Row],[Destination]],tblDestinations[Destination],0)),"?"))</f>
        <v/>
      </c>
      <c r="M1451" s="64">
        <f>IF(tblMovement[[#This Row],[Material]]="","",IF(LEFT(tblMovement[[#This Row],[Material]],3)="Ore",1,0))</f>
        <v/>
      </c>
      <c r="N1451" s="59">
        <f>IF(OR(tblMovement[[#This Row],[Tonnes_t]]="",tblMovement[[#This Row],[Grade_gpt]]=""),0,tblMovement[[#This Row],[Tonnes_t]]*tblMovement[[#This Row],[Grade_gpt]]/cfg_TroyOz)</f>
        <v/>
      </c>
      <c r="O1451" s="59">
        <f>IF(tblMovement[[#This Row],[Is_Ore]]=1,tblMovement[[#This Row],[Contained_oz]],0)</f>
        <v/>
      </c>
    </row>
    <row r="1452">
      <c r="A1452" s="54" t="n"/>
      <c r="B1452" s="61" t="n"/>
      <c r="C1452" s="61" t="n"/>
      <c r="D1452" s="61" t="n"/>
      <c r="E1452" s="61" t="n"/>
      <c r="F1452" s="55" t="n"/>
      <c r="G1452" s="56" t="n"/>
      <c r="H1452" s="55" t="n"/>
      <c r="I1452" s="62" t="n"/>
      <c r="J1452" s="58" t="n"/>
      <c r="K1452" s="63">
        <f>IF(tblMovement[[#This Row],[Source]]="","",IFERROR(INDEX(tblSources[Type],MATCH(tblMovement[[#This Row],[Source]],tblSources[Source],0)),"?"))</f>
        <v/>
      </c>
      <c r="L1452" s="63">
        <f>IF(tblMovement[[#This Row],[Destination]]="","",IFERROR(INDEX(tblDestinations[Type],MATCH(tblMovement[[#This Row],[Destination]],tblDestinations[Destination],0)),"?"))</f>
        <v/>
      </c>
      <c r="M1452" s="64">
        <f>IF(tblMovement[[#This Row],[Material]]="","",IF(LEFT(tblMovement[[#This Row],[Material]],3)="Ore",1,0))</f>
        <v/>
      </c>
      <c r="N1452" s="59">
        <f>IF(OR(tblMovement[[#This Row],[Tonnes_t]]="",tblMovement[[#This Row],[Grade_gpt]]=""),0,tblMovement[[#This Row],[Tonnes_t]]*tblMovement[[#This Row],[Grade_gpt]]/cfg_TroyOz)</f>
        <v/>
      </c>
      <c r="O1452" s="59">
        <f>IF(tblMovement[[#This Row],[Is_Ore]]=1,tblMovement[[#This Row],[Contained_oz]],0)</f>
        <v/>
      </c>
    </row>
    <row r="1453">
      <c r="A1453" s="54" t="n"/>
      <c r="B1453" s="61" t="n"/>
      <c r="C1453" s="61" t="n"/>
      <c r="D1453" s="61" t="n"/>
      <c r="E1453" s="61" t="n"/>
      <c r="F1453" s="55" t="n"/>
      <c r="G1453" s="56" t="n"/>
      <c r="H1453" s="55" t="n"/>
      <c r="I1453" s="62" t="n"/>
      <c r="J1453" s="58" t="n"/>
      <c r="K1453" s="63">
        <f>IF(tblMovement[[#This Row],[Source]]="","",IFERROR(INDEX(tblSources[Type],MATCH(tblMovement[[#This Row],[Source]],tblSources[Source],0)),"?"))</f>
        <v/>
      </c>
      <c r="L1453" s="63">
        <f>IF(tblMovement[[#This Row],[Destination]]="","",IFERROR(INDEX(tblDestinations[Type],MATCH(tblMovement[[#This Row],[Destination]],tblDestinations[Destination],0)),"?"))</f>
        <v/>
      </c>
      <c r="M1453" s="64">
        <f>IF(tblMovement[[#This Row],[Material]]="","",IF(LEFT(tblMovement[[#This Row],[Material]],3)="Ore",1,0))</f>
        <v/>
      </c>
      <c r="N1453" s="59">
        <f>IF(OR(tblMovement[[#This Row],[Tonnes_t]]="",tblMovement[[#This Row],[Grade_gpt]]=""),0,tblMovement[[#This Row],[Tonnes_t]]*tblMovement[[#This Row],[Grade_gpt]]/cfg_TroyOz)</f>
        <v/>
      </c>
      <c r="O1453" s="59">
        <f>IF(tblMovement[[#This Row],[Is_Ore]]=1,tblMovement[[#This Row],[Contained_oz]],0)</f>
        <v/>
      </c>
    </row>
    <row r="1454">
      <c r="A1454" s="54" t="n"/>
      <c r="B1454" s="61" t="n"/>
      <c r="C1454" s="61" t="n"/>
      <c r="D1454" s="61" t="n"/>
      <c r="E1454" s="61" t="n"/>
      <c r="F1454" s="55" t="n"/>
      <c r="G1454" s="56" t="n"/>
      <c r="H1454" s="55" t="n"/>
      <c r="I1454" s="62" t="n"/>
      <c r="J1454" s="58" t="n"/>
      <c r="K1454" s="63">
        <f>IF(tblMovement[[#This Row],[Source]]="","",IFERROR(INDEX(tblSources[Type],MATCH(tblMovement[[#This Row],[Source]],tblSources[Source],0)),"?"))</f>
        <v/>
      </c>
      <c r="L1454" s="63">
        <f>IF(tblMovement[[#This Row],[Destination]]="","",IFERROR(INDEX(tblDestinations[Type],MATCH(tblMovement[[#This Row],[Destination]],tblDestinations[Destination],0)),"?"))</f>
        <v/>
      </c>
      <c r="M1454" s="64">
        <f>IF(tblMovement[[#This Row],[Material]]="","",IF(LEFT(tblMovement[[#This Row],[Material]],3)="Ore",1,0))</f>
        <v/>
      </c>
      <c r="N1454" s="59">
        <f>IF(OR(tblMovement[[#This Row],[Tonnes_t]]="",tblMovement[[#This Row],[Grade_gpt]]=""),0,tblMovement[[#This Row],[Tonnes_t]]*tblMovement[[#This Row],[Grade_gpt]]/cfg_TroyOz)</f>
        <v/>
      </c>
      <c r="O1454" s="59">
        <f>IF(tblMovement[[#This Row],[Is_Ore]]=1,tblMovement[[#This Row],[Contained_oz]],0)</f>
        <v/>
      </c>
    </row>
    <row r="1455">
      <c r="A1455" s="54" t="n"/>
      <c r="B1455" s="61" t="n"/>
      <c r="C1455" s="61" t="n"/>
      <c r="D1455" s="61" t="n"/>
      <c r="E1455" s="61" t="n"/>
      <c r="F1455" s="55" t="n"/>
      <c r="G1455" s="56" t="n"/>
      <c r="H1455" s="55" t="n"/>
      <c r="I1455" s="62" t="n"/>
      <c r="J1455" s="58" t="n"/>
      <c r="K1455" s="63">
        <f>IF(tblMovement[[#This Row],[Source]]="","",IFERROR(INDEX(tblSources[Type],MATCH(tblMovement[[#This Row],[Source]],tblSources[Source],0)),"?"))</f>
        <v/>
      </c>
      <c r="L1455" s="63">
        <f>IF(tblMovement[[#This Row],[Destination]]="","",IFERROR(INDEX(tblDestinations[Type],MATCH(tblMovement[[#This Row],[Destination]],tblDestinations[Destination],0)),"?"))</f>
        <v/>
      </c>
      <c r="M1455" s="64">
        <f>IF(tblMovement[[#This Row],[Material]]="","",IF(LEFT(tblMovement[[#This Row],[Material]],3)="Ore",1,0))</f>
        <v/>
      </c>
      <c r="N1455" s="59">
        <f>IF(OR(tblMovement[[#This Row],[Tonnes_t]]="",tblMovement[[#This Row],[Grade_gpt]]=""),0,tblMovement[[#This Row],[Tonnes_t]]*tblMovement[[#This Row],[Grade_gpt]]/cfg_TroyOz)</f>
        <v/>
      </c>
      <c r="O1455" s="59">
        <f>IF(tblMovement[[#This Row],[Is_Ore]]=1,tblMovement[[#This Row],[Contained_oz]],0)</f>
        <v/>
      </c>
    </row>
    <row r="1456">
      <c r="A1456" s="54" t="n"/>
      <c r="B1456" s="61" t="n"/>
      <c r="C1456" s="61" t="n"/>
      <c r="D1456" s="61" t="n"/>
      <c r="E1456" s="61" t="n"/>
      <c r="F1456" s="55" t="n"/>
      <c r="G1456" s="56" t="n"/>
      <c r="H1456" s="55" t="n"/>
      <c r="I1456" s="62" t="n"/>
      <c r="J1456" s="58" t="n"/>
      <c r="K1456" s="63">
        <f>IF(tblMovement[[#This Row],[Source]]="","",IFERROR(INDEX(tblSources[Type],MATCH(tblMovement[[#This Row],[Source]],tblSources[Source],0)),"?"))</f>
        <v/>
      </c>
      <c r="L1456" s="63">
        <f>IF(tblMovement[[#This Row],[Destination]]="","",IFERROR(INDEX(tblDestinations[Type],MATCH(tblMovement[[#This Row],[Destination]],tblDestinations[Destination],0)),"?"))</f>
        <v/>
      </c>
      <c r="M1456" s="64">
        <f>IF(tblMovement[[#This Row],[Material]]="","",IF(LEFT(tblMovement[[#This Row],[Material]],3)="Ore",1,0))</f>
        <v/>
      </c>
      <c r="N1456" s="59">
        <f>IF(OR(tblMovement[[#This Row],[Tonnes_t]]="",tblMovement[[#This Row],[Grade_gpt]]=""),0,tblMovement[[#This Row],[Tonnes_t]]*tblMovement[[#This Row],[Grade_gpt]]/cfg_TroyOz)</f>
        <v/>
      </c>
      <c r="O1456" s="59">
        <f>IF(tblMovement[[#This Row],[Is_Ore]]=1,tblMovement[[#This Row],[Contained_oz]],0)</f>
        <v/>
      </c>
    </row>
    <row r="1457">
      <c r="A1457" s="54" t="n"/>
      <c r="B1457" s="61" t="n"/>
      <c r="C1457" s="61" t="n"/>
      <c r="D1457" s="61" t="n"/>
      <c r="E1457" s="61" t="n"/>
      <c r="F1457" s="55" t="n"/>
      <c r="G1457" s="56" t="n"/>
      <c r="H1457" s="55" t="n"/>
      <c r="I1457" s="62" t="n"/>
      <c r="J1457" s="58" t="n"/>
      <c r="K1457" s="63">
        <f>IF(tblMovement[[#This Row],[Source]]="","",IFERROR(INDEX(tblSources[Type],MATCH(tblMovement[[#This Row],[Source]],tblSources[Source],0)),"?"))</f>
        <v/>
      </c>
      <c r="L1457" s="63">
        <f>IF(tblMovement[[#This Row],[Destination]]="","",IFERROR(INDEX(tblDestinations[Type],MATCH(tblMovement[[#This Row],[Destination]],tblDestinations[Destination],0)),"?"))</f>
        <v/>
      </c>
      <c r="M1457" s="64">
        <f>IF(tblMovement[[#This Row],[Material]]="","",IF(LEFT(tblMovement[[#This Row],[Material]],3)="Ore",1,0))</f>
        <v/>
      </c>
      <c r="N1457" s="59">
        <f>IF(OR(tblMovement[[#This Row],[Tonnes_t]]="",tblMovement[[#This Row],[Grade_gpt]]=""),0,tblMovement[[#This Row],[Tonnes_t]]*tblMovement[[#This Row],[Grade_gpt]]/cfg_TroyOz)</f>
        <v/>
      </c>
      <c r="O1457" s="59">
        <f>IF(tblMovement[[#This Row],[Is_Ore]]=1,tblMovement[[#This Row],[Contained_oz]],0)</f>
        <v/>
      </c>
    </row>
    <row r="1458">
      <c r="A1458" s="54" t="n"/>
      <c r="B1458" s="61" t="n"/>
      <c r="C1458" s="61" t="n"/>
      <c r="D1458" s="61" t="n"/>
      <c r="E1458" s="61" t="n"/>
      <c r="F1458" s="55" t="n"/>
      <c r="G1458" s="56" t="n"/>
      <c r="H1458" s="55" t="n"/>
      <c r="I1458" s="62" t="n"/>
      <c r="J1458" s="58" t="n"/>
      <c r="K1458" s="63">
        <f>IF(tblMovement[[#This Row],[Source]]="","",IFERROR(INDEX(tblSources[Type],MATCH(tblMovement[[#This Row],[Source]],tblSources[Source],0)),"?"))</f>
        <v/>
      </c>
      <c r="L1458" s="63">
        <f>IF(tblMovement[[#This Row],[Destination]]="","",IFERROR(INDEX(tblDestinations[Type],MATCH(tblMovement[[#This Row],[Destination]],tblDestinations[Destination],0)),"?"))</f>
        <v/>
      </c>
      <c r="M1458" s="64">
        <f>IF(tblMovement[[#This Row],[Material]]="","",IF(LEFT(tblMovement[[#This Row],[Material]],3)="Ore",1,0))</f>
        <v/>
      </c>
      <c r="N1458" s="59">
        <f>IF(OR(tblMovement[[#This Row],[Tonnes_t]]="",tblMovement[[#This Row],[Grade_gpt]]=""),0,tblMovement[[#This Row],[Tonnes_t]]*tblMovement[[#This Row],[Grade_gpt]]/cfg_TroyOz)</f>
        <v/>
      </c>
      <c r="O1458" s="59">
        <f>IF(tblMovement[[#This Row],[Is_Ore]]=1,tblMovement[[#This Row],[Contained_oz]],0)</f>
        <v/>
      </c>
    </row>
    <row r="1459">
      <c r="A1459" s="54" t="n"/>
      <c r="B1459" s="61" t="n"/>
      <c r="C1459" s="61" t="n"/>
      <c r="D1459" s="61" t="n"/>
      <c r="E1459" s="61" t="n"/>
      <c r="F1459" s="55" t="n"/>
      <c r="G1459" s="56" t="n"/>
      <c r="H1459" s="55" t="n"/>
      <c r="I1459" s="62" t="n"/>
      <c r="J1459" s="58" t="n"/>
      <c r="K1459" s="63">
        <f>IF(tblMovement[[#This Row],[Source]]="","",IFERROR(INDEX(tblSources[Type],MATCH(tblMovement[[#This Row],[Source]],tblSources[Source],0)),"?"))</f>
        <v/>
      </c>
      <c r="L1459" s="63">
        <f>IF(tblMovement[[#This Row],[Destination]]="","",IFERROR(INDEX(tblDestinations[Type],MATCH(tblMovement[[#This Row],[Destination]],tblDestinations[Destination],0)),"?"))</f>
        <v/>
      </c>
      <c r="M1459" s="64">
        <f>IF(tblMovement[[#This Row],[Material]]="","",IF(LEFT(tblMovement[[#This Row],[Material]],3)="Ore",1,0))</f>
        <v/>
      </c>
      <c r="N1459" s="59">
        <f>IF(OR(tblMovement[[#This Row],[Tonnes_t]]="",tblMovement[[#This Row],[Grade_gpt]]=""),0,tblMovement[[#This Row],[Tonnes_t]]*tblMovement[[#This Row],[Grade_gpt]]/cfg_TroyOz)</f>
        <v/>
      </c>
      <c r="O1459" s="59">
        <f>IF(tblMovement[[#This Row],[Is_Ore]]=1,tblMovement[[#This Row],[Contained_oz]],0)</f>
        <v/>
      </c>
    </row>
    <row r="1460">
      <c r="A1460" s="54" t="n"/>
      <c r="B1460" s="61" t="n"/>
      <c r="C1460" s="61" t="n"/>
      <c r="D1460" s="61" t="n"/>
      <c r="E1460" s="61" t="n"/>
      <c r="F1460" s="55" t="n"/>
      <c r="G1460" s="56" t="n"/>
      <c r="H1460" s="55" t="n"/>
      <c r="I1460" s="62" t="n"/>
      <c r="J1460" s="58" t="n"/>
      <c r="K1460" s="63">
        <f>IF(tblMovement[[#This Row],[Source]]="","",IFERROR(INDEX(tblSources[Type],MATCH(tblMovement[[#This Row],[Source]],tblSources[Source],0)),"?"))</f>
        <v/>
      </c>
      <c r="L1460" s="63">
        <f>IF(tblMovement[[#This Row],[Destination]]="","",IFERROR(INDEX(tblDestinations[Type],MATCH(tblMovement[[#This Row],[Destination]],tblDestinations[Destination],0)),"?"))</f>
        <v/>
      </c>
      <c r="M1460" s="64">
        <f>IF(tblMovement[[#This Row],[Material]]="","",IF(LEFT(tblMovement[[#This Row],[Material]],3)="Ore",1,0))</f>
        <v/>
      </c>
      <c r="N1460" s="59">
        <f>IF(OR(tblMovement[[#This Row],[Tonnes_t]]="",tblMovement[[#This Row],[Grade_gpt]]=""),0,tblMovement[[#This Row],[Tonnes_t]]*tblMovement[[#This Row],[Grade_gpt]]/cfg_TroyOz)</f>
        <v/>
      </c>
      <c r="O1460" s="59">
        <f>IF(tblMovement[[#This Row],[Is_Ore]]=1,tblMovement[[#This Row],[Contained_oz]],0)</f>
        <v/>
      </c>
    </row>
    <row r="1461">
      <c r="A1461" s="54" t="n"/>
      <c r="B1461" s="61" t="n"/>
      <c r="C1461" s="61" t="n"/>
      <c r="D1461" s="61" t="n"/>
      <c r="E1461" s="61" t="n"/>
      <c r="F1461" s="55" t="n"/>
      <c r="G1461" s="56" t="n"/>
      <c r="H1461" s="55" t="n"/>
      <c r="I1461" s="62" t="n"/>
      <c r="J1461" s="58" t="n"/>
      <c r="K1461" s="63">
        <f>IF(tblMovement[[#This Row],[Source]]="","",IFERROR(INDEX(tblSources[Type],MATCH(tblMovement[[#This Row],[Source]],tblSources[Source],0)),"?"))</f>
        <v/>
      </c>
      <c r="L1461" s="63">
        <f>IF(tblMovement[[#This Row],[Destination]]="","",IFERROR(INDEX(tblDestinations[Type],MATCH(tblMovement[[#This Row],[Destination]],tblDestinations[Destination],0)),"?"))</f>
        <v/>
      </c>
      <c r="M1461" s="64">
        <f>IF(tblMovement[[#This Row],[Material]]="","",IF(LEFT(tblMovement[[#This Row],[Material]],3)="Ore",1,0))</f>
        <v/>
      </c>
      <c r="N1461" s="59">
        <f>IF(OR(tblMovement[[#This Row],[Tonnes_t]]="",tblMovement[[#This Row],[Grade_gpt]]=""),0,tblMovement[[#This Row],[Tonnes_t]]*tblMovement[[#This Row],[Grade_gpt]]/cfg_TroyOz)</f>
        <v/>
      </c>
      <c r="O1461" s="59">
        <f>IF(tblMovement[[#This Row],[Is_Ore]]=1,tblMovement[[#This Row],[Contained_oz]],0)</f>
        <v/>
      </c>
    </row>
    <row r="1462">
      <c r="A1462" s="54" t="n"/>
      <c r="B1462" s="61" t="n"/>
      <c r="C1462" s="61" t="n"/>
      <c r="D1462" s="61" t="n"/>
      <c r="E1462" s="61" t="n"/>
      <c r="F1462" s="55" t="n"/>
      <c r="G1462" s="56" t="n"/>
      <c r="H1462" s="55" t="n"/>
      <c r="I1462" s="62" t="n"/>
      <c r="J1462" s="58" t="n"/>
      <c r="K1462" s="63">
        <f>IF(tblMovement[[#This Row],[Source]]="","",IFERROR(INDEX(tblSources[Type],MATCH(tblMovement[[#This Row],[Source]],tblSources[Source],0)),"?"))</f>
        <v/>
      </c>
      <c r="L1462" s="63">
        <f>IF(tblMovement[[#This Row],[Destination]]="","",IFERROR(INDEX(tblDestinations[Type],MATCH(tblMovement[[#This Row],[Destination]],tblDestinations[Destination],0)),"?"))</f>
        <v/>
      </c>
      <c r="M1462" s="64">
        <f>IF(tblMovement[[#This Row],[Material]]="","",IF(LEFT(tblMovement[[#This Row],[Material]],3)="Ore",1,0))</f>
        <v/>
      </c>
      <c r="N1462" s="59">
        <f>IF(OR(tblMovement[[#This Row],[Tonnes_t]]="",tblMovement[[#This Row],[Grade_gpt]]=""),0,tblMovement[[#This Row],[Tonnes_t]]*tblMovement[[#This Row],[Grade_gpt]]/cfg_TroyOz)</f>
        <v/>
      </c>
      <c r="O1462" s="59">
        <f>IF(tblMovement[[#This Row],[Is_Ore]]=1,tblMovement[[#This Row],[Contained_oz]],0)</f>
        <v/>
      </c>
    </row>
    <row r="1463">
      <c r="A1463" s="54" t="n"/>
      <c r="B1463" s="61" t="n"/>
      <c r="C1463" s="61" t="n"/>
      <c r="D1463" s="61" t="n"/>
      <c r="E1463" s="61" t="n"/>
      <c r="F1463" s="55" t="n"/>
      <c r="G1463" s="56" t="n"/>
      <c r="H1463" s="55" t="n"/>
      <c r="I1463" s="62" t="n"/>
      <c r="J1463" s="58" t="n"/>
      <c r="K1463" s="63">
        <f>IF(tblMovement[[#This Row],[Source]]="","",IFERROR(INDEX(tblSources[Type],MATCH(tblMovement[[#This Row],[Source]],tblSources[Source],0)),"?"))</f>
        <v/>
      </c>
      <c r="L1463" s="63">
        <f>IF(tblMovement[[#This Row],[Destination]]="","",IFERROR(INDEX(tblDestinations[Type],MATCH(tblMovement[[#This Row],[Destination]],tblDestinations[Destination],0)),"?"))</f>
        <v/>
      </c>
      <c r="M1463" s="64">
        <f>IF(tblMovement[[#This Row],[Material]]="","",IF(LEFT(tblMovement[[#This Row],[Material]],3)="Ore",1,0))</f>
        <v/>
      </c>
      <c r="N1463" s="59">
        <f>IF(OR(tblMovement[[#This Row],[Tonnes_t]]="",tblMovement[[#This Row],[Grade_gpt]]=""),0,tblMovement[[#This Row],[Tonnes_t]]*tblMovement[[#This Row],[Grade_gpt]]/cfg_TroyOz)</f>
        <v/>
      </c>
      <c r="O1463" s="59">
        <f>IF(tblMovement[[#This Row],[Is_Ore]]=1,tblMovement[[#This Row],[Contained_oz]],0)</f>
        <v/>
      </c>
    </row>
    <row r="1464">
      <c r="A1464" s="54" t="n"/>
      <c r="B1464" s="61" t="n"/>
      <c r="C1464" s="61" t="n"/>
      <c r="D1464" s="61" t="n"/>
      <c r="E1464" s="61" t="n"/>
      <c r="F1464" s="55" t="n"/>
      <c r="G1464" s="56" t="n"/>
      <c r="H1464" s="55" t="n"/>
      <c r="I1464" s="62" t="n"/>
      <c r="J1464" s="58" t="n"/>
      <c r="K1464" s="63">
        <f>IF(tblMovement[[#This Row],[Source]]="","",IFERROR(INDEX(tblSources[Type],MATCH(tblMovement[[#This Row],[Source]],tblSources[Source],0)),"?"))</f>
        <v/>
      </c>
      <c r="L1464" s="63">
        <f>IF(tblMovement[[#This Row],[Destination]]="","",IFERROR(INDEX(tblDestinations[Type],MATCH(tblMovement[[#This Row],[Destination]],tblDestinations[Destination],0)),"?"))</f>
        <v/>
      </c>
      <c r="M1464" s="64">
        <f>IF(tblMovement[[#This Row],[Material]]="","",IF(LEFT(tblMovement[[#This Row],[Material]],3)="Ore",1,0))</f>
        <v/>
      </c>
      <c r="N1464" s="59">
        <f>IF(OR(tblMovement[[#This Row],[Tonnes_t]]="",tblMovement[[#This Row],[Grade_gpt]]=""),0,tblMovement[[#This Row],[Tonnes_t]]*tblMovement[[#This Row],[Grade_gpt]]/cfg_TroyOz)</f>
        <v/>
      </c>
      <c r="O1464" s="59">
        <f>IF(tblMovement[[#This Row],[Is_Ore]]=1,tblMovement[[#This Row],[Contained_oz]],0)</f>
        <v/>
      </c>
    </row>
    <row r="1465">
      <c r="A1465" s="54" t="n"/>
      <c r="B1465" s="61" t="n"/>
      <c r="C1465" s="61" t="n"/>
      <c r="D1465" s="61" t="n"/>
      <c r="E1465" s="61" t="n"/>
      <c r="F1465" s="55" t="n"/>
      <c r="G1465" s="56" t="n"/>
      <c r="H1465" s="55" t="n"/>
      <c r="I1465" s="62" t="n"/>
      <c r="J1465" s="58" t="n"/>
      <c r="K1465" s="63">
        <f>IF(tblMovement[[#This Row],[Source]]="","",IFERROR(INDEX(tblSources[Type],MATCH(tblMovement[[#This Row],[Source]],tblSources[Source],0)),"?"))</f>
        <v/>
      </c>
      <c r="L1465" s="63">
        <f>IF(tblMovement[[#This Row],[Destination]]="","",IFERROR(INDEX(tblDestinations[Type],MATCH(tblMovement[[#This Row],[Destination]],tblDestinations[Destination],0)),"?"))</f>
        <v/>
      </c>
      <c r="M1465" s="64">
        <f>IF(tblMovement[[#This Row],[Material]]="","",IF(LEFT(tblMovement[[#This Row],[Material]],3)="Ore",1,0))</f>
        <v/>
      </c>
      <c r="N1465" s="59">
        <f>IF(OR(tblMovement[[#This Row],[Tonnes_t]]="",tblMovement[[#This Row],[Grade_gpt]]=""),0,tblMovement[[#This Row],[Tonnes_t]]*tblMovement[[#This Row],[Grade_gpt]]/cfg_TroyOz)</f>
        <v/>
      </c>
      <c r="O1465" s="59">
        <f>IF(tblMovement[[#This Row],[Is_Ore]]=1,tblMovement[[#This Row],[Contained_oz]],0)</f>
        <v/>
      </c>
    </row>
    <row r="1466">
      <c r="A1466" s="54" t="n"/>
      <c r="B1466" s="61" t="n"/>
      <c r="C1466" s="61" t="n"/>
      <c r="D1466" s="61" t="n"/>
      <c r="E1466" s="61" t="n"/>
      <c r="F1466" s="55" t="n"/>
      <c r="G1466" s="56" t="n"/>
      <c r="H1466" s="55" t="n"/>
      <c r="I1466" s="62" t="n"/>
      <c r="J1466" s="58" t="n"/>
      <c r="K1466" s="63">
        <f>IF(tblMovement[[#This Row],[Source]]="","",IFERROR(INDEX(tblSources[Type],MATCH(tblMovement[[#This Row],[Source]],tblSources[Source],0)),"?"))</f>
        <v/>
      </c>
      <c r="L1466" s="63">
        <f>IF(tblMovement[[#This Row],[Destination]]="","",IFERROR(INDEX(tblDestinations[Type],MATCH(tblMovement[[#This Row],[Destination]],tblDestinations[Destination],0)),"?"))</f>
        <v/>
      </c>
      <c r="M1466" s="64">
        <f>IF(tblMovement[[#This Row],[Material]]="","",IF(LEFT(tblMovement[[#This Row],[Material]],3)="Ore",1,0))</f>
        <v/>
      </c>
      <c r="N1466" s="59">
        <f>IF(OR(tblMovement[[#This Row],[Tonnes_t]]="",tblMovement[[#This Row],[Grade_gpt]]=""),0,tblMovement[[#This Row],[Tonnes_t]]*tblMovement[[#This Row],[Grade_gpt]]/cfg_TroyOz)</f>
        <v/>
      </c>
      <c r="O1466" s="59">
        <f>IF(tblMovement[[#This Row],[Is_Ore]]=1,tblMovement[[#This Row],[Contained_oz]],0)</f>
        <v/>
      </c>
    </row>
    <row r="1467">
      <c r="A1467" s="54" t="n"/>
      <c r="B1467" s="61" t="n"/>
      <c r="C1467" s="61" t="n"/>
      <c r="D1467" s="61" t="n"/>
      <c r="E1467" s="61" t="n"/>
      <c r="F1467" s="55" t="n"/>
      <c r="G1467" s="56" t="n"/>
      <c r="H1467" s="55" t="n"/>
      <c r="I1467" s="62" t="n"/>
      <c r="J1467" s="58" t="n"/>
      <c r="K1467" s="63">
        <f>IF(tblMovement[[#This Row],[Source]]="","",IFERROR(INDEX(tblSources[Type],MATCH(tblMovement[[#This Row],[Source]],tblSources[Source],0)),"?"))</f>
        <v/>
      </c>
      <c r="L1467" s="63">
        <f>IF(tblMovement[[#This Row],[Destination]]="","",IFERROR(INDEX(tblDestinations[Type],MATCH(tblMovement[[#This Row],[Destination]],tblDestinations[Destination],0)),"?"))</f>
        <v/>
      </c>
      <c r="M1467" s="64">
        <f>IF(tblMovement[[#This Row],[Material]]="","",IF(LEFT(tblMovement[[#This Row],[Material]],3)="Ore",1,0))</f>
        <v/>
      </c>
      <c r="N1467" s="59">
        <f>IF(OR(tblMovement[[#This Row],[Tonnes_t]]="",tblMovement[[#This Row],[Grade_gpt]]=""),0,tblMovement[[#This Row],[Tonnes_t]]*tblMovement[[#This Row],[Grade_gpt]]/cfg_TroyOz)</f>
        <v/>
      </c>
      <c r="O1467" s="59">
        <f>IF(tblMovement[[#This Row],[Is_Ore]]=1,tblMovement[[#This Row],[Contained_oz]],0)</f>
        <v/>
      </c>
    </row>
    <row r="1468">
      <c r="A1468" s="54" t="n"/>
      <c r="B1468" s="61" t="n"/>
      <c r="C1468" s="61" t="n"/>
      <c r="D1468" s="61" t="n"/>
      <c r="E1468" s="61" t="n"/>
      <c r="F1468" s="55" t="n"/>
      <c r="G1468" s="56" t="n"/>
      <c r="H1468" s="55" t="n"/>
      <c r="I1468" s="62" t="n"/>
      <c r="J1468" s="58" t="n"/>
      <c r="K1468" s="63">
        <f>IF(tblMovement[[#This Row],[Source]]="","",IFERROR(INDEX(tblSources[Type],MATCH(tblMovement[[#This Row],[Source]],tblSources[Source],0)),"?"))</f>
        <v/>
      </c>
      <c r="L1468" s="63">
        <f>IF(tblMovement[[#This Row],[Destination]]="","",IFERROR(INDEX(tblDestinations[Type],MATCH(tblMovement[[#This Row],[Destination]],tblDestinations[Destination],0)),"?"))</f>
        <v/>
      </c>
      <c r="M1468" s="64">
        <f>IF(tblMovement[[#This Row],[Material]]="","",IF(LEFT(tblMovement[[#This Row],[Material]],3)="Ore",1,0))</f>
        <v/>
      </c>
      <c r="N1468" s="59">
        <f>IF(OR(tblMovement[[#This Row],[Tonnes_t]]="",tblMovement[[#This Row],[Grade_gpt]]=""),0,tblMovement[[#This Row],[Tonnes_t]]*tblMovement[[#This Row],[Grade_gpt]]/cfg_TroyOz)</f>
        <v/>
      </c>
      <c r="O1468" s="59">
        <f>IF(tblMovement[[#This Row],[Is_Ore]]=1,tblMovement[[#This Row],[Contained_oz]],0)</f>
        <v/>
      </c>
    </row>
    <row r="1469">
      <c r="A1469" s="54" t="n"/>
      <c r="B1469" s="61" t="n"/>
      <c r="C1469" s="61" t="n"/>
      <c r="D1469" s="61" t="n"/>
      <c r="E1469" s="61" t="n"/>
      <c r="F1469" s="55" t="n"/>
      <c r="G1469" s="56" t="n"/>
      <c r="H1469" s="55" t="n"/>
      <c r="I1469" s="62" t="n"/>
      <c r="J1469" s="58" t="n"/>
      <c r="K1469" s="63">
        <f>IF(tblMovement[[#This Row],[Source]]="","",IFERROR(INDEX(tblSources[Type],MATCH(tblMovement[[#This Row],[Source]],tblSources[Source],0)),"?"))</f>
        <v/>
      </c>
      <c r="L1469" s="63">
        <f>IF(tblMovement[[#This Row],[Destination]]="","",IFERROR(INDEX(tblDestinations[Type],MATCH(tblMovement[[#This Row],[Destination]],tblDestinations[Destination],0)),"?"))</f>
        <v/>
      </c>
      <c r="M1469" s="64">
        <f>IF(tblMovement[[#This Row],[Material]]="","",IF(LEFT(tblMovement[[#This Row],[Material]],3)="Ore",1,0))</f>
        <v/>
      </c>
      <c r="N1469" s="59">
        <f>IF(OR(tblMovement[[#This Row],[Tonnes_t]]="",tblMovement[[#This Row],[Grade_gpt]]=""),0,tblMovement[[#This Row],[Tonnes_t]]*tblMovement[[#This Row],[Grade_gpt]]/cfg_TroyOz)</f>
        <v/>
      </c>
      <c r="O1469" s="59">
        <f>IF(tblMovement[[#This Row],[Is_Ore]]=1,tblMovement[[#This Row],[Contained_oz]],0)</f>
        <v/>
      </c>
    </row>
    <row r="1470">
      <c r="A1470" s="54" t="n"/>
      <c r="B1470" s="61" t="n"/>
      <c r="C1470" s="61" t="n"/>
      <c r="D1470" s="61" t="n"/>
      <c r="E1470" s="61" t="n"/>
      <c r="F1470" s="55" t="n"/>
      <c r="G1470" s="56" t="n"/>
      <c r="H1470" s="55" t="n"/>
      <c r="I1470" s="62" t="n"/>
      <c r="J1470" s="58" t="n"/>
      <c r="K1470" s="63">
        <f>IF(tblMovement[[#This Row],[Source]]="","",IFERROR(INDEX(tblSources[Type],MATCH(tblMovement[[#This Row],[Source]],tblSources[Source],0)),"?"))</f>
        <v/>
      </c>
      <c r="L1470" s="63">
        <f>IF(tblMovement[[#This Row],[Destination]]="","",IFERROR(INDEX(tblDestinations[Type],MATCH(tblMovement[[#This Row],[Destination]],tblDestinations[Destination],0)),"?"))</f>
        <v/>
      </c>
      <c r="M1470" s="64">
        <f>IF(tblMovement[[#This Row],[Material]]="","",IF(LEFT(tblMovement[[#This Row],[Material]],3)="Ore",1,0))</f>
        <v/>
      </c>
      <c r="N1470" s="59">
        <f>IF(OR(tblMovement[[#This Row],[Tonnes_t]]="",tblMovement[[#This Row],[Grade_gpt]]=""),0,tblMovement[[#This Row],[Tonnes_t]]*tblMovement[[#This Row],[Grade_gpt]]/cfg_TroyOz)</f>
        <v/>
      </c>
      <c r="O1470" s="59">
        <f>IF(tblMovement[[#This Row],[Is_Ore]]=1,tblMovement[[#This Row],[Contained_oz]],0)</f>
        <v/>
      </c>
    </row>
    <row r="1471">
      <c r="A1471" s="54" t="n"/>
      <c r="B1471" s="61" t="n"/>
      <c r="C1471" s="61" t="n"/>
      <c r="D1471" s="61" t="n"/>
      <c r="E1471" s="61" t="n"/>
      <c r="F1471" s="55" t="n"/>
      <c r="G1471" s="56" t="n"/>
      <c r="H1471" s="55" t="n"/>
      <c r="I1471" s="62" t="n"/>
      <c r="J1471" s="58" t="n"/>
      <c r="K1471" s="63">
        <f>IF(tblMovement[[#This Row],[Source]]="","",IFERROR(INDEX(tblSources[Type],MATCH(tblMovement[[#This Row],[Source]],tblSources[Source],0)),"?"))</f>
        <v/>
      </c>
      <c r="L1471" s="63">
        <f>IF(tblMovement[[#This Row],[Destination]]="","",IFERROR(INDEX(tblDestinations[Type],MATCH(tblMovement[[#This Row],[Destination]],tblDestinations[Destination],0)),"?"))</f>
        <v/>
      </c>
      <c r="M1471" s="64">
        <f>IF(tblMovement[[#This Row],[Material]]="","",IF(LEFT(tblMovement[[#This Row],[Material]],3)="Ore",1,0))</f>
        <v/>
      </c>
      <c r="N1471" s="59">
        <f>IF(OR(tblMovement[[#This Row],[Tonnes_t]]="",tblMovement[[#This Row],[Grade_gpt]]=""),0,tblMovement[[#This Row],[Tonnes_t]]*tblMovement[[#This Row],[Grade_gpt]]/cfg_TroyOz)</f>
        <v/>
      </c>
      <c r="O1471" s="59">
        <f>IF(tblMovement[[#This Row],[Is_Ore]]=1,tblMovement[[#This Row],[Contained_oz]],0)</f>
        <v/>
      </c>
    </row>
    <row r="1472">
      <c r="A1472" s="54" t="n"/>
      <c r="B1472" s="61" t="n"/>
      <c r="C1472" s="61" t="n"/>
      <c r="D1472" s="61" t="n"/>
      <c r="E1472" s="61" t="n"/>
      <c r="F1472" s="55" t="n"/>
      <c r="G1472" s="56" t="n"/>
      <c r="H1472" s="55" t="n"/>
      <c r="I1472" s="62" t="n"/>
      <c r="J1472" s="58" t="n"/>
      <c r="K1472" s="63">
        <f>IF(tblMovement[[#This Row],[Source]]="","",IFERROR(INDEX(tblSources[Type],MATCH(tblMovement[[#This Row],[Source]],tblSources[Source],0)),"?"))</f>
        <v/>
      </c>
      <c r="L1472" s="63">
        <f>IF(tblMovement[[#This Row],[Destination]]="","",IFERROR(INDEX(tblDestinations[Type],MATCH(tblMovement[[#This Row],[Destination]],tblDestinations[Destination],0)),"?"))</f>
        <v/>
      </c>
      <c r="M1472" s="64">
        <f>IF(tblMovement[[#This Row],[Material]]="","",IF(LEFT(tblMovement[[#This Row],[Material]],3)="Ore",1,0))</f>
        <v/>
      </c>
      <c r="N1472" s="59">
        <f>IF(OR(tblMovement[[#This Row],[Tonnes_t]]="",tblMovement[[#This Row],[Grade_gpt]]=""),0,tblMovement[[#This Row],[Tonnes_t]]*tblMovement[[#This Row],[Grade_gpt]]/cfg_TroyOz)</f>
        <v/>
      </c>
      <c r="O1472" s="59">
        <f>IF(tblMovement[[#This Row],[Is_Ore]]=1,tblMovement[[#This Row],[Contained_oz]],0)</f>
        <v/>
      </c>
    </row>
    <row r="1473">
      <c r="A1473" s="54" t="n"/>
      <c r="B1473" s="61" t="n"/>
      <c r="C1473" s="61" t="n"/>
      <c r="D1473" s="61" t="n"/>
      <c r="E1473" s="61" t="n"/>
      <c r="F1473" s="55" t="n"/>
      <c r="G1473" s="56" t="n"/>
      <c r="H1473" s="55" t="n"/>
      <c r="I1473" s="62" t="n"/>
      <c r="J1473" s="58" t="n"/>
      <c r="K1473" s="63">
        <f>IF(tblMovement[[#This Row],[Source]]="","",IFERROR(INDEX(tblSources[Type],MATCH(tblMovement[[#This Row],[Source]],tblSources[Source],0)),"?"))</f>
        <v/>
      </c>
      <c r="L1473" s="63">
        <f>IF(tblMovement[[#This Row],[Destination]]="","",IFERROR(INDEX(tblDestinations[Type],MATCH(tblMovement[[#This Row],[Destination]],tblDestinations[Destination],0)),"?"))</f>
        <v/>
      </c>
      <c r="M1473" s="64">
        <f>IF(tblMovement[[#This Row],[Material]]="","",IF(LEFT(tblMovement[[#This Row],[Material]],3)="Ore",1,0))</f>
        <v/>
      </c>
      <c r="N1473" s="59">
        <f>IF(OR(tblMovement[[#This Row],[Tonnes_t]]="",tblMovement[[#This Row],[Grade_gpt]]=""),0,tblMovement[[#This Row],[Tonnes_t]]*tblMovement[[#This Row],[Grade_gpt]]/cfg_TroyOz)</f>
        <v/>
      </c>
      <c r="O1473" s="59">
        <f>IF(tblMovement[[#This Row],[Is_Ore]]=1,tblMovement[[#This Row],[Contained_oz]],0)</f>
        <v/>
      </c>
    </row>
    <row r="1474">
      <c r="A1474" s="54" t="n"/>
      <c r="B1474" s="61" t="n"/>
      <c r="C1474" s="61" t="n"/>
      <c r="D1474" s="61" t="n"/>
      <c r="E1474" s="61" t="n"/>
      <c r="F1474" s="55" t="n"/>
      <c r="G1474" s="56" t="n"/>
      <c r="H1474" s="55" t="n"/>
      <c r="I1474" s="62" t="n"/>
      <c r="J1474" s="58" t="n"/>
      <c r="K1474" s="63">
        <f>IF(tblMovement[[#This Row],[Source]]="","",IFERROR(INDEX(tblSources[Type],MATCH(tblMovement[[#This Row],[Source]],tblSources[Source],0)),"?"))</f>
        <v/>
      </c>
      <c r="L1474" s="63">
        <f>IF(tblMovement[[#This Row],[Destination]]="","",IFERROR(INDEX(tblDestinations[Type],MATCH(tblMovement[[#This Row],[Destination]],tblDestinations[Destination],0)),"?"))</f>
        <v/>
      </c>
      <c r="M1474" s="64">
        <f>IF(tblMovement[[#This Row],[Material]]="","",IF(LEFT(tblMovement[[#This Row],[Material]],3)="Ore",1,0))</f>
        <v/>
      </c>
      <c r="N1474" s="59">
        <f>IF(OR(tblMovement[[#This Row],[Tonnes_t]]="",tblMovement[[#This Row],[Grade_gpt]]=""),0,tblMovement[[#This Row],[Tonnes_t]]*tblMovement[[#This Row],[Grade_gpt]]/cfg_TroyOz)</f>
        <v/>
      </c>
      <c r="O1474" s="59">
        <f>IF(tblMovement[[#This Row],[Is_Ore]]=1,tblMovement[[#This Row],[Contained_oz]],0)</f>
        <v/>
      </c>
    </row>
    <row r="1475">
      <c r="A1475" s="54" t="n"/>
      <c r="B1475" s="61" t="n"/>
      <c r="C1475" s="61" t="n"/>
      <c r="D1475" s="61" t="n"/>
      <c r="E1475" s="61" t="n"/>
      <c r="F1475" s="55" t="n"/>
      <c r="G1475" s="56" t="n"/>
      <c r="H1475" s="55" t="n"/>
      <c r="I1475" s="62" t="n"/>
      <c r="J1475" s="58" t="n"/>
      <c r="K1475" s="63">
        <f>IF(tblMovement[[#This Row],[Source]]="","",IFERROR(INDEX(tblSources[Type],MATCH(tblMovement[[#This Row],[Source]],tblSources[Source],0)),"?"))</f>
        <v/>
      </c>
      <c r="L1475" s="63">
        <f>IF(tblMovement[[#This Row],[Destination]]="","",IFERROR(INDEX(tblDestinations[Type],MATCH(tblMovement[[#This Row],[Destination]],tblDestinations[Destination],0)),"?"))</f>
        <v/>
      </c>
      <c r="M1475" s="64">
        <f>IF(tblMovement[[#This Row],[Material]]="","",IF(LEFT(tblMovement[[#This Row],[Material]],3)="Ore",1,0))</f>
        <v/>
      </c>
      <c r="N1475" s="59">
        <f>IF(OR(tblMovement[[#This Row],[Tonnes_t]]="",tblMovement[[#This Row],[Grade_gpt]]=""),0,tblMovement[[#This Row],[Tonnes_t]]*tblMovement[[#This Row],[Grade_gpt]]/cfg_TroyOz)</f>
        <v/>
      </c>
      <c r="O1475" s="59">
        <f>IF(tblMovement[[#This Row],[Is_Ore]]=1,tblMovement[[#This Row],[Contained_oz]],0)</f>
        <v/>
      </c>
    </row>
    <row r="1476">
      <c r="A1476" s="54" t="n"/>
      <c r="B1476" s="61" t="n"/>
      <c r="C1476" s="61" t="n"/>
      <c r="D1476" s="61" t="n"/>
      <c r="E1476" s="61" t="n"/>
      <c r="F1476" s="55" t="n"/>
      <c r="G1476" s="56" t="n"/>
      <c r="H1476" s="55" t="n"/>
      <c r="I1476" s="62" t="n"/>
      <c r="J1476" s="58" t="n"/>
      <c r="K1476" s="63">
        <f>IF(tblMovement[[#This Row],[Source]]="","",IFERROR(INDEX(tblSources[Type],MATCH(tblMovement[[#This Row],[Source]],tblSources[Source],0)),"?"))</f>
        <v/>
      </c>
      <c r="L1476" s="63">
        <f>IF(tblMovement[[#This Row],[Destination]]="","",IFERROR(INDEX(tblDestinations[Type],MATCH(tblMovement[[#This Row],[Destination]],tblDestinations[Destination],0)),"?"))</f>
        <v/>
      </c>
      <c r="M1476" s="64">
        <f>IF(tblMovement[[#This Row],[Material]]="","",IF(LEFT(tblMovement[[#This Row],[Material]],3)="Ore",1,0))</f>
        <v/>
      </c>
      <c r="N1476" s="59">
        <f>IF(OR(tblMovement[[#This Row],[Tonnes_t]]="",tblMovement[[#This Row],[Grade_gpt]]=""),0,tblMovement[[#This Row],[Tonnes_t]]*tblMovement[[#This Row],[Grade_gpt]]/cfg_TroyOz)</f>
        <v/>
      </c>
      <c r="O1476" s="59">
        <f>IF(tblMovement[[#This Row],[Is_Ore]]=1,tblMovement[[#This Row],[Contained_oz]],0)</f>
        <v/>
      </c>
    </row>
    <row r="1477">
      <c r="A1477" s="54" t="n"/>
      <c r="B1477" s="61" t="n"/>
      <c r="C1477" s="61" t="n"/>
      <c r="D1477" s="61" t="n"/>
      <c r="E1477" s="61" t="n"/>
      <c r="F1477" s="55" t="n"/>
      <c r="G1477" s="56" t="n"/>
      <c r="H1477" s="55" t="n"/>
      <c r="I1477" s="62" t="n"/>
      <c r="J1477" s="58" t="n"/>
      <c r="K1477" s="63">
        <f>IF(tblMovement[[#This Row],[Source]]="","",IFERROR(INDEX(tblSources[Type],MATCH(tblMovement[[#This Row],[Source]],tblSources[Source],0)),"?"))</f>
        <v/>
      </c>
      <c r="L1477" s="63">
        <f>IF(tblMovement[[#This Row],[Destination]]="","",IFERROR(INDEX(tblDestinations[Type],MATCH(tblMovement[[#This Row],[Destination]],tblDestinations[Destination],0)),"?"))</f>
        <v/>
      </c>
      <c r="M1477" s="64">
        <f>IF(tblMovement[[#This Row],[Material]]="","",IF(LEFT(tblMovement[[#This Row],[Material]],3)="Ore",1,0))</f>
        <v/>
      </c>
      <c r="N1477" s="59">
        <f>IF(OR(tblMovement[[#This Row],[Tonnes_t]]="",tblMovement[[#This Row],[Grade_gpt]]=""),0,tblMovement[[#This Row],[Tonnes_t]]*tblMovement[[#This Row],[Grade_gpt]]/cfg_TroyOz)</f>
        <v/>
      </c>
      <c r="O1477" s="59">
        <f>IF(tblMovement[[#This Row],[Is_Ore]]=1,tblMovement[[#This Row],[Contained_oz]],0)</f>
        <v/>
      </c>
    </row>
    <row r="1478">
      <c r="A1478" s="54" t="n"/>
      <c r="B1478" s="61" t="n"/>
      <c r="C1478" s="61" t="n"/>
      <c r="D1478" s="61" t="n"/>
      <c r="E1478" s="61" t="n"/>
      <c r="F1478" s="55" t="n"/>
      <c r="G1478" s="56" t="n"/>
      <c r="H1478" s="55" t="n"/>
      <c r="I1478" s="62" t="n"/>
      <c r="J1478" s="58" t="n"/>
      <c r="K1478" s="63">
        <f>IF(tblMovement[[#This Row],[Source]]="","",IFERROR(INDEX(tblSources[Type],MATCH(tblMovement[[#This Row],[Source]],tblSources[Source],0)),"?"))</f>
        <v/>
      </c>
      <c r="L1478" s="63">
        <f>IF(tblMovement[[#This Row],[Destination]]="","",IFERROR(INDEX(tblDestinations[Type],MATCH(tblMovement[[#This Row],[Destination]],tblDestinations[Destination],0)),"?"))</f>
        <v/>
      </c>
      <c r="M1478" s="64">
        <f>IF(tblMovement[[#This Row],[Material]]="","",IF(LEFT(tblMovement[[#This Row],[Material]],3)="Ore",1,0))</f>
        <v/>
      </c>
      <c r="N1478" s="59">
        <f>IF(OR(tblMovement[[#This Row],[Tonnes_t]]="",tblMovement[[#This Row],[Grade_gpt]]=""),0,tblMovement[[#This Row],[Tonnes_t]]*tblMovement[[#This Row],[Grade_gpt]]/cfg_TroyOz)</f>
        <v/>
      </c>
      <c r="O1478" s="59">
        <f>IF(tblMovement[[#This Row],[Is_Ore]]=1,tblMovement[[#This Row],[Contained_oz]],0)</f>
        <v/>
      </c>
    </row>
    <row r="1479">
      <c r="A1479" s="54" t="n"/>
      <c r="B1479" s="61" t="n"/>
      <c r="C1479" s="61" t="n"/>
      <c r="D1479" s="61" t="n"/>
      <c r="E1479" s="61" t="n"/>
      <c r="F1479" s="55" t="n"/>
      <c r="G1479" s="56" t="n"/>
      <c r="H1479" s="55" t="n"/>
      <c r="I1479" s="62" t="n"/>
      <c r="J1479" s="58" t="n"/>
      <c r="K1479" s="63">
        <f>IF(tblMovement[[#This Row],[Source]]="","",IFERROR(INDEX(tblSources[Type],MATCH(tblMovement[[#This Row],[Source]],tblSources[Source],0)),"?"))</f>
        <v/>
      </c>
      <c r="L1479" s="63">
        <f>IF(tblMovement[[#This Row],[Destination]]="","",IFERROR(INDEX(tblDestinations[Type],MATCH(tblMovement[[#This Row],[Destination]],tblDestinations[Destination],0)),"?"))</f>
        <v/>
      </c>
      <c r="M1479" s="64">
        <f>IF(tblMovement[[#This Row],[Material]]="","",IF(LEFT(tblMovement[[#This Row],[Material]],3)="Ore",1,0))</f>
        <v/>
      </c>
      <c r="N1479" s="59">
        <f>IF(OR(tblMovement[[#This Row],[Tonnes_t]]="",tblMovement[[#This Row],[Grade_gpt]]=""),0,tblMovement[[#This Row],[Tonnes_t]]*tblMovement[[#This Row],[Grade_gpt]]/cfg_TroyOz)</f>
        <v/>
      </c>
      <c r="O1479" s="59">
        <f>IF(tblMovement[[#This Row],[Is_Ore]]=1,tblMovement[[#This Row],[Contained_oz]],0)</f>
        <v/>
      </c>
    </row>
    <row r="1480">
      <c r="A1480" s="54" t="n"/>
      <c r="B1480" s="61" t="n"/>
      <c r="C1480" s="61" t="n"/>
      <c r="D1480" s="61" t="n"/>
      <c r="E1480" s="61" t="n"/>
      <c r="F1480" s="55" t="n"/>
      <c r="G1480" s="56" t="n"/>
      <c r="H1480" s="55" t="n"/>
      <c r="I1480" s="62" t="n"/>
      <c r="J1480" s="58" t="n"/>
      <c r="K1480" s="63">
        <f>IF(tblMovement[[#This Row],[Source]]="","",IFERROR(INDEX(tblSources[Type],MATCH(tblMovement[[#This Row],[Source]],tblSources[Source],0)),"?"))</f>
        <v/>
      </c>
      <c r="L1480" s="63">
        <f>IF(tblMovement[[#This Row],[Destination]]="","",IFERROR(INDEX(tblDestinations[Type],MATCH(tblMovement[[#This Row],[Destination]],tblDestinations[Destination],0)),"?"))</f>
        <v/>
      </c>
      <c r="M1480" s="64">
        <f>IF(tblMovement[[#This Row],[Material]]="","",IF(LEFT(tblMovement[[#This Row],[Material]],3)="Ore",1,0))</f>
        <v/>
      </c>
      <c r="N1480" s="59">
        <f>IF(OR(tblMovement[[#This Row],[Tonnes_t]]="",tblMovement[[#This Row],[Grade_gpt]]=""),0,tblMovement[[#This Row],[Tonnes_t]]*tblMovement[[#This Row],[Grade_gpt]]/cfg_TroyOz)</f>
        <v/>
      </c>
      <c r="O1480" s="59">
        <f>IF(tblMovement[[#This Row],[Is_Ore]]=1,tblMovement[[#This Row],[Contained_oz]],0)</f>
        <v/>
      </c>
    </row>
    <row r="1481">
      <c r="A1481" s="54" t="n"/>
      <c r="B1481" s="61" t="n"/>
      <c r="C1481" s="61" t="n"/>
      <c r="D1481" s="61" t="n"/>
      <c r="E1481" s="61" t="n"/>
      <c r="F1481" s="55" t="n"/>
      <c r="G1481" s="56" t="n"/>
      <c r="H1481" s="55" t="n"/>
      <c r="I1481" s="62" t="n"/>
      <c r="J1481" s="58" t="n"/>
      <c r="K1481" s="63">
        <f>IF(tblMovement[[#This Row],[Source]]="","",IFERROR(INDEX(tblSources[Type],MATCH(tblMovement[[#This Row],[Source]],tblSources[Source],0)),"?"))</f>
        <v/>
      </c>
      <c r="L1481" s="63">
        <f>IF(tblMovement[[#This Row],[Destination]]="","",IFERROR(INDEX(tblDestinations[Type],MATCH(tblMovement[[#This Row],[Destination]],tblDestinations[Destination],0)),"?"))</f>
        <v/>
      </c>
      <c r="M1481" s="64">
        <f>IF(tblMovement[[#This Row],[Material]]="","",IF(LEFT(tblMovement[[#This Row],[Material]],3)="Ore",1,0))</f>
        <v/>
      </c>
      <c r="N1481" s="59">
        <f>IF(OR(tblMovement[[#This Row],[Tonnes_t]]="",tblMovement[[#This Row],[Grade_gpt]]=""),0,tblMovement[[#This Row],[Tonnes_t]]*tblMovement[[#This Row],[Grade_gpt]]/cfg_TroyOz)</f>
        <v/>
      </c>
      <c r="O1481" s="59">
        <f>IF(tblMovement[[#This Row],[Is_Ore]]=1,tblMovement[[#This Row],[Contained_oz]],0)</f>
        <v/>
      </c>
    </row>
    <row r="1482">
      <c r="A1482" s="54" t="n"/>
      <c r="B1482" s="61" t="n"/>
      <c r="C1482" s="61" t="n"/>
      <c r="D1482" s="61" t="n"/>
      <c r="E1482" s="61" t="n"/>
      <c r="F1482" s="55" t="n"/>
      <c r="G1482" s="56" t="n"/>
      <c r="H1482" s="55" t="n"/>
      <c r="I1482" s="62" t="n"/>
      <c r="J1482" s="58" t="n"/>
      <c r="K1482" s="63">
        <f>IF(tblMovement[[#This Row],[Source]]="","",IFERROR(INDEX(tblSources[Type],MATCH(tblMovement[[#This Row],[Source]],tblSources[Source],0)),"?"))</f>
        <v/>
      </c>
      <c r="L1482" s="63">
        <f>IF(tblMovement[[#This Row],[Destination]]="","",IFERROR(INDEX(tblDestinations[Type],MATCH(tblMovement[[#This Row],[Destination]],tblDestinations[Destination],0)),"?"))</f>
        <v/>
      </c>
      <c r="M1482" s="64">
        <f>IF(tblMovement[[#This Row],[Material]]="","",IF(LEFT(tblMovement[[#This Row],[Material]],3)="Ore",1,0))</f>
        <v/>
      </c>
      <c r="N1482" s="59">
        <f>IF(OR(tblMovement[[#This Row],[Tonnes_t]]="",tblMovement[[#This Row],[Grade_gpt]]=""),0,tblMovement[[#This Row],[Tonnes_t]]*tblMovement[[#This Row],[Grade_gpt]]/cfg_TroyOz)</f>
        <v/>
      </c>
      <c r="O1482" s="59">
        <f>IF(tblMovement[[#This Row],[Is_Ore]]=1,tblMovement[[#This Row],[Contained_oz]],0)</f>
        <v/>
      </c>
    </row>
    <row r="1483">
      <c r="A1483" s="54" t="n"/>
      <c r="B1483" s="61" t="n"/>
      <c r="C1483" s="61" t="n"/>
      <c r="D1483" s="61" t="n"/>
      <c r="E1483" s="61" t="n"/>
      <c r="F1483" s="55" t="n"/>
      <c r="G1483" s="56" t="n"/>
      <c r="H1483" s="55" t="n"/>
      <c r="I1483" s="62" t="n"/>
      <c r="J1483" s="58" t="n"/>
      <c r="K1483" s="63">
        <f>IF(tblMovement[[#This Row],[Source]]="","",IFERROR(INDEX(tblSources[Type],MATCH(tblMovement[[#This Row],[Source]],tblSources[Source],0)),"?"))</f>
        <v/>
      </c>
      <c r="L1483" s="63">
        <f>IF(tblMovement[[#This Row],[Destination]]="","",IFERROR(INDEX(tblDestinations[Type],MATCH(tblMovement[[#This Row],[Destination]],tblDestinations[Destination],0)),"?"))</f>
        <v/>
      </c>
      <c r="M1483" s="64">
        <f>IF(tblMovement[[#This Row],[Material]]="","",IF(LEFT(tblMovement[[#This Row],[Material]],3)="Ore",1,0))</f>
        <v/>
      </c>
      <c r="N1483" s="59">
        <f>IF(OR(tblMovement[[#This Row],[Tonnes_t]]="",tblMovement[[#This Row],[Grade_gpt]]=""),0,tblMovement[[#This Row],[Tonnes_t]]*tblMovement[[#This Row],[Grade_gpt]]/cfg_TroyOz)</f>
        <v/>
      </c>
      <c r="O1483" s="59">
        <f>IF(tblMovement[[#This Row],[Is_Ore]]=1,tblMovement[[#This Row],[Contained_oz]],0)</f>
        <v/>
      </c>
    </row>
    <row r="1484">
      <c r="A1484" s="54" t="n"/>
      <c r="B1484" s="61" t="n"/>
      <c r="C1484" s="61" t="n"/>
      <c r="D1484" s="61" t="n"/>
      <c r="E1484" s="61" t="n"/>
      <c r="F1484" s="55" t="n"/>
      <c r="G1484" s="56" t="n"/>
      <c r="H1484" s="55" t="n"/>
      <c r="I1484" s="62" t="n"/>
      <c r="J1484" s="58" t="n"/>
      <c r="K1484" s="63">
        <f>IF(tblMovement[[#This Row],[Source]]="","",IFERROR(INDEX(tblSources[Type],MATCH(tblMovement[[#This Row],[Source]],tblSources[Source],0)),"?"))</f>
        <v/>
      </c>
      <c r="L1484" s="63">
        <f>IF(tblMovement[[#This Row],[Destination]]="","",IFERROR(INDEX(tblDestinations[Type],MATCH(tblMovement[[#This Row],[Destination]],tblDestinations[Destination],0)),"?"))</f>
        <v/>
      </c>
      <c r="M1484" s="64">
        <f>IF(tblMovement[[#This Row],[Material]]="","",IF(LEFT(tblMovement[[#This Row],[Material]],3)="Ore",1,0))</f>
        <v/>
      </c>
      <c r="N1484" s="59">
        <f>IF(OR(tblMovement[[#This Row],[Tonnes_t]]="",tblMovement[[#This Row],[Grade_gpt]]=""),0,tblMovement[[#This Row],[Tonnes_t]]*tblMovement[[#This Row],[Grade_gpt]]/cfg_TroyOz)</f>
        <v/>
      </c>
      <c r="O1484" s="59">
        <f>IF(tblMovement[[#This Row],[Is_Ore]]=1,tblMovement[[#This Row],[Contained_oz]],0)</f>
        <v/>
      </c>
    </row>
    <row r="1485">
      <c r="A1485" s="54" t="n"/>
      <c r="B1485" s="61" t="n"/>
      <c r="C1485" s="61" t="n"/>
      <c r="D1485" s="61" t="n"/>
      <c r="E1485" s="61" t="n"/>
      <c r="F1485" s="55" t="n"/>
      <c r="G1485" s="56" t="n"/>
      <c r="H1485" s="55" t="n"/>
      <c r="I1485" s="62" t="n"/>
      <c r="J1485" s="58" t="n"/>
      <c r="K1485" s="63">
        <f>IF(tblMovement[[#This Row],[Source]]="","",IFERROR(INDEX(tblSources[Type],MATCH(tblMovement[[#This Row],[Source]],tblSources[Source],0)),"?"))</f>
        <v/>
      </c>
      <c r="L1485" s="63">
        <f>IF(tblMovement[[#This Row],[Destination]]="","",IFERROR(INDEX(tblDestinations[Type],MATCH(tblMovement[[#This Row],[Destination]],tblDestinations[Destination],0)),"?"))</f>
        <v/>
      </c>
      <c r="M1485" s="64">
        <f>IF(tblMovement[[#This Row],[Material]]="","",IF(LEFT(tblMovement[[#This Row],[Material]],3)="Ore",1,0))</f>
        <v/>
      </c>
      <c r="N1485" s="59">
        <f>IF(OR(tblMovement[[#This Row],[Tonnes_t]]="",tblMovement[[#This Row],[Grade_gpt]]=""),0,tblMovement[[#This Row],[Tonnes_t]]*tblMovement[[#This Row],[Grade_gpt]]/cfg_TroyOz)</f>
        <v/>
      </c>
      <c r="O1485" s="59">
        <f>IF(tblMovement[[#This Row],[Is_Ore]]=1,tblMovement[[#This Row],[Contained_oz]],0)</f>
        <v/>
      </c>
    </row>
    <row r="1486">
      <c r="A1486" s="54" t="n"/>
      <c r="B1486" s="61" t="n"/>
      <c r="C1486" s="61" t="n"/>
      <c r="D1486" s="61" t="n"/>
      <c r="E1486" s="61" t="n"/>
      <c r="F1486" s="55" t="n"/>
      <c r="G1486" s="56" t="n"/>
      <c r="H1486" s="55" t="n"/>
      <c r="I1486" s="62" t="n"/>
      <c r="J1486" s="58" t="n"/>
      <c r="K1486" s="63">
        <f>IF(tblMovement[[#This Row],[Source]]="","",IFERROR(INDEX(tblSources[Type],MATCH(tblMovement[[#This Row],[Source]],tblSources[Source],0)),"?"))</f>
        <v/>
      </c>
      <c r="L1486" s="63">
        <f>IF(tblMovement[[#This Row],[Destination]]="","",IFERROR(INDEX(tblDestinations[Type],MATCH(tblMovement[[#This Row],[Destination]],tblDestinations[Destination],0)),"?"))</f>
        <v/>
      </c>
      <c r="M1486" s="64">
        <f>IF(tblMovement[[#This Row],[Material]]="","",IF(LEFT(tblMovement[[#This Row],[Material]],3)="Ore",1,0))</f>
        <v/>
      </c>
      <c r="N1486" s="59">
        <f>IF(OR(tblMovement[[#This Row],[Tonnes_t]]="",tblMovement[[#This Row],[Grade_gpt]]=""),0,tblMovement[[#This Row],[Tonnes_t]]*tblMovement[[#This Row],[Grade_gpt]]/cfg_TroyOz)</f>
        <v/>
      </c>
      <c r="O1486" s="59">
        <f>IF(tblMovement[[#This Row],[Is_Ore]]=1,tblMovement[[#This Row],[Contained_oz]],0)</f>
        <v/>
      </c>
    </row>
    <row r="1487">
      <c r="A1487" s="54" t="n"/>
      <c r="B1487" s="61" t="n"/>
      <c r="C1487" s="61" t="n"/>
      <c r="D1487" s="61" t="n"/>
      <c r="E1487" s="61" t="n"/>
      <c r="F1487" s="55" t="n"/>
      <c r="G1487" s="56" t="n"/>
      <c r="H1487" s="55" t="n"/>
      <c r="I1487" s="62" t="n"/>
      <c r="J1487" s="58" t="n"/>
      <c r="K1487" s="63">
        <f>IF(tblMovement[[#This Row],[Source]]="","",IFERROR(INDEX(tblSources[Type],MATCH(tblMovement[[#This Row],[Source]],tblSources[Source],0)),"?"))</f>
        <v/>
      </c>
      <c r="L1487" s="63">
        <f>IF(tblMovement[[#This Row],[Destination]]="","",IFERROR(INDEX(tblDestinations[Type],MATCH(tblMovement[[#This Row],[Destination]],tblDestinations[Destination],0)),"?"))</f>
        <v/>
      </c>
      <c r="M1487" s="64">
        <f>IF(tblMovement[[#This Row],[Material]]="","",IF(LEFT(tblMovement[[#This Row],[Material]],3)="Ore",1,0))</f>
        <v/>
      </c>
      <c r="N1487" s="59">
        <f>IF(OR(tblMovement[[#This Row],[Tonnes_t]]="",tblMovement[[#This Row],[Grade_gpt]]=""),0,tblMovement[[#This Row],[Tonnes_t]]*tblMovement[[#This Row],[Grade_gpt]]/cfg_TroyOz)</f>
        <v/>
      </c>
      <c r="O1487" s="59">
        <f>IF(tblMovement[[#This Row],[Is_Ore]]=1,tblMovement[[#This Row],[Contained_oz]],0)</f>
        <v/>
      </c>
    </row>
    <row r="1488">
      <c r="A1488" s="54" t="n"/>
      <c r="B1488" s="61" t="n"/>
      <c r="C1488" s="61" t="n"/>
      <c r="D1488" s="61" t="n"/>
      <c r="E1488" s="61" t="n"/>
      <c r="F1488" s="55" t="n"/>
      <c r="G1488" s="56" t="n"/>
      <c r="H1488" s="55" t="n"/>
      <c r="I1488" s="62" t="n"/>
      <c r="J1488" s="58" t="n"/>
      <c r="K1488" s="63">
        <f>IF(tblMovement[[#This Row],[Source]]="","",IFERROR(INDEX(tblSources[Type],MATCH(tblMovement[[#This Row],[Source]],tblSources[Source],0)),"?"))</f>
        <v/>
      </c>
      <c r="L1488" s="63">
        <f>IF(tblMovement[[#This Row],[Destination]]="","",IFERROR(INDEX(tblDestinations[Type],MATCH(tblMovement[[#This Row],[Destination]],tblDestinations[Destination],0)),"?"))</f>
        <v/>
      </c>
      <c r="M1488" s="64">
        <f>IF(tblMovement[[#This Row],[Material]]="","",IF(LEFT(tblMovement[[#This Row],[Material]],3)="Ore",1,0))</f>
        <v/>
      </c>
      <c r="N1488" s="59">
        <f>IF(OR(tblMovement[[#This Row],[Tonnes_t]]="",tblMovement[[#This Row],[Grade_gpt]]=""),0,tblMovement[[#This Row],[Tonnes_t]]*tblMovement[[#This Row],[Grade_gpt]]/cfg_TroyOz)</f>
        <v/>
      </c>
      <c r="O1488" s="59">
        <f>IF(tblMovement[[#This Row],[Is_Ore]]=1,tblMovement[[#This Row],[Contained_oz]],0)</f>
        <v/>
      </c>
    </row>
    <row r="1489">
      <c r="A1489" s="54" t="n"/>
      <c r="B1489" s="61" t="n"/>
      <c r="C1489" s="61" t="n"/>
      <c r="D1489" s="61" t="n"/>
      <c r="E1489" s="61" t="n"/>
      <c r="F1489" s="55" t="n"/>
      <c r="G1489" s="56" t="n"/>
      <c r="H1489" s="55" t="n"/>
      <c r="I1489" s="62" t="n"/>
      <c r="J1489" s="58" t="n"/>
      <c r="K1489" s="63">
        <f>IF(tblMovement[[#This Row],[Source]]="","",IFERROR(INDEX(tblSources[Type],MATCH(tblMovement[[#This Row],[Source]],tblSources[Source],0)),"?"))</f>
        <v/>
      </c>
      <c r="L1489" s="63">
        <f>IF(tblMovement[[#This Row],[Destination]]="","",IFERROR(INDEX(tblDestinations[Type],MATCH(tblMovement[[#This Row],[Destination]],tblDestinations[Destination],0)),"?"))</f>
        <v/>
      </c>
      <c r="M1489" s="64">
        <f>IF(tblMovement[[#This Row],[Material]]="","",IF(LEFT(tblMovement[[#This Row],[Material]],3)="Ore",1,0))</f>
        <v/>
      </c>
      <c r="N1489" s="59">
        <f>IF(OR(tblMovement[[#This Row],[Tonnes_t]]="",tblMovement[[#This Row],[Grade_gpt]]=""),0,tblMovement[[#This Row],[Tonnes_t]]*tblMovement[[#This Row],[Grade_gpt]]/cfg_TroyOz)</f>
        <v/>
      </c>
      <c r="O1489" s="59">
        <f>IF(tblMovement[[#This Row],[Is_Ore]]=1,tblMovement[[#This Row],[Contained_oz]],0)</f>
        <v/>
      </c>
    </row>
    <row r="1490">
      <c r="A1490" s="54" t="n"/>
      <c r="B1490" s="61" t="n"/>
      <c r="C1490" s="61" t="n"/>
      <c r="D1490" s="61" t="n"/>
      <c r="E1490" s="61" t="n"/>
      <c r="F1490" s="55" t="n"/>
      <c r="G1490" s="56" t="n"/>
      <c r="H1490" s="55" t="n"/>
      <c r="I1490" s="62" t="n"/>
      <c r="J1490" s="58" t="n"/>
      <c r="K1490" s="63">
        <f>IF(tblMovement[[#This Row],[Source]]="","",IFERROR(INDEX(tblSources[Type],MATCH(tblMovement[[#This Row],[Source]],tblSources[Source],0)),"?"))</f>
        <v/>
      </c>
      <c r="L1490" s="63">
        <f>IF(tblMovement[[#This Row],[Destination]]="","",IFERROR(INDEX(tblDestinations[Type],MATCH(tblMovement[[#This Row],[Destination]],tblDestinations[Destination],0)),"?"))</f>
        <v/>
      </c>
      <c r="M1490" s="64">
        <f>IF(tblMovement[[#This Row],[Material]]="","",IF(LEFT(tblMovement[[#This Row],[Material]],3)="Ore",1,0))</f>
        <v/>
      </c>
      <c r="N1490" s="59">
        <f>IF(OR(tblMovement[[#This Row],[Tonnes_t]]="",tblMovement[[#This Row],[Grade_gpt]]=""),0,tblMovement[[#This Row],[Tonnes_t]]*tblMovement[[#This Row],[Grade_gpt]]/cfg_TroyOz)</f>
        <v/>
      </c>
      <c r="O1490" s="59">
        <f>IF(tblMovement[[#This Row],[Is_Ore]]=1,tblMovement[[#This Row],[Contained_oz]],0)</f>
        <v/>
      </c>
    </row>
    <row r="1491">
      <c r="A1491" s="54" t="n"/>
      <c r="B1491" s="61" t="n"/>
      <c r="C1491" s="61" t="n"/>
      <c r="D1491" s="61" t="n"/>
      <c r="E1491" s="61" t="n"/>
      <c r="F1491" s="55" t="n"/>
      <c r="G1491" s="56" t="n"/>
      <c r="H1491" s="55" t="n"/>
      <c r="I1491" s="62" t="n"/>
      <c r="J1491" s="58" t="n"/>
      <c r="K1491" s="63">
        <f>IF(tblMovement[[#This Row],[Source]]="","",IFERROR(INDEX(tblSources[Type],MATCH(tblMovement[[#This Row],[Source]],tblSources[Source],0)),"?"))</f>
        <v/>
      </c>
      <c r="L1491" s="63">
        <f>IF(tblMovement[[#This Row],[Destination]]="","",IFERROR(INDEX(tblDestinations[Type],MATCH(tblMovement[[#This Row],[Destination]],tblDestinations[Destination],0)),"?"))</f>
        <v/>
      </c>
      <c r="M1491" s="64">
        <f>IF(tblMovement[[#This Row],[Material]]="","",IF(LEFT(tblMovement[[#This Row],[Material]],3)="Ore",1,0))</f>
        <v/>
      </c>
      <c r="N1491" s="59">
        <f>IF(OR(tblMovement[[#This Row],[Tonnes_t]]="",tblMovement[[#This Row],[Grade_gpt]]=""),0,tblMovement[[#This Row],[Tonnes_t]]*tblMovement[[#This Row],[Grade_gpt]]/cfg_TroyOz)</f>
        <v/>
      </c>
      <c r="O1491" s="59">
        <f>IF(tblMovement[[#This Row],[Is_Ore]]=1,tblMovement[[#This Row],[Contained_oz]],0)</f>
        <v/>
      </c>
    </row>
    <row r="1492">
      <c r="A1492" s="54" t="n"/>
      <c r="B1492" s="61" t="n"/>
      <c r="C1492" s="61" t="n"/>
      <c r="D1492" s="61" t="n"/>
      <c r="E1492" s="61" t="n"/>
      <c r="F1492" s="55" t="n"/>
      <c r="G1492" s="56" t="n"/>
      <c r="H1492" s="55" t="n"/>
      <c r="I1492" s="62" t="n"/>
      <c r="J1492" s="58" t="n"/>
      <c r="K1492" s="63">
        <f>IF(tblMovement[[#This Row],[Source]]="","",IFERROR(INDEX(tblSources[Type],MATCH(tblMovement[[#This Row],[Source]],tblSources[Source],0)),"?"))</f>
        <v/>
      </c>
      <c r="L1492" s="63">
        <f>IF(tblMovement[[#This Row],[Destination]]="","",IFERROR(INDEX(tblDestinations[Type],MATCH(tblMovement[[#This Row],[Destination]],tblDestinations[Destination],0)),"?"))</f>
        <v/>
      </c>
      <c r="M1492" s="64">
        <f>IF(tblMovement[[#This Row],[Material]]="","",IF(LEFT(tblMovement[[#This Row],[Material]],3)="Ore",1,0))</f>
        <v/>
      </c>
      <c r="N1492" s="59">
        <f>IF(OR(tblMovement[[#This Row],[Tonnes_t]]="",tblMovement[[#This Row],[Grade_gpt]]=""),0,tblMovement[[#This Row],[Tonnes_t]]*tblMovement[[#This Row],[Grade_gpt]]/cfg_TroyOz)</f>
        <v/>
      </c>
      <c r="O1492" s="59">
        <f>IF(tblMovement[[#This Row],[Is_Ore]]=1,tblMovement[[#This Row],[Contained_oz]],0)</f>
        <v/>
      </c>
    </row>
    <row r="1493">
      <c r="A1493" s="54" t="n"/>
      <c r="B1493" s="61" t="n"/>
      <c r="C1493" s="61" t="n"/>
      <c r="D1493" s="61" t="n"/>
      <c r="E1493" s="61" t="n"/>
      <c r="F1493" s="55" t="n"/>
      <c r="G1493" s="56" t="n"/>
      <c r="H1493" s="55" t="n"/>
      <c r="I1493" s="62" t="n"/>
      <c r="J1493" s="58" t="n"/>
      <c r="K1493" s="63">
        <f>IF(tblMovement[[#This Row],[Source]]="","",IFERROR(INDEX(tblSources[Type],MATCH(tblMovement[[#This Row],[Source]],tblSources[Source],0)),"?"))</f>
        <v/>
      </c>
      <c r="L1493" s="63">
        <f>IF(tblMovement[[#This Row],[Destination]]="","",IFERROR(INDEX(tblDestinations[Type],MATCH(tblMovement[[#This Row],[Destination]],tblDestinations[Destination],0)),"?"))</f>
        <v/>
      </c>
      <c r="M1493" s="64">
        <f>IF(tblMovement[[#This Row],[Material]]="","",IF(LEFT(tblMovement[[#This Row],[Material]],3)="Ore",1,0))</f>
        <v/>
      </c>
      <c r="N1493" s="59">
        <f>IF(OR(tblMovement[[#This Row],[Tonnes_t]]="",tblMovement[[#This Row],[Grade_gpt]]=""),0,tblMovement[[#This Row],[Tonnes_t]]*tblMovement[[#This Row],[Grade_gpt]]/cfg_TroyOz)</f>
        <v/>
      </c>
      <c r="O1493" s="59">
        <f>IF(tblMovement[[#This Row],[Is_Ore]]=1,tblMovement[[#This Row],[Contained_oz]],0)</f>
        <v/>
      </c>
    </row>
    <row r="1494">
      <c r="A1494" s="54" t="n"/>
      <c r="B1494" s="61" t="n"/>
      <c r="C1494" s="61" t="n"/>
      <c r="D1494" s="61" t="n"/>
      <c r="E1494" s="61" t="n"/>
      <c r="F1494" s="55" t="n"/>
      <c r="G1494" s="56" t="n"/>
      <c r="H1494" s="55" t="n"/>
      <c r="I1494" s="62" t="n"/>
      <c r="J1494" s="58" t="n"/>
      <c r="K1494" s="63">
        <f>IF(tblMovement[[#This Row],[Source]]="","",IFERROR(INDEX(tblSources[Type],MATCH(tblMovement[[#This Row],[Source]],tblSources[Source],0)),"?"))</f>
        <v/>
      </c>
      <c r="L1494" s="63">
        <f>IF(tblMovement[[#This Row],[Destination]]="","",IFERROR(INDEX(tblDestinations[Type],MATCH(tblMovement[[#This Row],[Destination]],tblDestinations[Destination],0)),"?"))</f>
        <v/>
      </c>
      <c r="M1494" s="64">
        <f>IF(tblMovement[[#This Row],[Material]]="","",IF(LEFT(tblMovement[[#This Row],[Material]],3)="Ore",1,0))</f>
        <v/>
      </c>
      <c r="N1494" s="59">
        <f>IF(OR(tblMovement[[#This Row],[Tonnes_t]]="",tblMovement[[#This Row],[Grade_gpt]]=""),0,tblMovement[[#This Row],[Tonnes_t]]*tblMovement[[#This Row],[Grade_gpt]]/cfg_TroyOz)</f>
        <v/>
      </c>
      <c r="O1494" s="59">
        <f>IF(tblMovement[[#This Row],[Is_Ore]]=1,tblMovement[[#This Row],[Contained_oz]],0)</f>
        <v/>
      </c>
    </row>
    <row r="1495">
      <c r="A1495" s="54" t="n"/>
      <c r="B1495" s="61" t="n"/>
      <c r="C1495" s="61" t="n"/>
      <c r="D1495" s="61" t="n"/>
      <c r="E1495" s="61" t="n"/>
      <c r="F1495" s="55" t="n"/>
      <c r="G1495" s="56" t="n"/>
      <c r="H1495" s="55" t="n"/>
      <c r="I1495" s="62" t="n"/>
      <c r="J1495" s="58" t="n"/>
      <c r="K1495" s="63">
        <f>IF(tblMovement[[#This Row],[Source]]="","",IFERROR(INDEX(tblSources[Type],MATCH(tblMovement[[#This Row],[Source]],tblSources[Source],0)),"?"))</f>
        <v/>
      </c>
      <c r="L1495" s="63">
        <f>IF(tblMovement[[#This Row],[Destination]]="","",IFERROR(INDEX(tblDestinations[Type],MATCH(tblMovement[[#This Row],[Destination]],tblDestinations[Destination],0)),"?"))</f>
        <v/>
      </c>
      <c r="M1495" s="64">
        <f>IF(tblMovement[[#This Row],[Material]]="","",IF(LEFT(tblMovement[[#This Row],[Material]],3)="Ore",1,0))</f>
        <v/>
      </c>
      <c r="N1495" s="59">
        <f>IF(OR(tblMovement[[#This Row],[Tonnes_t]]="",tblMovement[[#This Row],[Grade_gpt]]=""),0,tblMovement[[#This Row],[Tonnes_t]]*tblMovement[[#This Row],[Grade_gpt]]/cfg_TroyOz)</f>
        <v/>
      </c>
      <c r="O1495" s="59">
        <f>IF(tblMovement[[#This Row],[Is_Ore]]=1,tblMovement[[#This Row],[Contained_oz]],0)</f>
        <v/>
      </c>
    </row>
    <row r="1496">
      <c r="A1496" s="54" t="n"/>
      <c r="B1496" s="61" t="n"/>
      <c r="C1496" s="61" t="n"/>
      <c r="D1496" s="61" t="n"/>
      <c r="E1496" s="61" t="n"/>
      <c r="F1496" s="55" t="n"/>
      <c r="G1496" s="56" t="n"/>
      <c r="H1496" s="55" t="n"/>
      <c r="I1496" s="62" t="n"/>
      <c r="J1496" s="58" t="n"/>
      <c r="K1496" s="63">
        <f>IF(tblMovement[[#This Row],[Source]]="","",IFERROR(INDEX(tblSources[Type],MATCH(tblMovement[[#This Row],[Source]],tblSources[Source],0)),"?"))</f>
        <v/>
      </c>
      <c r="L1496" s="63">
        <f>IF(tblMovement[[#This Row],[Destination]]="","",IFERROR(INDEX(tblDestinations[Type],MATCH(tblMovement[[#This Row],[Destination]],tblDestinations[Destination],0)),"?"))</f>
        <v/>
      </c>
      <c r="M1496" s="64">
        <f>IF(tblMovement[[#This Row],[Material]]="","",IF(LEFT(tblMovement[[#This Row],[Material]],3)="Ore",1,0))</f>
        <v/>
      </c>
      <c r="N1496" s="59">
        <f>IF(OR(tblMovement[[#This Row],[Tonnes_t]]="",tblMovement[[#This Row],[Grade_gpt]]=""),0,tblMovement[[#This Row],[Tonnes_t]]*tblMovement[[#This Row],[Grade_gpt]]/cfg_TroyOz)</f>
        <v/>
      </c>
      <c r="O1496" s="59">
        <f>IF(tblMovement[[#This Row],[Is_Ore]]=1,tblMovement[[#This Row],[Contained_oz]],0)</f>
        <v/>
      </c>
    </row>
    <row r="1497">
      <c r="A1497" s="54" t="n"/>
      <c r="B1497" s="61" t="n"/>
      <c r="C1497" s="61" t="n"/>
      <c r="D1497" s="61" t="n"/>
      <c r="E1497" s="61" t="n"/>
      <c r="F1497" s="55" t="n"/>
      <c r="G1497" s="56" t="n"/>
      <c r="H1497" s="55" t="n"/>
      <c r="I1497" s="62" t="n"/>
      <c r="J1497" s="58" t="n"/>
      <c r="K1497" s="63">
        <f>IF(tblMovement[[#This Row],[Source]]="","",IFERROR(INDEX(tblSources[Type],MATCH(tblMovement[[#This Row],[Source]],tblSources[Source],0)),"?"))</f>
        <v/>
      </c>
      <c r="L1497" s="63">
        <f>IF(tblMovement[[#This Row],[Destination]]="","",IFERROR(INDEX(tblDestinations[Type],MATCH(tblMovement[[#This Row],[Destination]],tblDestinations[Destination],0)),"?"))</f>
        <v/>
      </c>
      <c r="M1497" s="64">
        <f>IF(tblMovement[[#This Row],[Material]]="","",IF(LEFT(tblMovement[[#This Row],[Material]],3)="Ore",1,0))</f>
        <v/>
      </c>
      <c r="N1497" s="59">
        <f>IF(OR(tblMovement[[#This Row],[Tonnes_t]]="",tblMovement[[#This Row],[Grade_gpt]]=""),0,tblMovement[[#This Row],[Tonnes_t]]*tblMovement[[#This Row],[Grade_gpt]]/cfg_TroyOz)</f>
        <v/>
      </c>
      <c r="O1497" s="59">
        <f>IF(tblMovement[[#This Row],[Is_Ore]]=1,tblMovement[[#This Row],[Contained_oz]],0)</f>
        <v/>
      </c>
    </row>
    <row r="1498">
      <c r="A1498" s="54" t="n"/>
      <c r="B1498" s="61" t="n"/>
      <c r="C1498" s="61" t="n"/>
      <c r="D1498" s="61" t="n"/>
      <c r="E1498" s="61" t="n"/>
      <c r="F1498" s="55" t="n"/>
      <c r="G1498" s="56" t="n"/>
      <c r="H1498" s="55" t="n"/>
      <c r="I1498" s="62" t="n"/>
      <c r="J1498" s="58" t="n"/>
      <c r="K1498" s="63">
        <f>IF(tblMovement[[#This Row],[Source]]="","",IFERROR(INDEX(tblSources[Type],MATCH(tblMovement[[#This Row],[Source]],tblSources[Source],0)),"?"))</f>
        <v/>
      </c>
      <c r="L1498" s="63">
        <f>IF(tblMovement[[#This Row],[Destination]]="","",IFERROR(INDEX(tblDestinations[Type],MATCH(tblMovement[[#This Row],[Destination]],tblDestinations[Destination],0)),"?"))</f>
        <v/>
      </c>
      <c r="M1498" s="64">
        <f>IF(tblMovement[[#This Row],[Material]]="","",IF(LEFT(tblMovement[[#This Row],[Material]],3)="Ore",1,0))</f>
        <v/>
      </c>
      <c r="N1498" s="59">
        <f>IF(OR(tblMovement[[#This Row],[Tonnes_t]]="",tblMovement[[#This Row],[Grade_gpt]]=""),0,tblMovement[[#This Row],[Tonnes_t]]*tblMovement[[#This Row],[Grade_gpt]]/cfg_TroyOz)</f>
        <v/>
      </c>
      <c r="O1498" s="59">
        <f>IF(tblMovement[[#This Row],[Is_Ore]]=1,tblMovement[[#This Row],[Contained_oz]],0)</f>
        <v/>
      </c>
    </row>
    <row r="1499">
      <c r="A1499" s="54" t="n"/>
      <c r="B1499" s="61" t="n"/>
      <c r="C1499" s="61" t="n"/>
      <c r="D1499" s="61" t="n"/>
      <c r="E1499" s="61" t="n"/>
      <c r="F1499" s="55" t="n"/>
      <c r="G1499" s="56" t="n"/>
      <c r="H1499" s="55" t="n"/>
      <c r="I1499" s="62" t="n"/>
      <c r="J1499" s="58" t="n"/>
      <c r="K1499" s="63">
        <f>IF(tblMovement[[#This Row],[Source]]="","",IFERROR(INDEX(tblSources[Type],MATCH(tblMovement[[#This Row],[Source]],tblSources[Source],0)),"?"))</f>
        <v/>
      </c>
      <c r="L1499" s="63">
        <f>IF(tblMovement[[#This Row],[Destination]]="","",IFERROR(INDEX(tblDestinations[Type],MATCH(tblMovement[[#This Row],[Destination]],tblDestinations[Destination],0)),"?"))</f>
        <v/>
      </c>
      <c r="M1499" s="64">
        <f>IF(tblMovement[[#This Row],[Material]]="","",IF(LEFT(tblMovement[[#This Row],[Material]],3)="Ore",1,0))</f>
        <v/>
      </c>
      <c r="N1499" s="59">
        <f>IF(OR(tblMovement[[#This Row],[Tonnes_t]]="",tblMovement[[#This Row],[Grade_gpt]]=""),0,tblMovement[[#This Row],[Tonnes_t]]*tblMovement[[#This Row],[Grade_gpt]]/cfg_TroyOz)</f>
        <v/>
      </c>
      <c r="O1499" s="59">
        <f>IF(tblMovement[[#This Row],[Is_Ore]]=1,tblMovement[[#This Row],[Contained_oz]],0)</f>
        <v/>
      </c>
    </row>
    <row r="1500">
      <c r="A1500" s="54" t="n"/>
      <c r="B1500" s="61" t="n"/>
      <c r="C1500" s="61" t="n"/>
      <c r="D1500" s="61" t="n"/>
      <c r="E1500" s="61" t="n"/>
      <c r="F1500" s="55" t="n"/>
      <c r="G1500" s="56" t="n"/>
      <c r="H1500" s="55" t="n"/>
      <c r="I1500" s="62" t="n"/>
      <c r="J1500" s="58" t="n"/>
      <c r="K1500" s="63">
        <f>IF(tblMovement[[#This Row],[Source]]="","",IFERROR(INDEX(tblSources[Type],MATCH(tblMovement[[#This Row],[Source]],tblSources[Source],0)),"?"))</f>
        <v/>
      </c>
      <c r="L1500" s="63">
        <f>IF(tblMovement[[#This Row],[Destination]]="","",IFERROR(INDEX(tblDestinations[Type],MATCH(tblMovement[[#This Row],[Destination]],tblDestinations[Destination],0)),"?"))</f>
        <v/>
      </c>
      <c r="M1500" s="64">
        <f>IF(tblMovement[[#This Row],[Material]]="","",IF(LEFT(tblMovement[[#This Row],[Material]],3)="Ore",1,0))</f>
        <v/>
      </c>
      <c r="N1500" s="59">
        <f>IF(OR(tblMovement[[#This Row],[Tonnes_t]]="",tblMovement[[#This Row],[Grade_gpt]]=""),0,tblMovement[[#This Row],[Tonnes_t]]*tblMovement[[#This Row],[Grade_gpt]]/cfg_TroyOz)</f>
        <v/>
      </c>
      <c r="O1500" s="59">
        <f>IF(tblMovement[[#This Row],[Is_Ore]]=1,tblMovement[[#This Row],[Contained_oz]],0)</f>
        <v/>
      </c>
    </row>
    <row r="1501">
      <c r="A1501" s="54" t="n"/>
      <c r="B1501" s="61" t="n"/>
      <c r="C1501" s="61" t="n"/>
      <c r="D1501" s="61" t="n"/>
      <c r="E1501" s="61" t="n"/>
      <c r="F1501" s="55" t="n"/>
      <c r="G1501" s="56" t="n"/>
      <c r="H1501" s="55" t="n"/>
      <c r="I1501" s="62" t="n"/>
      <c r="J1501" s="58" t="n"/>
      <c r="K1501" s="63">
        <f>IF(tblMovement[[#This Row],[Source]]="","",IFERROR(INDEX(tblSources[Type],MATCH(tblMovement[[#This Row],[Source]],tblSources[Source],0)),"?"))</f>
        <v/>
      </c>
      <c r="L1501" s="63">
        <f>IF(tblMovement[[#This Row],[Destination]]="","",IFERROR(INDEX(tblDestinations[Type],MATCH(tblMovement[[#This Row],[Destination]],tblDestinations[Destination],0)),"?"))</f>
        <v/>
      </c>
      <c r="M1501" s="64">
        <f>IF(tblMovement[[#This Row],[Material]]="","",IF(LEFT(tblMovement[[#This Row],[Material]],3)="Ore",1,0))</f>
        <v/>
      </c>
      <c r="N1501" s="59">
        <f>IF(OR(tblMovement[[#This Row],[Tonnes_t]]="",tblMovement[[#This Row],[Grade_gpt]]=""),0,tblMovement[[#This Row],[Tonnes_t]]*tblMovement[[#This Row],[Grade_gpt]]/cfg_TroyOz)</f>
        <v/>
      </c>
      <c r="O1501" s="59">
        <f>IF(tblMovement[[#This Row],[Is_Ore]]=1,tblMovement[[#This Row],[Contained_oz]],0)</f>
        <v/>
      </c>
    </row>
    <row r="1502">
      <c r="A1502" s="54" t="n"/>
      <c r="B1502" s="61" t="n"/>
      <c r="C1502" s="61" t="n"/>
      <c r="D1502" s="61" t="n"/>
      <c r="E1502" s="61" t="n"/>
      <c r="F1502" s="55" t="n"/>
      <c r="G1502" s="56" t="n"/>
      <c r="H1502" s="55" t="n"/>
      <c r="I1502" s="62" t="n"/>
      <c r="J1502" s="58" t="n"/>
      <c r="K1502" s="63">
        <f>IF(tblMovement[[#This Row],[Source]]="","",IFERROR(INDEX(tblSources[Type],MATCH(tblMovement[[#This Row],[Source]],tblSources[Source],0)),"?"))</f>
        <v/>
      </c>
      <c r="L1502" s="63">
        <f>IF(tblMovement[[#This Row],[Destination]]="","",IFERROR(INDEX(tblDestinations[Type],MATCH(tblMovement[[#This Row],[Destination]],tblDestinations[Destination],0)),"?"))</f>
        <v/>
      </c>
      <c r="M1502" s="64">
        <f>IF(tblMovement[[#This Row],[Material]]="","",IF(LEFT(tblMovement[[#This Row],[Material]],3)="Ore",1,0))</f>
        <v/>
      </c>
      <c r="N1502" s="59">
        <f>IF(OR(tblMovement[[#This Row],[Tonnes_t]]="",tblMovement[[#This Row],[Grade_gpt]]=""),0,tblMovement[[#This Row],[Tonnes_t]]*tblMovement[[#This Row],[Grade_gpt]]/cfg_TroyOz)</f>
        <v/>
      </c>
      <c r="O1502" s="59">
        <f>IF(tblMovement[[#This Row],[Is_Ore]]=1,tblMovement[[#This Row],[Contained_oz]],0)</f>
        <v/>
      </c>
    </row>
    <row r="1503">
      <c r="A1503" s="54" t="n"/>
      <c r="B1503" s="61" t="n"/>
      <c r="C1503" s="61" t="n"/>
      <c r="D1503" s="61" t="n"/>
      <c r="E1503" s="61" t="n"/>
      <c r="F1503" s="55" t="n"/>
      <c r="G1503" s="56" t="n"/>
      <c r="H1503" s="55" t="n"/>
      <c r="I1503" s="62" t="n"/>
      <c r="J1503" s="58" t="n"/>
      <c r="K1503" s="63">
        <f>IF(tblMovement[[#This Row],[Source]]="","",IFERROR(INDEX(tblSources[Type],MATCH(tblMovement[[#This Row],[Source]],tblSources[Source],0)),"?"))</f>
        <v/>
      </c>
      <c r="L1503" s="63">
        <f>IF(tblMovement[[#This Row],[Destination]]="","",IFERROR(INDEX(tblDestinations[Type],MATCH(tblMovement[[#This Row],[Destination]],tblDestinations[Destination],0)),"?"))</f>
        <v/>
      </c>
      <c r="M1503" s="64">
        <f>IF(tblMovement[[#This Row],[Material]]="","",IF(LEFT(tblMovement[[#This Row],[Material]],3)="Ore",1,0))</f>
        <v/>
      </c>
      <c r="N1503" s="59">
        <f>IF(OR(tblMovement[[#This Row],[Tonnes_t]]="",tblMovement[[#This Row],[Grade_gpt]]=""),0,tblMovement[[#This Row],[Tonnes_t]]*tblMovement[[#This Row],[Grade_gpt]]/cfg_TroyOz)</f>
        <v/>
      </c>
      <c r="O1503" s="59">
        <f>IF(tblMovement[[#This Row],[Is_Ore]]=1,tblMovement[[#This Row],[Contained_oz]],0)</f>
        <v/>
      </c>
    </row>
    <row r="1504">
      <c r="A1504" s="54" t="n"/>
      <c r="B1504" s="61" t="n"/>
      <c r="C1504" s="61" t="n"/>
      <c r="D1504" s="61" t="n"/>
      <c r="E1504" s="61" t="n"/>
      <c r="F1504" s="55" t="n"/>
      <c r="G1504" s="56" t="n"/>
      <c r="H1504" s="55" t="n"/>
      <c r="I1504" s="62" t="n"/>
      <c r="J1504" s="58" t="n"/>
      <c r="K1504" s="63">
        <f>IF(tblMovement[[#This Row],[Source]]="","",IFERROR(INDEX(tblSources[Type],MATCH(tblMovement[[#This Row],[Source]],tblSources[Source],0)),"?"))</f>
        <v/>
      </c>
      <c r="L1504" s="63">
        <f>IF(tblMovement[[#This Row],[Destination]]="","",IFERROR(INDEX(tblDestinations[Type],MATCH(tblMovement[[#This Row],[Destination]],tblDestinations[Destination],0)),"?"))</f>
        <v/>
      </c>
      <c r="M1504" s="64">
        <f>IF(tblMovement[[#This Row],[Material]]="","",IF(LEFT(tblMovement[[#This Row],[Material]],3)="Ore",1,0))</f>
        <v/>
      </c>
      <c r="N1504" s="59">
        <f>IF(OR(tblMovement[[#This Row],[Tonnes_t]]="",tblMovement[[#This Row],[Grade_gpt]]=""),0,tblMovement[[#This Row],[Tonnes_t]]*tblMovement[[#This Row],[Grade_gpt]]/cfg_TroyOz)</f>
        <v/>
      </c>
      <c r="O1504" s="59">
        <f>IF(tblMovement[[#This Row],[Is_Ore]]=1,tblMovement[[#This Row],[Contained_oz]],0)</f>
        <v/>
      </c>
    </row>
    <row r="1505">
      <c r="A1505" s="54" t="n"/>
      <c r="B1505" s="61" t="n"/>
      <c r="C1505" s="61" t="n"/>
      <c r="D1505" s="61" t="n"/>
      <c r="E1505" s="61" t="n"/>
      <c r="F1505" s="55" t="n"/>
      <c r="G1505" s="56" t="n"/>
      <c r="H1505" s="55" t="n"/>
      <c r="I1505" s="62" t="n"/>
      <c r="J1505" s="58" t="n"/>
      <c r="K1505" s="63">
        <f>IF(tblMovement[[#This Row],[Source]]="","",IFERROR(INDEX(tblSources[Type],MATCH(tblMovement[[#This Row],[Source]],tblSources[Source],0)),"?"))</f>
        <v/>
      </c>
      <c r="L1505" s="63">
        <f>IF(tblMovement[[#This Row],[Destination]]="","",IFERROR(INDEX(tblDestinations[Type],MATCH(tblMovement[[#This Row],[Destination]],tblDestinations[Destination],0)),"?"))</f>
        <v/>
      </c>
      <c r="M1505" s="64">
        <f>IF(tblMovement[[#This Row],[Material]]="","",IF(LEFT(tblMovement[[#This Row],[Material]],3)="Ore",1,0))</f>
        <v/>
      </c>
      <c r="N1505" s="59">
        <f>IF(OR(tblMovement[[#This Row],[Tonnes_t]]="",tblMovement[[#This Row],[Grade_gpt]]=""),0,tblMovement[[#This Row],[Tonnes_t]]*tblMovement[[#This Row],[Grade_gpt]]/cfg_TroyOz)</f>
        <v/>
      </c>
      <c r="O1505" s="59">
        <f>IF(tblMovement[[#This Row],[Is_Ore]]=1,tblMovement[[#This Row],[Contained_oz]],0)</f>
        <v/>
      </c>
    </row>
    <row r="1506">
      <c r="A1506" s="54" t="n"/>
      <c r="B1506" s="61" t="n"/>
      <c r="C1506" s="61" t="n"/>
      <c r="D1506" s="61" t="n"/>
      <c r="E1506" s="61" t="n"/>
      <c r="F1506" s="55" t="n"/>
      <c r="G1506" s="56" t="n"/>
      <c r="H1506" s="55" t="n"/>
      <c r="I1506" s="62" t="n"/>
      <c r="J1506" s="58" t="n"/>
      <c r="K1506" s="63">
        <f>IF(tblMovement[[#This Row],[Source]]="","",IFERROR(INDEX(tblSources[Type],MATCH(tblMovement[[#This Row],[Source]],tblSources[Source],0)),"?"))</f>
        <v/>
      </c>
      <c r="L1506" s="63">
        <f>IF(tblMovement[[#This Row],[Destination]]="","",IFERROR(INDEX(tblDestinations[Type],MATCH(tblMovement[[#This Row],[Destination]],tblDestinations[Destination],0)),"?"))</f>
        <v/>
      </c>
      <c r="M1506" s="64">
        <f>IF(tblMovement[[#This Row],[Material]]="","",IF(LEFT(tblMovement[[#This Row],[Material]],3)="Ore",1,0))</f>
        <v/>
      </c>
      <c r="N1506" s="59">
        <f>IF(OR(tblMovement[[#This Row],[Tonnes_t]]="",tblMovement[[#This Row],[Grade_gpt]]=""),0,tblMovement[[#This Row],[Tonnes_t]]*tblMovement[[#This Row],[Grade_gpt]]/cfg_TroyOz)</f>
        <v/>
      </c>
      <c r="O1506" s="59">
        <f>IF(tblMovement[[#This Row],[Is_Ore]]=1,tblMovement[[#This Row],[Contained_oz]],0)</f>
        <v/>
      </c>
    </row>
    <row r="1507">
      <c r="A1507" s="54" t="n"/>
      <c r="B1507" s="61" t="n"/>
      <c r="C1507" s="61" t="n"/>
      <c r="D1507" s="61" t="n"/>
      <c r="E1507" s="61" t="n"/>
      <c r="F1507" s="55" t="n"/>
      <c r="G1507" s="56" t="n"/>
      <c r="H1507" s="55" t="n"/>
      <c r="I1507" s="62" t="n"/>
      <c r="J1507" s="58" t="n"/>
      <c r="K1507" s="63">
        <f>IF(tblMovement[[#This Row],[Source]]="","",IFERROR(INDEX(tblSources[Type],MATCH(tblMovement[[#This Row],[Source]],tblSources[Source],0)),"?"))</f>
        <v/>
      </c>
      <c r="L1507" s="63">
        <f>IF(tblMovement[[#This Row],[Destination]]="","",IFERROR(INDEX(tblDestinations[Type],MATCH(tblMovement[[#This Row],[Destination]],tblDestinations[Destination],0)),"?"))</f>
        <v/>
      </c>
      <c r="M1507" s="64">
        <f>IF(tblMovement[[#This Row],[Material]]="","",IF(LEFT(tblMovement[[#This Row],[Material]],3)="Ore",1,0))</f>
        <v/>
      </c>
      <c r="N1507" s="59">
        <f>IF(OR(tblMovement[[#This Row],[Tonnes_t]]="",tblMovement[[#This Row],[Grade_gpt]]=""),0,tblMovement[[#This Row],[Tonnes_t]]*tblMovement[[#This Row],[Grade_gpt]]/cfg_TroyOz)</f>
        <v/>
      </c>
      <c r="O1507" s="59">
        <f>IF(tblMovement[[#This Row],[Is_Ore]]=1,tblMovement[[#This Row],[Contained_oz]],0)</f>
        <v/>
      </c>
    </row>
    <row r="1508">
      <c r="A1508" s="54" t="n"/>
      <c r="B1508" s="61" t="n"/>
      <c r="C1508" s="61" t="n"/>
      <c r="D1508" s="61" t="n"/>
      <c r="E1508" s="61" t="n"/>
      <c r="F1508" s="55" t="n"/>
      <c r="G1508" s="56" t="n"/>
      <c r="H1508" s="55" t="n"/>
      <c r="I1508" s="62" t="n"/>
      <c r="J1508" s="58" t="n"/>
      <c r="K1508" s="63">
        <f>IF(tblMovement[[#This Row],[Source]]="","",IFERROR(INDEX(tblSources[Type],MATCH(tblMovement[[#This Row],[Source]],tblSources[Source],0)),"?"))</f>
        <v/>
      </c>
      <c r="L1508" s="63">
        <f>IF(tblMovement[[#This Row],[Destination]]="","",IFERROR(INDEX(tblDestinations[Type],MATCH(tblMovement[[#This Row],[Destination]],tblDestinations[Destination],0)),"?"))</f>
        <v/>
      </c>
      <c r="M1508" s="64">
        <f>IF(tblMovement[[#This Row],[Material]]="","",IF(LEFT(tblMovement[[#This Row],[Material]],3)="Ore",1,0))</f>
        <v/>
      </c>
      <c r="N1508" s="59">
        <f>IF(OR(tblMovement[[#This Row],[Tonnes_t]]="",tblMovement[[#This Row],[Grade_gpt]]=""),0,tblMovement[[#This Row],[Tonnes_t]]*tblMovement[[#This Row],[Grade_gpt]]/cfg_TroyOz)</f>
        <v/>
      </c>
      <c r="O1508" s="59">
        <f>IF(tblMovement[[#This Row],[Is_Ore]]=1,tblMovement[[#This Row],[Contained_oz]],0)</f>
        <v/>
      </c>
    </row>
    <row r="1509">
      <c r="A1509" s="54" t="n"/>
      <c r="B1509" s="61" t="n"/>
      <c r="C1509" s="61" t="n"/>
      <c r="D1509" s="61" t="n"/>
      <c r="E1509" s="61" t="n"/>
      <c r="F1509" s="55" t="n"/>
      <c r="G1509" s="56" t="n"/>
      <c r="H1509" s="55" t="n"/>
      <c r="I1509" s="62" t="n"/>
      <c r="J1509" s="58" t="n"/>
      <c r="K1509" s="63">
        <f>IF(tblMovement[[#This Row],[Source]]="","",IFERROR(INDEX(tblSources[Type],MATCH(tblMovement[[#This Row],[Source]],tblSources[Source],0)),"?"))</f>
        <v/>
      </c>
      <c r="L1509" s="63">
        <f>IF(tblMovement[[#This Row],[Destination]]="","",IFERROR(INDEX(tblDestinations[Type],MATCH(tblMovement[[#This Row],[Destination]],tblDestinations[Destination],0)),"?"))</f>
        <v/>
      </c>
      <c r="M1509" s="64">
        <f>IF(tblMovement[[#This Row],[Material]]="","",IF(LEFT(tblMovement[[#This Row],[Material]],3)="Ore",1,0))</f>
        <v/>
      </c>
      <c r="N1509" s="59">
        <f>IF(OR(tblMovement[[#This Row],[Tonnes_t]]="",tblMovement[[#This Row],[Grade_gpt]]=""),0,tblMovement[[#This Row],[Tonnes_t]]*tblMovement[[#This Row],[Grade_gpt]]/cfg_TroyOz)</f>
        <v/>
      </c>
      <c r="O1509" s="59">
        <f>IF(tblMovement[[#This Row],[Is_Ore]]=1,tblMovement[[#This Row],[Contained_oz]],0)</f>
        <v/>
      </c>
    </row>
    <row r="1510">
      <c r="A1510" s="54" t="n"/>
      <c r="B1510" s="61" t="n"/>
      <c r="C1510" s="61" t="n"/>
      <c r="D1510" s="61" t="n"/>
      <c r="E1510" s="61" t="n"/>
      <c r="F1510" s="55" t="n"/>
      <c r="G1510" s="56" t="n"/>
      <c r="H1510" s="55" t="n"/>
      <c r="I1510" s="62" t="n"/>
      <c r="J1510" s="58" t="n"/>
      <c r="K1510" s="63">
        <f>IF(tblMovement[[#This Row],[Source]]="","",IFERROR(INDEX(tblSources[Type],MATCH(tblMovement[[#This Row],[Source]],tblSources[Source],0)),"?"))</f>
        <v/>
      </c>
      <c r="L1510" s="63">
        <f>IF(tblMovement[[#This Row],[Destination]]="","",IFERROR(INDEX(tblDestinations[Type],MATCH(tblMovement[[#This Row],[Destination]],tblDestinations[Destination],0)),"?"))</f>
        <v/>
      </c>
      <c r="M1510" s="64">
        <f>IF(tblMovement[[#This Row],[Material]]="","",IF(LEFT(tblMovement[[#This Row],[Material]],3)="Ore",1,0))</f>
        <v/>
      </c>
      <c r="N1510" s="59">
        <f>IF(OR(tblMovement[[#This Row],[Tonnes_t]]="",tblMovement[[#This Row],[Grade_gpt]]=""),0,tblMovement[[#This Row],[Tonnes_t]]*tblMovement[[#This Row],[Grade_gpt]]/cfg_TroyOz)</f>
        <v/>
      </c>
      <c r="O1510" s="59">
        <f>IF(tblMovement[[#This Row],[Is_Ore]]=1,tblMovement[[#This Row],[Contained_oz]],0)</f>
        <v/>
      </c>
    </row>
    <row r="1511">
      <c r="A1511" s="54" t="n"/>
      <c r="B1511" s="61" t="n"/>
      <c r="C1511" s="61" t="n"/>
      <c r="D1511" s="61" t="n"/>
      <c r="E1511" s="61" t="n"/>
      <c r="F1511" s="55" t="n"/>
      <c r="G1511" s="56" t="n"/>
      <c r="H1511" s="55" t="n"/>
      <c r="I1511" s="62" t="n"/>
      <c r="J1511" s="58" t="n"/>
      <c r="K1511" s="63">
        <f>IF(tblMovement[[#This Row],[Source]]="","",IFERROR(INDEX(tblSources[Type],MATCH(tblMovement[[#This Row],[Source]],tblSources[Source],0)),"?"))</f>
        <v/>
      </c>
      <c r="L1511" s="63">
        <f>IF(tblMovement[[#This Row],[Destination]]="","",IFERROR(INDEX(tblDestinations[Type],MATCH(tblMovement[[#This Row],[Destination]],tblDestinations[Destination],0)),"?"))</f>
        <v/>
      </c>
      <c r="M1511" s="64">
        <f>IF(tblMovement[[#This Row],[Material]]="","",IF(LEFT(tblMovement[[#This Row],[Material]],3)="Ore",1,0))</f>
        <v/>
      </c>
      <c r="N1511" s="59">
        <f>IF(OR(tblMovement[[#This Row],[Tonnes_t]]="",tblMovement[[#This Row],[Grade_gpt]]=""),0,tblMovement[[#This Row],[Tonnes_t]]*tblMovement[[#This Row],[Grade_gpt]]/cfg_TroyOz)</f>
        <v/>
      </c>
      <c r="O1511" s="59">
        <f>IF(tblMovement[[#This Row],[Is_Ore]]=1,tblMovement[[#This Row],[Contained_oz]],0)</f>
        <v/>
      </c>
    </row>
    <row r="1512">
      <c r="A1512" s="54" t="n"/>
      <c r="B1512" s="61" t="n"/>
      <c r="C1512" s="61" t="n"/>
      <c r="D1512" s="61" t="n"/>
      <c r="E1512" s="61" t="n"/>
      <c r="F1512" s="55" t="n"/>
      <c r="G1512" s="56" t="n"/>
      <c r="H1512" s="55" t="n"/>
      <c r="I1512" s="62" t="n"/>
      <c r="J1512" s="58" t="n"/>
      <c r="K1512" s="63">
        <f>IF(tblMovement[[#This Row],[Source]]="","",IFERROR(INDEX(tblSources[Type],MATCH(tblMovement[[#This Row],[Source]],tblSources[Source],0)),"?"))</f>
        <v/>
      </c>
      <c r="L1512" s="63">
        <f>IF(tblMovement[[#This Row],[Destination]]="","",IFERROR(INDEX(tblDestinations[Type],MATCH(tblMovement[[#This Row],[Destination]],tblDestinations[Destination],0)),"?"))</f>
        <v/>
      </c>
      <c r="M1512" s="64">
        <f>IF(tblMovement[[#This Row],[Material]]="","",IF(LEFT(tblMovement[[#This Row],[Material]],3)="Ore",1,0))</f>
        <v/>
      </c>
      <c r="N1512" s="59">
        <f>IF(OR(tblMovement[[#This Row],[Tonnes_t]]="",tblMovement[[#This Row],[Grade_gpt]]=""),0,tblMovement[[#This Row],[Tonnes_t]]*tblMovement[[#This Row],[Grade_gpt]]/cfg_TroyOz)</f>
        <v/>
      </c>
      <c r="O1512" s="59">
        <f>IF(tblMovement[[#This Row],[Is_Ore]]=1,tblMovement[[#This Row],[Contained_oz]],0)</f>
        <v/>
      </c>
    </row>
    <row r="1513">
      <c r="A1513" s="54" t="n"/>
      <c r="B1513" s="61" t="n"/>
      <c r="C1513" s="61" t="n"/>
      <c r="D1513" s="61" t="n"/>
      <c r="E1513" s="61" t="n"/>
      <c r="F1513" s="55" t="n"/>
      <c r="G1513" s="56" t="n"/>
      <c r="H1513" s="55" t="n"/>
      <c r="I1513" s="62" t="n"/>
      <c r="J1513" s="58" t="n"/>
      <c r="K1513" s="63">
        <f>IF(tblMovement[[#This Row],[Source]]="","",IFERROR(INDEX(tblSources[Type],MATCH(tblMovement[[#This Row],[Source]],tblSources[Source],0)),"?"))</f>
        <v/>
      </c>
      <c r="L1513" s="63">
        <f>IF(tblMovement[[#This Row],[Destination]]="","",IFERROR(INDEX(tblDestinations[Type],MATCH(tblMovement[[#This Row],[Destination]],tblDestinations[Destination],0)),"?"))</f>
        <v/>
      </c>
      <c r="M1513" s="64">
        <f>IF(tblMovement[[#This Row],[Material]]="","",IF(LEFT(tblMovement[[#This Row],[Material]],3)="Ore",1,0))</f>
        <v/>
      </c>
      <c r="N1513" s="59">
        <f>IF(OR(tblMovement[[#This Row],[Tonnes_t]]="",tblMovement[[#This Row],[Grade_gpt]]=""),0,tblMovement[[#This Row],[Tonnes_t]]*tblMovement[[#This Row],[Grade_gpt]]/cfg_TroyOz)</f>
        <v/>
      </c>
      <c r="O1513" s="59">
        <f>IF(tblMovement[[#This Row],[Is_Ore]]=1,tblMovement[[#This Row],[Contained_oz]],0)</f>
        <v/>
      </c>
    </row>
    <row r="1514">
      <c r="A1514" s="54" t="n"/>
      <c r="B1514" s="61" t="n"/>
      <c r="C1514" s="61" t="n"/>
      <c r="D1514" s="61" t="n"/>
      <c r="E1514" s="61" t="n"/>
      <c r="F1514" s="55" t="n"/>
      <c r="G1514" s="56" t="n"/>
      <c r="H1514" s="55" t="n"/>
      <c r="I1514" s="62" t="n"/>
      <c r="J1514" s="58" t="n"/>
      <c r="K1514" s="63">
        <f>IF(tblMovement[[#This Row],[Source]]="","",IFERROR(INDEX(tblSources[Type],MATCH(tblMovement[[#This Row],[Source]],tblSources[Source],0)),"?"))</f>
        <v/>
      </c>
      <c r="L1514" s="63">
        <f>IF(tblMovement[[#This Row],[Destination]]="","",IFERROR(INDEX(tblDestinations[Type],MATCH(tblMovement[[#This Row],[Destination]],tblDestinations[Destination],0)),"?"))</f>
        <v/>
      </c>
      <c r="M1514" s="64">
        <f>IF(tblMovement[[#This Row],[Material]]="","",IF(LEFT(tblMovement[[#This Row],[Material]],3)="Ore",1,0))</f>
        <v/>
      </c>
      <c r="N1514" s="59">
        <f>IF(OR(tblMovement[[#This Row],[Tonnes_t]]="",tblMovement[[#This Row],[Grade_gpt]]=""),0,tblMovement[[#This Row],[Tonnes_t]]*tblMovement[[#This Row],[Grade_gpt]]/cfg_TroyOz)</f>
        <v/>
      </c>
      <c r="O1514" s="59">
        <f>IF(tblMovement[[#This Row],[Is_Ore]]=1,tblMovement[[#This Row],[Contained_oz]],0)</f>
        <v/>
      </c>
    </row>
    <row r="1515">
      <c r="A1515" s="54" t="n"/>
      <c r="B1515" s="61" t="n"/>
      <c r="C1515" s="61" t="n"/>
      <c r="D1515" s="61" t="n"/>
      <c r="E1515" s="61" t="n"/>
      <c r="F1515" s="55" t="n"/>
      <c r="G1515" s="56" t="n"/>
      <c r="H1515" s="55" t="n"/>
      <c r="I1515" s="62" t="n"/>
      <c r="J1515" s="58" t="n"/>
      <c r="K1515" s="63">
        <f>IF(tblMovement[[#This Row],[Source]]="","",IFERROR(INDEX(tblSources[Type],MATCH(tblMovement[[#This Row],[Source]],tblSources[Source],0)),"?"))</f>
        <v/>
      </c>
      <c r="L1515" s="63">
        <f>IF(tblMovement[[#This Row],[Destination]]="","",IFERROR(INDEX(tblDestinations[Type],MATCH(tblMovement[[#This Row],[Destination]],tblDestinations[Destination],0)),"?"))</f>
        <v/>
      </c>
      <c r="M1515" s="64">
        <f>IF(tblMovement[[#This Row],[Material]]="","",IF(LEFT(tblMovement[[#This Row],[Material]],3)="Ore",1,0))</f>
        <v/>
      </c>
      <c r="N1515" s="59">
        <f>IF(OR(tblMovement[[#This Row],[Tonnes_t]]="",tblMovement[[#This Row],[Grade_gpt]]=""),0,tblMovement[[#This Row],[Tonnes_t]]*tblMovement[[#This Row],[Grade_gpt]]/cfg_TroyOz)</f>
        <v/>
      </c>
      <c r="O1515" s="59">
        <f>IF(tblMovement[[#This Row],[Is_Ore]]=1,tblMovement[[#This Row],[Contained_oz]],0)</f>
        <v/>
      </c>
    </row>
    <row r="1516">
      <c r="A1516" s="54" t="n"/>
      <c r="B1516" s="61" t="n"/>
      <c r="C1516" s="61" t="n"/>
      <c r="D1516" s="61" t="n"/>
      <c r="E1516" s="61" t="n"/>
      <c r="F1516" s="55" t="n"/>
      <c r="G1516" s="56" t="n"/>
      <c r="H1516" s="55" t="n"/>
      <c r="I1516" s="62" t="n"/>
      <c r="J1516" s="58" t="n"/>
      <c r="K1516" s="63">
        <f>IF(tblMovement[[#This Row],[Source]]="","",IFERROR(INDEX(tblSources[Type],MATCH(tblMovement[[#This Row],[Source]],tblSources[Source],0)),"?"))</f>
        <v/>
      </c>
      <c r="L1516" s="63">
        <f>IF(tblMovement[[#This Row],[Destination]]="","",IFERROR(INDEX(tblDestinations[Type],MATCH(tblMovement[[#This Row],[Destination]],tblDestinations[Destination],0)),"?"))</f>
        <v/>
      </c>
      <c r="M1516" s="64">
        <f>IF(tblMovement[[#This Row],[Material]]="","",IF(LEFT(tblMovement[[#This Row],[Material]],3)="Ore",1,0))</f>
        <v/>
      </c>
      <c r="N1516" s="59">
        <f>IF(OR(tblMovement[[#This Row],[Tonnes_t]]="",tblMovement[[#This Row],[Grade_gpt]]=""),0,tblMovement[[#This Row],[Tonnes_t]]*tblMovement[[#This Row],[Grade_gpt]]/cfg_TroyOz)</f>
        <v/>
      </c>
      <c r="O1516" s="59">
        <f>IF(tblMovement[[#This Row],[Is_Ore]]=1,tblMovement[[#This Row],[Contained_oz]],0)</f>
        <v/>
      </c>
    </row>
    <row r="1517">
      <c r="A1517" s="54" t="n"/>
      <c r="B1517" s="61" t="n"/>
      <c r="C1517" s="61" t="n"/>
      <c r="D1517" s="61" t="n"/>
      <c r="E1517" s="61" t="n"/>
      <c r="F1517" s="55" t="n"/>
      <c r="G1517" s="56" t="n"/>
      <c r="H1517" s="55" t="n"/>
      <c r="I1517" s="62" t="n"/>
      <c r="J1517" s="58" t="n"/>
      <c r="K1517" s="63">
        <f>IF(tblMovement[[#This Row],[Source]]="","",IFERROR(INDEX(tblSources[Type],MATCH(tblMovement[[#This Row],[Source]],tblSources[Source],0)),"?"))</f>
        <v/>
      </c>
      <c r="L1517" s="63">
        <f>IF(tblMovement[[#This Row],[Destination]]="","",IFERROR(INDEX(tblDestinations[Type],MATCH(tblMovement[[#This Row],[Destination]],tblDestinations[Destination],0)),"?"))</f>
        <v/>
      </c>
      <c r="M1517" s="64">
        <f>IF(tblMovement[[#This Row],[Material]]="","",IF(LEFT(tblMovement[[#This Row],[Material]],3)="Ore",1,0))</f>
        <v/>
      </c>
      <c r="N1517" s="59">
        <f>IF(OR(tblMovement[[#This Row],[Tonnes_t]]="",tblMovement[[#This Row],[Grade_gpt]]=""),0,tblMovement[[#This Row],[Tonnes_t]]*tblMovement[[#This Row],[Grade_gpt]]/cfg_TroyOz)</f>
        <v/>
      </c>
      <c r="O1517" s="59">
        <f>IF(tblMovement[[#This Row],[Is_Ore]]=1,tblMovement[[#This Row],[Contained_oz]],0)</f>
        <v/>
      </c>
    </row>
    <row r="1518">
      <c r="A1518" s="54" t="n"/>
      <c r="B1518" s="61" t="n"/>
      <c r="C1518" s="61" t="n"/>
      <c r="D1518" s="61" t="n"/>
      <c r="E1518" s="61" t="n"/>
      <c r="F1518" s="55" t="n"/>
      <c r="G1518" s="56" t="n"/>
      <c r="H1518" s="55" t="n"/>
      <c r="I1518" s="62" t="n"/>
      <c r="J1518" s="58" t="n"/>
      <c r="K1518" s="63">
        <f>IF(tblMovement[[#This Row],[Source]]="","",IFERROR(INDEX(tblSources[Type],MATCH(tblMovement[[#This Row],[Source]],tblSources[Source],0)),"?"))</f>
        <v/>
      </c>
      <c r="L1518" s="63">
        <f>IF(tblMovement[[#This Row],[Destination]]="","",IFERROR(INDEX(tblDestinations[Type],MATCH(tblMovement[[#This Row],[Destination]],tblDestinations[Destination],0)),"?"))</f>
        <v/>
      </c>
      <c r="M1518" s="64">
        <f>IF(tblMovement[[#This Row],[Material]]="","",IF(LEFT(tblMovement[[#This Row],[Material]],3)="Ore",1,0))</f>
        <v/>
      </c>
      <c r="N1518" s="59">
        <f>IF(OR(tblMovement[[#This Row],[Tonnes_t]]="",tblMovement[[#This Row],[Grade_gpt]]=""),0,tblMovement[[#This Row],[Tonnes_t]]*tblMovement[[#This Row],[Grade_gpt]]/cfg_TroyOz)</f>
        <v/>
      </c>
      <c r="O1518" s="59">
        <f>IF(tblMovement[[#This Row],[Is_Ore]]=1,tblMovement[[#This Row],[Contained_oz]],0)</f>
        <v/>
      </c>
    </row>
    <row r="1519">
      <c r="A1519" s="54" t="n"/>
      <c r="B1519" s="61" t="n"/>
      <c r="C1519" s="61" t="n"/>
      <c r="D1519" s="61" t="n"/>
      <c r="E1519" s="61" t="n"/>
      <c r="F1519" s="55" t="n"/>
      <c r="G1519" s="56" t="n"/>
      <c r="H1519" s="55" t="n"/>
      <c r="I1519" s="62" t="n"/>
      <c r="J1519" s="58" t="n"/>
      <c r="K1519" s="63">
        <f>IF(tblMovement[[#This Row],[Source]]="","",IFERROR(INDEX(tblSources[Type],MATCH(tblMovement[[#This Row],[Source]],tblSources[Source],0)),"?"))</f>
        <v/>
      </c>
      <c r="L1519" s="63">
        <f>IF(tblMovement[[#This Row],[Destination]]="","",IFERROR(INDEX(tblDestinations[Type],MATCH(tblMovement[[#This Row],[Destination]],tblDestinations[Destination],0)),"?"))</f>
        <v/>
      </c>
      <c r="M1519" s="64">
        <f>IF(tblMovement[[#This Row],[Material]]="","",IF(LEFT(tblMovement[[#This Row],[Material]],3)="Ore",1,0))</f>
        <v/>
      </c>
      <c r="N1519" s="59">
        <f>IF(OR(tblMovement[[#This Row],[Tonnes_t]]="",tblMovement[[#This Row],[Grade_gpt]]=""),0,tblMovement[[#This Row],[Tonnes_t]]*tblMovement[[#This Row],[Grade_gpt]]/cfg_TroyOz)</f>
        <v/>
      </c>
      <c r="O1519" s="59">
        <f>IF(tblMovement[[#This Row],[Is_Ore]]=1,tblMovement[[#This Row],[Contained_oz]],0)</f>
        <v/>
      </c>
    </row>
    <row r="1520">
      <c r="A1520" s="54" t="n"/>
      <c r="B1520" s="61" t="n"/>
      <c r="C1520" s="61" t="n"/>
      <c r="D1520" s="61" t="n"/>
      <c r="E1520" s="61" t="n"/>
      <c r="F1520" s="55" t="n"/>
      <c r="G1520" s="56" t="n"/>
      <c r="H1520" s="55" t="n"/>
      <c r="I1520" s="62" t="n"/>
      <c r="J1520" s="58" t="n"/>
      <c r="K1520" s="63">
        <f>IF(tblMovement[[#This Row],[Source]]="","",IFERROR(INDEX(tblSources[Type],MATCH(tblMovement[[#This Row],[Source]],tblSources[Source],0)),"?"))</f>
        <v/>
      </c>
      <c r="L1520" s="63">
        <f>IF(tblMovement[[#This Row],[Destination]]="","",IFERROR(INDEX(tblDestinations[Type],MATCH(tblMovement[[#This Row],[Destination]],tblDestinations[Destination],0)),"?"))</f>
        <v/>
      </c>
      <c r="M1520" s="64">
        <f>IF(tblMovement[[#This Row],[Material]]="","",IF(LEFT(tblMovement[[#This Row],[Material]],3)="Ore",1,0))</f>
        <v/>
      </c>
      <c r="N1520" s="59">
        <f>IF(OR(tblMovement[[#This Row],[Tonnes_t]]="",tblMovement[[#This Row],[Grade_gpt]]=""),0,tblMovement[[#This Row],[Tonnes_t]]*tblMovement[[#This Row],[Grade_gpt]]/cfg_TroyOz)</f>
        <v/>
      </c>
      <c r="O1520" s="59">
        <f>IF(tblMovement[[#This Row],[Is_Ore]]=1,tblMovement[[#This Row],[Contained_oz]],0)</f>
        <v/>
      </c>
    </row>
    <row r="1521">
      <c r="A1521" s="54" t="n"/>
      <c r="B1521" s="61" t="n"/>
      <c r="C1521" s="61" t="n"/>
      <c r="D1521" s="61" t="n"/>
      <c r="E1521" s="61" t="n"/>
      <c r="F1521" s="55" t="n"/>
      <c r="G1521" s="56" t="n"/>
      <c r="H1521" s="55" t="n"/>
      <c r="I1521" s="62" t="n"/>
      <c r="J1521" s="58" t="n"/>
      <c r="K1521" s="63">
        <f>IF(tblMovement[[#This Row],[Source]]="","",IFERROR(INDEX(tblSources[Type],MATCH(tblMovement[[#This Row],[Source]],tblSources[Source],0)),"?"))</f>
        <v/>
      </c>
      <c r="L1521" s="63">
        <f>IF(tblMovement[[#This Row],[Destination]]="","",IFERROR(INDEX(tblDestinations[Type],MATCH(tblMovement[[#This Row],[Destination]],tblDestinations[Destination],0)),"?"))</f>
        <v/>
      </c>
      <c r="M1521" s="64">
        <f>IF(tblMovement[[#This Row],[Material]]="","",IF(LEFT(tblMovement[[#This Row],[Material]],3)="Ore",1,0))</f>
        <v/>
      </c>
      <c r="N1521" s="59">
        <f>IF(OR(tblMovement[[#This Row],[Tonnes_t]]="",tblMovement[[#This Row],[Grade_gpt]]=""),0,tblMovement[[#This Row],[Tonnes_t]]*tblMovement[[#This Row],[Grade_gpt]]/cfg_TroyOz)</f>
        <v/>
      </c>
      <c r="O1521" s="59">
        <f>IF(tblMovement[[#This Row],[Is_Ore]]=1,tblMovement[[#This Row],[Contained_oz]],0)</f>
        <v/>
      </c>
    </row>
    <row r="1522">
      <c r="A1522" s="54" t="n"/>
      <c r="B1522" s="61" t="n"/>
      <c r="C1522" s="61" t="n"/>
      <c r="D1522" s="61" t="n"/>
      <c r="E1522" s="61" t="n"/>
      <c r="F1522" s="55" t="n"/>
      <c r="G1522" s="56" t="n"/>
      <c r="H1522" s="55" t="n"/>
      <c r="I1522" s="62" t="n"/>
      <c r="J1522" s="58" t="n"/>
      <c r="K1522" s="63">
        <f>IF(tblMovement[[#This Row],[Source]]="","",IFERROR(INDEX(tblSources[Type],MATCH(tblMovement[[#This Row],[Source]],tblSources[Source],0)),"?"))</f>
        <v/>
      </c>
      <c r="L1522" s="63">
        <f>IF(tblMovement[[#This Row],[Destination]]="","",IFERROR(INDEX(tblDestinations[Type],MATCH(tblMovement[[#This Row],[Destination]],tblDestinations[Destination],0)),"?"))</f>
        <v/>
      </c>
      <c r="M1522" s="64">
        <f>IF(tblMovement[[#This Row],[Material]]="","",IF(LEFT(tblMovement[[#This Row],[Material]],3)="Ore",1,0))</f>
        <v/>
      </c>
      <c r="N1522" s="59">
        <f>IF(OR(tblMovement[[#This Row],[Tonnes_t]]="",tblMovement[[#This Row],[Grade_gpt]]=""),0,tblMovement[[#This Row],[Tonnes_t]]*tblMovement[[#This Row],[Grade_gpt]]/cfg_TroyOz)</f>
        <v/>
      </c>
      <c r="O1522" s="59">
        <f>IF(tblMovement[[#This Row],[Is_Ore]]=1,tblMovement[[#This Row],[Contained_oz]],0)</f>
        <v/>
      </c>
    </row>
    <row r="1523">
      <c r="A1523" s="54" t="n"/>
      <c r="B1523" s="61" t="n"/>
      <c r="C1523" s="61" t="n"/>
      <c r="D1523" s="61" t="n"/>
      <c r="E1523" s="61" t="n"/>
      <c r="F1523" s="55" t="n"/>
      <c r="G1523" s="56" t="n"/>
      <c r="H1523" s="55" t="n"/>
      <c r="I1523" s="62" t="n"/>
      <c r="J1523" s="58" t="n"/>
      <c r="K1523" s="63">
        <f>IF(tblMovement[[#This Row],[Source]]="","",IFERROR(INDEX(tblSources[Type],MATCH(tblMovement[[#This Row],[Source]],tblSources[Source],0)),"?"))</f>
        <v/>
      </c>
      <c r="L1523" s="63">
        <f>IF(tblMovement[[#This Row],[Destination]]="","",IFERROR(INDEX(tblDestinations[Type],MATCH(tblMovement[[#This Row],[Destination]],tblDestinations[Destination],0)),"?"))</f>
        <v/>
      </c>
      <c r="M1523" s="64">
        <f>IF(tblMovement[[#This Row],[Material]]="","",IF(LEFT(tblMovement[[#This Row],[Material]],3)="Ore",1,0))</f>
        <v/>
      </c>
      <c r="N1523" s="59">
        <f>IF(OR(tblMovement[[#This Row],[Tonnes_t]]="",tblMovement[[#This Row],[Grade_gpt]]=""),0,tblMovement[[#This Row],[Tonnes_t]]*tblMovement[[#This Row],[Grade_gpt]]/cfg_TroyOz)</f>
        <v/>
      </c>
      <c r="O1523" s="59">
        <f>IF(tblMovement[[#This Row],[Is_Ore]]=1,tblMovement[[#This Row],[Contained_oz]],0)</f>
        <v/>
      </c>
    </row>
    <row r="1524">
      <c r="A1524" s="54" t="n"/>
      <c r="B1524" s="61" t="n"/>
      <c r="C1524" s="61" t="n"/>
      <c r="D1524" s="61" t="n"/>
      <c r="E1524" s="61" t="n"/>
      <c r="F1524" s="55" t="n"/>
      <c r="G1524" s="56" t="n"/>
      <c r="H1524" s="55" t="n"/>
      <c r="I1524" s="62" t="n"/>
      <c r="J1524" s="58" t="n"/>
      <c r="K1524" s="63">
        <f>IF(tblMovement[[#This Row],[Source]]="","",IFERROR(INDEX(tblSources[Type],MATCH(tblMovement[[#This Row],[Source]],tblSources[Source],0)),"?"))</f>
        <v/>
      </c>
      <c r="L1524" s="63">
        <f>IF(tblMovement[[#This Row],[Destination]]="","",IFERROR(INDEX(tblDestinations[Type],MATCH(tblMovement[[#This Row],[Destination]],tblDestinations[Destination],0)),"?"))</f>
        <v/>
      </c>
      <c r="M1524" s="64">
        <f>IF(tblMovement[[#This Row],[Material]]="","",IF(LEFT(tblMovement[[#This Row],[Material]],3)="Ore",1,0))</f>
        <v/>
      </c>
      <c r="N1524" s="59">
        <f>IF(OR(tblMovement[[#This Row],[Tonnes_t]]="",tblMovement[[#This Row],[Grade_gpt]]=""),0,tblMovement[[#This Row],[Tonnes_t]]*tblMovement[[#This Row],[Grade_gpt]]/cfg_TroyOz)</f>
        <v/>
      </c>
      <c r="O1524" s="59">
        <f>IF(tblMovement[[#This Row],[Is_Ore]]=1,tblMovement[[#This Row],[Contained_oz]],0)</f>
        <v/>
      </c>
    </row>
    <row r="1525">
      <c r="A1525" s="54" t="n"/>
      <c r="B1525" s="61" t="n"/>
      <c r="C1525" s="61" t="n"/>
      <c r="D1525" s="61" t="n"/>
      <c r="E1525" s="61" t="n"/>
      <c r="F1525" s="55" t="n"/>
      <c r="G1525" s="56" t="n"/>
      <c r="H1525" s="55" t="n"/>
      <c r="I1525" s="62" t="n"/>
      <c r="J1525" s="58" t="n"/>
      <c r="K1525" s="63">
        <f>IF(tblMovement[[#This Row],[Source]]="","",IFERROR(INDEX(tblSources[Type],MATCH(tblMovement[[#This Row],[Source]],tblSources[Source],0)),"?"))</f>
        <v/>
      </c>
      <c r="L1525" s="63">
        <f>IF(tblMovement[[#This Row],[Destination]]="","",IFERROR(INDEX(tblDestinations[Type],MATCH(tblMovement[[#This Row],[Destination]],tblDestinations[Destination],0)),"?"))</f>
        <v/>
      </c>
      <c r="M1525" s="64">
        <f>IF(tblMovement[[#This Row],[Material]]="","",IF(LEFT(tblMovement[[#This Row],[Material]],3)="Ore",1,0))</f>
        <v/>
      </c>
      <c r="N1525" s="59">
        <f>IF(OR(tblMovement[[#This Row],[Tonnes_t]]="",tblMovement[[#This Row],[Grade_gpt]]=""),0,tblMovement[[#This Row],[Tonnes_t]]*tblMovement[[#This Row],[Grade_gpt]]/cfg_TroyOz)</f>
        <v/>
      </c>
      <c r="O1525" s="59">
        <f>IF(tblMovement[[#This Row],[Is_Ore]]=1,tblMovement[[#This Row],[Contained_oz]],0)</f>
        <v/>
      </c>
    </row>
    <row r="1526">
      <c r="A1526" s="54" t="n"/>
      <c r="B1526" s="61" t="n"/>
      <c r="C1526" s="61" t="n"/>
      <c r="D1526" s="61" t="n"/>
      <c r="E1526" s="61" t="n"/>
      <c r="F1526" s="55" t="n"/>
      <c r="G1526" s="56" t="n"/>
      <c r="H1526" s="55" t="n"/>
      <c r="I1526" s="62" t="n"/>
      <c r="J1526" s="58" t="n"/>
      <c r="K1526" s="63">
        <f>IF(tblMovement[[#This Row],[Source]]="","",IFERROR(INDEX(tblSources[Type],MATCH(tblMovement[[#This Row],[Source]],tblSources[Source],0)),"?"))</f>
        <v/>
      </c>
      <c r="L1526" s="63">
        <f>IF(tblMovement[[#This Row],[Destination]]="","",IFERROR(INDEX(tblDestinations[Type],MATCH(tblMovement[[#This Row],[Destination]],tblDestinations[Destination],0)),"?"))</f>
        <v/>
      </c>
      <c r="M1526" s="64">
        <f>IF(tblMovement[[#This Row],[Material]]="","",IF(LEFT(tblMovement[[#This Row],[Material]],3)="Ore",1,0))</f>
        <v/>
      </c>
      <c r="N1526" s="59">
        <f>IF(OR(tblMovement[[#This Row],[Tonnes_t]]="",tblMovement[[#This Row],[Grade_gpt]]=""),0,tblMovement[[#This Row],[Tonnes_t]]*tblMovement[[#This Row],[Grade_gpt]]/cfg_TroyOz)</f>
        <v/>
      </c>
      <c r="O1526" s="59">
        <f>IF(tblMovement[[#This Row],[Is_Ore]]=1,tblMovement[[#This Row],[Contained_oz]],0)</f>
        <v/>
      </c>
    </row>
    <row r="1527">
      <c r="A1527" s="54" t="n"/>
      <c r="B1527" s="61" t="n"/>
      <c r="C1527" s="61" t="n"/>
      <c r="D1527" s="61" t="n"/>
      <c r="E1527" s="61" t="n"/>
      <c r="F1527" s="55" t="n"/>
      <c r="G1527" s="56" t="n"/>
      <c r="H1527" s="55" t="n"/>
      <c r="I1527" s="62" t="n"/>
      <c r="J1527" s="58" t="n"/>
      <c r="K1527" s="63">
        <f>IF(tblMovement[[#This Row],[Source]]="","",IFERROR(INDEX(tblSources[Type],MATCH(tblMovement[[#This Row],[Source]],tblSources[Source],0)),"?"))</f>
        <v/>
      </c>
      <c r="L1527" s="63">
        <f>IF(tblMovement[[#This Row],[Destination]]="","",IFERROR(INDEX(tblDestinations[Type],MATCH(tblMovement[[#This Row],[Destination]],tblDestinations[Destination],0)),"?"))</f>
        <v/>
      </c>
      <c r="M1527" s="64">
        <f>IF(tblMovement[[#This Row],[Material]]="","",IF(LEFT(tblMovement[[#This Row],[Material]],3)="Ore",1,0))</f>
        <v/>
      </c>
      <c r="N1527" s="59">
        <f>IF(OR(tblMovement[[#This Row],[Tonnes_t]]="",tblMovement[[#This Row],[Grade_gpt]]=""),0,tblMovement[[#This Row],[Tonnes_t]]*tblMovement[[#This Row],[Grade_gpt]]/cfg_TroyOz)</f>
        <v/>
      </c>
      <c r="O1527" s="59">
        <f>IF(tblMovement[[#This Row],[Is_Ore]]=1,tblMovement[[#This Row],[Contained_oz]],0)</f>
        <v/>
      </c>
    </row>
    <row r="1528">
      <c r="A1528" s="54" t="n"/>
      <c r="B1528" s="61" t="n"/>
      <c r="C1528" s="61" t="n"/>
      <c r="D1528" s="61" t="n"/>
      <c r="E1528" s="61" t="n"/>
      <c r="F1528" s="55" t="n"/>
      <c r="G1528" s="56" t="n"/>
      <c r="H1528" s="55" t="n"/>
      <c r="I1528" s="62" t="n"/>
      <c r="J1528" s="58" t="n"/>
      <c r="K1528" s="63">
        <f>IF(tblMovement[[#This Row],[Source]]="","",IFERROR(INDEX(tblSources[Type],MATCH(tblMovement[[#This Row],[Source]],tblSources[Source],0)),"?"))</f>
        <v/>
      </c>
      <c r="L1528" s="63">
        <f>IF(tblMovement[[#This Row],[Destination]]="","",IFERROR(INDEX(tblDestinations[Type],MATCH(tblMovement[[#This Row],[Destination]],tblDestinations[Destination],0)),"?"))</f>
        <v/>
      </c>
      <c r="M1528" s="64">
        <f>IF(tblMovement[[#This Row],[Material]]="","",IF(LEFT(tblMovement[[#This Row],[Material]],3)="Ore",1,0))</f>
        <v/>
      </c>
      <c r="N1528" s="59">
        <f>IF(OR(tblMovement[[#This Row],[Tonnes_t]]="",tblMovement[[#This Row],[Grade_gpt]]=""),0,tblMovement[[#This Row],[Tonnes_t]]*tblMovement[[#This Row],[Grade_gpt]]/cfg_TroyOz)</f>
        <v/>
      </c>
      <c r="O1528" s="59">
        <f>IF(tblMovement[[#This Row],[Is_Ore]]=1,tblMovement[[#This Row],[Contained_oz]],0)</f>
        <v/>
      </c>
    </row>
    <row r="1529">
      <c r="A1529" s="54" t="n"/>
      <c r="B1529" s="61" t="n"/>
      <c r="C1529" s="61" t="n"/>
      <c r="D1529" s="61" t="n"/>
      <c r="E1529" s="61" t="n"/>
      <c r="F1529" s="55" t="n"/>
      <c r="G1529" s="56" t="n"/>
      <c r="H1529" s="55" t="n"/>
      <c r="I1529" s="62" t="n"/>
      <c r="J1529" s="58" t="n"/>
      <c r="K1529" s="63">
        <f>IF(tblMovement[[#This Row],[Source]]="","",IFERROR(INDEX(tblSources[Type],MATCH(tblMovement[[#This Row],[Source]],tblSources[Source],0)),"?"))</f>
        <v/>
      </c>
      <c r="L1529" s="63">
        <f>IF(tblMovement[[#This Row],[Destination]]="","",IFERROR(INDEX(tblDestinations[Type],MATCH(tblMovement[[#This Row],[Destination]],tblDestinations[Destination],0)),"?"))</f>
        <v/>
      </c>
      <c r="M1529" s="64">
        <f>IF(tblMovement[[#This Row],[Material]]="","",IF(LEFT(tblMovement[[#This Row],[Material]],3)="Ore",1,0))</f>
        <v/>
      </c>
      <c r="N1529" s="59">
        <f>IF(OR(tblMovement[[#This Row],[Tonnes_t]]="",tblMovement[[#This Row],[Grade_gpt]]=""),0,tblMovement[[#This Row],[Tonnes_t]]*tblMovement[[#This Row],[Grade_gpt]]/cfg_TroyOz)</f>
        <v/>
      </c>
      <c r="O1529" s="59">
        <f>IF(tblMovement[[#This Row],[Is_Ore]]=1,tblMovement[[#This Row],[Contained_oz]],0)</f>
        <v/>
      </c>
    </row>
    <row r="1530">
      <c r="A1530" s="54" t="n"/>
      <c r="B1530" s="61" t="n"/>
      <c r="C1530" s="61" t="n"/>
      <c r="D1530" s="61" t="n"/>
      <c r="E1530" s="61" t="n"/>
      <c r="F1530" s="55" t="n"/>
      <c r="G1530" s="56" t="n"/>
      <c r="H1530" s="55" t="n"/>
      <c r="I1530" s="62" t="n"/>
      <c r="J1530" s="58" t="n"/>
      <c r="K1530" s="63">
        <f>IF(tblMovement[[#This Row],[Source]]="","",IFERROR(INDEX(tblSources[Type],MATCH(tblMovement[[#This Row],[Source]],tblSources[Source],0)),"?"))</f>
        <v/>
      </c>
      <c r="L1530" s="63">
        <f>IF(tblMovement[[#This Row],[Destination]]="","",IFERROR(INDEX(tblDestinations[Type],MATCH(tblMovement[[#This Row],[Destination]],tblDestinations[Destination],0)),"?"))</f>
        <v/>
      </c>
      <c r="M1530" s="64">
        <f>IF(tblMovement[[#This Row],[Material]]="","",IF(LEFT(tblMovement[[#This Row],[Material]],3)="Ore",1,0))</f>
        <v/>
      </c>
      <c r="N1530" s="59">
        <f>IF(OR(tblMovement[[#This Row],[Tonnes_t]]="",tblMovement[[#This Row],[Grade_gpt]]=""),0,tblMovement[[#This Row],[Tonnes_t]]*tblMovement[[#This Row],[Grade_gpt]]/cfg_TroyOz)</f>
        <v/>
      </c>
      <c r="O1530" s="59">
        <f>IF(tblMovement[[#This Row],[Is_Ore]]=1,tblMovement[[#This Row],[Contained_oz]],0)</f>
        <v/>
      </c>
    </row>
    <row r="1531">
      <c r="A1531" s="54" t="n"/>
      <c r="B1531" s="61" t="n"/>
      <c r="C1531" s="61" t="n"/>
      <c r="D1531" s="61" t="n"/>
      <c r="E1531" s="61" t="n"/>
      <c r="F1531" s="55" t="n"/>
      <c r="G1531" s="56" t="n"/>
      <c r="H1531" s="55" t="n"/>
      <c r="I1531" s="62" t="n"/>
      <c r="J1531" s="58" t="n"/>
      <c r="K1531" s="63">
        <f>IF(tblMovement[[#This Row],[Source]]="","",IFERROR(INDEX(tblSources[Type],MATCH(tblMovement[[#This Row],[Source]],tblSources[Source],0)),"?"))</f>
        <v/>
      </c>
      <c r="L1531" s="63">
        <f>IF(tblMovement[[#This Row],[Destination]]="","",IFERROR(INDEX(tblDestinations[Type],MATCH(tblMovement[[#This Row],[Destination]],tblDestinations[Destination],0)),"?"))</f>
        <v/>
      </c>
      <c r="M1531" s="64">
        <f>IF(tblMovement[[#This Row],[Material]]="","",IF(LEFT(tblMovement[[#This Row],[Material]],3)="Ore",1,0))</f>
        <v/>
      </c>
      <c r="N1531" s="59">
        <f>IF(OR(tblMovement[[#This Row],[Tonnes_t]]="",tblMovement[[#This Row],[Grade_gpt]]=""),0,tblMovement[[#This Row],[Tonnes_t]]*tblMovement[[#This Row],[Grade_gpt]]/cfg_TroyOz)</f>
        <v/>
      </c>
      <c r="O1531" s="59">
        <f>IF(tblMovement[[#This Row],[Is_Ore]]=1,tblMovement[[#This Row],[Contained_oz]],0)</f>
        <v/>
      </c>
    </row>
    <row r="1532">
      <c r="A1532" s="54" t="n"/>
      <c r="B1532" s="61" t="n"/>
      <c r="C1532" s="61" t="n"/>
      <c r="D1532" s="61" t="n"/>
      <c r="E1532" s="61" t="n"/>
      <c r="F1532" s="55" t="n"/>
      <c r="G1532" s="56" t="n"/>
      <c r="H1532" s="55" t="n"/>
      <c r="I1532" s="62" t="n"/>
      <c r="J1532" s="58" t="n"/>
      <c r="K1532" s="63">
        <f>IF(tblMovement[[#This Row],[Source]]="","",IFERROR(INDEX(tblSources[Type],MATCH(tblMovement[[#This Row],[Source]],tblSources[Source],0)),"?"))</f>
        <v/>
      </c>
      <c r="L1532" s="63">
        <f>IF(tblMovement[[#This Row],[Destination]]="","",IFERROR(INDEX(tblDestinations[Type],MATCH(tblMovement[[#This Row],[Destination]],tblDestinations[Destination],0)),"?"))</f>
        <v/>
      </c>
      <c r="M1532" s="64">
        <f>IF(tblMovement[[#This Row],[Material]]="","",IF(LEFT(tblMovement[[#This Row],[Material]],3)="Ore",1,0))</f>
        <v/>
      </c>
      <c r="N1532" s="59">
        <f>IF(OR(tblMovement[[#This Row],[Tonnes_t]]="",tblMovement[[#This Row],[Grade_gpt]]=""),0,tblMovement[[#This Row],[Tonnes_t]]*tblMovement[[#This Row],[Grade_gpt]]/cfg_TroyOz)</f>
        <v/>
      </c>
      <c r="O1532" s="59">
        <f>IF(tblMovement[[#This Row],[Is_Ore]]=1,tblMovement[[#This Row],[Contained_oz]],0)</f>
        <v/>
      </c>
    </row>
    <row r="1533">
      <c r="A1533" s="54" t="n"/>
      <c r="B1533" s="61" t="n"/>
      <c r="C1533" s="61" t="n"/>
      <c r="D1533" s="61" t="n"/>
      <c r="E1533" s="61" t="n"/>
      <c r="F1533" s="55" t="n"/>
      <c r="G1533" s="56" t="n"/>
      <c r="H1533" s="55" t="n"/>
      <c r="I1533" s="62" t="n"/>
      <c r="J1533" s="58" t="n"/>
      <c r="K1533" s="63">
        <f>IF(tblMovement[[#This Row],[Source]]="","",IFERROR(INDEX(tblSources[Type],MATCH(tblMovement[[#This Row],[Source]],tblSources[Source],0)),"?"))</f>
        <v/>
      </c>
      <c r="L1533" s="63">
        <f>IF(tblMovement[[#This Row],[Destination]]="","",IFERROR(INDEX(tblDestinations[Type],MATCH(tblMovement[[#This Row],[Destination]],tblDestinations[Destination],0)),"?"))</f>
        <v/>
      </c>
      <c r="M1533" s="64">
        <f>IF(tblMovement[[#This Row],[Material]]="","",IF(LEFT(tblMovement[[#This Row],[Material]],3)="Ore",1,0))</f>
        <v/>
      </c>
      <c r="N1533" s="59">
        <f>IF(OR(tblMovement[[#This Row],[Tonnes_t]]="",tblMovement[[#This Row],[Grade_gpt]]=""),0,tblMovement[[#This Row],[Tonnes_t]]*tblMovement[[#This Row],[Grade_gpt]]/cfg_TroyOz)</f>
        <v/>
      </c>
      <c r="O1533" s="59">
        <f>IF(tblMovement[[#This Row],[Is_Ore]]=1,tblMovement[[#This Row],[Contained_oz]],0)</f>
        <v/>
      </c>
    </row>
    <row r="1534">
      <c r="A1534" s="54" t="n"/>
      <c r="B1534" s="61" t="n"/>
      <c r="C1534" s="61" t="n"/>
      <c r="D1534" s="61" t="n"/>
      <c r="E1534" s="61" t="n"/>
      <c r="F1534" s="55" t="n"/>
      <c r="G1534" s="56" t="n"/>
      <c r="H1534" s="55" t="n"/>
      <c r="I1534" s="62" t="n"/>
      <c r="J1534" s="58" t="n"/>
      <c r="K1534" s="63">
        <f>IF(tblMovement[[#This Row],[Source]]="","",IFERROR(INDEX(tblSources[Type],MATCH(tblMovement[[#This Row],[Source]],tblSources[Source],0)),"?"))</f>
        <v/>
      </c>
      <c r="L1534" s="63">
        <f>IF(tblMovement[[#This Row],[Destination]]="","",IFERROR(INDEX(tblDestinations[Type],MATCH(tblMovement[[#This Row],[Destination]],tblDestinations[Destination],0)),"?"))</f>
        <v/>
      </c>
      <c r="M1534" s="64">
        <f>IF(tblMovement[[#This Row],[Material]]="","",IF(LEFT(tblMovement[[#This Row],[Material]],3)="Ore",1,0))</f>
        <v/>
      </c>
      <c r="N1534" s="59">
        <f>IF(OR(tblMovement[[#This Row],[Tonnes_t]]="",tblMovement[[#This Row],[Grade_gpt]]=""),0,tblMovement[[#This Row],[Tonnes_t]]*tblMovement[[#This Row],[Grade_gpt]]/cfg_TroyOz)</f>
        <v/>
      </c>
      <c r="O1534" s="59">
        <f>IF(tblMovement[[#This Row],[Is_Ore]]=1,tblMovement[[#This Row],[Contained_oz]],0)</f>
        <v/>
      </c>
    </row>
    <row r="1535">
      <c r="A1535" s="54" t="n"/>
      <c r="B1535" s="61" t="n"/>
      <c r="C1535" s="61" t="n"/>
      <c r="D1535" s="61" t="n"/>
      <c r="E1535" s="61" t="n"/>
      <c r="F1535" s="55" t="n"/>
      <c r="G1535" s="56" t="n"/>
      <c r="H1535" s="55" t="n"/>
      <c r="I1535" s="62" t="n"/>
      <c r="J1535" s="58" t="n"/>
      <c r="K1535" s="63">
        <f>IF(tblMovement[[#This Row],[Source]]="","",IFERROR(INDEX(tblSources[Type],MATCH(tblMovement[[#This Row],[Source]],tblSources[Source],0)),"?"))</f>
        <v/>
      </c>
      <c r="L1535" s="63">
        <f>IF(tblMovement[[#This Row],[Destination]]="","",IFERROR(INDEX(tblDestinations[Type],MATCH(tblMovement[[#This Row],[Destination]],tblDestinations[Destination],0)),"?"))</f>
        <v/>
      </c>
      <c r="M1535" s="64">
        <f>IF(tblMovement[[#This Row],[Material]]="","",IF(LEFT(tblMovement[[#This Row],[Material]],3)="Ore",1,0))</f>
        <v/>
      </c>
      <c r="N1535" s="59">
        <f>IF(OR(tblMovement[[#This Row],[Tonnes_t]]="",tblMovement[[#This Row],[Grade_gpt]]=""),0,tblMovement[[#This Row],[Tonnes_t]]*tblMovement[[#This Row],[Grade_gpt]]/cfg_TroyOz)</f>
        <v/>
      </c>
      <c r="O1535" s="59">
        <f>IF(tblMovement[[#This Row],[Is_Ore]]=1,tblMovement[[#This Row],[Contained_oz]],0)</f>
        <v/>
      </c>
    </row>
    <row r="1536">
      <c r="A1536" s="54" t="n"/>
      <c r="B1536" s="61" t="n"/>
      <c r="C1536" s="61" t="n"/>
      <c r="D1536" s="61" t="n"/>
      <c r="E1536" s="61" t="n"/>
      <c r="F1536" s="55" t="n"/>
      <c r="G1536" s="56" t="n"/>
      <c r="H1536" s="55" t="n"/>
      <c r="I1536" s="62" t="n"/>
      <c r="J1536" s="58" t="n"/>
      <c r="K1536" s="63">
        <f>IF(tblMovement[[#This Row],[Source]]="","",IFERROR(INDEX(tblSources[Type],MATCH(tblMovement[[#This Row],[Source]],tblSources[Source],0)),"?"))</f>
        <v/>
      </c>
      <c r="L1536" s="63">
        <f>IF(tblMovement[[#This Row],[Destination]]="","",IFERROR(INDEX(tblDestinations[Type],MATCH(tblMovement[[#This Row],[Destination]],tblDestinations[Destination],0)),"?"))</f>
        <v/>
      </c>
      <c r="M1536" s="64">
        <f>IF(tblMovement[[#This Row],[Material]]="","",IF(LEFT(tblMovement[[#This Row],[Material]],3)="Ore",1,0))</f>
        <v/>
      </c>
      <c r="N1536" s="59">
        <f>IF(OR(tblMovement[[#This Row],[Tonnes_t]]="",tblMovement[[#This Row],[Grade_gpt]]=""),0,tblMovement[[#This Row],[Tonnes_t]]*tblMovement[[#This Row],[Grade_gpt]]/cfg_TroyOz)</f>
        <v/>
      </c>
      <c r="O1536" s="59">
        <f>IF(tblMovement[[#This Row],[Is_Ore]]=1,tblMovement[[#This Row],[Contained_oz]],0)</f>
        <v/>
      </c>
    </row>
    <row r="1537">
      <c r="A1537" s="54" t="n"/>
      <c r="B1537" s="61" t="n"/>
      <c r="C1537" s="61" t="n"/>
      <c r="D1537" s="61" t="n"/>
      <c r="E1537" s="61" t="n"/>
      <c r="F1537" s="55" t="n"/>
      <c r="G1537" s="56" t="n"/>
      <c r="H1537" s="55" t="n"/>
      <c r="I1537" s="62" t="n"/>
      <c r="J1537" s="58" t="n"/>
      <c r="K1537" s="63">
        <f>IF(tblMovement[[#This Row],[Source]]="","",IFERROR(INDEX(tblSources[Type],MATCH(tblMovement[[#This Row],[Source]],tblSources[Source],0)),"?"))</f>
        <v/>
      </c>
      <c r="L1537" s="63">
        <f>IF(tblMovement[[#This Row],[Destination]]="","",IFERROR(INDEX(tblDestinations[Type],MATCH(tblMovement[[#This Row],[Destination]],tblDestinations[Destination],0)),"?"))</f>
        <v/>
      </c>
      <c r="M1537" s="64">
        <f>IF(tblMovement[[#This Row],[Material]]="","",IF(LEFT(tblMovement[[#This Row],[Material]],3)="Ore",1,0))</f>
        <v/>
      </c>
      <c r="N1537" s="59">
        <f>IF(OR(tblMovement[[#This Row],[Tonnes_t]]="",tblMovement[[#This Row],[Grade_gpt]]=""),0,tblMovement[[#This Row],[Tonnes_t]]*tblMovement[[#This Row],[Grade_gpt]]/cfg_TroyOz)</f>
        <v/>
      </c>
      <c r="O1537" s="59">
        <f>IF(tblMovement[[#This Row],[Is_Ore]]=1,tblMovement[[#This Row],[Contained_oz]],0)</f>
        <v/>
      </c>
    </row>
    <row r="1538">
      <c r="A1538" s="54" t="n"/>
      <c r="B1538" s="61" t="n"/>
      <c r="C1538" s="61" t="n"/>
      <c r="D1538" s="61" t="n"/>
      <c r="E1538" s="61" t="n"/>
      <c r="F1538" s="55" t="n"/>
      <c r="G1538" s="56" t="n"/>
      <c r="H1538" s="55" t="n"/>
      <c r="I1538" s="62" t="n"/>
      <c r="J1538" s="58" t="n"/>
      <c r="K1538" s="63">
        <f>IF(tblMovement[[#This Row],[Source]]="","",IFERROR(INDEX(tblSources[Type],MATCH(tblMovement[[#This Row],[Source]],tblSources[Source],0)),"?"))</f>
        <v/>
      </c>
      <c r="L1538" s="63">
        <f>IF(tblMovement[[#This Row],[Destination]]="","",IFERROR(INDEX(tblDestinations[Type],MATCH(tblMovement[[#This Row],[Destination]],tblDestinations[Destination],0)),"?"))</f>
        <v/>
      </c>
      <c r="M1538" s="64">
        <f>IF(tblMovement[[#This Row],[Material]]="","",IF(LEFT(tblMovement[[#This Row],[Material]],3)="Ore",1,0))</f>
        <v/>
      </c>
      <c r="N1538" s="59">
        <f>IF(OR(tblMovement[[#This Row],[Tonnes_t]]="",tblMovement[[#This Row],[Grade_gpt]]=""),0,tblMovement[[#This Row],[Tonnes_t]]*tblMovement[[#This Row],[Grade_gpt]]/cfg_TroyOz)</f>
        <v/>
      </c>
      <c r="O1538" s="59">
        <f>IF(tblMovement[[#This Row],[Is_Ore]]=1,tblMovement[[#This Row],[Contained_oz]],0)</f>
        <v/>
      </c>
    </row>
    <row r="1539">
      <c r="A1539" s="54" t="n"/>
      <c r="B1539" s="61" t="n"/>
      <c r="C1539" s="61" t="n"/>
      <c r="D1539" s="61" t="n"/>
      <c r="E1539" s="61" t="n"/>
      <c r="F1539" s="55" t="n"/>
      <c r="G1539" s="56" t="n"/>
      <c r="H1539" s="55" t="n"/>
      <c r="I1539" s="62" t="n"/>
      <c r="J1539" s="58" t="n"/>
      <c r="K1539" s="63">
        <f>IF(tblMovement[[#This Row],[Source]]="","",IFERROR(INDEX(tblSources[Type],MATCH(tblMovement[[#This Row],[Source]],tblSources[Source],0)),"?"))</f>
        <v/>
      </c>
      <c r="L1539" s="63">
        <f>IF(tblMovement[[#This Row],[Destination]]="","",IFERROR(INDEX(tblDestinations[Type],MATCH(tblMovement[[#This Row],[Destination]],tblDestinations[Destination],0)),"?"))</f>
        <v/>
      </c>
      <c r="M1539" s="64">
        <f>IF(tblMovement[[#This Row],[Material]]="","",IF(LEFT(tblMovement[[#This Row],[Material]],3)="Ore",1,0))</f>
        <v/>
      </c>
      <c r="N1539" s="59">
        <f>IF(OR(tblMovement[[#This Row],[Tonnes_t]]="",tblMovement[[#This Row],[Grade_gpt]]=""),0,tblMovement[[#This Row],[Tonnes_t]]*tblMovement[[#This Row],[Grade_gpt]]/cfg_TroyOz)</f>
        <v/>
      </c>
      <c r="O1539" s="59">
        <f>IF(tblMovement[[#This Row],[Is_Ore]]=1,tblMovement[[#This Row],[Contained_oz]],0)</f>
        <v/>
      </c>
    </row>
    <row r="1540">
      <c r="A1540" s="54" t="n"/>
      <c r="B1540" s="61" t="n"/>
      <c r="C1540" s="61" t="n"/>
      <c r="D1540" s="61" t="n"/>
      <c r="E1540" s="61" t="n"/>
      <c r="F1540" s="55" t="n"/>
      <c r="G1540" s="56" t="n"/>
      <c r="H1540" s="55" t="n"/>
      <c r="I1540" s="62" t="n"/>
      <c r="J1540" s="58" t="n"/>
      <c r="K1540" s="63">
        <f>IF(tblMovement[[#This Row],[Source]]="","",IFERROR(INDEX(tblSources[Type],MATCH(tblMovement[[#This Row],[Source]],tblSources[Source],0)),"?"))</f>
        <v/>
      </c>
      <c r="L1540" s="63">
        <f>IF(tblMovement[[#This Row],[Destination]]="","",IFERROR(INDEX(tblDestinations[Type],MATCH(tblMovement[[#This Row],[Destination]],tblDestinations[Destination],0)),"?"))</f>
        <v/>
      </c>
      <c r="M1540" s="64">
        <f>IF(tblMovement[[#This Row],[Material]]="","",IF(LEFT(tblMovement[[#This Row],[Material]],3)="Ore",1,0))</f>
        <v/>
      </c>
      <c r="N1540" s="59">
        <f>IF(OR(tblMovement[[#This Row],[Tonnes_t]]="",tblMovement[[#This Row],[Grade_gpt]]=""),0,tblMovement[[#This Row],[Tonnes_t]]*tblMovement[[#This Row],[Grade_gpt]]/cfg_TroyOz)</f>
        <v/>
      </c>
      <c r="O1540" s="59">
        <f>IF(tblMovement[[#This Row],[Is_Ore]]=1,tblMovement[[#This Row],[Contained_oz]],0)</f>
        <v/>
      </c>
    </row>
    <row r="1541">
      <c r="A1541" s="54" t="n"/>
      <c r="B1541" s="61" t="n"/>
      <c r="C1541" s="61" t="n"/>
      <c r="D1541" s="61" t="n"/>
      <c r="E1541" s="61" t="n"/>
      <c r="F1541" s="55" t="n"/>
      <c r="G1541" s="56" t="n"/>
      <c r="H1541" s="55" t="n"/>
      <c r="I1541" s="62" t="n"/>
      <c r="J1541" s="58" t="n"/>
      <c r="K1541" s="63">
        <f>IF(tblMovement[[#This Row],[Source]]="","",IFERROR(INDEX(tblSources[Type],MATCH(tblMovement[[#This Row],[Source]],tblSources[Source],0)),"?"))</f>
        <v/>
      </c>
      <c r="L1541" s="63">
        <f>IF(tblMovement[[#This Row],[Destination]]="","",IFERROR(INDEX(tblDestinations[Type],MATCH(tblMovement[[#This Row],[Destination]],tblDestinations[Destination],0)),"?"))</f>
        <v/>
      </c>
      <c r="M1541" s="64">
        <f>IF(tblMovement[[#This Row],[Material]]="","",IF(LEFT(tblMovement[[#This Row],[Material]],3)="Ore",1,0))</f>
        <v/>
      </c>
      <c r="N1541" s="59">
        <f>IF(OR(tblMovement[[#This Row],[Tonnes_t]]="",tblMovement[[#This Row],[Grade_gpt]]=""),0,tblMovement[[#This Row],[Tonnes_t]]*tblMovement[[#This Row],[Grade_gpt]]/cfg_TroyOz)</f>
        <v/>
      </c>
      <c r="O1541" s="59">
        <f>IF(tblMovement[[#This Row],[Is_Ore]]=1,tblMovement[[#This Row],[Contained_oz]],0)</f>
        <v/>
      </c>
    </row>
    <row r="1542">
      <c r="A1542" s="54" t="n"/>
      <c r="B1542" s="61" t="n"/>
      <c r="C1542" s="61" t="n"/>
      <c r="D1542" s="61" t="n"/>
      <c r="E1542" s="61" t="n"/>
      <c r="F1542" s="55" t="n"/>
      <c r="G1542" s="56" t="n"/>
      <c r="H1542" s="55" t="n"/>
      <c r="I1542" s="62" t="n"/>
      <c r="J1542" s="58" t="n"/>
      <c r="K1542" s="63">
        <f>IF(tblMovement[[#This Row],[Source]]="","",IFERROR(INDEX(tblSources[Type],MATCH(tblMovement[[#This Row],[Source]],tblSources[Source],0)),"?"))</f>
        <v/>
      </c>
      <c r="L1542" s="63">
        <f>IF(tblMovement[[#This Row],[Destination]]="","",IFERROR(INDEX(tblDestinations[Type],MATCH(tblMovement[[#This Row],[Destination]],tblDestinations[Destination],0)),"?"))</f>
        <v/>
      </c>
      <c r="M1542" s="64">
        <f>IF(tblMovement[[#This Row],[Material]]="","",IF(LEFT(tblMovement[[#This Row],[Material]],3)="Ore",1,0))</f>
        <v/>
      </c>
      <c r="N1542" s="59">
        <f>IF(OR(tblMovement[[#This Row],[Tonnes_t]]="",tblMovement[[#This Row],[Grade_gpt]]=""),0,tblMovement[[#This Row],[Tonnes_t]]*tblMovement[[#This Row],[Grade_gpt]]/cfg_TroyOz)</f>
        <v/>
      </c>
      <c r="O1542" s="59">
        <f>IF(tblMovement[[#This Row],[Is_Ore]]=1,tblMovement[[#This Row],[Contained_oz]],0)</f>
        <v/>
      </c>
    </row>
    <row r="1543">
      <c r="A1543" s="54" t="n"/>
      <c r="B1543" s="61" t="n"/>
      <c r="C1543" s="61" t="n"/>
      <c r="D1543" s="61" t="n"/>
      <c r="E1543" s="61" t="n"/>
      <c r="F1543" s="55" t="n"/>
      <c r="G1543" s="56" t="n"/>
      <c r="H1543" s="55" t="n"/>
      <c r="I1543" s="62" t="n"/>
      <c r="J1543" s="58" t="n"/>
      <c r="K1543" s="63">
        <f>IF(tblMovement[[#This Row],[Source]]="","",IFERROR(INDEX(tblSources[Type],MATCH(tblMovement[[#This Row],[Source]],tblSources[Source],0)),"?"))</f>
        <v/>
      </c>
      <c r="L1543" s="63">
        <f>IF(tblMovement[[#This Row],[Destination]]="","",IFERROR(INDEX(tblDestinations[Type],MATCH(tblMovement[[#This Row],[Destination]],tblDestinations[Destination],0)),"?"))</f>
        <v/>
      </c>
      <c r="M1543" s="64">
        <f>IF(tblMovement[[#This Row],[Material]]="","",IF(LEFT(tblMovement[[#This Row],[Material]],3)="Ore",1,0))</f>
        <v/>
      </c>
      <c r="N1543" s="59">
        <f>IF(OR(tblMovement[[#This Row],[Tonnes_t]]="",tblMovement[[#This Row],[Grade_gpt]]=""),0,tblMovement[[#This Row],[Tonnes_t]]*tblMovement[[#This Row],[Grade_gpt]]/cfg_TroyOz)</f>
        <v/>
      </c>
      <c r="O1543" s="59">
        <f>IF(tblMovement[[#This Row],[Is_Ore]]=1,tblMovement[[#This Row],[Contained_oz]],0)</f>
        <v/>
      </c>
    </row>
    <row r="1544">
      <c r="A1544" s="54" t="n"/>
      <c r="B1544" s="61" t="n"/>
      <c r="C1544" s="61" t="n"/>
      <c r="D1544" s="61" t="n"/>
      <c r="E1544" s="61" t="n"/>
      <c r="F1544" s="55" t="n"/>
      <c r="G1544" s="56" t="n"/>
      <c r="H1544" s="55" t="n"/>
      <c r="I1544" s="62" t="n"/>
      <c r="J1544" s="58" t="n"/>
      <c r="K1544" s="63">
        <f>IF(tblMovement[[#This Row],[Source]]="","",IFERROR(INDEX(tblSources[Type],MATCH(tblMovement[[#This Row],[Source]],tblSources[Source],0)),"?"))</f>
        <v/>
      </c>
      <c r="L1544" s="63">
        <f>IF(tblMovement[[#This Row],[Destination]]="","",IFERROR(INDEX(tblDestinations[Type],MATCH(tblMovement[[#This Row],[Destination]],tblDestinations[Destination],0)),"?"))</f>
        <v/>
      </c>
      <c r="M1544" s="64">
        <f>IF(tblMovement[[#This Row],[Material]]="","",IF(LEFT(tblMovement[[#This Row],[Material]],3)="Ore",1,0))</f>
        <v/>
      </c>
      <c r="N1544" s="59">
        <f>IF(OR(tblMovement[[#This Row],[Tonnes_t]]="",tblMovement[[#This Row],[Grade_gpt]]=""),0,tblMovement[[#This Row],[Tonnes_t]]*tblMovement[[#This Row],[Grade_gpt]]/cfg_TroyOz)</f>
        <v/>
      </c>
      <c r="O1544" s="59">
        <f>IF(tblMovement[[#This Row],[Is_Ore]]=1,tblMovement[[#This Row],[Contained_oz]],0)</f>
        <v/>
      </c>
    </row>
    <row r="1545">
      <c r="A1545" s="54" t="n"/>
      <c r="B1545" s="61" t="n"/>
      <c r="C1545" s="61" t="n"/>
      <c r="D1545" s="61" t="n"/>
      <c r="E1545" s="61" t="n"/>
      <c r="F1545" s="55" t="n"/>
      <c r="G1545" s="56" t="n"/>
      <c r="H1545" s="55" t="n"/>
      <c r="I1545" s="62" t="n"/>
      <c r="J1545" s="58" t="n"/>
      <c r="K1545" s="63">
        <f>IF(tblMovement[[#This Row],[Source]]="","",IFERROR(INDEX(tblSources[Type],MATCH(tblMovement[[#This Row],[Source]],tblSources[Source],0)),"?"))</f>
        <v/>
      </c>
      <c r="L1545" s="63">
        <f>IF(tblMovement[[#This Row],[Destination]]="","",IFERROR(INDEX(tblDestinations[Type],MATCH(tblMovement[[#This Row],[Destination]],tblDestinations[Destination],0)),"?"))</f>
        <v/>
      </c>
      <c r="M1545" s="64">
        <f>IF(tblMovement[[#This Row],[Material]]="","",IF(LEFT(tblMovement[[#This Row],[Material]],3)="Ore",1,0))</f>
        <v/>
      </c>
      <c r="N1545" s="59">
        <f>IF(OR(tblMovement[[#This Row],[Tonnes_t]]="",tblMovement[[#This Row],[Grade_gpt]]=""),0,tblMovement[[#This Row],[Tonnes_t]]*tblMovement[[#This Row],[Grade_gpt]]/cfg_TroyOz)</f>
        <v/>
      </c>
      <c r="O1545" s="59">
        <f>IF(tblMovement[[#This Row],[Is_Ore]]=1,tblMovement[[#This Row],[Contained_oz]],0)</f>
        <v/>
      </c>
    </row>
    <row r="1546">
      <c r="A1546" s="54" t="n"/>
      <c r="B1546" s="61" t="n"/>
      <c r="C1546" s="61" t="n"/>
      <c r="D1546" s="61" t="n"/>
      <c r="E1546" s="61" t="n"/>
      <c r="F1546" s="55" t="n"/>
      <c r="G1546" s="56" t="n"/>
      <c r="H1546" s="55" t="n"/>
      <c r="I1546" s="62" t="n"/>
      <c r="J1546" s="58" t="n"/>
      <c r="K1546" s="63">
        <f>IF(tblMovement[[#This Row],[Source]]="","",IFERROR(INDEX(tblSources[Type],MATCH(tblMovement[[#This Row],[Source]],tblSources[Source],0)),"?"))</f>
        <v/>
      </c>
      <c r="L1546" s="63">
        <f>IF(tblMovement[[#This Row],[Destination]]="","",IFERROR(INDEX(tblDestinations[Type],MATCH(tblMovement[[#This Row],[Destination]],tblDestinations[Destination],0)),"?"))</f>
        <v/>
      </c>
      <c r="M1546" s="64">
        <f>IF(tblMovement[[#This Row],[Material]]="","",IF(LEFT(tblMovement[[#This Row],[Material]],3)="Ore",1,0))</f>
        <v/>
      </c>
      <c r="N1546" s="59">
        <f>IF(OR(tblMovement[[#This Row],[Tonnes_t]]="",tblMovement[[#This Row],[Grade_gpt]]=""),0,tblMovement[[#This Row],[Tonnes_t]]*tblMovement[[#This Row],[Grade_gpt]]/cfg_TroyOz)</f>
        <v/>
      </c>
      <c r="O1546" s="59">
        <f>IF(tblMovement[[#This Row],[Is_Ore]]=1,tblMovement[[#This Row],[Contained_oz]],0)</f>
        <v/>
      </c>
    </row>
    <row r="1547">
      <c r="A1547" s="54" t="n"/>
      <c r="B1547" s="61" t="n"/>
      <c r="C1547" s="61" t="n"/>
      <c r="D1547" s="61" t="n"/>
      <c r="E1547" s="61" t="n"/>
      <c r="F1547" s="55" t="n"/>
      <c r="G1547" s="56" t="n"/>
      <c r="H1547" s="55" t="n"/>
      <c r="I1547" s="62" t="n"/>
      <c r="J1547" s="58" t="n"/>
      <c r="K1547" s="63">
        <f>IF(tblMovement[[#This Row],[Source]]="","",IFERROR(INDEX(tblSources[Type],MATCH(tblMovement[[#This Row],[Source]],tblSources[Source],0)),"?"))</f>
        <v/>
      </c>
      <c r="L1547" s="63">
        <f>IF(tblMovement[[#This Row],[Destination]]="","",IFERROR(INDEX(tblDestinations[Type],MATCH(tblMovement[[#This Row],[Destination]],tblDestinations[Destination],0)),"?"))</f>
        <v/>
      </c>
      <c r="M1547" s="64">
        <f>IF(tblMovement[[#This Row],[Material]]="","",IF(LEFT(tblMovement[[#This Row],[Material]],3)="Ore",1,0))</f>
        <v/>
      </c>
      <c r="N1547" s="59">
        <f>IF(OR(tblMovement[[#This Row],[Tonnes_t]]="",tblMovement[[#This Row],[Grade_gpt]]=""),0,tblMovement[[#This Row],[Tonnes_t]]*tblMovement[[#This Row],[Grade_gpt]]/cfg_TroyOz)</f>
        <v/>
      </c>
      <c r="O1547" s="59">
        <f>IF(tblMovement[[#This Row],[Is_Ore]]=1,tblMovement[[#This Row],[Contained_oz]],0)</f>
        <v/>
      </c>
    </row>
    <row r="1548">
      <c r="A1548" s="54" t="n"/>
      <c r="B1548" s="61" t="n"/>
      <c r="C1548" s="61" t="n"/>
      <c r="D1548" s="61" t="n"/>
      <c r="E1548" s="61" t="n"/>
      <c r="F1548" s="55" t="n"/>
      <c r="G1548" s="56" t="n"/>
      <c r="H1548" s="55" t="n"/>
      <c r="I1548" s="62" t="n"/>
      <c r="J1548" s="58" t="n"/>
      <c r="K1548" s="63">
        <f>IF(tblMovement[[#This Row],[Source]]="","",IFERROR(INDEX(tblSources[Type],MATCH(tblMovement[[#This Row],[Source]],tblSources[Source],0)),"?"))</f>
        <v/>
      </c>
      <c r="L1548" s="63">
        <f>IF(tblMovement[[#This Row],[Destination]]="","",IFERROR(INDEX(tblDestinations[Type],MATCH(tblMovement[[#This Row],[Destination]],tblDestinations[Destination],0)),"?"))</f>
        <v/>
      </c>
      <c r="M1548" s="64">
        <f>IF(tblMovement[[#This Row],[Material]]="","",IF(LEFT(tblMovement[[#This Row],[Material]],3)="Ore",1,0))</f>
        <v/>
      </c>
      <c r="N1548" s="59">
        <f>IF(OR(tblMovement[[#This Row],[Tonnes_t]]="",tblMovement[[#This Row],[Grade_gpt]]=""),0,tblMovement[[#This Row],[Tonnes_t]]*tblMovement[[#This Row],[Grade_gpt]]/cfg_TroyOz)</f>
        <v/>
      </c>
      <c r="O1548" s="59">
        <f>IF(tblMovement[[#This Row],[Is_Ore]]=1,tblMovement[[#This Row],[Contained_oz]],0)</f>
        <v/>
      </c>
    </row>
    <row r="1549">
      <c r="A1549" s="54" t="n"/>
      <c r="B1549" s="61" t="n"/>
      <c r="C1549" s="61" t="n"/>
      <c r="D1549" s="61" t="n"/>
      <c r="E1549" s="61" t="n"/>
      <c r="F1549" s="55" t="n"/>
      <c r="G1549" s="56" t="n"/>
      <c r="H1549" s="55" t="n"/>
      <c r="I1549" s="62" t="n"/>
      <c r="J1549" s="58" t="n"/>
      <c r="K1549" s="63">
        <f>IF(tblMovement[[#This Row],[Source]]="","",IFERROR(INDEX(tblSources[Type],MATCH(tblMovement[[#This Row],[Source]],tblSources[Source],0)),"?"))</f>
        <v/>
      </c>
      <c r="L1549" s="63">
        <f>IF(tblMovement[[#This Row],[Destination]]="","",IFERROR(INDEX(tblDestinations[Type],MATCH(tblMovement[[#This Row],[Destination]],tblDestinations[Destination],0)),"?"))</f>
        <v/>
      </c>
      <c r="M1549" s="64">
        <f>IF(tblMovement[[#This Row],[Material]]="","",IF(LEFT(tblMovement[[#This Row],[Material]],3)="Ore",1,0))</f>
        <v/>
      </c>
      <c r="N1549" s="59">
        <f>IF(OR(tblMovement[[#This Row],[Tonnes_t]]="",tblMovement[[#This Row],[Grade_gpt]]=""),0,tblMovement[[#This Row],[Tonnes_t]]*tblMovement[[#This Row],[Grade_gpt]]/cfg_TroyOz)</f>
        <v/>
      </c>
      <c r="O1549" s="59">
        <f>IF(tblMovement[[#This Row],[Is_Ore]]=1,tblMovement[[#This Row],[Contained_oz]],0)</f>
        <v/>
      </c>
    </row>
    <row r="1550">
      <c r="A1550" s="54" t="n"/>
      <c r="B1550" s="61" t="n"/>
      <c r="C1550" s="61" t="n"/>
      <c r="D1550" s="61" t="n"/>
      <c r="E1550" s="61" t="n"/>
      <c r="F1550" s="55" t="n"/>
      <c r="G1550" s="56" t="n"/>
      <c r="H1550" s="55" t="n"/>
      <c r="I1550" s="62" t="n"/>
      <c r="J1550" s="58" t="n"/>
      <c r="K1550" s="63">
        <f>IF(tblMovement[[#This Row],[Source]]="","",IFERROR(INDEX(tblSources[Type],MATCH(tblMovement[[#This Row],[Source]],tblSources[Source],0)),"?"))</f>
        <v/>
      </c>
      <c r="L1550" s="63">
        <f>IF(tblMovement[[#This Row],[Destination]]="","",IFERROR(INDEX(tblDestinations[Type],MATCH(tblMovement[[#This Row],[Destination]],tblDestinations[Destination],0)),"?"))</f>
        <v/>
      </c>
      <c r="M1550" s="64">
        <f>IF(tblMovement[[#This Row],[Material]]="","",IF(LEFT(tblMovement[[#This Row],[Material]],3)="Ore",1,0))</f>
        <v/>
      </c>
      <c r="N1550" s="59">
        <f>IF(OR(tblMovement[[#This Row],[Tonnes_t]]="",tblMovement[[#This Row],[Grade_gpt]]=""),0,tblMovement[[#This Row],[Tonnes_t]]*tblMovement[[#This Row],[Grade_gpt]]/cfg_TroyOz)</f>
        <v/>
      </c>
      <c r="O1550" s="59">
        <f>IF(tblMovement[[#This Row],[Is_Ore]]=1,tblMovement[[#This Row],[Contained_oz]],0)</f>
        <v/>
      </c>
    </row>
    <row r="1551">
      <c r="A1551" s="54" t="n"/>
      <c r="B1551" s="61" t="n"/>
      <c r="C1551" s="61" t="n"/>
      <c r="D1551" s="61" t="n"/>
      <c r="E1551" s="61" t="n"/>
      <c r="F1551" s="55" t="n"/>
      <c r="G1551" s="56" t="n"/>
      <c r="H1551" s="55" t="n"/>
      <c r="I1551" s="62" t="n"/>
      <c r="J1551" s="58" t="n"/>
      <c r="K1551" s="63">
        <f>IF(tblMovement[[#This Row],[Source]]="","",IFERROR(INDEX(tblSources[Type],MATCH(tblMovement[[#This Row],[Source]],tblSources[Source],0)),"?"))</f>
        <v/>
      </c>
      <c r="L1551" s="63">
        <f>IF(tblMovement[[#This Row],[Destination]]="","",IFERROR(INDEX(tblDestinations[Type],MATCH(tblMovement[[#This Row],[Destination]],tblDestinations[Destination],0)),"?"))</f>
        <v/>
      </c>
      <c r="M1551" s="64">
        <f>IF(tblMovement[[#This Row],[Material]]="","",IF(LEFT(tblMovement[[#This Row],[Material]],3)="Ore",1,0))</f>
        <v/>
      </c>
      <c r="N1551" s="59">
        <f>IF(OR(tblMovement[[#This Row],[Tonnes_t]]="",tblMovement[[#This Row],[Grade_gpt]]=""),0,tblMovement[[#This Row],[Tonnes_t]]*tblMovement[[#This Row],[Grade_gpt]]/cfg_TroyOz)</f>
        <v/>
      </c>
      <c r="O1551" s="59">
        <f>IF(tblMovement[[#This Row],[Is_Ore]]=1,tblMovement[[#This Row],[Contained_oz]],0)</f>
        <v/>
      </c>
    </row>
    <row r="1552">
      <c r="A1552" s="54" t="n"/>
      <c r="B1552" s="61" t="n"/>
      <c r="C1552" s="61" t="n"/>
      <c r="D1552" s="61" t="n"/>
      <c r="E1552" s="61" t="n"/>
      <c r="F1552" s="55" t="n"/>
      <c r="G1552" s="56" t="n"/>
      <c r="H1552" s="55" t="n"/>
      <c r="I1552" s="62" t="n"/>
      <c r="J1552" s="58" t="n"/>
      <c r="K1552" s="63">
        <f>IF(tblMovement[[#This Row],[Source]]="","",IFERROR(INDEX(tblSources[Type],MATCH(tblMovement[[#This Row],[Source]],tblSources[Source],0)),"?"))</f>
        <v/>
      </c>
      <c r="L1552" s="63">
        <f>IF(tblMovement[[#This Row],[Destination]]="","",IFERROR(INDEX(tblDestinations[Type],MATCH(tblMovement[[#This Row],[Destination]],tblDestinations[Destination],0)),"?"))</f>
        <v/>
      </c>
      <c r="M1552" s="64">
        <f>IF(tblMovement[[#This Row],[Material]]="","",IF(LEFT(tblMovement[[#This Row],[Material]],3)="Ore",1,0))</f>
        <v/>
      </c>
      <c r="N1552" s="59">
        <f>IF(OR(tblMovement[[#This Row],[Tonnes_t]]="",tblMovement[[#This Row],[Grade_gpt]]=""),0,tblMovement[[#This Row],[Tonnes_t]]*tblMovement[[#This Row],[Grade_gpt]]/cfg_TroyOz)</f>
        <v/>
      </c>
      <c r="O1552" s="59">
        <f>IF(tblMovement[[#This Row],[Is_Ore]]=1,tblMovement[[#This Row],[Contained_oz]],0)</f>
        <v/>
      </c>
    </row>
    <row r="1553">
      <c r="A1553" s="54" t="n"/>
      <c r="B1553" s="61" t="n"/>
      <c r="C1553" s="61" t="n"/>
      <c r="D1553" s="61" t="n"/>
      <c r="E1553" s="61" t="n"/>
      <c r="F1553" s="55" t="n"/>
      <c r="G1553" s="56" t="n"/>
      <c r="H1553" s="55" t="n"/>
      <c r="I1553" s="62" t="n"/>
      <c r="J1553" s="58" t="n"/>
      <c r="K1553" s="63">
        <f>IF(tblMovement[[#This Row],[Source]]="","",IFERROR(INDEX(tblSources[Type],MATCH(tblMovement[[#This Row],[Source]],tblSources[Source],0)),"?"))</f>
        <v/>
      </c>
      <c r="L1553" s="63">
        <f>IF(tblMovement[[#This Row],[Destination]]="","",IFERROR(INDEX(tblDestinations[Type],MATCH(tblMovement[[#This Row],[Destination]],tblDestinations[Destination],0)),"?"))</f>
        <v/>
      </c>
      <c r="M1553" s="64">
        <f>IF(tblMovement[[#This Row],[Material]]="","",IF(LEFT(tblMovement[[#This Row],[Material]],3)="Ore",1,0))</f>
        <v/>
      </c>
      <c r="N1553" s="59">
        <f>IF(OR(tblMovement[[#This Row],[Tonnes_t]]="",tblMovement[[#This Row],[Grade_gpt]]=""),0,tblMovement[[#This Row],[Tonnes_t]]*tblMovement[[#This Row],[Grade_gpt]]/cfg_TroyOz)</f>
        <v/>
      </c>
      <c r="O1553" s="59">
        <f>IF(tblMovement[[#This Row],[Is_Ore]]=1,tblMovement[[#This Row],[Contained_oz]],0)</f>
        <v/>
      </c>
    </row>
    <row r="1554">
      <c r="A1554" s="54" t="n"/>
      <c r="B1554" s="61" t="n"/>
      <c r="C1554" s="61" t="n"/>
      <c r="D1554" s="61" t="n"/>
      <c r="E1554" s="61" t="n"/>
      <c r="F1554" s="55" t="n"/>
      <c r="G1554" s="56" t="n"/>
      <c r="H1554" s="55" t="n"/>
      <c r="I1554" s="62" t="n"/>
      <c r="J1554" s="58" t="n"/>
      <c r="K1554" s="63">
        <f>IF(tblMovement[[#This Row],[Source]]="","",IFERROR(INDEX(tblSources[Type],MATCH(tblMovement[[#This Row],[Source]],tblSources[Source],0)),"?"))</f>
        <v/>
      </c>
      <c r="L1554" s="63">
        <f>IF(tblMovement[[#This Row],[Destination]]="","",IFERROR(INDEX(tblDestinations[Type],MATCH(tblMovement[[#This Row],[Destination]],tblDestinations[Destination],0)),"?"))</f>
        <v/>
      </c>
      <c r="M1554" s="64">
        <f>IF(tblMovement[[#This Row],[Material]]="","",IF(LEFT(tblMovement[[#This Row],[Material]],3)="Ore",1,0))</f>
        <v/>
      </c>
      <c r="N1554" s="59">
        <f>IF(OR(tblMovement[[#This Row],[Tonnes_t]]="",tblMovement[[#This Row],[Grade_gpt]]=""),0,tblMovement[[#This Row],[Tonnes_t]]*tblMovement[[#This Row],[Grade_gpt]]/cfg_TroyOz)</f>
        <v/>
      </c>
      <c r="O1554" s="59">
        <f>IF(tblMovement[[#This Row],[Is_Ore]]=1,tblMovement[[#This Row],[Contained_oz]],0)</f>
        <v/>
      </c>
    </row>
    <row r="1555">
      <c r="A1555" s="54" t="n"/>
      <c r="B1555" s="61" t="n"/>
      <c r="C1555" s="61" t="n"/>
      <c r="D1555" s="61" t="n"/>
      <c r="E1555" s="61" t="n"/>
      <c r="F1555" s="55" t="n"/>
      <c r="G1555" s="56" t="n"/>
      <c r="H1555" s="55" t="n"/>
      <c r="I1555" s="62" t="n"/>
      <c r="J1555" s="58" t="n"/>
      <c r="K1555" s="63">
        <f>IF(tblMovement[[#This Row],[Source]]="","",IFERROR(INDEX(tblSources[Type],MATCH(tblMovement[[#This Row],[Source]],tblSources[Source],0)),"?"))</f>
        <v/>
      </c>
      <c r="L1555" s="63">
        <f>IF(tblMovement[[#This Row],[Destination]]="","",IFERROR(INDEX(tblDestinations[Type],MATCH(tblMovement[[#This Row],[Destination]],tblDestinations[Destination],0)),"?"))</f>
        <v/>
      </c>
      <c r="M1555" s="64">
        <f>IF(tblMovement[[#This Row],[Material]]="","",IF(LEFT(tblMovement[[#This Row],[Material]],3)="Ore",1,0))</f>
        <v/>
      </c>
      <c r="N1555" s="59">
        <f>IF(OR(tblMovement[[#This Row],[Tonnes_t]]="",tblMovement[[#This Row],[Grade_gpt]]=""),0,tblMovement[[#This Row],[Tonnes_t]]*tblMovement[[#This Row],[Grade_gpt]]/cfg_TroyOz)</f>
        <v/>
      </c>
      <c r="O1555" s="59">
        <f>IF(tblMovement[[#This Row],[Is_Ore]]=1,tblMovement[[#This Row],[Contained_oz]],0)</f>
        <v/>
      </c>
    </row>
    <row r="1556">
      <c r="A1556" s="54" t="n"/>
      <c r="B1556" s="61" t="n"/>
      <c r="C1556" s="61" t="n"/>
      <c r="D1556" s="61" t="n"/>
      <c r="E1556" s="61" t="n"/>
      <c r="F1556" s="55" t="n"/>
      <c r="G1556" s="56" t="n"/>
      <c r="H1556" s="55" t="n"/>
      <c r="I1556" s="62" t="n"/>
      <c r="J1556" s="58" t="n"/>
      <c r="K1556" s="63">
        <f>IF(tblMovement[[#This Row],[Source]]="","",IFERROR(INDEX(tblSources[Type],MATCH(tblMovement[[#This Row],[Source]],tblSources[Source],0)),"?"))</f>
        <v/>
      </c>
      <c r="L1556" s="63">
        <f>IF(tblMovement[[#This Row],[Destination]]="","",IFERROR(INDEX(tblDestinations[Type],MATCH(tblMovement[[#This Row],[Destination]],tblDestinations[Destination],0)),"?"))</f>
        <v/>
      </c>
      <c r="M1556" s="64">
        <f>IF(tblMovement[[#This Row],[Material]]="","",IF(LEFT(tblMovement[[#This Row],[Material]],3)="Ore",1,0))</f>
        <v/>
      </c>
      <c r="N1556" s="59">
        <f>IF(OR(tblMovement[[#This Row],[Tonnes_t]]="",tblMovement[[#This Row],[Grade_gpt]]=""),0,tblMovement[[#This Row],[Tonnes_t]]*tblMovement[[#This Row],[Grade_gpt]]/cfg_TroyOz)</f>
        <v/>
      </c>
      <c r="O1556" s="59">
        <f>IF(tblMovement[[#This Row],[Is_Ore]]=1,tblMovement[[#This Row],[Contained_oz]],0)</f>
        <v/>
      </c>
    </row>
    <row r="1557">
      <c r="A1557" s="54" t="n"/>
      <c r="B1557" s="61" t="n"/>
      <c r="C1557" s="61" t="n"/>
      <c r="D1557" s="61" t="n"/>
      <c r="E1557" s="61" t="n"/>
      <c r="F1557" s="55" t="n"/>
      <c r="G1557" s="56" t="n"/>
      <c r="H1557" s="55" t="n"/>
      <c r="I1557" s="62" t="n"/>
      <c r="J1557" s="58" t="n"/>
      <c r="K1557" s="63">
        <f>IF(tblMovement[[#This Row],[Source]]="","",IFERROR(INDEX(tblSources[Type],MATCH(tblMovement[[#This Row],[Source]],tblSources[Source],0)),"?"))</f>
        <v/>
      </c>
      <c r="L1557" s="63">
        <f>IF(tblMovement[[#This Row],[Destination]]="","",IFERROR(INDEX(tblDestinations[Type],MATCH(tblMovement[[#This Row],[Destination]],tblDestinations[Destination],0)),"?"))</f>
        <v/>
      </c>
      <c r="M1557" s="64">
        <f>IF(tblMovement[[#This Row],[Material]]="","",IF(LEFT(tblMovement[[#This Row],[Material]],3)="Ore",1,0))</f>
        <v/>
      </c>
      <c r="N1557" s="59">
        <f>IF(OR(tblMovement[[#This Row],[Tonnes_t]]="",tblMovement[[#This Row],[Grade_gpt]]=""),0,tblMovement[[#This Row],[Tonnes_t]]*tblMovement[[#This Row],[Grade_gpt]]/cfg_TroyOz)</f>
        <v/>
      </c>
      <c r="O1557" s="59">
        <f>IF(tblMovement[[#This Row],[Is_Ore]]=1,tblMovement[[#This Row],[Contained_oz]],0)</f>
        <v/>
      </c>
    </row>
    <row r="1558">
      <c r="A1558" s="54" t="n"/>
      <c r="B1558" s="61" t="n"/>
      <c r="C1558" s="61" t="n"/>
      <c r="D1558" s="61" t="n"/>
      <c r="E1558" s="61" t="n"/>
      <c r="F1558" s="55" t="n"/>
      <c r="G1558" s="56" t="n"/>
      <c r="H1558" s="55" t="n"/>
      <c r="I1558" s="62" t="n"/>
      <c r="J1558" s="58" t="n"/>
      <c r="K1558" s="63">
        <f>IF(tblMovement[[#This Row],[Source]]="","",IFERROR(INDEX(tblSources[Type],MATCH(tblMovement[[#This Row],[Source]],tblSources[Source],0)),"?"))</f>
        <v/>
      </c>
      <c r="L1558" s="63">
        <f>IF(tblMovement[[#This Row],[Destination]]="","",IFERROR(INDEX(tblDestinations[Type],MATCH(tblMovement[[#This Row],[Destination]],tblDestinations[Destination],0)),"?"))</f>
        <v/>
      </c>
      <c r="M1558" s="64">
        <f>IF(tblMovement[[#This Row],[Material]]="","",IF(LEFT(tblMovement[[#This Row],[Material]],3)="Ore",1,0))</f>
        <v/>
      </c>
      <c r="N1558" s="59">
        <f>IF(OR(tblMovement[[#This Row],[Tonnes_t]]="",tblMovement[[#This Row],[Grade_gpt]]=""),0,tblMovement[[#This Row],[Tonnes_t]]*tblMovement[[#This Row],[Grade_gpt]]/cfg_TroyOz)</f>
        <v/>
      </c>
      <c r="O1558" s="59">
        <f>IF(tblMovement[[#This Row],[Is_Ore]]=1,tblMovement[[#This Row],[Contained_oz]],0)</f>
        <v/>
      </c>
    </row>
    <row r="1559">
      <c r="A1559" s="54" t="n"/>
      <c r="B1559" s="61" t="n"/>
      <c r="C1559" s="61" t="n"/>
      <c r="D1559" s="61" t="n"/>
      <c r="E1559" s="61" t="n"/>
      <c r="F1559" s="55" t="n"/>
      <c r="G1559" s="56" t="n"/>
      <c r="H1559" s="55" t="n"/>
      <c r="I1559" s="62" t="n"/>
      <c r="J1559" s="58" t="n"/>
      <c r="K1559" s="63">
        <f>IF(tblMovement[[#This Row],[Source]]="","",IFERROR(INDEX(tblSources[Type],MATCH(tblMovement[[#This Row],[Source]],tblSources[Source],0)),"?"))</f>
        <v/>
      </c>
      <c r="L1559" s="63">
        <f>IF(tblMovement[[#This Row],[Destination]]="","",IFERROR(INDEX(tblDestinations[Type],MATCH(tblMovement[[#This Row],[Destination]],tblDestinations[Destination],0)),"?"))</f>
        <v/>
      </c>
      <c r="M1559" s="64">
        <f>IF(tblMovement[[#This Row],[Material]]="","",IF(LEFT(tblMovement[[#This Row],[Material]],3)="Ore",1,0))</f>
        <v/>
      </c>
      <c r="N1559" s="59">
        <f>IF(OR(tblMovement[[#This Row],[Tonnes_t]]="",tblMovement[[#This Row],[Grade_gpt]]=""),0,tblMovement[[#This Row],[Tonnes_t]]*tblMovement[[#This Row],[Grade_gpt]]/cfg_TroyOz)</f>
        <v/>
      </c>
      <c r="O1559" s="59">
        <f>IF(tblMovement[[#This Row],[Is_Ore]]=1,tblMovement[[#This Row],[Contained_oz]],0)</f>
        <v/>
      </c>
    </row>
    <row r="1560">
      <c r="A1560" s="54" t="n"/>
      <c r="B1560" s="61" t="n"/>
      <c r="C1560" s="61" t="n"/>
      <c r="D1560" s="61" t="n"/>
      <c r="E1560" s="61" t="n"/>
      <c r="F1560" s="55" t="n"/>
      <c r="G1560" s="56" t="n"/>
      <c r="H1560" s="55" t="n"/>
      <c r="I1560" s="62" t="n"/>
      <c r="J1560" s="58" t="n"/>
      <c r="K1560" s="63">
        <f>IF(tblMovement[[#This Row],[Source]]="","",IFERROR(INDEX(tblSources[Type],MATCH(tblMovement[[#This Row],[Source]],tblSources[Source],0)),"?"))</f>
        <v/>
      </c>
      <c r="L1560" s="63">
        <f>IF(tblMovement[[#This Row],[Destination]]="","",IFERROR(INDEX(tblDestinations[Type],MATCH(tblMovement[[#This Row],[Destination]],tblDestinations[Destination],0)),"?"))</f>
        <v/>
      </c>
      <c r="M1560" s="64">
        <f>IF(tblMovement[[#This Row],[Material]]="","",IF(LEFT(tblMovement[[#This Row],[Material]],3)="Ore",1,0))</f>
        <v/>
      </c>
      <c r="N1560" s="59">
        <f>IF(OR(tblMovement[[#This Row],[Tonnes_t]]="",tblMovement[[#This Row],[Grade_gpt]]=""),0,tblMovement[[#This Row],[Tonnes_t]]*tblMovement[[#This Row],[Grade_gpt]]/cfg_TroyOz)</f>
        <v/>
      </c>
      <c r="O1560" s="59">
        <f>IF(tblMovement[[#This Row],[Is_Ore]]=1,tblMovement[[#This Row],[Contained_oz]],0)</f>
        <v/>
      </c>
    </row>
    <row r="1561">
      <c r="A1561" s="54" t="n"/>
      <c r="B1561" s="61" t="n"/>
      <c r="C1561" s="61" t="n"/>
      <c r="D1561" s="61" t="n"/>
      <c r="E1561" s="61" t="n"/>
      <c r="F1561" s="55" t="n"/>
      <c r="G1561" s="56" t="n"/>
      <c r="H1561" s="55" t="n"/>
      <c r="I1561" s="62" t="n"/>
      <c r="J1561" s="58" t="n"/>
      <c r="K1561" s="63">
        <f>IF(tblMovement[[#This Row],[Source]]="","",IFERROR(INDEX(tblSources[Type],MATCH(tblMovement[[#This Row],[Source]],tblSources[Source],0)),"?"))</f>
        <v/>
      </c>
      <c r="L1561" s="63">
        <f>IF(tblMovement[[#This Row],[Destination]]="","",IFERROR(INDEX(tblDestinations[Type],MATCH(tblMovement[[#This Row],[Destination]],tblDestinations[Destination],0)),"?"))</f>
        <v/>
      </c>
      <c r="M1561" s="64">
        <f>IF(tblMovement[[#This Row],[Material]]="","",IF(LEFT(tblMovement[[#This Row],[Material]],3)="Ore",1,0))</f>
        <v/>
      </c>
      <c r="N1561" s="59">
        <f>IF(OR(tblMovement[[#This Row],[Tonnes_t]]="",tblMovement[[#This Row],[Grade_gpt]]=""),0,tblMovement[[#This Row],[Tonnes_t]]*tblMovement[[#This Row],[Grade_gpt]]/cfg_TroyOz)</f>
        <v/>
      </c>
      <c r="O1561" s="59">
        <f>IF(tblMovement[[#This Row],[Is_Ore]]=1,tblMovement[[#This Row],[Contained_oz]],0)</f>
        <v/>
      </c>
    </row>
    <row r="1562">
      <c r="A1562" s="54" t="n"/>
      <c r="B1562" s="61" t="n"/>
      <c r="C1562" s="61" t="n"/>
      <c r="D1562" s="61" t="n"/>
      <c r="E1562" s="61" t="n"/>
      <c r="F1562" s="55" t="n"/>
      <c r="G1562" s="56" t="n"/>
      <c r="H1562" s="55" t="n"/>
      <c r="I1562" s="62" t="n"/>
      <c r="J1562" s="58" t="n"/>
      <c r="K1562" s="63">
        <f>IF(tblMovement[[#This Row],[Source]]="","",IFERROR(INDEX(tblSources[Type],MATCH(tblMovement[[#This Row],[Source]],tblSources[Source],0)),"?"))</f>
        <v/>
      </c>
      <c r="L1562" s="63">
        <f>IF(tblMovement[[#This Row],[Destination]]="","",IFERROR(INDEX(tblDestinations[Type],MATCH(tblMovement[[#This Row],[Destination]],tblDestinations[Destination],0)),"?"))</f>
        <v/>
      </c>
      <c r="M1562" s="64">
        <f>IF(tblMovement[[#This Row],[Material]]="","",IF(LEFT(tblMovement[[#This Row],[Material]],3)="Ore",1,0))</f>
        <v/>
      </c>
      <c r="N1562" s="59">
        <f>IF(OR(tblMovement[[#This Row],[Tonnes_t]]="",tblMovement[[#This Row],[Grade_gpt]]=""),0,tblMovement[[#This Row],[Tonnes_t]]*tblMovement[[#This Row],[Grade_gpt]]/cfg_TroyOz)</f>
        <v/>
      </c>
      <c r="O1562" s="59">
        <f>IF(tblMovement[[#This Row],[Is_Ore]]=1,tblMovement[[#This Row],[Contained_oz]],0)</f>
        <v/>
      </c>
    </row>
    <row r="1563">
      <c r="A1563" s="54" t="n"/>
      <c r="B1563" s="61" t="n"/>
      <c r="C1563" s="61" t="n"/>
      <c r="D1563" s="61" t="n"/>
      <c r="E1563" s="61" t="n"/>
      <c r="F1563" s="55" t="n"/>
      <c r="G1563" s="56" t="n"/>
      <c r="H1563" s="55" t="n"/>
      <c r="I1563" s="62" t="n"/>
      <c r="J1563" s="58" t="n"/>
      <c r="K1563" s="63">
        <f>IF(tblMovement[[#This Row],[Source]]="","",IFERROR(INDEX(tblSources[Type],MATCH(tblMovement[[#This Row],[Source]],tblSources[Source],0)),"?"))</f>
        <v/>
      </c>
      <c r="L1563" s="63">
        <f>IF(tblMovement[[#This Row],[Destination]]="","",IFERROR(INDEX(tblDestinations[Type],MATCH(tblMovement[[#This Row],[Destination]],tblDestinations[Destination],0)),"?"))</f>
        <v/>
      </c>
      <c r="M1563" s="64">
        <f>IF(tblMovement[[#This Row],[Material]]="","",IF(LEFT(tblMovement[[#This Row],[Material]],3)="Ore",1,0))</f>
        <v/>
      </c>
      <c r="N1563" s="59">
        <f>IF(OR(tblMovement[[#This Row],[Tonnes_t]]="",tblMovement[[#This Row],[Grade_gpt]]=""),0,tblMovement[[#This Row],[Tonnes_t]]*tblMovement[[#This Row],[Grade_gpt]]/cfg_TroyOz)</f>
        <v/>
      </c>
      <c r="O1563" s="59">
        <f>IF(tblMovement[[#This Row],[Is_Ore]]=1,tblMovement[[#This Row],[Contained_oz]],0)</f>
        <v/>
      </c>
    </row>
    <row r="1564">
      <c r="A1564" s="54" t="n"/>
      <c r="B1564" s="61" t="n"/>
      <c r="C1564" s="61" t="n"/>
      <c r="D1564" s="61" t="n"/>
      <c r="E1564" s="61" t="n"/>
      <c r="F1564" s="55" t="n"/>
      <c r="G1564" s="56" t="n"/>
      <c r="H1564" s="55" t="n"/>
      <c r="I1564" s="62" t="n"/>
      <c r="J1564" s="58" t="n"/>
      <c r="K1564" s="63">
        <f>IF(tblMovement[[#This Row],[Source]]="","",IFERROR(INDEX(tblSources[Type],MATCH(tblMovement[[#This Row],[Source]],tblSources[Source],0)),"?"))</f>
        <v/>
      </c>
      <c r="L1564" s="63">
        <f>IF(tblMovement[[#This Row],[Destination]]="","",IFERROR(INDEX(tblDestinations[Type],MATCH(tblMovement[[#This Row],[Destination]],tblDestinations[Destination],0)),"?"))</f>
        <v/>
      </c>
      <c r="M1564" s="64">
        <f>IF(tblMovement[[#This Row],[Material]]="","",IF(LEFT(tblMovement[[#This Row],[Material]],3)="Ore",1,0))</f>
        <v/>
      </c>
      <c r="N1564" s="59">
        <f>IF(OR(tblMovement[[#This Row],[Tonnes_t]]="",tblMovement[[#This Row],[Grade_gpt]]=""),0,tblMovement[[#This Row],[Tonnes_t]]*tblMovement[[#This Row],[Grade_gpt]]/cfg_TroyOz)</f>
        <v/>
      </c>
      <c r="O1564" s="59">
        <f>IF(tblMovement[[#This Row],[Is_Ore]]=1,tblMovement[[#This Row],[Contained_oz]],0)</f>
        <v/>
      </c>
    </row>
    <row r="1565">
      <c r="A1565" s="54" t="n"/>
      <c r="B1565" s="61" t="n"/>
      <c r="C1565" s="61" t="n"/>
      <c r="D1565" s="61" t="n"/>
      <c r="E1565" s="61" t="n"/>
      <c r="F1565" s="55" t="n"/>
      <c r="G1565" s="56" t="n"/>
      <c r="H1565" s="55" t="n"/>
      <c r="I1565" s="62" t="n"/>
      <c r="J1565" s="58" t="n"/>
      <c r="K1565" s="63">
        <f>IF(tblMovement[[#This Row],[Source]]="","",IFERROR(INDEX(tblSources[Type],MATCH(tblMovement[[#This Row],[Source]],tblSources[Source],0)),"?"))</f>
        <v/>
      </c>
      <c r="L1565" s="63">
        <f>IF(tblMovement[[#This Row],[Destination]]="","",IFERROR(INDEX(tblDestinations[Type],MATCH(tblMovement[[#This Row],[Destination]],tblDestinations[Destination],0)),"?"))</f>
        <v/>
      </c>
      <c r="M1565" s="64">
        <f>IF(tblMovement[[#This Row],[Material]]="","",IF(LEFT(tblMovement[[#This Row],[Material]],3)="Ore",1,0))</f>
        <v/>
      </c>
      <c r="N1565" s="59">
        <f>IF(OR(tblMovement[[#This Row],[Tonnes_t]]="",tblMovement[[#This Row],[Grade_gpt]]=""),0,tblMovement[[#This Row],[Tonnes_t]]*tblMovement[[#This Row],[Grade_gpt]]/cfg_TroyOz)</f>
        <v/>
      </c>
      <c r="O1565" s="59">
        <f>IF(tblMovement[[#This Row],[Is_Ore]]=1,tblMovement[[#This Row],[Contained_oz]],0)</f>
        <v/>
      </c>
    </row>
    <row r="1566">
      <c r="A1566" s="54" t="n"/>
      <c r="B1566" s="61" t="n"/>
      <c r="C1566" s="61" t="n"/>
      <c r="D1566" s="61" t="n"/>
      <c r="E1566" s="61" t="n"/>
      <c r="F1566" s="55" t="n"/>
      <c r="G1566" s="56" t="n"/>
      <c r="H1566" s="55" t="n"/>
      <c r="I1566" s="62" t="n"/>
      <c r="J1566" s="58" t="n"/>
      <c r="K1566" s="63">
        <f>IF(tblMovement[[#This Row],[Source]]="","",IFERROR(INDEX(tblSources[Type],MATCH(tblMovement[[#This Row],[Source]],tblSources[Source],0)),"?"))</f>
        <v/>
      </c>
      <c r="L1566" s="63">
        <f>IF(tblMovement[[#This Row],[Destination]]="","",IFERROR(INDEX(tblDestinations[Type],MATCH(tblMovement[[#This Row],[Destination]],tblDestinations[Destination],0)),"?"))</f>
        <v/>
      </c>
      <c r="M1566" s="64">
        <f>IF(tblMovement[[#This Row],[Material]]="","",IF(LEFT(tblMovement[[#This Row],[Material]],3)="Ore",1,0))</f>
        <v/>
      </c>
      <c r="N1566" s="59">
        <f>IF(OR(tblMovement[[#This Row],[Tonnes_t]]="",tblMovement[[#This Row],[Grade_gpt]]=""),0,tblMovement[[#This Row],[Tonnes_t]]*tblMovement[[#This Row],[Grade_gpt]]/cfg_TroyOz)</f>
        <v/>
      </c>
      <c r="O1566" s="59">
        <f>IF(tblMovement[[#This Row],[Is_Ore]]=1,tblMovement[[#This Row],[Contained_oz]],0)</f>
        <v/>
      </c>
    </row>
    <row r="1567">
      <c r="A1567" s="54" t="n"/>
      <c r="B1567" s="61" t="n"/>
      <c r="C1567" s="61" t="n"/>
      <c r="D1567" s="61" t="n"/>
      <c r="E1567" s="61" t="n"/>
      <c r="F1567" s="55" t="n"/>
      <c r="G1567" s="56" t="n"/>
      <c r="H1567" s="55" t="n"/>
      <c r="I1567" s="62" t="n"/>
      <c r="J1567" s="58" t="n"/>
      <c r="K1567" s="63">
        <f>IF(tblMovement[[#This Row],[Source]]="","",IFERROR(INDEX(tblSources[Type],MATCH(tblMovement[[#This Row],[Source]],tblSources[Source],0)),"?"))</f>
        <v/>
      </c>
      <c r="L1567" s="63">
        <f>IF(tblMovement[[#This Row],[Destination]]="","",IFERROR(INDEX(tblDestinations[Type],MATCH(tblMovement[[#This Row],[Destination]],tblDestinations[Destination],0)),"?"))</f>
        <v/>
      </c>
      <c r="M1567" s="64">
        <f>IF(tblMovement[[#This Row],[Material]]="","",IF(LEFT(tblMovement[[#This Row],[Material]],3)="Ore",1,0))</f>
        <v/>
      </c>
      <c r="N1567" s="59">
        <f>IF(OR(tblMovement[[#This Row],[Tonnes_t]]="",tblMovement[[#This Row],[Grade_gpt]]=""),0,tblMovement[[#This Row],[Tonnes_t]]*tblMovement[[#This Row],[Grade_gpt]]/cfg_TroyOz)</f>
        <v/>
      </c>
      <c r="O1567" s="59">
        <f>IF(tblMovement[[#This Row],[Is_Ore]]=1,tblMovement[[#This Row],[Contained_oz]],0)</f>
        <v/>
      </c>
    </row>
    <row r="1568">
      <c r="A1568" s="54" t="n"/>
      <c r="B1568" s="61" t="n"/>
      <c r="C1568" s="61" t="n"/>
      <c r="D1568" s="61" t="n"/>
      <c r="E1568" s="61" t="n"/>
      <c r="F1568" s="55" t="n"/>
      <c r="G1568" s="56" t="n"/>
      <c r="H1568" s="55" t="n"/>
      <c r="I1568" s="62" t="n"/>
      <c r="J1568" s="58" t="n"/>
      <c r="K1568" s="63">
        <f>IF(tblMovement[[#This Row],[Source]]="","",IFERROR(INDEX(tblSources[Type],MATCH(tblMovement[[#This Row],[Source]],tblSources[Source],0)),"?"))</f>
        <v/>
      </c>
      <c r="L1568" s="63">
        <f>IF(tblMovement[[#This Row],[Destination]]="","",IFERROR(INDEX(tblDestinations[Type],MATCH(tblMovement[[#This Row],[Destination]],tblDestinations[Destination],0)),"?"))</f>
        <v/>
      </c>
      <c r="M1568" s="64">
        <f>IF(tblMovement[[#This Row],[Material]]="","",IF(LEFT(tblMovement[[#This Row],[Material]],3)="Ore",1,0))</f>
        <v/>
      </c>
      <c r="N1568" s="59">
        <f>IF(OR(tblMovement[[#This Row],[Tonnes_t]]="",tblMovement[[#This Row],[Grade_gpt]]=""),0,tblMovement[[#This Row],[Tonnes_t]]*tblMovement[[#This Row],[Grade_gpt]]/cfg_TroyOz)</f>
        <v/>
      </c>
      <c r="O1568" s="59">
        <f>IF(tblMovement[[#This Row],[Is_Ore]]=1,tblMovement[[#This Row],[Contained_oz]],0)</f>
        <v/>
      </c>
    </row>
    <row r="1569">
      <c r="A1569" s="54" t="n"/>
      <c r="B1569" s="61" t="n"/>
      <c r="C1569" s="61" t="n"/>
      <c r="D1569" s="61" t="n"/>
      <c r="E1569" s="61" t="n"/>
      <c r="F1569" s="55" t="n"/>
      <c r="G1569" s="56" t="n"/>
      <c r="H1569" s="55" t="n"/>
      <c r="I1569" s="62" t="n"/>
      <c r="J1569" s="58" t="n"/>
      <c r="K1569" s="63">
        <f>IF(tblMovement[[#This Row],[Source]]="","",IFERROR(INDEX(tblSources[Type],MATCH(tblMovement[[#This Row],[Source]],tblSources[Source],0)),"?"))</f>
        <v/>
      </c>
      <c r="L1569" s="63">
        <f>IF(tblMovement[[#This Row],[Destination]]="","",IFERROR(INDEX(tblDestinations[Type],MATCH(tblMovement[[#This Row],[Destination]],tblDestinations[Destination],0)),"?"))</f>
        <v/>
      </c>
      <c r="M1569" s="64">
        <f>IF(tblMovement[[#This Row],[Material]]="","",IF(LEFT(tblMovement[[#This Row],[Material]],3)="Ore",1,0))</f>
        <v/>
      </c>
      <c r="N1569" s="59">
        <f>IF(OR(tblMovement[[#This Row],[Tonnes_t]]="",tblMovement[[#This Row],[Grade_gpt]]=""),0,tblMovement[[#This Row],[Tonnes_t]]*tblMovement[[#This Row],[Grade_gpt]]/cfg_TroyOz)</f>
        <v/>
      </c>
      <c r="O1569" s="59">
        <f>IF(tblMovement[[#This Row],[Is_Ore]]=1,tblMovement[[#This Row],[Contained_oz]],0)</f>
        <v/>
      </c>
    </row>
    <row r="1570">
      <c r="A1570" s="54" t="n"/>
      <c r="B1570" s="61" t="n"/>
      <c r="C1570" s="61" t="n"/>
      <c r="D1570" s="61" t="n"/>
      <c r="E1570" s="61" t="n"/>
      <c r="F1570" s="55" t="n"/>
      <c r="G1570" s="56" t="n"/>
      <c r="H1570" s="55" t="n"/>
      <c r="I1570" s="62" t="n"/>
      <c r="J1570" s="58" t="n"/>
      <c r="K1570" s="63">
        <f>IF(tblMovement[[#This Row],[Source]]="","",IFERROR(INDEX(tblSources[Type],MATCH(tblMovement[[#This Row],[Source]],tblSources[Source],0)),"?"))</f>
        <v/>
      </c>
      <c r="L1570" s="63">
        <f>IF(tblMovement[[#This Row],[Destination]]="","",IFERROR(INDEX(tblDestinations[Type],MATCH(tblMovement[[#This Row],[Destination]],tblDestinations[Destination],0)),"?"))</f>
        <v/>
      </c>
      <c r="M1570" s="64">
        <f>IF(tblMovement[[#This Row],[Material]]="","",IF(LEFT(tblMovement[[#This Row],[Material]],3)="Ore",1,0))</f>
        <v/>
      </c>
      <c r="N1570" s="59">
        <f>IF(OR(tblMovement[[#This Row],[Tonnes_t]]="",tblMovement[[#This Row],[Grade_gpt]]=""),0,tblMovement[[#This Row],[Tonnes_t]]*tblMovement[[#This Row],[Grade_gpt]]/cfg_TroyOz)</f>
        <v/>
      </c>
      <c r="O1570" s="59">
        <f>IF(tblMovement[[#This Row],[Is_Ore]]=1,tblMovement[[#This Row],[Contained_oz]],0)</f>
        <v/>
      </c>
    </row>
    <row r="1571">
      <c r="A1571" s="54" t="n"/>
      <c r="B1571" s="61" t="n"/>
      <c r="C1571" s="61" t="n"/>
      <c r="D1571" s="61" t="n"/>
      <c r="E1571" s="61" t="n"/>
      <c r="F1571" s="55" t="n"/>
      <c r="G1571" s="56" t="n"/>
      <c r="H1571" s="55" t="n"/>
      <c r="I1571" s="62" t="n"/>
      <c r="J1571" s="58" t="n"/>
      <c r="K1571" s="63">
        <f>IF(tblMovement[[#This Row],[Source]]="","",IFERROR(INDEX(tblSources[Type],MATCH(tblMovement[[#This Row],[Source]],tblSources[Source],0)),"?"))</f>
        <v/>
      </c>
      <c r="L1571" s="63">
        <f>IF(tblMovement[[#This Row],[Destination]]="","",IFERROR(INDEX(tblDestinations[Type],MATCH(tblMovement[[#This Row],[Destination]],tblDestinations[Destination],0)),"?"))</f>
        <v/>
      </c>
      <c r="M1571" s="64">
        <f>IF(tblMovement[[#This Row],[Material]]="","",IF(LEFT(tblMovement[[#This Row],[Material]],3)="Ore",1,0))</f>
        <v/>
      </c>
      <c r="N1571" s="59">
        <f>IF(OR(tblMovement[[#This Row],[Tonnes_t]]="",tblMovement[[#This Row],[Grade_gpt]]=""),0,tblMovement[[#This Row],[Tonnes_t]]*tblMovement[[#This Row],[Grade_gpt]]/cfg_TroyOz)</f>
        <v/>
      </c>
      <c r="O1571" s="59">
        <f>IF(tblMovement[[#This Row],[Is_Ore]]=1,tblMovement[[#This Row],[Contained_oz]],0)</f>
        <v/>
      </c>
    </row>
    <row r="1572">
      <c r="A1572" s="54" t="n"/>
      <c r="B1572" s="61" t="n"/>
      <c r="C1572" s="61" t="n"/>
      <c r="D1572" s="61" t="n"/>
      <c r="E1572" s="61" t="n"/>
      <c r="F1572" s="55" t="n"/>
      <c r="G1572" s="56" t="n"/>
      <c r="H1572" s="55" t="n"/>
      <c r="I1572" s="62" t="n"/>
      <c r="J1572" s="58" t="n"/>
      <c r="K1572" s="63">
        <f>IF(tblMovement[[#This Row],[Source]]="","",IFERROR(INDEX(tblSources[Type],MATCH(tblMovement[[#This Row],[Source]],tblSources[Source],0)),"?"))</f>
        <v/>
      </c>
      <c r="L1572" s="63">
        <f>IF(tblMovement[[#This Row],[Destination]]="","",IFERROR(INDEX(tblDestinations[Type],MATCH(tblMovement[[#This Row],[Destination]],tblDestinations[Destination],0)),"?"))</f>
        <v/>
      </c>
      <c r="M1572" s="64">
        <f>IF(tblMovement[[#This Row],[Material]]="","",IF(LEFT(tblMovement[[#This Row],[Material]],3)="Ore",1,0))</f>
        <v/>
      </c>
      <c r="N1572" s="59">
        <f>IF(OR(tblMovement[[#This Row],[Tonnes_t]]="",tblMovement[[#This Row],[Grade_gpt]]=""),0,tblMovement[[#This Row],[Tonnes_t]]*tblMovement[[#This Row],[Grade_gpt]]/cfg_TroyOz)</f>
        <v/>
      </c>
      <c r="O1572" s="59">
        <f>IF(tblMovement[[#This Row],[Is_Ore]]=1,tblMovement[[#This Row],[Contained_oz]],0)</f>
        <v/>
      </c>
    </row>
    <row r="1573">
      <c r="A1573" s="54" t="n"/>
      <c r="B1573" s="61" t="n"/>
      <c r="C1573" s="61" t="n"/>
      <c r="D1573" s="61" t="n"/>
      <c r="E1573" s="61" t="n"/>
      <c r="F1573" s="55" t="n"/>
      <c r="G1573" s="56" t="n"/>
      <c r="H1573" s="55" t="n"/>
      <c r="I1573" s="62" t="n"/>
      <c r="J1573" s="58" t="n"/>
      <c r="K1573" s="63">
        <f>IF(tblMovement[[#This Row],[Source]]="","",IFERROR(INDEX(tblSources[Type],MATCH(tblMovement[[#This Row],[Source]],tblSources[Source],0)),"?"))</f>
        <v/>
      </c>
      <c r="L1573" s="63">
        <f>IF(tblMovement[[#This Row],[Destination]]="","",IFERROR(INDEX(tblDestinations[Type],MATCH(tblMovement[[#This Row],[Destination]],tblDestinations[Destination],0)),"?"))</f>
        <v/>
      </c>
      <c r="M1573" s="64">
        <f>IF(tblMovement[[#This Row],[Material]]="","",IF(LEFT(tblMovement[[#This Row],[Material]],3)="Ore",1,0))</f>
        <v/>
      </c>
      <c r="N1573" s="59">
        <f>IF(OR(tblMovement[[#This Row],[Tonnes_t]]="",tblMovement[[#This Row],[Grade_gpt]]=""),0,tblMovement[[#This Row],[Tonnes_t]]*tblMovement[[#This Row],[Grade_gpt]]/cfg_TroyOz)</f>
        <v/>
      </c>
      <c r="O1573" s="59">
        <f>IF(tblMovement[[#This Row],[Is_Ore]]=1,tblMovement[[#This Row],[Contained_oz]],0)</f>
        <v/>
      </c>
    </row>
    <row r="1574">
      <c r="A1574" s="54" t="n"/>
      <c r="B1574" s="61" t="n"/>
      <c r="C1574" s="61" t="n"/>
      <c r="D1574" s="61" t="n"/>
      <c r="E1574" s="61" t="n"/>
      <c r="F1574" s="55" t="n"/>
      <c r="G1574" s="56" t="n"/>
      <c r="H1574" s="55" t="n"/>
      <c r="I1574" s="62" t="n"/>
      <c r="J1574" s="58" t="n"/>
      <c r="K1574" s="63">
        <f>IF(tblMovement[[#This Row],[Source]]="","",IFERROR(INDEX(tblSources[Type],MATCH(tblMovement[[#This Row],[Source]],tblSources[Source],0)),"?"))</f>
        <v/>
      </c>
      <c r="L1574" s="63">
        <f>IF(tblMovement[[#This Row],[Destination]]="","",IFERROR(INDEX(tblDestinations[Type],MATCH(tblMovement[[#This Row],[Destination]],tblDestinations[Destination],0)),"?"))</f>
        <v/>
      </c>
      <c r="M1574" s="64">
        <f>IF(tblMovement[[#This Row],[Material]]="","",IF(LEFT(tblMovement[[#This Row],[Material]],3)="Ore",1,0))</f>
        <v/>
      </c>
      <c r="N1574" s="59">
        <f>IF(OR(tblMovement[[#This Row],[Tonnes_t]]="",tblMovement[[#This Row],[Grade_gpt]]=""),0,tblMovement[[#This Row],[Tonnes_t]]*tblMovement[[#This Row],[Grade_gpt]]/cfg_TroyOz)</f>
        <v/>
      </c>
      <c r="O1574" s="59">
        <f>IF(tblMovement[[#This Row],[Is_Ore]]=1,tblMovement[[#This Row],[Contained_oz]],0)</f>
        <v/>
      </c>
    </row>
    <row r="1575">
      <c r="A1575" s="54" t="n"/>
      <c r="B1575" s="61" t="n"/>
      <c r="C1575" s="61" t="n"/>
      <c r="D1575" s="61" t="n"/>
      <c r="E1575" s="61" t="n"/>
      <c r="F1575" s="55" t="n"/>
      <c r="G1575" s="56" t="n"/>
      <c r="H1575" s="55" t="n"/>
      <c r="I1575" s="62" t="n"/>
      <c r="J1575" s="58" t="n"/>
      <c r="K1575" s="63">
        <f>IF(tblMovement[[#This Row],[Source]]="","",IFERROR(INDEX(tblSources[Type],MATCH(tblMovement[[#This Row],[Source]],tblSources[Source],0)),"?"))</f>
        <v/>
      </c>
      <c r="L1575" s="63">
        <f>IF(tblMovement[[#This Row],[Destination]]="","",IFERROR(INDEX(tblDestinations[Type],MATCH(tblMovement[[#This Row],[Destination]],tblDestinations[Destination],0)),"?"))</f>
        <v/>
      </c>
      <c r="M1575" s="64">
        <f>IF(tblMovement[[#This Row],[Material]]="","",IF(LEFT(tblMovement[[#This Row],[Material]],3)="Ore",1,0))</f>
        <v/>
      </c>
      <c r="N1575" s="59">
        <f>IF(OR(tblMovement[[#This Row],[Tonnes_t]]="",tblMovement[[#This Row],[Grade_gpt]]=""),0,tblMovement[[#This Row],[Tonnes_t]]*tblMovement[[#This Row],[Grade_gpt]]/cfg_TroyOz)</f>
        <v/>
      </c>
      <c r="O1575" s="59">
        <f>IF(tblMovement[[#This Row],[Is_Ore]]=1,tblMovement[[#This Row],[Contained_oz]],0)</f>
        <v/>
      </c>
    </row>
    <row r="1576">
      <c r="A1576" s="54" t="n"/>
      <c r="B1576" s="61" t="n"/>
      <c r="C1576" s="61" t="n"/>
      <c r="D1576" s="61" t="n"/>
      <c r="E1576" s="61" t="n"/>
      <c r="F1576" s="55" t="n"/>
      <c r="G1576" s="56" t="n"/>
      <c r="H1576" s="55" t="n"/>
      <c r="I1576" s="62" t="n"/>
      <c r="J1576" s="58" t="n"/>
      <c r="K1576" s="63">
        <f>IF(tblMovement[[#This Row],[Source]]="","",IFERROR(INDEX(tblSources[Type],MATCH(tblMovement[[#This Row],[Source]],tblSources[Source],0)),"?"))</f>
        <v/>
      </c>
      <c r="L1576" s="63">
        <f>IF(tblMovement[[#This Row],[Destination]]="","",IFERROR(INDEX(tblDestinations[Type],MATCH(tblMovement[[#This Row],[Destination]],tblDestinations[Destination],0)),"?"))</f>
        <v/>
      </c>
      <c r="M1576" s="64">
        <f>IF(tblMovement[[#This Row],[Material]]="","",IF(LEFT(tblMovement[[#This Row],[Material]],3)="Ore",1,0))</f>
        <v/>
      </c>
      <c r="N1576" s="59">
        <f>IF(OR(tblMovement[[#This Row],[Tonnes_t]]="",tblMovement[[#This Row],[Grade_gpt]]=""),0,tblMovement[[#This Row],[Tonnes_t]]*tblMovement[[#This Row],[Grade_gpt]]/cfg_TroyOz)</f>
        <v/>
      </c>
      <c r="O1576" s="59">
        <f>IF(tblMovement[[#This Row],[Is_Ore]]=1,tblMovement[[#This Row],[Contained_oz]],0)</f>
        <v/>
      </c>
    </row>
    <row r="1577">
      <c r="A1577" s="54" t="n"/>
      <c r="B1577" s="61" t="n"/>
      <c r="C1577" s="61" t="n"/>
      <c r="D1577" s="61" t="n"/>
      <c r="E1577" s="61" t="n"/>
      <c r="F1577" s="55" t="n"/>
      <c r="G1577" s="56" t="n"/>
      <c r="H1577" s="55" t="n"/>
      <c r="I1577" s="62" t="n"/>
      <c r="J1577" s="58" t="n"/>
      <c r="K1577" s="63">
        <f>IF(tblMovement[[#This Row],[Source]]="","",IFERROR(INDEX(tblSources[Type],MATCH(tblMovement[[#This Row],[Source]],tblSources[Source],0)),"?"))</f>
        <v/>
      </c>
      <c r="L1577" s="63">
        <f>IF(tblMovement[[#This Row],[Destination]]="","",IFERROR(INDEX(tblDestinations[Type],MATCH(tblMovement[[#This Row],[Destination]],tblDestinations[Destination],0)),"?"))</f>
        <v/>
      </c>
      <c r="M1577" s="64">
        <f>IF(tblMovement[[#This Row],[Material]]="","",IF(LEFT(tblMovement[[#This Row],[Material]],3)="Ore",1,0))</f>
        <v/>
      </c>
      <c r="N1577" s="59">
        <f>IF(OR(tblMovement[[#This Row],[Tonnes_t]]="",tblMovement[[#This Row],[Grade_gpt]]=""),0,tblMovement[[#This Row],[Tonnes_t]]*tblMovement[[#This Row],[Grade_gpt]]/cfg_TroyOz)</f>
        <v/>
      </c>
      <c r="O1577" s="59">
        <f>IF(tblMovement[[#This Row],[Is_Ore]]=1,tblMovement[[#This Row],[Contained_oz]],0)</f>
        <v/>
      </c>
    </row>
    <row r="1578">
      <c r="A1578" s="54" t="n"/>
      <c r="B1578" s="61" t="n"/>
      <c r="C1578" s="61" t="n"/>
      <c r="D1578" s="61" t="n"/>
      <c r="E1578" s="61" t="n"/>
      <c r="F1578" s="55" t="n"/>
      <c r="G1578" s="56" t="n"/>
      <c r="H1578" s="55" t="n"/>
      <c r="I1578" s="62" t="n"/>
      <c r="J1578" s="58" t="n"/>
      <c r="K1578" s="63">
        <f>IF(tblMovement[[#This Row],[Source]]="","",IFERROR(INDEX(tblSources[Type],MATCH(tblMovement[[#This Row],[Source]],tblSources[Source],0)),"?"))</f>
        <v/>
      </c>
      <c r="L1578" s="63">
        <f>IF(tblMovement[[#This Row],[Destination]]="","",IFERROR(INDEX(tblDestinations[Type],MATCH(tblMovement[[#This Row],[Destination]],tblDestinations[Destination],0)),"?"))</f>
        <v/>
      </c>
      <c r="M1578" s="64">
        <f>IF(tblMovement[[#This Row],[Material]]="","",IF(LEFT(tblMovement[[#This Row],[Material]],3)="Ore",1,0))</f>
        <v/>
      </c>
      <c r="N1578" s="59">
        <f>IF(OR(tblMovement[[#This Row],[Tonnes_t]]="",tblMovement[[#This Row],[Grade_gpt]]=""),0,tblMovement[[#This Row],[Tonnes_t]]*tblMovement[[#This Row],[Grade_gpt]]/cfg_TroyOz)</f>
        <v/>
      </c>
      <c r="O1578" s="59">
        <f>IF(tblMovement[[#This Row],[Is_Ore]]=1,tblMovement[[#This Row],[Contained_oz]],0)</f>
        <v/>
      </c>
    </row>
    <row r="1579">
      <c r="A1579" s="54" t="n"/>
      <c r="B1579" s="61" t="n"/>
      <c r="C1579" s="61" t="n"/>
      <c r="D1579" s="61" t="n"/>
      <c r="E1579" s="61" t="n"/>
      <c r="F1579" s="55" t="n"/>
      <c r="G1579" s="56" t="n"/>
      <c r="H1579" s="55" t="n"/>
      <c r="I1579" s="62" t="n"/>
      <c r="J1579" s="58" t="n"/>
      <c r="K1579" s="63">
        <f>IF(tblMovement[[#This Row],[Source]]="","",IFERROR(INDEX(tblSources[Type],MATCH(tblMovement[[#This Row],[Source]],tblSources[Source],0)),"?"))</f>
        <v/>
      </c>
      <c r="L1579" s="63">
        <f>IF(tblMovement[[#This Row],[Destination]]="","",IFERROR(INDEX(tblDestinations[Type],MATCH(tblMovement[[#This Row],[Destination]],tblDestinations[Destination],0)),"?"))</f>
        <v/>
      </c>
      <c r="M1579" s="64">
        <f>IF(tblMovement[[#This Row],[Material]]="","",IF(LEFT(tblMovement[[#This Row],[Material]],3)="Ore",1,0))</f>
        <v/>
      </c>
      <c r="N1579" s="59">
        <f>IF(OR(tblMovement[[#This Row],[Tonnes_t]]="",tblMovement[[#This Row],[Grade_gpt]]=""),0,tblMovement[[#This Row],[Tonnes_t]]*tblMovement[[#This Row],[Grade_gpt]]/cfg_TroyOz)</f>
        <v/>
      </c>
      <c r="O1579" s="59">
        <f>IF(tblMovement[[#This Row],[Is_Ore]]=1,tblMovement[[#This Row],[Contained_oz]],0)</f>
        <v/>
      </c>
    </row>
    <row r="1580">
      <c r="A1580" s="54" t="n"/>
      <c r="B1580" s="61" t="n"/>
      <c r="C1580" s="61" t="n"/>
      <c r="D1580" s="61" t="n"/>
      <c r="E1580" s="61" t="n"/>
      <c r="F1580" s="55" t="n"/>
      <c r="G1580" s="56" t="n"/>
      <c r="H1580" s="55" t="n"/>
      <c r="I1580" s="62" t="n"/>
      <c r="J1580" s="58" t="n"/>
      <c r="K1580" s="63">
        <f>IF(tblMovement[[#This Row],[Source]]="","",IFERROR(INDEX(tblSources[Type],MATCH(tblMovement[[#This Row],[Source]],tblSources[Source],0)),"?"))</f>
        <v/>
      </c>
      <c r="L1580" s="63">
        <f>IF(tblMovement[[#This Row],[Destination]]="","",IFERROR(INDEX(tblDestinations[Type],MATCH(tblMovement[[#This Row],[Destination]],tblDestinations[Destination],0)),"?"))</f>
        <v/>
      </c>
      <c r="M1580" s="64">
        <f>IF(tblMovement[[#This Row],[Material]]="","",IF(LEFT(tblMovement[[#This Row],[Material]],3)="Ore",1,0))</f>
        <v/>
      </c>
      <c r="N1580" s="59">
        <f>IF(OR(tblMovement[[#This Row],[Tonnes_t]]="",tblMovement[[#This Row],[Grade_gpt]]=""),0,tblMovement[[#This Row],[Tonnes_t]]*tblMovement[[#This Row],[Grade_gpt]]/cfg_TroyOz)</f>
        <v/>
      </c>
      <c r="O1580" s="59">
        <f>IF(tblMovement[[#This Row],[Is_Ore]]=1,tblMovement[[#This Row],[Contained_oz]],0)</f>
        <v/>
      </c>
    </row>
    <row r="1581">
      <c r="A1581" s="54" t="n"/>
      <c r="B1581" s="61" t="n"/>
      <c r="C1581" s="61" t="n"/>
      <c r="D1581" s="61" t="n"/>
      <c r="E1581" s="61" t="n"/>
      <c r="F1581" s="55" t="n"/>
      <c r="G1581" s="56" t="n"/>
      <c r="H1581" s="55" t="n"/>
      <c r="I1581" s="62" t="n"/>
      <c r="J1581" s="58" t="n"/>
      <c r="K1581" s="63">
        <f>IF(tblMovement[[#This Row],[Source]]="","",IFERROR(INDEX(tblSources[Type],MATCH(tblMovement[[#This Row],[Source]],tblSources[Source],0)),"?"))</f>
        <v/>
      </c>
      <c r="L1581" s="63">
        <f>IF(tblMovement[[#This Row],[Destination]]="","",IFERROR(INDEX(tblDestinations[Type],MATCH(tblMovement[[#This Row],[Destination]],tblDestinations[Destination],0)),"?"))</f>
        <v/>
      </c>
      <c r="M1581" s="64">
        <f>IF(tblMovement[[#This Row],[Material]]="","",IF(LEFT(tblMovement[[#This Row],[Material]],3)="Ore",1,0))</f>
        <v/>
      </c>
      <c r="N1581" s="59">
        <f>IF(OR(tblMovement[[#This Row],[Tonnes_t]]="",tblMovement[[#This Row],[Grade_gpt]]=""),0,tblMovement[[#This Row],[Tonnes_t]]*tblMovement[[#This Row],[Grade_gpt]]/cfg_TroyOz)</f>
        <v/>
      </c>
      <c r="O1581" s="59">
        <f>IF(tblMovement[[#This Row],[Is_Ore]]=1,tblMovement[[#This Row],[Contained_oz]],0)</f>
        <v/>
      </c>
    </row>
    <row r="1582">
      <c r="A1582" s="54" t="n"/>
      <c r="B1582" s="61" t="n"/>
      <c r="C1582" s="61" t="n"/>
      <c r="D1582" s="61" t="n"/>
      <c r="E1582" s="61" t="n"/>
      <c r="F1582" s="55" t="n"/>
      <c r="G1582" s="56" t="n"/>
      <c r="H1582" s="55" t="n"/>
      <c r="I1582" s="62" t="n"/>
      <c r="J1582" s="58" t="n"/>
      <c r="K1582" s="63">
        <f>IF(tblMovement[[#This Row],[Source]]="","",IFERROR(INDEX(tblSources[Type],MATCH(tblMovement[[#This Row],[Source]],tblSources[Source],0)),"?"))</f>
        <v/>
      </c>
      <c r="L1582" s="63">
        <f>IF(tblMovement[[#This Row],[Destination]]="","",IFERROR(INDEX(tblDestinations[Type],MATCH(tblMovement[[#This Row],[Destination]],tblDestinations[Destination],0)),"?"))</f>
        <v/>
      </c>
      <c r="M1582" s="64">
        <f>IF(tblMovement[[#This Row],[Material]]="","",IF(LEFT(tblMovement[[#This Row],[Material]],3)="Ore",1,0))</f>
        <v/>
      </c>
      <c r="N1582" s="59">
        <f>IF(OR(tblMovement[[#This Row],[Tonnes_t]]="",tblMovement[[#This Row],[Grade_gpt]]=""),0,tblMovement[[#This Row],[Tonnes_t]]*tblMovement[[#This Row],[Grade_gpt]]/cfg_TroyOz)</f>
        <v/>
      </c>
      <c r="O1582" s="59">
        <f>IF(tblMovement[[#This Row],[Is_Ore]]=1,tblMovement[[#This Row],[Contained_oz]],0)</f>
        <v/>
      </c>
    </row>
    <row r="1583">
      <c r="A1583" s="54" t="n"/>
      <c r="B1583" s="61" t="n"/>
      <c r="C1583" s="61" t="n"/>
      <c r="D1583" s="61" t="n"/>
      <c r="E1583" s="61" t="n"/>
      <c r="F1583" s="55" t="n"/>
      <c r="G1583" s="56" t="n"/>
      <c r="H1583" s="55" t="n"/>
      <c r="I1583" s="62" t="n"/>
      <c r="J1583" s="58" t="n"/>
      <c r="K1583" s="63">
        <f>IF(tblMovement[[#This Row],[Source]]="","",IFERROR(INDEX(tblSources[Type],MATCH(tblMovement[[#This Row],[Source]],tblSources[Source],0)),"?"))</f>
        <v/>
      </c>
      <c r="L1583" s="63">
        <f>IF(tblMovement[[#This Row],[Destination]]="","",IFERROR(INDEX(tblDestinations[Type],MATCH(tblMovement[[#This Row],[Destination]],tblDestinations[Destination],0)),"?"))</f>
        <v/>
      </c>
      <c r="M1583" s="64">
        <f>IF(tblMovement[[#This Row],[Material]]="","",IF(LEFT(tblMovement[[#This Row],[Material]],3)="Ore",1,0))</f>
        <v/>
      </c>
      <c r="N1583" s="59">
        <f>IF(OR(tblMovement[[#This Row],[Tonnes_t]]="",tblMovement[[#This Row],[Grade_gpt]]=""),0,tblMovement[[#This Row],[Tonnes_t]]*tblMovement[[#This Row],[Grade_gpt]]/cfg_TroyOz)</f>
        <v/>
      </c>
      <c r="O1583" s="59">
        <f>IF(tblMovement[[#This Row],[Is_Ore]]=1,tblMovement[[#This Row],[Contained_oz]],0)</f>
        <v/>
      </c>
    </row>
    <row r="1584">
      <c r="A1584" s="54" t="n"/>
      <c r="B1584" s="61" t="n"/>
      <c r="C1584" s="61" t="n"/>
      <c r="D1584" s="61" t="n"/>
      <c r="E1584" s="61" t="n"/>
      <c r="F1584" s="55" t="n"/>
      <c r="G1584" s="56" t="n"/>
      <c r="H1584" s="55" t="n"/>
      <c r="I1584" s="62" t="n"/>
      <c r="J1584" s="58" t="n"/>
      <c r="K1584" s="63">
        <f>IF(tblMovement[[#This Row],[Source]]="","",IFERROR(INDEX(tblSources[Type],MATCH(tblMovement[[#This Row],[Source]],tblSources[Source],0)),"?"))</f>
        <v/>
      </c>
      <c r="L1584" s="63">
        <f>IF(tblMovement[[#This Row],[Destination]]="","",IFERROR(INDEX(tblDestinations[Type],MATCH(tblMovement[[#This Row],[Destination]],tblDestinations[Destination],0)),"?"))</f>
        <v/>
      </c>
      <c r="M1584" s="64">
        <f>IF(tblMovement[[#This Row],[Material]]="","",IF(LEFT(tblMovement[[#This Row],[Material]],3)="Ore",1,0))</f>
        <v/>
      </c>
      <c r="N1584" s="59">
        <f>IF(OR(tblMovement[[#This Row],[Tonnes_t]]="",tblMovement[[#This Row],[Grade_gpt]]=""),0,tblMovement[[#This Row],[Tonnes_t]]*tblMovement[[#This Row],[Grade_gpt]]/cfg_TroyOz)</f>
        <v/>
      </c>
      <c r="O1584" s="59">
        <f>IF(tblMovement[[#This Row],[Is_Ore]]=1,tblMovement[[#This Row],[Contained_oz]],0)</f>
        <v/>
      </c>
    </row>
    <row r="1585">
      <c r="A1585" s="54" t="n"/>
      <c r="B1585" s="61" t="n"/>
      <c r="C1585" s="61" t="n"/>
      <c r="D1585" s="61" t="n"/>
      <c r="E1585" s="61" t="n"/>
      <c r="F1585" s="55" t="n"/>
      <c r="G1585" s="56" t="n"/>
      <c r="H1585" s="55" t="n"/>
      <c r="I1585" s="62" t="n"/>
      <c r="J1585" s="58" t="n"/>
      <c r="K1585" s="63">
        <f>IF(tblMovement[[#This Row],[Source]]="","",IFERROR(INDEX(tblSources[Type],MATCH(tblMovement[[#This Row],[Source]],tblSources[Source],0)),"?"))</f>
        <v/>
      </c>
      <c r="L1585" s="63">
        <f>IF(tblMovement[[#This Row],[Destination]]="","",IFERROR(INDEX(tblDestinations[Type],MATCH(tblMovement[[#This Row],[Destination]],tblDestinations[Destination],0)),"?"))</f>
        <v/>
      </c>
      <c r="M1585" s="64">
        <f>IF(tblMovement[[#This Row],[Material]]="","",IF(LEFT(tblMovement[[#This Row],[Material]],3)="Ore",1,0))</f>
        <v/>
      </c>
      <c r="N1585" s="59">
        <f>IF(OR(tblMovement[[#This Row],[Tonnes_t]]="",tblMovement[[#This Row],[Grade_gpt]]=""),0,tblMovement[[#This Row],[Tonnes_t]]*tblMovement[[#This Row],[Grade_gpt]]/cfg_TroyOz)</f>
        <v/>
      </c>
      <c r="O1585" s="59">
        <f>IF(tblMovement[[#This Row],[Is_Ore]]=1,tblMovement[[#This Row],[Contained_oz]],0)</f>
        <v/>
      </c>
    </row>
    <row r="1586">
      <c r="A1586" s="54" t="n"/>
      <c r="B1586" s="61" t="n"/>
      <c r="C1586" s="61" t="n"/>
      <c r="D1586" s="61" t="n"/>
      <c r="E1586" s="61" t="n"/>
      <c r="F1586" s="55" t="n"/>
      <c r="G1586" s="56" t="n"/>
      <c r="H1586" s="55" t="n"/>
      <c r="I1586" s="62" t="n"/>
      <c r="J1586" s="58" t="n"/>
      <c r="K1586" s="63">
        <f>IF(tblMovement[[#This Row],[Source]]="","",IFERROR(INDEX(tblSources[Type],MATCH(tblMovement[[#This Row],[Source]],tblSources[Source],0)),"?"))</f>
        <v/>
      </c>
      <c r="L1586" s="63">
        <f>IF(tblMovement[[#This Row],[Destination]]="","",IFERROR(INDEX(tblDestinations[Type],MATCH(tblMovement[[#This Row],[Destination]],tblDestinations[Destination],0)),"?"))</f>
        <v/>
      </c>
      <c r="M1586" s="64">
        <f>IF(tblMovement[[#This Row],[Material]]="","",IF(LEFT(tblMovement[[#This Row],[Material]],3)="Ore",1,0))</f>
        <v/>
      </c>
      <c r="N1586" s="59">
        <f>IF(OR(tblMovement[[#This Row],[Tonnes_t]]="",tblMovement[[#This Row],[Grade_gpt]]=""),0,tblMovement[[#This Row],[Tonnes_t]]*tblMovement[[#This Row],[Grade_gpt]]/cfg_TroyOz)</f>
        <v/>
      </c>
      <c r="O1586" s="59">
        <f>IF(tblMovement[[#This Row],[Is_Ore]]=1,tblMovement[[#This Row],[Contained_oz]],0)</f>
        <v/>
      </c>
    </row>
    <row r="1587">
      <c r="A1587" s="54" t="n"/>
      <c r="B1587" s="61" t="n"/>
      <c r="C1587" s="61" t="n"/>
      <c r="D1587" s="61" t="n"/>
      <c r="E1587" s="61" t="n"/>
      <c r="F1587" s="55" t="n"/>
      <c r="G1587" s="56" t="n"/>
      <c r="H1587" s="55" t="n"/>
      <c r="I1587" s="62" t="n"/>
      <c r="J1587" s="58" t="n"/>
      <c r="K1587" s="63">
        <f>IF(tblMovement[[#This Row],[Source]]="","",IFERROR(INDEX(tblSources[Type],MATCH(tblMovement[[#This Row],[Source]],tblSources[Source],0)),"?"))</f>
        <v/>
      </c>
      <c r="L1587" s="63">
        <f>IF(tblMovement[[#This Row],[Destination]]="","",IFERROR(INDEX(tblDestinations[Type],MATCH(tblMovement[[#This Row],[Destination]],tblDestinations[Destination],0)),"?"))</f>
        <v/>
      </c>
      <c r="M1587" s="64">
        <f>IF(tblMovement[[#This Row],[Material]]="","",IF(LEFT(tblMovement[[#This Row],[Material]],3)="Ore",1,0))</f>
        <v/>
      </c>
      <c r="N1587" s="59">
        <f>IF(OR(tblMovement[[#This Row],[Tonnes_t]]="",tblMovement[[#This Row],[Grade_gpt]]=""),0,tblMovement[[#This Row],[Tonnes_t]]*tblMovement[[#This Row],[Grade_gpt]]/cfg_TroyOz)</f>
        <v/>
      </c>
      <c r="O1587" s="59">
        <f>IF(tblMovement[[#This Row],[Is_Ore]]=1,tblMovement[[#This Row],[Contained_oz]],0)</f>
        <v/>
      </c>
    </row>
    <row r="1588">
      <c r="A1588" s="54" t="n"/>
      <c r="B1588" s="61" t="n"/>
      <c r="C1588" s="61" t="n"/>
      <c r="D1588" s="61" t="n"/>
      <c r="E1588" s="61" t="n"/>
      <c r="F1588" s="55" t="n"/>
      <c r="G1588" s="56" t="n"/>
      <c r="H1588" s="55" t="n"/>
      <c r="I1588" s="62" t="n"/>
      <c r="J1588" s="58" t="n"/>
      <c r="K1588" s="63">
        <f>IF(tblMovement[[#This Row],[Source]]="","",IFERROR(INDEX(tblSources[Type],MATCH(tblMovement[[#This Row],[Source]],tblSources[Source],0)),"?"))</f>
        <v/>
      </c>
      <c r="L1588" s="63">
        <f>IF(tblMovement[[#This Row],[Destination]]="","",IFERROR(INDEX(tblDestinations[Type],MATCH(tblMovement[[#This Row],[Destination]],tblDestinations[Destination],0)),"?"))</f>
        <v/>
      </c>
      <c r="M1588" s="64">
        <f>IF(tblMovement[[#This Row],[Material]]="","",IF(LEFT(tblMovement[[#This Row],[Material]],3)="Ore",1,0))</f>
        <v/>
      </c>
      <c r="N1588" s="59">
        <f>IF(OR(tblMovement[[#This Row],[Tonnes_t]]="",tblMovement[[#This Row],[Grade_gpt]]=""),0,tblMovement[[#This Row],[Tonnes_t]]*tblMovement[[#This Row],[Grade_gpt]]/cfg_TroyOz)</f>
        <v/>
      </c>
      <c r="O1588" s="59">
        <f>IF(tblMovement[[#This Row],[Is_Ore]]=1,tblMovement[[#This Row],[Contained_oz]],0)</f>
        <v/>
      </c>
    </row>
    <row r="1589">
      <c r="A1589" s="54" t="n"/>
      <c r="B1589" s="61" t="n"/>
      <c r="C1589" s="61" t="n"/>
      <c r="D1589" s="61" t="n"/>
      <c r="E1589" s="61" t="n"/>
      <c r="F1589" s="55" t="n"/>
      <c r="G1589" s="56" t="n"/>
      <c r="H1589" s="55" t="n"/>
      <c r="I1589" s="62" t="n"/>
      <c r="J1589" s="58" t="n"/>
      <c r="K1589" s="63">
        <f>IF(tblMovement[[#This Row],[Source]]="","",IFERROR(INDEX(tblSources[Type],MATCH(tblMovement[[#This Row],[Source]],tblSources[Source],0)),"?"))</f>
        <v/>
      </c>
      <c r="L1589" s="63">
        <f>IF(tblMovement[[#This Row],[Destination]]="","",IFERROR(INDEX(tblDestinations[Type],MATCH(tblMovement[[#This Row],[Destination]],tblDestinations[Destination],0)),"?"))</f>
        <v/>
      </c>
      <c r="M1589" s="64">
        <f>IF(tblMovement[[#This Row],[Material]]="","",IF(LEFT(tblMovement[[#This Row],[Material]],3)="Ore",1,0))</f>
        <v/>
      </c>
      <c r="N1589" s="59">
        <f>IF(OR(tblMovement[[#This Row],[Tonnes_t]]="",tblMovement[[#This Row],[Grade_gpt]]=""),0,tblMovement[[#This Row],[Tonnes_t]]*tblMovement[[#This Row],[Grade_gpt]]/cfg_TroyOz)</f>
        <v/>
      </c>
      <c r="O1589" s="59">
        <f>IF(tblMovement[[#This Row],[Is_Ore]]=1,tblMovement[[#This Row],[Contained_oz]],0)</f>
        <v/>
      </c>
    </row>
    <row r="1590">
      <c r="A1590" s="54" t="n"/>
      <c r="B1590" s="61" t="n"/>
      <c r="C1590" s="61" t="n"/>
      <c r="D1590" s="61" t="n"/>
      <c r="E1590" s="61" t="n"/>
      <c r="F1590" s="55" t="n"/>
      <c r="G1590" s="56" t="n"/>
      <c r="H1590" s="55" t="n"/>
      <c r="I1590" s="62" t="n"/>
      <c r="J1590" s="58" t="n"/>
      <c r="K1590" s="63">
        <f>IF(tblMovement[[#This Row],[Source]]="","",IFERROR(INDEX(tblSources[Type],MATCH(tblMovement[[#This Row],[Source]],tblSources[Source],0)),"?"))</f>
        <v/>
      </c>
      <c r="L1590" s="63">
        <f>IF(tblMovement[[#This Row],[Destination]]="","",IFERROR(INDEX(tblDestinations[Type],MATCH(tblMovement[[#This Row],[Destination]],tblDestinations[Destination],0)),"?"))</f>
        <v/>
      </c>
      <c r="M1590" s="64">
        <f>IF(tblMovement[[#This Row],[Material]]="","",IF(LEFT(tblMovement[[#This Row],[Material]],3)="Ore",1,0))</f>
        <v/>
      </c>
      <c r="N1590" s="59">
        <f>IF(OR(tblMovement[[#This Row],[Tonnes_t]]="",tblMovement[[#This Row],[Grade_gpt]]=""),0,tblMovement[[#This Row],[Tonnes_t]]*tblMovement[[#This Row],[Grade_gpt]]/cfg_TroyOz)</f>
        <v/>
      </c>
      <c r="O1590" s="59">
        <f>IF(tblMovement[[#This Row],[Is_Ore]]=1,tblMovement[[#This Row],[Contained_oz]],0)</f>
        <v/>
      </c>
    </row>
    <row r="1591">
      <c r="A1591" s="54" t="n"/>
      <c r="B1591" s="61" t="n"/>
      <c r="C1591" s="61" t="n"/>
      <c r="D1591" s="61" t="n"/>
      <c r="E1591" s="61" t="n"/>
      <c r="F1591" s="55" t="n"/>
      <c r="G1591" s="56" t="n"/>
      <c r="H1591" s="55" t="n"/>
      <c r="I1591" s="62" t="n"/>
      <c r="J1591" s="58" t="n"/>
      <c r="K1591" s="63">
        <f>IF(tblMovement[[#This Row],[Source]]="","",IFERROR(INDEX(tblSources[Type],MATCH(tblMovement[[#This Row],[Source]],tblSources[Source],0)),"?"))</f>
        <v/>
      </c>
      <c r="L1591" s="63">
        <f>IF(tblMovement[[#This Row],[Destination]]="","",IFERROR(INDEX(tblDestinations[Type],MATCH(tblMovement[[#This Row],[Destination]],tblDestinations[Destination],0)),"?"))</f>
        <v/>
      </c>
      <c r="M1591" s="64">
        <f>IF(tblMovement[[#This Row],[Material]]="","",IF(LEFT(tblMovement[[#This Row],[Material]],3)="Ore",1,0))</f>
        <v/>
      </c>
      <c r="N1591" s="59">
        <f>IF(OR(tblMovement[[#This Row],[Tonnes_t]]="",tblMovement[[#This Row],[Grade_gpt]]=""),0,tblMovement[[#This Row],[Tonnes_t]]*tblMovement[[#This Row],[Grade_gpt]]/cfg_TroyOz)</f>
        <v/>
      </c>
      <c r="O1591" s="59">
        <f>IF(tblMovement[[#This Row],[Is_Ore]]=1,tblMovement[[#This Row],[Contained_oz]],0)</f>
        <v/>
      </c>
    </row>
    <row r="1592">
      <c r="A1592" s="54" t="n"/>
      <c r="B1592" s="61" t="n"/>
      <c r="C1592" s="61" t="n"/>
      <c r="D1592" s="61" t="n"/>
      <c r="E1592" s="61" t="n"/>
      <c r="F1592" s="55" t="n"/>
      <c r="G1592" s="56" t="n"/>
      <c r="H1592" s="55" t="n"/>
      <c r="I1592" s="62" t="n"/>
      <c r="J1592" s="58" t="n"/>
      <c r="K1592" s="63">
        <f>IF(tblMovement[[#This Row],[Source]]="","",IFERROR(INDEX(tblSources[Type],MATCH(tblMovement[[#This Row],[Source]],tblSources[Source],0)),"?"))</f>
        <v/>
      </c>
      <c r="L1592" s="63">
        <f>IF(tblMovement[[#This Row],[Destination]]="","",IFERROR(INDEX(tblDestinations[Type],MATCH(tblMovement[[#This Row],[Destination]],tblDestinations[Destination],0)),"?"))</f>
        <v/>
      </c>
      <c r="M1592" s="64">
        <f>IF(tblMovement[[#This Row],[Material]]="","",IF(LEFT(tblMovement[[#This Row],[Material]],3)="Ore",1,0))</f>
        <v/>
      </c>
      <c r="N1592" s="59">
        <f>IF(OR(tblMovement[[#This Row],[Tonnes_t]]="",tblMovement[[#This Row],[Grade_gpt]]=""),0,tblMovement[[#This Row],[Tonnes_t]]*tblMovement[[#This Row],[Grade_gpt]]/cfg_TroyOz)</f>
        <v/>
      </c>
      <c r="O1592" s="59">
        <f>IF(tblMovement[[#This Row],[Is_Ore]]=1,tblMovement[[#This Row],[Contained_oz]],0)</f>
        <v/>
      </c>
    </row>
    <row r="1593">
      <c r="A1593" s="54" t="n"/>
      <c r="B1593" s="61" t="n"/>
      <c r="C1593" s="61" t="n"/>
      <c r="D1593" s="61" t="n"/>
      <c r="E1593" s="61" t="n"/>
      <c r="F1593" s="55" t="n"/>
      <c r="G1593" s="56" t="n"/>
      <c r="H1593" s="55" t="n"/>
      <c r="I1593" s="62" t="n"/>
      <c r="J1593" s="58" t="n"/>
      <c r="K1593" s="63">
        <f>IF(tblMovement[[#This Row],[Source]]="","",IFERROR(INDEX(tblSources[Type],MATCH(tblMovement[[#This Row],[Source]],tblSources[Source],0)),"?"))</f>
        <v/>
      </c>
      <c r="L1593" s="63">
        <f>IF(tblMovement[[#This Row],[Destination]]="","",IFERROR(INDEX(tblDestinations[Type],MATCH(tblMovement[[#This Row],[Destination]],tblDestinations[Destination],0)),"?"))</f>
        <v/>
      </c>
      <c r="M1593" s="64">
        <f>IF(tblMovement[[#This Row],[Material]]="","",IF(LEFT(tblMovement[[#This Row],[Material]],3)="Ore",1,0))</f>
        <v/>
      </c>
      <c r="N1593" s="59">
        <f>IF(OR(tblMovement[[#This Row],[Tonnes_t]]="",tblMovement[[#This Row],[Grade_gpt]]=""),0,tblMovement[[#This Row],[Tonnes_t]]*tblMovement[[#This Row],[Grade_gpt]]/cfg_TroyOz)</f>
        <v/>
      </c>
      <c r="O1593" s="59">
        <f>IF(tblMovement[[#This Row],[Is_Ore]]=1,tblMovement[[#This Row],[Contained_oz]],0)</f>
        <v/>
      </c>
    </row>
    <row r="1594">
      <c r="A1594" s="54" t="n"/>
      <c r="B1594" s="61" t="n"/>
      <c r="C1594" s="61" t="n"/>
      <c r="D1594" s="61" t="n"/>
      <c r="E1594" s="61" t="n"/>
      <c r="F1594" s="55" t="n"/>
      <c r="G1594" s="56" t="n"/>
      <c r="H1594" s="55" t="n"/>
      <c r="I1594" s="62" t="n"/>
      <c r="J1594" s="58" t="n"/>
      <c r="K1594" s="63">
        <f>IF(tblMovement[[#This Row],[Source]]="","",IFERROR(INDEX(tblSources[Type],MATCH(tblMovement[[#This Row],[Source]],tblSources[Source],0)),"?"))</f>
        <v/>
      </c>
      <c r="L1594" s="63">
        <f>IF(tblMovement[[#This Row],[Destination]]="","",IFERROR(INDEX(tblDestinations[Type],MATCH(tblMovement[[#This Row],[Destination]],tblDestinations[Destination],0)),"?"))</f>
        <v/>
      </c>
      <c r="M1594" s="64">
        <f>IF(tblMovement[[#This Row],[Material]]="","",IF(LEFT(tblMovement[[#This Row],[Material]],3)="Ore",1,0))</f>
        <v/>
      </c>
      <c r="N1594" s="59">
        <f>IF(OR(tblMovement[[#This Row],[Tonnes_t]]="",tblMovement[[#This Row],[Grade_gpt]]=""),0,tblMovement[[#This Row],[Tonnes_t]]*tblMovement[[#This Row],[Grade_gpt]]/cfg_TroyOz)</f>
        <v/>
      </c>
      <c r="O1594" s="59">
        <f>IF(tblMovement[[#This Row],[Is_Ore]]=1,tblMovement[[#This Row],[Contained_oz]],0)</f>
        <v/>
      </c>
    </row>
    <row r="1595">
      <c r="A1595" s="54" t="n"/>
      <c r="B1595" s="61" t="n"/>
      <c r="C1595" s="61" t="n"/>
      <c r="D1595" s="61" t="n"/>
      <c r="E1595" s="61" t="n"/>
      <c r="F1595" s="55" t="n"/>
      <c r="G1595" s="56" t="n"/>
      <c r="H1595" s="55" t="n"/>
      <c r="I1595" s="62" t="n"/>
      <c r="J1595" s="58" t="n"/>
      <c r="K1595" s="63">
        <f>IF(tblMovement[[#This Row],[Source]]="","",IFERROR(INDEX(tblSources[Type],MATCH(tblMovement[[#This Row],[Source]],tblSources[Source],0)),"?"))</f>
        <v/>
      </c>
      <c r="L1595" s="63">
        <f>IF(tblMovement[[#This Row],[Destination]]="","",IFERROR(INDEX(tblDestinations[Type],MATCH(tblMovement[[#This Row],[Destination]],tblDestinations[Destination],0)),"?"))</f>
        <v/>
      </c>
      <c r="M1595" s="64">
        <f>IF(tblMovement[[#This Row],[Material]]="","",IF(LEFT(tblMovement[[#This Row],[Material]],3)="Ore",1,0))</f>
        <v/>
      </c>
      <c r="N1595" s="59">
        <f>IF(OR(tblMovement[[#This Row],[Tonnes_t]]="",tblMovement[[#This Row],[Grade_gpt]]=""),0,tblMovement[[#This Row],[Tonnes_t]]*tblMovement[[#This Row],[Grade_gpt]]/cfg_TroyOz)</f>
        <v/>
      </c>
      <c r="O1595" s="59">
        <f>IF(tblMovement[[#This Row],[Is_Ore]]=1,tblMovement[[#This Row],[Contained_oz]],0)</f>
        <v/>
      </c>
    </row>
    <row r="1596">
      <c r="A1596" s="54" t="n"/>
      <c r="B1596" s="61" t="n"/>
      <c r="C1596" s="61" t="n"/>
      <c r="D1596" s="61" t="n"/>
      <c r="E1596" s="61" t="n"/>
      <c r="F1596" s="55" t="n"/>
      <c r="G1596" s="56" t="n"/>
      <c r="H1596" s="55" t="n"/>
      <c r="I1596" s="62" t="n"/>
      <c r="J1596" s="58" t="n"/>
      <c r="K1596" s="63">
        <f>IF(tblMovement[[#This Row],[Source]]="","",IFERROR(INDEX(tblSources[Type],MATCH(tblMovement[[#This Row],[Source]],tblSources[Source],0)),"?"))</f>
        <v/>
      </c>
      <c r="L1596" s="63">
        <f>IF(tblMovement[[#This Row],[Destination]]="","",IFERROR(INDEX(tblDestinations[Type],MATCH(tblMovement[[#This Row],[Destination]],tblDestinations[Destination],0)),"?"))</f>
        <v/>
      </c>
      <c r="M1596" s="64">
        <f>IF(tblMovement[[#This Row],[Material]]="","",IF(LEFT(tblMovement[[#This Row],[Material]],3)="Ore",1,0))</f>
        <v/>
      </c>
      <c r="N1596" s="59">
        <f>IF(OR(tblMovement[[#This Row],[Tonnes_t]]="",tblMovement[[#This Row],[Grade_gpt]]=""),0,tblMovement[[#This Row],[Tonnes_t]]*tblMovement[[#This Row],[Grade_gpt]]/cfg_TroyOz)</f>
        <v/>
      </c>
      <c r="O1596" s="59">
        <f>IF(tblMovement[[#This Row],[Is_Ore]]=1,tblMovement[[#This Row],[Contained_oz]],0)</f>
        <v/>
      </c>
    </row>
    <row r="1597">
      <c r="A1597" s="54" t="n"/>
      <c r="B1597" s="61" t="n"/>
      <c r="C1597" s="61" t="n"/>
      <c r="D1597" s="61" t="n"/>
      <c r="E1597" s="61" t="n"/>
      <c r="F1597" s="55" t="n"/>
      <c r="G1597" s="56" t="n"/>
      <c r="H1597" s="55" t="n"/>
      <c r="I1597" s="62" t="n"/>
      <c r="J1597" s="58" t="n"/>
      <c r="K1597" s="63">
        <f>IF(tblMovement[[#This Row],[Source]]="","",IFERROR(INDEX(tblSources[Type],MATCH(tblMovement[[#This Row],[Source]],tblSources[Source],0)),"?"))</f>
        <v/>
      </c>
      <c r="L1597" s="63">
        <f>IF(tblMovement[[#This Row],[Destination]]="","",IFERROR(INDEX(tblDestinations[Type],MATCH(tblMovement[[#This Row],[Destination]],tblDestinations[Destination],0)),"?"))</f>
        <v/>
      </c>
      <c r="M1597" s="64">
        <f>IF(tblMovement[[#This Row],[Material]]="","",IF(LEFT(tblMovement[[#This Row],[Material]],3)="Ore",1,0))</f>
        <v/>
      </c>
      <c r="N1597" s="59">
        <f>IF(OR(tblMovement[[#This Row],[Tonnes_t]]="",tblMovement[[#This Row],[Grade_gpt]]=""),0,tblMovement[[#This Row],[Tonnes_t]]*tblMovement[[#This Row],[Grade_gpt]]/cfg_TroyOz)</f>
        <v/>
      </c>
      <c r="O1597" s="59">
        <f>IF(tblMovement[[#This Row],[Is_Ore]]=1,tblMovement[[#This Row],[Contained_oz]],0)</f>
        <v/>
      </c>
    </row>
    <row r="1598">
      <c r="A1598" s="54" t="n"/>
      <c r="B1598" s="61" t="n"/>
      <c r="C1598" s="61" t="n"/>
      <c r="D1598" s="61" t="n"/>
      <c r="E1598" s="61" t="n"/>
      <c r="F1598" s="55" t="n"/>
      <c r="G1598" s="56" t="n"/>
      <c r="H1598" s="55" t="n"/>
      <c r="I1598" s="62" t="n"/>
      <c r="J1598" s="58" t="n"/>
      <c r="K1598" s="63">
        <f>IF(tblMovement[[#This Row],[Source]]="","",IFERROR(INDEX(tblSources[Type],MATCH(tblMovement[[#This Row],[Source]],tblSources[Source],0)),"?"))</f>
        <v/>
      </c>
      <c r="L1598" s="63">
        <f>IF(tblMovement[[#This Row],[Destination]]="","",IFERROR(INDEX(tblDestinations[Type],MATCH(tblMovement[[#This Row],[Destination]],tblDestinations[Destination],0)),"?"))</f>
        <v/>
      </c>
      <c r="M1598" s="64">
        <f>IF(tblMovement[[#This Row],[Material]]="","",IF(LEFT(tblMovement[[#This Row],[Material]],3)="Ore",1,0))</f>
        <v/>
      </c>
      <c r="N1598" s="59">
        <f>IF(OR(tblMovement[[#This Row],[Tonnes_t]]="",tblMovement[[#This Row],[Grade_gpt]]=""),0,tblMovement[[#This Row],[Tonnes_t]]*tblMovement[[#This Row],[Grade_gpt]]/cfg_TroyOz)</f>
        <v/>
      </c>
      <c r="O1598" s="59">
        <f>IF(tblMovement[[#This Row],[Is_Ore]]=1,tblMovement[[#This Row],[Contained_oz]],0)</f>
        <v/>
      </c>
    </row>
    <row r="1599">
      <c r="A1599" s="54" t="n"/>
      <c r="B1599" s="61" t="n"/>
      <c r="C1599" s="61" t="n"/>
      <c r="D1599" s="61" t="n"/>
      <c r="E1599" s="61" t="n"/>
      <c r="F1599" s="55" t="n"/>
      <c r="G1599" s="56" t="n"/>
      <c r="H1599" s="55" t="n"/>
      <c r="I1599" s="62" t="n"/>
      <c r="J1599" s="58" t="n"/>
      <c r="K1599" s="63">
        <f>IF(tblMovement[[#This Row],[Source]]="","",IFERROR(INDEX(tblSources[Type],MATCH(tblMovement[[#This Row],[Source]],tblSources[Source],0)),"?"))</f>
        <v/>
      </c>
      <c r="L1599" s="63">
        <f>IF(tblMovement[[#This Row],[Destination]]="","",IFERROR(INDEX(tblDestinations[Type],MATCH(tblMovement[[#This Row],[Destination]],tblDestinations[Destination],0)),"?"))</f>
        <v/>
      </c>
      <c r="M1599" s="64">
        <f>IF(tblMovement[[#This Row],[Material]]="","",IF(LEFT(tblMovement[[#This Row],[Material]],3)="Ore",1,0))</f>
        <v/>
      </c>
      <c r="N1599" s="59">
        <f>IF(OR(tblMovement[[#This Row],[Tonnes_t]]="",tblMovement[[#This Row],[Grade_gpt]]=""),0,tblMovement[[#This Row],[Tonnes_t]]*tblMovement[[#This Row],[Grade_gpt]]/cfg_TroyOz)</f>
        <v/>
      </c>
      <c r="O1599" s="59">
        <f>IF(tblMovement[[#This Row],[Is_Ore]]=1,tblMovement[[#This Row],[Contained_oz]],0)</f>
        <v/>
      </c>
    </row>
    <row r="1600">
      <c r="A1600" s="54" t="n"/>
      <c r="B1600" s="61" t="n"/>
      <c r="C1600" s="61" t="n"/>
      <c r="D1600" s="61" t="n"/>
      <c r="E1600" s="61" t="n"/>
      <c r="F1600" s="55" t="n"/>
      <c r="G1600" s="56" t="n"/>
      <c r="H1600" s="55" t="n"/>
      <c r="I1600" s="62" t="n"/>
      <c r="J1600" s="58" t="n"/>
      <c r="K1600" s="63">
        <f>IF(tblMovement[[#This Row],[Source]]="","",IFERROR(INDEX(tblSources[Type],MATCH(tblMovement[[#This Row],[Source]],tblSources[Source],0)),"?"))</f>
        <v/>
      </c>
      <c r="L1600" s="63">
        <f>IF(tblMovement[[#This Row],[Destination]]="","",IFERROR(INDEX(tblDestinations[Type],MATCH(tblMovement[[#This Row],[Destination]],tblDestinations[Destination],0)),"?"))</f>
        <v/>
      </c>
      <c r="M1600" s="64">
        <f>IF(tblMovement[[#This Row],[Material]]="","",IF(LEFT(tblMovement[[#This Row],[Material]],3)="Ore",1,0))</f>
        <v/>
      </c>
      <c r="N1600" s="59">
        <f>IF(OR(tblMovement[[#This Row],[Tonnes_t]]="",tblMovement[[#This Row],[Grade_gpt]]=""),0,tblMovement[[#This Row],[Tonnes_t]]*tblMovement[[#This Row],[Grade_gpt]]/cfg_TroyOz)</f>
        <v/>
      </c>
      <c r="O1600" s="59">
        <f>IF(tblMovement[[#This Row],[Is_Ore]]=1,tblMovement[[#This Row],[Contained_oz]],0)</f>
        <v/>
      </c>
    </row>
    <row r="1601">
      <c r="A1601" s="54" t="n"/>
      <c r="B1601" s="61" t="n"/>
      <c r="C1601" s="61" t="n"/>
      <c r="D1601" s="61" t="n"/>
      <c r="E1601" s="61" t="n"/>
      <c r="F1601" s="55" t="n"/>
      <c r="G1601" s="56" t="n"/>
      <c r="H1601" s="55" t="n"/>
      <c r="I1601" s="62" t="n"/>
      <c r="J1601" s="58" t="n"/>
      <c r="K1601" s="63">
        <f>IF(tblMovement[[#This Row],[Source]]="","",IFERROR(INDEX(tblSources[Type],MATCH(tblMovement[[#This Row],[Source]],tblSources[Source],0)),"?"))</f>
        <v/>
      </c>
      <c r="L1601" s="63">
        <f>IF(tblMovement[[#This Row],[Destination]]="","",IFERROR(INDEX(tblDestinations[Type],MATCH(tblMovement[[#This Row],[Destination]],tblDestinations[Destination],0)),"?"))</f>
        <v/>
      </c>
      <c r="M1601" s="64">
        <f>IF(tblMovement[[#This Row],[Material]]="","",IF(LEFT(tblMovement[[#This Row],[Material]],3)="Ore",1,0))</f>
        <v/>
      </c>
      <c r="N1601" s="59">
        <f>IF(OR(tblMovement[[#This Row],[Tonnes_t]]="",tblMovement[[#This Row],[Grade_gpt]]=""),0,tblMovement[[#This Row],[Tonnes_t]]*tblMovement[[#This Row],[Grade_gpt]]/cfg_TroyOz)</f>
        <v/>
      </c>
      <c r="O1601" s="59">
        <f>IF(tblMovement[[#This Row],[Is_Ore]]=1,tblMovement[[#This Row],[Contained_oz]],0)</f>
        <v/>
      </c>
    </row>
    <row r="1602">
      <c r="A1602" s="54" t="n"/>
      <c r="B1602" s="61" t="n"/>
      <c r="C1602" s="61" t="n"/>
      <c r="D1602" s="61" t="n"/>
      <c r="E1602" s="61" t="n"/>
      <c r="F1602" s="55" t="n"/>
      <c r="G1602" s="56" t="n"/>
      <c r="H1602" s="55" t="n"/>
      <c r="I1602" s="62" t="n"/>
      <c r="J1602" s="58" t="n"/>
      <c r="K1602" s="63">
        <f>IF(tblMovement[[#This Row],[Source]]="","",IFERROR(INDEX(tblSources[Type],MATCH(tblMovement[[#This Row],[Source]],tblSources[Source],0)),"?"))</f>
        <v/>
      </c>
      <c r="L1602" s="63">
        <f>IF(tblMovement[[#This Row],[Destination]]="","",IFERROR(INDEX(tblDestinations[Type],MATCH(tblMovement[[#This Row],[Destination]],tblDestinations[Destination],0)),"?"))</f>
        <v/>
      </c>
      <c r="M1602" s="64">
        <f>IF(tblMovement[[#This Row],[Material]]="","",IF(LEFT(tblMovement[[#This Row],[Material]],3)="Ore",1,0))</f>
        <v/>
      </c>
      <c r="N1602" s="59">
        <f>IF(OR(tblMovement[[#This Row],[Tonnes_t]]="",tblMovement[[#This Row],[Grade_gpt]]=""),0,tblMovement[[#This Row],[Tonnes_t]]*tblMovement[[#This Row],[Grade_gpt]]/cfg_TroyOz)</f>
        <v/>
      </c>
      <c r="O1602" s="59">
        <f>IF(tblMovement[[#This Row],[Is_Ore]]=1,tblMovement[[#This Row],[Contained_oz]],0)</f>
        <v/>
      </c>
    </row>
    <row r="1603">
      <c r="A1603" s="54" t="n"/>
      <c r="B1603" s="61" t="n"/>
      <c r="C1603" s="61" t="n"/>
      <c r="D1603" s="61" t="n"/>
      <c r="E1603" s="61" t="n"/>
      <c r="F1603" s="55" t="n"/>
      <c r="G1603" s="56" t="n"/>
      <c r="H1603" s="55" t="n"/>
      <c r="I1603" s="62" t="n"/>
      <c r="J1603" s="58" t="n"/>
      <c r="K1603" s="63">
        <f>IF(tblMovement[[#This Row],[Source]]="","",IFERROR(INDEX(tblSources[Type],MATCH(tblMovement[[#This Row],[Source]],tblSources[Source],0)),"?"))</f>
        <v/>
      </c>
      <c r="L1603" s="63">
        <f>IF(tblMovement[[#This Row],[Destination]]="","",IFERROR(INDEX(tblDestinations[Type],MATCH(tblMovement[[#This Row],[Destination]],tblDestinations[Destination],0)),"?"))</f>
        <v/>
      </c>
      <c r="M1603" s="64">
        <f>IF(tblMovement[[#This Row],[Material]]="","",IF(LEFT(tblMovement[[#This Row],[Material]],3)="Ore",1,0))</f>
        <v/>
      </c>
      <c r="N1603" s="59">
        <f>IF(OR(tblMovement[[#This Row],[Tonnes_t]]="",tblMovement[[#This Row],[Grade_gpt]]=""),0,tblMovement[[#This Row],[Tonnes_t]]*tblMovement[[#This Row],[Grade_gpt]]/cfg_TroyOz)</f>
        <v/>
      </c>
      <c r="O1603" s="59">
        <f>IF(tblMovement[[#This Row],[Is_Ore]]=1,tblMovement[[#This Row],[Contained_oz]],0)</f>
        <v/>
      </c>
    </row>
    <row r="1604">
      <c r="A1604" s="54" t="n"/>
      <c r="B1604" s="61" t="n"/>
      <c r="C1604" s="61" t="n"/>
      <c r="D1604" s="61" t="n"/>
      <c r="E1604" s="61" t="n"/>
      <c r="F1604" s="55" t="n"/>
      <c r="G1604" s="56" t="n"/>
      <c r="H1604" s="55" t="n"/>
      <c r="I1604" s="62" t="n"/>
      <c r="J1604" s="58" t="n"/>
      <c r="K1604" s="63">
        <f>IF(tblMovement[[#This Row],[Source]]="","",IFERROR(INDEX(tblSources[Type],MATCH(tblMovement[[#This Row],[Source]],tblSources[Source],0)),"?"))</f>
        <v/>
      </c>
      <c r="L1604" s="63">
        <f>IF(tblMovement[[#This Row],[Destination]]="","",IFERROR(INDEX(tblDestinations[Type],MATCH(tblMovement[[#This Row],[Destination]],tblDestinations[Destination],0)),"?"))</f>
        <v/>
      </c>
      <c r="M1604" s="64">
        <f>IF(tblMovement[[#This Row],[Material]]="","",IF(LEFT(tblMovement[[#This Row],[Material]],3)="Ore",1,0))</f>
        <v/>
      </c>
      <c r="N1604" s="59">
        <f>IF(OR(tblMovement[[#This Row],[Tonnes_t]]="",tblMovement[[#This Row],[Grade_gpt]]=""),0,tblMovement[[#This Row],[Tonnes_t]]*tblMovement[[#This Row],[Grade_gpt]]/cfg_TroyOz)</f>
        <v/>
      </c>
      <c r="O1604" s="59">
        <f>IF(tblMovement[[#This Row],[Is_Ore]]=1,tblMovement[[#This Row],[Contained_oz]],0)</f>
        <v/>
      </c>
    </row>
    <row r="1605">
      <c r="A1605" s="54" t="n"/>
      <c r="B1605" s="61" t="n"/>
      <c r="C1605" s="61" t="n"/>
      <c r="D1605" s="61" t="n"/>
      <c r="E1605" s="61" t="n"/>
      <c r="F1605" s="55" t="n"/>
      <c r="G1605" s="56" t="n"/>
      <c r="H1605" s="55" t="n"/>
      <c r="I1605" s="62" t="n"/>
      <c r="J1605" s="58" t="n"/>
      <c r="K1605" s="63">
        <f>IF(tblMovement[[#This Row],[Source]]="","",IFERROR(INDEX(tblSources[Type],MATCH(tblMovement[[#This Row],[Source]],tblSources[Source],0)),"?"))</f>
        <v/>
      </c>
      <c r="L1605" s="63">
        <f>IF(tblMovement[[#This Row],[Destination]]="","",IFERROR(INDEX(tblDestinations[Type],MATCH(tblMovement[[#This Row],[Destination]],tblDestinations[Destination],0)),"?"))</f>
        <v/>
      </c>
      <c r="M1605" s="64">
        <f>IF(tblMovement[[#This Row],[Material]]="","",IF(LEFT(tblMovement[[#This Row],[Material]],3)="Ore",1,0))</f>
        <v/>
      </c>
      <c r="N1605" s="59">
        <f>IF(OR(tblMovement[[#This Row],[Tonnes_t]]="",tblMovement[[#This Row],[Grade_gpt]]=""),0,tblMovement[[#This Row],[Tonnes_t]]*tblMovement[[#This Row],[Grade_gpt]]/cfg_TroyOz)</f>
        <v/>
      </c>
      <c r="O1605" s="59">
        <f>IF(tblMovement[[#This Row],[Is_Ore]]=1,tblMovement[[#This Row],[Contained_oz]],0)</f>
        <v/>
      </c>
    </row>
    <row r="1606">
      <c r="A1606" s="54" t="n"/>
      <c r="B1606" s="61" t="n"/>
      <c r="C1606" s="61" t="n"/>
      <c r="D1606" s="61" t="n"/>
      <c r="E1606" s="61" t="n"/>
      <c r="F1606" s="55" t="n"/>
      <c r="G1606" s="56" t="n"/>
      <c r="H1606" s="55" t="n"/>
      <c r="I1606" s="62" t="n"/>
      <c r="J1606" s="58" t="n"/>
      <c r="K1606" s="63">
        <f>IF(tblMovement[[#This Row],[Source]]="","",IFERROR(INDEX(tblSources[Type],MATCH(tblMovement[[#This Row],[Source]],tblSources[Source],0)),"?"))</f>
        <v/>
      </c>
      <c r="L1606" s="63">
        <f>IF(tblMovement[[#This Row],[Destination]]="","",IFERROR(INDEX(tblDestinations[Type],MATCH(tblMovement[[#This Row],[Destination]],tblDestinations[Destination],0)),"?"))</f>
        <v/>
      </c>
      <c r="M1606" s="64">
        <f>IF(tblMovement[[#This Row],[Material]]="","",IF(LEFT(tblMovement[[#This Row],[Material]],3)="Ore",1,0))</f>
        <v/>
      </c>
      <c r="N1606" s="59">
        <f>IF(OR(tblMovement[[#This Row],[Tonnes_t]]="",tblMovement[[#This Row],[Grade_gpt]]=""),0,tblMovement[[#This Row],[Tonnes_t]]*tblMovement[[#This Row],[Grade_gpt]]/cfg_TroyOz)</f>
        <v/>
      </c>
      <c r="O1606" s="59">
        <f>IF(tblMovement[[#This Row],[Is_Ore]]=1,tblMovement[[#This Row],[Contained_oz]],0)</f>
        <v/>
      </c>
    </row>
    <row r="1607">
      <c r="A1607" s="54" t="n"/>
      <c r="B1607" s="61" t="n"/>
      <c r="C1607" s="61" t="n"/>
      <c r="D1607" s="61" t="n"/>
      <c r="E1607" s="61" t="n"/>
      <c r="F1607" s="55" t="n"/>
      <c r="G1607" s="56" t="n"/>
      <c r="H1607" s="55" t="n"/>
      <c r="I1607" s="62" t="n"/>
      <c r="J1607" s="58" t="n"/>
      <c r="K1607" s="63">
        <f>IF(tblMovement[[#This Row],[Source]]="","",IFERROR(INDEX(tblSources[Type],MATCH(tblMovement[[#This Row],[Source]],tblSources[Source],0)),"?"))</f>
        <v/>
      </c>
      <c r="L1607" s="63">
        <f>IF(tblMovement[[#This Row],[Destination]]="","",IFERROR(INDEX(tblDestinations[Type],MATCH(tblMovement[[#This Row],[Destination]],tblDestinations[Destination],0)),"?"))</f>
        <v/>
      </c>
      <c r="M1607" s="64">
        <f>IF(tblMovement[[#This Row],[Material]]="","",IF(LEFT(tblMovement[[#This Row],[Material]],3)="Ore",1,0))</f>
        <v/>
      </c>
      <c r="N1607" s="59">
        <f>IF(OR(tblMovement[[#This Row],[Tonnes_t]]="",tblMovement[[#This Row],[Grade_gpt]]=""),0,tblMovement[[#This Row],[Tonnes_t]]*tblMovement[[#This Row],[Grade_gpt]]/cfg_TroyOz)</f>
        <v/>
      </c>
      <c r="O1607" s="59">
        <f>IF(tblMovement[[#This Row],[Is_Ore]]=1,tblMovement[[#This Row],[Contained_oz]],0)</f>
        <v/>
      </c>
    </row>
    <row r="1608">
      <c r="A1608" s="54" t="n"/>
      <c r="B1608" s="61" t="n"/>
      <c r="C1608" s="61" t="n"/>
      <c r="D1608" s="61" t="n"/>
      <c r="E1608" s="61" t="n"/>
      <c r="F1608" s="55" t="n"/>
      <c r="G1608" s="56" t="n"/>
      <c r="H1608" s="55" t="n"/>
      <c r="I1608" s="62" t="n"/>
      <c r="J1608" s="58" t="n"/>
      <c r="K1608" s="63">
        <f>IF(tblMovement[[#This Row],[Source]]="","",IFERROR(INDEX(tblSources[Type],MATCH(tblMovement[[#This Row],[Source]],tblSources[Source],0)),"?"))</f>
        <v/>
      </c>
      <c r="L1608" s="63">
        <f>IF(tblMovement[[#This Row],[Destination]]="","",IFERROR(INDEX(tblDestinations[Type],MATCH(tblMovement[[#This Row],[Destination]],tblDestinations[Destination],0)),"?"))</f>
        <v/>
      </c>
      <c r="M1608" s="64">
        <f>IF(tblMovement[[#This Row],[Material]]="","",IF(LEFT(tblMovement[[#This Row],[Material]],3)="Ore",1,0))</f>
        <v/>
      </c>
      <c r="N1608" s="59">
        <f>IF(OR(tblMovement[[#This Row],[Tonnes_t]]="",tblMovement[[#This Row],[Grade_gpt]]=""),0,tblMovement[[#This Row],[Tonnes_t]]*tblMovement[[#This Row],[Grade_gpt]]/cfg_TroyOz)</f>
        <v/>
      </c>
      <c r="O1608" s="59">
        <f>IF(tblMovement[[#This Row],[Is_Ore]]=1,tblMovement[[#This Row],[Contained_oz]],0)</f>
        <v/>
      </c>
    </row>
    <row r="1609">
      <c r="A1609" s="54" t="n"/>
      <c r="B1609" s="61" t="n"/>
      <c r="C1609" s="61" t="n"/>
      <c r="D1609" s="61" t="n"/>
      <c r="E1609" s="61" t="n"/>
      <c r="F1609" s="55" t="n"/>
      <c r="G1609" s="56" t="n"/>
      <c r="H1609" s="55" t="n"/>
      <c r="I1609" s="62" t="n"/>
      <c r="J1609" s="58" t="n"/>
      <c r="K1609" s="63">
        <f>IF(tblMovement[[#This Row],[Source]]="","",IFERROR(INDEX(tblSources[Type],MATCH(tblMovement[[#This Row],[Source]],tblSources[Source],0)),"?"))</f>
        <v/>
      </c>
      <c r="L1609" s="63">
        <f>IF(tblMovement[[#This Row],[Destination]]="","",IFERROR(INDEX(tblDestinations[Type],MATCH(tblMovement[[#This Row],[Destination]],tblDestinations[Destination],0)),"?"))</f>
        <v/>
      </c>
      <c r="M1609" s="64">
        <f>IF(tblMovement[[#This Row],[Material]]="","",IF(LEFT(tblMovement[[#This Row],[Material]],3)="Ore",1,0))</f>
        <v/>
      </c>
      <c r="N1609" s="59">
        <f>IF(OR(tblMovement[[#This Row],[Tonnes_t]]="",tblMovement[[#This Row],[Grade_gpt]]=""),0,tblMovement[[#This Row],[Tonnes_t]]*tblMovement[[#This Row],[Grade_gpt]]/cfg_TroyOz)</f>
        <v/>
      </c>
      <c r="O1609" s="59">
        <f>IF(tblMovement[[#This Row],[Is_Ore]]=1,tblMovement[[#This Row],[Contained_oz]],0)</f>
        <v/>
      </c>
    </row>
    <row r="1610">
      <c r="A1610" s="54" t="n"/>
      <c r="B1610" s="61" t="n"/>
      <c r="C1610" s="61" t="n"/>
      <c r="D1610" s="61" t="n"/>
      <c r="E1610" s="61" t="n"/>
      <c r="F1610" s="55" t="n"/>
      <c r="G1610" s="56" t="n"/>
      <c r="H1610" s="55" t="n"/>
      <c r="I1610" s="62" t="n"/>
      <c r="J1610" s="58" t="n"/>
      <c r="K1610" s="63">
        <f>IF(tblMovement[[#This Row],[Source]]="","",IFERROR(INDEX(tblSources[Type],MATCH(tblMovement[[#This Row],[Source]],tblSources[Source],0)),"?"))</f>
        <v/>
      </c>
      <c r="L1610" s="63">
        <f>IF(tblMovement[[#This Row],[Destination]]="","",IFERROR(INDEX(tblDestinations[Type],MATCH(tblMovement[[#This Row],[Destination]],tblDestinations[Destination],0)),"?"))</f>
        <v/>
      </c>
      <c r="M1610" s="64">
        <f>IF(tblMovement[[#This Row],[Material]]="","",IF(LEFT(tblMovement[[#This Row],[Material]],3)="Ore",1,0))</f>
        <v/>
      </c>
      <c r="N1610" s="59">
        <f>IF(OR(tblMovement[[#This Row],[Tonnes_t]]="",tblMovement[[#This Row],[Grade_gpt]]=""),0,tblMovement[[#This Row],[Tonnes_t]]*tblMovement[[#This Row],[Grade_gpt]]/cfg_TroyOz)</f>
        <v/>
      </c>
      <c r="O1610" s="59">
        <f>IF(tblMovement[[#This Row],[Is_Ore]]=1,tblMovement[[#This Row],[Contained_oz]],0)</f>
        <v/>
      </c>
    </row>
    <row r="1611">
      <c r="A1611" s="54" t="n"/>
      <c r="B1611" s="61" t="n"/>
      <c r="C1611" s="61" t="n"/>
      <c r="D1611" s="61" t="n"/>
      <c r="E1611" s="61" t="n"/>
      <c r="F1611" s="55" t="n"/>
      <c r="G1611" s="56" t="n"/>
      <c r="H1611" s="55" t="n"/>
      <c r="I1611" s="62" t="n"/>
      <c r="J1611" s="58" t="n"/>
      <c r="K1611" s="63">
        <f>IF(tblMovement[[#This Row],[Source]]="","",IFERROR(INDEX(tblSources[Type],MATCH(tblMovement[[#This Row],[Source]],tblSources[Source],0)),"?"))</f>
        <v/>
      </c>
      <c r="L1611" s="63">
        <f>IF(tblMovement[[#This Row],[Destination]]="","",IFERROR(INDEX(tblDestinations[Type],MATCH(tblMovement[[#This Row],[Destination]],tblDestinations[Destination],0)),"?"))</f>
        <v/>
      </c>
      <c r="M1611" s="64">
        <f>IF(tblMovement[[#This Row],[Material]]="","",IF(LEFT(tblMovement[[#This Row],[Material]],3)="Ore",1,0))</f>
        <v/>
      </c>
      <c r="N1611" s="59">
        <f>IF(OR(tblMovement[[#This Row],[Tonnes_t]]="",tblMovement[[#This Row],[Grade_gpt]]=""),0,tblMovement[[#This Row],[Tonnes_t]]*tblMovement[[#This Row],[Grade_gpt]]/cfg_TroyOz)</f>
        <v/>
      </c>
      <c r="O1611" s="59">
        <f>IF(tblMovement[[#This Row],[Is_Ore]]=1,tblMovement[[#This Row],[Contained_oz]],0)</f>
        <v/>
      </c>
    </row>
    <row r="1612">
      <c r="A1612" s="54" t="n"/>
      <c r="B1612" s="61" t="n"/>
      <c r="C1612" s="61" t="n"/>
      <c r="D1612" s="61" t="n"/>
      <c r="E1612" s="61" t="n"/>
      <c r="F1612" s="55" t="n"/>
      <c r="G1612" s="56" t="n"/>
      <c r="H1612" s="55" t="n"/>
      <c r="I1612" s="62" t="n"/>
      <c r="J1612" s="58" t="n"/>
      <c r="K1612" s="63">
        <f>IF(tblMovement[[#This Row],[Source]]="","",IFERROR(INDEX(tblSources[Type],MATCH(tblMovement[[#This Row],[Source]],tblSources[Source],0)),"?"))</f>
        <v/>
      </c>
      <c r="L1612" s="63">
        <f>IF(tblMovement[[#This Row],[Destination]]="","",IFERROR(INDEX(tblDestinations[Type],MATCH(tblMovement[[#This Row],[Destination]],tblDestinations[Destination],0)),"?"))</f>
        <v/>
      </c>
      <c r="M1612" s="64">
        <f>IF(tblMovement[[#This Row],[Material]]="","",IF(LEFT(tblMovement[[#This Row],[Material]],3)="Ore",1,0))</f>
        <v/>
      </c>
      <c r="N1612" s="59">
        <f>IF(OR(tblMovement[[#This Row],[Tonnes_t]]="",tblMovement[[#This Row],[Grade_gpt]]=""),0,tblMovement[[#This Row],[Tonnes_t]]*tblMovement[[#This Row],[Grade_gpt]]/cfg_TroyOz)</f>
        <v/>
      </c>
      <c r="O1612" s="59">
        <f>IF(tblMovement[[#This Row],[Is_Ore]]=1,tblMovement[[#This Row],[Contained_oz]],0)</f>
        <v/>
      </c>
    </row>
    <row r="1613">
      <c r="A1613" s="54" t="n"/>
      <c r="B1613" s="61" t="n"/>
      <c r="C1613" s="61" t="n"/>
      <c r="D1613" s="61" t="n"/>
      <c r="E1613" s="61" t="n"/>
      <c r="F1613" s="55" t="n"/>
      <c r="G1613" s="56" t="n"/>
      <c r="H1613" s="55" t="n"/>
      <c r="I1613" s="62" t="n"/>
      <c r="J1613" s="58" t="n"/>
      <c r="K1613" s="63">
        <f>IF(tblMovement[[#This Row],[Source]]="","",IFERROR(INDEX(tblSources[Type],MATCH(tblMovement[[#This Row],[Source]],tblSources[Source],0)),"?"))</f>
        <v/>
      </c>
      <c r="L1613" s="63">
        <f>IF(tblMovement[[#This Row],[Destination]]="","",IFERROR(INDEX(tblDestinations[Type],MATCH(tblMovement[[#This Row],[Destination]],tblDestinations[Destination],0)),"?"))</f>
        <v/>
      </c>
      <c r="M1613" s="64">
        <f>IF(tblMovement[[#This Row],[Material]]="","",IF(LEFT(tblMovement[[#This Row],[Material]],3)="Ore",1,0))</f>
        <v/>
      </c>
      <c r="N1613" s="59">
        <f>IF(OR(tblMovement[[#This Row],[Tonnes_t]]="",tblMovement[[#This Row],[Grade_gpt]]=""),0,tblMovement[[#This Row],[Tonnes_t]]*tblMovement[[#This Row],[Grade_gpt]]/cfg_TroyOz)</f>
        <v/>
      </c>
      <c r="O1613" s="59">
        <f>IF(tblMovement[[#This Row],[Is_Ore]]=1,tblMovement[[#This Row],[Contained_oz]],0)</f>
        <v/>
      </c>
    </row>
    <row r="1614">
      <c r="A1614" s="54" t="n"/>
      <c r="B1614" s="61" t="n"/>
      <c r="C1614" s="61" t="n"/>
      <c r="D1614" s="61" t="n"/>
      <c r="E1614" s="61" t="n"/>
      <c r="F1614" s="55" t="n"/>
      <c r="G1614" s="56" t="n"/>
      <c r="H1614" s="55" t="n"/>
      <c r="I1614" s="62" t="n"/>
      <c r="J1614" s="58" t="n"/>
      <c r="K1614" s="63">
        <f>IF(tblMovement[[#This Row],[Source]]="","",IFERROR(INDEX(tblSources[Type],MATCH(tblMovement[[#This Row],[Source]],tblSources[Source],0)),"?"))</f>
        <v/>
      </c>
      <c r="L1614" s="63">
        <f>IF(tblMovement[[#This Row],[Destination]]="","",IFERROR(INDEX(tblDestinations[Type],MATCH(tblMovement[[#This Row],[Destination]],tblDestinations[Destination],0)),"?"))</f>
        <v/>
      </c>
      <c r="M1614" s="64">
        <f>IF(tblMovement[[#This Row],[Material]]="","",IF(LEFT(tblMovement[[#This Row],[Material]],3)="Ore",1,0))</f>
        <v/>
      </c>
      <c r="N1614" s="59">
        <f>IF(OR(tblMovement[[#This Row],[Tonnes_t]]="",tblMovement[[#This Row],[Grade_gpt]]=""),0,tblMovement[[#This Row],[Tonnes_t]]*tblMovement[[#This Row],[Grade_gpt]]/cfg_TroyOz)</f>
        <v/>
      </c>
      <c r="O1614" s="59">
        <f>IF(tblMovement[[#This Row],[Is_Ore]]=1,tblMovement[[#This Row],[Contained_oz]],0)</f>
        <v/>
      </c>
    </row>
    <row r="1615">
      <c r="A1615" s="54" t="n"/>
      <c r="B1615" s="61" t="n"/>
      <c r="C1615" s="61" t="n"/>
      <c r="D1615" s="61" t="n"/>
      <c r="E1615" s="61" t="n"/>
      <c r="F1615" s="55" t="n"/>
      <c r="G1615" s="56" t="n"/>
      <c r="H1615" s="55" t="n"/>
      <c r="I1615" s="62" t="n"/>
      <c r="J1615" s="58" t="n"/>
      <c r="K1615" s="63">
        <f>IF(tblMovement[[#This Row],[Source]]="","",IFERROR(INDEX(tblSources[Type],MATCH(tblMovement[[#This Row],[Source]],tblSources[Source],0)),"?"))</f>
        <v/>
      </c>
      <c r="L1615" s="63">
        <f>IF(tblMovement[[#This Row],[Destination]]="","",IFERROR(INDEX(tblDestinations[Type],MATCH(tblMovement[[#This Row],[Destination]],tblDestinations[Destination],0)),"?"))</f>
        <v/>
      </c>
      <c r="M1615" s="64">
        <f>IF(tblMovement[[#This Row],[Material]]="","",IF(LEFT(tblMovement[[#This Row],[Material]],3)="Ore",1,0))</f>
        <v/>
      </c>
      <c r="N1615" s="59">
        <f>IF(OR(tblMovement[[#This Row],[Tonnes_t]]="",tblMovement[[#This Row],[Grade_gpt]]=""),0,tblMovement[[#This Row],[Tonnes_t]]*tblMovement[[#This Row],[Grade_gpt]]/cfg_TroyOz)</f>
        <v/>
      </c>
      <c r="O1615" s="59">
        <f>IF(tblMovement[[#This Row],[Is_Ore]]=1,tblMovement[[#This Row],[Contained_oz]],0)</f>
        <v/>
      </c>
    </row>
    <row r="1616">
      <c r="A1616" s="54" t="n"/>
      <c r="B1616" s="61" t="n"/>
      <c r="C1616" s="61" t="n"/>
      <c r="D1616" s="61" t="n"/>
      <c r="E1616" s="61" t="n"/>
      <c r="F1616" s="55" t="n"/>
      <c r="G1616" s="56" t="n"/>
      <c r="H1616" s="55" t="n"/>
      <c r="I1616" s="62" t="n"/>
      <c r="J1616" s="58" t="n"/>
      <c r="K1616" s="63">
        <f>IF(tblMovement[[#This Row],[Source]]="","",IFERROR(INDEX(tblSources[Type],MATCH(tblMovement[[#This Row],[Source]],tblSources[Source],0)),"?"))</f>
        <v/>
      </c>
      <c r="L1616" s="63">
        <f>IF(tblMovement[[#This Row],[Destination]]="","",IFERROR(INDEX(tblDestinations[Type],MATCH(tblMovement[[#This Row],[Destination]],tblDestinations[Destination],0)),"?"))</f>
        <v/>
      </c>
      <c r="M1616" s="64">
        <f>IF(tblMovement[[#This Row],[Material]]="","",IF(LEFT(tblMovement[[#This Row],[Material]],3)="Ore",1,0))</f>
        <v/>
      </c>
      <c r="N1616" s="59">
        <f>IF(OR(tblMovement[[#This Row],[Tonnes_t]]="",tblMovement[[#This Row],[Grade_gpt]]=""),0,tblMovement[[#This Row],[Tonnes_t]]*tblMovement[[#This Row],[Grade_gpt]]/cfg_TroyOz)</f>
        <v/>
      </c>
      <c r="O1616" s="59">
        <f>IF(tblMovement[[#This Row],[Is_Ore]]=1,tblMovement[[#This Row],[Contained_oz]],0)</f>
        <v/>
      </c>
    </row>
    <row r="1617">
      <c r="A1617" s="54" t="n"/>
      <c r="B1617" s="61" t="n"/>
      <c r="C1617" s="61" t="n"/>
      <c r="D1617" s="61" t="n"/>
      <c r="E1617" s="61" t="n"/>
      <c r="F1617" s="55" t="n"/>
      <c r="G1617" s="56" t="n"/>
      <c r="H1617" s="55" t="n"/>
      <c r="I1617" s="62" t="n"/>
      <c r="J1617" s="58" t="n"/>
      <c r="K1617" s="63">
        <f>IF(tblMovement[[#This Row],[Source]]="","",IFERROR(INDEX(tblSources[Type],MATCH(tblMovement[[#This Row],[Source]],tblSources[Source],0)),"?"))</f>
        <v/>
      </c>
      <c r="L1617" s="63">
        <f>IF(tblMovement[[#This Row],[Destination]]="","",IFERROR(INDEX(tblDestinations[Type],MATCH(tblMovement[[#This Row],[Destination]],tblDestinations[Destination],0)),"?"))</f>
        <v/>
      </c>
      <c r="M1617" s="64">
        <f>IF(tblMovement[[#This Row],[Material]]="","",IF(LEFT(tblMovement[[#This Row],[Material]],3)="Ore",1,0))</f>
        <v/>
      </c>
      <c r="N1617" s="59">
        <f>IF(OR(tblMovement[[#This Row],[Tonnes_t]]="",tblMovement[[#This Row],[Grade_gpt]]=""),0,tblMovement[[#This Row],[Tonnes_t]]*tblMovement[[#This Row],[Grade_gpt]]/cfg_TroyOz)</f>
        <v/>
      </c>
      <c r="O1617" s="59">
        <f>IF(tblMovement[[#This Row],[Is_Ore]]=1,tblMovement[[#This Row],[Contained_oz]],0)</f>
        <v/>
      </c>
    </row>
    <row r="1618">
      <c r="A1618" s="54" t="n"/>
      <c r="B1618" s="61" t="n"/>
      <c r="C1618" s="61" t="n"/>
      <c r="D1618" s="61" t="n"/>
      <c r="E1618" s="61" t="n"/>
      <c r="F1618" s="55" t="n"/>
      <c r="G1618" s="56" t="n"/>
      <c r="H1618" s="55" t="n"/>
      <c r="I1618" s="62" t="n"/>
      <c r="J1618" s="58" t="n"/>
      <c r="K1618" s="63">
        <f>IF(tblMovement[[#This Row],[Source]]="","",IFERROR(INDEX(tblSources[Type],MATCH(tblMovement[[#This Row],[Source]],tblSources[Source],0)),"?"))</f>
        <v/>
      </c>
      <c r="L1618" s="63">
        <f>IF(tblMovement[[#This Row],[Destination]]="","",IFERROR(INDEX(tblDestinations[Type],MATCH(tblMovement[[#This Row],[Destination]],tblDestinations[Destination],0)),"?"))</f>
        <v/>
      </c>
      <c r="M1618" s="64">
        <f>IF(tblMovement[[#This Row],[Material]]="","",IF(LEFT(tblMovement[[#This Row],[Material]],3)="Ore",1,0))</f>
        <v/>
      </c>
      <c r="N1618" s="59">
        <f>IF(OR(tblMovement[[#This Row],[Tonnes_t]]="",tblMovement[[#This Row],[Grade_gpt]]=""),0,tblMovement[[#This Row],[Tonnes_t]]*tblMovement[[#This Row],[Grade_gpt]]/cfg_TroyOz)</f>
        <v/>
      </c>
      <c r="O1618" s="59">
        <f>IF(tblMovement[[#This Row],[Is_Ore]]=1,tblMovement[[#This Row],[Contained_oz]],0)</f>
        <v/>
      </c>
    </row>
    <row r="1619">
      <c r="A1619" s="54" t="n"/>
      <c r="B1619" s="61" t="n"/>
      <c r="C1619" s="61" t="n"/>
      <c r="D1619" s="61" t="n"/>
      <c r="E1619" s="61" t="n"/>
      <c r="F1619" s="55" t="n"/>
      <c r="G1619" s="56" t="n"/>
      <c r="H1619" s="55" t="n"/>
      <c r="I1619" s="62" t="n"/>
      <c r="J1619" s="58" t="n"/>
      <c r="K1619" s="63">
        <f>IF(tblMovement[[#This Row],[Source]]="","",IFERROR(INDEX(tblSources[Type],MATCH(tblMovement[[#This Row],[Source]],tblSources[Source],0)),"?"))</f>
        <v/>
      </c>
      <c r="L1619" s="63">
        <f>IF(tblMovement[[#This Row],[Destination]]="","",IFERROR(INDEX(tblDestinations[Type],MATCH(tblMovement[[#This Row],[Destination]],tblDestinations[Destination],0)),"?"))</f>
        <v/>
      </c>
      <c r="M1619" s="64">
        <f>IF(tblMovement[[#This Row],[Material]]="","",IF(LEFT(tblMovement[[#This Row],[Material]],3)="Ore",1,0))</f>
        <v/>
      </c>
      <c r="N1619" s="59">
        <f>IF(OR(tblMovement[[#This Row],[Tonnes_t]]="",tblMovement[[#This Row],[Grade_gpt]]=""),0,tblMovement[[#This Row],[Tonnes_t]]*tblMovement[[#This Row],[Grade_gpt]]/cfg_TroyOz)</f>
        <v/>
      </c>
      <c r="O1619" s="59">
        <f>IF(tblMovement[[#This Row],[Is_Ore]]=1,tblMovement[[#This Row],[Contained_oz]],0)</f>
        <v/>
      </c>
    </row>
    <row r="1620">
      <c r="A1620" s="54" t="n"/>
      <c r="B1620" s="61" t="n"/>
      <c r="C1620" s="61" t="n"/>
      <c r="D1620" s="61" t="n"/>
      <c r="E1620" s="61" t="n"/>
      <c r="F1620" s="55" t="n"/>
      <c r="G1620" s="56" t="n"/>
      <c r="H1620" s="55" t="n"/>
      <c r="I1620" s="62" t="n"/>
      <c r="J1620" s="58" t="n"/>
      <c r="K1620" s="63">
        <f>IF(tblMovement[[#This Row],[Source]]="","",IFERROR(INDEX(tblSources[Type],MATCH(tblMovement[[#This Row],[Source]],tblSources[Source],0)),"?"))</f>
        <v/>
      </c>
      <c r="L1620" s="63">
        <f>IF(tblMovement[[#This Row],[Destination]]="","",IFERROR(INDEX(tblDestinations[Type],MATCH(tblMovement[[#This Row],[Destination]],tblDestinations[Destination],0)),"?"))</f>
        <v/>
      </c>
      <c r="M1620" s="64">
        <f>IF(tblMovement[[#This Row],[Material]]="","",IF(LEFT(tblMovement[[#This Row],[Material]],3)="Ore",1,0))</f>
        <v/>
      </c>
      <c r="N1620" s="59">
        <f>IF(OR(tblMovement[[#This Row],[Tonnes_t]]="",tblMovement[[#This Row],[Grade_gpt]]=""),0,tblMovement[[#This Row],[Tonnes_t]]*tblMovement[[#This Row],[Grade_gpt]]/cfg_TroyOz)</f>
        <v/>
      </c>
      <c r="O1620" s="59">
        <f>IF(tblMovement[[#This Row],[Is_Ore]]=1,tblMovement[[#This Row],[Contained_oz]],0)</f>
        <v/>
      </c>
    </row>
    <row r="1621">
      <c r="A1621" s="54" t="n"/>
      <c r="B1621" s="61" t="n"/>
      <c r="C1621" s="61" t="n"/>
      <c r="D1621" s="61" t="n"/>
      <c r="E1621" s="61" t="n"/>
      <c r="F1621" s="55" t="n"/>
      <c r="G1621" s="56" t="n"/>
      <c r="H1621" s="55" t="n"/>
      <c r="I1621" s="62" t="n"/>
      <c r="J1621" s="58" t="n"/>
      <c r="K1621" s="63">
        <f>IF(tblMovement[[#This Row],[Source]]="","",IFERROR(INDEX(tblSources[Type],MATCH(tblMovement[[#This Row],[Source]],tblSources[Source],0)),"?"))</f>
        <v/>
      </c>
      <c r="L1621" s="63">
        <f>IF(tblMovement[[#This Row],[Destination]]="","",IFERROR(INDEX(tblDestinations[Type],MATCH(tblMovement[[#This Row],[Destination]],tblDestinations[Destination],0)),"?"))</f>
        <v/>
      </c>
      <c r="M1621" s="64">
        <f>IF(tblMovement[[#This Row],[Material]]="","",IF(LEFT(tblMovement[[#This Row],[Material]],3)="Ore",1,0))</f>
        <v/>
      </c>
      <c r="N1621" s="59">
        <f>IF(OR(tblMovement[[#This Row],[Tonnes_t]]="",tblMovement[[#This Row],[Grade_gpt]]=""),0,tblMovement[[#This Row],[Tonnes_t]]*tblMovement[[#This Row],[Grade_gpt]]/cfg_TroyOz)</f>
        <v/>
      </c>
      <c r="O1621" s="59">
        <f>IF(tblMovement[[#This Row],[Is_Ore]]=1,tblMovement[[#This Row],[Contained_oz]],0)</f>
        <v/>
      </c>
    </row>
    <row r="1622">
      <c r="A1622" s="54" t="n"/>
      <c r="B1622" s="61" t="n"/>
      <c r="C1622" s="61" t="n"/>
      <c r="D1622" s="61" t="n"/>
      <c r="E1622" s="61" t="n"/>
      <c r="F1622" s="55" t="n"/>
      <c r="G1622" s="56" t="n"/>
      <c r="H1622" s="55" t="n"/>
      <c r="I1622" s="62" t="n"/>
      <c r="J1622" s="58" t="n"/>
      <c r="K1622" s="63">
        <f>IF(tblMovement[[#This Row],[Source]]="","",IFERROR(INDEX(tblSources[Type],MATCH(tblMovement[[#This Row],[Source]],tblSources[Source],0)),"?"))</f>
        <v/>
      </c>
      <c r="L1622" s="63">
        <f>IF(tblMovement[[#This Row],[Destination]]="","",IFERROR(INDEX(tblDestinations[Type],MATCH(tblMovement[[#This Row],[Destination]],tblDestinations[Destination],0)),"?"))</f>
        <v/>
      </c>
      <c r="M1622" s="64">
        <f>IF(tblMovement[[#This Row],[Material]]="","",IF(LEFT(tblMovement[[#This Row],[Material]],3)="Ore",1,0))</f>
        <v/>
      </c>
      <c r="N1622" s="59">
        <f>IF(OR(tblMovement[[#This Row],[Tonnes_t]]="",tblMovement[[#This Row],[Grade_gpt]]=""),0,tblMovement[[#This Row],[Tonnes_t]]*tblMovement[[#This Row],[Grade_gpt]]/cfg_TroyOz)</f>
        <v/>
      </c>
      <c r="O1622" s="59">
        <f>IF(tblMovement[[#This Row],[Is_Ore]]=1,tblMovement[[#This Row],[Contained_oz]],0)</f>
        <v/>
      </c>
    </row>
    <row r="1623">
      <c r="A1623" s="54" t="n"/>
      <c r="B1623" s="61" t="n"/>
      <c r="C1623" s="61" t="n"/>
      <c r="D1623" s="61" t="n"/>
      <c r="E1623" s="61" t="n"/>
      <c r="F1623" s="55" t="n"/>
      <c r="G1623" s="56" t="n"/>
      <c r="H1623" s="55" t="n"/>
      <c r="I1623" s="62" t="n"/>
      <c r="J1623" s="58" t="n"/>
      <c r="K1623" s="63">
        <f>IF(tblMovement[[#This Row],[Source]]="","",IFERROR(INDEX(tblSources[Type],MATCH(tblMovement[[#This Row],[Source]],tblSources[Source],0)),"?"))</f>
        <v/>
      </c>
      <c r="L1623" s="63">
        <f>IF(tblMovement[[#This Row],[Destination]]="","",IFERROR(INDEX(tblDestinations[Type],MATCH(tblMovement[[#This Row],[Destination]],tblDestinations[Destination],0)),"?"))</f>
        <v/>
      </c>
      <c r="M1623" s="64">
        <f>IF(tblMovement[[#This Row],[Material]]="","",IF(LEFT(tblMovement[[#This Row],[Material]],3)="Ore",1,0))</f>
        <v/>
      </c>
      <c r="N1623" s="59">
        <f>IF(OR(tblMovement[[#This Row],[Tonnes_t]]="",tblMovement[[#This Row],[Grade_gpt]]=""),0,tblMovement[[#This Row],[Tonnes_t]]*tblMovement[[#This Row],[Grade_gpt]]/cfg_TroyOz)</f>
        <v/>
      </c>
      <c r="O1623" s="59">
        <f>IF(tblMovement[[#This Row],[Is_Ore]]=1,tblMovement[[#This Row],[Contained_oz]],0)</f>
        <v/>
      </c>
    </row>
    <row r="1624">
      <c r="A1624" s="54" t="n"/>
      <c r="B1624" s="61" t="n"/>
      <c r="C1624" s="61" t="n"/>
      <c r="D1624" s="61" t="n"/>
      <c r="E1624" s="61" t="n"/>
      <c r="F1624" s="55" t="n"/>
      <c r="G1624" s="56" t="n"/>
      <c r="H1624" s="55" t="n"/>
      <c r="I1624" s="62" t="n"/>
      <c r="J1624" s="58" t="n"/>
      <c r="K1624" s="63">
        <f>IF(tblMovement[[#This Row],[Source]]="","",IFERROR(INDEX(tblSources[Type],MATCH(tblMovement[[#This Row],[Source]],tblSources[Source],0)),"?"))</f>
        <v/>
      </c>
      <c r="L1624" s="63">
        <f>IF(tblMovement[[#This Row],[Destination]]="","",IFERROR(INDEX(tblDestinations[Type],MATCH(tblMovement[[#This Row],[Destination]],tblDestinations[Destination],0)),"?"))</f>
        <v/>
      </c>
      <c r="M1624" s="64">
        <f>IF(tblMovement[[#This Row],[Material]]="","",IF(LEFT(tblMovement[[#This Row],[Material]],3)="Ore",1,0))</f>
        <v/>
      </c>
      <c r="N1624" s="59">
        <f>IF(OR(tblMovement[[#This Row],[Tonnes_t]]="",tblMovement[[#This Row],[Grade_gpt]]=""),0,tblMovement[[#This Row],[Tonnes_t]]*tblMovement[[#This Row],[Grade_gpt]]/cfg_TroyOz)</f>
        <v/>
      </c>
      <c r="O1624" s="59">
        <f>IF(tblMovement[[#This Row],[Is_Ore]]=1,tblMovement[[#This Row],[Contained_oz]],0)</f>
        <v/>
      </c>
    </row>
    <row r="1625">
      <c r="A1625" s="54" t="n"/>
      <c r="B1625" s="61" t="n"/>
      <c r="C1625" s="61" t="n"/>
      <c r="D1625" s="61" t="n"/>
      <c r="E1625" s="61" t="n"/>
      <c r="F1625" s="55" t="n"/>
      <c r="G1625" s="56" t="n"/>
      <c r="H1625" s="55" t="n"/>
      <c r="I1625" s="62" t="n"/>
      <c r="J1625" s="58" t="n"/>
      <c r="K1625" s="63">
        <f>IF(tblMovement[[#This Row],[Source]]="","",IFERROR(INDEX(tblSources[Type],MATCH(tblMovement[[#This Row],[Source]],tblSources[Source],0)),"?"))</f>
        <v/>
      </c>
      <c r="L1625" s="63">
        <f>IF(tblMovement[[#This Row],[Destination]]="","",IFERROR(INDEX(tblDestinations[Type],MATCH(tblMovement[[#This Row],[Destination]],tblDestinations[Destination],0)),"?"))</f>
        <v/>
      </c>
      <c r="M1625" s="64">
        <f>IF(tblMovement[[#This Row],[Material]]="","",IF(LEFT(tblMovement[[#This Row],[Material]],3)="Ore",1,0))</f>
        <v/>
      </c>
      <c r="N1625" s="59">
        <f>IF(OR(tblMovement[[#This Row],[Tonnes_t]]="",tblMovement[[#This Row],[Grade_gpt]]=""),0,tblMovement[[#This Row],[Tonnes_t]]*tblMovement[[#This Row],[Grade_gpt]]/cfg_TroyOz)</f>
        <v/>
      </c>
      <c r="O1625" s="59">
        <f>IF(tblMovement[[#This Row],[Is_Ore]]=1,tblMovement[[#This Row],[Contained_oz]],0)</f>
        <v/>
      </c>
    </row>
    <row r="1626">
      <c r="A1626" s="54" t="n"/>
      <c r="B1626" s="61" t="n"/>
      <c r="C1626" s="61" t="n"/>
      <c r="D1626" s="61" t="n"/>
      <c r="E1626" s="61" t="n"/>
      <c r="F1626" s="55" t="n"/>
      <c r="G1626" s="56" t="n"/>
      <c r="H1626" s="55" t="n"/>
      <c r="I1626" s="62" t="n"/>
      <c r="J1626" s="58" t="n"/>
      <c r="K1626" s="63">
        <f>IF(tblMovement[[#This Row],[Source]]="","",IFERROR(INDEX(tblSources[Type],MATCH(tblMovement[[#This Row],[Source]],tblSources[Source],0)),"?"))</f>
        <v/>
      </c>
      <c r="L1626" s="63">
        <f>IF(tblMovement[[#This Row],[Destination]]="","",IFERROR(INDEX(tblDestinations[Type],MATCH(tblMovement[[#This Row],[Destination]],tblDestinations[Destination],0)),"?"))</f>
        <v/>
      </c>
      <c r="M1626" s="64">
        <f>IF(tblMovement[[#This Row],[Material]]="","",IF(LEFT(tblMovement[[#This Row],[Material]],3)="Ore",1,0))</f>
        <v/>
      </c>
      <c r="N1626" s="59">
        <f>IF(OR(tblMovement[[#This Row],[Tonnes_t]]="",tblMovement[[#This Row],[Grade_gpt]]=""),0,tblMovement[[#This Row],[Tonnes_t]]*tblMovement[[#This Row],[Grade_gpt]]/cfg_TroyOz)</f>
        <v/>
      </c>
      <c r="O1626" s="59">
        <f>IF(tblMovement[[#This Row],[Is_Ore]]=1,tblMovement[[#This Row],[Contained_oz]],0)</f>
        <v/>
      </c>
    </row>
    <row r="1627">
      <c r="A1627" s="54" t="n"/>
      <c r="B1627" s="61" t="n"/>
      <c r="C1627" s="61" t="n"/>
      <c r="D1627" s="61" t="n"/>
      <c r="E1627" s="61" t="n"/>
      <c r="F1627" s="55" t="n"/>
      <c r="G1627" s="56" t="n"/>
      <c r="H1627" s="55" t="n"/>
      <c r="I1627" s="62" t="n"/>
      <c r="J1627" s="58" t="n"/>
      <c r="K1627" s="63">
        <f>IF(tblMovement[[#This Row],[Source]]="","",IFERROR(INDEX(tblSources[Type],MATCH(tblMovement[[#This Row],[Source]],tblSources[Source],0)),"?"))</f>
        <v/>
      </c>
      <c r="L1627" s="63">
        <f>IF(tblMovement[[#This Row],[Destination]]="","",IFERROR(INDEX(tblDestinations[Type],MATCH(tblMovement[[#This Row],[Destination]],tblDestinations[Destination],0)),"?"))</f>
        <v/>
      </c>
      <c r="M1627" s="64">
        <f>IF(tblMovement[[#This Row],[Material]]="","",IF(LEFT(tblMovement[[#This Row],[Material]],3)="Ore",1,0))</f>
        <v/>
      </c>
      <c r="N1627" s="59">
        <f>IF(OR(tblMovement[[#This Row],[Tonnes_t]]="",tblMovement[[#This Row],[Grade_gpt]]=""),0,tblMovement[[#This Row],[Tonnes_t]]*tblMovement[[#This Row],[Grade_gpt]]/cfg_TroyOz)</f>
        <v/>
      </c>
      <c r="O1627" s="59">
        <f>IF(tblMovement[[#This Row],[Is_Ore]]=1,tblMovement[[#This Row],[Contained_oz]],0)</f>
        <v/>
      </c>
    </row>
    <row r="1628">
      <c r="A1628" s="54" t="n"/>
      <c r="B1628" s="61" t="n"/>
      <c r="C1628" s="61" t="n"/>
      <c r="D1628" s="61" t="n"/>
      <c r="E1628" s="61" t="n"/>
      <c r="F1628" s="55" t="n"/>
      <c r="G1628" s="56" t="n"/>
      <c r="H1628" s="55" t="n"/>
      <c r="I1628" s="62" t="n"/>
      <c r="J1628" s="58" t="n"/>
      <c r="K1628" s="63">
        <f>IF(tblMovement[[#This Row],[Source]]="","",IFERROR(INDEX(tblSources[Type],MATCH(tblMovement[[#This Row],[Source]],tblSources[Source],0)),"?"))</f>
        <v/>
      </c>
      <c r="L1628" s="63">
        <f>IF(tblMovement[[#This Row],[Destination]]="","",IFERROR(INDEX(tblDestinations[Type],MATCH(tblMovement[[#This Row],[Destination]],tblDestinations[Destination],0)),"?"))</f>
        <v/>
      </c>
      <c r="M1628" s="64">
        <f>IF(tblMovement[[#This Row],[Material]]="","",IF(LEFT(tblMovement[[#This Row],[Material]],3)="Ore",1,0))</f>
        <v/>
      </c>
      <c r="N1628" s="59">
        <f>IF(OR(tblMovement[[#This Row],[Tonnes_t]]="",tblMovement[[#This Row],[Grade_gpt]]=""),0,tblMovement[[#This Row],[Tonnes_t]]*tblMovement[[#This Row],[Grade_gpt]]/cfg_TroyOz)</f>
        <v/>
      </c>
      <c r="O1628" s="59">
        <f>IF(tblMovement[[#This Row],[Is_Ore]]=1,tblMovement[[#This Row],[Contained_oz]],0)</f>
        <v/>
      </c>
    </row>
    <row r="1629">
      <c r="A1629" s="54" t="n"/>
      <c r="B1629" s="61" t="n"/>
      <c r="C1629" s="61" t="n"/>
      <c r="D1629" s="61" t="n"/>
      <c r="E1629" s="61" t="n"/>
      <c r="F1629" s="55" t="n"/>
      <c r="G1629" s="56" t="n"/>
      <c r="H1629" s="55" t="n"/>
      <c r="I1629" s="62" t="n"/>
      <c r="J1629" s="58" t="n"/>
      <c r="K1629" s="63">
        <f>IF(tblMovement[[#This Row],[Source]]="","",IFERROR(INDEX(tblSources[Type],MATCH(tblMovement[[#This Row],[Source]],tblSources[Source],0)),"?"))</f>
        <v/>
      </c>
      <c r="L1629" s="63">
        <f>IF(tblMovement[[#This Row],[Destination]]="","",IFERROR(INDEX(tblDestinations[Type],MATCH(tblMovement[[#This Row],[Destination]],tblDestinations[Destination],0)),"?"))</f>
        <v/>
      </c>
      <c r="M1629" s="64">
        <f>IF(tblMovement[[#This Row],[Material]]="","",IF(LEFT(tblMovement[[#This Row],[Material]],3)="Ore",1,0))</f>
        <v/>
      </c>
      <c r="N1629" s="59">
        <f>IF(OR(tblMovement[[#This Row],[Tonnes_t]]="",tblMovement[[#This Row],[Grade_gpt]]=""),0,tblMovement[[#This Row],[Tonnes_t]]*tblMovement[[#This Row],[Grade_gpt]]/cfg_TroyOz)</f>
        <v/>
      </c>
      <c r="O1629" s="59">
        <f>IF(tblMovement[[#This Row],[Is_Ore]]=1,tblMovement[[#This Row],[Contained_oz]],0)</f>
        <v/>
      </c>
    </row>
    <row r="1630">
      <c r="A1630" s="54" t="n"/>
      <c r="B1630" s="61" t="n"/>
      <c r="C1630" s="61" t="n"/>
      <c r="D1630" s="61" t="n"/>
      <c r="E1630" s="61" t="n"/>
      <c r="F1630" s="55" t="n"/>
      <c r="G1630" s="56" t="n"/>
      <c r="H1630" s="55" t="n"/>
      <c r="I1630" s="62" t="n"/>
      <c r="J1630" s="58" t="n"/>
      <c r="K1630" s="63">
        <f>IF(tblMovement[[#This Row],[Source]]="","",IFERROR(INDEX(tblSources[Type],MATCH(tblMovement[[#This Row],[Source]],tblSources[Source],0)),"?"))</f>
        <v/>
      </c>
      <c r="L1630" s="63">
        <f>IF(tblMovement[[#This Row],[Destination]]="","",IFERROR(INDEX(tblDestinations[Type],MATCH(tblMovement[[#This Row],[Destination]],tblDestinations[Destination],0)),"?"))</f>
        <v/>
      </c>
      <c r="M1630" s="64">
        <f>IF(tblMovement[[#This Row],[Material]]="","",IF(LEFT(tblMovement[[#This Row],[Material]],3)="Ore",1,0))</f>
        <v/>
      </c>
      <c r="N1630" s="59">
        <f>IF(OR(tblMovement[[#This Row],[Tonnes_t]]="",tblMovement[[#This Row],[Grade_gpt]]=""),0,tblMovement[[#This Row],[Tonnes_t]]*tblMovement[[#This Row],[Grade_gpt]]/cfg_TroyOz)</f>
        <v/>
      </c>
      <c r="O1630" s="59">
        <f>IF(tblMovement[[#This Row],[Is_Ore]]=1,tblMovement[[#This Row],[Contained_oz]],0)</f>
        <v/>
      </c>
    </row>
    <row r="1631">
      <c r="A1631" s="54" t="n"/>
      <c r="B1631" s="61" t="n"/>
      <c r="C1631" s="61" t="n"/>
      <c r="D1631" s="61" t="n"/>
      <c r="E1631" s="61" t="n"/>
      <c r="F1631" s="55" t="n"/>
      <c r="G1631" s="56" t="n"/>
      <c r="H1631" s="55" t="n"/>
      <c r="I1631" s="62" t="n"/>
      <c r="J1631" s="58" t="n"/>
      <c r="K1631" s="63">
        <f>IF(tblMovement[[#This Row],[Source]]="","",IFERROR(INDEX(tblSources[Type],MATCH(tblMovement[[#This Row],[Source]],tblSources[Source],0)),"?"))</f>
        <v/>
      </c>
      <c r="L1631" s="63">
        <f>IF(tblMovement[[#This Row],[Destination]]="","",IFERROR(INDEX(tblDestinations[Type],MATCH(tblMovement[[#This Row],[Destination]],tblDestinations[Destination],0)),"?"))</f>
        <v/>
      </c>
      <c r="M1631" s="64">
        <f>IF(tblMovement[[#This Row],[Material]]="","",IF(LEFT(tblMovement[[#This Row],[Material]],3)="Ore",1,0))</f>
        <v/>
      </c>
      <c r="N1631" s="59">
        <f>IF(OR(tblMovement[[#This Row],[Tonnes_t]]="",tblMovement[[#This Row],[Grade_gpt]]=""),0,tblMovement[[#This Row],[Tonnes_t]]*tblMovement[[#This Row],[Grade_gpt]]/cfg_TroyOz)</f>
        <v/>
      </c>
      <c r="O1631" s="59">
        <f>IF(tblMovement[[#This Row],[Is_Ore]]=1,tblMovement[[#This Row],[Contained_oz]],0)</f>
        <v/>
      </c>
    </row>
    <row r="1632">
      <c r="A1632" s="54" t="n"/>
      <c r="B1632" s="61" t="n"/>
      <c r="C1632" s="61" t="n"/>
      <c r="D1632" s="61" t="n"/>
      <c r="E1632" s="61" t="n"/>
      <c r="F1632" s="55" t="n"/>
      <c r="G1632" s="56" t="n"/>
      <c r="H1632" s="55" t="n"/>
      <c r="I1632" s="62" t="n"/>
      <c r="J1632" s="58" t="n"/>
      <c r="K1632" s="63">
        <f>IF(tblMovement[[#This Row],[Source]]="","",IFERROR(INDEX(tblSources[Type],MATCH(tblMovement[[#This Row],[Source]],tblSources[Source],0)),"?"))</f>
        <v/>
      </c>
      <c r="L1632" s="63">
        <f>IF(tblMovement[[#This Row],[Destination]]="","",IFERROR(INDEX(tblDestinations[Type],MATCH(tblMovement[[#This Row],[Destination]],tblDestinations[Destination],0)),"?"))</f>
        <v/>
      </c>
      <c r="M1632" s="64">
        <f>IF(tblMovement[[#This Row],[Material]]="","",IF(LEFT(tblMovement[[#This Row],[Material]],3)="Ore",1,0))</f>
        <v/>
      </c>
      <c r="N1632" s="59">
        <f>IF(OR(tblMovement[[#This Row],[Tonnes_t]]="",tblMovement[[#This Row],[Grade_gpt]]=""),0,tblMovement[[#This Row],[Tonnes_t]]*tblMovement[[#This Row],[Grade_gpt]]/cfg_TroyOz)</f>
        <v/>
      </c>
      <c r="O1632" s="59">
        <f>IF(tblMovement[[#This Row],[Is_Ore]]=1,tblMovement[[#This Row],[Contained_oz]],0)</f>
        <v/>
      </c>
    </row>
    <row r="1633">
      <c r="A1633" s="54" t="n"/>
      <c r="B1633" s="61" t="n"/>
      <c r="C1633" s="61" t="n"/>
      <c r="D1633" s="61" t="n"/>
      <c r="E1633" s="61" t="n"/>
      <c r="F1633" s="55" t="n"/>
      <c r="G1633" s="56" t="n"/>
      <c r="H1633" s="55" t="n"/>
      <c r="I1633" s="62" t="n"/>
      <c r="J1633" s="58" t="n"/>
      <c r="K1633" s="63">
        <f>IF(tblMovement[[#This Row],[Source]]="","",IFERROR(INDEX(tblSources[Type],MATCH(tblMovement[[#This Row],[Source]],tblSources[Source],0)),"?"))</f>
        <v/>
      </c>
      <c r="L1633" s="63">
        <f>IF(tblMovement[[#This Row],[Destination]]="","",IFERROR(INDEX(tblDestinations[Type],MATCH(tblMovement[[#This Row],[Destination]],tblDestinations[Destination],0)),"?"))</f>
        <v/>
      </c>
      <c r="M1633" s="64">
        <f>IF(tblMovement[[#This Row],[Material]]="","",IF(LEFT(tblMovement[[#This Row],[Material]],3)="Ore",1,0))</f>
        <v/>
      </c>
      <c r="N1633" s="59">
        <f>IF(OR(tblMovement[[#This Row],[Tonnes_t]]="",tblMovement[[#This Row],[Grade_gpt]]=""),0,tblMovement[[#This Row],[Tonnes_t]]*tblMovement[[#This Row],[Grade_gpt]]/cfg_TroyOz)</f>
        <v/>
      </c>
      <c r="O1633" s="59">
        <f>IF(tblMovement[[#This Row],[Is_Ore]]=1,tblMovement[[#This Row],[Contained_oz]],0)</f>
        <v/>
      </c>
    </row>
    <row r="1634">
      <c r="A1634" s="54" t="n"/>
      <c r="B1634" s="61" t="n"/>
      <c r="C1634" s="61" t="n"/>
      <c r="D1634" s="61" t="n"/>
      <c r="E1634" s="61" t="n"/>
      <c r="F1634" s="55" t="n"/>
      <c r="G1634" s="56" t="n"/>
      <c r="H1634" s="55" t="n"/>
      <c r="I1634" s="62" t="n"/>
      <c r="J1634" s="58" t="n"/>
      <c r="K1634" s="63">
        <f>IF(tblMovement[[#This Row],[Source]]="","",IFERROR(INDEX(tblSources[Type],MATCH(tblMovement[[#This Row],[Source]],tblSources[Source],0)),"?"))</f>
        <v/>
      </c>
      <c r="L1634" s="63">
        <f>IF(tblMovement[[#This Row],[Destination]]="","",IFERROR(INDEX(tblDestinations[Type],MATCH(tblMovement[[#This Row],[Destination]],tblDestinations[Destination],0)),"?"))</f>
        <v/>
      </c>
      <c r="M1634" s="64">
        <f>IF(tblMovement[[#This Row],[Material]]="","",IF(LEFT(tblMovement[[#This Row],[Material]],3)="Ore",1,0))</f>
        <v/>
      </c>
      <c r="N1634" s="59">
        <f>IF(OR(tblMovement[[#This Row],[Tonnes_t]]="",tblMovement[[#This Row],[Grade_gpt]]=""),0,tblMovement[[#This Row],[Tonnes_t]]*tblMovement[[#This Row],[Grade_gpt]]/cfg_TroyOz)</f>
        <v/>
      </c>
      <c r="O1634" s="59">
        <f>IF(tblMovement[[#This Row],[Is_Ore]]=1,tblMovement[[#This Row],[Contained_oz]],0)</f>
        <v/>
      </c>
    </row>
    <row r="1635">
      <c r="A1635" s="54" t="n"/>
      <c r="B1635" s="61" t="n"/>
      <c r="C1635" s="61" t="n"/>
      <c r="D1635" s="61" t="n"/>
      <c r="E1635" s="61" t="n"/>
      <c r="F1635" s="55" t="n"/>
      <c r="G1635" s="56" t="n"/>
      <c r="H1635" s="55" t="n"/>
      <c r="I1635" s="62" t="n"/>
      <c r="J1635" s="58" t="n"/>
      <c r="K1635" s="63">
        <f>IF(tblMovement[[#This Row],[Source]]="","",IFERROR(INDEX(tblSources[Type],MATCH(tblMovement[[#This Row],[Source]],tblSources[Source],0)),"?"))</f>
        <v/>
      </c>
      <c r="L1635" s="63">
        <f>IF(tblMovement[[#This Row],[Destination]]="","",IFERROR(INDEX(tblDestinations[Type],MATCH(tblMovement[[#This Row],[Destination]],tblDestinations[Destination],0)),"?"))</f>
        <v/>
      </c>
      <c r="M1635" s="64">
        <f>IF(tblMovement[[#This Row],[Material]]="","",IF(LEFT(tblMovement[[#This Row],[Material]],3)="Ore",1,0))</f>
        <v/>
      </c>
      <c r="N1635" s="59">
        <f>IF(OR(tblMovement[[#This Row],[Tonnes_t]]="",tblMovement[[#This Row],[Grade_gpt]]=""),0,tblMovement[[#This Row],[Tonnes_t]]*tblMovement[[#This Row],[Grade_gpt]]/cfg_TroyOz)</f>
        <v/>
      </c>
      <c r="O1635" s="59">
        <f>IF(tblMovement[[#This Row],[Is_Ore]]=1,tblMovement[[#This Row],[Contained_oz]],0)</f>
        <v/>
      </c>
    </row>
    <row r="1636">
      <c r="A1636" s="54" t="n"/>
      <c r="B1636" s="61" t="n"/>
      <c r="C1636" s="61" t="n"/>
      <c r="D1636" s="61" t="n"/>
      <c r="E1636" s="61" t="n"/>
      <c r="F1636" s="55" t="n"/>
      <c r="G1636" s="56" t="n"/>
      <c r="H1636" s="55" t="n"/>
      <c r="I1636" s="62" t="n"/>
      <c r="J1636" s="58" t="n"/>
      <c r="K1636" s="63">
        <f>IF(tblMovement[[#This Row],[Source]]="","",IFERROR(INDEX(tblSources[Type],MATCH(tblMovement[[#This Row],[Source]],tblSources[Source],0)),"?"))</f>
        <v/>
      </c>
      <c r="L1636" s="63">
        <f>IF(tblMovement[[#This Row],[Destination]]="","",IFERROR(INDEX(tblDestinations[Type],MATCH(tblMovement[[#This Row],[Destination]],tblDestinations[Destination],0)),"?"))</f>
        <v/>
      </c>
      <c r="M1636" s="64">
        <f>IF(tblMovement[[#This Row],[Material]]="","",IF(LEFT(tblMovement[[#This Row],[Material]],3)="Ore",1,0))</f>
        <v/>
      </c>
      <c r="N1636" s="59">
        <f>IF(OR(tblMovement[[#This Row],[Tonnes_t]]="",tblMovement[[#This Row],[Grade_gpt]]=""),0,tblMovement[[#This Row],[Tonnes_t]]*tblMovement[[#This Row],[Grade_gpt]]/cfg_TroyOz)</f>
        <v/>
      </c>
      <c r="O1636" s="59">
        <f>IF(tblMovement[[#This Row],[Is_Ore]]=1,tblMovement[[#This Row],[Contained_oz]],0)</f>
        <v/>
      </c>
    </row>
    <row r="1637">
      <c r="A1637" s="54" t="n"/>
      <c r="B1637" s="61" t="n"/>
      <c r="C1637" s="61" t="n"/>
      <c r="D1637" s="61" t="n"/>
      <c r="E1637" s="61" t="n"/>
      <c r="F1637" s="55" t="n"/>
      <c r="G1637" s="56" t="n"/>
      <c r="H1637" s="55" t="n"/>
      <c r="I1637" s="62" t="n"/>
      <c r="J1637" s="58" t="n"/>
      <c r="K1637" s="63">
        <f>IF(tblMovement[[#This Row],[Source]]="","",IFERROR(INDEX(tblSources[Type],MATCH(tblMovement[[#This Row],[Source]],tblSources[Source],0)),"?"))</f>
        <v/>
      </c>
      <c r="L1637" s="63">
        <f>IF(tblMovement[[#This Row],[Destination]]="","",IFERROR(INDEX(tblDestinations[Type],MATCH(tblMovement[[#This Row],[Destination]],tblDestinations[Destination],0)),"?"))</f>
        <v/>
      </c>
      <c r="M1637" s="64">
        <f>IF(tblMovement[[#This Row],[Material]]="","",IF(LEFT(tblMovement[[#This Row],[Material]],3)="Ore",1,0))</f>
        <v/>
      </c>
      <c r="N1637" s="59">
        <f>IF(OR(tblMovement[[#This Row],[Tonnes_t]]="",tblMovement[[#This Row],[Grade_gpt]]=""),0,tblMovement[[#This Row],[Tonnes_t]]*tblMovement[[#This Row],[Grade_gpt]]/cfg_TroyOz)</f>
        <v/>
      </c>
      <c r="O1637" s="59">
        <f>IF(tblMovement[[#This Row],[Is_Ore]]=1,tblMovement[[#This Row],[Contained_oz]],0)</f>
        <v/>
      </c>
    </row>
    <row r="1638">
      <c r="A1638" s="54" t="n"/>
      <c r="B1638" s="61" t="n"/>
      <c r="C1638" s="61" t="n"/>
      <c r="D1638" s="61" t="n"/>
      <c r="E1638" s="61" t="n"/>
      <c r="F1638" s="55" t="n"/>
      <c r="G1638" s="56" t="n"/>
      <c r="H1638" s="55" t="n"/>
      <c r="I1638" s="62" t="n"/>
      <c r="J1638" s="58" t="n"/>
      <c r="K1638" s="63">
        <f>IF(tblMovement[[#This Row],[Source]]="","",IFERROR(INDEX(tblSources[Type],MATCH(tblMovement[[#This Row],[Source]],tblSources[Source],0)),"?"))</f>
        <v/>
      </c>
      <c r="L1638" s="63">
        <f>IF(tblMovement[[#This Row],[Destination]]="","",IFERROR(INDEX(tblDestinations[Type],MATCH(tblMovement[[#This Row],[Destination]],tblDestinations[Destination],0)),"?"))</f>
        <v/>
      </c>
      <c r="M1638" s="64">
        <f>IF(tblMovement[[#This Row],[Material]]="","",IF(LEFT(tblMovement[[#This Row],[Material]],3)="Ore",1,0))</f>
        <v/>
      </c>
      <c r="N1638" s="59">
        <f>IF(OR(tblMovement[[#This Row],[Tonnes_t]]="",tblMovement[[#This Row],[Grade_gpt]]=""),0,tblMovement[[#This Row],[Tonnes_t]]*tblMovement[[#This Row],[Grade_gpt]]/cfg_TroyOz)</f>
        <v/>
      </c>
      <c r="O1638" s="59">
        <f>IF(tblMovement[[#This Row],[Is_Ore]]=1,tblMovement[[#This Row],[Contained_oz]],0)</f>
        <v/>
      </c>
    </row>
    <row r="1639">
      <c r="A1639" s="54" t="n"/>
      <c r="B1639" s="61" t="n"/>
      <c r="C1639" s="61" t="n"/>
      <c r="D1639" s="61" t="n"/>
      <c r="E1639" s="61" t="n"/>
      <c r="F1639" s="55" t="n"/>
      <c r="G1639" s="56" t="n"/>
      <c r="H1639" s="55" t="n"/>
      <c r="I1639" s="62" t="n"/>
      <c r="J1639" s="58" t="n"/>
      <c r="K1639" s="63">
        <f>IF(tblMovement[[#This Row],[Source]]="","",IFERROR(INDEX(tblSources[Type],MATCH(tblMovement[[#This Row],[Source]],tblSources[Source],0)),"?"))</f>
        <v/>
      </c>
      <c r="L1639" s="63">
        <f>IF(tblMovement[[#This Row],[Destination]]="","",IFERROR(INDEX(tblDestinations[Type],MATCH(tblMovement[[#This Row],[Destination]],tblDestinations[Destination],0)),"?"))</f>
        <v/>
      </c>
      <c r="M1639" s="64">
        <f>IF(tblMovement[[#This Row],[Material]]="","",IF(LEFT(tblMovement[[#This Row],[Material]],3)="Ore",1,0))</f>
        <v/>
      </c>
      <c r="N1639" s="59">
        <f>IF(OR(tblMovement[[#This Row],[Tonnes_t]]="",tblMovement[[#This Row],[Grade_gpt]]=""),0,tblMovement[[#This Row],[Tonnes_t]]*tblMovement[[#This Row],[Grade_gpt]]/cfg_TroyOz)</f>
        <v/>
      </c>
      <c r="O1639" s="59">
        <f>IF(tblMovement[[#This Row],[Is_Ore]]=1,tblMovement[[#This Row],[Contained_oz]],0)</f>
        <v/>
      </c>
    </row>
    <row r="1640">
      <c r="A1640" s="54" t="n"/>
      <c r="B1640" s="61" t="n"/>
      <c r="C1640" s="61" t="n"/>
      <c r="D1640" s="61" t="n"/>
      <c r="E1640" s="61" t="n"/>
      <c r="F1640" s="55" t="n"/>
      <c r="G1640" s="56" t="n"/>
      <c r="H1640" s="55" t="n"/>
      <c r="I1640" s="62" t="n"/>
      <c r="J1640" s="58" t="n"/>
      <c r="K1640" s="63">
        <f>IF(tblMovement[[#This Row],[Source]]="","",IFERROR(INDEX(tblSources[Type],MATCH(tblMovement[[#This Row],[Source]],tblSources[Source],0)),"?"))</f>
        <v/>
      </c>
      <c r="L1640" s="63">
        <f>IF(tblMovement[[#This Row],[Destination]]="","",IFERROR(INDEX(tblDestinations[Type],MATCH(tblMovement[[#This Row],[Destination]],tblDestinations[Destination],0)),"?"))</f>
        <v/>
      </c>
      <c r="M1640" s="64">
        <f>IF(tblMovement[[#This Row],[Material]]="","",IF(LEFT(tblMovement[[#This Row],[Material]],3)="Ore",1,0))</f>
        <v/>
      </c>
      <c r="N1640" s="59">
        <f>IF(OR(tblMovement[[#This Row],[Tonnes_t]]="",tblMovement[[#This Row],[Grade_gpt]]=""),0,tblMovement[[#This Row],[Tonnes_t]]*tblMovement[[#This Row],[Grade_gpt]]/cfg_TroyOz)</f>
        <v/>
      </c>
      <c r="O1640" s="59">
        <f>IF(tblMovement[[#This Row],[Is_Ore]]=1,tblMovement[[#This Row],[Contained_oz]],0)</f>
        <v/>
      </c>
    </row>
    <row r="1641">
      <c r="A1641" s="54" t="n"/>
      <c r="B1641" s="61" t="n"/>
      <c r="C1641" s="61" t="n"/>
      <c r="D1641" s="61" t="n"/>
      <c r="E1641" s="61" t="n"/>
      <c r="F1641" s="55" t="n"/>
      <c r="G1641" s="56" t="n"/>
      <c r="H1641" s="55" t="n"/>
      <c r="I1641" s="62" t="n"/>
      <c r="J1641" s="58" t="n"/>
      <c r="K1641" s="63">
        <f>IF(tblMovement[[#This Row],[Source]]="","",IFERROR(INDEX(tblSources[Type],MATCH(tblMovement[[#This Row],[Source]],tblSources[Source],0)),"?"))</f>
        <v/>
      </c>
      <c r="L1641" s="63">
        <f>IF(tblMovement[[#This Row],[Destination]]="","",IFERROR(INDEX(tblDestinations[Type],MATCH(tblMovement[[#This Row],[Destination]],tblDestinations[Destination],0)),"?"))</f>
        <v/>
      </c>
      <c r="M1641" s="64">
        <f>IF(tblMovement[[#This Row],[Material]]="","",IF(LEFT(tblMovement[[#This Row],[Material]],3)="Ore",1,0))</f>
        <v/>
      </c>
      <c r="N1641" s="59">
        <f>IF(OR(tblMovement[[#This Row],[Tonnes_t]]="",tblMovement[[#This Row],[Grade_gpt]]=""),0,tblMovement[[#This Row],[Tonnes_t]]*tblMovement[[#This Row],[Grade_gpt]]/cfg_TroyOz)</f>
        <v/>
      </c>
      <c r="O1641" s="59">
        <f>IF(tblMovement[[#This Row],[Is_Ore]]=1,tblMovement[[#This Row],[Contained_oz]],0)</f>
        <v/>
      </c>
    </row>
    <row r="1642">
      <c r="A1642" s="54" t="n"/>
      <c r="B1642" s="61" t="n"/>
      <c r="C1642" s="61" t="n"/>
      <c r="D1642" s="61" t="n"/>
      <c r="E1642" s="61" t="n"/>
      <c r="F1642" s="55" t="n"/>
      <c r="G1642" s="56" t="n"/>
      <c r="H1642" s="55" t="n"/>
      <c r="I1642" s="62" t="n"/>
      <c r="J1642" s="58" t="n"/>
      <c r="K1642" s="63">
        <f>IF(tblMovement[[#This Row],[Source]]="","",IFERROR(INDEX(tblSources[Type],MATCH(tblMovement[[#This Row],[Source]],tblSources[Source],0)),"?"))</f>
        <v/>
      </c>
      <c r="L1642" s="63">
        <f>IF(tblMovement[[#This Row],[Destination]]="","",IFERROR(INDEX(tblDestinations[Type],MATCH(tblMovement[[#This Row],[Destination]],tblDestinations[Destination],0)),"?"))</f>
        <v/>
      </c>
      <c r="M1642" s="64">
        <f>IF(tblMovement[[#This Row],[Material]]="","",IF(LEFT(tblMovement[[#This Row],[Material]],3)="Ore",1,0))</f>
        <v/>
      </c>
      <c r="N1642" s="59">
        <f>IF(OR(tblMovement[[#This Row],[Tonnes_t]]="",tblMovement[[#This Row],[Grade_gpt]]=""),0,tblMovement[[#This Row],[Tonnes_t]]*tblMovement[[#This Row],[Grade_gpt]]/cfg_TroyOz)</f>
        <v/>
      </c>
      <c r="O1642" s="59">
        <f>IF(tblMovement[[#This Row],[Is_Ore]]=1,tblMovement[[#This Row],[Contained_oz]],0)</f>
        <v/>
      </c>
    </row>
    <row r="1643">
      <c r="A1643" s="54" t="n"/>
      <c r="B1643" s="61" t="n"/>
      <c r="C1643" s="61" t="n"/>
      <c r="D1643" s="61" t="n"/>
      <c r="E1643" s="61" t="n"/>
      <c r="F1643" s="55" t="n"/>
      <c r="G1643" s="56" t="n"/>
      <c r="H1643" s="55" t="n"/>
      <c r="I1643" s="62" t="n"/>
      <c r="J1643" s="58" t="n"/>
      <c r="K1643" s="63">
        <f>IF(tblMovement[[#This Row],[Source]]="","",IFERROR(INDEX(tblSources[Type],MATCH(tblMovement[[#This Row],[Source]],tblSources[Source],0)),"?"))</f>
        <v/>
      </c>
      <c r="L1643" s="63">
        <f>IF(tblMovement[[#This Row],[Destination]]="","",IFERROR(INDEX(tblDestinations[Type],MATCH(tblMovement[[#This Row],[Destination]],tblDestinations[Destination],0)),"?"))</f>
        <v/>
      </c>
      <c r="M1643" s="64">
        <f>IF(tblMovement[[#This Row],[Material]]="","",IF(LEFT(tblMovement[[#This Row],[Material]],3)="Ore",1,0))</f>
        <v/>
      </c>
      <c r="N1643" s="59">
        <f>IF(OR(tblMovement[[#This Row],[Tonnes_t]]="",tblMovement[[#This Row],[Grade_gpt]]=""),0,tblMovement[[#This Row],[Tonnes_t]]*tblMovement[[#This Row],[Grade_gpt]]/cfg_TroyOz)</f>
        <v/>
      </c>
      <c r="O1643" s="59">
        <f>IF(tblMovement[[#This Row],[Is_Ore]]=1,tblMovement[[#This Row],[Contained_oz]],0)</f>
        <v/>
      </c>
    </row>
    <row r="1644">
      <c r="A1644" s="54" t="n"/>
      <c r="B1644" s="61" t="n"/>
      <c r="C1644" s="61" t="n"/>
      <c r="D1644" s="61" t="n"/>
      <c r="E1644" s="61" t="n"/>
      <c r="F1644" s="55" t="n"/>
      <c r="G1644" s="56" t="n"/>
      <c r="H1644" s="55" t="n"/>
      <c r="I1644" s="62" t="n"/>
      <c r="J1644" s="58" t="n"/>
      <c r="K1644" s="63">
        <f>IF(tblMovement[[#This Row],[Source]]="","",IFERROR(INDEX(tblSources[Type],MATCH(tblMovement[[#This Row],[Source]],tblSources[Source],0)),"?"))</f>
        <v/>
      </c>
      <c r="L1644" s="63">
        <f>IF(tblMovement[[#This Row],[Destination]]="","",IFERROR(INDEX(tblDestinations[Type],MATCH(tblMovement[[#This Row],[Destination]],tblDestinations[Destination],0)),"?"))</f>
        <v/>
      </c>
      <c r="M1644" s="64">
        <f>IF(tblMovement[[#This Row],[Material]]="","",IF(LEFT(tblMovement[[#This Row],[Material]],3)="Ore",1,0))</f>
        <v/>
      </c>
      <c r="N1644" s="59">
        <f>IF(OR(tblMovement[[#This Row],[Tonnes_t]]="",tblMovement[[#This Row],[Grade_gpt]]=""),0,tblMovement[[#This Row],[Tonnes_t]]*tblMovement[[#This Row],[Grade_gpt]]/cfg_TroyOz)</f>
        <v/>
      </c>
      <c r="O1644" s="59">
        <f>IF(tblMovement[[#This Row],[Is_Ore]]=1,tblMovement[[#This Row],[Contained_oz]],0)</f>
        <v/>
      </c>
    </row>
    <row r="1645">
      <c r="A1645" s="54" t="n"/>
      <c r="B1645" s="61" t="n"/>
      <c r="C1645" s="61" t="n"/>
      <c r="D1645" s="61" t="n"/>
      <c r="E1645" s="61" t="n"/>
      <c r="F1645" s="55" t="n"/>
      <c r="G1645" s="56" t="n"/>
      <c r="H1645" s="55" t="n"/>
      <c r="I1645" s="62" t="n"/>
      <c r="J1645" s="58" t="n"/>
      <c r="K1645" s="63">
        <f>IF(tblMovement[[#This Row],[Source]]="","",IFERROR(INDEX(tblSources[Type],MATCH(tblMovement[[#This Row],[Source]],tblSources[Source],0)),"?"))</f>
        <v/>
      </c>
      <c r="L1645" s="63">
        <f>IF(tblMovement[[#This Row],[Destination]]="","",IFERROR(INDEX(tblDestinations[Type],MATCH(tblMovement[[#This Row],[Destination]],tblDestinations[Destination],0)),"?"))</f>
        <v/>
      </c>
      <c r="M1645" s="64">
        <f>IF(tblMovement[[#This Row],[Material]]="","",IF(LEFT(tblMovement[[#This Row],[Material]],3)="Ore",1,0))</f>
        <v/>
      </c>
      <c r="N1645" s="59">
        <f>IF(OR(tblMovement[[#This Row],[Tonnes_t]]="",tblMovement[[#This Row],[Grade_gpt]]=""),0,tblMovement[[#This Row],[Tonnes_t]]*tblMovement[[#This Row],[Grade_gpt]]/cfg_TroyOz)</f>
        <v/>
      </c>
      <c r="O1645" s="59">
        <f>IF(tblMovement[[#This Row],[Is_Ore]]=1,tblMovement[[#This Row],[Contained_oz]],0)</f>
        <v/>
      </c>
    </row>
    <row r="1646">
      <c r="A1646" s="54" t="n"/>
      <c r="B1646" s="61" t="n"/>
      <c r="C1646" s="61" t="n"/>
      <c r="D1646" s="61" t="n"/>
      <c r="E1646" s="61" t="n"/>
      <c r="F1646" s="55" t="n"/>
      <c r="G1646" s="56" t="n"/>
      <c r="H1646" s="55" t="n"/>
      <c r="I1646" s="62" t="n"/>
      <c r="J1646" s="58" t="n"/>
      <c r="K1646" s="63">
        <f>IF(tblMovement[[#This Row],[Source]]="","",IFERROR(INDEX(tblSources[Type],MATCH(tblMovement[[#This Row],[Source]],tblSources[Source],0)),"?"))</f>
        <v/>
      </c>
      <c r="L1646" s="63">
        <f>IF(tblMovement[[#This Row],[Destination]]="","",IFERROR(INDEX(tblDestinations[Type],MATCH(tblMovement[[#This Row],[Destination]],tblDestinations[Destination],0)),"?"))</f>
        <v/>
      </c>
      <c r="M1646" s="64">
        <f>IF(tblMovement[[#This Row],[Material]]="","",IF(LEFT(tblMovement[[#This Row],[Material]],3)="Ore",1,0))</f>
        <v/>
      </c>
      <c r="N1646" s="59">
        <f>IF(OR(tblMovement[[#This Row],[Tonnes_t]]="",tblMovement[[#This Row],[Grade_gpt]]=""),0,tblMovement[[#This Row],[Tonnes_t]]*tblMovement[[#This Row],[Grade_gpt]]/cfg_TroyOz)</f>
        <v/>
      </c>
      <c r="O1646" s="59">
        <f>IF(tblMovement[[#This Row],[Is_Ore]]=1,tblMovement[[#This Row],[Contained_oz]],0)</f>
        <v/>
      </c>
    </row>
    <row r="1647">
      <c r="A1647" s="54" t="n"/>
      <c r="B1647" s="61" t="n"/>
      <c r="C1647" s="61" t="n"/>
      <c r="D1647" s="61" t="n"/>
      <c r="E1647" s="61" t="n"/>
      <c r="F1647" s="55" t="n"/>
      <c r="G1647" s="56" t="n"/>
      <c r="H1647" s="55" t="n"/>
      <c r="I1647" s="62" t="n"/>
      <c r="J1647" s="58" t="n"/>
      <c r="K1647" s="63">
        <f>IF(tblMovement[[#This Row],[Source]]="","",IFERROR(INDEX(tblSources[Type],MATCH(tblMovement[[#This Row],[Source]],tblSources[Source],0)),"?"))</f>
        <v/>
      </c>
      <c r="L1647" s="63">
        <f>IF(tblMovement[[#This Row],[Destination]]="","",IFERROR(INDEX(tblDestinations[Type],MATCH(tblMovement[[#This Row],[Destination]],tblDestinations[Destination],0)),"?"))</f>
        <v/>
      </c>
      <c r="M1647" s="64">
        <f>IF(tblMovement[[#This Row],[Material]]="","",IF(LEFT(tblMovement[[#This Row],[Material]],3)="Ore",1,0))</f>
        <v/>
      </c>
      <c r="N1647" s="59">
        <f>IF(OR(tblMovement[[#This Row],[Tonnes_t]]="",tblMovement[[#This Row],[Grade_gpt]]=""),0,tblMovement[[#This Row],[Tonnes_t]]*tblMovement[[#This Row],[Grade_gpt]]/cfg_TroyOz)</f>
        <v/>
      </c>
      <c r="O1647" s="59">
        <f>IF(tblMovement[[#This Row],[Is_Ore]]=1,tblMovement[[#This Row],[Contained_oz]],0)</f>
        <v/>
      </c>
    </row>
    <row r="1648">
      <c r="A1648" s="54" t="n"/>
      <c r="B1648" s="61" t="n"/>
      <c r="C1648" s="61" t="n"/>
      <c r="D1648" s="61" t="n"/>
      <c r="E1648" s="61" t="n"/>
      <c r="F1648" s="55" t="n"/>
      <c r="G1648" s="56" t="n"/>
      <c r="H1648" s="55" t="n"/>
      <c r="I1648" s="62" t="n"/>
      <c r="J1648" s="58" t="n"/>
      <c r="K1648" s="63">
        <f>IF(tblMovement[[#This Row],[Source]]="","",IFERROR(INDEX(tblSources[Type],MATCH(tblMovement[[#This Row],[Source]],tblSources[Source],0)),"?"))</f>
        <v/>
      </c>
      <c r="L1648" s="63">
        <f>IF(tblMovement[[#This Row],[Destination]]="","",IFERROR(INDEX(tblDestinations[Type],MATCH(tblMovement[[#This Row],[Destination]],tblDestinations[Destination],0)),"?"))</f>
        <v/>
      </c>
      <c r="M1648" s="64">
        <f>IF(tblMovement[[#This Row],[Material]]="","",IF(LEFT(tblMovement[[#This Row],[Material]],3)="Ore",1,0))</f>
        <v/>
      </c>
      <c r="N1648" s="59">
        <f>IF(OR(tblMovement[[#This Row],[Tonnes_t]]="",tblMovement[[#This Row],[Grade_gpt]]=""),0,tblMovement[[#This Row],[Tonnes_t]]*tblMovement[[#This Row],[Grade_gpt]]/cfg_TroyOz)</f>
        <v/>
      </c>
      <c r="O1648" s="59">
        <f>IF(tblMovement[[#This Row],[Is_Ore]]=1,tblMovement[[#This Row],[Contained_oz]],0)</f>
        <v/>
      </c>
    </row>
    <row r="1649">
      <c r="A1649" s="54" t="n"/>
      <c r="B1649" s="61" t="n"/>
      <c r="C1649" s="61" t="n"/>
      <c r="D1649" s="61" t="n"/>
      <c r="E1649" s="61" t="n"/>
      <c r="F1649" s="55" t="n"/>
      <c r="G1649" s="56" t="n"/>
      <c r="H1649" s="55" t="n"/>
      <c r="I1649" s="62" t="n"/>
      <c r="J1649" s="58" t="n"/>
      <c r="K1649" s="63">
        <f>IF(tblMovement[[#This Row],[Source]]="","",IFERROR(INDEX(tblSources[Type],MATCH(tblMovement[[#This Row],[Source]],tblSources[Source],0)),"?"))</f>
        <v/>
      </c>
      <c r="L1649" s="63">
        <f>IF(tblMovement[[#This Row],[Destination]]="","",IFERROR(INDEX(tblDestinations[Type],MATCH(tblMovement[[#This Row],[Destination]],tblDestinations[Destination],0)),"?"))</f>
        <v/>
      </c>
      <c r="M1649" s="64">
        <f>IF(tblMovement[[#This Row],[Material]]="","",IF(LEFT(tblMovement[[#This Row],[Material]],3)="Ore",1,0))</f>
        <v/>
      </c>
      <c r="N1649" s="59">
        <f>IF(OR(tblMovement[[#This Row],[Tonnes_t]]="",tblMovement[[#This Row],[Grade_gpt]]=""),0,tblMovement[[#This Row],[Tonnes_t]]*tblMovement[[#This Row],[Grade_gpt]]/cfg_TroyOz)</f>
        <v/>
      </c>
      <c r="O1649" s="59">
        <f>IF(tblMovement[[#This Row],[Is_Ore]]=1,tblMovement[[#This Row],[Contained_oz]],0)</f>
        <v/>
      </c>
    </row>
    <row r="1650">
      <c r="A1650" s="54" t="n"/>
      <c r="B1650" s="61" t="n"/>
      <c r="C1650" s="61" t="n"/>
      <c r="D1650" s="61" t="n"/>
      <c r="E1650" s="61" t="n"/>
      <c r="F1650" s="55" t="n"/>
      <c r="G1650" s="56" t="n"/>
      <c r="H1650" s="55" t="n"/>
      <c r="I1650" s="62" t="n"/>
      <c r="J1650" s="58" t="n"/>
      <c r="K1650" s="63">
        <f>IF(tblMovement[[#This Row],[Source]]="","",IFERROR(INDEX(tblSources[Type],MATCH(tblMovement[[#This Row],[Source]],tblSources[Source],0)),"?"))</f>
        <v/>
      </c>
      <c r="L1650" s="63">
        <f>IF(tblMovement[[#This Row],[Destination]]="","",IFERROR(INDEX(tblDestinations[Type],MATCH(tblMovement[[#This Row],[Destination]],tblDestinations[Destination],0)),"?"))</f>
        <v/>
      </c>
      <c r="M1650" s="64">
        <f>IF(tblMovement[[#This Row],[Material]]="","",IF(LEFT(tblMovement[[#This Row],[Material]],3)="Ore",1,0))</f>
        <v/>
      </c>
      <c r="N1650" s="59">
        <f>IF(OR(tblMovement[[#This Row],[Tonnes_t]]="",tblMovement[[#This Row],[Grade_gpt]]=""),0,tblMovement[[#This Row],[Tonnes_t]]*tblMovement[[#This Row],[Grade_gpt]]/cfg_TroyOz)</f>
        <v/>
      </c>
      <c r="O1650" s="59">
        <f>IF(tblMovement[[#This Row],[Is_Ore]]=1,tblMovement[[#This Row],[Contained_oz]],0)</f>
        <v/>
      </c>
    </row>
    <row r="1651">
      <c r="A1651" s="54" t="n"/>
      <c r="B1651" s="61" t="n"/>
      <c r="C1651" s="61" t="n"/>
      <c r="D1651" s="61" t="n"/>
      <c r="E1651" s="61" t="n"/>
      <c r="F1651" s="55" t="n"/>
      <c r="G1651" s="56" t="n"/>
      <c r="H1651" s="55" t="n"/>
      <c r="I1651" s="62" t="n"/>
      <c r="J1651" s="58" t="n"/>
      <c r="K1651" s="63">
        <f>IF(tblMovement[[#This Row],[Source]]="","",IFERROR(INDEX(tblSources[Type],MATCH(tblMovement[[#This Row],[Source]],tblSources[Source],0)),"?"))</f>
        <v/>
      </c>
      <c r="L1651" s="63">
        <f>IF(tblMovement[[#This Row],[Destination]]="","",IFERROR(INDEX(tblDestinations[Type],MATCH(tblMovement[[#This Row],[Destination]],tblDestinations[Destination],0)),"?"))</f>
        <v/>
      </c>
      <c r="M1651" s="64">
        <f>IF(tblMovement[[#This Row],[Material]]="","",IF(LEFT(tblMovement[[#This Row],[Material]],3)="Ore",1,0))</f>
        <v/>
      </c>
      <c r="N1651" s="59">
        <f>IF(OR(tblMovement[[#This Row],[Tonnes_t]]="",tblMovement[[#This Row],[Grade_gpt]]=""),0,tblMovement[[#This Row],[Tonnes_t]]*tblMovement[[#This Row],[Grade_gpt]]/cfg_TroyOz)</f>
        <v/>
      </c>
      <c r="O1651" s="59">
        <f>IF(tblMovement[[#This Row],[Is_Ore]]=1,tblMovement[[#This Row],[Contained_oz]],0)</f>
        <v/>
      </c>
    </row>
    <row r="1652">
      <c r="A1652" s="54" t="n"/>
      <c r="B1652" s="61" t="n"/>
      <c r="C1652" s="61" t="n"/>
      <c r="D1652" s="61" t="n"/>
      <c r="E1652" s="61" t="n"/>
      <c r="F1652" s="55" t="n"/>
      <c r="G1652" s="56" t="n"/>
      <c r="H1652" s="55" t="n"/>
      <c r="I1652" s="62" t="n"/>
      <c r="J1652" s="58" t="n"/>
      <c r="K1652" s="63">
        <f>IF(tblMovement[[#This Row],[Source]]="","",IFERROR(INDEX(tblSources[Type],MATCH(tblMovement[[#This Row],[Source]],tblSources[Source],0)),"?"))</f>
        <v/>
      </c>
      <c r="L1652" s="63">
        <f>IF(tblMovement[[#This Row],[Destination]]="","",IFERROR(INDEX(tblDestinations[Type],MATCH(tblMovement[[#This Row],[Destination]],tblDestinations[Destination],0)),"?"))</f>
        <v/>
      </c>
      <c r="M1652" s="64">
        <f>IF(tblMovement[[#This Row],[Material]]="","",IF(LEFT(tblMovement[[#This Row],[Material]],3)="Ore",1,0))</f>
        <v/>
      </c>
      <c r="N1652" s="59">
        <f>IF(OR(tblMovement[[#This Row],[Tonnes_t]]="",tblMovement[[#This Row],[Grade_gpt]]=""),0,tblMovement[[#This Row],[Tonnes_t]]*tblMovement[[#This Row],[Grade_gpt]]/cfg_TroyOz)</f>
        <v/>
      </c>
      <c r="O1652" s="59">
        <f>IF(tblMovement[[#This Row],[Is_Ore]]=1,tblMovement[[#This Row],[Contained_oz]],0)</f>
        <v/>
      </c>
    </row>
    <row r="1653">
      <c r="A1653" s="54" t="n"/>
      <c r="B1653" s="61" t="n"/>
      <c r="C1653" s="61" t="n"/>
      <c r="D1653" s="61" t="n"/>
      <c r="E1653" s="61" t="n"/>
      <c r="F1653" s="55" t="n"/>
      <c r="G1653" s="56" t="n"/>
      <c r="H1653" s="55" t="n"/>
      <c r="I1653" s="62" t="n"/>
      <c r="J1653" s="58" t="n"/>
      <c r="K1653" s="63">
        <f>IF(tblMovement[[#This Row],[Source]]="","",IFERROR(INDEX(tblSources[Type],MATCH(tblMovement[[#This Row],[Source]],tblSources[Source],0)),"?"))</f>
        <v/>
      </c>
      <c r="L1653" s="63">
        <f>IF(tblMovement[[#This Row],[Destination]]="","",IFERROR(INDEX(tblDestinations[Type],MATCH(tblMovement[[#This Row],[Destination]],tblDestinations[Destination],0)),"?"))</f>
        <v/>
      </c>
      <c r="M1653" s="64">
        <f>IF(tblMovement[[#This Row],[Material]]="","",IF(LEFT(tblMovement[[#This Row],[Material]],3)="Ore",1,0))</f>
        <v/>
      </c>
      <c r="N1653" s="59">
        <f>IF(OR(tblMovement[[#This Row],[Tonnes_t]]="",tblMovement[[#This Row],[Grade_gpt]]=""),0,tblMovement[[#This Row],[Tonnes_t]]*tblMovement[[#This Row],[Grade_gpt]]/cfg_TroyOz)</f>
        <v/>
      </c>
      <c r="O1653" s="59">
        <f>IF(tblMovement[[#This Row],[Is_Ore]]=1,tblMovement[[#This Row],[Contained_oz]],0)</f>
        <v/>
      </c>
    </row>
    <row r="1654">
      <c r="A1654" s="54" t="n"/>
      <c r="B1654" s="61" t="n"/>
      <c r="C1654" s="61" t="n"/>
      <c r="D1654" s="61" t="n"/>
      <c r="E1654" s="61" t="n"/>
      <c r="F1654" s="55" t="n"/>
      <c r="G1654" s="56" t="n"/>
      <c r="H1654" s="55" t="n"/>
      <c r="I1654" s="62" t="n"/>
      <c r="J1654" s="58" t="n"/>
      <c r="K1654" s="63">
        <f>IF(tblMovement[[#This Row],[Source]]="","",IFERROR(INDEX(tblSources[Type],MATCH(tblMovement[[#This Row],[Source]],tblSources[Source],0)),"?"))</f>
        <v/>
      </c>
      <c r="L1654" s="63">
        <f>IF(tblMovement[[#This Row],[Destination]]="","",IFERROR(INDEX(tblDestinations[Type],MATCH(tblMovement[[#This Row],[Destination]],tblDestinations[Destination],0)),"?"))</f>
        <v/>
      </c>
      <c r="M1654" s="64">
        <f>IF(tblMovement[[#This Row],[Material]]="","",IF(LEFT(tblMovement[[#This Row],[Material]],3)="Ore",1,0))</f>
        <v/>
      </c>
      <c r="N1654" s="59">
        <f>IF(OR(tblMovement[[#This Row],[Tonnes_t]]="",tblMovement[[#This Row],[Grade_gpt]]=""),0,tblMovement[[#This Row],[Tonnes_t]]*tblMovement[[#This Row],[Grade_gpt]]/cfg_TroyOz)</f>
        <v/>
      </c>
      <c r="O1654" s="59">
        <f>IF(tblMovement[[#This Row],[Is_Ore]]=1,tblMovement[[#This Row],[Contained_oz]],0)</f>
        <v/>
      </c>
    </row>
    <row r="1655">
      <c r="A1655" s="54" t="n"/>
      <c r="B1655" s="61" t="n"/>
      <c r="C1655" s="61" t="n"/>
      <c r="D1655" s="61" t="n"/>
      <c r="E1655" s="61" t="n"/>
      <c r="F1655" s="55" t="n"/>
      <c r="G1655" s="56" t="n"/>
      <c r="H1655" s="55" t="n"/>
      <c r="I1655" s="62" t="n"/>
      <c r="J1655" s="58" t="n"/>
      <c r="K1655" s="63">
        <f>IF(tblMovement[[#This Row],[Source]]="","",IFERROR(INDEX(tblSources[Type],MATCH(tblMovement[[#This Row],[Source]],tblSources[Source],0)),"?"))</f>
        <v/>
      </c>
      <c r="L1655" s="63">
        <f>IF(tblMovement[[#This Row],[Destination]]="","",IFERROR(INDEX(tblDestinations[Type],MATCH(tblMovement[[#This Row],[Destination]],tblDestinations[Destination],0)),"?"))</f>
        <v/>
      </c>
      <c r="M1655" s="64">
        <f>IF(tblMovement[[#This Row],[Material]]="","",IF(LEFT(tblMovement[[#This Row],[Material]],3)="Ore",1,0))</f>
        <v/>
      </c>
      <c r="N1655" s="59">
        <f>IF(OR(tblMovement[[#This Row],[Tonnes_t]]="",tblMovement[[#This Row],[Grade_gpt]]=""),0,tblMovement[[#This Row],[Tonnes_t]]*tblMovement[[#This Row],[Grade_gpt]]/cfg_TroyOz)</f>
        <v/>
      </c>
      <c r="O1655" s="59">
        <f>IF(tblMovement[[#This Row],[Is_Ore]]=1,tblMovement[[#This Row],[Contained_oz]],0)</f>
        <v/>
      </c>
    </row>
    <row r="1656">
      <c r="A1656" s="54" t="n"/>
      <c r="B1656" s="61" t="n"/>
      <c r="C1656" s="61" t="n"/>
      <c r="D1656" s="61" t="n"/>
      <c r="E1656" s="61" t="n"/>
      <c r="F1656" s="55" t="n"/>
      <c r="G1656" s="56" t="n"/>
      <c r="H1656" s="55" t="n"/>
      <c r="I1656" s="62" t="n"/>
      <c r="J1656" s="58" t="n"/>
      <c r="K1656" s="63">
        <f>IF(tblMovement[[#This Row],[Source]]="","",IFERROR(INDEX(tblSources[Type],MATCH(tblMovement[[#This Row],[Source]],tblSources[Source],0)),"?"))</f>
        <v/>
      </c>
      <c r="L1656" s="63">
        <f>IF(tblMovement[[#This Row],[Destination]]="","",IFERROR(INDEX(tblDestinations[Type],MATCH(tblMovement[[#This Row],[Destination]],tblDestinations[Destination],0)),"?"))</f>
        <v/>
      </c>
      <c r="M1656" s="64">
        <f>IF(tblMovement[[#This Row],[Material]]="","",IF(LEFT(tblMovement[[#This Row],[Material]],3)="Ore",1,0))</f>
        <v/>
      </c>
      <c r="N1656" s="59">
        <f>IF(OR(tblMovement[[#This Row],[Tonnes_t]]="",tblMovement[[#This Row],[Grade_gpt]]=""),0,tblMovement[[#This Row],[Tonnes_t]]*tblMovement[[#This Row],[Grade_gpt]]/cfg_TroyOz)</f>
        <v/>
      </c>
      <c r="O1656" s="59">
        <f>IF(tblMovement[[#This Row],[Is_Ore]]=1,tblMovement[[#This Row],[Contained_oz]],0)</f>
        <v/>
      </c>
    </row>
    <row r="1657">
      <c r="A1657" s="54" t="n"/>
      <c r="B1657" s="61" t="n"/>
      <c r="C1657" s="61" t="n"/>
      <c r="D1657" s="61" t="n"/>
      <c r="E1657" s="61" t="n"/>
      <c r="F1657" s="55" t="n"/>
      <c r="G1657" s="56" t="n"/>
      <c r="H1657" s="55" t="n"/>
      <c r="I1657" s="62" t="n"/>
      <c r="J1657" s="58" t="n"/>
      <c r="K1657" s="63">
        <f>IF(tblMovement[[#This Row],[Source]]="","",IFERROR(INDEX(tblSources[Type],MATCH(tblMovement[[#This Row],[Source]],tblSources[Source],0)),"?"))</f>
        <v/>
      </c>
      <c r="L1657" s="63">
        <f>IF(tblMovement[[#This Row],[Destination]]="","",IFERROR(INDEX(tblDestinations[Type],MATCH(tblMovement[[#This Row],[Destination]],tblDestinations[Destination],0)),"?"))</f>
        <v/>
      </c>
      <c r="M1657" s="64">
        <f>IF(tblMovement[[#This Row],[Material]]="","",IF(LEFT(tblMovement[[#This Row],[Material]],3)="Ore",1,0))</f>
        <v/>
      </c>
      <c r="N1657" s="59">
        <f>IF(OR(tblMovement[[#This Row],[Tonnes_t]]="",tblMovement[[#This Row],[Grade_gpt]]=""),0,tblMovement[[#This Row],[Tonnes_t]]*tblMovement[[#This Row],[Grade_gpt]]/cfg_TroyOz)</f>
        <v/>
      </c>
      <c r="O1657" s="59">
        <f>IF(tblMovement[[#This Row],[Is_Ore]]=1,tblMovement[[#This Row],[Contained_oz]],0)</f>
        <v/>
      </c>
    </row>
    <row r="1658">
      <c r="A1658" s="54" t="n"/>
      <c r="B1658" s="61" t="n"/>
      <c r="C1658" s="61" t="n"/>
      <c r="D1658" s="61" t="n"/>
      <c r="E1658" s="61" t="n"/>
      <c r="F1658" s="55" t="n"/>
      <c r="G1658" s="56" t="n"/>
      <c r="H1658" s="55" t="n"/>
      <c r="I1658" s="62" t="n"/>
      <c r="J1658" s="58" t="n"/>
      <c r="K1658" s="63">
        <f>IF(tblMovement[[#This Row],[Source]]="","",IFERROR(INDEX(tblSources[Type],MATCH(tblMovement[[#This Row],[Source]],tblSources[Source],0)),"?"))</f>
        <v/>
      </c>
      <c r="L1658" s="63">
        <f>IF(tblMovement[[#This Row],[Destination]]="","",IFERROR(INDEX(tblDestinations[Type],MATCH(tblMovement[[#This Row],[Destination]],tblDestinations[Destination],0)),"?"))</f>
        <v/>
      </c>
      <c r="M1658" s="64">
        <f>IF(tblMovement[[#This Row],[Material]]="","",IF(LEFT(tblMovement[[#This Row],[Material]],3)="Ore",1,0))</f>
        <v/>
      </c>
      <c r="N1658" s="59">
        <f>IF(OR(tblMovement[[#This Row],[Tonnes_t]]="",tblMovement[[#This Row],[Grade_gpt]]=""),0,tblMovement[[#This Row],[Tonnes_t]]*tblMovement[[#This Row],[Grade_gpt]]/cfg_TroyOz)</f>
        <v/>
      </c>
      <c r="O1658" s="59">
        <f>IF(tblMovement[[#This Row],[Is_Ore]]=1,tblMovement[[#This Row],[Contained_oz]],0)</f>
        <v/>
      </c>
    </row>
    <row r="1659">
      <c r="A1659" s="54" t="n"/>
      <c r="B1659" s="61" t="n"/>
      <c r="C1659" s="61" t="n"/>
      <c r="D1659" s="61" t="n"/>
      <c r="E1659" s="61" t="n"/>
      <c r="F1659" s="55" t="n"/>
      <c r="G1659" s="56" t="n"/>
      <c r="H1659" s="55" t="n"/>
      <c r="I1659" s="62" t="n"/>
      <c r="J1659" s="58" t="n"/>
      <c r="K1659" s="63">
        <f>IF(tblMovement[[#This Row],[Source]]="","",IFERROR(INDEX(tblSources[Type],MATCH(tblMovement[[#This Row],[Source]],tblSources[Source],0)),"?"))</f>
        <v/>
      </c>
      <c r="L1659" s="63">
        <f>IF(tblMovement[[#This Row],[Destination]]="","",IFERROR(INDEX(tblDestinations[Type],MATCH(tblMovement[[#This Row],[Destination]],tblDestinations[Destination],0)),"?"))</f>
        <v/>
      </c>
      <c r="M1659" s="64">
        <f>IF(tblMovement[[#This Row],[Material]]="","",IF(LEFT(tblMovement[[#This Row],[Material]],3)="Ore",1,0))</f>
        <v/>
      </c>
      <c r="N1659" s="59">
        <f>IF(OR(tblMovement[[#This Row],[Tonnes_t]]="",tblMovement[[#This Row],[Grade_gpt]]=""),0,tblMovement[[#This Row],[Tonnes_t]]*tblMovement[[#This Row],[Grade_gpt]]/cfg_TroyOz)</f>
        <v/>
      </c>
      <c r="O1659" s="59">
        <f>IF(tblMovement[[#This Row],[Is_Ore]]=1,tblMovement[[#This Row],[Contained_oz]],0)</f>
        <v/>
      </c>
    </row>
    <row r="1660">
      <c r="A1660" s="54" t="n"/>
      <c r="B1660" s="61" t="n"/>
      <c r="C1660" s="61" t="n"/>
      <c r="D1660" s="61" t="n"/>
      <c r="E1660" s="61" t="n"/>
      <c r="F1660" s="55" t="n"/>
      <c r="G1660" s="56" t="n"/>
      <c r="H1660" s="55" t="n"/>
      <c r="I1660" s="62" t="n"/>
      <c r="J1660" s="58" t="n"/>
      <c r="K1660" s="63">
        <f>IF(tblMovement[[#This Row],[Source]]="","",IFERROR(INDEX(tblSources[Type],MATCH(tblMovement[[#This Row],[Source]],tblSources[Source],0)),"?"))</f>
        <v/>
      </c>
      <c r="L1660" s="63">
        <f>IF(tblMovement[[#This Row],[Destination]]="","",IFERROR(INDEX(tblDestinations[Type],MATCH(tblMovement[[#This Row],[Destination]],tblDestinations[Destination],0)),"?"))</f>
        <v/>
      </c>
      <c r="M1660" s="64">
        <f>IF(tblMovement[[#This Row],[Material]]="","",IF(LEFT(tblMovement[[#This Row],[Material]],3)="Ore",1,0))</f>
        <v/>
      </c>
      <c r="N1660" s="59">
        <f>IF(OR(tblMovement[[#This Row],[Tonnes_t]]="",tblMovement[[#This Row],[Grade_gpt]]=""),0,tblMovement[[#This Row],[Tonnes_t]]*tblMovement[[#This Row],[Grade_gpt]]/cfg_TroyOz)</f>
        <v/>
      </c>
      <c r="O1660" s="59">
        <f>IF(tblMovement[[#This Row],[Is_Ore]]=1,tblMovement[[#This Row],[Contained_oz]],0)</f>
        <v/>
      </c>
    </row>
    <row r="1661">
      <c r="A1661" s="54" t="n"/>
      <c r="B1661" s="61" t="n"/>
      <c r="C1661" s="61" t="n"/>
      <c r="D1661" s="61" t="n"/>
      <c r="E1661" s="61" t="n"/>
      <c r="F1661" s="55" t="n"/>
      <c r="G1661" s="56" t="n"/>
      <c r="H1661" s="55" t="n"/>
      <c r="I1661" s="62" t="n"/>
      <c r="J1661" s="58" t="n"/>
      <c r="K1661" s="63">
        <f>IF(tblMovement[[#This Row],[Source]]="","",IFERROR(INDEX(tblSources[Type],MATCH(tblMovement[[#This Row],[Source]],tblSources[Source],0)),"?"))</f>
        <v/>
      </c>
      <c r="L1661" s="63">
        <f>IF(tblMovement[[#This Row],[Destination]]="","",IFERROR(INDEX(tblDestinations[Type],MATCH(tblMovement[[#This Row],[Destination]],tblDestinations[Destination],0)),"?"))</f>
        <v/>
      </c>
      <c r="M1661" s="64">
        <f>IF(tblMovement[[#This Row],[Material]]="","",IF(LEFT(tblMovement[[#This Row],[Material]],3)="Ore",1,0))</f>
        <v/>
      </c>
      <c r="N1661" s="59">
        <f>IF(OR(tblMovement[[#This Row],[Tonnes_t]]="",tblMovement[[#This Row],[Grade_gpt]]=""),0,tblMovement[[#This Row],[Tonnes_t]]*tblMovement[[#This Row],[Grade_gpt]]/cfg_TroyOz)</f>
        <v/>
      </c>
      <c r="O1661" s="59">
        <f>IF(tblMovement[[#This Row],[Is_Ore]]=1,tblMovement[[#This Row],[Contained_oz]],0)</f>
        <v/>
      </c>
    </row>
    <row r="1662">
      <c r="A1662" s="54" t="n"/>
      <c r="B1662" s="61" t="n"/>
      <c r="C1662" s="61" t="n"/>
      <c r="D1662" s="61" t="n"/>
      <c r="E1662" s="61" t="n"/>
      <c r="F1662" s="55" t="n"/>
      <c r="G1662" s="56" t="n"/>
      <c r="H1662" s="55" t="n"/>
      <c r="I1662" s="62" t="n"/>
      <c r="J1662" s="58" t="n"/>
      <c r="K1662" s="63">
        <f>IF(tblMovement[[#This Row],[Source]]="","",IFERROR(INDEX(tblSources[Type],MATCH(tblMovement[[#This Row],[Source]],tblSources[Source],0)),"?"))</f>
        <v/>
      </c>
      <c r="L1662" s="63">
        <f>IF(tblMovement[[#This Row],[Destination]]="","",IFERROR(INDEX(tblDestinations[Type],MATCH(tblMovement[[#This Row],[Destination]],tblDestinations[Destination],0)),"?"))</f>
        <v/>
      </c>
      <c r="M1662" s="64">
        <f>IF(tblMovement[[#This Row],[Material]]="","",IF(LEFT(tblMovement[[#This Row],[Material]],3)="Ore",1,0))</f>
        <v/>
      </c>
      <c r="N1662" s="59">
        <f>IF(OR(tblMovement[[#This Row],[Tonnes_t]]="",tblMovement[[#This Row],[Grade_gpt]]=""),0,tblMovement[[#This Row],[Tonnes_t]]*tblMovement[[#This Row],[Grade_gpt]]/cfg_TroyOz)</f>
        <v/>
      </c>
      <c r="O1662" s="59">
        <f>IF(tblMovement[[#This Row],[Is_Ore]]=1,tblMovement[[#This Row],[Contained_oz]],0)</f>
        <v/>
      </c>
    </row>
    <row r="1663">
      <c r="A1663" s="54" t="n"/>
      <c r="B1663" s="61" t="n"/>
      <c r="C1663" s="61" t="n"/>
      <c r="D1663" s="61" t="n"/>
      <c r="E1663" s="61" t="n"/>
      <c r="F1663" s="55" t="n"/>
      <c r="G1663" s="56" t="n"/>
      <c r="H1663" s="55" t="n"/>
      <c r="I1663" s="62" t="n"/>
      <c r="J1663" s="58" t="n"/>
      <c r="K1663" s="63">
        <f>IF(tblMovement[[#This Row],[Source]]="","",IFERROR(INDEX(tblSources[Type],MATCH(tblMovement[[#This Row],[Source]],tblSources[Source],0)),"?"))</f>
        <v/>
      </c>
      <c r="L1663" s="63">
        <f>IF(tblMovement[[#This Row],[Destination]]="","",IFERROR(INDEX(tblDestinations[Type],MATCH(tblMovement[[#This Row],[Destination]],tblDestinations[Destination],0)),"?"))</f>
        <v/>
      </c>
      <c r="M1663" s="64">
        <f>IF(tblMovement[[#This Row],[Material]]="","",IF(LEFT(tblMovement[[#This Row],[Material]],3)="Ore",1,0))</f>
        <v/>
      </c>
      <c r="N1663" s="59">
        <f>IF(OR(tblMovement[[#This Row],[Tonnes_t]]="",tblMovement[[#This Row],[Grade_gpt]]=""),0,tblMovement[[#This Row],[Tonnes_t]]*tblMovement[[#This Row],[Grade_gpt]]/cfg_TroyOz)</f>
        <v/>
      </c>
      <c r="O1663" s="59">
        <f>IF(tblMovement[[#This Row],[Is_Ore]]=1,tblMovement[[#This Row],[Contained_oz]],0)</f>
        <v/>
      </c>
    </row>
    <row r="1664">
      <c r="A1664" s="54" t="n"/>
      <c r="B1664" s="61" t="n"/>
      <c r="C1664" s="61" t="n"/>
      <c r="D1664" s="61" t="n"/>
      <c r="E1664" s="61" t="n"/>
      <c r="F1664" s="55" t="n"/>
      <c r="G1664" s="56" t="n"/>
      <c r="H1664" s="55" t="n"/>
      <c r="I1664" s="62" t="n"/>
      <c r="J1664" s="58" t="n"/>
      <c r="K1664" s="63">
        <f>IF(tblMovement[[#This Row],[Source]]="","",IFERROR(INDEX(tblSources[Type],MATCH(tblMovement[[#This Row],[Source]],tblSources[Source],0)),"?"))</f>
        <v/>
      </c>
      <c r="L1664" s="63">
        <f>IF(tblMovement[[#This Row],[Destination]]="","",IFERROR(INDEX(tblDestinations[Type],MATCH(tblMovement[[#This Row],[Destination]],tblDestinations[Destination],0)),"?"))</f>
        <v/>
      </c>
      <c r="M1664" s="64">
        <f>IF(tblMovement[[#This Row],[Material]]="","",IF(LEFT(tblMovement[[#This Row],[Material]],3)="Ore",1,0))</f>
        <v/>
      </c>
      <c r="N1664" s="59">
        <f>IF(OR(tblMovement[[#This Row],[Tonnes_t]]="",tblMovement[[#This Row],[Grade_gpt]]=""),0,tblMovement[[#This Row],[Tonnes_t]]*tblMovement[[#This Row],[Grade_gpt]]/cfg_TroyOz)</f>
        <v/>
      </c>
      <c r="O1664" s="59">
        <f>IF(tblMovement[[#This Row],[Is_Ore]]=1,tblMovement[[#This Row],[Contained_oz]],0)</f>
        <v/>
      </c>
    </row>
    <row r="1665">
      <c r="A1665" s="54" t="n"/>
      <c r="B1665" s="61" t="n"/>
      <c r="C1665" s="61" t="n"/>
      <c r="D1665" s="61" t="n"/>
      <c r="E1665" s="61" t="n"/>
      <c r="F1665" s="55" t="n"/>
      <c r="G1665" s="56" t="n"/>
      <c r="H1665" s="55" t="n"/>
      <c r="I1665" s="62" t="n"/>
      <c r="J1665" s="58" t="n"/>
      <c r="K1665" s="63">
        <f>IF(tblMovement[[#This Row],[Source]]="","",IFERROR(INDEX(tblSources[Type],MATCH(tblMovement[[#This Row],[Source]],tblSources[Source],0)),"?"))</f>
        <v/>
      </c>
      <c r="L1665" s="63">
        <f>IF(tblMovement[[#This Row],[Destination]]="","",IFERROR(INDEX(tblDestinations[Type],MATCH(tblMovement[[#This Row],[Destination]],tblDestinations[Destination],0)),"?"))</f>
        <v/>
      </c>
      <c r="M1665" s="64">
        <f>IF(tblMovement[[#This Row],[Material]]="","",IF(LEFT(tblMovement[[#This Row],[Material]],3)="Ore",1,0))</f>
        <v/>
      </c>
      <c r="N1665" s="59">
        <f>IF(OR(tblMovement[[#This Row],[Tonnes_t]]="",tblMovement[[#This Row],[Grade_gpt]]=""),0,tblMovement[[#This Row],[Tonnes_t]]*tblMovement[[#This Row],[Grade_gpt]]/cfg_TroyOz)</f>
        <v/>
      </c>
      <c r="O1665" s="59">
        <f>IF(tblMovement[[#This Row],[Is_Ore]]=1,tblMovement[[#This Row],[Contained_oz]],0)</f>
        <v/>
      </c>
    </row>
    <row r="1666">
      <c r="A1666" s="54" t="n"/>
      <c r="B1666" s="61" t="n"/>
      <c r="C1666" s="61" t="n"/>
      <c r="D1666" s="61" t="n"/>
      <c r="E1666" s="61" t="n"/>
      <c r="F1666" s="55" t="n"/>
      <c r="G1666" s="56" t="n"/>
      <c r="H1666" s="55" t="n"/>
      <c r="I1666" s="62" t="n"/>
      <c r="J1666" s="58" t="n"/>
      <c r="K1666" s="63">
        <f>IF(tblMovement[[#This Row],[Source]]="","",IFERROR(INDEX(tblSources[Type],MATCH(tblMovement[[#This Row],[Source]],tblSources[Source],0)),"?"))</f>
        <v/>
      </c>
      <c r="L1666" s="63">
        <f>IF(tblMovement[[#This Row],[Destination]]="","",IFERROR(INDEX(tblDestinations[Type],MATCH(tblMovement[[#This Row],[Destination]],tblDestinations[Destination],0)),"?"))</f>
        <v/>
      </c>
      <c r="M1666" s="64">
        <f>IF(tblMovement[[#This Row],[Material]]="","",IF(LEFT(tblMovement[[#This Row],[Material]],3)="Ore",1,0))</f>
        <v/>
      </c>
      <c r="N1666" s="59">
        <f>IF(OR(tblMovement[[#This Row],[Tonnes_t]]="",tblMovement[[#This Row],[Grade_gpt]]=""),0,tblMovement[[#This Row],[Tonnes_t]]*tblMovement[[#This Row],[Grade_gpt]]/cfg_TroyOz)</f>
        <v/>
      </c>
      <c r="O1666" s="59">
        <f>IF(tblMovement[[#This Row],[Is_Ore]]=1,tblMovement[[#This Row],[Contained_oz]],0)</f>
        <v/>
      </c>
    </row>
    <row r="1667">
      <c r="A1667" s="54" t="n"/>
      <c r="B1667" s="61" t="n"/>
      <c r="C1667" s="61" t="n"/>
      <c r="D1667" s="61" t="n"/>
      <c r="E1667" s="61" t="n"/>
      <c r="F1667" s="55" t="n"/>
      <c r="G1667" s="56" t="n"/>
      <c r="H1667" s="55" t="n"/>
      <c r="I1667" s="62" t="n"/>
      <c r="J1667" s="58" t="n"/>
      <c r="K1667" s="63">
        <f>IF(tblMovement[[#This Row],[Source]]="","",IFERROR(INDEX(tblSources[Type],MATCH(tblMovement[[#This Row],[Source]],tblSources[Source],0)),"?"))</f>
        <v/>
      </c>
      <c r="L1667" s="63">
        <f>IF(tblMovement[[#This Row],[Destination]]="","",IFERROR(INDEX(tblDestinations[Type],MATCH(tblMovement[[#This Row],[Destination]],tblDestinations[Destination],0)),"?"))</f>
        <v/>
      </c>
      <c r="M1667" s="64">
        <f>IF(tblMovement[[#This Row],[Material]]="","",IF(LEFT(tblMovement[[#This Row],[Material]],3)="Ore",1,0))</f>
        <v/>
      </c>
      <c r="N1667" s="59">
        <f>IF(OR(tblMovement[[#This Row],[Tonnes_t]]="",tblMovement[[#This Row],[Grade_gpt]]=""),0,tblMovement[[#This Row],[Tonnes_t]]*tblMovement[[#This Row],[Grade_gpt]]/cfg_TroyOz)</f>
        <v/>
      </c>
      <c r="O1667" s="59">
        <f>IF(tblMovement[[#This Row],[Is_Ore]]=1,tblMovement[[#This Row],[Contained_oz]],0)</f>
        <v/>
      </c>
    </row>
    <row r="1668">
      <c r="A1668" s="54" t="n"/>
      <c r="B1668" s="61" t="n"/>
      <c r="C1668" s="61" t="n"/>
      <c r="D1668" s="61" t="n"/>
      <c r="E1668" s="61" t="n"/>
      <c r="F1668" s="55" t="n"/>
      <c r="G1668" s="56" t="n"/>
      <c r="H1668" s="55" t="n"/>
      <c r="I1668" s="62" t="n"/>
      <c r="J1668" s="58" t="n"/>
      <c r="K1668" s="63">
        <f>IF(tblMovement[[#This Row],[Source]]="","",IFERROR(INDEX(tblSources[Type],MATCH(tblMovement[[#This Row],[Source]],tblSources[Source],0)),"?"))</f>
        <v/>
      </c>
      <c r="L1668" s="63">
        <f>IF(tblMovement[[#This Row],[Destination]]="","",IFERROR(INDEX(tblDestinations[Type],MATCH(tblMovement[[#This Row],[Destination]],tblDestinations[Destination],0)),"?"))</f>
        <v/>
      </c>
      <c r="M1668" s="64">
        <f>IF(tblMovement[[#This Row],[Material]]="","",IF(LEFT(tblMovement[[#This Row],[Material]],3)="Ore",1,0))</f>
        <v/>
      </c>
      <c r="N1668" s="59">
        <f>IF(OR(tblMovement[[#This Row],[Tonnes_t]]="",tblMovement[[#This Row],[Grade_gpt]]=""),0,tblMovement[[#This Row],[Tonnes_t]]*tblMovement[[#This Row],[Grade_gpt]]/cfg_TroyOz)</f>
        <v/>
      </c>
      <c r="O1668" s="59">
        <f>IF(tblMovement[[#This Row],[Is_Ore]]=1,tblMovement[[#This Row],[Contained_oz]],0)</f>
        <v/>
      </c>
    </row>
    <row r="1669">
      <c r="A1669" s="54" t="n"/>
      <c r="B1669" s="61" t="n"/>
      <c r="C1669" s="61" t="n"/>
      <c r="D1669" s="61" t="n"/>
      <c r="E1669" s="61" t="n"/>
      <c r="F1669" s="55" t="n"/>
      <c r="G1669" s="56" t="n"/>
      <c r="H1669" s="55" t="n"/>
      <c r="I1669" s="62" t="n"/>
      <c r="J1669" s="58" t="n"/>
      <c r="K1669" s="63">
        <f>IF(tblMovement[[#This Row],[Source]]="","",IFERROR(INDEX(tblSources[Type],MATCH(tblMovement[[#This Row],[Source]],tblSources[Source],0)),"?"))</f>
        <v/>
      </c>
      <c r="L1669" s="63">
        <f>IF(tblMovement[[#This Row],[Destination]]="","",IFERROR(INDEX(tblDestinations[Type],MATCH(tblMovement[[#This Row],[Destination]],tblDestinations[Destination],0)),"?"))</f>
        <v/>
      </c>
      <c r="M1669" s="64">
        <f>IF(tblMovement[[#This Row],[Material]]="","",IF(LEFT(tblMovement[[#This Row],[Material]],3)="Ore",1,0))</f>
        <v/>
      </c>
      <c r="N1669" s="59">
        <f>IF(OR(tblMovement[[#This Row],[Tonnes_t]]="",tblMovement[[#This Row],[Grade_gpt]]=""),0,tblMovement[[#This Row],[Tonnes_t]]*tblMovement[[#This Row],[Grade_gpt]]/cfg_TroyOz)</f>
        <v/>
      </c>
      <c r="O1669" s="59">
        <f>IF(tblMovement[[#This Row],[Is_Ore]]=1,tblMovement[[#This Row],[Contained_oz]],0)</f>
        <v/>
      </c>
    </row>
    <row r="1670">
      <c r="A1670" s="54" t="n"/>
      <c r="B1670" s="61" t="n"/>
      <c r="C1670" s="61" t="n"/>
      <c r="D1670" s="61" t="n"/>
      <c r="E1670" s="61" t="n"/>
      <c r="F1670" s="55" t="n"/>
      <c r="G1670" s="56" t="n"/>
      <c r="H1670" s="55" t="n"/>
      <c r="I1670" s="62" t="n"/>
      <c r="J1670" s="58" t="n"/>
      <c r="K1670" s="63">
        <f>IF(tblMovement[[#This Row],[Source]]="","",IFERROR(INDEX(tblSources[Type],MATCH(tblMovement[[#This Row],[Source]],tblSources[Source],0)),"?"))</f>
        <v/>
      </c>
      <c r="L1670" s="63">
        <f>IF(tblMovement[[#This Row],[Destination]]="","",IFERROR(INDEX(tblDestinations[Type],MATCH(tblMovement[[#This Row],[Destination]],tblDestinations[Destination],0)),"?"))</f>
        <v/>
      </c>
      <c r="M1670" s="64">
        <f>IF(tblMovement[[#This Row],[Material]]="","",IF(LEFT(tblMovement[[#This Row],[Material]],3)="Ore",1,0))</f>
        <v/>
      </c>
      <c r="N1670" s="59">
        <f>IF(OR(tblMovement[[#This Row],[Tonnes_t]]="",tblMovement[[#This Row],[Grade_gpt]]=""),0,tblMovement[[#This Row],[Tonnes_t]]*tblMovement[[#This Row],[Grade_gpt]]/cfg_TroyOz)</f>
        <v/>
      </c>
      <c r="O1670" s="59">
        <f>IF(tblMovement[[#This Row],[Is_Ore]]=1,tblMovement[[#This Row],[Contained_oz]],0)</f>
        <v/>
      </c>
    </row>
    <row r="1671">
      <c r="A1671" s="54" t="n"/>
      <c r="B1671" s="61" t="n"/>
      <c r="C1671" s="61" t="n"/>
      <c r="D1671" s="61" t="n"/>
      <c r="E1671" s="61" t="n"/>
      <c r="F1671" s="55" t="n"/>
      <c r="G1671" s="56" t="n"/>
      <c r="H1671" s="55" t="n"/>
      <c r="I1671" s="62" t="n"/>
      <c r="J1671" s="58" t="n"/>
      <c r="K1671" s="63">
        <f>IF(tblMovement[[#This Row],[Source]]="","",IFERROR(INDEX(tblSources[Type],MATCH(tblMovement[[#This Row],[Source]],tblSources[Source],0)),"?"))</f>
        <v/>
      </c>
      <c r="L1671" s="63">
        <f>IF(tblMovement[[#This Row],[Destination]]="","",IFERROR(INDEX(tblDestinations[Type],MATCH(tblMovement[[#This Row],[Destination]],tblDestinations[Destination],0)),"?"))</f>
        <v/>
      </c>
      <c r="M1671" s="64">
        <f>IF(tblMovement[[#This Row],[Material]]="","",IF(LEFT(tblMovement[[#This Row],[Material]],3)="Ore",1,0))</f>
        <v/>
      </c>
      <c r="N1671" s="59">
        <f>IF(OR(tblMovement[[#This Row],[Tonnes_t]]="",tblMovement[[#This Row],[Grade_gpt]]=""),0,tblMovement[[#This Row],[Tonnes_t]]*tblMovement[[#This Row],[Grade_gpt]]/cfg_TroyOz)</f>
        <v/>
      </c>
      <c r="O1671" s="59">
        <f>IF(tblMovement[[#This Row],[Is_Ore]]=1,tblMovement[[#This Row],[Contained_oz]],0)</f>
        <v/>
      </c>
    </row>
    <row r="1672">
      <c r="A1672" s="54" t="n"/>
      <c r="B1672" s="61" t="n"/>
      <c r="C1672" s="61" t="n"/>
      <c r="D1672" s="61" t="n"/>
      <c r="E1672" s="61" t="n"/>
      <c r="F1672" s="55" t="n"/>
      <c r="G1672" s="56" t="n"/>
      <c r="H1672" s="55" t="n"/>
      <c r="I1672" s="62" t="n"/>
      <c r="J1672" s="58" t="n"/>
      <c r="K1672" s="63">
        <f>IF(tblMovement[[#This Row],[Source]]="","",IFERROR(INDEX(tblSources[Type],MATCH(tblMovement[[#This Row],[Source]],tblSources[Source],0)),"?"))</f>
        <v/>
      </c>
      <c r="L1672" s="63">
        <f>IF(tblMovement[[#This Row],[Destination]]="","",IFERROR(INDEX(tblDestinations[Type],MATCH(tblMovement[[#This Row],[Destination]],tblDestinations[Destination],0)),"?"))</f>
        <v/>
      </c>
      <c r="M1672" s="64">
        <f>IF(tblMovement[[#This Row],[Material]]="","",IF(LEFT(tblMovement[[#This Row],[Material]],3)="Ore",1,0))</f>
        <v/>
      </c>
      <c r="N1672" s="59">
        <f>IF(OR(tblMovement[[#This Row],[Tonnes_t]]="",tblMovement[[#This Row],[Grade_gpt]]=""),0,tblMovement[[#This Row],[Tonnes_t]]*tblMovement[[#This Row],[Grade_gpt]]/cfg_TroyOz)</f>
        <v/>
      </c>
      <c r="O1672" s="59">
        <f>IF(tblMovement[[#This Row],[Is_Ore]]=1,tblMovement[[#This Row],[Contained_oz]],0)</f>
        <v/>
      </c>
    </row>
    <row r="1673">
      <c r="A1673" s="54" t="n"/>
      <c r="B1673" s="61" t="n"/>
      <c r="C1673" s="61" t="n"/>
      <c r="D1673" s="61" t="n"/>
      <c r="E1673" s="61" t="n"/>
      <c r="F1673" s="55" t="n"/>
      <c r="G1673" s="56" t="n"/>
      <c r="H1673" s="55" t="n"/>
      <c r="I1673" s="62" t="n"/>
      <c r="J1673" s="58" t="n"/>
      <c r="K1673" s="63">
        <f>IF(tblMovement[[#This Row],[Source]]="","",IFERROR(INDEX(tblSources[Type],MATCH(tblMovement[[#This Row],[Source]],tblSources[Source],0)),"?"))</f>
        <v/>
      </c>
      <c r="L1673" s="63">
        <f>IF(tblMovement[[#This Row],[Destination]]="","",IFERROR(INDEX(tblDestinations[Type],MATCH(tblMovement[[#This Row],[Destination]],tblDestinations[Destination],0)),"?"))</f>
        <v/>
      </c>
      <c r="M1673" s="64">
        <f>IF(tblMovement[[#This Row],[Material]]="","",IF(LEFT(tblMovement[[#This Row],[Material]],3)="Ore",1,0))</f>
        <v/>
      </c>
      <c r="N1673" s="59">
        <f>IF(OR(tblMovement[[#This Row],[Tonnes_t]]="",tblMovement[[#This Row],[Grade_gpt]]=""),0,tblMovement[[#This Row],[Tonnes_t]]*tblMovement[[#This Row],[Grade_gpt]]/cfg_TroyOz)</f>
        <v/>
      </c>
      <c r="O1673" s="59">
        <f>IF(tblMovement[[#This Row],[Is_Ore]]=1,tblMovement[[#This Row],[Contained_oz]],0)</f>
        <v/>
      </c>
    </row>
    <row r="1674">
      <c r="A1674" s="54" t="n"/>
      <c r="B1674" s="61" t="n"/>
      <c r="C1674" s="61" t="n"/>
      <c r="D1674" s="61" t="n"/>
      <c r="E1674" s="61" t="n"/>
      <c r="F1674" s="55" t="n"/>
      <c r="G1674" s="56" t="n"/>
      <c r="H1674" s="55" t="n"/>
      <c r="I1674" s="62" t="n"/>
      <c r="J1674" s="58" t="n"/>
      <c r="K1674" s="63">
        <f>IF(tblMovement[[#This Row],[Source]]="","",IFERROR(INDEX(tblSources[Type],MATCH(tblMovement[[#This Row],[Source]],tblSources[Source],0)),"?"))</f>
        <v/>
      </c>
      <c r="L1674" s="63">
        <f>IF(tblMovement[[#This Row],[Destination]]="","",IFERROR(INDEX(tblDestinations[Type],MATCH(tblMovement[[#This Row],[Destination]],tblDestinations[Destination],0)),"?"))</f>
        <v/>
      </c>
      <c r="M1674" s="64">
        <f>IF(tblMovement[[#This Row],[Material]]="","",IF(LEFT(tblMovement[[#This Row],[Material]],3)="Ore",1,0))</f>
        <v/>
      </c>
      <c r="N1674" s="59">
        <f>IF(OR(tblMovement[[#This Row],[Tonnes_t]]="",tblMovement[[#This Row],[Grade_gpt]]=""),0,tblMovement[[#This Row],[Tonnes_t]]*tblMovement[[#This Row],[Grade_gpt]]/cfg_TroyOz)</f>
        <v/>
      </c>
      <c r="O1674" s="59">
        <f>IF(tblMovement[[#This Row],[Is_Ore]]=1,tblMovement[[#This Row],[Contained_oz]],0)</f>
        <v/>
      </c>
    </row>
    <row r="1675">
      <c r="A1675" s="54" t="n"/>
      <c r="B1675" s="61" t="n"/>
      <c r="C1675" s="61" t="n"/>
      <c r="D1675" s="61" t="n"/>
      <c r="E1675" s="61" t="n"/>
      <c r="F1675" s="55" t="n"/>
      <c r="G1675" s="56" t="n"/>
      <c r="H1675" s="55" t="n"/>
      <c r="I1675" s="62" t="n"/>
      <c r="J1675" s="58" t="n"/>
      <c r="K1675" s="63">
        <f>IF(tblMovement[[#This Row],[Source]]="","",IFERROR(INDEX(tblSources[Type],MATCH(tblMovement[[#This Row],[Source]],tblSources[Source],0)),"?"))</f>
        <v/>
      </c>
      <c r="L1675" s="63">
        <f>IF(tblMovement[[#This Row],[Destination]]="","",IFERROR(INDEX(tblDestinations[Type],MATCH(tblMovement[[#This Row],[Destination]],tblDestinations[Destination],0)),"?"))</f>
        <v/>
      </c>
      <c r="M1675" s="64">
        <f>IF(tblMovement[[#This Row],[Material]]="","",IF(LEFT(tblMovement[[#This Row],[Material]],3)="Ore",1,0))</f>
        <v/>
      </c>
      <c r="N1675" s="59">
        <f>IF(OR(tblMovement[[#This Row],[Tonnes_t]]="",tblMovement[[#This Row],[Grade_gpt]]=""),0,tblMovement[[#This Row],[Tonnes_t]]*tblMovement[[#This Row],[Grade_gpt]]/cfg_TroyOz)</f>
        <v/>
      </c>
      <c r="O1675" s="59">
        <f>IF(tblMovement[[#This Row],[Is_Ore]]=1,tblMovement[[#This Row],[Contained_oz]],0)</f>
        <v/>
      </c>
    </row>
    <row r="1676">
      <c r="A1676" s="54" t="n"/>
      <c r="B1676" s="61" t="n"/>
      <c r="C1676" s="61" t="n"/>
      <c r="D1676" s="61" t="n"/>
      <c r="E1676" s="61" t="n"/>
      <c r="F1676" s="55" t="n"/>
      <c r="G1676" s="56" t="n"/>
      <c r="H1676" s="55" t="n"/>
      <c r="I1676" s="62" t="n"/>
      <c r="J1676" s="58" t="n"/>
      <c r="K1676" s="63">
        <f>IF(tblMovement[[#This Row],[Source]]="","",IFERROR(INDEX(tblSources[Type],MATCH(tblMovement[[#This Row],[Source]],tblSources[Source],0)),"?"))</f>
        <v/>
      </c>
      <c r="L1676" s="63">
        <f>IF(tblMovement[[#This Row],[Destination]]="","",IFERROR(INDEX(tblDestinations[Type],MATCH(tblMovement[[#This Row],[Destination]],tblDestinations[Destination],0)),"?"))</f>
        <v/>
      </c>
      <c r="M1676" s="64">
        <f>IF(tblMovement[[#This Row],[Material]]="","",IF(LEFT(tblMovement[[#This Row],[Material]],3)="Ore",1,0))</f>
        <v/>
      </c>
      <c r="N1676" s="59">
        <f>IF(OR(tblMovement[[#This Row],[Tonnes_t]]="",tblMovement[[#This Row],[Grade_gpt]]=""),0,tblMovement[[#This Row],[Tonnes_t]]*tblMovement[[#This Row],[Grade_gpt]]/cfg_TroyOz)</f>
        <v/>
      </c>
      <c r="O1676" s="59">
        <f>IF(tblMovement[[#This Row],[Is_Ore]]=1,tblMovement[[#This Row],[Contained_oz]],0)</f>
        <v/>
      </c>
    </row>
    <row r="1677">
      <c r="A1677" s="54" t="n"/>
      <c r="B1677" s="61" t="n"/>
      <c r="C1677" s="61" t="n"/>
      <c r="D1677" s="61" t="n"/>
      <c r="E1677" s="61" t="n"/>
      <c r="F1677" s="55" t="n"/>
      <c r="G1677" s="56" t="n"/>
      <c r="H1677" s="55" t="n"/>
      <c r="I1677" s="62" t="n"/>
      <c r="J1677" s="58" t="n"/>
      <c r="K1677" s="63">
        <f>IF(tblMovement[[#This Row],[Source]]="","",IFERROR(INDEX(tblSources[Type],MATCH(tblMovement[[#This Row],[Source]],tblSources[Source],0)),"?"))</f>
        <v/>
      </c>
      <c r="L1677" s="63">
        <f>IF(tblMovement[[#This Row],[Destination]]="","",IFERROR(INDEX(tblDestinations[Type],MATCH(tblMovement[[#This Row],[Destination]],tblDestinations[Destination],0)),"?"))</f>
        <v/>
      </c>
      <c r="M1677" s="64">
        <f>IF(tblMovement[[#This Row],[Material]]="","",IF(LEFT(tblMovement[[#This Row],[Material]],3)="Ore",1,0))</f>
        <v/>
      </c>
      <c r="N1677" s="59">
        <f>IF(OR(tblMovement[[#This Row],[Tonnes_t]]="",tblMovement[[#This Row],[Grade_gpt]]=""),0,tblMovement[[#This Row],[Tonnes_t]]*tblMovement[[#This Row],[Grade_gpt]]/cfg_TroyOz)</f>
        <v/>
      </c>
      <c r="O1677" s="59">
        <f>IF(tblMovement[[#This Row],[Is_Ore]]=1,tblMovement[[#This Row],[Contained_oz]],0)</f>
        <v/>
      </c>
    </row>
    <row r="1678">
      <c r="A1678" s="54" t="n"/>
      <c r="B1678" s="61" t="n"/>
      <c r="C1678" s="61" t="n"/>
      <c r="D1678" s="61" t="n"/>
      <c r="E1678" s="61" t="n"/>
      <c r="F1678" s="55" t="n"/>
      <c r="G1678" s="56" t="n"/>
      <c r="H1678" s="55" t="n"/>
      <c r="I1678" s="62" t="n"/>
      <c r="J1678" s="58" t="n"/>
      <c r="K1678" s="63">
        <f>IF(tblMovement[[#This Row],[Source]]="","",IFERROR(INDEX(tblSources[Type],MATCH(tblMovement[[#This Row],[Source]],tblSources[Source],0)),"?"))</f>
        <v/>
      </c>
      <c r="L1678" s="63">
        <f>IF(tblMovement[[#This Row],[Destination]]="","",IFERROR(INDEX(tblDestinations[Type],MATCH(tblMovement[[#This Row],[Destination]],tblDestinations[Destination],0)),"?"))</f>
        <v/>
      </c>
      <c r="M1678" s="64">
        <f>IF(tblMovement[[#This Row],[Material]]="","",IF(LEFT(tblMovement[[#This Row],[Material]],3)="Ore",1,0))</f>
        <v/>
      </c>
      <c r="N1678" s="59">
        <f>IF(OR(tblMovement[[#This Row],[Tonnes_t]]="",tblMovement[[#This Row],[Grade_gpt]]=""),0,tblMovement[[#This Row],[Tonnes_t]]*tblMovement[[#This Row],[Grade_gpt]]/cfg_TroyOz)</f>
        <v/>
      </c>
      <c r="O1678" s="59">
        <f>IF(tblMovement[[#This Row],[Is_Ore]]=1,tblMovement[[#This Row],[Contained_oz]],0)</f>
        <v/>
      </c>
    </row>
    <row r="1679">
      <c r="A1679" s="54" t="n"/>
      <c r="B1679" s="61" t="n"/>
      <c r="C1679" s="61" t="n"/>
      <c r="D1679" s="61" t="n"/>
      <c r="E1679" s="61" t="n"/>
      <c r="F1679" s="55" t="n"/>
      <c r="G1679" s="56" t="n"/>
      <c r="H1679" s="55" t="n"/>
      <c r="I1679" s="62" t="n"/>
      <c r="J1679" s="58" t="n"/>
      <c r="K1679" s="63">
        <f>IF(tblMovement[[#This Row],[Source]]="","",IFERROR(INDEX(tblSources[Type],MATCH(tblMovement[[#This Row],[Source]],tblSources[Source],0)),"?"))</f>
        <v/>
      </c>
      <c r="L1679" s="63">
        <f>IF(tblMovement[[#This Row],[Destination]]="","",IFERROR(INDEX(tblDestinations[Type],MATCH(tblMovement[[#This Row],[Destination]],tblDestinations[Destination],0)),"?"))</f>
        <v/>
      </c>
      <c r="M1679" s="64">
        <f>IF(tblMovement[[#This Row],[Material]]="","",IF(LEFT(tblMovement[[#This Row],[Material]],3)="Ore",1,0))</f>
        <v/>
      </c>
      <c r="N1679" s="59">
        <f>IF(OR(tblMovement[[#This Row],[Tonnes_t]]="",tblMovement[[#This Row],[Grade_gpt]]=""),0,tblMovement[[#This Row],[Tonnes_t]]*tblMovement[[#This Row],[Grade_gpt]]/cfg_TroyOz)</f>
        <v/>
      </c>
      <c r="O1679" s="59">
        <f>IF(tblMovement[[#This Row],[Is_Ore]]=1,tblMovement[[#This Row],[Contained_oz]],0)</f>
        <v/>
      </c>
    </row>
    <row r="1680">
      <c r="A1680" s="54" t="n"/>
      <c r="B1680" s="61" t="n"/>
      <c r="C1680" s="61" t="n"/>
      <c r="D1680" s="61" t="n"/>
      <c r="E1680" s="61" t="n"/>
      <c r="F1680" s="55" t="n"/>
      <c r="G1680" s="56" t="n"/>
      <c r="H1680" s="55" t="n"/>
      <c r="I1680" s="62" t="n"/>
      <c r="J1680" s="58" t="n"/>
      <c r="K1680" s="63">
        <f>IF(tblMovement[[#This Row],[Source]]="","",IFERROR(INDEX(tblSources[Type],MATCH(tblMovement[[#This Row],[Source]],tblSources[Source],0)),"?"))</f>
        <v/>
      </c>
      <c r="L1680" s="63">
        <f>IF(tblMovement[[#This Row],[Destination]]="","",IFERROR(INDEX(tblDestinations[Type],MATCH(tblMovement[[#This Row],[Destination]],tblDestinations[Destination],0)),"?"))</f>
        <v/>
      </c>
      <c r="M1680" s="64">
        <f>IF(tblMovement[[#This Row],[Material]]="","",IF(LEFT(tblMovement[[#This Row],[Material]],3)="Ore",1,0))</f>
        <v/>
      </c>
      <c r="N1680" s="59">
        <f>IF(OR(tblMovement[[#This Row],[Tonnes_t]]="",tblMovement[[#This Row],[Grade_gpt]]=""),0,tblMovement[[#This Row],[Tonnes_t]]*tblMovement[[#This Row],[Grade_gpt]]/cfg_TroyOz)</f>
        <v/>
      </c>
      <c r="O1680" s="59">
        <f>IF(tblMovement[[#This Row],[Is_Ore]]=1,tblMovement[[#This Row],[Contained_oz]],0)</f>
        <v/>
      </c>
    </row>
    <row r="1681">
      <c r="A1681" s="54" t="n"/>
      <c r="B1681" s="61" t="n"/>
      <c r="C1681" s="61" t="n"/>
      <c r="D1681" s="61" t="n"/>
      <c r="E1681" s="61" t="n"/>
      <c r="F1681" s="55" t="n"/>
      <c r="G1681" s="56" t="n"/>
      <c r="H1681" s="55" t="n"/>
      <c r="I1681" s="62" t="n"/>
      <c r="J1681" s="58" t="n"/>
      <c r="K1681" s="63">
        <f>IF(tblMovement[[#This Row],[Source]]="","",IFERROR(INDEX(tblSources[Type],MATCH(tblMovement[[#This Row],[Source]],tblSources[Source],0)),"?"))</f>
        <v/>
      </c>
      <c r="L1681" s="63">
        <f>IF(tblMovement[[#This Row],[Destination]]="","",IFERROR(INDEX(tblDestinations[Type],MATCH(tblMovement[[#This Row],[Destination]],tblDestinations[Destination],0)),"?"))</f>
        <v/>
      </c>
      <c r="M1681" s="64">
        <f>IF(tblMovement[[#This Row],[Material]]="","",IF(LEFT(tblMovement[[#This Row],[Material]],3)="Ore",1,0))</f>
        <v/>
      </c>
      <c r="N1681" s="59">
        <f>IF(OR(tblMovement[[#This Row],[Tonnes_t]]="",tblMovement[[#This Row],[Grade_gpt]]=""),0,tblMovement[[#This Row],[Tonnes_t]]*tblMovement[[#This Row],[Grade_gpt]]/cfg_TroyOz)</f>
        <v/>
      </c>
      <c r="O1681" s="59">
        <f>IF(tblMovement[[#This Row],[Is_Ore]]=1,tblMovement[[#This Row],[Contained_oz]],0)</f>
        <v/>
      </c>
    </row>
    <row r="1682">
      <c r="A1682" s="54" t="n"/>
      <c r="B1682" s="61" t="n"/>
      <c r="C1682" s="61" t="n"/>
      <c r="D1682" s="61" t="n"/>
      <c r="E1682" s="61" t="n"/>
      <c r="F1682" s="55" t="n"/>
      <c r="G1682" s="56" t="n"/>
      <c r="H1682" s="55" t="n"/>
      <c r="I1682" s="62" t="n"/>
      <c r="J1682" s="58" t="n"/>
      <c r="K1682" s="63">
        <f>IF(tblMovement[[#This Row],[Source]]="","",IFERROR(INDEX(tblSources[Type],MATCH(tblMovement[[#This Row],[Source]],tblSources[Source],0)),"?"))</f>
        <v/>
      </c>
      <c r="L1682" s="63">
        <f>IF(tblMovement[[#This Row],[Destination]]="","",IFERROR(INDEX(tblDestinations[Type],MATCH(tblMovement[[#This Row],[Destination]],tblDestinations[Destination],0)),"?"))</f>
        <v/>
      </c>
      <c r="M1682" s="64">
        <f>IF(tblMovement[[#This Row],[Material]]="","",IF(LEFT(tblMovement[[#This Row],[Material]],3)="Ore",1,0))</f>
        <v/>
      </c>
      <c r="N1682" s="59">
        <f>IF(OR(tblMovement[[#This Row],[Tonnes_t]]="",tblMovement[[#This Row],[Grade_gpt]]=""),0,tblMovement[[#This Row],[Tonnes_t]]*tblMovement[[#This Row],[Grade_gpt]]/cfg_TroyOz)</f>
        <v/>
      </c>
      <c r="O1682" s="59">
        <f>IF(tblMovement[[#This Row],[Is_Ore]]=1,tblMovement[[#This Row],[Contained_oz]],0)</f>
        <v/>
      </c>
    </row>
    <row r="1683">
      <c r="A1683" s="54" t="n"/>
      <c r="B1683" s="61" t="n"/>
      <c r="C1683" s="61" t="n"/>
      <c r="D1683" s="61" t="n"/>
      <c r="E1683" s="61" t="n"/>
      <c r="F1683" s="55" t="n"/>
      <c r="G1683" s="56" t="n"/>
      <c r="H1683" s="55" t="n"/>
      <c r="I1683" s="62" t="n"/>
      <c r="J1683" s="58" t="n"/>
      <c r="K1683" s="63">
        <f>IF(tblMovement[[#This Row],[Source]]="","",IFERROR(INDEX(tblSources[Type],MATCH(tblMovement[[#This Row],[Source]],tblSources[Source],0)),"?"))</f>
        <v/>
      </c>
      <c r="L1683" s="63">
        <f>IF(tblMovement[[#This Row],[Destination]]="","",IFERROR(INDEX(tblDestinations[Type],MATCH(tblMovement[[#This Row],[Destination]],tblDestinations[Destination],0)),"?"))</f>
        <v/>
      </c>
      <c r="M1683" s="64">
        <f>IF(tblMovement[[#This Row],[Material]]="","",IF(LEFT(tblMovement[[#This Row],[Material]],3)="Ore",1,0))</f>
        <v/>
      </c>
      <c r="N1683" s="59">
        <f>IF(OR(tblMovement[[#This Row],[Tonnes_t]]="",tblMovement[[#This Row],[Grade_gpt]]=""),0,tblMovement[[#This Row],[Tonnes_t]]*tblMovement[[#This Row],[Grade_gpt]]/cfg_TroyOz)</f>
        <v/>
      </c>
      <c r="O1683" s="59">
        <f>IF(tblMovement[[#This Row],[Is_Ore]]=1,tblMovement[[#This Row],[Contained_oz]],0)</f>
        <v/>
      </c>
    </row>
    <row r="1684">
      <c r="A1684" s="54" t="n"/>
      <c r="B1684" s="61" t="n"/>
      <c r="C1684" s="61" t="n"/>
      <c r="D1684" s="61" t="n"/>
      <c r="E1684" s="61" t="n"/>
      <c r="F1684" s="55" t="n"/>
      <c r="G1684" s="56" t="n"/>
      <c r="H1684" s="55" t="n"/>
      <c r="I1684" s="62" t="n"/>
      <c r="J1684" s="58" t="n"/>
      <c r="K1684" s="63">
        <f>IF(tblMovement[[#This Row],[Source]]="","",IFERROR(INDEX(tblSources[Type],MATCH(tblMovement[[#This Row],[Source]],tblSources[Source],0)),"?"))</f>
        <v/>
      </c>
      <c r="L1684" s="63">
        <f>IF(tblMovement[[#This Row],[Destination]]="","",IFERROR(INDEX(tblDestinations[Type],MATCH(tblMovement[[#This Row],[Destination]],tblDestinations[Destination],0)),"?"))</f>
        <v/>
      </c>
      <c r="M1684" s="64">
        <f>IF(tblMovement[[#This Row],[Material]]="","",IF(LEFT(tblMovement[[#This Row],[Material]],3)="Ore",1,0))</f>
        <v/>
      </c>
      <c r="N1684" s="59">
        <f>IF(OR(tblMovement[[#This Row],[Tonnes_t]]="",tblMovement[[#This Row],[Grade_gpt]]=""),0,tblMovement[[#This Row],[Tonnes_t]]*tblMovement[[#This Row],[Grade_gpt]]/cfg_TroyOz)</f>
        <v/>
      </c>
      <c r="O1684" s="59">
        <f>IF(tblMovement[[#This Row],[Is_Ore]]=1,tblMovement[[#This Row],[Contained_oz]],0)</f>
        <v/>
      </c>
    </row>
    <row r="1685">
      <c r="A1685" s="54" t="n"/>
      <c r="B1685" s="61" t="n"/>
      <c r="C1685" s="61" t="n"/>
      <c r="D1685" s="61" t="n"/>
      <c r="E1685" s="61" t="n"/>
      <c r="F1685" s="55" t="n"/>
      <c r="G1685" s="56" t="n"/>
      <c r="H1685" s="55" t="n"/>
      <c r="I1685" s="62" t="n"/>
      <c r="J1685" s="58" t="n"/>
      <c r="K1685" s="63">
        <f>IF(tblMovement[[#This Row],[Source]]="","",IFERROR(INDEX(tblSources[Type],MATCH(tblMovement[[#This Row],[Source]],tblSources[Source],0)),"?"))</f>
        <v/>
      </c>
      <c r="L1685" s="63">
        <f>IF(tblMovement[[#This Row],[Destination]]="","",IFERROR(INDEX(tblDestinations[Type],MATCH(tblMovement[[#This Row],[Destination]],tblDestinations[Destination],0)),"?"))</f>
        <v/>
      </c>
      <c r="M1685" s="64">
        <f>IF(tblMovement[[#This Row],[Material]]="","",IF(LEFT(tblMovement[[#This Row],[Material]],3)="Ore",1,0))</f>
        <v/>
      </c>
      <c r="N1685" s="59">
        <f>IF(OR(tblMovement[[#This Row],[Tonnes_t]]="",tblMovement[[#This Row],[Grade_gpt]]=""),0,tblMovement[[#This Row],[Tonnes_t]]*tblMovement[[#This Row],[Grade_gpt]]/cfg_TroyOz)</f>
        <v/>
      </c>
      <c r="O1685" s="59">
        <f>IF(tblMovement[[#This Row],[Is_Ore]]=1,tblMovement[[#This Row],[Contained_oz]],0)</f>
        <v/>
      </c>
    </row>
    <row r="1686">
      <c r="A1686" s="54" t="n"/>
      <c r="B1686" s="61" t="n"/>
      <c r="C1686" s="61" t="n"/>
      <c r="D1686" s="61" t="n"/>
      <c r="E1686" s="61" t="n"/>
      <c r="F1686" s="55" t="n"/>
      <c r="G1686" s="56" t="n"/>
      <c r="H1686" s="55" t="n"/>
      <c r="I1686" s="62" t="n"/>
      <c r="J1686" s="58" t="n"/>
      <c r="K1686" s="63">
        <f>IF(tblMovement[[#This Row],[Source]]="","",IFERROR(INDEX(tblSources[Type],MATCH(tblMovement[[#This Row],[Source]],tblSources[Source],0)),"?"))</f>
        <v/>
      </c>
      <c r="L1686" s="63">
        <f>IF(tblMovement[[#This Row],[Destination]]="","",IFERROR(INDEX(tblDestinations[Type],MATCH(tblMovement[[#This Row],[Destination]],tblDestinations[Destination],0)),"?"))</f>
        <v/>
      </c>
      <c r="M1686" s="64">
        <f>IF(tblMovement[[#This Row],[Material]]="","",IF(LEFT(tblMovement[[#This Row],[Material]],3)="Ore",1,0))</f>
        <v/>
      </c>
      <c r="N1686" s="59">
        <f>IF(OR(tblMovement[[#This Row],[Tonnes_t]]="",tblMovement[[#This Row],[Grade_gpt]]=""),0,tblMovement[[#This Row],[Tonnes_t]]*tblMovement[[#This Row],[Grade_gpt]]/cfg_TroyOz)</f>
        <v/>
      </c>
      <c r="O1686" s="59">
        <f>IF(tblMovement[[#This Row],[Is_Ore]]=1,tblMovement[[#This Row],[Contained_oz]],0)</f>
        <v/>
      </c>
    </row>
    <row r="1687">
      <c r="A1687" s="54" t="n"/>
      <c r="B1687" s="61" t="n"/>
      <c r="C1687" s="61" t="n"/>
      <c r="D1687" s="61" t="n"/>
      <c r="E1687" s="61" t="n"/>
      <c r="F1687" s="55" t="n"/>
      <c r="G1687" s="56" t="n"/>
      <c r="H1687" s="55" t="n"/>
      <c r="I1687" s="62" t="n"/>
      <c r="J1687" s="58" t="n"/>
      <c r="K1687" s="63">
        <f>IF(tblMovement[[#This Row],[Source]]="","",IFERROR(INDEX(tblSources[Type],MATCH(tblMovement[[#This Row],[Source]],tblSources[Source],0)),"?"))</f>
        <v/>
      </c>
      <c r="L1687" s="63">
        <f>IF(tblMovement[[#This Row],[Destination]]="","",IFERROR(INDEX(tblDestinations[Type],MATCH(tblMovement[[#This Row],[Destination]],tblDestinations[Destination],0)),"?"))</f>
        <v/>
      </c>
      <c r="M1687" s="64">
        <f>IF(tblMovement[[#This Row],[Material]]="","",IF(LEFT(tblMovement[[#This Row],[Material]],3)="Ore",1,0))</f>
        <v/>
      </c>
      <c r="N1687" s="59">
        <f>IF(OR(tblMovement[[#This Row],[Tonnes_t]]="",tblMovement[[#This Row],[Grade_gpt]]=""),0,tblMovement[[#This Row],[Tonnes_t]]*tblMovement[[#This Row],[Grade_gpt]]/cfg_TroyOz)</f>
        <v/>
      </c>
      <c r="O1687" s="59">
        <f>IF(tblMovement[[#This Row],[Is_Ore]]=1,tblMovement[[#This Row],[Contained_oz]],0)</f>
        <v/>
      </c>
    </row>
    <row r="1688">
      <c r="A1688" s="54" t="n"/>
      <c r="B1688" s="61" t="n"/>
      <c r="C1688" s="61" t="n"/>
      <c r="D1688" s="61" t="n"/>
      <c r="E1688" s="61" t="n"/>
      <c r="F1688" s="55" t="n"/>
      <c r="G1688" s="56" t="n"/>
      <c r="H1688" s="55" t="n"/>
      <c r="I1688" s="62" t="n"/>
      <c r="J1688" s="58" t="n"/>
      <c r="K1688" s="63">
        <f>IF(tblMovement[[#This Row],[Source]]="","",IFERROR(INDEX(tblSources[Type],MATCH(tblMovement[[#This Row],[Source]],tblSources[Source],0)),"?"))</f>
        <v/>
      </c>
      <c r="L1688" s="63">
        <f>IF(tblMovement[[#This Row],[Destination]]="","",IFERROR(INDEX(tblDestinations[Type],MATCH(tblMovement[[#This Row],[Destination]],tblDestinations[Destination],0)),"?"))</f>
        <v/>
      </c>
      <c r="M1688" s="64">
        <f>IF(tblMovement[[#This Row],[Material]]="","",IF(LEFT(tblMovement[[#This Row],[Material]],3)="Ore",1,0))</f>
        <v/>
      </c>
      <c r="N1688" s="59">
        <f>IF(OR(tblMovement[[#This Row],[Tonnes_t]]="",tblMovement[[#This Row],[Grade_gpt]]=""),0,tblMovement[[#This Row],[Tonnes_t]]*tblMovement[[#This Row],[Grade_gpt]]/cfg_TroyOz)</f>
        <v/>
      </c>
      <c r="O1688" s="59">
        <f>IF(tblMovement[[#This Row],[Is_Ore]]=1,tblMovement[[#This Row],[Contained_oz]],0)</f>
        <v/>
      </c>
    </row>
    <row r="1689">
      <c r="A1689" s="54" t="n"/>
      <c r="B1689" s="61" t="n"/>
      <c r="C1689" s="61" t="n"/>
      <c r="D1689" s="61" t="n"/>
      <c r="E1689" s="61" t="n"/>
      <c r="F1689" s="55" t="n"/>
      <c r="G1689" s="56" t="n"/>
      <c r="H1689" s="55" t="n"/>
      <c r="I1689" s="62" t="n"/>
      <c r="J1689" s="58" t="n"/>
      <c r="K1689" s="63">
        <f>IF(tblMovement[[#This Row],[Source]]="","",IFERROR(INDEX(tblSources[Type],MATCH(tblMovement[[#This Row],[Source]],tblSources[Source],0)),"?"))</f>
        <v/>
      </c>
      <c r="L1689" s="63">
        <f>IF(tblMovement[[#This Row],[Destination]]="","",IFERROR(INDEX(tblDestinations[Type],MATCH(tblMovement[[#This Row],[Destination]],tblDestinations[Destination],0)),"?"))</f>
        <v/>
      </c>
      <c r="M1689" s="64">
        <f>IF(tblMovement[[#This Row],[Material]]="","",IF(LEFT(tblMovement[[#This Row],[Material]],3)="Ore",1,0))</f>
        <v/>
      </c>
      <c r="N1689" s="59">
        <f>IF(OR(tblMovement[[#This Row],[Tonnes_t]]="",tblMovement[[#This Row],[Grade_gpt]]=""),0,tblMovement[[#This Row],[Tonnes_t]]*tblMovement[[#This Row],[Grade_gpt]]/cfg_TroyOz)</f>
        <v/>
      </c>
      <c r="O1689" s="59">
        <f>IF(tblMovement[[#This Row],[Is_Ore]]=1,tblMovement[[#This Row],[Contained_oz]],0)</f>
        <v/>
      </c>
    </row>
    <row r="1690">
      <c r="A1690" s="54" t="n"/>
      <c r="B1690" s="61" t="n"/>
      <c r="C1690" s="61" t="n"/>
      <c r="D1690" s="61" t="n"/>
      <c r="E1690" s="61" t="n"/>
      <c r="F1690" s="55" t="n"/>
      <c r="G1690" s="56" t="n"/>
      <c r="H1690" s="55" t="n"/>
      <c r="I1690" s="62" t="n"/>
      <c r="J1690" s="58" t="n"/>
      <c r="K1690" s="63">
        <f>IF(tblMovement[[#This Row],[Source]]="","",IFERROR(INDEX(tblSources[Type],MATCH(tblMovement[[#This Row],[Source]],tblSources[Source],0)),"?"))</f>
        <v/>
      </c>
      <c r="L1690" s="63">
        <f>IF(tblMovement[[#This Row],[Destination]]="","",IFERROR(INDEX(tblDestinations[Type],MATCH(tblMovement[[#This Row],[Destination]],tblDestinations[Destination],0)),"?"))</f>
        <v/>
      </c>
      <c r="M1690" s="64">
        <f>IF(tblMovement[[#This Row],[Material]]="","",IF(LEFT(tblMovement[[#This Row],[Material]],3)="Ore",1,0))</f>
        <v/>
      </c>
      <c r="N1690" s="59">
        <f>IF(OR(tblMovement[[#This Row],[Tonnes_t]]="",tblMovement[[#This Row],[Grade_gpt]]=""),0,tblMovement[[#This Row],[Tonnes_t]]*tblMovement[[#This Row],[Grade_gpt]]/cfg_TroyOz)</f>
        <v/>
      </c>
      <c r="O1690" s="59">
        <f>IF(tblMovement[[#This Row],[Is_Ore]]=1,tblMovement[[#This Row],[Contained_oz]],0)</f>
        <v/>
      </c>
    </row>
    <row r="1691">
      <c r="A1691" s="54" t="n"/>
      <c r="B1691" s="61" t="n"/>
      <c r="C1691" s="61" t="n"/>
      <c r="D1691" s="61" t="n"/>
      <c r="E1691" s="61" t="n"/>
      <c r="F1691" s="55" t="n"/>
      <c r="G1691" s="56" t="n"/>
      <c r="H1691" s="55" t="n"/>
      <c r="I1691" s="62" t="n"/>
      <c r="J1691" s="58" t="n"/>
      <c r="K1691" s="63">
        <f>IF(tblMovement[[#This Row],[Source]]="","",IFERROR(INDEX(tblSources[Type],MATCH(tblMovement[[#This Row],[Source]],tblSources[Source],0)),"?"))</f>
        <v/>
      </c>
      <c r="L1691" s="63">
        <f>IF(tblMovement[[#This Row],[Destination]]="","",IFERROR(INDEX(tblDestinations[Type],MATCH(tblMovement[[#This Row],[Destination]],tblDestinations[Destination],0)),"?"))</f>
        <v/>
      </c>
      <c r="M1691" s="64">
        <f>IF(tblMovement[[#This Row],[Material]]="","",IF(LEFT(tblMovement[[#This Row],[Material]],3)="Ore",1,0))</f>
        <v/>
      </c>
      <c r="N1691" s="59">
        <f>IF(OR(tblMovement[[#This Row],[Tonnes_t]]="",tblMovement[[#This Row],[Grade_gpt]]=""),0,tblMovement[[#This Row],[Tonnes_t]]*tblMovement[[#This Row],[Grade_gpt]]/cfg_TroyOz)</f>
        <v/>
      </c>
      <c r="O1691" s="59">
        <f>IF(tblMovement[[#This Row],[Is_Ore]]=1,tblMovement[[#This Row],[Contained_oz]],0)</f>
        <v/>
      </c>
    </row>
    <row r="1692">
      <c r="A1692" s="54" t="n"/>
      <c r="B1692" s="61" t="n"/>
      <c r="C1692" s="61" t="n"/>
      <c r="D1692" s="61" t="n"/>
      <c r="E1692" s="61" t="n"/>
      <c r="F1692" s="55" t="n"/>
      <c r="G1692" s="56" t="n"/>
      <c r="H1692" s="55" t="n"/>
      <c r="I1692" s="62" t="n"/>
      <c r="J1692" s="58" t="n"/>
      <c r="K1692" s="63">
        <f>IF(tblMovement[[#This Row],[Source]]="","",IFERROR(INDEX(tblSources[Type],MATCH(tblMovement[[#This Row],[Source]],tblSources[Source],0)),"?"))</f>
        <v/>
      </c>
      <c r="L1692" s="63">
        <f>IF(tblMovement[[#This Row],[Destination]]="","",IFERROR(INDEX(tblDestinations[Type],MATCH(tblMovement[[#This Row],[Destination]],tblDestinations[Destination],0)),"?"))</f>
        <v/>
      </c>
      <c r="M1692" s="64">
        <f>IF(tblMovement[[#This Row],[Material]]="","",IF(LEFT(tblMovement[[#This Row],[Material]],3)="Ore",1,0))</f>
        <v/>
      </c>
      <c r="N1692" s="59">
        <f>IF(OR(tblMovement[[#This Row],[Tonnes_t]]="",tblMovement[[#This Row],[Grade_gpt]]=""),0,tblMovement[[#This Row],[Tonnes_t]]*tblMovement[[#This Row],[Grade_gpt]]/cfg_TroyOz)</f>
        <v/>
      </c>
      <c r="O1692" s="59">
        <f>IF(tblMovement[[#This Row],[Is_Ore]]=1,tblMovement[[#This Row],[Contained_oz]],0)</f>
        <v/>
      </c>
    </row>
    <row r="1693">
      <c r="A1693" s="54" t="n"/>
      <c r="B1693" s="61" t="n"/>
      <c r="C1693" s="61" t="n"/>
      <c r="D1693" s="61" t="n"/>
      <c r="E1693" s="61" t="n"/>
      <c r="F1693" s="55" t="n"/>
      <c r="G1693" s="56" t="n"/>
      <c r="H1693" s="55" t="n"/>
      <c r="I1693" s="62" t="n"/>
      <c r="J1693" s="58" t="n"/>
      <c r="K1693" s="63">
        <f>IF(tblMovement[[#This Row],[Source]]="","",IFERROR(INDEX(tblSources[Type],MATCH(tblMovement[[#This Row],[Source]],tblSources[Source],0)),"?"))</f>
        <v/>
      </c>
      <c r="L1693" s="63">
        <f>IF(tblMovement[[#This Row],[Destination]]="","",IFERROR(INDEX(tblDestinations[Type],MATCH(tblMovement[[#This Row],[Destination]],tblDestinations[Destination],0)),"?"))</f>
        <v/>
      </c>
      <c r="M1693" s="64">
        <f>IF(tblMovement[[#This Row],[Material]]="","",IF(LEFT(tblMovement[[#This Row],[Material]],3)="Ore",1,0))</f>
        <v/>
      </c>
      <c r="N1693" s="59">
        <f>IF(OR(tblMovement[[#This Row],[Tonnes_t]]="",tblMovement[[#This Row],[Grade_gpt]]=""),0,tblMovement[[#This Row],[Tonnes_t]]*tblMovement[[#This Row],[Grade_gpt]]/cfg_TroyOz)</f>
        <v/>
      </c>
      <c r="O1693" s="59">
        <f>IF(tblMovement[[#This Row],[Is_Ore]]=1,tblMovement[[#This Row],[Contained_oz]],0)</f>
        <v/>
      </c>
    </row>
    <row r="1694">
      <c r="A1694" s="54" t="n"/>
      <c r="B1694" s="61" t="n"/>
      <c r="C1694" s="61" t="n"/>
      <c r="D1694" s="61" t="n"/>
      <c r="E1694" s="61" t="n"/>
      <c r="F1694" s="55" t="n"/>
      <c r="G1694" s="56" t="n"/>
      <c r="H1694" s="55" t="n"/>
      <c r="I1694" s="62" t="n"/>
      <c r="J1694" s="58" t="n"/>
      <c r="K1694" s="63">
        <f>IF(tblMovement[[#This Row],[Source]]="","",IFERROR(INDEX(tblSources[Type],MATCH(tblMovement[[#This Row],[Source]],tblSources[Source],0)),"?"))</f>
        <v/>
      </c>
      <c r="L1694" s="63">
        <f>IF(tblMovement[[#This Row],[Destination]]="","",IFERROR(INDEX(tblDestinations[Type],MATCH(tblMovement[[#This Row],[Destination]],tblDestinations[Destination],0)),"?"))</f>
        <v/>
      </c>
      <c r="M1694" s="64">
        <f>IF(tblMovement[[#This Row],[Material]]="","",IF(LEFT(tblMovement[[#This Row],[Material]],3)="Ore",1,0))</f>
        <v/>
      </c>
      <c r="N1694" s="59">
        <f>IF(OR(tblMovement[[#This Row],[Tonnes_t]]="",tblMovement[[#This Row],[Grade_gpt]]=""),0,tblMovement[[#This Row],[Tonnes_t]]*tblMovement[[#This Row],[Grade_gpt]]/cfg_TroyOz)</f>
        <v/>
      </c>
      <c r="O1694" s="59">
        <f>IF(tblMovement[[#This Row],[Is_Ore]]=1,tblMovement[[#This Row],[Contained_oz]],0)</f>
        <v/>
      </c>
    </row>
    <row r="1695">
      <c r="A1695" s="54" t="n"/>
      <c r="B1695" s="61" t="n"/>
      <c r="C1695" s="61" t="n"/>
      <c r="D1695" s="61" t="n"/>
      <c r="E1695" s="61" t="n"/>
      <c r="F1695" s="55" t="n"/>
      <c r="G1695" s="56" t="n"/>
      <c r="H1695" s="55" t="n"/>
      <c r="I1695" s="62" t="n"/>
      <c r="J1695" s="58" t="n"/>
      <c r="K1695" s="63">
        <f>IF(tblMovement[[#This Row],[Source]]="","",IFERROR(INDEX(tblSources[Type],MATCH(tblMovement[[#This Row],[Source]],tblSources[Source],0)),"?"))</f>
        <v/>
      </c>
      <c r="L1695" s="63">
        <f>IF(tblMovement[[#This Row],[Destination]]="","",IFERROR(INDEX(tblDestinations[Type],MATCH(tblMovement[[#This Row],[Destination]],tblDestinations[Destination],0)),"?"))</f>
        <v/>
      </c>
      <c r="M1695" s="64">
        <f>IF(tblMovement[[#This Row],[Material]]="","",IF(LEFT(tblMovement[[#This Row],[Material]],3)="Ore",1,0))</f>
        <v/>
      </c>
      <c r="N1695" s="59">
        <f>IF(OR(tblMovement[[#This Row],[Tonnes_t]]="",tblMovement[[#This Row],[Grade_gpt]]=""),0,tblMovement[[#This Row],[Tonnes_t]]*tblMovement[[#This Row],[Grade_gpt]]/cfg_TroyOz)</f>
        <v/>
      </c>
      <c r="O1695" s="59">
        <f>IF(tblMovement[[#This Row],[Is_Ore]]=1,tblMovement[[#This Row],[Contained_oz]],0)</f>
        <v/>
      </c>
    </row>
    <row r="1696">
      <c r="A1696" s="54" t="n"/>
      <c r="B1696" s="61" t="n"/>
      <c r="C1696" s="61" t="n"/>
      <c r="D1696" s="61" t="n"/>
      <c r="E1696" s="61" t="n"/>
      <c r="F1696" s="55" t="n"/>
      <c r="G1696" s="56" t="n"/>
      <c r="H1696" s="55" t="n"/>
      <c r="I1696" s="62" t="n"/>
      <c r="J1696" s="58" t="n"/>
      <c r="K1696" s="63">
        <f>IF(tblMovement[[#This Row],[Source]]="","",IFERROR(INDEX(tblSources[Type],MATCH(tblMovement[[#This Row],[Source]],tblSources[Source],0)),"?"))</f>
        <v/>
      </c>
      <c r="L1696" s="63">
        <f>IF(tblMovement[[#This Row],[Destination]]="","",IFERROR(INDEX(tblDestinations[Type],MATCH(tblMovement[[#This Row],[Destination]],tblDestinations[Destination],0)),"?"))</f>
        <v/>
      </c>
      <c r="M1696" s="64">
        <f>IF(tblMovement[[#This Row],[Material]]="","",IF(LEFT(tblMovement[[#This Row],[Material]],3)="Ore",1,0))</f>
        <v/>
      </c>
      <c r="N1696" s="59">
        <f>IF(OR(tblMovement[[#This Row],[Tonnes_t]]="",tblMovement[[#This Row],[Grade_gpt]]=""),0,tblMovement[[#This Row],[Tonnes_t]]*tblMovement[[#This Row],[Grade_gpt]]/cfg_TroyOz)</f>
        <v/>
      </c>
      <c r="O1696" s="59">
        <f>IF(tblMovement[[#This Row],[Is_Ore]]=1,tblMovement[[#This Row],[Contained_oz]],0)</f>
        <v/>
      </c>
    </row>
    <row r="1697">
      <c r="A1697" s="54" t="n"/>
      <c r="B1697" s="61" t="n"/>
      <c r="C1697" s="61" t="n"/>
      <c r="D1697" s="61" t="n"/>
      <c r="E1697" s="61" t="n"/>
      <c r="F1697" s="55" t="n"/>
      <c r="G1697" s="56" t="n"/>
      <c r="H1697" s="55" t="n"/>
      <c r="I1697" s="62" t="n"/>
      <c r="J1697" s="58" t="n"/>
      <c r="K1697" s="63">
        <f>IF(tblMovement[[#This Row],[Source]]="","",IFERROR(INDEX(tblSources[Type],MATCH(tblMovement[[#This Row],[Source]],tblSources[Source],0)),"?"))</f>
        <v/>
      </c>
      <c r="L1697" s="63">
        <f>IF(tblMovement[[#This Row],[Destination]]="","",IFERROR(INDEX(tblDestinations[Type],MATCH(tblMovement[[#This Row],[Destination]],tblDestinations[Destination],0)),"?"))</f>
        <v/>
      </c>
      <c r="M1697" s="64">
        <f>IF(tblMovement[[#This Row],[Material]]="","",IF(LEFT(tblMovement[[#This Row],[Material]],3)="Ore",1,0))</f>
        <v/>
      </c>
      <c r="N1697" s="59">
        <f>IF(OR(tblMovement[[#This Row],[Tonnes_t]]="",tblMovement[[#This Row],[Grade_gpt]]=""),0,tblMovement[[#This Row],[Tonnes_t]]*tblMovement[[#This Row],[Grade_gpt]]/cfg_TroyOz)</f>
        <v/>
      </c>
      <c r="O1697" s="59">
        <f>IF(tblMovement[[#This Row],[Is_Ore]]=1,tblMovement[[#This Row],[Contained_oz]],0)</f>
        <v/>
      </c>
    </row>
    <row r="1698">
      <c r="A1698" s="54" t="n"/>
      <c r="B1698" s="61" t="n"/>
      <c r="C1698" s="61" t="n"/>
      <c r="D1698" s="61" t="n"/>
      <c r="E1698" s="61" t="n"/>
      <c r="F1698" s="55" t="n"/>
      <c r="G1698" s="56" t="n"/>
      <c r="H1698" s="55" t="n"/>
      <c r="I1698" s="62" t="n"/>
      <c r="J1698" s="58" t="n"/>
      <c r="K1698" s="63">
        <f>IF(tblMovement[[#This Row],[Source]]="","",IFERROR(INDEX(tblSources[Type],MATCH(tblMovement[[#This Row],[Source]],tblSources[Source],0)),"?"))</f>
        <v/>
      </c>
      <c r="L1698" s="63">
        <f>IF(tblMovement[[#This Row],[Destination]]="","",IFERROR(INDEX(tblDestinations[Type],MATCH(tblMovement[[#This Row],[Destination]],tblDestinations[Destination],0)),"?"))</f>
        <v/>
      </c>
      <c r="M1698" s="64">
        <f>IF(tblMovement[[#This Row],[Material]]="","",IF(LEFT(tblMovement[[#This Row],[Material]],3)="Ore",1,0))</f>
        <v/>
      </c>
      <c r="N1698" s="59">
        <f>IF(OR(tblMovement[[#This Row],[Tonnes_t]]="",tblMovement[[#This Row],[Grade_gpt]]=""),0,tblMovement[[#This Row],[Tonnes_t]]*tblMovement[[#This Row],[Grade_gpt]]/cfg_TroyOz)</f>
        <v/>
      </c>
      <c r="O1698" s="59">
        <f>IF(tblMovement[[#This Row],[Is_Ore]]=1,tblMovement[[#This Row],[Contained_oz]],0)</f>
        <v/>
      </c>
    </row>
    <row r="1699">
      <c r="A1699" s="54" t="n"/>
      <c r="B1699" s="61" t="n"/>
      <c r="C1699" s="61" t="n"/>
      <c r="D1699" s="61" t="n"/>
      <c r="E1699" s="61" t="n"/>
      <c r="F1699" s="55" t="n"/>
      <c r="G1699" s="56" t="n"/>
      <c r="H1699" s="55" t="n"/>
      <c r="I1699" s="62" t="n"/>
      <c r="J1699" s="58" t="n"/>
      <c r="K1699" s="63">
        <f>IF(tblMovement[[#This Row],[Source]]="","",IFERROR(INDEX(tblSources[Type],MATCH(tblMovement[[#This Row],[Source]],tblSources[Source],0)),"?"))</f>
        <v/>
      </c>
      <c r="L1699" s="63">
        <f>IF(tblMovement[[#This Row],[Destination]]="","",IFERROR(INDEX(tblDestinations[Type],MATCH(tblMovement[[#This Row],[Destination]],tblDestinations[Destination],0)),"?"))</f>
        <v/>
      </c>
      <c r="M1699" s="64">
        <f>IF(tblMovement[[#This Row],[Material]]="","",IF(LEFT(tblMovement[[#This Row],[Material]],3)="Ore",1,0))</f>
        <v/>
      </c>
      <c r="N1699" s="59">
        <f>IF(OR(tblMovement[[#This Row],[Tonnes_t]]="",tblMovement[[#This Row],[Grade_gpt]]=""),0,tblMovement[[#This Row],[Tonnes_t]]*tblMovement[[#This Row],[Grade_gpt]]/cfg_TroyOz)</f>
        <v/>
      </c>
      <c r="O1699" s="59">
        <f>IF(tblMovement[[#This Row],[Is_Ore]]=1,tblMovement[[#This Row],[Contained_oz]],0)</f>
        <v/>
      </c>
    </row>
    <row r="1700">
      <c r="A1700" s="54" t="n"/>
      <c r="B1700" s="61" t="n"/>
      <c r="C1700" s="61" t="n"/>
      <c r="D1700" s="61" t="n"/>
      <c r="E1700" s="61" t="n"/>
      <c r="F1700" s="55" t="n"/>
      <c r="G1700" s="56" t="n"/>
      <c r="H1700" s="55" t="n"/>
      <c r="I1700" s="62" t="n"/>
      <c r="J1700" s="58" t="n"/>
      <c r="K1700" s="63">
        <f>IF(tblMovement[[#This Row],[Source]]="","",IFERROR(INDEX(tblSources[Type],MATCH(tblMovement[[#This Row],[Source]],tblSources[Source],0)),"?"))</f>
        <v/>
      </c>
      <c r="L1700" s="63">
        <f>IF(tblMovement[[#This Row],[Destination]]="","",IFERROR(INDEX(tblDestinations[Type],MATCH(tblMovement[[#This Row],[Destination]],tblDestinations[Destination],0)),"?"))</f>
        <v/>
      </c>
      <c r="M1700" s="64">
        <f>IF(tblMovement[[#This Row],[Material]]="","",IF(LEFT(tblMovement[[#This Row],[Material]],3)="Ore",1,0))</f>
        <v/>
      </c>
      <c r="N1700" s="59">
        <f>IF(OR(tblMovement[[#This Row],[Tonnes_t]]="",tblMovement[[#This Row],[Grade_gpt]]=""),0,tblMovement[[#This Row],[Tonnes_t]]*tblMovement[[#This Row],[Grade_gpt]]/cfg_TroyOz)</f>
        <v/>
      </c>
      <c r="O1700" s="59">
        <f>IF(tblMovement[[#This Row],[Is_Ore]]=1,tblMovement[[#This Row],[Contained_oz]],0)</f>
        <v/>
      </c>
    </row>
    <row r="1701">
      <c r="A1701" s="54" t="n"/>
      <c r="B1701" s="61" t="n"/>
      <c r="C1701" s="61" t="n"/>
      <c r="D1701" s="61" t="n"/>
      <c r="E1701" s="61" t="n"/>
      <c r="F1701" s="55" t="n"/>
      <c r="G1701" s="56" t="n"/>
      <c r="H1701" s="55" t="n"/>
      <c r="I1701" s="62" t="n"/>
      <c r="J1701" s="58" t="n"/>
      <c r="K1701" s="63">
        <f>IF(tblMovement[[#This Row],[Source]]="","",IFERROR(INDEX(tblSources[Type],MATCH(tblMovement[[#This Row],[Source]],tblSources[Source],0)),"?"))</f>
        <v/>
      </c>
      <c r="L1701" s="63">
        <f>IF(tblMovement[[#This Row],[Destination]]="","",IFERROR(INDEX(tblDestinations[Type],MATCH(tblMovement[[#This Row],[Destination]],tblDestinations[Destination],0)),"?"))</f>
        <v/>
      </c>
      <c r="M1701" s="64">
        <f>IF(tblMovement[[#This Row],[Material]]="","",IF(LEFT(tblMovement[[#This Row],[Material]],3)="Ore",1,0))</f>
        <v/>
      </c>
      <c r="N1701" s="59">
        <f>IF(OR(tblMovement[[#This Row],[Tonnes_t]]="",tblMovement[[#This Row],[Grade_gpt]]=""),0,tblMovement[[#This Row],[Tonnes_t]]*tblMovement[[#This Row],[Grade_gpt]]/cfg_TroyOz)</f>
        <v/>
      </c>
      <c r="O1701" s="59">
        <f>IF(tblMovement[[#This Row],[Is_Ore]]=1,tblMovement[[#This Row],[Contained_oz]],0)</f>
        <v/>
      </c>
    </row>
    <row r="1702">
      <c r="A1702" s="54" t="n"/>
      <c r="B1702" s="61" t="n"/>
      <c r="C1702" s="61" t="n"/>
      <c r="D1702" s="61" t="n"/>
      <c r="E1702" s="61" t="n"/>
      <c r="F1702" s="55" t="n"/>
      <c r="G1702" s="56" t="n"/>
      <c r="H1702" s="55" t="n"/>
      <c r="I1702" s="62" t="n"/>
      <c r="J1702" s="58" t="n"/>
      <c r="K1702" s="63">
        <f>IF(tblMovement[[#This Row],[Source]]="","",IFERROR(INDEX(tblSources[Type],MATCH(tblMovement[[#This Row],[Source]],tblSources[Source],0)),"?"))</f>
        <v/>
      </c>
      <c r="L1702" s="63">
        <f>IF(tblMovement[[#This Row],[Destination]]="","",IFERROR(INDEX(tblDestinations[Type],MATCH(tblMovement[[#This Row],[Destination]],tblDestinations[Destination],0)),"?"))</f>
        <v/>
      </c>
      <c r="M1702" s="64">
        <f>IF(tblMovement[[#This Row],[Material]]="","",IF(LEFT(tblMovement[[#This Row],[Material]],3)="Ore",1,0))</f>
        <v/>
      </c>
      <c r="N1702" s="59">
        <f>IF(OR(tblMovement[[#This Row],[Tonnes_t]]="",tblMovement[[#This Row],[Grade_gpt]]=""),0,tblMovement[[#This Row],[Tonnes_t]]*tblMovement[[#This Row],[Grade_gpt]]/cfg_TroyOz)</f>
        <v/>
      </c>
      <c r="O1702" s="59">
        <f>IF(tblMovement[[#This Row],[Is_Ore]]=1,tblMovement[[#This Row],[Contained_oz]],0)</f>
        <v/>
      </c>
    </row>
    <row r="1703">
      <c r="A1703" s="54" t="n"/>
      <c r="B1703" s="61" t="n"/>
      <c r="C1703" s="61" t="n"/>
      <c r="D1703" s="61" t="n"/>
      <c r="E1703" s="61" t="n"/>
      <c r="F1703" s="55" t="n"/>
      <c r="G1703" s="56" t="n"/>
      <c r="H1703" s="55" t="n"/>
      <c r="I1703" s="62" t="n"/>
      <c r="J1703" s="58" t="n"/>
      <c r="K1703" s="63">
        <f>IF(tblMovement[[#This Row],[Source]]="","",IFERROR(INDEX(tblSources[Type],MATCH(tblMovement[[#This Row],[Source]],tblSources[Source],0)),"?"))</f>
        <v/>
      </c>
      <c r="L1703" s="63">
        <f>IF(tblMovement[[#This Row],[Destination]]="","",IFERROR(INDEX(tblDestinations[Type],MATCH(tblMovement[[#This Row],[Destination]],tblDestinations[Destination],0)),"?"))</f>
        <v/>
      </c>
      <c r="M1703" s="64">
        <f>IF(tblMovement[[#This Row],[Material]]="","",IF(LEFT(tblMovement[[#This Row],[Material]],3)="Ore",1,0))</f>
        <v/>
      </c>
      <c r="N1703" s="59">
        <f>IF(OR(tblMovement[[#This Row],[Tonnes_t]]="",tblMovement[[#This Row],[Grade_gpt]]=""),0,tblMovement[[#This Row],[Tonnes_t]]*tblMovement[[#This Row],[Grade_gpt]]/cfg_TroyOz)</f>
        <v/>
      </c>
      <c r="O1703" s="59">
        <f>IF(tblMovement[[#This Row],[Is_Ore]]=1,tblMovement[[#This Row],[Contained_oz]],0)</f>
        <v/>
      </c>
    </row>
    <row r="1704">
      <c r="A1704" s="54" t="n"/>
      <c r="B1704" s="61" t="n"/>
      <c r="C1704" s="61" t="n"/>
      <c r="D1704" s="61" t="n"/>
      <c r="E1704" s="61" t="n"/>
      <c r="F1704" s="55" t="n"/>
      <c r="G1704" s="56" t="n"/>
      <c r="H1704" s="55" t="n"/>
      <c r="I1704" s="62" t="n"/>
      <c r="J1704" s="58" t="n"/>
      <c r="K1704" s="63">
        <f>IF(tblMovement[[#This Row],[Source]]="","",IFERROR(INDEX(tblSources[Type],MATCH(tblMovement[[#This Row],[Source]],tblSources[Source],0)),"?"))</f>
        <v/>
      </c>
      <c r="L1704" s="63">
        <f>IF(tblMovement[[#This Row],[Destination]]="","",IFERROR(INDEX(tblDestinations[Type],MATCH(tblMovement[[#This Row],[Destination]],tblDestinations[Destination],0)),"?"))</f>
        <v/>
      </c>
      <c r="M1704" s="64">
        <f>IF(tblMovement[[#This Row],[Material]]="","",IF(LEFT(tblMovement[[#This Row],[Material]],3)="Ore",1,0))</f>
        <v/>
      </c>
      <c r="N1704" s="59">
        <f>IF(OR(tblMovement[[#This Row],[Tonnes_t]]="",tblMovement[[#This Row],[Grade_gpt]]=""),0,tblMovement[[#This Row],[Tonnes_t]]*tblMovement[[#This Row],[Grade_gpt]]/cfg_TroyOz)</f>
        <v/>
      </c>
      <c r="O1704" s="59">
        <f>IF(tblMovement[[#This Row],[Is_Ore]]=1,tblMovement[[#This Row],[Contained_oz]],0)</f>
        <v/>
      </c>
    </row>
    <row r="1705">
      <c r="A1705" s="54" t="n"/>
      <c r="B1705" s="61" t="n"/>
      <c r="C1705" s="61" t="n"/>
      <c r="D1705" s="61" t="n"/>
      <c r="E1705" s="61" t="n"/>
      <c r="F1705" s="55" t="n"/>
      <c r="G1705" s="56" t="n"/>
      <c r="H1705" s="55" t="n"/>
      <c r="I1705" s="62" t="n"/>
      <c r="J1705" s="58" t="n"/>
      <c r="K1705" s="63">
        <f>IF(tblMovement[[#This Row],[Source]]="","",IFERROR(INDEX(tblSources[Type],MATCH(tblMovement[[#This Row],[Source]],tblSources[Source],0)),"?"))</f>
        <v/>
      </c>
      <c r="L1705" s="63">
        <f>IF(tblMovement[[#This Row],[Destination]]="","",IFERROR(INDEX(tblDestinations[Type],MATCH(tblMovement[[#This Row],[Destination]],tblDestinations[Destination],0)),"?"))</f>
        <v/>
      </c>
      <c r="M1705" s="64">
        <f>IF(tblMovement[[#This Row],[Material]]="","",IF(LEFT(tblMovement[[#This Row],[Material]],3)="Ore",1,0))</f>
        <v/>
      </c>
      <c r="N1705" s="59">
        <f>IF(OR(tblMovement[[#This Row],[Tonnes_t]]="",tblMovement[[#This Row],[Grade_gpt]]=""),0,tblMovement[[#This Row],[Tonnes_t]]*tblMovement[[#This Row],[Grade_gpt]]/cfg_TroyOz)</f>
        <v/>
      </c>
      <c r="O1705" s="59">
        <f>IF(tblMovement[[#This Row],[Is_Ore]]=1,tblMovement[[#This Row],[Contained_oz]],0)</f>
        <v/>
      </c>
    </row>
    <row r="1706">
      <c r="A1706" s="54" t="n"/>
      <c r="B1706" s="61" t="n"/>
      <c r="C1706" s="61" t="n"/>
      <c r="D1706" s="61" t="n"/>
      <c r="E1706" s="61" t="n"/>
      <c r="F1706" s="55" t="n"/>
      <c r="G1706" s="56" t="n"/>
      <c r="H1706" s="55" t="n"/>
      <c r="I1706" s="62" t="n"/>
      <c r="J1706" s="58" t="n"/>
      <c r="K1706" s="63">
        <f>IF(tblMovement[[#This Row],[Source]]="","",IFERROR(INDEX(tblSources[Type],MATCH(tblMovement[[#This Row],[Source]],tblSources[Source],0)),"?"))</f>
        <v/>
      </c>
      <c r="L1706" s="63">
        <f>IF(tblMovement[[#This Row],[Destination]]="","",IFERROR(INDEX(tblDestinations[Type],MATCH(tblMovement[[#This Row],[Destination]],tblDestinations[Destination],0)),"?"))</f>
        <v/>
      </c>
      <c r="M1706" s="64">
        <f>IF(tblMovement[[#This Row],[Material]]="","",IF(LEFT(tblMovement[[#This Row],[Material]],3)="Ore",1,0))</f>
        <v/>
      </c>
      <c r="N1706" s="59">
        <f>IF(OR(tblMovement[[#This Row],[Tonnes_t]]="",tblMovement[[#This Row],[Grade_gpt]]=""),0,tblMovement[[#This Row],[Tonnes_t]]*tblMovement[[#This Row],[Grade_gpt]]/cfg_TroyOz)</f>
        <v/>
      </c>
      <c r="O1706" s="59">
        <f>IF(tblMovement[[#This Row],[Is_Ore]]=1,tblMovement[[#This Row],[Contained_oz]],0)</f>
        <v/>
      </c>
    </row>
    <row r="1707">
      <c r="A1707" s="54" t="n"/>
      <c r="B1707" s="61" t="n"/>
      <c r="C1707" s="61" t="n"/>
      <c r="D1707" s="61" t="n"/>
      <c r="E1707" s="61" t="n"/>
      <c r="F1707" s="55" t="n"/>
      <c r="G1707" s="56" t="n"/>
      <c r="H1707" s="55" t="n"/>
      <c r="I1707" s="62" t="n"/>
      <c r="J1707" s="58" t="n"/>
      <c r="K1707" s="63">
        <f>IF(tblMovement[[#This Row],[Source]]="","",IFERROR(INDEX(tblSources[Type],MATCH(tblMovement[[#This Row],[Source]],tblSources[Source],0)),"?"))</f>
        <v/>
      </c>
      <c r="L1707" s="63">
        <f>IF(tblMovement[[#This Row],[Destination]]="","",IFERROR(INDEX(tblDestinations[Type],MATCH(tblMovement[[#This Row],[Destination]],tblDestinations[Destination],0)),"?"))</f>
        <v/>
      </c>
      <c r="M1707" s="64">
        <f>IF(tblMovement[[#This Row],[Material]]="","",IF(LEFT(tblMovement[[#This Row],[Material]],3)="Ore",1,0))</f>
        <v/>
      </c>
      <c r="N1707" s="59">
        <f>IF(OR(tblMovement[[#This Row],[Tonnes_t]]="",tblMovement[[#This Row],[Grade_gpt]]=""),0,tblMovement[[#This Row],[Tonnes_t]]*tblMovement[[#This Row],[Grade_gpt]]/cfg_TroyOz)</f>
        <v/>
      </c>
      <c r="O1707" s="59">
        <f>IF(tblMovement[[#This Row],[Is_Ore]]=1,tblMovement[[#This Row],[Contained_oz]],0)</f>
        <v/>
      </c>
    </row>
    <row r="1708">
      <c r="A1708" s="54" t="n"/>
      <c r="B1708" s="61" t="n"/>
      <c r="C1708" s="61" t="n"/>
      <c r="D1708" s="61" t="n"/>
      <c r="E1708" s="61" t="n"/>
      <c r="F1708" s="55" t="n"/>
      <c r="G1708" s="56" t="n"/>
      <c r="H1708" s="55" t="n"/>
      <c r="I1708" s="62" t="n"/>
      <c r="J1708" s="58" t="n"/>
      <c r="K1708" s="63">
        <f>IF(tblMovement[[#This Row],[Source]]="","",IFERROR(INDEX(tblSources[Type],MATCH(tblMovement[[#This Row],[Source]],tblSources[Source],0)),"?"))</f>
        <v/>
      </c>
      <c r="L1708" s="63">
        <f>IF(tblMovement[[#This Row],[Destination]]="","",IFERROR(INDEX(tblDestinations[Type],MATCH(tblMovement[[#This Row],[Destination]],tblDestinations[Destination],0)),"?"))</f>
        <v/>
      </c>
      <c r="M1708" s="64">
        <f>IF(tblMovement[[#This Row],[Material]]="","",IF(LEFT(tblMovement[[#This Row],[Material]],3)="Ore",1,0))</f>
        <v/>
      </c>
      <c r="N1708" s="59">
        <f>IF(OR(tblMovement[[#This Row],[Tonnes_t]]="",tblMovement[[#This Row],[Grade_gpt]]=""),0,tblMovement[[#This Row],[Tonnes_t]]*tblMovement[[#This Row],[Grade_gpt]]/cfg_TroyOz)</f>
        <v/>
      </c>
      <c r="O1708" s="59">
        <f>IF(tblMovement[[#This Row],[Is_Ore]]=1,tblMovement[[#This Row],[Contained_oz]],0)</f>
        <v/>
      </c>
    </row>
    <row r="1709">
      <c r="A1709" s="54" t="n"/>
      <c r="B1709" s="61" t="n"/>
      <c r="C1709" s="61" t="n"/>
      <c r="D1709" s="61" t="n"/>
      <c r="E1709" s="61" t="n"/>
      <c r="F1709" s="55" t="n"/>
      <c r="G1709" s="56" t="n"/>
      <c r="H1709" s="55" t="n"/>
      <c r="I1709" s="62" t="n"/>
      <c r="J1709" s="58" t="n"/>
      <c r="K1709" s="63">
        <f>IF(tblMovement[[#This Row],[Source]]="","",IFERROR(INDEX(tblSources[Type],MATCH(tblMovement[[#This Row],[Source]],tblSources[Source],0)),"?"))</f>
        <v/>
      </c>
      <c r="L1709" s="63">
        <f>IF(tblMovement[[#This Row],[Destination]]="","",IFERROR(INDEX(tblDestinations[Type],MATCH(tblMovement[[#This Row],[Destination]],tblDestinations[Destination],0)),"?"))</f>
        <v/>
      </c>
      <c r="M1709" s="64">
        <f>IF(tblMovement[[#This Row],[Material]]="","",IF(LEFT(tblMovement[[#This Row],[Material]],3)="Ore",1,0))</f>
        <v/>
      </c>
      <c r="N1709" s="59">
        <f>IF(OR(tblMovement[[#This Row],[Tonnes_t]]="",tblMovement[[#This Row],[Grade_gpt]]=""),0,tblMovement[[#This Row],[Tonnes_t]]*tblMovement[[#This Row],[Grade_gpt]]/cfg_TroyOz)</f>
        <v/>
      </c>
      <c r="O1709" s="59">
        <f>IF(tblMovement[[#This Row],[Is_Ore]]=1,tblMovement[[#This Row],[Contained_oz]],0)</f>
        <v/>
      </c>
    </row>
    <row r="1710">
      <c r="A1710" s="54" t="n"/>
      <c r="B1710" s="61" t="n"/>
      <c r="C1710" s="61" t="n"/>
      <c r="D1710" s="61" t="n"/>
      <c r="E1710" s="61" t="n"/>
      <c r="F1710" s="55" t="n"/>
      <c r="G1710" s="56" t="n"/>
      <c r="H1710" s="55" t="n"/>
      <c r="I1710" s="62" t="n"/>
      <c r="J1710" s="58" t="n"/>
      <c r="K1710" s="63">
        <f>IF(tblMovement[[#This Row],[Source]]="","",IFERROR(INDEX(tblSources[Type],MATCH(tblMovement[[#This Row],[Source]],tblSources[Source],0)),"?"))</f>
        <v/>
      </c>
      <c r="L1710" s="63">
        <f>IF(tblMovement[[#This Row],[Destination]]="","",IFERROR(INDEX(tblDestinations[Type],MATCH(tblMovement[[#This Row],[Destination]],tblDestinations[Destination],0)),"?"))</f>
        <v/>
      </c>
      <c r="M1710" s="64">
        <f>IF(tblMovement[[#This Row],[Material]]="","",IF(LEFT(tblMovement[[#This Row],[Material]],3)="Ore",1,0))</f>
        <v/>
      </c>
      <c r="N1710" s="59">
        <f>IF(OR(tblMovement[[#This Row],[Tonnes_t]]="",tblMovement[[#This Row],[Grade_gpt]]=""),0,tblMovement[[#This Row],[Tonnes_t]]*tblMovement[[#This Row],[Grade_gpt]]/cfg_TroyOz)</f>
        <v/>
      </c>
      <c r="O1710" s="59">
        <f>IF(tblMovement[[#This Row],[Is_Ore]]=1,tblMovement[[#This Row],[Contained_oz]],0)</f>
        <v/>
      </c>
    </row>
    <row r="1711">
      <c r="A1711" s="54" t="n"/>
      <c r="B1711" s="61" t="n"/>
      <c r="C1711" s="61" t="n"/>
      <c r="D1711" s="61" t="n"/>
      <c r="E1711" s="61" t="n"/>
      <c r="F1711" s="55" t="n"/>
      <c r="G1711" s="56" t="n"/>
      <c r="H1711" s="55" t="n"/>
      <c r="I1711" s="62" t="n"/>
      <c r="J1711" s="58" t="n"/>
      <c r="K1711" s="63">
        <f>IF(tblMovement[[#This Row],[Source]]="","",IFERROR(INDEX(tblSources[Type],MATCH(tblMovement[[#This Row],[Source]],tblSources[Source],0)),"?"))</f>
        <v/>
      </c>
      <c r="L1711" s="63">
        <f>IF(tblMovement[[#This Row],[Destination]]="","",IFERROR(INDEX(tblDestinations[Type],MATCH(tblMovement[[#This Row],[Destination]],tblDestinations[Destination],0)),"?"))</f>
        <v/>
      </c>
      <c r="M1711" s="64">
        <f>IF(tblMovement[[#This Row],[Material]]="","",IF(LEFT(tblMovement[[#This Row],[Material]],3)="Ore",1,0))</f>
        <v/>
      </c>
      <c r="N1711" s="59">
        <f>IF(OR(tblMovement[[#This Row],[Tonnes_t]]="",tblMovement[[#This Row],[Grade_gpt]]=""),0,tblMovement[[#This Row],[Tonnes_t]]*tblMovement[[#This Row],[Grade_gpt]]/cfg_TroyOz)</f>
        <v/>
      </c>
      <c r="O1711" s="59">
        <f>IF(tblMovement[[#This Row],[Is_Ore]]=1,tblMovement[[#This Row],[Contained_oz]],0)</f>
        <v/>
      </c>
    </row>
    <row r="1712">
      <c r="A1712" s="54" t="n"/>
      <c r="B1712" s="61" t="n"/>
      <c r="C1712" s="61" t="n"/>
      <c r="D1712" s="61" t="n"/>
      <c r="E1712" s="61" t="n"/>
      <c r="F1712" s="55" t="n"/>
      <c r="G1712" s="56" t="n"/>
      <c r="H1712" s="55" t="n"/>
      <c r="I1712" s="62" t="n"/>
      <c r="J1712" s="58" t="n"/>
      <c r="K1712" s="63">
        <f>IF(tblMovement[[#This Row],[Source]]="","",IFERROR(INDEX(tblSources[Type],MATCH(tblMovement[[#This Row],[Source]],tblSources[Source],0)),"?"))</f>
        <v/>
      </c>
      <c r="L1712" s="63">
        <f>IF(tblMovement[[#This Row],[Destination]]="","",IFERROR(INDEX(tblDestinations[Type],MATCH(tblMovement[[#This Row],[Destination]],tblDestinations[Destination],0)),"?"))</f>
        <v/>
      </c>
      <c r="M1712" s="64">
        <f>IF(tblMovement[[#This Row],[Material]]="","",IF(LEFT(tblMovement[[#This Row],[Material]],3)="Ore",1,0))</f>
        <v/>
      </c>
      <c r="N1712" s="59">
        <f>IF(OR(tblMovement[[#This Row],[Tonnes_t]]="",tblMovement[[#This Row],[Grade_gpt]]=""),0,tblMovement[[#This Row],[Tonnes_t]]*tblMovement[[#This Row],[Grade_gpt]]/cfg_TroyOz)</f>
        <v/>
      </c>
      <c r="O1712" s="59">
        <f>IF(tblMovement[[#This Row],[Is_Ore]]=1,tblMovement[[#This Row],[Contained_oz]],0)</f>
        <v/>
      </c>
    </row>
    <row r="1713">
      <c r="A1713" s="54" t="n"/>
      <c r="B1713" s="61" t="n"/>
      <c r="C1713" s="61" t="n"/>
      <c r="D1713" s="61" t="n"/>
      <c r="E1713" s="61" t="n"/>
      <c r="F1713" s="55" t="n"/>
      <c r="G1713" s="56" t="n"/>
      <c r="H1713" s="55" t="n"/>
      <c r="I1713" s="62" t="n"/>
      <c r="J1713" s="58" t="n"/>
      <c r="K1713" s="63">
        <f>IF(tblMovement[[#This Row],[Source]]="","",IFERROR(INDEX(tblSources[Type],MATCH(tblMovement[[#This Row],[Source]],tblSources[Source],0)),"?"))</f>
        <v/>
      </c>
      <c r="L1713" s="63">
        <f>IF(tblMovement[[#This Row],[Destination]]="","",IFERROR(INDEX(tblDestinations[Type],MATCH(tblMovement[[#This Row],[Destination]],tblDestinations[Destination],0)),"?"))</f>
        <v/>
      </c>
      <c r="M1713" s="64">
        <f>IF(tblMovement[[#This Row],[Material]]="","",IF(LEFT(tblMovement[[#This Row],[Material]],3)="Ore",1,0))</f>
        <v/>
      </c>
      <c r="N1713" s="59">
        <f>IF(OR(tblMovement[[#This Row],[Tonnes_t]]="",tblMovement[[#This Row],[Grade_gpt]]=""),0,tblMovement[[#This Row],[Tonnes_t]]*tblMovement[[#This Row],[Grade_gpt]]/cfg_TroyOz)</f>
        <v/>
      </c>
      <c r="O1713" s="59">
        <f>IF(tblMovement[[#This Row],[Is_Ore]]=1,tblMovement[[#This Row],[Contained_oz]],0)</f>
        <v/>
      </c>
    </row>
    <row r="1714">
      <c r="A1714" s="54" t="n"/>
      <c r="B1714" s="61" t="n"/>
      <c r="C1714" s="61" t="n"/>
      <c r="D1714" s="61" t="n"/>
      <c r="E1714" s="61" t="n"/>
      <c r="F1714" s="55" t="n"/>
      <c r="G1714" s="56" t="n"/>
      <c r="H1714" s="55" t="n"/>
      <c r="I1714" s="62" t="n"/>
      <c r="J1714" s="58" t="n"/>
      <c r="K1714" s="63">
        <f>IF(tblMovement[[#This Row],[Source]]="","",IFERROR(INDEX(tblSources[Type],MATCH(tblMovement[[#This Row],[Source]],tblSources[Source],0)),"?"))</f>
        <v/>
      </c>
      <c r="L1714" s="63">
        <f>IF(tblMovement[[#This Row],[Destination]]="","",IFERROR(INDEX(tblDestinations[Type],MATCH(tblMovement[[#This Row],[Destination]],tblDestinations[Destination],0)),"?"))</f>
        <v/>
      </c>
      <c r="M1714" s="64">
        <f>IF(tblMovement[[#This Row],[Material]]="","",IF(LEFT(tblMovement[[#This Row],[Material]],3)="Ore",1,0))</f>
        <v/>
      </c>
      <c r="N1714" s="59">
        <f>IF(OR(tblMovement[[#This Row],[Tonnes_t]]="",tblMovement[[#This Row],[Grade_gpt]]=""),0,tblMovement[[#This Row],[Tonnes_t]]*tblMovement[[#This Row],[Grade_gpt]]/cfg_TroyOz)</f>
        <v/>
      </c>
      <c r="O1714" s="59">
        <f>IF(tblMovement[[#This Row],[Is_Ore]]=1,tblMovement[[#This Row],[Contained_oz]],0)</f>
        <v/>
      </c>
    </row>
    <row r="1715">
      <c r="A1715" s="54" t="n"/>
      <c r="B1715" s="61" t="n"/>
      <c r="C1715" s="61" t="n"/>
      <c r="D1715" s="61" t="n"/>
      <c r="E1715" s="61" t="n"/>
      <c r="F1715" s="55" t="n"/>
      <c r="G1715" s="56" t="n"/>
      <c r="H1715" s="55" t="n"/>
      <c r="I1715" s="62" t="n"/>
      <c r="J1715" s="58" t="n"/>
      <c r="K1715" s="63">
        <f>IF(tblMovement[[#This Row],[Source]]="","",IFERROR(INDEX(tblSources[Type],MATCH(tblMovement[[#This Row],[Source]],tblSources[Source],0)),"?"))</f>
        <v/>
      </c>
      <c r="L1715" s="63">
        <f>IF(tblMovement[[#This Row],[Destination]]="","",IFERROR(INDEX(tblDestinations[Type],MATCH(tblMovement[[#This Row],[Destination]],tblDestinations[Destination],0)),"?"))</f>
        <v/>
      </c>
      <c r="M1715" s="64">
        <f>IF(tblMovement[[#This Row],[Material]]="","",IF(LEFT(tblMovement[[#This Row],[Material]],3)="Ore",1,0))</f>
        <v/>
      </c>
      <c r="N1715" s="59">
        <f>IF(OR(tblMovement[[#This Row],[Tonnes_t]]="",tblMovement[[#This Row],[Grade_gpt]]=""),0,tblMovement[[#This Row],[Tonnes_t]]*tblMovement[[#This Row],[Grade_gpt]]/cfg_TroyOz)</f>
        <v/>
      </c>
      <c r="O1715" s="59">
        <f>IF(tblMovement[[#This Row],[Is_Ore]]=1,tblMovement[[#This Row],[Contained_oz]],0)</f>
        <v/>
      </c>
    </row>
    <row r="1716">
      <c r="A1716" s="54" t="n"/>
      <c r="B1716" s="61" t="n"/>
      <c r="C1716" s="61" t="n"/>
      <c r="D1716" s="61" t="n"/>
      <c r="E1716" s="61" t="n"/>
      <c r="F1716" s="55" t="n"/>
      <c r="G1716" s="56" t="n"/>
      <c r="H1716" s="55" t="n"/>
      <c r="I1716" s="62" t="n"/>
      <c r="J1716" s="58" t="n"/>
      <c r="K1716" s="63">
        <f>IF(tblMovement[[#This Row],[Source]]="","",IFERROR(INDEX(tblSources[Type],MATCH(tblMovement[[#This Row],[Source]],tblSources[Source],0)),"?"))</f>
        <v/>
      </c>
      <c r="L1716" s="63">
        <f>IF(tblMovement[[#This Row],[Destination]]="","",IFERROR(INDEX(tblDestinations[Type],MATCH(tblMovement[[#This Row],[Destination]],tblDestinations[Destination],0)),"?"))</f>
        <v/>
      </c>
      <c r="M1716" s="64">
        <f>IF(tblMovement[[#This Row],[Material]]="","",IF(LEFT(tblMovement[[#This Row],[Material]],3)="Ore",1,0))</f>
        <v/>
      </c>
      <c r="N1716" s="59">
        <f>IF(OR(tblMovement[[#This Row],[Tonnes_t]]="",tblMovement[[#This Row],[Grade_gpt]]=""),0,tblMovement[[#This Row],[Tonnes_t]]*tblMovement[[#This Row],[Grade_gpt]]/cfg_TroyOz)</f>
        <v/>
      </c>
      <c r="O1716" s="59">
        <f>IF(tblMovement[[#This Row],[Is_Ore]]=1,tblMovement[[#This Row],[Contained_oz]],0)</f>
        <v/>
      </c>
    </row>
    <row r="1717">
      <c r="A1717" s="54" t="n"/>
      <c r="B1717" s="61" t="n"/>
      <c r="C1717" s="61" t="n"/>
      <c r="D1717" s="61" t="n"/>
      <c r="E1717" s="61" t="n"/>
      <c r="F1717" s="55" t="n"/>
      <c r="G1717" s="56" t="n"/>
      <c r="H1717" s="55" t="n"/>
      <c r="I1717" s="62" t="n"/>
      <c r="J1717" s="58" t="n"/>
      <c r="K1717" s="63">
        <f>IF(tblMovement[[#This Row],[Source]]="","",IFERROR(INDEX(tblSources[Type],MATCH(tblMovement[[#This Row],[Source]],tblSources[Source],0)),"?"))</f>
        <v/>
      </c>
      <c r="L1717" s="63">
        <f>IF(tblMovement[[#This Row],[Destination]]="","",IFERROR(INDEX(tblDestinations[Type],MATCH(tblMovement[[#This Row],[Destination]],tblDestinations[Destination],0)),"?"))</f>
        <v/>
      </c>
      <c r="M1717" s="64">
        <f>IF(tblMovement[[#This Row],[Material]]="","",IF(LEFT(tblMovement[[#This Row],[Material]],3)="Ore",1,0))</f>
        <v/>
      </c>
      <c r="N1717" s="59">
        <f>IF(OR(tblMovement[[#This Row],[Tonnes_t]]="",tblMovement[[#This Row],[Grade_gpt]]=""),0,tblMovement[[#This Row],[Tonnes_t]]*tblMovement[[#This Row],[Grade_gpt]]/cfg_TroyOz)</f>
        <v/>
      </c>
      <c r="O1717" s="59">
        <f>IF(tblMovement[[#This Row],[Is_Ore]]=1,tblMovement[[#This Row],[Contained_oz]],0)</f>
        <v/>
      </c>
    </row>
    <row r="1718">
      <c r="A1718" s="54" t="n"/>
      <c r="B1718" s="61" t="n"/>
      <c r="C1718" s="61" t="n"/>
      <c r="D1718" s="61" t="n"/>
      <c r="E1718" s="61" t="n"/>
      <c r="F1718" s="55" t="n"/>
      <c r="G1718" s="56" t="n"/>
      <c r="H1718" s="55" t="n"/>
      <c r="I1718" s="62" t="n"/>
      <c r="J1718" s="58" t="n"/>
      <c r="K1718" s="63">
        <f>IF(tblMovement[[#This Row],[Source]]="","",IFERROR(INDEX(tblSources[Type],MATCH(tblMovement[[#This Row],[Source]],tblSources[Source],0)),"?"))</f>
        <v/>
      </c>
      <c r="L1718" s="63">
        <f>IF(tblMovement[[#This Row],[Destination]]="","",IFERROR(INDEX(tblDestinations[Type],MATCH(tblMovement[[#This Row],[Destination]],tblDestinations[Destination],0)),"?"))</f>
        <v/>
      </c>
      <c r="M1718" s="64">
        <f>IF(tblMovement[[#This Row],[Material]]="","",IF(LEFT(tblMovement[[#This Row],[Material]],3)="Ore",1,0))</f>
        <v/>
      </c>
      <c r="N1718" s="59">
        <f>IF(OR(tblMovement[[#This Row],[Tonnes_t]]="",tblMovement[[#This Row],[Grade_gpt]]=""),0,tblMovement[[#This Row],[Tonnes_t]]*tblMovement[[#This Row],[Grade_gpt]]/cfg_TroyOz)</f>
        <v/>
      </c>
      <c r="O1718" s="59">
        <f>IF(tblMovement[[#This Row],[Is_Ore]]=1,tblMovement[[#This Row],[Contained_oz]],0)</f>
        <v/>
      </c>
    </row>
    <row r="1719">
      <c r="A1719" s="54" t="n"/>
      <c r="B1719" s="61" t="n"/>
      <c r="C1719" s="61" t="n"/>
      <c r="D1719" s="61" t="n"/>
      <c r="E1719" s="61" t="n"/>
      <c r="F1719" s="55" t="n"/>
      <c r="G1719" s="56" t="n"/>
      <c r="H1719" s="55" t="n"/>
      <c r="I1719" s="62" t="n"/>
      <c r="J1719" s="58" t="n"/>
      <c r="K1719" s="63">
        <f>IF(tblMovement[[#This Row],[Source]]="","",IFERROR(INDEX(tblSources[Type],MATCH(tblMovement[[#This Row],[Source]],tblSources[Source],0)),"?"))</f>
        <v/>
      </c>
      <c r="L1719" s="63">
        <f>IF(tblMovement[[#This Row],[Destination]]="","",IFERROR(INDEX(tblDestinations[Type],MATCH(tblMovement[[#This Row],[Destination]],tblDestinations[Destination],0)),"?"))</f>
        <v/>
      </c>
      <c r="M1719" s="64">
        <f>IF(tblMovement[[#This Row],[Material]]="","",IF(LEFT(tblMovement[[#This Row],[Material]],3)="Ore",1,0))</f>
        <v/>
      </c>
      <c r="N1719" s="59">
        <f>IF(OR(tblMovement[[#This Row],[Tonnes_t]]="",tblMovement[[#This Row],[Grade_gpt]]=""),0,tblMovement[[#This Row],[Tonnes_t]]*tblMovement[[#This Row],[Grade_gpt]]/cfg_TroyOz)</f>
        <v/>
      </c>
      <c r="O1719" s="59">
        <f>IF(tblMovement[[#This Row],[Is_Ore]]=1,tblMovement[[#This Row],[Contained_oz]],0)</f>
        <v/>
      </c>
    </row>
    <row r="1720">
      <c r="A1720" s="54" t="n"/>
      <c r="B1720" s="61" t="n"/>
      <c r="C1720" s="61" t="n"/>
      <c r="D1720" s="61" t="n"/>
      <c r="E1720" s="61" t="n"/>
      <c r="F1720" s="55" t="n"/>
      <c r="G1720" s="56" t="n"/>
      <c r="H1720" s="55" t="n"/>
      <c r="I1720" s="62" t="n"/>
      <c r="J1720" s="58" t="n"/>
      <c r="K1720" s="63">
        <f>IF(tblMovement[[#This Row],[Source]]="","",IFERROR(INDEX(tblSources[Type],MATCH(tblMovement[[#This Row],[Source]],tblSources[Source],0)),"?"))</f>
        <v/>
      </c>
      <c r="L1720" s="63">
        <f>IF(tblMovement[[#This Row],[Destination]]="","",IFERROR(INDEX(tblDestinations[Type],MATCH(tblMovement[[#This Row],[Destination]],tblDestinations[Destination],0)),"?"))</f>
        <v/>
      </c>
      <c r="M1720" s="64">
        <f>IF(tblMovement[[#This Row],[Material]]="","",IF(LEFT(tblMovement[[#This Row],[Material]],3)="Ore",1,0))</f>
        <v/>
      </c>
      <c r="N1720" s="59">
        <f>IF(OR(tblMovement[[#This Row],[Tonnes_t]]="",tblMovement[[#This Row],[Grade_gpt]]=""),0,tblMovement[[#This Row],[Tonnes_t]]*tblMovement[[#This Row],[Grade_gpt]]/cfg_TroyOz)</f>
        <v/>
      </c>
      <c r="O1720" s="59">
        <f>IF(tblMovement[[#This Row],[Is_Ore]]=1,tblMovement[[#This Row],[Contained_oz]],0)</f>
        <v/>
      </c>
    </row>
    <row r="1721">
      <c r="A1721" s="54" t="n"/>
      <c r="B1721" s="61" t="n"/>
      <c r="C1721" s="61" t="n"/>
      <c r="D1721" s="61" t="n"/>
      <c r="E1721" s="61" t="n"/>
      <c r="F1721" s="55" t="n"/>
      <c r="G1721" s="56" t="n"/>
      <c r="H1721" s="55" t="n"/>
      <c r="I1721" s="62" t="n"/>
      <c r="J1721" s="58" t="n"/>
      <c r="K1721" s="63">
        <f>IF(tblMovement[[#This Row],[Source]]="","",IFERROR(INDEX(tblSources[Type],MATCH(tblMovement[[#This Row],[Source]],tblSources[Source],0)),"?"))</f>
        <v/>
      </c>
      <c r="L1721" s="63">
        <f>IF(tblMovement[[#This Row],[Destination]]="","",IFERROR(INDEX(tblDestinations[Type],MATCH(tblMovement[[#This Row],[Destination]],tblDestinations[Destination],0)),"?"))</f>
        <v/>
      </c>
      <c r="M1721" s="64">
        <f>IF(tblMovement[[#This Row],[Material]]="","",IF(LEFT(tblMovement[[#This Row],[Material]],3)="Ore",1,0))</f>
        <v/>
      </c>
      <c r="N1721" s="59">
        <f>IF(OR(tblMovement[[#This Row],[Tonnes_t]]="",tblMovement[[#This Row],[Grade_gpt]]=""),0,tblMovement[[#This Row],[Tonnes_t]]*tblMovement[[#This Row],[Grade_gpt]]/cfg_TroyOz)</f>
        <v/>
      </c>
      <c r="O1721" s="59">
        <f>IF(tblMovement[[#This Row],[Is_Ore]]=1,tblMovement[[#This Row],[Contained_oz]],0)</f>
        <v/>
      </c>
    </row>
    <row r="1722">
      <c r="A1722" s="54" t="n"/>
      <c r="B1722" s="61" t="n"/>
      <c r="C1722" s="61" t="n"/>
      <c r="D1722" s="61" t="n"/>
      <c r="E1722" s="61" t="n"/>
      <c r="F1722" s="55" t="n"/>
      <c r="G1722" s="56" t="n"/>
      <c r="H1722" s="55" t="n"/>
      <c r="I1722" s="62" t="n"/>
      <c r="J1722" s="58" t="n"/>
      <c r="K1722" s="63">
        <f>IF(tblMovement[[#This Row],[Source]]="","",IFERROR(INDEX(tblSources[Type],MATCH(tblMovement[[#This Row],[Source]],tblSources[Source],0)),"?"))</f>
        <v/>
      </c>
      <c r="L1722" s="63">
        <f>IF(tblMovement[[#This Row],[Destination]]="","",IFERROR(INDEX(tblDestinations[Type],MATCH(tblMovement[[#This Row],[Destination]],tblDestinations[Destination],0)),"?"))</f>
        <v/>
      </c>
      <c r="M1722" s="64">
        <f>IF(tblMovement[[#This Row],[Material]]="","",IF(LEFT(tblMovement[[#This Row],[Material]],3)="Ore",1,0))</f>
        <v/>
      </c>
      <c r="N1722" s="59">
        <f>IF(OR(tblMovement[[#This Row],[Tonnes_t]]="",tblMovement[[#This Row],[Grade_gpt]]=""),0,tblMovement[[#This Row],[Tonnes_t]]*tblMovement[[#This Row],[Grade_gpt]]/cfg_TroyOz)</f>
        <v/>
      </c>
      <c r="O1722" s="59">
        <f>IF(tblMovement[[#This Row],[Is_Ore]]=1,tblMovement[[#This Row],[Contained_oz]],0)</f>
        <v/>
      </c>
    </row>
    <row r="1723">
      <c r="A1723" s="54" t="n"/>
      <c r="B1723" s="61" t="n"/>
      <c r="C1723" s="61" t="n"/>
      <c r="D1723" s="61" t="n"/>
      <c r="E1723" s="61" t="n"/>
      <c r="F1723" s="55" t="n"/>
      <c r="G1723" s="56" t="n"/>
      <c r="H1723" s="55" t="n"/>
      <c r="I1723" s="62" t="n"/>
      <c r="J1723" s="58" t="n"/>
      <c r="K1723" s="63">
        <f>IF(tblMovement[[#This Row],[Source]]="","",IFERROR(INDEX(tblSources[Type],MATCH(tblMovement[[#This Row],[Source]],tblSources[Source],0)),"?"))</f>
        <v/>
      </c>
      <c r="L1723" s="63">
        <f>IF(tblMovement[[#This Row],[Destination]]="","",IFERROR(INDEX(tblDestinations[Type],MATCH(tblMovement[[#This Row],[Destination]],tblDestinations[Destination],0)),"?"))</f>
        <v/>
      </c>
      <c r="M1723" s="64">
        <f>IF(tblMovement[[#This Row],[Material]]="","",IF(LEFT(tblMovement[[#This Row],[Material]],3)="Ore",1,0))</f>
        <v/>
      </c>
      <c r="N1723" s="59">
        <f>IF(OR(tblMovement[[#This Row],[Tonnes_t]]="",tblMovement[[#This Row],[Grade_gpt]]=""),0,tblMovement[[#This Row],[Tonnes_t]]*tblMovement[[#This Row],[Grade_gpt]]/cfg_TroyOz)</f>
        <v/>
      </c>
      <c r="O1723" s="59">
        <f>IF(tblMovement[[#This Row],[Is_Ore]]=1,tblMovement[[#This Row],[Contained_oz]],0)</f>
        <v/>
      </c>
    </row>
    <row r="1724">
      <c r="A1724" s="54" t="n"/>
      <c r="B1724" s="61" t="n"/>
      <c r="C1724" s="61" t="n"/>
      <c r="D1724" s="61" t="n"/>
      <c r="E1724" s="61" t="n"/>
      <c r="F1724" s="55" t="n"/>
      <c r="G1724" s="56" t="n"/>
      <c r="H1724" s="55" t="n"/>
      <c r="I1724" s="62" t="n"/>
      <c r="J1724" s="58" t="n"/>
      <c r="K1724" s="63">
        <f>IF(tblMovement[[#This Row],[Source]]="","",IFERROR(INDEX(tblSources[Type],MATCH(tblMovement[[#This Row],[Source]],tblSources[Source],0)),"?"))</f>
        <v/>
      </c>
      <c r="L1724" s="63">
        <f>IF(tblMovement[[#This Row],[Destination]]="","",IFERROR(INDEX(tblDestinations[Type],MATCH(tblMovement[[#This Row],[Destination]],tblDestinations[Destination],0)),"?"))</f>
        <v/>
      </c>
      <c r="M1724" s="64">
        <f>IF(tblMovement[[#This Row],[Material]]="","",IF(LEFT(tblMovement[[#This Row],[Material]],3)="Ore",1,0))</f>
        <v/>
      </c>
      <c r="N1724" s="59">
        <f>IF(OR(tblMovement[[#This Row],[Tonnes_t]]="",tblMovement[[#This Row],[Grade_gpt]]=""),0,tblMovement[[#This Row],[Tonnes_t]]*tblMovement[[#This Row],[Grade_gpt]]/cfg_TroyOz)</f>
        <v/>
      </c>
      <c r="O1724" s="59">
        <f>IF(tblMovement[[#This Row],[Is_Ore]]=1,tblMovement[[#This Row],[Contained_oz]],0)</f>
        <v/>
      </c>
    </row>
    <row r="1725">
      <c r="A1725" s="54" t="n"/>
      <c r="B1725" s="61" t="n"/>
      <c r="C1725" s="61" t="n"/>
      <c r="D1725" s="61" t="n"/>
      <c r="E1725" s="61" t="n"/>
      <c r="F1725" s="55" t="n"/>
      <c r="G1725" s="56" t="n"/>
      <c r="H1725" s="55" t="n"/>
      <c r="I1725" s="62" t="n"/>
      <c r="J1725" s="58" t="n"/>
      <c r="K1725" s="63">
        <f>IF(tblMovement[[#This Row],[Source]]="","",IFERROR(INDEX(tblSources[Type],MATCH(tblMovement[[#This Row],[Source]],tblSources[Source],0)),"?"))</f>
        <v/>
      </c>
      <c r="L1725" s="63">
        <f>IF(tblMovement[[#This Row],[Destination]]="","",IFERROR(INDEX(tblDestinations[Type],MATCH(tblMovement[[#This Row],[Destination]],tblDestinations[Destination],0)),"?"))</f>
        <v/>
      </c>
      <c r="M1725" s="64">
        <f>IF(tblMovement[[#This Row],[Material]]="","",IF(LEFT(tblMovement[[#This Row],[Material]],3)="Ore",1,0))</f>
        <v/>
      </c>
      <c r="N1725" s="59">
        <f>IF(OR(tblMovement[[#This Row],[Tonnes_t]]="",tblMovement[[#This Row],[Grade_gpt]]=""),0,tblMovement[[#This Row],[Tonnes_t]]*tblMovement[[#This Row],[Grade_gpt]]/cfg_TroyOz)</f>
        <v/>
      </c>
      <c r="O1725" s="59">
        <f>IF(tblMovement[[#This Row],[Is_Ore]]=1,tblMovement[[#This Row],[Contained_oz]],0)</f>
        <v/>
      </c>
    </row>
    <row r="1726">
      <c r="A1726" s="54" t="n"/>
      <c r="B1726" s="61" t="n"/>
      <c r="C1726" s="61" t="n"/>
      <c r="D1726" s="61" t="n"/>
      <c r="E1726" s="61" t="n"/>
      <c r="F1726" s="55" t="n"/>
      <c r="G1726" s="56" t="n"/>
      <c r="H1726" s="55" t="n"/>
      <c r="I1726" s="62" t="n"/>
      <c r="J1726" s="58" t="n"/>
      <c r="K1726" s="63">
        <f>IF(tblMovement[[#This Row],[Source]]="","",IFERROR(INDEX(tblSources[Type],MATCH(tblMovement[[#This Row],[Source]],tblSources[Source],0)),"?"))</f>
        <v/>
      </c>
      <c r="L1726" s="63">
        <f>IF(tblMovement[[#This Row],[Destination]]="","",IFERROR(INDEX(tblDestinations[Type],MATCH(tblMovement[[#This Row],[Destination]],tblDestinations[Destination],0)),"?"))</f>
        <v/>
      </c>
      <c r="M1726" s="64">
        <f>IF(tblMovement[[#This Row],[Material]]="","",IF(LEFT(tblMovement[[#This Row],[Material]],3)="Ore",1,0))</f>
        <v/>
      </c>
      <c r="N1726" s="59">
        <f>IF(OR(tblMovement[[#This Row],[Tonnes_t]]="",tblMovement[[#This Row],[Grade_gpt]]=""),0,tblMovement[[#This Row],[Tonnes_t]]*tblMovement[[#This Row],[Grade_gpt]]/cfg_TroyOz)</f>
        <v/>
      </c>
      <c r="O1726" s="59">
        <f>IF(tblMovement[[#This Row],[Is_Ore]]=1,tblMovement[[#This Row],[Contained_oz]],0)</f>
        <v/>
      </c>
    </row>
    <row r="1727">
      <c r="A1727" s="54" t="n"/>
      <c r="B1727" s="61" t="n"/>
      <c r="C1727" s="61" t="n"/>
      <c r="D1727" s="61" t="n"/>
      <c r="E1727" s="61" t="n"/>
      <c r="F1727" s="55" t="n"/>
      <c r="G1727" s="56" t="n"/>
      <c r="H1727" s="55" t="n"/>
      <c r="I1727" s="62" t="n"/>
      <c r="J1727" s="58" t="n"/>
      <c r="K1727" s="63">
        <f>IF(tblMovement[[#This Row],[Source]]="","",IFERROR(INDEX(tblSources[Type],MATCH(tblMovement[[#This Row],[Source]],tblSources[Source],0)),"?"))</f>
        <v/>
      </c>
      <c r="L1727" s="63">
        <f>IF(tblMovement[[#This Row],[Destination]]="","",IFERROR(INDEX(tblDestinations[Type],MATCH(tblMovement[[#This Row],[Destination]],tblDestinations[Destination],0)),"?"))</f>
        <v/>
      </c>
      <c r="M1727" s="64">
        <f>IF(tblMovement[[#This Row],[Material]]="","",IF(LEFT(tblMovement[[#This Row],[Material]],3)="Ore",1,0))</f>
        <v/>
      </c>
      <c r="N1727" s="59">
        <f>IF(OR(tblMovement[[#This Row],[Tonnes_t]]="",tblMovement[[#This Row],[Grade_gpt]]=""),0,tblMovement[[#This Row],[Tonnes_t]]*tblMovement[[#This Row],[Grade_gpt]]/cfg_TroyOz)</f>
        <v/>
      </c>
      <c r="O1727" s="59">
        <f>IF(tblMovement[[#This Row],[Is_Ore]]=1,tblMovement[[#This Row],[Contained_oz]],0)</f>
        <v/>
      </c>
    </row>
    <row r="1728">
      <c r="A1728" s="54" t="n"/>
      <c r="B1728" s="61" t="n"/>
      <c r="C1728" s="61" t="n"/>
      <c r="D1728" s="61" t="n"/>
      <c r="E1728" s="61" t="n"/>
      <c r="F1728" s="55" t="n"/>
      <c r="G1728" s="56" t="n"/>
      <c r="H1728" s="55" t="n"/>
      <c r="I1728" s="62" t="n"/>
      <c r="J1728" s="58" t="n"/>
      <c r="K1728" s="63">
        <f>IF(tblMovement[[#This Row],[Source]]="","",IFERROR(INDEX(tblSources[Type],MATCH(tblMovement[[#This Row],[Source]],tblSources[Source],0)),"?"))</f>
        <v/>
      </c>
      <c r="L1728" s="63">
        <f>IF(tblMovement[[#This Row],[Destination]]="","",IFERROR(INDEX(tblDestinations[Type],MATCH(tblMovement[[#This Row],[Destination]],tblDestinations[Destination],0)),"?"))</f>
        <v/>
      </c>
      <c r="M1728" s="64">
        <f>IF(tblMovement[[#This Row],[Material]]="","",IF(LEFT(tblMovement[[#This Row],[Material]],3)="Ore",1,0))</f>
        <v/>
      </c>
      <c r="N1728" s="59">
        <f>IF(OR(tblMovement[[#This Row],[Tonnes_t]]="",tblMovement[[#This Row],[Grade_gpt]]=""),0,tblMovement[[#This Row],[Tonnes_t]]*tblMovement[[#This Row],[Grade_gpt]]/cfg_TroyOz)</f>
        <v/>
      </c>
      <c r="O1728" s="59">
        <f>IF(tblMovement[[#This Row],[Is_Ore]]=1,tblMovement[[#This Row],[Contained_oz]],0)</f>
        <v/>
      </c>
    </row>
    <row r="1729">
      <c r="A1729" s="54" t="n"/>
      <c r="B1729" s="61" t="n"/>
      <c r="C1729" s="61" t="n"/>
      <c r="D1729" s="61" t="n"/>
      <c r="E1729" s="61" t="n"/>
      <c r="F1729" s="55" t="n"/>
      <c r="G1729" s="56" t="n"/>
      <c r="H1729" s="55" t="n"/>
      <c r="I1729" s="62" t="n"/>
      <c r="J1729" s="58" t="n"/>
      <c r="K1729" s="63">
        <f>IF(tblMovement[[#This Row],[Source]]="","",IFERROR(INDEX(tblSources[Type],MATCH(tblMovement[[#This Row],[Source]],tblSources[Source],0)),"?"))</f>
        <v/>
      </c>
      <c r="L1729" s="63">
        <f>IF(tblMovement[[#This Row],[Destination]]="","",IFERROR(INDEX(tblDestinations[Type],MATCH(tblMovement[[#This Row],[Destination]],tblDestinations[Destination],0)),"?"))</f>
        <v/>
      </c>
      <c r="M1729" s="64">
        <f>IF(tblMovement[[#This Row],[Material]]="","",IF(LEFT(tblMovement[[#This Row],[Material]],3)="Ore",1,0))</f>
        <v/>
      </c>
      <c r="N1729" s="59">
        <f>IF(OR(tblMovement[[#This Row],[Tonnes_t]]="",tblMovement[[#This Row],[Grade_gpt]]=""),0,tblMovement[[#This Row],[Tonnes_t]]*tblMovement[[#This Row],[Grade_gpt]]/cfg_TroyOz)</f>
        <v/>
      </c>
      <c r="O1729" s="59">
        <f>IF(tblMovement[[#This Row],[Is_Ore]]=1,tblMovement[[#This Row],[Contained_oz]],0)</f>
        <v/>
      </c>
    </row>
    <row r="1730">
      <c r="A1730" s="54" t="n"/>
      <c r="B1730" s="61" t="n"/>
      <c r="C1730" s="61" t="n"/>
      <c r="D1730" s="61" t="n"/>
      <c r="E1730" s="61" t="n"/>
      <c r="F1730" s="55" t="n"/>
      <c r="G1730" s="56" t="n"/>
      <c r="H1730" s="55" t="n"/>
      <c r="I1730" s="62" t="n"/>
      <c r="J1730" s="58" t="n"/>
      <c r="K1730" s="63">
        <f>IF(tblMovement[[#This Row],[Source]]="","",IFERROR(INDEX(tblSources[Type],MATCH(tblMovement[[#This Row],[Source]],tblSources[Source],0)),"?"))</f>
        <v/>
      </c>
      <c r="L1730" s="63">
        <f>IF(tblMovement[[#This Row],[Destination]]="","",IFERROR(INDEX(tblDestinations[Type],MATCH(tblMovement[[#This Row],[Destination]],tblDestinations[Destination],0)),"?"))</f>
        <v/>
      </c>
      <c r="M1730" s="64">
        <f>IF(tblMovement[[#This Row],[Material]]="","",IF(LEFT(tblMovement[[#This Row],[Material]],3)="Ore",1,0))</f>
        <v/>
      </c>
      <c r="N1730" s="59">
        <f>IF(OR(tblMovement[[#This Row],[Tonnes_t]]="",tblMovement[[#This Row],[Grade_gpt]]=""),0,tblMovement[[#This Row],[Tonnes_t]]*tblMovement[[#This Row],[Grade_gpt]]/cfg_TroyOz)</f>
        <v/>
      </c>
      <c r="O1730" s="59">
        <f>IF(tblMovement[[#This Row],[Is_Ore]]=1,tblMovement[[#This Row],[Contained_oz]],0)</f>
        <v/>
      </c>
    </row>
    <row r="1731">
      <c r="A1731" s="54" t="n"/>
      <c r="B1731" s="61" t="n"/>
      <c r="C1731" s="61" t="n"/>
      <c r="D1731" s="61" t="n"/>
      <c r="E1731" s="61" t="n"/>
      <c r="F1731" s="55" t="n"/>
      <c r="G1731" s="56" t="n"/>
      <c r="H1731" s="55" t="n"/>
      <c r="I1731" s="62" t="n"/>
      <c r="J1731" s="58" t="n"/>
      <c r="K1731" s="63">
        <f>IF(tblMovement[[#This Row],[Source]]="","",IFERROR(INDEX(tblSources[Type],MATCH(tblMovement[[#This Row],[Source]],tblSources[Source],0)),"?"))</f>
        <v/>
      </c>
      <c r="L1731" s="63">
        <f>IF(tblMovement[[#This Row],[Destination]]="","",IFERROR(INDEX(tblDestinations[Type],MATCH(tblMovement[[#This Row],[Destination]],tblDestinations[Destination],0)),"?"))</f>
        <v/>
      </c>
      <c r="M1731" s="64">
        <f>IF(tblMovement[[#This Row],[Material]]="","",IF(LEFT(tblMovement[[#This Row],[Material]],3)="Ore",1,0))</f>
        <v/>
      </c>
      <c r="N1731" s="59">
        <f>IF(OR(tblMovement[[#This Row],[Tonnes_t]]="",tblMovement[[#This Row],[Grade_gpt]]=""),0,tblMovement[[#This Row],[Tonnes_t]]*tblMovement[[#This Row],[Grade_gpt]]/cfg_TroyOz)</f>
        <v/>
      </c>
      <c r="O1731" s="59">
        <f>IF(tblMovement[[#This Row],[Is_Ore]]=1,tblMovement[[#This Row],[Contained_oz]],0)</f>
        <v/>
      </c>
    </row>
    <row r="1732">
      <c r="A1732" s="54" t="n"/>
      <c r="B1732" s="61" t="n"/>
      <c r="C1732" s="61" t="n"/>
      <c r="D1732" s="61" t="n"/>
      <c r="E1732" s="61" t="n"/>
      <c r="F1732" s="55" t="n"/>
      <c r="G1732" s="56" t="n"/>
      <c r="H1732" s="55" t="n"/>
      <c r="I1732" s="62" t="n"/>
      <c r="J1732" s="58" t="n"/>
      <c r="K1732" s="63">
        <f>IF(tblMovement[[#This Row],[Source]]="","",IFERROR(INDEX(tblSources[Type],MATCH(tblMovement[[#This Row],[Source]],tblSources[Source],0)),"?"))</f>
        <v/>
      </c>
      <c r="L1732" s="63">
        <f>IF(tblMovement[[#This Row],[Destination]]="","",IFERROR(INDEX(tblDestinations[Type],MATCH(tblMovement[[#This Row],[Destination]],tblDestinations[Destination],0)),"?"))</f>
        <v/>
      </c>
      <c r="M1732" s="64">
        <f>IF(tblMovement[[#This Row],[Material]]="","",IF(LEFT(tblMovement[[#This Row],[Material]],3)="Ore",1,0))</f>
        <v/>
      </c>
      <c r="N1732" s="59">
        <f>IF(OR(tblMovement[[#This Row],[Tonnes_t]]="",tblMovement[[#This Row],[Grade_gpt]]=""),0,tblMovement[[#This Row],[Tonnes_t]]*tblMovement[[#This Row],[Grade_gpt]]/cfg_TroyOz)</f>
        <v/>
      </c>
      <c r="O1732" s="59">
        <f>IF(tblMovement[[#This Row],[Is_Ore]]=1,tblMovement[[#This Row],[Contained_oz]],0)</f>
        <v/>
      </c>
    </row>
    <row r="1733">
      <c r="A1733" s="54" t="n"/>
      <c r="B1733" s="61" t="n"/>
      <c r="C1733" s="61" t="n"/>
      <c r="D1733" s="61" t="n"/>
      <c r="E1733" s="61" t="n"/>
      <c r="F1733" s="55" t="n"/>
      <c r="G1733" s="56" t="n"/>
      <c r="H1733" s="55" t="n"/>
      <c r="I1733" s="62" t="n"/>
      <c r="J1733" s="58" t="n"/>
      <c r="K1733" s="63">
        <f>IF(tblMovement[[#This Row],[Source]]="","",IFERROR(INDEX(tblSources[Type],MATCH(tblMovement[[#This Row],[Source]],tblSources[Source],0)),"?"))</f>
        <v/>
      </c>
      <c r="L1733" s="63">
        <f>IF(tblMovement[[#This Row],[Destination]]="","",IFERROR(INDEX(tblDestinations[Type],MATCH(tblMovement[[#This Row],[Destination]],tblDestinations[Destination],0)),"?"))</f>
        <v/>
      </c>
      <c r="M1733" s="64">
        <f>IF(tblMovement[[#This Row],[Material]]="","",IF(LEFT(tblMovement[[#This Row],[Material]],3)="Ore",1,0))</f>
        <v/>
      </c>
      <c r="N1733" s="59">
        <f>IF(OR(tblMovement[[#This Row],[Tonnes_t]]="",tblMovement[[#This Row],[Grade_gpt]]=""),0,tblMovement[[#This Row],[Tonnes_t]]*tblMovement[[#This Row],[Grade_gpt]]/cfg_TroyOz)</f>
        <v/>
      </c>
      <c r="O1733" s="59">
        <f>IF(tblMovement[[#This Row],[Is_Ore]]=1,tblMovement[[#This Row],[Contained_oz]],0)</f>
        <v/>
      </c>
    </row>
    <row r="1734">
      <c r="A1734" s="54" t="n"/>
      <c r="B1734" s="61" t="n"/>
      <c r="C1734" s="61" t="n"/>
      <c r="D1734" s="61" t="n"/>
      <c r="E1734" s="61" t="n"/>
      <c r="F1734" s="55" t="n"/>
      <c r="G1734" s="56" t="n"/>
      <c r="H1734" s="55" t="n"/>
      <c r="I1734" s="62" t="n"/>
      <c r="J1734" s="58" t="n"/>
      <c r="K1734" s="63">
        <f>IF(tblMovement[[#This Row],[Source]]="","",IFERROR(INDEX(tblSources[Type],MATCH(tblMovement[[#This Row],[Source]],tblSources[Source],0)),"?"))</f>
        <v/>
      </c>
      <c r="L1734" s="63">
        <f>IF(tblMovement[[#This Row],[Destination]]="","",IFERROR(INDEX(tblDestinations[Type],MATCH(tblMovement[[#This Row],[Destination]],tblDestinations[Destination],0)),"?"))</f>
        <v/>
      </c>
      <c r="M1734" s="64">
        <f>IF(tblMovement[[#This Row],[Material]]="","",IF(LEFT(tblMovement[[#This Row],[Material]],3)="Ore",1,0))</f>
        <v/>
      </c>
      <c r="N1734" s="59">
        <f>IF(OR(tblMovement[[#This Row],[Tonnes_t]]="",tblMovement[[#This Row],[Grade_gpt]]=""),0,tblMovement[[#This Row],[Tonnes_t]]*tblMovement[[#This Row],[Grade_gpt]]/cfg_TroyOz)</f>
        <v/>
      </c>
      <c r="O1734" s="59">
        <f>IF(tblMovement[[#This Row],[Is_Ore]]=1,tblMovement[[#This Row],[Contained_oz]],0)</f>
        <v/>
      </c>
    </row>
    <row r="1735">
      <c r="A1735" s="54" t="n"/>
      <c r="B1735" s="61" t="n"/>
      <c r="C1735" s="61" t="n"/>
      <c r="D1735" s="61" t="n"/>
      <c r="E1735" s="61" t="n"/>
      <c r="F1735" s="55" t="n"/>
      <c r="G1735" s="56" t="n"/>
      <c r="H1735" s="55" t="n"/>
      <c r="I1735" s="62" t="n"/>
      <c r="J1735" s="58" t="n"/>
      <c r="K1735" s="63">
        <f>IF(tblMovement[[#This Row],[Source]]="","",IFERROR(INDEX(tblSources[Type],MATCH(tblMovement[[#This Row],[Source]],tblSources[Source],0)),"?"))</f>
        <v/>
      </c>
      <c r="L1735" s="63">
        <f>IF(tblMovement[[#This Row],[Destination]]="","",IFERROR(INDEX(tblDestinations[Type],MATCH(tblMovement[[#This Row],[Destination]],tblDestinations[Destination],0)),"?"))</f>
        <v/>
      </c>
      <c r="M1735" s="64">
        <f>IF(tblMovement[[#This Row],[Material]]="","",IF(LEFT(tblMovement[[#This Row],[Material]],3)="Ore",1,0))</f>
        <v/>
      </c>
      <c r="N1735" s="59">
        <f>IF(OR(tblMovement[[#This Row],[Tonnes_t]]="",tblMovement[[#This Row],[Grade_gpt]]=""),0,tblMovement[[#This Row],[Tonnes_t]]*tblMovement[[#This Row],[Grade_gpt]]/cfg_TroyOz)</f>
        <v/>
      </c>
      <c r="O1735" s="59">
        <f>IF(tblMovement[[#This Row],[Is_Ore]]=1,tblMovement[[#This Row],[Contained_oz]],0)</f>
        <v/>
      </c>
    </row>
    <row r="1736">
      <c r="A1736" s="54" t="n"/>
      <c r="B1736" s="61" t="n"/>
      <c r="C1736" s="61" t="n"/>
      <c r="D1736" s="61" t="n"/>
      <c r="E1736" s="61" t="n"/>
      <c r="F1736" s="55" t="n"/>
      <c r="G1736" s="56" t="n"/>
      <c r="H1736" s="55" t="n"/>
      <c r="I1736" s="62" t="n"/>
      <c r="J1736" s="58" t="n"/>
      <c r="K1736" s="63">
        <f>IF(tblMovement[[#This Row],[Source]]="","",IFERROR(INDEX(tblSources[Type],MATCH(tblMovement[[#This Row],[Source]],tblSources[Source],0)),"?"))</f>
        <v/>
      </c>
      <c r="L1736" s="63">
        <f>IF(tblMovement[[#This Row],[Destination]]="","",IFERROR(INDEX(tblDestinations[Type],MATCH(tblMovement[[#This Row],[Destination]],tblDestinations[Destination],0)),"?"))</f>
        <v/>
      </c>
      <c r="M1736" s="64">
        <f>IF(tblMovement[[#This Row],[Material]]="","",IF(LEFT(tblMovement[[#This Row],[Material]],3)="Ore",1,0))</f>
        <v/>
      </c>
      <c r="N1736" s="59">
        <f>IF(OR(tblMovement[[#This Row],[Tonnes_t]]="",tblMovement[[#This Row],[Grade_gpt]]=""),0,tblMovement[[#This Row],[Tonnes_t]]*tblMovement[[#This Row],[Grade_gpt]]/cfg_TroyOz)</f>
        <v/>
      </c>
      <c r="O1736" s="59">
        <f>IF(tblMovement[[#This Row],[Is_Ore]]=1,tblMovement[[#This Row],[Contained_oz]],0)</f>
        <v/>
      </c>
    </row>
    <row r="1737">
      <c r="A1737" s="54" t="n"/>
      <c r="B1737" s="61" t="n"/>
      <c r="C1737" s="61" t="n"/>
      <c r="D1737" s="61" t="n"/>
      <c r="E1737" s="61" t="n"/>
      <c r="F1737" s="55" t="n"/>
      <c r="G1737" s="56" t="n"/>
      <c r="H1737" s="55" t="n"/>
      <c r="I1737" s="62" t="n"/>
      <c r="J1737" s="58" t="n"/>
      <c r="K1737" s="63">
        <f>IF(tblMovement[[#This Row],[Source]]="","",IFERROR(INDEX(tblSources[Type],MATCH(tblMovement[[#This Row],[Source]],tblSources[Source],0)),"?"))</f>
        <v/>
      </c>
      <c r="L1737" s="63">
        <f>IF(tblMovement[[#This Row],[Destination]]="","",IFERROR(INDEX(tblDestinations[Type],MATCH(tblMovement[[#This Row],[Destination]],tblDestinations[Destination],0)),"?"))</f>
        <v/>
      </c>
      <c r="M1737" s="64">
        <f>IF(tblMovement[[#This Row],[Material]]="","",IF(LEFT(tblMovement[[#This Row],[Material]],3)="Ore",1,0))</f>
        <v/>
      </c>
      <c r="N1737" s="59">
        <f>IF(OR(tblMovement[[#This Row],[Tonnes_t]]="",tblMovement[[#This Row],[Grade_gpt]]=""),0,tblMovement[[#This Row],[Tonnes_t]]*tblMovement[[#This Row],[Grade_gpt]]/cfg_TroyOz)</f>
        <v/>
      </c>
      <c r="O1737" s="59">
        <f>IF(tblMovement[[#This Row],[Is_Ore]]=1,tblMovement[[#This Row],[Contained_oz]],0)</f>
        <v/>
      </c>
    </row>
    <row r="1738">
      <c r="A1738" s="54" t="n"/>
      <c r="B1738" s="61" t="n"/>
      <c r="C1738" s="61" t="n"/>
      <c r="D1738" s="61" t="n"/>
      <c r="E1738" s="61" t="n"/>
      <c r="F1738" s="55" t="n"/>
      <c r="G1738" s="56" t="n"/>
      <c r="H1738" s="55" t="n"/>
      <c r="I1738" s="62" t="n"/>
      <c r="J1738" s="58" t="n"/>
      <c r="K1738" s="63">
        <f>IF(tblMovement[[#This Row],[Source]]="","",IFERROR(INDEX(tblSources[Type],MATCH(tblMovement[[#This Row],[Source]],tblSources[Source],0)),"?"))</f>
        <v/>
      </c>
      <c r="L1738" s="63">
        <f>IF(tblMovement[[#This Row],[Destination]]="","",IFERROR(INDEX(tblDestinations[Type],MATCH(tblMovement[[#This Row],[Destination]],tblDestinations[Destination],0)),"?"))</f>
        <v/>
      </c>
      <c r="M1738" s="64">
        <f>IF(tblMovement[[#This Row],[Material]]="","",IF(LEFT(tblMovement[[#This Row],[Material]],3)="Ore",1,0))</f>
        <v/>
      </c>
      <c r="N1738" s="59">
        <f>IF(OR(tblMovement[[#This Row],[Tonnes_t]]="",tblMovement[[#This Row],[Grade_gpt]]=""),0,tblMovement[[#This Row],[Tonnes_t]]*tblMovement[[#This Row],[Grade_gpt]]/cfg_TroyOz)</f>
        <v/>
      </c>
      <c r="O1738" s="59">
        <f>IF(tblMovement[[#This Row],[Is_Ore]]=1,tblMovement[[#This Row],[Contained_oz]],0)</f>
        <v/>
      </c>
    </row>
    <row r="1739">
      <c r="A1739" s="54" t="n"/>
      <c r="B1739" s="61" t="n"/>
      <c r="C1739" s="61" t="n"/>
      <c r="D1739" s="61" t="n"/>
      <c r="E1739" s="61" t="n"/>
      <c r="F1739" s="55" t="n"/>
      <c r="G1739" s="56" t="n"/>
      <c r="H1739" s="55" t="n"/>
      <c r="I1739" s="62" t="n"/>
      <c r="J1739" s="58" t="n"/>
      <c r="K1739" s="63">
        <f>IF(tblMovement[[#This Row],[Source]]="","",IFERROR(INDEX(tblSources[Type],MATCH(tblMovement[[#This Row],[Source]],tblSources[Source],0)),"?"))</f>
        <v/>
      </c>
      <c r="L1739" s="63">
        <f>IF(tblMovement[[#This Row],[Destination]]="","",IFERROR(INDEX(tblDestinations[Type],MATCH(tblMovement[[#This Row],[Destination]],tblDestinations[Destination],0)),"?"))</f>
        <v/>
      </c>
      <c r="M1739" s="64">
        <f>IF(tblMovement[[#This Row],[Material]]="","",IF(LEFT(tblMovement[[#This Row],[Material]],3)="Ore",1,0))</f>
        <v/>
      </c>
      <c r="N1739" s="59">
        <f>IF(OR(tblMovement[[#This Row],[Tonnes_t]]="",tblMovement[[#This Row],[Grade_gpt]]=""),0,tblMovement[[#This Row],[Tonnes_t]]*tblMovement[[#This Row],[Grade_gpt]]/cfg_TroyOz)</f>
        <v/>
      </c>
      <c r="O1739" s="59">
        <f>IF(tblMovement[[#This Row],[Is_Ore]]=1,tblMovement[[#This Row],[Contained_oz]],0)</f>
        <v/>
      </c>
    </row>
    <row r="1740">
      <c r="A1740" s="54" t="n"/>
      <c r="B1740" s="61" t="n"/>
      <c r="C1740" s="61" t="n"/>
      <c r="D1740" s="61" t="n"/>
      <c r="E1740" s="61" t="n"/>
      <c r="F1740" s="55" t="n"/>
      <c r="G1740" s="56" t="n"/>
      <c r="H1740" s="55" t="n"/>
      <c r="I1740" s="62" t="n"/>
      <c r="J1740" s="58" t="n"/>
      <c r="K1740" s="63">
        <f>IF(tblMovement[[#This Row],[Source]]="","",IFERROR(INDEX(tblSources[Type],MATCH(tblMovement[[#This Row],[Source]],tblSources[Source],0)),"?"))</f>
        <v/>
      </c>
      <c r="L1740" s="63">
        <f>IF(tblMovement[[#This Row],[Destination]]="","",IFERROR(INDEX(tblDestinations[Type],MATCH(tblMovement[[#This Row],[Destination]],tblDestinations[Destination],0)),"?"))</f>
        <v/>
      </c>
      <c r="M1740" s="64">
        <f>IF(tblMovement[[#This Row],[Material]]="","",IF(LEFT(tblMovement[[#This Row],[Material]],3)="Ore",1,0))</f>
        <v/>
      </c>
      <c r="N1740" s="59">
        <f>IF(OR(tblMovement[[#This Row],[Tonnes_t]]="",tblMovement[[#This Row],[Grade_gpt]]=""),0,tblMovement[[#This Row],[Tonnes_t]]*tblMovement[[#This Row],[Grade_gpt]]/cfg_TroyOz)</f>
        <v/>
      </c>
      <c r="O1740" s="59">
        <f>IF(tblMovement[[#This Row],[Is_Ore]]=1,tblMovement[[#This Row],[Contained_oz]],0)</f>
        <v/>
      </c>
    </row>
    <row r="1741">
      <c r="A1741" s="54" t="n"/>
      <c r="B1741" s="61" t="n"/>
      <c r="C1741" s="61" t="n"/>
      <c r="D1741" s="61" t="n"/>
      <c r="E1741" s="61" t="n"/>
      <c r="F1741" s="55" t="n"/>
      <c r="G1741" s="56" t="n"/>
      <c r="H1741" s="55" t="n"/>
      <c r="I1741" s="62" t="n"/>
      <c r="J1741" s="58" t="n"/>
      <c r="K1741" s="63">
        <f>IF(tblMovement[[#This Row],[Source]]="","",IFERROR(INDEX(tblSources[Type],MATCH(tblMovement[[#This Row],[Source]],tblSources[Source],0)),"?"))</f>
        <v/>
      </c>
      <c r="L1741" s="63">
        <f>IF(tblMovement[[#This Row],[Destination]]="","",IFERROR(INDEX(tblDestinations[Type],MATCH(tblMovement[[#This Row],[Destination]],tblDestinations[Destination],0)),"?"))</f>
        <v/>
      </c>
      <c r="M1741" s="64">
        <f>IF(tblMovement[[#This Row],[Material]]="","",IF(LEFT(tblMovement[[#This Row],[Material]],3)="Ore",1,0))</f>
        <v/>
      </c>
      <c r="N1741" s="59">
        <f>IF(OR(tblMovement[[#This Row],[Tonnes_t]]="",tblMovement[[#This Row],[Grade_gpt]]=""),0,tblMovement[[#This Row],[Tonnes_t]]*tblMovement[[#This Row],[Grade_gpt]]/cfg_TroyOz)</f>
        <v/>
      </c>
      <c r="O1741" s="59">
        <f>IF(tblMovement[[#This Row],[Is_Ore]]=1,tblMovement[[#This Row],[Contained_oz]],0)</f>
        <v/>
      </c>
    </row>
    <row r="1742">
      <c r="A1742" s="54" t="n"/>
      <c r="B1742" s="61" t="n"/>
      <c r="C1742" s="61" t="n"/>
      <c r="D1742" s="61" t="n"/>
      <c r="E1742" s="61" t="n"/>
      <c r="F1742" s="55" t="n"/>
      <c r="G1742" s="56" t="n"/>
      <c r="H1742" s="55" t="n"/>
      <c r="I1742" s="62" t="n"/>
      <c r="J1742" s="58" t="n"/>
      <c r="K1742" s="63">
        <f>IF(tblMovement[[#This Row],[Source]]="","",IFERROR(INDEX(tblSources[Type],MATCH(tblMovement[[#This Row],[Source]],tblSources[Source],0)),"?"))</f>
        <v/>
      </c>
      <c r="L1742" s="63">
        <f>IF(tblMovement[[#This Row],[Destination]]="","",IFERROR(INDEX(tblDestinations[Type],MATCH(tblMovement[[#This Row],[Destination]],tblDestinations[Destination],0)),"?"))</f>
        <v/>
      </c>
      <c r="M1742" s="64">
        <f>IF(tblMovement[[#This Row],[Material]]="","",IF(LEFT(tblMovement[[#This Row],[Material]],3)="Ore",1,0))</f>
        <v/>
      </c>
      <c r="N1742" s="59">
        <f>IF(OR(tblMovement[[#This Row],[Tonnes_t]]="",tblMovement[[#This Row],[Grade_gpt]]=""),0,tblMovement[[#This Row],[Tonnes_t]]*tblMovement[[#This Row],[Grade_gpt]]/cfg_TroyOz)</f>
        <v/>
      </c>
      <c r="O1742" s="59">
        <f>IF(tblMovement[[#This Row],[Is_Ore]]=1,tblMovement[[#This Row],[Contained_oz]],0)</f>
        <v/>
      </c>
    </row>
    <row r="1743">
      <c r="A1743" s="54" t="n"/>
      <c r="B1743" s="61" t="n"/>
      <c r="C1743" s="61" t="n"/>
      <c r="D1743" s="61" t="n"/>
      <c r="E1743" s="61" t="n"/>
      <c r="F1743" s="55" t="n"/>
      <c r="G1743" s="56" t="n"/>
      <c r="H1743" s="55" t="n"/>
      <c r="I1743" s="62" t="n"/>
      <c r="J1743" s="58" t="n"/>
      <c r="K1743" s="63">
        <f>IF(tblMovement[[#This Row],[Source]]="","",IFERROR(INDEX(tblSources[Type],MATCH(tblMovement[[#This Row],[Source]],tblSources[Source],0)),"?"))</f>
        <v/>
      </c>
      <c r="L1743" s="63">
        <f>IF(tblMovement[[#This Row],[Destination]]="","",IFERROR(INDEX(tblDestinations[Type],MATCH(tblMovement[[#This Row],[Destination]],tblDestinations[Destination],0)),"?"))</f>
        <v/>
      </c>
      <c r="M1743" s="64">
        <f>IF(tblMovement[[#This Row],[Material]]="","",IF(LEFT(tblMovement[[#This Row],[Material]],3)="Ore",1,0))</f>
        <v/>
      </c>
      <c r="N1743" s="59">
        <f>IF(OR(tblMovement[[#This Row],[Tonnes_t]]="",tblMovement[[#This Row],[Grade_gpt]]=""),0,tblMovement[[#This Row],[Tonnes_t]]*tblMovement[[#This Row],[Grade_gpt]]/cfg_TroyOz)</f>
        <v/>
      </c>
      <c r="O1743" s="59">
        <f>IF(tblMovement[[#This Row],[Is_Ore]]=1,tblMovement[[#This Row],[Contained_oz]],0)</f>
        <v/>
      </c>
    </row>
    <row r="1744">
      <c r="A1744" s="54" t="n"/>
      <c r="B1744" s="61" t="n"/>
      <c r="C1744" s="61" t="n"/>
      <c r="D1744" s="61" t="n"/>
      <c r="E1744" s="61" t="n"/>
      <c r="F1744" s="55" t="n"/>
      <c r="G1744" s="56" t="n"/>
      <c r="H1744" s="55" t="n"/>
      <c r="I1744" s="62" t="n"/>
      <c r="J1744" s="58" t="n"/>
      <c r="K1744" s="63">
        <f>IF(tblMovement[[#This Row],[Source]]="","",IFERROR(INDEX(tblSources[Type],MATCH(tblMovement[[#This Row],[Source]],tblSources[Source],0)),"?"))</f>
        <v/>
      </c>
      <c r="L1744" s="63">
        <f>IF(tblMovement[[#This Row],[Destination]]="","",IFERROR(INDEX(tblDestinations[Type],MATCH(tblMovement[[#This Row],[Destination]],tblDestinations[Destination],0)),"?"))</f>
        <v/>
      </c>
      <c r="M1744" s="64">
        <f>IF(tblMovement[[#This Row],[Material]]="","",IF(LEFT(tblMovement[[#This Row],[Material]],3)="Ore",1,0))</f>
        <v/>
      </c>
      <c r="N1744" s="59">
        <f>IF(OR(tblMovement[[#This Row],[Tonnes_t]]="",tblMovement[[#This Row],[Grade_gpt]]=""),0,tblMovement[[#This Row],[Tonnes_t]]*tblMovement[[#This Row],[Grade_gpt]]/cfg_TroyOz)</f>
        <v/>
      </c>
      <c r="O1744" s="59">
        <f>IF(tblMovement[[#This Row],[Is_Ore]]=1,tblMovement[[#This Row],[Contained_oz]],0)</f>
        <v/>
      </c>
    </row>
    <row r="1745">
      <c r="A1745" s="54" t="n"/>
      <c r="B1745" s="61" t="n"/>
      <c r="C1745" s="61" t="n"/>
      <c r="D1745" s="61" t="n"/>
      <c r="E1745" s="61" t="n"/>
      <c r="F1745" s="55" t="n"/>
      <c r="G1745" s="56" t="n"/>
      <c r="H1745" s="55" t="n"/>
      <c r="I1745" s="62" t="n"/>
      <c r="J1745" s="58" t="n"/>
      <c r="K1745" s="63">
        <f>IF(tblMovement[[#This Row],[Source]]="","",IFERROR(INDEX(tblSources[Type],MATCH(tblMovement[[#This Row],[Source]],tblSources[Source],0)),"?"))</f>
        <v/>
      </c>
      <c r="L1745" s="63">
        <f>IF(tblMovement[[#This Row],[Destination]]="","",IFERROR(INDEX(tblDestinations[Type],MATCH(tblMovement[[#This Row],[Destination]],tblDestinations[Destination],0)),"?"))</f>
        <v/>
      </c>
      <c r="M1745" s="64">
        <f>IF(tblMovement[[#This Row],[Material]]="","",IF(LEFT(tblMovement[[#This Row],[Material]],3)="Ore",1,0))</f>
        <v/>
      </c>
      <c r="N1745" s="59">
        <f>IF(OR(tblMovement[[#This Row],[Tonnes_t]]="",tblMovement[[#This Row],[Grade_gpt]]=""),0,tblMovement[[#This Row],[Tonnes_t]]*tblMovement[[#This Row],[Grade_gpt]]/cfg_TroyOz)</f>
        <v/>
      </c>
      <c r="O1745" s="59">
        <f>IF(tblMovement[[#This Row],[Is_Ore]]=1,tblMovement[[#This Row],[Contained_oz]],0)</f>
        <v/>
      </c>
    </row>
    <row r="1746">
      <c r="A1746" s="54" t="n"/>
      <c r="B1746" s="61" t="n"/>
      <c r="C1746" s="61" t="n"/>
      <c r="D1746" s="61" t="n"/>
      <c r="E1746" s="61" t="n"/>
      <c r="F1746" s="55" t="n"/>
      <c r="G1746" s="56" t="n"/>
      <c r="H1746" s="55" t="n"/>
      <c r="I1746" s="62" t="n"/>
      <c r="J1746" s="58" t="n"/>
      <c r="K1746" s="63">
        <f>IF(tblMovement[[#This Row],[Source]]="","",IFERROR(INDEX(tblSources[Type],MATCH(tblMovement[[#This Row],[Source]],tblSources[Source],0)),"?"))</f>
        <v/>
      </c>
      <c r="L1746" s="63">
        <f>IF(tblMovement[[#This Row],[Destination]]="","",IFERROR(INDEX(tblDestinations[Type],MATCH(tblMovement[[#This Row],[Destination]],tblDestinations[Destination],0)),"?"))</f>
        <v/>
      </c>
      <c r="M1746" s="64">
        <f>IF(tblMovement[[#This Row],[Material]]="","",IF(LEFT(tblMovement[[#This Row],[Material]],3)="Ore",1,0))</f>
        <v/>
      </c>
      <c r="N1746" s="59">
        <f>IF(OR(tblMovement[[#This Row],[Tonnes_t]]="",tblMovement[[#This Row],[Grade_gpt]]=""),0,tblMovement[[#This Row],[Tonnes_t]]*tblMovement[[#This Row],[Grade_gpt]]/cfg_TroyOz)</f>
        <v/>
      </c>
      <c r="O1746" s="59">
        <f>IF(tblMovement[[#This Row],[Is_Ore]]=1,tblMovement[[#This Row],[Contained_oz]],0)</f>
        <v/>
      </c>
    </row>
    <row r="1747">
      <c r="A1747" s="54" t="n"/>
      <c r="B1747" s="61" t="n"/>
      <c r="C1747" s="61" t="n"/>
      <c r="D1747" s="61" t="n"/>
      <c r="E1747" s="61" t="n"/>
      <c r="F1747" s="55" t="n"/>
      <c r="G1747" s="56" t="n"/>
      <c r="H1747" s="55" t="n"/>
      <c r="I1747" s="62" t="n"/>
      <c r="J1747" s="58" t="n"/>
      <c r="K1747" s="63">
        <f>IF(tblMovement[[#This Row],[Source]]="","",IFERROR(INDEX(tblSources[Type],MATCH(tblMovement[[#This Row],[Source]],tblSources[Source],0)),"?"))</f>
        <v/>
      </c>
      <c r="L1747" s="63">
        <f>IF(tblMovement[[#This Row],[Destination]]="","",IFERROR(INDEX(tblDestinations[Type],MATCH(tblMovement[[#This Row],[Destination]],tblDestinations[Destination],0)),"?"))</f>
        <v/>
      </c>
      <c r="M1747" s="64">
        <f>IF(tblMovement[[#This Row],[Material]]="","",IF(LEFT(tblMovement[[#This Row],[Material]],3)="Ore",1,0))</f>
        <v/>
      </c>
      <c r="N1747" s="59">
        <f>IF(OR(tblMovement[[#This Row],[Tonnes_t]]="",tblMovement[[#This Row],[Grade_gpt]]=""),0,tblMovement[[#This Row],[Tonnes_t]]*tblMovement[[#This Row],[Grade_gpt]]/cfg_TroyOz)</f>
        <v/>
      </c>
      <c r="O1747" s="59">
        <f>IF(tblMovement[[#This Row],[Is_Ore]]=1,tblMovement[[#This Row],[Contained_oz]],0)</f>
        <v/>
      </c>
    </row>
    <row r="1748">
      <c r="A1748" s="54" t="n"/>
      <c r="B1748" s="61" t="n"/>
      <c r="C1748" s="61" t="n"/>
      <c r="D1748" s="61" t="n"/>
      <c r="E1748" s="61" t="n"/>
      <c r="F1748" s="55" t="n"/>
      <c r="G1748" s="56" t="n"/>
      <c r="H1748" s="55" t="n"/>
      <c r="I1748" s="62" t="n"/>
      <c r="J1748" s="58" t="n"/>
      <c r="K1748" s="63">
        <f>IF(tblMovement[[#This Row],[Source]]="","",IFERROR(INDEX(tblSources[Type],MATCH(tblMovement[[#This Row],[Source]],tblSources[Source],0)),"?"))</f>
        <v/>
      </c>
      <c r="L1748" s="63">
        <f>IF(tblMovement[[#This Row],[Destination]]="","",IFERROR(INDEX(tblDestinations[Type],MATCH(tblMovement[[#This Row],[Destination]],tblDestinations[Destination],0)),"?"))</f>
        <v/>
      </c>
      <c r="M1748" s="64">
        <f>IF(tblMovement[[#This Row],[Material]]="","",IF(LEFT(tblMovement[[#This Row],[Material]],3)="Ore",1,0))</f>
        <v/>
      </c>
      <c r="N1748" s="59">
        <f>IF(OR(tblMovement[[#This Row],[Tonnes_t]]="",tblMovement[[#This Row],[Grade_gpt]]=""),0,tblMovement[[#This Row],[Tonnes_t]]*tblMovement[[#This Row],[Grade_gpt]]/cfg_TroyOz)</f>
        <v/>
      </c>
      <c r="O1748" s="59">
        <f>IF(tblMovement[[#This Row],[Is_Ore]]=1,tblMovement[[#This Row],[Contained_oz]],0)</f>
        <v/>
      </c>
    </row>
    <row r="1749">
      <c r="A1749" s="54" t="n"/>
      <c r="B1749" s="61" t="n"/>
      <c r="C1749" s="61" t="n"/>
      <c r="D1749" s="61" t="n"/>
      <c r="E1749" s="61" t="n"/>
      <c r="F1749" s="55" t="n"/>
      <c r="G1749" s="56" t="n"/>
      <c r="H1749" s="55" t="n"/>
      <c r="I1749" s="62" t="n"/>
      <c r="J1749" s="58" t="n"/>
      <c r="K1749" s="63">
        <f>IF(tblMovement[[#This Row],[Source]]="","",IFERROR(INDEX(tblSources[Type],MATCH(tblMovement[[#This Row],[Source]],tblSources[Source],0)),"?"))</f>
        <v/>
      </c>
      <c r="L1749" s="63">
        <f>IF(tblMovement[[#This Row],[Destination]]="","",IFERROR(INDEX(tblDestinations[Type],MATCH(tblMovement[[#This Row],[Destination]],tblDestinations[Destination],0)),"?"))</f>
        <v/>
      </c>
      <c r="M1749" s="64">
        <f>IF(tblMovement[[#This Row],[Material]]="","",IF(LEFT(tblMovement[[#This Row],[Material]],3)="Ore",1,0))</f>
        <v/>
      </c>
      <c r="N1749" s="59">
        <f>IF(OR(tblMovement[[#This Row],[Tonnes_t]]="",tblMovement[[#This Row],[Grade_gpt]]=""),0,tblMovement[[#This Row],[Tonnes_t]]*tblMovement[[#This Row],[Grade_gpt]]/cfg_TroyOz)</f>
        <v/>
      </c>
      <c r="O1749" s="59">
        <f>IF(tblMovement[[#This Row],[Is_Ore]]=1,tblMovement[[#This Row],[Contained_oz]],0)</f>
        <v/>
      </c>
    </row>
    <row r="1750">
      <c r="A1750" s="54" t="n"/>
      <c r="B1750" s="61" t="n"/>
      <c r="C1750" s="61" t="n"/>
      <c r="D1750" s="61" t="n"/>
      <c r="E1750" s="61" t="n"/>
      <c r="F1750" s="55" t="n"/>
      <c r="G1750" s="56" t="n"/>
      <c r="H1750" s="55" t="n"/>
      <c r="I1750" s="62" t="n"/>
      <c r="J1750" s="58" t="n"/>
      <c r="K1750" s="63">
        <f>IF(tblMovement[[#This Row],[Source]]="","",IFERROR(INDEX(tblSources[Type],MATCH(tblMovement[[#This Row],[Source]],tblSources[Source],0)),"?"))</f>
        <v/>
      </c>
      <c r="L1750" s="63">
        <f>IF(tblMovement[[#This Row],[Destination]]="","",IFERROR(INDEX(tblDestinations[Type],MATCH(tblMovement[[#This Row],[Destination]],tblDestinations[Destination],0)),"?"))</f>
        <v/>
      </c>
      <c r="M1750" s="64">
        <f>IF(tblMovement[[#This Row],[Material]]="","",IF(LEFT(tblMovement[[#This Row],[Material]],3)="Ore",1,0))</f>
        <v/>
      </c>
      <c r="N1750" s="59">
        <f>IF(OR(tblMovement[[#This Row],[Tonnes_t]]="",tblMovement[[#This Row],[Grade_gpt]]=""),0,tblMovement[[#This Row],[Tonnes_t]]*tblMovement[[#This Row],[Grade_gpt]]/cfg_TroyOz)</f>
        <v/>
      </c>
      <c r="O1750" s="59">
        <f>IF(tblMovement[[#This Row],[Is_Ore]]=1,tblMovement[[#This Row],[Contained_oz]],0)</f>
        <v/>
      </c>
    </row>
    <row r="1751">
      <c r="A1751" s="54" t="n"/>
      <c r="B1751" s="61" t="n"/>
      <c r="C1751" s="61" t="n"/>
      <c r="D1751" s="61" t="n"/>
      <c r="E1751" s="61" t="n"/>
      <c r="F1751" s="55" t="n"/>
      <c r="G1751" s="56" t="n"/>
      <c r="H1751" s="55" t="n"/>
      <c r="I1751" s="62" t="n"/>
      <c r="J1751" s="58" t="n"/>
      <c r="K1751" s="63">
        <f>IF(tblMovement[[#This Row],[Source]]="","",IFERROR(INDEX(tblSources[Type],MATCH(tblMovement[[#This Row],[Source]],tblSources[Source],0)),"?"))</f>
        <v/>
      </c>
      <c r="L1751" s="63">
        <f>IF(tblMovement[[#This Row],[Destination]]="","",IFERROR(INDEX(tblDestinations[Type],MATCH(tblMovement[[#This Row],[Destination]],tblDestinations[Destination],0)),"?"))</f>
        <v/>
      </c>
      <c r="M1751" s="64">
        <f>IF(tblMovement[[#This Row],[Material]]="","",IF(LEFT(tblMovement[[#This Row],[Material]],3)="Ore",1,0))</f>
        <v/>
      </c>
      <c r="N1751" s="59">
        <f>IF(OR(tblMovement[[#This Row],[Tonnes_t]]="",tblMovement[[#This Row],[Grade_gpt]]=""),0,tblMovement[[#This Row],[Tonnes_t]]*tblMovement[[#This Row],[Grade_gpt]]/cfg_TroyOz)</f>
        <v/>
      </c>
      <c r="O1751" s="59">
        <f>IF(tblMovement[[#This Row],[Is_Ore]]=1,tblMovement[[#This Row],[Contained_oz]],0)</f>
        <v/>
      </c>
    </row>
    <row r="1752">
      <c r="A1752" s="54" t="n"/>
      <c r="B1752" s="61" t="n"/>
      <c r="C1752" s="61" t="n"/>
      <c r="D1752" s="61" t="n"/>
      <c r="E1752" s="61" t="n"/>
      <c r="F1752" s="55" t="n"/>
      <c r="G1752" s="56" t="n"/>
      <c r="H1752" s="55" t="n"/>
      <c r="I1752" s="62" t="n"/>
      <c r="J1752" s="58" t="n"/>
      <c r="K1752" s="63">
        <f>IF(tblMovement[[#This Row],[Source]]="","",IFERROR(INDEX(tblSources[Type],MATCH(tblMovement[[#This Row],[Source]],tblSources[Source],0)),"?"))</f>
        <v/>
      </c>
      <c r="L1752" s="63">
        <f>IF(tblMovement[[#This Row],[Destination]]="","",IFERROR(INDEX(tblDestinations[Type],MATCH(tblMovement[[#This Row],[Destination]],tblDestinations[Destination],0)),"?"))</f>
        <v/>
      </c>
      <c r="M1752" s="64">
        <f>IF(tblMovement[[#This Row],[Material]]="","",IF(LEFT(tblMovement[[#This Row],[Material]],3)="Ore",1,0))</f>
        <v/>
      </c>
      <c r="N1752" s="59">
        <f>IF(OR(tblMovement[[#This Row],[Tonnes_t]]="",tblMovement[[#This Row],[Grade_gpt]]=""),0,tblMovement[[#This Row],[Tonnes_t]]*tblMovement[[#This Row],[Grade_gpt]]/cfg_TroyOz)</f>
        <v/>
      </c>
      <c r="O1752" s="59">
        <f>IF(tblMovement[[#This Row],[Is_Ore]]=1,tblMovement[[#This Row],[Contained_oz]],0)</f>
        <v/>
      </c>
    </row>
    <row r="1753">
      <c r="A1753" s="54" t="n"/>
      <c r="B1753" s="61" t="n"/>
      <c r="C1753" s="61" t="n"/>
      <c r="D1753" s="61" t="n"/>
      <c r="E1753" s="61" t="n"/>
      <c r="F1753" s="55" t="n"/>
      <c r="G1753" s="56" t="n"/>
      <c r="H1753" s="55" t="n"/>
      <c r="I1753" s="62" t="n"/>
      <c r="J1753" s="58" t="n"/>
      <c r="K1753" s="63">
        <f>IF(tblMovement[[#This Row],[Source]]="","",IFERROR(INDEX(tblSources[Type],MATCH(tblMovement[[#This Row],[Source]],tblSources[Source],0)),"?"))</f>
        <v/>
      </c>
      <c r="L1753" s="63">
        <f>IF(tblMovement[[#This Row],[Destination]]="","",IFERROR(INDEX(tblDestinations[Type],MATCH(tblMovement[[#This Row],[Destination]],tblDestinations[Destination],0)),"?"))</f>
        <v/>
      </c>
      <c r="M1753" s="64">
        <f>IF(tblMovement[[#This Row],[Material]]="","",IF(LEFT(tblMovement[[#This Row],[Material]],3)="Ore",1,0))</f>
        <v/>
      </c>
      <c r="N1753" s="59">
        <f>IF(OR(tblMovement[[#This Row],[Tonnes_t]]="",tblMovement[[#This Row],[Grade_gpt]]=""),0,tblMovement[[#This Row],[Tonnes_t]]*tblMovement[[#This Row],[Grade_gpt]]/cfg_TroyOz)</f>
        <v/>
      </c>
      <c r="O1753" s="59">
        <f>IF(tblMovement[[#This Row],[Is_Ore]]=1,tblMovement[[#This Row],[Contained_oz]],0)</f>
        <v/>
      </c>
    </row>
    <row r="1754">
      <c r="A1754" s="54" t="n"/>
      <c r="B1754" s="61" t="n"/>
      <c r="C1754" s="61" t="n"/>
      <c r="D1754" s="61" t="n"/>
      <c r="E1754" s="61" t="n"/>
      <c r="F1754" s="55" t="n"/>
      <c r="G1754" s="56" t="n"/>
      <c r="H1754" s="55" t="n"/>
      <c r="I1754" s="62" t="n"/>
      <c r="J1754" s="58" t="n"/>
      <c r="K1754" s="63">
        <f>IF(tblMovement[[#This Row],[Source]]="","",IFERROR(INDEX(tblSources[Type],MATCH(tblMovement[[#This Row],[Source]],tblSources[Source],0)),"?"))</f>
        <v/>
      </c>
      <c r="L1754" s="63">
        <f>IF(tblMovement[[#This Row],[Destination]]="","",IFERROR(INDEX(tblDestinations[Type],MATCH(tblMovement[[#This Row],[Destination]],tblDestinations[Destination],0)),"?"))</f>
        <v/>
      </c>
      <c r="M1754" s="64">
        <f>IF(tblMovement[[#This Row],[Material]]="","",IF(LEFT(tblMovement[[#This Row],[Material]],3)="Ore",1,0))</f>
        <v/>
      </c>
      <c r="N1754" s="59">
        <f>IF(OR(tblMovement[[#This Row],[Tonnes_t]]="",tblMovement[[#This Row],[Grade_gpt]]=""),0,tblMovement[[#This Row],[Tonnes_t]]*tblMovement[[#This Row],[Grade_gpt]]/cfg_TroyOz)</f>
        <v/>
      </c>
      <c r="O1754" s="59">
        <f>IF(tblMovement[[#This Row],[Is_Ore]]=1,tblMovement[[#This Row],[Contained_oz]],0)</f>
        <v/>
      </c>
    </row>
    <row r="1755">
      <c r="A1755" s="54" t="n"/>
      <c r="B1755" s="61" t="n"/>
      <c r="C1755" s="61" t="n"/>
      <c r="D1755" s="61" t="n"/>
      <c r="E1755" s="61" t="n"/>
      <c r="F1755" s="55" t="n"/>
      <c r="G1755" s="56" t="n"/>
      <c r="H1755" s="55" t="n"/>
      <c r="I1755" s="62" t="n"/>
      <c r="J1755" s="58" t="n"/>
      <c r="K1755" s="63">
        <f>IF(tblMovement[[#This Row],[Source]]="","",IFERROR(INDEX(tblSources[Type],MATCH(tblMovement[[#This Row],[Source]],tblSources[Source],0)),"?"))</f>
        <v/>
      </c>
      <c r="L1755" s="63">
        <f>IF(tblMovement[[#This Row],[Destination]]="","",IFERROR(INDEX(tblDestinations[Type],MATCH(tblMovement[[#This Row],[Destination]],tblDestinations[Destination],0)),"?"))</f>
        <v/>
      </c>
      <c r="M1755" s="64">
        <f>IF(tblMovement[[#This Row],[Material]]="","",IF(LEFT(tblMovement[[#This Row],[Material]],3)="Ore",1,0))</f>
        <v/>
      </c>
      <c r="N1755" s="59">
        <f>IF(OR(tblMovement[[#This Row],[Tonnes_t]]="",tblMovement[[#This Row],[Grade_gpt]]=""),0,tblMovement[[#This Row],[Tonnes_t]]*tblMovement[[#This Row],[Grade_gpt]]/cfg_TroyOz)</f>
        <v/>
      </c>
      <c r="O1755" s="59">
        <f>IF(tblMovement[[#This Row],[Is_Ore]]=1,tblMovement[[#This Row],[Contained_oz]],0)</f>
        <v/>
      </c>
    </row>
    <row r="1756">
      <c r="A1756" s="54" t="n"/>
      <c r="B1756" s="61" t="n"/>
      <c r="C1756" s="61" t="n"/>
      <c r="D1756" s="61" t="n"/>
      <c r="E1756" s="61" t="n"/>
      <c r="F1756" s="55" t="n"/>
      <c r="G1756" s="56" t="n"/>
      <c r="H1756" s="55" t="n"/>
      <c r="I1756" s="62" t="n"/>
      <c r="J1756" s="58" t="n"/>
      <c r="K1756" s="63">
        <f>IF(tblMovement[[#This Row],[Source]]="","",IFERROR(INDEX(tblSources[Type],MATCH(tblMovement[[#This Row],[Source]],tblSources[Source],0)),"?"))</f>
        <v/>
      </c>
      <c r="L1756" s="63">
        <f>IF(tblMovement[[#This Row],[Destination]]="","",IFERROR(INDEX(tblDestinations[Type],MATCH(tblMovement[[#This Row],[Destination]],tblDestinations[Destination],0)),"?"))</f>
        <v/>
      </c>
      <c r="M1756" s="64">
        <f>IF(tblMovement[[#This Row],[Material]]="","",IF(LEFT(tblMovement[[#This Row],[Material]],3)="Ore",1,0))</f>
        <v/>
      </c>
      <c r="N1756" s="59">
        <f>IF(OR(tblMovement[[#This Row],[Tonnes_t]]="",tblMovement[[#This Row],[Grade_gpt]]=""),0,tblMovement[[#This Row],[Tonnes_t]]*tblMovement[[#This Row],[Grade_gpt]]/cfg_TroyOz)</f>
        <v/>
      </c>
      <c r="O1756" s="59">
        <f>IF(tblMovement[[#This Row],[Is_Ore]]=1,tblMovement[[#This Row],[Contained_oz]],0)</f>
        <v/>
      </c>
    </row>
    <row r="1757">
      <c r="A1757" s="54" t="n"/>
      <c r="B1757" s="61" t="n"/>
      <c r="C1757" s="61" t="n"/>
      <c r="D1757" s="61" t="n"/>
      <c r="E1757" s="61" t="n"/>
      <c r="F1757" s="55" t="n"/>
      <c r="G1757" s="56" t="n"/>
      <c r="H1757" s="55" t="n"/>
      <c r="I1757" s="62" t="n"/>
      <c r="J1757" s="58" t="n"/>
      <c r="K1757" s="63">
        <f>IF(tblMovement[[#This Row],[Source]]="","",IFERROR(INDEX(tblSources[Type],MATCH(tblMovement[[#This Row],[Source]],tblSources[Source],0)),"?"))</f>
        <v/>
      </c>
      <c r="L1757" s="63">
        <f>IF(tblMovement[[#This Row],[Destination]]="","",IFERROR(INDEX(tblDestinations[Type],MATCH(tblMovement[[#This Row],[Destination]],tblDestinations[Destination],0)),"?"))</f>
        <v/>
      </c>
      <c r="M1757" s="64">
        <f>IF(tblMovement[[#This Row],[Material]]="","",IF(LEFT(tblMovement[[#This Row],[Material]],3)="Ore",1,0))</f>
        <v/>
      </c>
      <c r="N1757" s="59">
        <f>IF(OR(tblMovement[[#This Row],[Tonnes_t]]="",tblMovement[[#This Row],[Grade_gpt]]=""),0,tblMovement[[#This Row],[Tonnes_t]]*tblMovement[[#This Row],[Grade_gpt]]/cfg_TroyOz)</f>
        <v/>
      </c>
      <c r="O1757" s="59">
        <f>IF(tblMovement[[#This Row],[Is_Ore]]=1,tblMovement[[#This Row],[Contained_oz]],0)</f>
        <v/>
      </c>
    </row>
    <row r="1758">
      <c r="A1758" s="54" t="n"/>
      <c r="B1758" s="61" t="n"/>
      <c r="C1758" s="61" t="n"/>
      <c r="D1758" s="61" t="n"/>
      <c r="E1758" s="61" t="n"/>
      <c r="F1758" s="55" t="n"/>
      <c r="G1758" s="56" t="n"/>
      <c r="H1758" s="55" t="n"/>
      <c r="I1758" s="62" t="n"/>
      <c r="J1758" s="58" t="n"/>
      <c r="K1758" s="63">
        <f>IF(tblMovement[[#This Row],[Source]]="","",IFERROR(INDEX(tblSources[Type],MATCH(tblMovement[[#This Row],[Source]],tblSources[Source],0)),"?"))</f>
        <v/>
      </c>
      <c r="L1758" s="63">
        <f>IF(tblMovement[[#This Row],[Destination]]="","",IFERROR(INDEX(tblDestinations[Type],MATCH(tblMovement[[#This Row],[Destination]],tblDestinations[Destination],0)),"?"))</f>
        <v/>
      </c>
      <c r="M1758" s="64">
        <f>IF(tblMovement[[#This Row],[Material]]="","",IF(LEFT(tblMovement[[#This Row],[Material]],3)="Ore",1,0))</f>
        <v/>
      </c>
      <c r="N1758" s="59">
        <f>IF(OR(tblMovement[[#This Row],[Tonnes_t]]="",tblMovement[[#This Row],[Grade_gpt]]=""),0,tblMovement[[#This Row],[Tonnes_t]]*tblMovement[[#This Row],[Grade_gpt]]/cfg_TroyOz)</f>
        <v/>
      </c>
      <c r="O1758" s="59">
        <f>IF(tblMovement[[#This Row],[Is_Ore]]=1,tblMovement[[#This Row],[Contained_oz]],0)</f>
        <v/>
      </c>
    </row>
    <row r="1759">
      <c r="A1759" s="54" t="n"/>
      <c r="B1759" s="61" t="n"/>
      <c r="C1759" s="61" t="n"/>
      <c r="D1759" s="61" t="n"/>
      <c r="E1759" s="61" t="n"/>
      <c r="F1759" s="55" t="n"/>
      <c r="G1759" s="56" t="n"/>
      <c r="H1759" s="55" t="n"/>
      <c r="I1759" s="62" t="n"/>
      <c r="J1759" s="58" t="n"/>
      <c r="K1759" s="63">
        <f>IF(tblMovement[[#This Row],[Source]]="","",IFERROR(INDEX(tblSources[Type],MATCH(tblMovement[[#This Row],[Source]],tblSources[Source],0)),"?"))</f>
        <v/>
      </c>
      <c r="L1759" s="63">
        <f>IF(tblMovement[[#This Row],[Destination]]="","",IFERROR(INDEX(tblDestinations[Type],MATCH(tblMovement[[#This Row],[Destination]],tblDestinations[Destination],0)),"?"))</f>
        <v/>
      </c>
      <c r="M1759" s="64">
        <f>IF(tblMovement[[#This Row],[Material]]="","",IF(LEFT(tblMovement[[#This Row],[Material]],3)="Ore",1,0))</f>
        <v/>
      </c>
      <c r="N1759" s="59">
        <f>IF(OR(tblMovement[[#This Row],[Tonnes_t]]="",tblMovement[[#This Row],[Grade_gpt]]=""),0,tblMovement[[#This Row],[Tonnes_t]]*tblMovement[[#This Row],[Grade_gpt]]/cfg_TroyOz)</f>
        <v/>
      </c>
      <c r="O1759" s="59">
        <f>IF(tblMovement[[#This Row],[Is_Ore]]=1,tblMovement[[#This Row],[Contained_oz]],0)</f>
        <v/>
      </c>
    </row>
    <row r="1760">
      <c r="A1760" s="54" t="n"/>
      <c r="B1760" s="61" t="n"/>
      <c r="C1760" s="61" t="n"/>
      <c r="D1760" s="61" t="n"/>
      <c r="E1760" s="61" t="n"/>
      <c r="F1760" s="55" t="n"/>
      <c r="G1760" s="56" t="n"/>
      <c r="H1760" s="55" t="n"/>
      <c r="I1760" s="62" t="n"/>
      <c r="J1760" s="58" t="n"/>
      <c r="K1760" s="63">
        <f>IF(tblMovement[[#This Row],[Source]]="","",IFERROR(INDEX(tblSources[Type],MATCH(tblMovement[[#This Row],[Source]],tblSources[Source],0)),"?"))</f>
        <v/>
      </c>
      <c r="L1760" s="63">
        <f>IF(tblMovement[[#This Row],[Destination]]="","",IFERROR(INDEX(tblDestinations[Type],MATCH(tblMovement[[#This Row],[Destination]],tblDestinations[Destination],0)),"?"))</f>
        <v/>
      </c>
      <c r="M1760" s="64">
        <f>IF(tblMovement[[#This Row],[Material]]="","",IF(LEFT(tblMovement[[#This Row],[Material]],3)="Ore",1,0))</f>
        <v/>
      </c>
      <c r="N1760" s="59">
        <f>IF(OR(tblMovement[[#This Row],[Tonnes_t]]="",tblMovement[[#This Row],[Grade_gpt]]=""),0,tblMovement[[#This Row],[Tonnes_t]]*tblMovement[[#This Row],[Grade_gpt]]/cfg_TroyOz)</f>
        <v/>
      </c>
      <c r="O1760" s="59">
        <f>IF(tblMovement[[#This Row],[Is_Ore]]=1,tblMovement[[#This Row],[Contained_oz]],0)</f>
        <v/>
      </c>
    </row>
    <row r="1761">
      <c r="A1761" s="54" t="n"/>
      <c r="B1761" s="61" t="n"/>
      <c r="C1761" s="61" t="n"/>
      <c r="D1761" s="61" t="n"/>
      <c r="E1761" s="61" t="n"/>
      <c r="F1761" s="55" t="n"/>
      <c r="G1761" s="56" t="n"/>
      <c r="H1761" s="55" t="n"/>
      <c r="I1761" s="62" t="n"/>
      <c r="J1761" s="58" t="n"/>
      <c r="K1761" s="63">
        <f>IF(tblMovement[[#This Row],[Source]]="","",IFERROR(INDEX(tblSources[Type],MATCH(tblMovement[[#This Row],[Source]],tblSources[Source],0)),"?"))</f>
        <v/>
      </c>
      <c r="L1761" s="63">
        <f>IF(tblMovement[[#This Row],[Destination]]="","",IFERROR(INDEX(tblDestinations[Type],MATCH(tblMovement[[#This Row],[Destination]],tblDestinations[Destination],0)),"?"))</f>
        <v/>
      </c>
      <c r="M1761" s="64">
        <f>IF(tblMovement[[#This Row],[Material]]="","",IF(LEFT(tblMovement[[#This Row],[Material]],3)="Ore",1,0))</f>
        <v/>
      </c>
      <c r="N1761" s="59">
        <f>IF(OR(tblMovement[[#This Row],[Tonnes_t]]="",tblMovement[[#This Row],[Grade_gpt]]=""),0,tblMovement[[#This Row],[Tonnes_t]]*tblMovement[[#This Row],[Grade_gpt]]/cfg_TroyOz)</f>
        <v/>
      </c>
      <c r="O1761" s="59">
        <f>IF(tblMovement[[#This Row],[Is_Ore]]=1,tblMovement[[#This Row],[Contained_oz]],0)</f>
        <v/>
      </c>
    </row>
    <row r="1762">
      <c r="A1762" s="54" t="n"/>
      <c r="B1762" s="61" t="n"/>
      <c r="C1762" s="61" t="n"/>
      <c r="D1762" s="61" t="n"/>
      <c r="E1762" s="61" t="n"/>
      <c r="F1762" s="55" t="n"/>
      <c r="G1762" s="56" t="n"/>
      <c r="H1762" s="55" t="n"/>
      <c r="I1762" s="62" t="n"/>
      <c r="J1762" s="58" t="n"/>
      <c r="K1762" s="63">
        <f>IF(tblMovement[[#This Row],[Source]]="","",IFERROR(INDEX(tblSources[Type],MATCH(tblMovement[[#This Row],[Source]],tblSources[Source],0)),"?"))</f>
        <v/>
      </c>
      <c r="L1762" s="63">
        <f>IF(tblMovement[[#This Row],[Destination]]="","",IFERROR(INDEX(tblDestinations[Type],MATCH(tblMovement[[#This Row],[Destination]],tblDestinations[Destination],0)),"?"))</f>
        <v/>
      </c>
      <c r="M1762" s="64">
        <f>IF(tblMovement[[#This Row],[Material]]="","",IF(LEFT(tblMovement[[#This Row],[Material]],3)="Ore",1,0))</f>
        <v/>
      </c>
      <c r="N1762" s="59">
        <f>IF(OR(tblMovement[[#This Row],[Tonnes_t]]="",tblMovement[[#This Row],[Grade_gpt]]=""),0,tblMovement[[#This Row],[Tonnes_t]]*tblMovement[[#This Row],[Grade_gpt]]/cfg_TroyOz)</f>
        <v/>
      </c>
      <c r="O1762" s="59">
        <f>IF(tblMovement[[#This Row],[Is_Ore]]=1,tblMovement[[#This Row],[Contained_oz]],0)</f>
        <v/>
      </c>
    </row>
    <row r="1763">
      <c r="A1763" s="54" t="n"/>
      <c r="B1763" s="61" t="n"/>
      <c r="C1763" s="61" t="n"/>
      <c r="D1763" s="61" t="n"/>
      <c r="E1763" s="61" t="n"/>
      <c r="F1763" s="55" t="n"/>
      <c r="G1763" s="56" t="n"/>
      <c r="H1763" s="55" t="n"/>
      <c r="I1763" s="62" t="n"/>
      <c r="J1763" s="58" t="n"/>
      <c r="K1763" s="63">
        <f>IF(tblMovement[[#This Row],[Source]]="","",IFERROR(INDEX(tblSources[Type],MATCH(tblMovement[[#This Row],[Source]],tblSources[Source],0)),"?"))</f>
        <v/>
      </c>
      <c r="L1763" s="63">
        <f>IF(tblMovement[[#This Row],[Destination]]="","",IFERROR(INDEX(tblDestinations[Type],MATCH(tblMovement[[#This Row],[Destination]],tblDestinations[Destination],0)),"?"))</f>
        <v/>
      </c>
      <c r="M1763" s="64">
        <f>IF(tblMovement[[#This Row],[Material]]="","",IF(LEFT(tblMovement[[#This Row],[Material]],3)="Ore",1,0))</f>
        <v/>
      </c>
      <c r="N1763" s="59">
        <f>IF(OR(tblMovement[[#This Row],[Tonnes_t]]="",tblMovement[[#This Row],[Grade_gpt]]=""),0,tblMovement[[#This Row],[Tonnes_t]]*tblMovement[[#This Row],[Grade_gpt]]/cfg_TroyOz)</f>
        <v/>
      </c>
      <c r="O1763" s="59">
        <f>IF(tblMovement[[#This Row],[Is_Ore]]=1,tblMovement[[#This Row],[Contained_oz]],0)</f>
        <v/>
      </c>
    </row>
    <row r="1764">
      <c r="A1764" s="54" t="n"/>
      <c r="B1764" s="61" t="n"/>
      <c r="C1764" s="61" t="n"/>
      <c r="D1764" s="61" t="n"/>
      <c r="E1764" s="61" t="n"/>
      <c r="F1764" s="55" t="n"/>
      <c r="G1764" s="56" t="n"/>
      <c r="H1764" s="55" t="n"/>
      <c r="I1764" s="62" t="n"/>
      <c r="J1764" s="58" t="n"/>
      <c r="K1764" s="63">
        <f>IF(tblMovement[[#This Row],[Source]]="","",IFERROR(INDEX(tblSources[Type],MATCH(tblMovement[[#This Row],[Source]],tblSources[Source],0)),"?"))</f>
        <v/>
      </c>
      <c r="L1764" s="63">
        <f>IF(tblMovement[[#This Row],[Destination]]="","",IFERROR(INDEX(tblDestinations[Type],MATCH(tblMovement[[#This Row],[Destination]],tblDestinations[Destination],0)),"?"))</f>
        <v/>
      </c>
      <c r="M1764" s="64">
        <f>IF(tblMovement[[#This Row],[Material]]="","",IF(LEFT(tblMovement[[#This Row],[Material]],3)="Ore",1,0))</f>
        <v/>
      </c>
      <c r="N1764" s="59">
        <f>IF(OR(tblMovement[[#This Row],[Tonnes_t]]="",tblMovement[[#This Row],[Grade_gpt]]=""),0,tblMovement[[#This Row],[Tonnes_t]]*tblMovement[[#This Row],[Grade_gpt]]/cfg_TroyOz)</f>
        <v/>
      </c>
      <c r="O1764" s="59">
        <f>IF(tblMovement[[#This Row],[Is_Ore]]=1,tblMovement[[#This Row],[Contained_oz]],0)</f>
        <v/>
      </c>
    </row>
    <row r="1765">
      <c r="A1765" s="54" t="n"/>
      <c r="B1765" s="61" t="n"/>
      <c r="C1765" s="61" t="n"/>
      <c r="D1765" s="61" t="n"/>
      <c r="E1765" s="61" t="n"/>
      <c r="F1765" s="55" t="n"/>
      <c r="G1765" s="56" t="n"/>
      <c r="H1765" s="55" t="n"/>
      <c r="I1765" s="62" t="n"/>
      <c r="J1765" s="58" t="n"/>
      <c r="K1765" s="63">
        <f>IF(tblMovement[[#This Row],[Source]]="","",IFERROR(INDEX(tblSources[Type],MATCH(tblMovement[[#This Row],[Source]],tblSources[Source],0)),"?"))</f>
        <v/>
      </c>
      <c r="L1765" s="63">
        <f>IF(tblMovement[[#This Row],[Destination]]="","",IFERROR(INDEX(tblDestinations[Type],MATCH(tblMovement[[#This Row],[Destination]],tblDestinations[Destination],0)),"?"))</f>
        <v/>
      </c>
      <c r="M1765" s="64">
        <f>IF(tblMovement[[#This Row],[Material]]="","",IF(LEFT(tblMovement[[#This Row],[Material]],3)="Ore",1,0))</f>
        <v/>
      </c>
      <c r="N1765" s="59">
        <f>IF(OR(tblMovement[[#This Row],[Tonnes_t]]="",tblMovement[[#This Row],[Grade_gpt]]=""),0,tblMovement[[#This Row],[Tonnes_t]]*tblMovement[[#This Row],[Grade_gpt]]/cfg_TroyOz)</f>
        <v/>
      </c>
      <c r="O1765" s="59">
        <f>IF(tblMovement[[#This Row],[Is_Ore]]=1,tblMovement[[#This Row],[Contained_oz]],0)</f>
        <v/>
      </c>
    </row>
    <row r="1766">
      <c r="A1766" s="54" t="n"/>
      <c r="B1766" s="61" t="n"/>
      <c r="C1766" s="61" t="n"/>
      <c r="D1766" s="61" t="n"/>
      <c r="E1766" s="61" t="n"/>
      <c r="F1766" s="55" t="n"/>
      <c r="G1766" s="56" t="n"/>
      <c r="H1766" s="55" t="n"/>
      <c r="I1766" s="62" t="n"/>
      <c r="J1766" s="58" t="n"/>
      <c r="K1766" s="63">
        <f>IF(tblMovement[[#This Row],[Source]]="","",IFERROR(INDEX(tblSources[Type],MATCH(tblMovement[[#This Row],[Source]],tblSources[Source],0)),"?"))</f>
        <v/>
      </c>
      <c r="L1766" s="63">
        <f>IF(tblMovement[[#This Row],[Destination]]="","",IFERROR(INDEX(tblDestinations[Type],MATCH(tblMovement[[#This Row],[Destination]],tblDestinations[Destination],0)),"?"))</f>
        <v/>
      </c>
      <c r="M1766" s="64">
        <f>IF(tblMovement[[#This Row],[Material]]="","",IF(LEFT(tblMovement[[#This Row],[Material]],3)="Ore",1,0))</f>
        <v/>
      </c>
      <c r="N1766" s="59">
        <f>IF(OR(tblMovement[[#This Row],[Tonnes_t]]="",tblMovement[[#This Row],[Grade_gpt]]=""),0,tblMovement[[#This Row],[Tonnes_t]]*tblMovement[[#This Row],[Grade_gpt]]/cfg_TroyOz)</f>
        <v/>
      </c>
      <c r="O1766" s="59">
        <f>IF(tblMovement[[#This Row],[Is_Ore]]=1,tblMovement[[#This Row],[Contained_oz]],0)</f>
        <v/>
      </c>
    </row>
    <row r="1767">
      <c r="A1767" s="54" t="n"/>
      <c r="B1767" s="61" t="n"/>
      <c r="C1767" s="61" t="n"/>
      <c r="D1767" s="61" t="n"/>
      <c r="E1767" s="61" t="n"/>
      <c r="F1767" s="55" t="n"/>
      <c r="G1767" s="56" t="n"/>
      <c r="H1767" s="55" t="n"/>
      <c r="I1767" s="62" t="n"/>
      <c r="J1767" s="58" t="n"/>
      <c r="K1767" s="63">
        <f>IF(tblMovement[[#This Row],[Source]]="","",IFERROR(INDEX(tblSources[Type],MATCH(tblMovement[[#This Row],[Source]],tblSources[Source],0)),"?"))</f>
        <v/>
      </c>
      <c r="L1767" s="63">
        <f>IF(tblMovement[[#This Row],[Destination]]="","",IFERROR(INDEX(tblDestinations[Type],MATCH(tblMovement[[#This Row],[Destination]],tblDestinations[Destination],0)),"?"))</f>
        <v/>
      </c>
      <c r="M1767" s="64">
        <f>IF(tblMovement[[#This Row],[Material]]="","",IF(LEFT(tblMovement[[#This Row],[Material]],3)="Ore",1,0))</f>
        <v/>
      </c>
      <c r="N1767" s="59">
        <f>IF(OR(tblMovement[[#This Row],[Tonnes_t]]="",tblMovement[[#This Row],[Grade_gpt]]=""),0,tblMovement[[#This Row],[Tonnes_t]]*tblMovement[[#This Row],[Grade_gpt]]/cfg_TroyOz)</f>
        <v/>
      </c>
      <c r="O1767" s="59">
        <f>IF(tblMovement[[#This Row],[Is_Ore]]=1,tblMovement[[#This Row],[Contained_oz]],0)</f>
        <v/>
      </c>
    </row>
    <row r="1768">
      <c r="A1768" s="54" t="n"/>
      <c r="B1768" s="61" t="n"/>
      <c r="C1768" s="61" t="n"/>
      <c r="D1768" s="61" t="n"/>
      <c r="E1768" s="61" t="n"/>
      <c r="F1768" s="55" t="n"/>
      <c r="G1768" s="56" t="n"/>
      <c r="H1768" s="55" t="n"/>
      <c r="I1768" s="62" t="n"/>
      <c r="J1768" s="58" t="n"/>
      <c r="K1768" s="63">
        <f>IF(tblMovement[[#This Row],[Source]]="","",IFERROR(INDEX(tblSources[Type],MATCH(tblMovement[[#This Row],[Source]],tblSources[Source],0)),"?"))</f>
        <v/>
      </c>
      <c r="L1768" s="63">
        <f>IF(tblMovement[[#This Row],[Destination]]="","",IFERROR(INDEX(tblDestinations[Type],MATCH(tblMovement[[#This Row],[Destination]],tblDestinations[Destination],0)),"?"))</f>
        <v/>
      </c>
      <c r="M1768" s="64">
        <f>IF(tblMovement[[#This Row],[Material]]="","",IF(LEFT(tblMovement[[#This Row],[Material]],3)="Ore",1,0))</f>
        <v/>
      </c>
      <c r="N1768" s="59">
        <f>IF(OR(tblMovement[[#This Row],[Tonnes_t]]="",tblMovement[[#This Row],[Grade_gpt]]=""),0,tblMovement[[#This Row],[Tonnes_t]]*tblMovement[[#This Row],[Grade_gpt]]/cfg_TroyOz)</f>
        <v/>
      </c>
      <c r="O1768" s="59">
        <f>IF(tblMovement[[#This Row],[Is_Ore]]=1,tblMovement[[#This Row],[Contained_oz]],0)</f>
        <v/>
      </c>
    </row>
    <row r="1769">
      <c r="A1769" s="54" t="n"/>
      <c r="B1769" s="61" t="n"/>
      <c r="C1769" s="61" t="n"/>
      <c r="D1769" s="61" t="n"/>
      <c r="E1769" s="61" t="n"/>
      <c r="F1769" s="55" t="n"/>
      <c r="G1769" s="56" t="n"/>
      <c r="H1769" s="55" t="n"/>
      <c r="I1769" s="62" t="n"/>
      <c r="J1769" s="58" t="n"/>
      <c r="K1769" s="63">
        <f>IF(tblMovement[[#This Row],[Source]]="","",IFERROR(INDEX(tblSources[Type],MATCH(tblMovement[[#This Row],[Source]],tblSources[Source],0)),"?"))</f>
        <v/>
      </c>
      <c r="L1769" s="63">
        <f>IF(tblMovement[[#This Row],[Destination]]="","",IFERROR(INDEX(tblDestinations[Type],MATCH(tblMovement[[#This Row],[Destination]],tblDestinations[Destination],0)),"?"))</f>
        <v/>
      </c>
      <c r="M1769" s="64">
        <f>IF(tblMovement[[#This Row],[Material]]="","",IF(LEFT(tblMovement[[#This Row],[Material]],3)="Ore",1,0))</f>
        <v/>
      </c>
      <c r="N1769" s="59">
        <f>IF(OR(tblMovement[[#This Row],[Tonnes_t]]="",tblMovement[[#This Row],[Grade_gpt]]=""),0,tblMovement[[#This Row],[Tonnes_t]]*tblMovement[[#This Row],[Grade_gpt]]/cfg_TroyOz)</f>
        <v/>
      </c>
      <c r="O1769" s="59">
        <f>IF(tblMovement[[#This Row],[Is_Ore]]=1,tblMovement[[#This Row],[Contained_oz]],0)</f>
        <v/>
      </c>
    </row>
    <row r="1770">
      <c r="A1770" s="54" t="n"/>
      <c r="B1770" s="61" t="n"/>
      <c r="C1770" s="61" t="n"/>
      <c r="D1770" s="61" t="n"/>
      <c r="E1770" s="61" t="n"/>
      <c r="F1770" s="55" t="n"/>
      <c r="G1770" s="56" t="n"/>
      <c r="H1770" s="55" t="n"/>
      <c r="I1770" s="62" t="n"/>
      <c r="J1770" s="58" t="n"/>
      <c r="K1770" s="63">
        <f>IF(tblMovement[[#This Row],[Source]]="","",IFERROR(INDEX(tblSources[Type],MATCH(tblMovement[[#This Row],[Source]],tblSources[Source],0)),"?"))</f>
        <v/>
      </c>
      <c r="L1770" s="63">
        <f>IF(tblMovement[[#This Row],[Destination]]="","",IFERROR(INDEX(tblDestinations[Type],MATCH(tblMovement[[#This Row],[Destination]],tblDestinations[Destination],0)),"?"))</f>
        <v/>
      </c>
      <c r="M1770" s="64">
        <f>IF(tblMovement[[#This Row],[Material]]="","",IF(LEFT(tblMovement[[#This Row],[Material]],3)="Ore",1,0))</f>
        <v/>
      </c>
      <c r="N1770" s="59">
        <f>IF(OR(tblMovement[[#This Row],[Tonnes_t]]="",tblMovement[[#This Row],[Grade_gpt]]=""),0,tblMovement[[#This Row],[Tonnes_t]]*tblMovement[[#This Row],[Grade_gpt]]/cfg_TroyOz)</f>
        <v/>
      </c>
      <c r="O1770" s="59">
        <f>IF(tblMovement[[#This Row],[Is_Ore]]=1,tblMovement[[#This Row],[Contained_oz]],0)</f>
        <v/>
      </c>
    </row>
    <row r="1771">
      <c r="A1771" s="54" t="n"/>
      <c r="B1771" s="61" t="n"/>
      <c r="C1771" s="61" t="n"/>
      <c r="D1771" s="61" t="n"/>
      <c r="E1771" s="61" t="n"/>
      <c r="F1771" s="55" t="n"/>
      <c r="G1771" s="56" t="n"/>
      <c r="H1771" s="55" t="n"/>
      <c r="I1771" s="62" t="n"/>
      <c r="J1771" s="58" t="n"/>
      <c r="K1771" s="63">
        <f>IF(tblMovement[[#This Row],[Source]]="","",IFERROR(INDEX(tblSources[Type],MATCH(tblMovement[[#This Row],[Source]],tblSources[Source],0)),"?"))</f>
        <v/>
      </c>
      <c r="L1771" s="63">
        <f>IF(tblMovement[[#This Row],[Destination]]="","",IFERROR(INDEX(tblDestinations[Type],MATCH(tblMovement[[#This Row],[Destination]],tblDestinations[Destination],0)),"?"))</f>
        <v/>
      </c>
      <c r="M1771" s="64">
        <f>IF(tblMovement[[#This Row],[Material]]="","",IF(LEFT(tblMovement[[#This Row],[Material]],3)="Ore",1,0))</f>
        <v/>
      </c>
      <c r="N1771" s="59">
        <f>IF(OR(tblMovement[[#This Row],[Tonnes_t]]="",tblMovement[[#This Row],[Grade_gpt]]=""),0,tblMovement[[#This Row],[Tonnes_t]]*tblMovement[[#This Row],[Grade_gpt]]/cfg_TroyOz)</f>
        <v/>
      </c>
      <c r="O1771" s="59">
        <f>IF(tblMovement[[#This Row],[Is_Ore]]=1,tblMovement[[#This Row],[Contained_oz]],0)</f>
        <v/>
      </c>
    </row>
    <row r="1772">
      <c r="A1772" s="54" t="n"/>
      <c r="B1772" s="61" t="n"/>
      <c r="C1772" s="61" t="n"/>
      <c r="D1772" s="61" t="n"/>
      <c r="E1772" s="61" t="n"/>
      <c r="F1772" s="55" t="n"/>
      <c r="G1772" s="56" t="n"/>
      <c r="H1772" s="55" t="n"/>
      <c r="I1772" s="62" t="n"/>
      <c r="J1772" s="58" t="n"/>
      <c r="K1772" s="63">
        <f>IF(tblMovement[[#This Row],[Source]]="","",IFERROR(INDEX(tblSources[Type],MATCH(tblMovement[[#This Row],[Source]],tblSources[Source],0)),"?"))</f>
        <v/>
      </c>
      <c r="L1772" s="63">
        <f>IF(tblMovement[[#This Row],[Destination]]="","",IFERROR(INDEX(tblDestinations[Type],MATCH(tblMovement[[#This Row],[Destination]],tblDestinations[Destination],0)),"?"))</f>
        <v/>
      </c>
      <c r="M1772" s="64">
        <f>IF(tblMovement[[#This Row],[Material]]="","",IF(LEFT(tblMovement[[#This Row],[Material]],3)="Ore",1,0))</f>
        <v/>
      </c>
      <c r="N1772" s="59">
        <f>IF(OR(tblMovement[[#This Row],[Tonnes_t]]="",tblMovement[[#This Row],[Grade_gpt]]=""),0,tblMovement[[#This Row],[Tonnes_t]]*tblMovement[[#This Row],[Grade_gpt]]/cfg_TroyOz)</f>
        <v/>
      </c>
      <c r="O1772" s="59">
        <f>IF(tblMovement[[#This Row],[Is_Ore]]=1,tblMovement[[#This Row],[Contained_oz]],0)</f>
        <v/>
      </c>
    </row>
    <row r="1773">
      <c r="A1773" s="54" t="n"/>
      <c r="B1773" s="61" t="n"/>
      <c r="C1773" s="61" t="n"/>
      <c r="D1773" s="61" t="n"/>
      <c r="E1773" s="61" t="n"/>
      <c r="F1773" s="55" t="n"/>
      <c r="G1773" s="56" t="n"/>
      <c r="H1773" s="55" t="n"/>
      <c r="I1773" s="62" t="n"/>
      <c r="J1773" s="58" t="n"/>
      <c r="K1773" s="63">
        <f>IF(tblMovement[[#This Row],[Source]]="","",IFERROR(INDEX(tblSources[Type],MATCH(tblMovement[[#This Row],[Source]],tblSources[Source],0)),"?"))</f>
        <v/>
      </c>
      <c r="L1773" s="63">
        <f>IF(tblMovement[[#This Row],[Destination]]="","",IFERROR(INDEX(tblDestinations[Type],MATCH(tblMovement[[#This Row],[Destination]],tblDestinations[Destination],0)),"?"))</f>
        <v/>
      </c>
      <c r="M1773" s="64">
        <f>IF(tblMovement[[#This Row],[Material]]="","",IF(LEFT(tblMovement[[#This Row],[Material]],3)="Ore",1,0))</f>
        <v/>
      </c>
      <c r="N1773" s="59">
        <f>IF(OR(tblMovement[[#This Row],[Tonnes_t]]="",tblMovement[[#This Row],[Grade_gpt]]=""),0,tblMovement[[#This Row],[Tonnes_t]]*tblMovement[[#This Row],[Grade_gpt]]/cfg_TroyOz)</f>
        <v/>
      </c>
      <c r="O1773" s="59">
        <f>IF(tblMovement[[#This Row],[Is_Ore]]=1,tblMovement[[#This Row],[Contained_oz]],0)</f>
        <v/>
      </c>
    </row>
    <row r="1774">
      <c r="A1774" s="54" t="n"/>
      <c r="B1774" s="61" t="n"/>
      <c r="C1774" s="61" t="n"/>
      <c r="D1774" s="61" t="n"/>
      <c r="E1774" s="61" t="n"/>
      <c r="F1774" s="55" t="n"/>
      <c r="G1774" s="56" t="n"/>
      <c r="H1774" s="55" t="n"/>
      <c r="I1774" s="62" t="n"/>
      <c r="J1774" s="58" t="n"/>
      <c r="K1774" s="63">
        <f>IF(tblMovement[[#This Row],[Source]]="","",IFERROR(INDEX(tblSources[Type],MATCH(tblMovement[[#This Row],[Source]],tblSources[Source],0)),"?"))</f>
        <v/>
      </c>
      <c r="L1774" s="63">
        <f>IF(tblMovement[[#This Row],[Destination]]="","",IFERROR(INDEX(tblDestinations[Type],MATCH(tblMovement[[#This Row],[Destination]],tblDestinations[Destination],0)),"?"))</f>
        <v/>
      </c>
      <c r="M1774" s="64">
        <f>IF(tblMovement[[#This Row],[Material]]="","",IF(LEFT(tblMovement[[#This Row],[Material]],3)="Ore",1,0))</f>
        <v/>
      </c>
      <c r="N1774" s="59">
        <f>IF(OR(tblMovement[[#This Row],[Tonnes_t]]="",tblMovement[[#This Row],[Grade_gpt]]=""),0,tblMovement[[#This Row],[Tonnes_t]]*tblMovement[[#This Row],[Grade_gpt]]/cfg_TroyOz)</f>
        <v/>
      </c>
      <c r="O1774" s="59">
        <f>IF(tblMovement[[#This Row],[Is_Ore]]=1,tblMovement[[#This Row],[Contained_oz]],0)</f>
        <v/>
      </c>
    </row>
    <row r="1775">
      <c r="A1775" s="54" t="n"/>
      <c r="B1775" s="61" t="n"/>
      <c r="C1775" s="61" t="n"/>
      <c r="D1775" s="61" t="n"/>
      <c r="E1775" s="61" t="n"/>
      <c r="F1775" s="55" t="n"/>
      <c r="G1775" s="56" t="n"/>
      <c r="H1775" s="55" t="n"/>
      <c r="I1775" s="62" t="n"/>
      <c r="J1775" s="58" t="n"/>
      <c r="K1775" s="63">
        <f>IF(tblMovement[[#This Row],[Source]]="","",IFERROR(INDEX(tblSources[Type],MATCH(tblMovement[[#This Row],[Source]],tblSources[Source],0)),"?"))</f>
        <v/>
      </c>
      <c r="L1775" s="63">
        <f>IF(tblMovement[[#This Row],[Destination]]="","",IFERROR(INDEX(tblDestinations[Type],MATCH(tblMovement[[#This Row],[Destination]],tblDestinations[Destination],0)),"?"))</f>
        <v/>
      </c>
      <c r="M1775" s="64">
        <f>IF(tblMovement[[#This Row],[Material]]="","",IF(LEFT(tblMovement[[#This Row],[Material]],3)="Ore",1,0))</f>
        <v/>
      </c>
      <c r="N1775" s="59">
        <f>IF(OR(tblMovement[[#This Row],[Tonnes_t]]="",tblMovement[[#This Row],[Grade_gpt]]=""),0,tblMovement[[#This Row],[Tonnes_t]]*tblMovement[[#This Row],[Grade_gpt]]/cfg_TroyOz)</f>
        <v/>
      </c>
      <c r="O1775" s="59">
        <f>IF(tblMovement[[#This Row],[Is_Ore]]=1,tblMovement[[#This Row],[Contained_oz]],0)</f>
        <v/>
      </c>
    </row>
    <row r="1776">
      <c r="A1776" s="54" t="n"/>
      <c r="B1776" s="61" t="n"/>
      <c r="C1776" s="61" t="n"/>
      <c r="D1776" s="61" t="n"/>
      <c r="E1776" s="61" t="n"/>
      <c r="F1776" s="55" t="n"/>
      <c r="G1776" s="56" t="n"/>
      <c r="H1776" s="55" t="n"/>
      <c r="I1776" s="62" t="n"/>
      <c r="J1776" s="58" t="n"/>
      <c r="K1776" s="63">
        <f>IF(tblMovement[[#This Row],[Source]]="","",IFERROR(INDEX(tblSources[Type],MATCH(tblMovement[[#This Row],[Source]],tblSources[Source],0)),"?"))</f>
        <v/>
      </c>
      <c r="L1776" s="63">
        <f>IF(tblMovement[[#This Row],[Destination]]="","",IFERROR(INDEX(tblDestinations[Type],MATCH(tblMovement[[#This Row],[Destination]],tblDestinations[Destination],0)),"?"))</f>
        <v/>
      </c>
      <c r="M1776" s="64">
        <f>IF(tblMovement[[#This Row],[Material]]="","",IF(LEFT(tblMovement[[#This Row],[Material]],3)="Ore",1,0))</f>
        <v/>
      </c>
      <c r="N1776" s="59">
        <f>IF(OR(tblMovement[[#This Row],[Tonnes_t]]="",tblMovement[[#This Row],[Grade_gpt]]=""),0,tblMovement[[#This Row],[Tonnes_t]]*tblMovement[[#This Row],[Grade_gpt]]/cfg_TroyOz)</f>
        <v/>
      </c>
      <c r="O1776" s="59">
        <f>IF(tblMovement[[#This Row],[Is_Ore]]=1,tblMovement[[#This Row],[Contained_oz]],0)</f>
        <v/>
      </c>
    </row>
    <row r="1777">
      <c r="A1777" s="54" t="n"/>
      <c r="B1777" s="61" t="n"/>
      <c r="C1777" s="61" t="n"/>
      <c r="D1777" s="61" t="n"/>
      <c r="E1777" s="61" t="n"/>
      <c r="F1777" s="55" t="n"/>
      <c r="G1777" s="56" t="n"/>
      <c r="H1777" s="55" t="n"/>
      <c r="I1777" s="62" t="n"/>
      <c r="J1777" s="58" t="n"/>
      <c r="K1777" s="63">
        <f>IF(tblMovement[[#This Row],[Source]]="","",IFERROR(INDEX(tblSources[Type],MATCH(tblMovement[[#This Row],[Source]],tblSources[Source],0)),"?"))</f>
        <v/>
      </c>
      <c r="L1777" s="63">
        <f>IF(tblMovement[[#This Row],[Destination]]="","",IFERROR(INDEX(tblDestinations[Type],MATCH(tblMovement[[#This Row],[Destination]],tblDestinations[Destination],0)),"?"))</f>
        <v/>
      </c>
      <c r="M1777" s="64">
        <f>IF(tblMovement[[#This Row],[Material]]="","",IF(LEFT(tblMovement[[#This Row],[Material]],3)="Ore",1,0))</f>
        <v/>
      </c>
      <c r="N1777" s="59">
        <f>IF(OR(tblMovement[[#This Row],[Tonnes_t]]="",tblMovement[[#This Row],[Grade_gpt]]=""),0,tblMovement[[#This Row],[Tonnes_t]]*tblMovement[[#This Row],[Grade_gpt]]/cfg_TroyOz)</f>
        <v/>
      </c>
      <c r="O1777" s="59">
        <f>IF(tblMovement[[#This Row],[Is_Ore]]=1,tblMovement[[#This Row],[Contained_oz]],0)</f>
        <v/>
      </c>
    </row>
    <row r="1778">
      <c r="A1778" s="54" t="n"/>
      <c r="B1778" s="61" t="n"/>
      <c r="C1778" s="61" t="n"/>
      <c r="D1778" s="61" t="n"/>
      <c r="E1778" s="61" t="n"/>
      <c r="F1778" s="55" t="n"/>
      <c r="G1778" s="56" t="n"/>
      <c r="H1778" s="55" t="n"/>
      <c r="I1778" s="62" t="n"/>
      <c r="J1778" s="58" t="n"/>
      <c r="K1778" s="63">
        <f>IF(tblMovement[[#This Row],[Source]]="","",IFERROR(INDEX(tblSources[Type],MATCH(tblMovement[[#This Row],[Source]],tblSources[Source],0)),"?"))</f>
        <v/>
      </c>
      <c r="L1778" s="63">
        <f>IF(tblMovement[[#This Row],[Destination]]="","",IFERROR(INDEX(tblDestinations[Type],MATCH(tblMovement[[#This Row],[Destination]],tblDestinations[Destination],0)),"?"))</f>
        <v/>
      </c>
      <c r="M1778" s="64">
        <f>IF(tblMovement[[#This Row],[Material]]="","",IF(LEFT(tblMovement[[#This Row],[Material]],3)="Ore",1,0))</f>
        <v/>
      </c>
      <c r="N1778" s="59">
        <f>IF(OR(tblMovement[[#This Row],[Tonnes_t]]="",tblMovement[[#This Row],[Grade_gpt]]=""),0,tblMovement[[#This Row],[Tonnes_t]]*tblMovement[[#This Row],[Grade_gpt]]/cfg_TroyOz)</f>
        <v/>
      </c>
      <c r="O1778" s="59">
        <f>IF(tblMovement[[#This Row],[Is_Ore]]=1,tblMovement[[#This Row],[Contained_oz]],0)</f>
        <v/>
      </c>
    </row>
    <row r="1779">
      <c r="A1779" s="54" t="n"/>
      <c r="B1779" s="61" t="n"/>
      <c r="C1779" s="61" t="n"/>
      <c r="D1779" s="61" t="n"/>
      <c r="E1779" s="61" t="n"/>
      <c r="F1779" s="55" t="n"/>
      <c r="G1779" s="56" t="n"/>
      <c r="H1779" s="55" t="n"/>
      <c r="I1779" s="62" t="n"/>
      <c r="J1779" s="58" t="n"/>
      <c r="K1779" s="63">
        <f>IF(tblMovement[[#This Row],[Source]]="","",IFERROR(INDEX(tblSources[Type],MATCH(tblMovement[[#This Row],[Source]],tblSources[Source],0)),"?"))</f>
        <v/>
      </c>
      <c r="L1779" s="63">
        <f>IF(tblMovement[[#This Row],[Destination]]="","",IFERROR(INDEX(tblDestinations[Type],MATCH(tblMovement[[#This Row],[Destination]],tblDestinations[Destination],0)),"?"))</f>
        <v/>
      </c>
      <c r="M1779" s="64">
        <f>IF(tblMovement[[#This Row],[Material]]="","",IF(LEFT(tblMovement[[#This Row],[Material]],3)="Ore",1,0))</f>
        <v/>
      </c>
      <c r="N1779" s="59">
        <f>IF(OR(tblMovement[[#This Row],[Tonnes_t]]="",tblMovement[[#This Row],[Grade_gpt]]=""),0,tblMovement[[#This Row],[Tonnes_t]]*tblMovement[[#This Row],[Grade_gpt]]/cfg_TroyOz)</f>
        <v/>
      </c>
      <c r="O1779" s="59">
        <f>IF(tblMovement[[#This Row],[Is_Ore]]=1,tblMovement[[#This Row],[Contained_oz]],0)</f>
        <v/>
      </c>
    </row>
    <row r="1780">
      <c r="A1780" s="54" t="n"/>
      <c r="B1780" s="61" t="n"/>
      <c r="C1780" s="61" t="n"/>
      <c r="D1780" s="61" t="n"/>
      <c r="E1780" s="61" t="n"/>
      <c r="F1780" s="55" t="n"/>
      <c r="G1780" s="56" t="n"/>
      <c r="H1780" s="55" t="n"/>
      <c r="I1780" s="62" t="n"/>
      <c r="J1780" s="58" t="n"/>
      <c r="K1780" s="63">
        <f>IF(tblMovement[[#This Row],[Source]]="","",IFERROR(INDEX(tblSources[Type],MATCH(tblMovement[[#This Row],[Source]],tblSources[Source],0)),"?"))</f>
        <v/>
      </c>
      <c r="L1780" s="63">
        <f>IF(tblMovement[[#This Row],[Destination]]="","",IFERROR(INDEX(tblDestinations[Type],MATCH(tblMovement[[#This Row],[Destination]],tblDestinations[Destination],0)),"?"))</f>
        <v/>
      </c>
      <c r="M1780" s="64">
        <f>IF(tblMovement[[#This Row],[Material]]="","",IF(LEFT(tblMovement[[#This Row],[Material]],3)="Ore",1,0))</f>
        <v/>
      </c>
      <c r="N1780" s="59">
        <f>IF(OR(tblMovement[[#This Row],[Tonnes_t]]="",tblMovement[[#This Row],[Grade_gpt]]=""),0,tblMovement[[#This Row],[Tonnes_t]]*tblMovement[[#This Row],[Grade_gpt]]/cfg_TroyOz)</f>
        <v/>
      </c>
      <c r="O1780" s="59">
        <f>IF(tblMovement[[#This Row],[Is_Ore]]=1,tblMovement[[#This Row],[Contained_oz]],0)</f>
        <v/>
      </c>
    </row>
    <row r="1781">
      <c r="A1781" s="54" t="n"/>
      <c r="B1781" s="61" t="n"/>
      <c r="C1781" s="61" t="n"/>
      <c r="D1781" s="61" t="n"/>
      <c r="E1781" s="61" t="n"/>
      <c r="F1781" s="55" t="n"/>
      <c r="G1781" s="56" t="n"/>
      <c r="H1781" s="55" t="n"/>
      <c r="I1781" s="62" t="n"/>
      <c r="J1781" s="58" t="n"/>
      <c r="K1781" s="63">
        <f>IF(tblMovement[[#This Row],[Source]]="","",IFERROR(INDEX(tblSources[Type],MATCH(tblMovement[[#This Row],[Source]],tblSources[Source],0)),"?"))</f>
        <v/>
      </c>
      <c r="L1781" s="63">
        <f>IF(tblMovement[[#This Row],[Destination]]="","",IFERROR(INDEX(tblDestinations[Type],MATCH(tblMovement[[#This Row],[Destination]],tblDestinations[Destination],0)),"?"))</f>
        <v/>
      </c>
      <c r="M1781" s="64">
        <f>IF(tblMovement[[#This Row],[Material]]="","",IF(LEFT(tblMovement[[#This Row],[Material]],3)="Ore",1,0))</f>
        <v/>
      </c>
      <c r="N1781" s="59">
        <f>IF(OR(tblMovement[[#This Row],[Tonnes_t]]="",tblMovement[[#This Row],[Grade_gpt]]=""),0,tblMovement[[#This Row],[Tonnes_t]]*tblMovement[[#This Row],[Grade_gpt]]/cfg_TroyOz)</f>
        <v/>
      </c>
      <c r="O1781" s="59">
        <f>IF(tblMovement[[#This Row],[Is_Ore]]=1,tblMovement[[#This Row],[Contained_oz]],0)</f>
        <v/>
      </c>
    </row>
    <row r="1782">
      <c r="A1782" s="54" t="n"/>
      <c r="B1782" s="61" t="n"/>
      <c r="C1782" s="61" t="n"/>
      <c r="D1782" s="61" t="n"/>
      <c r="E1782" s="61" t="n"/>
      <c r="F1782" s="55" t="n"/>
      <c r="G1782" s="56" t="n"/>
      <c r="H1782" s="55" t="n"/>
      <c r="I1782" s="62" t="n"/>
      <c r="J1782" s="58" t="n"/>
      <c r="K1782" s="63">
        <f>IF(tblMovement[[#This Row],[Source]]="","",IFERROR(INDEX(tblSources[Type],MATCH(tblMovement[[#This Row],[Source]],tblSources[Source],0)),"?"))</f>
        <v/>
      </c>
      <c r="L1782" s="63">
        <f>IF(tblMovement[[#This Row],[Destination]]="","",IFERROR(INDEX(tblDestinations[Type],MATCH(tblMovement[[#This Row],[Destination]],tblDestinations[Destination],0)),"?"))</f>
        <v/>
      </c>
      <c r="M1782" s="64">
        <f>IF(tblMovement[[#This Row],[Material]]="","",IF(LEFT(tblMovement[[#This Row],[Material]],3)="Ore",1,0))</f>
        <v/>
      </c>
      <c r="N1782" s="59">
        <f>IF(OR(tblMovement[[#This Row],[Tonnes_t]]="",tblMovement[[#This Row],[Grade_gpt]]=""),0,tblMovement[[#This Row],[Tonnes_t]]*tblMovement[[#This Row],[Grade_gpt]]/cfg_TroyOz)</f>
        <v/>
      </c>
      <c r="O1782" s="59">
        <f>IF(tblMovement[[#This Row],[Is_Ore]]=1,tblMovement[[#This Row],[Contained_oz]],0)</f>
        <v/>
      </c>
    </row>
    <row r="1783">
      <c r="A1783" s="54" t="n"/>
      <c r="B1783" s="61" t="n"/>
      <c r="C1783" s="61" t="n"/>
      <c r="D1783" s="61" t="n"/>
      <c r="E1783" s="61" t="n"/>
      <c r="F1783" s="55" t="n"/>
      <c r="G1783" s="56" t="n"/>
      <c r="H1783" s="55" t="n"/>
      <c r="I1783" s="62" t="n"/>
      <c r="J1783" s="58" t="n"/>
      <c r="K1783" s="63">
        <f>IF(tblMovement[[#This Row],[Source]]="","",IFERROR(INDEX(tblSources[Type],MATCH(tblMovement[[#This Row],[Source]],tblSources[Source],0)),"?"))</f>
        <v/>
      </c>
      <c r="L1783" s="63">
        <f>IF(tblMovement[[#This Row],[Destination]]="","",IFERROR(INDEX(tblDestinations[Type],MATCH(tblMovement[[#This Row],[Destination]],tblDestinations[Destination],0)),"?"))</f>
        <v/>
      </c>
      <c r="M1783" s="64">
        <f>IF(tblMovement[[#This Row],[Material]]="","",IF(LEFT(tblMovement[[#This Row],[Material]],3)="Ore",1,0))</f>
        <v/>
      </c>
      <c r="N1783" s="59">
        <f>IF(OR(tblMovement[[#This Row],[Tonnes_t]]="",tblMovement[[#This Row],[Grade_gpt]]=""),0,tblMovement[[#This Row],[Tonnes_t]]*tblMovement[[#This Row],[Grade_gpt]]/cfg_TroyOz)</f>
        <v/>
      </c>
      <c r="O1783" s="59">
        <f>IF(tblMovement[[#This Row],[Is_Ore]]=1,tblMovement[[#This Row],[Contained_oz]],0)</f>
        <v/>
      </c>
    </row>
    <row r="1784">
      <c r="A1784" s="54" t="n"/>
      <c r="B1784" s="61" t="n"/>
      <c r="C1784" s="61" t="n"/>
      <c r="D1784" s="61" t="n"/>
      <c r="E1784" s="61" t="n"/>
      <c r="F1784" s="55" t="n"/>
      <c r="G1784" s="56" t="n"/>
      <c r="H1784" s="55" t="n"/>
      <c r="I1784" s="62" t="n"/>
      <c r="J1784" s="58" t="n"/>
      <c r="K1784" s="63">
        <f>IF(tblMovement[[#This Row],[Source]]="","",IFERROR(INDEX(tblSources[Type],MATCH(tblMovement[[#This Row],[Source]],tblSources[Source],0)),"?"))</f>
        <v/>
      </c>
      <c r="L1784" s="63">
        <f>IF(tblMovement[[#This Row],[Destination]]="","",IFERROR(INDEX(tblDestinations[Type],MATCH(tblMovement[[#This Row],[Destination]],tblDestinations[Destination],0)),"?"))</f>
        <v/>
      </c>
      <c r="M1784" s="64">
        <f>IF(tblMovement[[#This Row],[Material]]="","",IF(LEFT(tblMovement[[#This Row],[Material]],3)="Ore",1,0))</f>
        <v/>
      </c>
      <c r="N1784" s="59">
        <f>IF(OR(tblMovement[[#This Row],[Tonnes_t]]="",tblMovement[[#This Row],[Grade_gpt]]=""),0,tblMovement[[#This Row],[Tonnes_t]]*tblMovement[[#This Row],[Grade_gpt]]/cfg_TroyOz)</f>
        <v/>
      </c>
      <c r="O1784" s="59">
        <f>IF(tblMovement[[#This Row],[Is_Ore]]=1,tblMovement[[#This Row],[Contained_oz]],0)</f>
        <v/>
      </c>
    </row>
    <row r="1785">
      <c r="A1785" s="54" t="n"/>
      <c r="B1785" s="61" t="n"/>
      <c r="C1785" s="61" t="n"/>
      <c r="D1785" s="61" t="n"/>
      <c r="E1785" s="61" t="n"/>
      <c r="F1785" s="55" t="n"/>
      <c r="G1785" s="56" t="n"/>
      <c r="H1785" s="55" t="n"/>
      <c r="I1785" s="62" t="n"/>
      <c r="J1785" s="58" t="n"/>
      <c r="K1785" s="63">
        <f>IF(tblMovement[[#This Row],[Source]]="","",IFERROR(INDEX(tblSources[Type],MATCH(tblMovement[[#This Row],[Source]],tblSources[Source],0)),"?"))</f>
        <v/>
      </c>
      <c r="L1785" s="63">
        <f>IF(tblMovement[[#This Row],[Destination]]="","",IFERROR(INDEX(tblDestinations[Type],MATCH(tblMovement[[#This Row],[Destination]],tblDestinations[Destination],0)),"?"))</f>
        <v/>
      </c>
      <c r="M1785" s="64">
        <f>IF(tblMovement[[#This Row],[Material]]="","",IF(LEFT(tblMovement[[#This Row],[Material]],3)="Ore",1,0))</f>
        <v/>
      </c>
      <c r="N1785" s="59">
        <f>IF(OR(tblMovement[[#This Row],[Tonnes_t]]="",tblMovement[[#This Row],[Grade_gpt]]=""),0,tblMovement[[#This Row],[Tonnes_t]]*tblMovement[[#This Row],[Grade_gpt]]/cfg_TroyOz)</f>
        <v/>
      </c>
      <c r="O1785" s="59">
        <f>IF(tblMovement[[#This Row],[Is_Ore]]=1,tblMovement[[#This Row],[Contained_oz]],0)</f>
        <v/>
      </c>
    </row>
    <row r="1786">
      <c r="A1786" s="54" t="n"/>
      <c r="B1786" s="61" t="n"/>
      <c r="C1786" s="61" t="n"/>
      <c r="D1786" s="61" t="n"/>
      <c r="E1786" s="61" t="n"/>
      <c r="F1786" s="55" t="n"/>
      <c r="G1786" s="56" t="n"/>
      <c r="H1786" s="55" t="n"/>
      <c r="I1786" s="62" t="n"/>
      <c r="J1786" s="58" t="n"/>
      <c r="K1786" s="63">
        <f>IF(tblMovement[[#This Row],[Source]]="","",IFERROR(INDEX(tblSources[Type],MATCH(tblMovement[[#This Row],[Source]],tblSources[Source],0)),"?"))</f>
        <v/>
      </c>
      <c r="L1786" s="63">
        <f>IF(tblMovement[[#This Row],[Destination]]="","",IFERROR(INDEX(tblDestinations[Type],MATCH(tblMovement[[#This Row],[Destination]],tblDestinations[Destination],0)),"?"))</f>
        <v/>
      </c>
      <c r="M1786" s="64">
        <f>IF(tblMovement[[#This Row],[Material]]="","",IF(LEFT(tblMovement[[#This Row],[Material]],3)="Ore",1,0))</f>
        <v/>
      </c>
      <c r="N1786" s="59">
        <f>IF(OR(tblMovement[[#This Row],[Tonnes_t]]="",tblMovement[[#This Row],[Grade_gpt]]=""),0,tblMovement[[#This Row],[Tonnes_t]]*tblMovement[[#This Row],[Grade_gpt]]/cfg_TroyOz)</f>
        <v/>
      </c>
      <c r="O1786" s="59">
        <f>IF(tblMovement[[#This Row],[Is_Ore]]=1,tblMovement[[#This Row],[Contained_oz]],0)</f>
        <v/>
      </c>
    </row>
    <row r="1787">
      <c r="A1787" s="54" t="n"/>
      <c r="B1787" s="61" t="n"/>
      <c r="C1787" s="61" t="n"/>
      <c r="D1787" s="61" t="n"/>
      <c r="E1787" s="61" t="n"/>
      <c r="F1787" s="55" t="n"/>
      <c r="G1787" s="56" t="n"/>
      <c r="H1787" s="55" t="n"/>
      <c r="I1787" s="62" t="n"/>
      <c r="J1787" s="58" t="n"/>
      <c r="K1787" s="63">
        <f>IF(tblMovement[[#This Row],[Source]]="","",IFERROR(INDEX(tblSources[Type],MATCH(tblMovement[[#This Row],[Source]],tblSources[Source],0)),"?"))</f>
        <v/>
      </c>
      <c r="L1787" s="63">
        <f>IF(tblMovement[[#This Row],[Destination]]="","",IFERROR(INDEX(tblDestinations[Type],MATCH(tblMovement[[#This Row],[Destination]],tblDestinations[Destination],0)),"?"))</f>
        <v/>
      </c>
      <c r="M1787" s="64">
        <f>IF(tblMovement[[#This Row],[Material]]="","",IF(LEFT(tblMovement[[#This Row],[Material]],3)="Ore",1,0))</f>
        <v/>
      </c>
      <c r="N1787" s="59">
        <f>IF(OR(tblMovement[[#This Row],[Tonnes_t]]="",tblMovement[[#This Row],[Grade_gpt]]=""),0,tblMovement[[#This Row],[Tonnes_t]]*tblMovement[[#This Row],[Grade_gpt]]/cfg_TroyOz)</f>
        <v/>
      </c>
      <c r="O1787" s="59">
        <f>IF(tblMovement[[#This Row],[Is_Ore]]=1,tblMovement[[#This Row],[Contained_oz]],0)</f>
        <v/>
      </c>
    </row>
    <row r="1788">
      <c r="A1788" s="54" t="n"/>
      <c r="B1788" s="61" t="n"/>
      <c r="C1788" s="61" t="n"/>
      <c r="D1788" s="61" t="n"/>
      <c r="E1788" s="61" t="n"/>
      <c r="F1788" s="55" t="n"/>
      <c r="G1788" s="56" t="n"/>
      <c r="H1788" s="55" t="n"/>
      <c r="I1788" s="62" t="n"/>
      <c r="J1788" s="58" t="n"/>
      <c r="K1788" s="63">
        <f>IF(tblMovement[[#This Row],[Source]]="","",IFERROR(INDEX(tblSources[Type],MATCH(tblMovement[[#This Row],[Source]],tblSources[Source],0)),"?"))</f>
        <v/>
      </c>
      <c r="L1788" s="63">
        <f>IF(tblMovement[[#This Row],[Destination]]="","",IFERROR(INDEX(tblDestinations[Type],MATCH(tblMovement[[#This Row],[Destination]],tblDestinations[Destination],0)),"?"))</f>
        <v/>
      </c>
      <c r="M1788" s="64">
        <f>IF(tblMovement[[#This Row],[Material]]="","",IF(LEFT(tblMovement[[#This Row],[Material]],3)="Ore",1,0))</f>
        <v/>
      </c>
      <c r="N1788" s="59">
        <f>IF(OR(tblMovement[[#This Row],[Tonnes_t]]="",tblMovement[[#This Row],[Grade_gpt]]=""),0,tblMovement[[#This Row],[Tonnes_t]]*tblMovement[[#This Row],[Grade_gpt]]/cfg_TroyOz)</f>
        <v/>
      </c>
      <c r="O1788" s="59">
        <f>IF(tblMovement[[#This Row],[Is_Ore]]=1,tblMovement[[#This Row],[Contained_oz]],0)</f>
        <v/>
      </c>
    </row>
    <row r="1789">
      <c r="A1789" s="54" t="n"/>
      <c r="B1789" s="61" t="n"/>
      <c r="C1789" s="61" t="n"/>
      <c r="D1789" s="61" t="n"/>
      <c r="E1789" s="61" t="n"/>
      <c r="F1789" s="55" t="n"/>
      <c r="G1789" s="56" t="n"/>
      <c r="H1789" s="55" t="n"/>
      <c r="I1789" s="62" t="n"/>
      <c r="J1789" s="58" t="n"/>
      <c r="K1789" s="63">
        <f>IF(tblMovement[[#This Row],[Source]]="","",IFERROR(INDEX(tblSources[Type],MATCH(tblMovement[[#This Row],[Source]],tblSources[Source],0)),"?"))</f>
        <v/>
      </c>
      <c r="L1789" s="63">
        <f>IF(tblMovement[[#This Row],[Destination]]="","",IFERROR(INDEX(tblDestinations[Type],MATCH(tblMovement[[#This Row],[Destination]],tblDestinations[Destination],0)),"?"))</f>
        <v/>
      </c>
      <c r="M1789" s="64">
        <f>IF(tblMovement[[#This Row],[Material]]="","",IF(LEFT(tblMovement[[#This Row],[Material]],3)="Ore",1,0))</f>
        <v/>
      </c>
      <c r="N1789" s="59">
        <f>IF(OR(tblMovement[[#This Row],[Tonnes_t]]="",tblMovement[[#This Row],[Grade_gpt]]=""),0,tblMovement[[#This Row],[Tonnes_t]]*tblMovement[[#This Row],[Grade_gpt]]/cfg_TroyOz)</f>
        <v/>
      </c>
      <c r="O1789" s="59">
        <f>IF(tblMovement[[#This Row],[Is_Ore]]=1,tblMovement[[#This Row],[Contained_oz]],0)</f>
        <v/>
      </c>
    </row>
    <row r="1790">
      <c r="A1790" s="54" t="n"/>
      <c r="B1790" s="61" t="n"/>
      <c r="C1790" s="61" t="n"/>
      <c r="D1790" s="61" t="n"/>
      <c r="E1790" s="61" t="n"/>
      <c r="F1790" s="55" t="n"/>
      <c r="G1790" s="56" t="n"/>
      <c r="H1790" s="55" t="n"/>
      <c r="I1790" s="62" t="n"/>
      <c r="J1790" s="58" t="n"/>
      <c r="K1790" s="63">
        <f>IF(tblMovement[[#This Row],[Source]]="","",IFERROR(INDEX(tblSources[Type],MATCH(tblMovement[[#This Row],[Source]],tblSources[Source],0)),"?"))</f>
        <v/>
      </c>
      <c r="L1790" s="63">
        <f>IF(tblMovement[[#This Row],[Destination]]="","",IFERROR(INDEX(tblDestinations[Type],MATCH(tblMovement[[#This Row],[Destination]],tblDestinations[Destination],0)),"?"))</f>
        <v/>
      </c>
      <c r="M1790" s="64">
        <f>IF(tblMovement[[#This Row],[Material]]="","",IF(LEFT(tblMovement[[#This Row],[Material]],3)="Ore",1,0))</f>
        <v/>
      </c>
      <c r="N1790" s="59">
        <f>IF(OR(tblMovement[[#This Row],[Tonnes_t]]="",tblMovement[[#This Row],[Grade_gpt]]=""),0,tblMovement[[#This Row],[Tonnes_t]]*tblMovement[[#This Row],[Grade_gpt]]/cfg_TroyOz)</f>
        <v/>
      </c>
      <c r="O1790" s="59">
        <f>IF(tblMovement[[#This Row],[Is_Ore]]=1,tblMovement[[#This Row],[Contained_oz]],0)</f>
        <v/>
      </c>
    </row>
    <row r="1791">
      <c r="A1791" s="54" t="n"/>
      <c r="B1791" s="61" t="n"/>
      <c r="C1791" s="61" t="n"/>
      <c r="D1791" s="61" t="n"/>
      <c r="E1791" s="61" t="n"/>
      <c r="F1791" s="55" t="n"/>
      <c r="G1791" s="56" t="n"/>
      <c r="H1791" s="55" t="n"/>
      <c r="I1791" s="62" t="n"/>
      <c r="J1791" s="58" t="n"/>
      <c r="K1791" s="63">
        <f>IF(tblMovement[[#This Row],[Source]]="","",IFERROR(INDEX(tblSources[Type],MATCH(tblMovement[[#This Row],[Source]],tblSources[Source],0)),"?"))</f>
        <v/>
      </c>
      <c r="L1791" s="63">
        <f>IF(tblMovement[[#This Row],[Destination]]="","",IFERROR(INDEX(tblDestinations[Type],MATCH(tblMovement[[#This Row],[Destination]],tblDestinations[Destination],0)),"?"))</f>
        <v/>
      </c>
      <c r="M1791" s="64">
        <f>IF(tblMovement[[#This Row],[Material]]="","",IF(LEFT(tblMovement[[#This Row],[Material]],3)="Ore",1,0))</f>
        <v/>
      </c>
      <c r="N1791" s="59">
        <f>IF(OR(tblMovement[[#This Row],[Tonnes_t]]="",tblMovement[[#This Row],[Grade_gpt]]=""),0,tblMovement[[#This Row],[Tonnes_t]]*tblMovement[[#This Row],[Grade_gpt]]/cfg_TroyOz)</f>
        <v/>
      </c>
      <c r="O1791" s="59">
        <f>IF(tblMovement[[#This Row],[Is_Ore]]=1,tblMovement[[#This Row],[Contained_oz]],0)</f>
        <v/>
      </c>
    </row>
    <row r="1792">
      <c r="A1792" s="54" t="n"/>
      <c r="B1792" s="61" t="n"/>
      <c r="C1792" s="61" t="n"/>
      <c r="D1792" s="61" t="n"/>
      <c r="E1792" s="61" t="n"/>
      <c r="F1792" s="55" t="n"/>
      <c r="G1792" s="56" t="n"/>
      <c r="H1792" s="55" t="n"/>
      <c r="I1792" s="62" t="n"/>
      <c r="J1792" s="58" t="n"/>
      <c r="K1792" s="63">
        <f>IF(tblMovement[[#This Row],[Source]]="","",IFERROR(INDEX(tblSources[Type],MATCH(tblMovement[[#This Row],[Source]],tblSources[Source],0)),"?"))</f>
        <v/>
      </c>
      <c r="L1792" s="63">
        <f>IF(tblMovement[[#This Row],[Destination]]="","",IFERROR(INDEX(tblDestinations[Type],MATCH(tblMovement[[#This Row],[Destination]],tblDestinations[Destination],0)),"?"))</f>
        <v/>
      </c>
      <c r="M1792" s="64">
        <f>IF(tblMovement[[#This Row],[Material]]="","",IF(LEFT(tblMovement[[#This Row],[Material]],3)="Ore",1,0))</f>
        <v/>
      </c>
      <c r="N1792" s="59">
        <f>IF(OR(tblMovement[[#This Row],[Tonnes_t]]="",tblMovement[[#This Row],[Grade_gpt]]=""),0,tblMovement[[#This Row],[Tonnes_t]]*tblMovement[[#This Row],[Grade_gpt]]/cfg_TroyOz)</f>
        <v/>
      </c>
      <c r="O1792" s="59">
        <f>IF(tblMovement[[#This Row],[Is_Ore]]=1,tblMovement[[#This Row],[Contained_oz]],0)</f>
        <v/>
      </c>
    </row>
    <row r="1793">
      <c r="A1793" s="54" t="n"/>
      <c r="B1793" s="61" t="n"/>
      <c r="C1793" s="61" t="n"/>
      <c r="D1793" s="61" t="n"/>
      <c r="E1793" s="61" t="n"/>
      <c r="F1793" s="55" t="n"/>
      <c r="G1793" s="56" t="n"/>
      <c r="H1793" s="55" t="n"/>
      <c r="I1793" s="62" t="n"/>
      <c r="J1793" s="58" t="n"/>
      <c r="K1793" s="63">
        <f>IF(tblMovement[[#This Row],[Source]]="","",IFERROR(INDEX(tblSources[Type],MATCH(tblMovement[[#This Row],[Source]],tblSources[Source],0)),"?"))</f>
        <v/>
      </c>
      <c r="L1793" s="63">
        <f>IF(tblMovement[[#This Row],[Destination]]="","",IFERROR(INDEX(tblDestinations[Type],MATCH(tblMovement[[#This Row],[Destination]],tblDestinations[Destination],0)),"?"))</f>
        <v/>
      </c>
      <c r="M1793" s="64">
        <f>IF(tblMovement[[#This Row],[Material]]="","",IF(LEFT(tblMovement[[#This Row],[Material]],3)="Ore",1,0))</f>
        <v/>
      </c>
      <c r="N1793" s="59">
        <f>IF(OR(tblMovement[[#This Row],[Tonnes_t]]="",tblMovement[[#This Row],[Grade_gpt]]=""),0,tblMovement[[#This Row],[Tonnes_t]]*tblMovement[[#This Row],[Grade_gpt]]/cfg_TroyOz)</f>
        <v/>
      </c>
      <c r="O1793" s="59">
        <f>IF(tblMovement[[#This Row],[Is_Ore]]=1,tblMovement[[#This Row],[Contained_oz]],0)</f>
        <v/>
      </c>
    </row>
    <row r="1794">
      <c r="A1794" s="54" t="n"/>
      <c r="B1794" s="61" t="n"/>
      <c r="C1794" s="61" t="n"/>
      <c r="D1794" s="61" t="n"/>
      <c r="E1794" s="61" t="n"/>
      <c r="F1794" s="55" t="n"/>
      <c r="G1794" s="56" t="n"/>
      <c r="H1794" s="55" t="n"/>
      <c r="I1794" s="62" t="n"/>
      <c r="J1794" s="58" t="n"/>
      <c r="K1794" s="63">
        <f>IF(tblMovement[[#This Row],[Source]]="","",IFERROR(INDEX(tblSources[Type],MATCH(tblMovement[[#This Row],[Source]],tblSources[Source],0)),"?"))</f>
        <v/>
      </c>
      <c r="L1794" s="63">
        <f>IF(tblMovement[[#This Row],[Destination]]="","",IFERROR(INDEX(tblDestinations[Type],MATCH(tblMovement[[#This Row],[Destination]],tblDestinations[Destination],0)),"?"))</f>
        <v/>
      </c>
      <c r="M1794" s="64">
        <f>IF(tblMovement[[#This Row],[Material]]="","",IF(LEFT(tblMovement[[#This Row],[Material]],3)="Ore",1,0))</f>
        <v/>
      </c>
      <c r="N1794" s="59">
        <f>IF(OR(tblMovement[[#This Row],[Tonnes_t]]="",tblMovement[[#This Row],[Grade_gpt]]=""),0,tblMovement[[#This Row],[Tonnes_t]]*tblMovement[[#This Row],[Grade_gpt]]/cfg_TroyOz)</f>
        <v/>
      </c>
      <c r="O1794" s="59">
        <f>IF(tblMovement[[#This Row],[Is_Ore]]=1,tblMovement[[#This Row],[Contained_oz]],0)</f>
        <v/>
      </c>
    </row>
    <row r="1795">
      <c r="A1795" s="54" t="n"/>
      <c r="B1795" s="61" t="n"/>
      <c r="C1795" s="61" t="n"/>
      <c r="D1795" s="61" t="n"/>
      <c r="E1795" s="61" t="n"/>
      <c r="F1795" s="55" t="n"/>
      <c r="G1795" s="56" t="n"/>
      <c r="H1795" s="55" t="n"/>
      <c r="I1795" s="62" t="n"/>
      <c r="J1795" s="58" t="n"/>
      <c r="K1795" s="63">
        <f>IF(tblMovement[[#This Row],[Source]]="","",IFERROR(INDEX(tblSources[Type],MATCH(tblMovement[[#This Row],[Source]],tblSources[Source],0)),"?"))</f>
        <v/>
      </c>
      <c r="L1795" s="63">
        <f>IF(tblMovement[[#This Row],[Destination]]="","",IFERROR(INDEX(tblDestinations[Type],MATCH(tblMovement[[#This Row],[Destination]],tblDestinations[Destination],0)),"?"))</f>
        <v/>
      </c>
      <c r="M1795" s="64">
        <f>IF(tblMovement[[#This Row],[Material]]="","",IF(LEFT(tblMovement[[#This Row],[Material]],3)="Ore",1,0))</f>
        <v/>
      </c>
      <c r="N1795" s="59">
        <f>IF(OR(tblMovement[[#This Row],[Tonnes_t]]="",tblMovement[[#This Row],[Grade_gpt]]=""),0,tblMovement[[#This Row],[Tonnes_t]]*tblMovement[[#This Row],[Grade_gpt]]/cfg_TroyOz)</f>
        <v/>
      </c>
      <c r="O1795" s="59">
        <f>IF(tblMovement[[#This Row],[Is_Ore]]=1,tblMovement[[#This Row],[Contained_oz]],0)</f>
        <v/>
      </c>
    </row>
    <row r="1796">
      <c r="A1796" s="54" t="n"/>
      <c r="B1796" s="61" t="n"/>
      <c r="C1796" s="61" t="n"/>
      <c r="D1796" s="61" t="n"/>
      <c r="E1796" s="61" t="n"/>
      <c r="F1796" s="55" t="n"/>
      <c r="G1796" s="56" t="n"/>
      <c r="H1796" s="55" t="n"/>
      <c r="I1796" s="62" t="n"/>
      <c r="J1796" s="58" t="n"/>
      <c r="K1796" s="63">
        <f>IF(tblMovement[[#This Row],[Source]]="","",IFERROR(INDEX(tblSources[Type],MATCH(tblMovement[[#This Row],[Source]],tblSources[Source],0)),"?"))</f>
        <v/>
      </c>
      <c r="L1796" s="63">
        <f>IF(tblMovement[[#This Row],[Destination]]="","",IFERROR(INDEX(tblDestinations[Type],MATCH(tblMovement[[#This Row],[Destination]],tblDestinations[Destination],0)),"?"))</f>
        <v/>
      </c>
      <c r="M1796" s="64">
        <f>IF(tblMovement[[#This Row],[Material]]="","",IF(LEFT(tblMovement[[#This Row],[Material]],3)="Ore",1,0))</f>
        <v/>
      </c>
      <c r="N1796" s="59">
        <f>IF(OR(tblMovement[[#This Row],[Tonnes_t]]="",tblMovement[[#This Row],[Grade_gpt]]=""),0,tblMovement[[#This Row],[Tonnes_t]]*tblMovement[[#This Row],[Grade_gpt]]/cfg_TroyOz)</f>
        <v/>
      </c>
      <c r="O1796" s="59">
        <f>IF(tblMovement[[#This Row],[Is_Ore]]=1,tblMovement[[#This Row],[Contained_oz]],0)</f>
        <v/>
      </c>
    </row>
    <row r="1797">
      <c r="A1797" s="54" t="n"/>
      <c r="B1797" s="61" t="n"/>
      <c r="C1797" s="61" t="n"/>
      <c r="D1797" s="61" t="n"/>
      <c r="E1797" s="61" t="n"/>
      <c r="F1797" s="55" t="n"/>
      <c r="G1797" s="56" t="n"/>
      <c r="H1797" s="55" t="n"/>
      <c r="I1797" s="62" t="n"/>
      <c r="J1797" s="58" t="n"/>
      <c r="K1797" s="63">
        <f>IF(tblMovement[[#This Row],[Source]]="","",IFERROR(INDEX(tblSources[Type],MATCH(tblMovement[[#This Row],[Source]],tblSources[Source],0)),"?"))</f>
        <v/>
      </c>
      <c r="L1797" s="63">
        <f>IF(tblMovement[[#This Row],[Destination]]="","",IFERROR(INDEX(tblDestinations[Type],MATCH(tblMovement[[#This Row],[Destination]],tblDestinations[Destination],0)),"?"))</f>
        <v/>
      </c>
      <c r="M1797" s="64">
        <f>IF(tblMovement[[#This Row],[Material]]="","",IF(LEFT(tblMovement[[#This Row],[Material]],3)="Ore",1,0))</f>
        <v/>
      </c>
      <c r="N1797" s="59">
        <f>IF(OR(tblMovement[[#This Row],[Tonnes_t]]="",tblMovement[[#This Row],[Grade_gpt]]=""),0,tblMovement[[#This Row],[Tonnes_t]]*tblMovement[[#This Row],[Grade_gpt]]/cfg_TroyOz)</f>
        <v/>
      </c>
      <c r="O1797" s="59">
        <f>IF(tblMovement[[#This Row],[Is_Ore]]=1,tblMovement[[#This Row],[Contained_oz]],0)</f>
        <v/>
      </c>
    </row>
    <row r="1798">
      <c r="A1798" s="54" t="n"/>
      <c r="B1798" s="61" t="n"/>
      <c r="C1798" s="61" t="n"/>
      <c r="D1798" s="61" t="n"/>
      <c r="E1798" s="61" t="n"/>
      <c r="F1798" s="55" t="n"/>
      <c r="G1798" s="56" t="n"/>
      <c r="H1798" s="55" t="n"/>
      <c r="I1798" s="62" t="n"/>
      <c r="J1798" s="58" t="n"/>
      <c r="K1798" s="63">
        <f>IF(tblMovement[[#This Row],[Source]]="","",IFERROR(INDEX(tblSources[Type],MATCH(tblMovement[[#This Row],[Source]],tblSources[Source],0)),"?"))</f>
        <v/>
      </c>
      <c r="L1798" s="63">
        <f>IF(tblMovement[[#This Row],[Destination]]="","",IFERROR(INDEX(tblDestinations[Type],MATCH(tblMovement[[#This Row],[Destination]],tblDestinations[Destination],0)),"?"))</f>
        <v/>
      </c>
      <c r="M1798" s="64">
        <f>IF(tblMovement[[#This Row],[Material]]="","",IF(LEFT(tblMovement[[#This Row],[Material]],3)="Ore",1,0))</f>
        <v/>
      </c>
      <c r="N1798" s="59">
        <f>IF(OR(tblMovement[[#This Row],[Tonnes_t]]="",tblMovement[[#This Row],[Grade_gpt]]=""),0,tblMovement[[#This Row],[Tonnes_t]]*tblMovement[[#This Row],[Grade_gpt]]/cfg_TroyOz)</f>
        <v/>
      </c>
      <c r="O1798" s="59">
        <f>IF(tblMovement[[#This Row],[Is_Ore]]=1,tblMovement[[#This Row],[Contained_oz]],0)</f>
        <v/>
      </c>
    </row>
    <row r="1799">
      <c r="A1799" s="54" t="n"/>
      <c r="B1799" s="61" t="n"/>
      <c r="C1799" s="61" t="n"/>
      <c r="D1799" s="61" t="n"/>
      <c r="E1799" s="61" t="n"/>
      <c r="F1799" s="55" t="n"/>
      <c r="G1799" s="56" t="n"/>
      <c r="H1799" s="55" t="n"/>
      <c r="I1799" s="62" t="n"/>
      <c r="J1799" s="58" t="n"/>
      <c r="K1799" s="63">
        <f>IF(tblMovement[[#This Row],[Source]]="","",IFERROR(INDEX(tblSources[Type],MATCH(tblMovement[[#This Row],[Source]],tblSources[Source],0)),"?"))</f>
        <v/>
      </c>
      <c r="L1799" s="63">
        <f>IF(tblMovement[[#This Row],[Destination]]="","",IFERROR(INDEX(tblDestinations[Type],MATCH(tblMovement[[#This Row],[Destination]],tblDestinations[Destination],0)),"?"))</f>
        <v/>
      </c>
      <c r="M1799" s="64">
        <f>IF(tblMovement[[#This Row],[Material]]="","",IF(LEFT(tblMovement[[#This Row],[Material]],3)="Ore",1,0))</f>
        <v/>
      </c>
      <c r="N1799" s="59">
        <f>IF(OR(tblMovement[[#This Row],[Tonnes_t]]="",tblMovement[[#This Row],[Grade_gpt]]=""),0,tblMovement[[#This Row],[Tonnes_t]]*tblMovement[[#This Row],[Grade_gpt]]/cfg_TroyOz)</f>
        <v/>
      </c>
      <c r="O1799" s="59">
        <f>IF(tblMovement[[#This Row],[Is_Ore]]=1,tblMovement[[#This Row],[Contained_oz]],0)</f>
        <v/>
      </c>
    </row>
    <row r="1800">
      <c r="A1800" s="54" t="n"/>
      <c r="B1800" s="61" t="n"/>
      <c r="C1800" s="61" t="n"/>
      <c r="D1800" s="61" t="n"/>
      <c r="E1800" s="61" t="n"/>
      <c r="F1800" s="55" t="n"/>
      <c r="G1800" s="56" t="n"/>
      <c r="H1800" s="55" t="n"/>
      <c r="I1800" s="62" t="n"/>
      <c r="J1800" s="58" t="n"/>
      <c r="K1800" s="63">
        <f>IF(tblMovement[[#This Row],[Source]]="","",IFERROR(INDEX(tblSources[Type],MATCH(tblMovement[[#This Row],[Source]],tblSources[Source],0)),"?"))</f>
        <v/>
      </c>
      <c r="L1800" s="63">
        <f>IF(tblMovement[[#This Row],[Destination]]="","",IFERROR(INDEX(tblDestinations[Type],MATCH(tblMovement[[#This Row],[Destination]],tblDestinations[Destination],0)),"?"))</f>
        <v/>
      </c>
      <c r="M1800" s="64">
        <f>IF(tblMovement[[#This Row],[Material]]="","",IF(LEFT(tblMovement[[#This Row],[Material]],3)="Ore",1,0))</f>
        <v/>
      </c>
      <c r="N1800" s="59">
        <f>IF(OR(tblMovement[[#This Row],[Tonnes_t]]="",tblMovement[[#This Row],[Grade_gpt]]=""),0,tblMovement[[#This Row],[Tonnes_t]]*tblMovement[[#This Row],[Grade_gpt]]/cfg_TroyOz)</f>
        <v/>
      </c>
      <c r="O1800" s="59">
        <f>IF(tblMovement[[#This Row],[Is_Ore]]=1,tblMovement[[#This Row],[Contained_oz]],0)</f>
        <v/>
      </c>
    </row>
    <row r="1801">
      <c r="A1801" s="54" t="n"/>
      <c r="B1801" s="61" t="n"/>
      <c r="C1801" s="61" t="n"/>
      <c r="D1801" s="61" t="n"/>
      <c r="E1801" s="61" t="n"/>
      <c r="F1801" s="55" t="n"/>
      <c r="G1801" s="56" t="n"/>
      <c r="H1801" s="55" t="n"/>
      <c r="I1801" s="62" t="n"/>
      <c r="J1801" s="58" t="n"/>
      <c r="K1801" s="63">
        <f>IF(tblMovement[[#This Row],[Source]]="","",IFERROR(INDEX(tblSources[Type],MATCH(tblMovement[[#This Row],[Source]],tblSources[Source],0)),"?"))</f>
        <v/>
      </c>
      <c r="L1801" s="63">
        <f>IF(tblMovement[[#This Row],[Destination]]="","",IFERROR(INDEX(tblDestinations[Type],MATCH(tblMovement[[#This Row],[Destination]],tblDestinations[Destination],0)),"?"))</f>
        <v/>
      </c>
      <c r="M1801" s="64">
        <f>IF(tblMovement[[#This Row],[Material]]="","",IF(LEFT(tblMovement[[#This Row],[Material]],3)="Ore",1,0))</f>
        <v/>
      </c>
      <c r="N1801" s="59">
        <f>IF(OR(tblMovement[[#This Row],[Tonnes_t]]="",tblMovement[[#This Row],[Grade_gpt]]=""),0,tblMovement[[#This Row],[Tonnes_t]]*tblMovement[[#This Row],[Grade_gpt]]/cfg_TroyOz)</f>
        <v/>
      </c>
      <c r="O1801" s="59">
        <f>IF(tblMovement[[#This Row],[Is_Ore]]=1,tblMovement[[#This Row],[Contained_oz]],0)</f>
        <v/>
      </c>
    </row>
    <row r="1802">
      <c r="A1802" s="54" t="n"/>
      <c r="B1802" s="61" t="n"/>
      <c r="C1802" s="61" t="n"/>
      <c r="D1802" s="61" t="n"/>
      <c r="E1802" s="61" t="n"/>
      <c r="F1802" s="55" t="n"/>
      <c r="G1802" s="56" t="n"/>
      <c r="H1802" s="55" t="n"/>
      <c r="I1802" s="62" t="n"/>
      <c r="J1802" s="58" t="n"/>
      <c r="K1802" s="63">
        <f>IF(tblMovement[[#This Row],[Source]]="","",IFERROR(INDEX(tblSources[Type],MATCH(tblMovement[[#This Row],[Source]],tblSources[Source],0)),"?"))</f>
        <v/>
      </c>
      <c r="L1802" s="63">
        <f>IF(tblMovement[[#This Row],[Destination]]="","",IFERROR(INDEX(tblDestinations[Type],MATCH(tblMovement[[#This Row],[Destination]],tblDestinations[Destination],0)),"?"))</f>
        <v/>
      </c>
      <c r="M1802" s="64">
        <f>IF(tblMovement[[#This Row],[Material]]="","",IF(LEFT(tblMovement[[#This Row],[Material]],3)="Ore",1,0))</f>
        <v/>
      </c>
      <c r="N1802" s="59">
        <f>IF(OR(tblMovement[[#This Row],[Tonnes_t]]="",tblMovement[[#This Row],[Grade_gpt]]=""),0,tblMovement[[#This Row],[Tonnes_t]]*tblMovement[[#This Row],[Grade_gpt]]/cfg_TroyOz)</f>
        <v/>
      </c>
      <c r="O1802" s="59">
        <f>IF(tblMovement[[#This Row],[Is_Ore]]=1,tblMovement[[#This Row],[Contained_oz]],0)</f>
        <v/>
      </c>
    </row>
    <row r="1803">
      <c r="A1803" s="54" t="n"/>
      <c r="B1803" s="61" t="n"/>
      <c r="C1803" s="61" t="n"/>
      <c r="D1803" s="61" t="n"/>
      <c r="E1803" s="61" t="n"/>
      <c r="F1803" s="55" t="n"/>
      <c r="G1803" s="56" t="n"/>
      <c r="H1803" s="55" t="n"/>
      <c r="I1803" s="62" t="n"/>
      <c r="J1803" s="58" t="n"/>
      <c r="K1803" s="63">
        <f>IF(tblMovement[[#This Row],[Source]]="","",IFERROR(INDEX(tblSources[Type],MATCH(tblMovement[[#This Row],[Source]],tblSources[Source],0)),"?"))</f>
        <v/>
      </c>
      <c r="L1803" s="63">
        <f>IF(tblMovement[[#This Row],[Destination]]="","",IFERROR(INDEX(tblDestinations[Type],MATCH(tblMovement[[#This Row],[Destination]],tblDestinations[Destination],0)),"?"))</f>
        <v/>
      </c>
      <c r="M1803" s="64">
        <f>IF(tblMovement[[#This Row],[Material]]="","",IF(LEFT(tblMovement[[#This Row],[Material]],3)="Ore",1,0))</f>
        <v/>
      </c>
      <c r="N1803" s="59">
        <f>IF(OR(tblMovement[[#This Row],[Tonnes_t]]="",tblMovement[[#This Row],[Grade_gpt]]=""),0,tblMovement[[#This Row],[Tonnes_t]]*tblMovement[[#This Row],[Grade_gpt]]/cfg_TroyOz)</f>
        <v/>
      </c>
      <c r="O1803" s="59">
        <f>IF(tblMovement[[#This Row],[Is_Ore]]=1,tblMovement[[#This Row],[Contained_oz]],0)</f>
        <v/>
      </c>
    </row>
    <row r="1804">
      <c r="A1804" s="54" t="n"/>
      <c r="B1804" s="61" t="n"/>
      <c r="C1804" s="61" t="n"/>
      <c r="D1804" s="61" t="n"/>
      <c r="E1804" s="61" t="n"/>
      <c r="F1804" s="55" t="n"/>
      <c r="G1804" s="56" t="n"/>
      <c r="H1804" s="55" t="n"/>
      <c r="I1804" s="62" t="n"/>
      <c r="J1804" s="58" t="n"/>
      <c r="K1804" s="63">
        <f>IF(tblMovement[[#This Row],[Source]]="","",IFERROR(INDEX(tblSources[Type],MATCH(tblMovement[[#This Row],[Source]],tblSources[Source],0)),"?"))</f>
        <v/>
      </c>
      <c r="L1804" s="63">
        <f>IF(tblMovement[[#This Row],[Destination]]="","",IFERROR(INDEX(tblDestinations[Type],MATCH(tblMovement[[#This Row],[Destination]],tblDestinations[Destination],0)),"?"))</f>
        <v/>
      </c>
      <c r="M1804" s="64">
        <f>IF(tblMovement[[#This Row],[Material]]="","",IF(LEFT(tblMovement[[#This Row],[Material]],3)="Ore",1,0))</f>
        <v/>
      </c>
      <c r="N1804" s="59">
        <f>IF(OR(tblMovement[[#This Row],[Tonnes_t]]="",tblMovement[[#This Row],[Grade_gpt]]=""),0,tblMovement[[#This Row],[Tonnes_t]]*tblMovement[[#This Row],[Grade_gpt]]/cfg_TroyOz)</f>
        <v/>
      </c>
      <c r="O1804" s="59">
        <f>IF(tblMovement[[#This Row],[Is_Ore]]=1,tblMovement[[#This Row],[Contained_oz]],0)</f>
        <v/>
      </c>
    </row>
    <row r="1805">
      <c r="A1805" s="54" t="n"/>
      <c r="B1805" s="61" t="n"/>
      <c r="C1805" s="61" t="n"/>
      <c r="D1805" s="61" t="n"/>
      <c r="E1805" s="61" t="n"/>
      <c r="F1805" s="55" t="n"/>
      <c r="G1805" s="56" t="n"/>
      <c r="H1805" s="55" t="n"/>
      <c r="I1805" s="62" t="n"/>
      <c r="J1805" s="58" t="n"/>
      <c r="K1805" s="63">
        <f>IF(tblMovement[[#This Row],[Source]]="","",IFERROR(INDEX(tblSources[Type],MATCH(tblMovement[[#This Row],[Source]],tblSources[Source],0)),"?"))</f>
        <v/>
      </c>
      <c r="L1805" s="63">
        <f>IF(tblMovement[[#This Row],[Destination]]="","",IFERROR(INDEX(tblDestinations[Type],MATCH(tblMovement[[#This Row],[Destination]],tblDestinations[Destination],0)),"?"))</f>
        <v/>
      </c>
      <c r="M1805" s="64">
        <f>IF(tblMovement[[#This Row],[Material]]="","",IF(LEFT(tblMovement[[#This Row],[Material]],3)="Ore",1,0))</f>
        <v/>
      </c>
      <c r="N1805" s="59">
        <f>IF(OR(tblMovement[[#This Row],[Tonnes_t]]="",tblMovement[[#This Row],[Grade_gpt]]=""),0,tblMovement[[#This Row],[Tonnes_t]]*tblMovement[[#This Row],[Grade_gpt]]/cfg_TroyOz)</f>
        <v/>
      </c>
      <c r="O1805" s="59">
        <f>IF(tblMovement[[#This Row],[Is_Ore]]=1,tblMovement[[#This Row],[Contained_oz]],0)</f>
        <v/>
      </c>
    </row>
    <row r="1806">
      <c r="A1806" s="54" t="n"/>
      <c r="B1806" s="61" t="n"/>
      <c r="C1806" s="61" t="n"/>
      <c r="D1806" s="61" t="n"/>
      <c r="E1806" s="61" t="n"/>
      <c r="F1806" s="55" t="n"/>
      <c r="G1806" s="56" t="n"/>
      <c r="H1806" s="55" t="n"/>
      <c r="I1806" s="62" t="n"/>
      <c r="J1806" s="58" t="n"/>
      <c r="K1806" s="63">
        <f>IF(tblMovement[[#This Row],[Source]]="","",IFERROR(INDEX(tblSources[Type],MATCH(tblMovement[[#This Row],[Source]],tblSources[Source],0)),"?"))</f>
        <v/>
      </c>
      <c r="L1806" s="63">
        <f>IF(tblMovement[[#This Row],[Destination]]="","",IFERROR(INDEX(tblDestinations[Type],MATCH(tblMovement[[#This Row],[Destination]],tblDestinations[Destination],0)),"?"))</f>
        <v/>
      </c>
      <c r="M1806" s="64">
        <f>IF(tblMovement[[#This Row],[Material]]="","",IF(LEFT(tblMovement[[#This Row],[Material]],3)="Ore",1,0))</f>
        <v/>
      </c>
      <c r="N1806" s="59">
        <f>IF(OR(tblMovement[[#This Row],[Tonnes_t]]="",tblMovement[[#This Row],[Grade_gpt]]=""),0,tblMovement[[#This Row],[Tonnes_t]]*tblMovement[[#This Row],[Grade_gpt]]/cfg_TroyOz)</f>
        <v/>
      </c>
      <c r="O1806" s="59">
        <f>IF(tblMovement[[#This Row],[Is_Ore]]=1,tblMovement[[#This Row],[Contained_oz]],0)</f>
        <v/>
      </c>
    </row>
    <row r="1807">
      <c r="A1807" s="54" t="n"/>
      <c r="B1807" s="61" t="n"/>
      <c r="C1807" s="61" t="n"/>
      <c r="D1807" s="61" t="n"/>
      <c r="E1807" s="61" t="n"/>
      <c r="F1807" s="55" t="n"/>
      <c r="G1807" s="56" t="n"/>
      <c r="H1807" s="55" t="n"/>
      <c r="I1807" s="62" t="n"/>
      <c r="J1807" s="58" t="n"/>
      <c r="K1807" s="63">
        <f>IF(tblMovement[[#This Row],[Source]]="","",IFERROR(INDEX(tblSources[Type],MATCH(tblMovement[[#This Row],[Source]],tblSources[Source],0)),"?"))</f>
        <v/>
      </c>
      <c r="L1807" s="63">
        <f>IF(tblMovement[[#This Row],[Destination]]="","",IFERROR(INDEX(tblDestinations[Type],MATCH(tblMovement[[#This Row],[Destination]],tblDestinations[Destination],0)),"?"))</f>
        <v/>
      </c>
      <c r="M1807" s="64">
        <f>IF(tblMovement[[#This Row],[Material]]="","",IF(LEFT(tblMovement[[#This Row],[Material]],3)="Ore",1,0))</f>
        <v/>
      </c>
      <c r="N1807" s="59">
        <f>IF(OR(tblMovement[[#This Row],[Tonnes_t]]="",tblMovement[[#This Row],[Grade_gpt]]=""),0,tblMovement[[#This Row],[Tonnes_t]]*tblMovement[[#This Row],[Grade_gpt]]/cfg_TroyOz)</f>
        <v/>
      </c>
      <c r="O1807" s="59">
        <f>IF(tblMovement[[#This Row],[Is_Ore]]=1,tblMovement[[#This Row],[Contained_oz]],0)</f>
        <v/>
      </c>
    </row>
    <row r="1808">
      <c r="A1808" s="54" t="n"/>
      <c r="B1808" s="61" t="n"/>
      <c r="C1808" s="61" t="n"/>
      <c r="D1808" s="61" t="n"/>
      <c r="E1808" s="61" t="n"/>
      <c r="F1808" s="55" t="n"/>
      <c r="G1808" s="56" t="n"/>
      <c r="H1808" s="55" t="n"/>
      <c r="I1808" s="62" t="n"/>
      <c r="J1808" s="58" t="n"/>
      <c r="K1808" s="63">
        <f>IF(tblMovement[[#This Row],[Source]]="","",IFERROR(INDEX(tblSources[Type],MATCH(tblMovement[[#This Row],[Source]],tblSources[Source],0)),"?"))</f>
        <v/>
      </c>
      <c r="L1808" s="63">
        <f>IF(tblMovement[[#This Row],[Destination]]="","",IFERROR(INDEX(tblDestinations[Type],MATCH(tblMovement[[#This Row],[Destination]],tblDestinations[Destination],0)),"?"))</f>
        <v/>
      </c>
      <c r="M1808" s="64">
        <f>IF(tblMovement[[#This Row],[Material]]="","",IF(LEFT(tblMovement[[#This Row],[Material]],3)="Ore",1,0))</f>
        <v/>
      </c>
      <c r="N1808" s="59">
        <f>IF(OR(tblMovement[[#This Row],[Tonnes_t]]="",tblMovement[[#This Row],[Grade_gpt]]=""),0,tblMovement[[#This Row],[Tonnes_t]]*tblMovement[[#This Row],[Grade_gpt]]/cfg_TroyOz)</f>
        <v/>
      </c>
      <c r="O1808" s="59">
        <f>IF(tblMovement[[#This Row],[Is_Ore]]=1,tblMovement[[#This Row],[Contained_oz]],0)</f>
        <v/>
      </c>
    </row>
    <row r="1809">
      <c r="A1809" s="54" t="n"/>
      <c r="B1809" s="61" t="n"/>
      <c r="C1809" s="61" t="n"/>
      <c r="D1809" s="61" t="n"/>
      <c r="E1809" s="61" t="n"/>
      <c r="F1809" s="55" t="n"/>
      <c r="G1809" s="56" t="n"/>
      <c r="H1809" s="55" t="n"/>
      <c r="I1809" s="62" t="n"/>
      <c r="J1809" s="58" t="n"/>
      <c r="K1809" s="63">
        <f>IF(tblMovement[[#This Row],[Source]]="","",IFERROR(INDEX(tblSources[Type],MATCH(tblMovement[[#This Row],[Source]],tblSources[Source],0)),"?"))</f>
        <v/>
      </c>
      <c r="L1809" s="63">
        <f>IF(tblMovement[[#This Row],[Destination]]="","",IFERROR(INDEX(tblDestinations[Type],MATCH(tblMovement[[#This Row],[Destination]],tblDestinations[Destination],0)),"?"))</f>
        <v/>
      </c>
      <c r="M1809" s="64">
        <f>IF(tblMovement[[#This Row],[Material]]="","",IF(LEFT(tblMovement[[#This Row],[Material]],3)="Ore",1,0))</f>
        <v/>
      </c>
      <c r="N1809" s="59">
        <f>IF(OR(tblMovement[[#This Row],[Tonnes_t]]="",tblMovement[[#This Row],[Grade_gpt]]=""),0,tblMovement[[#This Row],[Tonnes_t]]*tblMovement[[#This Row],[Grade_gpt]]/cfg_TroyOz)</f>
        <v/>
      </c>
      <c r="O1809" s="59">
        <f>IF(tblMovement[[#This Row],[Is_Ore]]=1,tblMovement[[#This Row],[Contained_oz]],0)</f>
        <v/>
      </c>
    </row>
    <row r="1810">
      <c r="A1810" s="54" t="n"/>
      <c r="B1810" s="61" t="n"/>
      <c r="C1810" s="61" t="n"/>
      <c r="D1810" s="61" t="n"/>
      <c r="E1810" s="61" t="n"/>
      <c r="F1810" s="55" t="n"/>
      <c r="G1810" s="56" t="n"/>
      <c r="H1810" s="55" t="n"/>
      <c r="I1810" s="62" t="n"/>
      <c r="J1810" s="58" t="n"/>
      <c r="K1810" s="63">
        <f>IF(tblMovement[[#This Row],[Source]]="","",IFERROR(INDEX(tblSources[Type],MATCH(tblMovement[[#This Row],[Source]],tblSources[Source],0)),"?"))</f>
        <v/>
      </c>
      <c r="L1810" s="63">
        <f>IF(tblMovement[[#This Row],[Destination]]="","",IFERROR(INDEX(tblDestinations[Type],MATCH(tblMovement[[#This Row],[Destination]],tblDestinations[Destination],0)),"?"))</f>
        <v/>
      </c>
      <c r="M1810" s="64">
        <f>IF(tblMovement[[#This Row],[Material]]="","",IF(LEFT(tblMovement[[#This Row],[Material]],3)="Ore",1,0))</f>
        <v/>
      </c>
      <c r="N1810" s="59">
        <f>IF(OR(tblMovement[[#This Row],[Tonnes_t]]="",tblMovement[[#This Row],[Grade_gpt]]=""),0,tblMovement[[#This Row],[Tonnes_t]]*tblMovement[[#This Row],[Grade_gpt]]/cfg_TroyOz)</f>
        <v/>
      </c>
      <c r="O1810" s="59">
        <f>IF(tblMovement[[#This Row],[Is_Ore]]=1,tblMovement[[#This Row],[Contained_oz]],0)</f>
        <v/>
      </c>
    </row>
    <row r="1811">
      <c r="A1811" s="54" t="n"/>
      <c r="B1811" s="61" t="n"/>
      <c r="C1811" s="61" t="n"/>
      <c r="D1811" s="61" t="n"/>
      <c r="E1811" s="61" t="n"/>
      <c r="F1811" s="55" t="n"/>
      <c r="G1811" s="56" t="n"/>
      <c r="H1811" s="55" t="n"/>
      <c r="I1811" s="62" t="n"/>
      <c r="J1811" s="58" t="n"/>
      <c r="K1811" s="63">
        <f>IF(tblMovement[[#This Row],[Source]]="","",IFERROR(INDEX(tblSources[Type],MATCH(tblMovement[[#This Row],[Source]],tblSources[Source],0)),"?"))</f>
        <v/>
      </c>
      <c r="L1811" s="63">
        <f>IF(tblMovement[[#This Row],[Destination]]="","",IFERROR(INDEX(tblDestinations[Type],MATCH(tblMovement[[#This Row],[Destination]],tblDestinations[Destination],0)),"?"))</f>
        <v/>
      </c>
      <c r="M1811" s="64">
        <f>IF(tblMovement[[#This Row],[Material]]="","",IF(LEFT(tblMovement[[#This Row],[Material]],3)="Ore",1,0))</f>
        <v/>
      </c>
      <c r="N1811" s="59">
        <f>IF(OR(tblMovement[[#This Row],[Tonnes_t]]="",tblMovement[[#This Row],[Grade_gpt]]=""),0,tblMovement[[#This Row],[Tonnes_t]]*tblMovement[[#This Row],[Grade_gpt]]/cfg_TroyOz)</f>
        <v/>
      </c>
      <c r="O1811" s="59">
        <f>IF(tblMovement[[#This Row],[Is_Ore]]=1,tblMovement[[#This Row],[Contained_oz]],0)</f>
        <v/>
      </c>
    </row>
    <row r="1812">
      <c r="A1812" s="54" t="n"/>
      <c r="B1812" s="61" t="n"/>
      <c r="C1812" s="61" t="n"/>
      <c r="D1812" s="61" t="n"/>
      <c r="E1812" s="61" t="n"/>
      <c r="F1812" s="55" t="n"/>
      <c r="G1812" s="56" t="n"/>
      <c r="H1812" s="55" t="n"/>
      <c r="I1812" s="62" t="n"/>
      <c r="J1812" s="58" t="n"/>
      <c r="K1812" s="63">
        <f>IF(tblMovement[[#This Row],[Source]]="","",IFERROR(INDEX(tblSources[Type],MATCH(tblMovement[[#This Row],[Source]],tblSources[Source],0)),"?"))</f>
        <v/>
      </c>
      <c r="L1812" s="63">
        <f>IF(tblMovement[[#This Row],[Destination]]="","",IFERROR(INDEX(tblDestinations[Type],MATCH(tblMovement[[#This Row],[Destination]],tblDestinations[Destination],0)),"?"))</f>
        <v/>
      </c>
      <c r="M1812" s="64">
        <f>IF(tblMovement[[#This Row],[Material]]="","",IF(LEFT(tblMovement[[#This Row],[Material]],3)="Ore",1,0))</f>
        <v/>
      </c>
      <c r="N1812" s="59">
        <f>IF(OR(tblMovement[[#This Row],[Tonnes_t]]="",tblMovement[[#This Row],[Grade_gpt]]=""),0,tblMovement[[#This Row],[Tonnes_t]]*tblMovement[[#This Row],[Grade_gpt]]/cfg_TroyOz)</f>
        <v/>
      </c>
      <c r="O1812" s="59">
        <f>IF(tblMovement[[#This Row],[Is_Ore]]=1,tblMovement[[#This Row],[Contained_oz]],0)</f>
        <v/>
      </c>
    </row>
    <row r="1813">
      <c r="A1813" s="54" t="n"/>
      <c r="B1813" s="61" t="n"/>
      <c r="C1813" s="61" t="n"/>
      <c r="D1813" s="61" t="n"/>
      <c r="E1813" s="61" t="n"/>
      <c r="F1813" s="55" t="n"/>
      <c r="G1813" s="56" t="n"/>
      <c r="H1813" s="55" t="n"/>
      <c r="I1813" s="62" t="n"/>
      <c r="J1813" s="58" t="n"/>
      <c r="K1813" s="63">
        <f>IF(tblMovement[[#This Row],[Source]]="","",IFERROR(INDEX(tblSources[Type],MATCH(tblMovement[[#This Row],[Source]],tblSources[Source],0)),"?"))</f>
        <v/>
      </c>
      <c r="L1813" s="63">
        <f>IF(tblMovement[[#This Row],[Destination]]="","",IFERROR(INDEX(tblDestinations[Type],MATCH(tblMovement[[#This Row],[Destination]],tblDestinations[Destination],0)),"?"))</f>
        <v/>
      </c>
      <c r="M1813" s="64">
        <f>IF(tblMovement[[#This Row],[Material]]="","",IF(LEFT(tblMovement[[#This Row],[Material]],3)="Ore",1,0))</f>
        <v/>
      </c>
      <c r="N1813" s="59">
        <f>IF(OR(tblMovement[[#This Row],[Tonnes_t]]="",tblMovement[[#This Row],[Grade_gpt]]=""),0,tblMovement[[#This Row],[Tonnes_t]]*tblMovement[[#This Row],[Grade_gpt]]/cfg_TroyOz)</f>
        <v/>
      </c>
      <c r="O1813" s="59">
        <f>IF(tblMovement[[#This Row],[Is_Ore]]=1,tblMovement[[#This Row],[Contained_oz]],0)</f>
        <v/>
      </c>
    </row>
    <row r="1814">
      <c r="A1814" s="54" t="n"/>
      <c r="B1814" s="61" t="n"/>
      <c r="C1814" s="61" t="n"/>
      <c r="D1814" s="61" t="n"/>
      <c r="E1814" s="61" t="n"/>
      <c r="F1814" s="55" t="n"/>
      <c r="G1814" s="56" t="n"/>
      <c r="H1814" s="55" t="n"/>
      <c r="I1814" s="62" t="n"/>
      <c r="J1814" s="58" t="n"/>
      <c r="K1814" s="63">
        <f>IF(tblMovement[[#This Row],[Source]]="","",IFERROR(INDEX(tblSources[Type],MATCH(tblMovement[[#This Row],[Source]],tblSources[Source],0)),"?"))</f>
        <v/>
      </c>
      <c r="L1814" s="63">
        <f>IF(tblMovement[[#This Row],[Destination]]="","",IFERROR(INDEX(tblDestinations[Type],MATCH(tblMovement[[#This Row],[Destination]],tblDestinations[Destination],0)),"?"))</f>
        <v/>
      </c>
      <c r="M1814" s="64">
        <f>IF(tblMovement[[#This Row],[Material]]="","",IF(LEFT(tblMovement[[#This Row],[Material]],3)="Ore",1,0))</f>
        <v/>
      </c>
      <c r="N1814" s="59">
        <f>IF(OR(tblMovement[[#This Row],[Tonnes_t]]="",tblMovement[[#This Row],[Grade_gpt]]=""),0,tblMovement[[#This Row],[Tonnes_t]]*tblMovement[[#This Row],[Grade_gpt]]/cfg_TroyOz)</f>
        <v/>
      </c>
      <c r="O1814" s="59">
        <f>IF(tblMovement[[#This Row],[Is_Ore]]=1,tblMovement[[#This Row],[Contained_oz]],0)</f>
        <v/>
      </c>
    </row>
    <row r="1815">
      <c r="A1815" s="54" t="n"/>
      <c r="B1815" s="61" t="n"/>
      <c r="C1815" s="61" t="n"/>
      <c r="D1815" s="61" t="n"/>
      <c r="E1815" s="61" t="n"/>
      <c r="F1815" s="55" t="n"/>
      <c r="G1815" s="56" t="n"/>
      <c r="H1815" s="55" t="n"/>
      <c r="I1815" s="62" t="n"/>
      <c r="J1815" s="58" t="n"/>
      <c r="K1815" s="63">
        <f>IF(tblMovement[[#This Row],[Source]]="","",IFERROR(INDEX(tblSources[Type],MATCH(tblMovement[[#This Row],[Source]],tblSources[Source],0)),"?"))</f>
        <v/>
      </c>
      <c r="L1815" s="63">
        <f>IF(tblMovement[[#This Row],[Destination]]="","",IFERROR(INDEX(tblDestinations[Type],MATCH(tblMovement[[#This Row],[Destination]],tblDestinations[Destination],0)),"?"))</f>
        <v/>
      </c>
      <c r="M1815" s="64">
        <f>IF(tblMovement[[#This Row],[Material]]="","",IF(LEFT(tblMovement[[#This Row],[Material]],3)="Ore",1,0))</f>
        <v/>
      </c>
      <c r="N1815" s="59">
        <f>IF(OR(tblMovement[[#This Row],[Tonnes_t]]="",tblMovement[[#This Row],[Grade_gpt]]=""),0,tblMovement[[#This Row],[Tonnes_t]]*tblMovement[[#This Row],[Grade_gpt]]/cfg_TroyOz)</f>
        <v/>
      </c>
      <c r="O1815" s="59">
        <f>IF(tblMovement[[#This Row],[Is_Ore]]=1,tblMovement[[#This Row],[Contained_oz]],0)</f>
        <v/>
      </c>
    </row>
    <row r="1816">
      <c r="A1816" s="54" t="n"/>
      <c r="B1816" s="61" t="n"/>
      <c r="C1816" s="61" t="n"/>
      <c r="D1816" s="61" t="n"/>
      <c r="E1816" s="61" t="n"/>
      <c r="F1816" s="55" t="n"/>
      <c r="G1816" s="56" t="n"/>
      <c r="H1816" s="55" t="n"/>
      <c r="I1816" s="62" t="n"/>
      <c r="J1816" s="58" t="n"/>
      <c r="K1816" s="63">
        <f>IF(tblMovement[[#This Row],[Source]]="","",IFERROR(INDEX(tblSources[Type],MATCH(tblMovement[[#This Row],[Source]],tblSources[Source],0)),"?"))</f>
        <v/>
      </c>
      <c r="L1816" s="63">
        <f>IF(tblMovement[[#This Row],[Destination]]="","",IFERROR(INDEX(tblDestinations[Type],MATCH(tblMovement[[#This Row],[Destination]],tblDestinations[Destination],0)),"?"))</f>
        <v/>
      </c>
      <c r="M1816" s="64">
        <f>IF(tblMovement[[#This Row],[Material]]="","",IF(LEFT(tblMovement[[#This Row],[Material]],3)="Ore",1,0))</f>
        <v/>
      </c>
      <c r="N1816" s="59">
        <f>IF(OR(tblMovement[[#This Row],[Tonnes_t]]="",tblMovement[[#This Row],[Grade_gpt]]=""),0,tblMovement[[#This Row],[Tonnes_t]]*tblMovement[[#This Row],[Grade_gpt]]/cfg_TroyOz)</f>
        <v/>
      </c>
      <c r="O1816" s="59">
        <f>IF(tblMovement[[#This Row],[Is_Ore]]=1,tblMovement[[#This Row],[Contained_oz]],0)</f>
        <v/>
      </c>
    </row>
    <row r="1817">
      <c r="A1817" s="54" t="n"/>
      <c r="B1817" s="61" t="n"/>
      <c r="C1817" s="61" t="n"/>
      <c r="D1817" s="61" t="n"/>
      <c r="E1817" s="61" t="n"/>
      <c r="F1817" s="55" t="n"/>
      <c r="G1817" s="56" t="n"/>
      <c r="H1817" s="55" t="n"/>
      <c r="I1817" s="62" t="n"/>
      <c r="J1817" s="58" t="n"/>
      <c r="K1817" s="63">
        <f>IF(tblMovement[[#This Row],[Source]]="","",IFERROR(INDEX(tblSources[Type],MATCH(tblMovement[[#This Row],[Source]],tblSources[Source],0)),"?"))</f>
        <v/>
      </c>
      <c r="L1817" s="63">
        <f>IF(tblMovement[[#This Row],[Destination]]="","",IFERROR(INDEX(tblDestinations[Type],MATCH(tblMovement[[#This Row],[Destination]],tblDestinations[Destination],0)),"?"))</f>
        <v/>
      </c>
      <c r="M1817" s="64">
        <f>IF(tblMovement[[#This Row],[Material]]="","",IF(LEFT(tblMovement[[#This Row],[Material]],3)="Ore",1,0))</f>
        <v/>
      </c>
      <c r="N1817" s="59">
        <f>IF(OR(tblMovement[[#This Row],[Tonnes_t]]="",tblMovement[[#This Row],[Grade_gpt]]=""),0,tblMovement[[#This Row],[Tonnes_t]]*tblMovement[[#This Row],[Grade_gpt]]/cfg_TroyOz)</f>
        <v/>
      </c>
      <c r="O1817" s="59">
        <f>IF(tblMovement[[#This Row],[Is_Ore]]=1,tblMovement[[#This Row],[Contained_oz]],0)</f>
        <v/>
      </c>
    </row>
    <row r="1818">
      <c r="A1818" s="54" t="n"/>
      <c r="B1818" s="61" t="n"/>
      <c r="C1818" s="61" t="n"/>
      <c r="D1818" s="61" t="n"/>
      <c r="E1818" s="61" t="n"/>
      <c r="F1818" s="55" t="n"/>
      <c r="G1818" s="56" t="n"/>
      <c r="H1818" s="55" t="n"/>
      <c r="I1818" s="62" t="n"/>
      <c r="J1818" s="58" t="n"/>
      <c r="K1818" s="63">
        <f>IF(tblMovement[[#This Row],[Source]]="","",IFERROR(INDEX(tblSources[Type],MATCH(tblMovement[[#This Row],[Source]],tblSources[Source],0)),"?"))</f>
        <v/>
      </c>
      <c r="L1818" s="63">
        <f>IF(tblMovement[[#This Row],[Destination]]="","",IFERROR(INDEX(tblDestinations[Type],MATCH(tblMovement[[#This Row],[Destination]],tblDestinations[Destination],0)),"?"))</f>
        <v/>
      </c>
      <c r="M1818" s="64">
        <f>IF(tblMovement[[#This Row],[Material]]="","",IF(LEFT(tblMovement[[#This Row],[Material]],3)="Ore",1,0))</f>
        <v/>
      </c>
      <c r="N1818" s="59">
        <f>IF(OR(tblMovement[[#This Row],[Tonnes_t]]="",tblMovement[[#This Row],[Grade_gpt]]=""),0,tblMovement[[#This Row],[Tonnes_t]]*tblMovement[[#This Row],[Grade_gpt]]/cfg_TroyOz)</f>
        <v/>
      </c>
      <c r="O1818" s="59">
        <f>IF(tblMovement[[#This Row],[Is_Ore]]=1,tblMovement[[#This Row],[Contained_oz]],0)</f>
        <v/>
      </c>
    </row>
    <row r="1819">
      <c r="A1819" s="54" t="n"/>
      <c r="B1819" s="61" t="n"/>
      <c r="C1819" s="61" t="n"/>
      <c r="D1819" s="61" t="n"/>
      <c r="E1819" s="61" t="n"/>
      <c r="F1819" s="55" t="n"/>
      <c r="G1819" s="56" t="n"/>
      <c r="H1819" s="55" t="n"/>
      <c r="I1819" s="62" t="n"/>
      <c r="J1819" s="58" t="n"/>
      <c r="K1819" s="63">
        <f>IF(tblMovement[[#This Row],[Source]]="","",IFERROR(INDEX(tblSources[Type],MATCH(tblMovement[[#This Row],[Source]],tblSources[Source],0)),"?"))</f>
        <v/>
      </c>
      <c r="L1819" s="63">
        <f>IF(tblMovement[[#This Row],[Destination]]="","",IFERROR(INDEX(tblDestinations[Type],MATCH(tblMovement[[#This Row],[Destination]],tblDestinations[Destination],0)),"?"))</f>
        <v/>
      </c>
      <c r="M1819" s="64">
        <f>IF(tblMovement[[#This Row],[Material]]="","",IF(LEFT(tblMovement[[#This Row],[Material]],3)="Ore",1,0))</f>
        <v/>
      </c>
      <c r="N1819" s="59">
        <f>IF(OR(tblMovement[[#This Row],[Tonnes_t]]="",tblMovement[[#This Row],[Grade_gpt]]=""),0,tblMovement[[#This Row],[Tonnes_t]]*tblMovement[[#This Row],[Grade_gpt]]/cfg_TroyOz)</f>
        <v/>
      </c>
      <c r="O1819" s="59">
        <f>IF(tblMovement[[#This Row],[Is_Ore]]=1,tblMovement[[#This Row],[Contained_oz]],0)</f>
        <v/>
      </c>
    </row>
    <row r="1820">
      <c r="A1820" s="54" t="n"/>
      <c r="B1820" s="61" t="n"/>
      <c r="C1820" s="61" t="n"/>
      <c r="D1820" s="61" t="n"/>
      <c r="E1820" s="61" t="n"/>
      <c r="F1820" s="55" t="n"/>
      <c r="G1820" s="56" t="n"/>
      <c r="H1820" s="55" t="n"/>
      <c r="I1820" s="62" t="n"/>
      <c r="J1820" s="58" t="n"/>
      <c r="K1820" s="63">
        <f>IF(tblMovement[[#This Row],[Source]]="","",IFERROR(INDEX(tblSources[Type],MATCH(tblMovement[[#This Row],[Source]],tblSources[Source],0)),"?"))</f>
        <v/>
      </c>
      <c r="L1820" s="63">
        <f>IF(tblMovement[[#This Row],[Destination]]="","",IFERROR(INDEX(tblDestinations[Type],MATCH(tblMovement[[#This Row],[Destination]],tblDestinations[Destination],0)),"?"))</f>
        <v/>
      </c>
      <c r="M1820" s="64">
        <f>IF(tblMovement[[#This Row],[Material]]="","",IF(LEFT(tblMovement[[#This Row],[Material]],3)="Ore",1,0))</f>
        <v/>
      </c>
      <c r="N1820" s="59">
        <f>IF(OR(tblMovement[[#This Row],[Tonnes_t]]="",tblMovement[[#This Row],[Grade_gpt]]=""),0,tblMovement[[#This Row],[Tonnes_t]]*tblMovement[[#This Row],[Grade_gpt]]/cfg_TroyOz)</f>
        <v/>
      </c>
      <c r="O1820" s="59">
        <f>IF(tblMovement[[#This Row],[Is_Ore]]=1,tblMovement[[#This Row],[Contained_oz]],0)</f>
        <v/>
      </c>
    </row>
    <row r="1821">
      <c r="A1821" s="54" t="n"/>
      <c r="B1821" s="61" t="n"/>
      <c r="C1821" s="61" t="n"/>
      <c r="D1821" s="61" t="n"/>
      <c r="E1821" s="61" t="n"/>
      <c r="F1821" s="55" t="n"/>
      <c r="G1821" s="56" t="n"/>
      <c r="H1821" s="55" t="n"/>
      <c r="I1821" s="62" t="n"/>
      <c r="J1821" s="58" t="n"/>
      <c r="K1821" s="63">
        <f>IF(tblMovement[[#This Row],[Source]]="","",IFERROR(INDEX(tblSources[Type],MATCH(tblMovement[[#This Row],[Source]],tblSources[Source],0)),"?"))</f>
        <v/>
      </c>
      <c r="L1821" s="63">
        <f>IF(tblMovement[[#This Row],[Destination]]="","",IFERROR(INDEX(tblDestinations[Type],MATCH(tblMovement[[#This Row],[Destination]],tblDestinations[Destination],0)),"?"))</f>
        <v/>
      </c>
      <c r="M1821" s="64">
        <f>IF(tblMovement[[#This Row],[Material]]="","",IF(LEFT(tblMovement[[#This Row],[Material]],3)="Ore",1,0))</f>
        <v/>
      </c>
      <c r="N1821" s="59">
        <f>IF(OR(tblMovement[[#This Row],[Tonnes_t]]="",tblMovement[[#This Row],[Grade_gpt]]=""),0,tblMovement[[#This Row],[Tonnes_t]]*tblMovement[[#This Row],[Grade_gpt]]/cfg_TroyOz)</f>
        <v/>
      </c>
      <c r="O1821" s="59">
        <f>IF(tblMovement[[#This Row],[Is_Ore]]=1,tblMovement[[#This Row],[Contained_oz]],0)</f>
        <v/>
      </c>
    </row>
    <row r="1822">
      <c r="A1822" s="54" t="n"/>
      <c r="B1822" s="61" t="n"/>
      <c r="C1822" s="61" t="n"/>
      <c r="D1822" s="61" t="n"/>
      <c r="E1822" s="61" t="n"/>
      <c r="F1822" s="55" t="n"/>
      <c r="G1822" s="56" t="n"/>
      <c r="H1822" s="55" t="n"/>
      <c r="I1822" s="62" t="n"/>
      <c r="J1822" s="58" t="n"/>
      <c r="K1822" s="63">
        <f>IF(tblMovement[[#This Row],[Source]]="","",IFERROR(INDEX(tblSources[Type],MATCH(tblMovement[[#This Row],[Source]],tblSources[Source],0)),"?"))</f>
        <v/>
      </c>
      <c r="L1822" s="63">
        <f>IF(tblMovement[[#This Row],[Destination]]="","",IFERROR(INDEX(tblDestinations[Type],MATCH(tblMovement[[#This Row],[Destination]],tblDestinations[Destination],0)),"?"))</f>
        <v/>
      </c>
      <c r="M1822" s="64">
        <f>IF(tblMovement[[#This Row],[Material]]="","",IF(LEFT(tblMovement[[#This Row],[Material]],3)="Ore",1,0))</f>
        <v/>
      </c>
      <c r="N1822" s="59">
        <f>IF(OR(tblMovement[[#This Row],[Tonnes_t]]="",tblMovement[[#This Row],[Grade_gpt]]=""),0,tblMovement[[#This Row],[Tonnes_t]]*tblMovement[[#This Row],[Grade_gpt]]/cfg_TroyOz)</f>
        <v/>
      </c>
      <c r="O1822" s="59">
        <f>IF(tblMovement[[#This Row],[Is_Ore]]=1,tblMovement[[#This Row],[Contained_oz]],0)</f>
        <v/>
      </c>
    </row>
    <row r="1823">
      <c r="A1823" s="54" t="n"/>
      <c r="B1823" s="61" t="n"/>
      <c r="C1823" s="61" t="n"/>
      <c r="D1823" s="61" t="n"/>
      <c r="E1823" s="61" t="n"/>
      <c r="F1823" s="55" t="n"/>
      <c r="G1823" s="56" t="n"/>
      <c r="H1823" s="55" t="n"/>
      <c r="I1823" s="62" t="n"/>
      <c r="J1823" s="58" t="n"/>
      <c r="K1823" s="63">
        <f>IF(tblMovement[[#This Row],[Source]]="","",IFERROR(INDEX(tblSources[Type],MATCH(tblMovement[[#This Row],[Source]],tblSources[Source],0)),"?"))</f>
        <v/>
      </c>
      <c r="L1823" s="63">
        <f>IF(tblMovement[[#This Row],[Destination]]="","",IFERROR(INDEX(tblDestinations[Type],MATCH(tblMovement[[#This Row],[Destination]],tblDestinations[Destination],0)),"?"))</f>
        <v/>
      </c>
      <c r="M1823" s="64">
        <f>IF(tblMovement[[#This Row],[Material]]="","",IF(LEFT(tblMovement[[#This Row],[Material]],3)="Ore",1,0))</f>
        <v/>
      </c>
      <c r="N1823" s="59">
        <f>IF(OR(tblMovement[[#This Row],[Tonnes_t]]="",tblMovement[[#This Row],[Grade_gpt]]=""),0,tblMovement[[#This Row],[Tonnes_t]]*tblMovement[[#This Row],[Grade_gpt]]/cfg_TroyOz)</f>
        <v/>
      </c>
      <c r="O1823" s="59">
        <f>IF(tblMovement[[#This Row],[Is_Ore]]=1,tblMovement[[#This Row],[Contained_oz]],0)</f>
        <v/>
      </c>
    </row>
    <row r="1824">
      <c r="A1824" s="54" t="n"/>
      <c r="B1824" s="61" t="n"/>
      <c r="C1824" s="61" t="n"/>
      <c r="D1824" s="61" t="n"/>
      <c r="E1824" s="61" t="n"/>
      <c r="F1824" s="55" t="n"/>
      <c r="G1824" s="56" t="n"/>
      <c r="H1824" s="55" t="n"/>
      <c r="I1824" s="62" t="n"/>
      <c r="J1824" s="58" t="n"/>
      <c r="K1824" s="63">
        <f>IF(tblMovement[[#This Row],[Source]]="","",IFERROR(INDEX(tblSources[Type],MATCH(tblMovement[[#This Row],[Source]],tblSources[Source],0)),"?"))</f>
        <v/>
      </c>
      <c r="L1824" s="63">
        <f>IF(tblMovement[[#This Row],[Destination]]="","",IFERROR(INDEX(tblDestinations[Type],MATCH(tblMovement[[#This Row],[Destination]],tblDestinations[Destination],0)),"?"))</f>
        <v/>
      </c>
      <c r="M1824" s="64">
        <f>IF(tblMovement[[#This Row],[Material]]="","",IF(LEFT(tblMovement[[#This Row],[Material]],3)="Ore",1,0))</f>
        <v/>
      </c>
      <c r="N1824" s="59">
        <f>IF(OR(tblMovement[[#This Row],[Tonnes_t]]="",tblMovement[[#This Row],[Grade_gpt]]=""),0,tblMovement[[#This Row],[Tonnes_t]]*tblMovement[[#This Row],[Grade_gpt]]/cfg_TroyOz)</f>
        <v/>
      </c>
      <c r="O1824" s="59">
        <f>IF(tblMovement[[#This Row],[Is_Ore]]=1,tblMovement[[#This Row],[Contained_oz]],0)</f>
        <v/>
      </c>
    </row>
    <row r="1825">
      <c r="A1825" s="54" t="n"/>
      <c r="B1825" s="61" t="n"/>
      <c r="C1825" s="61" t="n"/>
      <c r="D1825" s="61" t="n"/>
      <c r="E1825" s="61" t="n"/>
      <c r="F1825" s="55" t="n"/>
      <c r="G1825" s="56" t="n"/>
      <c r="H1825" s="55" t="n"/>
      <c r="I1825" s="62" t="n"/>
      <c r="J1825" s="58" t="n"/>
      <c r="K1825" s="63">
        <f>IF(tblMovement[[#This Row],[Source]]="","",IFERROR(INDEX(tblSources[Type],MATCH(tblMovement[[#This Row],[Source]],tblSources[Source],0)),"?"))</f>
        <v/>
      </c>
      <c r="L1825" s="63">
        <f>IF(tblMovement[[#This Row],[Destination]]="","",IFERROR(INDEX(tblDestinations[Type],MATCH(tblMovement[[#This Row],[Destination]],tblDestinations[Destination],0)),"?"))</f>
        <v/>
      </c>
      <c r="M1825" s="64">
        <f>IF(tblMovement[[#This Row],[Material]]="","",IF(LEFT(tblMovement[[#This Row],[Material]],3)="Ore",1,0))</f>
        <v/>
      </c>
      <c r="N1825" s="59">
        <f>IF(OR(tblMovement[[#This Row],[Tonnes_t]]="",tblMovement[[#This Row],[Grade_gpt]]=""),0,tblMovement[[#This Row],[Tonnes_t]]*tblMovement[[#This Row],[Grade_gpt]]/cfg_TroyOz)</f>
        <v/>
      </c>
      <c r="O1825" s="59">
        <f>IF(tblMovement[[#This Row],[Is_Ore]]=1,tblMovement[[#This Row],[Contained_oz]],0)</f>
        <v/>
      </c>
    </row>
    <row r="1826">
      <c r="A1826" s="54" t="n"/>
      <c r="B1826" s="61" t="n"/>
      <c r="C1826" s="61" t="n"/>
      <c r="D1826" s="61" t="n"/>
      <c r="E1826" s="61" t="n"/>
      <c r="F1826" s="55" t="n"/>
      <c r="G1826" s="56" t="n"/>
      <c r="H1826" s="55" t="n"/>
      <c r="I1826" s="62" t="n"/>
      <c r="J1826" s="58" t="n"/>
      <c r="K1826" s="63">
        <f>IF(tblMovement[[#This Row],[Source]]="","",IFERROR(INDEX(tblSources[Type],MATCH(tblMovement[[#This Row],[Source]],tblSources[Source],0)),"?"))</f>
        <v/>
      </c>
      <c r="L1826" s="63">
        <f>IF(tblMovement[[#This Row],[Destination]]="","",IFERROR(INDEX(tblDestinations[Type],MATCH(tblMovement[[#This Row],[Destination]],tblDestinations[Destination],0)),"?"))</f>
        <v/>
      </c>
      <c r="M1826" s="64">
        <f>IF(tblMovement[[#This Row],[Material]]="","",IF(LEFT(tblMovement[[#This Row],[Material]],3)="Ore",1,0))</f>
        <v/>
      </c>
      <c r="N1826" s="59">
        <f>IF(OR(tblMovement[[#This Row],[Tonnes_t]]="",tblMovement[[#This Row],[Grade_gpt]]=""),0,tblMovement[[#This Row],[Tonnes_t]]*tblMovement[[#This Row],[Grade_gpt]]/cfg_TroyOz)</f>
        <v/>
      </c>
      <c r="O1826" s="59">
        <f>IF(tblMovement[[#This Row],[Is_Ore]]=1,tblMovement[[#This Row],[Contained_oz]],0)</f>
        <v/>
      </c>
    </row>
    <row r="1827">
      <c r="A1827" s="54" t="n"/>
      <c r="B1827" s="61" t="n"/>
      <c r="C1827" s="61" t="n"/>
      <c r="D1827" s="61" t="n"/>
      <c r="E1827" s="61" t="n"/>
      <c r="F1827" s="55" t="n"/>
      <c r="G1827" s="56" t="n"/>
      <c r="H1827" s="55" t="n"/>
      <c r="I1827" s="62" t="n"/>
      <c r="J1827" s="58" t="n"/>
      <c r="K1827" s="63">
        <f>IF(tblMovement[[#This Row],[Source]]="","",IFERROR(INDEX(tblSources[Type],MATCH(tblMovement[[#This Row],[Source]],tblSources[Source],0)),"?"))</f>
        <v/>
      </c>
      <c r="L1827" s="63">
        <f>IF(tblMovement[[#This Row],[Destination]]="","",IFERROR(INDEX(tblDestinations[Type],MATCH(tblMovement[[#This Row],[Destination]],tblDestinations[Destination],0)),"?"))</f>
        <v/>
      </c>
      <c r="M1827" s="64">
        <f>IF(tblMovement[[#This Row],[Material]]="","",IF(LEFT(tblMovement[[#This Row],[Material]],3)="Ore",1,0))</f>
        <v/>
      </c>
      <c r="N1827" s="59">
        <f>IF(OR(tblMovement[[#This Row],[Tonnes_t]]="",tblMovement[[#This Row],[Grade_gpt]]=""),0,tblMovement[[#This Row],[Tonnes_t]]*tblMovement[[#This Row],[Grade_gpt]]/cfg_TroyOz)</f>
        <v/>
      </c>
      <c r="O1827" s="59">
        <f>IF(tblMovement[[#This Row],[Is_Ore]]=1,tblMovement[[#This Row],[Contained_oz]],0)</f>
        <v/>
      </c>
    </row>
    <row r="1828">
      <c r="A1828" s="54" t="n"/>
      <c r="B1828" s="61" t="n"/>
      <c r="C1828" s="61" t="n"/>
      <c r="D1828" s="61" t="n"/>
      <c r="E1828" s="61" t="n"/>
      <c r="F1828" s="55" t="n"/>
      <c r="G1828" s="56" t="n"/>
      <c r="H1828" s="55" t="n"/>
      <c r="I1828" s="62" t="n"/>
      <c r="J1828" s="58" t="n"/>
      <c r="K1828" s="63">
        <f>IF(tblMovement[[#This Row],[Source]]="","",IFERROR(INDEX(tblSources[Type],MATCH(tblMovement[[#This Row],[Source]],tblSources[Source],0)),"?"))</f>
        <v/>
      </c>
      <c r="L1828" s="63">
        <f>IF(tblMovement[[#This Row],[Destination]]="","",IFERROR(INDEX(tblDestinations[Type],MATCH(tblMovement[[#This Row],[Destination]],tblDestinations[Destination],0)),"?"))</f>
        <v/>
      </c>
      <c r="M1828" s="64">
        <f>IF(tblMovement[[#This Row],[Material]]="","",IF(LEFT(tblMovement[[#This Row],[Material]],3)="Ore",1,0))</f>
        <v/>
      </c>
      <c r="N1828" s="59">
        <f>IF(OR(tblMovement[[#This Row],[Tonnes_t]]="",tblMovement[[#This Row],[Grade_gpt]]=""),0,tblMovement[[#This Row],[Tonnes_t]]*tblMovement[[#This Row],[Grade_gpt]]/cfg_TroyOz)</f>
        <v/>
      </c>
      <c r="O1828" s="59">
        <f>IF(tblMovement[[#This Row],[Is_Ore]]=1,tblMovement[[#This Row],[Contained_oz]],0)</f>
        <v/>
      </c>
    </row>
    <row r="1829">
      <c r="A1829" s="54" t="n"/>
      <c r="B1829" s="61" t="n"/>
      <c r="C1829" s="61" t="n"/>
      <c r="D1829" s="61" t="n"/>
      <c r="E1829" s="61" t="n"/>
      <c r="F1829" s="55" t="n"/>
      <c r="G1829" s="56" t="n"/>
      <c r="H1829" s="55" t="n"/>
      <c r="I1829" s="62" t="n"/>
      <c r="J1829" s="58" t="n"/>
      <c r="K1829" s="63">
        <f>IF(tblMovement[[#This Row],[Source]]="","",IFERROR(INDEX(tblSources[Type],MATCH(tblMovement[[#This Row],[Source]],tblSources[Source],0)),"?"))</f>
        <v/>
      </c>
      <c r="L1829" s="63">
        <f>IF(tblMovement[[#This Row],[Destination]]="","",IFERROR(INDEX(tblDestinations[Type],MATCH(tblMovement[[#This Row],[Destination]],tblDestinations[Destination],0)),"?"))</f>
        <v/>
      </c>
      <c r="M1829" s="64">
        <f>IF(tblMovement[[#This Row],[Material]]="","",IF(LEFT(tblMovement[[#This Row],[Material]],3)="Ore",1,0))</f>
        <v/>
      </c>
      <c r="N1829" s="59">
        <f>IF(OR(tblMovement[[#This Row],[Tonnes_t]]="",tblMovement[[#This Row],[Grade_gpt]]=""),0,tblMovement[[#This Row],[Tonnes_t]]*tblMovement[[#This Row],[Grade_gpt]]/cfg_TroyOz)</f>
        <v/>
      </c>
      <c r="O1829" s="59">
        <f>IF(tblMovement[[#This Row],[Is_Ore]]=1,tblMovement[[#This Row],[Contained_oz]],0)</f>
        <v/>
      </c>
    </row>
    <row r="1830">
      <c r="A1830" s="54" t="n"/>
      <c r="B1830" s="61" t="n"/>
      <c r="C1830" s="61" t="n"/>
      <c r="D1830" s="61" t="n"/>
      <c r="E1830" s="61" t="n"/>
      <c r="F1830" s="55" t="n"/>
      <c r="G1830" s="56" t="n"/>
      <c r="H1830" s="55" t="n"/>
      <c r="I1830" s="62" t="n"/>
      <c r="J1830" s="58" t="n"/>
      <c r="K1830" s="63">
        <f>IF(tblMovement[[#This Row],[Source]]="","",IFERROR(INDEX(tblSources[Type],MATCH(tblMovement[[#This Row],[Source]],tblSources[Source],0)),"?"))</f>
        <v/>
      </c>
      <c r="L1830" s="63">
        <f>IF(tblMovement[[#This Row],[Destination]]="","",IFERROR(INDEX(tblDestinations[Type],MATCH(tblMovement[[#This Row],[Destination]],tblDestinations[Destination],0)),"?"))</f>
        <v/>
      </c>
      <c r="M1830" s="64">
        <f>IF(tblMovement[[#This Row],[Material]]="","",IF(LEFT(tblMovement[[#This Row],[Material]],3)="Ore",1,0))</f>
        <v/>
      </c>
      <c r="N1830" s="59">
        <f>IF(OR(tblMovement[[#This Row],[Tonnes_t]]="",tblMovement[[#This Row],[Grade_gpt]]=""),0,tblMovement[[#This Row],[Tonnes_t]]*tblMovement[[#This Row],[Grade_gpt]]/cfg_TroyOz)</f>
        <v/>
      </c>
      <c r="O1830" s="59">
        <f>IF(tblMovement[[#This Row],[Is_Ore]]=1,tblMovement[[#This Row],[Contained_oz]],0)</f>
        <v/>
      </c>
    </row>
    <row r="1831">
      <c r="A1831" s="54" t="n"/>
      <c r="B1831" s="61" t="n"/>
      <c r="C1831" s="61" t="n"/>
      <c r="D1831" s="61" t="n"/>
      <c r="E1831" s="61" t="n"/>
      <c r="F1831" s="55" t="n"/>
      <c r="G1831" s="56" t="n"/>
      <c r="H1831" s="55" t="n"/>
      <c r="I1831" s="62" t="n"/>
      <c r="J1831" s="58" t="n"/>
      <c r="K1831" s="63">
        <f>IF(tblMovement[[#This Row],[Source]]="","",IFERROR(INDEX(tblSources[Type],MATCH(tblMovement[[#This Row],[Source]],tblSources[Source],0)),"?"))</f>
        <v/>
      </c>
      <c r="L1831" s="63">
        <f>IF(tblMovement[[#This Row],[Destination]]="","",IFERROR(INDEX(tblDestinations[Type],MATCH(tblMovement[[#This Row],[Destination]],tblDestinations[Destination],0)),"?"))</f>
        <v/>
      </c>
      <c r="M1831" s="64">
        <f>IF(tblMovement[[#This Row],[Material]]="","",IF(LEFT(tblMovement[[#This Row],[Material]],3)="Ore",1,0))</f>
        <v/>
      </c>
      <c r="N1831" s="59">
        <f>IF(OR(tblMovement[[#This Row],[Tonnes_t]]="",tblMovement[[#This Row],[Grade_gpt]]=""),0,tblMovement[[#This Row],[Tonnes_t]]*tblMovement[[#This Row],[Grade_gpt]]/cfg_TroyOz)</f>
        <v/>
      </c>
      <c r="O1831" s="59">
        <f>IF(tblMovement[[#This Row],[Is_Ore]]=1,tblMovement[[#This Row],[Contained_oz]],0)</f>
        <v/>
      </c>
    </row>
    <row r="1832">
      <c r="A1832" s="54" t="n"/>
      <c r="B1832" s="61" t="n"/>
      <c r="C1832" s="61" t="n"/>
      <c r="D1832" s="61" t="n"/>
      <c r="E1832" s="61" t="n"/>
      <c r="F1832" s="55" t="n"/>
      <c r="G1832" s="56" t="n"/>
      <c r="H1832" s="55" t="n"/>
      <c r="I1832" s="62" t="n"/>
      <c r="J1832" s="58" t="n"/>
      <c r="K1832" s="63">
        <f>IF(tblMovement[[#This Row],[Source]]="","",IFERROR(INDEX(tblSources[Type],MATCH(tblMovement[[#This Row],[Source]],tblSources[Source],0)),"?"))</f>
        <v/>
      </c>
      <c r="L1832" s="63">
        <f>IF(tblMovement[[#This Row],[Destination]]="","",IFERROR(INDEX(tblDestinations[Type],MATCH(tblMovement[[#This Row],[Destination]],tblDestinations[Destination],0)),"?"))</f>
        <v/>
      </c>
      <c r="M1832" s="64">
        <f>IF(tblMovement[[#This Row],[Material]]="","",IF(LEFT(tblMovement[[#This Row],[Material]],3)="Ore",1,0))</f>
        <v/>
      </c>
      <c r="N1832" s="59">
        <f>IF(OR(tblMovement[[#This Row],[Tonnes_t]]="",tblMovement[[#This Row],[Grade_gpt]]=""),0,tblMovement[[#This Row],[Tonnes_t]]*tblMovement[[#This Row],[Grade_gpt]]/cfg_TroyOz)</f>
        <v/>
      </c>
      <c r="O1832" s="59">
        <f>IF(tblMovement[[#This Row],[Is_Ore]]=1,tblMovement[[#This Row],[Contained_oz]],0)</f>
        <v/>
      </c>
    </row>
    <row r="1833">
      <c r="A1833" s="54" t="n"/>
      <c r="B1833" s="61" t="n"/>
      <c r="C1833" s="61" t="n"/>
      <c r="D1833" s="61" t="n"/>
      <c r="E1833" s="61" t="n"/>
      <c r="F1833" s="55" t="n"/>
      <c r="G1833" s="56" t="n"/>
      <c r="H1833" s="55" t="n"/>
      <c r="I1833" s="62" t="n"/>
      <c r="J1833" s="58" t="n"/>
      <c r="K1833" s="63">
        <f>IF(tblMovement[[#This Row],[Source]]="","",IFERROR(INDEX(tblSources[Type],MATCH(tblMovement[[#This Row],[Source]],tblSources[Source],0)),"?"))</f>
        <v/>
      </c>
      <c r="L1833" s="63">
        <f>IF(tblMovement[[#This Row],[Destination]]="","",IFERROR(INDEX(tblDestinations[Type],MATCH(tblMovement[[#This Row],[Destination]],tblDestinations[Destination],0)),"?"))</f>
        <v/>
      </c>
      <c r="M1833" s="64">
        <f>IF(tblMovement[[#This Row],[Material]]="","",IF(LEFT(tblMovement[[#This Row],[Material]],3)="Ore",1,0))</f>
        <v/>
      </c>
      <c r="N1833" s="59">
        <f>IF(OR(tblMovement[[#This Row],[Tonnes_t]]="",tblMovement[[#This Row],[Grade_gpt]]=""),0,tblMovement[[#This Row],[Tonnes_t]]*tblMovement[[#This Row],[Grade_gpt]]/cfg_TroyOz)</f>
        <v/>
      </c>
      <c r="O1833" s="59">
        <f>IF(tblMovement[[#This Row],[Is_Ore]]=1,tblMovement[[#This Row],[Contained_oz]],0)</f>
        <v/>
      </c>
    </row>
    <row r="1834">
      <c r="A1834" s="54" t="n"/>
      <c r="B1834" s="61" t="n"/>
      <c r="C1834" s="61" t="n"/>
      <c r="D1834" s="61" t="n"/>
      <c r="E1834" s="61" t="n"/>
      <c r="F1834" s="55" t="n"/>
      <c r="G1834" s="56" t="n"/>
      <c r="H1834" s="55" t="n"/>
      <c r="I1834" s="62" t="n"/>
      <c r="J1834" s="58" t="n"/>
      <c r="K1834" s="63">
        <f>IF(tblMovement[[#This Row],[Source]]="","",IFERROR(INDEX(tblSources[Type],MATCH(tblMovement[[#This Row],[Source]],tblSources[Source],0)),"?"))</f>
        <v/>
      </c>
      <c r="L1834" s="63">
        <f>IF(tblMovement[[#This Row],[Destination]]="","",IFERROR(INDEX(tblDestinations[Type],MATCH(tblMovement[[#This Row],[Destination]],tblDestinations[Destination],0)),"?"))</f>
        <v/>
      </c>
      <c r="M1834" s="64">
        <f>IF(tblMovement[[#This Row],[Material]]="","",IF(LEFT(tblMovement[[#This Row],[Material]],3)="Ore",1,0))</f>
        <v/>
      </c>
      <c r="N1834" s="59">
        <f>IF(OR(tblMovement[[#This Row],[Tonnes_t]]="",tblMovement[[#This Row],[Grade_gpt]]=""),0,tblMovement[[#This Row],[Tonnes_t]]*tblMovement[[#This Row],[Grade_gpt]]/cfg_TroyOz)</f>
        <v/>
      </c>
      <c r="O1834" s="59">
        <f>IF(tblMovement[[#This Row],[Is_Ore]]=1,tblMovement[[#This Row],[Contained_oz]],0)</f>
        <v/>
      </c>
    </row>
    <row r="1835">
      <c r="A1835" s="54" t="n"/>
      <c r="B1835" s="61" t="n"/>
      <c r="C1835" s="61" t="n"/>
      <c r="D1835" s="61" t="n"/>
      <c r="E1835" s="61" t="n"/>
      <c r="F1835" s="55" t="n"/>
      <c r="G1835" s="56" t="n"/>
      <c r="H1835" s="55" t="n"/>
      <c r="I1835" s="62" t="n"/>
      <c r="J1835" s="58" t="n"/>
      <c r="K1835" s="63">
        <f>IF(tblMovement[[#This Row],[Source]]="","",IFERROR(INDEX(tblSources[Type],MATCH(tblMovement[[#This Row],[Source]],tblSources[Source],0)),"?"))</f>
        <v/>
      </c>
      <c r="L1835" s="63">
        <f>IF(tblMovement[[#This Row],[Destination]]="","",IFERROR(INDEX(tblDestinations[Type],MATCH(tblMovement[[#This Row],[Destination]],tblDestinations[Destination],0)),"?"))</f>
        <v/>
      </c>
      <c r="M1835" s="64">
        <f>IF(tblMovement[[#This Row],[Material]]="","",IF(LEFT(tblMovement[[#This Row],[Material]],3)="Ore",1,0))</f>
        <v/>
      </c>
      <c r="N1835" s="59">
        <f>IF(OR(tblMovement[[#This Row],[Tonnes_t]]="",tblMovement[[#This Row],[Grade_gpt]]=""),0,tblMovement[[#This Row],[Tonnes_t]]*tblMovement[[#This Row],[Grade_gpt]]/cfg_TroyOz)</f>
        <v/>
      </c>
      <c r="O1835" s="59">
        <f>IF(tblMovement[[#This Row],[Is_Ore]]=1,tblMovement[[#This Row],[Contained_oz]],0)</f>
        <v/>
      </c>
    </row>
    <row r="1836">
      <c r="A1836" s="54" t="n"/>
      <c r="B1836" s="61" t="n"/>
      <c r="C1836" s="61" t="n"/>
      <c r="D1836" s="61" t="n"/>
      <c r="E1836" s="61" t="n"/>
      <c r="F1836" s="55" t="n"/>
      <c r="G1836" s="56" t="n"/>
      <c r="H1836" s="55" t="n"/>
      <c r="I1836" s="62" t="n"/>
      <c r="J1836" s="58" t="n"/>
      <c r="K1836" s="63">
        <f>IF(tblMovement[[#This Row],[Source]]="","",IFERROR(INDEX(tblSources[Type],MATCH(tblMovement[[#This Row],[Source]],tblSources[Source],0)),"?"))</f>
        <v/>
      </c>
      <c r="L1836" s="63">
        <f>IF(tblMovement[[#This Row],[Destination]]="","",IFERROR(INDEX(tblDestinations[Type],MATCH(tblMovement[[#This Row],[Destination]],tblDestinations[Destination],0)),"?"))</f>
        <v/>
      </c>
      <c r="M1836" s="64">
        <f>IF(tblMovement[[#This Row],[Material]]="","",IF(LEFT(tblMovement[[#This Row],[Material]],3)="Ore",1,0))</f>
        <v/>
      </c>
      <c r="N1836" s="59">
        <f>IF(OR(tblMovement[[#This Row],[Tonnes_t]]="",tblMovement[[#This Row],[Grade_gpt]]=""),0,tblMovement[[#This Row],[Tonnes_t]]*tblMovement[[#This Row],[Grade_gpt]]/cfg_TroyOz)</f>
        <v/>
      </c>
      <c r="O1836" s="59">
        <f>IF(tblMovement[[#This Row],[Is_Ore]]=1,tblMovement[[#This Row],[Contained_oz]],0)</f>
        <v/>
      </c>
    </row>
    <row r="1837">
      <c r="A1837" s="54" t="n"/>
      <c r="B1837" s="61" t="n"/>
      <c r="C1837" s="61" t="n"/>
      <c r="D1837" s="61" t="n"/>
      <c r="E1837" s="61" t="n"/>
      <c r="F1837" s="55" t="n"/>
      <c r="G1837" s="56" t="n"/>
      <c r="H1837" s="55" t="n"/>
      <c r="I1837" s="62" t="n"/>
      <c r="J1837" s="58" t="n"/>
      <c r="K1837" s="63">
        <f>IF(tblMovement[[#This Row],[Source]]="","",IFERROR(INDEX(tblSources[Type],MATCH(tblMovement[[#This Row],[Source]],tblSources[Source],0)),"?"))</f>
        <v/>
      </c>
      <c r="L1837" s="63">
        <f>IF(tblMovement[[#This Row],[Destination]]="","",IFERROR(INDEX(tblDestinations[Type],MATCH(tblMovement[[#This Row],[Destination]],tblDestinations[Destination],0)),"?"))</f>
        <v/>
      </c>
      <c r="M1837" s="64">
        <f>IF(tblMovement[[#This Row],[Material]]="","",IF(LEFT(tblMovement[[#This Row],[Material]],3)="Ore",1,0))</f>
        <v/>
      </c>
      <c r="N1837" s="59">
        <f>IF(OR(tblMovement[[#This Row],[Tonnes_t]]="",tblMovement[[#This Row],[Grade_gpt]]=""),0,tblMovement[[#This Row],[Tonnes_t]]*tblMovement[[#This Row],[Grade_gpt]]/cfg_TroyOz)</f>
        <v/>
      </c>
      <c r="O1837" s="59">
        <f>IF(tblMovement[[#This Row],[Is_Ore]]=1,tblMovement[[#This Row],[Contained_oz]],0)</f>
        <v/>
      </c>
    </row>
    <row r="1838">
      <c r="A1838" s="54" t="n"/>
      <c r="B1838" s="61" t="n"/>
      <c r="C1838" s="61" t="n"/>
      <c r="D1838" s="61" t="n"/>
      <c r="E1838" s="61" t="n"/>
      <c r="F1838" s="55" t="n"/>
      <c r="G1838" s="56" t="n"/>
      <c r="H1838" s="55" t="n"/>
      <c r="I1838" s="62" t="n"/>
      <c r="J1838" s="58" t="n"/>
      <c r="K1838" s="63">
        <f>IF(tblMovement[[#This Row],[Source]]="","",IFERROR(INDEX(tblSources[Type],MATCH(tblMovement[[#This Row],[Source]],tblSources[Source],0)),"?"))</f>
        <v/>
      </c>
      <c r="L1838" s="63">
        <f>IF(tblMovement[[#This Row],[Destination]]="","",IFERROR(INDEX(tblDestinations[Type],MATCH(tblMovement[[#This Row],[Destination]],tblDestinations[Destination],0)),"?"))</f>
        <v/>
      </c>
      <c r="M1838" s="64">
        <f>IF(tblMovement[[#This Row],[Material]]="","",IF(LEFT(tblMovement[[#This Row],[Material]],3)="Ore",1,0))</f>
        <v/>
      </c>
      <c r="N1838" s="59">
        <f>IF(OR(tblMovement[[#This Row],[Tonnes_t]]="",tblMovement[[#This Row],[Grade_gpt]]=""),0,tblMovement[[#This Row],[Tonnes_t]]*tblMovement[[#This Row],[Grade_gpt]]/cfg_TroyOz)</f>
        <v/>
      </c>
      <c r="O1838" s="59">
        <f>IF(tblMovement[[#This Row],[Is_Ore]]=1,tblMovement[[#This Row],[Contained_oz]],0)</f>
        <v/>
      </c>
    </row>
    <row r="1839">
      <c r="A1839" s="54" t="n"/>
      <c r="B1839" s="61" t="n"/>
      <c r="C1839" s="61" t="n"/>
      <c r="D1839" s="61" t="n"/>
      <c r="E1839" s="61" t="n"/>
      <c r="F1839" s="55" t="n"/>
      <c r="G1839" s="56" t="n"/>
      <c r="H1839" s="55" t="n"/>
      <c r="I1839" s="62" t="n"/>
      <c r="J1839" s="58" t="n"/>
      <c r="K1839" s="63">
        <f>IF(tblMovement[[#This Row],[Source]]="","",IFERROR(INDEX(tblSources[Type],MATCH(tblMovement[[#This Row],[Source]],tblSources[Source],0)),"?"))</f>
        <v/>
      </c>
      <c r="L1839" s="63">
        <f>IF(tblMovement[[#This Row],[Destination]]="","",IFERROR(INDEX(tblDestinations[Type],MATCH(tblMovement[[#This Row],[Destination]],tblDestinations[Destination],0)),"?"))</f>
        <v/>
      </c>
      <c r="M1839" s="64">
        <f>IF(tblMovement[[#This Row],[Material]]="","",IF(LEFT(tblMovement[[#This Row],[Material]],3)="Ore",1,0))</f>
        <v/>
      </c>
      <c r="N1839" s="59">
        <f>IF(OR(tblMovement[[#This Row],[Tonnes_t]]="",tblMovement[[#This Row],[Grade_gpt]]=""),0,tblMovement[[#This Row],[Tonnes_t]]*tblMovement[[#This Row],[Grade_gpt]]/cfg_TroyOz)</f>
        <v/>
      </c>
      <c r="O1839" s="59">
        <f>IF(tblMovement[[#This Row],[Is_Ore]]=1,tblMovement[[#This Row],[Contained_oz]],0)</f>
        <v/>
      </c>
    </row>
    <row r="1840">
      <c r="A1840" s="54" t="n"/>
      <c r="B1840" s="61" t="n"/>
      <c r="C1840" s="61" t="n"/>
      <c r="D1840" s="61" t="n"/>
      <c r="E1840" s="61" t="n"/>
      <c r="F1840" s="55" t="n"/>
      <c r="G1840" s="56" t="n"/>
      <c r="H1840" s="55" t="n"/>
      <c r="I1840" s="62" t="n"/>
      <c r="J1840" s="58" t="n"/>
      <c r="K1840" s="63">
        <f>IF(tblMovement[[#This Row],[Source]]="","",IFERROR(INDEX(tblSources[Type],MATCH(tblMovement[[#This Row],[Source]],tblSources[Source],0)),"?"))</f>
        <v/>
      </c>
      <c r="L1840" s="63">
        <f>IF(tblMovement[[#This Row],[Destination]]="","",IFERROR(INDEX(tblDestinations[Type],MATCH(tblMovement[[#This Row],[Destination]],tblDestinations[Destination],0)),"?"))</f>
        <v/>
      </c>
      <c r="M1840" s="64">
        <f>IF(tblMovement[[#This Row],[Material]]="","",IF(LEFT(tblMovement[[#This Row],[Material]],3)="Ore",1,0))</f>
        <v/>
      </c>
      <c r="N1840" s="59">
        <f>IF(OR(tblMovement[[#This Row],[Tonnes_t]]="",tblMovement[[#This Row],[Grade_gpt]]=""),0,tblMovement[[#This Row],[Tonnes_t]]*tblMovement[[#This Row],[Grade_gpt]]/cfg_TroyOz)</f>
        <v/>
      </c>
      <c r="O1840" s="59">
        <f>IF(tblMovement[[#This Row],[Is_Ore]]=1,tblMovement[[#This Row],[Contained_oz]],0)</f>
        <v/>
      </c>
    </row>
    <row r="1841">
      <c r="A1841" s="54" t="n"/>
      <c r="B1841" s="61" t="n"/>
      <c r="C1841" s="61" t="n"/>
      <c r="D1841" s="61" t="n"/>
      <c r="E1841" s="61" t="n"/>
      <c r="F1841" s="55" t="n"/>
      <c r="G1841" s="56" t="n"/>
      <c r="H1841" s="55" t="n"/>
      <c r="I1841" s="62" t="n"/>
      <c r="J1841" s="58" t="n"/>
      <c r="K1841" s="63">
        <f>IF(tblMovement[[#This Row],[Source]]="","",IFERROR(INDEX(tblSources[Type],MATCH(tblMovement[[#This Row],[Source]],tblSources[Source],0)),"?"))</f>
        <v/>
      </c>
      <c r="L1841" s="63">
        <f>IF(tblMovement[[#This Row],[Destination]]="","",IFERROR(INDEX(tblDestinations[Type],MATCH(tblMovement[[#This Row],[Destination]],tblDestinations[Destination],0)),"?"))</f>
        <v/>
      </c>
      <c r="M1841" s="64">
        <f>IF(tblMovement[[#This Row],[Material]]="","",IF(LEFT(tblMovement[[#This Row],[Material]],3)="Ore",1,0))</f>
        <v/>
      </c>
      <c r="N1841" s="59">
        <f>IF(OR(tblMovement[[#This Row],[Tonnes_t]]="",tblMovement[[#This Row],[Grade_gpt]]=""),0,tblMovement[[#This Row],[Tonnes_t]]*tblMovement[[#This Row],[Grade_gpt]]/cfg_TroyOz)</f>
        <v/>
      </c>
      <c r="O1841" s="59">
        <f>IF(tblMovement[[#This Row],[Is_Ore]]=1,tblMovement[[#This Row],[Contained_oz]],0)</f>
        <v/>
      </c>
    </row>
    <row r="1842">
      <c r="A1842" s="54" t="n"/>
      <c r="B1842" s="61" t="n"/>
      <c r="C1842" s="61" t="n"/>
      <c r="D1842" s="61" t="n"/>
      <c r="E1842" s="61" t="n"/>
      <c r="F1842" s="55" t="n"/>
      <c r="G1842" s="56" t="n"/>
      <c r="H1842" s="55" t="n"/>
      <c r="I1842" s="62" t="n"/>
      <c r="J1842" s="58" t="n"/>
      <c r="K1842" s="63">
        <f>IF(tblMovement[[#This Row],[Source]]="","",IFERROR(INDEX(tblSources[Type],MATCH(tblMovement[[#This Row],[Source]],tblSources[Source],0)),"?"))</f>
        <v/>
      </c>
      <c r="L1842" s="63">
        <f>IF(tblMovement[[#This Row],[Destination]]="","",IFERROR(INDEX(tblDestinations[Type],MATCH(tblMovement[[#This Row],[Destination]],tblDestinations[Destination],0)),"?"))</f>
        <v/>
      </c>
      <c r="M1842" s="64">
        <f>IF(tblMovement[[#This Row],[Material]]="","",IF(LEFT(tblMovement[[#This Row],[Material]],3)="Ore",1,0))</f>
        <v/>
      </c>
      <c r="N1842" s="59">
        <f>IF(OR(tblMovement[[#This Row],[Tonnes_t]]="",tblMovement[[#This Row],[Grade_gpt]]=""),0,tblMovement[[#This Row],[Tonnes_t]]*tblMovement[[#This Row],[Grade_gpt]]/cfg_TroyOz)</f>
        <v/>
      </c>
      <c r="O1842" s="59">
        <f>IF(tblMovement[[#This Row],[Is_Ore]]=1,tblMovement[[#This Row],[Contained_oz]],0)</f>
        <v/>
      </c>
    </row>
    <row r="1843">
      <c r="A1843" s="54" t="n"/>
      <c r="B1843" s="61" t="n"/>
      <c r="C1843" s="61" t="n"/>
      <c r="D1843" s="61" t="n"/>
      <c r="E1843" s="61" t="n"/>
      <c r="F1843" s="55" t="n"/>
      <c r="G1843" s="56" t="n"/>
      <c r="H1843" s="55" t="n"/>
      <c r="I1843" s="62" t="n"/>
      <c r="J1843" s="58" t="n"/>
      <c r="K1843" s="63">
        <f>IF(tblMovement[[#This Row],[Source]]="","",IFERROR(INDEX(tblSources[Type],MATCH(tblMovement[[#This Row],[Source]],tblSources[Source],0)),"?"))</f>
        <v/>
      </c>
      <c r="L1843" s="63">
        <f>IF(tblMovement[[#This Row],[Destination]]="","",IFERROR(INDEX(tblDestinations[Type],MATCH(tblMovement[[#This Row],[Destination]],tblDestinations[Destination],0)),"?"))</f>
        <v/>
      </c>
      <c r="M1843" s="64">
        <f>IF(tblMovement[[#This Row],[Material]]="","",IF(LEFT(tblMovement[[#This Row],[Material]],3)="Ore",1,0))</f>
        <v/>
      </c>
      <c r="N1843" s="59">
        <f>IF(OR(tblMovement[[#This Row],[Tonnes_t]]="",tblMovement[[#This Row],[Grade_gpt]]=""),0,tblMovement[[#This Row],[Tonnes_t]]*tblMovement[[#This Row],[Grade_gpt]]/cfg_TroyOz)</f>
        <v/>
      </c>
      <c r="O1843" s="59">
        <f>IF(tblMovement[[#This Row],[Is_Ore]]=1,tblMovement[[#This Row],[Contained_oz]],0)</f>
        <v/>
      </c>
    </row>
    <row r="1844">
      <c r="A1844" s="54" t="n"/>
      <c r="B1844" s="61" t="n"/>
      <c r="C1844" s="61" t="n"/>
      <c r="D1844" s="61" t="n"/>
      <c r="E1844" s="61" t="n"/>
      <c r="F1844" s="55" t="n"/>
      <c r="G1844" s="56" t="n"/>
      <c r="H1844" s="55" t="n"/>
      <c r="I1844" s="62" t="n"/>
      <c r="J1844" s="58" t="n"/>
      <c r="K1844" s="63">
        <f>IF(tblMovement[[#This Row],[Source]]="","",IFERROR(INDEX(tblSources[Type],MATCH(tblMovement[[#This Row],[Source]],tblSources[Source],0)),"?"))</f>
        <v/>
      </c>
      <c r="L1844" s="63">
        <f>IF(tblMovement[[#This Row],[Destination]]="","",IFERROR(INDEX(tblDestinations[Type],MATCH(tblMovement[[#This Row],[Destination]],tblDestinations[Destination],0)),"?"))</f>
        <v/>
      </c>
      <c r="M1844" s="64">
        <f>IF(tblMovement[[#This Row],[Material]]="","",IF(LEFT(tblMovement[[#This Row],[Material]],3)="Ore",1,0))</f>
        <v/>
      </c>
      <c r="N1844" s="59">
        <f>IF(OR(tblMovement[[#This Row],[Tonnes_t]]="",tblMovement[[#This Row],[Grade_gpt]]=""),0,tblMovement[[#This Row],[Tonnes_t]]*tblMovement[[#This Row],[Grade_gpt]]/cfg_TroyOz)</f>
        <v/>
      </c>
      <c r="O1844" s="59">
        <f>IF(tblMovement[[#This Row],[Is_Ore]]=1,tblMovement[[#This Row],[Contained_oz]],0)</f>
        <v/>
      </c>
    </row>
    <row r="1845">
      <c r="A1845" s="54" t="n"/>
      <c r="B1845" s="61" t="n"/>
      <c r="C1845" s="61" t="n"/>
      <c r="D1845" s="61" t="n"/>
      <c r="E1845" s="61" t="n"/>
      <c r="F1845" s="55" t="n"/>
      <c r="G1845" s="56" t="n"/>
      <c r="H1845" s="55" t="n"/>
      <c r="I1845" s="62" t="n"/>
      <c r="J1845" s="58" t="n"/>
      <c r="K1845" s="63">
        <f>IF(tblMovement[[#This Row],[Source]]="","",IFERROR(INDEX(tblSources[Type],MATCH(tblMovement[[#This Row],[Source]],tblSources[Source],0)),"?"))</f>
        <v/>
      </c>
      <c r="L1845" s="63">
        <f>IF(tblMovement[[#This Row],[Destination]]="","",IFERROR(INDEX(tblDestinations[Type],MATCH(tblMovement[[#This Row],[Destination]],tblDestinations[Destination],0)),"?"))</f>
        <v/>
      </c>
      <c r="M1845" s="64">
        <f>IF(tblMovement[[#This Row],[Material]]="","",IF(LEFT(tblMovement[[#This Row],[Material]],3)="Ore",1,0))</f>
        <v/>
      </c>
      <c r="N1845" s="59">
        <f>IF(OR(tblMovement[[#This Row],[Tonnes_t]]="",tblMovement[[#This Row],[Grade_gpt]]=""),0,tblMovement[[#This Row],[Tonnes_t]]*tblMovement[[#This Row],[Grade_gpt]]/cfg_TroyOz)</f>
        <v/>
      </c>
      <c r="O1845" s="59">
        <f>IF(tblMovement[[#This Row],[Is_Ore]]=1,tblMovement[[#This Row],[Contained_oz]],0)</f>
        <v/>
      </c>
    </row>
    <row r="1846">
      <c r="A1846" s="54" t="n"/>
      <c r="B1846" s="61" t="n"/>
      <c r="C1846" s="61" t="n"/>
      <c r="D1846" s="61" t="n"/>
      <c r="E1846" s="61" t="n"/>
      <c r="F1846" s="55" t="n"/>
      <c r="G1846" s="56" t="n"/>
      <c r="H1846" s="55" t="n"/>
      <c r="I1846" s="62" t="n"/>
      <c r="J1846" s="58" t="n"/>
      <c r="K1846" s="63">
        <f>IF(tblMovement[[#This Row],[Source]]="","",IFERROR(INDEX(tblSources[Type],MATCH(tblMovement[[#This Row],[Source]],tblSources[Source],0)),"?"))</f>
        <v/>
      </c>
      <c r="L1846" s="63">
        <f>IF(tblMovement[[#This Row],[Destination]]="","",IFERROR(INDEX(tblDestinations[Type],MATCH(tblMovement[[#This Row],[Destination]],tblDestinations[Destination],0)),"?"))</f>
        <v/>
      </c>
      <c r="M1846" s="64">
        <f>IF(tblMovement[[#This Row],[Material]]="","",IF(LEFT(tblMovement[[#This Row],[Material]],3)="Ore",1,0))</f>
        <v/>
      </c>
      <c r="N1846" s="59">
        <f>IF(OR(tblMovement[[#This Row],[Tonnes_t]]="",tblMovement[[#This Row],[Grade_gpt]]=""),0,tblMovement[[#This Row],[Tonnes_t]]*tblMovement[[#This Row],[Grade_gpt]]/cfg_TroyOz)</f>
        <v/>
      </c>
      <c r="O1846" s="59">
        <f>IF(tblMovement[[#This Row],[Is_Ore]]=1,tblMovement[[#This Row],[Contained_oz]],0)</f>
        <v/>
      </c>
    </row>
    <row r="1847">
      <c r="A1847" s="54" t="n"/>
      <c r="B1847" s="61" t="n"/>
      <c r="C1847" s="61" t="n"/>
      <c r="D1847" s="61" t="n"/>
      <c r="E1847" s="61" t="n"/>
      <c r="F1847" s="55" t="n"/>
      <c r="G1847" s="56" t="n"/>
      <c r="H1847" s="55" t="n"/>
      <c r="I1847" s="62" t="n"/>
      <c r="J1847" s="58" t="n"/>
      <c r="K1847" s="63">
        <f>IF(tblMovement[[#This Row],[Source]]="","",IFERROR(INDEX(tblSources[Type],MATCH(tblMovement[[#This Row],[Source]],tblSources[Source],0)),"?"))</f>
        <v/>
      </c>
      <c r="L1847" s="63">
        <f>IF(tblMovement[[#This Row],[Destination]]="","",IFERROR(INDEX(tblDestinations[Type],MATCH(tblMovement[[#This Row],[Destination]],tblDestinations[Destination],0)),"?"))</f>
        <v/>
      </c>
      <c r="M1847" s="64">
        <f>IF(tblMovement[[#This Row],[Material]]="","",IF(LEFT(tblMovement[[#This Row],[Material]],3)="Ore",1,0))</f>
        <v/>
      </c>
      <c r="N1847" s="59">
        <f>IF(OR(tblMovement[[#This Row],[Tonnes_t]]="",tblMovement[[#This Row],[Grade_gpt]]=""),0,tblMovement[[#This Row],[Tonnes_t]]*tblMovement[[#This Row],[Grade_gpt]]/cfg_TroyOz)</f>
        <v/>
      </c>
      <c r="O1847" s="59">
        <f>IF(tblMovement[[#This Row],[Is_Ore]]=1,tblMovement[[#This Row],[Contained_oz]],0)</f>
        <v/>
      </c>
    </row>
    <row r="1848">
      <c r="A1848" s="54" t="n"/>
      <c r="B1848" s="61" t="n"/>
      <c r="C1848" s="61" t="n"/>
      <c r="D1848" s="61" t="n"/>
      <c r="E1848" s="61" t="n"/>
      <c r="F1848" s="55" t="n"/>
      <c r="G1848" s="56" t="n"/>
      <c r="H1848" s="55" t="n"/>
      <c r="I1848" s="62" t="n"/>
      <c r="J1848" s="58" t="n"/>
      <c r="K1848" s="63">
        <f>IF(tblMovement[[#This Row],[Source]]="","",IFERROR(INDEX(tblSources[Type],MATCH(tblMovement[[#This Row],[Source]],tblSources[Source],0)),"?"))</f>
        <v/>
      </c>
      <c r="L1848" s="63">
        <f>IF(tblMovement[[#This Row],[Destination]]="","",IFERROR(INDEX(tblDestinations[Type],MATCH(tblMovement[[#This Row],[Destination]],tblDestinations[Destination],0)),"?"))</f>
        <v/>
      </c>
      <c r="M1848" s="64">
        <f>IF(tblMovement[[#This Row],[Material]]="","",IF(LEFT(tblMovement[[#This Row],[Material]],3)="Ore",1,0))</f>
        <v/>
      </c>
      <c r="N1848" s="59">
        <f>IF(OR(tblMovement[[#This Row],[Tonnes_t]]="",tblMovement[[#This Row],[Grade_gpt]]=""),0,tblMovement[[#This Row],[Tonnes_t]]*tblMovement[[#This Row],[Grade_gpt]]/cfg_TroyOz)</f>
        <v/>
      </c>
      <c r="O1848" s="59">
        <f>IF(tblMovement[[#This Row],[Is_Ore]]=1,tblMovement[[#This Row],[Contained_oz]],0)</f>
        <v/>
      </c>
    </row>
    <row r="1849">
      <c r="A1849" s="54" t="n"/>
      <c r="B1849" s="61" t="n"/>
      <c r="C1849" s="61" t="n"/>
      <c r="D1849" s="61" t="n"/>
      <c r="E1849" s="61" t="n"/>
      <c r="F1849" s="55" t="n"/>
      <c r="G1849" s="56" t="n"/>
      <c r="H1849" s="55" t="n"/>
      <c r="I1849" s="62" t="n"/>
      <c r="J1849" s="58" t="n"/>
      <c r="K1849" s="63">
        <f>IF(tblMovement[[#This Row],[Source]]="","",IFERROR(INDEX(tblSources[Type],MATCH(tblMovement[[#This Row],[Source]],tblSources[Source],0)),"?"))</f>
        <v/>
      </c>
      <c r="L1849" s="63">
        <f>IF(tblMovement[[#This Row],[Destination]]="","",IFERROR(INDEX(tblDestinations[Type],MATCH(tblMovement[[#This Row],[Destination]],tblDestinations[Destination],0)),"?"))</f>
        <v/>
      </c>
      <c r="M1849" s="64">
        <f>IF(tblMovement[[#This Row],[Material]]="","",IF(LEFT(tblMovement[[#This Row],[Material]],3)="Ore",1,0))</f>
        <v/>
      </c>
      <c r="N1849" s="59">
        <f>IF(OR(tblMovement[[#This Row],[Tonnes_t]]="",tblMovement[[#This Row],[Grade_gpt]]=""),0,tblMovement[[#This Row],[Tonnes_t]]*tblMovement[[#This Row],[Grade_gpt]]/cfg_TroyOz)</f>
        <v/>
      </c>
      <c r="O1849" s="59">
        <f>IF(tblMovement[[#This Row],[Is_Ore]]=1,tblMovement[[#This Row],[Contained_oz]],0)</f>
        <v/>
      </c>
    </row>
    <row r="1850">
      <c r="A1850" s="54" t="n"/>
      <c r="B1850" s="61" t="n"/>
      <c r="C1850" s="61" t="n"/>
      <c r="D1850" s="61" t="n"/>
      <c r="E1850" s="61" t="n"/>
      <c r="F1850" s="55" t="n"/>
      <c r="G1850" s="56" t="n"/>
      <c r="H1850" s="55" t="n"/>
      <c r="I1850" s="62" t="n"/>
      <c r="J1850" s="58" t="n"/>
      <c r="K1850" s="63">
        <f>IF(tblMovement[[#This Row],[Source]]="","",IFERROR(INDEX(tblSources[Type],MATCH(tblMovement[[#This Row],[Source]],tblSources[Source],0)),"?"))</f>
        <v/>
      </c>
      <c r="L1850" s="63">
        <f>IF(tblMovement[[#This Row],[Destination]]="","",IFERROR(INDEX(tblDestinations[Type],MATCH(tblMovement[[#This Row],[Destination]],tblDestinations[Destination],0)),"?"))</f>
        <v/>
      </c>
      <c r="M1850" s="64">
        <f>IF(tblMovement[[#This Row],[Material]]="","",IF(LEFT(tblMovement[[#This Row],[Material]],3)="Ore",1,0))</f>
        <v/>
      </c>
      <c r="N1850" s="59">
        <f>IF(OR(tblMovement[[#This Row],[Tonnes_t]]="",tblMovement[[#This Row],[Grade_gpt]]=""),0,tblMovement[[#This Row],[Tonnes_t]]*tblMovement[[#This Row],[Grade_gpt]]/cfg_TroyOz)</f>
        <v/>
      </c>
      <c r="O1850" s="59">
        <f>IF(tblMovement[[#This Row],[Is_Ore]]=1,tblMovement[[#This Row],[Contained_oz]],0)</f>
        <v/>
      </c>
    </row>
    <row r="1851">
      <c r="A1851" s="54" t="n"/>
      <c r="B1851" s="61" t="n"/>
      <c r="C1851" s="61" t="n"/>
      <c r="D1851" s="61" t="n"/>
      <c r="E1851" s="61" t="n"/>
      <c r="F1851" s="55" t="n"/>
      <c r="G1851" s="56" t="n"/>
      <c r="H1851" s="55" t="n"/>
      <c r="I1851" s="62" t="n"/>
      <c r="J1851" s="58" t="n"/>
      <c r="K1851" s="63">
        <f>IF(tblMovement[[#This Row],[Source]]="","",IFERROR(INDEX(tblSources[Type],MATCH(tblMovement[[#This Row],[Source]],tblSources[Source],0)),"?"))</f>
        <v/>
      </c>
      <c r="L1851" s="63">
        <f>IF(tblMovement[[#This Row],[Destination]]="","",IFERROR(INDEX(tblDestinations[Type],MATCH(tblMovement[[#This Row],[Destination]],tblDestinations[Destination],0)),"?"))</f>
        <v/>
      </c>
      <c r="M1851" s="64">
        <f>IF(tblMovement[[#This Row],[Material]]="","",IF(LEFT(tblMovement[[#This Row],[Material]],3)="Ore",1,0))</f>
        <v/>
      </c>
      <c r="N1851" s="59">
        <f>IF(OR(tblMovement[[#This Row],[Tonnes_t]]="",tblMovement[[#This Row],[Grade_gpt]]=""),0,tblMovement[[#This Row],[Tonnes_t]]*tblMovement[[#This Row],[Grade_gpt]]/cfg_TroyOz)</f>
        <v/>
      </c>
      <c r="O1851" s="59">
        <f>IF(tblMovement[[#This Row],[Is_Ore]]=1,tblMovement[[#This Row],[Contained_oz]],0)</f>
        <v/>
      </c>
    </row>
    <row r="1852">
      <c r="A1852" s="54" t="n"/>
      <c r="B1852" s="61" t="n"/>
      <c r="C1852" s="61" t="n"/>
      <c r="D1852" s="61" t="n"/>
      <c r="E1852" s="61" t="n"/>
      <c r="F1852" s="55" t="n"/>
      <c r="G1852" s="56" t="n"/>
      <c r="H1852" s="55" t="n"/>
      <c r="I1852" s="62" t="n"/>
      <c r="J1852" s="58" t="n"/>
      <c r="K1852" s="63">
        <f>IF(tblMovement[[#This Row],[Source]]="","",IFERROR(INDEX(tblSources[Type],MATCH(tblMovement[[#This Row],[Source]],tblSources[Source],0)),"?"))</f>
        <v/>
      </c>
      <c r="L1852" s="63">
        <f>IF(tblMovement[[#This Row],[Destination]]="","",IFERROR(INDEX(tblDestinations[Type],MATCH(tblMovement[[#This Row],[Destination]],tblDestinations[Destination],0)),"?"))</f>
        <v/>
      </c>
      <c r="M1852" s="64">
        <f>IF(tblMovement[[#This Row],[Material]]="","",IF(LEFT(tblMovement[[#This Row],[Material]],3)="Ore",1,0))</f>
        <v/>
      </c>
      <c r="N1852" s="59">
        <f>IF(OR(tblMovement[[#This Row],[Tonnes_t]]="",tblMovement[[#This Row],[Grade_gpt]]=""),0,tblMovement[[#This Row],[Tonnes_t]]*tblMovement[[#This Row],[Grade_gpt]]/cfg_TroyOz)</f>
        <v/>
      </c>
      <c r="O1852" s="59">
        <f>IF(tblMovement[[#This Row],[Is_Ore]]=1,tblMovement[[#This Row],[Contained_oz]],0)</f>
        <v/>
      </c>
    </row>
    <row r="1853">
      <c r="A1853" s="54" t="n"/>
      <c r="B1853" s="61" t="n"/>
      <c r="C1853" s="61" t="n"/>
      <c r="D1853" s="61" t="n"/>
      <c r="E1853" s="61" t="n"/>
      <c r="F1853" s="55" t="n"/>
      <c r="G1853" s="56" t="n"/>
      <c r="H1853" s="55" t="n"/>
      <c r="I1853" s="62" t="n"/>
      <c r="J1853" s="58" t="n"/>
      <c r="K1853" s="63">
        <f>IF(tblMovement[[#This Row],[Source]]="","",IFERROR(INDEX(tblSources[Type],MATCH(tblMovement[[#This Row],[Source]],tblSources[Source],0)),"?"))</f>
        <v/>
      </c>
      <c r="L1853" s="63">
        <f>IF(tblMovement[[#This Row],[Destination]]="","",IFERROR(INDEX(tblDestinations[Type],MATCH(tblMovement[[#This Row],[Destination]],tblDestinations[Destination],0)),"?"))</f>
        <v/>
      </c>
      <c r="M1853" s="64">
        <f>IF(tblMovement[[#This Row],[Material]]="","",IF(LEFT(tblMovement[[#This Row],[Material]],3)="Ore",1,0))</f>
        <v/>
      </c>
      <c r="N1853" s="59">
        <f>IF(OR(tblMovement[[#This Row],[Tonnes_t]]="",tblMovement[[#This Row],[Grade_gpt]]=""),0,tblMovement[[#This Row],[Tonnes_t]]*tblMovement[[#This Row],[Grade_gpt]]/cfg_TroyOz)</f>
        <v/>
      </c>
      <c r="O1853" s="59">
        <f>IF(tblMovement[[#This Row],[Is_Ore]]=1,tblMovement[[#This Row],[Contained_oz]],0)</f>
        <v/>
      </c>
    </row>
    <row r="1854">
      <c r="A1854" s="54" t="n"/>
      <c r="B1854" s="61" t="n"/>
      <c r="C1854" s="61" t="n"/>
      <c r="D1854" s="61" t="n"/>
      <c r="E1854" s="61" t="n"/>
      <c r="F1854" s="55" t="n"/>
      <c r="G1854" s="56" t="n"/>
      <c r="H1854" s="55" t="n"/>
      <c r="I1854" s="62" t="n"/>
      <c r="J1854" s="58" t="n"/>
      <c r="K1854" s="63">
        <f>IF(tblMovement[[#This Row],[Source]]="","",IFERROR(INDEX(tblSources[Type],MATCH(tblMovement[[#This Row],[Source]],tblSources[Source],0)),"?"))</f>
        <v/>
      </c>
      <c r="L1854" s="63">
        <f>IF(tblMovement[[#This Row],[Destination]]="","",IFERROR(INDEX(tblDestinations[Type],MATCH(tblMovement[[#This Row],[Destination]],tblDestinations[Destination],0)),"?"))</f>
        <v/>
      </c>
      <c r="M1854" s="64">
        <f>IF(tblMovement[[#This Row],[Material]]="","",IF(LEFT(tblMovement[[#This Row],[Material]],3)="Ore",1,0))</f>
        <v/>
      </c>
      <c r="N1854" s="59">
        <f>IF(OR(tblMovement[[#This Row],[Tonnes_t]]="",tblMovement[[#This Row],[Grade_gpt]]=""),0,tblMovement[[#This Row],[Tonnes_t]]*tblMovement[[#This Row],[Grade_gpt]]/cfg_TroyOz)</f>
        <v/>
      </c>
      <c r="O1854" s="59">
        <f>IF(tblMovement[[#This Row],[Is_Ore]]=1,tblMovement[[#This Row],[Contained_oz]],0)</f>
        <v/>
      </c>
    </row>
    <row r="1855">
      <c r="A1855" s="54" t="n"/>
      <c r="B1855" s="61" t="n"/>
      <c r="C1855" s="61" t="n"/>
      <c r="D1855" s="61" t="n"/>
      <c r="E1855" s="61" t="n"/>
      <c r="F1855" s="55" t="n"/>
      <c r="G1855" s="56" t="n"/>
      <c r="H1855" s="55" t="n"/>
      <c r="I1855" s="62" t="n"/>
      <c r="J1855" s="58" t="n"/>
      <c r="K1855" s="63">
        <f>IF(tblMovement[[#This Row],[Source]]="","",IFERROR(INDEX(tblSources[Type],MATCH(tblMovement[[#This Row],[Source]],tblSources[Source],0)),"?"))</f>
        <v/>
      </c>
      <c r="L1855" s="63">
        <f>IF(tblMovement[[#This Row],[Destination]]="","",IFERROR(INDEX(tblDestinations[Type],MATCH(tblMovement[[#This Row],[Destination]],tblDestinations[Destination],0)),"?"))</f>
        <v/>
      </c>
      <c r="M1855" s="64">
        <f>IF(tblMovement[[#This Row],[Material]]="","",IF(LEFT(tblMovement[[#This Row],[Material]],3)="Ore",1,0))</f>
        <v/>
      </c>
      <c r="N1855" s="59">
        <f>IF(OR(tblMovement[[#This Row],[Tonnes_t]]="",tblMovement[[#This Row],[Grade_gpt]]=""),0,tblMovement[[#This Row],[Tonnes_t]]*tblMovement[[#This Row],[Grade_gpt]]/cfg_TroyOz)</f>
        <v/>
      </c>
      <c r="O1855" s="59">
        <f>IF(tblMovement[[#This Row],[Is_Ore]]=1,tblMovement[[#This Row],[Contained_oz]],0)</f>
        <v/>
      </c>
    </row>
    <row r="1856">
      <c r="A1856" s="54" t="n"/>
      <c r="B1856" s="61" t="n"/>
      <c r="C1856" s="61" t="n"/>
      <c r="D1856" s="61" t="n"/>
      <c r="E1856" s="61" t="n"/>
      <c r="F1856" s="55" t="n"/>
      <c r="G1856" s="56" t="n"/>
      <c r="H1856" s="55" t="n"/>
      <c r="I1856" s="62" t="n"/>
      <c r="J1856" s="58" t="n"/>
      <c r="K1856" s="63">
        <f>IF(tblMovement[[#This Row],[Source]]="","",IFERROR(INDEX(tblSources[Type],MATCH(tblMovement[[#This Row],[Source]],tblSources[Source],0)),"?"))</f>
        <v/>
      </c>
      <c r="L1856" s="63">
        <f>IF(tblMovement[[#This Row],[Destination]]="","",IFERROR(INDEX(tblDestinations[Type],MATCH(tblMovement[[#This Row],[Destination]],tblDestinations[Destination],0)),"?"))</f>
        <v/>
      </c>
      <c r="M1856" s="64">
        <f>IF(tblMovement[[#This Row],[Material]]="","",IF(LEFT(tblMovement[[#This Row],[Material]],3)="Ore",1,0))</f>
        <v/>
      </c>
      <c r="N1856" s="59">
        <f>IF(OR(tblMovement[[#This Row],[Tonnes_t]]="",tblMovement[[#This Row],[Grade_gpt]]=""),0,tblMovement[[#This Row],[Tonnes_t]]*tblMovement[[#This Row],[Grade_gpt]]/cfg_TroyOz)</f>
        <v/>
      </c>
      <c r="O1856" s="59">
        <f>IF(tblMovement[[#This Row],[Is_Ore]]=1,tblMovement[[#This Row],[Contained_oz]],0)</f>
        <v/>
      </c>
    </row>
    <row r="1857">
      <c r="A1857" s="54" t="n"/>
      <c r="B1857" s="61" t="n"/>
      <c r="C1857" s="61" t="n"/>
      <c r="D1857" s="61" t="n"/>
      <c r="E1857" s="61" t="n"/>
      <c r="F1857" s="55" t="n"/>
      <c r="G1857" s="56" t="n"/>
      <c r="H1857" s="55" t="n"/>
      <c r="I1857" s="62" t="n"/>
      <c r="J1857" s="58" t="n"/>
      <c r="K1857" s="63">
        <f>IF(tblMovement[[#This Row],[Source]]="","",IFERROR(INDEX(tblSources[Type],MATCH(tblMovement[[#This Row],[Source]],tblSources[Source],0)),"?"))</f>
        <v/>
      </c>
      <c r="L1857" s="63">
        <f>IF(tblMovement[[#This Row],[Destination]]="","",IFERROR(INDEX(tblDestinations[Type],MATCH(tblMovement[[#This Row],[Destination]],tblDestinations[Destination],0)),"?"))</f>
        <v/>
      </c>
      <c r="M1857" s="64">
        <f>IF(tblMovement[[#This Row],[Material]]="","",IF(LEFT(tblMovement[[#This Row],[Material]],3)="Ore",1,0))</f>
        <v/>
      </c>
      <c r="N1857" s="59">
        <f>IF(OR(tblMovement[[#This Row],[Tonnes_t]]="",tblMovement[[#This Row],[Grade_gpt]]=""),0,tblMovement[[#This Row],[Tonnes_t]]*tblMovement[[#This Row],[Grade_gpt]]/cfg_TroyOz)</f>
        <v/>
      </c>
      <c r="O1857" s="59">
        <f>IF(tblMovement[[#This Row],[Is_Ore]]=1,tblMovement[[#This Row],[Contained_oz]],0)</f>
        <v/>
      </c>
    </row>
    <row r="1858">
      <c r="A1858" s="54" t="n"/>
      <c r="B1858" s="61" t="n"/>
      <c r="C1858" s="61" t="n"/>
      <c r="D1858" s="61" t="n"/>
      <c r="E1858" s="61" t="n"/>
      <c r="F1858" s="55" t="n"/>
      <c r="G1858" s="56" t="n"/>
      <c r="H1858" s="55" t="n"/>
      <c r="I1858" s="62" t="n"/>
      <c r="J1858" s="58" t="n"/>
      <c r="K1858" s="63">
        <f>IF(tblMovement[[#This Row],[Source]]="","",IFERROR(INDEX(tblSources[Type],MATCH(tblMovement[[#This Row],[Source]],tblSources[Source],0)),"?"))</f>
        <v/>
      </c>
      <c r="L1858" s="63">
        <f>IF(tblMovement[[#This Row],[Destination]]="","",IFERROR(INDEX(tblDestinations[Type],MATCH(tblMovement[[#This Row],[Destination]],tblDestinations[Destination],0)),"?"))</f>
        <v/>
      </c>
      <c r="M1858" s="64">
        <f>IF(tblMovement[[#This Row],[Material]]="","",IF(LEFT(tblMovement[[#This Row],[Material]],3)="Ore",1,0))</f>
        <v/>
      </c>
      <c r="N1858" s="59">
        <f>IF(OR(tblMovement[[#This Row],[Tonnes_t]]="",tblMovement[[#This Row],[Grade_gpt]]=""),0,tblMovement[[#This Row],[Tonnes_t]]*tblMovement[[#This Row],[Grade_gpt]]/cfg_TroyOz)</f>
        <v/>
      </c>
      <c r="O1858" s="59">
        <f>IF(tblMovement[[#This Row],[Is_Ore]]=1,tblMovement[[#This Row],[Contained_oz]],0)</f>
        <v/>
      </c>
    </row>
    <row r="1859">
      <c r="A1859" s="54" t="n"/>
      <c r="B1859" s="61" t="n"/>
      <c r="C1859" s="61" t="n"/>
      <c r="D1859" s="61" t="n"/>
      <c r="E1859" s="61" t="n"/>
      <c r="F1859" s="55" t="n"/>
      <c r="G1859" s="56" t="n"/>
      <c r="H1859" s="55" t="n"/>
      <c r="I1859" s="62" t="n"/>
      <c r="J1859" s="58" t="n"/>
      <c r="K1859" s="63">
        <f>IF(tblMovement[[#This Row],[Source]]="","",IFERROR(INDEX(tblSources[Type],MATCH(tblMovement[[#This Row],[Source]],tblSources[Source],0)),"?"))</f>
        <v/>
      </c>
      <c r="L1859" s="63">
        <f>IF(tblMovement[[#This Row],[Destination]]="","",IFERROR(INDEX(tblDestinations[Type],MATCH(tblMovement[[#This Row],[Destination]],tblDestinations[Destination],0)),"?"))</f>
        <v/>
      </c>
      <c r="M1859" s="64">
        <f>IF(tblMovement[[#This Row],[Material]]="","",IF(LEFT(tblMovement[[#This Row],[Material]],3)="Ore",1,0))</f>
        <v/>
      </c>
      <c r="N1859" s="59">
        <f>IF(OR(tblMovement[[#This Row],[Tonnes_t]]="",tblMovement[[#This Row],[Grade_gpt]]=""),0,tblMovement[[#This Row],[Tonnes_t]]*tblMovement[[#This Row],[Grade_gpt]]/cfg_TroyOz)</f>
        <v/>
      </c>
      <c r="O1859" s="59">
        <f>IF(tblMovement[[#This Row],[Is_Ore]]=1,tblMovement[[#This Row],[Contained_oz]],0)</f>
        <v/>
      </c>
    </row>
    <row r="1860">
      <c r="A1860" s="54" t="n"/>
      <c r="B1860" s="61" t="n"/>
      <c r="C1860" s="61" t="n"/>
      <c r="D1860" s="61" t="n"/>
      <c r="E1860" s="61" t="n"/>
      <c r="F1860" s="55" t="n"/>
      <c r="G1860" s="56" t="n"/>
      <c r="H1860" s="55" t="n"/>
      <c r="I1860" s="62" t="n"/>
      <c r="J1860" s="58" t="n"/>
      <c r="K1860" s="63">
        <f>IF(tblMovement[[#This Row],[Source]]="","",IFERROR(INDEX(tblSources[Type],MATCH(tblMovement[[#This Row],[Source]],tblSources[Source],0)),"?"))</f>
        <v/>
      </c>
      <c r="L1860" s="63">
        <f>IF(tblMovement[[#This Row],[Destination]]="","",IFERROR(INDEX(tblDestinations[Type],MATCH(tblMovement[[#This Row],[Destination]],tblDestinations[Destination],0)),"?"))</f>
        <v/>
      </c>
      <c r="M1860" s="64">
        <f>IF(tblMovement[[#This Row],[Material]]="","",IF(LEFT(tblMovement[[#This Row],[Material]],3)="Ore",1,0))</f>
        <v/>
      </c>
      <c r="N1860" s="59">
        <f>IF(OR(tblMovement[[#This Row],[Tonnes_t]]="",tblMovement[[#This Row],[Grade_gpt]]=""),0,tblMovement[[#This Row],[Tonnes_t]]*tblMovement[[#This Row],[Grade_gpt]]/cfg_TroyOz)</f>
        <v/>
      </c>
      <c r="O1860" s="59">
        <f>IF(tblMovement[[#This Row],[Is_Ore]]=1,tblMovement[[#This Row],[Contained_oz]],0)</f>
        <v/>
      </c>
    </row>
    <row r="1861">
      <c r="A1861" s="54" t="n"/>
      <c r="B1861" s="61" t="n"/>
      <c r="C1861" s="61" t="n"/>
      <c r="D1861" s="61" t="n"/>
      <c r="E1861" s="61" t="n"/>
      <c r="F1861" s="55" t="n"/>
      <c r="G1861" s="56" t="n"/>
      <c r="H1861" s="55" t="n"/>
      <c r="I1861" s="62" t="n"/>
      <c r="J1861" s="58" t="n"/>
      <c r="K1861" s="63">
        <f>IF(tblMovement[[#This Row],[Source]]="","",IFERROR(INDEX(tblSources[Type],MATCH(tblMovement[[#This Row],[Source]],tblSources[Source],0)),"?"))</f>
        <v/>
      </c>
      <c r="L1861" s="63">
        <f>IF(tblMovement[[#This Row],[Destination]]="","",IFERROR(INDEX(tblDestinations[Type],MATCH(tblMovement[[#This Row],[Destination]],tblDestinations[Destination],0)),"?"))</f>
        <v/>
      </c>
      <c r="M1861" s="64">
        <f>IF(tblMovement[[#This Row],[Material]]="","",IF(LEFT(tblMovement[[#This Row],[Material]],3)="Ore",1,0))</f>
        <v/>
      </c>
      <c r="N1861" s="59">
        <f>IF(OR(tblMovement[[#This Row],[Tonnes_t]]="",tblMovement[[#This Row],[Grade_gpt]]=""),0,tblMovement[[#This Row],[Tonnes_t]]*tblMovement[[#This Row],[Grade_gpt]]/cfg_TroyOz)</f>
        <v/>
      </c>
      <c r="O1861" s="59">
        <f>IF(tblMovement[[#This Row],[Is_Ore]]=1,tblMovement[[#This Row],[Contained_oz]],0)</f>
        <v/>
      </c>
    </row>
    <row r="1862">
      <c r="A1862" s="54" t="n"/>
      <c r="B1862" s="61" t="n"/>
      <c r="C1862" s="61" t="n"/>
      <c r="D1862" s="61" t="n"/>
      <c r="E1862" s="61" t="n"/>
      <c r="F1862" s="55" t="n"/>
      <c r="G1862" s="56" t="n"/>
      <c r="H1862" s="55" t="n"/>
      <c r="I1862" s="62" t="n"/>
      <c r="J1862" s="58" t="n"/>
      <c r="K1862" s="63">
        <f>IF(tblMovement[[#This Row],[Source]]="","",IFERROR(INDEX(tblSources[Type],MATCH(tblMovement[[#This Row],[Source]],tblSources[Source],0)),"?"))</f>
        <v/>
      </c>
      <c r="L1862" s="63">
        <f>IF(tblMovement[[#This Row],[Destination]]="","",IFERROR(INDEX(tblDestinations[Type],MATCH(tblMovement[[#This Row],[Destination]],tblDestinations[Destination],0)),"?"))</f>
        <v/>
      </c>
      <c r="M1862" s="64">
        <f>IF(tblMovement[[#This Row],[Material]]="","",IF(LEFT(tblMovement[[#This Row],[Material]],3)="Ore",1,0))</f>
        <v/>
      </c>
      <c r="N1862" s="59">
        <f>IF(OR(tblMovement[[#This Row],[Tonnes_t]]="",tblMovement[[#This Row],[Grade_gpt]]=""),0,tblMovement[[#This Row],[Tonnes_t]]*tblMovement[[#This Row],[Grade_gpt]]/cfg_TroyOz)</f>
        <v/>
      </c>
      <c r="O1862" s="59">
        <f>IF(tblMovement[[#This Row],[Is_Ore]]=1,tblMovement[[#This Row],[Contained_oz]],0)</f>
        <v/>
      </c>
    </row>
    <row r="1863">
      <c r="A1863" s="54" t="n"/>
      <c r="B1863" s="61" t="n"/>
      <c r="C1863" s="61" t="n"/>
      <c r="D1863" s="61" t="n"/>
      <c r="E1863" s="61" t="n"/>
      <c r="F1863" s="55" t="n"/>
      <c r="G1863" s="56" t="n"/>
      <c r="H1863" s="55" t="n"/>
      <c r="I1863" s="62" t="n"/>
      <c r="J1863" s="58" t="n"/>
      <c r="K1863" s="63">
        <f>IF(tblMovement[[#This Row],[Source]]="","",IFERROR(INDEX(tblSources[Type],MATCH(tblMovement[[#This Row],[Source]],tblSources[Source],0)),"?"))</f>
        <v/>
      </c>
      <c r="L1863" s="63">
        <f>IF(tblMovement[[#This Row],[Destination]]="","",IFERROR(INDEX(tblDestinations[Type],MATCH(tblMovement[[#This Row],[Destination]],tblDestinations[Destination],0)),"?"))</f>
        <v/>
      </c>
      <c r="M1863" s="64">
        <f>IF(tblMovement[[#This Row],[Material]]="","",IF(LEFT(tblMovement[[#This Row],[Material]],3)="Ore",1,0))</f>
        <v/>
      </c>
      <c r="N1863" s="59">
        <f>IF(OR(tblMovement[[#This Row],[Tonnes_t]]="",tblMovement[[#This Row],[Grade_gpt]]=""),0,tblMovement[[#This Row],[Tonnes_t]]*tblMovement[[#This Row],[Grade_gpt]]/cfg_TroyOz)</f>
        <v/>
      </c>
      <c r="O1863" s="59">
        <f>IF(tblMovement[[#This Row],[Is_Ore]]=1,tblMovement[[#This Row],[Contained_oz]],0)</f>
        <v/>
      </c>
    </row>
    <row r="1864">
      <c r="A1864" s="54" t="n"/>
      <c r="B1864" s="61" t="n"/>
      <c r="C1864" s="61" t="n"/>
      <c r="D1864" s="61" t="n"/>
      <c r="E1864" s="61" t="n"/>
      <c r="F1864" s="55" t="n"/>
      <c r="G1864" s="56" t="n"/>
      <c r="H1864" s="55" t="n"/>
      <c r="I1864" s="62" t="n"/>
      <c r="J1864" s="58" t="n"/>
      <c r="K1864" s="63">
        <f>IF(tblMovement[[#This Row],[Source]]="","",IFERROR(INDEX(tblSources[Type],MATCH(tblMovement[[#This Row],[Source]],tblSources[Source],0)),"?"))</f>
        <v/>
      </c>
      <c r="L1864" s="63">
        <f>IF(tblMovement[[#This Row],[Destination]]="","",IFERROR(INDEX(tblDestinations[Type],MATCH(tblMovement[[#This Row],[Destination]],tblDestinations[Destination],0)),"?"))</f>
        <v/>
      </c>
      <c r="M1864" s="64">
        <f>IF(tblMovement[[#This Row],[Material]]="","",IF(LEFT(tblMovement[[#This Row],[Material]],3)="Ore",1,0))</f>
        <v/>
      </c>
      <c r="N1864" s="59">
        <f>IF(OR(tblMovement[[#This Row],[Tonnes_t]]="",tblMovement[[#This Row],[Grade_gpt]]=""),0,tblMovement[[#This Row],[Tonnes_t]]*tblMovement[[#This Row],[Grade_gpt]]/cfg_TroyOz)</f>
        <v/>
      </c>
      <c r="O1864" s="59">
        <f>IF(tblMovement[[#This Row],[Is_Ore]]=1,tblMovement[[#This Row],[Contained_oz]],0)</f>
        <v/>
      </c>
    </row>
    <row r="1865">
      <c r="A1865" s="54" t="n"/>
      <c r="B1865" s="61" t="n"/>
      <c r="C1865" s="61" t="n"/>
      <c r="D1865" s="61" t="n"/>
      <c r="E1865" s="61" t="n"/>
      <c r="F1865" s="55" t="n"/>
      <c r="G1865" s="56" t="n"/>
      <c r="H1865" s="55" t="n"/>
      <c r="I1865" s="62" t="n"/>
      <c r="J1865" s="58" t="n"/>
      <c r="K1865" s="63">
        <f>IF(tblMovement[[#This Row],[Source]]="","",IFERROR(INDEX(tblSources[Type],MATCH(tblMovement[[#This Row],[Source]],tblSources[Source],0)),"?"))</f>
        <v/>
      </c>
      <c r="L1865" s="63">
        <f>IF(tblMovement[[#This Row],[Destination]]="","",IFERROR(INDEX(tblDestinations[Type],MATCH(tblMovement[[#This Row],[Destination]],tblDestinations[Destination],0)),"?"))</f>
        <v/>
      </c>
      <c r="M1865" s="64">
        <f>IF(tblMovement[[#This Row],[Material]]="","",IF(LEFT(tblMovement[[#This Row],[Material]],3)="Ore",1,0))</f>
        <v/>
      </c>
      <c r="N1865" s="59">
        <f>IF(OR(tblMovement[[#This Row],[Tonnes_t]]="",tblMovement[[#This Row],[Grade_gpt]]=""),0,tblMovement[[#This Row],[Tonnes_t]]*tblMovement[[#This Row],[Grade_gpt]]/cfg_TroyOz)</f>
        <v/>
      </c>
      <c r="O1865" s="59">
        <f>IF(tblMovement[[#This Row],[Is_Ore]]=1,tblMovement[[#This Row],[Contained_oz]],0)</f>
        <v/>
      </c>
    </row>
    <row r="1866">
      <c r="A1866" s="54" t="n"/>
      <c r="B1866" s="61" t="n"/>
      <c r="C1866" s="61" t="n"/>
      <c r="D1866" s="61" t="n"/>
      <c r="E1866" s="61" t="n"/>
      <c r="F1866" s="55" t="n"/>
      <c r="G1866" s="56" t="n"/>
      <c r="H1866" s="55" t="n"/>
      <c r="I1866" s="62" t="n"/>
      <c r="J1866" s="58" t="n"/>
      <c r="K1866" s="63">
        <f>IF(tblMovement[[#This Row],[Source]]="","",IFERROR(INDEX(tblSources[Type],MATCH(tblMovement[[#This Row],[Source]],tblSources[Source],0)),"?"))</f>
        <v/>
      </c>
      <c r="L1866" s="63">
        <f>IF(tblMovement[[#This Row],[Destination]]="","",IFERROR(INDEX(tblDestinations[Type],MATCH(tblMovement[[#This Row],[Destination]],tblDestinations[Destination],0)),"?"))</f>
        <v/>
      </c>
      <c r="M1866" s="64">
        <f>IF(tblMovement[[#This Row],[Material]]="","",IF(LEFT(tblMovement[[#This Row],[Material]],3)="Ore",1,0))</f>
        <v/>
      </c>
      <c r="N1866" s="59">
        <f>IF(OR(tblMovement[[#This Row],[Tonnes_t]]="",tblMovement[[#This Row],[Grade_gpt]]=""),0,tblMovement[[#This Row],[Tonnes_t]]*tblMovement[[#This Row],[Grade_gpt]]/cfg_TroyOz)</f>
        <v/>
      </c>
      <c r="O1866" s="59">
        <f>IF(tblMovement[[#This Row],[Is_Ore]]=1,tblMovement[[#This Row],[Contained_oz]],0)</f>
        <v/>
      </c>
    </row>
    <row r="1867">
      <c r="A1867" s="54" t="n"/>
      <c r="B1867" s="61" t="n"/>
      <c r="C1867" s="61" t="n"/>
      <c r="D1867" s="61" t="n"/>
      <c r="E1867" s="61" t="n"/>
      <c r="F1867" s="55" t="n"/>
      <c r="G1867" s="56" t="n"/>
      <c r="H1867" s="55" t="n"/>
      <c r="I1867" s="62" t="n"/>
      <c r="J1867" s="58" t="n"/>
      <c r="K1867" s="63">
        <f>IF(tblMovement[[#This Row],[Source]]="","",IFERROR(INDEX(tblSources[Type],MATCH(tblMovement[[#This Row],[Source]],tblSources[Source],0)),"?"))</f>
        <v/>
      </c>
      <c r="L1867" s="63">
        <f>IF(tblMovement[[#This Row],[Destination]]="","",IFERROR(INDEX(tblDestinations[Type],MATCH(tblMovement[[#This Row],[Destination]],tblDestinations[Destination],0)),"?"))</f>
        <v/>
      </c>
      <c r="M1867" s="64">
        <f>IF(tblMovement[[#This Row],[Material]]="","",IF(LEFT(tblMovement[[#This Row],[Material]],3)="Ore",1,0))</f>
        <v/>
      </c>
      <c r="N1867" s="59">
        <f>IF(OR(tblMovement[[#This Row],[Tonnes_t]]="",tblMovement[[#This Row],[Grade_gpt]]=""),0,tblMovement[[#This Row],[Tonnes_t]]*tblMovement[[#This Row],[Grade_gpt]]/cfg_TroyOz)</f>
        <v/>
      </c>
      <c r="O1867" s="59">
        <f>IF(tblMovement[[#This Row],[Is_Ore]]=1,tblMovement[[#This Row],[Contained_oz]],0)</f>
        <v/>
      </c>
    </row>
    <row r="1868">
      <c r="A1868" s="54" t="n"/>
      <c r="B1868" s="61" t="n"/>
      <c r="C1868" s="61" t="n"/>
      <c r="D1868" s="61" t="n"/>
      <c r="E1868" s="61" t="n"/>
      <c r="F1868" s="55" t="n"/>
      <c r="G1868" s="56" t="n"/>
      <c r="H1868" s="55" t="n"/>
      <c r="I1868" s="62" t="n"/>
      <c r="J1868" s="58" t="n"/>
      <c r="K1868" s="63">
        <f>IF(tblMovement[[#This Row],[Source]]="","",IFERROR(INDEX(tblSources[Type],MATCH(tblMovement[[#This Row],[Source]],tblSources[Source],0)),"?"))</f>
        <v/>
      </c>
      <c r="L1868" s="63">
        <f>IF(tblMovement[[#This Row],[Destination]]="","",IFERROR(INDEX(tblDestinations[Type],MATCH(tblMovement[[#This Row],[Destination]],tblDestinations[Destination],0)),"?"))</f>
        <v/>
      </c>
      <c r="M1868" s="64">
        <f>IF(tblMovement[[#This Row],[Material]]="","",IF(LEFT(tblMovement[[#This Row],[Material]],3)="Ore",1,0))</f>
        <v/>
      </c>
      <c r="N1868" s="59">
        <f>IF(OR(tblMovement[[#This Row],[Tonnes_t]]="",tblMovement[[#This Row],[Grade_gpt]]=""),0,tblMovement[[#This Row],[Tonnes_t]]*tblMovement[[#This Row],[Grade_gpt]]/cfg_TroyOz)</f>
        <v/>
      </c>
      <c r="O1868" s="59">
        <f>IF(tblMovement[[#This Row],[Is_Ore]]=1,tblMovement[[#This Row],[Contained_oz]],0)</f>
        <v/>
      </c>
    </row>
    <row r="1869">
      <c r="A1869" s="54" t="n"/>
      <c r="B1869" s="61" t="n"/>
      <c r="C1869" s="61" t="n"/>
      <c r="D1869" s="61" t="n"/>
      <c r="E1869" s="61" t="n"/>
      <c r="F1869" s="55" t="n"/>
      <c r="G1869" s="56" t="n"/>
      <c r="H1869" s="55" t="n"/>
      <c r="I1869" s="62" t="n"/>
      <c r="J1869" s="58" t="n"/>
      <c r="K1869" s="63">
        <f>IF(tblMovement[[#This Row],[Source]]="","",IFERROR(INDEX(tblSources[Type],MATCH(tblMovement[[#This Row],[Source]],tblSources[Source],0)),"?"))</f>
        <v/>
      </c>
      <c r="L1869" s="63">
        <f>IF(tblMovement[[#This Row],[Destination]]="","",IFERROR(INDEX(tblDestinations[Type],MATCH(tblMovement[[#This Row],[Destination]],tblDestinations[Destination],0)),"?"))</f>
        <v/>
      </c>
      <c r="M1869" s="64">
        <f>IF(tblMovement[[#This Row],[Material]]="","",IF(LEFT(tblMovement[[#This Row],[Material]],3)="Ore",1,0))</f>
        <v/>
      </c>
      <c r="N1869" s="59">
        <f>IF(OR(tblMovement[[#This Row],[Tonnes_t]]="",tblMovement[[#This Row],[Grade_gpt]]=""),0,tblMovement[[#This Row],[Tonnes_t]]*tblMovement[[#This Row],[Grade_gpt]]/cfg_TroyOz)</f>
        <v/>
      </c>
      <c r="O1869" s="59">
        <f>IF(tblMovement[[#This Row],[Is_Ore]]=1,tblMovement[[#This Row],[Contained_oz]],0)</f>
        <v/>
      </c>
    </row>
    <row r="1870">
      <c r="A1870" s="54" t="n"/>
      <c r="B1870" s="61" t="n"/>
      <c r="C1870" s="61" t="n"/>
      <c r="D1870" s="61" t="n"/>
      <c r="E1870" s="61" t="n"/>
      <c r="F1870" s="55" t="n"/>
      <c r="G1870" s="56" t="n"/>
      <c r="H1870" s="55" t="n"/>
      <c r="I1870" s="62" t="n"/>
      <c r="J1870" s="58" t="n"/>
      <c r="K1870" s="63">
        <f>IF(tblMovement[[#This Row],[Source]]="","",IFERROR(INDEX(tblSources[Type],MATCH(tblMovement[[#This Row],[Source]],tblSources[Source],0)),"?"))</f>
        <v/>
      </c>
      <c r="L1870" s="63">
        <f>IF(tblMovement[[#This Row],[Destination]]="","",IFERROR(INDEX(tblDestinations[Type],MATCH(tblMovement[[#This Row],[Destination]],tblDestinations[Destination],0)),"?"))</f>
        <v/>
      </c>
      <c r="M1870" s="64">
        <f>IF(tblMovement[[#This Row],[Material]]="","",IF(LEFT(tblMovement[[#This Row],[Material]],3)="Ore",1,0))</f>
        <v/>
      </c>
      <c r="N1870" s="59">
        <f>IF(OR(tblMovement[[#This Row],[Tonnes_t]]="",tblMovement[[#This Row],[Grade_gpt]]=""),0,tblMovement[[#This Row],[Tonnes_t]]*tblMovement[[#This Row],[Grade_gpt]]/cfg_TroyOz)</f>
        <v/>
      </c>
      <c r="O1870" s="59">
        <f>IF(tblMovement[[#This Row],[Is_Ore]]=1,tblMovement[[#This Row],[Contained_oz]],0)</f>
        <v/>
      </c>
    </row>
    <row r="1871">
      <c r="A1871" s="54" t="n"/>
      <c r="B1871" s="61" t="n"/>
      <c r="C1871" s="61" t="n"/>
      <c r="D1871" s="61" t="n"/>
      <c r="E1871" s="61" t="n"/>
      <c r="F1871" s="55" t="n"/>
      <c r="G1871" s="56" t="n"/>
      <c r="H1871" s="55" t="n"/>
      <c r="I1871" s="62" t="n"/>
      <c r="J1871" s="58" t="n"/>
      <c r="K1871" s="63">
        <f>IF(tblMovement[[#This Row],[Source]]="","",IFERROR(INDEX(tblSources[Type],MATCH(tblMovement[[#This Row],[Source]],tblSources[Source],0)),"?"))</f>
        <v/>
      </c>
      <c r="L1871" s="63">
        <f>IF(tblMovement[[#This Row],[Destination]]="","",IFERROR(INDEX(tblDestinations[Type],MATCH(tblMovement[[#This Row],[Destination]],tblDestinations[Destination],0)),"?"))</f>
        <v/>
      </c>
      <c r="M1871" s="64">
        <f>IF(tblMovement[[#This Row],[Material]]="","",IF(LEFT(tblMovement[[#This Row],[Material]],3)="Ore",1,0))</f>
        <v/>
      </c>
      <c r="N1871" s="59">
        <f>IF(OR(tblMovement[[#This Row],[Tonnes_t]]="",tblMovement[[#This Row],[Grade_gpt]]=""),0,tblMovement[[#This Row],[Tonnes_t]]*tblMovement[[#This Row],[Grade_gpt]]/cfg_TroyOz)</f>
        <v/>
      </c>
      <c r="O1871" s="59">
        <f>IF(tblMovement[[#This Row],[Is_Ore]]=1,tblMovement[[#This Row],[Contained_oz]],0)</f>
        <v/>
      </c>
    </row>
    <row r="1872">
      <c r="A1872" s="54" t="n"/>
      <c r="B1872" s="61" t="n"/>
      <c r="C1872" s="61" t="n"/>
      <c r="D1872" s="61" t="n"/>
      <c r="E1872" s="61" t="n"/>
      <c r="F1872" s="55" t="n"/>
      <c r="G1872" s="56" t="n"/>
      <c r="H1872" s="55" t="n"/>
      <c r="I1872" s="62" t="n"/>
      <c r="J1872" s="58" t="n"/>
      <c r="K1872" s="63">
        <f>IF(tblMovement[[#This Row],[Source]]="","",IFERROR(INDEX(tblSources[Type],MATCH(tblMovement[[#This Row],[Source]],tblSources[Source],0)),"?"))</f>
        <v/>
      </c>
      <c r="L1872" s="63">
        <f>IF(tblMovement[[#This Row],[Destination]]="","",IFERROR(INDEX(tblDestinations[Type],MATCH(tblMovement[[#This Row],[Destination]],tblDestinations[Destination],0)),"?"))</f>
        <v/>
      </c>
      <c r="M1872" s="64">
        <f>IF(tblMovement[[#This Row],[Material]]="","",IF(LEFT(tblMovement[[#This Row],[Material]],3)="Ore",1,0))</f>
        <v/>
      </c>
      <c r="N1872" s="59">
        <f>IF(OR(tblMovement[[#This Row],[Tonnes_t]]="",tblMovement[[#This Row],[Grade_gpt]]=""),0,tblMovement[[#This Row],[Tonnes_t]]*tblMovement[[#This Row],[Grade_gpt]]/cfg_TroyOz)</f>
        <v/>
      </c>
      <c r="O1872" s="59">
        <f>IF(tblMovement[[#This Row],[Is_Ore]]=1,tblMovement[[#This Row],[Contained_oz]],0)</f>
        <v/>
      </c>
    </row>
    <row r="1873">
      <c r="A1873" s="54" t="n"/>
      <c r="B1873" s="61" t="n"/>
      <c r="C1873" s="61" t="n"/>
      <c r="D1873" s="61" t="n"/>
      <c r="E1873" s="61" t="n"/>
      <c r="F1873" s="55" t="n"/>
      <c r="G1873" s="56" t="n"/>
      <c r="H1873" s="55" t="n"/>
      <c r="I1873" s="62" t="n"/>
      <c r="J1873" s="58" t="n"/>
      <c r="K1873" s="63">
        <f>IF(tblMovement[[#This Row],[Source]]="","",IFERROR(INDEX(tblSources[Type],MATCH(tblMovement[[#This Row],[Source]],tblSources[Source],0)),"?"))</f>
        <v/>
      </c>
      <c r="L1873" s="63">
        <f>IF(tblMovement[[#This Row],[Destination]]="","",IFERROR(INDEX(tblDestinations[Type],MATCH(tblMovement[[#This Row],[Destination]],tblDestinations[Destination],0)),"?"))</f>
        <v/>
      </c>
      <c r="M1873" s="64">
        <f>IF(tblMovement[[#This Row],[Material]]="","",IF(LEFT(tblMovement[[#This Row],[Material]],3)="Ore",1,0))</f>
        <v/>
      </c>
      <c r="N1873" s="59">
        <f>IF(OR(tblMovement[[#This Row],[Tonnes_t]]="",tblMovement[[#This Row],[Grade_gpt]]=""),0,tblMovement[[#This Row],[Tonnes_t]]*tblMovement[[#This Row],[Grade_gpt]]/cfg_TroyOz)</f>
        <v/>
      </c>
      <c r="O1873" s="59">
        <f>IF(tblMovement[[#This Row],[Is_Ore]]=1,tblMovement[[#This Row],[Contained_oz]],0)</f>
        <v/>
      </c>
    </row>
    <row r="1874">
      <c r="A1874" s="54" t="n"/>
      <c r="B1874" s="61" t="n"/>
      <c r="C1874" s="61" t="n"/>
      <c r="D1874" s="61" t="n"/>
      <c r="E1874" s="61" t="n"/>
      <c r="F1874" s="55" t="n"/>
      <c r="G1874" s="56" t="n"/>
      <c r="H1874" s="55" t="n"/>
      <c r="I1874" s="62" t="n"/>
      <c r="J1874" s="58" t="n"/>
      <c r="K1874" s="63">
        <f>IF(tblMovement[[#This Row],[Source]]="","",IFERROR(INDEX(tblSources[Type],MATCH(tblMovement[[#This Row],[Source]],tblSources[Source],0)),"?"))</f>
        <v/>
      </c>
      <c r="L1874" s="63">
        <f>IF(tblMovement[[#This Row],[Destination]]="","",IFERROR(INDEX(tblDestinations[Type],MATCH(tblMovement[[#This Row],[Destination]],tblDestinations[Destination],0)),"?"))</f>
        <v/>
      </c>
      <c r="M1874" s="64">
        <f>IF(tblMovement[[#This Row],[Material]]="","",IF(LEFT(tblMovement[[#This Row],[Material]],3)="Ore",1,0))</f>
        <v/>
      </c>
      <c r="N1874" s="59">
        <f>IF(OR(tblMovement[[#This Row],[Tonnes_t]]="",tblMovement[[#This Row],[Grade_gpt]]=""),0,tblMovement[[#This Row],[Tonnes_t]]*tblMovement[[#This Row],[Grade_gpt]]/cfg_TroyOz)</f>
        <v/>
      </c>
      <c r="O1874" s="59">
        <f>IF(tblMovement[[#This Row],[Is_Ore]]=1,tblMovement[[#This Row],[Contained_oz]],0)</f>
        <v/>
      </c>
    </row>
    <row r="1875">
      <c r="A1875" s="54" t="n"/>
      <c r="B1875" s="61" t="n"/>
      <c r="C1875" s="61" t="n"/>
      <c r="D1875" s="61" t="n"/>
      <c r="E1875" s="61" t="n"/>
      <c r="F1875" s="55" t="n"/>
      <c r="G1875" s="56" t="n"/>
      <c r="H1875" s="55" t="n"/>
      <c r="I1875" s="62" t="n"/>
      <c r="J1875" s="58" t="n"/>
      <c r="K1875" s="63">
        <f>IF(tblMovement[[#This Row],[Source]]="","",IFERROR(INDEX(tblSources[Type],MATCH(tblMovement[[#This Row],[Source]],tblSources[Source],0)),"?"))</f>
        <v/>
      </c>
      <c r="L1875" s="63">
        <f>IF(tblMovement[[#This Row],[Destination]]="","",IFERROR(INDEX(tblDestinations[Type],MATCH(tblMovement[[#This Row],[Destination]],tblDestinations[Destination],0)),"?"))</f>
        <v/>
      </c>
      <c r="M1875" s="64">
        <f>IF(tblMovement[[#This Row],[Material]]="","",IF(LEFT(tblMovement[[#This Row],[Material]],3)="Ore",1,0))</f>
        <v/>
      </c>
      <c r="N1875" s="59">
        <f>IF(OR(tblMovement[[#This Row],[Tonnes_t]]="",tblMovement[[#This Row],[Grade_gpt]]=""),0,tblMovement[[#This Row],[Tonnes_t]]*tblMovement[[#This Row],[Grade_gpt]]/cfg_TroyOz)</f>
        <v/>
      </c>
      <c r="O1875" s="59">
        <f>IF(tblMovement[[#This Row],[Is_Ore]]=1,tblMovement[[#This Row],[Contained_oz]],0)</f>
        <v/>
      </c>
    </row>
    <row r="1876">
      <c r="A1876" s="54" t="n"/>
      <c r="B1876" s="61" t="n"/>
      <c r="C1876" s="61" t="n"/>
      <c r="D1876" s="61" t="n"/>
      <c r="E1876" s="61" t="n"/>
      <c r="F1876" s="55" t="n"/>
      <c r="G1876" s="56" t="n"/>
      <c r="H1876" s="55" t="n"/>
      <c r="I1876" s="62" t="n"/>
      <c r="J1876" s="58" t="n"/>
      <c r="K1876" s="63">
        <f>IF(tblMovement[[#This Row],[Source]]="","",IFERROR(INDEX(tblSources[Type],MATCH(tblMovement[[#This Row],[Source]],tblSources[Source],0)),"?"))</f>
        <v/>
      </c>
      <c r="L1876" s="63">
        <f>IF(tblMovement[[#This Row],[Destination]]="","",IFERROR(INDEX(tblDestinations[Type],MATCH(tblMovement[[#This Row],[Destination]],tblDestinations[Destination],0)),"?"))</f>
        <v/>
      </c>
      <c r="M1876" s="64">
        <f>IF(tblMovement[[#This Row],[Material]]="","",IF(LEFT(tblMovement[[#This Row],[Material]],3)="Ore",1,0))</f>
        <v/>
      </c>
      <c r="N1876" s="59">
        <f>IF(OR(tblMovement[[#This Row],[Tonnes_t]]="",tblMovement[[#This Row],[Grade_gpt]]=""),0,tblMovement[[#This Row],[Tonnes_t]]*tblMovement[[#This Row],[Grade_gpt]]/cfg_TroyOz)</f>
        <v/>
      </c>
      <c r="O1876" s="59">
        <f>IF(tblMovement[[#This Row],[Is_Ore]]=1,tblMovement[[#This Row],[Contained_oz]],0)</f>
        <v/>
      </c>
    </row>
    <row r="1877">
      <c r="A1877" s="54" t="n"/>
      <c r="B1877" s="61" t="n"/>
      <c r="C1877" s="61" t="n"/>
      <c r="D1877" s="61" t="n"/>
      <c r="E1877" s="61" t="n"/>
      <c r="F1877" s="55" t="n"/>
      <c r="G1877" s="56" t="n"/>
      <c r="H1877" s="55" t="n"/>
      <c r="I1877" s="62" t="n"/>
      <c r="J1877" s="58" t="n"/>
      <c r="K1877" s="63">
        <f>IF(tblMovement[[#This Row],[Source]]="","",IFERROR(INDEX(tblSources[Type],MATCH(tblMovement[[#This Row],[Source]],tblSources[Source],0)),"?"))</f>
        <v/>
      </c>
      <c r="L1877" s="63">
        <f>IF(tblMovement[[#This Row],[Destination]]="","",IFERROR(INDEX(tblDestinations[Type],MATCH(tblMovement[[#This Row],[Destination]],tblDestinations[Destination],0)),"?"))</f>
        <v/>
      </c>
      <c r="M1877" s="64">
        <f>IF(tblMovement[[#This Row],[Material]]="","",IF(LEFT(tblMovement[[#This Row],[Material]],3)="Ore",1,0))</f>
        <v/>
      </c>
      <c r="N1877" s="59">
        <f>IF(OR(tblMovement[[#This Row],[Tonnes_t]]="",tblMovement[[#This Row],[Grade_gpt]]=""),0,tblMovement[[#This Row],[Tonnes_t]]*tblMovement[[#This Row],[Grade_gpt]]/cfg_TroyOz)</f>
        <v/>
      </c>
      <c r="O1877" s="59">
        <f>IF(tblMovement[[#This Row],[Is_Ore]]=1,tblMovement[[#This Row],[Contained_oz]],0)</f>
        <v/>
      </c>
    </row>
    <row r="1878">
      <c r="A1878" s="54" t="n"/>
      <c r="B1878" s="61" t="n"/>
      <c r="C1878" s="61" t="n"/>
      <c r="D1878" s="61" t="n"/>
      <c r="E1878" s="61" t="n"/>
      <c r="F1878" s="55" t="n"/>
      <c r="G1878" s="56" t="n"/>
      <c r="H1878" s="55" t="n"/>
      <c r="I1878" s="62" t="n"/>
      <c r="J1878" s="58" t="n"/>
      <c r="K1878" s="63">
        <f>IF(tblMovement[[#This Row],[Source]]="","",IFERROR(INDEX(tblSources[Type],MATCH(tblMovement[[#This Row],[Source]],tblSources[Source],0)),"?"))</f>
        <v/>
      </c>
      <c r="L1878" s="63">
        <f>IF(tblMovement[[#This Row],[Destination]]="","",IFERROR(INDEX(tblDestinations[Type],MATCH(tblMovement[[#This Row],[Destination]],tblDestinations[Destination],0)),"?"))</f>
        <v/>
      </c>
      <c r="M1878" s="64">
        <f>IF(tblMovement[[#This Row],[Material]]="","",IF(LEFT(tblMovement[[#This Row],[Material]],3)="Ore",1,0))</f>
        <v/>
      </c>
      <c r="N1878" s="59">
        <f>IF(OR(tblMovement[[#This Row],[Tonnes_t]]="",tblMovement[[#This Row],[Grade_gpt]]=""),0,tblMovement[[#This Row],[Tonnes_t]]*tblMovement[[#This Row],[Grade_gpt]]/cfg_TroyOz)</f>
        <v/>
      </c>
      <c r="O1878" s="59">
        <f>IF(tblMovement[[#This Row],[Is_Ore]]=1,tblMovement[[#This Row],[Contained_oz]],0)</f>
        <v/>
      </c>
    </row>
    <row r="1879">
      <c r="A1879" s="54" t="n"/>
      <c r="B1879" s="61" t="n"/>
      <c r="C1879" s="61" t="n"/>
      <c r="D1879" s="61" t="n"/>
      <c r="E1879" s="61" t="n"/>
      <c r="F1879" s="55" t="n"/>
      <c r="G1879" s="56" t="n"/>
      <c r="H1879" s="55" t="n"/>
      <c r="I1879" s="62" t="n"/>
      <c r="J1879" s="58" t="n"/>
      <c r="K1879" s="63">
        <f>IF(tblMovement[[#This Row],[Source]]="","",IFERROR(INDEX(tblSources[Type],MATCH(tblMovement[[#This Row],[Source]],tblSources[Source],0)),"?"))</f>
        <v/>
      </c>
      <c r="L1879" s="63">
        <f>IF(tblMovement[[#This Row],[Destination]]="","",IFERROR(INDEX(tblDestinations[Type],MATCH(tblMovement[[#This Row],[Destination]],tblDestinations[Destination],0)),"?"))</f>
        <v/>
      </c>
      <c r="M1879" s="64">
        <f>IF(tblMovement[[#This Row],[Material]]="","",IF(LEFT(tblMovement[[#This Row],[Material]],3)="Ore",1,0))</f>
        <v/>
      </c>
      <c r="N1879" s="59">
        <f>IF(OR(tblMovement[[#This Row],[Tonnes_t]]="",tblMovement[[#This Row],[Grade_gpt]]=""),0,tblMovement[[#This Row],[Tonnes_t]]*tblMovement[[#This Row],[Grade_gpt]]/cfg_TroyOz)</f>
        <v/>
      </c>
      <c r="O1879" s="59">
        <f>IF(tblMovement[[#This Row],[Is_Ore]]=1,tblMovement[[#This Row],[Contained_oz]],0)</f>
        <v/>
      </c>
    </row>
    <row r="1880">
      <c r="A1880" s="54" t="n"/>
      <c r="B1880" s="61" t="n"/>
      <c r="C1880" s="61" t="n"/>
      <c r="D1880" s="61" t="n"/>
      <c r="E1880" s="61" t="n"/>
      <c r="F1880" s="55" t="n"/>
      <c r="G1880" s="56" t="n"/>
      <c r="H1880" s="55" t="n"/>
      <c r="I1880" s="62" t="n"/>
      <c r="J1880" s="58" t="n"/>
      <c r="K1880" s="63">
        <f>IF(tblMovement[[#This Row],[Source]]="","",IFERROR(INDEX(tblSources[Type],MATCH(tblMovement[[#This Row],[Source]],tblSources[Source],0)),"?"))</f>
        <v/>
      </c>
      <c r="L1880" s="63">
        <f>IF(tblMovement[[#This Row],[Destination]]="","",IFERROR(INDEX(tblDestinations[Type],MATCH(tblMovement[[#This Row],[Destination]],tblDestinations[Destination],0)),"?"))</f>
        <v/>
      </c>
      <c r="M1880" s="64">
        <f>IF(tblMovement[[#This Row],[Material]]="","",IF(LEFT(tblMovement[[#This Row],[Material]],3)="Ore",1,0))</f>
        <v/>
      </c>
      <c r="N1880" s="59">
        <f>IF(OR(tblMovement[[#This Row],[Tonnes_t]]="",tblMovement[[#This Row],[Grade_gpt]]=""),0,tblMovement[[#This Row],[Tonnes_t]]*tblMovement[[#This Row],[Grade_gpt]]/cfg_TroyOz)</f>
        <v/>
      </c>
      <c r="O1880" s="59">
        <f>IF(tblMovement[[#This Row],[Is_Ore]]=1,tblMovement[[#This Row],[Contained_oz]],0)</f>
        <v/>
      </c>
    </row>
    <row r="1881">
      <c r="A1881" s="54" t="n"/>
      <c r="B1881" s="61" t="n"/>
      <c r="C1881" s="61" t="n"/>
      <c r="D1881" s="61" t="n"/>
      <c r="E1881" s="61" t="n"/>
      <c r="F1881" s="55" t="n"/>
      <c r="G1881" s="56" t="n"/>
      <c r="H1881" s="55" t="n"/>
      <c r="I1881" s="62" t="n"/>
      <c r="J1881" s="58" t="n"/>
      <c r="K1881" s="63">
        <f>IF(tblMovement[[#This Row],[Source]]="","",IFERROR(INDEX(tblSources[Type],MATCH(tblMovement[[#This Row],[Source]],tblSources[Source],0)),"?"))</f>
        <v/>
      </c>
      <c r="L1881" s="63">
        <f>IF(tblMovement[[#This Row],[Destination]]="","",IFERROR(INDEX(tblDestinations[Type],MATCH(tblMovement[[#This Row],[Destination]],tblDestinations[Destination],0)),"?"))</f>
        <v/>
      </c>
      <c r="M1881" s="64">
        <f>IF(tblMovement[[#This Row],[Material]]="","",IF(LEFT(tblMovement[[#This Row],[Material]],3)="Ore",1,0))</f>
        <v/>
      </c>
      <c r="N1881" s="59">
        <f>IF(OR(tblMovement[[#This Row],[Tonnes_t]]="",tblMovement[[#This Row],[Grade_gpt]]=""),0,tblMovement[[#This Row],[Tonnes_t]]*tblMovement[[#This Row],[Grade_gpt]]/cfg_TroyOz)</f>
        <v/>
      </c>
      <c r="O1881" s="59">
        <f>IF(tblMovement[[#This Row],[Is_Ore]]=1,tblMovement[[#This Row],[Contained_oz]],0)</f>
        <v/>
      </c>
    </row>
    <row r="1882">
      <c r="A1882" s="54" t="n"/>
      <c r="B1882" s="61" t="n"/>
      <c r="C1882" s="61" t="n"/>
      <c r="D1882" s="61" t="n"/>
      <c r="E1882" s="61" t="n"/>
      <c r="F1882" s="55" t="n"/>
      <c r="G1882" s="56" t="n"/>
      <c r="H1882" s="55" t="n"/>
      <c r="I1882" s="62" t="n"/>
      <c r="J1882" s="58" t="n"/>
      <c r="K1882" s="63">
        <f>IF(tblMovement[[#This Row],[Source]]="","",IFERROR(INDEX(tblSources[Type],MATCH(tblMovement[[#This Row],[Source]],tblSources[Source],0)),"?"))</f>
        <v/>
      </c>
      <c r="L1882" s="63">
        <f>IF(tblMovement[[#This Row],[Destination]]="","",IFERROR(INDEX(tblDestinations[Type],MATCH(tblMovement[[#This Row],[Destination]],tblDestinations[Destination],0)),"?"))</f>
        <v/>
      </c>
      <c r="M1882" s="64">
        <f>IF(tblMovement[[#This Row],[Material]]="","",IF(LEFT(tblMovement[[#This Row],[Material]],3)="Ore",1,0))</f>
        <v/>
      </c>
      <c r="N1882" s="59">
        <f>IF(OR(tblMovement[[#This Row],[Tonnes_t]]="",tblMovement[[#This Row],[Grade_gpt]]=""),0,tblMovement[[#This Row],[Tonnes_t]]*tblMovement[[#This Row],[Grade_gpt]]/cfg_TroyOz)</f>
        <v/>
      </c>
      <c r="O1882" s="59">
        <f>IF(tblMovement[[#This Row],[Is_Ore]]=1,tblMovement[[#This Row],[Contained_oz]],0)</f>
        <v/>
      </c>
    </row>
    <row r="1883">
      <c r="A1883" s="54" t="n"/>
      <c r="B1883" s="61" t="n"/>
      <c r="C1883" s="61" t="n"/>
      <c r="D1883" s="61" t="n"/>
      <c r="E1883" s="61" t="n"/>
      <c r="F1883" s="55" t="n"/>
      <c r="G1883" s="56" t="n"/>
      <c r="H1883" s="55" t="n"/>
      <c r="I1883" s="62" t="n"/>
      <c r="J1883" s="58" t="n"/>
      <c r="K1883" s="63">
        <f>IF(tblMovement[[#This Row],[Source]]="","",IFERROR(INDEX(tblSources[Type],MATCH(tblMovement[[#This Row],[Source]],tblSources[Source],0)),"?"))</f>
        <v/>
      </c>
      <c r="L1883" s="63">
        <f>IF(tblMovement[[#This Row],[Destination]]="","",IFERROR(INDEX(tblDestinations[Type],MATCH(tblMovement[[#This Row],[Destination]],tblDestinations[Destination],0)),"?"))</f>
        <v/>
      </c>
      <c r="M1883" s="64">
        <f>IF(tblMovement[[#This Row],[Material]]="","",IF(LEFT(tblMovement[[#This Row],[Material]],3)="Ore",1,0))</f>
        <v/>
      </c>
      <c r="N1883" s="59">
        <f>IF(OR(tblMovement[[#This Row],[Tonnes_t]]="",tblMovement[[#This Row],[Grade_gpt]]=""),0,tblMovement[[#This Row],[Tonnes_t]]*tblMovement[[#This Row],[Grade_gpt]]/cfg_TroyOz)</f>
        <v/>
      </c>
      <c r="O1883" s="59">
        <f>IF(tblMovement[[#This Row],[Is_Ore]]=1,tblMovement[[#This Row],[Contained_oz]],0)</f>
        <v/>
      </c>
    </row>
    <row r="1884">
      <c r="A1884" s="54" t="n"/>
      <c r="B1884" s="61" t="n"/>
      <c r="C1884" s="61" t="n"/>
      <c r="D1884" s="61" t="n"/>
      <c r="E1884" s="61" t="n"/>
      <c r="F1884" s="55" t="n"/>
      <c r="G1884" s="56" t="n"/>
      <c r="H1884" s="55" t="n"/>
      <c r="I1884" s="62" t="n"/>
      <c r="J1884" s="58" t="n"/>
      <c r="K1884" s="63">
        <f>IF(tblMovement[[#This Row],[Source]]="","",IFERROR(INDEX(tblSources[Type],MATCH(tblMovement[[#This Row],[Source]],tblSources[Source],0)),"?"))</f>
        <v/>
      </c>
      <c r="L1884" s="63">
        <f>IF(tblMovement[[#This Row],[Destination]]="","",IFERROR(INDEX(tblDestinations[Type],MATCH(tblMovement[[#This Row],[Destination]],tblDestinations[Destination],0)),"?"))</f>
        <v/>
      </c>
      <c r="M1884" s="64">
        <f>IF(tblMovement[[#This Row],[Material]]="","",IF(LEFT(tblMovement[[#This Row],[Material]],3)="Ore",1,0))</f>
        <v/>
      </c>
      <c r="N1884" s="59">
        <f>IF(OR(tblMovement[[#This Row],[Tonnes_t]]="",tblMovement[[#This Row],[Grade_gpt]]=""),0,tblMovement[[#This Row],[Tonnes_t]]*tblMovement[[#This Row],[Grade_gpt]]/cfg_TroyOz)</f>
        <v/>
      </c>
      <c r="O1884" s="59">
        <f>IF(tblMovement[[#This Row],[Is_Ore]]=1,tblMovement[[#This Row],[Contained_oz]],0)</f>
        <v/>
      </c>
    </row>
    <row r="1885">
      <c r="A1885" s="54" t="n"/>
      <c r="B1885" s="61" t="n"/>
      <c r="C1885" s="61" t="n"/>
      <c r="D1885" s="61" t="n"/>
      <c r="E1885" s="61" t="n"/>
      <c r="F1885" s="55" t="n"/>
      <c r="G1885" s="56" t="n"/>
      <c r="H1885" s="55" t="n"/>
      <c r="I1885" s="62" t="n"/>
      <c r="J1885" s="58" t="n"/>
      <c r="K1885" s="63">
        <f>IF(tblMovement[[#This Row],[Source]]="","",IFERROR(INDEX(tblSources[Type],MATCH(tblMovement[[#This Row],[Source]],tblSources[Source],0)),"?"))</f>
        <v/>
      </c>
      <c r="L1885" s="63">
        <f>IF(tblMovement[[#This Row],[Destination]]="","",IFERROR(INDEX(tblDestinations[Type],MATCH(tblMovement[[#This Row],[Destination]],tblDestinations[Destination],0)),"?"))</f>
        <v/>
      </c>
      <c r="M1885" s="64">
        <f>IF(tblMovement[[#This Row],[Material]]="","",IF(LEFT(tblMovement[[#This Row],[Material]],3)="Ore",1,0))</f>
        <v/>
      </c>
      <c r="N1885" s="59">
        <f>IF(OR(tblMovement[[#This Row],[Tonnes_t]]="",tblMovement[[#This Row],[Grade_gpt]]=""),0,tblMovement[[#This Row],[Tonnes_t]]*tblMovement[[#This Row],[Grade_gpt]]/cfg_TroyOz)</f>
        <v/>
      </c>
      <c r="O1885" s="59">
        <f>IF(tblMovement[[#This Row],[Is_Ore]]=1,tblMovement[[#This Row],[Contained_oz]],0)</f>
        <v/>
      </c>
    </row>
    <row r="1886">
      <c r="A1886" s="54" t="n"/>
      <c r="B1886" s="61" t="n"/>
      <c r="C1886" s="61" t="n"/>
      <c r="D1886" s="61" t="n"/>
      <c r="E1886" s="61" t="n"/>
      <c r="F1886" s="55" t="n"/>
      <c r="G1886" s="56" t="n"/>
      <c r="H1886" s="55" t="n"/>
      <c r="I1886" s="62" t="n"/>
      <c r="J1886" s="58" t="n"/>
      <c r="K1886" s="63">
        <f>IF(tblMovement[[#This Row],[Source]]="","",IFERROR(INDEX(tblSources[Type],MATCH(tblMovement[[#This Row],[Source]],tblSources[Source],0)),"?"))</f>
        <v/>
      </c>
      <c r="L1886" s="63">
        <f>IF(tblMovement[[#This Row],[Destination]]="","",IFERROR(INDEX(tblDestinations[Type],MATCH(tblMovement[[#This Row],[Destination]],tblDestinations[Destination],0)),"?"))</f>
        <v/>
      </c>
      <c r="M1886" s="64">
        <f>IF(tblMovement[[#This Row],[Material]]="","",IF(LEFT(tblMovement[[#This Row],[Material]],3)="Ore",1,0))</f>
        <v/>
      </c>
      <c r="N1886" s="59">
        <f>IF(OR(tblMovement[[#This Row],[Tonnes_t]]="",tblMovement[[#This Row],[Grade_gpt]]=""),0,tblMovement[[#This Row],[Tonnes_t]]*tblMovement[[#This Row],[Grade_gpt]]/cfg_TroyOz)</f>
        <v/>
      </c>
      <c r="O1886" s="59">
        <f>IF(tblMovement[[#This Row],[Is_Ore]]=1,tblMovement[[#This Row],[Contained_oz]],0)</f>
        <v/>
      </c>
    </row>
    <row r="1887">
      <c r="A1887" s="54" t="n"/>
      <c r="B1887" s="61" t="n"/>
      <c r="C1887" s="61" t="n"/>
      <c r="D1887" s="61" t="n"/>
      <c r="E1887" s="61" t="n"/>
      <c r="F1887" s="55" t="n"/>
      <c r="G1887" s="56" t="n"/>
      <c r="H1887" s="55" t="n"/>
      <c r="I1887" s="62" t="n"/>
      <c r="J1887" s="58" t="n"/>
      <c r="K1887" s="63">
        <f>IF(tblMovement[[#This Row],[Source]]="","",IFERROR(INDEX(tblSources[Type],MATCH(tblMovement[[#This Row],[Source]],tblSources[Source],0)),"?"))</f>
        <v/>
      </c>
      <c r="L1887" s="63">
        <f>IF(tblMovement[[#This Row],[Destination]]="","",IFERROR(INDEX(tblDestinations[Type],MATCH(tblMovement[[#This Row],[Destination]],tblDestinations[Destination],0)),"?"))</f>
        <v/>
      </c>
      <c r="M1887" s="64">
        <f>IF(tblMovement[[#This Row],[Material]]="","",IF(LEFT(tblMovement[[#This Row],[Material]],3)="Ore",1,0))</f>
        <v/>
      </c>
      <c r="N1887" s="59">
        <f>IF(OR(tblMovement[[#This Row],[Tonnes_t]]="",tblMovement[[#This Row],[Grade_gpt]]=""),0,tblMovement[[#This Row],[Tonnes_t]]*tblMovement[[#This Row],[Grade_gpt]]/cfg_TroyOz)</f>
        <v/>
      </c>
      <c r="O1887" s="59">
        <f>IF(tblMovement[[#This Row],[Is_Ore]]=1,tblMovement[[#This Row],[Contained_oz]],0)</f>
        <v/>
      </c>
    </row>
    <row r="1888">
      <c r="A1888" s="54" t="n"/>
      <c r="B1888" s="61" t="n"/>
      <c r="C1888" s="61" t="n"/>
      <c r="D1888" s="61" t="n"/>
      <c r="E1888" s="61" t="n"/>
      <c r="F1888" s="55" t="n"/>
      <c r="G1888" s="56" t="n"/>
      <c r="H1888" s="55" t="n"/>
      <c r="I1888" s="62" t="n"/>
      <c r="J1888" s="58" t="n"/>
      <c r="K1888" s="63">
        <f>IF(tblMovement[[#This Row],[Source]]="","",IFERROR(INDEX(tblSources[Type],MATCH(tblMovement[[#This Row],[Source]],tblSources[Source],0)),"?"))</f>
        <v/>
      </c>
      <c r="L1888" s="63">
        <f>IF(tblMovement[[#This Row],[Destination]]="","",IFERROR(INDEX(tblDestinations[Type],MATCH(tblMovement[[#This Row],[Destination]],tblDestinations[Destination],0)),"?"))</f>
        <v/>
      </c>
      <c r="M1888" s="64">
        <f>IF(tblMovement[[#This Row],[Material]]="","",IF(LEFT(tblMovement[[#This Row],[Material]],3)="Ore",1,0))</f>
        <v/>
      </c>
      <c r="N1888" s="59">
        <f>IF(OR(tblMovement[[#This Row],[Tonnes_t]]="",tblMovement[[#This Row],[Grade_gpt]]=""),0,tblMovement[[#This Row],[Tonnes_t]]*tblMovement[[#This Row],[Grade_gpt]]/cfg_TroyOz)</f>
        <v/>
      </c>
      <c r="O1888" s="59">
        <f>IF(tblMovement[[#This Row],[Is_Ore]]=1,tblMovement[[#This Row],[Contained_oz]],0)</f>
        <v/>
      </c>
    </row>
    <row r="1889">
      <c r="A1889" s="54" t="n"/>
      <c r="B1889" s="61" t="n"/>
      <c r="C1889" s="61" t="n"/>
      <c r="D1889" s="61" t="n"/>
      <c r="E1889" s="61" t="n"/>
      <c r="F1889" s="55" t="n"/>
      <c r="G1889" s="56" t="n"/>
      <c r="H1889" s="55" t="n"/>
      <c r="I1889" s="62" t="n"/>
      <c r="J1889" s="58" t="n"/>
      <c r="K1889" s="63">
        <f>IF(tblMovement[[#This Row],[Source]]="","",IFERROR(INDEX(tblSources[Type],MATCH(tblMovement[[#This Row],[Source]],tblSources[Source],0)),"?"))</f>
        <v/>
      </c>
      <c r="L1889" s="63">
        <f>IF(tblMovement[[#This Row],[Destination]]="","",IFERROR(INDEX(tblDestinations[Type],MATCH(tblMovement[[#This Row],[Destination]],tblDestinations[Destination],0)),"?"))</f>
        <v/>
      </c>
      <c r="M1889" s="64">
        <f>IF(tblMovement[[#This Row],[Material]]="","",IF(LEFT(tblMovement[[#This Row],[Material]],3)="Ore",1,0))</f>
        <v/>
      </c>
      <c r="N1889" s="59">
        <f>IF(OR(tblMovement[[#This Row],[Tonnes_t]]="",tblMovement[[#This Row],[Grade_gpt]]=""),0,tblMovement[[#This Row],[Tonnes_t]]*tblMovement[[#This Row],[Grade_gpt]]/cfg_TroyOz)</f>
        <v/>
      </c>
      <c r="O1889" s="59">
        <f>IF(tblMovement[[#This Row],[Is_Ore]]=1,tblMovement[[#This Row],[Contained_oz]],0)</f>
        <v/>
      </c>
    </row>
    <row r="1890">
      <c r="A1890" s="54" t="n"/>
      <c r="B1890" s="61" t="n"/>
      <c r="C1890" s="61" t="n"/>
      <c r="D1890" s="61" t="n"/>
      <c r="E1890" s="61" t="n"/>
      <c r="F1890" s="55" t="n"/>
      <c r="G1890" s="56" t="n"/>
      <c r="H1890" s="55" t="n"/>
      <c r="I1890" s="62" t="n"/>
      <c r="J1890" s="58" t="n"/>
      <c r="K1890" s="63">
        <f>IF(tblMovement[[#This Row],[Source]]="","",IFERROR(INDEX(tblSources[Type],MATCH(tblMovement[[#This Row],[Source]],tblSources[Source],0)),"?"))</f>
        <v/>
      </c>
      <c r="L1890" s="63">
        <f>IF(tblMovement[[#This Row],[Destination]]="","",IFERROR(INDEX(tblDestinations[Type],MATCH(tblMovement[[#This Row],[Destination]],tblDestinations[Destination],0)),"?"))</f>
        <v/>
      </c>
      <c r="M1890" s="64">
        <f>IF(tblMovement[[#This Row],[Material]]="","",IF(LEFT(tblMovement[[#This Row],[Material]],3)="Ore",1,0))</f>
        <v/>
      </c>
      <c r="N1890" s="59">
        <f>IF(OR(tblMovement[[#This Row],[Tonnes_t]]="",tblMovement[[#This Row],[Grade_gpt]]=""),0,tblMovement[[#This Row],[Tonnes_t]]*tblMovement[[#This Row],[Grade_gpt]]/cfg_TroyOz)</f>
        <v/>
      </c>
      <c r="O1890" s="59">
        <f>IF(tblMovement[[#This Row],[Is_Ore]]=1,tblMovement[[#This Row],[Contained_oz]],0)</f>
        <v/>
      </c>
    </row>
    <row r="1891">
      <c r="A1891" s="54" t="n"/>
      <c r="B1891" s="61" t="n"/>
      <c r="C1891" s="61" t="n"/>
      <c r="D1891" s="61" t="n"/>
      <c r="E1891" s="61" t="n"/>
      <c r="F1891" s="55" t="n"/>
      <c r="G1891" s="56" t="n"/>
      <c r="H1891" s="55" t="n"/>
      <c r="I1891" s="62" t="n"/>
      <c r="J1891" s="58" t="n"/>
      <c r="K1891" s="63">
        <f>IF(tblMovement[[#This Row],[Source]]="","",IFERROR(INDEX(tblSources[Type],MATCH(tblMovement[[#This Row],[Source]],tblSources[Source],0)),"?"))</f>
        <v/>
      </c>
      <c r="L1891" s="63">
        <f>IF(tblMovement[[#This Row],[Destination]]="","",IFERROR(INDEX(tblDestinations[Type],MATCH(tblMovement[[#This Row],[Destination]],tblDestinations[Destination],0)),"?"))</f>
        <v/>
      </c>
      <c r="M1891" s="64">
        <f>IF(tblMovement[[#This Row],[Material]]="","",IF(LEFT(tblMovement[[#This Row],[Material]],3)="Ore",1,0))</f>
        <v/>
      </c>
      <c r="N1891" s="59">
        <f>IF(OR(tblMovement[[#This Row],[Tonnes_t]]="",tblMovement[[#This Row],[Grade_gpt]]=""),0,tblMovement[[#This Row],[Tonnes_t]]*tblMovement[[#This Row],[Grade_gpt]]/cfg_TroyOz)</f>
        <v/>
      </c>
      <c r="O1891" s="59">
        <f>IF(tblMovement[[#This Row],[Is_Ore]]=1,tblMovement[[#This Row],[Contained_oz]],0)</f>
        <v/>
      </c>
    </row>
    <row r="1892">
      <c r="A1892" s="54" t="n"/>
      <c r="B1892" s="61" t="n"/>
      <c r="C1892" s="61" t="n"/>
      <c r="D1892" s="61" t="n"/>
      <c r="E1892" s="61" t="n"/>
      <c r="F1892" s="55" t="n"/>
      <c r="G1892" s="56" t="n"/>
      <c r="H1892" s="55" t="n"/>
      <c r="I1892" s="62" t="n"/>
      <c r="J1892" s="58" t="n"/>
      <c r="K1892" s="63">
        <f>IF(tblMovement[[#This Row],[Source]]="","",IFERROR(INDEX(tblSources[Type],MATCH(tblMovement[[#This Row],[Source]],tblSources[Source],0)),"?"))</f>
        <v/>
      </c>
      <c r="L1892" s="63">
        <f>IF(tblMovement[[#This Row],[Destination]]="","",IFERROR(INDEX(tblDestinations[Type],MATCH(tblMovement[[#This Row],[Destination]],tblDestinations[Destination],0)),"?"))</f>
        <v/>
      </c>
      <c r="M1892" s="64">
        <f>IF(tblMovement[[#This Row],[Material]]="","",IF(LEFT(tblMovement[[#This Row],[Material]],3)="Ore",1,0))</f>
        <v/>
      </c>
      <c r="N1892" s="59">
        <f>IF(OR(tblMovement[[#This Row],[Tonnes_t]]="",tblMovement[[#This Row],[Grade_gpt]]=""),0,tblMovement[[#This Row],[Tonnes_t]]*tblMovement[[#This Row],[Grade_gpt]]/cfg_TroyOz)</f>
        <v/>
      </c>
      <c r="O1892" s="59">
        <f>IF(tblMovement[[#This Row],[Is_Ore]]=1,tblMovement[[#This Row],[Contained_oz]],0)</f>
        <v/>
      </c>
    </row>
    <row r="1893">
      <c r="A1893" s="54" t="n"/>
      <c r="B1893" s="61" t="n"/>
      <c r="C1893" s="61" t="n"/>
      <c r="D1893" s="61" t="n"/>
      <c r="E1893" s="61" t="n"/>
      <c r="F1893" s="55" t="n"/>
      <c r="G1893" s="56" t="n"/>
      <c r="H1893" s="55" t="n"/>
      <c r="I1893" s="62" t="n"/>
      <c r="J1893" s="58" t="n"/>
      <c r="K1893" s="63">
        <f>IF(tblMovement[[#This Row],[Source]]="","",IFERROR(INDEX(tblSources[Type],MATCH(tblMovement[[#This Row],[Source]],tblSources[Source],0)),"?"))</f>
        <v/>
      </c>
      <c r="L1893" s="63">
        <f>IF(tblMovement[[#This Row],[Destination]]="","",IFERROR(INDEX(tblDestinations[Type],MATCH(tblMovement[[#This Row],[Destination]],tblDestinations[Destination],0)),"?"))</f>
        <v/>
      </c>
      <c r="M1893" s="64">
        <f>IF(tblMovement[[#This Row],[Material]]="","",IF(LEFT(tblMovement[[#This Row],[Material]],3)="Ore",1,0))</f>
        <v/>
      </c>
      <c r="N1893" s="59">
        <f>IF(OR(tblMovement[[#This Row],[Tonnes_t]]="",tblMovement[[#This Row],[Grade_gpt]]=""),0,tblMovement[[#This Row],[Tonnes_t]]*tblMovement[[#This Row],[Grade_gpt]]/cfg_TroyOz)</f>
        <v/>
      </c>
      <c r="O1893" s="59">
        <f>IF(tblMovement[[#This Row],[Is_Ore]]=1,tblMovement[[#This Row],[Contained_oz]],0)</f>
        <v/>
      </c>
    </row>
    <row r="1894">
      <c r="A1894" s="54" t="n"/>
      <c r="B1894" s="61" t="n"/>
      <c r="C1894" s="61" t="n"/>
      <c r="D1894" s="61" t="n"/>
      <c r="E1894" s="61" t="n"/>
      <c r="F1894" s="55" t="n"/>
      <c r="G1894" s="56" t="n"/>
      <c r="H1894" s="55" t="n"/>
      <c r="I1894" s="62" t="n"/>
      <c r="J1894" s="58" t="n"/>
      <c r="K1894" s="63">
        <f>IF(tblMovement[[#This Row],[Source]]="","",IFERROR(INDEX(tblSources[Type],MATCH(tblMovement[[#This Row],[Source]],tblSources[Source],0)),"?"))</f>
        <v/>
      </c>
      <c r="L1894" s="63">
        <f>IF(tblMovement[[#This Row],[Destination]]="","",IFERROR(INDEX(tblDestinations[Type],MATCH(tblMovement[[#This Row],[Destination]],tblDestinations[Destination],0)),"?"))</f>
        <v/>
      </c>
      <c r="M1894" s="64">
        <f>IF(tblMovement[[#This Row],[Material]]="","",IF(LEFT(tblMovement[[#This Row],[Material]],3)="Ore",1,0))</f>
        <v/>
      </c>
      <c r="N1894" s="59">
        <f>IF(OR(tblMovement[[#This Row],[Tonnes_t]]="",tblMovement[[#This Row],[Grade_gpt]]=""),0,tblMovement[[#This Row],[Tonnes_t]]*tblMovement[[#This Row],[Grade_gpt]]/cfg_TroyOz)</f>
        <v/>
      </c>
      <c r="O1894" s="59">
        <f>IF(tblMovement[[#This Row],[Is_Ore]]=1,tblMovement[[#This Row],[Contained_oz]],0)</f>
        <v/>
      </c>
    </row>
    <row r="1895">
      <c r="A1895" s="54" t="n"/>
      <c r="B1895" s="61" t="n"/>
      <c r="C1895" s="61" t="n"/>
      <c r="D1895" s="61" t="n"/>
      <c r="E1895" s="61" t="n"/>
      <c r="F1895" s="55" t="n"/>
      <c r="G1895" s="56" t="n"/>
      <c r="H1895" s="55" t="n"/>
      <c r="I1895" s="62" t="n"/>
      <c r="J1895" s="58" t="n"/>
      <c r="K1895" s="63">
        <f>IF(tblMovement[[#This Row],[Source]]="","",IFERROR(INDEX(tblSources[Type],MATCH(tblMovement[[#This Row],[Source]],tblSources[Source],0)),"?"))</f>
        <v/>
      </c>
      <c r="L1895" s="63">
        <f>IF(tblMovement[[#This Row],[Destination]]="","",IFERROR(INDEX(tblDestinations[Type],MATCH(tblMovement[[#This Row],[Destination]],tblDestinations[Destination],0)),"?"))</f>
        <v/>
      </c>
      <c r="M1895" s="64">
        <f>IF(tblMovement[[#This Row],[Material]]="","",IF(LEFT(tblMovement[[#This Row],[Material]],3)="Ore",1,0))</f>
        <v/>
      </c>
      <c r="N1895" s="59">
        <f>IF(OR(tblMovement[[#This Row],[Tonnes_t]]="",tblMovement[[#This Row],[Grade_gpt]]=""),0,tblMovement[[#This Row],[Tonnes_t]]*tblMovement[[#This Row],[Grade_gpt]]/cfg_TroyOz)</f>
        <v/>
      </c>
      <c r="O1895" s="59">
        <f>IF(tblMovement[[#This Row],[Is_Ore]]=1,tblMovement[[#This Row],[Contained_oz]],0)</f>
        <v/>
      </c>
    </row>
    <row r="1896">
      <c r="A1896" s="54" t="n"/>
      <c r="B1896" s="61" t="n"/>
      <c r="C1896" s="61" t="n"/>
      <c r="D1896" s="61" t="n"/>
      <c r="E1896" s="61" t="n"/>
      <c r="F1896" s="55" t="n"/>
      <c r="G1896" s="56" t="n"/>
      <c r="H1896" s="55" t="n"/>
      <c r="I1896" s="62" t="n"/>
      <c r="J1896" s="58" t="n"/>
      <c r="K1896" s="63">
        <f>IF(tblMovement[[#This Row],[Source]]="","",IFERROR(INDEX(tblSources[Type],MATCH(tblMovement[[#This Row],[Source]],tblSources[Source],0)),"?"))</f>
        <v/>
      </c>
      <c r="L1896" s="63">
        <f>IF(tblMovement[[#This Row],[Destination]]="","",IFERROR(INDEX(tblDestinations[Type],MATCH(tblMovement[[#This Row],[Destination]],tblDestinations[Destination],0)),"?"))</f>
        <v/>
      </c>
      <c r="M1896" s="64">
        <f>IF(tblMovement[[#This Row],[Material]]="","",IF(LEFT(tblMovement[[#This Row],[Material]],3)="Ore",1,0))</f>
        <v/>
      </c>
      <c r="N1896" s="59">
        <f>IF(OR(tblMovement[[#This Row],[Tonnes_t]]="",tblMovement[[#This Row],[Grade_gpt]]=""),0,tblMovement[[#This Row],[Tonnes_t]]*tblMovement[[#This Row],[Grade_gpt]]/cfg_TroyOz)</f>
        <v/>
      </c>
      <c r="O1896" s="59">
        <f>IF(tblMovement[[#This Row],[Is_Ore]]=1,tblMovement[[#This Row],[Contained_oz]],0)</f>
        <v/>
      </c>
    </row>
    <row r="1897">
      <c r="A1897" s="54" t="n"/>
      <c r="B1897" s="61" t="n"/>
      <c r="C1897" s="61" t="n"/>
      <c r="D1897" s="61" t="n"/>
      <c r="E1897" s="61" t="n"/>
      <c r="F1897" s="55" t="n"/>
      <c r="G1897" s="56" t="n"/>
      <c r="H1897" s="55" t="n"/>
      <c r="I1897" s="62" t="n"/>
      <c r="J1897" s="58" t="n"/>
      <c r="K1897" s="63">
        <f>IF(tblMovement[[#This Row],[Source]]="","",IFERROR(INDEX(tblSources[Type],MATCH(tblMovement[[#This Row],[Source]],tblSources[Source],0)),"?"))</f>
        <v/>
      </c>
      <c r="L1897" s="63">
        <f>IF(tblMovement[[#This Row],[Destination]]="","",IFERROR(INDEX(tblDestinations[Type],MATCH(tblMovement[[#This Row],[Destination]],tblDestinations[Destination],0)),"?"))</f>
        <v/>
      </c>
      <c r="M1897" s="64">
        <f>IF(tblMovement[[#This Row],[Material]]="","",IF(LEFT(tblMovement[[#This Row],[Material]],3)="Ore",1,0))</f>
        <v/>
      </c>
      <c r="N1897" s="59">
        <f>IF(OR(tblMovement[[#This Row],[Tonnes_t]]="",tblMovement[[#This Row],[Grade_gpt]]=""),0,tblMovement[[#This Row],[Tonnes_t]]*tblMovement[[#This Row],[Grade_gpt]]/cfg_TroyOz)</f>
        <v/>
      </c>
      <c r="O1897" s="59">
        <f>IF(tblMovement[[#This Row],[Is_Ore]]=1,tblMovement[[#This Row],[Contained_oz]],0)</f>
        <v/>
      </c>
    </row>
    <row r="1898">
      <c r="A1898" s="54" t="n"/>
      <c r="B1898" s="61" t="n"/>
      <c r="C1898" s="61" t="n"/>
      <c r="D1898" s="61" t="n"/>
      <c r="E1898" s="61" t="n"/>
      <c r="F1898" s="55" t="n"/>
      <c r="G1898" s="56" t="n"/>
      <c r="H1898" s="55" t="n"/>
      <c r="I1898" s="62" t="n"/>
      <c r="J1898" s="58" t="n"/>
      <c r="K1898" s="63">
        <f>IF(tblMovement[[#This Row],[Source]]="","",IFERROR(INDEX(tblSources[Type],MATCH(tblMovement[[#This Row],[Source]],tblSources[Source],0)),"?"))</f>
        <v/>
      </c>
      <c r="L1898" s="63">
        <f>IF(tblMovement[[#This Row],[Destination]]="","",IFERROR(INDEX(tblDestinations[Type],MATCH(tblMovement[[#This Row],[Destination]],tblDestinations[Destination],0)),"?"))</f>
        <v/>
      </c>
      <c r="M1898" s="64">
        <f>IF(tblMovement[[#This Row],[Material]]="","",IF(LEFT(tblMovement[[#This Row],[Material]],3)="Ore",1,0))</f>
        <v/>
      </c>
      <c r="N1898" s="59">
        <f>IF(OR(tblMovement[[#This Row],[Tonnes_t]]="",tblMovement[[#This Row],[Grade_gpt]]=""),0,tblMovement[[#This Row],[Tonnes_t]]*tblMovement[[#This Row],[Grade_gpt]]/cfg_TroyOz)</f>
        <v/>
      </c>
      <c r="O1898" s="59">
        <f>IF(tblMovement[[#This Row],[Is_Ore]]=1,tblMovement[[#This Row],[Contained_oz]],0)</f>
        <v/>
      </c>
    </row>
    <row r="1899">
      <c r="A1899" s="54" t="n"/>
      <c r="B1899" s="61" t="n"/>
      <c r="C1899" s="61" t="n"/>
      <c r="D1899" s="61" t="n"/>
      <c r="E1899" s="61" t="n"/>
      <c r="F1899" s="55" t="n"/>
      <c r="G1899" s="56" t="n"/>
      <c r="H1899" s="55" t="n"/>
      <c r="I1899" s="62" t="n"/>
      <c r="J1899" s="58" t="n"/>
      <c r="K1899" s="63">
        <f>IF(tblMovement[[#This Row],[Source]]="","",IFERROR(INDEX(tblSources[Type],MATCH(tblMovement[[#This Row],[Source]],tblSources[Source],0)),"?"))</f>
        <v/>
      </c>
      <c r="L1899" s="63">
        <f>IF(tblMovement[[#This Row],[Destination]]="","",IFERROR(INDEX(tblDestinations[Type],MATCH(tblMovement[[#This Row],[Destination]],tblDestinations[Destination],0)),"?"))</f>
        <v/>
      </c>
      <c r="M1899" s="64">
        <f>IF(tblMovement[[#This Row],[Material]]="","",IF(LEFT(tblMovement[[#This Row],[Material]],3)="Ore",1,0))</f>
        <v/>
      </c>
      <c r="N1899" s="59">
        <f>IF(OR(tblMovement[[#This Row],[Tonnes_t]]="",tblMovement[[#This Row],[Grade_gpt]]=""),0,tblMovement[[#This Row],[Tonnes_t]]*tblMovement[[#This Row],[Grade_gpt]]/cfg_TroyOz)</f>
        <v/>
      </c>
      <c r="O1899" s="59">
        <f>IF(tblMovement[[#This Row],[Is_Ore]]=1,tblMovement[[#This Row],[Contained_oz]],0)</f>
        <v/>
      </c>
    </row>
    <row r="1900">
      <c r="A1900" s="54" t="n"/>
      <c r="B1900" s="61" t="n"/>
      <c r="C1900" s="61" t="n"/>
      <c r="D1900" s="61" t="n"/>
      <c r="E1900" s="61" t="n"/>
      <c r="F1900" s="55" t="n"/>
      <c r="G1900" s="56" t="n"/>
      <c r="H1900" s="55" t="n"/>
      <c r="I1900" s="62" t="n"/>
      <c r="J1900" s="58" t="n"/>
      <c r="K1900" s="63">
        <f>IF(tblMovement[[#This Row],[Source]]="","",IFERROR(INDEX(tblSources[Type],MATCH(tblMovement[[#This Row],[Source]],tblSources[Source],0)),"?"))</f>
        <v/>
      </c>
      <c r="L1900" s="63">
        <f>IF(tblMovement[[#This Row],[Destination]]="","",IFERROR(INDEX(tblDestinations[Type],MATCH(tblMovement[[#This Row],[Destination]],tblDestinations[Destination],0)),"?"))</f>
        <v/>
      </c>
      <c r="M1900" s="64">
        <f>IF(tblMovement[[#This Row],[Material]]="","",IF(LEFT(tblMovement[[#This Row],[Material]],3)="Ore",1,0))</f>
        <v/>
      </c>
      <c r="N1900" s="59">
        <f>IF(OR(tblMovement[[#This Row],[Tonnes_t]]="",tblMovement[[#This Row],[Grade_gpt]]=""),0,tblMovement[[#This Row],[Tonnes_t]]*tblMovement[[#This Row],[Grade_gpt]]/cfg_TroyOz)</f>
        <v/>
      </c>
      <c r="O1900" s="59">
        <f>IF(tblMovement[[#This Row],[Is_Ore]]=1,tblMovement[[#This Row],[Contained_oz]],0)</f>
        <v/>
      </c>
    </row>
    <row r="1901">
      <c r="A1901" s="54" t="n"/>
      <c r="B1901" s="61" t="n"/>
      <c r="C1901" s="61" t="n"/>
      <c r="D1901" s="61" t="n"/>
      <c r="E1901" s="61" t="n"/>
      <c r="F1901" s="55" t="n"/>
      <c r="G1901" s="56" t="n"/>
      <c r="H1901" s="55" t="n"/>
      <c r="I1901" s="62" t="n"/>
      <c r="J1901" s="58" t="n"/>
      <c r="K1901" s="63">
        <f>IF(tblMovement[[#This Row],[Source]]="","",IFERROR(INDEX(tblSources[Type],MATCH(tblMovement[[#This Row],[Source]],tblSources[Source],0)),"?"))</f>
        <v/>
      </c>
      <c r="L1901" s="63">
        <f>IF(tblMovement[[#This Row],[Destination]]="","",IFERROR(INDEX(tblDestinations[Type],MATCH(tblMovement[[#This Row],[Destination]],tblDestinations[Destination],0)),"?"))</f>
        <v/>
      </c>
      <c r="M1901" s="64">
        <f>IF(tblMovement[[#This Row],[Material]]="","",IF(LEFT(tblMovement[[#This Row],[Material]],3)="Ore",1,0))</f>
        <v/>
      </c>
      <c r="N1901" s="59">
        <f>IF(OR(tblMovement[[#This Row],[Tonnes_t]]="",tblMovement[[#This Row],[Grade_gpt]]=""),0,tblMovement[[#This Row],[Tonnes_t]]*tblMovement[[#This Row],[Grade_gpt]]/cfg_TroyOz)</f>
        <v/>
      </c>
      <c r="O1901" s="59">
        <f>IF(tblMovement[[#This Row],[Is_Ore]]=1,tblMovement[[#This Row],[Contained_oz]],0)</f>
        <v/>
      </c>
    </row>
    <row r="1902">
      <c r="A1902" s="54" t="n"/>
      <c r="B1902" s="61" t="n"/>
      <c r="C1902" s="61" t="n"/>
      <c r="D1902" s="61" t="n"/>
      <c r="E1902" s="61" t="n"/>
      <c r="F1902" s="55" t="n"/>
      <c r="G1902" s="56" t="n"/>
      <c r="H1902" s="55" t="n"/>
      <c r="I1902" s="62" t="n"/>
      <c r="J1902" s="58" t="n"/>
      <c r="K1902" s="63">
        <f>IF(tblMovement[[#This Row],[Source]]="","",IFERROR(INDEX(tblSources[Type],MATCH(tblMovement[[#This Row],[Source]],tblSources[Source],0)),"?"))</f>
        <v/>
      </c>
      <c r="L1902" s="63">
        <f>IF(tblMovement[[#This Row],[Destination]]="","",IFERROR(INDEX(tblDestinations[Type],MATCH(tblMovement[[#This Row],[Destination]],tblDestinations[Destination],0)),"?"))</f>
        <v/>
      </c>
      <c r="M1902" s="64">
        <f>IF(tblMovement[[#This Row],[Material]]="","",IF(LEFT(tblMovement[[#This Row],[Material]],3)="Ore",1,0))</f>
        <v/>
      </c>
      <c r="N1902" s="59">
        <f>IF(OR(tblMovement[[#This Row],[Tonnes_t]]="",tblMovement[[#This Row],[Grade_gpt]]=""),0,tblMovement[[#This Row],[Tonnes_t]]*tblMovement[[#This Row],[Grade_gpt]]/cfg_TroyOz)</f>
        <v/>
      </c>
      <c r="O1902" s="59">
        <f>IF(tblMovement[[#This Row],[Is_Ore]]=1,tblMovement[[#This Row],[Contained_oz]],0)</f>
        <v/>
      </c>
    </row>
    <row r="1903">
      <c r="A1903" s="54" t="n"/>
      <c r="B1903" s="61" t="n"/>
      <c r="C1903" s="61" t="n"/>
      <c r="D1903" s="61" t="n"/>
      <c r="E1903" s="61" t="n"/>
      <c r="F1903" s="55" t="n"/>
      <c r="G1903" s="56" t="n"/>
      <c r="H1903" s="55" t="n"/>
      <c r="I1903" s="62" t="n"/>
      <c r="J1903" s="58" t="n"/>
      <c r="K1903" s="63">
        <f>IF(tblMovement[[#This Row],[Source]]="","",IFERROR(INDEX(tblSources[Type],MATCH(tblMovement[[#This Row],[Source]],tblSources[Source],0)),"?"))</f>
        <v/>
      </c>
      <c r="L1903" s="63">
        <f>IF(tblMovement[[#This Row],[Destination]]="","",IFERROR(INDEX(tblDestinations[Type],MATCH(tblMovement[[#This Row],[Destination]],tblDestinations[Destination],0)),"?"))</f>
        <v/>
      </c>
      <c r="M1903" s="64">
        <f>IF(tblMovement[[#This Row],[Material]]="","",IF(LEFT(tblMovement[[#This Row],[Material]],3)="Ore",1,0))</f>
        <v/>
      </c>
      <c r="N1903" s="59">
        <f>IF(OR(tblMovement[[#This Row],[Tonnes_t]]="",tblMovement[[#This Row],[Grade_gpt]]=""),0,tblMovement[[#This Row],[Tonnes_t]]*tblMovement[[#This Row],[Grade_gpt]]/cfg_TroyOz)</f>
        <v/>
      </c>
      <c r="O1903" s="59">
        <f>IF(tblMovement[[#This Row],[Is_Ore]]=1,tblMovement[[#This Row],[Contained_oz]],0)</f>
        <v/>
      </c>
    </row>
    <row r="1904">
      <c r="A1904" s="54" t="n"/>
      <c r="B1904" s="61" t="n"/>
      <c r="C1904" s="61" t="n"/>
      <c r="D1904" s="61" t="n"/>
      <c r="E1904" s="61" t="n"/>
      <c r="F1904" s="55" t="n"/>
      <c r="G1904" s="56" t="n"/>
      <c r="H1904" s="55" t="n"/>
      <c r="I1904" s="62" t="n"/>
      <c r="J1904" s="58" t="n"/>
      <c r="K1904" s="63">
        <f>IF(tblMovement[[#This Row],[Source]]="","",IFERROR(INDEX(tblSources[Type],MATCH(tblMovement[[#This Row],[Source]],tblSources[Source],0)),"?"))</f>
        <v/>
      </c>
      <c r="L1904" s="63">
        <f>IF(tblMovement[[#This Row],[Destination]]="","",IFERROR(INDEX(tblDestinations[Type],MATCH(tblMovement[[#This Row],[Destination]],tblDestinations[Destination],0)),"?"))</f>
        <v/>
      </c>
      <c r="M1904" s="64">
        <f>IF(tblMovement[[#This Row],[Material]]="","",IF(LEFT(tblMovement[[#This Row],[Material]],3)="Ore",1,0))</f>
        <v/>
      </c>
      <c r="N1904" s="59">
        <f>IF(OR(tblMovement[[#This Row],[Tonnes_t]]="",tblMovement[[#This Row],[Grade_gpt]]=""),0,tblMovement[[#This Row],[Tonnes_t]]*tblMovement[[#This Row],[Grade_gpt]]/cfg_TroyOz)</f>
        <v/>
      </c>
      <c r="O1904" s="59">
        <f>IF(tblMovement[[#This Row],[Is_Ore]]=1,tblMovement[[#This Row],[Contained_oz]],0)</f>
        <v/>
      </c>
    </row>
    <row r="1905">
      <c r="A1905" s="54" t="n"/>
      <c r="B1905" s="61" t="n"/>
      <c r="C1905" s="61" t="n"/>
      <c r="D1905" s="61" t="n"/>
      <c r="E1905" s="61" t="n"/>
      <c r="F1905" s="55" t="n"/>
      <c r="G1905" s="56" t="n"/>
      <c r="H1905" s="55" t="n"/>
      <c r="I1905" s="62" t="n"/>
      <c r="J1905" s="58" t="n"/>
      <c r="K1905" s="63">
        <f>IF(tblMovement[[#This Row],[Source]]="","",IFERROR(INDEX(tblSources[Type],MATCH(tblMovement[[#This Row],[Source]],tblSources[Source],0)),"?"))</f>
        <v/>
      </c>
      <c r="L1905" s="63">
        <f>IF(tblMovement[[#This Row],[Destination]]="","",IFERROR(INDEX(tblDestinations[Type],MATCH(tblMovement[[#This Row],[Destination]],tblDestinations[Destination],0)),"?"))</f>
        <v/>
      </c>
      <c r="M1905" s="64">
        <f>IF(tblMovement[[#This Row],[Material]]="","",IF(LEFT(tblMovement[[#This Row],[Material]],3)="Ore",1,0))</f>
        <v/>
      </c>
      <c r="N1905" s="59">
        <f>IF(OR(tblMovement[[#This Row],[Tonnes_t]]="",tblMovement[[#This Row],[Grade_gpt]]=""),0,tblMovement[[#This Row],[Tonnes_t]]*tblMovement[[#This Row],[Grade_gpt]]/cfg_TroyOz)</f>
        <v/>
      </c>
      <c r="O1905" s="59">
        <f>IF(tblMovement[[#This Row],[Is_Ore]]=1,tblMovement[[#This Row],[Contained_oz]],0)</f>
        <v/>
      </c>
    </row>
    <row r="1906">
      <c r="A1906" s="54" t="n"/>
      <c r="B1906" s="61" t="n"/>
      <c r="C1906" s="61" t="n"/>
      <c r="D1906" s="61" t="n"/>
      <c r="E1906" s="61" t="n"/>
      <c r="F1906" s="55" t="n"/>
      <c r="G1906" s="56" t="n"/>
      <c r="H1906" s="55" t="n"/>
      <c r="I1906" s="62" t="n"/>
      <c r="J1906" s="58" t="n"/>
      <c r="K1906" s="63">
        <f>IF(tblMovement[[#This Row],[Source]]="","",IFERROR(INDEX(tblSources[Type],MATCH(tblMovement[[#This Row],[Source]],tblSources[Source],0)),"?"))</f>
        <v/>
      </c>
      <c r="L1906" s="63">
        <f>IF(tblMovement[[#This Row],[Destination]]="","",IFERROR(INDEX(tblDestinations[Type],MATCH(tblMovement[[#This Row],[Destination]],tblDestinations[Destination],0)),"?"))</f>
        <v/>
      </c>
      <c r="M1906" s="64">
        <f>IF(tblMovement[[#This Row],[Material]]="","",IF(LEFT(tblMovement[[#This Row],[Material]],3)="Ore",1,0))</f>
        <v/>
      </c>
      <c r="N1906" s="59">
        <f>IF(OR(tblMovement[[#This Row],[Tonnes_t]]="",tblMovement[[#This Row],[Grade_gpt]]=""),0,tblMovement[[#This Row],[Tonnes_t]]*tblMovement[[#This Row],[Grade_gpt]]/cfg_TroyOz)</f>
        <v/>
      </c>
      <c r="O1906" s="59">
        <f>IF(tblMovement[[#This Row],[Is_Ore]]=1,tblMovement[[#This Row],[Contained_oz]],0)</f>
        <v/>
      </c>
    </row>
    <row r="1907">
      <c r="A1907" s="54" t="n"/>
      <c r="B1907" s="61" t="n"/>
      <c r="C1907" s="61" t="n"/>
      <c r="D1907" s="61" t="n"/>
      <c r="E1907" s="61" t="n"/>
      <c r="F1907" s="55" t="n"/>
      <c r="G1907" s="56" t="n"/>
      <c r="H1907" s="55" t="n"/>
      <c r="I1907" s="62" t="n"/>
      <c r="J1907" s="58" t="n"/>
      <c r="K1907" s="63">
        <f>IF(tblMovement[[#This Row],[Source]]="","",IFERROR(INDEX(tblSources[Type],MATCH(tblMovement[[#This Row],[Source]],tblSources[Source],0)),"?"))</f>
        <v/>
      </c>
      <c r="L1907" s="63">
        <f>IF(tblMovement[[#This Row],[Destination]]="","",IFERROR(INDEX(tblDestinations[Type],MATCH(tblMovement[[#This Row],[Destination]],tblDestinations[Destination],0)),"?"))</f>
        <v/>
      </c>
      <c r="M1907" s="64">
        <f>IF(tblMovement[[#This Row],[Material]]="","",IF(LEFT(tblMovement[[#This Row],[Material]],3)="Ore",1,0))</f>
        <v/>
      </c>
      <c r="N1907" s="59">
        <f>IF(OR(tblMovement[[#This Row],[Tonnes_t]]="",tblMovement[[#This Row],[Grade_gpt]]=""),0,tblMovement[[#This Row],[Tonnes_t]]*tblMovement[[#This Row],[Grade_gpt]]/cfg_TroyOz)</f>
        <v/>
      </c>
      <c r="O1907" s="59">
        <f>IF(tblMovement[[#This Row],[Is_Ore]]=1,tblMovement[[#This Row],[Contained_oz]],0)</f>
        <v/>
      </c>
    </row>
    <row r="1908">
      <c r="A1908" s="54" t="n"/>
      <c r="B1908" s="61" t="n"/>
      <c r="C1908" s="61" t="n"/>
      <c r="D1908" s="61" t="n"/>
      <c r="E1908" s="61" t="n"/>
      <c r="F1908" s="55" t="n"/>
      <c r="G1908" s="56" t="n"/>
      <c r="H1908" s="55" t="n"/>
      <c r="I1908" s="62" t="n"/>
      <c r="J1908" s="58" t="n"/>
      <c r="K1908" s="63">
        <f>IF(tblMovement[[#This Row],[Source]]="","",IFERROR(INDEX(tblSources[Type],MATCH(tblMovement[[#This Row],[Source]],tblSources[Source],0)),"?"))</f>
        <v/>
      </c>
      <c r="L1908" s="63">
        <f>IF(tblMovement[[#This Row],[Destination]]="","",IFERROR(INDEX(tblDestinations[Type],MATCH(tblMovement[[#This Row],[Destination]],tblDestinations[Destination],0)),"?"))</f>
        <v/>
      </c>
      <c r="M1908" s="64">
        <f>IF(tblMovement[[#This Row],[Material]]="","",IF(LEFT(tblMovement[[#This Row],[Material]],3)="Ore",1,0))</f>
        <v/>
      </c>
      <c r="N1908" s="59">
        <f>IF(OR(tblMovement[[#This Row],[Tonnes_t]]="",tblMovement[[#This Row],[Grade_gpt]]=""),0,tblMovement[[#This Row],[Tonnes_t]]*tblMovement[[#This Row],[Grade_gpt]]/cfg_TroyOz)</f>
        <v/>
      </c>
      <c r="O1908" s="59">
        <f>IF(tblMovement[[#This Row],[Is_Ore]]=1,tblMovement[[#This Row],[Contained_oz]],0)</f>
        <v/>
      </c>
    </row>
    <row r="1909">
      <c r="A1909" s="54" t="n"/>
      <c r="B1909" s="61" t="n"/>
      <c r="C1909" s="61" t="n"/>
      <c r="D1909" s="61" t="n"/>
      <c r="E1909" s="61" t="n"/>
      <c r="F1909" s="55" t="n"/>
      <c r="G1909" s="56" t="n"/>
      <c r="H1909" s="55" t="n"/>
      <c r="I1909" s="62" t="n"/>
      <c r="J1909" s="58" t="n"/>
      <c r="K1909" s="63">
        <f>IF(tblMovement[[#This Row],[Source]]="","",IFERROR(INDEX(tblSources[Type],MATCH(tblMovement[[#This Row],[Source]],tblSources[Source],0)),"?"))</f>
        <v/>
      </c>
      <c r="L1909" s="63">
        <f>IF(tblMovement[[#This Row],[Destination]]="","",IFERROR(INDEX(tblDestinations[Type],MATCH(tblMovement[[#This Row],[Destination]],tblDestinations[Destination],0)),"?"))</f>
        <v/>
      </c>
      <c r="M1909" s="64">
        <f>IF(tblMovement[[#This Row],[Material]]="","",IF(LEFT(tblMovement[[#This Row],[Material]],3)="Ore",1,0))</f>
        <v/>
      </c>
      <c r="N1909" s="59">
        <f>IF(OR(tblMovement[[#This Row],[Tonnes_t]]="",tblMovement[[#This Row],[Grade_gpt]]=""),0,tblMovement[[#This Row],[Tonnes_t]]*tblMovement[[#This Row],[Grade_gpt]]/cfg_TroyOz)</f>
        <v/>
      </c>
      <c r="O1909" s="59">
        <f>IF(tblMovement[[#This Row],[Is_Ore]]=1,tblMovement[[#This Row],[Contained_oz]],0)</f>
        <v/>
      </c>
    </row>
    <row r="1910">
      <c r="A1910" s="54" t="n"/>
      <c r="B1910" s="61" t="n"/>
      <c r="C1910" s="61" t="n"/>
      <c r="D1910" s="61" t="n"/>
      <c r="E1910" s="61" t="n"/>
      <c r="F1910" s="55" t="n"/>
      <c r="G1910" s="56" t="n"/>
      <c r="H1910" s="55" t="n"/>
      <c r="I1910" s="62" t="n"/>
      <c r="J1910" s="58" t="n"/>
      <c r="K1910" s="63">
        <f>IF(tblMovement[[#This Row],[Source]]="","",IFERROR(INDEX(tblSources[Type],MATCH(tblMovement[[#This Row],[Source]],tblSources[Source],0)),"?"))</f>
        <v/>
      </c>
      <c r="L1910" s="63">
        <f>IF(tblMovement[[#This Row],[Destination]]="","",IFERROR(INDEX(tblDestinations[Type],MATCH(tblMovement[[#This Row],[Destination]],tblDestinations[Destination],0)),"?"))</f>
        <v/>
      </c>
      <c r="M1910" s="64">
        <f>IF(tblMovement[[#This Row],[Material]]="","",IF(LEFT(tblMovement[[#This Row],[Material]],3)="Ore",1,0))</f>
        <v/>
      </c>
      <c r="N1910" s="59">
        <f>IF(OR(tblMovement[[#This Row],[Tonnes_t]]="",tblMovement[[#This Row],[Grade_gpt]]=""),0,tblMovement[[#This Row],[Tonnes_t]]*tblMovement[[#This Row],[Grade_gpt]]/cfg_TroyOz)</f>
        <v/>
      </c>
      <c r="O1910" s="59">
        <f>IF(tblMovement[[#This Row],[Is_Ore]]=1,tblMovement[[#This Row],[Contained_oz]],0)</f>
        <v/>
      </c>
    </row>
    <row r="1911">
      <c r="A1911" s="54" t="n"/>
      <c r="B1911" s="61" t="n"/>
      <c r="C1911" s="61" t="n"/>
      <c r="D1911" s="61" t="n"/>
      <c r="E1911" s="61" t="n"/>
      <c r="F1911" s="55" t="n"/>
      <c r="G1911" s="56" t="n"/>
      <c r="H1911" s="55" t="n"/>
      <c r="I1911" s="62" t="n"/>
      <c r="J1911" s="58" t="n"/>
      <c r="K1911" s="63">
        <f>IF(tblMovement[[#This Row],[Source]]="","",IFERROR(INDEX(tblSources[Type],MATCH(tblMovement[[#This Row],[Source]],tblSources[Source],0)),"?"))</f>
        <v/>
      </c>
      <c r="L1911" s="63">
        <f>IF(tblMovement[[#This Row],[Destination]]="","",IFERROR(INDEX(tblDestinations[Type],MATCH(tblMovement[[#This Row],[Destination]],tblDestinations[Destination],0)),"?"))</f>
        <v/>
      </c>
      <c r="M1911" s="64">
        <f>IF(tblMovement[[#This Row],[Material]]="","",IF(LEFT(tblMovement[[#This Row],[Material]],3)="Ore",1,0))</f>
        <v/>
      </c>
      <c r="N1911" s="59">
        <f>IF(OR(tblMovement[[#This Row],[Tonnes_t]]="",tblMovement[[#This Row],[Grade_gpt]]=""),0,tblMovement[[#This Row],[Tonnes_t]]*tblMovement[[#This Row],[Grade_gpt]]/cfg_TroyOz)</f>
        <v/>
      </c>
      <c r="O1911" s="59">
        <f>IF(tblMovement[[#This Row],[Is_Ore]]=1,tblMovement[[#This Row],[Contained_oz]],0)</f>
        <v/>
      </c>
    </row>
    <row r="1912">
      <c r="A1912" s="54" t="n"/>
      <c r="B1912" s="61" t="n"/>
      <c r="C1912" s="61" t="n"/>
      <c r="D1912" s="61" t="n"/>
      <c r="E1912" s="61" t="n"/>
      <c r="F1912" s="55" t="n"/>
      <c r="G1912" s="56" t="n"/>
      <c r="H1912" s="55" t="n"/>
      <c r="I1912" s="62" t="n"/>
      <c r="J1912" s="58" t="n"/>
      <c r="K1912" s="63">
        <f>IF(tblMovement[[#This Row],[Source]]="","",IFERROR(INDEX(tblSources[Type],MATCH(tblMovement[[#This Row],[Source]],tblSources[Source],0)),"?"))</f>
        <v/>
      </c>
      <c r="L1912" s="63">
        <f>IF(tblMovement[[#This Row],[Destination]]="","",IFERROR(INDEX(tblDestinations[Type],MATCH(tblMovement[[#This Row],[Destination]],tblDestinations[Destination],0)),"?"))</f>
        <v/>
      </c>
      <c r="M1912" s="64">
        <f>IF(tblMovement[[#This Row],[Material]]="","",IF(LEFT(tblMovement[[#This Row],[Material]],3)="Ore",1,0))</f>
        <v/>
      </c>
      <c r="N1912" s="59">
        <f>IF(OR(tblMovement[[#This Row],[Tonnes_t]]="",tblMovement[[#This Row],[Grade_gpt]]=""),0,tblMovement[[#This Row],[Tonnes_t]]*tblMovement[[#This Row],[Grade_gpt]]/cfg_TroyOz)</f>
        <v/>
      </c>
      <c r="O1912" s="59">
        <f>IF(tblMovement[[#This Row],[Is_Ore]]=1,tblMovement[[#This Row],[Contained_oz]],0)</f>
        <v/>
      </c>
    </row>
    <row r="1913">
      <c r="A1913" s="54" t="n"/>
      <c r="B1913" s="61" t="n"/>
      <c r="C1913" s="61" t="n"/>
      <c r="D1913" s="61" t="n"/>
      <c r="E1913" s="61" t="n"/>
      <c r="F1913" s="55" t="n"/>
      <c r="G1913" s="56" t="n"/>
      <c r="H1913" s="55" t="n"/>
      <c r="I1913" s="62" t="n"/>
      <c r="J1913" s="58" t="n"/>
      <c r="K1913" s="63">
        <f>IF(tblMovement[[#This Row],[Source]]="","",IFERROR(INDEX(tblSources[Type],MATCH(tblMovement[[#This Row],[Source]],tblSources[Source],0)),"?"))</f>
        <v/>
      </c>
      <c r="L1913" s="63">
        <f>IF(tblMovement[[#This Row],[Destination]]="","",IFERROR(INDEX(tblDestinations[Type],MATCH(tblMovement[[#This Row],[Destination]],tblDestinations[Destination],0)),"?"))</f>
        <v/>
      </c>
      <c r="M1913" s="64">
        <f>IF(tblMovement[[#This Row],[Material]]="","",IF(LEFT(tblMovement[[#This Row],[Material]],3)="Ore",1,0))</f>
        <v/>
      </c>
      <c r="N1913" s="59">
        <f>IF(OR(tblMovement[[#This Row],[Tonnes_t]]="",tblMovement[[#This Row],[Grade_gpt]]=""),0,tblMovement[[#This Row],[Tonnes_t]]*tblMovement[[#This Row],[Grade_gpt]]/cfg_TroyOz)</f>
        <v/>
      </c>
      <c r="O1913" s="59">
        <f>IF(tblMovement[[#This Row],[Is_Ore]]=1,tblMovement[[#This Row],[Contained_oz]],0)</f>
        <v/>
      </c>
    </row>
    <row r="1914">
      <c r="A1914" s="54" t="n"/>
      <c r="B1914" s="61" t="n"/>
      <c r="C1914" s="61" t="n"/>
      <c r="D1914" s="61" t="n"/>
      <c r="E1914" s="61" t="n"/>
      <c r="F1914" s="55" t="n"/>
      <c r="G1914" s="56" t="n"/>
      <c r="H1914" s="55" t="n"/>
      <c r="I1914" s="62" t="n"/>
      <c r="J1914" s="58" t="n"/>
      <c r="K1914" s="63">
        <f>IF(tblMovement[[#This Row],[Source]]="","",IFERROR(INDEX(tblSources[Type],MATCH(tblMovement[[#This Row],[Source]],tblSources[Source],0)),"?"))</f>
        <v/>
      </c>
      <c r="L1914" s="63">
        <f>IF(tblMovement[[#This Row],[Destination]]="","",IFERROR(INDEX(tblDestinations[Type],MATCH(tblMovement[[#This Row],[Destination]],tblDestinations[Destination],0)),"?"))</f>
        <v/>
      </c>
      <c r="M1914" s="64">
        <f>IF(tblMovement[[#This Row],[Material]]="","",IF(LEFT(tblMovement[[#This Row],[Material]],3)="Ore",1,0))</f>
        <v/>
      </c>
      <c r="N1914" s="59">
        <f>IF(OR(tblMovement[[#This Row],[Tonnes_t]]="",tblMovement[[#This Row],[Grade_gpt]]=""),0,tblMovement[[#This Row],[Tonnes_t]]*tblMovement[[#This Row],[Grade_gpt]]/cfg_TroyOz)</f>
        <v/>
      </c>
      <c r="O1914" s="59">
        <f>IF(tblMovement[[#This Row],[Is_Ore]]=1,tblMovement[[#This Row],[Contained_oz]],0)</f>
        <v/>
      </c>
    </row>
    <row r="1915">
      <c r="A1915" s="54" t="n"/>
      <c r="B1915" s="61" t="n"/>
      <c r="C1915" s="61" t="n"/>
      <c r="D1915" s="61" t="n"/>
      <c r="E1915" s="61" t="n"/>
      <c r="F1915" s="55" t="n"/>
      <c r="G1915" s="56" t="n"/>
      <c r="H1915" s="55" t="n"/>
      <c r="I1915" s="62" t="n"/>
      <c r="J1915" s="58" t="n"/>
      <c r="K1915" s="63">
        <f>IF(tblMovement[[#This Row],[Source]]="","",IFERROR(INDEX(tblSources[Type],MATCH(tblMovement[[#This Row],[Source]],tblSources[Source],0)),"?"))</f>
        <v/>
      </c>
      <c r="L1915" s="63">
        <f>IF(tblMovement[[#This Row],[Destination]]="","",IFERROR(INDEX(tblDestinations[Type],MATCH(tblMovement[[#This Row],[Destination]],tblDestinations[Destination],0)),"?"))</f>
        <v/>
      </c>
      <c r="M1915" s="64">
        <f>IF(tblMovement[[#This Row],[Material]]="","",IF(LEFT(tblMovement[[#This Row],[Material]],3)="Ore",1,0))</f>
        <v/>
      </c>
      <c r="N1915" s="59">
        <f>IF(OR(tblMovement[[#This Row],[Tonnes_t]]="",tblMovement[[#This Row],[Grade_gpt]]=""),0,tblMovement[[#This Row],[Tonnes_t]]*tblMovement[[#This Row],[Grade_gpt]]/cfg_TroyOz)</f>
        <v/>
      </c>
      <c r="O1915" s="59">
        <f>IF(tblMovement[[#This Row],[Is_Ore]]=1,tblMovement[[#This Row],[Contained_oz]],0)</f>
        <v/>
      </c>
    </row>
    <row r="1916">
      <c r="A1916" s="54" t="n"/>
      <c r="B1916" s="61" t="n"/>
      <c r="C1916" s="61" t="n"/>
      <c r="D1916" s="61" t="n"/>
      <c r="E1916" s="61" t="n"/>
      <c r="F1916" s="55" t="n"/>
      <c r="G1916" s="56" t="n"/>
      <c r="H1916" s="55" t="n"/>
      <c r="I1916" s="62" t="n"/>
      <c r="J1916" s="58" t="n"/>
      <c r="K1916" s="63">
        <f>IF(tblMovement[[#This Row],[Source]]="","",IFERROR(INDEX(tblSources[Type],MATCH(tblMovement[[#This Row],[Source]],tblSources[Source],0)),"?"))</f>
        <v/>
      </c>
      <c r="L1916" s="63">
        <f>IF(tblMovement[[#This Row],[Destination]]="","",IFERROR(INDEX(tblDestinations[Type],MATCH(tblMovement[[#This Row],[Destination]],tblDestinations[Destination],0)),"?"))</f>
        <v/>
      </c>
      <c r="M1916" s="64">
        <f>IF(tblMovement[[#This Row],[Material]]="","",IF(LEFT(tblMovement[[#This Row],[Material]],3)="Ore",1,0))</f>
        <v/>
      </c>
      <c r="N1916" s="59">
        <f>IF(OR(tblMovement[[#This Row],[Tonnes_t]]="",tblMovement[[#This Row],[Grade_gpt]]=""),0,tblMovement[[#This Row],[Tonnes_t]]*tblMovement[[#This Row],[Grade_gpt]]/cfg_TroyOz)</f>
        <v/>
      </c>
      <c r="O1916" s="59">
        <f>IF(tblMovement[[#This Row],[Is_Ore]]=1,tblMovement[[#This Row],[Contained_oz]],0)</f>
        <v/>
      </c>
    </row>
    <row r="1917">
      <c r="A1917" s="54" t="n"/>
      <c r="B1917" s="61" t="n"/>
      <c r="C1917" s="61" t="n"/>
      <c r="D1917" s="61" t="n"/>
      <c r="E1917" s="61" t="n"/>
      <c r="F1917" s="55" t="n"/>
      <c r="G1917" s="56" t="n"/>
      <c r="H1917" s="55" t="n"/>
      <c r="I1917" s="62" t="n"/>
      <c r="J1917" s="58" t="n"/>
      <c r="K1917" s="63">
        <f>IF(tblMovement[[#This Row],[Source]]="","",IFERROR(INDEX(tblSources[Type],MATCH(tblMovement[[#This Row],[Source]],tblSources[Source],0)),"?"))</f>
        <v/>
      </c>
      <c r="L1917" s="63">
        <f>IF(tblMovement[[#This Row],[Destination]]="","",IFERROR(INDEX(tblDestinations[Type],MATCH(tblMovement[[#This Row],[Destination]],tblDestinations[Destination],0)),"?"))</f>
        <v/>
      </c>
      <c r="M1917" s="64">
        <f>IF(tblMovement[[#This Row],[Material]]="","",IF(LEFT(tblMovement[[#This Row],[Material]],3)="Ore",1,0))</f>
        <v/>
      </c>
      <c r="N1917" s="59">
        <f>IF(OR(tblMovement[[#This Row],[Tonnes_t]]="",tblMovement[[#This Row],[Grade_gpt]]=""),0,tblMovement[[#This Row],[Tonnes_t]]*tblMovement[[#This Row],[Grade_gpt]]/cfg_TroyOz)</f>
        <v/>
      </c>
      <c r="O1917" s="59">
        <f>IF(tblMovement[[#This Row],[Is_Ore]]=1,tblMovement[[#This Row],[Contained_oz]],0)</f>
        <v/>
      </c>
    </row>
    <row r="1918">
      <c r="A1918" s="54" t="n"/>
      <c r="B1918" s="61" t="n"/>
      <c r="C1918" s="61" t="n"/>
      <c r="D1918" s="61" t="n"/>
      <c r="E1918" s="61" t="n"/>
      <c r="F1918" s="55" t="n"/>
      <c r="G1918" s="56" t="n"/>
      <c r="H1918" s="55" t="n"/>
      <c r="I1918" s="62" t="n"/>
      <c r="J1918" s="58" t="n"/>
      <c r="K1918" s="63">
        <f>IF(tblMovement[[#This Row],[Source]]="","",IFERROR(INDEX(tblSources[Type],MATCH(tblMovement[[#This Row],[Source]],tblSources[Source],0)),"?"))</f>
        <v/>
      </c>
      <c r="L1918" s="63">
        <f>IF(tblMovement[[#This Row],[Destination]]="","",IFERROR(INDEX(tblDestinations[Type],MATCH(tblMovement[[#This Row],[Destination]],tblDestinations[Destination],0)),"?"))</f>
        <v/>
      </c>
      <c r="M1918" s="64">
        <f>IF(tblMovement[[#This Row],[Material]]="","",IF(LEFT(tblMovement[[#This Row],[Material]],3)="Ore",1,0))</f>
        <v/>
      </c>
      <c r="N1918" s="59">
        <f>IF(OR(tblMovement[[#This Row],[Tonnes_t]]="",tblMovement[[#This Row],[Grade_gpt]]=""),0,tblMovement[[#This Row],[Tonnes_t]]*tblMovement[[#This Row],[Grade_gpt]]/cfg_TroyOz)</f>
        <v/>
      </c>
      <c r="O1918" s="59">
        <f>IF(tblMovement[[#This Row],[Is_Ore]]=1,tblMovement[[#This Row],[Contained_oz]],0)</f>
        <v/>
      </c>
    </row>
    <row r="1919">
      <c r="A1919" s="54" t="n"/>
      <c r="B1919" s="61" t="n"/>
      <c r="C1919" s="61" t="n"/>
      <c r="D1919" s="61" t="n"/>
      <c r="E1919" s="61" t="n"/>
      <c r="F1919" s="55" t="n"/>
      <c r="G1919" s="56" t="n"/>
      <c r="H1919" s="55" t="n"/>
      <c r="I1919" s="62" t="n"/>
      <c r="J1919" s="58" t="n"/>
      <c r="K1919" s="63">
        <f>IF(tblMovement[[#This Row],[Source]]="","",IFERROR(INDEX(tblSources[Type],MATCH(tblMovement[[#This Row],[Source]],tblSources[Source],0)),"?"))</f>
        <v/>
      </c>
      <c r="L1919" s="63">
        <f>IF(tblMovement[[#This Row],[Destination]]="","",IFERROR(INDEX(tblDestinations[Type],MATCH(tblMovement[[#This Row],[Destination]],tblDestinations[Destination],0)),"?"))</f>
        <v/>
      </c>
      <c r="M1919" s="64">
        <f>IF(tblMovement[[#This Row],[Material]]="","",IF(LEFT(tblMovement[[#This Row],[Material]],3)="Ore",1,0))</f>
        <v/>
      </c>
      <c r="N1919" s="59">
        <f>IF(OR(tblMovement[[#This Row],[Tonnes_t]]="",tblMovement[[#This Row],[Grade_gpt]]=""),0,tblMovement[[#This Row],[Tonnes_t]]*tblMovement[[#This Row],[Grade_gpt]]/cfg_TroyOz)</f>
        <v/>
      </c>
      <c r="O1919" s="59">
        <f>IF(tblMovement[[#This Row],[Is_Ore]]=1,tblMovement[[#This Row],[Contained_oz]],0)</f>
        <v/>
      </c>
    </row>
    <row r="1920">
      <c r="A1920" s="54" t="n"/>
      <c r="B1920" s="61" t="n"/>
      <c r="C1920" s="61" t="n"/>
      <c r="D1920" s="61" t="n"/>
      <c r="E1920" s="61" t="n"/>
      <c r="F1920" s="55" t="n"/>
      <c r="G1920" s="56" t="n"/>
      <c r="H1920" s="55" t="n"/>
      <c r="I1920" s="62" t="n"/>
      <c r="J1920" s="58" t="n"/>
      <c r="K1920" s="63">
        <f>IF(tblMovement[[#This Row],[Source]]="","",IFERROR(INDEX(tblSources[Type],MATCH(tblMovement[[#This Row],[Source]],tblSources[Source],0)),"?"))</f>
        <v/>
      </c>
      <c r="L1920" s="63">
        <f>IF(tblMovement[[#This Row],[Destination]]="","",IFERROR(INDEX(tblDestinations[Type],MATCH(tblMovement[[#This Row],[Destination]],tblDestinations[Destination],0)),"?"))</f>
        <v/>
      </c>
      <c r="M1920" s="64">
        <f>IF(tblMovement[[#This Row],[Material]]="","",IF(LEFT(tblMovement[[#This Row],[Material]],3)="Ore",1,0))</f>
        <v/>
      </c>
      <c r="N1920" s="59">
        <f>IF(OR(tblMovement[[#This Row],[Tonnes_t]]="",tblMovement[[#This Row],[Grade_gpt]]=""),0,tblMovement[[#This Row],[Tonnes_t]]*tblMovement[[#This Row],[Grade_gpt]]/cfg_TroyOz)</f>
        <v/>
      </c>
      <c r="O1920" s="59">
        <f>IF(tblMovement[[#This Row],[Is_Ore]]=1,tblMovement[[#This Row],[Contained_oz]],0)</f>
        <v/>
      </c>
    </row>
    <row r="1921">
      <c r="A1921" s="54" t="n"/>
      <c r="B1921" s="61" t="n"/>
      <c r="C1921" s="61" t="n"/>
      <c r="D1921" s="61" t="n"/>
      <c r="E1921" s="61" t="n"/>
      <c r="F1921" s="55" t="n"/>
      <c r="G1921" s="56" t="n"/>
      <c r="H1921" s="55" t="n"/>
      <c r="I1921" s="62" t="n"/>
      <c r="J1921" s="58" t="n"/>
      <c r="K1921" s="63">
        <f>IF(tblMovement[[#This Row],[Source]]="","",IFERROR(INDEX(tblSources[Type],MATCH(tblMovement[[#This Row],[Source]],tblSources[Source],0)),"?"))</f>
        <v/>
      </c>
      <c r="L1921" s="63">
        <f>IF(tblMovement[[#This Row],[Destination]]="","",IFERROR(INDEX(tblDestinations[Type],MATCH(tblMovement[[#This Row],[Destination]],tblDestinations[Destination],0)),"?"))</f>
        <v/>
      </c>
      <c r="M1921" s="64">
        <f>IF(tblMovement[[#This Row],[Material]]="","",IF(LEFT(tblMovement[[#This Row],[Material]],3)="Ore",1,0))</f>
        <v/>
      </c>
      <c r="N1921" s="59">
        <f>IF(OR(tblMovement[[#This Row],[Tonnes_t]]="",tblMovement[[#This Row],[Grade_gpt]]=""),0,tblMovement[[#This Row],[Tonnes_t]]*tblMovement[[#This Row],[Grade_gpt]]/cfg_TroyOz)</f>
        <v/>
      </c>
      <c r="O1921" s="59">
        <f>IF(tblMovement[[#This Row],[Is_Ore]]=1,tblMovement[[#This Row],[Contained_oz]],0)</f>
        <v/>
      </c>
    </row>
    <row r="1922">
      <c r="A1922" s="54" t="n"/>
      <c r="B1922" s="61" t="n"/>
      <c r="C1922" s="61" t="n"/>
      <c r="D1922" s="61" t="n"/>
      <c r="E1922" s="61" t="n"/>
      <c r="F1922" s="55" t="n"/>
      <c r="G1922" s="56" t="n"/>
      <c r="H1922" s="55" t="n"/>
      <c r="I1922" s="62" t="n"/>
      <c r="J1922" s="58" t="n"/>
      <c r="K1922" s="63">
        <f>IF(tblMovement[[#This Row],[Source]]="","",IFERROR(INDEX(tblSources[Type],MATCH(tblMovement[[#This Row],[Source]],tblSources[Source],0)),"?"))</f>
        <v/>
      </c>
      <c r="L1922" s="63">
        <f>IF(tblMovement[[#This Row],[Destination]]="","",IFERROR(INDEX(tblDestinations[Type],MATCH(tblMovement[[#This Row],[Destination]],tblDestinations[Destination],0)),"?"))</f>
        <v/>
      </c>
      <c r="M1922" s="64">
        <f>IF(tblMovement[[#This Row],[Material]]="","",IF(LEFT(tblMovement[[#This Row],[Material]],3)="Ore",1,0))</f>
        <v/>
      </c>
      <c r="N1922" s="59">
        <f>IF(OR(tblMovement[[#This Row],[Tonnes_t]]="",tblMovement[[#This Row],[Grade_gpt]]=""),0,tblMovement[[#This Row],[Tonnes_t]]*tblMovement[[#This Row],[Grade_gpt]]/cfg_TroyOz)</f>
        <v/>
      </c>
      <c r="O1922" s="59">
        <f>IF(tblMovement[[#This Row],[Is_Ore]]=1,tblMovement[[#This Row],[Contained_oz]],0)</f>
        <v/>
      </c>
    </row>
    <row r="1923">
      <c r="A1923" s="54" t="n"/>
      <c r="B1923" s="61" t="n"/>
      <c r="C1923" s="61" t="n"/>
      <c r="D1923" s="61" t="n"/>
      <c r="E1923" s="61" t="n"/>
      <c r="F1923" s="55" t="n"/>
      <c r="G1923" s="56" t="n"/>
      <c r="H1923" s="55" t="n"/>
      <c r="I1923" s="62" t="n"/>
      <c r="J1923" s="58" t="n"/>
      <c r="K1923" s="63">
        <f>IF(tblMovement[[#This Row],[Source]]="","",IFERROR(INDEX(tblSources[Type],MATCH(tblMovement[[#This Row],[Source]],tblSources[Source],0)),"?"))</f>
        <v/>
      </c>
      <c r="L1923" s="63">
        <f>IF(tblMovement[[#This Row],[Destination]]="","",IFERROR(INDEX(tblDestinations[Type],MATCH(tblMovement[[#This Row],[Destination]],tblDestinations[Destination],0)),"?"))</f>
        <v/>
      </c>
      <c r="M1923" s="64">
        <f>IF(tblMovement[[#This Row],[Material]]="","",IF(LEFT(tblMovement[[#This Row],[Material]],3)="Ore",1,0))</f>
        <v/>
      </c>
      <c r="N1923" s="59">
        <f>IF(OR(tblMovement[[#This Row],[Tonnes_t]]="",tblMovement[[#This Row],[Grade_gpt]]=""),0,tblMovement[[#This Row],[Tonnes_t]]*tblMovement[[#This Row],[Grade_gpt]]/cfg_TroyOz)</f>
        <v/>
      </c>
      <c r="O1923" s="59">
        <f>IF(tblMovement[[#This Row],[Is_Ore]]=1,tblMovement[[#This Row],[Contained_oz]],0)</f>
        <v/>
      </c>
    </row>
    <row r="1924">
      <c r="A1924" s="54" t="n"/>
      <c r="B1924" s="61" t="n"/>
      <c r="C1924" s="61" t="n"/>
      <c r="D1924" s="61" t="n"/>
      <c r="E1924" s="61" t="n"/>
      <c r="F1924" s="55" t="n"/>
      <c r="G1924" s="56" t="n"/>
      <c r="H1924" s="55" t="n"/>
      <c r="I1924" s="62" t="n"/>
      <c r="J1924" s="58" t="n"/>
      <c r="K1924" s="63">
        <f>IF(tblMovement[[#This Row],[Source]]="","",IFERROR(INDEX(tblSources[Type],MATCH(tblMovement[[#This Row],[Source]],tblSources[Source],0)),"?"))</f>
        <v/>
      </c>
      <c r="L1924" s="63">
        <f>IF(tblMovement[[#This Row],[Destination]]="","",IFERROR(INDEX(tblDestinations[Type],MATCH(tblMovement[[#This Row],[Destination]],tblDestinations[Destination],0)),"?"))</f>
        <v/>
      </c>
      <c r="M1924" s="64">
        <f>IF(tblMovement[[#This Row],[Material]]="","",IF(LEFT(tblMovement[[#This Row],[Material]],3)="Ore",1,0))</f>
        <v/>
      </c>
      <c r="N1924" s="59">
        <f>IF(OR(tblMovement[[#This Row],[Tonnes_t]]="",tblMovement[[#This Row],[Grade_gpt]]=""),0,tblMovement[[#This Row],[Tonnes_t]]*tblMovement[[#This Row],[Grade_gpt]]/cfg_TroyOz)</f>
        <v/>
      </c>
      <c r="O1924" s="59">
        <f>IF(tblMovement[[#This Row],[Is_Ore]]=1,tblMovement[[#This Row],[Contained_oz]],0)</f>
        <v/>
      </c>
    </row>
    <row r="1925">
      <c r="A1925" s="54" t="n"/>
      <c r="B1925" s="61" t="n"/>
      <c r="C1925" s="61" t="n"/>
      <c r="D1925" s="61" t="n"/>
      <c r="E1925" s="61" t="n"/>
      <c r="F1925" s="55" t="n"/>
      <c r="G1925" s="56" t="n"/>
      <c r="H1925" s="55" t="n"/>
      <c r="I1925" s="62" t="n"/>
      <c r="J1925" s="58" t="n"/>
      <c r="K1925" s="63">
        <f>IF(tblMovement[[#This Row],[Source]]="","",IFERROR(INDEX(tblSources[Type],MATCH(tblMovement[[#This Row],[Source]],tblSources[Source],0)),"?"))</f>
        <v/>
      </c>
      <c r="L1925" s="63">
        <f>IF(tblMovement[[#This Row],[Destination]]="","",IFERROR(INDEX(tblDestinations[Type],MATCH(tblMovement[[#This Row],[Destination]],tblDestinations[Destination],0)),"?"))</f>
        <v/>
      </c>
      <c r="M1925" s="64">
        <f>IF(tblMovement[[#This Row],[Material]]="","",IF(LEFT(tblMovement[[#This Row],[Material]],3)="Ore",1,0))</f>
        <v/>
      </c>
      <c r="N1925" s="59">
        <f>IF(OR(tblMovement[[#This Row],[Tonnes_t]]="",tblMovement[[#This Row],[Grade_gpt]]=""),0,tblMovement[[#This Row],[Tonnes_t]]*tblMovement[[#This Row],[Grade_gpt]]/cfg_TroyOz)</f>
        <v/>
      </c>
      <c r="O1925" s="59">
        <f>IF(tblMovement[[#This Row],[Is_Ore]]=1,tblMovement[[#This Row],[Contained_oz]],0)</f>
        <v/>
      </c>
    </row>
    <row r="1926">
      <c r="A1926" s="54" t="n"/>
      <c r="B1926" s="61" t="n"/>
      <c r="C1926" s="61" t="n"/>
      <c r="D1926" s="61" t="n"/>
      <c r="E1926" s="61" t="n"/>
      <c r="F1926" s="55" t="n"/>
      <c r="G1926" s="56" t="n"/>
      <c r="H1926" s="55" t="n"/>
      <c r="I1926" s="62" t="n"/>
      <c r="J1926" s="58" t="n"/>
      <c r="K1926" s="63">
        <f>IF(tblMovement[[#This Row],[Source]]="","",IFERROR(INDEX(tblSources[Type],MATCH(tblMovement[[#This Row],[Source]],tblSources[Source],0)),"?"))</f>
        <v/>
      </c>
      <c r="L1926" s="63">
        <f>IF(tblMovement[[#This Row],[Destination]]="","",IFERROR(INDEX(tblDestinations[Type],MATCH(tblMovement[[#This Row],[Destination]],tblDestinations[Destination],0)),"?"))</f>
        <v/>
      </c>
      <c r="M1926" s="64">
        <f>IF(tblMovement[[#This Row],[Material]]="","",IF(LEFT(tblMovement[[#This Row],[Material]],3)="Ore",1,0))</f>
        <v/>
      </c>
      <c r="N1926" s="59">
        <f>IF(OR(tblMovement[[#This Row],[Tonnes_t]]="",tblMovement[[#This Row],[Grade_gpt]]=""),0,tblMovement[[#This Row],[Tonnes_t]]*tblMovement[[#This Row],[Grade_gpt]]/cfg_TroyOz)</f>
        <v/>
      </c>
      <c r="O1926" s="59">
        <f>IF(tblMovement[[#This Row],[Is_Ore]]=1,tblMovement[[#This Row],[Contained_oz]],0)</f>
        <v/>
      </c>
    </row>
    <row r="1927">
      <c r="A1927" s="54" t="n"/>
      <c r="B1927" s="61" t="n"/>
      <c r="C1927" s="61" t="n"/>
      <c r="D1927" s="61" t="n"/>
      <c r="E1927" s="61" t="n"/>
      <c r="F1927" s="55" t="n"/>
      <c r="G1927" s="56" t="n"/>
      <c r="H1927" s="55" t="n"/>
      <c r="I1927" s="62" t="n"/>
      <c r="J1927" s="58" t="n"/>
      <c r="K1927" s="63">
        <f>IF(tblMovement[[#This Row],[Source]]="","",IFERROR(INDEX(tblSources[Type],MATCH(tblMovement[[#This Row],[Source]],tblSources[Source],0)),"?"))</f>
        <v/>
      </c>
      <c r="L1927" s="63">
        <f>IF(tblMovement[[#This Row],[Destination]]="","",IFERROR(INDEX(tblDestinations[Type],MATCH(tblMovement[[#This Row],[Destination]],tblDestinations[Destination],0)),"?"))</f>
        <v/>
      </c>
      <c r="M1927" s="64">
        <f>IF(tblMovement[[#This Row],[Material]]="","",IF(LEFT(tblMovement[[#This Row],[Material]],3)="Ore",1,0))</f>
        <v/>
      </c>
      <c r="N1927" s="59">
        <f>IF(OR(tblMovement[[#This Row],[Tonnes_t]]="",tblMovement[[#This Row],[Grade_gpt]]=""),0,tblMovement[[#This Row],[Tonnes_t]]*tblMovement[[#This Row],[Grade_gpt]]/cfg_TroyOz)</f>
        <v/>
      </c>
      <c r="O1927" s="59">
        <f>IF(tblMovement[[#This Row],[Is_Ore]]=1,tblMovement[[#This Row],[Contained_oz]],0)</f>
        <v/>
      </c>
    </row>
    <row r="1928">
      <c r="A1928" s="54" t="n"/>
      <c r="B1928" s="61" t="n"/>
      <c r="C1928" s="61" t="n"/>
      <c r="D1928" s="61" t="n"/>
      <c r="E1928" s="61" t="n"/>
      <c r="F1928" s="55" t="n"/>
      <c r="G1928" s="56" t="n"/>
      <c r="H1928" s="55" t="n"/>
      <c r="I1928" s="62" t="n"/>
      <c r="J1928" s="58" t="n"/>
      <c r="K1928" s="63">
        <f>IF(tblMovement[[#This Row],[Source]]="","",IFERROR(INDEX(tblSources[Type],MATCH(tblMovement[[#This Row],[Source]],tblSources[Source],0)),"?"))</f>
        <v/>
      </c>
      <c r="L1928" s="63">
        <f>IF(tblMovement[[#This Row],[Destination]]="","",IFERROR(INDEX(tblDestinations[Type],MATCH(tblMovement[[#This Row],[Destination]],tblDestinations[Destination],0)),"?"))</f>
        <v/>
      </c>
      <c r="M1928" s="64">
        <f>IF(tblMovement[[#This Row],[Material]]="","",IF(LEFT(tblMovement[[#This Row],[Material]],3)="Ore",1,0))</f>
        <v/>
      </c>
      <c r="N1928" s="59">
        <f>IF(OR(tblMovement[[#This Row],[Tonnes_t]]="",tblMovement[[#This Row],[Grade_gpt]]=""),0,tblMovement[[#This Row],[Tonnes_t]]*tblMovement[[#This Row],[Grade_gpt]]/cfg_TroyOz)</f>
        <v/>
      </c>
      <c r="O1928" s="59">
        <f>IF(tblMovement[[#This Row],[Is_Ore]]=1,tblMovement[[#This Row],[Contained_oz]],0)</f>
        <v/>
      </c>
    </row>
    <row r="1929">
      <c r="A1929" s="54" t="n"/>
      <c r="B1929" s="61" t="n"/>
      <c r="C1929" s="61" t="n"/>
      <c r="D1929" s="61" t="n"/>
      <c r="E1929" s="61" t="n"/>
      <c r="F1929" s="55" t="n"/>
      <c r="G1929" s="56" t="n"/>
      <c r="H1929" s="55" t="n"/>
      <c r="I1929" s="62" t="n"/>
      <c r="J1929" s="58" t="n"/>
      <c r="K1929" s="63">
        <f>IF(tblMovement[[#This Row],[Source]]="","",IFERROR(INDEX(tblSources[Type],MATCH(tblMovement[[#This Row],[Source]],tblSources[Source],0)),"?"))</f>
        <v/>
      </c>
      <c r="L1929" s="63">
        <f>IF(tblMovement[[#This Row],[Destination]]="","",IFERROR(INDEX(tblDestinations[Type],MATCH(tblMovement[[#This Row],[Destination]],tblDestinations[Destination],0)),"?"))</f>
        <v/>
      </c>
      <c r="M1929" s="64">
        <f>IF(tblMovement[[#This Row],[Material]]="","",IF(LEFT(tblMovement[[#This Row],[Material]],3)="Ore",1,0))</f>
        <v/>
      </c>
      <c r="N1929" s="59">
        <f>IF(OR(tblMovement[[#This Row],[Tonnes_t]]="",tblMovement[[#This Row],[Grade_gpt]]=""),0,tblMovement[[#This Row],[Tonnes_t]]*tblMovement[[#This Row],[Grade_gpt]]/cfg_TroyOz)</f>
        <v/>
      </c>
      <c r="O1929" s="59">
        <f>IF(tblMovement[[#This Row],[Is_Ore]]=1,tblMovement[[#This Row],[Contained_oz]],0)</f>
        <v/>
      </c>
    </row>
    <row r="1930">
      <c r="A1930" s="54" t="n"/>
      <c r="B1930" s="61" t="n"/>
      <c r="C1930" s="61" t="n"/>
      <c r="D1930" s="61" t="n"/>
      <c r="E1930" s="61" t="n"/>
      <c r="F1930" s="55" t="n"/>
      <c r="G1930" s="56" t="n"/>
      <c r="H1930" s="55" t="n"/>
      <c r="I1930" s="62" t="n"/>
      <c r="J1930" s="58" t="n"/>
      <c r="K1930" s="63">
        <f>IF(tblMovement[[#This Row],[Source]]="","",IFERROR(INDEX(tblSources[Type],MATCH(tblMovement[[#This Row],[Source]],tblSources[Source],0)),"?"))</f>
        <v/>
      </c>
      <c r="L1930" s="63">
        <f>IF(tblMovement[[#This Row],[Destination]]="","",IFERROR(INDEX(tblDestinations[Type],MATCH(tblMovement[[#This Row],[Destination]],tblDestinations[Destination],0)),"?"))</f>
        <v/>
      </c>
      <c r="M1930" s="64">
        <f>IF(tblMovement[[#This Row],[Material]]="","",IF(LEFT(tblMovement[[#This Row],[Material]],3)="Ore",1,0))</f>
        <v/>
      </c>
      <c r="N1930" s="59">
        <f>IF(OR(tblMovement[[#This Row],[Tonnes_t]]="",tblMovement[[#This Row],[Grade_gpt]]=""),0,tblMovement[[#This Row],[Tonnes_t]]*tblMovement[[#This Row],[Grade_gpt]]/cfg_TroyOz)</f>
        <v/>
      </c>
      <c r="O1930" s="59">
        <f>IF(tblMovement[[#This Row],[Is_Ore]]=1,tblMovement[[#This Row],[Contained_oz]],0)</f>
        <v/>
      </c>
    </row>
    <row r="1931">
      <c r="A1931" s="54" t="n"/>
      <c r="B1931" s="61" t="n"/>
      <c r="C1931" s="61" t="n"/>
      <c r="D1931" s="61" t="n"/>
      <c r="E1931" s="61" t="n"/>
      <c r="F1931" s="55" t="n"/>
      <c r="G1931" s="56" t="n"/>
      <c r="H1931" s="55" t="n"/>
      <c r="I1931" s="62" t="n"/>
      <c r="J1931" s="58" t="n"/>
      <c r="K1931" s="63">
        <f>IF(tblMovement[[#This Row],[Source]]="","",IFERROR(INDEX(tblSources[Type],MATCH(tblMovement[[#This Row],[Source]],tblSources[Source],0)),"?"))</f>
        <v/>
      </c>
      <c r="L1931" s="63">
        <f>IF(tblMovement[[#This Row],[Destination]]="","",IFERROR(INDEX(tblDestinations[Type],MATCH(tblMovement[[#This Row],[Destination]],tblDestinations[Destination],0)),"?"))</f>
        <v/>
      </c>
      <c r="M1931" s="64">
        <f>IF(tblMovement[[#This Row],[Material]]="","",IF(LEFT(tblMovement[[#This Row],[Material]],3)="Ore",1,0))</f>
        <v/>
      </c>
      <c r="N1931" s="59">
        <f>IF(OR(tblMovement[[#This Row],[Tonnes_t]]="",tblMovement[[#This Row],[Grade_gpt]]=""),0,tblMovement[[#This Row],[Tonnes_t]]*tblMovement[[#This Row],[Grade_gpt]]/cfg_TroyOz)</f>
        <v/>
      </c>
      <c r="O1931" s="59">
        <f>IF(tblMovement[[#This Row],[Is_Ore]]=1,tblMovement[[#This Row],[Contained_oz]],0)</f>
        <v/>
      </c>
    </row>
    <row r="1932">
      <c r="A1932" s="54" t="n"/>
      <c r="B1932" s="61" t="n"/>
      <c r="C1932" s="61" t="n"/>
      <c r="D1932" s="61" t="n"/>
      <c r="E1932" s="61" t="n"/>
      <c r="F1932" s="55" t="n"/>
      <c r="G1932" s="56" t="n"/>
      <c r="H1932" s="55" t="n"/>
      <c r="I1932" s="62" t="n"/>
      <c r="J1932" s="58" t="n"/>
      <c r="K1932" s="63">
        <f>IF(tblMovement[[#This Row],[Source]]="","",IFERROR(INDEX(tblSources[Type],MATCH(tblMovement[[#This Row],[Source]],tblSources[Source],0)),"?"))</f>
        <v/>
      </c>
      <c r="L1932" s="63">
        <f>IF(tblMovement[[#This Row],[Destination]]="","",IFERROR(INDEX(tblDestinations[Type],MATCH(tblMovement[[#This Row],[Destination]],tblDestinations[Destination],0)),"?"))</f>
        <v/>
      </c>
      <c r="M1932" s="64">
        <f>IF(tblMovement[[#This Row],[Material]]="","",IF(LEFT(tblMovement[[#This Row],[Material]],3)="Ore",1,0))</f>
        <v/>
      </c>
      <c r="N1932" s="59">
        <f>IF(OR(tblMovement[[#This Row],[Tonnes_t]]="",tblMovement[[#This Row],[Grade_gpt]]=""),0,tblMovement[[#This Row],[Tonnes_t]]*tblMovement[[#This Row],[Grade_gpt]]/cfg_TroyOz)</f>
        <v/>
      </c>
      <c r="O1932" s="59">
        <f>IF(tblMovement[[#This Row],[Is_Ore]]=1,tblMovement[[#This Row],[Contained_oz]],0)</f>
        <v/>
      </c>
    </row>
    <row r="1933">
      <c r="A1933" s="54" t="n"/>
      <c r="B1933" s="61" t="n"/>
      <c r="C1933" s="61" t="n"/>
      <c r="D1933" s="61" t="n"/>
      <c r="E1933" s="61" t="n"/>
      <c r="F1933" s="55" t="n"/>
      <c r="G1933" s="56" t="n"/>
      <c r="H1933" s="55" t="n"/>
      <c r="I1933" s="62" t="n"/>
      <c r="J1933" s="58" t="n"/>
      <c r="K1933" s="63">
        <f>IF(tblMovement[[#This Row],[Source]]="","",IFERROR(INDEX(tblSources[Type],MATCH(tblMovement[[#This Row],[Source]],tblSources[Source],0)),"?"))</f>
        <v/>
      </c>
      <c r="L1933" s="63">
        <f>IF(tblMovement[[#This Row],[Destination]]="","",IFERROR(INDEX(tblDestinations[Type],MATCH(tblMovement[[#This Row],[Destination]],tblDestinations[Destination],0)),"?"))</f>
        <v/>
      </c>
      <c r="M1933" s="64">
        <f>IF(tblMovement[[#This Row],[Material]]="","",IF(LEFT(tblMovement[[#This Row],[Material]],3)="Ore",1,0))</f>
        <v/>
      </c>
      <c r="N1933" s="59">
        <f>IF(OR(tblMovement[[#This Row],[Tonnes_t]]="",tblMovement[[#This Row],[Grade_gpt]]=""),0,tblMovement[[#This Row],[Tonnes_t]]*tblMovement[[#This Row],[Grade_gpt]]/cfg_TroyOz)</f>
        <v/>
      </c>
      <c r="O1933" s="59">
        <f>IF(tblMovement[[#This Row],[Is_Ore]]=1,tblMovement[[#This Row],[Contained_oz]],0)</f>
        <v/>
      </c>
    </row>
    <row r="1934">
      <c r="A1934" s="54" t="n"/>
      <c r="B1934" s="61" t="n"/>
      <c r="C1934" s="61" t="n"/>
      <c r="D1934" s="61" t="n"/>
      <c r="E1934" s="61" t="n"/>
      <c r="F1934" s="55" t="n"/>
      <c r="G1934" s="56" t="n"/>
      <c r="H1934" s="55" t="n"/>
      <c r="I1934" s="62" t="n"/>
      <c r="J1934" s="58" t="n"/>
      <c r="K1934" s="63">
        <f>IF(tblMovement[[#This Row],[Source]]="","",IFERROR(INDEX(tblSources[Type],MATCH(tblMovement[[#This Row],[Source]],tblSources[Source],0)),"?"))</f>
        <v/>
      </c>
      <c r="L1934" s="63">
        <f>IF(tblMovement[[#This Row],[Destination]]="","",IFERROR(INDEX(tblDestinations[Type],MATCH(tblMovement[[#This Row],[Destination]],tblDestinations[Destination],0)),"?"))</f>
        <v/>
      </c>
      <c r="M1934" s="64">
        <f>IF(tblMovement[[#This Row],[Material]]="","",IF(LEFT(tblMovement[[#This Row],[Material]],3)="Ore",1,0))</f>
        <v/>
      </c>
      <c r="N1934" s="59">
        <f>IF(OR(tblMovement[[#This Row],[Tonnes_t]]="",tblMovement[[#This Row],[Grade_gpt]]=""),0,tblMovement[[#This Row],[Tonnes_t]]*tblMovement[[#This Row],[Grade_gpt]]/cfg_TroyOz)</f>
        <v/>
      </c>
      <c r="O1934" s="59">
        <f>IF(tblMovement[[#This Row],[Is_Ore]]=1,tblMovement[[#This Row],[Contained_oz]],0)</f>
        <v/>
      </c>
    </row>
    <row r="1935">
      <c r="A1935" s="54" t="n"/>
      <c r="B1935" s="61" t="n"/>
      <c r="C1935" s="61" t="n"/>
      <c r="D1935" s="61" t="n"/>
      <c r="E1935" s="61" t="n"/>
      <c r="F1935" s="55" t="n"/>
      <c r="G1935" s="56" t="n"/>
      <c r="H1935" s="55" t="n"/>
      <c r="I1935" s="62" t="n"/>
      <c r="J1935" s="58" t="n"/>
      <c r="K1935" s="63">
        <f>IF(tblMovement[[#This Row],[Source]]="","",IFERROR(INDEX(tblSources[Type],MATCH(tblMovement[[#This Row],[Source]],tblSources[Source],0)),"?"))</f>
        <v/>
      </c>
      <c r="L1935" s="63">
        <f>IF(tblMovement[[#This Row],[Destination]]="","",IFERROR(INDEX(tblDestinations[Type],MATCH(tblMovement[[#This Row],[Destination]],tblDestinations[Destination],0)),"?"))</f>
        <v/>
      </c>
      <c r="M1935" s="64">
        <f>IF(tblMovement[[#This Row],[Material]]="","",IF(LEFT(tblMovement[[#This Row],[Material]],3)="Ore",1,0))</f>
        <v/>
      </c>
      <c r="N1935" s="59">
        <f>IF(OR(tblMovement[[#This Row],[Tonnes_t]]="",tblMovement[[#This Row],[Grade_gpt]]=""),0,tblMovement[[#This Row],[Tonnes_t]]*tblMovement[[#This Row],[Grade_gpt]]/cfg_TroyOz)</f>
        <v/>
      </c>
      <c r="O1935" s="59">
        <f>IF(tblMovement[[#This Row],[Is_Ore]]=1,tblMovement[[#This Row],[Contained_oz]],0)</f>
        <v/>
      </c>
    </row>
    <row r="1936">
      <c r="A1936" s="54" t="n"/>
      <c r="B1936" s="61" t="n"/>
      <c r="C1936" s="61" t="n"/>
      <c r="D1936" s="61" t="n"/>
      <c r="E1936" s="61" t="n"/>
      <c r="F1936" s="55" t="n"/>
      <c r="G1936" s="56" t="n"/>
      <c r="H1936" s="55" t="n"/>
      <c r="I1936" s="62" t="n"/>
      <c r="J1936" s="58" t="n"/>
      <c r="K1936" s="63">
        <f>IF(tblMovement[[#This Row],[Source]]="","",IFERROR(INDEX(tblSources[Type],MATCH(tblMovement[[#This Row],[Source]],tblSources[Source],0)),"?"))</f>
        <v/>
      </c>
      <c r="L1936" s="63">
        <f>IF(tblMovement[[#This Row],[Destination]]="","",IFERROR(INDEX(tblDestinations[Type],MATCH(tblMovement[[#This Row],[Destination]],tblDestinations[Destination],0)),"?"))</f>
        <v/>
      </c>
      <c r="M1936" s="64">
        <f>IF(tblMovement[[#This Row],[Material]]="","",IF(LEFT(tblMovement[[#This Row],[Material]],3)="Ore",1,0))</f>
        <v/>
      </c>
      <c r="N1936" s="59">
        <f>IF(OR(tblMovement[[#This Row],[Tonnes_t]]="",tblMovement[[#This Row],[Grade_gpt]]=""),0,tblMovement[[#This Row],[Tonnes_t]]*tblMovement[[#This Row],[Grade_gpt]]/cfg_TroyOz)</f>
        <v/>
      </c>
      <c r="O1936" s="59">
        <f>IF(tblMovement[[#This Row],[Is_Ore]]=1,tblMovement[[#This Row],[Contained_oz]],0)</f>
        <v/>
      </c>
    </row>
    <row r="1937">
      <c r="A1937" s="54" t="n"/>
      <c r="B1937" s="61" t="n"/>
      <c r="C1937" s="61" t="n"/>
      <c r="D1937" s="61" t="n"/>
      <c r="E1937" s="61" t="n"/>
      <c r="F1937" s="55" t="n"/>
      <c r="G1937" s="56" t="n"/>
      <c r="H1937" s="55" t="n"/>
      <c r="I1937" s="62" t="n"/>
      <c r="J1937" s="58" t="n"/>
      <c r="K1937" s="63">
        <f>IF(tblMovement[[#This Row],[Source]]="","",IFERROR(INDEX(tblSources[Type],MATCH(tblMovement[[#This Row],[Source]],tblSources[Source],0)),"?"))</f>
        <v/>
      </c>
      <c r="L1937" s="63">
        <f>IF(tblMovement[[#This Row],[Destination]]="","",IFERROR(INDEX(tblDestinations[Type],MATCH(tblMovement[[#This Row],[Destination]],tblDestinations[Destination],0)),"?"))</f>
        <v/>
      </c>
      <c r="M1937" s="64">
        <f>IF(tblMovement[[#This Row],[Material]]="","",IF(LEFT(tblMovement[[#This Row],[Material]],3)="Ore",1,0))</f>
        <v/>
      </c>
      <c r="N1937" s="59">
        <f>IF(OR(tblMovement[[#This Row],[Tonnes_t]]="",tblMovement[[#This Row],[Grade_gpt]]=""),0,tblMovement[[#This Row],[Tonnes_t]]*tblMovement[[#This Row],[Grade_gpt]]/cfg_TroyOz)</f>
        <v/>
      </c>
      <c r="O1937" s="59">
        <f>IF(tblMovement[[#This Row],[Is_Ore]]=1,tblMovement[[#This Row],[Contained_oz]],0)</f>
        <v/>
      </c>
    </row>
    <row r="1938">
      <c r="A1938" s="54" t="n"/>
      <c r="B1938" s="61" t="n"/>
      <c r="C1938" s="61" t="n"/>
      <c r="D1938" s="61" t="n"/>
      <c r="E1938" s="61" t="n"/>
      <c r="F1938" s="55" t="n"/>
      <c r="G1938" s="56" t="n"/>
      <c r="H1938" s="55" t="n"/>
      <c r="I1938" s="62" t="n"/>
      <c r="J1938" s="58" t="n"/>
      <c r="K1938" s="63">
        <f>IF(tblMovement[[#This Row],[Source]]="","",IFERROR(INDEX(tblSources[Type],MATCH(tblMovement[[#This Row],[Source]],tblSources[Source],0)),"?"))</f>
        <v/>
      </c>
      <c r="L1938" s="63">
        <f>IF(tblMovement[[#This Row],[Destination]]="","",IFERROR(INDEX(tblDestinations[Type],MATCH(tblMovement[[#This Row],[Destination]],tblDestinations[Destination],0)),"?"))</f>
        <v/>
      </c>
      <c r="M1938" s="64">
        <f>IF(tblMovement[[#This Row],[Material]]="","",IF(LEFT(tblMovement[[#This Row],[Material]],3)="Ore",1,0))</f>
        <v/>
      </c>
      <c r="N1938" s="59">
        <f>IF(OR(tblMovement[[#This Row],[Tonnes_t]]="",tblMovement[[#This Row],[Grade_gpt]]=""),0,tblMovement[[#This Row],[Tonnes_t]]*tblMovement[[#This Row],[Grade_gpt]]/cfg_TroyOz)</f>
        <v/>
      </c>
      <c r="O1938" s="59">
        <f>IF(tblMovement[[#This Row],[Is_Ore]]=1,tblMovement[[#This Row],[Contained_oz]],0)</f>
        <v/>
      </c>
    </row>
    <row r="1939">
      <c r="A1939" s="54" t="n"/>
      <c r="B1939" s="61" t="n"/>
      <c r="C1939" s="61" t="n"/>
      <c r="D1939" s="61" t="n"/>
      <c r="E1939" s="61" t="n"/>
      <c r="F1939" s="55" t="n"/>
      <c r="G1939" s="56" t="n"/>
      <c r="H1939" s="55" t="n"/>
      <c r="I1939" s="62" t="n"/>
      <c r="J1939" s="58" t="n"/>
      <c r="K1939" s="63">
        <f>IF(tblMovement[[#This Row],[Source]]="","",IFERROR(INDEX(tblSources[Type],MATCH(tblMovement[[#This Row],[Source]],tblSources[Source],0)),"?"))</f>
        <v/>
      </c>
      <c r="L1939" s="63">
        <f>IF(tblMovement[[#This Row],[Destination]]="","",IFERROR(INDEX(tblDestinations[Type],MATCH(tblMovement[[#This Row],[Destination]],tblDestinations[Destination],0)),"?"))</f>
        <v/>
      </c>
      <c r="M1939" s="64">
        <f>IF(tblMovement[[#This Row],[Material]]="","",IF(LEFT(tblMovement[[#This Row],[Material]],3)="Ore",1,0))</f>
        <v/>
      </c>
      <c r="N1939" s="59">
        <f>IF(OR(tblMovement[[#This Row],[Tonnes_t]]="",tblMovement[[#This Row],[Grade_gpt]]=""),0,tblMovement[[#This Row],[Tonnes_t]]*tblMovement[[#This Row],[Grade_gpt]]/cfg_TroyOz)</f>
        <v/>
      </c>
      <c r="O1939" s="59">
        <f>IF(tblMovement[[#This Row],[Is_Ore]]=1,tblMovement[[#This Row],[Contained_oz]],0)</f>
        <v/>
      </c>
    </row>
    <row r="1940">
      <c r="A1940" s="54" t="n"/>
      <c r="B1940" s="61" t="n"/>
      <c r="C1940" s="61" t="n"/>
      <c r="D1940" s="61" t="n"/>
      <c r="E1940" s="61" t="n"/>
      <c r="F1940" s="55" t="n"/>
      <c r="G1940" s="56" t="n"/>
      <c r="H1940" s="55" t="n"/>
      <c r="I1940" s="62" t="n"/>
      <c r="J1940" s="58" t="n"/>
      <c r="K1940" s="63">
        <f>IF(tblMovement[[#This Row],[Source]]="","",IFERROR(INDEX(tblSources[Type],MATCH(tblMovement[[#This Row],[Source]],tblSources[Source],0)),"?"))</f>
        <v/>
      </c>
      <c r="L1940" s="63">
        <f>IF(tblMovement[[#This Row],[Destination]]="","",IFERROR(INDEX(tblDestinations[Type],MATCH(tblMovement[[#This Row],[Destination]],tblDestinations[Destination],0)),"?"))</f>
        <v/>
      </c>
      <c r="M1940" s="64">
        <f>IF(tblMovement[[#This Row],[Material]]="","",IF(LEFT(tblMovement[[#This Row],[Material]],3)="Ore",1,0))</f>
        <v/>
      </c>
      <c r="N1940" s="59">
        <f>IF(OR(tblMovement[[#This Row],[Tonnes_t]]="",tblMovement[[#This Row],[Grade_gpt]]=""),0,tblMovement[[#This Row],[Tonnes_t]]*tblMovement[[#This Row],[Grade_gpt]]/cfg_TroyOz)</f>
        <v/>
      </c>
      <c r="O1940" s="59">
        <f>IF(tblMovement[[#This Row],[Is_Ore]]=1,tblMovement[[#This Row],[Contained_oz]],0)</f>
        <v/>
      </c>
    </row>
    <row r="1941">
      <c r="A1941" s="54" t="n"/>
      <c r="B1941" s="61" t="n"/>
      <c r="C1941" s="61" t="n"/>
      <c r="D1941" s="61" t="n"/>
      <c r="E1941" s="61" t="n"/>
      <c r="F1941" s="55" t="n"/>
      <c r="G1941" s="56" t="n"/>
      <c r="H1941" s="55" t="n"/>
      <c r="I1941" s="62" t="n"/>
      <c r="J1941" s="58" t="n"/>
      <c r="K1941" s="63">
        <f>IF(tblMovement[[#This Row],[Source]]="","",IFERROR(INDEX(tblSources[Type],MATCH(tblMovement[[#This Row],[Source]],tblSources[Source],0)),"?"))</f>
        <v/>
      </c>
      <c r="L1941" s="63">
        <f>IF(tblMovement[[#This Row],[Destination]]="","",IFERROR(INDEX(tblDestinations[Type],MATCH(tblMovement[[#This Row],[Destination]],tblDestinations[Destination],0)),"?"))</f>
        <v/>
      </c>
      <c r="M1941" s="64">
        <f>IF(tblMovement[[#This Row],[Material]]="","",IF(LEFT(tblMovement[[#This Row],[Material]],3)="Ore",1,0))</f>
        <v/>
      </c>
      <c r="N1941" s="59">
        <f>IF(OR(tblMovement[[#This Row],[Tonnes_t]]="",tblMovement[[#This Row],[Grade_gpt]]=""),0,tblMovement[[#This Row],[Tonnes_t]]*tblMovement[[#This Row],[Grade_gpt]]/cfg_TroyOz)</f>
        <v/>
      </c>
      <c r="O1941" s="59">
        <f>IF(tblMovement[[#This Row],[Is_Ore]]=1,tblMovement[[#This Row],[Contained_oz]],0)</f>
        <v/>
      </c>
    </row>
    <row r="1942">
      <c r="A1942" s="54" t="n"/>
      <c r="B1942" s="61" t="n"/>
      <c r="C1942" s="61" t="n"/>
      <c r="D1942" s="61" t="n"/>
      <c r="E1942" s="61" t="n"/>
      <c r="F1942" s="55" t="n"/>
      <c r="G1942" s="56" t="n"/>
      <c r="H1942" s="55" t="n"/>
      <c r="I1942" s="62" t="n"/>
      <c r="J1942" s="58" t="n"/>
      <c r="K1942" s="63">
        <f>IF(tblMovement[[#This Row],[Source]]="","",IFERROR(INDEX(tblSources[Type],MATCH(tblMovement[[#This Row],[Source]],tblSources[Source],0)),"?"))</f>
        <v/>
      </c>
      <c r="L1942" s="63">
        <f>IF(tblMovement[[#This Row],[Destination]]="","",IFERROR(INDEX(tblDestinations[Type],MATCH(tblMovement[[#This Row],[Destination]],tblDestinations[Destination],0)),"?"))</f>
        <v/>
      </c>
      <c r="M1942" s="64">
        <f>IF(tblMovement[[#This Row],[Material]]="","",IF(LEFT(tblMovement[[#This Row],[Material]],3)="Ore",1,0))</f>
        <v/>
      </c>
      <c r="N1942" s="59">
        <f>IF(OR(tblMovement[[#This Row],[Tonnes_t]]="",tblMovement[[#This Row],[Grade_gpt]]=""),0,tblMovement[[#This Row],[Tonnes_t]]*tblMovement[[#This Row],[Grade_gpt]]/cfg_TroyOz)</f>
        <v/>
      </c>
      <c r="O1942" s="59">
        <f>IF(tblMovement[[#This Row],[Is_Ore]]=1,tblMovement[[#This Row],[Contained_oz]],0)</f>
        <v/>
      </c>
    </row>
    <row r="1943">
      <c r="A1943" s="54" t="n"/>
      <c r="B1943" s="61" t="n"/>
      <c r="C1943" s="61" t="n"/>
      <c r="D1943" s="61" t="n"/>
      <c r="E1943" s="61" t="n"/>
      <c r="F1943" s="55" t="n"/>
      <c r="G1943" s="56" t="n"/>
      <c r="H1943" s="55" t="n"/>
      <c r="I1943" s="62" t="n"/>
      <c r="J1943" s="58" t="n"/>
      <c r="K1943" s="63">
        <f>IF(tblMovement[[#This Row],[Source]]="","",IFERROR(INDEX(tblSources[Type],MATCH(tblMovement[[#This Row],[Source]],tblSources[Source],0)),"?"))</f>
        <v/>
      </c>
      <c r="L1943" s="63">
        <f>IF(tblMovement[[#This Row],[Destination]]="","",IFERROR(INDEX(tblDestinations[Type],MATCH(tblMovement[[#This Row],[Destination]],tblDestinations[Destination],0)),"?"))</f>
        <v/>
      </c>
      <c r="M1943" s="64">
        <f>IF(tblMovement[[#This Row],[Material]]="","",IF(LEFT(tblMovement[[#This Row],[Material]],3)="Ore",1,0))</f>
        <v/>
      </c>
      <c r="N1943" s="59">
        <f>IF(OR(tblMovement[[#This Row],[Tonnes_t]]="",tblMovement[[#This Row],[Grade_gpt]]=""),0,tblMovement[[#This Row],[Tonnes_t]]*tblMovement[[#This Row],[Grade_gpt]]/cfg_TroyOz)</f>
        <v/>
      </c>
      <c r="O1943" s="59">
        <f>IF(tblMovement[[#This Row],[Is_Ore]]=1,tblMovement[[#This Row],[Contained_oz]],0)</f>
        <v/>
      </c>
    </row>
    <row r="1944">
      <c r="A1944" s="54" t="n"/>
      <c r="B1944" s="61" t="n"/>
      <c r="C1944" s="61" t="n"/>
      <c r="D1944" s="61" t="n"/>
      <c r="E1944" s="61" t="n"/>
      <c r="F1944" s="55" t="n"/>
      <c r="G1944" s="56" t="n"/>
      <c r="H1944" s="55" t="n"/>
      <c r="I1944" s="62" t="n"/>
      <c r="J1944" s="58" t="n"/>
      <c r="K1944" s="63">
        <f>IF(tblMovement[[#This Row],[Source]]="","",IFERROR(INDEX(tblSources[Type],MATCH(tblMovement[[#This Row],[Source]],tblSources[Source],0)),"?"))</f>
        <v/>
      </c>
      <c r="L1944" s="63">
        <f>IF(tblMovement[[#This Row],[Destination]]="","",IFERROR(INDEX(tblDestinations[Type],MATCH(tblMovement[[#This Row],[Destination]],tblDestinations[Destination],0)),"?"))</f>
        <v/>
      </c>
      <c r="M1944" s="64">
        <f>IF(tblMovement[[#This Row],[Material]]="","",IF(LEFT(tblMovement[[#This Row],[Material]],3)="Ore",1,0))</f>
        <v/>
      </c>
      <c r="N1944" s="59">
        <f>IF(OR(tblMovement[[#This Row],[Tonnes_t]]="",tblMovement[[#This Row],[Grade_gpt]]=""),0,tblMovement[[#This Row],[Tonnes_t]]*tblMovement[[#This Row],[Grade_gpt]]/cfg_TroyOz)</f>
        <v/>
      </c>
      <c r="O1944" s="59">
        <f>IF(tblMovement[[#This Row],[Is_Ore]]=1,tblMovement[[#This Row],[Contained_oz]],0)</f>
        <v/>
      </c>
    </row>
    <row r="1945">
      <c r="A1945" s="54" t="n"/>
      <c r="B1945" s="61" t="n"/>
      <c r="C1945" s="61" t="n"/>
      <c r="D1945" s="61" t="n"/>
      <c r="E1945" s="61" t="n"/>
      <c r="F1945" s="55" t="n"/>
      <c r="G1945" s="56" t="n"/>
      <c r="H1945" s="55" t="n"/>
      <c r="I1945" s="62" t="n"/>
      <c r="J1945" s="58" t="n"/>
      <c r="K1945" s="63">
        <f>IF(tblMovement[[#This Row],[Source]]="","",IFERROR(INDEX(tblSources[Type],MATCH(tblMovement[[#This Row],[Source]],tblSources[Source],0)),"?"))</f>
        <v/>
      </c>
      <c r="L1945" s="63">
        <f>IF(tblMovement[[#This Row],[Destination]]="","",IFERROR(INDEX(tblDestinations[Type],MATCH(tblMovement[[#This Row],[Destination]],tblDestinations[Destination],0)),"?"))</f>
        <v/>
      </c>
      <c r="M1945" s="64">
        <f>IF(tblMovement[[#This Row],[Material]]="","",IF(LEFT(tblMovement[[#This Row],[Material]],3)="Ore",1,0))</f>
        <v/>
      </c>
      <c r="N1945" s="59">
        <f>IF(OR(tblMovement[[#This Row],[Tonnes_t]]="",tblMovement[[#This Row],[Grade_gpt]]=""),0,tblMovement[[#This Row],[Tonnes_t]]*tblMovement[[#This Row],[Grade_gpt]]/cfg_TroyOz)</f>
        <v/>
      </c>
      <c r="O1945" s="59">
        <f>IF(tblMovement[[#This Row],[Is_Ore]]=1,tblMovement[[#This Row],[Contained_oz]],0)</f>
        <v/>
      </c>
    </row>
    <row r="1946">
      <c r="A1946" s="54" t="n"/>
      <c r="B1946" s="61" t="n"/>
      <c r="C1946" s="61" t="n"/>
      <c r="D1946" s="61" t="n"/>
      <c r="E1946" s="61" t="n"/>
      <c r="F1946" s="55" t="n"/>
      <c r="G1946" s="56" t="n"/>
      <c r="H1946" s="55" t="n"/>
      <c r="I1946" s="62" t="n"/>
      <c r="J1946" s="58" t="n"/>
      <c r="K1946" s="63">
        <f>IF(tblMovement[[#This Row],[Source]]="","",IFERROR(INDEX(tblSources[Type],MATCH(tblMovement[[#This Row],[Source]],tblSources[Source],0)),"?"))</f>
        <v/>
      </c>
      <c r="L1946" s="63">
        <f>IF(tblMovement[[#This Row],[Destination]]="","",IFERROR(INDEX(tblDestinations[Type],MATCH(tblMovement[[#This Row],[Destination]],tblDestinations[Destination],0)),"?"))</f>
        <v/>
      </c>
      <c r="M1946" s="64">
        <f>IF(tblMovement[[#This Row],[Material]]="","",IF(LEFT(tblMovement[[#This Row],[Material]],3)="Ore",1,0))</f>
        <v/>
      </c>
      <c r="N1946" s="59">
        <f>IF(OR(tblMovement[[#This Row],[Tonnes_t]]="",tblMovement[[#This Row],[Grade_gpt]]=""),0,tblMovement[[#This Row],[Tonnes_t]]*tblMovement[[#This Row],[Grade_gpt]]/cfg_TroyOz)</f>
        <v/>
      </c>
      <c r="O1946" s="59">
        <f>IF(tblMovement[[#This Row],[Is_Ore]]=1,tblMovement[[#This Row],[Contained_oz]],0)</f>
        <v/>
      </c>
    </row>
    <row r="1947">
      <c r="A1947" s="54" t="n"/>
      <c r="B1947" s="61" t="n"/>
      <c r="C1947" s="61" t="n"/>
      <c r="D1947" s="61" t="n"/>
      <c r="E1947" s="61" t="n"/>
      <c r="F1947" s="55" t="n"/>
      <c r="G1947" s="56" t="n"/>
      <c r="H1947" s="55" t="n"/>
      <c r="I1947" s="62" t="n"/>
      <c r="J1947" s="58" t="n"/>
      <c r="K1947" s="63">
        <f>IF(tblMovement[[#This Row],[Source]]="","",IFERROR(INDEX(tblSources[Type],MATCH(tblMovement[[#This Row],[Source]],tblSources[Source],0)),"?"))</f>
        <v/>
      </c>
      <c r="L1947" s="63">
        <f>IF(tblMovement[[#This Row],[Destination]]="","",IFERROR(INDEX(tblDestinations[Type],MATCH(tblMovement[[#This Row],[Destination]],tblDestinations[Destination],0)),"?"))</f>
        <v/>
      </c>
      <c r="M1947" s="64">
        <f>IF(tblMovement[[#This Row],[Material]]="","",IF(LEFT(tblMovement[[#This Row],[Material]],3)="Ore",1,0))</f>
        <v/>
      </c>
      <c r="N1947" s="59">
        <f>IF(OR(tblMovement[[#This Row],[Tonnes_t]]="",tblMovement[[#This Row],[Grade_gpt]]=""),0,tblMovement[[#This Row],[Tonnes_t]]*tblMovement[[#This Row],[Grade_gpt]]/cfg_TroyOz)</f>
        <v/>
      </c>
      <c r="O1947" s="59">
        <f>IF(tblMovement[[#This Row],[Is_Ore]]=1,tblMovement[[#This Row],[Contained_oz]],0)</f>
        <v/>
      </c>
    </row>
    <row r="1948">
      <c r="A1948" s="54" t="n"/>
      <c r="B1948" s="61" t="n"/>
      <c r="C1948" s="61" t="n"/>
      <c r="D1948" s="61" t="n"/>
      <c r="E1948" s="61" t="n"/>
      <c r="F1948" s="55" t="n"/>
      <c r="G1948" s="56" t="n"/>
      <c r="H1948" s="55" t="n"/>
      <c r="I1948" s="62" t="n"/>
      <c r="J1948" s="58" t="n"/>
      <c r="K1948" s="63">
        <f>IF(tblMovement[[#This Row],[Source]]="","",IFERROR(INDEX(tblSources[Type],MATCH(tblMovement[[#This Row],[Source]],tblSources[Source],0)),"?"))</f>
        <v/>
      </c>
      <c r="L1948" s="63">
        <f>IF(tblMovement[[#This Row],[Destination]]="","",IFERROR(INDEX(tblDestinations[Type],MATCH(tblMovement[[#This Row],[Destination]],tblDestinations[Destination],0)),"?"))</f>
        <v/>
      </c>
      <c r="M1948" s="64">
        <f>IF(tblMovement[[#This Row],[Material]]="","",IF(LEFT(tblMovement[[#This Row],[Material]],3)="Ore",1,0))</f>
        <v/>
      </c>
      <c r="N1948" s="59">
        <f>IF(OR(tblMovement[[#This Row],[Tonnes_t]]="",tblMovement[[#This Row],[Grade_gpt]]=""),0,tblMovement[[#This Row],[Tonnes_t]]*tblMovement[[#This Row],[Grade_gpt]]/cfg_TroyOz)</f>
        <v/>
      </c>
      <c r="O1948" s="59">
        <f>IF(tblMovement[[#This Row],[Is_Ore]]=1,tblMovement[[#This Row],[Contained_oz]],0)</f>
        <v/>
      </c>
    </row>
    <row r="1949">
      <c r="A1949" s="54" t="n"/>
      <c r="B1949" s="61" t="n"/>
      <c r="C1949" s="61" t="n"/>
      <c r="D1949" s="61" t="n"/>
      <c r="E1949" s="61" t="n"/>
      <c r="F1949" s="55" t="n"/>
      <c r="G1949" s="56" t="n"/>
      <c r="H1949" s="55" t="n"/>
      <c r="I1949" s="62" t="n"/>
      <c r="J1949" s="58" t="n"/>
      <c r="K1949" s="63">
        <f>IF(tblMovement[[#This Row],[Source]]="","",IFERROR(INDEX(tblSources[Type],MATCH(tblMovement[[#This Row],[Source]],tblSources[Source],0)),"?"))</f>
        <v/>
      </c>
      <c r="L1949" s="63">
        <f>IF(tblMovement[[#This Row],[Destination]]="","",IFERROR(INDEX(tblDestinations[Type],MATCH(tblMovement[[#This Row],[Destination]],tblDestinations[Destination],0)),"?"))</f>
        <v/>
      </c>
      <c r="M1949" s="64">
        <f>IF(tblMovement[[#This Row],[Material]]="","",IF(LEFT(tblMovement[[#This Row],[Material]],3)="Ore",1,0))</f>
        <v/>
      </c>
      <c r="N1949" s="59">
        <f>IF(OR(tblMovement[[#This Row],[Tonnes_t]]="",tblMovement[[#This Row],[Grade_gpt]]=""),0,tblMovement[[#This Row],[Tonnes_t]]*tblMovement[[#This Row],[Grade_gpt]]/cfg_TroyOz)</f>
        <v/>
      </c>
      <c r="O1949" s="59">
        <f>IF(tblMovement[[#This Row],[Is_Ore]]=1,tblMovement[[#This Row],[Contained_oz]],0)</f>
        <v/>
      </c>
    </row>
    <row r="1950">
      <c r="A1950" s="54" t="n"/>
      <c r="B1950" s="61" t="n"/>
      <c r="C1950" s="61" t="n"/>
      <c r="D1950" s="61" t="n"/>
      <c r="E1950" s="61" t="n"/>
      <c r="F1950" s="55" t="n"/>
      <c r="G1950" s="56" t="n"/>
      <c r="H1950" s="55" t="n"/>
      <c r="I1950" s="62" t="n"/>
      <c r="J1950" s="58" t="n"/>
      <c r="K1950" s="63">
        <f>IF(tblMovement[[#This Row],[Source]]="","",IFERROR(INDEX(tblSources[Type],MATCH(tblMovement[[#This Row],[Source]],tblSources[Source],0)),"?"))</f>
        <v/>
      </c>
      <c r="L1950" s="63">
        <f>IF(tblMovement[[#This Row],[Destination]]="","",IFERROR(INDEX(tblDestinations[Type],MATCH(tblMovement[[#This Row],[Destination]],tblDestinations[Destination],0)),"?"))</f>
        <v/>
      </c>
      <c r="M1950" s="64">
        <f>IF(tblMovement[[#This Row],[Material]]="","",IF(LEFT(tblMovement[[#This Row],[Material]],3)="Ore",1,0))</f>
        <v/>
      </c>
      <c r="N1950" s="59">
        <f>IF(OR(tblMovement[[#This Row],[Tonnes_t]]="",tblMovement[[#This Row],[Grade_gpt]]=""),0,tblMovement[[#This Row],[Tonnes_t]]*tblMovement[[#This Row],[Grade_gpt]]/cfg_TroyOz)</f>
        <v/>
      </c>
      <c r="O1950" s="59">
        <f>IF(tblMovement[[#This Row],[Is_Ore]]=1,tblMovement[[#This Row],[Contained_oz]],0)</f>
        <v/>
      </c>
    </row>
    <row r="1951">
      <c r="A1951" s="54" t="n"/>
      <c r="B1951" s="61" t="n"/>
      <c r="C1951" s="61" t="n"/>
      <c r="D1951" s="61" t="n"/>
      <c r="E1951" s="61" t="n"/>
      <c r="F1951" s="55" t="n"/>
      <c r="G1951" s="56" t="n"/>
      <c r="H1951" s="55" t="n"/>
      <c r="I1951" s="62" t="n"/>
      <c r="J1951" s="58" t="n"/>
      <c r="K1951" s="63">
        <f>IF(tblMovement[[#This Row],[Source]]="","",IFERROR(INDEX(tblSources[Type],MATCH(tblMovement[[#This Row],[Source]],tblSources[Source],0)),"?"))</f>
        <v/>
      </c>
      <c r="L1951" s="63">
        <f>IF(tblMovement[[#This Row],[Destination]]="","",IFERROR(INDEX(tblDestinations[Type],MATCH(tblMovement[[#This Row],[Destination]],tblDestinations[Destination],0)),"?"))</f>
        <v/>
      </c>
      <c r="M1951" s="64">
        <f>IF(tblMovement[[#This Row],[Material]]="","",IF(LEFT(tblMovement[[#This Row],[Material]],3)="Ore",1,0))</f>
        <v/>
      </c>
      <c r="N1951" s="59">
        <f>IF(OR(tblMovement[[#This Row],[Tonnes_t]]="",tblMovement[[#This Row],[Grade_gpt]]=""),0,tblMovement[[#This Row],[Tonnes_t]]*tblMovement[[#This Row],[Grade_gpt]]/cfg_TroyOz)</f>
        <v/>
      </c>
      <c r="O1951" s="59">
        <f>IF(tblMovement[[#This Row],[Is_Ore]]=1,tblMovement[[#This Row],[Contained_oz]],0)</f>
        <v/>
      </c>
    </row>
    <row r="1952">
      <c r="A1952" s="54" t="n"/>
      <c r="B1952" s="61" t="n"/>
      <c r="C1952" s="61" t="n"/>
      <c r="D1952" s="61" t="n"/>
      <c r="E1952" s="61" t="n"/>
      <c r="F1952" s="55" t="n"/>
      <c r="G1952" s="56" t="n"/>
      <c r="H1952" s="55" t="n"/>
      <c r="I1952" s="62" t="n"/>
      <c r="J1952" s="58" t="n"/>
      <c r="K1952" s="63">
        <f>IF(tblMovement[[#This Row],[Source]]="","",IFERROR(INDEX(tblSources[Type],MATCH(tblMovement[[#This Row],[Source]],tblSources[Source],0)),"?"))</f>
        <v/>
      </c>
      <c r="L1952" s="63">
        <f>IF(tblMovement[[#This Row],[Destination]]="","",IFERROR(INDEX(tblDestinations[Type],MATCH(tblMovement[[#This Row],[Destination]],tblDestinations[Destination],0)),"?"))</f>
        <v/>
      </c>
      <c r="M1952" s="64">
        <f>IF(tblMovement[[#This Row],[Material]]="","",IF(LEFT(tblMovement[[#This Row],[Material]],3)="Ore",1,0))</f>
        <v/>
      </c>
      <c r="N1952" s="59">
        <f>IF(OR(tblMovement[[#This Row],[Tonnes_t]]="",tblMovement[[#This Row],[Grade_gpt]]=""),0,tblMovement[[#This Row],[Tonnes_t]]*tblMovement[[#This Row],[Grade_gpt]]/cfg_TroyOz)</f>
        <v/>
      </c>
      <c r="O1952" s="59">
        <f>IF(tblMovement[[#This Row],[Is_Ore]]=1,tblMovement[[#This Row],[Contained_oz]],0)</f>
        <v/>
      </c>
    </row>
    <row r="1953">
      <c r="A1953" s="54" t="n"/>
      <c r="B1953" s="61" t="n"/>
      <c r="C1953" s="61" t="n"/>
      <c r="D1953" s="61" t="n"/>
      <c r="E1953" s="61" t="n"/>
      <c r="F1953" s="55" t="n"/>
      <c r="G1953" s="56" t="n"/>
      <c r="H1953" s="55" t="n"/>
      <c r="I1953" s="62" t="n"/>
      <c r="J1953" s="58" t="n"/>
      <c r="K1953" s="63">
        <f>IF(tblMovement[[#This Row],[Source]]="","",IFERROR(INDEX(tblSources[Type],MATCH(tblMovement[[#This Row],[Source]],tblSources[Source],0)),"?"))</f>
        <v/>
      </c>
      <c r="L1953" s="63">
        <f>IF(tblMovement[[#This Row],[Destination]]="","",IFERROR(INDEX(tblDestinations[Type],MATCH(tblMovement[[#This Row],[Destination]],tblDestinations[Destination],0)),"?"))</f>
        <v/>
      </c>
      <c r="M1953" s="64">
        <f>IF(tblMovement[[#This Row],[Material]]="","",IF(LEFT(tblMovement[[#This Row],[Material]],3)="Ore",1,0))</f>
        <v/>
      </c>
      <c r="N1953" s="59">
        <f>IF(OR(tblMovement[[#This Row],[Tonnes_t]]="",tblMovement[[#This Row],[Grade_gpt]]=""),0,tblMovement[[#This Row],[Tonnes_t]]*tblMovement[[#This Row],[Grade_gpt]]/cfg_TroyOz)</f>
        <v/>
      </c>
      <c r="O1953" s="59">
        <f>IF(tblMovement[[#This Row],[Is_Ore]]=1,tblMovement[[#This Row],[Contained_oz]],0)</f>
        <v/>
      </c>
    </row>
    <row r="1954">
      <c r="A1954" s="54" t="n"/>
      <c r="B1954" s="61" t="n"/>
      <c r="C1954" s="61" t="n"/>
      <c r="D1954" s="61" t="n"/>
      <c r="E1954" s="61" t="n"/>
      <c r="F1954" s="55" t="n"/>
      <c r="G1954" s="56" t="n"/>
      <c r="H1954" s="55" t="n"/>
      <c r="I1954" s="62" t="n"/>
      <c r="J1954" s="58" t="n"/>
      <c r="K1954" s="63">
        <f>IF(tblMovement[[#This Row],[Source]]="","",IFERROR(INDEX(tblSources[Type],MATCH(tblMovement[[#This Row],[Source]],tblSources[Source],0)),"?"))</f>
        <v/>
      </c>
      <c r="L1954" s="63">
        <f>IF(tblMovement[[#This Row],[Destination]]="","",IFERROR(INDEX(tblDestinations[Type],MATCH(tblMovement[[#This Row],[Destination]],tblDestinations[Destination],0)),"?"))</f>
        <v/>
      </c>
      <c r="M1954" s="64">
        <f>IF(tblMovement[[#This Row],[Material]]="","",IF(LEFT(tblMovement[[#This Row],[Material]],3)="Ore",1,0))</f>
        <v/>
      </c>
      <c r="N1954" s="59">
        <f>IF(OR(tblMovement[[#This Row],[Tonnes_t]]="",tblMovement[[#This Row],[Grade_gpt]]=""),0,tblMovement[[#This Row],[Tonnes_t]]*tblMovement[[#This Row],[Grade_gpt]]/cfg_TroyOz)</f>
        <v/>
      </c>
      <c r="O1954" s="59">
        <f>IF(tblMovement[[#This Row],[Is_Ore]]=1,tblMovement[[#This Row],[Contained_oz]],0)</f>
        <v/>
      </c>
    </row>
    <row r="1955">
      <c r="A1955" s="54" t="n"/>
      <c r="B1955" s="61" t="n"/>
      <c r="C1955" s="61" t="n"/>
      <c r="D1955" s="61" t="n"/>
      <c r="E1955" s="61" t="n"/>
      <c r="F1955" s="55" t="n"/>
      <c r="G1955" s="56" t="n"/>
      <c r="H1955" s="55" t="n"/>
      <c r="I1955" s="62" t="n"/>
      <c r="J1955" s="58" t="n"/>
      <c r="K1955" s="63">
        <f>IF(tblMovement[[#This Row],[Source]]="","",IFERROR(INDEX(tblSources[Type],MATCH(tblMovement[[#This Row],[Source]],tblSources[Source],0)),"?"))</f>
        <v/>
      </c>
      <c r="L1955" s="63">
        <f>IF(tblMovement[[#This Row],[Destination]]="","",IFERROR(INDEX(tblDestinations[Type],MATCH(tblMovement[[#This Row],[Destination]],tblDestinations[Destination],0)),"?"))</f>
        <v/>
      </c>
      <c r="M1955" s="64">
        <f>IF(tblMovement[[#This Row],[Material]]="","",IF(LEFT(tblMovement[[#This Row],[Material]],3)="Ore",1,0))</f>
        <v/>
      </c>
      <c r="N1955" s="59">
        <f>IF(OR(tblMovement[[#This Row],[Tonnes_t]]="",tblMovement[[#This Row],[Grade_gpt]]=""),0,tblMovement[[#This Row],[Tonnes_t]]*tblMovement[[#This Row],[Grade_gpt]]/cfg_TroyOz)</f>
        <v/>
      </c>
      <c r="O1955" s="59">
        <f>IF(tblMovement[[#This Row],[Is_Ore]]=1,tblMovement[[#This Row],[Contained_oz]],0)</f>
        <v/>
      </c>
    </row>
    <row r="1956">
      <c r="A1956" s="54" t="n"/>
      <c r="B1956" s="61" t="n"/>
      <c r="C1956" s="61" t="n"/>
      <c r="D1956" s="61" t="n"/>
      <c r="E1956" s="61" t="n"/>
      <c r="F1956" s="55" t="n"/>
      <c r="G1956" s="56" t="n"/>
      <c r="H1956" s="55" t="n"/>
      <c r="I1956" s="62" t="n"/>
      <c r="J1956" s="58" t="n"/>
      <c r="K1956" s="63">
        <f>IF(tblMovement[[#This Row],[Source]]="","",IFERROR(INDEX(tblSources[Type],MATCH(tblMovement[[#This Row],[Source]],tblSources[Source],0)),"?"))</f>
        <v/>
      </c>
      <c r="L1956" s="63">
        <f>IF(tblMovement[[#This Row],[Destination]]="","",IFERROR(INDEX(tblDestinations[Type],MATCH(tblMovement[[#This Row],[Destination]],tblDestinations[Destination],0)),"?"))</f>
        <v/>
      </c>
      <c r="M1956" s="64">
        <f>IF(tblMovement[[#This Row],[Material]]="","",IF(LEFT(tblMovement[[#This Row],[Material]],3)="Ore",1,0))</f>
        <v/>
      </c>
      <c r="N1956" s="59">
        <f>IF(OR(tblMovement[[#This Row],[Tonnes_t]]="",tblMovement[[#This Row],[Grade_gpt]]=""),0,tblMovement[[#This Row],[Tonnes_t]]*tblMovement[[#This Row],[Grade_gpt]]/cfg_TroyOz)</f>
        <v/>
      </c>
      <c r="O1956" s="59">
        <f>IF(tblMovement[[#This Row],[Is_Ore]]=1,tblMovement[[#This Row],[Contained_oz]],0)</f>
        <v/>
      </c>
    </row>
    <row r="1957">
      <c r="A1957" s="54" t="n"/>
      <c r="B1957" s="61" t="n"/>
      <c r="C1957" s="61" t="n"/>
      <c r="D1957" s="61" t="n"/>
      <c r="E1957" s="61" t="n"/>
      <c r="F1957" s="55" t="n"/>
      <c r="G1957" s="56" t="n"/>
      <c r="H1957" s="55" t="n"/>
      <c r="I1957" s="62" t="n"/>
      <c r="J1957" s="58" t="n"/>
      <c r="K1957" s="63">
        <f>IF(tblMovement[[#This Row],[Source]]="","",IFERROR(INDEX(tblSources[Type],MATCH(tblMovement[[#This Row],[Source]],tblSources[Source],0)),"?"))</f>
        <v/>
      </c>
      <c r="L1957" s="63">
        <f>IF(tblMovement[[#This Row],[Destination]]="","",IFERROR(INDEX(tblDestinations[Type],MATCH(tblMovement[[#This Row],[Destination]],tblDestinations[Destination],0)),"?"))</f>
        <v/>
      </c>
      <c r="M1957" s="64">
        <f>IF(tblMovement[[#This Row],[Material]]="","",IF(LEFT(tblMovement[[#This Row],[Material]],3)="Ore",1,0))</f>
        <v/>
      </c>
      <c r="N1957" s="59">
        <f>IF(OR(tblMovement[[#This Row],[Tonnes_t]]="",tblMovement[[#This Row],[Grade_gpt]]=""),0,tblMovement[[#This Row],[Tonnes_t]]*tblMovement[[#This Row],[Grade_gpt]]/cfg_TroyOz)</f>
        <v/>
      </c>
      <c r="O1957" s="59">
        <f>IF(tblMovement[[#This Row],[Is_Ore]]=1,tblMovement[[#This Row],[Contained_oz]],0)</f>
        <v/>
      </c>
    </row>
    <row r="1958">
      <c r="A1958" s="54" t="n"/>
      <c r="B1958" s="61" t="n"/>
      <c r="C1958" s="61" t="n"/>
      <c r="D1958" s="61" t="n"/>
      <c r="E1958" s="61" t="n"/>
      <c r="F1958" s="55" t="n"/>
      <c r="G1958" s="56" t="n"/>
      <c r="H1958" s="55" t="n"/>
      <c r="I1958" s="62" t="n"/>
      <c r="J1958" s="58" t="n"/>
      <c r="K1958" s="63">
        <f>IF(tblMovement[[#This Row],[Source]]="","",IFERROR(INDEX(tblSources[Type],MATCH(tblMovement[[#This Row],[Source]],tblSources[Source],0)),"?"))</f>
        <v/>
      </c>
      <c r="L1958" s="63">
        <f>IF(tblMovement[[#This Row],[Destination]]="","",IFERROR(INDEX(tblDestinations[Type],MATCH(tblMovement[[#This Row],[Destination]],tblDestinations[Destination],0)),"?"))</f>
        <v/>
      </c>
      <c r="M1958" s="64">
        <f>IF(tblMovement[[#This Row],[Material]]="","",IF(LEFT(tblMovement[[#This Row],[Material]],3)="Ore",1,0))</f>
        <v/>
      </c>
      <c r="N1958" s="59">
        <f>IF(OR(tblMovement[[#This Row],[Tonnes_t]]="",tblMovement[[#This Row],[Grade_gpt]]=""),0,tblMovement[[#This Row],[Tonnes_t]]*tblMovement[[#This Row],[Grade_gpt]]/cfg_TroyOz)</f>
        <v/>
      </c>
      <c r="O1958" s="59">
        <f>IF(tblMovement[[#This Row],[Is_Ore]]=1,tblMovement[[#This Row],[Contained_oz]],0)</f>
        <v/>
      </c>
    </row>
    <row r="1959">
      <c r="A1959" s="54" t="n"/>
      <c r="B1959" s="61" t="n"/>
      <c r="C1959" s="61" t="n"/>
      <c r="D1959" s="61" t="n"/>
      <c r="E1959" s="61" t="n"/>
      <c r="F1959" s="55" t="n"/>
      <c r="G1959" s="56" t="n"/>
      <c r="H1959" s="55" t="n"/>
      <c r="I1959" s="62" t="n"/>
      <c r="J1959" s="58" t="n"/>
      <c r="K1959" s="63">
        <f>IF(tblMovement[[#This Row],[Source]]="","",IFERROR(INDEX(tblSources[Type],MATCH(tblMovement[[#This Row],[Source]],tblSources[Source],0)),"?"))</f>
        <v/>
      </c>
      <c r="L1959" s="63">
        <f>IF(tblMovement[[#This Row],[Destination]]="","",IFERROR(INDEX(tblDestinations[Type],MATCH(tblMovement[[#This Row],[Destination]],tblDestinations[Destination],0)),"?"))</f>
        <v/>
      </c>
      <c r="M1959" s="64">
        <f>IF(tblMovement[[#This Row],[Material]]="","",IF(LEFT(tblMovement[[#This Row],[Material]],3)="Ore",1,0))</f>
        <v/>
      </c>
      <c r="N1959" s="59">
        <f>IF(OR(tblMovement[[#This Row],[Tonnes_t]]="",tblMovement[[#This Row],[Grade_gpt]]=""),0,tblMovement[[#This Row],[Tonnes_t]]*tblMovement[[#This Row],[Grade_gpt]]/cfg_TroyOz)</f>
        <v/>
      </c>
      <c r="O1959" s="59">
        <f>IF(tblMovement[[#This Row],[Is_Ore]]=1,tblMovement[[#This Row],[Contained_oz]],0)</f>
        <v/>
      </c>
    </row>
    <row r="1960">
      <c r="A1960" s="54" t="n"/>
      <c r="B1960" s="61" t="n"/>
      <c r="C1960" s="61" t="n"/>
      <c r="D1960" s="61" t="n"/>
      <c r="E1960" s="61" t="n"/>
      <c r="F1960" s="55" t="n"/>
      <c r="G1960" s="56" t="n"/>
      <c r="H1960" s="55" t="n"/>
      <c r="I1960" s="62" t="n"/>
      <c r="J1960" s="58" t="n"/>
      <c r="K1960" s="63">
        <f>IF(tblMovement[[#This Row],[Source]]="","",IFERROR(INDEX(tblSources[Type],MATCH(tblMovement[[#This Row],[Source]],tblSources[Source],0)),"?"))</f>
        <v/>
      </c>
      <c r="L1960" s="63">
        <f>IF(tblMovement[[#This Row],[Destination]]="","",IFERROR(INDEX(tblDestinations[Type],MATCH(tblMovement[[#This Row],[Destination]],tblDestinations[Destination],0)),"?"))</f>
        <v/>
      </c>
      <c r="M1960" s="64">
        <f>IF(tblMovement[[#This Row],[Material]]="","",IF(LEFT(tblMovement[[#This Row],[Material]],3)="Ore",1,0))</f>
        <v/>
      </c>
      <c r="N1960" s="59">
        <f>IF(OR(tblMovement[[#This Row],[Tonnes_t]]="",tblMovement[[#This Row],[Grade_gpt]]=""),0,tblMovement[[#This Row],[Tonnes_t]]*tblMovement[[#This Row],[Grade_gpt]]/cfg_TroyOz)</f>
        <v/>
      </c>
      <c r="O1960" s="59">
        <f>IF(tblMovement[[#This Row],[Is_Ore]]=1,tblMovement[[#This Row],[Contained_oz]],0)</f>
        <v/>
      </c>
    </row>
    <row r="1961">
      <c r="A1961" s="54" t="n"/>
      <c r="B1961" s="61" t="n"/>
      <c r="C1961" s="61" t="n"/>
      <c r="D1961" s="61" t="n"/>
      <c r="E1961" s="61" t="n"/>
      <c r="F1961" s="55" t="n"/>
      <c r="G1961" s="56" t="n"/>
      <c r="H1961" s="55" t="n"/>
      <c r="I1961" s="62" t="n"/>
      <c r="J1961" s="58" t="n"/>
      <c r="K1961" s="63">
        <f>IF(tblMovement[[#This Row],[Source]]="","",IFERROR(INDEX(tblSources[Type],MATCH(tblMovement[[#This Row],[Source]],tblSources[Source],0)),"?"))</f>
        <v/>
      </c>
      <c r="L1961" s="63">
        <f>IF(tblMovement[[#This Row],[Destination]]="","",IFERROR(INDEX(tblDestinations[Type],MATCH(tblMovement[[#This Row],[Destination]],tblDestinations[Destination],0)),"?"))</f>
        <v/>
      </c>
      <c r="M1961" s="64">
        <f>IF(tblMovement[[#This Row],[Material]]="","",IF(LEFT(tblMovement[[#This Row],[Material]],3)="Ore",1,0))</f>
        <v/>
      </c>
      <c r="N1961" s="59">
        <f>IF(OR(tblMovement[[#This Row],[Tonnes_t]]="",tblMovement[[#This Row],[Grade_gpt]]=""),0,tblMovement[[#This Row],[Tonnes_t]]*tblMovement[[#This Row],[Grade_gpt]]/cfg_TroyOz)</f>
        <v/>
      </c>
      <c r="O1961" s="59">
        <f>IF(tblMovement[[#This Row],[Is_Ore]]=1,tblMovement[[#This Row],[Contained_oz]],0)</f>
        <v/>
      </c>
    </row>
    <row r="1962">
      <c r="A1962" s="54" t="n"/>
      <c r="B1962" s="61" t="n"/>
      <c r="C1962" s="61" t="n"/>
      <c r="D1962" s="61" t="n"/>
      <c r="E1962" s="61" t="n"/>
      <c r="F1962" s="55" t="n"/>
      <c r="G1962" s="56" t="n"/>
      <c r="H1962" s="55" t="n"/>
      <c r="I1962" s="62" t="n"/>
      <c r="J1962" s="58" t="n"/>
      <c r="K1962" s="63">
        <f>IF(tblMovement[[#This Row],[Source]]="","",IFERROR(INDEX(tblSources[Type],MATCH(tblMovement[[#This Row],[Source]],tblSources[Source],0)),"?"))</f>
        <v/>
      </c>
      <c r="L1962" s="63">
        <f>IF(tblMovement[[#This Row],[Destination]]="","",IFERROR(INDEX(tblDestinations[Type],MATCH(tblMovement[[#This Row],[Destination]],tblDestinations[Destination],0)),"?"))</f>
        <v/>
      </c>
      <c r="M1962" s="64">
        <f>IF(tblMovement[[#This Row],[Material]]="","",IF(LEFT(tblMovement[[#This Row],[Material]],3)="Ore",1,0))</f>
        <v/>
      </c>
      <c r="N1962" s="59">
        <f>IF(OR(tblMovement[[#This Row],[Tonnes_t]]="",tblMovement[[#This Row],[Grade_gpt]]=""),0,tblMovement[[#This Row],[Tonnes_t]]*tblMovement[[#This Row],[Grade_gpt]]/cfg_TroyOz)</f>
        <v/>
      </c>
      <c r="O1962" s="59">
        <f>IF(tblMovement[[#This Row],[Is_Ore]]=1,tblMovement[[#This Row],[Contained_oz]],0)</f>
        <v/>
      </c>
    </row>
    <row r="1963">
      <c r="A1963" s="54" t="n"/>
      <c r="B1963" s="61" t="n"/>
      <c r="C1963" s="61" t="n"/>
      <c r="D1963" s="61" t="n"/>
      <c r="E1963" s="61" t="n"/>
      <c r="F1963" s="55" t="n"/>
      <c r="G1963" s="56" t="n"/>
      <c r="H1963" s="55" t="n"/>
      <c r="I1963" s="62" t="n"/>
      <c r="J1963" s="58" t="n"/>
      <c r="K1963" s="63">
        <f>IF(tblMovement[[#This Row],[Source]]="","",IFERROR(INDEX(tblSources[Type],MATCH(tblMovement[[#This Row],[Source]],tblSources[Source],0)),"?"))</f>
        <v/>
      </c>
      <c r="L1963" s="63">
        <f>IF(tblMovement[[#This Row],[Destination]]="","",IFERROR(INDEX(tblDestinations[Type],MATCH(tblMovement[[#This Row],[Destination]],tblDestinations[Destination],0)),"?"))</f>
        <v/>
      </c>
      <c r="M1963" s="64">
        <f>IF(tblMovement[[#This Row],[Material]]="","",IF(LEFT(tblMovement[[#This Row],[Material]],3)="Ore",1,0))</f>
        <v/>
      </c>
      <c r="N1963" s="59">
        <f>IF(OR(tblMovement[[#This Row],[Tonnes_t]]="",tblMovement[[#This Row],[Grade_gpt]]=""),0,tblMovement[[#This Row],[Tonnes_t]]*tblMovement[[#This Row],[Grade_gpt]]/cfg_TroyOz)</f>
        <v/>
      </c>
      <c r="O1963" s="59">
        <f>IF(tblMovement[[#This Row],[Is_Ore]]=1,tblMovement[[#This Row],[Contained_oz]],0)</f>
        <v/>
      </c>
    </row>
    <row r="1964">
      <c r="A1964" s="54" t="n"/>
      <c r="B1964" s="61" t="n"/>
      <c r="C1964" s="61" t="n"/>
      <c r="D1964" s="61" t="n"/>
      <c r="E1964" s="61" t="n"/>
      <c r="F1964" s="55" t="n"/>
      <c r="G1964" s="56" t="n"/>
      <c r="H1964" s="55" t="n"/>
      <c r="I1964" s="62" t="n"/>
      <c r="J1964" s="58" t="n"/>
      <c r="K1964" s="63">
        <f>IF(tblMovement[[#This Row],[Source]]="","",IFERROR(INDEX(tblSources[Type],MATCH(tblMovement[[#This Row],[Source]],tblSources[Source],0)),"?"))</f>
        <v/>
      </c>
      <c r="L1964" s="63">
        <f>IF(tblMovement[[#This Row],[Destination]]="","",IFERROR(INDEX(tblDestinations[Type],MATCH(tblMovement[[#This Row],[Destination]],tblDestinations[Destination],0)),"?"))</f>
        <v/>
      </c>
      <c r="M1964" s="64">
        <f>IF(tblMovement[[#This Row],[Material]]="","",IF(LEFT(tblMovement[[#This Row],[Material]],3)="Ore",1,0))</f>
        <v/>
      </c>
      <c r="N1964" s="59">
        <f>IF(OR(tblMovement[[#This Row],[Tonnes_t]]="",tblMovement[[#This Row],[Grade_gpt]]=""),0,tblMovement[[#This Row],[Tonnes_t]]*tblMovement[[#This Row],[Grade_gpt]]/cfg_TroyOz)</f>
        <v/>
      </c>
      <c r="O1964" s="59">
        <f>IF(tblMovement[[#This Row],[Is_Ore]]=1,tblMovement[[#This Row],[Contained_oz]],0)</f>
        <v/>
      </c>
    </row>
    <row r="1965">
      <c r="A1965" s="54" t="n"/>
      <c r="B1965" s="61" t="n"/>
      <c r="C1965" s="61" t="n"/>
      <c r="D1965" s="61" t="n"/>
      <c r="E1965" s="61" t="n"/>
      <c r="F1965" s="55" t="n"/>
      <c r="G1965" s="56" t="n"/>
      <c r="H1965" s="55" t="n"/>
      <c r="I1965" s="62" t="n"/>
      <c r="J1965" s="58" t="n"/>
      <c r="K1965" s="63">
        <f>IF(tblMovement[[#This Row],[Source]]="","",IFERROR(INDEX(tblSources[Type],MATCH(tblMovement[[#This Row],[Source]],tblSources[Source],0)),"?"))</f>
        <v/>
      </c>
      <c r="L1965" s="63">
        <f>IF(tblMovement[[#This Row],[Destination]]="","",IFERROR(INDEX(tblDestinations[Type],MATCH(tblMovement[[#This Row],[Destination]],tblDestinations[Destination],0)),"?"))</f>
        <v/>
      </c>
      <c r="M1965" s="64">
        <f>IF(tblMovement[[#This Row],[Material]]="","",IF(LEFT(tblMovement[[#This Row],[Material]],3)="Ore",1,0))</f>
        <v/>
      </c>
      <c r="N1965" s="59">
        <f>IF(OR(tblMovement[[#This Row],[Tonnes_t]]="",tblMovement[[#This Row],[Grade_gpt]]=""),0,tblMovement[[#This Row],[Tonnes_t]]*tblMovement[[#This Row],[Grade_gpt]]/cfg_TroyOz)</f>
        <v/>
      </c>
      <c r="O1965" s="59">
        <f>IF(tblMovement[[#This Row],[Is_Ore]]=1,tblMovement[[#This Row],[Contained_oz]],0)</f>
        <v/>
      </c>
    </row>
    <row r="1966">
      <c r="A1966" s="54" t="n"/>
      <c r="B1966" s="61" t="n"/>
      <c r="C1966" s="61" t="n"/>
      <c r="D1966" s="61" t="n"/>
      <c r="E1966" s="61" t="n"/>
      <c r="F1966" s="55" t="n"/>
      <c r="G1966" s="56" t="n"/>
      <c r="H1966" s="55" t="n"/>
      <c r="I1966" s="62" t="n"/>
      <c r="J1966" s="58" t="n"/>
      <c r="K1966" s="63">
        <f>IF(tblMovement[[#This Row],[Source]]="","",IFERROR(INDEX(tblSources[Type],MATCH(tblMovement[[#This Row],[Source]],tblSources[Source],0)),"?"))</f>
        <v/>
      </c>
      <c r="L1966" s="63">
        <f>IF(tblMovement[[#This Row],[Destination]]="","",IFERROR(INDEX(tblDestinations[Type],MATCH(tblMovement[[#This Row],[Destination]],tblDestinations[Destination],0)),"?"))</f>
        <v/>
      </c>
      <c r="M1966" s="64">
        <f>IF(tblMovement[[#This Row],[Material]]="","",IF(LEFT(tblMovement[[#This Row],[Material]],3)="Ore",1,0))</f>
        <v/>
      </c>
      <c r="N1966" s="59">
        <f>IF(OR(tblMovement[[#This Row],[Tonnes_t]]="",tblMovement[[#This Row],[Grade_gpt]]=""),0,tblMovement[[#This Row],[Tonnes_t]]*tblMovement[[#This Row],[Grade_gpt]]/cfg_TroyOz)</f>
        <v/>
      </c>
      <c r="O1966" s="59">
        <f>IF(tblMovement[[#This Row],[Is_Ore]]=1,tblMovement[[#This Row],[Contained_oz]],0)</f>
        <v/>
      </c>
    </row>
    <row r="1967">
      <c r="A1967" s="54" t="n"/>
      <c r="B1967" s="61" t="n"/>
      <c r="C1967" s="61" t="n"/>
      <c r="D1967" s="61" t="n"/>
      <c r="E1967" s="61" t="n"/>
      <c r="F1967" s="55" t="n"/>
      <c r="G1967" s="56" t="n"/>
      <c r="H1967" s="55" t="n"/>
      <c r="I1967" s="62" t="n"/>
      <c r="J1967" s="58" t="n"/>
      <c r="K1967" s="63">
        <f>IF(tblMovement[[#This Row],[Source]]="","",IFERROR(INDEX(tblSources[Type],MATCH(tblMovement[[#This Row],[Source]],tblSources[Source],0)),"?"))</f>
        <v/>
      </c>
      <c r="L1967" s="63">
        <f>IF(tblMovement[[#This Row],[Destination]]="","",IFERROR(INDEX(tblDestinations[Type],MATCH(tblMovement[[#This Row],[Destination]],tblDestinations[Destination],0)),"?"))</f>
        <v/>
      </c>
      <c r="M1967" s="64">
        <f>IF(tblMovement[[#This Row],[Material]]="","",IF(LEFT(tblMovement[[#This Row],[Material]],3)="Ore",1,0))</f>
        <v/>
      </c>
      <c r="N1967" s="59">
        <f>IF(OR(tblMovement[[#This Row],[Tonnes_t]]="",tblMovement[[#This Row],[Grade_gpt]]=""),0,tblMovement[[#This Row],[Tonnes_t]]*tblMovement[[#This Row],[Grade_gpt]]/cfg_TroyOz)</f>
        <v/>
      </c>
      <c r="O1967" s="59">
        <f>IF(tblMovement[[#This Row],[Is_Ore]]=1,tblMovement[[#This Row],[Contained_oz]],0)</f>
        <v/>
      </c>
    </row>
    <row r="1968">
      <c r="A1968" s="54" t="n"/>
      <c r="B1968" s="61" t="n"/>
      <c r="C1968" s="61" t="n"/>
      <c r="D1968" s="61" t="n"/>
      <c r="E1968" s="61" t="n"/>
      <c r="F1968" s="55" t="n"/>
      <c r="G1968" s="56" t="n"/>
      <c r="H1968" s="55" t="n"/>
      <c r="I1968" s="62" t="n"/>
      <c r="J1968" s="58" t="n"/>
      <c r="K1968" s="63">
        <f>IF(tblMovement[[#This Row],[Source]]="","",IFERROR(INDEX(tblSources[Type],MATCH(tblMovement[[#This Row],[Source]],tblSources[Source],0)),"?"))</f>
        <v/>
      </c>
      <c r="L1968" s="63">
        <f>IF(tblMovement[[#This Row],[Destination]]="","",IFERROR(INDEX(tblDestinations[Type],MATCH(tblMovement[[#This Row],[Destination]],tblDestinations[Destination],0)),"?"))</f>
        <v/>
      </c>
      <c r="M1968" s="64">
        <f>IF(tblMovement[[#This Row],[Material]]="","",IF(LEFT(tblMovement[[#This Row],[Material]],3)="Ore",1,0))</f>
        <v/>
      </c>
      <c r="N1968" s="59">
        <f>IF(OR(tblMovement[[#This Row],[Tonnes_t]]="",tblMovement[[#This Row],[Grade_gpt]]=""),0,tblMovement[[#This Row],[Tonnes_t]]*tblMovement[[#This Row],[Grade_gpt]]/cfg_TroyOz)</f>
        <v/>
      </c>
      <c r="O1968" s="59">
        <f>IF(tblMovement[[#This Row],[Is_Ore]]=1,tblMovement[[#This Row],[Contained_oz]],0)</f>
        <v/>
      </c>
    </row>
    <row r="1969">
      <c r="A1969" s="54" t="n"/>
      <c r="B1969" s="61" t="n"/>
      <c r="C1969" s="61" t="n"/>
      <c r="D1969" s="61" t="n"/>
      <c r="E1969" s="61" t="n"/>
      <c r="F1969" s="55" t="n"/>
      <c r="G1969" s="56" t="n"/>
      <c r="H1969" s="55" t="n"/>
      <c r="I1969" s="62" t="n"/>
      <c r="J1969" s="58" t="n"/>
      <c r="K1969" s="63">
        <f>IF(tblMovement[[#This Row],[Source]]="","",IFERROR(INDEX(tblSources[Type],MATCH(tblMovement[[#This Row],[Source]],tblSources[Source],0)),"?"))</f>
        <v/>
      </c>
      <c r="L1969" s="63">
        <f>IF(tblMovement[[#This Row],[Destination]]="","",IFERROR(INDEX(tblDestinations[Type],MATCH(tblMovement[[#This Row],[Destination]],tblDestinations[Destination],0)),"?"))</f>
        <v/>
      </c>
      <c r="M1969" s="64">
        <f>IF(tblMovement[[#This Row],[Material]]="","",IF(LEFT(tblMovement[[#This Row],[Material]],3)="Ore",1,0))</f>
        <v/>
      </c>
      <c r="N1969" s="59">
        <f>IF(OR(tblMovement[[#This Row],[Tonnes_t]]="",tblMovement[[#This Row],[Grade_gpt]]=""),0,tblMovement[[#This Row],[Tonnes_t]]*tblMovement[[#This Row],[Grade_gpt]]/cfg_TroyOz)</f>
        <v/>
      </c>
      <c r="O1969" s="59">
        <f>IF(tblMovement[[#This Row],[Is_Ore]]=1,tblMovement[[#This Row],[Contained_oz]],0)</f>
        <v/>
      </c>
    </row>
    <row r="1970">
      <c r="A1970" s="54" t="n"/>
      <c r="B1970" s="61" t="n"/>
      <c r="C1970" s="61" t="n"/>
      <c r="D1970" s="61" t="n"/>
      <c r="E1970" s="61" t="n"/>
      <c r="F1970" s="55" t="n"/>
      <c r="G1970" s="56" t="n"/>
      <c r="H1970" s="55" t="n"/>
      <c r="I1970" s="62" t="n"/>
      <c r="J1970" s="58" t="n"/>
      <c r="K1970" s="63">
        <f>IF(tblMovement[[#This Row],[Source]]="","",IFERROR(INDEX(tblSources[Type],MATCH(tblMovement[[#This Row],[Source]],tblSources[Source],0)),"?"))</f>
        <v/>
      </c>
      <c r="L1970" s="63">
        <f>IF(tblMovement[[#This Row],[Destination]]="","",IFERROR(INDEX(tblDestinations[Type],MATCH(tblMovement[[#This Row],[Destination]],tblDestinations[Destination],0)),"?"))</f>
        <v/>
      </c>
      <c r="M1970" s="64">
        <f>IF(tblMovement[[#This Row],[Material]]="","",IF(LEFT(tblMovement[[#This Row],[Material]],3)="Ore",1,0))</f>
        <v/>
      </c>
      <c r="N1970" s="59">
        <f>IF(OR(tblMovement[[#This Row],[Tonnes_t]]="",tblMovement[[#This Row],[Grade_gpt]]=""),0,tblMovement[[#This Row],[Tonnes_t]]*tblMovement[[#This Row],[Grade_gpt]]/cfg_TroyOz)</f>
        <v/>
      </c>
      <c r="O1970" s="59">
        <f>IF(tblMovement[[#This Row],[Is_Ore]]=1,tblMovement[[#This Row],[Contained_oz]],0)</f>
        <v/>
      </c>
    </row>
    <row r="1971">
      <c r="A1971" s="54" t="n"/>
      <c r="B1971" s="61" t="n"/>
      <c r="C1971" s="61" t="n"/>
      <c r="D1971" s="61" t="n"/>
      <c r="E1971" s="61" t="n"/>
      <c r="F1971" s="55" t="n"/>
      <c r="G1971" s="56" t="n"/>
      <c r="H1971" s="55" t="n"/>
      <c r="I1971" s="62" t="n"/>
      <c r="J1971" s="58" t="n"/>
      <c r="K1971" s="63">
        <f>IF(tblMovement[[#This Row],[Source]]="","",IFERROR(INDEX(tblSources[Type],MATCH(tblMovement[[#This Row],[Source]],tblSources[Source],0)),"?"))</f>
        <v/>
      </c>
      <c r="L1971" s="63">
        <f>IF(tblMovement[[#This Row],[Destination]]="","",IFERROR(INDEX(tblDestinations[Type],MATCH(tblMovement[[#This Row],[Destination]],tblDestinations[Destination],0)),"?"))</f>
        <v/>
      </c>
      <c r="M1971" s="64">
        <f>IF(tblMovement[[#This Row],[Material]]="","",IF(LEFT(tblMovement[[#This Row],[Material]],3)="Ore",1,0))</f>
        <v/>
      </c>
      <c r="N1971" s="59">
        <f>IF(OR(tblMovement[[#This Row],[Tonnes_t]]="",tblMovement[[#This Row],[Grade_gpt]]=""),0,tblMovement[[#This Row],[Tonnes_t]]*tblMovement[[#This Row],[Grade_gpt]]/cfg_TroyOz)</f>
        <v/>
      </c>
      <c r="O1971" s="59">
        <f>IF(tblMovement[[#This Row],[Is_Ore]]=1,tblMovement[[#This Row],[Contained_oz]],0)</f>
        <v/>
      </c>
    </row>
    <row r="1972">
      <c r="A1972" s="54" t="n"/>
      <c r="B1972" s="61" t="n"/>
      <c r="C1972" s="61" t="n"/>
      <c r="D1972" s="61" t="n"/>
      <c r="E1972" s="61" t="n"/>
      <c r="F1972" s="55" t="n"/>
      <c r="G1972" s="56" t="n"/>
      <c r="H1972" s="55" t="n"/>
      <c r="I1972" s="62" t="n"/>
      <c r="J1972" s="58" t="n"/>
      <c r="K1972" s="63">
        <f>IF(tblMovement[[#This Row],[Source]]="","",IFERROR(INDEX(tblSources[Type],MATCH(tblMovement[[#This Row],[Source]],tblSources[Source],0)),"?"))</f>
        <v/>
      </c>
      <c r="L1972" s="63">
        <f>IF(tblMovement[[#This Row],[Destination]]="","",IFERROR(INDEX(tblDestinations[Type],MATCH(tblMovement[[#This Row],[Destination]],tblDestinations[Destination],0)),"?"))</f>
        <v/>
      </c>
      <c r="M1972" s="64">
        <f>IF(tblMovement[[#This Row],[Material]]="","",IF(LEFT(tblMovement[[#This Row],[Material]],3)="Ore",1,0))</f>
        <v/>
      </c>
      <c r="N1972" s="59">
        <f>IF(OR(tblMovement[[#This Row],[Tonnes_t]]="",tblMovement[[#This Row],[Grade_gpt]]=""),0,tblMovement[[#This Row],[Tonnes_t]]*tblMovement[[#This Row],[Grade_gpt]]/cfg_TroyOz)</f>
        <v/>
      </c>
      <c r="O1972" s="59">
        <f>IF(tblMovement[[#This Row],[Is_Ore]]=1,tblMovement[[#This Row],[Contained_oz]],0)</f>
        <v/>
      </c>
    </row>
    <row r="1973">
      <c r="A1973" s="54" t="n"/>
      <c r="B1973" s="61" t="n"/>
      <c r="C1973" s="61" t="n"/>
      <c r="D1973" s="61" t="n"/>
      <c r="E1973" s="61" t="n"/>
      <c r="F1973" s="55" t="n"/>
      <c r="G1973" s="56" t="n"/>
      <c r="H1973" s="55" t="n"/>
      <c r="I1973" s="62" t="n"/>
      <c r="J1973" s="58" t="n"/>
      <c r="K1973" s="63">
        <f>IF(tblMovement[[#This Row],[Source]]="","",IFERROR(INDEX(tblSources[Type],MATCH(tblMovement[[#This Row],[Source]],tblSources[Source],0)),"?"))</f>
        <v/>
      </c>
      <c r="L1973" s="63">
        <f>IF(tblMovement[[#This Row],[Destination]]="","",IFERROR(INDEX(tblDestinations[Type],MATCH(tblMovement[[#This Row],[Destination]],tblDestinations[Destination],0)),"?"))</f>
        <v/>
      </c>
      <c r="M1973" s="64">
        <f>IF(tblMovement[[#This Row],[Material]]="","",IF(LEFT(tblMovement[[#This Row],[Material]],3)="Ore",1,0))</f>
        <v/>
      </c>
      <c r="N1973" s="59">
        <f>IF(OR(tblMovement[[#This Row],[Tonnes_t]]="",tblMovement[[#This Row],[Grade_gpt]]=""),0,tblMovement[[#This Row],[Tonnes_t]]*tblMovement[[#This Row],[Grade_gpt]]/cfg_TroyOz)</f>
        <v/>
      </c>
      <c r="O1973" s="59">
        <f>IF(tblMovement[[#This Row],[Is_Ore]]=1,tblMovement[[#This Row],[Contained_oz]],0)</f>
        <v/>
      </c>
    </row>
    <row r="1974">
      <c r="A1974" s="54" t="n"/>
      <c r="B1974" s="61" t="n"/>
      <c r="C1974" s="61" t="n"/>
      <c r="D1974" s="61" t="n"/>
      <c r="E1974" s="61" t="n"/>
      <c r="F1974" s="55" t="n"/>
      <c r="G1974" s="56" t="n"/>
      <c r="H1974" s="55" t="n"/>
      <c r="I1974" s="62" t="n"/>
      <c r="J1974" s="58" t="n"/>
      <c r="K1974" s="63">
        <f>IF(tblMovement[[#This Row],[Source]]="","",IFERROR(INDEX(tblSources[Type],MATCH(tblMovement[[#This Row],[Source]],tblSources[Source],0)),"?"))</f>
        <v/>
      </c>
      <c r="L1974" s="63">
        <f>IF(tblMovement[[#This Row],[Destination]]="","",IFERROR(INDEX(tblDestinations[Type],MATCH(tblMovement[[#This Row],[Destination]],tblDestinations[Destination],0)),"?"))</f>
        <v/>
      </c>
      <c r="M1974" s="64">
        <f>IF(tblMovement[[#This Row],[Material]]="","",IF(LEFT(tblMovement[[#This Row],[Material]],3)="Ore",1,0))</f>
        <v/>
      </c>
      <c r="N1974" s="59">
        <f>IF(OR(tblMovement[[#This Row],[Tonnes_t]]="",tblMovement[[#This Row],[Grade_gpt]]=""),0,tblMovement[[#This Row],[Tonnes_t]]*tblMovement[[#This Row],[Grade_gpt]]/cfg_TroyOz)</f>
        <v/>
      </c>
      <c r="O1974" s="59">
        <f>IF(tblMovement[[#This Row],[Is_Ore]]=1,tblMovement[[#This Row],[Contained_oz]],0)</f>
        <v/>
      </c>
    </row>
    <row r="1975">
      <c r="A1975" s="54" t="n"/>
      <c r="B1975" s="61" t="n"/>
      <c r="C1975" s="61" t="n"/>
      <c r="D1975" s="61" t="n"/>
      <c r="E1975" s="61" t="n"/>
      <c r="F1975" s="55" t="n"/>
      <c r="G1975" s="56" t="n"/>
      <c r="H1975" s="55" t="n"/>
      <c r="I1975" s="62" t="n"/>
      <c r="J1975" s="58" t="n"/>
      <c r="K1975" s="63">
        <f>IF(tblMovement[[#This Row],[Source]]="","",IFERROR(INDEX(tblSources[Type],MATCH(tblMovement[[#This Row],[Source]],tblSources[Source],0)),"?"))</f>
        <v/>
      </c>
      <c r="L1975" s="63">
        <f>IF(tblMovement[[#This Row],[Destination]]="","",IFERROR(INDEX(tblDestinations[Type],MATCH(tblMovement[[#This Row],[Destination]],tblDestinations[Destination],0)),"?"))</f>
        <v/>
      </c>
      <c r="M1975" s="64">
        <f>IF(tblMovement[[#This Row],[Material]]="","",IF(LEFT(tblMovement[[#This Row],[Material]],3)="Ore",1,0))</f>
        <v/>
      </c>
      <c r="N1975" s="59">
        <f>IF(OR(tblMovement[[#This Row],[Tonnes_t]]="",tblMovement[[#This Row],[Grade_gpt]]=""),0,tblMovement[[#This Row],[Tonnes_t]]*tblMovement[[#This Row],[Grade_gpt]]/cfg_TroyOz)</f>
        <v/>
      </c>
      <c r="O1975" s="59">
        <f>IF(tblMovement[[#This Row],[Is_Ore]]=1,tblMovement[[#This Row],[Contained_oz]],0)</f>
        <v/>
      </c>
    </row>
    <row r="1976">
      <c r="A1976" s="54" t="n"/>
      <c r="B1976" s="61" t="n"/>
      <c r="C1976" s="61" t="n"/>
      <c r="D1976" s="61" t="n"/>
      <c r="E1976" s="61" t="n"/>
      <c r="F1976" s="55" t="n"/>
      <c r="G1976" s="56" t="n"/>
      <c r="H1976" s="55" t="n"/>
      <c r="I1976" s="62" t="n"/>
      <c r="J1976" s="58" t="n"/>
      <c r="K1976" s="63">
        <f>IF(tblMovement[[#This Row],[Source]]="","",IFERROR(INDEX(tblSources[Type],MATCH(tblMovement[[#This Row],[Source]],tblSources[Source],0)),"?"))</f>
        <v/>
      </c>
      <c r="L1976" s="63">
        <f>IF(tblMovement[[#This Row],[Destination]]="","",IFERROR(INDEX(tblDestinations[Type],MATCH(tblMovement[[#This Row],[Destination]],tblDestinations[Destination],0)),"?"))</f>
        <v/>
      </c>
      <c r="M1976" s="64">
        <f>IF(tblMovement[[#This Row],[Material]]="","",IF(LEFT(tblMovement[[#This Row],[Material]],3)="Ore",1,0))</f>
        <v/>
      </c>
      <c r="N1976" s="59">
        <f>IF(OR(tblMovement[[#This Row],[Tonnes_t]]="",tblMovement[[#This Row],[Grade_gpt]]=""),0,tblMovement[[#This Row],[Tonnes_t]]*tblMovement[[#This Row],[Grade_gpt]]/cfg_TroyOz)</f>
        <v/>
      </c>
      <c r="O1976" s="59">
        <f>IF(tblMovement[[#This Row],[Is_Ore]]=1,tblMovement[[#This Row],[Contained_oz]],0)</f>
        <v/>
      </c>
    </row>
    <row r="1977">
      <c r="A1977" s="54" t="n"/>
      <c r="B1977" s="61" t="n"/>
      <c r="C1977" s="61" t="n"/>
      <c r="D1977" s="61" t="n"/>
      <c r="E1977" s="61" t="n"/>
      <c r="F1977" s="55" t="n"/>
      <c r="G1977" s="56" t="n"/>
      <c r="H1977" s="55" t="n"/>
      <c r="I1977" s="62" t="n"/>
      <c r="J1977" s="58" t="n"/>
      <c r="K1977" s="63">
        <f>IF(tblMovement[[#This Row],[Source]]="","",IFERROR(INDEX(tblSources[Type],MATCH(tblMovement[[#This Row],[Source]],tblSources[Source],0)),"?"))</f>
        <v/>
      </c>
      <c r="L1977" s="63">
        <f>IF(tblMovement[[#This Row],[Destination]]="","",IFERROR(INDEX(tblDestinations[Type],MATCH(tblMovement[[#This Row],[Destination]],tblDestinations[Destination],0)),"?"))</f>
        <v/>
      </c>
      <c r="M1977" s="64">
        <f>IF(tblMovement[[#This Row],[Material]]="","",IF(LEFT(tblMovement[[#This Row],[Material]],3)="Ore",1,0))</f>
        <v/>
      </c>
      <c r="N1977" s="59">
        <f>IF(OR(tblMovement[[#This Row],[Tonnes_t]]="",tblMovement[[#This Row],[Grade_gpt]]=""),0,tblMovement[[#This Row],[Tonnes_t]]*tblMovement[[#This Row],[Grade_gpt]]/cfg_TroyOz)</f>
        <v/>
      </c>
      <c r="O1977" s="59">
        <f>IF(tblMovement[[#This Row],[Is_Ore]]=1,tblMovement[[#This Row],[Contained_oz]],0)</f>
        <v/>
      </c>
    </row>
    <row r="1978">
      <c r="A1978" s="54" t="n"/>
      <c r="B1978" s="61" t="n"/>
      <c r="C1978" s="61" t="n"/>
      <c r="D1978" s="61" t="n"/>
      <c r="E1978" s="61" t="n"/>
      <c r="F1978" s="55" t="n"/>
      <c r="G1978" s="56" t="n"/>
      <c r="H1978" s="55" t="n"/>
      <c r="I1978" s="62" t="n"/>
      <c r="J1978" s="58" t="n"/>
      <c r="K1978" s="63">
        <f>IF(tblMovement[[#This Row],[Source]]="","",IFERROR(INDEX(tblSources[Type],MATCH(tblMovement[[#This Row],[Source]],tblSources[Source],0)),"?"))</f>
        <v/>
      </c>
      <c r="L1978" s="63">
        <f>IF(tblMovement[[#This Row],[Destination]]="","",IFERROR(INDEX(tblDestinations[Type],MATCH(tblMovement[[#This Row],[Destination]],tblDestinations[Destination],0)),"?"))</f>
        <v/>
      </c>
      <c r="M1978" s="64">
        <f>IF(tblMovement[[#This Row],[Material]]="","",IF(LEFT(tblMovement[[#This Row],[Material]],3)="Ore",1,0))</f>
        <v/>
      </c>
      <c r="N1978" s="59">
        <f>IF(OR(tblMovement[[#This Row],[Tonnes_t]]="",tblMovement[[#This Row],[Grade_gpt]]=""),0,tblMovement[[#This Row],[Tonnes_t]]*tblMovement[[#This Row],[Grade_gpt]]/cfg_TroyOz)</f>
        <v/>
      </c>
      <c r="O1978" s="59">
        <f>IF(tblMovement[[#This Row],[Is_Ore]]=1,tblMovement[[#This Row],[Contained_oz]],0)</f>
        <v/>
      </c>
    </row>
    <row r="1979">
      <c r="A1979" s="54" t="n"/>
      <c r="B1979" s="61" t="n"/>
      <c r="C1979" s="61" t="n"/>
      <c r="D1979" s="61" t="n"/>
      <c r="E1979" s="61" t="n"/>
      <c r="F1979" s="55" t="n"/>
      <c r="G1979" s="56" t="n"/>
      <c r="H1979" s="55" t="n"/>
      <c r="I1979" s="62" t="n"/>
      <c r="J1979" s="58" t="n"/>
      <c r="K1979" s="63">
        <f>IF(tblMovement[[#This Row],[Source]]="","",IFERROR(INDEX(tblSources[Type],MATCH(tblMovement[[#This Row],[Source]],tblSources[Source],0)),"?"))</f>
        <v/>
      </c>
      <c r="L1979" s="63">
        <f>IF(tblMovement[[#This Row],[Destination]]="","",IFERROR(INDEX(tblDestinations[Type],MATCH(tblMovement[[#This Row],[Destination]],tblDestinations[Destination],0)),"?"))</f>
        <v/>
      </c>
      <c r="M1979" s="64">
        <f>IF(tblMovement[[#This Row],[Material]]="","",IF(LEFT(tblMovement[[#This Row],[Material]],3)="Ore",1,0))</f>
        <v/>
      </c>
      <c r="N1979" s="59">
        <f>IF(OR(tblMovement[[#This Row],[Tonnes_t]]="",tblMovement[[#This Row],[Grade_gpt]]=""),0,tblMovement[[#This Row],[Tonnes_t]]*tblMovement[[#This Row],[Grade_gpt]]/cfg_TroyOz)</f>
        <v/>
      </c>
      <c r="O1979" s="59">
        <f>IF(tblMovement[[#This Row],[Is_Ore]]=1,tblMovement[[#This Row],[Contained_oz]],0)</f>
        <v/>
      </c>
    </row>
    <row r="1980">
      <c r="A1980" s="54" t="n"/>
      <c r="B1980" s="61" t="n"/>
      <c r="C1980" s="61" t="n"/>
      <c r="D1980" s="61" t="n"/>
      <c r="E1980" s="61" t="n"/>
      <c r="F1980" s="55" t="n"/>
      <c r="G1980" s="56" t="n"/>
      <c r="H1980" s="55" t="n"/>
      <c r="I1980" s="62" t="n"/>
      <c r="J1980" s="58" t="n"/>
      <c r="K1980" s="63">
        <f>IF(tblMovement[[#This Row],[Source]]="","",IFERROR(INDEX(tblSources[Type],MATCH(tblMovement[[#This Row],[Source]],tblSources[Source],0)),"?"))</f>
        <v/>
      </c>
      <c r="L1980" s="63">
        <f>IF(tblMovement[[#This Row],[Destination]]="","",IFERROR(INDEX(tblDestinations[Type],MATCH(tblMovement[[#This Row],[Destination]],tblDestinations[Destination],0)),"?"))</f>
        <v/>
      </c>
      <c r="M1980" s="64">
        <f>IF(tblMovement[[#This Row],[Material]]="","",IF(LEFT(tblMovement[[#This Row],[Material]],3)="Ore",1,0))</f>
        <v/>
      </c>
      <c r="N1980" s="59">
        <f>IF(OR(tblMovement[[#This Row],[Tonnes_t]]="",tblMovement[[#This Row],[Grade_gpt]]=""),0,tblMovement[[#This Row],[Tonnes_t]]*tblMovement[[#This Row],[Grade_gpt]]/cfg_TroyOz)</f>
        <v/>
      </c>
      <c r="O1980" s="59">
        <f>IF(tblMovement[[#This Row],[Is_Ore]]=1,tblMovement[[#This Row],[Contained_oz]],0)</f>
        <v/>
      </c>
    </row>
    <row r="1981">
      <c r="A1981" s="54" t="n"/>
      <c r="B1981" s="61" t="n"/>
      <c r="C1981" s="61" t="n"/>
      <c r="D1981" s="61" t="n"/>
      <c r="E1981" s="61" t="n"/>
      <c r="F1981" s="55" t="n"/>
      <c r="G1981" s="56" t="n"/>
      <c r="H1981" s="55" t="n"/>
      <c r="I1981" s="62" t="n"/>
      <c r="J1981" s="58" t="n"/>
      <c r="K1981" s="63">
        <f>IF(tblMovement[[#This Row],[Source]]="","",IFERROR(INDEX(tblSources[Type],MATCH(tblMovement[[#This Row],[Source]],tblSources[Source],0)),"?"))</f>
        <v/>
      </c>
      <c r="L1981" s="63">
        <f>IF(tblMovement[[#This Row],[Destination]]="","",IFERROR(INDEX(tblDestinations[Type],MATCH(tblMovement[[#This Row],[Destination]],tblDestinations[Destination],0)),"?"))</f>
        <v/>
      </c>
      <c r="M1981" s="64">
        <f>IF(tblMovement[[#This Row],[Material]]="","",IF(LEFT(tblMovement[[#This Row],[Material]],3)="Ore",1,0))</f>
        <v/>
      </c>
      <c r="N1981" s="59">
        <f>IF(OR(tblMovement[[#This Row],[Tonnes_t]]="",tblMovement[[#This Row],[Grade_gpt]]=""),0,tblMovement[[#This Row],[Tonnes_t]]*tblMovement[[#This Row],[Grade_gpt]]/cfg_TroyOz)</f>
        <v/>
      </c>
      <c r="O1981" s="59">
        <f>IF(tblMovement[[#This Row],[Is_Ore]]=1,tblMovement[[#This Row],[Contained_oz]],0)</f>
        <v/>
      </c>
    </row>
    <row r="1982">
      <c r="A1982" s="54" t="n"/>
      <c r="B1982" s="61" t="n"/>
      <c r="C1982" s="61" t="n"/>
      <c r="D1982" s="61" t="n"/>
      <c r="E1982" s="61" t="n"/>
      <c r="F1982" s="55" t="n"/>
      <c r="G1982" s="56" t="n"/>
      <c r="H1982" s="55" t="n"/>
      <c r="I1982" s="62" t="n"/>
      <c r="J1982" s="58" t="n"/>
      <c r="K1982" s="63">
        <f>IF(tblMovement[[#This Row],[Source]]="","",IFERROR(INDEX(tblSources[Type],MATCH(tblMovement[[#This Row],[Source]],tblSources[Source],0)),"?"))</f>
        <v/>
      </c>
      <c r="L1982" s="63">
        <f>IF(tblMovement[[#This Row],[Destination]]="","",IFERROR(INDEX(tblDestinations[Type],MATCH(tblMovement[[#This Row],[Destination]],tblDestinations[Destination],0)),"?"))</f>
        <v/>
      </c>
      <c r="M1982" s="64">
        <f>IF(tblMovement[[#This Row],[Material]]="","",IF(LEFT(tblMovement[[#This Row],[Material]],3)="Ore",1,0))</f>
        <v/>
      </c>
      <c r="N1982" s="59">
        <f>IF(OR(tblMovement[[#This Row],[Tonnes_t]]="",tblMovement[[#This Row],[Grade_gpt]]=""),0,tblMovement[[#This Row],[Tonnes_t]]*tblMovement[[#This Row],[Grade_gpt]]/cfg_TroyOz)</f>
        <v/>
      </c>
      <c r="O1982" s="59">
        <f>IF(tblMovement[[#This Row],[Is_Ore]]=1,tblMovement[[#This Row],[Contained_oz]],0)</f>
        <v/>
      </c>
    </row>
    <row r="1983">
      <c r="A1983" s="54" t="n"/>
      <c r="B1983" s="61" t="n"/>
      <c r="C1983" s="61" t="n"/>
      <c r="D1983" s="61" t="n"/>
      <c r="E1983" s="61" t="n"/>
      <c r="F1983" s="55" t="n"/>
      <c r="G1983" s="56" t="n"/>
      <c r="H1983" s="55" t="n"/>
      <c r="I1983" s="62" t="n"/>
      <c r="J1983" s="58" t="n"/>
      <c r="K1983" s="63">
        <f>IF(tblMovement[[#This Row],[Source]]="","",IFERROR(INDEX(tblSources[Type],MATCH(tblMovement[[#This Row],[Source]],tblSources[Source],0)),"?"))</f>
        <v/>
      </c>
      <c r="L1983" s="63">
        <f>IF(tblMovement[[#This Row],[Destination]]="","",IFERROR(INDEX(tblDestinations[Type],MATCH(tblMovement[[#This Row],[Destination]],tblDestinations[Destination],0)),"?"))</f>
        <v/>
      </c>
      <c r="M1983" s="64">
        <f>IF(tblMovement[[#This Row],[Material]]="","",IF(LEFT(tblMovement[[#This Row],[Material]],3)="Ore",1,0))</f>
        <v/>
      </c>
      <c r="N1983" s="59">
        <f>IF(OR(tblMovement[[#This Row],[Tonnes_t]]="",tblMovement[[#This Row],[Grade_gpt]]=""),0,tblMovement[[#This Row],[Tonnes_t]]*tblMovement[[#This Row],[Grade_gpt]]/cfg_TroyOz)</f>
        <v/>
      </c>
      <c r="O1983" s="59">
        <f>IF(tblMovement[[#This Row],[Is_Ore]]=1,tblMovement[[#This Row],[Contained_oz]],0)</f>
        <v/>
      </c>
    </row>
    <row r="1984">
      <c r="A1984" s="54" t="n"/>
      <c r="B1984" s="61" t="n"/>
      <c r="C1984" s="61" t="n"/>
      <c r="D1984" s="61" t="n"/>
      <c r="E1984" s="61" t="n"/>
      <c r="F1984" s="55" t="n"/>
      <c r="G1984" s="56" t="n"/>
      <c r="H1984" s="55" t="n"/>
      <c r="I1984" s="62" t="n"/>
      <c r="J1984" s="58" t="n"/>
      <c r="K1984" s="63">
        <f>IF(tblMovement[[#This Row],[Source]]="","",IFERROR(INDEX(tblSources[Type],MATCH(tblMovement[[#This Row],[Source]],tblSources[Source],0)),"?"))</f>
        <v/>
      </c>
      <c r="L1984" s="63">
        <f>IF(tblMovement[[#This Row],[Destination]]="","",IFERROR(INDEX(tblDestinations[Type],MATCH(tblMovement[[#This Row],[Destination]],tblDestinations[Destination],0)),"?"))</f>
        <v/>
      </c>
      <c r="M1984" s="64">
        <f>IF(tblMovement[[#This Row],[Material]]="","",IF(LEFT(tblMovement[[#This Row],[Material]],3)="Ore",1,0))</f>
        <v/>
      </c>
      <c r="N1984" s="59">
        <f>IF(OR(tblMovement[[#This Row],[Tonnes_t]]="",tblMovement[[#This Row],[Grade_gpt]]=""),0,tblMovement[[#This Row],[Tonnes_t]]*tblMovement[[#This Row],[Grade_gpt]]/cfg_TroyOz)</f>
        <v/>
      </c>
      <c r="O1984" s="59">
        <f>IF(tblMovement[[#This Row],[Is_Ore]]=1,tblMovement[[#This Row],[Contained_oz]],0)</f>
        <v/>
      </c>
    </row>
    <row r="1985">
      <c r="A1985" s="54" t="n"/>
      <c r="B1985" s="61" t="n"/>
      <c r="C1985" s="61" t="n"/>
      <c r="D1985" s="61" t="n"/>
      <c r="E1985" s="61" t="n"/>
      <c r="F1985" s="55" t="n"/>
      <c r="G1985" s="56" t="n"/>
      <c r="H1985" s="55" t="n"/>
      <c r="I1985" s="62" t="n"/>
      <c r="J1985" s="58" t="n"/>
      <c r="K1985" s="63">
        <f>IF(tblMovement[[#This Row],[Source]]="","",IFERROR(INDEX(tblSources[Type],MATCH(tblMovement[[#This Row],[Source]],tblSources[Source],0)),"?"))</f>
        <v/>
      </c>
      <c r="L1985" s="63">
        <f>IF(tblMovement[[#This Row],[Destination]]="","",IFERROR(INDEX(tblDestinations[Type],MATCH(tblMovement[[#This Row],[Destination]],tblDestinations[Destination],0)),"?"))</f>
        <v/>
      </c>
      <c r="M1985" s="64">
        <f>IF(tblMovement[[#This Row],[Material]]="","",IF(LEFT(tblMovement[[#This Row],[Material]],3)="Ore",1,0))</f>
        <v/>
      </c>
      <c r="N1985" s="59">
        <f>IF(OR(tblMovement[[#This Row],[Tonnes_t]]="",tblMovement[[#This Row],[Grade_gpt]]=""),0,tblMovement[[#This Row],[Tonnes_t]]*tblMovement[[#This Row],[Grade_gpt]]/cfg_TroyOz)</f>
        <v/>
      </c>
      <c r="O1985" s="59">
        <f>IF(tblMovement[[#This Row],[Is_Ore]]=1,tblMovement[[#This Row],[Contained_oz]],0)</f>
        <v/>
      </c>
    </row>
    <row r="1986">
      <c r="A1986" s="54" t="n"/>
      <c r="B1986" s="61" t="n"/>
      <c r="C1986" s="61" t="n"/>
      <c r="D1986" s="61" t="n"/>
      <c r="E1986" s="61" t="n"/>
      <c r="F1986" s="55" t="n"/>
      <c r="G1986" s="56" t="n"/>
      <c r="H1986" s="55" t="n"/>
      <c r="I1986" s="62" t="n"/>
      <c r="J1986" s="58" t="n"/>
      <c r="K1986" s="63">
        <f>IF(tblMovement[[#This Row],[Source]]="","",IFERROR(INDEX(tblSources[Type],MATCH(tblMovement[[#This Row],[Source]],tblSources[Source],0)),"?"))</f>
        <v/>
      </c>
      <c r="L1986" s="63">
        <f>IF(tblMovement[[#This Row],[Destination]]="","",IFERROR(INDEX(tblDestinations[Type],MATCH(tblMovement[[#This Row],[Destination]],tblDestinations[Destination],0)),"?"))</f>
        <v/>
      </c>
      <c r="M1986" s="64">
        <f>IF(tblMovement[[#This Row],[Material]]="","",IF(LEFT(tblMovement[[#This Row],[Material]],3)="Ore",1,0))</f>
        <v/>
      </c>
      <c r="N1986" s="59">
        <f>IF(OR(tblMovement[[#This Row],[Tonnes_t]]="",tblMovement[[#This Row],[Grade_gpt]]=""),0,tblMovement[[#This Row],[Tonnes_t]]*tblMovement[[#This Row],[Grade_gpt]]/cfg_TroyOz)</f>
        <v/>
      </c>
      <c r="O1986" s="59">
        <f>IF(tblMovement[[#This Row],[Is_Ore]]=1,tblMovement[[#This Row],[Contained_oz]],0)</f>
        <v/>
      </c>
    </row>
    <row r="1987">
      <c r="A1987" s="54" t="n"/>
      <c r="B1987" s="61" t="n"/>
      <c r="C1987" s="61" t="n"/>
      <c r="D1987" s="61" t="n"/>
      <c r="E1987" s="61" t="n"/>
      <c r="F1987" s="55" t="n"/>
      <c r="G1987" s="56" t="n"/>
      <c r="H1987" s="55" t="n"/>
      <c r="I1987" s="62" t="n"/>
      <c r="J1987" s="58" t="n"/>
      <c r="K1987" s="63">
        <f>IF(tblMovement[[#This Row],[Source]]="","",IFERROR(INDEX(tblSources[Type],MATCH(tblMovement[[#This Row],[Source]],tblSources[Source],0)),"?"))</f>
        <v/>
      </c>
      <c r="L1987" s="63">
        <f>IF(tblMovement[[#This Row],[Destination]]="","",IFERROR(INDEX(tblDestinations[Type],MATCH(tblMovement[[#This Row],[Destination]],tblDestinations[Destination],0)),"?"))</f>
        <v/>
      </c>
      <c r="M1987" s="64">
        <f>IF(tblMovement[[#This Row],[Material]]="","",IF(LEFT(tblMovement[[#This Row],[Material]],3)="Ore",1,0))</f>
        <v/>
      </c>
      <c r="N1987" s="59">
        <f>IF(OR(tblMovement[[#This Row],[Tonnes_t]]="",tblMovement[[#This Row],[Grade_gpt]]=""),0,tblMovement[[#This Row],[Tonnes_t]]*tblMovement[[#This Row],[Grade_gpt]]/cfg_TroyOz)</f>
        <v/>
      </c>
      <c r="O1987" s="59">
        <f>IF(tblMovement[[#This Row],[Is_Ore]]=1,tblMovement[[#This Row],[Contained_oz]],0)</f>
        <v/>
      </c>
    </row>
    <row r="1988">
      <c r="A1988" s="54" t="n"/>
      <c r="B1988" s="61" t="n"/>
      <c r="C1988" s="61" t="n"/>
      <c r="D1988" s="61" t="n"/>
      <c r="E1988" s="61" t="n"/>
      <c r="F1988" s="55" t="n"/>
      <c r="G1988" s="56" t="n"/>
      <c r="H1988" s="55" t="n"/>
      <c r="I1988" s="62" t="n"/>
      <c r="J1988" s="58" t="n"/>
      <c r="K1988" s="63">
        <f>IF(tblMovement[[#This Row],[Source]]="","",IFERROR(INDEX(tblSources[Type],MATCH(tblMovement[[#This Row],[Source]],tblSources[Source],0)),"?"))</f>
        <v/>
      </c>
      <c r="L1988" s="63">
        <f>IF(tblMovement[[#This Row],[Destination]]="","",IFERROR(INDEX(tblDestinations[Type],MATCH(tblMovement[[#This Row],[Destination]],tblDestinations[Destination],0)),"?"))</f>
        <v/>
      </c>
      <c r="M1988" s="64">
        <f>IF(tblMovement[[#This Row],[Material]]="","",IF(LEFT(tblMovement[[#This Row],[Material]],3)="Ore",1,0))</f>
        <v/>
      </c>
      <c r="N1988" s="59">
        <f>IF(OR(tblMovement[[#This Row],[Tonnes_t]]="",tblMovement[[#This Row],[Grade_gpt]]=""),0,tblMovement[[#This Row],[Tonnes_t]]*tblMovement[[#This Row],[Grade_gpt]]/cfg_TroyOz)</f>
        <v/>
      </c>
      <c r="O1988" s="59">
        <f>IF(tblMovement[[#This Row],[Is_Ore]]=1,tblMovement[[#This Row],[Contained_oz]],0)</f>
        <v/>
      </c>
    </row>
    <row r="1989">
      <c r="A1989" s="54" t="n"/>
      <c r="B1989" s="61" t="n"/>
      <c r="C1989" s="61" t="n"/>
      <c r="D1989" s="61" t="n"/>
      <c r="E1989" s="61" t="n"/>
      <c r="F1989" s="55" t="n"/>
      <c r="G1989" s="56" t="n"/>
      <c r="H1989" s="55" t="n"/>
      <c r="I1989" s="62" t="n"/>
      <c r="J1989" s="58" t="n"/>
      <c r="K1989" s="63">
        <f>IF(tblMovement[[#This Row],[Source]]="","",IFERROR(INDEX(tblSources[Type],MATCH(tblMovement[[#This Row],[Source]],tblSources[Source],0)),"?"))</f>
        <v/>
      </c>
      <c r="L1989" s="63">
        <f>IF(tblMovement[[#This Row],[Destination]]="","",IFERROR(INDEX(tblDestinations[Type],MATCH(tblMovement[[#This Row],[Destination]],tblDestinations[Destination],0)),"?"))</f>
        <v/>
      </c>
      <c r="M1989" s="64">
        <f>IF(tblMovement[[#This Row],[Material]]="","",IF(LEFT(tblMovement[[#This Row],[Material]],3)="Ore",1,0))</f>
        <v/>
      </c>
      <c r="N1989" s="59">
        <f>IF(OR(tblMovement[[#This Row],[Tonnes_t]]="",tblMovement[[#This Row],[Grade_gpt]]=""),0,tblMovement[[#This Row],[Tonnes_t]]*tblMovement[[#This Row],[Grade_gpt]]/cfg_TroyOz)</f>
        <v/>
      </c>
      <c r="O1989" s="59">
        <f>IF(tblMovement[[#This Row],[Is_Ore]]=1,tblMovement[[#This Row],[Contained_oz]],0)</f>
        <v/>
      </c>
    </row>
    <row r="1990">
      <c r="A1990" s="54" t="n"/>
      <c r="B1990" s="61" t="n"/>
      <c r="C1990" s="61" t="n"/>
      <c r="D1990" s="61" t="n"/>
      <c r="E1990" s="61" t="n"/>
      <c r="F1990" s="55" t="n"/>
      <c r="G1990" s="56" t="n"/>
      <c r="H1990" s="55" t="n"/>
      <c r="I1990" s="62" t="n"/>
      <c r="J1990" s="58" t="n"/>
      <c r="K1990" s="63">
        <f>IF(tblMovement[[#This Row],[Source]]="","",IFERROR(INDEX(tblSources[Type],MATCH(tblMovement[[#This Row],[Source]],tblSources[Source],0)),"?"))</f>
        <v/>
      </c>
      <c r="L1990" s="63">
        <f>IF(tblMovement[[#This Row],[Destination]]="","",IFERROR(INDEX(tblDestinations[Type],MATCH(tblMovement[[#This Row],[Destination]],tblDestinations[Destination],0)),"?"))</f>
        <v/>
      </c>
      <c r="M1990" s="64">
        <f>IF(tblMovement[[#This Row],[Material]]="","",IF(LEFT(tblMovement[[#This Row],[Material]],3)="Ore",1,0))</f>
        <v/>
      </c>
      <c r="N1990" s="59">
        <f>IF(OR(tblMovement[[#This Row],[Tonnes_t]]="",tblMovement[[#This Row],[Grade_gpt]]=""),0,tblMovement[[#This Row],[Tonnes_t]]*tblMovement[[#This Row],[Grade_gpt]]/cfg_TroyOz)</f>
        <v/>
      </c>
      <c r="O1990" s="59">
        <f>IF(tblMovement[[#This Row],[Is_Ore]]=1,tblMovement[[#This Row],[Contained_oz]],0)</f>
        <v/>
      </c>
    </row>
    <row r="1991">
      <c r="A1991" s="54" t="n"/>
      <c r="B1991" s="61" t="n"/>
      <c r="C1991" s="61" t="n"/>
      <c r="D1991" s="61" t="n"/>
      <c r="E1991" s="61" t="n"/>
      <c r="F1991" s="55" t="n"/>
      <c r="G1991" s="56" t="n"/>
      <c r="H1991" s="55" t="n"/>
      <c r="I1991" s="62" t="n"/>
      <c r="J1991" s="58" t="n"/>
      <c r="K1991" s="63">
        <f>IF(tblMovement[[#This Row],[Source]]="","",IFERROR(INDEX(tblSources[Type],MATCH(tblMovement[[#This Row],[Source]],tblSources[Source],0)),"?"))</f>
        <v/>
      </c>
      <c r="L1991" s="63">
        <f>IF(tblMovement[[#This Row],[Destination]]="","",IFERROR(INDEX(tblDestinations[Type],MATCH(tblMovement[[#This Row],[Destination]],tblDestinations[Destination],0)),"?"))</f>
        <v/>
      </c>
      <c r="M1991" s="64">
        <f>IF(tblMovement[[#This Row],[Material]]="","",IF(LEFT(tblMovement[[#This Row],[Material]],3)="Ore",1,0))</f>
        <v/>
      </c>
      <c r="N1991" s="59">
        <f>IF(OR(tblMovement[[#This Row],[Tonnes_t]]="",tblMovement[[#This Row],[Grade_gpt]]=""),0,tblMovement[[#This Row],[Tonnes_t]]*tblMovement[[#This Row],[Grade_gpt]]/cfg_TroyOz)</f>
        <v/>
      </c>
      <c r="O1991" s="59">
        <f>IF(tblMovement[[#This Row],[Is_Ore]]=1,tblMovement[[#This Row],[Contained_oz]],0)</f>
        <v/>
      </c>
    </row>
    <row r="1992">
      <c r="A1992" s="54" t="n"/>
      <c r="B1992" s="61" t="n"/>
      <c r="C1992" s="61" t="n"/>
      <c r="D1992" s="61" t="n"/>
      <c r="E1992" s="61" t="n"/>
      <c r="F1992" s="55" t="n"/>
      <c r="G1992" s="56" t="n"/>
      <c r="H1992" s="55" t="n"/>
      <c r="I1992" s="62" t="n"/>
      <c r="J1992" s="58" t="n"/>
      <c r="K1992" s="63">
        <f>IF(tblMovement[[#This Row],[Source]]="","",IFERROR(INDEX(tblSources[Type],MATCH(tblMovement[[#This Row],[Source]],tblSources[Source],0)),"?"))</f>
        <v/>
      </c>
      <c r="L1992" s="63">
        <f>IF(tblMovement[[#This Row],[Destination]]="","",IFERROR(INDEX(tblDestinations[Type],MATCH(tblMovement[[#This Row],[Destination]],tblDestinations[Destination],0)),"?"))</f>
        <v/>
      </c>
      <c r="M1992" s="64">
        <f>IF(tblMovement[[#This Row],[Material]]="","",IF(LEFT(tblMovement[[#This Row],[Material]],3)="Ore",1,0))</f>
        <v/>
      </c>
      <c r="N1992" s="59">
        <f>IF(OR(tblMovement[[#This Row],[Tonnes_t]]="",tblMovement[[#This Row],[Grade_gpt]]=""),0,tblMovement[[#This Row],[Tonnes_t]]*tblMovement[[#This Row],[Grade_gpt]]/cfg_TroyOz)</f>
        <v/>
      </c>
      <c r="O1992" s="59">
        <f>IF(tblMovement[[#This Row],[Is_Ore]]=1,tblMovement[[#This Row],[Contained_oz]],0)</f>
        <v/>
      </c>
    </row>
    <row r="1993">
      <c r="A1993" s="54" t="n"/>
      <c r="B1993" s="61" t="n"/>
      <c r="C1993" s="61" t="n"/>
      <c r="D1993" s="61" t="n"/>
      <c r="E1993" s="61" t="n"/>
      <c r="F1993" s="55" t="n"/>
      <c r="G1993" s="56" t="n"/>
      <c r="H1993" s="55" t="n"/>
      <c r="I1993" s="62" t="n"/>
      <c r="J1993" s="58" t="n"/>
      <c r="K1993" s="63">
        <f>IF(tblMovement[[#This Row],[Source]]="","",IFERROR(INDEX(tblSources[Type],MATCH(tblMovement[[#This Row],[Source]],tblSources[Source],0)),"?"))</f>
        <v/>
      </c>
      <c r="L1993" s="63">
        <f>IF(tblMovement[[#This Row],[Destination]]="","",IFERROR(INDEX(tblDestinations[Type],MATCH(tblMovement[[#This Row],[Destination]],tblDestinations[Destination],0)),"?"))</f>
        <v/>
      </c>
      <c r="M1993" s="64">
        <f>IF(tblMovement[[#This Row],[Material]]="","",IF(LEFT(tblMovement[[#This Row],[Material]],3)="Ore",1,0))</f>
        <v/>
      </c>
      <c r="N1993" s="59">
        <f>IF(OR(tblMovement[[#This Row],[Tonnes_t]]="",tblMovement[[#This Row],[Grade_gpt]]=""),0,tblMovement[[#This Row],[Tonnes_t]]*tblMovement[[#This Row],[Grade_gpt]]/cfg_TroyOz)</f>
        <v/>
      </c>
      <c r="O1993" s="59">
        <f>IF(tblMovement[[#This Row],[Is_Ore]]=1,tblMovement[[#This Row],[Contained_oz]],0)</f>
        <v/>
      </c>
    </row>
    <row r="1994">
      <c r="A1994" s="54" t="n"/>
      <c r="B1994" s="61" t="n"/>
      <c r="C1994" s="61" t="n"/>
      <c r="D1994" s="61" t="n"/>
      <c r="E1994" s="61" t="n"/>
      <c r="F1994" s="55" t="n"/>
      <c r="G1994" s="56" t="n"/>
      <c r="H1994" s="55" t="n"/>
      <c r="I1994" s="62" t="n"/>
      <c r="J1994" s="58" t="n"/>
      <c r="K1994" s="63">
        <f>IF(tblMovement[[#This Row],[Source]]="","",IFERROR(INDEX(tblSources[Type],MATCH(tblMovement[[#This Row],[Source]],tblSources[Source],0)),"?"))</f>
        <v/>
      </c>
      <c r="L1994" s="63">
        <f>IF(tblMovement[[#This Row],[Destination]]="","",IFERROR(INDEX(tblDestinations[Type],MATCH(tblMovement[[#This Row],[Destination]],tblDestinations[Destination],0)),"?"))</f>
        <v/>
      </c>
      <c r="M1994" s="64">
        <f>IF(tblMovement[[#This Row],[Material]]="","",IF(LEFT(tblMovement[[#This Row],[Material]],3)="Ore",1,0))</f>
        <v/>
      </c>
      <c r="N1994" s="59">
        <f>IF(OR(tblMovement[[#This Row],[Tonnes_t]]="",tblMovement[[#This Row],[Grade_gpt]]=""),0,tblMovement[[#This Row],[Tonnes_t]]*tblMovement[[#This Row],[Grade_gpt]]/cfg_TroyOz)</f>
        <v/>
      </c>
      <c r="O1994" s="59">
        <f>IF(tblMovement[[#This Row],[Is_Ore]]=1,tblMovement[[#This Row],[Contained_oz]],0)</f>
        <v/>
      </c>
    </row>
    <row r="1995">
      <c r="A1995" s="54" t="n"/>
      <c r="B1995" s="61" t="n"/>
      <c r="C1995" s="61" t="n"/>
      <c r="D1995" s="61" t="n"/>
      <c r="E1995" s="61" t="n"/>
      <c r="F1995" s="55" t="n"/>
      <c r="G1995" s="56" t="n"/>
      <c r="H1995" s="55" t="n"/>
      <c r="I1995" s="62" t="n"/>
      <c r="J1995" s="58" t="n"/>
      <c r="K1995" s="63">
        <f>IF(tblMovement[[#This Row],[Source]]="","",IFERROR(INDEX(tblSources[Type],MATCH(tblMovement[[#This Row],[Source]],tblSources[Source],0)),"?"))</f>
        <v/>
      </c>
      <c r="L1995" s="63">
        <f>IF(tblMovement[[#This Row],[Destination]]="","",IFERROR(INDEX(tblDestinations[Type],MATCH(tblMovement[[#This Row],[Destination]],tblDestinations[Destination],0)),"?"))</f>
        <v/>
      </c>
      <c r="M1995" s="64">
        <f>IF(tblMovement[[#This Row],[Material]]="","",IF(LEFT(tblMovement[[#This Row],[Material]],3)="Ore",1,0))</f>
        <v/>
      </c>
      <c r="N1995" s="59">
        <f>IF(OR(tblMovement[[#This Row],[Tonnes_t]]="",tblMovement[[#This Row],[Grade_gpt]]=""),0,tblMovement[[#This Row],[Tonnes_t]]*tblMovement[[#This Row],[Grade_gpt]]/cfg_TroyOz)</f>
        <v/>
      </c>
      <c r="O1995" s="59">
        <f>IF(tblMovement[[#This Row],[Is_Ore]]=1,tblMovement[[#This Row],[Contained_oz]],0)</f>
        <v/>
      </c>
    </row>
    <row r="1996">
      <c r="A1996" s="54" t="n"/>
      <c r="B1996" s="61" t="n"/>
      <c r="C1996" s="61" t="n"/>
      <c r="D1996" s="61" t="n"/>
      <c r="E1996" s="61" t="n"/>
      <c r="F1996" s="55" t="n"/>
      <c r="G1996" s="56" t="n"/>
      <c r="H1996" s="55" t="n"/>
      <c r="I1996" s="62" t="n"/>
      <c r="J1996" s="58" t="n"/>
      <c r="K1996" s="63">
        <f>IF(tblMovement[[#This Row],[Source]]="","",IFERROR(INDEX(tblSources[Type],MATCH(tblMovement[[#This Row],[Source]],tblSources[Source],0)),"?"))</f>
        <v/>
      </c>
      <c r="L1996" s="63">
        <f>IF(tblMovement[[#This Row],[Destination]]="","",IFERROR(INDEX(tblDestinations[Type],MATCH(tblMovement[[#This Row],[Destination]],tblDestinations[Destination],0)),"?"))</f>
        <v/>
      </c>
      <c r="M1996" s="64">
        <f>IF(tblMovement[[#This Row],[Material]]="","",IF(LEFT(tblMovement[[#This Row],[Material]],3)="Ore",1,0))</f>
        <v/>
      </c>
      <c r="N1996" s="59">
        <f>IF(OR(tblMovement[[#This Row],[Tonnes_t]]="",tblMovement[[#This Row],[Grade_gpt]]=""),0,tblMovement[[#This Row],[Tonnes_t]]*tblMovement[[#This Row],[Grade_gpt]]/cfg_TroyOz)</f>
        <v/>
      </c>
      <c r="O1996" s="59">
        <f>IF(tblMovement[[#This Row],[Is_Ore]]=1,tblMovement[[#This Row],[Contained_oz]],0)</f>
        <v/>
      </c>
    </row>
    <row r="1997">
      <c r="A1997" s="54" t="n"/>
      <c r="B1997" s="61" t="n"/>
      <c r="C1997" s="61" t="n"/>
      <c r="D1997" s="61" t="n"/>
      <c r="E1997" s="61" t="n"/>
      <c r="F1997" s="55" t="n"/>
      <c r="G1997" s="56" t="n"/>
      <c r="H1997" s="55" t="n"/>
      <c r="I1997" s="62" t="n"/>
      <c r="J1997" s="58" t="n"/>
      <c r="K1997" s="63">
        <f>IF(tblMovement[[#This Row],[Source]]="","",IFERROR(INDEX(tblSources[Type],MATCH(tblMovement[[#This Row],[Source]],tblSources[Source],0)),"?"))</f>
        <v/>
      </c>
      <c r="L1997" s="63">
        <f>IF(tblMovement[[#This Row],[Destination]]="","",IFERROR(INDEX(tblDestinations[Type],MATCH(tblMovement[[#This Row],[Destination]],tblDestinations[Destination],0)),"?"))</f>
        <v/>
      </c>
      <c r="M1997" s="64">
        <f>IF(tblMovement[[#This Row],[Material]]="","",IF(LEFT(tblMovement[[#This Row],[Material]],3)="Ore",1,0))</f>
        <v/>
      </c>
      <c r="N1997" s="59">
        <f>IF(OR(tblMovement[[#This Row],[Tonnes_t]]="",tblMovement[[#This Row],[Grade_gpt]]=""),0,tblMovement[[#This Row],[Tonnes_t]]*tblMovement[[#This Row],[Grade_gpt]]/cfg_TroyOz)</f>
        <v/>
      </c>
      <c r="O1997" s="59">
        <f>IF(tblMovement[[#This Row],[Is_Ore]]=1,tblMovement[[#This Row],[Contained_oz]],0)</f>
        <v/>
      </c>
    </row>
    <row r="1998">
      <c r="A1998" s="54" t="n"/>
      <c r="B1998" s="61" t="n"/>
      <c r="C1998" s="61" t="n"/>
      <c r="D1998" s="61" t="n"/>
      <c r="E1998" s="61" t="n"/>
      <c r="F1998" s="55" t="n"/>
      <c r="G1998" s="56" t="n"/>
      <c r="H1998" s="55" t="n"/>
      <c r="I1998" s="62" t="n"/>
      <c r="J1998" s="58" t="n"/>
      <c r="K1998" s="63">
        <f>IF(tblMovement[[#This Row],[Source]]="","",IFERROR(INDEX(tblSources[Type],MATCH(tblMovement[[#This Row],[Source]],tblSources[Source],0)),"?"))</f>
        <v/>
      </c>
      <c r="L1998" s="63">
        <f>IF(tblMovement[[#This Row],[Destination]]="","",IFERROR(INDEX(tblDestinations[Type],MATCH(tblMovement[[#This Row],[Destination]],tblDestinations[Destination],0)),"?"))</f>
        <v/>
      </c>
      <c r="M1998" s="64">
        <f>IF(tblMovement[[#This Row],[Material]]="","",IF(LEFT(tblMovement[[#This Row],[Material]],3)="Ore",1,0))</f>
        <v/>
      </c>
      <c r="N1998" s="59">
        <f>IF(OR(tblMovement[[#This Row],[Tonnes_t]]="",tblMovement[[#This Row],[Grade_gpt]]=""),0,tblMovement[[#This Row],[Tonnes_t]]*tblMovement[[#This Row],[Grade_gpt]]/cfg_TroyOz)</f>
        <v/>
      </c>
      <c r="O1998" s="59">
        <f>IF(tblMovement[[#This Row],[Is_Ore]]=1,tblMovement[[#This Row],[Contained_oz]],0)</f>
        <v/>
      </c>
    </row>
    <row r="1999">
      <c r="A1999" s="54" t="n"/>
      <c r="B1999" s="61" t="n"/>
      <c r="C1999" s="61" t="n"/>
      <c r="D1999" s="61" t="n"/>
      <c r="E1999" s="61" t="n"/>
      <c r="F1999" s="55" t="n"/>
      <c r="G1999" s="56" t="n"/>
      <c r="H1999" s="55" t="n"/>
      <c r="I1999" s="62" t="n"/>
      <c r="J1999" s="58" t="n"/>
      <c r="K1999" s="63">
        <f>IF(tblMovement[[#This Row],[Source]]="","",IFERROR(INDEX(tblSources[Type],MATCH(tblMovement[[#This Row],[Source]],tblSources[Source],0)),"?"))</f>
        <v/>
      </c>
      <c r="L1999" s="63">
        <f>IF(tblMovement[[#This Row],[Destination]]="","",IFERROR(INDEX(tblDestinations[Type],MATCH(tblMovement[[#This Row],[Destination]],tblDestinations[Destination],0)),"?"))</f>
        <v/>
      </c>
      <c r="M1999" s="64">
        <f>IF(tblMovement[[#This Row],[Material]]="","",IF(LEFT(tblMovement[[#This Row],[Material]],3)="Ore",1,0))</f>
        <v/>
      </c>
      <c r="N1999" s="59">
        <f>IF(OR(tblMovement[[#This Row],[Tonnes_t]]="",tblMovement[[#This Row],[Grade_gpt]]=""),0,tblMovement[[#This Row],[Tonnes_t]]*tblMovement[[#This Row],[Grade_gpt]]/cfg_TroyOz)</f>
        <v/>
      </c>
      <c r="O1999" s="59">
        <f>IF(tblMovement[[#This Row],[Is_Ore]]=1,tblMovement[[#This Row],[Contained_oz]],0)</f>
        <v/>
      </c>
    </row>
    <row r="2000">
      <c r="A2000" s="54" t="n"/>
      <c r="B2000" s="61" t="n"/>
      <c r="C2000" s="61" t="n"/>
      <c r="D2000" s="61" t="n"/>
      <c r="E2000" s="61" t="n"/>
      <c r="F2000" s="55" t="n"/>
      <c r="G2000" s="56" t="n"/>
      <c r="H2000" s="55" t="n"/>
      <c r="I2000" s="62" t="n"/>
      <c r="J2000" s="58" t="n"/>
      <c r="K2000" s="63">
        <f>IF(tblMovement[[#This Row],[Source]]="","",IFERROR(INDEX(tblSources[Type],MATCH(tblMovement[[#This Row],[Source]],tblSources[Source],0)),"?"))</f>
        <v/>
      </c>
      <c r="L2000" s="63">
        <f>IF(tblMovement[[#This Row],[Destination]]="","",IFERROR(INDEX(tblDestinations[Type],MATCH(tblMovement[[#This Row],[Destination]],tblDestinations[Destination],0)),"?"))</f>
        <v/>
      </c>
      <c r="M2000" s="64">
        <f>IF(tblMovement[[#This Row],[Material]]="","",IF(LEFT(tblMovement[[#This Row],[Material]],3)="Ore",1,0))</f>
        <v/>
      </c>
      <c r="N2000" s="59">
        <f>IF(OR(tblMovement[[#This Row],[Tonnes_t]]="",tblMovement[[#This Row],[Grade_gpt]]=""),0,tblMovement[[#This Row],[Tonnes_t]]*tblMovement[[#This Row],[Grade_gpt]]/cfg_TroyOz)</f>
        <v/>
      </c>
      <c r="O2000" s="59">
        <f>IF(tblMovement[[#This Row],[Is_Ore]]=1,tblMovement[[#This Row],[Contained_oz]],0)</f>
        <v/>
      </c>
    </row>
    <row r="2001">
      <c r="A2001" s="54" t="n"/>
      <c r="B2001" s="61" t="n"/>
      <c r="C2001" s="61" t="n"/>
      <c r="D2001" s="61" t="n"/>
      <c r="E2001" s="61" t="n"/>
      <c r="F2001" s="55" t="n"/>
      <c r="G2001" s="56" t="n"/>
      <c r="H2001" s="55" t="n"/>
      <c r="I2001" s="62" t="n"/>
      <c r="J2001" s="58" t="n"/>
      <c r="K2001" s="63">
        <f>IF(tblMovement[[#This Row],[Source]]="","",IFERROR(INDEX(tblSources[Type],MATCH(tblMovement[[#This Row],[Source]],tblSources[Source],0)),"?"))</f>
        <v/>
      </c>
      <c r="L2001" s="63">
        <f>IF(tblMovement[[#This Row],[Destination]]="","",IFERROR(INDEX(tblDestinations[Type],MATCH(tblMovement[[#This Row],[Destination]],tblDestinations[Destination],0)),"?"))</f>
        <v/>
      </c>
      <c r="M2001" s="64">
        <f>IF(tblMovement[[#This Row],[Material]]="","",IF(LEFT(tblMovement[[#This Row],[Material]],3)="Ore",1,0))</f>
        <v/>
      </c>
      <c r="N2001" s="59">
        <f>IF(OR(tblMovement[[#This Row],[Tonnes_t]]="",tblMovement[[#This Row],[Grade_gpt]]=""),0,tblMovement[[#This Row],[Tonnes_t]]*tblMovement[[#This Row],[Grade_gpt]]/cfg_TroyOz)</f>
        <v/>
      </c>
      <c r="O2001" s="59">
        <f>IF(tblMovement[[#This Row],[Is_Ore]]=1,tblMovement[[#This Row],[Contained_oz]],0)</f>
        <v/>
      </c>
    </row>
    <row r="2002">
      <c r="A2002" s="54" t="n"/>
      <c r="B2002" s="61" t="n"/>
      <c r="C2002" s="61" t="n"/>
      <c r="D2002" s="61" t="n"/>
      <c r="E2002" s="61" t="n"/>
      <c r="F2002" s="55" t="n"/>
      <c r="G2002" s="56" t="n"/>
      <c r="H2002" s="55" t="n"/>
      <c r="I2002" s="62" t="n"/>
      <c r="J2002" s="58" t="n"/>
      <c r="K2002" s="63">
        <f>IF(tblMovement[[#This Row],[Source]]="","",IFERROR(INDEX(tblSources[Type],MATCH(tblMovement[[#This Row],[Source]],tblSources[Source],0)),"?"))</f>
        <v/>
      </c>
      <c r="L2002" s="63">
        <f>IF(tblMovement[[#This Row],[Destination]]="","",IFERROR(INDEX(tblDestinations[Type],MATCH(tblMovement[[#This Row],[Destination]],tblDestinations[Destination],0)),"?"))</f>
        <v/>
      </c>
      <c r="M2002" s="64">
        <f>IF(tblMovement[[#This Row],[Material]]="","",IF(LEFT(tblMovement[[#This Row],[Material]],3)="Ore",1,0))</f>
        <v/>
      </c>
      <c r="N2002" s="59">
        <f>IF(OR(tblMovement[[#This Row],[Tonnes_t]]="",tblMovement[[#This Row],[Grade_gpt]]=""),0,tblMovement[[#This Row],[Tonnes_t]]*tblMovement[[#This Row],[Grade_gpt]]/cfg_TroyOz)</f>
        <v/>
      </c>
      <c r="O2002" s="59">
        <f>IF(tblMovement[[#This Row],[Is_Ore]]=1,tblMovement[[#This Row],[Contained_oz]],0)</f>
        <v/>
      </c>
    </row>
    <row r="2003">
      <c r="A2003" s="54" t="n"/>
      <c r="B2003" s="61" t="n"/>
      <c r="C2003" s="61" t="n"/>
      <c r="D2003" s="61" t="n"/>
      <c r="E2003" s="61" t="n"/>
      <c r="F2003" s="55" t="n"/>
      <c r="G2003" s="56" t="n"/>
      <c r="H2003" s="55" t="n"/>
      <c r="I2003" s="62" t="n"/>
      <c r="J2003" s="58" t="n"/>
      <c r="K2003" s="63">
        <f>IF(tblMovement[[#This Row],[Source]]="","",IFERROR(INDEX(tblSources[Type],MATCH(tblMovement[[#This Row],[Source]],tblSources[Source],0)),"?"))</f>
        <v/>
      </c>
      <c r="L2003" s="63">
        <f>IF(tblMovement[[#This Row],[Destination]]="","",IFERROR(INDEX(tblDestinations[Type],MATCH(tblMovement[[#This Row],[Destination]],tblDestinations[Destination],0)),"?"))</f>
        <v/>
      </c>
      <c r="M2003" s="64">
        <f>IF(tblMovement[[#This Row],[Material]]="","",IF(LEFT(tblMovement[[#This Row],[Material]],3)="Ore",1,0))</f>
        <v/>
      </c>
      <c r="N2003" s="59">
        <f>IF(OR(tblMovement[[#This Row],[Tonnes_t]]="",tblMovement[[#This Row],[Grade_gpt]]=""),0,tblMovement[[#This Row],[Tonnes_t]]*tblMovement[[#This Row],[Grade_gpt]]/cfg_TroyOz)</f>
        <v/>
      </c>
      <c r="O2003" s="59">
        <f>IF(tblMovement[[#This Row],[Is_Ore]]=1,tblMovement[[#This Row],[Contained_oz]],0)</f>
        <v/>
      </c>
    </row>
    <row r="2004">
      <c r="A2004" s="54" t="n"/>
      <c r="B2004" s="61" t="n"/>
      <c r="C2004" s="61" t="n"/>
      <c r="D2004" s="61" t="n"/>
      <c r="E2004" s="61" t="n"/>
      <c r="F2004" s="55" t="n"/>
      <c r="G2004" s="56" t="n"/>
      <c r="H2004" s="55" t="n"/>
      <c r="I2004" s="62" t="n"/>
      <c r="J2004" s="58" t="n"/>
      <c r="K2004" s="63">
        <f>IF(tblMovement[[#This Row],[Source]]="","",IFERROR(INDEX(tblSources[Type],MATCH(tblMovement[[#This Row],[Source]],tblSources[Source],0)),"?"))</f>
        <v/>
      </c>
      <c r="L2004" s="63">
        <f>IF(tblMovement[[#This Row],[Destination]]="","",IFERROR(INDEX(tblDestinations[Type],MATCH(tblMovement[[#This Row],[Destination]],tblDestinations[Destination],0)),"?"))</f>
        <v/>
      </c>
      <c r="M2004" s="64">
        <f>IF(tblMovement[[#This Row],[Material]]="","",IF(LEFT(tblMovement[[#This Row],[Material]],3)="Ore",1,0))</f>
        <v/>
      </c>
      <c r="N2004" s="59">
        <f>IF(OR(tblMovement[[#This Row],[Tonnes_t]]="",tblMovement[[#This Row],[Grade_gpt]]=""),0,tblMovement[[#This Row],[Tonnes_t]]*tblMovement[[#This Row],[Grade_gpt]]/cfg_TroyOz)</f>
        <v/>
      </c>
      <c r="O2004" s="59">
        <f>IF(tblMovement[[#This Row],[Is_Ore]]=1,tblMovement[[#This Row],[Contained_oz]],0)</f>
        <v/>
      </c>
    </row>
    <row r="2005">
      <c r="A2005" s="54" t="n"/>
      <c r="B2005" s="61" t="n"/>
      <c r="C2005" s="61" t="n"/>
      <c r="D2005" s="61" t="n"/>
      <c r="E2005" s="61" t="n"/>
      <c r="F2005" s="55" t="n"/>
      <c r="G2005" s="56" t="n"/>
      <c r="H2005" s="55" t="n"/>
      <c r="I2005" s="62" t="n"/>
      <c r="J2005" s="58" t="n"/>
      <c r="K2005" s="63">
        <f>IF(tblMovement[[#This Row],[Source]]="","",IFERROR(INDEX(tblSources[Type],MATCH(tblMovement[[#This Row],[Source]],tblSources[Source],0)),"?"))</f>
        <v/>
      </c>
      <c r="L2005" s="63">
        <f>IF(tblMovement[[#This Row],[Destination]]="","",IFERROR(INDEX(tblDestinations[Type],MATCH(tblMovement[[#This Row],[Destination]],tblDestinations[Destination],0)),"?"))</f>
        <v/>
      </c>
      <c r="M2005" s="64">
        <f>IF(tblMovement[[#This Row],[Material]]="","",IF(LEFT(tblMovement[[#This Row],[Material]],3)="Ore",1,0))</f>
        <v/>
      </c>
      <c r="N2005" s="59">
        <f>IF(OR(tblMovement[[#This Row],[Tonnes_t]]="",tblMovement[[#This Row],[Grade_gpt]]=""),0,tblMovement[[#This Row],[Tonnes_t]]*tblMovement[[#This Row],[Grade_gpt]]/cfg_TroyOz)</f>
        <v/>
      </c>
      <c r="O2005" s="59">
        <f>IF(tblMovement[[#This Row],[Is_Ore]]=1,tblMovement[[#This Row],[Contained_oz]],0)</f>
        <v/>
      </c>
    </row>
    <row r="2006">
      <c r="A2006" s="54" t="n"/>
      <c r="B2006" s="61" t="n"/>
      <c r="C2006" s="61" t="n"/>
      <c r="D2006" s="61" t="n"/>
      <c r="E2006" s="61" t="n"/>
      <c r="F2006" s="55" t="n"/>
      <c r="G2006" s="56" t="n"/>
      <c r="H2006" s="55" t="n"/>
      <c r="I2006" s="62" t="n"/>
      <c r="J2006" s="58" t="n"/>
      <c r="K2006" s="63">
        <f>IF(tblMovement[[#This Row],[Source]]="","",IFERROR(INDEX(tblSources[Type],MATCH(tblMovement[[#This Row],[Source]],tblSources[Source],0)),"?"))</f>
        <v/>
      </c>
      <c r="L2006" s="63">
        <f>IF(tblMovement[[#This Row],[Destination]]="","",IFERROR(INDEX(tblDestinations[Type],MATCH(tblMovement[[#This Row],[Destination]],tblDestinations[Destination],0)),"?"))</f>
        <v/>
      </c>
      <c r="M2006" s="64">
        <f>IF(tblMovement[[#This Row],[Material]]="","",IF(LEFT(tblMovement[[#This Row],[Material]],3)="Ore",1,0))</f>
        <v/>
      </c>
      <c r="N2006" s="59">
        <f>IF(OR(tblMovement[[#This Row],[Tonnes_t]]="",tblMovement[[#This Row],[Grade_gpt]]=""),0,tblMovement[[#This Row],[Tonnes_t]]*tblMovement[[#This Row],[Grade_gpt]]/cfg_TroyOz)</f>
        <v/>
      </c>
      <c r="O2006" s="59">
        <f>IF(tblMovement[[#This Row],[Is_Ore]]=1,tblMovement[[#This Row],[Contained_oz]],0)</f>
        <v/>
      </c>
    </row>
    <row r="2007">
      <c r="A2007" s="54" t="n"/>
      <c r="B2007" s="61" t="n"/>
      <c r="C2007" s="61" t="n"/>
      <c r="D2007" s="61" t="n"/>
      <c r="E2007" s="61" t="n"/>
      <c r="F2007" s="55" t="n"/>
      <c r="G2007" s="56" t="n"/>
      <c r="H2007" s="55" t="n"/>
      <c r="I2007" s="62" t="n"/>
      <c r="J2007" s="58" t="n"/>
      <c r="K2007" s="63">
        <f>IF(tblMovement[[#This Row],[Source]]="","",IFERROR(INDEX(tblSources[Type],MATCH(tblMovement[[#This Row],[Source]],tblSources[Source],0)),"?"))</f>
        <v/>
      </c>
      <c r="L2007" s="63">
        <f>IF(tblMovement[[#This Row],[Destination]]="","",IFERROR(INDEX(tblDestinations[Type],MATCH(tblMovement[[#This Row],[Destination]],tblDestinations[Destination],0)),"?"))</f>
        <v/>
      </c>
      <c r="M2007" s="64">
        <f>IF(tblMovement[[#This Row],[Material]]="","",IF(LEFT(tblMovement[[#This Row],[Material]],3)="Ore",1,0))</f>
        <v/>
      </c>
      <c r="N2007" s="59">
        <f>IF(OR(tblMovement[[#This Row],[Tonnes_t]]="",tblMovement[[#This Row],[Grade_gpt]]=""),0,tblMovement[[#This Row],[Tonnes_t]]*tblMovement[[#This Row],[Grade_gpt]]/cfg_TroyOz)</f>
        <v/>
      </c>
      <c r="O2007" s="59">
        <f>IF(tblMovement[[#This Row],[Is_Ore]]=1,tblMovement[[#This Row],[Contained_oz]],0)</f>
        <v/>
      </c>
    </row>
    <row r="2008">
      <c r="A2008" s="54" t="n"/>
      <c r="B2008" s="61" t="n"/>
      <c r="C2008" s="61" t="n"/>
      <c r="D2008" s="61" t="n"/>
      <c r="E2008" s="61" t="n"/>
      <c r="F2008" s="55" t="n"/>
      <c r="G2008" s="56" t="n"/>
      <c r="H2008" s="55" t="n"/>
      <c r="I2008" s="62" t="n"/>
      <c r="J2008" s="58" t="n"/>
      <c r="K2008" s="63">
        <f>IF(tblMovement[[#This Row],[Source]]="","",IFERROR(INDEX(tblSources[Type],MATCH(tblMovement[[#This Row],[Source]],tblSources[Source],0)),"?"))</f>
        <v/>
      </c>
      <c r="L2008" s="63">
        <f>IF(tblMovement[[#This Row],[Destination]]="","",IFERROR(INDEX(tblDestinations[Type],MATCH(tblMovement[[#This Row],[Destination]],tblDestinations[Destination],0)),"?"))</f>
        <v/>
      </c>
      <c r="M2008" s="64">
        <f>IF(tblMovement[[#This Row],[Material]]="","",IF(LEFT(tblMovement[[#This Row],[Material]],3)="Ore",1,0))</f>
        <v/>
      </c>
      <c r="N2008" s="59">
        <f>IF(OR(tblMovement[[#This Row],[Tonnes_t]]="",tblMovement[[#This Row],[Grade_gpt]]=""),0,tblMovement[[#This Row],[Tonnes_t]]*tblMovement[[#This Row],[Grade_gpt]]/cfg_TroyOz)</f>
        <v/>
      </c>
      <c r="O2008" s="59">
        <f>IF(tblMovement[[#This Row],[Is_Ore]]=1,tblMovement[[#This Row],[Contained_oz]],0)</f>
        <v/>
      </c>
    </row>
    <row r="2009">
      <c r="A2009" s="54" t="n"/>
      <c r="B2009" s="61" t="n"/>
      <c r="C2009" s="61" t="n"/>
      <c r="D2009" s="61" t="n"/>
      <c r="E2009" s="61" t="n"/>
      <c r="F2009" s="55" t="n"/>
      <c r="G2009" s="56" t="n"/>
      <c r="H2009" s="55" t="n"/>
      <c r="I2009" s="62" t="n"/>
      <c r="J2009" s="58" t="n"/>
      <c r="K2009" s="63">
        <f>IF(tblMovement[[#This Row],[Source]]="","",IFERROR(INDEX(tblSources[Type],MATCH(tblMovement[[#This Row],[Source]],tblSources[Source],0)),"?"))</f>
        <v/>
      </c>
      <c r="L2009" s="63">
        <f>IF(tblMovement[[#This Row],[Destination]]="","",IFERROR(INDEX(tblDestinations[Type],MATCH(tblMovement[[#This Row],[Destination]],tblDestinations[Destination],0)),"?"))</f>
        <v/>
      </c>
      <c r="M2009" s="64">
        <f>IF(tblMovement[[#This Row],[Material]]="","",IF(LEFT(tblMovement[[#This Row],[Material]],3)="Ore",1,0))</f>
        <v/>
      </c>
      <c r="N2009" s="59">
        <f>IF(OR(tblMovement[[#This Row],[Tonnes_t]]="",tblMovement[[#This Row],[Grade_gpt]]=""),0,tblMovement[[#This Row],[Tonnes_t]]*tblMovement[[#This Row],[Grade_gpt]]/cfg_TroyOz)</f>
        <v/>
      </c>
      <c r="O2009" s="59">
        <f>IF(tblMovement[[#This Row],[Is_Ore]]=1,tblMovement[[#This Row],[Contained_oz]],0)</f>
        <v/>
      </c>
    </row>
    <row r="2010">
      <c r="A2010" s="54" t="n"/>
      <c r="B2010" s="61" t="n"/>
      <c r="C2010" s="61" t="n"/>
      <c r="D2010" s="61" t="n"/>
      <c r="E2010" s="61" t="n"/>
      <c r="F2010" s="55" t="n"/>
      <c r="G2010" s="56" t="n"/>
      <c r="H2010" s="55" t="n"/>
      <c r="I2010" s="62" t="n"/>
      <c r="J2010" s="58" t="n"/>
      <c r="K2010" s="63">
        <f>IF(tblMovement[[#This Row],[Source]]="","",IFERROR(INDEX(tblSources[Type],MATCH(tblMovement[[#This Row],[Source]],tblSources[Source],0)),"?"))</f>
        <v/>
      </c>
      <c r="L2010" s="63">
        <f>IF(tblMovement[[#This Row],[Destination]]="","",IFERROR(INDEX(tblDestinations[Type],MATCH(tblMovement[[#This Row],[Destination]],tblDestinations[Destination],0)),"?"))</f>
        <v/>
      </c>
      <c r="M2010" s="64">
        <f>IF(tblMovement[[#This Row],[Material]]="","",IF(LEFT(tblMovement[[#This Row],[Material]],3)="Ore",1,0))</f>
        <v/>
      </c>
      <c r="N2010" s="59">
        <f>IF(OR(tblMovement[[#This Row],[Tonnes_t]]="",tblMovement[[#This Row],[Grade_gpt]]=""),0,tblMovement[[#This Row],[Tonnes_t]]*tblMovement[[#This Row],[Grade_gpt]]/cfg_TroyOz)</f>
        <v/>
      </c>
      <c r="O2010" s="59">
        <f>IF(tblMovement[[#This Row],[Is_Ore]]=1,tblMovement[[#This Row],[Contained_oz]],0)</f>
        <v/>
      </c>
    </row>
    <row r="2011">
      <c r="A2011" s="54" t="n"/>
      <c r="B2011" s="61" t="n"/>
      <c r="C2011" s="61" t="n"/>
      <c r="D2011" s="61" t="n"/>
      <c r="E2011" s="61" t="n"/>
      <c r="F2011" s="55" t="n"/>
      <c r="G2011" s="56" t="n"/>
      <c r="H2011" s="55" t="n"/>
      <c r="I2011" s="62" t="n"/>
      <c r="J2011" s="58" t="n"/>
      <c r="K2011" s="63">
        <f>IF(tblMovement[[#This Row],[Source]]="","",IFERROR(INDEX(tblSources[Type],MATCH(tblMovement[[#This Row],[Source]],tblSources[Source],0)),"?"))</f>
        <v/>
      </c>
      <c r="L2011" s="63">
        <f>IF(tblMovement[[#This Row],[Destination]]="","",IFERROR(INDEX(tblDestinations[Type],MATCH(tblMovement[[#This Row],[Destination]],tblDestinations[Destination],0)),"?"))</f>
        <v/>
      </c>
      <c r="M2011" s="64">
        <f>IF(tblMovement[[#This Row],[Material]]="","",IF(LEFT(tblMovement[[#This Row],[Material]],3)="Ore",1,0))</f>
        <v/>
      </c>
      <c r="N2011" s="59">
        <f>IF(OR(tblMovement[[#This Row],[Tonnes_t]]="",tblMovement[[#This Row],[Grade_gpt]]=""),0,tblMovement[[#This Row],[Tonnes_t]]*tblMovement[[#This Row],[Grade_gpt]]/cfg_TroyOz)</f>
        <v/>
      </c>
      <c r="O2011" s="59">
        <f>IF(tblMovement[[#This Row],[Is_Ore]]=1,tblMovement[[#This Row],[Contained_oz]],0)</f>
        <v/>
      </c>
    </row>
    <row r="2012">
      <c r="A2012" s="54" t="n"/>
      <c r="B2012" s="61" t="n"/>
      <c r="C2012" s="61" t="n"/>
      <c r="D2012" s="61" t="n"/>
      <c r="E2012" s="61" t="n"/>
      <c r="F2012" s="55" t="n"/>
      <c r="G2012" s="56" t="n"/>
      <c r="H2012" s="55" t="n"/>
      <c r="I2012" s="62" t="n"/>
      <c r="J2012" s="58" t="n"/>
      <c r="K2012" s="63">
        <f>IF(tblMovement[[#This Row],[Source]]="","",IFERROR(INDEX(tblSources[Type],MATCH(tblMovement[[#This Row],[Source]],tblSources[Source],0)),"?"))</f>
        <v/>
      </c>
      <c r="L2012" s="63">
        <f>IF(tblMovement[[#This Row],[Destination]]="","",IFERROR(INDEX(tblDestinations[Type],MATCH(tblMovement[[#This Row],[Destination]],tblDestinations[Destination],0)),"?"))</f>
        <v/>
      </c>
      <c r="M2012" s="64">
        <f>IF(tblMovement[[#This Row],[Material]]="","",IF(LEFT(tblMovement[[#This Row],[Material]],3)="Ore",1,0))</f>
        <v/>
      </c>
      <c r="N2012" s="59">
        <f>IF(OR(tblMovement[[#This Row],[Tonnes_t]]="",tblMovement[[#This Row],[Grade_gpt]]=""),0,tblMovement[[#This Row],[Tonnes_t]]*tblMovement[[#This Row],[Grade_gpt]]/cfg_TroyOz)</f>
        <v/>
      </c>
      <c r="O2012" s="59">
        <f>IF(tblMovement[[#This Row],[Is_Ore]]=1,tblMovement[[#This Row],[Contained_oz]],0)</f>
        <v/>
      </c>
    </row>
    <row r="2013">
      <c r="A2013" s="54" t="n"/>
      <c r="B2013" s="61" t="n"/>
      <c r="C2013" s="61" t="n"/>
      <c r="D2013" s="61" t="n"/>
      <c r="E2013" s="61" t="n"/>
      <c r="F2013" s="55" t="n"/>
      <c r="G2013" s="56" t="n"/>
      <c r="H2013" s="55" t="n"/>
      <c r="I2013" s="62" t="n"/>
      <c r="J2013" s="58" t="n"/>
      <c r="K2013" s="63">
        <f>IF(tblMovement[[#This Row],[Source]]="","",IFERROR(INDEX(tblSources[Type],MATCH(tblMovement[[#This Row],[Source]],tblSources[Source],0)),"?"))</f>
        <v/>
      </c>
      <c r="L2013" s="63">
        <f>IF(tblMovement[[#This Row],[Destination]]="","",IFERROR(INDEX(tblDestinations[Type],MATCH(tblMovement[[#This Row],[Destination]],tblDestinations[Destination],0)),"?"))</f>
        <v/>
      </c>
      <c r="M2013" s="64">
        <f>IF(tblMovement[[#This Row],[Material]]="","",IF(LEFT(tblMovement[[#This Row],[Material]],3)="Ore",1,0))</f>
        <v/>
      </c>
      <c r="N2013" s="59">
        <f>IF(OR(tblMovement[[#This Row],[Tonnes_t]]="",tblMovement[[#This Row],[Grade_gpt]]=""),0,tblMovement[[#This Row],[Tonnes_t]]*tblMovement[[#This Row],[Grade_gpt]]/cfg_TroyOz)</f>
        <v/>
      </c>
      <c r="O2013" s="59">
        <f>IF(tblMovement[[#This Row],[Is_Ore]]=1,tblMovement[[#This Row],[Contained_oz]],0)</f>
        <v/>
      </c>
    </row>
    <row r="2014">
      <c r="A2014" s="54" t="n"/>
      <c r="B2014" s="61" t="n"/>
      <c r="C2014" s="61" t="n"/>
      <c r="D2014" s="61" t="n"/>
      <c r="E2014" s="61" t="n"/>
      <c r="F2014" s="55" t="n"/>
      <c r="G2014" s="56" t="n"/>
      <c r="H2014" s="55" t="n"/>
      <c r="I2014" s="62" t="n"/>
      <c r="J2014" s="58" t="n"/>
      <c r="K2014" s="63">
        <f>IF(tblMovement[[#This Row],[Source]]="","",IFERROR(INDEX(tblSources[Type],MATCH(tblMovement[[#This Row],[Source]],tblSources[Source],0)),"?"))</f>
        <v/>
      </c>
      <c r="L2014" s="63">
        <f>IF(tblMovement[[#This Row],[Destination]]="","",IFERROR(INDEX(tblDestinations[Type],MATCH(tblMovement[[#This Row],[Destination]],tblDestinations[Destination],0)),"?"))</f>
        <v/>
      </c>
      <c r="M2014" s="64">
        <f>IF(tblMovement[[#This Row],[Material]]="","",IF(LEFT(tblMovement[[#This Row],[Material]],3)="Ore",1,0))</f>
        <v/>
      </c>
      <c r="N2014" s="59">
        <f>IF(OR(tblMovement[[#This Row],[Tonnes_t]]="",tblMovement[[#This Row],[Grade_gpt]]=""),0,tblMovement[[#This Row],[Tonnes_t]]*tblMovement[[#This Row],[Grade_gpt]]/cfg_TroyOz)</f>
        <v/>
      </c>
      <c r="O2014" s="59">
        <f>IF(tblMovement[[#This Row],[Is_Ore]]=1,tblMovement[[#This Row],[Contained_oz]],0)</f>
        <v/>
      </c>
    </row>
    <row r="2015">
      <c r="A2015" s="54" t="n"/>
      <c r="B2015" s="61" t="n"/>
      <c r="C2015" s="61" t="n"/>
      <c r="D2015" s="61" t="n"/>
      <c r="E2015" s="61" t="n"/>
      <c r="F2015" s="55" t="n"/>
      <c r="G2015" s="56" t="n"/>
      <c r="H2015" s="55" t="n"/>
      <c r="I2015" s="62" t="n"/>
      <c r="J2015" s="58" t="n"/>
      <c r="K2015" s="63">
        <f>IF(tblMovement[[#This Row],[Source]]="","",IFERROR(INDEX(tblSources[Type],MATCH(tblMovement[[#This Row],[Source]],tblSources[Source],0)),"?"))</f>
        <v/>
      </c>
      <c r="L2015" s="63">
        <f>IF(tblMovement[[#This Row],[Destination]]="","",IFERROR(INDEX(tblDestinations[Type],MATCH(tblMovement[[#This Row],[Destination]],tblDestinations[Destination],0)),"?"))</f>
        <v/>
      </c>
      <c r="M2015" s="64">
        <f>IF(tblMovement[[#This Row],[Material]]="","",IF(LEFT(tblMovement[[#This Row],[Material]],3)="Ore",1,0))</f>
        <v/>
      </c>
      <c r="N2015" s="59">
        <f>IF(OR(tblMovement[[#This Row],[Tonnes_t]]="",tblMovement[[#This Row],[Grade_gpt]]=""),0,tblMovement[[#This Row],[Tonnes_t]]*tblMovement[[#This Row],[Grade_gpt]]/cfg_TroyOz)</f>
        <v/>
      </c>
      <c r="O2015" s="59">
        <f>IF(tblMovement[[#This Row],[Is_Ore]]=1,tblMovement[[#This Row],[Contained_oz]],0)</f>
        <v/>
      </c>
    </row>
    <row r="2016">
      <c r="A2016" s="54" t="n"/>
      <c r="B2016" s="61" t="n"/>
      <c r="C2016" s="61" t="n"/>
      <c r="D2016" s="61" t="n"/>
      <c r="E2016" s="61" t="n"/>
      <c r="F2016" s="55" t="n"/>
      <c r="G2016" s="56" t="n"/>
      <c r="H2016" s="55" t="n"/>
      <c r="I2016" s="62" t="n"/>
      <c r="J2016" s="58" t="n"/>
      <c r="K2016" s="63">
        <f>IF(tblMovement[[#This Row],[Source]]="","",IFERROR(INDEX(tblSources[Type],MATCH(tblMovement[[#This Row],[Source]],tblSources[Source],0)),"?"))</f>
        <v/>
      </c>
      <c r="L2016" s="63">
        <f>IF(tblMovement[[#This Row],[Destination]]="","",IFERROR(INDEX(tblDestinations[Type],MATCH(tblMovement[[#This Row],[Destination]],tblDestinations[Destination],0)),"?"))</f>
        <v/>
      </c>
      <c r="M2016" s="64">
        <f>IF(tblMovement[[#This Row],[Material]]="","",IF(LEFT(tblMovement[[#This Row],[Material]],3)="Ore",1,0))</f>
        <v/>
      </c>
      <c r="N2016" s="59">
        <f>IF(OR(tblMovement[[#This Row],[Tonnes_t]]="",tblMovement[[#This Row],[Grade_gpt]]=""),0,tblMovement[[#This Row],[Tonnes_t]]*tblMovement[[#This Row],[Grade_gpt]]/cfg_TroyOz)</f>
        <v/>
      </c>
      <c r="O2016" s="59">
        <f>IF(tblMovement[[#This Row],[Is_Ore]]=1,tblMovement[[#This Row],[Contained_oz]],0)</f>
        <v/>
      </c>
    </row>
    <row r="2017">
      <c r="A2017" s="54" t="n"/>
      <c r="B2017" s="61" t="n"/>
      <c r="C2017" s="61" t="n"/>
      <c r="D2017" s="61" t="n"/>
      <c r="E2017" s="61" t="n"/>
      <c r="F2017" s="55" t="n"/>
      <c r="G2017" s="56" t="n"/>
      <c r="H2017" s="55" t="n"/>
      <c r="I2017" s="62" t="n"/>
      <c r="J2017" s="58" t="n"/>
      <c r="K2017" s="63">
        <f>IF(tblMovement[[#This Row],[Source]]="","",IFERROR(INDEX(tblSources[Type],MATCH(tblMovement[[#This Row],[Source]],tblSources[Source],0)),"?"))</f>
        <v/>
      </c>
      <c r="L2017" s="63">
        <f>IF(tblMovement[[#This Row],[Destination]]="","",IFERROR(INDEX(tblDestinations[Type],MATCH(tblMovement[[#This Row],[Destination]],tblDestinations[Destination],0)),"?"))</f>
        <v/>
      </c>
      <c r="M2017" s="64">
        <f>IF(tblMovement[[#This Row],[Material]]="","",IF(LEFT(tblMovement[[#This Row],[Material]],3)="Ore",1,0))</f>
        <v/>
      </c>
      <c r="N2017" s="59">
        <f>IF(OR(tblMovement[[#This Row],[Tonnes_t]]="",tblMovement[[#This Row],[Grade_gpt]]=""),0,tblMovement[[#This Row],[Tonnes_t]]*tblMovement[[#This Row],[Grade_gpt]]/cfg_TroyOz)</f>
        <v/>
      </c>
      <c r="O2017" s="59">
        <f>IF(tblMovement[[#This Row],[Is_Ore]]=1,tblMovement[[#This Row],[Contained_oz]],0)</f>
        <v/>
      </c>
    </row>
    <row r="2018">
      <c r="A2018" s="54" t="n"/>
      <c r="B2018" s="61" t="n"/>
      <c r="C2018" s="61" t="n"/>
      <c r="D2018" s="61" t="n"/>
      <c r="E2018" s="61" t="n"/>
      <c r="F2018" s="55" t="n"/>
      <c r="G2018" s="56" t="n"/>
      <c r="H2018" s="55" t="n"/>
      <c r="I2018" s="62" t="n"/>
      <c r="J2018" s="58" t="n"/>
      <c r="K2018" s="63">
        <f>IF(tblMovement[[#This Row],[Source]]="","",IFERROR(INDEX(tblSources[Type],MATCH(tblMovement[[#This Row],[Source]],tblSources[Source],0)),"?"))</f>
        <v/>
      </c>
      <c r="L2018" s="63">
        <f>IF(tblMovement[[#This Row],[Destination]]="","",IFERROR(INDEX(tblDestinations[Type],MATCH(tblMovement[[#This Row],[Destination]],tblDestinations[Destination],0)),"?"))</f>
        <v/>
      </c>
      <c r="M2018" s="64">
        <f>IF(tblMovement[[#This Row],[Material]]="","",IF(LEFT(tblMovement[[#This Row],[Material]],3)="Ore",1,0))</f>
        <v/>
      </c>
      <c r="N2018" s="59">
        <f>IF(OR(tblMovement[[#This Row],[Tonnes_t]]="",tblMovement[[#This Row],[Grade_gpt]]=""),0,tblMovement[[#This Row],[Tonnes_t]]*tblMovement[[#This Row],[Grade_gpt]]/cfg_TroyOz)</f>
        <v/>
      </c>
      <c r="O2018" s="59">
        <f>IF(tblMovement[[#This Row],[Is_Ore]]=1,tblMovement[[#This Row],[Contained_oz]],0)</f>
        <v/>
      </c>
    </row>
    <row r="2019">
      <c r="A2019" s="54" t="n"/>
      <c r="B2019" s="61" t="n"/>
      <c r="C2019" s="61" t="n"/>
      <c r="D2019" s="61" t="n"/>
      <c r="E2019" s="61" t="n"/>
      <c r="F2019" s="55" t="n"/>
      <c r="G2019" s="56" t="n"/>
      <c r="H2019" s="55" t="n"/>
      <c r="I2019" s="62" t="n"/>
      <c r="J2019" s="58" t="n"/>
      <c r="K2019" s="63">
        <f>IF(tblMovement[[#This Row],[Source]]="","",IFERROR(INDEX(tblSources[Type],MATCH(tblMovement[[#This Row],[Source]],tblSources[Source],0)),"?"))</f>
        <v/>
      </c>
      <c r="L2019" s="63">
        <f>IF(tblMovement[[#This Row],[Destination]]="","",IFERROR(INDEX(tblDestinations[Type],MATCH(tblMovement[[#This Row],[Destination]],tblDestinations[Destination],0)),"?"))</f>
        <v/>
      </c>
      <c r="M2019" s="64">
        <f>IF(tblMovement[[#This Row],[Material]]="","",IF(LEFT(tblMovement[[#This Row],[Material]],3)="Ore",1,0))</f>
        <v/>
      </c>
      <c r="N2019" s="59">
        <f>IF(OR(tblMovement[[#This Row],[Tonnes_t]]="",tblMovement[[#This Row],[Grade_gpt]]=""),0,tblMovement[[#This Row],[Tonnes_t]]*tblMovement[[#This Row],[Grade_gpt]]/cfg_TroyOz)</f>
        <v/>
      </c>
      <c r="O2019" s="59">
        <f>IF(tblMovement[[#This Row],[Is_Ore]]=1,tblMovement[[#This Row],[Contained_oz]],0)</f>
        <v/>
      </c>
    </row>
    <row r="2020">
      <c r="A2020" s="54" t="n"/>
      <c r="B2020" s="61" t="n"/>
      <c r="C2020" s="61" t="n"/>
      <c r="D2020" s="61" t="n"/>
      <c r="E2020" s="61" t="n"/>
      <c r="F2020" s="55" t="n"/>
      <c r="G2020" s="56" t="n"/>
      <c r="H2020" s="55" t="n"/>
      <c r="I2020" s="62" t="n"/>
      <c r="J2020" s="58" t="n"/>
      <c r="K2020" s="63">
        <f>IF(tblMovement[[#This Row],[Source]]="","",IFERROR(INDEX(tblSources[Type],MATCH(tblMovement[[#This Row],[Source]],tblSources[Source],0)),"?"))</f>
        <v/>
      </c>
      <c r="L2020" s="63">
        <f>IF(tblMovement[[#This Row],[Destination]]="","",IFERROR(INDEX(tblDestinations[Type],MATCH(tblMovement[[#This Row],[Destination]],tblDestinations[Destination],0)),"?"))</f>
        <v/>
      </c>
      <c r="M2020" s="64">
        <f>IF(tblMovement[[#This Row],[Material]]="","",IF(LEFT(tblMovement[[#This Row],[Material]],3)="Ore",1,0))</f>
        <v/>
      </c>
      <c r="N2020" s="59">
        <f>IF(OR(tblMovement[[#This Row],[Tonnes_t]]="",tblMovement[[#This Row],[Grade_gpt]]=""),0,tblMovement[[#This Row],[Tonnes_t]]*tblMovement[[#This Row],[Grade_gpt]]/cfg_TroyOz)</f>
        <v/>
      </c>
      <c r="O2020" s="59">
        <f>IF(tblMovement[[#This Row],[Is_Ore]]=1,tblMovement[[#This Row],[Contained_oz]],0)</f>
        <v/>
      </c>
    </row>
    <row r="2021">
      <c r="A2021" s="54" t="n"/>
      <c r="B2021" s="61" t="n"/>
      <c r="C2021" s="61" t="n"/>
      <c r="D2021" s="61" t="n"/>
      <c r="E2021" s="61" t="n"/>
      <c r="F2021" s="55" t="n"/>
      <c r="G2021" s="56" t="n"/>
      <c r="H2021" s="55" t="n"/>
      <c r="I2021" s="62" t="n"/>
      <c r="J2021" s="58" t="n"/>
      <c r="K2021" s="63">
        <f>IF(tblMovement[[#This Row],[Source]]="","",IFERROR(INDEX(tblSources[Type],MATCH(tblMovement[[#This Row],[Source]],tblSources[Source],0)),"?"))</f>
        <v/>
      </c>
      <c r="L2021" s="63">
        <f>IF(tblMovement[[#This Row],[Destination]]="","",IFERROR(INDEX(tblDestinations[Type],MATCH(tblMovement[[#This Row],[Destination]],tblDestinations[Destination],0)),"?"))</f>
        <v/>
      </c>
      <c r="M2021" s="64">
        <f>IF(tblMovement[[#This Row],[Material]]="","",IF(LEFT(tblMovement[[#This Row],[Material]],3)="Ore",1,0))</f>
        <v/>
      </c>
      <c r="N2021" s="59">
        <f>IF(OR(tblMovement[[#This Row],[Tonnes_t]]="",tblMovement[[#This Row],[Grade_gpt]]=""),0,tblMovement[[#This Row],[Tonnes_t]]*tblMovement[[#This Row],[Grade_gpt]]/cfg_TroyOz)</f>
        <v/>
      </c>
      <c r="O2021" s="59">
        <f>IF(tblMovement[[#This Row],[Is_Ore]]=1,tblMovement[[#This Row],[Contained_oz]],0)</f>
        <v/>
      </c>
    </row>
    <row r="2022">
      <c r="A2022" s="54" t="n"/>
      <c r="B2022" s="61" t="n"/>
      <c r="C2022" s="61" t="n"/>
      <c r="D2022" s="61" t="n"/>
      <c r="E2022" s="61" t="n"/>
      <c r="F2022" s="55" t="n"/>
      <c r="G2022" s="56" t="n"/>
      <c r="H2022" s="55" t="n"/>
      <c r="I2022" s="62" t="n"/>
      <c r="J2022" s="58" t="n"/>
      <c r="K2022" s="63">
        <f>IF(tblMovement[[#This Row],[Source]]="","",IFERROR(INDEX(tblSources[Type],MATCH(tblMovement[[#This Row],[Source]],tblSources[Source],0)),"?"))</f>
        <v/>
      </c>
      <c r="L2022" s="63">
        <f>IF(tblMovement[[#This Row],[Destination]]="","",IFERROR(INDEX(tblDestinations[Type],MATCH(tblMovement[[#This Row],[Destination]],tblDestinations[Destination],0)),"?"))</f>
        <v/>
      </c>
      <c r="M2022" s="64">
        <f>IF(tblMovement[[#This Row],[Material]]="","",IF(LEFT(tblMovement[[#This Row],[Material]],3)="Ore",1,0))</f>
        <v/>
      </c>
      <c r="N2022" s="59">
        <f>IF(OR(tblMovement[[#This Row],[Tonnes_t]]="",tblMovement[[#This Row],[Grade_gpt]]=""),0,tblMovement[[#This Row],[Tonnes_t]]*tblMovement[[#This Row],[Grade_gpt]]/cfg_TroyOz)</f>
        <v/>
      </c>
      <c r="O2022" s="59">
        <f>IF(tblMovement[[#This Row],[Is_Ore]]=1,tblMovement[[#This Row],[Contained_oz]],0)</f>
        <v/>
      </c>
    </row>
    <row r="2023">
      <c r="A2023" s="54" t="n"/>
      <c r="B2023" s="61" t="n"/>
      <c r="C2023" s="61" t="n"/>
      <c r="D2023" s="61" t="n"/>
      <c r="E2023" s="61" t="n"/>
      <c r="F2023" s="55" t="n"/>
      <c r="G2023" s="56" t="n"/>
      <c r="H2023" s="55" t="n"/>
      <c r="I2023" s="62" t="n"/>
      <c r="J2023" s="58" t="n"/>
      <c r="K2023" s="63">
        <f>IF(tblMovement[[#This Row],[Source]]="","",IFERROR(INDEX(tblSources[Type],MATCH(tblMovement[[#This Row],[Source]],tblSources[Source],0)),"?"))</f>
        <v/>
      </c>
      <c r="L2023" s="63">
        <f>IF(tblMovement[[#This Row],[Destination]]="","",IFERROR(INDEX(tblDestinations[Type],MATCH(tblMovement[[#This Row],[Destination]],tblDestinations[Destination],0)),"?"))</f>
        <v/>
      </c>
      <c r="M2023" s="64">
        <f>IF(tblMovement[[#This Row],[Material]]="","",IF(LEFT(tblMovement[[#This Row],[Material]],3)="Ore",1,0))</f>
        <v/>
      </c>
      <c r="N2023" s="59">
        <f>IF(OR(tblMovement[[#This Row],[Tonnes_t]]="",tblMovement[[#This Row],[Grade_gpt]]=""),0,tblMovement[[#This Row],[Tonnes_t]]*tblMovement[[#This Row],[Grade_gpt]]/cfg_TroyOz)</f>
        <v/>
      </c>
      <c r="O2023" s="59">
        <f>IF(tblMovement[[#This Row],[Is_Ore]]=1,tblMovement[[#This Row],[Contained_oz]],0)</f>
        <v/>
      </c>
    </row>
    <row r="2024">
      <c r="A2024" s="54" t="n"/>
      <c r="B2024" s="61" t="n"/>
      <c r="C2024" s="61" t="n"/>
      <c r="D2024" s="61" t="n"/>
      <c r="E2024" s="61" t="n"/>
      <c r="F2024" s="55" t="n"/>
      <c r="G2024" s="56" t="n"/>
      <c r="H2024" s="55" t="n"/>
      <c r="I2024" s="62" t="n"/>
      <c r="J2024" s="58" t="n"/>
      <c r="K2024" s="63">
        <f>IF(tblMovement[[#This Row],[Source]]="","",IFERROR(INDEX(tblSources[Type],MATCH(tblMovement[[#This Row],[Source]],tblSources[Source],0)),"?"))</f>
        <v/>
      </c>
      <c r="L2024" s="63">
        <f>IF(tblMovement[[#This Row],[Destination]]="","",IFERROR(INDEX(tblDestinations[Type],MATCH(tblMovement[[#This Row],[Destination]],tblDestinations[Destination],0)),"?"))</f>
        <v/>
      </c>
      <c r="M2024" s="64">
        <f>IF(tblMovement[[#This Row],[Material]]="","",IF(LEFT(tblMovement[[#This Row],[Material]],3)="Ore",1,0))</f>
        <v/>
      </c>
      <c r="N2024" s="59">
        <f>IF(OR(tblMovement[[#This Row],[Tonnes_t]]="",tblMovement[[#This Row],[Grade_gpt]]=""),0,tblMovement[[#This Row],[Tonnes_t]]*tblMovement[[#This Row],[Grade_gpt]]/cfg_TroyOz)</f>
        <v/>
      </c>
      <c r="O2024" s="59">
        <f>IF(tblMovement[[#This Row],[Is_Ore]]=1,tblMovement[[#This Row],[Contained_oz]],0)</f>
        <v/>
      </c>
    </row>
    <row r="2025">
      <c r="A2025" s="54" t="n"/>
      <c r="B2025" s="61" t="n"/>
      <c r="C2025" s="61" t="n"/>
      <c r="D2025" s="61" t="n"/>
      <c r="E2025" s="61" t="n"/>
      <c r="F2025" s="55" t="n"/>
      <c r="G2025" s="56" t="n"/>
      <c r="H2025" s="55" t="n"/>
      <c r="I2025" s="62" t="n"/>
      <c r="J2025" s="58" t="n"/>
      <c r="K2025" s="63">
        <f>IF(tblMovement[[#This Row],[Source]]="","",IFERROR(INDEX(tblSources[Type],MATCH(tblMovement[[#This Row],[Source]],tblSources[Source],0)),"?"))</f>
        <v/>
      </c>
      <c r="L2025" s="63">
        <f>IF(tblMovement[[#This Row],[Destination]]="","",IFERROR(INDEX(tblDestinations[Type],MATCH(tblMovement[[#This Row],[Destination]],tblDestinations[Destination],0)),"?"))</f>
        <v/>
      </c>
      <c r="M2025" s="64">
        <f>IF(tblMovement[[#This Row],[Material]]="","",IF(LEFT(tblMovement[[#This Row],[Material]],3)="Ore",1,0))</f>
        <v/>
      </c>
      <c r="N2025" s="59">
        <f>IF(OR(tblMovement[[#This Row],[Tonnes_t]]="",tblMovement[[#This Row],[Grade_gpt]]=""),0,tblMovement[[#This Row],[Tonnes_t]]*tblMovement[[#This Row],[Grade_gpt]]/cfg_TroyOz)</f>
        <v/>
      </c>
      <c r="O2025" s="59">
        <f>IF(tblMovement[[#This Row],[Is_Ore]]=1,tblMovement[[#This Row],[Contained_oz]],0)</f>
        <v/>
      </c>
    </row>
    <row r="2026">
      <c r="A2026" s="54" t="n"/>
      <c r="B2026" s="61" t="n"/>
      <c r="C2026" s="61" t="n"/>
      <c r="D2026" s="61" t="n"/>
      <c r="E2026" s="61" t="n"/>
      <c r="F2026" s="55" t="n"/>
      <c r="G2026" s="56" t="n"/>
      <c r="H2026" s="55" t="n"/>
      <c r="I2026" s="62" t="n"/>
      <c r="J2026" s="58" t="n"/>
      <c r="K2026" s="63">
        <f>IF(tblMovement[[#This Row],[Source]]="","",IFERROR(INDEX(tblSources[Type],MATCH(tblMovement[[#This Row],[Source]],tblSources[Source],0)),"?"))</f>
        <v/>
      </c>
      <c r="L2026" s="63">
        <f>IF(tblMovement[[#This Row],[Destination]]="","",IFERROR(INDEX(tblDestinations[Type],MATCH(tblMovement[[#This Row],[Destination]],tblDestinations[Destination],0)),"?"))</f>
        <v/>
      </c>
      <c r="M2026" s="64">
        <f>IF(tblMovement[[#This Row],[Material]]="","",IF(LEFT(tblMovement[[#This Row],[Material]],3)="Ore",1,0))</f>
        <v/>
      </c>
      <c r="N2026" s="59">
        <f>IF(OR(tblMovement[[#This Row],[Tonnes_t]]="",tblMovement[[#This Row],[Grade_gpt]]=""),0,tblMovement[[#This Row],[Tonnes_t]]*tblMovement[[#This Row],[Grade_gpt]]/cfg_TroyOz)</f>
        <v/>
      </c>
      <c r="O2026" s="59">
        <f>IF(tblMovement[[#This Row],[Is_Ore]]=1,tblMovement[[#This Row],[Contained_oz]],0)</f>
        <v/>
      </c>
    </row>
    <row r="2027">
      <c r="A2027" s="54" t="n"/>
      <c r="B2027" s="61" t="n"/>
      <c r="C2027" s="61" t="n"/>
      <c r="D2027" s="61" t="n"/>
      <c r="E2027" s="61" t="n"/>
      <c r="F2027" s="55" t="n"/>
      <c r="G2027" s="56" t="n"/>
      <c r="H2027" s="55" t="n"/>
      <c r="I2027" s="62" t="n"/>
      <c r="J2027" s="58" t="n"/>
      <c r="K2027" s="63">
        <f>IF(tblMovement[[#This Row],[Source]]="","",IFERROR(INDEX(tblSources[Type],MATCH(tblMovement[[#This Row],[Source]],tblSources[Source],0)),"?"))</f>
        <v/>
      </c>
      <c r="L2027" s="63">
        <f>IF(tblMovement[[#This Row],[Destination]]="","",IFERROR(INDEX(tblDestinations[Type],MATCH(tblMovement[[#This Row],[Destination]],tblDestinations[Destination],0)),"?"))</f>
        <v/>
      </c>
      <c r="M2027" s="64">
        <f>IF(tblMovement[[#This Row],[Material]]="","",IF(LEFT(tblMovement[[#This Row],[Material]],3)="Ore",1,0))</f>
        <v/>
      </c>
      <c r="N2027" s="59">
        <f>IF(OR(tblMovement[[#This Row],[Tonnes_t]]="",tblMovement[[#This Row],[Grade_gpt]]=""),0,tblMovement[[#This Row],[Tonnes_t]]*tblMovement[[#This Row],[Grade_gpt]]/cfg_TroyOz)</f>
        <v/>
      </c>
      <c r="O2027" s="59">
        <f>IF(tblMovement[[#This Row],[Is_Ore]]=1,tblMovement[[#This Row],[Contained_oz]],0)</f>
        <v/>
      </c>
    </row>
    <row r="2028">
      <c r="A2028" s="54" t="n"/>
      <c r="B2028" s="61" t="n"/>
      <c r="C2028" s="61" t="n"/>
      <c r="D2028" s="61" t="n"/>
      <c r="E2028" s="61" t="n"/>
      <c r="F2028" s="55" t="n"/>
      <c r="G2028" s="56" t="n"/>
      <c r="H2028" s="55" t="n"/>
      <c r="I2028" s="62" t="n"/>
      <c r="J2028" s="58" t="n"/>
      <c r="K2028" s="63">
        <f>IF(tblMovement[[#This Row],[Source]]="","",IFERROR(INDEX(tblSources[Type],MATCH(tblMovement[[#This Row],[Source]],tblSources[Source],0)),"?"))</f>
        <v/>
      </c>
      <c r="L2028" s="63">
        <f>IF(tblMovement[[#This Row],[Destination]]="","",IFERROR(INDEX(tblDestinations[Type],MATCH(tblMovement[[#This Row],[Destination]],tblDestinations[Destination],0)),"?"))</f>
        <v/>
      </c>
      <c r="M2028" s="64">
        <f>IF(tblMovement[[#This Row],[Material]]="","",IF(LEFT(tblMovement[[#This Row],[Material]],3)="Ore",1,0))</f>
        <v/>
      </c>
      <c r="N2028" s="59">
        <f>IF(OR(tblMovement[[#This Row],[Tonnes_t]]="",tblMovement[[#This Row],[Grade_gpt]]=""),0,tblMovement[[#This Row],[Tonnes_t]]*tblMovement[[#This Row],[Grade_gpt]]/cfg_TroyOz)</f>
        <v/>
      </c>
      <c r="O2028" s="59">
        <f>IF(tblMovement[[#This Row],[Is_Ore]]=1,tblMovement[[#This Row],[Contained_oz]],0)</f>
        <v/>
      </c>
    </row>
    <row r="2029">
      <c r="A2029" s="54" t="n"/>
      <c r="B2029" s="61" t="n"/>
      <c r="C2029" s="61" t="n"/>
      <c r="D2029" s="61" t="n"/>
      <c r="E2029" s="61" t="n"/>
      <c r="F2029" s="55" t="n"/>
      <c r="G2029" s="56" t="n"/>
      <c r="H2029" s="55" t="n"/>
      <c r="I2029" s="62" t="n"/>
      <c r="J2029" s="58" t="n"/>
      <c r="K2029" s="63">
        <f>IF(tblMovement[[#This Row],[Source]]="","",IFERROR(INDEX(tblSources[Type],MATCH(tblMovement[[#This Row],[Source]],tblSources[Source],0)),"?"))</f>
        <v/>
      </c>
      <c r="L2029" s="63">
        <f>IF(tblMovement[[#This Row],[Destination]]="","",IFERROR(INDEX(tblDestinations[Type],MATCH(tblMovement[[#This Row],[Destination]],tblDestinations[Destination],0)),"?"))</f>
        <v/>
      </c>
      <c r="M2029" s="64">
        <f>IF(tblMovement[[#This Row],[Material]]="","",IF(LEFT(tblMovement[[#This Row],[Material]],3)="Ore",1,0))</f>
        <v/>
      </c>
      <c r="N2029" s="59">
        <f>IF(OR(tblMovement[[#This Row],[Tonnes_t]]="",tblMovement[[#This Row],[Grade_gpt]]=""),0,tblMovement[[#This Row],[Tonnes_t]]*tblMovement[[#This Row],[Grade_gpt]]/cfg_TroyOz)</f>
        <v/>
      </c>
      <c r="O2029" s="59">
        <f>IF(tblMovement[[#This Row],[Is_Ore]]=1,tblMovement[[#This Row],[Contained_oz]],0)</f>
        <v/>
      </c>
    </row>
    <row r="2030">
      <c r="A2030" s="54" t="n"/>
      <c r="B2030" s="61" t="n"/>
      <c r="C2030" s="61" t="n"/>
      <c r="D2030" s="61" t="n"/>
      <c r="E2030" s="61" t="n"/>
      <c r="F2030" s="55" t="n"/>
      <c r="G2030" s="56" t="n"/>
      <c r="H2030" s="55" t="n"/>
      <c r="I2030" s="62" t="n"/>
      <c r="J2030" s="58" t="n"/>
      <c r="K2030" s="63">
        <f>IF(tblMovement[[#This Row],[Source]]="","",IFERROR(INDEX(tblSources[Type],MATCH(tblMovement[[#This Row],[Source]],tblSources[Source],0)),"?"))</f>
        <v/>
      </c>
      <c r="L2030" s="63">
        <f>IF(tblMovement[[#This Row],[Destination]]="","",IFERROR(INDEX(tblDestinations[Type],MATCH(tblMovement[[#This Row],[Destination]],tblDestinations[Destination],0)),"?"))</f>
        <v/>
      </c>
      <c r="M2030" s="64">
        <f>IF(tblMovement[[#This Row],[Material]]="","",IF(LEFT(tblMovement[[#This Row],[Material]],3)="Ore",1,0))</f>
        <v/>
      </c>
      <c r="N2030" s="59">
        <f>IF(OR(tblMovement[[#This Row],[Tonnes_t]]="",tblMovement[[#This Row],[Grade_gpt]]=""),0,tblMovement[[#This Row],[Tonnes_t]]*tblMovement[[#This Row],[Grade_gpt]]/cfg_TroyOz)</f>
        <v/>
      </c>
      <c r="O2030" s="59">
        <f>IF(tblMovement[[#This Row],[Is_Ore]]=1,tblMovement[[#This Row],[Contained_oz]],0)</f>
        <v/>
      </c>
    </row>
    <row r="2031">
      <c r="A2031" s="54" t="n"/>
      <c r="B2031" s="61" t="n"/>
      <c r="C2031" s="61" t="n"/>
      <c r="D2031" s="61" t="n"/>
      <c r="E2031" s="61" t="n"/>
      <c r="F2031" s="55" t="n"/>
      <c r="G2031" s="56" t="n"/>
      <c r="H2031" s="55" t="n"/>
      <c r="I2031" s="62" t="n"/>
      <c r="J2031" s="58" t="n"/>
      <c r="K2031" s="63">
        <f>IF(tblMovement[[#This Row],[Source]]="","",IFERROR(INDEX(tblSources[Type],MATCH(tblMovement[[#This Row],[Source]],tblSources[Source],0)),"?"))</f>
        <v/>
      </c>
      <c r="L2031" s="63">
        <f>IF(tblMovement[[#This Row],[Destination]]="","",IFERROR(INDEX(tblDestinations[Type],MATCH(tblMovement[[#This Row],[Destination]],tblDestinations[Destination],0)),"?"))</f>
        <v/>
      </c>
      <c r="M2031" s="64">
        <f>IF(tblMovement[[#This Row],[Material]]="","",IF(LEFT(tblMovement[[#This Row],[Material]],3)="Ore",1,0))</f>
        <v/>
      </c>
      <c r="N2031" s="59">
        <f>IF(OR(tblMovement[[#This Row],[Tonnes_t]]="",tblMovement[[#This Row],[Grade_gpt]]=""),0,tblMovement[[#This Row],[Tonnes_t]]*tblMovement[[#This Row],[Grade_gpt]]/cfg_TroyOz)</f>
        <v/>
      </c>
      <c r="O2031" s="59">
        <f>IF(tblMovement[[#This Row],[Is_Ore]]=1,tblMovement[[#This Row],[Contained_oz]],0)</f>
        <v/>
      </c>
    </row>
    <row r="2032">
      <c r="A2032" s="54" t="n"/>
      <c r="B2032" s="61" t="n"/>
      <c r="C2032" s="61" t="n"/>
      <c r="D2032" s="61" t="n"/>
      <c r="E2032" s="61" t="n"/>
      <c r="F2032" s="55" t="n"/>
      <c r="G2032" s="56" t="n"/>
      <c r="H2032" s="55" t="n"/>
      <c r="I2032" s="62" t="n"/>
      <c r="J2032" s="58" t="n"/>
      <c r="K2032" s="63">
        <f>IF(tblMovement[[#This Row],[Source]]="","",IFERROR(INDEX(tblSources[Type],MATCH(tblMovement[[#This Row],[Source]],tblSources[Source],0)),"?"))</f>
        <v/>
      </c>
      <c r="L2032" s="63">
        <f>IF(tblMovement[[#This Row],[Destination]]="","",IFERROR(INDEX(tblDestinations[Type],MATCH(tblMovement[[#This Row],[Destination]],tblDestinations[Destination],0)),"?"))</f>
        <v/>
      </c>
      <c r="M2032" s="64">
        <f>IF(tblMovement[[#This Row],[Material]]="","",IF(LEFT(tblMovement[[#This Row],[Material]],3)="Ore",1,0))</f>
        <v/>
      </c>
      <c r="N2032" s="59">
        <f>IF(OR(tblMovement[[#This Row],[Tonnes_t]]="",tblMovement[[#This Row],[Grade_gpt]]=""),0,tblMovement[[#This Row],[Tonnes_t]]*tblMovement[[#This Row],[Grade_gpt]]/cfg_TroyOz)</f>
        <v/>
      </c>
      <c r="O2032" s="59">
        <f>IF(tblMovement[[#This Row],[Is_Ore]]=1,tblMovement[[#This Row],[Contained_oz]],0)</f>
        <v/>
      </c>
    </row>
    <row r="2033">
      <c r="A2033" s="54" t="n"/>
      <c r="B2033" s="61" t="n"/>
      <c r="C2033" s="61" t="n"/>
      <c r="D2033" s="61" t="n"/>
      <c r="E2033" s="61" t="n"/>
      <c r="F2033" s="55" t="n"/>
      <c r="G2033" s="56" t="n"/>
      <c r="H2033" s="55" t="n"/>
      <c r="I2033" s="62" t="n"/>
      <c r="J2033" s="58" t="n"/>
      <c r="K2033" s="63">
        <f>IF(tblMovement[[#This Row],[Source]]="","",IFERROR(INDEX(tblSources[Type],MATCH(tblMovement[[#This Row],[Source]],tblSources[Source],0)),"?"))</f>
        <v/>
      </c>
      <c r="L2033" s="63">
        <f>IF(tblMovement[[#This Row],[Destination]]="","",IFERROR(INDEX(tblDestinations[Type],MATCH(tblMovement[[#This Row],[Destination]],tblDestinations[Destination],0)),"?"))</f>
        <v/>
      </c>
      <c r="M2033" s="64">
        <f>IF(tblMovement[[#This Row],[Material]]="","",IF(LEFT(tblMovement[[#This Row],[Material]],3)="Ore",1,0))</f>
        <v/>
      </c>
      <c r="N2033" s="59">
        <f>IF(OR(tblMovement[[#This Row],[Tonnes_t]]="",tblMovement[[#This Row],[Grade_gpt]]=""),0,tblMovement[[#This Row],[Tonnes_t]]*tblMovement[[#This Row],[Grade_gpt]]/cfg_TroyOz)</f>
        <v/>
      </c>
      <c r="O2033" s="59">
        <f>IF(tblMovement[[#This Row],[Is_Ore]]=1,tblMovement[[#This Row],[Contained_oz]],0)</f>
        <v/>
      </c>
    </row>
    <row r="2034">
      <c r="A2034" s="54" t="n"/>
      <c r="B2034" s="61" t="n"/>
      <c r="C2034" s="61" t="n"/>
      <c r="D2034" s="61" t="n"/>
      <c r="E2034" s="61" t="n"/>
      <c r="F2034" s="55" t="n"/>
      <c r="G2034" s="56" t="n"/>
      <c r="H2034" s="55" t="n"/>
      <c r="I2034" s="62" t="n"/>
      <c r="J2034" s="58" t="n"/>
      <c r="K2034" s="63">
        <f>IF(tblMovement[[#This Row],[Source]]="","",IFERROR(INDEX(tblSources[Type],MATCH(tblMovement[[#This Row],[Source]],tblSources[Source],0)),"?"))</f>
        <v/>
      </c>
      <c r="L2034" s="63">
        <f>IF(tblMovement[[#This Row],[Destination]]="","",IFERROR(INDEX(tblDestinations[Type],MATCH(tblMovement[[#This Row],[Destination]],tblDestinations[Destination],0)),"?"))</f>
        <v/>
      </c>
      <c r="M2034" s="64">
        <f>IF(tblMovement[[#This Row],[Material]]="","",IF(LEFT(tblMovement[[#This Row],[Material]],3)="Ore",1,0))</f>
        <v/>
      </c>
      <c r="N2034" s="59">
        <f>IF(OR(tblMovement[[#This Row],[Tonnes_t]]="",tblMovement[[#This Row],[Grade_gpt]]=""),0,tblMovement[[#This Row],[Tonnes_t]]*tblMovement[[#This Row],[Grade_gpt]]/cfg_TroyOz)</f>
        <v/>
      </c>
      <c r="O2034" s="59">
        <f>IF(tblMovement[[#This Row],[Is_Ore]]=1,tblMovement[[#This Row],[Contained_oz]],0)</f>
        <v/>
      </c>
    </row>
    <row r="2035">
      <c r="A2035" s="54" t="n"/>
      <c r="B2035" s="61" t="n"/>
      <c r="C2035" s="61" t="n"/>
      <c r="D2035" s="61" t="n"/>
      <c r="E2035" s="61" t="n"/>
      <c r="F2035" s="55" t="n"/>
      <c r="G2035" s="56" t="n"/>
      <c r="H2035" s="55" t="n"/>
      <c r="I2035" s="62" t="n"/>
      <c r="J2035" s="58" t="n"/>
      <c r="K2035" s="63">
        <f>IF(tblMovement[[#This Row],[Source]]="","",IFERROR(INDEX(tblSources[Type],MATCH(tblMovement[[#This Row],[Source]],tblSources[Source],0)),"?"))</f>
        <v/>
      </c>
      <c r="L2035" s="63">
        <f>IF(tblMovement[[#This Row],[Destination]]="","",IFERROR(INDEX(tblDestinations[Type],MATCH(tblMovement[[#This Row],[Destination]],tblDestinations[Destination],0)),"?"))</f>
        <v/>
      </c>
      <c r="M2035" s="64">
        <f>IF(tblMovement[[#This Row],[Material]]="","",IF(LEFT(tblMovement[[#This Row],[Material]],3)="Ore",1,0))</f>
        <v/>
      </c>
      <c r="N2035" s="59">
        <f>IF(OR(tblMovement[[#This Row],[Tonnes_t]]="",tblMovement[[#This Row],[Grade_gpt]]=""),0,tblMovement[[#This Row],[Tonnes_t]]*tblMovement[[#This Row],[Grade_gpt]]/cfg_TroyOz)</f>
        <v/>
      </c>
      <c r="O2035" s="59">
        <f>IF(tblMovement[[#This Row],[Is_Ore]]=1,tblMovement[[#This Row],[Contained_oz]],0)</f>
        <v/>
      </c>
    </row>
    <row r="2036">
      <c r="A2036" s="54" t="n"/>
      <c r="B2036" s="61" t="n"/>
      <c r="C2036" s="61" t="n"/>
      <c r="D2036" s="61" t="n"/>
      <c r="E2036" s="61" t="n"/>
      <c r="F2036" s="55" t="n"/>
      <c r="G2036" s="56" t="n"/>
      <c r="H2036" s="55" t="n"/>
      <c r="I2036" s="62" t="n"/>
      <c r="J2036" s="58" t="n"/>
      <c r="K2036" s="63">
        <f>IF(tblMovement[[#This Row],[Source]]="","",IFERROR(INDEX(tblSources[Type],MATCH(tblMovement[[#This Row],[Source]],tblSources[Source],0)),"?"))</f>
        <v/>
      </c>
      <c r="L2036" s="63">
        <f>IF(tblMovement[[#This Row],[Destination]]="","",IFERROR(INDEX(tblDestinations[Type],MATCH(tblMovement[[#This Row],[Destination]],tblDestinations[Destination],0)),"?"))</f>
        <v/>
      </c>
      <c r="M2036" s="64">
        <f>IF(tblMovement[[#This Row],[Material]]="","",IF(LEFT(tblMovement[[#This Row],[Material]],3)="Ore",1,0))</f>
        <v/>
      </c>
      <c r="N2036" s="59">
        <f>IF(OR(tblMovement[[#This Row],[Tonnes_t]]="",tblMovement[[#This Row],[Grade_gpt]]=""),0,tblMovement[[#This Row],[Tonnes_t]]*tblMovement[[#This Row],[Grade_gpt]]/cfg_TroyOz)</f>
        <v/>
      </c>
      <c r="O2036" s="59">
        <f>IF(tblMovement[[#This Row],[Is_Ore]]=1,tblMovement[[#This Row],[Contained_oz]],0)</f>
        <v/>
      </c>
    </row>
    <row r="2037">
      <c r="A2037" s="54" t="n"/>
      <c r="B2037" s="61" t="n"/>
      <c r="C2037" s="61" t="n"/>
      <c r="D2037" s="61" t="n"/>
      <c r="E2037" s="61" t="n"/>
      <c r="F2037" s="55" t="n"/>
      <c r="G2037" s="56" t="n"/>
      <c r="H2037" s="55" t="n"/>
      <c r="I2037" s="62" t="n"/>
      <c r="J2037" s="58" t="n"/>
      <c r="K2037" s="63">
        <f>IF(tblMovement[[#This Row],[Source]]="","",IFERROR(INDEX(tblSources[Type],MATCH(tblMovement[[#This Row],[Source]],tblSources[Source],0)),"?"))</f>
        <v/>
      </c>
      <c r="L2037" s="63">
        <f>IF(tblMovement[[#This Row],[Destination]]="","",IFERROR(INDEX(tblDestinations[Type],MATCH(tblMovement[[#This Row],[Destination]],tblDestinations[Destination],0)),"?"))</f>
        <v/>
      </c>
      <c r="M2037" s="64">
        <f>IF(tblMovement[[#This Row],[Material]]="","",IF(LEFT(tblMovement[[#This Row],[Material]],3)="Ore",1,0))</f>
        <v/>
      </c>
      <c r="N2037" s="59">
        <f>IF(OR(tblMovement[[#This Row],[Tonnes_t]]="",tblMovement[[#This Row],[Grade_gpt]]=""),0,tblMovement[[#This Row],[Tonnes_t]]*tblMovement[[#This Row],[Grade_gpt]]/cfg_TroyOz)</f>
        <v/>
      </c>
      <c r="O2037" s="59">
        <f>IF(tblMovement[[#This Row],[Is_Ore]]=1,tblMovement[[#This Row],[Contained_oz]],0)</f>
        <v/>
      </c>
    </row>
    <row r="2038">
      <c r="A2038" s="54" t="n"/>
      <c r="B2038" s="61" t="n"/>
      <c r="C2038" s="61" t="n"/>
      <c r="D2038" s="61" t="n"/>
      <c r="E2038" s="61" t="n"/>
      <c r="F2038" s="55" t="n"/>
      <c r="G2038" s="56" t="n"/>
      <c r="H2038" s="55" t="n"/>
      <c r="I2038" s="62" t="n"/>
      <c r="J2038" s="58" t="n"/>
      <c r="K2038" s="63">
        <f>IF(tblMovement[[#This Row],[Source]]="","",IFERROR(INDEX(tblSources[Type],MATCH(tblMovement[[#This Row],[Source]],tblSources[Source],0)),"?"))</f>
        <v/>
      </c>
      <c r="L2038" s="63">
        <f>IF(tblMovement[[#This Row],[Destination]]="","",IFERROR(INDEX(tblDestinations[Type],MATCH(tblMovement[[#This Row],[Destination]],tblDestinations[Destination],0)),"?"))</f>
        <v/>
      </c>
      <c r="M2038" s="64">
        <f>IF(tblMovement[[#This Row],[Material]]="","",IF(LEFT(tblMovement[[#This Row],[Material]],3)="Ore",1,0))</f>
        <v/>
      </c>
      <c r="N2038" s="59">
        <f>IF(OR(tblMovement[[#This Row],[Tonnes_t]]="",tblMovement[[#This Row],[Grade_gpt]]=""),0,tblMovement[[#This Row],[Tonnes_t]]*tblMovement[[#This Row],[Grade_gpt]]/cfg_TroyOz)</f>
        <v/>
      </c>
      <c r="O2038" s="59">
        <f>IF(tblMovement[[#This Row],[Is_Ore]]=1,tblMovement[[#This Row],[Contained_oz]],0)</f>
        <v/>
      </c>
    </row>
    <row r="2039">
      <c r="A2039" s="54" t="n"/>
      <c r="B2039" s="61" t="n"/>
      <c r="C2039" s="61" t="n"/>
      <c r="D2039" s="61" t="n"/>
      <c r="E2039" s="61" t="n"/>
      <c r="F2039" s="55" t="n"/>
      <c r="G2039" s="56" t="n"/>
      <c r="H2039" s="55" t="n"/>
      <c r="I2039" s="62" t="n"/>
      <c r="J2039" s="58" t="n"/>
      <c r="K2039" s="63">
        <f>IF(tblMovement[[#This Row],[Source]]="","",IFERROR(INDEX(tblSources[Type],MATCH(tblMovement[[#This Row],[Source]],tblSources[Source],0)),"?"))</f>
        <v/>
      </c>
      <c r="L2039" s="63">
        <f>IF(tblMovement[[#This Row],[Destination]]="","",IFERROR(INDEX(tblDestinations[Type],MATCH(tblMovement[[#This Row],[Destination]],tblDestinations[Destination],0)),"?"))</f>
        <v/>
      </c>
      <c r="M2039" s="64">
        <f>IF(tblMovement[[#This Row],[Material]]="","",IF(LEFT(tblMovement[[#This Row],[Material]],3)="Ore",1,0))</f>
        <v/>
      </c>
      <c r="N2039" s="59">
        <f>IF(OR(tblMovement[[#This Row],[Tonnes_t]]="",tblMovement[[#This Row],[Grade_gpt]]=""),0,tblMovement[[#This Row],[Tonnes_t]]*tblMovement[[#This Row],[Grade_gpt]]/cfg_TroyOz)</f>
        <v/>
      </c>
      <c r="O2039" s="59">
        <f>IF(tblMovement[[#This Row],[Is_Ore]]=1,tblMovement[[#This Row],[Contained_oz]],0)</f>
        <v/>
      </c>
    </row>
    <row r="2040">
      <c r="A2040" s="54" t="n"/>
      <c r="B2040" s="61" t="n"/>
      <c r="C2040" s="61" t="n"/>
      <c r="D2040" s="61" t="n"/>
      <c r="E2040" s="61" t="n"/>
      <c r="F2040" s="55" t="n"/>
      <c r="G2040" s="56" t="n"/>
      <c r="H2040" s="55" t="n"/>
      <c r="I2040" s="62" t="n"/>
      <c r="J2040" s="58" t="n"/>
      <c r="K2040" s="63">
        <f>IF(tblMovement[[#This Row],[Source]]="","",IFERROR(INDEX(tblSources[Type],MATCH(tblMovement[[#This Row],[Source]],tblSources[Source],0)),"?"))</f>
        <v/>
      </c>
      <c r="L2040" s="63">
        <f>IF(tblMovement[[#This Row],[Destination]]="","",IFERROR(INDEX(tblDestinations[Type],MATCH(tblMovement[[#This Row],[Destination]],tblDestinations[Destination],0)),"?"))</f>
        <v/>
      </c>
      <c r="M2040" s="64">
        <f>IF(tblMovement[[#This Row],[Material]]="","",IF(LEFT(tblMovement[[#This Row],[Material]],3)="Ore",1,0))</f>
        <v/>
      </c>
      <c r="N2040" s="59">
        <f>IF(OR(tblMovement[[#This Row],[Tonnes_t]]="",tblMovement[[#This Row],[Grade_gpt]]=""),0,tblMovement[[#This Row],[Tonnes_t]]*tblMovement[[#This Row],[Grade_gpt]]/cfg_TroyOz)</f>
        <v/>
      </c>
      <c r="O2040" s="59">
        <f>IF(tblMovement[[#This Row],[Is_Ore]]=1,tblMovement[[#This Row],[Contained_oz]],0)</f>
        <v/>
      </c>
    </row>
    <row r="2041">
      <c r="A2041" s="54" t="n"/>
      <c r="B2041" s="61" t="n"/>
      <c r="C2041" s="61" t="n"/>
      <c r="D2041" s="61" t="n"/>
      <c r="E2041" s="61" t="n"/>
      <c r="F2041" s="55" t="n"/>
      <c r="G2041" s="56" t="n"/>
      <c r="H2041" s="55" t="n"/>
      <c r="I2041" s="62" t="n"/>
      <c r="J2041" s="58" t="n"/>
      <c r="K2041" s="63">
        <f>IF(tblMovement[[#This Row],[Source]]="","",IFERROR(INDEX(tblSources[Type],MATCH(tblMovement[[#This Row],[Source]],tblSources[Source],0)),"?"))</f>
        <v/>
      </c>
      <c r="L2041" s="63">
        <f>IF(tblMovement[[#This Row],[Destination]]="","",IFERROR(INDEX(tblDestinations[Type],MATCH(tblMovement[[#This Row],[Destination]],tblDestinations[Destination],0)),"?"))</f>
        <v/>
      </c>
      <c r="M2041" s="64">
        <f>IF(tblMovement[[#This Row],[Material]]="","",IF(LEFT(tblMovement[[#This Row],[Material]],3)="Ore",1,0))</f>
        <v/>
      </c>
      <c r="N2041" s="59">
        <f>IF(OR(tblMovement[[#This Row],[Tonnes_t]]="",tblMovement[[#This Row],[Grade_gpt]]=""),0,tblMovement[[#This Row],[Tonnes_t]]*tblMovement[[#This Row],[Grade_gpt]]/cfg_TroyOz)</f>
        <v/>
      </c>
      <c r="O2041" s="59">
        <f>IF(tblMovement[[#This Row],[Is_Ore]]=1,tblMovement[[#This Row],[Contained_oz]],0)</f>
        <v/>
      </c>
    </row>
    <row r="2042">
      <c r="A2042" s="54" t="n"/>
      <c r="B2042" s="61" t="n"/>
      <c r="C2042" s="61" t="n"/>
      <c r="D2042" s="61" t="n"/>
      <c r="E2042" s="61" t="n"/>
      <c r="F2042" s="55" t="n"/>
      <c r="G2042" s="56" t="n"/>
      <c r="H2042" s="55" t="n"/>
      <c r="I2042" s="62" t="n"/>
      <c r="J2042" s="58" t="n"/>
      <c r="K2042" s="63">
        <f>IF(tblMovement[[#This Row],[Source]]="","",IFERROR(INDEX(tblSources[Type],MATCH(tblMovement[[#This Row],[Source]],tblSources[Source],0)),"?"))</f>
        <v/>
      </c>
      <c r="L2042" s="63">
        <f>IF(tblMovement[[#This Row],[Destination]]="","",IFERROR(INDEX(tblDestinations[Type],MATCH(tblMovement[[#This Row],[Destination]],tblDestinations[Destination],0)),"?"))</f>
        <v/>
      </c>
      <c r="M2042" s="64">
        <f>IF(tblMovement[[#This Row],[Material]]="","",IF(LEFT(tblMovement[[#This Row],[Material]],3)="Ore",1,0))</f>
        <v/>
      </c>
      <c r="N2042" s="59">
        <f>IF(OR(tblMovement[[#This Row],[Tonnes_t]]="",tblMovement[[#This Row],[Grade_gpt]]=""),0,tblMovement[[#This Row],[Tonnes_t]]*tblMovement[[#This Row],[Grade_gpt]]/cfg_TroyOz)</f>
        <v/>
      </c>
      <c r="O2042" s="59">
        <f>IF(tblMovement[[#This Row],[Is_Ore]]=1,tblMovement[[#This Row],[Contained_oz]],0)</f>
        <v/>
      </c>
    </row>
    <row r="2043">
      <c r="A2043" s="54" t="n"/>
      <c r="B2043" s="61" t="n"/>
      <c r="C2043" s="61" t="n"/>
      <c r="D2043" s="61" t="n"/>
      <c r="E2043" s="61" t="n"/>
      <c r="F2043" s="55" t="n"/>
      <c r="G2043" s="56" t="n"/>
      <c r="H2043" s="55" t="n"/>
      <c r="I2043" s="62" t="n"/>
      <c r="J2043" s="58" t="n"/>
      <c r="K2043" s="63">
        <f>IF(tblMovement[[#This Row],[Source]]="","",IFERROR(INDEX(tblSources[Type],MATCH(tblMovement[[#This Row],[Source]],tblSources[Source],0)),"?"))</f>
        <v/>
      </c>
      <c r="L2043" s="63">
        <f>IF(tblMovement[[#This Row],[Destination]]="","",IFERROR(INDEX(tblDestinations[Type],MATCH(tblMovement[[#This Row],[Destination]],tblDestinations[Destination],0)),"?"))</f>
        <v/>
      </c>
      <c r="M2043" s="64">
        <f>IF(tblMovement[[#This Row],[Material]]="","",IF(LEFT(tblMovement[[#This Row],[Material]],3)="Ore",1,0))</f>
        <v/>
      </c>
      <c r="N2043" s="59">
        <f>IF(OR(tblMovement[[#This Row],[Tonnes_t]]="",tblMovement[[#This Row],[Grade_gpt]]=""),0,tblMovement[[#This Row],[Tonnes_t]]*tblMovement[[#This Row],[Grade_gpt]]/cfg_TroyOz)</f>
        <v/>
      </c>
      <c r="O2043" s="59">
        <f>IF(tblMovement[[#This Row],[Is_Ore]]=1,tblMovement[[#This Row],[Contained_oz]],0)</f>
        <v/>
      </c>
    </row>
    <row r="2044">
      <c r="A2044" s="54" t="n"/>
      <c r="B2044" s="61" t="n"/>
      <c r="C2044" s="61" t="n"/>
      <c r="D2044" s="61" t="n"/>
      <c r="E2044" s="61" t="n"/>
      <c r="F2044" s="55" t="n"/>
      <c r="G2044" s="56" t="n"/>
      <c r="H2044" s="55" t="n"/>
      <c r="I2044" s="62" t="n"/>
      <c r="J2044" s="58" t="n"/>
      <c r="K2044" s="63">
        <f>IF(tblMovement[[#This Row],[Source]]="","",IFERROR(INDEX(tblSources[Type],MATCH(tblMovement[[#This Row],[Source]],tblSources[Source],0)),"?"))</f>
        <v/>
      </c>
      <c r="L2044" s="63">
        <f>IF(tblMovement[[#This Row],[Destination]]="","",IFERROR(INDEX(tblDestinations[Type],MATCH(tblMovement[[#This Row],[Destination]],tblDestinations[Destination],0)),"?"))</f>
        <v/>
      </c>
      <c r="M2044" s="64">
        <f>IF(tblMovement[[#This Row],[Material]]="","",IF(LEFT(tblMovement[[#This Row],[Material]],3)="Ore",1,0))</f>
        <v/>
      </c>
      <c r="N2044" s="59">
        <f>IF(OR(tblMovement[[#This Row],[Tonnes_t]]="",tblMovement[[#This Row],[Grade_gpt]]=""),0,tblMovement[[#This Row],[Tonnes_t]]*tblMovement[[#This Row],[Grade_gpt]]/cfg_TroyOz)</f>
        <v/>
      </c>
      <c r="O2044" s="59">
        <f>IF(tblMovement[[#This Row],[Is_Ore]]=1,tblMovement[[#This Row],[Contained_oz]],0)</f>
        <v/>
      </c>
    </row>
    <row r="2045">
      <c r="A2045" s="54" t="n"/>
      <c r="B2045" s="61" t="n"/>
      <c r="C2045" s="61" t="n"/>
      <c r="D2045" s="61" t="n"/>
      <c r="E2045" s="61" t="n"/>
      <c r="F2045" s="55" t="n"/>
      <c r="G2045" s="56" t="n"/>
      <c r="H2045" s="55" t="n"/>
      <c r="I2045" s="62" t="n"/>
      <c r="J2045" s="58" t="n"/>
      <c r="K2045" s="63">
        <f>IF(tblMovement[[#This Row],[Source]]="","",IFERROR(INDEX(tblSources[Type],MATCH(tblMovement[[#This Row],[Source]],tblSources[Source],0)),"?"))</f>
        <v/>
      </c>
      <c r="L2045" s="63">
        <f>IF(tblMovement[[#This Row],[Destination]]="","",IFERROR(INDEX(tblDestinations[Type],MATCH(tblMovement[[#This Row],[Destination]],tblDestinations[Destination],0)),"?"))</f>
        <v/>
      </c>
      <c r="M2045" s="64">
        <f>IF(tblMovement[[#This Row],[Material]]="","",IF(LEFT(tblMovement[[#This Row],[Material]],3)="Ore",1,0))</f>
        <v/>
      </c>
      <c r="N2045" s="59">
        <f>IF(OR(tblMovement[[#This Row],[Tonnes_t]]="",tblMovement[[#This Row],[Grade_gpt]]=""),0,tblMovement[[#This Row],[Tonnes_t]]*tblMovement[[#This Row],[Grade_gpt]]/cfg_TroyOz)</f>
        <v/>
      </c>
      <c r="O2045" s="59">
        <f>IF(tblMovement[[#This Row],[Is_Ore]]=1,tblMovement[[#This Row],[Contained_oz]],0)</f>
        <v/>
      </c>
    </row>
    <row r="2046">
      <c r="A2046" s="54" t="n"/>
      <c r="B2046" s="61" t="n"/>
      <c r="C2046" s="61" t="n"/>
      <c r="D2046" s="61" t="n"/>
      <c r="E2046" s="61" t="n"/>
      <c r="F2046" s="55" t="n"/>
      <c r="G2046" s="56" t="n"/>
      <c r="H2046" s="55" t="n"/>
      <c r="I2046" s="62" t="n"/>
      <c r="J2046" s="58" t="n"/>
      <c r="K2046" s="63">
        <f>IF(tblMovement[[#This Row],[Source]]="","",IFERROR(INDEX(tblSources[Type],MATCH(tblMovement[[#This Row],[Source]],tblSources[Source],0)),"?"))</f>
        <v/>
      </c>
      <c r="L2046" s="63">
        <f>IF(tblMovement[[#This Row],[Destination]]="","",IFERROR(INDEX(tblDestinations[Type],MATCH(tblMovement[[#This Row],[Destination]],tblDestinations[Destination],0)),"?"))</f>
        <v/>
      </c>
      <c r="M2046" s="64">
        <f>IF(tblMovement[[#This Row],[Material]]="","",IF(LEFT(tblMovement[[#This Row],[Material]],3)="Ore",1,0))</f>
        <v/>
      </c>
      <c r="N2046" s="59">
        <f>IF(OR(tblMovement[[#This Row],[Tonnes_t]]="",tblMovement[[#This Row],[Grade_gpt]]=""),0,tblMovement[[#This Row],[Tonnes_t]]*tblMovement[[#This Row],[Grade_gpt]]/cfg_TroyOz)</f>
        <v/>
      </c>
      <c r="O2046" s="59">
        <f>IF(tblMovement[[#This Row],[Is_Ore]]=1,tblMovement[[#This Row],[Contained_oz]],0)</f>
        <v/>
      </c>
    </row>
    <row r="2047">
      <c r="A2047" s="54" t="n"/>
      <c r="B2047" s="61" t="n"/>
      <c r="C2047" s="61" t="n"/>
      <c r="D2047" s="61" t="n"/>
      <c r="E2047" s="61" t="n"/>
      <c r="F2047" s="55" t="n"/>
      <c r="G2047" s="56" t="n"/>
      <c r="H2047" s="55" t="n"/>
      <c r="I2047" s="62" t="n"/>
      <c r="J2047" s="58" t="n"/>
      <c r="K2047" s="63">
        <f>IF(tblMovement[[#This Row],[Source]]="","",IFERROR(INDEX(tblSources[Type],MATCH(tblMovement[[#This Row],[Source]],tblSources[Source],0)),"?"))</f>
        <v/>
      </c>
      <c r="L2047" s="63">
        <f>IF(tblMovement[[#This Row],[Destination]]="","",IFERROR(INDEX(tblDestinations[Type],MATCH(tblMovement[[#This Row],[Destination]],tblDestinations[Destination],0)),"?"))</f>
        <v/>
      </c>
      <c r="M2047" s="64">
        <f>IF(tblMovement[[#This Row],[Material]]="","",IF(LEFT(tblMovement[[#This Row],[Material]],3)="Ore",1,0))</f>
        <v/>
      </c>
      <c r="N2047" s="59">
        <f>IF(OR(tblMovement[[#This Row],[Tonnes_t]]="",tblMovement[[#This Row],[Grade_gpt]]=""),0,tblMovement[[#This Row],[Tonnes_t]]*tblMovement[[#This Row],[Grade_gpt]]/cfg_TroyOz)</f>
        <v/>
      </c>
      <c r="O2047" s="59">
        <f>IF(tblMovement[[#This Row],[Is_Ore]]=1,tblMovement[[#This Row],[Contained_oz]],0)</f>
        <v/>
      </c>
    </row>
    <row r="2048">
      <c r="A2048" s="54" t="n"/>
      <c r="B2048" s="61" t="n"/>
      <c r="C2048" s="61" t="n"/>
      <c r="D2048" s="61" t="n"/>
      <c r="E2048" s="61" t="n"/>
      <c r="F2048" s="55" t="n"/>
      <c r="G2048" s="56" t="n"/>
      <c r="H2048" s="55" t="n"/>
      <c r="I2048" s="62" t="n"/>
      <c r="J2048" s="58" t="n"/>
      <c r="K2048" s="63">
        <f>IF(tblMovement[[#This Row],[Source]]="","",IFERROR(INDEX(tblSources[Type],MATCH(tblMovement[[#This Row],[Source]],tblSources[Source],0)),"?"))</f>
        <v/>
      </c>
      <c r="L2048" s="63">
        <f>IF(tblMovement[[#This Row],[Destination]]="","",IFERROR(INDEX(tblDestinations[Type],MATCH(tblMovement[[#This Row],[Destination]],tblDestinations[Destination],0)),"?"))</f>
        <v/>
      </c>
      <c r="M2048" s="64">
        <f>IF(tblMovement[[#This Row],[Material]]="","",IF(LEFT(tblMovement[[#This Row],[Material]],3)="Ore",1,0))</f>
        <v/>
      </c>
      <c r="N2048" s="59">
        <f>IF(OR(tblMovement[[#This Row],[Tonnes_t]]="",tblMovement[[#This Row],[Grade_gpt]]=""),0,tblMovement[[#This Row],[Tonnes_t]]*tblMovement[[#This Row],[Grade_gpt]]/cfg_TroyOz)</f>
        <v/>
      </c>
      <c r="O2048" s="59">
        <f>IF(tblMovement[[#This Row],[Is_Ore]]=1,tblMovement[[#This Row],[Contained_oz]],0)</f>
        <v/>
      </c>
    </row>
    <row r="2049">
      <c r="A2049" s="54" t="n"/>
      <c r="B2049" s="61" t="n"/>
      <c r="C2049" s="61" t="n"/>
      <c r="D2049" s="61" t="n"/>
      <c r="E2049" s="61" t="n"/>
      <c r="F2049" s="55" t="n"/>
      <c r="G2049" s="56" t="n"/>
      <c r="H2049" s="55" t="n"/>
      <c r="I2049" s="62" t="n"/>
      <c r="J2049" s="58" t="n"/>
      <c r="K2049" s="63">
        <f>IF(tblMovement[[#This Row],[Source]]="","",IFERROR(INDEX(tblSources[Type],MATCH(tblMovement[[#This Row],[Source]],tblSources[Source],0)),"?"))</f>
        <v/>
      </c>
      <c r="L2049" s="63">
        <f>IF(tblMovement[[#This Row],[Destination]]="","",IFERROR(INDEX(tblDestinations[Type],MATCH(tblMovement[[#This Row],[Destination]],tblDestinations[Destination],0)),"?"))</f>
        <v/>
      </c>
      <c r="M2049" s="64">
        <f>IF(tblMovement[[#This Row],[Material]]="","",IF(LEFT(tblMovement[[#This Row],[Material]],3)="Ore",1,0))</f>
        <v/>
      </c>
      <c r="N2049" s="59">
        <f>IF(OR(tblMovement[[#This Row],[Tonnes_t]]="",tblMovement[[#This Row],[Grade_gpt]]=""),0,tblMovement[[#This Row],[Tonnes_t]]*tblMovement[[#This Row],[Grade_gpt]]/cfg_TroyOz)</f>
        <v/>
      </c>
      <c r="O2049" s="59">
        <f>IF(tblMovement[[#This Row],[Is_Ore]]=1,tblMovement[[#This Row],[Contained_oz]],0)</f>
        <v/>
      </c>
    </row>
    <row r="2050">
      <c r="A2050" s="54" t="n"/>
      <c r="B2050" s="61" t="n"/>
      <c r="C2050" s="61" t="n"/>
      <c r="D2050" s="61" t="n"/>
      <c r="E2050" s="61" t="n"/>
      <c r="F2050" s="55" t="n"/>
      <c r="G2050" s="56" t="n"/>
      <c r="H2050" s="55" t="n"/>
      <c r="I2050" s="62" t="n"/>
      <c r="J2050" s="58" t="n"/>
      <c r="K2050" s="63">
        <f>IF(tblMovement[[#This Row],[Source]]="","",IFERROR(INDEX(tblSources[Type],MATCH(tblMovement[[#This Row],[Source]],tblSources[Source],0)),"?"))</f>
        <v/>
      </c>
      <c r="L2050" s="63">
        <f>IF(tblMovement[[#This Row],[Destination]]="","",IFERROR(INDEX(tblDestinations[Type],MATCH(tblMovement[[#This Row],[Destination]],tblDestinations[Destination],0)),"?"))</f>
        <v/>
      </c>
      <c r="M2050" s="64">
        <f>IF(tblMovement[[#This Row],[Material]]="","",IF(LEFT(tblMovement[[#This Row],[Material]],3)="Ore",1,0))</f>
        <v/>
      </c>
      <c r="N2050" s="59">
        <f>IF(OR(tblMovement[[#This Row],[Tonnes_t]]="",tblMovement[[#This Row],[Grade_gpt]]=""),0,tblMovement[[#This Row],[Tonnes_t]]*tblMovement[[#This Row],[Grade_gpt]]/cfg_TroyOz)</f>
        <v/>
      </c>
      <c r="O2050" s="59">
        <f>IF(tblMovement[[#This Row],[Is_Ore]]=1,tblMovement[[#This Row],[Contained_oz]],0)</f>
        <v/>
      </c>
    </row>
    <row r="2051">
      <c r="A2051" s="54" t="n"/>
      <c r="B2051" s="61" t="n"/>
      <c r="C2051" s="61" t="n"/>
      <c r="D2051" s="61" t="n"/>
      <c r="E2051" s="61" t="n"/>
      <c r="F2051" s="55" t="n"/>
      <c r="G2051" s="56" t="n"/>
      <c r="H2051" s="55" t="n"/>
      <c r="I2051" s="62" t="n"/>
      <c r="J2051" s="58" t="n"/>
      <c r="K2051" s="63">
        <f>IF(tblMovement[[#This Row],[Source]]="","",IFERROR(INDEX(tblSources[Type],MATCH(tblMovement[[#This Row],[Source]],tblSources[Source],0)),"?"))</f>
        <v/>
      </c>
      <c r="L2051" s="63">
        <f>IF(tblMovement[[#This Row],[Destination]]="","",IFERROR(INDEX(tblDestinations[Type],MATCH(tblMovement[[#This Row],[Destination]],tblDestinations[Destination],0)),"?"))</f>
        <v/>
      </c>
      <c r="M2051" s="64">
        <f>IF(tblMovement[[#This Row],[Material]]="","",IF(LEFT(tblMovement[[#This Row],[Material]],3)="Ore",1,0))</f>
        <v/>
      </c>
      <c r="N2051" s="59">
        <f>IF(OR(tblMovement[[#This Row],[Tonnes_t]]="",tblMovement[[#This Row],[Grade_gpt]]=""),0,tblMovement[[#This Row],[Tonnes_t]]*tblMovement[[#This Row],[Grade_gpt]]/cfg_TroyOz)</f>
        <v/>
      </c>
      <c r="O2051" s="59">
        <f>IF(tblMovement[[#This Row],[Is_Ore]]=1,tblMovement[[#This Row],[Contained_oz]],0)</f>
        <v/>
      </c>
    </row>
    <row r="2052">
      <c r="A2052" s="54" t="n"/>
      <c r="B2052" s="61" t="n"/>
      <c r="C2052" s="61" t="n"/>
      <c r="D2052" s="61" t="n"/>
      <c r="E2052" s="61" t="n"/>
      <c r="F2052" s="55" t="n"/>
      <c r="G2052" s="56" t="n"/>
      <c r="H2052" s="55" t="n"/>
      <c r="I2052" s="62" t="n"/>
      <c r="J2052" s="58" t="n"/>
      <c r="K2052" s="63">
        <f>IF(tblMovement[[#This Row],[Source]]="","",IFERROR(INDEX(tblSources[Type],MATCH(tblMovement[[#This Row],[Source]],tblSources[Source],0)),"?"))</f>
        <v/>
      </c>
      <c r="L2052" s="63">
        <f>IF(tblMovement[[#This Row],[Destination]]="","",IFERROR(INDEX(tblDestinations[Type],MATCH(tblMovement[[#This Row],[Destination]],tblDestinations[Destination],0)),"?"))</f>
        <v/>
      </c>
      <c r="M2052" s="64">
        <f>IF(tblMovement[[#This Row],[Material]]="","",IF(LEFT(tblMovement[[#This Row],[Material]],3)="Ore",1,0))</f>
        <v/>
      </c>
      <c r="N2052" s="59">
        <f>IF(OR(tblMovement[[#This Row],[Tonnes_t]]="",tblMovement[[#This Row],[Grade_gpt]]=""),0,tblMovement[[#This Row],[Tonnes_t]]*tblMovement[[#This Row],[Grade_gpt]]/cfg_TroyOz)</f>
        <v/>
      </c>
      <c r="O2052" s="59">
        <f>IF(tblMovement[[#This Row],[Is_Ore]]=1,tblMovement[[#This Row],[Contained_oz]],0)</f>
        <v/>
      </c>
    </row>
    <row r="2053">
      <c r="A2053" s="54" t="n"/>
      <c r="B2053" s="61" t="n"/>
      <c r="C2053" s="61" t="n"/>
      <c r="D2053" s="61" t="n"/>
      <c r="E2053" s="61" t="n"/>
      <c r="F2053" s="55" t="n"/>
      <c r="G2053" s="56" t="n"/>
      <c r="H2053" s="55" t="n"/>
      <c r="I2053" s="62" t="n"/>
      <c r="J2053" s="58" t="n"/>
      <c r="K2053" s="63">
        <f>IF(tblMovement[[#This Row],[Source]]="","",IFERROR(INDEX(tblSources[Type],MATCH(tblMovement[[#This Row],[Source]],tblSources[Source],0)),"?"))</f>
        <v/>
      </c>
      <c r="L2053" s="63">
        <f>IF(tblMovement[[#This Row],[Destination]]="","",IFERROR(INDEX(tblDestinations[Type],MATCH(tblMovement[[#This Row],[Destination]],tblDestinations[Destination],0)),"?"))</f>
        <v/>
      </c>
      <c r="M2053" s="64">
        <f>IF(tblMovement[[#This Row],[Material]]="","",IF(LEFT(tblMovement[[#This Row],[Material]],3)="Ore",1,0))</f>
        <v/>
      </c>
      <c r="N2053" s="59">
        <f>IF(OR(tblMovement[[#This Row],[Tonnes_t]]="",tblMovement[[#This Row],[Grade_gpt]]=""),0,tblMovement[[#This Row],[Tonnes_t]]*tblMovement[[#This Row],[Grade_gpt]]/cfg_TroyOz)</f>
        <v/>
      </c>
      <c r="O2053" s="59">
        <f>IF(tblMovement[[#This Row],[Is_Ore]]=1,tblMovement[[#This Row],[Contained_oz]],0)</f>
        <v/>
      </c>
    </row>
    <row r="2054">
      <c r="A2054" s="54" t="n"/>
      <c r="B2054" s="61" t="n"/>
      <c r="C2054" s="61" t="n"/>
      <c r="D2054" s="61" t="n"/>
      <c r="E2054" s="61" t="n"/>
      <c r="F2054" s="55" t="n"/>
      <c r="G2054" s="56" t="n"/>
      <c r="H2054" s="55" t="n"/>
      <c r="I2054" s="62" t="n"/>
      <c r="J2054" s="58" t="n"/>
      <c r="K2054" s="63">
        <f>IF(tblMovement[[#This Row],[Source]]="","",IFERROR(INDEX(tblSources[Type],MATCH(tblMovement[[#This Row],[Source]],tblSources[Source],0)),"?"))</f>
        <v/>
      </c>
      <c r="L2054" s="63">
        <f>IF(tblMovement[[#This Row],[Destination]]="","",IFERROR(INDEX(tblDestinations[Type],MATCH(tblMovement[[#This Row],[Destination]],tblDestinations[Destination],0)),"?"))</f>
        <v/>
      </c>
      <c r="M2054" s="64">
        <f>IF(tblMovement[[#This Row],[Material]]="","",IF(LEFT(tblMovement[[#This Row],[Material]],3)="Ore",1,0))</f>
        <v/>
      </c>
      <c r="N2054" s="59">
        <f>IF(OR(tblMovement[[#This Row],[Tonnes_t]]="",tblMovement[[#This Row],[Grade_gpt]]=""),0,tblMovement[[#This Row],[Tonnes_t]]*tblMovement[[#This Row],[Grade_gpt]]/cfg_TroyOz)</f>
        <v/>
      </c>
      <c r="O2054" s="59">
        <f>IF(tblMovement[[#This Row],[Is_Ore]]=1,tblMovement[[#This Row],[Contained_oz]],0)</f>
        <v/>
      </c>
    </row>
    <row r="2055">
      <c r="A2055" s="54" t="n"/>
      <c r="B2055" s="61" t="n"/>
      <c r="C2055" s="61" t="n"/>
      <c r="D2055" s="61" t="n"/>
      <c r="E2055" s="61" t="n"/>
      <c r="F2055" s="55" t="n"/>
      <c r="G2055" s="56" t="n"/>
      <c r="H2055" s="55" t="n"/>
      <c r="I2055" s="62" t="n"/>
      <c r="J2055" s="58" t="n"/>
      <c r="K2055" s="63">
        <f>IF(tblMovement[[#This Row],[Source]]="","",IFERROR(INDEX(tblSources[Type],MATCH(tblMovement[[#This Row],[Source]],tblSources[Source],0)),"?"))</f>
        <v/>
      </c>
      <c r="L2055" s="63">
        <f>IF(tblMovement[[#This Row],[Destination]]="","",IFERROR(INDEX(tblDestinations[Type],MATCH(tblMovement[[#This Row],[Destination]],tblDestinations[Destination],0)),"?"))</f>
        <v/>
      </c>
      <c r="M2055" s="64">
        <f>IF(tblMovement[[#This Row],[Material]]="","",IF(LEFT(tblMovement[[#This Row],[Material]],3)="Ore",1,0))</f>
        <v/>
      </c>
      <c r="N2055" s="59">
        <f>IF(OR(tblMovement[[#This Row],[Tonnes_t]]="",tblMovement[[#This Row],[Grade_gpt]]=""),0,tblMovement[[#This Row],[Tonnes_t]]*tblMovement[[#This Row],[Grade_gpt]]/cfg_TroyOz)</f>
        <v/>
      </c>
      <c r="O2055" s="59">
        <f>IF(tblMovement[[#This Row],[Is_Ore]]=1,tblMovement[[#This Row],[Contained_oz]],0)</f>
        <v/>
      </c>
    </row>
    <row r="2056">
      <c r="A2056" s="54" t="n"/>
      <c r="B2056" s="61" t="n"/>
      <c r="C2056" s="61" t="n"/>
      <c r="D2056" s="61" t="n"/>
      <c r="E2056" s="61" t="n"/>
      <c r="F2056" s="55" t="n"/>
      <c r="G2056" s="56" t="n"/>
      <c r="H2056" s="55" t="n"/>
      <c r="I2056" s="62" t="n"/>
      <c r="J2056" s="58" t="n"/>
      <c r="K2056" s="63">
        <f>IF(tblMovement[[#This Row],[Source]]="","",IFERROR(INDEX(tblSources[Type],MATCH(tblMovement[[#This Row],[Source]],tblSources[Source],0)),"?"))</f>
        <v/>
      </c>
      <c r="L2056" s="63">
        <f>IF(tblMovement[[#This Row],[Destination]]="","",IFERROR(INDEX(tblDestinations[Type],MATCH(tblMovement[[#This Row],[Destination]],tblDestinations[Destination],0)),"?"))</f>
        <v/>
      </c>
      <c r="M2056" s="64">
        <f>IF(tblMovement[[#This Row],[Material]]="","",IF(LEFT(tblMovement[[#This Row],[Material]],3)="Ore",1,0))</f>
        <v/>
      </c>
      <c r="N2056" s="59">
        <f>IF(OR(tblMovement[[#This Row],[Tonnes_t]]="",tblMovement[[#This Row],[Grade_gpt]]=""),0,tblMovement[[#This Row],[Tonnes_t]]*tblMovement[[#This Row],[Grade_gpt]]/cfg_TroyOz)</f>
        <v/>
      </c>
      <c r="O2056" s="59">
        <f>IF(tblMovement[[#This Row],[Is_Ore]]=1,tblMovement[[#This Row],[Contained_oz]],0)</f>
        <v/>
      </c>
    </row>
    <row r="2057">
      <c r="A2057" s="54" t="n"/>
      <c r="B2057" s="61" t="n"/>
      <c r="C2057" s="61" t="n"/>
      <c r="D2057" s="61" t="n"/>
      <c r="E2057" s="61" t="n"/>
      <c r="F2057" s="55" t="n"/>
      <c r="G2057" s="56" t="n"/>
      <c r="H2057" s="55" t="n"/>
      <c r="I2057" s="62" t="n"/>
      <c r="J2057" s="58" t="n"/>
      <c r="K2057" s="63">
        <f>IF(tblMovement[[#This Row],[Source]]="","",IFERROR(INDEX(tblSources[Type],MATCH(tblMovement[[#This Row],[Source]],tblSources[Source],0)),"?"))</f>
        <v/>
      </c>
      <c r="L2057" s="63">
        <f>IF(tblMovement[[#This Row],[Destination]]="","",IFERROR(INDEX(tblDestinations[Type],MATCH(tblMovement[[#This Row],[Destination]],tblDestinations[Destination],0)),"?"))</f>
        <v/>
      </c>
      <c r="M2057" s="64">
        <f>IF(tblMovement[[#This Row],[Material]]="","",IF(LEFT(tblMovement[[#This Row],[Material]],3)="Ore",1,0))</f>
        <v/>
      </c>
      <c r="N2057" s="59">
        <f>IF(OR(tblMovement[[#This Row],[Tonnes_t]]="",tblMovement[[#This Row],[Grade_gpt]]=""),0,tblMovement[[#This Row],[Tonnes_t]]*tblMovement[[#This Row],[Grade_gpt]]/cfg_TroyOz)</f>
        <v/>
      </c>
      <c r="O2057" s="59">
        <f>IF(tblMovement[[#This Row],[Is_Ore]]=1,tblMovement[[#This Row],[Contained_oz]],0)</f>
        <v/>
      </c>
    </row>
    <row r="2058">
      <c r="A2058" s="54" t="n"/>
      <c r="B2058" s="61" t="n"/>
      <c r="C2058" s="61" t="n"/>
      <c r="D2058" s="61" t="n"/>
      <c r="E2058" s="61" t="n"/>
      <c r="F2058" s="55" t="n"/>
      <c r="G2058" s="56" t="n"/>
      <c r="H2058" s="55" t="n"/>
      <c r="I2058" s="62" t="n"/>
      <c r="J2058" s="58" t="n"/>
      <c r="K2058" s="63">
        <f>IF(tblMovement[[#This Row],[Source]]="","",IFERROR(INDEX(tblSources[Type],MATCH(tblMovement[[#This Row],[Source]],tblSources[Source],0)),"?"))</f>
        <v/>
      </c>
      <c r="L2058" s="63">
        <f>IF(tblMovement[[#This Row],[Destination]]="","",IFERROR(INDEX(tblDestinations[Type],MATCH(tblMovement[[#This Row],[Destination]],tblDestinations[Destination],0)),"?"))</f>
        <v/>
      </c>
      <c r="M2058" s="64">
        <f>IF(tblMovement[[#This Row],[Material]]="","",IF(LEFT(tblMovement[[#This Row],[Material]],3)="Ore",1,0))</f>
        <v/>
      </c>
      <c r="N2058" s="59">
        <f>IF(OR(tblMovement[[#This Row],[Tonnes_t]]="",tblMovement[[#This Row],[Grade_gpt]]=""),0,tblMovement[[#This Row],[Tonnes_t]]*tblMovement[[#This Row],[Grade_gpt]]/cfg_TroyOz)</f>
        <v/>
      </c>
      <c r="O2058" s="59">
        <f>IF(tblMovement[[#This Row],[Is_Ore]]=1,tblMovement[[#This Row],[Contained_oz]],0)</f>
        <v/>
      </c>
    </row>
    <row r="2059">
      <c r="A2059" s="54" t="n"/>
      <c r="B2059" s="61" t="n"/>
      <c r="C2059" s="61" t="n"/>
      <c r="D2059" s="61" t="n"/>
      <c r="E2059" s="61" t="n"/>
      <c r="F2059" s="55" t="n"/>
      <c r="G2059" s="56" t="n"/>
      <c r="H2059" s="55" t="n"/>
      <c r="I2059" s="62" t="n"/>
      <c r="J2059" s="58" t="n"/>
      <c r="K2059" s="63">
        <f>IF(tblMovement[[#This Row],[Source]]="","",IFERROR(INDEX(tblSources[Type],MATCH(tblMovement[[#This Row],[Source]],tblSources[Source],0)),"?"))</f>
        <v/>
      </c>
      <c r="L2059" s="63">
        <f>IF(tblMovement[[#This Row],[Destination]]="","",IFERROR(INDEX(tblDestinations[Type],MATCH(tblMovement[[#This Row],[Destination]],tblDestinations[Destination],0)),"?"))</f>
        <v/>
      </c>
      <c r="M2059" s="64">
        <f>IF(tblMovement[[#This Row],[Material]]="","",IF(LEFT(tblMovement[[#This Row],[Material]],3)="Ore",1,0))</f>
        <v/>
      </c>
      <c r="N2059" s="59">
        <f>IF(OR(tblMovement[[#This Row],[Tonnes_t]]="",tblMovement[[#This Row],[Grade_gpt]]=""),0,tblMovement[[#This Row],[Tonnes_t]]*tblMovement[[#This Row],[Grade_gpt]]/cfg_TroyOz)</f>
        <v/>
      </c>
      <c r="O2059" s="59">
        <f>IF(tblMovement[[#This Row],[Is_Ore]]=1,tblMovement[[#This Row],[Contained_oz]],0)</f>
        <v/>
      </c>
    </row>
    <row r="2060">
      <c r="A2060" s="54" t="n"/>
      <c r="B2060" s="61" t="n"/>
      <c r="C2060" s="61" t="n"/>
      <c r="D2060" s="61" t="n"/>
      <c r="E2060" s="61" t="n"/>
      <c r="F2060" s="55" t="n"/>
      <c r="G2060" s="56" t="n"/>
      <c r="H2060" s="55" t="n"/>
      <c r="I2060" s="62" t="n"/>
      <c r="J2060" s="58" t="n"/>
      <c r="K2060" s="63">
        <f>IF(tblMovement[[#This Row],[Source]]="","",IFERROR(INDEX(tblSources[Type],MATCH(tblMovement[[#This Row],[Source]],tblSources[Source],0)),"?"))</f>
        <v/>
      </c>
      <c r="L2060" s="63">
        <f>IF(tblMovement[[#This Row],[Destination]]="","",IFERROR(INDEX(tblDestinations[Type],MATCH(tblMovement[[#This Row],[Destination]],tblDestinations[Destination],0)),"?"))</f>
        <v/>
      </c>
      <c r="M2060" s="64">
        <f>IF(tblMovement[[#This Row],[Material]]="","",IF(LEFT(tblMovement[[#This Row],[Material]],3)="Ore",1,0))</f>
        <v/>
      </c>
      <c r="N2060" s="59">
        <f>IF(OR(tblMovement[[#This Row],[Tonnes_t]]="",tblMovement[[#This Row],[Grade_gpt]]=""),0,tblMovement[[#This Row],[Tonnes_t]]*tblMovement[[#This Row],[Grade_gpt]]/cfg_TroyOz)</f>
        <v/>
      </c>
      <c r="O2060" s="59">
        <f>IF(tblMovement[[#This Row],[Is_Ore]]=1,tblMovement[[#This Row],[Contained_oz]],0)</f>
        <v/>
      </c>
    </row>
    <row r="2061">
      <c r="A2061" s="54" t="n"/>
      <c r="B2061" s="61" t="n"/>
      <c r="C2061" s="61" t="n"/>
      <c r="D2061" s="61" t="n"/>
      <c r="E2061" s="61" t="n"/>
      <c r="F2061" s="55" t="n"/>
      <c r="G2061" s="56" t="n"/>
      <c r="H2061" s="55" t="n"/>
      <c r="I2061" s="62" t="n"/>
      <c r="J2061" s="58" t="n"/>
      <c r="K2061" s="63">
        <f>IF(tblMovement[[#This Row],[Source]]="","",IFERROR(INDEX(tblSources[Type],MATCH(tblMovement[[#This Row],[Source]],tblSources[Source],0)),"?"))</f>
        <v/>
      </c>
      <c r="L2061" s="63">
        <f>IF(tblMovement[[#This Row],[Destination]]="","",IFERROR(INDEX(tblDestinations[Type],MATCH(tblMovement[[#This Row],[Destination]],tblDestinations[Destination],0)),"?"))</f>
        <v/>
      </c>
      <c r="M2061" s="64">
        <f>IF(tblMovement[[#This Row],[Material]]="","",IF(LEFT(tblMovement[[#This Row],[Material]],3)="Ore",1,0))</f>
        <v/>
      </c>
      <c r="N2061" s="59">
        <f>IF(OR(tblMovement[[#This Row],[Tonnes_t]]="",tblMovement[[#This Row],[Grade_gpt]]=""),0,tblMovement[[#This Row],[Tonnes_t]]*tblMovement[[#This Row],[Grade_gpt]]/cfg_TroyOz)</f>
        <v/>
      </c>
      <c r="O2061" s="59">
        <f>IF(tblMovement[[#This Row],[Is_Ore]]=1,tblMovement[[#This Row],[Contained_oz]],0)</f>
        <v/>
      </c>
    </row>
    <row r="2062">
      <c r="A2062" s="54" t="n"/>
      <c r="B2062" s="61" t="n"/>
      <c r="C2062" s="61" t="n"/>
      <c r="D2062" s="61" t="n"/>
      <c r="E2062" s="61" t="n"/>
      <c r="F2062" s="55" t="n"/>
      <c r="G2062" s="56" t="n"/>
      <c r="H2062" s="55" t="n"/>
      <c r="I2062" s="62" t="n"/>
      <c r="J2062" s="58" t="n"/>
      <c r="K2062" s="63">
        <f>IF(tblMovement[[#This Row],[Source]]="","",IFERROR(INDEX(tblSources[Type],MATCH(tblMovement[[#This Row],[Source]],tblSources[Source],0)),"?"))</f>
        <v/>
      </c>
      <c r="L2062" s="63">
        <f>IF(tblMovement[[#This Row],[Destination]]="","",IFERROR(INDEX(tblDestinations[Type],MATCH(tblMovement[[#This Row],[Destination]],tblDestinations[Destination],0)),"?"))</f>
        <v/>
      </c>
      <c r="M2062" s="64">
        <f>IF(tblMovement[[#This Row],[Material]]="","",IF(LEFT(tblMovement[[#This Row],[Material]],3)="Ore",1,0))</f>
        <v/>
      </c>
      <c r="N2062" s="59">
        <f>IF(OR(tblMovement[[#This Row],[Tonnes_t]]="",tblMovement[[#This Row],[Grade_gpt]]=""),0,tblMovement[[#This Row],[Tonnes_t]]*tblMovement[[#This Row],[Grade_gpt]]/cfg_TroyOz)</f>
        <v/>
      </c>
      <c r="O2062" s="59">
        <f>IF(tblMovement[[#This Row],[Is_Ore]]=1,tblMovement[[#This Row],[Contained_oz]],0)</f>
        <v/>
      </c>
    </row>
    <row r="2063">
      <c r="A2063" s="54" t="n"/>
      <c r="B2063" s="61" t="n"/>
      <c r="C2063" s="61" t="n"/>
      <c r="D2063" s="61" t="n"/>
      <c r="E2063" s="61" t="n"/>
      <c r="F2063" s="55" t="n"/>
      <c r="G2063" s="56" t="n"/>
      <c r="H2063" s="55" t="n"/>
      <c r="I2063" s="62" t="n"/>
      <c r="J2063" s="58" t="n"/>
      <c r="K2063" s="63">
        <f>IF(tblMovement[[#This Row],[Source]]="","",IFERROR(INDEX(tblSources[Type],MATCH(tblMovement[[#This Row],[Source]],tblSources[Source],0)),"?"))</f>
        <v/>
      </c>
      <c r="L2063" s="63">
        <f>IF(tblMovement[[#This Row],[Destination]]="","",IFERROR(INDEX(tblDestinations[Type],MATCH(tblMovement[[#This Row],[Destination]],tblDestinations[Destination],0)),"?"))</f>
        <v/>
      </c>
      <c r="M2063" s="64">
        <f>IF(tblMovement[[#This Row],[Material]]="","",IF(LEFT(tblMovement[[#This Row],[Material]],3)="Ore",1,0))</f>
        <v/>
      </c>
      <c r="N2063" s="59">
        <f>IF(OR(tblMovement[[#This Row],[Tonnes_t]]="",tblMovement[[#This Row],[Grade_gpt]]=""),0,tblMovement[[#This Row],[Tonnes_t]]*tblMovement[[#This Row],[Grade_gpt]]/cfg_TroyOz)</f>
        <v/>
      </c>
      <c r="O2063" s="59">
        <f>IF(tblMovement[[#This Row],[Is_Ore]]=1,tblMovement[[#This Row],[Contained_oz]],0)</f>
        <v/>
      </c>
    </row>
    <row r="2064">
      <c r="A2064" s="54" t="n"/>
      <c r="B2064" s="61" t="n"/>
      <c r="C2064" s="61" t="n"/>
      <c r="D2064" s="61" t="n"/>
      <c r="E2064" s="61" t="n"/>
      <c r="F2064" s="55" t="n"/>
      <c r="G2064" s="56" t="n"/>
      <c r="H2064" s="55" t="n"/>
      <c r="I2064" s="62" t="n"/>
      <c r="J2064" s="58" t="n"/>
      <c r="K2064" s="63">
        <f>IF(tblMovement[[#This Row],[Source]]="","",IFERROR(INDEX(tblSources[Type],MATCH(tblMovement[[#This Row],[Source]],tblSources[Source],0)),"?"))</f>
        <v/>
      </c>
      <c r="L2064" s="63">
        <f>IF(tblMovement[[#This Row],[Destination]]="","",IFERROR(INDEX(tblDestinations[Type],MATCH(tblMovement[[#This Row],[Destination]],tblDestinations[Destination],0)),"?"))</f>
        <v/>
      </c>
      <c r="M2064" s="64">
        <f>IF(tblMovement[[#This Row],[Material]]="","",IF(LEFT(tblMovement[[#This Row],[Material]],3)="Ore",1,0))</f>
        <v/>
      </c>
      <c r="N2064" s="59">
        <f>IF(OR(tblMovement[[#This Row],[Tonnes_t]]="",tblMovement[[#This Row],[Grade_gpt]]=""),0,tblMovement[[#This Row],[Tonnes_t]]*tblMovement[[#This Row],[Grade_gpt]]/cfg_TroyOz)</f>
        <v/>
      </c>
      <c r="O2064" s="59">
        <f>IF(tblMovement[[#This Row],[Is_Ore]]=1,tblMovement[[#This Row],[Contained_oz]],0)</f>
        <v/>
      </c>
    </row>
    <row r="2065">
      <c r="A2065" s="54" t="n"/>
      <c r="B2065" s="61" t="n"/>
      <c r="C2065" s="61" t="n"/>
      <c r="D2065" s="61" t="n"/>
      <c r="E2065" s="61" t="n"/>
      <c r="F2065" s="55" t="n"/>
      <c r="G2065" s="56" t="n"/>
      <c r="H2065" s="55" t="n"/>
      <c r="I2065" s="62" t="n"/>
      <c r="J2065" s="58" t="n"/>
      <c r="K2065" s="63">
        <f>IF(tblMovement[[#This Row],[Source]]="","",IFERROR(INDEX(tblSources[Type],MATCH(tblMovement[[#This Row],[Source]],tblSources[Source],0)),"?"))</f>
        <v/>
      </c>
      <c r="L2065" s="63">
        <f>IF(tblMovement[[#This Row],[Destination]]="","",IFERROR(INDEX(tblDestinations[Type],MATCH(tblMovement[[#This Row],[Destination]],tblDestinations[Destination],0)),"?"))</f>
        <v/>
      </c>
      <c r="M2065" s="64">
        <f>IF(tblMovement[[#This Row],[Material]]="","",IF(LEFT(tblMovement[[#This Row],[Material]],3)="Ore",1,0))</f>
        <v/>
      </c>
      <c r="N2065" s="59">
        <f>IF(OR(tblMovement[[#This Row],[Tonnes_t]]="",tblMovement[[#This Row],[Grade_gpt]]=""),0,tblMovement[[#This Row],[Tonnes_t]]*tblMovement[[#This Row],[Grade_gpt]]/cfg_TroyOz)</f>
        <v/>
      </c>
      <c r="O2065" s="59">
        <f>IF(tblMovement[[#This Row],[Is_Ore]]=1,tblMovement[[#This Row],[Contained_oz]],0)</f>
        <v/>
      </c>
    </row>
    <row r="2066">
      <c r="A2066" s="54" t="n"/>
      <c r="B2066" s="61" t="n"/>
      <c r="C2066" s="61" t="n"/>
      <c r="D2066" s="61" t="n"/>
      <c r="E2066" s="61" t="n"/>
      <c r="F2066" s="55" t="n"/>
      <c r="G2066" s="56" t="n"/>
      <c r="H2066" s="55" t="n"/>
      <c r="I2066" s="62" t="n"/>
      <c r="J2066" s="58" t="n"/>
      <c r="K2066" s="63">
        <f>IF(tblMovement[[#This Row],[Source]]="","",IFERROR(INDEX(tblSources[Type],MATCH(tblMovement[[#This Row],[Source]],tblSources[Source],0)),"?"))</f>
        <v/>
      </c>
      <c r="L2066" s="63">
        <f>IF(tblMovement[[#This Row],[Destination]]="","",IFERROR(INDEX(tblDestinations[Type],MATCH(tblMovement[[#This Row],[Destination]],tblDestinations[Destination],0)),"?"))</f>
        <v/>
      </c>
      <c r="M2066" s="64">
        <f>IF(tblMovement[[#This Row],[Material]]="","",IF(LEFT(tblMovement[[#This Row],[Material]],3)="Ore",1,0))</f>
        <v/>
      </c>
      <c r="N2066" s="59">
        <f>IF(OR(tblMovement[[#This Row],[Tonnes_t]]="",tblMovement[[#This Row],[Grade_gpt]]=""),0,tblMovement[[#This Row],[Tonnes_t]]*tblMovement[[#This Row],[Grade_gpt]]/cfg_TroyOz)</f>
        <v/>
      </c>
      <c r="O2066" s="59">
        <f>IF(tblMovement[[#This Row],[Is_Ore]]=1,tblMovement[[#This Row],[Contained_oz]],0)</f>
        <v/>
      </c>
    </row>
    <row r="2067">
      <c r="A2067" s="54" t="n"/>
      <c r="B2067" s="61" t="n"/>
      <c r="C2067" s="61" t="n"/>
      <c r="D2067" s="61" t="n"/>
      <c r="E2067" s="61" t="n"/>
      <c r="F2067" s="55" t="n"/>
      <c r="G2067" s="56" t="n"/>
      <c r="H2067" s="55" t="n"/>
      <c r="I2067" s="62" t="n"/>
      <c r="J2067" s="58" t="n"/>
      <c r="K2067" s="63">
        <f>IF(tblMovement[[#This Row],[Source]]="","",IFERROR(INDEX(tblSources[Type],MATCH(tblMovement[[#This Row],[Source]],tblSources[Source],0)),"?"))</f>
        <v/>
      </c>
      <c r="L2067" s="63">
        <f>IF(tblMovement[[#This Row],[Destination]]="","",IFERROR(INDEX(tblDestinations[Type],MATCH(tblMovement[[#This Row],[Destination]],tblDestinations[Destination],0)),"?"))</f>
        <v/>
      </c>
      <c r="M2067" s="64">
        <f>IF(tblMovement[[#This Row],[Material]]="","",IF(LEFT(tblMovement[[#This Row],[Material]],3)="Ore",1,0))</f>
        <v/>
      </c>
      <c r="N2067" s="59">
        <f>IF(OR(tblMovement[[#This Row],[Tonnes_t]]="",tblMovement[[#This Row],[Grade_gpt]]=""),0,tblMovement[[#This Row],[Tonnes_t]]*tblMovement[[#This Row],[Grade_gpt]]/cfg_TroyOz)</f>
        <v/>
      </c>
      <c r="O2067" s="59">
        <f>IF(tblMovement[[#This Row],[Is_Ore]]=1,tblMovement[[#This Row],[Contained_oz]],0)</f>
        <v/>
      </c>
    </row>
    <row r="2068">
      <c r="A2068" s="54" t="n"/>
      <c r="B2068" s="61" t="n"/>
      <c r="C2068" s="61" t="n"/>
      <c r="D2068" s="61" t="n"/>
      <c r="E2068" s="61" t="n"/>
      <c r="F2068" s="55" t="n"/>
      <c r="G2068" s="56" t="n"/>
      <c r="H2068" s="55" t="n"/>
      <c r="I2068" s="62" t="n"/>
      <c r="J2068" s="58" t="n"/>
      <c r="K2068" s="63">
        <f>IF(tblMovement[[#This Row],[Source]]="","",IFERROR(INDEX(tblSources[Type],MATCH(tblMovement[[#This Row],[Source]],tblSources[Source],0)),"?"))</f>
        <v/>
      </c>
      <c r="L2068" s="63">
        <f>IF(tblMovement[[#This Row],[Destination]]="","",IFERROR(INDEX(tblDestinations[Type],MATCH(tblMovement[[#This Row],[Destination]],tblDestinations[Destination],0)),"?"))</f>
        <v/>
      </c>
      <c r="M2068" s="64">
        <f>IF(tblMovement[[#This Row],[Material]]="","",IF(LEFT(tblMovement[[#This Row],[Material]],3)="Ore",1,0))</f>
        <v/>
      </c>
      <c r="N2068" s="59">
        <f>IF(OR(tblMovement[[#This Row],[Tonnes_t]]="",tblMovement[[#This Row],[Grade_gpt]]=""),0,tblMovement[[#This Row],[Tonnes_t]]*tblMovement[[#This Row],[Grade_gpt]]/cfg_TroyOz)</f>
        <v/>
      </c>
      <c r="O2068" s="59">
        <f>IF(tblMovement[[#This Row],[Is_Ore]]=1,tblMovement[[#This Row],[Contained_oz]],0)</f>
        <v/>
      </c>
    </row>
    <row r="2069">
      <c r="A2069" s="54" t="n"/>
      <c r="B2069" s="61" t="n"/>
      <c r="C2069" s="61" t="n"/>
      <c r="D2069" s="61" t="n"/>
      <c r="E2069" s="61" t="n"/>
      <c r="F2069" s="55" t="n"/>
      <c r="G2069" s="56" t="n"/>
      <c r="H2069" s="55" t="n"/>
      <c r="I2069" s="62" t="n"/>
      <c r="J2069" s="58" t="n"/>
      <c r="K2069" s="63">
        <f>IF(tblMovement[[#This Row],[Source]]="","",IFERROR(INDEX(tblSources[Type],MATCH(tblMovement[[#This Row],[Source]],tblSources[Source],0)),"?"))</f>
        <v/>
      </c>
      <c r="L2069" s="63">
        <f>IF(tblMovement[[#This Row],[Destination]]="","",IFERROR(INDEX(tblDestinations[Type],MATCH(tblMovement[[#This Row],[Destination]],tblDestinations[Destination],0)),"?"))</f>
        <v/>
      </c>
      <c r="M2069" s="64">
        <f>IF(tblMovement[[#This Row],[Material]]="","",IF(LEFT(tblMovement[[#This Row],[Material]],3)="Ore",1,0))</f>
        <v/>
      </c>
      <c r="N2069" s="59">
        <f>IF(OR(tblMovement[[#This Row],[Tonnes_t]]="",tblMovement[[#This Row],[Grade_gpt]]=""),0,tblMovement[[#This Row],[Tonnes_t]]*tblMovement[[#This Row],[Grade_gpt]]/cfg_TroyOz)</f>
        <v/>
      </c>
      <c r="O2069" s="59">
        <f>IF(tblMovement[[#This Row],[Is_Ore]]=1,tblMovement[[#This Row],[Contained_oz]],0)</f>
        <v/>
      </c>
    </row>
    <row r="2070">
      <c r="A2070" s="54" t="n"/>
      <c r="B2070" s="61" t="n"/>
      <c r="C2070" s="61" t="n"/>
      <c r="D2070" s="61" t="n"/>
      <c r="E2070" s="61" t="n"/>
      <c r="F2070" s="55" t="n"/>
      <c r="G2070" s="56" t="n"/>
      <c r="H2070" s="55" t="n"/>
      <c r="I2070" s="62" t="n"/>
      <c r="J2070" s="58" t="n"/>
      <c r="K2070" s="63">
        <f>IF(tblMovement[[#This Row],[Source]]="","",IFERROR(INDEX(tblSources[Type],MATCH(tblMovement[[#This Row],[Source]],tblSources[Source],0)),"?"))</f>
        <v/>
      </c>
      <c r="L2070" s="63">
        <f>IF(tblMovement[[#This Row],[Destination]]="","",IFERROR(INDEX(tblDestinations[Type],MATCH(tblMovement[[#This Row],[Destination]],tblDestinations[Destination],0)),"?"))</f>
        <v/>
      </c>
      <c r="M2070" s="64">
        <f>IF(tblMovement[[#This Row],[Material]]="","",IF(LEFT(tblMovement[[#This Row],[Material]],3)="Ore",1,0))</f>
        <v/>
      </c>
      <c r="N2070" s="59">
        <f>IF(OR(tblMovement[[#This Row],[Tonnes_t]]="",tblMovement[[#This Row],[Grade_gpt]]=""),0,tblMovement[[#This Row],[Tonnes_t]]*tblMovement[[#This Row],[Grade_gpt]]/cfg_TroyOz)</f>
        <v/>
      </c>
      <c r="O2070" s="59">
        <f>IF(tblMovement[[#This Row],[Is_Ore]]=1,tblMovement[[#This Row],[Contained_oz]],0)</f>
        <v/>
      </c>
    </row>
    <row r="2071">
      <c r="A2071" s="54" t="n"/>
      <c r="B2071" s="61" t="n"/>
      <c r="C2071" s="61" t="n"/>
      <c r="D2071" s="61" t="n"/>
      <c r="E2071" s="61" t="n"/>
      <c r="F2071" s="55" t="n"/>
      <c r="G2071" s="56" t="n"/>
      <c r="H2071" s="55" t="n"/>
      <c r="I2071" s="62" t="n"/>
      <c r="J2071" s="58" t="n"/>
      <c r="K2071" s="63">
        <f>IF(tblMovement[[#This Row],[Source]]="","",IFERROR(INDEX(tblSources[Type],MATCH(tblMovement[[#This Row],[Source]],tblSources[Source],0)),"?"))</f>
        <v/>
      </c>
      <c r="L2071" s="63">
        <f>IF(tblMovement[[#This Row],[Destination]]="","",IFERROR(INDEX(tblDestinations[Type],MATCH(tblMovement[[#This Row],[Destination]],tblDestinations[Destination],0)),"?"))</f>
        <v/>
      </c>
      <c r="M2071" s="64">
        <f>IF(tblMovement[[#This Row],[Material]]="","",IF(LEFT(tblMovement[[#This Row],[Material]],3)="Ore",1,0))</f>
        <v/>
      </c>
      <c r="N2071" s="59">
        <f>IF(OR(tblMovement[[#This Row],[Tonnes_t]]="",tblMovement[[#This Row],[Grade_gpt]]=""),0,tblMovement[[#This Row],[Tonnes_t]]*tblMovement[[#This Row],[Grade_gpt]]/cfg_TroyOz)</f>
        <v/>
      </c>
      <c r="O2071" s="59">
        <f>IF(tblMovement[[#This Row],[Is_Ore]]=1,tblMovement[[#This Row],[Contained_oz]],0)</f>
        <v/>
      </c>
    </row>
    <row r="2072">
      <c r="A2072" s="54" t="n"/>
      <c r="B2072" s="61" t="n"/>
      <c r="C2072" s="61" t="n"/>
      <c r="D2072" s="61" t="n"/>
      <c r="E2072" s="61" t="n"/>
      <c r="F2072" s="55" t="n"/>
      <c r="G2072" s="56" t="n"/>
      <c r="H2072" s="55" t="n"/>
      <c r="I2072" s="62" t="n"/>
      <c r="J2072" s="58" t="n"/>
      <c r="K2072" s="63">
        <f>IF(tblMovement[[#This Row],[Source]]="","",IFERROR(INDEX(tblSources[Type],MATCH(tblMovement[[#This Row],[Source]],tblSources[Source],0)),"?"))</f>
        <v/>
      </c>
      <c r="L2072" s="63">
        <f>IF(tblMovement[[#This Row],[Destination]]="","",IFERROR(INDEX(tblDestinations[Type],MATCH(tblMovement[[#This Row],[Destination]],tblDestinations[Destination],0)),"?"))</f>
        <v/>
      </c>
      <c r="M2072" s="64">
        <f>IF(tblMovement[[#This Row],[Material]]="","",IF(LEFT(tblMovement[[#This Row],[Material]],3)="Ore",1,0))</f>
        <v/>
      </c>
      <c r="N2072" s="59">
        <f>IF(OR(tblMovement[[#This Row],[Tonnes_t]]="",tblMovement[[#This Row],[Grade_gpt]]=""),0,tblMovement[[#This Row],[Tonnes_t]]*tblMovement[[#This Row],[Grade_gpt]]/cfg_TroyOz)</f>
        <v/>
      </c>
      <c r="O2072" s="59">
        <f>IF(tblMovement[[#This Row],[Is_Ore]]=1,tblMovement[[#This Row],[Contained_oz]],0)</f>
        <v/>
      </c>
    </row>
    <row r="2073">
      <c r="A2073" s="54" t="n"/>
      <c r="B2073" s="61" t="n"/>
      <c r="C2073" s="61" t="n"/>
      <c r="D2073" s="61" t="n"/>
      <c r="E2073" s="61" t="n"/>
      <c r="F2073" s="55" t="n"/>
      <c r="G2073" s="56" t="n"/>
      <c r="H2073" s="55" t="n"/>
      <c r="I2073" s="62" t="n"/>
      <c r="J2073" s="58" t="n"/>
      <c r="K2073" s="63">
        <f>IF(tblMovement[[#This Row],[Source]]="","",IFERROR(INDEX(tblSources[Type],MATCH(tblMovement[[#This Row],[Source]],tblSources[Source],0)),"?"))</f>
        <v/>
      </c>
      <c r="L2073" s="63">
        <f>IF(tblMovement[[#This Row],[Destination]]="","",IFERROR(INDEX(tblDestinations[Type],MATCH(tblMovement[[#This Row],[Destination]],tblDestinations[Destination],0)),"?"))</f>
        <v/>
      </c>
      <c r="M2073" s="64">
        <f>IF(tblMovement[[#This Row],[Material]]="","",IF(LEFT(tblMovement[[#This Row],[Material]],3)="Ore",1,0))</f>
        <v/>
      </c>
      <c r="N2073" s="59">
        <f>IF(OR(tblMovement[[#This Row],[Tonnes_t]]="",tblMovement[[#This Row],[Grade_gpt]]=""),0,tblMovement[[#This Row],[Tonnes_t]]*tblMovement[[#This Row],[Grade_gpt]]/cfg_TroyOz)</f>
        <v/>
      </c>
      <c r="O2073" s="59">
        <f>IF(tblMovement[[#This Row],[Is_Ore]]=1,tblMovement[[#This Row],[Contained_oz]],0)</f>
        <v/>
      </c>
    </row>
    <row r="2074">
      <c r="A2074" s="54" t="n"/>
      <c r="B2074" s="61" t="n"/>
      <c r="C2074" s="61" t="n"/>
      <c r="D2074" s="61" t="n"/>
      <c r="E2074" s="61" t="n"/>
      <c r="F2074" s="55" t="n"/>
      <c r="G2074" s="56" t="n"/>
      <c r="H2074" s="55" t="n"/>
      <c r="I2074" s="62" t="n"/>
      <c r="J2074" s="58" t="n"/>
      <c r="K2074" s="63">
        <f>IF(tblMovement[[#This Row],[Source]]="","",IFERROR(INDEX(tblSources[Type],MATCH(tblMovement[[#This Row],[Source]],tblSources[Source],0)),"?"))</f>
        <v/>
      </c>
      <c r="L2074" s="63">
        <f>IF(tblMovement[[#This Row],[Destination]]="","",IFERROR(INDEX(tblDestinations[Type],MATCH(tblMovement[[#This Row],[Destination]],tblDestinations[Destination],0)),"?"))</f>
        <v/>
      </c>
      <c r="M2074" s="64">
        <f>IF(tblMovement[[#This Row],[Material]]="","",IF(LEFT(tblMovement[[#This Row],[Material]],3)="Ore",1,0))</f>
        <v/>
      </c>
      <c r="N2074" s="59">
        <f>IF(OR(tblMovement[[#This Row],[Tonnes_t]]="",tblMovement[[#This Row],[Grade_gpt]]=""),0,tblMovement[[#This Row],[Tonnes_t]]*tblMovement[[#This Row],[Grade_gpt]]/cfg_TroyOz)</f>
        <v/>
      </c>
      <c r="O2074" s="59">
        <f>IF(tblMovement[[#This Row],[Is_Ore]]=1,tblMovement[[#This Row],[Contained_oz]],0)</f>
        <v/>
      </c>
    </row>
    <row r="2075">
      <c r="A2075" s="54" t="n"/>
      <c r="B2075" s="61" t="n"/>
      <c r="C2075" s="61" t="n"/>
      <c r="D2075" s="61" t="n"/>
      <c r="E2075" s="61" t="n"/>
      <c r="F2075" s="55" t="n"/>
      <c r="G2075" s="56" t="n"/>
      <c r="H2075" s="55" t="n"/>
      <c r="I2075" s="62" t="n"/>
      <c r="J2075" s="58" t="n"/>
      <c r="K2075" s="63">
        <f>IF(tblMovement[[#This Row],[Source]]="","",IFERROR(INDEX(tblSources[Type],MATCH(tblMovement[[#This Row],[Source]],tblSources[Source],0)),"?"))</f>
        <v/>
      </c>
      <c r="L2075" s="63">
        <f>IF(tblMovement[[#This Row],[Destination]]="","",IFERROR(INDEX(tblDestinations[Type],MATCH(tblMovement[[#This Row],[Destination]],tblDestinations[Destination],0)),"?"))</f>
        <v/>
      </c>
      <c r="M2075" s="64">
        <f>IF(tblMovement[[#This Row],[Material]]="","",IF(LEFT(tblMovement[[#This Row],[Material]],3)="Ore",1,0))</f>
        <v/>
      </c>
      <c r="N2075" s="59">
        <f>IF(OR(tblMovement[[#This Row],[Tonnes_t]]="",tblMovement[[#This Row],[Grade_gpt]]=""),0,tblMovement[[#This Row],[Tonnes_t]]*tblMovement[[#This Row],[Grade_gpt]]/cfg_TroyOz)</f>
        <v/>
      </c>
      <c r="O2075" s="59">
        <f>IF(tblMovement[[#This Row],[Is_Ore]]=1,tblMovement[[#This Row],[Contained_oz]],0)</f>
        <v/>
      </c>
    </row>
    <row r="2076">
      <c r="A2076" s="54" t="n"/>
      <c r="B2076" s="61" t="n"/>
      <c r="C2076" s="61" t="n"/>
      <c r="D2076" s="61" t="n"/>
      <c r="E2076" s="61" t="n"/>
      <c r="F2076" s="55" t="n"/>
      <c r="G2076" s="56" t="n"/>
      <c r="H2076" s="55" t="n"/>
      <c r="I2076" s="62" t="n"/>
      <c r="J2076" s="58" t="n"/>
      <c r="K2076" s="63">
        <f>IF(tblMovement[[#This Row],[Source]]="","",IFERROR(INDEX(tblSources[Type],MATCH(tblMovement[[#This Row],[Source]],tblSources[Source],0)),"?"))</f>
        <v/>
      </c>
      <c r="L2076" s="63">
        <f>IF(tblMovement[[#This Row],[Destination]]="","",IFERROR(INDEX(tblDestinations[Type],MATCH(tblMovement[[#This Row],[Destination]],tblDestinations[Destination],0)),"?"))</f>
        <v/>
      </c>
      <c r="M2076" s="64">
        <f>IF(tblMovement[[#This Row],[Material]]="","",IF(LEFT(tblMovement[[#This Row],[Material]],3)="Ore",1,0))</f>
        <v/>
      </c>
      <c r="N2076" s="59">
        <f>IF(OR(tblMovement[[#This Row],[Tonnes_t]]="",tblMovement[[#This Row],[Grade_gpt]]=""),0,tblMovement[[#This Row],[Tonnes_t]]*tblMovement[[#This Row],[Grade_gpt]]/cfg_TroyOz)</f>
        <v/>
      </c>
      <c r="O2076" s="59">
        <f>IF(tblMovement[[#This Row],[Is_Ore]]=1,tblMovement[[#This Row],[Contained_oz]],0)</f>
        <v/>
      </c>
    </row>
    <row r="2077">
      <c r="A2077" s="54" t="n"/>
      <c r="B2077" s="61" t="n"/>
      <c r="C2077" s="61" t="n"/>
      <c r="D2077" s="61" t="n"/>
      <c r="E2077" s="61" t="n"/>
      <c r="F2077" s="55" t="n"/>
      <c r="G2077" s="56" t="n"/>
      <c r="H2077" s="55" t="n"/>
      <c r="I2077" s="62" t="n"/>
      <c r="J2077" s="58" t="n"/>
      <c r="K2077" s="63">
        <f>IF(tblMovement[[#This Row],[Source]]="","",IFERROR(INDEX(tblSources[Type],MATCH(tblMovement[[#This Row],[Source]],tblSources[Source],0)),"?"))</f>
        <v/>
      </c>
      <c r="L2077" s="63">
        <f>IF(tblMovement[[#This Row],[Destination]]="","",IFERROR(INDEX(tblDestinations[Type],MATCH(tblMovement[[#This Row],[Destination]],tblDestinations[Destination],0)),"?"))</f>
        <v/>
      </c>
      <c r="M2077" s="64">
        <f>IF(tblMovement[[#This Row],[Material]]="","",IF(LEFT(tblMovement[[#This Row],[Material]],3)="Ore",1,0))</f>
        <v/>
      </c>
      <c r="N2077" s="59">
        <f>IF(OR(tblMovement[[#This Row],[Tonnes_t]]="",tblMovement[[#This Row],[Grade_gpt]]=""),0,tblMovement[[#This Row],[Tonnes_t]]*tblMovement[[#This Row],[Grade_gpt]]/cfg_TroyOz)</f>
        <v/>
      </c>
      <c r="O2077" s="59">
        <f>IF(tblMovement[[#This Row],[Is_Ore]]=1,tblMovement[[#This Row],[Contained_oz]],0)</f>
        <v/>
      </c>
    </row>
    <row r="2078">
      <c r="A2078" s="54" t="n"/>
      <c r="B2078" s="61" t="n"/>
      <c r="C2078" s="61" t="n"/>
      <c r="D2078" s="61" t="n"/>
      <c r="E2078" s="61" t="n"/>
      <c r="F2078" s="55" t="n"/>
      <c r="G2078" s="56" t="n"/>
      <c r="H2078" s="55" t="n"/>
      <c r="I2078" s="62" t="n"/>
      <c r="J2078" s="58" t="n"/>
      <c r="K2078" s="63">
        <f>IF(tblMovement[[#This Row],[Source]]="","",IFERROR(INDEX(tblSources[Type],MATCH(tblMovement[[#This Row],[Source]],tblSources[Source],0)),"?"))</f>
        <v/>
      </c>
      <c r="L2078" s="63">
        <f>IF(tblMovement[[#This Row],[Destination]]="","",IFERROR(INDEX(tblDestinations[Type],MATCH(tblMovement[[#This Row],[Destination]],tblDestinations[Destination],0)),"?"))</f>
        <v/>
      </c>
      <c r="M2078" s="64">
        <f>IF(tblMovement[[#This Row],[Material]]="","",IF(LEFT(tblMovement[[#This Row],[Material]],3)="Ore",1,0))</f>
        <v/>
      </c>
      <c r="N2078" s="59">
        <f>IF(OR(tblMovement[[#This Row],[Tonnes_t]]="",tblMovement[[#This Row],[Grade_gpt]]=""),0,tblMovement[[#This Row],[Tonnes_t]]*tblMovement[[#This Row],[Grade_gpt]]/cfg_TroyOz)</f>
        <v/>
      </c>
      <c r="O2078" s="59">
        <f>IF(tblMovement[[#This Row],[Is_Ore]]=1,tblMovement[[#This Row],[Contained_oz]],0)</f>
        <v/>
      </c>
    </row>
    <row r="2079">
      <c r="A2079" s="54" t="n"/>
      <c r="B2079" s="61" t="n"/>
      <c r="C2079" s="61" t="n"/>
      <c r="D2079" s="61" t="n"/>
      <c r="E2079" s="61" t="n"/>
      <c r="F2079" s="55" t="n"/>
      <c r="G2079" s="56" t="n"/>
      <c r="H2079" s="55" t="n"/>
      <c r="I2079" s="62" t="n"/>
      <c r="J2079" s="58" t="n"/>
      <c r="K2079" s="63">
        <f>IF(tblMovement[[#This Row],[Source]]="","",IFERROR(INDEX(tblSources[Type],MATCH(tblMovement[[#This Row],[Source]],tblSources[Source],0)),"?"))</f>
        <v/>
      </c>
      <c r="L2079" s="63">
        <f>IF(tblMovement[[#This Row],[Destination]]="","",IFERROR(INDEX(tblDestinations[Type],MATCH(tblMovement[[#This Row],[Destination]],tblDestinations[Destination],0)),"?"))</f>
        <v/>
      </c>
      <c r="M2079" s="64">
        <f>IF(tblMovement[[#This Row],[Material]]="","",IF(LEFT(tblMovement[[#This Row],[Material]],3)="Ore",1,0))</f>
        <v/>
      </c>
      <c r="N2079" s="59">
        <f>IF(OR(tblMovement[[#This Row],[Tonnes_t]]="",tblMovement[[#This Row],[Grade_gpt]]=""),0,tblMovement[[#This Row],[Tonnes_t]]*tblMovement[[#This Row],[Grade_gpt]]/cfg_TroyOz)</f>
        <v/>
      </c>
      <c r="O2079" s="59">
        <f>IF(tblMovement[[#This Row],[Is_Ore]]=1,tblMovement[[#This Row],[Contained_oz]],0)</f>
        <v/>
      </c>
    </row>
    <row r="2080">
      <c r="A2080" s="54" t="n"/>
      <c r="B2080" s="61" t="n"/>
      <c r="C2080" s="61" t="n"/>
      <c r="D2080" s="61" t="n"/>
      <c r="E2080" s="61" t="n"/>
      <c r="F2080" s="55" t="n"/>
      <c r="G2080" s="56" t="n"/>
      <c r="H2080" s="55" t="n"/>
      <c r="I2080" s="62" t="n"/>
      <c r="J2080" s="58" t="n"/>
      <c r="K2080" s="63">
        <f>IF(tblMovement[[#This Row],[Source]]="","",IFERROR(INDEX(tblSources[Type],MATCH(tblMovement[[#This Row],[Source]],tblSources[Source],0)),"?"))</f>
        <v/>
      </c>
      <c r="L2080" s="63">
        <f>IF(tblMovement[[#This Row],[Destination]]="","",IFERROR(INDEX(tblDestinations[Type],MATCH(tblMovement[[#This Row],[Destination]],tblDestinations[Destination],0)),"?"))</f>
        <v/>
      </c>
      <c r="M2080" s="64">
        <f>IF(tblMovement[[#This Row],[Material]]="","",IF(LEFT(tblMovement[[#This Row],[Material]],3)="Ore",1,0))</f>
        <v/>
      </c>
      <c r="N2080" s="59">
        <f>IF(OR(tblMovement[[#This Row],[Tonnes_t]]="",tblMovement[[#This Row],[Grade_gpt]]=""),0,tblMovement[[#This Row],[Tonnes_t]]*tblMovement[[#This Row],[Grade_gpt]]/cfg_TroyOz)</f>
        <v/>
      </c>
      <c r="O2080" s="59">
        <f>IF(tblMovement[[#This Row],[Is_Ore]]=1,tblMovement[[#This Row],[Contained_oz]],0)</f>
        <v/>
      </c>
    </row>
    <row r="2081">
      <c r="A2081" s="54" t="n"/>
      <c r="B2081" s="61" t="n"/>
      <c r="C2081" s="61" t="n"/>
      <c r="D2081" s="61" t="n"/>
      <c r="E2081" s="61" t="n"/>
      <c r="F2081" s="55" t="n"/>
      <c r="G2081" s="56" t="n"/>
      <c r="H2081" s="55" t="n"/>
      <c r="I2081" s="62" t="n"/>
      <c r="J2081" s="58" t="n"/>
      <c r="K2081" s="63">
        <f>IF(tblMovement[[#This Row],[Source]]="","",IFERROR(INDEX(tblSources[Type],MATCH(tblMovement[[#This Row],[Source]],tblSources[Source],0)),"?"))</f>
        <v/>
      </c>
      <c r="L2081" s="63">
        <f>IF(tblMovement[[#This Row],[Destination]]="","",IFERROR(INDEX(tblDestinations[Type],MATCH(tblMovement[[#This Row],[Destination]],tblDestinations[Destination],0)),"?"))</f>
        <v/>
      </c>
      <c r="M2081" s="64">
        <f>IF(tblMovement[[#This Row],[Material]]="","",IF(LEFT(tblMovement[[#This Row],[Material]],3)="Ore",1,0))</f>
        <v/>
      </c>
      <c r="N2081" s="59">
        <f>IF(OR(tblMovement[[#This Row],[Tonnes_t]]="",tblMovement[[#This Row],[Grade_gpt]]=""),0,tblMovement[[#This Row],[Tonnes_t]]*tblMovement[[#This Row],[Grade_gpt]]/cfg_TroyOz)</f>
        <v/>
      </c>
      <c r="O2081" s="59">
        <f>IF(tblMovement[[#This Row],[Is_Ore]]=1,tblMovement[[#This Row],[Contained_oz]],0)</f>
        <v/>
      </c>
    </row>
    <row r="2082">
      <c r="A2082" s="54" t="n"/>
      <c r="B2082" s="61" t="n"/>
      <c r="C2082" s="61" t="n"/>
      <c r="D2082" s="61" t="n"/>
      <c r="E2082" s="61" t="n"/>
      <c r="F2082" s="55" t="n"/>
      <c r="G2082" s="56" t="n"/>
      <c r="H2082" s="55" t="n"/>
      <c r="I2082" s="62" t="n"/>
      <c r="J2082" s="58" t="n"/>
      <c r="K2082" s="63">
        <f>IF(tblMovement[[#This Row],[Source]]="","",IFERROR(INDEX(tblSources[Type],MATCH(tblMovement[[#This Row],[Source]],tblSources[Source],0)),"?"))</f>
        <v/>
      </c>
      <c r="L2082" s="63">
        <f>IF(tblMovement[[#This Row],[Destination]]="","",IFERROR(INDEX(tblDestinations[Type],MATCH(tblMovement[[#This Row],[Destination]],tblDestinations[Destination],0)),"?"))</f>
        <v/>
      </c>
      <c r="M2082" s="64">
        <f>IF(tblMovement[[#This Row],[Material]]="","",IF(LEFT(tblMovement[[#This Row],[Material]],3)="Ore",1,0))</f>
        <v/>
      </c>
      <c r="N2082" s="59">
        <f>IF(OR(tblMovement[[#This Row],[Tonnes_t]]="",tblMovement[[#This Row],[Grade_gpt]]=""),0,tblMovement[[#This Row],[Tonnes_t]]*tblMovement[[#This Row],[Grade_gpt]]/cfg_TroyOz)</f>
        <v/>
      </c>
      <c r="O2082" s="59">
        <f>IF(tblMovement[[#This Row],[Is_Ore]]=1,tblMovement[[#This Row],[Contained_oz]],0)</f>
        <v/>
      </c>
    </row>
    <row r="2083">
      <c r="A2083" s="54" t="n"/>
      <c r="B2083" s="61" t="n"/>
      <c r="C2083" s="61" t="n"/>
      <c r="D2083" s="61" t="n"/>
      <c r="E2083" s="61" t="n"/>
      <c r="F2083" s="55" t="n"/>
      <c r="G2083" s="56" t="n"/>
      <c r="H2083" s="55" t="n"/>
      <c r="I2083" s="62" t="n"/>
      <c r="J2083" s="58" t="n"/>
      <c r="K2083" s="63">
        <f>IF(tblMovement[[#This Row],[Source]]="","",IFERROR(INDEX(tblSources[Type],MATCH(tblMovement[[#This Row],[Source]],tblSources[Source],0)),"?"))</f>
        <v/>
      </c>
      <c r="L2083" s="63">
        <f>IF(tblMovement[[#This Row],[Destination]]="","",IFERROR(INDEX(tblDestinations[Type],MATCH(tblMovement[[#This Row],[Destination]],tblDestinations[Destination],0)),"?"))</f>
        <v/>
      </c>
      <c r="M2083" s="64">
        <f>IF(tblMovement[[#This Row],[Material]]="","",IF(LEFT(tblMovement[[#This Row],[Material]],3)="Ore",1,0))</f>
        <v/>
      </c>
      <c r="N2083" s="59">
        <f>IF(OR(tblMovement[[#This Row],[Tonnes_t]]="",tblMovement[[#This Row],[Grade_gpt]]=""),0,tblMovement[[#This Row],[Tonnes_t]]*tblMovement[[#This Row],[Grade_gpt]]/cfg_TroyOz)</f>
        <v/>
      </c>
      <c r="O2083" s="59">
        <f>IF(tblMovement[[#This Row],[Is_Ore]]=1,tblMovement[[#This Row],[Contained_oz]],0)</f>
        <v/>
      </c>
    </row>
    <row r="2084">
      <c r="A2084" s="54" t="n"/>
      <c r="B2084" s="61" t="n"/>
      <c r="C2084" s="61" t="n"/>
      <c r="D2084" s="61" t="n"/>
      <c r="E2084" s="61" t="n"/>
      <c r="F2084" s="55" t="n"/>
      <c r="G2084" s="56" t="n"/>
      <c r="H2084" s="55" t="n"/>
      <c r="I2084" s="62" t="n"/>
      <c r="J2084" s="58" t="n"/>
      <c r="K2084" s="63">
        <f>IF(tblMovement[[#This Row],[Source]]="","",IFERROR(INDEX(tblSources[Type],MATCH(tblMovement[[#This Row],[Source]],tblSources[Source],0)),"?"))</f>
        <v/>
      </c>
      <c r="L2084" s="63">
        <f>IF(tblMovement[[#This Row],[Destination]]="","",IFERROR(INDEX(tblDestinations[Type],MATCH(tblMovement[[#This Row],[Destination]],tblDestinations[Destination],0)),"?"))</f>
        <v/>
      </c>
      <c r="M2084" s="64">
        <f>IF(tblMovement[[#This Row],[Material]]="","",IF(LEFT(tblMovement[[#This Row],[Material]],3)="Ore",1,0))</f>
        <v/>
      </c>
      <c r="N2084" s="59">
        <f>IF(OR(tblMovement[[#This Row],[Tonnes_t]]="",tblMovement[[#This Row],[Grade_gpt]]=""),0,tblMovement[[#This Row],[Tonnes_t]]*tblMovement[[#This Row],[Grade_gpt]]/cfg_TroyOz)</f>
        <v/>
      </c>
      <c r="O2084" s="59">
        <f>IF(tblMovement[[#This Row],[Is_Ore]]=1,tblMovement[[#This Row],[Contained_oz]],0)</f>
        <v/>
      </c>
    </row>
    <row r="2085">
      <c r="A2085" s="54" t="n"/>
      <c r="B2085" s="61" t="n"/>
      <c r="C2085" s="61" t="n"/>
      <c r="D2085" s="61" t="n"/>
      <c r="E2085" s="61" t="n"/>
      <c r="F2085" s="55" t="n"/>
      <c r="G2085" s="56" t="n"/>
      <c r="H2085" s="55" t="n"/>
      <c r="I2085" s="62" t="n"/>
      <c r="J2085" s="58" t="n"/>
      <c r="K2085" s="63">
        <f>IF(tblMovement[[#This Row],[Source]]="","",IFERROR(INDEX(tblSources[Type],MATCH(tblMovement[[#This Row],[Source]],tblSources[Source],0)),"?"))</f>
        <v/>
      </c>
      <c r="L2085" s="63">
        <f>IF(tblMovement[[#This Row],[Destination]]="","",IFERROR(INDEX(tblDestinations[Type],MATCH(tblMovement[[#This Row],[Destination]],tblDestinations[Destination],0)),"?"))</f>
        <v/>
      </c>
      <c r="M2085" s="64">
        <f>IF(tblMovement[[#This Row],[Material]]="","",IF(LEFT(tblMovement[[#This Row],[Material]],3)="Ore",1,0))</f>
        <v/>
      </c>
      <c r="N2085" s="59">
        <f>IF(OR(tblMovement[[#This Row],[Tonnes_t]]="",tblMovement[[#This Row],[Grade_gpt]]=""),0,tblMovement[[#This Row],[Tonnes_t]]*tblMovement[[#This Row],[Grade_gpt]]/cfg_TroyOz)</f>
        <v/>
      </c>
      <c r="O2085" s="59">
        <f>IF(tblMovement[[#This Row],[Is_Ore]]=1,tblMovement[[#This Row],[Contained_oz]],0)</f>
        <v/>
      </c>
    </row>
    <row r="2086">
      <c r="A2086" s="54" t="n"/>
      <c r="B2086" s="61" t="n"/>
      <c r="C2086" s="61" t="n"/>
      <c r="D2086" s="61" t="n"/>
      <c r="E2086" s="61" t="n"/>
      <c r="F2086" s="55" t="n"/>
      <c r="G2086" s="56" t="n"/>
      <c r="H2086" s="55" t="n"/>
      <c r="I2086" s="62" t="n"/>
      <c r="J2086" s="58" t="n"/>
      <c r="K2086" s="63">
        <f>IF(tblMovement[[#This Row],[Source]]="","",IFERROR(INDEX(tblSources[Type],MATCH(tblMovement[[#This Row],[Source]],tblSources[Source],0)),"?"))</f>
        <v/>
      </c>
      <c r="L2086" s="63">
        <f>IF(tblMovement[[#This Row],[Destination]]="","",IFERROR(INDEX(tblDestinations[Type],MATCH(tblMovement[[#This Row],[Destination]],tblDestinations[Destination],0)),"?"))</f>
        <v/>
      </c>
      <c r="M2086" s="64">
        <f>IF(tblMovement[[#This Row],[Material]]="","",IF(LEFT(tblMovement[[#This Row],[Material]],3)="Ore",1,0))</f>
        <v/>
      </c>
      <c r="N2086" s="59">
        <f>IF(OR(tblMovement[[#This Row],[Tonnes_t]]="",tblMovement[[#This Row],[Grade_gpt]]=""),0,tblMovement[[#This Row],[Tonnes_t]]*tblMovement[[#This Row],[Grade_gpt]]/cfg_TroyOz)</f>
        <v/>
      </c>
      <c r="O2086" s="59">
        <f>IF(tblMovement[[#This Row],[Is_Ore]]=1,tblMovement[[#This Row],[Contained_oz]],0)</f>
        <v/>
      </c>
    </row>
    <row r="2087">
      <c r="A2087" s="54" t="n"/>
      <c r="B2087" s="61" t="n"/>
      <c r="C2087" s="61" t="n"/>
      <c r="D2087" s="61" t="n"/>
      <c r="E2087" s="61" t="n"/>
      <c r="F2087" s="55" t="n"/>
      <c r="G2087" s="56" t="n"/>
      <c r="H2087" s="55" t="n"/>
      <c r="I2087" s="62" t="n"/>
      <c r="J2087" s="58" t="n"/>
      <c r="K2087" s="63">
        <f>IF(tblMovement[[#This Row],[Source]]="","",IFERROR(INDEX(tblSources[Type],MATCH(tblMovement[[#This Row],[Source]],tblSources[Source],0)),"?"))</f>
        <v/>
      </c>
      <c r="L2087" s="63">
        <f>IF(tblMovement[[#This Row],[Destination]]="","",IFERROR(INDEX(tblDestinations[Type],MATCH(tblMovement[[#This Row],[Destination]],tblDestinations[Destination],0)),"?"))</f>
        <v/>
      </c>
      <c r="M2087" s="64">
        <f>IF(tblMovement[[#This Row],[Material]]="","",IF(LEFT(tblMovement[[#This Row],[Material]],3)="Ore",1,0))</f>
        <v/>
      </c>
      <c r="N2087" s="59">
        <f>IF(OR(tblMovement[[#This Row],[Tonnes_t]]="",tblMovement[[#This Row],[Grade_gpt]]=""),0,tblMovement[[#This Row],[Tonnes_t]]*tblMovement[[#This Row],[Grade_gpt]]/cfg_TroyOz)</f>
        <v/>
      </c>
      <c r="O2087" s="59">
        <f>IF(tblMovement[[#This Row],[Is_Ore]]=1,tblMovement[[#This Row],[Contained_oz]],0)</f>
        <v/>
      </c>
    </row>
    <row r="2088">
      <c r="A2088" s="54" t="n"/>
      <c r="B2088" s="61" t="n"/>
      <c r="C2088" s="61" t="n"/>
      <c r="D2088" s="61" t="n"/>
      <c r="E2088" s="61" t="n"/>
      <c r="F2088" s="55" t="n"/>
      <c r="G2088" s="56" t="n"/>
      <c r="H2088" s="55" t="n"/>
      <c r="I2088" s="62" t="n"/>
      <c r="J2088" s="58" t="n"/>
      <c r="K2088" s="63">
        <f>IF(tblMovement[[#This Row],[Source]]="","",IFERROR(INDEX(tblSources[Type],MATCH(tblMovement[[#This Row],[Source]],tblSources[Source],0)),"?"))</f>
        <v/>
      </c>
      <c r="L2088" s="63">
        <f>IF(tblMovement[[#This Row],[Destination]]="","",IFERROR(INDEX(tblDestinations[Type],MATCH(tblMovement[[#This Row],[Destination]],tblDestinations[Destination],0)),"?"))</f>
        <v/>
      </c>
      <c r="M2088" s="64">
        <f>IF(tblMovement[[#This Row],[Material]]="","",IF(LEFT(tblMovement[[#This Row],[Material]],3)="Ore",1,0))</f>
        <v/>
      </c>
      <c r="N2088" s="59">
        <f>IF(OR(tblMovement[[#This Row],[Tonnes_t]]="",tblMovement[[#This Row],[Grade_gpt]]=""),0,tblMovement[[#This Row],[Tonnes_t]]*tblMovement[[#This Row],[Grade_gpt]]/cfg_TroyOz)</f>
        <v/>
      </c>
      <c r="O2088" s="59">
        <f>IF(tblMovement[[#This Row],[Is_Ore]]=1,tblMovement[[#This Row],[Contained_oz]],0)</f>
        <v/>
      </c>
    </row>
    <row r="2089">
      <c r="A2089" s="54" t="n"/>
      <c r="B2089" s="61" t="n"/>
      <c r="C2089" s="61" t="n"/>
      <c r="D2089" s="61" t="n"/>
      <c r="E2089" s="61" t="n"/>
      <c r="F2089" s="55" t="n"/>
      <c r="G2089" s="56" t="n"/>
      <c r="H2089" s="55" t="n"/>
      <c r="I2089" s="62" t="n"/>
      <c r="J2089" s="58" t="n"/>
      <c r="K2089" s="63">
        <f>IF(tblMovement[[#This Row],[Source]]="","",IFERROR(INDEX(tblSources[Type],MATCH(tblMovement[[#This Row],[Source]],tblSources[Source],0)),"?"))</f>
        <v/>
      </c>
      <c r="L2089" s="63">
        <f>IF(tblMovement[[#This Row],[Destination]]="","",IFERROR(INDEX(tblDestinations[Type],MATCH(tblMovement[[#This Row],[Destination]],tblDestinations[Destination],0)),"?"))</f>
        <v/>
      </c>
      <c r="M2089" s="64">
        <f>IF(tblMovement[[#This Row],[Material]]="","",IF(LEFT(tblMovement[[#This Row],[Material]],3)="Ore",1,0))</f>
        <v/>
      </c>
      <c r="N2089" s="59">
        <f>IF(OR(tblMovement[[#This Row],[Tonnes_t]]="",tblMovement[[#This Row],[Grade_gpt]]=""),0,tblMovement[[#This Row],[Tonnes_t]]*tblMovement[[#This Row],[Grade_gpt]]/cfg_TroyOz)</f>
        <v/>
      </c>
      <c r="O2089" s="59">
        <f>IF(tblMovement[[#This Row],[Is_Ore]]=1,tblMovement[[#This Row],[Contained_oz]],0)</f>
        <v/>
      </c>
    </row>
    <row r="2090">
      <c r="A2090" s="54" t="n"/>
      <c r="B2090" s="61" t="n"/>
      <c r="C2090" s="61" t="n"/>
      <c r="D2090" s="61" t="n"/>
      <c r="E2090" s="61" t="n"/>
      <c r="F2090" s="55" t="n"/>
      <c r="G2090" s="56" t="n"/>
      <c r="H2090" s="55" t="n"/>
      <c r="I2090" s="62" t="n"/>
      <c r="J2090" s="58" t="n"/>
      <c r="K2090" s="63">
        <f>IF(tblMovement[[#This Row],[Source]]="","",IFERROR(INDEX(tblSources[Type],MATCH(tblMovement[[#This Row],[Source]],tblSources[Source],0)),"?"))</f>
        <v/>
      </c>
      <c r="L2090" s="63">
        <f>IF(tblMovement[[#This Row],[Destination]]="","",IFERROR(INDEX(tblDestinations[Type],MATCH(tblMovement[[#This Row],[Destination]],tblDestinations[Destination],0)),"?"))</f>
        <v/>
      </c>
      <c r="M2090" s="64">
        <f>IF(tblMovement[[#This Row],[Material]]="","",IF(LEFT(tblMovement[[#This Row],[Material]],3)="Ore",1,0))</f>
        <v/>
      </c>
      <c r="N2090" s="59">
        <f>IF(OR(tblMovement[[#This Row],[Tonnes_t]]="",tblMovement[[#This Row],[Grade_gpt]]=""),0,tblMovement[[#This Row],[Tonnes_t]]*tblMovement[[#This Row],[Grade_gpt]]/cfg_TroyOz)</f>
        <v/>
      </c>
      <c r="O2090" s="59">
        <f>IF(tblMovement[[#This Row],[Is_Ore]]=1,tblMovement[[#This Row],[Contained_oz]],0)</f>
        <v/>
      </c>
    </row>
    <row r="2091">
      <c r="A2091" s="54" t="n"/>
      <c r="B2091" s="61" t="n"/>
      <c r="C2091" s="61" t="n"/>
      <c r="D2091" s="61" t="n"/>
      <c r="E2091" s="61" t="n"/>
      <c r="F2091" s="55" t="n"/>
      <c r="G2091" s="56" t="n"/>
      <c r="H2091" s="55" t="n"/>
      <c r="I2091" s="62" t="n"/>
      <c r="J2091" s="58" t="n"/>
      <c r="K2091" s="63">
        <f>IF(tblMovement[[#This Row],[Source]]="","",IFERROR(INDEX(tblSources[Type],MATCH(tblMovement[[#This Row],[Source]],tblSources[Source],0)),"?"))</f>
        <v/>
      </c>
      <c r="L2091" s="63">
        <f>IF(tblMovement[[#This Row],[Destination]]="","",IFERROR(INDEX(tblDestinations[Type],MATCH(tblMovement[[#This Row],[Destination]],tblDestinations[Destination],0)),"?"))</f>
        <v/>
      </c>
      <c r="M2091" s="64">
        <f>IF(tblMovement[[#This Row],[Material]]="","",IF(LEFT(tblMovement[[#This Row],[Material]],3)="Ore",1,0))</f>
        <v/>
      </c>
      <c r="N2091" s="59">
        <f>IF(OR(tblMovement[[#This Row],[Tonnes_t]]="",tblMovement[[#This Row],[Grade_gpt]]=""),0,tblMovement[[#This Row],[Tonnes_t]]*tblMovement[[#This Row],[Grade_gpt]]/cfg_TroyOz)</f>
        <v/>
      </c>
      <c r="O2091" s="59">
        <f>IF(tblMovement[[#This Row],[Is_Ore]]=1,tblMovement[[#This Row],[Contained_oz]],0)</f>
        <v/>
      </c>
    </row>
    <row r="2092">
      <c r="A2092" s="54" t="n"/>
      <c r="B2092" s="61" t="n"/>
      <c r="C2092" s="61" t="n"/>
      <c r="D2092" s="61" t="n"/>
      <c r="E2092" s="61" t="n"/>
      <c r="F2092" s="55" t="n"/>
      <c r="G2092" s="56" t="n"/>
      <c r="H2092" s="55" t="n"/>
      <c r="I2092" s="62" t="n"/>
      <c r="J2092" s="58" t="n"/>
      <c r="K2092" s="63">
        <f>IF(tblMovement[[#This Row],[Source]]="","",IFERROR(INDEX(tblSources[Type],MATCH(tblMovement[[#This Row],[Source]],tblSources[Source],0)),"?"))</f>
        <v/>
      </c>
      <c r="L2092" s="63">
        <f>IF(tblMovement[[#This Row],[Destination]]="","",IFERROR(INDEX(tblDestinations[Type],MATCH(tblMovement[[#This Row],[Destination]],tblDestinations[Destination],0)),"?"))</f>
        <v/>
      </c>
      <c r="M2092" s="64">
        <f>IF(tblMovement[[#This Row],[Material]]="","",IF(LEFT(tblMovement[[#This Row],[Material]],3)="Ore",1,0))</f>
        <v/>
      </c>
      <c r="N2092" s="59">
        <f>IF(OR(tblMovement[[#This Row],[Tonnes_t]]="",tblMovement[[#This Row],[Grade_gpt]]=""),0,tblMovement[[#This Row],[Tonnes_t]]*tblMovement[[#This Row],[Grade_gpt]]/cfg_TroyOz)</f>
        <v/>
      </c>
      <c r="O2092" s="59">
        <f>IF(tblMovement[[#This Row],[Is_Ore]]=1,tblMovement[[#This Row],[Contained_oz]],0)</f>
        <v/>
      </c>
    </row>
    <row r="2093">
      <c r="A2093" s="54" t="n"/>
      <c r="B2093" s="61" t="n"/>
      <c r="C2093" s="61" t="n"/>
      <c r="D2093" s="61" t="n"/>
      <c r="E2093" s="61" t="n"/>
      <c r="F2093" s="55" t="n"/>
      <c r="G2093" s="56" t="n"/>
      <c r="H2093" s="55" t="n"/>
      <c r="I2093" s="62" t="n"/>
      <c r="J2093" s="58" t="n"/>
      <c r="K2093" s="63">
        <f>IF(tblMovement[[#This Row],[Source]]="","",IFERROR(INDEX(tblSources[Type],MATCH(tblMovement[[#This Row],[Source]],tblSources[Source],0)),"?"))</f>
        <v/>
      </c>
      <c r="L2093" s="63">
        <f>IF(tblMovement[[#This Row],[Destination]]="","",IFERROR(INDEX(tblDestinations[Type],MATCH(tblMovement[[#This Row],[Destination]],tblDestinations[Destination],0)),"?"))</f>
        <v/>
      </c>
      <c r="M2093" s="64">
        <f>IF(tblMovement[[#This Row],[Material]]="","",IF(LEFT(tblMovement[[#This Row],[Material]],3)="Ore",1,0))</f>
        <v/>
      </c>
      <c r="N2093" s="59">
        <f>IF(OR(tblMovement[[#This Row],[Tonnes_t]]="",tblMovement[[#This Row],[Grade_gpt]]=""),0,tblMovement[[#This Row],[Tonnes_t]]*tblMovement[[#This Row],[Grade_gpt]]/cfg_TroyOz)</f>
        <v/>
      </c>
      <c r="O2093" s="59">
        <f>IF(tblMovement[[#This Row],[Is_Ore]]=1,tblMovement[[#This Row],[Contained_oz]],0)</f>
        <v/>
      </c>
    </row>
    <row r="2094">
      <c r="A2094" s="54" t="n"/>
      <c r="B2094" s="61" t="n"/>
      <c r="C2094" s="61" t="n"/>
      <c r="D2094" s="61" t="n"/>
      <c r="E2094" s="61" t="n"/>
      <c r="F2094" s="55" t="n"/>
      <c r="G2094" s="56" t="n"/>
      <c r="H2094" s="55" t="n"/>
      <c r="I2094" s="62" t="n"/>
      <c r="J2094" s="58" t="n"/>
      <c r="K2094" s="63">
        <f>IF(tblMovement[[#This Row],[Source]]="","",IFERROR(INDEX(tblSources[Type],MATCH(tblMovement[[#This Row],[Source]],tblSources[Source],0)),"?"))</f>
        <v/>
      </c>
      <c r="L2094" s="63">
        <f>IF(tblMovement[[#This Row],[Destination]]="","",IFERROR(INDEX(tblDestinations[Type],MATCH(tblMovement[[#This Row],[Destination]],tblDestinations[Destination],0)),"?"))</f>
        <v/>
      </c>
      <c r="M2094" s="64">
        <f>IF(tblMovement[[#This Row],[Material]]="","",IF(LEFT(tblMovement[[#This Row],[Material]],3)="Ore",1,0))</f>
        <v/>
      </c>
      <c r="N2094" s="59">
        <f>IF(OR(tblMovement[[#This Row],[Tonnes_t]]="",tblMovement[[#This Row],[Grade_gpt]]=""),0,tblMovement[[#This Row],[Tonnes_t]]*tblMovement[[#This Row],[Grade_gpt]]/cfg_TroyOz)</f>
        <v/>
      </c>
      <c r="O2094" s="59">
        <f>IF(tblMovement[[#This Row],[Is_Ore]]=1,tblMovement[[#This Row],[Contained_oz]],0)</f>
        <v/>
      </c>
    </row>
    <row r="2095">
      <c r="A2095" s="54" t="n"/>
      <c r="B2095" s="61" t="n"/>
      <c r="C2095" s="61" t="n"/>
      <c r="D2095" s="61" t="n"/>
      <c r="E2095" s="61" t="n"/>
      <c r="F2095" s="55" t="n"/>
      <c r="G2095" s="56" t="n"/>
      <c r="H2095" s="55" t="n"/>
      <c r="I2095" s="62" t="n"/>
      <c r="J2095" s="58" t="n"/>
      <c r="K2095" s="63">
        <f>IF(tblMovement[[#This Row],[Source]]="","",IFERROR(INDEX(tblSources[Type],MATCH(tblMovement[[#This Row],[Source]],tblSources[Source],0)),"?"))</f>
        <v/>
      </c>
      <c r="L2095" s="63">
        <f>IF(tblMovement[[#This Row],[Destination]]="","",IFERROR(INDEX(tblDestinations[Type],MATCH(tblMovement[[#This Row],[Destination]],tblDestinations[Destination],0)),"?"))</f>
        <v/>
      </c>
      <c r="M2095" s="64">
        <f>IF(tblMovement[[#This Row],[Material]]="","",IF(LEFT(tblMovement[[#This Row],[Material]],3)="Ore",1,0))</f>
        <v/>
      </c>
      <c r="N2095" s="59">
        <f>IF(OR(tblMovement[[#This Row],[Tonnes_t]]="",tblMovement[[#This Row],[Grade_gpt]]=""),0,tblMovement[[#This Row],[Tonnes_t]]*tblMovement[[#This Row],[Grade_gpt]]/cfg_TroyOz)</f>
        <v/>
      </c>
      <c r="O2095" s="59">
        <f>IF(tblMovement[[#This Row],[Is_Ore]]=1,tblMovement[[#This Row],[Contained_oz]],0)</f>
        <v/>
      </c>
    </row>
    <row r="2096">
      <c r="A2096" s="54" t="n"/>
      <c r="B2096" s="61" t="n"/>
      <c r="C2096" s="61" t="n"/>
      <c r="D2096" s="61" t="n"/>
      <c r="E2096" s="61" t="n"/>
      <c r="F2096" s="55" t="n"/>
      <c r="G2096" s="56" t="n"/>
      <c r="H2096" s="55" t="n"/>
      <c r="I2096" s="62" t="n"/>
      <c r="J2096" s="58" t="n"/>
      <c r="K2096" s="63">
        <f>IF(tblMovement[[#This Row],[Source]]="","",IFERROR(INDEX(tblSources[Type],MATCH(tblMovement[[#This Row],[Source]],tblSources[Source],0)),"?"))</f>
        <v/>
      </c>
      <c r="L2096" s="63">
        <f>IF(tblMovement[[#This Row],[Destination]]="","",IFERROR(INDEX(tblDestinations[Type],MATCH(tblMovement[[#This Row],[Destination]],tblDestinations[Destination],0)),"?"))</f>
        <v/>
      </c>
      <c r="M2096" s="64">
        <f>IF(tblMovement[[#This Row],[Material]]="","",IF(LEFT(tblMovement[[#This Row],[Material]],3)="Ore",1,0))</f>
        <v/>
      </c>
      <c r="N2096" s="59">
        <f>IF(OR(tblMovement[[#This Row],[Tonnes_t]]="",tblMovement[[#This Row],[Grade_gpt]]=""),0,tblMovement[[#This Row],[Tonnes_t]]*tblMovement[[#This Row],[Grade_gpt]]/cfg_TroyOz)</f>
        <v/>
      </c>
      <c r="O2096" s="59">
        <f>IF(tblMovement[[#This Row],[Is_Ore]]=1,tblMovement[[#This Row],[Contained_oz]],0)</f>
        <v/>
      </c>
    </row>
    <row r="2097">
      <c r="A2097" s="54" t="n"/>
      <c r="B2097" s="61" t="n"/>
      <c r="C2097" s="61" t="n"/>
      <c r="D2097" s="61" t="n"/>
      <c r="E2097" s="61" t="n"/>
      <c r="F2097" s="55" t="n"/>
      <c r="G2097" s="56" t="n"/>
      <c r="H2097" s="55" t="n"/>
      <c r="I2097" s="62" t="n"/>
      <c r="J2097" s="58" t="n"/>
      <c r="K2097" s="63">
        <f>IF(tblMovement[[#This Row],[Source]]="","",IFERROR(INDEX(tblSources[Type],MATCH(tblMovement[[#This Row],[Source]],tblSources[Source],0)),"?"))</f>
        <v/>
      </c>
      <c r="L2097" s="63">
        <f>IF(tblMovement[[#This Row],[Destination]]="","",IFERROR(INDEX(tblDestinations[Type],MATCH(tblMovement[[#This Row],[Destination]],tblDestinations[Destination],0)),"?"))</f>
        <v/>
      </c>
      <c r="M2097" s="64">
        <f>IF(tblMovement[[#This Row],[Material]]="","",IF(LEFT(tblMovement[[#This Row],[Material]],3)="Ore",1,0))</f>
        <v/>
      </c>
      <c r="N2097" s="59">
        <f>IF(OR(tblMovement[[#This Row],[Tonnes_t]]="",tblMovement[[#This Row],[Grade_gpt]]=""),0,tblMovement[[#This Row],[Tonnes_t]]*tblMovement[[#This Row],[Grade_gpt]]/cfg_TroyOz)</f>
        <v/>
      </c>
      <c r="O2097" s="59">
        <f>IF(tblMovement[[#This Row],[Is_Ore]]=1,tblMovement[[#This Row],[Contained_oz]],0)</f>
        <v/>
      </c>
    </row>
    <row r="2098">
      <c r="A2098" s="54" t="n"/>
      <c r="B2098" s="61" t="n"/>
      <c r="C2098" s="61" t="n"/>
      <c r="D2098" s="61" t="n"/>
      <c r="E2098" s="61" t="n"/>
      <c r="F2098" s="55" t="n"/>
      <c r="G2098" s="56" t="n"/>
      <c r="H2098" s="55" t="n"/>
      <c r="I2098" s="62" t="n"/>
      <c r="J2098" s="58" t="n"/>
      <c r="K2098" s="63">
        <f>IF(tblMovement[[#This Row],[Source]]="","",IFERROR(INDEX(tblSources[Type],MATCH(tblMovement[[#This Row],[Source]],tblSources[Source],0)),"?"))</f>
        <v/>
      </c>
      <c r="L2098" s="63">
        <f>IF(tblMovement[[#This Row],[Destination]]="","",IFERROR(INDEX(tblDestinations[Type],MATCH(tblMovement[[#This Row],[Destination]],tblDestinations[Destination],0)),"?"))</f>
        <v/>
      </c>
      <c r="M2098" s="64">
        <f>IF(tblMovement[[#This Row],[Material]]="","",IF(LEFT(tblMovement[[#This Row],[Material]],3)="Ore",1,0))</f>
        <v/>
      </c>
      <c r="N2098" s="59">
        <f>IF(OR(tblMovement[[#This Row],[Tonnes_t]]="",tblMovement[[#This Row],[Grade_gpt]]=""),0,tblMovement[[#This Row],[Tonnes_t]]*tblMovement[[#This Row],[Grade_gpt]]/cfg_TroyOz)</f>
        <v/>
      </c>
      <c r="O2098" s="59">
        <f>IF(tblMovement[[#This Row],[Is_Ore]]=1,tblMovement[[#This Row],[Contained_oz]],0)</f>
        <v/>
      </c>
    </row>
    <row r="2099">
      <c r="A2099" s="54" t="n"/>
      <c r="B2099" s="61" t="n"/>
      <c r="C2099" s="61" t="n"/>
      <c r="D2099" s="61" t="n"/>
      <c r="E2099" s="61" t="n"/>
      <c r="F2099" s="55" t="n"/>
      <c r="G2099" s="56" t="n"/>
      <c r="H2099" s="55" t="n"/>
      <c r="I2099" s="62" t="n"/>
      <c r="J2099" s="58" t="n"/>
      <c r="K2099" s="63">
        <f>IF(tblMovement[[#This Row],[Source]]="","",IFERROR(INDEX(tblSources[Type],MATCH(tblMovement[[#This Row],[Source]],tblSources[Source],0)),"?"))</f>
        <v/>
      </c>
      <c r="L2099" s="63">
        <f>IF(tblMovement[[#This Row],[Destination]]="","",IFERROR(INDEX(tblDestinations[Type],MATCH(tblMovement[[#This Row],[Destination]],tblDestinations[Destination],0)),"?"))</f>
        <v/>
      </c>
      <c r="M2099" s="64">
        <f>IF(tblMovement[[#This Row],[Material]]="","",IF(LEFT(tblMovement[[#This Row],[Material]],3)="Ore",1,0))</f>
        <v/>
      </c>
      <c r="N2099" s="59">
        <f>IF(OR(tblMovement[[#This Row],[Tonnes_t]]="",tblMovement[[#This Row],[Grade_gpt]]=""),0,tblMovement[[#This Row],[Tonnes_t]]*tblMovement[[#This Row],[Grade_gpt]]/cfg_TroyOz)</f>
        <v/>
      </c>
      <c r="O2099" s="59">
        <f>IF(tblMovement[[#This Row],[Is_Ore]]=1,tblMovement[[#This Row],[Contained_oz]],0)</f>
        <v/>
      </c>
    </row>
    <row r="2100">
      <c r="A2100" s="54" t="n"/>
      <c r="B2100" s="61" t="n"/>
      <c r="C2100" s="61" t="n"/>
      <c r="D2100" s="61" t="n"/>
      <c r="E2100" s="61" t="n"/>
      <c r="F2100" s="55" t="n"/>
      <c r="G2100" s="56" t="n"/>
      <c r="H2100" s="55" t="n"/>
      <c r="I2100" s="62" t="n"/>
      <c r="J2100" s="58" t="n"/>
      <c r="K2100" s="63">
        <f>IF(tblMovement[[#This Row],[Source]]="","",IFERROR(INDEX(tblSources[Type],MATCH(tblMovement[[#This Row],[Source]],tblSources[Source],0)),"?"))</f>
        <v/>
      </c>
      <c r="L2100" s="63">
        <f>IF(tblMovement[[#This Row],[Destination]]="","",IFERROR(INDEX(tblDestinations[Type],MATCH(tblMovement[[#This Row],[Destination]],tblDestinations[Destination],0)),"?"))</f>
        <v/>
      </c>
      <c r="M2100" s="64">
        <f>IF(tblMovement[[#This Row],[Material]]="","",IF(LEFT(tblMovement[[#This Row],[Material]],3)="Ore",1,0))</f>
        <v/>
      </c>
      <c r="N2100" s="59">
        <f>IF(OR(tblMovement[[#This Row],[Tonnes_t]]="",tblMovement[[#This Row],[Grade_gpt]]=""),0,tblMovement[[#This Row],[Tonnes_t]]*tblMovement[[#This Row],[Grade_gpt]]/cfg_TroyOz)</f>
        <v/>
      </c>
      <c r="O2100" s="59">
        <f>IF(tblMovement[[#This Row],[Is_Ore]]=1,tblMovement[[#This Row],[Contained_oz]],0)</f>
        <v/>
      </c>
    </row>
    <row r="2101">
      <c r="A2101" s="54" t="n"/>
      <c r="B2101" s="61" t="n"/>
      <c r="C2101" s="61" t="n"/>
      <c r="D2101" s="61" t="n"/>
      <c r="E2101" s="61" t="n"/>
      <c r="F2101" s="55" t="n"/>
      <c r="G2101" s="56" t="n"/>
      <c r="H2101" s="55" t="n"/>
      <c r="I2101" s="62" t="n"/>
      <c r="J2101" s="58" t="n"/>
      <c r="K2101" s="63">
        <f>IF(tblMovement[[#This Row],[Source]]="","",IFERROR(INDEX(tblSources[Type],MATCH(tblMovement[[#This Row],[Source]],tblSources[Source],0)),"?"))</f>
        <v/>
      </c>
      <c r="L2101" s="63">
        <f>IF(tblMovement[[#This Row],[Destination]]="","",IFERROR(INDEX(tblDestinations[Type],MATCH(tblMovement[[#This Row],[Destination]],tblDestinations[Destination],0)),"?"))</f>
        <v/>
      </c>
      <c r="M2101" s="64">
        <f>IF(tblMovement[[#This Row],[Material]]="","",IF(LEFT(tblMovement[[#This Row],[Material]],3)="Ore",1,0))</f>
        <v/>
      </c>
      <c r="N2101" s="59">
        <f>IF(OR(tblMovement[[#This Row],[Tonnes_t]]="",tblMovement[[#This Row],[Grade_gpt]]=""),0,tblMovement[[#This Row],[Tonnes_t]]*tblMovement[[#This Row],[Grade_gpt]]/cfg_TroyOz)</f>
        <v/>
      </c>
      <c r="O2101" s="59">
        <f>IF(tblMovement[[#This Row],[Is_Ore]]=1,tblMovement[[#This Row],[Contained_oz]],0)</f>
        <v/>
      </c>
    </row>
    <row r="2102">
      <c r="A2102" s="54" t="n"/>
      <c r="B2102" s="61" t="n"/>
      <c r="C2102" s="61" t="n"/>
      <c r="D2102" s="61" t="n"/>
      <c r="E2102" s="61" t="n"/>
      <c r="F2102" s="55" t="n"/>
      <c r="G2102" s="56" t="n"/>
      <c r="H2102" s="55" t="n"/>
      <c r="I2102" s="62" t="n"/>
      <c r="J2102" s="58" t="n"/>
      <c r="K2102" s="63">
        <f>IF(tblMovement[[#This Row],[Source]]="","",IFERROR(INDEX(tblSources[Type],MATCH(tblMovement[[#This Row],[Source]],tblSources[Source],0)),"?"))</f>
        <v/>
      </c>
      <c r="L2102" s="63">
        <f>IF(tblMovement[[#This Row],[Destination]]="","",IFERROR(INDEX(tblDestinations[Type],MATCH(tblMovement[[#This Row],[Destination]],tblDestinations[Destination],0)),"?"))</f>
        <v/>
      </c>
      <c r="M2102" s="64">
        <f>IF(tblMovement[[#This Row],[Material]]="","",IF(LEFT(tblMovement[[#This Row],[Material]],3)="Ore",1,0))</f>
        <v/>
      </c>
      <c r="N2102" s="59">
        <f>IF(OR(tblMovement[[#This Row],[Tonnes_t]]="",tblMovement[[#This Row],[Grade_gpt]]=""),0,tblMovement[[#This Row],[Tonnes_t]]*tblMovement[[#This Row],[Grade_gpt]]/cfg_TroyOz)</f>
        <v/>
      </c>
      <c r="O2102" s="59">
        <f>IF(tblMovement[[#This Row],[Is_Ore]]=1,tblMovement[[#This Row],[Contained_oz]],0)</f>
        <v/>
      </c>
    </row>
    <row r="2103">
      <c r="A2103" s="54" t="n"/>
      <c r="B2103" s="61" t="n"/>
      <c r="C2103" s="61" t="n"/>
      <c r="D2103" s="61" t="n"/>
      <c r="E2103" s="61" t="n"/>
      <c r="F2103" s="55" t="n"/>
      <c r="G2103" s="56" t="n"/>
      <c r="H2103" s="55" t="n"/>
      <c r="I2103" s="62" t="n"/>
      <c r="J2103" s="58" t="n"/>
      <c r="K2103" s="63">
        <f>IF(tblMovement[[#This Row],[Source]]="","",IFERROR(INDEX(tblSources[Type],MATCH(tblMovement[[#This Row],[Source]],tblSources[Source],0)),"?"))</f>
        <v/>
      </c>
      <c r="L2103" s="63">
        <f>IF(tblMovement[[#This Row],[Destination]]="","",IFERROR(INDEX(tblDestinations[Type],MATCH(tblMovement[[#This Row],[Destination]],tblDestinations[Destination],0)),"?"))</f>
        <v/>
      </c>
      <c r="M2103" s="64">
        <f>IF(tblMovement[[#This Row],[Material]]="","",IF(LEFT(tblMovement[[#This Row],[Material]],3)="Ore",1,0))</f>
        <v/>
      </c>
      <c r="N2103" s="59">
        <f>IF(OR(tblMovement[[#This Row],[Tonnes_t]]="",tblMovement[[#This Row],[Grade_gpt]]=""),0,tblMovement[[#This Row],[Tonnes_t]]*tblMovement[[#This Row],[Grade_gpt]]/cfg_TroyOz)</f>
        <v/>
      </c>
      <c r="O2103" s="59">
        <f>IF(tblMovement[[#This Row],[Is_Ore]]=1,tblMovement[[#This Row],[Contained_oz]],0)</f>
        <v/>
      </c>
    </row>
    <row r="2104">
      <c r="A2104" s="54" t="n"/>
      <c r="B2104" s="61" t="n"/>
      <c r="C2104" s="61" t="n"/>
      <c r="D2104" s="61" t="n"/>
      <c r="E2104" s="61" t="n"/>
      <c r="F2104" s="55" t="n"/>
      <c r="G2104" s="56" t="n"/>
      <c r="H2104" s="55" t="n"/>
      <c r="I2104" s="62" t="n"/>
      <c r="J2104" s="58" t="n"/>
      <c r="K2104" s="63">
        <f>IF(tblMovement[[#This Row],[Source]]="","",IFERROR(INDEX(tblSources[Type],MATCH(tblMovement[[#This Row],[Source]],tblSources[Source],0)),"?"))</f>
        <v/>
      </c>
      <c r="L2104" s="63">
        <f>IF(tblMovement[[#This Row],[Destination]]="","",IFERROR(INDEX(tblDestinations[Type],MATCH(tblMovement[[#This Row],[Destination]],tblDestinations[Destination],0)),"?"))</f>
        <v/>
      </c>
      <c r="M2104" s="64">
        <f>IF(tblMovement[[#This Row],[Material]]="","",IF(LEFT(tblMovement[[#This Row],[Material]],3)="Ore",1,0))</f>
        <v/>
      </c>
      <c r="N2104" s="59">
        <f>IF(OR(tblMovement[[#This Row],[Tonnes_t]]="",tblMovement[[#This Row],[Grade_gpt]]=""),0,tblMovement[[#This Row],[Tonnes_t]]*tblMovement[[#This Row],[Grade_gpt]]/cfg_TroyOz)</f>
        <v/>
      </c>
      <c r="O2104" s="59">
        <f>IF(tblMovement[[#This Row],[Is_Ore]]=1,tblMovement[[#This Row],[Contained_oz]],0)</f>
        <v/>
      </c>
    </row>
    <row r="2105">
      <c r="A2105" s="54" t="n"/>
      <c r="B2105" s="61" t="n"/>
      <c r="C2105" s="61" t="n"/>
      <c r="D2105" s="61" t="n"/>
      <c r="E2105" s="61" t="n"/>
      <c r="F2105" s="55" t="n"/>
      <c r="G2105" s="56" t="n"/>
      <c r="H2105" s="55" t="n"/>
      <c r="I2105" s="62" t="n"/>
      <c r="J2105" s="58" t="n"/>
      <c r="K2105" s="63">
        <f>IF(tblMovement[[#This Row],[Source]]="","",IFERROR(INDEX(tblSources[Type],MATCH(tblMovement[[#This Row],[Source]],tblSources[Source],0)),"?"))</f>
        <v/>
      </c>
      <c r="L2105" s="63">
        <f>IF(tblMovement[[#This Row],[Destination]]="","",IFERROR(INDEX(tblDestinations[Type],MATCH(tblMovement[[#This Row],[Destination]],tblDestinations[Destination],0)),"?"))</f>
        <v/>
      </c>
      <c r="M2105" s="64">
        <f>IF(tblMovement[[#This Row],[Material]]="","",IF(LEFT(tblMovement[[#This Row],[Material]],3)="Ore",1,0))</f>
        <v/>
      </c>
      <c r="N2105" s="59">
        <f>IF(OR(tblMovement[[#This Row],[Tonnes_t]]="",tblMovement[[#This Row],[Grade_gpt]]=""),0,tblMovement[[#This Row],[Tonnes_t]]*tblMovement[[#This Row],[Grade_gpt]]/cfg_TroyOz)</f>
        <v/>
      </c>
      <c r="O2105" s="59">
        <f>IF(tblMovement[[#This Row],[Is_Ore]]=1,tblMovement[[#This Row],[Contained_oz]],0)</f>
        <v/>
      </c>
    </row>
    <row r="2106">
      <c r="A2106" s="54" t="n"/>
      <c r="B2106" s="61" t="n"/>
      <c r="C2106" s="61" t="n"/>
      <c r="D2106" s="61" t="n"/>
      <c r="E2106" s="61" t="n"/>
      <c r="F2106" s="55" t="n"/>
      <c r="G2106" s="56" t="n"/>
      <c r="H2106" s="55" t="n"/>
      <c r="I2106" s="62" t="n"/>
      <c r="J2106" s="58" t="n"/>
      <c r="K2106" s="63">
        <f>IF(tblMovement[[#This Row],[Source]]="","",IFERROR(INDEX(tblSources[Type],MATCH(tblMovement[[#This Row],[Source]],tblSources[Source],0)),"?"))</f>
        <v/>
      </c>
      <c r="L2106" s="63">
        <f>IF(tblMovement[[#This Row],[Destination]]="","",IFERROR(INDEX(tblDestinations[Type],MATCH(tblMovement[[#This Row],[Destination]],tblDestinations[Destination],0)),"?"))</f>
        <v/>
      </c>
      <c r="M2106" s="64">
        <f>IF(tblMovement[[#This Row],[Material]]="","",IF(LEFT(tblMovement[[#This Row],[Material]],3)="Ore",1,0))</f>
        <v/>
      </c>
      <c r="N2106" s="59">
        <f>IF(OR(tblMovement[[#This Row],[Tonnes_t]]="",tblMovement[[#This Row],[Grade_gpt]]=""),0,tblMovement[[#This Row],[Tonnes_t]]*tblMovement[[#This Row],[Grade_gpt]]/cfg_TroyOz)</f>
        <v/>
      </c>
      <c r="O2106" s="59">
        <f>IF(tblMovement[[#This Row],[Is_Ore]]=1,tblMovement[[#This Row],[Contained_oz]],0)</f>
        <v/>
      </c>
    </row>
    <row r="2107">
      <c r="A2107" s="54" t="n"/>
      <c r="B2107" s="61" t="n"/>
      <c r="C2107" s="61" t="n"/>
      <c r="D2107" s="61" t="n"/>
      <c r="E2107" s="61" t="n"/>
      <c r="F2107" s="55" t="n"/>
      <c r="G2107" s="56" t="n"/>
      <c r="H2107" s="55" t="n"/>
      <c r="I2107" s="62" t="n"/>
      <c r="J2107" s="58" t="n"/>
      <c r="K2107" s="63">
        <f>IF(tblMovement[[#This Row],[Source]]="","",IFERROR(INDEX(tblSources[Type],MATCH(tblMovement[[#This Row],[Source]],tblSources[Source],0)),"?"))</f>
        <v/>
      </c>
      <c r="L2107" s="63">
        <f>IF(tblMovement[[#This Row],[Destination]]="","",IFERROR(INDEX(tblDestinations[Type],MATCH(tblMovement[[#This Row],[Destination]],tblDestinations[Destination],0)),"?"))</f>
        <v/>
      </c>
      <c r="M2107" s="64">
        <f>IF(tblMovement[[#This Row],[Material]]="","",IF(LEFT(tblMovement[[#This Row],[Material]],3)="Ore",1,0))</f>
        <v/>
      </c>
      <c r="N2107" s="59">
        <f>IF(OR(tblMovement[[#This Row],[Tonnes_t]]="",tblMovement[[#This Row],[Grade_gpt]]=""),0,tblMovement[[#This Row],[Tonnes_t]]*tblMovement[[#This Row],[Grade_gpt]]/cfg_TroyOz)</f>
        <v/>
      </c>
      <c r="O2107" s="59">
        <f>IF(tblMovement[[#This Row],[Is_Ore]]=1,tblMovement[[#This Row],[Contained_oz]],0)</f>
        <v/>
      </c>
    </row>
    <row r="2108">
      <c r="A2108" s="54" t="n"/>
      <c r="B2108" s="61" t="n"/>
      <c r="C2108" s="61" t="n"/>
      <c r="D2108" s="61" t="n"/>
      <c r="E2108" s="61" t="n"/>
      <c r="F2108" s="55" t="n"/>
      <c r="G2108" s="56" t="n"/>
      <c r="H2108" s="55" t="n"/>
      <c r="I2108" s="62" t="n"/>
      <c r="J2108" s="58" t="n"/>
      <c r="K2108" s="63">
        <f>IF(tblMovement[[#This Row],[Source]]="","",IFERROR(INDEX(tblSources[Type],MATCH(tblMovement[[#This Row],[Source]],tblSources[Source],0)),"?"))</f>
        <v/>
      </c>
      <c r="L2108" s="63">
        <f>IF(tblMovement[[#This Row],[Destination]]="","",IFERROR(INDEX(tblDestinations[Type],MATCH(tblMovement[[#This Row],[Destination]],tblDestinations[Destination],0)),"?"))</f>
        <v/>
      </c>
      <c r="M2108" s="64">
        <f>IF(tblMovement[[#This Row],[Material]]="","",IF(LEFT(tblMovement[[#This Row],[Material]],3)="Ore",1,0))</f>
        <v/>
      </c>
      <c r="N2108" s="59">
        <f>IF(OR(tblMovement[[#This Row],[Tonnes_t]]="",tblMovement[[#This Row],[Grade_gpt]]=""),0,tblMovement[[#This Row],[Tonnes_t]]*tblMovement[[#This Row],[Grade_gpt]]/cfg_TroyOz)</f>
        <v/>
      </c>
      <c r="O2108" s="59">
        <f>IF(tblMovement[[#This Row],[Is_Ore]]=1,tblMovement[[#This Row],[Contained_oz]],0)</f>
        <v/>
      </c>
    </row>
    <row r="2109">
      <c r="A2109" s="54" t="n"/>
      <c r="B2109" s="61" t="n"/>
      <c r="C2109" s="61" t="n"/>
      <c r="D2109" s="61" t="n"/>
      <c r="E2109" s="61" t="n"/>
      <c r="F2109" s="55" t="n"/>
      <c r="G2109" s="56" t="n"/>
      <c r="H2109" s="55" t="n"/>
      <c r="I2109" s="62" t="n"/>
      <c r="J2109" s="58" t="n"/>
      <c r="K2109" s="63">
        <f>IF(tblMovement[[#This Row],[Source]]="","",IFERROR(INDEX(tblSources[Type],MATCH(tblMovement[[#This Row],[Source]],tblSources[Source],0)),"?"))</f>
        <v/>
      </c>
      <c r="L2109" s="63">
        <f>IF(tblMovement[[#This Row],[Destination]]="","",IFERROR(INDEX(tblDestinations[Type],MATCH(tblMovement[[#This Row],[Destination]],tblDestinations[Destination],0)),"?"))</f>
        <v/>
      </c>
      <c r="M2109" s="64">
        <f>IF(tblMovement[[#This Row],[Material]]="","",IF(LEFT(tblMovement[[#This Row],[Material]],3)="Ore",1,0))</f>
        <v/>
      </c>
      <c r="N2109" s="59">
        <f>IF(OR(tblMovement[[#This Row],[Tonnes_t]]="",tblMovement[[#This Row],[Grade_gpt]]=""),0,tblMovement[[#This Row],[Tonnes_t]]*tblMovement[[#This Row],[Grade_gpt]]/cfg_TroyOz)</f>
        <v/>
      </c>
      <c r="O2109" s="59">
        <f>IF(tblMovement[[#This Row],[Is_Ore]]=1,tblMovement[[#This Row],[Contained_oz]],0)</f>
        <v/>
      </c>
    </row>
    <row r="2110">
      <c r="A2110" s="54" t="n"/>
      <c r="B2110" s="61" t="n"/>
      <c r="C2110" s="61" t="n"/>
      <c r="D2110" s="61" t="n"/>
      <c r="E2110" s="61" t="n"/>
      <c r="F2110" s="55" t="n"/>
      <c r="G2110" s="56" t="n"/>
      <c r="H2110" s="55" t="n"/>
      <c r="I2110" s="62" t="n"/>
      <c r="J2110" s="58" t="n"/>
      <c r="K2110" s="63">
        <f>IF(tblMovement[[#This Row],[Source]]="","",IFERROR(INDEX(tblSources[Type],MATCH(tblMovement[[#This Row],[Source]],tblSources[Source],0)),"?"))</f>
        <v/>
      </c>
      <c r="L2110" s="63">
        <f>IF(tblMovement[[#This Row],[Destination]]="","",IFERROR(INDEX(tblDestinations[Type],MATCH(tblMovement[[#This Row],[Destination]],tblDestinations[Destination],0)),"?"))</f>
        <v/>
      </c>
      <c r="M2110" s="64">
        <f>IF(tblMovement[[#This Row],[Material]]="","",IF(LEFT(tblMovement[[#This Row],[Material]],3)="Ore",1,0))</f>
        <v/>
      </c>
      <c r="N2110" s="59">
        <f>IF(OR(tblMovement[[#This Row],[Tonnes_t]]="",tblMovement[[#This Row],[Grade_gpt]]=""),0,tblMovement[[#This Row],[Tonnes_t]]*tblMovement[[#This Row],[Grade_gpt]]/cfg_TroyOz)</f>
        <v/>
      </c>
      <c r="O2110" s="59">
        <f>IF(tblMovement[[#This Row],[Is_Ore]]=1,tblMovement[[#This Row],[Contained_oz]],0)</f>
        <v/>
      </c>
    </row>
    <row r="2111">
      <c r="A2111" s="54" t="n"/>
      <c r="B2111" s="61" t="n"/>
      <c r="C2111" s="61" t="n"/>
      <c r="D2111" s="61" t="n"/>
      <c r="E2111" s="61" t="n"/>
      <c r="F2111" s="55" t="n"/>
      <c r="G2111" s="56" t="n"/>
      <c r="H2111" s="55" t="n"/>
      <c r="I2111" s="62" t="n"/>
      <c r="J2111" s="58" t="n"/>
      <c r="K2111" s="63">
        <f>IF(tblMovement[[#This Row],[Source]]="","",IFERROR(INDEX(tblSources[Type],MATCH(tblMovement[[#This Row],[Source]],tblSources[Source],0)),"?"))</f>
        <v/>
      </c>
      <c r="L2111" s="63">
        <f>IF(tblMovement[[#This Row],[Destination]]="","",IFERROR(INDEX(tblDestinations[Type],MATCH(tblMovement[[#This Row],[Destination]],tblDestinations[Destination],0)),"?"))</f>
        <v/>
      </c>
      <c r="M2111" s="64">
        <f>IF(tblMovement[[#This Row],[Material]]="","",IF(LEFT(tblMovement[[#This Row],[Material]],3)="Ore",1,0))</f>
        <v/>
      </c>
      <c r="N2111" s="59">
        <f>IF(OR(tblMovement[[#This Row],[Tonnes_t]]="",tblMovement[[#This Row],[Grade_gpt]]=""),0,tblMovement[[#This Row],[Tonnes_t]]*tblMovement[[#This Row],[Grade_gpt]]/cfg_TroyOz)</f>
        <v/>
      </c>
      <c r="O2111" s="59">
        <f>IF(tblMovement[[#This Row],[Is_Ore]]=1,tblMovement[[#This Row],[Contained_oz]],0)</f>
        <v/>
      </c>
    </row>
    <row r="2112">
      <c r="A2112" s="54" t="n"/>
      <c r="B2112" s="61" t="n"/>
      <c r="C2112" s="61" t="n"/>
      <c r="D2112" s="61" t="n"/>
      <c r="E2112" s="61" t="n"/>
      <c r="F2112" s="55" t="n"/>
      <c r="G2112" s="56" t="n"/>
      <c r="H2112" s="55" t="n"/>
      <c r="I2112" s="62" t="n"/>
      <c r="J2112" s="58" t="n"/>
      <c r="K2112" s="63">
        <f>IF(tblMovement[[#This Row],[Source]]="","",IFERROR(INDEX(tblSources[Type],MATCH(tblMovement[[#This Row],[Source]],tblSources[Source],0)),"?"))</f>
        <v/>
      </c>
      <c r="L2112" s="63">
        <f>IF(tblMovement[[#This Row],[Destination]]="","",IFERROR(INDEX(tblDestinations[Type],MATCH(tblMovement[[#This Row],[Destination]],tblDestinations[Destination],0)),"?"))</f>
        <v/>
      </c>
      <c r="M2112" s="64">
        <f>IF(tblMovement[[#This Row],[Material]]="","",IF(LEFT(tblMovement[[#This Row],[Material]],3)="Ore",1,0))</f>
        <v/>
      </c>
      <c r="N2112" s="59">
        <f>IF(OR(tblMovement[[#This Row],[Tonnes_t]]="",tblMovement[[#This Row],[Grade_gpt]]=""),0,tblMovement[[#This Row],[Tonnes_t]]*tblMovement[[#This Row],[Grade_gpt]]/cfg_TroyOz)</f>
        <v/>
      </c>
      <c r="O2112" s="59">
        <f>IF(tblMovement[[#This Row],[Is_Ore]]=1,tblMovement[[#This Row],[Contained_oz]],0)</f>
        <v/>
      </c>
    </row>
    <row r="2113">
      <c r="A2113" s="54" t="n"/>
      <c r="B2113" s="61" t="n"/>
      <c r="C2113" s="61" t="n"/>
      <c r="D2113" s="61" t="n"/>
      <c r="E2113" s="61" t="n"/>
      <c r="F2113" s="55" t="n"/>
      <c r="G2113" s="56" t="n"/>
      <c r="H2113" s="55" t="n"/>
      <c r="I2113" s="62" t="n"/>
      <c r="J2113" s="58" t="n"/>
      <c r="K2113" s="63">
        <f>IF(tblMovement[[#This Row],[Source]]="","",IFERROR(INDEX(tblSources[Type],MATCH(tblMovement[[#This Row],[Source]],tblSources[Source],0)),"?"))</f>
        <v/>
      </c>
      <c r="L2113" s="63">
        <f>IF(tblMovement[[#This Row],[Destination]]="","",IFERROR(INDEX(tblDestinations[Type],MATCH(tblMovement[[#This Row],[Destination]],tblDestinations[Destination],0)),"?"))</f>
        <v/>
      </c>
      <c r="M2113" s="64">
        <f>IF(tblMovement[[#This Row],[Material]]="","",IF(LEFT(tblMovement[[#This Row],[Material]],3)="Ore",1,0))</f>
        <v/>
      </c>
      <c r="N2113" s="59">
        <f>IF(OR(tblMovement[[#This Row],[Tonnes_t]]="",tblMovement[[#This Row],[Grade_gpt]]=""),0,tblMovement[[#This Row],[Tonnes_t]]*tblMovement[[#This Row],[Grade_gpt]]/cfg_TroyOz)</f>
        <v/>
      </c>
      <c r="O2113" s="59">
        <f>IF(tblMovement[[#This Row],[Is_Ore]]=1,tblMovement[[#This Row],[Contained_oz]],0)</f>
        <v/>
      </c>
    </row>
    <row r="2114">
      <c r="A2114" s="54" t="n"/>
      <c r="B2114" s="61" t="n"/>
      <c r="C2114" s="61" t="n"/>
      <c r="D2114" s="61" t="n"/>
      <c r="E2114" s="61" t="n"/>
      <c r="F2114" s="55" t="n"/>
      <c r="G2114" s="56" t="n"/>
      <c r="H2114" s="55" t="n"/>
      <c r="I2114" s="62" t="n"/>
      <c r="J2114" s="58" t="n"/>
      <c r="K2114" s="63">
        <f>IF(tblMovement[[#This Row],[Source]]="","",IFERROR(INDEX(tblSources[Type],MATCH(tblMovement[[#This Row],[Source]],tblSources[Source],0)),"?"))</f>
        <v/>
      </c>
      <c r="L2114" s="63">
        <f>IF(tblMovement[[#This Row],[Destination]]="","",IFERROR(INDEX(tblDestinations[Type],MATCH(tblMovement[[#This Row],[Destination]],tblDestinations[Destination],0)),"?"))</f>
        <v/>
      </c>
      <c r="M2114" s="64">
        <f>IF(tblMovement[[#This Row],[Material]]="","",IF(LEFT(tblMovement[[#This Row],[Material]],3)="Ore",1,0))</f>
        <v/>
      </c>
      <c r="N2114" s="59">
        <f>IF(OR(tblMovement[[#This Row],[Tonnes_t]]="",tblMovement[[#This Row],[Grade_gpt]]=""),0,tblMovement[[#This Row],[Tonnes_t]]*tblMovement[[#This Row],[Grade_gpt]]/cfg_TroyOz)</f>
        <v/>
      </c>
      <c r="O2114" s="59">
        <f>IF(tblMovement[[#This Row],[Is_Ore]]=1,tblMovement[[#This Row],[Contained_oz]],0)</f>
        <v/>
      </c>
    </row>
    <row r="2115">
      <c r="A2115" s="54" t="n"/>
      <c r="B2115" s="61" t="n"/>
      <c r="C2115" s="61" t="n"/>
      <c r="D2115" s="61" t="n"/>
      <c r="E2115" s="61" t="n"/>
      <c r="F2115" s="55" t="n"/>
      <c r="G2115" s="56" t="n"/>
      <c r="H2115" s="55" t="n"/>
      <c r="I2115" s="62" t="n"/>
      <c r="J2115" s="58" t="n"/>
      <c r="K2115" s="63">
        <f>IF(tblMovement[[#This Row],[Source]]="","",IFERROR(INDEX(tblSources[Type],MATCH(tblMovement[[#This Row],[Source]],tblSources[Source],0)),"?"))</f>
        <v/>
      </c>
      <c r="L2115" s="63">
        <f>IF(tblMovement[[#This Row],[Destination]]="","",IFERROR(INDEX(tblDestinations[Type],MATCH(tblMovement[[#This Row],[Destination]],tblDestinations[Destination],0)),"?"))</f>
        <v/>
      </c>
      <c r="M2115" s="64">
        <f>IF(tblMovement[[#This Row],[Material]]="","",IF(LEFT(tblMovement[[#This Row],[Material]],3)="Ore",1,0))</f>
        <v/>
      </c>
      <c r="N2115" s="59">
        <f>IF(OR(tblMovement[[#This Row],[Tonnes_t]]="",tblMovement[[#This Row],[Grade_gpt]]=""),0,tblMovement[[#This Row],[Tonnes_t]]*tblMovement[[#This Row],[Grade_gpt]]/cfg_TroyOz)</f>
        <v/>
      </c>
      <c r="O2115" s="59">
        <f>IF(tblMovement[[#This Row],[Is_Ore]]=1,tblMovement[[#This Row],[Contained_oz]],0)</f>
        <v/>
      </c>
    </row>
    <row r="2116">
      <c r="A2116" s="54" t="n"/>
      <c r="B2116" s="61" t="n"/>
      <c r="C2116" s="61" t="n"/>
      <c r="D2116" s="61" t="n"/>
      <c r="E2116" s="61" t="n"/>
      <c r="F2116" s="55" t="n"/>
      <c r="G2116" s="56" t="n"/>
      <c r="H2116" s="55" t="n"/>
      <c r="I2116" s="62" t="n"/>
      <c r="J2116" s="58" t="n"/>
      <c r="K2116" s="63">
        <f>IF(tblMovement[[#This Row],[Source]]="","",IFERROR(INDEX(tblSources[Type],MATCH(tblMovement[[#This Row],[Source]],tblSources[Source],0)),"?"))</f>
        <v/>
      </c>
      <c r="L2116" s="63">
        <f>IF(tblMovement[[#This Row],[Destination]]="","",IFERROR(INDEX(tblDestinations[Type],MATCH(tblMovement[[#This Row],[Destination]],tblDestinations[Destination],0)),"?"))</f>
        <v/>
      </c>
      <c r="M2116" s="64">
        <f>IF(tblMovement[[#This Row],[Material]]="","",IF(LEFT(tblMovement[[#This Row],[Material]],3)="Ore",1,0))</f>
        <v/>
      </c>
      <c r="N2116" s="59">
        <f>IF(OR(tblMovement[[#This Row],[Tonnes_t]]="",tblMovement[[#This Row],[Grade_gpt]]=""),0,tblMovement[[#This Row],[Tonnes_t]]*tblMovement[[#This Row],[Grade_gpt]]/cfg_TroyOz)</f>
        <v/>
      </c>
      <c r="O2116" s="59">
        <f>IF(tblMovement[[#This Row],[Is_Ore]]=1,tblMovement[[#This Row],[Contained_oz]],0)</f>
        <v/>
      </c>
    </row>
    <row r="2117">
      <c r="A2117" s="54" t="n"/>
      <c r="B2117" s="61" t="n"/>
      <c r="C2117" s="61" t="n"/>
      <c r="D2117" s="61" t="n"/>
      <c r="E2117" s="61" t="n"/>
      <c r="F2117" s="55" t="n"/>
      <c r="G2117" s="56" t="n"/>
      <c r="H2117" s="55" t="n"/>
      <c r="I2117" s="62" t="n"/>
      <c r="J2117" s="58" t="n"/>
      <c r="K2117" s="63">
        <f>IF(tblMovement[[#This Row],[Source]]="","",IFERROR(INDEX(tblSources[Type],MATCH(tblMovement[[#This Row],[Source]],tblSources[Source],0)),"?"))</f>
        <v/>
      </c>
      <c r="L2117" s="63">
        <f>IF(tblMovement[[#This Row],[Destination]]="","",IFERROR(INDEX(tblDestinations[Type],MATCH(tblMovement[[#This Row],[Destination]],tblDestinations[Destination],0)),"?"))</f>
        <v/>
      </c>
      <c r="M2117" s="64">
        <f>IF(tblMovement[[#This Row],[Material]]="","",IF(LEFT(tblMovement[[#This Row],[Material]],3)="Ore",1,0))</f>
        <v/>
      </c>
      <c r="N2117" s="59">
        <f>IF(OR(tblMovement[[#This Row],[Tonnes_t]]="",tblMovement[[#This Row],[Grade_gpt]]=""),0,tblMovement[[#This Row],[Tonnes_t]]*tblMovement[[#This Row],[Grade_gpt]]/cfg_TroyOz)</f>
        <v/>
      </c>
      <c r="O2117" s="59">
        <f>IF(tblMovement[[#This Row],[Is_Ore]]=1,tblMovement[[#This Row],[Contained_oz]],0)</f>
        <v/>
      </c>
    </row>
    <row r="2118">
      <c r="A2118" s="54" t="n"/>
      <c r="B2118" s="61" t="n"/>
      <c r="C2118" s="61" t="n"/>
      <c r="D2118" s="61" t="n"/>
      <c r="E2118" s="61" t="n"/>
      <c r="F2118" s="55" t="n"/>
      <c r="G2118" s="56" t="n"/>
      <c r="H2118" s="55" t="n"/>
      <c r="I2118" s="62" t="n"/>
      <c r="J2118" s="58" t="n"/>
      <c r="K2118" s="63">
        <f>IF(tblMovement[[#This Row],[Source]]="","",IFERROR(INDEX(tblSources[Type],MATCH(tblMovement[[#This Row],[Source]],tblSources[Source],0)),"?"))</f>
        <v/>
      </c>
      <c r="L2118" s="63">
        <f>IF(tblMovement[[#This Row],[Destination]]="","",IFERROR(INDEX(tblDestinations[Type],MATCH(tblMovement[[#This Row],[Destination]],tblDestinations[Destination],0)),"?"))</f>
        <v/>
      </c>
      <c r="M2118" s="64">
        <f>IF(tblMovement[[#This Row],[Material]]="","",IF(LEFT(tblMovement[[#This Row],[Material]],3)="Ore",1,0))</f>
        <v/>
      </c>
      <c r="N2118" s="59">
        <f>IF(OR(tblMovement[[#This Row],[Tonnes_t]]="",tblMovement[[#This Row],[Grade_gpt]]=""),0,tblMovement[[#This Row],[Tonnes_t]]*tblMovement[[#This Row],[Grade_gpt]]/cfg_TroyOz)</f>
        <v/>
      </c>
      <c r="O2118" s="59">
        <f>IF(tblMovement[[#This Row],[Is_Ore]]=1,tblMovement[[#This Row],[Contained_oz]],0)</f>
        <v/>
      </c>
    </row>
    <row r="2119">
      <c r="A2119" s="54" t="n"/>
      <c r="B2119" s="61" t="n"/>
      <c r="C2119" s="61" t="n"/>
      <c r="D2119" s="61" t="n"/>
      <c r="E2119" s="61" t="n"/>
      <c r="F2119" s="55" t="n"/>
      <c r="G2119" s="56" t="n"/>
      <c r="H2119" s="55" t="n"/>
      <c r="I2119" s="62" t="n"/>
      <c r="J2119" s="58" t="n"/>
      <c r="K2119" s="63">
        <f>IF(tblMovement[[#This Row],[Source]]="","",IFERROR(INDEX(tblSources[Type],MATCH(tblMovement[[#This Row],[Source]],tblSources[Source],0)),"?"))</f>
        <v/>
      </c>
      <c r="L2119" s="63">
        <f>IF(tblMovement[[#This Row],[Destination]]="","",IFERROR(INDEX(tblDestinations[Type],MATCH(tblMovement[[#This Row],[Destination]],tblDestinations[Destination],0)),"?"))</f>
        <v/>
      </c>
      <c r="M2119" s="64">
        <f>IF(tblMovement[[#This Row],[Material]]="","",IF(LEFT(tblMovement[[#This Row],[Material]],3)="Ore",1,0))</f>
        <v/>
      </c>
      <c r="N2119" s="59">
        <f>IF(OR(tblMovement[[#This Row],[Tonnes_t]]="",tblMovement[[#This Row],[Grade_gpt]]=""),0,tblMovement[[#This Row],[Tonnes_t]]*tblMovement[[#This Row],[Grade_gpt]]/cfg_TroyOz)</f>
        <v/>
      </c>
      <c r="O2119" s="59">
        <f>IF(tblMovement[[#This Row],[Is_Ore]]=1,tblMovement[[#This Row],[Contained_oz]],0)</f>
        <v/>
      </c>
    </row>
    <row r="2120">
      <c r="A2120" s="54" t="n"/>
      <c r="B2120" s="61" t="n"/>
      <c r="C2120" s="61" t="n"/>
      <c r="D2120" s="61" t="n"/>
      <c r="E2120" s="61" t="n"/>
      <c r="F2120" s="55" t="n"/>
      <c r="G2120" s="56" t="n"/>
      <c r="H2120" s="55" t="n"/>
      <c r="I2120" s="62" t="n"/>
      <c r="J2120" s="58" t="n"/>
      <c r="K2120" s="63">
        <f>IF(tblMovement[[#This Row],[Source]]="","",IFERROR(INDEX(tblSources[Type],MATCH(tblMovement[[#This Row],[Source]],tblSources[Source],0)),"?"))</f>
        <v/>
      </c>
      <c r="L2120" s="63">
        <f>IF(tblMovement[[#This Row],[Destination]]="","",IFERROR(INDEX(tblDestinations[Type],MATCH(tblMovement[[#This Row],[Destination]],tblDestinations[Destination],0)),"?"))</f>
        <v/>
      </c>
      <c r="M2120" s="64">
        <f>IF(tblMovement[[#This Row],[Material]]="","",IF(LEFT(tblMovement[[#This Row],[Material]],3)="Ore",1,0))</f>
        <v/>
      </c>
      <c r="N2120" s="59">
        <f>IF(OR(tblMovement[[#This Row],[Tonnes_t]]="",tblMovement[[#This Row],[Grade_gpt]]=""),0,tblMovement[[#This Row],[Tonnes_t]]*tblMovement[[#This Row],[Grade_gpt]]/cfg_TroyOz)</f>
        <v/>
      </c>
      <c r="O2120" s="59">
        <f>IF(tblMovement[[#This Row],[Is_Ore]]=1,tblMovement[[#This Row],[Contained_oz]],0)</f>
        <v/>
      </c>
    </row>
    <row r="2121">
      <c r="A2121" s="54" t="n"/>
      <c r="B2121" s="61" t="n"/>
      <c r="C2121" s="61" t="n"/>
      <c r="D2121" s="61" t="n"/>
      <c r="E2121" s="61" t="n"/>
      <c r="F2121" s="55" t="n"/>
      <c r="G2121" s="56" t="n"/>
      <c r="H2121" s="55" t="n"/>
      <c r="I2121" s="62" t="n"/>
      <c r="J2121" s="58" t="n"/>
      <c r="K2121" s="63">
        <f>IF(tblMovement[[#This Row],[Source]]="","",IFERROR(INDEX(tblSources[Type],MATCH(tblMovement[[#This Row],[Source]],tblSources[Source],0)),"?"))</f>
        <v/>
      </c>
      <c r="L2121" s="63">
        <f>IF(tblMovement[[#This Row],[Destination]]="","",IFERROR(INDEX(tblDestinations[Type],MATCH(tblMovement[[#This Row],[Destination]],tblDestinations[Destination],0)),"?"))</f>
        <v/>
      </c>
      <c r="M2121" s="64">
        <f>IF(tblMovement[[#This Row],[Material]]="","",IF(LEFT(tblMovement[[#This Row],[Material]],3)="Ore",1,0))</f>
        <v/>
      </c>
      <c r="N2121" s="59">
        <f>IF(OR(tblMovement[[#This Row],[Tonnes_t]]="",tblMovement[[#This Row],[Grade_gpt]]=""),0,tblMovement[[#This Row],[Tonnes_t]]*tblMovement[[#This Row],[Grade_gpt]]/cfg_TroyOz)</f>
        <v/>
      </c>
      <c r="O2121" s="59">
        <f>IF(tblMovement[[#This Row],[Is_Ore]]=1,tblMovement[[#This Row],[Contained_oz]],0)</f>
        <v/>
      </c>
    </row>
    <row r="2122">
      <c r="A2122" s="54" t="n"/>
      <c r="B2122" s="61" t="n"/>
      <c r="C2122" s="61" t="n"/>
      <c r="D2122" s="61" t="n"/>
      <c r="E2122" s="61" t="n"/>
      <c r="F2122" s="55" t="n"/>
      <c r="G2122" s="56" t="n"/>
      <c r="H2122" s="55" t="n"/>
      <c r="I2122" s="62" t="n"/>
      <c r="J2122" s="58" t="n"/>
      <c r="K2122" s="63">
        <f>IF(tblMovement[[#This Row],[Source]]="","",IFERROR(INDEX(tblSources[Type],MATCH(tblMovement[[#This Row],[Source]],tblSources[Source],0)),"?"))</f>
        <v/>
      </c>
      <c r="L2122" s="63">
        <f>IF(tblMovement[[#This Row],[Destination]]="","",IFERROR(INDEX(tblDestinations[Type],MATCH(tblMovement[[#This Row],[Destination]],tblDestinations[Destination],0)),"?"))</f>
        <v/>
      </c>
      <c r="M2122" s="64">
        <f>IF(tblMovement[[#This Row],[Material]]="","",IF(LEFT(tblMovement[[#This Row],[Material]],3)="Ore",1,0))</f>
        <v/>
      </c>
      <c r="N2122" s="59">
        <f>IF(OR(tblMovement[[#This Row],[Tonnes_t]]="",tblMovement[[#This Row],[Grade_gpt]]=""),0,tblMovement[[#This Row],[Tonnes_t]]*tblMovement[[#This Row],[Grade_gpt]]/cfg_TroyOz)</f>
        <v/>
      </c>
      <c r="O2122" s="59">
        <f>IF(tblMovement[[#This Row],[Is_Ore]]=1,tblMovement[[#This Row],[Contained_oz]],0)</f>
        <v/>
      </c>
    </row>
    <row r="2123">
      <c r="A2123" s="54" t="n"/>
      <c r="B2123" s="61" t="n"/>
      <c r="C2123" s="61" t="n"/>
      <c r="D2123" s="61" t="n"/>
      <c r="E2123" s="61" t="n"/>
      <c r="F2123" s="55" t="n"/>
      <c r="G2123" s="56" t="n"/>
      <c r="H2123" s="55" t="n"/>
      <c r="I2123" s="62" t="n"/>
      <c r="J2123" s="58" t="n"/>
      <c r="K2123" s="63">
        <f>IF(tblMovement[[#This Row],[Source]]="","",IFERROR(INDEX(tblSources[Type],MATCH(tblMovement[[#This Row],[Source]],tblSources[Source],0)),"?"))</f>
        <v/>
      </c>
      <c r="L2123" s="63">
        <f>IF(tblMovement[[#This Row],[Destination]]="","",IFERROR(INDEX(tblDestinations[Type],MATCH(tblMovement[[#This Row],[Destination]],tblDestinations[Destination],0)),"?"))</f>
        <v/>
      </c>
      <c r="M2123" s="64">
        <f>IF(tblMovement[[#This Row],[Material]]="","",IF(LEFT(tblMovement[[#This Row],[Material]],3)="Ore",1,0))</f>
        <v/>
      </c>
      <c r="N2123" s="59">
        <f>IF(OR(tblMovement[[#This Row],[Tonnes_t]]="",tblMovement[[#This Row],[Grade_gpt]]=""),0,tblMovement[[#This Row],[Tonnes_t]]*tblMovement[[#This Row],[Grade_gpt]]/cfg_TroyOz)</f>
        <v/>
      </c>
      <c r="O2123" s="59">
        <f>IF(tblMovement[[#This Row],[Is_Ore]]=1,tblMovement[[#This Row],[Contained_oz]],0)</f>
        <v/>
      </c>
    </row>
    <row r="2124">
      <c r="A2124" s="54" t="n"/>
      <c r="B2124" s="61" t="n"/>
      <c r="C2124" s="61" t="n"/>
      <c r="D2124" s="61" t="n"/>
      <c r="E2124" s="61" t="n"/>
      <c r="F2124" s="55" t="n"/>
      <c r="G2124" s="56" t="n"/>
      <c r="H2124" s="55" t="n"/>
      <c r="I2124" s="62" t="n"/>
      <c r="J2124" s="58" t="n"/>
      <c r="K2124" s="63">
        <f>IF(tblMovement[[#This Row],[Source]]="","",IFERROR(INDEX(tblSources[Type],MATCH(tblMovement[[#This Row],[Source]],tblSources[Source],0)),"?"))</f>
        <v/>
      </c>
      <c r="L2124" s="63">
        <f>IF(tblMovement[[#This Row],[Destination]]="","",IFERROR(INDEX(tblDestinations[Type],MATCH(tblMovement[[#This Row],[Destination]],tblDestinations[Destination],0)),"?"))</f>
        <v/>
      </c>
      <c r="M2124" s="64">
        <f>IF(tblMovement[[#This Row],[Material]]="","",IF(LEFT(tblMovement[[#This Row],[Material]],3)="Ore",1,0))</f>
        <v/>
      </c>
      <c r="N2124" s="59">
        <f>IF(OR(tblMovement[[#This Row],[Tonnes_t]]="",tblMovement[[#This Row],[Grade_gpt]]=""),0,tblMovement[[#This Row],[Tonnes_t]]*tblMovement[[#This Row],[Grade_gpt]]/cfg_TroyOz)</f>
        <v/>
      </c>
      <c r="O2124" s="59">
        <f>IF(tblMovement[[#This Row],[Is_Ore]]=1,tblMovement[[#This Row],[Contained_oz]],0)</f>
        <v/>
      </c>
    </row>
    <row r="2125">
      <c r="A2125" s="54" t="n"/>
      <c r="B2125" s="61" t="n"/>
      <c r="C2125" s="61" t="n"/>
      <c r="D2125" s="61" t="n"/>
      <c r="E2125" s="61" t="n"/>
      <c r="F2125" s="55" t="n"/>
      <c r="G2125" s="56" t="n"/>
      <c r="H2125" s="55" t="n"/>
      <c r="I2125" s="62" t="n"/>
      <c r="J2125" s="58" t="n"/>
      <c r="K2125" s="63">
        <f>IF(tblMovement[[#This Row],[Source]]="","",IFERROR(INDEX(tblSources[Type],MATCH(tblMovement[[#This Row],[Source]],tblSources[Source],0)),"?"))</f>
        <v/>
      </c>
      <c r="L2125" s="63">
        <f>IF(tblMovement[[#This Row],[Destination]]="","",IFERROR(INDEX(tblDestinations[Type],MATCH(tblMovement[[#This Row],[Destination]],tblDestinations[Destination],0)),"?"))</f>
        <v/>
      </c>
      <c r="M2125" s="64">
        <f>IF(tblMovement[[#This Row],[Material]]="","",IF(LEFT(tblMovement[[#This Row],[Material]],3)="Ore",1,0))</f>
        <v/>
      </c>
      <c r="N2125" s="59">
        <f>IF(OR(tblMovement[[#This Row],[Tonnes_t]]="",tblMovement[[#This Row],[Grade_gpt]]=""),0,tblMovement[[#This Row],[Tonnes_t]]*tblMovement[[#This Row],[Grade_gpt]]/cfg_TroyOz)</f>
        <v/>
      </c>
      <c r="O2125" s="59">
        <f>IF(tblMovement[[#This Row],[Is_Ore]]=1,tblMovement[[#This Row],[Contained_oz]],0)</f>
        <v/>
      </c>
    </row>
    <row r="2126">
      <c r="A2126" s="54" t="n"/>
      <c r="B2126" s="61" t="n"/>
      <c r="C2126" s="61" t="n"/>
      <c r="D2126" s="61" t="n"/>
      <c r="E2126" s="61" t="n"/>
      <c r="F2126" s="55" t="n"/>
      <c r="G2126" s="56" t="n"/>
      <c r="H2126" s="55" t="n"/>
      <c r="I2126" s="62" t="n"/>
      <c r="J2126" s="58" t="n"/>
      <c r="K2126" s="63">
        <f>IF(tblMovement[[#This Row],[Source]]="","",IFERROR(INDEX(tblSources[Type],MATCH(tblMovement[[#This Row],[Source]],tblSources[Source],0)),"?"))</f>
        <v/>
      </c>
      <c r="L2126" s="63">
        <f>IF(tblMovement[[#This Row],[Destination]]="","",IFERROR(INDEX(tblDestinations[Type],MATCH(tblMovement[[#This Row],[Destination]],tblDestinations[Destination],0)),"?"))</f>
        <v/>
      </c>
      <c r="M2126" s="64">
        <f>IF(tblMovement[[#This Row],[Material]]="","",IF(LEFT(tblMovement[[#This Row],[Material]],3)="Ore",1,0))</f>
        <v/>
      </c>
      <c r="N2126" s="59">
        <f>IF(OR(tblMovement[[#This Row],[Tonnes_t]]="",tblMovement[[#This Row],[Grade_gpt]]=""),0,tblMovement[[#This Row],[Tonnes_t]]*tblMovement[[#This Row],[Grade_gpt]]/cfg_TroyOz)</f>
        <v/>
      </c>
      <c r="O2126" s="59">
        <f>IF(tblMovement[[#This Row],[Is_Ore]]=1,tblMovement[[#This Row],[Contained_oz]],0)</f>
        <v/>
      </c>
    </row>
    <row r="2127">
      <c r="A2127" s="54" t="n"/>
      <c r="B2127" s="61" t="n"/>
      <c r="C2127" s="61" t="n"/>
      <c r="D2127" s="61" t="n"/>
      <c r="E2127" s="61" t="n"/>
      <c r="F2127" s="55" t="n"/>
      <c r="G2127" s="56" t="n"/>
      <c r="H2127" s="55" t="n"/>
      <c r="I2127" s="62" t="n"/>
      <c r="J2127" s="58" t="n"/>
      <c r="K2127" s="63">
        <f>IF(tblMovement[[#This Row],[Source]]="","",IFERROR(INDEX(tblSources[Type],MATCH(tblMovement[[#This Row],[Source]],tblSources[Source],0)),"?"))</f>
        <v/>
      </c>
      <c r="L2127" s="63">
        <f>IF(tblMovement[[#This Row],[Destination]]="","",IFERROR(INDEX(tblDestinations[Type],MATCH(tblMovement[[#This Row],[Destination]],tblDestinations[Destination],0)),"?"))</f>
        <v/>
      </c>
      <c r="M2127" s="64">
        <f>IF(tblMovement[[#This Row],[Material]]="","",IF(LEFT(tblMovement[[#This Row],[Material]],3)="Ore",1,0))</f>
        <v/>
      </c>
      <c r="N2127" s="59">
        <f>IF(OR(tblMovement[[#This Row],[Tonnes_t]]="",tblMovement[[#This Row],[Grade_gpt]]=""),0,tblMovement[[#This Row],[Tonnes_t]]*tblMovement[[#This Row],[Grade_gpt]]/cfg_TroyOz)</f>
        <v/>
      </c>
      <c r="O2127" s="59">
        <f>IF(tblMovement[[#This Row],[Is_Ore]]=1,tblMovement[[#This Row],[Contained_oz]],0)</f>
        <v/>
      </c>
    </row>
    <row r="2128">
      <c r="A2128" s="54" t="n"/>
      <c r="B2128" s="61" t="n"/>
      <c r="C2128" s="61" t="n"/>
      <c r="D2128" s="61" t="n"/>
      <c r="E2128" s="61" t="n"/>
      <c r="F2128" s="55" t="n"/>
      <c r="G2128" s="56" t="n"/>
      <c r="H2128" s="55" t="n"/>
      <c r="I2128" s="62" t="n"/>
      <c r="J2128" s="58" t="n"/>
      <c r="K2128" s="63">
        <f>IF(tblMovement[[#This Row],[Source]]="","",IFERROR(INDEX(tblSources[Type],MATCH(tblMovement[[#This Row],[Source]],tblSources[Source],0)),"?"))</f>
        <v/>
      </c>
      <c r="L2128" s="63">
        <f>IF(tblMovement[[#This Row],[Destination]]="","",IFERROR(INDEX(tblDestinations[Type],MATCH(tblMovement[[#This Row],[Destination]],tblDestinations[Destination],0)),"?"))</f>
        <v/>
      </c>
      <c r="M2128" s="64">
        <f>IF(tblMovement[[#This Row],[Material]]="","",IF(LEFT(tblMovement[[#This Row],[Material]],3)="Ore",1,0))</f>
        <v/>
      </c>
      <c r="N2128" s="59">
        <f>IF(OR(tblMovement[[#This Row],[Tonnes_t]]="",tblMovement[[#This Row],[Grade_gpt]]=""),0,tblMovement[[#This Row],[Tonnes_t]]*tblMovement[[#This Row],[Grade_gpt]]/cfg_TroyOz)</f>
        <v/>
      </c>
      <c r="O2128" s="59">
        <f>IF(tblMovement[[#This Row],[Is_Ore]]=1,tblMovement[[#This Row],[Contained_oz]],0)</f>
        <v/>
      </c>
    </row>
    <row r="2129">
      <c r="A2129" s="54" t="n"/>
      <c r="B2129" s="61" t="n"/>
      <c r="C2129" s="61" t="n"/>
      <c r="D2129" s="61" t="n"/>
      <c r="E2129" s="61" t="n"/>
      <c r="F2129" s="55" t="n"/>
      <c r="G2129" s="56" t="n"/>
      <c r="H2129" s="55" t="n"/>
      <c r="I2129" s="62" t="n"/>
      <c r="J2129" s="58" t="n"/>
      <c r="K2129" s="63">
        <f>IF(tblMovement[[#This Row],[Source]]="","",IFERROR(INDEX(tblSources[Type],MATCH(tblMovement[[#This Row],[Source]],tblSources[Source],0)),"?"))</f>
        <v/>
      </c>
      <c r="L2129" s="63">
        <f>IF(tblMovement[[#This Row],[Destination]]="","",IFERROR(INDEX(tblDestinations[Type],MATCH(tblMovement[[#This Row],[Destination]],tblDestinations[Destination],0)),"?"))</f>
        <v/>
      </c>
      <c r="M2129" s="64">
        <f>IF(tblMovement[[#This Row],[Material]]="","",IF(LEFT(tblMovement[[#This Row],[Material]],3)="Ore",1,0))</f>
        <v/>
      </c>
      <c r="N2129" s="59">
        <f>IF(OR(tblMovement[[#This Row],[Tonnes_t]]="",tblMovement[[#This Row],[Grade_gpt]]=""),0,tblMovement[[#This Row],[Tonnes_t]]*tblMovement[[#This Row],[Grade_gpt]]/cfg_TroyOz)</f>
        <v/>
      </c>
      <c r="O2129" s="59">
        <f>IF(tblMovement[[#This Row],[Is_Ore]]=1,tblMovement[[#This Row],[Contained_oz]],0)</f>
        <v/>
      </c>
    </row>
    <row r="2130">
      <c r="A2130" s="54" t="n"/>
      <c r="B2130" s="61" t="n"/>
      <c r="C2130" s="61" t="n"/>
      <c r="D2130" s="61" t="n"/>
      <c r="E2130" s="61" t="n"/>
      <c r="F2130" s="55" t="n"/>
      <c r="G2130" s="56" t="n"/>
      <c r="H2130" s="55" t="n"/>
      <c r="I2130" s="62" t="n"/>
      <c r="J2130" s="58" t="n"/>
      <c r="K2130" s="63">
        <f>IF(tblMovement[[#This Row],[Source]]="","",IFERROR(INDEX(tblSources[Type],MATCH(tblMovement[[#This Row],[Source]],tblSources[Source],0)),"?"))</f>
        <v/>
      </c>
      <c r="L2130" s="63">
        <f>IF(tblMovement[[#This Row],[Destination]]="","",IFERROR(INDEX(tblDestinations[Type],MATCH(tblMovement[[#This Row],[Destination]],tblDestinations[Destination],0)),"?"))</f>
        <v/>
      </c>
      <c r="M2130" s="64">
        <f>IF(tblMovement[[#This Row],[Material]]="","",IF(LEFT(tblMovement[[#This Row],[Material]],3)="Ore",1,0))</f>
        <v/>
      </c>
      <c r="N2130" s="59">
        <f>IF(OR(tblMovement[[#This Row],[Tonnes_t]]="",tblMovement[[#This Row],[Grade_gpt]]=""),0,tblMovement[[#This Row],[Tonnes_t]]*tblMovement[[#This Row],[Grade_gpt]]/cfg_TroyOz)</f>
        <v/>
      </c>
      <c r="O2130" s="59">
        <f>IF(tblMovement[[#This Row],[Is_Ore]]=1,tblMovement[[#This Row],[Contained_oz]],0)</f>
        <v/>
      </c>
    </row>
    <row r="2131">
      <c r="A2131" s="54" t="n"/>
      <c r="B2131" s="61" t="n"/>
      <c r="C2131" s="61" t="n"/>
      <c r="D2131" s="61" t="n"/>
      <c r="E2131" s="61" t="n"/>
      <c r="F2131" s="55" t="n"/>
      <c r="G2131" s="56" t="n"/>
      <c r="H2131" s="55" t="n"/>
      <c r="I2131" s="62" t="n"/>
      <c r="J2131" s="58" t="n"/>
      <c r="K2131" s="63">
        <f>IF(tblMovement[[#This Row],[Source]]="","",IFERROR(INDEX(tblSources[Type],MATCH(tblMovement[[#This Row],[Source]],tblSources[Source],0)),"?"))</f>
        <v/>
      </c>
      <c r="L2131" s="63">
        <f>IF(tblMovement[[#This Row],[Destination]]="","",IFERROR(INDEX(tblDestinations[Type],MATCH(tblMovement[[#This Row],[Destination]],tblDestinations[Destination],0)),"?"))</f>
        <v/>
      </c>
      <c r="M2131" s="64">
        <f>IF(tblMovement[[#This Row],[Material]]="","",IF(LEFT(tblMovement[[#This Row],[Material]],3)="Ore",1,0))</f>
        <v/>
      </c>
      <c r="N2131" s="59">
        <f>IF(OR(tblMovement[[#This Row],[Tonnes_t]]="",tblMovement[[#This Row],[Grade_gpt]]=""),0,tblMovement[[#This Row],[Tonnes_t]]*tblMovement[[#This Row],[Grade_gpt]]/cfg_TroyOz)</f>
        <v/>
      </c>
      <c r="O2131" s="59">
        <f>IF(tblMovement[[#This Row],[Is_Ore]]=1,tblMovement[[#This Row],[Contained_oz]],0)</f>
        <v/>
      </c>
    </row>
    <row r="2132">
      <c r="A2132" s="54" t="n"/>
      <c r="B2132" s="61" t="n"/>
      <c r="C2132" s="61" t="n"/>
      <c r="D2132" s="61" t="n"/>
      <c r="E2132" s="61" t="n"/>
      <c r="F2132" s="55" t="n"/>
      <c r="G2132" s="56" t="n"/>
      <c r="H2132" s="55" t="n"/>
      <c r="I2132" s="62" t="n"/>
      <c r="J2132" s="58" t="n"/>
      <c r="K2132" s="63">
        <f>IF(tblMovement[[#This Row],[Source]]="","",IFERROR(INDEX(tblSources[Type],MATCH(tblMovement[[#This Row],[Source]],tblSources[Source],0)),"?"))</f>
        <v/>
      </c>
      <c r="L2132" s="63">
        <f>IF(tblMovement[[#This Row],[Destination]]="","",IFERROR(INDEX(tblDestinations[Type],MATCH(tblMovement[[#This Row],[Destination]],tblDestinations[Destination],0)),"?"))</f>
        <v/>
      </c>
      <c r="M2132" s="64">
        <f>IF(tblMovement[[#This Row],[Material]]="","",IF(LEFT(tblMovement[[#This Row],[Material]],3)="Ore",1,0))</f>
        <v/>
      </c>
      <c r="N2132" s="59">
        <f>IF(OR(tblMovement[[#This Row],[Tonnes_t]]="",tblMovement[[#This Row],[Grade_gpt]]=""),0,tblMovement[[#This Row],[Tonnes_t]]*tblMovement[[#This Row],[Grade_gpt]]/cfg_TroyOz)</f>
        <v/>
      </c>
      <c r="O2132" s="59">
        <f>IF(tblMovement[[#This Row],[Is_Ore]]=1,tblMovement[[#This Row],[Contained_oz]],0)</f>
        <v/>
      </c>
    </row>
    <row r="2133">
      <c r="A2133" s="54" t="n"/>
      <c r="B2133" s="61" t="n"/>
      <c r="C2133" s="61" t="n"/>
      <c r="D2133" s="61" t="n"/>
      <c r="E2133" s="61" t="n"/>
      <c r="F2133" s="55" t="n"/>
      <c r="G2133" s="56" t="n"/>
      <c r="H2133" s="55" t="n"/>
      <c r="I2133" s="62" t="n"/>
      <c r="J2133" s="58" t="n"/>
      <c r="K2133" s="63">
        <f>IF(tblMovement[[#This Row],[Source]]="","",IFERROR(INDEX(tblSources[Type],MATCH(tblMovement[[#This Row],[Source]],tblSources[Source],0)),"?"))</f>
        <v/>
      </c>
      <c r="L2133" s="63">
        <f>IF(tblMovement[[#This Row],[Destination]]="","",IFERROR(INDEX(tblDestinations[Type],MATCH(tblMovement[[#This Row],[Destination]],tblDestinations[Destination],0)),"?"))</f>
        <v/>
      </c>
      <c r="M2133" s="64">
        <f>IF(tblMovement[[#This Row],[Material]]="","",IF(LEFT(tblMovement[[#This Row],[Material]],3)="Ore",1,0))</f>
        <v/>
      </c>
      <c r="N2133" s="59">
        <f>IF(OR(tblMovement[[#This Row],[Tonnes_t]]="",tblMovement[[#This Row],[Grade_gpt]]=""),0,tblMovement[[#This Row],[Tonnes_t]]*tblMovement[[#This Row],[Grade_gpt]]/cfg_TroyOz)</f>
        <v/>
      </c>
      <c r="O2133" s="59">
        <f>IF(tblMovement[[#This Row],[Is_Ore]]=1,tblMovement[[#This Row],[Contained_oz]],0)</f>
        <v/>
      </c>
    </row>
    <row r="2134">
      <c r="A2134" s="54" t="n"/>
      <c r="B2134" s="61" t="n"/>
      <c r="C2134" s="61" t="n"/>
      <c r="D2134" s="61" t="n"/>
      <c r="E2134" s="61" t="n"/>
      <c r="F2134" s="55" t="n"/>
      <c r="G2134" s="56" t="n"/>
      <c r="H2134" s="55" t="n"/>
      <c r="I2134" s="62" t="n"/>
      <c r="J2134" s="58" t="n"/>
      <c r="K2134" s="63">
        <f>IF(tblMovement[[#This Row],[Source]]="","",IFERROR(INDEX(tblSources[Type],MATCH(tblMovement[[#This Row],[Source]],tblSources[Source],0)),"?"))</f>
        <v/>
      </c>
      <c r="L2134" s="63">
        <f>IF(tblMovement[[#This Row],[Destination]]="","",IFERROR(INDEX(tblDestinations[Type],MATCH(tblMovement[[#This Row],[Destination]],tblDestinations[Destination],0)),"?"))</f>
        <v/>
      </c>
      <c r="M2134" s="64">
        <f>IF(tblMovement[[#This Row],[Material]]="","",IF(LEFT(tblMovement[[#This Row],[Material]],3)="Ore",1,0))</f>
        <v/>
      </c>
      <c r="N2134" s="59">
        <f>IF(OR(tblMovement[[#This Row],[Tonnes_t]]="",tblMovement[[#This Row],[Grade_gpt]]=""),0,tblMovement[[#This Row],[Tonnes_t]]*tblMovement[[#This Row],[Grade_gpt]]/cfg_TroyOz)</f>
        <v/>
      </c>
      <c r="O2134" s="59">
        <f>IF(tblMovement[[#This Row],[Is_Ore]]=1,tblMovement[[#This Row],[Contained_oz]],0)</f>
        <v/>
      </c>
    </row>
    <row r="2135">
      <c r="A2135" s="54" t="n"/>
      <c r="B2135" s="61" t="n"/>
      <c r="C2135" s="61" t="n"/>
      <c r="D2135" s="61" t="n"/>
      <c r="E2135" s="61" t="n"/>
      <c r="F2135" s="55" t="n"/>
      <c r="G2135" s="56" t="n"/>
      <c r="H2135" s="55" t="n"/>
      <c r="I2135" s="62" t="n"/>
      <c r="J2135" s="58" t="n"/>
      <c r="K2135" s="63">
        <f>IF(tblMovement[[#This Row],[Source]]="","",IFERROR(INDEX(tblSources[Type],MATCH(tblMovement[[#This Row],[Source]],tblSources[Source],0)),"?"))</f>
        <v/>
      </c>
      <c r="L2135" s="63">
        <f>IF(tblMovement[[#This Row],[Destination]]="","",IFERROR(INDEX(tblDestinations[Type],MATCH(tblMovement[[#This Row],[Destination]],tblDestinations[Destination],0)),"?"))</f>
        <v/>
      </c>
      <c r="M2135" s="64">
        <f>IF(tblMovement[[#This Row],[Material]]="","",IF(LEFT(tblMovement[[#This Row],[Material]],3)="Ore",1,0))</f>
        <v/>
      </c>
      <c r="N2135" s="59">
        <f>IF(OR(tblMovement[[#This Row],[Tonnes_t]]="",tblMovement[[#This Row],[Grade_gpt]]=""),0,tblMovement[[#This Row],[Tonnes_t]]*tblMovement[[#This Row],[Grade_gpt]]/cfg_TroyOz)</f>
        <v/>
      </c>
      <c r="O2135" s="59">
        <f>IF(tblMovement[[#This Row],[Is_Ore]]=1,tblMovement[[#This Row],[Contained_oz]],0)</f>
        <v/>
      </c>
    </row>
    <row r="2136">
      <c r="A2136" s="54" t="n"/>
      <c r="B2136" s="61" t="n"/>
      <c r="C2136" s="61" t="n"/>
      <c r="D2136" s="61" t="n"/>
      <c r="E2136" s="61" t="n"/>
      <c r="F2136" s="55" t="n"/>
      <c r="G2136" s="56" t="n"/>
      <c r="H2136" s="55" t="n"/>
      <c r="I2136" s="62" t="n"/>
      <c r="J2136" s="58" t="n"/>
      <c r="K2136" s="63">
        <f>IF(tblMovement[[#This Row],[Source]]="","",IFERROR(INDEX(tblSources[Type],MATCH(tblMovement[[#This Row],[Source]],tblSources[Source],0)),"?"))</f>
        <v/>
      </c>
      <c r="L2136" s="63">
        <f>IF(tblMovement[[#This Row],[Destination]]="","",IFERROR(INDEX(tblDestinations[Type],MATCH(tblMovement[[#This Row],[Destination]],tblDestinations[Destination],0)),"?"))</f>
        <v/>
      </c>
      <c r="M2136" s="64">
        <f>IF(tblMovement[[#This Row],[Material]]="","",IF(LEFT(tblMovement[[#This Row],[Material]],3)="Ore",1,0))</f>
        <v/>
      </c>
      <c r="N2136" s="59">
        <f>IF(OR(tblMovement[[#This Row],[Tonnes_t]]="",tblMovement[[#This Row],[Grade_gpt]]=""),0,tblMovement[[#This Row],[Tonnes_t]]*tblMovement[[#This Row],[Grade_gpt]]/cfg_TroyOz)</f>
        <v/>
      </c>
      <c r="O2136" s="59">
        <f>IF(tblMovement[[#This Row],[Is_Ore]]=1,tblMovement[[#This Row],[Contained_oz]],0)</f>
        <v/>
      </c>
    </row>
    <row r="2137">
      <c r="A2137" s="54" t="n"/>
      <c r="B2137" s="61" t="n"/>
      <c r="C2137" s="61" t="n"/>
      <c r="D2137" s="61" t="n"/>
      <c r="E2137" s="61" t="n"/>
      <c r="F2137" s="55" t="n"/>
      <c r="G2137" s="56" t="n"/>
      <c r="H2137" s="55" t="n"/>
      <c r="I2137" s="62" t="n"/>
      <c r="J2137" s="58" t="n"/>
      <c r="K2137" s="63">
        <f>IF(tblMovement[[#This Row],[Source]]="","",IFERROR(INDEX(tblSources[Type],MATCH(tblMovement[[#This Row],[Source]],tblSources[Source],0)),"?"))</f>
        <v/>
      </c>
      <c r="L2137" s="63">
        <f>IF(tblMovement[[#This Row],[Destination]]="","",IFERROR(INDEX(tblDestinations[Type],MATCH(tblMovement[[#This Row],[Destination]],tblDestinations[Destination],0)),"?"))</f>
        <v/>
      </c>
      <c r="M2137" s="64">
        <f>IF(tblMovement[[#This Row],[Material]]="","",IF(LEFT(tblMovement[[#This Row],[Material]],3)="Ore",1,0))</f>
        <v/>
      </c>
      <c r="N2137" s="59">
        <f>IF(OR(tblMovement[[#This Row],[Tonnes_t]]="",tblMovement[[#This Row],[Grade_gpt]]=""),0,tblMovement[[#This Row],[Tonnes_t]]*tblMovement[[#This Row],[Grade_gpt]]/cfg_TroyOz)</f>
        <v/>
      </c>
      <c r="O2137" s="59">
        <f>IF(tblMovement[[#This Row],[Is_Ore]]=1,tblMovement[[#This Row],[Contained_oz]],0)</f>
        <v/>
      </c>
    </row>
    <row r="2138">
      <c r="A2138" s="54" t="n"/>
      <c r="B2138" s="61" t="n"/>
      <c r="C2138" s="61" t="n"/>
      <c r="D2138" s="61" t="n"/>
      <c r="E2138" s="61" t="n"/>
      <c r="F2138" s="55" t="n"/>
      <c r="G2138" s="56" t="n"/>
      <c r="H2138" s="55" t="n"/>
      <c r="I2138" s="62" t="n"/>
      <c r="J2138" s="58" t="n"/>
      <c r="K2138" s="63">
        <f>IF(tblMovement[[#This Row],[Source]]="","",IFERROR(INDEX(tblSources[Type],MATCH(tblMovement[[#This Row],[Source]],tblSources[Source],0)),"?"))</f>
        <v/>
      </c>
      <c r="L2138" s="63">
        <f>IF(tblMovement[[#This Row],[Destination]]="","",IFERROR(INDEX(tblDestinations[Type],MATCH(tblMovement[[#This Row],[Destination]],tblDestinations[Destination],0)),"?"))</f>
        <v/>
      </c>
      <c r="M2138" s="64">
        <f>IF(tblMovement[[#This Row],[Material]]="","",IF(LEFT(tblMovement[[#This Row],[Material]],3)="Ore",1,0))</f>
        <v/>
      </c>
      <c r="N2138" s="59">
        <f>IF(OR(tblMovement[[#This Row],[Tonnes_t]]="",tblMovement[[#This Row],[Grade_gpt]]=""),0,tblMovement[[#This Row],[Tonnes_t]]*tblMovement[[#This Row],[Grade_gpt]]/cfg_TroyOz)</f>
        <v/>
      </c>
      <c r="O2138" s="59">
        <f>IF(tblMovement[[#This Row],[Is_Ore]]=1,tblMovement[[#This Row],[Contained_oz]],0)</f>
        <v/>
      </c>
    </row>
    <row r="2139">
      <c r="A2139" s="54" t="n"/>
      <c r="B2139" s="61" t="n"/>
      <c r="C2139" s="61" t="n"/>
      <c r="D2139" s="61" t="n"/>
      <c r="E2139" s="61" t="n"/>
      <c r="F2139" s="55" t="n"/>
      <c r="G2139" s="56" t="n"/>
      <c r="H2139" s="55" t="n"/>
      <c r="I2139" s="62" t="n"/>
      <c r="J2139" s="58" t="n"/>
      <c r="K2139" s="63">
        <f>IF(tblMovement[[#This Row],[Source]]="","",IFERROR(INDEX(tblSources[Type],MATCH(tblMovement[[#This Row],[Source]],tblSources[Source],0)),"?"))</f>
        <v/>
      </c>
      <c r="L2139" s="63">
        <f>IF(tblMovement[[#This Row],[Destination]]="","",IFERROR(INDEX(tblDestinations[Type],MATCH(tblMovement[[#This Row],[Destination]],tblDestinations[Destination],0)),"?"))</f>
        <v/>
      </c>
      <c r="M2139" s="64">
        <f>IF(tblMovement[[#This Row],[Material]]="","",IF(LEFT(tblMovement[[#This Row],[Material]],3)="Ore",1,0))</f>
        <v/>
      </c>
      <c r="N2139" s="59">
        <f>IF(OR(tblMovement[[#This Row],[Tonnes_t]]="",tblMovement[[#This Row],[Grade_gpt]]=""),0,tblMovement[[#This Row],[Tonnes_t]]*tblMovement[[#This Row],[Grade_gpt]]/cfg_TroyOz)</f>
        <v/>
      </c>
      <c r="O2139" s="59">
        <f>IF(tblMovement[[#This Row],[Is_Ore]]=1,tblMovement[[#This Row],[Contained_oz]],0)</f>
        <v/>
      </c>
    </row>
    <row r="2140">
      <c r="A2140" s="54" t="n"/>
      <c r="B2140" s="61" t="n"/>
      <c r="C2140" s="61" t="n"/>
      <c r="D2140" s="61" t="n"/>
      <c r="E2140" s="61" t="n"/>
      <c r="F2140" s="55" t="n"/>
      <c r="G2140" s="56" t="n"/>
      <c r="H2140" s="55" t="n"/>
      <c r="I2140" s="62" t="n"/>
      <c r="J2140" s="58" t="n"/>
      <c r="K2140" s="63">
        <f>IF(tblMovement[[#This Row],[Source]]="","",IFERROR(INDEX(tblSources[Type],MATCH(tblMovement[[#This Row],[Source]],tblSources[Source],0)),"?"))</f>
        <v/>
      </c>
      <c r="L2140" s="63">
        <f>IF(tblMovement[[#This Row],[Destination]]="","",IFERROR(INDEX(tblDestinations[Type],MATCH(tblMovement[[#This Row],[Destination]],tblDestinations[Destination],0)),"?"))</f>
        <v/>
      </c>
      <c r="M2140" s="64">
        <f>IF(tblMovement[[#This Row],[Material]]="","",IF(LEFT(tblMovement[[#This Row],[Material]],3)="Ore",1,0))</f>
        <v/>
      </c>
      <c r="N2140" s="59">
        <f>IF(OR(tblMovement[[#This Row],[Tonnes_t]]="",tblMovement[[#This Row],[Grade_gpt]]=""),0,tblMovement[[#This Row],[Tonnes_t]]*tblMovement[[#This Row],[Grade_gpt]]/cfg_TroyOz)</f>
        <v/>
      </c>
      <c r="O2140" s="59">
        <f>IF(tblMovement[[#This Row],[Is_Ore]]=1,tblMovement[[#This Row],[Contained_oz]],0)</f>
        <v/>
      </c>
    </row>
    <row r="2141">
      <c r="A2141" s="54" t="n"/>
      <c r="B2141" s="61" t="n"/>
      <c r="C2141" s="61" t="n"/>
      <c r="D2141" s="61" t="n"/>
      <c r="E2141" s="61" t="n"/>
      <c r="F2141" s="55" t="n"/>
      <c r="G2141" s="56" t="n"/>
      <c r="H2141" s="55" t="n"/>
      <c r="I2141" s="62" t="n"/>
      <c r="J2141" s="58" t="n"/>
      <c r="K2141" s="63">
        <f>IF(tblMovement[[#This Row],[Source]]="","",IFERROR(INDEX(tblSources[Type],MATCH(tblMovement[[#This Row],[Source]],tblSources[Source],0)),"?"))</f>
        <v/>
      </c>
      <c r="L2141" s="63">
        <f>IF(tblMovement[[#This Row],[Destination]]="","",IFERROR(INDEX(tblDestinations[Type],MATCH(tblMovement[[#This Row],[Destination]],tblDestinations[Destination],0)),"?"))</f>
        <v/>
      </c>
      <c r="M2141" s="64">
        <f>IF(tblMovement[[#This Row],[Material]]="","",IF(LEFT(tblMovement[[#This Row],[Material]],3)="Ore",1,0))</f>
        <v/>
      </c>
      <c r="N2141" s="59">
        <f>IF(OR(tblMovement[[#This Row],[Tonnes_t]]="",tblMovement[[#This Row],[Grade_gpt]]=""),0,tblMovement[[#This Row],[Tonnes_t]]*tblMovement[[#This Row],[Grade_gpt]]/cfg_TroyOz)</f>
        <v/>
      </c>
      <c r="O2141" s="59">
        <f>IF(tblMovement[[#This Row],[Is_Ore]]=1,tblMovement[[#This Row],[Contained_oz]],0)</f>
        <v/>
      </c>
    </row>
    <row r="2142">
      <c r="A2142" s="54" t="n"/>
      <c r="B2142" s="61" t="n"/>
      <c r="C2142" s="61" t="n"/>
      <c r="D2142" s="61" t="n"/>
      <c r="E2142" s="61" t="n"/>
      <c r="F2142" s="55" t="n"/>
      <c r="G2142" s="56" t="n"/>
      <c r="H2142" s="55" t="n"/>
      <c r="I2142" s="62" t="n"/>
      <c r="J2142" s="58" t="n"/>
      <c r="K2142" s="63">
        <f>IF(tblMovement[[#This Row],[Source]]="","",IFERROR(INDEX(tblSources[Type],MATCH(tblMovement[[#This Row],[Source]],tblSources[Source],0)),"?"))</f>
        <v/>
      </c>
      <c r="L2142" s="63">
        <f>IF(tblMovement[[#This Row],[Destination]]="","",IFERROR(INDEX(tblDestinations[Type],MATCH(tblMovement[[#This Row],[Destination]],tblDestinations[Destination],0)),"?"))</f>
        <v/>
      </c>
      <c r="M2142" s="64">
        <f>IF(tblMovement[[#This Row],[Material]]="","",IF(LEFT(tblMovement[[#This Row],[Material]],3)="Ore",1,0))</f>
        <v/>
      </c>
      <c r="N2142" s="59">
        <f>IF(OR(tblMovement[[#This Row],[Tonnes_t]]="",tblMovement[[#This Row],[Grade_gpt]]=""),0,tblMovement[[#This Row],[Tonnes_t]]*tblMovement[[#This Row],[Grade_gpt]]/cfg_TroyOz)</f>
        <v/>
      </c>
      <c r="O2142" s="59">
        <f>IF(tblMovement[[#This Row],[Is_Ore]]=1,tblMovement[[#This Row],[Contained_oz]],0)</f>
        <v/>
      </c>
    </row>
    <row r="2143">
      <c r="A2143" s="54" t="n"/>
      <c r="B2143" s="61" t="n"/>
      <c r="C2143" s="61" t="n"/>
      <c r="D2143" s="61" t="n"/>
      <c r="E2143" s="61" t="n"/>
      <c r="F2143" s="55" t="n"/>
      <c r="G2143" s="56" t="n"/>
      <c r="H2143" s="55" t="n"/>
      <c r="I2143" s="62" t="n"/>
      <c r="J2143" s="58" t="n"/>
      <c r="K2143" s="63">
        <f>IF(tblMovement[[#This Row],[Source]]="","",IFERROR(INDEX(tblSources[Type],MATCH(tblMovement[[#This Row],[Source]],tblSources[Source],0)),"?"))</f>
        <v/>
      </c>
      <c r="L2143" s="63">
        <f>IF(tblMovement[[#This Row],[Destination]]="","",IFERROR(INDEX(tblDestinations[Type],MATCH(tblMovement[[#This Row],[Destination]],tblDestinations[Destination],0)),"?"))</f>
        <v/>
      </c>
      <c r="M2143" s="64">
        <f>IF(tblMovement[[#This Row],[Material]]="","",IF(LEFT(tblMovement[[#This Row],[Material]],3)="Ore",1,0))</f>
        <v/>
      </c>
      <c r="N2143" s="59">
        <f>IF(OR(tblMovement[[#This Row],[Tonnes_t]]="",tblMovement[[#This Row],[Grade_gpt]]=""),0,tblMovement[[#This Row],[Tonnes_t]]*tblMovement[[#This Row],[Grade_gpt]]/cfg_TroyOz)</f>
        <v/>
      </c>
      <c r="O2143" s="59">
        <f>IF(tblMovement[[#This Row],[Is_Ore]]=1,tblMovement[[#This Row],[Contained_oz]],0)</f>
        <v/>
      </c>
    </row>
    <row r="2144">
      <c r="A2144" s="54" t="n"/>
      <c r="B2144" s="61" t="n"/>
      <c r="C2144" s="61" t="n"/>
      <c r="D2144" s="61" t="n"/>
      <c r="E2144" s="61" t="n"/>
      <c r="F2144" s="55" t="n"/>
      <c r="G2144" s="56" t="n"/>
      <c r="H2144" s="55" t="n"/>
      <c r="I2144" s="62" t="n"/>
      <c r="J2144" s="58" t="n"/>
      <c r="K2144" s="63">
        <f>IF(tblMovement[[#This Row],[Source]]="","",IFERROR(INDEX(tblSources[Type],MATCH(tblMovement[[#This Row],[Source]],tblSources[Source],0)),"?"))</f>
        <v/>
      </c>
      <c r="L2144" s="63">
        <f>IF(tblMovement[[#This Row],[Destination]]="","",IFERROR(INDEX(tblDestinations[Type],MATCH(tblMovement[[#This Row],[Destination]],tblDestinations[Destination],0)),"?"))</f>
        <v/>
      </c>
      <c r="M2144" s="64">
        <f>IF(tblMovement[[#This Row],[Material]]="","",IF(LEFT(tblMovement[[#This Row],[Material]],3)="Ore",1,0))</f>
        <v/>
      </c>
      <c r="N2144" s="59">
        <f>IF(OR(tblMovement[[#This Row],[Tonnes_t]]="",tblMovement[[#This Row],[Grade_gpt]]=""),0,tblMovement[[#This Row],[Tonnes_t]]*tblMovement[[#This Row],[Grade_gpt]]/cfg_TroyOz)</f>
        <v/>
      </c>
      <c r="O2144" s="59">
        <f>IF(tblMovement[[#This Row],[Is_Ore]]=1,tblMovement[[#This Row],[Contained_oz]],0)</f>
        <v/>
      </c>
    </row>
    <row r="2145">
      <c r="A2145" s="54" t="n"/>
      <c r="B2145" s="61" t="n"/>
      <c r="C2145" s="61" t="n"/>
      <c r="D2145" s="61" t="n"/>
      <c r="E2145" s="61" t="n"/>
      <c r="F2145" s="55" t="n"/>
      <c r="G2145" s="56" t="n"/>
      <c r="H2145" s="55" t="n"/>
      <c r="I2145" s="62" t="n"/>
      <c r="J2145" s="58" t="n"/>
      <c r="K2145" s="63">
        <f>IF(tblMovement[[#This Row],[Source]]="","",IFERROR(INDEX(tblSources[Type],MATCH(tblMovement[[#This Row],[Source]],tblSources[Source],0)),"?"))</f>
        <v/>
      </c>
      <c r="L2145" s="63">
        <f>IF(tblMovement[[#This Row],[Destination]]="","",IFERROR(INDEX(tblDestinations[Type],MATCH(tblMovement[[#This Row],[Destination]],tblDestinations[Destination],0)),"?"))</f>
        <v/>
      </c>
      <c r="M2145" s="64">
        <f>IF(tblMovement[[#This Row],[Material]]="","",IF(LEFT(tblMovement[[#This Row],[Material]],3)="Ore",1,0))</f>
        <v/>
      </c>
      <c r="N2145" s="59">
        <f>IF(OR(tblMovement[[#This Row],[Tonnes_t]]="",tblMovement[[#This Row],[Grade_gpt]]=""),0,tblMovement[[#This Row],[Tonnes_t]]*tblMovement[[#This Row],[Grade_gpt]]/cfg_TroyOz)</f>
        <v/>
      </c>
      <c r="O2145" s="59">
        <f>IF(tblMovement[[#This Row],[Is_Ore]]=1,tblMovement[[#This Row],[Contained_oz]],0)</f>
        <v/>
      </c>
    </row>
    <row r="2146">
      <c r="A2146" s="54" t="n"/>
      <c r="B2146" s="61" t="n"/>
      <c r="C2146" s="61" t="n"/>
      <c r="D2146" s="61" t="n"/>
      <c r="E2146" s="61" t="n"/>
      <c r="F2146" s="55" t="n"/>
      <c r="G2146" s="56" t="n"/>
      <c r="H2146" s="55" t="n"/>
      <c r="I2146" s="62" t="n"/>
      <c r="J2146" s="58" t="n"/>
      <c r="K2146" s="63">
        <f>IF(tblMovement[[#This Row],[Source]]="","",IFERROR(INDEX(tblSources[Type],MATCH(tblMovement[[#This Row],[Source]],tblSources[Source],0)),"?"))</f>
        <v/>
      </c>
      <c r="L2146" s="63">
        <f>IF(tblMovement[[#This Row],[Destination]]="","",IFERROR(INDEX(tblDestinations[Type],MATCH(tblMovement[[#This Row],[Destination]],tblDestinations[Destination],0)),"?"))</f>
        <v/>
      </c>
      <c r="M2146" s="64">
        <f>IF(tblMovement[[#This Row],[Material]]="","",IF(LEFT(tblMovement[[#This Row],[Material]],3)="Ore",1,0))</f>
        <v/>
      </c>
      <c r="N2146" s="59">
        <f>IF(OR(tblMovement[[#This Row],[Tonnes_t]]="",tblMovement[[#This Row],[Grade_gpt]]=""),0,tblMovement[[#This Row],[Tonnes_t]]*tblMovement[[#This Row],[Grade_gpt]]/cfg_TroyOz)</f>
        <v/>
      </c>
      <c r="O2146" s="59">
        <f>IF(tblMovement[[#This Row],[Is_Ore]]=1,tblMovement[[#This Row],[Contained_oz]],0)</f>
        <v/>
      </c>
    </row>
    <row r="2147">
      <c r="A2147" s="54" t="n"/>
      <c r="B2147" s="61" t="n"/>
      <c r="C2147" s="61" t="n"/>
      <c r="D2147" s="61" t="n"/>
      <c r="E2147" s="61" t="n"/>
      <c r="F2147" s="55" t="n"/>
      <c r="G2147" s="56" t="n"/>
      <c r="H2147" s="55" t="n"/>
      <c r="I2147" s="62" t="n"/>
      <c r="J2147" s="58" t="n"/>
      <c r="K2147" s="63">
        <f>IF(tblMovement[[#This Row],[Source]]="","",IFERROR(INDEX(tblSources[Type],MATCH(tblMovement[[#This Row],[Source]],tblSources[Source],0)),"?"))</f>
        <v/>
      </c>
      <c r="L2147" s="63">
        <f>IF(tblMovement[[#This Row],[Destination]]="","",IFERROR(INDEX(tblDestinations[Type],MATCH(tblMovement[[#This Row],[Destination]],tblDestinations[Destination],0)),"?"))</f>
        <v/>
      </c>
      <c r="M2147" s="64">
        <f>IF(tblMovement[[#This Row],[Material]]="","",IF(LEFT(tblMovement[[#This Row],[Material]],3)="Ore",1,0))</f>
        <v/>
      </c>
      <c r="N2147" s="59">
        <f>IF(OR(tblMovement[[#This Row],[Tonnes_t]]="",tblMovement[[#This Row],[Grade_gpt]]=""),0,tblMovement[[#This Row],[Tonnes_t]]*tblMovement[[#This Row],[Grade_gpt]]/cfg_TroyOz)</f>
        <v/>
      </c>
      <c r="O2147" s="59">
        <f>IF(tblMovement[[#This Row],[Is_Ore]]=1,tblMovement[[#This Row],[Contained_oz]],0)</f>
        <v/>
      </c>
    </row>
    <row r="2148">
      <c r="A2148" s="54" t="n"/>
      <c r="B2148" s="61" t="n"/>
      <c r="C2148" s="61" t="n"/>
      <c r="D2148" s="61" t="n"/>
      <c r="E2148" s="61" t="n"/>
      <c r="F2148" s="55" t="n"/>
      <c r="G2148" s="56" t="n"/>
      <c r="H2148" s="55" t="n"/>
      <c r="I2148" s="62" t="n"/>
      <c r="J2148" s="58" t="n"/>
      <c r="K2148" s="63">
        <f>IF(tblMovement[[#This Row],[Source]]="","",IFERROR(INDEX(tblSources[Type],MATCH(tblMovement[[#This Row],[Source]],tblSources[Source],0)),"?"))</f>
        <v/>
      </c>
      <c r="L2148" s="63">
        <f>IF(tblMovement[[#This Row],[Destination]]="","",IFERROR(INDEX(tblDestinations[Type],MATCH(tblMovement[[#This Row],[Destination]],tblDestinations[Destination],0)),"?"))</f>
        <v/>
      </c>
      <c r="M2148" s="64">
        <f>IF(tblMovement[[#This Row],[Material]]="","",IF(LEFT(tblMovement[[#This Row],[Material]],3)="Ore",1,0))</f>
        <v/>
      </c>
      <c r="N2148" s="59">
        <f>IF(OR(tblMovement[[#This Row],[Tonnes_t]]="",tblMovement[[#This Row],[Grade_gpt]]=""),0,tblMovement[[#This Row],[Tonnes_t]]*tblMovement[[#This Row],[Grade_gpt]]/cfg_TroyOz)</f>
        <v/>
      </c>
      <c r="O2148" s="59">
        <f>IF(tblMovement[[#This Row],[Is_Ore]]=1,tblMovement[[#This Row],[Contained_oz]],0)</f>
        <v/>
      </c>
    </row>
    <row r="2149">
      <c r="A2149" s="54" t="n"/>
      <c r="B2149" s="61" t="n"/>
      <c r="C2149" s="61" t="n"/>
      <c r="D2149" s="61" t="n"/>
      <c r="E2149" s="61" t="n"/>
      <c r="F2149" s="55" t="n"/>
      <c r="G2149" s="56" t="n"/>
      <c r="H2149" s="55" t="n"/>
      <c r="I2149" s="62" t="n"/>
      <c r="J2149" s="58" t="n"/>
      <c r="K2149" s="63">
        <f>IF(tblMovement[[#This Row],[Source]]="","",IFERROR(INDEX(tblSources[Type],MATCH(tblMovement[[#This Row],[Source]],tblSources[Source],0)),"?"))</f>
        <v/>
      </c>
      <c r="L2149" s="63">
        <f>IF(tblMovement[[#This Row],[Destination]]="","",IFERROR(INDEX(tblDestinations[Type],MATCH(tblMovement[[#This Row],[Destination]],tblDestinations[Destination],0)),"?"))</f>
        <v/>
      </c>
      <c r="M2149" s="64">
        <f>IF(tblMovement[[#This Row],[Material]]="","",IF(LEFT(tblMovement[[#This Row],[Material]],3)="Ore",1,0))</f>
        <v/>
      </c>
      <c r="N2149" s="59">
        <f>IF(OR(tblMovement[[#This Row],[Tonnes_t]]="",tblMovement[[#This Row],[Grade_gpt]]=""),0,tblMovement[[#This Row],[Tonnes_t]]*tblMovement[[#This Row],[Grade_gpt]]/cfg_TroyOz)</f>
        <v/>
      </c>
      <c r="O2149" s="59">
        <f>IF(tblMovement[[#This Row],[Is_Ore]]=1,tblMovement[[#This Row],[Contained_oz]],0)</f>
        <v/>
      </c>
    </row>
    <row r="2150">
      <c r="A2150" s="54" t="n"/>
      <c r="B2150" s="61" t="n"/>
      <c r="C2150" s="61" t="n"/>
      <c r="D2150" s="61" t="n"/>
      <c r="E2150" s="61" t="n"/>
      <c r="F2150" s="55" t="n"/>
      <c r="G2150" s="56" t="n"/>
      <c r="H2150" s="55" t="n"/>
      <c r="I2150" s="62" t="n"/>
      <c r="J2150" s="58" t="n"/>
      <c r="K2150" s="63">
        <f>IF(tblMovement[[#This Row],[Source]]="","",IFERROR(INDEX(tblSources[Type],MATCH(tblMovement[[#This Row],[Source]],tblSources[Source],0)),"?"))</f>
        <v/>
      </c>
      <c r="L2150" s="63">
        <f>IF(tblMovement[[#This Row],[Destination]]="","",IFERROR(INDEX(tblDestinations[Type],MATCH(tblMovement[[#This Row],[Destination]],tblDestinations[Destination],0)),"?"))</f>
        <v/>
      </c>
      <c r="M2150" s="64">
        <f>IF(tblMovement[[#This Row],[Material]]="","",IF(LEFT(tblMovement[[#This Row],[Material]],3)="Ore",1,0))</f>
        <v/>
      </c>
      <c r="N2150" s="59">
        <f>IF(OR(tblMovement[[#This Row],[Tonnes_t]]="",tblMovement[[#This Row],[Grade_gpt]]=""),0,tblMovement[[#This Row],[Tonnes_t]]*tblMovement[[#This Row],[Grade_gpt]]/cfg_TroyOz)</f>
        <v/>
      </c>
      <c r="O2150" s="59">
        <f>IF(tblMovement[[#This Row],[Is_Ore]]=1,tblMovement[[#This Row],[Contained_oz]],0)</f>
        <v/>
      </c>
    </row>
    <row r="2151">
      <c r="A2151" s="54" t="n"/>
      <c r="B2151" s="61" t="n"/>
      <c r="C2151" s="61" t="n"/>
      <c r="D2151" s="61" t="n"/>
      <c r="E2151" s="61" t="n"/>
      <c r="F2151" s="55" t="n"/>
      <c r="G2151" s="56" t="n"/>
      <c r="H2151" s="55" t="n"/>
      <c r="I2151" s="62" t="n"/>
      <c r="J2151" s="58" t="n"/>
      <c r="K2151" s="63">
        <f>IF(tblMovement[[#This Row],[Source]]="","",IFERROR(INDEX(tblSources[Type],MATCH(tblMovement[[#This Row],[Source]],tblSources[Source],0)),"?"))</f>
        <v/>
      </c>
      <c r="L2151" s="63">
        <f>IF(tblMovement[[#This Row],[Destination]]="","",IFERROR(INDEX(tblDestinations[Type],MATCH(tblMovement[[#This Row],[Destination]],tblDestinations[Destination],0)),"?"))</f>
        <v/>
      </c>
      <c r="M2151" s="64">
        <f>IF(tblMovement[[#This Row],[Material]]="","",IF(LEFT(tblMovement[[#This Row],[Material]],3)="Ore",1,0))</f>
        <v/>
      </c>
      <c r="N2151" s="59">
        <f>IF(OR(tblMovement[[#This Row],[Tonnes_t]]="",tblMovement[[#This Row],[Grade_gpt]]=""),0,tblMovement[[#This Row],[Tonnes_t]]*tblMovement[[#This Row],[Grade_gpt]]/cfg_TroyOz)</f>
        <v/>
      </c>
      <c r="O2151" s="59">
        <f>IF(tblMovement[[#This Row],[Is_Ore]]=1,tblMovement[[#This Row],[Contained_oz]],0)</f>
        <v/>
      </c>
    </row>
    <row r="2152">
      <c r="A2152" s="54" t="n"/>
      <c r="B2152" s="61" t="n"/>
      <c r="C2152" s="61" t="n"/>
      <c r="D2152" s="61" t="n"/>
      <c r="E2152" s="61" t="n"/>
      <c r="F2152" s="55" t="n"/>
      <c r="G2152" s="56" t="n"/>
      <c r="H2152" s="55" t="n"/>
      <c r="I2152" s="62" t="n"/>
      <c r="J2152" s="58" t="n"/>
      <c r="K2152" s="63">
        <f>IF(tblMovement[[#This Row],[Source]]="","",IFERROR(INDEX(tblSources[Type],MATCH(tblMovement[[#This Row],[Source]],tblSources[Source],0)),"?"))</f>
        <v/>
      </c>
      <c r="L2152" s="63">
        <f>IF(tblMovement[[#This Row],[Destination]]="","",IFERROR(INDEX(tblDestinations[Type],MATCH(tblMovement[[#This Row],[Destination]],tblDestinations[Destination],0)),"?"))</f>
        <v/>
      </c>
      <c r="M2152" s="64">
        <f>IF(tblMovement[[#This Row],[Material]]="","",IF(LEFT(tblMovement[[#This Row],[Material]],3)="Ore",1,0))</f>
        <v/>
      </c>
      <c r="N2152" s="59">
        <f>IF(OR(tblMovement[[#This Row],[Tonnes_t]]="",tblMovement[[#This Row],[Grade_gpt]]=""),0,tblMovement[[#This Row],[Tonnes_t]]*tblMovement[[#This Row],[Grade_gpt]]/cfg_TroyOz)</f>
        <v/>
      </c>
      <c r="O2152" s="59">
        <f>IF(tblMovement[[#This Row],[Is_Ore]]=1,tblMovement[[#This Row],[Contained_oz]],0)</f>
        <v/>
      </c>
    </row>
    <row r="2153">
      <c r="A2153" s="54" t="n"/>
      <c r="B2153" s="61" t="n"/>
      <c r="C2153" s="61" t="n"/>
      <c r="D2153" s="61" t="n"/>
      <c r="E2153" s="61" t="n"/>
      <c r="F2153" s="55" t="n"/>
      <c r="G2153" s="56" t="n"/>
      <c r="H2153" s="55" t="n"/>
      <c r="I2153" s="62" t="n"/>
      <c r="J2153" s="58" t="n"/>
      <c r="K2153" s="63">
        <f>IF(tblMovement[[#This Row],[Source]]="","",IFERROR(INDEX(tblSources[Type],MATCH(tblMovement[[#This Row],[Source]],tblSources[Source],0)),"?"))</f>
        <v/>
      </c>
      <c r="L2153" s="63">
        <f>IF(tblMovement[[#This Row],[Destination]]="","",IFERROR(INDEX(tblDestinations[Type],MATCH(tblMovement[[#This Row],[Destination]],tblDestinations[Destination],0)),"?"))</f>
        <v/>
      </c>
      <c r="M2153" s="64">
        <f>IF(tblMovement[[#This Row],[Material]]="","",IF(LEFT(tblMovement[[#This Row],[Material]],3)="Ore",1,0))</f>
        <v/>
      </c>
      <c r="N2153" s="59">
        <f>IF(OR(tblMovement[[#This Row],[Tonnes_t]]="",tblMovement[[#This Row],[Grade_gpt]]=""),0,tblMovement[[#This Row],[Tonnes_t]]*tblMovement[[#This Row],[Grade_gpt]]/cfg_TroyOz)</f>
        <v/>
      </c>
      <c r="O2153" s="59">
        <f>IF(tblMovement[[#This Row],[Is_Ore]]=1,tblMovement[[#This Row],[Contained_oz]],0)</f>
        <v/>
      </c>
    </row>
    <row r="2154">
      <c r="A2154" s="54" t="n"/>
      <c r="B2154" s="61" t="n"/>
      <c r="C2154" s="61" t="n"/>
      <c r="D2154" s="61" t="n"/>
      <c r="E2154" s="61" t="n"/>
      <c r="F2154" s="55" t="n"/>
      <c r="G2154" s="56" t="n"/>
      <c r="H2154" s="55" t="n"/>
      <c r="I2154" s="62" t="n"/>
      <c r="J2154" s="58" t="n"/>
      <c r="K2154" s="63">
        <f>IF(tblMovement[[#This Row],[Source]]="","",IFERROR(INDEX(tblSources[Type],MATCH(tblMovement[[#This Row],[Source]],tblSources[Source],0)),"?"))</f>
        <v/>
      </c>
      <c r="L2154" s="63">
        <f>IF(tblMovement[[#This Row],[Destination]]="","",IFERROR(INDEX(tblDestinations[Type],MATCH(tblMovement[[#This Row],[Destination]],tblDestinations[Destination],0)),"?"))</f>
        <v/>
      </c>
      <c r="M2154" s="64">
        <f>IF(tblMovement[[#This Row],[Material]]="","",IF(LEFT(tblMovement[[#This Row],[Material]],3)="Ore",1,0))</f>
        <v/>
      </c>
      <c r="N2154" s="59">
        <f>IF(OR(tblMovement[[#This Row],[Tonnes_t]]="",tblMovement[[#This Row],[Grade_gpt]]=""),0,tblMovement[[#This Row],[Tonnes_t]]*tblMovement[[#This Row],[Grade_gpt]]/cfg_TroyOz)</f>
        <v/>
      </c>
      <c r="O2154" s="59">
        <f>IF(tblMovement[[#This Row],[Is_Ore]]=1,tblMovement[[#This Row],[Contained_oz]],0)</f>
        <v/>
      </c>
    </row>
    <row r="2155">
      <c r="A2155" s="54" t="n"/>
      <c r="B2155" s="61" t="n"/>
      <c r="C2155" s="61" t="n"/>
      <c r="D2155" s="61" t="n"/>
      <c r="E2155" s="61" t="n"/>
      <c r="F2155" s="55" t="n"/>
      <c r="G2155" s="56" t="n"/>
      <c r="H2155" s="55" t="n"/>
      <c r="I2155" s="62" t="n"/>
      <c r="J2155" s="58" t="n"/>
      <c r="K2155" s="63">
        <f>IF(tblMovement[[#This Row],[Source]]="","",IFERROR(INDEX(tblSources[Type],MATCH(tblMovement[[#This Row],[Source]],tblSources[Source],0)),"?"))</f>
        <v/>
      </c>
      <c r="L2155" s="63">
        <f>IF(tblMovement[[#This Row],[Destination]]="","",IFERROR(INDEX(tblDestinations[Type],MATCH(tblMovement[[#This Row],[Destination]],tblDestinations[Destination],0)),"?"))</f>
        <v/>
      </c>
      <c r="M2155" s="64">
        <f>IF(tblMovement[[#This Row],[Material]]="","",IF(LEFT(tblMovement[[#This Row],[Material]],3)="Ore",1,0))</f>
        <v/>
      </c>
      <c r="N2155" s="59">
        <f>IF(OR(tblMovement[[#This Row],[Tonnes_t]]="",tblMovement[[#This Row],[Grade_gpt]]=""),0,tblMovement[[#This Row],[Tonnes_t]]*tblMovement[[#This Row],[Grade_gpt]]/cfg_TroyOz)</f>
        <v/>
      </c>
      <c r="O2155" s="59">
        <f>IF(tblMovement[[#This Row],[Is_Ore]]=1,tblMovement[[#This Row],[Contained_oz]],0)</f>
        <v/>
      </c>
    </row>
    <row r="2156">
      <c r="A2156" s="54" t="n"/>
      <c r="B2156" s="61" t="n"/>
      <c r="C2156" s="61" t="n"/>
      <c r="D2156" s="61" t="n"/>
      <c r="E2156" s="61" t="n"/>
      <c r="F2156" s="55" t="n"/>
      <c r="G2156" s="56" t="n"/>
      <c r="H2156" s="55" t="n"/>
      <c r="I2156" s="62" t="n"/>
      <c r="J2156" s="58" t="n"/>
      <c r="K2156" s="63">
        <f>IF(tblMovement[[#This Row],[Source]]="","",IFERROR(INDEX(tblSources[Type],MATCH(tblMovement[[#This Row],[Source]],tblSources[Source],0)),"?"))</f>
        <v/>
      </c>
      <c r="L2156" s="63">
        <f>IF(tblMovement[[#This Row],[Destination]]="","",IFERROR(INDEX(tblDestinations[Type],MATCH(tblMovement[[#This Row],[Destination]],tblDestinations[Destination],0)),"?"))</f>
        <v/>
      </c>
      <c r="M2156" s="64">
        <f>IF(tblMovement[[#This Row],[Material]]="","",IF(LEFT(tblMovement[[#This Row],[Material]],3)="Ore",1,0))</f>
        <v/>
      </c>
      <c r="N2156" s="59">
        <f>IF(OR(tblMovement[[#This Row],[Tonnes_t]]="",tblMovement[[#This Row],[Grade_gpt]]=""),0,tblMovement[[#This Row],[Tonnes_t]]*tblMovement[[#This Row],[Grade_gpt]]/cfg_TroyOz)</f>
        <v/>
      </c>
      <c r="O2156" s="59">
        <f>IF(tblMovement[[#This Row],[Is_Ore]]=1,tblMovement[[#This Row],[Contained_oz]],0)</f>
        <v/>
      </c>
    </row>
    <row r="2157">
      <c r="A2157" s="54" t="n"/>
      <c r="B2157" s="61" t="n"/>
      <c r="C2157" s="61" t="n"/>
      <c r="D2157" s="61" t="n"/>
      <c r="E2157" s="61" t="n"/>
      <c r="F2157" s="55" t="n"/>
      <c r="G2157" s="56" t="n"/>
      <c r="H2157" s="55" t="n"/>
      <c r="I2157" s="62" t="n"/>
      <c r="J2157" s="58" t="n"/>
      <c r="K2157" s="63">
        <f>IF(tblMovement[[#This Row],[Source]]="","",IFERROR(INDEX(tblSources[Type],MATCH(tblMovement[[#This Row],[Source]],tblSources[Source],0)),"?"))</f>
        <v/>
      </c>
      <c r="L2157" s="63">
        <f>IF(tblMovement[[#This Row],[Destination]]="","",IFERROR(INDEX(tblDestinations[Type],MATCH(tblMovement[[#This Row],[Destination]],tblDestinations[Destination],0)),"?"))</f>
        <v/>
      </c>
      <c r="M2157" s="64">
        <f>IF(tblMovement[[#This Row],[Material]]="","",IF(LEFT(tblMovement[[#This Row],[Material]],3)="Ore",1,0))</f>
        <v/>
      </c>
      <c r="N2157" s="59">
        <f>IF(OR(tblMovement[[#This Row],[Tonnes_t]]="",tblMovement[[#This Row],[Grade_gpt]]=""),0,tblMovement[[#This Row],[Tonnes_t]]*tblMovement[[#This Row],[Grade_gpt]]/cfg_TroyOz)</f>
        <v/>
      </c>
      <c r="O2157" s="59">
        <f>IF(tblMovement[[#This Row],[Is_Ore]]=1,tblMovement[[#This Row],[Contained_oz]],0)</f>
        <v/>
      </c>
    </row>
    <row r="2158">
      <c r="A2158" s="54" t="n"/>
      <c r="B2158" s="61" t="n"/>
      <c r="C2158" s="61" t="n"/>
      <c r="D2158" s="61" t="n"/>
      <c r="E2158" s="61" t="n"/>
      <c r="F2158" s="55" t="n"/>
      <c r="G2158" s="56" t="n"/>
      <c r="H2158" s="55" t="n"/>
      <c r="I2158" s="62" t="n"/>
      <c r="J2158" s="58" t="n"/>
      <c r="K2158" s="63">
        <f>IF(tblMovement[[#This Row],[Source]]="","",IFERROR(INDEX(tblSources[Type],MATCH(tblMovement[[#This Row],[Source]],tblSources[Source],0)),"?"))</f>
        <v/>
      </c>
      <c r="L2158" s="63">
        <f>IF(tblMovement[[#This Row],[Destination]]="","",IFERROR(INDEX(tblDestinations[Type],MATCH(tblMovement[[#This Row],[Destination]],tblDestinations[Destination],0)),"?"))</f>
        <v/>
      </c>
      <c r="M2158" s="64">
        <f>IF(tblMovement[[#This Row],[Material]]="","",IF(LEFT(tblMovement[[#This Row],[Material]],3)="Ore",1,0))</f>
        <v/>
      </c>
      <c r="N2158" s="59">
        <f>IF(OR(tblMovement[[#This Row],[Tonnes_t]]="",tblMovement[[#This Row],[Grade_gpt]]=""),0,tblMovement[[#This Row],[Tonnes_t]]*tblMovement[[#This Row],[Grade_gpt]]/cfg_TroyOz)</f>
        <v/>
      </c>
      <c r="O2158" s="59">
        <f>IF(tblMovement[[#This Row],[Is_Ore]]=1,tblMovement[[#This Row],[Contained_oz]],0)</f>
        <v/>
      </c>
    </row>
    <row r="2159">
      <c r="A2159" s="54" t="n"/>
      <c r="B2159" s="61" t="n"/>
      <c r="C2159" s="61" t="n"/>
      <c r="D2159" s="61" t="n"/>
      <c r="E2159" s="61" t="n"/>
      <c r="F2159" s="55" t="n"/>
      <c r="G2159" s="56" t="n"/>
      <c r="H2159" s="55" t="n"/>
      <c r="I2159" s="62" t="n"/>
      <c r="J2159" s="58" t="n"/>
      <c r="K2159" s="63">
        <f>IF(tblMovement[[#This Row],[Source]]="","",IFERROR(INDEX(tblSources[Type],MATCH(tblMovement[[#This Row],[Source]],tblSources[Source],0)),"?"))</f>
        <v/>
      </c>
      <c r="L2159" s="63">
        <f>IF(tblMovement[[#This Row],[Destination]]="","",IFERROR(INDEX(tblDestinations[Type],MATCH(tblMovement[[#This Row],[Destination]],tblDestinations[Destination],0)),"?"))</f>
        <v/>
      </c>
      <c r="M2159" s="64">
        <f>IF(tblMovement[[#This Row],[Material]]="","",IF(LEFT(tblMovement[[#This Row],[Material]],3)="Ore",1,0))</f>
        <v/>
      </c>
      <c r="N2159" s="59">
        <f>IF(OR(tblMovement[[#This Row],[Tonnes_t]]="",tblMovement[[#This Row],[Grade_gpt]]=""),0,tblMovement[[#This Row],[Tonnes_t]]*tblMovement[[#This Row],[Grade_gpt]]/cfg_TroyOz)</f>
        <v/>
      </c>
      <c r="O2159" s="59">
        <f>IF(tblMovement[[#This Row],[Is_Ore]]=1,tblMovement[[#This Row],[Contained_oz]],0)</f>
        <v/>
      </c>
    </row>
    <row r="2160">
      <c r="A2160" s="54" t="n"/>
      <c r="B2160" s="61" t="n"/>
      <c r="C2160" s="61" t="n"/>
      <c r="D2160" s="61" t="n"/>
      <c r="E2160" s="61" t="n"/>
      <c r="F2160" s="55" t="n"/>
      <c r="G2160" s="56" t="n"/>
      <c r="H2160" s="55" t="n"/>
      <c r="I2160" s="62" t="n"/>
      <c r="J2160" s="58" t="n"/>
      <c r="K2160" s="63">
        <f>IF(tblMovement[[#This Row],[Source]]="","",IFERROR(INDEX(tblSources[Type],MATCH(tblMovement[[#This Row],[Source]],tblSources[Source],0)),"?"))</f>
        <v/>
      </c>
      <c r="L2160" s="63">
        <f>IF(tblMovement[[#This Row],[Destination]]="","",IFERROR(INDEX(tblDestinations[Type],MATCH(tblMovement[[#This Row],[Destination]],tblDestinations[Destination],0)),"?"))</f>
        <v/>
      </c>
      <c r="M2160" s="64">
        <f>IF(tblMovement[[#This Row],[Material]]="","",IF(LEFT(tblMovement[[#This Row],[Material]],3)="Ore",1,0))</f>
        <v/>
      </c>
      <c r="N2160" s="59">
        <f>IF(OR(tblMovement[[#This Row],[Tonnes_t]]="",tblMovement[[#This Row],[Grade_gpt]]=""),0,tblMovement[[#This Row],[Tonnes_t]]*tblMovement[[#This Row],[Grade_gpt]]/cfg_TroyOz)</f>
        <v/>
      </c>
      <c r="O2160" s="59">
        <f>IF(tblMovement[[#This Row],[Is_Ore]]=1,tblMovement[[#This Row],[Contained_oz]],0)</f>
        <v/>
      </c>
    </row>
    <row r="2161">
      <c r="A2161" s="54" t="n"/>
      <c r="B2161" s="61" t="n"/>
      <c r="C2161" s="61" t="n"/>
      <c r="D2161" s="61" t="n"/>
      <c r="E2161" s="61" t="n"/>
      <c r="F2161" s="55" t="n"/>
      <c r="G2161" s="56" t="n"/>
      <c r="H2161" s="55" t="n"/>
      <c r="I2161" s="62" t="n"/>
      <c r="J2161" s="58" t="n"/>
      <c r="K2161" s="63">
        <f>IF(tblMovement[[#This Row],[Source]]="","",IFERROR(INDEX(tblSources[Type],MATCH(tblMovement[[#This Row],[Source]],tblSources[Source],0)),"?"))</f>
        <v/>
      </c>
      <c r="L2161" s="63">
        <f>IF(tblMovement[[#This Row],[Destination]]="","",IFERROR(INDEX(tblDestinations[Type],MATCH(tblMovement[[#This Row],[Destination]],tblDestinations[Destination],0)),"?"))</f>
        <v/>
      </c>
      <c r="M2161" s="64">
        <f>IF(tblMovement[[#This Row],[Material]]="","",IF(LEFT(tblMovement[[#This Row],[Material]],3)="Ore",1,0))</f>
        <v/>
      </c>
      <c r="N2161" s="59">
        <f>IF(OR(tblMovement[[#This Row],[Tonnes_t]]="",tblMovement[[#This Row],[Grade_gpt]]=""),0,tblMovement[[#This Row],[Tonnes_t]]*tblMovement[[#This Row],[Grade_gpt]]/cfg_TroyOz)</f>
        <v/>
      </c>
      <c r="O2161" s="59">
        <f>IF(tblMovement[[#This Row],[Is_Ore]]=1,tblMovement[[#This Row],[Contained_oz]],0)</f>
        <v/>
      </c>
    </row>
    <row r="2162">
      <c r="A2162" s="54" t="n"/>
      <c r="B2162" s="61" t="n"/>
      <c r="C2162" s="61" t="n"/>
      <c r="D2162" s="61" t="n"/>
      <c r="E2162" s="61" t="n"/>
      <c r="F2162" s="55" t="n"/>
      <c r="G2162" s="56" t="n"/>
      <c r="H2162" s="55" t="n"/>
      <c r="I2162" s="62" t="n"/>
      <c r="J2162" s="58" t="n"/>
      <c r="K2162" s="63">
        <f>IF(tblMovement[[#This Row],[Source]]="","",IFERROR(INDEX(tblSources[Type],MATCH(tblMovement[[#This Row],[Source]],tblSources[Source],0)),"?"))</f>
        <v/>
      </c>
      <c r="L2162" s="63">
        <f>IF(tblMovement[[#This Row],[Destination]]="","",IFERROR(INDEX(tblDestinations[Type],MATCH(tblMovement[[#This Row],[Destination]],tblDestinations[Destination],0)),"?"))</f>
        <v/>
      </c>
      <c r="M2162" s="64">
        <f>IF(tblMovement[[#This Row],[Material]]="","",IF(LEFT(tblMovement[[#This Row],[Material]],3)="Ore",1,0))</f>
        <v/>
      </c>
      <c r="N2162" s="59">
        <f>IF(OR(tblMovement[[#This Row],[Tonnes_t]]="",tblMovement[[#This Row],[Grade_gpt]]=""),0,tblMovement[[#This Row],[Tonnes_t]]*tblMovement[[#This Row],[Grade_gpt]]/cfg_TroyOz)</f>
        <v/>
      </c>
      <c r="O2162" s="59">
        <f>IF(tblMovement[[#This Row],[Is_Ore]]=1,tblMovement[[#This Row],[Contained_oz]],0)</f>
        <v/>
      </c>
    </row>
    <row r="2163">
      <c r="A2163" s="54" t="n"/>
      <c r="B2163" s="61" t="n"/>
      <c r="C2163" s="61" t="n"/>
      <c r="D2163" s="61" t="n"/>
      <c r="E2163" s="61" t="n"/>
      <c r="F2163" s="55" t="n"/>
      <c r="G2163" s="56" t="n"/>
      <c r="H2163" s="55" t="n"/>
      <c r="I2163" s="62" t="n"/>
      <c r="J2163" s="58" t="n"/>
      <c r="K2163" s="63">
        <f>IF(tblMovement[[#This Row],[Source]]="","",IFERROR(INDEX(tblSources[Type],MATCH(tblMovement[[#This Row],[Source]],tblSources[Source],0)),"?"))</f>
        <v/>
      </c>
      <c r="L2163" s="63">
        <f>IF(tblMovement[[#This Row],[Destination]]="","",IFERROR(INDEX(tblDestinations[Type],MATCH(tblMovement[[#This Row],[Destination]],tblDestinations[Destination],0)),"?"))</f>
        <v/>
      </c>
      <c r="M2163" s="64">
        <f>IF(tblMovement[[#This Row],[Material]]="","",IF(LEFT(tblMovement[[#This Row],[Material]],3)="Ore",1,0))</f>
        <v/>
      </c>
      <c r="N2163" s="59">
        <f>IF(OR(tblMovement[[#This Row],[Tonnes_t]]="",tblMovement[[#This Row],[Grade_gpt]]=""),0,tblMovement[[#This Row],[Tonnes_t]]*tblMovement[[#This Row],[Grade_gpt]]/cfg_TroyOz)</f>
        <v/>
      </c>
      <c r="O2163" s="59">
        <f>IF(tblMovement[[#This Row],[Is_Ore]]=1,tblMovement[[#This Row],[Contained_oz]],0)</f>
        <v/>
      </c>
    </row>
    <row r="2164">
      <c r="A2164" s="54" t="n"/>
      <c r="B2164" s="61" t="n"/>
      <c r="C2164" s="61" t="n"/>
      <c r="D2164" s="61" t="n"/>
      <c r="E2164" s="61" t="n"/>
      <c r="F2164" s="55" t="n"/>
      <c r="G2164" s="56" t="n"/>
      <c r="H2164" s="55" t="n"/>
      <c r="I2164" s="62" t="n"/>
      <c r="J2164" s="58" t="n"/>
      <c r="K2164" s="63">
        <f>IF(tblMovement[[#This Row],[Source]]="","",IFERROR(INDEX(tblSources[Type],MATCH(tblMovement[[#This Row],[Source]],tblSources[Source],0)),"?"))</f>
        <v/>
      </c>
      <c r="L2164" s="63">
        <f>IF(tblMovement[[#This Row],[Destination]]="","",IFERROR(INDEX(tblDestinations[Type],MATCH(tblMovement[[#This Row],[Destination]],tblDestinations[Destination],0)),"?"))</f>
        <v/>
      </c>
      <c r="M2164" s="64">
        <f>IF(tblMovement[[#This Row],[Material]]="","",IF(LEFT(tblMovement[[#This Row],[Material]],3)="Ore",1,0))</f>
        <v/>
      </c>
      <c r="N2164" s="59">
        <f>IF(OR(tblMovement[[#This Row],[Tonnes_t]]="",tblMovement[[#This Row],[Grade_gpt]]=""),0,tblMovement[[#This Row],[Tonnes_t]]*tblMovement[[#This Row],[Grade_gpt]]/cfg_TroyOz)</f>
        <v/>
      </c>
      <c r="O2164" s="59">
        <f>IF(tblMovement[[#This Row],[Is_Ore]]=1,tblMovement[[#This Row],[Contained_oz]],0)</f>
        <v/>
      </c>
    </row>
    <row r="2165">
      <c r="A2165" s="54" t="n"/>
      <c r="B2165" s="61" t="n"/>
      <c r="C2165" s="61" t="n"/>
      <c r="D2165" s="61" t="n"/>
      <c r="E2165" s="61" t="n"/>
      <c r="F2165" s="55" t="n"/>
      <c r="G2165" s="56" t="n"/>
      <c r="H2165" s="55" t="n"/>
      <c r="I2165" s="62" t="n"/>
      <c r="J2165" s="58" t="n"/>
      <c r="K2165" s="63">
        <f>IF(tblMovement[[#This Row],[Source]]="","",IFERROR(INDEX(tblSources[Type],MATCH(tblMovement[[#This Row],[Source]],tblSources[Source],0)),"?"))</f>
        <v/>
      </c>
      <c r="L2165" s="63">
        <f>IF(tblMovement[[#This Row],[Destination]]="","",IFERROR(INDEX(tblDestinations[Type],MATCH(tblMovement[[#This Row],[Destination]],tblDestinations[Destination],0)),"?"))</f>
        <v/>
      </c>
      <c r="M2165" s="64">
        <f>IF(tblMovement[[#This Row],[Material]]="","",IF(LEFT(tblMovement[[#This Row],[Material]],3)="Ore",1,0))</f>
        <v/>
      </c>
      <c r="N2165" s="59">
        <f>IF(OR(tblMovement[[#This Row],[Tonnes_t]]="",tblMovement[[#This Row],[Grade_gpt]]=""),0,tblMovement[[#This Row],[Tonnes_t]]*tblMovement[[#This Row],[Grade_gpt]]/cfg_TroyOz)</f>
        <v/>
      </c>
      <c r="O2165" s="59">
        <f>IF(tblMovement[[#This Row],[Is_Ore]]=1,tblMovement[[#This Row],[Contained_oz]],0)</f>
        <v/>
      </c>
    </row>
    <row r="2166">
      <c r="A2166" s="54" t="n"/>
      <c r="B2166" s="61" t="n"/>
      <c r="C2166" s="61" t="n"/>
      <c r="D2166" s="61" t="n"/>
      <c r="E2166" s="61" t="n"/>
      <c r="F2166" s="55" t="n"/>
      <c r="G2166" s="56" t="n"/>
      <c r="H2166" s="55" t="n"/>
      <c r="I2166" s="62" t="n"/>
      <c r="J2166" s="58" t="n"/>
      <c r="K2166" s="63">
        <f>IF(tblMovement[[#This Row],[Source]]="","",IFERROR(INDEX(tblSources[Type],MATCH(tblMovement[[#This Row],[Source]],tblSources[Source],0)),"?"))</f>
        <v/>
      </c>
      <c r="L2166" s="63">
        <f>IF(tblMovement[[#This Row],[Destination]]="","",IFERROR(INDEX(tblDestinations[Type],MATCH(tblMovement[[#This Row],[Destination]],tblDestinations[Destination],0)),"?"))</f>
        <v/>
      </c>
      <c r="M2166" s="64">
        <f>IF(tblMovement[[#This Row],[Material]]="","",IF(LEFT(tblMovement[[#This Row],[Material]],3)="Ore",1,0))</f>
        <v/>
      </c>
      <c r="N2166" s="59">
        <f>IF(OR(tblMovement[[#This Row],[Tonnes_t]]="",tblMovement[[#This Row],[Grade_gpt]]=""),0,tblMovement[[#This Row],[Tonnes_t]]*tblMovement[[#This Row],[Grade_gpt]]/cfg_TroyOz)</f>
        <v/>
      </c>
      <c r="O2166" s="59">
        <f>IF(tblMovement[[#This Row],[Is_Ore]]=1,tblMovement[[#This Row],[Contained_oz]],0)</f>
        <v/>
      </c>
    </row>
    <row r="2167">
      <c r="A2167" s="54" t="n"/>
      <c r="B2167" s="61" t="n"/>
      <c r="C2167" s="61" t="n"/>
      <c r="D2167" s="61" t="n"/>
      <c r="E2167" s="61" t="n"/>
      <c r="F2167" s="55" t="n"/>
      <c r="G2167" s="56" t="n"/>
      <c r="H2167" s="55" t="n"/>
      <c r="I2167" s="62" t="n"/>
      <c r="J2167" s="58" t="n"/>
      <c r="K2167" s="63">
        <f>IF(tblMovement[[#This Row],[Source]]="","",IFERROR(INDEX(tblSources[Type],MATCH(tblMovement[[#This Row],[Source]],tblSources[Source],0)),"?"))</f>
        <v/>
      </c>
      <c r="L2167" s="63">
        <f>IF(tblMovement[[#This Row],[Destination]]="","",IFERROR(INDEX(tblDestinations[Type],MATCH(tblMovement[[#This Row],[Destination]],tblDestinations[Destination],0)),"?"))</f>
        <v/>
      </c>
      <c r="M2167" s="64">
        <f>IF(tblMovement[[#This Row],[Material]]="","",IF(LEFT(tblMovement[[#This Row],[Material]],3)="Ore",1,0))</f>
        <v/>
      </c>
      <c r="N2167" s="59">
        <f>IF(OR(tblMovement[[#This Row],[Tonnes_t]]="",tblMovement[[#This Row],[Grade_gpt]]=""),0,tblMovement[[#This Row],[Tonnes_t]]*tblMovement[[#This Row],[Grade_gpt]]/cfg_TroyOz)</f>
        <v/>
      </c>
      <c r="O2167" s="59">
        <f>IF(tblMovement[[#This Row],[Is_Ore]]=1,tblMovement[[#This Row],[Contained_oz]],0)</f>
        <v/>
      </c>
    </row>
    <row r="2168">
      <c r="A2168" s="54" t="n"/>
      <c r="B2168" s="61" t="n"/>
      <c r="C2168" s="61" t="n"/>
      <c r="D2168" s="61" t="n"/>
      <c r="E2168" s="61" t="n"/>
      <c r="F2168" s="55" t="n"/>
      <c r="G2168" s="56" t="n"/>
      <c r="H2168" s="55" t="n"/>
      <c r="I2168" s="62" t="n"/>
      <c r="J2168" s="58" t="n"/>
      <c r="K2168" s="63">
        <f>IF(tblMovement[[#This Row],[Source]]="","",IFERROR(INDEX(tblSources[Type],MATCH(tblMovement[[#This Row],[Source]],tblSources[Source],0)),"?"))</f>
        <v/>
      </c>
      <c r="L2168" s="63">
        <f>IF(tblMovement[[#This Row],[Destination]]="","",IFERROR(INDEX(tblDestinations[Type],MATCH(tblMovement[[#This Row],[Destination]],tblDestinations[Destination],0)),"?"))</f>
        <v/>
      </c>
      <c r="M2168" s="64">
        <f>IF(tblMovement[[#This Row],[Material]]="","",IF(LEFT(tblMovement[[#This Row],[Material]],3)="Ore",1,0))</f>
        <v/>
      </c>
      <c r="N2168" s="59">
        <f>IF(OR(tblMovement[[#This Row],[Tonnes_t]]="",tblMovement[[#This Row],[Grade_gpt]]=""),0,tblMovement[[#This Row],[Tonnes_t]]*tblMovement[[#This Row],[Grade_gpt]]/cfg_TroyOz)</f>
        <v/>
      </c>
      <c r="O2168" s="59">
        <f>IF(tblMovement[[#This Row],[Is_Ore]]=1,tblMovement[[#This Row],[Contained_oz]],0)</f>
        <v/>
      </c>
    </row>
    <row r="2169">
      <c r="A2169" s="54" t="n"/>
      <c r="B2169" s="61" t="n"/>
      <c r="C2169" s="61" t="n"/>
      <c r="D2169" s="61" t="n"/>
      <c r="E2169" s="61" t="n"/>
      <c r="F2169" s="55" t="n"/>
      <c r="G2169" s="56" t="n"/>
      <c r="H2169" s="55" t="n"/>
      <c r="I2169" s="62" t="n"/>
      <c r="J2169" s="58" t="n"/>
      <c r="K2169" s="63">
        <f>IF(tblMovement[[#This Row],[Source]]="","",IFERROR(INDEX(tblSources[Type],MATCH(tblMovement[[#This Row],[Source]],tblSources[Source],0)),"?"))</f>
        <v/>
      </c>
      <c r="L2169" s="63">
        <f>IF(tblMovement[[#This Row],[Destination]]="","",IFERROR(INDEX(tblDestinations[Type],MATCH(tblMovement[[#This Row],[Destination]],tblDestinations[Destination],0)),"?"))</f>
        <v/>
      </c>
      <c r="M2169" s="64">
        <f>IF(tblMovement[[#This Row],[Material]]="","",IF(LEFT(tblMovement[[#This Row],[Material]],3)="Ore",1,0))</f>
        <v/>
      </c>
      <c r="N2169" s="59">
        <f>IF(OR(tblMovement[[#This Row],[Tonnes_t]]="",tblMovement[[#This Row],[Grade_gpt]]=""),0,tblMovement[[#This Row],[Tonnes_t]]*tblMovement[[#This Row],[Grade_gpt]]/cfg_TroyOz)</f>
        <v/>
      </c>
      <c r="O2169" s="59">
        <f>IF(tblMovement[[#This Row],[Is_Ore]]=1,tblMovement[[#This Row],[Contained_oz]],0)</f>
        <v/>
      </c>
    </row>
    <row r="2170">
      <c r="A2170" s="54" t="n"/>
      <c r="B2170" s="61" t="n"/>
      <c r="C2170" s="61" t="n"/>
      <c r="D2170" s="61" t="n"/>
      <c r="E2170" s="61" t="n"/>
      <c r="F2170" s="55" t="n"/>
      <c r="G2170" s="56" t="n"/>
      <c r="H2170" s="55" t="n"/>
      <c r="I2170" s="62" t="n"/>
      <c r="J2170" s="58" t="n"/>
      <c r="K2170" s="63">
        <f>IF(tblMovement[[#This Row],[Source]]="","",IFERROR(INDEX(tblSources[Type],MATCH(tblMovement[[#This Row],[Source]],tblSources[Source],0)),"?"))</f>
        <v/>
      </c>
      <c r="L2170" s="63">
        <f>IF(tblMovement[[#This Row],[Destination]]="","",IFERROR(INDEX(tblDestinations[Type],MATCH(tblMovement[[#This Row],[Destination]],tblDestinations[Destination],0)),"?"))</f>
        <v/>
      </c>
      <c r="M2170" s="64">
        <f>IF(tblMovement[[#This Row],[Material]]="","",IF(LEFT(tblMovement[[#This Row],[Material]],3)="Ore",1,0))</f>
        <v/>
      </c>
      <c r="N2170" s="59">
        <f>IF(OR(tblMovement[[#This Row],[Tonnes_t]]="",tblMovement[[#This Row],[Grade_gpt]]=""),0,tblMovement[[#This Row],[Tonnes_t]]*tblMovement[[#This Row],[Grade_gpt]]/cfg_TroyOz)</f>
        <v/>
      </c>
      <c r="O2170" s="59">
        <f>IF(tblMovement[[#This Row],[Is_Ore]]=1,tblMovement[[#This Row],[Contained_oz]],0)</f>
        <v/>
      </c>
    </row>
    <row r="2171">
      <c r="A2171" s="54" t="n"/>
      <c r="B2171" s="61" t="n"/>
      <c r="C2171" s="61" t="n"/>
      <c r="D2171" s="61" t="n"/>
      <c r="E2171" s="61" t="n"/>
      <c r="F2171" s="55" t="n"/>
      <c r="G2171" s="56" t="n"/>
      <c r="H2171" s="55" t="n"/>
      <c r="I2171" s="62" t="n"/>
      <c r="J2171" s="58" t="n"/>
      <c r="K2171" s="63">
        <f>IF(tblMovement[[#This Row],[Source]]="","",IFERROR(INDEX(tblSources[Type],MATCH(tblMovement[[#This Row],[Source]],tblSources[Source],0)),"?"))</f>
        <v/>
      </c>
      <c r="L2171" s="63">
        <f>IF(tblMovement[[#This Row],[Destination]]="","",IFERROR(INDEX(tblDestinations[Type],MATCH(tblMovement[[#This Row],[Destination]],tblDestinations[Destination],0)),"?"))</f>
        <v/>
      </c>
      <c r="M2171" s="64">
        <f>IF(tblMovement[[#This Row],[Material]]="","",IF(LEFT(tblMovement[[#This Row],[Material]],3)="Ore",1,0))</f>
        <v/>
      </c>
      <c r="N2171" s="59">
        <f>IF(OR(tblMovement[[#This Row],[Tonnes_t]]="",tblMovement[[#This Row],[Grade_gpt]]=""),0,tblMovement[[#This Row],[Tonnes_t]]*tblMovement[[#This Row],[Grade_gpt]]/cfg_TroyOz)</f>
        <v/>
      </c>
      <c r="O2171" s="59">
        <f>IF(tblMovement[[#This Row],[Is_Ore]]=1,tblMovement[[#This Row],[Contained_oz]],0)</f>
        <v/>
      </c>
    </row>
    <row r="2172">
      <c r="A2172" s="54" t="n"/>
      <c r="B2172" s="61" t="n"/>
      <c r="C2172" s="61" t="n"/>
      <c r="D2172" s="61" t="n"/>
      <c r="E2172" s="61" t="n"/>
      <c r="F2172" s="55" t="n"/>
      <c r="G2172" s="56" t="n"/>
      <c r="H2172" s="55" t="n"/>
      <c r="I2172" s="62" t="n"/>
      <c r="J2172" s="58" t="n"/>
      <c r="K2172" s="63">
        <f>IF(tblMovement[[#This Row],[Source]]="","",IFERROR(INDEX(tblSources[Type],MATCH(tblMovement[[#This Row],[Source]],tblSources[Source],0)),"?"))</f>
        <v/>
      </c>
      <c r="L2172" s="63">
        <f>IF(tblMovement[[#This Row],[Destination]]="","",IFERROR(INDEX(tblDestinations[Type],MATCH(tblMovement[[#This Row],[Destination]],tblDestinations[Destination],0)),"?"))</f>
        <v/>
      </c>
      <c r="M2172" s="64">
        <f>IF(tblMovement[[#This Row],[Material]]="","",IF(LEFT(tblMovement[[#This Row],[Material]],3)="Ore",1,0))</f>
        <v/>
      </c>
      <c r="N2172" s="59">
        <f>IF(OR(tblMovement[[#This Row],[Tonnes_t]]="",tblMovement[[#This Row],[Grade_gpt]]=""),0,tblMovement[[#This Row],[Tonnes_t]]*tblMovement[[#This Row],[Grade_gpt]]/cfg_TroyOz)</f>
        <v/>
      </c>
      <c r="O2172" s="59">
        <f>IF(tblMovement[[#This Row],[Is_Ore]]=1,tblMovement[[#This Row],[Contained_oz]],0)</f>
        <v/>
      </c>
    </row>
    <row r="2173">
      <c r="A2173" s="54" t="n"/>
      <c r="B2173" s="61" t="n"/>
      <c r="C2173" s="61" t="n"/>
      <c r="D2173" s="61" t="n"/>
      <c r="E2173" s="61" t="n"/>
      <c r="F2173" s="55" t="n"/>
      <c r="G2173" s="56" t="n"/>
      <c r="H2173" s="55" t="n"/>
      <c r="I2173" s="62" t="n"/>
      <c r="J2173" s="58" t="n"/>
      <c r="K2173" s="63">
        <f>IF(tblMovement[[#This Row],[Source]]="","",IFERROR(INDEX(tblSources[Type],MATCH(tblMovement[[#This Row],[Source]],tblSources[Source],0)),"?"))</f>
        <v/>
      </c>
      <c r="L2173" s="63">
        <f>IF(tblMovement[[#This Row],[Destination]]="","",IFERROR(INDEX(tblDestinations[Type],MATCH(tblMovement[[#This Row],[Destination]],tblDestinations[Destination],0)),"?"))</f>
        <v/>
      </c>
      <c r="M2173" s="64">
        <f>IF(tblMovement[[#This Row],[Material]]="","",IF(LEFT(tblMovement[[#This Row],[Material]],3)="Ore",1,0))</f>
        <v/>
      </c>
      <c r="N2173" s="59">
        <f>IF(OR(tblMovement[[#This Row],[Tonnes_t]]="",tblMovement[[#This Row],[Grade_gpt]]=""),0,tblMovement[[#This Row],[Tonnes_t]]*tblMovement[[#This Row],[Grade_gpt]]/cfg_TroyOz)</f>
        <v/>
      </c>
      <c r="O2173" s="59">
        <f>IF(tblMovement[[#This Row],[Is_Ore]]=1,tblMovement[[#This Row],[Contained_oz]],0)</f>
        <v/>
      </c>
    </row>
    <row r="2174">
      <c r="A2174" s="54" t="n"/>
      <c r="B2174" s="61" t="n"/>
      <c r="C2174" s="61" t="n"/>
      <c r="D2174" s="61" t="n"/>
      <c r="E2174" s="61" t="n"/>
      <c r="F2174" s="55" t="n"/>
      <c r="G2174" s="56" t="n"/>
      <c r="H2174" s="55" t="n"/>
      <c r="I2174" s="62" t="n"/>
      <c r="J2174" s="58" t="n"/>
      <c r="K2174" s="63">
        <f>IF(tblMovement[[#This Row],[Source]]="","",IFERROR(INDEX(tblSources[Type],MATCH(tblMovement[[#This Row],[Source]],tblSources[Source],0)),"?"))</f>
        <v/>
      </c>
      <c r="L2174" s="63">
        <f>IF(tblMovement[[#This Row],[Destination]]="","",IFERROR(INDEX(tblDestinations[Type],MATCH(tblMovement[[#This Row],[Destination]],tblDestinations[Destination],0)),"?"))</f>
        <v/>
      </c>
      <c r="M2174" s="64">
        <f>IF(tblMovement[[#This Row],[Material]]="","",IF(LEFT(tblMovement[[#This Row],[Material]],3)="Ore",1,0))</f>
        <v/>
      </c>
      <c r="N2174" s="59">
        <f>IF(OR(tblMovement[[#This Row],[Tonnes_t]]="",tblMovement[[#This Row],[Grade_gpt]]=""),0,tblMovement[[#This Row],[Tonnes_t]]*tblMovement[[#This Row],[Grade_gpt]]/cfg_TroyOz)</f>
        <v/>
      </c>
      <c r="O2174" s="59">
        <f>IF(tblMovement[[#This Row],[Is_Ore]]=1,tblMovement[[#This Row],[Contained_oz]],0)</f>
        <v/>
      </c>
    </row>
    <row r="2175">
      <c r="A2175" s="54" t="n"/>
      <c r="B2175" s="61" t="n"/>
      <c r="C2175" s="61" t="n"/>
      <c r="D2175" s="61" t="n"/>
      <c r="E2175" s="61" t="n"/>
      <c r="F2175" s="55" t="n"/>
      <c r="G2175" s="56" t="n"/>
      <c r="H2175" s="55" t="n"/>
      <c r="I2175" s="62" t="n"/>
      <c r="J2175" s="58" t="n"/>
      <c r="K2175" s="63">
        <f>IF(tblMovement[[#This Row],[Source]]="","",IFERROR(INDEX(tblSources[Type],MATCH(tblMovement[[#This Row],[Source]],tblSources[Source],0)),"?"))</f>
        <v/>
      </c>
      <c r="L2175" s="63">
        <f>IF(tblMovement[[#This Row],[Destination]]="","",IFERROR(INDEX(tblDestinations[Type],MATCH(tblMovement[[#This Row],[Destination]],tblDestinations[Destination],0)),"?"))</f>
        <v/>
      </c>
      <c r="M2175" s="64">
        <f>IF(tblMovement[[#This Row],[Material]]="","",IF(LEFT(tblMovement[[#This Row],[Material]],3)="Ore",1,0))</f>
        <v/>
      </c>
      <c r="N2175" s="59">
        <f>IF(OR(tblMovement[[#This Row],[Tonnes_t]]="",tblMovement[[#This Row],[Grade_gpt]]=""),0,tblMovement[[#This Row],[Tonnes_t]]*tblMovement[[#This Row],[Grade_gpt]]/cfg_TroyOz)</f>
        <v/>
      </c>
      <c r="O2175" s="59">
        <f>IF(tblMovement[[#This Row],[Is_Ore]]=1,tblMovement[[#This Row],[Contained_oz]],0)</f>
        <v/>
      </c>
    </row>
    <row r="2176">
      <c r="A2176" s="54" t="n"/>
      <c r="B2176" s="61" t="n"/>
      <c r="C2176" s="61" t="n"/>
      <c r="D2176" s="61" t="n"/>
      <c r="E2176" s="61" t="n"/>
      <c r="F2176" s="55" t="n"/>
      <c r="G2176" s="56" t="n"/>
      <c r="H2176" s="55" t="n"/>
      <c r="I2176" s="62" t="n"/>
      <c r="J2176" s="58" t="n"/>
      <c r="K2176" s="63">
        <f>IF(tblMovement[[#This Row],[Source]]="","",IFERROR(INDEX(tblSources[Type],MATCH(tblMovement[[#This Row],[Source]],tblSources[Source],0)),"?"))</f>
        <v/>
      </c>
      <c r="L2176" s="63">
        <f>IF(tblMovement[[#This Row],[Destination]]="","",IFERROR(INDEX(tblDestinations[Type],MATCH(tblMovement[[#This Row],[Destination]],tblDestinations[Destination],0)),"?"))</f>
        <v/>
      </c>
      <c r="M2176" s="64">
        <f>IF(tblMovement[[#This Row],[Material]]="","",IF(LEFT(tblMovement[[#This Row],[Material]],3)="Ore",1,0))</f>
        <v/>
      </c>
      <c r="N2176" s="59">
        <f>IF(OR(tblMovement[[#This Row],[Tonnes_t]]="",tblMovement[[#This Row],[Grade_gpt]]=""),0,tblMovement[[#This Row],[Tonnes_t]]*tblMovement[[#This Row],[Grade_gpt]]/cfg_TroyOz)</f>
        <v/>
      </c>
      <c r="O2176" s="59">
        <f>IF(tblMovement[[#This Row],[Is_Ore]]=1,tblMovement[[#This Row],[Contained_oz]],0)</f>
        <v/>
      </c>
    </row>
    <row r="2177">
      <c r="A2177" s="54" t="n"/>
      <c r="B2177" s="61" t="n"/>
      <c r="C2177" s="61" t="n"/>
      <c r="D2177" s="61" t="n"/>
      <c r="E2177" s="61" t="n"/>
      <c r="F2177" s="55" t="n"/>
      <c r="G2177" s="56" t="n"/>
      <c r="H2177" s="55" t="n"/>
      <c r="I2177" s="62" t="n"/>
      <c r="J2177" s="58" t="n"/>
      <c r="K2177" s="63">
        <f>IF(tblMovement[[#This Row],[Source]]="","",IFERROR(INDEX(tblSources[Type],MATCH(tblMovement[[#This Row],[Source]],tblSources[Source],0)),"?"))</f>
        <v/>
      </c>
      <c r="L2177" s="63">
        <f>IF(tblMovement[[#This Row],[Destination]]="","",IFERROR(INDEX(tblDestinations[Type],MATCH(tblMovement[[#This Row],[Destination]],tblDestinations[Destination],0)),"?"))</f>
        <v/>
      </c>
      <c r="M2177" s="64">
        <f>IF(tblMovement[[#This Row],[Material]]="","",IF(LEFT(tblMovement[[#This Row],[Material]],3)="Ore",1,0))</f>
        <v/>
      </c>
      <c r="N2177" s="59">
        <f>IF(OR(tblMovement[[#This Row],[Tonnes_t]]="",tblMovement[[#This Row],[Grade_gpt]]=""),0,tblMovement[[#This Row],[Tonnes_t]]*tblMovement[[#This Row],[Grade_gpt]]/cfg_TroyOz)</f>
        <v/>
      </c>
      <c r="O2177" s="59">
        <f>IF(tblMovement[[#This Row],[Is_Ore]]=1,tblMovement[[#This Row],[Contained_oz]],0)</f>
        <v/>
      </c>
    </row>
    <row r="2178">
      <c r="A2178" s="54" t="n"/>
      <c r="B2178" s="61" t="n"/>
      <c r="C2178" s="61" t="n"/>
      <c r="D2178" s="61" t="n"/>
      <c r="E2178" s="61" t="n"/>
      <c r="F2178" s="55" t="n"/>
      <c r="G2178" s="56" t="n"/>
      <c r="H2178" s="55" t="n"/>
      <c r="I2178" s="62" t="n"/>
      <c r="J2178" s="58" t="n"/>
      <c r="K2178" s="63">
        <f>IF(tblMovement[[#This Row],[Source]]="","",IFERROR(INDEX(tblSources[Type],MATCH(tblMovement[[#This Row],[Source]],tblSources[Source],0)),"?"))</f>
        <v/>
      </c>
      <c r="L2178" s="63">
        <f>IF(tblMovement[[#This Row],[Destination]]="","",IFERROR(INDEX(tblDestinations[Type],MATCH(tblMovement[[#This Row],[Destination]],tblDestinations[Destination],0)),"?"))</f>
        <v/>
      </c>
      <c r="M2178" s="64">
        <f>IF(tblMovement[[#This Row],[Material]]="","",IF(LEFT(tblMovement[[#This Row],[Material]],3)="Ore",1,0))</f>
        <v/>
      </c>
      <c r="N2178" s="59">
        <f>IF(OR(tblMovement[[#This Row],[Tonnes_t]]="",tblMovement[[#This Row],[Grade_gpt]]=""),0,tblMovement[[#This Row],[Tonnes_t]]*tblMovement[[#This Row],[Grade_gpt]]/cfg_TroyOz)</f>
        <v/>
      </c>
      <c r="O2178" s="59">
        <f>IF(tblMovement[[#This Row],[Is_Ore]]=1,tblMovement[[#This Row],[Contained_oz]],0)</f>
        <v/>
      </c>
    </row>
    <row r="2179">
      <c r="A2179" s="54" t="n"/>
      <c r="B2179" s="61" t="n"/>
      <c r="C2179" s="61" t="n"/>
      <c r="D2179" s="61" t="n"/>
      <c r="E2179" s="61" t="n"/>
      <c r="F2179" s="55" t="n"/>
      <c r="G2179" s="56" t="n"/>
      <c r="H2179" s="55" t="n"/>
      <c r="I2179" s="62" t="n"/>
      <c r="J2179" s="58" t="n"/>
      <c r="K2179" s="63">
        <f>IF(tblMovement[[#This Row],[Source]]="","",IFERROR(INDEX(tblSources[Type],MATCH(tblMovement[[#This Row],[Source]],tblSources[Source],0)),"?"))</f>
        <v/>
      </c>
      <c r="L2179" s="63">
        <f>IF(tblMovement[[#This Row],[Destination]]="","",IFERROR(INDEX(tblDestinations[Type],MATCH(tblMovement[[#This Row],[Destination]],tblDestinations[Destination],0)),"?"))</f>
        <v/>
      </c>
      <c r="M2179" s="64">
        <f>IF(tblMovement[[#This Row],[Material]]="","",IF(LEFT(tblMovement[[#This Row],[Material]],3)="Ore",1,0))</f>
        <v/>
      </c>
      <c r="N2179" s="59">
        <f>IF(OR(tblMovement[[#This Row],[Tonnes_t]]="",tblMovement[[#This Row],[Grade_gpt]]=""),0,tblMovement[[#This Row],[Tonnes_t]]*tblMovement[[#This Row],[Grade_gpt]]/cfg_TroyOz)</f>
        <v/>
      </c>
      <c r="O2179" s="59">
        <f>IF(tblMovement[[#This Row],[Is_Ore]]=1,tblMovement[[#This Row],[Contained_oz]],0)</f>
        <v/>
      </c>
    </row>
    <row r="2180">
      <c r="A2180" s="54" t="n"/>
      <c r="B2180" s="61" t="n"/>
      <c r="C2180" s="61" t="n"/>
      <c r="D2180" s="61" t="n"/>
      <c r="E2180" s="61" t="n"/>
      <c r="F2180" s="55" t="n"/>
      <c r="G2180" s="56" t="n"/>
      <c r="H2180" s="55" t="n"/>
      <c r="I2180" s="62" t="n"/>
      <c r="J2180" s="58" t="n"/>
      <c r="K2180" s="63">
        <f>IF(tblMovement[[#This Row],[Source]]="","",IFERROR(INDEX(tblSources[Type],MATCH(tblMovement[[#This Row],[Source]],tblSources[Source],0)),"?"))</f>
        <v/>
      </c>
      <c r="L2180" s="63">
        <f>IF(tblMovement[[#This Row],[Destination]]="","",IFERROR(INDEX(tblDestinations[Type],MATCH(tblMovement[[#This Row],[Destination]],tblDestinations[Destination],0)),"?"))</f>
        <v/>
      </c>
      <c r="M2180" s="64">
        <f>IF(tblMovement[[#This Row],[Material]]="","",IF(LEFT(tblMovement[[#This Row],[Material]],3)="Ore",1,0))</f>
        <v/>
      </c>
      <c r="N2180" s="59">
        <f>IF(OR(tblMovement[[#This Row],[Tonnes_t]]="",tblMovement[[#This Row],[Grade_gpt]]=""),0,tblMovement[[#This Row],[Tonnes_t]]*tblMovement[[#This Row],[Grade_gpt]]/cfg_TroyOz)</f>
        <v/>
      </c>
      <c r="O2180" s="59">
        <f>IF(tblMovement[[#This Row],[Is_Ore]]=1,tblMovement[[#This Row],[Contained_oz]],0)</f>
        <v/>
      </c>
    </row>
    <row r="2181">
      <c r="A2181" s="54" t="n"/>
      <c r="B2181" s="61" t="n"/>
      <c r="C2181" s="61" t="n"/>
      <c r="D2181" s="61" t="n"/>
      <c r="E2181" s="61" t="n"/>
      <c r="F2181" s="55" t="n"/>
      <c r="G2181" s="56" t="n"/>
      <c r="H2181" s="55" t="n"/>
      <c r="I2181" s="62" t="n"/>
      <c r="J2181" s="58" t="n"/>
      <c r="K2181" s="63">
        <f>IF(tblMovement[[#This Row],[Source]]="","",IFERROR(INDEX(tblSources[Type],MATCH(tblMovement[[#This Row],[Source]],tblSources[Source],0)),"?"))</f>
        <v/>
      </c>
      <c r="L2181" s="63">
        <f>IF(tblMovement[[#This Row],[Destination]]="","",IFERROR(INDEX(tblDestinations[Type],MATCH(tblMovement[[#This Row],[Destination]],tblDestinations[Destination],0)),"?"))</f>
        <v/>
      </c>
      <c r="M2181" s="64">
        <f>IF(tblMovement[[#This Row],[Material]]="","",IF(LEFT(tblMovement[[#This Row],[Material]],3)="Ore",1,0))</f>
        <v/>
      </c>
      <c r="N2181" s="59">
        <f>IF(OR(tblMovement[[#This Row],[Tonnes_t]]="",tblMovement[[#This Row],[Grade_gpt]]=""),0,tblMovement[[#This Row],[Tonnes_t]]*tblMovement[[#This Row],[Grade_gpt]]/cfg_TroyOz)</f>
        <v/>
      </c>
      <c r="O2181" s="59">
        <f>IF(tblMovement[[#This Row],[Is_Ore]]=1,tblMovement[[#This Row],[Contained_oz]],0)</f>
        <v/>
      </c>
    </row>
    <row r="2182">
      <c r="A2182" s="54" t="n"/>
      <c r="B2182" s="61" t="n"/>
      <c r="C2182" s="61" t="n"/>
      <c r="D2182" s="61" t="n"/>
      <c r="E2182" s="61" t="n"/>
      <c r="F2182" s="55" t="n"/>
      <c r="G2182" s="56" t="n"/>
      <c r="H2182" s="55" t="n"/>
      <c r="I2182" s="62" t="n"/>
      <c r="J2182" s="58" t="n"/>
      <c r="K2182" s="63">
        <f>IF(tblMovement[[#This Row],[Source]]="","",IFERROR(INDEX(tblSources[Type],MATCH(tblMovement[[#This Row],[Source]],tblSources[Source],0)),"?"))</f>
        <v/>
      </c>
      <c r="L2182" s="63">
        <f>IF(tblMovement[[#This Row],[Destination]]="","",IFERROR(INDEX(tblDestinations[Type],MATCH(tblMovement[[#This Row],[Destination]],tblDestinations[Destination],0)),"?"))</f>
        <v/>
      </c>
      <c r="M2182" s="64">
        <f>IF(tblMovement[[#This Row],[Material]]="","",IF(LEFT(tblMovement[[#This Row],[Material]],3)="Ore",1,0))</f>
        <v/>
      </c>
      <c r="N2182" s="59">
        <f>IF(OR(tblMovement[[#This Row],[Tonnes_t]]="",tblMovement[[#This Row],[Grade_gpt]]=""),0,tblMovement[[#This Row],[Tonnes_t]]*tblMovement[[#This Row],[Grade_gpt]]/cfg_TroyOz)</f>
        <v/>
      </c>
      <c r="O2182" s="59">
        <f>IF(tblMovement[[#This Row],[Is_Ore]]=1,tblMovement[[#This Row],[Contained_oz]],0)</f>
        <v/>
      </c>
    </row>
    <row r="2183">
      <c r="A2183" s="54" t="n"/>
      <c r="B2183" s="61" t="n"/>
      <c r="C2183" s="61" t="n"/>
      <c r="D2183" s="61" t="n"/>
      <c r="E2183" s="61" t="n"/>
      <c r="F2183" s="55" t="n"/>
      <c r="G2183" s="56" t="n"/>
      <c r="H2183" s="55" t="n"/>
      <c r="I2183" s="62" t="n"/>
      <c r="J2183" s="58" t="n"/>
      <c r="K2183" s="63">
        <f>IF(tblMovement[[#This Row],[Source]]="","",IFERROR(INDEX(tblSources[Type],MATCH(tblMovement[[#This Row],[Source]],tblSources[Source],0)),"?"))</f>
        <v/>
      </c>
      <c r="L2183" s="63">
        <f>IF(tblMovement[[#This Row],[Destination]]="","",IFERROR(INDEX(tblDestinations[Type],MATCH(tblMovement[[#This Row],[Destination]],tblDestinations[Destination],0)),"?"))</f>
        <v/>
      </c>
      <c r="M2183" s="64">
        <f>IF(tblMovement[[#This Row],[Material]]="","",IF(LEFT(tblMovement[[#This Row],[Material]],3)="Ore",1,0))</f>
        <v/>
      </c>
      <c r="N2183" s="59">
        <f>IF(OR(tblMovement[[#This Row],[Tonnes_t]]="",tblMovement[[#This Row],[Grade_gpt]]=""),0,tblMovement[[#This Row],[Tonnes_t]]*tblMovement[[#This Row],[Grade_gpt]]/cfg_TroyOz)</f>
        <v/>
      </c>
      <c r="O2183" s="59">
        <f>IF(tblMovement[[#This Row],[Is_Ore]]=1,tblMovement[[#This Row],[Contained_oz]],0)</f>
        <v/>
      </c>
    </row>
    <row r="2184">
      <c r="A2184" s="54" t="n"/>
      <c r="B2184" s="61" t="n"/>
      <c r="C2184" s="61" t="n"/>
      <c r="D2184" s="61" t="n"/>
      <c r="E2184" s="61" t="n"/>
      <c r="F2184" s="55" t="n"/>
      <c r="G2184" s="56" t="n"/>
      <c r="H2184" s="55" t="n"/>
      <c r="I2184" s="62" t="n"/>
      <c r="J2184" s="58" t="n"/>
      <c r="K2184" s="63">
        <f>IF(tblMovement[[#This Row],[Source]]="","",IFERROR(INDEX(tblSources[Type],MATCH(tblMovement[[#This Row],[Source]],tblSources[Source],0)),"?"))</f>
        <v/>
      </c>
      <c r="L2184" s="63">
        <f>IF(tblMovement[[#This Row],[Destination]]="","",IFERROR(INDEX(tblDestinations[Type],MATCH(tblMovement[[#This Row],[Destination]],tblDestinations[Destination],0)),"?"))</f>
        <v/>
      </c>
      <c r="M2184" s="64">
        <f>IF(tblMovement[[#This Row],[Material]]="","",IF(LEFT(tblMovement[[#This Row],[Material]],3)="Ore",1,0))</f>
        <v/>
      </c>
      <c r="N2184" s="59">
        <f>IF(OR(tblMovement[[#This Row],[Tonnes_t]]="",tblMovement[[#This Row],[Grade_gpt]]=""),0,tblMovement[[#This Row],[Tonnes_t]]*tblMovement[[#This Row],[Grade_gpt]]/cfg_TroyOz)</f>
        <v/>
      </c>
      <c r="O2184" s="59">
        <f>IF(tblMovement[[#This Row],[Is_Ore]]=1,tblMovement[[#This Row],[Contained_oz]],0)</f>
        <v/>
      </c>
    </row>
    <row r="2185">
      <c r="A2185" s="54" t="n"/>
      <c r="B2185" s="61" t="n"/>
      <c r="C2185" s="61" t="n"/>
      <c r="D2185" s="61" t="n"/>
      <c r="E2185" s="61" t="n"/>
      <c r="F2185" s="55" t="n"/>
      <c r="G2185" s="56" t="n"/>
      <c r="H2185" s="55" t="n"/>
      <c r="I2185" s="62" t="n"/>
      <c r="J2185" s="58" t="n"/>
      <c r="K2185" s="63">
        <f>IF(tblMovement[[#This Row],[Source]]="","",IFERROR(INDEX(tblSources[Type],MATCH(tblMovement[[#This Row],[Source]],tblSources[Source],0)),"?"))</f>
        <v/>
      </c>
      <c r="L2185" s="63">
        <f>IF(tblMovement[[#This Row],[Destination]]="","",IFERROR(INDEX(tblDestinations[Type],MATCH(tblMovement[[#This Row],[Destination]],tblDestinations[Destination],0)),"?"))</f>
        <v/>
      </c>
      <c r="M2185" s="64">
        <f>IF(tblMovement[[#This Row],[Material]]="","",IF(LEFT(tblMovement[[#This Row],[Material]],3)="Ore",1,0))</f>
        <v/>
      </c>
      <c r="N2185" s="59">
        <f>IF(OR(tblMovement[[#This Row],[Tonnes_t]]="",tblMovement[[#This Row],[Grade_gpt]]=""),0,tblMovement[[#This Row],[Tonnes_t]]*tblMovement[[#This Row],[Grade_gpt]]/cfg_TroyOz)</f>
        <v/>
      </c>
      <c r="O2185" s="59">
        <f>IF(tblMovement[[#This Row],[Is_Ore]]=1,tblMovement[[#This Row],[Contained_oz]],0)</f>
        <v/>
      </c>
    </row>
    <row r="2186">
      <c r="A2186" s="54" t="n"/>
      <c r="B2186" s="61" t="n"/>
      <c r="C2186" s="61" t="n"/>
      <c r="D2186" s="61" t="n"/>
      <c r="E2186" s="61" t="n"/>
      <c r="F2186" s="55" t="n"/>
      <c r="G2186" s="56" t="n"/>
      <c r="H2186" s="55" t="n"/>
      <c r="I2186" s="62" t="n"/>
      <c r="J2186" s="58" t="n"/>
      <c r="K2186" s="63">
        <f>IF(tblMovement[[#This Row],[Source]]="","",IFERROR(INDEX(tblSources[Type],MATCH(tblMovement[[#This Row],[Source]],tblSources[Source],0)),"?"))</f>
        <v/>
      </c>
      <c r="L2186" s="63">
        <f>IF(tblMovement[[#This Row],[Destination]]="","",IFERROR(INDEX(tblDestinations[Type],MATCH(tblMovement[[#This Row],[Destination]],tblDestinations[Destination],0)),"?"))</f>
        <v/>
      </c>
      <c r="M2186" s="64">
        <f>IF(tblMovement[[#This Row],[Material]]="","",IF(LEFT(tblMovement[[#This Row],[Material]],3)="Ore",1,0))</f>
        <v/>
      </c>
      <c r="N2186" s="59">
        <f>IF(OR(tblMovement[[#This Row],[Tonnes_t]]="",tblMovement[[#This Row],[Grade_gpt]]=""),0,tblMovement[[#This Row],[Tonnes_t]]*tblMovement[[#This Row],[Grade_gpt]]/cfg_TroyOz)</f>
        <v/>
      </c>
      <c r="O2186" s="59">
        <f>IF(tblMovement[[#This Row],[Is_Ore]]=1,tblMovement[[#This Row],[Contained_oz]],0)</f>
        <v/>
      </c>
    </row>
    <row r="2187">
      <c r="A2187" s="54" t="n"/>
      <c r="B2187" s="61" t="n"/>
      <c r="C2187" s="61" t="n"/>
      <c r="D2187" s="61" t="n"/>
      <c r="E2187" s="61" t="n"/>
      <c r="F2187" s="55" t="n"/>
      <c r="G2187" s="56" t="n"/>
      <c r="H2187" s="55" t="n"/>
      <c r="I2187" s="62" t="n"/>
      <c r="J2187" s="58" t="n"/>
      <c r="K2187" s="63">
        <f>IF(tblMovement[[#This Row],[Source]]="","",IFERROR(INDEX(tblSources[Type],MATCH(tblMovement[[#This Row],[Source]],tblSources[Source],0)),"?"))</f>
        <v/>
      </c>
      <c r="L2187" s="63">
        <f>IF(tblMovement[[#This Row],[Destination]]="","",IFERROR(INDEX(tblDestinations[Type],MATCH(tblMovement[[#This Row],[Destination]],tblDestinations[Destination],0)),"?"))</f>
        <v/>
      </c>
      <c r="M2187" s="64">
        <f>IF(tblMovement[[#This Row],[Material]]="","",IF(LEFT(tblMovement[[#This Row],[Material]],3)="Ore",1,0))</f>
        <v/>
      </c>
      <c r="N2187" s="59">
        <f>IF(OR(tblMovement[[#This Row],[Tonnes_t]]="",tblMovement[[#This Row],[Grade_gpt]]=""),0,tblMovement[[#This Row],[Tonnes_t]]*tblMovement[[#This Row],[Grade_gpt]]/cfg_TroyOz)</f>
        <v/>
      </c>
      <c r="O2187" s="59">
        <f>IF(tblMovement[[#This Row],[Is_Ore]]=1,tblMovement[[#This Row],[Contained_oz]],0)</f>
        <v/>
      </c>
    </row>
    <row r="2188">
      <c r="A2188" s="54" t="n"/>
      <c r="B2188" s="61" t="n"/>
      <c r="C2188" s="61" t="n"/>
      <c r="D2188" s="61" t="n"/>
      <c r="E2188" s="61" t="n"/>
      <c r="F2188" s="55" t="n"/>
      <c r="G2188" s="56" t="n"/>
      <c r="H2188" s="55" t="n"/>
      <c r="I2188" s="62" t="n"/>
      <c r="J2188" s="58" t="n"/>
      <c r="K2188" s="63">
        <f>IF(tblMovement[[#This Row],[Source]]="","",IFERROR(INDEX(tblSources[Type],MATCH(tblMovement[[#This Row],[Source]],tblSources[Source],0)),"?"))</f>
        <v/>
      </c>
      <c r="L2188" s="63">
        <f>IF(tblMovement[[#This Row],[Destination]]="","",IFERROR(INDEX(tblDestinations[Type],MATCH(tblMovement[[#This Row],[Destination]],tblDestinations[Destination],0)),"?"))</f>
        <v/>
      </c>
      <c r="M2188" s="64">
        <f>IF(tblMovement[[#This Row],[Material]]="","",IF(LEFT(tblMovement[[#This Row],[Material]],3)="Ore",1,0))</f>
        <v/>
      </c>
      <c r="N2188" s="59">
        <f>IF(OR(tblMovement[[#This Row],[Tonnes_t]]="",tblMovement[[#This Row],[Grade_gpt]]=""),0,tblMovement[[#This Row],[Tonnes_t]]*tblMovement[[#This Row],[Grade_gpt]]/cfg_TroyOz)</f>
        <v/>
      </c>
      <c r="O2188" s="59">
        <f>IF(tblMovement[[#This Row],[Is_Ore]]=1,tblMovement[[#This Row],[Contained_oz]],0)</f>
        <v/>
      </c>
    </row>
    <row r="2189">
      <c r="A2189" s="54" t="n"/>
      <c r="B2189" s="61" t="n"/>
      <c r="C2189" s="61" t="n"/>
      <c r="D2189" s="61" t="n"/>
      <c r="E2189" s="61" t="n"/>
      <c r="F2189" s="55" t="n"/>
      <c r="G2189" s="56" t="n"/>
      <c r="H2189" s="55" t="n"/>
      <c r="I2189" s="62" t="n"/>
      <c r="J2189" s="58" t="n"/>
      <c r="K2189" s="63">
        <f>IF(tblMovement[[#This Row],[Source]]="","",IFERROR(INDEX(tblSources[Type],MATCH(tblMovement[[#This Row],[Source]],tblSources[Source],0)),"?"))</f>
        <v/>
      </c>
      <c r="L2189" s="63">
        <f>IF(tblMovement[[#This Row],[Destination]]="","",IFERROR(INDEX(tblDestinations[Type],MATCH(tblMovement[[#This Row],[Destination]],tblDestinations[Destination],0)),"?"))</f>
        <v/>
      </c>
      <c r="M2189" s="64">
        <f>IF(tblMovement[[#This Row],[Material]]="","",IF(LEFT(tblMovement[[#This Row],[Material]],3)="Ore",1,0))</f>
        <v/>
      </c>
      <c r="N2189" s="59">
        <f>IF(OR(tblMovement[[#This Row],[Tonnes_t]]="",tblMovement[[#This Row],[Grade_gpt]]=""),0,tblMovement[[#This Row],[Tonnes_t]]*tblMovement[[#This Row],[Grade_gpt]]/cfg_TroyOz)</f>
        <v/>
      </c>
      <c r="O2189" s="59">
        <f>IF(tblMovement[[#This Row],[Is_Ore]]=1,tblMovement[[#This Row],[Contained_oz]],0)</f>
        <v/>
      </c>
    </row>
    <row r="2190">
      <c r="A2190" s="54" t="n"/>
      <c r="B2190" s="61" t="n"/>
      <c r="C2190" s="61" t="n"/>
      <c r="D2190" s="61" t="n"/>
      <c r="E2190" s="61" t="n"/>
      <c r="F2190" s="55" t="n"/>
      <c r="G2190" s="56" t="n"/>
      <c r="H2190" s="55" t="n"/>
      <c r="I2190" s="62" t="n"/>
      <c r="J2190" s="58" t="n"/>
      <c r="K2190" s="63">
        <f>IF(tblMovement[[#This Row],[Source]]="","",IFERROR(INDEX(tblSources[Type],MATCH(tblMovement[[#This Row],[Source]],tblSources[Source],0)),"?"))</f>
        <v/>
      </c>
      <c r="L2190" s="63">
        <f>IF(tblMovement[[#This Row],[Destination]]="","",IFERROR(INDEX(tblDestinations[Type],MATCH(tblMovement[[#This Row],[Destination]],tblDestinations[Destination],0)),"?"))</f>
        <v/>
      </c>
      <c r="M2190" s="64">
        <f>IF(tblMovement[[#This Row],[Material]]="","",IF(LEFT(tblMovement[[#This Row],[Material]],3)="Ore",1,0))</f>
        <v/>
      </c>
      <c r="N2190" s="59">
        <f>IF(OR(tblMovement[[#This Row],[Tonnes_t]]="",tblMovement[[#This Row],[Grade_gpt]]=""),0,tblMovement[[#This Row],[Tonnes_t]]*tblMovement[[#This Row],[Grade_gpt]]/cfg_TroyOz)</f>
        <v/>
      </c>
      <c r="O2190" s="59">
        <f>IF(tblMovement[[#This Row],[Is_Ore]]=1,tblMovement[[#This Row],[Contained_oz]],0)</f>
        <v/>
      </c>
    </row>
    <row r="2191">
      <c r="A2191" s="54" t="n"/>
      <c r="B2191" s="61" t="n"/>
      <c r="C2191" s="61" t="n"/>
      <c r="D2191" s="61" t="n"/>
      <c r="E2191" s="61" t="n"/>
      <c r="F2191" s="55" t="n"/>
      <c r="G2191" s="56" t="n"/>
      <c r="H2191" s="55" t="n"/>
      <c r="I2191" s="62" t="n"/>
      <c r="J2191" s="58" t="n"/>
      <c r="K2191" s="63">
        <f>IF(tblMovement[[#This Row],[Source]]="","",IFERROR(INDEX(tblSources[Type],MATCH(tblMovement[[#This Row],[Source]],tblSources[Source],0)),"?"))</f>
        <v/>
      </c>
      <c r="L2191" s="63">
        <f>IF(tblMovement[[#This Row],[Destination]]="","",IFERROR(INDEX(tblDestinations[Type],MATCH(tblMovement[[#This Row],[Destination]],tblDestinations[Destination],0)),"?"))</f>
        <v/>
      </c>
      <c r="M2191" s="64">
        <f>IF(tblMovement[[#This Row],[Material]]="","",IF(LEFT(tblMovement[[#This Row],[Material]],3)="Ore",1,0))</f>
        <v/>
      </c>
      <c r="N2191" s="59">
        <f>IF(OR(tblMovement[[#This Row],[Tonnes_t]]="",tblMovement[[#This Row],[Grade_gpt]]=""),0,tblMovement[[#This Row],[Tonnes_t]]*tblMovement[[#This Row],[Grade_gpt]]/cfg_TroyOz)</f>
        <v/>
      </c>
      <c r="O2191" s="59">
        <f>IF(tblMovement[[#This Row],[Is_Ore]]=1,tblMovement[[#This Row],[Contained_oz]],0)</f>
        <v/>
      </c>
    </row>
    <row r="2192">
      <c r="A2192" s="54" t="n"/>
      <c r="B2192" s="61" t="n"/>
      <c r="C2192" s="61" t="n"/>
      <c r="D2192" s="61" t="n"/>
      <c r="E2192" s="61" t="n"/>
      <c r="F2192" s="55" t="n"/>
      <c r="G2192" s="56" t="n"/>
      <c r="H2192" s="55" t="n"/>
      <c r="I2192" s="62" t="n"/>
      <c r="J2192" s="58" t="n"/>
      <c r="K2192" s="63">
        <f>IF(tblMovement[[#This Row],[Source]]="","",IFERROR(INDEX(tblSources[Type],MATCH(tblMovement[[#This Row],[Source]],tblSources[Source],0)),"?"))</f>
        <v/>
      </c>
      <c r="L2192" s="63">
        <f>IF(tblMovement[[#This Row],[Destination]]="","",IFERROR(INDEX(tblDestinations[Type],MATCH(tblMovement[[#This Row],[Destination]],tblDestinations[Destination],0)),"?"))</f>
        <v/>
      </c>
      <c r="M2192" s="64">
        <f>IF(tblMovement[[#This Row],[Material]]="","",IF(LEFT(tblMovement[[#This Row],[Material]],3)="Ore",1,0))</f>
        <v/>
      </c>
      <c r="N2192" s="59">
        <f>IF(OR(tblMovement[[#This Row],[Tonnes_t]]="",tblMovement[[#This Row],[Grade_gpt]]=""),0,tblMovement[[#This Row],[Tonnes_t]]*tblMovement[[#This Row],[Grade_gpt]]/cfg_TroyOz)</f>
        <v/>
      </c>
      <c r="O2192" s="59">
        <f>IF(tblMovement[[#This Row],[Is_Ore]]=1,tblMovement[[#This Row],[Contained_oz]],0)</f>
        <v/>
      </c>
    </row>
    <row r="2193">
      <c r="A2193" s="54" t="n"/>
      <c r="B2193" s="61" t="n"/>
      <c r="C2193" s="61" t="n"/>
      <c r="D2193" s="61" t="n"/>
      <c r="E2193" s="61" t="n"/>
      <c r="F2193" s="55" t="n"/>
      <c r="G2193" s="56" t="n"/>
      <c r="H2193" s="55" t="n"/>
      <c r="I2193" s="62" t="n"/>
      <c r="J2193" s="58" t="n"/>
      <c r="K2193" s="63">
        <f>IF(tblMovement[[#This Row],[Source]]="","",IFERROR(INDEX(tblSources[Type],MATCH(tblMovement[[#This Row],[Source]],tblSources[Source],0)),"?"))</f>
        <v/>
      </c>
      <c r="L2193" s="63">
        <f>IF(tblMovement[[#This Row],[Destination]]="","",IFERROR(INDEX(tblDestinations[Type],MATCH(tblMovement[[#This Row],[Destination]],tblDestinations[Destination],0)),"?"))</f>
        <v/>
      </c>
      <c r="M2193" s="64">
        <f>IF(tblMovement[[#This Row],[Material]]="","",IF(LEFT(tblMovement[[#This Row],[Material]],3)="Ore",1,0))</f>
        <v/>
      </c>
      <c r="N2193" s="59">
        <f>IF(OR(tblMovement[[#This Row],[Tonnes_t]]="",tblMovement[[#This Row],[Grade_gpt]]=""),0,tblMovement[[#This Row],[Tonnes_t]]*tblMovement[[#This Row],[Grade_gpt]]/cfg_TroyOz)</f>
        <v/>
      </c>
      <c r="O2193" s="59">
        <f>IF(tblMovement[[#This Row],[Is_Ore]]=1,tblMovement[[#This Row],[Contained_oz]],0)</f>
        <v/>
      </c>
    </row>
    <row r="2194">
      <c r="A2194" s="54" t="n"/>
      <c r="B2194" s="61" t="n"/>
      <c r="C2194" s="61" t="n"/>
      <c r="D2194" s="61" t="n"/>
      <c r="E2194" s="61" t="n"/>
      <c r="F2194" s="55" t="n"/>
      <c r="G2194" s="56" t="n"/>
      <c r="H2194" s="55" t="n"/>
      <c r="I2194" s="62" t="n"/>
      <c r="J2194" s="58" t="n"/>
      <c r="K2194" s="63">
        <f>IF(tblMovement[[#This Row],[Source]]="","",IFERROR(INDEX(tblSources[Type],MATCH(tblMovement[[#This Row],[Source]],tblSources[Source],0)),"?"))</f>
        <v/>
      </c>
      <c r="L2194" s="63">
        <f>IF(tblMovement[[#This Row],[Destination]]="","",IFERROR(INDEX(tblDestinations[Type],MATCH(tblMovement[[#This Row],[Destination]],tblDestinations[Destination],0)),"?"))</f>
        <v/>
      </c>
      <c r="M2194" s="64">
        <f>IF(tblMovement[[#This Row],[Material]]="","",IF(LEFT(tblMovement[[#This Row],[Material]],3)="Ore",1,0))</f>
        <v/>
      </c>
      <c r="N2194" s="59">
        <f>IF(OR(tblMovement[[#This Row],[Tonnes_t]]="",tblMovement[[#This Row],[Grade_gpt]]=""),0,tblMovement[[#This Row],[Tonnes_t]]*tblMovement[[#This Row],[Grade_gpt]]/cfg_TroyOz)</f>
        <v/>
      </c>
      <c r="O2194" s="59">
        <f>IF(tblMovement[[#This Row],[Is_Ore]]=1,tblMovement[[#This Row],[Contained_oz]],0)</f>
        <v/>
      </c>
    </row>
    <row r="2195">
      <c r="A2195" s="54" t="n"/>
      <c r="B2195" s="61" t="n"/>
      <c r="C2195" s="61" t="n"/>
      <c r="D2195" s="61" t="n"/>
      <c r="E2195" s="61" t="n"/>
      <c r="F2195" s="55" t="n"/>
      <c r="G2195" s="56" t="n"/>
      <c r="H2195" s="55" t="n"/>
      <c r="I2195" s="62" t="n"/>
      <c r="J2195" s="58" t="n"/>
      <c r="K2195" s="63">
        <f>IF(tblMovement[[#This Row],[Source]]="","",IFERROR(INDEX(tblSources[Type],MATCH(tblMovement[[#This Row],[Source]],tblSources[Source],0)),"?"))</f>
        <v/>
      </c>
      <c r="L2195" s="63">
        <f>IF(tblMovement[[#This Row],[Destination]]="","",IFERROR(INDEX(tblDestinations[Type],MATCH(tblMovement[[#This Row],[Destination]],tblDestinations[Destination],0)),"?"))</f>
        <v/>
      </c>
      <c r="M2195" s="64">
        <f>IF(tblMovement[[#This Row],[Material]]="","",IF(LEFT(tblMovement[[#This Row],[Material]],3)="Ore",1,0))</f>
        <v/>
      </c>
      <c r="N2195" s="59">
        <f>IF(OR(tblMovement[[#This Row],[Tonnes_t]]="",tblMovement[[#This Row],[Grade_gpt]]=""),0,tblMovement[[#This Row],[Tonnes_t]]*tblMovement[[#This Row],[Grade_gpt]]/cfg_TroyOz)</f>
        <v/>
      </c>
      <c r="O2195" s="59">
        <f>IF(tblMovement[[#This Row],[Is_Ore]]=1,tblMovement[[#This Row],[Contained_oz]],0)</f>
        <v/>
      </c>
    </row>
    <row r="2196">
      <c r="A2196" s="54" t="n"/>
      <c r="B2196" s="61" t="n"/>
      <c r="C2196" s="61" t="n"/>
      <c r="D2196" s="61" t="n"/>
      <c r="E2196" s="61" t="n"/>
      <c r="F2196" s="55" t="n"/>
      <c r="G2196" s="56" t="n"/>
      <c r="H2196" s="55" t="n"/>
      <c r="I2196" s="62" t="n"/>
      <c r="J2196" s="58" t="n"/>
      <c r="K2196" s="63">
        <f>IF(tblMovement[[#This Row],[Source]]="","",IFERROR(INDEX(tblSources[Type],MATCH(tblMovement[[#This Row],[Source]],tblSources[Source],0)),"?"))</f>
        <v/>
      </c>
      <c r="L2196" s="63">
        <f>IF(tblMovement[[#This Row],[Destination]]="","",IFERROR(INDEX(tblDestinations[Type],MATCH(tblMovement[[#This Row],[Destination]],tblDestinations[Destination],0)),"?"))</f>
        <v/>
      </c>
      <c r="M2196" s="64">
        <f>IF(tblMovement[[#This Row],[Material]]="","",IF(LEFT(tblMovement[[#This Row],[Material]],3)="Ore",1,0))</f>
        <v/>
      </c>
      <c r="N2196" s="59">
        <f>IF(OR(tblMovement[[#This Row],[Tonnes_t]]="",tblMovement[[#This Row],[Grade_gpt]]=""),0,tblMovement[[#This Row],[Tonnes_t]]*tblMovement[[#This Row],[Grade_gpt]]/cfg_TroyOz)</f>
        <v/>
      </c>
      <c r="O2196" s="59">
        <f>IF(tblMovement[[#This Row],[Is_Ore]]=1,tblMovement[[#This Row],[Contained_oz]],0)</f>
        <v/>
      </c>
    </row>
    <row r="2197">
      <c r="A2197" s="54" t="n"/>
      <c r="B2197" s="61" t="n"/>
      <c r="C2197" s="61" t="n"/>
      <c r="D2197" s="61" t="n"/>
      <c r="E2197" s="61" t="n"/>
      <c r="F2197" s="55" t="n"/>
      <c r="G2197" s="56" t="n"/>
      <c r="H2197" s="55" t="n"/>
      <c r="I2197" s="62" t="n"/>
      <c r="J2197" s="58" t="n"/>
      <c r="K2197" s="63">
        <f>IF(tblMovement[[#This Row],[Source]]="","",IFERROR(INDEX(tblSources[Type],MATCH(tblMovement[[#This Row],[Source]],tblSources[Source],0)),"?"))</f>
        <v/>
      </c>
      <c r="L2197" s="63">
        <f>IF(tblMovement[[#This Row],[Destination]]="","",IFERROR(INDEX(tblDestinations[Type],MATCH(tblMovement[[#This Row],[Destination]],tblDestinations[Destination],0)),"?"))</f>
        <v/>
      </c>
      <c r="M2197" s="64">
        <f>IF(tblMovement[[#This Row],[Material]]="","",IF(LEFT(tblMovement[[#This Row],[Material]],3)="Ore",1,0))</f>
        <v/>
      </c>
      <c r="N2197" s="59">
        <f>IF(OR(tblMovement[[#This Row],[Tonnes_t]]="",tblMovement[[#This Row],[Grade_gpt]]=""),0,tblMovement[[#This Row],[Tonnes_t]]*tblMovement[[#This Row],[Grade_gpt]]/cfg_TroyOz)</f>
        <v/>
      </c>
      <c r="O2197" s="59">
        <f>IF(tblMovement[[#This Row],[Is_Ore]]=1,tblMovement[[#This Row],[Contained_oz]],0)</f>
        <v/>
      </c>
    </row>
    <row r="2198">
      <c r="A2198" s="54" t="n"/>
      <c r="B2198" s="61" t="n"/>
      <c r="C2198" s="61" t="n"/>
      <c r="D2198" s="61" t="n"/>
      <c r="E2198" s="61" t="n"/>
      <c r="F2198" s="55" t="n"/>
      <c r="G2198" s="56" t="n"/>
      <c r="H2198" s="55" t="n"/>
      <c r="I2198" s="62" t="n"/>
      <c r="J2198" s="58" t="n"/>
      <c r="K2198" s="63">
        <f>IF(tblMovement[[#This Row],[Source]]="","",IFERROR(INDEX(tblSources[Type],MATCH(tblMovement[[#This Row],[Source]],tblSources[Source],0)),"?"))</f>
        <v/>
      </c>
      <c r="L2198" s="63">
        <f>IF(tblMovement[[#This Row],[Destination]]="","",IFERROR(INDEX(tblDestinations[Type],MATCH(tblMovement[[#This Row],[Destination]],tblDestinations[Destination],0)),"?"))</f>
        <v/>
      </c>
      <c r="M2198" s="64">
        <f>IF(tblMovement[[#This Row],[Material]]="","",IF(LEFT(tblMovement[[#This Row],[Material]],3)="Ore",1,0))</f>
        <v/>
      </c>
      <c r="N2198" s="59">
        <f>IF(OR(tblMovement[[#This Row],[Tonnes_t]]="",tblMovement[[#This Row],[Grade_gpt]]=""),0,tblMovement[[#This Row],[Tonnes_t]]*tblMovement[[#This Row],[Grade_gpt]]/cfg_TroyOz)</f>
        <v/>
      </c>
      <c r="O2198" s="59">
        <f>IF(tblMovement[[#This Row],[Is_Ore]]=1,tblMovement[[#This Row],[Contained_oz]],0)</f>
        <v/>
      </c>
    </row>
    <row r="2199">
      <c r="A2199" s="54" t="n"/>
      <c r="B2199" s="61" t="n"/>
      <c r="C2199" s="61" t="n"/>
      <c r="D2199" s="61" t="n"/>
      <c r="E2199" s="61" t="n"/>
      <c r="F2199" s="55" t="n"/>
      <c r="G2199" s="56" t="n"/>
      <c r="H2199" s="55" t="n"/>
      <c r="I2199" s="62" t="n"/>
      <c r="J2199" s="58" t="n"/>
      <c r="K2199" s="63">
        <f>IF(tblMovement[[#This Row],[Source]]="","",IFERROR(INDEX(tblSources[Type],MATCH(tblMovement[[#This Row],[Source]],tblSources[Source],0)),"?"))</f>
        <v/>
      </c>
      <c r="L2199" s="63">
        <f>IF(tblMovement[[#This Row],[Destination]]="","",IFERROR(INDEX(tblDestinations[Type],MATCH(tblMovement[[#This Row],[Destination]],tblDestinations[Destination],0)),"?"))</f>
        <v/>
      </c>
      <c r="M2199" s="64">
        <f>IF(tblMovement[[#This Row],[Material]]="","",IF(LEFT(tblMovement[[#This Row],[Material]],3)="Ore",1,0))</f>
        <v/>
      </c>
      <c r="N2199" s="59">
        <f>IF(OR(tblMovement[[#This Row],[Tonnes_t]]="",tblMovement[[#This Row],[Grade_gpt]]=""),0,tblMovement[[#This Row],[Tonnes_t]]*tblMovement[[#This Row],[Grade_gpt]]/cfg_TroyOz)</f>
        <v/>
      </c>
      <c r="O2199" s="59">
        <f>IF(tblMovement[[#This Row],[Is_Ore]]=1,tblMovement[[#This Row],[Contained_oz]],0)</f>
        <v/>
      </c>
    </row>
    <row r="2200">
      <c r="A2200" s="54" t="n"/>
      <c r="B2200" s="61" t="n"/>
      <c r="C2200" s="61" t="n"/>
      <c r="D2200" s="61" t="n"/>
      <c r="E2200" s="61" t="n"/>
      <c r="F2200" s="55" t="n"/>
      <c r="G2200" s="56" t="n"/>
      <c r="H2200" s="55" t="n"/>
      <c r="I2200" s="62" t="n"/>
      <c r="J2200" s="58" t="n"/>
      <c r="K2200" s="63">
        <f>IF(tblMovement[[#This Row],[Source]]="","",IFERROR(INDEX(tblSources[Type],MATCH(tblMovement[[#This Row],[Source]],tblSources[Source],0)),"?"))</f>
        <v/>
      </c>
      <c r="L2200" s="63">
        <f>IF(tblMovement[[#This Row],[Destination]]="","",IFERROR(INDEX(tblDestinations[Type],MATCH(tblMovement[[#This Row],[Destination]],tblDestinations[Destination],0)),"?"))</f>
        <v/>
      </c>
      <c r="M2200" s="64">
        <f>IF(tblMovement[[#This Row],[Material]]="","",IF(LEFT(tblMovement[[#This Row],[Material]],3)="Ore",1,0))</f>
        <v/>
      </c>
      <c r="N2200" s="59">
        <f>IF(OR(tblMovement[[#This Row],[Tonnes_t]]="",tblMovement[[#This Row],[Grade_gpt]]=""),0,tblMovement[[#This Row],[Tonnes_t]]*tblMovement[[#This Row],[Grade_gpt]]/cfg_TroyOz)</f>
        <v/>
      </c>
      <c r="O2200" s="59">
        <f>IF(tblMovement[[#This Row],[Is_Ore]]=1,tblMovement[[#This Row],[Contained_oz]],0)</f>
        <v/>
      </c>
    </row>
    <row r="2201">
      <c r="A2201" s="54" t="n"/>
      <c r="B2201" s="61" t="n"/>
      <c r="C2201" s="61" t="n"/>
      <c r="D2201" s="61" t="n"/>
      <c r="E2201" s="61" t="n"/>
      <c r="F2201" s="55" t="n"/>
      <c r="G2201" s="56" t="n"/>
      <c r="H2201" s="55" t="n"/>
      <c r="I2201" s="62" t="n"/>
      <c r="J2201" s="58" t="n"/>
      <c r="K2201" s="63">
        <f>IF(tblMovement[[#This Row],[Source]]="","",IFERROR(INDEX(tblSources[Type],MATCH(tblMovement[[#This Row],[Source]],tblSources[Source],0)),"?"))</f>
        <v/>
      </c>
      <c r="L2201" s="63">
        <f>IF(tblMovement[[#This Row],[Destination]]="","",IFERROR(INDEX(tblDestinations[Type],MATCH(tblMovement[[#This Row],[Destination]],tblDestinations[Destination],0)),"?"))</f>
        <v/>
      </c>
      <c r="M2201" s="64">
        <f>IF(tblMovement[[#This Row],[Material]]="","",IF(LEFT(tblMovement[[#This Row],[Material]],3)="Ore",1,0))</f>
        <v/>
      </c>
      <c r="N2201" s="59">
        <f>IF(OR(tblMovement[[#This Row],[Tonnes_t]]="",tblMovement[[#This Row],[Grade_gpt]]=""),0,tblMovement[[#This Row],[Tonnes_t]]*tblMovement[[#This Row],[Grade_gpt]]/cfg_TroyOz)</f>
        <v/>
      </c>
      <c r="O2201" s="59">
        <f>IF(tblMovement[[#This Row],[Is_Ore]]=1,tblMovement[[#This Row],[Contained_oz]],0)</f>
        <v/>
      </c>
    </row>
    <row r="2202">
      <c r="A2202" s="54" t="n"/>
      <c r="B2202" s="61" t="n"/>
      <c r="C2202" s="61" t="n"/>
      <c r="D2202" s="61" t="n"/>
      <c r="E2202" s="61" t="n"/>
      <c r="F2202" s="55" t="n"/>
      <c r="G2202" s="56" t="n"/>
      <c r="H2202" s="55" t="n"/>
      <c r="I2202" s="62" t="n"/>
      <c r="J2202" s="58" t="n"/>
      <c r="K2202" s="63">
        <f>IF(tblMovement[[#This Row],[Source]]="","",IFERROR(INDEX(tblSources[Type],MATCH(tblMovement[[#This Row],[Source]],tblSources[Source],0)),"?"))</f>
        <v/>
      </c>
      <c r="L2202" s="63">
        <f>IF(tblMovement[[#This Row],[Destination]]="","",IFERROR(INDEX(tblDestinations[Type],MATCH(tblMovement[[#This Row],[Destination]],tblDestinations[Destination],0)),"?"))</f>
        <v/>
      </c>
      <c r="M2202" s="64">
        <f>IF(tblMovement[[#This Row],[Material]]="","",IF(LEFT(tblMovement[[#This Row],[Material]],3)="Ore",1,0))</f>
        <v/>
      </c>
      <c r="N2202" s="59">
        <f>IF(OR(tblMovement[[#This Row],[Tonnes_t]]="",tblMovement[[#This Row],[Grade_gpt]]=""),0,tblMovement[[#This Row],[Tonnes_t]]*tblMovement[[#This Row],[Grade_gpt]]/cfg_TroyOz)</f>
        <v/>
      </c>
      <c r="O2202" s="59">
        <f>IF(tblMovement[[#This Row],[Is_Ore]]=1,tblMovement[[#This Row],[Contained_oz]],0)</f>
        <v/>
      </c>
    </row>
    <row r="2203">
      <c r="A2203" s="54" t="n"/>
      <c r="B2203" s="61" t="n"/>
      <c r="C2203" s="61" t="n"/>
      <c r="D2203" s="61" t="n"/>
      <c r="E2203" s="61" t="n"/>
      <c r="F2203" s="55" t="n"/>
      <c r="G2203" s="56" t="n"/>
      <c r="H2203" s="55" t="n"/>
      <c r="I2203" s="62" t="n"/>
      <c r="J2203" s="58" t="n"/>
      <c r="K2203" s="63">
        <f>IF(tblMovement[[#This Row],[Source]]="","",IFERROR(INDEX(tblSources[Type],MATCH(tblMovement[[#This Row],[Source]],tblSources[Source],0)),"?"))</f>
        <v/>
      </c>
      <c r="L2203" s="63">
        <f>IF(tblMovement[[#This Row],[Destination]]="","",IFERROR(INDEX(tblDestinations[Type],MATCH(tblMovement[[#This Row],[Destination]],tblDestinations[Destination],0)),"?"))</f>
        <v/>
      </c>
      <c r="M2203" s="64">
        <f>IF(tblMovement[[#This Row],[Material]]="","",IF(LEFT(tblMovement[[#This Row],[Material]],3)="Ore",1,0))</f>
        <v/>
      </c>
      <c r="N2203" s="59">
        <f>IF(OR(tblMovement[[#This Row],[Tonnes_t]]="",tblMovement[[#This Row],[Grade_gpt]]=""),0,tblMovement[[#This Row],[Tonnes_t]]*tblMovement[[#This Row],[Grade_gpt]]/cfg_TroyOz)</f>
        <v/>
      </c>
      <c r="O2203" s="59">
        <f>IF(tblMovement[[#This Row],[Is_Ore]]=1,tblMovement[[#This Row],[Contained_oz]],0)</f>
        <v/>
      </c>
    </row>
    <row r="2204">
      <c r="A2204" s="54" t="n"/>
      <c r="B2204" s="61" t="n"/>
      <c r="C2204" s="61" t="n"/>
      <c r="D2204" s="61" t="n"/>
      <c r="E2204" s="61" t="n"/>
      <c r="F2204" s="55" t="n"/>
      <c r="G2204" s="56" t="n"/>
      <c r="H2204" s="55" t="n"/>
      <c r="I2204" s="62" t="n"/>
      <c r="J2204" s="58" t="n"/>
      <c r="K2204" s="63">
        <f>IF(tblMovement[[#This Row],[Source]]="","",IFERROR(INDEX(tblSources[Type],MATCH(tblMovement[[#This Row],[Source]],tblSources[Source],0)),"?"))</f>
        <v/>
      </c>
      <c r="L2204" s="63">
        <f>IF(tblMovement[[#This Row],[Destination]]="","",IFERROR(INDEX(tblDestinations[Type],MATCH(tblMovement[[#This Row],[Destination]],tblDestinations[Destination],0)),"?"))</f>
        <v/>
      </c>
      <c r="M2204" s="64">
        <f>IF(tblMovement[[#This Row],[Material]]="","",IF(LEFT(tblMovement[[#This Row],[Material]],3)="Ore",1,0))</f>
        <v/>
      </c>
      <c r="N2204" s="59">
        <f>IF(OR(tblMovement[[#This Row],[Tonnes_t]]="",tblMovement[[#This Row],[Grade_gpt]]=""),0,tblMovement[[#This Row],[Tonnes_t]]*tblMovement[[#This Row],[Grade_gpt]]/cfg_TroyOz)</f>
        <v/>
      </c>
      <c r="O2204" s="59">
        <f>IF(tblMovement[[#This Row],[Is_Ore]]=1,tblMovement[[#This Row],[Contained_oz]],0)</f>
        <v/>
      </c>
    </row>
    <row r="2205">
      <c r="A2205" s="54" t="n"/>
      <c r="B2205" s="61" t="n"/>
      <c r="C2205" s="61" t="n"/>
      <c r="D2205" s="61" t="n"/>
      <c r="E2205" s="61" t="n"/>
      <c r="F2205" s="55" t="n"/>
      <c r="G2205" s="56" t="n"/>
      <c r="H2205" s="55" t="n"/>
      <c r="I2205" s="62" t="n"/>
      <c r="J2205" s="58" t="n"/>
      <c r="K2205" s="63">
        <f>IF(tblMovement[[#This Row],[Source]]="","",IFERROR(INDEX(tblSources[Type],MATCH(tblMovement[[#This Row],[Source]],tblSources[Source],0)),"?"))</f>
        <v/>
      </c>
      <c r="L2205" s="63">
        <f>IF(tblMovement[[#This Row],[Destination]]="","",IFERROR(INDEX(tblDestinations[Type],MATCH(tblMovement[[#This Row],[Destination]],tblDestinations[Destination],0)),"?"))</f>
        <v/>
      </c>
      <c r="M2205" s="64">
        <f>IF(tblMovement[[#This Row],[Material]]="","",IF(LEFT(tblMovement[[#This Row],[Material]],3)="Ore",1,0))</f>
        <v/>
      </c>
      <c r="N2205" s="59">
        <f>IF(OR(tblMovement[[#This Row],[Tonnes_t]]="",tblMovement[[#This Row],[Grade_gpt]]=""),0,tblMovement[[#This Row],[Tonnes_t]]*tblMovement[[#This Row],[Grade_gpt]]/cfg_TroyOz)</f>
        <v/>
      </c>
      <c r="O2205" s="59">
        <f>IF(tblMovement[[#This Row],[Is_Ore]]=1,tblMovement[[#This Row],[Contained_oz]],0)</f>
        <v/>
      </c>
    </row>
    <row r="2206">
      <c r="A2206" s="54" t="n"/>
      <c r="B2206" s="61" t="n"/>
      <c r="C2206" s="61" t="n"/>
      <c r="D2206" s="61" t="n"/>
      <c r="E2206" s="61" t="n"/>
      <c r="F2206" s="55" t="n"/>
      <c r="G2206" s="56" t="n"/>
      <c r="H2206" s="55" t="n"/>
      <c r="I2206" s="62" t="n"/>
      <c r="J2206" s="58" t="n"/>
      <c r="K2206" s="63">
        <f>IF(tblMovement[[#This Row],[Source]]="","",IFERROR(INDEX(tblSources[Type],MATCH(tblMovement[[#This Row],[Source]],tblSources[Source],0)),"?"))</f>
        <v/>
      </c>
      <c r="L2206" s="63">
        <f>IF(tblMovement[[#This Row],[Destination]]="","",IFERROR(INDEX(tblDestinations[Type],MATCH(tblMovement[[#This Row],[Destination]],tblDestinations[Destination],0)),"?"))</f>
        <v/>
      </c>
      <c r="M2206" s="64">
        <f>IF(tblMovement[[#This Row],[Material]]="","",IF(LEFT(tblMovement[[#This Row],[Material]],3)="Ore",1,0))</f>
        <v/>
      </c>
      <c r="N2206" s="59">
        <f>IF(OR(tblMovement[[#This Row],[Tonnes_t]]="",tblMovement[[#This Row],[Grade_gpt]]=""),0,tblMovement[[#This Row],[Tonnes_t]]*tblMovement[[#This Row],[Grade_gpt]]/cfg_TroyOz)</f>
        <v/>
      </c>
      <c r="O2206" s="59">
        <f>IF(tblMovement[[#This Row],[Is_Ore]]=1,tblMovement[[#This Row],[Contained_oz]],0)</f>
        <v/>
      </c>
    </row>
    <row r="2207">
      <c r="A2207" s="54" t="n"/>
      <c r="B2207" s="61" t="n"/>
      <c r="C2207" s="61" t="n"/>
      <c r="D2207" s="61" t="n"/>
      <c r="E2207" s="61" t="n"/>
      <c r="F2207" s="55" t="n"/>
      <c r="G2207" s="56" t="n"/>
      <c r="H2207" s="55" t="n"/>
      <c r="I2207" s="62" t="n"/>
      <c r="J2207" s="58" t="n"/>
      <c r="K2207" s="63">
        <f>IF(tblMovement[[#This Row],[Source]]="","",IFERROR(INDEX(tblSources[Type],MATCH(tblMovement[[#This Row],[Source]],tblSources[Source],0)),"?"))</f>
        <v/>
      </c>
      <c r="L2207" s="63">
        <f>IF(tblMovement[[#This Row],[Destination]]="","",IFERROR(INDEX(tblDestinations[Type],MATCH(tblMovement[[#This Row],[Destination]],tblDestinations[Destination],0)),"?"))</f>
        <v/>
      </c>
      <c r="M2207" s="64">
        <f>IF(tblMovement[[#This Row],[Material]]="","",IF(LEFT(tblMovement[[#This Row],[Material]],3)="Ore",1,0))</f>
        <v/>
      </c>
      <c r="N2207" s="59">
        <f>IF(OR(tblMovement[[#This Row],[Tonnes_t]]="",tblMovement[[#This Row],[Grade_gpt]]=""),0,tblMovement[[#This Row],[Tonnes_t]]*tblMovement[[#This Row],[Grade_gpt]]/cfg_TroyOz)</f>
        <v/>
      </c>
      <c r="O2207" s="59">
        <f>IF(tblMovement[[#This Row],[Is_Ore]]=1,tblMovement[[#This Row],[Contained_oz]],0)</f>
        <v/>
      </c>
    </row>
    <row r="2208">
      <c r="A2208" s="54" t="n"/>
      <c r="B2208" s="61" t="n"/>
      <c r="C2208" s="61" t="n"/>
      <c r="D2208" s="61" t="n"/>
      <c r="E2208" s="61" t="n"/>
      <c r="F2208" s="55" t="n"/>
      <c r="G2208" s="56" t="n"/>
      <c r="H2208" s="55" t="n"/>
      <c r="I2208" s="62" t="n"/>
      <c r="J2208" s="58" t="n"/>
      <c r="K2208" s="63">
        <f>IF(tblMovement[[#This Row],[Source]]="","",IFERROR(INDEX(tblSources[Type],MATCH(tblMovement[[#This Row],[Source]],tblSources[Source],0)),"?"))</f>
        <v/>
      </c>
      <c r="L2208" s="63">
        <f>IF(tblMovement[[#This Row],[Destination]]="","",IFERROR(INDEX(tblDestinations[Type],MATCH(tblMovement[[#This Row],[Destination]],tblDestinations[Destination],0)),"?"))</f>
        <v/>
      </c>
      <c r="M2208" s="64">
        <f>IF(tblMovement[[#This Row],[Material]]="","",IF(LEFT(tblMovement[[#This Row],[Material]],3)="Ore",1,0))</f>
        <v/>
      </c>
      <c r="N2208" s="59">
        <f>IF(OR(tblMovement[[#This Row],[Tonnes_t]]="",tblMovement[[#This Row],[Grade_gpt]]=""),0,tblMovement[[#This Row],[Tonnes_t]]*tblMovement[[#This Row],[Grade_gpt]]/cfg_TroyOz)</f>
        <v/>
      </c>
      <c r="O2208" s="59">
        <f>IF(tblMovement[[#This Row],[Is_Ore]]=1,tblMovement[[#This Row],[Contained_oz]],0)</f>
        <v/>
      </c>
    </row>
    <row r="2209">
      <c r="A2209" s="54" t="n"/>
      <c r="B2209" s="61" t="n"/>
      <c r="C2209" s="61" t="n"/>
      <c r="D2209" s="61" t="n"/>
      <c r="E2209" s="61" t="n"/>
      <c r="F2209" s="55" t="n"/>
      <c r="G2209" s="56" t="n"/>
      <c r="H2209" s="55" t="n"/>
      <c r="I2209" s="62" t="n"/>
      <c r="J2209" s="58" t="n"/>
      <c r="K2209" s="63">
        <f>IF(tblMovement[[#This Row],[Source]]="","",IFERROR(INDEX(tblSources[Type],MATCH(tblMovement[[#This Row],[Source]],tblSources[Source],0)),"?"))</f>
        <v/>
      </c>
      <c r="L2209" s="63">
        <f>IF(tblMovement[[#This Row],[Destination]]="","",IFERROR(INDEX(tblDestinations[Type],MATCH(tblMovement[[#This Row],[Destination]],tblDestinations[Destination],0)),"?"))</f>
        <v/>
      </c>
      <c r="M2209" s="64">
        <f>IF(tblMovement[[#This Row],[Material]]="","",IF(LEFT(tblMovement[[#This Row],[Material]],3)="Ore",1,0))</f>
        <v/>
      </c>
      <c r="N2209" s="59">
        <f>IF(OR(tblMovement[[#This Row],[Tonnes_t]]="",tblMovement[[#This Row],[Grade_gpt]]=""),0,tblMovement[[#This Row],[Tonnes_t]]*tblMovement[[#This Row],[Grade_gpt]]/cfg_TroyOz)</f>
        <v/>
      </c>
      <c r="O2209" s="59">
        <f>IF(tblMovement[[#This Row],[Is_Ore]]=1,tblMovement[[#This Row],[Contained_oz]],0)</f>
        <v/>
      </c>
    </row>
    <row r="2210">
      <c r="A2210" s="54" t="n"/>
      <c r="B2210" s="61" t="n"/>
      <c r="C2210" s="61" t="n"/>
      <c r="D2210" s="61" t="n"/>
      <c r="E2210" s="61" t="n"/>
      <c r="F2210" s="55" t="n"/>
      <c r="G2210" s="56" t="n"/>
      <c r="H2210" s="55" t="n"/>
      <c r="I2210" s="62" t="n"/>
      <c r="J2210" s="58" t="n"/>
      <c r="K2210" s="63">
        <f>IF(tblMovement[[#This Row],[Source]]="","",IFERROR(INDEX(tblSources[Type],MATCH(tblMovement[[#This Row],[Source]],tblSources[Source],0)),"?"))</f>
        <v/>
      </c>
      <c r="L2210" s="63">
        <f>IF(tblMovement[[#This Row],[Destination]]="","",IFERROR(INDEX(tblDestinations[Type],MATCH(tblMovement[[#This Row],[Destination]],tblDestinations[Destination],0)),"?"))</f>
        <v/>
      </c>
      <c r="M2210" s="64">
        <f>IF(tblMovement[[#This Row],[Material]]="","",IF(LEFT(tblMovement[[#This Row],[Material]],3)="Ore",1,0))</f>
        <v/>
      </c>
      <c r="N2210" s="59">
        <f>IF(OR(tblMovement[[#This Row],[Tonnes_t]]="",tblMovement[[#This Row],[Grade_gpt]]=""),0,tblMovement[[#This Row],[Tonnes_t]]*tblMovement[[#This Row],[Grade_gpt]]/cfg_TroyOz)</f>
        <v/>
      </c>
      <c r="O2210" s="59">
        <f>IF(tblMovement[[#This Row],[Is_Ore]]=1,tblMovement[[#This Row],[Contained_oz]],0)</f>
        <v/>
      </c>
    </row>
    <row r="2211">
      <c r="A2211" s="54" t="n"/>
      <c r="B2211" s="61" t="n"/>
      <c r="C2211" s="61" t="n"/>
      <c r="D2211" s="61" t="n"/>
      <c r="E2211" s="61" t="n"/>
      <c r="F2211" s="55" t="n"/>
      <c r="G2211" s="56" t="n"/>
      <c r="H2211" s="55" t="n"/>
      <c r="I2211" s="62" t="n"/>
      <c r="J2211" s="58" t="n"/>
      <c r="K2211" s="63">
        <f>IF(tblMovement[[#This Row],[Source]]="","",IFERROR(INDEX(tblSources[Type],MATCH(tblMovement[[#This Row],[Source]],tblSources[Source],0)),"?"))</f>
        <v/>
      </c>
      <c r="L2211" s="63">
        <f>IF(tblMovement[[#This Row],[Destination]]="","",IFERROR(INDEX(tblDestinations[Type],MATCH(tblMovement[[#This Row],[Destination]],tblDestinations[Destination],0)),"?"))</f>
        <v/>
      </c>
      <c r="M2211" s="64">
        <f>IF(tblMovement[[#This Row],[Material]]="","",IF(LEFT(tblMovement[[#This Row],[Material]],3)="Ore",1,0))</f>
        <v/>
      </c>
      <c r="N2211" s="59">
        <f>IF(OR(tblMovement[[#This Row],[Tonnes_t]]="",tblMovement[[#This Row],[Grade_gpt]]=""),0,tblMovement[[#This Row],[Tonnes_t]]*tblMovement[[#This Row],[Grade_gpt]]/cfg_TroyOz)</f>
        <v/>
      </c>
      <c r="O2211" s="59">
        <f>IF(tblMovement[[#This Row],[Is_Ore]]=1,tblMovement[[#This Row],[Contained_oz]],0)</f>
        <v/>
      </c>
    </row>
    <row r="2212">
      <c r="A2212" s="54" t="n"/>
      <c r="B2212" s="61" t="n"/>
      <c r="C2212" s="61" t="n"/>
      <c r="D2212" s="61" t="n"/>
      <c r="E2212" s="61" t="n"/>
      <c r="F2212" s="55" t="n"/>
      <c r="G2212" s="56" t="n"/>
      <c r="H2212" s="55" t="n"/>
      <c r="I2212" s="62" t="n"/>
      <c r="J2212" s="58" t="n"/>
      <c r="K2212" s="63">
        <f>IF(tblMovement[[#This Row],[Source]]="","",IFERROR(INDEX(tblSources[Type],MATCH(tblMovement[[#This Row],[Source]],tblSources[Source],0)),"?"))</f>
        <v/>
      </c>
      <c r="L2212" s="63">
        <f>IF(tblMovement[[#This Row],[Destination]]="","",IFERROR(INDEX(tblDestinations[Type],MATCH(tblMovement[[#This Row],[Destination]],tblDestinations[Destination],0)),"?"))</f>
        <v/>
      </c>
      <c r="M2212" s="64">
        <f>IF(tblMovement[[#This Row],[Material]]="","",IF(LEFT(tblMovement[[#This Row],[Material]],3)="Ore",1,0))</f>
        <v/>
      </c>
      <c r="N2212" s="59">
        <f>IF(OR(tblMovement[[#This Row],[Tonnes_t]]="",tblMovement[[#This Row],[Grade_gpt]]=""),0,tblMovement[[#This Row],[Tonnes_t]]*tblMovement[[#This Row],[Grade_gpt]]/cfg_TroyOz)</f>
        <v/>
      </c>
      <c r="O2212" s="59">
        <f>IF(tblMovement[[#This Row],[Is_Ore]]=1,tblMovement[[#This Row],[Contained_oz]],0)</f>
        <v/>
      </c>
    </row>
    <row r="2213">
      <c r="A2213" s="54" t="n"/>
      <c r="B2213" s="61" t="n"/>
      <c r="C2213" s="61" t="n"/>
      <c r="D2213" s="61" t="n"/>
      <c r="E2213" s="61" t="n"/>
      <c r="F2213" s="55" t="n"/>
      <c r="G2213" s="56" t="n"/>
      <c r="H2213" s="55" t="n"/>
      <c r="I2213" s="62" t="n"/>
      <c r="J2213" s="58" t="n"/>
      <c r="K2213" s="63">
        <f>IF(tblMovement[[#This Row],[Source]]="","",IFERROR(INDEX(tblSources[Type],MATCH(tblMovement[[#This Row],[Source]],tblSources[Source],0)),"?"))</f>
        <v/>
      </c>
      <c r="L2213" s="63">
        <f>IF(tblMovement[[#This Row],[Destination]]="","",IFERROR(INDEX(tblDestinations[Type],MATCH(tblMovement[[#This Row],[Destination]],tblDestinations[Destination],0)),"?"))</f>
        <v/>
      </c>
      <c r="M2213" s="64">
        <f>IF(tblMovement[[#This Row],[Material]]="","",IF(LEFT(tblMovement[[#This Row],[Material]],3)="Ore",1,0))</f>
        <v/>
      </c>
      <c r="N2213" s="59">
        <f>IF(OR(tblMovement[[#This Row],[Tonnes_t]]="",tblMovement[[#This Row],[Grade_gpt]]=""),0,tblMovement[[#This Row],[Tonnes_t]]*tblMovement[[#This Row],[Grade_gpt]]/cfg_TroyOz)</f>
        <v/>
      </c>
      <c r="O2213" s="59">
        <f>IF(tblMovement[[#This Row],[Is_Ore]]=1,tblMovement[[#This Row],[Contained_oz]],0)</f>
        <v/>
      </c>
    </row>
    <row r="2214">
      <c r="A2214" s="54" t="n"/>
      <c r="B2214" s="61" t="n"/>
      <c r="C2214" s="61" t="n"/>
      <c r="D2214" s="61" t="n"/>
      <c r="E2214" s="61" t="n"/>
      <c r="F2214" s="55" t="n"/>
      <c r="G2214" s="56" t="n"/>
      <c r="H2214" s="55" t="n"/>
      <c r="I2214" s="62" t="n"/>
      <c r="J2214" s="58" t="n"/>
      <c r="K2214" s="63">
        <f>IF(tblMovement[[#This Row],[Source]]="","",IFERROR(INDEX(tblSources[Type],MATCH(tblMovement[[#This Row],[Source]],tblSources[Source],0)),"?"))</f>
        <v/>
      </c>
      <c r="L2214" s="63">
        <f>IF(tblMovement[[#This Row],[Destination]]="","",IFERROR(INDEX(tblDestinations[Type],MATCH(tblMovement[[#This Row],[Destination]],tblDestinations[Destination],0)),"?"))</f>
        <v/>
      </c>
      <c r="M2214" s="64">
        <f>IF(tblMovement[[#This Row],[Material]]="","",IF(LEFT(tblMovement[[#This Row],[Material]],3)="Ore",1,0))</f>
        <v/>
      </c>
      <c r="N2214" s="59">
        <f>IF(OR(tblMovement[[#This Row],[Tonnes_t]]="",tblMovement[[#This Row],[Grade_gpt]]=""),0,tblMovement[[#This Row],[Tonnes_t]]*tblMovement[[#This Row],[Grade_gpt]]/cfg_TroyOz)</f>
        <v/>
      </c>
      <c r="O2214" s="59">
        <f>IF(tblMovement[[#This Row],[Is_Ore]]=1,tblMovement[[#This Row],[Contained_oz]],0)</f>
        <v/>
      </c>
    </row>
    <row r="2215">
      <c r="A2215" s="54" t="n"/>
      <c r="B2215" s="61" t="n"/>
      <c r="C2215" s="61" t="n"/>
      <c r="D2215" s="61" t="n"/>
      <c r="E2215" s="61" t="n"/>
      <c r="F2215" s="55" t="n"/>
      <c r="G2215" s="56" t="n"/>
      <c r="H2215" s="55" t="n"/>
      <c r="I2215" s="62" t="n"/>
      <c r="J2215" s="58" t="n"/>
      <c r="K2215" s="63">
        <f>IF(tblMovement[[#This Row],[Source]]="","",IFERROR(INDEX(tblSources[Type],MATCH(tblMovement[[#This Row],[Source]],tblSources[Source],0)),"?"))</f>
        <v/>
      </c>
      <c r="L2215" s="63">
        <f>IF(tblMovement[[#This Row],[Destination]]="","",IFERROR(INDEX(tblDestinations[Type],MATCH(tblMovement[[#This Row],[Destination]],tblDestinations[Destination],0)),"?"))</f>
        <v/>
      </c>
      <c r="M2215" s="64">
        <f>IF(tblMovement[[#This Row],[Material]]="","",IF(LEFT(tblMovement[[#This Row],[Material]],3)="Ore",1,0))</f>
        <v/>
      </c>
      <c r="N2215" s="59">
        <f>IF(OR(tblMovement[[#This Row],[Tonnes_t]]="",tblMovement[[#This Row],[Grade_gpt]]=""),0,tblMovement[[#This Row],[Tonnes_t]]*tblMovement[[#This Row],[Grade_gpt]]/cfg_TroyOz)</f>
        <v/>
      </c>
      <c r="O2215" s="59">
        <f>IF(tblMovement[[#This Row],[Is_Ore]]=1,tblMovement[[#This Row],[Contained_oz]],0)</f>
        <v/>
      </c>
    </row>
    <row r="2216">
      <c r="A2216" s="54" t="n"/>
      <c r="B2216" s="61" t="n"/>
      <c r="C2216" s="61" t="n"/>
      <c r="D2216" s="61" t="n"/>
      <c r="E2216" s="61" t="n"/>
      <c r="F2216" s="55" t="n"/>
      <c r="G2216" s="56" t="n"/>
      <c r="H2216" s="55" t="n"/>
      <c r="I2216" s="62" t="n"/>
      <c r="J2216" s="58" t="n"/>
      <c r="K2216" s="63">
        <f>IF(tblMovement[[#This Row],[Source]]="","",IFERROR(INDEX(tblSources[Type],MATCH(tblMovement[[#This Row],[Source]],tblSources[Source],0)),"?"))</f>
        <v/>
      </c>
      <c r="L2216" s="63">
        <f>IF(tblMovement[[#This Row],[Destination]]="","",IFERROR(INDEX(tblDestinations[Type],MATCH(tblMovement[[#This Row],[Destination]],tblDestinations[Destination],0)),"?"))</f>
        <v/>
      </c>
      <c r="M2216" s="64">
        <f>IF(tblMovement[[#This Row],[Material]]="","",IF(LEFT(tblMovement[[#This Row],[Material]],3)="Ore",1,0))</f>
        <v/>
      </c>
      <c r="N2216" s="59">
        <f>IF(OR(tblMovement[[#This Row],[Tonnes_t]]="",tblMovement[[#This Row],[Grade_gpt]]=""),0,tblMovement[[#This Row],[Tonnes_t]]*tblMovement[[#This Row],[Grade_gpt]]/cfg_TroyOz)</f>
        <v/>
      </c>
      <c r="O2216" s="59">
        <f>IF(tblMovement[[#This Row],[Is_Ore]]=1,tblMovement[[#This Row],[Contained_oz]],0)</f>
        <v/>
      </c>
    </row>
    <row r="2217">
      <c r="A2217" s="54" t="n"/>
      <c r="B2217" s="61" t="n"/>
      <c r="C2217" s="61" t="n"/>
      <c r="D2217" s="61" t="n"/>
      <c r="E2217" s="61" t="n"/>
      <c r="F2217" s="55" t="n"/>
      <c r="G2217" s="56" t="n"/>
      <c r="H2217" s="55" t="n"/>
      <c r="I2217" s="62" t="n"/>
      <c r="J2217" s="58" t="n"/>
      <c r="K2217" s="63">
        <f>IF(tblMovement[[#This Row],[Source]]="","",IFERROR(INDEX(tblSources[Type],MATCH(tblMovement[[#This Row],[Source]],tblSources[Source],0)),"?"))</f>
        <v/>
      </c>
      <c r="L2217" s="63">
        <f>IF(tblMovement[[#This Row],[Destination]]="","",IFERROR(INDEX(tblDestinations[Type],MATCH(tblMovement[[#This Row],[Destination]],tblDestinations[Destination],0)),"?"))</f>
        <v/>
      </c>
      <c r="M2217" s="64">
        <f>IF(tblMovement[[#This Row],[Material]]="","",IF(LEFT(tblMovement[[#This Row],[Material]],3)="Ore",1,0))</f>
        <v/>
      </c>
      <c r="N2217" s="59">
        <f>IF(OR(tblMovement[[#This Row],[Tonnes_t]]="",tblMovement[[#This Row],[Grade_gpt]]=""),0,tblMovement[[#This Row],[Tonnes_t]]*tblMovement[[#This Row],[Grade_gpt]]/cfg_TroyOz)</f>
        <v/>
      </c>
      <c r="O2217" s="59">
        <f>IF(tblMovement[[#This Row],[Is_Ore]]=1,tblMovement[[#This Row],[Contained_oz]],0)</f>
        <v/>
      </c>
    </row>
    <row r="2218">
      <c r="A2218" s="54" t="n"/>
      <c r="B2218" s="61" t="n"/>
      <c r="C2218" s="61" t="n"/>
      <c r="D2218" s="61" t="n"/>
      <c r="E2218" s="61" t="n"/>
      <c r="F2218" s="55" t="n"/>
      <c r="G2218" s="56" t="n"/>
      <c r="H2218" s="55" t="n"/>
      <c r="I2218" s="62" t="n"/>
      <c r="J2218" s="58" t="n"/>
      <c r="K2218" s="63">
        <f>IF(tblMovement[[#This Row],[Source]]="","",IFERROR(INDEX(tblSources[Type],MATCH(tblMovement[[#This Row],[Source]],tblSources[Source],0)),"?"))</f>
        <v/>
      </c>
      <c r="L2218" s="63">
        <f>IF(tblMovement[[#This Row],[Destination]]="","",IFERROR(INDEX(tblDestinations[Type],MATCH(tblMovement[[#This Row],[Destination]],tblDestinations[Destination],0)),"?"))</f>
        <v/>
      </c>
      <c r="M2218" s="64">
        <f>IF(tblMovement[[#This Row],[Material]]="","",IF(LEFT(tblMovement[[#This Row],[Material]],3)="Ore",1,0))</f>
        <v/>
      </c>
      <c r="N2218" s="59">
        <f>IF(OR(tblMovement[[#This Row],[Tonnes_t]]="",tblMovement[[#This Row],[Grade_gpt]]=""),0,tblMovement[[#This Row],[Tonnes_t]]*tblMovement[[#This Row],[Grade_gpt]]/cfg_TroyOz)</f>
        <v/>
      </c>
      <c r="O2218" s="59">
        <f>IF(tblMovement[[#This Row],[Is_Ore]]=1,tblMovement[[#This Row],[Contained_oz]],0)</f>
        <v/>
      </c>
    </row>
    <row r="2219">
      <c r="A2219" s="54" t="n"/>
      <c r="B2219" s="61" t="n"/>
      <c r="C2219" s="61" t="n"/>
      <c r="D2219" s="61" t="n"/>
      <c r="E2219" s="61" t="n"/>
      <c r="F2219" s="55" t="n"/>
      <c r="G2219" s="56" t="n"/>
      <c r="H2219" s="55" t="n"/>
      <c r="I2219" s="62" t="n"/>
      <c r="J2219" s="58" t="n"/>
      <c r="K2219" s="63">
        <f>IF(tblMovement[[#This Row],[Source]]="","",IFERROR(INDEX(tblSources[Type],MATCH(tblMovement[[#This Row],[Source]],tblSources[Source],0)),"?"))</f>
        <v/>
      </c>
      <c r="L2219" s="63">
        <f>IF(tblMovement[[#This Row],[Destination]]="","",IFERROR(INDEX(tblDestinations[Type],MATCH(tblMovement[[#This Row],[Destination]],tblDestinations[Destination],0)),"?"))</f>
        <v/>
      </c>
      <c r="M2219" s="64">
        <f>IF(tblMovement[[#This Row],[Material]]="","",IF(LEFT(tblMovement[[#This Row],[Material]],3)="Ore",1,0))</f>
        <v/>
      </c>
      <c r="N2219" s="59">
        <f>IF(OR(tblMovement[[#This Row],[Tonnes_t]]="",tblMovement[[#This Row],[Grade_gpt]]=""),0,tblMovement[[#This Row],[Tonnes_t]]*tblMovement[[#This Row],[Grade_gpt]]/cfg_TroyOz)</f>
        <v/>
      </c>
      <c r="O2219" s="59">
        <f>IF(tblMovement[[#This Row],[Is_Ore]]=1,tblMovement[[#This Row],[Contained_oz]],0)</f>
        <v/>
      </c>
    </row>
    <row r="2220">
      <c r="A2220" s="54" t="n"/>
      <c r="B2220" s="61" t="n"/>
      <c r="C2220" s="61" t="n"/>
      <c r="D2220" s="61" t="n"/>
      <c r="E2220" s="61" t="n"/>
      <c r="F2220" s="55" t="n"/>
      <c r="G2220" s="56" t="n"/>
      <c r="H2220" s="55" t="n"/>
      <c r="I2220" s="62" t="n"/>
      <c r="J2220" s="58" t="n"/>
      <c r="K2220" s="63">
        <f>IF(tblMovement[[#This Row],[Source]]="","",IFERROR(INDEX(tblSources[Type],MATCH(tblMovement[[#This Row],[Source]],tblSources[Source],0)),"?"))</f>
        <v/>
      </c>
      <c r="L2220" s="63">
        <f>IF(tblMovement[[#This Row],[Destination]]="","",IFERROR(INDEX(tblDestinations[Type],MATCH(tblMovement[[#This Row],[Destination]],tblDestinations[Destination],0)),"?"))</f>
        <v/>
      </c>
      <c r="M2220" s="64">
        <f>IF(tblMovement[[#This Row],[Material]]="","",IF(LEFT(tblMovement[[#This Row],[Material]],3)="Ore",1,0))</f>
        <v/>
      </c>
      <c r="N2220" s="59">
        <f>IF(OR(tblMovement[[#This Row],[Tonnes_t]]="",tblMovement[[#This Row],[Grade_gpt]]=""),0,tblMovement[[#This Row],[Tonnes_t]]*tblMovement[[#This Row],[Grade_gpt]]/cfg_TroyOz)</f>
        <v/>
      </c>
      <c r="O2220" s="59">
        <f>IF(tblMovement[[#This Row],[Is_Ore]]=1,tblMovement[[#This Row],[Contained_oz]],0)</f>
        <v/>
      </c>
    </row>
    <row r="2221">
      <c r="A2221" s="54" t="n"/>
      <c r="B2221" s="61" t="n"/>
      <c r="C2221" s="61" t="n"/>
      <c r="D2221" s="61" t="n"/>
      <c r="E2221" s="61" t="n"/>
      <c r="F2221" s="55" t="n"/>
      <c r="G2221" s="56" t="n"/>
      <c r="H2221" s="55" t="n"/>
      <c r="I2221" s="62" t="n"/>
      <c r="J2221" s="58" t="n"/>
      <c r="K2221" s="63">
        <f>IF(tblMovement[[#This Row],[Source]]="","",IFERROR(INDEX(tblSources[Type],MATCH(tblMovement[[#This Row],[Source]],tblSources[Source],0)),"?"))</f>
        <v/>
      </c>
      <c r="L2221" s="63">
        <f>IF(tblMovement[[#This Row],[Destination]]="","",IFERROR(INDEX(tblDestinations[Type],MATCH(tblMovement[[#This Row],[Destination]],tblDestinations[Destination],0)),"?"))</f>
        <v/>
      </c>
      <c r="M2221" s="64">
        <f>IF(tblMovement[[#This Row],[Material]]="","",IF(LEFT(tblMovement[[#This Row],[Material]],3)="Ore",1,0))</f>
        <v/>
      </c>
      <c r="N2221" s="59">
        <f>IF(OR(tblMovement[[#This Row],[Tonnes_t]]="",tblMovement[[#This Row],[Grade_gpt]]=""),0,tblMovement[[#This Row],[Tonnes_t]]*tblMovement[[#This Row],[Grade_gpt]]/cfg_TroyOz)</f>
        <v/>
      </c>
      <c r="O2221" s="59">
        <f>IF(tblMovement[[#This Row],[Is_Ore]]=1,tblMovement[[#This Row],[Contained_oz]],0)</f>
        <v/>
      </c>
    </row>
    <row r="2222">
      <c r="A2222" s="54" t="n"/>
      <c r="B2222" s="61" t="n"/>
      <c r="C2222" s="61" t="n"/>
      <c r="D2222" s="61" t="n"/>
      <c r="E2222" s="61" t="n"/>
      <c r="F2222" s="55" t="n"/>
      <c r="G2222" s="56" t="n"/>
      <c r="H2222" s="55" t="n"/>
      <c r="I2222" s="62" t="n"/>
      <c r="J2222" s="58" t="n"/>
      <c r="K2222" s="63">
        <f>IF(tblMovement[[#This Row],[Source]]="","",IFERROR(INDEX(tblSources[Type],MATCH(tblMovement[[#This Row],[Source]],tblSources[Source],0)),"?"))</f>
        <v/>
      </c>
      <c r="L2222" s="63">
        <f>IF(tblMovement[[#This Row],[Destination]]="","",IFERROR(INDEX(tblDestinations[Type],MATCH(tblMovement[[#This Row],[Destination]],tblDestinations[Destination],0)),"?"))</f>
        <v/>
      </c>
      <c r="M2222" s="64">
        <f>IF(tblMovement[[#This Row],[Material]]="","",IF(LEFT(tblMovement[[#This Row],[Material]],3)="Ore",1,0))</f>
        <v/>
      </c>
      <c r="N2222" s="59">
        <f>IF(OR(tblMovement[[#This Row],[Tonnes_t]]="",tblMovement[[#This Row],[Grade_gpt]]=""),0,tblMovement[[#This Row],[Tonnes_t]]*tblMovement[[#This Row],[Grade_gpt]]/cfg_TroyOz)</f>
        <v/>
      </c>
      <c r="O2222" s="59">
        <f>IF(tblMovement[[#This Row],[Is_Ore]]=1,tblMovement[[#This Row],[Contained_oz]],0)</f>
        <v/>
      </c>
    </row>
    <row r="2223">
      <c r="A2223" s="54" t="n"/>
      <c r="B2223" s="61" t="n"/>
      <c r="C2223" s="61" t="n"/>
      <c r="D2223" s="61" t="n"/>
      <c r="E2223" s="61" t="n"/>
      <c r="F2223" s="55" t="n"/>
      <c r="G2223" s="56" t="n"/>
      <c r="H2223" s="55" t="n"/>
      <c r="I2223" s="62" t="n"/>
      <c r="J2223" s="58" t="n"/>
      <c r="K2223" s="63">
        <f>IF(tblMovement[[#This Row],[Source]]="","",IFERROR(INDEX(tblSources[Type],MATCH(tblMovement[[#This Row],[Source]],tblSources[Source],0)),"?"))</f>
        <v/>
      </c>
      <c r="L2223" s="63">
        <f>IF(tblMovement[[#This Row],[Destination]]="","",IFERROR(INDEX(tblDestinations[Type],MATCH(tblMovement[[#This Row],[Destination]],tblDestinations[Destination],0)),"?"))</f>
        <v/>
      </c>
      <c r="M2223" s="64">
        <f>IF(tblMovement[[#This Row],[Material]]="","",IF(LEFT(tblMovement[[#This Row],[Material]],3)="Ore",1,0))</f>
        <v/>
      </c>
      <c r="N2223" s="59">
        <f>IF(OR(tblMovement[[#This Row],[Tonnes_t]]="",tblMovement[[#This Row],[Grade_gpt]]=""),0,tblMovement[[#This Row],[Tonnes_t]]*tblMovement[[#This Row],[Grade_gpt]]/cfg_TroyOz)</f>
        <v/>
      </c>
      <c r="O2223" s="59">
        <f>IF(tblMovement[[#This Row],[Is_Ore]]=1,tblMovement[[#This Row],[Contained_oz]],0)</f>
        <v/>
      </c>
    </row>
    <row r="2224">
      <c r="A2224" s="54" t="n"/>
      <c r="B2224" s="61" t="n"/>
      <c r="C2224" s="61" t="n"/>
      <c r="D2224" s="61" t="n"/>
      <c r="E2224" s="61" t="n"/>
      <c r="F2224" s="55" t="n"/>
      <c r="G2224" s="56" t="n"/>
      <c r="H2224" s="55" t="n"/>
      <c r="I2224" s="62" t="n"/>
      <c r="J2224" s="58" t="n"/>
      <c r="K2224" s="63">
        <f>IF(tblMovement[[#This Row],[Source]]="","",IFERROR(INDEX(tblSources[Type],MATCH(tblMovement[[#This Row],[Source]],tblSources[Source],0)),"?"))</f>
        <v/>
      </c>
      <c r="L2224" s="63">
        <f>IF(tblMovement[[#This Row],[Destination]]="","",IFERROR(INDEX(tblDestinations[Type],MATCH(tblMovement[[#This Row],[Destination]],tblDestinations[Destination],0)),"?"))</f>
        <v/>
      </c>
      <c r="M2224" s="64">
        <f>IF(tblMovement[[#This Row],[Material]]="","",IF(LEFT(tblMovement[[#This Row],[Material]],3)="Ore",1,0))</f>
        <v/>
      </c>
      <c r="N2224" s="59">
        <f>IF(OR(tblMovement[[#This Row],[Tonnes_t]]="",tblMovement[[#This Row],[Grade_gpt]]=""),0,tblMovement[[#This Row],[Tonnes_t]]*tblMovement[[#This Row],[Grade_gpt]]/cfg_TroyOz)</f>
        <v/>
      </c>
      <c r="O2224" s="59">
        <f>IF(tblMovement[[#This Row],[Is_Ore]]=1,tblMovement[[#This Row],[Contained_oz]],0)</f>
        <v/>
      </c>
    </row>
    <row r="2225">
      <c r="A2225" s="54" t="n"/>
      <c r="B2225" s="61" t="n"/>
      <c r="C2225" s="61" t="n"/>
      <c r="D2225" s="61" t="n"/>
      <c r="E2225" s="61" t="n"/>
      <c r="F2225" s="55" t="n"/>
      <c r="G2225" s="56" t="n"/>
      <c r="H2225" s="55" t="n"/>
      <c r="I2225" s="62" t="n"/>
      <c r="J2225" s="58" t="n"/>
      <c r="K2225" s="63">
        <f>IF(tblMovement[[#This Row],[Source]]="","",IFERROR(INDEX(tblSources[Type],MATCH(tblMovement[[#This Row],[Source]],tblSources[Source],0)),"?"))</f>
        <v/>
      </c>
      <c r="L2225" s="63">
        <f>IF(tblMovement[[#This Row],[Destination]]="","",IFERROR(INDEX(tblDestinations[Type],MATCH(tblMovement[[#This Row],[Destination]],tblDestinations[Destination],0)),"?"))</f>
        <v/>
      </c>
      <c r="M2225" s="64">
        <f>IF(tblMovement[[#This Row],[Material]]="","",IF(LEFT(tblMovement[[#This Row],[Material]],3)="Ore",1,0))</f>
        <v/>
      </c>
      <c r="N2225" s="59">
        <f>IF(OR(tblMovement[[#This Row],[Tonnes_t]]="",tblMovement[[#This Row],[Grade_gpt]]=""),0,tblMovement[[#This Row],[Tonnes_t]]*tblMovement[[#This Row],[Grade_gpt]]/cfg_TroyOz)</f>
        <v/>
      </c>
      <c r="O2225" s="59">
        <f>IF(tblMovement[[#This Row],[Is_Ore]]=1,tblMovement[[#This Row],[Contained_oz]],0)</f>
        <v/>
      </c>
    </row>
    <row r="2226">
      <c r="A2226" s="54" t="n"/>
      <c r="B2226" s="61" t="n"/>
      <c r="C2226" s="61" t="n"/>
      <c r="D2226" s="61" t="n"/>
      <c r="E2226" s="61" t="n"/>
      <c r="F2226" s="55" t="n"/>
      <c r="G2226" s="56" t="n"/>
      <c r="H2226" s="55" t="n"/>
      <c r="I2226" s="62" t="n"/>
      <c r="J2226" s="58" t="n"/>
      <c r="K2226" s="63">
        <f>IF(tblMovement[[#This Row],[Source]]="","",IFERROR(INDEX(tblSources[Type],MATCH(tblMovement[[#This Row],[Source]],tblSources[Source],0)),"?"))</f>
        <v/>
      </c>
      <c r="L2226" s="63">
        <f>IF(tblMovement[[#This Row],[Destination]]="","",IFERROR(INDEX(tblDestinations[Type],MATCH(tblMovement[[#This Row],[Destination]],tblDestinations[Destination],0)),"?"))</f>
        <v/>
      </c>
      <c r="M2226" s="64">
        <f>IF(tblMovement[[#This Row],[Material]]="","",IF(LEFT(tblMovement[[#This Row],[Material]],3)="Ore",1,0))</f>
        <v/>
      </c>
      <c r="N2226" s="59">
        <f>IF(OR(tblMovement[[#This Row],[Tonnes_t]]="",tblMovement[[#This Row],[Grade_gpt]]=""),0,tblMovement[[#This Row],[Tonnes_t]]*tblMovement[[#This Row],[Grade_gpt]]/cfg_TroyOz)</f>
        <v/>
      </c>
      <c r="O2226" s="59">
        <f>IF(tblMovement[[#This Row],[Is_Ore]]=1,tblMovement[[#This Row],[Contained_oz]],0)</f>
        <v/>
      </c>
    </row>
    <row r="2227">
      <c r="A2227" s="54" t="n"/>
      <c r="B2227" s="61" t="n"/>
      <c r="C2227" s="61" t="n"/>
      <c r="D2227" s="61" t="n"/>
      <c r="E2227" s="61" t="n"/>
      <c r="F2227" s="55" t="n"/>
      <c r="G2227" s="56" t="n"/>
      <c r="H2227" s="55" t="n"/>
      <c r="I2227" s="62" t="n"/>
      <c r="J2227" s="58" t="n"/>
      <c r="K2227" s="63">
        <f>IF(tblMovement[[#This Row],[Source]]="","",IFERROR(INDEX(tblSources[Type],MATCH(tblMovement[[#This Row],[Source]],tblSources[Source],0)),"?"))</f>
        <v/>
      </c>
      <c r="L2227" s="63">
        <f>IF(tblMovement[[#This Row],[Destination]]="","",IFERROR(INDEX(tblDestinations[Type],MATCH(tblMovement[[#This Row],[Destination]],tblDestinations[Destination],0)),"?"))</f>
        <v/>
      </c>
      <c r="M2227" s="64">
        <f>IF(tblMovement[[#This Row],[Material]]="","",IF(LEFT(tblMovement[[#This Row],[Material]],3)="Ore",1,0))</f>
        <v/>
      </c>
      <c r="N2227" s="59">
        <f>IF(OR(tblMovement[[#This Row],[Tonnes_t]]="",tblMovement[[#This Row],[Grade_gpt]]=""),0,tblMovement[[#This Row],[Tonnes_t]]*tblMovement[[#This Row],[Grade_gpt]]/cfg_TroyOz)</f>
        <v/>
      </c>
      <c r="O2227" s="59">
        <f>IF(tblMovement[[#This Row],[Is_Ore]]=1,tblMovement[[#This Row],[Contained_oz]],0)</f>
        <v/>
      </c>
    </row>
    <row r="2228">
      <c r="A2228" s="54" t="n"/>
      <c r="B2228" s="61" t="n"/>
      <c r="C2228" s="61" t="n"/>
      <c r="D2228" s="61" t="n"/>
      <c r="E2228" s="61" t="n"/>
      <c r="F2228" s="55" t="n"/>
      <c r="G2228" s="56" t="n"/>
      <c r="H2228" s="55" t="n"/>
      <c r="I2228" s="62" t="n"/>
      <c r="J2228" s="58" t="n"/>
      <c r="K2228" s="63">
        <f>IF(tblMovement[[#This Row],[Source]]="","",IFERROR(INDEX(tblSources[Type],MATCH(tblMovement[[#This Row],[Source]],tblSources[Source],0)),"?"))</f>
        <v/>
      </c>
      <c r="L2228" s="63">
        <f>IF(tblMovement[[#This Row],[Destination]]="","",IFERROR(INDEX(tblDestinations[Type],MATCH(tblMovement[[#This Row],[Destination]],tblDestinations[Destination],0)),"?"))</f>
        <v/>
      </c>
      <c r="M2228" s="64">
        <f>IF(tblMovement[[#This Row],[Material]]="","",IF(LEFT(tblMovement[[#This Row],[Material]],3)="Ore",1,0))</f>
        <v/>
      </c>
      <c r="N2228" s="59">
        <f>IF(OR(tblMovement[[#This Row],[Tonnes_t]]="",tblMovement[[#This Row],[Grade_gpt]]=""),0,tblMovement[[#This Row],[Tonnes_t]]*tblMovement[[#This Row],[Grade_gpt]]/cfg_TroyOz)</f>
        <v/>
      </c>
      <c r="O2228" s="59">
        <f>IF(tblMovement[[#This Row],[Is_Ore]]=1,tblMovement[[#This Row],[Contained_oz]],0)</f>
        <v/>
      </c>
    </row>
    <row r="2229">
      <c r="A2229" s="54" t="n"/>
      <c r="B2229" s="61" t="n"/>
      <c r="C2229" s="61" t="n"/>
      <c r="D2229" s="61" t="n"/>
      <c r="E2229" s="61" t="n"/>
      <c r="F2229" s="55" t="n"/>
      <c r="G2229" s="56" t="n"/>
      <c r="H2229" s="55" t="n"/>
      <c r="I2229" s="62" t="n"/>
      <c r="J2229" s="58" t="n"/>
      <c r="K2229" s="63">
        <f>IF(tblMovement[[#This Row],[Source]]="","",IFERROR(INDEX(tblSources[Type],MATCH(tblMovement[[#This Row],[Source]],tblSources[Source],0)),"?"))</f>
        <v/>
      </c>
      <c r="L2229" s="63">
        <f>IF(tblMovement[[#This Row],[Destination]]="","",IFERROR(INDEX(tblDestinations[Type],MATCH(tblMovement[[#This Row],[Destination]],tblDestinations[Destination],0)),"?"))</f>
        <v/>
      </c>
      <c r="M2229" s="64">
        <f>IF(tblMovement[[#This Row],[Material]]="","",IF(LEFT(tblMovement[[#This Row],[Material]],3)="Ore",1,0))</f>
        <v/>
      </c>
      <c r="N2229" s="59">
        <f>IF(OR(tblMovement[[#This Row],[Tonnes_t]]="",tblMovement[[#This Row],[Grade_gpt]]=""),0,tblMovement[[#This Row],[Tonnes_t]]*tblMovement[[#This Row],[Grade_gpt]]/cfg_TroyOz)</f>
        <v/>
      </c>
      <c r="O2229" s="59">
        <f>IF(tblMovement[[#This Row],[Is_Ore]]=1,tblMovement[[#This Row],[Contained_oz]],0)</f>
        <v/>
      </c>
    </row>
    <row r="2230">
      <c r="A2230" s="54" t="n"/>
      <c r="B2230" s="61" t="n"/>
      <c r="C2230" s="61" t="n"/>
      <c r="D2230" s="61" t="n"/>
      <c r="E2230" s="61" t="n"/>
      <c r="F2230" s="55" t="n"/>
      <c r="G2230" s="56" t="n"/>
      <c r="H2230" s="55" t="n"/>
      <c r="I2230" s="62" t="n"/>
      <c r="J2230" s="58" t="n"/>
      <c r="K2230" s="63">
        <f>IF(tblMovement[[#This Row],[Source]]="","",IFERROR(INDEX(tblSources[Type],MATCH(tblMovement[[#This Row],[Source]],tblSources[Source],0)),"?"))</f>
        <v/>
      </c>
      <c r="L2230" s="63">
        <f>IF(tblMovement[[#This Row],[Destination]]="","",IFERROR(INDEX(tblDestinations[Type],MATCH(tblMovement[[#This Row],[Destination]],tblDestinations[Destination],0)),"?"))</f>
        <v/>
      </c>
      <c r="M2230" s="64">
        <f>IF(tblMovement[[#This Row],[Material]]="","",IF(LEFT(tblMovement[[#This Row],[Material]],3)="Ore",1,0))</f>
        <v/>
      </c>
      <c r="N2230" s="59">
        <f>IF(OR(tblMovement[[#This Row],[Tonnes_t]]="",tblMovement[[#This Row],[Grade_gpt]]=""),0,tblMovement[[#This Row],[Tonnes_t]]*tblMovement[[#This Row],[Grade_gpt]]/cfg_TroyOz)</f>
        <v/>
      </c>
      <c r="O2230" s="59">
        <f>IF(tblMovement[[#This Row],[Is_Ore]]=1,tblMovement[[#This Row],[Contained_oz]],0)</f>
        <v/>
      </c>
    </row>
    <row r="2231">
      <c r="A2231" s="54" t="n"/>
      <c r="B2231" s="61" t="n"/>
      <c r="C2231" s="61" t="n"/>
      <c r="D2231" s="61" t="n"/>
      <c r="E2231" s="61" t="n"/>
      <c r="F2231" s="55" t="n"/>
      <c r="G2231" s="56" t="n"/>
      <c r="H2231" s="55" t="n"/>
      <c r="I2231" s="62" t="n"/>
      <c r="J2231" s="58" t="n"/>
      <c r="K2231" s="63">
        <f>IF(tblMovement[[#This Row],[Source]]="","",IFERROR(INDEX(tblSources[Type],MATCH(tblMovement[[#This Row],[Source]],tblSources[Source],0)),"?"))</f>
        <v/>
      </c>
      <c r="L2231" s="63">
        <f>IF(tblMovement[[#This Row],[Destination]]="","",IFERROR(INDEX(tblDestinations[Type],MATCH(tblMovement[[#This Row],[Destination]],tblDestinations[Destination],0)),"?"))</f>
        <v/>
      </c>
      <c r="M2231" s="64">
        <f>IF(tblMovement[[#This Row],[Material]]="","",IF(LEFT(tblMovement[[#This Row],[Material]],3)="Ore",1,0))</f>
        <v/>
      </c>
      <c r="N2231" s="59">
        <f>IF(OR(tblMovement[[#This Row],[Tonnes_t]]="",tblMovement[[#This Row],[Grade_gpt]]=""),0,tblMovement[[#This Row],[Tonnes_t]]*tblMovement[[#This Row],[Grade_gpt]]/cfg_TroyOz)</f>
        <v/>
      </c>
      <c r="O2231" s="59">
        <f>IF(tblMovement[[#This Row],[Is_Ore]]=1,tblMovement[[#This Row],[Contained_oz]],0)</f>
        <v/>
      </c>
    </row>
    <row r="2232">
      <c r="A2232" s="54" t="n"/>
      <c r="B2232" s="61" t="n"/>
      <c r="C2232" s="61" t="n"/>
      <c r="D2232" s="61" t="n"/>
      <c r="E2232" s="61" t="n"/>
      <c r="F2232" s="55" t="n"/>
      <c r="G2232" s="56" t="n"/>
      <c r="H2232" s="55" t="n"/>
      <c r="I2232" s="62" t="n"/>
      <c r="J2232" s="58" t="n"/>
      <c r="K2232" s="63">
        <f>IF(tblMovement[[#This Row],[Source]]="","",IFERROR(INDEX(tblSources[Type],MATCH(tblMovement[[#This Row],[Source]],tblSources[Source],0)),"?"))</f>
        <v/>
      </c>
      <c r="L2232" s="63">
        <f>IF(tblMovement[[#This Row],[Destination]]="","",IFERROR(INDEX(tblDestinations[Type],MATCH(tblMovement[[#This Row],[Destination]],tblDestinations[Destination],0)),"?"))</f>
        <v/>
      </c>
      <c r="M2232" s="64">
        <f>IF(tblMovement[[#This Row],[Material]]="","",IF(LEFT(tblMovement[[#This Row],[Material]],3)="Ore",1,0))</f>
        <v/>
      </c>
      <c r="N2232" s="59">
        <f>IF(OR(tblMovement[[#This Row],[Tonnes_t]]="",tblMovement[[#This Row],[Grade_gpt]]=""),0,tblMovement[[#This Row],[Tonnes_t]]*tblMovement[[#This Row],[Grade_gpt]]/cfg_TroyOz)</f>
        <v/>
      </c>
      <c r="O2232" s="59">
        <f>IF(tblMovement[[#This Row],[Is_Ore]]=1,tblMovement[[#This Row],[Contained_oz]],0)</f>
        <v/>
      </c>
    </row>
    <row r="2233">
      <c r="A2233" s="54" t="n"/>
      <c r="B2233" s="61" t="n"/>
      <c r="C2233" s="61" t="n"/>
      <c r="D2233" s="61" t="n"/>
      <c r="E2233" s="61" t="n"/>
      <c r="F2233" s="55" t="n"/>
      <c r="G2233" s="56" t="n"/>
      <c r="H2233" s="55" t="n"/>
      <c r="I2233" s="62" t="n"/>
      <c r="J2233" s="58" t="n"/>
      <c r="K2233" s="63">
        <f>IF(tblMovement[[#This Row],[Source]]="","",IFERROR(INDEX(tblSources[Type],MATCH(tblMovement[[#This Row],[Source]],tblSources[Source],0)),"?"))</f>
        <v/>
      </c>
      <c r="L2233" s="63">
        <f>IF(tblMovement[[#This Row],[Destination]]="","",IFERROR(INDEX(tblDestinations[Type],MATCH(tblMovement[[#This Row],[Destination]],tblDestinations[Destination],0)),"?"))</f>
        <v/>
      </c>
      <c r="M2233" s="64">
        <f>IF(tblMovement[[#This Row],[Material]]="","",IF(LEFT(tblMovement[[#This Row],[Material]],3)="Ore",1,0))</f>
        <v/>
      </c>
      <c r="N2233" s="59">
        <f>IF(OR(tblMovement[[#This Row],[Tonnes_t]]="",tblMovement[[#This Row],[Grade_gpt]]=""),0,tblMovement[[#This Row],[Tonnes_t]]*tblMovement[[#This Row],[Grade_gpt]]/cfg_TroyOz)</f>
        <v/>
      </c>
      <c r="O2233" s="59">
        <f>IF(tblMovement[[#This Row],[Is_Ore]]=1,tblMovement[[#This Row],[Contained_oz]],0)</f>
        <v/>
      </c>
    </row>
    <row r="2234">
      <c r="A2234" s="54" t="n"/>
      <c r="B2234" s="61" t="n"/>
      <c r="C2234" s="61" t="n"/>
      <c r="D2234" s="61" t="n"/>
      <c r="E2234" s="61" t="n"/>
      <c r="F2234" s="55" t="n"/>
      <c r="G2234" s="56" t="n"/>
      <c r="H2234" s="55" t="n"/>
      <c r="I2234" s="62" t="n"/>
      <c r="J2234" s="58" t="n"/>
      <c r="K2234" s="63">
        <f>IF(tblMovement[[#This Row],[Source]]="","",IFERROR(INDEX(tblSources[Type],MATCH(tblMovement[[#This Row],[Source]],tblSources[Source],0)),"?"))</f>
        <v/>
      </c>
      <c r="L2234" s="63">
        <f>IF(tblMovement[[#This Row],[Destination]]="","",IFERROR(INDEX(tblDestinations[Type],MATCH(tblMovement[[#This Row],[Destination]],tblDestinations[Destination],0)),"?"))</f>
        <v/>
      </c>
      <c r="M2234" s="64">
        <f>IF(tblMovement[[#This Row],[Material]]="","",IF(LEFT(tblMovement[[#This Row],[Material]],3)="Ore",1,0))</f>
        <v/>
      </c>
      <c r="N2234" s="59">
        <f>IF(OR(tblMovement[[#This Row],[Tonnes_t]]="",tblMovement[[#This Row],[Grade_gpt]]=""),0,tblMovement[[#This Row],[Tonnes_t]]*tblMovement[[#This Row],[Grade_gpt]]/cfg_TroyOz)</f>
        <v/>
      </c>
      <c r="O2234" s="59">
        <f>IF(tblMovement[[#This Row],[Is_Ore]]=1,tblMovement[[#This Row],[Contained_oz]],0)</f>
        <v/>
      </c>
    </row>
    <row r="2235">
      <c r="A2235" s="54" t="n"/>
      <c r="B2235" s="61" t="n"/>
      <c r="C2235" s="61" t="n"/>
      <c r="D2235" s="61" t="n"/>
      <c r="E2235" s="61" t="n"/>
      <c r="F2235" s="55" t="n"/>
      <c r="G2235" s="56" t="n"/>
      <c r="H2235" s="55" t="n"/>
      <c r="I2235" s="62" t="n"/>
      <c r="J2235" s="58" t="n"/>
      <c r="K2235" s="63">
        <f>IF(tblMovement[[#This Row],[Source]]="","",IFERROR(INDEX(tblSources[Type],MATCH(tblMovement[[#This Row],[Source]],tblSources[Source],0)),"?"))</f>
        <v/>
      </c>
      <c r="L2235" s="63">
        <f>IF(tblMovement[[#This Row],[Destination]]="","",IFERROR(INDEX(tblDestinations[Type],MATCH(tblMovement[[#This Row],[Destination]],tblDestinations[Destination],0)),"?"))</f>
        <v/>
      </c>
      <c r="M2235" s="64">
        <f>IF(tblMovement[[#This Row],[Material]]="","",IF(LEFT(tblMovement[[#This Row],[Material]],3)="Ore",1,0))</f>
        <v/>
      </c>
      <c r="N2235" s="59">
        <f>IF(OR(tblMovement[[#This Row],[Tonnes_t]]="",tblMovement[[#This Row],[Grade_gpt]]=""),0,tblMovement[[#This Row],[Tonnes_t]]*tblMovement[[#This Row],[Grade_gpt]]/cfg_TroyOz)</f>
        <v/>
      </c>
      <c r="O2235" s="59">
        <f>IF(tblMovement[[#This Row],[Is_Ore]]=1,tblMovement[[#This Row],[Contained_oz]],0)</f>
        <v/>
      </c>
    </row>
    <row r="2236">
      <c r="A2236" s="54" t="n"/>
      <c r="B2236" s="61" t="n"/>
      <c r="C2236" s="61" t="n"/>
      <c r="D2236" s="61" t="n"/>
      <c r="E2236" s="61" t="n"/>
      <c r="F2236" s="55" t="n"/>
      <c r="G2236" s="56" t="n"/>
      <c r="H2236" s="55" t="n"/>
      <c r="I2236" s="62" t="n"/>
      <c r="J2236" s="58" t="n"/>
      <c r="K2236" s="63">
        <f>IF(tblMovement[[#This Row],[Source]]="","",IFERROR(INDEX(tblSources[Type],MATCH(tblMovement[[#This Row],[Source]],tblSources[Source],0)),"?"))</f>
        <v/>
      </c>
      <c r="L2236" s="63">
        <f>IF(tblMovement[[#This Row],[Destination]]="","",IFERROR(INDEX(tblDestinations[Type],MATCH(tblMovement[[#This Row],[Destination]],tblDestinations[Destination],0)),"?"))</f>
        <v/>
      </c>
      <c r="M2236" s="64">
        <f>IF(tblMovement[[#This Row],[Material]]="","",IF(LEFT(tblMovement[[#This Row],[Material]],3)="Ore",1,0))</f>
        <v/>
      </c>
      <c r="N2236" s="59">
        <f>IF(OR(tblMovement[[#This Row],[Tonnes_t]]="",tblMovement[[#This Row],[Grade_gpt]]=""),0,tblMovement[[#This Row],[Tonnes_t]]*tblMovement[[#This Row],[Grade_gpt]]/cfg_TroyOz)</f>
        <v/>
      </c>
      <c r="O2236" s="59">
        <f>IF(tblMovement[[#This Row],[Is_Ore]]=1,tblMovement[[#This Row],[Contained_oz]],0)</f>
        <v/>
      </c>
    </row>
    <row r="2237">
      <c r="A2237" s="54" t="n"/>
      <c r="B2237" s="61" t="n"/>
      <c r="C2237" s="61" t="n"/>
      <c r="D2237" s="61" t="n"/>
      <c r="E2237" s="61" t="n"/>
      <c r="F2237" s="55" t="n"/>
      <c r="G2237" s="56" t="n"/>
      <c r="H2237" s="55" t="n"/>
      <c r="I2237" s="62" t="n"/>
      <c r="J2237" s="58" t="n"/>
      <c r="K2237" s="63">
        <f>IF(tblMovement[[#This Row],[Source]]="","",IFERROR(INDEX(tblSources[Type],MATCH(tblMovement[[#This Row],[Source]],tblSources[Source],0)),"?"))</f>
        <v/>
      </c>
      <c r="L2237" s="63">
        <f>IF(tblMovement[[#This Row],[Destination]]="","",IFERROR(INDEX(tblDestinations[Type],MATCH(tblMovement[[#This Row],[Destination]],tblDestinations[Destination],0)),"?"))</f>
        <v/>
      </c>
      <c r="M2237" s="64">
        <f>IF(tblMovement[[#This Row],[Material]]="","",IF(LEFT(tblMovement[[#This Row],[Material]],3)="Ore",1,0))</f>
        <v/>
      </c>
      <c r="N2237" s="59">
        <f>IF(OR(tblMovement[[#This Row],[Tonnes_t]]="",tblMovement[[#This Row],[Grade_gpt]]=""),0,tblMovement[[#This Row],[Tonnes_t]]*tblMovement[[#This Row],[Grade_gpt]]/cfg_TroyOz)</f>
        <v/>
      </c>
      <c r="O2237" s="59">
        <f>IF(tblMovement[[#This Row],[Is_Ore]]=1,tblMovement[[#This Row],[Contained_oz]],0)</f>
        <v/>
      </c>
    </row>
    <row r="2238">
      <c r="A2238" s="54" t="n"/>
      <c r="B2238" s="61" t="n"/>
      <c r="C2238" s="61" t="n"/>
      <c r="D2238" s="61" t="n"/>
      <c r="E2238" s="61" t="n"/>
      <c r="F2238" s="55" t="n"/>
      <c r="G2238" s="56" t="n"/>
      <c r="H2238" s="55" t="n"/>
      <c r="I2238" s="62" t="n"/>
      <c r="J2238" s="58" t="n"/>
      <c r="K2238" s="63">
        <f>IF(tblMovement[[#This Row],[Source]]="","",IFERROR(INDEX(tblSources[Type],MATCH(tblMovement[[#This Row],[Source]],tblSources[Source],0)),"?"))</f>
        <v/>
      </c>
      <c r="L2238" s="63">
        <f>IF(tblMovement[[#This Row],[Destination]]="","",IFERROR(INDEX(tblDestinations[Type],MATCH(tblMovement[[#This Row],[Destination]],tblDestinations[Destination],0)),"?"))</f>
        <v/>
      </c>
      <c r="M2238" s="64">
        <f>IF(tblMovement[[#This Row],[Material]]="","",IF(LEFT(tblMovement[[#This Row],[Material]],3)="Ore",1,0))</f>
        <v/>
      </c>
      <c r="N2238" s="59">
        <f>IF(OR(tblMovement[[#This Row],[Tonnes_t]]="",tblMovement[[#This Row],[Grade_gpt]]=""),0,tblMovement[[#This Row],[Tonnes_t]]*tblMovement[[#This Row],[Grade_gpt]]/cfg_TroyOz)</f>
        <v/>
      </c>
      <c r="O2238" s="59">
        <f>IF(tblMovement[[#This Row],[Is_Ore]]=1,tblMovement[[#This Row],[Contained_oz]],0)</f>
        <v/>
      </c>
    </row>
    <row r="2239">
      <c r="A2239" s="54" t="n"/>
      <c r="B2239" s="61" t="n"/>
      <c r="C2239" s="61" t="n"/>
      <c r="D2239" s="61" t="n"/>
      <c r="E2239" s="61" t="n"/>
      <c r="F2239" s="55" t="n"/>
      <c r="G2239" s="56" t="n"/>
      <c r="H2239" s="55" t="n"/>
      <c r="I2239" s="62" t="n"/>
      <c r="J2239" s="58" t="n"/>
      <c r="K2239" s="63">
        <f>IF(tblMovement[[#This Row],[Source]]="","",IFERROR(INDEX(tblSources[Type],MATCH(tblMovement[[#This Row],[Source]],tblSources[Source],0)),"?"))</f>
        <v/>
      </c>
      <c r="L2239" s="63">
        <f>IF(tblMovement[[#This Row],[Destination]]="","",IFERROR(INDEX(tblDestinations[Type],MATCH(tblMovement[[#This Row],[Destination]],tblDestinations[Destination],0)),"?"))</f>
        <v/>
      </c>
      <c r="M2239" s="64">
        <f>IF(tblMovement[[#This Row],[Material]]="","",IF(LEFT(tblMovement[[#This Row],[Material]],3)="Ore",1,0))</f>
        <v/>
      </c>
      <c r="N2239" s="59">
        <f>IF(OR(tblMovement[[#This Row],[Tonnes_t]]="",tblMovement[[#This Row],[Grade_gpt]]=""),0,tblMovement[[#This Row],[Tonnes_t]]*tblMovement[[#This Row],[Grade_gpt]]/cfg_TroyOz)</f>
        <v/>
      </c>
      <c r="O2239" s="59">
        <f>IF(tblMovement[[#This Row],[Is_Ore]]=1,tblMovement[[#This Row],[Contained_oz]],0)</f>
        <v/>
      </c>
    </row>
    <row r="2240">
      <c r="A2240" s="54" t="n"/>
      <c r="B2240" s="61" t="n"/>
      <c r="C2240" s="61" t="n"/>
      <c r="D2240" s="61" t="n"/>
      <c r="E2240" s="61" t="n"/>
      <c r="F2240" s="55" t="n"/>
      <c r="G2240" s="56" t="n"/>
      <c r="H2240" s="55" t="n"/>
      <c r="I2240" s="62" t="n"/>
      <c r="J2240" s="58" t="n"/>
      <c r="K2240" s="63">
        <f>IF(tblMovement[[#This Row],[Source]]="","",IFERROR(INDEX(tblSources[Type],MATCH(tblMovement[[#This Row],[Source]],tblSources[Source],0)),"?"))</f>
        <v/>
      </c>
      <c r="L2240" s="63">
        <f>IF(tblMovement[[#This Row],[Destination]]="","",IFERROR(INDEX(tblDestinations[Type],MATCH(tblMovement[[#This Row],[Destination]],tblDestinations[Destination],0)),"?"))</f>
        <v/>
      </c>
      <c r="M2240" s="64">
        <f>IF(tblMovement[[#This Row],[Material]]="","",IF(LEFT(tblMovement[[#This Row],[Material]],3)="Ore",1,0))</f>
        <v/>
      </c>
      <c r="N2240" s="59">
        <f>IF(OR(tblMovement[[#This Row],[Tonnes_t]]="",tblMovement[[#This Row],[Grade_gpt]]=""),0,tblMovement[[#This Row],[Tonnes_t]]*tblMovement[[#This Row],[Grade_gpt]]/cfg_TroyOz)</f>
        <v/>
      </c>
      <c r="O2240" s="59">
        <f>IF(tblMovement[[#This Row],[Is_Ore]]=1,tblMovement[[#This Row],[Contained_oz]],0)</f>
        <v/>
      </c>
    </row>
    <row r="2241">
      <c r="A2241" s="54" t="n"/>
      <c r="B2241" s="61" t="n"/>
      <c r="C2241" s="61" t="n"/>
      <c r="D2241" s="61" t="n"/>
      <c r="E2241" s="61" t="n"/>
      <c r="F2241" s="55" t="n"/>
      <c r="G2241" s="56" t="n"/>
      <c r="H2241" s="55" t="n"/>
      <c r="I2241" s="62" t="n"/>
      <c r="J2241" s="58" t="n"/>
      <c r="K2241" s="63">
        <f>IF(tblMovement[[#This Row],[Source]]="","",IFERROR(INDEX(tblSources[Type],MATCH(tblMovement[[#This Row],[Source]],tblSources[Source],0)),"?"))</f>
        <v/>
      </c>
      <c r="L2241" s="63">
        <f>IF(tblMovement[[#This Row],[Destination]]="","",IFERROR(INDEX(tblDestinations[Type],MATCH(tblMovement[[#This Row],[Destination]],tblDestinations[Destination],0)),"?"))</f>
        <v/>
      </c>
      <c r="M2241" s="64">
        <f>IF(tblMovement[[#This Row],[Material]]="","",IF(LEFT(tblMovement[[#This Row],[Material]],3)="Ore",1,0))</f>
        <v/>
      </c>
      <c r="N2241" s="59">
        <f>IF(OR(tblMovement[[#This Row],[Tonnes_t]]="",tblMovement[[#This Row],[Grade_gpt]]=""),0,tblMovement[[#This Row],[Tonnes_t]]*tblMovement[[#This Row],[Grade_gpt]]/cfg_TroyOz)</f>
        <v/>
      </c>
      <c r="O2241" s="59">
        <f>IF(tblMovement[[#This Row],[Is_Ore]]=1,tblMovement[[#This Row],[Contained_oz]],0)</f>
        <v/>
      </c>
    </row>
    <row r="2242">
      <c r="A2242" s="54" t="n"/>
      <c r="B2242" s="61" t="n"/>
      <c r="C2242" s="61" t="n"/>
      <c r="D2242" s="61" t="n"/>
      <c r="E2242" s="61" t="n"/>
      <c r="F2242" s="55" t="n"/>
      <c r="G2242" s="56" t="n"/>
      <c r="H2242" s="55" t="n"/>
      <c r="I2242" s="62" t="n"/>
      <c r="J2242" s="58" t="n"/>
      <c r="K2242" s="63">
        <f>IF(tblMovement[[#This Row],[Source]]="","",IFERROR(INDEX(tblSources[Type],MATCH(tblMovement[[#This Row],[Source]],tblSources[Source],0)),"?"))</f>
        <v/>
      </c>
      <c r="L2242" s="63">
        <f>IF(tblMovement[[#This Row],[Destination]]="","",IFERROR(INDEX(tblDestinations[Type],MATCH(tblMovement[[#This Row],[Destination]],tblDestinations[Destination],0)),"?"))</f>
        <v/>
      </c>
      <c r="M2242" s="64">
        <f>IF(tblMovement[[#This Row],[Material]]="","",IF(LEFT(tblMovement[[#This Row],[Material]],3)="Ore",1,0))</f>
        <v/>
      </c>
      <c r="N2242" s="59">
        <f>IF(OR(tblMovement[[#This Row],[Tonnes_t]]="",tblMovement[[#This Row],[Grade_gpt]]=""),0,tblMovement[[#This Row],[Tonnes_t]]*tblMovement[[#This Row],[Grade_gpt]]/cfg_TroyOz)</f>
        <v/>
      </c>
      <c r="O2242" s="59">
        <f>IF(tblMovement[[#This Row],[Is_Ore]]=1,tblMovement[[#This Row],[Contained_oz]],0)</f>
        <v/>
      </c>
    </row>
    <row r="2243">
      <c r="A2243" s="54" t="n"/>
      <c r="B2243" s="61" t="n"/>
      <c r="C2243" s="61" t="n"/>
      <c r="D2243" s="61" t="n"/>
      <c r="E2243" s="61" t="n"/>
      <c r="F2243" s="55" t="n"/>
      <c r="G2243" s="56" t="n"/>
      <c r="H2243" s="55" t="n"/>
      <c r="I2243" s="62" t="n"/>
      <c r="J2243" s="58" t="n"/>
      <c r="K2243" s="63">
        <f>IF(tblMovement[[#This Row],[Source]]="","",IFERROR(INDEX(tblSources[Type],MATCH(tblMovement[[#This Row],[Source]],tblSources[Source],0)),"?"))</f>
        <v/>
      </c>
      <c r="L2243" s="63">
        <f>IF(tblMovement[[#This Row],[Destination]]="","",IFERROR(INDEX(tblDestinations[Type],MATCH(tblMovement[[#This Row],[Destination]],tblDestinations[Destination],0)),"?"))</f>
        <v/>
      </c>
      <c r="M2243" s="64">
        <f>IF(tblMovement[[#This Row],[Material]]="","",IF(LEFT(tblMovement[[#This Row],[Material]],3)="Ore",1,0))</f>
        <v/>
      </c>
      <c r="N2243" s="59">
        <f>IF(OR(tblMovement[[#This Row],[Tonnes_t]]="",tblMovement[[#This Row],[Grade_gpt]]=""),0,tblMovement[[#This Row],[Tonnes_t]]*tblMovement[[#This Row],[Grade_gpt]]/cfg_TroyOz)</f>
        <v/>
      </c>
      <c r="O2243" s="59">
        <f>IF(tblMovement[[#This Row],[Is_Ore]]=1,tblMovement[[#This Row],[Contained_oz]],0)</f>
        <v/>
      </c>
    </row>
    <row r="2244">
      <c r="A2244" s="54" t="n"/>
      <c r="B2244" s="61" t="n"/>
      <c r="C2244" s="61" t="n"/>
      <c r="D2244" s="61" t="n"/>
      <c r="E2244" s="61" t="n"/>
      <c r="F2244" s="55" t="n"/>
      <c r="G2244" s="56" t="n"/>
      <c r="H2244" s="55" t="n"/>
      <c r="I2244" s="62" t="n"/>
      <c r="J2244" s="58" t="n"/>
      <c r="K2244" s="63">
        <f>IF(tblMovement[[#This Row],[Source]]="","",IFERROR(INDEX(tblSources[Type],MATCH(tblMovement[[#This Row],[Source]],tblSources[Source],0)),"?"))</f>
        <v/>
      </c>
      <c r="L2244" s="63">
        <f>IF(tblMovement[[#This Row],[Destination]]="","",IFERROR(INDEX(tblDestinations[Type],MATCH(tblMovement[[#This Row],[Destination]],tblDestinations[Destination],0)),"?"))</f>
        <v/>
      </c>
      <c r="M2244" s="64">
        <f>IF(tblMovement[[#This Row],[Material]]="","",IF(LEFT(tblMovement[[#This Row],[Material]],3)="Ore",1,0))</f>
        <v/>
      </c>
      <c r="N2244" s="59">
        <f>IF(OR(tblMovement[[#This Row],[Tonnes_t]]="",tblMovement[[#This Row],[Grade_gpt]]=""),0,tblMovement[[#This Row],[Tonnes_t]]*tblMovement[[#This Row],[Grade_gpt]]/cfg_TroyOz)</f>
        <v/>
      </c>
      <c r="O2244" s="59">
        <f>IF(tblMovement[[#This Row],[Is_Ore]]=1,tblMovement[[#This Row],[Contained_oz]],0)</f>
        <v/>
      </c>
    </row>
    <row r="2245">
      <c r="A2245" s="54" t="n"/>
      <c r="B2245" s="61" t="n"/>
      <c r="C2245" s="61" t="n"/>
      <c r="D2245" s="61" t="n"/>
      <c r="E2245" s="61" t="n"/>
      <c r="F2245" s="55" t="n"/>
      <c r="G2245" s="56" t="n"/>
      <c r="H2245" s="55" t="n"/>
      <c r="I2245" s="62" t="n"/>
      <c r="J2245" s="58" t="n"/>
      <c r="K2245" s="63">
        <f>IF(tblMovement[[#This Row],[Source]]="","",IFERROR(INDEX(tblSources[Type],MATCH(tblMovement[[#This Row],[Source]],tblSources[Source],0)),"?"))</f>
        <v/>
      </c>
      <c r="L2245" s="63">
        <f>IF(tblMovement[[#This Row],[Destination]]="","",IFERROR(INDEX(tblDestinations[Type],MATCH(tblMovement[[#This Row],[Destination]],tblDestinations[Destination],0)),"?"))</f>
        <v/>
      </c>
      <c r="M2245" s="64">
        <f>IF(tblMovement[[#This Row],[Material]]="","",IF(LEFT(tblMovement[[#This Row],[Material]],3)="Ore",1,0))</f>
        <v/>
      </c>
      <c r="N2245" s="59">
        <f>IF(OR(tblMovement[[#This Row],[Tonnes_t]]="",tblMovement[[#This Row],[Grade_gpt]]=""),0,tblMovement[[#This Row],[Tonnes_t]]*tblMovement[[#This Row],[Grade_gpt]]/cfg_TroyOz)</f>
        <v/>
      </c>
      <c r="O2245" s="59">
        <f>IF(tblMovement[[#This Row],[Is_Ore]]=1,tblMovement[[#This Row],[Contained_oz]],0)</f>
        <v/>
      </c>
    </row>
    <row r="2246">
      <c r="A2246" s="54" t="n"/>
      <c r="B2246" s="61" t="n"/>
      <c r="C2246" s="61" t="n"/>
      <c r="D2246" s="61" t="n"/>
      <c r="E2246" s="61" t="n"/>
      <c r="F2246" s="55" t="n"/>
      <c r="G2246" s="56" t="n"/>
      <c r="H2246" s="55" t="n"/>
      <c r="I2246" s="62" t="n"/>
      <c r="J2246" s="58" t="n"/>
      <c r="K2246" s="63">
        <f>IF(tblMovement[[#This Row],[Source]]="","",IFERROR(INDEX(tblSources[Type],MATCH(tblMovement[[#This Row],[Source]],tblSources[Source],0)),"?"))</f>
        <v/>
      </c>
      <c r="L2246" s="63">
        <f>IF(tblMovement[[#This Row],[Destination]]="","",IFERROR(INDEX(tblDestinations[Type],MATCH(tblMovement[[#This Row],[Destination]],tblDestinations[Destination],0)),"?"))</f>
        <v/>
      </c>
      <c r="M2246" s="64">
        <f>IF(tblMovement[[#This Row],[Material]]="","",IF(LEFT(tblMovement[[#This Row],[Material]],3)="Ore",1,0))</f>
        <v/>
      </c>
      <c r="N2246" s="59">
        <f>IF(OR(tblMovement[[#This Row],[Tonnes_t]]="",tblMovement[[#This Row],[Grade_gpt]]=""),0,tblMovement[[#This Row],[Tonnes_t]]*tblMovement[[#This Row],[Grade_gpt]]/cfg_TroyOz)</f>
        <v/>
      </c>
      <c r="O2246" s="59">
        <f>IF(tblMovement[[#This Row],[Is_Ore]]=1,tblMovement[[#This Row],[Contained_oz]],0)</f>
        <v/>
      </c>
    </row>
    <row r="2247">
      <c r="A2247" s="54" t="n"/>
      <c r="B2247" s="61" t="n"/>
      <c r="C2247" s="61" t="n"/>
      <c r="D2247" s="61" t="n"/>
      <c r="E2247" s="61" t="n"/>
      <c r="F2247" s="55" t="n"/>
      <c r="G2247" s="56" t="n"/>
      <c r="H2247" s="55" t="n"/>
      <c r="I2247" s="62" t="n"/>
      <c r="J2247" s="58" t="n"/>
      <c r="K2247" s="63">
        <f>IF(tblMovement[[#This Row],[Source]]="","",IFERROR(INDEX(tblSources[Type],MATCH(tblMovement[[#This Row],[Source]],tblSources[Source],0)),"?"))</f>
        <v/>
      </c>
      <c r="L2247" s="63">
        <f>IF(tblMovement[[#This Row],[Destination]]="","",IFERROR(INDEX(tblDestinations[Type],MATCH(tblMovement[[#This Row],[Destination]],tblDestinations[Destination],0)),"?"))</f>
        <v/>
      </c>
      <c r="M2247" s="64">
        <f>IF(tblMovement[[#This Row],[Material]]="","",IF(LEFT(tblMovement[[#This Row],[Material]],3)="Ore",1,0))</f>
        <v/>
      </c>
      <c r="N2247" s="59">
        <f>IF(OR(tblMovement[[#This Row],[Tonnes_t]]="",tblMovement[[#This Row],[Grade_gpt]]=""),0,tblMovement[[#This Row],[Tonnes_t]]*tblMovement[[#This Row],[Grade_gpt]]/cfg_TroyOz)</f>
        <v/>
      </c>
      <c r="O2247" s="59">
        <f>IF(tblMovement[[#This Row],[Is_Ore]]=1,tblMovement[[#This Row],[Contained_oz]],0)</f>
        <v/>
      </c>
    </row>
    <row r="2248">
      <c r="A2248" s="54" t="n"/>
      <c r="B2248" s="61" t="n"/>
      <c r="C2248" s="61" t="n"/>
      <c r="D2248" s="61" t="n"/>
      <c r="E2248" s="61" t="n"/>
      <c r="F2248" s="55" t="n"/>
      <c r="G2248" s="56" t="n"/>
      <c r="H2248" s="55" t="n"/>
      <c r="I2248" s="62" t="n"/>
      <c r="J2248" s="58" t="n"/>
      <c r="K2248" s="63">
        <f>IF(tblMovement[[#This Row],[Source]]="","",IFERROR(INDEX(tblSources[Type],MATCH(tblMovement[[#This Row],[Source]],tblSources[Source],0)),"?"))</f>
        <v/>
      </c>
      <c r="L2248" s="63">
        <f>IF(tblMovement[[#This Row],[Destination]]="","",IFERROR(INDEX(tblDestinations[Type],MATCH(tblMovement[[#This Row],[Destination]],tblDestinations[Destination],0)),"?"))</f>
        <v/>
      </c>
      <c r="M2248" s="64">
        <f>IF(tblMovement[[#This Row],[Material]]="","",IF(LEFT(tblMovement[[#This Row],[Material]],3)="Ore",1,0))</f>
        <v/>
      </c>
      <c r="N2248" s="59">
        <f>IF(OR(tblMovement[[#This Row],[Tonnes_t]]="",tblMovement[[#This Row],[Grade_gpt]]=""),0,tblMovement[[#This Row],[Tonnes_t]]*tblMovement[[#This Row],[Grade_gpt]]/cfg_TroyOz)</f>
        <v/>
      </c>
      <c r="O2248" s="59">
        <f>IF(tblMovement[[#This Row],[Is_Ore]]=1,tblMovement[[#This Row],[Contained_oz]],0)</f>
        <v/>
      </c>
    </row>
    <row r="2249">
      <c r="A2249" s="54" t="n"/>
      <c r="B2249" s="61" t="n"/>
      <c r="C2249" s="61" t="n"/>
      <c r="D2249" s="61" t="n"/>
      <c r="E2249" s="61" t="n"/>
      <c r="F2249" s="55" t="n"/>
      <c r="G2249" s="56" t="n"/>
      <c r="H2249" s="55" t="n"/>
      <c r="I2249" s="62" t="n"/>
      <c r="J2249" s="58" t="n"/>
      <c r="K2249" s="63">
        <f>IF(tblMovement[[#This Row],[Source]]="","",IFERROR(INDEX(tblSources[Type],MATCH(tblMovement[[#This Row],[Source]],tblSources[Source],0)),"?"))</f>
        <v/>
      </c>
      <c r="L2249" s="63">
        <f>IF(tblMovement[[#This Row],[Destination]]="","",IFERROR(INDEX(tblDestinations[Type],MATCH(tblMovement[[#This Row],[Destination]],tblDestinations[Destination],0)),"?"))</f>
        <v/>
      </c>
      <c r="M2249" s="64">
        <f>IF(tblMovement[[#This Row],[Material]]="","",IF(LEFT(tblMovement[[#This Row],[Material]],3)="Ore",1,0))</f>
        <v/>
      </c>
      <c r="N2249" s="59">
        <f>IF(OR(tblMovement[[#This Row],[Tonnes_t]]="",tblMovement[[#This Row],[Grade_gpt]]=""),0,tblMovement[[#This Row],[Tonnes_t]]*tblMovement[[#This Row],[Grade_gpt]]/cfg_TroyOz)</f>
        <v/>
      </c>
      <c r="O2249" s="59">
        <f>IF(tblMovement[[#This Row],[Is_Ore]]=1,tblMovement[[#This Row],[Contained_oz]],0)</f>
        <v/>
      </c>
    </row>
    <row r="2250">
      <c r="A2250" s="54" t="n"/>
      <c r="B2250" s="61" t="n"/>
      <c r="C2250" s="61" t="n"/>
      <c r="D2250" s="61" t="n"/>
      <c r="E2250" s="61" t="n"/>
      <c r="F2250" s="55" t="n"/>
      <c r="G2250" s="56" t="n"/>
      <c r="H2250" s="55" t="n"/>
      <c r="I2250" s="62" t="n"/>
      <c r="J2250" s="58" t="n"/>
      <c r="K2250" s="63">
        <f>IF(tblMovement[[#This Row],[Source]]="","",IFERROR(INDEX(tblSources[Type],MATCH(tblMovement[[#This Row],[Source]],tblSources[Source],0)),"?"))</f>
        <v/>
      </c>
      <c r="L2250" s="63">
        <f>IF(tblMovement[[#This Row],[Destination]]="","",IFERROR(INDEX(tblDestinations[Type],MATCH(tblMovement[[#This Row],[Destination]],tblDestinations[Destination],0)),"?"))</f>
        <v/>
      </c>
      <c r="M2250" s="64">
        <f>IF(tblMovement[[#This Row],[Material]]="","",IF(LEFT(tblMovement[[#This Row],[Material]],3)="Ore",1,0))</f>
        <v/>
      </c>
      <c r="N2250" s="59">
        <f>IF(OR(tblMovement[[#This Row],[Tonnes_t]]="",tblMovement[[#This Row],[Grade_gpt]]=""),0,tblMovement[[#This Row],[Tonnes_t]]*tblMovement[[#This Row],[Grade_gpt]]/cfg_TroyOz)</f>
        <v/>
      </c>
      <c r="O2250" s="59">
        <f>IF(tblMovement[[#This Row],[Is_Ore]]=1,tblMovement[[#This Row],[Contained_oz]],0)</f>
        <v/>
      </c>
    </row>
    <row r="2251">
      <c r="A2251" s="54" t="n"/>
      <c r="B2251" s="61" t="n"/>
      <c r="C2251" s="61" t="n"/>
      <c r="D2251" s="61" t="n"/>
      <c r="E2251" s="61" t="n"/>
      <c r="F2251" s="55" t="n"/>
      <c r="G2251" s="56" t="n"/>
      <c r="H2251" s="55" t="n"/>
      <c r="I2251" s="62" t="n"/>
      <c r="J2251" s="58" t="n"/>
      <c r="K2251" s="63">
        <f>IF(tblMovement[[#This Row],[Source]]="","",IFERROR(INDEX(tblSources[Type],MATCH(tblMovement[[#This Row],[Source]],tblSources[Source],0)),"?"))</f>
        <v/>
      </c>
      <c r="L2251" s="63">
        <f>IF(tblMovement[[#This Row],[Destination]]="","",IFERROR(INDEX(tblDestinations[Type],MATCH(tblMovement[[#This Row],[Destination]],tblDestinations[Destination],0)),"?"))</f>
        <v/>
      </c>
      <c r="M2251" s="64">
        <f>IF(tblMovement[[#This Row],[Material]]="","",IF(LEFT(tblMovement[[#This Row],[Material]],3)="Ore",1,0))</f>
        <v/>
      </c>
      <c r="N2251" s="59">
        <f>IF(OR(tblMovement[[#This Row],[Tonnes_t]]="",tblMovement[[#This Row],[Grade_gpt]]=""),0,tblMovement[[#This Row],[Tonnes_t]]*tblMovement[[#This Row],[Grade_gpt]]/cfg_TroyOz)</f>
        <v/>
      </c>
      <c r="O2251" s="59">
        <f>IF(tblMovement[[#This Row],[Is_Ore]]=1,tblMovement[[#This Row],[Contained_oz]],0)</f>
        <v/>
      </c>
    </row>
    <row r="2252">
      <c r="A2252" s="54" t="n"/>
      <c r="B2252" s="61" t="n"/>
      <c r="C2252" s="61" t="n"/>
      <c r="D2252" s="61" t="n"/>
      <c r="E2252" s="61" t="n"/>
      <c r="F2252" s="55" t="n"/>
      <c r="G2252" s="56" t="n"/>
      <c r="H2252" s="55" t="n"/>
      <c r="I2252" s="62" t="n"/>
      <c r="J2252" s="58" t="n"/>
      <c r="K2252" s="63">
        <f>IF(tblMovement[[#This Row],[Source]]="","",IFERROR(INDEX(tblSources[Type],MATCH(tblMovement[[#This Row],[Source]],tblSources[Source],0)),"?"))</f>
        <v/>
      </c>
      <c r="L2252" s="63">
        <f>IF(tblMovement[[#This Row],[Destination]]="","",IFERROR(INDEX(tblDestinations[Type],MATCH(tblMovement[[#This Row],[Destination]],tblDestinations[Destination],0)),"?"))</f>
        <v/>
      </c>
      <c r="M2252" s="64">
        <f>IF(tblMovement[[#This Row],[Material]]="","",IF(LEFT(tblMovement[[#This Row],[Material]],3)="Ore",1,0))</f>
        <v/>
      </c>
      <c r="N2252" s="59">
        <f>IF(OR(tblMovement[[#This Row],[Tonnes_t]]="",tblMovement[[#This Row],[Grade_gpt]]=""),0,tblMovement[[#This Row],[Tonnes_t]]*tblMovement[[#This Row],[Grade_gpt]]/cfg_TroyOz)</f>
        <v/>
      </c>
      <c r="O2252" s="59">
        <f>IF(tblMovement[[#This Row],[Is_Ore]]=1,tblMovement[[#This Row],[Contained_oz]],0)</f>
        <v/>
      </c>
    </row>
    <row r="2253">
      <c r="A2253" s="54" t="n"/>
      <c r="B2253" s="61" t="n"/>
      <c r="C2253" s="61" t="n"/>
      <c r="D2253" s="61" t="n"/>
      <c r="E2253" s="61" t="n"/>
      <c r="F2253" s="55" t="n"/>
      <c r="G2253" s="56" t="n"/>
      <c r="H2253" s="55" t="n"/>
      <c r="I2253" s="62" t="n"/>
      <c r="J2253" s="58" t="n"/>
      <c r="K2253" s="63">
        <f>IF(tblMovement[[#This Row],[Source]]="","",IFERROR(INDEX(tblSources[Type],MATCH(tblMovement[[#This Row],[Source]],tblSources[Source],0)),"?"))</f>
        <v/>
      </c>
      <c r="L2253" s="63">
        <f>IF(tblMovement[[#This Row],[Destination]]="","",IFERROR(INDEX(tblDestinations[Type],MATCH(tblMovement[[#This Row],[Destination]],tblDestinations[Destination],0)),"?"))</f>
        <v/>
      </c>
      <c r="M2253" s="64">
        <f>IF(tblMovement[[#This Row],[Material]]="","",IF(LEFT(tblMovement[[#This Row],[Material]],3)="Ore",1,0))</f>
        <v/>
      </c>
      <c r="N2253" s="59">
        <f>IF(OR(tblMovement[[#This Row],[Tonnes_t]]="",tblMovement[[#This Row],[Grade_gpt]]=""),0,tblMovement[[#This Row],[Tonnes_t]]*tblMovement[[#This Row],[Grade_gpt]]/cfg_TroyOz)</f>
        <v/>
      </c>
      <c r="O2253" s="59">
        <f>IF(tblMovement[[#This Row],[Is_Ore]]=1,tblMovement[[#This Row],[Contained_oz]],0)</f>
        <v/>
      </c>
    </row>
    <row r="2254">
      <c r="A2254" s="54" t="n"/>
      <c r="B2254" s="61" t="n"/>
      <c r="C2254" s="61" t="n"/>
      <c r="D2254" s="61" t="n"/>
      <c r="E2254" s="61" t="n"/>
      <c r="F2254" s="55" t="n"/>
      <c r="G2254" s="56" t="n"/>
      <c r="H2254" s="55" t="n"/>
      <c r="I2254" s="62" t="n"/>
      <c r="J2254" s="58" t="n"/>
      <c r="K2254" s="63">
        <f>IF(tblMovement[[#This Row],[Source]]="","",IFERROR(INDEX(tblSources[Type],MATCH(tblMovement[[#This Row],[Source]],tblSources[Source],0)),"?"))</f>
        <v/>
      </c>
      <c r="L2254" s="63">
        <f>IF(tblMovement[[#This Row],[Destination]]="","",IFERROR(INDEX(tblDestinations[Type],MATCH(tblMovement[[#This Row],[Destination]],tblDestinations[Destination],0)),"?"))</f>
        <v/>
      </c>
      <c r="M2254" s="64">
        <f>IF(tblMovement[[#This Row],[Material]]="","",IF(LEFT(tblMovement[[#This Row],[Material]],3)="Ore",1,0))</f>
        <v/>
      </c>
      <c r="N2254" s="59">
        <f>IF(OR(tblMovement[[#This Row],[Tonnes_t]]="",tblMovement[[#This Row],[Grade_gpt]]=""),0,tblMovement[[#This Row],[Tonnes_t]]*tblMovement[[#This Row],[Grade_gpt]]/cfg_TroyOz)</f>
        <v/>
      </c>
      <c r="O2254" s="59">
        <f>IF(tblMovement[[#This Row],[Is_Ore]]=1,tblMovement[[#This Row],[Contained_oz]],0)</f>
        <v/>
      </c>
    </row>
    <row r="2255">
      <c r="A2255" s="54" t="n"/>
      <c r="B2255" s="61" t="n"/>
      <c r="C2255" s="61" t="n"/>
      <c r="D2255" s="61" t="n"/>
      <c r="E2255" s="61" t="n"/>
      <c r="F2255" s="55" t="n"/>
      <c r="G2255" s="56" t="n"/>
      <c r="H2255" s="55" t="n"/>
      <c r="I2255" s="62" t="n"/>
      <c r="J2255" s="58" t="n"/>
      <c r="K2255" s="63">
        <f>IF(tblMovement[[#This Row],[Source]]="","",IFERROR(INDEX(tblSources[Type],MATCH(tblMovement[[#This Row],[Source]],tblSources[Source],0)),"?"))</f>
        <v/>
      </c>
      <c r="L2255" s="63">
        <f>IF(tblMovement[[#This Row],[Destination]]="","",IFERROR(INDEX(tblDestinations[Type],MATCH(tblMovement[[#This Row],[Destination]],tblDestinations[Destination],0)),"?"))</f>
        <v/>
      </c>
      <c r="M2255" s="64">
        <f>IF(tblMovement[[#This Row],[Material]]="","",IF(LEFT(tblMovement[[#This Row],[Material]],3)="Ore",1,0))</f>
        <v/>
      </c>
      <c r="N2255" s="59">
        <f>IF(OR(tblMovement[[#This Row],[Tonnes_t]]="",tblMovement[[#This Row],[Grade_gpt]]=""),0,tblMovement[[#This Row],[Tonnes_t]]*tblMovement[[#This Row],[Grade_gpt]]/cfg_TroyOz)</f>
        <v/>
      </c>
      <c r="O2255" s="59">
        <f>IF(tblMovement[[#This Row],[Is_Ore]]=1,tblMovement[[#This Row],[Contained_oz]],0)</f>
        <v/>
      </c>
    </row>
    <row r="2256">
      <c r="A2256" s="54" t="n"/>
      <c r="B2256" s="61" t="n"/>
      <c r="C2256" s="61" t="n"/>
      <c r="D2256" s="61" t="n"/>
      <c r="E2256" s="61" t="n"/>
      <c r="F2256" s="55" t="n"/>
      <c r="G2256" s="56" t="n"/>
      <c r="H2256" s="55" t="n"/>
      <c r="I2256" s="62" t="n"/>
      <c r="J2256" s="58" t="n"/>
      <c r="K2256" s="63">
        <f>IF(tblMovement[[#This Row],[Source]]="","",IFERROR(INDEX(tblSources[Type],MATCH(tblMovement[[#This Row],[Source]],tblSources[Source],0)),"?"))</f>
        <v/>
      </c>
      <c r="L2256" s="63">
        <f>IF(tblMovement[[#This Row],[Destination]]="","",IFERROR(INDEX(tblDestinations[Type],MATCH(tblMovement[[#This Row],[Destination]],tblDestinations[Destination],0)),"?"))</f>
        <v/>
      </c>
      <c r="M2256" s="64">
        <f>IF(tblMovement[[#This Row],[Material]]="","",IF(LEFT(tblMovement[[#This Row],[Material]],3)="Ore",1,0))</f>
        <v/>
      </c>
      <c r="N2256" s="59">
        <f>IF(OR(tblMovement[[#This Row],[Tonnes_t]]="",tblMovement[[#This Row],[Grade_gpt]]=""),0,tblMovement[[#This Row],[Tonnes_t]]*tblMovement[[#This Row],[Grade_gpt]]/cfg_TroyOz)</f>
        <v/>
      </c>
      <c r="O2256" s="59">
        <f>IF(tblMovement[[#This Row],[Is_Ore]]=1,tblMovement[[#This Row],[Contained_oz]],0)</f>
        <v/>
      </c>
    </row>
    <row r="2257">
      <c r="A2257" s="54" t="n"/>
      <c r="B2257" s="61" t="n"/>
      <c r="C2257" s="61" t="n"/>
      <c r="D2257" s="61" t="n"/>
      <c r="E2257" s="61" t="n"/>
      <c r="F2257" s="55" t="n"/>
      <c r="G2257" s="56" t="n"/>
      <c r="H2257" s="55" t="n"/>
      <c r="I2257" s="62" t="n"/>
      <c r="J2257" s="58" t="n"/>
      <c r="K2257" s="63">
        <f>IF(tblMovement[[#This Row],[Source]]="","",IFERROR(INDEX(tblSources[Type],MATCH(tblMovement[[#This Row],[Source]],tblSources[Source],0)),"?"))</f>
        <v/>
      </c>
      <c r="L2257" s="63">
        <f>IF(tblMovement[[#This Row],[Destination]]="","",IFERROR(INDEX(tblDestinations[Type],MATCH(tblMovement[[#This Row],[Destination]],tblDestinations[Destination],0)),"?"))</f>
        <v/>
      </c>
      <c r="M2257" s="64">
        <f>IF(tblMovement[[#This Row],[Material]]="","",IF(LEFT(tblMovement[[#This Row],[Material]],3)="Ore",1,0))</f>
        <v/>
      </c>
      <c r="N2257" s="59">
        <f>IF(OR(tblMovement[[#This Row],[Tonnes_t]]="",tblMovement[[#This Row],[Grade_gpt]]=""),0,tblMovement[[#This Row],[Tonnes_t]]*tblMovement[[#This Row],[Grade_gpt]]/cfg_TroyOz)</f>
        <v/>
      </c>
      <c r="O2257" s="59">
        <f>IF(tblMovement[[#This Row],[Is_Ore]]=1,tblMovement[[#This Row],[Contained_oz]],0)</f>
        <v/>
      </c>
    </row>
    <row r="2258">
      <c r="A2258" s="54" t="n"/>
      <c r="B2258" s="61" t="n"/>
      <c r="C2258" s="61" t="n"/>
      <c r="D2258" s="61" t="n"/>
      <c r="E2258" s="61" t="n"/>
      <c r="F2258" s="55" t="n"/>
      <c r="G2258" s="56" t="n"/>
      <c r="H2258" s="55" t="n"/>
      <c r="I2258" s="62" t="n"/>
      <c r="J2258" s="58" t="n"/>
      <c r="K2258" s="63">
        <f>IF(tblMovement[[#This Row],[Source]]="","",IFERROR(INDEX(tblSources[Type],MATCH(tblMovement[[#This Row],[Source]],tblSources[Source],0)),"?"))</f>
        <v/>
      </c>
      <c r="L2258" s="63">
        <f>IF(tblMovement[[#This Row],[Destination]]="","",IFERROR(INDEX(tblDestinations[Type],MATCH(tblMovement[[#This Row],[Destination]],tblDestinations[Destination],0)),"?"))</f>
        <v/>
      </c>
      <c r="M2258" s="64">
        <f>IF(tblMovement[[#This Row],[Material]]="","",IF(LEFT(tblMovement[[#This Row],[Material]],3)="Ore",1,0))</f>
        <v/>
      </c>
      <c r="N2258" s="59">
        <f>IF(OR(tblMovement[[#This Row],[Tonnes_t]]="",tblMovement[[#This Row],[Grade_gpt]]=""),0,tblMovement[[#This Row],[Tonnes_t]]*tblMovement[[#This Row],[Grade_gpt]]/cfg_TroyOz)</f>
        <v/>
      </c>
      <c r="O2258" s="59">
        <f>IF(tblMovement[[#This Row],[Is_Ore]]=1,tblMovement[[#This Row],[Contained_oz]],0)</f>
        <v/>
      </c>
    </row>
    <row r="2259">
      <c r="A2259" s="54" t="n"/>
      <c r="B2259" s="61" t="n"/>
      <c r="C2259" s="61" t="n"/>
      <c r="D2259" s="61" t="n"/>
      <c r="E2259" s="61" t="n"/>
      <c r="F2259" s="55" t="n"/>
      <c r="G2259" s="56" t="n"/>
      <c r="H2259" s="55" t="n"/>
      <c r="I2259" s="62" t="n"/>
      <c r="J2259" s="58" t="n"/>
      <c r="K2259" s="63">
        <f>IF(tblMovement[[#This Row],[Source]]="","",IFERROR(INDEX(tblSources[Type],MATCH(tblMovement[[#This Row],[Source]],tblSources[Source],0)),"?"))</f>
        <v/>
      </c>
      <c r="L2259" s="63">
        <f>IF(tblMovement[[#This Row],[Destination]]="","",IFERROR(INDEX(tblDestinations[Type],MATCH(tblMovement[[#This Row],[Destination]],tblDestinations[Destination],0)),"?"))</f>
        <v/>
      </c>
      <c r="M2259" s="64">
        <f>IF(tblMovement[[#This Row],[Material]]="","",IF(LEFT(tblMovement[[#This Row],[Material]],3)="Ore",1,0))</f>
        <v/>
      </c>
      <c r="N2259" s="59">
        <f>IF(OR(tblMovement[[#This Row],[Tonnes_t]]="",tblMovement[[#This Row],[Grade_gpt]]=""),0,tblMovement[[#This Row],[Tonnes_t]]*tblMovement[[#This Row],[Grade_gpt]]/cfg_TroyOz)</f>
        <v/>
      </c>
      <c r="O2259" s="59">
        <f>IF(tblMovement[[#This Row],[Is_Ore]]=1,tblMovement[[#This Row],[Contained_oz]],0)</f>
        <v/>
      </c>
    </row>
    <row r="2260">
      <c r="A2260" s="54" t="n"/>
      <c r="B2260" s="61" t="n"/>
      <c r="C2260" s="61" t="n"/>
      <c r="D2260" s="61" t="n"/>
      <c r="E2260" s="61" t="n"/>
      <c r="F2260" s="55" t="n"/>
      <c r="G2260" s="56" t="n"/>
      <c r="H2260" s="55" t="n"/>
      <c r="I2260" s="62" t="n"/>
      <c r="J2260" s="58" t="n"/>
      <c r="K2260" s="63">
        <f>IF(tblMovement[[#This Row],[Source]]="","",IFERROR(INDEX(tblSources[Type],MATCH(tblMovement[[#This Row],[Source]],tblSources[Source],0)),"?"))</f>
        <v/>
      </c>
      <c r="L2260" s="63">
        <f>IF(tblMovement[[#This Row],[Destination]]="","",IFERROR(INDEX(tblDestinations[Type],MATCH(tblMovement[[#This Row],[Destination]],tblDestinations[Destination],0)),"?"))</f>
        <v/>
      </c>
      <c r="M2260" s="64">
        <f>IF(tblMovement[[#This Row],[Material]]="","",IF(LEFT(tblMovement[[#This Row],[Material]],3)="Ore",1,0))</f>
        <v/>
      </c>
      <c r="N2260" s="59">
        <f>IF(OR(tblMovement[[#This Row],[Tonnes_t]]="",tblMovement[[#This Row],[Grade_gpt]]=""),0,tblMovement[[#This Row],[Tonnes_t]]*tblMovement[[#This Row],[Grade_gpt]]/cfg_TroyOz)</f>
        <v/>
      </c>
      <c r="O2260" s="59">
        <f>IF(tblMovement[[#This Row],[Is_Ore]]=1,tblMovement[[#This Row],[Contained_oz]],0)</f>
        <v/>
      </c>
    </row>
    <row r="2261">
      <c r="A2261" s="54" t="n"/>
      <c r="B2261" s="61" t="n"/>
      <c r="C2261" s="61" t="n"/>
      <c r="D2261" s="61" t="n"/>
      <c r="E2261" s="61" t="n"/>
      <c r="F2261" s="55" t="n"/>
      <c r="G2261" s="56" t="n"/>
      <c r="H2261" s="55" t="n"/>
      <c r="I2261" s="62" t="n"/>
      <c r="J2261" s="58" t="n"/>
      <c r="K2261" s="63">
        <f>IF(tblMovement[[#This Row],[Source]]="","",IFERROR(INDEX(tblSources[Type],MATCH(tblMovement[[#This Row],[Source]],tblSources[Source],0)),"?"))</f>
        <v/>
      </c>
      <c r="L2261" s="63">
        <f>IF(tblMovement[[#This Row],[Destination]]="","",IFERROR(INDEX(tblDestinations[Type],MATCH(tblMovement[[#This Row],[Destination]],tblDestinations[Destination],0)),"?"))</f>
        <v/>
      </c>
      <c r="M2261" s="64">
        <f>IF(tblMovement[[#This Row],[Material]]="","",IF(LEFT(tblMovement[[#This Row],[Material]],3)="Ore",1,0))</f>
        <v/>
      </c>
      <c r="N2261" s="59">
        <f>IF(OR(tblMovement[[#This Row],[Tonnes_t]]="",tblMovement[[#This Row],[Grade_gpt]]=""),0,tblMovement[[#This Row],[Tonnes_t]]*tblMovement[[#This Row],[Grade_gpt]]/cfg_TroyOz)</f>
        <v/>
      </c>
      <c r="O2261" s="59">
        <f>IF(tblMovement[[#This Row],[Is_Ore]]=1,tblMovement[[#This Row],[Contained_oz]],0)</f>
        <v/>
      </c>
    </row>
    <row r="2262">
      <c r="A2262" s="54" t="n"/>
      <c r="B2262" s="61" t="n"/>
      <c r="C2262" s="61" t="n"/>
      <c r="D2262" s="61" t="n"/>
      <c r="E2262" s="61" t="n"/>
      <c r="F2262" s="55" t="n"/>
      <c r="G2262" s="56" t="n"/>
      <c r="H2262" s="55" t="n"/>
      <c r="I2262" s="62" t="n"/>
      <c r="J2262" s="58" t="n"/>
      <c r="K2262" s="63">
        <f>IF(tblMovement[[#This Row],[Source]]="","",IFERROR(INDEX(tblSources[Type],MATCH(tblMovement[[#This Row],[Source]],tblSources[Source],0)),"?"))</f>
        <v/>
      </c>
      <c r="L2262" s="63">
        <f>IF(tblMovement[[#This Row],[Destination]]="","",IFERROR(INDEX(tblDestinations[Type],MATCH(tblMovement[[#This Row],[Destination]],tblDestinations[Destination],0)),"?"))</f>
        <v/>
      </c>
      <c r="M2262" s="64">
        <f>IF(tblMovement[[#This Row],[Material]]="","",IF(LEFT(tblMovement[[#This Row],[Material]],3)="Ore",1,0))</f>
        <v/>
      </c>
      <c r="N2262" s="59">
        <f>IF(OR(tblMovement[[#This Row],[Tonnes_t]]="",tblMovement[[#This Row],[Grade_gpt]]=""),0,tblMovement[[#This Row],[Tonnes_t]]*tblMovement[[#This Row],[Grade_gpt]]/cfg_TroyOz)</f>
        <v/>
      </c>
      <c r="O2262" s="59">
        <f>IF(tblMovement[[#This Row],[Is_Ore]]=1,tblMovement[[#This Row],[Contained_oz]],0)</f>
        <v/>
      </c>
    </row>
    <row r="2263">
      <c r="A2263" s="54" t="n"/>
      <c r="B2263" s="61" t="n"/>
      <c r="C2263" s="61" t="n"/>
      <c r="D2263" s="61" t="n"/>
      <c r="E2263" s="61" t="n"/>
      <c r="F2263" s="55" t="n"/>
      <c r="G2263" s="56" t="n"/>
      <c r="H2263" s="55" t="n"/>
      <c r="I2263" s="62" t="n"/>
      <c r="J2263" s="58" t="n"/>
      <c r="K2263" s="63">
        <f>IF(tblMovement[[#This Row],[Source]]="","",IFERROR(INDEX(tblSources[Type],MATCH(tblMovement[[#This Row],[Source]],tblSources[Source],0)),"?"))</f>
        <v/>
      </c>
      <c r="L2263" s="63">
        <f>IF(tblMovement[[#This Row],[Destination]]="","",IFERROR(INDEX(tblDestinations[Type],MATCH(tblMovement[[#This Row],[Destination]],tblDestinations[Destination],0)),"?"))</f>
        <v/>
      </c>
      <c r="M2263" s="64">
        <f>IF(tblMovement[[#This Row],[Material]]="","",IF(LEFT(tblMovement[[#This Row],[Material]],3)="Ore",1,0))</f>
        <v/>
      </c>
      <c r="N2263" s="59">
        <f>IF(OR(tblMovement[[#This Row],[Tonnes_t]]="",tblMovement[[#This Row],[Grade_gpt]]=""),0,tblMovement[[#This Row],[Tonnes_t]]*tblMovement[[#This Row],[Grade_gpt]]/cfg_TroyOz)</f>
        <v/>
      </c>
      <c r="O2263" s="59">
        <f>IF(tblMovement[[#This Row],[Is_Ore]]=1,tblMovement[[#This Row],[Contained_oz]],0)</f>
        <v/>
      </c>
    </row>
    <row r="2264">
      <c r="A2264" s="54" t="n"/>
      <c r="B2264" s="61" t="n"/>
      <c r="C2264" s="61" t="n"/>
      <c r="D2264" s="61" t="n"/>
      <c r="E2264" s="61" t="n"/>
      <c r="F2264" s="55" t="n"/>
      <c r="G2264" s="56" t="n"/>
      <c r="H2264" s="55" t="n"/>
      <c r="I2264" s="62" t="n"/>
      <c r="J2264" s="58" t="n"/>
      <c r="K2264" s="63">
        <f>IF(tblMovement[[#This Row],[Source]]="","",IFERROR(INDEX(tblSources[Type],MATCH(tblMovement[[#This Row],[Source]],tblSources[Source],0)),"?"))</f>
        <v/>
      </c>
      <c r="L2264" s="63">
        <f>IF(tblMovement[[#This Row],[Destination]]="","",IFERROR(INDEX(tblDestinations[Type],MATCH(tblMovement[[#This Row],[Destination]],tblDestinations[Destination],0)),"?"))</f>
        <v/>
      </c>
      <c r="M2264" s="64">
        <f>IF(tblMovement[[#This Row],[Material]]="","",IF(LEFT(tblMovement[[#This Row],[Material]],3)="Ore",1,0))</f>
        <v/>
      </c>
      <c r="N2264" s="59">
        <f>IF(OR(tblMovement[[#This Row],[Tonnes_t]]="",tblMovement[[#This Row],[Grade_gpt]]=""),0,tblMovement[[#This Row],[Tonnes_t]]*tblMovement[[#This Row],[Grade_gpt]]/cfg_TroyOz)</f>
        <v/>
      </c>
      <c r="O2264" s="59">
        <f>IF(tblMovement[[#This Row],[Is_Ore]]=1,tblMovement[[#This Row],[Contained_oz]],0)</f>
        <v/>
      </c>
    </row>
    <row r="2265">
      <c r="A2265" s="54" t="n"/>
      <c r="B2265" s="61" t="n"/>
      <c r="C2265" s="61" t="n"/>
      <c r="D2265" s="61" t="n"/>
      <c r="E2265" s="61" t="n"/>
      <c r="F2265" s="55" t="n"/>
      <c r="G2265" s="56" t="n"/>
      <c r="H2265" s="55" t="n"/>
      <c r="I2265" s="62" t="n"/>
      <c r="J2265" s="58" t="n"/>
      <c r="K2265" s="63">
        <f>IF(tblMovement[[#This Row],[Source]]="","",IFERROR(INDEX(tblSources[Type],MATCH(tblMovement[[#This Row],[Source]],tblSources[Source],0)),"?"))</f>
        <v/>
      </c>
      <c r="L2265" s="63">
        <f>IF(tblMovement[[#This Row],[Destination]]="","",IFERROR(INDEX(tblDestinations[Type],MATCH(tblMovement[[#This Row],[Destination]],tblDestinations[Destination],0)),"?"))</f>
        <v/>
      </c>
      <c r="M2265" s="64">
        <f>IF(tblMovement[[#This Row],[Material]]="","",IF(LEFT(tblMovement[[#This Row],[Material]],3)="Ore",1,0))</f>
        <v/>
      </c>
      <c r="N2265" s="59">
        <f>IF(OR(tblMovement[[#This Row],[Tonnes_t]]="",tblMovement[[#This Row],[Grade_gpt]]=""),0,tblMovement[[#This Row],[Tonnes_t]]*tblMovement[[#This Row],[Grade_gpt]]/cfg_TroyOz)</f>
        <v/>
      </c>
      <c r="O2265" s="59">
        <f>IF(tblMovement[[#This Row],[Is_Ore]]=1,tblMovement[[#This Row],[Contained_oz]],0)</f>
        <v/>
      </c>
    </row>
    <row r="2266">
      <c r="A2266" s="54" t="n"/>
      <c r="B2266" s="61" t="n"/>
      <c r="C2266" s="61" t="n"/>
      <c r="D2266" s="61" t="n"/>
      <c r="E2266" s="61" t="n"/>
      <c r="F2266" s="55" t="n"/>
      <c r="G2266" s="56" t="n"/>
      <c r="H2266" s="55" t="n"/>
      <c r="I2266" s="62" t="n"/>
      <c r="J2266" s="58" t="n"/>
      <c r="K2266" s="63">
        <f>IF(tblMovement[[#This Row],[Source]]="","",IFERROR(INDEX(tblSources[Type],MATCH(tblMovement[[#This Row],[Source]],tblSources[Source],0)),"?"))</f>
        <v/>
      </c>
      <c r="L2266" s="63">
        <f>IF(tblMovement[[#This Row],[Destination]]="","",IFERROR(INDEX(tblDestinations[Type],MATCH(tblMovement[[#This Row],[Destination]],tblDestinations[Destination],0)),"?"))</f>
        <v/>
      </c>
      <c r="M2266" s="64">
        <f>IF(tblMovement[[#This Row],[Material]]="","",IF(LEFT(tblMovement[[#This Row],[Material]],3)="Ore",1,0))</f>
        <v/>
      </c>
      <c r="N2266" s="59">
        <f>IF(OR(tblMovement[[#This Row],[Tonnes_t]]="",tblMovement[[#This Row],[Grade_gpt]]=""),0,tblMovement[[#This Row],[Tonnes_t]]*tblMovement[[#This Row],[Grade_gpt]]/cfg_TroyOz)</f>
        <v/>
      </c>
      <c r="O2266" s="59">
        <f>IF(tblMovement[[#This Row],[Is_Ore]]=1,tblMovement[[#This Row],[Contained_oz]],0)</f>
        <v/>
      </c>
    </row>
    <row r="2267">
      <c r="A2267" s="54" t="n"/>
      <c r="B2267" s="61" t="n"/>
      <c r="C2267" s="61" t="n"/>
      <c r="D2267" s="61" t="n"/>
      <c r="E2267" s="61" t="n"/>
      <c r="F2267" s="55" t="n"/>
      <c r="G2267" s="56" t="n"/>
      <c r="H2267" s="55" t="n"/>
      <c r="I2267" s="62" t="n"/>
      <c r="J2267" s="58" t="n"/>
      <c r="K2267" s="63">
        <f>IF(tblMovement[[#This Row],[Source]]="","",IFERROR(INDEX(tblSources[Type],MATCH(tblMovement[[#This Row],[Source]],tblSources[Source],0)),"?"))</f>
        <v/>
      </c>
      <c r="L2267" s="63">
        <f>IF(tblMovement[[#This Row],[Destination]]="","",IFERROR(INDEX(tblDestinations[Type],MATCH(tblMovement[[#This Row],[Destination]],tblDestinations[Destination],0)),"?"))</f>
        <v/>
      </c>
      <c r="M2267" s="64">
        <f>IF(tblMovement[[#This Row],[Material]]="","",IF(LEFT(tblMovement[[#This Row],[Material]],3)="Ore",1,0))</f>
        <v/>
      </c>
      <c r="N2267" s="59">
        <f>IF(OR(tblMovement[[#This Row],[Tonnes_t]]="",tblMovement[[#This Row],[Grade_gpt]]=""),0,tblMovement[[#This Row],[Tonnes_t]]*tblMovement[[#This Row],[Grade_gpt]]/cfg_TroyOz)</f>
        <v/>
      </c>
      <c r="O2267" s="59">
        <f>IF(tblMovement[[#This Row],[Is_Ore]]=1,tblMovement[[#This Row],[Contained_oz]],0)</f>
        <v/>
      </c>
    </row>
    <row r="2268">
      <c r="A2268" s="54" t="n"/>
      <c r="B2268" s="61" t="n"/>
      <c r="C2268" s="61" t="n"/>
      <c r="D2268" s="61" t="n"/>
      <c r="E2268" s="61" t="n"/>
      <c r="F2268" s="55" t="n"/>
      <c r="G2268" s="56" t="n"/>
      <c r="H2268" s="55" t="n"/>
      <c r="I2268" s="62" t="n"/>
      <c r="J2268" s="58" t="n"/>
      <c r="K2268" s="63">
        <f>IF(tblMovement[[#This Row],[Source]]="","",IFERROR(INDEX(tblSources[Type],MATCH(tblMovement[[#This Row],[Source]],tblSources[Source],0)),"?"))</f>
        <v/>
      </c>
      <c r="L2268" s="63">
        <f>IF(tblMovement[[#This Row],[Destination]]="","",IFERROR(INDEX(tblDestinations[Type],MATCH(tblMovement[[#This Row],[Destination]],tblDestinations[Destination],0)),"?"))</f>
        <v/>
      </c>
      <c r="M2268" s="64">
        <f>IF(tblMovement[[#This Row],[Material]]="","",IF(LEFT(tblMovement[[#This Row],[Material]],3)="Ore",1,0))</f>
        <v/>
      </c>
      <c r="N2268" s="59">
        <f>IF(OR(tblMovement[[#This Row],[Tonnes_t]]="",tblMovement[[#This Row],[Grade_gpt]]=""),0,tblMovement[[#This Row],[Tonnes_t]]*tblMovement[[#This Row],[Grade_gpt]]/cfg_TroyOz)</f>
        <v/>
      </c>
      <c r="O2268" s="59">
        <f>IF(tblMovement[[#This Row],[Is_Ore]]=1,tblMovement[[#This Row],[Contained_oz]],0)</f>
        <v/>
      </c>
    </row>
    <row r="2269">
      <c r="A2269" s="54" t="n"/>
      <c r="B2269" s="61" t="n"/>
      <c r="C2269" s="61" t="n"/>
      <c r="D2269" s="61" t="n"/>
      <c r="E2269" s="61" t="n"/>
      <c r="F2269" s="55" t="n"/>
      <c r="G2269" s="56" t="n"/>
      <c r="H2269" s="55" t="n"/>
      <c r="I2269" s="62" t="n"/>
      <c r="J2269" s="58" t="n"/>
      <c r="K2269" s="63">
        <f>IF(tblMovement[[#This Row],[Source]]="","",IFERROR(INDEX(tblSources[Type],MATCH(tblMovement[[#This Row],[Source]],tblSources[Source],0)),"?"))</f>
        <v/>
      </c>
      <c r="L2269" s="63">
        <f>IF(tblMovement[[#This Row],[Destination]]="","",IFERROR(INDEX(tblDestinations[Type],MATCH(tblMovement[[#This Row],[Destination]],tblDestinations[Destination],0)),"?"))</f>
        <v/>
      </c>
      <c r="M2269" s="64">
        <f>IF(tblMovement[[#This Row],[Material]]="","",IF(LEFT(tblMovement[[#This Row],[Material]],3)="Ore",1,0))</f>
        <v/>
      </c>
      <c r="N2269" s="59">
        <f>IF(OR(tblMovement[[#This Row],[Tonnes_t]]="",tblMovement[[#This Row],[Grade_gpt]]=""),0,tblMovement[[#This Row],[Tonnes_t]]*tblMovement[[#This Row],[Grade_gpt]]/cfg_TroyOz)</f>
        <v/>
      </c>
      <c r="O2269" s="59">
        <f>IF(tblMovement[[#This Row],[Is_Ore]]=1,tblMovement[[#This Row],[Contained_oz]],0)</f>
        <v/>
      </c>
    </row>
    <row r="2270">
      <c r="A2270" s="54" t="n"/>
      <c r="B2270" s="61" t="n"/>
      <c r="C2270" s="61" t="n"/>
      <c r="D2270" s="61" t="n"/>
      <c r="E2270" s="61" t="n"/>
      <c r="F2270" s="55" t="n"/>
      <c r="G2270" s="56" t="n"/>
      <c r="H2270" s="55" t="n"/>
      <c r="I2270" s="62" t="n"/>
      <c r="J2270" s="58" t="n"/>
      <c r="K2270" s="63">
        <f>IF(tblMovement[[#This Row],[Source]]="","",IFERROR(INDEX(tblSources[Type],MATCH(tblMovement[[#This Row],[Source]],tblSources[Source],0)),"?"))</f>
        <v/>
      </c>
      <c r="L2270" s="63">
        <f>IF(tblMovement[[#This Row],[Destination]]="","",IFERROR(INDEX(tblDestinations[Type],MATCH(tblMovement[[#This Row],[Destination]],tblDestinations[Destination],0)),"?"))</f>
        <v/>
      </c>
      <c r="M2270" s="64">
        <f>IF(tblMovement[[#This Row],[Material]]="","",IF(LEFT(tblMovement[[#This Row],[Material]],3)="Ore",1,0))</f>
        <v/>
      </c>
      <c r="N2270" s="59">
        <f>IF(OR(tblMovement[[#This Row],[Tonnes_t]]="",tblMovement[[#This Row],[Grade_gpt]]=""),0,tblMovement[[#This Row],[Tonnes_t]]*tblMovement[[#This Row],[Grade_gpt]]/cfg_TroyOz)</f>
        <v/>
      </c>
      <c r="O2270" s="59">
        <f>IF(tblMovement[[#This Row],[Is_Ore]]=1,tblMovement[[#This Row],[Contained_oz]],0)</f>
        <v/>
      </c>
    </row>
    <row r="2271">
      <c r="A2271" s="54" t="n"/>
      <c r="B2271" s="61" t="n"/>
      <c r="C2271" s="61" t="n"/>
      <c r="D2271" s="61" t="n"/>
      <c r="E2271" s="61" t="n"/>
      <c r="F2271" s="55" t="n"/>
      <c r="G2271" s="56" t="n"/>
      <c r="H2271" s="55" t="n"/>
      <c r="I2271" s="62" t="n"/>
      <c r="J2271" s="58" t="n"/>
      <c r="K2271" s="63">
        <f>IF(tblMovement[[#This Row],[Source]]="","",IFERROR(INDEX(tblSources[Type],MATCH(tblMovement[[#This Row],[Source]],tblSources[Source],0)),"?"))</f>
        <v/>
      </c>
      <c r="L2271" s="63">
        <f>IF(tblMovement[[#This Row],[Destination]]="","",IFERROR(INDEX(tblDestinations[Type],MATCH(tblMovement[[#This Row],[Destination]],tblDestinations[Destination],0)),"?"))</f>
        <v/>
      </c>
      <c r="M2271" s="64">
        <f>IF(tblMovement[[#This Row],[Material]]="","",IF(LEFT(tblMovement[[#This Row],[Material]],3)="Ore",1,0))</f>
        <v/>
      </c>
      <c r="N2271" s="59">
        <f>IF(OR(tblMovement[[#This Row],[Tonnes_t]]="",tblMovement[[#This Row],[Grade_gpt]]=""),0,tblMovement[[#This Row],[Tonnes_t]]*tblMovement[[#This Row],[Grade_gpt]]/cfg_TroyOz)</f>
        <v/>
      </c>
      <c r="O2271" s="59">
        <f>IF(tblMovement[[#This Row],[Is_Ore]]=1,tblMovement[[#This Row],[Contained_oz]],0)</f>
        <v/>
      </c>
    </row>
    <row r="2272">
      <c r="A2272" s="54" t="n"/>
      <c r="B2272" s="61" t="n"/>
      <c r="C2272" s="61" t="n"/>
      <c r="D2272" s="61" t="n"/>
      <c r="E2272" s="61" t="n"/>
      <c r="F2272" s="55" t="n"/>
      <c r="G2272" s="56" t="n"/>
      <c r="H2272" s="55" t="n"/>
      <c r="I2272" s="62" t="n"/>
      <c r="J2272" s="58" t="n"/>
      <c r="K2272" s="63">
        <f>IF(tblMovement[[#This Row],[Source]]="","",IFERROR(INDEX(tblSources[Type],MATCH(tblMovement[[#This Row],[Source]],tblSources[Source],0)),"?"))</f>
        <v/>
      </c>
      <c r="L2272" s="63">
        <f>IF(tblMovement[[#This Row],[Destination]]="","",IFERROR(INDEX(tblDestinations[Type],MATCH(tblMovement[[#This Row],[Destination]],tblDestinations[Destination],0)),"?"))</f>
        <v/>
      </c>
      <c r="M2272" s="64">
        <f>IF(tblMovement[[#This Row],[Material]]="","",IF(LEFT(tblMovement[[#This Row],[Material]],3)="Ore",1,0))</f>
        <v/>
      </c>
      <c r="N2272" s="59">
        <f>IF(OR(tblMovement[[#This Row],[Tonnes_t]]="",tblMovement[[#This Row],[Grade_gpt]]=""),0,tblMovement[[#This Row],[Tonnes_t]]*tblMovement[[#This Row],[Grade_gpt]]/cfg_TroyOz)</f>
        <v/>
      </c>
      <c r="O2272" s="59">
        <f>IF(tblMovement[[#This Row],[Is_Ore]]=1,tblMovement[[#This Row],[Contained_oz]],0)</f>
        <v/>
      </c>
    </row>
    <row r="2273">
      <c r="A2273" s="54" t="n"/>
      <c r="B2273" s="61" t="n"/>
      <c r="C2273" s="61" t="n"/>
      <c r="D2273" s="61" t="n"/>
      <c r="E2273" s="61" t="n"/>
      <c r="F2273" s="55" t="n"/>
      <c r="G2273" s="56" t="n"/>
      <c r="H2273" s="55" t="n"/>
      <c r="I2273" s="62" t="n"/>
      <c r="J2273" s="58" t="n"/>
      <c r="K2273" s="63">
        <f>IF(tblMovement[[#This Row],[Source]]="","",IFERROR(INDEX(tblSources[Type],MATCH(tblMovement[[#This Row],[Source]],tblSources[Source],0)),"?"))</f>
        <v/>
      </c>
      <c r="L2273" s="63">
        <f>IF(tblMovement[[#This Row],[Destination]]="","",IFERROR(INDEX(tblDestinations[Type],MATCH(tblMovement[[#This Row],[Destination]],tblDestinations[Destination],0)),"?"))</f>
        <v/>
      </c>
      <c r="M2273" s="64">
        <f>IF(tblMovement[[#This Row],[Material]]="","",IF(LEFT(tblMovement[[#This Row],[Material]],3)="Ore",1,0))</f>
        <v/>
      </c>
      <c r="N2273" s="59">
        <f>IF(OR(tblMovement[[#This Row],[Tonnes_t]]="",tblMovement[[#This Row],[Grade_gpt]]=""),0,tblMovement[[#This Row],[Tonnes_t]]*tblMovement[[#This Row],[Grade_gpt]]/cfg_TroyOz)</f>
        <v/>
      </c>
      <c r="O2273" s="59">
        <f>IF(tblMovement[[#This Row],[Is_Ore]]=1,tblMovement[[#This Row],[Contained_oz]],0)</f>
        <v/>
      </c>
    </row>
    <row r="2274">
      <c r="A2274" s="54" t="n"/>
      <c r="B2274" s="61" t="n"/>
      <c r="C2274" s="61" t="n"/>
      <c r="D2274" s="61" t="n"/>
      <c r="E2274" s="61" t="n"/>
      <c r="F2274" s="55" t="n"/>
      <c r="G2274" s="56" t="n"/>
      <c r="H2274" s="55" t="n"/>
      <c r="I2274" s="62" t="n"/>
      <c r="J2274" s="58" t="n"/>
      <c r="K2274" s="63">
        <f>IF(tblMovement[[#This Row],[Source]]="","",IFERROR(INDEX(tblSources[Type],MATCH(tblMovement[[#This Row],[Source]],tblSources[Source],0)),"?"))</f>
        <v/>
      </c>
      <c r="L2274" s="63">
        <f>IF(tblMovement[[#This Row],[Destination]]="","",IFERROR(INDEX(tblDestinations[Type],MATCH(tblMovement[[#This Row],[Destination]],tblDestinations[Destination],0)),"?"))</f>
        <v/>
      </c>
      <c r="M2274" s="64">
        <f>IF(tblMovement[[#This Row],[Material]]="","",IF(LEFT(tblMovement[[#This Row],[Material]],3)="Ore",1,0))</f>
        <v/>
      </c>
      <c r="N2274" s="59">
        <f>IF(OR(tblMovement[[#This Row],[Tonnes_t]]="",tblMovement[[#This Row],[Grade_gpt]]=""),0,tblMovement[[#This Row],[Tonnes_t]]*tblMovement[[#This Row],[Grade_gpt]]/cfg_TroyOz)</f>
        <v/>
      </c>
      <c r="O2274" s="59">
        <f>IF(tblMovement[[#This Row],[Is_Ore]]=1,tblMovement[[#This Row],[Contained_oz]],0)</f>
        <v/>
      </c>
    </row>
    <row r="2275">
      <c r="A2275" s="54" t="n"/>
      <c r="B2275" s="61" t="n"/>
      <c r="C2275" s="61" t="n"/>
      <c r="D2275" s="61" t="n"/>
      <c r="E2275" s="61" t="n"/>
      <c r="F2275" s="55" t="n"/>
      <c r="G2275" s="56" t="n"/>
      <c r="H2275" s="55" t="n"/>
      <c r="I2275" s="62" t="n"/>
      <c r="J2275" s="58" t="n"/>
      <c r="K2275" s="63">
        <f>IF(tblMovement[[#This Row],[Source]]="","",IFERROR(INDEX(tblSources[Type],MATCH(tblMovement[[#This Row],[Source]],tblSources[Source],0)),"?"))</f>
        <v/>
      </c>
      <c r="L2275" s="63">
        <f>IF(tblMovement[[#This Row],[Destination]]="","",IFERROR(INDEX(tblDestinations[Type],MATCH(tblMovement[[#This Row],[Destination]],tblDestinations[Destination],0)),"?"))</f>
        <v/>
      </c>
      <c r="M2275" s="64">
        <f>IF(tblMovement[[#This Row],[Material]]="","",IF(LEFT(tblMovement[[#This Row],[Material]],3)="Ore",1,0))</f>
        <v/>
      </c>
      <c r="N2275" s="59">
        <f>IF(OR(tblMovement[[#This Row],[Tonnes_t]]="",tblMovement[[#This Row],[Grade_gpt]]=""),0,tblMovement[[#This Row],[Tonnes_t]]*tblMovement[[#This Row],[Grade_gpt]]/cfg_TroyOz)</f>
        <v/>
      </c>
      <c r="O2275" s="59">
        <f>IF(tblMovement[[#This Row],[Is_Ore]]=1,tblMovement[[#This Row],[Contained_oz]],0)</f>
        <v/>
      </c>
    </row>
    <row r="2276">
      <c r="A2276" s="54" t="n"/>
      <c r="B2276" s="61" t="n"/>
      <c r="C2276" s="61" t="n"/>
      <c r="D2276" s="61" t="n"/>
      <c r="E2276" s="61" t="n"/>
      <c r="F2276" s="55" t="n"/>
      <c r="G2276" s="56" t="n"/>
      <c r="H2276" s="55" t="n"/>
      <c r="I2276" s="62" t="n"/>
      <c r="J2276" s="58" t="n"/>
      <c r="K2276" s="63">
        <f>IF(tblMovement[[#This Row],[Source]]="","",IFERROR(INDEX(tblSources[Type],MATCH(tblMovement[[#This Row],[Source]],tblSources[Source],0)),"?"))</f>
        <v/>
      </c>
      <c r="L2276" s="63">
        <f>IF(tblMovement[[#This Row],[Destination]]="","",IFERROR(INDEX(tblDestinations[Type],MATCH(tblMovement[[#This Row],[Destination]],tblDestinations[Destination],0)),"?"))</f>
        <v/>
      </c>
      <c r="M2276" s="64">
        <f>IF(tblMovement[[#This Row],[Material]]="","",IF(LEFT(tblMovement[[#This Row],[Material]],3)="Ore",1,0))</f>
        <v/>
      </c>
      <c r="N2276" s="59">
        <f>IF(OR(tblMovement[[#This Row],[Tonnes_t]]="",tblMovement[[#This Row],[Grade_gpt]]=""),0,tblMovement[[#This Row],[Tonnes_t]]*tblMovement[[#This Row],[Grade_gpt]]/cfg_TroyOz)</f>
        <v/>
      </c>
      <c r="O2276" s="59">
        <f>IF(tblMovement[[#This Row],[Is_Ore]]=1,tblMovement[[#This Row],[Contained_oz]],0)</f>
        <v/>
      </c>
    </row>
    <row r="2277">
      <c r="A2277" s="54" t="n"/>
      <c r="B2277" s="61" t="n"/>
      <c r="C2277" s="61" t="n"/>
      <c r="D2277" s="61" t="n"/>
      <c r="E2277" s="61" t="n"/>
      <c r="F2277" s="55" t="n"/>
      <c r="G2277" s="56" t="n"/>
      <c r="H2277" s="55" t="n"/>
      <c r="I2277" s="62" t="n"/>
      <c r="J2277" s="58" t="n"/>
      <c r="K2277" s="63">
        <f>IF(tblMovement[[#This Row],[Source]]="","",IFERROR(INDEX(tblSources[Type],MATCH(tblMovement[[#This Row],[Source]],tblSources[Source],0)),"?"))</f>
        <v/>
      </c>
      <c r="L2277" s="63">
        <f>IF(tblMovement[[#This Row],[Destination]]="","",IFERROR(INDEX(tblDestinations[Type],MATCH(tblMovement[[#This Row],[Destination]],tblDestinations[Destination],0)),"?"))</f>
        <v/>
      </c>
      <c r="M2277" s="64">
        <f>IF(tblMovement[[#This Row],[Material]]="","",IF(LEFT(tblMovement[[#This Row],[Material]],3)="Ore",1,0))</f>
        <v/>
      </c>
      <c r="N2277" s="59">
        <f>IF(OR(tblMovement[[#This Row],[Tonnes_t]]="",tblMovement[[#This Row],[Grade_gpt]]=""),0,tblMovement[[#This Row],[Tonnes_t]]*tblMovement[[#This Row],[Grade_gpt]]/cfg_TroyOz)</f>
        <v/>
      </c>
      <c r="O2277" s="59">
        <f>IF(tblMovement[[#This Row],[Is_Ore]]=1,tblMovement[[#This Row],[Contained_oz]],0)</f>
        <v/>
      </c>
    </row>
    <row r="2278">
      <c r="A2278" s="54" t="n"/>
      <c r="B2278" s="61" t="n"/>
      <c r="C2278" s="61" t="n"/>
      <c r="D2278" s="61" t="n"/>
      <c r="E2278" s="61" t="n"/>
      <c r="F2278" s="55" t="n"/>
      <c r="G2278" s="56" t="n"/>
      <c r="H2278" s="55" t="n"/>
      <c r="I2278" s="62" t="n"/>
      <c r="J2278" s="58" t="n"/>
      <c r="K2278" s="63">
        <f>IF(tblMovement[[#This Row],[Source]]="","",IFERROR(INDEX(tblSources[Type],MATCH(tblMovement[[#This Row],[Source]],tblSources[Source],0)),"?"))</f>
        <v/>
      </c>
      <c r="L2278" s="63">
        <f>IF(tblMovement[[#This Row],[Destination]]="","",IFERROR(INDEX(tblDestinations[Type],MATCH(tblMovement[[#This Row],[Destination]],tblDestinations[Destination],0)),"?"))</f>
        <v/>
      </c>
      <c r="M2278" s="64">
        <f>IF(tblMovement[[#This Row],[Material]]="","",IF(LEFT(tblMovement[[#This Row],[Material]],3)="Ore",1,0))</f>
        <v/>
      </c>
      <c r="N2278" s="59">
        <f>IF(OR(tblMovement[[#This Row],[Tonnes_t]]="",tblMovement[[#This Row],[Grade_gpt]]=""),0,tblMovement[[#This Row],[Tonnes_t]]*tblMovement[[#This Row],[Grade_gpt]]/cfg_TroyOz)</f>
        <v/>
      </c>
      <c r="O2278" s="59">
        <f>IF(tblMovement[[#This Row],[Is_Ore]]=1,tblMovement[[#This Row],[Contained_oz]],0)</f>
        <v/>
      </c>
    </row>
    <row r="2279">
      <c r="A2279" s="54" t="n"/>
      <c r="B2279" s="61" t="n"/>
      <c r="C2279" s="61" t="n"/>
      <c r="D2279" s="61" t="n"/>
      <c r="E2279" s="61" t="n"/>
      <c r="F2279" s="55" t="n"/>
      <c r="G2279" s="56" t="n"/>
      <c r="H2279" s="55" t="n"/>
      <c r="I2279" s="62" t="n"/>
      <c r="J2279" s="58" t="n"/>
      <c r="K2279" s="63">
        <f>IF(tblMovement[[#This Row],[Source]]="","",IFERROR(INDEX(tblSources[Type],MATCH(tblMovement[[#This Row],[Source]],tblSources[Source],0)),"?"))</f>
        <v/>
      </c>
      <c r="L2279" s="63">
        <f>IF(tblMovement[[#This Row],[Destination]]="","",IFERROR(INDEX(tblDestinations[Type],MATCH(tblMovement[[#This Row],[Destination]],tblDestinations[Destination],0)),"?"))</f>
        <v/>
      </c>
      <c r="M2279" s="64">
        <f>IF(tblMovement[[#This Row],[Material]]="","",IF(LEFT(tblMovement[[#This Row],[Material]],3)="Ore",1,0))</f>
        <v/>
      </c>
      <c r="N2279" s="59">
        <f>IF(OR(tblMovement[[#This Row],[Tonnes_t]]="",tblMovement[[#This Row],[Grade_gpt]]=""),0,tblMovement[[#This Row],[Tonnes_t]]*tblMovement[[#This Row],[Grade_gpt]]/cfg_TroyOz)</f>
        <v/>
      </c>
      <c r="O2279" s="59">
        <f>IF(tblMovement[[#This Row],[Is_Ore]]=1,tblMovement[[#This Row],[Contained_oz]],0)</f>
        <v/>
      </c>
    </row>
    <row r="2280">
      <c r="A2280" s="54" t="n"/>
      <c r="B2280" s="61" t="n"/>
      <c r="C2280" s="61" t="n"/>
      <c r="D2280" s="61" t="n"/>
      <c r="E2280" s="61" t="n"/>
      <c r="F2280" s="55" t="n"/>
      <c r="G2280" s="56" t="n"/>
      <c r="H2280" s="55" t="n"/>
      <c r="I2280" s="62" t="n"/>
      <c r="J2280" s="58" t="n"/>
      <c r="K2280" s="63">
        <f>IF(tblMovement[[#This Row],[Source]]="","",IFERROR(INDEX(tblSources[Type],MATCH(tblMovement[[#This Row],[Source]],tblSources[Source],0)),"?"))</f>
        <v/>
      </c>
      <c r="L2280" s="63">
        <f>IF(tblMovement[[#This Row],[Destination]]="","",IFERROR(INDEX(tblDestinations[Type],MATCH(tblMovement[[#This Row],[Destination]],tblDestinations[Destination],0)),"?"))</f>
        <v/>
      </c>
      <c r="M2280" s="64">
        <f>IF(tblMovement[[#This Row],[Material]]="","",IF(LEFT(tblMovement[[#This Row],[Material]],3)="Ore",1,0))</f>
        <v/>
      </c>
      <c r="N2280" s="59">
        <f>IF(OR(tblMovement[[#This Row],[Tonnes_t]]="",tblMovement[[#This Row],[Grade_gpt]]=""),0,tblMovement[[#This Row],[Tonnes_t]]*tblMovement[[#This Row],[Grade_gpt]]/cfg_TroyOz)</f>
        <v/>
      </c>
      <c r="O2280" s="59">
        <f>IF(tblMovement[[#This Row],[Is_Ore]]=1,tblMovement[[#This Row],[Contained_oz]],0)</f>
        <v/>
      </c>
    </row>
    <row r="2281">
      <c r="A2281" s="54" t="n"/>
      <c r="B2281" s="61" t="n"/>
      <c r="C2281" s="61" t="n"/>
      <c r="D2281" s="61" t="n"/>
      <c r="E2281" s="61" t="n"/>
      <c r="F2281" s="55" t="n"/>
      <c r="G2281" s="56" t="n"/>
      <c r="H2281" s="55" t="n"/>
      <c r="I2281" s="62" t="n"/>
      <c r="J2281" s="58" t="n"/>
      <c r="K2281" s="63">
        <f>IF(tblMovement[[#This Row],[Source]]="","",IFERROR(INDEX(tblSources[Type],MATCH(tblMovement[[#This Row],[Source]],tblSources[Source],0)),"?"))</f>
        <v/>
      </c>
      <c r="L2281" s="63">
        <f>IF(tblMovement[[#This Row],[Destination]]="","",IFERROR(INDEX(tblDestinations[Type],MATCH(tblMovement[[#This Row],[Destination]],tblDestinations[Destination],0)),"?"))</f>
        <v/>
      </c>
      <c r="M2281" s="64">
        <f>IF(tblMovement[[#This Row],[Material]]="","",IF(LEFT(tblMovement[[#This Row],[Material]],3)="Ore",1,0))</f>
        <v/>
      </c>
      <c r="N2281" s="59">
        <f>IF(OR(tblMovement[[#This Row],[Tonnes_t]]="",tblMovement[[#This Row],[Grade_gpt]]=""),0,tblMovement[[#This Row],[Tonnes_t]]*tblMovement[[#This Row],[Grade_gpt]]/cfg_TroyOz)</f>
        <v/>
      </c>
      <c r="O2281" s="59">
        <f>IF(tblMovement[[#This Row],[Is_Ore]]=1,tblMovement[[#This Row],[Contained_oz]],0)</f>
        <v/>
      </c>
    </row>
    <row r="2282">
      <c r="A2282" s="54" t="n"/>
      <c r="B2282" s="61" t="n"/>
      <c r="C2282" s="61" t="n"/>
      <c r="D2282" s="61" t="n"/>
      <c r="E2282" s="61" t="n"/>
      <c r="F2282" s="55" t="n"/>
      <c r="G2282" s="56" t="n"/>
      <c r="H2282" s="55" t="n"/>
      <c r="I2282" s="62" t="n"/>
      <c r="J2282" s="58" t="n"/>
      <c r="K2282" s="63">
        <f>IF(tblMovement[[#This Row],[Source]]="","",IFERROR(INDEX(tblSources[Type],MATCH(tblMovement[[#This Row],[Source]],tblSources[Source],0)),"?"))</f>
        <v/>
      </c>
      <c r="L2282" s="63">
        <f>IF(tblMovement[[#This Row],[Destination]]="","",IFERROR(INDEX(tblDestinations[Type],MATCH(tblMovement[[#This Row],[Destination]],tblDestinations[Destination],0)),"?"))</f>
        <v/>
      </c>
      <c r="M2282" s="64">
        <f>IF(tblMovement[[#This Row],[Material]]="","",IF(LEFT(tblMovement[[#This Row],[Material]],3)="Ore",1,0))</f>
        <v/>
      </c>
      <c r="N2282" s="59">
        <f>IF(OR(tblMovement[[#This Row],[Tonnes_t]]="",tblMovement[[#This Row],[Grade_gpt]]=""),0,tblMovement[[#This Row],[Tonnes_t]]*tblMovement[[#This Row],[Grade_gpt]]/cfg_TroyOz)</f>
        <v/>
      </c>
      <c r="O2282" s="59">
        <f>IF(tblMovement[[#This Row],[Is_Ore]]=1,tblMovement[[#This Row],[Contained_oz]],0)</f>
        <v/>
      </c>
    </row>
    <row r="2283">
      <c r="A2283" s="54" t="n"/>
      <c r="B2283" s="61" t="n"/>
      <c r="C2283" s="61" t="n"/>
      <c r="D2283" s="61" t="n"/>
      <c r="E2283" s="61" t="n"/>
      <c r="F2283" s="55" t="n"/>
      <c r="G2283" s="56" t="n"/>
      <c r="H2283" s="55" t="n"/>
      <c r="I2283" s="62" t="n"/>
      <c r="J2283" s="58" t="n"/>
      <c r="K2283" s="63">
        <f>IF(tblMovement[[#This Row],[Source]]="","",IFERROR(INDEX(tblSources[Type],MATCH(tblMovement[[#This Row],[Source]],tblSources[Source],0)),"?"))</f>
        <v/>
      </c>
      <c r="L2283" s="63">
        <f>IF(tblMovement[[#This Row],[Destination]]="","",IFERROR(INDEX(tblDestinations[Type],MATCH(tblMovement[[#This Row],[Destination]],tblDestinations[Destination],0)),"?"))</f>
        <v/>
      </c>
      <c r="M2283" s="64">
        <f>IF(tblMovement[[#This Row],[Material]]="","",IF(LEFT(tblMovement[[#This Row],[Material]],3)="Ore",1,0))</f>
        <v/>
      </c>
      <c r="N2283" s="59">
        <f>IF(OR(tblMovement[[#This Row],[Tonnes_t]]="",tblMovement[[#This Row],[Grade_gpt]]=""),0,tblMovement[[#This Row],[Tonnes_t]]*tblMovement[[#This Row],[Grade_gpt]]/cfg_TroyOz)</f>
        <v/>
      </c>
      <c r="O2283" s="59">
        <f>IF(tblMovement[[#This Row],[Is_Ore]]=1,tblMovement[[#This Row],[Contained_oz]],0)</f>
        <v/>
      </c>
    </row>
    <row r="2284">
      <c r="A2284" s="54" t="n"/>
      <c r="B2284" s="61" t="n"/>
      <c r="C2284" s="61" t="n"/>
      <c r="D2284" s="61" t="n"/>
      <c r="E2284" s="61" t="n"/>
      <c r="F2284" s="55" t="n"/>
      <c r="G2284" s="56" t="n"/>
      <c r="H2284" s="55" t="n"/>
      <c r="I2284" s="62" t="n"/>
      <c r="J2284" s="58" t="n"/>
      <c r="K2284" s="63">
        <f>IF(tblMovement[[#This Row],[Source]]="","",IFERROR(INDEX(tblSources[Type],MATCH(tblMovement[[#This Row],[Source]],tblSources[Source],0)),"?"))</f>
        <v/>
      </c>
      <c r="L2284" s="63">
        <f>IF(tblMovement[[#This Row],[Destination]]="","",IFERROR(INDEX(tblDestinations[Type],MATCH(tblMovement[[#This Row],[Destination]],tblDestinations[Destination],0)),"?"))</f>
        <v/>
      </c>
      <c r="M2284" s="64">
        <f>IF(tblMovement[[#This Row],[Material]]="","",IF(LEFT(tblMovement[[#This Row],[Material]],3)="Ore",1,0))</f>
        <v/>
      </c>
      <c r="N2284" s="59">
        <f>IF(OR(tblMovement[[#This Row],[Tonnes_t]]="",tblMovement[[#This Row],[Grade_gpt]]=""),0,tblMovement[[#This Row],[Tonnes_t]]*tblMovement[[#This Row],[Grade_gpt]]/cfg_TroyOz)</f>
        <v/>
      </c>
      <c r="O2284" s="59">
        <f>IF(tblMovement[[#This Row],[Is_Ore]]=1,tblMovement[[#This Row],[Contained_oz]],0)</f>
        <v/>
      </c>
    </row>
    <row r="2285">
      <c r="A2285" s="54" t="n"/>
      <c r="B2285" s="61" t="n"/>
      <c r="C2285" s="61" t="n"/>
      <c r="D2285" s="61" t="n"/>
      <c r="E2285" s="61" t="n"/>
      <c r="F2285" s="55" t="n"/>
      <c r="G2285" s="56" t="n"/>
      <c r="H2285" s="55" t="n"/>
      <c r="I2285" s="62" t="n"/>
      <c r="J2285" s="58" t="n"/>
      <c r="K2285" s="63">
        <f>IF(tblMovement[[#This Row],[Source]]="","",IFERROR(INDEX(tblSources[Type],MATCH(tblMovement[[#This Row],[Source]],tblSources[Source],0)),"?"))</f>
        <v/>
      </c>
      <c r="L2285" s="63">
        <f>IF(tblMovement[[#This Row],[Destination]]="","",IFERROR(INDEX(tblDestinations[Type],MATCH(tblMovement[[#This Row],[Destination]],tblDestinations[Destination],0)),"?"))</f>
        <v/>
      </c>
      <c r="M2285" s="64">
        <f>IF(tblMovement[[#This Row],[Material]]="","",IF(LEFT(tblMovement[[#This Row],[Material]],3)="Ore",1,0))</f>
        <v/>
      </c>
      <c r="N2285" s="59">
        <f>IF(OR(tblMovement[[#This Row],[Tonnes_t]]="",tblMovement[[#This Row],[Grade_gpt]]=""),0,tblMovement[[#This Row],[Tonnes_t]]*tblMovement[[#This Row],[Grade_gpt]]/cfg_TroyOz)</f>
        <v/>
      </c>
      <c r="O2285" s="59">
        <f>IF(tblMovement[[#This Row],[Is_Ore]]=1,tblMovement[[#This Row],[Contained_oz]],0)</f>
        <v/>
      </c>
    </row>
    <row r="2286">
      <c r="A2286" s="54" t="n"/>
      <c r="B2286" s="61" t="n"/>
      <c r="C2286" s="61" t="n"/>
      <c r="D2286" s="61" t="n"/>
      <c r="E2286" s="61" t="n"/>
      <c r="F2286" s="55" t="n"/>
      <c r="G2286" s="56" t="n"/>
      <c r="H2286" s="55" t="n"/>
      <c r="I2286" s="62" t="n"/>
      <c r="J2286" s="58" t="n"/>
      <c r="K2286" s="63">
        <f>IF(tblMovement[[#This Row],[Source]]="","",IFERROR(INDEX(tblSources[Type],MATCH(tblMovement[[#This Row],[Source]],tblSources[Source],0)),"?"))</f>
        <v/>
      </c>
      <c r="L2286" s="63">
        <f>IF(tblMovement[[#This Row],[Destination]]="","",IFERROR(INDEX(tblDestinations[Type],MATCH(tblMovement[[#This Row],[Destination]],tblDestinations[Destination],0)),"?"))</f>
        <v/>
      </c>
      <c r="M2286" s="64">
        <f>IF(tblMovement[[#This Row],[Material]]="","",IF(LEFT(tblMovement[[#This Row],[Material]],3)="Ore",1,0))</f>
        <v/>
      </c>
      <c r="N2286" s="59">
        <f>IF(OR(tblMovement[[#This Row],[Tonnes_t]]="",tblMovement[[#This Row],[Grade_gpt]]=""),0,tblMovement[[#This Row],[Tonnes_t]]*tblMovement[[#This Row],[Grade_gpt]]/cfg_TroyOz)</f>
        <v/>
      </c>
      <c r="O2286" s="59">
        <f>IF(tblMovement[[#This Row],[Is_Ore]]=1,tblMovement[[#This Row],[Contained_oz]],0)</f>
        <v/>
      </c>
    </row>
    <row r="2287">
      <c r="A2287" s="54" t="n"/>
      <c r="B2287" s="61" t="n"/>
      <c r="C2287" s="61" t="n"/>
      <c r="D2287" s="61" t="n"/>
      <c r="E2287" s="61" t="n"/>
      <c r="F2287" s="55" t="n"/>
      <c r="G2287" s="56" t="n"/>
      <c r="H2287" s="55" t="n"/>
      <c r="I2287" s="62" t="n"/>
      <c r="J2287" s="58" t="n"/>
      <c r="K2287" s="63">
        <f>IF(tblMovement[[#This Row],[Source]]="","",IFERROR(INDEX(tblSources[Type],MATCH(tblMovement[[#This Row],[Source]],tblSources[Source],0)),"?"))</f>
        <v/>
      </c>
      <c r="L2287" s="63">
        <f>IF(tblMovement[[#This Row],[Destination]]="","",IFERROR(INDEX(tblDestinations[Type],MATCH(tblMovement[[#This Row],[Destination]],tblDestinations[Destination],0)),"?"))</f>
        <v/>
      </c>
      <c r="M2287" s="64">
        <f>IF(tblMovement[[#This Row],[Material]]="","",IF(LEFT(tblMovement[[#This Row],[Material]],3)="Ore",1,0))</f>
        <v/>
      </c>
      <c r="N2287" s="59">
        <f>IF(OR(tblMovement[[#This Row],[Tonnes_t]]="",tblMovement[[#This Row],[Grade_gpt]]=""),0,tblMovement[[#This Row],[Tonnes_t]]*tblMovement[[#This Row],[Grade_gpt]]/cfg_TroyOz)</f>
        <v/>
      </c>
      <c r="O2287" s="59">
        <f>IF(tblMovement[[#This Row],[Is_Ore]]=1,tblMovement[[#This Row],[Contained_oz]],0)</f>
        <v/>
      </c>
    </row>
    <row r="2288">
      <c r="A2288" s="54" t="n"/>
      <c r="B2288" s="61" t="n"/>
      <c r="C2288" s="61" t="n"/>
      <c r="D2288" s="61" t="n"/>
      <c r="E2288" s="61" t="n"/>
      <c r="F2288" s="55" t="n"/>
      <c r="G2288" s="56" t="n"/>
      <c r="H2288" s="55" t="n"/>
      <c r="I2288" s="62" t="n"/>
      <c r="J2288" s="58" t="n"/>
      <c r="K2288" s="63">
        <f>IF(tblMovement[[#This Row],[Source]]="","",IFERROR(INDEX(tblSources[Type],MATCH(tblMovement[[#This Row],[Source]],tblSources[Source],0)),"?"))</f>
        <v/>
      </c>
      <c r="L2288" s="63">
        <f>IF(tblMovement[[#This Row],[Destination]]="","",IFERROR(INDEX(tblDestinations[Type],MATCH(tblMovement[[#This Row],[Destination]],tblDestinations[Destination],0)),"?"))</f>
        <v/>
      </c>
      <c r="M2288" s="64">
        <f>IF(tblMovement[[#This Row],[Material]]="","",IF(LEFT(tblMovement[[#This Row],[Material]],3)="Ore",1,0))</f>
        <v/>
      </c>
      <c r="N2288" s="59">
        <f>IF(OR(tblMovement[[#This Row],[Tonnes_t]]="",tblMovement[[#This Row],[Grade_gpt]]=""),0,tblMovement[[#This Row],[Tonnes_t]]*tblMovement[[#This Row],[Grade_gpt]]/cfg_TroyOz)</f>
        <v/>
      </c>
      <c r="O2288" s="59">
        <f>IF(tblMovement[[#This Row],[Is_Ore]]=1,tblMovement[[#This Row],[Contained_oz]],0)</f>
        <v/>
      </c>
    </row>
    <row r="2289">
      <c r="A2289" s="54" t="n"/>
      <c r="B2289" s="61" t="n"/>
      <c r="C2289" s="61" t="n"/>
      <c r="D2289" s="61" t="n"/>
      <c r="E2289" s="61" t="n"/>
      <c r="F2289" s="55" t="n"/>
      <c r="G2289" s="56" t="n"/>
      <c r="H2289" s="55" t="n"/>
      <c r="I2289" s="62" t="n"/>
      <c r="J2289" s="58" t="n"/>
      <c r="K2289" s="63">
        <f>IF(tblMovement[[#This Row],[Source]]="","",IFERROR(INDEX(tblSources[Type],MATCH(tblMovement[[#This Row],[Source]],tblSources[Source],0)),"?"))</f>
        <v/>
      </c>
      <c r="L2289" s="63">
        <f>IF(tblMovement[[#This Row],[Destination]]="","",IFERROR(INDEX(tblDestinations[Type],MATCH(tblMovement[[#This Row],[Destination]],tblDestinations[Destination],0)),"?"))</f>
        <v/>
      </c>
      <c r="M2289" s="64">
        <f>IF(tblMovement[[#This Row],[Material]]="","",IF(LEFT(tblMovement[[#This Row],[Material]],3)="Ore",1,0))</f>
        <v/>
      </c>
      <c r="N2289" s="59">
        <f>IF(OR(tblMovement[[#This Row],[Tonnes_t]]="",tblMovement[[#This Row],[Grade_gpt]]=""),0,tblMovement[[#This Row],[Tonnes_t]]*tblMovement[[#This Row],[Grade_gpt]]/cfg_TroyOz)</f>
        <v/>
      </c>
      <c r="O2289" s="59">
        <f>IF(tblMovement[[#This Row],[Is_Ore]]=1,tblMovement[[#This Row],[Contained_oz]],0)</f>
        <v/>
      </c>
    </row>
    <row r="2290">
      <c r="A2290" s="54" t="n"/>
      <c r="B2290" s="61" t="n"/>
      <c r="C2290" s="61" t="n"/>
      <c r="D2290" s="61" t="n"/>
      <c r="E2290" s="61" t="n"/>
      <c r="F2290" s="55" t="n"/>
      <c r="G2290" s="56" t="n"/>
      <c r="H2290" s="55" t="n"/>
      <c r="I2290" s="62" t="n"/>
      <c r="J2290" s="58" t="n"/>
      <c r="K2290" s="63">
        <f>IF(tblMovement[[#This Row],[Source]]="","",IFERROR(INDEX(tblSources[Type],MATCH(tblMovement[[#This Row],[Source]],tblSources[Source],0)),"?"))</f>
        <v/>
      </c>
      <c r="L2290" s="63">
        <f>IF(tblMovement[[#This Row],[Destination]]="","",IFERROR(INDEX(tblDestinations[Type],MATCH(tblMovement[[#This Row],[Destination]],tblDestinations[Destination],0)),"?"))</f>
        <v/>
      </c>
      <c r="M2290" s="64">
        <f>IF(tblMovement[[#This Row],[Material]]="","",IF(LEFT(tblMovement[[#This Row],[Material]],3)="Ore",1,0))</f>
        <v/>
      </c>
      <c r="N2290" s="59">
        <f>IF(OR(tblMovement[[#This Row],[Tonnes_t]]="",tblMovement[[#This Row],[Grade_gpt]]=""),0,tblMovement[[#This Row],[Tonnes_t]]*tblMovement[[#This Row],[Grade_gpt]]/cfg_TroyOz)</f>
        <v/>
      </c>
      <c r="O2290" s="59">
        <f>IF(tblMovement[[#This Row],[Is_Ore]]=1,tblMovement[[#This Row],[Contained_oz]],0)</f>
        <v/>
      </c>
    </row>
    <row r="2291">
      <c r="A2291" s="54" t="n"/>
      <c r="B2291" s="61" t="n"/>
      <c r="C2291" s="61" t="n"/>
      <c r="D2291" s="61" t="n"/>
      <c r="E2291" s="61" t="n"/>
      <c r="F2291" s="55" t="n"/>
      <c r="G2291" s="56" t="n"/>
      <c r="H2291" s="55" t="n"/>
      <c r="I2291" s="62" t="n"/>
      <c r="J2291" s="58" t="n"/>
      <c r="K2291" s="63">
        <f>IF(tblMovement[[#This Row],[Source]]="","",IFERROR(INDEX(tblSources[Type],MATCH(tblMovement[[#This Row],[Source]],tblSources[Source],0)),"?"))</f>
        <v/>
      </c>
      <c r="L2291" s="63">
        <f>IF(tblMovement[[#This Row],[Destination]]="","",IFERROR(INDEX(tblDestinations[Type],MATCH(tblMovement[[#This Row],[Destination]],tblDestinations[Destination],0)),"?"))</f>
        <v/>
      </c>
      <c r="M2291" s="64">
        <f>IF(tblMovement[[#This Row],[Material]]="","",IF(LEFT(tblMovement[[#This Row],[Material]],3)="Ore",1,0))</f>
        <v/>
      </c>
      <c r="N2291" s="59">
        <f>IF(OR(tblMovement[[#This Row],[Tonnes_t]]="",tblMovement[[#This Row],[Grade_gpt]]=""),0,tblMovement[[#This Row],[Tonnes_t]]*tblMovement[[#This Row],[Grade_gpt]]/cfg_TroyOz)</f>
        <v/>
      </c>
      <c r="O2291" s="59">
        <f>IF(tblMovement[[#This Row],[Is_Ore]]=1,tblMovement[[#This Row],[Contained_oz]],0)</f>
        <v/>
      </c>
    </row>
    <row r="2292">
      <c r="A2292" s="54" t="n"/>
      <c r="B2292" s="61" t="n"/>
      <c r="C2292" s="61" t="n"/>
      <c r="D2292" s="61" t="n"/>
      <c r="E2292" s="61" t="n"/>
      <c r="F2292" s="55" t="n"/>
      <c r="G2292" s="56" t="n"/>
      <c r="H2292" s="55" t="n"/>
      <c r="I2292" s="62" t="n"/>
      <c r="J2292" s="58" t="n"/>
      <c r="K2292" s="63">
        <f>IF(tblMovement[[#This Row],[Source]]="","",IFERROR(INDEX(tblSources[Type],MATCH(tblMovement[[#This Row],[Source]],tblSources[Source],0)),"?"))</f>
        <v/>
      </c>
      <c r="L2292" s="63">
        <f>IF(tblMovement[[#This Row],[Destination]]="","",IFERROR(INDEX(tblDestinations[Type],MATCH(tblMovement[[#This Row],[Destination]],tblDestinations[Destination],0)),"?"))</f>
        <v/>
      </c>
      <c r="M2292" s="64">
        <f>IF(tblMovement[[#This Row],[Material]]="","",IF(LEFT(tblMovement[[#This Row],[Material]],3)="Ore",1,0))</f>
        <v/>
      </c>
      <c r="N2292" s="59">
        <f>IF(OR(tblMovement[[#This Row],[Tonnes_t]]="",tblMovement[[#This Row],[Grade_gpt]]=""),0,tblMovement[[#This Row],[Tonnes_t]]*tblMovement[[#This Row],[Grade_gpt]]/cfg_TroyOz)</f>
        <v/>
      </c>
      <c r="O2292" s="59">
        <f>IF(tblMovement[[#This Row],[Is_Ore]]=1,tblMovement[[#This Row],[Contained_oz]],0)</f>
        <v/>
      </c>
    </row>
    <row r="2293">
      <c r="A2293" s="54" t="n"/>
      <c r="B2293" s="61" t="n"/>
      <c r="C2293" s="61" t="n"/>
      <c r="D2293" s="61" t="n"/>
      <c r="E2293" s="61" t="n"/>
      <c r="F2293" s="55" t="n"/>
      <c r="G2293" s="56" t="n"/>
      <c r="H2293" s="55" t="n"/>
      <c r="I2293" s="62" t="n"/>
      <c r="J2293" s="58" t="n"/>
      <c r="K2293" s="63">
        <f>IF(tblMovement[[#This Row],[Source]]="","",IFERROR(INDEX(tblSources[Type],MATCH(tblMovement[[#This Row],[Source]],tblSources[Source],0)),"?"))</f>
        <v/>
      </c>
      <c r="L2293" s="63">
        <f>IF(tblMovement[[#This Row],[Destination]]="","",IFERROR(INDEX(tblDestinations[Type],MATCH(tblMovement[[#This Row],[Destination]],tblDestinations[Destination],0)),"?"))</f>
        <v/>
      </c>
      <c r="M2293" s="64">
        <f>IF(tblMovement[[#This Row],[Material]]="","",IF(LEFT(tblMovement[[#This Row],[Material]],3)="Ore",1,0))</f>
        <v/>
      </c>
      <c r="N2293" s="59">
        <f>IF(OR(tblMovement[[#This Row],[Tonnes_t]]="",tblMovement[[#This Row],[Grade_gpt]]=""),0,tblMovement[[#This Row],[Tonnes_t]]*tblMovement[[#This Row],[Grade_gpt]]/cfg_TroyOz)</f>
        <v/>
      </c>
      <c r="O2293" s="59">
        <f>IF(tblMovement[[#This Row],[Is_Ore]]=1,tblMovement[[#This Row],[Contained_oz]],0)</f>
        <v/>
      </c>
    </row>
    <row r="2294">
      <c r="A2294" s="54" t="n"/>
      <c r="B2294" s="61" t="n"/>
      <c r="C2294" s="61" t="n"/>
      <c r="D2294" s="61" t="n"/>
      <c r="E2294" s="61" t="n"/>
      <c r="F2294" s="55" t="n"/>
      <c r="G2294" s="56" t="n"/>
      <c r="H2294" s="55" t="n"/>
      <c r="I2294" s="62" t="n"/>
      <c r="J2294" s="58" t="n"/>
      <c r="K2294" s="63">
        <f>IF(tblMovement[[#This Row],[Source]]="","",IFERROR(INDEX(tblSources[Type],MATCH(tblMovement[[#This Row],[Source]],tblSources[Source],0)),"?"))</f>
        <v/>
      </c>
      <c r="L2294" s="63">
        <f>IF(tblMovement[[#This Row],[Destination]]="","",IFERROR(INDEX(tblDestinations[Type],MATCH(tblMovement[[#This Row],[Destination]],tblDestinations[Destination],0)),"?"))</f>
        <v/>
      </c>
      <c r="M2294" s="64">
        <f>IF(tblMovement[[#This Row],[Material]]="","",IF(LEFT(tblMovement[[#This Row],[Material]],3)="Ore",1,0))</f>
        <v/>
      </c>
      <c r="N2294" s="59">
        <f>IF(OR(tblMovement[[#This Row],[Tonnes_t]]="",tblMovement[[#This Row],[Grade_gpt]]=""),0,tblMovement[[#This Row],[Tonnes_t]]*tblMovement[[#This Row],[Grade_gpt]]/cfg_TroyOz)</f>
        <v/>
      </c>
      <c r="O2294" s="59">
        <f>IF(tblMovement[[#This Row],[Is_Ore]]=1,tblMovement[[#This Row],[Contained_oz]],0)</f>
        <v/>
      </c>
    </row>
    <row r="2295">
      <c r="A2295" s="54" t="n"/>
      <c r="B2295" s="61" t="n"/>
      <c r="C2295" s="61" t="n"/>
      <c r="D2295" s="61" t="n"/>
      <c r="E2295" s="61" t="n"/>
      <c r="F2295" s="55" t="n"/>
      <c r="G2295" s="56" t="n"/>
      <c r="H2295" s="55" t="n"/>
      <c r="I2295" s="62" t="n"/>
      <c r="J2295" s="58" t="n"/>
      <c r="K2295" s="63">
        <f>IF(tblMovement[[#This Row],[Source]]="","",IFERROR(INDEX(tblSources[Type],MATCH(tblMovement[[#This Row],[Source]],tblSources[Source],0)),"?"))</f>
        <v/>
      </c>
      <c r="L2295" s="63">
        <f>IF(tblMovement[[#This Row],[Destination]]="","",IFERROR(INDEX(tblDestinations[Type],MATCH(tblMovement[[#This Row],[Destination]],tblDestinations[Destination],0)),"?"))</f>
        <v/>
      </c>
      <c r="M2295" s="64">
        <f>IF(tblMovement[[#This Row],[Material]]="","",IF(LEFT(tblMovement[[#This Row],[Material]],3)="Ore",1,0))</f>
        <v/>
      </c>
      <c r="N2295" s="59">
        <f>IF(OR(tblMovement[[#This Row],[Tonnes_t]]="",tblMovement[[#This Row],[Grade_gpt]]=""),0,tblMovement[[#This Row],[Tonnes_t]]*tblMovement[[#This Row],[Grade_gpt]]/cfg_TroyOz)</f>
        <v/>
      </c>
      <c r="O2295" s="59">
        <f>IF(tblMovement[[#This Row],[Is_Ore]]=1,tblMovement[[#This Row],[Contained_oz]],0)</f>
        <v/>
      </c>
    </row>
    <row r="2296">
      <c r="A2296" s="54" t="n"/>
      <c r="B2296" s="61" t="n"/>
      <c r="C2296" s="61" t="n"/>
      <c r="D2296" s="61" t="n"/>
      <c r="E2296" s="61" t="n"/>
      <c r="F2296" s="55" t="n"/>
      <c r="G2296" s="56" t="n"/>
      <c r="H2296" s="55" t="n"/>
      <c r="I2296" s="62" t="n"/>
      <c r="J2296" s="58" t="n"/>
      <c r="K2296" s="63">
        <f>IF(tblMovement[[#This Row],[Source]]="","",IFERROR(INDEX(tblSources[Type],MATCH(tblMovement[[#This Row],[Source]],tblSources[Source],0)),"?"))</f>
        <v/>
      </c>
      <c r="L2296" s="63">
        <f>IF(tblMovement[[#This Row],[Destination]]="","",IFERROR(INDEX(tblDestinations[Type],MATCH(tblMovement[[#This Row],[Destination]],tblDestinations[Destination],0)),"?"))</f>
        <v/>
      </c>
      <c r="M2296" s="64">
        <f>IF(tblMovement[[#This Row],[Material]]="","",IF(LEFT(tblMovement[[#This Row],[Material]],3)="Ore",1,0))</f>
        <v/>
      </c>
      <c r="N2296" s="59">
        <f>IF(OR(tblMovement[[#This Row],[Tonnes_t]]="",tblMovement[[#This Row],[Grade_gpt]]=""),0,tblMovement[[#This Row],[Tonnes_t]]*tblMovement[[#This Row],[Grade_gpt]]/cfg_TroyOz)</f>
        <v/>
      </c>
      <c r="O2296" s="59">
        <f>IF(tblMovement[[#This Row],[Is_Ore]]=1,tblMovement[[#This Row],[Contained_oz]],0)</f>
        <v/>
      </c>
    </row>
    <row r="2297">
      <c r="A2297" s="54" t="n"/>
      <c r="B2297" s="61" t="n"/>
      <c r="C2297" s="61" t="n"/>
      <c r="D2297" s="61" t="n"/>
      <c r="E2297" s="61" t="n"/>
      <c r="F2297" s="55" t="n"/>
      <c r="G2297" s="56" t="n"/>
      <c r="H2297" s="55" t="n"/>
      <c r="I2297" s="62" t="n"/>
      <c r="J2297" s="58" t="n"/>
      <c r="K2297" s="63">
        <f>IF(tblMovement[[#This Row],[Source]]="","",IFERROR(INDEX(tblSources[Type],MATCH(tblMovement[[#This Row],[Source]],tblSources[Source],0)),"?"))</f>
        <v/>
      </c>
      <c r="L2297" s="63">
        <f>IF(tblMovement[[#This Row],[Destination]]="","",IFERROR(INDEX(tblDestinations[Type],MATCH(tblMovement[[#This Row],[Destination]],tblDestinations[Destination],0)),"?"))</f>
        <v/>
      </c>
      <c r="M2297" s="64">
        <f>IF(tblMovement[[#This Row],[Material]]="","",IF(LEFT(tblMovement[[#This Row],[Material]],3)="Ore",1,0))</f>
        <v/>
      </c>
      <c r="N2297" s="59">
        <f>IF(OR(tblMovement[[#This Row],[Tonnes_t]]="",tblMovement[[#This Row],[Grade_gpt]]=""),0,tblMovement[[#This Row],[Tonnes_t]]*tblMovement[[#This Row],[Grade_gpt]]/cfg_TroyOz)</f>
        <v/>
      </c>
      <c r="O2297" s="59">
        <f>IF(tblMovement[[#This Row],[Is_Ore]]=1,tblMovement[[#This Row],[Contained_oz]],0)</f>
        <v/>
      </c>
    </row>
    <row r="2298">
      <c r="A2298" s="54" t="n"/>
      <c r="B2298" s="61" t="n"/>
      <c r="C2298" s="61" t="n"/>
      <c r="D2298" s="61" t="n"/>
      <c r="E2298" s="61" t="n"/>
      <c r="F2298" s="55" t="n"/>
      <c r="G2298" s="56" t="n"/>
      <c r="H2298" s="55" t="n"/>
      <c r="I2298" s="62" t="n"/>
      <c r="J2298" s="58" t="n"/>
      <c r="K2298" s="63">
        <f>IF(tblMovement[[#This Row],[Source]]="","",IFERROR(INDEX(tblSources[Type],MATCH(tblMovement[[#This Row],[Source]],tblSources[Source],0)),"?"))</f>
        <v/>
      </c>
      <c r="L2298" s="63">
        <f>IF(tblMovement[[#This Row],[Destination]]="","",IFERROR(INDEX(tblDestinations[Type],MATCH(tblMovement[[#This Row],[Destination]],tblDestinations[Destination],0)),"?"))</f>
        <v/>
      </c>
      <c r="M2298" s="64">
        <f>IF(tblMovement[[#This Row],[Material]]="","",IF(LEFT(tblMovement[[#This Row],[Material]],3)="Ore",1,0))</f>
        <v/>
      </c>
      <c r="N2298" s="59">
        <f>IF(OR(tblMovement[[#This Row],[Tonnes_t]]="",tblMovement[[#This Row],[Grade_gpt]]=""),0,tblMovement[[#This Row],[Tonnes_t]]*tblMovement[[#This Row],[Grade_gpt]]/cfg_TroyOz)</f>
        <v/>
      </c>
      <c r="O2298" s="59">
        <f>IF(tblMovement[[#This Row],[Is_Ore]]=1,tblMovement[[#This Row],[Contained_oz]],0)</f>
        <v/>
      </c>
    </row>
    <row r="2299">
      <c r="A2299" s="54" t="n"/>
      <c r="B2299" s="61" t="n"/>
      <c r="C2299" s="61" t="n"/>
      <c r="D2299" s="61" t="n"/>
      <c r="E2299" s="61" t="n"/>
      <c r="F2299" s="55" t="n"/>
      <c r="G2299" s="56" t="n"/>
      <c r="H2299" s="55" t="n"/>
      <c r="I2299" s="62" t="n"/>
      <c r="J2299" s="58" t="n"/>
      <c r="K2299" s="63">
        <f>IF(tblMovement[[#This Row],[Source]]="","",IFERROR(INDEX(tblSources[Type],MATCH(tblMovement[[#This Row],[Source]],tblSources[Source],0)),"?"))</f>
        <v/>
      </c>
      <c r="L2299" s="63">
        <f>IF(tblMovement[[#This Row],[Destination]]="","",IFERROR(INDEX(tblDestinations[Type],MATCH(tblMovement[[#This Row],[Destination]],tblDestinations[Destination],0)),"?"))</f>
        <v/>
      </c>
      <c r="M2299" s="64">
        <f>IF(tblMovement[[#This Row],[Material]]="","",IF(LEFT(tblMovement[[#This Row],[Material]],3)="Ore",1,0))</f>
        <v/>
      </c>
      <c r="N2299" s="59">
        <f>IF(OR(tblMovement[[#This Row],[Tonnes_t]]="",tblMovement[[#This Row],[Grade_gpt]]=""),0,tblMovement[[#This Row],[Tonnes_t]]*tblMovement[[#This Row],[Grade_gpt]]/cfg_TroyOz)</f>
        <v/>
      </c>
      <c r="O2299" s="59">
        <f>IF(tblMovement[[#This Row],[Is_Ore]]=1,tblMovement[[#This Row],[Contained_oz]],0)</f>
        <v/>
      </c>
    </row>
    <row r="2300">
      <c r="A2300" s="54" t="n"/>
      <c r="B2300" s="61" t="n"/>
      <c r="C2300" s="61" t="n"/>
      <c r="D2300" s="61" t="n"/>
      <c r="E2300" s="61" t="n"/>
      <c r="F2300" s="55" t="n"/>
      <c r="G2300" s="56" t="n"/>
      <c r="H2300" s="55" t="n"/>
      <c r="I2300" s="62" t="n"/>
      <c r="J2300" s="58" t="n"/>
      <c r="K2300" s="63">
        <f>IF(tblMovement[[#This Row],[Source]]="","",IFERROR(INDEX(tblSources[Type],MATCH(tblMovement[[#This Row],[Source]],tblSources[Source],0)),"?"))</f>
        <v/>
      </c>
      <c r="L2300" s="63">
        <f>IF(tblMovement[[#This Row],[Destination]]="","",IFERROR(INDEX(tblDestinations[Type],MATCH(tblMovement[[#This Row],[Destination]],tblDestinations[Destination],0)),"?"))</f>
        <v/>
      </c>
      <c r="M2300" s="64">
        <f>IF(tblMovement[[#This Row],[Material]]="","",IF(LEFT(tblMovement[[#This Row],[Material]],3)="Ore",1,0))</f>
        <v/>
      </c>
      <c r="N2300" s="59">
        <f>IF(OR(tblMovement[[#This Row],[Tonnes_t]]="",tblMovement[[#This Row],[Grade_gpt]]=""),0,tblMovement[[#This Row],[Tonnes_t]]*tblMovement[[#This Row],[Grade_gpt]]/cfg_TroyOz)</f>
        <v/>
      </c>
      <c r="O2300" s="59">
        <f>IF(tblMovement[[#This Row],[Is_Ore]]=1,tblMovement[[#This Row],[Contained_oz]],0)</f>
        <v/>
      </c>
    </row>
    <row r="2301">
      <c r="A2301" s="54" t="n"/>
      <c r="B2301" s="61" t="n"/>
      <c r="C2301" s="61" t="n"/>
      <c r="D2301" s="61" t="n"/>
      <c r="E2301" s="61" t="n"/>
      <c r="F2301" s="55" t="n"/>
      <c r="G2301" s="56" t="n"/>
      <c r="H2301" s="55" t="n"/>
      <c r="I2301" s="62" t="n"/>
      <c r="J2301" s="58" t="n"/>
      <c r="K2301" s="63">
        <f>IF(tblMovement[[#This Row],[Source]]="","",IFERROR(INDEX(tblSources[Type],MATCH(tblMovement[[#This Row],[Source]],tblSources[Source],0)),"?"))</f>
        <v/>
      </c>
      <c r="L2301" s="63">
        <f>IF(tblMovement[[#This Row],[Destination]]="","",IFERROR(INDEX(tblDestinations[Type],MATCH(tblMovement[[#This Row],[Destination]],tblDestinations[Destination],0)),"?"))</f>
        <v/>
      </c>
      <c r="M2301" s="64">
        <f>IF(tblMovement[[#This Row],[Material]]="","",IF(LEFT(tblMovement[[#This Row],[Material]],3)="Ore",1,0))</f>
        <v/>
      </c>
      <c r="N2301" s="59">
        <f>IF(OR(tblMovement[[#This Row],[Tonnes_t]]="",tblMovement[[#This Row],[Grade_gpt]]=""),0,tblMovement[[#This Row],[Tonnes_t]]*tblMovement[[#This Row],[Grade_gpt]]/cfg_TroyOz)</f>
        <v/>
      </c>
      <c r="O2301" s="59">
        <f>IF(tblMovement[[#This Row],[Is_Ore]]=1,tblMovement[[#This Row],[Contained_oz]],0)</f>
        <v/>
      </c>
    </row>
    <row r="2302">
      <c r="A2302" s="54" t="n"/>
      <c r="B2302" s="61" t="n"/>
      <c r="C2302" s="61" t="n"/>
      <c r="D2302" s="61" t="n"/>
      <c r="E2302" s="61" t="n"/>
      <c r="F2302" s="55" t="n"/>
      <c r="G2302" s="56" t="n"/>
      <c r="H2302" s="55" t="n"/>
      <c r="I2302" s="62" t="n"/>
      <c r="J2302" s="58" t="n"/>
      <c r="K2302" s="63">
        <f>IF(tblMovement[[#This Row],[Source]]="","",IFERROR(INDEX(tblSources[Type],MATCH(tblMovement[[#This Row],[Source]],tblSources[Source],0)),"?"))</f>
        <v/>
      </c>
      <c r="L2302" s="63">
        <f>IF(tblMovement[[#This Row],[Destination]]="","",IFERROR(INDEX(tblDestinations[Type],MATCH(tblMovement[[#This Row],[Destination]],tblDestinations[Destination],0)),"?"))</f>
        <v/>
      </c>
      <c r="M2302" s="64">
        <f>IF(tblMovement[[#This Row],[Material]]="","",IF(LEFT(tblMovement[[#This Row],[Material]],3)="Ore",1,0))</f>
        <v/>
      </c>
      <c r="N2302" s="59">
        <f>IF(OR(tblMovement[[#This Row],[Tonnes_t]]="",tblMovement[[#This Row],[Grade_gpt]]=""),0,tblMovement[[#This Row],[Tonnes_t]]*tblMovement[[#This Row],[Grade_gpt]]/cfg_TroyOz)</f>
        <v/>
      </c>
      <c r="O2302" s="59">
        <f>IF(tblMovement[[#This Row],[Is_Ore]]=1,tblMovement[[#This Row],[Contained_oz]],0)</f>
        <v/>
      </c>
    </row>
    <row r="2303">
      <c r="A2303" s="54" t="n"/>
      <c r="B2303" s="61" t="n"/>
      <c r="C2303" s="61" t="n"/>
      <c r="D2303" s="61" t="n"/>
      <c r="E2303" s="61" t="n"/>
      <c r="F2303" s="55" t="n"/>
      <c r="G2303" s="56" t="n"/>
      <c r="H2303" s="55" t="n"/>
      <c r="I2303" s="62" t="n"/>
      <c r="J2303" s="58" t="n"/>
      <c r="K2303" s="63">
        <f>IF(tblMovement[[#This Row],[Source]]="","",IFERROR(INDEX(tblSources[Type],MATCH(tblMovement[[#This Row],[Source]],tblSources[Source],0)),"?"))</f>
        <v/>
      </c>
      <c r="L2303" s="63">
        <f>IF(tblMovement[[#This Row],[Destination]]="","",IFERROR(INDEX(tblDestinations[Type],MATCH(tblMovement[[#This Row],[Destination]],tblDestinations[Destination],0)),"?"))</f>
        <v/>
      </c>
      <c r="M2303" s="64">
        <f>IF(tblMovement[[#This Row],[Material]]="","",IF(LEFT(tblMovement[[#This Row],[Material]],3)="Ore",1,0))</f>
        <v/>
      </c>
      <c r="N2303" s="59">
        <f>IF(OR(tblMovement[[#This Row],[Tonnes_t]]="",tblMovement[[#This Row],[Grade_gpt]]=""),0,tblMovement[[#This Row],[Tonnes_t]]*tblMovement[[#This Row],[Grade_gpt]]/cfg_TroyOz)</f>
        <v/>
      </c>
      <c r="O2303" s="59">
        <f>IF(tblMovement[[#This Row],[Is_Ore]]=1,tblMovement[[#This Row],[Contained_oz]],0)</f>
        <v/>
      </c>
    </row>
    <row r="2304">
      <c r="A2304" s="54" t="n"/>
      <c r="B2304" s="61" t="n"/>
      <c r="C2304" s="61" t="n"/>
      <c r="D2304" s="61" t="n"/>
      <c r="E2304" s="61" t="n"/>
      <c r="F2304" s="55" t="n"/>
      <c r="G2304" s="56" t="n"/>
      <c r="H2304" s="55" t="n"/>
      <c r="I2304" s="62" t="n"/>
      <c r="J2304" s="58" t="n"/>
      <c r="K2304" s="63">
        <f>IF(tblMovement[[#This Row],[Source]]="","",IFERROR(INDEX(tblSources[Type],MATCH(tblMovement[[#This Row],[Source]],tblSources[Source],0)),"?"))</f>
        <v/>
      </c>
      <c r="L2304" s="63">
        <f>IF(tblMovement[[#This Row],[Destination]]="","",IFERROR(INDEX(tblDestinations[Type],MATCH(tblMovement[[#This Row],[Destination]],tblDestinations[Destination],0)),"?"))</f>
        <v/>
      </c>
      <c r="M2304" s="64">
        <f>IF(tblMovement[[#This Row],[Material]]="","",IF(LEFT(tblMovement[[#This Row],[Material]],3)="Ore",1,0))</f>
        <v/>
      </c>
      <c r="N2304" s="59">
        <f>IF(OR(tblMovement[[#This Row],[Tonnes_t]]="",tblMovement[[#This Row],[Grade_gpt]]=""),0,tblMovement[[#This Row],[Tonnes_t]]*tblMovement[[#This Row],[Grade_gpt]]/cfg_TroyOz)</f>
        <v/>
      </c>
      <c r="O2304" s="59">
        <f>IF(tblMovement[[#This Row],[Is_Ore]]=1,tblMovement[[#This Row],[Contained_oz]],0)</f>
        <v/>
      </c>
    </row>
    <row r="2305">
      <c r="A2305" s="54" t="n"/>
      <c r="B2305" s="61" t="n"/>
      <c r="C2305" s="61" t="n"/>
      <c r="D2305" s="61" t="n"/>
      <c r="E2305" s="61" t="n"/>
      <c r="F2305" s="55" t="n"/>
      <c r="G2305" s="56" t="n"/>
      <c r="H2305" s="55" t="n"/>
      <c r="I2305" s="62" t="n"/>
      <c r="J2305" s="58" t="n"/>
      <c r="K2305" s="63">
        <f>IF(tblMovement[[#This Row],[Source]]="","",IFERROR(INDEX(tblSources[Type],MATCH(tblMovement[[#This Row],[Source]],tblSources[Source],0)),"?"))</f>
        <v/>
      </c>
      <c r="L2305" s="63">
        <f>IF(tblMovement[[#This Row],[Destination]]="","",IFERROR(INDEX(tblDestinations[Type],MATCH(tblMovement[[#This Row],[Destination]],tblDestinations[Destination],0)),"?"))</f>
        <v/>
      </c>
      <c r="M2305" s="64">
        <f>IF(tblMovement[[#This Row],[Material]]="","",IF(LEFT(tblMovement[[#This Row],[Material]],3)="Ore",1,0))</f>
        <v/>
      </c>
      <c r="N2305" s="59">
        <f>IF(OR(tblMovement[[#This Row],[Tonnes_t]]="",tblMovement[[#This Row],[Grade_gpt]]=""),0,tblMovement[[#This Row],[Tonnes_t]]*tblMovement[[#This Row],[Grade_gpt]]/cfg_TroyOz)</f>
        <v/>
      </c>
      <c r="O2305" s="59">
        <f>IF(tblMovement[[#This Row],[Is_Ore]]=1,tblMovement[[#This Row],[Contained_oz]],0)</f>
        <v/>
      </c>
    </row>
    <row r="2306">
      <c r="A2306" s="54" t="n"/>
      <c r="B2306" s="61" t="n"/>
      <c r="C2306" s="61" t="n"/>
      <c r="D2306" s="61" t="n"/>
      <c r="E2306" s="61" t="n"/>
      <c r="F2306" s="55" t="n"/>
      <c r="G2306" s="56" t="n"/>
      <c r="H2306" s="55" t="n"/>
      <c r="I2306" s="62" t="n"/>
      <c r="J2306" s="58" t="n"/>
      <c r="K2306" s="63">
        <f>IF(tblMovement[[#This Row],[Source]]="","",IFERROR(INDEX(tblSources[Type],MATCH(tblMovement[[#This Row],[Source]],tblSources[Source],0)),"?"))</f>
        <v/>
      </c>
      <c r="L2306" s="63">
        <f>IF(tblMovement[[#This Row],[Destination]]="","",IFERROR(INDEX(tblDestinations[Type],MATCH(tblMovement[[#This Row],[Destination]],tblDestinations[Destination],0)),"?"))</f>
        <v/>
      </c>
      <c r="M2306" s="64">
        <f>IF(tblMovement[[#This Row],[Material]]="","",IF(LEFT(tblMovement[[#This Row],[Material]],3)="Ore",1,0))</f>
        <v/>
      </c>
      <c r="N2306" s="59">
        <f>IF(OR(tblMovement[[#This Row],[Tonnes_t]]="",tblMovement[[#This Row],[Grade_gpt]]=""),0,tblMovement[[#This Row],[Tonnes_t]]*tblMovement[[#This Row],[Grade_gpt]]/cfg_TroyOz)</f>
        <v/>
      </c>
      <c r="O2306" s="59">
        <f>IF(tblMovement[[#This Row],[Is_Ore]]=1,tblMovement[[#This Row],[Contained_oz]],0)</f>
        <v/>
      </c>
    </row>
    <row r="2307">
      <c r="A2307" s="54" t="n"/>
      <c r="B2307" s="61" t="n"/>
      <c r="C2307" s="61" t="n"/>
      <c r="D2307" s="61" t="n"/>
      <c r="E2307" s="61" t="n"/>
      <c r="F2307" s="55" t="n"/>
      <c r="G2307" s="56" t="n"/>
      <c r="H2307" s="55" t="n"/>
      <c r="I2307" s="62" t="n"/>
      <c r="J2307" s="58" t="n"/>
      <c r="K2307" s="63">
        <f>IF(tblMovement[[#This Row],[Source]]="","",IFERROR(INDEX(tblSources[Type],MATCH(tblMovement[[#This Row],[Source]],tblSources[Source],0)),"?"))</f>
        <v/>
      </c>
      <c r="L2307" s="63">
        <f>IF(tblMovement[[#This Row],[Destination]]="","",IFERROR(INDEX(tblDestinations[Type],MATCH(tblMovement[[#This Row],[Destination]],tblDestinations[Destination],0)),"?"))</f>
        <v/>
      </c>
      <c r="M2307" s="64">
        <f>IF(tblMovement[[#This Row],[Material]]="","",IF(LEFT(tblMovement[[#This Row],[Material]],3)="Ore",1,0))</f>
        <v/>
      </c>
      <c r="N2307" s="59">
        <f>IF(OR(tblMovement[[#This Row],[Tonnes_t]]="",tblMovement[[#This Row],[Grade_gpt]]=""),0,tblMovement[[#This Row],[Tonnes_t]]*tblMovement[[#This Row],[Grade_gpt]]/cfg_TroyOz)</f>
        <v/>
      </c>
      <c r="O2307" s="59">
        <f>IF(tblMovement[[#This Row],[Is_Ore]]=1,tblMovement[[#This Row],[Contained_oz]],0)</f>
        <v/>
      </c>
    </row>
    <row r="2308">
      <c r="A2308" s="54" t="n"/>
      <c r="B2308" s="61" t="n"/>
      <c r="C2308" s="61" t="n"/>
      <c r="D2308" s="61" t="n"/>
      <c r="E2308" s="61" t="n"/>
      <c r="F2308" s="55" t="n"/>
      <c r="G2308" s="56" t="n"/>
      <c r="H2308" s="55" t="n"/>
      <c r="I2308" s="62" t="n"/>
      <c r="J2308" s="58" t="n"/>
      <c r="K2308" s="63">
        <f>IF(tblMovement[[#This Row],[Source]]="","",IFERROR(INDEX(tblSources[Type],MATCH(tblMovement[[#This Row],[Source]],tblSources[Source],0)),"?"))</f>
        <v/>
      </c>
      <c r="L2308" s="63">
        <f>IF(tblMovement[[#This Row],[Destination]]="","",IFERROR(INDEX(tblDestinations[Type],MATCH(tblMovement[[#This Row],[Destination]],tblDestinations[Destination],0)),"?"))</f>
        <v/>
      </c>
      <c r="M2308" s="64">
        <f>IF(tblMovement[[#This Row],[Material]]="","",IF(LEFT(tblMovement[[#This Row],[Material]],3)="Ore",1,0))</f>
        <v/>
      </c>
      <c r="N2308" s="59">
        <f>IF(OR(tblMovement[[#This Row],[Tonnes_t]]="",tblMovement[[#This Row],[Grade_gpt]]=""),0,tblMovement[[#This Row],[Tonnes_t]]*tblMovement[[#This Row],[Grade_gpt]]/cfg_TroyOz)</f>
        <v/>
      </c>
      <c r="O2308" s="59">
        <f>IF(tblMovement[[#This Row],[Is_Ore]]=1,tblMovement[[#This Row],[Contained_oz]],0)</f>
        <v/>
      </c>
    </row>
    <row r="2309">
      <c r="A2309" s="54" t="n"/>
      <c r="B2309" s="61" t="n"/>
      <c r="C2309" s="61" t="n"/>
      <c r="D2309" s="61" t="n"/>
      <c r="E2309" s="61" t="n"/>
      <c r="F2309" s="55" t="n"/>
      <c r="G2309" s="56" t="n"/>
      <c r="H2309" s="55" t="n"/>
      <c r="I2309" s="62" t="n"/>
      <c r="J2309" s="58" t="n"/>
      <c r="K2309" s="63">
        <f>IF(tblMovement[[#This Row],[Source]]="","",IFERROR(INDEX(tblSources[Type],MATCH(tblMovement[[#This Row],[Source]],tblSources[Source],0)),"?"))</f>
        <v/>
      </c>
      <c r="L2309" s="63">
        <f>IF(tblMovement[[#This Row],[Destination]]="","",IFERROR(INDEX(tblDestinations[Type],MATCH(tblMovement[[#This Row],[Destination]],tblDestinations[Destination],0)),"?"))</f>
        <v/>
      </c>
      <c r="M2309" s="64">
        <f>IF(tblMovement[[#This Row],[Material]]="","",IF(LEFT(tblMovement[[#This Row],[Material]],3)="Ore",1,0))</f>
        <v/>
      </c>
      <c r="N2309" s="59">
        <f>IF(OR(tblMovement[[#This Row],[Tonnes_t]]="",tblMovement[[#This Row],[Grade_gpt]]=""),0,tblMovement[[#This Row],[Tonnes_t]]*tblMovement[[#This Row],[Grade_gpt]]/cfg_TroyOz)</f>
        <v/>
      </c>
      <c r="O2309" s="59">
        <f>IF(tblMovement[[#This Row],[Is_Ore]]=1,tblMovement[[#This Row],[Contained_oz]],0)</f>
        <v/>
      </c>
    </row>
    <row r="2310">
      <c r="A2310" s="54" t="n"/>
      <c r="B2310" s="61" t="n"/>
      <c r="C2310" s="61" t="n"/>
      <c r="D2310" s="61" t="n"/>
      <c r="E2310" s="61" t="n"/>
      <c r="F2310" s="55" t="n"/>
      <c r="G2310" s="56" t="n"/>
      <c r="H2310" s="55" t="n"/>
      <c r="I2310" s="62" t="n"/>
      <c r="J2310" s="58" t="n"/>
      <c r="K2310" s="63">
        <f>IF(tblMovement[[#This Row],[Source]]="","",IFERROR(INDEX(tblSources[Type],MATCH(tblMovement[[#This Row],[Source]],tblSources[Source],0)),"?"))</f>
        <v/>
      </c>
      <c r="L2310" s="63">
        <f>IF(tblMovement[[#This Row],[Destination]]="","",IFERROR(INDEX(tblDestinations[Type],MATCH(tblMovement[[#This Row],[Destination]],tblDestinations[Destination],0)),"?"))</f>
        <v/>
      </c>
      <c r="M2310" s="64">
        <f>IF(tblMovement[[#This Row],[Material]]="","",IF(LEFT(tblMovement[[#This Row],[Material]],3)="Ore",1,0))</f>
        <v/>
      </c>
      <c r="N2310" s="59">
        <f>IF(OR(tblMovement[[#This Row],[Tonnes_t]]="",tblMovement[[#This Row],[Grade_gpt]]=""),0,tblMovement[[#This Row],[Tonnes_t]]*tblMovement[[#This Row],[Grade_gpt]]/cfg_TroyOz)</f>
        <v/>
      </c>
      <c r="O2310" s="59">
        <f>IF(tblMovement[[#This Row],[Is_Ore]]=1,tblMovement[[#This Row],[Contained_oz]],0)</f>
        <v/>
      </c>
    </row>
    <row r="2311">
      <c r="A2311" s="54" t="n"/>
      <c r="B2311" s="61" t="n"/>
      <c r="C2311" s="61" t="n"/>
      <c r="D2311" s="61" t="n"/>
      <c r="E2311" s="61" t="n"/>
      <c r="F2311" s="55" t="n"/>
      <c r="G2311" s="56" t="n"/>
      <c r="H2311" s="55" t="n"/>
      <c r="I2311" s="62" t="n"/>
      <c r="J2311" s="58" t="n"/>
      <c r="K2311" s="63">
        <f>IF(tblMovement[[#This Row],[Source]]="","",IFERROR(INDEX(tblSources[Type],MATCH(tblMovement[[#This Row],[Source]],tblSources[Source],0)),"?"))</f>
        <v/>
      </c>
      <c r="L2311" s="63">
        <f>IF(tblMovement[[#This Row],[Destination]]="","",IFERROR(INDEX(tblDestinations[Type],MATCH(tblMovement[[#This Row],[Destination]],tblDestinations[Destination],0)),"?"))</f>
        <v/>
      </c>
      <c r="M2311" s="64">
        <f>IF(tblMovement[[#This Row],[Material]]="","",IF(LEFT(tblMovement[[#This Row],[Material]],3)="Ore",1,0))</f>
        <v/>
      </c>
      <c r="N2311" s="59">
        <f>IF(OR(tblMovement[[#This Row],[Tonnes_t]]="",tblMovement[[#This Row],[Grade_gpt]]=""),0,tblMovement[[#This Row],[Tonnes_t]]*tblMovement[[#This Row],[Grade_gpt]]/cfg_TroyOz)</f>
        <v/>
      </c>
      <c r="O2311" s="59">
        <f>IF(tblMovement[[#This Row],[Is_Ore]]=1,tblMovement[[#This Row],[Contained_oz]],0)</f>
        <v/>
      </c>
    </row>
    <row r="2312">
      <c r="A2312" s="54" t="n"/>
      <c r="B2312" s="61" t="n"/>
      <c r="C2312" s="61" t="n"/>
      <c r="D2312" s="61" t="n"/>
      <c r="E2312" s="61" t="n"/>
      <c r="F2312" s="55" t="n"/>
      <c r="G2312" s="56" t="n"/>
      <c r="H2312" s="55" t="n"/>
      <c r="I2312" s="62" t="n"/>
      <c r="J2312" s="58" t="n"/>
      <c r="K2312" s="63">
        <f>IF(tblMovement[[#This Row],[Source]]="","",IFERROR(INDEX(tblSources[Type],MATCH(tblMovement[[#This Row],[Source]],tblSources[Source],0)),"?"))</f>
        <v/>
      </c>
      <c r="L2312" s="63">
        <f>IF(tblMovement[[#This Row],[Destination]]="","",IFERROR(INDEX(tblDestinations[Type],MATCH(tblMovement[[#This Row],[Destination]],tblDestinations[Destination],0)),"?"))</f>
        <v/>
      </c>
      <c r="M2312" s="64">
        <f>IF(tblMovement[[#This Row],[Material]]="","",IF(LEFT(tblMovement[[#This Row],[Material]],3)="Ore",1,0))</f>
        <v/>
      </c>
      <c r="N2312" s="59">
        <f>IF(OR(tblMovement[[#This Row],[Tonnes_t]]="",tblMovement[[#This Row],[Grade_gpt]]=""),0,tblMovement[[#This Row],[Tonnes_t]]*tblMovement[[#This Row],[Grade_gpt]]/cfg_TroyOz)</f>
        <v/>
      </c>
      <c r="O2312" s="59">
        <f>IF(tblMovement[[#This Row],[Is_Ore]]=1,tblMovement[[#This Row],[Contained_oz]],0)</f>
        <v/>
      </c>
    </row>
    <row r="2313">
      <c r="A2313" s="54" t="n"/>
      <c r="B2313" s="61" t="n"/>
      <c r="C2313" s="61" t="n"/>
      <c r="D2313" s="61" t="n"/>
      <c r="E2313" s="61" t="n"/>
      <c r="F2313" s="55" t="n"/>
      <c r="G2313" s="56" t="n"/>
      <c r="H2313" s="55" t="n"/>
      <c r="I2313" s="62" t="n"/>
      <c r="J2313" s="58" t="n"/>
      <c r="K2313" s="63">
        <f>IF(tblMovement[[#This Row],[Source]]="","",IFERROR(INDEX(tblSources[Type],MATCH(tblMovement[[#This Row],[Source]],tblSources[Source],0)),"?"))</f>
        <v/>
      </c>
      <c r="L2313" s="63">
        <f>IF(tblMovement[[#This Row],[Destination]]="","",IFERROR(INDEX(tblDestinations[Type],MATCH(tblMovement[[#This Row],[Destination]],tblDestinations[Destination],0)),"?"))</f>
        <v/>
      </c>
      <c r="M2313" s="64">
        <f>IF(tblMovement[[#This Row],[Material]]="","",IF(LEFT(tblMovement[[#This Row],[Material]],3)="Ore",1,0))</f>
        <v/>
      </c>
      <c r="N2313" s="59">
        <f>IF(OR(tblMovement[[#This Row],[Tonnes_t]]="",tblMovement[[#This Row],[Grade_gpt]]=""),0,tblMovement[[#This Row],[Tonnes_t]]*tblMovement[[#This Row],[Grade_gpt]]/cfg_TroyOz)</f>
        <v/>
      </c>
      <c r="O2313" s="59">
        <f>IF(tblMovement[[#This Row],[Is_Ore]]=1,tblMovement[[#This Row],[Contained_oz]],0)</f>
        <v/>
      </c>
    </row>
    <row r="2314">
      <c r="A2314" s="54" t="n"/>
      <c r="B2314" s="61" t="n"/>
      <c r="C2314" s="61" t="n"/>
      <c r="D2314" s="61" t="n"/>
      <c r="E2314" s="61" t="n"/>
      <c r="F2314" s="55" t="n"/>
      <c r="G2314" s="56" t="n"/>
      <c r="H2314" s="55" t="n"/>
      <c r="I2314" s="62" t="n"/>
      <c r="J2314" s="58" t="n"/>
      <c r="K2314" s="63">
        <f>IF(tblMovement[[#This Row],[Source]]="","",IFERROR(INDEX(tblSources[Type],MATCH(tblMovement[[#This Row],[Source]],tblSources[Source],0)),"?"))</f>
        <v/>
      </c>
      <c r="L2314" s="63">
        <f>IF(tblMovement[[#This Row],[Destination]]="","",IFERROR(INDEX(tblDestinations[Type],MATCH(tblMovement[[#This Row],[Destination]],tblDestinations[Destination],0)),"?"))</f>
        <v/>
      </c>
      <c r="M2314" s="64">
        <f>IF(tblMovement[[#This Row],[Material]]="","",IF(LEFT(tblMovement[[#This Row],[Material]],3)="Ore",1,0))</f>
        <v/>
      </c>
      <c r="N2314" s="59">
        <f>IF(OR(tblMovement[[#This Row],[Tonnes_t]]="",tblMovement[[#This Row],[Grade_gpt]]=""),0,tblMovement[[#This Row],[Tonnes_t]]*tblMovement[[#This Row],[Grade_gpt]]/cfg_TroyOz)</f>
        <v/>
      </c>
      <c r="O2314" s="59">
        <f>IF(tblMovement[[#This Row],[Is_Ore]]=1,tblMovement[[#This Row],[Contained_oz]],0)</f>
        <v/>
      </c>
    </row>
    <row r="2315">
      <c r="A2315" s="54" t="n"/>
      <c r="B2315" s="61" t="n"/>
      <c r="C2315" s="61" t="n"/>
      <c r="D2315" s="61" t="n"/>
      <c r="E2315" s="61" t="n"/>
      <c r="F2315" s="55" t="n"/>
      <c r="G2315" s="56" t="n"/>
      <c r="H2315" s="55" t="n"/>
      <c r="I2315" s="62" t="n"/>
      <c r="J2315" s="58" t="n"/>
      <c r="K2315" s="63">
        <f>IF(tblMovement[[#This Row],[Source]]="","",IFERROR(INDEX(tblSources[Type],MATCH(tblMovement[[#This Row],[Source]],tblSources[Source],0)),"?"))</f>
        <v/>
      </c>
      <c r="L2315" s="63">
        <f>IF(tblMovement[[#This Row],[Destination]]="","",IFERROR(INDEX(tblDestinations[Type],MATCH(tblMovement[[#This Row],[Destination]],tblDestinations[Destination],0)),"?"))</f>
        <v/>
      </c>
      <c r="M2315" s="64">
        <f>IF(tblMovement[[#This Row],[Material]]="","",IF(LEFT(tblMovement[[#This Row],[Material]],3)="Ore",1,0))</f>
        <v/>
      </c>
      <c r="N2315" s="59">
        <f>IF(OR(tblMovement[[#This Row],[Tonnes_t]]="",tblMovement[[#This Row],[Grade_gpt]]=""),0,tblMovement[[#This Row],[Tonnes_t]]*tblMovement[[#This Row],[Grade_gpt]]/cfg_TroyOz)</f>
        <v/>
      </c>
      <c r="O2315" s="59">
        <f>IF(tblMovement[[#This Row],[Is_Ore]]=1,tblMovement[[#This Row],[Contained_oz]],0)</f>
        <v/>
      </c>
    </row>
    <row r="2316">
      <c r="A2316" s="54" t="n"/>
      <c r="B2316" s="61" t="n"/>
      <c r="C2316" s="61" t="n"/>
      <c r="D2316" s="61" t="n"/>
      <c r="E2316" s="61" t="n"/>
      <c r="F2316" s="55" t="n"/>
      <c r="G2316" s="56" t="n"/>
      <c r="H2316" s="55" t="n"/>
      <c r="I2316" s="62" t="n"/>
      <c r="J2316" s="58" t="n"/>
      <c r="K2316" s="63">
        <f>IF(tblMovement[[#This Row],[Source]]="","",IFERROR(INDEX(tblSources[Type],MATCH(tblMovement[[#This Row],[Source]],tblSources[Source],0)),"?"))</f>
        <v/>
      </c>
      <c r="L2316" s="63">
        <f>IF(tblMovement[[#This Row],[Destination]]="","",IFERROR(INDEX(tblDestinations[Type],MATCH(tblMovement[[#This Row],[Destination]],tblDestinations[Destination],0)),"?"))</f>
        <v/>
      </c>
      <c r="M2316" s="64">
        <f>IF(tblMovement[[#This Row],[Material]]="","",IF(LEFT(tblMovement[[#This Row],[Material]],3)="Ore",1,0))</f>
        <v/>
      </c>
      <c r="N2316" s="59">
        <f>IF(OR(tblMovement[[#This Row],[Tonnes_t]]="",tblMovement[[#This Row],[Grade_gpt]]=""),0,tblMovement[[#This Row],[Tonnes_t]]*tblMovement[[#This Row],[Grade_gpt]]/cfg_TroyOz)</f>
        <v/>
      </c>
      <c r="O2316" s="59">
        <f>IF(tblMovement[[#This Row],[Is_Ore]]=1,tblMovement[[#This Row],[Contained_oz]],0)</f>
        <v/>
      </c>
    </row>
    <row r="2317">
      <c r="A2317" s="54" t="n"/>
      <c r="B2317" s="61" t="n"/>
      <c r="C2317" s="61" t="n"/>
      <c r="D2317" s="61" t="n"/>
      <c r="E2317" s="61" t="n"/>
      <c r="F2317" s="55" t="n"/>
      <c r="G2317" s="56" t="n"/>
      <c r="H2317" s="55" t="n"/>
      <c r="I2317" s="62" t="n"/>
      <c r="J2317" s="58" t="n"/>
      <c r="K2317" s="63">
        <f>IF(tblMovement[[#This Row],[Source]]="","",IFERROR(INDEX(tblSources[Type],MATCH(tblMovement[[#This Row],[Source]],tblSources[Source],0)),"?"))</f>
        <v/>
      </c>
      <c r="L2317" s="63">
        <f>IF(tblMovement[[#This Row],[Destination]]="","",IFERROR(INDEX(tblDestinations[Type],MATCH(tblMovement[[#This Row],[Destination]],tblDestinations[Destination],0)),"?"))</f>
        <v/>
      </c>
      <c r="M2317" s="64">
        <f>IF(tblMovement[[#This Row],[Material]]="","",IF(LEFT(tblMovement[[#This Row],[Material]],3)="Ore",1,0))</f>
        <v/>
      </c>
      <c r="N2317" s="59">
        <f>IF(OR(tblMovement[[#This Row],[Tonnes_t]]="",tblMovement[[#This Row],[Grade_gpt]]=""),0,tblMovement[[#This Row],[Tonnes_t]]*tblMovement[[#This Row],[Grade_gpt]]/cfg_TroyOz)</f>
        <v/>
      </c>
      <c r="O2317" s="59">
        <f>IF(tblMovement[[#This Row],[Is_Ore]]=1,tblMovement[[#This Row],[Contained_oz]],0)</f>
        <v/>
      </c>
    </row>
    <row r="2318">
      <c r="A2318" s="54" t="n"/>
      <c r="B2318" s="61" t="n"/>
      <c r="C2318" s="61" t="n"/>
      <c r="D2318" s="61" t="n"/>
      <c r="E2318" s="61" t="n"/>
      <c r="F2318" s="55" t="n"/>
      <c r="G2318" s="56" t="n"/>
      <c r="H2318" s="55" t="n"/>
      <c r="I2318" s="62" t="n"/>
      <c r="J2318" s="58" t="n"/>
      <c r="K2318" s="63">
        <f>IF(tblMovement[[#This Row],[Source]]="","",IFERROR(INDEX(tblSources[Type],MATCH(tblMovement[[#This Row],[Source]],tblSources[Source],0)),"?"))</f>
        <v/>
      </c>
      <c r="L2318" s="63">
        <f>IF(tblMovement[[#This Row],[Destination]]="","",IFERROR(INDEX(tblDestinations[Type],MATCH(tblMovement[[#This Row],[Destination]],tblDestinations[Destination],0)),"?"))</f>
        <v/>
      </c>
      <c r="M2318" s="64">
        <f>IF(tblMovement[[#This Row],[Material]]="","",IF(LEFT(tblMovement[[#This Row],[Material]],3)="Ore",1,0))</f>
        <v/>
      </c>
      <c r="N2318" s="59">
        <f>IF(OR(tblMovement[[#This Row],[Tonnes_t]]="",tblMovement[[#This Row],[Grade_gpt]]=""),0,tblMovement[[#This Row],[Tonnes_t]]*tblMovement[[#This Row],[Grade_gpt]]/cfg_TroyOz)</f>
        <v/>
      </c>
      <c r="O2318" s="59">
        <f>IF(tblMovement[[#This Row],[Is_Ore]]=1,tblMovement[[#This Row],[Contained_oz]],0)</f>
        <v/>
      </c>
    </row>
    <row r="2319">
      <c r="A2319" s="54" t="n"/>
      <c r="B2319" s="61" t="n"/>
      <c r="C2319" s="61" t="n"/>
      <c r="D2319" s="61" t="n"/>
      <c r="E2319" s="61" t="n"/>
      <c r="F2319" s="55" t="n"/>
      <c r="G2319" s="56" t="n"/>
      <c r="H2319" s="55" t="n"/>
      <c r="I2319" s="62" t="n"/>
      <c r="J2319" s="58" t="n"/>
      <c r="K2319" s="63">
        <f>IF(tblMovement[[#This Row],[Source]]="","",IFERROR(INDEX(tblSources[Type],MATCH(tblMovement[[#This Row],[Source]],tblSources[Source],0)),"?"))</f>
        <v/>
      </c>
      <c r="L2319" s="63">
        <f>IF(tblMovement[[#This Row],[Destination]]="","",IFERROR(INDEX(tblDestinations[Type],MATCH(tblMovement[[#This Row],[Destination]],tblDestinations[Destination],0)),"?"))</f>
        <v/>
      </c>
      <c r="M2319" s="64">
        <f>IF(tblMovement[[#This Row],[Material]]="","",IF(LEFT(tblMovement[[#This Row],[Material]],3)="Ore",1,0))</f>
        <v/>
      </c>
      <c r="N2319" s="59">
        <f>IF(OR(tblMovement[[#This Row],[Tonnes_t]]="",tblMovement[[#This Row],[Grade_gpt]]=""),0,tblMovement[[#This Row],[Tonnes_t]]*tblMovement[[#This Row],[Grade_gpt]]/cfg_TroyOz)</f>
        <v/>
      </c>
      <c r="O2319" s="59">
        <f>IF(tblMovement[[#This Row],[Is_Ore]]=1,tblMovement[[#This Row],[Contained_oz]],0)</f>
        <v/>
      </c>
    </row>
    <row r="2320">
      <c r="A2320" s="54" t="n"/>
      <c r="B2320" s="61" t="n"/>
      <c r="C2320" s="61" t="n"/>
      <c r="D2320" s="61" t="n"/>
      <c r="E2320" s="61" t="n"/>
      <c r="F2320" s="55" t="n"/>
      <c r="G2320" s="56" t="n"/>
      <c r="H2320" s="55" t="n"/>
      <c r="I2320" s="62" t="n"/>
      <c r="J2320" s="58" t="n"/>
      <c r="K2320" s="63">
        <f>IF(tblMovement[[#This Row],[Source]]="","",IFERROR(INDEX(tblSources[Type],MATCH(tblMovement[[#This Row],[Source]],tblSources[Source],0)),"?"))</f>
        <v/>
      </c>
      <c r="L2320" s="63">
        <f>IF(tblMovement[[#This Row],[Destination]]="","",IFERROR(INDEX(tblDestinations[Type],MATCH(tblMovement[[#This Row],[Destination]],tblDestinations[Destination],0)),"?"))</f>
        <v/>
      </c>
      <c r="M2320" s="64">
        <f>IF(tblMovement[[#This Row],[Material]]="","",IF(LEFT(tblMovement[[#This Row],[Material]],3)="Ore",1,0))</f>
        <v/>
      </c>
      <c r="N2320" s="59">
        <f>IF(OR(tblMovement[[#This Row],[Tonnes_t]]="",tblMovement[[#This Row],[Grade_gpt]]=""),0,tblMovement[[#This Row],[Tonnes_t]]*tblMovement[[#This Row],[Grade_gpt]]/cfg_TroyOz)</f>
        <v/>
      </c>
      <c r="O2320" s="59">
        <f>IF(tblMovement[[#This Row],[Is_Ore]]=1,tblMovement[[#This Row],[Contained_oz]],0)</f>
        <v/>
      </c>
    </row>
    <row r="2321">
      <c r="A2321" s="54" t="n"/>
      <c r="B2321" s="61" t="n"/>
      <c r="C2321" s="61" t="n"/>
      <c r="D2321" s="61" t="n"/>
      <c r="E2321" s="61" t="n"/>
      <c r="F2321" s="55" t="n"/>
      <c r="G2321" s="56" t="n"/>
      <c r="H2321" s="55" t="n"/>
      <c r="I2321" s="62" t="n"/>
      <c r="J2321" s="58" t="n"/>
      <c r="K2321" s="63">
        <f>IF(tblMovement[[#This Row],[Source]]="","",IFERROR(INDEX(tblSources[Type],MATCH(tblMovement[[#This Row],[Source]],tblSources[Source],0)),"?"))</f>
        <v/>
      </c>
      <c r="L2321" s="63">
        <f>IF(tblMovement[[#This Row],[Destination]]="","",IFERROR(INDEX(tblDestinations[Type],MATCH(tblMovement[[#This Row],[Destination]],tblDestinations[Destination],0)),"?"))</f>
        <v/>
      </c>
      <c r="M2321" s="64">
        <f>IF(tblMovement[[#This Row],[Material]]="","",IF(LEFT(tblMovement[[#This Row],[Material]],3)="Ore",1,0))</f>
        <v/>
      </c>
      <c r="N2321" s="59">
        <f>IF(OR(tblMovement[[#This Row],[Tonnes_t]]="",tblMovement[[#This Row],[Grade_gpt]]=""),0,tblMovement[[#This Row],[Tonnes_t]]*tblMovement[[#This Row],[Grade_gpt]]/cfg_TroyOz)</f>
        <v/>
      </c>
      <c r="O2321" s="59">
        <f>IF(tblMovement[[#This Row],[Is_Ore]]=1,tblMovement[[#This Row],[Contained_oz]],0)</f>
        <v/>
      </c>
    </row>
    <row r="2322">
      <c r="A2322" s="54" t="n"/>
      <c r="B2322" s="61" t="n"/>
      <c r="C2322" s="61" t="n"/>
      <c r="D2322" s="61" t="n"/>
      <c r="E2322" s="61" t="n"/>
      <c r="F2322" s="55" t="n"/>
      <c r="G2322" s="56" t="n"/>
      <c r="H2322" s="55" t="n"/>
      <c r="I2322" s="62" t="n"/>
      <c r="J2322" s="58" t="n"/>
      <c r="K2322" s="63">
        <f>IF(tblMovement[[#This Row],[Source]]="","",IFERROR(INDEX(tblSources[Type],MATCH(tblMovement[[#This Row],[Source]],tblSources[Source],0)),"?"))</f>
        <v/>
      </c>
      <c r="L2322" s="63">
        <f>IF(tblMovement[[#This Row],[Destination]]="","",IFERROR(INDEX(tblDestinations[Type],MATCH(tblMovement[[#This Row],[Destination]],tblDestinations[Destination],0)),"?"))</f>
        <v/>
      </c>
      <c r="M2322" s="64">
        <f>IF(tblMovement[[#This Row],[Material]]="","",IF(LEFT(tblMovement[[#This Row],[Material]],3)="Ore",1,0))</f>
        <v/>
      </c>
      <c r="N2322" s="59">
        <f>IF(OR(tblMovement[[#This Row],[Tonnes_t]]="",tblMovement[[#This Row],[Grade_gpt]]=""),0,tblMovement[[#This Row],[Tonnes_t]]*tblMovement[[#This Row],[Grade_gpt]]/cfg_TroyOz)</f>
        <v/>
      </c>
      <c r="O2322" s="59">
        <f>IF(tblMovement[[#This Row],[Is_Ore]]=1,tblMovement[[#This Row],[Contained_oz]],0)</f>
        <v/>
      </c>
    </row>
    <row r="2323">
      <c r="A2323" s="54" t="n"/>
      <c r="B2323" s="61" t="n"/>
      <c r="C2323" s="61" t="n"/>
      <c r="D2323" s="61" t="n"/>
      <c r="E2323" s="61" t="n"/>
      <c r="F2323" s="55" t="n"/>
      <c r="G2323" s="56" t="n"/>
      <c r="H2323" s="55" t="n"/>
      <c r="I2323" s="62" t="n"/>
      <c r="J2323" s="58" t="n"/>
      <c r="K2323" s="63">
        <f>IF(tblMovement[[#This Row],[Source]]="","",IFERROR(INDEX(tblSources[Type],MATCH(tblMovement[[#This Row],[Source]],tblSources[Source],0)),"?"))</f>
        <v/>
      </c>
      <c r="L2323" s="63">
        <f>IF(tblMovement[[#This Row],[Destination]]="","",IFERROR(INDEX(tblDestinations[Type],MATCH(tblMovement[[#This Row],[Destination]],tblDestinations[Destination],0)),"?"))</f>
        <v/>
      </c>
      <c r="M2323" s="64">
        <f>IF(tblMovement[[#This Row],[Material]]="","",IF(LEFT(tblMovement[[#This Row],[Material]],3)="Ore",1,0))</f>
        <v/>
      </c>
      <c r="N2323" s="59">
        <f>IF(OR(tblMovement[[#This Row],[Tonnes_t]]="",tblMovement[[#This Row],[Grade_gpt]]=""),0,tblMovement[[#This Row],[Tonnes_t]]*tblMovement[[#This Row],[Grade_gpt]]/cfg_TroyOz)</f>
        <v/>
      </c>
      <c r="O2323" s="59">
        <f>IF(tblMovement[[#This Row],[Is_Ore]]=1,tblMovement[[#This Row],[Contained_oz]],0)</f>
        <v/>
      </c>
    </row>
    <row r="2324">
      <c r="A2324" s="54" t="n"/>
      <c r="B2324" s="61" t="n"/>
      <c r="C2324" s="61" t="n"/>
      <c r="D2324" s="61" t="n"/>
      <c r="E2324" s="61" t="n"/>
      <c r="F2324" s="55" t="n"/>
      <c r="G2324" s="56" t="n"/>
      <c r="H2324" s="55" t="n"/>
      <c r="I2324" s="62" t="n"/>
      <c r="J2324" s="58" t="n"/>
      <c r="K2324" s="63">
        <f>IF(tblMovement[[#This Row],[Source]]="","",IFERROR(INDEX(tblSources[Type],MATCH(tblMovement[[#This Row],[Source]],tblSources[Source],0)),"?"))</f>
        <v/>
      </c>
      <c r="L2324" s="63">
        <f>IF(tblMovement[[#This Row],[Destination]]="","",IFERROR(INDEX(tblDestinations[Type],MATCH(tblMovement[[#This Row],[Destination]],tblDestinations[Destination],0)),"?"))</f>
        <v/>
      </c>
      <c r="M2324" s="64">
        <f>IF(tblMovement[[#This Row],[Material]]="","",IF(LEFT(tblMovement[[#This Row],[Material]],3)="Ore",1,0))</f>
        <v/>
      </c>
      <c r="N2324" s="59">
        <f>IF(OR(tblMovement[[#This Row],[Tonnes_t]]="",tblMovement[[#This Row],[Grade_gpt]]=""),0,tblMovement[[#This Row],[Tonnes_t]]*tblMovement[[#This Row],[Grade_gpt]]/cfg_TroyOz)</f>
        <v/>
      </c>
      <c r="O2324" s="59">
        <f>IF(tblMovement[[#This Row],[Is_Ore]]=1,tblMovement[[#This Row],[Contained_oz]],0)</f>
        <v/>
      </c>
    </row>
    <row r="2325">
      <c r="A2325" s="54" t="n"/>
      <c r="B2325" s="61" t="n"/>
      <c r="C2325" s="61" t="n"/>
      <c r="D2325" s="61" t="n"/>
      <c r="E2325" s="61" t="n"/>
      <c r="F2325" s="55" t="n"/>
      <c r="G2325" s="56" t="n"/>
      <c r="H2325" s="55" t="n"/>
      <c r="I2325" s="62" t="n"/>
      <c r="J2325" s="58" t="n"/>
      <c r="K2325" s="63">
        <f>IF(tblMovement[[#This Row],[Source]]="","",IFERROR(INDEX(tblSources[Type],MATCH(tblMovement[[#This Row],[Source]],tblSources[Source],0)),"?"))</f>
        <v/>
      </c>
      <c r="L2325" s="63">
        <f>IF(tblMovement[[#This Row],[Destination]]="","",IFERROR(INDEX(tblDestinations[Type],MATCH(tblMovement[[#This Row],[Destination]],tblDestinations[Destination],0)),"?"))</f>
        <v/>
      </c>
      <c r="M2325" s="64">
        <f>IF(tblMovement[[#This Row],[Material]]="","",IF(LEFT(tblMovement[[#This Row],[Material]],3)="Ore",1,0))</f>
        <v/>
      </c>
      <c r="N2325" s="59">
        <f>IF(OR(tblMovement[[#This Row],[Tonnes_t]]="",tblMovement[[#This Row],[Grade_gpt]]=""),0,tblMovement[[#This Row],[Tonnes_t]]*tblMovement[[#This Row],[Grade_gpt]]/cfg_TroyOz)</f>
        <v/>
      </c>
      <c r="O2325" s="59">
        <f>IF(tblMovement[[#This Row],[Is_Ore]]=1,tblMovement[[#This Row],[Contained_oz]],0)</f>
        <v/>
      </c>
    </row>
    <row r="2326">
      <c r="A2326" s="54" t="n"/>
      <c r="B2326" s="61" t="n"/>
      <c r="C2326" s="61" t="n"/>
      <c r="D2326" s="61" t="n"/>
      <c r="E2326" s="61" t="n"/>
      <c r="F2326" s="55" t="n"/>
      <c r="G2326" s="56" t="n"/>
      <c r="H2326" s="55" t="n"/>
      <c r="I2326" s="62" t="n"/>
      <c r="J2326" s="58" t="n"/>
      <c r="K2326" s="63">
        <f>IF(tblMovement[[#This Row],[Source]]="","",IFERROR(INDEX(tblSources[Type],MATCH(tblMovement[[#This Row],[Source]],tblSources[Source],0)),"?"))</f>
        <v/>
      </c>
      <c r="L2326" s="63">
        <f>IF(tblMovement[[#This Row],[Destination]]="","",IFERROR(INDEX(tblDestinations[Type],MATCH(tblMovement[[#This Row],[Destination]],tblDestinations[Destination],0)),"?"))</f>
        <v/>
      </c>
      <c r="M2326" s="64">
        <f>IF(tblMovement[[#This Row],[Material]]="","",IF(LEFT(tblMovement[[#This Row],[Material]],3)="Ore",1,0))</f>
        <v/>
      </c>
      <c r="N2326" s="59">
        <f>IF(OR(tblMovement[[#This Row],[Tonnes_t]]="",tblMovement[[#This Row],[Grade_gpt]]=""),0,tblMovement[[#This Row],[Tonnes_t]]*tblMovement[[#This Row],[Grade_gpt]]/cfg_TroyOz)</f>
        <v/>
      </c>
      <c r="O2326" s="59">
        <f>IF(tblMovement[[#This Row],[Is_Ore]]=1,tblMovement[[#This Row],[Contained_oz]],0)</f>
        <v/>
      </c>
    </row>
    <row r="2327">
      <c r="A2327" s="54" t="n"/>
      <c r="B2327" s="61" t="n"/>
      <c r="C2327" s="61" t="n"/>
      <c r="D2327" s="61" t="n"/>
      <c r="E2327" s="61" t="n"/>
      <c r="F2327" s="55" t="n"/>
      <c r="G2327" s="56" t="n"/>
      <c r="H2327" s="55" t="n"/>
      <c r="I2327" s="62" t="n"/>
      <c r="J2327" s="58" t="n"/>
      <c r="K2327" s="63">
        <f>IF(tblMovement[[#This Row],[Source]]="","",IFERROR(INDEX(tblSources[Type],MATCH(tblMovement[[#This Row],[Source]],tblSources[Source],0)),"?"))</f>
        <v/>
      </c>
      <c r="L2327" s="63">
        <f>IF(tblMovement[[#This Row],[Destination]]="","",IFERROR(INDEX(tblDestinations[Type],MATCH(tblMovement[[#This Row],[Destination]],tblDestinations[Destination],0)),"?"))</f>
        <v/>
      </c>
      <c r="M2327" s="64">
        <f>IF(tblMovement[[#This Row],[Material]]="","",IF(LEFT(tblMovement[[#This Row],[Material]],3)="Ore",1,0))</f>
        <v/>
      </c>
      <c r="N2327" s="59">
        <f>IF(OR(tblMovement[[#This Row],[Tonnes_t]]="",tblMovement[[#This Row],[Grade_gpt]]=""),0,tblMovement[[#This Row],[Tonnes_t]]*tblMovement[[#This Row],[Grade_gpt]]/cfg_TroyOz)</f>
        <v/>
      </c>
      <c r="O2327" s="59">
        <f>IF(tblMovement[[#This Row],[Is_Ore]]=1,tblMovement[[#This Row],[Contained_oz]],0)</f>
        <v/>
      </c>
    </row>
    <row r="2328">
      <c r="A2328" s="54" t="n"/>
      <c r="B2328" s="61" t="n"/>
      <c r="C2328" s="61" t="n"/>
      <c r="D2328" s="61" t="n"/>
      <c r="E2328" s="61" t="n"/>
      <c r="F2328" s="55" t="n"/>
      <c r="G2328" s="56" t="n"/>
      <c r="H2328" s="55" t="n"/>
      <c r="I2328" s="62" t="n"/>
      <c r="J2328" s="58" t="n"/>
      <c r="K2328" s="63">
        <f>IF(tblMovement[[#This Row],[Source]]="","",IFERROR(INDEX(tblSources[Type],MATCH(tblMovement[[#This Row],[Source]],tblSources[Source],0)),"?"))</f>
        <v/>
      </c>
      <c r="L2328" s="63">
        <f>IF(tblMovement[[#This Row],[Destination]]="","",IFERROR(INDEX(tblDestinations[Type],MATCH(tblMovement[[#This Row],[Destination]],tblDestinations[Destination],0)),"?"))</f>
        <v/>
      </c>
      <c r="M2328" s="64">
        <f>IF(tblMovement[[#This Row],[Material]]="","",IF(LEFT(tblMovement[[#This Row],[Material]],3)="Ore",1,0))</f>
        <v/>
      </c>
      <c r="N2328" s="59">
        <f>IF(OR(tblMovement[[#This Row],[Tonnes_t]]="",tblMovement[[#This Row],[Grade_gpt]]=""),0,tblMovement[[#This Row],[Tonnes_t]]*tblMovement[[#This Row],[Grade_gpt]]/cfg_TroyOz)</f>
        <v/>
      </c>
      <c r="O2328" s="59">
        <f>IF(tblMovement[[#This Row],[Is_Ore]]=1,tblMovement[[#This Row],[Contained_oz]],0)</f>
        <v/>
      </c>
    </row>
    <row r="2329">
      <c r="A2329" s="54" t="n"/>
      <c r="B2329" s="61" t="n"/>
      <c r="C2329" s="61" t="n"/>
      <c r="D2329" s="61" t="n"/>
      <c r="E2329" s="61" t="n"/>
      <c r="F2329" s="55" t="n"/>
      <c r="G2329" s="56" t="n"/>
      <c r="H2329" s="55" t="n"/>
      <c r="I2329" s="62" t="n"/>
      <c r="J2329" s="58" t="n"/>
      <c r="K2329" s="63">
        <f>IF(tblMovement[[#This Row],[Source]]="","",IFERROR(INDEX(tblSources[Type],MATCH(tblMovement[[#This Row],[Source]],tblSources[Source],0)),"?"))</f>
        <v/>
      </c>
      <c r="L2329" s="63">
        <f>IF(tblMovement[[#This Row],[Destination]]="","",IFERROR(INDEX(tblDestinations[Type],MATCH(tblMovement[[#This Row],[Destination]],tblDestinations[Destination],0)),"?"))</f>
        <v/>
      </c>
      <c r="M2329" s="64">
        <f>IF(tblMovement[[#This Row],[Material]]="","",IF(LEFT(tblMovement[[#This Row],[Material]],3)="Ore",1,0))</f>
        <v/>
      </c>
      <c r="N2329" s="59">
        <f>IF(OR(tblMovement[[#This Row],[Tonnes_t]]="",tblMovement[[#This Row],[Grade_gpt]]=""),0,tblMovement[[#This Row],[Tonnes_t]]*tblMovement[[#This Row],[Grade_gpt]]/cfg_TroyOz)</f>
        <v/>
      </c>
      <c r="O2329" s="59">
        <f>IF(tblMovement[[#This Row],[Is_Ore]]=1,tblMovement[[#This Row],[Contained_oz]],0)</f>
        <v/>
      </c>
    </row>
    <row r="2330">
      <c r="A2330" s="54" t="n"/>
      <c r="B2330" s="61" t="n"/>
      <c r="C2330" s="61" t="n"/>
      <c r="D2330" s="61" t="n"/>
      <c r="E2330" s="61" t="n"/>
      <c r="F2330" s="55" t="n"/>
      <c r="G2330" s="56" t="n"/>
      <c r="H2330" s="55" t="n"/>
      <c r="I2330" s="62" t="n"/>
      <c r="J2330" s="58" t="n"/>
      <c r="K2330" s="63">
        <f>IF(tblMovement[[#This Row],[Source]]="","",IFERROR(INDEX(tblSources[Type],MATCH(tblMovement[[#This Row],[Source]],tblSources[Source],0)),"?"))</f>
        <v/>
      </c>
      <c r="L2330" s="63">
        <f>IF(tblMovement[[#This Row],[Destination]]="","",IFERROR(INDEX(tblDestinations[Type],MATCH(tblMovement[[#This Row],[Destination]],tblDestinations[Destination],0)),"?"))</f>
        <v/>
      </c>
      <c r="M2330" s="64">
        <f>IF(tblMovement[[#This Row],[Material]]="","",IF(LEFT(tblMovement[[#This Row],[Material]],3)="Ore",1,0))</f>
        <v/>
      </c>
      <c r="N2330" s="59">
        <f>IF(OR(tblMovement[[#This Row],[Tonnes_t]]="",tblMovement[[#This Row],[Grade_gpt]]=""),0,tblMovement[[#This Row],[Tonnes_t]]*tblMovement[[#This Row],[Grade_gpt]]/cfg_TroyOz)</f>
        <v/>
      </c>
      <c r="O2330" s="59">
        <f>IF(tblMovement[[#This Row],[Is_Ore]]=1,tblMovement[[#This Row],[Contained_oz]],0)</f>
        <v/>
      </c>
    </row>
    <row r="2331">
      <c r="A2331" s="54" t="n"/>
      <c r="B2331" s="61" t="n"/>
      <c r="C2331" s="61" t="n"/>
      <c r="D2331" s="61" t="n"/>
      <c r="E2331" s="61" t="n"/>
      <c r="F2331" s="55" t="n"/>
      <c r="G2331" s="56" t="n"/>
      <c r="H2331" s="55" t="n"/>
      <c r="I2331" s="62" t="n"/>
      <c r="J2331" s="58" t="n"/>
      <c r="K2331" s="63">
        <f>IF(tblMovement[[#This Row],[Source]]="","",IFERROR(INDEX(tblSources[Type],MATCH(tblMovement[[#This Row],[Source]],tblSources[Source],0)),"?"))</f>
        <v/>
      </c>
      <c r="L2331" s="63">
        <f>IF(tblMovement[[#This Row],[Destination]]="","",IFERROR(INDEX(tblDestinations[Type],MATCH(tblMovement[[#This Row],[Destination]],tblDestinations[Destination],0)),"?"))</f>
        <v/>
      </c>
      <c r="M2331" s="64">
        <f>IF(tblMovement[[#This Row],[Material]]="","",IF(LEFT(tblMovement[[#This Row],[Material]],3)="Ore",1,0))</f>
        <v/>
      </c>
      <c r="N2331" s="59">
        <f>IF(OR(tblMovement[[#This Row],[Tonnes_t]]="",tblMovement[[#This Row],[Grade_gpt]]=""),0,tblMovement[[#This Row],[Tonnes_t]]*tblMovement[[#This Row],[Grade_gpt]]/cfg_TroyOz)</f>
        <v/>
      </c>
      <c r="O2331" s="59">
        <f>IF(tblMovement[[#This Row],[Is_Ore]]=1,tblMovement[[#This Row],[Contained_oz]],0)</f>
        <v/>
      </c>
    </row>
    <row r="2332">
      <c r="A2332" s="54" t="n"/>
      <c r="B2332" s="61" t="n"/>
      <c r="C2332" s="61" t="n"/>
      <c r="D2332" s="61" t="n"/>
      <c r="E2332" s="61" t="n"/>
      <c r="F2332" s="55" t="n"/>
      <c r="G2332" s="56" t="n"/>
      <c r="H2332" s="55" t="n"/>
      <c r="I2332" s="62" t="n"/>
      <c r="J2332" s="58" t="n"/>
      <c r="K2332" s="63">
        <f>IF(tblMovement[[#This Row],[Source]]="","",IFERROR(INDEX(tblSources[Type],MATCH(tblMovement[[#This Row],[Source]],tblSources[Source],0)),"?"))</f>
        <v/>
      </c>
      <c r="L2332" s="63">
        <f>IF(tblMovement[[#This Row],[Destination]]="","",IFERROR(INDEX(tblDestinations[Type],MATCH(tblMovement[[#This Row],[Destination]],tblDestinations[Destination],0)),"?"))</f>
        <v/>
      </c>
      <c r="M2332" s="64">
        <f>IF(tblMovement[[#This Row],[Material]]="","",IF(LEFT(tblMovement[[#This Row],[Material]],3)="Ore",1,0))</f>
        <v/>
      </c>
      <c r="N2332" s="59">
        <f>IF(OR(tblMovement[[#This Row],[Tonnes_t]]="",tblMovement[[#This Row],[Grade_gpt]]=""),0,tblMovement[[#This Row],[Tonnes_t]]*tblMovement[[#This Row],[Grade_gpt]]/cfg_TroyOz)</f>
        <v/>
      </c>
      <c r="O2332" s="59">
        <f>IF(tblMovement[[#This Row],[Is_Ore]]=1,tblMovement[[#This Row],[Contained_oz]],0)</f>
        <v/>
      </c>
    </row>
    <row r="2333">
      <c r="A2333" s="54" t="n"/>
      <c r="B2333" s="61" t="n"/>
      <c r="C2333" s="61" t="n"/>
      <c r="D2333" s="61" t="n"/>
      <c r="E2333" s="61" t="n"/>
      <c r="F2333" s="55" t="n"/>
      <c r="G2333" s="56" t="n"/>
      <c r="H2333" s="55" t="n"/>
      <c r="I2333" s="62" t="n"/>
      <c r="J2333" s="58" t="n"/>
      <c r="K2333" s="63">
        <f>IF(tblMovement[[#This Row],[Source]]="","",IFERROR(INDEX(tblSources[Type],MATCH(tblMovement[[#This Row],[Source]],tblSources[Source],0)),"?"))</f>
        <v/>
      </c>
      <c r="L2333" s="63">
        <f>IF(tblMovement[[#This Row],[Destination]]="","",IFERROR(INDEX(tblDestinations[Type],MATCH(tblMovement[[#This Row],[Destination]],tblDestinations[Destination],0)),"?"))</f>
        <v/>
      </c>
      <c r="M2333" s="64">
        <f>IF(tblMovement[[#This Row],[Material]]="","",IF(LEFT(tblMovement[[#This Row],[Material]],3)="Ore",1,0))</f>
        <v/>
      </c>
      <c r="N2333" s="59">
        <f>IF(OR(tblMovement[[#This Row],[Tonnes_t]]="",tblMovement[[#This Row],[Grade_gpt]]=""),0,tblMovement[[#This Row],[Tonnes_t]]*tblMovement[[#This Row],[Grade_gpt]]/cfg_TroyOz)</f>
        <v/>
      </c>
      <c r="O2333" s="59">
        <f>IF(tblMovement[[#This Row],[Is_Ore]]=1,tblMovement[[#This Row],[Contained_oz]],0)</f>
        <v/>
      </c>
    </row>
    <row r="2334">
      <c r="A2334" s="54" t="n"/>
      <c r="B2334" s="61" t="n"/>
      <c r="C2334" s="61" t="n"/>
      <c r="D2334" s="61" t="n"/>
      <c r="E2334" s="61" t="n"/>
      <c r="F2334" s="55" t="n"/>
      <c r="G2334" s="56" t="n"/>
      <c r="H2334" s="55" t="n"/>
      <c r="I2334" s="62" t="n"/>
      <c r="J2334" s="58" t="n"/>
      <c r="K2334" s="63">
        <f>IF(tblMovement[[#This Row],[Source]]="","",IFERROR(INDEX(tblSources[Type],MATCH(tblMovement[[#This Row],[Source]],tblSources[Source],0)),"?"))</f>
        <v/>
      </c>
      <c r="L2334" s="63">
        <f>IF(tblMovement[[#This Row],[Destination]]="","",IFERROR(INDEX(tblDestinations[Type],MATCH(tblMovement[[#This Row],[Destination]],tblDestinations[Destination],0)),"?"))</f>
        <v/>
      </c>
      <c r="M2334" s="64">
        <f>IF(tblMovement[[#This Row],[Material]]="","",IF(LEFT(tblMovement[[#This Row],[Material]],3)="Ore",1,0))</f>
        <v/>
      </c>
      <c r="N2334" s="59">
        <f>IF(OR(tblMovement[[#This Row],[Tonnes_t]]="",tblMovement[[#This Row],[Grade_gpt]]=""),0,tblMovement[[#This Row],[Tonnes_t]]*tblMovement[[#This Row],[Grade_gpt]]/cfg_TroyOz)</f>
        <v/>
      </c>
      <c r="O2334" s="59">
        <f>IF(tblMovement[[#This Row],[Is_Ore]]=1,tblMovement[[#This Row],[Contained_oz]],0)</f>
        <v/>
      </c>
    </row>
    <row r="2335">
      <c r="A2335" s="54" t="n"/>
      <c r="B2335" s="61" t="n"/>
      <c r="C2335" s="61" t="n"/>
      <c r="D2335" s="61" t="n"/>
      <c r="E2335" s="61" t="n"/>
      <c r="F2335" s="55" t="n"/>
      <c r="G2335" s="56" t="n"/>
      <c r="H2335" s="55" t="n"/>
      <c r="I2335" s="62" t="n"/>
      <c r="J2335" s="58" t="n"/>
      <c r="K2335" s="63">
        <f>IF(tblMovement[[#This Row],[Source]]="","",IFERROR(INDEX(tblSources[Type],MATCH(tblMovement[[#This Row],[Source]],tblSources[Source],0)),"?"))</f>
        <v/>
      </c>
      <c r="L2335" s="63">
        <f>IF(tblMovement[[#This Row],[Destination]]="","",IFERROR(INDEX(tblDestinations[Type],MATCH(tblMovement[[#This Row],[Destination]],tblDestinations[Destination],0)),"?"))</f>
        <v/>
      </c>
      <c r="M2335" s="64">
        <f>IF(tblMovement[[#This Row],[Material]]="","",IF(LEFT(tblMovement[[#This Row],[Material]],3)="Ore",1,0))</f>
        <v/>
      </c>
      <c r="N2335" s="59">
        <f>IF(OR(tblMovement[[#This Row],[Tonnes_t]]="",tblMovement[[#This Row],[Grade_gpt]]=""),0,tblMovement[[#This Row],[Tonnes_t]]*tblMovement[[#This Row],[Grade_gpt]]/cfg_TroyOz)</f>
        <v/>
      </c>
      <c r="O2335" s="59">
        <f>IF(tblMovement[[#This Row],[Is_Ore]]=1,tblMovement[[#This Row],[Contained_oz]],0)</f>
        <v/>
      </c>
    </row>
    <row r="2336">
      <c r="A2336" s="54" t="n"/>
      <c r="B2336" s="61" t="n"/>
      <c r="C2336" s="61" t="n"/>
      <c r="D2336" s="61" t="n"/>
      <c r="E2336" s="61" t="n"/>
      <c r="F2336" s="55" t="n"/>
      <c r="G2336" s="56" t="n"/>
      <c r="H2336" s="55" t="n"/>
      <c r="I2336" s="62" t="n"/>
      <c r="J2336" s="58" t="n"/>
      <c r="K2336" s="63">
        <f>IF(tblMovement[[#This Row],[Source]]="","",IFERROR(INDEX(tblSources[Type],MATCH(tblMovement[[#This Row],[Source]],tblSources[Source],0)),"?"))</f>
        <v/>
      </c>
      <c r="L2336" s="63">
        <f>IF(tblMovement[[#This Row],[Destination]]="","",IFERROR(INDEX(tblDestinations[Type],MATCH(tblMovement[[#This Row],[Destination]],tblDestinations[Destination],0)),"?"))</f>
        <v/>
      </c>
      <c r="M2336" s="64">
        <f>IF(tblMovement[[#This Row],[Material]]="","",IF(LEFT(tblMovement[[#This Row],[Material]],3)="Ore",1,0))</f>
        <v/>
      </c>
      <c r="N2336" s="59">
        <f>IF(OR(tblMovement[[#This Row],[Tonnes_t]]="",tblMovement[[#This Row],[Grade_gpt]]=""),0,tblMovement[[#This Row],[Tonnes_t]]*tblMovement[[#This Row],[Grade_gpt]]/cfg_TroyOz)</f>
        <v/>
      </c>
      <c r="O2336" s="59">
        <f>IF(tblMovement[[#This Row],[Is_Ore]]=1,tblMovement[[#This Row],[Contained_oz]],0)</f>
        <v/>
      </c>
    </row>
    <row r="2337">
      <c r="A2337" s="54" t="n"/>
      <c r="B2337" s="61" t="n"/>
      <c r="C2337" s="61" t="n"/>
      <c r="D2337" s="61" t="n"/>
      <c r="E2337" s="61" t="n"/>
      <c r="F2337" s="55" t="n"/>
      <c r="G2337" s="56" t="n"/>
      <c r="H2337" s="55" t="n"/>
      <c r="I2337" s="62" t="n"/>
      <c r="J2337" s="58" t="n"/>
      <c r="K2337" s="63">
        <f>IF(tblMovement[[#This Row],[Source]]="","",IFERROR(INDEX(tblSources[Type],MATCH(tblMovement[[#This Row],[Source]],tblSources[Source],0)),"?"))</f>
        <v/>
      </c>
      <c r="L2337" s="63">
        <f>IF(tblMovement[[#This Row],[Destination]]="","",IFERROR(INDEX(tblDestinations[Type],MATCH(tblMovement[[#This Row],[Destination]],tblDestinations[Destination],0)),"?"))</f>
        <v/>
      </c>
      <c r="M2337" s="64">
        <f>IF(tblMovement[[#This Row],[Material]]="","",IF(LEFT(tblMovement[[#This Row],[Material]],3)="Ore",1,0))</f>
        <v/>
      </c>
      <c r="N2337" s="59">
        <f>IF(OR(tblMovement[[#This Row],[Tonnes_t]]="",tblMovement[[#This Row],[Grade_gpt]]=""),0,tblMovement[[#This Row],[Tonnes_t]]*tblMovement[[#This Row],[Grade_gpt]]/cfg_TroyOz)</f>
        <v/>
      </c>
      <c r="O2337" s="59">
        <f>IF(tblMovement[[#This Row],[Is_Ore]]=1,tblMovement[[#This Row],[Contained_oz]],0)</f>
        <v/>
      </c>
    </row>
    <row r="2338">
      <c r="A2338" s="54" t="n"/>
      <c r="B2338" s="61" t="n"/>
      <c r="C2338" s="61" t="n"/>
      <c r="D2338" s="61" t="n"/>
      <c r="E2338" s="61" t="n"/>
      <c r="F2338" s="55" t="n"/>
      <c r="G2338" s="56" t="n"/>
      <c r="H2338" s="55" t="n"/>
      <c r="I2338" s="62" t="n"/>
      <c r="J2338" s="58" t="n"/>
      <c r="K2338" s="63">
        <f>IF(tblMovement[[#This Row],[Source]]="","",IFERROR(INDEX(tblSources[Type],MATCH(tblMovement[[#This Row],[Source]],tblSources[Source],0)),"?"))</f>
        <v/>
      </c>
      <c r="L2338" s="63">
        <f>IF(tblMovement[[#This Row],[Destination]]="","",IFERROR(INDEX(tblDestinations[Type],MATCH(tblMovement[[#This Row],[Destination]],tblDestinations[Destination],0)),"?"))</f>
        <v/>
      </c>
      <c r="M2338" s="64">
        <f>IF(tblMovement[[#This Row],[Material]]="","",IF(LEFT(tblMovement[[#This Row],[Material]],3)="Ore",1,0))</f>
        <v/>
      </c>
      <c r="N2338" s="59">
        <f>IF(OR(tblMovement[[#This Row],[Tonnes_t]]="",tblMovement[[#This Row],[Grade_gpt]]=""),0,tblMovement[[#This Row],[Tonnes_t]]*tblMovement[[#This Row],[Grade_gpt]]/cfg_TroyOz)</f>
        <v/>
      </c>
      <c r="O2338" s="59">
        <f>IF(tblMovement[[#This Row],[Is_Ore]]=1,tblMovement[[#This Row],[Contained_oz]],0)</f>
        <v/>
      </c>
    </row>
    <row r="2339">
      <c r="A2339" s="54" t="n"/>
      <c r="B2339" s="61" t="n"/>
      <c r="C2339" s="61" t="n"/>
      <c r="D2339" s="61" t="n"/>
      <c r="E2339" s="61" t="n"/>
      <c r="F2339" s="55" t="n"/>
      <c r="G2339" s="56" t="n"/>
      <c r="H2339" s="55" t="n"/>
      <c r="I2339" s="62" t="n"/>
      <c r="J2339" s="58" t="n"/>
      <c r="K2339" s="63">
        <f>IF(tblMovement[[#This Row],[Source]]="","",IFERROR(INDEX(tblSources[Type],MATCH(tblMovement[[#This Row],[Source]],tblSources[Source],0)),"?"))</f>
        <v/>
      </c>
      <c r="L2339" s="63">
        <f>IF(tblMovement[[#This Row],[Destination]]="","",IFERROR(INDEX(tblDestinations[Type],MATCH(tblMovement[[#This Row],[Destination]],tblDestinations[Destination],0)),"?"))</f>
        <v/>
      </c>
      <c r="M2339" s="64">
        <f>IF(tblMovement[[#This Row],[Material]]="","",IF(LEFT(tblMovement[[#This Row],[Material]],3)="Ore",1,0))</f>
        <v/>
      </c>
      <c r="N2339" s="59">
        <f>IF(OR(tblMovement[[#This Row],[Tonnes_t]]="",tblMovement[[#This Row],[Grade_gpt]]=""),0,tblMovement[[#This Row],[Tonnes_t]]*tblMovement[[#This Row],[Grade_gpt]]/cfg_TroyOz)</f>
        <v/>
      </c>
      <c r="O2339" s="59">
        <f>IF(tblMovement[[#This Row],[Is_Ore]]=1,tblMovement[[#This Row],[Contained_oz]],0)</f>
        <v/>
      </c>
    </row>
    <row r="2340">
      <c r="A2340" s="54" t="n"/>
      <c r="B2340" s="61" t="n"/>
      <c r="C2340" s="61" t="n"/>
      <c r="D2340" s="61" t="n"/>
      <c r="E2340" s="61" t="n"/>
      <c r="F2340" s="55" t="n"/>
      <c r="G2340" s="56" t="n"/>
      <c r="H2340" s="55" t="n"/>
      <c r="I2340" s="62" t="n"/>
      <c r="J2340" s="58" t="n"/>
      <c r="K2340" s="63">
        <f>IF(tblMovement[[#This Row],[Source]]="","",IFERROR(INDEX(tblSources[Type],MATCH(tblMovement[[#This Row],[Source]],tblSources[Source],0)),"?"))</f>
        <v/>
      </c>
      <c r="L2340" s="63">
        <f>IF(tblMovement[[#This Row],[Destination]]="","",IFERROR(INDEX(tblDestinations[Type],MATCH(tblMovement[[#This Row],[Destination]],tblDestinations[Destination],0)),"?"))</f>
        <v/>
      </c>
      <c r="M2340" s="64">
        <f>IF(tblMovement[[#This Row],[Material]]="","",IF(LEFT(tblMovement[[#This Row],[Material]],3)="Ore",1,0))</f>
        <v/>
      </c>
      <c r="N2340" s="59">
        <f>IF(OR(tblMovement[[#This Row],[Tonnes_t]]="",tblMovement[[#This Row],[Grade_gpt]]=""),0,tblMovement[[#This Row],[Tonnes_t]]*tblMovement[[#This Row],[Grade_gpt]]/cfg_TroyOz)</f>
        <v/>
      </c>
      <c r="O2340" s="59">
        <f>IF(tblMovement[[#This Row],[Is_Ore]]=1,tblMovement[[#This Row],[Contained_oz]],0)</f>
        <v/>
      </c>
    </row>
    <row r="2341">
      <c r="A2341" s="54" t="n"/>
      <c r="B2341" s="61" t="n"/>
      <c r="C2341" s="61" t="n"/>
      <c r="D2341" s="61" t="n"/>
      <c r="E2341" s="61" t="n"/>
      <c r="F2341" s="55" t="n"/>
      <c r="G2341" s="56" t="n"/>
      <c r="H2341" s="55" t="n"/>
      <c r="I2341" s="62" t="n"/>
      <c r="J2341" s="58" t="n"/>
      <c r="K2341" s="63">
        <f>IF(tblMovement[[#This Row],[Source]]="","",IFERROR(INDEX(tblSources[Type],MATCH(tblMovement[[#This Row],[Source]],tblSources[Source],0)),"?"))</f>
        <v/>
      </c>
      <c r="L2341" s="63">
        <f>IF(tblMovement[[#This Row],[Destination]]="","",IFERROR(INDEX(tblDestinations[Type],MATCH(tblMovement[[#This Row],[Destination]],tblDestinations[Destination],0)),"?"))</f>
        <v/>
      </c>
      <c r="M2341" s="64">
        <f>IF(tblMovement[[#This Row],[Material]]="","",IF(LEFT(tblMovement[[#This Row],[Material]],3)="Ore",1,0))</f>
        <v/>
      </c>
      <c r="N2341" s="59">
        <f>IF(OR(tblMovement[[#This Row],[Tonnes_t]]="",tblMovement[[#This Row],[Grade_gpt]]=""),0,tblMovement[[#This Row],[Tonnes_t]]*tblMovement[[#This Row],[Grade_gpt]]/cfg_TroyOz)</f>
        <v/>
      </c>
      <c r="O2341" s="59">
        <f>IF(tblMovement[[#This Row],[Is_Ore]]=1,tblMovement[[#This Row],[Contained_oz]],0)</f>
        <v/>
      </c>
    </row>
    <row r="2342">
      <c r="A2342" s="54" t="n"/>
      <c r="B2342" s="61" t="n"/>
      <c r="C2342" s="61" t="n"/>
      <c r="D2342" s="61" t="n"/>
      <c r="E2342" s="61" t="n"/>
      <c r="F2342" s="55" t="n"/>
      <c r="G2342" s="56" t="n"/>
      <c r="H2342" s="55" t="n"/>
      <c r="I2342" s="62" t="n"/>
      <c r="J2342" s="58" t="n"/>
      <c r="K2342" s="63">
        <f>IF(tblMovement[[#This Row],[Source]]="","",IFERROR(INDEX(tblSources[Type],MATCH(tblMovement[[#This Row],[Source]],tblSources[Source],0)),"?"))</f>
        <v/>
      </c>
      <c r="L2342" s="63">
        <f>IF(tblMovement[[#This Row],[Destination]]="","",IFERROR(INDEX(tblDestinations[Type],MATCH(tblMovement[[#This Row],[Destination]],tblDestinations[Destination],0)),"?"))</f>
        <v/>
      </c>
      <c r="M2342" s="64">
        <f>IF(tblMovement[[#This Row],[Material]]="","",IF(LEFT(tblMovement[[#This Row],[Material]],3)="Ore",1,0))</f>
        <v/>
      </c>
      <c r="N2342" s="59">
        <f>IF(OR(tblMovement[[#This Row],[Tonnes_t]]="",tblMovement[[#This Row],[Grade_gpt]]=""),0,tblMovement[[#This Row],[Tonnes_t]]*tblMovement[[#This Row],[Grade_gpt]]/cfg_TroyOz)</f>
        <v/>
      </c>
      <c r="O2342" s="59">
        <f>IF(tblMovement[[#This Row],[Is_Ore]]=1,tblMovement[[#This Row],[Contained_oz]],0)</f>
        <v/>
      </c>
    </row>
    <row r="2343">
      <c r="A2343" s="54" t="n"/>
      <c r="B2343" s="61" t="n"/>
      <c r="C2343" s="61" t="n"/>
      <c r="D2343" s="61" t="n"/>
      <c r="E2343" s="61" t="n"/>
      <c r="F2343" s="55" t="n"/>
      <c r="G2343" s="56" t="n"/>
      <c r="H2343" s="55" t="n"/>
      <c r="I2343" s="62" t="n"/>
      <c r="J2343" s="58" t="n"/>
      <c r="K2343" s="63">
        <f>IF(tblMovement[[#This Row],[Source]]="","",IFERROR(INDEX(tblSources[Type],MATCH(tblMovement[[#This Row],[Source]],tblSources[Source],0)),"?"))</f>
        <v/>
      </c>
      <c r="L2343" s="63">
        <f>IF(tblMovement[[#This Row],[Destination]]="","",IFERROR(INDEX(tblDestinations[Type],MATCH(tblMovement[[#This Row],[Destination]],tblDestinations[Destination],0)),"?"))</f>
        <v/>
      </c>
      <c r="M2343" s="64">
        <f>IF(tblMovement[[#This Row],[Material]]="","",IF(LEFT(tblMovement[[#This Row],[Material]],3)="Ore",1,0))</f>
        <v/>
      </c>
      <c r="N2343" s="59">
        <f>IF(OR(tblMovement[[#This Row],[Tonnes_t]]="",tblMovement[[#This Row],[Grade_gpt]]=""),0,tblMovement[[#This Row],[Tonnes_t]]*tblMovement[[#This Row],[Grade_gpt]]/cfg_TroyOz)</f>
        <v/>
      </c>
      <c r="O2343" s="59">
        <f>IF(tblMovement[[#This Row],[Is_Ore]]=1,tblMovement[[#This Row],[Contained_oz]],0)</f>
        <v/>
      </c>
    </row>
    <row r="2344">
      <c r="A2344" s="54" t="n"/>
      <c r="B2344" s="61" t="n"/>
      <c r="C2344" s="61" t="n"/>
      <c r="D2344" s="61" t="n"/>
      <c r="E2344" s="61" t="n"/>
      <c r="F2344" s="55" t="n"/>
      <c r="G2344" s="56" t="n"/>
      <c r="H2344" s="55" t="n"/>
      <c r="I2344" s="62" t="n"/>
      <c r="J2344" s="58" t="n"/>
      <c r="K2344" s="63">
        <f>IF(tblMovement[[#This Row],[Source]]="","",IFERROR(INDEX(tblSources[Type],MATCH(tblMovement[[#This Row],[Source]],tblSources[Source],0)),"?"))</f>
        <v/>
      </c>
      <c r="L2344" s="63">
        <f>IF(tblMovement[[#This Row],[Destination]]="","",IFERROR(INDEX(tblDestinations[Type],MATCH(tblMovement[[#This Row],[Destination]],tblDestinations[Destination],0)),"?"))</f>
        <v/>
      </c>
      <c r="M2344" s="64">
        <f>IF(tblMovement[[#This Row],[Material]]="","",IF(LEFT(tblMovement[[#This Row],[Material]],3)="Ore",1,0))</f>
        <v/>
      </c>
      <c r="N2344" s="59">
        <f>IF(OR(tblMovement[[#This Row],[Tonnes_t]]="",tblMovement[[#This Row],[Grade_gpt]]=""),0,tblMovement[[#This Row],[Tonnes_t]]*tblMovement[[#This Row],[Grade_gpt]]/cfg_TroyOz)</f>
        <v/>
      </c>
      <c r="O2344" s="59">
        <f>IF(tblMovement[[#This Row],[Is_Ore]]=1,tblMovement[[#This Row],[Contained_oz]],0)</f>
        <v/>
      </c>
    </row>
    <row r="2345">
      <c r="A2345" s="54" t="n"/>
      <c r="B2345" s="61" t="n"/>
      <c r="C2345" s="61" t="n"/>
      <c r="D2345" s="61" t="n"/>
      <c r="E2345" s="61" t="n"/>
      <c r="F2345" s="55" t="n"/>
      <c r="G2345" s="56" t="n"/>
      <c r="H2345" s="55" t="n"/>
      <c r="I2345" s="62" t="n"/>
      <c r="J2345" s="58" t="n"/>
      <c r="K2345" s="63">
        <f>IF(tblMovement[[#This Row],[Source]]="","",IFERROR(INDEX(tblSources[Type],MATCH(tblMovement[[#This Row],[Source]],tblSources[Source],0)),"?"))</f>
        <v/>
      </c>
      <c r="L2345" s="63">
        <f>IF(tblMovement[[#This Row],[Destination]]="","",IFERROR(INDEX(tblDestinations[Type],MATCH(tblMovement[[#This Row],[Destination]],tblDestinations[Destination],0)),"?"))</f>
        <v/>
      </c>
      <c r="M2345" s="64">
        <f>IF(tblMovement[[#This Row],[Material]]="","",IF(LEFT(tblMovement[[#This Row],[Material]],3)="Ore",1,0))</f>
        <v/>
      </c>
      <c r="N2345" s="59">
        <f>IF(OR(tblMovement[[#This Row],[Tonnes_t]]="",tblMovement[[#This Row],[Grade_gpt]]=""),0,tblMovement[[#This Row],[Tonnes_t]]*tblMovement[[#This Row],[Grade_gpt]]/cfg_TroyOz)</f>
        <v/>
      </c>
      <c r="O2345" s="59">
        <f>IF(tblMovement[[#This Row],[Is_Ore]]=1,tblMovement[[#This Row],[Contained_oz]],0)</f>
        <v/>
      </c>
    </row>
    <row r="2346">
      <c r="A2346" s="54" t="n"/>
      <c r="B2346" s="61" t="n"/>
      <c r="C2346" s="61" t="n"/>
      <c r="D2346" s="61" t="n"/>
      <c r="E2346" s="61" t="n"/>
      <c r="F2346" s="55" t="n"/>
      <c r="G2346" s="56" t="n"/>
      <c r="H2346" s="55" t="n"/>
      <c r="I2346" s="62" t="n"/>
      <c r="J2346" s="58" t="n"/>
      <c r="K2346" s="63">
        <f>IF(tblMovement[[#This Row],[Source]]="","",IFERROR(INDEX(tblSources[Type],MATCH(tblMovement[[#This Row],[Source]],tblSources[Source],0)),"?"))</f>
        <v/>
      </c>
      <c r="L2346" s="63">
        <f>IF(tblMovement[[#This Row],[Destination]]="","",IFERROR(INDEX(tblDestinations[Type],MATCH(tblMovement[[#This Row],[Destination]],tblDestinations[Destination],0)),"?"))</f>
        <v/>
      </c>
      <c r="M2346" s="64">
        <f>IF(tblMovement[[#This Row],[Material]]="","",IF(LEFT(tblMovement[[#This Row],[Material]],3)="Ore",1,0))</f>
        <v/>
      </c>
      <c r="N2346" s="59">
        <f>IF(OR(tblMovement[[#This Row],[Tonnes_t]]="",tblMovement[[#This Row],[Grade_gpt]]=""),0,tblMovement[[#This Row],[Tonnes_t]]*tblMovement[[#This Row],[Grade_gpt]]/cfg_TroyOz)</f>
        <v/>
      </c>
      <c r="O2346" s="59">
        <f>IF(tblMovement[[#This Row],[Is_Ore]]=1,tblMovement[[#This Row],[Contained_oz]],0)</f>
        <v/>
      </c>
    </row>
    <row r="2347">
      <c r="A2347" s="54" t="n"/>
      <c r="B2347" s="61" t="n"/>
      <c r="C2347" s="61" t="n"/>
      <c r="D2347" s="61" t="n"/>
      <c r="E2347" s="61" t="n"/>
      <c r="F2347" s="55" t="n"/>
      <c r="G2347" s="56" t="n"/>
      <c r="H2347" s="55" t="n"/>
      <c r="I2347" s="62" t="n"/>
      <c r="J2347" s="58" t="n"/>
      <c r="K2347" s="63">
        <f>IF(tblMovement[[#This Row],[Source]]="","",IFERROR(INDEX(tblSources[Type],MATCH(tblMovement[[#This Row],[Source]],tblSources[Source],0)),"?"))</f>
        <v/>
      </c>
      <c r="L2347" s="63">
        <f>IF(tblMovement[[#This Row],[Destination]]="","",IFERROR(INDEX(tblDestinations[Type],MATCH(tblMovement[[#This Row],[Destination]],tblDestinations[Destination],0)),"?"))</f>
        <v/>
      </c>
      <c r="M2347" s="64">
        <f>IF(tblMovement[[#This Row],[Material]]="","",IF(LEFT(tblMovement[[#This Row],[Material]],3)="Ore",1,0))</f>
        <v/>
      </c>
      <c r="N2347" s="59">
        <f>IF(OR(tblMovement[[#This Row],[Tonnes_t]]="",tblMovement[[#This Row],[Grade_gpt]]=""),0,tblMovement[[#This Row],[Tonnes_t]]*tblMovement[[#This Row],[Grade_gpt]]/cfg_TroyOz)</f>
        <v/>
      </c>
      <c r="O2347" s="59">
        <f>IF(tblMovement[[#This Row],[Is_Ore]]=1,tblMovement[[#This Row],[Contained_oz]],0)</f>
        <v/>
      </c>
    </row>
    <row r="2348">
      <c r="A2348" s="54" t="n"/>
      <c r="B2348" s="61" t="n"/>
      <c r="C2348" s="61" t="n"/>
      <c r="D2348" s="61" t="n"/>
      <c r="E2348" s="61" t="n"/>
      <c r="F2348" s="55" t="n"/>
      <c r="G2348" s="56" t="n"/>
      <c r="H2348" s="55" t="n"/>
      <c r="I2348" s="62" t="n"/>
      <c r="J2348" s="58" t="n"/>
      <c r="K2348" s="63">
        <f>IF(tblMovement[[#This Row],[Source]]="","",IFERROR(INDEX(tblSources[Type],MATCH(tblMovement[[#This Row],[Source]],tblSources[Source],0)),"?"))</f>
        <v/>
      </c>
      <c r="L2348" s="63">
        <f>IF(tblMovement[[#This Row],[Destination]]="","",IFERROR(INDEX(tblDestinations[Type],MATCH(tblMovement[[#This Row],[Destination]],tblDestinations[Destination],0)),"?"))</f>
        <v/>
      </c>
      <c r="M2348" s="64">
        <f>IF(tblMovement[[#This Row],[Material]]="","",IF(LEFT(tblMovement[[#This Row],[Material]],3)="Ore",1,0))</f>
        <v/>
      </c>
      <c r="N2348" s="59">
        <f>IF(OR(tblMovement[[#This Row],[Tonnes_t]]="",tblMovement[[#This Row],[Grade_gpt]]=""),0,tblMovement[[#This Row],[Tonnes_t]]*tblMovement[[#This Row],[Grade_gpt]]/cfg_TroyOz)</f>
        <v/>
      </c>
      <c r="O2348" s="59">
        <f>IF(tblMovement[[#This Row],[Is_Ore]]=1,tblMovement[[#This Row],[Contained_oz]],0)</f>
        <v/>
      </c>
    </row>
    <row r="2349">
      <c r="A2349" s="54" t="n"/>
      <c r="B2349" s="61" t="n"/>
      <c r="C2349" s="61" t="n"/>
      <c r="D2349" s="61" t="n"/>
      <c r="E2349" s="61" t="n"/>
      <c r="F2349" s="55" t="n"/>
      <c r="G2349" s="56" t="n"/>
      <c r="H2349" s="55" t="n"/>
      <c r="I2349" s="62" t="n"/>
      <c r="J2349" s="58" t="n"/>
      <c r="K2349" s="63">
        <f>IF(tblMovement[[#This Row],[Source]]="","",IFERROR(INDEX(tblSources[Type],MATCH(tblMovement[[#This Row],[Source]],tblSources[Source],0)),"?"))</f>
        <v/>
      </c>
      <c r="L2349" s="63">
        <f>IF(tblMovement[[#This Row],[Destination]]="","",IFERROR(INDEX(tblDestinations[Type],MATCH(tblMovement[[#This Row],[Destination]],tblDestinations[Destination],0)),"?"))</f>
        <v/>
      </c>
      <c r="M2349" s="64">
        <f>IF(tblMovement[[#This Row],[Material]]="","",IF(LEFT(tblMovement[[#This Row],[Material]],3)="Ore",1,0))</f>
        <v/>
      </c>
      <c r="N2349" s="59">
        <f>IF(OR(tblMovement[[#This Row],[Tonnes_t]]="",tblMovement[[#This Row],[Grade_gpt]]=""),0,tblMovement[[#This Row],[Tonnes_t]]*tblMovement[[#This Row],[Grade_gpt]]/cfg_TroyOz)</f>
        <v/>
      </c>
      <c r="O2349" s="59">
        <f>IF(tblMovement[[#This Row],[Is_Ore]]=1,tblMovement[[#This Row],[Contained_oz]],0)</f>
        <v/>
      </c>
    </row>
    <row r="2350">
      <c r="A2350" s="54" t="n"/>
      <c r="B2350" s="61" t="n"/>
      <c r="C2350" s="61" t="n"/>
      <c r="D2350" s="61" t="n"/>
      <c r="E2350" s="61" t="n"/>
      <c r="F2350" s="55" t="n"/>
      <c r="G2350" s="56" t="n"/>
      <c r="H2350" s="55" t="n"/>
      <c r="I2350" s="62" t="n"/>
      <c r="J2350" s="58" t="n"/>
      <c r="K2350" s="63">
        <f>IF(tblMovement[[#This Row],[Source]]="","",IFERROR(INDEX(tblSources[Type],MATCH(tblMovement[[#This Row],[Source]],tblSources[Source],0)),"?"))</f>
        <v/>
      </c>
      <c r="L2350" s="63">
        <f>IF(tblMovement[[#This Row],[Destination]]="","",IFERROR(INDEX(tblDestinations[Type],MATCH(tblMovement[[#This Row],[Destination]],tblDestinations[Destination],0)),"?"))</f>
        <v/>
      </c>
      <c r="M2350" s="64">
        <f>IF(tblMovement[[#This Row],[Material]]="","",IF(LEFT(tblMovement[[#This Row],[Material]],3)="Ore",1,0))</f>
        <v/>
      </c>
      <c r="N2350" s="59">
        <f>IF(OR(tblMovement[[#This Row],[Tonnes_t]]="",tblMovement[[#This Row],[Grade_gpt]]=""),0,tblMovement[[#This Row],[Tonnes_t]]*tblMovement[[#This Row],[Grade_gpt]]/cfg_TroyOz)</f>
        <v/>
      </c>
      <c r="O2350" s="59">
        <f>IF(tblMovement[[#This Row],[Is_Ore]]=1,tblMovement[[#This Row],[Contained_oz]],0)</f>
        <v/>
      </c>
    </row>
    <row r="2351">
      <c r="A2351" s="54" t="n"/>
      <c r="B2351" s="61" t="n"/>
      <c r="C2351" s="61" t="n"/>
      <c r="D2351" s="61" t="n"/>
      <c r="E2351" s="61" t="n"/>
      <c r="F2351" s="55" t="n"/>
      <c r="G2351" s="56" t="n"/>
      <c r="H2351" s="55" t="n"/>
      <c r="I2351" s="62" t="n"/>
      <c r="J2351" s="58" t="n"/>
      <c r="K2351" s="63">
        <f>IF(tblMovement[[#This Row],[Source]]="","",IFERROR(INDEX(tblSources[Type],MATCH(tblMovement[[#This Row],[Source]],tblSources[Source],0)),"?"))</f>
        <v/>
      </c>
      <c r="L2351" s="63">
        <f>IF(tblMovement[[#This Row],[Destination]]="","",IFERROR(INDEX(tblDestinations[Type],MATCH(tblMovement[[#This Row],[Destination]],tblDestinations[Destination],0)),"?"))</f>
        <v/>
      </c>
      <c r="M2351" s="64">
        <f>IF(tblMovement[[#This Row],[Material]]="","",IF(LEFT(tblMovement[[#This Row],[Material]],3)="Ore",1,0))</f>
        <v/>
      </c>
      <c r="N2351" s="59">
        <f>IF(OR(tblMovement[[#This Row],[Tonnes_t]]="",tblMovement[[#This Row],[Grade_gpt]]=""),0,tblMovement[[#This Row],[Tonnes_t]]*tblMovement[[#This Row],[Grade_gpt]]/cfg_TroyOz)</f>
        <v/>
      </c>
      <c r="O2351" s="59">
        <f>IF(tblMovement[[#This Row],[Is_Ore]]=1,tblMovement[[#This Row],[Contained_oz]],0)</f>
        <v/>
      </c>
    </row>
    <row r="2352">
      <c r="A2352" s="54" t="n"/>
      <c r="B2352" s="61" t="n"/>
      <c r="C2352" s="61" t="n"/>
      <c r="D2352" s="61" t="n"/>
      <c r="E2352" s="61" t="n"/>
      <c r="F2352" s="55" t="n"/>
      <c r="G2352" s="56" t="n"/>
      <c r="H2352" s="55" t="n"/>
      <c r="I2352" s="62" t="n"/>
      <c r="J2352" s="58" t="n"/>
      <c r="K2352" s="63">
        <f>IF(tblMovement[[#This Row],[Source]]="","",IFERROR(INDEX(tblSources[Type],MATCH(tblMovement[[#This Row],[Source]],tblSources[Source],0)),"?"))</f>
        <v/>
      </c>
      <c r="L2352" s="63">
        <f>IF(tblMovement[[#This Row],[Destination]]="","",IFERROR(INDEX(tblDestinations[Type],MATCH(tblMovement[[#This Row],[Destination]],tblDestinations[Destination],0)),"?"))</f>
        <v/>
      </c>
      <c r="M2352" s="64">
        <f>IF(tblMovement[[#This Row],[Material]]="","",IF(LEFT(tblMovement[[#This Row],[Material]],3)="Ore",1,0))</f>
        <v/>
      </c>
      <c r="N2352" s="59">
        <f>IF(OR(tblMovement[[#This Row],[Tonnes_t]]="",tblMovement[[#This Row],[Grade_gpt]]=""),0,tblMovement[[#This Row],[Tonnes_t]]*tblMovement[[#This Row],[Grade_gpt]]/cfg_TroyOz)</f>
        <v/>
      </c>
      <c r="O2352" s="59">
        <f>IF(tblMovement[[#This Row],[Is_Ore]]=1,tblMovement[[#This Row],[Contained_oz]],0)</f>
        <v/>
      </c>
    </row>
    <row r="2353">
      <c r="A2353" s="54" t="n"/>
      <c r="B2353" s="61" t="n"/>
      <c r="C2353" s="61" t="n"/>
      <c r="D2353" s="61" t="n"/>
      <c r="E2353" s="61" t="n"/>
      <c r="F2353" s="55" t="n"/>
      <c r="G2353" s="56" t="n"/>
      <c r="H2353" s="55" t="n"/>
      <c r="I2353" s="62" t="n"/>
      <c r="J2353" s="58" t="n"/>
      <c r="K2353" s="63">
        <f>IF(tblMovement[[#This Row],[Source]]="","",IFERROR(INDEX(tblSources[Type],MATCH(tblMovement[[#This Row],[Source]],tblSources[Source],0)),"?"))</f>
        <v/>
      </c>
      <c r="L2353" s="63">
        <f>IF(tblMovement[[#This Row],[Destination]]="","",IFERROR(INDEX(tblDestinations[Type],MATCH(tblMovement[[#This Row],[Destination]],tblDestinations[Destination],0)),"?"))</f>
        <v/>
      </c>
      <c r="M2353" s="64">
        <f>IF(tblMovement[[#This Row],[Material]]="","",IF(LEFT(tblMovement[[#This Row],[Material]],3)="Ore",1,0))</f>
        <v/>
      </c>
      <c r="N2353" s="59">
        <f>IF(OR(tblMovement[[#This Row],[Tonnes_t]]="",tblMovement[[#This Row],[Grade_gpt]]=""),0,tblMovement[[#This Row],[Tonnes_t]]*tblMovement[[#This Row],[Grade_gpt]]/cfg_TroyOz)</f>
        <v/>
      </c>
      <c r="O2353" s="59">
        <f>IF(tblMovement[[#This Row],[Is_Ore]]=1,tblMovement[[#This Row],[Contained_oz]],0)</f>
        <v/>
      </c>
    </row>
    <row r="2354">
      <c r="A2354" s="54" t="n"/>
      <c r="B2354" s="61" t="n"/>
      <c r="C2354" s="61" t="n"/>
      <c r="D2354" s="61" t="n"/>
      <c r="E2354" s="61" t="n"/>
      <c r="F2354" s="55" t="n"/>
      <c r="G2354" s="56" t="n"/>
      <c r="H2354" s="55" t="n"/>
      <c r="I2354" s="62" t="n"/>
      <c r="J2354" s="58" t="n"/>
      <c r="K2354" s="63">
        <f>IF(tblMovement[[#This Row],[Source]]="","",IFERROR(INDEX(tblSources[Type],MATCH(tblMovement[[#This Row],[Source]],tblSources[Source],0)),"?"))</f>
        <v/>
      </c>
      <c r="L2354" s="63">
        <f>IF(tblMovement[[#This Row],[Destination]]="","",IFERROR(INDEX(tblDestinations[Type],MATCH(tblMovement[[#This Row],[Destination]],tblDestinations[Destination],0)),"?"))</f>
        <v/>
      </c>
      <c r="M2354" s="64">
        <f>IF(tblMovement[[#This Row],[Material]]="","",IF(LEFT(tblMovement[[#This Row],[Material]],3)="Ore",1,0))</f>
        <v/>
      </c>
      <c r="N2354" s="59">
        <f>IF(OR(tblMovement[[#This Row],[Tonnes_t]]="",tblMovement[[#This Row],[Grade_gpt]]=""),0,tblMovement[[#This Row],[Tonnes_t]]*tblMovement[[#This Row],[Grade_gpt]]/cfg_TroyOz)</f>
        <v/>
      </c>
      <c r="O2354" s="59">
        <f>IF(tblMovement[[#This Row],[Is_Ore]]=1,tblMovement[[#This Row],[Contained_oz]],0)</f>
        <v/>
      </c>
    </row>
    <row r="2355">
      <c r="A2355" s="54" t="n"/>
      <c r="B2355" s="61" t="n"/>
      <c r="C2355" s="61" t="n"/>
      <c r="D2355" s="61" t="n"/>
      <c r="E2355" s="61" t="n"/>
      <c r="F2355" s="55" t="n"/>
      <c r="G2355" s="56" t="n"/>
      <c r="H2355" s="55" t="n"/>
      <c r="I2355" s="62" t="n"/>
      <c r="J2355" s="58" t="n"/>
      <c r="K2355" s="63">
        <f>IF(tblMovement[[#This Row],[Source]]="","",IFERROR(INDEX(tblSources[Type],MATCH(tblMovement[[#This Row],[Source]],tblSources[Source],0)),"?"))</f>
        <v/>
      </c>
      <c r="L2355" s="63">
        <f>IF(tblMovement[[#This Row],[Destination]]="","",IFERROR(INDEX(tblDestinations[Type],MATCH(tblMovement[[#This Row],[Destination]],tblDestinations[Destination],0)),"?"))</f>
        <v/>
      </c>
      <c r="M2355" s="64">
        <f>IF(tblMovement[[#This Row],[Material]]="","",IF(LEFT(tblMovement[[#This Row],[Material]],3)="Ore",1,0))</f>
        <v/>
      </c>
      <c r="N2355" s="59">
        <f>IF(OR(tblMovement[[#This Row],[Tonnes_t]]="",tblMovement[[#This Row],[Grade_gpt]]=""),0,tblMovement[[#This Row],[Tonnes_t]]*tblMovement[[#This Row],[Grade_gpt]]/cfg_TroyOz)</f>
        <v/>
      </c>
      <c r="O2355" s="59">
        <f>IF(tblMovement[[#This Row],[Is_Ore]]=1,tblMovement[[#This Row],[Contained_oz]],0)</f>
        <v/>
      </c>
    </row>
    <row r="2356">
      <c r="A2356" s="54" t="n"/>
      <c r="B2356" s="61" t="n"/>
      <c r="C2356" s="61" t="n"/>
      <c r="D2356" s="61" t="n"/>
      <c r="E2356" s="61" t="n"/>
      <c r="F2356" s="55" t="n"/>
      <c r="G2356" s="56" t="n"/>
      <c r="H2356" s="55" t="n"/>
      <c r="I2356" s="62" t="n"/>
      <c r="J2356" s="58" t="n"/>
      <c r="K2356" s="63">
        <f>IF(tblMovement[[#This Row],[Source]]="","",IFERROR(INDEX(tblSources[Type],MATCH(tblMovement[[#This Row],[Source]],tblSources[Source],0)),"?"))</f>
        <v/>
      </c>
      <c r="L2356" s="63">
        <f>IF(tblMovement[[#This Row],[Destination]]="","",IFERROR(INDEX(tblDestinations[Type],MATCH(tblMovement[[#This Row],[Destination]],tblDestinations[Destination],0)),"?"))</f>
        <v/>
      </c>
      <c r="M2356" s="64">
        <f>IF(tblMovement[[#This Row],[Material]]="","",IF(LEFT(tblMovement[[#This Row],[Material]],3)="Ore",1,0))</f>
        <v/>
      </c>
      <c r="N2356" s="59">
        <f>IF(OR(tblMovement[[#This Row],[Tonnes_t]]="",tblMovement[[#This Row],[Grade_gpt]]=""),0,tblMovement[[#This Row],[Tonnes_t]]*tblMovement[[#This Row],[Grade_gpt]]/cfg_TroyOz)</f>
        <v/>
      </c>
      <c r="O2356" s="59">
        <f>IF(tblMovement[[#This Row],[Is_Ore]]=1,tblMovement[[#This Row],[Contained_oz]],0)</f>
        <v/>
      </c>
    </row>
    <row r="2357">
      <c r="A2357" s="54" t="n"/>
      <c r="B2357" s="61" t="n"/>
      <c r="C2357" s="61" t="n"/>
      <c r="D2357" s="61" t="n"/>
      <c r="E2357" s="61" t="n"/>
      <c r="F2357" s="55" t="n"/>
      <c r="G2357" s="56" t="n"/>
      <c r="H2357" s="55" t="n"/>
      <c r="I2357" s="62" t="n"/>
      <c r="J2357" s="58" t="n"/>
      <c r="K2357" s="63">
        <f>IF(tblMovement[[#This Row],[Source]]="","",IFERROR(INDEX(tblSources[Type],MATCH(tblMovement[[#This Row],[Source]],tblSources[Source],0)),"?"))</f>
        <v/>
      </c>
      <c r="L2357" s="63">
        <f>IF(tblMovement[[#This Row],[Destination]]="","",IFERROR(INDEX(tblDestinations[Type],MATCH(tblMovement[[#This Row],[Destination]],tblDestinations[Destination],0)),"?"))</f>
        <v/>
      </c>
      <c r="M2357" s="64">
        <f>IF(tblMovement[[#This Row],[Material]]="","",IF(LEFT(tblMovement[[#This Row],[Material]],3)="Ore",1,0))</f>
        <v/>
      </c>
      <c r="N2357" s="59">
        <f>IF(OR(tblMovement[[#This Row],[Tonnes_t]]="",tblMovement[[#This Row],[Grade_gpt]]=""),0,tblMovement[[#This Row],[Tonnes_t]]*tblMovement[[#This Row],[Grade_gpt]]/cfg_TroyOz)</f>
        <v/>
      </c>
      <c r="O2357" s="59">
        <f>IF(tblMovement[[#This Row],[Is_Ore]]=1,tblMovement[[#This Row],[Contained_oz]],0)</f>
        <v/>
      </c>
    </row>
    <row r="2358">
      <c r="A2358" s="54" t="n"/>
      <c r="B2358" s="61" t="n"/>
      <c r="C2358" s="61" t="n"/>
      <c r="D2358" s="61" t="n"/>
      <c r="E2358" s="61" t="n"/>
      <c r="F2358" s="55" t="n"/>
      <c r="G2358" s="56" t="n"/>
      <c r="H2358" s="55" t="n"/>
      <c r="I2358" s="62" t="n"/>
      <c r="J2358" s="58" t="n"/>
      <c r="K2358" s="63">
        <f>IF(tblMovement[[#This Row],[Source]]="","",IFERROR(INDEX(tblSources[Type],MATCH(tblMovement[[#This Row],[Source]],tblSources[Source],0)),"?"))</f>
        <v/>
      </c>
      <c r="L2358" s="63">
        <f>IF(tblMovement[[#This Row],[Destination]]="","",IFERROR(INDEX(tblDestinations[Type],MATCH(tblMovement[[#This Row],[Destination]],tblDestinations[Destination],0)),"?"))</f>
        <v/>
      </c>
      <c r="M2358" s="64">
        <f>IF(tblMovement[[#This Row],[Material]]="","",IF(LEFT(tblMovement[[#This Row],[Material]],3)="Ore",1,0))</f>
        <v/>
      </c>
      <c r="N2358" s="59">
        <f>IF(OR(tblMovement[[#This Row],[Tonnes_t]]="",tblMovement[[#This Row],[Grade_gpt]]=""),0,tblMovement[[#This Row],[Tonnes_t]]*tblMovement[[#This Row],[Grade_gpt]]/cfg_TroyOz)</f>
        <v/>
      </c>
      <c r="O2358" s="59">
        <f>IF(tblMovement[[#This Row],[Is_Ore]]=1,tblMovement[[#This Row],[Contained_oz]],0)</f>
        <v/>
      </c>
    </row>
    <row r="2359">
      <c r="A2359" s="54" t="n"/>
      <c r="B2359" s="61" t="n"/>
      <c r="C2359" s="61" t="n"/>
      <c r="D2359" s="61" t="n"/>
      <c r="E2359" s="61" t="n"/>
      <c r="F2359" s="55" t="n"/>
      <c r="G2359" s="56" t="n"/>
      <c r="H2359" s="55" t="n"/>
      <c r="I2359" s="62" t="n"/>
      <c r="J2359" s="58" t="n"/>
      <c r="K2359" s="63">
        <f>IF(tblMovement[[#This Row],[Source]]="","",IFERROR(INDEX(tblSources[Type],MATCH(tblMovement[[#This Row],[Source]],tblSources[Source],0)),"?"))</f>
        <v/>
      </c>
      <c r="L2359" s="63">
        <f>IF(tblMovement[[#This Row],[Destination]]="","",IFERROR(INDEX(tblDestinations[Type],MATCH(tblMovement[[#This Row],[Destination]],tblDestinations[Destination],0)),"?"))</f>
        <v/>
      </c>
      <c r="M2359" s="64">
        <f>IF(tblMovement[[#This Row],[Material]]="","",IF(LEFT(tblMovement[[#This Row],[Material]],3)="Ore",1,0))</f>
        <v/>
      </c>
      <c r="N2359" s="59">
        <f>IF(OR(tblMovement[[#This Row],[Tonnes_t]]="",tblMovement[[#This Row],[Grade_gpt]]=""),0,tblMovement[[#This Row],[Tonnes_t]]*tblMovement[[#This Row],[Grade_gpt]]/cfg_TroyOz)</f>
        <v/>
      </c>
      <c r="O2359" s="59">
        <f>IF(tblMovement[[#This Row],[Is_Ore]]=1,tblMovement[[#This Row],[Contained_oz]],0)</f>
        <v/>
      </c>
    </row>
    <row r="2360">
      <c r="A2360" s="54" t="n"/>
      <c r="B2360" s="61" t="n"/>
      <c r="C2360" s="61" t="n"/>
      <c r="D2360" s="61" t="n"/>
      <c r="E2360" s="61" t="n"/>
      <c r="F2360" s="55" t="n"/>
      <c r="G2360" s="56" t="n"/>
      <c r="H2360" s="55" t="n"/>
      <c r="I2360" s="62" t="n"/>
      <c r="J2360" s="58" t="n"/>
      <c r="K2360" s="63">
        <f>IF(tblMovement[[#This Row],[Source]]="","",IFERROR(INDEX(tblSources[Type],MATCH(tblMovement[[#This Row],[Source]],tblSources[Source],0)),"?"))</f>
        <v/>
      </c>
      <c r="L2360" s="63">
        <f>IF(tblMovement[[#This Row],[Destination]]="","",IFERROR(INDEX(tblDestinations[Type],MATCH(tblMovement[[#This Row],[Destination]],tblDestinations[Destination],0)),"?"))</f>
        <v/>
      </c>
      <c r="M2360" s="64">
        <f>IF(tblMovement[[#This Row],[Material]]="","",IF(LEFT(tblMovement[[#This Row],[Material]],3)="Ore",1,0))</f>
        <v/>
      </c>
      <c r="N2360" s="59">
        <f>IF(OR(tblMovement[[#This Row],[Tonnes_t]]="",tblMovement[[#This Row],[Grade_gpt]]=""),0,tblMovement[[#This Row],[Tonnes_t]]*tblMovement[[#This Row],[Grade_gpt]]/cfg_TroyOz)</f>
        <v/>
      </c>
      <c r="O2360" s="59">
        <f>IF(tblMovement[[#This Row],[Is_Ore]]=1,tblMovement[[#This Row],[Contained_oz]],0)</f>
        <v/>
      </c>
    </row>
    <row r="2361">
      <c r="A2361" s="54" t="n"/>
      <c r="B2361" s="61" t="n"/>
      <c r="C2361" s="61" t="n"/>
      <c r="D2361" s="61" t="n"/>
      <c r="E2361" s="61" t="n"/>
      <c r="F2361" s="55" t="n"/>
      <c r="G2361" s="56" t="n"/>
      <c r="H2361" s="55" t="n"/>
      <c r="I2361" s="62" t="n"/>
      <c r="J2361" s="58" t="n"/>
      <c r="K2361" s="63">
        <f>IF(tblMovement[[#This Row],[Source]]="","",IFERROR(INDEX(tblSources[Type],MATCH(tblMovement[[#This Row],[Source]],tblSources[Source],0)),"?"))</f>
        <v/>
      </c>
      <c r="L2361" s="63">
        <f>IF(tblMovement[[#This Row],[Destination]]="","",IFERROR(INDEX(tblDestinations[Type],MATCH(tblMovement[[#This Row],[Destination]],tblDestinations[Destination],0)),"?"))</f>
        <v/>
      </c>
      <c r="M2361" s="64">
        <f>IF(tblMovement[[#This Row],[Material]]="","",IF(LEFT(tblMovement[[#This Row],[Material]],3)="Ore",1,0))</f>
        <v/>
      </c>
      <c r="N2361" s="59">
        <f>IF(OR(tblMovement[[#This Row],[Tonnes_t]]="",tblMovement[[#This Row],[Grade_gpt]]=""),0,tblMovement[[#This Row],[Tonnes_t]]*tblMovement[[#This Row],[Grade_gpt]]/cfg_TroyOz)</f>
        <v/>
      </c>
      <c r="O2361" s="59">
        <f>IF(tblMovement[[#This Row],[Is_Ore]]=1,tblMovement[[#This Row],[Contained_oz]],0)</f>
        <v/>
      </c>
    </row>
    <row r="2362">
      <c r="A2362" s="54" t="n"/>
      <c r="B2362" s="61" t="n"/>
      <c r="C2362" s="61" t="n"/>
      <c r="D2362" s="61" t="n"/>
      <c r="E2362" s="61" t="n"/>
      <c r="F2362" s="55" t="n"/>
      <c r="G2362" s="56" t="n"/>
      <c r="H2362" s="55" t="n"/>
      <c r="I2362" s="62" t="n"/>
      <c r="J2362" s="58" t="n"/>
      <c r="K2362" s="63">
        <f>IF(tblMovement[[#This Row],[Source]]="","",IFERROR(INDEX(tblSources[Type],MATCH(tblMovement[[#This Row],[Source]],tblSources[Source],0)),"?"))</f>
        <v/>
      </c>
      <c r="L2362" s="63">
        <f>IF(tblMovement[[#This Row],[Destination]]="","",IFERROR(INDEX(tblDestinations[Type],MATCH(tblMovement[[#This Row],[Destination]],tblDestinations[Destination],0)),"?"))</f>
        <v/>
      </c>
      <c r="M2362" s="64">
        <f>IF(tblMovement[[#This Row],[Material]]="","",IF(LEFT(tblMovement[[#This Row],[Material]],3)="Ore",1,0))</f>
        <v/>
      </c>
      <c r="N2362" s="59">
        <f>IF(OR(tblMovement[[#This Row],[Tonnes_t]]="",tblMovement[[#This Row],[Grade_gpt]]=""),0,tblMovement[[#This Row],[Tonnes_t]]*tblMovement[[#This Row],[Grade_gpt]]/cfg_TroyOz)</f>
        <v/>
      </c>
      <c r="O2362" s="59">
        <f>IF(tblMovement[[#This Row],[Is_Ore]]=1,tblMovement[[#This Row],[Contained_oz]],0)</f>
        <v/>
      </c>
    </row>
    <row r="2363">
      <c r="A2363" s="54" t="n"/>
      <c r="B2363" s="61" t="n"/>
      <c r="C2363" s="61" t="n"/>
      <c r="D2363" s="61" t="n"/>
      <c r="E2363" s="61" t="n"/>
      <c r="F2363" s="55" t="n"/>
      <c r="G2363" s="56" t="n"/>
      <c r="H2363" s="55" t="n"/>
      <c r="I2363" s="62" t="n"/>
      <c r="J2363" s="58" t="n"/>
      <c r="K2363" s="63">
        <f>IF(tblMovement[[#This Row],[Source]]="","",IFERROR(INDEX(tblSources[Type],MATCH(tblMovement[[#This Row],[Source]],tblSources[Source],0)),"?"))</f>
        <v/>
      </c>
      <c r="L2363" s="63">
        <f>IF(tblMovement[[#This Row],[Destination]]="","",IFERROR(INDEX(tblDestinations[Type],MATCH(tblMovement[[#This Row],[Destination]],tblDestinations[Destination],0)),"?"))</f>
        <v/>
      </c>
      <c r="M2363" s="64">
        <f>IF(tblMovement[[#This Row],[Material]]="","",IF(LEFT(tblMovement[[#This Row],[Material]],3)="Ore",1,0))</f>
        <v/>
      </c>
      <c r="N2363" s="59">
        <f>IF(OR(tblMovement[[#This Row],[Tonnes_t]]="",tblMovement[[#This Row],[Grade_gpt]]=""),0,tblMovement[[#This Row],[Tonnes_t]]*tblMovement[[#This Row],[Grade_gpt]]/cfg_TroyOz)</f>
        <v/>
      </c>
      <c r="O2363" s="59">
        <f>IF(tblMovement[[#This Row],[Is_Ore]]=1,tblMovement[[#This Row],[Contained_oz]],0)</f>
        <v/>
      </c>
    </row>
    <row r="2364">
      <c r="A2364" s="54" t="n"/>
      <c r="B2364" s="61" t="n"/>
      <c r="C2364" s="61" t="n"/>
      <c r="D2364" s="61" t="n"/>
      <c r="E2364" s="61" t="n"/>
      <c r="F2364" s="55" t="n"/>
      <c r="G2364" s="56" t="n"/>
      <c r="H2364" s="55" t="n"/>
      <c r="I2364" s="62" t="n"/>
      <c r="J2364" s="58" t="n"/>
      <c r="K2364" s="63">
        <f>IF(tblMovement[[#This Row],[Source]]="","",IFERROR(INDEX(tblSources[Type],MATCH(tblMovement[[#This Row],[Source]],tblSources[Source],0)),"?"))</f>
        <v/>
      </c>
      <c r="L2364" s="63">
        <f>IF(tblMovement[[#This Row],[Destination]]="","",IFERROR(INDEX(tblDestinations[Type],MATCH(tblMovement[[#This Row],[Destination]],tblDestinations[Destination],0)),"?"))</f>
        <v/>
      </c>
      <c r="M2364" s="64">
        <f>IF(tblMovement[[#This Row],[Material]]="","",IF(LEFT(tblMovement[[#This Row],[Material]],3)="Ore",1,0))</f>
        <v/>
      </c>
      <c r="N2364" s="59">
        <f>IF(OR(tblMovement[[#This Row],[Tonnes_t]]="",tblMovement[[#This Row],[Grade_gpt]]=""),0,tblMovement[[#This Row],[Tonnes_t]]*tblMovement[[#This Row],[Grade_gpt]]/cfg_TroyOz)</f>
        <v/>
      </c>
      <c r="O2364" s="59">
        <f>IF(tblMovement[[#This Row],[Is_Ore]]=1,tblMovement[[#This Row],[Contained_oz]],0)</f>
        <v/>
      </c>
    </row>
    <row r="2365">
      <c r="A2365" s="54" t="n"/>
      <c r="B2365" s="61" t="n"/>
      <c r="C2365" s="61" t="n"/>
      <c r="D2365" s="61" t="n"/>
      <c r="E2365" s="61" t="n"/>
      <c r="F2365" s="55" t="n"/>
      <c r="G2365" s="56" t="n"/>
      <c r="H2365" s="55" t="n"/>
      <c r="I2365" s="62" t="n"/>
      <c r="J2365" s="58" t="n"/>
      <c r="K2365" s="63">
        <f>IF(tblMovement[[#This Row],[Source]]="","",IFERROR(INDEX(tblSources[Type],MATCH(tblMovement[[#This Row],[Source]],tblSources[Source],0)),"?"))</f>
        <v/>
      </c>
      <c r="L2365" s="63">
        <f>IF(tblMovement[[#This Row],[Destination]]="","",IFERROR(INDEX(tblDestinations[Type],MATCH(tblMovement[[#This Row],[Destination]],tblDestinations[Destination],0)),"?"))</f>
        <v/>
      </c>
      <c r="M2365" s="64">
        <f>IF(tblMovement[[#This Row],[Material]]="","",IF(LEFT(tblMovement[[#This Row],[Material]],3)="Ore",1,0))</f>
        <v/>
      </c>
      <c r="N2365" s="59">
        <f>IF(OR(tblMovement[[#This Row],[Tonnes_t]]="",tblMovement[[#This Row],[Grade_gpt]]=""),0,tblMovement[[#This Row],[Tonnes_t]]*tblMovement[[#This Row],[Grade_gpt]]/cfg_TroyOz)</f>
        <v/>
      </c>
      <c r="O2365" s="59">
        <f>IF(tblMovement[[#This Row],[Is_Ore]]=1,tblMovement[[#This Row],[Contained_oz]],0)</f>
        <v/>
      </c>
    </row>
    <row r="2366">
      <c r="A2366" s="54" t="n"/>
      <c r="B2366" s="61" t="n"/>
      <c r="C2366" s="61" t="n"/>
      <c r="D2366" s="61" t="n"/>
      <c r="E2366" s="61" t="n"/>
      <c r="F2366" s="55" t="n"/>
      <c r="G2366" s="56" t="n"/>
      <c r="H2366" s="55" t="n"/>
      <c r="I2366" s="62" t="n"/>
      <c r="J2366" s="58" t="n"/>
      <c r="K2366" s="63">
        <f>IF(tblMovement[[#This Row],[Source]]="","",IFERROR(INDEX(tblSources[Type],MATCH(tblMovement[[#This Row],[Source]],tblSources[Source],0)),"?"))</f>
        <v/>
      </c>
      <c r="L2366" s="63">
        <f>IF(tblMovement[[#This Row],[Destination]]="","",IFERROR(INDEX(tblDestinations[Type],MATCH(tblMovement[[#This Row],[Destination]],tblDestinations[Destination],0)),"?"))</f>
        <v/>
      </c>
      <c r="M2366" s="64">
        <f>IF(tblMovement[[#This Row],[Material]]="","",IF(LEFT(tblMovement[[#This Row],[Material]],3)="Ore",1,0))</f>
        <v/>
      </c>
      <c r="N2366" s="59">
        <f>IF(OR(tblMovement[[#This Row],[Tonnes_t]]="",tblMovement[[#This Row],[Grade_gpt]]=""),0,tblMovement[[#This Row],[Tonnes_t]]*tblMovement[[#This Row],[Grade_gpt]]/cfg_TroyOz)</f>
        <v/>
      </c>
      <c r="O2366" s="59">
        <f>IF(tblMovement[[#This Row],[Is_Ore]]=1,tblMovement[[#This Row],[Contained_oz]],0)</f>
        <v/>
      </c>
    </row>
    <row r="2367">
      <c r="A2367" s="54" t="n"/>
      <c r="B2367" s="61" t="n"/>
      <c r="C2367" s="61" t="n"/>
      <c r="D2367" s="61" t="n"/>
      <c r="E2367" s="61" t="n"/>
      <c r="F2367" s="55" t="n"/>
      <c r="G2367" s="56" t="n"/>
      <c r="H2367" s="55" t="n"/>
      <c r="I2367" s="62" t="n"/>
      <c r="J2367" s="58" t="n"/>
      <c r="K2367" s="63">
        <f>IF(tblMovement[[#This Row],[Source]]="","",IFERROR(INDEX(tblSources[Type],MATCH(tblMovement[[#This Row],[Source]],tblSources[Source],0)),"?"))</f>
        <v/>
      </c>
      <c r="L2367" s="63">
        <f>IF(tblMovement[[#This Row],[Destination]]="","",IFERROR(INDEX(tblDestinations[Type],MATCH(tblMovement[[#This Row],[Destination]],tblDestinations[Destination],0)),"?"))</f>
        <v/>
      </c>
      <c r="M2367" s="64">
        <f>IF(tblMovement[[#This Row],[Material]]="","",IF(LEFT(tblMovement[[#This Row],[Material]],3)="Ore",1,0))</f>
        <v/>
      </c>
      <c r="N2367" s="59">
        <f>IF(OR(tblMovement[[#This Row],[Tonnes_t]]="",tblMovement[[#This Row],[Grade_gpt]]=""),0,tblMovement[[#This Row],[Tonnes_t]]*tblMovement[[#This Row],[Grade_gpt]]/cfg_TroyOz)</f>
        <v/>
      </c>
      <c r="O2367" s="59">
        <f>IF(tblMovement[[#This Row],[Is_Ore]]=1,tblMovement[[#This Row],[Contained_oz]],0)</f>
        <v/>
      </c>
    </row>
    <row r="2368">
      <c r="A2368" s="54" t="n"/>
      <c r="B2368" s="61" t="n"/>
      <c r="C2368" s="61" t="n"/>
      <c r="D2368" s="61" t="n"/>
      <c r="E2368" s="61" t="n"/>
      <c r="F2368" s="55" t="n"/>
      <c r="G2368" s="56" t="n"/>
      <c r="H2368" s="55" t="n"/>
      <c r="I2368" s="62" t="n"/>
      <c r="J2368" s="58" t="n"/>
      <c r="K2368" s="63">
        <f>IF(tblMovement[[#This Row],[Source]]="","",IFERROR(INDEX(tblSources[Type],MATCH(tblMovement[[#This Row],[Source]],tblSources[Source],0)),"?"))</f>
        <v/>
      </c>
      <c r="L2368" s="63">
        <f>IF(tblMovement[[#This Row],[Destination]]="","",IFERROR(INDEX(tblDestinations[Type],MATCH(tblMovement[[#This Row],[Destination]],tblDestinations[Destination],0)),"?"))</f>
        <v/>
      </c>
      <c r="M2368" s="64">
        <f>IF(tblMovement[[#This Row],[Material]]="","",IF(LEFT(tblMovement[[#This Row],[Material]],3)="Ore",1,0))</f>
        <v/>
      </c>
      <c r="N2368" s="59">
        <f>IF(OR(tblMovement[[#This Row],[Tonnes_t]]="",tblMovement[[#This Row],[Grade_gpt]]=""),0,tblMovement[[#This Row],[Tonnes_t]]*tblMovement[[#This Row],[Grade_gpt]]/cfg_TroyOz)</f>
        <v/>
      </c>
      <c r="O2368" s="59">
        <f>IF(tblMovement[[#This Row],[Is_Ore]]=1,tblMovement[[#This Row],[Contained_oz]],0)</f>
        <v/>
      </c>
    </row>
    <row r="2369">
      <c r="A2369" s="54" t="n"/>
      <c r="B2369" s="61" t="n"/>
      <c r="C2369" s="61" t="n"/>
      <c r="D2369" s="61" t="n"/>
      <c r="E2369" s="61" t="n"/>
      <c r="F2369" s="55" t="n"/>
      <c r="G2369" s="56" t="n"/>
      <c r="H2369" s="55" t="n"/>
      <c r="I2369" s="62" t="n"/>
      <c r="J2369" s="58" t="n"/>
      <c r="K2369" s="63">
        <f>IF(tblMovement[[#This Row],[Source]]="","",IFERROR(INDEX(tblSources[Type],MATCH(tblMovement[[#This Row],[Source]],tblSources[Source],0)),"?"))</f>
        <v/>
      </c>
      <c r="L2369" s="63">
        <f>IF(tblMovement[[#This Row],[Destination]]="","",IFERROR(INDEX(tblDestinations[Type],MATCH(tblMovement[[#This Row],[Destination]],tblDestinations[Destination],0)),"?"))</f>
        <v/>
      </c>
      <c r="M2369" s="64">
        <f>IF(tblMovement[[#This Row],[Material]]="","",IF(LEFT(tblMovement[[#This Row],[Material]],3)="Ore",1,0))</f>
        <v/>
      </c>
      <c r="N2369" s="59">
        <f>IF(OR(tblMovement[[#This Row],[Tonnes_t]]="",tblMovement[[#This Row],[Grade_gpt]]=""),0,tblMovement[[#This Row],[Tonnes_t]]*tblMovement[[#This Row],[Grade_gpt]]/cfg_TroyOz)</f>
        <v/>
      </c>
      <c r="O2369" s="59">
        <f>IF(tblMovement[[#This Row],[Is_Ore]]=1,tblMovement[[#This Row],[Contained_oz]],0)</f>
        <v/>
      </c>
    </row>
    <row r="2370">
      <c r="A2370" s="54" t="n"/>
      <c r="B2370" s="61" t="n"/>
      <c r="C2370" s="61" t="n"/>
      <c r="D2370" s="61" t="n"/>
      <c r="E2370" s="61" t="n"/>
      <c r="F2370" s="55" t="n"/>
      <c r="G2370" s="56" t="n"/>
      <c r="H2370" s="55" t="n"/>
      <c r="I2370" s="62" t="n"/>
      <c r="J2370" s="58" t="n"/>
      <c r="K2370" s="63">
        <f>IF(tblMovement[[#This Row],[Source]]="","",IFERROR(INDEX(tblSources[Type],MATCH(tblMovement[[#This Row],[Source]],tblSources[Source],0)),"?"))</f>
        <v/>
      </c>
      <c r="L2370" s="63">
        <f>IF(tblMovement[[#This Row],[Destination]]="","",IFERROR(INDEX(tblDestinations[Type],MATCH(tblMovement[[#This Row],[Destination]],tblDestinations[Destination],0)),"?"))</f>
        <v/>
      </c>
      <c r="M2370" s="64">
        <f>IF(tblMovement[[#This Row],[Material]]="","",IF(LEFT(tblMovement[[#This Row],[Material]],3)="Ore",1,0))</f>
        <v/>
      </c>
      <c r="N2370" s="59">
        <f>IF(OR(tblMovement[[#This Row],[Tonnes_t]]="",tblMovement[[#This Row],[Grade_gpt]]=""),0,tblMovement[[#This Row],[Tonnes_t]]*tblMovement[[#This Row],[Grade_gpt]]/cfg_TroyOz)</f>
        <v/>
      </c>
      <c r="O2370" s="59">
        <f>IF(tblMovement[[#This Row],[Is_Ore]]=1,tblMovement[[#This Row],[Contained_oz]],0)</f>
        <v/>
      </c>
    </row>
    <row r="2371">
      <c r="A2371" s="54" t="n"/>
      <c r="B2371" s="61" t="n"/>
      <c r="C2371" s="61" t="n"/>
      <c r="D2371" s="61" t="n"/>
      <c r="E2371" s="61" t="n"/>
      <c r="F2371" s="55" t="n"/>
      <c r="G2371" s="56" t="n"/>
      <c r="H2371" s="55" t="n"/>
      <c r="I2371" s="62" t="n"/>
      <c r="J2371" s="58" t="n"/>
      <c r="K2371" s="63">
        <f>IF(tblMovement[[#This Row],[Source]]="","",IFERROR(INDEX(tblSources[Type],MATCH(tblMovement[[#This Row],[Source]],tblSources[Source],0)),"?"))</f>
        <v/>
      </c>
      <c r="L2371" s="63">
        <f>IF(tblMovement[[#This Row],[Destination]]="","",IFERROR(INDEX(tblDestinations[Type],MATCH(tblMovement[[#This Row],[Destination]],tblDestinations[Destination],0)),"?"))</f>
        <v/>
      </c>
      <c r="M2371" s="64">
        <f>IF(tblMovement[[#This Row],[Material]]="","",IF(LEFT(tblMovement[[#This Row],[Material]],3)="Ore",1,0))</f>
        <v/>
      </c>
      <c r="N2371" s="59">
        <f>IF(OR(tblMovement[[#This Row],[Tonnes_t]]="",tblMovement[[#This Row],[Grade_gpt]]=""),0,tblMovement[[#This Row],[Tonnes_t]]*tblMovement[[#This Row],[Grade_gpt]]/cfg_TroyOz)</f>
        <v/>
      </c>
      <c r="O2371" s="59">
        <f>IF(tblMovement[[#This Row],[Is_Ore]]=1,tblMovement[[#This Row],[Contained_oz]],0)</f>
        <v/>
      </c>
    </row>
    <row r="2372">
      <c r="A2372" s="54" t="n"/>
      <c r="B2372" s="61" t="n"/>
      <c r="C2372" s="61" t="n"/>
      <c r="D2372" s="61" t="n"/>
      <c r="E2372" s="61" t="n"/>
      <c r="F2372" s="55" t="n"/>
      <c r="G2372" s="56" t="n"/>
      <c r="H2372" s="55" t="n"/>
      <c r="I2372" s="62" t="n"/>
      <c r="J2372" s="58" t="n"/>
      <c r="K2372" s="63">
        <f>IF(tblMovement[[#This Row],[Source]]="","",IFERROR(INDEX(tblSources[Type],MATCH(tblMovement[[#This Row],[Source]],tblSources[Source],0)),"?"))</f>
        <v/>
      </c>
      <c r="L2372" s="63">
        <f>IF(tblMovement[[#This Row],[Destination]]="","",IFERROR(INDEX(tblDestinations[Type],MATCH(tblMovement[[#This Row],[Destination]],tblDestinations[Destination],0)),"?"))</f>
        <v/>
      </c>
      <c r="M2372" s="64">
        <f>IF(tblMovement[[#This Row],[Material]]="","",IF(LEFT(tblMovement[[#This Row],[Material]],3)="Ore",1,0))</f>
        <v/>
      </c>
      <c r="N2372" s="59">
        <f>IF(OR(tblMovement[[#This Row],[Tonnes_t]]="",tblMovement[[#This Row],[Grade_gpt]]=""),0,tblMovement[[#This Row],[Tonnes_t]]*tblMovement[[#This Row],[Grade_gpt]]/cfg_TroyOz)</f>
        <v/>
      </c>
      <c r="O2372" s="59">
        <f>IF(tblMovement[[#This Row],[Is_Ore]]=1,tblMovement[[#This Row],[Contained_oz]],0)</f>
        <v/>
      </c>
    </row>
    <row r="2373">
      <c r="A2373" s="54" t="n"/>
      <c r="B2373" s="61" t="n"/>
      <c r="C2373" s="61" t="n"/>
      <c r="D2373" s="61" t="n"/>
      <c r="E2373" s="61" t="n"/>
      <c r="F2373" s="55" t="n"/>
      <c r="G2373" s="56" t="n"/>
      <c r="H2373" s="55" t="n"/>
      <c r="I2373" s="62" t="n"/>
      <c r="J2373" s="58" t="n"/>
      <c r="K2373" s="63">
        <f>IF(tblMovement[[#This Row],[Source]]="","",IFERROR(INDEX(tblSources[Type],MATCH(tblMovement[[#This Row],[Source]],tblSources[Source],0)),"?"))</f>
        <v/>
      </c>
      <c r="L2373" s="63">
        <f>IF(tblMovement[[#This Row],[Destination]]="","",IFERROR(INDEX(tblDestinations[Type],MATCH(tblMovement[[#This Row],[Destination]],tblDestinations[Destination],0)),"?"))</f>
        <v/>
      </c>
      <c r="M2373" s="64">
        <f>IF(tblMovement[[#This Row],[Material]]="","",IF(LEFT(tblMovement[[#This Row],[Material]],3)="Ore",1,0))</f>
        <v/>
      </c>
      <c r="N2373" s="59">
        <f>IF(OR(tblMovement[[#This Row],[Tonnes_t]]="",tblMovement[[#This Row],[Grade_gpt]]=""),0,tblMovement[[#This Row],[Tonnes_t]]*tblMovement[[#This Row],[Grade_gpt]]/cfg_TroyOz)</f>
        <v/>
      </c>
      <c r="O2373" s="59">
        <f>IF(tblMovement[[#This Row],[Is_Ore]]=1,tblMovement[[#This Row],[Contained_oz]],0)</f>
        <v/>
      </c>
    </row>
    <row r="2374">
      <c r="A2374" s="54" t="n"/>
      <c r="B2374" s="61" t="n"/>
      <c r="C2374" s="61" t="n"/>
      <c r="D2374" s="61" t="n"/>
      <c r="E2374" s="61" t="n"/>
      <c r="F2374" s="55" t="n"/>
      <c r="G2374" s="56" t="n"/>
      <c r="H2374" s="55" t="n"/>
      <c r="I2374" s="62" t="n"/>
      <c r="J2374" s="58" t="n"/>
      <c r="K2374" s="63">
        <f>IF(tblMovement[[#This Row],[Source]]="","",IFERROR(INDEX(tblSources[Type],MATCH(tblMovement[[#This Row],[Source]],tblSources[Source],0)),"?"))</f>
        <v/>
      </c>
      <c r="L2374" s="63">
        <f>IF(tblMovement[[#This Row],[Destination]]="","",IFERROR(INDEX(tblDestinations[Type],MATCH(tblMovement[[#This Row],[Destination]],tblDestinations[Destination],0)),"?"))</f>
        <v/>
      </c>
      <c r="M2374" s="64">
        <f>IF(tblMovement[[#This Row],[Material]]="","",IF(LEFT(tblMovement[[#This Row],[Material]],3)="Ore",1,0))</f>
        <v/>
      </c>
      <c r="N2374" s="59">
        <f>IF(OR(tblMovement[[#This Row],[Tonnes_t]]="",tblMovement[[#This Row],[Grade_gpt]]=""),0,tblMovement[[#This Row],[Tonnes_t]]*tblMovement[[#This Row],[Grade_gpt]]/cfg_TroyOz)</f>
        <v/>
      </c>
      <c r="O2374" s="59">
        <f>IF(tblMovement[[#This Row],[Is_Ore]]=1,tblMovement[[#This Row],[Contained_oz]],0)</f>
        <v/>
      </c>
    </row>
    <row r="2375">
      <c r="A2375" s="54" t="n"/>
      <c r="B2375" s="61" t="n"/>
      <c r="C2375" s="61" t="n"/>
      <c r="D2375" s="61" t="n"/>
      <c r="E2375" s="61" t="n"/>
      <c r="F2375" s="55" t="n"/>
      <c r="G2375" s="56" t="n"/>
      <c r="H2375" s="55" t="n"/>
      <c r="I2375" s="62" t="n"/>
      <c r="J2375" s="58" t="n"/>
      <c r="K2375" s="63">
        <f>IF(tblMovement[[#This Row],[Source]]="","",IFERROR(INDEX(tblSources[Type],MATCH(tblMovement[[#This Row],[Source]],tblSources[Source],0)),"?"))</f>
        <v/>
      </c>
      <c r="L2375" s="63">
        <f>IF(tblMovement[[#This Row],[Destination]]="","",IFERROR(INDEX(tblDestinations[Type],MATCH(tblMovement[[#This Row],[Destination]],tblDestinations[Destination],0)),"?"))</f>
        <v/>
      </c>
      <c r="M2375" s="64">
        <f>IF(tblMovement[[#This Row],[Material]]="","",IF(LEFT(tblMovement[[#This Row],[Material]],3)="Ore",1,0))</f>
        <v/>
      </c>
      <c r="N2375" s="59">
        <f>IF(OR(tblMovement[[#This Row],[Tonnes_t]]="",tblMovement[[#This Row],[Grade_gpt]]=""),0,tblMovement[[#This Row],[Tonnes_t]]*tblMovement[[#This Row],[Grade_gpt]]/cfg_TroyOz)</f>
        <v/>
      </c>
      <c r="O2375" s="59">
        <f>IF(tblMovement[[#This Row],[Is_Ore]]=1,tblMovement[[#This Row],[Contained_oz]],0)</f>
        <v/>
      </c>
    </row>
    <row r="2376">
      <c r="A2376" s="54" t="n"/>
      <c r="B2376" s="61" t="n"/>
      <c r="C2376" s="61" t="n"/>
      <c r="D2376" s="61" t="n"/>
      <c r="E2376" s="61" t="n"/>
      <c r="F2376" s="55" t="n"/>
      <c r="G2376" s="56" t="n"/>
      <c r="H2376" s="55" t="n"/>
      <c r="I2376" s="62" t="n"/>
      <c r="J2376" s="58" t="n"/>
      <c r="K2376" s="63">
        <f>IF(tblMovement[[#This Row],[Source]]="","",IFERROR(INDEX(tblSources[Type],MATCH(tblMovement[[#This Row],[Source]],tblSources[Source],0)),"?"))</f>
        <v/>
      </c>
      <c r="L2376" s="63">
        <f>IF(tblMovement[[#This Row],[Destination]]="","",IFERROR(INDEX(tblDestinations[Type],MATCH(tblMovement[[#This Row],[Destination]],tblDestinations[Destination],0)),"?"))</f>
        <v/>
      </c>
      <c r="M2376" s="64">
        <f>IF(tblMovement[[#This Row],[Material]]="","",IF(LEFT(tblMovement[[#This Row],[Material]],3)="Ore",1,0))</f>
        <v/>
      </c>
      <c r="N2376" s="59">
        <f>IF(OR(tblMovement[[#This Row],[Tonnes_t]]="",tblMovement[[#This Row],[Grade_gpt]]=""),0,tblMovement[[#This Row],[Tonnes_t]]*tblMovement[[#This Row],[Grade_gpt]]/cfg_TroyOz)</f>
        <v/>
      </c>
      <c r="O2376" s="59">
        <f>IF(tblMovement[[#This Row],[Is_Ore]]=1,tblMovement[[#This Row],[Contained_oz]],0)</f>
        <v/>
      </c>
    </row>
    <row r="2377">
      <c r="A2377" s="54" t="n"/>
      <c r="B2377" s="61" t="n"/>
      <c r="C2377" s="61" t="n"/>
      <c r="D2377" s="61" t="n"/>
      <c r="E2377" s="61" t="n"/>
      <c r="F2377" s="55" t="n"/>
      <c r="G2377" s="56" t="n"/>
      <c r="H2377" s="55" t="n"/>
      <c r="I2377" s="62" t="n"/>
      <c r="J2377" s="58" t="n"/>
      <c r="K2377" s="63">
        <f>IF(tblMovement[[#This Row],[Source]]="","",IFERROR(INDEX(tblSources[Type],MATCH(tblMovement[[#This Row],[Source]],tblSources[Source],0)),"?"))</f>
        <v/>
      </c>
      <c r="L2377" s="63">
        <f>IF(tblMovement[[#This Row],[Destination]]="","",IFERROR(INDEX(tblDestinations[Type],MATCH(tblMovement[[#This Row],[Destination]],tblDestinations[Destination],0)),"?"))</f>
        <v/>
      </c>
      <c r="M2377" s="64">
        <f>IF(tblMovement[[#This Row],[Material]]="","",IF(LEFT(tblMovement[[#This Row],[Material]],3)="Ore",1,0))</f>
        <v/>
      </c>
      <c r="N2377" s="59">
        <f>IF(OR(tblMovement[[#This Row],[Tonnes_t]]="",tblMovement[[#This Row],[Grade_gpt]]=""),0,tblMovement[[#This Row],[Tonnes_t]]*tblMovement[[#This Row],[Grade_gpt]]/cfg_TroyOz)</f>
        <v/>
      </c>
      <c r="O2377" s="59">
        <f>IF(tblMovement[[#This Row],[Is_Ore]]=1,tblMovement[[#This Row],[Contained_oz]],0)</f>
        <v/>
      </c>
    </row>
    <row r="2378">
      <c r="A2378" s="54" t="n"/>
      <c r="B2378" s="61" t="n"/>
      <c r="C2378" s="61" t="n"/>
      <c r="D2378" s="61" t="n"/>
      <c r="E2378" s="61" t="n"/>
      <c r="F2378" s="55" t="n"/>
      <c r="G2378" s="56" t="n"/>
      <c r="H2378" s="55" t="n"/>
      <c r="I2378" s="62" t="n"/>
      <c r="J2378" s="58" t="n"/>
      <c r="K2378" s="63">
        <f>IF(tblMovement[[#This Row],[Source]]="","",IFERROR(INDEX(tblSources[Type],MATCH(tblMovement[[#This Row],[Source]],tblSources[Source],0)),"?"))</f>
        <v/>
      </c>
      <c r="L2378" s="63">
        <f>IF(tblMovement[[#This Row],[Destination]]="","",IFERROR(INDEX(tblDestinations[Type],MATCH(tblMovement[[#This Row],[Destination]],tblDestinations[Destination],0)),"?"))</f>
        <v/>
      </c>
      <c r="M2378" s="64">
        <f>IF(tblMovement[[#This Row],[Material]]="","",IF(LEFT(tblMovement[[#This Row],[Material]],3)="Ore",1,0))</f>
        <v/>
      </c>
      <c r="N2378" s="59">
        <f>IF(OR(tblMovement[[#This Row],[Tonnes_t]]="",tblMovement[[#This Row],[Grade_gpt]]=""),0,tblMovement[[#This Row],[Tonnes_t]]*tblMovement[[#This Row],[Grade_gpt]]/cfg_TroyOz)</f>
        <v/>
      </c>
      <c r="O2378" s="59">
        <f>IF(tblMovement[[#This Row],[Is_Ore]]=1,tblMovement[[#This Row],[Contained_oz]],0)</f>
        <v/>
      </c>
    </row>
    <row r="2379">
      <c r="A2379" s="54" t="n"/>
      <c r="B2379" s="61" t="n"/>
      <c r="C2379" s="61" t="n"/>
      <c r="D2379" s="61" t="n"/>
      <c r="E2379" s="61" t="n"/>
      <c r="F2379" s="55" t="n"/>
      <c r="G2379" s="56" t="n"/>
      <c r="H2379" s="55" t="n"/>
      <c r="I2379" s="62" t="n"/>
      <c r="J2379" s="58" t="n"/>
      <c r="K2379" s="63">
        <f>IF(tblMovement[[#This Row],[Source]]="","",IFERROR(INDEX(tblSources[Type],MATCH(tblMovement[[#This Row],[Source]],tblSources[Source],0)),"?"))</f>
        <v/>
      </c>
      <c r="L2379" s="63">
        <f>IF(tblMovement[[#This Row],[Destination]]="","",IFERROR(INDEX(tblDestinations[Type],MATCH(tblMovement[[#This Row],[Destination]],tblDestinations[Destination],0)),"?"))</f>
        <v/>
      </c>
      <c r="M2379" s="64">
        <f>IF(tblMovement[[#This Row],[Material]]="","",IF(LEFT(tblMovement[[#This Row],[Material]],3)="Ore",1,0))</f>
        <v/>
      </c>
      <c r="N2379" s="59">
        <f>IF(OR(tblMovement[[#This Row],[Tonnes_t]]="",tblMovement[[#This Row],[Grade_gpt]]=""),0,tblMovement[[#This Row],[Tonnes_t]]*tblMovement[[#This Row],[Grade_gpt]]/cfg_TroyOz)</f>
        <v/>
      </c>
      <c r="O2379" s="59">
        <f>IF(tblMovement[[#This Row],[Is_Ore]]=1,tblMovement[[#This Row],[Contained_oz]],0)</f>
        <v/>
      </c>
    </row>
    <row r="2380">
      <c r="A2380" s="54" t="n"/>
      <c r="B2380" s="61" t="n"/>
      <c r="C2380" s="61" t="n"/>
      <c r="D2380" s="61" t="n"/>
      <c r="E2380" s="61" t="n"/>
      <c r="F2380" s="55" t="n"/>
      <c r="G2380" s="56" t="n"/>
      <c r="H2380" s="55" t="n"/>
      <c r="I2380" s="62" t="n"/>
      <c r="J2380" s="58" t="n"/>
      <c r="K2380" s="63">
        <f>IF(tblMovement[[#This Row],[Source]]="","",IFERROR(INDEX(tblSources[Type],MATCH(tblMovement[[#This Row],[Source]],tblSources[Source],0)),"?"))</f>
        <v/>
      </c>
      <c r="L2380" s="63">
        <f>IF(tblMovement[[#This Row],[Destination]]="","",IFERROR(INDEX(tblDestinations[Type],MATCH(tblMovement[[#This Row],[Destination]],tblDestinations[Destination],0)),"?"))</f>
        <v/>
      </c>
      <c r="M2380" s="64">
        <f>IF(tblMovement[[#This Row],[Material]]="","",IF(LEFT(tblMovement[[#This Row],[Material]],3)="Ore",1,0))</f>
        <v/>
      </c>
      <c r="N2380" s="59">
        <f>IF(OR(tblMovement[[#This Row],[Tonnes_t]]="",tblMovement[[#This Row],[Grade_gpt]]=""),0,tblMovement[[#This Row],[Tonnes_t]]*tblMovement[[#This Row],[Grade_gpt]]/cfg_TroyOz)</f>
        <v/>
      </c>
      <c r="O2380" s="59">
        <f>IF(tblMovement[[#This Row],[Is_Ore]]=1,tblMovement[[#This Row],[Contained_oz]],0)</f>
        <v/>
      </c>
    </row>
    <row r="2381">
      <c r="A2381" s="54" t="n"/>
      <c r="B2381" s="61" t="n"/>
      <c r="C2381" s="61" t="n"/>
      <c r="D2381" s="61" t="n"/>
      <c r="E2381" s="61" t="n"/>
      <c r="F2381" s="55" t="n"/>
      <c r="G2381" s="56" t="n"/>
      <c r="H2381" s="55" t="n"/>
      <c r="I2381" s="62" t="n"/>
      <c r="J2381" s="58" t="n"/>
      <c r="K2381" s="63">
        <f>IF(tblMovement[[#This Row],[Source]]="","",IFERROR(INDEX(tblSources[Type],MATCH(tblMovement[[#This Row],[Source]],tblSources[Source],0)),"?"))</f>
        <v/>
      </c>
      <c r="L2381" s="63">
        <f>IF(tblMovement[[#This Row],[Destination]]="","",IFERROR(INDEX(tblDestinations[Type],MATCH(tblMovement[[#This Row],[Destination]],tblDestinations[Destination],0)),"?"))</f>
        <v/>
      </c>
      <c r="M2381" s="64">
        <f>IF(tblMovement[[#This Row],[Material]]="","",IF(LEFT(tblMovement[[#This Row],[Material]],3)="Ore",1,0))</f>
        <v/>
      </c>
      <c r="N2381" s="59">
        <f>IF(OR(tblMovement[[#This Row],[Tonnes_t]]="",tblMovement[[#This Row],[Grade_gpt]]=""),0,tblMovement[[#This Row],[Tonnes_t]]*tblMovement[[#This Row],[Grade_gpt]]/cfg_TroyOz)</f>
        <v/>
      </c>
      <c r="O2381" s="59">
        <f>IF(tblMovement[[#This Row],[Is_Ore]]=1,tblMovement[[#This Row],[Contained_oz]],0)</f>
        <v/>
      </c>
    </row>
    <row r="2382">
      <c r="A2382" s="54" t="n"/>
      <c r="B2382" s="61" t="n"/>
      <c r="C2382" s="61" t="n"/>
      <c r="D2382" s="61" t="n"/>
      <c r="E2382" s="61" t="n"/>
      <c r="F2382" s="55" t="n"/>
      <c r="G2382" s="56" t="n"/>
      <c r="H2382" s="55" t="n"/>
      <c r="I2382" s="62" t="n"/>
      <c r="J2382" s="58" t="n"/>
      <c r="K2382" s="63">
        <f>IF(tblMovement[[#This Row],[Source]]="","",IFERROR(INDEX(tblSources[Type],MATCH(tblMovement[[#This Row],[Source]],tblSources[Source],0)),"?"))</f>
        <v/>
      </c>
      <c r="L2382" s="63">
        <f>IF(tblMovement[[#This Row],[Destination]]="","",IFERROR(INDEX(tblDestinations[Type],MATCH(tblMovement[[#This Row],[Destination]],tblDestinations[Destination],0)),"?"))</f>
        <v/>
      </c>
      <c r="M2382" s="64">
        <f>IF(tblMovement[[#This Row],[Material]]="","",IF(LEFT(tblMovement[[#This Row],[Material]],3)="Ore",1,0))</f>
        <v/>
      </c>
      <c r="N2382" s="59">
        <f>IF(OR(tblMovement[[#This Row],[Tonnes_t]]="",tblMovement[[#This Row],[Grade_gpt]]=""),0,tblMovement[[#This Row],[Tonnes_t]]*tblMovement[[#This Row],[Grade_gpt]]/cfg_TroyOz)</f>
        <v/>
      </c>
      <c r="O2382" s="59">
        <f>IF(tblMovement[[#This Row],[Is_Ore]]=1,tblMovement[[#This Row],[Contained_oz]],0)</f>
        <v/>
      </c>
    </row>
    <row r="2383">
      <c r="A2383" s="54" t="n"/>
      <c r="B2383" s="61" t="n"/>
      <c r="C2383" s="61" t="n"/>
      <c r="D2383" s="61" t="n"/>
      <c r="E2383" s="61" t="n"/>
      <c r="F2383" s="55" t="n"/>
      <c r="G2383" s="56" t="n"/>
      <c r="H2383" s="55" t="n"/>
      <c r="I2383" s="62" t="n"/>
      <c r="J2383" s="58" t="n"/>
      <c r="K2383" s="63">
        <f>IF(tblMovement[[#This Row],[Source]]="","",IFERROR(INDEX(tblSources[Type],MATCH(tblMovement[[#This Row],[Source]],tblSources[Source],0)),"?"))</f>
        <v/>
      </c>
      <c r="L2383" s="63">
        <f>IF(tblMovement[[#This Row],[Destination]]="","",IFERROR(INDEX(tblDestinations[Type],MATCH(tblMovement[[#This Row],[Destination]],tblDestinations[Destination],0)),"?"))</f>
        <v/>
      </c>
      <c r="M2383" s="64">
        <f>IF(tblMovement[[#This Row],[Material]]="","",IF(LEFT(tblMovement[[#This Row],[Material]],3)="Ore",1,0))</f>
        <v/>
      </c>
      <c r="N2383" s="59">
        <f>IF(OR(tblMovement[[#This Row],[Tonnes_t]]="",tblMovement[[#This Row],[Grade_gpt]]=""),0,tblMovement[[#This Row],[Tonnes_t]]*tblMovement[[#This Row],[Grade_gpt]]/cfg_TroyOz)</f>
        <v/>
      </c>
      <c r="O2383" s="59">
        <f>IF(tblMovement[[#This Row],[Is_Ore]]=1,tblMovement[[#This Row],[Contained_oz]],0)</f>
        <v/>
      </c>
    </row>
    <row r="2384">
      <c r="A2384" s="54" t="n"/>
      <c r="B2384" s="61" t="n"/>
      <c r="C2384" s="61" t="n"/>
      <c r="D2384" s="61" t="n"/>
      <c r="E2384" s="61" t="n"/>
      <c r="F2384" s="55" t="n"/>
      <c r="G2384" s="56" t="n"/>
      <c r="H2384" s="55" t="n"/>
      <c r="I2384" s="62" t="n"/>
      <c r="J2384" s="58" t="n"/>
      <c r="K2384" s="63">
        <f>IF(tblMovement[[#This Row],[Source]]="","",IFERROR(INDEX(tblSources[Type],MATCH(tblMovement[[#This Row],[Source]],tblSources[Source],0)),"?"))</f>
        <v/>
      </c>
      <c r="L2384" s="63">
        <f>IF(tblMovement[[#This Row],[Destination]]="","",IFERROR(INDEX(tblDestinations[Type],MATCH(tblMovement[[#This Row],[Destination]],tblDestinations[Destination],0)),"?"))</f>
        <v/>
      </c>
      <c r="M2384" s="64">
        <f>IF(tblMovement[[#This Row],[Material]]="","",IF(LEFT(tblMovement[[#This Row],[Material]],3)="Ore",1,0))</f>
        <v/>
      </c>
      <c r="N2384" s="59">
        <f>IF(OR(tblMovement[[#This Row],[Tonnes_t]]="",tblMovement[[#This Row],[Grade_gpt]]=""),0,tblMovement[[#This Row],[Tonnes_t]]*tblMovement[[#This Row],[Grade_gpt]]/cfg_TroyOz)</f>
        <v/>
      </c>
      <c r="O2384" s="59">
        <f>IF(tblMovement[[#This Row],[Is_Ore]]=1,tblMovement[[#This Row],[Contained_oz]],0)</f>
        <v/>
      </c>
    </row>
    <row r="2385">
      <c r="A2385" s="54" t="n"/>
      <c r="B2385" s="61" t="n"/>
      <c r="C2385" s="61" t="n"/>
      <c r="D2385" s="61" t="n"/>
      <c r="E2385" s="61" t="n"/>
      <c r="F2385" s="55" t="n"/>
      <c r="G2385" s="56" t="n"/>
      <c r="H2385" s="55" t="n"/>
      <c r="I2385" s="62" t="n"/>
      <c r="J2385" s="58" t="n"/>
      <c r="K2385" s="63">
        <f>IF(tblMovement[[#This Row],[Source]]="","",IFERROR(INDEX(tblSources[Type],MATCH(tblMovement[[#This Row],[Source]],tblSources[Source],0)),"?"))</f>
        <v/>
      </c>
      <c r="L2385" s="63">
        <f>IF(tblMovement[[#This Row],[Destination]]="","",IFERROR(INDEX(tblDestinations[Type],MATCH(tblMovement[[#This Row],[Destination]],tblDestinations[Destination],0)),"?"))</f>
        <v/>
      </c>
      <c r="M2385" s="64">
        <f>IF(tblMovement[[#This Row],[Material]]="","",IF(LEFT(tblMovement[[#This Row],[Material]],3)="Ore",1,0))</f>
        <v/>
      </c>
      <c r="N2385" s="59">
        <f>IF(OR(tblMovement[[#This Row],[Tonnes_t]]="",tblMovement[[#This Row],[Grade_gpt]]=""),0,tblMovement[[#This Row],[Tonnes_t]]*tblMovement[[#This Row],[Grade_gpt]]/cfg_TroyOz)</f>
        <v/>
      </c>
      <c r="O2385" s="59">
        <f>IF(tblMovement[[#This Row],[Is_Ore]]=1,tblMovement[[#This Row],[Contained_oz]],0)</f>
        <v/>
      </c>
    </row>
    <row r="2386">
      <c r="A2386" s="54" t="n"/>
      <c r="B2386" s="61" t="n"/>
      <c r="C2386" s="61" t="n"/>
      <c r="D2386" s="61" t="n"/>
      <c r="E2386" s="61" t="n"/>
      <c r="F2386" s="55" t="n"/>
      <c r="G2386" s="56" t="n"/>
      <c r="H2386" s="55" t="n"/>
      <c r="I2386" s="62" t="n"/>
      <c r="J2386" s="58" t="n"/>
      <c r="K2386" s="63">
        <f>IF(tblMovement[[#This Row],[Source]]="","",IFERROR(INDEX(tblSources[Type],MATCH(tblMovement[[#This Row],[Source]],tblSources[Source],0)),"?"))</f>
        <v/>
      </c>
      <c r="L2386" s="63">
        <f>IF(tblMovement[[#This Row],[Destination]]="","",IFERROR(INDEX(tblDestinations[Type],MATCH(tblMovement[[#This Row],[Destination]],tblDestinations[Destination],0)),"?"))</f>
        <v/>
      </c>
      <c r="M2386" s="64">
        <f>IF(tblMovement[[#This Row],[Material]]="","",IF(LEFT(tblMovement[[#This Row],[Material]],3)="Ore",1,0))</f>
        <v/>
      </c>
      <c r="N2386" s="59">
        <f>IF(OR(tblMovement[[#This Row],[Tonnes_t]]="",tblMovement[[#This Row],[Grade_gpt]]=""),0,tblMovement[[#This Row],[Tonnes_t]]*tblMovement[[#This Row],[Grade_gpt]]/cfg_TroyOz)</f>
        <v/>
      </c>
      <c r="O2386" s="59">
        <f>IF(tblMovement[[#This Row],[Is_Ore]]=1,tblMovement[[#This Row],[Contained_oz]],0)</f>
        <v/>
      </c>
    </row>
    <row r="2387">
      <c r="A2387" s="54" t="n"/>
      <c r="B2387" s="61" t="n"/>
      <c r="C2387" s="61" t="n"/>
      <c r="D2387" s="61" t="n"/>
      <c r="E2387" s="61" t="n"/>
      <c r="F2387" s="55" t="n"/>
      <c r="G2387" s="56" t="n"/>
      <c r="H2387" s="55" t="n"/>
      <c r="I2387" s="62" t="n"/>
      <c r="J2387" s="58" t="n"/>
      <c r="K2387" s="63">
        <f>IF(tblMovement[[#This Row],[Source]]="","",IFERROR(INDEX(tblSources[Type],MATCH(tblMovement[[#This Row],[Source]],tblSources[Source],0)),"?"))</f>
        <v/>
      </c>
      <c r="L2387" s="63">
        <f>IF(tblMovement[[#This Row],[Destination]]="","",IFERROR(INDEX(tblDestinations[Type],MATCH(tblMovement[[#This Row],[Destination]],tblDestinations[Destination],0)),"?"))</f>
        <v/>
      </c>
      <c r="M2387" s="64">
        <f>IF(tblMovement[[#This Row],[Material]]="","",IF(LEFT(tblMovement[[#This Row],[Material]],3)="Ore",1,0))</f>
        <v/>
      </c>
      <c r="N2387" s="59">
        <f>IF(OR(tblMovement[[#This Row],[Tonnes_t]]="",tblMovement[[#This Row],[Grade_gpt]]=""),0,tblMovement[[#This Row],[Tonnes_t]]*tblMovement[[#This Row],[Grade_gpt]]/cfg_TroyOz)</f>
        <v/>
      </c>
      <c r="O2387" s="59">
        <f>IF(tblMovement[[#This Row],[Is_Ore]]=1,tblMovement[[#This Row],[Contained_oz]],0)</f>
        <v/>
      </c>
    </row>
    <row r="2388">
      <c r="A2388" s="54" t="n"/>
      <c r="B2388" s="61" t="n"/>
      <c r="C2388" s="61" t="n"/>
      <c r="D2388" s="61" t="n"/>
      <c r="E2388" s="61" t="n"/>
      <c r="F2388" s="55" t="n"/>
      <c r="G2388" s="56" t="n"/>
      <c r="H2388" s="55" t="n"/>
      <c r="I2388" s="62" t="n"/>
      <c r="J2388" s="58" t="n"/>
      <c r="K2388" s="63">
        <f>IF(tblMovement[[#This Row],[Source]]="","",IFERROR(INDEX(tblSources[Type],MATCH(tblMovement[[#This Row],[Source]],tblSources[Source],0)),"?"))</f>
        <v/>
      </c>
      <c r="L2388" s="63">
        <f>IF(tblMovement[[#This Row],[Destination]]="","",IFERROR(INDEX(tblDestinations[Type],MATCH(tblMovement[[#This Row],[Destination]],tblDestinations[Destination],0)),"?"))</f>
        <v/>
      </c>
      <c r="M2388" s="64">
        <f>IF(tblMovement[[#This Row],[Material]]="","",IF(LEFT(tblMovement[[#This Row],[Material]],3)="Ore",1,0))</f>
        <v/>
      </c>
      <c r="N2388" s="59">
        <f>IF(OR(tblMovement[[#This Row],[Tonnes_t]]="",tblMovement[[#This Row],[Grade_gpt]]=""),0,tblMovement[[#This Row],[Tonnes_t]]*tblMovement[[#This Row],[Grade_gpt]]/cfg_TroyOz)</f>
        <v/>
      </c>
      <c r="O2388" s="59">
        <f>IF(tblMovement[[#This Row],[Is_Ore]]=1,tblMovement[[#This Row],[Contained_oz]],0)</f>
        <v/>
      </c>
    </row>
    <row r="2389">
      <c r="A2389" s="54" t="n"/>
      <c r="B2389" s="61" t="n"/>
      <c r="C2389" s="61" t="n"/>
      <c r="D2389" s="61" t="n"/>
      <c r="E2389" s="61" t="n"/>
      <c r="F2389" s="55" t="n"/>
      <c r="G2389" s="56" t="n"/>
      <c r="H2389" s="55" t="n"/>
      <c r="I2389" s="62" t="n"/>
      <c r="J2389" s="58" t="n"/>
      <c r="K2389" s="63">
        <f>IF(tblMovement[[#This Row],[Source]]="","",IFERROR(INDEX(tblSources[Type],MATCH(tblMovement[[#This Row],[Source]],tblSources[Source],0)),"?"))</f>
        <v/>
      </c>
      <c r="L2389" s="63">
        <f>IF(tblMovement[[#This Row],[Destination]]="","",IFERROR(INDEX(tblDestinations[Type],MATCH(tblMovement[[#This Row],[Destination]],tblDestinations[Destination],0)),"?"))</f>
        <v/>
      </c>
      <c r="M2389" s="64">
        <f>IF(tblMovement[[#This Row],[Material]]="","",IF(LEFT(tblMovement[[#This Row],[Material]],3)="Ore",1,0))</f>
        <v/>
      </c>
      <c r="N2389" s="59">
        <f>IF(OR(tblMovement[[#This Row],[Tonnes_t]]="",tblMovement[[#This Row],[Grade_gpt]]=""),0,tblMovement[[#This Row],[Tonnes_t]]*tblMovement[[#This Row],[Grade_gpt]]/cfg_TroyOz)</f>
        <v/>
      </c>
      <c r="O2389" s="59">
        <f>IF(tblMovement[[#This Row],[Is_Ore]]=1,tblMovement[[#This Row],[Contained_oz]],0)</f>
        <v/>
      </c>
    </row>
    <row r="2390">
      <c r="A2390" s="54" t="n"/>
      <c r="B2390" s="61" t="n"/>
      <c r="C2390" s="61" t="n"/>
      <c r="D2390" s="61" t="n"/>
      <c r="E2390" s="61" t="n"/>
      <c r="F2390" s="55" t="n"/>
      <c r="G2390" s="56" t="n"/>
      <c r="H2390" s="55" t="n"/>
      <c r="I2390" s="62" t="n"/>
      <c r="J2390" s="58" t="n"/>
      <c r="K2390" s="63">
        <f>IF(tblMovement[[#This Row],[Source]]="","",IFERROR(INDEX(tblSources[Type],MATCH(tblMovement[[#This Row],[Source]],tblSources[Source],0)),"?"))</f>
        <v/>
      </c>
      <c r="L2390" s="63">
        <f>IF(tblMovement[[#This Row],[Destination]]="","",IFERROR(INDEX(tblDestinations[Type],MATCH(tblMovement[[#This Row],[Destination]],tblDestinations[Destination],0)),"?"))</f>
        <v/>
      </c>
      <c r="M2390" s="64">
        <f>IF(tblMovement[[#This Row],[Material]]="","",IF(LEFT(tblMovement[[#This Row],[Material]],3)="Ore",1,0))</f>
        <v/>
      </c>
      <c r="N2390" s="59">
        <f>IF(OR(tblMovement[[#This Row],[Tonnes_t]]="",tblMovement[[#This Row],[Grade_gpt]]=""),0,tblMovement[[#This Row],[Tonnes_t]]*tblMovement[[#This Row],[Grade_gpt]]/cfg_TroyOz)</f>
        <v/>
      </c>
      <c r="O2390" s="59">
        <f>IF(tblMovement[[#This Row],[Is_Ore]]=1,tblMovement[[#This Row],[Contained_oz]],0)</f>
        <v/>
      </c>
    </row>
    <row r="2391">
      <c r="A2391" s="54" t="n"/>
      <c r="B2391" s="61" t="n"/>
      <c r="C2391" s="61" t="n"/>
      <c r="D2391" s="61" t="n"/>
      <c r="E2391" s="61" t="n"/>
      <c r="F2391" s="55" t="n"/>
      <c r="G2391" s="56" t="n"/>
      <c r="H2391" s="55" t="n"/>
      <c r="I2391" s="62" t="n"/>
      <c r="J2391" s="58" t="n"/>
      <c r="K2391" s="63">
        <f>IF(tblMovement[[#This Row],[Source]]="","",IFERROR(INDEX(tblSources[Type],MATCH(tblMovement[[#This Row],[Source]],tblSources[Source],0)),"?"))</f>
        <v/>
      </c>
      <c r="L2391" s="63">
        <f>IF(tblMovement[[#This Row],[Destination]]="","",IFERROR(INDEX(tblDestinations[Type],MATCH(tblMovement[[#This Row],[Destination]],tblDestinations[Destination],0)),"?"))</f>
        <v/>
      </c>
      <c r="M2391" s="64">
        <f>IF(tblMovement[[#This Row],[Material]]="","",IF(LEFT(tblMovement[[#This Row],[Material]],3)="Ore",1,0))</f>
        <v/>
      </c>
      <c r="N2391" s="59">
        <f>IF(OR(tblMovement[[#This Row],[Tonnes_t]]="",tblMovement[[#This Row],[Grade_gpt]]=""),0,tblMovement[[#This Row],[Tonnes_t]]*tblMovement[[#This Row],[Grade_gpt]]/cfg_TroyOz)</f>
        <v/>
      </c>
      <c r="O2391" s="59">
        <f>IF(tblMovement[[#This Row],[Is_Ore]]=1,tblMovement[[#This Row],[Contained_oz]],0)</f>
        <v/>
      </c>
    </row>
    <row r="2392">
      <c r="A2392" s="54" t="n"/>
      <c r="B2392" s="61" t="n"/>
      <c r="C2392" s="61" t="n"/>
      <c r="D2392" s="61" t="n"/>
      <c r="E2392" s="61" t="n"/>
      <c r="F2392" s="55" t="n"/>
      <c r="G2392" s="56" t="n"/>
      <c r="H2392" s="55" t="n"/>
      <c r="I2392" s="62" t="n"/>
      <c r="J2392" s="58" t="n"/>
      <c r="K2392" s="63">
        <f>IF(tblMovement[[#This Row],[Source]]="","",IFERROR(INDEX(tblSources[Type],MATCH(tblMovement[[#This Row],[Source]],tblSources[Source],0)),"?"))</f>
        <v/>
      </c>
      <c r="L2392" s="63">
        <f>IF(tblMovement[[#This Row],[Destination]]="","",IFERROR(INDEX(tblDestinations[Type],MATCH(tblMovement[[#This Row],[Destination]],tblDestinations[Destination],0)),"?"))</f>
        <v/>
      </c>
      <c r="M2392" s="64">
        <f>IF(tblMovement[[#This Row],[Material]]="","",IF(LEFT(tblMovement[[#This Row],[Material]],3)="Ore",1,0))</f>
        <v/>
      </c>
      <c r="N2392" s="59">
        <f>IF(OR(tblMovement[[#This Row],[Tonnes_t]]="",tblMovement[[#This Row],[Grade_gpt]]=""),0,tblMovement[[#This Row],[Tonnes_t]]*tblMovement[[#This Row],[Grade_gpt]]/cfg_TroyOz)</f>
        <v/>
      </c>
      <c r="O2392" s="59">
        <f>IF(tblMovement[[#This Row],[Is_Ore]]=1,tblMovement[[#This Row],[Contained_oz]],0)</f>
        <v/>
      </c>
    </row>
    <row r="2393">
      <c r="A2393" s="54" t="n"/>
      <c r="B2393" s="61" t="n"/>
      <c r="C2393" s="61" t="n"/>
      <c r="D2393" s="61" t="n"/>
      <c r="E2393" s="61" t="n"/>
      <c r="F2393" s="55" t="n"/>
      <c r="G2393" s="56" t="n"/>
      <c r="H2393" s="55" t="n"/>
      <c r="I2393" s="62" t="n"/>
      <c r="J2393" s="58" t="n"/>
      <c r="K2393" s="63">
        <f>IF(tblMovement[[#This Row],[Source]]="","",IFERROR(INDEX(tblSources[Type],MATCH(tblMovement[[#This Row],[Source]],tblSources[Source],0)),"?"))</f>
        <v/>
      </c>
      <c r="L2393" s="63">
        <f>IF(tblMovement[[#This Row],[Destination]]="","",IFERROR(INDEX(tblDestinations[Type],MATCH(tblMovement[[#This Row],[Destination]],tblDestinations[Destination],0)),"?"))</f>
        <v/>
      </c>
      <c r="M2393" s="64">
        <f>IF(tblMovement[[#This Row],[Material]]="","",IF(LEFT(tblMovement[[#This Row],[Material]],3)="Ore",1,0))</f>
        <v/>
      </c>
      <c r="N2393" s="59">
        <f>IF(OR(tblMovement[[#This Row],[Tonnes_t]]="",tblMovement[[#This Row],[Grade_gpt]]=""),0,tblMovement[[#This Row],[Tonnes_t]]*tblMovement[[#This Row],[Grade_gpt]]/cfg_TroyOz)</f>
        <v/>
      </c>
      <c r="O2393" s="59">
        <f>IF(tblMovement[[#This Row],[Is_Ore]]=1,tblMovement[[#This Row],[Contained_oz]],0)</f>
        <v/>
      </c>
    </row>
    <row r="2394">
      <c r="A2394" s="54" t="n"/>
      <c r="B2394" s="61" t="n"/>
      <c r="C2394" s="61" t="n"/>
      <c r="D2394" s="61" t="n"/>
      <c r="E2394" s="61" t="n"/>
      <c r="F2394" s="55" t="n"/>
      <c r="G2394" s="56" t="n"/>
      <c r="H2394" s="55" t="n"/>
      <c r="I2394" s="62" t="n"/>
      <c r="J2394" s="58" t="n"/>
      <c r="K2394" s="63">
        <f>IF(tblMovement[[#This Row],[Source]]="","",IFERROR(INDEX(tblSources[Type],MATCH(tblMovement[[#This Row],[Source]],tblSources[Source],0)),"?"))</f>
        <v/>
      </c>
      <c r="L2394" s="63">
        <f>IF(tblMovement[[#This Row],[Destination]]="","",IFERROR(INDEX(tblDestinations[Type],MATCH(tblMovement[[#This Row],[Destination]],tblDestinations[Destination],0)),"?"))</f>
        <v/>
      </c>
      <c r="M2394" s="64">
        <f>IF(tblMovement[[#This Row],[Material]]="","",IF(LEFT(tblMovement[[#This Row],[Material]],3)="Ore",1,0))</f>
        <v/>
      </c>
      <c r="N2394" s="59">
        <f>IF(OR(tblMovement[[#This Row],[Tonnes_t]]="",tblMovement[[#This Row],[Grade_gpt]]=""),0,tblMovement[[#This Row],[Tonnes_t]]*tblMovement[[#This Row],[Grade_gpt]]/cfg_TroyOz)</f>
        <v/>
      </c>
      <c r="O2394" s="59">
        <f>IF(tblMovement[[#This Row],[Is_Ore]]=1,tblMovement[[#This Row],[Contained_oz]],0)</f>
        <v/>
      </c>
    </row>
    <row r="2395">
      <c r="A2395" s="54" t="n"/>
      <c r="B2395" s="61" t="n"/>
      <c r="C2395" s="61" t="n"/>
      <c r="D2395" s="61" t="n"/>
      <c r="E2395" s="61" t="n"/>
      <c r="F2395" s="55" t="n"/>
      <c r="G2395" s="56" t="n"/>
      <c r="H2395" s="55" t="n"/>
      <c r="I2395" s="62" t="n"/>
      <c r="J2395" s="58" t="n"/>
      <c r="K2395" s="63">
        <f>IF(tblMovement[[#This Row],[Source]]="","",IFERROR(INDEX(tblSources[Type],MATCH(tblMovement[[#This Row],[Source]],tblSources[Source],0)),"?"))</f>
        <v/>
      </c>
      <c r="L2395" s="63">
        <f>IF(tblMovement[[#This Row],[Destination]]="","",IFERROR(INDEX(tblDestinations[Type],MATCH(tblMovement[[#This Row],[Destination]],tblDestinations[Destination],0)),"?"))</f>
        <v/>
      </c>
      <c r="M2395" s="64">
        <f>IF(tblMovement[[#This Row],[Material]]="","",IF(LEFT(tblMovement[[#This Row],[Material]],3)="Ore",1,0))</f>
        <v/>
      </c>
      <c r="N2395" s="59">
        <f>IF(OR(tblMovement[[#This Row],[Tonnes_t]]="",tblMovement[[#This Row],[Grade_gpt]]=""),0,tblMovement[[#This Row],[Tonnes_t]]*tblMovement[[#This Row],[Grade_gpt]]/cfg_TroyOz)</f>
        <v/>
      </c>
      <c r="O2395" s="59">
        <f>IF(tblMovement[[#This Row],[Is_Ore]]=1,tblMovement[[#This Row],[Contained_oz]],0)</f>
        <v/>
      </c>
    </row>
    <row r="2396">
      <c r="A2396" s="54" t="n"/>
      <c r="B2396" s="61" t="n"/>
      <c r="C2396" s="61" t="n"/>
      <c r="D2396" s="61" t="n"/>
      <c r="E2396" s="61" t="n"/>
      <c r="F2396" s="55" t="n"/>
      <c r="G2396" s="56" t="n"/>
      <c r="H2396" s="55" t="n"/>
      <c r="I2396" s="62" t="n"/>
      <c r="J2396" s="58" t="n"/>
      <c r="K2396" s="63">
        <f>IF(tblMovement[[#This Row],[Source]]="","",IFERROR(INDEX(tblSources[Type],MATCH(tblMovement[[#This Row],[Source]],tblSources[Source],0)),"?"))</f>
        <v/>
      </c>
      <c r="L2396" s="63">
        <f>IF(tblMovement[[#This Row],[Destination]]="","",IFERROR(INDEX(tblDestinations[Type],MATCH(tblMovement[[#This Row],[Destination]],tblDestinations[Destination],0)),"?"))</f>
        <v/>
      </c>
      <c r="M2396" s="64">
        <f>IF(tblMovement[[#This Row],[Material]]="","",IF(LEFT(tblMovement[[#This Row],[Material]],3)="Ore",1,0))</f>
        <v/>
      </c>
      <c r="N2396" s="59">
        <f>IF(OR(tblMovement[[#This Row],[Tonnes_t]]="",tblMovement[[#This Row],[Grade_gpt]]=""),0,tblMovement[[#This Row],[Tonnes_t]]*tblMovement[[#This Row],[Grade_gpt]]/cfg_TroyOz)</f>
        <v/>
      </c>
      <c r="O2396" s="59">
        <f>IF(tblMovement[[#This Row],[Is_Ore]]=1,tblMovement[[#This Row],[Contained_oz]],0)</f>
        <v/>
      </c>
    </row>
    <row r="2397">
      <c r="A2397" s="54" t="n"/>
      <c r="B2397" s="61" t="n"/>
      <c r="C2397" s="61" t="n"/>
      <c r="D2397" s="61" t="n"/>
      <c r="E2397" s="61" t="n"/>
      <c r="F2397" s="55" t="n"/>
      <c r="G2397" s="56" t="n"/>
      <c r="H2397" s="55" t="n"/>
      <c r="I2397" s="62" t="n"/>
      <c r="J2397" s="58" t="n"/>
      <c r="K2397" s="63">
        <f>IF(tblMovement[[#This Row],[Source]]="","",IFERROR(INDEX(tblSources[Type],MATCH(tblMovement[[#This Row],[Source]],tblSources[Source],0)),"?"))</f>
        <v/>
      </c>
      <c r="L2397" s="63">
        <f>IF(tblMovement[[#This Row],[Destination]]="","",IFERROR(INDEX(tblDestinations[Type],MATCH(tblMovement[[#This Row],[Destination]],tblDestinations[Destination],0)),"?"))</f>
        <v/>
      </c>
      <c r="M2397" s="64">
        <f>IF(tblMovement[[#This Row],[Material]]="","",IF(LEFT(tblMovement[[#This Row],[Material]],3)="Ore",1,0))</f>
        <v/>
      </c>
      <c r="N2397" s="59">
        <f>IF(OR(tblMovement[[#This Row],[Tonnes_t]]="",tblMovement[[#This Row],[Grade_gpt]]=""),0,tblMovement[[#This Row],[Tonnes_t]]*tblMovement[[#This Row],[Grade_gpt]]/cfg_TroyOz)</f>
        <v/>
      </c>
      <c r="O2397" s="59">
        <f>IF(tblMovement[[#This Row],[Is_Ore]]=1,tblMovement[[#This Row],[Contained_oz]],0)</f>
        <v/>
      </c>
    </row>
    <row r="2398">
      <c r="A2398" s="54" t="n"/>
      <c r="B2398" s="61" t="n"/>
      <c r="C2398" s="61" t="n"/>
      <c r="D2398" s="61" t="n"/>
      <c r="E2398" s="61" t="n"/>
      <c r="F2398" s="55" t="n"/>
      <c r="G2398" s="56" t="n"/>
      <c r="H2398" s="55" t="n"/>
      <c r="I2398" s="62" t="n"/>
      <c r="J2398" s="58" t="n"/>
      <c r="K2398" s="63">
        <f>IF(tblMovement[[#This Row],[Source]]="","",IFERROR(INDEX(tblSources[Type],MATCH(tblMovement[[#This Row],[Source]],tblSources[Source],0)),"?"))</f>
        <v/>
      </c>
      <c r="L2398" s="63">
        <f>IF(tblMovement[[#This Row],[Destination]]="","",IFERROR(INDEX(tblDestinations[Type],MATCH(tblMovement[[#This Row],[Destination]],tblDestinations[Destination],0)),"?"))</f>
        <v/>
      </c>
      <c r="M2398" s="64">
        <f>IF(tblMovement[[#This Row],[Material]]="","",IF(LEFT(tblMovement[[#This Row],[Material]],3)="Ore",1,0))</f>
        <v/>
      </c>
      <c r="N2398" s="59">
        <f>IF(OR(tblMovement[[#This Row],[Tonnes_t]]="",tblMovement[[#This Row],[Grade_gpt]]=""),0,tblMovement[[#This Row],[Tonnes_t]]*tblMovement[[#This Row],[Grade_gpt]]/cfg_TroyOz)</f>
        <v/>
      </c>
      <c r="O2398" s="59">
        <f>IF(tblMovement[[#This Row],[Is_Ore]]=1,tblMovement[[#This Row],[Contained_oz]],0)</f>
        <v/>
      </c>
    </row>
    <row r="2399">
      <c r="A2399" s="54" t="n"/>
      <c r="B2399" s="61" t="n"/>
      <c r="C2399" s="61" t="n"/>
      <c r="D2399" s="61" t="n"/>
      <c r="E2399" s="61" t="n"/>
      <c r="F2399" s="55" t="n"/>
      <c r="G2399" s="56" t="n"/>
      <c r="H2399" s="55" t="n"/>
      <c r="I2399" s="62" t="n"/>
      <c r="J2399" s="58" t="n"/>
      <c r="K2399" s="63">
        <f>IF(tblMovement[[#This Row],[Source]]="","",IFERROR(INDEX(tblSources[Type],MATCH(tblMovement[[#This Row],[Source]],tblSources[Source],0)),"?"))</f>
        <v/>
      </c>
      <c r="L2399" s="63">
        <f>IF(tblMovement[[#This Row],[Destination]]="","",IFERROR(INDEX(tblDestinations[Type],MATCH(tblMovement[[#This Row],[Destination]],tblDestinations[Destination],0)),"?"))</f>
        <v/>
      </c>
      <c r="M2399" s="64">
        <f>IF(tblMovement[[#This Row],[Material]]="","",IF(LEFT(tblMovement[[#This Row],[Material]],3)="Ore",1,0))</f>
        <v/>
      </c>
      <c r="N2399" s="59">
        <f>IF(OR(tblMovement[[#This Row],[Tonnes_t]]="",tblMovement[[#This Row],[Grade_gpt]]=""),0,tblMovement[[#This Row],[Tonnes_t]]*tblMovement[[#This Row],[Grade_gpt]]/cfg_TroyOz)</f>
        <v/>
      </c>
      <c r="O2399" s="59">
        <f>IF(tblMovement[[#This Row],[Is_Ore]]=1,tblMovement[[#This Row],[Contained_oz]],0)</f>
        <v/>
      </c>
    </row>
    <row r="2400">
      <c r="A2400" s="54" t="n"/>
      <c r="B2400" s="61" t="n"/>
      <c r="C2400" s="61" t="n"/>
      <c r="D2400" s="61" t="n"/>
      <c r="E2400" s="61" t="n"/>
      <c r="F2400" s="55" t="n"/>
      <c r="G2400" s="56" t="n"/>
      <c r="H2400" s="55" t="n"/>
      <c r="I2400" s="62" t="n"/>
      <c r="J2400" s="58" t="n"/>
      <c r="K2400" s="63">
        <f>IF(tblMovement[[#This Row],[Source]]="","",IFERROR(INDEX(tblSources[Type],MATCH(tblMovement[[#This Row],[Source]],tblSources[Source],0)),"?"))</f>
        <v/>
      </c>
      <c r="L2400" s="63">
        <f>IF(tblMovement[[#This Row],[Destination]]="","",IFERROR(INDEX(tblDestinations[Type],MATCH(tblMovement[[#This Row],[Destination]],tblDestinations[Destination],0)),"?"))</f>
        <v/>
      </c>
      <c r="M2400" s="64">
        <f>IF(tblMovement[[#This Row],[Material]]="","",IF(LEFT(tblMovement[[#This Row],[Material]],3)="Ore",1,0))</f>
        <v/>
      </c>
      <c r="N2400" s="59">
        <f>IF(OR(tblMovement[[#This Row],[Tonnes_t]]="",tblMovement[[#This Row],[Grade_gpt]]=""),0,tblMovement[[#This Row],[Tonnes_t]]*tblMovement[[#This Row],[Grade_gpt]]/cfg_TroyOz)</f>
        <v/>
      </c>
      <c r="O2400" s="59">
        <f>IF(tblMovement[[#This Row],[Is_Ore]]=1,tblMovement[[#This Row],[Contained_oz]],0)</f>
        <v/>
      </c>
    </row>
    <row r="2401">
      <c r="A2401" s="54" t="n"/>
      <c r="B2401" s="61" t="n"/>
      <c r="C2401" s="61" t="n"/>
      <c r="D2401" s="61" t="n"/>
      <c r="E2401" s="61" t="n"/>
      <c r="F2401" s="55" t="n"/>
      <c r="G2401" s="56" t="n"/>
      <c r="H2401" s="55" t="n"/>
      <c r="I2401" s="62" t="n"/>
      <c r="J2401" s="58" t="n"/>
      <c r="K2401" s="63">
        <f>IF(tblMovement[[#This Row],[Source]]="","",IFERROR(INDEX(tblSources[Type],MATCH(tblMovement[[#This Row],[Source]],tblSources[Source],0)),"?"))</f>
        <v/>
      </c>
      <c r="L2401" s="63">
        <f>IF(tblMovement[[#This Row],[Destination]]="","",IFERROR(INDEX(tblDestinations[Type],MATCH(tblMovement[[#This Row],[Destination]],tblDestinations[Destination],0)),"?"))</f>
        <v/>
      </c>
      <c r="M2401" s="64">
        <f>IF(tblMovement[[#This Row],[Material]]="","",IF(LEFT(tblMovement[[#This Row],[Material]],3)="Ore",1,0))</f>
        <v/>
      </c>
      <c r="N2401" s="59">
        <f>IF(OR(tblMovement[[#This Row],[Tonnes_t]]="",tblMovement[[#This Row],[Grade_gpt]]=""),0,tblMovement[[#This Row],[Tonnes_t]]*tblMovement[[#This Row],[Grade_gpt]]/cfg_TroyOz)</f>
        <v/>
      </c>
      <c r="O2401" s="59">
        <f>IF(tblMovement[[#This Row],[Is_Ore]]=1,tblMovement[[#This Row],[Contained_oz]],0)</f>
        <v/>
      </c>
    </row>
    <row r="2402">
      <c r="A2402" s="54" t="n"/>
      <c r="B2402" s="61" t="n"/>
      <c r="C2402" s="61" t="n"/>
      <c r="D2402" s="61" t="n"/>
      <c r="E2402" s="61" t="n"/>
      <c r="F2402" s="55" t="n"/>
      <c r="G2402" s="56" t="n"/>
      <c r="H2402" s="55" t="n"/>
      <c r="I2402" s="62" t="n"/>
      <c r="J2402" s="58" t="n"/>
      <c r="K2402" s="63">
        <f>IF(tblMovement[[#This Row],[Source]]="","",IFERROR(INDEX(tblSources[Type],MATCH(tblMovement[[#This Row],[Source]],tblSources[Source],0)),"?"))</f>
        <v/>
      </c>
      <c r="L2402" s="63">
        <f>IF(tblMovement[[#This Row],[Destination]]="","",IFERROR(INDEX(tblDestinations[Type],MATCH(tblMovement[[#This Row],[Destination]],tblDestinations[Destination],0)),"?"))</f>
        <v/>
      </c>
      <c r="M2402" s="64">
        <f>IF(tblMovement[[#This Row],[Material]]="","",IF(LEFT(tblMovement[[#This Row],[Material]],3)="Ore",1,0))</f>
        <v/>
      </c>
      <c r="N2402" s="59">
        <f>IF(OR(tblMovement[[#This Row],[Tonnes_t]]="",tblMovement[[#This Row],[Grade_gpt]]=""),0,tblMovement[[#This Row],[Tonnes_t]]*tblMovement[[#This Row],[Grade_gpt]]/cfg_TroyOz)</f>
        <v/>
      </c>
      <c r="O2402" s="59">
        <f>IF(tblMovement[[#This Row],[Is_Ore]]=1,tblMovement[[#This Row],[Contained_oz]],0)</f>
        <v/>
      </c>
    </row>
    <row r="2403">
      <c r="A2403" s="54" t="n"/>
      <c r="B2403" s="61" t="n"/>
      <c r="C2403" s="61" t="n"/>
      <c r="D2403" s="61" t="n"/>
      <c r="E2403" s="61" t="n"/>
      <c r="F2403" s="55" t="n"/>
      <c r="G2403" s="56" t="n"/>
      <c r="H2403" s="55" t="n"/>
      <c r="I2403" s="62" t="n"/>
      <c r="J2403" s="58" t="n"/>
      <c r="K2403" s="63">
        <f>IF(tblMovement[[#This Row],[Source]]="","",IFERROR(INDEX(tblSources[Type],MATCH(tblMovement[[#This Row],[Source]],tblSources[Source],0)),"?"))</f>
        <v/>
      </c>
      <c r="L2403" s="63">
        <f>IF(tblMovement[[#This Row],[Destination]]="","",IFERROR(INDEX(tblDestinations[Type],MATCH(tblMovement[[#This Row],[Destination]],tblDestinations[Destination],0)),"?"))</f>
        <v/>
      </c>
      <c r="M2403" s="64">
        <f>IF(tblMovement[[#This Row],[Material]]="","",IF(LEFT(tblMovement[[#This Row],[Material]],3)="Ore",1,0))</f>
        <v/>
      </c>
      <c r="N2403" s="59">
        <f>IF(OR(tblMovement[[#This Row],[Tonnes_t]]="",tblMovement[[#This Row],[Grade_gpt]]=""),0,tblMovement[[#This Row],[Tonnes_t]]*tblMovement[[#This Row],[Grade_gpt]]/cfg_TroyOz)</f>
        <v/>
      </c>
      <c r="O2403" s="59">
        <f>IF(tblMovement[[#This Row],[Is_Ore]]=1,tblMovement[[#This Row],[Contained_oz]],0)</f>
        <v/>
      </c>
    </row>
    <row r="2404">
      <c r="A2404" s="54" t="n"/>
      <c r="B2404" s="61" t="n"/>
      <c r="C2404" s="61" t="n"/>
      <c r="D2404" s="61" t="n"/>
      <c r="E2404" s="61" t="n"/>
      <c r="F2404" s="55" t="n"/>
      <c r="G2404" s="56" t="n"/>
      <c r="H2404" s="55" t="n"/>
      <c r="I2404" s="62" t="n"/>
      <c r="J2404" s="58" t="n"/>
      <c r="K2404" s="63">
        <f>IF(tblMovement[[#This Row],[Source]]="","",IFERROR(INDEX(tblSources[Type],MATCH(tblMovement[[#This Row],[Source]],tblSources[Source],0)),"?"))</f>
        <v/>
      </c>
      <c r="L2404" s="63">
        <f>IF(tblMovement[[#This Row],[Destination]]="","",IFERROR(INDEX(tblDestinations[Type],MATCH(tblMovement[[#This Row],[Destination]],tblDestinations[Destination],0)),"?"))</f>
        <v/>
      </c>
      <c r="M2404" s="64">
        <f>IF(tblMovement[[#This Row],[Material]]="","",IF(LEFT(tblMovement[[#This Row],[Material]],3)="Ore",1,0))</f>
        <v/>
      </c>
      <c r="N2404" s="59">
        <f>IF(OR(tblMovement[[#This Row],[Tonnes_t]]="",tblMovement[[#This Row],[Grade_gpt]]=""),0,tblMovement[[#This Row],[Tonnes_t]]*tblMovement[[#This Row],[Grade_gpt]]/cfg_TroyOz)</f>
        <v/>
      </c>
      <c r="O2404" s="59">
        <f>IF(tblMovement[[#This Row],[Is_Ore]]=1,tblMovement[[#This Row],[Contained_oz]],0)</f>
        <v/>
      </c>
    </row>
    <row r="2405">
      <c r="A2405" s="54" t="n"/>
      <c r="B2405" s="61" t="n"/>
      <c r="C2405" s="61" t="n"/>
      <c r="D2405" s="61" t="n"/>
      <c r="E2405" s="61" t="n"/>
      <c r="F2405" s="55" t="n"/>
      <c r="G2405" s="56" t="n"/>
      <c r="H2405" s="55" t="n"/>
      <c r="I2405" s="62" t="n"/>
      <c r="J2405" s="58" t="n"/>
      <c r="K2405" s="63">
        <f>IF(tblMovement[[#This Row],[Source]]="","",IFERROR(INDEX(tblSources[Type],MATCH(tblMovement[[#This Row],[Source]],tblSources[Source],0)),"?"))</f>
        <v/>
      </c>
      <c r="L2405" s="63">
        <f>IF(tblMovement[[#This Row],[Destination]]="","",IFERROR(INDEX(tblDestinations[Type],MATCH(tblMovement[[#This Row],[Destination]],tblDestinations[Destination],0)),"?"))</f>
        <v/>
      </c>
      <c r="M2405" s="64">
        <f>IF(tblMovement[[#This Row],[Material]]="","",IF(LEFT(tblMovement[[#This Row],[Material]],3)="Ore",1,0))</f>
        <v/>
      </c>
      <c r="N2405" s="59">
        <f>IF(OR(tblMovement[[#This Row],[Tonnes_t]]="",tblMovement[[#This Row],[Grade_gpt]]=""),0,tblMovement[[#This Row],[Tonnes_t]]*tblMovement[[#This Row],[Grade_gpt]]/cfg_TroyOz)</f>
        <v/>
      </c>
      <c r="O2405" s="59">
        <f>IF(tblMovement[[#This Row],[Is_Ore]]=1,tblMovement[[#This Row],[Contained_oz]],0)</f>
        <v/>
      </c>
    </row>
    <row r="2406">
      <c r="A2406" s="54" t="n"/>
      <c r="B2406" s="61" t="n"/>
      <c r="C2406" s="61" t="n"/>
      <c r="D2406" s="61" t="n"/>
      <c r="E2406" s="61" t="n"/>
      <c r="F2406" s="55" t="n"/>
      <c r="G2406" s="56" t="n"/>
      <c r="H2406" s="55" t="n"/>
      <c r="I2406" s="62" t="n"/>
      <c r="J2406" s="58" t="n"/>
      <c r="K2406" s="63">
        <f>IF(tblMovement[[#This Row],[Source]]="","",IFERROR(INDEX(tblSources[Type],MATCH(tblMovement[[#This Row],[Source]],tblSources[Source],0)),"?"))</f>
        <v/>
      </c>
      <c r="L2406" s="63">
        <f>IF(tblMovement[[#This Row],[Destination]]="","",IFERROR(INDEX(tblDestinations[Type],MATCH(tblMovement[[#This Row],[Destination]],tblDestinations[Destination],0)),"?"))</f>
        <v/>
      </c>
      <c r="M2406" s="64">
        <f>IF(tblMovement[[#This Row],[Material]]="","",IF(LEFT(tblMovement[[#This Row],[Material]],3)="Ore",1,0))</f>
        <v/>
      </c>
      <c r="N2406" s="59">
        <f>IF(OR(tblMovement[[#This Row],[Tonnes_t]]="",tblMovement[[#This Row],[Grade_gpt]]=""),0,tblMovement[[#This Row],[Tonnes_t]]*tblMovement[[#This Row],[Grade_gpt]]/cfg_TroyOz)</f>
        <v/>
      </c>
      <c r="O2406" s="59">
        <f>IF(tblMovement[[#This Row],[Is_Ore]]=1,tblMovement[[#This Row],[Contained_oz]],0)</f>
        <v/>
      </c>
    </row>
    <row r="2407">
      <c r="A2407" s="54" t="n"/>
      <c r="B2407" s="61" t="n"/>
      <c r="C2407" s="61" t="n"/>
      <c r="D2407" s="61" t="n"/>
      <c r="E2407" s="61" t="n"/>
      <c r="F2407" s="55" t="n"/>
      <c r="G2407" s="56" t="n"/>
      <c r="H2407" s="55" t="n"/>
      <c r="I2407" s="62" t="n"/>
      <c r="J2407" s="58" t="n"/>
      <c r="K2407" s="63">
        <f>IF(tblMovement[[#This Row],[Source]]="","",IFERROR(INDEX(tblSources[Type],MATCH(tblMovement[[#This Row],[Source]],tblSources[Source],0)),"?"))</f>
        <v/>
      </c>
      <c r="L2407" s="63">
        <f>IF(tblMovement[[#This Row],[Destination]]="","",IFERROR(INDEX(tblDestinations[Type],MATCH(tblMovement[[#This Row],[Destination]],tblDestinations[Destination],0)),"?"))</f>
        <v/>
      </c>
      <c r="M2407" s="64">
        <f>IF(tblMovement[[#This Row],[Material]]="","",IF(LEFT(tblMovement[[#This Row],[Material]],3)="Ore",1,0))</f>
        <v/>
      </c>
      <c r="N2407" s="59">
        <f>IF(OR(tblMovement[[#This Row],[Tonnes_t]]="",tblMovement[[#This Row],[Grade_gpt]]=""),0,tblMovement[[#This Row],[Tonnes_t]]*tblMovement[[#This Row],[Grade_gpt]]/cfg_TroyOz)</f>
        <v/>
      </c>
      <c r="O2407" s="59">
        <f>IF(tblMovement[[#This Row],[Is_Ore]]=1,tblMovement[[#This Row],[Contained_oz]],0)</f>
        <v/>
      </c>
    </row>
    <row r="2408">
      <c r="A2408" s="54" t="n"/>
      <c r="B2408" s="61" t="n"/>
      <c r="C2408" s="61" t="n"/>
      <c r="D2408" s="61" t="n"/>
      <c r="E2408" s="61" t="n"/>
      <c r="F2408" s="55" t="n"/>
      <c r="G2408" s="56" t="n"/>
      <c r="H2408" s="55" t="n"/>
      <c r="I2408" s="62" t="n"/>
      <c r="J2408" s="58" t="n"/>
      <c r="K2408" s="63">
        <f>IF(tblMovement[[#This Row],[Source]]="","",IFERROR(INDEX(tblSources[Type],MATCH(tblMovement[[#This Row],[Source]],tblSources[Source],0)),"?"))</f>
        <v/>
      </c>
      <c r="L2408" s="63">
        <f>IF(tblMovement[[#This Row],[Destination]]="","",IFERROR(INDEX(tblDestinations[Type],MATCH(tblMovement[[#This Row],[Destination]],tblDestinations[Destination],0)),"?"))</f>
        <v/>
      </c>
      <c r="M2408" s="64">
        <f>IF(tblMovement[[#This Row],[Material]]="","",IF(LEFT(tblMovement[[#This Row],[Material]],3)="Ore",1,0))</f>
        <v/>
      </c>
      <c r="N2408" s="59">
        <f>IF(OR(tblMovement[[#This Row],[Tonnes_t]]="",tblMovement[[#This Row],[Grade_gpt]]=""),0,tblMovement[[#This Row],[Tonnes_t]]*tblMovement[[#This Row],[Grade_gpt]]/cfg_TroyOz)</f>
        <v/>
      </c>
      <c r="O2408" s="59">
        <f>IF(tblMovement[[#This Row],[Is_Ore]]=1,tblMovement[[#This Row],[Contained_oz]],0)</f>
        <v/>
      </c>
    </row>
    <row r="2409">
      <c r="A2409" s="54" t="n"/>
      <c r="B2409" s="61" t="n"/>
      <c r="C2409" s="61" t="n"/>
      <c r="D2409" s="61" t="n"/>
      <c r="E2409" s="61" t="n"/>
      <c r="F2409" s="55" t="n"/>
      <c r="G2409" s="56" t="n"/>
      <c r="H2409" s="55" t="n"/>
      <c r="I2409" s="62" t="n"/>
      <c r="J2409" s="58" t="n"/>
      <c r="K2409" s="63">
        <f>IF(tblMovement[[#This Row],[Source]]="","",IFERROR(INDEX(tblSources[Type],MATCH(tblMovement[[#This Row],[Source]],tblSources[Source],0)),"?"))</f>
        <v/>
      </c>
      <c r="L2409" s="63">
        <f>IF(tblMovement[[#This Row],[Destination]]="","",IFERROR(INDEX(tblDestinations[Type],MATCH(tblMovement[[#This Row],[Destination]],tblDestinations[Destination],0)),"?"))</f>
        <v/>
      </c>
      <c r="M2409" s="64">
        <f>IF(tblMovement[[#This Row],[Material]]="","",IF(LEFT(tblMovement[[#This Row],[Material]],3)="Ore",1,0))</f>
        <v/>
      </c>
      <c r="N2409" s="59">
        <f>IF(OR(tblMovement[[#This Row],[Tonnes_t]]="",tblMovement[[#This Row],[Grade_gpt]]=""),0,tblMovement[[#This Row],[Tonnes_t]]*tblMovement[[#This Row],[Grade_gpt]]/cfg_TroyOz)</f>
        <v/>
      </c>
      <c r="O2409" s="59">
        <f>IF(tblMovement[[#This Row],[Is_Ore]]=1,tblMovement[[#This Row],[Contained_oz]],0)</f>
        <v/>
      </c>
    </row>
    <row r="2410">
      <c r="A2410" s="54" t="n"/>
      <c r="B2410" s="61" t="n"/>
      <c r="C2410" s="61" t="n"/>
      <c r="D2410" s="61" t="n"/>
      <c r="E2410" s="61" t="n"/>
      <c r="F2410" s="55" t="n"/>
      <c r="G2410" s="56" t="n"/>
      <c r="H2410" s="55" t="n"/>
      <c r="I2410" s="62" t="n"/>
      <c r="J2410" s="58" t="n"/>
      <c r="K2410" s="63">
        <f>IF(tblMovement[[#This Row],[Source]]="","",IFERROR(INDEX(tblSources[Type],MATCH(tblMovement[[#This Row],[Source]],tblSources[Source],0)),"?"))</f>
        <v/>
      </c>
      <c r="L2410" s="63">
        <f>IF(tblMovement[[#This Row],[Destination]]="","",IFERROR(INDEX(tblDestinations[Type],MATCH(tblMovement[[#This Row],[Destination]],tblDestinations[Destination],0)),"?"))</f>
        <v/>
      </c>
      <c r="M2410" s="64">
        <f>IF(tblMovement[[#This Row],[Material]]="","",IF(LEFT(tblMovement[[#This Row],[Material]],3)="Ore",1,0))</f>
        <v/>
      </c>
      <c r="N2410" s="59">
        <f>IF(OR(tblMovement[[#This Row],[Tonnes_t]]="",tblMovement[[#This Row],[Grade_gpt]]=""),0,tblMovement[[#This Row],[Tonnes_t]]*tblMovement[[#This Row],[Grade_gpt]]/cfg_TroyOz)</f>
        <v/>
      </c>
      <c r="O2410" s="59">
        <f>IF(tblMovement[[#This Row],[Is_Ore]]=1,tblMovement[[#This Row],[Contained_oz]],0)</f>
        <v/>
      </c>
    </row>
    <row r="2411">
      <c r="A2411" s="54" t="n"/>
      <c r="B2411" s="61" t="n"/>
      <c r="C2411" s="61" t="n"/>
      <c r="D2411" s="61" t="n"/>
      <c r="E2411" s="61" t="n"/>
      <c r="F2411" s="55" t="n"/>
      <c r="G2411" s="56" t="n"/>
      <c r="H2411" s="55" t="n"/>
      <c r="I2411" s="62" t="n"/>
      <c r="J2411" s="58" t="n"/>
      <c r="K2411" s="63">
        <f>IF(tblMovement[[#This Row],[Source]]="","",IFERROR(INDEX(tblSources[Type],MATCH(tblMovement[[#This Row],[Source]],tblSources[Source],0)),"?"))</f>
        <v/>
      </c>
      <c r="L2411" s="63">
        <f>IF(tblMovement[[#This Row],[Destination]]="","",IFERROR(INDEX(tblDestinations[Type],MATCH(tblMovement[[#This Row],[Destination]],tblDestinations[Destination],0)),"?"))</f>
        <v/>
      </c>
      <c r="M2411" s="64">
        <f>IF(tblMovement[[#This Row],[Material]]="","",IF(LEFT(tblMovement[[#This Row],[Material]],3)="Ore",1,0))</f>
        <v/>
      </c>
      <c r="N2411" s="59">
        <f>IF(OR(tblMovement[[#This Row],[Tonnes_t]]="",tblMovement[[#This Row],[Grade_gpt]]=""),0,tblMovement[[#This Row],[Tonnes_t]]*tblMovement[[#This Row],[Grade_gpt]]/cfg_TroyOz)</f>
        <v/>
      </c>
      <c r="O2411" s="59">
        <f>IF(tblMovement[[#This Row],[Is_Ore]]=1,tblMovement[[#This Row],[Contained_oz]],0)</f>
        <v/>
      </c>
    </row>
    <row r="2412">
      <c r="A2412" s="54" t="n"/>
      <c r="B2412" s="61" t="n"/>
      <c r="C2412" s="61" t="n"/>
      <c r="D2412" s="61" t="n"/>
      <c r="E2412" s="61" t="n"/>
      <c r="F2412" s="55" t="n"/>
      <c r="G2412" s="56" t="n"/>
      <c r="H2412" s="55" t="n"/>
      <c r="I2412" s="62" t="n"/>
      <c r="J2412" s="58" t="n"/>
      <c r="K2412" s="63">
        <f>IF(tblMovement[[#This Row],[Source]]="","",IFERROR(INDEX(tblSources[Type],MATCH(tblMovement[[#This Row],[Source]],tblSources[Source],0)),"?"))</f>
        <v/>
      </c>
      <c r="L2412" s="63">
        <f>IF(tblMovement[[#This Row],[Destination]]="","",IFERROR(INDEX(tblDestinations[Type],MATCH(tblMovement[[#This Row],[Destination]],tblDestinations[Destination],0)),"?"))</f>
        <v/>
      </c>
      <c r="M2412" s="64">
        <f>IF(tblMovement[[#This Row],[Material]]="","",IF(LEFT(tblMovement[[#This Row],[Material]],3)="Ore",1,0))</f>
        <v/>
      </c>
      <c r="N2412" s="59">
        <f>IF(OR(tblMovement[[#This Row],[Tonnes_t]]="",tblMovement[[#This Row],[Grade_gpt]]=""),0,tblMovement[[#This Row],[Tonnes_t]]*tblMovement[[#This Row],[Grade_gpt]]/cfg_TroyOz)</f>
        <v/>
      </c>
      <c r="O2412" s="59">
        <f>IF(tblMovement[[#This Row],[Is_Ore]]=1,tblMovement[[#This Row],[Contained_oz]],0)</f>
        <v/>
      </c>
    </row>
    <row r="2413">
      <c r="A2413" s="54" t="n"/>
      <c r="B2413" s="61" t="n"/>
      <c r="C2413" s="61" t="n"/>
      <c r="D2413" s="61" t="n"/>
      <c r="E2413" s="61" t="n"/>
      <c r="F2413" s="55" t="n"/>
      <c r="G2413" s="56" t="n"/>
      <c r="H2413" s="55" t="n"/>
      <c r="I2413" s="62" t="n"/>
      <c r="J2413" s="58" t="n"/>
      <c r="K2413" s="63">
        <f>IF(tblMovement[[#This Row],[Source]]="","",IFERROR(INDEX(tblSources[Type],MATCH(tblMovement[[#This Row],[Source]],tblSources[Source],0)),"?"))</f>
        <v/>
      </c>
      <c r="L2413" s="63">
        <f>IF(tblMovement[[#This Row],[Destination]]="","",IFERROR(INDEX(tblDestinations[Type],MATCH(tblMovement[[#This Row],[Destination]],tblDestinations[Destination],0)),"?"))</f>
        <v/>
      </c>
      <c r="M2413" s="64">
        <f>IF(tblMovement[[#This Row],[Material]]="","",IF(LEFT(tblMovement[[#This Row],[Material]],3)="Ore",1,0))</f>
        <v/>
      </c>
      <c r="N2413" s="59">
        <f>IF(OR(tblMovement[[#This Row],[Tonnes_t]]="",tblMovement[[#This Row],[Grade_gpt]]=""),0,tblMovement[[#This Row],[Tonnes_t]]*tblMovement[[#This Row],[Grade_gpt]]/cfg_TroyOz)</f>
        <v/>
      </c>
      <c r="O2413" s="59">
        <f>IF(tblMovement[[#This Row],[Is_Ore]]=1,tblMovement[[#This Row],[Contained_oz]],0)</f>
        <v/>
      </c>
    </row>
    <row r="2414">
      <c r="A2414" s="54" t="n"/>
      <c r="B2414" s="61" t="n"/>
      <c r="C2414" s="61" t="n"/>
      <c r="D2414" s="61" t="n"/>
      <c r="E2414" s="61" t="n"/>
      <c r="F2414" s="55" t="n"/>
      <c r="G2414" s="56" t="n"/>
      <c r="H2414" s="55" t="n"/>
      <c r="I2414" s="62" t="n"/>
      <c r="J2414" s="58" t="n"/>
      <c r="K2414" s="63">
        <f>IF(tblMovement[[#This Row],[Source]]="","",IFERROR(INDEX(tblSources[Type],MATCH(tblMovement[[#This Row],[Source]],tblSources[Source],0)),"?"))</f>
        <v/>
      </c>
      <c r="L2414" s="63">
        <f>IF(tblMovement[[#This Row],[Destination]]="","",IFERROR(INDEX(tblDestinations[Type],MATCH(tblMovement[[#This Row],[Destination]],tblDestinations[Destination],0)),"?"))</f>
        <v/>
      </c>
      <c r="M2414" s="64">
        <f>IF(tblMovement[[#This Row],[Material]]="","",IF(LEFT(tblMovement[[#This Row],[Material]],3)="Ore",1,0))</f>
        <v/>
      </c>
      <c r="N2414" s="59">
        <f>IF(OR(tblMovement[[#This Row],[Tonnes_t]]="",tblMovement[[#This Row],[Grade_gpt]]=""),0,tblMovement[[#This Row],[Tonnes_t]]*tblMovement[[#This Row],[Grade_gpt]]/cfg_TroyOz)</f>
        <v/>
      </c>
      <c r="O2414" s="59">
        <f>IF(tblMovement[[#This Row],[Is_Ore]]=1,tblMovement[[#This Row],[Contained_oz]],0)</f>
        <v/>
      </c>
    </row>
    <row r="2415">
      <c r="A2415" s="54" t="n"/>
      <c r="B2415" s="61" t="n"/>
      <c r="C2415" s="61" t="n"/>
      <c r="D2415" s="61" t="n"/>
      <c r="E2415" s="61" t="n"/>
      <c r="F2415" s="55" t="n"/>
      <c r="G2415" s="56" t="n"/>
      <c r="H2415" s="55" t="n"/>
      <c r="I2415" s="62" t="n"/>
      <c r="J2415" s="58" t="n"/>
      <c r="K2415" s="63">
        <f>IF(tblMovement[[#This Row],[Source]]="","",IFERROR(INDEX(tblSources[Type],MATCH(tblMovement[[#This Row],[Source]],tblSources[Source],0)),"?"))</f>
        <v/>
      </c>
      <c r="L2415" s="63">
        <f>IF(tblMovement[[#This Row],[Destination]]="","",IFERROR(INDEX(tblDestinations[Type],MATCH(tblMovement[[#This Row],[Destination]],tblDestinations[Destination],0)),"?"))</f>
        <v/>
      </c>
      <c r="M2415" s="64">
        <f>IF(tblMovement[[#This Row],[Material]]="","",IF(LEFT(tblMovement[[#This Row],[Material]],3)="Ore",1,0))</f>
        <v/>
      </c>
      <c r="N2415" s="59">
        <f>IF(OR(tblMovement[[#This Row],[Tonnes_t]]="",tblMovement[[#This Row],[Grade_gpt]]=""),0,tblMovement[[#This Row],[Tonnes_t]]*tblMovement[[#This Row],[Grade_gpt]]/cfg_TroyOz)</f>
        <v/>
      </c>
      <c r="O2415" s="59">
        <f>IF(tblMovement[[#This Row],[Is_Ore]]=1,tblMovement[[#This Row],[Contained_oz]],0)</f>
        <v/>
      </c>
    </row>
    <row r="2416">
      <c r="A2416" s="54" t="n"/>
      <c r="B2416" s="61" t="n"/>
      <c r="C2416" s="61" t="n"/>
      <c r="D2416" s="61" t="n"/>
      <c r="E2416" s="61" t="n"/>
      <c r="F2416" s="55" t="n"/>
      <c r="G2416" s="56" t="n"/>
      <c r="H2416" s="55" t="n"/>
      <c r="I2416" s="62" t="n"/>
      <c r="J2416" s="58" t="n"/>
      <c r="K2416" s="63">
        <f>IF(tblMovement[[#This Row],[Source]]="","",IFERROR(INDEX(tblSources[Type],MATCH(tblMovement[[#This Row],[Source]],tblSources[Source],0)),"?"))</f>
        <v/>
      </c>
      <c r="L2416" s="63">
        <f>IF(tblMovement[[#This Row],[Destination]]="","",IFERROR(INDEX(tblDestinations[Type],MATCH(tblMovement[[#This Row],[Destination]],tblDestinations[Destination],0)),"?"))</f>
        <v/>
      </c>
      <c r="M2416" s="64">
        <f>IF(tblMovement[[#This Row],[Material]]="","",IF(LEFT(tblMovement[[#This Row],[Material]],3)="Ore",1,0))</f>
        <v/>
      </c>
      <c r="N2416" s="59">
        <f>IF(OR(tblMovement[[#This Row],[Tonnes_t]]="",tblMovement[[#This Row],[Grade_gpt]]=""),0,tblMovement[[#This Row],[Tonnes_t]]*tblMovement[[#This Row],[Grade_gpt]]/cfg_TroyOz)</f>
        <v/>
      </c>
      <c r="O2416" s="59">
        <f>IF(tblMovement[[#This Row],[Is_Ore]]=1,tblMovement[[#This Row],[Contained_oz]],0)</f>
        <v/>
      </c>
    </row>
    <row r="2417">
      <c r="A2417" s="54" t="n"/>
      <c r="B2417" s="61" t="n"/>
      <c r="C2417" s="61" t="n"/>
      <c r="D2417" s="61" t="n"/>
      <c r="E2417" s="61" t="n"/>
      <c r="F2417" s="55" t="n"/>
      <c r="G2417" s="56" t="n"/>
      <c r="H2417" s="55" t="n"/>
      <c r="I2417" s="62" t="n"/>
      <c r="J2417" s="58" t="n"/>
      <c r="K2417" s="63">
        <f>IF(tblMovement[[#This Row],[Source]]="","",IFERROR(INDEX(tblSources[Type],MATCH(tblMovement[[#This Row],[Source]],tblSources[Source],0)),"?"))</f>
        <v/>
      </c>
      <c r="L2417" s="63">
        <f>IF(tblMovement[[#This Row],[Destination]]="","",IFERROR(INDEX(tblDestinations[Type],MATCH(tblMovement[[#This Row],[Destination]],tblDestinations[Destination],0)),"?"))</f>
        <v/>
      </c>
      <c r="M2417" s="64">
        <f>IF(tblMovement[[#This Row],[Material]]="","",IF(LEFT(tblMovement[[#This Row],[Material]],3)="Ore",1,0))</f>
        <v/>
      </c>
      <c r="N2417" s="59">
        <f>IF(OR(tblMovement[[#This Row],[Tonnes_t]]="",tblMovement[[#This Row],[Grade_gpt]]=""),0,tblMovement[[#This Row],[Tonnes_t]]*tblMovement[[#This Row],[Grade_gpt]]/cfg_TroyOz)</f>
        <v/>
      </c>
      <c r="O2417" s="59">
        <f>IF(tblMovement[[#This Row],[Is_Ore]]=1,tblMovement[[#This Row],[Contained_oz]],0)</f>
        <v/>
      </c>
    </row>
    <row r="2418">
      <c r="A2418" s="54" t="n"/>
      <c r="B2418" s="61" t="n"/>
      <c r="C2418" s="61" t="n"/>
      <c r="D2418" s="61" t="n"/>
      <c r="E2418" s="61" t="n"/>
      <c r="F2418" s="55" t="n"/>
      <c r="G2418" s="56" t="n"/>
      <c r="H2418" s="55" t="n"/>
      <c r="I2418" s="62" t="n"/>
      <c r="J2418" s="58" t="n"/>
      <c r="K2418" s="63">
        <f>IF(tblMovement[[#This Row],[Source]]="","",IFERROR(INDEX(tblSources[Type],MATCH(tblMovement[[#This Row],[Source]],tblSources[Source],0)),"?"))</f>
        <v/>
      </c>
      <c r="L2418" s="63">
        <f>IF(tblMovement[[#This Row],[Destination]]="","",IFERROR(INDEX(tblDestinations[Type],MATCH(tblMovement[[#This Row],[Destination]],tblDestinations[Destination],0)),"?"))</f>
        <v/>
      </c>
      <c r="M2418" s="64">
        <f>IF(tblMovement[[#This Row],[Material]]="","",IF(LEFT(tblMovement[[#This Row],[Material]],3)="Ore",1,0))</f>
        <v/>
      </c>
      <c r="N2418" s="59">
        <f>IF(OR(tblMovement[[#This Row],[Tonnes_t]]="",tblMovement[[#This Row],[Grade_gpt]]=""),0,tblMovement[[#This Row],[Tonnes_t]]*tblMovement[[#This Row],[Grade_gpt]]/cfg_TroyOz)</f>
        <v/>
      </c>
      <c r="O2418" s="59">
        <f>IF(tblMovement[[#This Row],[Is_Ore]]=1,tblMovement[[#This Row],[Contained_oz]],0)</f>
        <v/>
      </c>
    </row>
    <row r="2419">
      <c r="A2419" s="54" t="n"/>
      <c r="B2419" s="61" t="n"/>
      <c r="C2419" s="61" t="n"/>
      <c r="D2419" s="61" t="n"/>
      <c r="E2419" s="61" t="n"/>
      <c r="F2419" s="55" t="n"/>
      <c r="G2419" s="56" t="n"/>
      <c r="H2419" s="55" t="n"/>
      <c r="I2419" s="62" t="n"/>
      <c r="J2419" s="58" t="n"/>
      <c r="K2419" s="63">
        <f>IF(tblMovement[[#This Row],[Source]]="","",IFERROR(INDEX(tblSources[Type],MATCH(tblMovement[[#This Row],[Source]],tblSources[Source],0)),"?"))</f>
        <v/>
      </c>
      <c r="L2419" s="63">
        <f>IF(tblMovement[[#This Row],[Destination]]="","",IFERROR(INDEX(tblDestinations[Type],MATCH(tblMovement[[#This Row],[Destination]],tblDestinations[Destination],0)),"?"))</f>
        <v/>
      </c>
      <c r="M2419" s="64">
        <f>IF(tblMovement[[#This Row],[Material]]="","",IF(LEFT(tblMovement[[#This Row],[Material]],3)="Ore",1,0))</f>
        <v/>
      </c>
      <c r="N2419" s="59">
        <f>IF(OR(tblMovement[[#This Row],[Tonnes_t]]="",tblMovement[[#This Row],[Grade_gpt]]=""),0,tblMovement[[#This Row],[Tonnes_t]]*tblMovement[[#This Row],[Grade_gpt]]/cfg_TroyOz)</f>
        <v/>
      </c>
      <c r="O2419" s="59">
        <f>IF(tblMovement[[#This Row],[Is_Ore]]=1,tblMovement[[#This Row],[Contained_oz]],0)</f>
        <v/>
      </c>
    </row>
    <row r="2420">
      <c r="A2420" s="54" t="n"/>
      <c r="B2420" s="61" t="n"/>
      <c r="C2420" s="61" t="n"/>
      <c r="D2420" s="61" t="n"/>
      <c r="E2420" s="61" t="n"/>
      <c r="F2420" s="55" t="n"/>
      <c r="G2420" s="56" t="n"/>
      <c r="H2420" s="55" t="n"/>
      <c r="I2420" s="62" t="n"/>
      <c r="J2420" s="58" t="n"/>
      <c r="K2420" s="63">
        <f>IF(tblMovement[[#This Row],[Source]]="","",IFERROR(INDEX(tblSources[Type],MATCH(tblMovement[[#This Row],[Source]],tblSources[Source],0)),"?"))</f>
        <v/>
      </c>
      <c r="L2420" s="63">
        <f>IF(tblMovement[[#This Row],[Destination]]="","",IFERROR(INDEX(tblDestinations[Type],MATCH(tblMovement[[#This Row],[Destination]],tblDestinations[Destination],0)),"?"))</f>
        <v/>
      </c>
      <c r="M2420" s="64">
        <f>IF(tblMovement[[#This Row],[Material]]="","",IF(LEFT(tblMovement[[#This Row],[Material]],3)="Ore",1,0))</f>
        <v/>
      </c>
      <c r="N2420" s="59">
        <f>IF(OR(tblMovement[[#This Row],[Tonnes_t]]="",tblMovement[[#This Row],[Grade_gpt]]=""),0,tblMovement[[#This Row],[Tonnes_t]]*tblMovement[[#This Row],[Grade_gpt]]/cfg_TroyOz)</f>
        <v/>
      </c>
      <c r="O2420" s="59">
        <f>IF(tblMovement[[#This Row],[Is_Ore]]=1,tblMovement[[#This Row],[Contained_oz]],0)</f>
        <v/>
      </c>
    </row>
    <row r="2421">
      <c r="A2421" s="54" t="n"/>
      <c r="B2421" s="61" t="n"/>
      <c r="C2421" s="61" t="n"/>
      <c r="D2421" s="61" t="n"/>
      <c r="E2421" s="61" t="n"/>
      <c r="F2421" s="55" t="n"/>
      <c r="G2421" s="56" t="n"/>
      <c r="H2421" s="55" t="n"/>
      <c r="I2421" s="62" t="n"/>
      <c r="J2421" s="58" t="n"/>
      <c r="K2421" s="63">
        <f>IF(tblMovement[[#This Row],[Source]]="","",IFERROR(INDEX(tblSources[Type],MATCH(tblMovement[[#This Row],[Source]],tblSources[Source],0)),"?"))</f>
        <v/>
      </c>
      <c r="L2421" s="63">
        <f>IF(tblMovement[[#This Row],[Destination]]="","",IFERROR(INDEX(tblDestinations[Type],MATCH(tblMovement[[#This Row],[Destination]],tblDestinations[Destination],0)),"?"))</f>
        <v/>
      </c>
      <c r="M2421" s="64">
        <f>IF(tblMovement[[#This Row],[Material]]="","",IF(LEFT(tblMovement[[#This Row],[Material]],3)="Ore",1,0))</f>
        <v/>
      </c>
      <c r="N2421" s="59">
        <f>IF(OR(tblMovement[[#This Row],[Tonnes_t]]="",tblMovement[[#This Row],[Grade_gpt]]=""),0,tblMovement[[#This Row],[Tonnes_t]]*tblMovement[[#This Row],[Grade_gpt]]/cfg_TroyOz)</f>
        <v/>
      </c>
      <c r="O2421" s="59">
        <f>IF(tblMovement[[#This Row],[Is_Ore]]=1,tblMovement[[#This Row],[Contained_oz]],0)</f>
        <v/>
      </c>
    </row>
    <row r="2422">
      <c r="A2422" s="54" t="n"/>
      <c r="B2422" s="61" t="n"/>
      <c r="C2422" s="61" t="n"/>
      <c r="D2422" s="61" t="n"/>
      <c r="E2422" s="61" t="n"/>
      <c r="F2422" s="55" t="n"/>
      <c r="G2422" s="56" t="n"/>
      <c r="H2422" s="55" t="n"/>
      <c r="I2422" s="62" t="n"/>
      <c r="J2422" s="58" t="n"/>
      <c r="K2422" s="63">
        <f>IF(tblMovement[[#This Row],[Source]]="","",IFERROR(INDEX(tblSources[Type],MATCH(tblMovement[[#This Row],[Source]],tblSources[Source],0)),"?"))</f>
        <v/>
      </c>
      <c r="L2422" s="63">
        <f>IF(tblMovement[[#This Row],[Destination]]="","",IFERROR(INDEX(tblDestinations[Type],MATCH(tblMovement[[#This Row],[Destination]],tblDestinations[Destination],0)),"?"))</f>
        <v/>
      </c>
      <c r="M2422" s="64">
        <f>IF(tblMovement[[#This Row],[Material]]="","",IF(LEFT(tblMovement[[#This Row],[Material]],3)="Ore",1,0))</f>
        <v/>
      </c>
      <c r="N2422" s="59">
        <f>IF(OR(tblMovement[[#This Row],[Tonnes_t]]="",tblMovement[[#This Row],[Grade_gpt]]=""),0,tblMovement[[#This Row],[Tonnes_t]]*tblMovement[[#This Row],[Grade_gpt]]/cfg_TroyOz)</f>
        <v/>
      </c>
      <c r="O2422" s="59">
        <f>IF(tblMovement[[#This Row],[Is_Ore]]=1,tblMovement[[#This Row],[Contained_oz]],0)</f>
        <v/>
      </c>
    </row>
    <row r="2423">
      <c r="A2423" s="54" t="n"/>
      <c r="B2423" s="61" t="n"/>
      <c r="C2423" s="61" t="n"/>
      <c r="D2423" s="61" t="n"/>
      <c r="E2423" s="61" t="n"/>
      <c r="F2423" s="55" t="n"/>
      <c r="G2423" s="56" t="n"/>
      <c r="H2423" s="55" t="n"/>
      <c r="I2423" s="62" t="n"/>
      <c r="J2423" s="58" t="n"/>
      <c r="K2423" s="63">
        <f>IF(tblMovement[[#This Row],[Source]]="","",IFERROR(INDEX(tblSources[Type],MATCH(tblMovement[[#This Row],[Source]],tblSources[Source],0)),"?"))</f>
        <v/>
      </c>
      <c r="L2423" s="63">
        <f>IF(tblMovement[[#This Row],[Destination]]="","",IFERROR(INDEX(tblDestinations[Type],MATCH(tblMovement[[#This Row],[Destination]],tblDestinations[Destination],0)),"?"))</f>
        <v/>
      </c>
      <c r="M2423" s="64">
        <f>IF(tblMovement[[#This Row],[Material]]="","",IF(LEFT(tblMovement[[#This Row],[Material]],3)="Ore",1,0))</f>
        <v/>
      </c>
      <c r="N2423" s="59">
        <f>IF(OR(tblMovement[[#This Row],[Tonnes_t]]="",tblMovement[[#This Row],[Grade_gpt]]=""),0,tblMovement[[#This Row],[Tonnes_t]]*tblMovement[[#This Row],[Grade_gpt]]/cfg_TroyOz)</f>
        <v/>
      </c>
      <c r="O2423" s="59">
        <f>IF(tblMovement[[#This Row],[Is_Ore]]=1,tblMovement[[#This Row],[Contained_oz]],0)</f>
        <v/>
      </c>
    </row>
    <row r="2424">
      <c r="A2424" s="54" t="n"/>
      <c r="B2424" s="61" t="n"/>
      <c r="C2424" s="61" t="n"/>
      <c r="D2424" s="61" t="n"/>
      <c r="E2424" s="61" t="n"/>
      <c r="F2424" s="55" t="n"/>
      <c r="G2424" s="56" t="n"/>
      <c r="H2424" s="55" t="n"/>
      <c r="I2424" s="62" t="n"/>
      <c r="J2424" s="58" t="n"/>
      <c r="K2424" s="63">
        <f>IF(tblMovement[[#This Row],[Source]]="","",IFERROR(INDEX(tblSources[Type],MATCH(tblMovement[[#This Row],[Source]],tblSources[Source],0)),"?"))</f>
        <v/>
      </c>
      <c r="L2424" s="63">
        <f>IF(tblMovement[[#This Row],[Destination]]="","",IFERROR(INDEX(tblDestinations[Type],MATCH(tblMovement[[#This Row],[Destination]],tblDestinations[Destination],0)),"?"))</f>
        <v/>
      </c>
      <c r="M2424" s="64">
        <f>IF(tblMovement[[#This Row],[Material]]="","",IF(LEFT(tblMovement[[#This Row],[Material]],3)="Ore",1,0))</f>
        <v/>
      </c>
      <c r="N2424" s="59">
        <f>IF(OR(tblMovement[[#This Row],[Tonnes_t]]="",tblMovement[[#This Row],[Grade_gpt]]=""),0,tblMovement[[#This Row],[Tonnes_t]]*tblMovement[[#This Row],[Grade_gpt]]/cfg_TroyOz)</f>
        <v/>
      </c>
      <c r="O2424" s="59">
        <f>IF(tblMovement[[#This Row],[Is_Ore]]=1,tblMovement[[#This Row],[Contained_oz]],0)</f>
        <v/>
      </c>
    </row>
    <row r="2425">
      <c r="A2425" s="54" t="n"/>
      <c r="B2425" s="61" t="n"/>
      <c r="C2425" s="61" t="n"/>
      <c r="D2425" s="61" t="n"/>
      <c r="E2425" s="61" t="n"/>
      <c r="F2425" s="55" t="n"/>
      <c r="G2425" s="56" t="n"/>
      <c r="H2425" s="55" t="n"/>
      <c r="I2425" s="62" t="n"/>
      <c r="J2425" s="58" t="n"/>
      <c r="K2425" s="63">
        <f>IF(tblMovement[[#This Row],[Source]]="","",IFERROR(INDEX(tblSources[Type],MATCH(tblMovement[[#This Row],[Source]],tblSources[Source],0)),"?"))</f>
        <v/>
      </c>
      <c r="L2425" s="63">
        <f>IF(tblMovement[[#This Row],[Destination]]="","",IFERROR(INDEX(tblDestinations[Type],MATCH(tblMovement[[#This Row],[Destination]],tblDestinations[Destination],0)),"?"))</f>
        <v/>
      </c>
      <c r="M2425" s="64">
        <f>IF(tblMovement[[#This Row],[Material]]="","",IF(LEFT(tblMovement[[#This Row],[Material]],3)="Ore",1,0))</f>
        <v/>
      </c>
      <c r="N2425" s="59">
        <f>IF(OR(tblMovement[[#This Row],[Tonnes_t]]="",tblMovement[[#This Row],[Grade_gpt]]=""),0,tblMovement[[#This Row],[Tonnes_t]]*tblMovement[[#This Row],[Grade_gpt]]/cfg_TroyOz)</f>
        <v/>
      </c>
      <c r="O2425" s="59">
        <f>IF(tblMovement[[#This Row],[Is_Ore]]=1,tblMovement[[#This Row],[Contained_oz]],0)</f>
        <v/>
      </c>
    </row>
    <row r="2426">
      <c r="A2426" s="54" t="n"/>
      <c r="B2426" s="61" t="n"/>
      <c r="C2426" s="61" t="n"/>
      <c r="D2426" s="61" t="n"/>
      <c r="E2426" s="61" t="n"/>
      <c r="F2426" s="55" t="n"/>
      <c r="G2426" s="56" t="n"/>
      <c r="H2426" s="55" t="n"/>
      <c r="I2426" s="62" t="n"/>
      <c r="J2426" s="58" t="n"/>
      <c r="K2426" s="63">
        <f>IF(tblMovement[[#This Row],[Source]]="","",IFERROR(INDEX(tblSources[Type],MATCH(tblMovement[[#This Row],[Source]],tblSources[Source],0)),"?"))</f>
        <v/>
      </c>
      <c r="L2426" s="63">
        <f>IF(tblMovement[[#This Row],[Destination]]="","",IFERROR(INDEX(tblDestinations[Type],MATCH(tblMovement[[#This Row],[Destination]],tblDestinations[Destination],0)),"?"))</f>
        <v/>
      </c>
      <c r="M2426" s="64">
        <f>IF(tblMovement[[#This Row],[Material]]="","",IF(LEFT(tblMovement[[#This Row],[Material]],3)="Ore",1,0))</f>
        <v/>
      </c>
      <c r="N2426" s="59">
        <f>IF(OR(tblMovement[[#This Row],[Tonnes_t]]="",tblMovement[[#This Row],[Grade_gpt]]=""),0,tblMovement[[#This Row],[Tonnes_t]]*tblMovement[[#This Row],[Grade_gpt]]/cfg_TroyOz)</f>
        <v/>
      </c>
      <c r="O2426" s="59">
        <f>IF(tblMovement[[#This Row],[Is_Ore]]=1,tblMovement[[#This Row],[Contained_oz]],0)</f>
        <v/>
      </c>
    </row>
    <row r="2427">
      <c r="A2427" s="54" t="n"/>
      <c r="B2427" s="61" t="n"/>
      <c r="C2427" s="61" t="n"/>
      <c r="D2427" s="61" t="n"/>
      <c r="E2427" s="61" t="n"/>
      <c r="F2427" s="55" t="n"/>
      <c r="G2427" s="56" t="n"/>
      <c r="H2427" s="55" t="n"/>
      <c r="I2427" s="62" t="n"/>
      <c r="J2427" s="58" t="n"/>
      <c r="K2427" s="63">
        <f>IF(tblMovement[[#This Row],[Source]]="","",IFERROR(INDEX(tblSources[Type],MATCH(tblMovement[[#This Row],[Source]],tblSources[Source],0)),"?"))</f>
        <v/>
      </c>
      <c r="L2427" s="63">
        <f>IF(tblMovement[[#This Row],[Destination]]="","",IFERROR(INDEX(tblDestinations[Type],MATCH(tblMovement[[#This Row],[Destination]],tblDestinations[Destination],0)),"?"))</f>
        <v/>
      </c>
      <c r="M2427" s="64">
        <f>IF(tblMovement[[#This Row],[Material]]="","",IF(LEFT(tblMovement[[#This Row],[Material]],3)="Ore",1,0))</f>
        <v/>
      </c>
      <c r="N2427" s="59">
        <f>IF(OR(tblMovement[[#This Row],[Tonnes_t]]="",tblMovement[[#This Row],[Grade_gpt]]=""),0,tblMovement[[#This Row],[Tonnes_t]]*tblMovement[[#This Row],[Grade_gpt]]/cfg_TroyOz)</f>
        <v/>
      </c>
      <c r="O2427" s="59">
        <f>IF(tblMovement[[#This Row],[Is_Ore]]=1,tblMovement[[#This Row],[Contained_oz]],0)</f>
        <v/>
      </c>
    </row>
    <row r="2428">
      <c r="A2428" s="54" t="n"/>
      <c r="B2428" s="61" t="n"/>
      <c r="C2428" s="61" t="n"/>
      <c r="D2428" s="61" t="n"/>
      <c r="E2428" s="61" t="n"/>
      <c r="F2428" s="55" t="n"/>
      <c r="G2428" s="56" t="n"/>
      <c r="H2428" s="55" t="n"/>
      <c r="I2428" s="62" t="n"/>
      <c r="J2428" s="58" t="n"/>
      <c r="K2428" s="63">
        <f>IF(tblMovement[[#This Row],[Source]]="","",IFERROR(INDEX(tblSources[Type],MATCH(tblMovement[[#This Row],[Source]],tblSources[Source],0)),"?"))</f>
        <v/>
      </c>
      <c r="L2428" s="63">
        <f>IF(tblMovement[[#This Row],[Destination]]="","",IFERROR(INDEX(tblDestinations[Type],MATCH(tblMovement[[#This Row],[Destination]],tblDestinations[Destination],0)),"?"))</f>
        <v/>
      </c>
      <c r="M2428" s="64">
        <f>IF(tblMovement[[#This Row],[Material]]="","",IF(LEFT(tblMovement[[#This Row],[Material]],3)="Ore",1,0))</f>
        <v/>
      </c>
      <c r="N2428" s="59">
        <f>IF(OR(tblMovement[[#This Row],[Tonnes_t]]="",tblMovement[[#This Row],[Grade_gpt]]=""),0,tblMovement[[#This Row],[Tonnes_t]]*tblMovement[[#This Row],[Grade_gpt]]/cfg_TroyOz)</f>
        <v/>
      </c>
      <c r="O2428" s="59">
        <f>IF(tblMovement[[#This Row],[Is_Ore]]=1,tblMovement[[#This Row],[Contained_oz]],0)</f>
        <v/>
      </c>
    </row>
    <row r="2429">
      <c r="A2429" s="54" t="n"/>
      <c r="B2429" s="61" t="n"/>
      <c r="C2429" s="61" t="n"/>
      <c r="D2429" s="61" t="n"/>
      <c r="E2429" s="61" t="n"/>
      <c r="F2429" s="55" t="n"/>
      <c r="G2429" s="56" t="n"/>
      <c r="H2429" s="55" t="n"/>
      <c r="I2429" s="62" t="n"/>
      <c r="J2429" s="58" t="n"/>
      <c r="K2429" s="63">
        <f>IF(tblMovement[[#This Row],[Source]]="","",IFERROR(INDEX(tblSources[Type],MATCH(tblMovement[[#This Row],[Source]],tblSources[Source],0)),"?"))</f>
        <v/>
      </c>
      <c r="L2429" s="63">
        <f>IF(tblMovement[[#This Row],[Destination]]="","",IFERROR(INDEX(tblDestinations[Type],MATCH(tblMovement[[#This Row],[Destination]],tblDestinations[Destination],0)),"?"))</f>
        <v/>
      </c>
      <c r="M2429" s="64">
        <f>IF(tblMovement[[#This Row],[Material]]="","",IF(LEFT(tblMovement[[#This Row],[Material]],3)="Ore",1,0))</f>
        <v/>
      </c>
      <c r="N2429" s="59">
        <f>IF(OR(tblMovement[[#This Row],[Tonnes_t]]="",tblMovement[[#This Row],[Grade_gpt]]=""),0,tblMovement[[#This Row],[Tonnes_t]]*tblMovement[[#This Row],[Grade_gpt]]/cfg_TroyOz)</f>
        <v/>
      </c>
      <c r="O2429" s="59">
        <f>IF(tblMovement[[#This Row],[Is_Ore]]=1,tblMovement[[#This Row],[Contained_oz]],0)</f>
        <v/>
      </c>
    </row>
    <row r="2430">
      <c r="A2430" s="54" t="n"/>
      <c r="B2430" s="61" t="n"/>
      <c r="C2430" s="61" t="n"/>
      <c r="D2430" s="61" t="n"/>
      <c r="E2430" s="61" t="n"/>
      <c r="F2430" s="55" t="n"/>
      <c r="G2430" s="56" t="n"/>
      <c r="H2430" s="55" t="n"/>
      <c r="I2430" s="62" t="n"/>
      <c r="J2430" s="58" t="n"/>
      <c r="K2430" s="63">
        <f>IF(tblMovement[[#This Row],[Source]]="","",IFERROR(INDEX(tblSources[Type],MATCH(tblMovement[[#This Row],[Source]],tblSources[Source],0)),"?"))</f>
        <v/>
      </c>
      <c r="L2430" s="63">
        <f>IF(tblMovement[[#This Row],[Destination]]="","",IFERROR(INDEX(tblDestinations[Type],MATCH(tblMovement[[#This Row],[Destination]],tblDestinations[Destination],0)),"?"))</f>
        <v/>
      </c>
      <c r="M2430" s="64">
        <f>IF(tblMovement[[#This Row],[Material]]="","",IF(LEFT(tblMovement[[#This Row],[Material]],3)="Ore",1,0))</f>
        <v/>
      </c>
      <c r="N2430" s="59">
        <f>IF(OR(tblMovement[[#This Row],[Tonnes_t]]="",tblMovement[[#This Row],[Grade_gpt]]=""),0,tblMovement[[#This Row],[Tonnes_t]]*tblMovement[[#This Row],[Grade_gpt]]/cfg_TroyOz)</f>
        <v/>
      </c>
      <c r="O2430" s="59">
        <f>IF(tblMovement[[#This Row],[Is_Ore]]=1,tblMovement[[#This Row],[Contained_oz]],0)</f>
        <v/>
      </c>
    </row>
    <row r="2431">
      <c r="A2431" s="54" t="n"/>
      <c r="B2431" s="61" t="n"/>
      <c r="C2431" s="61" t="n"/>
      <c r="D2431" s="61" t="n"/>
      <c r="E2431" s="61" t="n"/>
      <c r="F2431" s="55" t="n"/>
      <c r="G2431" s="56" t="n"/>
      <c r="H2431" s="55" t="n"/>
      <c r="I2431" s="62" t="n"/>
      <c r="J2431" s="58" t="n"/>
      <c r="K2431" s="63">
        <f>IF(tblMovement[[#This Row],[Source]]="","",IFERROR(INDEX(tblSources[Type],MATCH(tblMovement[[#This Row],[Source]],tblSources[Source],0)),"?"))</f>
        <v/>
      </c>
      <c r="L2431" s="63">
        <f>IF(tblMovement[[#This Row],[Destination]]="","",IFERROR(INDEX(tblDestinations[Type],MATCH(tblMovement[[#This Row],[Destination]],tblDestinations[Destination],0)),"?"))</f>
        <v/>
      </c>
      <c r="M2431" s="64">
        <f>IF(tblMovement[[#This Row],[Material]]="","",IF(LEFT(tblMovement[[#This Row],[Material]],3)="Ore",1,0))</f>
        <v/>
      </c>
      <c r="N2431" s="59">
        <f>IF(OR(tblMovement[[#This Row],[Tonnes_t]]="",tblMovement[[#This Row],[Grade_gpt]]=""),0,tblMovement[[#This Row],[Tonnes_t]]*tblMovement[[#This Row],[Grade_gpt]]/cfg_TroyOz)</f>
        <v/>
      </c>
      <c r="O2431" s="59">
        <f>IF(tblMovement[[#This Row],[Is_Ore]]=1,tblMovement[[#This Row],[Contained_oz]],0)</f>
        <v/>
      </c>
    </row>
    <row r="2432">
      <c r="A2432" s="54" t="n"/>
      <c r="B2432" s="61" t="n"/>
      <c r="C2432" s="61" t="n"/>
      <c r="D2432" s="61" t="n"/>
      <c r="E2432" s="61" t="n"/>
      <c r="F2432" s="55" t="n"/>
      <c r="G2432" s="56" t="n"/>
      <c r="H2432" s="55" t="n"/>
      <c r="I2432" s="62" t="n"/>
      <c r="J2432" s="58" t="n"/>
      <c r="K2432" s="63">
        <f>IF(tblMovement[[#This Row],[Source]]="","",IFERROR(INDEX(tblSources[Type],MATCH(tblMovement[[#This Row],[Source]],tblSources[Source],0)),"?"))</f>
        <v/>
      </c>
      <c r="L2432" s="63">
        <f>IF(tblMovement[[#This Row],[Destination]]="","",IFERROR(INDEX(tblDestinations[Type],MATCH(tblMovement[[#This Row],[Destination]],tblDestinations[Destination],0)),"?"))</f>
        <v/>
      </c>
      <c r="M2432" s="64">
        <f>IF(tblMovement[[#This Row],[Material]]="","",IF(LEFT(tblMovement[[#This Row],[Material]],3)="Ore",1,0))</f>
        <v/>
      </c>
      <c r="N2432" s="59">
        <f>IF(OR(tblMovement[[#This Row],[Tonnes_t]]="",tblMovement[[#This Row],[Grade_gpt]]=""),0,tblMovement[[#This Row],[Tonnes_t]]*tblMovement[[#This Row],[Grade_gpt]]/cfg_TroyOz)</f>
        <v/>
      </c>
      <c r="O2432" s="59">
        <f>IF(tblMovement[[#This Row],[Is_Ore]]=1,tblMovement[[#This Row],[Contained_oz]],0)</f>
        <v/>
      </c>
    </row>
    <row r="2433">
      <c r="A2433" s="54" t="n"/>
      <c r="B2433" s="61" t="n"/>
      <c r="C2433" s="61" t="n"/>
      <c r="D2433" s="61" t="n"/>
      <c r="E2433" s="61" t="n"/>
      <c r="F2433" s="55" t="n"/>
      <c r="G2433" s="56" t="n"/>
      <c r="H2433" s="55" t="n"/>
      <c r="I2433" s="62" t="n"/>
      <c r="J2433" s="58" t="n"/>
      <c r="K2433" s="63">
        <f>IF(tblMovement[[#This Row],[Source]]="","",IFERROR(INDEX(tblSources[Type],MATCH(tblMovement[[#This Row],[Source]],tblSources[Source],0)),"?"))</f>
        <v/>
      </c>
      <c r="L2433" s="63">
        <f>IF(tblMovement[[#This Row],[Destination]]="","",IFERROR(INDEX(tblDestinations[Type],MATCH(tblMovement[[#This Row],[Destination]],tblDestinations[Destination],0)),"?"))</f>
        <v/>
      </c>
      <c r="M2433" s="64">
        <f>IF(tblMovement[[#This Row],[Material]]="","",IF(LEFT(tblMovement[[#This Row],[Material]],3)="Ore",1,0))</f>
        <v/>
      </c>
      <c r="N2433" s="59">
        <f>IF(OR(tblMovement[[#This Row],[Tonnes_t]]="",tblMovement[[#This Row],[Grade_gpt]]=""),0,tblMovement[[#This Row],[Tonnes_t]]*tblMovement[[#This Row],[Grade_gpt]]/cfg_TroyOz)</f>
        <v/>
      </c>
      <c r="O2433" s="59">
        <f>IF(tblMovement[[#This Row],[Is_Ore]]=1,tblMovement[[#This Row],[Contained_oz]],0)</f>
        <v/>
      </c>
    </row>
    <row r="2434">
      <c r="A2434" s="54" t="n"/>
      <c r="B2434" s="61" t="n"/>
      <c r="C2434" s="61" t="n"/>
      <c r="D2434" s="61" t="n"/>
      <c r="E2434" s="61" t="n"/>
      <c r="F2434" s="55" t="n"/>
      <c r="G2434" s="56" t="n"/>
      <c r="H2434" s="55" t="n"/>
      <c r="I2434" s="62" t="n"/>
      <c r="J2434" s="58" t="n"/>
      <c r="K2434" s="63">
        <f>IF(tblMovement[[#This Row],[Source]]="","",IFERROR(INDEX(tblSources[Type],MATCH(tblMovement[[#This Row],[Source]],tblSources[Source],0)),"?"))</f>
        <v/>
      </c>
      <c r="L2434" s="63">
        <f>IF(tblMovement[[#This Row],[Destination]]="","",IFERROR(INDEX(tblDestinations[Type],MATCH(tblMovement[[#This Row],[Destination]],tblDestinations[Destination],0)),"?"))</f>
        <v/>
      </c>
      <c r="M2434" s="64">
        <f>IF(tblMovement[[#This Row],[Material]]="","",IF(LEFT(tblMovement[[#This Row],[Material]],3)="Ore",1,0))</f>
        <v/>
      </c>
      <c r="N2434" s="59">
        <f>IF(OR(tblMovement[[#This Row],[Tonnes_t]]="",tblMovement[[#This Row],[Grade_gpt]]=""),0,tblMovement[[#This Row],[Tonnes_t]]*tblMovement[[#This Row],[Grade_gpt]]/cfg_TroyOz)</f>
        <v/>
      </c>
      <c r="O2434" s="59">
        <f>IF(tblMovement[[#This Row],[Is_Ore]]=1,tblMovement[[#This Row],[Contained_oz]],0)</f>
        <v/>
      </c>
    </row>
    <row r="2435">
      <c r="A2435" s="54" t="n"/>
      <c r="B2435" s="61" t="n"/>
      <c r="C2435" s="61" t="n"/>
      <c r="D2435" s="61" t="n"/>
      <c r="E2435" s="61" t="n"/>
      <c r="F2435" s="55" t="n"/>
      <c r="G2435" s="56" t="n"/>
      <c r="H2435" s="55" t="n"/>
      <c r="I2435" s="62" t="n"/>
      <c r="J2435" s="58" t="n"/>
      <c r="K2435" s="63">
        <f>IF(tblMovement[[#This Row],[Source]]="","",IFERROR(INDEX(tblSources[Type],MATCH(tblMovement[[#This Row],[Source]],tblSources[Source],0)),"?"))</f>
        <v/>
      </c>
      <c r="L2435" s="63">
        <f>IF(tblMovement[[#This Row],[Destination]]="","",IFERROR(INDEX(tblDestinations[Type],MATCH(tblMovement[[#This Row],[Destination]],tblDestinations[Destination],0)),"?"))</f>
        <v/>
      </c>
      <c r="M2435" s="64">
        <f>IF(tblMovement[[#This Row],[Material]]="","",IF(LEFT(tblMovement[[#This Row],[Material]],3)="Ore",1,0))</f>
        <v/>
      </c>
      <c r="N2435" s="59">
        <f>IF(OR(tblMovement[[#This Row],[Tonnes_t]]="",tblMovement[[#This Row],[Grade_gpt]]=""),0,tblMovement[[#This Row],[Tonnes_t]]*tblMovement[[#This Row],[Grade_gpt]]/cfg_TroyOz)</f>
        <v/>
      </c>
      <c r="O2435" s="59">
        <f>IF(tblMovement[[#This Row],[Is_Ore]]=1,tblMovement[[#This Row],[Contained_oz]],0)</f>
        <v/>
      </c>
    </row>
    <row r="2436">
      <c r="A2436" s="54" t="n"/>
      <c r="B2436" s="61" t="n"/>
      <c r="C2436" s="61" t="n"/>
      <c r="D2436" s="61" t="n"/>
      <c r="E2436" s="61" t="n"/>
      <c r="F2436" s="55" t="n"/>
      <c r="G2436" s="56" t="n"/>
      <c r="H2436" s="55" t="n"/>
      <c r="I2436" s="62" t="n"/>
      <c r="J2436" s="58" t="n"/>
      <c r="K2436" s="63">
        <f>IF(tblMovement[[#This Row],[Source]]="","",IFERROR(INDEX(tblSources[Type],MATCH(tblMovement[[#This Row],[Source]],tblSources[Source],0)),"?"))</f>
        <v/>
      </c>
      <c r="L2436" s="63">
        <f>IF(tblMovement[[#This Row],[Destination]]="","",IFERROR(INDEX(tblDestinations[Type],MATCH(tblMovement[[#This Row],[Destination]],tblDestinations[Destination],0)),"?"))</f>
        <v/>
      </c>
      <c r="M2436" s="64">
        <f>IF(tblMovement[[#This Row],[Material]]="","",IF(LEFT(tblMovement[[#This Row],[Material]],3)="Ore",1,0))</f>
        <v/>
      </c>
      <c r="N2436" s="59">
        <f>IF(OR(tblMovement[[#This Row],[Tonnes_t]]="",tblMovement[[#This Row],[Grade_gpt]]=""),0,tblMovement[[#This Row],[Tonnes_t]]*tblMovement[[#This Row],[Grade_gpt]]/cfg_TroyOz)</f>
        <v/>
      </c>
      <c r="O2436" s="59">
        <f>IF(tblMovement[[#This Row],[Is_Ore]]=1,tblMovement[[#This Row],[Contained_oz]],0)</f>
        <v/>
      </c>
    </row>
    <row r="2437">
      <c r="A2437" s="54" t="n"/>
      <c r="B2437" s="61" t="n"/>
      <c r="C2437" s="61" t="n"/>
      <c r="D2437" s="61" t="n"/>
      <c r="E2437" s="61" t="n"/>
      <c r="F2437" s="55" t="n"/>
      <c r="G2437" s="56" t="n"/>
      <c r="H2437" s="55" t="n"/>
      <c r="I2437" s="62" t="n"/>
      <c r="J2437" s="58" t="n"/>
      <c r="K2437" s="63">
        <f>IF(tblMovement[[#This Row],[Source]]="","",IFERROR(INDEX(tblSources[Type],MATCH(tblMovement[[#This Row],[Source]],tblSources[Source],0)),"?"))</f>
        <v/>
      </c>
      <c r="L2437" s="63">
        <f>IF(tblMovement[[#This Row],[Destination]]="","",IFERROR(INDEX(tblDestinations[Type],MATCH(tblMovement[[#This Row],[Destination]],tblDestinations[Destination],0)),"?"))</f>
        <v/>
      </c>
      <c r="M2437" s="64">
        <f>IF(tblMovement[[#This Row],[Material]]="","",IF(LEFT(tblMovement[[#This Row],[Material]],3)="Ore",1,0))</f>
        <v/>
      </c>
      <c r="N2437" s="59">
        <f>IF(OR(tblMovement[[#This Row],[Tonnes_t]]="",tblMovement[[#This Row],[Grade_gpt]]=""),0,tblMovement[[#This Row],[Tonnes_t]]*tblMovement[[#This Row],[Grade_gpt]]/cfg_TroyOz)</f>
        <v/>
      </c>
      <c r="O2437" s="59">
        <f>IF(tblMovement[[#This Row],[Is_Ore]]=1,tblMovement[[#This Row],[Contained_oz]],0)</f>
        <v/>
      </c>
    </row>
    <row r="2438">
      <c r="A2438" s="54" t="n"/>
      <c r="B2438" s="61" t="n"/>
      <c r="C2438" s="61" t="n"/>
      <c r="D2438" s="61" t="n"/>
      <c r="E2438" s="61" t="n"/>
      <c r="F2438" s="55" t="n"/>
      <c r="G2438" s="56" t="n"/>
      <c r="H2438" s="55" t="n"/>
      <c r="I2438" s="62" t="n"/>
      <c r="J2438" s="58" t="n"/>
      <c r="K2438" s="63">
        <f>IF(tblMovement[[#This Row],[Source]]="","",IFERROR(INDEX(tblSources[Type],MATCH(tblMovement[[#This Row],[Source]],tblSources[Source],0)),"?"))</f>
        <v/>
      </c>
      <c r="L2438" s="63">
        <f>IF(tblMovement[[#This Row],[Destination]]="","",IFERROR(INDEX(tblDestinations[Type],MATCH(tblMovement[[#This Row],[Destination]],tblDestinations[Destination],0)),"?"))</f>
        <v/>
      </c>
      <c r="M2438" s="64">
        <f>IF(tblMovement[[#This Row],[Material]]="","",IF(LEFT(tblMovement[[#This Row],[Material]],3)="Ore",1,0))</f>
        <v/>
      </c>
      <c r="N2438" s="59">
        <f>IF(OR(tblMovement[[#This Row],[Tonnes_t]]="",tblMovement[[#This Row],[Grade_gpt]]=""),0,tblMovement[[#This Row],[Tonnes_t]]*tblMovement[[#This Row],[Grade_gpt]]/cfg_TroyOz)</f>
        <v/>
      </c>
      <c r="O2438" s="59">
        <f>IF(tblMovement[[#This Row],[Is_Ore]]=1,tblMovement[[#This Row],[Contained_oz]],0)</f>
        <v/>
      </c>
    </row>
    <row r="2439">
      <c r="A2439" s="54" t="n"/>
      <c r="B2439" s="61" t="n"/>
      <c r="C2439" s="61" t="n"/>
      <c r="D2439" s="61" t="n"/>
      <c r="E2439" s="61" t="n"/>
      <c r="F2439" s="55" t="n"/>
      <c r="G2439" s="56" t="n"/>
      <c r="H2439" s="55" t="n"/>
      <c r="I2439" s="62" t="n"/>
      <c r="J2439" s="58" t="n"/>
      <c r="K2439" s="63">
        <f>IF(tblMovement[[#This Row],[Source]]="","",IFERROR(INDEX(tblSources[Type],MATCH(tblMovement[[#This Row],[Source]],tblSources[Source],0)),"?"))</f>
        <v/>
      </c>
      <c r="L2439" s="63">
        <f>IF(tblMovement[[#This Row],[Destination]]="","",IFERROR(INDEX(tblDestinations[Type],MATCH(tblMovement[[#This Row],[Destination]],tblDestinations[Destination],0)),"?"))</f>
        <v/>
      </c>
      <c r="M2439" s="64">
        <f>IF(tblMovement[[#This Row],[Material]]="","",IF(LEFT(tblMovement[[#This Row],[Material]],3)="Ore",1,0))</f>
        <v/>
      </c>
      <c r="N2439" s="59">
        <f>IF(OR(tblMovement[[#This Row],[Tonnes_t]]="",tblMovement[[#This Row],[Grade_gpt]]=""),0,tblMovement[[#This Row],[Tonnes_t]]*tblMovement[[#This Row],[Grade_gpt]]/cfg_TroyOz)</f>
        <v/>
      </c>
      <c r="O2439" s="59">
        <f>IF(tblMovement[[#This Row],[Is_Ore]]=1,tblMovement[[#This Row],[Contained_oz]],0)</f>
        <v/>
      </c>
    </row>
    <row r="2440">
      <c r="A2440" s="54" t="n"/>
      <c r="B2440" s="61" t="n"/>
      <c r="C2440" s="61" t="n"/>
      <c r="D2440" s="61" t="n"/>
      <c r="E2440" s="61" t="n"/>
      <c r="F2440" s="55" t="n"/>
      <c r="G2440" s="56" t="n"/>
      <c r="H2440" s="55" t="n"/>
      <c r="I2440" s="62" t="n"/>
      <c r="J2440" s="58" t="n"/>
      <c r="K2440" s="63">
        <f>IF(tblMovement[[#This Row],[Source]]="","",IFERROR(INDEX(tblSources[Type],MATCH(tblMovement[[#This Row],[Source]],tblSources[Source],0)),"?"))</f>
        <v/>
      </c>
      <c r="L2440" s="63">
        <f>IF(tblMovement[[#This Row],[Destination]]="","",IFERROR(INDEX(tblDestinations[Type],MATCH(tblMovement[[#This Row],[Destination]],tblDestinations[Destination],0)),"?"))</f>
        <v/>
      </c>
      <c r="M2440" s="64">
        <f>IF(tblMovement[[#This Row],[Material]]="","",IF(LEFT(tblMovement[[#This Row],[Material]],3)="Ore",1,0))</f>
        <v/>
      </c>
      <c r="N2440" s="59">
        <f>IF(OR(tblMovement[[#This Row],[Tonnes_t]]="",tblMovement[[#This Row],[Grade_gpt]]=""),0,tblMovement[[#This Row],[Tonnes_t]]*tblMovement[[#This Row],[Grade_gpt]]/cfg_TroyOz)</f>
        <v/>
      </c>
      <c r="O2440" s="59">
        <f>IF(tblMovement[[#This Row],[Is_Ore]]=1,tblMovement[[#This Row],[Contained_oz]],0)</f>
        <v/>
      </c>
    </row>
    <row r="2441">
      <c r="A2441" s="54" t="n"/>
      <c r="B2441" s="61" t="n"/>
      <c r="C2441" s="61" t="n"/>
      <c r="D2441" s="61" t="n"/>
      <c r="E2441" s="61" t="n"/>
      <c r="F2441" s="55" t="n"/>
      <c r="G2441" s="56" t="n"/>
      <c r="H2441" s="55" t="n"/>
      <c r="I2441" s="62" t="n"/>
      <c r="J2441" s="58" t="n"/>
      <c r="K2441" s="63">
        <f>IF(tblMovement[[#This Row],[Source]]="","",IFERROR(INDEX(tblSources[Type],MATCH(tblMovement[[#This Row],[Source]],tblSources[Source],0)),"?"))</f>
        <v/>
      </c>
      <c r="L2441" s="63">
        <f>IF(tblMovement[[#This Row],[Destination]]="","",IFERROR(INDEX(tblDestinations[Type],MATCH(tblMovement[[#This Row],[Destination]],tblDestinations[Destination],0)),"?"))</f>
        <v/>
      </c>
      <c r="M2441" s="64">
        <f>IF(tblMovement[[#This Row],[Material]]="","",IF(LEFT(tblMovement[[#This Row],[Material]],3)="Ore",1,0))</f>
        <v/>
      </c>
      <c r="N2441" s="59">
        <f>IF(OR(tblMovement[[#This Row],[Tonnes_t]]="",tblMovement[[#This Row],[Grade_gpt]]=""),0,tblMovement[[#This Row],[Tonnes_t]]*tblMovement[[#This Row],[Grade_gpt]]/cfg_TroyOz)</f>
        <v/>
      </c>
      <c r="O2441" s="59">
        <f>IF(tblMovement[[#This Row],[Is_Ore]]=1,tblMovement[[#This Row],[Contained_oz]],0)</f>
        <v/>
      </c>
    </row>
    <row r="2442">
      <c r="A2442" s="54" t="n"/>
      <c r="B2442" s="61" t="n"/>
      <c r="C2442" s="61" t="n"/>
      <c r="D2442" s="61" t="n"/>
      <c r="E2442" s="61" t="n"/>
      <c r="F2442" s="55" t="n"/>
      <c r="G2442" s="56" t="n"/>
      <c r="H2442" s="55" t="n"/>
      <c r="I2442" s="62" t="n"/>
      <c r="J2442" s="58" t="n"/>
      <c r="K2442" s="63">
        <f>IF(tblMovement[[#This Row],[Source]]="","",IFERROR(INDEX(tblSources[Type],MATCH(tblMovement[[#This Row],[Source]],tblSources[Source],0)),"?"))</f>
        <v/>
      </c>
      <c r="L2442" s="63">
        <f>IF(tblMovement[[#This Row],[Destination]]="","",IFERROR(INDEX(tblDestinations[Type],MATCH(tblMovement[[#This Row],[Destination]],tblDestinations[Destination],0)),"?"))</f>
        <v/>
      </c>
      <c r="M2442" s="64">
        <f>IF(tblMovement[[#This Row],[Material]]="","",IF(LEFT(tblMovement[[#This Row],[Material]],3)="Ore",1,0))</f>
        <v/>
      </c>
      <c r="N2442" s="59">
        <f>IF(OR(tblMovement[[#This Row],[Tonnes_t]]="",tblMovement[[#This Row],[Grade_gpt]]=""),0,tblMovement[[#This Row],[Tonnes_t]]*tblMovement[[#This Row],[Grade_gpt]]/cfg_TroyOz)</f>
        <v/>
      </c>
      <c r="O2442" s="59">
        <f>IF(tblMovement[[#This Row],[Is_Ore]]=1,tblMovement[[#This Row],[Contained_oz]],0)</f>
        <v/>
      </c>
    </row>
    <row r="2443">
      <c r="A2443" s="54" t="n"/>
      <c r="B2443" s="61" t="n"/>
      <c r="C2443" s="61" t="n"/>
      <c r="D2443" s="61" t="n"/>
      <c r="E2443" s="61" t="n"/>
      <c r="F2443" s="55" t="n"/>
      <c r="G2443" s="56" t="n"/>
      <c r="H2443" s="55" t="n"/>
      <c r="I2443" s="62" t="n"/>
      <c r="J2443" s="58" t="n"/>
      <c r="K2443" s="63">
        <f>IF(tblMovement[[#This Row],[Source]]="","",IFERROR(INDEX(tblSources[Type],MATCH(tblMovement[[#This Row],[Source]],tblSources[Source],0)),"?"))</f>
        <v/>
      </c>
      <c r="L2443" s="63">
        <f>IF(tblMovement[[#This Row],[Destination]]="","",IFERROR(INDEX(tblDestinations[Type],MATCH(tblMovement[[#This Row],[Destination]],tblDestinations[Destination],0)),"?"))</f>
        <v/>
      </c>
      <c r="M2443" s="64">
        <f>IF(tblMovement[[#This Row],[Material]]="","",IF(LEFT(tblMovement[[#This Row],[Material]],3)="Ore",1,0))</f>
        <v/>
      </c>
      <c r="N2443" s="59">
        <f>IF(OR(tblMovement[[#This Row],[Tonnes_t]]="",tblMovement[[#This Row],[Grade_gpt]]=""),0,tblMovement[[#This Row],[Tonnes_t]]*tblMovement[[#This Row],[Grade_gpt]]/cfg_TroyOz)</f>
        <v/>
      </c>
      <c r="O2443" s="59">
        <f>IF(tblMovement[[#This Row],[Is_Ore]]=1,tblMovement[[#This Row],[Contained_oz]],0)</f>
        <v/>
      </c>
    </row>
    <row r="2444">
      <c r="A2444" s="54" t="n"/>
      <c r="B2444" s="61" t="n"/>
      <c r="C2444" s="61" t="n"/>
      <c r="D2444" s="61" t="n"/>
      <c r="E2444" s="61" t="n"/>
      <c r="F2444" s="55" t="n"/>
      <c r="G2444" s="56" t="n"/>
      <c r="H2444" s="55" t="n"/>
      <c r="I2444" s="62" t="n"/>
      <c r="J2444" s="58" t="n"/>
      <c r="K2444" s="63">
        <f>IF(tblMovement[[#This Row],[Source]]="","",IFERROR(INDEX(tblSources[Type],MATCH(tblMovement[[#This Row],[Source]],tblSources[Source],0)),"?"))</f>
        <v/>
      </c>
      <c r="L2444" s="63">
        <f>IF(tblMovement[[#This Row],[Destination]]="","",IFERROR(INDEX(tblDestinations[Type],MATCH(tblMovement[[#This Row],[Destination]],tblDestinations[Destination],0)),"?"))</f>
        <v/>
      </c>
      <c r="M2444" s="64">
        <f>IF(tblMovement[[#This Row],[Material]]="","",IF(LEFT(tblMovement[[#This Row],[Material]],3)="Ore",1,0))</f>
        <v/>
      </c>
      <c r="N2444" s="59">
        <f>IF(OR(tblMovement[[#This Row],[Tonnes_t]]="",tblMovement[[#This Row],[Grade_gpt]]=""),0,tblMovement[[#This Row],[Tonnes_t]]*tblMovement[[#This Row],[Grade_gpt]]/cfg_TroyOz)</f>
        <v/>
      </c>
      <c r="O2444" s="59">
        <f>IF(tblMovement[[#This Row],[Is_Ore]]=1,tblMovement[[#This Row],[Contained_oz]],0)</f>
        <v/>
      </c>
    </row>
    <row r="2445">
      <c r="A2445" s="54" t="n"/>
      <c r="B2445" s="61" t="n"/>
      <c r="C2445" s="61" t="n"/>
      <c r="D2445" s="61" t="n"/>
      <c r="E2445" s="61" t="n"/>
      <c r="F2445" s="55" t="n"/>
      <c r="G2445" s="56" t="n"/>
      <c r="H2445" s="55" t="n"/>
      <c r="I2445" s="62" t="n"/>
      <c r="J2445" s="58" t="n"/>
      <c r="K2445" s="63">
        <f>IF(tblMovement[[#This Row],[Source]]="","",IFERROR(INDEX(tblSources[Type],MATCH(tblMovement[[#This Row],[Source]],tblSources[Source],0)),"?"))</f>
        <v/>
      </c>
      <c r="L2445" s="63">
        <f>IF(tblMovement[[#This Row],[Destination]]="","",IFERROR(INDEX(tblDestinations[Type],MATCH(tblMovement[[#This Row],[Destination]],tblDestinations[Destination],0)),"?"))</f>
        <v/>
      </c>
      <c r="M2445" s="64">
        <f>IF(tblMovement[[#This Row],[Material]]="","",IF(LEFT(tblMovement[[#This Row],[Material]],3)="Ore",1,0))</f>
        <v/>
      </c>
      <c r="N2445" s="59">
        <f>IF(OR(tblMovement[[#This Row],[Tonnes_t]]="",tblMovement[[#This Row],[Grade_gpt]]=""),0,tblMovement[[#This Row],[Tonnes_t]]*tblMovement[[#This Row],[Grade_gpt]]/cfg_TroyOz)</f>
        <v/>
      </c>
      <c r="O2445" s="59">
        <f>IF(tblMovement[[#This Row],[Is_Ore]]=1,tblMovement[[#This Row],[Contained_oz]],0)</f>
        <v/>
      </c>
    </row>
    <row r="2446">
      <c r="A2446" s="54" t="n"/>
      <c r="B2446" s="61" t="n"/>
      <c r="C2446" s="61" t="n"/>
      <c r="D2446" s="61" t="n"/>
      <c r="E2446" s="61" t="n"/>
      <c r="F2446" s="55" t="n"/>
      <c r="G2446" s="56" t="n"/>
      <c r="H2446" s="55" t="n"/>
      <c r="I2446" s="62" t="n"/>
      <c r="J2446" s="58" t="n"/>
      <c r="K2446" s="63">
        <f>IF(tblMovement[[#This Row],[Source]]="","",IFERROR(INDEX(tblSources[Type],MATCH(tblMovement[[#This Row],[Source]],tblSources[Source],0)),"?"))</f>
        <v/>
      </c>
      <c r="L2446" s="63">
        <f>IF(tblMovement[[#This Row],[Destination]]="","",IFERROR(INDEX(tblDestinations[Type],MATCH(tblMovement[[#This Row],[Destination]],tblDestinations[Destination],0)),"?"))</f>
        <v/>
      </c>
      <c r="M2446" s="64">
        <f>IF(tblMovement[[#This Row],[Material]]="","",IF(LEFT(tblMovement[[#This Row],[Material]],3)="Ore",1,0))</f>
        <v/>
      </c>
      <c r="N2446" s="59">
        <f>IF(OR(tblMovement[[#This Row],[Tonnes_t]]="",tblMovement[[#This Row],[Grade_gpt]]=""),0,tblMovement[[#This Row],[Tonnes_t]]*tblMovement[[#This Row],[Grade_gpt]]/cfg_TroyOz)</f>
        <v/>
      </c>
      <c r="O2446" s="59">
        <f>IF(tblMovement[[#This Row],[Is_Ore]]=1,tblMovement[[#This Row],[Contained_oz]],0)</f>
        <v/>
      </c>
    </row>
    <row r="2447">
      <c r="A2447" s="54" t="n"/>
      <c r="B2447" s="61" t="n"/>
      <c r="C2447" s="61" t="n"/>
      <c r="D2447" s="61" t="n"/>
      <c r="E2447" s="61" t="n"/>
      <c r="F2447" s="55" t="n"/>
      <c r="G2447" s="56" t="n"/>
      <c r="H2447" s="55" t="n"/>
      <c r="I2447" s="62" t="n"/>
      <c r="J2447" s="58" t="n"/>
      <c r="K2447" s="63">
        <f>IF(tblMovement[[#This Row],[Source]]="","",IFERROR(INDEX(tblSources[Type],MATCH(tblMovement[[#This Row],[Source]],tblSources[Source],0)),"?"))</f>
        <v/>
      </c>
      <c r="L2447" s="63">
        <f>IF(tblMovement[[#This Row],[Destination]]="","",IFERROR(INDEX(tblDestinations[Type],MATCH(tblMovement[[#This Row],[Destination]],tblDestinations[Destination],0)),"?"))</f>
        <v/>
      </c>
      <c r="M2447" s="64">
        <f>IF(tblMovement[[#This Row],[Material]]="","",IF(LEFT(tblMovement[[#This Row],[Material]],3)="Ore",1,0))</f>
        <v/>
      </c>
      <c r="N2447" s="59">
        <f>IF(OR(tblMovement[[#This Row],[Tonnes_t]]="",tblMovement[[#This Row],[Grade_gpt]]=""),0,tblMovement[[#This Row],[Tonnes_t]]*tblMovement[[#This Row],[Grade_gpt]]/cfg_TroyOz)</f>
        <v/>
      </c>
      <c r="O2447" s="59">
        <f>IF(tblMovement[[#This Row],[Is_Ore]]=1,tblMovement[[#This Row],[Contained_oz]],0)</f>
        <v/>
      </c>
    </row>
    <row r="2448">
      <c r="A2448" s="54" t="n"/>
      <c r="B2448" s="61" t="n"/>
      <c r="C2448" s="61" t="n"/>
      <c r="D2448" s="61" t="n"/>
      <c r="E2448" s="61" t="n"/>
      <c r="F2448" s="55" t="n"/>
      <c r="G2448" s="56" t="n"/>
      <c r="H2448" s="55" t="n"/>
      <c r="I2448" s="62" t="n"/>
      <c r="J2448" s="58" t="n"/>
      <c r="K2448" s="63">
        <f>IF(tblMovement[[#This Row],[Source]]="","",IFERROR(INDEX(tblSources[Type],MATCH(tblMovement[[#This Row],[Source]],tblSources[Source],0)),"?"))</f>
        <v/>
      </c>
      <c r="L2448" s="63">
        <f>IF(tblMovement[[#This Row],[Destination]]="","",IFERROR(INDEX(tblDestinations[Type],MATCH(tblMovement[[#This Row],[Destination]],tblDestinations[Destination],0)),"?"))</f>
        <v/>
      </c>
      <c r="M2448" s="64">
        <f>IF(tblMovement[[#This Row],[Material]]="","",IF(LEFT(tblMovement[[#This Row],[Material]],3)="Ore",1,0))</f>
        <v/>
      </c>
      <c r="N2448" s="59">
        <f>IF(OR(tblMovement[[#This Row],[Tonnes_t]]="",tblMovement[[#This Row],[Grade_gpt]]=""),0,tblMovement[[#This Row],[Tonnes_t]]*tblMovement[[#This Row],[Grade_gpt]]/cfg_TroyOz)</f>
        <v/>
      </c>
      <c r="O2448" s="59">
        <f>IF(tblMovement[[#This Row],[Is_Ore]]=1,tblMovement[[#This Row],[Contained_oz]],0)</f>
        <v/>
      </c>
    </row>
    <row r="2449">
      <c r="A2449" s="54" t="n"/>
      <c r="B2449" s="61" t="n"/>
      <c r="C2449" s="61" t="n"/>
      <c r="D2449" s="61" t="n"/>
      <c r="E2449" s="61" t="n"/>
      <c r="F2449" s="55" t="n"/>
      <c r="G2449" s="56" t="n"/>
      <c r="H2449" s="55" t="n"/>
      <c r="I2449" s="62" t="n"/>
      <c r="J2449" s="58" t="n"/>
      <c r="K2449" s="63">
        <f>IF(tblMovement[[#This Row],[Source]]="","",IFERROR(INDEX(tblSources[Type],MATCH(tblMovement[[#This Row],[Source]],tblSources[Source],0)),"?"))</f>
        <v/>
      </c>
      <c r="L2449" s="63">
        <f>IF(tblMovement[[#This Row],[Destination]]="","",IFERROR(INDEX(tblDestinations[Type],MATCH(tblMovement[[#This Row],[Destination]],tblDestinations[Destination],0)),"?"))</f>
        <v/>
      </c>
      <c r="M2449" s="64">
        <f>IF(tblMovement[[#This Row],[Material]]="","",IF(LEFT(tblMovement[[#This Row],[Material]],3)="Ore",1,0))</f>
        <v/>
      </c>
      <c r="N2449" s="59">
        <f>IF(OR(tblMovement[[#This Row],[Tonnes_t]]="",tblMovement[[#This Row],[Grade_gpt]]=""),0,tblMovement[[#This Row],[Tonnes_t]]*tblMovement[[#This Row],[Grade_gpt]]/cfg_TroyOz)</f>
        <v/>
      </c>
      <c r="O2449" s="59">
        <f>IF(tblMovement[[#This Row],[Is_Ore]]=1,tblMovement[[#This Row],[Contained_oz]],0)</f>
        <v/>
      </c>
    </row>
    <row r="2450">
      <c r="A2450" s="54" t="n"/>
      <c r="B2450" s="61" t="n"/>
      <c r="C2450" s="61" t="n"/>
      <c r="D2450" s="61" t="n"/>
      <c r="E2450" s="61" t="n"/>
      <c r="F2450" s="55" t="n"/>
      <c r="G2450" s="56" t="n"/>
      <c r="H2450" s="55" t="n"/>
      <c r="I2450" s="62" t="n"/>
      <c r="J2450" s="58" t="n"/>
      <c r="K2450" s="63">
        <f>IF(tblMovement[[#This Row],[Source]]="","",IFERROR(INDEX(tblSources[Type],MATCH(tblMovement[[#This Row],[Source]],tblSources[Source],0)),"?"))</f>
        <v/>
      </c>
      <c r="L2450" s="63">
        <f>IF(tblMovement[[#This Row],[Destination]]="","",IFERROR(INDEX(tblDestinations[Type],MATCH(tblMovement[[#This Row],[Destination]],tblDestinations[Destination],0)),"?"))</f>
        <v/>
      </c>
      <c r="M2450" s="64">
        <f>IF(tblMovement[[#This Row],[Material]]="","",IF(LEFT(tblMovement[[#This Row],[Material]],3)="Ore",1,0))</f>
        <v/>
      </c>
      <c r="N2450" s="59">
        <f>IF(OR(tblMovement[[#This Row],[Tonnes_t]]="",tblMovement[[#This Row],[Grade_gpt]]=""),0,tblMovement[[#This Row],[Tonnes_t]]*tblMovement[[#This Row],[Grade_gpt]]/cfg_TroyOz)</f>
        <v/>
      </c>
      <c r="O2450" s="59">
        <f>IF(tblMovement[[#This Row],[Is_Ore]]=1,tblMovement[[#This Row],[Contained_oz]],0)</f>
        <v/>
      </c>
    </row>
    <row r="2451">
      <c r="A2451" s="54" t="n"/>
      <c r="B2451" s="61" t="n"/>
      <c r="C2451" s="61" t="n"/>
      <c r="D2451" s="61" t="n"/>
      <c r="E2451" s="61" t="n"/>
      <c r="F2451" s="55" t="n"/>
      <c r="G2451" s="56" t="n"/>
      <c r="H2451" s="55" t="n"/>
      <c r="I2451" s="62" t="n"/>
      <c r="J2451" s="58" t="n"/>
      <c r="K2451" s="63">
        <f>IF(tblMovement[[#This Row],[Source]]="","",IFERROR(INDEX(tblSources[Type],MATCH(tblMovement[[#This Row],[Source]],tblSources[Source],0)),"?"))</f>
        <v/>
      </c>
      <c r="L2451" s="63">
        <f>IF(tblMovement[[#This Row],[Destination]]="","",IFERROR(INDEX(tblDestinations[Type],MATCH(tblMovement[[#This Row],[Destination]],tblDestinations[Destination],0)),"?"))</f>
        <v/>
      </c>
      <c r="M2451" s="64">
        <f>IF(tblMovement[[#This Row],[Material]]="","",IF(LEFT(tblMovement[[#This Row],[Material]],3)="Ore",1,0))</f>
        <v/>
      </c>
      <c r="N2451" s="59">
        <f>IF(OR(tblMovement[[#This Row],[Tonnes_t]]="",tblMovement[[#This Row],[Grade_gpt]]=""),0,tblMovement[[#This Row],[Tonnes_t]]*tblMovement[[#This Row],[Grade_gpt]]/cfg_TroyOz)</f>
        <v/>
      </c>
      <c r="O2451" s="59">
        <f>IF(tblMovement[[#This Row],[Is_Ore]]=1,tblMovement[[#This Row],[Contained_oz]],0)</f>
        <v/>
      </c>
    </row>
    <row r="2452">
      <c r="A2452" s="54" t="n"/>
      <c r="B2452" s="61" t="n"/>
      <c r="C2452" s="61" t="n"/>
      <c r="D2452" s="61" t="n"/>
      <c r="E2452" s="61" t="n"/>
      <c r="F2452" s="55" t="n"/>
      <c r="G2452" s="56" t="n"/>
      <c r="H2452" s="55" t="n"/>
      <c r="I2452" s="62" t="n"/>
      <c r="J2452" s="58" t="n"/>
      <c r="K2452" s="63">
        <f>IF(tblMovement[[#This Row],[Source]]="","",IFERROR(INDEX(tblSources[Type],MATCH(tblMovement[[#This Row],[Source]],tblSources[Source],0)),"?"))</f>
        <v/>
      </c>
      <c r="L2452" s="63">
        <f>IF(tblMovement[[#This Row],[Destination]]="","",IFERROR(INDEX(tblDestinations[Type],MATCH(tblMovement[[#This Row],[Destination]],tblDestinations[Destination],0)),"?"))</f>
        <v/>
      </c>
      <c r="M2452" s="64">
        <f>IF(tblMovement[[#This Row],[Material]]="","",IF(LEFT(tblMovement[[#This Row],[Material]],3)="Ore",1,0))</f>
        <v/>
      </c>
      <c r="N2452" s="59">
        <f>IF(OR(tblMovement[[#This Row],[Tonnes_t]]="",tblMovement[[#This Row],[Grade_gpt]]=""),0,tblMovement[[#This Row],[Tonnes_t]]*tblMovement[[#This Row],[Grade_gpt]]/cfg_TroyOz)</f>
        <v/>
      </c>
      <c r="O2452" s="59">
        <f>IF(tblMovement[[#This Row],[Is_Ore]]=1,tblMovement[[#This Row],[Contained_oz]],0)</f>
        <v/>
      </c>
    </row>
    <row r="2453">
      <c r="A2453" s="54" t="n"/>
      <c r="B2453" s="61" t="n"/>
      <c r="C2453" s="61" t="n"/>
      <c r="D2453" s="61" t="n"/>
      <c r="E2453" s="61" t="n"/>
      <c r="F2453" s="55" t="n"/>
      <c r="G2453" s="56" t="n"/>
      <c r="H2453" s="55" t="n"/>
      <c r="I2453" s="62" t="n"/>
      <c r="J2453" s="58" t="n"/>
      <c r="K2453" s="63">
        <f>IF(tblMovement[[#This Row],[Source]]="","",IFERROR(INDEX(tblSources[Type],MATCH(tblMovement[[#This Row],[Source]],tblSources[Source],0)),"?"))</f>
        <v/>
      </c>
      <c r="L2453" s="63">
        <f>IF(tblMovement[[#This Row],[Destination]]="","",IFERROR(INDEX(tblDestinations[Type],MATCH(tblMovement[[#This Row],[Destination]],tblDestinations[Destination],0)),"?"))</f>
        <v/>
      </c>
      <c r="M2453" s="64">
        <f>IF(tblMovement[[#This Row],[Material]]="","",IF(LEFT(tblMovement[[#This Row],[Material]],3)="Ore",1,0))</f>
        <v/>
      </c>
      <c r="N2453" s="59">
        <f>IF(OR(tblMovement[[#This Row],[Tonnes_t]]="",tblMovement[[#This Row],[Grade_gpt]]=""),0,tblMovement[[#This Row],[Tonnes_t]]*tblMovement[[#This Row],[Grade_gpt]]/cfg_TroyOz)</f>
        <v/>
      </c>
      <c r="O2453" s="59">
        <f>IF(tblMovement[[#This Row],[Is_Ore]]=1,tblMovement[[#This Row],[Contained_oz]],0)</f>
        <v/>
      </c>
    </row>
    <row r="2454">
      <c r="A2454" s="54" t="n"/>
      <c r="B2454" s="61" t="n"/>
      <c r="C2454" s="61" t="n"/>
      <c r="D2454" s="61" t="n"/>
      <c r="E2454" s="61" t="n"/>
      <c r="F2454" s="55" t="n"/>
      <c r="G2454" s="56" t="n"/>
      <c r="H2454" s="55" t="n"/>
      <c r="I2454" s="62" t="n"/>
      <c r="J2454" s="58" t="n"/>
      <c r="K2454" s="63">
        <f>IF(tblMovement[[#This Row],[Source]]="","",IFERROR(INDEX(tblSources[Type],MATCH(tblMovement[[#This Row],[Source]],tblSources[Source],0)),"?"))</f>
        <v/>
      </c>
      <c r="L2454" s="63">
        <f>IF(tblMovement[[#This Row],[Destination]]="","",IFERROR(INDEX(tblDestinations[Type],MATCH(tblMovement[[#This Row],[Destination]],tblDestinations[Destination],0)),"?"))</f>
        <v/>
      </c>
      <c r="M2454" s="64">
        <f>IF(tblMovement[[#This Row],[Material]]="","",IF(LEFT(tblMovement[[#This Row],[Material]],3)="Ore",1,0))</f>
        <v/>
      </c>
      <c r="N2454" s="59">
        <f>IF(OR(tblMovement[[#This Row],[Tonnes_t]]="",tblMovement[[#This Row],[Grade_gpt]]=""),0,tblMovement[[#This Row],[Tonnes_t]]*tblMovement[[#This Row],[Grade_gpt]]/cfg_TroyOz)</f>
        <v/>
      </c>
      <c r="O2454" s="59">
        <f>IF(tblMovement[[#This Row],[Is_Ore]]=1,tblMovement[[#This Row],[Contained_oz]],0)</f>
        <v/>
      </c>
    </row>
    <row r="2455">
      <c r="A2455" s="54" t="n"/>
      <c r="B2455" s="61" t="n"/>
      <c r="C2455" s="61" t="n"/>
      <c r="D2455" s="61" t="n"/>
      <c r="E2455" s="61" t="n"/>
      <c r="F2455" s="55" t="n"/>
      <c r="G2455" s="56" t="n"/>
      <c r="H2455" s="55" t="n"/>
      <c r="I2455" s="62" t="n"/>
      <c r="J2455" s="58" t="n"/>
      <c r="K2455" s="63">
        <f>IF(tblMovement[[#This Row],[Source]]="","",IFERROR(INDEX(tblSources[Type],MATCH(tblMovement[[#This Row],[Source]],tblSources[Source],0)),"?"))</f>
        <v/>
      </c>
      <c r="L2455" s="63">
        <f>IF(tblMovement[[#This Row],[Destination]]="","",IFERROR(INDEX(tblDestinations[Type],MATCH(tblMovement[[#This Row],[Destination]],tblDestinations[Destination],0)),"?"))</f>
        <v/>
      </c>
      <c r="M2455" s="64">
        <f>IF(tblMovement[[#This Row],[Material]]="","",IF(LEFT(tblMovement[[#This Row],[Material]],3)="Ore",1,0))</f>
        <v/>
      </c>
      <c r="N2455" s="59">
        <f>IF(OR(tblMovement[[#This Row],[Tonnes_t]]="",tblMovement[[#This Row],[Grade_gpt]]=""),0,tblMovement[[#This Row],[Tonnes_t]]*tblMovement[[#This Row],[Grade_gpt]]/cfg_TroyOz)</f>
        <v/>
      </c>
      <c r="O2455" s="59">
        <f>IF(tblMovement[[#This Row],[Is_Ore]]=1,tblMovement[[#This Row],[Contained_oz]],0)</f>
        <v/>
      </c>
    </row>
    <row r="2456">
      <c r="A2456" s="54" t="n"/>
      <c r="B2456" s="61" t="n"/>
      <c r="C2456" s="61" t="n"/>
      <c r="D2456" s="61" t="n"/>
      <c r="E2456" s="61" t="n"/>
      <c r="F2456" s="55" t="n"/>
      <c r="G2456" s="56" t="n"/>
      <c r="H2456" s="55" t="n"/>
      <c r="I2456" s="62" t="n"/>
      <c r="J2456" s="58" t="n"/>
      <c r="K2456" s="63">
        <f>IF(tblMovement[[#This Row],[Source]]="","",IFERROR(INDEX(tblSources[Type],MATCH(tblMovement[[#This Row],[Source]],tblSources[Source],0)),"?"))</f>
        <v/>
      </c>
      <c r="L2456" s="63">
        <f>IF(tblMovement[[#This Row],[Destination]]="","",IFERROR(INDEX(tblDestinations[Type],MATCH(tblMovement[[#This Row],[Destination]],tblDestinations[Destination],0)),"?"))</f>
        <v/>
      </c>
      <c r="M2456" s="64">
        <f>IF(tblMovement[[#This Row],[Material]]="","",IF(LEFT(tblMovement[[#This Row],[Material]],3)="Ore",1,0))</f>
        <v/>
      </c>
      <c r="N2456" s="59">
        <f>IF(OR(tblMovement[[#This Row],[Tonnes_t]]="",tblMovement[[#This Row],[Grade_gpt]]=""),0,tblMovement[[#This Row],[Tonnes_t]]*tblMovement[[#This Row],[Grade_gpt]]/cfg_TroyOz)</f>
        <v/>
      </c>
      <c r="O2456" s="59">
        <f>IF(tblMovement[[#This Row],[Is_Ore]]=1,tblMovement[[#This Row],[Contained_oz]],0)</f>
        <v/>
      </c>
    </row>
    <row r="2457">
      <c r="A2457" s="54" t="n"/>
      <c r="B2457" s="61" t="n"/>
      <c r="C2457" s="61" t="n"/>
      <c r="D2457" s="61" t="n"/>
      <c r="E2457" s="61" t="n"/>
      <c r="F2457" s="55" t="n"/>
      <c r="G2457" s="56" t="n"/>
      <c r="H2457" s="55" t="n"/>
      <c r="I2457" s="62" t="n"/>
      <c r="J2457" s="58" t="n"/>
      <c r="K2457" s="63">
        <f>IF(tblMovement[[#This Row],[Source]]="","",IFERROR(INDEX(tblSources[Type],MATCH(tblMovement[[#This Row],[Source]],tblSources[Source],0)),"?"))</f>
        <v/>
      </c>
      <c r="L2457" s="63">
        <f>IF(tblMovement[[#This Row],[Destination]]="","",IFERROR(INDEX(tblDestinations[Type],MATCH(tblMovement[[#This Row],[Destination]],tblDestinations[Destination],0)),"?"))</f>
        <v/>
      </c>
      <c r="M2457" s="64">
        <f>IF(tblMovement[[#This Row],[Material]]="","",IF(LEFT(tblMovement[[#This Row],[Material]],3)="Ore",1,0))</f>
        <v/>
      </c>
      <c r="N2457" s="59">
        <f>IF(OR(tblMovement[[#This Row],[Tonnes_t]]="",tblMovement[[#This Row],[Grade_gpt]]=""),0,tblMovement[[#This Row],[Tonnes_t]]*tblMovement[[#This Row],[Grade_gpt]]/cfg_TroyOz)</f>
        <v/>
      </c>
      <c r="O2457" s="59">
        <f>IF(tblMovement[[#This Row],[Is_Ore]]=1,tblMovement[[#This Row],[Contained_oz]],0)</f>
        <v/>
      </c>
    </row>
    <row r="2458">
      <c r="A2458" s="54" t="n"/>
      <c r="B2458" s="61" t="n"/>
      <c r="C2458" s="61" t="n"/>
      <c r="D2458" s="61" t="n"/>
      <c r="E2458" s="61" t="n"/>
      <c r="F2458" s="55" t="n"/>
      <c r="G2458" s="56" t="n"/>
      <c r="H2458" s="55" t="n"/>
      <c r="I2458" s="62" t="n"/>
      <c r="J2458" s="58" t="n"/>
      <c r="K2458" s="63">
        <f>IF(tblMovement[[#This Row],[Source]]="","",IFERROR(INDEX(tblSources[Type],MATCH(tblMovement[[#This Row],[Source]],tblSources[Source],0)),"?"))</f>
        <v/>
      </c>
      <c r="L2458" s="63">
        <f>IF(tblMovement[[#This Row],[Destination]]="","",IFERROR(INDEX(tblDestinations[Type],MATCH(tblMovement[[#This Row],[Destination]],tblDestinations[Destination],0)),"?"))</f>
        <v/>
      </c>
      <c r="M2458" s="64">
        <f>IF(tblMovement[[#This Row],[Material]]="","",IF(LEFT(tblMovement[[#This Row],[Material]],3)="Ore",1,0))</f>
        <v/>
      </c>
      <c r="N2458" s="59">
        <f>IF(OR(tblMovement[[#This Row],[Tonnes_t]]="",tblMovement[[#This Row],[Grade_gpt]]=""),0,tblMovement[[#This Row],[Tonnes_t]]*tblMovement[[#This Row],[Grade_gpt]]/cfg_TroyOz)</f>
        <v/>
      </c>
      <c r="O2458" s="59">
        <f>IF(tblMovement[[#This Row],[Is_Ore]]=1,tblMovement[[#This Row],[Contained_oz]],0)</f>
        <v/>
      </c>
    </row>
    <row r="2459">
      <c r="A2459" s="54" t="n"/>
      <c r="B2459" s="61" t="n"/>
      <c r="C2459" s="61" t="n"/>
      <c r="D2459" s="61" t="n"/>
      <c r="E2459" s="61" t="n"/>
      <c r="F2459" s="55" t="n"/>
      <c r="G2459" s="56" t="n"/>
      <c r="H2459" s="55" t="n"/>
      <c r="I2459" s="62" t="n"/>
      <c r="J2459" s="58" t="n"/>
      <c r="K2459" s="63">
        <f>IF(tblMovement[[#This Row],[Source]]="","",IFERROR(INDEX(tblSources[Type],MATCH(tblMovement[[#This Row],[Source]],tblSources[Source],0)),"?"))</f>
        <v/>
      </c>
      <c r="L2459" s="63">
        <f>IF(tblMovement[[#This Row],[Destination]]="","",IFERROR(INDEX(tblDestinations[Type],MATCH(tblMovement[[#This Row],[Destination]],tblDestinations[Destination],0)),"?"))</f>
        <v/>
      </c>
      <c r="M2459" s="64">
        <f>IF(tblMovement[[#This Row],[Material]]="","",IF(LEFT(tblMovement[[#This Row],[Material]],3)="Ore",1,0))</f>
        <v/>
      </c>
      <c r="N2459" s="59">
        <f>IF(OR(tblMovement[[#This Row],[Tonnes_t]]="",tblMovement[[#This Row],[Grade_gpt]]=""),0,tblMovement[[#This Row],[Tonnes_t]]*tblMovement[[#This Row],[Grade_gpt]]/cfg_TroyOz)</f>
        <v/>
      </c>
      <c r="O2459" s="59">
        <f>IF(tblMovement[[#This Row],[Is_Ore]]=1,tblMovement[[#This Row],[Contained_oz]],0)</f>
        <v/>
      </c>
    </row>
    <row r="2460">
      <c r="A2460" s="54" t="n"/>
      <c r="B2460" s="61" t="n"/>
      <c r="C2460" s="61" t="n"/>
      <c r="D2460" s="61" t="n"/>
      <c r="E2460" s="61" t="n"/>
      <c r="F2460" s="55" t="n"/>
      <c r="G2460" s="56" t="n"/>
      <c r="H2460" s="55" t="n"/>
      <c r="I2460" s="62" t="n"/>
      <c r="J2460" s="58" t="n"/>
      <c r="K2460" s="63">
        <f>IF(tblMovement[[#This Row],[Source]]="","",IFERROR(INDEX(tblSources[Type],MATCH(tblMovement[[#This Row],[Source]],tblSources[Source],0)),"?"))</f>
        <v/>
      </c>
      <c r="L2460" s="63">
        <f>IF(tblMovement[[#This Row],[Destination]]="","",IFERROR(INDEX(tblDestinations[Type],MATCH(tblMovement[[#This Row],[Destination]],tblDestinations[Destination],0)),"?"))</f>
        <v/>
      </c>
      <c r="M2460" s="64">
        <f>IF(tblMovement[[#This Row],[Material]]="","",IF(LEFT(tblMovement[[#This Row],[Material]],3)="Ore",1,0))</f>
        <v/>
      </c>
      <c r="N2460" s="59">
        <f>IF(OR(tblMovement[[#This Row],[Tonnes_t]]="",tblMovement[[#This Row],[Grade_gpt]]=""),0,tblMovement[[#This Row],[Tonnes_t]]*tblMovement[[#This Row],[Grade_gpt]]/cfg_TroyOz)</f>
        <v/>
      </c>
      <c r="O2460" s="59">
        <f>IF(tblMovement[[#This Row],[Is_Ore]]=1,tblMovement[[#This Row],[Contained_oz]],0)</f>
        <v/>
      </c>
    </row>
    <row r="2461">
      <c r="A2461" s="54" t="n"/>
      <c r="B2461" s="61" t="n"/>
      <c r="C2461" s="61" t="n"/>
      <c r="D2461" s="61" t="n"/>
      <c r="E2461" s="61" t="n"/>
      <c r="F2461" s="55" t="n"/>
      <c r="G2461" s="56" t="n"/>
      <c r="H2461" s="55" t="n"/>
      <c r="I2461" s="62" t="n"/>
      <c r="J2461" s="58" t="n"/>
      <c r="K2461" s="63">
        <f>IF(tblMovement[[#This Row],[Source]]="","",IFERROR(INDEX(tblSources[Type],MATCH(tblMovement[[#This Row],[Source]],tblSources[Source],0)),"?"))</f>
        <v/>
      </c>
      <c r="L2461" s="63">
        <f>IF(tblMovement[[#This Row],[Destination]]="","",IFERROR(INDEX(tblDestinations[Type],MATCH(tblMovement[[#This Row],[Destination]],tblDestinations[Destination],0)),"?"))</f>
        <v/>
      </c>
      <c r="M2461" s="64">
        <f>IF(tblMovement[[#This Row],[Material]]="","",IF(LEFT(tblMovement[[#This Row],[Material]],3)="Ore",1,0))</f>
        <v/>
      </c>
      <c r="N2461" s="59">
        <f>IF(OR(tblMovement[[#This Row],[Tonnes_t]]="",tblMovement[[#This Row],[Grade_gpt]]=""),0,tblMovement[[#This Row],[Tonnes_t]]*tblMovement[[#This Row],[Grade_gpt]]/cfg_TroyOz)</f>
        <v/>
      </c>
      <c r="O2461" s="59">
        <f>IF(tblMovement[[#This Row],[Is_Ore]]=1,tblMovement[[#This Row],[Contained_oz]],0)</f>
        <v/>
      </c>
    </row>
    <row r="2462">
      <c r="A2462" s="54" t="n"/>
      <c r="B2462" s="61" t="n"/>
      <c r="C2462" s="61" t="n"/>
      <c r="D2462" s="61" t="n"/>
      <c r="E2462" s="61" t="n"/>
      <c r="F2462" s="55" t="n"/>
      <c r="G2462" s="56" t="n"/>
      <c r="H2462" s="55" t="n"/>
      <c r="I2462" s="62" t="n"/>
      <c r="J2462" s="58" t="n"/>
      <c r="K2462" s="63">
        <f>IF(tblMovement[[#This Row],[Source]]="","",IFERROR(INDEX(tblSources[Type],MATCH(tblMovement[[#This Row],[Source]],tblSources[Source],0)),"?"))</f>
        <v/>
      </c>
      <c r="L2462" s="63">
        <f>IF(tblMovement[[#This Row],[Destination]]="","",IFERROR(INDEX(tblDestinations[Type],MATCH(tblMovement[[#This Row],[Destination]],tblDestinations[Destination],0)),"?"))</f>
        <v/>
      </c>
      <c r="M2462" s="64">
        <f>IF(tblMovement[[#This Row],[Material]]="","",IF(LEFT(tblMovement[[#This Row],[Material]],3)="Ore",1,0))</f>
        <v/>
      </c>
      <c r="N2462" s="59">
        <f>IF(OR(tblMovement[[#This Row],[Tonnes_t]]="",tblMovement[[#This Row],[Grade_gpt]]=""),0,tblMovement[[#This Row],[Tonnes_t]]*tblMovement[[#This Row],[Grade_gpt]]/cfg_TroyOz)</f>
        <v/>
      </c>
      <c r="O2462" s="59">
        <f>IF(tblMovement[[#This Row],[Is_Ore]]=1,tblMovement[[#This Row],[Contained_oz]],0)</f>
        <v/>
      </c>
    </row>
    <row r="2463">
      <c r="A2463" s="54" t="n"/>
      <c r="B2463" s="61" t="n"/>
      <c r="C2463" s="61" t="n"/>
      <c r="D2463" s="61" t="n"/>
      <c r="E2463" s="61" t="n"/>
      <c r="F2463" s="55" t="n"/>
      <c r="G2463" s="56" t="n"/>
      <c r="H2463" s="55" t="n"/>
      <c r="I2463" s="62" t="n"/>
      <c r="J2463" s="58" t="n"/>
      <c r="K2463" s="63">
        <f>IF(tblMovement[[#This Row],[Source]]="","",IFERROR(INDEX(tblSources[Type],MATCH(tblMovement[[#This Row],[Source]],tblSources[Source],0)),"?"))</f>
        <v/>
      </c>
      <c r="L2463" s="63">
        <f>IF(tblMovement[[#This Row],[Destination]]="","",IFERROR(INDEX(tblDestinations[Type],MATCH(tblMovement[[#This Row],[Destination]],tblDestinations[Destination],0)),"?"))</f>
        <v/>
      </c>
      <c r="M2463" s="64">
        <f>IF(tblMovement[[#This Row],[Material]]="","",IF(LEFT(tblMovement[[#This Row],[Material]],3)="Ore",1,0))</f>
        <v/>
      </c>
      <c r="N2463" s="59">
        <f>IF(OR(tblMovement[[#This Row],[Tonnes_t]]="",tblMovement[[#This Row],[Grade_gpt]]=""),0,tblMovement[[#This Row],[Tonnes_t]]*tblMovement[[#This Row],[Grade_gpt]]/cfg_TroyOz)</f>
        <v/>
      </c>
      <c r="O2463" s="59">
        <f>IF(tblMovement[[#This Row],[Is_Ore]]=1,tblMovement[[#This Row],[Contained_oz]],0)</f>
        <v/>
      </c>
    </row>
    <row r="2464">
      <c r="A2464" s="54" t="n"/>
      <c r="B2464" s="61" t="n"/>
      <c r="C2464" s="61" t="n"/>
      <c r="D2464" s="61" t="n"/>
      <c r="E2464" s="61" t="n"/>
      <c r="F2464" s="55" t="n"/>
      <c r="G2464" s="56" t="n"/>
      <c r="H2464" s="55" t="n"/>
      <c r="I2464" s="62" t="n"/>
      <c r="J2464" s="58" t="n"/>
      <c r="K2464" s="63">
        <f>IF(tblMovement[[#This Row],[Source]]="","",IFERROR(INDEX(tblSources[Type],MATCH(tblMovement[[#This Row],[Source]],tblSources[Source],0)),"?"))</f>
        <v/>
      </c>
      <c r="L2464" s="63">
        <f>IF(tblMovement[[#This Row],[Destination]]="","",IFERROR(INDEX(tblDestinations[Type],MATCH(tblMovement[[#This Row],[Destination]],tblDestinations[Destination],0)),"?"))</f>
        <v/>
      </c>
      <c r="M2464" s="64">
        <f>IF(tblMovement[[#This Row],[Material]]="","",IF(LEFT(tblMovement[[#This Row],[Material]],3)="Ore",1,0))</f>
        <v/>
      </c>
      <c r="N2464" s="59">
        <f>IF(OR(tblMovement[[#This Row],[Tonnes_t]]="",tblMovement[[#This Row],[Grade_gpt]]=""),0,tblMovement[[#This Row],[Tonnes_t]]*tblMovement[[#This Row],[Grade_gpt]]/cfg_TroyOz)</f>
        <v/>
      </c>
      <c r="O2464" s="59">
        <f>IF(tblMovement[[#This Row],[Is_Ore]]=1,tblMovement[[#This Row],[Contained_oz]],0)</f>
        <v/>
      </c>
    </row>
    <row r="2465">
      <c r="A2465" s="54" t="n"/>
      <c r="B2465" s="61" t="n"/>
      <c r="C2465" s="61" t="n"/>
      <c r="D2465" s="61" t="n"/>
      <c r="E2465" s="61" t="n"/>
      <c r="F2465" s="55" t="n"/>
      <c r="G2465" s="56" t="n"/>
      <c r="H2465" s="55" t="n"/>
      <c r="I2465" s="62" t="n"/>
      <c r="J2465" s="58" t="n"/>
      <c r="K2465" s="63">
        <f>IF(tblMovement[[#This Row],[Source]]="","",IFERROR(INDEX(tblSources[Type],MATCH(tblMovement[[#This Row],[Source]],tblSources[Source],0)),"?"))</f>
        <v/>
      </c>
      <c r="L2465" s="63">
        <f>IF(tblMovement[[#This Row],[Destination]]="","",IFERROR(INDEX(tblDestinations[Type],MATCH(tblMovement[[#This Row],[Destination]],tblDestinations[Destination],0)),"?"))</f>
        <v/>
      </c>
      <c r="M2465" s="64">
        <f>IF(tblMovement[[#This Row],[Material]]="","",IF(LEFT(tblMovement[[#This Row],[Material]],3)="Ore",1,0))</f>
        <v/>
      </c>
      <c r="N2465" s="59">
        <f>IF(OR(tblMovement[[#This Row],[Tonnes_t]]="",tblMovement[[#This Row],[Grade_gpt]]=""),0,tblMovement[[#This Row],[Tonnes_t]]*tblMovement[[#This Row],[Grade_gpt]]/cfg_TroyOz)</f>
        <v/>
      </c>
      <c r="O2465" s="59">
        <f>IF(tblMovement[[#This Row],[Is_Ore]]=1,tblMovement[[#This Row],[Contained_oz]],0)</f>
        <v/>
      </c>
    </row>
    <row r="2466">
      <c r="A2466" s="54" t="n"/>
      <c r="B2466" s="61" t="n"/>
      <c r="C2466" s="61" t="n"/>
      <c r="D2466" s="61" t="n"/>
      <c r="E2466" s="61" t="n"/>
      <c r="F2466" s="55" t="n"/>
      <c r="G2466" s="56" t="n"/>
      <c r="H2466" s="55" t="n"/>
      <c r="I2466" s="62" t="n"/>
      <c r="J2466" s="58" t="n"/>
      <c r="K2466" s="63">
        <f>IF(tblMovement[[#This Row],[Source]]="","",IFERROR(INDEX(tblSources[Type],MATCH(tblMovement[[#This Row],[Source]],tblSources[Source],0)),"?"))</f>
        <v/>
      </c>
      <c r="L2466" s="63">
        <f>IF(tblMovement[[#This Row],[Destination]]="","",IFERROR(INDEX(tblDestinations[Type],MATCH(tblMovement[[#This Row],[Destination]],tblDestinations[Destination],0)),"?"))</f>
        <v/>
      </c>
      <c r="M2466" s="64">
        <f>IF(tblMovement[[#This Row],[Material]]="","",IF(LEFT(tblMovement[[#This Row],[Material]],3)="Ore",1,0))</f>
        <v/>
      </c>
      <c r="N2466" s="59">
        <f>IF(OR(tblMovement[[#This Row],[Tonnes_t]]="",tblMovement[[#This Row],[Grade_gpt]]=""),0,tblMovement[[#This Row],[Tonnes_t]]*tblMovement[[#This Row],[Grade_gpt]]/cfg_TroyOz)</f>
        <v/>
      </c>
      <c r="O2466" s="59">
        <f>IF(tblMovement[[#This Row],[Is_Ore]]=1,tblMovement[[#This Row],[Contained_oz]],0)</f>
        <v/>
      </c>
    </row>
    <row r="2467">
      <c r="A2467" s="54" t="n"/>
      <c r="B2467" s="61" t="n"/>
      <c r="C2467" s="61" t="n"/>
      <c r="D2467" s="61" t="n"/>
      <c r="E2467" s="61" t="n"/>
      <c r="F2467" s="55" t="n"/>
      <c r="G2467" s="56" t="n"/>
      <c r="H2467" s="55" t="n"/>
      <c r="I2467" s="62" t="n"/>
      <c r="J2467" s="58" t="n"/>
      <c r="K2467" s="63">
        <f>IF(tblMovement[[#This Row],[Source]]="","",IFERROR(INDEX(tblSources[Type],MATCH(tblMovement[[#This Row],[Source]],tblSources[Source],0)),"?"))</f>
        <v/>
      </c>
      <c r="L2467" s="63">
        <f>IF(tblMovement[[#This Row],[Destination]]="","",IFERROR(INDEX(tblDestinations[Type],MATCH(tblMovement[[#This Row],[Destination]],tblDestinations[Destination],0)),"?"))</f>
        <v/>
      </c>
      <c r="M2467" s="64">
        <f>IF(tblMovement[[#This Row],[Material]]="","",IF(LEFT(tblMovement[[#This Row],[Material]],3)="Ore",1,0))</f>
        <v/>
      </c>
      <c r="N2467" s="59">
        <f>IF(OR(tblMovement[[#This Row],[Tonnes_t]]="",tblMovement[[#This Row],[Grade_gpt]]=""),0,tblMovement[[#This Row],[Tonnes_t]]*tblMovement[[#This Row],[Grade_gpt]]/cfg_TroyOz)</f>
        <v/>
      </c>
      <c r="O2467" s="59">
        <f>IF(tblMovement[[#This Row],[Is_Ore]]=1,tblMovement[[#This Row],[Contained_oz]],0)</f>
        <v/>
      </c>
    </row>
    <row r="2468">
      <c r="A2468" s="54" t="n"/>
      <c r="B2468" s="61" t="n"/>
      <c r="C2468" s="61" t="n"/>
      <c r="D2468" s="61" t="n"/>
      <c r="E2468" s="61" t="n"/>
      <c r="F2468" s="55" t="n"/>
      <c r="G2468" s="56" t="n"/>
      <c r="H2468" s="55" t="n"/>
      <c r="I2468" s="62" t="n"/>
      <c r="J2468" s="58" t="n"/>
      <c r="K2468" s="63">
        <f>IF(tblMovement[[#This Row],[Source]]="","",IFERROR(INDEX(tblSources[Type],MATCH(tblMovement[[#This Row],[Source]],tblSources[Source],0)),"?"))</f>
        <v/>
      </c>
      <c r="L2468" s="63">
        <f>IF(tblMovement[[#This Row],[Destination]]="","",IFERROR(INDEX(tblDestinations[Type],MATCH(tblMovement[[#This Row],[Destination]],tblDestinations[Destination],0)),"?"))</f>
        <v/>
      </c>
      <c r="M2468" s="64">
        <f>IF(tblMovement[[#This Row],[Material]]="","",IF(LEFT(tblMovement[[#This Row],[Material]],3)="Ore",1,0))</f>
        <v/>
      </c>
      <c r="N2468" s="59">
        <f>IF(OR(tblMovement[[#This Row],[Tonnes_t]]="",tblMovement[[#This Row],[Grade_gpt]]=""),0,tblMovement[[#This Row],[Tonnes_t]]*tblMovement[[#This Row],[Grade_gpt]]/cfg_TroyOz)</f>
        <v/>
      </c>
      <c r="O2468" s="59">
        <f>IF(tblMovement[[#This Row],[Is_Ore]]=1,tblMovement[[#This Row],[Contained_oz]],0)</f>
        <v/>
      </c>
    </row>
    <row r="2469">
      <c r="A2469" s="54" t="n"/>
      <c r="B2469" s="61" t="n"/>
      <c r="C2469" s="61" t="n"/>
      <c r="D2469" s="61" t="n"/>
      <c r="E2469" s="61" t="n"/>
      <c r="F2469" s="55" t="n"/>
      <c r="G2469" s="56" t="n"/>
      <c r="H2469" s="55" t="n"/>
      <c r="I2469" s="62" t="n"/>
      <c r="J2469" s="58" t="n"/>
      <c r="K2469" s="63">
        <f>IF(tblMovement[[#This Row],[Source]]="","",IFERROR(INDEX(tblSources[Type],MATCH(tblMovement[[#This Row],[Source]],tblSources[Source],0)),"?"))</f>
        <v/>
      </c>
      <c r="L2469" s="63">
        <f>IF(tblMovement[[#This Row],[Destination]]="","",IFERROR(INDEX(tblDestinations[Type],MATCH(tblMovement[[#This Row],[Destination]],tblDestinations[Destination],0)),"?"))</f>
        <v/>
      </c>
      <c r="M2469" s="64">
        <f>IF(tblMovement[[#This Row],[Material]]="","",IF(LEFT(tblMovement[[#This Row],[Material]],3)="Ore",1,0))</f>
        <v/>
      </c>
      <c r="N2469" s="59">
        <f>IF(OR(tblMovement[[#This Row],[Tonnes_t]]="",tblMovement[[#This Row],[Grade_gpt]]=""),0,tblMovement[[#This Row],[Tonnes_t]]*tblMovement[[#This Row],[Grade_gpt]]/cfg_TroyOz)</f>
        <v/>
      </c>
      <c r="O2469" s="59">
        <f>IF(tblMovement[[#This Row],[Is_Ore]]=1,tblMovement[[#This Row],[Contained_oz]],0)</f>
        <v/>
      </c>
    </row>
    <row r="2470">
      <c r="A2470" s="54" t="n"/>
      <c r="B2470" s="61" t="n"/>
      <c r="C2470" s="61" t="n"/>
      <c r="D2470" s="61" t="n"/>
      <c r="E2470" s="61" t="n"/>
      <c r="F2470" s="55" t="n"/>
      <c r="G2470" s="56" t="n"/>
      <c r="H2470" s="55" t="n"/>
      <c r="I2470" s="62" t="n"/>
      <c r="J2470" s="58" t="n"/>
      <c r="K2470" s="63">
        <f>IF(tblMovement[[#This Row],[Source]]="","",IFERROR(INDEX(tblSources[Type],MATCH(tblMovement[[#This Row],[Source]],tblSources[Source],0)),"?"))</f>
        <v/>
      </c>
      <c r="L2470" s="63">
        <f>IF(tblMovement[[#This Row],[Destination]]="","",IFERROR(INDEX(tblDestinations[Type],MATCH(tblMovement[[#This Row],[Destination]],tblDestinations[Destination],0)),"?"))</f>
        <v/>
      </c>
      <c r="M2470" s="64">
        <f>IF(tblMovement[[#This Row],[Material]]="","",IF(LEFT(tblMovement[[#This Row],[Material]],3)="Ore",1,0))</f>
        <v/>
      </c>
      <c r="N2470" s="59">
        <f>IF(OR(tblMovement[[#This Row],[Tonnes_t]]="",tblMovement[[#This Row],[Grade_gpt]]=""),0,tblMovement[[#This Row],[Tonnes_t]]*tblMovement[[#This Row],[Grade_gpt]]/cfg_TroyOz)</f>
        <v/>
      </c>
      <c r="O2470" s="59">
        <f>IF(tblMovement[[#This Row],[Is_Ore]]=1,tblMovement[[#This Row],[Contained_oz]],0)</f>
        <v/>
      </c>
    </row>
    <row r="2471">
      <c r="A2471" s="54" t="n"/>
      <c r="B2471" s="61" t="n"/>
      <c r="C2471" s="61" t="n"/>
      <c r="D2471" s="61" t="n"/>
      <c r="E2471" s="61" t="n"/>
      <c r="F2471" s="55" t="n"/>
      <c r="G2471" s="56" t="n"/>
      <c r="H2471" s="55" t="n"/>
      <c r="I2471" s="62" t="n"/>
      <c r="J2471" s="58" t="n"/>
      <c r="K2471" s="63">
        <f>IF(tblMovement[[#This Row],[Source]]="","",IFERROR(INDEX(tblSources[Type],MATCH(tblMovement[[#This Row],[Source]],tblSources[Source],0)),"?"))</f>
        <v/>
      </c>
      <c r="L2471" s="63">
        <f>IF(tblMovement[[#This Row],[Destination]]="","",IFERROR(INDEX(tblDestinations[Type],MATCH(tblMovement[[#This Row],[Destination]],tblDestinations[Destination],0)),"?"))</f>
        <v/>
      </c>
      <c r="M2471" s="64">
        <f>IF(tblMovement[[#This Row],[Material]]="","",IF(LEFT(tblMovement[[#This Row],[Material]],3)="Ore",1,0))</f>
        <v/>
      </c>
      <c r="N2471" s="59">
        <f>IF(OR(tblMovement[[#This Row],[Tonnes_t]]="",tblMovement[[#This Row],[Grade_gpt]]=""),0,tblMovement[[#This Row],[Tonnes_t]]*tblMovement[[#This Row],[Grade_gpt]]/cfg_TroyOz)</f>
        <v/>
      </c>
      <c r="O2471" s="59">
        <f>IF(tblMovement[[#This Row],[Is_Ore]]=1,tblMovement[[#This Row],[Contained_oz]],0)</f>
        <v/>
      </c>
    </row>
    <row r="2472">
      <c r="A2472" s="54" t="n"/>
      <c r="B2472" s="61" t="n"/>
      <c r="C2472" s="61" t="n"/>
      <c r="D2472" s="61" t="n"/>
      <c r="E2472" s="61" t="n"/>
      <c r="F2472" s="55" t="n"/>
      <c r="G2472" s="56" t="n"/>
      <c r="H2472" s="55" t="n"/>
      <c r="I2472" s="62" t="n"/>
      <c r="J2472" s="58" t="n"/>
      <c r="K2472" s="63">
        <f>IF(tblMovement[[#This Row],[Source]]="","",IFERROR(INDEX(tblSources[Type],MATCH(tblMovement[[#This Row],[Source]],tblSources[Source],0)),"?"))</f>
        <v/>
      </c>
      <c r="L2472" s="63">
        <f>IF(tblMovement[[#This Row],[Destination]]="","",IFERROR(INDEX(tblDestinations[Type],MATCH(tblMovement[[#This Row],[Destination]],tblDestinations[Destination],0)),"?"))</f>
        <v/>
      </c>
      <c r="M2472" s="64">
        <f>IF(tblMovement[[#This Row],[Material]]="","",IF(LEFT(tblMovement[[#This Row],[Material]],3)="Ore",1,0))</f>
        <v/>
      </c>
      <c r="N2472" s="59">
        <f>IF(OR(tblMovement[[#This Row],[Tonnes_t]]="",tblMovement[[#This Row],[Grade_gpt]]=""),0,tblMovement[[#This Row],[Tonnes_t]]*tblMovement[[#This Row],[Grade_gpt]]/cfg_TroyOz)</f>
        <v/>
      </c>
      <c r="O2472" s="59">
        <f>IF(tblMovement[[#This Row],[Is_Ore]]=1,tblMovement[[#This Row],[Contained_oz]],0)</f>
        <v/>
      </c>
    </row>
    <row r="2473">
      <c r="A2473" s="54" t="n"/>
      <c r="B2473" s="61" t="n"/>
      <c r="C2473" s="61" t="n"/>
      <c r="D2473" s="61" t="n"/>
      <c r="E2473" s="61" t="n"/>
      <c r="F2473" s="55" t="n"/>
      <c r="G2473" s="56" t="n"/>
      <c r="H2473" s="55" t="n"/>
      <c r="I2473" s="62" t="n"/>
      <c r="J2473" s="58" t="n"/>
      <c r="K2473" s="63">
        <f>IF(tblMovement[[#This Row],[Source]]="","",IFERROR(INDEX(tblSources[Type],MATCH(tblMovement[[#This Row],[Source]],tblSources[Source],0)),"?"))</f>
        <v/>
      </c>
      <c r="L2473" s="63">
        <f>IF(tblMovement[[#This Row],[Destination]]="","",IFERROR(INDEX(tblDestinations[Type],MATCH(tblMovement[[#This Row],[Destination]],tblDestinations[Destination],0)),"?"))</f>
        <v/>
      </c>
      <c r="M2473" s="64">
        <f>IF(tblMovement[[#This Row],[Material]]="","",IF(LEFT(tblMovement[[#This Row],[Material]],3)="Ore",1,0))</f>
        <v/>
      </c>
      <c r="N2473" s="59">
        <f>IF(OR(tblMovement[[#This Row],[Tonnes_t]]="",tblMovement[[#This Row],[Grade_gpt]]=""),0,tblMovement[[#This Row],[Tonnes_t]]*tblMovement[[#This Row],[Grade_gpt]]/cfg_TroyOz)</f>
        <v/>
      </c>
      <c r="O2473" s="59">
        <f>IF(tblMovement[[#This Row],[Is_Ore]]=1,tblMovement[[#This Row],[Contained_oz]],0)</f>
        <v/>
      </c>
    </row>
    <row r="2474">
      <c r="A2474" s="54" t="n"/>
      <c r="B2474" s="61" t="n"/>
      <c r="C2474" s="61" t="n"/>
      <c r="D2474" s="61" t="n"/>
      <c r="E2474" s="61" t="n"/>
      <c r="F2474" s="55" t="n"/>
      <c r="G2474" s="56" t="n"/>
      <c r="H2474" s="55" t="n"/>
      <c r="I2474" s="62" t="n"/>
      <c r="J2474" s="58" t="n"/>
      <c r="K2474" s="63">
        <f>IF(tblMovement[[#This Row],[Source]]="","",IFERROR(INDEX(tblSources[Type],MATCH(tblMovement[[#This Row],[Source]],tblSources[Source],0)),"?"))</f>
        <v/>
      </c>
      <c r="L2474" s="63">
        <f>IF(tblMovement[[#This Row],[Destination]]="","",IFERROR(INDEX(tblDestinations[Type],MATCH(tblMovement[[#This Row],[Destination]],tblDestinations[Destination],0)),"?"))</f>
        <v/>
      </c>
      <c r="M2474" s="64">
        <f>IF(tblMovement[[#This Row],[Material]]="","",IF(LEFT(tblMovement[[#This Row],[Material]],3)="Ore",1,0))</f>
        <v/>
      </c>
      <c r="N2474" s="59">
        <f>IF(OR(tblMovement[[#This Row],[Tonnes_t]]="",tblMovement[[#This Row],[Grade_gpt]]=""),0,tblMovement[[#This Row],[Tonnes_t]]*tblMovement[[#This Row],[Grade_gpt]]/cfg_TroyOz)</f>
        <v/>
      </c>
      <c r="O2474" s="59">
        <f>IF(tblMovement[[#This Row],[Is_Ore]]=1,tblMovement[[#This Row],[Contained_oz]],0)</f>
        <v/>
      </c>
    </row>
    <row r="2475">
      <c r="A2475" s="54" t="n"/>
      <c r="B2475" s="61" t="n"/>
      <c r="C2475" s="61" t="n"/>
      <c r="D2475" s="61" t="n"/>
      <c r="E2475" s="61" t="n"/>
      <c r="F2475" s="55" t="n"/>
      <c r="G2475" s="56" t="n"/>
      <c r="H2475" s="55" t="n"/>
      <c r="I2475" s="62" t="n"/>
      <c r="J2475" s="58" t="n"/>
      <c r="K2475" s="63">
        <f>IF(tblMovement[[#This Row],[Source]]="","",IFERROR(INDEX(tblSources[Type],MATCH(tblMovement[[#This Row],[Source]],tblSources[Source],0)),"?"))</f>
        <v/>
      </c>
      <c r="L2475" s="63">
        <f>IF(tblMovement[[#This Row],[Destination]]="","",IFERROR(INDEX(tblDestinations[Type],MATCH(tblMovement[[#This Row],[Destination]],tblDestinations[Destination],0)),"?"))</f>
        <v/>
      </c>
      <c r="M2475" s="64">
        <f>IF(tblMovement[[#This Row],[Material]]="","",IF(LEFT(tblMovement[[#This Row],[Material]],3)="Ore",1,0))</f>
        <v/>
      </c>
      <c r="N2475" s="59">
        <f>IF(OR(tblMovement[[#This Row],[Tonnes_t]]="",tblMovement[[#This Row],[Grade_gpt]]=""),0,tblMovement[[#This Row],[Tonnes_t]]*tblMovement[[#This Row],[Grade_gpt]]/cfg_TroyOz)</f>
        <v/>
      </c>
      <c r="O2475" s="59">
        <f>IF(tblMovement[[#This Row],[Is_Ore]]=1,tblMovement[[#This Row],[Contained_oz]],0)</f>
        <v/>
      </c>
    </row>
    <row r="2476">
      <c r="A2476" s="54" t="n"/>
      <c r="B2476" s="61" t="n"/>
      <c r="C2476" s="61" t="n"/>
      <c r="D2476" s="61" t="n"/>
      <c r="E2476" s="61" t="n"/>
      <c r="F2476" s="55" t="n"/>
      <c r="G2476" s="56" t="n"/>
      <c r="H2476" s="55" t="n"/>
      <c r="I2476" s="62" t="n"/>
      <c r="J2476" s="58" t="n"/>
      <c r="K2476" s="63">
        <f>IF(tblMovement[[#This Row],[Source]]="","",IFERROR(INDEX(tblSources[Type],MATCH(tblMovement[[#This Row],[Source]],tblSources[Source],0)),"?"))</f>
        <v/>
      </c>
      <c r="L2476" s="63">
        <f>IF(tblMovement[[#This Row],[Destination]]="","",IFERROR(INDEX(tblDestinations[Type],MATCH(tblMovement[[#This Row],[Destination]],tblDestinations[Destination],0)),"?"))</f>
        <v/>
      </c>
      <c r="M2476" s="64">
        <f>IF(tblMovement[[#This Row],[Material]]="","",IF(LEFT(tblMovement[[#This Row],[Material]],3)="Ore",1,0))</f>
        <v/>
      </c>
      <c r="N2476" s="59">
        <f>IF(OR(tblMovement[[#This Row],[Tonnes_t]]="",tblMovement[[#This Row],[Grade_gpt]]=""),0,tblMovement[[#This Row],[Tonnes_t]]*tblMovement[[#This Row],[Grade_gpt]]/cfg_TroyOz)</f>
        <v/>
      </c>
      <c r="O2476" s="59">
        <f>IF(tblMovement[[#This Row],[Is_Ore]]=1,tblMovement[[#This Row],[Contained_oz]],0)</f>
        <v/>
      </c>
    </row>
    <row r="2477">
      <c r="A2477" s="54" t="n"/>
      <c r="B2477" s="61" t="n"/>
      <c r="C2477" s="61" t="n"/>
      <c r="D2477" s="61" t="n"/>
      <c r="E2477" s="61" t="n"/>
      <c r="F2477" s="55" t="n"/>
      <c r="G2477" s="56" t="n"/>
      <c r="H2477" s="55" t="n"/>
      <c r="I2477" s="62" t="n"/>
      <c r="J2477" s="58" t="n"/>
      <c r="K2477" s="63">
        <f>IF(tblMovement[[#This Row],[Source]]="","",IFERROR(INDEX(tblSources[Type],MATCH(tblMovement[[#This Row],[Source]],tblSources[Source],0)),"?"))</f>
        <v/>
      </c>
      <c r="L2477" s="63">
        <f>IF(tblMovement[[#This Row],[Destination]]="","",IFERROR(INDEX(tblDestinations[Type],MATCH(tblMovement[[#This Row],[Destination]],tblDestinations[Destination],0)),"?"))</f>
        <v/>
      </c>
      <c r="M2477" s="64">
        <f>IF(tblMovement[[#This Row],[Material]]="","",IF(LEFT(tblMovement[[#This Row],[Material]],3)="Ore",1,0))</f>
        <v/>
      </c>
      <c r="N2477" s="59">
        <f>IF(OR(tblMovement[[#This Row],[Tonnes_t]]="",tblMovement[[#This Row],[Grade_gpt]]=""),0,tblMovement[[#This Row],[Tonnes_t]]*tblMovement[[#This Row],[Grade_gpt]]/cfg_TroyOz)</f>
        <v/>
      </c>
      <c r="O2477" s="59">
        <f>IF(tblMovement[[#This Row],[Is_Ore]]=1,tblMovement[[#This Row],[Contained_oz]],0)</f>
        <v/>
      </c>
    </row>
    <row r="2478">
      <c r="A2478" s="54" t="n"/>
      <c r="B2478" s="61" t="n"/>
      <c r="C2478" s="61" t="n"/>
      <c r="D2478" s="61" t="n"/>
      <c r="E2478" s="61" t="n"/>
      <c r="F2478" s="55" t="n"/>
      <c r="G2478" s="56" t="n"/>
      <c r="H2478" s="55" t="n"/>
      <c r="I2478" s="62" t="n"/>
      <c r="J2478" s="58" t="n"/>
      <c r="K2478" s="63">
        <f>IF(tblMovement[[#This Row],[Source]]="","",IFERROR(INDEX(tblSources[Type],MATCH(tblMovement[[#This Row],[Source]],tblSources[Source],0)),"?"))</f>
        <v/>
      </c>
      <c r="L2478" s="63">
        <f>IF(tblMovement[[#This Row],[Destination]]="","",IFERROR(INDEX(tblDestinations[Type],MATCH(tblMovement[[#This Row],[Destination]],tblDestinations[Destination],0)),"?"))</f>
        <v/>
      </c>
      <c r="M2478" s="64">
        <f>IF(tblMovement[[#This Row],[Material]]="","",IF(LEFT(tblMovement[[#This Row],[Material]],3)="Ore",1,0))</f>
        <v/>
      </c>
      <c r="N2478" s="59">
        <f>IF(OR(tblMovement[[#This Row],[Tonnes_t]]="",tblMovement[[#This Row],[Grade_gpt]]=""),0,tblMovement[[#This Row],[Tonnes_t]]*tblMovement[[#This Row],[Grade_gpt]]/cfg_TroyOz)</f>
        <v/>
      </c>
      <c r="O2478" s="59">
        <f>IF(tblMovement[[#This Row],[Is_Ore]]=1,tblMovement[[#This Row],[Contained_oz]],0)</f>
        <v/>
      </c>
    </row>
    <row r="2479">
      <c r="A2479" s="54" t="n"/>
      <c r="B2479" s="61" t="n"/>
      <c r="C2479" s="61" t="n"/>
      <c r="D2479" s="61" t="n"/>
      <c r="E2479" s="61" t="n"/>
      <c r="F2479" s="55" t="n"/>
      <c r="G2479" s="56" t="n"/>
      <c r="H2479" s="55" t="n"/>
      <c r="I2479" s="62" t="n"/>
      <c r="J2479" s="58" t="n"/>
      <c r="K2479" s="63">
        <f>IF(tblMovement[[#This Row],[Source]]="","",IFERROR(INDEX(tblSources[Type],MATCH(tblMovement[[#This Row],[Source]],tblSources[Source],0)),"?"))</f>
        <v/>
      </c>
      <c r="L2479" s="63">
        <f>IF(tblMovement[[#This Row],[Destination]]="","",IFERROR(INDEX(tblDestinations[Type],MATCH(tblMovement[[#This Row],[Destination]],tblDestinations[Destination],0)),"?"))</f>
        <v/>
      </c>
      <c r="M2479" s="64">
        <f>IF(tblMovement[[#This Row],[Material]]="","",IF(LEFT(tblMovement[[#This Row],[Material]],3)="Ore",1,0))</f>
        <v/>
      </c>
      <c r="N2479" s="59">
        <f>IF(OR(tblMovement[[#This Row],[Tonnes_t]]="",tblMovement[[#This Row],[Grade_gpt]]=""),0,tblMovement[[#This Row],[Tonnes_t]]*tblMovement[[#This Row],[Grade_gpt]]/cfg_TroyOz)</f>
        <v/>
      </c>
      <c r="O2479" s="59">
        <f>IF(tblMovement[[#This Row],[Is_Ore]]=1,tblMovement[[#This Row],[Contained_oz]],0)</f>
        <v/>
      </c>
    </row>
    <row r="2480">
      <c r="A2480" s="54" t="n"/>
      <c r="B2480" s="61" t="n"/>
      <c r="C2480" s="61" t="n"/>
      <c r="D2480" s="61" t="n"/>
      <c r="E2480" s="61" t="n"/>
      <c r="F2480" s="55" t="n"/>
      <c r="G2480" s="56" t="n"/>
      <c r="H2480" s="55" t="n"/>
      <c r="I2480" s="62" t="n"/>
      <c r="J2480" s="58" t="n"/>
      <c r="K2480" s="63">
        <f>IF(tblMovement[[#This Row],[Source]]="","",IFERROR(INDEX(tblSources[Type],MATCH(tblMovement[[#This Row],[Source]],tblSources[Source],0)),"?"))</f>
        <v/>
      </c>
      <c r="L2480" s="63">
        <f>IF(tblMovement[[#This Row],[Destination]]="","",IFERROR(INDEX(tblDestinations[Type],MATCH(tblMovement[[#This Row],[Destination]],tblDestinations[Destination],0)),"?"))</f>
        <v/>
      </c>
      <c r="M2480" s="64">
        <f>IF(tblMovement[[#This Row],[Material]]="","",IF(LEFT(tblMovement[[#This Row],[Material]],3)="Ore",1,0))</f>
        <v/>
      </c>
      <c r="N2480" s="59">
        <f>IF(OR(tblMovement[[#This Row],[Tonnes_t]]="",tblMovement[[#This Row],[Grade_gpt]]=""),0,tblMovement[[#This Row],[Tonnes_t]]*tblMovement[[#This Row],[Grade_gpt]]/cfg_TroyOz)</f>
        <v/>
      </c>
      <c r="O2480" s="59">
        <f>IF(tblMovement[[#This Row],[Is_Ore]]=1,tblMovement[[#This Row],[Contained_oz]],0)</f>
        <v/>
      </c>
    </row>
    <row r="2481">
      <c r="A2481" s="54" t="n"/>
      <c r="B2481" s="61" t="n"/>
      <c r="C2481" s="61" t="n"/>
      <c r="D2481" s="61" t="n"/>
      <c r="E2481" s="61" t="n"/>
      <c r="F2481" s="55" t="n"/>
      <c r="G2481" s="56" t="n"/>
      <c r="H2481" s="55" t="n"/>
      <c r="I2481" s="62" t="n"/>
      <c r="J2481" s="58" t="n"/>
      <c r="K2481" s="63">
        <f>IF(tblMovement[[#This Row],[Source]]="","",IFERROR(INDEX(tblSources[Type],MATCH(tblMovement[[#This Row],[Source]],tblSources[Source],0)),"?"))</f>
        <v/>
      </c>
      <c r="L2481" s="63">
        <f>IF(tblMovement[[#This Row],[Destination]]="","",IFERROR(INDEX(tblDestinations[Type],MATCH(tblMovement[[#This Row],[Destination]],tblDestinations[Destination],0)),"?"))</f>
        <v/>
      </c>
      <c r="M2481" s="64">
        <f>IF(tblMovement[[#This Row],[Material]]="","",IF(LEFT(tblMovement[[#This Row],[Material]],3)="Ore",1,0))</f>
        <v/>
      </c>
      <c r="N2481" s="59">
        <f>IF(OR(tblMovement[[#This Row],[Tonnes_t]]="",tblMovement[[#This Row],[Grade_gpt]]=""),0,tblMovement[[#This Row],[Tonnes_t]]*tblMovement[[#This Row],[Grade_gpt]]/cfg_TroyOz)</f>
        <v/>
      </c>
      <c r="O2481" s="59">
        <f>IF(tblMovement[[#This Row],[Is_Ore]]=1,tblMovement[[#This Row],[Contained_oz]],0)</f>
        <v/>
      </c>
    </row>
    <row r="2482">
      <c r="A2482" s="54" t="n"/>
      <c r="B2482" s="61" t="n"/>
      <c r="C2482" s="61" t="n"/>
      <c r="D2482" s="61" t="n"/>
      <c r="E2482" s="61" t="n"/>
      <c r="F2482" s="55" t="n"/>
      <c r="G2482" s="56" t="n"/>
      <c r="H2482" s="55" t="n"/>
      <c r="I2482" s="62" t="n"/>
      <c r="J2482" s="58" t="n"/>
      <c r="K2482" s="63">
        <f>IF(tblMovement[[#This Row],[Source]]="","",IFERROR(INDEX(tblSources[Type],MATCH(tblMovement[[#This Row],[Source]],tblSources[Source],0)),"?"))</f>
        <v/>
      </c>
      <c r="L2482" s="63">
        <f>IF(tblMovement[[#This Row],[Destination]]="","",IFERROR(INDEX(tblDestinations[Type],MATCH(tblMovement[[#This Row],[Destination]],tblDestinations[Destination],0)),"?"))</f>
        <v/>
      </c>
      <c r="M2482" s="64">
        <f>IF(tblMovement[[#This Row],[Material]]="","",IF(LEFT(tblMovement[[#This Row],[Material]],3)="Ore",1,0))</f>
        <v/>
      </c>
      <c r="N2482" s="59">
        <f>IF(OR(tblMovement[[#This Row],[Tonnes_t]]="",tblMovement[[#This Row],[Grade_gpt]]=""),0,tblMovement[[#This Row],[Tonnes_t]]*tblMovement[[#This Row],[Grade_gpt]]/cfg_TroyOz)</f>
        <v/>
      </c>
      <c r="O2482" s="59">
        <f>IF(tblMovement[[#This Row],[Is_Ore]]=1,tblMovement[[#This Row],[Contained_oz]],0)</f>
        <v/>
      </c>
    </row>
    <row r="2483">
      <c r="A2483" s="54" t="n"/>
      <c r="B2483" s="61" t="n"/>
      <c r="C2483" s="61" t="n"/>
      <c r="D2483" s="61" t="n"/>
      <c r="E2483" s="61" t="n"/>
      <c r="F2483" s="55" t="n"/>
      <c r="G2483" s="56" t="n"/>
      <c r="H2483" s="55" t="n"/>
      <c r="I2483" s="62" t="n"/>
      <c r="J2483" s="58" t="n"/>
      <c r="K2483" s="63">
        <f>IF(tblMovement[[#This Row],[Source]]="","",IFERROR(INDEX(tblSources[Type],MATCH(tblMovement[[#This Row],[Source]],tblSources[Source],0)),"?"))</f>
        <v/>
      </c>
      <c r="L2483" s="63">
        <f>IF(tblMovement[[#This Row],[Destination]]="","",IFERROR(INDEX(tblDestinations[Type],MATCH(tblMovement[[#This Row],[Destination]],tblDestinations[Destination],0)),"?"))</f>
        <v/>
      </c>
      <c r="M2483" s="64">
        <f>IF(tblMovement[[#This Row],[Material]]="","",IF(LEFT(tblMovement[[#This Row],[Material]],3)="Ore",1,0))</f>
        <v/>
      </c>
      <c r="N2483" s="59">
        <f>IF(OR(tblMovement[[#This Row],[Tonnes_t]]="",tblMovement[[#This Row],[Grade_gpt]]=""),0,tblMovement[[#This Row],[Tonnes_t]]*tblMovement[[#This Row],[Grade_gpt]]/cfg_TroyOz)</f>
        <v/>
      </c>
      <c r="O2483" s="59">
        <f>IF(tblMovement[[#This Row],[Is_Ore]]=1,tblMovement[[#This Row],[Contained_oz]],0)</f>
        <v/>
      </c>
    </row>
    <row r="2484">
      <c r="A2484" s="54" t="n"/>
      <c r="B2484" s="61" t="n"/>
      <c r="C2484" s="61" t="n"/>
      <c r="D2484" s="61" t="n"/>
      <c r="E2484" s="61" t="n"/>
      <c r="F2484" s="55" t="n"/>
      <c r="G2484" s="56" t="n"/>
      <c r="H2484" s="55" t="n"/>
      <c r="I2484" s="62" t="n"/>
      <c r="J2484" s="58" t="n"/>
      <c r="K2484" s="63">
        <f>IF(tblMovement[[#This Row],[Source]]="","",IFERROR(INDEX(tblSources[Type],MATCH(tblMovement[[#This Row],[Source]],tblSources[Source],0)),"?"))</f>
        <v/>
      </c>
      <c r="L2484" s="63">
        <f>IF(tblMovement[[#This Row],[Destination]]="","",IFERROR(INDEX(tblDestinations[Type],MATCH(tblMovement[[#This Row],[Destination]],tblDestinations[Destination],0)),"?"))</f>
        <v/>
      </c>
      <c r="M2484" s="64">
        <f>IF(tblMovement[[#This Row],[Material]]="","",IF(LEFT(tblMovement[[#This Row],[Material]],3)="Ore",1,0))</f>
        <v/>
      </c>
      <c r="N2484" s="59">
        <f>IF(OR(tblMovement[[#This Row],[Tonnes_t]]="",tblMovement[[#This Row],[Grade_gpt]]=""),0,tblMovement[[#This Row],[Tonnes_t]]*tblMovement[[#This Row],[Grade_gpt]]/cfg_TroyOz)</f>
        <v/>
      </c>
      <c r="O2484" s="59">
        <f>IF(tblMovement[[#This Row],[Is_Ore]]=1,tblMovement[[#This Row],[Contained_oz]],0)</f>
        <v/>
      </c>
    </row>
    <row r="2485">
      <c r="A2485" s="54" t="n"/>
      <c r="B2485" s="61" t="n"/>
      <c r="C2485" s="61" t="n"/>
      <c r="D2485" s="61" t="n"/>
      <c r="E2485" s="61" t="n"/>
      <c r="F2485" s="55" t="n"/>
      <c r="G2485" s="56" t="n"/>
      <c r="H2485" s="55" t="n"/>
      <c r="I2485" s="62" t="n"/>
      <c r="J2485" s="58" t="n"/>
      <c r="K2485" s="63">
        <f>IF(tblMovement[[#This Row],[Source]]="","",IFERROR(INDEX(tblSources[Type],MATCH(tblMovement[[#This Row],[Source]],tblSources[Source],0)),"?"))</f>
        <v/>
      </c>
      <c r="L2485" s="63">
        <f>IF(tblMovement[[#This Row],[Destination]]="","",IFERROR(INDEX(tblDestinations[Type],MATCH(tblMovement[[#This Row],[Destination]],tblDestinations[Destination],0)),"?"))</f>
        <v/>
      </c>
      <c r="M2485" s="64">
        <f>IF(tblMovement[[#This Row],[Material]]="","",IF(LEFT(tblMovement[[#This Row],[Material]],3)="Ore",1,0))</f>
        <v/>
      </c>
      <c r="N2485" s="59">
        <f>IF(OR(tblMovement[[#This Row],[Tonnes_t]]="",tblMovement[[#This Row],[Grade_gpt]]=""),0,tblMovement[[#This Row],[Tonnes_t]]*tblMovement[[#This Row],[Grade_gpt]]/cfg_TroyOz)</f>
        <v/>
      </c>
      <c r="O2485" s="59">
        <f>IF(tblMovement[[#This Row],[Is_Ore]]=1,tblMovement[[#This Row],[Contained_oz]],0)</f>
        <v/>
      </c>
    </row>
    <row r="2486">
      <c r="A2486" s="54" t="n"/>
      <c r="B2486" s="61" t="n"/>
      <c r="C2486" s="61" t="n"/>
      <c r="D2486" s="61" t="n"/>
      <c r="E2486" s="61" t="n"/>
      <c r="F2486" s="55" t="n"/>
      <c r="G2486" s="56" t="n"/>
      <c r="H2486" s="55" t="n"/>
      <c r="I2486" s="62" t="n"/>
      <c r="J2486" s="58" t="n"/>
      <c r="K2486" s="63">
        <f>IF(tblMovement[[#This Row],[Source]]="","",IFERROR(INDEX(tblSources[Type],MATCH(tblMovement[[#This Row],[Source]],tblSources[Source],0)),"?"))</f>
        <v/>
      </c>
      <c r="L2486" s="63">
        <f>IF(tblMovement[[#This Row],[Destination]]="","",IFERROR(INDEX(tblDestinations[Type],MATCH(tblMovement[[#This Row],[Destination]],tblDestinations[Destination],0)),"?"))</f>
        <v/>
      </c>
      <c r="M2486" s="64">
        <f>IF(tblMovement[[#This Row],[Material]]="","",IF(LEFT(tblMovement[[#This Row],[Material]],3)="Ore",1,0))</f>
        <v/>
      </c>
      <c r="N2486" s="59">
        <f>IF(OR(tblMovement[[#This Row],[Tonnes_t]]="",tblMovement[[#This Row],[Grade_gpt]]=""),0,tblMovement[[#This Row],[Tonnes_t]]*tblMovement[[#This Row],[Grade_gpt]]/cfg_TroyOz)</f>
        <v/>
      </c>
      <c r="O2486" s="59">
        <f>IF(tblMovement[[#This Row],[Is_Ore]]=1,tblMovement[[#This Row],[Contained_oz]],0)</f>
        <v/>
      </c>
    </row>
    <row r="2487">
      <c r="A2487" s="54" t="n"/>
      <c r="B2487" s="61" t="n"/>
      <c r="C2487" s="61" t="n"/>
      <c r="D2487" s="61" t="n"/>
      <c r="E2487" s="61" t="n"/>
      <c r="F2487" s="55" t="n"/>
      <c r="G2487" s="56" t="n"/>
      <c r="H2487" s="55" t="n"/>
      <c r="I2487" s="62" t="n"/>
      <c r="J2487" s="58" t="n"/>
      <c r="K2487" s="63">
        <f>IF(tblMovement[[#This Row],[Source]]="","",IFERROR(INDEX(tblSources[Type],MATCH(tblMovement[[#This Row],[Source]],tblSources[Source],0)),"?"))</f>
        <v/>
      </c>
      <c r="L2487" s="63">
        <f>IF(tblMovement[[#This Row],[Destination]]="","",IFERROR(INDEX(tblDestinations[Type],MATCH(tblMovement[[#This Row],[Destination]],tblDestinations[Destination],0)),"?"))</f>
        <v/>
      </c>
      <c r="M2487" s="64">
        <f>IF(tblMovement[[#This Row],[Material]]="","",IF(LEFT(tblMovement[[#This Row],[Material]],3)="Ore",1,0))</f>
        <v/>
      </c>
      <c r="N2487" s="59">
        <f>IF(OR(tblMovement[[#This Row],[Tonnes_t]]="",tblMovement[[#This Row],[Grade_gpt]]=""),0,tblMovement[[#This Row],[Tonnes_t]]*tblMovement[[#This Row],[Grade_gpt]]/cfg_TroyOz)</f>
        <v/>
      </c>
      <c r="O2487" s="59">
        <f>IF(tblMovement[[#This Row],[Is_Ore]]=1,tblMovement[[#This Row],[Contained_oz]],0)</f>
        <v/>
      </c>
    </row>
    <row r="2488">
      <c r="A2488" s="54" t="n"/>
      <c r="B2488" s="61" t="n"/>
      <c r="C2488" s="61" t="n"/>
      <c r="D2488" s="61" t="n"/>
      <c r="E2488" s="61" t="n"/>
      <c r="F2488" s="55" t="n"/>
      <c r="G2488" s="56" t="n"/>
      <c r="H2488" s="55" t="n"/>
      <c r="I2488" s="62" t="n"/>
      <c r="J2488" s="58" t="n"/>
      <c r="K2488" s="63">
        <f>IF(tblMovement[[#This Row],[Source]]="","",IFERROR(INDEX(tblSources[Type],MATCH(tblMovement[[#This Row],[Source]],tblSources[Source],0)),"?"))</f>
        <v/>
      </c>
      <c r="L2488" s="63">
        <f>IF(tblMovement[[#This Row],[Destination]]="","",IFERROR(INDEX(tblDestinations[Type],MATCH(tblMovement[[#This Row],[Destination]],tblDestinations[Destination],0)),"?"))</f>
        <v/>
      </c>
      <c r="M2488" s="64">
        <f>IF(tblMovement[[#This Row],[Material]]="","",IF(LEFT(tblMovement[[#This Row],[Material]],3)="Ore",1,0))</f>
        <v/>
      </c>
      <c r="N2488" s="59">
        <f>IF(OR(tblMovement[[#This Row],[Tonnes_t]]="",tblMovement[[#This Row],[Grade_gpt]]=""),0,tblMovement[[#This Row],[Tonnes_t]]*tblMovement[[#This Row],[Grade_gpt]]/cfg_TroyOz)</f>
        <v/>
      </c>
      <c r="O2488" s="59">
        <f>IF(tblMovement[[#This Row],[Is_Ore]]=1,tblMovement[[#This Row],[Contained_oz]],0)</f>
        <v/>
      </c>
    </row>
    <row r="2489">
      <c r="A2489" s="54" t="n"/>
      <c r="B2489" s="61" t="n"/>
      <c r="C2489" s="61" t="n"/>
      <c r="D2489" s="61" t="n"/>
      <c r="E2489" s="61" t="n"/>
      <c r="F2489" s="55" t="n"/>
      <c r="G2489" s="56" t="n"/>
      <c r="H2489" s="55" t="n"/>
      <c r="I2489" s="62" t="n"/>
      <c r="J2489" s="58" t="n"/>
      <c r="K2489" s="63">
        <f>IF(tblMovement[[#This Row],[Source]]="","",IFERROR(INDEX(tblSources[Type],MATCH(tblMovement[[#This Row],[Source]],tblSources[Source],0)),"?"))</f>
        <v/>
      </c>
      <c r="L2489" s="63">
        <f>IF(tblMovement[[#This Row],[Destination]]="","",IFERROR(INDEX(tblDestinations[Type],MATCH(tblMovement[[#This Row],[Destination]],tblDestinations[Destination],0)),"?"))</f>
        <v/>
      </c>
      <c r="M2489" s="64">
        <f>IF(tblMovement[[#This Row],[Material]]="","",IF(LEFT(tblMovement[[#This Row],[Material]],3)="Ore",1,0))</f>
        <v/>
      </c>
      <c r="N2489" s="59">
        <f>IF(OR(tblMovement[[#This Row],[Tonnes_t]]="",tblMovement[[#This Row],[Grade_gpt]]=""),0,tblMovement[[#This Row],[Tonnes_t]]*tblMovement[[#This Row],[Grade_gpt]]/cfg_TroyOz)</f>
        <v/>
      </c>
      <c r="O2489" s="59">
        <f>IF(tblMovement[[#This Row],[Is_Ore]]=1,tblMovement[[#This Row],[Contained_oz]],0)</f>
        <v/>
      </c>
    </row>
    <row r="2490">
      <c r="A2490" s="54" t="n"/>
      <c r="B2490" s="61" t="n"/>
      <c r="C2490" s="61" t="n"/>
      <c r="D2490" s="61" t="n"/>
      <c r="E2490" s="61" t="n"/>
      <c r="F2490" s="55" t="n"/>
      <c r="G2490" s="56" t="n"/>
      <c r="H2490" s="55" t="n"/>
      <c r="I2490" s="62" t="n"/>
      <c r="J2490" s="58" t="n"/>
      <c r="K2490" s="63">
        <f>IF(tblMovement[[#This Row],[Source]]="","",IFERROR(INDEX(tblSources[Type],MATCH(tblMovement[[#This Row],[Source]],tblSources[Source],0)),"?"))</f>
        <v/>
      </c>
      <c r="L2490" s="63">
        <f>IF(tblMovement[[#This Row],[Destination]]="","",IFERROR(INDEX(tblDestinations[Type],MATCH(tblMovement[[#This Row],[Destination]],tblDestinations[Destination],0)),"?"))</f>
        <v/>
      </c>
      <c r="M2490" s="64">
        <f>IF(tblMovement[[#This Row],[Material]]="","",IF(LEFT(tblMovement[[#This Row],[Material]],3)="Ore",1,0))</f>
        <v/>
      </c>
      <c r="N2490" s="59">
        <f>IF(OR(tblMovement[[#This Row],[Tonnes_t]]="",tblMovement[[#This Row],[Grade_gpt]]=""),0,tblMovement[[#This Row],[Tonnes_t]]*tblMovement[[#This Row],[Grade_gpt]]/cfg_TroyOz)</f>
        <v/>
      </c>
      <c r="O2490" s="59">
        <f>IF(tblMovement[[#This Row],[Is_Ore]]=1,tblMovement[[#This Row],[Contained_oz]],0)</f>
        <v/>
      </c>
    </row>
    <row r="2491">
      <c r="A2491" s="54" t="n"/>
      <c r="B2491" s="61" t="n"/>
      <c r="C2491" s="61" t="n"/>
      <c r="D2491" s="61" t="n"/>
      <c r="E2491" s="61" t="n"/>
      <c r="F2491" s="55" t="n"/>
      <c r="G2491" s="56" t="n"/>
      <c r="H2491" s="55" t="n"/>
      <c r="I2491" s="62" t="n"/>
      <c r="J2491" s="58" t="n"/>
      <c r="K2491" s="63">
        <f>IF(tblMovement[[#This Row],[Source]]="","",IFERROR(INDEX(tblSources[Type],MATCH(tblMovement[[#This Row],[Source]],tblSources[Source],0)),"?"))</f>
        <v/>
      </c>
      <c r="L2491" s="63">
        <f>IF(tblMovement[[#This Row],[Destination]]="","",IFERROR(INDEX(tblDestinations[Type],MATCH(tblMovement[[#This Row],[Destination]],tblDestinations[Destination],0)),"?"))</f>
        <v/>
      </c>
      <c r="M2491" s="64">
        <f>IF(tblMovement[[#This Row],[Material]]="","",IF(LEFT(tblMovement[[#This Row],[Material]],3)="Ore",1,0))</f>
        <v/>
      </c>
      <c r="N2491" s="59">
        <f>IF(OR(tblMovement[[#This Row],[Tonnes_t]]="",tblMovement[[#This Row],[Grade_gpt]]=""),0,tblMovement[[#This Row],[Tonnes_t]]*tblMovement[[#This Row],[Grade_gpt]]/cfg_TroyOz)</f>
        <v/>
      </c>
      <c r="O2491" s="59">
        <f>IF(tblMovement[[#This Row],[Is_Ore]]=1,tblMovement[[#This Row],[Contained_oz]],0)</f>
        <v/>
      </c>
    </row>
    <row r="2492">
      <c r="A2492" s="54" t="n"/>
      <c r="B2492" s="61" t="n"/>
      <c r="C2492" s="61" t="n"/>
      <c r="D2492" s="61" t="n"/>
      <c r="E2492" s="61" t="n"/>
      <c r="F2492" s="55" t="n"/>
      <c r="G2492" s="56" t="n"/>
      <c r="H2492" s="55" t="n"/>
      <c r="I2492" s="62" t="n"/>
      <c r="J2492" s="58" t="n"/>
      <c r="K2492" s="63">
        <f>IF(tblMovement[[#This Row],[Source]]="","",IFERROR(INDEX(tblSources[Type],MATCH(tblMovement[[#This Row],[Source]],tblSources[Source],0)),"?"))</f>
        <v/>
      </c>
      <c r="L2492" s="63">
        <f>IF(tblMovement[[#This Row],[Destination]]="","",IFERROR(INDEX(tblDestinations[Type],MATCH(tblMovement[[#This Row],[Destination]],tblDestinations[Destination],0)),"?"))</f>
        <v/>
      </c>
      <c r="M2492" s="64">
        <f>IF(tblMovement[[#This Row],[Material]]="","",IF(LEFT(tblMovement[[#This Row],[Material]],3)="Ore",1,0))</f>
        <v/>
      </c>
      <c r="N2492" s="59">
        <f>IF(OR(tblMovement[[#This Row],[Tonnes_t]]="",tblMovement[[#This Row],[Grade_gpt]]=""),0,tblMovement[[#This Row],[Tonnes_t]]*tblMovement[[#This Row],[Grade_gpt]]/cfg_TroyOz)</f>
        <v/>
      </c>
      <c r="O2492" s="59">
        <f>IF(tblMovement[[#This Row],[Is_Ore]]=1,tblMovement[[#This Row],[Contained_oz]],0)</f>
        <v/>
      </c>
    </row>
    <row r="2493">
      <c r="A2493" s="54" t="n"/>
      <c r="B2493" s="61" t="n"/>
      <c r="C2493" s="61" t="n"/>
      <c r="D2493" s="61" t="n"/>
      <c r="E2493" s="61" t="n"/>
      <c r="F2493" s="55" t="n"/>
      <c r="G2493" s="56" t="n"/>
      <c r="H2493" s="55" t="n"/>
      <c r="I2493" s="62" t="n"/>
      <c r="J2493" s="58" t="n"/>
      <c r="K2493" s="63">
        <f>IF(tblMovement[[#This Row],[Source]]="","",IFERROR(INDEX(tblSources[Type],MATCH(tblMovement[[#This Row],[Source]],tblSources[Source],0)),"?"))</f>
        <v/>
      </c>
      <c r="L2493" s="63">
        <f>IF(tblMovement[[#This Row],[Destination]]="","",IFERROR(INDEX(tblDestinations[Type],MATCH(tblMovement[[#This Row],[Destination]],tblDestinations[Destination],0)),"?"))</f>
        <v/>
      </c>
      <c r="M2493" s="64">
        <f>IF(tblMovement[[#This Row],[Material]]="","",IF(LEFT(tblMovement[[#This Row],[Material]],3)="Ore",1,0))</f>
        <v/>
      </c>
      <c r="N2493" s="59">
        <f>IF(OR(tblMovement[[#This Row],[Tonnes_t]]="",tblMovement[[#This Row],[Grade_gpt]]=""),0,tblMovement[[#This Row],[Tonnes_t]]*tblMovement[[#This Row],[Grade_gpt]]/cfg_TroyOz)</f>
        <v/>
      </c>
      <c r="O2493" s="59">
        <f>IF(tblMovement[[#This Row],[Is_Ore]]=1,tblMovement[[#This Row],[Contained_oz]],0)</f>
        <v/>
      </c>
    </row>
    <row r="2494">
      <c r="A2494" s="54" t="n"/>
      <c r="B2494" s="61" t="n"/>
      <c r="C2494" s="61" t="n"/>
      <c r="D2494" s="61" t="n"/>
      <c r="E2494" s="61" t="n"/>
      <c r="F2494" s="55" t="n"/>
      <c r="G2494" s="56" t="n"/>
      <c r="H2494" s="55" t="n"/>
      <c r="I2494" s="62" t="n"/>
      <c r="J2494" s="58" t="n"/>
      <c r="K2494" s="63">
        <f>IF(tblMovement[[#This Row],[Source]]="","",IFERROR(INDEX(tblSources[Type],MATCH(tblMovement[[#This Row],[Source]],tblSources[Source],0)),"?"))</f>
        <v/>
      </c>
      <c r="L2494" s="63">
        <f>IF(tblMovement[[#This Row],[Destination]]="","",IFERROR(INDEX(tblDestinations[Type],MATCH(tblMovement[[#This Row],[Destination]],tblDestinations[Destination],0)),"?"))</f>
        <v/>
      </c>
      <c r="M2494" s="64">
        <f>IF(tblMovement[[#This Row],[Material]]="","",IF(LEFT(tblMovement[[#This Row],[Material]],3)="Ore",1,0))</f>
        <v/>
      </c>
      <c r="N2494" s="59">
        <f>IF(OR(tblMovement[[#This Row],[Tonnes_t]]="",tblMovement[[#This Row],[Grade_gpt]]=""),0,tblMovement[[#This Row],[Tonnes_t]]*tblMovement[[#This Row],[Grade_gpt]]/cfg_TroyOz)</f>
        <v/>
      </c>
      <c r="O2494" s="59">
        <f>IF(tblMovement[[#This Row],[Is_Ore]]=1,tblMovement[[#This Row],[Contained_oz]],0)</f>
        <v/>
      </c>
    </row>
    <row r="2495">
      <c r="A2495" s="54" t="n"/>
      <c r="B2495" s="61" t="n"/>
      <c r="C2495" s="61" t="n"/>
      <c r="D2495" s="61" t="n"/>
      <c r="E2495" s="61" t="n"/>
      <c r="F2495" s="55" t="n"/>
      <c r="G2495" s="56" t="n"/>
      <c r="H2495" s="55" t="n"/>
      <c r="I2495" s="62" t="n"/>
      <c r="J2495" s="58" t="n"/>
      <c r="K2495" s="63">
        <f>IF(tblMovement[[#This Row],[Source]]="","",IFERROR(INDEX(tblSources[Type],MATCH(tblMovement[[#This Row],[Source]],tblSources[Source],0)),"?"))</f>
        <v/>
      </c>
      <c r="L2495" s="63">
        <f>IF(tblMovement[[#This Row],[Destination]]="","",IFERROR(INDEX(tblDestinations[Type],MATCH(tblMovement[[#This Row],[Destination]],tblDestinations[Destination],0)),"?"))</f>
        <v/>
      </c>
      <c r="M2495" s="64">
        <f>IF(tblMovement[[#This Row],[Material]]="","",IF(LEFT(tblMovement[[#This Row],[Material]],3)="Ore",1,0))</f>
        <v/>
      </c>
      <c r="N2495" s="59">
        <f>IF(OR(tblMovement[[#This Row],[Tonnes_t]]="",tblMovement[[#This Row],[Grade_gpt]]=""),0,tblMovement[[#This Row],[Tonnes_t]]*tblMovement[[#This Row],[Grade_gpt]]/cfg_TroyOz)</f>
        <v/>
      </c>
      <c r="O2495" s="59">
        <f>IF(tblMovement[[#This Row],[Is_Ore]]=1,tblMovement[[#This Row],[Contained_oz]],0)</f>
        <v/>
      </c>
    </row>
    <row r="2496">
      <c r="A2496" s="54" t="n"/>
      <c r="B2496" s="61" t="n"/>
      <c r="C2496" s="61" t="n"/>
      <c r="D2496" s="61" t="n"/>
      <c r="E2496" s="61" t="n"/>
      <c r="F2496" s="55" t="n"/>
      <c r="G2496" s="56" t="n"/>
      <c r="H2496" s="55" t="n"/>
      <c r="I2496" s="62" t="n"/>
      <c r="J2496" s="58" t="n"/>
      <c r="K2496" s="63">
        <f>IF(tblMovement[[#This Row],[Source]]="","",IFERROR(INDEX(tblSources[Type],MATCH(tblMovement[[#This Row],[Source]],tblSources[Source],0)),"?"))</f>
        <v/>
      </c>
      <c r="L2496" s="63">
        <f>IF(tblMovement[[#This Row],[Destination]]="","",IFERROR(INDEX(tblDestinations[Type],MATCH(tblMovement[[#This Row],[Destination]],tblDestinations[Destination],0)),"?"))</f>
        <v/>
      </c>
      <c r="M2496" s="64">
        <f>IF(tblMovement[[#This Row],[Material]]="","",IF(LEFT(tblMovement[[#This Row],[Material]],3)="Ore",1,0))</f>
        <v/>
      </c>
      <c r="N2496" s="59">
        <f>IF(OR(tblMovement[[#This Row],[Tonnes_t]]="",tblMovement[[#This Row],[Grade_gpt]]=""),0,tblMovement[[#This Row],[Tonnes_t]]*tblMovement[[#This Row],[Grade_gpt]]/cfg_TroyOz)</f>
        <v/>
      </c>
      <c r="O2496" s="59">
        <f>IF(tblMovement[[#This Row],[Is_Ore]]=1,tblMovement[[#This Row],[Contained_oz]],0)</f>
        <v/>
      </c>
    </row>
    <row r="2497">
      <c r="A2497" s="54" t="n"/>
      <c r="B2497" s="61" t="n"/>
      <c r="C2497" s="61" t="n"/>
      <c r="D2497" s="61" t="n"/>
      <c r="E2497" s="61" t="n"/>
      <c r="F2497" s="55" t="n"/>
      <c r="G2497" s="56" t="n"/>
      <c r="H2497" s="55" t="n"/>
      <c r="I2497" s="62" t="n"/>
      <c r="J2497" s="58" t="n"/>
      <c r="K2497" s="63">
        <f>IF(tblMovement[[#This Row],[Source]]="","",IFERROR(INDEX(tblSources[Type],MATCH(tblMovement[[#This Row],[Source]],tblSources[Source],0)),"?"))</f>
        <v/>
      </c>
      <c r="L2497" s="63">
        <f>IF(tblMovement[[#This Row],[Destination]]="","",IFERROR(INDEX(tblDestinations[Type],MATCH(tblMovement[[#This Row],[Destination]],tblDestinations[Destination],0)),"?"))</f>
        <v/>
      </c>
      <c r="M2497" s="64">
        <f>IF(tblMovement[[#This Row],[Material]]="","",IF(LEFT(tblMovement[[#This Row],[Material]],3)="Ore",1,0))</f>
        <v/>
      </c>
      <c r="N2497" s="59">
        <f>IF(OR(tblMovement[[#This Row],[Tonnes_t]]="",tblMovement[[#This Row],[Grade_gpt]]=""),0,tblMovement[[#This Row],[Tonnes_t]]*tblMovement[[#This Row],[Grade_gpt]]/cfg_TroyOz)</f>
        <v/>
      </c>
      <c r="O2497" s="59">
        <f>IF(tblMovement[[#This Row],[Is_Ore]]=1,tblMovement[[#This Row],[Contained_oz]],0)</f>
        <v/>
      </c>
    </row>
    <row r="2498">
      <c r="A2498" s="54" t="n"/>
      <c r="B2498" s="61" t="n"/>
      <c r="C2498" s="61" t="n"/>
      <c r="D2498" s="61" t="n"/>
      <c r="E2498" s="61" t="n"/>
      <c r="F2498" s="55" t="n"/>
      <c r="G2498" s="56" t="n"/>
      <c r="H2498" s="55" t="n"/>
      <c r="I2498" s="62" t="n"/>
      <c r="J2498" s="58" t="n"/>
      <c r="K2498" s="63">
        <f>IF(tblMovement[[#This Row],[Source]]="","",IFERROR(INDEX(tblSources[Type],MATCH(tblMovement[[#This Row],[Source]],tblSources[Source],0)),"?"))</f>
        <v/>
      </c>
      <c r="L2498" s="63">
        <f>IF(tblMovement[[#This Row],[Destination]]="","",IFERROR(INDEX(tblDestinations[Type],MATCH(tblMovement[[#This Row],[Destination]],tblDestinations[Destination],0)),"?"))</f>
        <v/>
      </c>
      <c r="M2498" s="64">
        <f>IF(tblMovement[[#This Row],[Material]]="","",IF(LEFT(tblMovement[[#This Row],[Material]],3)="Ore",1,0))</f>
        <v/>
      </c>
      <c r="N2498" s="59">
        <f>IF(OR(tblMovement[[#This Row],[Tonnes_t]]="",tblMovement[[#This Row],[Grade_gpt]]=""),0,tblMovement[[#This Row],[Tonnes_t]]*tblMovement[[#This Row],[Grade_gpt]]/cfg_TroyOz)</f>
        <v/>
      </c>
      <c r="O2498" s="59">
        <f>IF(tblMovement[[#This Row],[Is_Ore]]=1,tblMovement[[#This Row],[Contained_oz]],0)</f>
        <v/>
      </c>
    </row>
    <row r="2499">
      <c r="A2499" s="54" t="n"/>
      <c r="B2499" s="61" t="n"/>
      <c r="C2499" s="61" t="n"/>
      <c r="D2499" s="61" t="n"/>
      <c r="E2499" s="61" t="n"/>
      <c r="F2499" s="55" t="n"/>
      <c r="G2499" s="56" t="n"/>
      <c r="H2499" s="55" t="n"/>
      <c r="I2499" s="62" t="n"/>
      <c r="J2499" s="58" t="n"/>
      <c r="K2499" s="63">
        <f>IF(tblMovement[[#This Row],[Source]]="","",IFERROR(INDEX(tblSources[Type],MATCH(tblMovement[[#This Row],[Source]],tblSources[Source],0)),"?"))</f>
        <v/>
      </c>
      <c r="L2499" s="63">
        <f>IF(tblMovement[[#This Row],[Destination]]="","",IFERROR(INDEX(tblDestinations[Type],MATCH(tblMovement[[#This Row],[Destination]],tblDestinations[Destination],0)),"?"))</f>
        <v/>
      </c>
      <c r="M2499" s="64">
        <f>IF(tblMovement[[#This Row],[Material]]="","",IF(LEFT(tblMovement[[#This Row],[Material]],3)="Ore",1,0))</f>
        <v/>
      </c>
      <c r="N2499" s="59">
        <f>IF(OR(tblMovement[[#This Row],[Tonnes_t]]="",tblMovement[[#This Row],[Grade_gpt]]=""),0,tblMovement[[#This Row],[Tonnes_t]]*tblMovement[[#This Row],[Grade_gpt]]/cfg_TroyOz)</f>
        <v/>
      </c>
      <c r="O2499" s="59">
        <f>IF(tblMovement[[#This Row],[Is_Ore]]=1,tblMovement[[#This Row],[Contained_oz]],0)</f>
        <v/>
      </c>
    </row>
    <row r="2500">
      <c r="A2500" s="54" t="n"/>
      <c r="B2500" s="61" t="n"/>
      <c r="C2500" s="61" t="n"/>
      <c r="D2500" s="61" t="n"/>
      <c r="E2500" s="61" t="n"/>
      <c r="F2500" s="55" t="n"/>
      <c r="G2500" s="56" t="n"/>
      <c r="H2500" s="55" t="n"/>
      <c r="I2500" s="62" t="n"/>
      <c r="J2500" s="58" t="n"/>
      <c r="K2500" s="63">
        <f>IF(tblMovement[[#This Row],[Source]]="","",IFERROR(INDEX(tblSources[Type],MATCH(tblMovement[[#This Row],[Source]],tblSources[Source],0)),"?"))</f>
        <v/>
      </c>
      <c r="L2500" s="63">
        <f>IF(tblMovement[[#This Row],[Destination]]="","",IFERROR(INDEX(tblDestinations[Type],MATCH(tblMovement[[#This Row],[Destination]],tblDestinations[Destination],0)),"?"))</f>
        <v/>
      </c>
      <c r="M2500" s="64">
        <f>IF(tblMovement[[#This Row],[Material]]="","",IF(LEFT(tblMovement[[#This Row],[Material]],3)="Ore",1,0))</f>
        <v/>
      </c>
      <c r="N2500" s="59">
        <f>IF(OR(tblMovement[[#This Row],[Tonnes_t]]="",tblMovement[[#This Row],[Grade_gpt]]=""),0,tblMovement[[#This Row],[Tonnes_t]]*tblMovement[[#This Row],[Grade_gpt]]/cfg_TroyOz)</f>
        <v/>
      </c>
      <c r="O2500" s="59">
        <f>IF(tblMovement[[#This Row],[Is_Ore]]=1,tblMovement[[#This Row],[Contained_oz]],0)</f>
        <v/>
      </c>
    </row>
    <row r="2501">
      <c r="A2501" s="54" t="n"/>
      <c r="B2501" s="61" t="n"/>
      <c r="C2501" s="61" t="n"/>
      <c r="D2501" s="61" t="n"/>
      <c r="E2501" s="61" t="n"/>
      <c r="F2501" s="55" t="n"/>
      <c r="G2501" s="56" t="n"/>
      <c r="H2501" s="55" t="n"/>
      <c r="I2501" s="62" t="n"/>
      <c r="J2501" s="58" t="n"/>
      <c r="K2501" s="63">
        <f>IF(tblMovement[[#This Row],[Source]]="","",IFERROR(INDEX(tblSources[Type],MATCH(tblMovement[[#This Row],[Source]],tblSources[Source],0)),"?"))</f>
        <v/>
      </c>
      <c r="L2501" s="63">
        <f>IF(tblMovement[[#This Row],[Destination]]="","",IFERROR(INDEX(tblDestinations[Type],MATCH(tblMovement[[#This Row],[Destination]],tblDestinations[Destination],0)),"?"))</f>
        <v/>
      </c>
      <c r="M2501" s="64">
        <f>IF(tblMovement[[#This Row],[Material]]="","",IF(LEFT(tblMovement[[#This Row],[Material]],3)="Ore",1,0))</f>
        <v/>
      </c>
      <c r="N2501" s="59">
        <f>IF(OR(tblMovement[[#This Row],[Tonnes_t]]="",tblMovement[[#This Row],[Grade_gpt]]=""),0,tblMovement[[#This Row],[Tonnes_t]]*tblMovement[[#This Row],[Grade_gpt]]/cfg_TroyOz)</f>
        <v/>
      </c>
      <c r="O2501" s="59">
        <f>IF(tblMovement[[#This Row],[Is_Ore]]=1,tblMovement[[#This Row],[Contained_oz]],0)</f>
        <v/>
      </c>
    </row>
    <row r="2502">
      <c r="A2502" s="54" t="n"/>
      <c r="B2502" s="61" t="n"/>
      <c r="C2502" s="61" t="n"/>
      <c r="D2502" s="61" t="n"/>
      <c r="E2502" s="61" t="n"/>
      <c r="F2502" s="55" t="n"/>
      <c r="G2502" s="56" t="n"/>
      <c r="H2502" s="55" t="n"/>
      <c r="I2502" s="62" t="n"/>
      <c r="J2502" s="58" t="n"/>
      <c r="K2502" s="63">
        <f>IF(tblMovement[[#This Row],[Source]]="","",IFERROR(INDEX(tblSources[Type],MATCH(tblMovement[[#This Row],[Source]],tblSources[Source],0)),"?"))</f>
        <v/>
      </c>
      <c r="L2502" s="63">
        <f>IF(tblMovement[[#This Row],[Destination]]="","",IFERROR(INDEX(tblDestinations[Type],MATCH(tblMovement[[#This Row],[Destination]],tblDestinations[Destination],0)),"?"))</f>
        <v/>
      </c>
      <c r="M2502" s="64">
        <f>IF(tblMovement[[#This Row],[Material]]="","",IF(LEFT(tblMovement[[#This Row],[Material]],3)="Ore",1,0))</f>
        <v/>
      </c>
      <c r="N2502" s="59">
        <f>IF(OR(tblMovement[[#This Row],[Tonnes_t]]="",tblMovement[[#This Row],[Grade_gpt]]=""),0,tblMovement[[#This Row],[Tonnes_t]]*tblMovement[[#This Row],[Grade_gpt]]/cfg_TroyOz)</f>
        <v/>
      </c>
      <c r="O2502" s="59">
        <f>IF(tblMovement[[#This Row],[Is_Ore]]=1,tblMovement[[#This Row],[Contained_oz]],0)</f>
        <v/>
      </c>
    </row>
    <row r="2503">
      <c r="A2503" s="54" t="n"/>
      <c r="B2503" s="61" t="n"/>
      <c r="C2503" s="61" t="n"/>
      <c r="D2503" s="61" t="n"/>
      <c r="E2503" s="61" t="n"/>
      <c r="F2503" s="55" t="n"/>
      <c r="G2503" s="56" t="n"/>
      <c r="H2503" s="55" t="n"/>
      <c r="I2503" s="62" t="n"/>
      <c r="J2503" s="58" t="n"/>
      <c r="K2503" s="63">
        <f>IF(tblMovement[[#This Row],[Source]]="","",IFERROR(INDEX(tblSources[Type],MATCH(tblMovement[[#This Row],[Source]],tblSources[Source],0)),"?"))</f>
        <v/>
      </c>
      <c r="L2503" s="63">
        <f>IF(tblMovement[[#This Row],[Destination]]="","",IFERROR(INDEX(tblDestinations[Type],MATCH(tblMovement[[#This Row],[Destination]],tblDestinations[Destination],0)),"?"))</f>
        <v/>
      </c>
      <c r="M2503" s="64">
        <f>IF(tblMovement[[#This Row],[Material]]="","",IF(LEFT(tblMovement[[#This Row],[Material]],3)="Ore",1,0))</f>
        <v/>
      </c>
      <c r="N2503" s="59">
        <f>IF(OR(tblMovement[[#This Row],[Tonnes_t]]="",tblMovement[[#This Row],[Grade_gpt]]=""),0,tblMovement[[#This Row],[Tonnes_t]]*tblMovement[[#This Row],[Grade_gpt]]/cfg_TroyOz)</f>
        <v/>
      </c>
      <c r="O2503" s="59">
        <f>IF(tblMovement[[#This Row],[Is_Ore]]=1,tblMovement[[#This Row],[Contained_oz]],0)</f>
        <v/>
      </c>
    </row>
    <row r="2504">
      <c r="A2504" s="54" t="n"/>
      <c r="B2504" s="61" t="n"/>
      <c r="C2504" s="61" t="n"/>
      <c r="D2504" s="61" t="n"/>
      <c r="E2504" s="61" t="n"/>
      <c r="F2504" s="55" t="n"/>
      <c r="G2504" s="56" t="n"/>
      <c r="H2504" s="55" t="n"/>
      <c r="I2504" s="62" t="n"/>
      <c r="J2504" s="58" t="n"/>
      <c r="K2504" s="63">
        <f>IF(tblMovement[[#This Row],[Source]]="","",IFERROR(INDEX(tblSources[Type],MATCH(tblMovement[[#This Row],[Source]],tblSources[Source],0)),"?"))</f>
        <v/>
      </c>
      <c r="L2504" s="63">
        <f>IF(tblMovement[[#This Row],[Destination]]="","",IFERROR(INDEX(tblDestinations[Type],MATCH(tblMovement[[#This Row],[Destination]],tblDestinations[Destination],0)),"?"))</f>
        <v/>
      </c>
      <c r="M2504" s="64">
        <f>IF(tblMovement[[#This Row],[Material]]="","",IF(LEFT(tblMovement[[#This Row],[Material]],3)="Ore",1,0))</f>
        <v/>
      </c>
      <c r="N2504" s="59">
        <f>IF(OR(tblMovement[[#This Row],[Tonnes_t]]="",tblMovement[[#This Row],[Grade_gpt]]=""),0,tblMovement[[#This Row],[Tonnes_t]]*tblMovement[[#This Row],[Grade_gpt]]/cfg_TroyOz)</f>
        <v/>
      </c>
      <c r="O2504" s="59">
        <f>IF(tblMovement[[#This Row],[Is_Ore]]=1,tblMovement[[#This Row],[Contained_oz]],0)</f>
        <v/>
      </c>
    </row>
    <row r="2505">
      <c r="A2505" s="54" t="n"/>
      <c r="B2505" s="61" t="n"/>
      <c r="C2505" s="61" t="n"/>
      <c r="D2505" s="61" t="n"/>
      <c r="E2505" s="61" t="n"/>
      <c r="F2505" s="55" t="n"/>
      <c r="G2505" s="56" t="n"/>
      <c r="H2505" s="55" t="n"/>
      <c r="I2505" s="62" t="n"/>
      <c r="J2505" s="58" t="n"/>
      <c r="K2505" s="63">
        <f>IF(tblMovement[[#This Row],[Source]]="","",IFERROR(INDEX(tblSources[Type],MATCH(tblMovement[[#This Row],[Source]],tblSources[Source],0)),"?"))</f>
        <v/>
      </c>
      <c r="L2505" s="63">
        <f>IF(tblMovement[[#This Row],[Destination]]="","",IFERROR(INDEX(tblDestinations[Type],MATCH(tblMovement[[#This Row],[Destination]],tblDestinations[Destination],0)),"?"))</f>
        <v/>
      </c>
      <c r="M2505" s="64">
        <f>IF(tblMovement[[#This Row],[Material]]="","",IF(LEFT(tblMovement[[#This Row],[Material]],3)="Ore",1,0))</f>
        <v/>
      </c>
      <c r="N2505" s="59">
        <f>IF(OR(tblMovement[[#This Row],[Tonnes_t]]="",tblMovement[[#This Row],[Grade_gpt]]=""),0,tblMovement[[#This Row],[Tonnes_t]]*tblMovement[[#This Row],[Grade_gpt]]/cfg_TroyOz)</f>
        <v/>
      </c>
      <c r="O2505" s="59">
        <f>IF(tblMovement[[#This Row],[Is_Ore]]=1,tblMovement[[#This Row],[Contained_oz]],0)</f>
        <v/>
      </c>
    </row>
    <row r="2506">
      <c r="A2506" s="54" t="n"/>
      <c r="B2506" s="61" t="n"/>
      <c r="C2506" s="61" t="n"/>
      <c r="D2506" s="61" t="n"/>
      <c r="E2506" s="61" t="n"/>
      <c r="F2506" s="55" t="n"/>
      <c r="G2506" s="56" t="n"/>
      <c r="H2506" s="55" t="n"/>
      <c r="I2506" s="62" t="n"/>
      <c r="J2506" s="58" t="n"/>
      <c r="K2506" s="63">
        <f>IF(tblMovement[[#This Row],[Source]]="","",IFERROR(INDEX(tblSources[Type],MATCH(tblMovement[[#This Row],[Source]],tblSources[Source],0)),"?"))</f>
        <v/>
      </c>
      <c r="L2506" s="63">
        <f>IF(tblMovement[[#This Row],[Destination]]="","",IFERROR(INDEX(tblDestinations[Type],MATCH(tblMovement[[#This Row],[Destination]],tblDestinations[Destination],0)),"?"))</f>
        <v/>
      </c>
      <c r="M2506" s="64">
        <f>IF(tblMovement[[#This Row],[Material]]="","",IF(LEFT(tblMovement[[#This Row],[Material]],3)="Ore",1,0))</f>
        <v/>
      </c>
      <c r="N2506" s="59">
        <f>IF(OR(tblMovement[[#This Row],[Tonnes_t]]="",tblMovement[[#This Row],[Grade_gpt]]=""),0,tblMovement[[#This Row],[Tonnes_t]]*tblMovement[[#This Row],[Grade_gpt]]/cfg_TroyOz)</f>
        <v/>
      </c>
      <c r="O2506" s="59">
        <f>IF(tblMovement[[#This Row],[Is_Ore]]=1,tblMovement[[#This Row],[Contained_oz]],0)</f>
        <v/>
      </c>
    </row>
    <row r="2507">
      <c r="A2507" s="54" t="n"/>
      <c r="B2507" s="61" t="n"/>
      <c r="C2507" s="61" t="n"/>
      <c r="D2507" s="61" t="n"/>
      <c r="E2507" s="61" t="n"/>
      <c r="F2507" s="55" t="n"/>
      <c r="G2507" s="56" t="n"/>
      <c r="H2507" s="55" t="n"/>
      <c r="I2507" s="62" t="n"/>
      <c r="J2507" s="58" t="n"/>
      <c r="K2507" s="63">
        <f>IF(tblMovement[[#This Row],[Source]]="","",IFERROR(INDEX(tblSources[Type],MATCH(tblMovement[[#This Row],[Source]],tblSources[Source],0)),"?"))</f>
        <v/>
      </c>
      <c r="L2507" s="63">
        <f>IF(tblMovement[[#This Row],[Destination]]="","",IFERROR(INDEX(tblDestinations[Type],MATCH(tblMovement[[#This Row],[Destination]],tblDestinations[Destination],0)),"?"))</f>
        <v/>
      </c>
      <c r="M2507" s="64">
        <f>IF(tblMovement[[#This Row],[Material]]="","",IF(LEFT(tblMovement[[#This Row],[Material]],3)="Ore",1,0))</f>
        <v/>
      </c>
      <c r="N2507" s="59">
        <f>IF(OR(tblMovement[[#This Row],[Tonnes_t]]="",tblMovement[[#This Row],[Grade_gpt]]=""),0,tblMovement[[#This Row],[Tonnes_t]]*tblMovement[[#This Row],[Grade_gpt]]/cfg_TroyOz)</f>
        <v/>
      </c>
      <c r="O2507" s="59">
        <f>IF(tblMovement[[#This Row],[Is_Ore]]=1,tblMovement[[#This Row],[Contained_oz]],0)</f>
        <v/>
      </c>
    </row>
    <row r="2508">
      <c r="A2508" s="54" t="n"/>
      <c r="B2508" s="61" t="n"/>
      <c r="C2508" s="61" t="n"/>
      <c r="D2508" s="61" t="n"/>
      <c r="E2508" s="61" t="n"/>
      <c r="F2508" s="55" t="n"/>
      <c r="G2508" s="56" t="n"/>
      <c r="H2508" s="55" t="n"/>
      <c r="I2508" s="62" t="n"/>
      <c r="J2508" s="58" t="n"/>
      <c r="K2508" s="63">
        <f>IF(tblMovement[[#This Row],[Source]]="","",IFERROR(INDEX(tblSources[Type],MATCH(tblMovement[[#This Row],[Source]],tblSources[Source],0)),"?"))</f>
        <v/>
      </c>
      <c r="L2508" s="63">
        <f>IF(tblMovement[[#This Row],[Destination]]="","",IFERROR(INDEX(tblDestinations[Type],MATCH(tblMovement[[#This Row],[Destination]],tblDestinations[Destination],0)),"?"))</f>
        <v/>
      </c>
      <c r="M2508" s="64">
        <f>IF(tblMovement[[#This Row],[Material]]="","",IF(LEFT(tblMovement[[#This Row],[Material]],3)="Ore",1,0))</f>
        <v/>
      </c>
      <c r="N2508" s="59">
        <f>IF(OR(tblMovement[[#This Row],[Tonnes_t]]="",tblMovement[[#This Row],[Grade_gpt]]=""),0,tblMovement[[#This Row],[Tonnes_t]]*tblMovement[[#This Row],[Grade_gpt]]/cfg_TroyOz)</f>
        <v/>
      </c>
      <c r="O2508" s="59">
        <f>IF(tblMovement[[#This Row],[Is_Ore]]=1,tblMovement[[#This Row],[Contained_oz]],0)</f>
        <v/>
      </c>
    </row>
    <row r="2509">
      <c r="A2509" s="54" t="n"/>
      <c r="B2509" s="61" t="n"/>
      <c r="C2509" s="61" t="n"/>
      <c r="D2509" s="61" t="n"/>
      <c r="E2509" s="61" t="n"/>
      <c r="F2509" s="55" t="n"/>
      <c r="G2509" s="56" t="n"/>
      <c r="H2509" s="55" t="n"/>
      <c r="I2509" s="62" t="n"/>
      <c r="J2509" s="58" t="n"/>
      <c r="K2509" s="63">
        <f>IF(tblMovement[[#This Row],[Source]]="","",IFERROR(INDEX(tblSources[Type],MATCH(tblMovement[[#This Row],[Source]],tblSources[Source],0)),"?"))</f>
        <v/>
      </c>
      <c r="L2509" s="63">
        <f>IF(tblMovement[[#This Row],[Destination]]="","",IFERROR(INDEX(tblDestinations[Type],MATCH(tblMovement[[#This Row],[Destination]],tblDestinations[Destination],0)),"?"))</f>
        <v/>
      </c>
      <c r="M2509" s="64">
        <f>IF(tblMovement[[#This Row],[Material]]="","",IF(LEFT(tblMovement[[#This Row],[Material]],3)="Ore",1,0))</f>
        <v/>
      </c>
      <c r="N2509" s="59">
        <f>IF(OR(tblMovement[[#This Row],[Tonnes_t]]="",tblMovement[[#This Row],[Grade_gpt]]=""),0,tblMovement[[#This Row],[Tonnes_t]]*tblMovement[[#This Row],[Grade_gpt]]/cfg_TroyOz)</f>
        <v/>
      </c>
      <c r="O2509" s="59">
        <f>IF(tblMovement[[#This Row],[Is_Ore]]=1,tblMovement[[#This Row],[Contained_oz]],0)</f>
        <v/>
      </c>
    </row>
    <row r="2510">
      <c r="A2510" s="54" t="n"/>
      <c r="B2510" s="61" t="n"/>
      <c r="C2510" s="61" t="n"/>
      <c r="D2510" s="61" t="n"/>
      <c r="E2510" s="61" t="n"/>
      <c r="F2510" s="55" t="n"/>
      <c r="G2510" s="56" t="n"/>
      <c r="H2510" s="55" t="n"/>
      <c r="I2510" s="62" t="n"/>
      <c r="J2510" s="58" t="n"/>
      <c r="K2510" s="63">
        <f>IF(tblMovement[[#This Row],[Source]]="","",IFERROR(INDEX(tblSources[Type],MATCH(tblMovement[[#This Row],[Source]],tblSources[Source],0)),"?"))</f>
        <v/>
      </c>
      <c r="L2510" s="63">
        <f>IF(tblMovement[[#This Row],[Destination]]="","",IFERROR(INDEX(tblDestinations[Type],MATCH(tblMovement[[#This Row],[Destination]],tblDestinations[Destination],0)),"?"))</f>
        <v/>
      </c>
      <c r="M2510" s="64">
        <f>IF(tblMovement[[#This Row],[Material]]="","",IF(LEFT(tblMovement[[#This Row],[Material]],3)="Ore",1,0))</f>
        <v/>
      </c>
      <c r="N2510" s="59">
        <f>IF(OR(tblMovement[[#This Row],[Tonnes_t]]="",tblMovement[[#This Row],[Grade_gpt]]=""),0,tblMovement[[#This Row],[Tonnes_t]]*tblMovement[[#This Row],[Grade_gpt]]/cfg_TroyOz)</f>
        <v/>
      </c>
      <c r="O2510" s="59">
        <f>IF(tblMovement[[#This Row],[Is_Ore]]=1,tblMovement[[#This Row],[Contained_oz]],0)</f>
        <v/>
      </c>
    </row>
    <row r="2511">
      <c r="A2511" s="54" t="n"/>
      <c r="B2511" s="61" t="n"/>
      <c r="C2511" s="61" t="n"/>
      <c r="D2511" s="61" t="n"/>
      <c r="E2511" s="61" t="n"/>
      <c r="F2511" s="55" t="n"/>
      <c r="G2511" s="56" t="n"/>
      <c r="H2511" s="55" t="n"/>
      <c r="I2511" s="62" t="n"/>
      <c r="J2511" s="58" t="n"/>
      <c r="K2511" s="63">
        <f>IF(tblMovement[[#This Row],[Source]]="","",IFERROR(INDEX(tblSources[Type],MATCH(tblMovement[[#This Row],[Source]],tblSources[Source],0)),"?"))</f>
        <v/>
      </c>
      <c r="L2511" s="63">
        <f>IF(tblMovement[[#This Row],[Destination]]="","",IFERROR(INDEX(tblDestinations[Type],MATCH(tblMovement[[#This Row],[Destination]],tblDestinations[Destination],0)),"?"))</f>
        <v/>
      </c>
      <c r="M2511" s="64">
        <f>IF(tblMovement[[#This Row],[Material]]="","",IF(LEFT(tblMovement[[#This Row],[Material]],3)="Ore",1,0))</f>
        <v/>
      </c>
      <c r="N2511" s="59">
        <f>IF(OR(tblMovement[[#This Row],[Tonnes_t]]="",tblMovement[[#This Row],[Grade_gpt]]=""),0,tblMovement[[#This Row],[Tonnes_t]]*tblMovement[[#This Row],[Grade_gpt]]/cfg_TroyOz)</f>
        <v/>
      </c>
      <c r="O2511" s="59">
        <f>IF(tblMovement[[#This Row],[Is_Ore]]=1,tblMovement[[#This Row],[Contained_oz]],0)</f>
        <v/>
      </c>
    </row>
    <row r="2512">
      <c r="A2512" s="54" t="n"/>
      <c r="B2512" s="61" t="n"/>
      <c r="C2512" s="61" t="n"/>
      <c r="D2512" s="61" t="n"/>
      <c r="E2512" s="61" t="n"/>
      <c r="F2512" s="55" t="n"/>
      <c r="G2512" s="56" t="n"/>
      <c r="H2512" s="55" t="n"/>
      <c r="I2512" s="62" t="n"/>
      <c r="J2512" s="58" t="n"/>
      <c r="K2512" s="63">
        <f>IF(tblMovement[[#This Row],[Source]]="","",IFERROR(INDEX(tblSources[Type],MATCH(tblMovement[[#This Row],[Source]],tblSources[Source],0)),"?"))</f>
        <v/>
      </c>
      <c r="L2512" s="63">
        <f>IF(tblMovement[[#This Row],[Destination]]="","",IFERROR(INDEX(tblDestinations[Type],MATCH(tblMovement[[#This Row],[Destination]],tblDestinations[Destination],0)),"?"))</f>
        <v/>
      </c>
      <c r="M2512" s="64">
        <f>IF(tblMovement[[#This Row],[Material]]="","",IF(LEFT(tblMovement[[#This Row],[Material]],3)="Ore",1,0))</f>
        <v/>
      </c>
      <c r="N2512" s="59">
        <f>IF(OR(tblMovement[[#This Row],[Tonnes_t]]="",tblMovement[[#This Row],[Grade_gpt]]=""),0,tblMovement[[#This Row],[Tonnes_t]]*tblMovement[[#This Row],[Grade_gpt]]/cfg_TroyOz)</f>
        <v/>
      </c>
      <c r="O2512" s="59">
        <f>IF(tblMovement[[#This Row],[Is_Ore]]=1,tblMovement[[#This Row],[Contained_oz]],0)</f>
        <v/>
      </c>
    </row>
    <row r="2513">
      <c r="A2513" s="54" t="n"/>
      <c r="B2513" s="61" t="n"/>
      <c r="C2513" s="61" t="n"/>
      <c r="D2513" s="61" t="n"/>
      <c r="E2513" s="61" t="n"/>
      <c r="F2513" s="55" t="n"/>
      <c r="G2513" s="56" t="n"/>
      <c r="H2513" s="55" t="n"/>
      <c r="I2513" s="62" t="n"/>
      <c r="J2513" s="58" t="n"/>
      <c r="K2513" s="63">
        <f>IF(tblMovement[[#This Row],[Source]]="","",IFERROR(INDEX(tblSources[Type],MATCH(tblMovement[[#This Row],[Source]],tblSources[Source],0)),"?"))</f>
        <v/>
      </c>
      <c r="L2513" s="63">
        <f>IF(tblMovement[[#This Row],[Destination]]="","",IFERROR(INDEX(tblDestinations[Type],MATCH(tblMovement[[#This Row],[Destination]],tblDestinations[Destination],0)),"?"))</f>
        <v/>
      </c>
      <c r="M2513" s="64">
        <f>IF(tblMovement[[#This Row],[Material]]="","",IF(LEFT(tblMovement[[#This Row],[Material]],3)="Ore",1,0))</f>
        <v/>
      </c>
      <c r="N2513" s="59">
        <f>IF(OR(tblMovement[[#This Row],[Tonnes_t]]="",tblMovement[[#This Row],[Grade_gpt]]=""),0,tblMovement[[#This Row],[Tonnes_t]]*tblMovement[[#This Row],[Grade_gpt]]/cfg_TroyOz)</f>
        <v/>
      </c>
      <c r="O2513" s="59">
        <f>IF(tblMovement[[#This Row],[Is_Ore]]=1,tblMovement[[#This Row],[Contained_oz]],0)</f>
        <v/>
      </c>
    </row>
    <row r="2514">
      <c r="A2514" s="54" t="n"/>
      <c r="B2514" s="61" t="n"/>
      <c r="C2514" s="61" t="n"/>
      <c r="D2514" s="61" t="n"/>
      <c r="E2514" s="61" t="n"/>
      <c r="F2514" s="55" t="n"/>
      <c r="G2514" s="56" t="n"/>
      <c r="H2514" s="55" t="n"/>
      <c r="I2514" s="62" t="n"/>
      <c r="J2514" s="58" t="n"/>
      <c r="K2514" s="63">
        <f>IF(tblMovement[[#This Row],[Source]]="","",IFERROR(INDEX(tblSources[Type],MATCH(tblMovement[[#This Row],[Source]],tblSources[Source],0)),"?"))</f>
        <v/>
      </c>
      <c r="L2514" s="63">
        <f>IF(tblMovement[[#This Row],[Destination]]="","",IFERROR(INDEX(tblDestinations[Type],MATCH(tblMovement[[#This Row],[Destination]],tblDestinations[Destination],0)),"?"))</f>
        <v/>
      </c>
      <c r="M2514" s="64">
        <f>IF(tblMovement[[#This Row],[Material]]="","",IF(LEFT(tblMovement[[#This Row],[Material]],3)="Ore",1,0))</f>
        <v/>
      </c>
      <c r="N2514" s="59">
        <f>IF(OR(tblMovement[[#This Row],[Tonnes_t]]="",tblMovement[[#This Row],[Grade_gpt]]=""),0,tblMovement[[#This Row],[Tonnes_t]]*tblMovement[[#This Row],[Grade_gpt]]/cfg_TroyOz)</f>
        <v/>
      </c>
      <c r="O2514" s="59">
        <f>IF(tblMovement[[#This Row],[Is_Ore]]=1,tblMovement[[#This Row],[Contained_oz]],0)</f>
        <v/>
      </c>
    </row>
    <row r="2515">
      <c r="A2515" s="54" t="n"/>
      <c r="B2515" s="61" t="n"/>
      <c r="C2515" s="61" t="n"/>
      <c r="D2515" s="61" t="n"/>
      <c r="E2515" s="61" t="n"/>
      <c r="F2515" s="55" t="n"/>
      <c r="G2515" s="56" t="n"/>
      <c r="H2515" s="55" t="n"/>
      <c r="I2515" s="62" t="n"/>
      <c r="J2515" s="58" t="n"/>
      <c r="K2515" s="63">
        <f>IF(tblMovement[[#This Row],[Source]]="","",IFERROR(INDEX(tblSources[Type],MATCH(tblMovement[[#This Row],[Source]],tblSources[Source],0)),"?"))</f>
        <v/>
      </c>
      <c r="L2515" s="63">
        <f>IF(tblMovement[[#This Row],[Destination]]="","",IFERROR(INDEX(tblDestinations[Type],MATCH(tblMovement[[#This Row],[Destination]],tblDestinations[Destination],0)),"?"))</f>
        <v/>
      </c>
      <c r="M2515" s="64">
        <f>IF(tblMovement[[#This Row],[Material]]="","",IF(LEFT(tblMovement[[#This Row],[Material]],3)="Ore",1,0))</f>
        <v/>
      </c>
      <c r="N2515" s="59">
        <f>IF(OR(tblMovement[[#This Row],[Tonnes_t]]="",tblMovement[[#This Row],[Grade_gpt]]=""),0,tblMovement[[#This Row],[Tonnes_t]]*tblMovement[[#This Row],[Grade_gpt]]/cfg_TroyOz)</f>
        <v/>
      </c>
      <c r="O2515" s="59">
        <f>IF(tblMovement[[#This Row],[Is_Ore]]=1,tblMovement[[#This Row],[Contained_oz]],0)</f>
        <v/>
      </c>
    </row>
    <row r="2516">
      <c r="A2516" s="54" t="n"/>
      <c r="B2516" s="61" t="n"/>
      <c r="C2516" s="61" t="n"/>
      <c r="D2516" s="61" t="n"/>
      <c r="E2516" s="61" t="n"/>
      <c r="F2516" s="55" t="n"/>
      <c r="G2516" s="56" t="n"/>
      <c r="H2516" s="55" t="n"/>
      <c r="I2516" s="62" t="n"/>
      <c r="J2516" s="58" t="n"/>
      <c r="K2516" s="63">
        <f>IF(tblMovement[[#This Row],[Source]]="","",IFERROR(INDEX(tblSources[Type],MATCH(tblMovement[[#This Row],[Source]],tblSources[Source],0)),"?"))</f>
        <v/>
      </c>
      <c r="L2516" s="63">
        <f>IF(tblMovement[[#This Row],[Destination]]="","",IFERROR(INDEX(tblDestinations[Type],MATCH(tblMovement[[#This Row],[Destination]],tblDestinations[Destination],0)),"?"))</f>
        <v/>
      </c>
      <c r="M2516" s="64">
        <f>IF(tblMovement[[#This Row],[Material]]="","",IF(LEFT(tblMovement[[#This Row],[Material]],3)="Ore",1,0))</f>
        <v/>
      </c>
      <c r="N2516" s="59">
        <f>IF(OR(tblMovement[[#This Row],[Tonnes_t]]="",tblMovement[[#This Row],[Grade_gpt]]=""),0,tblMovement[[#This Row],[Tonnes_t]]*tblMovement[[#This Row],[Grade_gpt]]/cfg_TroyOz)</f>
        <v/>
      </c>
      <c r="O2516" s="59">
        <f>IF(tblMovement[[#This Row],[Is_Ore]]=1,tblMovement[[#This Row],[Contained_oz]],0)</f>
        <v/>
      </c>
    </row>
    <row r="2517">
      <c r="A2517" s="54" t="n"/>
      <c r="B2517" s="61" t="n"/>
      <c r="C2517" s="61" t="n"/>
      <c r="D2517" s="61" t="n"/>
      <c r="E2517" s="61" t="n"/>
      <c r="F2517" s="55" t="n"/>
      <c r="G2517" s="56" t="n"/>
      <c r="H2517" s="55" t="n"/>
      <c r="I2517" s="62" t="n"/>
      <c r="J2517" s="58" t="n"/>
      <c r="K2517" s="63">
        <f>IF(tblMovement[[#This Row],[Source]]="","",IFERROR(INDEX(tblSources[Type],MATCH(tblMovement[[#This Row],[Source]],tblSources[Source],0)),"?"))</f>
        <v/>
      </c>
      <c r="L2517" s="63">
        <f>IF(tblMovement[[#This Row],[Destination]]="","",IFERROR(INDEX(tblDestinations[Type],MATCH(tblMovement[[#This Row],[Destination]],tblDestinations[Destination],0)),"?"))</f>
        <v/>
      </c>
      <c r="M2517" s="64">
        <f>IF(tblMovement[[#This Row],[Material]]="","",IF(LEFT(tblMovement[[#This Row],[Material]],3)="Ore",1,0))</f>
        <v/>
      </c>
      <c r="N2517" s="59">
        <f>IF(OR(tblMovement[[#This Row],[Tonnes_t]]="",tblMovement[[#This Row],[Grade_gpt]]=""),0,tblMovement[[#This Row],[Tonnes_t]]*tblMovement[[#This Row],[Grade_gpt]]/cfg_TroyOz)</f>
        <v/>
      </c>
      <c r="O2517" s="59">
        <f>IF(tblMovement[[#This Row],[Is_Ore]]=1,tblMovement[[#This Row],[Contained_oz]],0)</f>
        <v/>
      </c>
    </row>
    <row r="2518">
      <c r="A2518" s="54" t="n"/>
      <c r="B2518" s="61" t="n"/>
      <c r="C2518" s="61" t="n"/>
      <c r="D2518" s="61" t="n"/>
      <c r="E2518" s="61" t="n"/>
      <c r="F2518" s="55" t="n"/>
      <c r="G2518" s="56" t="n"/>
      <c r="H2518" s="55" t="n"/>
      <c r="I2518" s="62" t="n"/>
      <c r="J2518" s="58" t="n"/>
      <c r="K2518" s="63">
        <f>IF(tblMovement[[#This Row],[Source]]="","",IFERROR(INDEX(tblSources[Type],MATCH(tblMovement[[#This Row],[Source]],tblSources[Source],0)),"?"))</f>
        <v/>
      </c>
      <c r="L2518" s="63">
        <f>IF(tblMovement[[#This Row],[Destination]]="","",IFERROR(INDEX(tblDestinations[Type],MATCH(tblMovement[[#This Row],[Destination]],tblDestinations[Destination],0)),"?"))</f>
        <v/>
      </c>
      <c r="M2518" s="64">
        <f>IF(tblMovement[[#This Row],[Material]]="","",IF(LEFT(tblMovement[[#This Row],[Material]],3)="Ore",1,0))</f>
        <v/>
      </c>
      <c r="N2518" s="59">
        <f>IF(OR(tblMovement[[#This Row],[Tonnes_t]]="",tblMovement[[#This Row],[Grade_gpt]]=""),0,tblMovement[[#This Row],[Tonnes_t]]*tblMovement[[#This Row],[Grade_gpt]]/cfg_TroyOz)</f>
        <v/>
      </c>
      <c r="O2518" s="59">
        <f>IF(tblMovement[[#This Row],[Is_Ore]]=1,tblMovement[[#This Row],[Contained_oz]],0)</f>
        <v/>
      </c>
    </row>
    <row r="2519">
      <c r="A2519" s="54" t="n"/>
      <c r="B2519" s="61" t="n"/>
      <c r="C2519" s="61" t="n"/>
      <c r="D2519" s="61" t="n"/>
      <c r="E2519" s="61" t="n"/>
      <c r="F2519" s="55" t="n"/>
      <c r="G2519" s="56" t="n"/>
      <c r="H2519" s="55" t="n"/>
      <c r="I2519" s="62" t="n"/>
      <c r="J2519" s="58" t="n"/>
      <c r="K2519" s="63">
        <f>IF(tblMovement[[#This Row],[Source]]="","",IFERROR(INDEX(tblSources[Type],MATCH(tblMovement[[#This Row],[Source]],tblSources[Source],0)),"?"))</f>
        <v/>
      </c>
      <c r="L2519" s="63">
        <f>IF(tblMovement[[#This Row],[Destination]]="","",IFERROR(INDEX(tblDestinations[Type],MATCH(tblMovement[[#This Row],[Destination]],tblDestinations[Destination],0)),"?"))</f>
        <v/>
      </c>
      <c r="M2519" s="64">
        <f>IF(tblMovement[[#This Row],[Material]]="","",IF(LEFT(tblMovement[[#This Row],[Material]],3)="Ore",1,0))</f>
        <v/>
      </c>
      <c r="N2519" s="59">
        <f>IF(OR(tblMovement[[#This Row],[Tonnes_t]]="",tblMovement[[#This Row],[Grade_gpt]]=""),0,tblMovement[[#This Row],[Tonnes_t]]*tblMovement[[#This Row],[Grade_gpt]]/cfg_TroyOz)</f>
        <v/>
      </c>
      <c r="O2519" s="59">
        <f>IF(tblMovement[[#This Row],[Is_Ore]]=1,tblMovement[[#This Row],[Contained_oz]],0)</f>
        <v/>
      </c>
    </row>
    <row r="2520">
      <c r="A2520" s="54" t="n"/>
      <c r="B2520" s="61" t="n"/>
      <c r="C2520" s="61" t="n"/>
      <c r="D2520" s="61" t="n"/>
      <c r="E2520" s="61" t="n"/>
      <c r="F2520" s="55" t="n"/>
      <c r="G2520" s="56" t="n"/>
      <c r="H2520" s="55" t="n"/>
      <c r="I2520" s="62" t="n"/>
      <c r="J2520" s="58" t="n"/>
      <c r="K2520" s="63">
        <f>IF(tblMovement[[#This Row],[Source]]="","",IFERROR(INDEX(tblSources[Type],MATCH(tblMovement[[#This Row],[Source]],tblSources[Source],0)),"?"))</f>
        <v/>
      </c>
      <c r="L2520" s="63">
        <f>IF(tblMovement[[#This Row],[Destination]]="","",IFERROR(INDEX(tblDestinations[Type],MATCH(tblMovement[[#This Row],[Destination]],tblDestinations[Destination],0)),"?"))</f>
        <v/>
      </c>
      <c r="M2520" s="64">
        <f>IF(tblMovement[[#This Row],[Material]]="","",IF(LEFT(tblMovement[[#This Row],[Material]],3)="Ore",1,0))</f>
        <v/>
      </c>
      <c r="N2520" s="59">
        <f>IF(OR(tblMovement[[#This Row],[Tonnes_t]]="",tblMovement[[#This Row],[Grade_gpt]]=""),0,tblMovement[[#This Row],[Tonnes_t]]*tblMovement[[#This Row],[Grade_gpt]]/cfg_TroyOz)</f>
        <v/>
      </c>
      <c r="O2520" s="59">
        <f>IF(tblMovement[[#This Row],[Is_Ore]]=1,tblMovement[[#This Row],[Contained_oz]],0)</f>
        <v/>
      </c>
    </row>
    <row r="2521">
      <c r="A2521" s="54" t="n"/>
      <c r="B2521" s="61" t="n"/>
      <c r="C2521" s="61" t="n"/>
      <c r="D2521" s="61" t="n"/>
      <c r="E2521" s="61" t="n"/>
      <c r="F2521" s="55" t="n"/>
      <c r="G2521" s="56" t="n"/>
      <c r="H2521" s="55" t="n"/>
      <c r="I2521" s="62" t="n"/>
      <c r="J2521" s="58" t="n"/>
      <c r="K2521" s="63">
        <f>IF(tblMovement[[#This Row],[Source]]="","",IFERROR(INDEX(tblSources[Type],MATCH(tblMovement[[#This Row],[Source]],tblSources[Source],0)),"?"))</f>
        <v/>
      </c>
      <c r="L2521" s="63">
        <f>IF(tblMovement[[#This Row],[Destination]]="","",IFERROR(INDEX(tblDestinations[Type],MATCH(tblMovement[[#This Row],[Destination]],tblDestinations[Destination],0)),"?"))</f>
        <v/>
      </c>
      <c r="M2521" s="64">
        <f>IF(tblMovement[[#This Row],[Material]]="","",IF(LEFT(tblMovement[[#This Row],[Material]],3)="Ore",1,0))</f>
        <v/>
      </c>
      <c r="N2521" s="59">
        <f>IF(OR(tblMovement[[#This Row],[Tonnes_t]]="",tblMovement[[#This Row],[Grade_gpt]]=""),0,tblMovement[[#This Row],[Tonnes_t]]*tblMovement[[#This Row],[Grade_gpt]]/cfg_TroyOz)</f>
        <v/>
      </c>
      <c r="O2521" s="59">
        <f>IF(tblMovement[[#This Row],[Is_Ore]]=1,tblMovement[[#This Row],[Contained_oz]],0)</f>
        <v/>
      </c>
    </row>
    <row r="2522">
      <c r="A2522" s="54" t="n"/>
      <c r="B2522" s="61" t="n"/>
      <c r="C2522" s="61" t="n"/>
      <c r="D2522" s="61" t="n"/>
      <c r="E2522" s="61" t="n"/>
      <c r="F2522" s="55" t="n"/>
      <c r="G2522" s="56" t="n"/>
      <c r="H2522" s="55" t="n"/>
      <c r="I2522" s="62" t="n"/>
      <c r="J2522" s="58" t="n"/>
      <c r="K2522" s="63">
        <f>IF(tblMovement[[#This Row],[Source]]="","",IFERROR(INDEX(tblSources[Type],MATCH(tblMovement[[#This Row],[Source]],tblSources[Source],0)),"?"))</f>
        <v/>
      </c>
      <c r="L2522" s="63">
        <f>IF(tblMovement[[#This Row],[Destination]]="","",IFERROR(INDEX(tblDestinations[Type],MATCH(tblMovement[[#This Row],[Destination]],tblDestinations[Destination],0)),"?"))</f>
        <v/>
      </c>
      <c r="M2522" s="64">
        <f>IF(tblMovement[[#This Row],[Material]]="","",IF(LEFT(tblMovement[[#This Row],[Material]],3)="Ore",1,0))</f>
        <v/>
      </c>
      <c r="N2522" s="59">
        <f>IF(OR(tblMovement[[#This Row],[Tonnes_t]]="",tblMovement[[#This Row],[Grade_gpt]]=""),0,tblMovement[[#This Row],[Tonnes_t]]*tblMovement[[#This Row],[Grade_gpt]]/cfg_TroyOz)</f>
        <v/>
      </c>
      <c r="O2522" s="59">
        <f>IF(tblMovement[[#This Row],[Is_Ore]]=1,tblMovement[[#This Row],[Contained_oz]],0)</f>
        <v/>
      </c>
    </row>
    <row r="2523">
      <c r="A2523" s="54" t="n"/>
      <c r="B2523" s="61" t="n"/>
      <c r="C2523" s="61" t="n"/>
      <c r="D2523" s="61" t="n"/>
      <c r="E2523" s="61" t="n"/>
      <c r="F2523" s="55" t="n"/>
      <c r="G2523" s="56" t="n"/>
      <c r="H2523" s="55" t="n"/>
      <c r="I2523" s="62" t="n"/>
      <c r="J2523" s="58" t="n"/>
      <c r="K2523" s="63">
        <f>IF(tblMovement[[#This Row],[Source]]="","",IFERROR(INDEX(tblSources[Type],MATCH(tblMovement[[#This Row],[Source]],tblSources[Source],0)),"?"))</f>
        <v/>
      </c>
      <c r="L2523" s="63">
        <f>IF(tblMovement[[#This Row],[Destination]]="","",IFERROR(INDEX(tblDestinations[Type],MATCH(tblMovement[[#This Row],[Destination]],tblDestinations[Destination],0)),"?"))</f>
        <v/>
      </c>
      <c r="M2523" s="64">
        <f>IF(tblMovement[[#This Row],[Material]]="","",IF(LEFT(tblMovement[[#This Row],[Material]],3)="Ore",1,0))</f>
        <v/>
      </c>
      <c r="N2523" s="59">
        <f>IF(OR(tblMovement[[#This Row],[Tonnes_t]]="",tblMovement[[#This Row],[Grade_gpt]]=""),0,tblMovement[[#This Row],[Tonnes_t]]*tblMovement[[#This Row],[Grade_gpt]]/cfg_TroyOz)</f>
        <v/>
      </c>
      <c r="O2523" s="59">
        <f>IF(tblMovement[[#This Row],[Is_Ore]]=1,tblMovement[[#This Row],[Contained_oz]],0)</f>
        <v/>
      </c>
    </row>
    <row r="2524">
      <c r="A2524" s="54" t="n"/>
      <c r="B2524" s="61" t="n"/>
      <c r="C2524" s="61" t="n"/>
      <c r="D2524" s="61" t="n"/>
      <c r="E2524" s="61" t="n"/>
      <c r="F2524" s="55" t="n"/>
      <c r="G2524" s="56" t="n"/>
      <c r="H2524" s="55" t="n"/>
      <c r="I2524" s="62" t="n"/>
      <c r="J2524" s="58" t="n"/>
      <c r="K2524" s="63">
        <f>IF(tblMovement[[#This Row],[Source]]="","",IFERROR(INDEX(tblSources[Type],MATCH(tblMovement[[#This Row],[Source]],tblSources[Source],0)),"?"))</f>
        <v/>
      </c>
      <c r="L2524" s="63">
        <f>IF(tblMovement[[#This Row],[Destination]]="","",IFERROR(INDEX(tblDestinations[Type],MATCH(tblMovement[[#This Row],[Destination]],tblDestinations[Destination],0)),"?"))</f>
        <v/>
      </c>
      <c r="M2524" s="64">
        <f>IF(tblMovement[[#This Row],[Material]]="","",IF(LEFT(tblMovement[[#This Row],[Material]],3)="Ore",1,0))</f>
        <v/>
      </c>
      <c r="N2524" s="59">
        <f>IF(OR(tblMovement[[#This Row],[Tonnes_t]]="",tblMovement[[#This Row],[Grade_gpt]]=""),0,tblMovement[[#This Row],[Tonnes_t]]*tblMovement[[#This Row],[Grade_gpt]]/cfg_TroyOz)</f>
        <v/>
      </c>
      <c r="O2524" s="59">
        <f>IF(tblMovement[[#This Row],[Is_Ore]]=1,tblMovement[[#This Row],[Contained_oz]],0)</f>
        <v/>
      </c>
    </row>
    <row r="2525">
      <c r="A2525" s="54" t="n"/>
      <c r="B2525" s="61" t="n"/>
      <c r="C2525" s="61" t="n"/>
      <c r="D2525" s="61" t="n"/>
      <c r="E2525" s="61" t="n"/>
      <c r="F2525" s="55" t="n"/>
      <c r="G2525" s="56" t="n"/>
      <c r="H2525" s="55" t="n"/>
      <c r="I2525" s="62" t="n"/>
      <c r="J2525" s="58" t="n"/>
      <c r="K2525" s="63">
        <f>IF(tblMovement[[#This Row],[Source]]="","",IFERROR(INDEX(tblSources[Type],MATCH(tblMovement[[#This Row],[Source]],tblSources[Source],0)),"?"))</f>
        <v/>
      </c>
      <c r="L2525" s="63">
        <f>IF(tblMovement[[#This Row],[Destination]]="","",IFERROR(INDEX(tblDestinations[Type],MATCH(tblMovement[[#This Row],[Destination]],tblDestinations[Destination],0)),"?"))</f>
        <v/>
      </c>
      <c r="M2525" s="64">
        <f>IF(tblMovement[[#This Row],[Material]]="","",IF(LEFT(tblMovement[[#This Row],[Material]],3)="Ore",1,0))</f>
        <v/>
      </c>
      <c r="N2525" s="59">
        <f>IF(OR(tblMovement[[#This Row],[Tonnes_t]]="",tblMovement[[#This Row],[Grade_gpt]]=""),0,tblMovement[[#This Row],[Tonnes_t]]*tblMovement[[#This Row],[Grade_gpt]]/cfg_TroyOz)</f>
        <v/>
      </c>
      <c r="O2525" s="59">
        <f>IF(tblMovement[[#This Row],[Is_Ore]]=1,tblMovement[[#This Row],[Contained_oz]],0)</f>
        <v/>
      </c>
    </row>
    <row r="2526">
      <c r="A2526" s="54" t="n"/>
      <c r="B2526" s="61" t="n"/>
      <c r="C2526" s="61" t="n"/>
      <c r="D2526" s="61" t="n"/>
      <c r="E2526" s="61" t="n"/>
      <c r="F2526" s="55" t="n"/>
      <c r="G2526" s="56" t="n"/>
      <c r="H2526" s="55" t="n"/>
      <c r="I2526" s="62" t="n"/>
      <c r="J2526" s="58" t="n"/>
      <c r="K2526" s="63">
        <f>IF(tblMovement[[#This Row],[Source]]="","",IFERROR(INDEX(tblSources[Type],MATCH(tblMovement[[#This Row],[Source]],tblSources[Source],0)),"?"))</f>
        <v/>
      </c>
      <c r="L2526" s="63">
        <f>IF(tblMovement[[#This Row],[Destination]]="","",IFERROR(INDEX(tblDestinations[Type],MATCH(tblMovement[[#This Row],[Destination]],tblDestinations[Destination],0)),"?"))</f>
        <v/>
      </c>
      <c r="M2526" s="64">
        <f>IF(tblMovement[[#This Row],[Material]]="","",IF(LEFT(tblMovement[[#This Row],[Material]],3)="Ore",1,0))</f>
        <v/>
      </c>
      <c r="N2526" s="59">
        <f>IF(OR(tblMovement[[#This Row],[Tonnes_t]]="",tblMovement[[#This Row],[Grade_gpt]]=""),0,tblMovement[[#This Row],[Tonnes_t]]*tblMovement[[#This Row],[Grade_gpt]]/cfg_TroyOz)</f>
        <v/>
      </c>
      <c r="O2526" s="59">
        <f>IF(tblMovement[[#This Row],[Is_Ore]]=1,tblMovement[[#This Row],[Contained_oz]],0)</f>
        <v/>
      </c>
    </row>
    <row r="2527">
      <c r="A2527" s="54" t="n"/>
      <c r="B2527" s="61" t="n"/>
      <c r="C2527" s="61" t="n"/>
      <c r="D2527" s="61" t="n"/>
      <c r="E2527" s="61" t="n"/>
      <c r="F2527" s="55" t="n"/>
      <c r="G2527" s="56" t="n"/>
      <c r="H2527" s="55" t="n"/>
      <c r="I2527" s="62" t="n"/>
      <c r="J2527" s="58" t="n"/>
      <c r="K2527" s="63">
        <f>IF(tblMovement[[#This Row],[Source]]="","",IFERROR(INDEX(tblSources[Type],MATCH(tblMovement[[#This Row],[Source]],tblSources[Source],0)),"?"))</f>
        <v/>
      </c>
      <c r="L2527" s="63">
        <f>IF(tblMovement[[#This Row],[Destination]]="","",IFERROR(INDEX(tblDestinations[Type],MATCH(tblMovement[[#This Row],[Destination]],tblDestinations[Destination],0)),"?"))</f>
        <v/>
      </c>
      <c r="M2527" s="64">
        <f>IF(tblMovement[[#This Row],[Material]]="","",IF(LEFT(tblMovement[[#This Row],[Material]],3)="Ore",1,0))</f>
        <v/>
      </c>
      <c r="N2527" s="59">
        <f>IF(OR(tblMovement[[#This Row],[Tonnes_t]]="",tblMovement[[#This Row],[Grade_gpt]]=""),0,tblMovement[[#This Row],[Tonnes_t]]*tblMovement[[#This Row],[Grade_gpt]]/cfg_TroyOz)</f>
        <v/>
      </c>
      <c r="O2527" s="59">
        <f>IF(tblMovement[[#This Row],[Is_Ore]]=1,tblMovement[[#This Row],[Contained_oz]],0)</f>
        <v/>
      </c>
    </row>
    <row r="2528">
      <c r="A2528" s="54" t="n"/>
      <c r="B2528" s="61" t="n"/>
      <c r="C2528" s="61" t="n"/>
      <c r="D2528" s="61" t="n"/>
      <c r="E2528" s="61" t="n"/>
      <c r="F2528" s="55" t="n"/>
      <c r="G2528" s="56" t="n"/>
      <c r="H2528" s="55" t="n"/>
      <c r="I2528" s="62" t="n"/>
      <c r="J2528" s="58" t="n"/>
      <c r="K2528" s="63">
        <f>IF(tblMovement[[#This Row],[Source]]="","",IFERROR(INDEX(tblSources[Type],MATCH(tblMovement[[#This Row],[Source]],tblSources[Source],0)),"?"))</f>
        <v/>
      </c>
      <c r="L2528" s="63">
        <f>IF(tblMovement[[#This Row],[Destination]]="","",IFERROR(INDEX(tblDestinations[Type],MATCH(tblMovement[[#This Row],[Destination]],tblDestinations[Destination],0)),"?"))</f>
        <v/>
      </c>
      <c r="M2528" s="64">
        <f>IF(tblMovement[[#This Row],[Material]]="","",IF(LEFT(tblMovement[[#This Row],[Material]],3)="Ore",1,0))</f>
        <v/>
      </c>
      <c r="N2528" s="59">
        <f>IF(OR(tblMovement[[#This Row],[Tonnes_t]]="",tblMovement[[#This Row],[Grade_gpt]]=""),0,tblMovement[[#This Row],[Tonnes_t]]*tblMovement[[#This Row],[Grade_gpt]]/cfg_TroyOz)</f>
        <v/>
      </c>
      <c r="O2528" s="59">
        <f>IF(tblMovement[[#This Row],[Is_Ore]]=1,tblMovement[[#This Row],[Contained_oz]],0)</f>
        <v/>
      </c>
    </row>
    <row r="2529">
      <c r="A2529" s="54" t="n"/>
      <c r="B2529" s="61" t="n"/>
      <c r="C2529" s="61" t="n"/>
      <c r="D2529" s="61" t="n"/>
      <c r="E2529" s="61" t="n"/>
      <c r="F2529" s="55" t="n"/>
      <c r="G2529" s="56" t="n"/>
      <c r="H2529" s="55" t="n"/>
      <c r="I2529" s="62" t="n"/>
      <c r="J2529" s="58" t="n"/>
      <c r="K2529" s="63">
        <f>IF(tblMovement[[#This Row],[Source]]="","",IFERROR(INDEX(tblSources[Type],MATCH(tblMovement[[#This Row],[Source]],tblSources[Source],0)),"?"))</f>
        <v/>
      </c>
      <c r="L2529" s="63">
        <f>IF(tblMovement[[#This Row],[Destination]]="","",IFERROR(INDEX(tblDestinations[Type],MATCH(tblMovement[[#This Row],[Destination]],tblDestinations[Destination],0)),"?"))</f>
        <v/>
      </c>
      <c r="M2529" s="64">
        <f>IF(tblMovement[[#This Row],[Material]]="","",IF(LEFT(tblMovement[[#This Row],[Material]],3)="Ore",1,0))</f>
        <v/>
      </c>
      <c r="N2529" s="59">
        <f>IF(OR(tblMovement[[#This Row],[Tonnes_t]]="",tblMovement[[#This Row],[Grade_gpt]]=""),0,tblMovement[[#This Row],[Tonnes_t]]*tblMovement[[#This Row],[Grade_gpt]]/cfg_TroyOz)</f>
        <v/>
      </c>
      <c r="O2529" s="59">
        <f>IF(tblMovement[[#This Row],[Is_Ore]]=1,tblMovement[[#This Row],[Contained_oz]],0)</f>
        <v/>
      </c>
    </row>
    <row r="2530">
      <c r="A2530" s="54" t="n"/>
      <c r="B2530" s="61" t="n"/>
      <c r="C2530" s="61" t="n"/>
      <c r="D2530" s="61" t="n"/>
      <c r="E2530" s="61" t="n"/>
      <c r="F2530" s="55" t="n"/>
      <c r="G2530" s="56" t="n"/>
      <c r="H2530" s="55" t="n"/>
      <c r="I2530" s="62" t="n"/>
      <c r="J2530" s="58" t="n"/>
      <c r="K2530" s="63">
        <f>IF(tblMovement[[#This Row],[Source]]="","",IFERROR(INDEX(tblSources[Type],MATCH(tblMovement[[#This Row],[Source]],tblSources[Source],0)),"?"))</f>
        <v/>
      </c>
      <c r="L2530" s="63">
        <f>IF(tblMovement[[#This Row],[Destination]]="","",IFERROR(INDEX(tblDestinations[Type],MATCH(tblMovement[[#This Row],[Destination]],tblDestinations[Destination],0)),"?"))</f>
        <v/>
      </c>
      <c r="M2530" s="64">
        <f>IF(tblMovement[[#This Row],[Material]]="","",IF(LEFT(tblMovement[[#This Row],[Material]],3)="Ore",1,0))</f>
        <v/>
      </c>
      <c r="N2530" s="59">
        <f>IF(OR(tblMovement[[#This Row],[Tonnes_t]]="",tblMovement[[#This Row],[Grade_gpt]]=""),0,tblMovement[[#This Row],[Tonnes_t]]*tblMovement[[#This Row],[Grade_gpt]]/cfg_TroyOz)</f>
        <v/>
      </c>
      <c r="O2530" s="59">
        <f>IF(tblMovement[[#This Row],[Is_Ore]]=1,tblMovement[[#This Row],[Contained_oz]],0)</f>
        <v/>
      </c>
    </row>
    <row r="2531">
      <c r="A2531" s="54" t="n"/>
      <c r="B2531" s="61" t="n"/>
      <c r="C2531" s="61" t="n"/>
      <c r="D2531" s="61" t="n"/>
      <c r="E2531" s="61" t="n"/>
      <c r="F2531" s="55" t="n"/>
      <c r="G2531" s="56" t="n"/>
      <c r="H2531" s="55" t="n"/>
      <c r="I2531" s="62" t="n"/>
      <c r="J2531" s="58" t="n"/>
      <c r="K2531" s="63">
        <f>IF(tblMovement[[#This Row],[Source]]="","",IFERROR(INDEX(tblSources[Type],MATCH(tblMovement[[#This Row],[Source]],tblSources[Source],0)),"?"))</f>
        <v/>
      </c>
      <c r="L2531" s="63">
        <f>IF(tblMovement[[#This Row],[Destination]]="","",IFERROR(INDEX(tblDestinations[Type],MATCH(tblMovement[[#This Row],[Destination]],tblDestinations[Destination],0)),"?"))</f>
        <v/>
      </c>
      <c r="M2531" s="64">
        <f>IF(tblMovement[[#This Row],[Material]]="","",IF(LEFT(tblMovement[[#This Row],[Material]],3)="Ore",1,0))</f>
        <v/>
      </c>
      <c r="N2531" s="59">
        <f>IF(OR(tblMovement[[#This Row],[Tonnes_t]]="",tblMovement[[#This Row],[Grade_gpt]]=""),0,tblMovement[[#This Row],[Tonnes_t]]*tblMovement[[#This Row],[Grade_gpt]]/cfg_TroyOz)</f>
        <v/>
      </c>
      <c r="O2531" s="59">
        <f>IF(tblMovement[[#This Row],[Is_Ore]]=1,tblMovement[[#This Row],[Contained_oz]],0)</f>
        <v/>
      </c>
    </row>
    <row r="2532">
      <c r="A2532" s="54" t="n"/>
      <c r="B2532" s="61" t="n"/>
      <c r="C2532" s="61" t="n"/>
      <c r="D2532" s="61" t="n"/>
      <c r="E2532" s="61" t="n"/>
      <c r="F2532" s="55" t="n"/>
      <c r="G2532" s="56" t="n"/>
      <c r="H2532" s="55" t="n"/>
      <c r="I2532" s="62" t="n"/>
      <c r="J2532" s="58" t="n"/>
      <c r="K2532" s="63">
        <f>IF(tblMovement[[#This Row],[Source]]="","",IFERROR(INDEX(tblSources[Type],MATCH(tblMovement[[#This Row],[Source]],tblSources[Source],0)),"?"))</f>
        <v/>
      </c>
      <c r="L2532" s="63">
        <f>IF(tblMovement[[#This Row],[Destination]]="","",IFERROR(INDEX(tblDestinations[Type],MATCH(tblMovement[[#This Row],[Destination]],tblDestinations[Destination],0)),"?"))</f>
        <v/>
      </c>
      <c r="M2532" s="64">
        <f>IF(tblMovement[[#This Row],[Material]]="","",IF(LEFT(tblMovement[[#This Row],[Material]],3)="Ore",1,0))</f>
        <v/>
      </c>
      <c r="N2532" s="59">
        <f>IF(OR(tblMovement[[#This Row],[Tonnes_t]]="",tblMovement[[#This Row],[Grade_gpt]]=""),0,tblMovement[[#This Row],[Tonnes_t]]*tblMovement[[#This Row],[Grade_gpt]]/cfg_TroyOz)</f>
        <v/>
      </c>
      <c r="O2532" s="59">
        <f>IF(tblMovement[[#This Row],[Is_Ore]]=1,tblMovement[[#This Row],[Contained_oz]],0)</f>
        <v/>
      </c>
    </row>
    <row r="2533">
      <c r="A2533" s="54" t="n"/>
      <c r="B2533" s="61" t="n"/>
      <c r="C2533" s="61" t="n"/>
      <c r="D2533" s="61" t="n"/>
      <c r="E2533" s="61" t="n"/>
      <c r="F2533" s="55" t="n"/>
      <c r="G2533" s="56" t="n"/>
      <c r="H2533" s="55" t="n"/>
      <c r="I2533" s="62" t="n"/>
      <c r="J2533" s="58" t="n"/>
      <c r="K2533" s="63">
        <f>IF(tblMovement[[#This Row],[Source]]="","",IFERROR(INDEX(tblSources[Type],MATCH(tblMovement[[#This Row],[Source]],tblSources[Source],0)),"?"))</f>
        <v/>
      </c>
      <c r="L2533" s="63">
        <f>IF(tblMovement[[#This Row],[Destination]]="","",IFERROR(INDEX(tblDestinations[Type],MATCH(tblMovement[[#This Row],[Destination]],tblDestinations[Destination],0)),"?"))</f>
        <v/>
      </c>
      <c r="M2533" s="64">
        <f>IF(tblMovement[[#This Row],[Material]]="","",IF(LEFT(tblMovement[[#This Row],[Material]],3)="Ore",1,0))</f>
        <v/>
      </c>
      <c r="N2533" s="59">
        <f>IF(OR(tblMovement[[#This Row],[Tonnes_t]]="",tblMovement[[#This Row],[Grade_gpt]]=""),0,tblMovement[[#This Row],[Tonnes_t]]*tblMovement[[#This Row],[Grade_gpt]]/cfg_TroyOz)</f>
        <v/>
      </c>
      <c r="O2533" s="59">
        <f>IF(tblMovement[[#This Row],[Is_Ore]]=1,tblMovement[[#This Row],[Contained_oz]],0)</f>
        <v/>
      </c>
    </row>
    <row r="2534">
      <c r="A2534" s="54" t="n"/>
      <c r="B2534" s="61" t="n"/>
      <c r="C2534" s="61" t="n"/>
      <c r="D2534" s="61" t="n"/>
      <c r="E2534" s="61" t="n"/>
      <c r="F2534" s="55" t="n"/>
      <c r="G2534" s="56" t="n"/>
      <c r="H2534" s="55" t="n"/>
      <c r="I2534" s="62" t="n"/>
      <c r="J2534" s="58" t="n"/>
      <c r="K2534" s="63">
        <f>IF(tblMovement[[#This Row],[Source]]="","",IFERROR(INDEX(tblSources[Type],MATCH(tblMovement[[#This Row],[Source]],tblSources[Source],0)),"?"))</f>
        <v/>
      </c>
      <c r="L2534" s="63">
        <f>IF(tblMovement[[#This Row],[Destination]]="","",IFERROR(INDEX(tblDestinations[Type],MATCH(tblMovement[[#This Row],[Destination]],tblDestinations[Destination],0)),"?"))</f>
        <v/>
      </c>
      <c r="M2534" s="64">
        <f>IF(tblMovement[[#This Row],[Material]]="","",IF(LEFT(tblMovement[[#This Row],[Material]],3)="Ore",1,0))</f>
        <v/>
      </c>
      <c r="N2534" s="59">
        <f>IF(OR(tblMovement[[#This Row],[Tonnes_t]]="",tblMovement[[#This Row],[Grade_gpt]]=""),0,tblMovement[[#This Row],[Tonnes_t]]*tblMovement[[#This Row],[Grade_gpt]]/cfg_TroyOz)</f>
        <v/>
      </c>
      <c r="O2534" s="59">
        <f>IF(tblMovement[[#This Row],[Is_Ore]]=1,tblMovement[[#This Row],[Contained_oz]],0)</f>
        <v/>
      </c>
    </row>
    <row r="2535">
      <c r="A2535" s="54" t="n"/>
      <c r="B2535" s="61" t="n"/>
      <c r="C2535" s="61" t="n"/>
      <c r="D2535" s="61" t="n"/>
      <c r="E2535" s="61" t="n"/>
      <c r="F2535" s="55" t="n"/>
      <c r="G2535" s="56" t="n"/>
      <c r="H2535" s="55" t="n"/>
      <c r="I2535" s="62" t="n"/>
      <c r="J2535" s="58" t="n"/>
      <c r="K2535" s="63">
        <f>IF(tblMovement[[#This Row],[Source]]="","",IFERROR(INDEX(tblSources[Type],MATCH(tblMovement[[#This Row],[Source]],tblSources[Source],0)),"?"))</f>
        <v/>
      </c>
      <c r="L2535" s="63">
        <f>IF(tblMovement[[#This Row],[Destination]]="","",IFERROR(INDEX(tblDestinations[Type],MATCH(tblMovement[[#This Row],[Destination]],tblDestinations[Destination],0)),"?"))</f>
        <v/>
      </c>
      <c r="M2535" s="64">
        <f>IF(tblMovement[[#This Row],[Material]]="","",IF(LEFT(tblMovement[[#This Row],[Material]],3)="Ore",1,0))</f>
        <v/>
      </c>
      <c r="N2535" s="59">
        <f>IF(OR(tblMovement[[#This Row],[Tonnes_t]]="",tblMovement[[#This Row],[Grade_gpt]]=""),0,tblMovement[[#This Row],[Tonnes_t]]*tblMovement[[#This Row],[Grade_gpt]]/cfg_TroyOz)</f>
        <v/>
      </c>
      <c r="O2535" s="59">
        <f>IF(tblMovement[[#This Row],[Is_Ore]]=1,tblMovement[[#This Row],[Contained_oz]],0)</f>
        <v/>
      </c>
    </row>
    <row r="2536">
      <c r="A2536" s="54" t="n"/>
      <c r="B2536" s="61" t="n"/>
      <c r="C2536" s="61" t="n"/>
      <c r="D2536" s="61" t="n"/>
      <c r="E2536" s="61" t="n"/>
      <c r="F2536" s="55" t="n"/>
      <c r="G2536" s="56" t="n"/>
      <c r="H2536" s="55" t="n"/>
      <c r="I2536" s="62" t="n"/>
      <c r="J2536" s="58" t="n"/>
      <c r="K2536" s="63">
        <f>IF(tblMovement[[#This Row],[Source]]="","",IFERROR(INDEX(tblSources[Type],MATCH(tblMovement[[#This Row],[Source]],tblSources[Source],0)),"?"))</f>
        <v/>
      </c>
      <c r="L2536" s="63">
        <f>IF(tblMovement[[#This Row],[Destination]]="","",IFERROR(INDEX(tblDestinations[Type],MATCH(tblMovement[[#This Row],[Destination]],tblDestinations[Destination],0)),"?"))</f>
        <v/>
      </c>
      <c r="M2536" s="64">
        <f>IF(tblMovement[[#This Row],[Material]]="","",IF(LEFT(tblMovement[[#This Row],[Material]],3)="Ore",1,0))</f>
        <v/>
      </c>
      <c r="N2536" s="59">
        <f>IF(OR(tblMovement[[#This Row],[Tonnes_t]]="",tblMovement[[#This Row],[Grade_gpt]]=""),0,tblMovement[[#This Row],[Tonnes_t]]*tblMovement[[#This Row],[Grade_gpt]]/cfg_TroyOz)</f>
        <v/>
      </c>
      <c r="O2536" s="59">
        <f>IF(tblMovement[[#This Row],[Is_Ore]]=1,tblMovement[[#This Row],[Contained_oz]],0)</f>
        <v/>
      </c>
    </row>
    <row r="2537">
      <c r="A2537" s="54" t="n"/>
      <c r="B2537" s="61" t="n"/>
      <c r="C2537" s="61" t="n"/>
      <c r="D2537" s="61" t="n"/>
      <c r="E2537" s="61" t="n"/>
      <c r="F2537" s="55" t="n"/>
      <c r="G2537" s="56" t="n"/>
      <c r="H2537" s="55" t="n"/>
      <c r="I2537" s="62" t="n"/>
      <c r="J2537" s="58" t="n"/>
      <c r="K2537" s="63">
        <f>IF(tblMovement[[#This Row],[Source]]="","",IFERROR(INDEX(tblSources[Type],MATCH(tblMovement[[#This Row],[Source]],tblSources[Source],0)),"?"))</f>
        <v/>
      </c>
      <c r="L2537" s="63">
        <f>IF(tblMovement[[#This Row],[Destination]]="","",IFERROR(INDEX(tblDestinations[Type],MATCH(tblMovement[[#This Row],[Destination]],tblDestinations[Destination],0)),"?"))</f>
        <v/>
      </c>
      <c r="M2537" s="64">
        <f>IF(tblMovement[[#This Row],[Material]]="","",IF(LEFT(tblMovement[[#This Row],[Material]],3)="Ore",1,0))</f>
        <v/>
      </c>
      <c r="N2537" s="59">
        <f>IF(OR(tblMovement[[#This Row],[Tonnes_t]]="",tblMovement[[#This Row],[Grade_gpt]]=""),0,tblMovement[[#This Row],[Tonnes_t]]*tblMovement[[#This Row],[Grade_gpt]]/cfg_TroyOz)</f>
        <v/>
      </c>
      <c r="O2537" s="59">
        <f>IF(tblMovement[[#This Row],[Is_Ore]]=1,tblMovement[[#This Row],[Contained_oz]],0)</f>
        <v/>
      </c>
    </row>
    <row r="2538">
      <c r="A2538" s="54" t="n"/>
      <c r="B2538" s="61" t="n"/>
      <c r="C2538" s="61" t="n"/>
      <c r="D2538" s="61" t="n"/>
      <c r="E2538" s="61" t="n"/>
      <c r="F2538" s="55" t="n"/>
      <c r="G2538" s="56" t="n"/>
      <c r="H2538" s="55" t="n"/>
      <c r="I2538" s="62" t="n"/>
      <c r="J2538" s="58" t="n"/>
      <c r="K2538" s="63">
        <f>IF(tblMovement[[#This Row],[Source]]="","",IFERROR(INDEX(tblSources[Type],MATCH(tblMovement[[#This Row],[Source]],tblSources[Source],0)),"?"))</f>
        <v/>
      </c>
      <c r="L2538" s="63">
        <f>IF(tblMovement[[#This Row],[Destination]]="","",IFERROR(INDEX(tblDestinations[Type],MATCH(tblMovement[[#This Row],[Destination]],tblDestinations[Destination],0)),"?"))</f>
        <v/>
      </c>
      <c r="M2538" s="64">
        <f>IF(tblMovement[[#This Row],[Material]]="","",IF(LEFT(tblMovement[[#This Row],[Material]],3)="Ore",1,0))</f>
        <v/>
      </c>
      <c r="N2538" s="59">
        <f>IF(OR(tblMovement[[#This Row],[Tonnes_t]]="",tblMovement[[#This Row],[Grade_gpt]]=""),0,tblMovement[[#This Row],[Tonnes_t]]*tblMovement[[#This Row],[Grade_gpt]]/cfg_TroyOz)</f>
        <v/>
      </c>
      <c r="O2538" s="59">
        <f>IF(tblMovement[[#This Row],[Is_Ore]]=1,tblMovement[[#This Row],[Contained_oz]],0)</f>
        <v/>
      </c>
    </row>
    <row r="2539">
      <c r="A2539" s="54" t="n"/>
      <c r="B2539" s="61" t="n"/>
      <c r="C2539" s="61" t="n"/>
      <c r="D2539" s="61" t="n"/>
      <c r="E2539" s="61" t="n"/>
      <c r="F2539" s="55" t="n"/>
      <c r="G2539" s="56" t="n"/>
      <c r="H2539" s="55" t="n"/>
      <c r="I2539" s="62" t="n"/>
      <c r="J2539" s="58" t="n"/>
      <c r="K2539" s="63">
        <f>IF(tblMovement[[#This Row],[Source]]="","",IFERROR(INDEX(tblSources[Type],MATCH(tblMovement[[#This Row],[Source]],tblSources[Source],0)),"?"))</f>
        <v/>
      </c>
      <c r="L2539" s="63">
        <f>IF(tblMovement[[#This Row],[Destination]]="","",IFERROR(INDEX(tblDestinations[Type],MATCH(tblMovement[[#This Row],[Destination]],tblDestinations[Destination],0)),"?"))</f>
        <v/>
      </c>
      <c r="M2539" s="64">
        <f>IF(tblMovement[[#This Row],[Material]]="","",IF(LEFT(tblMovement[[#This Row],[Material]],3)="Ore",1,0))</f>
        <v/>
      </c>
      <c r="N2539" s="59">
        <f>IF(OR(tblMovement[[#This Row],[Tonnes_t]]="",tblMovement[[#This Row],[Grade_gpt]]=""),0,tblMovement[[#This Row],[Tonnes_t]]*tblMovement[[#This Row],[Grade_gpt]]/cfg_TroyOz)</f>
        <v/>
      </c>
      <c r="O2539" s="59">
        <f>IF(tblMovement[[#This Row],[Is_Ore]]=1,tblMovement[[#This Row],[Contained_oz]],0)</f>
        <v/>
      </c>
    </row>
    <row r="2540">
      <c r="A2540" s="54" t="n"/>
      <c r="B2540" s="61" t="n"/>
      <c r="C2540" s="61" t="n"/>
      <c r="D2540" s="61" t="n"/>
      <c r="E2540" s="61" t="n"/>
      <c r="F2540" s="55" t="n"/>
      <c r="G2540" s="56" t="n"/>
      <c r="H2540" s="55" t="n"/>
      <c r="I2540" s="62" t="n"/>
      <c r="J2540" s="58" t="n"/>
      <c r="K2540" s="63">
        <f>IF(tblMovement[[#This Row],[Source]]="","",IFERROR(INDEX(tblSources[Type],MATCH(tblMovement[[#This Row],[Source]],tblSources[Source],0)),"?"))</f>
        <v/>
      </c>
      <c r="L2540" s="63">
        <f>IF(tblMovement[[#This Row],[Destination]]="","",IFERROR(INDEX(tblDestinations[Type],MATCH(tblMovement[[#This Row],[Destination]],tblDestinations[Destination],0)),"?"))</f>
        <v/>
      </c>
      <c r="M2540" s="64">
        <f>IF(tblMovement[[#This Row],[Material]]="","",IF(LEFT(tblMovement[[#This Row],[Material]],3)="Ore",1,0))</f>
        <v/>
      </c>
      <c r="N2540" s="59">
        <f>IF(OR(tblMovement[[#This Row],[Tonnes_t]]="",tblMovement[[#This Row],[Grade_gpt]]=""),0,tblMovement[[#This Row],[Tonnes_t]]*tblMovement[[#This Row],[Grade_gpt]]/cfg_TroyOz)</f>
        <v/>
      </c>
      <c r="O2540" s="59">
        <f>IF(tblMovement[[#This Row],[Is_Ore]]=1,tblMovement[[#This Row],[Contained_oz]],0)</f>
        <v/>
      </c>
    </row>
    <row r="2541">
      <c r="A2541" s="54" t="n"/>
      <c r="B2541" s="61" t="n"/>
      <c r="C2541" s="61" t="n"/>
      <c r="D2541" s="61" t="n"/>
      <c r="E2541" s="61" t="n"/>
      <c r="F2541" s="55" t="n"/>
      <c r="G2541" s="56" t="n"/>
      <c r="H2541" s="55" t="n"/>
      <c r="I2541" s="62" t="n"/>
      <c r="J2541" s="58" t="n"/>
      <c r="K2541" s="63">
        <f>IF(tblMovement[[#This Row],[Source]]="","",IFERROR(INDEX(tblSources[Type],MATCH(tblMovement[[#This Row],[Source]],tblSources[Source],0)),"?"))</f>
        <v/>
      </c>
      <c r="L2541" s="63">
        <f>IF(tblMovement[[#This Row],[Destination]]="","",IFERROR(INDEX(tblDestinations[Type],MATCH(tblMovement[[#This Row],[Destination]],tblDestinations[Destination],0)),"?"))</f>
        <v/>
      </c>
      <c r="M2541" s="64">
        <f>IF(tblMovement[[#This Row],[Material]]="","",IF(LEFT(tblMovement[[#This Row],[Material]],3)="Ore",1,0))</f>
        <v/>
      </c>
      <c r="N2541" s="59">
        <f>IF(OR(tblMovement[[#This Row],[Tonnes_t]]="",tblMovement[[#This Row],[Grade_gpt]]=""),0,tblMovement[[#This Row],[Tonnes_t]]*tblMovement[[#This Row],[Grade_gpt]]/cfg_TroyOz)</f>
        <v/>
      </c>
      <c r="O2541" s="59">
        <f>IF(tblMovement[[#This Row],[Is_Ore]]=1,tblMovement[[#This Row],[Contained_oz]],0)</f>
        <v/>
      </c>
    </row>
    <row r="2542">
      <c r="A2542" s="54" t="n"/>
      <c r="B2542" s="61" t="n"/>
      <c r="C2542" s="61" t="n"/>
      <c r="D2542" s="61" t="n"/>
      <c r="E2542" s="61" t="n"/>
      <c r="F2542" s="55" t="n"/>
      <c r="G2542" s="56" t="n"/>
      <c r="H2542" s="55" t="n"/>
      <c r="I2542" s="62" t="n"/>
      <c r="J2542" s="58" t="n"/>
      <c r="K2542" s="63">
        <f>IF(tblMovement[[#This Row],[Source]]="","",IFERROR(INDEX(tblSources[Type],MATCH(tblMovement[[#This Row],[Source]],tblSources[Source],0)),"?"))</f>
        <v/>
      </c>
      <c r="L2542" s="63">
        <f>IF(tblMovement[[#This Row],[Destination]]="","",IFERROR(INDEX(tblDestinations[Type],MATCH(tblMovement[[#This Row],[Destination]],tblDestinations[Destination],0)),"?"))</f>
        <v/>
      </c>
      <c r="M2542" s="64">
        <f>IF(tblMovement[[#This Row],[Material]]="","",IF(LEFT(tblMovement[[#This Row],[Material]],3)="Ore",1,0))</f>
        <v/>
      </c>
      <c r="N2542" s="59">
        <f>IF(OR(tblMovement[[#This Row],[Tonnes_t]]="",tblMovement[[#This Row],[Grade_gpt]]=""),0,tblMovement[[#This Row],[Tonnes_t]]*tblMovement[[#This Row],[Grade_gpt]]/cfg_TroyOz)</f>
        <v/>
      </c>
      <c r="O2542" s="59">
        <f>IF(tblMovement[[#This Row],[Is_Ore]]=1,tblMovement[[#This Row],[Contained_oz]],0)</f>
        <v/>
      </c>
    </row>
    <row r="2543">
      <c r="A2543" s="54" t="n"/>
      <c r="B2543" s="61" t="n"/>
      <c r="C2543" s="61" t="n"/>
      <c r="D2543" s="61" t="n"/>
      <c r="E2543" s="61" t="n"/>
      <c r="F2543" s="55" t="n"/>
      <c r="G2543" s="56" t="n"/>
      <c r="H2543" s="55" t="n"/>
      <c r="I2543" s="62" t="n"/>
      <c r="J2543" s="58" t="n"/>
      <c r="K2543" s="63">
        <f>IF(tblMovement[[#This Row],[Source]]="","",IFERROR(INDEX(tblSources[Type],MATCH(tblMovement[[#This Row],[Source]],tblSources[Source],0)),"?"))</f>
        <v/>
      </c>
      <c r="L2543" s="63">
        <f>IF(tblMovement[[#This Row],[Destination]]="","",IFERROR(INDEX(tblDestinations[Type],MATCH(tblMovement[[#This Row],[Destination]],tblDestinations[Destination],0)),"?"))</f>
        <v/>
      </c>
      <c r="M2543" s="64">
        <f>IF(tblMovement[[#This Row],[Material]]="","",IF(LEFT(tblMovement[[#This Row],[Material]],3)="Ore",1,0))</f>
        <v/>
      </c>
      <c r="N2543" s="59">
        <f>IF(OR(tblMovement[[#This Row],[Tonnes_t]]="",tblMovement[[#This Row],[Grade_gpt]]=""),0,tblMovement[[#This Row],[Tonnes_t]]*tblMovement[[#This Row],[Grade_gpt]]/cfg_TroyOz)</f>
        <v/>
      </c>
      <c r="O2543" s="59">
        <f>IF(tblMovement[[#This Row],[Is_Ore]]=1,tblMovement[[#This Row],[Contained_oz]],0)</f>
        <v/>
      </c>
    </row>
    <row r="2544">
      <c r="A2544" s="54" t="n"/>
      <c r="B2544" s="61" t="n"/>
      <c r="C2544" s="61" t="n"/>
      <c r="D2544" s="61" t="n"/>
      <c r="E2544" s="61" t="n"/>
      <c r="F2544" s="55" t="n"/>
      <c r="G2544" s="56" t="n"/>
      <c r="H2544" s="55" t="n"/>
      <c r="I2544" s="62" t="n"/>
      <c r="J2544" s="58" t="n"/>
      <c r="K2544" s="63">
        <f>IF(tblMovement[[#This Row],[Source]]="","",IFERROR(INDEX(tblSources[Type],MATCH(tblMovement[[#This Row],[Source]],tblSources[Source],0)),"?"))</f>
        <v/>
      </c>
      <c r="L2544" s="63">
        <f>IF(tblMovement[[#This Row],[Destination]]="","",IFERROR(INDEX(tblDestinations[Type],MATCH(tblMovement[[#This Row],[Destination]],tblDestinations[Destination],0)),"?"))</f>
        <v/>
      </c>
      <c r="M2544" s="64">
        <f>IF(tblMovement[[#This Row],[Material]]="","",IF(LEFT(tblMovement[[#This Row],[Material]],3)="Ore",1,0))</f>
        <v/>
      </c>
      <c r="N2544" s="59">
        <f>IF(OR(tblMovement[[#This Row],[Tonnes_t]]="",tblMovement[[#This Row],[Grade_gpt]]=""),0,tblMovement[[#This Row],[Tonnes_t]]*tblMovement[[#This Row],[Grade_gpt]]/cfg_TroyOz)</f>
        <v/>
      </c>
      <c r="O2544" s="59">
        <f>IF(tblMovement[[#This Row],[Is_Ore]]=1,tblMovement[[#This Row],[Contained_oz]],0)</f>
        <v/>
      </c>
    </row>
    <row r="2545">
      <c r="A2545" s="54" t="n"/>
      <c r="B2545" s="61" t="n"/>
      <c r="C2545" s="61" t="n"/>
      <c r="D2545" s="61" t="n"/>
      <c r="E2545" s="61" t="n"/>
      <c r="F2545" s="55" t="n"/>
      <c r="G2545" s="56" t="n"/>
      <c r="H2545" s="55" t="n"/>
      <c r="I2545" s="62" t="n"/>
      <c r="J2545" s="58" t="n"/>
      <c r="K2545" s="63">
        <f>IF(tblMovement[[#This Row],[Source]]="","",IFERROR(INDEX(tblSources[Type],MATCH(tblMovement[[#This Row],[Source]],tblSources[Source],0)),"?"))</f>
        <v/>
      </c>
      <c r="L2545" s="63">
        <f>IF(tblMovement[[#This Row],[Destination]]="","",IFERROR(INDEX(tblDestinations[Type],MATCH(tblMovement[[#This Row],[Destination]],tblDestinations[Destination],0)),"?"))</f>
        <v/>
      </c>
      <c r="M2545" s="64">
        <f>IF(tblMovement[[#This Row],[Material]]="","",IF(LEFT(tblMovement[[#This Row],[Material]],3)="Ore",1,0))</f>
        <v/>
      </c>
      <c r="N2545" s="59">
        <f>IF(OR(tblMovement[[#This Row],[Tonnes_t]]="",tblMovement[[#This Row],[Grade_gpt]]=""),0,tblMovement[[#This Row],[Tonnes_t]]*tblMovement[[#This Row],[Grade_gpt]]/cfg_TroyOz)</f>
        <v/>
      </c>
      <c r="O2545" s="59">
        <f>IF(tblMovement[[#This Row],[Is_Ore]]=1,tblMovement[[#This Row],[Contained_oz]],0)</f>
        <v/>
      </c>
    </row>
    <row r="2546">
      <c r="A2546" s="54" t="n"/>
      <c r="B2546" s="61" t="n"/>
      <c r="C2546" s="61" t="n"/>
      <c r="D2546" s="61" t="n"/>
      <c r="E2546" s="61" t="n"/>
      <c r="F2546" s="55" t="n"/>
      <c r="G2546" s="56" t="n"/>
      <c r="H2546" s="55" t="n"/>
      <c r="I2546" s="62" t="n"/>
      <c r="J2546" s="58" t="n"/>
      <c r="K2546" s="63">
        <f>IF(tblMovement[[#This Row],[Source]]="","",IFERROR(INDEX(tblSources[Type],MATCH(tblMovement[[#This Row],[Source]],tblSources[Source],0)),"?"))</f>
        <v/>
      </c>
      <c r="L2546" s="63">
        <f>IF(tblMovement[[#This Row],[Destination]]="","",IFERROR(INDEX(tblDestinations[Type],MATCH(tblMovement[[#This Row],[Destination]],tblDestinations[Destination],0)),"?"))</f>
        <v/>
      </c>
      <c r="M2546" s="64">
        <f>IF(tblMovement[[#This Row],[Material]]="","",IF(LEFT(tblMovement[[#This Row],[Material]],3)="Ore",1,0))</f>
        <v/>
      </c>
      <c r="N2546" s="59">
        <f>IF(OR(tblMovement[[#This Row],[Tonnes_t]]="",tblMovement[[#This Row],[Grade_gpt]]=""),0,tblMovement[[#This Row],[Tonnes_t]]*tblMovement[[#This Row],[Grade_gpt]]/cfg_TroyOz)</f>
        <v/>
      </c>
      <c r="O2546" s="59">
        <f>IF(tblMovement[[#This Row],[Is_Ore]]=1,tblMovement[[#This Row],[Contained_oz]],0)</f>
        <v/>
      </c>
    </row>
    <row r="2547">
      <c r="A2547" s="54" t="n"/>
      <c r="B2547" s="61" t="n"/>
      <c r="C2547" s="61" t="n"/>
      <c r="D2547" s="61" t="n"/>
      <c r="E2547" s="61" t="n"/>
      <c r="F2547" s="55" t="n"/>
      <c r="G2547" s="56" t="n"/>
      <c r="H2547" s="55" t="n"/>
      <c r="I2547" s="62" t="n"/>
      <c r="J2547" s="58" t="n"/>
      <c r="K2547" s="63">
        <f>IF(tblMovement[[#This Row],[Source]]="","",IFERROR(INDEX(tblSources[Type],MATCH(tblMovement[[#This Row],[Source]],tblSources[Source],0)),"?"))</f>
        <v/>
      </c>
      <c r="L2547" s="63">
        <f>IF(tblMovement[[#This Row],[Destination]]="","",IFERROR(INDEX(tblDestinations[Type],MATCH(tblMovement[[#This Row],[Destination]],tblDestinations[Destination],0)),"?"))</f>
        <v/>
      </c>
      <c r="M2547" s="64">
        <f>IF(tblMovement[[#This Row],[Material]]="","",IF(LEFT(tblMovement[[#This Row],[Material]],3)="Ore",1,0))</f>
        <v/>
      </c>
      <c r="N2547" s="59">
        <f>IF(OR(tblMovement[[#This Row],[Tonnes_t]]="",tblMovement[[#This Row],[Grade_gpt]]=""),0,tblMovement[[#This Row],[Tonnes_t]]*tblMovement[[#This Row],[Grade_gpt]]/cfg_TroyOz)</f>
        <v/>
      </c>
      <c r="O2547" s="59">
        <f>IF(tblMovement[[#This Row],[Is_Ore]]=1,tblMovement[[#This Row],[Contained_oz]],0)</f>
        <v/>
      </c>
    </row>
    <row r="2548">
      <c r="A2548" s="54" t="n"/>
      <c r="B2548" s="61" t="n"/>
      <c r="C2548" s="61" t="n"/>
      <c r="D2548" s="61" t="n"/>
      <c r="E2548" s="61" t="n"/>
      <c r="F2548" s="55" t="n"/>
      <c r="G2548" s="56" t="n"/>
      <c r="H2548" s="55" t="n"/>
      <c r="I2548" s="62" t="n"/>
      <c r="J2548" s="58" t="n"/>
      <c r="K2548" s="63">
        <f>IF(tblMovement[[#This Row],[Source]]="","",IFERROR(INDEX(tblSources[Type],MATCH(tblMovement[[#This Row],[Source]],tblSources[Source],0)),"?"))</f>
        <v/>
      </c>
      <c r="L2548" s="63">
        <f>IF(tblMovement[[#This Row],[Destination]]="","",IFERROR(INDEX(tblDestinations[Type],MATCH(tblMovement[[#This Row],[Destination]],tblDestinations[Destination],0)),"?"))</f>
        <v/>
      </c>
      <c r="M2548" s="64">
        <f>IF(tblMovement[[#This Row],[Material]]="","",IF(LEFT(tblMovement[[#This Row],[Material]],3)="Ore",1,0))</f>
        <v/>
      </c>
      <c r="N2548" s="59">
        <f>IF(OR(tblMovement[[#This Row],[Tonnes_t]]="",tblMovement[[#This Row],[Grade_gpt]]=""),0,tblMovement[[#This Row],[Tonnes_t]]*tblMovement[[#This Row],[Grade_gpt]]/cfg_TroyOz)</f>
        <v/>
      </c>
      <c r="O2548" s="59">
        <f>IF(tblMovement[[#This Row],[Is_Ore]]=1,tblMovement[[#This Row],[Contained_oz]],0)</f>
        <v/>
      </c>
    </row>
    <row r="2549">
      <c r="A2549" s="54" t="n"/>
      <c r="B2549" s="61" t="n"/>
      <c r="C2549" s="61" t="n"/>
      <c r="D2549" s="61" t="n"/>
      <c r="E2549" s="61" t="n"/>
      <c r="F2549" s="55" t="n"/>
      <c r="G2549" s="56" t="n"/>
      <c r="H2549" s="55" t="n"/>
      <c r="I2549" s="62" t="n"/>
      <c r="J2549" s="58" t="n"/>
      <c r="K2549" s="63">
        <f>IF(tblMovement[[#This Row],[Source]]="","",IFERROR(INDEX(tblSources[Type],MATCH(tblMovement[[#This Row],[Source]],tblSources[Source],0)),"?"))</f>
        <v/>
      </c>
      <c r="L2549" s="63">
        <f>IF(tblMovement[[#This Row],[Destination]]="","",IFERROR(INDEX(tblDestinations[Type],MATCH(tblMovement[[#This Row],[Destination]],tblDestinations[Destination],0)),"?"))</f>
        <v/>
      </c>
      <c r="M2549" s="64">
        <f>IF(tblMovement[[#This Row],[Material]]="","",IF(LEFT(tblMovement[[#This Row],[Material]],3)="Ore",1,0))</f>
        <v/>
      </c>
      <c r="N2549" s="59">
        <f>IF(OR(tblMovement[[#This Row],[Tonnes_t]]="",tblMovement[[#This Row],[Grade_gpt]]=""),0,tblMovement[[#This Row],[Tonnes_t]]*tblMovement[[#This Row],[Grade_gpt]]/cfg_TroyOz)</f>
        <v/>
      </c>
      <c r="O2549" s="59">
        <f>IF(tblMovement[[#This Row],[Is_Ore]]=1,tblMovement[[#This Row],[Contained_oz]],0)</f>
        <v/>
      </c>
    </row>
    <row r="2550">
      <c r="A2550" s="54" t="n"/>
      <c r="B2550" s="61" t="n"/>
      <c r="C2550" s="61" t="n"/>
      <c r="D2550" s="61" t="n"/>
      <c r="E2550" s="61" t="n"/>
      <c r="F2550" s="55" t="n"/>
      <c r="G2550" s="56" t="n"/>
      <c r="H2550" s="55" t="n"/>
      <c r="I2550" s="62" t="n"/>
      <c r="J2550" s="58" t="n"/>
      <c r="K2550" s="63">
        <f>IF(tblMovement[[#This Row],[Source]]="","",IFERROR(INDEX(tblSources[Type],MATCH(tblMovement[[#This Row],[Source]],tblSources[Source],0)),"?"))</f>
        <v/>
      </c>
      <c r="L2550" s="63">
        <f>IF(tblMovement[[#This Row],[Destination]]="","",IFERROR(INDEX(tblDestinations[Type],MATCH(tblMovement[[#This Row],[Destination]],tblDestinations[Destination],0)),"?"))</f>
        <v/>
      </c>
      <c r="M2550" s="64">
        <f>IF(tblMovement[[#This Row],[Material]]="","",IF(LEFT(tblMovement[[#This Row],[Material]],3)="Ore",1,0))</f>
        <v/>
      </c>
      <c r="N2550" s="59">
        <f>IF(OR(tblMovement[[#This Row],[Tonnes_t]]="",tblMovement[[#This Row],[Grade_gpt]]=""),0,tblMovement[[#This Row],[Tonnes_t]]*tblMovement[[#This Row],[Grade_gpt]]/cfg_TroyOz)</f>
        <v/>
      </c>
      <c r="O2550" s="59">
        <f>IF(tblMovement[[#This Row],[Is_Ore]]=1,tblMovement[[#This Row],[Contained_oz]],0)</f>
        <v/>
      </c>
    </row>
    <row r="2551">
      <c r="A2551" s="54" t="n"/>
      <c r="B2551" s="61" t="n"/>
      <c r="C2551" s="61" t="n"/>
      <c r="D2551" s="61" t="n"/>
      <c r="E2551" s="61" t="n"/>
      <c r="F2551" s="55" t="n"/>
      <c r="G2551" s="56" t="n"/>
      <c r="H2551" s="55" t="n"/>
      <c r="I2551" s="62" t="n"/>
      <c r="J2551" s="58" t="n"/>
      <c r="K2551" s="63">
        <f>IF(tblMovement[[#This Row],[Source]]="","",IFERROR(INDEX(tblSources[Type],MATCH(tblMovement[[#This Row],[Source]],tblSources[Source],0)),"?"))</f>
        <v/>
      </c>
      <c r="L2551" s="63">
        <f>IF(tblMovement[[#This Row],[Destination]]="","",IFERROR(INDEX(tblDestinations[Type],MATCH(tblMovement[[#This Row],[Destination]],tblDestinations[Destination],0)),"?"))</f>
        <v/>
      </c>
      <c r="M2551" s="64">
        <f>IF(tblMovement[[#This Row],[Material]]="","",IF(LEFT(tblMovement[[#This Row],[Material]],3)="Ore",1,0))</f>
        <v/>
      </c>
      <c r="N2551" s="59">
        <f>IF(OR(tblMovement[[#This Row],[Tonnes_t]]="",tblMovement[[#This Row],[Grade_gpt]]=""),0,tblMovement[[#This Row],[Tonnes_t]]*tblMovement[[#This Row],[Grade_gpt]]/cfg_TroyOz)</f>
        <v/>
      </c>
      <c r="O2551" s="59">
        <f>IF(tblMovement[[#This Row],[Is_Ore]]=1,tblMovement[[#This Row],[Contained_oz]],0)</f>
        <v/>
      </c>
    </row>
    <row r="2552">
      <c r="A2552" s="54" t="n"/>
      <c r="B2552" s="61" t="n"/>
      <c r="C2552" s="61" t="n"/>
      <c r="D2552" s="61" t="n"/>
      <c r="E2552" s="61" t="n"/>
      <c r="F2552" s="55" t="n"/>
      <c r="G2552" s="56" t="n"/>
      <c r="H2552" s="55" t="n"/>
      <c r="I2552" s="62" t="n"/>
      <c r="J2552" s="58" t="n"/>
      <c r="K2552" s="63">
        <f>IF(tblMovement[[#This Row],[Source]]="","",IFERROR(INDEX(tblSources[Type],MATCH(tblMovement[[#This Row],[Source]],tblSources[Source],0)),"?"))</f>
        <v/>
      </c>
      <c r="L2552" s="63">
        <f>IF(tblMovement[[#This Row],[Destination]]="","",IFERROR(INDEX(tblDestinations[Type],MATCH(tblMovement[[#This Row],[Destination]],tblDestinations[Destination],0)),"?"))</f>
        <v/>
      </c>
      <c r="M2552" s="64">
        <f>IF(tblMovement[[#This Row],[Material]]="","",IF(LEFT(tblMovement[[#This Row],[Material]],3)="Ore",1,0))</f>
        <v/>
      </c>
      <c r="N2552" s="59">
        <f>IF(OR(tblMovement[[#This Row],[Tonnes_t]]="",tblMovement[[#This Row],[Grade_gpt]]=""),0,tblMovement[[#This Row],[Tonnes_t]]*tblMovement[[#This Row],[Grade_gpt]]/cfg_TroyOz)</f>
        <v/>
      </c>
      <c r="O2552" s="59">
        <f>IF(tblMovement[[#This Row],[Is_Ore]]=1,tblMovement[[#This Row],[Contained_oz]],0)</f>
        <v/>
      </c>
    </row>
    <row r="2553">
      <c r="A2553" s="54" t="n"/>
      <c r="B2553" s="61" t="n"/>
      <c r="C2553" s="61" t="n"/>
      <c r="D2553" s="61" t="n"/>
      <c r="E2553" s="61" t="n"/>
      <c r="F2553" s="55" t="n"/>
      <c r="G2553" s="56" t="n"/>
      <c r="H2553" s="55" t="n"/>
      <c r="I2553" s="62" t="n"/>
      <c r="J2553" s="58" t="n"/>
      <c r="K2553" s="63">
        <f>IF(tblMovement[[#This Row],[Source]]="","",IFERROR(INDEX(tblSources[Type],MATCH(tblMovement[[#This Row],[Source]],tblSources[Source],0)),"?"))</f>
        <v/>
      </c>
      <c r="L2553" s="63">
        <f>IF(tblMovement[[#This Row],[Destination]]="","",IFERROR(INDEX(tblDestinations[Type],MATCH(tblMovement[[#This Row],[Destination]],tblDestinations[Destination],0)),"?"))</f>
        <v/>
      </c>
      <c r="M2553" s="64">
        <f>IF(tblMovement[[#This Row],[Material]]="","",IF(LEFT(tblMovement[[#This Row],[Material]],3)="Ore",1,0))</f>
        <v/>
      </c>
      <c r="N2553" s="59">
        <f>IF(OR(tblMovement[[#This Row],[Tonnes_t]]="",tblMovement[[#This Row],[Grade_gpt]]=""),0,tblMovement[[#This Row],[Tonnes_t]]*tblMovement[[#This Row],[Grade_gpt]]/cfg_TroyOz)</f>
        <v/>
      </c>
      <c r="O2553" s="59">
        <f>IF(tblMovement[[#This Row],[Is_Ore]]=1,tblMovement[[#This Row],[Contained_oz]],0)</f>
        <v/>
      </c>
    </row>
    <row r="2554">
      <c r="A2554" s="54" t="n"/>
      <c r="B2554" s="61" t="n"/>
      <c r="C2554" s="61" t="n"/>
      <c r="D2554" s="61" t="n"/>
      <c r="E2554" s="61" t="n"/>
      <c r="F2554" s="55" t="n"/>
      <c r="G2554" s="56" t="n"/>
      <c r="H2554" s="55" t="n"/>
      <c r="I2554" s="62" t="n"/>
      <c r="J2554" s="58" t="n"/>
      <c r="K2554" s="63">
        <f>IF(tblMovement[[#This Row],[Source]]="","",IFERROR(INDEX(tblSources[Type],MATCH(tblMovement[[#This Row],[Source]],tblSources[Source],0)),"?"))</f>
        <v/>
      </c>
      <c r="L2554" s="63">
        <f>IF(tblMovement[[#This Row],[Destination]]="","",IFERROR(INDEX(tblDestinations[Type],MATCH(tblMovement[[#This Row],[Destination]],tblDestinations[Destination],0)),"?"))</f>
        <v/>
      </c>
      <c r="M2554" s="64">
        <f>IF(tblMovement[[#This Row],[Material]]="","",IF(LEFT(tblMovement[[#This Row],[Material]],3)="Ore",1,0))</f>
        <v/>
      </c>
      <c r="N2554" s="59">
        <f>IF(OR(tblMovement[[#This Row],[Tonnes_t]]="",tblMovement[[#This Row],[Grade_gpt]]=""),0,tblMovement[[#This Row],[Tonnes_t]]*tblMovement[[#This Row],[Grade_gpt]]/cfg_TroyOz)</f>
        <v/>
      </c>
      <c r="O2554" s="59">
        <f>IF(tblMovement[[#This Row],[Is_Ore]]=1,tblMovement[[#This Row],[Contained_oz]],0)</f>
        <v/>
      </c>
    </row>
    <row r="2555">
      <c r="A2555" s="54" t="n"/>
      <c r="B2555" s="61" t="n"/>
      <c r="C2555" s="61" t="n"/>
      <c r="D2555" s="61" t="n"/>
      <c r="E2555" s="61" t="n"/>
      <c r="F2555" s="55" t="n"/>
      <c r="G2555" s="56" t="n"/>
      <c r="H2555" s="55" t="n"/>
      <c r="I2555" s="62" t="n"/>
      <c r="J2555" s="58" t="n"/>
      <c r="K2555" s="63">
        <f>IF(tblMovement[[#This Row],[Source]]="","",IFERROR(INDEX(tblSources[Type],MATCH(tblMovement[[#This Row],[Source]],tblSources[Source],0)),"?"))</f>
        <v/>
      </c>
      <c r="L2555" s="63">
        <f>IF(tblMovement[[#This Row],[Destination]]="","",IFERROR(INDEX(tblDestinations[Type],MATCH(tblMovement[[#This Row],[Destination]],tblDestinations[Destination],0)),"?"))</f>
        <v/>
      </c>
      <c r="M2555" s="64">
        <f>IF(tblMovement[[#This Row],[Material]]="","",IF(LEFT(tblMovement[[#This Row],[Material]],3)="Ore",1,0))</f>
        <v/>
      </c>
      <c r="N2555" s="59">
        <f>IF(OR(tblMovement[[#This Row],[Tonnes_t]]="",tblMovement[[#This Row],[Grade_gpt]]=""),0,tblMovement[[#This Row],[Tonnes_t]]*tblMovement[[#This Row],[Grade_gpt]]/cfg_TroyOz)</f>
        <v/>
      </c>
      <c r="O2555" s="59">
        <f>IF(tblMovement[[#This Row],[Is_Ore]]=1,tblMovement[[#This Row],[Contained_oz]],0)</f>
        <v/>
      </c>
    </row>
    <row r="2556">
      <c r="A2556" s="54" t="n"/>
      <c r="B2556" s="61" t="n"/>
      <c r="C2556" s="61" t="n"/>
      <c r="D2556" s="61" t="n"/>
      <c r="E2556" s="61" t="n"/>
      <c r="F2556" s="55" t="n"/>
      <c r="G2556" s="56" t="n"/>
      <c r="H2556" s="55" t="n"/>
      <c r="I2556" s="62" t="n"/>
      <c r="J2556" s="58" t="n"/>
      <c r="K2556" s="63">
        <f>IF(tblMovement[[#This Row],[Source]]="","",IFERROR(INDEX(tblSources[Type],MATCH(tblMovement[[#This Row],[Source]],tblSources[Source],0)),"?"))</f>
        <v/>
      </c>
      <c r="L2556" s="63">
        <f>IF(tblMovement[[#This Row],[Destination]]="","",IFERROR(INDEX(tblDestinations[Type],MATCH(tblMovement[[#This Row],[Destination]],tblDestinations[Destination],0)),"?"))</f>
        <v/>
      </c>
      <c r="M2556" s="64">
        <f>IF(tblMovement[[#This Row],[Material]]="","",IF(LEFT(tblMovement[[#This Row],[Material]],3)="Ore",1,0))</f>
        <v/>
      </c>
      <c r="N2556" s="59">
        <f>IF(OR(tblMovement[[#This Row],[Tonnes_t]]="",tblMovement[[#This Row],[Grade_gpt]]=""),0,tblMovement[[#This Row],[Tonnes_t]]*tblMovement[[#This Row],[Grade_gpt]]/cfg_TroyOz)</f>
        <v/>
      </c>
      <c r="O2556" s="59">
        <f>IF(tblMovement[[#This Row],[Is_Ore]]=1,tblMovement[[#This Row],[Contained_oz]],0)</f>
        <v/>
      </c>
    </row>
    <row r="2557">
      <c r="A2557" s="54" t="n"/>
      <c r="B2557" s="61" t="n"/>
      <c r="C2557" s="61" t="n"/>
      <c r="D2557" s="61" t="n"/>
      <c r="E2557" s="61" t="n"/>
      <c r="F2557" s="55" t="n"/>
      <c r="G2557" s="56" t="n"/>
      <c r="H2557" s="55" t="n"/>
      <c r="I2557" s="62" t="n"/>
      <c r="J2557" s="58" t="n"/>
      <c r="K2557" s="63">
        <f>IF(tblMovement[[#This Row],[Source]]="","",IFERROR(INDEX(tblSources[Type],MATCH(tblMovement[[#This Row],[Source]],tblSources[Source],0)),"?"))</f>
        <v/>
      </c>
      <c r="L2557" s="63">
        <f>IF(tblMovement[[#This Row],[Destination]]="","",IFERROR(INDEX(tblDestinations[Type],MATCH(tblMovement[[#This Row],[Destination]],tblDestinations[Destination],0)),"?"))</f>
        <v/>
      </c>
      <c r="M2557" s="64">
        <f>IF(tblMovement[[#This Row],[Material]]="","",IF(LEFT(tblMovement[[#This Row],[Material]],3)="Ore",1,0))</f>
        <v/>
      </c>
      <c r="N2557" s="59">
        <f>IF(OR(tblMovement[[#This Row],[Tonnes_t]]="",tblMovement[[#This Row],[Grade_gpt]]=""),0,tblMovement[[#This Row],[Tonnes_t]]*tblMovement[[#This Row],[Grade_gpt]]/cfg_TroyOz)</f>
        <v/>
      </c>
      <c r="O2557" s="59">
        <f>IF(tblMovement[[#This Row],[Is_Ore]]=1,tblMovement[[#This Row],[Contained_oz]],0)</f>
        <v/>
      </c>
    </row>
    <row r="2558">
      <c r="A2558" s="54" t="n"/>
      <c r="B2558" s="61" t="n"/>
      <c r="C2558" s="61" t="n"/>
      <c r="D2558" s="61" t="n"/>
      <c r="E2558" s="61" t="n"/>
      <c r="F2558" s="55" t="n"/>
      <c r="G2558" s="56" t="n"/>
      <c r="H2558" s="55" t="n"/>
      <c r="I2558" s="62" t="n"/>
      <c r="J2558" s="58" t="n"/>
      <c r="K2558" s="63">
        <f>IF(tblMovement[[#This Row],[Source]]="","",IFERROR(INDEX(tblSources[Type],MATCH(tblMovement[[#This Row],[Source]],tblSources[Source],0)),"?"))</f>
        <v/>
      </c>
      <c r="L2558" s="63">
        <f>IF(tblMovement[[#This Row],[Destination]]="","",IFERROR(INDEX(tblDestinations[Type],MATCH(tblMovement[[#This Row],[Destination]],tblDestinations[Destination],0)),"?"))</f>
        <v/>
      </c>
      <c r="M2558" s="64">
        <f>IF(tblMovement[[#This Row],[Material]]="","",IF(LEFT(tblMovement[[#This Row],[Material]],3)="Ore",1,0))</f>
        <v/>
      </c>
      <c r="N2558" s="59">
        <f>IF(OR(tblMovement[[#This Row],[Tonnes_t]]="",tblMovement[[#This Row],[Grade_gpt]]=""),0,tblMovement[[#This Row],[Tonnes_t]]*tblMovement[[#This Row],[Grade_gpt]]/cfg_TroyOz)</f>
        <v/>
      </c>
      <c r="O2558" s="59">
        <f>IF(tblMovement[[#This Row],[Is_Ore]]=1,tblMovement[[#This Row],[Contained_oz]],0)</f>
        <v/>
      </c>
    </row>
    <row r="2559">
      <c r="A2559" s="54" t="n"/>
      <c r="B2559" s="61" t="n"/>
      <c r="C2559" s="61" t="n"/>
      <c r="D2559" s="61" t="n"/>
      <c r="E2559" s="61" t="n"/>
      <c r="F2559" s="55" t="n"/>
      <c r="G2559" s="56" t="n"/>
      <c r="H2559" s="55" t="n"/>
      <c r="I2559" s="62" t="n"/>
      <c r="J2559" s="58" t="n"/>
      <c r="K2559" s="63">
        <f>IF(tblMovement[[#This Row],[Source]]="","",IFERROR(INDEX(tblSources[Type],MATCH(tblMovement[[#This Row],[Source]],tblSources[Source],0)),"?"))</f>
        <v/>
      </c>
      <c r="L2559" s="63">
        <f>IF(tblMovement[[#This Row],[Destination]]="","",IFERROR(INDEX(tblDestinations[Type],MATCH(tblMovement[[#This Row],[Destination]],tblDestinations[Destination],0)),"?"))</f>
        <v/>
      </c>
      <c r="M2559" s="64">
        <f>IF(tblMovement[[#This Row],[Material]]="","",IF(LEFT(tblMovement[[#This Row],[Material]],3)="Ore",1,0))</f>
        <v/>
      </c>
      <c r="N2559" s="59">
        <f>IF(OR(tblMovement[[#This Row],[Tonnes_t]]="",tblMovement[[#This Row],[Grade_gpt]]=""),0,tblMovement[[#This Row],[Tonnes_t]]*tblMovement[[#This Row],[Grade_gpt]]/cfg_TroyOz)</f>
        <v/>
      </c>
      <c r="O2559" s="59">
        <f>IF(tblMovement[[#This Row],[Is_Ore]]=1,tblMovement[[#This Row],[Contained_oz]],0)</f>
        <v/>
      </c>
    </row>
    <row r="2560">
      <c r="A2560" s="54" t="n"/>
      <c r="B2560" s="61" t="n"/>
      <c r="C2560" s="61" t="n"/>
      <c r="D2560" s="61" t="n"/>
      <c r="E2560" s="61" t="n"/>
      <c r="F2560" s="55" t="n"/>
      <c r="G2560" s="56" t="n"/>
      <c r="H2560" s="55" t="n"/>
      <c r="I2560" s="62" t="n"/>
      <c r="J2560" s="58" t="n"/>
      <c r="K2560" s="63">
        <f>IF(tblMovement[[#This Row],[Source]]="","",IFERROR(INDEX(tblSources[Type],MATCH(tblMovement[[#This Row],[Source]],tblSources[Source],0)),"?"))</f>
        <v/>
      </c>
      <c r="L2560" s="63">
        <f>IF(tblMovement[[#This Row],[Destination]]="","",IFERROR(INDEX(tblDestinations[Type],MATCH(tblMovement[[#This Row],[Destination]],tblDestinations[Destination],0)),"?"))</f>
        <v/>
      </c>
      <c r="M2560" s="64">
        <f>IF(tblMovement[[#This Row],[Material]]="","",IF(LEFT(tblMovement[[#This Row],[Material]],3)="Ore",1,0))</f>
        <v/>
      </c>
      <c r="N2560" s="59">
        <f>IF(OR(tblMovement[[#This Row],[Tonnes_t]]="",tblMovement[[#This Row],[Grade_gpt]]=""),0,tblMovement[[#This Row],[Tonnes_t]]*tblMovement[[#This Row],[Grade_gpt]]/cfg_TroyOz)</f>
        <v/>
      </c>
      <c r="O2560" s="59">
        <f>IF(tblMovement[[#This Row],[Is_Ore]]=1,tblMovement[[#This Row],[Contained_oz]],0)</f>
        <v/>
      </c>
    </row>
    <row r="2561">
      <c r="A2561" s="54" t="n"/>
      <c r="B2561" s="61" t="n"/>
      <c r="C2561" s="61" t="n"/>
      <c r="D2561" s="61" t="n"/>
      <c r="E2561" s="61" t="n"/>
      <c r="F2561" s="55" t="n"/>
      <c r="G2561" s="56" t="n"/>
      <c r="H2561" s="55" t="n"/>
      <c r="I2561" s="62" t="n"/>
      <c r="J2561" s="58" t="n"/>
      <c r="K2561" s="63">
        <f>IF(tblMovement[[#This Row],[Source]]="","",IFERROR(INDEX(tblSources[Type],MATCH(tblMovement[[#This Row],[Source]],tblSources[Source],0)),"?"))</f>
        <v/>
      </c>
      <c r="L2561" s="63">
        <f>IF(tblMovement[[#This Row],[Destination]]="","",IFERROR(INDEX(tblDestinations[Type],MATCH(tblMovement[[#This Row],[Destination]],tblDestinations[Destination],0)),"?"))</f>
        <v/>
      </c>
      <c r="M2561" s="64">
        <f>IF(tblMovement[[#This Row],[Material]]="","",IF(LEFT(tblMovement[[#This Row],[Material]],3)="Ore",1,0))</f>
        <v/>
      </c>
      <c r="N2561" s="59">
        <f>IF(OR(tblMovement[[#This Row],[Tonnes_t]]="",tblMovement[[#This Row],[Grade_gpt]]=""),0,tblMovement[[#This Row],[Tonnes_t]]*tblMovement[[#This Row],[Grade_gpt]]/cfg_TroyOz)</f>
        <v/>
      </c>
      <c r="O2561" s="59">
        <f>IF(tblMovement[[#This Row],[Is_Ore]]=1,tblMovement[[#This Row],[Contained_oz]],0)</f>
        <v/>
      </c>
    </row>
    <row r="2562">
      <c r="A2562" s="54" t="n"/>
      <c r="B2562" s="61" t="n"/>
      <c r="C2562" s="61" t="n"/>
      <c r="D2562" s="61" t="n"/>
      <c r="E2562" s="61" t="n"/>
      <c r="F2562" s="55" t="n"/>
      <c r="G2562" s="56" t="n"/>
      <c r="H2562" s="55" t="n"/>
      <c r="I2562" s="62" t="n"/>
      <c r="J2562" s="58" t="n"/>
      <c r="K2562" s="63">
        <f>IF(tblMovement[[#This Row],[Source]]="","",IFERROR(INDEX(tblSources[Type],MATCH(tblMovement[[#This Row],[Source]],tblSources[Source],0)),"?"))</f>
        <v/>
      </c>
      <c r="L2562" s="63">
        <f>IF(tblMovement[[#This Row],[Destination]]="","",IFERROR(INDEX(tblDestinations[Type],MATCH(tblMovement[[#This Row],[Destination]],tblDestinations[Destination],0)),"?"))</f>
        <v/>
      </c>
      <c r="M2562" s="64">
        <f>IF(tblMovement[[#This Row],[Material]]="","",IF(LEFT(tblMovement[[#This Row],[Material]],3)="Ore",1,0))</f>
        <v/>
      </c>
      <c r="N2562" s="59">
        <f>IF(OR(tblMovement[[#This Row],[Tonnes_t]]="",tblMovement[[#This Row],[Grade_gpt]]=""),0,tblMovement[[#This Row],[Tonnes_t]]*tblMovement[[#This Row],[Grade_gpt]]/cfg_TroyOz)</f>
        <v/>
      </c>
      <c r="O2562" s="59">
        <f>IF(tblMovement[[#This Row],[Is_Ore]]=1,tblMovement[[#This Row],[Contained_oz]],0)</f>
        <v/>
      </c>
    </row>
    <row r="2563">
      <c r="A2563" s="54" t="n"/>
      <c r="B2563" s="61" t="n"/>
      <c r="C2563" s="61" t="n"/>
      <c r="D2563" s="61" t="n"/>
      <c r="E2563" s="61" t="n"/>
      <c r="F2563" s="55" t="n"/>
      <c r="G2563" s="56" t="n"/>
      <c r="H2563" s="55" t="n"/>
      <c r="I2563" s="62" t="n"/>
      <c r="J2563" s="58" t="n"/>
      <c r="K2563" s="63">
        <f>IF(tblMovement[[#This Row],[Source]]="","",IFERROR(INDEX(tblSources[Type],MATCH(tblMovement[[#This Row],[Source]],tblSources[Source],0)),"?"))</f>
        <v/>
      </c>
      <c r="L2563" s="63">
        <f>IF(tblMovement[[#This Row],[Destination]]="","",IFERROR(INDEX(tblDestinations[Type],MATCH(tblMovement[[#This Row],[Destination]],tblDestinations[Destination],0)),"?"))</f>
        <v/>
      </c>
      <c r="M2563" s="64">
        <f>IF(tblMovement[[#This Row],[Material]]="","",IF(LEFT(tblMovement[[#This Row],[Material]],3)="Ore",1,0))</f>
        <v/>
      </c>
      <c r="N2563" s="59">
        <f>IF(OR(tblMovement[[#This Row],[Tonnes_t]]="",tblMovement[[#This Row],[Grade_gpt]]=""),0,tblMovement[[#This Row],[Tonnes_t]]*tblMovement[[#This Row],[Grade_gpt]]/cfg_TroyOz)</f>
        <v/>
      </c>
      <c r="O2563" s="59">
        <f>IF(tblMovement[[#This Row],[Is_Ore]]=1,tblMovement[[#This Row],[Contained_oz]],0)</f>
        <v/>
      </c>
    </row>
    <row r="2564">
      <c r="A2564" s="54" t="n"/>
      <c r="B2564" s="61" t="n"/>
      <c r="C2564" s="61" t="n"/>
      <c r="D2564" s="61" t="n"/>
      <c r="E2564" s="61" t="n"/>
      <c r="F2564" s="55" t="n"/>
      <c r="G2564" s="56" t="n"/>
      <c r="H2564" s="55" t="n"/>
      <c r="I2564" s="62" t="n"/>
      <c r="J2564" s="58" t="n"/>
      <c r="K2564" s="63">
        <f>IF(tblMovement[[#This Row],[Source]]="","",IFERROR(INDEX(tblSources[Type],MATCH(tblMovement[[#This Row],[Source]],tblSources[Source],0)),"?"))</f>
        <v/>
      </c>
      <c r="L2564" s="63">
        <f>IF(tblMovement[[#This Row],[Destination]]="","",IFERROR(INDEX(tblDestinations[Type],MATCH(tblMovement[[#This Row],[Destination]],tblDestinations[Destination],0)),"?"))</f>
        <v/>
      </c>
      <c r="M2564" s="64">
        <f>IF(tblMovement[[#This Row],[Material]]="","",IF(LEFT(tblMovement[[#This Row],[Material]],3)="Ore",1,0))</f>
        <v/>
      </c>
      <c r="N2564" s="59">
        <f>IF(OR(tblMovement[[#This Row],[Tonnes_t]]="",tblMovement[[#This Row],[Grade_gpt]]=""),0,tblMovement[[#This Row],[Tonnes_t]]*tblMovement[[#This Row],[Grade_gpt]]/cfg_TroyOz)</f>
        <v/>
      </c>
      <c r="O2564" s="59">
        <f>IF(tblMovement[[#This Row],[Is_Ore]]=1,tblMovement[[#This Row],[Contained_oz]],0)</f>
        <v/>
      </c>
    </row>
    <row r="2565">
      <c r="A2565" s="54" t="n"/>
      <c r="B2565" s="61" t="n"/>
      <c r="C2565" s="61" t="n"/>
      <c r="D2565" s="61" t="n"/>
      <c r="E2565" s="61" t="n"/>
      <c r="F2565" s="55" t="n"/>
      <c r="G2565" s="56" t="n"/>
      <c r="H2565" s="55" t="n"/>
      <c r="I2565" s="62" t="n"/>
      <c r="J2565" s="58" t="n"/>
      <c r="K2565" s="63">
        <f>IF(tblMovement[[#This Row],[Source]]="","",IFERROR(INDEX(tblSources[Type],MATCH(tblMovement[[#This Row],[Source]],tblSources[Source],0)),"?"))</f>
        <v/>
      </c>
      <c r="L2565" s="63">
        <f>IF(tblMovement[[#This Row],[Destination]]="","",IFERROR(INDEX(tblDestinations[Type],MATCH(tblMovement[[#This Row],[Destination]],tblDestinations[Destination],0)),"?"))</f>
        <v/>
      </c>
      <c r="M2565" s="64">
        <f>IF(tblMovement[[#This Row],[Material]]="","",IF(LEFT(tblMovement[[#This Row],[Material]],3)="Ore",1,0))</f>
        <v/>
      </c>
      <c r="N2565" s="59">
        <f>IF(OR(tblMovement[[#This Row],[Tonnes_t]]="",tblMovement[[#This Row],[Grade_gpt]]=""),0,tblMovement[[#This Row],[Tonnes_t]]*tblMovement[[#This Row],[Grade_gpt]]/cfg_TroyOz)</f>
        <v/>
      </c>
      <c r="O2565" s="59">
        <f>IF(tblMovement[[#This Row],[Is_Ore]]=1,tblMovement[[#This Row],[Contained_oz]],0)</f>
        <v/>
      </c>
    </row>
    <row r="2566">
      <c r="A2566" s="54" t="n"/>
      <c r="B2566" s="61" t="n"/>
      <c r="C2566" s="61" t="n"/>
      <c r="D2566" s="61" t="n"/>
      <c r="E2566" s="61" t="n"/>
      <c r="F2566" s="55" t="n"/>
      <c r="G2566" s="56" t="n"/>
      <c r="H2566" s="55" t="n"/>
      <c r="I2566" s="62" t="n"/>
      <c r="J2566" s="58" t="n"/>
      <c r="K2566" s="63">
        <f>IF(tblMovement[[#This Row],[Source]]="","",IFERROR(INDEX(tblSources[Type],MATCH(tblMovement[[#This Row],[Source]],tblSources[Source],0)),"?"))</f>
        <v/>
      </c>
      <c r="L2566" s="63">
        <f>IF(tblMovement[[#This Row],[Destination]]="","",IFERROR(INDEX(tblDestinations[Type],MATCH(tblMovement[[#This Row],[Destination]],tblDestinations[Destination],0)),"?"))</f>
        <v/>
      </c>
      <c r="M2566" s="64">
        <f>IF(tblMovement[[#This Row],[Material]]="","",IF(LEFT(tblMovement[[#This Row],[Material]],3)="Ore",1,0))</f>
        <v/>
      </c>
      <c r="N2566" s="59">
        <f>IF(OR(tblMovement[[#This Row],[Tonnes_t]]="",tblMovement[[#This Row],[Grade_gpt]]=""),0,tblMovement[[#This Row],[Tonnes_t]]*tblMovement[[#This Row],[Grade_gpt]]/cfg_TroyOz)</f>
        <v/>
      </c>
      <c r="O2566" s="59">
        <f>IF(tblMovement[[#This Row],[Is_Ore]]=1,tblMovement[[#This Row],[Contained_oz]],0)</f>
        <v/>
      </c>
    </row>
    <row r="2567">
      <c r="A2567" s="54" t="n"/>
      <c r="B2567" s="61" t="n"/>
      <c r="C2567" s="61" t="n"/>
      <c r="D2567" s="61" t="n"/>
      <c r="E2567" s="61" t="n"/>
      <c r="F2567" s="55" t="n"/>
      <c r="G2567" s="56" t="n"/>
      <c r="H2567" s="55" t="n"/>
      <c r="I2567" s="62" t="n"/>
      <c r="J2567" s="58" t="n"/>
      <c r="K2567" s="63">
        <f>IF(tblMovement[[#This Row],[Source]]="","",IFERROR(INDEX(tblSources[Type],MATCH(tblMovement[[#This Row],[Source]],tblSources[Source],0)),"?"))</f>
        <v/>
      </c>
      <c r="L2567" s="63">
        <f>IF(tblMovement[[#This Row],[Destination]]="","",IFERROR(INDEX(tblDestinations[Type],MATCH(tblMovement[[#This Row],[Destination]],tblDestinations[Destination],0)),"?"))</f>
        <v/>
      </c>
      <c r="M2567" s="64">
        <f>IF(tblMovement[[#This Row],[Material]]="","",IF(LEFT(tblMovement[[#This Row],[Material]],3)="Ore",1,0))</f>
        <v/>
      </c>
      <c r="N2567" s="59">
        <f>IF(OR(tblMovement[[#This Row],[Tonnes_t]]="",tblMovement[[#This Row],[Grade_gpt]]=""),0,tblMovement[[#This Row],[Tonnes_t]]*tblMovement[[#This Row],[Grade_gpt]]/cfg_TroyOz)</f>
        <v/>
      </c>
      <c r="O2567" s="59">
        <f>IF(tblMovement[[#This Row],[Is_Ore]]=1,tblMovement[[#This Row],[Contained_oz]],0)</f>
        <v/>
      </c>
    </row>
    <row r="2568">
      <c r="A2568" s="54" t="n"/>
      <c r="B2568" s="61" t="n"/>
      <c r="C2568" s="61" t="n"/>
      <c r="D2568" s="61" t="n"/>
      <c r="E2568" s="61" t="n"/>
      <c r="F2568" s="55" t="n"/>
      <c r="G2568" s="56" t="n"/>
      <c r="H2568" s="55" t="n"/>
      <c r="I2568" s="62" t="n"/>
      <c r="J2568" s="58" t="n"/>
      <c r="K2568" s="63">
        <f>IF(tblMovement[[#This Row],[Source]]="","",IFERROR(INDEX(tblSources[Type],MATCH(tblMovement[[#This Row],[Source]],tblSources[Source],0)),"?"))</f>
        <v/>
      </c>
      <c r="L2568" s="63">
        <f>IF(tblMovement[[#This Row],[Destination]]="","",IFERROR(INDEX(tblDestinations[Type],MATCH(tblMovement[[#This Row],[Destination]],tblDestinations[Destination],0)),"?"))</f>
        <v/>
      </c>
      <c r="M2568" s="64">
        <f>IF(tblMovement[[#This Row],[Material]]="","",IF(LEFT(tblMovement[[#This Row],[Material]],3)="Ore",1,0))</f>
        <v/>
      </c>
      <c r="N2568" s="59">
        <f>IF(OR(tblMovement[[#This Row],[Tonnes_t]]="",tblMovement[[#This Row],[Grade_gpt]]=""),0,tblMovement[[#This Row],[Tonnes_t]]*tblMovement[[#This Row],[Grade_gpt]]/cfg_TroyOz)</f>
        <v/>
      </c>
      <c r="O2568" s="59">
        <f>IF(tblMovement[[#This Row],[Is_Ore]]=1,tblMovement[[#This Row],[Contained_oz]],0)</f>
        <v/>
      </c>
    </row>
    <row r="2569">
      <c r="A2569" s="54" t="n"/>
      <c r="B2569" s="61" t="n"/>
      <c r="C2569" s="61" t="n"/>
      <c r="D2569" s="61" t="n"/>
      <c r="E2569" s="61" t="n"/>
      <c r="F2569" s="55" t="n"/>
      <c r="G2569" s="56" t="n"/>
      <c r="H2569" s="55" t="n"/>
      <c r="I2569" s="62" t="n"/>
      <c r="J2569" s="58" t="n"/>
      <c r="K2569" s="63">
        <f>IF(tblMovement[[#This Row],[Source]]="","",IFERROR(INDEX(tblSources[Type],MATCH(tblMovement[[#This Row],[Source]],tblSources[Source],0)),"?"))</f>
        <v/>
      </c>
      <c r="L2569" s="63">
        <f>IF(tblMovement[[#This Row],[Destination]]="","",IFERROR(INDEX(tblDestinations[Type],MATCH(tblMovement[[#This Row],[Destination]],tblDestinations[Destination],0)),"?"))</f>
        <v/>
      </c>
      <c r="M2569" s="64">
        <f>IF(tblMovement[[#This Row],[Material]]="","",IF(LEFT(tblMovement[[#This Row],[Material]],3)="Ore",1,0))</f>
        <v/>
      </c>
      <c r="N2569" s="59">
        <f>IF(OR(tblMovement[[#This Row],[Tonnes_t]]="",tblMovement[[#This Row],[Grade_gpt]]=""),0,tblMovement[[#This Row],[Tonnes_t]]*tblMovement[[#This Row],[Grade_gpt]]/cfg_TroyOz)</f>
        <v/>
      </c>
      <c r="O2569" s="59">
        <f>IF(tblMovement[[#This Row],[Is_Ore]]=1,tblMovement[[#This Row],[Contained_oz]],0)</f>
        <v/>
      </c>
    </row>
    <row r="2570">
      <c r="A2570" s="54" t="n"/>
      <c r="B2570" s="61" t="n"/>
      <c r="C2570" s="61" t="n"/>
      <c r="D2570" s="61" t="n"/>
      <c r="E2570" s="61" t="n"/>
      <c r="F2570" s="55" t="n"/>
      <c r="G2570" s="56" t="n"/>
      <c r="H2570" s="55" t="n"/>
      <c r="I2570" s="62" t="n"/>
      <c r="J2570" s="58" t="n"/>
      <c r="K2570" s="63">
        <f>IF(tblMovement[[#This Row],[Source]]="","",IFERROR(INDEX(tblSources[Type],MATCH(tblMovement[[#This Row],[Source]],tblSources[Source],0)),"?"))</f>
        <v/>
      </c>
      <c r="L2570" s="63">
        <f>IF(tblMovement[[#This Row],[Destination]]="","",IFERROR(INDEX(tblDestinations[Type],MATCH(tblMovement[[#This Row],[Destination]],tblDestinations[Destination],0)),"?"))</f>
        <v/>
      </c>
      <c r="M2570" s="64">
        <f>IF(tblMovement[[#This Row],[Material]]="","",IF(LEFT(tblMovement[[#This Row],[Material]],3)="Ore",1,0))</f>
        <v/>
      </c>
      <c r="N2570" s="59">
        <f>IF(OR(tblMovement[[#This Row],[Tonnes_t]]="",tblMovement[[#This Row],[Grade_gpt]]=""),0,tblMovement[[#This Row],[Tonnes_t]]*tblMovement[[#This Row],[Grade_gpt]]/cfg_TroyOz)</f>
        <v/>
      </c>
      <c r="O2570" s="59">
        <f>IF(tblMovement[[#This Row],[Is_Ore]]=1,tblMovement[[#This Row],[Contained_oz]],0)</f>
        <v/>
      </c>
    </row>
    <row r="2571">
      <c r="A2571" s="54" t="n"/>
      <c r="B2571" s="61" t="n"/>
      <c r="C2571" s="61" t="n"/>
      <c r="D2571" s="61" t="n"/>
      <c r="E2571" s="61" t="n"/>
      <c r="F2571" s="55" t="n"/>
      <c r="G2571" s="56" t="n"/>
      <c r="H2571" s="55" t="n"/>
      <c r="I2571" s="62" t="n"/>
      <c r="J2571" s="58" t="n"/>
      <c r="K2571" s="63">
        <f>IF(tblMovement[[#This Row],[Source]]="","",IFERROR(INDEX(tblSources[Type],MATCH(tblMovement[[#This Row],[Source]],tblSources[Source],0)),"?"))</f>
        <v/>
      </c>
      <c r="L2571" s="63">
        <f>IF(tblMovement[[#This Row],[Destination]]="","",IFERROR(INDEX(tblDestinations[Type],MATCH(tblMovement[[#This Row],[Destination]],tblDestinations[Destination],0)),"?"))</f>
        <v/>
      </c>
      <c r="M2571" s="64">
        <f>IF(tblMovement[[#This Row],[Material]]="","",IF(LEFT(tblMovement[[#This Row],[Material]],3)="Ore",1,0))</f>
        <v/>
      </c>
      <c r="N2571" s="59">
        <f>IF(OR(tblMovement[[#This Row],[Tonnes_t]]="",tblMovement[[#This Row],[Grade_gpt]]=""),0,tblMovement[[#This Row],[Tonnes_t]]*tblMovement[[#This Row],[Grade_gpt]]/cfg_TroyOz)</f>
        <v/>
      </c>
      <c r="O2571" s="59">
        <f>IF(tblMovement[[#This Row],[Is_Ore]]=1,tblMovement[[#This Row],[Contained_oz]],0)</f>
        <v/>
      </c>
    </row>
    <row r="2572">
      <c r="A2572" s="54" t="n"/>
      <c r="B2572" s="61" t="n"/>
      <c r="C2572" s="61" t="n"/>
      <c r="D2572" s="61" t="n"/>
      <c r="E2572" s="61" t="n"/>
      <c r="F2572" s="55" t="n"/>
      <c r="G2572" s="56" t="n"/>
      <c r="H2572" s="55" t="n"/>
      <c r="I2572" s="62" t="n"/>
      <c r="J2572" s="58" t="n"/>
      <c r="K2572" s="63">
        <f>IF(tblMovement[[#This Row],[Source]]="","",IFERROR(INDEX(tblSources[Type],MATCH(tblMovement[[#This Row],[Source]],tblSources[Source],0)),"?"))</f>
        <v/>
      </c>
      <c r="L2572" s="63">
        <f>IF(tblMovement[[#This Row],[Destination]]="","",IFERROR(INDEX(tblDestinations[Type],MATCH(tblMovement[[#This Row],[Destination]],tblDestinations[Destination],0)),"?"))</f>
        <v/>
      </c>
      <c r="M2572" s="64">
        <f>IF(tblMovement[[#This Row],[Material]]="","",IF(LEFT(tblMovement[[#This Row],[Material]],3)="Ore",1,0))</f>
        <v/>
      </c>
      <c r="N2572" s="59">
        <f>IF(OR(tblMovement[[#This Row],[Tonnes_t]]="",tblMovement[[#This Row],[Grade_gpt]]=""),0,tblMovement[[#This Row],[Tonnes_t]]*tblMovement[[#This Row],[Grade_gpt]]/cfg_TroyOz)</f>
        <v/>
      </c>
      <c r="O2572" s="59">
        <f>IF(tblMovement[[#This Row],[Is_Ore]]=1,tblMovement[[#This Row],[Contained_oz]],0)</f>
        <v/>
      </c>
    </row>
    <row r="2573">
      <c r="A2573" s="54" t="n"/>
      <c r="B2573" s="61" t="n"/>
      <c r="C2573" s="61" t="n"/>
      <c r="D2573" s="61" t="n"/>
      <c r="E2573" s="61" t="n"/>
      <c r="F2573" s="55" t="n"/>
      <c r="G2573" s="56" t="n"/>
      <c r="H2573" s="55" t="n"/>
      <c r="I2573" s="62" t="n"/>
      <c r="J2573" s="58" t="n"/>
      <c r="K2573" s="63">
        <f>IF(tblMovement[[#This Row],[Source]]="","",IFERROR(INDEX(tblSources[Type],MATCH(tblMovement[[#This Row],[Source]],tblSources[Source],0)),"?"))</f>
        <v/>
      </c>
      <c r="L2573" s="63">
        <f>IF(tblMovement[[#This Row],[Destination]]="","",IFERROR(INDEX(tblDestinations[Type],MATCH(tblMovement[[#This Row],[Destination]],tblDestinations[Destination],0)),"?"))</f>
        <v/>
      </c>
      <c r="M2573" s="64">
        <f>IF(tblMovement[[#This Row],[Material]]="","",IF(LEFT(tblMovement[[#This Row],[Material]],3)="Ore",1,0))</f>
        <v/>
      </c>
      <c r="N2573" s="59">
        <f>IF(OR(tblMovement[[#This Row],[Tonnes_t]]="",tblMovement[[#This Row],[Grade_gpt]]=""),0,tblMovement[[#This Row],[Tonnes_t]]*tblMovement[[#This Row],[Grade_gpt]]/cfg_TroyOz)</f>
        <v/>
      </c>
      <c r="O2573" s="59">
        <f>IF(tblMovement[[#This Row],[Is_Ore]]=1,tblMovement[[#This Row],[Contained_oz]],0)</f>
        <v/>
      </c>
    </row>
    <row r="2574">
      <c r="A2574" s="54" t="n"/>
      <c r="B2574" s="61" t="n"/>
      <c r="C2574" s="61" t="n"/>
      <c r="D2574" s="61" t="n"/>
      <c r="E2574" s="61" t="n"/>
      <c r="F2574" s="55" t="n"/>
      <c r="G2574" s="56" t="n"/>
      <c r="H2574" s="55" t="n"/>
      <c r="I2574" s="62" t="n"/>
      <c r="J2574" s="58" t="n"/>
      <c r="K2574" s="63">
        <f>IF(tblMovement[[#This Row],[Source]]="","",IFERROR(INDEX(tblSources[Type],MATCH(tblMovement[[#This Row],[Source]],tblSources[Source],0)),"?"))</f>
        <v/>
      </c>
      <c r="L2574" s="63">
        <f>IF(tblMovement[[#This Row],[Destination]]="","",IFERROR(INDEX(tblDestinations[Type],MATCH(tblMovement[[#This Row],[Destination]],tblDestinations[Destination],0)),"?"))</f>
        <v/>
      </c>
      <c r="M2574" s="64">
        <f>IF(tblMovement[[#This Row],[Material]]="","",IF(LEFT(tblMovement[[#This Row],[Material]],3)="Ore",1,0))</f>
        <v/>
      </c>
      <c r="N2574" s="59">
        <f>IF(OR(tblMovement[[#This Row],[Tonnes_t]]="",tblMovement[[#This Row],[Grade_gpt]]=""),0,tblMovement[[#This Row],[Tonnes_t]]*tblMovement[[#This Row],[Grade_gpt]]/cfg_TroyOz)</f>
        <v/>
      </c>
      <c r="O2574" s="59">
        <f>IF(tblMovement[[#This Row],[Is_Ore]]=1,tblMovement[[#This Row],[Contained_oz]],0)</f>
        <v/>
      </c>
    </row>
    <row r="2575">
      <c r="A2575" s="54" t="n"/>
      <c r="B2575" s="61" t="n"/>
      <c r="C2575" s="61" t="n"/>
      <c r="D2575" s="61" t="n"/>
      <c r="E2575" s="61" t="n"/>
      <c r="F2575" s="55" t="n"/>
      <c r="G2575" s="56" t="n"/>
      <c r="H2575" s="55" t="n"/>
      <c r="I2575" s="62" t="n"/>
      <c r="J2575" s="58" t="n"/>
      <c r="K2575" s="63">
        <f>IF(tblMovement[[#This Row],[Source]]="","",IFERROR(INDEX(tblSources[Type],MATCH(tblMovement[[#This Row],[Source]],tblSources[Source],0)),"?"))</f>
        <v/>
      </c>
      <c r="L2575" s="63">
        <f>IF(tblMovement[[#This Row],[Destination]]="","",IFERROR(INDEX(tblDestinations[Type],MATCH(tblMovement[[#This Row],[Destination]],tblDestinations[Destination],0)),"?"))</f>
        <v/>
      </c>
      <c r="M2575" s="64">
        <f>IF(tblMovement[[#This Row],[Material]]="","",IF(LEFT(tblMovement[[#This Row],[Material]],3)="Ore",1,0))</f>
        <v/>
      </c>
      <c r="N2575" s="59">
        <f>IF(OR(tblMovement[[#This Row],[Tonnes_t]]="",tblMovement[[#This Row],[Grade_gpt]]=""),0,tblMovement[[#This Row],[Tonnes_t]]*tblMovement[[#This Row],[Grade_gpt]]/cfg_TroyOz)</f>
        <v/>
      </c>
      <c r="O2575" s="59">
        <f>IF(tblMovement[[#This Row],[Is_Ore]]=1,tblMovement[[#This Row],[Contained_oz]],0)</f>
        <v/>
      </c>
    </row>
    <row r="2576">
      <c r="A2576" s="54" t="n"/>
      <c r="B2576" s="61" t="n"/>
      <c r="C2576" s="61" t="n"/>
      <c r="D2576" s="61" t="n"/>
      <c r="E2576" s="61" t="n"/>
      <c r="F2576" s="55" t="n"/>
      <c r="G2576" s="56" t="n"/>
      <c r="H2576" s="55" t="n"/>
      <c r="I2576" s="62" t="n"/>
      <c r="J2576" s="58" t="n"/>
      <c r="K2576" s="63">
        <f>IF(tblMovement[[#This Row],[Source]]="","",IFERROR(INDEX(tblSources[Type],MATCH(tblMovement[[#This Row],[Source]],tblSources[Source],0)),"?"))</f>
        <v/>
      </c>
      <c r="L2576" s="63">
        <f>IF(tblMovement[[#This Row],[Destination]]="","",IFERROR(INDEX(tblDestinations[Type],MATCH(tblMovement[[#This Row],[Destination]],tblDestinations[Destination],0)),"?"))</f>
        <v/>
      </c>
      <c r="M2576" s="64">
        <f>IF(tblMovement[[#This Row],[Material]]="","",IF(LEFT(tblMovement[[#This Row],[Material]],3)="Ore",1,0))</f>
        <v/>
      </c>
      <c r="N2576" s="59">
        <f>IF(OR(tblMovement[[#This Row],[Tonnes_t]]="",tblMovement[[#This Row],[Grade_gpt]]=""),0,tblMovement[[#This Row],[Tonnes_t]]*tblMovement[[#This Row],[Grade_gpt]]/cfg_TroyOz)</f>
        <v/>
      </c>
      <c r="O2576" s="59">
        <f>IF(tblMovement[[#This Row],[Is_Ore]]=1,tblMovement[[#This Row],[Contained_oz]],0)</f>
        <v/>
      </c>
    </row>
    <row r="2577">
      <c r="A2577" s="54" t="n"/>
      <c r="B2577" s="61" t="n"/>
      <c r="C2577" s="61" t="n"/>
      <c r="D2577" s="61" t="n"/>
      <c r="E2577" s="61" t="n"/>
      <c r="F2577" s="55" t="n"/>
      <c r="G2577" s="56" t="n"/>
      <c r="H2577" s="55" t="n"/>
      <c r="I2577" s="62" t="n"/>
      <c r="J2577" s="58" t="n"/>
      <c r="K2577" s="63">
        <f>IF(tblMovement[[#This Row],[Source]]="","",IFERROR(INDEX(tblSources[Type],MATCH(tblMovement[[#This Row],[Source]],tblSources[Source],0)),"?"))</f>
        <v/>
      </c>
      <c r="L2577" s="63">
        <f>IF(tblMovement[[#This Row],[Destination]]="","",IFERROR(INDEX(tblDestinations[Type],MATCH(tblMovement[[#This Row],[Destination]],tblDestinations[Destination],0)),"?"))</f>
        <v/>
      </c>
      <c r="M2577" s="64">
        <f>IF(tblMovement[[#This Row],[Material]]="","",IF(LEFT(tblMovement[[#This Row],[Material]],3)="Ore",1,0))</f>
        <v/>
      </c>
      <c r="N2577" s="59">
        <f>IF(OR(tblMovement[[#This Row],[Tonnes_t]]="",tblMovement[[#This Row],[Grade_gpt]]=""),0,tblMovement[[#This Row],[Tonnes_t]]*tblMovement[[#This Row],[Grade_gpt]]/cfg_TroyOz)</f>
        <v/>
      </c>
      <c r="O2577" s="59">
        <f>IF(tblMovement[[#This Row],[Is_Ore]]=1,tblMovement[[#This Row],[Contained_oz]],0)</f>
        <v/>
      </c>
    </row>
    <row r="2578">
      <c r="A2578" s="54" t="n"/>
      <c r="B2578" s="61" t="n"/>
      <c r="C2578" s="61" t="n"/>
      <c r="D2578" s="61" t="n"/>
      <c r="E2578" s="61" t="n"/>
      <c r="F2578" s="55" t="n"/>
      <c r="G2578" s="56" t="n"/>
      <c r="H2578" s="55" t="n"/>
      <c r="I2578" s="62" t="n"/>
      <c r="J2578" s="58" t="n"/>
      <c r="K2578" s="63">
        <f>IF(tblMovement[[#This Row],[Source]]="","",IFERROR(INDEX(tblSources[Type],MATCH(tblMovement[[#This Row],[Source]],tblSources[Source],0)),"?"))</f>
        <v/>
      </c>
      <c r="L2578" s="63">
        <f>IF(tblMovement[[#This Row],[Destination]]="","",IFERROR(INDEX(tblDestinations[Type],MATCH(tblMovement[[#This Row],[Destination]],tblDestinations[Destination],0)),"?"))</f>
        <v/>
      </c>
      <c r="M2578" s="64">
        <f>IF(tblMovement[[#This Row],[Material]]="","",IF(LEFT(tblMovement[[#This Row],[Material]],3)="Ore",1,0))</f>
        <v/>
      </c>
      <c r="N2578" s="59">
        <f>IF(OR(tblMovement[[#This Row],[Tonnes_t]]="",tblMovement[[#This Row],[Grade_gpt]]=""),0,tblMovement[[#This Row],[Tonnes_t]]*tblMovement[[#This Row],[Grade_gpt]]/cfg_TroyOz)</f>
        <v/>
      </c>
      <c r="O2578" s="59">
        <f>IF(tblMovement[[#This Row],[Is_Ore]]=1,tblMovement[[#This Row],[Contained_oz]],0)</f>
        <v/>
      </c>
    </row>
    <row r="2579">
      <c r="A2579" s="54" t="n"/>
      <c r="B2579" s="61" t="n"/>
      <c r="C2579" s="61" t="n"/>
      <c r="D2579" s="61" t="n"/>
      <c r="E2579" s="61" t="n"/>
      <c r="F2579" s="55" t="n"/>
      <c r="G2579" s="56" t="n"/>
      <c r="H2579" s="55" t="n"/>
      <c r="I2579" s="62" t="n"/>
      <c r="J2579" s="58" t="n"/>
      <c r="K2579" s="63">
        <f>IF(tblMovement[[#This Row],[Source]]="","",IFERROR(INDEX(tblSources[Type],MATCH(tblMovement[[#This Row],[Source]],tblSources[Source],0)),"?"))</f>
        <v/>
      </c>
      <c r="L2579" s="63">
        <f>IF(tblMovement[[#This Row],[Destination]]="","",IFERROR(INDEX(tblDestinations[Type],MATCH(tblMovement[[#This Row],[Destination]],tblDestinations[Destination],0)),"?"))</f>
        <v/>
      </c>
      <c r="M2579" s="64">
        <f>IF(tblMovement[[#This Row],[Material]]="","",IF(LEFT(tblMovement[[#This Row],[Material]],3)="Ore",1,0))</f>
        <v/>
      </c>
      <c r="N2579" s="59">
        <f>IF(OR(tblMovement[[#This Row],[Tonnes_t]]="",tblMovement[[#This Row],[Grade_gpt]]=""),0,tblMovement[[#This Row],[Tonnes_t]]*tblMovement[[#This Row],[Grade_gpt]]/cfg_TroyOz)</f>
        <v/>
      </c>
      <c r="O2579" s="59">
        <f>IF(tblMovement[[#This Row],[Is_Ore]]=1,tblMovement[[#This Row],[Contained_oz]],0)</f>
        <v/>
      </c>
    </row>
    <row r="2580">
      <c r="A2580" s="54" t="n"/>
      <c r="B2580" s="61" t="n"/>
      <c r="C2580" s="61" t="n"/>
      <c r="D2580" s="61" t="n"/>
      <c r="E2580" s="61" t="n"/>
      <c r="F2580" s="55" t="n"/>
      <c r="G2580" s="56" t="n"/>
      <c r="H2580" s="55" t="n"/>
      <c r="I2580" s="62" t="n"/>
      <c r="J2580" s="58" t="n"/>
      <c r="K2580" s="63">
        <f>IF(tblMovement[[#This Row],[Source]]="","",IFERROR(INDEX(tblSources[Type],MATCH(tblMovement[[#This Row],[Source]],tblSources[Source],0)),"?"))</f>
        <v/>
      </c>
      <c r="L2580" s="63">
        <f>IF(tblMovement[[#This Row],[Destination]]="","",IFERROR(INDEX(tblDestinations[Type],MATCH(tblMovement[[#This Row],[Destination]],tblDestinations[Destination],0)),"?"))</f>
        <v/>
      </c>
      <c r="M2580" s="64">
        <f>IF(tblMovement[[#This Row],[Material]]="","",IF(LEFT(tblMovement[[#This Row],[Material]],3)="Ore",1,0))</f>
        <v/>
      </c>
      <c r="N2580" s="59">
        <f>IF(OR(tblMovement[[#This Row],[Tonnes_t]]="",tblMovement[[#This Row],[Grade_gpt]]=""),0,tblMovement[[#This Row],[Tonnes_t]]*tblMovement[[#This Row],[Grade_gpt]]/cfg_TroyOz)</f>
        <v/>
      </c>
      <c r="O2580" s="59">
        <f>IF(tblMovement[[#This Row],[Is_Ore]]=1,tblMovement[[#This Row],[Contained_oz]],0)</f>
        <v/>
      </c>
    </row>
    <row r="2581">
      <c r="A2581" s="54" t="n"/>
      <c r="B2581" s="61" t="n"/>
      <c r="C2581" s="61" t="n"/>
      <c r="D2581" s="61" t="n"/>
      <c r="E2581" s="61" t="n"/>
      <c r="F2581" s="55" t="n"/>
      <c r="G2581" s="56" t="n"/>
      <c r="H2581" s="55" t="n"/>
      <c r="I2581" s="62" t="n"/>
      <c r="J2581" s="58" t="n"/>
      <c r="K2581" s="63">
        <f>IF(tblMovement[[#This Row],[Source]]="","",IFERROR(INDEX(tblSources[Type],MATCH(tblMovement[[#This Row],[Source]],tblSources[Source],0)),"?"))</f>
        <v/>
      </c>
      <c r="L2581" s="63">
        <f>IF(tblMovement[[#This Row],[Destination]]="","",IFERROR(INDEX(tblDestinations[Type],MATCH(tblMovement[[#This Row],[Destination]],tblDestinations[Destination],0)),"?"))</f>
        <v/>
      </c>
      <c r="M2581" s="64">
        <f>IF(tblMovement[[#This Row],[Material]]="","",IF(LEFT(tblMovement[[#This Row],[Material]],3)="Ore",1,0))</f>
        <v/>
      </c>
      <c r="N2581" s="59">
        <f>IF(OR(tblMovement[[#This Row],[Tonnes_t]]="",tblMovement[[#This Row],[Grade_gpt]]=""),0,tblMovement[[#This Row],[Tonnes_t]]*tblMovement[[#This Row],[Grade_gpt]]/cfg_TroyOz)</f>
        <v/>
      </c>
      <c r="O2581" s="59">
        <f>IF(tblMovement[[#This Row],[Is_Ore]]=1,tblMovement[[#This Row],[Contained_oz]],0)</f>
        <v/>
      </c>
    </row>
    <row r="2582">
      <c r="A2582" s="54" t="n"/>
      <c r="B2582" s="61" t="n"/>
      <c r="C2582" s="61" t="n"/>
      <c r="D2582" s="61" t="n"/>
      <c r="E2582" s="61" t="n"/>
      <c r="F2582" s="55" t="n"/>
      <c r="G2582" s="56" t="n"/>
      <c r="H2582" s="55" t="n"/>
      <c r="I2582" s="62" t="n"/>
      <c r="J2582" s="58" t="n"/>
      <c r="K2582" s="63">
        <f>IF(tblMovement[[#This Row],[Source]]="","",IFERROR(INDEX(tblSources[Type],MATCH(tblMovement[[#This Row],[Source]],tblSources[Source],0)),"?"))</f>
        <v/>
      </c>
      <c r="L2582" s="63">
        <f>IF(tblMovement[[#This Row],[Destination]]="","",IFERROR(INDEX(tblDestinations[Type],MATCH(tblMovement[[#This Row],[Destination]],tblDestinations[Destination],0)),"?"))</f>
        <v/>
      </c>
      <c r="M2582" s="64">
        <f>IF(tblMovement[[#This Row],[Material]]="","",IF(LEFT(tblMovement[[#This Row],[Material]],3)="Ore",1,0))</f>
        <v/>
      </c>
      <c r="N2582" s="59">
        <f>IF(OR(tblMovement[[#This Row],[Tonnes_t]]="",tblMovement[[#This Row],[Grade_gpt]]=""),0,tblMovement[[#This Row],[Tonnes_t]]*tblMovement[[#This Row],[Grade_gpt]]/cfg_TroyOz)</f>
        <v/>
      </c>
      <c r="O2582" s="59">
        <f>IF(tblMovement[[#This Row],[Is_Ore]]=1,tblMovement[[#This Row],[Contained_oz]],0)</f>
        <v/>
      </c>
    </row>
    <row r="2583">
      <c r="A2583" s="54" t="n"/>
      <c r="B2583" s="61" t="n"/>
      <c r="C2583" s="61" t="n"/>
      <c r="D2583" s="61" t="n"/>
      <c r="E2583" s="61" t="n"/>
      <c r="F2583" s="55" t="n"/>
      <c r="G2583" s="56" t="n"/>
      <c r="H2583" s="55" t="n"/>
      <c r="I2583" s="62" t="n"/>
      <c r="J2583" s="58" t="n"/>
      <c r="K2583" s="63">
        <f>IF(tblMovement[[#This Row],[Source]]="","",IFERROR(INDEX(tblSources[Type],MATCH(tblMovement[[#This Row],[Source]],tblSources[Source],0)),"?"))</f>
        <v/>
      </c>
      <c r="L2583" s="63">
        <f>IF(tblMovement[[#This Row],[Destination]]="","",IFERROR(INDEX(tblDestinations[Type],MATCH(tblMovement[[#This Row],[Destination]],tblDestinations[Destination],0)),"?"))</f>
        <v/>
      </c>
      <c r="M2583" s="64">
        <f>IF(tblMovement[[#This Row],[Material]]="","",IF(LEFT(tblMovement[[#This Row],[Material]],3)="Ore",1,0))</f>
        <v/>
      </c>
      <c r="N2583" s="59">
        <f>IF(OR(tblMovement[[#This Row],[Tonnes_t]]="",tblMovement[[#This Row],[Grade_gpt]]=""),0,tblMovement[[#This Row],[Tonnes_t]]*tblMovement[[#This Row],[Grade_gpt]]/cfg_TroyOz)</f>
        <v/>
      </c>
      <c r="O2583" s="59">
        <f>IF(tblMovement[[#This Row],[Is_Ore]]=1,tblMovement[[#This Row],[Contained_oz]],0)</f>
        <v/>
      </c>
    </row>
    <row r="2584">
      <c r="A2584" s="54" t="n"/>
      <c r="B2584" s="61" t="n"/>
      <c r="C2584" s="61" t="n"/>
      <c r="D2584" s="61" t="n"/>
      <c r="E2584" s="61" t="n"/>
      <c r="F2584" s="55" t="n"/>
      <c r="G2584" s="56" t="n"/>
      <c r="H2584" s="55" t="n"/>
      <c r="I2584" s="62" t="n"/>
      <c r="J2584" s="58" t="n"/>
      <c r="K2584" s="63">
        <f>IF(tblMovement[[#This Row],[Source]]="","",IFERROR(INDEX(tblSources[Type],MATCH(tblMovement[[#This Row],[Source]],tblSources[Source],0)),"?"))</f>
        <v/>
      </c>
      <c r="L2584" s="63">
        <f>IF(tblMovement[[#This Row],[Destination]]="","",IFERROR(INDEX(tblDestinations[Type],MATCH(tblMovement[[#This Row],[Destination]],tblDestinations[Destination],0)),"?"))</f>
        <v/>
      </c>
      <c r="M2584" s="64">
        <f>IF(tblMovement[[#This Row],[Material]]="","",IF(LEFT(tblMovement[[#This Row],[Material]],3)="Ore",1,0))</f>
        <v/>
      </c>
      <c r="N2584" s="59">
        <f>IF(OR(tblMovement[[#This Row],[Tonnes_t]]="",tblMovement[[#This Row],[Grade_gpt]]=""),0,tblMovement[[#This Row],[Tonnes_t]]*tblMovement[[#This Row],[Grade_gpt]]/cfg_TroyOz)</f>
        <v/>
      </c>
      <c r="O2584" s="59">
        <f>IF(tblMovement[[#This Row],[Is_Ore]]=1,tblMovement[[#This Row],[Contained_oz]],0)</f>
        <v/>
      </c>
    </row>
    <row r="2585">
      <c r="A2585" s="54" t="n"/>
      <c r="B2585" s="61" t="n"/>
      <c r="C2585" s="61" t="n"/>
      <c r="D2585" s="61" t="n"/>
      <c r="E2585" s="61" t="n"/>
      <c r="F2585" s="55" t="n"/>
      <c r="G2585" s="56" t="n"/>
      <c r="H2585" s="55" t="n"/>
      <c r="I2585" s="62" t="n"/>
      <c r="J2585" s="58" t="n"/>
      <c r="K2585" s="63">
        <f>IF(tblMovement[[#This Row],[Source]]="","",IFERROR(INDEX(tblSources[Type],MATCH(tblMovement[[#This Row],[Source]],tblSources[Source],0)),"?"))</f>
        <v/>
      </c>
      <c r="L2585" s="63">
        <f>IF(tblMovement[[#This Row],[Destination]]="","",IFERROR(INDEX(tblDestinations[Type],MATCH(tblMovement[[#This Row],[Destination]],tblDestinations[Destination],0)),"?"))</f>
        <v/>
      </c>
      <c r="M2585" s="64">
        <f>IF(tblMovement[[#This Row],[Material]]="","",IF(LEFT(tblMovement[[#This Row],[Material]],3)="Ore",1,0))</f>
        <v/>
      </c>
      <c r="N2585" s="59">
        <f>IF(OR(tblMovement[[#This Row],[Tonnes_t]]="",tblMovement[[#This Row],[Grade_gpt]]=""),0,tblMovement[[#This Row],[Tonnes_t]]*tblMovement[[#This Row],[Grade_gpt]]/cfg_TroyOz)</f>
        <v/>
      </c>
      <c r="O2585" s="59">
        <f>IF(tblMovement[[#This Row],[Is_Ore]]=1,tblMovement[[#This Row],[Contained_oz]],0)</f>
        <v/>
      </c>
    </row>
    <row r="2586">
      <c r="A2586" s="54" t="n"/>
      <c r="B2586" s="61" t="n"/>
      <c r="C2586" s="61" t="n"/>
      <c r="D2586" s="61" t="n"/>
      <c r="E2586" s="61" t="n"/>
      <c r="F2586" s="55" t="n"/>
      <c r="G2586" s="56" t="n"/>
      <c r="H2586" s="55" t="n"/>
      <c r="I2586" s="62" t="n"/>
      <c r="J2586" s="58" t="n"/>
      <c r="K2586" s="63">
        <f>IF(tblMovement[[#This Row],[Source]]="","",IFERROR(INDEX(tblSources[Type],MATCH(tblMovement[[#This Row],[Source]],tblSources[Source],0)),"?"))</f>
        <v/>
      </c>
      <c r="L2586" s="63">
        <f>IF(tblMovement[[#This Row],[Destination]]="","",IFERROR(INDEX(tblDestinations[Type],MATCH(tblMovement[[#This Row],[Destination]],tblDestinations[Destination],0)),"?"))</f>
        <v/>
      </c>
      <c r="M2586" s="64">
        <f>IF(tblMovement[[#This Row],[Material]]="","",IF(LEFT(tblMovement[[#This Row],[Material]],3)="Ore",1,0))</f>
        <v/>
      </c>
      <c r="N2586" s="59">
        <f>IF(OR(tblMovement[[#This Row],[Tonnes_t]]="",tblMovement[[#This Row],[Grade_gpt]]=""),0,tblMovement[[#This Row],[Tonnes_t]]*tblMovement[[#This Row],[Grade_gpt]]/cfg_TroyOz)</f>
        <v/>
      </c>
      <c r="O2586" s="59">
        <f>IF(tblMovement[[#This Row],[Is_Ore]]=1,tblMovement[[#This Row],[Contained_oz]],0)</f>
        <v/>
      </c>
    </row>
    <row r="2587">
      <c r="A2587" s="54" t="n"/>
      <c r="B2587" s="61" t="n"/>
      <c r="C2587" s="61" t="n"/>
      <c r="D2587" s="61" t="n"/>
      <c r="E2587" s="61" t="n"/>
      <c r="F2587" s="55" t="n"/>
      <c r="G2587" s="56" t="n"/>
      <c r="H2587" s="55" t="n"/>
      <c r="I2587" s="62" t="n"/>
      <c r="J2587" s="58" t="n"/>
      <c r="K2587" s="63">
        <f>IF(tblMovement[[#This Row],[Source]]="","",IFERROR(INDEX(tblSources[Type],MATCH(tblMovement[[#This Row],[Source]],tblSources[Source],0)),"?"))</f>
        <v/>
      </c>
      <c r="L2587" s="63">
        <f>IF(tblMovement[[#This Row],[Destination]]="","",IFERROR(INDEX(tblDestinations[Type],MATCH(tblMovement[[#This Row],[Destination]],tblDestinations[Destination],0)),"?"))</f>
        <v/>
      </c>
      <c r="M2587" s="64">
        <f>IF(tblMovement[[#This Row],[Material]]="","",IF(LEFT(tblMovement[[#This Row],[Material]],3)="Ore",1,0))</f>
        <v/>
      </c>
      <c r="N2587" s="59">
        <f>IF(OR(tblMovement[[#This Row],[Tonnes_t]]="",tblMovement[[#This Row],[Grade_gpt]]=""),0,tblMovement[[#This Row],[Tonnes_t]]*tblMovement[[#This Row],[Grade_gpt]]/cfg_TroyOz)</f>
        <v/>
      </c>
      <c r="O2587" s="59">
        <f>IF(tblMovement[[#This Row],[Is_Ore]]=1,tblMovement[[#This Row],[Contained_oz]],0)</f>
        <v/>
      </c>
    </row>
    <row r="2588">
      <c r="A2588" s="54" t="n"/>
      <c r="B2588" s="61" t="n"/>
      <c r="C2588" s="61" t="n"/>
      <c r="D2588" s="61" t="n"/>
      <c r="E2588" s="61" t="n"/>
      <c r="F2588" s="55" t="n"/>
      <c r="G2588" s="56" t="n"/>
      <c r="H2588" s="55" t="n"/>
      <c r="I2588" s="62" t="n"/>
      <c r="J2588" s="58" t="n"/>
      <c r="K2588" s="63">
        <f>IF(tblMovement[[#This Row],[Source]]="","",IFERROR(INDEX(tblSources[Type],MATCH(tblMovement[[#This Row],[Source]],tblSources[Source],0)),"?"))</f>
        <v/>
      </c>
      <c r="L2588" s="63">
        <f>IF(tblMovement[[#This Row],[Destination]]="","",IFERROR(INDEX(tblDestinations[Type],MATCH(tblMovement[[#This Row],[Destination]],tblDestinations[Destination],0)),"?"))</f>
        <v/>
      </c>
      <c r="M2588" s="64">
        <f>IF(tblMovement[[#This Row],[Material]]="","",IF(LEFT(tblMovement[[#This Row],[Material]],3)="Ore",1,0))</f>
        <v/>
      </c>
      <c r="N2588" s="59">
        <f>IF(OR(tblMovement[[#This Row],[Tonnes_t]]="",tblMovement[[#This Row],[Grade_gpt]]=""),0,tblMovement[[#This Row],[Tonnes_t]]*tblMovement[[#This Row],[Grade_gpt]]/cfg_TroyOz)</f>
        <v/>
      </c>
      <c r="O2588" s="59">
        <f>IF(tblMovement[[#This Row],[Is_Ore]]=1,tblMovement[[#This Row],[Contained_oz]],0)</f>
        <v/>
      </c>
    </row>
    <row r="2589">
      <c r="A2589" s="54" t="n"/>
      <c r="B2589" s="61" t="n"/>
      <c r="C2589" s="61" t="n"/>
      <c r="D2589" s="61" t="n"/>
      <c r="E2589" s="61" t="n"/>
      <c r="F2589" s="55" t="n"/>
      <c r="G2589" s="56" t="n"/>
      <c r="H2589" s="55" t="n"/>
      <c r="I2589" s="62" t="n"/>
      <c r="J2589" s="58" t="n"/>
      <c r="K2589" s="63">
        <f>IF(tblMovement[[#This Row],[Source]]="","",IFERROR(INDEX(tblSources[Type],MATCH(tblMovement[[#This Row],[Source]],tblSources[Source],0)),"?"))</f>
        <v/>
      </c>
      <c r="L2589" s="63">
        <f>IF(tblMovement[[#This Row],[Destination]]="","",IFERROR(INDEX(tblDestinations[Type],MATCH(tblMovement[[#This Row],[Destination]],tblDestinations[Destination],0)),"?"))</f>
        <v/>
      </c>
      <c r="M2589" s="64">
        <f>IF(tblMovement[[#This Row],[Material]]="","",IF(LEFT(tblMovement[[#This Row],[Material]],3)="Ore",1,0))</f>
        <v/>
      </c>
      <c r="N2589" s="59">
        <f>IF(OR(tblMovement[[#This Row],[Tonnes_t]]="",tblMovement[[#This Row],[Grade_gpt]]=""),0,tblMovement[[#This Row],[Tonnes_t]]*tblMovement[[#This Row],[Grade_gpt]]/cfg_TroyOz)</f>
        <v/>
      </c>
      <c r="O2589" s="59">
        <f>IF(tblMovement[[#This Row],[Is_Ore]]=1,tblMovement[[#This Row],[Contained_oz]],0)</f>
        <v/>
      </c>
    </row>
    <row r="2590">
      <c r="A2590" s="54" t="n"/>
      <c r="B2590" s="61" t="n"/>
      <c r="C2590" s="61" t="n"/>
      <c r="D2590" s="61" t="n"/>
      <c r="E2590" s="61" t="n"/>
      <c r="F2590" s="55" t="n"/>
      <c r="G2590" s="56" t="n"/>
      <c r="H2590" s="55" t="n"/>
      <c r="I2590" s="62" t="n"/>
      <c r="J2590" s="58" t="n"/>
      <c r="K2590" s="63">
        <f>IF(tblMovement[[#This Row],[Source]]="","",IFERROR(INDEX(tblSources[Type],MATCH(tblMovement[[#This Row],[Source]],tblSources[Source],0)),"?"))</f>
        <v/>
      </c>
      <c r="L2590" s="63">
        <f>IF(tblMovement[[#This Row],[Destination]]="","",IFERROR(INDEX(tblDestinations[Type],MATCH(tblMovement[[#This Row],[Destination]],tblDestinations[Destination],0)),"?"))</f>
        <v/>
      </c>
      <c r="M2590" s="64">
        <f>IF(tblMovement[[#This Row],[Material]]="","",IF(LEFT(tblMovement[[#This Row],[Material]],3)="Ore",1,0))</f>
        <v/>
      </c>
      <c r="N2590" s="59">
        <f>IF(OR(tblMovement[[#This Row],[Tonnes_t]]="",tblMovement[[#This Row],[Grade_gpt]]=""),0,tblMovement[[#This Row],[Tonnes_t]]*tblMovement[[#This Row],[Grade_gpt]]/cfg_TroyOz)</f>
        <v/>
      </c>
      <c r="O2590" s="59">
        <f>IF(tblMovement[[#This Row],[Is_Ore]]=1,tblMovement[[#This Row],[Contained_oz]],0)</f>
        <v/>
      </c>
    </row>
    <row r="2591">
      <c r="A2591" s="54" t="n"/>
      <c r="B2591" s="61" t="n"/>
      <c r="C2591" s="61" t="n"/>
      <c r="D2591" s="61" t="n"/>
      <c r="E2591" s="61" t="n"/>
      <c r="F2591" s="55" t="n"/>
      <c r="G2591" s="56" t="n"/>
      <c r="H2591" s="55" t="n"/>
      <c r="I2591" s="62" t="n"/>
      <c r="J2591" s="58" t="n"/>
      <c r="K2591" s="63">
        <f>IF(tblMovement[[#This Row],[Source]]="","",IFERROR(INDEX(tblSources[Type],MATCH(tblMovement[[#This Row],[Source]],tblSources[Source],0)),"?"))</f>
        <v/>
      </c>
      <c r="L2591" s="63">
        <f>IF(tblMovement[[#This Row],[Destination]]="","",IFERROR(INDEX(tblDestinations[Type],MATCH(tblMovement[[#This Row],[Destination]],tblDestinations[Destination],0)),"?"))</f>
        <v/>
      </c>
      <c r="M2591" s="64">
        <f>IF(tblMovement[[#This Row],[Material]]="","",IF(LEFT(tblMovement[[#This Row],[Material]],3)="Ore",1,0))</f>
        <v/>
      </c>
      <c r="N2591" s="59">
        <f>IF(OR(tblMovement[[#This Row],[Tonnes_t]]="",tblMovement[[#This Row],[Grade_gpt]]=""),0,tblMovement[[#This Row],[Tonnes_t]]*tblMovement[[#This Row],[Grade_gpt]]/cfg_TroyOz)</f>
        <v/>
      </c>
      <c r="O2591" s="59">
        <f>IF(tblMovement[[#This Row],[Is_Ore]]=1,tblMovement[[#This Row],[Contained_oz]],0)</f>
        <v/>
      </c>
    </row>
    <row r="2592">
      <c r="A2592" s="54" t="n"/>
      <c r="B2592" s="61" t="n"/>
      <c r="C2592" s="61" t="n"/>
      <c r="D2592" s="61" t="n"/>
      <c r="E2592" s="61" t="n"/>
      <c r="F2592" s="55" t="n"/>
      <c r="G2592" s="56" t="n"/>
      <c r="H2592" s="55" t="n"/>
      <c r="I2592" s="62" t="n"/>
      <c r="J2592" s="58" t="n"/>
      <c r="K2592" s="63">
        <f>IF(tblMovement[[#This Row],[Source]]="","",IFERROR(INDEX(tblSources[Type],MATCH(tblMovement[[#This Row],[Source]],tblSources[Source],0)),"?"))</f>
        <v/>
      </c>
      <c r="L2592" s="63">
        <f>IF(tblMovement[[#This Row],[Destination]]="","",IFERROR(INDEX(tblDestinations[Type],MATCH(tblMovement[[#This Row],[Destination]],tblDestinations[Destination],0)),"?"))</f>
        <v/>
      </c>
      <c r="M2592" s="64">
        <f>IF(tblMovement[[#This Row],[Material]]="","",IF(LEFT(tblMovement[[#This Row],[Material]],3)="Ore",1,0))</f>
        <v/>
      </c>
      <c r="N2592" s="59">
        <f>IF(OR(tblMovement[[#This Row],[Tonnes_t]]="",tblMovement[[#This Row],[Grade_gpt]]=""),0,tblMovement[[#This Row],[Tonnes_t]]*tblMovement[[#This Row],[Grade_gpt]]/cfg_TroyOz)</f>
        <v/>
      </c>
      <c r="O2592" s="59">
        <f>IF(tblMovement[[#This Row],[Is_Ore]]=1,tblMovement[[#This Row],[Contained_oz]],0)</f>
        <v/>
      </c>
    </row>
    <row r="2593">
      <c r="A2593" s="54" t="n"/>
      <c r="B2593" s="61" t="n"/>
      <c r="C2593" s="61" t="n"/>
      <c r="D2593" s="61" t="n"/>
      <c r="E2593" s="61" t="n"/>
      <c r="F2593" s="55" t="n"/>
      <c r="G2593" s="56" t="n"/>
      <c r="H2593" s="55" t="n"/>
      <c r="I2593" s="62" t="n"/>
      <c r="J2593" s="58" t="n"/>
      <c r="K2593" s="63">
        <f>IF(tblMovement[[#This Row],[Source]]="","",IFERROR(INDEX(tblSources[Type],MATCH(tblMovement[[#This Row],[Source]],tblSources[Source],0)),"?"))</f>
        <v/>
      </c>
      <c r="L2593" s="63">
        <f>IF(tblMovement[[#This Row],[Destination]]="","",IFERROR(INDEX(tblDestinations[Type],MATCH(tblMovement[[#This Row],[Destination]],tblDestinations[Destination],0)),"?"))</f>
        <v/>
      </c>
      <c r="M2593" s="64">
        <f>IF(tblMovement[[#This Row],[Material]]="","",IF(LEFT(tblMovement[[#This Row],[Material]],3)="Ore",1,0))</f>
        <v/>
      </c>
      <c r="N2593" s="59">
        <f>IF(OR(tblMovement[[#This Row],[Tonnes_t]]="",tblMovement[[#This Row],[Grade_gpt]]=""),0,tblMovement[[#This Row],[Tonnes_t]]*tblMovement[[#This Row],[Grade_gpt]]/cfg_TroyOz)</f>
        <v/>
      </c>
      <c r="O2593" s="59">
        <f>IF(tblMovement[[#This Row],[Is_Ore]]=1,tblMovement[[#This Row],[Contained_oz]],0)</f>
        <v/>
      </c>
    </row>
    <row r="2594">
      <c r="A2594" s="54" t="n"/>
      <c r="B2594" s="61" t="n"/>
      <c r="C2594" s="61" t="n"/>
      <c r="D2594" s="61" t="n"/>
      <c r="E2594" s="61" t="n"/>
      <c r="F2594" s="55" t="n"/>
      <c r="G2594" s="56" t="n"/>
      <c r="H2594" s="55" t="n"/>
      <c r="I2594" s="62" t="n"/>
      <c r="J2594" s="58" t="n"/>
      <c r="K2594" s="63">
        <f>IF(tblMovement[[#This Row],[Source]]="","",IFERROR(INDEX(tblSources[Type],MATCH(tblMovement[[#This Row],[Source]],tblSources[Source],0)),"?"))</f>
        <v/>
      </c>
      <c r="L2594" s="63">
        <f>IF(tblMovement[[#This Row],[Destination]]="","",IFERROR(INDEX(tblDestinations[Type],MATCH(tblMovement[[#This Row],[Destination]],tblDestinations[Destination],0)),"?"))</f>
        <v/>
      </c>
      <c r="M2594" s="64">
        <f>IF(tblMovement[[#This Row],[Material]]="","",IF(LEFT(tblMovement[[#This Row],[Material]],3)="Ore",1,0))</f>
        <v/>
      </c>
      <c r="N2594" s="59">
        <f>IF(OR(tblMovement[[#This Row],[Tonnes_t]]="",tblMovement[[#This Row],[Grade_gpt]]=""),0,tblMovement[[#This Row],[Tonnes_t]]*tblMovement[[#This Row],[Grade_gpt]]/cfg_TroyOz)</f>
        <v/>
      </c>
      <c r="O2594" s="59">
        <f>IF(tblMovement[[#This Row],[Is_Ore]]=1,tblMovement[[#This Row],[Contained_oz]],0)</f>
        <v/>
      </c>
    </row>
    <row r="2595">
      <c r="A2595" s="54" t="n"/>
      <c r="B2595" s="61" t="n"/>
      <c r="C2595" s="61" t="n"/>
      <c r="D2595" s="61" t="n"/>
      <c r="E2595" s="61" t="n"/>
      <c r="F2595" s="55" t="n"/>
      <c r="G2595" s="56" t="n"/>
      <c r="H2595" s="55" t="n"/>
      <c r="I2595" s="62" t="n"/>
      <c r="J2595" s="58" t="n"/>
      <c r="K2595" s="63">
        <f>IF(tblMovement[[#This Row],[Source]]="","",IFERROR(INDEX(tblSources[Type],MATCH(tblMovement[[#This Row],[Source]],tblSources[Source],0)),"?"))</f>
        <v/>
      </c>
      <c r="L2595" s="63">
        <f>IF(tblMovement[[#This Row],[Destination]]="","",IFERROR(INDEX(tblDestinations[Type],MATCH(tblMovement[[#This Row],[Destination]],tblDestinations[Destination],0)),"?"))</f>
        <v/>
      </c>
      <c r="M2595" s="64">
        <f>IF(tblMovement[[#This Row],[Material]]="","",IF(LEFT(tblMovement[[#This Row],[Material]],3)="Ore",1,0))</f>
        <v/>
      </c>
      <c r="N2595" s="59">
        <f>IF(OR(tblMovement[[#This Row],[Tonnes_t]]="",tblMovement[[#This Row],[Grade_gpt]]=""),0,tblMovement[[#This Row],[Tonnes_t]]*tblMovement[[#This Row],[Grade_gpt]]/cfg_TroyOz)</f>
        <v/>
      </c>
      <c r="O2595" s="59">
        <f>IF(tblMovement[[#This Row],[Is_Ore]]=1,tblMovement[[#This Row],[Contained_oz]],0)</f>
        <v/>
      </c>
    </row>
    <row r="2596">
      <c r="A2596" s="54" t="n"/>
      <c r="B2596" s="61" t="n"/>
      <c r="C2596" s="61" t="n"/>
      <c r="D2596" s="61" t="n"/>
      <c r="E2596" s="61" t="n"/>
      <c r="F2596" s="55" t="n"/>
      <c r="G2596" s="56" t="n"/>
      <c r="H2596" s="55" t="n"/>
      <c r="I2596" s="62" t="n"/>
      <c r="J2596" s="58" t="n"/>
      <c r="K2596" s="63">
        <f>IF(tblMovement[[#This Row],[Source]]="","",IFERROR(INDEX(tblSources[Type],MATCH(tblMovement[[#This Row],[Source]],tblSources[Source],0)),"?"))</f>
        <v/>
      </c>
      <c r="L2596" s="63">
        <f>IF(tblMovement[[#This Row],[Destination]]="","",IFERROR(INDEX(tblDestinations[Type],MATCH(tblMovement[[#This Row],[Destination]],tblDestinations[Destination],0)),"?"))</f>
        <v/>
      </c>
      <c r="M2596" s="64">
        <f>IF(tblMovement[[#This Row],[Material]]="","",IF(LEFT(tblMovement[[#This Row],[Material]],3)="Ore",1,0))</f>
        <v/>
      </c>
      <c r="N2596" s="59">
        <f>IF(OR(tblMovement[[#This Row],[Tonnes_t]]="",tblMovement[[#This Row],[Grade_gpt]]=""),0,tblMovement[[#This Row],[Tonnes_t]]*tblMovement[[#This Row],[Grade_gpt]]/cfg_TroyOz)</f>
        <v/>
      </c>
      <c r="O2596" s="59">
        <f>IF(tblMovement[[#This Row],[Is_Ore]]=1,tblMovement[[#This Row],[Contained_oz]],0)</f>
        <v/>
      </c>
    </row>
    <row r="2597">
      <c r="A2597" s="54" t="n"/>
      <c r="B2597" s="61" t="n"/>
      <c r="C2597" s="61" t="n"/>
      <c r="D2597" s="61" t="n"/>
      <c r="E2597" s="61" t="n"/>
      <c r="F2597" s="55" t="n"/>
      <c r="G2597" s="56" t="n"/>
      <c r="H2597" s="55" t="n"/>
      <c r="I2597" s="62" t="n"/>
      <c r="J2597" s="58" t="n"/>
      <c r="K2597" s="63">
        <f>IF(tblMovement[[#This Row],[Source]]="","",IFERROR(INDEX(tblSources[Type],MATCH(tblMovement[[#This Row],[Source]],tblSources[Source],0)),"?"))</f>
        <v/>
      </c>
      <c r="L2597" s="63">
        <f>IF(tblMovement[[#This Row],[Destination]]="","",IFERROR(INDEX(tblDestinations[Type],MATCH(tblMovement[[#This Row],[Destination]],tblDestinations[Destination],0)),"?"))</f>
        <v/>
      </c>
      <c r="M2597" s="64">
        <f>IF(tblMovement[[#This Row],[Material]]="","",IF(LEFT(tblMovement[[#This Row],[Material]],3)="Ore",1,0))</f>
        <v/>
      </c>
      <c r="N2597" s="59">
        <f>IF(OR(tblMovement[[#This Row],[Tonnes_t]]="",tblMovement[[#This Row],[Grade_gpt]]=""),0,tblMovement[[#This Row],[Tonnes_t]]*tblMovement[[#This Row],[Grade_gpt]]/cfg_TroyOz)</f>
        <v/>
      </c>
      <c r="O2597" s="59">
        <f>IF(tblMovement[[#This Row],[Is_Ore]]=1,tblMovement[[#This Row],[Contained_oz]],0)</f>
        <v/>
      </c>
    </row>
    <row r="2598">
      <c r="A2598" s="54" t="n"/>
      <c r="B2598" s="61" t="n"/>
      <c r="C2598" s="61" t="n"/>
      <c r="D2598" s="61" t="n"/>
      <c r="E2598" s="61" t="n"/>
      <c r="F2598" s="55" t="n"/>
      <c r="G2598" s="56" t="n"/>
      <c r="H2598" s="55" t="n"/>
      <c r="I2598" s="62" t="n"/>
      <c r="J2598" s="58" t="n"/>
      <c r="K2598" s="63">
        <f>IF(tblMovement[[#This Row],[Source]]="","",IFERROR(INDEX(tblSources[Type],MATCH(tblMovement[[#This Row],[Source]],tblSources[Source],0)),"?"))</f>
        <v/>
      </c>
      <c r="L2598" s="63">
        <f>IF(tblMovement[[#This Row],[Destination]]="","",IFERROR(INDEX(tblDestinations[Type],MATCH(tblMovement[[#This Row],[Destination]],tblDestinations[Destination],0)),"?"))</f>
        <v/>
      </c>
      <c r="M2598" s="64">
        <f>IF(tblMovement[[#This Row],[Material]]="","",IF(LEFT(tblMovement[[#This Row],[Material]],3)="Ore",1,0))</f>
        <v/>
      </c>
      <c r="N2598" s="59">
        <f>IF(OR(tblMovement[[#This Row],[Tonnes_t]]="",tblMovement[[#This Row],[Grade_gpt]]=""),0,tblMovement[[#This Row],[Tonnes_t]]*tblMovement[[#This Row],[Grade_gpt]]/cfg_TroyOz)</f>
        <v/>
      </c>
      <c r="O2598" s="59">
        <f>IF(tblMovement[[#This Row],[Is_Ore]]=1,tblMovement[[#This Row],[Contained_oz]],0)</f>
        <v/>
      </c>
    </row>
    <row r="2599">
      <c r="A2599" s="54" t="n"/>
      <c r="B2599" s="61" t="n"/>
      <c r="C2599" s="61" t="n"/>
      <c r="D2599" s="61" t="n"/>
      <c r="E2599" s="61" t="n"/>
      <c r="F2599" s="55" t="n"/>
      <c r="G2599" s="56" t="n"/>
      <c r="H2599" s="55" t="n"/>
      <c r="I2599" s="62" t="n"/>
      <c r="J2599" s="58" t="n"/>
      <c r="K2599" s="63">
        <f>IF(tblMovement[[#This Row],[Source]]="","",IFERROR(INDEX(tblSources[Type],MATCH(tblMovement[[#This Row],[Source]],tblSources[Source],0)),"?"))</f>
        <v/>
      </c>
      <c r="L2599" s="63">
        <f>IF(tblMovement[[#This Row],[Destination]]="","",IFERROR(INDEX(tblDestinations[Type],MATCH(tblMovement[[#This Row],[Destination]],tblDestinations[Destination],0)),"?"))</f>
        <v/>
      </c>
      <c r="M2599" s="64">
        <f>IF(tblMovement[[#This Row],[Material]]="","",IF(LEFT(tblMovement[[#This Row],[Material]],3)="Ore",1,0))</f>
        <v/>
      </c>
      <c r="N2599" s="59">
        <f>IF(OR(tblMovement[[#This Row],[Tonnes_t]]="",tblMovement[[#This Row],[Grade_gpt]]=""),0,tblMovement[[#This Row],[Tonnes_t]]*tblMovement[[#This Row],[Grade_gpt]]/cfg_TroyOz)</f>
        <v/>
      </c>
      <c r="O2599" s="59">
        <f>IF(tblMovement[[#This Row],[Is_Ore]]=1,tblMovement[[#This Row],[Contained_oz]],0)</f>
        <v/>
      </c>
    </row>
    <row r="2600">
      <c r="A2600" s="54" t="n"/>
      <c r="B2600" s="61" t="n"/>
      <c r="C2600" s="61" t="n"/>
      <c r="D2600" s="61" t="n"/>
      <c r="E2600" s="61" t="n"/>
      <c r="F2600" s="55" t="n"/>
      <c r="G2600" s="56" t="n"/>
      <c r="H2600" s="55" t="n"/>
      <c r="I2600" s="62" t="n"/>
      <c r="J2600" s="58" t="n"/>
      <c r="K2600" s="63">
        <f>IF(tblMovement[[#This Row],[Source]]="","",IFERROR(INDEX(tblSources[Type],MATCH(tblMovement[[#This Row],[Source]],tblSources[Source],0)),"?"))</f>
        <v/>
      </c>
      <c r="L2600" s="63">
        <f>IF(tblMovement[[#This Row],[Destination]]="","",IFERROR(INDEX(tblDestinations[Type],MATCH(tblMovement[[#This Row],[Destination]],tblDestinations[Destination],0)),"?"))</f>
        <v/>
      </c>
      <c r="M2600" s="64">
        <f>IF(tblMovement[[#This Row],[Material]]="","",IF(LEFT(tblMovement[[#This Row],[Material]],3)="Ore",1,0))</f>
        <v/>
      </c>
      <c r="N2600" s="59">
        <f>IF(OR(tblMovement[[#This Row],[Tonnes_t]]="",tblMovement[[#This Row],[Grade_gpt]]=""),0,tblMovement[[#This Row],[Tonnes_t]]*tblMovement[[#This Row],[Grade_gpt]]/cfg_TroyOz)</f>
        <v/>
      </c>
      <c r="O2600" s="59">
        <f>IF(tblMovement[[#This Row],[Is_Ore]]=1,tblMovement[[#This Row],[Contained_oz]],0)</f>
        <v/>
      </c>
    </row>
    <row r="2601">
      <c r="A2601" s="54" t="n"/>
      <c r="B2601" s="61" t="n"/>
      <c r="C2601" s="61" t="n"/>
      <c r="D2601" s="61" t="n"/>
      <c r="E2601" s="61" t="n"/>
      <c r="F2601" s="55" t="n"/>
      <c r="G2601" s="56" t="n"/>
      <c r="H2601" s="55" t="n"/>
      <c r="I2601" s="62" t="n"/>
      <c r="J2601" s="58" t="n"/>
      <c r="K2601" s="63">
        <f>IF(tblMovement[[#This Row],[Source]]="","",IFERROR(INDEX(tblSources[Type],MATCH(tblMovement[[#This Row],[Source]],tblSources[Source],0)),"?"))</f>
        <v/>
      </c>
      <c r="L2601" s="63">
        <f>IF(tblMovement[[#This Row],[Destination]]="","",IFERROR(INDEX(tblDestinations[Type],MATCH(tblMovement[[#This Row],[Destination]],tblDestinations[Destination],0)),"?"))</f>
        <v/>
      </c>
      <c r="M2601" s="64">
        <f>IF(tblMovement[[#This Row],[Material]]="","",IF(LEFT(tblMovement[[#This Row],[Material]],3)="Ore",1,0))</f>
        <v/>
      </c>
      <c r="N2601" s="59">
        <f>IF(OR(tblMovement[[#This Row],[Tonnes_t]]="",tblMovement[[#This Row],[Grade_gpt]]=""),0,tblMovement[[#This Row],[Tonnes_t]]*tblMovement[[#This Row],[Grade_gpt]]/cfg_TroyOz)</f>
        <v/>
      </c>
      <c r="O2601" s="59">
        <f>IF(tblMovement[[#This Row],[Is_Ore]]=1,tblMovement[[#This Row],[Contained_oz]],0)</f>
        <v/>
      </c>
    </row>
    <row r="2602">
      <c r="A2602" s="54" t="n"/>
      <c r="B2602" s="61" t="n"/>
      <c r="C2602" s="61" t="n"/>
      <c r="D2602" s="61" t="n"/>
      <c r="E2602" s="61" t="n"/>
      <c r="F2602" s="55" t="n"/>
      <c r="G2602" s="56" t="n"/>
      <c r="H2602" s="55" t="n"/>
      <c r="I2602" s="62" t="n"/>
      <c r="J2602" s="58" t="n"/>
      <c r="K2602" s="63">
        <f>IF(tblMovement[[#This Row],[Source]]="","",IFERROR(INDEX(tblSources[Type],MATCH(tblMovement[[#This Row],[Source]],tblSources[Source],0)),"?"))</f>
        <v/>
      </c>
      <c r="L2602" s="63">
        <f>IF(tblMovement[[#This Row],[Destination]]="","",IFERROR(INDEX(tblDestinations[Type],MATCH(tblMovement[[#This Row],[Destination]],tblDestinations[Destination],0)),"?"))</f>
        <v/>
      </c>
      <c r="M2602" s="64">
        <f>IF(tblMovement[[#This Row],[Material]]="","",IF(LEFT(tblMovement[[#This Row],[Material]],3)="Ore",1,0))</f>
        <v/>
      </c>
      <c r="N2602" s="59">
        <f>IF(OR(tblMovement[[#This Row],[Tonnes_t]]="",tblMovement[[#This Row],[Grade_gpt]]=""),0,tblMovement[[#This Row],[Tonnes_t]]*tblMovement[[#This Row],[Grade_gpt]]/cfg_TroyOz)</f>
        <v/>
      </c>
      <c r="O2602" s="59">
        <f>IF(tblMovement[[#This Row],[Is_Ore]]=1,tblMovement[[#This Row],[Contained_oz]],0)</f>
        <v/>
      </c>
    </row>
    <row r="2603">
      <c r="A2603" s="54" t="n"/>
      <c r="B2603" s="61" t="n"/>
      <c r="C2603" s="61" t="n"/>
      <c r="D2603" s="61" t="n"/>
      <c r="E2603" s="61" t="n"/>
      <c r="F2603" s="55" t="n"/>
      <c r="G2603" s="56" t="n"/>
      <c r="H2603" s="55" t="n"/>
      <c r="I2603" s="62" t="n"/>
      <c r="J2603" s="58" t="n"/>
      <c r="K2603" s="63">
        <f>IF(tblMovement[[#This Row],[Source]]="","",IFERROR(INDEX(tblSources[Type],MATCH(tblMovement[[#This Row],[Source]],tblSources[Source],0)),"?"))</f>
        <v/>
      </c>
      <c r="L2603" s="63">
        <f>IF(tblMovement[[#This Row],[Destination]]="","",IFERROR(INDEX(tblDestinations[Type],MATCH(tblMovement[[#This Row],[Destination]],tblDestinations[Destination],0)),"?"))</f>
        <v/>
      </c>
      <c r="M2603" s="64">
        <f>IF(tblMovement[[#This Row],[Material]]="","",IF(LEFT(tblMovement[[#This Row],[Material]],3)="Ore",1,0))</f>
        <v/>
      </c>
      <c r="N2603" s="59">
        <f>IF(OR(tblMovement[[#This Row],[Tonnes_t]]="",tblMovement[[#This Row],[Grade_gpt]]=""),0,tblMovement[[#This Row],[Tonnes_t]]*tblMovement[[#This Row],[Grade_gpt]]/cfg_TroyOz)</f>
        <v/>
      </c>
      <c r="O2603" s="59">
        <f>IF(tblMovement[[#This Row],[Is_Ore]]=1,tblMovement[[#This Row],[Contained_oz]],0)</f>
        <v/>
      </c>
    </row>
    <row r="2604">
      <c r="A2604" s="54" t="n"/>
      <c r="B2604" s="61" t="n"/>
      <c r="C2604" s="61" t="n"/>
      <c r="D2604" s="61" t="n"/>
      <c r="E2604" s="61" t="n"/>
      <c r="F2604" s="55" t="n"/>
      <c r="G2604" s="56" t="n"/>
      <c r="H2604" s="55" t="n"/>
      <c r="I2604" s="62" t="n"/>
      <c r="J2604" s="58" t="n"/>
      <c r="K2604" s="63">
        <f>IF(tblMovement[[#This Row],[Source]]="","",IFERROR(INDEX(tblSources[Type],MATCH(tblMovement[[#This Row],[Source]],tblSources[Source],0)),"?"))</f>
        <v/>
      </c>
      <c r="L2604" s="63">
        <f>IF(tblMovement[[#This Row],[Destination]]="","",IFERROR(INDEX(tblDestinations[Type],MATCH(tblMovement[[#This Row],[Destination]],tblDestinations[Destination],0)),"?"))</f>
        <v/>
      </c>
      <c r="M2604" s="64">
        <f>IF(tblMovement[[#This Row],[Material]]="","",IF(LEFT(tblMovement[[#This Row],[Material]],3)="Ore",1,0))</f>
        <v/>
      </c>
      <c r="N2604" s="59">
        <f>IF(OR(tblMovement[[#This Row],[Tonnes_t]]="",tblMovement[[#This Row],[Grade_gpt]]=""),0,tblMovement[[#This Row],[Tonnes_t]]*tblMovement[[#This Row],[Grade_gpt]]/cfg_TroyOz)</f>
        <v/>
      </c>
      <c r="O2604" s="59">
        <f>IF(tblMovement[[#This Row],[Is_Ore]]=1,tblMovement[[#This Row],[Contained_oz]],0)</f>
        <v/>
      </c>
    </row>
    <row r="2605">
      <c r="A2605" s="54" t="n"/>
      <c r="B2605" s="61" t="n"/>
      <c r="C2605" s="61" t="n"/>
      <c r="D2605" s="61" t="n"/>
      <c r="E2605" s="61" t="n"/>
      <c r="F2605" s="55" t="n"/>
      <c r="G2605" s="56" t="n"/>
      <c r="H2605" s="55" t="n"/>
      <c r="I2605" s="62" t="n"/>
      <c r="J2605" s="58" t="n"/>
      <c r="K2605" s="63">
        <f>IF(tblMovement[[#This Row],[Source]]="","",IFERROR(INDEX(tblSources[Type],MATCH(tblMovement[[#This Row],[Source]],tblSources[Source],0)),"?"))</f>
        <v/>
      </c>
      <c r="L2605" s="63">
        <f>IF(tblMovement[[#This Row],[Destination]]="","",IFERROR(INDEX(tblDestinations[Type],MATCH(tblMovement[[#This Row],[Destination]],tblDestinations[Destination],0)),"?"))</f>
        <v/>
      </c>
      <c r="M2605" s="64">
        <f>IF(tblMovement[[#This Row],[Material]]="","",IF(LEFT(tblMovement[[#This Row],[Material]],3)="Ore",1,0))</f>
        <v/>
      </c>
      <c r="N2605" s="59">
        <f>IF(OR(tblMovement[[#This Row],[Tonnes_t]]="",tblMovement[[#This Row],[Grade_gpt]]=""),0,tblMovement[[#This Row],[Tonnes_t]]*tblMovement[[#This Row],[Grade_gpt]]/cfg_TroyOz)</f>
        <v/>
      </c>
      <c r="O2605" s="59">
        <f>IF(tblMovement[[#This Row],[Is_Ore]]=1,tblMovement[[#This Row],[Contained_oz]],0)</f>
        <v/>
      </c>
    </row>
    <row r="2606">
      <c r="A2606" s="54" t="n"/>
      <c r="B2606" s="61" t="n"/>
      <c r="C2606" s="61" t="n"/>
      <c r="D2606" s="61" t="n"/>
      <c r="E2606" s="61" t="n"/>
      <c r="F2606" s="55" t="n"/>
      <c r="G2606" s="56" t="n"/>
      <c r="H2606" s="55" t="n"/>
      <c r="I2606" s="62" t="n"/>
      <c r="J2606" s="58" t="n"/>
      <c r="K2606" s="63">
        <f>IF(tblMovement[[#This Row],[Source]]="","",IFERROR(INDEX(tblSources[Type],MATCH(tblMovement[[#This Row],[Source]],tblSources[Source],0)),"?"))</f>
        <v/>
      </c>
      <c r="L2606" s="63">
        <f>IF(tblMovement[[#This Row],[Destination]]="","",IFERROR(INDEX(tblDestinations[Type],MATCH(tblMovement[[#This Row],[Destination]],tblDestinations[Destination],0)),"?"))</f>
        <v/>
      </c>
      <c r="M2606" s="64">
        <f>IF(tblMovement[[#This Row],[Material]]="","",IF(LEFT(tblMovement[[#This Row],[Material]],3)="Ore",1,0))</f>
        <v/>
      </c>
      <c r="N2606" s="59">
        <f>IF(OR(tblMovement[[#This Row],[Tonnes_t]]="",tblMovement[[#This Row],[Grade_gpt]]=""),0,tblMovement[[#This Row],[Tonnes_t]]*tblMovement[[#This Row],[Grade_gpt]]/cfg_TroyOz)</f>
        <v/>
      </c>
      <c r="O2606" s="59">
        <f>IF(tblMovement[[#This Row],[Is_Ore]]=1,tblMovement[[#This Row],[Contained_oz]],0)</f>
        <v/>
      </c>
    </row>
    <row r="2607">
      <c r="A2607" s="54" t="n"/>
      <c r="B2607" s="61" t="n"/>
      <c r="C2607" s="61" t="n"/>
      <c r="D2607" s="61" t="n"/>
      <c r="E2607" s="61" t="n"/>
      <c r="F2607" s="55" t="n"/>
      <c r="G2607" s="56" t="n"/>
      <c r="H2607" s="55" t="n"/>
      <c r="I2607" s="62" t="n"/>
      <c r="J2607" s="58" t="n"/>
      <c r="K2607" s="63">
        <f>IF(tblMovement[[#This Row],[Source]]="","",IFERROR(INDEX(tblSources[Type],MATCH(tblMovement[[#This Row],[Source]],tblSources[Source],0)),"?"))</f>
        <v/>
      </c>
      <c r="L2607" s="63">
        <f>IF(tblMovement[[#This Row],[Destination]]="","",IFERROR(INDEX(tblDestinations[Type],MATCH(tblMovement[[#This Row],[Destination]],tblDestinations[Destination],0)),"?"))</f>
        <v/>
      </c>
      <c r="M2607" s="64">
        <f>IF(tblMovement[[#This Row],[Material]]="","",IF(LEFT(tblMovement[[#This Row],[Material]],3)="Ore",1,0))</f>
        <v/>
      </c>
      <c r="N2607" s="59">
        <f>IF(OR(tblMovement[[#This Row],[Tonnes_t]]="",tblMovement[[#This Row],[Grade_gpt]]=""),0,tblMovement[[#This Row],[Tonnes_t]]*tblMovement[[#This Row],[Grade_gpt]]/cfg_TroyOz)</f>
        <v/>
      </c>
      <c r="O2607" s="59">
        <f>IF(tblMovement[[#This Row],[Is_Ore]]=1,tblMovement[[#This Row],[Contained_oz]],0)</f>
        <v/>
      </c>
    </row>
    <row r="2608">
      <c r="A2608" s="54" t="n"/>
      <c r="B2608" s="61" t="n"/>
      <c r="C2608" s="61" t="n"/>
      <c r="D2608" s="61" t="n"/>
      <c r="E2608" s="61" t="n"/>
      <c r="F2608" s="55" t="n"/>
      <c r="G2608" s="56" t="n"/>
      <c r="H2608" s="55" t="n"/>
      <c r="I2608" s="62" t="n"/>
      <c r="J2608" s="58" t="n"/>
      <c r="K2608" s="63">
        <f>IF(tblMovement[[#This Row],[Source]]="","",IFERROR(INDEX(tblSources[Type],MATCH(tblMovement[[#This Row],[Source]],tblSources[Source],0)),"?"))</f>
        <v/>
      </c>
      <c r="L2608" s="63">
        <f>IF(tblMovement[[#This Row],[Destination]]="","",IFERROR(INDEX(tblDestinations[Type],MATCH(tblMovement[[#This Row],[Destination]],tblDestinations[Destination],0)),"?"))</f>
        <v/>
      </c>
      <c r="M2608" s="64">
        <f>IF(tblMovement[[#This Row],[Material]]="","",IF(LEFT(tblMovement[[#This Row],[Material]],3)="Ore",1,0))</f>
        <v/>
      </c>
      <c r="N2608" s="59">
        <f>IF(OR(tblMovement[[#This Row],[Tonnes_t]]="",tblMovement[[#This Row],[Grade_gpt]]=""),0,tblMovement[[#This Row],[Tonnes_t]]*tblMovement[[#This Row],[Grade_gpt]]/cfg_TroyOz)</f>
        <v/>
      </c>
      <c r="O2608" s="59">
        <f>IF(tblMovement[[#This Row],[Is_Ore]]=1,tblMovement[[#This Row],[Contained_oz]],0)</f>
        <v/>
      </c>
    </row>
    <row r="2609">
      <c r="A2609" s="54" t="n"/>
      <c r="B2609" s="61" t="n"/>
      <c r="C2609" s="61" t="n"/>
      <c r="D2609" s="61" t="n"/>
      <c r="E2609" s="61" t="n"/>
      <c r="F2609" s="55" t="n"/>
      <c r="G2609" s="56" t="n"/>
      <c r="H2609" s="55" t="n"/>
      <c r="I2609" s="62" t="n"/>
      <c r="J2609" s="58" t="n"/>
      <c r="K2609" s="63">
        <f>IF(tblMovement[[#This Row],[Source]]="","",IFERROR(INDEX(tblSources[Type],MATCH(tblMovement[[#This Row],[Source]],tblSources[Source],0)),"?"))</f>
        <v/>
      </c>
      <c r="L2609" s="63">
        <f>IF(tblMovement[[#This Row],[Destination]]="","",IFERROR(INDEX(tblDestinations[Type],MATCH(tblMovement[[#This Row],[Destination]],tblDestinations[Destination],0)),"?"))</f>
        <v/>
      </c>
      <c r="M2609" s="64">
        <f>IF(tblMovement[[#This Row],[Material]]="","",IF(LEFT(tblMovement[[#This Row],[Material]],3)="Ore",1,0))</f>
        <v/>
      </c>
      <c r="N2609" s="59">
        <f>IF(OR(tblMovement[[#This Row],[Tonnes_t]]="",tblMovement[[#This Row],[Grade_gpt]]=""),0,tblMovement[[#This Row],[Tonnes_t]]*tblMovement[[#This Row],[Grade_gpt]]/cfg_TroyOz)</f>
        <v/>
      </c>
      <c r="O2609" s="59">
        <f>IF(tblMovement[[#This Row],[Is_Ore]]=1,tblMovement[[#This Row],[Contained_oz]],0)</f>
        <v/>
      </c>
    </row>
    <row r="2610">
      <c r="A2610" s="54" t="n"/>
      <c r="B2610" s="61" t="n"/>
      <c r="C2610" s="61" t="n"/>
      <c r="D2610" s="61" t="n"/>
      <c r="E2610" s="61" t="n"/>
      <c r="F2610" s="55" t="n"/>
      <c r="G2610" s="56" t="n"/>
      <c r="H2610" s="55" t="n"/>
      <c r="I2610" s="62" t="n"/>
      <c r="J2610" s="58" t="n"/>
      <c r="K2610" s="63">
        <f>IF(tblMovement[[#This Row],[Source]]="","",IFERROR(INDEX(tblSources[Type],MATCH(tblMovement[[#This Row],[Source]],tblSources[Source],0)),"?"))</f>
        <v/>
      </c>
      <c r="L2610" s="63">
        <f>IF(tblMovement[[#This Row],[Destination]]="","",IFERROR(INDEX(tblDestinations[Type],MATCH(tblMovement[[#This Row],[Destination]],tblDestinations[Destination],0)),"?"))</f>
        <v/>
      </c>
      <c r="M2610" s="64">
        <f>IF(tblMovement[[#This Row],[Material]]="","",IF(LEFT(tblMovement[[#This Row],[Material]],3)="Ore",1,0))</f>
        <v/>
      </c>
      <c r="N2610" s="59">
        <f>IF(OR(tblMovement[[#This Row],[Tonnes_t]]="",tblMovement[[#This Row],[Grade_gpt]]=""),0,tblMovement[[#This Row],[Tonnes_t]]*tblMovement[[#This Row],[Grade_gpt]]/cfg_TroyOz)</f>
        <v/>
      </c>
      <c r="O2610" s="59">
        <f>IF(tblMovement[[#This Row],[Is_Ore]]=1,tblMovement[[#This Row],[Contained_oz]],0)</f>
        <v/>
      </c>
    </row>
    <row r="2611">
      <c r="A2611" s="54" t="n"/>
      <c r="B2611" s="61" t="n"/>
      <c r="C2611" s="61" t="n"/>
      <c r="D2611" s="61" t="n"/>
      <c r="E2611" s="61" t="n"/>
      <c r="F2611" s="55" t="n"/>
      <c r="G2611" s="56" t="n"/>
      <c r="H2611" s="55" t="n"/>
      <c r="I2611" s="62" t="n"/>
      <c r="J2611" s="58" t="n"/>
      <c r="K2611" s="63">
        <f>IF(tblMovement[[#This Row],[Source]]="","",IFERROR(INDEX(tblSources[Type],MATCH(tblMovement[[#This Row],[Source]],tblSources[Source],0)),"?"))</f>
        <v/>
      </c>
      <c r="L2611" s="63">
        <f>IF(tblMovement[[#This Row],[Destination]]="","",IFERROR(INDEX(tblDestinations[Type],MATCH(tblMovement[[#This Row],[Destination]],tblDestinations[Destination],0)),"?"))</f>
        <v/>
      </c>
      <c r="M2611" s="64">
        <f>IF(tblMovement[[#This Row],[Material]]="","",IF(LEFT(tblMovement[[#This Row],[Material]],3)="Ore",1,0))</f>
        <v/>
      </c>
      <c r="N2611" s="59">
        <f>IF(OR(tblMovement[[#This Row],[Tonnes_t]]="",tblMovement[[#This Row],[Grade_gpt]]=""),0,tblMovement[[#This Row],[Tonnes_t]]*tblMovement[[#This Row],[Grade_gpt]]/cfg_TroyOz)</f>
        <v/>
      </c>
      <c r="O2611" s="59">
        <f>IF(tblMovement[[#This Row],[Is_Ore]]=1,tblMovement[[#This Row],[Contained_oz]],0)</f>
        <v/>
      </c>
    </row>
    <row r="2612">
      <c r="A2612" s="54" t="n"/>
      <c r="B2612" s="61" t="n"/>
      <c r="C2612" s="61" t="n"/>
      <c r="D2612" s="61" t="n"/>
      <c r="E2612" s="61" t="n"/>
      <c r="F2612" s="55" t="n"/>
      <c r="G2612" s="56" t="n"/>
      <c r="H2612" s="55" t="n"/>
      <c r="I2612" s="62" t="n"/>
      <c r="J2612" s="58" t="n"/>
      <c r="K2612" s="63">
        <f>IF(tblMovement[[#This Row],[Source]]="","",IFERROR(INDEX(tblSources[Type],MATCH(tblMovement[[#This Row],[Source]],tblSources[Source],0)),"?"))</f>
        <v/>
      </c>
      <c r="L2612" s="63">
        <f>IF(tblMovement[[#This Row],[Destination]]="","",IFERROR(INDEX(tblDestinations[Type],MATCH(tblMovement[[#This Row],[Destination]],tblDestinations[Destination],0)),"?"))</f>
        <v/>
      </c>
      <c r="M2612" s="64">
        <f>IF(tblMovement[[#This Row],[Material]]="","",IF(LEFT(tblMovement[[#This Row],[Material]],3)="Ore",1,0))</f>
        <v/>
      </c>
      <c r="N2612" s="59">
        <f>IF(OR(tblMovement[[#This Row],[Tonnes_t]]="",tblMovement[[#This Row],[Grade_gpt]]=""),0,tblMovement[[#This Row],[Tonnes_t]]*tblMovement[[#This Row],[Grade_gpt]]/cfg_TroyOz)</f>
        <v/>
      </c>
      <c r="O2612" s="59">
        <f>IF(tblMovement[[#This Row],[Is_Ore]]=1,tblMovement[[#This Row],[Contained_oz]],0)</f>
        <v/>
      </c>
    </row>
    <row r="2613">
      <c r="A2613" s="54" t="n"/>
      <c r="B2613" s="61" t="n"/>
      <c r="C2613" s="61" t="n"/>
      <c r="D2613" s="61" t="n"/>
      <c r="E2613" s="61" t="n"/>
      <c r="F2613" s="55" t="n"/>
      <c r="G2613" s="56" t="n"/>
      <c r="H2613" s="55" t="n"/>
      <c r="I2613" s="62" t="n"/>
      <c r="J2613" s="58" t="n"/>
      <c r="K2613" s="63">
        <f>IF(tblMovement[[#This Row],[Source]]="","",IFERROR(INDEX(tblSources[Type],MATCH(tblMovement[[#This Row],[Source]],tblSources[Source],0)),"?"))</f>
        <v/>
      </c>
      <c r="L2613" s="63">
        <f>IF(tblMovement[[#This Row],[Destination]]="","",IFERROR(INDEX(tblDestinations[Type],MATCH(tblMovement[[#This Row],[Destination]],tblDestinations[Destination],0)),"?"))</f>
        <v/>
      </c>
      <c r="M2613" s="64">
        <f>IF(tblMovement[[#This Row],[Material]]="","",IF(LEFT(tblMovement[[#This Row],[Material]],3)="Ore",1,0))</f>
        <v/>
      </c>
      <c r="N2613" s="59">
        <f>IF(OR(tblMovement[[#This Row],[Tonnes_t]]="",tblMovement[[#This Row],[Grade_gpt]]=""),0,tblMovement[[#This Row],[Tonnes_t]]*tblMovement[[#This Row],[Grade_gpt]]/cfg_TroyOz)</f>
        <v/>
      </c>
      <c r="O2613" s="59">
        <f>IF(tblMovement[[#This Row],[Is_Ore]]=1,tblMovement[[#This Row],[Contained_oz]],0)</f>
        <v/>
      </c>
    </row>
    <row r="2614">
      <c r="A2614" s="54" t="n"/>
      <c r="B2614" s="61" t="n"/>
      <c r="C2614" s="61" t="n"/>
      <c r="D2614" s="61" t="n"/>
      <c r="E2614" s="61" t="n"/>
      <c r="F2614" s="55" t="n"/>
      <c r="G2614" s="56" t="n"/>
      <c r="H2614" s="55" t="n"/>
      <c r="I2614" s="62" t="n"/>
      <c r="J2614" s="58" t="n"/>
      <c r="K2614" s="63">
        <f>IF(tblMovement[[#This Row],[Source]]="","",IFERROR(INDEX(tblSources[Type],MATCH(tblMovement[[#This Row],[Source]],tblSources[Source],0)),"?"))</f>
        <v/>
      </c>
      <c r="L2614" s="63">
        <f>IF(tblMovement[[#This Row],[Destination]]="","",IFERROR(INDEX(tblDestinations[Type],MATCH(tblMovement[[#This Row],[Destination]],tblDestinations[Destination],0)),"?"))</f>
        <v/>
      </c>
      <c r="M2614" s="64">
        <f>IF(tblMovement[[#This Row],[Material]]="","",IF(LEFT(tblMovement[[#This Row],[Material]],3)="Ore",1,0))</f>
        <v/>
      </c>
      <c r="N2614" s="59">
        <f>IF(OR(tblMovement[[#This Row],[Tonnes_t]]="",tblMovement[[#This Row],[Grade_gpt]]=""),0,tblMovement[[#This Row],[Tonnes_t]]*tblMovement[[#This Row],[Grade_gpt]]/cfg_TroyOz)</f>
        <v/>
      </c>
      <c r="O2614" s="59">
        <f>IF(tblMovement[[#This Row],[Is_Ore]]=1,tblMovement[[#This Row],[Contained_oz]],0)</f>
        <v/>
      </c>
    </row>
    <row r="2615">
      <c r="A2615" s="54" t="n"/>
      <c r="B2615" s="61" t="n"/>
      <c r="C2615" s="61" t="n"/>
      <c r="D2615" s="61" t="n"/>
      <c r="E2615" s="61" t="n"/>
      <c r="F2615" s="55" t="n"/>
      <c r="G2615" s="56" t="n"/>
      <c r="H2615" s="55" t="n"/>
      <c r="I2615" s="62" t="n"/>
      <c r="J2615" s="58" t="n"/>
      <c r="K2615" s="63">
        <f>IF(tblMovement[[#This Row],[Source]]="","",IFERROR(INDEX(tblSources[Type],MATCH(tblMovement[[#This Row],[Source]],tblSources[Source],0)),"?"))</f>
        <v/>
      </c>
      <c r="L2615" s="63">
        <f>IF(tblMovement[[#This Row],[Destination]]="","",IFERROR(INDEX(tblDestinations[Type],MATCH(tblMovement[[#This Row],[Destination]],tblDestinations[Destination],0)),"?"))</f>
        <v/>
      </c>
      <c r="M2615" s="64">
        <f>IF(tblMovement[[#This Row],[Material]]="","",IF(LEFT(tblMovement[[#This Row],[Material]],3)="Ore",1,0))</f>
        <v/>
      </c>
      <c r="N2615" s="59">
        <f>IF(OR(tblMovement[[#This Row],[Tonnes_t]]="",tblMovement[[#This Row],[Grade_gpt]]=""),0,tblMovement[[#This Row],[Tonnes_t]]*tblMovement[[#This Row],[Grade_gpt]]/cfg_TroyOz)</f>
        <v/>
      </c>
      <c r="O2615" s="59">
        <f>IF(tblMovement[[#This Row],[Is_Ore]]=1,tblMovement[[#This Row],[Contained_oz]],0)</f>
        <v/>
      </c>
    </row>
    <row r="2616">
      <c r="A2616" s="54" t="n"/>
      <c r="B2616" s="61" t="n"/>
      <c r="C2616" s="61" t="n"/>
      <c r="D2616" s="61" t="n"/>
      <c r="E2616" s="61" t="n"/>
      <c r="F2616" s="55" t="n"/>
      <c r="G2616" s="56" t="n"/>
      <c r="H2616" s="55" t="n"/>
      <c r="I2616" s="62" t="n"/>
      <c r="J2616" s="58" t="n"/>
      <c r="K2616" s="63">
        <f>IF(tblMovement[[#This Row],[Source]]="","",IFERROR(INDEX(tblSources[Type],MATCH(tblMovement[[#This Row],[Source]],tblSources[Source],0)),"?"))</f>
        <v/>
      </c>
      <c r="L2616" s="63">
        <f>IF(tblMovement[[#This Row],[Destination]]="","",IFERROR(INDEX(tblDestinations[Type],MATCH(tblMovement[[#This Row],[Destination]],tblDestinations[Destination],0)),"?"))</f>
        <v/>
      </c>
      <c r="M2616" s="64">
        <f>IF(tblMovement[[#This Row],[Material]]="","",IF(LEFT(tblMovement[[#This Row],[Material]],3)="Ore",1,0))</f>
        <v/>
      </c>
      <c r="N2616" s="59">
        <f>IF(OR(tblMovement[[#This Row],[Tonnes_t]]="",tblMovement[[#This Row],[Grade_gpt]]=""),0,tblMovement[[#This Row],[Tonnes_t]]*tblMovement[[#This Row],[Grade_gpt]]/cfg_TroyOz)</f>
        <v/>
      </c>
      <c r="O2616" s="59">
        <f>IF(tblMovement[[#This Row],[Is_Ore]]=1,tblMovement[[#This Row],[Contained_oz]],0)</f>
        <v/>
      </c>
    </row>
    <row r="2617">
      <c r="A2617" s="54" t="n"/>
      <c r="B2617" s="61" t="n"/>
      <c r="C2617" s="61" t="n"/>
      <c r="D2617" s="61" t="n"/>
      <c r="E2617" s="61" t="n"/>
      <c r="F2617" s="55" t="n"/>
      <c r="G2617" s="56" t="n"/>
      <c r="H2617" s="55" t="n"/>
      <c r="I2617" s="62" t="n"/>
      <c r="J2617" s="58" t="n"/>
      <c r="K2617" s="63">
        <f>IF(tblMovement[[#This Row],[Source]]="","",IFERROR(INDEX(tblSources[Type],MATCH(tblMovement[[#This Row],[Source]],tblSources[Source],0)),"?"))</f>
        <v/>
      </c>
      <c r="L2617" s="63">
        <f>IF(tblMovement[[#This Row],[Destination]]="","",IFERROR(INDEX(tblDestinations[Type],MATCH(tblMovement[[#This Row],[Destination]],tblDestinations[Destination],0)),"?"))</f>
        <v/>
      </c>
      <c r="M2617" s="64">
        <f>IF(tblMovement[[#This Row],[Material]]="","",IF(LEFT(tblMovement[[#This Row],[Material]],3)="Ore",1,0))</f>
        <v/>
      </c>
      <c r="N2617" s="59">
        <f>IF(OR(tblMovement[[#This Row],[Tonnes_t]]="",tblMovement[[#This Row],[Grade_gpt]]=""),0,tblMovement[[#This Row],[Tonnes_t]]*tblMovement[[#This Row],[Grade_gpt]]/cfg_TroyOz)</f>
        <v/>
      </c>
      <c r="O2617" s="59">
        <f>IF(tblMovement[[#This Row],[Is_Ore]]=1,tblMovement[[#This Row],[Contained_oz]],0)</f>
        <v/>
      </c>
    </row>
    <row r="2618">
      <c r="A2618" s="54" t="n"/>
      <c r="B2618" s="61" t="n"/>
      <c r="C2618" s="61" t="n"/>
      <c r="D2618" s="61" t="n"/>
      <c r="E2618" s="61" t="n"/>
      <c r="F2618" s="55" t="n"/>
      <c r="G2618" s="56" t="n"/>
      <c r="H2618" s="55" t="n"/>
      <c r="I2618" s="62" t="n"/>
      <c r="J2618" s="58" t="n"/>
      <c r="K2618" s="63">
        <f>IF(tblMovement[[#This Row],[Source]]="","",IFERROR(INDEX(tblSources[Type],MATCH(tblMovement[[#This Row],[Source]],tblSources[Source],0)),"?"))</f>
        <v/>
      </c>
      <c r="L2618" s="63">
        <f>IF(tblMovement[[#This Row],[Destination]]="","",IFERROR(INDEX(tblDestinations[Type],MATCH(tblMovement[[#This Row],[Destination]],tblDestinations[Destination],0)),"?"))</f>
        <v/>
      </c>
      <c r="M2618" s="64">
        <f>IF(tblMovement[[#This Row],[Material]]="","",IF(LEFT(tblMovement[[#This Row],[Material]],3)="Ore",1,0))</f>
        <v/>
      </c>
      <c r="N2618" s="59">
        <f>IF(OR(tblMovement[[#This Row],[Tonnes_t]]="",tblMovement[[#This Row],[Grade_gpt]]=""),0,tblMovement[[#This Row],[Tonnes_t]]*tblMovement[[#This Row],[Grade_gpt]]/cfg_TroyOz)</f>
        <v/>
      </c>
      <c r="O2618" s="59">
        <f>IF(tblMovement[[#This Row],[Is_Ore]]=1,tblMovement[[#This Row],[Contained_oz]],0)</f>
        <v/>
      </c>
    </row>
    <row r="2619">
      <c r="A2619" s="54" t="n"/>
      <c r="B2619" s="61" t="n"/>
      <c r="C2619" s="61" t="n"/>
      <c r="D2619" s="61" t="n"/>
      <c r="E2619" s="61" t="n"/>
      <c r="F2619" s="55" t="n"/>
      <c r="G2619" s="56" t="n"/>
      <c r="H2619" s="55" t="n"/>
      <c r="I2619" s="62" t="n"/>
      <c r="J2619" s="58" t="n"/>
      <c r="K2619" s="63">
        <f>IF(tblMovement[[#This Row],[Source]]="","",IFERROR(INDEX(tblSources[Type],MATCH(tblMovement[[#This Row],[Source]],tblSources[Source],0)),"?"))</f>
        <v/>
      </c>
      <c r="L2619" s="63">
        <f>IF(tblMovement[[#This Row],[Destination]]="","",IFERROR(INDEX(tblDestinations[Type],MATCH(tblMovement[[#This Row],[Destination]],tblDestinations[Destination],0)),"?"))</f>
        <v/>
      </c>
      <c r="M2619" s="64">
        <f>IF(tblMovement[[#This Row],[Material]]="","",IF(LEFT(tblMovement[[#This Row],[Material]],3)="Ore",1,0))</f>
        <v/>
      </c>
      <c r="N2619" s="59">
        <f>IF(OR(tblMovement[[#This Row],[Tonnes_t]]="",tblMovement[[#This Row],[Grade_gpt]]=""),0,tblMovement[[#This Row],[Tonnes_t]]*tblMovement[[#This Row],[Grade_gpt]]/cfg_TroyOz)</f>
        <v/>
      </c>
      <c r="O2619" s="59">
        <f>IF(tblMovement[[#This Row],[Is_Ore]]=1,tblMovement[[#This Row],[Contained_oz]],0)</f>
        <v/>
      </c>
    </row>
    <row r="2620">
      <c r="A2620" s="54" t="n"/>
      <c r="B2620" s="61" t="n"/>
      <c r="C2620" s="61" t="n"/>
      <c r="D2620" s="61" t="n"/>
      <c r="E2620" s="61" t="n"/>
      <c r="F2620" s="55" t="n"/>
      <c r="G2620" s="56" t="n"/>
      <c r="H2620" s="55" t="n"/>
      <c r="I2620" s="62" t="n"/>
      <c r="J2620" s="58" t="n"/>
      <c r="K2620" s="63">
        <f>IF(tblMovement[[#This Row],[Source]]="","",IFERROR(INDEX(tblSources[Type],MATCH(tblMovement[[#This Row],[Source]],tblSources[Source],0)),"?"))</f>
        <v/>
      </c>
      <c r="L2620" s="63">
        <f>IF(tblMovement[[#This Row],[Destination]]="","",IFERROR(INDEX(tblDestinations[Type],MATCH(tblMovement[[#This Row],[Destination]],tblDestinations[Destination],0)),"?"))</f>
        <v/>
      </c>
      <c r="M2620" s="64">
        <f>IF(tblMovement[[#This Row],[Material]]="","",IF(LEFT(tblMovement[[#This Row],[Material]],3)="Ore",1,0))</f>
        <v/>
      </c>
      <c r="N2620" s="59">
        <f>IF(OR(tblMovement[[#This Row],[Tonnes_t]]="",tblMovement[[#This Row],[Grade_gpt]]=""),0,tblMovement[[#This Row],[Tonnes_t]]*tblMovement[[#This Row],[Grade_gpt]]/cfg_TroyOz)</f>
        <v/>
      </c>
      <c r="O2620" s="59">
        <f>IF(tblMovement[[#This Row],[Is_Ore]]=1,tblMovement[[#This Row],[Contained_oz]],0)</f>
        <v/>
      </c>
    </row>
    <row r="2621">
      <c r="A2621" s="54" t="n"/>
      <c r="B2621" s="61" t="n"/>
      <c r="C2621" s="61" t="n"/>
      <c r="D2621" s="61" t="n"/>
      <c r="E2621" s="61" t="n"/>
      <c r="F2621" s="55" t="n"/>
      <c r="G2621" s="56" t="n"/>
      <c r="H2621" s="55" t="n"/>
      <c r="I2621" s="62" t="n"/>
      <c r="J2621" s="58" t="n"/>
      <c r="K2621" s="63">
        <f>IF(tblMovement[[#This Row],[Source]]="","",IFERROR(INDEX(tblSources[Type],MATCH(tblMovement[[#This Row],[Source]],tblSources[Source],0)),"?"))</f>
        <v/>
      </c>
      <c r="L2621" s="63">
        <f>IF(tblMovement[[#This Row],[Destination]]="","",IFERROR(INDEX(tblDestinations[Type],MATCH(tblMovement[[#This Row],[Destination]],tblDestinations[Destination],0)),"?"))</f>
        <v/>
      </c>
      <c r="M2621" s="64">
        <f>IF(tblMovement[[#This Row],[Material]]="","",IF(LEFT(tblMovement[[#This Row],[Material]],3)="Ore",1,0))</f>
        <v/>
      </c>
      <c r="N2621" s="59">
        <f>IF(OR(tblMovement[[#This Row],[Tonnes_t]]="",tblMovement[[#This Row],[Grade_gpt]]=""),0,tblMovement[[#This Row],[Tonnes_t]]*tblMovement[[#This Row],[Grade_gpt]]/cfg_TroyOz)</f>
        <v/>
      </c>
      <c r="O2621" s="59">
        <f>IF(tblMovement[[#This Row],[Is_Ore]]=1,tblMovement[[#This Row],[Contained_oz]],0)</f>
        <v/>
      </c>
    </row>
    <row r="2622">
      <c r="A2622" s="54" t="n"/>
      <c r="B2622" s="61" t="n"/>
      <c r="C2622" s="61" t="n"/>
      <c r="D2622" s="61" t="n"/>
      <c r="E2622" s="61" t="n"/>
      <c r="F2622" s="55" t="n"/>
      <c r="G2622" s="56" t="n"/>
      <c r="H2622" s="55" t="n"/>
      <c r="I2622" s="62" t="n"/>
      <c r="J2622" s="58" t="n"/>
      <c r="K2622" s="63">
        <f>IF(tblMovement[[#This Row],[Source]]="","",IFERROR(INDEX(tblSources[Type],MATCH(tblMovement[[#This Row],[Source]],tblSources[Source],0)),"?"))</f>
        <v/>
      </c>
      <c r="L2622" s="63">
        <f>IF(tblMovement[[#This Row],[Destination]]="","",IFERROR(INDEX(tblDestinations[Type],MATCH(tblMovement[[#This Row],[Destination]],tblDestinations[Destination],0)),"?"))</f>
        <v/>
      </c>
      <c r="M2622" s="64">
        <f>IF(tblMovement[[#This Row],[Material]]="","",IF(LEFT(tblMovement[[#This Row],[Material]],3)="Ore",1,0))</f>
        <v/>
      </c>
      <c r="N2622" s="59">
        <f>IF(OR(tblMovement[[#This Row],[Tonnes_t]]="",tblMovement[[#This Row],[Grade_gpt]]=""),0,tblMovement[[#This Row],[Tonnes_t]]*tblMovement[[#This Row],[Grade_gpt]]/cfg_TroyOz)</f>
        <v/>
      </c>
      <c r="O2622" s="59">
        <f>IF(tblMovement[[#This Row],[Is_Ore]]=1,tblMovement[[#This Row],[Contained_oz]],0)</f>
        <v/>
      </c>
    </row>
    <row r="2623">
      <c r="A2623" s="54" t="n"/>
      <c r="B2623" s="61" t="n"/>
      <c r="C2623" s="61" t="n"/>
      <c r="D2623" s="61" t="n"/>
      <c r="E2623" s="61" t="n"/>
      <c r="F2623" s="55" t="n"/>
      <c r="G2623" s="56" t="n"/>
      <c r="H2623" s="55" t="n"/>
      <c r="I2623" s="62" t="n"/>
      <c r="J2623" s="58" t="n"/>
      <c r="K2623" s="63">
        <f>IF(tblMovement[[#This Row],[Source]]="","",IFERROR(INDEX(tblSources[Type],MATCH(tblMovement[[#This Row],[Source]],tblSources[Source],0)),"?"))</f>
        <v/>
      </c>
      <c r="L2623" s="63">
        <f>IF(tblMovement[[#This Row],[Destination]]="","",IFERROR(INDEX(tblDestinations[Type],MATCH(tblMovement[[#This Row],[Destination]],tblDestinations[Destination],0)),"?"))</f>
        <v/>
      </c>
      <c r="M2623" s="64">
        <f>IF(tblMovement[[#This Row],[Material]]="","",IF(LEFT(tblMovement[[#This Row],[Material]],3)="Ore",1,0))</f>
        <v/>
      </c>
      <c r="N2623" s="59">
        <f>IF(OR(tblMovement[[#This Row],[Tonnes_t]]="",tblMovement[[#This Row],[Grade_gpt]]=""),0,tblMovement[[#This Row],[Tonnes_t]]*tblMovement[[#This Row],[Grade_gpt]]/cfg_TroyOz)</f>
        <v/>
      </c>
      <c r="O2623" s="59">
        <f>IF(tblMovement[[#This Row],[Is_Ore]]=1,tblMovement[[#This Row],[Contained_oz]],0)</f>
        <v/>
      </c>
    </row>
    <row r="2624">
      <c r="A2624" s="54" t="n"/>
      <c r="B2624" s="61" t="n"/>
      <c r="C2624" s="61" t="n"/>
      <c r="D2624" s="61" t="n"/>
      <c r="E2624" s="61" t="n"/>
      <c r="F2624" s="55" t="n"/>
      <c r="G2624" s="56" t="n"/>
      <c r="H2624" s="55" t="n"/>
      <c r="I2624" s="62" t="n"/>
      <c r="J2624" s="58" t="n"/>
      <c r="K2624" s="63">
        <f>IF(tblMovement[[#This Row],[Source]]="","",IFERROR(INDEX(tblSources[Type],MATCH(tblMovement[[#This Row],[Source]],tblSources[Source],0)),"?"))</f>
        <v/>
      </c>
      <c r="L2624" s="63">
        <f>IF(tblMovement[[#This Row],[Destination]]="","",IFERROR(INDEX(tblDestinations[Type],MATCH(tblMovement[[#This Row],[Destination]],tblDestinations[Destination],0)),"?"))</f>
        <v/>
      </c>
      <c r="M2624" s="64">
        <f>IF(tblMovement[[#This Row],[Material]]="","",IF(LEFT(tblMovement[[#This Row],[Material]],3)="Ore",1,0))</f>
        <v/>
      </c>
      <c r="N2624" s="59">
        <f>IF(OR(tblMovement[[#This Row],[Tonnes_t]]="",tblMovement[[#This Row],[Grade_gpt]]=""),0,tblMovement[[#This Row],[Tonnes_t]]*tblMovement[[#This Row],[Grade_gpt]]/cfg_TroyOz)</f>
        <v/>
      </c>
      <c r="O2624" s="59">
        <f>IF(tblMovement[[#This Row],[Is_Ore]]=1,tblMovement[[#This Row],[Contained_oz]],0)</f>
        <v/>
      </c>
    </row>
    <row r="2625">
      <c r="A2625" s="54" t="n"/>
      <c r="B2625" s="61" t="n"/>
      <c r="C2625" s="61" t="n"/>
      <c r="D2625" s="61" t="n"/>
      <c r="E2625" s="61" t="n"/>
      <c r="F2625" s="55" t="n"/>
      <c r="G2625" s="56" t="n"/>
      <c r="H2625" s="55" t="n"/>
      <c r="I2625" s="62" t="n"/>
      <c r="J2625" s="58" t="n"/>
      <c r="K2625" s="63">
        <f>IF(tblMovement[[#This Row],[Source]]="","",IFERROR(INDEX(tblSources[Type],MATCH(tblMovement[[#This Row],[Source]],tblSources[Source],0)),"?"))</f>
        <v/>
      </c>
      <c r="L2625" s="63">
        <f>IF(tblMovement[[#This Row],[Destination]]="","",IFERROR(INDEX(tblDestinations[Type],MATCH(tblMovement[[#This Row],[Destination]],tblDestinations[Destination],0)),"?"))</f>
        <v/>
      </c>
      <c r="M2625" s="64">
        <f>IF(tblMovement[[#This Row],[Material]]="","",IF(LEFT(tblMovement[[#This Row],[Material]],3)="Ore",1,0))</f>
        <v/>
      </c>
      <c r="N2625" s="59">
        <f>IF(OR(tblMovement[[#This Row],[Tonnes_t]]="",tblMovement[[#This Row],[Grade_gpt]]=""),0,tblMovement[[#This Row],[Tonnes_t]]*tblMovement[[#This Row],[Grade_gpt]]/cfg_TroyOz)</f>
        <v/>
      </c>
      <c r="O2625" s="59">
        <f>IF(tblMovement[[#This Row],[Is_Ore]]=1,tblMovement[[#This Row],[Contained_oz]],0)</f>
        <v/>
      </c>
    </row>
    <row r="2626">
      <c r="A2626" s="54" t="n"/>
      <c r="B2626" s="61" t="n"/>
      <c r="C2626" s="61" t="n"/>
      <c r="D2626" s="61" t="n"/>
      <c r="E2626" s="61" t="n"/>
      <c r="F2626" s="55" t="n"/>
      <c r="G2626" s="56" t="n"/>
      <c r="H2626" s="55" t="n"/>
      <c r="I2626" s="62" t="n"/>
      <c r="J2626" s="58" t="n"/>
      <c r="K2626" s="63">
        <f>IF(tblMovement[[#This Row],[Source]]="","",IFERROR(INDEX(tblSources[Type],MATCH(tblMovement[[#This Row],[Source]],tblSources[Source],0)),"?"))</f>
        <v/>
      </c>
      <c r="L2626" s="63">
        <f>IF(tblMovement[[#This Row],[Destination]]="","",IFERROR(INDEX(tblDestinations[Type],MATCH(tblMovement[[#This Row],[Destination]],tblDestinations[Destination],0)),"?"))</f>
        <v/>
      </c>
      <c r="M2626" s="64">
        <f>IF(tblMovement[[#This Row],[Material]]="","",IF(LEFT(tblMovement[[#This Row],[Material]],3)="Ore",1,0))</f>
        <v/>
      </c>
      <c r="N2626" s="59">
        <f>IF(OR(tblMovement[[#This Row],[Tonnes_t]]="",tblMovement[[#This Row],[Grade_gpt]]=""),0,tblMovement[[#This Row],[Tonnes_t]]*tblMovement[[#This Row],[Grade_gpt]]/cfg_TroyOz)</f>
        <v/>
      </c>
      <c r="O2626" s="59">
        <f>IF(tblMovement[[#This Row],[Is_Ore]]=1,tblMovement[[#This Row],[Contained_oz]],0)</f>
        <v/>
      </c>
    </row>
    <row r="2627">
      <c r="A2627" s="54" t="n"/>
      <c r="B2627" s="61" t="n"/>
      <c r="C2627" s="61" t="n"/>
      <c r="D2627" s="61" t="n"/>
      <c r="E2627" s="61" t="n"/>
      <c r="F2627" s="55" t="n"/>
      <c r="G2627" s="56" t="n"/>
      <c r="H2627" s="55" t="n"/>
      <c r="I2627" s="62" t="n"/>
      <c r="J2627" s="58" t="n"/>
      <c r="K2627" s="63">
        <f>IF(tblMovement[[#This Row],[Source]]="","",IFERROR(INDEX(tblSources[Type],MATCH(tblMovement[[#This Row],[Source]],tblSources[Source],0)),"?"))</f>
        <v/>
      </c>
      <c r="L2627" s="63">
        <f>IF(tblMovement[[#This Row],[Destination]]="","",IFERROR(INDEX(tblDestinations[Type],MATCH(tblMovement[[#This Row],[Destination]],tblDestinations[Destination],0)),"?"))</f>
        <v/>
      </c>
      <c r="M2627" s="64">
        <f>IF(tblMovement[[#This Row],[Material]]="","",IF(LEFT(tblMovement[[#This Row],[Material]],3)="Ore",1,0))</f>
        <v/>
      </c>
      <c r="N2627" s="59">
        <f>IF(OR(tblMovement[[#This Row],[Tonnes_t]]="",tblMovement[[#This Row],[Grade_gpt]]=""),0,tblMovement[[#This Row],[Tonnes_t]]*tblMovement[[#This Row],[Grade_gpt]]/cfg_TroyOz)</f>
        <v/>
      </c>
      <c r="O2627" s="59">
        <f>IF(tblMovement[[#This Row],[Is_Ore]]=1,tblMovement[[#This Row],[Contained_oz]],0)</f>
        <v/>
      </c>
    </row>
    <row r="2628">
      <c r="A2628" s="54" t="n"/>
      <c r="B2628" s="61" t="n"/>
      <c r="C2628" s="61" t="n"/>
      <c r="D2628" s="61" t="n"/>
      <c r="E2628" s="61" t="n"/>
      <c r="F2628" s="55" t="n"/>
      <c r="G2628" s="56" t="n"/>
      <c r="H2628" s="55" t="n"/>
      <c r="I2628" s="62" t="n"/>
      <c r="J2628" s="58" t="n"/>
      <c r="K2628" s="63">
        <f>IF(tblMovement[[#This Row],[Source]]="","",IFERROR(INDEX(tblSources[Type],MATCH(tblMovement[[#This Row],[Source]],tblSources[Source],0)),"?"))</f>
        <v/>
      </c>
      <c r="L2628" s="63">
        <f>IF(tblMovement[[#This Row],[Destination]]="","",IFERROR(INDEX(tblDestinations[Type],MATCH(tblMovement[[#This Row],[Destination]],tblDestinations[Destination],0)),"?"))</f>
        <v/>
      </c>
      <c r="M2628" s="64">
        <f>IF(tblMovement[[#This Row],[Material]]="","",IF(LEFT(tblMovement[[#This Row],[Material]],3)="Ore",1,0))</f>
        <v/>
      </c>
      <c r="N2628" s="59">
        <f>IF(OR(tblMovement[[#This Row],[Tonnes_t]]="",tblMovement[[#This Row],[Grade_gpt]]=""),0,tblMovement[[#This Row],[Tonnes_t]]*tblMovement[[#This Row],[Grade_gpt]]/cfg_TroyOz)</f>
        <v/>
      </c>
      <c r="O2628" s="59">
        <f>IF(tblMovement[[#This Row],[Is_Ore]]=1,tblMovement[[#This Row],[Contained_oz]],0)</f>
        <v/>
      </c>
    </row>
    <row r="2629">
      <c r="A2629" s="54" t="n"/>
      <c r="B2629" s="61" t="n"/>
      <c r="C2629" s="61" t="n"/>
      <c r="D2629" s="61" t="n"/>
      <c r="E2629" s="61" t="n"/>
      <c r="F2629" s="55" t="n"/>
      <c r="G2629" s="56" t="n"/>
      <c r="H2629" s="55" t="n"/>
      <c r="I2629" s="62" t="n"/>
      <c r="J2629" s="58" t="n"/>
      <c r="K2629" s="63">
        <f>IF(tblMovement[[#This Row],[Source]]="","",IFERROR(INDEX(tblSources[Type],MATCH(tblMovement[[#This Row],[Source]],tblSources[Source],0)),"?"))</f>
        <v/>
      </c>
      <c r="L2629" s="63">
        <f>IF(tblMovement[[#This Row],[Destination]]="","",IFERROR(INDEX(tblDestinations[Type],MATCH(tblMovement[[#This Row],[Destination]],tblDestinations[Destination],0)),"?"))</f>
        <v/>
      </c>
      <c r="M2629" s="64">
        <f>IF(tblMovement[[#This Row],[Material]]="","",IF(LEFT(tblMovement[[#This Row],[Material]],3)="Ore",1,0))</f>
        <v/>
      </c>
      <c r="N2629" s="59">
        <f>IF(OR(tblMovement[[#This Row],[Tonnes_t]]="",tblMovement[[#This Row],[Grade_gpt]]=""),0,tblMovement[[#This Row],[Tonnes_t]]*tblMovement[[#This Row],[Grade_gpt]]/cfg_TroyOz)</f>
        <v/>
      </c>
      <c r="O2629" s="59">
        <f>IF(tblMovement[[#This Row],[Is_Ore]]=1,tblMovement[[#This Row],[Contained_oz]],0)</f>
        <v/>
      </c>
    </row>
    <row r="2630">
      <c r="A2630" s="54" t="n"/>
      <c r="B2630" s="61" t="n"/>
      <c r="C2630" s="61" t="n"/>
      <c r="D2630" s="61" t="n"/>
      <c r="E2630" s="61" t="n"/>
      <c r="F2630" s="55" t="n"/>
      <c r="G2630" s="56" t="n"/>
      <c r="H2630" s="55" t="n"/>
      <c r="I2630" s="62" t="n"/>
      <c r="J2630" s="58" t="n"/>
      <c r="K2630" s="63">
        <f>IF(tblMovement[[#This Row],[Source]]="","",IFERROR(INDEX(tblSources[Type],MATCH(tblMovement[[#This Row],[Source]],tblSources[Source],0)),"?"))</f>
        <v/>
      </c>
      <c r="L2630" s="63">
        <f>IF(tblMovement[[#This Row],[Destination]]="","",IFERROR(INDEX(tblDestinations[Type],MATCH(tblMovement[[#This Row],[Destination]],tblDestinations[Destination],0)),"?"))</f>
        <v/>
      </c>
      <c r="M2630" s="64">
        <f>IF(tblMovement[[#This Row],[Material]]="","",IF(LEFT(tblMovement[[#This Row],[Material]],3)="Ore",1,0))</f>
        <v/>
      </c>
      <c r="N2630" s="59">
        <f>IF(OR(tblMovement[[#This Row],[Tonnes_t]]="",tblMovement[[#This Row],[Grade_gpt]]=""),0,tblMovement[[#This Row],[Tonnes_t]]*tblMovement[[#This Row],[Grade_gpt]]/cfg_TroyOz)</f>
        <v/>
      </c>
      <c r="O2630" s="59">
        <f>IF(tblMovement[[#This Row],[Is_Ore]]=1,tblMovement[[#This Row],[Contained_oz]],0)</f>
        <v/>
      </c>
    </row>
    <row r="2631">
      <c r="A2631" s="54" t="n"/>
      <c r="B2631" s="61" t="n"/>
      <c r="C2631" s="61" t="n"/>
      <c r="D2631" s="61" t="n"/>
      <c r="E2631" s="61" t="n"/>
      <c r="F2631" s="55" t="n"/>
      <c r="G2631" s="56" t="n"/>
      <c r="H2631" s="55" t="n"/>
      <c r="I2631" s="62" t="n"/>
      <c r="J2631" s="58" t="n"/>
      <c r="K2631" s="63">
        <f>IF(tblMovement[[#This Row],[Source]]="","",IFERROR(INDEX(tblSources[Type],MATCH(tblMovement[[#This Row],[Source]],tblSources[Source],0)),"?"))</f>
        <v/>
      </c>
      <c r="L2631" s="63">
        <f>IF(tblMovement[[#This Row],[Destination]]="","",IFERROR(INDEX(tblDestinations[Type],MATCH(tblMovement[[#This Row],[Destination]],tblDestinations[Destination],0)),"?"))</f>
        <v/>
      </c>
      <c r="M2631" s="64">
        <f>IF(tblMovement[[#This Row],[Material]]="","",IF(LEFT(tblMovement[[#This Row],[Material]],3)="Ore",1,0))</f>
        <v/>
      </c>
      <c r="N2631" s="59">
        <f>IF(OR(tblMovement[[#This Row],[Tonnes_t]]="",tblMovement[[#This Row],[Grade_gpt]]=""),0,tblMovement[[#This Row],[Tonnes_t]]*tblMovement[[#This Row],[Grade_gpt]]/cfg_TroyOz)</f>
        <v/>
      </c>
      <c r="O2631" s="59">
        <f>IF(tblMovement[[#This Row],[Is_Ore]]=1,tblMovement[[#This Row],[Contained_oz]],0)</f>
        <v/>
      </c>
    </row>
    <row r="2632">
      <c r="A2632" s="54" t="n"/>
      <c r="B2632" s="61" t="n"/>
      <c r="C2632" s="61" t="n"/>
      <c r="D2632" s="61" t="n"/>
      <c r="E2632" s="61" t="n"/>
      <c r="F2632" s="55" t="n"/>
      <c r="G2632" s="56" t="n"/>
      <c r="H2632" s="55" t="n"/>
      <c r="I2632" s="62" t="n"/>
      <c r="J2632" s="58" t="n"/>
      <c r="K2632" s="63">
        <f>IF(tblMovement[[#This Row],[Source]]="","",IFERROR(INDEX(tblSources[Type],MATCH(tblMovement[[#This Row],[Source]],tblSources[Source],0)),"?"))</f>
        <v/>
      </c>
      <c r="L2632" s="63">
        <f>IF(tblMovement[[#This Row],[Destination]]="","",IFERROR(INDEX(tblDestinations[Type],MATCH(tblMovement[[#This Row],[Destination]],tblDestinations[Destination],0)),"?"))</f>
        <v/>
      </c>
      <c r="M2632" s="64">
        <f>IF(tblMovement[[#This Row],[Material]]="","",IF(LEFT(tblMovement[[#This Row],[Material]],3)="Ore",1,0))</f>
        <v/>
      </c>
      <c r="N2632" s="59">
        <f>IF(OR(tblMovement[[#This Row],[Tonnes_t]]="",tblMovement[[#This Row],[Grade_gpt]]=""),0,tblMovement[[#This Row],[Tonnes_t]]*tblMovement[[#This Row],[Grade_gpt]]/cfg_TroyOz)</f>
        <v/>
      </c>
      <c r="O2632" s="59">
        <f>IF(tblMovement[[#This Row],[Is_Ore]]=1,tblMovement[[#This Row],[Contained_oz]],0)</f>
        <v/>
      </c>
    </row>
    <row r="2633">
      <c r="A2633" s="54" t="n"/>
      <c r="B2633" s="61" t="n"/>
      <c r="C2633" s="61" t="n"/>
      <c r="D2633" s="61" t="n"/>
      <c r="E2633" s="61" t="n"/>
      <c r="F2633" s="55" t="n"/>
      <c r="G2633" s="56" t="n"/>
      <c r="H2633" s="55" t="n"/>
      <c r="I2633" s="62" t="n"/>
      <c r="J2633" s="58" t="n"/>
      <c r="K2633" s="63">
        <f>IF(tblMovement[[#This Row],[Source]]="","",IFERROR(INDEX(tblSources[Type],MATCH(tblMovement[[#This Row],[Source]],tblSources[Source],0)),"?"))</f>
        <v/>
      </c>
      <c r="L2633" s="63">
        <f>IF(tblMovement[[#This Row],[Destination]]="","",IFERROR(INDEX(tblDestinations[Type],MATCH(tblMovement[[#This Row],[Destination]],tblDestinations[Destination],0)),"?"))</f>
        <v/>
      </c>
      <c r="M2633" s="64">
        <f>IF(tblMovement[[#This Row],[Material]]="","",IF(LEFT(tblMovement[[#This Row],[Material]],3)="Ore",1,0))</f>
        <v/>
      </c>
      <c r="N2633" s="59">
        <f>IF(OR(tblMovement[[#This Row],[Tonnes_t]]="",tblMovement[[#This Row],[Grade_gpt]]=""),0,tblMovement[[#This Row],[Tonnes_t]]*tblMovement[[#This Row],[Grade_gpt]]/cfg_TroyOz)</f>
        <v/>
      </c>
      <c r="O2633" s="59">
        <f>IF(tblMovement[[#This Row],[Is_Ore]]=1,tblMovement[[#This Row],[Contained_oz]],0)</f>
        <v/>
      </c>
    </row>
    <row r="2634">
      <c r="A2634" s="54" t="n"/>
      <c r="B2634" s="61" t="n"/>
      <c r="C2634" s="61" t="n"/>
      <c r="D2634" s="61" t="n"/>
      <c r="E2634" s="61" t="n"/>
      <c r="F2634" s="55" t="n"/>
      <c r="G2634" s="56" t="n"/>
      <c r="H2634" s="55" t="n"/>
      <c r="I2634" s="62" t="n"/>
      <c r="J2634" s="58" t="n"/>
      <c r="K2634" s="63">
        <f>IF(tblMovement[[#This Row],[Source]]="","",IFERROR(INDEX(tblSources[Type],MATCH(tblMovement[[#This Row],[Source]],tblSources[Source],0)),"?"))</f>
        <v/>
      </c>
      <c r="L2634" s="63">
        <f>IF(tblMovement[[#This Row],[Destination]]="","",IFERROR(INDEX(tblDestinations[Type],MATCH(tblMovement[[#This Row],[Destination]],tblDestinations[Destination],0)),"?"))</f>
        <v/>
      </c>
      <c r="M2634" s="64">
        <f>IF(tblMovement[[#This Row],[Material]]="","",IF(LEFT(tblMovement[[#This Row],[Material]],3)="Ore",1,0))</f>
        <v/>
      </c>
      <c r="N2634" s="59">
        <f>IF(OR(tblMovement[[#This Row],[Tonnes_t]]="",tblMovement[[#This Row],[Grade_gpt]]=""),0,tblMovement[[#This Row],[Tonnes_t]]*tblMovement[[#This Row],[Grade_gpt]]/cfg_TroyOz)</f>
        <v/>
      </c>
      <c r="O2634" s="59">
        <f>IF(tblMovement[[#This Row],[Is_Ore]]=1,tblMovement[[#This Row],[Contained_oz]],0)</f>
        <v/>
      </c>
    </row>
    <row r="2635">
      <c r="A2635" s="54" t="n"/>
      <c r="B2635" s="61" t="n"/>
      <c r="C2635" s="61" t="n"/>
      <c r="D2635" s="61" t="n"/>
      <c r="E2635" s="61" t="n"/>
      <c r="F2635" s="55" t="n"/>
      <c r="G2635" s="56" t="n"/>
      <c r="H2635" s="55" t="n"/>
      <c r="I2635" s="62" t="n"/>
      <c r="J2635" s="58" t="n"/>
      <c r="K2635" s="63">
        <f>IF(tblMovement[[#This Row],[Source]]="","",IFERROR(INDEX(tblSources[Type],MATCH(tblMovement[[#This Row],[Source]],tblSources[Source],0)),"?"))</f>
        <v/>
      </c>
      <c r="L2635" s="63">
        <f>IF(tblMovement[[#This Row],[Destination]]="","",IFERROR(INDEX(tblDestinations[Type],MATCH(tblMovement[[#This Row],[Destination]],tblDestinations[Destination],0)),"?"))</f>
        <v/>
      </c>
      <c r="M2635" s="64">
        <f>IF(tblMovement[[#This Row],[Material]]="","",IF(LEFT(tblMovement[[#This Row],[Material]],3)="Ore",1,0))</f>
        <v/>
      </c>
      <c r="N2635" s="59">
        <f>IF(OR(tblMovement[[#This Row],[Tonnes_t]]="",tblMovement[[#This Row],[Grade_gpt]]=""),0,tblMovement[[#This Row],[Tonnes_t]]*tblMovement[[#This Row],[Grade_gpt]]/cfg_TroyOz)</f>
        <v/>
      </c>
      <c r="O2635" s="59">
        <f>IF(tblMovement[[#This Row],[Is_Ore]]=1,tblMovement[[#This Row],[Contained_oz]],0)</f>
        <v/>
      </c>
    </row>
    <row r="2636">
      <c r="A2636" s="54" t="n"/>
      <c r="B2636" s="61" t="n"/>
      <c r="C2636" s="61" t="n"/>
      <c r="D2636" s="61" t="n"/>
      <c r="E2636" s="61" t="n"/>
      <c r="F2636" s="55" t="n"/>
      <c r="G2636" s="56" t="n"/>
      <c r="H2636" s="55" t="n"/>
      <c r="I2636" s="62" t="n"/>
      <c r="J2636" s="58" t="n"/>
      <c r="K2636" s="63">
        <f>IF(tblMovement[[#This Row],[Source]]="","",IFERROR(INDEX(tblSources[Type],MATCH(tblMovement[[#This Row],[Source]],tblSources[Source],0)),"?"))</f>
        <v/>
      </c>
      <c r="L2636" s="63">
        <f>IF(tblMovement[[#This Row],[Destination]]="","",IFERROR(INDEX(tblDestinations[Type],MATCH(tblMovement[[#This Row],[Destination]],tblDestinations[Destination],0)),"?"))</f>
        <v/>
      </c>
      <c r="M2636" s="64">
        <f>IF(tblMovement[[#This Row],[Material]]="","",IF(LEFT(tblMovement[[#This Row],[Material]],3)="Ore",1,0))</f>
        <v/>
      </c>
      <c r="N2636" s="59">
        <f>IF(OR(tblMovement[[#This Row],[Tonnes_t]]="",tblMovement[[#This Row],[Grade_gpt]]=""),0,tblMovement[[#This Row],[Tonnes_t]]*tblMovement[[#This Row],[Grade_gpt]]/cfg_TroyOz)</f>
        <v/>
      </c>
      <c r="O2636" s="59">
        <f>IF(tblMovement[[#This Row],[Is_Ore]]=1,tblMovement[[#This Row],[Contained_oz]],0)</f>
        <v/>
      </c>
    </row>
    <row r="2637">
      <c r="A2637" s="54" t="n"/>
      <c r="B2637" s="61" t="n"/>
      <c r="C2637" s="61" t="n"/>
      <c r="D2637" s="61" t="n"/>
      <c r="E2637" s="61" t="n"/>
      <c r="F2637" s="55" t="n"/>
      <c r="G2637" s="56" t="n"/>
      <c r="H2637" s="55" t="n"/>
      <c r="I2637" s="62" t="n"/>
      <c r="J2637" s="58" t="n"/>
      <c r="K2637" s="63">
        <f>IF(tblMovement[[#This Row],[Source]]="","",IFERROR(INDEX(tblSources[Type],MATCH(tblMovement[[#This Row],[Source]],tblSources[Source],0)),"?"))</f>
        <v/>
      </c>
      <c r="L2637" s="63">
        <f>IF(tblMovement[[#This Row],[Destination]]="","",IFERROR(INDEX(tblDestinations[Type],MATCH(tblMovement[[#This Row],[Destination]],tblDestinations[Destination],0)),"?"))</f>
        <v/>
      </c>
      <c r="M2637" s="64">
        <f>IF(tblMovement[[#This Row],[Material]]="","",IF(LEFT(tblMovement[[#This Row],[Material]],3)="Ore",1,0))</f>
        <v/>
      </c>
      <c r="N2637" s="59">
        <f>IF(OR(tblMovement[[#This Row],[Tonnes_t]]="",tblMovement[[#This Row],[Grade_gpt]]=""),0,tblMovement[[#This Row],[Tonnes_t]]*tblMovement[[#This Row],[Grade_gpt]]/cfg_TroyOz)</f>
        <v/>
      </c>
      <c r="O2637" s="59">
        <f>IF(tblMovement[[#This Row],[Is_Ore]]=1,tblMovement[[#This Row],[Contained_oz]],0)</f>
        <v/>
      </c>
    </row>
    <row r="2638">
      <c r="A2638" s="54" t="n"/>
      <c r="B2638" s="61" t="n"/>
      <c r="C2638" s="61" t="n"/>
      <c r="D2638" s="61" t="n"/>
      <c r="E2638" s="61" t="n"/>
      <c r="F2638" s="55" t="n"/>
      <c r="G2638" s="56" t="n"/>
      <c r="H2638" s="55" t="n"/>
      <c r="I2638" s="62" t="n"/>
      <c r="J2638" s="58" t="n"/>
      <c r="K2638" s="63">
        <f>IF(tblMovement[[#This Row],[Source]]="","",IFERROR(INDEX(tblSources[Type],MATCH(tblMovement[[#This Row],[Source]],tblSources[Source],0)),"?"))</f>
        <v/>
      </c>
      <c r="L2638" s="63">
        <f>IF(tblMovement[[#This Row],[Destination]]="","",IFERROR(INDEX(tblDestinations[Type],MATCH(tblMovement[[#This Row],[Destination]],tblDestinations[Destination],0)),"?"))</f>
        <v/>
      </c>
      <c r="M2638" s="64">
        <f>IF(tblMovement[[#This Row],[Material]]="","",IF(LEFT(tblMovement[[#This Row],[Material]],3)="Ore",1,0))</f>
        <v/>
      </c>
      <c r="N2638" s="59">
        <f>IF(OR(tblMovement[[#This Row],[Tonnes_t]]="",tblMovement[[#This Row],[Grade_gpt]]=""),0,tblMovement[[#This Row],[Tonnes_t]]*tblMovement[[#This Row],[Grade_gpt]]/cfg_TroyOz)</f>
        <v/>
      </c>
      <c r="O2638" s="59">
        <f>IF(tblMovement[[#This Row],[Is_Ore]]=1,tblMovement[[#This Row],[Contained_oz]],0)</f>
        <v/>
      </c>
    </row>
    <row r="2639">
      <c r="A2639" s="54" t="n"/>
      <c r="B2639" s="61" t="n"/>
      <c r="C2639" s="61" t="n"/>
      <c r="D2639" s="61" t="n"/>
      <c r="E2639" s="61" t="n"/>
      <c r="F2639" s="55" t="n"/>
      <c r="G2639" s="56" t="n"/>
      <c r="H2639" s="55" t="n"/>
      <c r="I2639" s="62" t="n"/>
      <c r="J2639" s="58" t="n"/>
      <c r="K2639" s="63">
        <f>IF(tblMovement[[#This Row],[Source]]="","",IFERROR(INDEX(tblSources[Type],MATCH(tblMovement[[#This Row],[Source]],tblSources[Source],0)),"?"))</f>
        <v/>
      </c>
      <c r="L2639" s="63">
        <f>IF(tblMovement[[#This Row],[Destination]]="","",IFERROR(INDEX(tblDestinations[Type],MATCH(tblMovement[[#This Row],[Destination]],tblDestinations[Destination],0)),"?"))</f>
        <v/>
      </c>
      <c r="M2639" s="64">
        <f>IF(tblMovement[[#This Row],[Material]]="","",IF(LEFT(tblMovement[[#This Row],[Material]],3)="Ore",1,0))</f>
        <v/>
      </c>
      <c r="N2639" s="59">
        <f>IF(OR(tblMovement[[#This Row],[Tonnes_t]]="",tblMovement[[#This Row],[Grade_gpt]]=""),0,tblMovement[[#This Row],[Tonnes_t]]*tblMovement[[#This Row],[Grade_gpt]]/cfg_TroyOz)</f>
        <v/>
      </c>
      <c r="O2639" s="59">
        <f>IF(tblMovement[[#This Row],[Is_Ore]]=1,tblMovement[[#This Row],[Contained_oz]],0)</f>
        <v/>
      </c>
    </row>
    <row r="2640">
      <c r="A2640" s="54" t="n"/>
      <c r="B2640" s="61" t="n"/>
      <c r="C2640" s="61" t="n"/>
      <c r="D2640" s="61" t="n"/>
      <c r="E2640" s="61" t="n"/>
      <c r="F2640" s="55" t="n"/>
      <c r="G2640" s="56" t="n"/>
      <c r="H2640" s="55" t="n"/>
      <c r="I2640" s="62" t="n"/>
      <c r="J2640" s="58" t="n"/>
      <c r="K2640" s="63">
        <f>IF(tblMovement[[#This Row],[Source]]="","",IFERROR(INDEX(tblSources[Type],MATCH(tblMovement[[#This Row],[Source]],tblSources[Source],0)),"?"))</f>
        <v/>
      </c>
      <c r="L2640" s="63">
        <f>IF(tblMovement[[#This Row],[Destination]]="","",IFERROR(INDEX(tblDestinations[Type],MATCH(tblMovement[[#This Row],[Destination]],tblDestinations[Destination],0)),"?"))</f>
        <v/>
      </c>
      <c r="M2640" s="64">
        <f>IF(tblMovement[[#This Row],[Material]]="","",IF(LEFT(tblMovement[[#This Row],[Material]],3)="Ore",1,0))</f>
        <v/>
      </c>
      <c r="N2640" s="59">
        <f>IF(OR(tblMovement[[#This Row],[Tonnes_t]]="",tblMovement[[#This Row],[Grade_gpt]]=""),0,tblMovement[[#This Row],[Tonnes_t]]*tblMovement[[#This Row],[Grade_gpt]]/cfg_TroyOz)</f>
        <v/>
      </c>
      <c r="O2640" s="59">
        <f>IF(tblMovement[[#This Row],[Is_Ore]]=1,tblMovement[[#This Row],[Contained_oz]],0)</f>
        <v/>
      </c>
    </row>
    <row r="2641">
      <c r="A2641" s="54" t="n"/>
      <c r="B2641" s="61" t="n"/>
      <c r="C2641" s="61" t="n"/>
      <c r="D2641" s="61" t="n"/>
      <c r="E2641" s="61" t="n"/>
      <c r="F2641" s="55" t="n"/>
      <c r="G2641" s="56" t="n"/>
      <c r="H2641" s="55" t="n"/>
      <c r="I2641" s="62" t="n"/>
      <c r="J2641" s="58" t="n"/>
      <c r="K2641" s="63">
        <f>IF(tblMovement[[#This Row],[Source]]="","",IFERROR(INDEX(tblSources[Type],MATCH(tblMovement[[#This Row],[Source]],tblSources[Source],0)),"?"))</f>
        <v/>
      </c>
      <c r="L2641" s="63">
        <f>IF(tblMovement[[#This Row],[Destination]]="","",IFERROR(INDEX(tblDestinations[Type],MATCH(tblMovement[[#This Row],[Destination]],tblDestinations[Destination],0)),"?"))</f>
        <v/>
      </c>
      <c r="M2641" s="64">
        <f>IF(tblMovement[[#This Row],[Material]]="","",IF(LEFT(tblMovement[[#This Row],[Material]],3)="Ore",1,0))</f>
        <v/>
      </c>
      <c r="N2641" s="59">
        <f>IF(OR(tblMovement[[#This Row],[Tonnes_t]]="",tblMovement[[#This Row],[Grade_gpt]]=""),0,tblMovement[[#This Row],[Tonnes_t]]*tblMovement[[#This Row],[Grade_gpt]]/cfg_TroyOz)</f>
        <v/>
      </c>
      <c r="O2641" s="59">
        <f>IF(tblMovement[[#This Row],[Is_Ore]]=1,tblMovement[[#This Row],[Contained_oz]],0)</f>
        <v/>
      </c>
    </row>
    <row r="2642">
      <c r="A2642" s="54" t="n"/>
      <c r="B2642" s="61" t="n"/>
      <c r="C2642" s="61" t="n"/>
      <c r="D2642" s="61" t="n"/>
      <c r="E2642" s="61" t="n"/>
      <c r="F2642" s="55" t="n"/>
      <c r="G2642" s="56" t="n"/>
      <c r="H2642" s="55" t="n"/>
      <c r="I2642" s="62" t="n"/>
      <c r="J2642" s="58" t="n"/>
      <c r="K2642" s="63">
        <f>IF(tblMovement[[#This Row],[Source]]="","",IFERROR(INDEX(tblSources[Type],MATCH(tblMovement[[#This Row],[Source]],tblSources[Source],0)),"?"))</f>
        <v/>
      </c>
      <c r="L2642" s="63">
        <f>IF(tblMovement[[#This Row],[Destination]]="","",IFERROR(INDEX(tblDestinations[Type],MATCH(tblMovement[[#This Row],[Destination]],tblDestinations[Destination],0)),"?"))</f>
        <v/>
      </c>
      <c r="M2642" s="64">
        <f>IF(tblMovement[[#This Row],[Material]]="","",IF(LEFT(tblMovement[[#This Row],[Material]],3)="Ore",1,0))</f>
        <v/>
      </c>
      <c r="N2642" s="59">
        <f>IF(OR(tblMovement[[#This Row],[Tonnes_t]]="",tblMovement[[#This Row],[Grade_gpt]]=""),0,tblMovement[[#This Row],[Tonnes_t]]*tblMovement[[#This Row],[Grade_gpt]]/cfg_TroyOz)</f>
        <v/>
      </c>
      <c r="O2642" s="59">
        <f>IF(tblMovement[[#This Row],[Is_Ore]]=1,tblMovement[[#This Row],[Contained_oz]],0)</f>
        <v/>
      </c>
    </row>
    <row r="2643">
      <c r="A2643" s="54" t="n"/>
      <c r="B2643" s="61" t="n"/>
      <c r="C2643" s="61" t="n"/>
      <c r="D2643" s="61" t="n"/>
      <c r="E2643" s="61" t="n"/>
      <c r="F2643" s="55" t="n"/>
      <c r="G2643" s="56" t="n"/>
      <c r="H2643" s="55" t="n"/>
      <c r="I2643" s="62" t="n"/>
      <c r="J2643" s="58" t="n"/>
      <c r="K2643" s="63">
        <f>IF(tblMovement[[#This Row],[Source]]="","",IFERROR(INDEX(tblSources[Type],MATCH(tblMovement[[#This Row],[Source]],tblSources[Source],0)),"?"))</f>
        <v/>
      </c>
      <c r="L2643" s="63">
        <f>IF(tblMovement[[#This Row],[Destination]]="","",IFERROR(INDEX(tblDestinations[Type],MATCH(tblMovement[[#This Row],[Destination]],tblDestinations[Destination],0)),"?"))</f>
        <v/>
      </c>
      <c r="M2643" s="64">
        <f>IF(tblMovement[[#This Row],[Material]]="","",IF(LEFT(tblMovement[[#This Row],[Material]],3)="Ore",1,0))</f>
        <v/>
      </c>
      <c r="N2643" s="59">
        <f>IF(OR(tblMovement[[#This Row],[Tonnes_t]]="",tblMovement[[#This Row],[Grade_gpt]]=""),0,tblMovement[[#This Row],[Tonnes_t]]*tblMovement[[#This Row],[Grade_gpt]]/cfg_TroyOz)</f>
        <v/>
      </c>
      <c r="O2643" s="59">
        <f>IF(tblMovement[[#This Row],[Is_Ore]]=1,tblMovement[[#This Row],[Contained_oz]],0)</f>
        <v/>
      </c>
    </row>
    <row r="2644">
      <c r="A2644" s="54" t="n"/>
      <c r="B2644" s="61" t="n"/>
      <c r="C2644" s="61" t="n"/>
      <c r="D2644" s="61" t="n"/>
      <c r="E2644" s="61" t="n"/>
      <c r="F2644" s="55" t="n"/>
      <c r="G2644" s="56" t="n"/>
      <c r="H2644" s="55" t="n"/>
      <c r="I2644" s="62" t="n"/>
      <c r="J2644" s="58" t="n"/>
      <c r="K2644" s="63">
        <f>IF(tblMovement[[#This Row],[Source]]="","",IFERROR(INDEX(tblSources[Type],MATCH(tblMovement[[#This Row],[Source]],tblSources[Source],0)),"?"))</f>
        <v/>
      </c>
      <c r="L2644" s="63">
        <f>IF(tblMovement[[#This Row],[Destination]]="","",IFERROR(INDEX(tblDestinations[Type],MATCH(tblMovement[[#This Row],[Destination]],tblDestinations[Destination],0)),"?"))</f>
        <v/>
      </c>
      <c r="M2644" s="64">
        <f>IF(tblMovement[[#This Row],[Material]]="","",IF(LEFT(tblMovement[[#This Row],[Material]],3)="Ore",1,0))</f>
        <v/>
      </c>
      <c r="N2644" s="59">
        <f>IF(OR(tblMovement[[#This Row],[Tonnes_t]]="",tblMovement[[#This Row],[Grade_gpt]]=""),0,tblMovement[[#This Row],[Tonnes_t]]*tblMovement[[#This Row],[Grade_gpt]]/cfg_TroyOz)</f>
        <v/>
      </c>
      <c r="O2644" s="59">
        <f>IF(tblMovement[[#This Row],[Is_Ore]]=1,tblMovement[[#This Row],[Contained_oz]],0)</f>
        <v/>
      </c>
    </row>
    <row r="2645">
      <c r="A2645" s="54" t="n"/>
      <c r="B2645" s="61" t="n"/>
      <c r="C2645" s="61" t="n"/>
      <c r="D2645" s="61" t="n"/>
      <c r="E2645" s="61" t="n"/>
      <c r="F2645" s="55" t="n"/>
      <c r="G2645" s="56" t="n"/>
      <c r="H2645" s="55" t="n"/>
      <c r="I2645" s="62" t="n"/>
      <c r="J2645" s="58" t="n"/>
      <c r="K2645" s="63">
        <f>IF(tblMovement[[#This Row],[Source]]="","",IFERROR(INDEX(tblSources[Type],MATCH(tblMovement[[#This Row],[Source]],tblSources[Source],0)),"?"))</f>
        <v/>
      </c>
      <c r="L2645" s="63">
        <f>IF(tblMovement[[#This Row],[Destination]]="","",IFERROR(INDEX(tblDestinations[Type],MATCH(tblMovement[[#This Row],[Destination]],tblDestinations[Destination],0)),"?"))</f>
        <v/>
      </c>
      <c r="M2645" s="64">
        <f>IF(tblMovement[[#This Row],[Material]]="","",IF(LEFT(tblMovement[[#This Row],[Material]],3)="Ore",1,0))</f>
        <v/>
      </c>
      <c r="N2645" s="59">
        <f>IF(OR(tblMovement[[#This Row],[Tonnes_t]]="",tblMovement[[#This Row],[Grade_gpt]]=""),0,tblMovement[[#This Row],[Tonnes_t]]*tblMovement[[#This Row],[Grade_gpt]]/cfg_TroyOz)</f>
        <v/>
      </c>
      <c r="O2645" s="59">
        <f>IF(tblMovement[[#This Row],[Is_Ore]]=1,tblMovement[[#This Row],[Contained_oz]],0)</f>
        <v/>
      </c>
    </row>
    <row r="2646">
      <c r="A2646" s="54" t="n"/>
      <c r="B2646" s="61" t="n"/>
      <c r="C2646" s="61" t="n"/>
      <c r="D2646" s="61" t="n"/>
      <c r="E2646" s="61" t="n"/>
      <c r="F2646" s="55" t="n"/>
      <c r="G2646" s="56" t="n"/>
      <c r="H2646" s="55" t="n"/>
      <c r="I2646" s="62" t="n"/>
      <c r="J2646" s="58" t="n"/>
      <c r="K2646" s="63">
        <f>IF(tblMovement[[#This Row],[Source]]="","",IFERROR(INDEX(tblSources[Type],MATCH(tblMovement[[#This Row],[Source]],tblSources[Source],0)),"?"))</f>
        <v/>
      </c>
      <c r="L2646" s="63">
        <f>IF(tblMovement[[#This Row],[Destination]]="","",IFERROR(INDEX(tblDestinations[Type],MATCH(tblMovement[[#This Row],[Destination]],tblDestinations[Destination],0)),"?"))</f>
        <v/>
      </c>
      <c r="M2646" s="64">
        <f>IF(tblMovement[[#This Row],[Material]]="","",IF(LEFT(tblMovement[[#This Row],[Material]],3)="Ore",1,0))</f>
        <v/>
      </c>
      <c r="N2646" s="59">
        <f>IF(OR(tblMovement[[#This Row],[Tonnes_t]]="",tblMovement[[#This Row],[Grade_gpt]]=""),0,tblMovement[[#This Row],[Tonnes_t]]*tblMovement[[#This Row],[Grade_gpt]]/cfg_TroyOz)</f>
        <v/>
      </c>
      <c r="O2646" s="59">
        <f>IF(tblMovement[[#This Row],[Is_Ore]]=1,tblMovement[[#This Row],[Contained_oz]],0)</f>
        <v/>
      </c>
    </row>
    <row r="2647">
      <c r="A2647" s="54" t="n"/>
      <c r="B2647" s="61" t="n"/>
      <c r="C2647" s="61" t="n"/>
      <c r="D2647" s="61" t="n"/>
      <c r="E2647" s="61" t="n"/>
      <c r="F2647" s="55" t="n"/>
      <c r="G2647" s="56" t="n"/>
      <c r="H2647" s="55" t="n"/>
      <c r="I2647" s="62" t="n"/>
      <c r="J2647" s="58" t="n"/>
      <c r="K2647" s="63">
        <f>IF(tblMovement[[#This Row],[Source]]="","",IFERROR(INDEX(tblSources[Type],MATCH(tblMovement[[#This Row],[Source]],tblSources[Source],0)),"?"))</f>
        <v/>
      </c>
      <c r="L2647" s="63">
        <f>IF(tblMovement[[#This Row],[Destination]]="","",IFERROR(INDEX(tblDestinations[Type],MATCH(tblMovement[[#This Row],[Destination]],tblDestinations[Destination],0)),"?"))</f>
        <v/>
      </c>
      <c r="M2647" s="64">
        <f>IF(tblMovement[[#This Row],[Material]]="","",IF(LEFT(tblMovement[[#This Row],[Material]],3)="Ore",1,0))</f>
        <v/>
      </c>
      <c r="N2647" s="59">
        <f>IF(OR(tblMovement[[#This Row],[Tonnes_t]]="",tblMovement[[#This Row],[Grade_gpt]]=""),0,tblMovement[[#This Row],[Tonnes_t]]*tblMovement[[#This Row],[Grade_gpt]]/cfg_TroyOz)</f>
        <v/>
      </c>
      <c r="O2647" s="59">
        <f>IF(tblMovement[[#This Row],[Is_Ore]]=1,tblMovement[[#This Row],[Contained_oz]],0)</f>
        <v/>
      </c>
    </row>
    <row r="2648">
      <c r="A2648" s="54" t="n"/>
      <c r="B2648" s="61" t="n"/>
      <c r="C2648" s="61" t="n"/>
      <c r="D2648" s="61" t="n"/>
      <c r="E2648" s="61" t="n"/>
      <c r="F2648" s="55" t="n"/>
      <c r="G2648" s="56" t="n"/>
      <c r="H2648" s="55" t="n"/>
      <c r="I2648" s="62" t="n"/>
      <c r="J2648" s="58" t="n"/>
      <c r="K2648" s="63">
        <f>IF(tblMovement[[#This Row],[Source]]="","",IFERROR(INDEX(tblSources[Type],MATCH(tblMovement[[#This Row],[Source]],tblSources[Source],0)),"?"))</f>
        <v/>
      </c>
      <c r="L2648" s="63">
        <f>IF(tblMovement[[#This Row],[Destination]]="","",IFERROR(INDEX(tblDestinations[Type],MATCH(tblMovement[[#This Row],[Destination]],tblDestinations[Destination],0)),"?"))</f>
        <v/>
      </c>
      <c r="M2648" s="64">
        <f>IF(tblMovement[[#This Row],[Material]]="","",IF(LEFT(tblMovement[[#This Row],[Material]],3)="Ore",1,0))</f>
        <v/>
      </c>
      <c r="N2648" s="59">
        <f>IF(OR(tblMovement[[#This Row],[Tonnes_t]]="",tblMovement[[#This Row],[Grade_gpt]]=""),0,tblMovement[[#This Row],[Tonnes_t]]*tblMovement[[#This Row],[Grade_gpt]]/cfg_TroyOz)</f>
        <v/>
      </c>
      <c r="O2648" s="59">
        <f>IF(tblMovement[[#This Row],[Is_Ore]]=1,tblMovement[[#This Row],[Contained_oz]],0)</f>
        <v/>
      </c>
    </row>
    <row r="2649">
      <c r="A2649" s="54" t="n"/>
      <c r="B2649" s="61" t="n"/>
      <c r="C2649" s="61" t="n"/>
      <c r="D2649" s="61" t="n"/>
      <c r="E2649" s="61" t="n"/>
      <c r="F2649" s="55" t="n"/>
      <c r="G2649" s="56" t="n"/>
      <c r="H2649" s="55" t="n"/>
      <c r="I2649" s="62" t="n"/>
      <c r="J2649" s="58" t="n"/>
      <c r="K2649" s="63">
        <f>IF(tblMovement[[#This Row],[Source]]="","",IFERROR(INDEX(tblSources[Type],MATCH(tblMovement[[#This Row],[Source]],tblSources[Source],0)),"?"))</f>
        <v/>
      </c>
      <c r="L2649" s="63">
        <f>IF(tblMovement[[#This Row],[Destination]]="","",IFERROR(INDEX(tblDestinations[Type],MATCH(tblMovement[[#This Row],[Destination]],tblDestinations[Destination],0)),"?"))</f>
        <v/>
      </c>
      <c r="M2649" s="64">
        <f>IF(tblMovement[[#This Row],[Material]]="","",IF(LEFT(tblMovement[[#This Row],[Material]],3)="Ore",1,0))</f>
        <v/>
      </c>
      <c r="N2649" s="59">
        <f>IF(OR(tblMovement[[#This Row],[Tonnes_t]]="",tblMovement[[#This Row],[Grade_gpt]]=""),0,tblMovement[[#This Row],[Tonnes_t]]*tblMovement[[#This Row],[Grade_gpt]]/cfg_TroyOz)</f>
        <v/>
      </c>
      <c r="O2649" s="59">
        <f>IF(tblMovement[[#This Row],[Is_Ore]]=1,tblMovement[[#This Row],[Contained_oz]],0)</f>
        <v/>
      </c>
    </row>
    <row r="2650">
      <c r="A2650" s="54" t="n"/>
      <c r="B2650" s="61" t="n"/>
      <c r="C2650" s="61" t="n"/>
      <c r="D2650" s="61" t="n"/>
      <c r="E2650" s="61" t="n"/>
      <c r="F2650" s="55" t="n"/>
      <c r="G2650" s="56" t="n"/>
      <c r="H2650" s="55" t="n"/>
      <c r="I2650" s="62" t="n"/>
      <c r="J2650" s="58" t="n"/>
      <c r="K2650" s="63">
        <f>IF(tblMovement[[#This Row],[Source]]="","",IFERROR(INDEX(tblSources[Type],MATCH(tblMovement[[#This Row],[Source]],tblSources[Source],0)),"?"))</f>
        <v/>
      </c>
      <c r="L2650" s="63">
        <f>IF(tblMovement[[#This Row],[Destination]]="","",IFERROR(INDEX(tblDestinations[Type],MATCH(tblMovement[[#This Row],[Destination]],tblDestinations[Destination],0)),"?"))</f>
        <v/>
      </c>
      <c r="M2650" s="64">
        <f>IF(tblMovement[[#This Row],[Material]]="","",IF(LEFT(tblMovement[[#This Row],[Material]],3)="Ore",1,0))</f>
        <v/>
      </c>
      <c r="N2650" s="59">
        <f>IF(OR(tblMovement[[#This Row],[Tonnes_t]]="",tblMovement[[#This Row],[Grade_gpt]]=""),0,tblMovement[[#This Row],[Tonnes_t]]*tblMovement[[#This Row],[Grade_gpt]]/cfg_TroyOz)</f>
        <v/>
      </c>
      <c r="O2650" s="59">
        <f>IF(tblMovement[[#This Row],[Is_Ore]]=1,tblMovement[[#This Row],[Contained_oz]],0)</f>
        <v/>
      </c>
    </row>
    <row r="2651">
      <c r="A2651" s="54" t="n"/>
      <c r="B2651" s="61" t="n"/>
      <c r="C2651" s="61" t="n"/>
      <c r="D2651" s="61" t="n"/>
      <c r="E2651" s="61" t="n"/>
      <c r="F2651" s="55" t="n"/>
      <c r="G2651" s="56" t="n"/>
      <c r="H2651" s="55" t="n"/>
      <c r="I2651" s="62" t="n"/>
      <c r="J2651" s="58" t="n"/>
      <c r="K2651" s="63">
        <f>IF(tblMovement[[#This Row],[Source]]="","",IFERROR(INDEX(tblSources[Type],MATCH(tblMovement[[#This Row],[Source]],tblSources[Source],0)),"?"))</f>
        <v/>
      </c>
      <c r="L2651" s="63">
        <f>IF(tblMovement[[#This Row],[Destination]]="","",IFERROR(INDEX(tblDestinations[Type],MATCH(tblMovement[[#This Row],[Destination]],tblDestinations[Destination],0)),"?"))</f>
        <v/>
      </c>
      <c r="M2651" s="64">
        <f>IF(tblMovement[[#This Row],[Material]]="","",IF(LEFT(tblMovement[[#This Row],[Material]],3)="Ore",1,0))</f>
        <v/>
      </c>
      <c r="N2651" s="59">
        <f>IF(OR(tblMovement[[#This Row],[Tonnes_t]]="",tblMovement[[#This Row],[Grade_gpt]]=""),0,tblMovement[[#This Row],[Tonnes_t]]*tblMovement[[#This Row],[Grade_gpt]]/cfg_TroyOz)</f>
        <v/>
      </c>
      <c r="O2651" s="59">
        <f>IF(tblMovement[[#This Row],[Is_Ore]]=1,tblMovement[[#This Row],[Contained_oz]],0)</f>
        <v/>
      </c>
    </row>
    <row r="2652">
      <c r="A2652" s="54" t="n"/>
      <c r="B2652" s="61" t="n"/>
      <c r="C2652" s="61" t="n"/>
      <c r="D2652" s="61" t="n"/>
      <c r="E2652" s="61" t="n"/>
      <c r="F2652" s="55" t="n"/>
      <c r="G2652" s="56" t="n"/>
      <c r="H2652" s="55" t="n"/>
      <c r="I2652" s="62" t="n"/>
      <c r="J2652" s="58" t="n"/>
      <c r="K2652" s="63">
        <f>IF(tblMovement[[#This Row],[Source]]="","",IFERROR(INDEX(tblSources[Type],MATCH(tblMovement[[#This Row],[Source]],tblSources[Source],0)),"?"))</f>
        <v/>
      </c>
      <c r="L2652" s="63">
        <f>IF(tblMovement[[#This Row],[Destination]]="","",IFERROR(INDEX(tblDestinations[Type],MATCH(tblMovement[[#This Row],[Destination]],tblDestinations[Destination],0)),"?"))</f>
        <v/>
      </c>
      <c r="M2652" s="64">
        <f>IF(tblMovement[[#This Row],[Material]]="","",IF(LEFT(tblMovement[[#This Row],[Material]],3)="Ore",1,0))</f>
        <v/>
      </c>
      <c r="N2652" s="59">
        <f>IF(OR(tblMovement[[#This Row],[Tonnes_t]]="",tblMovement[[#This Row],[Grade_gpt]]=""),0,tblMovement[[#This Row],[Tonnes_t]]*tblMovement[[#This Row],[Grade_gpt]]/cfg_TroyOz)</f>
        <v/>
      </c>
      <c r="O2652" s="59">
        <f>IF(tblMovement[[#This Row],[Is_Ore]]=1,tblMovement[[#This Row],[Contained_oz]],0)</f>
        <v/>
      </c>
    </row>
    <row r="2653">
      <c r="A2653" s="54" t="n"/>
      <c r="B2653" s="61" t="n"/>
      <c r="C2653" s="61" t="n"/>
      <c r="D2653" s="61" t="n"/>
      <c r="E2653" s="61" t="n"/>
      <c r="F2653" s="55" t="n"/>
      <c r="G2653" s="56" t="n"/>
      <c r="H2653" s="55" t="n"/>
      <c r="I2653" s="62" t="n"/>
      <c r="J2653" s="58" t="n"/>
      <c r="K2653" s="63">
        <f>IF(tblMovement[[#This Row],[Source]]="","",IFERROR(INDEX(tblSources[Type],MATCH(tblMovement[[#This Row],[Source]],tblSources[Source],0)),"?"))</f>
        <v/>
      </c>
      <c r="L2653" s="63">
        <f>IF(tblMovement[[#This Row],[Destination]]="","",IFERROR(INDEX(tblDestinations[Type],MATCH(tblMovement[[#This Row],[Destination]],tblDestinations[Destination],0)),"?"))</f>
        <v/>
      </c>
      <c r="M2653" s="64">
        <f>IF(tblMovement[[#This Row],[Material]]="","",IF(LEFT(tblMovement[[#This Row],[Material]],3)="Ore",1,0))</f>
        <v/>
      </c>
      <c r="N2653" s="59">
        <f>IF(OR(tblMovement[[#This Row],[Tonnes_t]]="",tblMovement[[#This Row],[Grade_gpt]]=""),0,tblMovement[[#This Row],[Tonnes_t]]*tblMovement[[#This Row],[Grade_gpt]]/cfg_TroyOz)</f>
        <v/>
      </c>
      <c r="O2653" s="59">
        <f>IF(tblMovement[[#This Row],[Is_Ore]]=1,tblMovement[[#This Row],[Contained_oz]],0)</f>
        <v/>
      </c>
    </row>
    <row r="2654">
      <c r="A2654" s="54" t="n"/>
      <c r="B2654" s="61" t="n"/>
      <c r="C2654" s="61" t="n"/>
      <c r="D2654" s="61" t="n"/>
      <c r="E2654" s="61" t="n"/>
      <c r="F2654" s="55" t="n"/>
      <c r="G2654" s="56" t="n"/>
      <c r="H2654" s="55" t="n"/>
      <c r="I2654" s="62" t="n"/>
      <c r="J2654" s="58" t="n"/>
      <c r="K2654" s="63">
        <f>IF(tblMovement[[#This Row],[Source]]="","",IFERROR(INDEX(tblSources[Type],MATCH(tblMovement[[#This Row],[Source]],tblSources[Source],0)),"?"))</f>
        <v/>
      </c>
      <c r="L2654" s="63">
        <f>IF(tblMovement[[#This Row],[Destination]]="","",IFERROR(INDEX(tblDestinations[Type],MATCH(tblMovement[[#This Row],[Destination]],tblDestinations[Destination],0)),"?"))</f>
        <v/>
      </c>
      <c r="M2654" s="64">
        <f>IF(tblMovement[[#This Row],[Material]]="","",IF(LEFT(tblMovement[[#This Row],[Material]],3)="Ore",1,0))</f>
        <v/>
      </c>
      <c r="N2654" s="59">
        <f>IF(OR(tblMovement[[#This Row],[Tonnes_t]]="",tblMovement[[#This Row],[Grade_gpt]]=""),0,tblMovement[[#This Row],[Tonnes_t]]*tblMovement[[#This Row],[Grade_gpt]]/cfg_TroyOz)</f>
        <v/>
      </c>
      <c r="O2654" s="59">
        <f>IF(tblMovement[[#This Row],[Is_Ore]]=1,tblMovement[[#This Row],[Contained_oz]],0)</f>
        <v/>
      </c>
    </row>
    <row r="2655">
      <c r="A2655" s="54" t="n"/>
      <c r="B2655" s="61" t="n"/>
      <c r="C2655" s="61" t="n"/>
      <c r="D2655" s="61" t="n"/>
      <c r="E2655" s="61" t="n"/>
      <c r="F2655" s="55" t="n"/>
      <c r="G2655" s="56" t="n"/>
      <c r="H2655" s="55" t="n"/>
      <c r="I2655" s="62" t="n"/>
      <c r="J2655" s="58" t="n"/>
      <c r="K2655" s="63">
        <f>IF(tblMovement[[#This Row],[Source]]="","",IFERROR(INDEX(tblSources[Type],MATCH(tblMovement[[#This Row],[Source]],tblSources[Source],0)),"?"))</f>
        <v/>
      </c>
      <c r="L2655" s="63">
        <f>IF(tblMovement[[#This Row],[Destination]]="","",IFERROR(INDEX(tblDestinations[Type],MATCH(tblMovement[[#This Row],[Destination]],tblDestinations[Destination],0)),"?"))</f>
        <v/>
      </c>
      <c r="M2655" s="64">
        <f>IF(tblMovement[[#This Row],[Material]]="","",IF(LEFT(tblMovement[[#This Row],[Material]],3)="Ore",1,0))</f>
        <v/>
      </c>
      <c r="N2655" s="59">
        <f>IF(OR(tblMovement[[#This Row],[Tonnes_t]]="",tblMovement[[#This Row],[Grade_gpt]]=""),0,tblMovement[[#This Row],[Tonnes_t]]*tblMovement[[#This Row],[Grade_gpt]]/cfg_TroyOz)</f>
        <v/>
      </c>
      <c r="O2655" s="59">
        <f>IF(tblMovement[[#This Row],[Is_Ore]]=1,tblMovement[[#This Row],[Contained_oz]],0)</f>
        <v/>
      </c>
    </row>
    <row r="2656">
      <c r="A2656" s="54" t="n"/>
      <c r="B2656" s="61" t="n"/>
      <c r="C2656" s="61" t="n"/>
      <c r="D2656" s="61" t="n"/>
      <c r="E2656" s="61" t="n"/>
      <c r="F2656" s="55" t="n"/>
      <c r="G2656" s="56" t="n"/>
      <c r="H2656" s="55" t="n"/>
      <c r="I2656" s="62" t="n"/>
      <c r="J2656" s="58" t="n"/>
      <c r="K2656" s="63">
        <f>IF(tblMovement[[#This Row],[Source]]="","",IFERROR(INDEX(tblSources[Type],MATCH(tblMovement[[#This Row],[Source]],tblSources[Source],0)),"?"))</f>
        <v/>
      </c>
      <c r="L2656" s="63">
        <f>IF(tblMovement[[#This Row],[Destination]]="","",IFERROR(INDEX(tblDestinations[Type],MATCH(tblMovement[[#This Row],[Destination]],tblDestinations[Destination],0)),"?"))</f>
        <v/>
      </c>
      <c r="M2656" s="64">
        <f>IF(tblMovement[[#This Row],[Material]]="","",IF(LEFT(tblMovement[[#This Row],[Material]],3)="Ore",1,0))</f>
        <v/>
      </c>
      <c r="N2656" s="59">
        <f>IF(OR(tblMovement[[#This Row],[Tonnes_t]]="",tblMovement[[#This Row],[Grade_gpt]]=""),0,tblMovement[[#This Row],[Tonnes_t]]*tblMovement[[#This Row],[Grade_gpt]]/cfg_TroyOz)</f>
        <v/>
      </c>
      <c r="O2656" s="59">
        <f>IF(tblMovement[[#This Row],[Is_Ore]]=1,tblMovement[[#This Row],[Contained_oz]],0)</f>
        <v/>
      </c>
    </row>
    <row r="2657">
      <c r="A2657" s="54" t="n"/>
      <c r="B2657" s="61" t="n"/>
      <c r="C2657" s="61" t="n"/>
      <c r="D2657" s="61" t="n"/>
      <c r="E2657" s="61" t="n"/>
      <c r="F2657" s="55" t="n"/>
      <c r="G2657" s="56" t="n"/>
      <c r="H2657" s="55" t="n"/>
      <c r="I2657" s="62" t="n"/>
      <c r="J2657" s="58" t="n"/>
      <c r="K2657" s="63">
        <f>IF(tblMovement[[#This Row],[Source]]="","",IFERROR(INDEX(tblSources[Type],MATCH(tblMovement[[#This Row],[Source]],tblSources[Source],0)),"?"))</f>
        <v/>
      </c>
      <c r="L2657" s="63">
        <f>IF(tblMovement[[#This Row],[Destination]]="","",IFERROR(INDEX(tblDestinations[Type],MATCH(tblMovement[[#This Row],[Destination]],tblDestinations[Destination],0)),"?"))</f>
        <v/>
      </c>
      <c r="M2657" s="64">
        <f>IF(tblMovement[[#This Row],[Material]]="","",IF(LEFT(tblMovement[[#This Row],[Material]],3)="Ore",1,0))</f>
        <v/>
      </c>
      <c r="N2657" s="59">
        <f>IF(OR(tblMovement[[#This Row],[Tonnes_t]]="",tblMovement[[#This Row],[Grade_gpt]]=""),0,tblMovement[[#This Row],[Tonnes_t]]*tblMovement[[#This Row],[Grade_gpt]]/cfg_TroyOz)</f>
        <v/>
      </c>
      <c r="O2657" s="59">
        <f>IF(tblMovement[[#This Row],[Is_Ore]]=1,tblMovement[[#This Row],[Contained_oz]],0)</f>
        <v/>
      </c>
    </row>
    <row r="2658">
      <c r="A2658" s="54" t="n"/>
      <c r="B2658" s="61" t="n"/>
      <c r="C2658" s="61" t="n"/>
      <c r="D2658" s="61" t="n"/>
      <c r="E2658" s="61" t="n"/>
      <c r="F2658" s="55" t="n"/>
      <c r="G2658" s="56" t="n"/>
      <c r="H2658" s="55" t="n"/>
      <c r="I2658" s="62" t="n"/>
      <c r="J2658" s="58" t="n"/>
      <c r="K2658" s="63">
        <f>IF(tblMovement[[#This Row],[Source]]="","",IFERROR(INDEX(tblSources[Type],MATCH(tblMovement[[#This Row],[Source]],tblSources[Source],0)),"?"))</f>
        <v/>
      </c>
      <c r="L2658" s="63">
        <f>IF(tblMovement[[#This Row],[Destination]]="","",IFERROR(INDEX(tblDestinations[Type],MATCH(tblMovement[[#This Row],[Destination]],tblDestinations[Destination],0)),"?"))</f>
        <v/>
      </c>
      <c r="M2658" s="64">
        <f>IF(tblMovement[[#This Row],[Material]]="","",IF(LEFT(tblMovement[[#This Row],[Material]],3)="Ore",1,0))</f>
        <v/>
      </c>
      <c r="N2658" s="59">
        <f>IF(OR(tblMovement[[#This Row],[Tonnes_t]]="",tblMovement[[#This Row],[Grade_gpt]]=""),0,tblMovement[[#This Row],[Tonnes_t]]*tblMovement[[#This Row],[Grade_gpt]]/cfg_TroyOz)</f>
        <v/>
      </c>
      <c r="O2658" s="59">
        <f>IF(tblMovement[[#This Row],[Is_Ore]]=1,tblMovement[[#This Row],[Contained_oz]],0)</f>
        <v/>
      </c>
    </row>
    <row r="2659">
      <c r="A2659" s="54" t="n"/>
      <c r="B2659" s="61" t="n"/>
      <c r="C2659" s="61" t="n"/>
      <c r="D2659" s="61" t="n"/>
      <c r="E2659" s="61" t="n"/>
      <c r="F2659" s="55" t="n"/>
      <c r="G2659" s="56" t="n"/>
      <c r="H2659" s="55" t="n"/>
      <c r="I2659" s="62" t="n"/>
      <c r="J2659" s="58" t="n"/>
      <c r="K2659" s="63">
        <f>IF(tblMovement[[#This Row],[Source]]="","",IFERROR(INDEX(tblSources[Type],MATCH(tblMovement[[#This Row],[Source]],tblSources[Source],0)),"?"))</f>
        <v/>
      </c>
      <c r="L2659" s="63">
        <f>IF(tblMovement[[#This Row],[Destination]]="","",IFERROR(INDEX(tblDestinations[Type],MATCH(tblMovement[[#This Row],[Destination]],tblDestinations[Destination],0)),"?"))</f>
        <v/>
      </c>
      <c r="M2659" s="64">
        <f>IF(tblMovement[[#This Row],[Material]]="","",IF(LEFT(tblMovement[[#This Row],[Material]],3)="Ore",1,0))</f>
        <v/>
      </c>
      <c r="N2659" s="59">
        <f>IF(OR(tblMovement[[#This Row],[Tonnes_t]]="",tblMovement[[#This Row],[Grade_gpt]]=""),0,tblMovement[[#This Row],[Tonnes_t]]*tblMovement[[#This Row],[Grade_gpt]]/cfg_TroyOz)</f>
        <v/>
      </c>
      <c r="O2659" s="59">
        <f>IF(tblMovement[[#This Row],[Is_Ore]]=1,tblMovement[[#This Row],[Contained_oz]],0)</f>
        <v/>
      </c>
    </row>
    <row r="2660">
      <c r="A2660" s="54" t="n"/>
      <c r="B2660" s="61" t="n"/>
      <c r="C2660" s="61" t="n"/>
      <c r="D2660" s="61" t="n"/>
      <c r="E2660" s="61" t="n"/>
      <c r="F2660" s="55" t="n"/>
      <c r="G2660" s="56" t="n"/>
      <c r="H2660" s="55" t="n"/>
      <c r="I2660" s="62" t="n"/>
      <c r="J2660" s="58" t="n"/>
      <c r="K2660" s="63">
        <f>IF(tblMovement[[#This Row],[Source]]="","",IFERROR(INDEX(tblSources[Type],MATCH(tblMovement[[#This Row],[Source]],tblSources[Source],0)),"?"))</f>
        <v/>
      </c>
      <c r="L2660" s="63">
        <f>IF(tblMovement[[#This Row],[Destination]]="","",IFERROR(INDEX(tblDestinations[Type],MATCH(tblMovement[[#This Row],[Destination]],tblDestinations[Destination],0)),"?"))</f>
        <v/>
      </c>
      <c r="M2660" s="64">
        <f>IF(tblMovement[[#This Row],[Material]]="","",IF(LEFT(tblMovement[[#This Row],[Material]],3)="Ore",1,0))</f>
        <v/>
      </c>
      <c r="N2660" s="59">
        <f>IF(OR(tblMovement[[#This Row],[Tonnes_t]]="",tblMovement[[#This Row],[Grade_gpt]]=""),0,tblMovement[[#This Row],[Tonnes_t]]*tblMovement[[#This Row],[Grade_gpt]]/cfg_TroyOz)</f>
        <v/>
      </c>
      <c r="O2660" s="59">
        <f>IF(tblMovement[[#This Row],[Is_Ore]]=1,tblMovement[[#This Row],[Contained_oz]],0)</f>
        <v/>
      </c>
    </row>
    <row r="2661">
      <c r="A2661" s="54" t="n"/>
      <c r="B2661" s="61" t="n"/>
      <c r="C2661" s="61" t="n"/>
      <c r="D2661" s="61" t="n"/>
      <c r="E2661" s="61" t="n"/>
      <c r="F2661" s="55" t="n"/>
      <c r="G2661" s="56" t="n"/>
      <c r="H2661" s="55" t="n"/>
      <c r="I2661" s="62" t="n"/>
      <c r="J2661" s="58" t="n"/>
      <c r="K2661" s="63">
        <f>IF(tblMovement[[#This Row],[Source]]="","",IFERROR(INDEX(tblSources[Type],MATCH(tblMovement[[#This Row],[Source]],tblSources[Source],0)),"?"))</f>
        <v/>
      </c>
      <c r="L2661" s="63">
        <f>IF(tblMovement[[#This Row],[Destination]]="","",IFERROR(INDEX(tblDestinations[Type],MATCH(tblMovement[[#This Row],[Destination]],tblDestinations[Destination],0)),"?"))</f>
        <v/>
      </c>
      <c r="M2661" s="64">
        <f>IF(tblMovement[[#This Row],[Material]]="","",IF(LEFT(tblMovement[[#This Row],[Material]],3)="Ore",1,0))</f>
        <v/>
      </c>
      <c r="N2661" s="59">
        <f>IF(OR(tblMovement[[#This Row],[Tonnes_t]]="",tblMovement[[#This Row],[Grade_gpt]]=""),0,tblMovement[[#This Row],[Tonnes_t]]*tblMovement[[#This Row],[Grade_gpt]]/cfg_TroyOz)</f>
        <v/>
      </c>
      <c r="O2661" s="59">
        <f>IF(tblMovement[[#This Row],[Is_Ore]]=1,tblMovement[[#This Row],[Contained_oz]],0)</f>
        <v/>
      </c>
    </row>
    <row r="2662">
      <c r="A2662" s="54" t="n"/>
      <c r="B2662" s="61" t="n"/>
      <c r="C2662" s="61" t="n"/>
      <c r="D2662" s="61" t="n"/>
      <c r="E2662" s="61" t="n"/>
      <c r="F2662" s="55" t="n"/>
      <c r="G2662" s="56" t="n"/>
      <c r="H2662" s="55" t="n"/>
      <c r="I2662" s="62" t="n"/>
      <c r="J2662" s="58" t="n"/>
      <c r="K2662" s="63">
        <f>IF(tblMovement[[#This Row],[Source]]="","",IFERROR(INDEX(tblSources[Type],MATCH(tblMovement[[#This Row],[Source]],tblSources[Source],0)),"?"))</f>
        <v/>
      </c>
      <c r="L2662" s="63">
        <f>IF(tblMovement[[#This Row],[Destination]]="","",IFERROR(INDEX(tblDestinations[Type],MATCH(tblMovement[[#This Row],[Destination]],tblDestinations[Destination],0)),"?"))</f>
        <v/>
      </c>
      <c r="M2662" s="64">
        <f>IF(tblMovement[[#This Row],[Material]]="","",IF(LEFT(tblMovement[[#This Row],[Material]],3)="Ore",1,0))</f>
        <v/>
      </c>
      <c r="N2662" s="59">
        <f>IF(OR(tblMovement[[#This Row],[Tonnes_t]]="",tblMovement[[#This Row],[Grade_gpt]]=""),0,tblMovement[[#This Row],[Tonnes_t]]*tblMovement[[#This Row],[Grade_gpt]]/cfg_TroyOz)</f>
        <v/>
      </c>
      <c r="O2662" s="59">
        <f>IF(tblMovement[[#This Row],[Is_Ore]]=1,tblMovement[[#This Row],[Contained_oz]],0)</f>
        <v/>
      </c>
    </row>
    <row r="2663">
      <c r="A2663" s="54" t="n"/>
      <c r="B2663" s="61" t="n"/>
      <c r="C2663" s="61" t="n"/>
      <c r="D2663" s="61" t="n"/>
      <c r="E2663" s="61" t="n"/>
      <c r="F2663" s="55" t="n"/>
      <c r="G2663" s="56" t="n"/>
      <c r="H2663" s="55" t="n"/>
      <c r="I2663" s="62" t="n"/>
      <c r="J2663" s="58" t="n"/>
      <c r="K2663" s="63">
        <f>IF(tblMovement[[#This Row],[Source]]="","",IFERROR(INDEX(tblSources[Type],MATCH(tblMovement[[#This Row],[Source]],tblSources[Source],0)),"?"))</f>
        <v/>
      </c>
      <c r="L2663" s="63">
        <f>IF(tblMovement[[#This Row],[Destination]]="","",IFERROR(INDEX(tblDestinations[Type],MATCH(tblMovement[[#This Row],[Destination]],tblDestinations[Destination],0)),"?"))</f>
        <v/>
      </c>
      <c r="M2663" s="64">
        <f>IF(tblMovement[[#This Row],[Material]]="","",IF(LEFT(tblMovement[[#This Row],[Material]],3)="Ore",1,0))</f>
        <v/>
      </c>
      <c r="N2663" s="59">
        <f>IF(OR(tblMovement[[#This Row],[Tonnes_t]]="",tblMovement[[#This Row],[Grade_gpt]]=""),0,tblMovement[[#This Row],[Tonnes_t]]*tblMovement[[#This Row],[Grade_gpt]]/cfg_TroyOz)</f>
        <v/>
      </c>
      <c r="O2663" s="59">
        <f>IF(tblMovement[[#This Row],[Is_Ore]]=1,tblMovement[[#This Row],[Contained_oz]],0)</f>
        <v/>
      </c>
    </row>
    <row r="2664">
      <c r="A2664" s="54" t="n"/>
      <c r="B2664" s="61" t="n"/>
      <c r="C2664" s="61" t="n"/>
      <c r="D2664" s="61" t="n"/>
      <c r="E2664" s="61" t="n"/>
      <c r="F2664" s="55" t="n"/>
      <c r="G2664" s="56" t="n"/>
      <c r="H2664" s="55" t="n"/>
      <c r="I2664" s="62" t="n"/>
      <c r="J2664" s="58" t="n"/>
      <c r="K2664" s="63">
        <f>IF(tblMovement[[#This Row],[Source]]="","",IFERROR(INDEX(tblSources[Type],MATCH(tblMovement[[#This Row],[Source]],tblSources[Source],0)),"?"))</f>
        <v/>
      </c>
      <c r="L2664" s="63">
        <f>IF(tblMovement[[#This Row],[Destination]]="","",IFERROR(INDEX(tblDestinations[Type],MATCH(tblMovement[[#This Row],[Destination]],tblDestinations[Destination],0)),"?"))</f>
        <v/>
      </c>
      <c r="M2664" s="64">
        <f>IF(tblMovement[[#This Row],[Material]]="","",IF(LEFT(tblMovement[[#This Row],[Material]],3)="Ore",1,0))</f>
        <v/>
      </c>
      <c r="N2664" s="59">
        <f>IF(OR(tblMovement[[#This Row],[Tonnes_t]]="",tblMovement[[#This Row],[Grade_gpt]]=""),0,tblMovement[[#This Row],[Tonnes_t]]*tblMovement[[#This Row],[Grade_gpt]]/cfg_TroyOz)</f>
        <v/>
      </c>
      <c r="O2664" s="59">
        <f>IF(tblMovement[[#This Row],[Is_Ore]]=1,tblMovement[[#This Row],[Contained_oz]],0)</f>
        <v/>
      </c>
    </row>
    <row r="2665">
      <c r="A2665" s="54" t="n"/>
      <c r="B2665" s="61" t="n"/>
      <c r="C2665" s="61" t="n"/>
      <c r="D2665" s="61" t="n"/>
      <c r="E2665" s="61" t="n"/>
      <c r="F2665" s="55" t="n"/>
      <c r="G2665" s="56" t="n"/>
      <c r="H2665" s="55" t="n"/>
      <c r="I2665" s="62" t="n"/>
      <c r="J2665" s="58" t="n"/>
      <c r="K2665" s="63">
        <f>IF(tblMovement[[#This Row],[Source]]="","",IFERROR(INDEX(tblSources[Type],MATCH(tblMovement[[#This Row],[Source]],tblSources[Source],0)),"?"))</f>
        <v/>
      </c>
      <c r="L2665" s="63">
        <f>IF(tblMovement[[#This Row],[Destination]]="","",IFERROR(INDEX(tblDestinations[Type],MATCH(tblMovement[[#This Row],[Destination]],tblDestinations[Destination],0)),"?"))</f>
        <v/>
      </c>
      <c r="M2665" s="64">
        <f>IF(tblMovement[[#This Row],[Material]]="","",IF(LEFT(tblMovement[[#This Row],[Material]],3)="Ore",1,0))</f>
        <v/>
      </c>
      <c r="N2665" s="59">
        <f>IF(OR(tblMovement[[#This Row],[Tonnes_t]]="",tblMovement[[#This Row],[Grade_gpt]]=""),0,tblMovement[[#This Row],[Tonnes_t]]*tblMovement[[#This Row],[Grade_gpt]]/cfg_TroyOz)</f>
        <v/>
      </c>
      <c r="O2665" s="59">
        <f>IF(tblMovement[[#This Row],[Is_Ore]]=1,tblMovement[[#This Row],[Contained_oz]],0)</f>
        <v/>
      </c>
    </row>
    <row r="2666">
      <c r="A2666" s="54" t="n"/>
      <c r="B2666" s="61" t="n"/>
      <c r="C2666" s="61" t="n"/>
      <c r="D2666" s="61" t="n"/>
      <c r="E2666" s="61" t="n"/>
      <c r="F2666" s="55" t="n"/>
      <c r="G2666" s="56" t="n"/>
      <c r="H2666" s="55" t="n"/>
      <c r="I2666" s="62" t="n"/>
      <c r="J2666" s="58" t="n"/>
      <c r="K2666" s="63">
        <f>IF(tblMovement[[#This Row],[Source]]="","",IFERROR(INDEX(tblSources[Type],MATCH(tblMovement[[#This Row],[Source]],tblSources[Source],0)),"?"))</f>
        <v/>
      </c>
      <c r="L2666" s="63">
        <f>IF(tblMovement[[#This Row],[Destination]]="","",IFERROR(INDEX(tblDestinations[Type],MATCH(tblMovement[[#This Row],[Destination]],tblDestinations[Destination],0)),"?"))</f>
        <v/>
      </c>
      <c r="M2666" s="64">
        <f>IF(tblMovement[[#This Row],[Material]]="","",IF(LEFT(tblMovement[[#This Row],[Material]],3)="Ore",1,0))</f>
        <v/>
      </c>
      <c r="N2666" s="59">
        <f>IF(OR(tblMovement[[#This Row],[Tonnes_t]]="",tblMovement[[#This Row],[Grade_gpt]]=""),0,tblMovement[[#This Row],[Tonnes_t]]*tblMovement[[#This Row],[Grade_gpt]]/cfg_TroyOz)</f>
        <v/>
      </c>
      <c r="O2666" s="59">
        <f>IF(tblMovement[[#This Row],[Is_Ore]]=1,tblMovement[[#This Row],[Contained_oz]],0)</f>
        <v/>
      </c>
    </row>
    <row r="2667">
      <c r="A2667" s="54" t="n"/>
      <c r="B2667" s="61" t="n"/>
      <c r="C2667" s="61" t="n"/>
      <c r="D2667" s="61" t="n"/>
      <c r="E2667" s="61" t="n"/>
      <c r="F2667" s="55" t="n"/>
      <c r="G2667" s="56" t="n"/>
      <c r="H2667" s="55" t="n"/>
      <c r="I2667" s="62" t="n"/>
      <c r="J2667" s="58" t="n"/>
      <c r="K2667" s="63">
        <f>IF(tblMovement[[#This Row],[Source]]="","",IFERROR(INDEX(tblSources[Type],MATCH(tblMovement[[#This Row],[Source]],tblSources[Source],0)),"?"))</f>
        <v/>
      </c>
      <c r="L2667" s="63">
        <f>IF(tblMovement[[#This Row],[Destination]]="","",IFERROR(INDEX(tblDestinations[Type],MATCH(tblMovement[[#This Row],[Destination]],tblDestinations[Destination],0)),"?"))</f>
        <v/>
      </c>
      <c r="M2667" s="64">
        <f>IF(tblMovement[[#This Row],[Material]]="","",IF(LEFT(tblMovement[[#This Row],[Material]],3)="Ore",1,0))</f>
        <v/>
      </c>
      <c r="N2667" s="59">
        <f>IF(OR(tblMovement[[#This Row],[Tonnes_t]]="",tblMovement[[#This Row],[Grade_gpt]]=""),0,tblMovement[[#This Row],[Tonnes_t]]*tblMovement[[#This Row],[Grade_gpt]]/cfg_TroyOz)</f>
        <v/>
      </c>
      <c r="O2667" s="59">
        <f>IF(tblMovement[[#This Row],[Is_Ore]]=1,tblMovement[[#This Row],[Contained_oz]],0)</f>
        <v/>
      </c>
    </row>
    <row r="2668">
      <c r="A2668" s="54" t="n"/>
      <c r="B2668" s="61" t="n"/>
      <c r="C2668" s="61" t="n"/>
      <c r="D2668" s="61" t="n"/>
      <c r="E2668" s="61" t="n"/>
      <c r="F2668" s="55" t="n"/>
      <c r="G2668" s="56" t="n"/>
      <c r="H2668" s="55" t="n"/>
      <c r="I2668" s="62" t="n"/>
      <c r="J2668" s="58" t="n"/>
      <c r="K2668" s="63">
        <f>IF(tblMovement[[#This Row],[Source]]="","",IFERROR(INDEX(tblSources[Type],MATCH(tblMovement[[#This Row],[Source]],tblSources[Source],0)),"?"))</f>
        <v/>
      </c>
      <c r="L2668" s="63">
        <f>IF(tblMovement[[#This Row],[Destination]]="","",IFERROR(INDEX(tblDestinations[Type],MATCH(tblMovement[[#This Row],[Destination]],tblDestinations[Destination],0)),"?"))</f>
        <v/>
      </c>
      <c r="M2668" s="64">
        <f>IF(tblMovement[[#This Row],[Material]]="","",IF(LEFT(tblMovement[[#This Row],[Material]],3)="Ore",1,0))</f>
        <v/>
      </c>
      <c r="N2668" s="59">
        <f>IF(OR(tblMovement[[#This Row],[Tonnes_t]]="",tblMovement[[#This Row],[Grade_gpt]]=""),0,tblMovement[[#This Row],[Tonnes_t]]*tblMovement[[#This Row],[Grade_gpt]]/cfg_TroyOz)</f>
        <v/>
      </c>
      <c r="O2668" s="59">
        <f>IF(tblMovement[[#This Row],[Is_Ore]]=1,tblMovement[[#This Row],[Contained_oz]],0)</f>
        <v/>
      </c>
    </row>
    <row r="2669">
      <c r="A2669" s="54" t="n"/>
      <c r="B2669" s="61" t="n"/>
      <c r="C2669" s="61" t="n"/>
      <c r="D2669" s="61" t="n"/>
      <c r="E2669" s="61" t="n"/>
      <c r="F2669" s="55" t="n"/>
      <c r="G2669" s="56" t="n"/>
      <c r="H2669" s="55" t="n"/>
      <c r="I2669" s="62" t="n"/>
      <c r="J2669" s="58" t="n"/>
      <c r="K2669" s="63">
        <f>IF(tblMovement[[#This Row],[Source]]="","",IFERROR(INDEX(tblSources[Type],MATCH(tblMovement[[#This Row],[Source]],tblSources[Source],0)),"?"))</f>
        <v/>
      </c>
      <c r="L2669" s="63">
        <f>IF(tblMovement[[#This Row],[Destination]]="","",IFERROR(INDEX(tblDestinations[Type],MATCH(tblMovement[[#This Row],[Destination]],tblDestinations[Destination],0)),"?"))</f>
        <v/>
      </c>
      <c r="M2669" s="64">
        <f>IF(tblMovement[[#This Row],[Material]]="","",IF(LEFT(tblMovement[[#This Row],[Material]],3)="Ore",1,0))</f>
        <v/>
      </c>
      <c r="N2669" s="59">
        <f>IF(OR(tblMovement[[#This Row],[Tonnes_t]]="",tblMovement[[#This Row],[Grade_gpt]]=""),0,tblMovement[[#This Row],[Tonnes_t]]*tblMovement[[#This Row],[Grade_gpt]]/cfg_TroyOz)</f>
        <v/>
      </c>
      <c r="O2669" s="59">
        <f>IF(tblMovement[[#This Row],[Is_Ore]]=1,tblMovement[[#This Row],[Contained_oz]],0)</f>
        <v/>
      </c>
    </row>
    <row r="2670">
      <c r="A2670" s="54" t="n"/>
      <c r="B2670" s="61" t="n"/>
      <c r="C2670" s="61" t="n"/>
      <c r="D2670" s="61" t="n"/>
      <c r="E2670" s="61" t="n"/>
      <c r="F2670" s="55" t="n"/>
      <c r="G2670" s="56" t="n"/>
      <c r="H2670" s="55" t="n"/>
      <c r="I2670" s="62" t="n"/>
      <c r="J2670" s="58" t="n"/>
      <c r="K2670" s="63">
        <f>IF(tblMovement[[#This Row],[Source]]="","",IFERROR(INDEX(tblSources[Type],MATCH(tblMovement[[#This Row],[Source]],tblSources[Source],0)),"?"))</f>
        <v/>
      </c>
      <c r="L2670" s="63">
        <f>IF(tblMovement[[#This Row],[Destination]]="","",IFERROR(INDEX(tblDestinations[Type],MATCH(tblMovement[[#This Row],[Destination]],tblDestinations[Destination],0)),"?"))</f>
        <v/>
      </c>
      <c r="M2670" s="64">
        <f>IF(tblMovement[[#This Row],[Material]]="","",IF(LEFT(tblMovement[[#This Row],[Material]],3)="Ore",1,0))</f>
        <v/>
      </c>
      <c r="N2670" s="59">
        <f>IF(OR(tblMovement[[#This Row],[Tonnes_t]]="",tblMovement[[#This Row],[Grade_gpt]]=""),0,tblMovement[[#This Row],[Tonnes_t]]*tblMovement[[#This Row],[Grade_gpt]]/cfg_TroyOz)</f>
        <v/>
      </c>
      <c r="O2670" s="59">
        <f>IF(tblMovement[[#This Row],[Is_Ore]]=1,tblMovement[[#This Row],[Contained_oz]],0)</f>
        <v/>
      </c>
    </row>
    <row r="2671">
      <c r="A2671" s="54" t="n"/>
      <c r="B2671" s="61" t="n"/>
      <c r="C2671" s="61" t="n"/>
      <c r="D2671" s="61" t="n"/>
      <c r="E2671" s="61" t="n"/>
      <c r="F2671" s="55" t="n"/>
      <c r="G2671" s="56" t="n"/>
      <c r="H2671" s="55" t="n"/>
      <c r="I2671" s="62" t="n"/>
      <c r="J2671" s="58" t="n"/>
      <c r="K2671" s="63">
        <f>IF(tblMovement[[#This Row],[Source]]="","",IFERROR(INDEX(tblSources[Type],MATCH(tblMovement[[#This Row],[Source]],tblSources[Source],0)),"?"))</f>
        <v/>
      </c>
      <c r="L2671" s="63">
        <f>IF(tblMovement[[#This Row],[Destination]]="","",IFERROR(INDEX(tblDestinations[Type],MATCH(tblMovement[[#This Row],[Destination]],tblDestinations[Destination],0)),"?"))</f>
        <v/>
      </c>
      <c r="M2671" s="64">
        <f>IF(tblMovement[[#This Row],[Material]]="","",IF(LEFT(tblMovement[[#This Row],[Material]],3)="Ore",1,0))</f>
        <v/>
      </c>
      <c r="N2671" s="59">
        <f>IF(OR(tblMovement[[#This Row],[Tonnes_t]]="",tblMovement[[#This Row],[Grade_gpt]]=""),0,tblMovement[[#This Row],[Tonnes_t]]*tblMovement[[#This Row],[Grade_gpt]]/cfg_TroyOz)</f>
        <v/>
      </c>
      <c r="O2671" s="59">
        <f>IF(tblMovement[[#This Row],[Is_Ore]]=1,tblMovement[[#This Row],[Contained_oz]],0)</f>
        <v/>
      </c>
    </row>
    <row r="2672">
      <c r="A2672" s="54" t="n"/>
      <c r="B2672" s="61" t="n"/>
      <c r="C2672" s="61" t="n"/>
      <c r="D2672" s="61" t="n"/>
      <c r="E2672" s="61" t="n"/>
      <c r="F2672" s="55" t="n"/>
      <c r="G2672" s="56" t="n"/>
      <c r="H2672" s="55" t="n"/>
      <c r="I2672" s="62" t="n"/>
      <c r="J2672" s="58" t="n"/>
      <c r="K2672" s="63">
        <f>IF(tblMovement[[#This Row],[Source]]="","",IFERROR(INDEX(tblSources[Type],MATCH(tblMovement[[#This Row],[Source]],tblSources[Source],0)),"?"))</f>
        <v/>
      </c>
      <c r="L2672" s="63">
        <f>IF(tblMovement[[#This Row],[Destination]]="","",IFERROR(INDEX(tblDestinations[Type],MATCH(tblMovement[[#This Row],[Destination]],tblDestinations[Destination],0)),"?"))</f>
        <v/>
      </c>
      <c r="M2672" s="64">
        <f>IF(tblMovement[[#This Row],[Material]]="","",IF(LEFT(tblMovement[[#This Row],[Material]],3)="Ore",1,0))</f>
        <v/>
      </c>
      <c r="N2672" s="59">
        <f>IF(OR(tblMovement[[#This Row],[Tonnes_t]]="",tblMovement[[#This Row],[Grade_gpt]]=""),0,tblMovement[[#This Row],[Tonnes_t]]*tblMovement[[#This Row],[Grade_gpt]]/cfg_TroyOz)</f>
        <v/>
      </c>
      <c r="O2672" s="59">
        <f>IF(tblMovement[[#This Row],[Is_Ore]]=1,tblMovement[[#This Row],[Contained_oz]],0)</f>
        <v/>
      </c>
    </row>
    <row r="2673">
      <c r="A2673" s="54" t="n"/>
      <c r="B2673" s="61" t="n"/>
      <c r="C2673" s="61" t="n"/>
      <c r="D2673" s="61" t="n"/>
      <c r="E2673" s="61" t="n"/>
      <c r="F2673" s="55" t="n"/>
      <c r="G2673" s="56" t="n"/>
      <c r="H2673" s="55" t="n"/>
      <c r="I2673" s="62" t="n"/>
      <c r="J2673" s="58" t="n"/>
      <c r="K2673" s="63">
        <f>IF(tblMovement[[#This Row],[Source]]="","",IFERROR(INDEX(tblSources[Type],MATCH(tblMovement[[#This Row],[Source]],tblSources[Source],0)),"?"))</f>
        <v/>
      </c>
      <c r="L2673" s="63">
        <f>IF(tblMovement[[#This Row],[Destination]]="","",IFERROR(INDEX(tblDestinations[Type],MATCH(tblMovement[[#This Row],[Destination]],tblDestinations[Destination],0)),"?"))</f>
        <v/>
      </c>
      <c r="M2673" s="64">
        <f>IF(tblMovement[[#This Row],[Material]]="","",IF(LEFT(tblMovement[[#This Row],[Material]],3)="Ore",1,0))</f>
        <v/>
      </c>
      <c r="N2673" s="59">
        <f>IF(OR(tblMovement[[#This Row],[Tonnes_t]]="",tblMovement[[#This Row],[Grade_gpt]]=""),0,tblMovement[[#This Row],[Tonnes_t]]*tblMovement[[#This Row],[Grade_gpt]]/cfg_TroyOz)</f>
        <v/>
      </c>
      <c r="O2673" s="59">
        <f>IF(tblMovement[[#This Row],[Is_Ore]]=1,tblMovement[[#This Row],[Contained_oz]],0)</f>
        <v/>
      </c>
    </row>
    <row r="2674">
      <c r="A2674" s="54" t="n"/>
      <c r="B2674" s="61" t="n"/>
      <c r="C2674" s="61" t="n"/>
      <c r="D2674" s="61" t="n"/>
      <c r="E2674" s="61" t="n"/>
      <c r="F2674" s="55" t="n"/>
      <c r="G2674" s="56" t="n"/>
      <c r="H2674" s="55" t="n"/>
      <c r="I2674" s="62" t="n"/>
      <c r="J2674" s="58" t="n"/>
      <c r="K2674" s="63">
        <f>IF(tblMovement[[#This Row],[Source]]="","",IFERROR(INDEX(tblSources[Type],MATCH(tblMovement[[#This Row],[Source]],tblSources[Source],0)),"?"))</f>
        <v/>
      </c>
      <c r="L2674" s="63">
        <f>IF(tblMovement[[#This Row],[Destination]]="","",IFERROR(INDEX(tblDestinations[Type],MATCH(tblMovement[[#This Row],[Destination]],tblDestinations[Destination],0)),"?"))</f>
        <v/>
      </c>
      <c r="M2674" s="64">
        <f>IF(tblMovement[[#This Row],[Material]]="","",IF(LEFT(tblMovement[[#This Row],[Material]],3)="Ore",1,0))</f>
        <v/>
      </c>
      <c r="N2674" s="59">
        <f>IF(OR(tblMovement[[#This Row],[Tonnes_t]]="",tblMovement[[#This Row],[Grade_gpt]]=""),0,tblMovement[[#This Row],[Tonnes_t]]*tblMovement[[#This Row],[Grade_gpt]]/cfg_TroyOz)</f>
        <v/>
      </c>
      <c r="O2674" s="59">
        <f>IF(tblMovement[[#This Row],[Is_Ore]]=1,tblMovement[[#This Row],[Contained_oz]],0)</f>
        <v/>
      </c>
    </row>
    <row r="2675">
      <c r="A2675" s="54" t="n"/>
      <c r="B2675" s="61" t="n"/>
      <c r="C2675" s="61" t="n"/>
      <c r="D2675" s="61" t="n"/>
      <c r="E2675" s="61" t="n"/>
      <c r="F2675" s="55" t="n"/>
      <c r="G2675" s="56" t="n"/>
      <c r="H2675" s="55" t="n"/>
      <c r="I2675" s="62" t="n"/>
      <c r="J2675" s="58" t="n"/>
      <c r="K2675" s="63">
        <f>IF(tblMovement[[#This Row],[Source]]="","",IFERROR(INDEX(tblSources[Type],MATCH(tblMovement[[#This Row],[Source]],tblSources[Source],0)),"?"))</f>
        <v/>
      </c>
      <c r="L2675" s="63">
        <f>IF(tblMovement[[#This Row],[Destination]]="","",IFERROR(INDEX(tblDestinations[Type],MATCH(tblMovement[[#This Row],[Destination]],tblDestinations[Destination],0)),"?"))</f>
        <v/>
      </c>
      <c r="M2675" s="64">
        <f>IF(tblMovement[[#This Row],[Material]]="","",IF(LEFT(tblMovement[[#This Row],[Material]],3)="Ore",1,0))</f>
        <v/>
      </c>
      <c r="N2675" s="59">
        <f>IF(OR(tblMovement[[#This Row],[Tonnes_t]]="",tblMovement[[#This Row],[Grade_gpt]]=""),0,tblMovement[[#This Row],[Tonnes_t]]*tblMovement[[#This Row],[Grade_gpt]]/cfg_TroyOz)</f>
        <v/>
      </c>
      <c r="O2675" s="59">
        <f>IF(tblMovement[[#This Row],[Is_Ore]]=1,tblMovement[[#This Row],[Contained_oz]],0)</f>
        <v/>
      </c>
    </row>
    <row r="2676">
      <c r="A2676" s="54" t="n"/>
      <c r="B2676" s="61" t="n"/>
      <c r="C2676" s="61" t="n"/>
      <c r="D2676" s="61" t="n"/>
      <c r="E2676" s="61" t="n"/>
      <c r="F2676" s="55" t="n"/>
      <c r="G2676" s="56" t="n"/>
      <c r="H2676" s="55" t="n"/>
      <c r="I2676" s="62" t="n"/>
      <c r="J2676" s="58" t="n"/>
      <c r="K2676" s="63">
        <f>IF(tblMovement[[#This Row],[Source]]="","",IFERROR(INDEX(tblSources[Type],MATCH(tblMovement[[#This Row],[Source]],tblSources[Source],0)),"?"))</f>
        <v/>
      </c>
      <c r="L2676" s="63">
        <f>IF(tblMovement[[#This Row],[Destination]]="","",IFERROR(INDEX(tblDestinations[Type],MATCH(tblMovement[[#This Row],[Destination]],tblDestinations[Destination],0)),"?"))</f>
        <v/>
      </c>
      <c r="M2676" s="64">
        <f>IF(tblMovement[[#This Row],[Material]]="","",IF(LEFT(tblMovement[[#This Row],[Material]],3)="Ore",1,0))</f>
        <v/>
      </c>
      <c r="N2676" s="59">
        <f>IF(OR(tblMovement[[#This Row],[Tonnes_t]]="",tblMovement[[#This Row],[Grade_gpt]]=""),0,tblMovement[[#This Row],[Tonnes_t]]*tblMovement[[#This Row],[Grade_gpt]]/cfg_TroyOz)</f>
        <v/>
      </c>
      <c r="O2676" s="59">
        <f>IF(tblMovement[[#This Row],[Is_Ore]]=1,tblMovement[[#This Row],[Contained_oz]],0)</f>
        <v/>
      </c>
    </row>
    <row r="2677">
      <c r="A2677" s="54" t="n"/>
      <c r="B2677" s="61" t="n"/>
      <c r="C2677" s="61" t="n"/>
      <c r="D2677" s="61" t="n"/>
      <c r="E2677" s="61" t="n"/>
      <c r="F2677" s="55" t="n"/>
      <c r="G2677" s="56" t="n"/>
      <c r="H2677" s="55" t="n"/>
      <c r="I2677" s="62" t="n"/>
      <c r="J2677" s="58" t="n"/>
      <c r="K2677" s="63">
        <f>IF(tblMovement[[#This Row],[Source]]="","",IFERROR(INDEX(tblSources[Type],MATCH(tblMovement[[#This Row],[Source]],tblSources[Source],0)),"?"))</f>
        <v/>
      </c>
      <c r="L2677" s="63">
        <f>IF(tblMovement[[#This Row],[Destination]]="","",IFERROR(INDEX(tblDestinations[Type],MATCH(tblMovement[[#This Row],[Destination]],tblDestinations[Destination],0)),"?"))</f>
        <v/>
      </c>
      <c r="M2677" s="64">
        <f>IF(tblMovement[[#This Row],[Material]]="","",IF(LEFT(tblMovement[[#This Row],[Material]],3)="Ore",1,0))</f>
        <v/>
      </c>
      <c r="N2677" s="59">
        <f>IF(OR(tblMovement[[#This Row],[Tonnes_t]]="",tblMovement[[#This Row],[Grade_gpt]]=""),0,tblMovement[[#This Row],[Tonnes_t]]*tblMovement[[#This Row],[Grade_gpt]]/cfg_TroyOz)</f>
        <v/>
      </c>
      <c r="O2677" s="59">
        <f>IF(tblMovement[[#This Row],[Is_Ore]]=1,tblMovement[[#This Row],[Contained_oz]],0)</f>
        <v/>
      </c>
    </row>
    <row r="2678">
      <c r="A2678" s="54" t="n"/>
      <c r="B2678" s="61" t="n"/>
      <c r="C2678" s="61" t="n"/>
      <c r="D2678" s="61" t="n"/>
      <c r="E2678" s="61" t="n"/>
      <c r="F2678" s="55" t="n"/>
      <c r="G2678" s="56" t="n"/>
      <c r="H2678" s="55" t="n"/>
      <c r="I2678" s="62" t="n"/>
      <c r="J2678" s="58" t="n"/>
      <c r="K2678" s="63">
        <f>IF(tblMovement[[#This Row],[Source]]="","",IFERROR(INDEX(tblSources[Type],MATCH(tblMovement[[#This Row],[Source]],tblSources[Source],0)),"?"))</f>
        <v/>
      </c>
      <c r="L2678" s="63">
        <f>IF(tblMovement[[#This Row],[Destination]]="","",IFERROR(INDEX(tblDestinations[Type],MATCH(tblMovement[[#This Row],[Destination]],tblDestinations[Destination],0)),"?"))</f>
        <v/>
      </c>
      <c r="M2678" s="64">
        <f>IF(tblMovement[[#This Row],[Material]]="","",IF(LEFT(tblMovement[[#This Row],[Material]],3)="Ore",1,0))</f>
        <v/>
      </c>
      <c r="N2678" s="59">
        <f>IF(OR(tblMovement[[#This Row],[Tonnes_t]]="",tblMovement[[#This Row],[Grade_gpt]]=""),0,tblMovement[[#This Row],[Tonnes_t]]*tblMovement[[#This Row],[Grade_gpt]]/cfg_TroyOz)</f>
        <v/>
      </c>
      <c r="O2678" s="59">
        <f>IF(tblMovement[[#This Row],[Is_Ore]]=1,tblMovement[[#This Row],[Contained_oz]],0)</f>
        <v/>
      </c>
    </row>
    <row r="2679">
      <c r="A2679" s="54" t="n"/>
      <c r="B2679" s="61" t="n"/>
      <c r="C2679" s="61" t="n"/>
      <c r="D2679" s="61" t="n"/>
      <c r="E2679" s="61" t="n"/>
      <c r="F2679" s="55" t="n"/>
      <c r="G2679" s="56" t="n"/>
      <c r="H2679" s="55" t="n"/>
      <c r="I2679" s="62" t="n"/>
      <c r="J2679" s="58" t="n"/>
      <c r="K2679" s="63">
        <f>IF(tblMovement[[#This Row],[Source]]="","",IFERROR(INDEX(tblSources[Type],MATCH(tblMovement[[#This Row],[Source]],tblSources[Source],0)),"?"))</f>
        <v/>
      </c>
      <c r="L2679" s="63">
        <f>IF(tblMovement[[#This Row],[Destination]]="","",IFERROR(INDEX(tblDestinations[Type],MATCH(tblMovement[[#This Row],[Destination]],tblDestinations[Destination],0)),"?"))</f>
        <v/>
      </c>
      <c r="M2679" s="64">
        <f>IF(tblMovement[[#This Row],[Material]]="","",IF(LEFT(tblMovement[[#This Row],[Material]],3)="Ore",1,0))</f>
        <v/>
      </c>
      <c r="N2679" s="59">
        <f>IF(OR(tblMovement[[#This Row],[Tonnes_t]]="",tblMovement[[#This Row],[Grade_gpt]]=""),0,tblMovement[[#This Row],[Tonnes_t]]*tblMovement[[#This Row],[Grade_gpt]]/cfg_TroyOz)</f>
        <v/>
      </c>
      <c r="O2679" s="59">
        <f>IF(tblMovement[[#This Row],[Is_Ore]]=1,tblMovement[[#This Row],[Contained_oz]],0)</f>
        <v/>
      </c>
    </row>
    <row r="2680">
      <c r="A2680" s="54" t="n"/>
      <c r="B2680" s="61" t="n"/>
      <c r="C2680" s="61" t="n"/>
      <c r="D2680" s="61" t="n"/>
      <c r="E2680" s="61" t="n"/>
      <c r="F2680" s="55" t="n"/>
      <c r="G2680" s="56" t="n"/>
      <c r="H2680" s="55" t="n"/>
      <c r="I2680" s="62" t="n"/>
      <c r="J2680" s="58" t="n"/>
      <c r="K2680" s="63">
        <f>IF(tblMovement[[#This Row],[Source]]="","",IFERROR(INDEX(tblSources[Type],MATCH(tblMovement[[#This Row],[Source]],tblSources[Source],0)),"?"))</f>
        <v/>
      </c>
      <c r="L2680" s="63">
        <f>IF(tblMovement[[#This Row],[Destination]]="","",IFERROR(INDEX(tblDestinations[Type],MATCH(tblMovement[[#This Row],[Destination]],tblDestinations[Destination],0)),"?"))</f>
        <v/>
      </c>
      <c r="M2680" s="64">
        <f>IF(tblMovement[[#This Row],[Material]]="","",IF(LEFT(tblMovement[[#This Row],[Material]],3)="Ore",1,0))</f>
        <v/>
      </c>
      <c r="N2680" s="59">
        <f>IF(OR(tblMovement[[#This Row],[Tonnes_t]]="",tblMovement[[#This Row],[Grade_gpt]]=""),0,tblMovement[[#This Row],[Tonnes_t]]*tblMovement[[#This Row],[Grade_gpt]]/cfg_TroyOz)</f>
        <v/>
      </c>
      <c r="O2680" s="59">
        <f>IF(tblMovement[[#This Row],[Is_Ore]]=1,tblMovement[[#This Row],[Contained_oz]],0)</f>
        <v/>
      </c>
    </row>
    <row r="2681">
      <c r="A2681" s="54" t="n"/>
      <c r="B2681" s="61" t="n"/>
      <c r="C2681" s="61" t="n"/>
      <c r="D2681" s="61" t="n"/>
      <c r="E2681" s="61" t="n"/>
      <c r="F2681" s="55" t="n"/>
      <c r="G2681" s="56" t="n"/>
      <c r="H2681" s="55" t="n"/>
      <c r="I2681" s="62" t="n"/>
      <c r="J2681" s="58" t="n"/>
      <c r="K2681" s="63">
        <f>IF(tblMovement[[#This Row],[Source]]="","",IFERROR(INDEX(tblSources[Type],MATCH(tblMovement[[#This Row],[Source]],tblSources[Source],0)),"?"))</f>
        <v/>
      </c>
      <c r="L2681" s="63">
        <f>IF(tblMovement[[#This Row],[Destination]]="","",IFERROR(INDEX(tblDestinations[Type],MATCH(tblMovement[[#This Row],[Destination]],tblDestinations[Destination],0)),"?"))</f>
        <v/>
      </c>
      <c r="M2681" s="64">
        <f>IF(tblMovement[[#This Row],[Material]]="","",IF(LEFT(tblMovement[[#This Row],[Material]],3)="Ore",1,0))</f>
        <v/>
      </c>
      <c r="N2681" s="59">
        <f>IF(OR(tblMovement[[#This Row],[Tonnes_t]]="",tblMovement[[#This Row],[Grade_gpt]]=""),0,tblMovement[[#This Row],[Tonnes_t]]*tblMovement[[#This Row],[Grade_gpt]]/cfg_TroyOz)</f>
        <v/>
      </c>
      <c r="O2681" s="59">
        <f>IF(tblMovement[[#This Row],[Is_Ore]]=1,tblMovement[[#This Row],[Contained_oz]],0)</f>
        <v/>
      </c>
    </row>
    <row r="2682">
      <c r="A2682" s="54" t="n"/>
      <c r="B2682" s="61" t="n"/>
      <c r="C2682" s="61" t="n"/>
      <c r="D2682" s="61" t="n"/>
      <c r="E2682" s="61" t="n"/>
      <c r="F2682" s="55" t="n"/>
      <c r="G2682" s="56" t="n"/>
      <c r="H2682" s="55" t="n"/>
      <c r="I2682" s="62" t="n"/>
      <c r="J2682" s="58" t="n"/>
      <c r="K2682" s="63">
        <f>IF(tblMovement[[#This Row],[Source]]="","",IFERROR(INDEX(tblSources[Type],MATCH(tblMovement[[#This Row],[Source]],tblSources[Source],0)),"?"))</f>
        <v/>
      </c>
      <c r="L2682" s="63">
        <f>IF(tblMovement[[#This Row],[Destination]]="","",IFERROR(INDEX(tblDestinations[Type],MATCH(tblMovement[[#This Row],[Destination]],tblDestinations[Destination],0)),"?"))</f>
        <v/>
      </c>
      <c r="M2682" s="64">
        <f>IF(tblMovement[[#This Row],[Material]]="","",IF(LEFT(tblMovement[[#This Row],[Material]],3)="Ore",1,0))</f>
        <v/>
      </c>
      <c r="N2682" s="59">
        <f>IF(OR(tblMovement[[#This Row],[Tonnes_t]]="",tblMovement[[#This Row],[Grade_gpt]]=""),0,tblMovement[[#This Row],[Tonnes_t]]*tblMovement[[#This Row],[Grade_gpt]]/cfg_TroyOz)</f>
        <v/>
      </c>
      <c r="O2682" s="59">
        <f>IF(tblMovement[[#This Row],[Is_Ore]]=1,tblMovement[[#This Row],[Contained_oz]],0)</f>
        <v/>
      </c>
    </row>
    <row r="2683">
      <c r="A2683" s="54" t="n"/>
      <c r="B2683" s="61" t="n"/>
      <c r="C2683" s="61" t="n"/>
      <c r="D2683" s="61" t="n"/>
      <c r="E2683" s="61" t="n"/>
      <c r="F2683" s="55" t="n"/>
      <c r="G2683" s="56" t="n"/>
      <c r="H2683" s="55" t="n"/>
      <c r="I2683" s="62" t="n"/>
      <c r="J2683" s="58" t="n"/>
      <c r="K2683" s="63">
        <f>IF(tblMovement[[#This Row],[Source]]="","",IFERROR(INDEX(tblSources[Type],MATCH(tblMovement[[#This Row],[Source]],tblSources[Source],0)),"?"))</f>
        <v/>
      </c>
      <c r="L2683" s="63">
        <f>IF(tblMovement[[#This Row],[Destination]]="","",IFERROR(INDEX(tblDestinations[Type],MATCH(tblMovement[[#This Row],[Destination]],tblDestinations[Destination],0)),"?"))</f>
        <v/>
      </c>
      <c r="M2683" s="64">
        <f>IF(tblMovement[[#This Row],[Material]]="","",IF(LEFT(tblMovement[[#This Row],[Material]],3)="Ore",1,0))</f>
        <v/>
      </c>
      <c r="N2683" s="59">
        <f>IF(OR(tblMovement[[#This Row],[Tonnes_t]]="",tblMovement[[#This Row],[Grade_gpt]]=""),0,tblMovement[[#This Row],[Tonnes_t]]*tblMovement[[#This Row],[Grade_gpt]]/cfg_TroyOz)</f>
        <v/>
      </c>
      <c r="O2683" s="59">
        <f>IF(tblMovement[[#This Row],[Is_Ore]]=1,tblMovement[[#This Row],[Contained_oz]],0)</f>
        <v/>
      </c>
    </row>
    <row r="2684">
      <c r="A2684" s="54" t="n"/>
      <c r="B2684" s="61" t="n"/>
      <c r="C2684" s="61" t="n"/>
      <c r="D2684" s="61" t="n"/>
      <c r="E2684" s="61" t="n"/>
      <c r="F2684" s="55" t="n"/>
      <c r="G2684" s="56" t="n"/>
      <c r="H2684" s="55" t="n"/>
      <c r="I2684" s="62" t="n"/>
      <c r="J2684" s="58" t="n"/>
      <c r="K2684" s="63">
        <f>IF(tblMovement[[#This Row],[Source]]="","",IFERROR(INDEX(tblSources[Type],MATCH(tblMovement[[#This Row],[Source]],tblSources[Source],0)),"?"))</f>
        <v/>
      </c>
      <c r="L2684" s="63">
        <f>IF(tblMovement[[#This Row],[Destination]]="","",IFERROR(INDEX(tblDestinations[Type],MATCH(tblMovement[[#This Row],[Destination]],tblDestinations[Destination],0)),"?"))</f>
        <v/>
      </c>
      <c r="M2684" s="64">
        <f>IF(tblMovement[[#This Row],[Material]]="","",IF(LEFT(tblMovement[[#This Row],[Material]],3)="Ore",1,0))</f>
        <v/>
      </c>
      <c r="N2684" s="59">
        <f>IF(OR(tblMovement[[#This Row],[Tonnes_t]]="",tblMovement[[#This Row],[Grade_gpt]]=""),0,tblMovement[[#This Row],[Tonnes_t]]*tblMovement[[#This Row],[Grade_gpt]]/cfg_TroyOz)</f>
        <v/>
      </c>
      <c r="O2684" s="59">
        <f>IF(tblMovement[[#This Row],[Is_Ore]]=1,tblMovement[[#This Row],[Contained_oz]],0)</f>
        <v/>
      </c>
    </row>
    <row r="2685">
      <c r="A2685" s="54" t="n"/>
      <c r="B2685" s="61" t="n"/>
      <c r="C2685" s="61" t="n"/>
      <c r="D2685" s="61" t="n"/>
      <c r="E2685" s="61" t="n"/>
      <c r="F2685" s="55" t="n"/>
      <c r="G2685" s="56" t="n"/>
      <c r="H2685" s="55" t="n"/>
      <c r="I2685" s="62" t="n"/>
      <c r="J2685" s="58" t="n"/>
      <c r="K2685" s="63">
        <f>IF(tblMovement[[#This Row],[Source]]="","",IFERROR(INDEX(tblSources[Type],MATCH(tblMovement[[#This Row],[Source]],tblSources[Source],0)),"?"))</f>
        <v/>
      </c>
      <c r="L2685" s="63">
        <f>IF(tblMovement[[#This Row],[Destination]]="","",IFERROR(INDEX(tblDestinations[Type],MATCH(tblMovement[[#This Row],[Destination]],tblDestinations[Destination],0)),"?"))</f>
        <v/>
      </c>
      <c r="M2685" s="64">
        <f>IF(tblMovement[[#This Row],[Material]]="","",IF(LEFT(tblMovement[[#This Row],[Material]],3)="Ore",1,0))</f>
        <v/>
      </c>
      <c r="N2685" s="59">
        <f>IF(OR(tblMovement[[#This Row],[Tonnes_t]]="",tblMovement[[#This Row],[Grade_gpt]]=""),0,tblMovement[[#This Row],[Tonnes_t]]*tblMovement[[#This Row],[Grade_gpt]]/cfg_TroyOz)</f>
        <v/>
      </c>
      <c r="O2685" s="59">
        <f>IF(tblMovement[[#This Row],[Is_Ore]]=1,tblMovement[[#This Row],[Contained_oz]],0)</f>
        <v/>
      </c>
    </row>
    <row r="2686">
      <c r="A2686" s="54" t="n"/>
      <c r="B2686" s="61" t="n"/>
      <c r="C2686" s="61" t="n"/>
      <c r="D2686" s="61" t="n"/>
      <c r="E2686" s="61" t="n"/>
      <c r="F2686" s="55" t="n"/>
      <c r="G2686" s="56" t="n"/>
      <c r="H2686" s="55" t="n"/>
      <c r="I2686" s="62" t="n"/>
      <c r="J2686" s="58" t="n"/>
      <c r="K2686" s="63">
        <f>IF(tblMovement[[#This Row],[Source]]="","",IFERROR(INDEX(tblSources[Type],MATCH(tblMovement[[#This Row],[Source]],tblSources[Source],0)),"?"))</f>
        <v/>
      </c>
      <c r="L2686" s="63">
        <f>IF(tblMovement[[#This Row],[Destination]]="","",IFERROR(INDEX(tblDestinations[Type],MATCH(tblMovement[[#This Row],[Destination]],tblDestinations[Destination],0)),"?"))</f>
        <v/>
      </c>
      <c r="M2686" s="64">
        <f>IF(tblMovement[[#This Row],[Material]]="","",IF(LEFT(tblMovement[[#This Row],[Material]],3)="Ore",1,0))</f>
        <v/>
      </c>
      <c r="N2686" s="59">
        <f>IF(OR(tblMovement[[#This Row],[Tonnes_t]]="",tblMovement[[#This Row],[Grade_gpt]]=""),0,tblMovement[[#This Row],[Tonnes_t]]*tblMovement[[#This Row],[Grade_gpt]]/cfg_TroyOz)</f>
        <v/>
      </c>
      <c r="O2686" s="59">
        <f>IF(tblMovement[[#This Row],[Is_Ore]]=1,tblMovement[[#This Row],[Contained_oz]],0)</f>
        <v/>
      </c>
    </row>
    <row r="2687">
      <c r="A2687" s="54" t="n"/>
      <c r="B2687" s="61" t="n"/>
      <c r="C2687" s="61" t="n"/>
      <c r="D2687" s="61" t="n"/>
      <c r="E2687" s="61" t="n"/>
      <c r="F2687" s="55" t="n"/>
      <c r="G2687" s="56" t="n"/>
      <c r="H2687" s="55" t="n"/>
      <c r="I2687" s="62" t="n"/>
      <c r="J2687" s="58" t="n"/>
      <c r="K2687" s="63">
        <f>IF(tblMovement[[#This Row],[Source]]="","",IFERROR(INDEX(tblSources[Type],MATCH(tblMovement[[#This Row],[Source]],tblSources[Source],0)),"?"))</f>
        <v/>
      </c>
      <c r="L2687" s="63">
        <f>IF(tblMovement[[#This Row],[Destination]]="","",IFERROR(INDEX(tblDestinations[Type],MATCH(tblMovement[[#This Row],[Destination]],tblDestinations[Destination],0)),"?"))</f>
        <v/>
      </c>
      <c r="M2687" s="64">
        <f>IF(tblMovement[[#This Row],[Material]]="","",IF(LEFT(tblMovement[[#This Row],[Material]],3)="Ore",1,0))</f>
        <v/>
      </c>
      <c r="N2687" s="59">
        <f>IF(OR(tblMovement[[#This Row],[Tonnes_t]]="",tblMovement[[#This Row],[Grade_gpt]]=""),0,tblMovement[[#This Row],[Tonnes_t]]*tblMovement[[#This Row],[Grade_gpt]]/cfg_TroyOz)</f>
        <v/>
      </c>
      <c r="O2687" s="59">
        <f>IF(tblMovement[[#This Row],[Is_Ore]]=1,tblMovement[[#This Row],[Contained_oz]],0)</f>
        <v/>
      </c>
    </row>
    <row r="2688">
      <c r="A2688" s="54" t="n"/>
      <c r="B2688" s="61" t="n"/>
      <c r="C2688" s="61" t="n"/>
      <c r="D2688" s="61" t="n"/>
      <c r="E2688" s="61" t="n"/>
      <c r="F2688" s="55" t="n"/>
      <c r="G2688" s="56" t="n"/>
      <c r="H2688" s="55" t="n"/>
      <c r="I2688" s="62" t="n"/>
      <c r="J2688" s="58" t="n"/>
      <c r="K2688" s="63">
        <f>IF(tblMovement[[#This Row],[Source]]="","",IFERROR(INDEX(tblSources[Type],MATCH(tblMovement[[#This Row],[Source]],tblSources[Source],0)),"?"))</f>
        <v/>
      </c>
      <c r="L2688" s="63">
        <f>IF(tblMovement[[#This Row],[Destination]]="","",IFERROR(INDEX(tblDestinations[Type],MATCH(tblMovement[[#This Row],[Destination]],tblDestinations[Destination],0)),"?"))</f>
        <v/>
      </c>
      <c r="M2688" s="64">
        <f>IF(tblMovement[[#This Row],[Material]]="","",IF(LEFT(tblMovement[[#This Row],[Material]],3)="Ore",1,0))</f>
        <v/>
      </c>
      <c r="N2688" s="59">
        <f>IF(OR(tblMovement[[#This Row],[Tonnes_t]]="",tblMovement[[#This Row],[Grade_gpt]]=""),0,tblMovement[[#This Row],[Tonnes_t]]*tblMovement[[#This Row],[Grade_gpt]]/cfg_TroyOz)</f>
        <v/>
      </c>
      <c r="O2688" s="59">
        <f>IF(tblMovement[[#This Row],[Is_Ore]]=1,tblMovement[[#This Row],[Contained_oz]],0)</f>
        <v/>
      </c>
    </row>
    <row r="2689">
      <c r="A2689" s="54" t="n"/>
      <c r="B2689" s="61" t="n"/>
      <c r="C2689" s="61" t="n"/>
      <c r="D2689" s="61" t="n"/>
      <c r="E2689" s="61" t="n"/>
      <c r="F2689" s="55" t="n"/>
      <c r="G2689" s="56" t="n"/>
      <c r="H2689" s="55" t="n"/>
      <c r="I2689" s="62" t="n"/>
      <c r="J2689" s="58" t="n"/>
      <c r="K2689" s="63">
        <f>IF(tblMovement[[#This Row],[Source]]="","",IFERROR(INDEX(tblSources[Type],MATCH(tblMovement[[#This Row],[Source]],tblSources[Source],0)),"?"))</f>
        <v/>
      </c>
      <c r="L2689" s="63">
        <f>IF(tblMovement[[#This Row],[Destination]]="","",IFERROR(INDEX(tblDestinations[Type],MATCH(tblMovement[[#This Row],[Destination]],tblDestinations[Destination],0)),"?"))</f>
        <v/>
      </c>
      <c r="M2689" s="64">
        <f>IF(tblMovement[[#This Row],[Material]]="","",IF(LEFT(tblMovement[[#This Row],[Material]],3)="Ore",1,0))</f>
        <v/>
      </c>
      <c r="N2689" s="59">
        <f>IF(OR(tblMovement[[#This Row],[Tonnes_t]]="",tblMovement[[#This Row],[Grade_gpt]]=""),0,tblMovement[[#This Row],[Tonnes_t]]*tblMovement[[#This Row],[Grade_gpt]]/cfg_TroyOz)</f>
        <v/>
      </c>
      <c r="O2689" s="59">
        <f>IF(tblMovement[[#This Row],[Is_Ore]]=1,tblMovement[[#This Row],[Contained_oz]],0)</f>
        <v/>
      </c>
    </row>
    <row r="2690">
      <c r="A2690" s="54" t="n"/>
      <c r="B2690" s="61" t="n"/>
      <c r="C2690" s="61" t="n"/>
      <c r="D2690" s="61" t="n"/>
      <c r="E2690" s="61" t="n"/>
      <c r="F2690" s="55" t="n"/>
      <c r="G2690" s="56" t="n"/>
      <c r="H2690" s="55" t="n"/>
      <c r="I2690" s="62" t="n"/>
      <c r="J2690" s="58" t="n"/>
      <c r="K2690" s="63">
        <f>IF(tblMovement[[#This Row],[Source]]="","",IFERROR(INDEX(tblSources[Type],MATCH(tblMovement[[#This Row],[Source]],tblSources[Source],0)),"?"))</f>
        <v/>
      </c>
      <c r="L2690" s="63">
        <f>IF(tblMovement[[#This Row],[Destination]]="","",IFERROR(INDEX(tblDestinations[Type],MATCH(tblMovement[[#This Row],[Destination]],tblDestinations[Destination],0)),"?"))</f>
        <v/>
      </c>
      <c r="M2690" s="64">
        <f>IF(tblMovement[[#This Row],[Material]]="","",IF(LEFT(tblMovement[[#This Row],[Material]],3)="Ore",1,0))</f>
        <v/>
      </c>
      <c r="N2690" s="59">
        <f>IF(OR(tblMovement[[#This Row],[Tonnes_t]]="",tblMovement[[#This Row],[Grade_gpt]]=""),0,tblMovement[[#This Row],[Tonnes_t]]*tblMovement[[#This Row],[Grade_gpt]]/cfg_TroyOz)</f>
        <v/>
      </c>
      <c r="O2690" s="59">
        <f>IF(tblMovement[[#This Row],[Is_Ore]]=1,tblMovement[[#This Row],[Contained_oz]],0)</f>
        <v/>
      </c>
    </row>
    <row r="2691">
      <c r="A2691" s="54" t="n"/>
      <c r="B2691" s="61" t="n"/>
      <c r="C2691" s="61" t="n"/>
      <c r="D2691" s="61" t="n"/>
      <c r="E2691" s="61" t="n"/>
      <c r="F2691" s="55" t="n"/>
      <c r="G2691" s="56" t="n"/>
      <c r="H2691" s="55" t="n"/>
      <c r="I2691" s="62" t="n"/>
      <c r="J2691" s="58" t="n"/>
      <c r="K2691" s="63">
        <f>IF(tblMovement[[#This Row],[Source]]="","",IFERROR(INDEX(tblSources[Type],MATCH(tblMovement[[#This Row],[Source]],tblSources[Source],0)),"?"))</f>
        <v/>
      </c>
      <c r="L2691" s="63">
        <f>IF(tblMovement[[#This Row],[Destination]]="","",IFERROR(INDEX(tblDestinations[Type],MATCH(tblMovement[[#This Row],[Destination]],tblDestinations[Destination],0)),"?"))</f>
        <v/>
      </c>
      <c r="M2691" s="64">
        <f>IF(tblMovement[[#This Row],[Material]]="","",IF(LEFT(tblMovement[[#This Row],[Material]],3)="Ore",1,0))</f>
        <v/>
      </c>
      <c r="N2691" s="59">
        <f>IF(OR(tblMovement[[#This Row],[Tonnes_t]]="",tblMovement[[#This Row],[Grade_gpt]]=""),0,tblMovement[[#This Row],[Tonnes_t]]*tblMovement[[#This Row],[Grade_gpt]]/cfg_TroyOz)</f>
        <v/>
      </c>
      <c r="O2691" s="59">
        <f>IF(tblMovement[[#This Row],[Is_Ore]]=1,tblMovement[[#This Row],[Contained_oz]],0)</f>
        <v/>
      </c>
    </row>
    <row r="2692">
      <c r="A2692" s="54" t="n"/>
      <c r="B2692" s="61" t="n"/>
      <c r="C2692" s="61" t="n"/>
      <c r="D2692" s="61" t="n"/>
      <c r="E2692" s="61" t="n"/>
      <c r="F2692" s="55" t="n"/>
      <c r="G2692" s="56" t="n"/>
      <c r="H2692" s="55" t="n"/>
      <c r="I2692" s="62" t="n"/>
      <c r="J2692" s="58" t="n"/>
      <c r="K2692" s="63">
        <f>IF(tblMovement[[#This Row],[Source]]="","",IFERROR(INDEX(tblSources[Type],MATCH(tblMovement[[#This Row],[Source]],tblSources[Source],0)),"?"))</f>
        <v/>
      </c>
      <c r="L2692" s="63">
        <f>IF(tblMovement[[#This Row],[Destination]]="","",IFERROR(INDEX(tblDestinations[Type],MATCH(tblMovement[[#This Row],[Destination]],tblDestinations[Destination],0)),"?"))</f>
        <v/>
      </c>
      <c r="M2692" s="64">
        <f>IF(tblMovement[[#This Row],[Material]]="","",IF(LEFT(tblMovement[[#This Row],[Material]],3)="Ore",1,0))</f>
        <v/>
      </c>
      <c r="N2692" s="59">
        <f>IF(OR(tblMovement[[#This Row],[Tonnes_t]]="",tblMovement[[#This Row],[Grade_gpt]]=""),0,tblMovement[[#This Row],[Tonnes_t]]*tblMovement[[#This Row],[Grade_gpt]]/cfg_TroyOz)</f>
        <v/>
      </c>
      <c r="O2692" s="59">
        <f>IF(tblMovement[[#This Row],[Is_Ore]]=1,tblMovement[[#This Row],[Contained_oz]],0)</f>
        <v/>
      </c>
    </row>
    <row r="2693">
      <c r="A2693" s="54" t="n"/>
      <c r="B2693" s="61" t="n"/>
      <c r="C2693" s="61" t="n"/>
      <c r="D2693" s="61" t="n"/>
      <c r="E2693" s="61" t="n"/>
      <c r="F2693" s="55" t="n"/>
      <c r="G2693" s="56" t="n"/>
      <c r="H2693" s="55" t="n"/>
      <c r="I2693" s="62" t="n"/>
      <c r="J2693" s="58" t="n"/>
      <c r="K2693" s="63">
        <f>IF(tblMovement[[#This Row],[Source]]="","",IFERROR(INDEX(tblSources[Type],MATCH(tblMovement[[#This Row],[Source]],tblSources[Source],0)),"?"))</f>
        <v/>
      </c>
      <c r="L2693" s="63">
        <f>IF(tblMovement[[#This Row],[Destination]]="","",IFERROR(INDEX(tblDestinations[Type],MATCH(tblMovement[[#This Row],[Destination]],tblDestinations[Destination],0)),"?"))</f>
        <v/>
      </c>
      <c r="M2693" s="64">
        <f>IF(tblMovement[[#This Row],[Material]]="","",IF(LEFT(tblMovement[[#This Row],[Material]],3)="Ore",1,0))</f>
        <v/>
      </c>
      <c r="N2693" s="59">
        <f>IF(OR(tblMovement[[#This Row],[Tonnes_t]]="",tblMovement[[#This Row],[Grade_gpt]]=""),0,tblMovement[[#This Row],[Tonnes_t]]*tblMovement[[#This Row],[Grade_gpt]]/cfg_TroyOz)</f>
        <v/>
      </c>
      <c r="O2693" s="59">
        <f>IF(tblMovement[[#This Row],[Is_Ore]]=1,tblMovement[[#This Row],[Contained_oz]],0)</f>
        <v/>
      </c>
    </row>
    <row r="2694">
      <c r="A2694" s="54" t="n"/>
      <c r="B2694" s="61" t="n"/>
      <c r="C2694" s="61" t="n"/>
      <c r="D2694" s="61" t="n"/>
      <c r="E2694" s="61" t="n"/>
      <c r="F2694" s="55" t="n"/>
      <c r="G2694" s="56" t="n"/>
      <c r="H2694" s="55" t="n"/>
      <c r="I2694" s="62" t="n"/>
      <c r="J2694" s="58" t="n"/>
      <c r="K2694" s="63">
        <f>IF(tblMovement[[#This Row],[Source]]="","",IFERROR(INDEX(tblSources[Type],MATCH(tblMovement[[#This Row],[Source]],tblSources[Source],0)),"?"))</f>
        <v/>
      </c>
      <c r="L2694" s="63">
        <f>IF(tblMovement[[#This Row],[Destination]]="","",IFERROR(INDEX(tblDestinations[Type],MATCH(tblMovement[[#This Row],[Destination]],tblDestinations[Destination],0)),"?"))</f>
        <v/>
      </c>
      <c r="M2694" s="64">
        <f>IF(tblMovement[[#This Row],[Material]]="","",IF(LEFT(tblMovement[[#This Row],[Material]],3)="Ore",1,0))</f>
        <v/>
      </c>
      <c r="N2694" s="59">
        <f>IF(OR(tblMovement[[#This Row],[Tonnes_t]]="",tblMovement[[#This Row],[Grade_gpt]]=""),0,tblMovement[[#This Row],[Tonnes_t]]*tblMovement[[#This Row],[Grade_gpt]]/cfg_TroyOz)</f>
        <v/>
      </c>
      <c r="O2694" s="59">
        <f>IF(tblMovement[[#This Row],[Is_Ore]]=1,tblMovement[[#This Row],[Contained_oz]],0)</f>
        <v/>
      </c>
    </row>
    <row r="2695">
      <c r="A2695" s="54" t="n"/>
      <c r="B2695" s="61" t="n"/>
      <c r="C2695" s="61" t="n"/>
      <c r="D2695" s="61" t="n"/>
      <c r="E2695" s="61" t="n"/>
      <c r="F2695" s="55" t="n"/>
      <c r="G2695" s="56" t="n"/>
      <c r="H2695" s="55" t="n"/>
      <c r="I2695" s="62" t="n"/>
      <c r="J2695" s="58" t="n"/>
      <c r="K2695" s="63">
        <f>IF(tblMovement[[#This Row],[Source]]="","",IFERROR(INDEX(tblSources[Type],MATCH(tblMovement[[#This Row],[Source]],tblSources[Source],0)),"?"))</f>
        <v/>
      </c>
      <c r="L2695" s="63">
        <f>IF(tblMovement[[#This Row],[Destination]]="","",IFERROR(INDEX(tblDestinations[Type],MATCH(tblMovement[[#This Row],[Destination]],tblDestinations[Destination],0)),"?"))</f>
        <v/>
      </c>
      <c r="M2695" s="64">
        <f>IF(tblMovement[[#This Row],[Material]]="","",IF(LEFT(tblMovement[[#This Row],[Material]],3)="Ore",1,0))</f>
        <v/>
      </c>
      <c r="N2695" s="59">
        <f>IF(OR(tblMovement[[#This Row],[Tonnes_t]]="",tblMovement[[#This Row],[Grade_gpt]]=""),0,tblMovement[[#This Row],[Tonnes_t]]*tblMovement[[#This Row],[Grade_gpt]]/cfg_TroyOz)</f>
        <v/>
      </c>
      <c r="O2695" s="59">
        <f>IF(tblMovement[[#This Row],[Is_Ore]]=1,tblMovement[[#This Row],[Contained_oz]],0)</f>
        <v/>
      </c>
    </row>
    <row r="2696">
      <c r="A2696" s="54" t="n"/>
      <c r="B2696" s="61" t="n"/>
      <c r="C2696" s="61" t="n"/>
      <c r="D2696" s="61" t="n"/>
      <c r="E2696" s="61" t="n"/>
      <c r="F2696" s="55" t="n"/>
      <c r="G2696" s="56" t="n"/>
      <c r="H2696" s="55" t="n"/>
      <c r="I2696" s="62" t="n"/>
      <c r="J2696" s="58" t="n"/>
      <c r="K2696" s="63">
        <f>IF(tblMovement[[#This Row],[Source]]="","",IFERROR(INDEX(tblSources[Type],MATCH(tblMovement[[#This Row],[Source]],tblSources[Source],0)),"?"))</f>
        <v/>
      </c>
      <c r="L2696" s="63">
        <f>IF(tblMovement[[#This Row],[Destination]]="","",IFERROR(INDEX(tblDestinations[Type],MATCH(tblMovement[[#This Row],[Destination]],tblDestinations[Destination],0)),"?"))</f>
        <v/>
      </c>
      <c r="M2696" s="64">
        <f>IF(tblMovement[[#This Row],[Material]]="","",IF(LEFT(tblMovement[[#This Row],[Material]],3)="Ore",1,0))</f>
        <v/>
      </c>
      <c r="N2696" s="59">
        <f>IF(OR(tblMovement[[#This Row],[Tonnes_t]]="",tblMovement[[#This Row],[Grade_gpt]]=""),0,tblMovement[[#This Row],[Tonnes_t]]*tblMovement[[#This Row],[Grade_gpt]]/cfg_TroyOz)</f>
        <v/>
      </c>
      <c r="O2696" s="59">
        <f>IF(tblMovement[[#This Row],[Is_Ore]]=1,tblMovement[[#This Row],[Contained_oz]],0)</f>
        <v/>
      </c>
    </row>
    <row r="2697">
      <c r="A2697" s="54" t="n"/>
      <c r="B2697" s="61" t="n"/>
      <c r="C2697" s="61" t="n"/>
      <c r="D2697" s="61" t="n"/>
      <c r="E2697" s="61" t="n"/>
      <c r="F2697" s="55" t="n"/>
      <c r="G2697" s="56" t="n"/>
      <c r="H2697" s="55" t="n"/>
      <c r="I2697" s="62" t="n"/>
      <c r="J2697" s="58" t="n"/>
      <c r="K2697" s="63">
        <f>IF(tblMovement[[#This Row],[Source]]="","",IFERROR(INDEX(tblSources[Type],MATCH(tblMovement[[#This Row],[Source]],tblSources[Source],0)),"?"))</f>
        <v/>
      </c>
      <c r="L2697" s="63">
        <f>IF(tblMovement[[#This Row],[Destination]]="","",IFERROR(INDEX(tblDestinations[Type],MATCH(tblMovement[[#This Row],[Destination]],tblDestinations[Destination],0)),"?"))</f>
        <v/>
      </c>
      <c r="M2697" s="64">
        <f>IF(tblMovement[[#This Row],[Material]]="","",IF(LEFT(tblMovement[[#This Row],[Material]],3)="Ore",1,0))</f>
        <v/>
      </c>
      <c r="N2697" s="59">
        <f>IF(OR(tblMovement[[#This Row],[Tonnes_t]]="",tblMovement[[#This Row],[Grade_gpt]]=""),0,tblMovement[[#This Row],[Tonnes_t]]*tblMovement[[#This Row],[Grade_gpt]]/cfg_TroyOz)</f>
        <v/>
      </c>
      <c r="O2697" s="59">
        <f>IF(tblMovement[[#This Row],[Is_Ore]]=1,tblMovement[[#This Row],[Contained_oz]],0)</f>
        <v/>
      </c>
    </row>
    <row r="2698">
      <c r="A2698" s="54" t="n"/>
      <c r="B2698" s="61" t="n"/>
      <c r="C2698" s="61" t="n"/>
      <c r="D2698" s="61" t="n"/>
      <c r="E2698" s="61" t="n"/>
      <c r="F2698" s="55" t="n"/>
      <c r="G2698" s="56" t="n"/>
      <c r="H2698" s="55" t="n"/>
      <c r="I2698" s="62" t="n"/>
      <c r="J2698" s="58" t="n"/>
      <c r="K2698" s="63">
        <f>IF(tblMovement[[#This Row],[Source]]="","",IFERROR(INDEX(tblSources[Type],MATCH(tblMovement[[#This Row],[Source]],tblSources[Source],0)),"?"))</f>
        <v/>
      </c>
      <c r="L2698" s="63">
        <f>IF(tblMovement[[#This Row],[Destination]]="","",IFERROR(INDEX(tblDestinations[Type],MATCH(tblMovement[[#This Row],[Destination]],tblDestinations[Destination],0)),"?"))</f>
        <v/>
      </c>
      <c r="M2698" s="64">
        <f>IF(tblMovement[[#This Row],[Material]]="","",IF(LEFT(tblMovement[[#This Row],[Material]],3)="Ore",1,0))</f>
        <v/>
      </c>
      <c r="N2698" s="59">
        <f>IF(OR(tblMovement[[#This Row],[Tonnes_t]]="",tblMovement[[#This Row],[Grade_gpt]]=""),0,tblMovement[[#This Row],[Tonnes_t]]*tblMovement[[#This Row],[Grade_gpt]]/cfg_TroyOz)</f>
        <v/>
      </c>
      <c r="O2698" s="59">
        <f>IF(tblMovement[[#This Row],[Is_Ore]]=1,tblMovement[[#This Row],[Contained_oz]],0)</f>
        <v/>
      </c>
    </row>
    <row r="2699">
      <c r="A2699" s="54" t="n"/>
      <c r="B2699" s="61" t="n"/>
      <c r="C2699" s="61" t="n"/>
      <c r="D2699" s="61" t="n"/>
      <c r="E2699" s="61" t="n"/>
      <c r="F2699" s="55" t="n"/>
      <c r="G2699" s="56" t="n"/>
      <c r="H2699" s="55" t="n"/>
      <c r="I2699" s="62" t="n"/>
      <c r="J2699" s="58" t="n"/>
      <c r="K2699" s="63">
        <f>IF(tblMovement[[#This Row],[Source]]="","",IFERROR(INDEX(tblSources[Type],MATCH(tblMovement[[#This Row],[Source]],tblSources[Source],0)),"?"))</f>
        <v/>
      </c>
      <c r="L2699" s="63">
        <f>IF(tblMovement[[#This Row],[Destination]]="","",IFERROR(INDEX(tblDestinations[Type],MATCH(tblMovement[[#This Row],[Destination]],tblDestinations[Destination],0)),"?"))</f>
        <v/>
      </c>
      <c r="M2699" s="64">
        <f>IF(tblMovement[[#This Row],[Material]]="","",IF(LEFT(tblMovement[[#This Row],[Material]],3)="Ore",1,0))</f>
        <v/>
      </c>
      <c r="N2699" s="59">
        <f>IF(OR(tblMovement[[#This Row],[Tonnes_t]]="",tblMovement[[#This Row],[Grade_gpt]]=""),0,tblMovement[[#This Row],[Tonnes_t]]*tblMovement[[#This Row],[Grade_gpt]]/cfg_TroyOz)</f>
        <v/>
      </c>
      <c r="O2699" s="59">
        <f>IF(tblMovement[[#This Row],[Is_Ore]]=1,tblMovement[[#This Row],[Contained_oz]],0)</f>
        <v/>
      </c>
    </row>
    <row r="2700">
      <c r="A2700" s="54" t="n"/>
      <c r="B2700" s="61" t="n"/>
      <c r="C2700" s="61" t="n"/>
      <c r="D2700" s="61" t="n"/>
      <c r="E2700" s="61" t="n"/>
      <c r="F2700" s="55" t="n"/>
      <c r="G2700" s="56" t="n"/>
      <c r="H2700" s="55" t="n"/>
      <c r="I2700" s="62" t="n"/>
      <c r="J2700" s="58" t="n"/>
      <c r="K2700" s="63">
        <f>IF(tblMovement[[#This Row],[Source]]="","",IFERROR(INDEX(tblSources[Type],MATCH(tblMovement[[#This Row],[Source]],tblSources[Source],0)),"?"))</f>
        <v/>
      </c>
      <c r="L2700" s="63">
        <f>IF(tblMovement[[#This Row],[Destination]]="","",IFERROR(INDEX(tblDestinations[Type],MATCH(tblMovement[[#This Row],[Destination]],tblDestinations[Destination],0)),"?"))</f>
        <v/>
      </c>
      <c r="M2700" s="64">
        <f>IF(tblMovement[[#This Row],[Material]]="","",IF(LEFT(tblMovement[[#This Row],[Material]],3)="Ore",1,0))</f>
        <v/>
      </c>
      <c r="N2700" s="59">
        <f>IF(OR(tblMovement[[#This Row],[Tonnes_t]]="",tblMovement[[#This Row],[Grade_gpt]]=""),0,tblMovement[[#This Row],[Tonnes_t]]*tblMovement[[#This Row],[Grade_gpt]]/cfg_TroyOz)</f>
        <v/>
      </c>
      <c r="O2700" s="59">
        <f>IF(tblMovement[[#This Row],[Is_Ore]]=1,tblMovement[[#This Row],[Contained_oz]],0)</f>
        <v/>
      </c>
    </row>
    <row r="2701">
      <c r="A2701" s="54" t="n"/>
      <c r="B2701" s="61" t="n"/>
      <c r="C2701" s="61" t="n"/>
      <c r="D2701" s="61" t="n"/>
      <c r="E2701" s="61" t="n"/>
      <c r="F2701" s="55" t="n"/>
      <c r="G2701" s="56" t="n"/>
      <c r="H2701" s="55" t="n"/>
      <c r="I2701" s="62" t="n"/>
      <c r="J2701" s="58" t="n"/>
      <c r="K2701" s="63">
        <f>IF(tblMovement[[#This Row],[Source]]="","",IFERROR(INDEX(tblSources[Type],MATCH(tblMovement[[#This Row],[Source]],tblSources[Source],0)),"?"))</f>
        <v/>
      </c>
      <c r="L2701" s="63">
        <f>IF(tblMovement[[#This Row],[Destination]]="","",IFERROR(INDEX(tblDestinations[Type],MATCH(tblMovement[[#This Row],[Destination]],tblDestinations[Destination],0)),"?"))</f>
        <v/>
      </c>
      <c r="M2701" s="64">
        <f>IF(tblMovement[[#This Row],[Material]]="","",IF(LEFT(tblMovement[[#This Row],[Material]],3)="Ore",1,0))</f>
        <v/>
      </c>
      <c r="N2701" s="59">
        <f>IF(OR(tblMovement[[#This Row],[Tonnes_t]]="",tblMovement[[#This Row],[Grade_gpt]]=""),0,tblMovement[[#This Row],[Tonnes_t]]*tblMovement[[#This Row],[Grade_gpt]]/cfg_TroyOz)</f>
        <v/>
      </c>
      <c r="O2701" s="59">
        <f>IF(tblMovement[[#This Row],[Is_Ore]]=1,tblMovement[[#This Row],[Contained_oz]],0)</f>
        <v/>
      </c>
    </row>
    <row r="2702">
      <c r="A2702" s="54" t="n"/>
      <c r="B2702" s="61" t="n"/>
      <c r="C2702" s="61" t="n"/>
      <c r="D2702" s="61" t="n"/>
      <c r="E2702" s="61" t="n"/>
      <c r="F2702" s="55" t="n"/>
      <c r="G2702" s="56" t="n"/>
      <c r="H2702" s="55" t="n"/>
      <c r="I2702" s="62" t="n"/>
      <c r="J2702" s="58" t="n"/>
      <c r="K2702" s="63">
        <f>IF(tblMovement[[#This Row],[Source]]="","",IFERROR(INDEX(tblSources[Type],MATCH(tblMovement[[#This Row],[Source]],tblSources[Source],0)),"?"))</f>
        <v/>
      </c>
      <c r="L2702" s="63">
        <f>IF(tblMovement[[#This Row],[Destination]]="","",IFERROR(INDEX(tblDestinations[Type],MATCH(tblMovement[[#This Row],[Destination]],tblDestinations[Destination],0)),"?"))</f>
        <v/>
      </c>
      <c r="M2702" s="64">
        <f>IF(tblMovement[[#This Row],[Material]]="","",IF(LEFT(tblMovement[[#This Row],[Material]],3)="Ore",1,0))</f>
        <v/>
      </c>
      <c r="N2702" s="59">
        <f>IF(OR(tblMovement[[#This Row],[Tonnes_t]]="",tblMovement[[#This Row],[Grade_gpt]]=""),0,tblMovement[[#This Row],[Tonnes_t]]*tblMovement[[#This Row],[Grade_gpt]]/cfg_TroyOz)</f>
        <v/>
      </c>
      <c r="O2702" s="59">
        <f>IF(tblMovement[[#This Row],[Is_Ore]]=1,tblMovement[[#This Row],[Contained_oz]],0)</f>
        <v/>
      </c>
    </row>
    <row r="2703">
      <c r="A2703" s="54" t="n"/>
      <c r="B2703" s="61" t="n"/>
      <c r="C2703" s="61" t="n"/>
      <c r="D2703" s="61" t="n"/>
      <c r="E2703" s="61" t="n"/>
      <c r="F2703" s="55" t="n"/>
      <c r="G2703" s="56" t="n"/>
      <c r="H2703" s="55" t="n"/>
      <c r="I2703" s="62" t="n"/>
      <c r="J2703" s="58" t="n"/>
      <c r="K2703" s="63">
        <f>IF(tblMovement[[#This Row],[Source]]="","",IFERROR(INDEX(tblSources[Type],MATCH(tblMovement[[#This Row],[Source]],tblSources[Source],0)),"?"))</f>
        <v/>
      </c>
      <c r="L2703" s="63">
        <f>IF(tblMovement[[#This Row],[Destination]]="","",IFERROR(INDEX(tblDestinations[Type],MATCH(tblMovement[[#This Row],[Destination]],tblDestinations[Destination],0)),"?"))</f>
        <v/>
      </c>
      <c r="M2703" s="64">
        <f>IF(tblMovement[[#This Row],[Material]]="","",IF(LEFT(tblMovement[[#This Row],[Material]],3)="Ore",1,0))</f>
        <v/>
      </c>
      <c r="N2703" s="59">
        <f>IF(OR(tblMovement[[#This Row],[Tonnes_t]]="",tblMovement[[#This Row],[Grade_gpt]]=""),0,tblMovement[[#This Row],[Tonnes_t]]*tblMovement[[#This Row],[Grade_gpt]]/cfg_TroyOz)</f>
        <v/>
      </c>
      <c r="O2703" s="59">
        <f>IF(tblMovement[[#This Row],[Is_Ore]]=1,tblMovement[[#This Row],[Contained_oz]],0)</f>
        <v/>
      </c>
    </row>
    <row r="2704">
      <c r="A2704" s="54" t="n"/>
      <c r="B2704" s="61" t="n"/>
      <c r="C2704" s="61" t="n"/>
      <c r="D2704" s="61" t="n"/>
      <c r="E2704" s="61" t="n"/>
      <c r="F2704" s="55" t="n"/>
      <c r="G2704" s="56" t="n"/>
      <c r="H2704" s="55" t="n"/>
      <c r="I2704" s="62" t="n"/>
      <c r="J2704" s="58" t="n"/>
      <c r="K2704" s="63">
        <f>IF(tblMovement[[#This Row],[Source]]="","",IFERROR(INDEX(tblSources[Type],MATCH(tblMovement[[#This Row],[Source]],tblSources[Source],0)),"?"))</f>
        <v/>
      </c>
      <c r="L2704" s="63">
        <f>IF(tblMovement[[#This Row],[Destination]]="","",IFERROR(INDEX(tblDestinations[Type],MATCH(tblMovement[[#This Row],[Destination]],tblDestinations[Destination],0)),"?"))</f>
        <v/>
      </c>
      <c r="M2704" s="64">
        <f>IF(tblMovement[[#This Row],[Material]]="","",IF(LEFT(tblMovement[[#This Row],[Material]],3)="Ore",1,0))</f>
        <v/>
      </c>
      <c r="N2704" s="59">
        <f>IF(OR(tblMovement[[#This Row],[Tonnes_t]]="",tblMovement[[#This Row],[Grade_gpt]]=""),0,tblMovement[[#This Row],[Tonnes_t]]*tblMovement[[#This Row],[Grade_gpt]]/cfg_TroyOz)</f>
        <v/>
      </c>
      <c r="O2704" s="59">
        <f>IF(tblMovement[[#This Row],[Is_Ore]]=1,tblMovement[[#This Row],[Contained_oz]],0)</f>
        <v/>
      </c>
    </row>
    <row r="2705">
      <c r="A2705" s="54" t="n"/>
      <c r="B2705" s="61" t="n"/>
      <c r="C2705" s="61" t="n"/>
      <c r="D2705" s="61" t="n"/>
      <c r="E2705" s="61" t="n"/>
      <c r="F2705" s="55" t="n"/>
      <c r="G2705" s="56" t="n"/>
      <c r="H2705" s="55" t="n"/>
      <c r="I2705" s="62" t="n"/>
      <c r="J2705" s="58" t="n"/>
      <c r="K2705" s="63">
        <f>IF(tblMovement[[#This Row],[Source]]="","",IFERROR(INDEX(tblSources[Type],MATCH(tblMovement[[#This Row],[Source]],tblSources[Source],0)),"?"))</f>
        <v/>
      </c>
      <c r="L2705" s="63">
        <f>IF(tblMovement[[#This Row],[Destination]]="","",IFERROR(INDEX(tblDestinations[Type],MATCH(tblMovement[[#This Row],[Destination]],tblDestinations[Destination],0)),"?"))</f>
        <v/>
      </c>
      <c r="M2705" s="64">
        <f>IF(tblMovement[[#This Row],[Material]]="","",IF(LEFT(tblMovement[[#This Row],[Material]],3)="Ore",1,0))</f>
        <v/>
      </c>
      <c r="N2705" s="59">
        <f>IF(OR(tblMovement[[#This Row],[Tonnes_t]]="",tblMovement[[#This Row],[Grade_gpt]]=""),0,tblMovement[[#This Row],[Tonnes_t]]*tblMovement[[#This Row],[Grade_gpt]]/cfg_TroyOz)</f>
        <v/>
      </c>
      <c r="O2705" s="59">
        <f>IF(tblMovement[[#This Row],[Is_Ore]]=1,tblMovement[[#This Row],[Contained_oz]],0)</f>
        <v/>
      </c>
    </row>
    <row r="2706">
      <c r="A2706" s="54" t="n"/>
      <c r="B2706" s="61" t="n"/>
      <c r="C2706" s="61" t="n"/>
      <c r="D2706" s="61" t="n"/>
      <c r="E2706" s="61" t="n"/>
      <c r="F2706" s="55" t="n"/>
      <c r="G2706" s="56" t="n"/>
      <c r="H2706" s="55" t="n"/>
      <c r="I2706" s="62" t="n"/>
      <c r="J2706" s="58" t="n"/>
      <c r="K2706" s="63">
        <f>IF(tblMovement[[#This Row],[Source]]="","",IFERROR(INDEX(tblSources[Type],MATCH(tblMovement[[#This Row],[Source]],tblSources[Source],0)),"?"))</f>
        <v/>
      </c>
      <c r="L2706" s="63">
        <f>IF(tblMovement[[#This Row],[Destination]]="","",IFERROR(INDEX(tblDestinations[Type],MATCH(tblMovement[[#This Row],[Destination]],tblDestinations[Destination],0)),"?"))</f>
        <v/>
      </c>
      <c r="M2706" s="64">
        <f>IF(tblMovement[[#This Row],[Material]]="","",IF(LEFT(tblMovement[[#This Row],[Material]],3)="Ore",1,0))</f>
        <v/>
      </c>
      <c r="N2706" s="59">
        <f>IF(OR(tblMovement[[#This Row],[Tonnes_t]]="",tblMovement[[#This Row],[Grade_gpt]]=""),0,tblMovement[[#This Row],[Tonnes_t]]*tblMovement[[#This Row],[Grade_gpt]]/cfg_TroyOz)</f>
        <v/>
      </c>
      <c r="O2706" s="59">
        <f>IF(tblMovement[[#This Row],[Is_Ore]]=1,tblMovement[[#This Row],[Contained_oz]],0)</f>
        <v/>
      </c>
    </row>
    <row r="2707">
      <c r="A2707" s="54" t="n"/>
      <c r="B2707" s="61" t="n"/>
      <c r="C2707" s="61" t="n"/>
      <c r="D2707" s="61" t="n"/>
      <c r="E2707" s="61" t="n"/>
      <c r="F2707" s="55" t="n"/>
      <c r="G2707" s="56" t="n"/>
      <c r="H2707" s="55" t="n"/>
      <c r="I2707" s="62" t="n"/>
      <c r="J2707" s="58" t="n"/>
      <c r="K2707" s="63">
        <f>IF(tblMovement[[#This Row],[Source]]="","",IFERROR(INDEX(tblSources[Type],MATCH(tblMovement[[#This Row],[Source]],tblSources[Source],0)),"?"))</f>
        <v/>
      </c>
      <c r="L2707" s="63">
        <f>IF(tblMovement[[#This Row],[Destination]]="","",IFERROR(INDEX(tblDestinations[Type],MATCH(tblMovement[[#This Row],[Destination]],tblDestinations[Destination],0)),"?"))</f>
        <v/>
      </c>
      <c r="M2707" s="64">
        <f>IF(tblMovement[[#This Row],[Material]]="","",IF(LEFT(tblMovement[[#This Row],[Material]],3)="Ore",1,0))</f>
        <v/>
      </c>
      <c r="N2707" s="59">
        <f>IF(OR(tblMovement[[#This Row],[Tonnes_t]]="",tblMovement[[#This Row],[Grade_gpt]]=""),0,tblMovement[[#This Row],[Tonnes_t]]*tblMovement[[#This Row],[Grade_gpt]]/cfg_TroyOz)</f>
        <v/>
      </c>
      <c r="O2707" s="59">
        <f>IF(tblMovement[[#This Row],[Is_Ore]]=1,tblMovement[[#This Row],[Contained_oz]],0)</f>
        <v/>
      </c>
    </row>
    <row r="2708">
      <c r="A2708" s="54" t="n"/>
      <c r="B2708" s="61" t="n"/>
      <c r="C2708" s="61" t="n"/>
      <c r="D2708" s="61" t="n"/>
      <c r="E2708" s="61" t="n"/>
      <c r="F2708" s="55" t="n"/>
      <c r="G2708" s="56" t="n"/>
      <c r="H2708" s="55" t="n"/>
      <c r="I2708" s="62" t="n"/>
      <c r="J2708" s="58" t="n"/>
      <c r="K2708" s="63">
        <f>IF(tblMovement[[#This Row],[Source]]="","",IFERROR(INDEX(tblSources[Type],MATCH(tblMovement[[#This Row],[Source]],tblSources[Source],0)),"?"))</f>
        <v/>
      </c>
      <c r="L2708" s="63">
        <f>IF(tblMovement[[#This Row],[Destination]]="","",IFERROR(INDEX(tblDestinations[Type],MATCH(tblMovement[[#This Row],[Destination]],tblDestinations[Destination],0)),"?"))</f>
        <v/>
      </c>
      <c r="M2708" s="64">
        <f>IF(tblMovement[[#This Row],[Material]]="","",IF(LEFT(tblMovement[[#This Row],[Material]],3)="Ore",1,0))</f>
        <v/>
      </c>
      <c r="N2708" s="59">
        <f>IF(OR(tblMovement[[#This Row],[Tonnes_t]]="",tblMovement[[#This Row],[Grade_gpt]]=""),0,tblMovement[[#This Row],[Tonnes_t]]*tblMovement[[#This Row],[Grade_gpt]]/cfg_TroyOz)</f>
        <v/>
      </c>
      <c r="O2708" s="59">
        <f>IF(tblMovement[[#This Row],[Is_Ore]]=1,tblMovement[[#This Row],[Contained_oz]],0)</f>
        <v/>
      </c>
    </row>
    <row r="2709">
      <c r="A2709" s="54" t="n"/>
      <c r="B2709" s="61" t="n"/>
      <c r="C2709" s="61" t="n"/>
      <c r="D2709" s="61" t="n"/>
      <c r="E2709" s="61" t="n"/>
      <c r="F2709" s="55" t="n"/>
      <c r="G2709" s="56" t="n"/>
      <c r="H2709" s="55" t="n"/>
      <c r="I2709" s="62" t="n"/>
      <c r="J2709" s="58" t="n"/>
      <c r="K2709" s="63">
        <f>IF(tblMovement[[#This Row],[Source]]="","",IFERROR(INDEX(tblSources[Type],MATCH(tblMovement[[#This Row],[Source]],tblSources[Source],0)),"?"))</f>
        <v/>
      </c>
      <c r="L2709" s="63">
        <f>IF(tblMovement[[#This Row],[Destination]]="","",IFERROR(INDEX(tblDestinations[Type],MATCH(tblMovement[[#This Row],[Destination]],tblDestinations[Destination],0)),"?"))</f>
        <v/>
      </c>
      <c r="M2709" s="64">
        <f>IF(tblMovement[[#This Row],[Material]]="","",IF(LEFT(tblMovement[[#This Row],[Material]],3)="Ore",1,0))</f>
        <v/>
      </c>
      <c r="N2709" s="59">
        <f>IF(OR(tblMovement[[#This Row],[Tonnes_t]]="",tblMovement[[#This Row],[Grade_gpt]]=""),0,tblMovement[[#This Row],[Tonnes_t]]*tblMovement[[#This Row],[Grade_gpt]]/cfg_TroyOz)</f>
        <v/>
      </c>
      <c r="O2709" s="59">
        <f>IF(tblMovement[[#This Row],[Is_Ore]]=1,tblMovement[[#This Row],[Contained_oz]],0)</f>
        <v/>
      </c>
    </row>
    <row r="2710">
      <c r="A2710" s="54" t="n"/>
      <c r="B2710" s="61" t="n"/>
      <c r="C2710" s="61" t="n"/>
      <c r="D2710" s="61" t="n"/>
      <c r="E2710" s="61" t="n"/>
      <c r="F2710" s="55" t="n"/>
      <c r="G2710" s="56" t="n"/>
      <c r="H2710" s="55" t="n"/>
      <c r="I2710" s="62" t="n"/>
      <c r="J2710" s="58" t="n"/>
      <c r="K2710" s="63">
        <f>IF(tblMovement[[#This Row],[Source]]="","",IFERROR(INDEX(tblSources[Type],MATCH(tblMovement[[#This Row],[Source]],tblSources[Source],0)),"?"))</f>
        <v/>
      </c>
      <c r="L2710" s="63">
        <f>IF(tblMovement[[#This Row],[Destination]]="","",IFERROR(INDEX(tblDestinations[Type],MATCH(tblMovement[[#This Row],[Destination]],tblDestinations[Destination],0)),"?"))</f>
        <v/>
      </c>
      <c r="M2710" s="64">
        <f>IF(tblMovement[[#This Row],[Material]]="","",IF(LEFT(tblMovement[[#This Row],[Material]],3)="Ore",1,0))</f>
        <v/>
      </c>
      <c r="N2710" s="59">
        <f>IF(OR(tblMovement[[#This Row],[Tonnes_t]]="",tblMovement[[#This Row],[Grade_gpt]]=""),0,tblMovement[[#This Row],[Tonnes_t]]*tblMovement[[#This Row],[Grade_gpt]]/cfg_TroyOz)</f>
        <v/>
      </c>
      <c r="O2710" s="59">
        <f>IF(tblMovement[[#This Row],[Is_Ore]]=1,tblMovement[[#This Row],[Contained_oz]],0)</f>
        <v/>
      </c>
    </row>
    <row r="2711">
      <c r="A2711" s="54" t="n"/>
      <c r="B2711" s="61" t="n"/>
      <c r="C2711" s="61" t="n"/>
      <c r="D2711" s="61" t="n"/>
      <c r="E2711" s="61" t="n"/>
      <c r="F2711" s="55" t="n"/>
      <c r="G2711" s="56" t="n"/>
      <c r="H2711" s="55" t="n"/>
      <c r="I2711" s="62" t="n"/>
      <c r="J2711" s="58" t="n"/>
      <c r="K2711" s="63">
        <f>IF(tblMovement[[#This Row],[Source]]="","",IFERROR(INDEX(tblSources[Type],MATCH(tblMovement[[#This Row],[Source]],tblSources[Source],0)),"?"))</f>
        <v/>
      </c>
      <c r="L2711" s="63">
        <f>IF(tblMovement[[#This Row],[Destination]]="","",IFERROR(INDEX(tblDestinations[Type],MATCH(tblMovement[[#This Row],[Destination]],tblDestinations[Destination],0)),"?"))</f>
        <v/>
      </c>
      <c r="M2711" s="64">
        <f>IF(tblMovement[[#This Row],[Material]]="","",IF(LEFT(tblMovement[[#This Row],[Material]],3)="Ore",1,0))</f>
        <v/>
      </c>
      <c r="N2711" s="59">
        <f>IF(OR(tblMovement[[#This Row],[Tonnes_t]]="",tblMovement[[#This Row],[Grade_gpt]]=""),0,tblMovement[[#This Row],[Tonnes_t]]*tblMovement[[#This Row],[Grade_gpt]]/cfg_TroyOz)</f>
        <v/>
      </c>
      <c r="O2711" s="59">
        <f>IF(tblMovement[[#This Row],[Is_Ore]]=1,tblMovement[[#This Row],[Contained_oz]],0)</f>
        <v/>
      </c>
    </row>
    <row r="2712">
      <c r="A2712" s="54" t="n"/>
      <c r="B2712" s="61" t="n"/>
      <c r="C2712" s="61" t="n"/>
      <c r="D2712" s="61" t="n"/>
      <c r="E2712" s="61" t="n"/>
      <c r="F2712" s="55" t="n"/>
      <c r="G2712" s="56" t="n"/>
      <c r="H2712" s="55" t="n"/>
      <c r="I2712" s="62" t="n"/>
      <c r="J2712" s="58" t="n"/>
      <c r="K2712" s="63">
        <f>IF(tblMovement[[#This Row],[Source]]="","",IFERROR(INDEX(tblSources[Type],MATCH(tblMovement[[#This Row],[Source]],tblSources[Source],0)),"?"))</f>
        <v/>
      </c>
      <c r="L2712" s="63">
        <f>IF(tblMovement[[#This Row],[Destination]]="","",IFERROR(INDEX(tblDestinations[Type],MATCH(tblMovement[[#This Row],[Destination]],tblDestinations[Destination],0)),"?"))</f>
        <v/>
      </c>
      <c r="M2712" s="64">
        <f>IF(tblMovement[[#This Row],[Material]]="","",IF(LEFT(tblMovement[[#This Row],[Material]],3)="Ore",1,0))</f>
        <v/>
      </c>
      <c r="N2712" s="59">
        <f>IF(OR(tblMovement[[#This Row],[Tonnes_t]]="",tblMovement[[#This Row],[Grade_gpt]]=""),0,tblMovement[[#This Row],[Tonnes_t]]*tblMovement[[#This Row],[Grade_gpt]]/cfg_TroyOz)</f>
        <v/>
      </c>
      <c r="O2712" s="59">
        <f>IF(tblMovement[[#This Row],[Is_Ore]]=1,tblMovement[[#This Row],[Contained_oz]],0)</f>
        <v/>
      </c>
    </row>
    <row r="2713">
      <c r="A2713" s="54" t="n"/>
      <c r="B2713" s="61" t="n"/>
      <c r="C2713" s="61" t="n"/>
      <c r="D2713" s="61" t="n"/>
      <c r="E2713" s="61" t="n"/>
      <c r="F2713" s="55" t="n"/>
      <c r="G2713" s="56" t="n"/>
      <c r="H2713" s="55" t="n"/>
      <c r="I2713" s="62" t="n"/>
      <c r="J2713" s="58" t="n"/>
      <c r="K2713" s="63">
        <f>IF(tblMovement[[#This Row],[Source]]="","",IFERROR(INDEX(tblSources[Type],MATCH(tblMovement[[#This Row],[Source]],tblSources[Source],0)),"?"))</f>
        <v/>
      </c>
      <c r="L2713" s="63">
        <f>IF(tblMovement[[#This Row],[Destination]]="","",IFERROR(INDEX(tblDestinations[Type],MATCH(tblMovement[[#This Row],[Destination]],tblDestinations[Destination],0)),"?"))</f>
        <v/>
      </c>
      <c r="M2713" s="64">
        <f>IF(tblMovement[[#This Row],[Material]]="","",IF(LEFT(tblMovement[[#This Row],[Material]],3)="Ore",1,0))</f>
        <v/>
      </c>
      <c r="N2713" s="59">
        <f>IF(OR(tblMovement[[#This Row],[Tonnes_t]]="",tblMovement[[#This Row],[Grade_gpt]]=""),0,tblMovement[[#This Row],[Tonnes_t]]*tblMovement[[#This Row],[Grade_gpt]]/cfg_TroyOz)</f>
        <v/>
      </c>
      <c r="O2713" s="59">
        <f>IF(tblMovement[[#This Row],[Is_Ore]]=1,tblMovement[[#This Row],[Contained_oz]],0)</f>
        <v/>
      </c>
    </row>
    <row r="2714">
      <c r="A2714" s="54" t="n"/>
      <c r="B2714" s="61" t="n"/>
      <c r="C2714" s="61" t="n"/>
      <c r="D2714" s="61" t="n"/>
      <c r="E2714" s="61" t="n"/>
      <c r="F2714" s="55" t="n"/>
      <c r="G2714" s="56" t="n"/>
      <c r="H2714" s="55" t="n"/>
      <c r="I2714" s="62" t="n"/>
      <c r="J2714" s="58" t="n"/>
      <c r="K2714" s="63">
        <f>IF(tblMovement[[#This Row],[Source]]="","",IFERROR(INDEX(tblSources[Type],MATCH(tblMovement[[#This Row],[Source]],tblSources[Source],0)),"?"))</f>
        <v/>
      </c>
      <c r="L2714" s="63">
        <f>IF(tblMovement[[#This Row],[Destination]]="","",IFERROR(INDEX(tblDestinations[Type],MATCH(tblMovement[[#This Row],[Destination]],tblDestinations[Destination],0)),"?"))</f>
        <v/>
      </c>
      <c r="M2714" s="64">
        <f>IF(tblMovement[[#This Row],[Material]]="","",IF(LEFT(tblMovement[[#This Row],[Material]],3)="Ore",1,0))</f>
        <v/>
      </c>
      <c r="N2714" s="59">
        <f>IF(OR(tblMovement[[#This Row],[Tonnes_t]]="",tblMovement[[#This Row],[Grade_gpt]]=""),0,tblMovement[[#This Row],[Tonnes_t]]*tblMovement[[#This Row],[Grade_gpt]]/cfg_TroyOz)</f>
        <v/>
      </c>
      <c r="O2714" s="59">
        <f>IF(tblMovement[[#This Row],[Is_Ore]]=1,tblMovement[[#This Row],[Contained_oz]],0)</f>
        <v/>
      </c>
    </row>
    <row r="2715">
      <c r="A2715" s="54" t="n"/>
      <c r="B2715" s="61" t="n"/>
      <c r="C2715" s="61" t="n"/>
      <c r="D2715" s="61" t="n"/>
      <c r="E2715" s="61" t="n"/>
      <c r="F2715" s="55" t="n"/>
      <c r="G2715" s="56" t="n"/>
      <c r="H2715" s="55" t="n"/>
      <c r="I2715" s="62" t="n"/>
      <c r="J2715" s="58" t="n"/>
      <c r="K2715" s="63">
        <f>IF(tblMovement[[#This Row],[Source]]="","",IFERROR(INDEX(tblSources[Type],MATCH(tblMovement[[#This Row],[Source]],tblSources[Source],0)),"?"))</f>
        <v/>
      </c>
      <c r="L2715" s="63">
        <f>IF(tblMovement[[#This Row],[Destination]]="","",IFERROR(INDEX(tblDestinations[Type],MATCH(tblMovement[[#This Row],[Destination]],tblDestinations[Destination],0)),"?"))</f>
        <v/>
      </c>
      <c r="M2715" s="64">
        <f>IF(tblMovement[[#This Row],[Material]]="","",IF(LEFT(tblMovement[[#This Row],[Material]],3)="Ore",1,0))</f>
        <v/>
      </c>
      <c r="N2715" s="59">
        <f>IF(OR(tblMovement[[#This Row],[Tonnes_t]]="",tblMovement[[#This Row],[Grade_gpt]]=""),0,tblMovement[[#This Row],[Tonnes_t]]*tblMovement[[#This Row],[Grade_gpt]]/cfg_TroyOz)</f>
        <v/>
      </c>
      <c r="O2715" s="59">
        <f>IF(tblMovement[[#This Row],[Is_Ore]]=1,tblMovement[[#This Row],[Contained_oz]],0)</f>
        <v/>
      </c>
    </row>
    <row r="2716">
      <c r="A2716" s="54" t="n"/>
      <c r="B2716" s="61" t="n"/>
      <c r="C2716" s="61" t="n"/>
      <c r="D2716" s="61" t="n"/>
      <c r="E2716" s="61" t="n"/>
      <c r="F2716" s="55" t="n"/>
      <c r="G2716" s="56" t="n"/>
      <c r="H2716" s="55" t="n"/>
      <c r="I2716" s="62" t="n"/>
      <c r="J2716" s="58" t="n"/>
      <c r="K2716" s="63">
        <f>IF(tblMovement[[#This Row],[Source]]="","",IFERROR(INDEX(tblSources[Type],MATCH(tblMovement[[#This Row],[Source]],tblSources[Source],0)),"?"))</f>
        <v/>
      </c>
      <c r="L2716" s="63">
        <f>IF(tblMovement[[#This Row],[Destination]]="","",IFERROR(INDEX(tblDestinations[Type],MATCH(tblMovement[[#This Row],[Destination]],tblDestinations[Destination],0)),"?"))</f>
        <v/>
      </c>
      <c r="M2716" s="64">
        <f>IF(tblMovement[[#This Row],[Material]]="","",IF(LEFT(tblMovement[[#This Row],[Material]],3)="Ore",1,0))</f>
        <v/>
      </c>
      <c r="N2716" s="59">
        <f>IF(OR(tblMovement[[#This Row],[Tonnes_t]]="",tblMovement[[#This Row],[Grade_gpt]]=""),0,tblMovement[[#This Row],[Tonnes_t]]*tblMovement[[#This Row],[Grade_gpt]]/cfg_TroyOz)</f>
        <v/>
      </c>
      <c r="O2716" s="59">
        <f>IF(tblMovement[[#This Row],[Is_Ore]]=1,tblMovement[[#This Row],[Contained_oz]],0)</f>
        <v/>
      </c>
    </row>
    <row r="2717">
      <c r="A2717" s="54" t="n"/>
      <c r="B2717" s="61" t="n"/>
      <c r="C2717" s="61" t="n"/>
      <c r="D2717" s="61" t="n"/>
      <c r="E2717" s="61" t="n"/>
      <c r="F2717" s="55" t="n"/>
      <c r="G2717" s="56" t="n"/>
      <c r="H2717" s="55" t="n"/>
      <c r="I2717" s="62" t="n"/>
      <c r="J2717" s="58" t="n"/>
      <c r="K2717" s="63">
        <f>IF(tblMovement[[#This Row],[Source]]="","",IFERROR(INDEX(tblSources[Type],MATCH(tblMovement[[#This Row],[Source]],tblSources[Source],0)),"?"))</f>
        <v/>
      </c>
      <c r="L2717" s="63">
        <f>IF(tblMovement[[#This Row],[Destination]]="","",IFERROR(INDEX(tblDestinations[Type],MATCH(tblMovement[[#This Row],[Destination]],tblDestinations[Destination],0)),"?"))</f>
        <v/>
      </c>
      <c r="M2717" s="64">
        <f>IF(tblMovement[[#This Row],[Material]]="","",IF(LEFT(tblMovement[[#This Row],[Material]],3)="Ore",1,0))</f>
        <v/>
      </c>
      <c r="N2717" s="59">
        <f>IF(OR(tblMovement[[#This Row],[Tonnes_t]]="",tblMovement[[#This Row],[Grade_gpt]]=""),0,tblMovement[[#This Row],[Tonnes_t]]*tblMovement[[#This Row],[Grade_gpt]]/cfg_TroyOz)</f>
        <v/>
      </c>
      <c r="O2717" s="59">
        <f>IF(tblMovement[[#This Row],[Is_Ore]]=1,tblMovement[[#This Row],[Contained_oz]],0)</f>
        <v/>
      </c>
    </row>
    <row r="2718">
      <c r="A2718" s="54" t="n"/>
      <c r="B2718" s="61" t="n"/>
      <c r="C2718" s="61" t="n"/>
      <c r="D2718" s="61" t="n"/>
      <c r="E2718" s="61" t="n"/>
      <c r="F2718" s="55" t="n"/>
      <c r="G2718" s="56" t="n"/>
      <c r="H2718" s="55" t="n"/>
      <c r="I2718" s="62" t="n"/>
      <c r="J2718" s="58" t="n"/>
      <c r="K2718" s="63">
        <f>IF(tblMovement[[#This Row],[Source]]="","",IFERROR(INDEX(tblSources[Type],MATCH(tblMovement[[#This Row],[Source]],tblSources[Source],0)),"?"))</f>
        <v/>
      </c>
      <c r="L2718" s="63">
        <f>IF(tblMovement[[#This Row],[Destination]]="","",IFERROR(INDEX(tblDestinations[Type],MATCH(tblMovement[[#This Row],[Destination]],tblDestinations[Destination],0)),"?"))</f>
        <v/>
      </c>
      <c r="M2718" s="64">
        <f>IF(tblMovement[[#This Row],[Material]]="","",IF(LEFT(tblMovement[[#This Row],[Material]],3)="Ore",1,0))</f>
        <v/>
      </c>
      <c r="N2718" s="59">
        <f>IF(OR(tblMovement[[#This Row],[Tonnes_t]]="",tblMovement[[#This Row],[Grade_gpt]]=""),0,tblMovement[[#This Row],[Tonnes_t]]*tblMovement[[#This Row],[Grade_gpt]]/cfg_TroyOz)</f>
        <v/>
      </c>
      <c r="O2718" s="59">
        <f>IF(tblMovement[[#This Row],[Is_Ore]]=1,tblMovement[[#This Row],[Contained_oz]],0)</f>
        <v/>
      </c>
    </row>
    <row r="2719">
      <c r="A2719" s="54" t="n"/>
      <c r="B2719" s="61" t="n"/>
      <c r="C2719" s="61" t="n"/>
      <c r="D2719" s="61" t="n"/>
      <c r="E2719" s="61" t="n"/>
      <c r="F2719" s="55" t="n"/>
      <c r="G2719" s="56" t="n"/>
      <c r="H2719" s="55" t="n"/>
      <c r="I2719" s="62" t="n"/>
      <c r="J2719" s="58" t="n"/>
      <c r="K2719" s="63">
        <f>IF(tblMovement[[#This Row],[Source]]="","",IFERROR(INDEX(tblSources[Type],MATCH(tblMovement[[#This Row],[Source]],tblSources[Source],0)),"?"))</f>
        <v/>
      </c>
      <c r="L2719" s="63">
        <f>IF(tblMovement[[#This Row],[Destination]]="","",IFERROR(INDEX(tblDestinations[Type],MATCH(tblMovement[[#This Row],[Destination]],tblDestinations[Destination],0)),"?"))</f>
        <v/>
      </c>
      <c r="M2719" s="64">
        <f>IF(tblMovement[[#This Row],[Material]]="","",IF(LEFT(tblMovement[[#This Row],[Material]],3)="Ore",1,0))</f>
        <v/>
      </c>
      <c r="N2719" s="59">
        <f>IF(OR(tblMovement[[#This Row],[Tonnes_t]]="",tblMovement[[#This Row],[Grade_gpt]]=""),0,tblMovement[[#This Row],[Tonnes_t]]*tblMovement[[#This Row],[Grade_gpt]]/cfg_TroyOz)</f>
        <v/>
      </c>
      <c r="O2719" s="59">
        <f>IF(tblMovement[[#This Row],[Is_Ore]]=1,tblMovement[[#This Row],[Contained_oz]],0)</f>
        <v/>
      </c>
    </row>
    <row r="2720">
      <c r="A2720" s="54" t="n"/>
      <c r="B2720" s="61" t="n"/>
      <c r="C2720" s="61" t="n"/>
      <c r="D2720" s="61" t="n"/>
      <c r="E2720" s="61" t="n"/>
      <c r="F2720" s="55" t="n"/>
      <c r="G2720" s="56" t="n"/>
      <c r="H2720" s="55" t="n"/>
      <c r="I2720" s="62" t="n"/>
      <c r="J2720" s="58" t="n"/>
      <c r="K2720" s="63">
        <f>IF(tblMovement[[#This Row],[Source]]="","",IFERROR(INDEX(tblSources[Type],MATCH(tblMovement[[#This Row],[Source]],tblSources[Source],0)),"?"))</f>
        <v/>
      </c>
      <c r="L2720" s="63">
        <f>IF(tblMovement[[#This Row],[Destination]]="","",IFERROR(INDEX(tblDestinations[Type],MATCH(tblMovement[[#This Row],[Destination]],tblDestinations[Destination],0)),"?"))</f>
        <v/>
      </c>
      <c r="M2720" s="64">
        <f>IF(tblMovement[[#This Row],[Material]]="","",IF(LEFT(tblMovement[[#This Row],[Material]],3)="Ore",1,0))</f>
        <v/>
      </c>
      <c r="N2720" s="59">
        <f>IF(OR(tblMovement[[#This Row],[Tonnes_t]]="",tblMovement[[#This Row],[Grade_gpt]]=""),0,tblMovement[[#This Row],[Tonnes_t]]*tblMovement[[#This Row],[Grade_gpt]]/cfg_TroyOz)</f>
        <v/>
      </c>
      <c r="O2720" s="59">
        <f>IF(tblMovement[[#This Row],[Is_Ore]]=1,tblMovement[[#This Row],[Contained_oz]],0)</f>
        <v/>
      </c>
    </row>
    <row r="2721">
      <c r="A2721" s="54" t="n"/>
      <c r="B2721" s="61" t="n"/>
      <c r="C2721" s="61" t="n"/>
      <c r="D2721" s="61" t="n"/>
      <c r="E2721" s="61" t="n"/>
      <c r="F2721" s="55" t="n"/>
      <c r="G2721" s="56" t="n"/>
      <c r="H2721" s="55" t="n"/>
      <c r="I2721" s="62" t="n"/>
      <c r="J2721" s="58" t="n"/>
      <c r="K2721" s="63">
        <f>IF(tblMovement[[#This Row],[Source]]="","",IFERROR(INDEX(tblSources[Type],MATCH(tblMovement[[#This Row],[Source]],tblSources[Source],0)),"?"))</f>
        <v/>
      </c>
      <c r="L2721" s="63">
        <f>IF(tblMovement[[#This Row],[Destination]]="","",IFERROR(INDEX(tblDestinations[Type],MATCH(tblMovement[[#This Row],[Destination]],tblDestinations[Destination],0)),"?"))</f>
        <v/>
      </c>
      <c r="M2721" s="64">
        <f>IF(tblMovement[[#This Row],[Material]]="","",IF(LEFT(tblMovement[[#This Row],[Material]],3)="Ore",1,0))</f>
        <v/>
      </c>
      <c r="N2721" s="59">
        <f>IF(OR(tblMovement[[#This Row],[Tonnes_t]]="",tblMovement[[#This Row],[Grade_gpt]]=""),0,tblMovement[[#This Row],[Tonnes_t]]*tblMovement[[#This Row],[Grade_gpt]]/cfg_TroyOz)</f>
        <v/>
      </c>
      <c r="O2721" s="59">
        <f>IF(tblMovement[[#This Row],[Is_Ore]]=1,tblMovement[[#This Row],[Contained_oz]],0)</f>
        <v/>
      </c>
    </row>
    <row r="2722">
      <c r="A2722" s="54" t="n"/>
      <c r="B2722" s="61" t="n"/>
      <c r="C2722" s="61" t="n"/>
      <c r="D2722" s="61" t="n"/>
      <c r="E2722" s="61" t="n"/>
      <c r="F2722" s="55" t="n"/>
      <c r="G2722" s="56" t="n"/>
      <c r="H2722" s="55" t="n"/>
      <c r="I2722" s="62" t="n"/>
      <c r="J2722" s="58" t="n"/>
      <c r="K2722" s="63">
        <f>IF(tblMovement[[#This Row],[Source]]="","",IFERROR(INDEX(tblSources[Type],MATCH(tblMovement[[#This Row],[Source]],tblSources[Source],0)),"?"))</f>
        <v/>
      </c>
      <c r="L2722" s="63">
        <f>IF(tblMovement[[#This Row],[Destination]]="","",IFERROR(INDEX(tblDestinations[Type],MATCH(tblMovement[[#This Row],[Destination]],tblDestinations[Destination],0)),"?"))</f>
        <v/>
      </c>
      <c r="M2722" s="64">
        <f>IF(tblMovement[[#This Row],[Material]]="","",IF(LEFT(tblMovement[[#This Row],[Material]],3)="Ore",1,0))</f>
        <v/>
      </c>
      <c r="N2722" s="59">
        <f>IF(OR(tblMovement[[#This Row],[Tonnes_t]]="",tblMovement[[#This Row],[Grade_gpt]]=""),0,tblMovement[[#This Row],[Tonnes_t]]*tblMovement[[#This Row],[Grade_gpt]]/cfg_TroyOz)</f>
        <v/>
      </c>
      <c r="O2722" s="59">
        <f>IF(tblMovement[[#This Row],[Is_Ore]]=1,tblMovement[[#This Row],[Contained_oz]],0)</f>
        <v/>
      </c>
    </row>
    <row r="2723">
      <c r="A2723" s="54" t="n"/>
      <c r="B2723" s="61" t="n"/>
      <c r="C2723" s="61" t="n"/>
      <c r="D2723" s="61" t="n"/>
      <c r="E2723" s="61" t="n"/>
      <c r="F2723" s="55" t="n"/>
      <c r="G2723" s="56" t="n"/>
      <c r="H2723" s="55" t="n"/>
      <c r="I2723" s="62" t="n"/>
      <c r="J2723" s="58" t="n"/>
      <c r="K2723" s="63">
        <f>IF(tblMovement[[#This Row],[Source]]="","",IFERROR(INDEX(tblSources[Type],MATCH(tblMovement[[#This Row],[Source]],tblSources[Source],0)),"?"))</f>
        <v/>
      </c>
      <c r="L2723" s="63">
        <f>IF(tblMovement[[#This Row],[Destination]]="","",IFERROR(INDEX(tblDestinations[Type],MATCH(tblMovement[[#This Row],[Destination]],tblDestinations[Destination],0)),"?"))</f>
        <v/>
      </c>
      <c r="M2723" s="64">
        <f>IF(tblMovement[[#This Row],[Material]]="","",IF(LEFT(tblMovement[[#This Row],[Material]],3)="Ore",1,0))</f>
        <v/>
      </c>
      <c r="N2723" s="59">
        <f>IF(OR(tblMovement[[#This Row],[Tonnes_t]]="",tblMovement[[#This Row],[Grade_gpt]]=""),0,tblMovement[[#This Row],[Tonnes_t]]*tblMovement[[#This Row],[Grade_gpt]]/cfg_TroyOz)</f>
        <v/>
      </c>
      <c r="O2723" s="59">
        <f>IF(tblMovement[[#This Row],[Is_Ore]]=1,tblMovement[[#This Row],[Contained_oz]],0)</f>
        <v/>
      </c>
    </row>
    <row r="2724">
      <c r="A2724" s="54" t="n"/>
      <c r="B2724" s="61" t="n"/>
      <c r="C2724" s="61" t="n"/>
      <c r="D2724" s="61" t="n"/>
      <c r="E2724" s="61" t="n"/>
      <c r="F2724" s="55" t="n"/>
      <c r="G2724" s="56" t="n"/>
      <c r="H2724" s="55" t="n"/>
      <c r="I2724" s="62" t="n"/>
      <c r="J2724" s="58" t="n"/>
      <c r="K2724" s="63">
        <f>IF(tblMovement[[#This Row],[Source]]="","",IFERROR(INDEX(tblSources[Type],MATCH(tblMovement[[#This Row],[Source]],tblSources[Source],0)),"?"))</f>
        <v/>
      </c>
      <c r="L2724" s="63">
        <f>IF(tblMovement[[#This Row],[Destination]]="","",IFERROR(INDEX(tblDestinations[Type],MATCH(tblMovement[[#This Row],[Destination]],tblDestinations[Destination],0)),"?"))</f>
        <v/>
      </c>
      <c r="M2724" s="64">
        <f>IF(tblMovement[[#This Row],[Material]]="","",IF(LEFT(tblMovement[[#This Row],[Material]],3)="Ore",1,0))</f>
        <v/>
      </c>
      <c r="N2724" s="59">
        <f>IF(OR(tblMovement[[#This Row],[Tonnes_t]]="",tblMovement[[#This Row],[Grade_gpt]]=""),0,tblMovement[[#This Row],[Tonnes_t]]*tblMovement[[#This Row],[Grade_gpt]]/cfg_TroyOz)</f>
        <v/>
      </c>
      <c r="O2724" s="59">
        <f>IF(tblMovement[[#This Row],[Is_Ore]]=1,tblMovement[[#This Row],[Contained_oz]],0)</f>
        <v/>
      </c>
    </row>
    <row r="2725">
      <c r="A2725" s="54" t="n"/>
      <c r="B2725" s="61" t="n"/>
      <c r="C2725" s="61" t="n"/>
      <c r="D2725" s="61" t="n"/>
      <c r="E2725" s="61" t="n"/>
      <c r="F2725" s="55" t="n"/>
      <c r="G2725" s="56" t="n"/>
      <c r="H2725" s="55" t="n"/>
      <c r="I2725" s="62" t="n"/>
      <c r="J2725" s="58" t="n"/>
      <c r="K2725" s="63">
        <f>IF(tblMovement[[#This Row],[Source]]="","",IFERROR(INDEX(tblSources[Type],MATCH(tblMovement[[#This Row],[Source]],tblSources[Source],0)),"?"))</f>
        <v/>
      </c>
      <c r="L2725" s="63">
        <f>IF(tblMovement[[#This Row],[Destination]]="","",IFERROR(INDEX(tblDestinations[Type],MATCH(tblMovement[[#This Row],[Destination]],tblDestinations[Destination],0)),"?"))</f>
        <v/>
      </c>
      <c r="M2725" s="64">
        <f>IF(tblMovement[[#This Row],[Material]]="","",IF(LEFT(tblMovement[[#This Row],[Material]],3)="Ore",1,0))</f>
        <v/>
      </c>
      <c r="N2725" s="59">
        <f>IF(OR(tblMovement[[#This Row],[Tonnes_t]]="",tblMovement[[#This Row],[Grade_gpt]]=""),0,tblMovement[[#This Row],[Tonnes_t]]*tblMovement[[#This Row],[Grade_gpt]]/cfg_TroyOz)</f>
        <v/>
      </c>
      <c r="O2725" s="59">
        <f>IF(tblMovement[[#This Row],[Is_Ore]]=1,tblMovement[[#This Row],[Contained_oz]],0)</f>
        <v/>
      </c>
    </row>
    <row r="2726">
      <c r="A2726" s="54" t="n"/>
      <c r="B2726" s="61" t="n"/>
      <c r="C2726" s="61" t="n"/>
      <c r="D2726" s="61" t="n"/>
      <c r="E2726" s="61" t="n"/>
      <c r="F2726" s="55" t="n"/>
      <c r="G2726" s="56" t="n"/>
      <c r="H2726" s="55" t="n"/>
      <c r="I2726" s="62" t="n"/>
      <c r="J2726" s="58" t="n"/>
      <c r="K2726" s="63">
        <f>IF(tblMovement[[#This Row],[Source]]="","",IFERROR(INDEX(tblSources[Type],MATCH(tblMovement[[#This Row],[Source]],tblSources[Source],0)),"?"))</f>
        <v/>
      </c>
      <c r="L2726" s="63">
        <f>IF(tblMovement[[#This Row],[Destination]]="","",IFERROR(INDEX(tblDestinations[Type],MATCH(tblMovement[[#This Row],[Destination]],tblDestinations[Destination],0)),"?"))</f>
        <v/>
      </c>
      <c r="M2726" s="64">
        <f>IF(tblMovement[[#This Row],[Material]]="","",IF(LEFT(tblMovement[[#This Row],[Material]],3)="Ore",1,0))</f>
        <v/>
      </c>
      <c r="N2726" s="59">
        <f>IF(OR(tblMovement[[#This Row],[Tonnes_t]]="",tblMovement[[#This Row],[Grade_gpt]]=""),0,tblMovement[[#This Row],[Tonnes_t]]*tblMovement[[#This Row],[Grade_gpt]]/cfg_TroyOz)</f>
        <v/>
      </c>
      <c r="O2726" s="59">
        <f>IF(tblMovement[[#This Row],[Is_Ore]]=1,tblMovement[[#This Row],[Contained_oz]],0)</f>
        <v/>
      </c>
    </row>
    <row r="2727">
      <c r="A2727" s="54" t="n"/>
      <c r="B2727" s="61" t="n"/>
      <c r="C2727" s="61" t="n"/>
      <c r="D2727" s="61" t="n"/>
      <c r="E2727" s="61" t="n"/>
      <c r="F2727" s="55" t="n"/>
      <c r="G2727" s="56" t="n"/>
      <c r="H2727" s="55" t="n"/>
      <c r="I2727" s="62" t="n"/>
      <c r="J2727" s="58" t="n"/>
      <c r="K2727" s="63">
        <f>IF(tblMovement[[#This Row],[Source]]="","",IFERROR(INDEX(tblSources[Type],MATCH(tblMovement[[#This Row],[Source]],tblSources[Source],0)),"?"))</f>
        <v/>
      </c>
      <c r="L2727" s="63">
        <f>IF(tblMovement[[#This Row],[Destination]]="","",IFERROR(INDEX(tblDestinations[Type],MATCH(tblMovement[[#This Row],[Destination]],tblDestinations[Destination],0)),"?"))</f>
        <v/>
      </c>
      <c r="M2727" s="64">
        <f>IF(tblMovement[[#This Row],[Material]]="","",IF(LEFT(tblMovement[[#This Row],[Material]],3)="Ore",1,0))</f>
        <v/>
      </c>
      <c r="N2727" s="59">
        <f>IF(OR(tblMovement[[#This Row],[Tonnes_t]]="",tblMovement[[#This Row],[Grade_gpt]]=""),0,tblMovement[[#This Row],[Tonnes_t]]*tblMovement[[#This Row],[Grade_gpt]]/cfg_TroyOz)</f>
        <v/>
      </c>
      <c r="O2727" s="59">
        <f>IF(tblMovement[[#This Row],[Is_Ore]]=1,tblMovement[[#This Row],[Contained_oz]],0)</f>
        <v/>
      </c>
    </row>
    <row r="2728">
      <c r="A2728" s="54" t="n"/>
      <c r="B2728" s="61" t="n"/>
      <c r="C2728" s="61" t="n"/>
      <c r="D2728" s="61" t="n"/>
      <c r="E2728" s="61" t="n"/>
      <c r="F2728" s="55" t="n"/>
      <c r="G2728" s="56" t="n"/>
      <c r="H2728" s="55" t="n"/>
      <c r="I2728" s="62" t="n"/>
      <c r="J2728" s="58" t="n"/>
      <c r="K2728" s="63">
        <f>IF(tblMovement[[#This Row],[Source]]="","",IFERROR(INDEX(tblSources[Type],MATCH(tblMovement[[#This Row],[Source]],tblSources[Source],0)),"?"))</f>
        <v/>
      </c>
      <c r="L2728" s="63">
        <f>IF(tblMovement[[#This Row],[Destination]]="","",IFERROR(INDEX(tblDestinations[Type],MATCH(tblMovement[[#This Row],[Destination]],tblDestinations[Destination],0)),"?"))</f>
        <v/>
      </c>
      <c r="M2728" s="64">
        <f>IF(tblMovement[[#This Row],[Material]]="","",IF(LEFT(tblMovement[[#This Row],[Material]],3)="Ore",1,0))</f>
        <v/>
      </c>
      <c r="N2728" s="59">
        <f>IF(OR(tblMovement[[#This Row],[Tonnes_t]]="",tblMovement[[#This Row],[Grade_gpt]]=""),0,tblMovement[[#This Row],[Tonnes_t]]*tblMovement[[#This Row],[Grade_gpt]]/cfg_TroyOz)</f>
        <v/>
      </c>
      <c r="O2728" s="59">
        <f>IF(tblMovement[[#This Row],[Is_Ore]]=1,tblMovement[[#This Row],[Contained_oz]],0)</f>
        <v/>
      </c>
    </row>
    <row r="2729">
      <c r="A2729" s="54" t="n"/>
      <c r="B2729" s="61" t="n"/>
      <c r="C2729" s="61" t="n"/>
      <c r="D2729" s="61" t="n"/>
      <c r="E2729" s="61" t="n"/>
      <c r="F2729" s="55" t="n"/>
      <c r="G2729" s="56" t="n"/>
      <c r="H2729" s="55" t="n"/>
      <c r="I2729" s="62" t="n"/>
      <c r="J2729" s="58" t="n"/>
      <c r="K2729" s="63">
        <f>IF(tblMovement[[#This Row],[Source]]="","",IFERROR(INDEX(tblSources[Type],MATCH(tblMovement[[#This Row],[Source]],tblSources[Source],0)),"?"))</f>
        <v/>
      </c>
      <c r="L2729" s="63">
        <f>IF(tblMovement[[#This Row],[Destination]]="","",IFERROR(INDEX(tblDestinations[Type],MATCH(tblMovement[[#This Row],[Destination]],tblDestinations[Destination],0)),"?"))</f>
        <v/>
      </c>
      <c r="M2729" s="64">
        <f>IF(tblMovement[[#This Row],[Material]]="","",IF(LEFT(tblMovement[[#This Row],[Material]],3)="Ore",1,0))</f>
        <v/>
      </c>
      <c r="N2729" s="59">
        <f>IF(OR(tblMovement[[#This Row],[Tonnes_t]]="",tblMovement[[#This Row],[Grade_gpt]]=""),0,tblMovement[[#This Row],[Tonnes_t]]*tblMovement[[#This Row],[Grade_gpt]]/cfg_TroyOz)</f>
        <v/>
      </c>
      <c r="O2729" s="59">
        <f>IF(tblMovement[[#This Row],[Is_Ore]]=1,tblMovement[[#This Row],[Contained_oz]],0)</f>
        <v/>
      </c>
    </row>
    <row r="2730">
      <c r="A2730" s="54" t="n"/>
      <c r="B2730" s="61" t="n"/>
      <c r="C2730" s="61" t="n"/>
      <c r="D2730" s="61" t="n"/>
      <c r="E2730" s="61" t="n"/>
      <c r="F2730" s="55" t="n"/>
      <c r="G2730" s="56" t="n"/>
      <c r="H2730" s="55" t="n"/>
      <c r="I2730" s="62" t="n"/>
      <c r="J2730" s="58" t="n"/>
      <c r="K2730" s="63">
        <f>IF(tblMovement[[#This Row],[Source]]="","",IFERROR(INDEX(tblSources[Type],MATCH(tblMovement[[#This Row],[Source]],tblSources[Source],0)),"?"))</f>
        <v/>
      </c>
      <c r="L2730" s="63">
        <f>IF(tblMovement[[#This Row],[Destination]]="","",IFERROR(INDEX(tblDestinations[Type],MATCH(tblMovement[[#This Row],[Destination]],tblDestinations[Destination],0)),"?"))</f>
        <v/>
      </c>
      <c r="M2730" s="64">
        <f>IF(tblMovement[[#This Row],[Material]]="","",IF(LEFT(tblMovement[[#This Row],[Material]],3)="Ore",1,0))</f>
        <v/>
      </c>
      <c r="N2730" s="59">
        <f>IF(OR(tblMovement[[#This Row],[Tonnes_t]]="",tblMovement[[#This Row],[Grade_gpt]]=""),0,tblMovement[[#This Row],[Tonnes_t]]*tblMovement[[#This Row],[Grade_gpt]]/cfg_TroyOz)</f>
        <v/>
      </c>
      <c r="O2730" s="59">
        <f>IF(tblMovement[[#This Row],[Is_Ore]]=1,tblMovement[[#This Row],[Contained_oz]],0)</f>
        <v/>
      </c>
    </row>
    <row r="2731">
      <c r="A2731" s="54" t="n"/>
      <c r="B2731" s="61" t="n"/>
      <c r="C2731" s="61" t="n"/>
      <c r="D2731" s="61" t="n"/>
      <c r="E2731" s="61" t="n"/>
      <c r="F2731" s="55" t="n"/>
      <c r="G2731" s="56" t="n"/>
      <c r="H2731" s="55" t="n"/>
      <c r="I2731" s="62" t="n"/>
      <c r="J2731" s="58" t="n"/>
      <c r="K2731" s="63">
        <f>IF(tblMovement[[#This Row],[Source]]="","",IFERROR(INDEX(tblSources[Type],MATCH(tblMovement[[#This Row],[Source]],tblSources[Source],0)),"?"))</f>
        <v/>
      </c>
      <c r="L2731" s="63">
        <f>IF(tblMovement[[#This Row],[Destination]]="","",IFERROR(INDEX(tblDestinations[Type],MATCH(tblMovement[[#This Row],[Destination]],tblDestinations[Destination],0)),"?"))</f>
        <v/>
      </c>
      <c r="M2731" s="64">
        <f>IF(tblMovement[[#This Row],[Material]]="","",IF(LEFT(tblMovement[[#This Row],[Material]],3)="Ore",1,0))</f>
        <v/>
      </c>
      <c r="N2731" s="59">
        <f>IF(OR(tblMovement[[#This Row],[Tonnes_t]]="",tblMovement[[#This Row],[Grade_gpt]]=""),0,tblMovement[[#This Row],[Tonnes_t]]*tblMovement[[#This Row],[Grade_gpt]]/cfg_TroyOz)</f>
        <v/>
      </c>
      <c r="O2731" s="59">
        <f>IF(tblMovement[[#This Row],[Is_Ore]]=1,tblMovement[[#This Row],[Contained_oz]],0)</f>
        <v/>
      </c>
    </row>
    <row r="2732">
      <c r="A2732" s="54" t="n"/>
      <c r="B2732" s="61" t="n"/>
      <c r="C2732" s="61" t="n"/>
      <c r="D2732" s="61" t="n"/>
      <c r="E2732" s="61" t="n"/>
      <c r="F2732" s="55" t="n"/>
      <c r="G2732" s="56" t="n"/>
      <c r="H2732" s="55" t="n"/>
      <c r="I2732" s="62" t="n"/>
      <c r="J2732" s="58" t="n"/>
      <c r="K2732" s="63">
        <f>IF(tblMovement[[#This Row],[Source]]="","",IFERROR(INDEX(tblSources[Type],MATCH(tblMovement[[#This Row],[Source]],tblSources[Source],0)),"?"))</f>
        <v/>
      </c>
      <c r="L2732" s="63">
        <f>IF(tblMovement[[#This Row],[Destination]]="","",IFERROR(INDEX(tblDestinations[Type],MATCH(tblMovement[[#This Row],[Destination]],tblDestinations[Destination],0)),"?"))</f>
        <v/>
      </c>
      <c r="M2732" s="64">
        <f>IF(tblMovement[[#This Row],[Material]]="","",IF(LEFT(tblMovement[[#This Row],[Material]],3)="Ore",1,0))</f>
        <v/>
      </c>
      <c r="N2732" s="59">
        <f>IF(OR(tblMovement[[#This Row],[Tonnes_t]]="",tblMovement[[#This Row],[Grade_gpt]]=""),0,tblMovement[[#This Row],[Tonnes_t]]*tblMovement[[#This Row],[Grade_gpt]]/cfg_TroyOz)</f>
        <v/>
      </c>
      <c r="O2732" s="59">
        <f>IF(tblMovement[[#This Row],[Is_Ore]]=1,tblMovement[[#This Row],[Contained_oz]],0)</f>
        <v/>
      </c>
    </row>
    <row r="2733">
      <c r="A2733" s="54" t="n"/>
      <c r="B2733" s="61" t="n"/>
      <c r="C2733" s="61" t="n"/>
      <c r="D2733" s="61" t="n"/>
      <c r="E2733" s="61" t="n"/>
      <c r="F2733" s="55" t="n"/>
      <c r="G2733" s="56" t="n"/>
      <c r="H2733" s="55" t="n"/>
      <c r="I2733" s="62" t="n"/>
      <c r="J2733" s="58" t="n"/>
      <c r="K2733" s="63">
        <f>IF(tblMovement[[#This Row],[Source]]="","",IFERROR(INDEX(tblSources[Type],MATCH(tblMovement[[#This Row],[Source]],tblSources[Source],0)),"?"))</f>
        <v/>
      </c>
      <c r="L2733" s="63">
        <f>IF(tblMovement[[#This Row],[Destination]]="","",IFERROR(INDEX(tblDestinations[Type],MATCH(tblMovement[[#This Row],[Destination]],tblDestinations[Destination],0)),"?"))</f>
        <v/>
      </c>
      <c r="M2733" s="64">
        <f>IF(tblMovement[[#This Row],[Material]]="","",IF(LEFT(tblMovement[[#This Row],[Material]],3)="Ore",1,0))</f>
        <v/>
      </c>
      <c r="N2733" s="59">
        <f>IF(OR(tblMovement[[#This Row],[Tonnes_t]]="",tblMovement[[#This Row],[Grade_gpt]]=""),0,tblMovement[[#This Row],[Tonnes_t]]*tblMovement[[#This Row],[Grade_gpt]]/cfg_TroyOz)</f>
        <v/>
      </c>
      <c r="O2733" s="59">
        <f>IF(tblMovement[[#This Row],[Is_Ore]]=1,tblMovement[[#This Row],[Contained_oz]],0)</f>
        <v/>
      </c>
    </row>
    <row r="2734">
      <c r="A2734" s="54" t="n"/>
      <c r="B2734" s="61" t="n"/>
      <c r="C2734" s="61" t="n"/>
      <c r="D2734" s="61" t="n"/>
      <c r="E2734" s="61" t="n"/>
      <c r="F2734" s="55" t="n"/>
      <c r="G2734" s="56" t="n"/>
      <c r="H2734" s="55" t="n"/>
      <c r="I2734" s="62" t="n"/>
      <c r="J2734" s="58" t="n"/>
      <c r="K2734" s="63">
        <f>IF(tblMovement[[#This Row],[Source]]="","",IFERROR(INDEX(tblSources[Type],MATCH(tblMovement[[#This Row],[Source]],tblSources[Source],0)),"?"))</f>
        <v/>
      </c>
      <c r="L2734" s="63">
        <f>IF(tblMovement[[#This Row],[Destination]]="","",IFERROR(INDEX(tblDestinations[Type],MATCH(tblMovement[[#This Row],[Destination]],tblDestinations[Destination],0)),"?"))</f>
        <v/>
      </c>
      <c r="M2734" s="64">
        <f>IF(tblMovement[[#This Row],[Material]]="","",IF(LEFT(tblMovement[[#This Row],[Material]],3)="Ore",1,0))</f>
        <v/>
      </c>
      <c r="N2734" s="59">
        <f>IF(OR(tblMovement[[#This Row],[Tonnes_t]]="",tblMovement[[#This Row],[Grade_gpt]]=""),0,tblMovement[[#This Row],[Tonnes_t]]*tblMovement[[#This Row],[Grade_gpt]]/cfg_TroyOz)</f>
        <v/>
      </c>
      <c r="O2734" s="59">
        <f>IF(tblMovement[[#This Row],[Is_Ore]]=1,tblMovement[[#This Row],[Contained_oz]],0)</f>
        <v/>
      </c>
    </row>
    <row r="2735">
      <c r="A2735" s="54" t="n"/>
      <c r="B2735" s="61" t="n"/>
      <c r="C2735" s="61" t="n"/>
      <c r="D2735" s="61" t="n"/>
      <c r="E2735" s="61" t="n"/>
      <c r="F2735" s="55" t="n"/>
      <c r="G2735" s="56" t="n"/>
      <c r="H2735" s="55" t="n"/>
      <c r="I2735" s="62" t="n"/>
      <c r="J2735" s="58" t="n"/>
      <c r="K2735" s="63">
        <f>IF(tblMovement[[#This Row],[Source]]="","",IFERROR(INDEX(tblSources[Type],MATCH(tblMovement[[#This Row],[Source]],tblSources[Source],0)),"?"))</f>
        <v/>
      </c>
      <c r="L2735" s="63">
        <f>IF(tblMovement[[#This Row],[Destination]]="","",IFERROR(INDEX(tblDestinations[Type],MATCH(tblMovement[[#This Row],[Destination]],tblDestinations[Destination],0)),"?"))</f>
        <v/>
      </c>
      <c r="M2735" s="64">
        <f>IF(tblMovement[[#This Row],[Material]]="","",IF(LEFT(tblMovement[[#This Row],[Material]],3)="Ore",1,0))</f>
        <v/>
      </c>
      <c r="N2735" s="59">
        <f>IF(OR(tblMovement[[#This Row],[Tonnes_t]]="",tblMovement[[#This Row],[Grade_gpt]]=""),0,tblMovement[[#This Row],[Tonnes_t]]*tblMovement[[#This Row],[Grade_gpt]]/cfg_TroyOz)</f>
        <v/>
      </c>
      <c r="O2735" s="59">
        <f>IF(tblMovement[[#This Row],[Is_Ore]]=1,tblMovement[[#This Row],[Contained_oz]],0)</f>
        <v/>
      </c>
    </row>
    <row r="2736">
      <c r="A2736" s="54" t="n"/>
      <c r="B2736" s="61" t="n"/>
      <c r="C2736" s="61" t="n"/>
      <c r="D2736" s="61" t="n"/>
      <c r="E2736" s="61" t="n"/>
      <c r="F2736" s="55" t="n"/>
      <c r="G2736" s="56" t="n"/>
      <c r="H2736" s="55" t="n"/>
      <c r="I2736" s="62" t="n"/>
      <c r="J2736" s="58" t="n"/>
      <c r="K2736" s="63">
        <f>IF(tblMovement[[#This Row],[Source]]="","",IFERROR(INDEX(tblSources[Type],MATCH(tblMovement[[#This Row],[Source]],tblSources[Source],0)),"?"))</f>
        <v/>
      </c>
      <c r="L2736" s="63">
        <f>IF(tblMovement[[#This Row],[Destination]]="","",IFERROR(INDEX(tblDestinations[Type],MATCH(tblMovement[[#This Row],[Destination]],tblDestinations[Destination],0)),"?"))</f>
        <v/>
      </c>
      <c r="M2736" s="64">
        <f>IF(tblMovement[[#This Row],[Material]]="","",IF(LEFT(tblMovement[[#This Row],[Material]],3)="Ore",1,0))</f>
        <v/>
      </c>
      <c r="N2736" s="59">
        <f>IF(OR(tblMovement[[#This Row],[Tonnes_t]]="",tblMovement[[#This Row],[Grade_gpt]]=""),0,tblMovement[[#This Row],[Tonnes_t]]*tblMovement[[#This Row],[Grade_gpt]]/cfg_TroyOz)</f>
        <v/>
      </c>
      <c r="O2736" s="59">
        <f>IF(tblMovement[[#This Row],[Is_Ore]]=1,tblMovement[[#This Row],[Contained_oz]],0)</f>
        <v/>
      </c>
    </row>
    <row r="2737">
      <c r="A2737" s="54" t="n"/>
      <c r="B2737" s="61" t="n"/>
      <c r="C2737" s="61" t="n"/>
      <c r="D2737" s="61" t="n"/>
      <c r="E2737" s="61" t="n"/>
      <c r="F2737" s="55" t="n"/>
      <c r="G2737" s="56" t="n"/>
      <c r="H2737" s="55" t="n"/>
      <c r="I2737" s="62" t="n"/>
      <c r="J2737" s="58" t="n"/>
      <c r="K2737" s="63">
        <f>IF(tblMovement[[#This Row],[Source]]="","",IFERROR(INDEX(tblSources[Type],MATCH(tblMovement[[#This Row],[Source]],tblSources[Source],0)),"?"))</f>
        <v/>
      </c>
      <c r="L2737" s="63">
        <f>IF(tblMovement[[#This Row],[Destination]]="","",IFERROR(INDEX(tblDestinations[Type],MATCH(tblMovement[[#This Row],[Destination]],tblDestinations[Destination],0)),"?"))</f>
        <v/>
      </c>
      <c r="M2737" s="64">
        <f>IF(tblMovement[[#This Row],[Material]]="","",IF(LEFT(tblMovement[[#This Row],[Material]],3)="Ore",1,0))</f>
        <v/>
      </c>
      <c r="N2737" s="59">
        <f>IF(OR(tblMovement[[#This Row],[Tonnes_t]]="",tblMovement[[#This Row],[Grade_gpt]]=""),0,tblMovement[[#This Row],[Tonnes_t]]*tblMovement[[#This Row],[Grade_gpt]]/cfg_TroyOz)</f>
        <v/>
      </c>
      <c r="O2737" s="59">
        <f>IF(tblMovement[[#This Row],[Is_Ore]]=1,tblMovement[[#This Row],[Contained_oz]],0)</f>
        <v/>
      </c>
    </row>
    <row r="2738">
      <c r="A2738" s="54" t="n"/>
      <c r="B2738" s="61" t="n"/>
      <c r="C2738" s="61" t="n"/>
      <c r="D2738" s="61" t="n"/>
      <c r="E2738" s="61" t="n"/>
      <c r="F2738" s="55" t="n"/>
      <c r="G2738" s="56" t="n"/>
      <c r="H2738" s="55" t="n"/>
      <c r="I2738" s="62" t="n"/>
      <c r="J2738" s="58" t="n"/>
      <c r="K2738" s="63">
        <f>IF(tblMovement[[#This Row],[Source]]="","",IFERROR(INDEX(tblSources[Type],MATCH(tblMovement[[#This Row],[Source]],tblSources[Source],0)),"?"))</f>
        <v/>
      </c>
      <c r="L2738" s="63">
        <f>IF(tblMovement[[#This Row],[Destination]]="","",IFERROR(INDEX(tblDestinations[Type],MATCH(tblMovement[[#This Row],[Destination]],tblDestinations[Destination],0)),"?"))</f>
        <v/>
      </c>
      <c r="M2738" s="64">
        <f>IF(tblMovement[[#This Row],[Material]]="","",IF(LEFT(tblMovement[[#This Row],[Material]],3)="Ore",1,0))</f>
        <v/>
      </c>
      <c r="N2738" s="59">
        <f>IF(OR(tblMovement[[#This Row],[Tonnes_t]]="",tblMovement[[#This Row],[Grade_gpt]]=""),0,tblMovement[[#This Row],[Tonnes_t]]*tblMovement[[#This Row],[Grade_gpt]]/cfg_TroyOz)</f>
        <v/>
      </c>
      <c r="O2738" s="59">
        <f>IF(tblMovement[[#This Row],[Is_Ore]]=1,tblMovement[[#This Row],[Contained_oz]],0)</f>
        <v/>
      </c>
    </row>
    <row r="2739">
      <c r="A2739" s="54" t="n"/>
      <c r="B2739" s="61" t="n"/>
      <c r="C2739" s="61" t="n"/>
      <c r="D2739" s="61" t="n"/>
      <c r="E2739" s="61" t="n"/>
      <c r="F2739" s="55" t="n"/>
      <c r="G2739" s="56" t="n"/>
      <c r="H2739" s="55" t="n"/>
      <c r="I2739" s="62" t="n"/>
      <c r="J2739" s="58" t="n"/>
      <c r="K2739" s="63">
        <f>IF(tblMovement[[#This Row],[Source]]="","",IFERROR(INDEX(tblSources[Type],MATCH(tblMovement[[#This Row],[Source]],tblSources[Source],0)),"?"))</f>
        <v/>
      </c>
      <c r="L2739" s="63">
        <f>IF(tblMovement[[#This Row],[Destination]]="","",IFERROR(INDEX(tblDestinations[Type],MATCH(tblMovement[[#This Row],[Destination]],tblDestinations[Destination],0)),"?"))</f>
        <v/>
      </c>
      <c r="M2739" s="64">
        <f>IF(tblMovement[[#This Row],[Material]]="","",IF(LEFT(tblMovement[[#This Row],[Material]],3)="Ore",1,0))</f>
        <v/>
      </c>
      <c r="N2739" s="59">
        <f>IF(OR(tblMovement[[#This Row],[Tonnes_t]]="",tblMovement[[#This Row],[Grade_gpt]]=""),0,tblMovement[[#This Row],[Tonnes_t]]*tblMovement[[#This Row],[Grade_gpt]]/cfg_TroyOz)</f>
        <v/>
      </c>
      <c r="O2739" s="59">
        <f>IF(tblMovement[[#This Row],[Is_Ore]]=1,tblMovement[[#This Row],[Contained_oz]],0)</f>
        <v/>
      </c>
    </row>
    <row r="2740">
      <c r="A2740" s="54" t="n"/>
      <c r="B2740" s="61" t="n"/>
      <c r="C2740" s="61" t="n"/>
      <c r="D2740" s="61" t="n"/>
      <c r="E2740" s="61" t="n"/>
      <c r="F2740" s="55" t="n"/>
      <c r="G2740" s="56" t="n"/>
      <c r="H2740" s="55" t="n"/>
      <c r="I2740" s="62" t="n"/>
      <c r="J2740" s="58" t="n"/>
      <c r="K2740" s="63">
        <f>IF(tblMovement[[#This Row],[Source]]="","",IFERROR(INDEX(tblSources[Type],MATCH(tblMovement[[#This Row],[Source]],tblSources[Source],0)),"?"))</f>
        <v/>
      </c>
      <c r="L2740" s="63">
        <f>IF(tblMovement[[#This Row],[Destination]]="","",IFERROR(INDEX(tblDestinations[Type],MATCH(tblMovement[[#This Row],[Destination]],tblDestinations[Destination],0)),"?"))</f>
        <v/>
      </c>
      <c r="M2740" s="64">
        <f>IF(tblMovement[[#This Row],[Material]]="","",IF(LEFT(tblMovement[[#This Row],[Material]],3)="Ore",1,0))</f>
        <v/>
      </c>
      <c r="N2740" s="59">
        <f>IF(OR(tblMovement[[#This Row],[Tonnes_t]]="",tblMovement[[#This Row],[Grade_gpt]]=""),0,tblMovement[[#This Row],[Tonnes_t]]*tblMovement[[#This Row],[Grade_gpt]]/cfg_TroyOz)</f>
        <v/>
      </c>
      <c r="O2740" s="59">
        <f>IF(tblMovement[[#This Row],[Is_Ore]]=1,tblMovement[[#This Row],[Contained_oz]],0)</f>
        <v/>
      </c>
    </row>
    <row r="2741">
      <c r="A2741" s="54" t="n"/>
      <c r="B2741" s="61" t="n"/>
      <c r="C2741" s="61" t="n"/>
      <c r="D2741" s="61" t="n"/>
      <c r="E2741" s="61" t="n"/>
      <c r="F2741" s="55" t="n"/>
      <c r="G2741" s="56" t="n"/>
      <c r="H2741" s="55" t="n"/>
      <c r="I2741" s="62" t="n"/>
      <c r="J2741" s="58" t="n"/>
      <c r="K2741" s="63">
        <f>IF(tblMovement[[#This Row],[Source]]="","",IFERROR(INDEX(tblSources[Type],MATCH(tblMovement[[#This Row],[Source]],tblSources[Source],0)),"?"))</f>
        <v/>
      </c>
      <c r="L2741" s="63">
        <f>IF(tblMovement[[#This Row],[Destination]]="","",IFERROR(INDEX(tblDestinations[Type],MATCH(tblMovement[[#This Row],[Destination]],tblDestinations[Destination],0)),"?"))</f>
        <v/>
      </c>
      <c r="M2741" s="64">
        <f>IF(tblMovement[[#This Row],[Material]]="","",IF(LEFT(tblMovement[[#This Row],[Material]],3)="Ore",1,0))</f>
        <v/>
      </c>
      <c r="N2741" s="59">
        <f>IF(OR(tblMovement[[#This Row],[Tonnes_t]]="",tblMovement[[#This Row],[Grade_gpt]]=""),0,tblMovement[[#This Row],[Tonnes_t]]*tblMovement[[#This Row],[Grade_gpt]]/cfg_TroyOz)</f>
        <v/>
      </c>
      <c r="O2741" s="59">
        <f>IF(tblMovement[[#This Row],[Is_Ore]]=1,tblMovement[[#This Row],[Contained_oz]],0)</f>
        <v/>
      </c>
    </row>
    <row r="2742">
      <c r="A2742" s="54" t="n"/>
      <c r="B2742" s="61" t="n"/>
      <c r="C2742" s="61" t="n"/>
      <c r="D2742" s="61" t="n"/>
      <c r="E2742" s="61" t="n"/>
      <c r="F2742" s="55" t="n"/>
      <c r="G2742" s="56" t="n"/>
      <c r="H2742" s="55" t="n"/>
      <c r="I2742" s="62" t="n"/>
      <c r="J2742" s="58" t="n"/>
      <c r="K2742" s="63">
        <f>IF(tblMovement[[#This Row],[Source]]="","",IFERROR(INDEX(tblSources[Type],MATCH(tblMovement[[#This Row],[Source]],tblSources[Source],0)),"?"))</f>
        <v/>
      </c>
      <c r="L2742" s="63">
        <f>IF(tblMovement[[#This Row],[Destination]]="","",IFERROR(INDEX(tblDestinations[Type],MATCH(tblMovement[[#This Row],[Destination]],tblDestinations[Destination],0)),"?"))</f>
        <v/>
      </c>
      <c r="M2742" s="64">
        <f>IF(tblMovement[[#This Row],[Material]]="","",IF(LEFT(tblMovement[[#This Row],[Material]],3)="Ore",1,0))</f>
        <v/>
      </c>
      <c r="N2742" s="59">
        <f>IF(OR(tblMovement[[#This Row],[Tonnes_t]]="",tblMovement[[#This Row],[Grade_gpt]]=""),0,tblMovement[[#This Row],[Tonnes_t]]*tblMovement[[#This Row],[Grade_gpt]]/cfg_TroyOz)</f>
        <v/>
      </c>
      <c r="O2742" s="59">
        <f>IF(tblMovement[[#This Row],[Is_Ore]]=1,tblMovement[[#This Row],[Contained_oz]],0)</f>
        <v/>
      </c>
    </row>
    <row r="2743">
      <c r="A2743" s="54" t="n"/>
      <c r="B2743" s="61" t="n"/>
      <c r="C2743" s="61" t="n"/>
      <c r="D2743" s="61" t="n"/>
      <c r="E2743" s="61" t="n"/>
      <c r="F2743" s="55" t="n"/>
      <c r="G2743" s="56" t="n"/>
      <c r="H2743" s="55" t="n"/>
      <c r="I2743" s="62" t="n"/>
      <c r="J2743" s="58" t="n"/>
      <c r="K2743" s="63">
        <f>IF(tblMovement[[#This Row],[Source]]="","",IFERROR(INDEX(tblSources[Type],MATCH(tblMovement[[#This Row],[Source]],tblSources[Source],0)),"?"))</f>
        <v/>
      </c>
      <c r="L2743" s="63">
        <f>IF(tblMovement[[#This Row],[Destination]]="","",IFERROR(INDEX(tblDestinations[Type],MATCH(tblMovement[[#This Row],[Destination]],tblDestinations[Destination],0)),"?"))</f>
        <v/>
      </c>
      <c r="M2743" s="64">
        <f>IF(tblMovement[[#This Row],[Material]]="","",IF(LEFT(tblMovement[[#This Row],[Material]],3)="Ore",1,0))</f>
        <v/>
      </c>
      <c r="N2743" s="59">
        <f>IF(OR(tblMovement[[#This Row],[Tonnes_t]]="",tblMovement[[#This Row],[Grade_gpt]]=""),0,tblMovement[[#This Row],[Tonnes_t]]*tblMovement[[#This Row],[Grade_gpt]]/cfg_TroyOz)</f>
        <v/>
      </c>
      <c r="O2743" s="59">
        <f>IF(tblMovement[[#This Row],[Is_Ore]]=1,tblMovement[[#This Row],[Contained_oz]],0)</f>
        <v/>
      </c>
    </row>
    <row r="2744">
      <c r="A2744" s="54" t="n"/>
      <c r="B2744" s="61" t="n"/>
      <c r="C2744" s="61" t="n"/>
      <c r="D2744" s="61" t="n"/>
      <c r="E2744" s="61" t="n"/>
      <c r="F2744" s="55" t="n"/>
      <c r="G2744" s="56" t="n"/>
      <c r="H2744" s="55" t="n"/>
      <c r="I2744" s="62" t="n"/>
      <c r="J2744" s="58" t="n"/>
      <c r="K2744" s="63">
        <f>IF(tblMovement[[#This Row],[Source]]="","",IFERROR(INDEX(tblSources[Type],MATCH(tblMovement[[#This Row],[Source]],tblSources[Source],0)),"?"))</f>
        <v/>
      </c>
      <c r="L2744" s="63">
        <f>IF(tblMovement[[#This Row],[Destination]]="","",IFERROR(INDEX(tblDestinations[Type],MATCH(tblMovement[[#This Row],[Destination]],tblDestinations[Destination],0)),"?"))</f>
        <v/>
      </c>
      <c r="M2744" s="64">
        <f>IF(tblMovement[[#This Row],[Material]]="","",IF(LEFT(tblMovement[[#This Row],[Material]],3)="Ore",1,0))</f>
        <v/>
      </c>
      <c r="N2744" s="59">
        <f>IF(OR(tblMovement[[#This Row],[Tonnes_t]]="",tblMovement[[#This Row],[Grade_gpt]]=""),0,tblMovement[[#This Row],[Tonnes_t]]*tblMovement[[#This Row],[Grade_gpt]]/cfg_TroyOz)</f>
        <v/>
      </c>
      <c r="O2744" s="59">
        <f>IF(tblMovement[[#This Row],[Is_Ore]]=1,tblMovement[[#This Row],[Contained_oz]],0)</f>
        <v/>
      </c>
    </row>
    <row r="2745">
      <c r="A2745" s="54" t="n"/>
      <c r="B2745" s="61" t="n"/>
      <c r="C2745" s="61" t="n"/>
      <c r="D2745" s="61" t="n"/>
      <c r="E2745" s="61" t="n"/>
      <c r="F2745" s="55" t="n"/>
      <c r="G2745" s="56" t="n"/>
      <c r="H2745" s="55" t="n"/>
      <c r="I2745" s="62" t="n"/>
      <c r="J2745" s="58" t="n"/>
      <c r="K2745" s="63">
        <f>IF(tblMovement[[#This Row],[Source]]="","",IFERROR(INDEX(tblSources[Type],MATCH(tblMovement[[#This Row],[Source]],tblSources[Source],0)),"?"))</f>
        <v/>
      </c>
      <c r="L2745" s="63">
        <f>IF(tblMovement[[#This Row],[Destination]]="","",IFERROR(INDEX(tblDestinations[Type],MATCH(tblMovement[[#This Row],[Destination]],tblDestinations[Destination],0)),"?"))</f>
        <v/>
      </c>
      <c r="M2745" s="64">
        <f>IF(tblMovement[[#This Row],[Material]]="","",IF(LEFT(tblMovement[[#This Row],[Material]],3)="Ore",1,0))</f>
        <v/>
      </c>
      <c r="N2745" s="59">
        <f>IF(OR(tblMovement[[#This Row],[Tonnes_t]]="",tblMovement[[#This Row],[Grade_gpt]]=""),0,tblMovement[[#This Row],[Tonnes_t]]*tblMovement[[#This Row],[Grade_gpt]]/cfg_TroyOz)</f>
        <v/>
      </c>
      <c r="O2745" s="59">
        <f>IF(tblMovement[[#This Row],[Is_Ore]]=1,tblMovement[[#This Row],[Contained_oz]],0)</f>
        <v/>
      </c>
    </row>
    <row r="2746">
      <c r="A2746" s="54" t="n"/>
      <c r="B2746" s="61" t="n"/>
      <c r="C2746" s="61" t="n"/>
      <c r="D2746" s="61" t="n"/>
      <c r="E2746" s="61" t="n"/>
      <c r="F2746" s="55" t="n"/>
      <c r="G2746" s="56" t="n"/>
      <c r="H2746" s="55" t="n"/>
      <c r="I2746" s="62" t="n"/>
      <c r="J2746" s="58" t="n"/>
      <c r="K2746" s="63">
        <f>IF(tblMovement[[#This Row],[Source]]="","",IFERROR(INDEX(tblSources[Type],MATCH(tblMovement[[#This Row],[Source]],tblSources[Source],0)),"?"))</f>
        <v/>
      </c>
      <c r="L2746" s="63">
        <f>IF(tblMovement[[#This Row],[Destination]]="","",IFERROR(INDEX(tblDestinations[Type],MATCH(tblMovement[[#This Row],[Destination]],tblDestinations[Destination],0)),"?"))</f>
        <v/>
      </c>
      <c r="M2746" s="64">
        <f>IF(tblMovement[[#This Row],[Material]]="","",IF(LEFT(tblMovement[[#This Row],[Material]],3)="Ore",1,0))</f>
        <v/>
      </c>
      <c r="N2746" s="59">
        <f>IF(OR(tblMovement[[#This Row],[Tonnes_t]]="",tblMovement[[#This Row],[Grade_gpt]]=""),0,tblMovement[[#This Row],[Tonnes_t]]*tblMovement[[#This Row],[Grade_gpt]]/cfg_TroyOz)</f>
        <v/>
      </c>
      <c r="O2746" s="59">
        <f>IF(tblMovement[[#This Row],[Is_Ore]]=1,tblMovement[[#This Row],[Contained_oz]],0)</f>
        <v/>
      </c>
    </row>
    <row r="2747">
      <c r="A2747" s="54" t="n"/>
      <c r="B2747" s="61" t="n"/>
      <c r="C2747" s="61" t="n"/>
      <c r="D2747" s="61" t="n"/>
      <c r="E2747" s="61" t="n"/>
      <c r="F2747" s="55" t="n"/>
      <c r="G2747" s="56" t="n"/>
      <c r="H2747" s="55" t="n"/>
      <c r="I2747" s="62" t="n"/>
      <c r="J2747" s="58" t="n"/>
      <c r="K2747" s="63">
        <f>IF(tblMovement[[#This Row],[Source]]="","",IFERROR(INDEX(tblSources[Type],MATCH(tblMovement[[#This Row],[Source]],tblSources[Source],0)),"?"))</f>
        <v/>
      </c>
      <c r="L2747" s="63">
        <f>IF(tblMovement[[#This Row],[Destination]]="","",IFERROR(INDEX(tblDestinations[Type],MATCH(tblMovement[[#This Row],[Destination]],tblDestinations[Destination],0)),"?"))</f>
        <v/>
      </c>
      <c r="M2747" s="64">
        <f>IF(tblMovement[[#This Row],[Material]]="","",IF(LEFT(tblMovement[[#This Row],[Material]],3)="Ore",1,0))</f>
        <v/>
      </c>
      <c r="N2747" s="59">
        <f>IF(OR(tblMovement[[#This Row],[Tonnes_t]]="",tblMovement[[#This Row],[Grade_gpt]]=""),0,tblMovement[[#This Row],[Tonnes_t]]*tblMovement[[#This Row],[Grade_gpt]]/cfg_TroyOz)</f>
        <v/>
      </c>
      <c r="O2747" s="59">
        <f>IF(tblMovement[[#This Row],[Is_Ore]]=1,tblMovement[[#This Row],[Contained_oz]],0)</f>
        <v/>
      </c>
    </row>
    <row r="2748">
      <c r="A2748" s="54" t="n"/>
      <c r="B2748" s="61" t="n"/>
      <c r="C2748" s="61" t="n"/>
      <c r="D2748" s="61" t="n"/>
      <c r="E2748" s="61" t="n"/>
      <c r="F2748" s="55" t="n"/>
      <c r="G2748" s="56" t="n"/>
      <c r="H2748" s="55" t="n"/>
      <c r="I2748" s="62" t="n"/>
      <c r="J2748" s="58" t="n"/>
      <c r="K2748" s="63">
        <f>IF(tblMovement[[#This Row],[Source]]="","",IFERROR(INDEX(tblSources[Type],MATCH(tblMovement[[#This Row],[Source]],tblSources[Source],0)),"?"))</f>
        <v/>
      </c>
      <c r="L2748" s="63">
        <f>IF(tblMovement[[#This Row],[Destination]]="","",IFERROR(INDEX(tblDestinations[Type],MATCH(tblMovement[[#This Row],[Destination]],tblDestinations[Destination],0)),"?"))</f>
        <v/>
      </c>
      <c r="M2748" s="64">
        <f>IF(tblMovement[[#This Row],[Material]]="","",IF(LEFT(tblMovement[[#This Row],[Material]],3)="Ore",1,0))</f>
        <v/>
      </c>
      <c r="N2748" s="59">
        <f>IF(OR(tblMovement[[#This Row],[Tonnes_t]]="",tblMovement[[#This Row],[Grade_gpt]]=""),0,tblMovement[[#This Row],[Tonnes_t]]*tblMovement[[#This Row],[Grade_gpt]]/cfg_TroyOz)</f>
        <v/>
      </c>
      <c r="O2748" s="59">
        <f>IF(tblMovement[[#This Row],[Is_Ore]]=1,tblMovement[[#This Row],[Contained_oz]],0)</f>
        <v/>
      </c>
    </row>
    <row r="2749">
      <c r="A2749" s="54" t="n"/>
      <c r="B2749" s="61" t="n"/>
      <c r="C2749" s="61" t="n"/>
      <c r="D2749" s="61" t="n"/>
      <c r="E2749" s="61" t="n"/>
      <c r="F2749" s="55" t="n"/>
      <c r="G2749" s="56" t="n"/>
      <c r="H2749" s="55" t="n"/>
      <c r="I2749" s="62" t="n"/>
      <c r="J2749" s="58" t="n"/>
      <c r="K2749" s="63">
        <f>IF(tblMovement[[#This Row],[Source]]="","",IFERROR(INDEX(tblSources[Type],MATCH(tblMovement[[#This Row],[Source]],tblSources[Source],0)),"?"))</f>
        <v/>
      </c>
      <c r="L2749" s="63">
        <f>IF(tblMovement[[#This Row],[Destination]]="","",IFERROR(INDEX(tblDestinations[Type],MATCH(tblMovement[[#This Row],[Destination]],tblDestinations[Destination],0)),"?"))</f>
        <v/>
      </c>
      <c r="M2749" s="64">
        <f>IF(tblMovement[[#This Row],[Material]]="","",IF(LEFT(tblMovement[[#This Row],[Material]],3)="Ore",1,0))</f>
        <v/>
      </c>
      <c r="N2749" s="59">
        <f>IF(OR(tblMovement[[#This Row],[Tonnes_t]]="",tblMovement[[#This Row],[Grade_gpt]]=""),0,tblMovement[[#This Row],[Tonnes_t]]*tblMovement[[#This Row],[Grade_gpt]]/cfg_TroyOz)</f>
        <v/>
      </c>
      <c r="O2749" s="59">
        <f>IF(tblMovement[[#This Row],[Is_Ore]]=1,tblMovement[[#This Row],[Contained_oz]],0)</f>
        <v/>
      </c>
    </row>
    <row r="2750">
      <c r="A2750" s="54" t="n"/>
      <c r="B2750" s="61" t="n"/>
      <c r="C2750" s="61" t="n"/>
      <c r="D2750" s="61" t="n"/>
      <c r="E2750" s="61" t="n"/>
      <c r="F2750" s="55" t="n"/>
      <c r="G2750" s="56" t="n"/>
      <c r="H2750" s="55" t="n"/>
      <c r="I2750" s="62" t="n"/>
      <c r="J2750" s="58" t="n"/>
      <c r="K2750" s="63">
        <f>IF(tblMovement[[#This Row],[Source]]="","",IFERROR(INDEX(tblSources[Type],MATCH(tblMovement[[#This Row],[Source]],tblSources[Source],0)),"?"))</f>
        <v/>
      </c>
      <c r="L2750" s="63">
        <f>IF(tblMovement[[#This Row],[Destination]]="","",IFERROR(INDEX(tblDestinations[Type],MATCH(tblMovement[[#This Row],[Destination]],tblDestinations[Destination],0)),"?"))</f>
        <v/>
      </c>
      <c r="M2750" s="64">
        <f>IF(tblMovement[[#This Row],[Material]]="","",IF(LEFT(tblMovement[[#This Row],[Material]],3)="Ore",1,0))</f>
        <v/>
      </c>
      <c r="N2750" s="59">
        <f>IF(OR(tblMovement[[#This Row],[Tonnes_t]]="",tblMovement[[#This Row],[Grade_gpt]]=""),0,tblMovement[[#This Row],[Tonnes_t]]*tblMovement[[#This Row],[Grade_gpt]]/cfg_TroyOz)</f>
        <v/>
      </c>
      <c r="O2750" s="59">
        <f>IF(tblMovement[[#This Row],[Is_Ore]]=1,tblMovement[[#This Row],[Contained_oz]],0)</f>
        <v/>
      </c>
    </row>
    <row r="2751">
      <c r="A2751" s="54" t="n"/>
      <c r="B2751" s="61" t="n"/>
      <c r="C2751" s="61" t="n"/>
      <c r="D2751" s="61" t="n"/>
      <c r="E2751" s="61" t="n"/>
      <c r="F2751" s="55" t="n"/>
      <c r="G2751" s="56" t="n"/>
      <c r="H2751" s="55" t="n"/>
      <c r="I2751" s="62" t="n"/>
      <c r="J2751" s="58" t="n"/>
      <c r="K2751" s="63">
        <f>IF(tblMovement[[#This Row],[Source]]="","",IFERROR(INDEX(tblSources[Type],MATCH(tblMovement[[#This Row],[Source]],tblSources[Source],0)),"?"))</f>
        <v/>
      </c>
      <c r="L2751" s="63">
        <f>IF(tblMovement[[#This Row],[Destination]]="","",IFERROR(INDEX(tblDestinations[Type],MATCH(tblMovement[[#This Row],[Destination]],tblDestinations[Destination],0)),"?"))</f>
        <v/>
      </c>
      <c r="M2751" s="64">
        <f>IF(tblMovement[[#This Row],[Material]]="","",IF(LEFT(tblMovement[[#This Row],[Material]],3)="Ore",1,0))</f>
        <v/>
      </c>
      <c r="N2751" s="59">
        <f>IF(OR(tblMovement[[#This Row],[Tonnes_t]]="",tblMovement[[#This Row],[Grade_gpt]]=""),0,tblMovement[[#This Row],[Tonnes_t]]*tblMovement[[#This Row],[Grade_gpt]]/cfg_TroyOz)</f>
        <v/>
      </c>
      <c r="O2751" s="59">
        <f>IF(tblMovement[[#This Row],[Is_Ore]]=1,tblMovement[[#This Row],[Contained_oz]],0)</f>
        <v/>
      </c>
    </row>
    <row r="2752">
      <c r="A2752" s="54" t="n"/>
      <c r="B2752" s="61" t="n"/>
      <c r="C2752" s="61" t="n"/>
      <c r="D2752" s="61" t="n"/>
      <c r="E2752" s="61" t="n"/>
      <c r="F2752" s="55" t="n"/>
      <c r="G2752" s="56" t="n"/>
      <c r="H2752" s="55" t="n"/>
      <c r="I2752" s="62" t="n"/>
      <c r="J2752" s="58" t="n"/>
      <c r="K2752" s="63">
        <f>IF(tblMovement[[#This Row],[Source]]="","",IFERROR(INDEX(tblSources[Type],MATCH(tblMovement[[#This Row],[Source]],tblSources[Source],0)),"?"))</f>
        <v/>
      </c>
      <c r="L2752" s="63">
        <f>IF(tblMovement[[#This Row],[Destination]]="","",IFERROR(INDEX(tblDestinations[Type],MATCH(tblMovement[[#This Row],[Destination]],tblDestinations[Destination],0)),"?"))</f>
        <v/>
      </c>
      <c r="M2752" s="64">
        <f>IF(tblMovement[[#This Row],[Material]]="","",IF(LEFT(tblMovement[[#This Row],[Material]],3)="Ore",1,0))</f>
        <v/>
      </c>
      <c r="N2752" s="59">
        <f>IF(OR(tblMovement[[#This Row],[Tonnes_t]]="",tblMovement[[#This Row],[Grade_gpt]]=""),0,tblMovement[[#This Row],[Tonnes_t]]*tblMovement[[#This Row],[Grade_gpt]]/cfg_TroyOz)</f>
        <v/>
      </c>
      <c r="O2752" s="59">
        <f>IF(tblMovement[[#This Row],[Is_Ore]]=1,tblMovement[[#This Row],[Contained_oz]],0)</f>
        <v/>
      </c>
    </row>
    <row r="2753">
      <c r="A2753" s="54" t="n"/>
      <c r="B2753" s="61" t="n"/>
      <c r="C2753" s="61" t="n"/>
      <c r="D2753" s="61" t="n"/>
      <c r="E2753" s="61" t="n"/>
      <c r="F2753" s="55" t="n"/>
      <c r="G2753" s="56" t="n"/>
      <c r="H2753" s="55" t="n"/>
      <c r="I2753" s="62" t="n"/>
      <c r="J2753" s="58" t="n"/>
      <c r="K2753" s="63">
        <f>IF(tblMovement[[#This Row],[Source]]="","",IFERROR(INDEX(tblSources[Type],MATCH(tblMovement[[#This Row],[Source]],tblSources[Source],0)),"?"))</f>
        <v/>
      </c>
      <c r="L2753" s="63">
        <f>IF(tblMovement[[#This Row],[Destination]]="","",IFERROR(INDEX(tblDestinations[Type],MATCH(tblMovement[[#This Row],[Destination]],tblDestinations[Destination],0)),"?"))</f>
        <v/>
      </c>
      <c r="M2753" s="64">
        <f>IF(tblMovement[[#This Row],[Material]]="","",IF(LEFT(tblMovement[[#This Row],[Material]],3)="Ore",1,0))</f>
        <v/>
      </c>
      <c r="N2753" s="59">
        <f>IF(OR(tblMovement[[#This Row],[Tonnes_t]]="",tblMovement[[#This Row],[Grade_gpt]]=""),0,tblMovement[[#This Row],[Tonnes_t]]*tblMovement[[#This Row],[Grade_gpt]]/cfg_TroyOz)</f>
        <v/>
      </c>
      <c r="O2753" s="59">
        <f>IF(tblMovement[[#This Row],[Is_Ore]]=1,tblMovement[[#This Row],[Contained_oz]],0)</f>
        <v/>
      </c>
    </row>
    <row r="2754">
      <c r="A2754" s="54" t="n"/>
      <c r="B2754" s="61" t="n"/>
      <c r="C2754" s="61" t="n"/>
      <c r="D2754" s="61" t="n"/>
      <c r="E2754" s="61" t="n"/>
      <c r="F2754" s="55" t="n"/>
      <c r="G2754" s="56" t="n"/>
      <c r="H2754" s="55" t="n"/>
      <c r="I2754" s="62" t="n"/>
      <c r="J2754" s="58" t="n"/>
      <c r="K2754" s="63">
        <f>IF(tblMovement[[#This Row],[Source]]="","",IFERROR(INDEX(tblSources[Type],MATCH(tblMovement[[#This Row],[Source]],tblSources[Source],0)),"?"))</f>
        <v/>
      </c>
      <c r="L2754" s="63">
        <f>IF(tblMovement[[#This Row],[Destination]]="","",IFERROR(INDEX(tblDestinations[Type],MATCH(tblMovement[[#This Row],[Destination]],tblDestinations[Destination],0)),"?"))</f>
        <v/>
      </c>
      <c r="M2754" s="64">
        <f>IF(tblMovement[[#This Row],[Material]]="","",IF(LEFT(tblMovement[[#This Row],[Material]],3)="Ore",1,0))</f>
        <v/>
      </c>
      <c r="N2754" s="59">
        <f>IF(OR(tblMovement[[#This Row],[Tonnes_t]]="",tblMovement[[#This Row],[Grade_gpt]]=""),0,tblMovement[[#This Row],[Tonnes_t]]*tblMovement[[#This Row],[Grade_gpt]]/cfg_TroyOz)</f>
        <v/>
      </c>
      <c r="O2754" s="59">
        <f>IF(tblMovement[[#This Row],[Is_Ore]]=1,tblMovement[[#This Row],[Contained_oz]],0)</f>
        <v/>
      </c>
    </row>
    <row r="2755">
      <c r="A2755" s="54" t="n"/>
      <c r="B2755" s="61" t="n"/>
      <c r="C2755" s="61" t="n"/>
      <c r="D2755" s="61" t="n"/>
      <c r="E2755" s="61" t="n"/>
      <c r="F2755" s="55" t="n"/>
      <c r="G2755" s="56" t="n"/>
      <c r="H2755" s="55" t="n"/>
      <c r="I2755" s="62" t="n"/>
      <c r="J2755" s="58" t="n"/>
      <c r="K2755" s="63">
        <f>IF(tblMovement[[#This Row],[Source]]="","",IFERROR(INDEX(tblSources[Type],MATCH(tblMovement[[#This Row],[Source]],tblSources[Source],0)),"?"))</f>
        <v/>
      </c>
      <c r="L2755" s="63">
        <f>IF(tblMovement[[#This Row],[Destination]]="","",IFERROR(INDEX(tblDestinations[Type],MATCH(tblMovement[[#This Row],[Destination]],tblDestinations[Destination],0)),"?"))</f>
        <v/>
      </c>
      <c r="M2755" s="64">
        <f>IF(tblMovement[[#This Row],[Material]]="","",IF(LEFT(tblMovement[[#This Row],[Material]],3)="Ore",1,0))</f>
        <v/>
      </c>
      <c r="N2755" s="59">
        <f>IF(OR(tblMovement[[#This Row],[Tonnes_t]]="",tblMovement[[#This Row],[Grade_gpt]]=""),0,tblMovement[[#This Row],[Tonnes_t]]*tblMovement[[#This Row],[Grade_gpt]]/cfg_TroyOz)</f>
        <v/>
      </c>
      <c r="O2755" s="59">
        <f>IF(tblMovement[[#This Row],[Is_Ore]]=1,tblMovement[[#This Row],[Contained_oz]],0)</f>
        <v/>
      </c>
    </row>
    <row r="2756">
      <c r="A2756" s="54" t="n"/>
      <c r="B2756" s="61" t="n"/>
      <c r="C2756" s="61" t="n"/>
      <c r="D2756" s="61" t="n"/>
      <c r="E2756" s="61" t="n"/>
      <c r="F2756" s="55" t="n"/>
      <c r="G2756" s="56" t="n"/>
      <c r="H2756" s="55" t="n"/>
      <c r="I2756" s="62" t="n"/>
      <c r="J2756" s="58" t="n"/>
      <c r="K2756" s="63">
        <f>IF(tblMovement[[#This Row],[Source]]="","",IFERROR(INDEX(tblSources[Type],MATCH(tblMovement[[#This Row],[Source]],tblSources[Source],0)),"?"))</f>
        <v/>
      </c>
      <c r="L2756" s="63">
        <f>IF(tblMovement[[#This Row],[Destination]]="","",IFERROR(INDEX(tblDestinations[Type],MATCH(tblMovement[[#This Row],[Destination]],tblDestinations[Destination],0)),"?"))</f>
        <v/>
      </c>
      <c r="M2756" s="64">
        <f>IF(tblMovement[[#This Row],[Material]]="","",IF(LEFT(tblMovement[[#This Row],[Material]],3)="Ore",1,0))</f>
        <v/>
      </c>
      <c r="N2756" s="59">
        <f>IF(OR(tblMovement[[#This Row],[Tonnes_t]]="",tblMovement[[#This Row],[Grade_gpt]]=""),0,tblMovement[[#This Row],[Tonnes_t]]*tblMovement[[#This Row],[Grade_gpt]]/cfg_TroyOz)</f>
        <v/>
      </c>
      <c r="O2756" s="59">
        <f>IF(tblMovement[[#This Row],[Is_Ore]]=1,tblMovement[[#This Row],[Contained_oz]],0)</f>
        <v/>
      </c>
    </row>
    <row r="2757">
      <c r="A2757" s="54" t="n"/>
      <c r="B2757" s="61" t="n"/>
      <c r="C2757" s="61" t="n"/>
      <c r="D2757" s="61" t="n"/>
      <c r="E2757" s="61" t="n"/>
      <c r="F2757" s="55" t="n"/>
      <c r="G2757" s="56" t="n"/>
      <c r="H2757" s="55" t="n"/>
      <c r="I2757" s="62" t="n"/>
      <c r="J2757" s="58" t="n"/>
      <c r="K2757" s="63">
        <f>IF(tblMovement[[#This Row],[Source]]="","",IFERROR(INDEX(tblSources[Type],MATCH(tblMovement[[#This Row],[Source]],tblSources[Source],0)),"?"))</f>
        <v/>
      </c>
      <c r="L2757" s="63">
        <f>IF(tblMovement[[#This Row],[Destination]]="","",IFERROR(INDEX(tblDestinations[Type],MATCH(tblMovement[[#This Row],[Destination]],tblDestinations[Destination],0)),"?"))</f>
        <v/>
      </c>
      <c r="M2757" s="64">
        <f>IF(tblMovement[[#This Row],[Material]]="","",IF(LEFT(tblMovement[[#This Row],[Material]],3)="Ore",1,0))</f>
        <v/>
      </c>
      <c r="N2757" s="59">
        <f>IF(OR(tblMovement[[#This Row],[Tonnes_t]]="",tblMovement[[#This Row],[Grade_gpt]]=""),0,tblMovement[[#This Row],[Tonnes_t]]*tblMovement[[#This Row],[Grade_gpt]]/cfg_TroyOz)</f>
        <v/>
      </c>
      <c r="O2757" s="59">
        <f>IF(tblMovement[[#This Row],[Is_Ore]]=1,tblMovement[[#This Row],[Contained_oz]],0)</f>
        <v/>
      </c>
    </row>
    <row r="2758">
      <c r="A2758" s="54" t="n"/>
      <c r="B2758" s="61" t="n"/>
      <c r="C2758" s="61" t="n"/>
      <c r="D2758" s="61" t="n"/>
      <c r="E2758" s="61" t="n"/>
      <c r="F2758" s="55" t="n"/>
      <c r="G2758" s="56" t="n"/>
      <c r="H2758" s="55" t="n"/>
      <c r="I2758" s="62" t="n"/>
      <c r="J2758" s="58" t="n"/>
      <c r="K2758" s="63">
        <f>IF(tblMovement[[#This Row],[Source]]="","",IFERROR(INDEX(tblSources[Type],MATCH(tblMovement[[#This Row],[Source]],tblSources[Source],0)),"?"))</f>
        <v/>
      </c>
      <c r="L2758" s="63">
        <f>IF(tblMovement[[#This Row],[Destination]]="","",IFERROR(INDEX(tblDestinations[Type],MATCH(tblMovement[[#This Row],[Destination]],tblDestinations[Destination],0)),"?"))</f>
        <v/>
      </c>
      <c r="M2758" s="64">
        <f>IF(tblMovement[[#This Row],[Material]]="","",IF(LEFT(tblMovement[[#This Row],[Material]],3)="Ore",1,0))</f>
        <v/>
      </c>
      <c r="N2758" s="59">
        <f>IF(OR(tblMovement[[#This Row],[Tonnes_t]]="",tblMovement[[#This Row],[Grade_gpt]]=""),0,tblMovement[[#This Row],[Tonnes_t]]*tblMovement[[#This Row],[Grade_gpt]]/cfg_TroyOz)</f>
        <v/>
      </c>
      <c r="O2758" s="59">
        <f>IF(tblMovement[[#This Row],[Is_Ore]]=1,tblMovement[[#This Row],[Contained_oz]],0)</f>
        <v/>
      </c>
    </row>
    <row r="2759">
      <c r="A2759" s="54" t="n"/>
      <c r="B2759" s="61" t="n"/>
      <c r="C2759" s="61" t="n"/>
      <c r="D2759" s="61" t="n"/>
      <c r="E2759" s="61" t="n"/>
      <c r="F2759" s="55" t="n"/>
      <c r="G2759" s="56" t="n"/>
      <c r="H2759" s="55" t="n"/>
      <c r="I2759" s="62" t="n"/>
      <c r="J2759" s="58" t="n"/>
      <c r="K2759" s="63">
        <f>IF(tblMovement[[#This Row],[Source]]="","",IFERROR(INDEX(tblSources[Type],MATCH(tblMovement[[#This Row],[Source]],tblSources[Source],0)),"?"))</f>
        <v/>
      </c>
      <c r="L2759" s="63">
        <f>IF(tblMovement[[#This Row],[Destination]]="","",IFERROR(INDEX(tblDestinations[Type],MATCH(tblMovement[[#This Row],[Destination]],tblDestinations[Destination],0)),"?"))</f>
        <v/>
      </c>
      <c r="M2759" s="64">
        <f>IF(tblMovement[[#This Row],[Material]]="","",IF(LEFT(tblMovement[[#This Row],[Material]],3)="Ore",1,0))</f>
        <v/>
      </c>
      <c r="N2759" s="59">
        <f>IF(OR(tblMovement[[#This Row],[Tonnes_t]]="",tblMovement[[#This Row],[Grade_gpt]]=""),0,tblMovement[[#This Row],[Tonnes_t]]*tblMovement[[#This Row],[Grade_gpt]]/cfg_TroyOz)</f>
        <v/>
      </c>
      <c r="O2759" s="59">
        <f>IF(tblMovement[[#This Row],[Is_Ore]]=1,tblMovement[[#This Row],[Contained_oz]],0)</f>
        <v/>
      </c>
    </row>
    <row r="2760">
      <c r="A2760" s="54" t="n"/>
      <c r="B2760" s="61" t="n"/>
      <c r="C2760" s="61" t="n"/>
      <c r="D2760" s="61" t="n"/>
      <c r="E2760" s="61" t="n"/>
      <c r="F2760" s="55" t="n"/>
      <c r="G2760" s="56" t="n"/>
      <c r="H2760" s="55" t="n"/>
      <c r="I2760" s="62" t="n"/>
      <c r="J2760" s="58" t="n"/>
      <c r="K2760" s="63">
        <f>IF(tblMovement[[#This Row],[Source]]="","",IFERROR(INDEX(tblSources[Type],MATCH(tblMovement[[#This Row],[Source]],tblSources[Source],0)),"?"))</f>
        <v/>
      </c>
      <c r="L2760" s="63">
        <f>IF(tblMovement[[#This Row],[Destination]]="","",IFERROR(INDEX(tblDestinations[Type],MATCH(tblMovement[[#This Row],[Destination]],tblDestinations[Destination],0)),"?"))</f>
        <v/>
      </c>
      <c r="M2760" s="64">
        <f>IF(tblMovement[[#This Row],[Material]]="","",IF(LEFT(tblMovement[[#This Row],[Material]],3)="Ore",1,0))</f>
        <v/>
      </c>
      <c r="N2760" s="59">
        <f>IF(OR(tblMovement[[#This Row],[Tonnes_t]]="",tblMovement[[#This Row],[Grade_gpt]]=""),0,tblMovement[[#This Row],[Tonnes_t]]*tblMovement[[#This Row],[Grade_gpt]]/cfg_TroyOz)</f>
        <v/>
      </c>
      <c r="O2760" s="59">
        <f>IF(tblMovement[[#This Row],[Is_Ore]]=1,tblMovement[[#This Row],[Contained_oz]],0)</f>
        <v/>
      </c>
    </row>
    <row r="2761">
      <c r="A2761" s="54" t="n"/>
      <c r="B2761" s="61" t="n"/>
      <c r="C2761" s="61" t="n"/>
      <c r="D2761" s="61" t="n"/>
      <c r="E2761" s="61" t="n"/>
      <c r="F2761" s="55" t="n"/>
      <c r="G2761" s="56" t="n"/>
      <c r="H2761" s="55" t="n"/>
      <c r="I2761" s="62" t="n"/>
      <c r="J2761" s="58" t="n"/>
      <c r="K2761" s="63">
        <f>IF(tblMovement[[#This Row],[Source]]="","",IFERROR(INDEX(tblSources[Type],MATCH(tblMovement[[#This Row],[Source]],tblSources[Source],0)),"?"))</f>
        <v/>
      </c>
      <c r="L2761" s="63">
        <f>IF(tblMovement[[#This Row],[Destination]]="","",IFERROR(INDEX(tblDestinations[Type],MATCH(tblMovement[[#This Row],[Destination]],tblDestinations[Destination],0)),"?"))</f>
        <v/>
      </c>
      <c r="M2761" s="64">
        <f>IF(tblMovement[[#This Row],[Material]]="","",IF(LEFT(tblMovement[[#This Row],[Material]],3)="Ore",1,0))</f>
        <v/>
      </c>
      <c r="N2761" s="59">
        <f>IF(OR(tblMovement[[#This Row],[Tonnes_t]]="",tblMovement[[#This Row],[Grade_gpt]]=""),0,tblMovement[[#This Row],[Tonnes_t]]*tblMovement[[#This Row],[Grade_gpt]]/cfg_TroyOz)</f>
        <v/>
      </c>
      <c r="O2761" s="59">
        <f>IF(tblMovement[[#This Row],[Is_Ore]]=1,tblMovement[[#This Row],[Contained_oz]],0)</f>
        <v/>
      </c>
    </row>
    <row r="2762">
      <c r="A2762" s="54" t="n"/>
      <c r="B2762" s="61" t="n"/>
      <c r="C2762" s="61" t="n"/>
      <c r="D2762" s="61" t="n"/>
      <c r="E2762" s="61" t="n"/>
      <c r="F2762" s="55" t="n"/>
      <c r="G2762" s="56" t="n"/>
      <c r="H2762" s="55" t="n"/>
      <c r="I2762" s="62" t="n"/>
      <c r="J2762" s="58" t="n"/>
      <c r="K2762" s="63">
        <f>IF(tblMovement[[#This Row],[Source]]="","",IFERROR(INDEX(tblSources[Type],MATCH(tblMovement[[#This Row],[Source]],tblSources[Source],0)),"?"))</f>
        <v/>
      </c>
      <c r="L2762" s="63">
        <f>IF(tblMovement[[#This Row],[Destination]]="","",IFERROR(INDEX(tblDestinations[Type],MATCH(tblMovement[[#This Row],[Destination]],tblDestinations[Destination],0)),"?"))</f>
        <v/>
      </c>
      <c r="M2762" s="64">
        <f>IF(tblMovement[[#This Row],[Material]]="","",IF(LEFT(tblMovement[[#This Row],[Material]],3)="Ore",1,0))</f>
        <v/>
      </c>
      <c r="N2762" s="59">
        <f>IF(OR(tblMovement[[#This Row],[Tonnes_t]]="",tblMovement[[#This Row],[Grade_gpt]]=""),0,tblMovement[[#This Row],[Tonnes_t]]*tblMovement[[#This Row],[Grade_gpt]]/cfg_TroyOz)</f>
        <v/>
      </c>
      <c r="O2762" s="59">
        <f>IF(tblMovement[[#This Row],[Is_Ore]]=1,tblMovement[[#This Row],[Contained_oz]],0)</f>
        <v/>
      </c>
    </row>
    <row r="2763">
      <c r="A2763" s="54" t="n"/>
      <c r="B2763" s="61" t="n"/>
      <c r="C2763" s="61" t="n"/>
      <c r="D2763" s="61" t="n"/>
      <c r="E2763" s="61" t="n"/>
      <c r="F2763" s="55" t="n"/>
      <c r="G2763" s="56" t="n"/>
      <c r="H2763" s="55" t="n"/>
      <c r="I2763" s="62" t="n"/>
      <c r="J2763" s="58" t="n"/>
      <c r="K2763" s="63">
        <f>IF(tblMovement[[#This Row],[Source]]="","",IFERROR(INDEX(tblSources[Type],MATCH(tblMovement[[#This Row],[Source]],tblSources[Source],0)),"?"))</f>
        <v/>
      </c>
      <c r="L2763" s="63">
        <f>IF(tblMovement[[#This Row],[Destination]]="","",IFERROR(INDEX(tblDestinations[Type],MATCH(tblMovement[[#This Row],[Destination]],tblDestinations[Destination],0)),"?"))</f>
        <v/>
      </c>
      <c r="M2763" s="64">
        <f>IF(tblMovement[[#This Row],[Material]]="","",IF(LEFT(tblMovement[[#This Row],[Material]],3)="Ore",1,0))</f>
        <v/>
      </c>
      <c r="N2763" s="59">
        <f>IF(OR(tblMovement[[#This Row],[Tonnes_t]]="",tblMovement[[#This Row],[Grade_gpt]]=""),0,tblMovement[[#This Row],[Tonnes_t]]*tblMovement[[#This Row],[Grade_gpt]]/cfg_TroyOz)</f>
        <v/>
      </c>
      <c r="O2763" s="59">
        <f>IF(tblMovement[[#This Row],[Is_Ore]]=1,tblMovement[[#This Row],[Contained_oz]],0)</f>
        <v/>
      </c>
    </row>
    <row r="2764">
      <c r="A2764" s="54" t="n"/>
      <c r="B2764" s="61" t="n"/>
      <c r="C2764" s="61" t="n"/>
      <c r="D2764" s="61" t="n"/>
      <c r="E2764" s="61" t="n"/>
      <c r="F2764" s="55" t="n"/>
      <c r="G2764" s="56" t="n"/>
      <c r="H2764" s="55" t="n"/>
      <c r="I2764" s="62" t="n"/>
      <c r="J2764" s="58" t="n"/>
      <c r="K2764" s="63">
        <f>IF(tblMovement[[#This Row],[Source]]="","",IFERROR(INDEX(tblSources[Type],MATCH(tblMovement[[#This Row],[Source]],tblSources[Source],0)),"?"))</f>
        <v/>
      </c>
      <c r="L2764" s="63">
        <f>IF(tblMovement[[#This Row],[Destination]]="","",IFERROR(INDEX(tblDestinations[Type],MATCH(tblMovement[[#This Row],[Destination]],tblDestinations[Destination],0)),"?"))</f>
        <v/>
      </c>
      <c r="M2764" s="64">
        <f>IF(tblMovement[[#This Row],[Material]]="","",IF(LEFT(tblMovement[[#This Row],[Material]],3)="Ore",1,0))</f>
        <v/>
      </c>
      <c r="N2764" s="59">
        <f>IF(OR(tblMovement[[#This Row],[Tonnes_t]]="",tblMovement[[#This Row],[Grade_gpt]]=""),0,tblMovement[[#This Row],[Tonnes_t]]*tblMovement[[#This Row],[Grade_gpt]]/cfg_TroyOz)</f>
        <v/>
      </c>
      <c r="O2764" s="59">
        <f>IF(tblMovement[[#This Row],[Is_Ore]]=1,tblMovement[[#This Row],[Contained_oz]],0)</f>
        <v/>
      </c>
    </row>
    <row r="2765">
      <c r="A2765" s="54" t="n"/>
      <c r="B2765" s="61" t="n"/>
      <c r="C2765" s="61" t="n"/>
      <c r="D2765" s="61" t="n"/>
      <c r="E2765" s="61" t="n"/>
      <c r="F2765" s="55" t="n"/>
      <c r="G2765" s="56" t="n"/>
      <c r="H2765" s="55" t="n"/>
      <c r="I2765" s="62" t="n"/>
      <c r="J2765" s="58" t="n"/>
      <c r="K2765" s="63">
        <f>IF(tblMovement[[#This Row],[Source]]="","",IFERROR(INDEX(tblSources[Type],MATCH(tblMovement[[#This Row],[Source]],tblSources[Source],0)),"?"))</f>
        <v/>
      </c>
      <c r="L2765" s="63">
        <f>IF(tblMovement[[#This Row],[Destination]]="","",IFERROR(INDEX(tblDestinations[Type],MATCH(tblMovement[[#This Row],[Destination]],tblDestinations[Destination],0)),"?"))</f>
        <v/>
      </c>
      <c r="M2765" s="64">
        <f>IF(tblMovement[[#This Row],[Material]]="","",IF(LEFT(tblMovement[[#This Row],[Material]],3)="Ore",1,0))</f>
        <v/>
      </c>
      <c r="N2765" s="59">
        <f>IF(OR(tblMovement[[#This Row],[Tonnes_t]]="",tblMovement[[#This Row],[Grade_gpt]]=""),0,tblMovement[[#This Row],[Tonnes_t]]*tblMovement[[#This Row],[Grade_gpt]]/cfg_TroyOz)</f>
        <v/>
      </c>
      <c r="O2765" s="59">
        <f>IF(tblMovement[[#This Row],[Is_Ore]]=1,tblMovement[[#This Row],[Contained_oz]],0)</f>
        <v/>
      </c>
    </row>
    <row r="2766">
      <c r="A2766" s="54" t="n"/>
      <c r="B2766" s="61" t="n"/>
      <c r="C2766" s="61" t="n"/>
      <c r="D2766" s="61" t="n"/>
      <c r="E2766" s="61" t="n"/>
      <c r="F2766" s="55" t="n"/>
      <c r="G2766" s="56" t="n"/>
      <c r="H2766" s="55" t="n"/>
      <c r="I2766" s="62" t="n"/>
      <c r="J2766" s="58" t="n"/>
      <c r="K2766" s="63">
        <f>IF(tblMovement[[#This Row],[Source]]="","",IFERROR(INDEX(tblSources[Type],MATCH(tblMovement[[#This Row],[Source]],tblSources[Source],0)),"?"))</f>
        <v/>
      </c>
      <c r="L2766" s="63">
        <f>IF(tblMovement[[#This Row],[Destination]]="","",IFERROR(INDEX(tblDestinations[Type],MATCH(tblMovement[[#This Row],[Destination]],tblDestinations[Destination],0)),"?"))</f>
        <v/>
      </c>
      <c r="M2766" s="64">
        <f>IF(tblMovement[[#This Row],[Material]]="","",IF(LEFT(tblMovement[[#This Row],[Material]],3)="Ore",1,0))</f>
        <v/>
      </c>
      <c r="N2766" s="59">
        <f>IF(OR(tblMovement[[#This Row],[Tonnes_t]]="",tblMovement[[#This Row],[Grade_gpt]]=""),0,tblMovement[[#This Row],[Tonnes_t]]*tblMovement[[#This Row],[Grade_gpt]]/cfg_TroyOz)</f>
        <v/>
      </c>
      <c r="O2766" s="59">
        <f>IF(tblMovement[[#This Row],[Is_Ore]]=1,tblMovement[[#This Row],[Contained_oz]],0)</f>
        <v/>
      </c>
    </row>
    <row r="2767">
      <c r="A2767" s="54" t="n"/>
      <c r="B2767" s="61" t="n"/>
      <c r="C2767" s="61" t="n"/>
      <c r="D2767" s="61" t="n"/>
      <c r="E2767" s="61" t="n"/>
      <c r="F2767" s="55" t="n"/>
      <c r="G2767" s="56" t="n"/>
      <c r="H2767" s="55" t="n"/>
      <c r="I2767" s="62" t="n"/>
      <c r="J2767" s="58" t="n"/>
      <c r="K2767" s="63">
        <f>IF(tblMovement[[#This Row],[Source]]="","",IFERROR(INDEX(tblSources[Type],MATCH(tblMovement[[#This Row],[Source]],tblSources[Source],0)),"?"))</f>
        <v/>
      </c>
      <c r="L2767" s="63">
        <f>IF(tblMovement[[#This Row],[Destination]]="","",IFERROR(INDEX(tblDestinations[Type],MATCH(tblMovement[[#This Row],[Destination]],tblDestinations[Destination],0)),"?"))</f>
        <v/>
      </c>
      <c r="M2767" s="64">
        <f>IF(tblMovement[[#This Row],[Material]]="","",IF(LEFT(tblMovement[[#This Row],[Material]],3)="Ore",1,0))</f>
        <v/>
      </c>
      <c r="N2767" s="59">
        <f>IF(OR(tblMovement[[#This Row],[Tonnes_t]]="",tblMovement[[#This Row],[Grade_gpt]]=""),0,tblMovement[[#This Row],[Tonnes_t]]*tblMovement[[#This Row],[Grade_gpt]]/cfg_TroyOz)</f>
        <v/>
      </c>
      <c r="O2767" s="59">
        <f>IF(tblMovement[[#This Row],[Is_Ore]]=1,tblMovement[[#This Row],[Contained_oz]],0)</f>
        <v/>
      </c>
    </row>
    <row r="2768">
      <c r="A2768" s="54" t="n"/>
      <c r="B2768" s="61" t="n"/>
      <c r="C2768" s="61" t="n"/>
      <c r="D2768" s="61" t="n"/>
      <c r="E2768" s="61" t="n"/>
      <c r="F2768" s="55" t="n"/>
      <c r="G2768" s="56" t="n"/>
      <c r="H2768" s="55" t="n"/>
      <c r="I2768" s="62" t="n"/>
      <c r="J2768" s="58" t="n"/>
      <c r="K2768" s="63">
        <f>IF(tblMovement[[#This Row],[Source]]="","",IFERROR(INDEX(tblSources[Type],MATCH(tblMovement[[#This Row],[Source]],tblSources[Source],0)),"?"))</f>
        <v/>
      </c>
      <c r="L2768" s="63">
        <f>IF(tblMovement[[#This Row],[Destination]]="","",IFERROR(INDEX(tblDestinations[Type],MATCH(tblMovement[[#This Row],[Destination]],tblDestinations[Destination],0)),"?"))</f>
        <v/>
      </c>
      <c r="M2768" s="64">
        <f>IF(tblMovement[[#This Row],[Material]]="","",IF(LEFT(tblMovement[[#This Row],[Material]],3)="Ore",1,0))</f>
        <v/>
      </c>
      <c r="N2768" s="59">
        <f>IF(OR(tblMovement[[#This Row],[Tonnes_t]]="",tblMovement[[#This Row],[Grade_gpt]]=""),0,tblMovement[[#This Row],[Tonnes_t]]*tblMovement[[#This Row],[Grade_gpt]]/cfg_TroyOz)</f>
        <v/>
      </c>
      <c r="O2768" s="59">
        <f>IF(tblMovement[[#This Row],[Is_Ore]]=1,tblMovement[[#This Row],[Contained_oz]],0)</f>
        <v/>
      </c>
    </row>
    <row r="2769">
      <c r="A2769" s="54" t="n"/>
      <c r="B2769" s="61" t="n"/>
      <c r="C2769" s="61" t="n"/>
      <c r="D2769" s="61" t="n"/>
      <c r="E2769" s="61" t="n"/>
      <c r="F2769" s="55" t="n"/>
      <c r="G2769" s="56" t="n"/>
      <c r="H2769" s="55" t="n"/>
      <c r="I2769" s="62" t="n"/>
      <c r="J2769" s="58" t="n"/>
      <c r="K2769" s="63">
        <f>IF(tblMovement[[#This Row],[Source]]="","",IFERROR(INDEX(tblSources[Type],MATCH(tblMovement[[#This Row],[Source]],tblSources[Source],0)),"?"))</f>
        <v/>
      </c>
      <c r="L2769" s="63">
        <f>IF(tblMovement[[#This Row],[Destination]]="","",IFERROR(INDEX(tblDestinations[Type],MATCH(tblMovement[[#This Row],[Destination]],tblDestinations[Destination],0)),"?"))</f>
        <v/>
      </c>
      <c r="M2769" s="64">
        <f>IF(tblMovement[[#This Row],[Material]]="","",IF(LEFT(tblMovement[[#This Row],[Material]],3)="Ore",1,0))</f>
        <v/>
      </c>
      <c r="N2769" s="59">
        <f>IF(OR(tblMovement[[#This Row],[Tonnes_t]]="",tblMovement[[#This Row],[Grade_gpt]]=""),0,tblMovement[[#This Row],[Tonnes_t]]*tblMovement[[#This Row],[Grade_gpt]]/cfg_TroyOz)</f>
        <v/>
      </c>
      <c r="O2769" s="59">
        <f>IF(tblMovement[[#This Row],[Is_Ore]]=1,tblMovement[[#This Row],[Contained_oz]],0)</f>
        <v/>
      </c>
    </row>
    <row r="2770">
      <c r="A2770" s="54" t="n"/>
      <c r="B2770" s="61" t="n"/>
      <c r="C2770" s="61" t="n"/>
      <c r="D2770" s="61" t="n"/>
      <c r="E2770" s="61" t="n"/>
      <c r="F2770" s="55" t="n"/>
      <c r="G2770" s="56" t="n"/>
      <c r="H2770" s="55" t="n"/>
      <c r="I2770" s="62" t="n"/>
      <c r="J2770" s="58" t="n"/>
      <c r="K2770" s="63">
        <f>IF(tblMovement[[#This Row],[Source]]="","",IFERROR(INDEX(tblSources[Type],MATCH(tblMovement[[#This Row],[Source]],tblSources[Source],0)),"?"))</f>
        <v/>
      </c>
      <c r="L2770" s="63">
        <f>IF(tblMovement[[#This Row],[Destination]]="","",IFERROR(INDEX(tblDestinations[Type],MATCH(tblMovement[[#This Row],[Destination]],tblDestinations[Destination],0)),"?"))</f>
        <v/>
      </c>
      <c r="M2770" s="64">
        <f>IF(tblMovement[[#This Row],[Material]]="","",IF(LEFT(tblMovement[[#This Row],[Material]],3)="Ore",1,0))</f>
        <v/>
      </c>
      <c r="N2770" s="59">
        <f>IF(OR(tblMovement[[#This Row],[Tonnes_t]]="",tblMovement[[#This Row],[Grade_gpt]]=""),0,tblMovement[[#This Row],[Tonnes_t]]*tblMovement[[#This Row],[Grade_gpt]]/cfg_TroyOz)</f>
        <v/>
      </c>
      <c r="O2770" s="59">
        <f>IF(tblMovement[[#This Row],[Is_Ore]]=1,tblMovement[[#This Row],[Contained_oz]],0)</f>
        <v/>
      </c>
    </row>
    <row r="2771">
      <c r="A2771" s="54" t="n"/>
      <c r="B2771" s="61" t="n"/>
      <c r="C2771" s="61" t="n"/>
      <c r="D2771" s="61" t="n"/>
      <c r="E2771" s="61" t="n"/>
      <c r="F2771" s="55" t="n"/>
      <c r="G2771" s="56" t="n"/>
      <c r="H2771" s="55" t="n"/>
      <c r="I2771" s="62" t="n"/>
      <c r="J2771" s="58" t="n"/>
      <c r="K2771" s="63">
        <f>IF(tblMovement[[#This Row],[Source]]="","",IFERROR(INDEX(tblSources[Type],MATCH(tblMovement[[#This Row],[Source]],tblSources[Source],0)),"?"))</f>
        <v/>
      </c>
      <c r="L2771" s="63">
        <f>IF(tblMovement[[#This Row],[Destination]]="","",IFERROR(INDEX(tblDestinations[Type],MATCH(tblMovement[[#This Row],[Destination]],tblDestinations[Destination],0)),"?"))</f>
        <v/>
      </c>
      <c r="M2771" s="64">
        <f>IF(tblMovement[[#This Row],[Material]]="","",IF(LEFT(tblMovement[[#This Row],[Material]],3)="Ore",1,0))</f>
        <v/>
      </c>
      <c r="N2771" s="59">
        <f>IF(OR(tblMovement[[#This Row],[Tonnes_t]]="",tblMovement[[#This Row],[Grade_gpt]]=""),0,tblMovement[[#This Row],[Tonnes_t]]*tblMovement[[#This Row],[Grade_gpt]]/cfg_TroyOz)</f>
        <v/>
      </c>
      <c r="O2771" s="59">
        <f>IF(tblMovement[[#This Row],[Is_Ore]]=1,tblMovement[[#This Row],[Contained_oz]],0)</f>
        <v/>
      </c>
    </row>
    <row r="2772">
      <c r="A2772" s="54" t="n"/>
      <c r="B2772" s="61" t="n"/>
      <c r="C2772" s="61" t="n"/>
      <c r="D2772" s="61" t="n"/>
      <c r="E2772" s="61" t="n"/>
      <c r="F2772" s="55" t="n"/>
      <c r="G2772" s="56" t="n"/>
      <c r="H2772" s="55" t="n"/>
      <c r="I2772" s="62" t="n"/>
      <c r="J2772" s="58" t="n"/>
      <c r="K2772" s="63">
        <f>IF(tblMovement[[#This Row],[Source]]="","",IFERROR(INDEX(tblSources[Type],MATCH(tblMovement[[#This Row],[Source]],tblSources[Source],0)),"?"))</f>
        <v/>
      </c>
      <c r="L2772" s="63">
        <f>IF(tblMovement[[#This Row],[Destination]]="","",IFERROR(INDEX(tblDestinations[Type],MATCH(tblMovement[[#This Row],[Destination]],tblDestinations[Destination],0)),"?"))</f>
        <v/>
      </c>
      <c r="M2772" s="64">
        <f>IF(tblMovement[[#This Row],[Material]]="","",IF(LEFT(tblMovement[[#This Row],[Material]],3)="Ore",1,0))</f>
        <v/>
      </c>
      <c r="N2772" s="59">
        <f>IF(OR(tblMovement[[#This Row],[Tonnes_t]]="",tblMovement[[#This Row],[Grade_gpt]]=""),0,tblMovement[[#This Row],[Tonnes_t]]*tblMovement[[#This Row],[Grade_gpt]]/cfg_TroyOz)</f>
        <v/>
      </c>
      <c r="O2772" s="59">
        <f>IF(tblMovement[[#This Row],[Is_Ore]]=1,tblMovement[[#This Row],[Contained_oz]],0)</f>
        <v/>
      </c>
    </row>
    <row r="2773">
      <c r="A2773" s="54" t="n"/>
      <c r="B2773" s="61" t="n"/>
      <c r="C2773" s="61" t="n"/>
      <c r="D2773" s="61" t="n"/>
      <c r="E2773" s="61" t="n"/>
      <c r="F2773" s="55" t="n"/>
      <c r="G2773" s="56" t="n"/>
      <c r="H2773" s="55" t="n"/>
      <c r="I2773" s="62" t="n"/>
      <c r="J2773" s="58" t="n"/>
      <c r="K2773" s="63">
        <f>IF(tblMovement[[#This Row],[Source]]="","",IFERROR(INDEX(tblSources[Type],MATCH(tblMovement[[#This Row],[Source]],tblSources[Source],0)),"?"))</f>
        <v/>
      </c>
      <c r="L2773" s="63">
        <f>IF(tblMovement[[#This Row],[Destination]]="","",IFERROR(INDEX(tblDestinations[Type],MATCH(tblMovement[[#This Row],[Destination]],tblDestinations[Destination],0)),"?"))</f>
        <v/>
      </c>
      <c r="M2773" s="64">
        <f>IF(tblMovement[[#This Row],[Material]]="","",IF(LEFT(tblMovement[[#This Row],[Material]],3)="Ore",1,0))</f>
        <v/>
      </c>
      <c r="N2773" s="59">
        <f>IF(OR(tblMovement[[#This Row],[Tonnes_t]]="",tblMovement[[#This Row],[Grade_gpt]]=""),0,tblMovement[[#This Row],[Tonnes_t]]*tblMovement[[#This Row],[Grade_gpt]]/cfg_TroyOz)</f>
        <v/>
      </c>
      <c r="O2773" s="59">
        <f>IF(tblMovement[[#This Row],[Is_Ore]]=1,tblMovement[[#This Row],[Contained_oz]],0)</f>
        <v/>
      </c>
    </row>
    <row r="2774">
      <c r="A2774" s="54" t="n"/>
      <c r="B2774" s="61" t="n"/>
      <c r="C2774" s="61" t="n"/>
      <c r="D2774" s="61" t="n"/>
      <c r="E2774" s="61" t="n"/>
      <c r="F2774" s="55" t="n"/>
      <c r="G2774" s="56" t="n"/>
      <c r="H2774" s="55" t="n"/>
      <c r="I2774" s="62" t="n"/>
      <c r="J2774" s="58" t="n"/>
      <c r="K2774" s="63">
        <f>IF(tblMovement[[#This Row],[Source]]="","",IFERROR(INDEX(tblSources[Type],MATCH(tblMovement[[#This Row],[Source]],tblSources[Source],0)),"?"))</f>
        <v/>
      </c>
      <c r="L2774" s="63">
        <f>IF(tblMovement[[#This Row],[Destination]]="","",IFERROR(INDEX(tblDestinations[Type],MATCH(tblMovement[[#This Row],[Destination]],tblDestinations[Destination],0)),"?"))</f>
        <v/>
      </c>
      <c r="M2774" s="64">
        <f>IF(tblMovement[[#This Row],[Material]]="","",IF(LEFT(tblMovement[[#This Row],[Material]],3)="Ore",1,0))</f>
        <v/>
      </c>
      <c r="N2774" s="59">
        <f>IF(OR(tblMovement[[#This Row],[Tonnes_t]]="",tblMovement[[#This Row],[Grade_gpt]]=""),0,tblMovement[[#This Row],[Tonnes_t]]*tblMovement[[#This Row],[Grade_gpt]]/cfg_TroyOz)</f>
        <v/>
      </c>
      <c r="O2774" s="59">
        <f>IF(tblMovement[[#This Row],[Is_Ore]]=1,tblMovement[[#This Row],[Contained_oz]],0)</f>
        <v/>
      </c>
    </row>
    <row r="2775">
      <c r="A2775" s="54" t="n"/>
      <c r="B2775" s="61" t="n"/>
      <c r="C2775" s="61" t="n"/>
      <c r="D2775" s="61" t="n"/>
      <c r="E2775" s="61" t="n"/>
      <c r="F2775" s="55" t="n"/>
      <c r="G2775" s="56" t="n"/>
      <c r="H2775" s="55" t="n"/>
      <c r="I2775" s="62" t="n"/>
      <c r="J2775" s="58" t="n"/>
      <c r="K2775" s="63">
        <f>IF(tblMovement[[#This Row],[Source]]="","",IFERROR(INDEX(tblSources[Type],MATCH(tblMovement[[#This Row],[Source]],tblSources[Source],0)),"?"))</f>
        <v/>
      </c>
      <c r="L2775" s="63">
        <f>IF(tblMovement[[#This Row],[Destination]]="","",IFERROR(INDEX(tblDestinations[Type],MATCH(tblMovement[[#This Row],[Destination]],tblDestinations[Destination],0)),"?"))</f>
        <v/>
      </c>
      <c r="M2775" s="64">
        <f>IF(tblMovement[[#This Row],[Material]]="","",IF(LEFT(tblMovement[[#This Row],[Material]],3)="Ore",1,0))</f>
        <v/>
      </c>
      <c r="N2775" s="59">
        <f>IF(OR(tblMovement[[#This Row],[Tonnes_t]]="",tblMovement[[#This Row],[Grade_gpt]]=""),0,tblMovement[[#This Row],[Tonnes_t]]*tblMovement[[#This Row],[Grade_gpt]]/cfg_TroyOz)</f>
        <v/>
      </c>
      <c r="O2775" s="59">
        <f>IF(tblMovement[[#This Row],[Is_Ore]]=1,tblMovement[[#This Row],[Contained_oz]],0)</f>
        <v/>
      </c>
    </row>
    <row r="2776">
      <c r="A2776" s="54" t="n"/>
      <c r="B2776" s="61" t="n"/>
      <c r="C2776" s="61" t="n"/>
      <c r="D2776" s="61" t="n"/>
      <c r="E2776" s="61" t="n"/>
      <c r="F2776" s="55" t="n"/>
      <c r="G2776" s="56" t="n"/>
      <c r="H2776" s="55" t="n"/>
      <c r="I2776" s="62" t="n"/>
      <c r="J2776" s="58" t="n"/>
      <c r="K2776" s="63">
        <f>IF(tblMovement[[#This Row],[Source]]="","",IFERROR(INDEX(tblSources[Type],MATCH(tblMovement[[#This Row],[Source]],tblSources[Source],0)),"?"))</f>
        <v/>
      </c>
      <c r="L2776" s="63">
        <f>IF(tblMovement[[#This Row],[Destination]]="","",IFERROR(INDEX(tblDestinations[Type],MATCH(tblMovement[[#This Row],[Destination]],tblDestinations[Destination],0)),"?"))</f>
        <v/>
      </c>
      <c r="M2776" s="64">
        <f>IF(tblMovement[[#This Row],[Material]]="","",IF(LEFT(tblMovement[[#This Row],[Material]],3)="Ore",1,0))</f>
        <v/>
      </c>
      <c r="N2776" s="59">
        <f>IF(OR(tblMovement[[#This Row],[Tonnes_t]]="",tblMovement[[#This Row],[Grade_gpt]]=""),0,tblMovement[[#This Row],[Tonnes_t]]*tblMovement[[#This Row],[Grade_gpt]]/cfg_TroyOz)</f>
        <v/>
      </c>
      <c r="O2776" s="59">
        <f>IF(tblMovement[[#This Row],[Is_Ore]]=1,tblMovement[[#This Row],[Contained_oz]],0)</f>
        <v/>
      </c>
    </row>
    <row r="2777">
      <c r="A2777" s="54" t="n"/>
      <c r="B2777" s="61" t="n"/>
      <c r="C2777" s="61" t="n"/>
      <c r="D2777" s="61" t="n"/>
      <c r="E2777" s="61" t="n"/>
      <c r="F2777" s="55" t="n"/>
      <c r="G2777" s="56" t="n"/>
      <c r="H2777" s="55" t="n"/>
      <c r="I2777" s="62" t="n"/>
      <c r="J2777" s="58" t="n"/>
      <c r="K2777" s="63">
        <f>IF(tblMovement[[#This Row],[Source]]="","",IFERROR(INDEX(tblSources[Type],MATCH(tblMovement[[#This Row],[Source]],tblSources[Source],0)),"?"))</f>
        <v/>
      </c>
      <c r="L2777" s="63">
        <f>IF(tblMovement[[#This Row],[Destination]]="","",IFERROR(INDEX(tblDestinations[Type],MATCH(tblMovement[[#This Row],[Destination]],tblDestinations[Destination],0)),"?"))</f>
        <v/>
      </c>
      <c r="M2777" s="64">
        <f>IF(tblMovement[[#This Row],[Material]]="","",IF(LEFT(tblMovement[[#This Row],[Material]],3)="Ore",1,0))</f>
        <v/>
      </c>
      <c r="N2777" s="59">
        <f>IF(OR(tblMovement[[#This Row],[Tonnes_t]]="",tblMovement[[#This Row],[Grade_gpt]]=""),0,tblMovement[[#This Row],[Tonnes_t]]*tblMovement[[#This Row],[Grade_gpt]]/cfg_TroyOz)</f>
        <v/>
      </c>
      <c r="O2777" s="59">
        <f>IF(tblMovement[[#This Row],[Is_Ore]]=1,tblMovement[[#This Row],[Contained_oz]],0)</f>
        <v/>
      </c>
    </row>
    <row r="2778">
      <c r="A2778" s="54" t="n"/>
      <c r="B2778" s="61" t="n"/>
      <c r="C2778" s="61" t="n"/>
      <c r="D2778" s="61" t="n"/>
      <c r="E2778" s="61" t="n"/>
      <c r="F2778" s="55" t="n"/>
      <c r="G2778" s="56" t="n"/>
      <c r="H2778" s="55" t="n"/>
      <c r="I2778" s="62" t="n"/>
      <c r="J2778" s="58" t="n"/>
      <c r="K2778" s="63">
        <f>IF(tblMovement[[#This Row],[Source]]="","",IFERROR(INDEX(tblSources[Type],MATCH(tblMovement[[#This Row],[Source]],tblSources[Source],0)),"?"))</f>
        <v/>
      </c>
      <c r="L2778" s="63">
        <f>IF(tblMovement[[#This Row],[Destination]]="","",IFERROR(INDEX(tblDestinations[Type],MATCH(tblMovement[[#This Row],[Destination]],tblDestinations[Destination],0)),"?"))</f>
        <v/>
      </c>
      <c r="M2778" s="64">
        <f>IF(tblMovement[[#This Row],[Material]]="","",IF(LEFT(tblMovement[[#This Row],[Material]],3)="Ore",1,0))</f>
        <v/>
      </c>
      <c r="N2778" s="59">
        <f>IF(OR(tblMovement[[#This Row],[Tonnes_t]]="",tblMovement[[#This Row],[Grade_gpt]]=""),0,tblMovement[[#This Row],[Tonnes_t]]*tblMovement[[#This Row],[Grade_gpt]]/cfg_TroyOz)</f>
        <v/>
      </c>
      <c r="O2778" s="59">
        <f>IF(tblMovement[[#This Row],[Is_Ore]]=1,tblMovement[[#This Row],[Contained_oz]],0)</f>
        <v/>
      </c>
    </row>
    <row r="2779">
      <c r="A2779" s="54" t="n"/>
      <c r="B2779" s="61" t="n"/>
      <c r="C2779" s="61" t="n"/>
      <c r="D2779" s="61" t="n"/>
      <c r="E2779" s="61" t="n"/>
      <c r="F2779" s="55" t="n"/>
      <c r="G2779" s="56" t="n"/>
      <c r="H2779" s="55" t="n"/>
      <c r="I2779" s="62" t="n"/>
      <c r="J2779" s="58" t="n"/>
      <c r="K2779" s="63">
        <f>IF(tblMovement[[#This Row],[Source]]="","",IFERROR(INDEX(tblSources[Type],MATCH(tblMovement[[#This Row],[Source]],tblSources[Source],0)),"?"))</f>
        <v/>
      </c>
      <c r="L2779" s="63">
        <f>IF(tblMovement[[#This Row],[Destination]]="","",IFERROR(INDEX(tblDestinations[Type],MATCH(tblMovement[[#This Row],[Destination]],tblDestinations[Destination],0)),"?"))</f>
        <v/>
      </c>
      <c r="M2779" s="64">
        <f>IF(tblMovement[[#This Row],[Material]]="","",IF(LEFT(tblMovement[[#This Row],[Material]],3)="Ore",1,0))</f>
        <v/>
      </c>
      <c r="N2779" s="59">
        <f>IF(OR(tblMovement[[#This Row],[Tonnes_t]]="",tblMovement[[#This Row],[Grade_gpt]]=""),0,tblMovement[[#This Row],[Tonnes_t]]*tblMovement[[#This Row],[Grade_gpt]]/cfg_TroyOz)</f>
        <v/>
      </c>
      <c r="O2779" s="59">
        <f>IF(tblMovement[[#This Row],[Is_Ore]]=1,tblMovement[[#This Row],[Contained_oz]],0)</f>
        <v/>
      </c>
    </row>
    <row r="2780">
      <c r="A2780" s="54" t="n"/>
      <c r="B2780" s="61" t="n"/>
      <c r="C2780" s="61" t="n"/>
      <c r="D2780" s="61" t="n"/>
      <c r="E2780" s="61" t="n"/>
      <c r="F2780" s="55" t="n"/>
      <c r="G2780" s="56" t="n"/>
      <c r="H2780" s="55" t="n"/>
      <c r="I2780" s="62" t="n"/>
      <c r="J2780" s="58" t="n"/>
      <c r="K2780" s="63">
        <f>IF(tblMovement[[#This Row],[Source]]="","",IFERROR(INDEX(tblSources[Type],MATCH(tblMovement[[#This Row],[Source]],tblSources[Source],0)),"?"))</f>
        <v/>
      </c>
      <c r="L2780" s="63">
        <f>IF(tblMovement[[#This Row],[Destination]]="","",IFERROR(INDEX(tblDestinations[Type],MATCH(tblMovement[[#This Row],[Destination]],tblDestinations[Destination],0)),"?"))</f>
        <v/>
      </c>
      <c r="M2780" s="64">
        <f>IF(tblMovement[[#This Row],[Material]]="","",IF(LEFT(tblMovement[[#This Row],[Material]],3)="Ore",1,0))</f>
        <v/>
      </c>
      <c r="N2780" s="59">
        <f>IF(OR(tblMovement[[#This Row],[Tonnes_t]]="",tblMovement[[#This Row],[Grade_gpt]]=""),0,tblMovement[[#This Row],[Tonnes_t]]*tblMovement[[#This Row],[Grade_gpt]]/cfg_TroyOz)</f>
        <v/>
      </c>
      <c r="O2780" s="59">
        <f>IF(tblMovement[[#This Row],[Is_Ore]]=1,tblMovement[[#This Row],[Contained_oz]],0)</f>
        <v/>
      </c>
    </row>
    <row r="2781">
      <c r="A2781" s="54" t="n"/>
      <c r="B2781" s="61" t="n"/>
      <c r="C2781" s="61" t="n"/>
      <c r="D2781" s="61" t="n"/>
      <c r="E2781" s="61" t="n"/>
      <c r="F2781" s="55" t="n"/>
      <c r="G2781" s="56" t="n"/>
      <c r="H2781" s="55" t="n"/>
      <c r="I2781" s="62" t="n"/>
      <c r="J2781" s="58" t="n"/>
      <c r="K2781" s="63">
        <f>IF(tblMovement[[#This Row],[Source]]="","",IFERROR(INDEX(tblSources[Type],MATCH(tblMovement[[#This Row],[Source]],tblSources[Source],0)),"?"))</f>
        <v/>
      </c>
      <c r="L2781" s="63">
        <f>IF(tblMovement[[#This Row],[Destination]]="","",IFERROR(INDEX(tblDestinations[Type],MATCH(tblMovement[[#This Row],[Destination]],tblDestinations[Destination],0)),"?"))</f>
        <v/>
      </c>
      <c r="M2781" s="64">
        <f>IF(tblMovement[[#This Row],[Material]]="","",IF(LEFT(tblMovement[[#This Row],[Material]],3)="Ore",1,0))</f>
        <v/>
      </c>
      <c r="N2781" s="59">
        <f>IF(OR(tblMovement[[#This Row],[Tonnes_t]]="",tblMovement[[#This Row],[Grade_gpt]]=""),0,tblMovement[[#This Row],[Tonnes_t]]*tblMovement[[#This Row],[Grade_gpt]]/cfg_TroyOz)</f>
        <v/>
      </c>
      <c r="O2781" s="59">
        <f>IF(tblMovement[[#This Row],[Is_Ore]]=1,tblMovement[[#This Row],[Contained_oz]],0)</f>
        <v/>
      </c>
    </row>
    <row r="2782">
      <c r="A2782" s="54" t="n"/>
      <c r="B2782" s="61" t="n"/>
      <c r="C2782" s="61" t="n"/>
      <c r="D2782" s="61" t="n"/>
      <c r="E2782" s="61" t="n"/>
      <c r="F2782" s="55" t="n"/>
      <c r="G2782" s="56" t="n"/>
      <c r="H2782" s="55" t="n"/>
      <c r="I2782" s="62" t="n"/>
      <c r="J2782" s="58" t="n"/>
      <c r="K2782" s="63">
        <f>IF(tblMovement[[#This Row],[Source]]="","",IFERROR(INDEX(tblSources[Type],MATCH(tblMovement[[#This Row],[Source]],tblSources[Source],0)),"?"))</f>
        <v/>
      </c>
      <c r="L2782" s="63">
        <f>IF(tblMovement[[#This Row],[Destination]]="","",IFERROR(INDEX(tblDestinations[Type],MATCH(tblMovement[[#This Row],[Destination]],tblDestinations[Destination],0)),"?"))</f>
        <v/>
      </c>
      <c r="M2782" s="64">
        <f>IF(tblMovement[[#This Row],[Material]]="","",IF(LEFT(tblMovement[[#This Row],[Material]],3)="Ore",1,0))</f>
        <v/>
      </c>
      <c r="N2782" s="59">
        <f>IF(OR(tblMovement[[#This Row],[Tonnes_t]]="",tblMovement[[#This Row],[Grade_gpt]]=""),0,tblMovement[[#This Row],[Tonnes_t]]*tblMovement[[#This Row],[Grade_gpt]]/cfg_TroyOz)</f>
        <v/>
      </c>
      <c r="O2782" s="59">
        <f>IF(tblMovement[[#This Row],[Is_Ore]]=1,tblMovement[[#This Row],[Contained_oz]],0)</f>
        <v/>
      </c>
    </row>
    <row r="2783">
      <c r="A2783" s="54" t="n"/>
      <c r="B2783" s="61" t="n"/>
      <c r="C2783" s="61" t="n"/>
      <c r="D2783" s="61" t="n"/>
      <c r="E2783" s="61" t="n"/>
      <c r="F2783" s="55" t="n"/>
      <c r="G2783" s="56" t="n"/>
      <c r="H2783" s="55" t="n"/>
      <c r="I2783" s="62" t="n"/>
      <c r="J2783" s="58" t="n"/>
      <c r="K2783" s="63">
        <f>IF(tblMovement[[#This Row],[Source]]="","",IFERROR(INDEX(tblSources[Type],MATCH(tblMovement[[#This Row],[Source]],tblSources[Source],0)),"?"))</f>
        <v/>
      </c>
      <c r="L2783" s="63">
        <f>IF(tblMovement[[#This Row],[Destination]]="","",IFERROR(INDEX(tblDestinations[Type],MATCH(tblMovement[[#This Row],[Destination]],tblDestinations[Destination],0)),"?"))</f>
        <v/>
      </c>
      <c r="M2783" s="64">
        <f>IF(tblMovement[[#This Row],[Material]]="","",IF(LEFT(tblMovement[[#This Row],[Material]],3)="Ore",1,0))</f>
        <v/>
      </c>
      <c r="N2783" s="59">
        <f>IF(OR(tblMovement[[#This Row],[Tonnes_t]]="",tblMovement[[#This Row],[Grade_gpt]]=""),0,tblMovement[[#This Row],[Tonnes_t]]*tblMovement[[#This Row],[Grade_gpt]]/cfg_TroyOz)</f>
        <v/>
      </c>
      <c r="O2783" s="59">
        <f>IF(tblMovement[[#This Row],[Is_Ore]]=1,tblMovement[[#This Row],[Contained_oz]],0)</f>
        <v/>
      </c>
    </row>
    <row r="2784">
      <c r="A2784" s="54" t="n"/>
      <c r="B2784" s="61" t="n"/>
      <c r="C2784" s="61" t="n"/>
      <c r="D2784" s="61" t="n"/>
      <c r="E2784" s="61" t="n"/>
      <c r="F2784" s="55" t="n"/>
      <c r="G2784" s="56" t="n"/>
      <c r="H2784" s="55" t="n"/>
      <c r="I2784" s="62" t="n"/>
      <c r="J2784" s="58" t="n"/>
      <c r="K2784" s="63">
        <f>IF(tblMovement[[#This Row],[Source]]="","",IFERROR(INDEX(tblSources[Type],MATCH(tblMovement[[#This Row],[Source]],tblSources[Source],0)),"?"))</f>
        <v/>
      </c>
      <c r="L2784" s="63">
        <f>IF(tblMovement[[#This Row],[Destination]]="","",IFERROR(INDEX(tblDestinations[Type],MATCH(tblMovement[[#This Row],[Destination]],tblDestinations[Destination],0)),"?"))</f>
        <v/>
      </c>
      <c r="M2784" s="64">
        <f>IF(tblMovement[[#This Row],[Material]]="","",IF(LEFT(tblMovement[[#This Row],[Material]],3)="Ore",1,0))</f>
        <v/>
      </c>
      <c r="N2784" s="59">
        <f>IF(OR(tblMovement[[#This Row],[Tonnes_t]]="",tblMovement[[#This Row],[Grade_gpt]]=""),0,tblMovement[[#This Row],[Tonnes_t]]*tblMovement[[#This Row],[Grade_gpt]]/cfg_TroyOz)</f>
        <v/>
      </c>
      <c r="O2784" s="59">
        <f>IF(tblMovement[[#This Row],[Is_Ore]]=1,tblMovement[[#This Row],[Contained_oz]],0)</f>
        <v/>
      </c>
    </row>
    <row r="2785">
      <c r="A2785" s="54" t="n"/>
      <c r="B2785" s="61" t="n"/>
      <c r="C2785" s="61" t="n"/>
      <c r="D2785" s="61" t="n"/>
      <c r="E2785" s="61" t="n"/>
      <c r="F2785" s="55" t="n"/>
      <c r="G2785" s="56" t="n"/>
      <c r="H2785" s="55" t="n"/>
      <c r="I2785" s="62" t="n"/>
      <c r="J2785" s="58" t="n"/>
      <c r="K2785" s="63">
        <f>IF(tblMovement[[#This Row],[Source]]="","",IFERROR(INDEX(tblSources[Type],MATCH(tblMovement[[#This Row],[Source]],tblSources[Source],0)),"?"))</f>
        <v/>
      </c>
      <c r="L2785" s="63">
        <f>IF(tblMovement[[#This Row],[Destination]]="","",IFERROR(INDEX(tblDestinations[Type],MATCH(tblMovement[[#This Row],[Destination]],tblDestinations[Destination],0)),"?"))</f>
        <v/>
      </c>
      <c r="M2785" s="64">
        <f>IF(tblMovement[[#This Row],[Material]]="","",IF(LEFT(tblMovement[[#This Row],[Material]],3)="Ore",1,0))</f>
        <v/>
      </c>
      <c r="N2785" s="59">
        <f>IF(OR(tblMovement[[#This Row],[Tonnes_t]]="",tblMovement[[#This Row],[Grade_gpt]]=""),0,tblMovement[[#This Row],[Tonnes_t]]*tblMovement[[#This Row],[Grade_gpt]]/cfg_TroyOz)</f>
        <v/>
      </c>
      <c r="O2785" s="59">
        <f>IF(tblMovement[[#This Row],[Is_Ore]]=1,tblMovement[[#This Row],[Contained_oz]],0)</f>
        <v/>
      </c>
    </row>
    <row r="2786">
      <c r="A2786" s="54" t="n"/>
      <c r="B2786" s="61" t="n"/>
      <c r="C2786" s="61" t="n"/>
      <c r="D2786" s="61" t="n"/>
      <c r="E2786" s="61" t="n"/>
      <c r="F2786" s="55" t="n"/>
      <c r="G2786" s="56" t="n"/>
      <c r="H2786" s="55" t="n"/>
      <c r="I2786" s="62" t="n"/>
      <c r="J2786" s="58" t="n"/>
      <c r="K2786" s="63">
        <f>IF(tblMovement[[#This Row],[Source]]="","",IFERROR(INDEX(tblSources[Type],MATCH(tblMovement[[#This Row],[Source]],tblSources[Source],0)),"?"))</f>
        <v/>
      </c>
      <c r="L2786" s="63">
        <f>IF(tblMovement[[#This Row],[Destination]]="","",IFERROR(INDEX(tblDestinations[Type],MATCH(tblMovement[[#This Row],[Destination]],tblDestinations[Destination],0)),"?"))</f>
        <v/>
      </c>
      <c r="M2786" s="64">
        <f>IF(tblMovement[[#This Row],[Material]]="","",IF(LEFT(tblMovement[[#This Row],[Material]],3)="Ore",1,0))</f>
        <v/>
      </c>
      <c r="N2786" s="59">
        <f>IF(OR(tblMovement[[#This Row],[Tonnes_t]]="",tblMovement[[#This Row],[Grade_gpt]]=""),0,tblMovement[[#This Row],[Tonnes_t]]*tblMovement[[#This Row],[Grade_gpt]]/cfg_TroyOz)</f>
        <v/>
      </c>
      <c r="O2786" s="59">
        <f>IF(tblMovement[[#This Row],[Is_Ore]]=1,tblMovement[[#This Row],[Contained_oz]],0)</f>
        <v/>
      </c>
    </row>
    <row r="2787">
      <c r="A2787" s="54" t="n"/>
      <c r="B2787" s="61" t="n"/>
      <c r="C2787" s="61" t="n"/>
      <c r="D2787" s="61" t="n"/>
      <c r="E2787" s="61" t="n"/>
      <c r="F2787" s="55" t="n"/>
      <c r="G2787" s="56" t="n"/>
      <c r="H2787" s="55" t="n"/>
      <c r="I2787" s="62" t="n"/>
      <c r="J2787" s="58" t="n"/>
      <c r="K2787" s="63">
        <f>IF(tblMovement[[#This Row],[Source]]="","",IFERROR(INDEX(tblSources[Type],MATCH(tblMovement[[#This Row],[Source]],tblSources[Source],0)),"?"))</f>
        <v/>
      </c>
      <c r="L2787" s="63">
        <f>IF(tblMovement[[#This Row],[Destination]]="","",IFERROR(INDEX(tblDestinations[Type],MATCH(tblMovement[[#This Row],[Destination]],tblDestinations[Destination],0)),"?"))</f>
        <v/>
      </c>
      <c r="M2787" s="64">
        <f>IF(tblMovement[[#This Row],[Material]]="","",IF(LEFT(tblMovement[[#This Row],[Material]],3)="Ore",1,0))</f>
        <v/>
      </c>
      <c r="N2787" s="59">
        <f>IF(OR(tblMovement[[#This Row],[Tonnes_t]]="",tblMovement[[#This Row],[Grade_gpt]]=""),0,tblMovement[[#This Row],[Tonnes_t]]*tblMovement[[#This Row],[Grade_gpt]]/cfg_TroyOz)</f>
        <v/>
      </c>
      <c r="O2787" s="59">
        <f>IF(tblMovement[[#This Row],[Is_Ore]]=1,tblMovement[[#This Row],[Contained_oz]],0)</f>
        <v/>
      </c>
    </row>
    <row r="2788">
      <c r="A2788" s="54" t="n"/>
      <c r="B2788" s="61" t="n"/>
      <c r="C2788" s="61" t="n"/>
      <c r="D2788" s="61" t="n"/>
      <c r="E2788" s="61" t="n"/>
      <c r="F2788" s="55" t="n"/>
      <c r="G2788" s="56" t="n"/>
      <c r="H2788" s="55" t="n"/>
      <c r="I2788" s="62" t="n"/>
      <c r="J2788" s="58" t="n"/>
      <c r="K2788" s="63">
        <f>IF(tblMovement[[#This Row],[Source]]="","",IFERROR(INDEX(tblSources[Type],MATCH(tblMovement[[#This Row],[Source]],tblSources[Source],0)),"?"))</f>
        <v/>
      </c>
      <c r="L2788" s="63">
        <f>IF(tblMovement[[#This Row],[Destination]]="","",IFERROR(INDEX(tblDestinations[Type],MATCH(tblMovement[[#This Row],[Destination]],tblDestinations[Destination],0)),"?"))</f>
        <v/>
      </c>
      <c r="M2788" s="64">
        <f>IF(tblMovement[[#This Row],[Material]]="","",IF(LEFT(tblMovement[[#This Row],[Material]],3)="Ore",1,0))</f>
        <v/>
      </c>
      <c r="N2788" s="59">
        <f>IF(OR(tblMovement[[#This Row],[Tonnes_t]]="",tblMovement[[#This Row],[Grade_gpt]]=""),0,tblMovement[[#This Row],[Tonnes_t]]*tblMovement[[#This Row],[Grade_gpt]]/cfg_TroyOz)</f>
        <v/>
      </c>
      <c r="O2788" s="59">
        <f>IF(tblMovement[[#This Row],[Is_Ore]]=1,tblMovement[[#This Row],[Contained_oz]],0)</f>
        <v/>
      </c>
    </row>
    <row r="2789">
      <c r="A2789" s="54" t="n"/>
      <c r="B2789" s="61" t="n"/>
      <c r="C2789" s="61" t="n"/>
      <c r="D2789" s="61" t="n"/>
      <c r="E2789" s="61" t="n"/>
      <c r="F2789" s="55" t="n"/>
      <c r="G2789" s="56" t="n"/>
      <c r="H2789" s="55" t="n"/>
      <c r="I2789" s="62" t="n"/>
      <c r="J2789" s="58" t="n"/>
      <c r="K2789" s="63">
        <f>IF(tblMovement[[#This Row],[Source]]="","",IFERROR(INDEX(tblSources[Type],MATCH(tblMovement[[#This Row],[Source]],tblSources[Source],0)),"?"))</f>
        <v/>
      </c>
      <c r="L2789" s="63">
        <f>IF(tblMovement[[#This Row],[Destination]]="","",IFERROR(INDEX(tblDestinations[Type],MATCH(tblMovement[[#This Row],[Destination]],tblDestinations[Destination],0)),"?"))</f>
        <v/>
      </c>
      <c r="M2789" s="64">
        <f>IF(tblMovement[[#This Row],[Material]]="","",IF(LEFT(tblMovement[[#This Row],[Material]],3)="Ore",1,0))</f>
        <v/>
      </c>
      <c r="N2789" s="59">
        <f>IF(OR(tblMovement[[#This Row],[Tonnes_t]]="",tblMovement[[#This Row],[Grade_gpt]]=""),0,tblMovement[[#This Row],[Tonnes_t]]*tblMovement[[#This Row],[Grade_gpt]]/cfg_TroyOz)</f>
        <v/>
      </c>
      <c r="O2789" s="59">
        <f>IF(tblMovement[[#This Row],[Is_Ore]]=1,tblMovement[[#This Row],[Contained_oz]],0)</f>
        <v/>
      </c>
    </row>
    <row r="2790">
      <c r="A2790" s="54" t="n"/>
      <c r="B2790" s="61" t="n"/>
      <c r="C2790" s="61" t="n"/>
      <c r="D2790" s="61" t="n"/>
      <c r="E2790" s="61" t="n"/>
      <c r="F2790" s="55" t="n"/>
      <c r="G2790" s="56" t="n"/>
      <c r="H2790" s="55" t="n"/>
      <c r="I2790" s="62" t="n"/>
      <c r="J2790" s="58" t="n"/>
      <c r="K2790" s="63">
        <f>IF(tblMovement[[#This Row],[Source]]="","",IFERROR(INDEX(tblSources[Type],MATCH(tblMovement[[#This Row],[Source]],tblSources[Source],0)),"?"))</f>
        <v/>
      </c>
      <c r="L2790" s="63">
        <f>IF(tblMovement[[#This Row],[Destination]]="","",IFERROR(INDEX(tblDestinations[Type],MATCH(tblMovement[[#This Row],[Destination]],tblDestinations[Destination],0)),"?"))</f>
        <v/>
      </c>
      <c r="M2790" s="64">
        <f>IF(tblMovement[[#This Row],[Material]]="","",IF(LEFT(tblMovement[[#This Row],[Material]],3)="Ore",1,0))</f>
        <v/>
      </c>
      <c r="N2790" s="59">
        <f>IF(OR(tblMovement[[#This Row],[Tonnes_t]]="",tblMovement[[#This Row],[Grade_gpt]]=""),0,tblMovement[[#This Row],[Tonnes_t]]*tblMovement[[#This Row],[Grade_gpt]]/cfg_TroyOz)</f>
        <v/>
      </c>
      <c r="O2790" s="59">
        <f>IF(tblMovement[[#This Row],[Is_Ore]]=1,tblMovement[[#This Row],[Contained_oz]],0)</f>
        <v/>
      </c>
    </row>
    <row r="2791">
      <c r="A2791" s="54" t="n"/>
      <c r="B2791" s="61" t="n"/>
      <c r="C2791" s="61" t="n"/>
      <c r="D2791" s="61" t="n"/>
      <c r="E2791" s="61" t="n"/>
      <c r="F2791" s="55" t="n"/>
      <c r="G2791" s="56" t="n"/>
      <c r="H2791" s="55" t="n"/>
      <c r="I2791" s="62" t="n"/>
      <c r="J2791" s="58" t="n"/>
      <c r="K2791" s="63">
        <f>IF(tblMovement[[#This Row],[Source]]="","",IFERROR(INDEX(tblSources[Type],MATCH(tblMovement[[#This Row],[Source]],tblSources[Source],0)),"?"))</f>
        <v/>
      </c>
      <c r="L2791" s="63">
        <f>IF(tblMovement[[#This Row],[Destination]]="","",IFERROR(INDEX(tblDestinations[Type],MATCH(tblMovement[[#This Row],[Destination]],tblDestinations[Destination],0)),"?"))</f>
        <v/>
      </c>
      <c r="M2791" s="64">
        <f>IF(tblMovement[[#This Row],[Material]]="","",IF(LEFT(tblMovement[[#This Row],[Material]],3)="Ore",1,0))</f>
        <v/>
      </c>
      <c r="N2791" s="59">
        <f>IF(OR(tblMovement[[#This Row],[Tonnes_t]]="",tblMovement[[#This Row],[Grade_gpt]]=""),0,tblMovement[[#This Row],[Tonnes_t]]*tblMovement[[#This Row],[Grade_gpt]]/cfg_TroyOz)</f>
        <v/>
      </c>
      <c r="O2791" s="59">
        <f>IF(tblMovement[[#This Row],[Is_Ore]]=1,tblMovement[[#This Row],[Contained_oz]],0)</f>
        <v/>
      </c>
    </row>
    <row r="2792">
      <c r="A2792" s="54" t="n"/>
      <c r="B2792" s="61" t="n"/>
      <c r="C2792" s="61" t="n"/>
      <c r="D2792" s="61" t="n"/>
      <c r="E2792" s="61" t="n"/>
      <c r="F2792" s="55" t="n"/>
      <c r="G2792" s="56" t="n"/>
      <c r="H2792" s="55" t="n"/>
      <c r="I2792" s="62" t="n"/>
      <c r="J2792" s="58" t="n"/>
      <c r="K2792" s="63">
        <f>IF(tblMovement[[#This Row],[Source]]="","",IFERROR(INDEX(tblSources[Type],MATCH(tblMovement[[#This Row],[Source]],tblSources[Source],0)),"?"))</f>
        <v/>
      </c>
      <c r="L2792" s="63">
        <f>IF(tblMovement[[#This Row],[Destination]]="","",IFERROR(INDEX(tblDestinations[Type],MATCH(tblMovement[[#This Row],[Destination]],tblDestinations[Destination],0)),"?"))</f>
        <v/>
      </c>
      <c r="M2792" s="64">
        <f>IF(tblMovement[[#This Row],[Material]]="","",IF(LEFT(tblMovement[[#This Row],[Material]],3)="Ore",1,0))</f>
        <v/>
      </c>
      <c r="N2792" s="59">
        <f>IF(OR(tblMovement[[#This Row],[Tonnes_t]]="",tblMovement[[#This Row],[Grade_gpt]]=""),0,tblMovement[[#This Row],[Tonnes_t]]*tblMovement[[#This Row],[Grade_gpt]]/cfg_TroyOz)</f>
        <v/>
      </c>
      <c r="O2792" s="59">
        <f>IF(tblMovement[[#This Row],[Is_Ore]]=1,tblMovement[[#This Row],[Contained_oz]],0)</f>
        <v/>
      </c>
    </row>
    <row r="2793">
      <c r="A2793" s="54" t="n"/>
      <c r="B2793" s="61" t="n"/>
      <c r="C2793" s="61" t="n"/>
      <c r="D2793" s="61" t="n"/>
      <c r="E2793" s="61" t="n"/>
      <c r="F2793" s="55" t="n"/>
      <c r="G2793" s="56" t="n"/>
      <c r="H2793" s="55" t="n"/>
      <c r="I2793" s="62" t="n"/>
      <c r="J2793" s="58" t="n"/>
      <c r="K2793" s="63">
        <f>IF(tblMovement[[#This Row],[Source]]="","",IFERROR(INDEX(tblSources[Type],MATCH(tblMovement[[#This Row],[Source]],tblSources[Source],0)),"?"))</f>
        <v/>
      </c>
      <c r="L2793" s="63">
        <f>IF(tblMovement[[#This Row],[Destination]]="","",IFERROR(INDEX(tblDestinations[Type],MATCH(tblMovement[[#This Row],[Destination]],tblDestinations[Destination],0)),"?"))</f>
        <v/>
      </c>
      <c r="M2793" s="64">
        <f>IF(tblMovement[[#This Row],[Material]]="","",IF(LEFT(tblMovement[[#This Row],[Material]],3)="Ore",1,0))</f>
        <v/>
      </c>
      <c r="N2793" s="59">
        <f>IF(OR(tblMovement[[#This Row],[Tonnes_t]]="",tblMovement[[#This Row],[Grade_gpt]]=""),0,tblMovement[[#This Row],[Tonnes_t]]*tblMovement[[#This Row],[Grade_gpt]]/cfg_TroyOz)</f>
        <v/>
      </c>
      <c r="O2793" s="59">
        <f>IF(tblMovement[[#This Row],[Is_Ore]]=1,tblMovement[[#This Row],[Contained_oz]],0)</f>
        <v/>
      </c>
    </row>
    <row r="2794">
      <c r="A2794" s="54" t="n"/>
      <c r="B2794" s="61" t="n"/>
      <c r="C2794" s="61" t="n"/>
      <c r="D2794" s="61" t="n"/>
      <c r="E2794" s="61" t="n"/>
      <c r="F2794" s="55" t="n"/>
      <c r="G2794" s="56" t="n"/>
      <c r="H2794" s="55" t="n"/>
      <c r="I2794" s="62" t="n"/>
      <c r="J2794" s="58" t="n"/>
      <c r="K2794" s="63">
        <f>IF(tblMovement[[#This Row],[Source]]="","",IFERROR(INDEX(tblSources[Type],MATCH(tblMovement[[#This Row],[Source]],tblSources[Source],0)),"?"))</f>
        <v/>
      </c>
      <c r="L2794" s="63">
        <f>IF(tblMovement[[#This Row],[Destination]]="","",IFERROR(INDEX(tblDestinations[Type],MATCH(tblMovement[[#This Row],[Destination]],tblDestinations[Destination],0)),"?"))</f>
        <v/>
      </c>
      <c r="M2794" s="64">
        <f>IF(tblMovement[[#This Row],[Material]]="","",IF(LEFT(tblMovement[[#This Row],[Material]],3)="Ore",1,0))</f>
        <v/>
      </c>
      <c r="N2794" s="59">
        <f>IF(OR(tblMovement[[#This Row],[Tonnes_t]]="",tblMovement[[#This Row],[Grade_gpt]]=""),0,tblMovement[[#This Row],[Tonnes_t]]*tblMovement[[#This Row],[Grade_gpt]]/cfg_TroyOz)</f>
        <v/>
      </c>
      <c r="O2794" s="59">
        <f>IF(tblMovement[[#This Row],[Is_Ore]]=1,tblMovement[[#This Row],[Contained_oz]],0)</f>
        <v/>
      </c>
    </row>
    <row r="2795">
      <c r="A2795" s="54" t="n"/>
      <c r="B2795" s="61" t="n"/>
      <c r="C2795" s="61" t="n"/>
      <c r="D2795" s="61" t="n"/>
      <c r="E2795" s="61" t="n"/>
      <c r="F2795" s="55" t="n"/>
      <c r="G2795" s="56" t="n"/>
      <c r="H2795" s="55" t="n"/>
      <c r="I2795" s="62" t="n"/>
      <c r="J2795" s="58" t="n"/>
      <c r="K2795" s="63">
        <f>IF(tblMovement[[#This Row],[Source]]="","",IFERROR(INDEX(tblSources[Type],MATCH(tblMovement[[#This Row],[Source]],tblSources[Source],0)),"?"))</f>
        <v/>
      </c>
      <c r="L2795" s="63">
        <f>IF(tblMovement[[#This Row],[Destination]]="","",IFERROR(INDEX(tblDestinations[Type],MATCH(tblMovement[[#This Row],[Destination]],tblDestinations[Destination],0)),"?"))</f>
        <v/>
      </c>
      <c r="M2795" s="64">
        <f>IF(tblMovement[[#This Row],[Material]]="","",IF(LEFT(tblMovement[[#This Row],[Material]],3)="Ore",1,0))</f>
        <v/>
      </c>
      <c r="N2795" s="59">
        <f>IF(OR(tblMovement[[#This Row],[Tonnes_t]]="",tblMovement[[#This Row],[Grade_gpt]]=""),0,tblMovement[[#This Row],[Tonnes_t]]*tblMovement[[#This Row],[Grade_gpt]]/cfg_TroyOz)</f>
        <v/>
      </c>
      <c r="O2795" s="59">
        <f>IF(tblMovement[[#This Row],[Is_Ore]]=1,tblMovement[[#This Row],[Contained_oz]],0)</f>
        <v/>
      </c>
    </row>
    <row r="2796">
      <c r="A2796" s="54" t="n"/>
      <c r="B2796" s="61" t="n"/>
      <c r="C2796" s="61" t="n"/>
      <c r="D2796" s="61" t="n"/>
      <c r="E2796" s="61" t="n"/>
      <c r="F2796" s="55" t="n"/>
      <c r="G2796" s="56" t="n"/>
      <c r="H2796" s="55" t="n"/>
      <c r="I2796" s="62" t="n"/>
      <c r="J2796" s="58" t="n"/>
      <c r="K2796" s="63">
        <f>IF(tblMovement[[#This Row],[Source]]="","",IFERROR(INDEX(tblSources[Type],MATCH(tblMovement[[#This Row],[Source]],tblSources[Source],0)),"?"))</f>
        <v/>
      </c>
      <c r="L2796" s="63">
        <f>IF(tblMovement[[#This Row],[Destination]]="","",IFERROR(INDEX(tblDestinations[Type],MATCH(tblMovement[[#This Row],[Destination]],tblDestinations[Destination],0)),"?"))</f>
        <v/>
      </c>
      <c r="M2796" s="64">
        <f>IF(tblMovement[[#This Row],[Material]]="","",IF(LEFT(tblMovement[[#This Row],[Material]],3)="Ore",1,0))</f>
        <v/>
      </c>
      <c r="N2796" s="59">
        <f>IF(OR(tblMovement[[#This Row],[Tonnes_t]]="",tblMovement[[#This Row],[Grade_gpt]]=""),0,tblMovement[[#This Row],[Tonnes_t]]*tblMovement[[#This Row],[Grade_gpt]]/cfg_TroyOz)</f>
        <v/>
      </c>
      <c r="O2796" s="59">
        <f>IF(tblMovement[[#This Row],[Is_Ore]]=1,tblMovement[[#This Row],[Contained_oz]],0)</f>
        <v/>
      </c>
    </row>
    <row r="2797">
      <c r="A2797" s="54" t="n"/>
      <c r="B2797" s="61" t="n"/>
      <c r="C2797" s="61" t="n"/>
      <c r="D2797" s="61" t="n"/>
      <c r="E2797" s="61" t="n"/>
      <c r="F2797" s="55" t="n"/>
      <c r="G2797" s="56" t="n"/>
      <c r="H2797" s="55" t="n"/>
      <c r="I2797" s="62" t="n"/>
      <c r="J2797" s="58" t="n"/>
      <c r="K2797" s="63">
        <f>IF(tblMovement[[#This Row],[Source]]="","",IFERROR(INDEX(tblSources[Type],MATCH(tblMovement[[#This Row],[Source]],tblSources[Source],0)),"?"))</f>
        <v/>
      </c>
      <c r="L2797" s="63">
        <f>IF(tblMovement[[#This Row],[Destination]]="","",IFERROR(INDEX(tblDestinations[Type],MATCH(tblMovement[[#This Row],[Destination]],tblDestinations[Destination],0)),"?"))</f>
        <v/>
      </c>
      <c r="M2797" s="64">
        <f>IF(tblMovement[[#This Row],[Material]]="","",IF(LEFT(tblMovement[[#This Row],[Material]],3)="Ore",1,0))</f>
        <v/>
      </c>
      <c r="N2797" s="59">
        <f>IF(OR(tblMovement[[#This Row],[Tonnes_t]]="",tblMovement[[#This Row],[Grade_gpt]]=""),0,tblMovement[[#This Row],[Tonnes_t]]*tblMovement[[#This Row],[Grade_gpt]]/cfg_TroyOz)</f>
        <v/>
      </c>
      <c r="O2797" s="59">
        <f>IF(tblMovement[[#This Row],[Is_Ore]]=1,tblMovement[[#This Row],[Contained_oz]],0)</f>
        <v/>
      </c>
    </row>
    <row r="2798">
      <c r="A2798" s="54" t="n"/>
      <c r="B2798" s="61" t="n"/>
      <c r="C2798" s="61" t="n"/>
      <c r="D2798" s="61" t="n"/>
      <c r="E2798" s="61" t="n"/>
      <c r="F2798" s="55" t="n"/>
      <c r="G2798" s="56" t="n"/>
      <c r="H2798" s="55" t="n"/>
      <c r="I2798" s="62" t="n"/>
      <c r="J2798" s="58" t="n"/>
      <c r="K2798" s="63">
        <f>IF(tblMovement[[#This Row],[Source]]="","",IFERROR(INDEX(tblSources[Type],MATCH(tblMovement[[#This Row],[Source]],tblSources[Source],0)),"?"))</f>
        <v/>
      </c>
      <c r="L2798" s="63">
        <f>IF(tblMovement[[#This Row],[Destination]]="","",IFERROR(INDEX(tblDestinations[Type],MATCH(tblMovement[[#This Row],[Destination]],tblDestinations[Destination],0)),"?"))</f>
        <v/>
      </c>
      <c r="M2798" s="64">
        <f>IF(tblMovement[[#This Row],[Material]]="","",IF(LEFT(tblMovement[[#This Row],[Material]],3)="Ore",1,0))</f>
        <v/>
      </c>
      <c r="N2798" s="59">
        <f>IF(OR(tblMovement[[#This Row],[Tonnes_t]]="",tblMovement[[#This Row],[Grade_gpt]]=""),0,tblMovement[[#This Row],[Tonnes_t]]*tblMovement[[#This Row],[Grade_gpt]]/cfg_TroyOz)</f>
        <v/>
      </c>
      <c r="O2798" s="59">
        <f>IF(tblMovement[[#This Row],[Is_Ore]]=1,tblMovement[[#This Row],[Contained_oz]],0)</f>
        <v/>
      </c>
    </row>
    <row r="2799">
      <c r="A2799" s="54" t="n"/>
      <c r="B2799" s="61" t="n"/>
      <c r="C2799" s="61" t="n"/>
      <c r="D2799" s="61" t="n"/>
      <c r="E2799" s="61" t="n"/>
      <c r="F2799" s="55" t="n"/>
      <c r="G2799" s="56" t="n"/>
      <c r="H2799" s="55" t="n"/>
      <c r="I2799" s="62" t="n"/>
      <c r="J2799" s="58" t="n"/>
      <c r="K2799" s="63">
        <f>IF(tblMovement[[#This Row],[Source]]="","",IFERROR(INDEX(tblSources[Type],MATCH(tblMovement[[#This Row],[Source]],tblSources[Source],0)),"?"))</f>
        <v/>
      </c>
      <c r="L2799" s="63">
        <f>IF(tblMovement[[#This Row],[Destination]]="","",IFERROR(INDEX(tblDestinations[Type],MATCH(tblMovement[[#This Row],[Destination]],tblDestinations[Destination],0)),"?"))</f>
        <v/>
      </c>
      <c r="M2799" s="64">
        <f>IF(tblMovement[[#This Row],[Material]]="","",IF(LEFT(tblMovement[[#This Row],[Material]],3)="Ore",1,0))</f>
        <v/>
      </c>
      <c r="N2799" s="59">
        <f>IF(OR(tblMovement[[#This Row],[Tonnes_t]]="",tblMovement[[#This Row],[Grade_gpt]]=""),0,tblMovement[[#This Row],[Tonnes_t]]*tblMovement[[#This Row],[Grade_gpt]]/cfg_TroyOz)</f>
        <v/>
      </c>
      <c r="O2799" s="59">
        <f>IF(tblMovement[[#This Row],[Is_Ore]]=1,tblMovement[[#This Row],[Contained_oz]],0)</f>
        <v/>
      </c>
    </row>
    <row r="2800">
      <c r="A2800" s="54" t="n"/>
      <c r="B2800" s="61" t="n"/>
      <c r="C2800" s="61" t="n"/>
      <c r="D2800" s="61" t="n"/>
      <c r="E2800" s="61" t="n"/>
      <c r="F2800" s="55" t="n"/>
      <c r="G2800" s="56" t="n"/>
      <c r="H2800" s="55" t="n"/>
      <c r="I2800" s="62" t="n"/>
      <c r="J2800" s="58" t="n"/>
      <c r="K2800" s="63">
        <f>IF(tblMovement[[#This Row],[Source]]="","",IFERROR(INDEX(tblSources[Type],MATCH(tblMovement[[#This Row],[Source]],tblSources[Source],0)),"?"))</f>
        <v/>
      </c>
      <c r="L2800" s="63">
        <f>IF(tblMovement[[#This Row],[Destination]]="","",IFERROR(INDEX(tblDestinations[Type],MATCH(tblMovement[[#This Row],[Destination]],tblDestinations[Destination],0)),"?"))</f>
        <v/>
      </c>
      <c r="M2800" s="64">
        <f>IF(tblMovement[[#This Row],[Material]]="","",IF(LEFT(tblMovement[[#This Row],[Material]],3)="Ore",1,0))</f>
        <v/>
      </c>
      <c r="N2800" s="59">
        <f>IF(OR(tblMovement[[#This Row],[Tonnes_t]]="",tblMovement[[#This Row],[Grade_gpt]]=""),0,tblMovement[[#This Row],[Tonnes_t]]*tblMovement[[#This Row],[Grade_gpt]]/cfg_TroyOz)</f>
        <v/>
      </c>
      <c r="O2800" s="59">
        <f>IF(tblMovement[[#This Row],[Is_Ore]]=1,tblMovement[[#This Row],[Contained_oz]],0)</f>
        <v/>
      </c>
    </row>
    <row r="2801">
      <c r="A2801" s="54" t="n"/>
      <c r="B2801" s="61" t="n"/>
      <c r="C2801" s="61" t="n"/>
      <c r="D2801" s="61" t="n"/>
      <c r="E2801" s="61" t="n"/>
      <c r="F2801" s="55" t="n"/>
      <c r="G2801" s="56" t="n"/>
      <c r="H2801" s="55" t="n"/>
      <c r="I2801" s="62" t="n"/>
      <c r="J2801" s="58" t="n"/>
      <c r="K2801" s="63">
        <f>IF(tblMovement[[#This Row],[Source]]="","",IFERROR(INDEX(tblSources[Type],MATCH(tblMovement[[#This Row],[Source]],tblSources[Source],0)),"?"))</f>
        <v/>
      </c>
      <c r="L2801" s="63">
        <f>IF(tblMovement[[#This Row],[Destination]]="","",IFERROR(INDEX(tblDestinations[Type],MATCH(tblMovement[[#This Row],[Destination]],tblDestinations[Destination],0)),"?"))</f>
        <v/>
      </c>
      <c r="M2801" s="64">
        <f>IF(tblMovement[[#This Row],[Material]]="","",IF(LEFT(tblMovement[[#This Row],[Material]],3)="Ore",1,0))</f>
        <v/>
      </c>
      <c r="N2801" s="59">
        <f>IF(OR(tblMovement[[#This Row],[Tonnes_t]]="",tblMovement[[#This Row],[Grade_gpt]]=""),0,tblMovement[[#This Row],[Tonnes_t]]*tblMovement[[#This Row],[Grade_gpt]]/cfg_TroyOz)</f>
        <v/>
      </c>
      <c r="O2801" s="59">
        <f>IF(tblMovement[[#This Row],[Is_Ore]]=1,tblMovement[[#This Row],[Contained_oz]],0)</f>
        <v/>
      </c>
    </row>
    <row r="2802">
      <c r="A2802" s="54" t="n"/>
      <c r="B2802" s="61" t="n"/>
      <c r="C2802" s="61" t="n"/>
      <c r="D2802" s="61" t="n"/>
      <c r="E2802" s="61" t="n"/>
      <c r="F2802" s="55" t="n"/>
      <c r="G2802" s="56" t="n"/>
      <c r="H2802" s="55" t="n"/>
      <c r="I2802" s="62" t="n"/>
      <c r="J2802" s="58" t="n"/>
      <c r="K2802" s="63">
        <f>IF(tblMovement[[#This Row],[Source]]="","",IFERROR(INDEX(tblSources[Type],MATCH(tblMovement[[#This Row],[Source]],tblSources[Source],0)),"?"))</f>
        <v/>
      </c>
      <c r="L2802" s="63">
        <f>IF(tblMovement[[#This Row],[Destination]]="","",IFERROR(INDEX(tblDestinations[Type],MATCH(tblMovement[[#This Row],[Destination]],tblDestinations[Destination],0)),"?"))</f>
        <v/>
      </c>
      <c r="M2802" s="64">
        <f>IF(tblMovement[[#This Row],[Material]]="","",IF(LEFT(tblMovement[[#This Row],[Material]],3)="Ore",1,0))</f>
        <v/>
      </c>
      <c r="N2802" s="59">
        <f>IF(OR(tblMovement[[#This Row],[Tonnes_t]]="",tblMovement[[#This Row],[Grade_gpt]]=""),0,tblMovement[[#This Row],[Tonnes_t]]*tblMovement[[#This Row],[Grade_gpt]]/cfg_TroyOz)</f>
        <v/>
      </c>
      <c r="O2802" s="59">
        <f>IF(tblMovement[[#This Row],[Is_Ore]]=1,tblMovement[[#This Row],[Contained_oz]],0)</f>
        <v/>
      </c>
    </row>
    <row r="2803">
      <c r="A2803" s="54" t="n"/>
      <c r="B2803" s="61" t="n"/>
      <c r="C2803" s="61" t="n"/>
      <c r="D2803" s="61" t="n"/>
      <c r="E2803" s="61" t="n"/>
      <c r="F2803" s="55" t="n"/>
      <c r="G2803" s="56" t="n"/>
      <c r="H2803" s="55" t="n"/>
      <c r="I2803" s="62" t="n"/>
      <c r="J2803" s="58" t="n"/>
      <c r="K2803" s="63">
        <f>IF(tblMovement[[#This Row],[Source]]="","",IFERROR(INDEX(tblSources[Type],MATCH(tblMovement[[#This Row],[Source]],tblSources[Source],0)),"?"))</f>
        <v/>
      </c>
      <c r="L2803" s="63">
        <f>IF(tblMovement[[#This Row],[Destination]]="","",IFERROR(INDEX(tblDestinations[Type],MATCH(tblMovement[[#This Row],[Destination]],tblDestinations[Destination],0)),"?"))</f>
        <v/>
      </c>
      <c r="M2803" s="64">
        <f>IF(tblMovement[[#This Row],[Material]]="","",IF(LEFT(tblMovement[[#This Row],[Material]],3)="Ore",1,0))</f>
        <v/>
      </c>
      <c r="N2803" s="59">
        <f>IF(OR(tblMovement[[#This Row],[Tonnes_t]]="",tblMovement[[#This Row],[Grade_gpt]]=""),0,tblMovement[[#This Row],[Tonnes_t]]*tblMovement[[#This Row],[Grade_gpt]]/cfg_TroyOz)</f>
        <v/>
      </c>
      <c r="O2803" s="59">
        <f>IF(tblMovement[[#This Row],[Is_Ore]]=1,tblMovement[[#This Row],[Contained_oz]],0)</f>
        <v/>
      </c>
    </row>
    <row r="2804">
      <c r="A2804" s="54" t="n"/>
      <c r="B2804" s="61" t="n"/>
      <c r="C2804" s="61" t="n"/>
      <c r="D2804" s="61" t="n"/>
      <c r="E2804" s="61" t="n"/>
      <c r="F2804" s="55" t="n"/>
      <c r="G2804" s="56" t="n"/>
      <c r="H2804" s="55" t="n"/>
      <c r="I2804" s="62" t="n"/>
      <c r="J2804" s="58" t="n"/>
      <c r="K2804" s="63">
        <f>IF(tblMovement[[#This Row],[Source]]="","",IFERROR(INDEX(tblSources[Type],MATCH(tblMovement[[#This Row],[Source]],tblSources[Source],0)),"?"))</f>
        <v/>
      </c>
      <c r="L2804" s="63">
        <f>IF(tblMovement[[#This Row],[Destination]]="","",IFERROR(INDEX(tblDestinations[Type],MATCH(tblMovement[[#This Row],[Destination]],tblDestinations[Destination],0)),"?"))</f>
        <v/>
      </c>
      <c r="M2804" s="64">
        <f>IF(tblMovement[[#This Row],[Material]]="","",IF(LEFT(tblMovement[[#This Row],[Material]],3)="Ore",1,0))</f>
        <v/>
      </c>
      <c r="N2804" s="59">
        <f>IF(OR(tblMovement[[#This Row],[Tonnes_t]]="",tblMovement[[#This Row],[Grade_gpt]]=""),0,tblMovement[[#This Row],[Tonnes_t]]*tblMovement[[#This Row],[Grade_gpt]]/cfg_TroyOz)</f>
        <v/>
      </c>
      <c r="O2804" s="59">
        <f>IF(tblMovement[[#This Row],[Is_Ore]]=1,tblMovement[[#This Row],[Contained_oz]],0)</f>
        <v/>
      </c>
    </row>
    <row r="2805">
      <c r="A2805" s="54" t="n"/>
      <c r="B2805" s="61" t="n"/>
      <c r="C2805" s="61" t="n"/>
      <c r="D2805" s="61" t="n"/>
      <c r="E2805" s="61" t="n"/>
      <c r="F2805" s="55" t="n"/>
      <c r="G2805" s="56" t="n"/>
      <c r="H2805" s="55" t="n"/>
      <c r="I2805" s="62" t="n"/>
      <c r="J2805" s="58" t="n"/>
      <c r="K2805" s="63">
        <f>IF(tblMovement[[#This Row],[Source]]="","",IFERROR(INDEX(tblSources[Type],MATCH(tblMovement[[#This Row],[Source]],tblSources[Source],0)),"?"))</f>
        <v/>
      </c>
      <c r="L2805" s="63">
        <f>IF(tblMovement[[#This Row],[Destination]]="","",IFERROR(INDEX(tblDestinations[Type],MATCH(tblMovement[[#This Row],[Destination]],tblDestinations[Destination],0)),"?"))</f>
        <v/>
      </c>
      <c r="M2805" s="64">
        <f>IF(tblMovement[[#This Row],[Material]]="","",IF(LEFT(tblMovement[[#This Row],[Material]],3)="Ore",1,0))</f>
        <v/>
      </c>
      <c r="N2805" s="59">
        <f>IF(OR(tblMovement[[#This Row],[Tonnes_t]]="",tblMovement[[#This Row],[Grade_gpt]]=""),0,tblMovement[[#This Row],[Tonnes_t]]*tblMovement[[#This Row],[Grade_gpt]]/cfg_TroyOz)</f>
        <v/>
      </c>
      <c r="O2805" s="59">
        <f>IF(tblMovement[[#This Row],[Is_Ore]]=1,tblMovement[[#This Row],[Contained_oz]],0)</f>
        <v/>
      </c>
    </row>
    <row r="2806">
      <c r="A2806" s="54" t="n"/>
      <c r="B2806" s="61" t="n"/>
      <c r="C2806" s="61" t="n"/>
      <c r="D2806" s="61" t="n"/>
      <c r="E2806" s="61" t="n"/>
      <c r="F2806" s="55" t="n"/>
      <c r="G2806" s="56" t="n"/>
      <c r="H2806" s="55" t="n"/>
      <c r="I2806" s="62" t="n"/>
      <c r="J2806" s="58" t="n"/>
      <c r="K2806" s="63">
        <f>IF(tblMovement[[#This Row],[Source]]="","",IFERROR(INDEX(tblSources[Type],MATCH(tblMovement[[#This Row],[Source]],tblSources[Source],0)),"?"))</f>
        <v/>
      </c>
      <c r="L2806" s="63">
        <f>IF(tblMovement[[#This Row],[Destination]]="","",IFERROR(INDEX(tblDestinations[Type],MATCH(tblMovement[[#This Row],[Destination]],tblDestinations[Destination],0)),"?"))</f>
        <v/>
      </c>
      <c r="M2806" s="64">
        <f>IF(tblMovement[[#This Row],[Material]]="","",IF(LEFT(tblMovement[[#This Row],[Material]],3)="Ore",1,0))</f>
        <v/>
      </c>
      <c r="N2806" s="59">
        <f>IF(OR(tblMovement[[#This Row],[Tonnes_t]]="",tblMovement[[#This Row],[Grade_gpt]]=""),0,tblMovement[[#This Row],[Tonnes_t]]*tblMovement[[#This Row],[Grade_gpt]]/cfg_TroyOz)</f>
        <v/>
      </c>
      <c r="O2806" s="59">
        <f>IF(tblMovement[[#This Row],[Is_Ore]]=1,tblMovement[[#This Row],[Contained_oz]],0)</f>
        <v/>
      </c>
    </row>
    <row r="2807">
      <c r="A2807" s="54" t="n"/>
      <c r="B2807" s="61" t="n"/>
      <c r="C2807" s="61" t="n"/>
      <c r="D2807" s="61" t="n"/>
      <c r="E2807" s="61" t="n"/>
      <c r="F2807" s="55" t="n"/>
      <c r="G2807" s="56" t="n"/>
      <c r="H2807" s="55" t="n"/>
      <c r="I2807" s="62" t="n"/>
      <c r="J2807" s="58" t="n"/>
      <c r="K2807" s="63">
        <f>IF(tblMovement[[#This Row],[Source]]="","",IFERROR(INDEX(tblSources[Type],MATCH(tblMovement[[#This Row],[Source]],tblSources[Source],0)),"?"))</f>
        <v/>
      </c>
      <c r="L2807" s="63">
        <f>IF(tblMovement[[#This Row],[Destination]]="","",IFERROR(INDEX(tblDestinations[Type],MATCH(tblMovement[[#This Row],[Destination]],tblDestinations[Destination],0)),"?"))</f>
        <v/>
      </c>
      <c r="M2807" s="64">
        <f>IF(tblMovement[[#This Row],[Material]]="","",IF(LEFT(tblMovement[[#This Row],[Material]],3)="Ore",1,0))</f>
        <v/>
      </c>
      <c r="N2807" s="59">
        <f>IF(OR(tblMovement[[#This Row],[Tonnes_t]]="",tblMovement[[#This Row],[Grade_gpt]]=""),0,tblMovement[[#This Row],[Tonnes_t]]*tblMovement[[#This Row],[Grade_gpt]]/cfg_TroyOz)</f>
        <v/>
      </c>
      <c r="O2807" s="59">
        <f>IF(tblMovement[[#This Row],[Is_Ore]]=1,tblMovement[[#This Row],[Contained_oz]],0)</f>
        <v/>
      </c>
    </row>
    <row r="2808">
      <c r="A2808" s="54" t="n"/>
      <c r="B2808" s="61" t="n"/>
      <c r="C2808" s="61" t="n"/>
      <c r="D2808" s="61" t="n"/>
      <c r="E2808" s="61" t="n"/>
      <c r="F2808" s="55" t="n"/>
      <c r="G2808" s="56" t="n"/>
      <c r="H2808" s="55" t="n"/>
      <c r="I2808" s="62" t="n"/>
      <c r="J2808" s="58" t="n"/>
      <c r="K2808" s="63">
        <f>IF(tblMovement[[#This Row],[Source]]="","",IFERROR(INDEX(tblSources[Type],MATCH(tblMovement[[#This Row],[Source]],tblSources[Source],0)),"?"))</f>
        <v/>
      </c>
      <c r="L2808" s="63">
        <f>IF(tblMovement[[#This Row],[Destination]]="","",IFERROR(INDEX(tblDestinations[Type],MATCH(tblMovement[[#This Row],[Destination]],tblDestinations[Destination],0)),"?"))</f>
        <v/>
      </c>
      <c r="M2808" s="64">
        <f>IF(tblMovement[[#This Row],[Material]]="","",IF(LEFT(tblMovement[[#This Row],[Material]],3)="Ore",1,0))</f>
        <v/>
      </c>
      <c r="N2808" s="59">
        <f>IF(OR(tblMovement[[#This Row],[Tonnes_t]]="",tblMovement[[#This Row],[Grade_gpt]]=""),0,tblMovement[[#This Row],[Tonnes_t]]*tblMovement[[#This Row],[Grade_gpt]]/cfg_TroyOz)</f>
        <v/>
      </c>
      <c r="O2808" s="59">
        <f>IF(tblMovement[[#This Row],[Is_Ore]]=1,tblMovement[[#This Row],[Contained_oz]],0)</f>
        <v/>
      </c>
    </row>
    <row r="2809">
      <c r="A2809" s="54" t="n"/>
      <c r="B2809" s="61" t="n"/>
      <c r="C2809" s="61" t="n"/>
      <c r="D2809" s="61" t="n"/>
      <c r="E2809" s="61" t="n"/>
      <c r="F2809" s="55" t="n"/>
      <c r="G2809" s="56" t="n"/>
      <c r="H2809" s="55" t="n"/>
      <c r="I2809" s="62" t="n"/>
      <c r="J2809" s="58" t="n"/>
      <c r="K2809" s="63">
        <f>IF(tblMovement[[#This Row],[Source]]="","",IFERROR(INDEX(tblSources[Type],MATCH(tblMovement[[#This Row],[Source]],tblSources[Source],0)),"?"))</f>
        <v/>
      </c>
      <c r="L2809" s="63">
        <f>IF(tblMovement[[#This Row],[Destination]]="","",IFERROR(INDEX(tblDestinations[Type],MATCH(tblMovement[[#This Row],[Destination]],tblDestinations[Destination],0)),"?"))</f>
        <v/>
      </c>
      <c r="M2809" s="64">
        <f>IF(tblMovement[[#This Row],[Material]]="","",IF(LEFT(tblMovement[[#This Row],[Material]],3)="Ore",1,0))</f>
        <v/>
      </c>
      <c r="N2809" s="59">
        <f>IF(OR(tblMovement[[#This Row],[Tonnes_t]]="",tblMovement[[#This Row],[Grade_gpt]]=""),0,tblMovement[[#This Row],[Tonnes_t]]*tblMovement[[#This Row],[Grade_gpt]]/cfg_TroyOz)</f>
        <v/>
      </c>
      <c r="O2809" s="59">
        <f>IF(tblMovement[[#This Row],[Is_Ore]]=1,tblMovement[[#This Row],[Contained_oz]],0)</f>
        <v/>
      </c>
    </row>
    <row r="2810">
      <c r="A2810" s="54" t="n"/>
      <c r="B2810" s="61" t="n"/>
      <c r="C2810" s="61" t="n"/>
      <c r="D2810" s="61" t="n"/>
      <c r="E2810" s="61" t="n"/>
      <c r="F2810" s="55" t="n"/>
      <c r="G2810" s="56" t="n"/>
      <c r="H2810" s="55" t="n"/>
      <c r="I2810" s="62" t="n"/>
      <c r="J2810" s="58" t="n"/>
      <c r="K2810" s="63">
        <f>IF(tblMovement[[#This Row],[Source]]="","",IFERROR(INDEX(tblSources[Type],MATCH(tblMovement[[#This Row],[Source]],tblSources[Source],0)),"?"))</f>
        <v/>
      </c>
      <c r="L2810" s="63">
        <f>IF(tblMovement[[#This Row],[Destination]]="","",IFERROR(INDEX(tblDestinations[Type],MATCH(tblMovement[[#This Row],[Destination]],tblDestinations[Destination],0)),"?"))</f>
        <v/>
      </c>
      <c r="M2810" s="64">
        <f>IF(tblMovement[[#This Row],[Material]]="","",IF(LEFT(tblMovement[[#This Row],[Material]],3)="Ore",1,0))</f>
        <v/>
      </c>
      <c r="N2810" s="59">
        <f>IF(OR(tblMovement[[#This Row],[Tonnes_t]]="",tblMovement[[#This Row],[Grade_gpt]]=""),0,tblMovement[[#This Row],[Tonnes_t]]*tblMovement[[#This Row],[Grade_gpt]]/cfg_TroyOz)</f>
        <v/>
      </c>
      <c r="O2810" s="59">
        <f>IF(tblMovement[[#This Row],[Is_Ore]]=1,tblMovement[[#This Row],[Contained_oz]],0)</f>
        <v/>
      </c>
    </row>
    <row r="2811">
      <c r="A2811" s="54" t="n"/>
      <c r="B2811" s="61" t="n"/>
      <c r="C2811" s="61" t="n"/>
      <c r="D2811" s="61" t="n"/>
      <c r="E2811" s="61" t="n"/>
      <c r="F2811" s="55" t="n"/>
      <c r="G2811" s="56" t="n"/>
      <c r="H2811" s="55" t="n"/>
      <c r="I2811" s="62" t="n"/>
      <c r="J2811" s="58" t="n"/>
      <c r="K2811" s="63">
        <f>IF(tblMovement[[#This Row],[Source]]="","",IFERROR(INDEX(tblSources[Type],MATCH(tblMovement[[#This Row],[Source]],tblSources[Source],0)),"?"))</f>
        <v/>
      </c>
      <c r="L2811" s="63">
        <f>IF(tblMovement[[#This Row],[Destination]]="","",IFERROR(INDEX(tblDestinations[Type],MATCH(tblMovement[[#This Row],[Destination]],tblDestinations[Destination],0)),"?"))</f>
        <v/>
      </c>
      <c r="M2811" s="64">
        <f>IF(tblMovement[[#This Row],[Material]]="","",IF(LEFT(tblMovement[[#This Row],[Material]],3)="Ore",1,0))</f>
        <v/>
      </c>
      <c r="N2811" s="59">
        <f>IF(OR(tblMovement[[#This Row],[Tonnes_t]]="",tblMovement[[#This Row],[Grade_gpt]]=""),0,tblMovement[[#This Row],[Tonnes_t]]*tblMovement[[#This Row],[Grade_gpt]]/cfg_TroyOz)</f>
        <v/>
      </c>
      <c r="O2811" s="59">
        <f>IF(tblMovement[[#This Row],[Is_Ore]]=1,tblMovement[[#This Row],[Contained_oz]],0)</f>
        <v/>
      </c>
    </row>
    <row r="2812">
      <c r="A2812" s="54" t="n"/>
      <c r="B2812" s="61" t="n"/>
      <c r="C2812" s="61" t="n"/>
      <c r="D2812" s="61" t="n"/>
      <c r="E2812" s="61" t="n"/>
      <c r="F2812" s="55" t="n"/>
      <c r="G2812" s="56" t="n"/>
      <c r="H2812" s="55" t="n"/>
      <c r="I2812" s="62" t="n"/>
      <c r="J2812" s="58" t="n"/>
      <c r="K2812" s="63">
        <f>IF(tblMovement[[#This Row],[Source]]="","",IFERROR(INDEX(tblSources[Type],MATCH(tblMovement[[#This Row],[Source]],tblSources[Source],0)),"?"))</f>
        <v/>
      </c>
      <c r="L2812" s="63">
        <f>IF(tblMovement[[#This Row],[Destination]]="","",IFERROR(INDEX(tblDestinations[Type],MATCH(tblMovement[[#This Row],[Destination]],tblDestinations[Destination],0)),"?"))</f>
        <v/>
      </c>
      <c r="M2812" s="64">
        <f>IF(tblMovement[[#This Row],[Material]]="","",IF(LEFT(tblMovement[[#This Row],[Material]],3)="Ore",1,0))</f>
        <v/>
      </c>
      <c r="N2812" s="59">
        <f>IF(OR(tblMovement[[#This Row],[Tonnes_t]]="",tblMovement[[#This Row],[Grade_gpt]]=""),0,tblMovement[[#This Row],[Tonnes_t]]*tblMovement[[#This Row],[Grade_gpt]]/cfg_TroyOz)</f>
        <v/>
      </c>
      <c r="O2812" s="59">
        <f>IF(tblMovement[[#This Row],[Is_Ore]]=1,tblMovement[[#This Row],[Contained_oz]],0)</f>
        <v/>
      </c>
    </row>
    <row r="2813">
      <c r="A2813" s="54" t="n"/>
      <c r="B2813" s="61" t="n"/>
      <c r="C2813" s="61" t="n"/>
      <c r="D2813" s="61" t="n"/>
      <c r="E2813" s="61" t="n"/>
      <c r="F2813" s="55" t="n"/>
      <c r="G2813" s="56" t="n"/>
      <c r="H2813" s="55" t="n"/>
      <c r="I2813" s="62" t="n"/>
      <c r="J2813" s="58" t="n"/>
      <c r="K2813" s="63">
        <f>IF(tblMovement[[#This Row],[Source]]="","",IFERROR(INDEX(tblSources[Type],MATCH(tblMovement[[#This Row],[Source]],tblSources[Source],0)),"?"))</f>
        <v/>
      </c>
      <c r="L2813" s="63">
        <f>IF(tblMovement[[#This Row],[Destination]]="","",IFERROR(INDEX(tblDestinations[Type],MATCH(tblMovement[[#This Row],[Destination]],tblDestinations[Destination],0)),"?"))</f>
        <v/>
      </c>
      <c r="M2813" s="64">
        <f>IF(tblMovement[[#This Row],[Material]]="","",IF(LEFT(tblMovement[[#This Row],[Material]],3)="Ore",1,0))</f>
        <v/>
      </c>
      <c r="N2813" s="59">
        <f>IF(OR(tblMovement[[#This Row],[Tonnes_t]]="",tblMovement[[#This Row],[Grade_gpt]]=""),0,tblMovement[[#This Row],[Tonnes_t]]*tblMovement[[#This Row],[Grade_gpt]]/cfg_TroyOz)</f>
        <v/>
      </c>
      <c r="O2813" s="59">
        <f>IF(tblMovement[[#This Row],[Is_Ore]]=1,tblMovement[[#This Row],[Contained_oz]],0)</f>
        <v/>
      </c>
    </row>
    <row r="2814">
      <c r="A2814" s="54" t="n"/>
      <c r="B2814" s="61" t="n"/>
      <c r="C2814" s="61" t="n"/>
      <c r="D2814" s="61" t="n"/>
      <c r="E2814" s="61" t="n"/>
      <c r="F2814" s="55" t="n"/>
      <c r="G2814" s="56" t="n"/>
      <c r="H2814" s="55" t="n"/>
      <c r="I2814" s="62" t="n"/>
      <c r="J2814" s="58" t="n"/>
      <c r="K2814" s="63">
        <f>IF(tblMovement[[#This Row],[Source]]="","",IFERROR(INDEX(tblSources[Type],MATCH(tblMovement[[#This Row],[Source]],tblSources[Source],0)),"?"))</f>
        <v/>
      </c>
      <c r="L2814" s="63">
        <f>IF(tblMovement[[#This Row],[Destination]]="","",IFERROR(INDEX(tblDestinations[Type],MATCH(tblMovement[[#This Row],[Destination]],tblDestinations[Destination],0)),"?"))</f>
        <v/>
      </c>
      <c r="M2814" s="64">
        <f>IF(tblMovement[[#This Row],[Material]]="","",IF(LEFT(tblMovement[[#This Row],[Material]],3)="Ore",1,0))</f>
        <v/>
      </c>
      <c r="N2814" s="59">
        <f>IF(OR(tblMovement[[#This Row],[Tonnes_t]]="",tblMovement[[#This Row],[Grade_gpt]]=""),0,tblMovement[[#This Row],[Tonnes_t]]*tblMovement[[#This Row],[Grade_gpt]]/cfg_TroyOz)</f>
        <v/>
      </c>
      <c r="O2814" s="59">
        <f>IF(tblMovement[[#This Row],[Is_Ore]]=1,tblMovement[[#This Row],[Contained_oz]],0)</f>
        <v/>
      </c>
    </row>
    <row r="2815">
      <c r="A2815" s="54" t="n"/>
      <c r="B2815" s="61" t="n"/>
      <c r="C2815" s="61" t="n"/>
      <c r="D2815" s="61" t="n"/>
      <c r="E2815" s="61" t="n"/>
      <c r="F2815" s="55" t="n"/>
      <c r="G2815" s="56" t="n"/>
      <c r="H2815" s="55" t="n"/>
      <c r="I2815" s="62" t="n"/>
      <c r="J2815" s="58" t="n"/>
      <c r="K2815" s="63">
        <f>IF(tblMovement[[#This Row],[Source]]="","",IFERROR(INDEX(tblSources[Type],MATCH(tblMovement[[#This Row],[Source]],tblSources[Source],0)),"?"))</f>
        <v/>
      </c>
      <c r="L2815" s="63">
        <f>IF(tblMovement[[#This Row],[Destination]]="","",IFERROR(INDEX(tblDestinations[Type],MATCH(tblMovement[[#This Row],[Destination]],tblDestinations[Destination],0)),"?"))</f>
        <v/>
      </c>
      <c r="M2815" s="64">
        <f>IF(tblMovement[[#This Row],[Material]]="","",IF(LEFT(tblMovement[[#This Row],[Material]],3)="Ore",1,0))</f>
        <v/>
      </c>
      <c r="N2815" s="59">
        <f>IF(OR(tblMovement[[#This Row],[Tonnes_t]]="",tblMovement[[#This Row],[Grade_gpt]]=""),0,tblMovement[[#This Row],[Tonnes_t]]*tblMovement[[#This Row],[Grade_gpt]]/cfg_TroyOz)</f>
        <v/>
      </c>
      <c r="O2815" s="59">
        <f>IF(tblMovement[[#This Row],[Is_Ore]]=1,tblMovement[[#This Row],[Contained_oz]],0)</f>
        <v/>
      </c>
    </row>
    <row r="2816">
      <c r="A2816" s="54" t="n"/>
      <c r="B2816" s="61" t="n"/>
      <c r="C2816" s="61" t="n"/>
      <c r="D2816" s="61" t="n"/>
      <c r="E2816" s="61" t="n"/>
      <c r="F2816" s="55" t="n"/>
      <c r="G2816" s="56" t="n"/>
      <c r="H2816" s="55" t="n"/>
      <c r="I2816" s="62" t="n"/>
      <c r="J2816" s="58" t="n"/>
      <c r="K2816" s="63">
        <f>IF(tblMovement[[#This Row],[Source]]="","",IFERROR(INDEX(tblSources[Type],MATCH(tblMovement[[#This Row],[Source]],tblSources[Source],0)),"?"))</f>
        <v/>
      </c>
      <c r="L2816" s="63">
        <f>IF(tblMovement[[#This Row],[Destination]]="","",IFERROR(INDEX(tblDestinations[Type],MATCH(tblMovement[[#This Row],[Destination]],tblDestinations[Destination],0)),"?"))</f>
        <v/>
      </c>
      <c r="M2816" s="64">
        <f>IF(tblMovement[[#This Row],[Material]]="","",IF(LEFT(tblMovement[[#This Row],[Material]],3)="Ore",1,0))</f>
        <v/>
      </c>
      <c r="N2816" s="59">
        <f>IF(OR(tblMovement[[#This Row],[Tonnes_t]]="",tblMovement[[#This Row],[Grade_gpt]]=""),0,tblMovement[[#This Row],[Tonnes_t]]*tblMovement[[#This Row],[Grade_gpt]]/cfg_TroyOz)</f>
        <v/>
      </c>
      <c r="O2816" s="59">
        <f>IF(tblMovement[[#This Row],[Is_Ore]]=1,tblMovement[[#This Row],[Contained_oz]],0)</f>
        <v/>
      </c>
    </row>
    <row r="2817">
      <c r="A2817" s="54" t="n"/>
      <c r="B2817" s="61" t="n"/>
      <c r="C2817" s="61" t="n"/>
      <c r="D2817" s="61" t="n"/>
      <c r="E2817" s="61" t="n"/>
      <c r="F2817" s="55" t="n"/>
      <c r="G2817" s="56" t="n"/>
      <c r="H2817" s="55" t="n"/>
      <c r="I2817" s="62" t="n"/>
      <c r="J2817" s="58" t="n"/>
      <c r="K2817" s="63">
        <f>IF(tblMovement[[#This Row],[Source]]="","",IFERROR(INDEX(tblSources[Type],MATCH(tblMovement[[#This Row],[Source]],tblSources[Source],0)),"?"))</f>
        <v/>
      </c>
      <c r="L2817" s="63">
        <f>IF(tblMovement[[#This Row],[Destination]]="","",IFERROR(INDEX(tblDestinations[Type],MATCH(tblMovement[[#This Row],[Destination]],tblDestinations[Destination],0)),"?"))</f>
        <v/>
      </c>
      <c r="M2817" s="64">
        <f>IF(tblMovement[[#This Row],[Material]]="","",IF(LEFT(tblMovement[[#This Row],[Material]],3)="Ore",1,0))</f>
        <v/>
      </c>
      <c r="N2817" s="59">
        <f>IF(OR(tblMovement[[#This Row],[Tonnes_t]]="",tblMovement[[#This Row],[Grade_gpt]]=""),0,tblMovement[[#This Row],[Tonnes_t]]*tblMovement[[#This Row],[Grade_gpt]]/cfg_TroyOz)</f>
        <v/>
      </c>
      <c r="O2817" s="59">
        <f>IF(tblMovement[[#This Row],[Is_Ore]]=1,tblMovement[[#This Row],[Contained_oz]],0)</f>
        <v/>
      </c>
    </row>
    <row r="2818">
      <c r="A2818" s="54" t="n"/>
      <c r="B2818" s="61" t="n"/>
      <c r="C2818" s="61" t="n"/>
      <c r="D2818" s="61" t="n"/>
      <c r="E2818" s="61" t="n"/>
      <c r="F2818" s="55" t="n"/>
      <c r="G2818" s="56" t="n"/>
      <c r="H2818" s="55" t="n"/>
      <c r="I2818" s="62" t="n"/>
      <c r="J2818" s="58" t="n"/>
      <c r="K2818" s="63">
        <f>IF(tblMovement[[#This Row],[Source]]="","",IFERROR(INDEX(tblSources[Type],MATCH(tblMovement[[#This Row],[Source]],tblSources[Source],0)),"?"))</f>
        <v/>
      </c>
      <c r="L2818" s="63">
        <f>IF(tblMovement[[#This Row],[Destination]]="","",IFERROR(INDEX(tblDestinations[Type],MATCH(tblMovement[[#This Row],[Destination]],tblDestinations[Destination],0)),"?"))</f>
        <v/>
      </c>
      <c r="M2818" s="64">
        <f>IF(tblMovement[[#This Row],[Material]]="","",IF(LEFT(tblMovement[[#This Row],[Material]],3)="Ore",1,0))</f>
        <v/>
      </c>
      <c r="N2818" s="59">
        <f>IF(OR(tblMovement[[#This Row],[Tonnes_t]]="",tblMovement[[#This Row],[Grade_gpt]]=""),0,tblMovement[[#This Row],[Tonnes_t]]*tblMovement[[#This Row],[Grade_gpt]]/cfg_TroyOz)</f>
        <v/>
      </c>
      <c r="O2818" s="59">
        <f>IF(tblMovement[[#This Row],[Is_Ore]]=1,tblMovement[[#This Row],[Contained_oz]],0)</f>
        <v/>
      </c>
    </row>
    <row r="2819">
      <c r="A2819" s="54" t="n"/>
      <c r="B2819" s="61" t="n"/>
      <c r="C2819" s="61" t="n"/>
      <c r="D2819" s="61" t="n"/>
      <c r="E2819" s="61" t="n"/>
      <c r="F2819" s="55" t="n"/>
      <c r="G2819" s="56" t="n"/>
      <c r="H2819" s="55" t="n"/>
      <c r="I2819" s="62" t="n"/>
      <c r="J2819" s="58" t="n"/>
      <c r="K2819" s="63">
        <f>IF(tblMovement[[#This Row],[Source]]="","",IFERROR(INDEX(tblSources[Type],MATCH(tblMovement[[#This Row],[Source]],tblSources[Source],0)),"?"))</f>
        <v/>
      </c>
      <c r="L2819" s="63">
        <f>IF(tblMovement[[#This Row],[Destination]]="","",IFERROR(INDEX(tblDestinations[Type],MATCH(tblMovement[[#This Row],[Destination]],tblDestinations[Destination],0)),"?"))</f>
        <v/>
      </c>
      <c r="M2819" s="64">
        <f>IF(tblMovement[[#This Row],[Material]]="","",IF(LEFT(tblMovement[[#This Row],[Material]],3)="Ore",1,0))</f>
        <v/>
      </c>
      <c r="N2819" s="59">
        <f>IF(OR(tblMovement[[#This Row],[Tonnes_t]]="",tblMovement[[#This Row],[Grade_gpt]]=""),0,tblMovement[[#This Row],[Tonnes_t]]*tblMovement[[#This Row],[Grade_gpt]]/cfg_TroyOz)</f>
        <v/>
      </c>
      <c r="O2819" s="59">
        <f>IF(tblMovement[[#This Row],[Is_Ore]]=1,tblMovement[[#This Row],[Contained_oz]],0)</f>
        <v/>
      </c>
    </row>
    <row r="2820">
      <c r="A2820" s="54" t="n"/>
      <c r="B2820" s="61" t="n"/>
      <c r="C2820" s="61" t="n"/>
      <c r="D2820" s="61" t="n"/>
      <c r="E2820" s="61" t="n"/>
      <c r="F2820" s="55" t="n"/>
      <c r="G2820" s="56" t="n"/>
      <c r="H2820" s="55" t="n"/>
      <c r="I2820" s="62" t="n"/>
      <c r="J2820" s="58" t="n"/>
      <c r="K2820" s="63">
        <f>IF(tblMovement[[#This Row],[Source]]="","",IFERROR(INDEX(tblSources[Type],MATCH(tblMovement[[#This Row],[Source]],tblSources[Source],0)),"?"))</f>
        <v/>
      </c>
      <c r="L2820" s="63">
        <f>IF(tblMovement[[#This Row],[Destination]]="","",IFERROR(INDEX(tblDestinations[Type],MATCH(tblMovement[[#This Row],[Destination]],tblDestinations[Destination],0)),"?"))</f>
        <v/>
      </c>
      <c r="M2820" s="64">
        <f>IF(tblMovement[[#This Row],[Material]]="","",IF(LEFT(tblMovement[[#This Row],[Material]],3)="Ore",1,0))</f>
        <v/>
      </c>
      <c r="N2820" s="59">
        <f>IF(OR(tblMovement[[#This Row],[Tonnes_t]]="",tblMovement[[#This Row],[Grade_gpt]]=""),0,tblMovement[[#This Row],[Tonnes_t]]*tblMovement[[#This Row],[Grade_gpt]]/cfg_TroyOz)</f>
        <v/>
      </c>
      <c r="O2820" s="59">
        <f>IF(tblMovement[[#This Row],[Is_Ore]]=1,tblMovement[[#This Row],[Contained_oz]],0)</f>
        <v/>
      </c>
    </row>
    <row r="2821">
      <c r="A2821" s="54" t="n"/>
      <c r="B2821" s="61" t="n"/>
      <c r="C2821" s="61" t="n"/>
      <c r="D2821" s="61" t="n"/>
      <c r="E2821" s="61" t="n"/>
      <c r="F2821" s="55" t="n"/>
      <c r="G2821" s="56" t="n"/>
      <c r="H2821" s="55" t="n"/>
      <c r="I2821" s="62" t="n"/>
      <c r="J2821" s="58" t="n"/>
      <c r="K2821" s="63">
        <f>IF(tblMovement[[#This Row],[Source]]="","",IFERROR(INDEX(tblSources[Type],MATCH(tblMovement[[#This Row],[Source]],tblSources[Source],0)),"?"))</f>
        <v/>
      </c>
      <c r="L2821" s="63">
        <f>IF(tblMovement[[#This Row],[Destination]]="","",IFERROR(INDEX(tblDestinations[Type],MATCH(tblMovement[[#This Row],[Destination]],tblDestinations[Destination],0)),"?"))</f>
        <v/>
      </c>
      <c r="M2821" s="64">
        <f>IF(tblMovement[[#This Row],[Material]]="","",IF(LEFT(tblMovement[[#This Row],[Material]],3)="Ore",1,0))</f>
        <v/>
      </c>
      <c r="N2821" s="59">
        <f>IF(OR(tblMovement[[#This Row],[Tonnes_t]]="",tblMovement[[#This Row],[Grade_gpt]]=""),0,tblMovement[[#This Row],[Tonnes_t]]*tblMovement[[#This Row],[Grade_gpt]]/cfg_TroyOz)</f>
        <v/>
      </c>
      <c r="O2821" s="59">
        <f>IF(tblMovement[[#This Row],[Is_Ore]]=1,tblMovement[[#This Row],[Contained_oz]],0)</f>
        <v/>
      </c>
    </row>
    <row r="2822">
      <c r="A2822" s="54" t="n"/>
      <c r="B2822" s="61" t="n"/>
      <c r="C2822" s="61" t="n"/>
      <c r="D2822" s="61" t="n"/>
      <c r="E2822" s="61" t="n"/>
      <c r="F2822" s="55" t="n"/>
      <c r="G2822" s="56" t="n"/>
      <c r="H2822" s="55" t="n"/>
      <c r="I2822" s="62" t="n"/>
      <c r="J2822" s="58" t="n"/>
      <c r="K2822" s="63">
        <f>IF(tblMovement[[#This Row],[Source]]="","",IFERROR(INDEX(tblSources[Type],MATCH(tblMovement[[#This Row],[Source]],tblSources[Source],0)),"?"))</f>
        <v/>
      </c>
      <c r="L2822" s="63">
        <f>IF(tblMovement[[#This Row],[Destination]]="","",IFERROR(INDEX(tblDestinations[Type],MATCH(tblMovement[[#This Row],[Destination]],tblDestinations[Destination],0)),"?"))</f>
        <v/>
      </c>
      <c r="M2822" s="64">
        <f>IF(tblMovement[[#This Row],[Material]]="","",IF(LEFT(tblMovement[[#This Row],[Material]],3)="Ore",1,0))</f>
        <v/>
      </c>
      <c r="N2822" s="59">
        <f>IF(OR(tblMovement[[#This Row],[Tonnes_t]]="",tblMovement[[#This Row],[Grade_gpt]]=""),0,tblMovement[[#This Row],[Tonnes_t]]*tblMovement[[#This Row],[Grade_gpt]]/cfg_TroyOz)</f>
        <v/>
      </c>
      <c r="O2822" s="59">
        <f>IF(tblMovement[[#This Row],[Is_Ore]]=1,tblMovement[[#This Row],[Contained_oz]],0)</f>
        <v/>
      </c>
    </row>
    <row r="2823">
      <c r="A2823" s="54" t="n"/>
      <c r="B2823" s="61" t="n"/>
      <c r="C2823" s="61" t="n"/>
      <c r="D2823" s="61" t="n"/>
      <c r="E2823" s="61" t="n"/>
      <c r="F2823" s="55" t="n"/>
      <c r="G2823" s="56" t="n"/>
      <c r="H2823" s="55" t="n"/>
      <c r="I2823" s="62" t="n"/>
      <c r="J2823" s="58" t="n"/>
      <c r="K2823" s="63">
        <f>IF(tblMovement[[#This Row],[Source]]="","",IFERROR(INDEX(tblSources[Type],MATCH(tblMovement[[#This Row],[Source]],tblSources[Source],0)),"?"))</f>
        <v/>
      </c>
      <c r="L2823" s="63">
        <f>IF(tblMovement[[#This Row],[Destination]]="","",IFERROR(INDEX(tblDestinations[Type],MATCH(tblMovement[[#This Row],[Destination]],tblDestinations[Destination],0)),"?"))</f>
        <v/>
      </c>
      <c r="M2823" s="64">
        <f>IF(tblMovement[[#This Row],[Material]]="","",IF(LEFT(tblMovement[[#This Row],[Material]],3)="Ore",1,0))</f>
        <v/>
      </c>
      <c r="N2823" s="59">
        <f>IF(OR(tblMovement[[#This Row],[Tonnes_t]]="",tblMovement[[#This Row],[Grade_gpt]]=""),0,tblMovement[[#This Row],[Tonnes_t]]*tblMovement[[#This Row],[Grade_gpt]]/cfg_TroyOz)</f>
        <v/>
      </c>
      <c r="O2823" s="59">
        <f>IF(tblMovement[[#This Row],[Is_Ore]]=1,tblMovement[[#This Row],[Contained_oz]],0)</f>
        <v/>
      </c>
    </row>
    <row r="2824">
      <c r="A2824" s="54" t="n"/>
      <c r="B2824" s="61" t="n"/>
      <c r="C2824" s="61" t="n"/>
      <c r="D2824" s="61" t="n"/>
      <c r="E2824" s="61" t="n"/>
      <c r="F2824" s="55" t="n"/>
      <c r="G2824" s="56" t="n"/>
      <c r="H2824" s="55" t="n"/>
      <c r="I2824" s="62" t="n"/>
      <c r="J2824" s="58" t="n"/>
      <c r="K2824" s="63">
        <f>IF(tblMovement[[#This Row],[Source]]="","",IFERROR(INDEX(tblSources[Type],MATCH(tblMovement[[#This Row],[Source]],tblSources[Source],0)),"?"))</f>
        <v/>
      </c>
      <c r="L2824" s="63">
        <f>IF(tblMovement[[#This Row],[Destination]]="","",IFERROR(INDEX(tblDestinations[Type],MATCH(tblMovement[[#This Row],[Destination]],tblDestinations[Destination],0)),"?"))</f>
        <v/>
      </c>
      <c r="M2824" s="64">
        <f>IF(tblMovement[[#This Row],[Material]]="","",IF(LEFT(tblMovement[[#This Row],[Material]],3)="Ore",1,0))</f>
        <v/>
      </c>
      <c r="N2824" s="59">
        <f>IF(OR(tblMovement[[#This Row],[Tonnes_t]]="",tblMovement[[#This Row],[Grade_gpt]]=""),0,tblMovement[[#This Row],[Tonnes_t]]*tblMovement[[#This Row],[Grade_gpt]]/cfg_TroyOz)</f>
        <v/>
      </c>
      <c r="O2824" s="59">
        <f>IF(tblMovement[[#This Row],[Is_Ore]]=1,tblMovement[[#This Row],[Contained_oz]],0)</f>
        <v/>
      </c>
    </row>
    <row r="2825">
      <c r="A2825" s="54" t="n"/>
      <c r="B2825" s="61" t="n"/>
      <c r="C2825" s="61" t="n"/>
      <c r="D2825" s="61" t="n"/>
      <c r="E2825" s="61" t="n"/>
      <c r="F2825" s="55" t="n"/>
      <c r="G2825" s="56" t="n"/>
      <c r="H2825" s="55" t="n"/>
      <c r="I2825" s="62" t="n"/>
      <c r="J2825" s="58" t="n"/>
      <c r="K2825" s="63">
        <f>IF(tblMovement[[#This Row],[Source]]="","",IFERROR(INDEX(tblSources[Type],MATCH(tblMovement[[#This Row],[Source]],tblSources[Source],0)),"?"))</f>
        <v/>
      </c>
      <c r="L2825" s="63">
        <f>IF(tblMovement[[#This Row],[Destination]]="","",IFERROR(INDEX(tblDestinations[Type],MATCH(tblMovement[[#This Row],[Destination]],tblDestinations[Destination],0)),"?"))</f>
        <v/>
      </c>
      <c r="M2825" s="64">
        <f>IF(tblMovement[[#This Row],[Material]]="","",IF(LEFT(tblMovement[[#This Row],[Material]],3)="Ore",1,0))</f>
        <v/>
      </c>
      <c r="N2825" s="59">
        <f>IF(OR(tblMovement[[#This Row],[Tonnes_t]]="",tblMovement[[#This Row],[Grade_gpt]]=""),0,tblMovement[[#This Row],[Tonnes_t]]*tblMovement[[#This Row],[Grade_gpt]]/cfg_TroyOz)</f>
        <v/>
      </c>
      <c r="O2825" s="59">
        <f>IF(tblMovement[[#This Row],[Is_Ore]]=1,tblMovement[[#This Row],[Contained_oz]],0)</f>
        <v/>
      </c>
    </row>
    <row r="2826">
      <c r="A2826" s="54" t="n"/>
      <c r="B2826" s="61" t="n"/>
      <c r="C2826" s="61" t="n"/>
      <c r="D2826" s="61" t="n"/>
      <c r="E2826" s="61" t="n"/>
      <c r="F2826" s="55" t="n"/>
      <c r="G2826" s="56" t="n"/>
      <c r="H2826" s="55" t="n"/>
      <c r="I2826" s="62" t="n"/>
      <c r="J2826" s="58" t="n"/>
      <c r="K2826" s="63">
        <f>IF(tblMovement[[#This Row],[Source]]="","",IFERROR(INDEX(tblSources[Type],MATCH(tblMovement[[#This Row],[Source]],tblSources[Source],0)),"?"))</f>
        <v/>
      </c>
      <c r="L2826" s="63">
        <f>IF(tblMovement[[#This Row],[Destination]]="","",IFERROR(INDEX(tblDestinations[Type],MATCH(tblMovement[[#This Row],[Destination]],tblDestinations[Destination],0)),"?"))</f>
        <v/>
      </c>
      <c r="M2826" s="64">
        <f>IF(tblMovement[[#This Row],[Material]]="","",IF(LEFT(tblMovement[[#This Row],[Material]],3)="Ore",1,0))</f>
        <v/>
      </c>
      <c r="N2826" s="59">
        <f>IF(OR(tblMovement[[#This Row],[Tonnes_t]]="",tblMovement[[#This Row],[Grade_gpt]]=""),0,tblMovement[[#This Row],[Tonnes_t]]*tblMovement[[#This Row],[Grade_gpt]]/cfg_TroyOz)</f>
        <v/>
      </c>
      <c r="O2826" s="59">
        <f>IF(tblMovement[[#This Row],[Is_Ore]]=1,tblMovement[[#This Row],[Contained_oz]],0)</f>
        <v/>
      </c>
    </row>
    <row r="2827">
      <c r="A2827" s="54" t="n"/>
      <c r="B2827" s="61" t="n"/>
      <c r="C2827" s="61" t="n"/>
      <c r="D2827" s="61" t="n"/>
      <c r="E2827" s="61" t="n"/>
      <c r="F2827" s="55" t="n"/>
      <c r="G2827" s="56" t="n"/>
      <c r="H2827" s="55" t="n"/>
      <c r="I2827" s="62" t="n"/>
      <c r="J2827" s="58" t="n"/>
      <c r="K2827" s="63">
        <f>IF(tblMovement[[#This Row],[Source]]="","",IFERROR(INDEX(tblSources[Type],MATCH(tblMovement[[#This Row],[Source]],tblSources[Source],0)),"?"))</f>
        <v/>
      </c>
      <c r="L2827" s="63">
        <f>IF(tblMovement[[#This Row],[Destination]]="","",IFERROR(INDEX(tblDestinations[Type],MATCH(tblMovement[[#This Row],[Destination]],tblDestinations[Destination],0)),"?"))</f>
        <v/>
      </c>
      <c r="M2827" s="64">
        <f>IF(tblMovement[[#This Row],[Material]]="","",IF(LEFT(tblMovement[[#This Row],[Material]],3)="Ore",1,0))</f>
        <v/>
      </c>
      <c r="N2827" s="59">
        <f>IF(OR(tblMovement[[#This Row],[Tonnes_t]]="",tblMovement[[#This Row],[Grade_gpt]]=""),0,tblMovement[[#This Row],[Tonnes_t]]*tblMovement[[#This Row],[Grade_gpt]]/cfg_TroyOz)</f>
        <v/>
      </c>
      <c r="O2827" s="59">
        <f>IF(tblMovement[[#This Row],[Is_Ore]]=1,tblMovement[[#This Row],[Contained_oz]],0)</f>
        <v/>
      </c>
    </row>
    <row r="2828">
      <c r="A2828" s="54" t="n"/>
      <c r="B2828" s="61" t="n"/>
      <c r="C2828" s="61" t="n"/>
      <c r="D2828" s="61" t="n"/>
      <c r="E2828" s="61" t="n"/>
      <c r="F2828" s="55" t="n"/>
      <c r="G2828" s="56" t="n"/>
      <c r="H2828" s="55" t="n"/>
      <c r="I2828" s="62" t="n"/>
      <c r="J2828" s="58" t="n"/>
      <c r="K2828" s="63">
        <f>IF(tblMovement[[#This Row],[Source]]="","",IFERROR(INDEX(tblSources[Type],MATCH(tblMovement[[#This Row],[Source]],tblSources[Source],0)),"?"))</f>
        <v/>
      </c>
      <c r="L2828" s="63">
        <f>IF(tblMovement[[#This Row],[Destination]]="","",IFERROR(INDEX(tblDestinations[Type],MATCH(tblMovement[[#This Row],[Destination]],tblDestinations[Destination],0)),"?"))</f>
        <v/>
      </c>
      <c r="M2828" s="64">
        <f>IF(tblMovement[[#This Row],[Material]]="","",IF(LEFT(tblMovement[[#This Row],[Material]],3)="Ore",1,0))</f>
        <v/>
      </c>
      <c r="N2828" s="59">
        <f>IF(OR(tblMovement[[#This Row],[Tonnes_t]]="",tblMovement[[#This Row],[Grade_gpt]]=""),0,tblMovement[[#This Row],[Tonnes_t]]*tblMovement[[#This Row],[Grade_gpt]]/cfg_TroyOz)</f>
        <v/>
      </c>
      <c r="O2828" s="59">
        <f>IF(tblMovement[[#This Row],[Is_Ore]]=1,tblMovement[[#This Row],[Contained_oz]],0)</f>
        <v/>
      </c>
    </row>
    <row r="2829">
      <c r="A2829" s="54" t="n"/>
      <c r="B2829" s="61" t="n"/>
      <c r="C2829" s="61" t="n"/>
      <c r="D2829" s="61" t="n"/>
      <c r="E2829" s="61" t="n"/>
      <c r="F2829" s="55" t="n"/>
      <c r="G2829" s="56" t="n"/>
      <c r="H2829" s="55" t="n"/>
      <c r="I2829" s="62" t="n"/>
      <c r="J2829" s="58" t="n"/>
      <c r="K2829" s="63">
        <f>IF(tblMovement[[#This Row],[Source]]="","",IFERROR(INDEX(tblSources[Type],MATCH(tblMovement[[#This Row],[Source]],tblSources[Source],0)),"?"))</f>
        <v/>
      </c>
      <c r="L2829" s="63">
        <f>IF(tblMovement[[#This Row],[Destination]]="","",IFERROR(INDEX(tblDestinations[Type],MATCH(tblMovement[[#This Row],[Destination]],tblDestinations[Destination],0)),"?"))</f>
        <v/>
      </c>
      <c r="M2829" s="64">
        <f>IF(tblMovement[[#This Row],[Material]]="","",IF(LEFT(tblMovement[[#This Row],[Material]],3)="Ore",1,0))</f>
        <v/>
      </c>
      <c r="N2829" s="59">
        <f>IF(OR(tblMovement[[#This Row],[Tonnes_t]]="",tblMovement[[#This Row],[Grade_gpt]]=""),0,tblMovement[[#This Row],[Tonnes_t]]*tblMovement[[#This Row],[Grade_gpt]]/cfg_TroyOz)</f>
        <v/>
      </c>
      <c r="O2829" s="59">
        <f>IF(tblMovement[[#This Row],[Is_Ore]]=1,tblMovement[[#This Row],[Contained_oz]],0)</f>
        <v/>
      </c>
    </row>
    <row r="2830">
      <c r="A2830" s="54" t="n"/>
      <c r="B2830" s="61" t="n"/>
      <c r="C2830" s="61" t="n"/>
      <c r="D2830" s="61" t="n"/>
      <c r="E2830" s="61" t="n"/>
      <c r="F2830" s="55" t="n"/>
      <c r="G2830" s="56" t="n"/>
      <c r="H2830" s="55" t="n"/>
      <c r="I2830" s="62" t="n"/>
      <c r="J2830" s="58" t="n"/>
      <c r="K2830" s="63">
        <f>IF(tblMovement[[#This Row],[Source]]="","",IFERROR(INDEX(tblSources[Type],MATCH(tblMovement[[#This Row],[Source]],tblSources[Source],0)),"?"))</f>
        <v/>
      </c>
      <c r="L2830" s="63">
        <f>IF(tblMovement[[#This Row],[Destination]]="","",IFERROR(INDEX(tblDestinations[Type],MATCH(tblMovement[[#This Row],[Destination]],tblDestinations[Destination],0)),"?"))</f>
        <v/>
      </c>
      <c r="M2830" s="64">
        <f>IF(tblMovement[[#This Row],[Material]]="","",IF(LEFT(tblMovement[[#This Row],[Material]],3)="Ore",1,0))</f>
        <v/>
      </c>
      <c r="N2830" s="59">
        <f>IF(OR(tblMovement[[#This Row],[Tonnes_t]]="",tblMovement[[#This Row],[Grade_gpt]]=""),0,tblMovement[[#This Row],[Tonnes_t]]*tblMovement[[#This Row],[Grade_gpt]]/cfg_TroyOz)</f>
        <v/>
      </c>
      <c r="O2830" s="59">
        <f>IF(tblMovement[[#This Row],[Is_Ore]]=1,tblMovement[[#This Row],[Contained_oz]],0)</f>
        <v/>
      </c>
    </row>
    <row r="2831">
      <c r="A2831" s="54" t="n"/>
      <c r="B2831" s="61" t="n"/>
      <c r="C2831" s="61" t="n"/>
      <c r="D2831" s="61" t="n"/>
      <c r="E2831" s="61" t="n"/>
      <c r="F2831" s="55" t="n"/>
      <c r="G2831" s="56" t="n"/>
      <c r="H2831" s="55" t="n"/>
      <c r="I2831" s="62" t="n"/>
      <c r="J2831" s="58" t="n"/>
      <c r="K2831" s="63">
        <f>IF(tblMovement[[#This Row],[Source]]="","",IFERROR(INDEX(tblSources[Type],MATCH(tblMovement[[#This Row],[Source]],tblSources[Source],0)),"?"))</f>
        <v/>
      </c>
      <c r="L2831" s="63">
        <f>IF(tblMovement[[#This Row],[Destination]]="","",IFERROR(INDEX(tblDestinations[Type],MATCH(tblMovement[[#This Row],[Destination]],tblDestinations[Destination],0)),"?"))</f>
        <v/>
      </c>
      <c r="M2831" s="64">
        <f>IF(tblMovement[[#This Row],[Material]]="","",IF(LEFT(tblMovement[[#This Row],[Material]],3)="Ore",1,0))</f>
        <v/>
      </c>
      <c r="N2831" s="59">
        <f>IF(OR(tblMovement[[#This Row],[Tonnes_t]]="",tblMovement[[#This Row],[Grade_gpt]]=""),0,tblMovement[[#This Row],[Tonnes_t]]*tblMovement[[#This Row],[Grade_gpt]]/cfg_TroyOz)</f>
        <v/>
      </c>
      <c r="O2831" s="59">
        <f>IF(tblMovement[[#This Row],[Is_Ore]]=1,tblMovement[[#This Row],[Contained_oz]],0)</f>
        <v/>
      </c>
    </row>
    <row r="2832">
      <c r="A2832" s="54" t="n"/>
      <c r="B2832" s="61" t="n"/>
      <c r="C2832" s="61" t="n"/>
      <c r="D2832" s="61" t="n"/>
      <c r="E2832" s="61" t="n"/>
      <c r="F2832" s="55" t="n"/>
      <c r="G2832" s="56" t="n"/>
      <c r="H2832" s="55" t="n"/>
      <c r="I2832" s="62" t="n"/>
      <c r="J2832" s="58" t="n"/>
      <c r="K2832" s="63">
        <f>IF(tblMovement[[#This Row],[Source]]="","",IFERROR(INDEX(tblSources[Type],MATCH(tblMovement[[#This Row],[Source]],tblSources[Source],0)),"?"))</f>
        <v/>
      </c>
      <c r="L2832" s="63">
        <f>IF(tblMovement[[#This Row],[Destination]]="","",IFERROR(INDEX(tblDestinations[Type],MATCH(tblMovement[[#This Row],[Destination]],tblDestinations[Destination],0)),"?"))</f>
        <v/>
      </c>
      <c r="M2832" s="64">
        <f>IF(tblMovement[[#This Row],[Material]]="","",IF(LEFT(tblMovement[[#This Row],[Material]],3)="Ore",1,0))</f>
        <v/>
      </c>
      <c r="N2832" s="59">
        <f>IF(OR(tblMovement[[#This Row],[Tonnes_t]]="",tblMovement[[#This Row],[Grade_gpt]]=""),0,tblMovement[[#This Row],[Tonnes_t]]*tblMovement[[#This Row],[Grade_gpt]]/cfg_TroyOz)</f>
        <v/>
      </c>
      <c r="O2832" s="59">
        <f>IF(tblMovement[[#This Row],[Is_Ore]]=1,tblMovement[[#This Row],[Contained_oz]],0)</f>
        <v/>
      </c>
    </row>
    <row r="2833">
      <c r="A2833" s="54" t="n"/>
      <c r="B2833" s="61" t="n"/>
      <c r="C2833" s="61" t="n"/>
      <c r="D2833" s="61" t="n"/>
      <c r="E2833" s="61" t="n"/>
      <c r="F2833" s="55" t="n"/>
      <c r="G2833" s="56" t="n"/>
      <c r="H2833" s="55" t="n"/>
      <c r="I2833" s="62" t="n"/>
      <c r="J2833" s="58" t="n"/>
      <c r="K2833" s="63">
        <f>IF(tblMovement[[#This Row],[Source]]="","",IFERROR(INDEX(tblSources[Type],MATCH(tblMovement[[#This Row],[Source]],tblSources[Source],0)),"?"))</f>
        <v/>
      </c>
      <c r="L2833" s="63">
        <f>IF(tblMovement[[#This Row],[Destination]]="","",IFERROR(INDEX(tblDestinations[Type],MATCH(tblMovement[[#This Row],[Destination]],tblDestinations[Destination],0)),"?"))</f>
        <v/>
      </c>
      <c r="M2833" s="64">
        <f>IF(tblMovement[[#This Row],[Material]]="","",IF(LEFT(tblMovement[[#This Row],[Material]],3)="Ore",1,0))</f>
        <v/>
      </c>
      <c r="N2833" s="59">
        <f>IF(OR(tblMovement[[#This Row],[Tonnes_t]]="",tblMovement[[#This Row],[Grade_gpt]]=""),0,tblMovement[[#This Row],[Tonnes_t]]*tblMovement[[#This Row],[Grade_gpt]]/cfg_TroyOz)</f>
        <v/>
      </c>
      <c r="O2833" s="59">
        <f>IF(tblMovement[[#This Row],[Is_Ore]]=1,tblMovement[[#This Row],[Contained_oz]],0)</f>
        <v/>
      </c>
    </row>
    <row r="2834">
      <c r="A2834" s="54" t="n"/>
      <c r="B2834" s="61" t="n"/>
      <c r="C2834" s="61" t="n"/>
      <c r="D2834" s="61" t="n"/>
      <c r="E2834" s="61" t="n"/>
      <c r="F2834" s="55" t="n"/>
      <c r="G2834" s="56" t="n"/>
      <c r="H2834" s="55" t="n"/>
      <c r="I2834" s="62" t="n"/>
      <c r="J2834" s="58" t="n"/>
      <c r="K2834" s="63">
        <f>IF(tblMovement[[#This Row],[Source]]="","",IFERROR(INDEX(tblSources[Type],MATCH(tblMovement[[#This Row],[Source]],tblSources[Source],0)),"?"))</f>
        <v/>
      </c>
      <c r="L2834" s="63">
        <f>IF(tblMovement[[#This Row],[Destination]]="","",IFERROR(INDEX(tblDestinations[Type],MATCH(tblMovement[[#This Row],[Destination]],tblDestinations[Destination],0)),"?"))</f>
        <v/>
      </c>
      <c r="M2834" s="64">
        <f>IF(tblMovement[[#This Row],[Material]]="","",IF(LEFT(tblMovement[[#This Row],[Material]],3)="Ore",1,0))</f>
        <v/>
      </c>
      <c r="N2834" s="59">
        <f>IF(OR(tblMovement[[#This Row],[Tonnes_t]]="",tblMovement[[#This Row],[Grade_gpt]]=""),0,tblMovement[[#This Row],[Tonnes_t]]*tblMovement[[#This Row],[Grade_gpt]]/cfg_TroyOz)</f>
        <v/>
      </c>
      <c r="O2834" s="59">
        <f>IF(tblMovement[[#This Row],[Is_Ore]]=1,tblMovement[[#This Row],[Contained_oz]],0)</f>
        <v/>
      </c>
    </row>
    <row r="2835">
      <c r="A2835" s="54" t="n"/>
      <c r="B2835" s="61" t="n"/>
      <c r="C2835" s="61" t="n"/>
      <c r="D2835" s="61" t="n"/>
      <c r="E2835" s="61" t="n"/>
      <c r="F2835" s="55" t="n"/>
      <c r="G2835" s="56" t="n"/>
      <c r="H2835" s="55" t="n"/>
      <c r="I2835" s="62" t="n"/>
      <c r="J2835" s="58" t="n"/>
      <c r="K2835" s="63">
        <f>IF(tblMovement[[#This Row],[Source]]="","",IFERROR(INDEX(tblSources[Type],MATCH(tblMovement[[#This Row],[Source]],tblSources[Source],0)),"?"))</f>
        <v/>
      </c>
      <c r="L2835" s="63">
        <f>IF(tblMovement[[#This Row],[Destination]]="","",IFERROR(INDEX(tblDestinations[Type],MATCH(tblMovement[[#This Row],[Destination]],tblDestinations[Destination],0)),"?"))</f>
        <v/>
      </c>
      <c r="M2835" s="64">
        <f>IF(tblMovement[[#This Row],[Material]]="","",IF(LEFT(tblMovement[[#This Row],[Material]],3)="Ore",1,0))</f>
        <v/>
      </c>
      <c r="N2835" s="59">
        <f>IF(OR(tblMovement[[#This Row],[Tonnes_t]]="",tblMovement[[#This Row],[Grade_gpt]]=""),0,tblMovement[[#This Row],[Tonnes_t]]*tblMovement[[#This Row],[Grade_gpt]]/cfg_TroyOz)</f>
        <v/>
      </c>
      <c r="O2835" s="59">
        <f>IF(tblMovement[[#This Row],[Is_Ore]]=1,tblMovement[[#This Row],[Contained_oz]],0)</f>
        <v/>
      </c>
    </row>
    <row r="2836">
      <c r="A2836" s="54" t="n"/>
      <c r="B2836" s="61" t="n"/>
      <c r="C2836" s="61" t="n"/>
      <c r="D2836" s="61" t="n"/>
      <c r="E2836" s="61" t="n"/>
      <c r="F2836" s="55" t="n"/>
      <c r="G2836" s="56" t="n"/>
      <c r="H2836" s="55" t="n"/>
      <c r="I2836" s="62" t="n"/>
      <c r="J2836" s="58" t="n"/>
      <c r="K2836" s="63">
        <f>IF(tblMovement[[#This Row],[Source]]="","",IFERROR(INDEX(tblSources[Type],MATCH(tblMovement[[#This Row],[Source]],tblSources[Source],0)),"?"))</f>
        <v/>
      </c>
      <c r="L2836" s="63">
        <f>IF(tblMovement[[#This Row],[Destination]]="","",IFERROR(INDEX(tblDestinations[Type],MATCH(tblMovement[[#This Row],[Destination]],tblDestinations[Destination],0)),"?"))</f>
        <v/>
      </c>
      <c r="M2836" s="64">
        <f>IF(tblMovement[[#This Row],[Material]]="","",IF(LEFT(tblMovement[[#This Row],[Material]],3)="Ore",1,0))</f>
        <v/>
      </c>
      <c r="N2836" s="59">
        <f>IF(OR(tblMovement[[#This Row],[Tonnes_t]]="",tblMovement[[#This Row],[Grade_gpt]]=""),0,tblMovement[[#This Row],[Tonnes_t]]*tblMovement[[#This Row],[Grade_gpt]]/cfg_TroyOz)</f>
        <v/>
      </c>
      <c r="O2836" s="59">
        <f>IF(tblMovement[[#This Row],[Is_Ore]]=1,tblMovement[[#This Row],[Contained_oz]],0)</f>
        <v/>
      </c>
    </row>
    <row r="2837">
      <c r="A2837" s="54" t="n"/>
      <c r="B2837" s="61" t="n"/>
      <c r="C2837" s="61" t="n"/>
      <c r="D2837" s="61" t="n"/>
      <c r="E2837" s="61" t="n"/>
      <c r="F2837" s="55" t="n"/>
      <c r="G2837" s="56" t="n"/>
      <c r="H2837" s="55" t="n"/>
      <c r="I2837" s="62" t="n"/>
      <c r="J2837" s="58" t="n"/>
      <c r="K2837" s="63">
        <f>IF(tblMovement[[#This Row],[Source]]="","",IFERROR(INDEX(tblSources[Type],MATCH(tblMovement[[#This Row],[Source]],tblSources[Source],0)),"?"))</f>
        <v/>
      </c>
      <c r="L2837" s="63">
        <f>IF(tblMovement[[#This Row],[Destination]]="","",IFERROR(INDEX(tblDestinations[Type],MATCH(tblMovement[[#This Row],[Destination]],tblDestinations[Destination],0)),"?"))</f>
        <v/>
      </c>
      <c r="M2837" s="64">
        <f>IF(tblMovement[[#This Row],[Material]]="","",IF(LEFT(tblMovement[[#This Row],[Material]],3)="Ore",1,0))</f>
        <v/>
      </c>
      <c r="N2837" s="59">
        <f>IF(OR(tblMovement[[#This Row],[Tonnes_t]]="",tblMovement[[#This Row],[Grade_gpt]]=""),0,tblMovement[[#This Row],[Tonnes_t]]*tblMovement[[#This Row],[Grade_gpt]]/cfg_TroyOz)</f>
        <v/>
      </c>
      <c r="O2837" s="59">
        <f>IF(tblMovement[[#This Row],[Is_Ore]]=1,tblMovement[[#This Row],[Contained_oz]],0)</f>
        <v/>
      </c>
    </row>
    <row r="2838">
      <c r="A2838" s="54" t="n"/>
      <c r="B2838" s="61" t="n"/>
      <c r="C2838" s="61" t="n"/>
      <c r="D2838" s="61" t="n"/>
      <c r="E2838" s="61" t="n"/>
      <c r="F2838" s="55" t="n"/>
      <c r="G2838" s="56" t="n"/>
      <c r="H2838" s="55" t="n"/>
      <c r="I2838" s="62" t="n"/>
      <c r="J2838" s="58" t="n"/>
      <c r="K2838" s="63">
        <f>IF(tblMovement[[#This Row],[Source]]="","",IFERROR(INDEX(tblSources[Type],MATCH(tblMovement[[#This Row],[Source]],tblSources[Source],0)),"?"))</f>
        <v/>
      </c>
      <c r="L2838" s="63">
        <f>IF(tblMovement[[#This Row],[Destination]]="","",IFERROR(INDEX(tblDestinations[Type],MATCH(tblMovement[[#This Row],[Destination]],tblDestinations[Destination],0)),"?"))</f>
        <v/>
      </c>
      <c r="M2838" s="64">
        <f>IF(tblMovement[[#This Row],[Material]]="","",IF(LEFT(tblMovement[[#This Row],[Material]],3)="Ore",1,0))</f>
        <v/>
      </c>
      <c r="N2838" s="59">
        <f>IF(OR(tblMovement[[#This Row],[Tonnes_t]]="",tblMovement[[#This Row],[Grade_gpt]]=""),0,tblMovement[[#This Row],[Tonnes_t]]*tblMovement[[#This Row],[Grade_gpt]]/cfg_TroyOz)</f>
        <v/>
      </c>
      <c r="O2838" s="59">
        <f>IF(tblMovement[[#This Row],[Is_Ore]]=1,tblMovement[[#This Row],[Contained_oz]],0)</f>
        <v/>
      </c>
    </row>
    <row r="2839">
      <c r="A2839" s="54" t="n"/>
      <c r="B2839" s="61" t="n"/>
      <c r="C2839" s="61" t="n"/>
      <c r="D2839" s="61" t="n"/>
      <c r="E2839" s="61" t="n"/>
      <c r="F2839" s="55" t="n"/>
      <c r="G2839" s="56" t="n"/>
      <c r="H2839" s="55" t="n"/>
      <c r="I2839" s="62" t="n"/>
      <c r="J2839" s="58" t="n"/>
      <c r="K2839" s="63">
        <f>IF(tblMovement[[#This Row],[Source]]="","",IFERROR(INDEX(tblSources[Type],MATCH(tblMovement[[#This Row],[Source]],tblSources[Source],0)),"?"))</f>
        <v/>
      </c>
      <c r="L2839" s="63">
        <f>IF(tblMovement[[#This Row],[Destination]]="","",IFERROR(INDEX(tblDestinations[Type],MATCH(tblMovement[[#This Row],[Destination]],tblDestinations[Destination],0)),"?"))</f>
        <v/>
      </c>
      <c r="M2839" s="64">
        <f>IF(tblMovement[[#This Row],[Material]]="","",IF(LEFT(tblMovement[[#This Row],[Material]],3)="Ore",1,0))</f>
        <v/>
      </c>
      <c r="N2839" s="59">
        <f>IF(OR(tblMovement[[#This Row],[Tonnes_t]]="",tblMovement[[#This Row],[Grade_gpt]]=""),0,tblMovement[[#This Row],[Tonnes_t]]*tblMovement[[#This Row],[Grade_gpt]]/cfg_TroyOz)</f>
        <v/>
      </c>
      <c r="O2839" s="59">
        <f>IF(tblMovement[[#This Row],[Is_Ore]]=1,tblMovement[[#This Row],[Contained_oz]],0)</f>
        <v/>
      </c>
    </row>
    <row r="2840">
      <c r="A2840" s="54" t="n"/>
      <c r="B2840" s="61" t="n"/>
      <c r="C2840" s="61" t="n"/>
      <c r="D2840" s="61" t="n"/>
      <c r="E2840" s="61" t="n"/>
      <c r="F2840" s="55" t="n"/>
      <c r="G2840" s="56" t="n"/>
      <c r="H2840" s="55" t="n"/>
      <c r="I2840" s="62" t="n"/>
      <c r="J2840" s="58" t="n"/>
      <c r="K2840" s="63">
        <f>IF(tblMovement[[#This Row],[Source]]="","",IFERROR(INDEX(tblSources[Type],MATCH(tblMovement[[#This Row],[Source]],tblSources[Source],0)),"?"))</f>
        <v/>
      </c>
      <c r="L2840" s="63">
        <f>IF(tblMovement[[#This Row],[Destination]]="","",IFERROR(INDEX(tblDestinations[Type],MATCH(tblMovement[[#This Row],[Destination]],tblDestinations[Destination],0)),"?"))</f>
        <v/>
      </c>
      <c r="M2840" s="64">
        <f>IF(tblMovement[[#This Row],[Material]]="","",IF(LEFT(tblMovement[[#This Row],[Material]],3)="Ore",1,0))</f>
        <v/>
      </c>
      <c r="N2840" s="59">
        <f>IF(OR(tblMovement[[#This Row],[Tonnes_t]]="",tblMovement[[#This Row],[Grade_gpt]]=""),0,tblMovement[[#This Row],[Tonnes_t]]*tblMovement[[#This Row],[Grade_gpt]]/cfg_TroyOz)</f>
        <v/>
      </c>
      <c r="O2840" s="59">
        <f>IF(tblMovement[[#This Row],[Is_Ore]]=1,tblMovement[[#This Row],[Contained_oz]],0)</f>
        <v/>
      </c>
    </row>
    <row r="2841">
      <c r="A2841" s="54" t="n"/>
      <c r="B2841" s="61" t="n"/>
      <c r="C2841" s="61" t="n"/>
      <c r="D2841" s="61" t="n"/>
      <c r="E2841" s="61" t="n"/>
      <c r="F2841" s="55" t="n"/>
      <c r="G2841" s="56" t="n"/>
      <c r="H2841" s="55" t="n"/>
      <c r="I2841" s="62" t="n"/>
      <c r="J2841" s="58" t="n"/>
      <c r="K2841" s="63">
        <f>IF(tblMovement[[#This Row],[Source]]="","",IFERROR(INDEX(tblSources[Type],MATCH(tblMovement[[#This Row],[Source]],tblSources[Source],0)),"?"))</f>
        <v/>
      </c>
      <c r="L2841" s="63">
        <f>IF(tblMovement[[#This Row],[Destination]]="","",IFERROR(INDEX(tblDestinations[Type],MATCH(tblMovement[[#This Row],[Destination]],tblDestinations[Destination],0)),"?"))</f>
        <v/>
      </c>
      <c r="M2841" s="64">
        <f>IF(tblMovement[[#This Row],[Material]]="","",IF(LEFT(tblMovement[[#This Row],[Material]],3)="Ore",1,0))</f>
        <v/>
      </c>
      <c r="N2841" s="59">
        <f>IF(OR(tblMovement[[#This Row],[Tonnes_t]]="",tblMovement[[#This Row],[Grade_gpt]]=""),0,tblMovement[[#This Row],[Tonnes_t]]*tblMovement[[#This Row],[Grade_gpt]]/cfg_TroyOz)</f>
        <v/>
      </c>
      <c r="O2841" s="59">
        <f>IF(tblMovement[[#This Row],[Is_Ore]]=1,tblMovement[[#This Row],[Contained_oz]],0)</f>
        <v/>
      </c>
    </row>
    <row r="2842">
      <c r="A2842" s="54" t="n"/>
      <c r="B2842" s="61" t="n"/>
      <c r="C2842" s="61" t="n"/>
      <c r="D2842" s="61" t="n"/>
      <c r="E2842" s="61" t="n"/>
      <c r="F2842" s="55" t="n"/>
      <c r="G2842" s="56" t="n"/>
      <c r="H2842" s="55" t="n"/>
      <c r="I2842" s="62" t="n"/>
      <c r="J2842" s="58" t="n"/>
      <c r="K2842" s="63">
        <f>IF(tblMovement[[#This Row],[Source]]="","",IFERROR(INDEX(tblSources[Type],MATCH(tblMovement[[#This Row],[Source]],tblSources[Source],0)),"?"))</f>
        <v/>
      </c>
      <c r="L2842" s="63">
        <f>IF(tblMovement[[#This Row],[Destination]]="","",IFERROR(INDEX(tblDestinations[Type],MATCH(tblMovement[[#This Row],[Destination]],tblDestinations[Destination],0)),"?"))</f>
        <v/>
      </c>
      <c r="M2842" s="64">
        <f>IF(tblMovement[[#This Row],[Material]]="","",IF(LEFT(tblMovement[[#This Row],[Material]],3)="Ore",1,0))</f>
        <v/>
      </c>
      <c r="N2842" s="59">
        <f>IF(OR(tblMovement[[#This Row],[Tonnes_t]]="",tblMovement[[#This Row],[Grade_gpt]]=""),0,tblMovement[[#This Row],[Tonnes_t]]*tblMovement[[#This Row],[Grade_gpt]]/cfg_TroyOz)</f>
        <v/>
      </c>
      <c r="O2842" s="59">
        <f>IF(tblMovement[[#This Row],[Is_Ore]]=1,tblMovement[[#This Row],[Contained_oz]],0)</f>
        <v/>
      </c>
    </row>
    <row r="2843">
      <c r="A2843" s="54" t="n"/>
      <c r="B2843" s="61" t="n"/>
      <c r="C2843" s="61" t="n"/>
      <c r="D2843" s="61" t="n"/>
      <c r="E2843" s="61" t="n"/>
      <c r="F2843" s="55" t="n"/>
      <c r="G2843" s="56" t="n"/>
      <c r="H2843" s="55" t="n"/>
      <c r="I2843" s="62" t="n"/>
      <c r="J2843" s="58" t="n"/>
      <c r="K2843" s="63">
        <f>IF(tblMovement[[#This Row],[Source]]="","",IFERROR(INDEX(tblSources[Type],MATCH(tblMovement[[#This Row],[Source]],tblSources[Source],0)),"?"))</f>
        <v/>
      </c>
      <c r="L2843" s="63">
        <f>IF(tblMovement[[#This Row],[Destination]]="","",IFERROR(INDEX(tblDestinations[Type],MATCH(tblMovement[[#This Row],[Destination]],tblDestinations[Destination],0)),"?"))</f>
        <v/>
      </c>
      <c r="M2843" s="64">
        <f>IF(tblMovement[[#This Row],[Material]]="","",IF(LEFT(tblMovement[[#This Row],[Material]],3)="Ore",1,0))</f>
        <v/>
      </c>
      <c r="N2843" s="59">
        <f>IF(OR(tblMovement[[#This Row],[Tonnes_t]]="",tblMovement[[#This Row],[Grade_gpt]]=""),0,tblMovement[[#This Row],[Tonnes_t]]*tblMovement[[#This Row],[Grade_gpt]]/cfg_TroyOz)</f>
        <v/>
      </c>
      <c r="O2843" s="59">
        <f>IF(tblMovement[[#This Row],[Is_Ore]]=1,tblMovement[[#This Row],[Contained_oz]],0)</f>
        <v/>
      </c>
    </row>
    <row r="2844">
      <c r="A2844" s="54" t="n"/>
      <c r="B2844" s="61" t="n"/>
      <c r="C2844" s="61" t="n"/>
      <c r="D2844" s="61" t="n"/>
      <c r="E2844" s="61" t="n"/>
      <c r="F2844" s="55" t="n"/>
      <c r="G2844" s="56" t="n"/>
      <c r="H2844" s="55" t="n"/>
      <c r="I2844" s="62" t="n"/>
      <c r="J2844" s="58" t="n"/>
      <c r="K2844" s="63">
        <f>IF(tblMovement[[#This Row],[Source]]="","",IFERROR(INDEX(tblSources[Type],MATCH(tblMovement[[#This Row],[Source]],tblSources[Source],0)),"?"))</f>
        <v/>
      </c>
      <c r="L2844" s="63">
        <f>IF(tblMovement[[#This Row],[Destination]]="","",IFERROR(INDEX(tblDestinations[Type],MATCH(tblMovement[[#This Row],[Destination]],tblDestinations[Destination],0)),"?"))</f>
        <v/>
      </c>
      <c r="M2844" s="64">
        <f>IF(tblMovement[[#This Row],[Material]]="","",IF(LEFT(tblMovement[[#This Row],[Material]],3)="Ore",1,0))</f>
        <v/>
      </c>
      <c r="N2844" s="59">
        <f>IF(OR(tblMovement[[#This Row],[Tonnes_t]]="",tblMovement[[#This Row],[Grade_gpt]]=""),0,tblMovement[[#This Row],[Tonnes_t]]*tblMovement[[#This Row],[Grade_gpt]]/cfg_TroyOz)</f>
        <v/>
      </c>
      <c r="O2844" s="59">
        <f>IF(tblMovement[[#This Row],[Is_Ore]]=1,tblMovement[[#This Row],[Contained_oz]],0)</f>
        <v/>
      </c>
    </row>
    <row r="2845">
      <c r="A2845" s="54" t="n"/>
      <c r="B2845" s="61" t="n"/>
      <c r="C2845" s="61" t="n"/>
      <c r="D2845" s="61" t="n"/>
      <c r="E2845" s="61" t="n"/>
      <c r="F2845" s="55" t="n"/>
      <c r="G2845" s="56" t="n"/>
      <c r="H2845" s="55" t="n"/>
      <c r="I2845" s="62" t="n"/>
      <c r="J2845" s="58" t="n"/>
      <c r="K2845" s="63">
        <f>IF(tblMovement[[#This Row],[Source]]="","",IFERROR(INDEX(tblSources[Type],MATCH(tblMovement[[#This Row],[Source]],tblSources[Source],0)),"?"))</f>
        <v/>
      </c>
      <c r="L2845" s="63">
        <f>IF(tblMovement[[#This Row],[Destination]]="","",IFERROR(INDEX(tblDestinations[Type],MATCH(tblMovement[[#This Row],[Destination]],tblDestinations[Destination],0)),"?"))</f>
        <v/>
      </c>
      <c r="M2845" s="64">
        <f>IF(tblMovement[[#This Row],[Material]]="","",IF(LEFT(tblMovement[[#This Row],[Material]],3)="Ore",1,0))</f>
        <v/>
      </c>
      <c r="N2845" s="59">
        <f>IF(OR(tblMovement[[#This Row],[Tonnes_t]]="",tblMovement[[#This Row],[Grade_gpt]]=""),0,tblMovement[[#This Row],[Tonnes_t]]*tblMovement[[#This Row],[Grade_gpt]]/cfg_TroyOz)</f>
        <v/>
      </c>
      <c r="O2845" s="59">
        <f>IF(tblMovement[[#This Row],[Is_Ore]]=1,tblMovement[[#This Row],[Contained_oz]],0)</f>
        <v/>
      </c>
    </row>
    <row r="2846">
      <c r="A2846" s="54" t="n"/>
      <c r="B2846" s="61" t="n"/>
      <c r="C2846" s="61" t="n"/>
      <c r="D2846" s="61" t="n"/>
      <c r="E2846" s="61" t="n"/>
      <c r="F2846" s="55" t="n"/>
      <c r="G2846" s="56" t="n"/>
      <c r="H2846" s="55" t="n"/>
      <c r="I2846" s="62" t="n"/>
      <c r="J2846" s="58" t="n"/>
      <c r="K2846" s="63">
        <f>IF(tblMovement[[#This Row],[Source]]="","",IFERROR(INDEX(tblSources[Type],MATCH(tblMovement[[#This Row],[Source]],tblSources[Source],0)),"?"))</f>
        <v/>
      </c>
      <c r="L2846" s="63">
        <f>IF(tblMovement[[#This Row],[Destination]]="","",IFERROR(INDEX(tblDestinations[Type],MATCH(tblMovement[[#This Row],[Destination]],tblDestinations[Destination],0)),"?"))</f>
        <v/>
      </c>
      <c r="M2846" s="64">
        <f>IF(tblMovement[[#This Row],[Material]]="","",IF(LEFT(tblMovement[[#This Row],[Material]],3)="Ore",1,0))</f>
        <v/>
      </c>
      <c r="N2846" s="59">
        <f>IF(OR(tblMovement[[#This Row],[Tonnes_t]]="",tblMovement[[#This Row],[Grade_gpt]]=""),0,tblMovement[[#This Row],[Tonnes_t]]*tblMovement[[#This Row],[Grade_gpt]]/cfg_TroyOz)</f>
        <v/>
      </c>
      <c r="O2846" s="59">
        <f>IF(tblMovement[[#This Row],[Is_Ore]]=1,tblMovement[[#This Row],[Contained_oz]],0)</f>
        <v/>
      </c>
    </row>
    <row r="2847">
      <c r="A2847" s="54" t="n"/>
      <c r="B2847" s="61" t="n"/>
      <c r="C2847" s="61" t="n"/>
      <c r="D2847" s="61" t="n"/>
      <c r="E2847" s="61" t="n"/>
      <c r="F2847" s="55" t="n"/>
      <c r="G2847" s="56" t="n"/>
      <c r="H2847" s="55" t="n"/>
      <c r="I2847" s="62" t="n"/>
      <c r="J2847" s="58" t="n"/>
      <c r="K2847" s="63">
        <f>IF(tblMovement[[#This Row],[Source]]="","",IFERROR(INDEX(tblSources[Type],MATCH(tblMovement[[#This Row],[Source]],tblSources[Source],0)),"?"))</f>
        <v/>
      </c>
      <c r="L2847" s="63">
        <f>IF(tblMovement[[#This Row],[Destination]]="","",IFERROR(INDEX(tblDestinations[Type],MATCH(tblMovement[[#This Row],[Destination]],tblDestinations[Destination],0)),"?"))</f>
        <v/>
      </c>
      <c r="M2847" s="64">
        <f>IF(tblMovement[[#This Row],[Material]]="","",IF(LEFT(tblMovement[[#This Row],[Material]],3)="Ore",1,0))</f>
        <v/>
      </c>
      <c r="N2847" s="59">
        <f>IF(OR(tblMovement[[#This Row],[Tonnes_t]]="",tblMovement[[#This Row],[Grade_gpt]]=""),0,tblMovement[[#This Row],[Tonnes_t]]*tblMovement[[#This Row],[Grade_gpt]]/cfg_TroyOz)</f>
        <v/>
      </c>
      <c r="O2847" s="59">
        <f>IF(tblMovement[[#This Row],[Is_Ore]]=1,tblMovement[[#This Row],[Contained_oz]],0)</f>
        <v/>
      </c>
    </row>
    <row r="2848">
      <c r="A2848" s="54" t="n"/>
      <c r="B2848" s="61" t="n"/>
      <c r="C2848" s="61" t="n"/>
      <c r="D2848" s="61" t="n"/>
      <c r="E2848" s="61" t="n"/>
      <c r="F2848" s="55" t="n"/>
      <c r="G2848" s="56" t="n"/>
      <c r="H2848" s="55" t="n"/>
      <c r="I2848" s="62" t="n"/>
      <c r="J2848" s="58" t="n"/>
      <c r="K2848" s="63">
        <f>IF(tblMovement[[#This Row],[Source]]="","",IFERROR(INDEX(tblSources[Type],MATCH(tblMovement[[#This Row],[Source]],tblSources[Source],0)),"?"))</f>
        <v/>
      </c>
      <c r="L2848" s="63">
        <f>IF(tblMovement[[#This Row],[Destination]]="","",IFERROR(INDEX(tblDestinations[Type],MATCH(tblMovement[[#This Row],[Destination]],tblDestinations[Destination],0)),"?"))</f>
        <v/>
      </c>
      <c r="M2848" s="64">
        <f>IF(tblMovement[[#This Row],[Material]]="","",IF(LEFT(tblMovement[[#This Row],[Material]],3)="Ore",1,0))</f>
        <v/>
      </c>
      <c r="N2848" s="59">
        <f>IF(OR(tblMovement[[#This Row],[Tonnes_t]]="",tblMovement[[#This Row],[Grade_gpt]]=""),0,tblMovement[[#This Row],[Tonnes_t]]*tblMovement[[#This Row],[Grade_gpt]]/cfg_TroyOz)</f>
        <v/>
      </c>
      <c r="O2848" s="59">
        <f>IF(tblMovement[[#This Row],[Is_Ore]]=1,tblMovement[[#This Row],[Contained_oz]],0)</f>
        <v/>
      </c>
    </row>
    <row r="2849">
      <c r="A2849" s="54" t="n"/>
      <c r="B2849" s="61" t="n"/>
      <c r="C2849" s="61" t="n"/>
      <c r="D2849" s="61" t="n"/>
      <c r="E2849" s="61" t="n"/>
      <c r="F2849" s="55" t="n"/>
      <c r="G2849" s="56" t="n"/>
      <c r="H2849" s="55" t="n"/>
      <c r="I2849" s="62" t="n"/>
      <c r="J2849" s="58" t="n"/>
      <c r="K2849" s="63">
        <f>IF(tblMovement[[#This Row],[Source]]="","",IFERROR(INDEX(tblSources[Type],MATCH(tblMovement[[#This Row],[Source]],tblSources[Source],0)),"?"))</f>
        <v/>
      </c>
      <c r="L2849" s="63">
        <f>IF(tblMovement[[#This Row],[Destination]]="","",IFERROR(INDEX(tblDestinations[Type],MATCH(tblMovement[[#This Row],[Destination]],tblDestinations[Destination],0)),"?"))</f>
        <v/>
      </c>
      <c r="M2849" s="64">
        <f>IF(tblMovement[[#This Row],[Material]]="","",IF(LEFT(tblMovement[[#This Row],[Material]],3)="Ore",1,0))</f>
        <v/>
      </c>
      <c r="N2849" s="59">
        <f>IF(OR(tblMovement[[#This Row],[Tonnes_t]]="",tblMovement[[#This Row],[Grade_gpt]]=""),0,tblMovement[[#This Row],[Tonnes_t]]*tblMovement[[#This Row],[Grade_gpt]]/cfg_TroyOz)</f>
        <v/>
      </c>
      <c r="O2849" s="59">
        <f>IF(tblMovement[[#This Row],[Is_Ore]]=1,tblMovement[[#This Row],[Contained_oz]],0)</f>
        <v/>
      </c>
    </row>
    <row r="2850">
      <c r="A2850" s="54" t="n"/>
      <c r="B2850" s="61" t="n"/>
      <c r="C2850" s="61" t="n"/>
      <c r="D2850" s="61" t="n"/>
      <c r="E2850" s="61" t="n"/>
      <c r="F2850" s="55" t="n"/>
      <c r="G2850" s="56" t="n"/>
      <c r="H2850" s="55" t="n"/>
      <c r="I2850" s="62" t="n"/>
      <c r="J2850" s="58" t="n"/>
      <c r="K2850" s="63">
        <f>IF(tblMovement[[#This Row],[Source]]="","",IFERROR(INDEX(tblSources[Type],MATCH(tblMovement[[#This Row],[Source]],tblSources[Source],0)),"?"))</f>
        <v/>
      </c>
      <c r="L2850" s="63">
        <f>IF(tblMovement[[#This Row],[Destination]]="","",IFERROR(INDEX(tblDestinations[Type],MATCH(tblMovement[[#This Row],[Destination]],tblDestinations[Destination],0)),"?"))</f>
        <v/>
      </c>
      <c r="M2850" s="64">
        <f>IF(tblMovement[[#This Row],[Material]]="","",IF(LEFT(tblMovement[[#This Row],[Material]],3)="Ore",1,0))</f>
        <v/>
      </c>
      <c r="N2850" s="59">
        <f>IF(OR(tblMovement[[#This Row],[Tonnes_t]]="",tblMovement[[#This Row],[Grade_gpt]]=""),0,tblMovement[[#This Row],[Tonnes_t]]*tblMovement[[#This Row],[Grade_gpt]]/cfg_TroyOz)</f>
        <v/>
      </c>
      <c r="O2850" s="59">
        <f>IF(tblMovement[[#This Row],[Is_Ore]]=1,tblMovement[[#This Row],[Contained_oz]],0)</f>
        <v/>
      </c>
    </row>
    <row r="2851">
      <c r="A2851" s="54" t="n"/>
      <c r="B2851" s="61" t="n"/>
      <c r="C2851" s="61" t="n"/>
      <c r="D2851" s="61" t="n"/>
      <c r="E2851" s="61" t="n"/>
      <c r="F2851" s="55" t="n"/>
      <c r="G2851" s="56" t="n"/>
      <c r="H2851" s="55" t="n"/>
      <c r="I2851" s="62" t="n"/>
      <c r="J2851" s="58" t="n"/>
      <c r="K2851" s="63">
        <f>IF(tblMovement[[#This Row],[Source]]="","",IFERROR(INDEX(tblSources[Type],MATCH(tblMovement[[#This Row],[Source]],tblSources[Source],0)),"?"))</f>
        <v/>
      </c>
      <c r="L2851" s="63">
        <f>IF(tblMovement[[#This Row],[Destination]]="","",IFERROR(INDEX(tblDestinations[Type],MATCH(tblMovement[[#This Row],[Destination]],tblDestinations[Destination],0)),"?"))</f>
        <v/>
      </c>
      <c r="M2851" s="64">
        <f>IF(tblMovement[[#This Row],[Material]]="","",IF(LEFT(tblMovement[[#This Row],[Material]],3)="Ore",1,0))</f>
        <v/>
      </c>
      <c r="N2851" s="59">
        <f>IF(OR(tblMovement[[#This Row],[Tonnes_t]]="",tblMovement[[#This Row],[Grade_gpt]]=""),0,tblMovement[[#This Row],[Tonnes_t]]*tblMovement[[#This Row],[Grade_gpt]]/cfg_TroyOz)</f>
        <v/>
      </c>
      <c r="O2851" s="59">
        <f>IF(tblMovement[[#This Row],[Is_Ore]]=1,tblMovement[[#This Row],[Contained_oz]],0)</f>
        <v/>
      </c>
    </row>
    <row r="2852">
      <c r="A2852" s="54" t="n"/>
      <c r="B2852" s="61" t="n"/>
      <c r="C2852" s="61" t="n"/>
      <c r="D2852" s="61" t="n"/>
      <c r="E2852" s="61" t="n"/>
      <c r="F2852" s="55" t="n"/>
      <c r="G2852" s="56" t="n"/>
      <c r="H2852" s="55" t="n"/>
      <c r="I2852" s="62" t="n"/>
      <c r="J2852" s="58" t="n"/>
      <c r="K2852" s="63">
        <f>IF(tblMovement[[#This Row],[Source]]="","",IFERROR(INDEX(tblSources[Type],MATCH(tblMovement[[#This Row],[Source]],tblSources[Source],0)),"?"))</f>
        <v/>
      </c>
      <c r="L2852" s="63">
        <f>IF(tblMovement[[#This Row],[Destination]]="","",IFERROR(INDEX(tblDestinations[Type],MATCH(tblMovement[[#This Row],[Destination]],tblDestinations[Destination],0)),"?"))</f>
        <v/>
      </c>
      <c r="M2852" s="64">
        <f>IF(tblMovement[[#This Row],[Material]]="","",IF(LEFT(tblMovement[[#This Row],[Material]],3)="Ore",1,0))</f>
        <v/>
      </c>
      <c r="N2852" s="59">
        <f>IF(OR(tblMovement[[#This Row],[Tonnes_t]]="",tblMovement[[#This Row],[Grade_gpt]]=""),0,tblMovement[[#This Row],[Tonnes_t]]*tblMovement[[#This Row],[Grade_gpt]]/cfg_TroyOz)</f>
        <v/>
      </c>
      <c r="O2852" s="59">
        <f>IF(tblMovement[[#This Row],[Is_Ore]]=1,tblMovement[[#This Row],[Contained_oz]],0)</f>
        <v/>
      </c>
    </row>
    <row r="2853">
      <c r="A2853" s="54" t="n"/>
      <c r="B2853" s="61" t="n"/>
      <c r="C2853" s="61" t="n"/>
      <c r="D2853" s="61" t="n"/>
      <c r="E2853" s="61" t="n"/>
      <c r="F2853" s="55" t="n"/>
      <c r="G2853" s="56" t="n"/>
      <c r="H2853" s="55" t="n"/>
      <c r="I2853" s="62" t="n"/>
      <c r="J2853" s="58" t="n"/>
      <c r="K2853" s="63">
        <f>IF(tblMovement[[#This Row],[Source]]="","",IFERROR(INDEX(tblSources[Type],MATCH(tblMovement[[#This Row],[Source]],tblSources[Source],0)),"?"))</f>
        <v/>
      </c>
      <c r="L2853" s="63">
        <f>IF(tblMovement[[#This Row],[Destination]]="","",IFERROR(INDEX(tblDestinations[Type],MATCH(tblMovement[[#This Row],[Destination]],tblDestinations[Destination],0)),"?"))</f>
        <v/>
      </c>
      <c r="M2853" s="64">
        <f>IF(tblMovement[[#This Row],[Material]]="","",IF(LEFT(tblMovement[[#This Row],[Material]],3)="Ore",1,0))</f>
        <v/>
      </c>
      <c r="N2853" s="59">
        <f>IF(OR(tblMovement[[#This Row],[Tonnes_t]]="",tblMovement[[#This Row],[Grade_gpt]]=""),0,tblMovement[[#This Row],[Tonnes_t]]*tblMovement[[#This Row],[Grade_gpt]]/cfg_TroyOz)</f>
        <v/>
      </c>
      <c r="O2853" s="59">
        <f>IF(tblMovement[[#This Row],[Is_Ore]]=1,tblMovement[[#This Row],[Contained_oz]],0)</f>
        <v/>
      </c>
    </row>
    <row r="2854">
      <c r="A2854" s="54" t="n"/>
      <c r="B2854" s="61" t="n"/>
      <c r="C2854" s="61" t="n"/>
      <c r="D2854" s="61" t="n"/>
      <c r="E2854" s="61" t="n"/>
      <c r="F2854" s="55" t="n"/>
      <c r="G2854" s="56" t="n"/>
      <c r="H2854" s="55" t="n"/>
      <c r="I2854" s="62" t="n"/>
      <c r="J2854" s="58" t="n"/>
      <c r="K2854" s="63">
        <f>IF(tblMovement[[#This Row],[Source]]="","",IFERROR(INDEX(tblSources[Type],MATCH(tblMovement[[#This Row],[Source]],tblSources[Source],0)),"?"))</f>
        <v/>
      </c>
      <c r="L2854" s="63">
        <f>IF(tblMovement[[#This Row],[Destination]]="","",IFERROR(INDEX(tblDestinations[Type],MATCH(tblMovement[[#This Row],[Destination]],tblDestinations[Destination],0)),"?"))</f>
        <v/>
      </c>
      <c r="M2854" s="64">
        <f>IF(tblMovement[[#This Row],[Material]]="","",IF(LEFT(tblMovement[[#This Row],[Material]],3)="Ore",1,0))</f>
        <v/>
      </c>
      <c r="N2854" s="59">
        <f>IF(OR(tblMovement[[#This Row],[Tonnes_t]]="",tblMovement[[#This Row],[Grade_gpt]]=""),0,tblMovement[[#This Row],[Tonnes_t]]*tblMovement[[#This Row],[Grade_gpt]]/cfg_TroyOz)</f>
        <v/>
      </c>
      <c r="O2854" s="59">
        <f>IF(tblMovement[[#This Row],[Is_Ore]]=1,tblMovement[[#This Row],[Contained_oz]],0)</f>
        <v/>
      </c>
    </row>
    <row r="2855">
      <c r="A2855" s="54" t="n"/>
      <c r="B2855" s="61" t="n"/>
      <c r="C2855" s="61" t="n"/>
      <c r="D2855" s="61" t="n"/>
      <c r="E2855" s="61" t="n"/>
      <c r="F2855" s="55" t="n"/>
      <c r="G2855" s="56" t="n"/>
      <c r="H2855" s="55" t="n"/>
      <c r="I2855" s="62" t="n"/>
      <c r="J2855" s="58" t="n"/>
      <c r="K2855" s="63">
        <f>IF(tblMovement[[#This Row],[Source]]="","",IFERROR(INDEX(tblSources[Type],MATCH(tblMovement[[#This Row],[Source]],tblSources[Source],0)),"?"))</f>
        <v/>
      </c>
      <c r="L2855" s="63">
        <f>IF(tblMovement[[#This Row],[Destination]]="","",IFERROR(INDEX(tblDestinations[Type],MATCH(tblMovement[[#This Row],[Destination]],tblDestinations[Destination],0)),"?"))</f>
        <v/>
      </c>
      <c r="M2855" s="64">
        <f>IF(tblMovement[[#This Row],[Material]]="","",IF(LEFT(tblMovement[[#This Row],[Material]],3)="Ore",1,0))</f>
        <v/>
      </c>
      <c r="N2855" s="59">
        <f>IF(OR(tblMovement[[#This Row],[Tonnes_t]]="",tblMovement[[#This Row],[Grade_gpt]]=""),0,tblMovement[[#This Row],[Tonnes_t]]*tblMovement[[#This Row],[Grade_gpt]]/cfg_TroyOz)</f>
        <v/>
      </c>
      <c r="O2855" s="59">
        <f>IF(tblMovement[[#This Row],[Is_Ore]]=1,tblMovement[[#This Row],[Contained_oz]],0)</f>
        <v/>
      </c>
    </row>
    <row r="2856">
      <c r="A2856" s="54" t="n"/>
      <c r="B2856" s="61" t="n"/>
      <c r="C2856" s="61" t="n"/>
      <c r="D2856" s="61" t="n"/>
      <c r="E2856" s="61" t="n"/>
      <c r="F2856" s="55" t="n"/>
      <c r="G2856" s="56" t="n"/>
      <c r="H2856" s="55" t="n"/>
      <c r="I2856" s="62" t="n"/>
      <c r="J2856" s="58" t="n"/>
      <c r="K2856" s="63">
        <f>IF(tblMovement[[#This Row],[Source]]="","",IFERROR(INDEX(tblSources[Type],MATCH(tblMovement[[#This Row],[Source]],tblSources[Source],0)),"?"))</f>
        <v/>
      </c>
      <c r="L2856" s="63">
        <f>IF(tblMovement[[#This Row],[Destination]]="","",IFERROR(INDEX(tblDestinations[Type],MATCH(tblMovement[[#This Row],[Destination]],tblDestinations[Destination],0)),"?"))</f>
        <v/>
      </c>
      <c r="M2856" s="64">
        <f>IF(tblMovement[[#This Row],[Material]]="","",IF(LEFT(tblMovement[[#This Row],[Material]],3)="Ore",1,0))</f>
        <v/>
      </c>
      <c r="N2856" s="59">
        <f>IF(OR(tblMovement[[#This Row],[Tonnes_t]]="",tblMovement[[#This Row],[Grade_gpt]]=""),0,tblMovement[[#This Row],[Tonnes_t]]*tblMovement[[#This Row],[Grade_gpt]]/cfg_TroyOz)</f>
        <v/>
      </c>
      <c r="O2856" s="59">
        <f>IF(tblMovement[[#This Row],[Is_Ore]]=1,tblMovement[[#This Row],[Contained_oz]],0)</f>
        <v/>
      </c>
    </row>
    <row r="2857">
      <c r="A2857" s="54" t="n"/>
      <c r="B2857" s="61" t="n"/>
      <c r="C2857" s="61" t="n"/>
      <c r="D2857" s="61" t="n"/>
      <c r="E2857" s="61" t="n"/>
      <c r="F2857" s="55" t="n"/>
      <c r="G2857" s="56" t="n"/>
      <c r="H2857" s="55" t="n"/>
      <c r="I2857" s="62" t="n"/>
      <c r="J2857" s="58" t="n"/>
      <c r="K2857" s="63">
        <f>IF(tblMovement[[#This Row],[Source]]="","",IFERROR(INDEX(tblSources[Type],MATCH(tblMovement[[#This Row],[Source]],tblSources[Source],0)),"?"))</f>
        <v/>
      </c>
      <c r="L2857" s="63">
        <f>IF(tblMovement[[#This Row],[Destination]]="","",IFERROR(INDEX(tblDestinations[Type],MATCH(tblMovement[[#This Row],[Destination]],tblDestinations[Destination],0)),"?"))</f>
        <v/>
      </c>
      <c r="M2857" s="64">
        <f>IF(tblMovement[[#This Row],[Material]]="","",IF(LEFT(tblMovement[[#This Row],[Material]],3)="Ore",1,0))</f>
        <v/>
      </c>
      <c r="N2857" s="59">
        <f>IF(OR(tblMovement[[#This Row],[Tonnes_t]]="",tblMovement[[#This Row],[Grade_gpt]]=""),0,tblMovement[[#This Row],[Tonnes_t]]*tblMovement[[#This Row],[Grade_gpt]]/cfg_TroyOz)</f>
        <v/>
      </c>
      <c r="O2857" s="59">
        <f>IF(tblMovement[[#This Row],[Is_Ore]]=1,tblMovement[[#This Row],[Contained_oz]],0)</f>
        <v/>
      </c>
    </row>
    <row r="2858">
      <c r="A2858" s="54" t="n"/>
      <c r="B2858" s="61" t="n"/>
      <c r="C2858" s="61" t="n"/>
      <c r="D2858" s="61" t="n"/>
      <c r="E2858" s="61" t="n"/>
      <c r="F2858" s="55" t="n"/>
      <c r="G2858" s="56" t="n"/>
      <c r="H2858" s="55" t="n"/>
      <c r="I2858" s="62" t="n"/>
      <c r="J2858" s="58" t="n"/>
      <c r="K2858" s="63">
        <f>IF(tblMovement[[#This Row],[Source]]="","",IFERROR(INDEX(tblSources[Type],MATCH(tblMovement[[#This Row],[Source]],tblSources[Source],0)),"?"))</f>
        <v/>
      </c>
      <c r="L2858" s="63">
        <f>IF(tblMovement[[#This Row],[Destination]]="","",IFERROR(INDEX(tblDestinations[Type],MATCH(tblMovement[[#This Row],[Destination]],tblDestinations[Destination],0)),"?"))</f>
        <v/>
      </c>
      <c r="M2858" s="64">
        <f>IF(tblMovement[[#This Row],[Material]]="","",IF(LEFT(tblMovement[[#This Row],[Material]],3)="Ore",1,0))</f>
        <v/>
      </c>
      <c r="N2858" s="59">
        <f>IF(OR(tblMovement[[#This Row],[Tonnes_t]]="",tblMovement[[#This Row],[Grade_gpt]]=""),0,tblMovement[[#This Row],[Tonnes_t]]*tblMovement[[#This Row],[Grade_gpt]]/cfg_TroyOz)</f>
        <v/>
      </c>
      <c r="O2858" s="59">
        <f>IF(tblMovement[[#This Row],[Is_Ore]]=1,tblMovement[[#This Row],[Contained_oz]],0)</f>
        <v/>
      </c>
    </row>
    <row r="2859">
      <c r="A2859" s="54" t="n"/>
      <c r="B2859" s="61" t="n"/>
      <c r="C2859" s="61" t="n"/>
      <c r="D2859" s="61" t="n"/>
      <c r="E2859" s="61" t="n"/>
      <c r="F2859" s="55" t="n"/>
      <c r="G2859" s="56" t="n"/>
      <c r="H2859" s="55" t="n"/>
      <c r="I2859" s="62" t="n"/>
      <c r="J2859" s="58" t="n"/>
      <c r="K2859" s="63">
        <f>IF(tblMovement[[#This Row],[Source]]="","",IFERROR(INDEX(tblSources[Type],MATCH(tblMovement[[#This Row],[Source]],tblSources[Source],0)),"?"))</f>
        <v/>
      </c>
      <c r="L2859" s="63">
        <f>IF(tblMovement[[#This Row],[Destination]]="","",IFERROR(INDEX(tblDestinations[Type],MATCH(tblMovement[[#This Row],[Destination]],tblDestinations[Destination],0)),"?"))</f>
        <v/>
      </c>
      <c r="M2859" s="64">
        <f>IF(tblMovement[[#This Row],[Material]]="","",IF(LEFT(tblMovement[[#This Row],[Material]],3)="Ore",1,0))</f>
        <v/>
      </c>
      <c r="N2859" s="59">
        <f>IF(OR(tblMovement[[#This Row],[Tonnes_t]]="",tblMovement[[#This Row],[Grade_gpt]]=""),0,tblMovement[[#This Row],[Tonnes_t]]*tblMovement[[#This Row],[Grade_gpt]]/cfg_TroyOz)</f>
        <v/>
      </c>
      <c r="O2859" s="59">
        <f>IF(tblMovement[[#This Row],[Is_Ore]]=1,tblMovement[[#This Row],[Contained_oz]],0)</f>
        <v/>
      </c>
    </row>
    <row r="2860">
      <c r="A2860" s="54" t="n"/>
      <c r="B2860" s="61" t="n"/>
      <c r="C2860" s="61" t="n"/>
      <c r="D2860" s="61" t="n"/>
      <c r="E2860" s="61" t="n"/>
      <c r="F2860" s="55" t="n"/>
      <c r="G2860" s="56" t="n"/>
      <c r="H2860" s="55" t="n"/>
      <c r="I2860" s="62" t="n"/>
      <c r="J2860" s="58" t="n"/>
      <c r="K2860" s="63">
        <f>IF(tblMovement[[#This Row],[Source]]="","",IFERROR(INDEX(tblSources[Type],MATCH(tblMovement[[#This Row],[Source]],tblSources[Source],0)),"?"))</f>
        <v/>
      </c>
      <c r="L2860" s="63">
        <f>IF(tblMovement[[#This Row],[Destination]]="","",IFERROR(INDEX(tblDestinations[Type],MATCH(tblMovement[[#This Row],[Destination]],tblDestinations[Destination],0)),"?"))</f>
        <v/>
      </c>
      <c r="M2860" s="64">
        <f>IF(tblMovement[[#This Row],[Material]]="","",IF(LEFT(tblMovement[[#This Row],[Material]],3)="Ore",1,0))</f>
        <v/>
      </c>
      <c r="N2860" s="59">
        <f>IF(OR(tblMovement[[#This Row],[Tonnes_t]]="",tblMovement[[#This Row],[Grade_gpt]]=""),0,tblMovement[[#This Row],[Tonnes_t]]*tblMovement[[#This Row],[Grade_gpt]]/cfg_TroyOz)</f>
        <v/>
      </c>
      <c r="O2860" s="59">
        <f>IF(tblMovement[[#This Row],[Is_Ore]]=1,tblMovement[[#This Row],[Contained_oz]],0)</f>
        <v/>
      </c>
    </row>
    <row r="2861">
      <c r="A2861" s="54" t="n"/>
      <c r="B2861" s="61" t="n"/>
      <c r="C2861" s="61" t="n"/>
      <c r="D2861" s="61" t="n"/>
      <c r="E2861" s="61" t="n"/>
      <c r="F2861" s="55" t="n"/>
      <c r="G2861" s="56" t="n"/>
      <c r="H2861" s="55" t="n"/>
      <c r="I2861" s="62" t="n"/>
      <c r="J2861" s="58" t="n"/>
      <c r="K2861" s="63">
        <f>IF(tblMovement[[#This Row],[Source]]="","",IFERROR(INDEX(tblSources[Type],MATCH(tblMovement[[#This Row],[Source]],tblSources[Source],0)),"?"))</f>
        <v/>
      </c>
      <c r="L2861" s="63">
        <f>IF(tblMovement[[#This Row],[Destination]]="","",IFERROR(INDEX(tblDestinations[Type],MATCH(tblMovement[[#This Row],[Destination]],tblDestinations[Destination],0)),"?"))</f>
        <v/>
      </c>
      <c r="M2861" s="64">
        <f>IF(tblMovement[[#This Row],[Material]]="","",IF(LEFT(tblMovement[[#This Row],[Material]],3)="Ore",1,0))</f>
        <v/>
      </c>
      <c r="N2861" s="59">
        <f>IF(OR(tblMovement[[#This Row],[Tonnes_t]]="",tblMovement[[#This Row],[Grade_gpt]]=""),0,tblMovement[[#This Row],[Tonnes_t]]*tblMovement[[#This Row],[Grade_gpt]]/cfg_TroyOz)</f>
        <v/>
      </c>
      <c r="O2861" s="59">
        <f>IF(tblMovement[[#This Row],[Is_Ore]]=1,tblMovement[[#This Row],[Contained_oz]],0)</f>
        <v/>
      </c>
    </row>
    <row r="2862">
      <c r="A2862" s="54" t="n"/>
      <c r="B2862" s="61" t="n"/>
      <c r="C2862" s="61" t="n"/>
      <c r="D2862" s="61" t="n"/>
      <c r="E2862" s="61" t="n"/>
      <c r="F2862" s="55" t="n"/>
      <c r="G2862" s="56" t="n"/>
      <c r="H2862" s="55" t="n"/>
      <c r="I2862" s="62" t="n"/>
      <c r="J2862" s="58" t="n"/>
      <c r="K2862" s="63">
        <f>IF(tblMovement[[#This Row],[Source]]="","",IFERROR(INDEX(tblSources[Type],MATCH(tblMovement[[#This Row],[Source]],tblSources[Source],0)),"?"))</f>
        <v/>
      </c>
      <c r="L2862" s="63">
        <f>IF(tblMovement[[#This Row],[Destination]]="","",IFERROR(INDEX(tblDestinations[Type],MATCH(tblMovement[[#This Row],[Destination]],tblDestinations[Destination],0)),"?"))</f>
        <v/>
      </c>
      <c r="M2862" s="64">
        <f>IF(tblMovement[[#This Row],[Material]]="","",IF(LEFT(tblMovement[[#This Row],[Material]],3)="Ore",1,0))</f>
        <v/>
      </c>
      <c r="N2862" s="59">
        <f>IF(OR(tblMovement[[#This Row],[Tonnes_t]]="",tblMovement[[#This Row],[Grade_gpt]]=""),0,tblMovement[[#This Row],[Tonnes_t]]*tblMovement[[#This Row],[Grade_gpt]]/cfg_TroyOz)</f>
        <v/>
      </c>
      <c r="O2862" s="59">
        <f>IF(tblMovement[[#This Row],[Is_Ore]]=1,tblMovement[[#This Row],[Contained_oz]],0)</f>
        <v/>
      </c>
    </row>
    <row r="2863">
      <c r="A2863" s="54" t="n"/>
      <c r="B2863" s="61" t="n"/>
      <c r="C2863" s="61" t="n"/>
      <c r="D2863" s="61" t="n"/>
      <c r="E2863" s="61" t="n"/>
      <c r="F2863" s="55" t="n"/>
      <c r="G2863" s="56" t="n"/>
      <c r="H2863" s="55" t="n"/>
      <c r="I2863" s="62" t="n"/>
      <c r="J2863" s="58" t="n"/>
      <c r="K2863" s="63">
        <f>IF(tblMovement[[#This Row],[Source]]="","",IFERROR(INDEX(tblSources[Type],MATCH(tblMovement[[#This Row],[Source]],tblSources[Source],0)),"?"))</f>
        <v/>
      </c>
      <c r="L2863" s="63">
        <f>IF(tblMovement[[#This Row],[Destination]]="","",IFERROR(INDEX(tblDestinations[Type],MATCH(tblMovement[[#This Row],[Destination]],tblDestinations[Destination],0)),"?"))</f>
        <v/>
      </c>
      <c r="M2863" s="64">
        <f>IF(tblMovement[[#This Row],[Material]]="","",IF(LEFT(tblMovement[[#This Row],[Material]],3)="Ore",1,0))</f>
        <v/>
      </c>
      <c r="N2863" s="59">
        <f>IF(OR(tblMovement[[#This Row],[Tonnes_t]]="",tblMovement[[#This Row],[Grade_gpt]]=""),0,tblMovement[[#This Row],[Tonnes_t]]*tblMovement[[#This Row],[Grade_gpt]]/cfg_TroyOz)</f>
        <v/>
      </c>
      <c r="O2863" s="59">
        <f>IF(tblMovement[[#This Row],[Is_Ore]]=1,tblMovement[[#This Row],[Contained_oz]],0)</f>
        <v/>
      </c>
    </row>
    <row r="2864">
      <c r="A2864" s="54" t="n"/>
      <c r="B2864" s="61" t="n"/>
      <c r="C2864" s="61" t="n"/>
      <c r="D2864" s="61" t="n"/>
      <c r="E2864" s="61" t="n"/>
      <c r="F2864" s="55" t="n"/>
      <c r="G2864" s="56" t="n"/>
      <c r="H2864" s="55" t="n"/>
      <c r="I2864" s="62" t="n"/>
      <c r="J2864" s="58" t="n"/>
      <c r="K2864" s="63">
        <f>IF(tblMovement[[#This Row],[Source]]="","",IFERROR(INDEX(tblSources[Type],MATCH(tblMovement[[#This Row],[Source]],tblSources[Source],0)),"?"))</f>
        <v/>
      </c>
      <c r="L2864" s="63">
        <f>IF(tblMovement[[#This Row],[Destination]]="","",IFERROR(INDEX(tblDestinations[Type],MATCH(tblMovement[[#This Row],[Destination]],tblDestinations[Destination],0)),"?"))</f>
        <v/>
      </c>
      <c r="M2864" s="64">
        <f>IF(tblMovement[[#This Row],[Material]]="","",IF(LEFT(tblMovement[[#This Row],[Material]],3)="Ore",1,0))</f>
        <v/>
      </c>
      <c r="N2864" s="59">
        <f>IF(OR(tblMovement[[#This Row],[Tonnes_t]]="",tblMovement[[#This Row],[Grade_gpt]]=""),0,tblMovement[[#This Row],[Tonnes_t]]*tblMovement[[#This Row],[Grade_gpt]]/cfg_TroyOz)</f>
        <v/>
      </c>
      <c r="O2864" s="59">
        <f>IF(tblMovement[[#This Row],[Is_Ore]]=1,tblMovement[[#This Row],[Contained_oz]],0)</f>
        <v/>
      </c>
    </row>
    <row r="2865">
      <c r="A2865" s="54" t="n"/>
      <c r="B2865" s="61" t="n"/>
      <c r="C2865" s="61" t="n"/>
      <c r="D2865" s="61" t="n"/>
      <c r="E2865" s="61" t="n"/>
      <c r="F2865" s="55" t="n"/>
      <c r="G2865" s="56" t="n"/>
      <c r="H2865" s="55" t="n"/>
      <c r="I2865" s="62" t="n"/>
      <c r="J2865" s="58" t="n"/>
      <c r="K2865" s="63">
        <f>IF(tblMovement[[#This Row],[Source]]="","",IFERROR(INDEX(tblSources[Type],MATCH(tblMovement[[#This Row],[Source]],tblSources[Source],0)),"?"))</f>
        <v/>
      </c>
      <c r="L2865" s="63">
        <f>IF(tblMovement[[#This Row],[Destination]]="","",IFERROR(INDEX(tblDestinations[Type],MATCH(tblMovement[[#This Row],[Destination]],tblDestinations[Destination],0)),"?"))</f>
        <v/>
      </c>
      <c r="M2865" s="64">
        <f>IF(tblMovement[[#This Row],[Material]]="","",IF(LEFT(tblMovement[[#This Row],[Material]],3)="Ore",1,0))</f>
        <v/>
      </c>
      <c r="N2865" s="59">
        <f>IF(OR(tblMovement[[#This Row],[Tonnes_t]]="",tblMovement[[#This Row],[Grade_gpt]]=""),0,tblMovement[[#This Row],[Tonnes_t]]*tblMovement[[#This Row],[Grade_gpt]]/cfg_TroyOz)</f>
        <v/>
      </c>
      <c r="O2865" s="59">
        <f>IF(tblMovement[[#This Row],[Is_Ore]]=1,tblMovement[[#This Row],[Contained_oz]],0)</f>
        <v/>
      </c>
    </row>
    <row r="2866">
      <c r="A2866" s="54" t="n"/>
      <c r="B2866" s="61" t="n"/>
      <c r="C2866" s="61" t="n"/>
      <c r="D2866" s="61" t="n"/>
      <c r="E2866" s="61" t="n"/>
      <c r="F2866" s="55" t="n"/>
      <c r="G2866" s="56" t="n"/>
      <c r="H2866" s="55" t="n"/>
      <c r="I2866" s="62" t="n"/>
      <c r="J2866" s="58" t="n"/>
      <c r="K2866" s="63">
        <f>IF(tblMovement[[#This Row],[Source]]="","",IFERROR(INDEX(tblSources[Type],MATCH(tblMovement[[#This Row],[Source]],tblSources[Source],0)),"?"))</f>
        <v/>
      </c>
      <c r="L2866" s="63">
        <f>IF(tblMovement[[#This Row],[Destination]]="","",IFERROR(INDEX(tblDestinations[Type],MATCH(tblMovement[[#This Row],[Destination]],tblDestinations[Destination],0)),"?"))</f>
        <v/>
      </c>
      <c r="M2866" s="64">
        <f>IF(tblMovement[[#This Row],[Material]]="","",IF(LEFT(tblMovement[[#This Row],[Material]],3)="Ore",1,0))</f>
        <v/>
      </c>
      <c r="N2866" s="59">
        <f>IF(OR(tblMovement[[#This Row],[Tonnes_t]]="",tblMovement[[#This Row],[Grade_gpt]]=""),0,tblMovement[[#This Row],[Tonnes_t]]*tblMovement[[#This Row],[Grade_gpt]]/cfg_TroyOz)</f>
        <v/>
      </c>
      <c r="O2866" s="59">
        <f>IF(tblMovement[[#This Row],[Is_Ore]]=1,tblMovement[[#This Row],[Contained_oz]],0)</f>
        <v/>
      </c>
    </row>
    <row r="2867">
      <c r="A2867" s="54" t="n"/>
      <c r="B2867" s="61" t="n"/>
      <c r="C2867" s="61" t="n"/>
      <c r="D2867" s="61" t="n"/>
      <c r="E2867" s="61" t="n"/>
      <c r="F2867" s="55" t="n"/>
      <c r="G2867" s="56" t="n"/>
      <c r="H2867" s="55" t="n"/>
      <c r="I2867" s="62" t="n"/>
      <c r="J2867" s="58" t="n"/>
      <c r="K2867" s="63">
        <f>IF(tblMovement[[#This Row],[Source]]="","",IFERROR(INDEX(tblSources[Type],MATCH(tblMovement[[#This Row],[Source]],tblSources[Source],0)),"?"))</f>
        <v/>
      </c>
      <c r="L2867" s="63">
        <f>IF(tblMovement[[#This Row],[Destination]]="","",IFERROR(INDEX(tblDestinations[Type],MATCH(tblMovement[[#This Row],[Destination]],tblDestinations[Destination],0)),"?"))</f>
        <v/>
      </c>
      <c r="M2867" s="64">
        <f>IF(tblMovement[[#This Row],[Material]]="","",IF(LEFT(tblMovement[[#This Row],[Material]],3)="Ore",1,0))</f>
        <v/>
      </c>
      <c r="N2867" s="59">
        <f>IF(OR(tblMovement[[#This Row],[Tonnes_t]]="",tblMovement[[#This Row],[Grade_gpt]]=""),0,tblMovement[[#This Row],[Tonnes_t]]*tblMovement[[#This Row],[Grade_gpt]]/cfg_TroyOz)</f>
        <v/>
      </c>
      <c r="O2867" s="59">
        <f>IF(tblMovement[[#This Row],[Is_Ore]]=1,tblMovement[[#This Row],[Contained_oz]],0)</f>
        <v/>
      </c>
    </row>
    <row r="2868">
      <c r="A2868" s="54" t="n"/>
      <c r="B2868" s="61" t="n"/>
      <c r="C2868" s="61" t="n"/>
      <c r="D2868" s="61" t="n"/>
      <c r="E2868" s="61" t="n"/>
      <c r="F2868" s="55" t="n"/>
      <c r="G2868" s="56" t="n"/>
      <c r="H2868" s="55" t="n"/>
      <c r="I2868" s="62" t="n"/>
      <c r="J2868" s="58" t="n"/>
      <c r="K2868" s="63">
        <f>IF(tblMovement[[#This Row],[Source]]="","",IFERROR(INDEX(tblSources[Type],MATCH(tblMovement[[#This Row],[Source]],tblSources[Source],0)),"?"))</f>
        <v/>
      </c>
      <c r="L2868" s="63">
        <f>IF(tblMovement[[#This Row],[Destination]]="","",IFERROR(INDEX(tblDestinations[Type],MATCH(tblMovement[[#This Row],[Destination]],tblDestinations[Destination],0)),"?"))</f>
        <v/>
      </c>
      <c r="M2868" s="64">
        <f>IF(tblMovement[[#This Row],[Material]]="","",IF(LEFT(tblMovement[[#This Row],[Material]],3)="Ore",1,0))</f>
        <v/>
      </c>
      <c r="N2868" s="59">
        <f>IF(OR(tblMovement[[#This Row],[Tonnes_t]]="",tblMovement[[#This Row],[Grade_gpt]]=""),0,tblMovement[[#This Row],[Tonnes_t]]*tblMovement[[#This Row],[Grade_gpt]]/cfg_TroyOz)</f>
        <v/>
      </c>
      <c r="O2868" s="59">
        <f>IF(tblMovement[[#This Row],[Is_Ore]]=1,tblMovement[[#This Row],[Contained_oz]],0)</f>
        <v/>
      </c>
    </row>
    <row r="2869">
      <c r="A2869" s="54" t="n"/>
      <c r="B2869" s="61" t="n"/>
      <c r="C2869" s="61" t="n"/>
      <c r="D2869" s="61" t="n"/>
      <c r="E2869" s="61" t="n"/>
      <c r="F2869" s="55" t="n"/>
      <c r="G2869" s="56" t="n"/>
      <c r="H2869" s="55" t="n"/>
      <c r="I2869" s="62" t="n"/>
      <c r="J2869" s="58" t="n"/>
      <c r="K2869" s="63">
        <f>IF(tblMovement[[#This Row],[Source]]="","",IFERROR(INDEX(tblSources[Type],MATCH(tblMovement[[#This Row],[Source]],tblSources[Source],0)),"?"))</f>
        <v/>
      </c>
      <c r="L2869" s="63">
        <f>IF(tblMovement[[#This Row],[Destination]]="","",IFERROR(INDEX(tblDestinations[Type],MATCH(tblMovement[[#This Row],[Destination]],tblDestinations[Destination],0)),"?"))</f>
        <v/>
      </c>
      <c r="M2869" s="64">
        <f>IF(tblMovement[[#This Row],[Material]]="","",IF(LEFT(tblMovement[[#This Row],[Material]],3)="Ore",1,0))</f>
        <v/>
      </c>
      <c r="N2869" s="59">
        <f>IF(OR(tblMovement[[#This Row],[Tonnes_t]]="",tblMovement[[#This Row],[Grade_gpt]]=""),0,tblMovement[[#This Row],[Tonnes_t]]*tblMovement[[#This Row],[Grade_gpt]]/cfg_TroyOz)</f>
        <v/>
      </c>
      <c r="O2869" s="59">
        <f>IF(tblMovement[[#This Row],[Is_Ore]]=1,tblMovement[[#This Row],[Contained_oz]],0)</f>
        <v/>
      </c>
    </row>
    <row r="2870">
      <c r="A2870" s="54" t="n"/>
      <c r="B2870" s="61" t="n"/>
      <c r="C2870" s="61" t="n"/>
      <c r="D2870" s="61" t="n"/>
      <c r="E2870" s="61" t="n"/>
      <c r="F2870" s="55" t="n"/>
      <c r="G2870" s="56" t="n"/>
      <c r="H2870" s="55" t="n"/>
      <c r="I2870" s="62" t="n"/>
      <c r="J2870" s="58" t="n"/>
      <c r="K2870" s="63">
        <f>IF(tblMovement[[#This Row],[Source]]="","",IFERROR(INDEX(tblSources[Type],MATCH(tblMovement[[#This Row],[Source]],tblSources[Source],0)),"?"))</f>
        <v/>
      </c>
      <c r="L2870" s="63">
        <f>IF(tblMovement[[#This Row],[Destination]]="","",IFERROR(INDEX(tblDestinations[Type],MATCH(tblMovement[[#This Row],[Destination]],tblDestinations[Destination],0)),"?"))</f>
        <v/>
      </c>
      <c r="M2870" s="64">
        <f>IF(tblMovement[[#This Row],[Material]]="","",IF(LEFT(tblMovement[[#This Row],[Material]],3)="Ore",1,0))</f>
        <v/>
      </c>
      <c r="N2870" s="59">
        <f>IF(OR(tblMovement[[#This Row],[Tonnes_t]]="",tblMovement[[#This Row],[Grade_gpt]]=""),0,tblMovement[[#This Row],[Tonnes_t]]*tblMovement[[#This Row],[Grade_gpt]]/cfg_TroyOz)</f>
        <v/>
      </c>
      <c r="O2870" s="59">
        <f>IF(tblMovement[[#This Row],[Is_Ore]]=1,tblMovement[[#This Row],[Contained_oz]],0)</f>
        <v/>
      </c>
    </row>
    <row r="2871">
      <c r="A2871" s="54" t="n"/>
      <c r="B2871" s="61" t="n"/>
      <c r="C2871" s="61" t="n"/>
      <c r="D2871" s="61" t="n"/>
      <c r="E2871" s="61" t="n"/>
      <c r="F2871" s="55" t="n"/>
      <c r="G2871" s="56" t="n"/>
      <c r="H2871" s="55" t="n"/>
      <c r="I2871" s="62" t="n"/>
      <c r="J2871" s="58" t="n"/>
      <c r="K2871" s="63">
        <f>IF(tblMovement[[#This Row],[Source]]="","",IFERROR(INDEX(tblSources[Type],MATCH(tblMovement[[#This Row],[Source]],tblSources[Source],0)),"?"))</f>
        <v/>
      </c>
      <c r="L2871" s="63">
        <f>IF(tblMovement[[#This Row],[Destination]]="","",IFERROR(INDEX(tblDestinations[Type],MATCH(tblMovement[[#This Row],[Destination]],tblDestinations[Destination],0)),"?"))</f>
        <v/>
      </c>
      <c r="M2871" s="64">
        <f>IF(tblMovement[[#This Row],[Material]]="","",IF(LEFT(tblMovement[[#This Row],[Material]],3)="Ore",1,0))</f>
        <v/>
      </c>
      <c r="N2871" s="59">
        <f>IF(OR(tblMovement[[#This Row],[Tonnes_t]]="",tblMovement[[#This Row],[Grade_gpt]]=""),0,tblMovement[[#This Row],[Tonnes_t]]*tblMovement[[#This Row],[Grade_gpt]]/cfg_TroyOz)</f>
        <v/>
      </c>
      <c r="O2871" s="59">
        <f>IF(tblMovement[[#This Row],[Is_Ore]]=1,tblMovement[[#This Row],[Contained_oz]],0)</f>
        <v/>
      </c>
    </row>
    <row r="2872">
      <c r="A2872" s="54" t="n"/>
      <c r="B2872" s="61" t="n"/>
      <c r="C2872" s="61" t="n"/>
      <c r="D2872" s="61" t="n"/>
      <c r="E2872" s="61" t="n"/>
      <c r="F2872" s="55" t="n"/>
      <c r="G2872" s="56" t="n"/>
      <c r="H2872" s="55" t="n"/>
      <c r="I2872" s="62" t="n"/>
      <c r="J2872" s="58" t="n"/>
      <c r="K2872" s="63">
        <f>IF(tblMovement[[#This Row],[Source]]="","",IFERROR(INDEX(tblSources[Type],MATCH(tblMovement[[#This Row],[Source]],tblSources[Source],0)),"?"))</f>
        <v/>
      </c>
      <c r="L2872" s="63">
        <f>IF(tblMovement[[#This Row],[Destination]]="","",IFERROR(INDEX(tblDestinations[Type],MATCH(tblMovement[[#This Row],[Destination]],tblDestinations[Destination],0)),"?"))</f>
        <v/>
      </c>
      <c r="M2872" s="64">
        <f>IF(tblMovement[[#This Row],[Material]]="","",IF(LEFT(tblMovement[[#This Row],[Material]],3)="Ore",1,0))</f>
        <v/>
      </c>
      <c r="N2872" s="59">
        <f>IF(OR(tblMovement[[#This Row],[Tonnes_t]]="",tblMovement[[#This Row],[Grade_gpt]]=""),0,tblMovement[[#This Row],[Tonnes_t]]*tblMovement[[#This Row],[Grade_gpt]]/cfg_TroyOz)</f>
        <v/>
      </c>
      <c r="O2872" s="59">
        <f>IF(tblMovement[[#This Row],[Is_Ore]]=1,tblMovement[[#This Row],[Contained_oz]],0)</f>
        <v/>
      </c>
    </row>
    <row r="2873">
      <c r="A2873" s="54" t="n"/>
      <c r="B2873" s="61" t="n"/>
      <c r="C2873" s="61" t="n"/>
      <c r="D2873" s="61" t="n"/>
      <c r="E2873" s="61" t="n"/>
      <c r="F2873" s="55" t="n"/>
      <c r="G2873" s="56" t="n"/>
      <c r="H2873" s="55" t="n"/>
      <c r="I2873" s="62" t="n"/>
      <c r="J2873" s="58" t="n"/>
      <c r="K2873" s="63">
        <f>IF(tblMovement[[#This Row],[Source]]="","",IFERROR(INDEX(tblSources[Type],MATCH(tblMovement[[#This Row],[Source]],tblSources[Source],0)),"?"))</f>
        <v/>
      </c>
      <c r="L2873" s="63">
        <f>IF(tblMovement[[#This Row],[Destination]]="","",IFERROR(INDEX(tblDestinations[Type],MATCH(tblMovement[[#This Row],[Destination]],tblDestinations[Destination],0)),"?"))</f>
        <v/>
      </c>
      <c r="M2873" s="64">
        <f>IF(tblMovement[[#This Row],[Material]]="","",IF(LEFT(tblMovement[[#This Row],[Material]],3)="Ore",1,0))</f>
        <v/>
      </c>
      <c r="N2873" s="59">
        <f>IF(OR(tblMovement[[#This Row],[Tonnes_t]]="",tblMovement[[#This Row],[Grade_gpt]]=""),0,tblMovement[[#This Row],[Tonnes_t]]*tblMovement[[#This Row],[Grade_gpt]]/cfg_TroyOz)</f>
        <v/>
      </c>
      <c r="O2873" s="59">
        <f>IF(tblMovement[[#This Row],[Is_Ore]]=1,tblMovement[[#This Row],[Contained_oz]],0)</f>
        <v/>
      </c>
    </row>
    <row r="2874">
      <c r="A2874" s="54" t="n"/>
      <c r="B2874" s="61" t="n"/>
      <c r="C2874" s="61" t="n"/>
      <c r="D2874" s="61" t="n"/>
      <c r="E2874" s="61" t="n"/>
      <c r="F2874" s="55" t="n"/>
      <c r="G2874" s="56" t="n"/>
      <c r="H2874" s="55" t="n"/>
      <c r="I2874" s="62" t="n"/>
      <c r="J2874" s="58" t="n"/>
      <c r="K2874" s="63">
        <f>IF(tblMovement[[#This Row],[Source]]="","",IFERROR(INDEX(tblSources[Type],MATCH(tblMovement[[#This Row],[Source]],tblSources[Source],0)),"?"))</f>
        <v/>
      </c>
      <c r="L2874" s="63">
        <f>IF(tblMovement[[#This Row],[Destination]]="","",IFERROR(INDEX(tblDestinations[Type],MATCH(tblMovement[[#This Row],[Destination]],tblDestinations[Destination],0)),"?"))</f>
        <v/>
      </c>
      <c r="M2874" s="64">
        <f>IF(tblMovement[[#This Row],[Material]]="","",IF(LEFT(tblMovement[[#This Row],[Material]],3)="Ore",1,0))</f>
        <v/>
      </c>
      <c r="N2874" s="59">
        <f>IF(OR(tblMovement[[#This Row],[Tonnes_t]]="",tblMovement[[#This Row],[Grade_gpt]]=""),0,tblMovement[[#This Row],[Tonnes_t]]*tblMovement[[#This Row],[Grade_gpt]]/cfg_TroyOz)</f>
        <v/>
      </c>
      <c r="O2874" s="59">
        <f>IF(tblMovement[[#This Row],[Is_Ore]]=1,tblMovement[[#This Row],[Contained_oz]],0)</f>
        <v/>
      </c>
    </row>
    <row r="2875">
      <c r="A2875" s="54" t="n"/>
      <c r="B2875" s="61" t="n"/>
      <c r="C2875" s="61" t="n"/>
      <c r="D2875" s="61" t="n"/>
      <c r="E2875" s="61" t="n"/>
      <c r="F2875" s="55" t="n"/>
      <c r="G2875" s="56" t="n"/>
      <c r="H2875" s="55" t="n"/>
      <c r="I2875" s="62" t="n"/>
      <c r="J2875" s="58" t="n"/>
      <c r="K2875" s="63">
        <f>IF(tblMovement[[#This Row],[Source]]="","",IFERROR(INDEX(tblSources[Type],MATCH(tblMovement[[#This Row],[Source]],tblSources[Source],0)),"?"))</f>
        <v/>
      </c>
      <c r="L2875" s="63">
        <f>IF(tblMovement[[#This Row],[Destination]]="","",IFERROR(INDEX(tblDestinations[Type],MATCH(tblMovement[[#This Row],[Destination]],tblDestinations[Destination],0)),"?"))</f>
        <v/>
      </c>
      <c r="M2875" s="64">
        <f>IF(tblMovement[[#This Row],[Material]]="","",IF(LEFT(tblMovement[[#This Row],[Material]],3)="Ore",1,0))</f>
        <v/>
      </c>
      <c r="N2875" s="59">
        <f>IF(OR(tblMovement[[#This Row],[Tonnes_t]]="",tblMovement[[#This Row],[Grade_gpt]]=""),0,tblMovement[[#This Row],[Tonnes_t]]*tblMovement[[#This Row],[Grade_gpt]]/cfg_TroyOz)</f>
        <v/>
      </c>
      <c r="O2875" s="59">
        <f>IF(tblMovement[[#This Row],[Is_Ore]]=1,tblMovement[[#This Row],[Contained_oz]],0)</f>
        <v/>
      </c>
    </row>
    <row r="2876">
      <c r="A2876" s="54" t="n"/>
      <c r="B2876" s="61" t="n"/>
      <c r="C2876" s="61" t="n"/>
      <c r="D2876" s="61" t="n"/>
      <c r="E2876" s="61" t="n"/>
      <c r="F2876" s="55" t="n"/>
      <c r="G2876" s="56" t="n"/>
      <c r="H2876" s="55" t="n"/>
      <c r="I2876" s="62" t="n"/>
      <c r="J2876" s="58" t="n"/>
      <c r="K2876" s="63">
        <f>IF(tblMovement[[#This Row],[Source]]="","",IFERROR(INDEX(tblSources[Type],MATCH(tblMovement[[#This Row],[Source]],tblSources[Source],0)),"?"))</f>
        <v/>
      </c>
      <c r="L2876" s="63">
        <f>IF(tblMovement[[#This Row],[Destination]]="","",IFERROR(INDEX(tblDestinations[Type],MATCH(tblMovement[[#This Row],[Destination]],tblDestinations[Destination],0)),"?"))</f>
        <v/>
      </c>
      <c r="M2876" s="64">
        <f>IF(tblMovement[[#This Row],[Material]]="","",IF(LEFT(tblMovement[[#This Row],[Material]],3)="Ore",1,0))</f>
        <v/>
      </c>
      <c r="N2876" s="59">
        <f>IF(OR(tblMovement[[#This Row],[Tonnes_t]]="",tblMovement[[#This Row],[Grade_gpt]]=""),0,tblMovement[[#This Row],[Tonnes_t]]*tblMovement[[#This Row],[Grade_gpt]]/cfg_TroyOz)</f>
        <v/>
      </c>
      <c r="O2876" s="59">
        <f>IF(tblMovement[[#This Row],[Is_Ore]]=1,tblMovement[[#This Row],[Contained_oz]],0)</f>
        <v/>
      </c>
    </row>
    <row r="2877">
      <c r="A2877" s="54" t="n"/>
      <c r="B2877" s="61" t="n"/>
      <c r="C2877" s="61" t="n"/>
      <c r="D2877" s="61" t="n"/>
      <c r="E2877" s="61" t="n"/>
      <c r="F2877" s="55" t="n"/>
      <c r="G2877" s="56" t="n"/>
      <c r="H2877" s="55" t="n"/>
      <c r="I2877" s="62" t="n"/>
      <c r="J2877" s="58" t="n"/>
      <c r="K2877" s="63">
        <f>IF(tblMovement[[#This Row],[Source]]="","",IFERROR(INDEX(tblSources[Type],MATCH(tblMovement[[#This Row],[Source]],tblSources[Source],0)),"?"))</f>
        <v/>
      </c>
      <c r="L2877" s="63">
        <f>IF(tblMovement[[#This Row],[Destination]]="","",IFERROR(INDEX(tblDestinations[Type],MATCH(tblMovement[[#This Row],[Destination]],tblDestinations[Destination],0)),"?"))</f>
        <v/>
      </c>
      <c r="M2877" s="64">
        <f>IF(tblMovement[[#This Row],[Material]]="","",IF(LEFT(tblMovement[[#This Row],[Material]],3)="Ore",1,0))</f>
        <v/>
      </c>
      <c r="N2877" s="59">
        <f>IF(OR(tblMovement[[#This Row],[Tonnes_t]]="",tblMovement[[#This Row],[Grade_gpt]]=""),0,tblMovement[[#This Row],[Tonnes_t]]*tblMovement[[#This Row],[Grade_gpt]]/cfg_TroyOz)</f>
        <v/>
      </c>
      <c r="O2877" s="59">
        <f>IF(tblMovement[[#This Row],[Is_Ore]]=1,tblMovement[[#This Row],[Contained_oz]],0)</f>
        <v/>
      </c>
    </row>
    <row r="2878">
      <c r="A2878" s="54" t="n"/>
      <c r="B2878" s="61" t="n"/>
      <c r="C2878" s="61" t="n"/>
      <c r="D2878" s="61" t="n"/>
      <c r="E2878" s="61" t="n"/>
      <c r="F2878" s="55" t="n"/>
      <c r="G2878" s="56" t="n"/>
      <c r="H2878" s="55" t="n"/>
      <c r="I2878" s="62" t="n"/>
      <c r="J2878" s="58" t="n"/>
      <c r="K2878" s="63">
        <f>IF(tblMovement[[#This Row],[Source]]="","",IFERROR(INDEX(tblSources[Type],MATCH(tblMovement[[#This Row],[Source]],tblSources[Source],0)),"?"))</f>
        <v/>
      </c>
      <c r="L2878" s="63">
        <f>IF(tblMovement[[#This Row],[Destination]]="","",IFERROR(INDEX(tblDestinations[Type],MATCH(tblMovement[[#This Row],[Destination]],tblDestinations[Destination],0)),"?"))</f>
        <v/>
      </c>
      <c r="M2878" s="64">
        <f>IF(tblMovement[[#This Row],[Material]]="","",IF(LEFT(tblMovement[[#This Row],[Material]],3)="Ore",1,0))</f>
        <v/>
      </c>
      <c r="N2878" s="59">
        <f>IF(OR(tblMovement[[#This Row],[Tonnes_t]]="",tblMovement[[#This Row],[Grade_gpt]]=""),0,tblMovement[[#This Row],[Tonnes_t]]*tblMovement[[#This Row],[Grade_gpt]]/cfg_TroyOz)</f>
        <v/>
      </c>
      <c r="O2878" s="59">
        <f>IF(tblMovement[[#This Row],[Is_Ore]]=1,tblMovement[[#This Row],[Contained_oz]],0)</f>
        <v/>
      </c>
    </row>
    <row r="2879">
      <c r="A2879" s="54" t="n"/>
      <c r="B2879" s="61" t="n"/>
      <c r="C2879" s="61" t="n"/>
      <c r="D2879" s="61" t="n"/>
      <c r="E2879" s="61" t="n"/>
      <c r="F2879" s="55" t="n"/>
      <c r="G2879" s="56" t="n"/>
      <c r="H2879" s="55" t="n"/>
      <c r="I2879" s="62" t="n"/>
      <c r="J2879" s="58" t="n"/>
      <c r="K2879" s="63">
        <f>IF(tblMovement[[#This Row],[Source]]="","",IFERROR(INDEX(tblSources[Type],MATCH(tblMovement[[#This Row],[Source]],tblSources[Source],0)),"?"))</f>
        <v/>
      </c>
      <c r="L2879" s="63">
        <f>IF(tblMovement[[#This Row],[Destination]]="","",IFERROR(INDEX(tblDestinations[Type],MATCH(tblMovement[[#This Row],[Destination]],tblDestinations[Destination],0)),"?"))</f>
        <v/>
      </c>
      <c r="M2879" s="64">
        <f>IF(tblMovement[[#This Row],[Material]]="","",IF(LEFT(tblMovement[[#This Row],[Material]],3)="Ore",1,0))</f>
        <v/>
      </c>
      <c r="N2879" s="59">
        <f>IF(OR(tblMovement[[#This Row],[Tonnes_t]]="",tblMovement[[#This Row],[Grade_gpt]]=""),0,tblMovement[[#This Row],[Tonnes_t]]*tblMovement[[#This Row],[Grade_gpt]]/cfg_TroyOz)</f>
        <v/>
      </c>
      <c r="O2879" s="59">
        <f>IF(tblMovement[[#This Row],[Is_Ore]]=1,tblMovement[[#This Row],[Contained_oz]],0)</f>
        <v/>
      </c>
    </row>
    <row r="2880">
      <c r="A2880" s="54" t="n"/>
      <c r="B2880" s="61" t="n"/>
      <c r="C2880" s="61" t="n"/>
      <c r="D2880" s="61" t="n"/>
      <c r="E2880" s="61" t="n"/>
      <c r="F2880" s="55" t="n"/>
      <c r="G2880" s="56" t="n"/>
      <c r="H2880" s="55" t="n"/>
      <c r="I2880" s="62" t="n"/>
      <c r="J2880" s="58" t="n"/>
      <c r="K2880" s="63">
        <f>IF(tblMovement[[#This Row],[Source]]="","",IFERROR(INDEX(tblSources[Type],MATCH(tblMovement[[#This Row],[Source]],tblSources[Source],0)),"?"))</f>
        <v/>
      </c>
      <c r="L2880" s="63">
        <f>IF(tblMovement[[#This Row],[Destination]]="","",IFERROR(INDEX(tblDestinations[Type],MATCH(tblMovement[[#This Row],[Destination]],tblDestinations[Destination],0)),"?"))</f>
        <v/>
      </c>
      <c r="M2880" s="64">
        <f>IF(tblMovement[[#This Row],[Material]]="","",IF(LEFT(tblMovement[[#This Row],[Material]],3)="Ore",1,0))</f>
        <v/>
      </c>
      <c r="N2880" s="59">
        <f>IF(OR(tblMovement[[#This Row],[Tonnes_t]]="",tblMovement[[#This Row],[Grade_gpt]]=""),0,tblMovement[[#This Row],[Tonnes_t]]*tblMovement[[#This Row],[Grade_gpt]]/cfg_TroyOz)</f>
        <v/>
      </c>
      <c r="O2880" s="59">
        <f>IF(tblMovement[[#This Row],[Is_Ore]]=1,tblMovement[[#This Row],[Contained_oz]],0)</f>
        <v/>
      </c>
    </row>
    <row r="2881">
      <c r="A2881" s="54" t="n"/>
      <c r="B2881" s="61" t="n"/>
      <c r="C2881" s="61" t="n"/>
      <c r="D2881" s="61" t="n"/>
      <c r="E2881" s="61" t="n"/>
      <c r="F2881" s="55" t="n"/>
      <c r="G2881" s="56" t="n"/>
      <c r="H2881" s="55" t="n"/>
      <c r="I2881" s="62" t="n"/>
      <c r="J2881" s="58" t="n"/>
      <c r="K2881" s="63">
        <f>IF(tblMovement[[#This Row],[Source]]="","",IFERROR(INDEX(tblSources[Type],MATCH(tblMovement[[#This Row],[Source]],tblSources[Source],0)),"?"))</f>
        <v/>
      </c>
      <c r="L2881" s="63">
        <f>IF(tblMovement[[#This Row],[Destination]]="","",IFERROR(INDEX(tblDestinations[Type],MATCH(tblMovement[[#This Row],[Destination]],tblDestinations[Destination],0)),"?"))</f>
        <v/>
      </c>
      <c r="M2881" s="64">
        <f>IF(tblMovement[[#This Row],[Material]]="","",IF(LEFT(tblMovement[[#This Row],[Material]],3)="Ore",1,0))</f>
        <v/>
      </c>
      <c r="N2881" s="59">
        <f>IF(OR(tblMovement[[#This Row],[Tonnes_t]]="",tblMovement[[#This Row],[Grade_gpt]]=""),0,tblMovement[[#This Row],[Tonnes_t]]*tblMovement[[#This Row],[Grade_gpt]]/cfg_TroyOz)</f>
        <v/>
      </c>
      <c r="O2881" s="59">
        <f>IF(tblMovement[[#This Row],[Is_Ore]]=1,tblMovement[[#This Row],[Contained_oz]],0)</f>
        <v/>
      </c>
    </row>
    <row r="2882">
      <c r="A2882" s="54" t="n"/>
      <c r="B2882" s="61" t="n"/>
      <c r="C2882" s="61" t="n"/>
      <c r="D2882" s="61" t="n"/>
      <c r="E2882" s="61" t="n"/>
      <c r="F2882" s="55" t="n"/>
      <c r="G2882" s="56" t="n"/>
      <c r="H2882" s="55" t="n"/>
      <c r="I2882" s="62" t="n"/>
      <c r="J2882" s="58" t="n"/>
      <c r="K2882" s="63">
        <f>IF(tblMovement[[#This Row],[Source]]="","",IFERROR(INDEX(tblSources[Type],MATCH(tblMovement[[#This Row],[Source]],tblSources[Source],0)),"?"))</f>
        <v/>
      </c>
      <c r="L2882" s="63">
        <f>IF(tblMovement[[#This Row],[Destination]]="","",IFERROR(INDEX(tblDestinations[Type],MATCH(tblMovement[[#This Row],[Destination]],tblDestinations[Destination],0)),"?"))</f>
        <v/>
      </c>
      <c r="M2882" s="64">
        <f>IF(tblMovement[[#This Row],[Material]]="","",IF(LEFT(tblMovement[[#This Row],[Material]],3)="Ore",1,0))</f>
        <v/>
      </c>
      <c r="N2882" s="59">
        <f>IF(OR(tblMovement[[#This Row],[Tonnes_t]]="",tblMovement[[#This Row],[Grade_gpt]]=""),0,tblMovement[[#This Row],[Tonnes_t]]*tblMovement[[#This Row],[Grade_gpt]]/cfg_TroyOz)</f>
        <v/>
      </c>
      <c r="O2882" s="59">
        <f>IF(tblMovement[[#This Row],[Is_Ore]]=1,tblMovement[[#This Row],[Contained_oz]],0)</f>
        <v/>
      </c>
    </row>
    <row r="2883">
      <c r="A2883" s="54" t="n"/>
      <c r="B2883" s="61" t="n"/>
      <c r="C2883" s="61" t="n"/>
      <c r="D2883" s="61" t="n"/>
      <c r="E2883" s="61" t="n"/>
      <c r="F2883" s="55" t="n"/>
      <c r="G2883" s="56" t="n"/>
      <c r="H2883" s="55" t="n"/>
      <c r="I2883" s="62" t="n"/>
      <c r="J2883" s="58" t="n"/>
      <c r="K2883" s="63">
        <f>IF(tblMovement[[#This Row],[Source]]="","",IFERROR(INDEX(tblSources[Type],MATCH(tblMovement[[#This Row],[Source]],tblSources[Source],0)),"?"))</f>
        <v/>
      </c>
      <c r="L2883" s="63">
        <f>IF(tblMovement[[#This Row],[Destination]]="","",IFERROR(INDEX(tblDestinations[Type],MATCH(tblMovement[[#This Row],[Destination]],tblDestinations[Destination],0)),"?"))</f>
        <v/>
      </c>
      <c r="M2883" s="64">
        <f>IF(tblMovement[[#This Row],[Material]]="","",IF(LEFT(tblMovement[[#This Row],[Material]],3)="Ore",1,0))</f>
        <v/>
      </c>
      <c r="N2883" s="59">
        <f>IF(OR(tblMovement[[#This Row],[Tonnes_t]]="",tblMovement[[#This Row],[Grade_gpt]]=""),0,tblMovement[[#This Row],[Tonnes_t]]*tblMovement[[#This Row],[Grade_gpt]]/cfg_TroyOz)</f>
        <v/>
      </c>
      <c r="O2883" s="59">
        <f>IF(tblMovement[[#This Row],[Is_Ore]]=1,tblMovement[[#This Row],[Contained_oz]],0)</f>
        <v/>
      </c>
    </row>
    <row r="2884">
      <c r="A2884" s="54" t="n"/>
      <c r="B2884" s="61" t="n"/>
      <c r="C2884" s="61" t="n"/>
      <c r="D2884" s="61" t="n"/>
      <c r="E2884" s="61" t="n"/>
      <c r="F2884" s="55" t="n"/>
      <c r="G2884" s="56" t="n"/>
      <c r="H2884" s="55" t="n"/>
      <c r="I2884" s="62" t="n"/>
      <c r="J2884" s="58" t="n"/>
      <c r="K2884" s="63">
        <f>IF(tblMovement[[#This Row],[Source]]="","",IFERROR(INDEX(tblSources[Type],MATCH(tblMovement[[#This Row],[Source]],tblSources[Source],0)),"?"))</f>
        <v/>
      </c>
      <c r="L2884" s="63">
        <f>IF(tblMovement[[#This Row],[Destination]]="","",IFERROR(INDEX(tblDestinations[Type],MATCH(tblMovement[[#This Row],[Destination]],tblDestinations[Destination],0)),"?"))</f>
        <v/>
      </c>
      <c r="M2884" s="64">
        <f>IF(tblMovement[[#This Row],[Material]]="","",IF(LEFT(tblMovement[[#This Row],[Material]],3)="Ore",1,0))</f>
        <v/>
      </c>
      <c r="N2884" s="59">
        <f>IF(OR(tblMovement[[#This Row],[Tonnes_t]]="",tblMovement[[#This Row],[Grade_gpt]]=""),0,tblMovement[[#This Row],[Tonnes_t]]*tblMovement[[#This Row],[Grade_gpt]]/cfg_TroyOz)</f>
        <v/>
      </c>
      <c r="O2884" s="59">
        <f>IF(tblMovement[[#This Row],[Is_Ore]]=1,tblMovement[[#This Row],[Contained_oz]],0)</f>
        <v/>
      </c>
    </row>
    <row r="2885">
      <c r="A2885" s="54" t="n"/>
      <c r="B2885" s="61" t="n"/>
      <c r="C2885" s="61" t="n"/>
      <c r="D2885" s="61" t="n"/>
      <c r="E2885" s="61" t="n"/>
      <c r="F2885" s="55" t="n"/>
      <c r="G2885" s="56" t="n"/>
      <c r="H2885" s="55" t="n"/>
      <c r="I2885" s="62" t="n"/>
      <c r="J2885" s="58" t="n"/>
      <c r="K2885" s="63">
        <f>IF(tblMovement[[#This Row],[Source]]="","",IFERROR(INDEX(tblSources[Type],MATCH(tblMovement[[#This Row],[Source]],tblSources[Source],0)),"?"))</f>
        <v/>
      </c>
      <c r="L2885" s="63">
        <f>IF(tblMovement[[#This Row],[Destination]]="","",IFERROR(INDEX(tblDestinations[Type],MATCH(tblMovement[[#This Row],[Destination]],tblDestinations[Destination],0)),"?"))</f>
        <v/>
      </c>
      <c r="M2885" s="64">
        <f>IF(tblMovement[[#This Row],[Material]]="","",IF(LEFT(tblMovement[[#This Row],[Material]],3)="Ore",1,0))</f>
        <v/>
      </c>
      <c r="N2885" s="59">
        <f>IF(OR(tblMovement[[#This Row],[Tonnes_t]]="",tblMovement[[#This Row],[Grade_gpt]]=""),0,tblMovement[[#This Row],[Tonnes_t]]*tblMovement[[#This Row],[Grade_gpt]]/cfg_TroyOz)</f>
        <v/>
      </c>
      <c r="O2885" s="59">
        <f>IF(tblMovement[[#This Row],[Is_Ore]]=1,tblMovement[[#This Row],[Contained_oz]],0)</f>
        <v/>
      </c>
    </row>
    <row r="2886">
      <c r="A2886" s="54" t="n"/>
      <c r="B2886" s="61" t="n"/>
      <c r="C2886" s="61" t="n"/>
      <c r="D2886" s="61" t="n"/>
      <c r="E2886" s="61" t="n"/>
      <c r="F2886" s="55" t="n"/>
      <c r="G2886" s="56" t="n"/>
      <c r="H2886" s="55" t="n"/>
      <c r="I2886" s="62" t="n"/>
      <c r="J2886" s="58" t="n"/>
      <c r="K2886" s="63">
        <f>IF(tblMovement[[#This Row],[Source]]="","",IFERROR(INDEX(tblSources[Type],MATCH(tblMovement[[#This Row],[Source]],tblSources[Source],0)),"?"))</f>
        <v/>
      </c>
      <c r="L2886" s="63">
        <f>IF(tblMovement[[#This Row],[Destination]]="","",IFERROR(INDEX(tblDestinations[Type],MATCH(tblMovement[[#This Row],[Destination]],tblDestinations[Destination],0)),"?"))</f>
        <v/>
      </c>
      <c r="M2886" s="64">
        <f>IF(tblMovement[[#This Row],[Material]]="","",IF(LEFT(tblMovement[[#This Row],[Material]],3)="Ore",1,0))</f>
        <v/>
      </c>
      <c r="N2886" s="59">
        <f>IF(OR(tblMovement[[#This Row],[Tonnes_t]]="",tblMovement[[#This Row],[Grade_gpt]]=""),0,tblMovement[[#This Row],[Tonnes_t]]*tblMovement[[#This Row],[Grade_gpt]]/cfg_TroyOz)</f>
        <v/>
      </c>
      <c r="O2886" s="59">
        <f>IF(tblMovement[[#This Row],[Is_Ore]]=1,tblMovement[[#This Row],[Contained_oz]],0)</f>
        <v/>
      </c>
    </row>
    <row r="2887">
      <c r="A2887" s="54" t="n"/>
      <c r="B2887" s="61" t="n"/>
      <c r="C2887" s="61" t="n"/>
      <c r="D2887" s="61" t="n"/>
      <c r="E2887" s="61" t="n"/>
      <c r="F2887" s="55" t="n"/>
      <c r="G2887" s="56" t="n"/>
      <c r="H2887" s="55" t="n"/>
      <c r="I2887" s="62" t="n"/>
      <c r="J2887" s="58" t="n"/>
      <c r="K2887" s="63">
        <f>IF(tblMovement[[#This Row],[Source]]="","",IFERROR(INDEX(tblSources[Type],MATCH(tblMovement[[#This Row],[Source]],tblSources[Source],0)),"?"))</f>
        <v/>
      </c>
      <c r="L2887" s="63">
        <f>IF(tblMovement[[#This Row],[Destination]]="","",IFERROR(INDEX(tblDestinations[Type],MATCH(tblMovement[[#This Row],[Destination]],tblDestinations[Destination],0)),"?"))</f>
        <v/>
      </c>
      <c r="M2887" s="64">
        <f>IF(tblMovement[[#This Row],[Material]]="","",IF(LEFT(tblMovement[[#This Row],[Material]],3)="Ore",1,0))</f>
        <v/>
      </c>
      <c r="N2887" s="59">
        <f>IF(OR(tblMovement[[#This Row],[Tonnes_t]]="",tblMovement[[#This Row],[Grade_gpt]]=""),0,tblMovement[[#This Row],[Tonnes_t]]*tblMovement[[#This Row],[Grade_gpt]]/cfg_TroyOz)</f>
        <v/>
      </c>
      <c r="O2887" s="59">
        <f>IF(tblMovement[[#This Row],[Is_Ore]]=1,tblMovement[[#This Row],[Contained_oz]],0)</f>
        <v/>
      </c>
    </row>
    <row r="2888">
      <c r="A2888" s="54" t="n"/>
      <c r="B2888" s="61" t="n"/>
      <c r="C2888" s="61" t="n"/>
      <c r="D2888" s="61" t="n"/>
      <c r="E2888" s="61" t="n"/>
      <c r="F2888" s="55" t="n"/>
      <c r="G2888" s="56" t="n"/>
      <c r="H2888" s="55" t="n"/>
      <c r="I2888" s="62" t="n"/>
      <c r="J2888" s="58" t="n"/>
      <c r="K2888" s="63">
        <f>IF(tblMovement[[#This Row],[Source]]="","",IFERROR(INDEX(tblSources[Type],MATCH(tblMovement[[#This Row],[Source]],tblSources[Source],0)),"?"))</f>
        <v/>
      </c>
      <c r="L2888" s="63">
        <f>IF(tblMovement[[#This Row],[Destination]]="","",IFERROR(INDEX(tblDestinations[Type],MATCH(tblMovement[[#This Row],[Destination]],tblDestinations[Destination],0)),"?"))</f>
        <v/>
      </c>
      <c r="M2888" s="64">
        <f>IF(tblMovement[[#This Row],[Material]]="","",IF(LEFT(tblMovement[[#This Row],[Material]],3)="Ore",1,0))</f>
        <v/>
      </c>
      <c r="N2888" s="59">
        <f>IF(OR(tblMovement[[#This Row],[Tonnes_t]]="",tblMovement[[#This Row],[Grade_gpt]]=""),0,tblMovement[[#This Row],[Tonnes_t]]*tblMovement[[#This Row],[Grade_gpt]]/cfg_TroyOz)</f>
        <v/>
      </c>
      <c r="O2888" s="59">
        <f>IF(tblMovement[[#This Row],[Is_Ore]]=1,tblMovement[[#This Row],[Contained_oz]],0)</f>
        <v/>
      </c>
    </row>
    <row r="2889">
      <c r="A2889" s="54" t="n"/>
      <c r="B2889" s="61" t="n"/>
      <c r="C2889" s="61" t="n"/>
      <c r="D2889" s="61" t="n"/>
      <c r="E2889" s="61" t="n"/>
      <c r="F2889" s="55" t="n"/>
      <c r="G2889" s="56" t="n"/>
      <c r="H2889" s="55" t="n"/>
      <c r="I2889" s="62" t="n"/>
      <c r="J2889" s="58" t="n"/>
      <c r="K2889" s="63">
        <f>IF(tblMovement[[#This Row],[Source]]="","",IFERROR(INDEX(tblSources[Type],MATCH(tblMovement[[#This Row],[Source]],tblSources[Source],0)),"?"))</f>
        <v/>
      </c>
      <c r="L2889" s="63">
        <f>IF(tblMovement[[#This Row],[Destination]]="","",IFERROR(INDEX(tblDestinations[Type],MATCH(tblMovement[[#This Row],[Destination]],tblDestinations[Destination],0)),"?"))</f>
        <v/>
      </c>
      <c r="M2889" s="64">
        <f>IF(tblMovement[[#This Row],[Material]]="","",IF(LEFT(tblMovement[[#This Row],[Material]],3)="Ore",1,0))</f>
        <v/>
      </c>
      <c r="N2889" s="59">
        <f>IF(OR(tblMovement[[#This Row],[Tonnes_t]]="",tblMovement[[#This Row],[Grade_gpt]]=""),0,tblMovement[[#This Row],[Tonnes_t]]*tblMovement[[#This Row],[Grade_gpt]]/cfg_TroyOz)</f>
        <v/>
      </c>
      <c r="O2889" s="59">
        <f>IF(tblMovement[[#This Row],[Is_Ore]]=1,tblMovement[[#This Row],[Contained_oz]],0)</f>
        <v/>
      </c>
    </row>
    <row r="2890">
      <c r="A2890" s="54" t="n"/>
      <c r="B2890" s="61" t="n"/>
      <c r="C2890" s="61" t="n"/>
      <c r="D2890" s="61" t="n"/>
      <c r="E2890" s="61" t="n"/>
      <c r="F2890" s="55" t="n"/>
      <c r="G2890" s="56" t="n"/>
      <c r="H2890" s="55" t="n"/>
      <c r="I2890" s="62" t="n"/>
      <c r="J2890" s="58" t="n"/>
      <c r="K2890" s="63">
        <f>IF(tblMovement[[#This Row],[Source]]="","",IFERROR(INDEX(tblSources[Type],MATCH(tblMovement[[#This Row],[Source]],tblSources[Source],0)),"?"))</f>
        <v/>
      </c>
      <c r="L2890" s="63">
        <f>IF(tblMovement[[#This Row],[Destination]]="","",IFERROR(INDEX(tblDestinations[Type],MATCH(tblMovement[[#This Row],[Destination]],tblDestinations[Destination],0)),"?"))</f>
        <v/>
      </c>
      <c r="M2890" s="64">
        <f>IF(tblMovement[[#This Row],[Material]]="","",IF(LEFT(tblMovement[[#This Row],[Material]],3)="Ore",1,0))</f>
        <v/>
      </c>
      <c r="N2890" s="59">
        <f>IF(OR(tblMovement[[#This Row],[Tonnes_t]]="",tblMovement[[#This Row],[Grade_gpt]]=""),0,tblMovement[[#This Row],[Tonnes_t]]*tblMovement[[#This Row],[Grade_gpt]]/cfg_TroyOz)</f>
        <v/>
      </c>
      <c r="O2890" s="59">
        <f>IF(tblMovement[[#This Row],[Is_Ore]]=1,tblMovement[[#This Row],[Contained_oz]],0)</f>
        <v/>
      </c>
    </row>
    <row r="2891">
      <c r="A2891" s="54" t="n"/>
      <c r="B2891" s="61" t="n"/>
      <c r="C2891" s="61" t="n"/>
      <c r="D2891" s="61" t="n"/>
      <c r="E2891" s="61" t="n"/>
      <c r="F2891" s="55" t="n"/>
      <c r="G2891" s="56" t="n"/>
      <c r="H2891" s="55" t="n"/>
      <c r="I2891" s="62" t="n"/>
      <c r="J2891" s="58" t="n"/>
      <c r="K2891" s="63">
        <f>IF(tblMovement[[#This Row],[Source]]="","",IFERROR(INDEX(tblSources[Type],MATCH(tblMovement[[#This Row],[Source]],tblSources[Source],0)),"?"))</f>
        <v/>
      </c>
      <c r="L2891" s="63">
        <f>IF(tblMovement[[#This Row],[Destination]]="","",IFERROR(INDEX(tblDestinations[Type],MATCH(tblMovement[[#This Row],[Destination]],tblDestinations[Destination],0)),"?"))</f>
        <v/>
      </c>
      <c r="M2891" s="64">
        <f>IF(tblMovement[[#This Row],[Material]]="","",IF(LEFT(tblMovement[[#This Row],[Material]],3)="Ore",1,0))</f>
        <v/>
      </c>
      <c r="N2891" s="59">
        <f>IF(OR(tblMovement[[#This Row],[Tonnes_t]]="",tblMovement[[#This Row],[Grade_gpt]]=""),0,tblMovement[[#This Row],[Tonnes_t]]*tblMovement[[#This Row],[Grade_gpt]]/cfg_TroyOz)</f>
        <v/>
      </c>
      <c r="O2891" s="59">
        <f>IF(tblMovement[[#This Row],[Is_Ore]]=1,tblMovement[[#This Row],[Contained_oz]],0)</f>
        <v/>
      </c>
    </row>
    <row r="2892">
      <c r="A2892" s="54" t="n"/>
      <c r="B2892" s="61" t="n"/>
      <c r="C2892" s="61" t="n"/>
      <c r="D2892" s="61" t="n"/>
      <c r="E2892" s="61" t="n"/>
      <c r="F2892" s="55" t="n"/>
      <c r="G2892" s="56" t="n"/>
      <c r="H2892" s="55" t="n"/>
      <c r="I2892" s="62" t="n"/>
      <c r="J2892" s="58" t="n"/>
      <c r="K2892" s="63">
        <f>IF(tblMovement[[#This Row],[Source]]="","",IFERROR(INDEX(tblSources[Type],MATCH(tblMovement[[#This Row],[Source]],tblSources[Source],0)),"?"))</f>
        <v/>
      </c>
      <c r="L2892" s="63">
        <f>IF(tblMovement[[#This Row],[Destination]]="","",IFERROR(INDEX(tblDestinations[Type],MATCH(tblMovement[[#This Row],[Destination]],tblDestinations[Destination],0)),"?"))</f>
        <v/>
      </c>
      <c r="M2892" s="64">
        <f>IF(tblMovement[[#This Row],[Material]]="","",IF(LEFT(tblMovement[[#This Row],[Material]],3)="Ore",1,0))</f>
        <v/>
      </c>
      <c r="N2892" s="59">
        <f>IF(OR(tblMovement[[#This Row],[Tonnes_t]]="",tblMovement[[#This Row],[Grade_gpt]]=""),0,tblMovement[[#This Row],[Tonnes_t]]*tblMovement[[#This Row],[Grade_gpt]]/cfg_TroyOz)</f>
        <v/>
      </c>
      <c r="O2892" s="59">
        <f>IF(tblMovement[[#This Row],[Is_Ore]]=1,tblMovement[[#This Row],[Contained_oz]],0)</f>
        <v/>
      </c>
    </row>
    <row r="2893">
      <c r="A2893" s="54" t="n"/>
      <c r="B2893" s="61" t="n"/>
      <c r="C2893" s="61" t="n"/>
      <c r="D2893" s="61" t="n"/>
      <c r="E2893" s="61" t="n"/>
      <c r="F2893" s="55" t="n"/>
      <c r="G2893" s="56" t="n"/>
      <c r="H2893" s="55" t="n"/>
      <c r="I2893" s="62" t="n"/>
      <c r="J2893" s="58" t="n"/>
      <c r="K2893" s="63">
        <f>IF(tblMovement[[#This Row],[Source]]="","",IFERROR(INDEX(tblSources[Type],MATCH(tblMovement[[#This Row],[Source]],tblSources[Source],0)),"?"))</f>
        <v/>
      </c>
      <c r="L2893" s="63">
        <f>IF(tblMovement[[#This Row],[Destination]]="","",IFERROR(INDEX(tblDestinations[Type],MATCH(tblMovement[[#This Row],[Destination]],tblDestinations[Destination],0)),"?"))</f>
        <v/>
      </c>
      <c r="M2893" s="64">
        <f>IF(tblMovement[[#This Row],[Material]]="","",IF(LEFT(tblMovement[[#This Row],[Material]],3)="Ore",1,0))</f>
        <v/>
      </c>
      <c r="N2893" s="59">
        <f>IF(OR(tblMovement[[#This Row],[Tonnes_t]]="",tblMovement[[#This Row],[Grade_gpt]]=""),0,tblMovement[[#This Row],[Tonnes_t]]*tblMovement[[#This Row],[Grade_gpt]]/cfg_TroyOz)</f>
        <v/>
      </c>
      <c r="O2893" s="59">
        <f>IF(tblMovement[[#This Row],[Is_Ore]]=1,tblMovement[[#This Row],[Contained_oz]],0)</f>
        <v/>
      </c>
    </row>
    <row r="2894">
      <c r="A2894" s="54" t="n"/>
      <c r="B2894" s="61" t="n"/>
      <c r="C2894" s="61" t="n"/>
      <c r="D2894" s="61" t="n"/>
      <c r="E2894" s="61" t="n"/>
      <c r="F2894" s="55" t="n"/>
      <c r="G2894" s="56" t="n"/>
      <c r="H2894" s="55" t="n"/>
      <c r="I2894" s="62" t="n"/>
      <c r="J2894" s="58" t="n"/>
      <c r="K2894" s="63">
        <f>IF(tblMovement[[#This Row],[Source]]="","",IFERROR(INDEX(tblSources[Type],MATCH(tblMovement[[#This Row],[Source]],tblSources[Source],0)),"?"))</f>
        <v/>
      </c>
      <c r="L2894" s="63">
        <f>IF(tblMovement[[#This Row],[Destination]]="","",IFERROR(INDEX(tblDestinations[Type],MATCH(tblMovement[[#This Row],[Destination]],tblDestinations[Destination],0)),"?"))</f>
        <v/>
      </c>
      <c r="M2894" s="64">
        <f>IF(tblMovement[[#This Row],[Material]]="","",IF(LEFT(tblMovement[[#This Row],[Material]],3)="Ore",1,0))</f>
        <v/>
      </c>
      <c r="N2894" s="59">
        <f>IF(OR(tblMovement[[#This Row],[Tonnes_t]]="",tblMovement[[#This Row],[Grade_gpt]]=""),0,tblMovement[[#This Row],[Tonnes_t]]*tblMovement[[#This Row],[Grade_gpt]]/cfg_TroyOz)</f>
        <v/>
      </c>
      <c r="O2894" s="59">
        <f>IF(tblMovement[[#This Row],[Is_Ore]]=1,tblMovement[[#This Row],[Contained_oz]],0)</f>
        <v/>
      </c>
    </row>
    <row r="2895">
      <c r="A2895" s="54" t="n"/>
      <c r="B2895" s="61" t="n"/>
      <c r="C2895" s="61" t="n"/>
      <c r="D2895" s="61" t="n"/>
      <c r="E2895" s="61" t="n"/>
      <c r="F2895" s="55" t="n"/>
      <c r="G2895" s="56" t="n"/>
      <c r="H2895" s="55" t="n"/>
      <c r="I2895" s="62" t="n"/>
      <c r="J2895" s="58" t="n"/>
      <c r="K2895" s="63">
        <f>IF(tblMovement[[#This Row],[Source]]="","",IFERROR(INDEX(tblSources[Type],MATCH(tblMovement[[#This Row],[Source]],tblSources[Source],0)),"?"))</f>
        <v/>
      </c>
      <c r="L2895" s="63">
        <f>IF(tblMovement[[#This Row],[Destination]]="","",IFERROR(INDEX(tblDestinations[Type],MATCH(tblMovement[[#This Row],[Destination]],tblDestinations[Destination],0)),"?"))</f>
        <v/>
      </c>
      <c r="M2895" s="64">
        <f>IF(tblMovement[[#This Row],[Material]]="","",IF(LEFT(tblMovement[[#This Row],[Material]],3)="Ore",1,0))</f>
        <v/>
      </c>
      <c r="N2895" s="59">
        <f>IF(OR(tblMovement[[#This Row],[Tonnes_t]]="",tblMovement[[#This Row],[Grade_gpt]]=""),0,tblMovement[[#This Row],[Tonnes_t]]*tblMovement[[#This Row],[Grade_gpt]]/cfg_TroyOz)</f>
        <v/>
      </c>
      <c r="O2895" s="59">
        <f>IF(tblMovement[[#This Row],[Is_Ore]]=1,tblMovement[[#This Row],[Contained_oz]],0)</f>
        <v/>
      </c>
    </row>
    <row r="2896">
      <c r="A2896" s="54" t="n"/>
      <c r="B2896" s="61" t="n"/>
      <c r="C2896" s="61" t="n"/>
      <c r="D2896" s="61" t="n"/>
      <c r="E2896" s="61" t="n"/>
      <c r="F2896" s="55" t="n"/>
      <c r="G2896" s="56" t="n"/>
      <c r="H2896" s="55" t="n"/>
      <c r="I2896" s="62" t="n"/>
      <c r="J2896" s="58" t="n"/>
      <c r="K2896" s="63">
        <f>IF(tblMovement[[#This Row],[Source]]="","",IFERROR(INDEX(tblSources[Type],MATCH(tblMovement[[#This Row],[Source]],tblSources[Source],0)),"?"))</f>
        <v/>
      </c>
      <c r="L2896" s="63">
        <f>IF(tblMovement[[#This Row],[Destination]]="","",IFERROR(INDEX(tblDestinations[Type],MATCH(tblMovement[[#This Row],[Destination]],tblDestinations[Destination],0)),"?"))</f>
        <v/>
      </c>
      <c r="M2896" s="64">
        <f>IF(tblMovement[[#This Row],[Material]]="","",IF(LEFT(tblMovement[[#This Row],[Material]],3)="Ore",1,0))</f>
        <v/>
      </c>
      <c r="N2896" s="59">
        <f>IF(OR(tblMovement[[#This Row],[Tonnes_t]]="",tblMovement[[#This Row],[Grade_gpt]]=""),0,tblMovement[[#This Row],[Tonnes_t]]*tblMovement[[#This Row],[Grade_gpt]]/cfg_TroyOz)</f>
        <v/>
      </c>
      <c r="O2896" s="59">
        <f>IF(tblMovement[[#This Row],[Is_Ore]]=1,tblMovement[[#This Row],[Contained_oz]],0)</f>
        <v/>
      </c>
    </row>
    <row r="2897">
      <c r="A2897" s="54" t="n"/>
      <c r="B2897" s="61" t="n"/>
      <c r="C2897" s="61" t="n"/>
      <c r="D2897" s="61" t="n"/>
      <c r="E2897" s="61" t="n"/>
      <c r="F2897" s="55" t="n"/>
      <c r="G2897" s="56" t="n"/>
      <c r="H2897" s="55" t="n"/>
      <c r="I2897" s="62" t="n"/>
      <c r="J2897" s="58" t="n"/>
      <c r="K2897" s="63">
        <f>IF(tblMovement[[#This Row],[Source]]="","",IFERROR(INDEX(tblSources[Type],MATCH(tblMovement[[#This Row],[Source]],tblSources[Source],0)),"?"))</f>
        <v/>
      </c>
      <c r="L2897" s="63">
        <f>IF(tblMovement[[#This Row],[Destination]]="","",IFERROR(INDEX(tblDestinations[Type],MATCH(tblMovement[[#This Row],[Destination]],tblDestinations[Destination],0)),"?"))</f>
        <v/>
      </c>
      <c r="M2897" s="64">
        <f>IF(tblMovement[[#This Row],[Material]]="","",IF(LEFT(tblMovement[[#This Row],[Material]],3)="Ore",1,0))</f>
        <v/>
      </c>
      <c r="N2897" s="59">
        <f>IF(OR(tblMovement[[#This Row],[Tonnes_t]]="",tblMovement[[#This Row],[Grade_gpt]]=""),0,tblMovement[[#This Row],[Tonnes_t]]*tblMovement[[#This Row],[Grade_gpt]]/cfg_TroyOz)</f>
        <v/>
      </c>
      <c r="O2897" s="59">
        <f>IF(tblMovement[[#This Row],[Is_Ore]]=1,tblMovement[[#This Row],[Contained_oz]],0)</f>
        <v/>
      </c>
    </row>
    <row r="2898">
      <c r="A2898" s="54" t="n"/>
      <c r="B2898" s="61" t="n"/>
      <c r="C2898" s="61" t="n"/>
      <c r="D2898" s="61" t="n"/>
      <c r="E2898" s="61" t="n"/>
      <c r="F2898" s="55" t="n"/>
      <c r="G2898" s="56" t="n"/>
      <c r="H2898" s="55" t="n"/>
      <c r="I2898" s="62" t="n"/>
      <c r="J2898" s="58" t="n"/>
      <c r="K2898" s="63">
        <f>IF(tblMovement[[#This Row],[Source]]="","",IFERROR(INDEX(tblSources[Type],MATCH(tblMovement[[#This Row],[Source]],tblSources[Source],0)),"?"))</f>
        <v/>
      </c>
      <c r="L2898" s="63">
        <f>IF(tblMovement[[#This Row],[Destination]]="","",IFERROR(INDEX(tblDestinations[Type],MATCH(tblMovement[[#This Row],[Destination]],tblDestinations[Destination],0)),"?"))</f>
        <v/>
      </c>
      <c r="M2898" s="64">
        <f>IF(tblMovement[[#This Row],[Material]]="","",IF(LEFT(tblMovement[[#This Row],[Material]],3)="Ore",1,0))</f>
        <v/>
      </c>
      <c r="N2898" s="59">
        <f>IF(OR(tblMovement[[#This Row],[Tonnes_t]]="",tblMovement[[#This Row],[Grade_gpt]]=""),0,tblMovement[[#This Row],[Tonnes_t]]*tblMovement[[#This Row],[Grade_gpt]]/cfg_TroyOz)</f>
        <v/>
      </c>
      <c r="O2898" s="59">
        <f>IF(tblMovement[[#This Row],[Is_Ore]]=1,tblMovement[[#This Row],[Contained_oz]],0)</f>
        <v/>
      </c>
    </row>
    <row r="2899">
      <c r="A2899" s="54" t="n"/>
      <c r="B2899" s="61" t="n"/>
      <c r="C2899" s="61" t="n"/>
      <c r="D2899" s="61" t="n"/>
      <c r="E2899" s="61" t="n"/>
      <c r="F2899" s="55" t="n"/>
      <c r="G2899" s="56" t="n"/>
      <c r="H2899" s="55" t="n"/>
      <c r="I2899" s="62" t="n"/>
      <c r="J2899" s="58" t="n"/>
      <c r="K2899" s="63">
        <f>IF(tblMovement[[#This Row],[Source]]="","",IFERROR(INDEX(tblSources[Type],MATCH(tblMovement[[#This Row],[Source]],tblSources[Source],0)),"?"))</f>
        <v/>
      </c>
      <c r="L2899" s="63">
        <f>IF(tblMovement[[#This Row],[Destination]]="","",IFERROR(INDEX(tblDestinations[Type],MATCH(tblMovement[[#This Row],[Destination]],tblDestinations[Destination],0)),"?"))</f>
        <v/>
      </c>
      <c r="M2899" s="64">
        <f>IF(tblMovement[[#This Row],[Material]]="","",IF(LEFT(tblMovement[[#This Row],[Material]],3)="Ore",1,0))</f>
        <v/>
      </c>
      <c r="N2899" s="59">
        <f>IF(OR(tblMovement[[#This Row],[Tonnes_t]]="",tblMovement[[#This Row],[Grade_gpt]]=""),0,tblMovement[[#This Row],[Tonnes_t]]*tblMovement[[#This Row],[Grade_gpt]]/cfg_TroyOz)</f>
        <v/>
      </c>
      <c r="O2899" s="59">
        <f>IF(tblMovement[[#This Row],[Is_Ore]]=1,tblMovement[[#This Row],[Contained_oz]],0)</f>
        <v/>
      </c>
    </row>
    <row r="2900">
      <c r="A2900" s="54" t="n"/>
      <c r="B2900" s="61" t="n"/>
      <c r="C2900" s="61" t="n"/>
      <c r="D2900" s="61" t="n"/>
      <c r="E2900" s="61" t="n"/>
      <c r="F2900" s="55" t="n"/>
      <c r="G2900" s="56" t="n"/>
      <c r="H2900" s="55" t="n"/>
      <c r="I2900" s="62" t="n"/>
      <c r="J2900" s="58" t="n"/>
      <c r="K2900" s="63">
        <f>IF(tblMovement[[#This Row],[Source]]="","",IFERROR(INDEX(tblSources[Type],MATCH(tblMovement[[#This Row],[Source]],tblSources[Source],0)),"?"))</f>
        <v/>
      </c>
      <c r="L2900" s="63">
        <f>IF(tblMovement[[#This Row],[Destination]]="","",IFERROR(INDEX(tblDestinations[Type],MATCH(tblMovement[[#This Row],[Destination]],tblDestinations[Destination],0)),"?"))</f>
        <v/>
      </c>
      <c r="M2900" s="64">
        <f>IF(tblMovement[[#This Row],[Material]]="","",IF(LEFT(tblMovement[[#This Row],[Material]],3)="Ore",1,0))</f>
        <v/>
      </c>
      <c r="N2900" s="59">
        <f>IF(OR(tblMovement[[#This Row],[Tonnes_t]]="",tblMovement[[#This Row],[Grade_gpt]]=""),0,tblMovement[[#This Row],[Tonnes_t]]*tblMovement[[#This Row],[Grade_gpt]]/cfg_TroyOz)</f>
        <v/>
      </c>
      <c r="O2900" s="59">
        <f>IF(tblMovement[[#This Row],[Is_Ore]]=1,tblMovement[[#This Row],[Contained_oz]],0)</f>
        <v/>
      </c>
    </row>
    <row r="2901">
      <c r="A2901" s="54" t="n"/>
      <c r="B2901" s="61" t="n"/>
      <c r="C2901" s="61" t="n"/>
      <c r="D2901" s="61" t="n"/>
      <c r="E2901" s="61" t="n"/>
      <c r="F2901" s="55" t="n"/>
      <c r="G2901" s="56" t="n"/>
      <c r="H2901" s="55" t="n"/>
      <c r="I2901" s="62" t="n"/>
      <c r="J2901" s="58" t="n"/>
      <c r="K2901" s="63">
        <f>IF(tblMovement[[#This Row],[Source]]="","",IFERROR(INDEX(tblSources[Type],MATCH(tblMovement[[#This Row],[Source]],tblSources[Source],0)),"?"))</f>
        <v/>
      </c>
      <c r="L2901" s="63">
        <f>IF(tblMovement[[#This Row],[Destination]]="","",IFERROR(INDEX(tblDestinations[Type],MATCH(tblMovement[[#This Row],[Destination]],tblDestinations[Destination],0)),"?"))</f>
        <v/>
      </c>
      <c r="M2901" s="64">
        <f>IF(tblMovement[[#This Row],[Material]]="","",IF(LEFT(tblMovement[[#This Row],[Material]],3)="Ore",1,0))</f>
        <v/>
      </c>
      <c r="N2901" s="59">
        <f>IF(OR(tblMovement[[#This Row],[Tonnes_t]]="",tblMovement[[#This Row],[Grade_gpt]]=""),0,tblMovement[[#This Row],[Tonnes_t]]*tblMovement[[#This Row],[Grade_gpt]]/cfg_TroyOz)</f>
        <v/>
      </c>
      <c r="O2901" s="59">
        <f>IF(tblMovement[[#This Row],[Is_Ore]]=1,tblMovement[[#This Row],[Contained_oz]],0)</f>
        <v/>
      </c>
    </row>
    <row r="2902">
      <c r="A2902" s="54" t="n"/>
      <c r="B2902" s="61" t="n"/>
      <c r="C2902" s="61" t="n"/>
      <c r="D2902" s="61" t="n"/>
      <c r="E2902" s="61" t="n"/>
      <c r="F2902" s="55" t="n"/>
      <c r="G2902" s="56" t="n"/>
      <c r="H2902" s="55" t="n"/>
      <c r="I2902" s="62" t="n"/>
      <c r="J2902" s="58" t="n"/>
      <c r="K2902" s="63">
        <f>IF(tblMovement[[#This Row],[Source]]="","",IFERROR(INDEX(tblSources[Type],MATCH(tblMovement[[#This Row],[Source]],tblSources[Source],0)),"?"))</f>
        <v/>
      </c>
      <c r="L2902" s="63">
        <f>IF(tblMovement[[#This Row],[Destination]]="","",IFERROR(INDEX(tblDestinations[Type],MATCH(tblMovement[[#This Row],[Destination]],tblDestinations[Destination],0)),"?"))</f>
        <v/>
      </c>
      <c r="M2902" s="64">
        <f>IF(tblMovement[[#This Row],[Material]]="","",IF(LEFT(tblMovement[[#This Row],[Material]],3)="Ore",1,0))</f>
        <v/>
      </c>
      <c r="N2902" s="59">
        <f>IF(OR(tblMovement[[#This Row],[Tonnes_t]]="",tblMovement[[#This Row],[Grade_gpt]]=""),0,tblMovement[[#This Row],[Tonnes_t]]*tblMovement[[#This Row],[Grade_gpt]]/cfg_TroyOz)</f>
        <v/>
      </c>
      <c r="O2902" s="59">
        <f>IF(tblMovement[[#This Row],[Is_Ore]]=1,tblMovement[[#This Row],[Contained_oz]],0)</f>
        <v/>
      </c>
    </row>
    <row r="2903">
      <c r="A2903" s="54" t="n"/>
      <c r="B2903" s="61" t="n"/>
      <c r="C2903" s="61" t="n"/>
      <c r="D2903" s="61" t="n"/>
      <c r="E2903" s="61" t="n"/>
      <c r="F2903" s="55" t="n"/>
      <c r="G2903" s="56" t="n"/>
      <c r="H2903" s="55" t="n"/>
      <c r="I2903" s="62" t="n"/>
      <c r="J2903" s="58" t="n"/>
      <c r="K2903" s="63">
        <f>IF(tblMovement[[#This Row],[Source]]="","",IFERROR(INDEX(tblSources[Type],MATCH(tblMovement[[#This Row],[Source]],tblSources[Source],0)),"?"))</f>
        <v/>
      </c>
      <c r="L2903" s="63">
        <f>IF(tblMovement[[#This Row],[Destination]]="","",IFERROR(INDEX(tblDestinations[Type],MATCH(tblMovement[[#This Row],[Destination]],tblDestinations[Destination],0)),"?"))</f>
        <v/>
      </c>
      <c r="M2903" s="64">
        <f>IF(tblMovement[[#This Row],[Material]]="","",IF(LEFT(tblMovement[[#This Row],[Material]],3)="Ore",1,0))</f>
        <v/>
      </c>
      <c r="N2903" s="59">
        <f>IF(OR(tblMovement[[#This Row],[Tonnes_t]]="",tblMovement[[#This Row],[Grade_gpt]]=""),0,tblMovement[[#This Row],[Tonnes_t]]*tblMovement[[#This Row],[Grade_gpt]]/cfg_TroyOz)</f>
        <v/>
      </c>
      <c r="O2903" s="59">
        <f>IF(tblMovement[[#This Row],[Is_Ore]]=1,tblMovement[[#This Row],[Contained_oz]],0)</f>
        <v/>
      </c>
    </row>
    <row r="2904">
      <c r="A2904" s="54" t="n"/>
      <c r="B2904" s="61" t="n"/>
      <c r="C2904" s="61" t="n"/>
      <c r="D2904" s="61" t="n"/>
      <c r="E2904" s="61" t="n"/>
      <c r="F2904" s="55" t="n"/>
      <c r="G2904" s="56" t="n"/>
      <c r="H2904" s="55" t="n"/>
      <c r="I2904" s="62" t="n"/>
      <c r="J2904" s="58" t="n"/>
      <c r="K2904" s="63">
        <f>IF(tblMovement[[#This Row],[Source]]="","",IFERROR(INDEX(tblSources[Type],MATCH(tblMovement[[#This Row],[Source]],tblSources[Source],0)),"?"))</f>
        <v/>
      </c>
      <c r="L2904" s="63">
        <f>IF(tblMovement[[#This Row],[Destination]]="","",IFERROR(INDEX(tblDestinations[Type],MATCH(tblMovement[[#This Row],[Destination]],tblDestinations[Destination],0)),"?"))</f>
        <v/>
      </c>
      <c r="M2904" s="64">
        <f>IF(tblMovement[[#This Row],[Material]]="","",IF(LEFT(tblMovement[[#This Row],[Material]],3)="Ore",1,0))</f>
        <v/>
      </c>
      <c r="N2904" s="59">
        <f>IF(OR(tblMovement[[#This Row],[Tonnes_t]]="",tblMovement[[#This Row],[Grade_gpt]]=""),0,tblMovement[[#This Row],[Tonnes_t]]*tblMovement[[#This Row],[Grade_gpt]]/cfg_TroyOz)</f>
        <v/>
      </c>
      <c r="O2904" s="59">
        <f>IF(tblMovement[[#This Row],[Is_Ore]]=1,tblMovement[[#This Row],[Contained_oz]],0)</f>
        <v/>
      </c>
    </row>
    <row r="2905">
      <c r="A2905" s="54" t="n"/>
      <c r="B2905" s="61" t="n"/>
      <c r="C2905" s="61" t="n"/>
      <c r="D2905" s="61" t="n"/>
      <c r="E2905" s="61" t="n"/>
      <c r="F2905" s="55" t="n"/>
      <c r="G2905" s="56" t="n"/>
      <c r="H2905" s="55" t="n"/>
      <c r="I2905" s="62" t="n"/>
      <c r="J2905" s="58" t="n"/>
      <c r="K2905" s="63">
        <f>IF(tblMovement[[#This Row],[Source]]="","",IFERROR(INDEX(tblSources[Type],MATCH(tblMovement[[#This Row],[Source]],tblSources[Source],0)),"?"))</f>
        <v/>
      </c>
      <c r="L2905" s="63">
        <f>IF(tblMovement[[#This Row],[Destination]]="","",IFERROR(INDEX(tblDestinations[Type],MATCH(tblMovement[[#This Row],[Destination]],tblDestinations[Destination],0)),"?"))</f>
        <v/>
      </c>
      <c r="M2905" s="64">
        <f>IF(tblMovement[[#This Row],[Material]]="","",IF(LEFT(tblMovement[[#This Row],[Material]],3)="Ore",1,0))</f>
        <v/>
      </c>
      <c r="N2905" s="59">
        <f>IF(OR(tblMovement[[#This Row],[Tonnes_t]]="",tblMovement[[#This Row],[Grade_gpt]]=""),0,tblMovement[[#This Row],[Tonnes_t]]*tblMovement[[#This Row],[Grade_gpt]]/cfg_TroyOz)</f>
        <v/>
      </c>
      <c r="O2905" s="59">
        <f>IF(tblMovement[[#This Row],[Is_Ore]]=1,tblMovement[[#This Row],[Contained_oz]],0)</f>
        <v/>
      </c>
    </row>
    <row r="2906">
      <c r="A2906" s="54" t="n"/>
      <c r="B2906" s="61" t="n"/>
      <c r="C2906" s="61" t="n"/>
      <c r="D2906" s="61" t="n"/>
      <c r="E2906" s="61" t="n"/>
      <c r="F2906" s="55" t="n"/>
      <c r="G2906" s="56" t="n"/>
      <c r="H2906" s="55" t="n"/>
      <c r="I2906" s="62" t="n"/>
      <c r="J2906" s="58" t="n"/>
      <c r="K2906" s="63">
        <f>IF(tblMovement[[#This Row],[Source]]="","",IFERROR(INDEX(tblSources[Type],MATCH(tblMovement[[#This Row],[Source]],tblSources[Source],0)),"?"))</f>
        <v/>
      </c>
      <c r="L2906" s="63">
        <f>IF(tblMovement[[#This Row],[Destination]]="","",IFERROR(INDEX(tblDestinations[Type],MATCH(tblMovement[[#This Row],[Destination]],tblDestinations[Destination],0)),"?"))</f>
        <v/>
      </c>
      <c r="M2906" s="64">
        <f>IF(tblMovement[[#This Row],[Material]]="","",IF(LEFT(tblMovement[[#This Row],[Material]],3)="Ore",1,0))</f>
        <v/>
      </c>
      <c r="N2906" s="59">
        <f>IF(OR(tblMovement[[#This Row],[Tonnes_t]]="",tblMovement[[#This Row],[Grade_gpt]]=""),0,tblMovement[[#This Row],[Tonnes_t]]*tblMovement[[#This Row],[Grade_gpt]]/cfg_TroyOz)</f>
        <v/>
      </c>
      <c r="O2906" s="59">
        <f>IF(tblMovement[[#This Row],[Is_Ore]]=1,tblMovement[[#This Row],[Contained_oz]],0)</f>
        <v/>
      </c>
    </row>
    <row r="2907">
      <c r="A2907" s="54" t="n"/>
      <c r="B2907" s="61" t="n"/>
      <c r="C2907" s="61" t="n"/>
      <c r="D2907" s="61" t="n"/>
      <c r="E2907" s="61" t="n"/>
      <c r="F2907" s="55" t="n"/>
      <c r="G2907" s="56" t="n"/>
      <c r="H2907" s="55" t="n"/>
      <c r="I2907" s="62" t="n"/>
      <c r="J2907" s="58" t="n"/>
      <c r="K2907" s="63">
        <f>IF(tblMovement[[#This Row],[Source]]="","",IFERROR(INDEX(tblSources[Type],MATCH(tblMovement[[#This Row],[Source]],tblSources[Source],0)),"?"))</f>
        <v/>
      </c>
      <c r="L2907" s="63">
        <f>IF(tblMovement[[#This Row],[Destination]]="","",IFERROR(INDEX(tblDestinations[Type],MATCH(tblMovement[[#This Row],[Destination]],tblDestinations[Destination],0)),"?"))</f>
        <v/>
      </c>
      <c r="M2907" s="64">
        <f>IF(tblMovement[[#This Row],[Material]]="","",IF(LEFT(tblMovement[[#This Row],[Material]],3)="Ore",1,0))</f>
        <v/>
      </c>
      <c r="N2907" s="59">
        <f>IF(OR(tblMovement[[#This Row],[Tonnes_t]]="",tblMovement[[#This Row],[Grade_gpt]]=""),0,tblMovement[[#This Row],[Tonnes_t]]*tblMovement[[#This Row],[Grade_gpt]]/cfg_TroyOz)</f>
        <v/>
      </c>
      <c r="O2907" s="59">
        <f>IF(tblMovement[[#This Row],[Is_Ore]]=1,tblMovement[[#This Row],[Contained_oz]],0)</f>
        <v/>
      </c>
    </row>
    <row r="2908">
      <c r="A2908" s="54" t="n"/>
      <c r="B2908" s="61" t="n"/>
      <c r="C2908" s="61" t="n"/>
      <c r="D2908" s="61" t="n"/>
      <c r="E2908" s="61" t="n"/>
      <c r="F2908" s="55" t="n"/>
      <c r="G2908" s="56" t="n"/>
      <c r="H2908" s="55" t="n"/>
      <c r="I2908" s="62" t="n"/>
      <c r="J2908" s="58" t="n"/>
      <c r="K2908" s="63">
        <f>IF(tblMovement[[#This Row],[Source]]="","",IFERROR(INDEX(tblSources[Type],MATCH(tblMovement[[#This Row],[Source]],tblSources[Source],0)),"?"))</f>
        <v/>
      </c>
      <c r="L2908" s="63">
        <f>IF(tblMovement[[#This Row],[Destination]]="","",IFERROR(INDEX(tblDestinations[Type],MATCH(tblMovement[[#This Row],[Destination]],tblDestinations[Destination],0)),"?"))</f>
        <v/>
      </c>
      <c r="M2908" s="64">
        <f>IF(tblMovement[[#This Row],[Material]]="","",IF(LEFT(tblMovement[[#This Row],[Material]],3)="Ore",1,0))</f>
        <v/>
      </c>
      <c r="N2908" s="59">
        <f>IF(OR(tblMovement[[#This Row],[Tonnes_t]]="",tblMovement[[#This Row],[Grade_gpt]]=""),0,tblMovement[[#This Row],[Tonnes_t]]*tblMovement[[#This Row],[Grade_gpt]]/cfg_TroyOz)</f>
        <v/>
      </c>
      <c r="O2908" s="59">
        <f>IF(tblMovement[[#This Row],[Is_Ore]]=1,tblMovement[[#This Row],[Contained_oz]],0)</f>
        <v/>
      </c>
    </row>
    <row r="2909">
      <c r="A2909" s="54" t="n"/>
      <c r="B2909" s="61" t="n"/>
      <c r="C2909" s="61" t="n"/>
      <c r="D2909" s="61" t="n"/>
      <c r="E2909" s="61" t="n"/>
      <c r="F2909" s="55" t="n"/>
      <c r="G2909" s="56" t="n"/>
      <c r="H2909" s="55" t="n"/>
      <c r="I2909" s="62" t="n"/>
      <c r="J2909" s="58" t="n"/>
      <c r="K2909" s="63">
        <f>IF(tblMovement[[#This Row],[Source]]="","",IFERROR(INDEX(tblSources[Type],MATCH(tblMovement[[#This Row],[Source]],tblSources[Source],0)),"?"))</f>
        <v/>
      </c>
      <c r="L2909" s="63">
        <f>IF(tblMovement[[#This Row],[Destination]]="","",IFERROR(INDEX(tblDestinations[Type],MATCH(tblMovement[[#This Row],[Destination]],tblDestinations[Destination],0)),"?"))</f>
        <v/>
      </c>
      <c r="M2909" s="64">
        <f>IF(tblMovement[[#This Row],[Material]]="","",IF(LEFT(tblMovement[[#This Row],[Material]],3)="Ore",1,0))</f>
        <v/>
      </c>
      <c r="N2909" s="59">
        <f>IF(OR(tblMovement[[#This Row],[Tonnes_t]]="",tblMovement[[#This Row],[Grade_gpt]]=""),0,tblMovement[[#This Row],[Tonnes_t]]*tblMovement[[#This Row],[Grade_gpt]]/cfg_TroyOz)</f>
        <v/>
      </c>
      <c r="O2909" s="59">
        <f>IF(tblMovement[[#This Row],[Is_Ore]]=1,tblMovement[[#This Row],[Contained_oz]],0)</f>
        <v/>
      </c>
    </row>
    <row r="2910">
      <c r="A2910" s="54" t="n"/>
      <c r="B2910" s="61" t="n"/>
      <c r="C2910" s="61" t="n"/>
      <c r="D2910" s="61" t="n"/>
      <c r="E2910" s="61" t="n"/>
      <c r="F2910" s="55" t="n"/>
      <c r="G2910" s="56" t="n"/>
      <c r="H2910" s="55" t="n"/>
      <c r="I2910" s="62" t="n"/>
      <c r="J2910" s="58" t="n"/>
      <c r="K2910" s="63">
        <f>IF(tblMovement[[#This Row],[Source]]="","",IFERROR(INDEX(tblSources[Type],MATCH(tblMovement[[#This Row],[Source]],tblSources[Source],0)),"?"))</f>
        <v/>
      </c>
      <c r="L2910" s="63">
        <f>IF(tblMovement[[#This Row],[Destination]]="","",IFERROR(INDEX(tblDestinations[Type],MATCH(tblMovement[[#This Row],[Destination]],tblDestinations[Destination],0)),"?"))</f>
        <v/>
      </c>
      <c r="M2910" s="64">
        <f>IF(tblMovement[[#This Row],[Material]]="","",IF(LEFT(tblMovement[[#This Row],[Material]],3)="Ore",1,0))</f>
        <v/>
      </c>
      <c r="N2910" s="59">
        <f>IF(OR(tblMovement[[#This Row],[Tonnes_t]]="",tblMovement[[#This Row],[Grade_gpt]]=""),0,tblMovement[[#This Row],[Tonnes_t]]*tblMovement[[#This Row],[Grade_gpt]]/cfg_TroyOz)</f>
        <v/>
      </c>
      <c r="O2910" s="59">
        <f>IF(tblMovement[[#This Row],[Is_Ore]]=1,tblMovement[[#This Row],[Contained_oz]],0)</f>
        <v/>
      </c>
    </row>
    <row r="2911">
      <c r="A2911" s="54" t="n"/>
      <c r="B2911" s="61" t="n"/>
      <c r="C2911" s="61" t="n"/>
      <c r="D2911" s="61" t="n"/>
      <c r="E2911" s="61" t="n"/>
      <c r="F2911" s="55" t="n"/>
      <c r="G2911" s="56" t="n"/>
      <c r="H2911" s="55" t="n"/>
      <c r="I2911" s="62" t="n"/>
      <c r="J2911" s="58" t="n"/>
      <c r="K2911" s="63">
        <f>IF(tblMovement[[#This Row],[Source]]="","",IFERROR(INDEX(tblSources[Type],MATCH(tblMovement[[#This Row],[Source]],tblSources[Source],0)),"?"))</f>
        <v/>
      </c>
      <c r="L2911" s="63">
        <f>IF(tblMovement[[#This Row],[Destination]]="","",IFERROR(INDEX(tblDestinations[Type],MATCH(tblMovement[[#This Row],[Destination]],tblDestinations[Destination],0)),"?"))</f>
        <v/>
      </c>
      <c r="M2911" s="64">
        <f>IF(tblMovement[[#This Row],[Material]]="","",IF(LEFT(tblMovement[[#This Row],[Material]],3)="Ore",1,0))</f>
        <v/>
      </c>
      <c r="N2911" s="59">
        <f>IF(OR(tblMovement[[#This Row],[Tonnes_t]]="",tblMovement[[#This Row],[Grade_gpt]]=""),0,tblMovement[[#This Row],[Tonnes_t]]*tblMovement[[#This Row],[Grade_gpt]]/cfg_TroyOz)</f>
        <v/>
      </c>
      <c r="O2911" s="59">
        <f>IF(tblMovement[[#This Row],[Is_Ore]]=1,tblMovement[[#This Row],[Contained_oz]],0)</f>
        <v/>
      </c>
    </row>
    <row r="2912">
      <c r="A2912" s="54" t="n"/>
      <c r="B2912" s="61" t="n"/>
      <c r="C2912" s="61" t="n"/>
      <c r="D2912" s="61" t="n"/>
      <c r="E2912" s="61" t="n"/>
      <c r="F2912" s="55" t="n"/>
      <c r="G2912" s="56" t="n"/>
      <c r="H2912" s="55" t="n"/>
      <c r="I2912" s="62" t="n"/>
      <c r="J2912" s="58" t="n"/>
      <c r="K2912" s="63">
        <f>IF(tblMovement[[#This Row],[Source]]="","",IFERROR(INDEX(tblSources[Type],MATCH(tblMovement[[#This Row],[Source]],tblSources[Source],0)),"?"))</f>
        <v/>
      </c>
      <c r="L2912" s="63">
        <f>IF(tblMovement[[#This Row],[Destination]]="","",IFERROR(INDEX(tblDestinations[Type],MATCH(tblMovement[[#This Row],[Destination]],tblDestinations[Destination],0)),"?"))</f>
        <v/>
      </c>
      <c r="M2912" s="64">
        <f>IF(tblMovement[[#This Row],[Material]]="","",IF(LEFT(tblMovement[[#This Row],[Material]],3)="Ore",1,0))</f>
        <v/>
      </c>
      <c r="N2912" s="59">
        <f>IF(OR(tblMovement[[#This Row],[Tonnes_t]]="",tblMovement[[#This Row],[Grade_gpt]]=""),0,tblMovement[[#This Row],[Tonnes_t]]*tblMovement[[#This Row],[Grade_gpt]]/cfg_TroyOz)</f>
        <v/>
      </c>
      <c r="O2912" s="59">
        <f>IF(tblMovement[[#This Row],[Is_Ore]]=1,tblMovement[[#This Row],[Contained_oz]],0)</f>
        <v/>
      </c>
    </row>
    <row r="2913">
      <c r="A2913" s="54" t="n"/>
      <c r="B2913" s="61" t="n"/>
      <c r="C2913" s="61" t="n"/>
      <c r="D2913" s="61" t="n"/>
      <c r="E2913" s="61" t="n"/>
      <c r="F2913" s="55" t="n"/>
      <c r="G2913" s="56" t="n"/>
      <c r="H2913" s="55" t="n"/>
      <c r="I2913" s="62" t="n"/>
      <c r="J2913" s="58" t="n"/>
      <c r="K2913" s="63">
        <f>IF(tblMovement[[#This Row],[Source]]="","",IFERROR(INDEX(tblSources[Type],MATCH(tblMovement[[#This Row],[Source]],tblSources[Source],0)),"?"))</f>
        <v/>
      </c>
      <c r="L2913" s="63">
        <f>IF(tblMovement[[#This Row],[Destination]]="","",IFERROR(INDEX(tblDestinations[Type],MATCH(tblMovement[[#This Row],[Destination]],tblDestinations[Destination],0)),"?"))</f>
        <v/>
      </c>
      <c r="M2913" s="64">
        <f>IF(tblMovement[[#This Row],[Material]]="","",IF(LEFT(tblMovement[[#This Row],[Material]],3)="Ore",1,0))</f>
        <v/>
      </c>
      <c r="N2913" s="59">
        <f>IF(OR(tblMovement[[#This Row],[Tonnes_t]]="",tblMovement[[#This Row],[Grade_gpt]]=""),0,tblMovement[[#This Row],[Tonnes_t]]*tblMovement[[#This Row],[Grade_gpt]]/cfg_TroyOz)</f>
        <v/>
      </c>
      <c r="O2913" s="59">
        <f>IF(tblMovement[[#This Row],[Is_Ore]]=1,tblMovement[[#This Row],[Contained_oz]],0)</f>
        <v/>
      </c>
    </row>
    <row r="2914">
      <c r="A2914" s="54" t="n"/>
      <c r="B2914" s="61" t="n"/>
      <c r="C2914" s="61" t="n"/>
      <c r="D2914" s="61" t="n"/>
      <c r="E2914" s="61" t="n"/>
      <c r="F2914" s="55" t="n"/>
      <c r="G2914" s="56" t="n"/>
      <c r="H2914" s="55" t="n"/>
      <c r="I2914" s="62" t="n"/>
      <c r="J2914" s="58" t="n"/>
      <c r="K2914" s="63">
        <f>IF(tblMovement[[#This Row],[Source]]="","",IFERROR(INDEX(tblSources[Type],MATCH(tblMovement[[#This Row],[Source]],tblSources[Source],0)),"?"))</f>
        <v/>
      </c>
      <c r="L2914" s="63">
        <f>IF(tblMovement[[#This Row],[Destination]]="","",IFERROR(INDEX(tblDestinations[Type],MATCH(tblMovement[[#This Row],[Destination]],tblDestinations[Destination],0)),"?"))</f>
        <v/>
      </c>
      <c r="M2914" s="64">
        <f>IF(tblMovement[[#This Row],[Material]]="","",IF(LEFT(tblMovement[[#This Row],[Material]],3)="Ore",1,0))</f>
        <v/>
      </c>
      <c r="N2914" s="59">
        <f>IF(OR(tblMovement[[#This Row],[Tonnes_t]]="",tblMovement[[#This Row],[Grade_gpt]]=""),0,tblMovement[[#This Row],[Tonnes_t]]*tblMovement[[#This Row],[Grade_gpt]]/cfg_TroyOz)</f>
        <v/>
      </c>
      <c r="O2914" s="59">
        <f>IF(tblMovement[[#This Row],[Is_Ore]]=1,tblMovement[[#This Row],[Contained_oz]],0)</f>
        <v/>
      </c>
    </row>
    <row r="2915">
      <c r="A2915" s="54" t="n"/>
      <c r="B2915" s="61" t="n"/>
      <c r="C2915" s="61" t="n"/>
      <c r="D2915" s="61" t="n"/>
      <c r="E2915" s="61" t="n"/>
      <c r="F2915" s="55" t="n"/>
      <c r="G2915" s="56" t="n"/>
      <c r="H2915" s="55" t="n"/>
      <c r="I2915" s="62" t="n"/>
      <c r="J2915" s="58" t="n"/>
      <c r="K2915" s="63">
        <f>IF(tblMovement[[#This Row],[Source]]="","",IFERROR(INDEX(tblSources[Type],MATCH(tblMovement[[#This Row],[Source]],tblSources[Source],0)),"?"))</f>
        <v/>
      </c>
      <c r="L2915" s="63">
        <f>IF(tblMovement[[#This Row],[Destination]]="","",IFERROR(INDEX(tblDestinations[Type],MATCH(tblMovement[[#This Row],[Destination]],tblDestinations[Destination],0)),"?"))</f>
        <v/>
      </c>
      <c r="M2915" s="64">
        <f>IF(tblMovement[[#This Row],[Material]]="","",IF(LEFT(tblMovement[[#This Row],[Material]],3)="Ore",1,0))</f>
        <v/>
      </c>
      <c r="N2915" s="59">
        <f>IF(OR(tblMovement[[#This Row],[Tonnes_t]]="",tblMovement[[#This Row],[Grade_gpt]]=""),0,tblMovement[[#This Row],[Tonnes_t]]*tblMovement[[#This Row],[Grade_gpt]]/cfg_TroyOz)</f>
        <v/>
      </c>
      <c r="O2915" s="59">
        <f>IF(tblMovement[[#This Row],[Is_Ore]]=1,tblMovement[[#This Row],[Contained_oz]],0)</f>
        <v/>
      </c>
    </row>
    <row r="2916">
      <c r="A2916" s="54" t="n"/>
      <c r="B2916" s="61" t="n"/>
      <c r="C2916" s="61" t="n"/>
      <c r="D2916" s="61" t="n"/>
      <c r="E2916" s="61" t="n"/>
      <c r="F2916" s="55" t="n"/>
      <c r="G2916" s="56" t="n"/>
      <c r="H2916" s="55" t="n"/>
      <c r="I2916" s="62" t="n"/>
      <c r="J2916" s="58" t="n"/>
      <c r="K2916" s="63">
        <f>IF(tblMovement[[#This Row],[Source]]="","",IFERROR(INDEX(tblSources[Type],MATCH(tblMovement[[#This Row],[Source]],tblSources[Source],0)),"?"))</f>
        <v/>
      </c>
      <c r="L2916" s="63">
        <f>IF(tblMovement[[#This Row],[Destination]]="","",IFERROR(INDEX(tblDestinations[Type],MATCH(tblMovement[[#This Row],[Destination]],tblDestinations[Destination],0)),"?"))</f>
        <v/>
      </c>
      <c r="M2916" s="64">
        <f>IF(tblMovement[[#This Row],[Material]]="","",IF(LEFT(tblMovement[[#This Row],[Material]],3)="Ore",1,0))</f>
        <v/>
      </c>
      <c r="N2916" s="59">
        <f>IF(OR(tblMovement[[#This Row],[Tonnes_t]]="",tblMovement[[#This Row],[Grade_gpt]]=""),0,tblMovement[[#This Row],[Tonnes_t]]*tblMovement[[#This Row],[Grade_gpt]]/cfg_TroyOz)</f>
        <v/>
      </c>
      <c r="O2916" s="59">
        <f>IF(tblMovement[[#This Row],[Is_Ore]]=1,tblMovement[[#This Row],[Contained_oz]],0)</f>
        <v/>
      </c>
    </row>
    <row r="2917">
      <c r="A2917" s="54" t="n"/>
      <c r="B2917" s="61" t="n"/>
      <c r="C2917" s="61" t="n"/>
      <c r="D2917" s="61" t="n"/>
      <c r="E2917" s="61" t="n"/>
      <c r="F2917" s="55" t="n"/>
      <c r="G2917" s="56" t="n"/>
      <c r="H2917" s="55" t="n"/>
      <c r="I2917" s="62" t="n"/>
      <c r="J2917" s="58" t="n"/>
      <c r="K2917" s="63">
        <f>IF(tblMovement[[#This Row],[Source]]="","",IFERROR(INDEX(tblSources[Type],MATCH(tblMovement[[#This Row],[Source]],tblSources[Source],0)),"?"))</f>
        <v/>
      </c>
      <c r="L2917" s="63">
        <f>IF(tblMovement[[#This Row],[Destination]]="","",IFERROR(INDEX(tblDestinations[Type],MATCH(tblMovement[[#This Row],[Destination]],tblDestinations[Destination],0)),"?"))</f>
        <v/>
      </c>
      <c r="M2917" s="64">
        <f>IF(tblMovement[[#This Row],[Material]]="","",IF(LEFT(tblMovement[[#This Row],[Material]],3)="Ore",1,0))</f>
        <v/>
      </c>
      <c r="N2917" s="59">
        <f>IF(OR(tblMovement[[#This Row],[Tonnes_t]]="",tblMovement[[#This Row],[Grade_gpt]]=""),0,tblMovement[[#This Row],[Tonnes_t]]*tblMovement[[#This Row],[Grade_gpt]]/cfg_TroyOz)</f>
        <v/>
      </c>
      <c r="O2917" s="59">
        <f>IF(tblMovement[[#This Row],[Is_Ore]]=1,tblMovement[[#This Row],[Contained_oz]],0)</f>
        <v/>
      </c>
    </row>
    <row r="2918">
      <c r="A2918" s="54" t="n"/>
      <c r="B2918" s="61" t="n"/>
      <c r="C2918" s="61" t="n"/>
      <c r="D2918" s="61" t="n"/>
      <c r="E2918" s="61" t="n"/>
      <c r="F2918" s="55" t="n"/>
      <c r="G2918" s="56" t="n"/>
      <c r="H2918" s="55" t="n"/>
      <c r="I2918" s="62" t="n"/>
      <c r="J2918" s="58" t="n"/>
      <c r="K2918" s="63">
        <f>IF(tblMovement[[#This Row],[Source]]="","",IFERROR(INDEX(tblSources[Type],MATCH(tblMovement[[#This Row],[Source]],tblSources[Source],0)),"?"))</f>
        <v/>
      </c>
      <c r="L2918" s="63">
        <f>IF(tblMovement[[#This Row],[Destination]]="","",IFERROR(INDEX(tblDestinations[Type],MATCH(tblMovement[[#This Row],[Destination]],tblDestinations[Destination],0)),"?"))</f>
        <v/>
      </c>
      <c r="M2918" s="64">
        <f>IF(tblMovement[[#This Row],[Material]]="","",IF(LEFT(tblMovement[[#This Row],[Material]],3)="Ore",1,0))</f>
        <v/>
      </c>
      <c r="N2918" s="59">
        <f>IF(OR(tblMovement[[#This Row],[Tonnes_t]]="",tblMovement[[#This Row],[Grade_gpt]]=""),0,tblMovement[[#This Row],[Tonnes_t]]*tblMovement[[#This Row],[Grade_gpt]]/cfg_TroyOz)</f>
        <v/>
      </c>
      <c r="O2918" s="59">
        <f>IF(tblMovement[[#This Row],[Is_Ore]]=1,tblMovement[[#This Row],[Contained_oz]],0)</f>
        <v/>
      </c>
    </row>
    <row r="2919">
      <c r="A2919" s="54" t="n"/>
      <c r="B2919" s="61" t="n"/>
      <c r="C2919" s="61" t="n"/>
      <c r="D2919" s="61" t="n"/>
      <c r="E2919" s="61" t="n"/>
      <c r="F2919" s="55" t="n"/>
      <c r="G2919" s="56" t="n"/>
      <c r="H2919" s="55" t="n"/>
      <c r="I2919" s="62" t="n"/>
      <c r="J2919" s="58" t="n"/>
      <c r="K2919" s="63">
        <f>IF(tblMovement[[#This Row],[Source]]="","",IFERROR(INDEX(tblSources[Type],MATCH(tblMovement[[#This Row],[Source]],tblSources[Source],0)),"?"))</f>
        <v/>
      </c>
      <c r="L2919" s="63">
        <f>IF(tblMovement[[#This Row],[Destination]]="","",IFERROR(INDEX(tblDestinations[Type],MATCH(tblMovement[[#This Row],[Destination]],tblDestinations[Destination],0)),"?"))</f>
        <v/>
      </c>
      <c r="M2919" s="64">
        <f>IF(tblMovement[[#This Row],[Material]]="","",IF(LEFT(tblMovement[[#This Row],[Material]],3)="Ore",1,0))</f>
        <v/>
      </c>
      <c r="N2919" s="59">
        <f>IF(OR(tblMovement[[#This Row],[Tonnes_t]]="",tblMovement[[#This Row],[Grade_gpt]]=""),0,tblMovement[[#This Row],[Tonnes_t]]*tblMovement[[#This Row],[Grade_gpt]]/cfg_TroyOz)</f>
        <v/>
      </c>
      <c r="O2919" s="59">
        <f>IF(tblMovement[[#This Row],[Is_Ore]]=1,tblMovement[[#This Row],[Contained_oz]],0)</f>
        <v/>
      </c>
    </row>
    <row r="2920">
      <c r="A2920" s="54" t="n"/>
      <c r="B2920" s="61" t="n"/>
      <c r="C2920" s="61" t="n"/>
      <c r="D2920" s="61" t="n"/>
      <c r="E2920" s="61" t="n"/>
      <c r="F2920" s="55" t="n"/>
      <c r="G2920" s="56" t="n"/>
      <c r="H2920" s="55" t="n"/>
      <c r="I2920" s="62" t="n"/>
      <c r="J2920" s="58" t="n"/>
      <c r="K2920" s="63">
        <f>IF(tblMovement[[#This Row],[Source]]="","",IFERROR(INDEX(tblSources[Type],MATCH(tblMovement[[#This Row],[Source]],tblSources[Source],0)),"?"))</f>
        <v/>
      </c>
      <c r="L2920" s="63">
        <f>IF(tblMovement[[#This Row],[Destination]]="","",IFERROR(INDEX(tblDestinations[Type],MATCH(tblMovement[[#This Row],[Destination]],tblDestinations[Destination],0)),"?"))</f>
        <v/>
      </c>
      <c r="M2920" s="64">
        <f>IF(tblMovement[[#This Row],[Material]]="","",IF(LEFT(tblMovement[[#This Row],[Material]],3)="Ore",1,0))</f>
        <v/>
      </c>
      <c r="N2920" s="59">
        <f>IF(OR(tblMovement[[#This Row],[Tonnes_t]]="",tblMovement[[#This Row],[Grade_gpt]]=""),0,tblMovement[[#This Row],[Tonnes_t]]*tblMovement[[#This Row],[Grade_gpt]]/cfg_TroyOz)</f>
        <v/>
      </c>
      <c r="O2920" s="59">
        <f>IF(tblMovement[[#This Row],[Is_Ore]]=1,tblMovement[[#This Row],[Contained_oz]],0)</f>
        <v/>
      </c>
    </row>
    <row r="2921">
      <c r="A2921" s="54" t="n"/>
      <c r="B2921" s="61" t="n"/>
      <c r="C2921" s="61" t="n"/>
      <c r="D2921" s="61" t="n"/>
      <c r="E2921" s="61" t="n"/>
      <c r="F2921" s="55" t="n"/>
      <c r="G2921" s="56" t="n"/>
      <c r="H2921" s="55" t="n"/>
      <c r="I2921" s="62" t="n"/>
      <c r="J2921" s="58" t="n"/>
      <c r="K2921" s="63">
        <f>IF(tblMovement[[#This Row],[Source]]="","",IFERROR(INDEX(tblSources[Type],MATCH(tblMovement[[#This Row],[Source]],tblSources[Source],0)),"?"))</f>
        <v/>
      </c>
      <c r="L2921" s="63">
        <f>IF(tblMovement[[#This Row],[Destination]]="","",IFERROR(INDEX(tblDestinations[Type],MATCH(tblMovement[[#This Row],[Destination]],tblDestinations[Destination],0)),"?"))</f>
        <v/>
      </c>
      <c r="M2921" s="64">
        <f>IF(tblMovement[[#This Row],[Material]]="","",IF(LEFT(tblMovement[[#This Row],[Material]],3)="Ore",1,0))</f>
        <v/>
      </c>
      <c r="N2921" s="59">
        <f>IF(OR(tblMovement[[#This Row],[Tonnes_t]]="",tblMovement[[#This Row],[Grade_gpt]]=""),0,tblMovement[[#This Row],[Tonnes_t]]*tblMovement[[#This Row],[Grade_gpt]]/cfg_TroyOz)</f>
        <v/>
      </c>
      <c r="O2921" s="59">
        <f>IF(tblMovement[[#This Row],[Is_Ore]]=1,tblMovement[[#This Row],[Contained_oz]],0)</f>
        <v/>
      </c>
    </row>
    <row r="2922">
      <c r="A2922" s="54" t="n"/>
      <c r="B2922" s="61" t="n"/>
      <c r="C2922" s="61" t="n"/>
      <c r="D2922" s="61" t="n"/>
      <c r="E2922" s="61" t="n"/>
      <c r="F2922" s="55" t="n"/>
      <c r="G2922" s="56" t="n"/>
      <c r="H2922" s="55" t="n"/>
      <c r="I2922" s="62" t="n"/>
      <c r="J2922" s="58" t="n"/>
      <c r="K2922" s="63">
        <f>IF(tblMovement[[#This Row],[Source]]="","",IFERROR(INDEX(tblSources[Type],MATCH(tblMovement[[#This Row],[Source]],tblSources[Source],0)),"?"))</f>
        <v/>
      </c>
      <c r="L2922" s="63">
        <f>IF(tblMovement[[#This Row],[Destination]]="","",IFERROR(INDEX(tblDestinations[Type],MATCH(tblMovement[[#This Row],[Destination]],tblDestinations[Destination],0)),"?"))</f>
        <v/>
      </c>
      <c r="M2922" s="64">
        <f>IF(tblMovement[[#This Row],[Material]]="","",IF(LEFT(tblMovement[[#This Row],[Material]],3)="Ore",1,0))</f>
        <v/>
      </c>
      <c r="N2922" s="59">
        <f>IF(OR(tblMovement[[#This Row],[Tonnes_t]]="",tblMovement[[#This Row],[Grade_gpt]]=""),0,tblMovement[[#This Row],[Tonnes_t]]*tblMovement[[#This Row],[Grade_gpt]]/cfg_TroyOz)</f>
        <v/>
      </c>
      <c r="O2922" s="59">
        <f>IF(tblMovement[[#This Row],[Is_Ore]]=1,tblMovement[[#This Row],[Contained_oz]],0)</f>
        <v/>
      </c>
    </row>
    <row r="2923">
      <c r="A2923" s="54" t="n"/>
      <c r="B2923" s="61" t="n"/>
      <c r="C2923" s="61" t="n"/>
      <c r="D2923" s="61" t="n"/>
      <c r="E2923" s="61" t="n"/>
      <c r="F2923" s="55" t="n"/>
      <c r="G2923" s="56" t="n"/>
      <c r="H2923" s="55" t="n"/>
      <c r="I2923" s="62" t="n"/>
      <c r="J2923" s="58" t="n"/>
      <c r="K2923" s="63">
        <f>IF(tblMovement[[#This Row],[Source]]="","",IFERROR(INDEX(tblSources[Type],MATCH(tblMovement[[#This Row],[Source]],tblSources[Source],0)),"?"))</f>
        <v/>
      </c>
      <c r="L2923" s="63">
        <f>IF(tblMovement[[#This Row],[Destination]]="","",IFERROR(INDEX(tblDestinations[Type],MATCH(tblMovement[[#This Row],[Destination]],tblDestinations[Destination],0)),"?"))</f>
        <v/>
      </c>
      <c r="M2923" s="64">
        <f>IF(tblMovement[[#This Row],[Material]]="","",IF(LEFT(tblMovement[[#This Row],[Material]],3)="Ore",1,0))</f>
        <v/>
      </c>
      <c r="N2923" s="59">
        <f>IF(OR(tblMovement[[#This Row],[Tonnes_t]]="",tblMovement[[#This Row],[Grade_gpt]]=""),0,tblMovement[[#This Row],[Tonnes_t]]*tblMovement[[#This Row],[Grade_gpt]]/cfg_TroyOz)</f>
        <v/>
      </c>
      <c r="O2923" s="59">
        <f>IF(tblMovement[[#This Row],[Is_Ore]]=1,tblMovement[[#This Row],[Contained_oz]],0)</f>
        <v/>
      </c>
    </row>
    <row r="2924">
      <c r="A2924" s="54" t="n"/>
      <c r="B2924" s="61" t="n"/>
      <c r="C2924" s="61" t="n"/>
      <c r="D2924" s="61" t="n"/>
      <c r="E2924" s="61" t="n"/>
      <c r="F2924" s="55" t="n"/>
      <c r="G2924" s="56" t="n"/>
      <c r="H2924" s="55" t="n"/>
      <c r="I2924" s="62" t="n"/>
      <c r="J2924" s="58" t="n"/>
      <c r="K2924" s="63">
        <f>IF(tblMovement[[#This Row],[Source]]="","",IFERROR(INDEX(tblSources[Type],MATCH(tblMovement[[#This Row],[Source]],tblSources[Source],0)),"?"))</f>
        <v/>
      </c>
      <c r="L2924" s="63">
        <f>IF(tblMovement[[#This Row],[Destination]]="","",IFERROR(INDEX(tblDestinations[Type],MATCH(tblMovement[[#This Row],[Destination]],tblDestinations[Destination],0)),"?"))</f>
        <v/>
      </c>
      <c r="M2924" s="64">
        <f>IF(tblMovement[[#This Row],[Material]]="","",IF(LEFT(tblMovement[[#This Row],[Material]],3)="Ore",1,0))</f>
        <v/>
      </c>
      <c r="N2924" s="59">
        <f>IF(OR(tblMovement[[#This Row],[Tonnes_t]]="",tblMovement[[#This Row],[Grade_gpt]]=""),0,tblMovement[[#This Row],[Tonnes_t]]*tblMovement[[#This Row],[Grade_gpt]]/cfg_TroyOz)</f>
        <v/>
      </c>
      <c r="O2924" s="59">
        <f>IF(tblMovement[[#This Row],[Is_Ore]]=1,tblMovement[[#This Row],[Contained_oz]],0)</f>
        <v/>
      </c>
    </row>
    <row r="2925">
      <c r="A2925" s="54" t="n"/>
      <c r="B2925" s="61" t="n"/>
      <c r="C2925" s="61" t="n"/>
      <c r="D2925" s="61" t="n"/>
      <c r="E2925" s="61" t="n"/>
      <c r="F2925" s="55" t="n"/>
      <c r="G2925" s="56" t="n"/>
      <c r="H2925" s="55" t="n"/>
      <c r="I2925" s="62" t="n"/>
      <c r="J2925" s="58" t="n"/>
      <c r="K2925" s="63">
        <f>IF(tblMovement[[#This Row],[Source]]="","",IFERROR(INDEX(tblSources[Type],MATCH(tblMovement[[#This Row],[Source]],tblSources[Source],0)),"?"))</f>
        <v/>
      </c>
      <c r="L2925" s="63">
        <f>IF(tblMovement[[#This Row],[Destination]]="","",IFERROR(INDEX(tblDestinations[Type],MATCH(tblMovement[[#This Row],[Destination]],tblDestinations[Destination],0)),"?"))</f>
        <v/>
      </c>
      <c r="M2925" s="64">
        <f>IF(tblMovement[[#This Row],[Material]]="","",IF(LEFT(tblMovement[[#This Row],[Material]],3)="Ore",1,0))</f>
        <v/>
      </c>
      <c r="N2925" s="59">
        <f>IF(OR(tblMovement[[#This Row],[Tonnes_t]]="",tblMovement[[#This Row],[Grade_gpt]]=""),0,tblMovement[[#This Row],[Tonnes_t]]*tblMovement[[#This Row],[Grade_gpt]]/cfg_TroyOz)</f>
        <v/>
      </c>
      <c r="O2925" s="59">
        <f>IF(tblMovement[[#This Row],[Is_Ore]]=1,tblMovement[[#This Row],[Contained_oz]],0)</f>
        <v/>
      </c>
    </row>
    <row r="2926">
      <c r="A2926" s="54" t="n"/>
      <c r="B2926" s="61" t="n"/>
      <c r="C2926" s="61" t="n"/>
      <c r="D2926" s="61" t="n"/>
      <c r="E2926" s="61" t="n"/>
      <c r="F2926" s="55" t="n"/>
      <c r="G2926" s="56" t="n"/>
      <c r="H2926" s="55" t="n"/>
      <c r="I2926" s="62" t="n"/>
      <c r="J2926" s="58" t="n"/>
      <c r="K2926" s="63">
        <f>IF(tblMovement[[#This Row],[Source]]="","",IFERROR(INDEX(tblSources[Type],MATCH(tblMovement[[#This Row],[Source]],tblSources[Source],0)),"?"))</f>
        <v/>
      </c>
      <c r="L2926" s="63">
        <f>IF(tblMovement[[#This Row],[Destination]]="","",IFERROR(INDEX(tblDestinations[Type],MATCH(tblMovement[[#This Row],[Destination]],tblDestinations[Destination],0)),"?"))</f>
        <v/>
      </c>
      <c r="M2926" s="64">
        <f>IF(tblMovement[[#This Row],[Material]]="","",IF(LEFT(tblMovement[[#This Row],[Material]],3)="Ore",1,0))</f>
        <v/>
      </c>
      <c r="N2926" s="59">
        <f>IF(OR(tblMovement[[#This Row],[Tonnes_t]]="",tblMovement[[#This Row],[Grade_gpt]]=""),0,tblMovement[[#This Row],[Tonnes_t]]*tblMovement[[#This Row],[Grade_gpt]]/cfg_TroyOz)</f>
        <v/>
      </c>
      <c r="O2926" s="59">
        <f>IF(tblMovement[[#This Row],[Is_Ore]]=1,tblMovement[[#This Row],[Contained_oz]],0)</f>
        <v/>
      </c>
    </row>
    <row r="2927">
      <c r="A2927" s="54" t="n"/>
      <c r="B2927" s="61" t="n"/>
      <c r="C2927" s="61" t="n"/>
      <c r="D2927" s="61" t="n"/>
      <c r="E2927" s="61" t="n"/>
      <c r="F2927" s="55" t="n"/>
      <c r="G2927" s="56" t="n"/>
      <c r="H2927" s="55" t="n"/>
      <c r="I2927" s="62" t="n"/>
      <c r="J2927" s="58" t="n"/>
      <c r="K2927" s="63">
        <f>IF(tblMovement[[#This Row],[Source]]="","",IFERROR(INDEX(tblSources[Type],MATCH(tblMovement[[#This Row],[Source]],tblSources[Source],0)),"?"))</f>
        <v/>
      </c>
      <c r="L2927" s="63">
        <f>IF(tblMovement[[#This Row],[Destination]]="","",IFERROR(INDEX(tblDestinations[Type],MATCH(tblMovement[[#This Row],[Destination]],tblDestinations[Destination],0)),"?"))</f>
        <v/>
      </c>
      <c r="M2927" s="64">
        <f>IF(tblMovement[[#This Row],[Material]]="","",IF(LEFT(tblMovement[[#This Row],[Material]],3)="Ore",1,0))</f>
        <v/>
      </c>
      <c r="N2927" s="59">
        <f>IF(OR(tblMovement[[#This Row],[Tonnes_t]]="",tblMovement[[#This Row],[Grade_gpt]]=""),0,tblMovement[[#This Row],[Tonnes_t]]*tblMovement[[#This Row],[Grade_gpt]]/cfg_TroyOz)</f>
        <v/>
      </c>
      <c r="O2927" s="59">
        <f>IF(tblMovement[[#This Row],[Is_Ore]]=1,tblMovement[[#This Row],[Contained_oz]],0)</f>
        <v/>
      </c>
    </row>
    <row r="2928">
      <c r="A2928" s="54" t="n"/>
      <c r="B2928" s="61" t="n"/>
      <c r="C2928" s="61" t="n"/>
      <c r="D2928" s="61" t="n"/>
      <c r="E2928" s="61" t="n"/>
      <c r="F2928" s="55" t="n"/>
      <c r="G2928" s="56" t="n"/>
      <c r="H2928" s="55" t="n"/>
      <c r="I2928" s="62" t="n"/>
      <c r="J2928" s="58" t="n"/>
      <c r="K2928" s="63">
        <f>IF(tblMovement[[#This Row],[Source]]="","",IFERROR(INDEX(tblSources[Type],MATCH(tblMovement[[#This Row],[Source]],tblSources[Source],0)),"?"))</f>
        <v/>
      </c>
      <c r="L2928" s="63">
        <f>IF(tblMovement[[#This Row],[Destination]]="","",IFERROR(INDEX(tblDestinations[Type],MATCH(tblMovement[[#This Row],[Destination]],tblDestinations[Destination],0)),"?"))</f>
        <v/>
      </c>
      <c r="M2928" s="64">
        <f>IF(tblMovement[[#This Row],[Material]]="","",IF(LEFT(tblMovement[[#This Row],[Material]],3)="Ore",1,0))</f>
        <v/>
      </c>
      <c r="N2928" s="59">
        <f>IF(OR(tblMovement[[#This Row],[Tonnes_t]]="",tblMovement[[#This Row],[Grade_gpt]]=""),0,tblMovement[[#This Row],[Tonnes_t]]*tblMovement[[#This Row],[Grade_gpt]]/cfg_TroyOz)</f>
        <v/>
      </c>
      <c r="O2928" s="59">
        <f>IF(tblMovement[[#This Row],[Is_Ore]]=1,tblMovement[[#This Row],[Contained_oz]],0)</f>
        <v/>
      </c>
    </row>
    <row r="2929">
      <c r="A2929" s="54" t="n"/>
      <c r="B2929" s="61" t="n"/>
      <c r="C2929" s="61" t="n"/>
      <c r="D2929" s="61" t="n"/>
      <c r="E2929" s="61" t="n"/>
      <c r="F2929" s="55" t="n"/>
      <c r="G2929" s="56" t="n"/>
      <c r="H2929" s="55" t="n"/>
      <c r="I2929" s="62" t="n"/>
      <c r="J2929" s="58" t="n"/>
      <c r="K2929" s="63">
        <f>IF(tblMovement[[#This Row],[Source]]="","",IFERROR(INDEX(tblSources[Type],MATCH(tblMovement[[#This Row],[Source]],tblSources[Source],0)),"?"))</f>
        <v/>
      </c>
      <c r="L2929" s="63">
        <f>IF(tblMovement[[#This Row],[Destination]]="","",IFERROR(INDEX(tblDestinations[Type],MATCH(tblMovement[[#This Row],[Destination]],tblDestinations[Destination],0)),"?"))</f>
        <v/>
      </c>
      <c r="M2929" s="64">
        <f>IF(tblMovement[[#This Row],[Material]]="","",IF(LEFT(tblMovement[[#This Row],[Material]],3)="Ore",1,0))</f>
        <v/>
      </c>
      <c r="N2929" s="59">
        <f>IF(OR(tblMovement[[#This Row],[Tonnes_t]]="",tblMovement[[#This Row],[Grade_gpt]]=""),0,tblMovement[[#This Row],[Tonnes_t]]*tblMovement[[#This Row],[Grade_gpt]]/cfg_TroyOz)</f>
        <v/>
      </c>
      <c r="O2929" s="59">
        <f>IF(tblMovement[[#This Row],[Is_Ore]]=1,tblMovement[[#This Row],[Contained_oz]],0)</f>
        <v/>
      </c>
    </row>
    <row r="2930">
      <c r="A2930" s="54" t="n"/>
      <c r="B2930" s="61" t="n"/>
      <c r="C2930" s="61" t="n"/>
      <c r="D2930" s="61" t="n"/>
      <c r="E2930" s="61" t="n"/>
      <c r="F2930" s="55" t="n"/>
      <c r="G2930" s="56" t="n"/>
      <c r="H2930" s="55" t="n"/>
      <c r="I2930" s="62" t="n"/>
      <c r="J2930" s="58" t="n"/>
      <c r="K2930" s="63">
        <f>IF(tblMovement[[#This Row],[Source]]="","",IFERROR(INDEX(tblSources[Type],MATCH(tblMovement[[#This Row],[Source]],tblSources[Source],0)),"?"))</f>
        <v/>
      </c>
      <c r="L2930" s="63">
        <f>IF(tblMovement[[#This Row],[Destination]]="","",IFERROR(INDEX(tblDestinations[Type],MATCH(tblMovement[[#This Row],[Destination]],tblDestinations[Destination],0)),"?"))</f>
        <v/>
      </c>
      <c r="M2930" s="64">
        <f>IF(tblMovement[[#This Row],[Material]]="","",IF(LEFT(tblMovement[[#This Row],[Material]],3)="Ore",1,0))</f>
        <v/>
      </c>
      <c r="N2930" s="59">
        <f>IF(OR(tblMovement[[#This Row],[Tonnes_t]]="",tblMovement[[#This Row],[Grade_gpt]]=""),0,tblMovement[[#This Row],[Tonnes_t]]*tblMovement[[#This Row],[Grade_gpt]]/cfg_TroyOz)</f>
        <v/>
      </c>
      <c r="O2930" s="59">
        <f>IF(tblMovement[[#This Row],[Is_Ore]]=1,tblMovement[[#This Row],[Contained_oz]],0)</f>
        <v/>
      </c>
    </row>
    <row r="2931">
      <c r="A2931" s="54" t="n"/>
      <c r="B2931" s="61" t="n"/>
      <c r="C2931" s="61" t="n"/>
      <c r="D2931" s="61" t="n"/>
      <c r="E2931" s="61" t="n"/>
      <c r="F2931" s="55" t="n"/>
      <c r="G2931" s="56" t="n"/>
      <c r="H2931" s="55" t="n"/>
      <c r="I2931" s="62" t="n"/>
      <c r="J2931" s="58" t="n"/>
      <c r="K2931" s="63">
        <f>IF(tblMovement[[#This Row],[Source]]="","",IFERROR(INDEX(tblSources[Type],MATCH(tblMovement[[#This Row],[Source]],tblSources[Source],0)),"?"))</f>
        <v/>
      </c>
      <c r="L2931" s="63">
        <f>IF(tblMovement[[#This Row],[Destination]]="","",IFERROR(INDEX(tblDestinations[Type],MATCH(tblMovement[[#This Row],[Destination]],tblDestinations[Destination],0)),"?"))</f>
        <v/>
      </c>
      <c r="M2931" s="64">
        <f>IF(tblMovement[[#This Row],[Material]]="","",IF(LEFT(tblMovement[[#This Row],[Material]],3)="Ore",1,0))</f>
        <v/>
      </c>
      <c r="N2931" s="59">
        <f>IF(OR(tblMovement[[#This Row],[Tonnes_t]]="",tblMovement[[#This Row],[Grade_gpt]]=""),0,tblMovement[[#This Row],[Tonnes_t]]*tblMovement[[#This Row],[Grade_gpt]]/cfg_TroyOz)</f>
        <v/>
      </c>
      <c r="O2931" s="59">
        <f>IF(tblMovement[[#This Row],[Is_Ore]]=1,tblMovement[[#This Row],[Contained_oz]],0)</f>
        <v/>
      </c>
    </row>
    <row r="2932">
      <c r="A2932" s="54" t="n"/>
      <c r="B2932" s="61" t="n"/>
      <c r="C2932" s="61" t="n"/>
      <c r="D2932" s="61" t="n"/>
      <c r="E2932" s="61" t="n"/>
      <c r="F2932" s="55" t="n"/>
      <c r="G2932" s="56" t="n"/>
      <c r="H2932" s="55" t="n"/>
      <c r="I2932" s="62" t="n"/>
      <c r="J2932" s="58" t="n"/>
      <c r="K2932" s="63">
        <f>IF(tblMovement[[#This Row],[Source]]="","",IFERROR(INDEX(tblSources[Type],MATCH(tblMovement[[#This Row],[Source]],tblSources[Source],0)),"?"))</f>
        <v/>
      </c>
      <c r="L2932" s="63">
        <f>IF(tblMovement[[#This Row],[Destination]]="","",IFERROR(INDEX(tblDestinations[Type],MATCH(tblMovement[[#This Row],[Destination]],tblDestinations[Destination],0)),"?"))</f>
        <v/>
      </c>
      <c r="M2932" s="64">
        <f>IF(tblMovement[[#This Row],[Material]]="","",IF(LEFT(tblMovement[[#This Row],[Material]],3)="Ore",1,0))</f>
        <v/>
      </c>
      <c r="N2932" s="59">
        <f>IF(OR(tblMovement[[#This Row],[Tonnes_t]]="",tblMovement[[#This Row],[Grade_gpt]]=""),0,tblMovement[[#This Row],[Tonnes_t]]*tblMovement[[#This Row],[Grade_gpt]]/cfg_TroyOz)</f>
        <v/>
      </c>
      <c r="O2932" s="59">
        <f>IF(tblMovement[[#This Row],[Is_Ore]]=1,tblMovement[[#This Row],[Contained_oz]],0)</f>
        <v/>
      </c>
    </row>
    <row r="2933">
      <c r="A2933" s="54" t="n"/>
      <c r="B2933" s="61" t="n"/>
      <c r="C2933" s="61" t="n"/>
      <c r="D2933" s="61" t="n"/>
      <c r="E2933" s="61" t="n"/>
      <c r="F2933" s="55" t="n"/>
      <c r="G2933" s="56" t="n"/>
      <c r="H2933" s="55" t="n"/>
      <c r="I2933" s="62" t="n"/>
      <c r="J2933" s="58" t="n"/>
      <c r="K2933" s="63">
        <f>IF(tblMovement[[#This Row],[Source]]="","",IFERROR(INDEX(tblSources[Type],MATCH(tblMovement[[#This Row],[Source]],tblSources[Source],0)),"?"))</f>
        <v/>
      </c>
      <c r="L2933" s="63">
        <f>IF(tblMovement[[#This Row],[Destination]]="","",IFERROR(INDEX(tblDestinations[Type],MATCH(tblMovement[[#This Row],[Destination]],tblDestinations[Destination],0)),"?"))</f>
        <v/>
      </c>
      <c r="M2933" s="64">
        <f>IF(tblMovement[[#This Row],[Material]]="","",IF(LEFT(tblMovement[[#This Row],[Material]],3)="Ore",1,0))</f>
        <v/>
      </c>
      <c r="N2933" s="59">
        <f>IF(OR(tblMovement[[#This Row],[Tonnes_t]]="",tblMovement[[#This Row],[Grade_gpt]]=""),0,tblMovement[[#This Row],[Tonnes_t]]*tblMovement[[#This Row],[Grade_gpt]]/cfg_TroyOz)</f>
        <v/>
      </c>
      <c r="O2933" s="59">
        <f>IF(tblMovement[[#This Row],[Is_Ore]]=1,tblMovement[[#This Row],[Contained_oz]],0)</f>
        <v/>
      </c>
    </row>
    <row r="2934">
      <c r="A2934" s="54" t="n"/>
      <c r="B2934" s="61" t="n"/>
      <c r="C2934" s="61" t="n"/>
      <c r="D2934" s="61" t="n"/>
      <c r="E2934" s="61" t="n"/>
      <c r="F2934" s="55" t="n"/>
      <c r="G2934" s="56" t="n"/>
      <c r="H2934" s="55" t="n"/>
      <c r="I2934" s="62" t="n"/>
      <c r="J2934" s="58" t="n"/>
      <c r="K2934" s="63">
        <f>IF(tblMovement[[#This Row],[Source]]="","",IFERROR(INDEX(tblSources[Type],MATCH(tblMovement[[#This Row],[Source]],tblSources[Source],0)),"?"))</f>
        <v/>
      </c>
      <c r="L2934" s="63">
        <f>IF(tblMovement[[#This Row],[Destination]]="","",IFERROR(INDEX(tblDestinations[Type],MATCH(tblMovement[[#This Row],[Destination]],tblDestinations[Destination],0)),"?"))</f>
        <v/>
      </c>
      <c r="M2934" s="64">
        <f>IF(tblMovement[[#This Row],[Material]]="","",IF(LEFT(tblMovement[[#This Row],[Material]],3)="Ore",1,0))</f>
        <v/>
      </c>
      <c r="N2934" s="59">
        <f>IF(OR(tblMovement[[#This Row],[Tonnes_t]]="",tblMovement[[#This Row],[Grade_gpt]]=""),0,tblMovement[[#This Row],[Tonnes_t]]*tblMovement[[#This Row],[Grade_gpt]]/cfg_TroyOz)</f>
        <v/>
      </c>
      <c r="O2934" s="59">
        <f>IF(tblMovement[[#This Row],[Is_Ore]]=1,tblMovement[[#This Row],[Contained_oz]],0)</f>
        <v/>
      </c>
    </row>
    <row r="2935">
      <c r="A2935" s="54" t="n"/>
      <c r="B2935" s="61" t="n"/>
      <c r="C2935" s="61" t="n"/>
      <c r="D2935" s="61" t="n"/>
      <c r="E2935" s="61" t="n"/>
      <c r="F2935" s="55" t="n"/>
      <c r="G2935" s="56" t="n"/>
      <c r="H2935" s="55" t="n"/>
      <c r="I2935" s="62" t="n"/>
      <c r="J2935" s="58" t="n"/>
      <c r="K2935" s="63">
        <f>IF(tblMovement[[#This Row],[Source]]="","",IFERROR(INDEX(tblSources[Type],MATCH(tblMovement[[#This Row],[Source]],tblSources[Source],0)),"?"))</f>
        <v/>
      </c>
      <c r="L2935" s="63">
        <f>IF(tblMovement[[#This Row],[Destination]]="","",IFERROR(INDEX(tblDestinations[Type],MATCH(tblMovement[[#This Row],[Destination]],tblDestinations[Destination],0)),"?"))</f>
        <v/>
      </c>
      <c r="M2935" s="64">
        <f>IF(tblMovement[[#This Row],[Material]]="","",IF(LEFT(tblMovement[[#This Row],[Material]],3)="Ore",1,0))</f>
        <v/>
      </c>
      <c r="N2935" s="59">
        <f>IF(OR(tblMovement[[#This Row],[Tonnes_t]]="",tblMovement[[#This Row],[Grade_gpt]]=""),0,tblMovement[[#This Row],[Tonnes_t]]*tblMovement[[#This Row],[Grade_gpt]]/cfg_TroyOz)</f>
        <v/>
      </c>
      <c r="O2935" s="59">
        <f>IF(tblMovement[[#This Row],[Is_Ore]]=1,tblMovement[[#This Row],[Contained_oz]],0)</f>
        <v/>
      </c>
    </row>
    <row r="2936">
      <c r="A2936" s="54" t="n"/>
      <c r="B2936" s="61" t="n"/>
      <c r="C2936" s="61" t="n"/>
      <c r="D2936" s="61" t="n"/>
      <c r="E2936" s="61" t="n"/>
      <c r="F2936" s="55" t="n"/>
      <c r="G2936" s="56" t="n"/>
      <c r="H2936" s="55" t="n"/>
      <c r="I2936" s="62" t="n"/>
      <c r="J2936" s="58" t="n"/>
      <c r="K2936" s="63">
        <f>IF(tblMovement[[#This Row],[Source]]="","",IFERROR(INDEX(tblSources[Type],MATCH(tblMovement[[#This Row],[Source]],tblSources[Source],0)),"?"))</f>
        <v/>
      </c>
      <c r="L2936" s="63">
        <f>IF(tblMovement[[#This Row],[Destination]]="","",IFERROR(INDEX(tblDestinations[Type],MATCH(tblMovement[[#This Row],[Destination]],tblDestinations[Destination],0)),"?"))</f>
        <v/>
      </c>
      <c r="M2936" s="64">
        <f>IF(tblMovement[[#This Row],[Material]]="","",IF(LEFT(tblMovement[[#This Row],[Material]],3)="Ore",1,0))</f>
        <v/>
      </c>
      <c r="N2936" s="59">
        <f>IF(OR(tblMovement[[#This Row],[Tonnes_t]]="",tblMovement[[#This Row],[Grade_gpt]]=""),0,tblMovement[[#This Row],[Tonnes_t]]*tblMovement[[#This Row],[Grade_gpt]]/cfg_TroyOz)</f>
        <v/>
      </c>
      <c r="O2936" s="59">
        <f>IF(tblMovement[[#This Row],[Is_Ore]]=1,tblMovement[[#This Row],[Contained_oz]],0)</f>
        <v/>
      </c>
    </row>
    <row r="2937">
      <c r="A2937" s="54" t="n"/>
      <c r="B2937" s="61" t="n"/>
      <c r="C2937" s="61" t="n"/>
      <c r="D2937" s="61" t="n"/>
      <c r="E2937" s="61" t="n"/>
      <c r="F2937" s="55" t="n"/>
      <c r="G2937" s="56" t="n"/>
      <c r="H2937" s="55" t="n"/>
      <c r="I2937" s="62" t="n"/>
      <c r="J2937" s="58" t="n"/>
      <c r="K2937" s="63">
        <f>IF(tblMovement[[#This Row],[Source]]="","",IFERROR(INDEX(tblSources[Type],MATCH(tblMovement[[#This Row],[Source]],tblSources[Source],0)),"?"))</f>
        <v/>
      </c>
      <c r="L2937" s="63">
        <f>IF(tblMovement[[#This Row],[Destination]]="","",IFERROR(INDEX(tblDestinations[Type],MATCH(tblMovement[[#This Row],[Destination]],tblDestinations[Destination],0)),"?"))</f>
        <v/>
      </c>
      <c r="M2937" s="64">
        <f>IF(tblMovement[[#This Row],[Material]]="","",IF(LEFT(tblMovement[[#This Row],[Material]],3)="Ore",1,0))</f>
        <v/>
      </c>
      <c r="N2937" s="59">
        <f>IF(OR(tblMovement[[#This Row],[Tonnes_t]]="",tblMovement[[#This Row],[Grade_gpt]]=""),0,tblMovement[[#This Row],[Tonnes_t]]*tblMovement[[#This Row],[Grade_gpt]]/cfg_TroyOz)</f>
        <v/>
      </c>
      <c r="O2937" s="59">
        <f>IF(tblMovement[[#This Row],[Is_Ore]]=1,tblMovement[[#This Row],[Contained_oz]],0)</f>
        <v/>
      </c>
    </row>
    <row r="2938">
      <c r="A2938" s="54" t="n"/>
      <c r="B2938" s="61" t="n"/>
      <c r="C2938" s="61" t="n"/>
      <c r="D2938" s="61" t="n"/>
      <c r="E2938" s="61" t="n"/>
      <c r="F2938" s="55" t="n"/>
      <c r="G2938" s="56" t="n"/>
      <c r="H2938" s="55" t="n"/>
      <c r="I2938" s="62" t="n"/>
      <c r="J2938" s="58" t="n"/>
      <c r="K2938" s="63">
        <f>IF(tblMovement[[#This Row],[Source]]="","",IFERROR(INDEX(tblSources[Type],MATCH(tblMovement[[#This Row],[Source]],tblSources[Source],0)),"?"))</f>
        <v/>
      </c>
      <c r="L2938" s="63">
        <f>IF(tblMovement[[#This Row],[Destination]]="","",IFERROR(INDEX(tblDestinations[Type],MATCH(tblMovement[[#This Row],[Destination]],tblDestinations[Destination],0)),"?"))</f>
        <v/>
      </c>
      <c r="M2938" s="64">
        <f>IF(tblMovement[[#This Row],[Material]]="","",IF(LEFT(tblMovement[[#This Row],[Material]],3)="Ore",1,0))</f>
        <v/>
      </c>
      <c r="N2938" s="59">
        <f>IF(OR(tblMovement[[#This Row],[Tonnes_t]]="",tblMovement[[#This Row],[Grade_gpt]]=""),0,tblMovement[[#This Row],[Tonnes_t]]*tblMovement[[#This Row],[Grade_gpt]]/cfg_TroyOz)</f>
        <v/>
      </c>
      <c r="O2938" s="59">
        <f>IF(tblMovement[[#This Row],[Is_Ore]]=1,tblMovement[[#This Row],[Contained_oz]],0)</f>
        <v/>
      </c>
    </row>
    <row r="2939">
      <c r="A2939" s="54" t="n"/>
      <c r="B2939" s="61" t="n"/>
      <c r="C2939" s="61" t="n"/>
      <c r="D2939" s="61" t="n"/>
      <c r="E2939" s="61" t="n"/>
      <c r="F2939" s="55" t="n"/>
      <c r="G2939" s="56" t="n"/>
      <c r="H2939" s="55" t="n"/>
      <c r="I2939" s="62" t="n"/>
      <c r="J2939" s="58" t="n"/>
      <c r="K2939" s="63">
        <f>IF(tblMovement[[#This Row],[Source]]="","",IFERROR(INDEX(tblSources[Type],MATCH(tblMovement[[#This Row],[Source]],tblSources[Source],0)),"?"))</f>
        <v/>
      </c>
      <c r="L2939" s="63">
        <f>IF(tblMovement[[#This Row],[Destination]]="","",IFERROR(INDEX(tblDestinations[Type],MATCH(tblMovement[[#This Row],[Destination]],tblDestinations[Destination],0)),"?"))</f>
        <v/>
      </c>
      <c r="M2939" s="64">
        <f>IF(tblMovement[[#This Row],[Material]]="","",IF(LEFT(tblMovement[[#This Row],[Material]],3)="Ore",1,0))</f>
        <v/>
      </c>
      <c r="N2939" s="59">
        <f>IF(OR(tblMovement[[#This Row],[Tonnes_t]]="",tblMovement[[#This Row],[Grade_gpt]]=""),0,tblMovement[[#This Row],[Tonnes_t]]*tblMovement[[#This Row],[Grade_gpt]]/cfg_TroyOz)</f>
        <v/>
      </c>
      <c r="O2939" s="59">
        <f>IF(tblMovement[[#This Row],[Is_Ore]]=1,tblMovement[[#This Row],[Contained_oz]],0)</f>
        <v/>
      </c>
    </row>
    <row r="2940">
      <c r="A2940" s="54" t="n"/>
      <c r="B2940" s="61" t="n"/>
      <c r="C2940" s="61" t="n"/>
      <c r="D2940" s="61" t="n"/>
      <c r="E2940" s="61" t="n"/>
      <c r="F2940" s="55" t="n"/>
      <c r="G2940" s="56" t="n"/>
      <c r="H2940" s="55" t="n"/>
      <c r="I2940" s="62" t="n"/>
      <c r="J2940" s="58" t="n"/>
      <c r="K2940" s="63">
        <f>IF(tblMovement[[#This Row],[Source]]="","",IFERROR(INDEX(tblSources[Type],MATCH(tblMovement[[#This Row],[Source]],tblSources[Source],0)),"?"))</f>
        <v/>
      </c>
      <c r="L2940" s="63">
        <f>IF(tblMovement[[#This Row],[Destination]]="","",IFERROR(INDEX(tblDestinations[Type],MATCH(tblMovement[[#This Row],[Destination]],tblDestinations[Destination],0)),"?"))</f>
        <v/>
      </c>
      <c r="M2940" s="64">
        <f>IF(tblMovement[[#This Row],[Material]]="","",IF(LEFT(tblMovement[[#This Row],[Material]],3)="Ore",1,0))</f>
        <v/>
      </c>
      <c r="N2940" s="59">
        <f>IF(OR(tblMovement[[#This Row],[Tonnes_t]]="",tblMovement[[#This Row],[Grade_gpt]]=""),0,tblMovement[[#This Row],[Tonnes_t]]*tblMovement[[#This Row],[Grade_gpt]]/cfg_TroyOz)</f>
        <v/>
      </c>
      <c r="O2940" s="59">
        <f>IF(tblMovement[[#This Row],[Is_Ore]]=1,tblMovement[[#This Row],[Contained_oz]],0)</f>
        <v/>
      </c>
    </row>
    <row r="2941">
      <c r="A2941" s="54" t="n"/>
      <c r="B2941" s="61" t="n"/>
      <c r="C2941" s="61" t="n"/>
      <c r="D2941" s="61" t="n"/>
      <c r="E2941" s="61" t="n"/>
      <c r="F2941" s="55" t="n"/>
      <c r="G2941" s="56" t="n"/>
      <c r="H2941" s="55" t="n"/>
      <c r="I2941" s="62" t="n"/>
      <c r="J2941" s="58" t="n"/>
      <c r="K2941" s="63">
        <f>IF(tblMovement[[#This Row],[Source]]="","",IFERROR(INDEX(tblSources[Type],MATCH(tblMovement[[#This Row],[Source]],tblSources[Source],0)),"?"))</f>
        <v/>
      </c>
      <c r="L2941" s="63">
        <f>IF(tblMovement[[#This Row],[Destination]]="","",IFERROR(INDEX(tblDestinations[Type],MATCH(tblMovement[[#This Row],[Destination]],tblDestinations[Destination],0)),"?"))</f>
        <v/>
      </c>
      <c r="M2941" s="64">
        <f>IF(tblMovement[[#This Row],[Material]]="","",IF(LEFT(tblMovement[[#This Row],[Material]],3)="Ore",1,0))</f>
        <v/>
      </c>
      <c r="N2941" s="59">
        <f>IF(OR(tblMovement[[#This Row],[Tonnes_t]]="",tblMovement[[#This Row],[Grade_gpt]]=""),0,tblMovement[[#This Row],[Tonnes_t]]*tblMovement[[#This Row],[Grade_gpt]]/cfg_TroyOz)</f>
        <v/>
      </c>
      <c r="O2941" s="59">
        <f>IF(tblMovement[[#This Row],[Is_Ore]]=1,tblMovement[[#This Row],[Contained_oz]],0)</f>
        <v/>
      </c>
    </row>
    <row r="2942">
      <c r="A2942" s="54" t="n"/>
      <c r="B2942" s="61" t="n"/>
      <c r="C2942" s="61" t="n"/>
      <c r="D2942" s="61" t="n"/>
      <c r="E2942" s="61" t="n"/>
      <c r="F2942" s="55" t="n"/>
      <c r="G2942" s="56" t="n"/>
      <c r="H2942" s="55" t="n"/>
      <c r="I2942" s="62" t="n"/>
      <c r="J2942" s="58" t="n"/>
      <c r="K2942" s="63">
        <f>IF(tblMovement[[#This Row],[Source]]="","",IFERROR(INDEX(tblSources[Type],MATCH(tblMovement[[#This Row],[Source]],tblSources[Source],0)),"?"))</f>
        <v/>
      </c>
      <c r="L2942" s="63">
        <f>IF(tblMovement[[#This Row],[Destination]]="","",IFERROR(INDEX(tblDestinations[Type],MATCH(tblMovement[[#This Row],[Destination]],tblDestinations[Destination],0)),"?"))</f>
        <v/>
      </c>
      <c r="M2942" s="64">
        <f>IF(tblMovement[[#This Row],[Material]]="","",IF(LEFT(tblMovement[[#This Row],[Material]],3)="Ore",1,0))</f>
        <v/>
      </c>
      <c r="N2942" s="59">
        <f>IF(OR(tblMovement[[#This Row],[Tonnes_t]]="",tblMovement[[#This Row],[Grade_gpt]]=""),0,tblMovement[[#This Row],[Tonnes_t]]*tblMovement[[#This Row],[Grade_gpt]]/cfg_TroyOz)</f>
        <v/>
      </c>
      <c r="O2942" s="59">
        <f>IF(tblMovement[[#This Row],[Is_Ore]]=1,tblMovement[[#This Row],[Contained_oz]],0)</f>
        <v/>
      </c>
    </row>
    <row r="2943">
      <c r="A2943" s="54" t="n"/>
      <c r="B2943" s="61" t="n"/>
      <c r="C2943" s="61" t="n"/>
      <c r="D2943" s="61" t="n"/>
      <c r="E2943" s="61" t="n"/>
      <c r="F2943" s="55" t="n"/>
      <c r="G2943" s="56" t="n"/>
      <c r="H2943" s="55" t="n"/>
      <c r="I2943" s="62" t="n"/>
      <c r="J2943" s="58" t="n"/>
      <c r="K2943" s="63">
        <f>IF(tblMovement[[#This Row],[Source]]="","",IFERROR(INDEX(tblSources[Type],MATCH(tblMovement[[#This Row],[Source]],tblSources[Source],0)),"?"))</f>
        <v/>
      </c>
      <c r="L2943" s="63">
        <f>IF(tblMovement[[#This Row],[Destination]]="","",IFERROR(INDEX(tblDestinations[Type],MATCH(tblMovement[[#This Row],[Destination]],tblDestinations[Destination],0)),"?"))</f>
        <v/>
      </c>
      <c r="M2943" s="64">
        <f>IF(tblMovement[[#This Row],[Material]]="","",IF(LEFT(tblMovement[[#This Row],[Material]],3)="Ore",1,0))</f>
        <v/>
      </c>
      <c r="N2943" s="59">
        <f>IF(OR(tblMovement[[#This Row],[Tonnes_t]]="",tblMovement[[#This Row],[Grade_gpt]]=""),0,tblMovement[[#This Row],[Tonnes_t]]*tblMovement[[#This Row],[Grade_gpt]]/cfg_TroyOz)</f>
        <v/>
      </c>
      <c r="O2943" s="59">
        <f>IF(tblMovement[[#This Row],[Is_Ore]]=1,tblMovement[[#This Row],[Contained_oz]],0)</f>
        <v/>
      </c>
    </row>
    <row r="2944">
      <c r="A2944" s="54" t="n"/>
      <c r="B2944" s="61" t="n"/>
      <c r="C2944" s="61" t="n"/>
      <c r="D2944" s="61" t="n"/>
      <c r="E2944" s="61" t="n"/>
      <c r="F2944" s="55" t="n"/>
      <c r="G2944" s="56" t="n"/>
      <c r="H2944" s="55" t="n"/>
      <c r="I2944" s="62" t="n"/>
      <c r="J2944" s="58" t="n"/>
      <c r="K2944" s="63">
        <f>IF(tblMovement[[#This Row],[Source]]="","",IFERROR(INDEX(tblSources[Type],MATCH(tblMovement[[#This Row],[Source]],tblSources[Source],0)),"?"))</f>
        <v/>
      </c>
      <c r="L2944" s="63">
        <f>IF(tblMovement[[#This Row],[Destination]]="","",IFERROR(INDEX(tblDestinations[Type],MATCH(tblMovement[[#This Row],[Destination]],tblDestinations[Destination],0)),"?"))</f>
        <v/>
      </c>
      <c r="M2944" s="64">
        <f>IF(tblMovement[[#This Row],[Material]]="","",IF(LEFT(tblMovement[[#This Row],[Material]],3)="Ore",1,0))</f>
        <v/>
      </c>
      <c r="N2944" s="59">
        <f>IF(OR(tblMovement[[#This Row],[Tonnes_t]]="",tblMovement[[#This Row],[Grade_gpt]]=""),0,tblMovement[[#This Row],[Tonnes_t]]*tblMovement[[#This Row],[Grade_gpt]]/cfg_TroyOz)</f>
        <v/>
      </c>
      <c r="O2944" s="59">
        <f>IF(tblMovement[[#This Row],[Is_Ore]]=1,tblMovement[[#This Row],[Contained_oz]],0)</f>
        <v/>
      </c>
    </row>
    <row r="2945">
      <c r="A2945" s="54" t="n"/>
      <c r="B2945" s="61" t="n"/>
      <c r="C2945" s="61" t="n"/>
      <c r="D2945" s="61" t="n"/>
      <c r="E2945" s="61" t="n"/>
      <c r="F2945" s="55" t="n"/>
      <c r="G2945" s="56" t="n"/>
      <c r="H2945" s="55" t="n"/>
      <c r="I2945" s="62" t="n"/>
      <c r="J2945" s="58" t="n"/>
      <c r="K2945" s="63">
        <f>IF(tblMovement[[#This Row],[Source]]="","",IFERROR(INDEX(tblSources[Type],MATCH(tblMovement[[#This Row],[Source]],tblSources[Source],0)),"?"))</f>
        <v/>
      </c>
      <c r="L2945" s="63">
        <f>IF(tblMovement[[#This Row],[Destination]]="","",IFERROR(INDEX(tblDestinations[Type],MATCH(tblMovement[[#This Row],[Destination]],tblDestinations[Destination],0)),"?"))</f>
        <v/>
      </c>
      <c r="M2945" s="64">
        <f>IF(tblMovement[[#This Row],[Material]]="","",IF(LEFT(tblMovement[[#This Row],[Material]],3)="Ore",1,0))</f>
        <v/>
      </c>
      <c r="N2945" s="59">
        <f>IF(OR(tblMovement[[#This Row],[Tonnes_t]]="",tblMovement[[#This Row],[Grade_gpt]]=""),0,tblMovement[[#This Row],[Tonnes_t]]*tblMovement[[#This Row],[Grade_gpt]]/cfg_TroyOz)</f>
        <v/>
      </c>
      <c r="O2945" s="59">
        <f>IF(tblMovement[[#This Row],[Is_Ore]]=1,tblMovement[[#This Row],[Contained_oz]],0)</f>
        <v/>
      </c>
    </row>
    <row r="2946">
      <c r="A2946" s="54" t="n"/>
      <c r="B2946" s="61" t="n"/>
      <c r="C2946" s="61" t="n"/>
      <c r="D2946" s="61" t="n"/>
      <c r="E2946" s="61" t="n"/>
      <c r="F2946" s="55" t="n"/>
      <c r="G2946" s="56" t="n"/>
      <c r="H2946" s="55" t="n"/>
      <c r="I2946" s="62" t="n"/>
      <c r="J2946" s="58" t="n"/>
      <c r="K2946" s="63">
        <f>IF(tblMovement[[#This Row],[Source]]="","",IFERROR(INDEX(tblSources[Type],MATCH(tblMovement[[#This Row],[Source]],tblSources[Source],0)),"?"))</f>
        <v/>
      </c>
      <c r="L2946" s="63">
        <f>IF(tblMovement[[#This Row],[Destination]]="","",IFERROR(INDEX(tblDestinations[Type],MATCH(tblMovement[[#This Row],[Destination]],tblDestinations[Destination],0)),"?"))</f>
        <v/>
      </c>
      <c r="M2946" s="64">
        <f>IF(tblMovement[[#This Row],[Material]]="","",IF(LEFT(tblMovement[[#This Row],[Material]],3)="Ore",1,0))</f>
        <v/>
      </c>
      <c r="N2946" s="59">
        <f>IF(OR(tblMovement[[#This Row],[Tonnes_t]]="",tblMovement[[#This Row],[Grade_gpt]]=""),0,tblMovement[[#This Row],[Tonnes_t]]*tblMovement[[#This Row],[Grade_gpt]]/cfg_TroyOz)</f>
        <v/>
      </c>
      <c r="O2946" s="59">
        <f>IF(tblMovement[[#This Row],[Is_Ore]]=1,tblMovement[[#This Row],[Contained_oz]],0)</f>
        <v/>
      </c>
    </row>
    <row r="2947">
      <c r="A2947" s="54" t="n"/>
      <c r="B2947" s="61" t="n"/>
      <c r="C2947" s="61" t="n"/>
      <c r="D2947" s="61" t="n"/>
      <c r="E2947" s="61" t="n"/>
      <c r="F2947" s="55" t="n"/>
      <c r="G2947" s="56" t="n"/>
      <c r="H2947" s="55" t="n"/>
      <c r="I2947" s="62" t="n"/>
      <c r="J2947" s="58" t="n"/>
      <c r="K2947" s="63">
        <f>IF(tblMovement[[#This Row],[Source]]="","",IFERROR(INDEX(tblSources[Type],MATCH(tblMovement[[#This Row],[Source]],tblSources[Source],0)),"?"))</f>
        <v/>
      </c>
      <c r="L2947" s="63">
        <f>IF(tblMovement[[#This Row],[Destination]]="","",IFERROR(INDEX(tblDestinations[Type],MATCH(tblMovement[[#This Row],[Destination]],tblDestinations[Destination],0)),"?"))</f>
        <v/>
      </c>
      <c r="M2947" s="64">
        <f>IF(tblMovement[[#This Row],[Material]]="","",IF(LEFT(tblMovement[[#This Row],[Material]],3)="Ore",1,0))</f>
        <v/>
      </c>
      <c r="N2947" s="59">
        <f>IF(OR(tblMovement[[#This Row],[Tonnes_t]]="",tblMovement[[#This Row],[Grade_gpt]]=""),0,tblMovement[[#This Row],[Tonnes_t]]*tblMovement[[#This Row],[Grade_gpt]]/cfg_TroyOz)</f>
        <v/>
      </c>
      <c r="O2947" s="59">
        <f>IF(tblMovement[[#This Row],[Is_Ore]]=1,tblMovement[[#This Row],[Contained_oz]],0)</f>
        <v/>
      </c>
    </row>
    <row r="2948">
      <c r="A2948" s="54" t="n"/>
      <c r="B2948" s="61" t="n"/>
      <c r="C2948" s="61" t="n"/>
      <c r="D2948" s="61" t="n"/>
      <c r="E2948" s="61" t="n"/>
      <c r="F2948" s="55" t="n"/>
      <c r="G2948" s="56" t="n"/>
      <c r="H2948" s="55" t="n"/>
      <c r="I2948" s="62" t="n"/>
      <c r="J2948" s="58" t="n"/>
      <c r="K2948" s="63">
        <f>IF(tblMovement[[#This Row],[Source]]="","",IFERROR(INDEX(tblSources[Type],MATCH(tblMovement[[#This Row],[Source]],tblSources[Source],0)),"?"))</f>
        <v/>
      </c>
      <c r="L2948" s="63">
        <f>IF(tblMovement[[#This Row],[Destination]]="","",IFERROR(INDEX(tblDestinations[Type],MATCH(tblMovement[[#This Row],[Destination]],tblDestinations[Destination],0)),"?"))</f>
        <v/>
      </c>
      <c r="M2948" s="64">
        <f>IF(tblMovement[[#This Row],[Material]]="","",IF(LEFT(tblMovement[[#This Row],[Material]],3)="Ore",1,0))</f>
        <v/>
      </c>
      <c r="N2948" s="59">
        <f>IF(OR(tblMovement[[#This Row],[Tonnes_t]]="",tblMovement[[#This Row],[Grade_gpt]]=""),0,tblMovement[[#This Row],[Tonnes_t]]*tblMovement[[#This Row],[Grade_gpt]]/cfg_TroyOz)</f>
        <v/>
      </c>
      <c r="O2948" s="59">
        <f>IF(tblMovement[[#This Row],[Is_Ore]]=1,tblMovement[[#This Row],[Contained_oz]],0)</f>
        <v/>
      </c>
    </row>
    <row r="2949">
      <c r="A2949" s="54" t="n"/>
      <c r="B2949" s="61" t="n"/>
      <c r="C2949" s="61" t="n"/>
      <c r="D2949" s="61" t="n"/>
      <c r="E2949" s="61" t="n"/>
      <c r="F2949" s="55" t="n"/>
      <c r="G2949" s="56" t="n"/>
      <c r="H2949" s="55" t="n"/>
      <c r="I2949" s="62" t="n"/>
      <c r="J2949" s="58" t="n"/>
      <c r="K2949" s="63">
        <f>IF(tblMovement[[#This Row],[Source]]="","",IFERROR(INDEX(tblSources[Type],MATCH(tblMovement[[#This Row],[Source]],tblSources[Source],0)),"?"))</f>
        <v/>
      </c>
      <c r="L2949" s="63">
        <f>IF(tblMovement[[#This Row],[Destination]]="","",IFERROR(INDEX(tblDestinations[Type],MATCH(tblMovement[[#This Row],[Destination]],tblDestinations[Destination],0)),"?"))</f>
        <v/>
      </c>
      <c r="M2949" s="64">
        <f>IF(tblMovement[[#This Row],[Material]]="","",IF(LEFT(tblMovement[[#This Row],[Material]],3)="Ore",1,0))</f>
        <v/>
      </c>
      <c r="N2949" s="59">
        <f>IF(OR(tblMovement[[#This Row],[Tonnes_t]]="",tblMovement[[#This Row],[Grade_gpt]]=""),0,tblMovement[[#This Row],[Tonnes_t]]*tblMovement[[#This Row],[Grade_gpt]]/cfg_TroyOz)</f>
        <v/>
      </c>
      <c r="O2949" s="59">
        <f>IF(tblMovement[[#This Row],[Is_Ore]]=1,tblMovement[[#This Row],[Contained_oz]],0)</f>
        <v/>
      </c>
    </row>
    <row r="2950">
      <c r="A2950" s="54" t="n"/>
      <c r="B2950" s="61" t="n"/>
      <c r="C2950" s="61" t="n"/>
      <c r="D2950" s="61" t="n"/>
      <c r="E2950" s="61" t="n"/>
      <c r="F2950" s="55" t="n"/>
      <c r="G2950" s="56" t="n"/>
      <c r="H2950" s="55" t="n"/>
      <c r="I2950" s="62" t="n"/>
      <c r="J2950" s="58" t="n"/>
      <c r="K2950" s="63">
        <f>IF(tblMovement[[#This Row],[Source]]="","",IFERROR(INDEX(tblSources[Type],MATCH(tblMovement[[#This Row],[Source]],tblSources[Source],0)),"?"))</f>
        <v/>
      </c>
      <c r="L2950" s="63">
        <f>IF(tblMovement[[#This Row],[Destination]]="","",IFERROR(INDEX(tblDestinations[Type],MATCH(tblMovement[[#This Row],[Destination]],tblDestinations[Destination],0)),"?"))</f>
        <v/>
      </c>
      <c r="M2950" s="64">
        <f>IF(tblMovement[[#This Row],[Material]]="","",IF(LEFT(tblMovement[[#This Row],[Material]],3)="Ore",1,0))</f>
        <v/>
      </c>
      <c r="N2950" s="59">
        <f>IF(OR(tblMovement[[#This Row],[Tonnes_t]]="",tblMovement[[#This Row],[Grade_gpt]]=""),0,tblMovement[[#This Row],[Tonnes_t]]*tblMovement[[#This Row],[Grade_gpt]]/cfg_TroyOz)</f>
        <v/>
      </c>
      <c r="O2950" s="59">
        <f>IF(tblMovement[[#This Row],[Is_Ore]]=1,tblMovement[[#This Row],[Contained_oz]],0)</f>
        <v/>
      </c>
    </row>
    <row r="2951">
      <c r="A2951" s="54" t="n"/>
      <c r="B2951" s="61" t="n"/>
      <c r="C2951" s="61" t="n"/>
      <c r="D2951" s="61" t="n"/>
      <c r="E2951" s="61" t="n"/>
      <c r="F2951" s="55" t="n"/>
      <c r="G2951" s="56" t="n"/>
      <c r="H2951" s="55" t="n"/>
      <c r="I2951" s="62" t="n"/>
      <c r="J2951" s="58" t="n"/>
      <c r="K2951" s="63">
        <f>IF(tblMovement[[#This Row],[Source]]="","",IFERROR(INDEX(tblSources[Type],MATCH(tblMovement[[#This Row],[Source]],tblSources[Source],0)),"?"))</f>
        <v/>
      </c>
      <c r="L2951" s="63">
        <f>IF(tblMovement[[#This Row],[Destination]]="","",IFERROR(INDEX(tblDestinations[Type],MATCH(tblMovement[[#This Row],[Destination]],tblDestinations[Destination],0)),"?"))</f>
        <v/>
      </c>
      <c r="M2951" s="64">
        <f>IF(tblMovement[[#This Row],[Material]]="","",IF(LEFT(tblMovement[[#This Row],[Material]],3)="Ore",1,0))</f>
        <v/>
      </c>
      <c r="N2951" s="59">
        <f>IF(OR(tblMovement[[#This Row],[Tonnes_t]]="",tblMovement[[#This Row],[Grade_gpt]]=""),0,tblMovement[[#This Row],[Tonnes_t]]*tblMovement[[#This Row],[Grade_gpt]]/cfg_TroyOz)</f>
        <v/>
      </c>
      <c r="O2951" s="59">
        <f>IF(tblMovement[[#This Row],[Is_Ore]]=1,tblMovement[[#This Row],[Contained_oz]],0)</f>
        <v/>
      </c>
    </row>
    <row r="2952">
      <c r="A2952" s="54" t="n"/>
      <c r="B2952" s="61" t="n"/>
      <c r="C2952" s="61" t="n"/>
      <c r="D2952" s="61" t="n"/>
      <c r="E2952" s="61" t="n"/>
      <c r="F2952" s="55" t="n"/>
      <c r="G2952" s="56" t="n"/>
      <c r="H2952" s="55" t="n"/>
      <c r="I2952" s="62" t="n"/>
      <c r="J2952" s="58" t="n"/>
      <c r="K2952" s="63">
        <f>IF(tblMovement[[#This Row],[Source]]="","",IFERROR(INDEX(tblSources[Type],MATCH(tblMovement[[#This Row],[Source]],tblSources[Source],0)),"?"))</f>
        <v/>
      </c>
      <c r="L2952" s="63">
        <f>IF(tblMovement[[#This Row],[Destination]]="","",IFERROR(INDEX(tblDestinations[Type],MATCH(tblMovement[[#This Row],[Destination]],tblDestinations[Destination],0)),"?"))</f>
        <v/>
      </c>
      <c r="M2952" s="64">
        <f>IF(tblMovement[[#This Row],[Material]]="","",IF(LEFT(tblMovement[[#This Row],[Material]],3)="Ore",1,0))</f>
        <v/>
      </c>
      <c r="N2952" s="59">
        <f>IF(OR(tblMovement[[#This Row],[Tonnes_t]]="",tblMovement[[#This Row],[Grade_gpt]]=""),0,tblMovement[[#This Row],[Tonnes_t]]*tblMovement[[#This Row],[Grade_gpt]]/cfg_TroyOz)</f>
        <v/>
      </c>
      <c r="O2952" s="59">
        <f>IF(tblMovement[[#This Row],[Is_Ore]]=1,tblMovement[[#This Row],[Contained_oz]],0)</f>
        <v/>
      </c>
    </row>
    <row r="2953">
      <c r="A2953" s="54" t="n"/>
      <c r="B2953" s="61" t="n"/>
      <c r="C2953" s="61" t="n"/>
      <c r="D2953" s="61" t="n"/>
      <c r="E2953" s="61" t="n"/>
      <c r="F2953" s="55" t="n"/>
      <c r="G2953" s="56" t="n"/>
      <c r="H2953" s="55" t="n"/>
      <c r="I2953" s="62" t="n"/>
      <c r="J2953" s="58" t="n"/>
      <c r="K2953" s="63">
        <f>IF(tblMovement[[#This Row],[Source]]="","",IFERROR(INDEX(tblSources[Type],MATCH(tblMovement[[#This Row],[Source]],tblSources[Source],0)),"?"))</f>
        <v/>
      </c>
      <c r="L2953" s="63">
        <f>IF(tblMovement[[#This Row],[Destination]]="","",IFERROR(INDEX(tblDestinations[Type],MATCH(tblMovement[[#This Row],[Destination]],tblDestinations[Destination],0)),"?"))</f>
        <v/>
      </c>
      <c r="M2953" s="64">
        <f>IF(tblMovement[[#This Row],[Material]]="","",IF(LEFT(tblMovement[[#This Row],[Material]],3)="Ore",1,0))</f>
        <v/>
      </c>
      <c r="N2953" s="59">
        <f>IF(OR(tblMovement[[#This Row],[Tonnes_t]]="",tblMovement[[#This Row],[Grade_gpt]]=""),0,tblMovement[[#This Row],[Tonnes_t]]*tblMovement[[#This Row],[Grade_gpt]]/cfg_TroyOz)</f>
        <v/>
      </c>
      <c r="O2953" s="59">
        <f>IF(tblMovement[[#This Row],[Is_Ore]]=1,tblMovement[[#This Row],[Contained_oz]],0)</f>
        <v/>
      </c>
    </row>
    <row r="2954">
      <c r="A2954" s="54" t="n"/>
      <c r="B2954" s="61" t="n"/>
      <c r="C2954" s="61" t="n"/>
      <c r="D2954" s="61" t="n"/>
      <c r="E2954" s="61" t="n"/>
      <c r="F2954" s="55" t="n"/>
      <c r="G2954" s="56" t="n"/>
      <c r="H2954" s="55" t="n"/>
      <c r="I2954" s="62" t="n"/>
      <c r="J2954" s="58" t="n"/>
      <c r="K2954" s="63">
        <f>IF(tblMovement[[#This Row],[Source]]="","",IFERROR(INDEX(tblSources[Type],MATCH(tblMovement[[#This Row],[Source]],tblSources[Source],0)),"?"))</f>
        <v/>
      </c>
      <c r="L2954" s="63">
        <f>IF(tblMovement[[#This Row],[Destination]]="","",IFERROR(INDEX(tblDestinations[Type],MATCH(tblMovement[[#This Row],[Destination]],tblDestinations[Destination],0)),"?"))</f>
        <v/>
      </c>
      <c r="M2954" s="64">
        <f>IF(tblMovement[[#This Row],[Material]]="","",IF(LEFT(tblMovement[[#This Row],[Material]],3)="Ore",1,0))</f>
        <v/>
      </c>
      <c r="N2954" s="59">
        <f>IF(OR(tblMovement[[#This Row],[Tonnes_t]]="",tblMovement[[#This Row],[Grade_gpt]]=""),0,tblMovement[[#This Row],[Tonnes_t]]*tblMovement[[#This Row],[Grade_gpt]]/cfg_TroyOz)</f>
        <v/>
      </c>
      <c r="O2954" s="59">
        <f>IF(tblMovement[[#This Row],[Is_Ore]]=1,tblMovement[[#This Row],[Contained_oz]],0)</f>
        <v/>
      </c>
    </row>
    <row r="2955">
      <c r="A2955" s="54" t="n"/>
      <c r="B2955" s="61" t="n"/>
      <c r="C2955" s="61" t="n"/>
      <c r="D2955" s="61" t="n"/>
      <c r="E2955" s="61" t="n"/>
      <c r="F2955" s="55" t="n"/>
      <c r="G2955" s="56" t="n"/>
      <c r="H2955" s="55" t="n"/>
      <c r="I2955" s="62" t="n"/>
      <c r="J2955" s="58" t="n"/>
      <c r="K2955" s="63">
        <f>IF(tblMovement[[#This Row],[Source]]="","",IFERROR(INDEX(tblSources[Type],MATCH(tblMovement[[#This Row],[Source]],tblSources[Source],0)),"?"))</f>
        <v/>
      </c>
      <c r="L2955" s="63">
        <f>IF(tblMovement[[#This Row],[Destination]]="","",IFERROR(INDEX(tblDestinations[Type],MATCH(tblMovement[[#This Row],[Destination]],tblDestinations[Destination],0)),"?"))</f>
        <v/>
      </c>
      <c r="M2955" s="64">
        <f>IF(tblMovement[[#This Row],[Material]]="","",IF(LEFT(tblMovement[[#This Row],[Material]],3)="Ore",1,0))</f>
        <v/>
      </c>
      <c r="N2955" s="59">
        <f>IF(OR(tblMovement[[#This Row],[Tonnes_t]]="",tblMovement[[#This Row],[Grade_gpt]]=""),0,tblMovement[[#This Row],[Tonnes_t]]*tblMovement[[#This Row],[Grade_gpt]]/cfg_TroyOz)</f>
        <v/>
      </c>
      <c r="O2955" s="59">
        <f>IF(tblMovement[[#This Row],[Is_Ore]]=1,tblMovement[[#This Row],[Contained_oz]],0)</f>
        <v/>
      </c>
    </row>
    <row r="2956">
      <c r="A2956" s="54" t="n"/>
      <c r="B2956" s="61" t="n"/>
      <c r="C2956" s="61" t="n"/>
      <c r="D2956" s="61" t="n"/>
      <c r="E2956" s="61" t="n"/>
      <c r="F2956" s="55" t="n"/>
      <c r="G2956" s="56" t="n"/>
      <c r="H2956" s="55" t="n"/>
      <c r="I2956" s="62" t="n"/>
      <c r="J2956" s="58" t="n"/>
      <c r="K2956" s="63">
        <f>IF(tblMovement[[#This Row],[Source]]="","",IFERROR(INDEX(tblSources[Type],MATCH(tblMovement[[#This Row],[Source]],tblSources[Source],0)),"?"))</f>
        <v/>
      </c>
      <c r="L2956" s="63">
        <f>IF(tblMovement[[#This Row],[Destination]]="","",IFERROR(INDEX(tblDestinations[Type],MATCH(tblMovement[[#This Row],[Destination]],tblDestinations[Destination],0)),"?"))</f>
        <v/>
      </c>
      <c r="M2956" s="64">
        <f>IF(tblMovement[[#This Row],[Material]]="","",IF(LEFT(tblMovement[[#This Row],[Material]],3)="Ore",1,0))</f>
        <v/>
      </c>
      <c r="N2956" s="59">
        <f>IF(OR(tblMovement[[#This Row],[Tonnes_t]]="",tblMovement[[#This Row],[Grade_gpt]]=""),0,tblMovement[[#This Row],[Tonnes_t]]*tblMovement[[#This Row],[Grade_gpt]]/cfg_TroyOz)</f>
        <v/>
      </c>
      <c r="O2956" s="59">
        <f>IF(tblMovement[[#This Row],[Is_Ore]]=1,tblMovement[[#This Row],[Contained_oz]],0)</f>
        <v/>
      </c>
    </row>
    <row r="2957">
      <c r="A2957" s="54" t="n"/>
      <c r="B2957" s="61" t="n"/>
      <c r="C2957" s="61" t="n"/>
      <c r="D2957" s="61" t="n"/>
      <c r="E2957" s="61" t="n"/>
      <c r="F2957" s="55" t="n"/>
      <c r="G2957" s="56" t="n"/>
      <c r="H2957" s="55" t="n"/>
      <c r="I2957" s="62" t="n"/>
      <c r="J2957" s="58" t="n"/>
      <c r="K2957" s="63">
        <f>IF(tblMovement[[#This Row],[Source]]="","",IFERROR(INDEX(tblSources[Type],MATCH(tblMovement[[#This Row],[Source]],tblSources[Source],0)),"?"))</f>
        <v/>
      </c>
      <c r="L2957" s="63">
        <f>IF(tblMovement[[#This Row],[Destination]]="","",IFERROR(INDEX(tblDestinations[Type],MATCH(tblMovement[[#This Row],[Destination]],tblDestinations[Destination],0)),"?"))</f>
        <v/>
      </c>
      <c r="M2957" s="64">
        <f>IF(tblMovement[[#This Row],[Material]]="","",IF(LEFT(tblMovement[[#This Row],[Material]],3)="Ore",1,0))</f>
        <v/>
      </c>
      <c r="N2957" s="59">
        <f>IF(OR(tblMovement[[#This Row],[Tonnes_t]]="",tblMovement[[#This Row],[Grade_gpt]]=""),0,tblMovement[[#This Row],[Tonnes_t]]*tblMovement[[#This Row],[Grade_gpt]]/cfg_TroyOz)</f>
        <v/>
      </c>
      <c r="O2957" s="59">
        <f>IF(tblMovement[[#This Row],[Is_Ore]]=1,tblMovement[[#This Row],[Contained_oz]],0)</f>
        <v/>
      </c>
    </row>
    <row r="2958">
      <c r="A2958" s="54" t="n"/>
      <c r="B2958" s="61" t="n"/>
      <c r="C2958" s="61" t="n"/>
      <c r="D2958" s="61" t="n"/>
      <c r="E2958" s="61" t="n"/>
      <c r="F2958" s="55" t="n"/>
      <c r="G2958" s="56" t="n"/>
      <c r="H2958" s="55" t="n"/>
      <c r="I2958" s="62" t="n"/>
      <c r="J2958" s="58" t="n"/>
      <c r="K2958" s="63">
        <f>IF(tblMovement[[#This Row],[Source]]="","",IFERROR(INDEX(tblSources[Type],MATCH(tblMovement[[#This Row],[Source]],tblSources[Source],0)),"?"))</f>
        <v/>
      </c>
      <c r="L2958" s="63">
        <f>IF(tblMovement[[#This Row],[Destination]]="","",IFERROR(INDEX(tblDestinations[Type],MATCH(tblMovement[[#This Row],[Destination]],tblDestinations[Destination],0)),"?"))</f>
        <v/>
      </c>
      <c r="M2958" s="64">
        <f>IF(tblMovement[[#This Row],[Material]]="","",IF(LEFT(tblMovement[[#This Row],[Material]],3)="Ore",1,0))</f>
        <v/>
      </c>
      <c r="N2958" s="59">
        <f>IF(OR(tblMovement[[#This Row],[Tonnes_t]]="",tblMovement[[#This Row],[Grade_gpt]]=""),0,tblMovement[[#This Row],[Tonnes_t]]*tblMovement[[#This Row],[Grade_gpt]]/cfg_TroyOz)</f>
        <v/>
      </c>
      <c r="O2958" s="59">
        <f>IF(tblMovement[[#This Row],[Is_Ore]]=1,tblMovement[[#This Row],[Contained_oz]],0)</f>
        <v/>
      </c>
    </row>
    <row r="2959">
      <c r="A2959" s="54" t="n"/>
      <c r="B2959" s="61" t="n"/>
      <c r="C2959" s="61" t="n"/>
      <c r="D2959" s="61" t="n"/>
      <c r="E2959" s="61" t="n"/>
      <c r="F2959" s="55" t="n"/>
      <c r="G2959" s="56" t="n"/>
      <c r="H2959" s="55" t="n"/>
      <c r="I2959" s="62" t="n"/>
      <c r="J2959" s="58" t="n"/>
      <c r="K2959" s="63">
        <f>IF(tblMovement[[#This Row],[Source]]="","",IFERROR(INDEX(tblSources[Type],MATCH(tblMovement[[#This Row],[Source]],tblSources[Source],0)),"?"))</f>
        <v/>
      </c>
      <c r="L2959" s="63">
        <f>IF(tblMovement[[#This Row],[Destination]]="","",IFERROR(INDEX(tblDestinations[Type],MATCH(tblMovement[[#This Row],[Destination]],tblDestinations[Destination],0)),"?"))</f>
        <v/>
      </c>
      <c r="M2959" s="64">
        <f>IF(tblMovement[[#This Row],[Material]]="","",IF(LEFT(tblMovement[[#This Row],[Material]],3)="Ore",1,0))</f>
        <v/>
      </c>
      <c r="N2959" s="59">
        <f>IF(OR(tblMovement[[#This Row],[Tonnes_t]]="",tblMovement[[#This Row],[Grade_gpt]]=""),0,tblMovement[[#This Row],[Tonnes_t]]*tblMovement[[#This Row],[Grade_gpt]]/cfg_TroyOz)</f>
        <v/>
      </c>
      <c r="O2959" s="59">
        <f>IF(tblMovement[[#This Row],[Is_Ore]]=1,tblMovement[[#This Row],[Contained_oz]],0)</f>
        <v/>
      </c>
    </row>
    <row r="2960">
      <c r="A2960" s="54" t="n"/>
      <c r="B2960" s="61" t="n"/>
      <c r="C2960" s="61" t="n"/>
      <c r="D2960" s="61" t="n"/>
      <c r="E2960" s="61" t="n"/>
      <c r="F2960" s="55" t="n"/>
      <c r="G2960" s="56" t="n"/>
      <c r="H2960" s="55" t="n"/>
      <c r="I2960" s="62" t="n"/>
      <c r="J2960" s="58" t="n"/>
      <c r="K2960" s="63">
        <f>IF(tblMovement[[#This Row],[Source]]="","",IFERROR(INDEX(tblSources[Type],MATCH(tblMovement[[#This Row],[Source]],tblSources[Source],0)),"?"))</f>
        <v/>
      </c>
      <c r="L2960" s="63">
        <f>IF(tblMovement[[#This Row],[Destination]]="","",IFERROR(INDEX(tblDestinations[Type],MATCH(tblMovement[[#This Row],[Destination]],tblDestinations[Destination],0)),"?"))</f>
        <v/>
      </c>
      <c r="M2960" s="64">
        <f>IF(tblMovement[[#This Row],[Material]]="","",IF(LEFT(tblMovement[[#This Row],[Material]],3)="Ore",1,0))</f>
        <v/>
      </c>
      <c r="N2960" s="59">
        <f>IF(OR(tblMovement[[#This Row],[Tonnes_t]]="",tblMovement[[#This Row],[Grade_gpt]]=""),0,tblMovement[[#This Row],[Tonnes_t]]*tblMovement[[#This Row],[Grade_gpt]]/cfg_TroyOz)</f>
        <v/>
      </c>
      <c r="O2960" s="59">
        <f>IF(tblMovement[[#This Row],[Is_Ore]]=1,tblMovement[[#This Row],[Contained_oz]],0)</f>
        <v/>
      </c>
    </row>
    <row r="2961">
      <c r="A2961" s="54" t="n"/>
      <c r="B2961" s="61" t="n"/>
      <c r="C2961" s="61" t="n"/>
      <c r="D2961" s="61" t="n"/>
      <c r="E2961" s="61" t="n"/>
      <c r="F2961" s="55" t="n"/>
      <c r="G2961" s="56" t="n"/>
      <c r="H2961" s="55" t="n"/>
      <c r="I2961" s="62" t="n"/>
      <c r="J2961" s="58" t="n"/>
      <c r="K2961" s="63">
        <f>IF(tblMovement[[#This Row],[Source]]="","",IFERROR(INDEX(tblSources[Type],MATCH(tblMovement[[#This Row],[Source]],tblSources[Source],0)),"?"))</f>
        <v/>
      </c>
      <c r="L2961" s="63">
        <f>IF(tblMovement[[#This Row],[Destination]]="","",IFERROR(INDEX(tblDestinations[Type],MATCH(tblMovement[[#This Row],[Destination]],tblDestinations[Destination],0)),"?"))</f>
        <v/>
      </c>
      <c r="M2961" s="64">
        <f>IF(tblMovement[[#This Row],[Material]]="","",IF(LEFT(tblMovement[[#This Row],[Material]],3)="Ore",1,0))</f>
        <v/>
      </c>
      <c r="N2961" s="59">
        <f>IF(OR(tblMovement[[#This Row],[Tonnes_t]]="",tblMovement[[#This Row],[Grade_gpt]]=""),0,tblMovement[[#This Row],[Tonnes_t]]*tblMovement[[#This Row],[Grade_gpt]]/cfg_TroyOz)</f>
        <v/>
      </c>
      <c r="O2961" s="59">
        <f>IF(tblMovement[[#This Row],[Is_Ore]]=1,tblMovement[[#This Row],[Contained_oz]],0)</f>
        <v/>
      </c>
    </row>
    <row r="2962">
      <c r="A2962" s="54" t="n"/>
      <c r="B2962" s="61" t="n"/>
      <c r="C2962" s="61" t="n"/>
      <c r="D2962" s="61" t="n"/>
      <c r="E2962" s="61" t="n"/>
      <c r="F2962" s="55" t="n"/>
      <c r="G2962" s="56" t="n"/>
      <c r="H2962" s="55" t="n"/>
      <c r="I2962" s="62" t="n"/>
      <c r="J2962" s="58" t="n"/>
      <c r="K2962" s="63">
        <f>IF(tblMovement[[#This Row],[Source]]="","",IFERROR(INDEX(tblSources[Type],MATCH(tblMovement[[#This Row],[Source]],tblSources[Source],0)),"?"))</f>
        <v/>
      </c>
      <c r="L2962" s="63">
        <f>IF(tblMovement[[#This Row],[Destination]]="","",IFERROR(INDEX(tblDestinations[Type],MATCH(tblMovement[[#This Row],[Destination]],tblDestinations[Destination],0)),"?"))</f>
        <v/>
      </c>
      <c r="M2962" s="64">
        <f>IF(tblMovement[[#This Row],[Material]]="","",IF(LEFT(tblMovement[[#This Row],[Material]],3)="Ore",1,0))</f>
        <v/>
      </c>
      <c r="N2962" s="59">
        <f>IF(OR(tblMovement[[#This Row],[Tonnes_t]]="",tblMovement[[#This Row],[Grade_gpt]]=""),0,tblMovement[[#This Row],[Tonnes_t]]*tblMovement[[#This Row],[Grade_gpt]]/cfg_TroyOz)</f>
        <v/>
      </c>
      <c r="O2962" s="59">
        <f>IF(tblMovement[[#This Row],[Is_Ore]]=1,tblMovement[[#This Row],[Contained_oz]],0)</f>
        <v/>
      </c>
    </row>
    <row r="2963">
      <c r="A2963" s="54" t="n"/>
      <c r="B2963" s="61" t="n"/>
      <c r="C2963" s="61" t="n"/>
      <c r="D2963" s="61" t="n"/>
      <c r="E2963" s="61" t="n"/>
      <c r="F2963" s="55" t="n"/>
      <c r="G2963" s="56" t="n"/>
      <c r="H2963" s="55" t="n"/>
      <c r="I2963" s="62" t="n"/>
      <c r="J2963" s="58" t="n"/>
      <c r="K2963" s="63">
        <f>IF(tblMovement[[#This Row],[Source]]="","",IFERROR(INDEX(tblSources[Type],MATCH(tblMovement[[#This Row],[Source]],tblSources[Source],0)),"?"))</f>
        <v/>
      </c>
      <c r="L2963" s="63">
        <f>IF(tblMovement[[#This Row],[Destination]]="","",IFERROR(INDEX(tblDestinations[Type],MATCH(tblMovement[[#This Row],[Destination]],tblDestinations[Destination],0)),"?"))</f>
        <v/>
      </c>
      <c r="M2963" s="64">
        <f>IF(tblMovement[[#This Row],[Material]]="","",IF(LEFT(tblMovement[[#This Row],[Material]],3)="Ore",1,0))</f>
        <v/>
      </c>
      <c r="N2963" s="59">
        <f>IF(OR(tblMovement[[#This Row],[Tonnes_t]]="",tblMovement[[#This Row],[Grade_gpt]]=""),0,tblMovement[[#This Row],[Tonnes_t]]*tblMovement[[#This Row],[Grade_gpt]]/cfg_TroyOz)</f>
        <v/>
      </c>
      <c r="O2963" s="59">
        <f>IF(tblMovement[[#This Row],[Is_Ore]]=1,tblMovement[[#This Row],[Contained_oz]],0)</f>
        <v/>
      </c>
    </row>
    <row r="2964">
      <c r="A2964" s="54" t="n"/>
      <c r="B2964" s="61" t="n"/>
      <c r="C2964" s="61" t="n"/>
      <c r="D2964" s="61" t="n"/>
      <c r="E2964" s="61" t="n"/>
      <c r="F2964" s="55" t="n"/>
      <c r="G2964" s="56" t="n"/>
      <c r="H2964" s="55" t="n"/>
      <c r="I2964" s="62" t="n"/>
      <c r="J2964" s="58" t="n"/>
      <c r="K2964" s="63">
        <f>IF(tblMovement[[#This Row],[Source]]="","",IFERROR(INDEX(tblSources[Type],MATCH(tblMovement[[#This Row],[Source]],tblSources[Source],0)),"?"))</f>
        <v/>
      </c>
      <c r="L2964" s="63">
        <f>IF(tblMovement[[#This Row],[Destination]]="","",IFERROR(INDEX(tblDestinations[Type],MATCH(tblMovement[[#This Row],[Destination]],tblDestinations[Destination],0)),"?"))</f>
        <v/>
      </c>
      <c r="M2964" s="64">
        <f>IF(tblMovement[[#This Row],[Material]]="","",IF(LEFT(tblMovement[[#This Row],[Material]],3)="Ore",1,0))</f>
        <v/>
      </c>
      <c r="N2964" s="59">
        <f>IF(OR(tblMovement[[#This Row],[Tonnes_t]]="",tblMovement[[#This Row],[Grade_gpt]]=""),0,tblMovement[[#This Row],[Tonnes_t]]*tblMovement[[#This Row],[Grade_gpt]]/cfg_TroyOz)</f>
        <v/>
      </c>
      <c r="O2964" s="59">
        <f>IF(tblMovement[[#This Row],[Is_Ore]]=1,tblMovement[[#This Row],[Contained_oz]],0)</f>
        <v/>
      </c>
    </row>
    <row r="2965">
      <c r="A2965" s="54" t="n"/>
      <c r="B2965" s="61" t="n"/>
      <c r="C2965" s="61" t="n"/>
      <c r="D2965" s="61" t="n"/>
      <c r="E2965" s="61" t="n"/>
      <c r="F2965" s="55" t="n"/>
      <c r="G2965" s="56" t="n"/>
      <c r="H2965" s="55" t="n"/>
      <c r="I2965" s="62" t="n"/>
      <c r="J2965" s="58" t="n"/>
      <c r="K2965" s="63">
        <f>IF(tblMovement[[#This Row],[Source]]="","",IFERROR(INDEX(tblSources[Type],MATCH(tblMovement[[#This Row],[Source]],tblSources[Source],0)),"?"))</f>
        <v/>
      </c>
      <c r="L2965" s="63">
        <f>IF(tblMovement[[#This Row],[Destination]]="","",IFERROR(INDEX(tblDestinations[Type],MATCH(tblMovement[[#This Row],[Destination]],tblDestinations[Destination],0)),"?"))</f>
        <v/>
      </c>
      <c r="M2965" s="64">
        <f>IF(tblMovement[[#This Row],[Material]]="","",IF(LEFT(tblMovement[[#This Row],[Material]],3)="Ore",1,0))</f>
        <v/>
      </c>
      <c r="N2965" s="59">
        <f>IF(OR(tblMovement[[#This Row],[Tonnes_t]]="",tblMovement[[#This Row],[Grade_gpt]]=""),0,tblMovement[[#This Row],[Tonnes_t]]*tblMovement[[#This Row],[Grade_gpt]]/cfg_TroyOz)</f>
        <v/>
      </c>
      <c r="O2965" s="59">
        <f>IF(tblMovement[[#This Row],[Is_Ore]]=1,tblMovement[[#This Row],[Contained_oz]],0)</f>
        <v/>
      </c>
    </row>
    <row r="2966">
      <c r="A2966" s="54" t="n"/>
      <c r="B2966" s="61" t="n"/>
      <c r="C2966" s="61" t="n"/>
      <c r="D2966" s="61" t="n"/>
      <c r="E2966" s="61" t="n"/>
      <c r="F2966" s="55" t="n"/>
      <c r="G2966" s="56" t="n"/>
      <c r="H2966" s="55" t="n"/>
      <c r="I2966" s="62" t="n"/>
      <c r="J2966" s="58" t="n"/>
      <c r="K2966" s="63">
        <f>IF(tblMovement[[#This Row],[Source]]="","",IFERROR(INDEX(tblSources[Type],MATCH(tblMovement[[#This Row],[Source]],tblSources[Source],0)),"?"))</f>
        <v/>
      </c>
      <c r="L2966" s="63">
        <f>IF(tblMovement[[#This Row],[Destination]]="","",IFERROR(INDEX(tblDestinations[Type],MATCH(tblMovement[[#This Row],[Destination]],tblDestinations[Destination],0)),"?"))</f>
        <v/>
      </c>
      <c r="M2966" s="64">
        <f>IF(tblMovement[[#This Row],[Material]]="","",IF(LEFT(tblMovement[[#This Row],[Material]],3)="Ore",1,0))</f>
        <v/>
      </c>
      <c r="N2966" s="59">
        <f>IF(OR(tblMovement[[#This Row],[Tonnes_t]]="",tblMovement[[#This Row],[Grade_gpt]]=""),0,tblMovement[[#This Row],[Tonnes_t]]*tblMovement[[#This Row],[Grade_gpt]]/cfg_TroyOz)</f>
        <v/>
      </c>
      <c r="O2966" s="59">
        <f>IF(tblMovement[[#This Row],[Is_Ore]]=1,tblMovement[[#This Row],[Contained_oz]],0)</f>
        <v/>
      </c>
    </row>
    <row r="2967">
      <c r="A2967" s="54" t="n"/>
      <c r="B2967" s="61" t="n"/>
      <c r="C2967" s="61" t="n"/>
      <c r="D2967" s="61" t="n"/>
      <c r="E2967" s="61" t="n"/>
      <c r="F2967" s="55" t="n"/>
      <c r="G2967" s="56" t="n"/>
      <c r="H2967" s="55" t="n"/>
      <c r="I2967" s="62" t="n"/>
      <c r="J2967" s="58" t="n"/>
      <c r="K2967" s="63">
        <f>IF(tblMovement[[#This Row],[Source]]="","",IFERROR(INDEX(tblSources[Type],MATCH(tblMovement[[#This Row],[Source]],tblSources[Source],0)),"?"))</f>
        <v/>
      </c>
      <c r="L2967" s="63">
        <f>IF(tblMovement[[#This Row],[Destination]]="","",IFERROR(INDEX(tblDestinations[Type],MATCH(tblMovement[[#This Row],[Destination]],tblDestinations[Destination],0)),"?"))</f>
        <v/>
      </c>
      <c r="M2967" s="64">
        <f>IF(tblMovement[[#This Row],[Material]]="","",IF(LEFT(tblMovement[[#This Row],[Material]],3)="Ore",1,0))</f>
        <v/>
      </c>
      <c r="N2967" s="59">
        <f>IF(OR(tblMovement[[#This Row],[Tonnes_t]]="",tblMovement[[#This Row],[Grade_gpt]]=""),0,tblMovement[[#This Row],[Tonnes_t]]*tblMovement[[#This Row],[Grade_gpt]]/cfg_TroyOz)</f>
        <v/>
      </c>
      <c r="O2967" s="59">
        <f>IF(tblMovement[[#This Row],[Is_Ore]]=1,tblMovement[[#This Row],[Contained_oz]],0)</f>
        <v/>
      </c>
    </row>
    <row r="2968">
      <c r="A2968" s="54" t="n"/>
      <c r="B2968" s="61" t="n"/>
      <c r="C2968" s="61" t="n"/>
      <c r="D2968" s="61" t="n"/>
      <c r="E2968" s="61" t="n"/>
      <c r="F2968" s="55" t="n"/>
      <c r="G2968" s="56" t="n"/>
      <c r="H2968" s="55" t="n"/>
      <c r="I2968" s="62" t="n"/>
      <c r="J2968" s="58" t="n"/>
      <c r="K2968" s="63">
        <f>IF(tblMovement[[#This Row],[Source]]="","",IFERROR(INDEX(tblSources[Type],MATCH(tblMovement[[#This Row],[Source]],tblSources[Source],0)),"?"))</f>
        <v/>
      </c>
      <c r="L2968" s="63">
        <f>IF(tblMovement[[#This Row],[Destination]]="","",IFERROR(INDEX(tblDestinations[Type],MATCH(tblMovement[[#This Row],[Destination]],tblDestinations[Destination],0)),"?"))</f>
        <v/>
      </c>
      <c r="M2968" s="64">
        <f>IF(tblMovement[[#This Row],[Material]]="","",IF(LEFT(tblMovement[[#This Row],[Material]],3)="Ore",1,0))</f>
        <v/>
      </c>
      <c r="N2968" s="59">
        <f>IF(OR(tblMovement[[#This Row],[Tonnes_t]]="",tblMovement[[#This Row],[Grade_gpt]]=""),0,tblMovement[[#This Row],[Tonnes_t]]*tblMovement[[#This Row],[Grade_gpt]]/cfg_TroyOz)</f>
        <v/>
      </c>
      <c r="O2968" s="59">
        <f>IF(tblMovement[[#This Row],[Is_Ore]]=1,tblMovement[[#This Row],[Contained_oz]],0)</f>
        <v/>
      </c>
    </row>
    <row r="2969">
      <c r="A2969" s="54" t="n"/>
      <c r="B2969" s="61" t="n"/>
      <c r="C2969" s="61" t="n"/>
      <c r="D2969" s="61" t="n"/>
      <c r="E2969" s="61" t="n"/>
      <c r="F2969" s="55" t="n"/>
      <c r="G2969" s="56" t="n"/>
      <c r="H2969" s="55" t="n"/>
      <c r="I2969" s="62" t="n"/>
      <c r="J2969" s="58" t="n"/>
      <c r="K2969" s="63">
        <f>IF(tblMovement[[#This Row],[Source]]="","",IFERROR(INDEX(tblSources[Type],MATCH(tblMovement[[#This Row],[Source]],tblSources[Source],0)),"?"))</f>
        <v/>
      </c>
      <c r="L2969" s="63">
        <f>IF(tblMovement[[#This Row],[Destination]]="","",IFERROR(INDEX(tblDestinations[Type],MATCH(tblMovement[[#This Row],[Destination]],tblDestinations[Destination],0)),"?"))</f>
        <v/>
      </c>
      <c r="M2969" s="64">
        <f>IF(tblMovement[[#This Row],[Material]]="","",IF(LEFT(tblMovement[[#This Row],[Material]],3)="Ore",1,0))</f>
        <v/>
      </c>
      <c r="N2969" s="59">
        <f>IF(OR(tblMovement[[#This Row],[Tonnes_t]]="",tblMovement[[#This Row],[Grade_gpt]]=""),0,tblMovement[[#This Row],[Tonnes_t]]*tblMovement[[#This Row],[Grade_gpt]]/cfg_TroyOz)</f>
        <v/>
      </c>
      <c r="O2969" s="59">
        <f>IF(tblMovement[[#This Row],[Is_Ore]]=1,tblMovement[[#This Row],[Contained_oz]],0)</f>
        <v/>
      </c>
    </row>
    <row r="2970">
      <c r="A2970" s="54" t="n"/>
      <c r="B2970" s="61" t="n"/>
      <c r="C2970" s="61" t="n"/>
      <c r="D2970" s="61" t="n"/>
      <c r="E2970" s="61" t="n"/>
      <c r="F2970" s="55" t="n"/>
      <c r="G2970" s="56" t="n"/>
      <c r="H2970" s="55" t="n"/>
      <c r="I2970" s="62" t="n"/>
      <c r="J2970" s="58" t="n"/>
      <c r="K2970" s="63">
        <f>IF(tblMovement[[#This Row],[Source]]="","",IFERROR(INDEX(tblSources[Type],MATCH(tblMovement[[#This Row],[Source]],tblSources[Source],0)),"?"))</f>
        <v/>
      </c>
      <c r="L2970" s="63">
        <f>IF(tblMovement[[#This Row],[Destination]]="","",IFERROR(INDEX(tblDestinations[Type],MATCH(tblMovement[[#This Row],[Destination]],tblDestinations[Destination],0)),"?"))</f>
        <v/>
      </c>
      <c r="M2970" s="64">
        <f>IF(tblMovement[[#This Row],[Material]]="","",IF(LEFT(tblMovement[[#This Row],[Material]],3)="Ore",1,0))</f>
        <v/>
      </c>
      <c r="N2970" s="59">
        <f>IF(OR(tblMovement[[#This Row],[Tonnes_t]]="",tblMovement[[#This Row],[Grade_gpt]]=""),0,tblMovement[[#This Row],[Tonnes_t]]*tblMovement[[#This Row],[Grade_gpt]]/cfg_TroyOz)</f>
        <v/>
      </c>
      <c r="O2970" s="59">
        <f>IF(tblMovement[[#This Row],[Is_Ore]]=1,tblMovement[[#This Row],[Contained_oz]],0)</f>
        <v/>
      </c>
    </row>
    <row r="2971">
      <c r="A2971" s="54" t="n"/>
      <c r="B2971" s="61" t="n"/>
      <c r="C2971" s="61" t="n"/>
      <c r="D2971" s="61" t="n"/>
      <c r="E2971" s="61" t="n"/>
      <c r="F2971" s="55" t="n"/>
      <c r="G2971" s="56" t="n"/>
      <c r="H2971" s="55" t="n"/>
      <c r="I2971" s="62" t="n"/>
      <c r="J2971" s="58" t="n"/>
      <c r="K2971" s="63">
        <f>IF(tblMovement[[#This Row],[Source]]="","",IFERROR(INDEX(tblSources[Type],MATCH(tblMovement[[#This Row],[Source]],tblSources[Source],0)),"?"))</f>
        <v/>
      </c>
      <c r="L2971" s="63">
        <f>IF(tblMovement[[#This Row],[Destination]]="","",IFERROR(INDEX(tblDestinations[Type],MATCH(tblMovement[[#This Row],[Destination]],tblDestinations[Destination],0)),"?"))</f>
        <v/>
      </c>
      <c r="M2971" s="64">
        <f>IF(tblMovement[[#This Row],[Material]]="","",IF(LEFT(tblMovement[[#This Row],[Material]],3)="Ore",1,0))</f>
        <v/>
      </c>
      <c r="N2971" s="59">
        <f>IF(OR(tblMovement[[#This Row],[Tonnes_t]]="",tblMovement[[#This Row],[Grade_gpt]]=""),0,tblMovement[[#This Row],[Tonnes_t]]*tblMovement[[#This Row],[Grade_gpt]]/cfg_TroyOz)</f>
        <v/>
      </c>
      <c r="O2971" s="59">
        <f>IF(tblMovement[[#This Row],[Is_Ore]]=1,tblMovement[[#This Row],[Contained_oz]],0)</f>
        <v/>
      </c>
    </row>
    <row r="2972">
      <c r="A2972" s="54" t="n"/>
      <c r="B2972" s="61" t="n"/>
      <c r="C2972" s="61" t="n"/>
      <c r="D2972" s="61" t="n"/>
      <c r="E2972" s="61" t="n"/>
      <c r="F2972" s="55" t="n"/>
      <c r="G2972" s="56" t="n"/>
      <c r="H2972" s="55" t="n"/>
      <c r="I2972" s="62" t="n"/>
      <c r="J2972" s="58" t="n"/>
      <c r="K2972" s="63">
        <f>IF(tblMovement[[#This Row],[Source]]="","",IFERROR(INDEX(tblSources[Type],MATCH(tblMovement[[#This Row],[Source]],tblSources[Source],0)),"?"))</f>
        <v/>
      </c>
      <c r="L2972" s="63">
        <f>IF(tblMovement[[#This Row],[Destination]]="","",IFERROR(INDEX(tblDestinations[Type],MATCH(tblMovement[[#This Row],[Destination]],tblDestinations[Destination],0)),"?"))</f>
        <v/>
      </c>
      <c r="M2972" s="64">
        <f>IF(tblMovement[[#This Row],[Material]]="","",IF(LEFT(tblMovement[[#This Row],[Material]],3)="Ore",1,0))</f>
        <v/>
      </c>
      <c r="N2972" s="59">
        <f>IF(OR(tblMovement[[#This Row],[Tonnes_t]]="",tblMovement[[#This Row],[Grade_gpt]]=""),0,tblMovement[[#This Row],[Tonnes_t]]*tblMovement[[#This Row],[Grade_gpt]]/cfg_TroyOz)</f>
        <v/>
      </c>
      <c r="O2972" s="59">
        <f>IF(tblMovement[[#This Row],[Is_Ore]]=1,tblMovement[[#This Row],[Contained_oz]],0)</f>
        <v/>
      </c>
    </row>
    <row r="2973">
      <c r="A2973" s="54" t="n"/>
      <c r="B2973" s="61" t="n"/>
      <c r="C2973" s="61" t="n"/>
      <c r="D2973" s="61" t="n"/>
      <c r="E2973" s="61" t="n"/>
      <c r="F2973" s="55" t="n"/>
      <c r="G2973" s="56" t="n"/>
      <c r="H2973" s="55" t="n"/>
      <c r="I2973" s="62" t="n"/>
      <c r="J2973" s="58" t="n"/>
      <c r="K2973" s="63">
        <f>IF(tblMovement[[#This Row],[Source]]="","",IFERROR(INDEX(tblSources[Type],MATCH(tblMovement[[#This Row],[Source]],tblSources[Source],0)),"?"))</f>
        <v/>
      </c>
      <c r="L2973" s="63">
        <f>IF(tblMovement[[#This Row],[Destination]]="","",IFERROR(INDEX(tblDestinations[Type],MATCH(tblMovement[[#This Row],[Destination]],tblDestinations[Destination],0)),"?"))</f>
        <v/>
      </c>
      <c r="M2973" s="64">
        <f>IF(tblMovement[[#This Row],[Material]]="","",IF(LEFT(tblMovement[[#This Row],[Material]],3)="Ore",1,0))</f>
        <v/>
      </c>
      <c r="N2973" s="59">
        <f>IF(OR(tblMovement[[#This Row],[Tonnes_t]]="",tblMovement[[#This Row],[Grade_gpt]]=""),0,tblMovement[[#This Row],[Tonnes_t]]*tblMovement[[#This Row],[Grade_gpt]]/cfg_TroyOz)</f>
        <v/>
      </c>
      <c r="O2973" s="59">
        <f>IF(tblMovement[[#This Row],[Is_Ore]]=1,tblMovement[[#This Row],[Contained_oz]],0)</f>
        <v/>
      </c>
    </row>
    <row r="2974">
      <c r="A2974" s="54" t="n"/>
      <c r="B2974" s="61" t="n"/>
      <c r="C2974" s="61" t="n"/>
      <c r="D2974" s="61" t="n"/>
      <c r="E2974" s="61" t="n"/>
      <c r="F2974" s="55" t="n"/>
      <c r="G2974" s="56" t="n"/>
      <c r="H2974" s="55" t="n"/>
      <c r="I2974" s="62" t="n"/>
      <c r="J2974" s="58" t="n"/>
      <c r="K2974" s="63">
        <f>IF(tblMovement[[#This Row],[Source]]="","",IFERROR(INDEX(tblSources[Type],MATCH(tblMovement[[#This Row],[Source]],tblSources[Source],0)),"?"))</f>
        <v/>
      </c>
      <c r="L2974" s="63">
        <f>IF(tblMovement[[#This Row],[Destination]]="","",IFERROR(INDEX(tblDestinations[Type],MATCH(tblMovement[[#This Row],[Destination]],tblDestinations[Destination],0)),"?"))</f>
        <v/>
      </c>
      <c r="M2974" s="64">
        <f>IF(tblMovement[[#This Row],[Material]]="","",IF(LEFT(tblMovement[[#This Row],[Material]],3)="Ore",1,0))</f>
        <v/>
      </c>
      <c r="N2974" s="59">
        <f>IF(OR(tblMovement[[#This Row],[Tonnes_t]]="",tblMovement[[#This Row],[Grade_gpt]]=""),0,tblMovement[[#This Row],[Tonnes_t]]*tblMovement[[#This Row],[Grade_gpt]]/cfg_TroyOz)</f>
        <v/>
      </c>
      <c r="O2974" s="59">
        <f>IF(tblMovement[[#This Row],[Is_Ore]]=1,tblMovement[[#This Row],[Contained_oz]],0)</f>
        <v/>
      </c>
    </row>
    <row r="2975">
      <c r="A2975" s="54" t="n"/>
      <c r="B2975" s="61" t="n"/>
      <c r="C2975" s="61" t="n"/>
      <c r="D2975" s="61" t="n"/>
      <c r="E2975" s="61" t="n"/>
      <c r="F2975" s="55" t="n"/>
      <c r="G2975" s="56" t="n"/>
      <c r="H2975" s="55" t="n"/>
      <c r="I2975" s="62" t="n"/>
      <c r="J2975" s="58" t="n"/>
      <c r="K2975" s="63">
        <f>IF(tblMovement[[#This Row],[Source]]="","",IFERROR(INDEX(tblSources[Type],MATCH(tblMovement[[#This Row],[Source]],tblSources[Source],0)),"?"))</f>
        <v/>
      </c>
      <c r="L2975" s="63">
        <f>IF(tblMovement[[#This Row],[Destination]]="","",IFERROR(INDEX(tblDestinations[Type],MATCH(tblMovement[[#This Row],[Destination]],tblDestinations[Destination],0)),"?"))</f>
        <v/>
      </c>
      <c r="M2975" s="64">
        <f>IF(tblMovement[[#This Row],[Material]]="","",IF(LEFT(tblMovement[[#This Row],[Material]],3)="Ore",1,0))</f>
        <v/>
      </c>
      <c r="N2975" s="59">
        <f>IF(OR(tblMovement[[#This Row],[Tonnes_t]]="",tblMovement[[#This Row],[Grade_gpt]]=""),0,tblMovement[[#This Row],[Tonnes_t]]*tblMovement[[#This Row],[Grade_gpt]]/cfg_TroyOz)</f>
        <v/>
      </c>
      <c r="O2975" s="59">
        <f>IF(tblMovement[[#This Row],[Is_Ore]]=1,tblMovement[[#This Row],[Contained_oz]],0)</f>
        <v/>
      </c>
    </row>
    <row r="2976">
      <c r="A2976" s="54" t="n"/>
      <c r="B2976" s="61" t="n"/>
      <c r="C2976" s="61" t="n"/>
      <c r="D2976" s="61" t="n"/>
      <c r="E2976" s="61" t="n"/>
      <c r="F2976" s="55" t="n"/>
      <c r="G2976" s="56" t="n"/>
      <c r="H2976" s="55" t="n"/>
      <c r="I2976" s="62" t="n"/>
      <c r="J2976" s="58" t="n"/>
      <c r="K2976" s="63">
        <f>IF(tblMovement[[#This Row],[Source]]="","",IFERROR(INDEX(tblSources[Type],MATCH(tblMovement[[#This Row],[Source]],tblSources[Source],0)),"?"))</f>
        <v/>
      </c>
      <c r="L2976" s="63">
        <f>IF(tblMovement[[#This Row],[Destination]]="","",IFERROR(INDEX(tblDestinations[Type],MATCH(tblMovement[[#This Row],[Destination]],tblDestinations[Destination],0)),"?"))</f>
        <v/>
      </c>
      <c r="M2976" s="64">
        <f>IF(tblMovement[[#This Row],[Material]]="","",IF(LEFT(tblMovement[[#This Row],[Material]],3)="Ore",1,0))</f>
        <v/>
      </c>
      <c r="N2976" s="59">
        <f>IF(OR(tblMovement[[#This Row],[Tonnes_t]]="",tblMovement[[#This Row],[Grade_gpt]]=""),0,tblMovement[[#This Row],[Tonnes_t]]*tblMovement[[#This Row],[Grade_gpt]]/cfg_TroyOz)</f>
        <v/>
      </c>
      <c r="O2976" s="59">
        <f>IF(tblMovement[[#This Row],[Is_Ore]]=1,tblMovement[[#This Row],[Contained_oz]],0)</f>
        <v/>
      </c>
    </row>
    <row r="2977">
      <c r="A2977" s="54" t="n"/>
      <c r="B2977" s="61" t="n"/>
      <c r="C2977" s="61" t="n"/>
      <c r="D2977" s="61" t="n"/>
      <c r="E2977" s="61" t="n"/>
      <c r="F2977" s="55" t="n"/>
      <c r="G2977" s="56" t="n"/>
      <c r="H2977" s="55" t="n"/>
      <c r="I2977" s="62" t="n"/>
      <c r="J2977" s="58" t="n"/>
      <c r="K2977" s="63">
        <f>IF(tblMovement[[#This Row],[Source]]="","",IFERROR(INDEX(tblSources[Type],MATCH(tblMovement[[#This Row],[Source]],tblSources[Source],0)),"?"))</f>
        <v/>
      </c>
      <c r="L2977" s="63">
        <f>IF(tblMovement[[#This Row],[Destination]]="","",IFERROR(INDEX(tblDestinations[Type],MATCH(tblMovement[[#This Row],[Destination]],tblDestinations[Destination],0)),"?"))</f>
        <v/>
      </c>
      <c r="M2977" s="64">
        <f>IF(tblMovement[[#This Row],[Material]]="","",IF(LEFT(tblMovement[[#This Row],[Material]],3)="Ore",1,0))</f>
        <v/>
      </c>
      <c r="N2977" s="59">
        <f>IF(OR(tblMovement[[#This Row],[Tonnes_t]]="",tblMovement[[#This Row],[Grade_gpt]]=""),0,tblMovement[[#This Row],[Tonnes_t]]*tblMovement[[#This Row],[Grade_gpt]]/cfg_TroyOz)</f>
        <v/>
      </c>
      <c r="O2977" s="59">
        <f>IF(tblMovement[[#This Row],[Is_Ore]]=1,tblMovement[[#This Row],[Contained_oz]],0)</f>
        <v/>
      </c>
    </row>
    <row r="2978">
      <c r="A2978" s="54" t="n"/>
      <c r="B2978" s="61" t="n"/>
      <c r="C2978" s="61" t="n"/>
      <c r="D2978" s="61" t="n"/>
      <c r="E2978" s="61" t="n"/>
      <c r="F2978" s="55" t="n"/>
      <c r="G2978" s="56" t="n"/>
      <c r="H2978" s="55" t="n"/>
      <c r="I2978" s="62" t="n"/>
      <c r="J2978" s="58" t="n"/>
      <c r="K2978" s="63">
        <f>IF(tblMovement[[#This Row],[Source]]="","",IFERROR(INDEX(tblSources[Type],MATCH(tblMovement[[#This Row],[Source]],tblSources[Source],0)),"?"))</f>
        <v/>
      </c>
      <c r="L2978" s="63">
        <f>IF(tblMovement[[#This Row],[Destination]]="","",IFERROR(INDEX(tblDestinations[Type],MATCH(tblMovement[[#This Row],[Destination]],tblDestinations[Destination],0)),"?"))</f>
        <v/>
      </c>
      <c r="M2978" s="64">
        <f>IF(tblMovement[[#This Row],[Material]]="","",IF(LEFT(tblMovement[[#This Row],[Material]],3)="Ore",1,0))</f>
        <v/>
      </c>
      <c r="N2978" s="59">
        <f>IF(OR(tblMovement[[#This Row],[Tonnes_t]]="",tblMovement[[#This Row],[Grade_gpt]]=""),0,tblMovement[[#This Row],[Tonnes_t]]*tblMovement[[#This Row],[Grade_gpt]]/cfg_TroyOz)</f>
        <v/>
      </c>
      <c r="O2978" s="59">
        <f>IF(tblMovement[[#This Row],[Is_Ore]]=1,tblMovement[[#This Row],[Contained_oz]],0)</f>
        <v/>
      </c>
    </row>
    <row r="2979">
      <c r="A2979" s="54" t="n"/>
      <c r="B2979" s="61" t="n"/>
      <c r="C2979" s="61" t="n"/>
      <c r="D2979" s="61" t="n"/>
      <c r="E2979" s="61" t="n"/>
      <c r="F2979" s="55" t="n"/>
      <c r="G2979" s="56" t="n"/>
      <c r="H2979" s="55" t="n"/>
      <c r="I2979" s="62" t="n"/>
      <c r="J2979" s="58" t="n"/>
      <c r="K2979" s="63">
        <f>IF(tblMovement[[#This Row],[Source]]="","",IFERROR(INDEX(tblSources[Type],MATCH(tblMovement[[#This Row],[Source]],tblSources[Source],0)),"?"))</f>
        <v/>
      </c>
      <c r="L2979" s="63">
        <f>IF(tblMovement[[#This Row],[Destination]]="","",IFERROR(INDEX(tblDestinations[Type],MATCH(tblMovement[[#This Row],[Destination]],tblDestinations[Destination],0)),"?"))</f>
        <v/>
      </c>
      <c r="M2979" s="64">
        <f>IF(tblMovement[[#This Row],[Material]]="","",IF(LEFT(tblMovement[[#This Row],[Material]],3)="Ore",1,0))</f>
        <v/>
      </c>
      <c r="N2979" s="59">
        <f>IF(OR(tblMovement[[#This Row],[Tonnes_t]]="",tblMovement[[#This Row],[Grade_gpt]]=""),0,tblMovement[[#This Row],[Tonnes_t]]*tblMovement[[#This Row],[Grade_gpt]]/cfg_TroyOz)</f>
        <v/>
      </c>
      <c r="O2979" s="59">
        <f>IF(tblMovement[[#This Row],[Is_Ore]]=1,tblMovement[[#This Row],[Contained_oz]],0)</f>
        <v/>
      </c>
    </row>
    <row r="2980">
      <c r="A2980" s="54" t="n"/>
      <c r="B2980" s="61" t="n"/>
      <c r="C2980" s="61" t="n"/>
      <c r="D2980" s="61" t="n"/>
      <c r="E2980" s="61" t="n"/>
      <c r="F2980" s="55" t="n"/>
      <c r="G2980" s="56" t="n"/>
      <c r="H2980" s="55" t="n"/>
      <c r="I2980" s="62" t="n"/>
      <c r="J2980" s="58" t="n"/>
      <c r="K2980" s="63">
        <f>IF(tblMovement[[#This Row],[Source]]="","",IFERROR(INDEX(tblSources[Type],MATCH(tblMovement[[#This Row],[Source]],tblSources[Source],0)),"?"))</f>
        <v/>
      </c>
      <c r="L2980" s="63">
        <f>IF(tblMovement[[#This Row],[Destination]]="","",IFERROR(INDEX(tblDestinations[Type],MATCH(tblMovement[[#This Row],[Destination]],tblDestinations[Destination],0)),"?"))</f>
        <v/>
      </c>
      <c r="M2980" s="64">
        <f>IF(tblMovement[[#This Row],[Material]]="","",IF(LEFT(tblMovement[[#This Row],[Material]],3)="Ore",1,0))</f>
        <v/>
      </c>
      <c r="N2980" s="59">
        <f>IF(OR(tblMovement[[#This Row],[Tonnes_t]]="",tblMovement[[#This Row],[Grade_gpt]]=""),0,tblMovement[[#This Row],[Tonnes_t]]*tblMovement[[#This Row],[Grade_gpt]]/cfg_TroyOz)</f>
        <v/>
      </c>
      <c r="O2980" s="59">
        <f>IF(tblMovement[[#This Row],[Is_Ore]]=1,tblMovement[[#This Row],[Contained_oz]],0)</f>
        <v/>
      </c>
    </row>
    <row r="2981">
      <c r="A2981" s="54" t="n"/>
      <c r="B2981" s="61" t="n"/>
      <c r="C2981" s="61" t="n"/>
      <c r="D2981" s="61" t="n"/>
      <c r="E2981" s="61" t="n"/>
      <c r="F2981" s="55" t="n"/>
      <c r="G2981" s="56" t="n"/>
      <c r="H2981" s="55" t="n"/>
      <c r="I2981" s="62" t="n"/>
      <c r="J2981" s="58" t="n"/>
      <c r="K2981" s="63">
        <f>IF(tblMovement[[#This Row],[Source]]="","",IFERROR(INDEX(tblSources[Type],MATCH(tblMovement[[#This Row],[Source]],tblSources[Source],0)),"?"))</f>
        <v/>
      </c>
      <c r="L2981" s="63">
        <f>IF(tblMovement[[#This Row],[Destination]]="","",IFERROR(INDEX(tblDestinations[Type],MATCH(tblMovement[[#This Row],[Destination]],tblDestinations[Destination],0)),"?"))</f>
        <v/>
      </c>
      <c r="M2981" s="64">
        <f>IF(tblMovement[[#This Row],[Material]]="","",IF(LEFT(tblMovement[[#This Row],[Material]],3)="Ore",1,0))</f>
        <v/>
      </c>
      <c r="N2981" s="59">
        <f>IF(OR(tblMovement[[#This Row],[Tonnes_t]]="",tblMovement[[#This Row],[Grade_gpt]]=""),0,tblMovement[[#This Row],[Tonnes_t]]*tblMovement[[#This Row],[Grade_gpt]]/cfg_TroyOz)</f>
        <v/>
      </c>
      <c r="O2981" s="59">
        <f>IF(tblMovement[[#This Row],[Is_Ore]]=1,tblMovement[[#This Row],[Contained_oz]],0)</f>
        <v/>
      </c>
    </row>
    <row r="2982">
      <c r="A2982" s="54" t="n"/>
      <c r="B2982" s="61" t="n"/>
      <c r="C2982" s="61" t="n"/>
      <c r="D2982" s="61" t="n"/>
      <c r="E2982" s="61" t="n"/>
      <c r="F2982" s="55" t="n"/>
      <c r="G2982" s="56" t="n"/>
      <c r="H2982" s="55" t="n"/>
      <c r="I2982" s="62" t="n"/>
      <c r="J2982" s="58" t="n"/>
      <c r="K2982" s="63">
        <f>IF(tblMovement[[#This Row],[Source]]="","",IFERROR(INDEX(tblSources[Type],MATCH(tblMovement[[#This Row],[Source]],tblSources[Source],0)),"?"))</f>
        <v/>
      </c>
      <c r="L2982" s="63">
        <f>IF(tblMovement[[#This Row],[Destination]]="","",IFERROR(INDEX(tblDestinations[Type],MATCH(tblMovement[[#This Row],[Destination]],tblDestinations[Destination],0)),"?"))</f>
        <v/>
      </c>
      <c r="M2982" s="64">
        <f>IF(tblMovement[[#This Row],[Material]]="","",IF(LEFT(tblMovement[[#This Row],[Material]],3)="Ore",1,0))</f>
        <v/>
      </c>
      <c r="N2982" s="59">
        <f>IF(OR(tblMovement[[#This Row],[Tonnes_t]]="",tblMovement[[#This Row],[Grade_gpt]]=""),0,tblMovement[[#This Row],[Tonnes_t]]*tblMovement[[#This Row],[Grade_gpt]]/cfg_TroyOz)</f>
        <v/>
      </c>
      <c r="O2982" s="59">
        <f>IF(tblMovement[[#This Row],[Is_Ore]]=1,tblMovement[[#This Row],[Contained_oz]],0)</f>
        <v/>
      </c>
    </row>
    <row r="2983">
      <c r="A2983" s="54" t="n"/>
      <c r="B2983" s="61" t="n"/>
      <c r="C2983" s="61" t="n"/>
      <c r="D2983" s="61" t="n"/>
      <c r="E2983" s="61" t="n"/>
      <c r="F2983" s="55" t="n"/>
      <c r="G2983" s="56" t="n"/>
      <c r="H2983" s="55" t="n"/>
      <c r="I2983" s="62" t="n"/>
      <c r="J2983" s="58" t="n"/>
      <c r="K2983" s="63">
        <f>IF(tblMovement[[#This Row],[Source]]="","",IFERROR(INDEX(tblSources[Type],MATCH(tblMovement[[#This Row],[Source]],tblSources[Source],0)),"?"))</f>
        <v/>
      </c>
      <c r="L2983" s="63">
        <f>IF(tblMovement[[#This Row],[Destination]]="","",IFERROR(INDEX(tblDestinations[Type],MATCH(tblMovement[[#This Row],[Destination]],tblDestinations[Destination],0)),"?"))</f>
        <v/>
      </c>
      <c r="M2983" s="64">
        <f>IF(tblMovement[[#This Row],[Material]]="","",IF(LEFT(tblMovement[[#This Row],[Material]],3)="Ore",1,0))</f>
        <v/>
      </c>
      <c r="N2983" s="59">
        <f>IF(OR(tblMovement[[#This Row],[Tonnes_t]]="",tblMovement[[#This Row],[Grade_gpt]]=""),0,tblMovement[[#This Row],[Tonnes_t]]*tblMovement[[#This Row],[Grade_gpt]]/cfg_TroyOz)</f>
        <v/>
      </c>
      <c r="O2983" s="59">
        <f>IF(tblMovement[[#This Row],[Is_Ore]]=1,tblMovement[[#This Row],[Contained_oz]],0)</f>
        <v/>
      </c>
    </row>
    <row r="2984">
      <c r="A2984" s="54" t="n"/>
      <c r="B2984" s="61" t="n"/>
      <c r="C2984" s="61" t="n"/>
      <c r="D2984" s="61" t="n"/>
      <c r="E2984" s="61" t="n"/>
      <c r="F2984" s="55" t="n"/>
      <c r="G2984" s="56" t="n"/>
      <c r="H2984" s="55" t="n"/>
      <c r="I2984" s="62" t="n"/>
      <c r="J2984" s="58" t="n"/>
      <c r="K2984" s="63">
        <f>IF(tblMovement[[#This Row],[Source]]="","",IFERROR(INDEX(tblSources[Type],MATCH(tblMovement[[#This Row],[Source]],tblSources[Source],0)),"?"))</f>
        <v/>
      </c>
      <c r="L2984" s="63">
        <f>IF(tblMovement[[#This Row],[Destination]]="","",IFERROR(INDEX(tblDestinations[Type],MATCH(tblMovement[[#This Row],[Destination]],tblDestinations[Destination],0)),"?"))</f>
        <v/>
      </c>
      <c r="M2984" s="64">
        <f>IF(tblMovement[[#This Row],[Material]]="","",IF(LEFT(tblMovement[[#This Row],[Material]],3)="Ore",1,0))</f>
        <v/>
      </c>
      <c r="N2984" s="59">
        <f>IF(OR(tblMovement[[#This Row],[Tonnes_t]]="",tblMovement[[#This Row],[Grade_gpt]]=""),0,tblMovement[[#This Row],[Tonnes_t]]*tblMovement[[#This Row],[Grade_gpt]]/cfg_TroyOz)</f>
        <v/>
      </c>
      <c r="O2984" s="59">
        <f>IF(tblMovement[[#This Row],[Is_Ore]]=1,tblMovement[[#This Row],[Contained_oz]],0)</f>
        <v/>
      </c>
    </row>
    <row r="2985">
      <c r="A2985" s="54" t="n"/>
      <c r="B2985" s="61" t="n"/>
      <c r="C2985" s="61" t="n"/>
      <c r="D2985" s="61" t="n"/>
      <c r="E2985" s="61" t="n"/>
      <c r="F2985" s="55" t="n"/>
      <c r="G2985" s="56" t="n"/>
      <c r="H2985" s="55" t="n"/>
      <c r="I2985" s="62" t="n"/>
      <c r="J2985" s="58" t="n"/>
      <c r="K2985" s="63">
        <f>IF(tblMovement[[#This Row],[Source]]="","",IFERROR(INDEX(tblSources[Type],MATCH(tblMovement[[#This Row],[Source]],tblSources[Source],0)),"?"))</f>
        <v/>
      </c>
      <c r="L2985" s="63">
        <f>IF(tblMovement[[#This Row],[Destination]]="","",IFERROR(INDEX(tblDestinations[Type],MATCH(tblMovement[[#This Row],[Destination]],tblDestinations[Destination],0)),"?"))</f>
        <v/>
      </c>
      <c r="M2985" s="64">
        <f>IF(tblMovement[[#This Row],[Material]]="","",IF(LEFT(tblMovement[[#This Row],[Material]],3)="Ore",1,0))</f>
        <v/>
      </c>
      <c r="N2985" s="59">
        <f>IF(OR(tblMovement[[#This Row],[Tonnes_t]]="",tblMovement[[#This Row],[Grade_gpt]]=""),0,tblMovement[[#This Row],[Tonnes_t]]*tblMovement[[#This Row],[Grade_gpt]]/cfg_TroyOz)</f>
        <v/>
      </c>
      <c r="O2985" s="59">
        <f>IF(tblMovement[[#This Row],[Is_Ore]]=1,tblMovement[[#This Row],[Contained_oz]],0)</f>
        <v/>
      </c>
    </row>
    <row r="2986">
      <c r="A2986" s="54" t="n"/>
      <c r="B2986" s="61" t="n"/>
      <c r="C2986" s="61" t="n"/>
      <c r="D2986" s="61" t="n"/>
      <c r="E2986" s="61" t="n"/>
      <c r="F2986" s="55" t="n"/>
      <c r="G2986" s="56" t="n"/>
      <c r="H2986" s="55" t="n"/>
      <c r="I2986" s="62" t="n"/>
      <c r="J2986" s="58" t="n"/>
      <c r="K2986" s="63">
        <f>IF(tblMovement[[#This Row],[Source]]="","",IFERROR(INDEX(tblSources[Type],MATCH(tblMovement[[#This Row],[Source]],tblSources[Source],0)),"?"))</f>
        <v/>
      </c>
      <c r="L2986" s="63">
        <f>IF(tblMovement[[#This Row],[Destination]]="","",IFERROR(INDEX(tblDestinations[Type],MATCH(tblMovement[[#This Row],[Destination]],tblDestinations[Destination],0)),"?"))</f>
        <v/>
      </c>
      <c r="M2986" s="64">
        <f>IF(tblMovement[[#This Row],[Material]]="","",IF(LEFT(tblMovement[[#This Row],[Material]],3)="Ore",1,0))</f>
        <v/>
      </c>
      <c r="N2986" s="59">
        <f>IF(OR(tblMovement[[#This Row],[Tonnes_t]]="",tblMovement[[#This Row],[Grade_gpt]]=""),0,tblMovement[[#This Row],[Tonnes_t]]*tblMovement[[#This Row],[Grade_gpt]]/cfg_TroyOz)</f>
        <v/>
      </c>
      <c r="O2986" s="59">
        <f>IF(tblMovement[[#This Row],[Is_Ore]]=1,tblMovement[[#This Row],[Contained_oz]],0)</f>
        <v/>
      </c>
    </row>
    <row r="2987">
      <c r="A2987" s="54" t="n"/>
      <c r="B2987" s="61" t="n"/>
      <c r="C2987" s="61" t="n"/>
      <c r="D2987" s="61" t="n"/>
      <c r="E2987" s="61" t="n"/>
      <c r="F2987" s="55" t="n"/>
      <c r="G2987" s="56" t="n"/>
      <c r="H2987" s="55" t="n"/>
      <c r="I2987" s="62" t="n"/>
      <c r="J2987" s="58" t="n"/>
      <c r="K2987" s="63">
        <f>IF(tblMovement[[#This Row],[Source]]="","",IFERROR(INDEX(tblSources[Type],MATCH(tblMovement[[#This Row],[Source]],tblSources[Source],0)),"?"))</f>
        <v/>
      </c>
      <c r="L2987" s="63">
        <f>IF(tblMovement[[#This Row],[Destination]]="","",IFERROR(INDEX(tblDestinations[Type],MATCH(tblMovement[[#This Row],[Destination]],tblDestinations[Destination],0)),"?"))</f>
        <v/>
      </c>
      <c r="M2987" s="64">
        <f>IF(tblMovement[[#This Row],[Material]]="","",IF(LEFT(tblMovement[[#This Row],[Material]],3)="Ore",1,0))</f>
        <v/>
      </c>
      <c r="N2987" s="59">
        <f>IF(OR(tblMovement[[#This Row],[Tonnes_t]]="",tblMovement[[#This Row],[Grade_gpt]]=""),0,tblMovement[[#This Row],[Tonnes_t]]*tblMovement[[#This Row],[Grade_gpt]]/cfg_TroyOz)</f>
        <v/>
      </c>
      <c r="O2987" s="59">
        <f>IF(tblMovement[[#This Row],[Is_Ore]]=1,tblMovement[[#This Row],[Contained_oz]],0)</f>
        <v/>
      </c>
    </row>
    <row r="2988">
      <c r="A2988" s="54" t="n"/>
      <c r="B2988" s="61" t="n"/>
      <c r="C2988" s="61" t="n"/>
      <c r="D2988" s="61" t="n"/>
      <c r="E2988" s="61" t="n"/>
      <c r="F2988" s="55" t="n"/>
      <c r="G2988" s="56" t="n"/>
      <c r="H2988" s="55" t="n"/>
      <c r="I2988" s="62" t="n"/>
      <c r="J2988" s="58" t="n"/>
      <c r="K2988" s="63">
        <f>IF(tblMovement[[#This Row],[Source]]="","",IFERROR(INDEX(tblSources[Type],MATCH(tblMovement[[#This Row],[Source]],tblSources[Source],0)),"?"))</f>
        <v/>
      </c>
      <c r="L2988" s="63">
        <f>IF(tblMovement[[#This Row],[Destination]]="","",IFERROR(INDEX(tblDestinations[Type],MATCH(tblMovement[[#This Row],[Destination]],tblDestinations[Destination],0)),"?"))</f>
        <v/>
      </c>
      <c r="M2988" s="64">
        <f>IF(tblMovement[[#This Row],[Material]]="","",IF(LEFT(tblMovement[[#This Row],[Material]],3)="Ore",1,0))</f>
        <v/>
      </c>
      <c r="N2988" s="59">
        <f>IF(OR(tblMovement[[#This Row],[Tonnes_t]]="",tblMovement[[#This Row],[Grade_gpt]]=""),0,tblMovement[[#This Row],[Tonnes_t]]*tblMovement[[#This Row],[Grade_gpt]]/cfg_TroyOz)</f>
        <v/>
      </c>
      <c r="O2988" s="59">
        <f>IF(tblMovement[[#This Row],[Is_Ore]]=1,tblMovement[[#This Row],[Contained_oz]],0)</f>
        <v/>
      </c>
    </row>
    <row r="2989">
      <c r="A2989" s="54" t="n"/>
      <c r="B2989" s="61" t="n"/>
      <c r="C2989" s="61" t="n"/>
      <c r="D2989" s="61" t="n"/>
      <c r="E2989" s="61" t="n"/>
      <c r="F2989" s="55" t="n"/>
      <c r="G2989" s="56" t="n"/>
      <c r="H2989" s="55" t="n"/>
      <c r="I2989" s="62" t="n"/>
      <c r="J2989" s="58" t="n"/>
      <c r="K2989" s="63">
        <f>IF(tblMovement[[#This Row],[Source]]="","",IFERROR(INDEX(tblSources[Type],MATCH(tblMovement[[#This Row],[Source]],tblSources[Source],0)),"?"))</f>
        <v/>
      </c>
      <c r="L2989" s="63">
        <f>IF(tblMovement[[#This Row],[Destination]]="","",IFERROR(INDEX(tblDestinations[Type],MATCH(tblMovement[[#This Row],[Destination]],tblDestinations[Destination],0)),"?"))</f>
        <v/>
      </c>
      <c r="M2989" s="64">
        <f>IF(tblMovement[[#This Row],[Material]]="","",IF(LEFT(tblMovement[[#This Row],[Material]],3)="Ore",1,0))</f>
        <v/>
      </c>
      <c r="N2989" s="59">
        <f>IF(OR(tblMovement[[#This Row],[Tonnes_t]]="",tblMovement[[#This Row],[Grade_gpt]]=""),0,tblMovement[[#This Row],[Tonnes_t]]*tblMovement[[#This Row],[Grade_gpt]]/cfg_TroyOz)</f>
        <v/>
      </c>
      <c r="O2989" s="59">
        <f>IF(tblMovement[[#This Row],[Is_Ore]]=1,tblMovement[[#This Row],[Contained_oz]],0)</f>
        <v/>
      </c>
    </row>
    <row r="2990">
      <c r="A2990" s="54" t="n"/>
      <c r="B2990" s="61" t="n"/>
      <c r="C2990" s="61" t="n"/>
      <c r="D2990" s="61" t="n"/>
      <c r="E2990" s="61" t="n"/>
      <c r="F2990" s="55" t="n"/>
      <c r="G2990" s="56" t="n"/>
      <c r="H2990" s="55" t="n"/>
      <c r="I2990" s="62" t="n"/>
      <c r="J2990" s="58" t="n"/>
      <c r="K2990" s="63">
        <f>IF(tblMovement[[#This Row],[Source]]="","",IFERROR(INDEX(tblSources[Type],MATCH(tblMovement[[#This Row],[Source]],tblSources[Source],0)),"?"))</f>
        <v/>
      </c>
      <c r="L2990" s="63">
        <f>IF(tblMovement[[#This Row],[Destination]]="","",IFERROR(INDEX(tblDestinations[Type],MATCH(tblMovement[[#This Row],[Destination]],tblDestinations[Destination],0)),"?"))</f>
        <v/>
      </c>
      <c r="M2990" s="64">
        <f>IF(tblMovement[[#This Row],[Material]]="","",IF(LEFT(tblMovement[[#This Row],[Material]],3)="Ore",1,0))</f>
        <v/>
      </c>
      <c r="N2990" s="59">
        <f>IF(OR(tblMovement[[#This Row],[Tonnes_t]]="",tblMovement[[#This Row],[Grade_gpt]]=""),0,tblMovement[[#This Row],[Tonnes_t]]*tblMovement[[#This Row],[Grade_gpt]]/cfg_TroyOz)</f>
        <v/>
      </c>
      <c r="O2990" s="59">
        <f>IF(tblMovement[[#This Row],[Is_Ore]]=1,tblMovement[[#This Row],[Contained_oz]],0)</f>
        <v/>
      </c>
    </row>
    <row r="2991">
      <c r="A2991" s="54" t="n"/>
      <c r="B2991" s="61" t="n"/>
      <c r="C2991" s="61" t="n"/>
      <c r="D2991" s="61" t="n"/>
      <c r="E2991" s="61" t="n"/>
      <c r="F2991" s="55" t="n"/>
      <c r="G2991" s="56" t="n"/>
      <c r="H2991" s="55" t="n"/>
      <c r="I2991" s="62" t="n"/>
      <c r="J2991" s="58" t="n"/>
      <c r="K2991" s="63">
        <f>IF(tblMovement[[#This Row],[Source]]="","",IFERROR(INDEX(tblSources[Type],MATCH(tblMovement[[#This Row],[Source]],tblSources[Source],0)),"?"))</f>
        <v/>
      </c>
      <c r="L2991" s="63">
        <f>IF(tblMovement[[#This Row],[Destination]]="","",IFERROR(INDEX(tblDestinations[Type],MATCH(tblMovement[[#This Row],[Destination]],tblDestinations[Destination],0)),"?"))</f>
        <v/>
      </c>
      <c r="M2991" s="64">
        <f>IF(tblMovement[[#This Row],[Material]]="","",IF(LEFT(tblMovement[[#This Row],[Material]],3)="Ore",1,0))</f>
        <v/>
      </c>
      <c r="N2991" s="59">
        <f>IF(OR(tblMovement[[#This Row],[Tonnes_t]]="",tblMovement[[#This Row],[Grade_gpt]]=""),0,tblMovement[[#This Row],[Tonnes_t]]*tblMovement[[#This Row],[Grade_gpt]]/cfg_TroyOz)</f>
        <v/>
      </c>
      <c r="O2991" s="59">
        <f>IF(tblMovement[[#This Row],[Is_Ore]]=1,tblMovement[[#This Row],[Contained_oz]],0)</f>
        <v/>
      </c>
    </row>
    <row r="2992">
      <c r="A2992" s="54" t="n"/>
      <c r="B2992" s="61" t="n"/>
      <c r="C2992" s="61" t="n"/>
      <c r="D2992" s="61" t="n"/>
      <c r="E2992" s="61" t="n"/>
      <c r="F2992" s="55" t="n"/>
      <c r="G2992" s="56" t="n"/>
      <c r="H2992" s="55" t="n"/>
      <c r="I2992" s="62" t="n"/>
      <c r="J2992" s="58" t="n"/>
      <c r="K2992" s="63">
        <f>IF(tblMovement[[#This Row],[Source]]="","",IFERROR(INDEX(tblSources[Type],MATCH(tblMovement[[#This Row],[Source]],tblSources[Source],0)),"?"))</f>
        <v/>
      </c>
      <c r="L2992" s="63">
        <f>IF(tblMovement[[#This Row],[Destination]]="","",IFERROR(INDEX(tblDestinations[Type],MATCH(tblMovement[[#This Row],[Destination]],tblDestinations[Destination],0)),"?"))</f>
        <v/>
      </c>
      <c r="M2992" s="64">
        <f>IF(tblMovement[[#This Row],[Material]]="","",IF(LEFT(tblMovement[[#This Row],[Material]],3)="Ore",1,0))</f>
        <v/>
      </c>
      <c r="N2992" s="59">
        <f>IF(OR(tblMovement[[#This Row],[Tonnes_t]]="",tblMovement[[#This Row],[Grade_gpt]]=""),0,tblMovement[[#This Row],[Tonnes_t]]*tblMovement[[#This Row],[Grade_gpt]]/cfg_TroyOz)</f>
        <v/>
      </c>
      <c r="O2992" s="59">
        <f>IF(tblMovement[[#This Row],[Is_Ore]]=1,tblMovement[[#This Row],[Contained_oz]],0)</f>
        <v/>
      </c>
    </row>
    <row r="2993">
      <c r="A2993" s="54" t="n"/>
      <c r="B2993" s="61" t="n"/>
      <c r="C2993" s="61" t="n"/>
      <c r="D2993" s="61" t="n"/>
      <c r="E2993" s="61" t="n"/>
      <c r="F2993" s="55" t="n"/>
      <c r="G2993" s="56" t="n"/>
      <c r="H2993" s="55" t="n"/>
      <c r="I2993" s="62" t="n"/>
      <c r="J2993" s="58" t="n"/>
      <c r="K2993" s="63">
        <f>IF(tblMovement[[#This Row],[Source]]="","",IFERROR(INDEX(tblSources[Type],MATCH(tblMovement[[#This Row],[Source]],tblSources[Source],0)),"?"))</f>
        <v/>
      </c>
      <c r="L2993" s="63">
        <f>IF(tblMovement[[#This Row],[Destination]]="","",IFERROR(INDEX(tblDestinations[Type],MATCH(tblMovement[[#This Row],[Destination]],tblDestinations[Destination],0)),"?"))</f>
        <v/>
      </c>
      <c r="M2993" s="64">
        <f>IF(tblMovement[[#This Row],[Material]]="","",IF(LEFT(tblMovement[[#This Row],[Material]],3)="Ore",1,0))</f>
        <v/>
      </c>
      <c r="N2993" s="59">
        <f>IF(OR(tblMovement[[#This Row],[Tonnes_t]]="",tblMovement[[#This Row],[Grade_gpt]]=""),0,tblMovement[[#This Row],[Tonnes_t]]*tblMovement[[#This Row],[Grade_gpt]]/cfg_TroyOz)</f>
        <v/>
      </c>
      <c r="O2993" s="59">
        <f>IF(tblMovement[[#This Row],[Is_Ore]]=1,tblMovement[[#This Row],[Contained_oz]],0)</f>
        <v/>
      </c>
    </row>
    <row r="2994">
      <c r="A2994" s="54" t="n"/>
      <c r="B2994" s="61" t="n"/>
      <c r="C2994" s="61" t="n"/>
      <c r="D2994" s="61" t="n"/>
      <c r="E2994" s="61" t="n"/>
      <c r="F2994" s="55" t="n"/>
      <c r="G2994" s="56" t="n"/>
      <c r="H2994" s="55" t="n"/>
      <c r="I2994" s="62" t="n"/>
      <c r="J2994" s="58" t="n"/>
      <c r="K2994" s="63">
        <f>IF(tblMovement[[#This Row],[Source]]="","",IFERROR(INDEX(tblSources[Type],MATCH(tblMovement[[#This Row],[Source]],tblSources[Source],0)),"?"))</f>
        <v/>
      </c>
      <c r="L2994" s="63">
        <f>IF(tblMovement[[#This Row],[Destination]]="","",IFERROR(INDEX(tblDestinations[Type],MATCH(tblMovement[[#This Row],[Destination]],tblDestinations[Destination],0)),"?"))</f>
        <v/>
      </c>
      <c r="M2994" s="64">
        <f>IF(tblMovement[[#This Row],[Material]]="","",IF(LEFT(tblMovement[[#This Row],[Material]],3)="Ore",1,0))</f>
        <v/>
      </c>
      <c r="N2994" s="59">
        <f>IF(OR(tblMovement[[#This Row],[Tonnes_t]]="",tblMovement[[#This Row],[Grade_gpt]]=""),0,tblMovement[[#This Row],[Tonnes_t]]*tblMovement[[#This Row],[Grade_gpt]]/cfg_TroyOz)</f>
        <v/>
      </c>
      <c r="O2994" s="59">
        <f>IF(tblMovement[[#This Row],[Is_Ore]]=1,tblMovement[[#This Row],[Contained_oz]],0)</f>
        <v/>
      </c>
    </row>
    <row r="2995">
      <c r="A2995" s="54" t="n"/>
      <c r="B2995" s="61" t="n"/>
      <c r="C2995" s="61" t="n"/>
      <c r="D2995" s="61" t="n"/>
      <c r="E2995" s="61" t="n"/>
      <c r="F2995" s="55" t="n"/>
      <c r="G2995" s="56" t="n"/>
      <c r="H2995" s="55" t="n"/>
      <c r="I2995" s="62" t="n"/>
      <c r="J2995" s="58" t="n"/>
      <c r="K2995" s="63">
        <f>IF(tblMovement[[#This Row],[Source]]="","",IFERROR(INDEX(tblSources[Type],MATCH(tblMovement[[#This Row],[Source]],tblSources[Source],0)),"?"))</f>
        <v/>
      </c>
      <c r="L2995" s="63">
        <f>IF(tblMovement[[#This Row],[Destination]]="","",IFERROR(INDEX(tblDestinations[Type],MATCH(tblMovement[[#This Row],[Destination]],tblDestinations[Destination],0)),"?"))</f>
        <v/>
      </c>
      <c r="M2995" s="64">
        <f>IF(tblMovement[[#This Row],[Material]]="","",IF(LEFT(tblMovement[[#This Row],[Material]],3)="Ore",1,0))</f>
        <v/>
      </c>
      <c r="N2995" s="59">
        <f>IF(OR(tblMovement[[#This Row],[Tonnes_t]]="",tblMovement[[#This Row],[Grade_gpt]]=""),0,tblMovement[[#This Row],[Tonnes_t]]*tblMovement[[#This Row],[Grade_gpt]]/cfg_TroyOz)</f>
        <v/>
      </c>
      <c r="O2995" s="59">
        <f>IF(tblMovement[[#This Row],[Is_Ore]]=1,tblMovement[[#This Row],[Contained_oz]],0)</f>
        <v/>
      </c>
    </row>
    <row r="2996">
      <c r="A2996" s="54" t="n"/>
      <c r="B2996" s="61" t="n"/>
      <c r="C2996" s="61" t="n"/>
      <c r="D2996" s="61" t="n"/>
      <c r="E2996" s="61" t="n"/>
      <c r="F2996" s="55" t="n"/>
      <c r="G2996" s="56" t="n"/>
      <c r="H2996" s="55" t="n"/>
      <c r="I2996" s="62" t="n"/>
      <c r="J2996" s="58" t="n"/>
      <c r="K2996" s="63">
        <f>IF(tblMovement[[#This Row],[Source]]="","",IFERROR(INDEX(tblSources[Type],MATCH(tblMovement[[#This Row],[Source]],tblSources[Source],0)),"?"))</f>
        <v/>
      </c>
      <c r="L2996" s="63">
        <f>IF(tblMovement[[#This Row],[Destination]]="","",IFERROR(INDEX(tblDestinations[Type],MATCH(tblMovement[[#This Row],[Destination]],tblDestinations[Destination],0)),"?"))</f>
        <v/>
      </c>
      <c r="M2996" s="64">
        <f>IF(tblMovement[[#This Row],[Material]]="","",IF(LEFT(tblMovement[[#This Row],[Material]],3)="Ore",1,0))</f>
        <v/>
      </c>
      <c r="N2996" s="59">
        <f>IF(OR(tblMovement[[#This Row],[Tonnes_t]]="",tblMovement[[#This Row],[Grade_gpt]]=""),0,tblMovement[[#This Row],[Tonnes_t]]*tblMovement[[#This Row],[Grade_gpt]]/cfg_TroyOz)</f>
        <v/>
      </c>
      <c r="O2996" s="59">
        <f>IF(tblMovement[[#This Row],[Is_Ore]]=1,tblMovement[[#This Row],[Contained_oz]],0)</f>
        <v/>
      </c>
    </row>
    <row r="2997">
      <c r="A2997" s="54" t="n"/>
      <c r="B2997" s="61" t="n"/>
      <c r="C2997" s="61" t="n"/>
      <c r="D2997" s="61" t="n"/>
      <c r="E2997" s="61" t="n"/>
      <c r="F2997" s="55" t="n"/>
      <c r="G2997" s="56" t="n"/>
      <c r="H2997" s="55" t="n"/>
      <c r="I2997" s="62" t="n"/>
      <c r="J2997" s="58" t="n"/>
      <c r="K2997" s="63">
        <f>IF(tblMovement[[#This Row],[Source]]="","",IFERROR(INDEX(tblSources[Type],MATCH(tblMovement[[#This Row],[Source]],tblSources[Source],0)),"?"))</f>
        <v/>
      </c>
      <c r="L2997" s="63">
        <f>IF(tblMovement[[#This Row],[Destination]]="","",IFERROR(INDEX(tblDestinations[Type],MATCH(tblMovement[[#This Row],[Destination]],tblDestinations[Destination],0)),"?"))</f>
        <v/>
      </c>
      <c r="M2997" s="64">
        <f>IF(tblMovement[[#This Row],[Material]]="","",IF(LEFT(tblMovement[[#This Row],[Material]],3)="Ore",1,0))</f>
        <v/>
      </c>
      <c r="N2997" s="59">
        <f>IF(OR(tblMovement[[#This Row],[Tonnes_t]]="",tblMovement[[#This Row],[Grade_gpt]]=""),0,tblMovement[[#This Row],[Tonnes_t]]*tblMovement[[#This Row],[Grade_gpt]]/cfg_TroyOz)</f>
        <v/>
      </c>
      <c r="O2997" s="59">
        <f>IF(tblMovement[[#This Row],[Is_Ore]]=1,tblMovement[[#This Row],[Contained_oz]],0)</f>
        <v/>
      </c>
    </row>
    <row r="2998">
      <c r="A2998" s="54" t="n"/>
      <c r="B2998" s="61" t="n"/>
      <c r="C2998" s="61" t="n"/>
      <c r="D2998" s="61" t="n"/>
      <c r="E2998" s="61" t="n"/>
      <c r="F2998" s="55" t="n"/>
      <c r="G2998" s="56" t="n"/>
      <c r="H2998" s="55" t="n"/>
      <c r="I2998" s="62" t="n"/>
      <c r="J2998" s="58" t="n"/>
      <c r="K2998" s="63">
        <f>IF(tblMovement[[#This Row],[Source]]="","",IFERROR(INDEX(tblSources[Type],MATCH(tblMovement[[#This Row],[Source]],tblSources[Source],0)),"?"))</f>
        <v/>
      </c>
      <c r="L2998" s="63">
        <f>IF(tblMovement[[#This Row],[Destination]]="","",IFERROR(INDEX(tblDestinations[Type],MATCH(tblMovement[[#This Row],[Destination]],tblDestinations[Destination],0)),"?"))</f>
        <v/>
      </c>
      <c r="M2998" s="64">
        <f>IF(tblMovement[[#This Row],[Material]]="","",IF(LEFT(tblMovement[[#This Row],[Material]],3)="Ore",1,0))</f>
        <v/>
      </c>
      <c r="N2998" s="59">
        <f>IF(OR(tblMovement[[#This Row],[Tonnes_t]]="",tblMovement[[#This Row],[Grade_gpt]]=""),0,tblMovement[[#This Row],[Tonnes_t]]*tblMovement[[#This Row],[Grade_gpt]]/cfg_TroyOz)</f>
        <v/>
      </c>
      <c r="O2998" s="59">
        <f>IF(tblMovement[[#This Row],[Is_Ore]]=1,tblMovement[[#This Row],[Contained_oz]],0)</f>
        <v/>
      </c>
    </row>
    <row r="2999">
      <c r="A2999" s="54" t="n"/>
      <c r="B2999" s="61" t="n"/>
      <c r="C2999" s="61" t="n"/>
      <c r="D2999" s="61" t="n"/>
      <c r="E2999" s="61" t="n"/>
      <c r="F2999" s="55" t="n"/>
      <c r="G2999" s="56" t="n"/>
      <c r="H2999" s="55" t="n"/>
      <c r="I2999" s="62" t="n"/>
      <c r="J2999" s="58" t="n"/>
      <c r="K2999" s="63">
        <f>IF(tblMovement[[#This Row],[Source]]="","",IFERROR(INDEX(tblSources[Type],MATCH(tblMovement[[#This Row],[Source]],tblSources[Source],0)),"?"))</f>
        <v/>
      </c>
      <c r="L2999" s="63">
        <f>IF(tblMovement[[#This Row],[Destination]]="","",IFERROR(INDEX(tblDestinations[Type],MATCH(tblMovement[[#This Row],[Destination]],tblDestinations[Destination],0)),"?"))</f>
        <v/>
      </c>
      <c r="M2999" s="64">
        <f>IF(tblMovement[[#This Row],[Material]]="","",IF(LEFT(tblMovement[[#This Row],[Material]],3)="Ore",1,0))</f>
        <v/>
      </c>
      <c r="N2999" s="59">
        <f>IF(OR(tblMovement[[#This Row],[Tonnes_t]]="",tblMovement[[#This Row],[Grade_gpt]]=""),0,tblMovement[[#This Row],[Tonnes_t]]*tblMovement[[#This Row],[Grade_gpt]]/cfg_TroyOz)</f>
        <v/>
      </c>
      <c r="O2999" s="59">
        <f>IF(tblMovement[[#This Row],[Is_Ore]]=1,tblMovement[[#This Row],[Contained_oz]],0)</f>
        <v/>
      </c>
    </row>
    <row r="3000">
      <c r="A3000" s="54" t="n"/>
      <c r="B3000" s="61" t="n"/>
      <c r="C3000" s="61" t="n"/>
      <c r="D3000" s="61" t="n"/>
      <c r="E3000" s="61" t="n"/>
      <c r="F3000" s="55" t="n"/>
      <c r="G3000" s="56" t="n"/>
      <c r="H3000" s="55" t="n"/>
      <c r="I3000" s="62" t="n"/>
      <c r="J3000" s="58" t="n"/>
      <c r="K3000" s="63">
        <f>IF(tblMovement[[#This Row],[Source]]="","",IFERROR(INDEX(tblSources[Type],MATCH(tblMovement[[#This Row],[Source]],tblSources[Source],0)),"?"))</f>
        <v/>
      </c>
      <c r="L3000" s="63">
        <f>IF(tblMovement[[#This Row],[Destination]]="","",IFERROR(INDEX(tblDestinations[Type],MATCH(tblMovement[[#This Row],[Destination]],tblDestinations[Destination],0)),"?"))</f>
        <v/>
      </c>
      <c r="M3000" s="64">
        <f>IF(tblMovement[[#This Row],[Material]]="","",IF(LEFT(tblMovement[[#This Row],[Material]],3)="Ore",1,0))</f>
        <v/>
      </c>
      <c r="N3000" s="59">
        <f>IF(OR(tblMovement[[#This Row],[Tonnes_t]]="",tblMovement[[#This Row],[Grade_gpt]]=""),0,tblMovement[[#This Row],[Tonnes_t]]*tblMovement[[#This Row],[Grade_gpt]]/cfg_TroyOz)</f>
        <v/>
      </c>
      <c r="O3000" s="59">
        <f>IF(tblMovement[[#This Row],[Is_Ore]]=1,tblMovement[[#This Row],[Contained_oz]],0)</f>
        <v/>
      </c>
    </row>
    <row r="3001">
      <c r="A3001" s="54" t="n"/>
      <c r="B3001" s="61" t="n"/>
      <c r="C3001" s="61" t="n"/>
      <c r="D3001" s="61" t="n"/>
      <c r="E3001" s="61" t="n"/>
      <c r="F3001" s="55" t="n"/>
      <c r="G3001" s="56" t="n"/>
      <c r="H3001" s="55" t="n"/>
      <c r="I3001" s="62" t="n"/>
      <c r="J3001" s="58" t="n"/>
      <c r="K3001" s="63">
        <f>IF(tblMovement[[#This Row],[Source]]="","",IFERROR(INDEX(tblSources[Type],MATCH(tblMovement[[#This Row],[Source]],tblSources[Source],0)),"?"))</f>
        <v/>
      </c>
      <c r="L3001" s="63">
        <f>IF(tblMovement[[#This Row],[Destination]]="","",IFERROR(INDEX(tblDestinations[Type],MATCH(tblMovement[[#This Row],[Destination]],tblDestinations[Destination],0)),"?"))</f>
        <v/>
      </c>
      <c r="M3001" s="64">
        <f>IF(tblMovement[[#This Row],[Material]]="","",IF(LEFT(tblMovement[[#This Row],[Material]],3)="Ore",1,0))</f>
        <v/>
      </c>
      <c r="N3001" s="59">
        <f>IF(OR(tblMovement[[#This Row],[Tonnes_t]]="",tblMovement[[#This Row],[Grade_gpt]]=""),0,tblMovement[[#This Row],[Tonnes_t]]*tblMovement[[#This Row],[Grade_gpt]]/cfg_TroyOz)</f>
        <v/>
      </c>
      <c r="O3001" s="59">
        <f>IF(tblMovement[[#This Row],[Is_Ore]]=1,tblMovement[[#This Row],[Contained_oz]],0)</f>
        <v/>
      </c>
    </row>
    <row r="3002">
      <c r="A3002" s="54" t="n"/>
      <c r="B3002" s="61" t="n"/>
      <c r="C3002" s="61" t="n"/>
      <c r="D3002" s="61" t="n"/>
      <c r="E3002" s="61" t="n"/>
      <c r="F3002" s="55" t="n"/>
      <c r="G3002" s="56" t="n"/>
      <c r="H3002" s="55" t="n"/>
      <c r="I3002" s="62" t="n"/>
      <c r="J3002" s="58" t="n"/>
      <c r="K3002" s="63">
        <f>IF(tblMovement[[#This Row],[Source]]="","",IFERROR(INDEX(tblSources[Type],MATCH(tblMovement[[#This Row],[Source]],tblSources[Source],0)),"?"))</f>
        <v/>
      </c>
      <c r="L3002" s="63">
        <f>IF(tblMovement[[#This Row],[Destination]]="","",IFERROR(INDEX(tblDestinations[Type],MATCH(tblMovement[[#This Row],[Destination]],tblDestinations[Destination],0)),"?"))</f>
        <v/>
      </c>
      <c r="M3002" s="64">
        <f>IF(tblMovement[[#This Row],[Material]]="","",IF(LEFT(tblMovement[[#This Row],[Material]],3)="Ore",1,0))</f>
        <v/>
      </c>
      <c r="N3002" s="59">
        <f>IF(OR(tblMovement[[#This Row],[Tonnes_t]]="",tblMovement[[#This Row],[Grade_gpt]]=""),0,tblMovement[[#This Row],[Tonnes_t]]*tblMovement[[#This Row],[Grade_gpt]]/cfg_TroyOz)</f>
        <v/>
      </c>
      <c r="O3002" s="59">
        <f>IF(tblMovement[[#This Row],[Is_Ore]]=1,tblMovement[[#This Row],[Contained_oz]],0)</f>
        <v/>
      </c>
    </row>
    <row r="3003">
      <c r="A3003" s="54" t="n"/>
      <c r="B3003" s="61" t="n"/>
      <c r="C3003" s="61" t="n"/>
      <c r="D3003" s="61" t="n"/>
      <c r="E3003" s="61" t="n"/>
      <c r="F3003" s="55" t="n"/>
      <c r="G3003" s="56" t="n"/>
      <c r="H3003" s="55" t="n"/>
      <c r="I3003" s="62" t="n"/>
      <c r="J3003" s="58" t="n"/>
      <c r="K3003" s="63">
        <f>IF(tblMovement[[#This Row],[Source]]="","",IFERROR(INDEX(tblSources[Type],MATCH(tblMovement[[#This Row],[Source]],tblSources[Source],0)),"?"))</f>
        <v/>
      </c>
      <c r="L3003" s="63">
        <f>IF(tblMovement[[#This Row],[Destination]]="","",IFERROR(INDEX(tblDestinations[Type],MATCH(tblMovement[[#This Row],[Destination]],tblDestinations[Destination],0)),"?"))</f>
        <v/>
      </c>
      <c r="M3003" s="64">
        <f>IF(tblMovement[[#This Row],[Material]]="","",IF(LEFT(tblMovement[[#This Row],[Material]],3)="Ore",1,0))</f>
        <v/>
      </c>
      <c r="N3003" s="59">
        <f>IF(OR(tblMovement[[#This Row],[Tonnes_t]]="",tblMovement[[#This Row],[Grade_gpt]]=""),0,tblMovement[[#This Row],[Tonnes_t]]*tblMovement[[#This Row],[Grade_gpt]]/cfg_TroyOz)</f>
        <v/>
      </c>
      <c r="O3003" s="59">
        <f>IF(tblMovement[[#This Row],[Is_Ore]]=1,tblMovement[[#This Row],[Contained_oz]],0)</f>
        <v/>
      </c>
    </row>
    <row r="3004">
      <c r="A3004" s="54" t="n"/>
      <c r="B3004" s="61" t="n"/>
      <c r="C3004" s="61" t="n"/>
      <c r="D3004" s="61" t="n"/>
      <c r="E3004" s="61" t="n"/>
      <c r="F3004" s="55" t="n"/>
      <c r="G3004" s="56" t="n"/>
      <c r="H3004" s="55" t="n"/>
      <c r="I3004" s="62" t="n"/>
      <c r="J3004" s="58" t="n"/>
      <c r="K3004" s="63">
        <f>IF(tblMovement[[#This Row],[Source]]="","",IFERROR(INDEX(tblSources[Type],MATCH(tblMovement[[#This Row],[Source]],tblSources[Source],0)),"?"))</f>
        <v/>
      </c>
      <c r="L3004" s="63">
        <f>IF(tblMovement[[#This Row],[Destination]]="","",IFERROR(INDEX(tblDestinations[Type],MATCH(tblMovement[[#This Row],[Destination]],tblDestinations[Destination],0)),"?"))</f>
        <v/>
      </c>
      <c r="M3004" s="64">
        <f>IF(tblMovement[[#This Row],[Material]]="","",IF(LEFT(tblMovement[[#This Row],[Material]],3)="Ore",1,0))</f>
        <v/>
      </c>
      <c r="N3004" s="59">
        <f>IF(OR(tblMovement[[#This Row],[Tonnes_t]]="",tblMovement[[#This Row],[Grade_gpt]]=""),0,tblMovement[[#This Row],[Tonnes_t]]*tblMovement[[#This Row],[Grade_gpt]]/cfg_TroyOz)</f>
        <v/>
      </c>
      <c r="O3004" s="59">
        <f>IF(tblMovement[[#This Row],[Is_Ore]]=1,tblMovement[[#This Row],[Contained_oz]],0)</f>
        <v/>
      </c>
    </row>
    <row r="3005">
      <c r="A3005" s="54" t="n"/>
      <c r="B3005" s="61" t="n"/>
      <c r="C3005" s="61" t="n"/>
      <c r="D3005" s="61" t="n"/>
      <c r="E3005" s="61" t="n"/>
      <c r="F3005" s="55" t="n"/>
      <c r="G3005" s="56" t="n"/>
      <c r="H3005" s="55" t="n"/>
      <c r="I3005" s="62" t="n"/>
      <c r="J3005" s="58" t="n"/>
      <c r="K3005" s="63">
        <f>IF(tblMovement[[#This Row],[Source]]="","",IFERROR(INDEX(tblSources[Type],MATCH(tblMovement[[#This Row],[Source]],tblSources[Source],0)),"?"))</f>
        <v/>
      </c>
      <c r="L3005" s="63">
        <f>IF(tblMovement[[#This Row],[Destination]]="","",IFERROR(INDEX(tblDestinations[Type],MATCH(tblMovement[[#This Row],[Destination]],tblDestinations[Destination],0)),"?"))</f>
        <v/>
      </c>
      <c r="M3005" s="64">
        <f>IF(tblMovement[[#This Row],[Material]]="","",IF(LEFT(tblMovement[[#This Row],[Material]],3)="Ore",1,0))</f>
        <v/>
      </c>
      <c r="N3005" s="59">
        <f>IF(OR(tblMovement[[#This Row],[Tonnes_t]]="",tblMovement[[#This Row],[Grade_gpt]]=""),0,tblMovement[[#This Row],[Tonnes_t]]*tblMovement[[#This Row],[Grade_gpt]]/cfg_TroyOz)</f>
        <v/>
      </c>
      <c r="O3005" s="59">
        <f>IF(tblMovement[[#This Row],[Is_Ore]]=1,tblMovement[[#This Row],[Contained_oz]],0)</f>
        <v/>
      </c>
    </row>
    <row r="3006">
      <c r="A3006" s="54" t="n"/>
      <c r="B3006" s="61" t="n"/>
      <c r="C3006" s="61" t="n"/>
      <c r="D3006" s="61" t="n"/>
      <c r="E3006" s="61" t="n"/>
      <c r="F3006" s="55" t="n"/>
      <c r="G3006" s="56" t="n"/>
      <c r="H3006" s="55" t="n"/>
      <c r="I3006" s="62" t="n"/>
      <c r="J3006" s="58" t="n"/>
      <c r="K3006" s="63">
        <f>IF(tblMovement[[#This Row],[Source]]="","",IFERROR(INDEX(tblSources[Type],MATCH(tblMovement[[#This Row],[Source]],tblSources[Source],0)),"?"))</f>
        <v/>
      </c>
      <c r="L3006" s="63">
        <f>IF(tblMovement[[#This Row],[Destination]]="","",IFERROR(INDEX(tblDestinations[Type],MATCH(tblMovement[[#This Row],[Destination]],tblDestinations[Destination],0)),"?"))</f>
        <v/>
      </c>
      <c r="M3006" s="64">
        <f>IF(tblMovement[[#This Row],[Material]]="","",IF(LEFT(tblMovement[[#This Row],[Material]],3)="Ore",1,0))</f>
        <v/>
      </c>
      <c r="N3006" s="59">
        <f>IF(OR(tblMovement[[#This Row],[Tonnes_t]]="",tblMovement[[#This Row],[Grade_gpt]]=""),0,tblMovement[[#This Row],[Tonnes_t]]*tblMovement[[#This Row],[Grade_gpt]]/cfg_TroyOz)</f>
        <v/>
      </c>
      <c r="O3006" s="59">
        <f>IF(tblMovement[[#This Row],[Is_Ore]]=1,tblMovement[[#This Row],[Contained_oz]],0)</f>
        <v/>
      </c>
    </row>
    <row r="3007">
      <c r="A3007" s="54" t="n"/>
      <c r="B3007" s="61" t="n"/>
      <c r="C3007" s="61" t="n"/>
      <c r="D3007" s="61" t="n"/>
      <c r="E3007" s="61" t="n"/>
      <c r="F3007" s="55" t="n"/>
      <c r="G3007" s="56" t="n"/>
      <c r="H3007" s="55" t="n"/>
      <c r="I3007" s="62" t="n"/>
      <c r="J3007" s="58" t="n"/>
      <c r="K3007" s="63">
        <f>IF(tblMovement[[#This Row],[Source]]="","",IFERROR(INDEX(tblSources[Type],MATCH(tblMovement[[#This Row],[Source]],tblSources[Source],0)),"?"))</f>
        <v/>
      </c>
      <c r="L3007" s="63">
        <f>IF(tblMovement[[#This Row],[Destination]]="","",IFERROR(INDEX(tblDestinations[Type],MATCH(tblMovement[[#This Row],[Destination]],tblDestinations[Destination],0)),"?"))</f>
        <v/>
      </c>
      <c r="M3007" s="64">
        <f>IF(tblMovement[[#This Row],[Material]]="","",IF(LEFT(tblMovement[[#This Row],[Material]],3)="Ore",1,0))</f>
        <v/>
      </c>
      <c r="N3007" s="59">
        <f>IF(OR(tblMovement[[#This Row],[Tonnes_t]]="",tblMovement[[#This Row],[Grade_gpt]]=""),0,tblMovement[[#This Row],[Tonnes_t]]*tblMovement[[#This Row],[Grade_gpt]]/cfg_TroyOz)</f>
        <v/>
      </c>
      <c r="O3007" s="59">
        <f>IF(tblMovement[[#This Row],[Is_Ore]]=1,tblMovement[[#This Row],[Contained_oz]],0)</f>
        <v/>
      </c>
    </row>
    <row r="3008">
      <c r="A3008" s="54" t="n"/>
      <c r="B3008" s="61" t="n"/>
      <c r="C3008" s="61" t="n"/>
      <c r="D3008" s="61" t="n"/>
      <c r="E3008" s="61" t="n"/>
      <c r="F3008" s="55" t="n"/>
      <c r="G3008" s="56" t="n"/>
      <c r="H3008" s="55" t="n"/>
      <c r="I3008" s="62" t="n"/>
      <c r="J3008" s="58" t="n"/>
      <c r="K3008" s="63">
        <f>IF(tblMovement[[#This Row],[Source]]="","",IFERROR(INDEX(tblSources[Type],MATCH(tblMovement[[#This Row],[Source]],tblSources[Source],0)),"?"))</f>
        <v/>
      </c>
      <c r="L3008" s="63">
        <f>IF(tblMovement[[#This Row],[Destination]]="","",IFERROR(INDEX(tblDestinations[Type],MATCH(tblMovement[[#This Row],[Destination]],tblDestinations[Destination],0)),"?"))</f>
        <v/>
      </c>
      <c r="M3008" s="64">
        <f>IF(tblMovement[[#This Row],[Material]]="","",IF(LEFT(tblMovement[[#This Row],[Material]],3)="Ore",1,0))</f>
        <v/>
      </c>
      <c r="N3008" s="59">
        <f>IF(OR(tblMovement[[#This Row],[Tonnes_t]]="",tblMovement[[#This Row],[Grade_gpt]]=""),0,tblMovement[[#This Row],[Tonnes_t]]*tblMovement[[#This Row],[Grade_gpt]]/cfg_TroyOz)</f>
        <v/>
      </c>
      <c r="O3008" s="59">
        <f>IF(tblMovement[[#This Row],[Is_Ore]]=1,tblMovement[[#This Row],[Contained_oz]],0)</f>
        <v/>
      </c>
    </row>
    <row r="3009">
      <c r="A3009" s="54" t="n"/>
      <c r="B3009" s="61" t="n"/>
      <c r="C3009" s="61" t="n"/>
      <c r="D3009" s="61" t="n"/>
      <c r="E3009" s="61" t="n"/>
      <c r="F3009" s="55" t="n"/>
      <c r="G3009" s="56" t="n"/>
      <c r="H3009" s="55" t="n"/>
      <c r="I3009" s="62" t="n"/>
      <c r="J3009" s="58" t="n"/>
      <c r="K3009" s="63">
        <f>IF(tblMovement[[#This Row],[Source]]="","",IFERROR(INDEX(tblSources[Type],MATCH(tblMovement[[#This Row],[Source]],tblSources[Source],0)),"?"))</f>
        <v/>
      </c>
      <c r="L3009" s="63">
        <f>IF(tblMovement[[#This Row],[Destination]]="","",IFERROR(INDEX(tblDestinations[Type],MATCH(tblMovement[[#This Row],[Destination]],tblDestinations[Destination],0)),"?"))</f>
        <v/>
      </c>
      <c r="M3009" s="64">
        <f>IF(tblMovement[[#This Row],[Material]]="","",IF(LEFT(tblMovement[[#This Row],[Material]],3)="Ore",1,0))</f>
        <v/>
      </c>
      <c r="N3009" s="59">
        <f>IF(OR(tblMovement[[#This Row],[Tonnes_t]]="",tblMovement[[#This Row],[Grade_gpt]]=""),0,tblMovement[[#This Row],[Tonnes_t]]*tblMovement[[#This Row],[Grade_gpt]]/cfg_TroyOz)</f>
        <v/>
      </c>
      <c r="O3009" s="59">
        <f>IF(tblMovement[[#This Row],[Is_Ore]]=1,tblMovement[[#This Row],[Contained_oz]],0)</f>
        <v/>
      </c>
    </row>
    <row r="3010">
      <c r="A3010" s="54" t="n"/>
      <c r="B3010" s="61" t="n"/>
      <c r="C3010" s="61" t="n"/>
      <c r="D3010" s="61" t="n"/>
      <c r="E3010" s="61" t="n"/>
      <c r="F3010" s="55" t="n"/>
      <c r="G3010" s="56" t="n"/>
      <c r="H3010" s="55" t="n"/>
      <c r="I3010" s="62" t="n"/>
      <c r="J3010" s="58" t="n"/>
      <c r="K3010" s="63">
        <f>IF(tblMovement[[#This Row],[Source]]="","",IFERROR(INDEX(tblSources[Type],MATCH(tblMovement[[#This Row],[Source]],tblSources[Source],0)),"?"))</f>
        <v/>
      </c>
      <c r="L3010" s="63">
        <f>IF(tblMovement[[#This Row],[Destination]]="","",IFERROR(INDEX(tblDestinations[Type],MATCH(tblMovement[[#This Row],[Destination]],tblDestinations[Destination],0)),"?"))</f>
        <v/>
      </c>
      <c r="M3010" s="64">
        <f>IF(tblMovement[[#This Row],[Material]]="","",IF(LEFT(tblMovement[[#This Row],[Material]],3)="Ore",1,0))</f>
        <v/>
      </c>
      <c r="N3010" s="59">
        <f>IF(OR(tblMovement[[#This Row],[Tonnes_t]]="",tblMovement[[#This Row],[Grade_gpt]]=""),0,tblMovement[[#This Row],[Tonnes_t]]*tblMovement[[#This Row],[Grade_gpt]]/cfg_TroyOz)</f>
        <v/>
      </c>
      <c r="O3010" s="59">
        <f>IF(tblMovement[[#This Row],[Is_Ore]]=1,tblMovement[[#This Row],[Contained_oz]],0)</f>
        <v/>
      </c>
    </row>
    <row r="3011">
      <c r="A3011" s="54" t="n"/>
      <c r="B3011" s="61" t="n"/>
      <c r="C3011" s="61" t="n"/>
      <c r="D3011" s="61" t="n"/>
      <c r="E3011" s="61" t="n"/>
      <c r="F3011" s="55" t="n"/>
      <c r="G3011" s="56" t="n"/>
      <c r="H3011" s="55" t="n"/>
      <c r="I3011" s="62" t="n"/>
      <c r="J3011" s="58" t="n"/>
      <c r="K3011" s="63">
        <f>IF(tblMovement[[#This Row],[Source]]="","",IFERROR(INDEX(tblSources[Type],MATCH(tblMovement[[#This Row],[Source]],tblSources[Source],0)),"?"))</f>
        <v/>
      </c>
      <c r="L3011" s="63">
        <f>IF(tblMovement[[#This Row],[Destination]]="","",IFERROR(INDEX(tblDestinations[Type],MATCH(tblMovement[[#This Row],[Destination]],tblDestinations[Destination],0)),"?"))</f>
        <v/>
      </c>
      <c r="M3011" s="64">
        <f>IF(tblMovement[[#This Row],[Material]]="","",IF(LEFT(tblMovement[[#This Row],[Material]],3)="Ore",1,0))</f>
        <v/>
      </c>
      <c r="N3011" s="59">
        <f>IF(OR(tblMovement[[#This Row],[Tonnes_t]]="",tblMovement[[#This Row],[Grade_gpt]]=""),0,tblMovement[[#This Row],[Tonnes_t]]*tblMovement[[#This Row],[Grade_gpt]]/cfg_TroyOz)</f>
        <v/>
      </c>
      <c r="O3011" s="59">
        <f>IF(tblMovement[[#This Row],[Is_Ore]]=1,tblMovement[[#This Row],[Contained_oz]],0)</f>
        <v/>
      </c>
    </row>
    <row r="3012">
      <c r="A3012" s="54" t="n"/>
      <c r="B3012" s="61" t="n"/>
      <c r="C3012" s="61" t="n"/>
      <c r="D3012" s="61" t="n"/>
      <c r="E3012" s="61" t="n"/>
      <c r="F3012" s="55" t="n"/>
      <c r="G3012" s="56" t="n"/>
      <c r="H3012" s="55" t="n"/>
      <c r="I3012" s="62" t="n"/>
      <c r="J3012" s="58" t="n"/>
      <c r="K3012" s="63">
        <f>IF(tblMovement[[#This Row],[Source]]="","",IFERROR(INDEX(tblSources[Type],MATCH(tblMovement[[#This Row],[Source]],tblSources[Source],0)),"?"))</f>
        <v/>
      </c>
      <c r="L3012" s="63">
        <f>IF(tblMovement[[#This Row],[Destination]]="","",IFERROR(INDEX(tblDestinations[Type],MATCH(tblMovement[[#This Row],[Destination]],tblDestinations[Destination],0)),"?"))</f>
        <v/>
      </c>
      <c r="M3012" s="64">
        <f>IF(tblMovement[[#This Row],[Material]]="","",IF(LEFT(tblMovement[[#This Row],[Material]],3)="Ore",1,0))</f>
        <v/>
      </c>
      <c r="N3012" s="59">
        <f>IF(OR(tblMovement[[#This Row],[Tonnes_t]]="",tblMovement[[#This Row],[Grade_gpt]]=""),0,tblMovement[[#This Row],[Tonnes_t]]*tblMovement[[#This Row],[Grade_gpt]]/cfg_TroyOz)</f>
        <v/>
      </c>
      <c r="O3012" s="59">
        <f>IF(tblMovement[[#This Row],[Is_Ore]]=1,tblMovement[[#This Row],[Contained_oz]],0)</f>
        <v/>
      </c>
    </row>
    <row r="3013">
      <c r="A3013" s="54" t="n"/>
      <c r="B3013" s="61" t="n"/>
      <c r="C3013" s="61" t="n"/>
      <c r="D3013" s="61" t="n"/>
      <c r="E3013" s="61" t="n"/>
      <c r="F3013" s="55" t="n"/>
      <c r="G3013" s="56" t="n"/>
      <c r="H3013" s="55" t="n"/>
      <c r="I3013" s="62" t="n"/>
      <c r="J3013" s="58" t="n"/>
      <c r="K3013" s="63">
        <f>IF(tblMovement[[#This Row],[Source]]="","",IFERROR(INDEX(tblSources[Type],MATCH(tblMovement[[#This Row],[Source]],tblSources[Source],0)),"?"))</f>
        <v/>
      </c>
      <c r="L3013" s="63">
        <f>IF(tblMovement[[#This Row],[Destination]]="","",IFERROR(INDEX(tblDestinations[Type],MATCH(tblMovement[[#This Row],[Destination]],tblDestinations[Destination],0)),"?"))</f>
        <v/>
      </c>
      <c r="M3013" s="64">
        <f>IF(tblMovement[[#This Row],[Material]]="","",IF(LEFT(tblMovement[[#This Row],[Material]],3)="Ore",1,0))</f>
        <v/>
      </c>
      <c r="N3013" s="59">
        <f>IF(OR(tblMovement[[#This Row],[Tonnes_t]]="",tblMovement[[#This Row],[Grade_gpt]]=""),0,tblMovement[[#This Row],[Tonnes_t]]*tblMovement[[#This Row],[Grade_gpt]]/cfg_TroyOz)</f>
        <v/>
      </c>
      <c r="O3013" s="59">
        <f>IF(tblMovement[[#This Row],[Is_Ore]]=1,tblMovement[[#This Row],[Contained_oz]],0)</f>
        <v/>
      </c>
    </row>
    <row r="3014">
      <c r="A3014" s="54" t="n"/>
      <c r="B3014" s="61" t="n"/>
      <c r="C3014" s="61" t="n"/>
      <c r="D3014" s="61" t="n"/>
      <c r="E3014" s="61" t="n"/>
      <c r="F3014" s="55" t="n"/>
      <c r="G3014" s="56" t="n"/>
      <c r="H3014" s="55" t="n"/>
      <c r="I3014" s="62" t="n"/>
      <c r="J3014" s="58" t="n"/>
      <c r="K3014" s="63">
        <f>IF(tblMovement[[#This Row],[Source]]="","",IFERROR(INDEX(tblSources[Type],MATCH(tblMovement[[#This Row],[Source]],tblSources[Source],0)),"?"))</f>
        <v/>
      </c>
      <c r="L3014" s="63">
        <f>IF(tblMovement[[#This Row],[Destination]]="","",IFERROR(INDEX(tblDestinations[Type],MATCH(tblMovement[[#This Row],[Destination]],tblDestinations[Destination],0)),"?"))</f>
        <v/>
      </c>
      <c r="M3014" s="64">
        <f>IF(tblMovement[[#This Row],[Material]]="","",IF(LEFT(tblMovement[[#This Row],[Material]],3)="Ore",1,0))</f>
        <v/>
      </c>
      <c r="N3014" s="59">
        <f>IF(OR(tblMovement[[#This Row],[Tonnes_t]]="",tblMovement[[#This Row],[Grade_gpt]]=""),0,tblMovement[[#This Row],[Tonnes_t]]*tblMovement[[#This Row],[Grade_gpt]]/cfg_TroyOz)</f>
        <v/>
      </c>
      <c r="O3014" s="59">
        <f>IF(tblMovement[[#This Row],[Is_Ore]]=1,tblMovement[[#This Row],[Contained_oz]],0)</f>
        <v/>
      </c>
    </row>
    <row r="3015">
      <c r="A3015" s="54" t="n"/>
      <c r="B3015" s="61" t="n"/>
      <c r="C3015" s="61" t="n"/>
      <c r="D3015" s="61" t="n"/>
      <c r="E3015" s="61" t="n"/>
      <c r="F3015" s="55" t="n"/>
      <c r="G3015" s="56" t="n"/>
      <c r="H3015" s="55" t="n"/>
      <c r="I3015" s="62" t="n"/>
      <c r="J3015" s="58" t="n"/>
      <c r="K3015" s="63">
        <f>IF(tblMovement[[#This Row],[Source]]="","",IFERROR(INDEX(tblSources[Type],MATCH(tblMovement[[#This Row],[Source]],tblSources[Source],0)),"?"))</f>
        <v/>
      </c>
      <c r="L3015" s="63">
        <f>IF(tblMovement[[#This Row],[Destination]]="","",IFERROR(INDEX(tblDestinations[Type],MATCH(tblMovement[[#This Row],[Destination]],tblDestinations[Destination],0)),"?"))</f>
        <v/>
      </c>
      <c r="M3015" s="64">
        <f>IF(tblMovement[[#This Row],[Material]]="","",IF(LEFT(tblMovement[[#This Row],[Material]],3)="Ore",1,0))</f>
        <v/>
      </c>
      <c r="N3015" s="59">
        <f>IF(OR(tblMovement[[#This Row],[Tonnes_t]]="",tblMovement[[#This Row],[Grade_gpt]]=""),0,tblMovement[[#This Row],[Tonnes_t]]*tblMovement[[#This Row],[Grade_gpt]]/cfg_TroyOz)</f>
        <v/>
      </c>
      <c r="O3015" s="59">
        <f>IF(tblMovement[[#This Row],[Is_Ore]]=1,tblMovement[[#This Row],[Contained_oz]],0)</f>
        <v/>
      </c>
    </row>
    <row r="3016">
      <c r="A3016" s="54" t="n"/>
      <c r="B3016" s="61" t="n"/>
      <c r="C3016" s="61" t="n"/>
      <c r="D3016" s="61" t="n"/>
      <c r="E3016" s="61" t="n"/>
      <c r="F3016" s="55" t="n"/>
      <c r="G3016" s="56" t="n"/>
      <c r="H3016" s="55" t="n"/>
      <c r="I3016" s="62" t="n"/>
      <c r="J3016" s="58" t="n"/>
      <c r="K3016" s="63">
        <f>IF(tblMovement[[#This Row],[Source]]="","",IFERROR(INDEX(tblSources[Type],MATCH(tblMovement[[#This Row],[Source]],tblSources[Source],0)),"?"))</f>
        <v/>
      </c>
      <c r="L3016" s="63">
        <f>IF(tblMovement[[#This Row],[Destination]]="","",IFERROR(INDEX(tblDestinations[Type],MATCH(tblMovement[[#This Row],[Destination]],tblDestinations[Destination],0)),"?"))</f>
        <v/>
      </c>
      <c r="M3016" s="64">
        <f>IF(tblMovement[[#This Row],[Material]]="","",IF(LEFT(tblMovement[[#This Row],[Material]],3)="Ore",1,0))</f>
        <v/>
      </c>
      <c r="N3016" s="59">
        <f>IF(OR(tblMovement[[#This Row],[Tonnes_t]]="",tblMovement[[#This Row],[Grade_gpt]]=""),0,tblMovement[[#This Row],[Tonnes_t]]*tblMovement[[#This Row],[Grade_gpt]]/cfg_TroyOz)</f>
        <v/>
      </c>
      <c r="O3016" s="59">
        <f>IF(tblMovement[[#This Row],[Is_Ore]]=1,tblMovement[[#This Row],[Contained_oz]],0)</f>
        <v/>
      </c>
    </row>
    <row r="3017">
      <c r="A3017" s="54" t="n"/>
      <c r="B3017" s="61" t="n"/>
      <c r="C3017" s="61" t="n"/>
      <c r="D3017" s="61" t="n"/>
      <c r="E3017" s="61" t="n"/>
      <c r="F3017" s="55" t="n"/>
      <c r="G3017" s="56" t="n"/>
      <c r="H3017" s="55" t="n"/>
      <c r="I3017" s="62" t="n"/>
      <c r="J3017" s="58" t="n"/>
      <c r="K3017" s="63">
        <f>IF(tblMovement[[#This Row],[Source]]="","",IFERROR(INDEX(tblSources[Type],MATCH(tblMovement[[#This Row],[Source]],tblSources[Source],0)),"?"))</f>
        <v/>
      </c>
      <c r="L3017" s="63">
        <f>IF(tblMovement[[#This Row],[Destination]]="","",IFERROR(INDEX(tblDestinations[Type],MATCH(tblMovement[[#This Row],[Destination]],tblDestinations[Destination],0)),"?"))</f>
        <v/>
      </c>
      <c r="M3017" s="64">
        <f>IF(tblMovement[[#This Row],[Material]]="","",IF(LEFT(tblMovement[[#This Row],[Material]],3)="Ore",1,0))</f>
        <v/>
      </c>
      <c r="N3017" s="59">
        <f>IF(OR(tblMovement[[#This Row],[Tonnes_t]]="",tblMovement[[#This Row],[Grade_gpt]]=""),0,tblMovement[[#This Row],[Tonnes_t]]*tblMovement[[#This Row],[Grade_gpt]]/cfg_TroyOz)</f>
        <v/>
      </c>
      <c r="O3017" s="59">
        <f>IF(tblMovement[[#This Row],[Is_Ore]]=1,tblMovement[[#This Row],[Contained_oz]],0)</f>
        <v/>
      </c>
    </row>
    <row r="3018">
      <c r="A3018" s="54" t="n"/>
      <c r="B3018" s="61" t="n"/>
      <c r="C3018" s="61" t="n"/>
      <c r="D3018" s="61" t="n"/>
      <c r="E3018" s="61" t="n"/>
      <c r="F3018" s="55" t="n"/>
      <c r="G3018" s="56" t="n"/>
      <c r="H3018" s="55" t="n"/>
      <c r="I3018" s="62" t="n"/>
      <c r="J3018" s="58" t="n"/>
      <c r="K3018" s="63">
        <f>IF(tblMovement[[#This Row],[Source]]="","",IFERROR(INDEX(tblSources[Type],MATCH(tblMovement[[#This Row],[Source]],tblSources[Source],0)),"?"))</f>
        <v/>
      </c>
      <c r="L3018" s="63">
        <f>IF(tblMovement[[#This Row],[Destination]]="","",IFERROR(INDEX(tblDestinations[Type],MATCH(tblMovement[[#This Row],[Destination]],tblDestinations[Destination],0)),"?"))</f>
        <v/>
      </c>
      <c r="M3018" s="64">
        <f>IF(tblMovement[[#This Row],[Material]]="","",IF(LEFT(tblMovement[[#This Row],[Material]],3)="Ore",1,0))</f>
        <v/>
      </c>
      <c r="N3018" s="59">
        <f>IF(OR(tblMovement[[#This Row],[Tonnes_t]]="",tblMovement[[#This Row],[Grade_gpt]]=""),0,tblMovement[[#This Row],[Tonnes_t]]*tblMovement[[#This Row],[Grade_gpt]]/cfg_TroyOz)</f>
        <v/>
      </c>
      <c r="O3018" s="59">
        <f>IF(tblMovement[[#This Row],[Is_Ore]]=1,tblMovement[[#This Row],[Contained_oz]],0)</f>
        <v/>
      </c>
    </row>
    <row r="3019">
      <c r="A3019" s="54" t="n"/>
      <c r="B3019" s="61" t="n"/>
      <c r="C3019" s="61" t="n"/>
      <c r="D3019" s="61" t="n"/>
      <c r="E3019" s="61" t="n"/>
      <c r="F3019" s="55" t="n"/>
      <c r="G3019" s="56" t="n"/>
      <c r="H3019" s="55" t="n"/>
      <c r="I3019" s="62" t="n"/>
      <c r="J3019" s="58" t="n"/>
      <c r="K3019" s="63">
        <f>IF(tblMovement[[#This Row],[Source]]="","",IFERROR(INDEX(tblSources[Type],MATCH(tblMovement[[#This Row],[Source]],tblSources[Source],0)),"?"))</f>
        <v/>
      </c>
      <c r="L3019" s="63">
        <f>IF(tblMovement[[#This Row],[Destination]]="","",IFERROR(INDEX(tblDestinations[Type],MATCH(tblMovement[[#This Row],[Destination]],tblDestinations[Destination],0)),"?"))</f>
        <v/>
      </c>
      <c r="M3019" s="64">
        <f>IF(tblMovement[[#This Row],[Material]]="","",IF(LEFT(tblMovement[[#This Row],[Material]],3)="Ore",1,0))</f>
        <v/>
      </c>
      <c r="N3019" s="59">
        <f>IF(OR(tblMovement[[#This Row],[Tonnes_t]]="",tblMovement[[#This Row],[Grade_gpt]]=""),0,tblMovement[[#This Row],[Tonnes_t]]*tblMovement[[#This Row],[Grade_gpt]]/cfg_TroyOz)</f>
        <v/>
      </c>
      <c r="O3019" s="59">
        <f>IF(tblMovement[[#This Row],[Is_Ore]]=1,tblMovement[[#This Row],[Contained_oz]],0)</f>
        <v/>
      </c>
    </row>
    <row r="3020">
      <c r="A3020" s="54" t="n"/>
      <c r="B3020" s="61" t="n"/>
      <c r="C3020" s="61" t="n"/>
      <c r="D3020" s="61" t="n"/>
      <c r="E3020" s="61" t="n"/>
      <c r="F3020" s="55" t="n"/>
      <c r="G3020" s="56" t="n"/>
      <c r="H3020" s="55" t="n"/>
      <c r="I3020" s="62" t="n"/>
      <c r="J3020" s="58" t="n"/>
      <c r="K3020" s="63">
        <f>IF(tblMovement[[#This Row],[Source]]="","",IFERROR(INDEX(tblSources[Type],MATCH(tblMovement[[#This Row],[Source]],tblSources[Source],0)),"?"))</f>
        <v/>
      </c>
      <c r="L3020" s="63">
        <f>IF(tblMovement[[#This Row],[Destination]]="","",IFERROR(INDEX(tblDestinations[Type],MATCH(tblMovement[[#This Row],[Destination]],tblDestinations[Destination],0)),"?"))</f>
        <v/>
      </c>
      <c r="M3020" s="64">
        <f>IF(tblMovement[[#This Row],[Material]]="","",IF(LEFT(tblMovement[[#This Row],[Material]],3)="Ore",1,0))</f>
        <v/>
      </c>
      <c r="N3020" s="59">
        <f>IF(OR(tblMovement[[#This Row],[Tonnes_t]]="",tblMovement[[#This Row],[Grade_gpt]]=""),0,tblMovement[[#This Row],[Tonnes_t]]*tblMovement[[#This Row],[Grade_gpt]]/cfg_TroyOz)</f>
        <v/>
      </c>
      <c r="O3020" s="59">
        <f>IF(tblMovement[[#This Row],[Is_Ore]]=1,tblMovement[[#This Row],[Contained_oz]],0)</f>
        <v/>
      </c>
    </row>
    <row r="3021">
      <c r="A3021" s="54" t="n"/>
      <c r="B3021" s="61" t="n"/>
      <c r="C3021" s="61" t="n"/>
      <c r="D3021" s="61" t="n"/>
      <c r="E3021" s="61" t="n"/>
      <c r="F3021" s="55" t="n"/>
      <c r="G3021" s="56" t="n"/>
      <c r="H3021" s="55" t="n"/>
      <c r="I3021" s="62" t="n"/>
      <c r="J3021" s="58" t="n"/>
      <c r="K3021" s="63">
        <f>IF(tblMovement[[#This Row],[Source]]="","",IFERROR(INDEX(tblSources[Type],MATCH(tblMovement[[#This Row],[Source]],tblSources[Source],0)),"?"))</f>
        <v/>
      </c>
      <c r="L3021" s="63">
        <f>IF(tblMovement[[#This Row],[Destination]]="","",IFERROR(INDEX(tblDestinations[Type],MATCH(tblMovement[[#This Row],[Destination]],tblDestinations[Destination],0)),"?"))</f>
        <v/>
      </c>
      <c r="M3021" s="64">
        <f>IF(tblMovement[[#This Row],[Material]]="","",IF(LEFT(tblMovement[[#This Row],[Material]],3)="Ore",1,0))</f>
        <v/>
      </c>
      <c r="N3021" s="59">
        <f>IF(OR(tblMovement[[#This Row],[Tonnes_t]]="",tblMovement[[#This Row],[Grade_gpt]]=""),0,tblMovement[[#This Row],[Tonnes_t]]*tblMovement[[#This Row],[Grade_gpt]]/cfg_TroyOz)</f>
        <v/>
      </c>
      <c r="O3021" s="59">
        <f>IF(tblMovement[[#This Row],[Is_Ore]]=1,tblMovement[[#This Row],[Contained_oz]],0)</f>
        <v/>
      </c>
    </row>
    <row r="3022">
      <c r="A3022" s="54" t="n"/>
      <c r="B3022" s="61" t="n"/>
      <c r="C3022" s="61" t="n"/>
      <c r="D3022" s="61" t="n"/>
      <c r="E3022" s="61" t="n"/>
      <c r="F3022" s="55" t="n"/>
      <c r="G3022" s="56" t="n"/>
      <c r="H3022" s="55" t="n"/>
      <c r="I3022" s="62" t="n"/>
      <c r="J3022" s="58" t="n"/>
      <c r="K3022" s="63">
        <f>IF(tblMovement[[#This Row],[Source]]="","",IFERROR(INDEX(tblSources[Type],MATCH(tblMovement[[#This Row],[Source]],tblSources[Source],0)),"?"))</f>
        <v/>
      </c>
      <c r="L3022" s="63">
        <f>IF(tblMovement[[#This Row],[Destination]]="","",IFERROR(INDEX(tblDestinations[Type],MATCH(tblMovement[[#This Row],[Destination]],tblDestinations[Destination],0)),"?"))</f>
        <v/>
      </c>
      <c r="M3022" s="64">
        <f>IF(tblMovement[[#This Row],[Material]]="","",IF(LEFT(tblMovement[[#This Row],[Material]],3)="Ore",1,0))</f>
        <v/>
      </c>
      <c r="N3022" s="59">
        <f>IF(OR(tblMovement[[#This Row],[Tonnes_t]]="",tblMovement[[#This Row],[Grade_gpt]]=""),0,tblMovement[[#This Row],[Tonnes_t]]*tblMovement[[#This Row],[Grade_gpt]]/cfg_TroyOz)</f>
        <v/>
      </c>
      <c r="O3022" s="59">
        <f>IF(tblMovement[[#This Row],[Is_Ore]]=1,tblMovement[[#This Row],[Contained_oz]],0)</f>
        <v/>
      </c>
    </row>
    <row r="3023">
      <c r="A3023" s="54" t="n"/>
      <c r="B3023" s="61" t="n"/>
      <c r="C3023" s="61" t="n"/>
      <c r="D3023" s="61" t="n"/>
      <c r="E3023" s="61" t="n"/>
      <c r="F3023" s="55" t="n"/>
      <c r="G3023" s="56" t="n"/>
      <c r="H3023" s="55" t="n"/>
      <c r="I3023" s="62" t="n"/>
      <c r="J3023" s="58" t="n"/>
      <c r="K3023" s="63">
        <f>IF(tblMovement[[#This Row],[Source]]="","",IFERROR(INDEX(tblSources[Type],MATCH(tblMovement[[#This Row],[Source]],tblSources[Source],0)),"?"))</f>
        <v/>
      </c>
      <c r="L3023" s="63">
        <f>IF(tblMovement[[#This Row],[Destination]]="","",IFERROR(INDEX(tblDestinations[Type],MATCH(tblMovement[[#This Row],[Destination]],tblDestinations[Destination],0)),"?"))</f>
        <v/>
      </c>
      <c r="M3023" s="64">
        <f>IF(tblMovement[[#This Row],[Material]]="","",IF(LEFT(tblMovement[[#This Row],[Material]],3)="Ore",1,0))</f>
        <v/>
      </c>
      <c r="N3023" s="59">
        <f>IF(OR(tblMovement[[#This Row],[Tonnes_t]]="",tblMovement[[#This Row],[Grade_gpt]]=""),0,tblMovement[[#This Row],[Tonnes_t]]*tblMovement[[#This Row],[Grade_gpt]]/cfg_TroyOz)</f>
        <v/>
      </c>
      <c r="O3023" s="59">
        <f>IF(tblMovement[[#This Row],[Is_Ore]]=1,tblMovement[[#This Row],[Contained_oz]],0)</f>
        <v/>
      </c>
    </row>
    <row r="3024">
      <c r="A3024" s="54" t="n"/>
      <c r="B3024" s="61" t="n"/>
      <c r="C3024" s="61" t="n"/>
      <c r="D3024" s="61" t="n"/>
      <c r="E3024" s="61" t="n"/>
      <c r="F3024" s="55" t="n"/>
      <c r="G3024" s="56" t="n"/>
      <c r="H3024" s="55" t="n"/>
      <c r="I3024" s="62" t="n"/>
      <c r="J3024" s="58" t="n"/>
      <c r="K3024" s="63">
        <f>IF(tblMovement[[#This Row],[Source]]="","",IFERROR(INDEX(tblSources[Type],MATCH(tblMovement[[#This Row],[Source]],tblSources[Source],0)),"?"))</f>
        <v/>
      </c>
      <c r="L3024" s="63">
        <f>IF(tblMovement[[#This Row],[Destination]]="","",IFERROR(INDEX(tblDestinations[Type],MATCH(tblMovement[[#This Row],[Destination]],tblDestinations[Destination],0)),"?"))</f>
        <v/>
      </c>
      <c r="M3024" s="64">
        <f>IF(tblMovement[[#This Row],[Material]]="","",IF(LEFT(tblMovement[[#This Row],[Material]],3)="Ore",1,0))</f>
        <v/>
      </c>
      <c r="N3024" s="59">
        <f>IF(OR(tblMovement[[#This Row],[Tonnes_t]]="",tblMovement[[#This Row],[Grade_gpt]]=""),0,tblMovement[[#This Row],[Tonnes_t]]*tblMovement[[#This Row],[Grade_gpt]]/cfg_TroyOz)</f>
        <v/>
      </c>
      <c r="O3024" s="59">
        <f>IF(tblMovement[[#This Row],[Is_Ore]]=1,tblMovement[[#This Row],[Contained_oz]],0)</f>
        <v/>
      </c>
    </row>
    <row r="3025">
      <c r="A3025" s="54" t="n"/>
      <c r="B3025" s="61" t="n"/>
      <c r="C3025" s="61" t="n"/>
      <c r="D3025" s="61" t="n"/>
      <c r="E3025" s="61" t="n"/>
      <c r="F3025" s="55" t="n"/>
      <c r="G3025" s="56" t="n"/>
      <c r="H3025" s="55" t="n"/>
      <c r="I3025" s="62" t="n"/>
      <c r="J3025" s="58" t="n"/>
      <c r="K3025" s="63">
        <f>IF(tblMovement[[#This Row],[Source]]="","",IFERROR(INDEX(tblSources[Type],MATCH(tblMovement[[#This Row],[Source]],tblSources[Source],0)),"?"))</f>
        <v/>
      </c>
      <c r="L3025" s="63">
        <f>IF(tblMovement[[#This Row],[Destination]]="","",IFERROR(INDEX(tblDestinations[Type],MATCH(tblMovement[[#This Row],[Destination]],tblDestinations[Destination],0)),"?"))</f>
        <v/>
      </c>
      <c r="M3025" s="64">
        <f>IF(tblMovement[[#This Row],[Material]]="","",IF(LEFT(tblMovement[[#This Row],[Material]],3)="Ore",1,0))</f>
        <v/>
      </c>
      <c r="N3025" s="59">
        <f>IF(OR(tblMovement[[#This Row],[Tonnes_t]]="",tblMovement[[#This Row],[Grade_gpt]]=""),0,tblMovement[[#This Row],[Tonnes_t]]*tblMovement[[#This Row],[Grade_gpt]]/cfg_TroyOz)</f>
        <v/>
      </c>
      <c r="O3025" s="59">
        <f>IF(tblMovement[[#This Row],[Is_Ore]]=1,tblMovement[[#This Row],[Contained_oz]],0)</f>
        <v/>
      </c>
    </row>
    <row r="3026">
      <c r="A3026" s="54" t="n"/>
      <c r="B3026" s="61" t="n"/>
      <c r="C3026" s="61" t="n"/>
      <c r="D3026" s="61" t="n"/>
      <c r="E3026" s="61" t="n"/>
      <c r="F3026" s="55" t="n"/>
      <c r="G3026" s="56" t="n"/>
      <c r="H3026" s="55" t="n"/>
      <c r="I3026" s="62" t="n"/>
      <c r="J3026" s="58" t="n"/>
      <c r="K3026" s="63">
        <f>IF(tblMovement[[#This Row],[Source]]="","",IFERROR(INDEX(tblSources[Type],MATCH(tblMovement[[#This Row],[Source]],tblSources[Source],0)),"?"))</f>
        <v/>
      </c>
      <c r="L3026" s="63">
        <f>IF(tblMovement[[#This Row],[Destination]]="","",IFERROR(INDEX(tblDestinations[Type],MATCH(tblMovement[[#This Row],[Destination]],tblDestinations[Destination],0)),"?"))</f>
        <v/>
      </c>
      <c r="M3026" s="64">
        <f>IF(tblMovement[[#This Row],[Material]]="","",IF(LEFT(tblMovement[[#This Row],[Material]],3)="Ore",1,0))</f>
        <v/>
      </c>
      <c r="N3026" s="59">
        <f>IF(OR(tblMovement[[#This Row],[Tonnes_t]]="",tblMovement[[#This Row],[Grade_gpt]]=""),0,tblMovement[[#This Row],[Tonnes_t]]*tblMovement[[#This Row],[Grade_gpt]]/cfg_TroyOz)</f>
        <v/>
      </c>
      <c r="O3026" s="59">
        <f>IF(tblMovement[[#This Row],[Is_Ore]]=1,tblMovement[[#This Row],[Contained_oz]],0)</f>
        <v/>
      </c>
    </row>
    <row r="3027">
      <c r="A3027" s="54" t="n"/>
      <c r="B3027" s="61" t="n"/>
      <c r="C3027" s="61" t="n"/>
      <c r="D3027" s="61" t="n"/>
      <c r="E3027" s="61" t="n"/>
      <c r="F3027" s="55" t="n"/>
      <c r="G3027" s="56" t="n"/>
      <c r="H3027" s="55" t="n"/>
      <c r="I3027" s="62" t="n"/>
      <c r="J3027" s="58" t="n"/>
      <c r="K3027" s="63">
        <f>IF(tblMovement[[#This Row],[Source]]="","",IFERROR(INDEX(tblSources[Type],MATCH(tblMovement[[#This Row],[Source]],tblSources[Source],0)),"?"))</f>
        <v/>
      </c>
      <c r="L3027" s="63">
        <f>IF(tblMovement[[#This Row],[Destination]]="","",IFERROR(INDEX(tblDestinations[Type],MATCH(tblMovement[[#This Row],[Destination]],tblDestinations[Destination],0)),"?"))</f>
        <v/>
      </c>
      <c r="M3027" s="64">
        <f>IF(tblMovement[[#This Row],[Material]]="","",IF(LEFT(tblMovement[[#This Row],[Material]],3)="Ore",1,0))</f>
        <v/>
      </c>
      <c r="N3027" s="59">
        <f>IF(OR(tblMovement[[#This Row],[Tonnes_t]]="",tblMovement[[#This Row],[Grade_gpt]]=""),0,tblMovement[[#This Row],[Tonnes_t]]*tblMovement[[#This Row],[Grade_gpt]]/cfg_TroyOz)</f>
        <v/>
      </c>
      <c r="O3027" s="59">
        <f>IF(tblMovement[[#This Row],[Is_Ore]]=1,tblMovement[[#This Row],[Contained_oz]],0)</f>
        <v/>
      </c>
    </row>
    <row r="3028">
      <c r="A3028" s="54" t="n"/>
      <c r="B3028" s="61" t="n"/>
      <c r="C3028" s="61" t="n"/>
      <c r="D3028" s="61" t="n"/>
      <c r="E3028" s="61" t="n"/>
      <c r="F3028" s="55" t="n"/>
      <c r="G3028" s="56" t="n"/>
      <c r="H3028" s="55" t="n"/>
      <c r="I3028" s="62" t="n"/>
      <c r="J3028" s="58" t="n"/>
      <c r="K3028" s="63">
        <f>IF(tblMovement[[#This Row],[Source]]="","",IFERROR(INDEX(tblSources[Type],MATCH(tblMovement[[#This Row],[Source]],tblSources[Source],0)),"?"))</f>
        <v/>
      </c>
      <c r="L3028" s="63">
        <f>IF(tblMovement[[#This Row],[Destination]]="","",IFERROR(INDEX(tblDestinations[Type],MATCH(tblMovement[[#This Row],[Destination]],tblDestinations[Destination],0)),"?"))</f>
        <v/>
      </c>
      <c r="M3028" s="64">
        <f>IF(tblMovement[[#This Row],[Material]]="","",IF(LEFT(tblMovement[[#This Row],[Material]],3)="Ore",1,0))</f>
        <v/>
      </c>
      <c r="N3028" s="59">
        <f>IF(OR(tblMovement[[#This Row],[Tonnes_t]]="",tblMovement[[#This Row],[Grade_gpt]]=""),0,tblMovement[[#This Row],[Tonnes_t]]*tblMovement[[#This Row],[Grade_gpt]]/cfg_TroyOz)</f>
        <v/>
      </c>
      <c r="O3028" s="59">
        <f>IF(tblMovement[[#This Row],[Is_Ore]]=1,tblMovement[[#This Row],[Contained_oz]],0)</f>
        <v/>
      </c>
    </row>
    <row r="3029">
      <c r="A3029" s="54" t="n"/>
      <c r="B3029" s="61" t="n"/>
      <c r="C3029" s="61" t="n"/>
      <c r="D3029" s="61" t="n"/>
      <c r="E3029" s="61" t="n"/>
      <c r="F3029" s="55" t="n"/>
      <c r="G3029" s="56" t="n"/>
      <c r="H3029" s="55" t="n"/>
      <c r="I3029" s="62" t="n"/>
      <c r="J3029" s="58" t="n"/>
      <c r="K3029" s="63">
        <f>IF(tblMovement[[#This Row],[Source]]="","",IFERROR(INDEX(tblSources[Type],MATCH(tblMovement[[#This Row],[Source]],tblSources[Source],0)),"?"))</f>
        <v/>
      </c>
      <c r="L3029" s="63">
        <f>IF(tblMovement[[#This Row],[Destination]]="","",IFERROR(INDEX(tblDestinations[Type],MATCH(tblMovement[[#This Row],[Destination]],tblDestinations[Destination],0)),"?"))</f>
        <v/>
      </c>
      <c r="M3029" s="64">
        <f>IF(tblMovement[[#This Row],[Material]]="","",IF(LEFT(tblMovement[[#This Row],[Material]],3)="Ore",1,0))</f>
        <v/>
      </c>
      <c r="N3029" s="59">
        <f>IF(OR(tblMovement[[#This Row],[Tonnes_t]]="",tblMovement[[#This Row],[Grade_gpt]]=""),0,tblMovement[[#This Row],[Tonnes_t]]*tblMovement[[#This Row],[Grade_gpt]]/cfg_TroyOz)</f>
        <v/>
      </c>
      <c r="O3029" s="59">
        <f>IF(tblMovement[[#This Row],[Is_Ore]]=1,tblMovement[[#This Row],[Contained_oz]],0)</f>
        <v/>
      </c>
    </row>
    <row r="3030">
      <c r="A3030" s="54" t="n"/>
      <c r="B3030" s="61" t="n"/>
      <c r="C3030" s="61" t="n"/>
      <c r="D3030" s="61" t="n"/>
      <c r="E3030" s="61" t="n"/>
      <c r="F3030" s="55" t="n"/>
      <c r="G3030" s="56" t="n"/>
      <c r="H3030" s="55" t="n"/>
      <c r="I3030" s="62" t="n"/>
      <c r="J3030" s="58" t="n"/>
      <c r="K3030" s="63">
        <f>IF(tblMovement[[#This Row],[Source]]="","",IFERROR(INDEX(tblSources[Type],MATCH(tblMovement[[#This Row],[Source]],tblSources[Source],0)),"?"))</f>
        <v/>
      </c>
      <c r="L3030" s="63">
        <f>IF(tblMovement[[#This Row],[Destination]]="","",IFERROR(INDEX(tblDestinations[Type],MATCH(tblMovement[[#This Row],[Destination]],tblDestinations[Destination],0)),"?"))</f>
        <v/>
      </c>
      <c r="M3030" s="64">
        <f>IF(tblMovement[[#This Row],[Material]]="","",IF(LEFT(tblMovement[[#This Row],[Material]],3)="Ore",1,0))</f>
        <v/>
      </c>
      <c r="N3030" s="59">
        <f>IF(OR(tblMovement[[#This Row],[Tonnes_t]]="",tblMovement[[#This Row],[Grade_gpt]]=""),0,tblMovement[[#This Row],[Tonnes_t]]*tblMovement[[#This Row],[Grade_gpt]]/cfg_TroyOz)</f>
        <v/>
      </c>
      <c r="O3030" s="59">
        <f>IF(tblMovement[[#This Row],[Is_Ore]]=1,tblMovement[[#This Row],[Contained_oz]],0)</f>
        <v/>
      </c>
    </row>
    <row r="3031">
      <c r="A3031" s="54" t="n"/>
      <c r="B3031" s="61" t="n"/>
      <c r="C3031" s="61" t="n"/>
      <c r="D3031" s="61" t="n"/>
      <c r="E3031" s="61" t="n"/>
      <c r="F3031" s="55" t="n"/>
      <c r="G3031" s="56" t="n"/>
      <c r="H3031" s="55" t="n"/>
      <c r="I3031" s="62" t="n"/>
      <c r="J3031" s="58" t="n"/>
      <c r="K3031" s="63">
        <f>IF(tblMovement[[#This Row],[Source]]="","",IFERROR(INDEX(tblSources[Type],MATCH(tblMovement[[#This Row],[Source]],tblSources[Source],0)),"?"))</f>
        <v/>
      </c>
      <c r="L3031" s="63">
        <f>IF(tblMovement[[#This Row],[Destination]]="","",IFERROR(INDEX(tblDestinations[Type],MATCH(tblMovement[[#This Row],[Destination]],tblDestinations[Destination],0)),"?"))</f>
        <v/>
      </c>
      <c r="M3031" s="64">
        <f>IF(tblMovement[[#This Row],[Material]]="","",IF(LEFT(tblMovement[[#This Row],[Material]],3)="Ore",1,0))</f>
        <v/>
      </c>
      <c r="N3031" s="59">
        <f>IF(OR(tblMovement[[#This Row],[Tonnes_t]]="",tblMovement[[#This Row],[Grade_gpt]]=""),0,tblMovement[[#This Row],[Tonnes_t]]*tblMovement[[#This Row],[Grade_gpt]]/cfg_TroyOz)</f>
        <v/>
      </c>
      <c r="O3031" s="59">
        <f>IF(tblMovement[[#This Row],[Is_Ore]]=1,tblMovement[[#This Row],[Contained_oz]],0)</f>
        <v/>
      </c>
    </row>
    <row r="3032">
      <c r="A3032" s="54" t="n"/>
      <c r="B3032" s="61" t="n"/>
      <c r="C3032" s="61" t="n"/>
      <c r="D3032" s="61" t="n"/>
      <c r="E3032" s="61" t="n"/>
      <c r="F3032" s="55" t="n"/>
      <c r="G3032" s="56" t="n"/>
      <c r="H3032" s="55" t="n"/>
      <c r="I3032" s="62" t="n"/>
      <c r="J3032" s="58" t="n"/>
      <c r="K3032" s="63">
        <f>IF(tblMovement[[#This Row],[Source]]="","",IFERROR(INDEX(tblSources[Type],MATCH(tblMovement[[#This Row],[Source]],tblSources[Source],0)),"?"))</f>
        <v/>
      </c>
      <c r="L3032" s="63">
        <f>IF(tblMovement[[#This Row],[Destination]]="","",IFERROR(INDEX(tblDestinations[Type],MATCH(tblMovement[[#This Row],[Destination]],tblDestinations[Destination],0)),"?"))</f>
        <v/>
      </c>
      <c r="M3032" s="64">
        <f>IF(tblMovement[[#This Row],[Material]]="","",IF(LEFT(tblMovement[[#This Row],[Material]],3)="Ore",1,0))</f>
        <v/>
      </c>
      <c r="N3032" s="59">
        <f>IF(OR(tblMovement[[#This Row],[Tonnes_t]]="",tblMovement[[#This Row],[Grade_gpt]]=""),0,tblMovement[[#This Row],[Tonnes_t]]*tblMovement[[#This Row],[Grade_gpt]]/cfg_TroyOz)</f>
        <v/>
      </c>
      <c r="O3032" s="59">
        <f>IF(tblMovement[[#This Row],[Is_Ore]]=1,tblMovement[[#This Row],[Contained_oz]],0)</f>
        <v/>
      </c>
    </row>
    <row r="3033">
      <c r="A3033" s="54" t="n"/>
      <c r="B3033" s="61" t="n"/>
      <c r="C3033" s="61" t="n"/>
      <c r="D3033" s="61" t="n"/>
      <c r="E3033" s="61" t="n"/>
      <c r="F3033" s="55" t="n"/>
      <c r="G3033" s="56" t="n"/>
      <c r="H3033" s="55" t="n"/>
      <c r="I3033" s="62" t="n"/>
      <c r="J3033" s="58" t="n"/>
      <c r="K3033" s="63">
        <f>IF(tblMovement[[#This Row],[Source]]="","",IFERROR(INDEX(tblSources[Type],MATCH(tblMovement[[#This Row],[Source]],tblSources[Source],0)),"?"))</f>
        <v/>
      </c>
      <c r="L3033" s="63">
        <f>IF(tblMovement[[#This Row],[Destination]]="","",IFERROR(INDEX(tblDestinations[Type],MATCH(tblMovement[[#This Row],[Destination]],tblDestinations[Destination],0)),"?"))</f>
        <v/>
      </c>
      <c r="M3033" s="64">
        <f>IF(tblMovement[[#This Row],[Material]]="","",IF(LEFT(tblMovement[[#This Row],[Material]],3)="Ore",1,0))</f>
        <v/>
      </c>
      <c r="N3033" s="59">
        <f>IF(OR(tblMovement[[#This Row],[Tonnes_t]]="",tblMovement[[#This Row],[Grade_gpt]]=""),0,tblMovement[[#This Row],[Tonnes_t]]*tblMovement[[#This Row],[Grade_gpt]]/cfg_TroyOz)</f>
        <v/>
      </c>
      <c r="O3033" s="59">
        <f>IF(tblMovement[[#This Row],[Is_Ore]]=1,tblMovement[[#This Row],[Contained_oz]],0)</f>
        <v/>
      </c>
    </row>
    <row r="3034">
      <c r="A3034" s="54" t="n"/>
      <c r="B3034" s="61" t="n"/>
      <c r="C3034" s="61" t="n"/>
      <c r="D3034" s="61" t="n"/>
      <c r="E3034" s="61" t="n"/>
      <c r="F3034" s="55" t="n"/>
      <c r="G3034" s="56" t="n"/>
      <c r="H3034" s="55" t="n"/>
      <c r="I3034" s="62" t="n"/>
      <c r="J3034" s="58" t="n"/>
      <c r="K3034" s="63">
        <f>IF(tblMovement[[#This Row],[Source]]="","",IFERROR(INDEX(tblSources[Type],MATCH(tblMovement[[#This Row],[Source]],tblSources[Source],0)),"?"))</f>
        <v/>
      </c>
      <c r="L3034" s="63">
        <f>IF(tblMovement[[#This Row],[Destination]]="","",IFERROR(INDEX(tblDestinations[Type],MATCH(tblMovement[[#This Row],[Destination]],tblDestinations[Destination],0)),"?"))</f>
        <v/>
      </c>
      <c r="M3034" s="64">
        <f>IF(tblMovement[[#This Row],[Material]]="","",IF(LEFT(tblMovement[[#This Row],[Material]],3)="Ore",1,0))</f>
        <v/>
      </c>
      <c r="N3034" s="59">
        <f>IF(OR(tblMovement[[#This Row],[Tonnes_t]]="",tblMovement[[#This Row],[Grade_gpt]]=""),0,tblMovement[[#This Row],[Tonnes_t]]*tblMovement[[#This Row],[Grade_gpt]]/cfg_TroyOz)</f>
        <v/>
      </c>
      <c r="O3034" s="59">
        <f>IF(tblMovement[[#This Row],[Is_Ore]]=1,tblMovement[[#This Row],[Contained_oz]],0)</f>
        <v/>
      </c>
    </row>
    <row r="3035">
      <c r="A3035" s="54" t="n"/>
      <c r="B3035" s="61" t="n"/>
      <c r="C3035" s="61" t="n"/>
      <c r="D3035" s="61" t="n"/>
      <c r="E3035" s="61" t="n"/>
      <c r="F3035" s="55" t="n"/>
      <c r="G3035" s="56" t="n"/>
      <c r="H3035" s="55" t="n"/>
      <c r="I3035" s="62" t="n"/>
      <c r="J3035" s="58" t="n"/>
      <c r="K3035" s="63">
        <f>IF(tblMovement[[#This Row],[Source]]="","",IFERROR(INDEX(tblSources[Type],MATCH(tblMovement[[#This Row],[Source]],tblSources[Source],0)),"?"))</f>
        <v/>
      </c>
      <c r="L3035" s="63">
        <f>IF(tblMovement[[#This Row],[Destination]]="","",IFERROR(INDEX(tblDestinations[Type],MATCH(tblMovement[[#This Row],[Destination]],tblDestinations[Destination],0)),"?"))</f>
        <v/>
      </c>
      <c r="M3035" s="64">
        <f>IF(tblMovement[[#This Row],[Material]]="","",IF(LEFT(tblMovement[[#This Row],[Material]],3)="Ore",1,0))</f>
        <v/>
      </c>
      <c r="N3035" s="59">
        <f>IF(OR(tblMovement[[#This Row],[Tonnes_t]]="",tblMovement[[#This Row],[Grade_gpt]]=""),0,tblMovement[[#This Row],[Tonnes_t]]*tblMovement[[#This Row],[Grade_gpt]]/cfg_TroyOz)</f>
        <v/>
      </c>
      <c r="O3035" s="59">
        <f>IF(tblMovement[[#This Row],[Is_Ore]]=1,tblMovement[[#This Row],[Contained_oz]],0)</f>
        <v/>
      </c>
    </row>
    <row r="3036">
      <c r="A3036" s="54" t="n"/>
      <c r="B3036" s="61" t="n"/>
      <c r="C3036" s="61" t="n"/>
      <c r="D3036" s="61" t="n"/>
      <c r="E3036" s="61" t="n"/>
      <c r="F3036" s="55" t="n"/>
      <c r="G3036" s="56" t="n"/>
      <c r="H3036" s="55" t="n"/>
      <c r="I3036" s="62" t="n"/>
      <c r="J3036" s="58" t="n"/>
      <c r="K3036" s="63">
        <f>IF(tblMovement[[#This Row],[Source]]="","",IFERROR(INDEX(tblSources[Type],MATCH(tblMovement[[#This Row],[Source]],tblSources[Source],0)),"?"))</f>
        <v/>
      </c>
      <c r="L3036" s="63">
        <f>IF(tblMovement[[#This Row],[Destination]]="","",IFERROR(INDEX(tblDestinations[Type],MATCH(tblMovement[[#This Row],[Destination]],tblDestinations[Destination],0)),"?"))</f>
        <v/>
      </c>
      <c r="M3036" s="64">
        <f>IF(tblMovement[[#This Row],[Material]]="","",IF(LEFT(tblMovement[[#This Row],[Material]],3)="Ore",1,0))</f>
        <v/>
      </c>
      <c r="N3036" s="59">
        <f>IF(OR(tblMovement[[#This Row],[Tonnes_t]]="",tblMovement[[#This Row],[Grade_gpt]]=""),0,tblMovement[[#This Row],[Tonnes_t]]*tblMovement[[#This Row],[Grade_gpt]]/cfg_TroyOz)</f>
        <v/>
      </c>
      <c r="O3036" s="59">
        <f>IF(tblMovement[[#This Row],[Is_Ore]]=1,tblMovement[[#This Row],[Contained_oz]],0)</f>
        <v/>
      </c>
    </row>
    <row r="3037">
      <c r="A3037" s="54" t="n"/>
      <c r="B3037" s="61" t="n"/>
      <c r="C3037" s="61" t="n"/>
      <c r="D3037" s="61" t="n"/>
      <c r="E3037" s="61" t="n"/>
      <c r="F3037" s="55" t="n"/>
      <c r="G3037" s="56" t="n"/>
      <c r="H3037" s="55" t="n"/>
      <c r="I3037" s="62" t="n"/>
      <c r="J3037" s="58" t="n"/>
      <c r="K3037" s="63">
        <f>IF(tblMovement[[#This Row],[Source]]="","",IFERROR(INDEX(tblSources[Type],MATCH(tblMovement[[#This Row],[Source]],tblSources[Source],0)),"?"))</f>
        <v/>
      </c>
      <c r="L3037" s="63">
        <f>IF(tblMovement[[#This Row],[Destination]]="","",IFERROR(INDEX(tblDestinations[Type],MATCH(tblMovement[[#This Row],[Destination]],tblDestinations[Destination],0)),"?"))</f>
        <v/>
      </c>
      <c r="M3037" s="64">
        <f>IF(tblMovement[[#This Row],[Material]]="","",IF(LEFT(tblMovement[[#This Row],[Material]],3)="Ore",1,0))</f>
        <v/>
      </c>
      <c r="N3037" s="59">
        <f>IF(OR(tblMovement[[#This Row],[Tonnes_t]]="",tblMovement[[#This Row],[Grade_gpt]]=""),0,tblMovement[[#This Row],[Tonnes_t]]*tblMovement[[#This Row],[Grade_gpt]]/cfg_TroyOz)</f>
        <v/>
      </c>
      <c r="O3037" s="59">
        <f>IF(tblMovement[[#This Row],[Is_Ore]]=1,tblMovement[[#This Row],[Contained_oz]],0)</f>
        <v/>
      </c>
    </row>
    <row r="3038">
      <c r="A3038" s="54" t="n"/>
      <c r="B3038" s="61" t="n"/>
      <c r="C3038" s="61" t="n"/>
      <c r="D3038" s="61" t="n"/>
      <c r="E3038" s="61" t="n"/>
      <c r="F3038" s="55" t="n"/>
      <c r="G3038" s="56" t="n"/>
      <c r="H3038" s="55" t="n"/>
      <c r="I3038" s="62" t="n"/>
      <c r="J3038" s="58" t="n"/>
      <c r="K3038" s="63">
        <f>IF(tblMovement[[#This Row],[Source]]="","",IFERROR(INDEX(tblSources[Type],MATCH(tblMovement[[#This Row],[Source]],tblSources[Source],0)),"?"))</f>
        <v/>
      </c>
      <c r="L3038" s="63">
        <f>IF(tblMovement[[#This Row],[Destination]]="","",IFERROR(INDEX(tblDestinations[Type],MATCH(tblMovement[[#This Row],[Destination]],tblDestinations[Destination],0)),"?"))</f>
        <v/>
      </c>
      <c r="M3038" s="64">
        <f>IF(tblMovement[[#This Row],[Material]]="","",IF(LEFT(tblMovement[[#This Row],[Material]],3)="Ore",1,0))</f>
        <v/>
      </c>
      <c r="N3038" s="59">
        <f>IF(OR(tblMovement[[#This Row],[Tonnes_t]]="",tblMovement[[#This Row],[Grade_gpt]]=""),0,tblMovement[[#This Row],[Tonnes_t]]*tblMovement[[#This Row],[Grade_gpt]]/cfg_TroyOz)</f>
        <v/>
      </c>
      <c r="O3038" s="59">
        <f>IF(tblMovement[[#This Row],[Is_Ore]]=1,tblMovement[[#This Row],[Contained_oz]],0)</f>
        <v/>
      </c>
    </row>
    <row r="3039">
      <c r="A3039" s="54" t="n"/>
      <c r="B3039" s="61" t="n"/>
      <c r="C3039" s="61" t="n"/>
      <c r="D3039" s="61" t="n"/>
      <c r="E3039" s="61" t="n"/>
      <c r="F3039" s="55" t="n"/>
      <c r="G3039" s="56" t="n"/>
      <c r="H3039" s="55" t="n"/>
      <c r="I3039" s="62" t="n"/>
      <c r="J3039" s="58" t="n"/>
      <c r="K3039" s="63">
        <f>IF(tblMovement[[#This Row],[Source]]="","",IFERROR(INDEX(tblSources[Type],MATCH(tblMovement[[#This Row],[Source]],tblSources[Source],0)),"?"))</f>
        <v/>
      </c>
      <c r="L3039" s="63">
        <f>IF(tblMovement[[#This Row],[Destination]]="","",IFERROR(INDEX(tblDestinations[Type],MATCH(tblMovement[[#This Row],[Destination]],tblDestinations[Destination],0)),"?"))</f>
        <v/>
      </c>
      <c r="M3039" s="64">
        <f>IF(tblMovement[[#This Row],[Material]]="","",IF(LEFT(tblMovement[[#This Row],[Material]],3)="Ore",1,0))</f>
        <v/>
      </c>
      <c r="N3039" s="59">
        <f>IF(OR(tblMovement[[#This Row],[Tonnes_t]]="",tblMovement[[#This Row],[Grade_gpt]]=""),0,tblMovement[[#This Row],[Tonnes_t]]*tblMovement[[#This Row],[Grade_gpt]]/cfg_TroyOz)</f>
        <v/>
      </c>
      <c r="O3039" s="59">
        <f>IF(tblMovement[[#This Row],[Is_Ore]]=1,tblMovement[[#This Row],[Contained_oz]],0)</f>
        <v/>
      </c>
    </row>
    <row r="3040">
      <c r="A3040" s="54" t="n"/>
      <c r="B3040" s="61" t="n"/>
      <c r="C3040" s="61" t="n"/>
      <c r="D3040" s="61" t="n"/>
      <c r="E3040" s="61" t="n"/>
      <c r="F3040" s="55" t="n"/>
      <c r="G3040" s="56" t="n"/>
      <c r="H3040" s="55" t="n"/>
      <c r="I3040" s="62" t="n"/>
      <c r="J3040" s="58" t="n"/>
      <c r="K3040" s="63">
        <f>IF(tblMovement[[#This Row],[Source]]="","",IFERROR(INDEX(tblSources[Type],MATCH(tblMovement[[#This Row],[Source]],tblSources[Source],0)),"?"))</f>
        <v/>
      </c>
      <c r="L3040" s="63">
        <f>IF(tblMovement[[#This Row],[Destination]]="","",IFERROR(INDEX(tblDestinations[Type],MATCH(tblMovement[[#This Row],[Destination]],tblDestinations[Destination],0)),"?"))</f>
        <v/>
      </c>
      <c r="M3040" s="64">
        <f>IF(tblMovement[[#This Row],[Material]]="","",IF(LEFT(tblMovement[[#This Row],[Material]],3)="Ore",1,0))</f>
        <v/>
      </c>
      <c r="N3040" s="59">
        <f>IF(OR(tblMovement[[#This Row],[Tonnes_t]]="",tblMovement[[#This Row],[Grade_gpt]]=""),0,tblMovement[[#This Row],[Tonnes_t]]*tblMovement[[#This Row],[Grade_gpt]]/cfg_TroyOz)</f>
        <v/>
      </c>
      <c r="O3040" s="59">
        <f>IF(tblMovement[[#This Row],[Is_Ore]]=1,tblMovement[[#This Row],[Contained_oz]],0)</f>
        <v/>
      </c>
    </row>
    <row r="3041">
      <c r="A3041" s="54" t="n"/>
      <c r="B3041" s="61" t="n"/>
      <c r="C3041" s="61" t="n"/>
      <c r="D3041" s="61" t="n"/>
      <c r="E3041" s="61" t="n"/>
      <c r="F3041" s="55" t="n"/>
      <c r="G3041" s="56" t="n"/>
      <c r="H3041" s="55" t="n"/>
      <c r="I3041" s="62" t="n"/>
      <c r="J3041" s="58" t="n"/>
      <c r="K3041" s="63">
        <f>IF(tblMovement[[#This Row],[Source]]="","",IFERROR(INDEX(tblSources[Type],MATCH(tblMovement[[#This Row],[Source]],tblSources[Source],0)),"?"))</f>
        <v/>
      </c>
      <c r="L3041" s="63">
        <f>IF(tblMovement[[#This Row],[Destination]]="","",IFERROR(INDEX(tblDestinations[Type],MATCH(tblMovement[[#This Row],[Destination]],tblDestinations[Destination],0)),"?"))</f>
        <v/>
      </c>
      <c r="M3041" s="64">
        <f>IF(tblMovement[[#This Row],[Material]]="","",IF(LEFT(tblMovement[[#This Row],[Material]],3)="Ore",1,0))</f>
        <v/>
      </c>
      <c r="N3041" s="59">
        <f>IF(OR(tblMovement[[#This Row],[Tonnes_t]]="",tblMovement[[#This Row],[Grade_gpt]]=""),0,tblMovement[[#This Row],[Tonnes_t]]*tblMovement[[#This Row],[Grade_gpt]]/cfg_TroyOz)</f>
        <v/>
      </c>
      <c r="O3041" s="59">
        <f>IF(tblMovement[[#This Row],[Is_Ore]]=1,tblMovement[[#This Row],[Contained_oz]],0)</f>
        <v/>
      </c>
    </row>
    <row r="3042">
      <c r="A3042" s="54" t="n"/>
      <c r="B3042" s="61" t="n"/>
      <c r="C3042" s="61" t="n"/>
      <c r="D3042" s="61" t="n"/>
      <c r="E3042" s="61" t="n"/>
      <c r="F3042" s="55" t="n"/>
      <c r="G3042" s="56" t="n"/>
      <c r="H3042" s="55" t="n"/>
      <c r="I3042" s="62" t="n"/>
      <c r="J3042" s="58" t="n"/>
      <c r="K3042" s="63">
        <f>IF(tblMovement[[#This Row],[Source]]="","",IFERROR(INDEX(tblSources[Type],MATCH(tblMovement[[#This Row],[Source]],tblSources[Source],0)),"?"))</f>
        <v/>
      </c>
      <c r="L3042" s="63">
        <f>IF(tblMovement[[#This Row],[Destination]]="","",IFERROR(INDEX(tblDestinations[Type],MATCH(tblMovement[[#This Row],[Destination]],tblDestinations[Destination],0)),"?"))</f>
        <v/>
      </c>
      <c r="M3042" s="64">
        <f>IF(tblMovement[[#This Row],[Material]]="","",IF(LEFT(tblMovement[[#This Row],[Material]],3)="Ore",1,0))</f>
        <v/>
      </c>
      <c r="N3042" s="59">
        <f>IF(OR(tblMovement[[#This Row],[Tonnes_t]]="",tblMovement[[#This Row],[Grade_gpt]]=""),0,tblMovement[[#This Row],[Tonnes_t]]*tblMovement[[#This Row],[Grade_gpt]]/cfg_TroyOz)</f>
        <v/>
      </c>
      <c r="O3042" s="59">
        <f>IF(tblMovement[[#This Row],[Is_Ore]]=1,tblMovement[[#This Row],[Contained_oz]],0)</f>
        <v/>
      </c>
    </row>
    <row r="3043">
      <c r="A3043" s="54" t="n"/>
      <c r="B3043" s="61" t="n"/>
      <c r="C3043" s="61" t="n"/>
      <c r="D3043" s="61" t="n"/>
      <c r="E3043" s="61" t="n"/>
      <c r="F3043" s="55" t="n"/>
      <c r="G3043" s="56" t="n"/>
      <c r="H3043" s="55" t="n"/>
      <c r="I3043" s="62" t="n"/>
      <c r="J3043" s="58" t="n"/>
      <c r="K3043" s="63">
        <f>IF(tblMovement[[#This Row],[Source]]="","",IFERROR(INDEX(tblSources[Type],MATCH(tblMovement[[#This Row],[Source]],tblSources[Source],0)),"?"))</f>
        <v/>
      </c>
      <c r="L3043" s="63">
        <f>IF(tblMovement[[#This Row],[Destination]]="","",IFERROR(INDEX(tblDestinations[Type],MATCH(tblMovement[[#This Row],[Destination]],tblDestinations[Destination],0)),"?"))</f>
        <v/>
      </c>
      <c r="M3043" s="64">
        <f>IF(tblMovement[[#This Row],[Material]]="","",IF(LEFT(tblMovement[[#This Row],[Material]],3)="Ore",1,0))</f>
        <v/>
      </c>
      <c r="N3043" s="59">
        <f>IF(OR(tblMovement[[#This Row],[Tonnes_t]]="",tblMovement[[#This Row],[Grade_gpt]]=""),0,tblMovement[[#This Row],[Tonnes_t]]*tblMovement[[#This Row],[Grade_gpt]]/cfg_TroyOz)</f>
        <v/>
      </c>
      <c r="O3043" s="59">
        <f>IF(tblMovement[[#This Row],[Is_Ore]]=1,tblMovement[[#This Row],[Contained_oz]],0)</f>
        <v/>
      </c>
    </row>
    <row r="3044">
      <c r="A3044" s="54" t="n"/>
      <c r="B3044" s="61" t="n"/>
      <c r="C3044" s="61" t="n"/>
      <c r="D3044" s="61" t="n"/>
      <c r="E3044" s="61" t="n"/>
      <c r="F3044" s="55" t="n"/>
      <c r="G3044" s="56" t="n"/>
      <c r="H3044" s="55" t="n"/>
      <c r="I3044" s="62" t="n"/>
      <c r="J3044" s="58" t="n"/>
      <c r="K3044" s="63">
        <f>IF(tblMovement[[#This Row],[Source]]="","",IFERROR(INDEX(tblSources[Type],MATCH(tblMovement[[#This Row],[Source]],tblSources[Source],0)),"?"))</f>
        <v/>
      </c>
      <c r="L3044" s="63">
        <f>IF(tblMovement[[#This Row],[Destination]]="","",IFERROR(INDEX(tblDestinations[Type],MATCH(tblMovement[[#This Row],[Destination]],tblDestinations[Destination],0)),"?"))</f>
        <v/>
      </c>
      <c r="M3044" s="64">
        <f>IF(tblMovement[[#This Row],[Material]]="","",IF(LEFT(tblMovement[[#This Row],[Material]],3)="Ore",1,0))</f>
        <v/>
      </c>
      <c r="N3044" s="59">
        <f>IF(OR(tblMovement[[#This Row],[Tonnes_t]]="",tblMovement[[#This Row],[Grade_gpt]]=""),0,tblMovement[[#This Row],[Tonnes_t]]*tblMovement[[#This Row],[Grade_gpt]]/cfg_TroyOz)</f>
        <v/>
      </c>
      <c r="O3044" s="59">
        <f>IF(tblMovement[[#This Row],[Is_Ore]]=1,tblMovement[[#This Row],[Contained_oz]],0)</f>
        <v/>
      </c>
    </row>
    <row r="3045">
      <c r="A3045" s="54" t="n"/>
      <c r="B3045" s="61" t="n"/>
      <c r="C3045" s="61" t="n"/>
      <c r="D3045" s="61" t="n"/>
      <c r="E3045" s="61" t="n"/>
      <c r="F3045" s="55" t="n"/>
      <c r="G3045" s="56" t="n"/>
      <c r="H3045" s="55" t="n"/>
      <c r="I3045" s="62" t="n"/>
      <c r="J3045" s="58" t="n"/>
      <c r="K3045" s="63">
        <f>IF(tblMovement[[#This Row],[Source]]="","",IFERROR(INDEX(tblSources[Type],MATCH(tblMovement[[#This Row],[Source]],tblSources[Source],0)),"?"))</f>
        <v/>
      </c>
      <c r="L3045" s="63">
        <f>IF(tblMovement[[#This Row],[Destination]]="","",IFERROR(INDEX(tblDestinations[Type],MATCH(tblMovement[[#This Row],[Destination]],tblDestinations[Destination],0)),"?"))</f>
        <v/>
      </c>
      <c r="M3045" s="64">
        <f>IF(tblMovement[[#This Row],[Material]]="","",IF(LEFT(tblMovement[[#This Row],[Material]],3)="Ore",1,0))</f>
        <v/>
      </c>
      <c r="N3045" s="59">
        <f>IF(OR(tblMovement[[#This Row],[Tonnes_t]]="",tblMovement[[#This Row],[Grade_gpt]]=""),0,tblMovement[[#This Row],[Tonnes_t]]*tblMovement[[#This Row],[Grade_gpt]]/cfg_TroyOz)</f>
        <v/>
      </c>
      <c r="O3045" s="59">
        <f>IF(tblMovement[[#This Row],[Is_Ore]]=1,tblMovement[[#This Row],[Contained_oz]],0)</f>
        <v/>
      </c>
    </row>
    <row r="3046">
      <c r="A3046" s="54" t="n"/>
      <c r="B3046" s="61" t="n"/>
      <c r="C3046" s="61" t="n"/>
      <c r="D3046" s="61" t="n"/>
      <c r="E3046" s="61" t="n"/>
      <c r="F3046" s="55" t="n"/>
      <c r="G3046" s="56" t="n"/>
      <c r="H3046" s="55" t="n"/>
      <c r="I3046" s="62" t="n"/>
      <c r="J3046" s="58" t="n"/>
      <c r="K3046" s="63">
        <f>IF(tblMovement[[#This Row],[Source]]="","",IFERROR(INDEX(tblSources[Type],MATCH(tblMovement[[#This Row],[Source]],tblSources[Source],0)),"?"))</f>
        <v/>
      </c>
      <c r="L3046" s="63">
        <f>IF(tblMovement[[#This Row],[Destination]]="","",IFERROR(INDEX(tblDestinations[Type],MATCH(tblMovement[[#This Row],[Destination]],tblDestinations[Destination],0)),"?"))</f>
        <v/>
      </c>
      <c r="M3046" s="64">
        <f>IF(tblMovement[[#This Row],[Material]]="","",IF(LEFT(tblMovement[[#This Row],[Material]],3)="Ore",1,0))</f>
        <v/>
      </c>
      <c r="N3046" s="59">
        <f>IF(OR(tblMovement[[#This Row],[Tonnes_t]]="",tblMovement[[#This Row],[Grade_gpt]]=""),0,tblMovement[[#This Row],[Tonnes_t]]*tblMovement[[#This Row],[Grade_gpt]]/cfg_TroyOz)</f>
        <v/>
      </c>
      <c r="O3046" s="59">
        <f>IF(tblMovement[[#This Row],[Is_Ore]]=1,tblMovement[[#This Row],[Contained_oz]],0)</f>
        <v/>
      </c>
    </row>
    <row r="3047">
      <c r="A3047" s="54" t="n"/>
      <c r="B3047" s="61" t="n"/>
      <c r="C3047" s="61" t="n"/>
      <c r="D3047" s="61" t="n"/>
      <c r="E3047" s="61" t="n"/>
      <c r="F3047" s="55" t="n"/>
      <c r="G3047" s="56" t="n"/>
      <c r="H3047" s="55" t="n"/>
      <c r="I3047" s="62" t="n"/>
      <c r="J3047" s="58" t="n"/>
      <c r="K3047" s="63">
        <f>IF(tblMovement[[#This Row],[Source]]="","",IFERROR(INDEX(tblSources[Type],MATCH(tblMovement[[#This Row],[Source]],tblSources[Source],0)),"?"))</f>
        <v/>
      </c>
      <c r="L3047" s="63">
        <f>IF(tblMovement[[#This Row],[Destination]]="","",IFERROR(INDEX(tblDestinations[Type],MATCH(tblMovement[[#This Row],[Destination]],tblDestinations[Destination],0)),"?"))</f>
        <v/>
      </c>
      <c r="M3047" s="64">
        <f>IF(tblMovement[[#This Row],[Material]]="","",IF(LEFT(tblMovement[[#This Row],[Material]],3)="Ore",1,0))</f>
        <v/>
      </c>
      <c r="N3047" s="59">
        <f>IF(OR(tblMovement[[#This Row],[Tonnes_t]]="",tblMovement[[#This Row],[Grade_gpt]]=""),0,tblMovement[[#This Row],[Tonnes_t]]*tblMovement[[#This Row],[Grade_gpt]]/cfg_TroyOz)</f>
        <v/>
      </c>
      <c r="O3047" s="59">
        <f>IF(tblMovement[[#This Row],[Is_Ore]]=1,tblMovement[[#This Row],[Contained_oz]],0)</f>
        <v/>
      </c>
    </row>
    <row r="3048">
      <c r="A3048" s="54" t="n"/>
      <c r="B3048" s="61" t="n"/>
      <c r="C3048" s="61" t="n"/>
      <c r="D3048" s="61" t="n"/>
      <c r="E3048" s="61" t="n"/>
      <c r="F3048" s="55" t="n"/>
      <c r="G3048" s="56" t="n"/>
      <c r="H3048" s="55" t="n"/>
      <c r="I3048" s="62" t="n"/>
      <c r="J3048" s="58" t="n"/>
      <c r="K3048" s="63">
        <f>IF(tblMovement[[#This Row],[Source]]="","",IFERROR(INDEX(tblSources[Type],MATCH(tblMovement[[#This Row],[Source]],tblSources[Source],0)),"?"))</f>
        <v/>
      </c>
      <c r="L3048" s="63">
        <f>IF(tblMovement[[#This Row],[Destination]]="","",IFERROR(INDEX(tblDestinations[Type],MATCH(tblMovement[[#This Row],[Destination]],tblDestinations[Destination],0)),"?"))</f>
        <v/>
      </c>
      <c r="M3048" s="64">
        <f>IF(tblMovement[[#This Row],[Material]]="","",IF(LEFT(tblMovement[[#This Row],[Material]],3)="Ore",1,0))</f>
        <v/>
      </c>
      <c r="N3048" s="59">
        <f>IF(OR(tblMovement[[#This Row],[Tonnes_t]]="",tblMovement[[#This Row],[Grade_gpt]]=""),0,tblMovement[[#This Row],[Tonnes_t]]*tblMovement[[#This Row],[Grade_gpt]]/cfg_TroyOz)</f>
        <v/>
      </c>
      <c r="O3048" s="59">
        <f>IF(tblMovement[[#This Row],[Is_Ore]]=1,tblMovement[[#This Row],[Contained_oz]],0)</f>
        <v/>
      </c>
    </row>
    <row r="3049">
      <c r="A3049" s="54" t="n"/>
      <c r="B3049" s="61" t="n"/>
      <c r="C3049" s="61" t="n"/>
      <c r="D3049" s="61" t="n"/>
      <c r="E3049" s="61" t="n"/>
      <c r="F3049" s="55" t="n"/>
      <c r="G3049" s="56" t="n"/>
      <c r="H3049" s="55" t="n"/>
      <c r="I3049" s="62" t="n"/>
      <c r="J3049" s="58" t="n"/>
      <c r="K3049" s="63">
        <f>IF(tblMovement[[#This Row],[Source]]="","",IFERROR(INDEX(tblSources[Type],MATCH(tblMovement[[#This Row],[Source]],tblSources[Source],0)),"?"))</f>
        <v/>
      </c>
      <c r="L3049" s="63">
        <f>IF(tblMovement[[#This Row],[Destination]]="","",IFERROR(INDEX(tblDestinations[Type],MATCH(tblMovement[[#This Row],[Destination]],tblDestinations[Destination],0)),"?"))</f>
        <v/>
      </c>
      <c r="M3049" s="64">
        <f>IF(tblMovement[[#This Row],[Material]]="","",IF(LEFT(tblMovement[[#This Row],[Material]],3)="Ore",1,0))</f>
        <v/>
      </c>
      <c r="N3049" s="59">
        <f>IF(OR(tblMovement[[#This Row],[Tonnes_t]]="",tblMovement[[#This Row],[Grade_gpt]]=""),0,tblMovement[[#This Row],[Tonnes_t]]*tblMovement[[#This Row],[Grade_gpt]]/cfg_TroyOz)</f>
        <v/>
      </c>
      <c r="O3049" s="59">
        <f>IF(tblMovement[[#This Row],[Is_Ore]]=1,tblMovement[[#This Row],[Contained_oz]],0)</f>
        <v/>
      </c>
    </row>
    <row r="3050">
      <c r="A3050" s="54" t="n"/>
      <c r="B3050" s="61" t="n"/>
      <c r="C3050" s="61" t="n"/>
      <c r="D3050" s="61" t="n"/>
      <c r="E3050" s="61" t="n"/>
      <c r="F3050" s="55" t="n"/>
      <c r="G3050" s="56" t="n"/>
      <c r="H3050" s="55" t="n"/>
      <c r="I3050" s="62" t="n"/>
      <c r="J3050" s="58" t="n"/>
      <c r="K3050" s="63">
        <f>IF(tblMovement[[#This Row],[Source]]="","",IFERROR(INDEX(tblSources[Type],MATCH(tblMovement[[#This Row],[Source]],tblSources[Source],0)),"?"))</f>
        <v/>
      </c>
      <c r="L3050" s="63">
        <f>IF(tblMovement[[#This Row],[Destination]]="","",IFERROR(INDEX(tblDestinations[Type],MATCH(tblMovement[[#This Row],[Destination]],tblDestinations[Destination],0)),"?"))</f>
        <v/>
      </c>
      <c r="M3050" s="64">
        <f>IF(tblMovement[[#This Row],[Material]]="","",IF(LEFT(tblMovement[[#This Row],[Material]],3)="Ore",1,0))</f>
        <v/>
      </c>
      <c r="N3050" s="59">
        <f>IF(OR(tblMovement[[#This Row],[Tonnes_t]]="",tblMovement[[#This Row],[Grade_gpt]]=""),0,tblMovement[[#This Row],[Tonnes_t]]*tblMovement[[#This Row],[Grade_gpt]]/cfg_TroyOz)</f>
        <v/>
      </c>
      <c r="O3050" s="59">
        <f>IF(tblMovement[[#This Row],[Is_Ore]]=1,tblMovement[[#This Row],[Contained_oz]],0)</f>
        <v/>
      </c>
    </row>
    <row r="3051">
      <c r="A3051" s="54" t="n"/>
      <c r="B3051" s="61" t="n"/>
      <c r="C3051" s="61" t="n"/>
      <c r="D3051" s="61" t="n"/>
      <c r="E3051" s="61" t="n"/>
      <c r="F3051" s="55" t="n"/>
      <c r="G3051" s="56" t="n"/>
      <c r="H3051" s="55" t="n"/>
      <c r="I3051" s="62" t="n"/>
      <c r="J3051" s="58" t="n"/>
      <c r="K3051" s="63">
        <f>IF(tblMovement[[#This Row],[Source]]="","",IFERROR(INDEX(tblSources[Type],MATCH(tblMovement[[#This Row],[Source]],tblSources[Source],0)),"?"))</f>
        <v/>
      </c>
      <c r="L3051" s="63">
        <f>IF(tblMovement[[#This Row],[Destination]]="","",IFERROR(INDEX(tblDestinations[Type],MATCH(tblMovement[[#This Row],[Destination]],tblDestinations[Destination],0)),"?"))</f>
        <v/>
      </c>
      <c r="M3051" s="64">
        <f>IF(tblMovement[[#This Row],[Material]]="","",IF(LEFT(tblMovement[[#This Row],[Material]],3)="Ore",1,0))</f>
        <v/>
      </c>
      <c r="N3051" s="59">
        <f>IF(OR(tblMovement[[#This Row],[Tonnes_t]]="",tblMovement[[#This Row],[Grade_gpt]]=""),0,tblMovement[[#This Row],[Tonnes_t]]*tblMovement[[#This Row],[Grade_gpt]]/cfg_TroyOz)</f>
        <v/>
      </c>
      <c r="O3051" s="59">
        <f>IF(tblMovement[[#This Row],[Is_Ore]]=1,tblMovement[[#This Row],[Contained_oz]],0)</f>
        <v/>
      </c>
    </row>
    <row r="3052">
      <c r="A3052" s="54" t="n"/>
      <c r="B3052" s="61" t="n"/>
      <c r="C3052" s="61" t="n"/>
      <c r="D3052" s="61" t="n"/>
      <c r="E3052" s="61" t="n"/>
      <c r="F3052" s="55" t="n"/>
      <c r="G3052" s="56" t="n"/>
      <c r="H3052" s="55" t="n"/>
      <c r="I3052" s="62" t="n"/>
      <c r="J3052" s="58" t="n"/>
      <c r="K3052" s="63">
        <f>IF(tblMovement[[#This Row],[Source]]="","",IFERROR(INDEX(tblSources[Type],MATCH(tblMovement[[#This Row],[Source]],tblSources[Source],0)),"?"))</f>
        <v/>
      </c>
      <c r="L3052" s="63">
        <f>IF(tblMovement[[#This Row],[Destination]]="","",IFERROR(INDEX(tblDestinations[Type],MATCH(tblMovement[[#This Row],[Destination]],tblDestinations[Destination],0)),"?"))</f>
        <v/>
      </c>
      <c r="M3052" s="64">
        <f>IF(tblMovement[[#This Row],[Material]]="","",IF(LEFT(tblMovement[[#This Row],[Material]],3)="Ore",1,0))</f>
        <v/>
      </c>
      <c r="N3052" s="59">
        <f>IF(OR(tblMovement[[#This Row],[Tonnes_t]]="",tblMovement[[#This Row],[Grade_gpt]]=""),0,tblMovement[[#This Row],[Tonnes_t]]*tblMovement[[#This Row],[Grade_gpt]]/cfg_TroyOz)</f>
        <v/>
      </c>
      <c r="O3052" s="59">
        <f>IF(tblMovement[[#This Row],[Is_Ore]]=1,tblMovement[[#This Row],[Contained_oz]],0)</f>
        <v/>
      </c>
    </row>
    <row r="3053">
      <c r="A3053" s="54" t="n"/>
      <c r="B3053" s="61" t="n"/>
      <c r="C3053" s="61" t="n"/>
      <c r="D3053" s="61" t="n"/>
      <c r="E3053" s="61" t="n"/>
      <c r="F3053" s="55" t="n"/>
      <c r="G3053" s="56" t="n"/>
      <c r="H3053" s="55" t="n"/>
      <c r="I3053" s="62" t="n"/>
      <c r="J3053" s="58" t="n"/>
      <c r="K3053" s="63">
        <f>IF(tblMovement[[#This Row],[Source]]="","",IFERROR(INDEX(tblSources[Type],MATCH(tblMovement[[#This Row],[Source]],tblSources[Source],0)),"?"))</f>
        <v/>
      </c>
      <c r="L3053" s="63">
        <f>IF(tblMovement[[#This Row],[Destination]]="","",IFERROR(INDEX(tblDestinations[Type],MATCH(tblMovement[[#This Row],[Destination]],tblDestinations[Destination],0)),"?"))</f>
        <v/>
      </c>
      <c r="M3053" s="64">
        <f>IF(tblMovement[[#This Row],[Material]]="","",IF(LEFT(tblMovement[[#This Row],[Material]],3)="Ore",1,0))</f>
        <v/>
      </c>
      <c r="N3053" s="59">
        <f>IF(OR(tblMovement[[#This Row],[Tonnes_t]]="",tblMovement[[#This Row],[Grade_gpt]]=""),0,tblMovement[[#This Row],[Tonnes_t]]*tblMovement[[#This Row],[Grade_gpt]]/cfg_TroyOz)</f>
        <v/>
      </c>
      <c r="O3053" s="59">
        <f>IF(tblMovement[[#This Row],[Is_Ore]]=1,tblMovement[[#This Row],[Contained_oz]],0)</f>
        <v/>
      </c>
    </row>
    <row r="3054">
      <c r="A3054" s="54" t="n"/>
      <c r="B3054" s="61" t="n"/>
      <c r="C3054" s="61" t="n"/>
      <c r="D3054" s="61" t="n"/>
      <c r="E3054" s="61" t="n"/>
      <c r="F3054" s="55" t="n"/>
      <c r="G3054" s="56" t="n"/>
      <c r="H3054" s="55" t="n"/>
      <c r="I3054" s="62" t="n"/>
      <c r="J3054" s="58" t="n"/>
      <c r="K3054" s="63">
        <f>IF(tblMovement[[#This Row],[Source]]="","",IFERROR(INDEX(tblSources[Type],MATCH(tblMovement[[#This Row],[Source]],tblSources[Source],0)),"?"))</f>
        <v/>
      </c>
      <c r="L3054" s="63">
        <f>IF(tblMovement[[#This Row],[Destination]]="","",IFERROR(INDEX(tblDestinations[Type],MATCH(tblMovement[[#This Row],[Destination]],tblDestinations[Destination],0)),"?"))</f>
        <v/>
      </c>
      <c r="M3054" s="64">
        <f>IF(tblMovement[[#This Row],[Material]]="","",IF(LEFT(tblMovement[[#This Row],[Material]],3)="Ore",1,0))</f>
        <v/>
      </c>
      <c r="N3054" s="59">
        <f>IF(OR(tblMovement[[#This Row],[Tonnes_t]]="",tblMovement[[#This Row],[Grade_gpt]]=""),0,tblMovement[[#This Row],[Tonnes_t]]*tblMovement[[#This Row],[Grade_gpt]]/cfg_TroyOz)</f>
        <v/>
      </c>
      <c r="O3054" s="59">
        <f>IF(tblMovement[[#This Row],[Is_Ore]]=1,tblMovement[[#This Row],[Contained_oz]],0)</f>
        <v/>
      </c>
    </row>
    <row r="3055">
      <c r="A3055" s="54" t="n"/>
      <c r="B3055" s="61" t="n"/>
      <c r="C3055" s="61" t="n"/>
      <c r="D3055" s="61" t="n"/>
      <c r="E3055" s="61" t="n"/>
      <c r="F3055" s="55" t="n"/>
      <c r="G3055" s="56" t="n"/>
      <c r="H3055" s="55" t="n"/>
      <c r="I3055" s="62" t="n"/>
      <c r="J3055" s="58" t="n"/>
      <c r="K3055" s="63">
        <f>IF(tblMovement[[#This Row],[Source]]="","",IFERROR(INDEX(tblSources[Type],MATCH(tblMovement[[#This Row],[Source]],tblSources[Source],0)),"?"))</f>
        <v/>
      </c>
      <c r="L3055" s="63">
        <f>IF(tblMovement[[#This Row],[Destination]]="","",IFERROR(INDEX(tblDestinations[Type],MATCH(tblMovement[[#This Row],[Destination]],tblDestinations[Destination],0)),"?"))</f>
        <v/>
      </c>
      <c r="M3055" s="64">
        <f>IF(tblMovement[[#This Row],[Material]]="","",IF(LEFT(tblMovement[[#This Row],[Material]],3)="Ore",1,0))</f>
        <v/>
      </c>
      <c r="N3055" s="59">
        <f>IF(OR(tblMovement[[#This Row],[Tonnes_t]]="",tblMovement[[#This Row],[Grade_gpt]]=""),0,tblMovement[[#This Row],[Tonnes_t]]*tblMovement[[#This Row],[Grade_gpt]]/cfg_TroyOz)</f>
        <v/>
      </c>
      <c r="O3055" s="59">
        <f>IF(tblMovement[[#This Row],[Is_Ore]]=1,tblMovement[[#This Row],[Contained_oz]],0)</f>
        <v/>
      </c>
    </row>
    <row r="3056">
      <c r="A3056" s="54" t="n"/>
      <c r="B3056" s="61" t="n"/>
      <c r="C3056" s="61" t="n"/>
      <c r="D3056" s="61" t="n"/>
      <c r="E3056" s="61" t="n"/>
      <c r="F3056" s="55" t="n"/>
      <c r="G3056" s="56" t="n"/>
      <c r="H3056" s="55" t="n"/>
      <c r="I3056" s="62" t="n"/>
      <c r="J3056" s="58" t="n"/>
      <c r="K3056" s="63">
        <f>IF(tblMovement[[#This Row],[Source]]="","",IFERROR(INDEX(tblSources[Type],MATCH(tblMovement[[#This Row],[Source]],tblSources[Source],0)),"?"))</f>
        <v/>
      </c>
      <c r="L3056" s="63">
        <f>IF(tblMovement[[#This Row],[Destination]]="","",IFERROR(INDEX(tblDestinations[Type],MATCH(tblMovement[[#This Row],[Destination]],tblDestinations[Destination],0)),"?"))</f>
        <v/>
      </c>
      <c r="M3056" s="64">
        <f>IF(tblMovement[[#This Row],[Material]]="","",IF(LEFT(tblMovement[[#This Row],[Material]],3)="Ore",1,0))</f>
        <v/>
      </c>
      <c r="N3056" s="59">
        <f>IF(OR(tblMovement[[#This Row],[Tonnes_t]]="",tblMovement[[#This Row],[Grade_gpt]]=""),0,tblMovement[[#This Row],[Tonnes_t]]*tblMovement[[#This Row],[Grade_gpt]]/cfg_TroyOz)</f>
        <v/>
      </c>
      <c r="O3056" s="59">
        <f>IF(tblMovement[[#This Row],[Is_Ore]]=1,tblMovement[[#This Row],[Contained_oz]],0)</f>
        <v/>
      </c>
    </row>
    <row r="3057">
      <c r="A3057" s="54" t="n"/>
      <c r="B3057" s="61" t="n"/>
      <c r="C3057" s="61" t="n"/>
      <c r="D3057" s="61" t="n"/>
      <c r="E3057" s="61" t="n"/>
      <c r="F3057" s="55" t="n"/>
      <c r="G3057" s="56" t="n"/>
      <c r="H3057" s="55" t="n"/>
      <c r="I3057" s="62" t="n"/>
      <c r="J3057" s="58" t="n"/>
      <c r="K3057" s="63">
        <f>IF(tblMovement[[#This Row],[Source]]="","",IFERROR(INDEX(tblSources[Type],MATCH(tblMovement[[#This Row],[Source]],tblSources[Source],0)),"?"))</f>
        <v/>
      </c>
      <c r="L3057" s="63">
        <f>IF(tblMovement[[#This Row],[Destination]]="","",IFERROR(INDEX(tblDestinations[Type],MATCH(tblMovement[[#This Row],[Destination]],tblDestinations[Destination],0)),"?"))</f>
        <v/>
      </c>
      <c r="M3057" s="64">
        <f>IF(tblMovement[[#This Row],[Material]]="","",IF(LEFT(tblMovement[[#This Row],[Material]],3)="Ore",1,0))</f>
        <v/>
      </c>
      <c r="N3057" s="59">
        <f>IF(OR(tblMovement[[#This Row],[Tonnes_t]]="",tblMovement[[#This Row],[Grade_gpt]]=""),0,tblMovement[[#This Row],[Tonnes_t]]*tblMovement[[#This Row],[Grade_gpt]]/cfg_TroyOz)</f>
        <v/>
      </c>
      <c r="O3057" s="59">
        <f>IF(tblMovement[[#This Row],[Is_Ore]]=1,tblMovement[[#This Row],[Contained_oz]],0)</f>
        <v/>
      </c>
    </row>
    <row r="3058">
      <c r="A3058" s="54" t="n"/>
      <c r="B3058" s="61" t="n"/>
      <c r="C3058" s="61" t="n"/>
      <c r="D3058" s="61" t="n"/>
      <c r="E3058" s="61" t="n"/>
      <c r="F3058" s="55" t="n"/>
      <c r="G3058" s="56" t="n"/>
      <c r="H3058" s="55" t="n"/>
      <c r="I3058" s="62" t="n"/>
      <c r="J3058" s="58" t="n"/>
      <c r="K3058" s="63">
        <f>IF(tblMovement[[#This Row],[Source]]="","",IFERROR(INDEX(tblSources[Type],MATCH(tblMovement[[#This Row],[Source]],tblSources[Source],0)),"?"))</f>
        <v/>
      </c>
      <c r="L3058" s="63">
        <f>IF(tblMovement[[#This Row],[Destination]]="","",IFERROR(INDEX(tblDestinations[Type],MATCH(tblMovement[[#This Row],[Destination]],tblDestinations[Destination],0)),"?"))</f>
        <v/>
      </c>
      <c r="M3058" s="64">
        <f>IF(tblMovement[[#This Row],[Material]]="","",IF(LEFT(tblMovement[[#This Row],[Material]],3)="Ore",1,0))</f>
        <v/>
      </c>
      <c r="N3058" s="59">
        <f>IF(OR(tblMovement[[#This Row],[Tonnes_t]]="",tblMovement[[#This Row],[Grade_gpt]]=""),0,tblMovement[[#This Row],[Tonnes_t]]*tblMovement[[#This Row],[Grade_gpt]]/cfg_TroyOz)</f>
        <v/>
      </c>
      <c r="O3058" s="59">
        <f>IF(tblMovement[[#This Row],[Is_Ore]]=1,tblMovement[[#This Row],[Contained_oz]],0)</f>
        <v/>
      </c>
    </row>
    <row r="3059">
      <c r="A3059" s="54" t="n"/>
      <c r="B3059" s="61" t="n"/>
      <c r="C3059" s="61" t="n"/>
      <c r="D3059" s="61" t="n"/>
      <c r="E3059" s="61" t="n"/>
      <c r="F3059" s="55" t="n"/>
      <c r="G3059" s="56" t="n"/>
      <c r="H3059" s="55" t="n"/>
      <c r="I3059" s="62" t="n"/>
      <c r="J3059" s="58" t="n"/>
      <c r="K3059" s="63">
        <f>IF(tblMovement[[#This Row],[Source]]="","",IFERROR(INDEX(tblSources[Type],MATCH(tblMovement[[#This Row],[Source]],tblSources[Source],0)),"?"))</f>
        <v/>
      </c>
      <c r="L3059" s="63">
        <f>IF(tblMovement[[#This Row],[Destination]]="","",IFERROR(INDEX(tblDestinations[Type],MATCH(tblMovement[[#This Row],[Destination]],tblDestinations[Destination],0)),"?"))</f>
        <v/>
      </c>
      <c r="M3059" s="64">
        <f>IF(tblMovement[[#This Row],[Material]]="","",IF(LEFT(tblMovement[[#This Row],[Material]],3)="Ore",1,0))</f>
        <v/>
      </c>
      <c r="N3059" s="59">
        <f>IF(OR(tblMovement[[#This Row],[Tonnes_t]]="",tblMovement[[#This Row],[Grade_gpt]]=""),0,tblMovement[[#This Row],[Tonnes_t]]*tblMovement[[#This Row],[Grade_gpt]]/cfg_TroyOz)</f>
        <v/>
      </c>
      <c r="O3059" s="59">
        <f>IF(tblMovement[[#This Row],[Is_Ore]]=1,tblMovement[[#This Row],[Contained_oz]],0)</f>
        <v/>
      </c>
    </row>
    <row r="3060">
      <c r="A3060" s="54" t="n"/>
      <c r="B3060" s="61" t="n"/>
      <c r="C3060" s="61" t="n"/>
      <c r="D3060" s="61" t="n"/>
      <c r="E3060" s="61" t="n"/>
      <c r="F3060" s="55" t="n"/>
      <c r="G3060" s="56" t="n"/>
      <c r="H3060" s="55" t="n"/>
      <c r="I3060" s="62" t="n"/>
      <c r="J3060" s="58" t="n"/>
      <c r="K3060" s="63">
        <f>IF(tblMovement[[#This Row],[Source]]="","",IFERROR(INDEX(tblSources[Type],MATCH(tblMovement[[#This Row],[Source]],tblSources[Source],0)),"?"))</f>
        <v/>
      </c>
      <c r="L3060" s="63">
        <f>IF(tblMovement[[#This Row],[Destination]]="","",IFERROR(INDEX(tblDestinations[Type],MATCH(tblMovement[[#This Row],[Destination]],tblDestinations[Destination],0)),"?"))</f>
        <v/>
      </c>
      <c r="M3060" s="64">
        <f>IF(tblMovement[[#This Row],[Material]]="","",IF(LEFT(tblMovement[[#This Row],[Material]],3)="Ore",1,0))</f>
        <v/>
      </c>
      <c r="N3060" s="59">
        <f>IF(OR(tblMovement[[#This Row],[Tonnes_t]]="",tblMovement[[#This Row],[Grade_gpt]]=""),0,tblMovement[[#This Row],[Tonnes_t]]*tblMovement[[#This Row],[Grade_gpt]]/cfg_TroyOz)</f>
        <v/>
      </c>
      <c r="O3060" s="59">
        <f>IF(tblMovement[[#This Row],[Is_Ore]]=1,tblMovement[[#This Row],[Contained_oz]],0)</f>
        <v/>
      </c>
    </row>
    <row r="3061">
      <c r="A3061" s="54" t="n"/>
      <c r="B3061" s="61" t="n"/>
      <c r="C3061" s="61" t="n"/>
      <c r="D3061" s="61" t="n"/>
      <c r="E3061" s="61" t="n"/>
      <c r="F3061" s="55" t="n"/>
      <c r="G3061" s="56" t="n"/>
      <c r="H3061" s="55" t="n"/>
      <c r="I3061" s="62" t="n"/>
      <c r="J3061" s="58" t="n"/>
      <c r="K3061" s="63">
        <f>IF(tblMovement[[#This Row],[Source]]="","",IFERROR(INDEX(tblSources[Type],MATCH(tblMovement[[#This Row],[Source]],tblSources[Source],0)),"?"))</f>
        <v/>
      </c>
      <c r="L3061" s="63">
        <f>IF(tblMovement[[#This Row],[Destination]]="","",IFERROR(INDEX(tblDestinations[Type],MATCH(tblMovement[[#This Row],[Destination]],tblDestinations[Destination],0)),"?"))</f>
        <v/>
      </c>
      <c r="M3061" s="64">
        <f>IF(tblMovement[[#This Row],[Material]]="","",IF(LEFT(tblMovement[[#This Row],[Material]],3)="Ore",1,0))</f>
        <v/>
      </c>
      <c r="N3061" s="59">
        <f>IF(OR(tblMovement[[#This Row],[Tonnes_t]]="",tblMovement[[#This Row],[Grade_gpt]]=""),0,tblMovement[[#This Row],[Tonnes_t]]*tblMovement[[#This Row],[Grade_gpt]]/cfg_TroyOz)</f>
        <v/>
      </c>
      <c r="O3061" s="59">
        <f>IF(tblMovement[[#This Row],[Is_Ore]]=1,tblMovement[[#This Row],[Contained_oz]],0)</f>
        <v/>
      </c>
    </row>
    <row r="3062">
      <c r="A3062" s="54" t="n"/>
      <c r="B3062" s="61" t="n"/>
      <c r="C3062" s="61" t="n"/>
      <c r="D3062" s="61" t="n"/>
      <c r="E3062" s="61" t="n"/>
      <c r="F3062" s="55" t="n"/>
      <c r="G3062" s="56" t="n"/>
      <c r="H3062" s="55" t="n"/>
      <c r="I3062" s="62" t="n"/>
      <c r="J3062" s="58" t="n"/>
      <c r="K3062" s="63">
        <f>IF(tblMovement[[#This Row],[Source]]="","",IFERROR(INDEX(tblSources[Type],MATCH(tblMovement[[#This Row],[Source]],tblSources[Source],0)),"?"))</f>
        <v/>
      </c>
      <c r="L3062" s="63">
        <f>IF(tblMovement[[#This Row],[Destination]]="","",IFERROR(INDEX(tblDestinations[Type],MATCH(tblMovement[[#This Row],[Destination]],tblDestinations[Destination],0)),"?"))</f>
        <v/>
      </c>
      <c r="M3062" s="64">
        <f>IF(tblMovement[[#This Row],[Material]]="","",IF(LEFT(tblMovement[[#This Row],[Material]],3)="Ore",1,0))</f>
        <v/>
      </c>
      <c r="N3062" s="59">
        <f>IF(OR(tblMovement[[#This Row],[Tonnes_t]]="",tblMovement[[#This Row],[Grade_gpt]]=""),0,tblMovement[[#This Row],[Tonnes_t]]*tblMovement[[#This Row],[Grade_gpt]]/cfg_TroyOz)</f>
        <v/>
      </c>
      <c r="O3062" s="59">
        <f>IF(tblMovement[[#This Row],[Is_Ore]]=1,tblMovement[[#This Row],[Contained_oz]],0)</f>
        <v/>
      </c>
    </row>
    <row r="3063">
      <c r="A3063" s="54" t="n"/>
      <c r="B3063" s="61" t="n"/>
      <c r="C3063" s="61" t="n"/>
      <c r="D3063" s="61" t="n"/>
      <c r="E3063" s="61" t="n"/>
      <c r="F3063" s="55" t="n"/>
      <c r="G3063" s="56" t="n"/>
      <c r="H3063" s="55" t="n"/>
      <c r="I3063" s="62" t="n"/>
      <c r="J3063" s="58" t="n"/>
      <c r="K3063" s="63">
        <f>IF(tblMovement[[#This Row],[Source]]="","",IFERROR(INDEX(tblSources[Type],MATCH(tblMovement[[#This Row],[Source]],tblSources[Source],0)),"?"))</f>
        <v/>
      </c>
      <c r="L3063" s="63">
        <f>IF(tblMovement[[#This Row],[Destination]]="","",IFERROR(INDEX(tblDestinations[Type],MATCH(tblMovement[[#This Row],[Destination]],tblDestinations[Destination],0)),"?"))</f>
        <v/>
      </c>
      <c r="M3063" s="64">
        <f>IF(tblMovement[[#This Row],[Material]]="","",IF(LEFT(tblMovement[[#This Row],[Material]],3)="Ore",1,0))</f>
        <v/>
      </c>
      <c r="N3063" s="59">
        <f>IF(OR(tblMovement[[#This Row],[Tonnes_t]]="",tblMovement[[#This Row],[Grade_gpt]]=""),0,tblMovement[[#This Row],[Tonnes_t]]*tblMovement[[#This Row],[Grade_gpt]]/cfg_TroyOz)</f>
        <v/>
      </c>
      <c r="O3063" s="59">
        <f>IF(tblMovement[[#This Row],[Is_Ore]]=1,tblMovement[[#This Row],[Contained_oz]],0)</f>
        <v/>
      </c>
    </row>
    <row r="3064">
      <c r="A3064" s="54" t="n"/>
      <c r="B3064" s="61" t="n"/>
      <c r="C3064" s="61" t="n"/>
      <c r="D3064" s="61" t="n"/>
      <c r="E3064" s="61" t="n"/>
      <c r="F3064" s="55" t="n"/>
      <c r="G3064" s="56" t="n"/>
      <c r="H3064" s="55" t="n"/>
      <c r="I3064" s="62" t="n"/>
      <c r="J3064" s="58" t="n"/>
      <c r="K3064" s="63">
        <f>IF(tblMovement[[#This Row],[Source]]="","",IFERROR(INDEX(tblSources[Type],MATCH(tblMovement[[#This Row],[Source]],tblSources[Source],0)),"?"))</f>
        <v/>
      </c>
      <c r="L3064" s="63">
        <f>IF(tblMovement[[#This Row],[Destination]]="","",IFERROR(INDEX(tblDestinations[Type],MATCH(tblMovement[[#This Row],[Destination]],tblDestinations[Destination],0)),"?"))</f>
        <v/>
      </c>
      <c r="M3064" s="64">
        <f>IF(tblMovement[[#This Row],[Material]]="","",IF(LEFT(tblMovement[[#This Row],[Material]],3)="Ore",1,0))</f>
        <v/>
      </c>
      <c r="N3064" s="59">
        <f>IF(OR(tblMovement[[#This Row],[Tonnes_t]]="",tblMovement[[#This Row],[Grade_gpt]]=""),0,tblMovement[[#This Row],[Tonnes_t]]*tblMovement[[#This Row],[Grade_gpt]]/cfg_TroyOz)</f>
        <v/>
      </c>
      <c r="O3064" s="59">
        <f>IF(tblMovement[[#This Row],[Is_Ore]]=1,tblMovement[[#This Row],[Contained_oz]],0)</f>
        <v/>
      </c>
    </row>
    <row r="3065">
      <c r="A3065" s="54" t="n"/>
      <c r="B3065" s="61" t="n"/>
      <c r="C3065" s="61" t="n"/>
      <c r="D3065" s="61" t="n"/>
      <c r="E3065" s="61" t="n"/>
      <c r="F3065" s="55" t="n"/>
      <c r="G3065" s="56" t="n"/>
      <c r="H3065" s="55" t="n"/>
      <c r="I3065" s="62" t="n"/>
      <c r="J3065" s="58" t="n"/>
      <c r="K3065" s="63">
        <f>IF(tblMovement[[#This Row],[Source]]="","",IFERROR(INDEX(tblSources[Type],MATCH(tblMovement[[#This Row],[Source]],tblSources[Source],0)),"?"))</f>
        <v/>
      </c>
      <c r="L3065" s="63">
        <f>IF(tblMovement[[#This Row],[Destination]]="","",IFERROR(INDEX(tblDestinations[Type],MATCH(tblMovement[[#This Row],[Destination]],tblDestinations[Destination],0)),"?"))</f>
        <v/>
      </c>
      <c r="M3065" s="64">
        <f>IF(tblMovement[[#This Row],[Material]]="","",IF(LEFT(tblMovement[[#This Row],[Material]],3)="Ore",1,0))</f>
        <v/>
      </c>
      <c r="N3065" s="59">
        <f>IF(OR(tblMovement[[#This Row],[Tonnes_t]]="",tblMovement[[#This Row],[Grade_gpt]]=""),0,tblMovement[[#This Row],[Tonnes_t]]*tblMovement[[#This Row],[Grade_gpt]]/cfg_TroyOz)</f>
        <v/>
      </c>
      <c r="O3065" s="59">
        <f>IF(tblMovement[[#This Row],[Is_Ore]]=1,tblMovement[[#This Row],[Contained_oz]],0)</f>
        <v/>
      </c>
    </row>
    <row r="3066">
      <c r="A3066" s="54" t="n"/>
      <c r="B3066" s="61" t="n"/>
      <c r="C3066" s="61" t="n"/>
      <c r="D3066" s="61" t="n"/>
      <c r="E3066" s="61" t="n"/>
      <c r="F3066" s="55" t="n"/>
      <c r="G3066" s="56" t="n"/>
      <c r="H3066" s="55" t="n"/>
      <c r="I3066" s="62" t="n"/>
      <c r="J3066" s="58" t="n"/>
      <c r="K3066" s="63">
        <f>IF(tblMovement[[#This Row],[Source]]="","",IFERROR(INDEX(tblSources[Type],MATCH(tblMovement[[#This Row],[Source]],tblSources[Source],0)),"?"))</f>
        <v/>
      </c>
      <c r="L3066" s="63">
        <f>IF(tblMovement[[#This Row],[Destination]]="","",IFERROR(INDEX(tblDestinations[Type],MATCH(tblMovement[[#This Row],[Destination]],tblDestinations[Destination],0)),"?"))</f>
        <v/>
      </c>
      <c r="M3066" s="64">
        <f>IF(tblMovement[[#This Row],[Material]]="","",IF(LEFT(tblMovement[[#This Row],[Material]],3)="Ore",1,0))</f>
        <v/>
      </c>
      <c r="N3066" s="59">
        <f>IF(OR(tblMovement[[#This Row],[Tonnes_t]]="",tblMovement[[#This Row],[Grade_gpt]]=""),0,tblMovement[[#This Row],[Tonnes_t]]*tblMovement[[#This Row],[Grade_gpt]]/cfg_TroyOz)</f>
        <v/>
      </c>
      <c r="O3066" s="59">
        <f>IF(tblMovement[[#This Row],[Is_Ore]]=1,tblMovement[[#This Row],[Contained_oz]],0)</f>
        <v/>
      </c>
    </row>
    <row r="3067">
      <c r="A3067" s="54" t="n"/>
      <c r="B3067" s="61" t="n"/>
      <c r="C3067" s="61" t="n"/>
      <c r="D3067" s="61" t="n"/>
      <c r="E3067" s="61" t="n"/>
      <c r="F3067" s="55" t="n"/>
      <c r="G3067" s="56" t="n"/>
      <c r="H3067" s="55" t="n"/>
      <c r="I3067" s="62" t="n"/>
      <c r="J3067" s="58" t="n"/>
      <c r="K3067" s="63">
        <f>IF(tblMovement[[#This Row],[Source]]="","",IFERROR(INDEX(tblSources[Type],MATCH(tblMovement[[#This Row],[Source]],tblSources[Source],0)),"?"))</f>
        <v/>
      </c>
      <c r="L3067" s="63">
        <f>IF(tblMovement[[#This Row],[Destination]]="","",IFERROR(INDEX(tblDestinations[Type],MATCH(tblMovement[[#This Row],[Destination]],tblDestinations[Destination],0)),"?"))</f>
        <v/>
      </c>
      <c r="M3067" s="64">
        <f>IF(tblMovement[[#This Row],[Material]]="","",IF(LEFT(tblMovement[[#This Row],[Material]],3)="Ore",1,0))</f>
        <v/>
      </c>
      <c r="N3067" s="59">
        <f>IF(OR(tblMovement[[#This Row],[Tonnes_t]]="",tblMovement[[#This Row],[Grade_gpt]]=""),0,tblMovement[[#This Row],[Tonnes_t]]*tblMovement[[#This Row],[Grade_gpt]]/cfg_TroyOz)</f>
        <v/>
      </c>
      <c r="O3067" s="59">
        <f>IF(tblMovement[[#This Row],[Is_Ore]]=1,tblMovement[[#This Row],[Contained_oz]],0)</f>
        <v/>
      </c>
    </row>
    <row r="3068">
      <c r="A3068" s="54" t="n"/>
      <c r="B3068" s="61" t="n"/>
      <c r="C3068" s="61" t="n"/>
      <c r="D3068" s="61" t="n"/>
      <c r="E3068" s="61" t="n"/>
      <c r="F3068" s="55" t="n"/>
      <c r="G3068" s="56" t="n"/>
      <c r="H3068" s="55" t="n"/>
      <c r="I3068" s="62" t="n"/>
      <c r="J3068" s="58" t="n"/>
      <c r="K3068" s="63">
        <f>IF(tblMovement[[#This Row],[Source]]="","",IFERROR(INDEX(tblSources[Type],MATCH(tblMovement[[#This Row],[Source]],tblSources[Source],0)),"?"))</f>
        <v/>
      </c>
      <c r="L3068" s="63">
        <f>IF(tblMovement[[#This Row],[Destination]]="","",IFERROR(INDEX(tblDestinations[Type],MATCH(tblMovement[[#This Row],[Destination]],tblDestinations[Destination],0)),"?"))</f>
        <v/>
      </c>
      <c r="M3068" s="64">
        <f>IF(tblMovement[[#This Row],[Material]]="","",IF(LEFT(tblMovement[[#This Row],[Material]],3)="Ore",1,0))</f>
        <v/>
      </c>
      <c r="N3068" s="59">
        <f>IF(OR(tblMovement[[#This Row],[Tonnes_t]]="",tblMovement[[#This Row],[Grade_gpt]]=""),0,tblMovement[[#This Row],[Tonnes_t]]*tblMovement[[#This Row],[Grade_gpt]]/cfg_TroyOz)</f>
        <v/>
      </c>
      <c r="O3068" s="59">
        <f>IF(tblMovement[[#This Row],[Is_Ore]]=1,tblMovement[[#This Row],[Contained_oz]],0)</f>
        <v/>
      </c>
    </row>
    <row r="3069">
      <c r="A3069" s="54" t="n"/>
      <c r="B3069" s="61" t="n"/>
      <c r="C3069" s="61" t="n"/>
      <c r="D3069" s="61" t="n"/>
      <c r="E3069" s="61" t="n"/>
      <c r="F3069" s="55" t="n"/>
      <c r="G3069" s="56" t="n"/>
      <c r="H3069" s="55" t="n"/>
      <c r="I3069" s="62" t="n"/>
      <c r="J3069" s="58" t="n"/>
      <c r="K3069" s="63">
        <f>IF(tblMovement[[#This Row],[Source]]="","",IFERROR(INDEX(tblSources[Type],MATCH(tblMovement[[#This Row],[Source]],tblSources[Source],0)),"?"))</f>
        <v/>
      </c>
      <c r="L3069" s="63">
        <f>IF(tblMovement[[#This Row],[Destination]]="","",IFERROR(INDEX(tblDestinations[Type],MATCH(tblMovement[[#This Row],[Destination]],tblDestinations[Destination],0)),"?"))</f>
        <v/>
      </c>
      <c r="M3069" s="64">
        <f>IF(tblMovement[[#This Row],[Material]]="","",IF(LEFT(tblMovement[[#This Row],[Material]],3)="Ore",1,0))</f>
        <v/>
      </c>
      <c r="N3069" s="59">
        <f>IF(OR(tblMovement[[#This Row],[Tonnes_t]]="",tblMovement[[#This Row],[Grade_gpt]]=""),0,tblMovement[[#This Row],[Tonnes_t]]*tblMovement[[#This Row],[Grade_gpt]]/cfg_TroyOz)</f>
        <v/>
      </c>
      <c r="O3069" s="59">
        <f>IF(tblMovement[[#This Row],[Is_Ore]]=1,tblMovement[[#This Row],[Contained_oz]],0)</f>
        <v/>
      </c>
    </row>
    <row r="3070">
      <c r="A3070" s="54" t="n"/>
      <c r="B3070" s="61" t="n"/>
      <c r="C3070" s="61" t="n"/>
      <c r="D3070" s="61" t="n"/>
      <c r="E3070" s="61" t="n"/>
      <c r="F3070" s="55" t="n"/>
      <c r="G3070" s="56" t="n"/>
      <c r="H3070" s="55" t="n"/>
      <c r="I3070" s="62" t="n"/>
      <c r="J3070" s="58" t="n"/>
      <c r="K3070" s="63">
        <f>IF(tblMovement[[#This Row],[Source]]="","",IFERROR(INDEX(tblSources[Type],MATCH(tblMovement[[#This Row],[Source]],tblSources[Source],0)),"?"))</f>
        <v/>
      </c>
      <c r="L3070" s="63">
        <f>IF(tblMovement[[#This Row],[Destination]]="","",IFERROR(INDEX(tblDestinations[Type],MATCH(tblMovement[[#This Row],[Destination]],tblDestinations[Destination],0)),"?"))</f>
        <v/>
      </c>
      <c r="M3070" s="64">
        <f>IF(tblMovement[[#This Row],[Material]]="","",IF(LEFT(tblMovement[[#This Row],[Material]],3)="Ore",1,0))</f>
        <v/>
      </c>
      <c r="N3070" s="59">
        <f>IF(OR(tblMovement[[#This Row],[Tonnes_t]]="",tblMovement[[#This Row],[Grade_gpt]]=""),0,tblMovement[[#This Row],[Tonnes_t]]*tblMovement[[#This Row],[Grade_gpt]]/cfg_TroyOz)</f>
        <v/>
      </c>
      <c r="O3070" s="59">
        <f>IF(tblMovement[[#This Row],[Is_Ore]]=1,tblMovement[[#This Row],[Contained_oz]],0)</f>
        <v/>
      </c>
    </row>
    <row r="3071">
      <c r="A3071" s="54" t="n"/>
      <c r="B3071" s="61" t="n"/>
      <c r="C3071" s="61" t="n"/>
      <c r="D3071" s="61" t="n"/>
      <c r="E3071" s="61" t="n"/>
      <c r="F3071" s="55" t="n"/>
      <c r="G3071" s="56" t="n"/>
      <c r="H3071" s="55" t="n"/>
      <c r="I3071" s="62" t="n"/>
      <c r="J3071" s="58" t="n"/>
      <c r="K3071" s="63">
        <f>IF(tblMovement[[#This Row],[Source]]="","",IFERROR(INDEX(tblSources[Type],MATCH(tblMovement[[#This Row],[Source]],tblSources[Source],0)),"?"))</f>
        <v/>
      </c>
      <c r="L3071" s="63">
        <f>IF(tblMovement[[#This Row],[Destination]]="","",IFERROR(INDEX(tblDestinations[Type],MATCH(tblMovement[[#This Row],[Destination]],tblDestinations[Destination],0)),"?"))</f>
        <v/>
      </c>
      <c r="M3071" s="64">
        <f>IF(tblMovement[[#This Row],[Material]]="","",IF(LEFT(tblMovement[[#This Row],[Material]],3)="Ore",1,0))</f>
        <v/>
      </c>
      <c r="N3071" s="59">
        <f>IF(OR(tblMovement[[#This Row],[Tonnes_t]]="",tblMovement[[#This Row],[Grade_gpt]]=""),0,tblMovement[[#This Row],[Tonnes_t]]*tblMovement[[#This Row],[Grade_gpt]]/cfg_TroyOz)</f>
        <v/>
      </c>
      <c r="O3071" s="59">
        <f>IF(tblMovement[[#This Row],[Is_Ore]]=1,tblMovement[[#This Row],[Contained_oz]],0)</f>
        <v/>
      </c>
    </row>
    <row r="3072">
      <c r="A3072" s="54" t="n"/>
      <c r="B3072" s="61" t="n"/>
      <c r="C3072" s="61" t="n"/>
      <c r="D3072" s="61" t="n"/>
      <c r="E3072" s="61" t="n"/>
      <c r="F3072" s="55" t="n"/>
      <c r="G3072" s="56" t="n"/>
      <c r="H3072" s="55" t="n"/>
      <c r="I3072" s="62" t="n"/>
      <c r="J3072" s="58" t="n"/>
      <c r="K3072" s="63">
        <f>IF(tblMovement[[#This Row],[Source]]="","",IFERROR(INDEX(tblSources[Type],MATCH(tblMovement[[#This Row],[Source]],tblSources[Source],0)),"?"))</f>
        <v/>
      </c>
      <c r="L3072" s="63">
        <f>IF(tblMovement[[#This Row],[Destination]]="","",IFERROR(INDEX(tblDestinations[Type],MATCH(tblMovement[[#This Row],[Destination]],tblDestinations[Destination],0)),"?"))</f>
        <v/>
      </c>
      <c r="M3072" s="64">
        <f>IF(tblMovement[[#This Row],[Material]]="","",IF(LEFT(tblMovement[[#This Row],[Material]],3)="Ore",1,0))</f>
        <v/>
      </c>
      <c r="N3072" s="59">
        <f>IF(OR(tblMovement[[#This Row],[Tonnes_t]]="",tblMovement[[#This Row],[Grade_gpt]]=""),0,tblMovement[[#This Row],[Tonnes_t]]*tblMovement[[#This Row],[Grade_gpt]]/cfg_TroyOz)</f>
        <v/>
      </c>
      <c r="O3072" s="59">
        <f>IF(tblMovement[[#This Row],[Is_Ore]]=1,tblMovement[[#This Row],[Contained_oz]],0)</f>
        <v/>
      </c>
    </row>
    <row r="3073">
      <c r="A3073" s="54" t="n"/>
      <c r="B3073" s="61" t="n"/>
      <c r="C3073" s="61" t="n"/>
      <c r="D3073" s="61" t="n"/>
      <c r="E3073" s="61" t="n"/>
      <c r="F3073" s="55" t="n"/>
      <c r="G3073" s="56" t="n"/>
      <c r="H3073" s="55" t="n"/>
      <c r="I3073" s="62" t="n"/>
      <c r="J3073" s="58" t="n"/>
      <c r="K3073" s="63">
        <f>IF(tblMovement[[#This Row],[Source]]="","",IFERROR(INDEX(tblSources[Type],MATCH(tblMovement[[#This Row],[Source]],tblSources[Source],0)),"?"))</f>
        <v/>
      </c>
      <c r="L3073" s="63">
        <f>IF(tblMovement[[#This Row],[Destination]]="","",IFERROR(INDEX(tblDestinations[Type],MATCH(tblMovement[[#This Row],[Destination]],tblDestinations[Destination],0)),"?"))</f>
        <v/>
      </c>
      <c r="M3073" s="64">
        <f>IF(tblMovement[[#This Row],[Material]]="","",IF(LEFT(tblMovement[[#This Row],[Material]],3)="Ore",1,0))</f>
        <v/>
      </c>
      <c r="N3073" s="59">
        <f>IF(OR(tblMovement[[#This Row],[Tonnes_t]]="",tblMovement[[#This Row],[Grade_gpt]]=""),0,tblMovement[[#This Row],[Tonnes_t]]*tblMovement[[#This Row],[Grade_gpt]]/cfg_TroyOz)</f>
        <v/>
      </c>
      <c r="O3073" s="59">
        <f>IF(tblMovement[[#This Row],[Is_Ore]]=1,tblMovement[[#This Row],[Contained_oz]],0)</f>
        <v/>
      </c>
    </row>
    <row r="3074">
      <c r="A3074" s="54" t="n"/>
      <c r="B3074" s="61" t="n"/>
      <c r="C3074" s="61" t="n"/>
      <c r="D3074" s="61" t="n"/>
      <c r="E3074" s="61" t="n"/>
      <c r="F3074" s="55" t="n"/>
      <c r="G3074" s="56" t="n"/>
      <c r="H3074" s="55" t="n"/>
      <c r="I3074" s="62" t="n"/>
      <c r="J3074" s="58" t="n"/>
      <c r="K3074" s="63">
        <f>IF(tblMovement[[#This Row],[Source]]="","",IFERROR(INDEX(tblSources[Type],MATCH(tblMovement[[#This Row],[Source]],tblSources[Source],0)),"?"))</f>
        <v/>
      </c>
      <c r="L3074" s="63">
        <f>IF(tblMovement[[#This Row],[Destination]]="","",IFERROR(INDEX(tblDestinations[Type],MATCH(tblMovement[[#This Row],[Destination]],tblDestinations[Destination],0)),"?"))</f>
        <v/>
      </c>
      <c r="M3074" s="64">
        <f>IF(tblMovement[[#This Row],[Material]]="","",IF(LEFT(tblMovement[[#This Row],[Material]],3)="Ore",1,0))</f>
        <v/>
      </c>
      <c r="N3074" s="59">
        <f>IF(OR(tblMovement[[#This Row],[Tonnes_t]]="",tblMovement[[#This Row],[Grade_gpt]]=""),0,tblMovement[[#This Row],[Tonnes_t]]*tblMovement[[#This Row],[Grade_gpt]]/cfg_TroyOz)</f>
        <v/>
      </c>
      <c r="O3074" s="59">
        <f>IF(tblMovement[[#This Row],[Is_Ore]]=1,tblMovement[[#This Row],[Contained_oz]],0)</f>
        <v/>
      </c>
    </row>
    <row r="3075">
      <c r="A3075" s="54" t="n"/>
      <c r="B3075" s="61" t="n"/>
      <c r="C3075" s="61" t="n"/>
      <c r="D3075" s="61" t="n"/>
      <c r="E3075" s="61" t="n"/>
      <c r="F3075" s="55" t="n"/>
      <c r="G3075" s="56" t="n"/>
      <c r="H3075" s="55" t="n"/>
      <c r="I3075" s="62" t="n"/>
      <c r="J3075" s="58" t="n"/>
      <c r="K3075" s="63">
        <f>IF(tblMovement[[#This Row],[Source]]="","",IFERROR(INDEX(tblSources[Type],MATCH(tblMovement[[#This Row],[Source]],tblSources[Source],0)),"?"))</f>
        <v/>
      </c>
      <c r="L3075" s="63">
        <f>IF(tblMovement[[#This Row],[Destination]]="","",IFERROR(INDEX(tblDestinations[Type],MATCH(tblMovement[[#This Row],[Destination]],tblDestinations[Destination],0)),"?"))</f>
        <v/>
      </c>
      <c r="M3075" s="64">
        <f>IF(tblMovement[[#This Row],[Material]]="","",IF(LEFT(tblMovement[[#This Row],[Material]],3)="Ore",1,0))</f>
        <v/>
      </c>
      <c r="N3075" s="59">
        <f>IF(OR(tblMovement[[#This Row],[Tonnes_t]]="",tblMovement[[#This Row],[Grade_gpt]]=""),0,tblMovement[[#This Row],[Tonnes_t]]*tblMovement[[#This Row],[Grade_gpt]]/cfg_TroyOz)</f>
        <v/>
      </c>
      <c r="O3075" s="59">
        <f>IF(tblMovement[[#This Row],[Is_Ore]]=1,tblMovement[[#This Row],[Contained_oz]],0)</f>
        <v/>
      </c>
    </row>
    <row r="3076">
      <c r="A3076" s="54" t="n"/>
      <c r="B3076" s="61" t="n"/>
      <c r="C3076" s="61" t="n"/>
      <c r="D3076" s="61" t="n"/>
      <c r="E3076" s="61" t="n"/>
      <c r="F3076" s="55" t="n"/>
      <c r="G3076" s="56" t="n"/>
      <c r="H3076" s="55" t="n"/>
      <c r="I3076" s="62" t="n"/>
      <c r="J3076" s="58" t="n"/>
      <c r="K3076" s="63">
        <f>IF(tblMovement[[#This Row],[Source]]="","",IFERROR(INDEX(tblSources[Type],MATCH(tblMovement[[#This Row],[Source]],tblSources[Source],0)),"?"))</f>
        <v/>
      </c>
      <c r="L3076" s="63">
        <f>IF(tblMovement[[#This Row],[Destination]]="","",IFERROR(INDEX(tblDestinations[Type],MATCH(tblMovement[[#This Row],[Destination]],tblDestinations[Destination],0)),"?"))</f>
        <v/>
      </c>
      <c r="M3076" s="64">
        <f>IF(tblMovement[[#This Row],[Material]]="","",IF(LEFT(tblMovement[[#This Row],[Material]],3)="Ore",1,0))</f>
        <v/>
      </c>
      <c r="N3076" s="59">
        <f>IF(OR(tblMovement[[#This Row],[Tonnes_t]]="",tblMovement[[#This Row],[Grade_gpt]]=""),0,tblMovement[[#This Row],[Tonnes_t]]*tblMovement[[#This Row],[Grade_gpt]]/cfg_TroyOz)</f>
        <v/>
      </c>
      <c r="O3076" s="59">
        <f>IF(tblMovement[[#This Row],[Is_Ore]]=1,tblMovement[[#This Row],[Contained_oz]],0)</f>
        <v/>
      </c>
    </row>
    <row r="3077">
      <c r="A3077" s="54" t="n"/>
      <c r="B3077" s="61" t="n"/>
      <c r="C3077" s="61" t="n"/>
      <c r="D3077" s="61" t="n"/>
      <c r="E3077" s="61" t="n"/>
      <c r="F3077" s="55" t="n"/>
      <c r="G3077" s="56" t="n"/>
      <c r="H3077" s="55" t="n"/>
      <c r="I3077" s="62" t="n"/>
      <c r="J3077" s="58" t="n"/>
      <c r="K3077" s="63">
        <f>IF(tblMovement[[#This Row],[Source]]="","",IFERROR(INDEX(tblSources[Type],MATCH(tblMovement[[#This Row],[Source]],tblSources[Source],0)),"?"))</f>
        <v/>
      </c>
      <c r="L3077" s="63">
        <f>IF(tblMovement[[#This Row],[Destination]]="","",IFERROR(INDEX(tblDestinations[Type],MATCH(tblMovement[[#This Row],[Destination]],tblDestinations[Destination],0)),"?"))</f>
        <v/>
      </c>
      <c r="M3077" s="64">
        <f>IF(tblMovement[[#This Row],[Material]]="","",IF(LEFT(tblMovement[[#This Row],[Material]],3)="Ore",1,0))</f>
        <v/>
      </c>
      <c r="N3077" s="59">
        <f>IF(OR(tblMovement[[#This Row],[Tonnes_t]]="",tblMovement[[#This Row],[Grade_gpt]]=""),0,tblMovement[[#This Row],[Tonnes_t]]*tblMovement[[#This Row],[Grade_gpt]]/cfg_TroyOz)</f>
        <v/>
      </c>
      <c r="O3077" s="59">
        <f>IF(tblMovement[[#This Row],[Is_Ore]]=1,tblMovement[[#This Row],[Contained_oz]],0)</f>
        <v/>
      </c>
    </row>
    <row r="3078">
      <c r="A3078" s="54" t="n"/>
      <c r="B3078" s="61" t="n"/>
      <c r="C3078" s="61" t="n"/>
      <c r="D3078" s="61" t="n"/>
      <c r="E3078" s="61" t="n"/>
      <c r="F3078" s="55" t="n"/>
      <c r="G3078" s="56" t="n"/>
      <c r="H3078" s="55" t="n"/>
      <c r="I3078" s="62" t="n"/>
      <c r="J3078" s="58" t="n"/>
      <c r="K3078" s="63">
        <f>IF(tblMovement[[#This Row],[Source]]="","",IFERROR(INDEX(tblSources[Type],MATCH(tblMovement[[#This Row],[Source]],tblSources[Source],0)),"?"))</f>
        <v/>
      </c>
      <c r="L3078" s="63">
        <f>IF(tblMovement[[#This Row],[Destination]]="","",IFERROR(INDEX(tblDestinations[Type],MATCH(tblMovement[[#This Row],[Destination]],tblDestinations[Destination],0)),"?"))</f>
        <v/>
      </c>
      <c r="M3078" s="64">
        <f>IF(tblMovement[[#This Row],[Material]]="","",IF(LEFT(tblMovement[[#This Row],[Material]],3)="Ore",1,0))</f>
        <v/>
      </c>
      <c r="N3078" s="59">
        <f>IF(OR(tblMovement[[#This Row],[Tonnes_t]]="",tblMovement[[#This Row],[Grade_gpt]]=""),0,tblMovement[[#This Row],[Tonnes_t]]*tblMovement[[#This Row],[Grade_gpt]]/cfg_TroyOz)</f>
        <v/>
      </c>
      <c r="O3078" s="59">
        <f>IF(tblMovement[[#This Row],[Is_Ore]]=1,tblMovement[[#This Row],[Contained_oz]],0)</f>
        <v/>
      </c>
    </row>
    <row r="3079">
      <c r="A3079" s="54" t="n"/>
      <c r="B3079" s="61" t="n"/>
      <c r="C3079" s="61" t="n"/>
      <c r="D3079" s="61" t="n"/>
      <c r="E3079" s="61" t="n"/>
      <c r="F3079" s="55" t="n"/>
      <c r="G3079" s="56" t="n"/>
      <c r="H3079" s="55" t="n"/>
      <c r="I3079" s="62" t="n"/>
      <c r="J3079" s="58" t="n"/>
      <c r="K3079" s="63">
        <f>IF(tblMovement[[#This Row],[Source]]="","",IFERROR(INDEX(tblSources[Type],MATCH(tblMovement[[#This Row],[Source]],tblSources[Source],0)),"?"))</f>
        <v/>
      </c>
      <c r="L3079" s="63">
        <f>IF(tblMovement[[#This Row],[Destination]]="","",IFERROR(INDEX(tblDestinations[Type],MATCH(tblMovement[[#This Row],[Destination]],tblDestinations[Destination],0)),"?"))</f>
        <v/>
      </c>
      <c r="M3079" s="64">
        <f>IF(tblMovement[[#This Row],[Material]]="","",IF(LEFT(tblMovement[[#This Row],[Material]],3)="Ore",1,0))</f>
        <v/>
      </c>
      <c r="N3079" s="59">
        <f>IF(OR(tblMovement[[#This Row],[Tonnes_t]]="",tblMovement[[#This Row],[Grade_gpt]]=""),0,tblMovement[[#This Row],[Tonnes_t]]*tblMovement[[#This Row],[Grade_gpt]]/cfg_TroyOz)</f>
        <v/>
      </c>
      <c r="O3079" s="59">
        <f>IF(tblMovement[[#This Row],[Is_Ore]]=1,tblMovement[[#This Row],[Contained_oz]],0)</f>
        <v/>
      </c>
    </row>
    <row r="3080">
      <c r="A3080" s="54" t="n"/>
      <c r="B3080" s="61" t="n"/>
      <c r="C3080" s="61" t="n"/>
      <c r="D3080" s="61" t="n"/>
      <c r="E3080" s="61" t="n"/>
      <c r="F3080" s="55" t="n"/>
      <c r="G3080" s="56" t="n"/>
      <c r="H3080" s="55" t="n"/>
      <c r="I3080" s="62" t="n"/>
      <c r="J3080" s="58" t="n"/>
      <c r="K3080" s="63">
        <f>IF(tblMovement[[#This Row],[Source]]="","",IFERROR(INDEX(tblSources[Type],MATCH(tblMovement[[#This Row],[Source]],tblSources[Source],0)),"?"))</f>
        <v/>
      </c>
      <c r="L3080" s="63">
        <f>IF(tblMovement[[#This Row],[Destination]]="","",IFERROR(INDEX(tblDestinations[Type],MATCH(tblMovement[[#This Row],[Destination]],tblDestinations[Destination],0)),"?"))</f>
        <v/>
      </c>
      <c r="M3080" s="64">
        <f>IF(tblMovement[[#This Row],[Material]]="","",IF(LEFT(tblMovement[[#This Row],[Material]],3)="Ore",1,0))</f>
        <v/>
      </c>
      <c r="N3080" s="59">
        <f>IF(OR(tblMovement[[#This Row],[Tonnes_t]]="",tblMovement[[#This Row],[Grade_gpt]]=""),0,tblMovement[[#This Row],[Tonnes_t]]*tblMovement[[#This Row],[Grade_gpt]]/cfg_TroyOz)</f>
        <v/>
      </c>
      <c r="O3080" s="59">
        <f>IF(tblMovement[[#This Row],[Is_Ore]]=1,tblMovement[[#This Row],[Contained_oz]],0)</f>
        <v/>
      </c>
    </row>
    <row r="3081">
      <c r="A3081" s="54" t="n"/>
      <c r="B3081" s="61" t="n"/>
      <c r="C3081" s="61" t="n"/>
      <c r="D3081" s="61" t="n"/>
      <c r="E3081" s="61" t="n"/>
      <c r="F3081" s="55" t="n"/>
      <c r="G3081" s="56" t="n"/>
      <c r="H3081" s="55" t="n"/>
      <c r="I3081" s="62" t="n"/>
      <c r="J3081" s="58" t="n"/>
      <c r="K3081" s="63">
        <f>IF(tblMovement[[#This Row],[Source]]="","",IFERROR(INDEX(tblSources[Type],MATCH(tblMovement[[#This Row],[Source]],tblSources[Source],0)),"?"))</f>
        <v/>
      </c>
      <c r="L3081" s="63">
        <f>IF(tblMovement[[#This Row],[Destination]]="","",IFERROR(INDEX(tblDestinations[Type],MATCH(tblMovement[[#This Row],[Destination]],tblDestinations[Destination],0)),"?"))</f>
        <v/>
      </c>
      <c r="M3081" s="64">
        <f>IF(tblMovement[[#This Row],[Material]]="","",IF(LEFT(tblMovement[[#This Row],[Material]],3)="Ore",1,0))</f>
        <v/>
      </c>
      <c r="N3081" s="59">
        <f>IF(OR(tblMovement[[#This Row],[Tonnes_t]]="",tblMovement[[#This Row],[Grade_gpt]]=""),0,tblMovement[[#This Row],[Tonnes_t]]*tblMovement[[#This Row],[Grade_gpt]]/cfg_TroyOz)</f>
        <v/>
      </c>
      <c r="O3081" s="59">
        <f>IF(tblMovement[[#This Row],[Is_Ore]]=1,tblMovement[[#This Row],[Contained_oz]],0)</f>
        <v/>
      </c>
    </row>
    <row r="3082">
      <c r="A3082" s="54" t="n"/>
      <c r="B3082" s="61" t="n"/>
      <c r="C3082" s="61" t="n"/>
      <c r="D3082" s="61" t="n"/>
      <c r="E3082" s="61" t="n"/>
      <c r="F3082" s="55" t="n"/>
      <c r="G3082" s="56" t="n"/>
      <c r="H3082" s="55" t="n"/>
      <c r="I3082" s="62" t="n"/>
      <c r="J3082" s="58" t="n"/>
      <c r="K3082" s="63">
        <f>IF(tblMovement[[#This Row],[Source]]="","",IFERROR(INDEX(tblSources[Type],MATCH(tblMovement[[#This Row],[Source]],tblSources[Source],0)),"?"))</f>
        <v/>
      </c>
      <c r="L3082" s="63">
        <f>IF(tblMovement[[#This Row],[Destination]]="","",IFERROR(INDEX(tblDestinations[Type],MATCH(tblMovement[[#This Row],[Destination]],tblDestinations[Destination],0)),"?"))</f>
        <v/>
      </c>
      <c r="M3082" s="64">
        <f>IF(tblMovement[[#This Row],[Material]]="","",IF(LEFT(tblMovement[[#This Row],[Material]],3)="Ore",1,0))</f>
        <v/>
      </c>
      <c r="N3082" s="59">
        <f>IF(OR(tblMovement[[#This Row],[Tonnes_t]]="",tblMovement[[#This Row],[Grade_gpt]]=""),0,tblMovement[[#This Row],[Tonnes_t]]*tblMovement[[#This Row],[Grade_gpt]]/cfg_TroyOz)</f>
        <v/>
      </c>
      <c r="O3082" s="59">
        <f>IF(tblMovement[[#This Row],[Is_Ore]]=1,tblMovement[[#This Row],[Contained_oz]],0)</f>
        <v/>
      </c>
    </row>
    <row r="3083">
      <c r="A3083" s="54" t="n"/>
      <c r="B3083" s="61" t="n"/>
      <c r="C3083" s="61" t="n"/>
      <c r="D3083" s="61" t="n"/>
      <c r="E3083" s="61" t="n"/>
      <c r="F3083" s="55" t="n"/>
      <c r="G3083" s="56" t="n"/>
      <c r="H3083" s="55" t="n"/>
      <c r="I3083" s="62" t="n"/>
      <c r="J3083" s="58" t="n"/>
      <c r="K3083" s="63">
        <f>IF(tblMovement[[#This Row],[Source]]="","",IFERROR(INDEX(tblSources[Type],MATCH(tblMovement[[#This Row],[Source]],tblSources[Source],0)),"?"))</f>
        <v/>
      </c>
      <c r="L3083" s="63">
        <f>IF(tblMovement[[#This Row],[Destination]]="","",IFERROR(INDEX(tblDestinations[Type],MATCH(tblMovement[[#This Row],[Destination]],tblDestinations[Destination],0)),"?"))</f>
        <v/>
      </c>
      <c r="M3083" s="64">
        <f>IF(tblMovement[[#This Row],[Material]]="","",IF(LEFT(tblMovement[[#This Row],[Material]],3)="Ore",1,0))</f>
        <v/>
      </c>
      <c r="N3083" s="59">
        <f>IF(OR(tblMovement[[#This Row],[Tonnes_t]]="",tblMovement[[#This Row],[Grade_gpt]]=""),0,tblMovement[[#This Row],[Tonnes_t]]*tblMovement[[#This Row],[Grade_gpt]]/cfg_TroyOz)</f>
        <v/>
      </c>
      <c r="O3083" s="59">
        <f>IF(tblMovement[[#This Row],[Is_Ore]]=1,tblMovement[[#This Row],[Contained_oz]],0)</f>
        <v/>
      </c>
    </row>
    <row r="3084">
      <c r="A3084" s="54" t="n"/>
      <c r="B3084" s="61" t="n"/>
      <c r="C3084" s="61" t="n"/>
      <c r="D3084" s="61" t="n"/>
      <c r="E3084" s="61" t="n"/>
      <c r="F3084" s="55" t="n"/>
      <c r="G3084" s="56" t="n"/>
      <c r="H3084" s="55" t="n"/>
      <c r="I3084" s="62" t="n"/>
      <c r="J3084" s="58" t="n"/>
      <c r="K3084" s="63">
        <f>IF(tblMovement[[#This Row],[Source]]="","",IFERROR(INDEX(tblSources[Type],MATCH(tblMovement[[#This Row],[Source]],tblSources[Source],0)),"?"))</f>
        <v/>
      </c>
      <c r="L3084" s="63">
        <f>IF(tblMovement[[#This Row],[Destination]]="","",IFERROR(INDEX(tblDestinations[Type],MATCH(tblMovement[[#This Row],[Destination]],tblDestinations[Destination],0)),"?"))</f>
        <v/>
      </c>
      <c r="M3084" s="64">
        <f>IF(tblMovement[[#This Row],[Material]]="","",IF(LEFT(tblMovement[[#This Row],[Material]],3)="Ore",1,0))</f>
        <v/>
      </c>
      <c r="N3084" s="59">
        <f>IF(OR(tblMovement[[#This Row],[Tonnes_t]]="",tblMovement[[#This Row],[Grade_gpt]]=""),0,tblMovement[[#This Row],[Tonnes_t]]*tblMovement[[#This Row],[Grade_gpt]]/cfg_TroyOz)</f>
        <v/>
      </c>
      <c r="O3084" s="59">
        <f>IF(tblMovement[[#This Row],[Is_Ore]]=1,tblMovement[[#This Row],[Contained_oz]],0)</f>
        <v/>
      </c>
    </row>
    <row r="3085">
      <c r="A3085" s="54" t="n"/>
      <c r="B3085" s="61" t="n"/>
      <c r="C3085" s="61" t="n"/>
      <c r="D3085" s="61" t="n"/>
      <c r="E3085" s="61" t="n"/>
      <c r="F3085" s="55" t="n"/>
      <c r="G3085" s="56" t="n"/>
      <c r="H3085" s="55" t="n"/>
      <c r="I3085" s="62" t="n"/>
      <c r="J3085" s="58" t="n"/>
      <c r="K3085" s="63">
        <f>IF(tblMovement[[#This Row],[Source]]="","",IFERROR(INDEX(tblSources[Type],MATCH(tblMovement[[#This Row],[Source]],tblSources[Source],0)),"?"))</f>
        <v/>
      </c>
      <c r="L3085" s="63">
        <f>IF(tblMovement[[#This Row],[Destination]]="","",IFERROR(INDEX(tblDestinations[Type],MATCH(tblMovement[[#This Row],[Destination]],tblDestinations[Destination],0)),"?"))</f>
        <v/>
      </c>
      <c r="M3085" s="64">
        <f>IF(tblMovement[[#This Row],[Material]]="","",IF(LEFT(tblMovement[[#This Row],[Material]],3)="Ore",1,0))</f>
        <v/>
      </c>
      <c r="N3085" s="59">
        <f>IF(OR(tblMovement[[#This Row],[Tonnes_t]]="",tblMovement[[#This Row],[Grade_gpt]]=""),0,tblMovement[[#This Row],[Tonnes_t]]*tblMovement[[#This Row],[Grade_gpt]]/cfg_TroyOz)</f>
        <v/>
      </c>
      <c r="O3085" s="59">
        <f>IF(tblMovement[[#This Row],[Is_Ore]]=1,tblMovement[[#This Row],[Contained_oz]],0)</f>
        <v/>
      </c>
    </row>
    <row r="3086">
      <c r="A3086" s="54" t="n"/>
      <c r="B3086" s="61" t="n"/>
      <c r="C3086" s="61" t="n"/>
      <c r="D3086" s="61" t="n"/>
      <c r="E3086" s="61" t="n"/>
      <c r="F3086" s="55" t="n"/>
      <c r="G3086" s="56" t="n"/>
      <c r="H3086" s="55" t="n"/>
      <c r="I3086" s="62" t="n"/>
      <c r="J3086" s="58" t="n"/>
      <c r="K3086" s="63">
        <f>IF(tblMovement[[#This Row],[Source]]="","",IFERROR(INDEX(tblSources[Type],MATCH(tblMovement[[#This Row],[Source]],tblSources[Source],0)),"?"))</f>
        <v/>
      </c>
      <c r="L3086" s="63">
        <f>IF(tblMovement[[#This Row],[Destination]]="","",IFERROR(INDEX(tblDestinations[Type],MATCH(tblMovement[[#This Row],[Destination]],tblDestinations[Destination],0)),"?"))</f>
        <v/>
      </c>
      <c r="M3086" s="64">
        <f>IF(tblMovement[[#This Row],[Material]]="","",IF(LEFT(tblMovement[[#This Row],[Material]],3)="Ore",1,0))</f>
        <v/>
      </c>
      <c r="N3086" s="59">
        <f>IF(OR(tblMovement[[#This Row],[Tonnes_t]]="",tblMovement[[#This Row],[Grade_gpt]]=""),0,tblMovement[[#This Row],[Tonnes_t]]*tblMovement[[#This Row],[Grade_gpt]]/cfg_TroyOz)</f>
        <v/>
      </c>
      <c r="O3086" s="59">
        <f>IF(tblMovement[[#This Row],[Is_Ore]]=1,tblMovement[[#This Row],[Contained_oz]],0)</f>
        <v/>
      </c>
    </row>
    <row r="3087">
      <c r="A3087" s="54" t="n"/>
      <c r="B3087" s="61" t="n"/>
      <c r="C3087" s="61" t="n"/>
      <c r="D3087" s="61" t="n"/>
      <c r="E3087" s="61" t="n"/>
      <c r="F3087" s="55" t="n"/>
      <c r="G3087" s="56" t="n"/>
      <c r="H3087" s="55" t="n"/>
      <c r="I3087" s="62" t="n"/>
      <c r="J3087" s="58" t="n"/>
      <c r="K3087" s="63">
        <f>IF(tblMovement[[#This Row],[Source]]="","",IFERROR(INDEX(tblSources[Type],MATCH(tblMovement[[#This Row],[Source]],tblSources[Source],0)),"?"))</f>
        <v/>
      </c>
      <c r="L3087" s="63">
        <f>IF(tblMovement[[#This Row],[Destination]]="","",IFERROR(INDEX(tblDestinations[Type],MATCH(tblMovement[[#This Row],[Destination]],tblDestinations[Destination],0)),"?"))</f>
        <v/>
      </c>
      <c r="M3087" s="64">
        <f>IF(tblMovement[[#This Row],[Material]]="","",IF(LEFT(tblMovement[[#This Row],[Material]],3)="Ore",1,0))</f>
        <v/>
      </c>
      <c r="N3087" s="59">
        <f>IF(OR(tblMovement[[#This Row],[Tonnes_t]]="",tblMovement[[#This Row],[Grade_gpt]]=""),0,tblMovement[[#This Row],[Tonnes_t]]*tblMovement[[#This Row],[Grade_gpt]]/cfg_TroyOz)</f>
        <v/>
      </c>
      <c r="O3087" s="59">
        <f>IF(tblMovement[[#This Row],[Is_Ore]]=1,tblMovement[[#This Row],[Contained_oz]],0)</f>
        <v/>
      </c>
    </row>
    <row r="3088">
      <c r="A3088" s="54" t="n"/>
      <c r="B3088" s="61" t="n"/>
      <c r="C3088" s="61" t="n"/>
      <c r="D3088" s="61" t="n"/>
      <c r="E3088" s="61" t="n"/>
      <c r="F3088" s="55" t="n"/>
      <c r="G3088" s="56" t="n"/>
      <c r="H3088" s="55" t="n"/>
      <c r="I3088" s="62" t="n"/>
      <c r="J3088" s="58" t="n"/>
      <c r="K3088" s="63">
        <f>IF(tblMovement[[#This Row],[Source]]="","",IFERROR(INDEX(tblSources[Type],MATCH(tblMovement[[#This Row],[Source]],tblSources[Source],0)),"?"))</f>
        <v/>
      </c>
      <c r="L3088" s="63">
        <f>IF(tblMovement[[#This Row],[Destination]]="","",IFERROR(INDEX(tblDestinations[Type],MATCH(tblMovement[[#This Row],[Destination]],tblDestinations[Destination],0)),"?"))</f>
        <v/>
      </c>
      <c r="M3088" s="64">
        <f>IF(tblMovement[[#This Row],[Material]]="","",IF(LEFT(tblMovement[[#This Row],[Material]],3)="Ore",1,0))</f>
        <v/>
      </c>
      <c r="N3088" s="59">
        <f>IF(OR(tblMovement[[#This Row],[Tonnes_t]]="",tblMovement[[#This Row],[Grade_gpt]]=""),0,tblMovement[[#This Row],[Tonnes_t]]*tblMovement[[#This Row],[Grade_gpt]]/cfg_TroyOz)</f>
        <v/>
      </c>
      <c r="O3088" s="59">
        <f>IF(tblMovement[[#This Row],[Is_Ore]]=1,tblMovement[[#This Row],[Contained_oz]],0)</f>
        <v/>
      </c>
    </row>
    <row r="3089">
      <c r="A3089" s="54" t="n"/>
      <c r="B3089" s="61" t="n"/>
      <c r="C3089" s="61" t="n"/>
      <c r="D3089" s="61" t="n"/>
      <c r="E3089" s="61" t="n"/>
      <c r="F3089" s="55" t="n"/>
      <c r="G3089" s="56" t="n"/>
      <c r="H3089" s="55" t="n"/>
      <c r="I3089" s="62" t="n"/>
      <c r="J3089" s="58" t="n"/>
      <c r="K3089" s="63">
        <f>IF(tblMovement[[#This Row],[Source]]="","",IFERROR(INDEX(tblSources[Type],MATCH(tblMovement[[#This Row],[Source]],tblSources[Source],0)),"?"))</f>
        <v/>
      </c>
      <c r="L3089" s="63">
        <f>IF(tblMovement[[#This Row],[Destination]]="","",IFERROR(INDEX(tblDestinations[Type],MATCH(tblMovement[[#This Row],[Destination]],tblDestinations[Destination],0)),"?"))</f>
        <v/>
      </c>
      <c r="M3089" s="64">
        <f>IF(tblMovement[[#This Row],[Material]]="","",IF(LEFT(tblMovement[[#This Row],[Material]],3)="Ore",1,0))</f>
        <v/>
      </c>
      <c r="N3089" s="59">
        <f>IF(OR(tblMovement[[#This Row],[Tonnes_t]]="",tblMovement[[#This Row],[Grade_gpt]]=""),0,tblMovement[[#This Row],[Tonnes_t]]*tblMovement[[#This Row],[Grade_gpt]]/cfg_TroyOz)</f>
        <v/>
      </c>
      <c r="O3089" s="59">
        <f>IF(tblMovement[[#This Row],[Is_Ore]]=1,tblMovement[[#This Row],[Contained_oz]],0)</f>
        <v/>
      </c>
    </row>
    <row r="3090">
      <c r="A3090" s="54" t="n"/>
      <c r="B3090" s="61" t="n"/>
      <c r="C3090" s="61" t="n"/>
      <c r="D3090" s="61" t="n"/>
      <c r="E3090" s="61" t="n"/>
      <c r="F3090" s="55" t="n"/>
      <c r="G3090" s="56" t="n"/>
      <c r="H3090" s="55" t="n"/>
      <c r="I3090" s="62" t="n"/>
      <c r="J3090" s="58" t="n"/>
      <c r="K3090" s="63">
        <f>IF(tblMovement[[#This Row],[Source]]="","",IFERROR(INDEX(tblSources[Type],MATCH(tblMovement[[#This Row],[Source]],tblSources[Source],0)),"?"))</f>
        <v/>
      </c>
      <c r="L3090" s="63">
        <f>IF(tblMovement[[#This Row],[Destination]]="","",IFERROR(INDEX(tblDestinations[Type],MATCH(tblMovement[[#This Row],[Destination]],tblDestinations[Destination],0)),"?"))</f>
        <v/>
      </c>
      <c r="M3090" s="64">
        <f>IF(tblMovement[[#This Row],[Material]]="","",IF(LEFT(tblMovement[[#This Row],[Material]],3)="Ore",1,0))</f>
        <v/>
      </c>
      <c r="N3090" s="59">
        <f>IF(OR(tblMovement[[#This Row],[Tonnes_t]]="",tblMovement[[#This Row],[Grade_gpt]]=""),0,tblMovement[[#This Row],[Tonnes_t]]*tblMovement[[#This Row],[Grade_gpt]]/cfg_TroyOz)</f>
        <v/>
      </c>
      <c r="O3090" s="59">
        <f>IF(tblMovement[[#This Row],[Is_Ore]]=1,tblMovement[[#This Row],[Contained_oz]],0)</f>
        <v/>
      </c>
    </row>
    <row r="3091">
      <c r="A3091" s="54" t="n"/>
      <c r="B3091" s="61" t="n"/>
      <c r="C3091" s="61" t="n"/>
      <c r="D3091" s="61" t="n"/>
      <c r="E3091" s="61" t="n"/>
      <c r="F3091" s="55" t="n"/>
      <c r="G3091" s="56" t="n"/>
      <c r="H3091" s="55" t="n"/>
      <c r="I3091" s="62" t="n"/>
      <c r="J3091" s="58" t="n"/>
      <c r="K3091" s="63">
        <f>IF(tblMovement[[#This Row],[Source]]="","",IFERROR(INDEX(tblSources[Type],MATCH(tblMovement[[#This Row],[Source]],tblSources[Source],0)),"?"))</f>
        <v/>
      </c>
      <c r="L3091" s="63">
        <f>IF(tblMovement[[#This Row],[Destination]]="","",IFERROR(INDEX(tblDestinations[Type],MATCH(tblMovement[[#This Row],[Destination]],tblDestinations[Destination],0)),"?"))</f>
        <v/>
      </c>
      <c r="M3091" s="64">
        <f>IF(tblMovement[[#This Row],[Material]]="","",IF(LEFT(tblMovement[[#This Row],[Material]],3)="Ore",1,0))</f>
        <v/>
      </c>
      <c r="N3091" s="59">
        <f>IF(OR(tblMovement[[#This Row],[Tonnes_t]]="",tblMovement[[#This Row],[Grade_gpt]]=""),0,tblMovement[[#This Row],[Tonnes_t]]*tblMovement[[#This Row],[Grade_gpt]]/cfg_TroyOz)</f>
        <v/>
      </c>
      <c r="O3091" s="59">
        <f>IF(tblMovement[[#This Row],[Is_Ore]]=1,tblMovement[[#This Row],[Contained_oz]],0)</f>
        <v/>
      </c>
    </row>
    <row r="3092">
      <c r="A3092" s="54" t="n"/>
      <c r="B3092" s="61" t="n"/>
      <c r="C3092" s="61" t="n"/>
      <c r="D3092" s="61" t="n"/>
      <c r="E3092" s="61" t="n"/>
      <c r="F3092" s="55" t="n"/>
      <c r="G3092" s="56" t="n"/>
      <c r="H3092" s="55" t="n"/>
      <c r="I3092" s="62" t="n"/>
      <c r="J3092" s="58" t="n"/>
      <c r="K3092" s="63">
        <f>IF(tblMovement[[#This Row],[Source]]="","",IFERROR(INDEX(tblSources[Type],MATCH(tblMovement[[#This Row],[Source]],tblSources[Source],0)),"?"))</f>
        <v/>
      </c>
      <c r="L3092" s="63">
        <f>IF(tblMovement[[#This Row],[Destination]]="","",IFERROR(INDEX(tblDestinations[Type],MATCH(tblMovement[[#This Row],[Destination]],tblDestinations[Destination],0)),"?"))</f>
        <v/>
      </c>
      <c r="M3092" s="64">
        <f>IF(tblMovement[[#This Row],[Material]]="","",IF(LEFT(tblMovement[[#This Row],[Material]],3)="Ore",1,0))</f>
        <v/>
      </c>
      <c r="N3092" s="59">
        <f>IF(OR(tblMovement[[#This Row],[Tonnes_t]]="",tblMovement[[#This Row],[Grade_gpt]]=""),0,tblMovement[[#This Row],[Tonnes_t]]*tblMovement[[#This Row],[Grade_gpt]]/cfg_TroyOz)</f>
        <v/>
      </c>
      <c r="O3092" s="59">
        <f>IF(tblMovement[[#This Row],[Is_Ore]]=1,tblMovement[[#This Row],[Contained_oz]],0)</f>
        <v/>
      </c>
    </row>
    <row r="3093">
      <c r="A3093" s="54" t="n"/>
      <c r="B3093" s="61" t="n"/>
      <c r="C3093" s="61" t="n"/>
      <c r="D3093" s="61" t="n"/>
      <c r="E3093" s="61" t="n"/>
      <c r="F3093" s="55" t="n"/>
      <c r="G3093" s="56" t="n"/>
      <c r="H3093" s="55" t="n"/>
      <c r="I3093" s="62" t="n"/>
      <c r="J3093" s="58" t="n"/>
      <c r="K3093" s="63">
        <f>IF(tblMovement[[#This Row],[Source]]="","",IFERROR(INDEX(tblSources[Type],MATCH(tblMovement[[#This Row],[Source]],tblSources[Source],0)),"?"))</f>
        <v/>
      </c>
      <c r="L3093" s="63">
        <f>IF(tblMovement[[#This Row],[Destination]]="","",IFERROR(INDEX(tblDestinations[Type],MATCH(tblMovement[[#This Row],[Destination]],tblDestinations[Destination],0)),"?"))</f>
        <v/>
      </c>
      <c r="M3093" s="64">
        <f>IF(tblMovement[[#This Row],[Material]]="","",IF(LEFT(tblMovement[[#This Row],[Material]],3)="Ore",1,0))</f>
        <v/>
      </c>
      <c r="N3093" s="59">
        <f>IF(OR(tblMovement[[#This Row],[Tonnes_t]]="",tblMovement[[#This Row],[Grade_gpt]]=""),0,tblMovement[[#This Row],[Tonnes_t]]*tblMovement[[#This Row],[Grade_gpt]]/cfg_TroyOz)</f>
        <v/>
      </c>
      <c r="O3093" s="59">
        <f>IF(tblMovement[[#This Row],[Is_Ore]]=1,tblMovement[[#This Row],[Contained_oz]],0)</f>
        <v/>
      </c>
    </row>
    <row r="3094">
      <c r="A3094" s="54" t="n"/>
      <c r="B3094" s="61" t="n"/>
      <c r="C3094" s="61" t="n"/>
      <c r="D3094" s="61" t="n"/>
      <c r="E3094" s="61" t="n"/>
      <c r="F3094" s="55" t="n"/>
      <c r="G3094" s="56" t="n"/>
      <c r="H3094" s="55" t="n"/>
      <c r="I3094" s="62" t="n"/>
      <c r="J3094" s="58" t="n"/>
      <c r="K3094" s="63">
        <f>IF(tblMovement[[#This Row],[Source]]="","",IFERROR(INDEX(tblSources[Type],MATCH(tblMovement[[#This Row],[Source]],tblSources[Source],0)),"?"))</f>
        <v/>
      </c>
      <c r="L3094" s="63">
        <f>IF(tblMovement[[#This Row],[Destination]]="","",IFERROR(INDEX(tblDestinations[Type],MATCH(tblMovement[[#This Row],[Destination]],tblDestinations[Destination],0)),"?"))</f>
        <v/>
      </c>
      <c r="M3094" s="64">
        <f>IF(tblMovement[[#This Row],[Material]]="","",IF(LEFT(tblMovement[[#This Row],[Material]],3)="Ore",1,0))</f>
        <v/>
      </c>
      <c r="N3094" s="59">
        <f>IF(OR(tblMovement[[#This Row],[Tonnes_t]]="",tblMovement[[#This Row],[Grade_gpt]]=""),0,tblMovement[[#This Row],[Tonnes_t]]*tblMovement[[#This Row],[Grade_gpt]]/cfg_TroyOz)</f>
        <v/>
      </c>
      <c r="O3094" s="59">
        <f>IF(tblMovement[[#This Row],[Is_Ore]]=1,tblMovement[[#This Row],[Contained_oz]],0)</f>
        <v/>
      </c>
    </row>
    <row r="3095">
      <c r="A3095" s="54" t="n"/>
      <c r="B3095" s="61" t="n"/>
      <c r="C3095" s="61" t="n"/>
      <c r="D3095" s="61" t="n"/>
      <c r="E3095" s="61" t="n"/>
      <c r="F3095" s="55" t="n"/>
      <c r="G3095" s="56" t="n"/>
      <c r="H3095" s="55" t="n"/>
      <c r="I3095" s="62" t="n"/>
      <c r="J3095" s="58" t="n"/>
      <c r="K3095" s="63">
        <f>IF(tblMovement[[#This Row],[Source]]="","",IFERROR(INDEX(tblSources[Type],MATCH(tblMovement[[#This Row],[Source]],tblSources[Source],0)),"?"))</f>
        <v/>
      </c>
      <c r="L3095" s="63">
        <f>IF(tblMovement[[#This Row],[Destination]]="","",IFERROR(INDEX(tblDestinations[Type],MATCH(tblMovement[[#This Row],[Destination]],tblDestinations[Destination],0)),"?"))</f>
        <v/>
      </c>
      <c r="M3095" s="64">
        <f>IF(tblMovement[[#This Row],[Material]]="","",IF(LEFT(tblMovement[[#This Row],[Material]],3)="Ore",1,0))</f>
        <v/>
      </c>
      <c r="N3095" s="59">
        <f>IF(OR(tblMovement[[#This Row],[Tonnes_t]]="",tblMovement[[#This Row],[Grade_gpt]]=""),0,tblMovement[[#This Row],[Tonnes_t]]*tblMovement[[#This Row],[Grade_gpt]]/cfg_TroyOz)</f>
        <v/>
      </c>
      <c r="O3095" s="59">
        <f>IF(tblMovement[[#This Row],[Is_Ore]]=1,tblMovement[[#This Row],[Contained_oz]],0)</f>
        <v/>
      </c>
    </row>
    <row r="3096">
      <c r="A3096" s="54" t="n"/>
      <c r="B3096" s="61" t="n"/>
      <c r="C3096" s="61" t="n"/>
      <c r="D3096" s="61" t="n"/>
      <c r="E3096" s="61" t="n"/>
      <c r="F3096" s="55" t="n"/>
      <c r="G3096" s="56" t="n"/>
      <c r="H3096" s="55" t="n"/>
      <c r="I3096" s="62" t="n"/>
      <c r="J3096" s="58" t="n"/>
      <c r="K3096" s="63">
        <f>IF(tblMovement[[#This Row],[Source]]="","",IFERROR(INDEX(tblSources[Type],MATCH(tblMovement[[#This Row],[Source]],tblSources[Source],0)),"?"))</f>
        <v/>
      </c>
      <c r="L3096" s="63">
        <f>IF(tblMovement[[#This Row],[Destination]]="","",IFERROR(INDEX(tblDestinations[Type],MATCH(tblMovement[[#This Row],[Destination]],tblDestinations[Destination],0)),"?"))</f>
        <v/>
      </c>
      <c r="M3096" s="64">
        <f>IF(tblMovement[[#This Row],[Material]]="","",IF(LEFT(tblMovement[[#This Row],[Material]],3)="Ore",1,0))</f>
        <v/>
      </c>
      <c r="N3096" s="59">
        <f>IF(OR(tblMovement[[#This Row],[Tonnes_t]]="",tblMovement[[#This Row],[Grade_gpt]]=""),0,tblMovement[[#This Row],[Tonnes_t]]*tblMovement[[#This Row],[Grade_gpt]]/cfg_TroyOz)</f>
        <v/>
      </c>
      <c r="O3096" s="59">
        <f>IF(tblMovement[[#This Row],[Is_Ore]]=1,tblMovement[[#This Row],[Contained_oz]],0)</f>
        <v/>
      </c>
    </row>
    <row r="3097">
      <c r="A3097" s="54" t="n"/>
      <c r="B3097" s="61" t="n"/>
      <c r="C3097" s="61" t="n"/>
      <c r="D3097" s="61" t="n"/>
      <c r="E3097" s="61" t="n"/>
      <c r="F3097" s="55" t="n"/>
      <c r="G3097" s="56" t="n"/>
      <c r="H3097" s="55" t="n"/>
      <c r="I3097" s="62" t="n"/>
      <c r="J3097" s="58" t="n"/>
      <c r="K3097" s="63">
        <f>IF(tblMovement[[#This Row],[Source]]="","",IFERROR(INDEX(tblSources[Type],MATCH(tblMovement[[#This Row],[Source]],tblSources[Source],0)),"?"))</f>
        <v/>
      </c>
      <c r="L3097" s="63">
        <f>IF(tblMovement[[#This Row],[Destination]]="","",IFERROR(INDEX(tblDestinations[Type],MATCH(tblMovement[[#This Row],[Destination]],tblDestinations[Destination],0)),"?"))</f>
        <v/>
      </c>
      <c r="M3097" s="64">
        <f>IF(tblMovement[[#This Row],[Material]]="","",IF(LEFT(tblMovement[[#This Row],[Material]],3)="Ore",1,0))</f>
        <v/>
      </c>
      <c r="N3097" s="59">
        <f>IF(OR(tblMovement[[#This Row],[Tonnes_t]]="",tblMovement[[#This Row],[Grade_gpt]]=""),0,tblMovement[[#This Row],[Tonnes_t]]*tblMovement[[#This Row],[Grade_gpt]]/cfg_TroyOz)</f>
        <v/>
      </c>
      <c r="O3097" s="59">
        <f>IF(tblMovement[[#This Row],[Is_Ore]]=1,tblMovement[[#This Row],[Contained_oz]],0)</f>
        <v/>
      </c>
    </row>
    <row r="3098">
      <c r="A3098" s="54" t="n"/>
      <c r="B3098" s="61" t="n"/>
      <c r="C3098" s="61" t="n"/>
      <c r="D3098" s="61" t="n"/>
      <c r="E3098" s="61" t="n"/>
      <c r="F3098" s="55" t="n"/>
      <c r="G3098" s="56" t="n"/>
      <c r="H3098" s="55" t="n"/>
      <c r="I3098" s="62" t="n"/>
      <c r="J3098" s="58" t="n"/>
      <c r="K3098" s="63">
        <f>IF(tblMovement[[#This Row],[Source]]="","",IFERROR(INDEX(tblSources[Type],MATCH(tblMovement[[#This Row],[Source]],tblSources[Source],0)),"?"))</f>
        <v/>
      </c>
      <c r="L3098" s="63">
        <f>IF(tblMovement[[#This Row],[Destination]]="","",IFERROR(INDEX(tblDestinations[Type],MATCH(tblMovement[[#This Row],[Destination]],tblDestinations[Destination],0)),"?"))</f>
        <v/>
      </c>
      <c r="M3098" s="64">
        <f>IF(tblMovement[[#This Row],[Material]]="","",IF(LEFT(tblMovement[[#This Row],[Material]],3)="Ore",1,0))</f>
        <v/>
      </c>
      <c r="N3098" s="59">
        <f>IF(OR(tblMovement[[#This Row],[Tonnes_t]]="",tblMovement[[#This Row],[Grade_gpt]]=""),0,tblMovement[[#This Row],[Tonnes_t]]*tblMovement[[#This Row],[Grade_gpt]]/cfg_TroyOz)</f>
        <v/>
      </c>
      <c r="O3098" s="59">
        <f>IF(tblMovement[[#This Row],[Is_Ore]]=1,tblMovement[[#This Row],[Contained_oz]],0)</f>
        <v/>
      </c>
    </row>
    <row r="3099">
      <c r="A3099" s="54" t="n"/>
      <c r="B3099" s="61" t="n"/>
      <c r="C3099" s="61" t="n"/>
      <c r="D3099" s="61" t="n"/>
      <c r="E3099" s="61" t="n"/>
      <c r="F3099" s="55" t="n"/>
      <c r="G3099" s="56" t="n"/>
      <c r="H3099" s="55" t="n"/>
      <c r="I3099" s="62" t="n"/>
      <c r="J3099" s="58" t="n"/>
      <c r="K3099" s="63">
        <f>IF(tblMovement[[#This Row],[Source]]="","",IFERROR(INDEX(tblSources[Type],MATCH(tblMovement[[#This Row],[Source]],tblSources[Source],0)),"?"))</f>
        <v/>
      </c>
      <c r="L3099" s="63">
        <f>IF(tblMovement[[#This Row],[Destination]]="","",IFERROR(INDEX(tblDestinations[Type],MATCH(tblMovement[[#This Row],[Destination]],tblDestinations[Destination],0)),"?"))</f>
        <v/>
      </c>
      <c r="M3099" s="64">
        <f>IF(tblMovement[[#This Row],[Material]]="","",IF(LEFT(tblMovement[[#This Row],[Material]],3)="Ore",1,0))</f>
        <v/>
      </c>
      <c r="N3099" s="59">
        <f>IF(OR(tblMovement[[#This Row],[Tonnes_t]]="",tblMovement[[#This Row],[Grade_gpt]]=""),0,tblMovement[[#This Row],[Tonnes_t]]*tblMovement[[#This Row],[Grade_gpt]]/cfg_TroyOz)</f>
        <v/>
      </c>
      <c r="O3099" s="59">
        <f>IF(tblMovement[[#This Row],[Is_Ore]]=1,tblMovement[[#This Row],[Contained_oz]],0)</f>
        <v/>
      </c>
    </row>
    <row r="3100">
      <c r="A3100" s="54" t="n"/>
      <c r="B3100" s="61" t="n"/>
      <c r="C3100" s="61" t="n"/>
      <c r="D3100" s="61" t="n"/>
      <c r="E3100" s="61" t="n"/>
      <c r="F3100" s="55" t="n"/>
      <c r="G3100" s="56" t="n"/>
      <c r="H3100" s="55" t="n"/>
      <c r="I3100" s="62" t="n"/>
      <c r="J3100" s="58" t="n"/>
      <c r="K3100" s="63">
        <f>IF(tblMovement[[#This Row],[Source]]="","",IFERROR(INDEX(tblSources[Type],MATCH(tblMovement[[#This Row],[Source]],tblSources[Source],0)),"?"))</f>
        <v/>
      </c>
      <c r="L3100" s="63">
        <f>IF(tblMovement[[#This Row],[Destination]]="","",IFERROR(INDEX(tblDestinations[Type],MATCH(tblMovement[[#This Row],[Destination]],tblDestinations[Destination],0)),"?"))</f>
        <v/>
      </c>
      <c r="M3100" s="64">
        <f>IF(tblMovement[[#This Row],[Material]]="","",IF(LEFT(tblMovement[[#This Row],[Material]],3)="Ore",1,0))</f>
        <v/>
      </c>
      <c r="N3100" s="59">
        <f>IF(OR(tblMovement[[#This Row],[Tonnes_t]]="",tblMovement[[#This Row],[Grade_gpt]]=""),0,tblMovement[[#This Row],[Tonnes_t]]*tblMovement[[#This Row],[Grade_gpt]]/cfg_TroyOz)</f>
        <v/>
      </c>
      <c r="O3100" s="59">
        <f>IF(tblMovement[[#This Row],[Is_Ore]]=1,tblMovement[[#This Row],[Contained_oz]],0)</f>
        <v/>
      </c>
    </row>
    <row r="3101">
      <c r="A3101" s="54" t="n"/>
      <c r="B3101" s="61" t="n"/>
      <c r="C3101" s="61" t="n"/>
      <c r="D3101" s="61" t="n"/>
      <c r="E3101" s="61" t="n"/>
      <c r="F3101" s="55" t="n"/>
      <c r="G3101" s="56" t="n"/>
      <c r="H3101" s="55" t="n"/>
      <c r="I3101" s="62" t="n"/>
      <c r="J3101" s="58" t="n"/>
      <c r="K3101" s="63">
        <f>IF(tblMovement[[#This Row],[Source]]="","",IFERROR(INDEX(tblSources[Type],MATCH(tblMovement[[#This Row],[Source]],tblSources[Source],0)),"?"))</f>
        <v/>
      </c>
      <c r="L3101" s="63">
        <f>IF(tblMovement[[#This Row],[Destination]]="","",IFERROR(INDEX(tblDestinations[Type],MATCH(tblMovement[[#This Row],[Destination]],tblDestinations[Destination],0)),"?"))</f>
        <v/>
      </c>
      <c r="M3101" s="64">
        <f>IF(tblMovement[[#This Row],[Material]]="","",IF(LEFT(tblMovement[[#This Row],[Material]],3)="Ore",1,0))</f>
        <v/>
      </c>
      <c r="N3101" s="59">
        <f>IF(OR(tblMovement[[#This Row],[Tonnes_t]]="",tblMovement[[#This Row],[Grade_gpt]]=""),0,tblMovement[[#This Row],[Tonnes_t]]*tblMovement[[#This Row],[Grade_gpt]]/cfg_TroyOz)</f>
        <v/>
      </c>
      <c r="O3101" s="59">
        <f>IF(tblMovement[[#This Row],[Is_Ore]]=1,tblMovement[[#This Row],[Contained_oz]],0)</f>
        <v/>
      </c>
    </row>
    <row r="3102">
      <c r="A3102" s="54" t="n"/>
      <c r="B3102" s="61" t="n"/>
      <c r="C3102" s="61" t="n"/>
      <c r="D3102" s="61" t="n"/>
      <c r="E3102" s="61" t="n"/>
      <c r="F3102" s="55" t="n"/>
      <c r="G3102" s="56" t="n"/>
      <c r="H3102" s="55" t="n"/>
      <c r="I3102" s="62" t="n"/>
      <c r="J3102" s="58" t="n"/>
      <c r="K3102" s="63">
        <f>IF(tblMovement[[#This Row],[Source]]="","",IFERROR(INDEX(tblSources[Type],MATCH(tblMovement[[#This Row],[Source]],tblSources[Source],0)),"?"))</f>
        <v/>
      </c>
      <c r="L3102" s="63">
        <f>IF(tblMovement[[#This Row],[Destination]]="","",IFERROR(INDEX(tblDestinations[Type],MATCH(tblMovement[[#This Row],[Destination]],tblDestinations[Destination],0)),"?"))</f>
        <v/>
      </c>
      <c r="M3102" s="64">
        <f>IF(tblMovement[[#This Row],[Material]]="","",IF(LEFT(tblMovement[[#This Row],[Material]],3)="Ore",1,0))</f>
        <v/>
      </c>
      <c r="N3102" s="59">
        <f>IF(OR(tblMovement[[#This Row],[Tonnes_t]]="",tblMovement[[#This Row],[Grade_gpt]]=""),0,tblMovement[[#This Row],[Tonnes_t]]*tblMovement[[#This Row],[Grade_gpt]]/cfg_TroyOz)</f>
        <v/>
      </c>
      <c r="O3102" s="59">
        <f>IF(tblMovement[[#This Row],[Is_Ore]]=1,tblMovement[[#This Row],[Contained_oz]],0)</f>
        <v/>
      </c>
    </row>
    <row r="3103">
      <c r="A3103" s="54" t="n"/>
      <c r="B3103" s="61" t="n"/>
      <c r="C3103" s="61" t="n"/>
      <c r="D3103" s="61" t="n"/>
      <c r="E3103" s="61" t="n"/>
      <c r="F3103" s="55" t="n"/>
      <c r="G3103" s="56" t="n"/>
      <c r="H3103" s="55" t="n"/>
      <c r="I3103" s="62" t="n"/>
      <c r="J3103" s="58" t="n"/>
      <c r="K3103" s="63">
        <f>IF(tblMovement[[#This Row],[Source]]="","",IFERROR(INDEX(tblSources[Type],MATCH(tblMovement[[#This Row],[Source]],tblSources[Source],0)),"?"))</f>
        <v/>
      </c>
      <c r="L3103" s="63">
        <f>IF(tblMovement[[#This Row],[Destination]]="","",IFERROR(INDEX(tblDestinations[Type],MATCH(tblMovement[[#This Row],[Destination]],tblDestinations[Destination],0)),"?"))</f>
        <v/>
      </c>
      <c r="M3103" s="64">
        <f>IF(tblMovement[[#This Row],[Material]]="","",IF(LEFT(tblMovement[[#This Row],[Material]],3)="Ore",1,0))</f>
        <v/>
      </c>
      <c r="N3103" s="59">
        <f>IF(OR(tblMovement[[#This Row],[Tonnes_t]]="",tblMovement[[#This Row],[Grade_gpt]]=""),0,tblMovement[[#This Row],[Tonnes_t]]*tblMovement[[#This Row],[Grade_gpt]]/cfg_TroyOz)</f>
        <v/>
      </c>
      <c r="O3103" s="59">
        <f>IF(tblMovement[[#This Row],[Is_Ore]]=1,tblMovement[[#This Row],[Contained_oz]],0)</f>
        <v/>
      </c>
    </row>
    <row r="3104">
      <c r="A3104" s="54" t="n"/>
      <c r="B3104" s="61" t="n"/>
      <c r="C3104" s="61" t="n"/>
      <c r="D3104" s="61" t="n"/>
      <c r="E3104" s="61" t="n"/>
      <c r="F3104" s="55" t="n"/>
      <c r="G3104" s="56" t="n"/>
      <c r="H3104" s="55" t="n"/>
      <c r="I3104" s="62" t="n"/>
      <c r="J3104" s="58" t="n"/>
      <c r="K3104" s="63">
        <f>IF(tblMovement[[#This Row],[Source]]="","",IFERROR(INDEX(tblSources[Type],MATCH(tblMovement[[#This Row],[Source]],tblSources[Source],0)),"?"))</f>
        <v/>
      </c>
      <c r="L3104" s="63">
        <f>IF(tblMovement[[#This Row],[Destination]]="","",IFERROR(INDEX(tblDestinations[Type],MATCH(tblMovement[[#This Row],[Destination]],tblDestinations[Destination],0)),"?"))</f>
        <v/>
      </c>
      <c r="M3104" s="64">
        <f>IF(tblMovement[[#This Row],[Material]]="","",IF(LEFT(tblMovement[[#This Row],[Material]],3)="Ore",1,0))</f>
        <v/>
      </c>
      <c r="N3104" s="59">
        <f>IF(OR(tblMovement[[#This Row],[Tonnes_t]]="",tblMovement[[#This Row],[Grade_gpt]]=""),0,tblMovement[[#This Row],[Tonnes_t]]*tblMovement[[#This Row],[Grade_gpt]]/cfg_TroyOz)</f>
        <v/>
      </c>
      <c r="O3104" s="59">
        <f>IF(tblMovement[[#This Row],[Is_Ore]]=1,tblMovement[[#This Row],[Contained_oz]],0)</f>
        <v/>
      </c>
    </row>
    <row r="3105">
      <c r="A3105" s="54" t="n"/>
      <c r="B3105" s="61" t="n"/>
      <c r="C3105" s="61" t="n"/>
      <c r="D3105" s="61" t="n"/>
      <c r="E3105" s="61" t="n"/>
      <c r="F3105" s="55" t="n"/>
      <c r="G3105" s="56" t="n"/>
      <c r="H3105" s="55" t="n"/>
      <c r="I3105" s="62" t="n"/>
      <c r="J3105" s="58" t="n"/>
      <c r="K3105" s="63">
        <f>IF(tblMovement[[#This Row],[Source]]="","",IFERROR(INDEX(tblSources[Type],MATCH(tblMovement[[#This Row],[Source]],tblSources[Source],0)),"?"))</f>
        <v/>
      </c>
      <c r="L3105" s="63">
        <f>IF(tblMovement[[#This Row],[Destination]]="","",IFERROR(INDEX(tblDestinations[Type],MATCH(tblMovement[[#This Row],[Destination]],tblDestinations[Destination],0)),"?"))</f>
        <v/>
      </c>
      <c r="M3105" s="64">
        <f>IF(tblMovement[[#This Row],[Material]]="","",IF(LEFT(tblMovement[[#This Row],[Material]],3)="Ore",1,0))</f>
        <v/>
      </c>
      <c r="N3105" s="59">
        <f>IF(OR(tblMovement[[#This Row],[Tonnes_t]]="",tblMovement[[#This Row],[Grade_gpt]]=""),0,tblMovement[[#This Row],[Tonnes_t]]*tblMovement[[#This Row],[Grade_gpt]]/cfg_TroyOz)</f>
        <v/>
      </c>
      <c r="O3105" s="59">
        <f>IF(tblMovement[[#This Row],[Is_Ore]]=1,tblMovement[[#This Row],[Contained_oz]],0)</f>
        <v/>
      </c>
    </row>
    <row r="3106">
      <c r="A3106" s="54" t="n"/>
      <c r="B3106" s="61" t="n"/>
      <c r="C3106" s="61" t="n"/>
      <c r="D3106" s="61" t="n"/>
      <c r="E3106" s="61" t="n"/>
      <c r="F3106" s="55" t="n"/>
      <c r="G3106" s="56" t="n"/>
      <c r="H3106" s="55" t="n"/>
      <c r="I3106" s="62" t="n"/>
      <c r="J3106" s="58" t="n"/>
      <c r="K3106" s="63">
        <f>IF(tblMovement[[#This Row],[Source]]="","",IFERROR(INDEX(tblSources[Type],MATCH(tblMovement[[#This Row],[Source]],tblSources[Source],0)),"?"))</f>
        <v/>
      </c>
      <c r="L3106" s="63">
        <f>IF(tblMovement[[#This Row],[Destination]]="","",IFERROR(INDEX(tblDestinations[Type],MATCH(tblMovement[[#This Row],[Destination]],tblDestinations[Destination],0)),"?"))</f>
        <v/>
      </c>
      <c r="M3106" s="64">
        <f>IF(tblMovement[[#This Row],[Material]]="","",IF(LEFT(tblMovement[[#This Row],[Material]],3)="Ore",1,0))</f>
        <v/>
      </c>
      <c r="N3106" s="59">
        <f>IF(OR(tblMovement[[#This Row],[Tonnes_t]]="",tblMovement[[#This Row],[Grade_gpt]]=""),0,tblMovement[[#This Row],[Tonnes_t]]*tblMovement[[#This Row],[Grade_gpt]]/cfg_TroyOz)</f>
        <v/>
      </c>
      <c r="O3106" s="59">
        <f>IF(tblMovement[[#This Row],[Is_Ore]]=1,tblMovement[[#This Row],[Contained_oz]],0)</f>
        <v/>
      </c>
    </row>
    <row r="3107">
      <c r="A3107" s="54" t="n"/>
      <c r="B3107" s="61" t="n"/>
      <c r="C3107" s="61" t="n"/>
      <c r="D3107" s="61" t="n"/>
      <c r="E3107" s="61" t="n"/>
      <c r="F3107" s="55" t="n"/>
      <c r="G3107" s="56" t="n"/>
      <c r="H3107" s="55" t="n"/>
      <c r="I3107" s="62" t="n"/>
      <c r="J3107" s="58" t="n"/>
      <c r="K3107" s="63">
        <f>IF(tblMovement[[#This Row],[Source]]="","",IFERROR(INDEX(tblSources[Type],MATCH(tblMovement[[#This Row],[Source]],tblSources[Source],0)),"?"))</f>
        <v/>
      </c>
      <c r="L3107" s="63">
        <f>IF(tblMovement[[#This Row],[Destination]]="","",IFERROR(INDEX(tblDestinations[Type],MATCH(tblMovement[[#This Row],[Destination]],tblDestinations[Destination],0)),"?"))</f>
        <v/>
      </c>
      <c r="M3107" s="64">
        <f>IF(tblMovement[[#This Row],[Material]]="","",IF(LEFT(tblMovement[[#This Row],[Material]],3)="Ore",1,0))</f>
        <v/>
      </c>
      <c r="N3107" s="59">
        <f>IF(OR(tblMovement[[#This Row],[Tonnes_t]]="",tblMovement[[#This Row],[Grade_gpt]]=""),0,tblMovement[[#This Row],[Tonnes_t]]*tblMovement[[#This Row],[Grade_gpt]]/cfg_TroyOz)</f>
        <v/>
      </c>
      <c r="O3107" s="59">
        <f>IF(tblMovement[[#This Row],[Is_Ore]]=1,tblMovement[[#This Row],[Contained_oz]],0)</f>
        <v/>
      </c>
    </row>
    <row r="3108">
      <c r="A3108" s="54" t="n"/>
      <c r="B3108" s="61" t="n"/>
      <c r="C3108" s="61" t="n"/>
      <c r="D3108" s="61" t="n"/>
      <c r="E3108" s="61" t="n"/>
      <c r="F3108" s="55" t="n"/>
      <c r="G3108" s="56" t="n"/>
      <c r="H3108" s="55" t="n"/>
      <c r="I3108" s="62" t="n"/>
      <c r="J3108" s="58" t="n"/>
      <c r="K3108" s="63">
        <f>IF(tblMovement[[#This Row],[Source]]="","",IFERROR(INDEX(tblSources[Type],MATCH(tblMovement[[#This Row],[Source]],tblSources[Source],0)),"?"))</f>
        <v/>
      </c>
      <c r="L3108" s="63">
        <f>IF(tblMovement[[#This Row],[Destination]]="","",IFERROR(INDEX(tblDestinations[Type],MATCH(tblMovement[[#This Row],[Destination]],tblDestinations[Destination],0)),"?"))</f>
        <v/>
      </c>
      <c r="M3108" s="64">
        <f>IF(tblMovement[[#This Row],[Material]]="","",IF(LEFT(tblMovement[[#This Row],[Material]],3)="Ore",1,0))</f>
        <v/>
      </c>
      <c r="N3108" s="59">
        <f>IF(OR(tblMovement[[#This Row],[Tonnes_t]]="",tblMovement[[#This Row],[Grade_gpt]]=""),0,tblMovement[[#This Row],[Tonnes_t]]*tblMovement[[#This Row],[Grade_gpt]]/cfg_TroyOz)</f>
        <v/>
      </c>
      <c r="O3108" s="59">
        <f>IF(tblMovement[[#This Row],[Is_Ore]]=1,tblMovement[[#This Row],[Contained_oz]],0)</f>
        <v/>
      </c>
    </row>
    <row r="3109">
      <c r="A3109" s="54" t="n"/>
      <c r="B3109" s="61" t="n"/>
      <c r="C3109" s="61" t="n"/>
      <c r="D3109" s="61" t="n"/>
      <c r="E3109" s="61" t="n"/>
      <c r="F3109" s="55" t="n"/>
      <c r="G3109" s="56" t="n"/>
      <c r="H3109" s="55" t="n"/>
      <c r="I3109" s="62" t="n"/>
      <c r="J3109" s="58" t="n"/>
      <c r="K3109" s="63">
        <f>IF(tblMovement[[#This Row],[Source]]="","",IFERROR(INDEX(tblSources[Type],MATCH(tblMovement[[#This Row],[Source]],tblSources[Source],0)),"?"))</f>
        <v/>
      </c>
      <c r="L3109" s="63">
        <f>IF(tblMovement[[#This Row],[Destination]]="","",IFERROR(INDEX(tblDestinations[Type],MATCH(tblMovement[[#This Row],[Destination]],tblDestinations[Destination],0)),"?"))</f>
        <v/>
      </c>
      <c r="M3109" s="64">
        <f>IF(tblMovement[[#This Row],[Material]]="","",IF(LEFT(tblMovement[[#This Row],[Material]],3)="Ore",1,0))</f>
        <v/>
      </c>
      <c r="N3109" s="59">
        <f>IF(OR(tblMovement[[#This Row],[Tonnes_t]]="",tblMovement[[#This Row],[Grade_gpt]]=""),0,tblMovement[[#This Row],[Tonnes_t]]*tblMovement[[#This Row],[Grade_gpt]]/cfg_TroyOz)</f>
        <v/>
      </c>
      <c r="O3109" s="59">
        <f>IF(tblMovement[[#This Row],[Is_Ore]]=1,tblMovement[[#This Row],[Contained_oz]],0)</f>
        <v/>
      </c>
    </row>
    <row r="3110">
      <c r="A3110" s="54" t="n"/>
      <c r="B3110" s="61" t="n"/>
      <c r="C3110" s="61" t="n"/>
      <c r="D3110" s="61" t="n"/>
      <c r="E3110" s="61" t="n"/>
      <c r="F3110" s="55" t="n"/>
      <c r="G3110" s="56" t="n"/>
      <c r="H3110" s="55" t="n"/>
      <c r="I3110" s="62" t="n"/>
      <c r="J3110" s="58" t="n"/>
      <c r="K3110" s="63">
        <f>IF(tblMovement[[#This Row],[Source]]="","",IFERROR(INDEX(tblSources[Type],MATCH(tblMovement[[#This Row],[Source]],tblSources[Source],0)),"?"))</f>
        <v/>
      </c>
      <c r="L3110" s="63">
        <f>IF(tblMovement[[#This Row],[Destination]]="","",IFERROR(INDEX(tblDestinations[Type],MATCH(tblMovement[[#This Row],[Destination]],tblDestinations[Destination],0)),"?"))</f>
        <v/>
      </c>
      <c r="M3110" s="64">
        <f>IF(tblMovement[[#This Row],[Material]]="","",IF(LEFT(tblMovement[[#This Row],[Material]],3)="Ore",1,0))</f>
        <v/>
      </c>
      <c r="N3110" s="59">
        <f>IF(OR(tblMovement[[#This Row],[Tonnes_t]]="",tblMovement[[#This Row],[Grade_gpt]]=""),0,tblMovement[[#This Row],[Tonnes_t]]*tblMovement[[#This Row],[Grade_gpt]]/cfg_TroyOz)</f>
        <v/>
      </c>
      <c r="O3110" s="59">
        <f>IF(tblMovement[[#This Row],[Is_Ore]]=1,tblMovement[[#This Row],[Contained_oz]],0)</f>
        <v/>
      </c>
    </row>
    <row r="3111">
      <c r="A3111" s="54" t="n"/>
      <c r="B3111" s="61" t="n"/>
      <c r="C3111" s="61" t="n"/>
      <c r="D3111" s="61" t="n"/>
      <c r="E3111" s="61" t="n"/>
      <c r="F3111" s="55" t="n"/>
      <c r="G3111" s="56" t="n"/>
      <c r="H3111" s="55" t="n"/>
      <c r="I3111" s="62" t="n"/>
      <c r="J3111" s="58" t="n"/>
      <c r="K3111" s="63">
        <f>IF(tblMovement[[#This Row],[Source]]="","",IFERROR(INDEX(tblSources[Type],MATCH(tblMovement[[#This Row],[Source]],tblSources[Source],0)),"?"))</f>
        <v/>
      </c>
      <c r="L3111" s="63">
        <f>IF(tblMovement[[#This Row],[Destination]]="","",IFERROR(INDEX(tblDestinations[Type],MATCH(tblMovement[[#This Row],[Destination]],tblDestinations[Destination],0)),"?"))</f>
        <v/>
      </c>
      <c r="M3111" s="64">
        <f>IF(tblMovement[[#This Row],[Material]]="","",IF(LEFT(tblMovement[[#This Row],[Material]],3)="Ore",1,0))</f>
        <v/>
      </c>
      <c r="N3111" s="59">
        <f>IF(OR(tblMovement[[#This Row],[Tonnes_t]]="",tblMovement[[#This Row],[Grade_gpt]]=""),0,tblMovement[[#This Row],[Tonnes_t]]*tblMovement[[#This Row],[Grade_gpt]]/cfg_TroyOz)</f>
        <v/>
      </c>
      <c r="O3111" s="59">
        <f>IF(tblMovement[[#This Row],[Is_Ore]]=1,tblMovement[[#This Row],[Contained_oz]],0)</f>
        <v/>
      </c>
    </row>
    <row r="3112">
      <c r="A3112" s="54" t="n"/>
      <c r="B3112" s="61" t="n"/>
      <c r="C3112" s="61" t="n"/>
      <c r="D3112" s="61" t="n"/>
      <c r="E3112" s="61" t="n"/>
      <c r="F3112" s="55" t="n"/>
      <c r="G3112" s="56" t="n"/>
      <c r="H3112" s="55" t="n"/>
      <c r="I3112" s="62" t="n"/>
      <c r="J3112" s="58" t="n"/>
      <c r="K3112" s="63">
        <f>IF(tblMovement[[#This Row],[Source]]="","",IFERROR(INDEX(tblSources[Type],MATCH(tblMovement[[#This Row],[Source]],tblSources[Source],0)),"?"))</f>
        <v/>
      </c>
      <c r="L3112" s="63">
        <f>IF(tblMovement[[#This Row],[Destination]]="","",IFERROR(INDEX(tblDestinations[Type],MATCH(tblMovement[[#This Row],[Destination]],tblDestinations[Destination],0)),"?"))</f>
        <v/>
      </c>
      <c r="M3112" s="64">
        <f>IF(tblMovement[[#This Row],[Material]]="","",IF(LEFT(tblMovement[[#This Row],[Material]],3)="Ore",1,0))</f>
        <v/>
      </c>
      <c r="N3112" s="59">
        <f>IF(OR(tblMovement[[#This Row],[Tonnes_t]]="",tblMovement[[#This Row],[Grade_gpt]]=""),0,tblMovement[[#This Row],[Tonnes_t]]*tblMovement[[#This Row],[Grade_gpt]]/cfg_TroyOz)</f>
        <v/>
      </c>
      <c r="O3112" s="59">
        <f>IF(tblMovement[[#This Row],[Is_Ore]]=1,tblMovement[[#This Row],[Contained_oz]],0)</f>
        <v/>
      </c>
    </row>
    <row r="3113">
      <c r="A3113" s="54" t="n"/>
      <c r="B3113" s="61" t="n"/>
      <c r="C3113" s="61" t="n"/>
      <c r="D3113" s="61" t="n"/>
      <c r="E3113" s="61" t="n"/>
      <c r="F3113" s="55" t="n"/>
      <c r="G3113" s="56" t="n"/>
      <c r="H3113" s="55" t="n"/>
      <c r="I3113" s="62" t="n"/>
      <c r="J3113" s="58" t="n"/>
      <c r="K3113" s="63">
        <f>IF(tblMovement[[#This Row],[Source]]="","",IFERROR(INDEX(tblSources[Type],MATCH(tblMovement[[#This Row],[Source]],tblSources[Source],0)),"?"))</f>
        <v/>
      </c>
      <c r="L3113" s="63">
        <f>IF(tblMovement[[#This Row],[Destination]]="","",IFERROR(INDEX(tblDestinations[Type],MATCH(tblMovement[[#This Row],[Destination]],tblDestinations[Destination],0)),"?"))</f>
        <v/>
      </c>
      <c r="M3113" s="64">
        <f>IF(tblMovement[[#This Row],[Material]]="","",IF(LEFT(tblMovement[[#This Row],[Material]],3)="Ore",1,0))</f>
        <v/>
      </c>
      <c r="N3113" s="59">
        <f>IF(OR(tblMovement[[#This Row],[Tonnes_t]]="",tblMovement[[#This Row],[Grade_gpt]]=""),0,tblMovement[[#This Row],[Tonnes_t]]*tblMovement[[#This Row],[Grade_gpt]]/cfg_TroyOz)</f>
        <v/>
      </c>
      <c r="O3113" s="59">
        <f>IF(tblMovement[[#This Row],[Is_Ore]]=1,tblMovement[[#This Row],[Contained_oz]],0)</f>
        <v/>
      </c>
    </row>
    <row r="3114">
      <c r="A3114" s="54" t="n"/>
      <c r="B3114" s="61" t="n"/>
      <c r="C3114" s="61" t="n"/>
      <c r="D3114" s="61" t="n"/>
      <c r="E3114" s="61" t="n"/>
      <c r="F3114" s="55" t="n"/>
      <c r="G3114" s="56" t="n"/>
      <c r="H3114" s="55" t="n"/>
      <c r="I3114" s="62" t="n"/>
      <c r="J3114" s="58" t="n"/>
      <c r="K3114" s="63">
        <f>IF(tblMovement[[#This Row],[Source]]="","",IFERROR(INDEX(tblSources[Type],MATCH(tblMovement[[#This Row],[Source]],tblSources[Source],0)),"?"))</f>
        <v/>
      </c>
      <c r="L3114" s="63">
        <f>IF(tblMovement[[#This Row],[Destination]]="","",IFERROR(INDEX(tblDestinations[Type],MATCH(tblMovement[[#This Row],[Destination]],tblDestinations[Destination],0)),"?"))</f>
        <v/>
      </c>
      <c r="M3114" s="64">
        <f>IF(tblMovement[[#This Row],[Material]]="","",IF(LEFT(tblMovement[[#This Row],[Material]],3)="Ore",1,0))</f>
        <v/>
      </c>
      <c r="N3114" s="59">
        <f>IF(OR(tblMovement[[#This Row],[Tonnes_t]]="",tblMovement[[#This Row],[Grade_gpt]]=""),0,tblMovement[[#This Row],[Tonnes_t]]*tblMovement[[#This Row],[Grade_gpt]]/cfg_TroyOz)</f>
        <v/>
      </c>
      <c r="O3114" s="59">
        <f>IF(tblMovement[[#This Row],[Is_Ore]]=1,tblMovement[[#This Row],[Contained_oz]],0)</f>
        <v/>
      </c>
    </row>
    <row r="3115">
      <c r="A3115" s="54" t="n"/>
      <c r="B3115" s="61" t="n"/>
      <c r="C3115" s="61" t="n"/>
      <c r="D3115" s="61" t="n"/>
      <c r="E3115" s="61" t="n"/>
      <c r="F3115" s="55" t="n"/>
      <c r="G3115" s="56" t="n"/>
      <c r="H3115" s="55" t="n"/>
      <c r="I3115" s="62" t="n"/>
      <c r="J3115" s="58" t="n"/>
      <c r="K3115" s="63">
        <f>IF(tblMovement[[#This Row],[Source]]="","",IFERROR(INDEX(tblSources[Type],MATCH(tblMovement[[#This Row],[Source]],tblSources[Source],0)),"?"))</f>
        <v/>
      </c>
      <c r="L3115" s="63">
        <f>IF(tblMovement[[#This Row],[Destination]]="","",IFERROR(INDEX(tblDestinations[Type],MATCH(tblMovement[[#This Row],[Destination]],tblDestinations[Destination],0)),"?"))</f>
        <v/>
      </c>
      <c r="M3115" s="64">
        <f>IF(tblMovement[[#This Row],[Material]]="","",IF(LEFT(tblMovement[[#This Row],[Material]],3)="Ore",1,0))</f>
        <v/>
      </c>
      <c r="N3115" s="59">
        <f>IF(OR(tblMovement[[#This Row],[Tonnes_t]]="",tblMovement[[#This Row],[Grade_gpt]]=""),0,tblMovement[[#This Row],[Tonnes_t]]*tblMovement[[#This Row],[Grade_gpt]]/cfg_TroyOz)</f>
        <v/>
      </c>
      <c r="O3115" s="59">
        <f>IF(tblMovement[[#This Row],[Is_Ore]]=1,tblMovement[[#This Row],[Contained_oz]],0)</f>
        <v/>
      </c>
    </row>
    <row r="3116">
      <c r="A3116" s="54" t="n"/>
      <c r="B3116" s="61" t="n"/>
      <c r="C3116" s="61" t="n"/>
      <c r="D3116" s="61" t="n"/>
      <c r="E3116" s="61" t="n"/>
      <c r="F3116" s="55" t="n"/>
      <c r="G3116" s="56" t="n"/>
      <c r="H3116" s="55" t="n"/>
      <c r="I3116" s="62" t="n"/>
      <c r="J3116" s="58" t="n"/>
      <c r="K3116" s="63">
        <f>IF(tblMovement[[#This Row],[Source]]="","",IFERROR(INDEX(tblSources[Type],MATCH(tblMovement[[#This Row],[Source]],tblSources[Source],0)),"?"))</f>
        <v/>
      </c>
      <c r="L3116" s="63">
        <f>IF(tblMovement[[#This Row],[Destination]]="","",IFERROR(INDEX(tblDestinations[Type],MATCH(tblMovement[[#This Row],[Destination]],tblDestinations[Destination],0)),"?"))</f>
        <v/>
      </c>
      <c r="M3116" s="64">
        <f>IF(tblMovement[[#This Row],[Material]]="","",IF(LEFT(tblMovement[[#This Row],[Material]],3)="Ore",1,0))</f>
        <v/>
      </c>
      <c r="N3116" s="59">
        <f>IF(OR(tblMovement[[#This Row],[Tonnes_t]]="",tblMovement[[#This Row],[Grade_gpt]]=""),0,tblMovement[[#This Row],[Tonnes_t]]*tblMovement[[#This Row],[Grade_gpt]]/cfg_TroyOz)</f>
        <v/>
      </c>
      <c r="O3116" s="59">
        <f>IF(tblMovement[[#This Row],[Is_Ore]]=1,tblMovement[[#This Row],[Contained_oz]],0)</f>
        <v/>
      </c>
    </row>
    <row r="3117">
      <c r="A3117" s="54" t="n"/>
      <c r="B3117" s="61" t="n"/>
      <c r="C3117" s="61" t="n"/>
      <c r="D3117" s="61" t="n"/>
      <c r="E3117" s="61" t="n"/>
      <c r="F3117" s="55" t="n"/>
      <c r="G3117" s="56" t="n"/>
      <c r="H3117" s="55" t="n"/>
      <c r="I3117" s="62" t="n"/>
      <c r="J3117" s="58" t="n"/>
      <c r="K3117" s="63">
        <f>IF(tblMovement[[#This Row],[Source]]="","",IFERROR(INDEX(tblSources[Type],MATCH(tblMovement[[#This Row],[Source]],tblSources[Source],0)),"?"))</f>
        <v/>
      </c>
      <c r="L3117" s="63">
        <f>IF(tblMovement[[#This Row],[Destination]]="","",IFERROR(INDEX(tblDestinations[Type],MATCH(tblMovement[[#This Row],[Destination]],tblDestinations[Destination],0)),"?"))</f>
        <v/>
      </c>
      <c r="M3117" s="64">
        <f>IF(tblMovement[[#This Row],[Material]]="","",IF(LEFT(tblMovement[[#This Row],[Material]],3)="Ore",1,0))</f>
        <v/>
      </c>
      <c r="N3117" s="59">
        <f>IF(OR(tblMovement[[#This Row],[Tonnes_t]]="",tblMovement[[#This Row],[Grade_gpt]]=""),0,tblMovement[[#This Row],[Tonnes_t]]*tblMovement[[#This Row],[Grade_gpt]]/cfg_TroyOz)</f>
        <v/>
      </c>
      <c r="O3117" s="59">
        <f>IF(tblMovement[[#This Row],[Is_Ore]]=1,tblMovement[[#This Row],[Contained_oz]],0)</f>
        <v/>
      </c>
    </row>
    <row r="3118">
      <c r="A3118" s="54" t="n"/>
      <c r="B3118" s="61" t="n"/>
      <c r="C3118" s="61" t="n"/>
      <c r="D3118" s="61" t="n"/>
      <c r="E3118" s="61" t="n"/>
      <c r="F3118" s="55" t="n"/>
      <c r="G3118" s="56" t="n"/>
      <c r="H3118" s="55" t="n"/>
      <c r="I3118" s="62" t="n"/>
      <c r="J3118" s="58" t="n"/>
      <c r="K3118" s="63">
        <f>IF(tblMovement[[#This Row],[Source]]="","",IFERROR(INDEX(tblSources[Type],MATCH(tblMovement[[#This Row],[Source]],tblSources[Source],0)),"?"))</f>
        <v/>
      </c>
      <c r="L3118" s="63">
        <f>IF(tblMovement[[#This Row],[Destination]]="","",IFERROR(INDEX(tblDestinations[Type],MATCH(tblMovement[[#This Row],[Destination]],tblDestinations[Destination],0)),"?"))</f>
        <v/>
      </c>
      <c r="M3118" s="64">
        <f>IF(tblMovement[[#This Row],[Material]]="","",IF(LEFT(tblMovement[[#This Row],[Material]],3)="Ore",1,0))</f>
        <v/>
      </c>
      <c r="N3118" s="59">
        <f>IF(OR(tblMovement[[#This Row],[Tonnes_t]]="",tblMovement[[#This Row],[Grade_gpt]]=""),0,tblMovement[[#This Row],[Tonnes_t]]*tblMovement[[#This Row],[Grade_gpt]]/cfg_TroyOz)</f>
        <v/>
      </c>
      <c r="O3118" s="59">
        <f>IF(tblMovement[[#This Row],[Is_Ore]]=1,tblMovement[[#This Row],[Contained_oz]],0)</f>
        <v/>
      </c>
    </row>
    <row r="3119">
      <c r="A3119" s="54" t="n"/>
      <c r="B3119" s="61" t="n"/>
      <c r="C3119" s="61" t="n"/>
      <c r="D3119" s="61" t="n"/>
      <c r="E3119" s="61" t="n"/>
      <c r="F3119" s="55" t="n"/>
      <c r="G3119" s="56" t="n"/>
      <c r="H3119" s="55" t="n"/>
      <c r="I3119" s="62" t="n"/>
      <c r="J3119" s="58" t="n"/>
      <c r="K3119" s="63">
        <f>IF(tblMovement[[#This Row],[Source]]="","",IFERROR(INDEX(tblSources[Type],MATCH(tblMovement[[#This Row],[Source]],tblSources[Source],0)),"?"))</f>
        <v/>
      </c>
      <c r="L3119" s="63">
        <f>IF(tblMovement[[#This Row],[Destination]]="","",IFERROR(INDEX(tblDestinations[Type],MATCH(tblMovement[[#This Row],[Destination]],tblDestinations[Destination],0)),"?"))</f>
        <v/>
      </c>
      <c r="M3119" s="64">
        <f>IF(tblMovement[[#This Row],[Material]]="","",IF(LEFT(tblMovement[[#This Row],[Material]],3)="Ore",1,0))</f>
        <v/>
      </c>
      <c r="N3119" s="59">
        <f>IF(OR(tblMovement[[#This Row],[Tonnes_t]]="",tblMovement[[#This Row],[Grade_gpt]]=""),0,tblMovement[[#This Row],[Tonnes_t]]*tblMovement[[#This Row],[Grade_gpt]]/cfg_TroyOz)</f>
        <v/>
      </c>
      <c r="O3119" s="59">
        <f>IF(tblMovement[[#This Row],[Is_Ore]]=1,tblMovement[[#This Row],[Contained_oz]],0)</f>
        <v/>
      </c>
    </row>
    <row r="3120">
      <c r="A3120" s="54" t="n"/>
      <c r="B3120" s="61" t="n"/>
      <c r="C3120" s="61" t="n"/>
      <c r="D3120" s="61" t="n"/>
      <c r="E3120" s="61" t="n"/>
      <c r="F3120" s="55" t="n"/>
      <c r="G3120" s="56" t="n"/>
      <c r="H3120" s="55" t="n"/>
      <c r="I3120" s="62" t="n"/>
      <c r="J3120" s="58" t="n"/>
      <c r="K3120" s="63">
        <f>IF(tblMovement[[#This Row],[Source]]="","",IFERROR(INDEX(tblSources[Type],MATCH(tblMovement[[#This Row],[Source]],tblSources[Source],0)),"?"))</f>
        <v/>
      </c>
      <c r="L3120" s="63">
        <f>IF(tblMovement[[#This Row],[Destination]]="","",IFERROR(INDEX(tblDestinations[Type],MATCH(tblMovement[[#This Row],[Destination]],tblDestinations[Destination],0)),"?"))</f>
        <v/>
      </c>
      <c r="M3120" s="64">
        <f>IF(tblMovement[[#This Row],[Material]]="","",IF(LEFT(tblMovement[[#This Row],[Material]],3)="Ore",1,0))</f>
        <v/>
      </c>
      <c r="N3120" s="59">
        <f>IF(OR(tblMovement[[#This Row],[Tonnes_t]]="",tblMovement[[#This Row],[Grade_gpt]]=""),0,tblMovement[[#This Row],[Tonnes_t]]*tblMovement[[#This Row],[Grade_gpt]]/cfg_TroyOz)</f>
        <v/>
      </c>
      <c r="O3120" s="59">
        <f>IF(tblMovement[[#This Row],[Is_Ore]]=1,tblMovement[[#This Row],[Contained_oz]],0)</f>
        <v/>
      </c>
    </row>
    <row r="3121">
      <c r="A3121" s="54" t="n"/>
      <c r="B3121" s="61" t="n"/>
      <c r="C3121" s="61" t="n"/>
      <c r="D3121" s="61" t="n"/>
      <c r="E3121" s="61" t="n"/>
      <c r="F3121" s="55" t="n"/>
      <c r="G3121" s="56" t="n"/>
      <c r="H3121" s="55" t="n"/>
      <c r="I3121" s="62" t="n"/>
      <c r="J3121" s="58" t="n"/>
      <c r="K3121" s="63">
        <f>IF(tblMovement[[#This Row],[Source]]="","",IFERROR(INDEX(tblSources[Type],MATCH(tblMovement[[#This Row],[Source]],tblSources[Source],0)),"?"))</f>
        <v/>
      </c>
      <c r="L3121" s="63">
        <f>IF(tblMovement[[#This Row],[Destination]]="","",IFERROR(INDEX(tblDestinations[Type],MATCH(tblMovement[[#This Row],[Destination]],tblDestinations[Destination],0)),"?"))</f>
        <v/>
      </c>
      <c r="M3121" s="64">
        <f>IF(tblMovement[[#This Row],[Material]]="","",IF(LEFT(tblMovement[[#This Row],[Material]],3)="Ore",1,0))</f>
        <v/>
      </c>
      <c r="N3121" s="59">
        <f>IF(OR(tblMovement[[#This Row],[Tonnes_t]]="",tblMovement[[#This Row],[Grade_gpt]]=""),0,tblMovement[[#This Row],[Tonnes_t]]*tblMovement[[#This Row],[Grade_gpt]]/cfg_TroyOz)</f>
        <v/>
      </c>
      <c r="O3121" s="59">
        <f>IF(tblMovement[[#This Row],[Is_Ore]]=1,tblMovement[[#This Row],[Contained_oz]],0)</f>
        <v/>
      </c>
    </row>
    <row r="3122">
      <c r="A3122" s="54" t="n"/>
      <c r="B3122" s="61" t="n"/>
      <c r="C3122" s="61" t="n"/>
      <c r="D3122" s="61" t="n"/>
      <c r="E3122" s="61" t="n"/>
      <c r="F3122" s="55" t="n"/>
      <c r="G3122" s="56" t="n"/>
      <c r="H3122" s="55" t="n"/>
      <c r="I3122" s="62" t="n"/>
      <c r="J3122" s="58" t="n"/>
      <c r="K3122" s="63">
        <f>IF(tblMovement[[#This Row],[Source]]="","",IFERROR(INDEX(tblSources[Type],MATCH(tblMovement[[#This Row],[Source]],tblSources[Source],0)),"?"))</f>
        <v/>
      </c>
      <c r="L3122" s="63">
        <f>IF(tblMovement[[#This Row],[Destination]]="","",IFERROR(INDEX(tblDestinations[Type],MATCH(tblMovement[[#This Row],[Destination]],tblDestinations[Destination],0)),"?"))</f>
        <v/>
      </c>
      <c r="M3122" s="64">
        <f>IF(tblMovement[[#This Row],[Material]]="","",IF(LEFT(tblMovement[[#This Row],[Material]],3)="Ore",1,0))</f>
        <v/>
      </c>
      <c r="N3122" s="59">
        <f>IF(OR(tblMovement[[#This Row],[Tonnes_t]]="",tblMovement[[#This Row],[Grade_gpt]]=""),0,tblMovement[[#This Row],[Tonnes_t]]*tblMovement[[#This Row],[Grade_gpt]]/cfg_TroyOz)</f>
        <v/>
      </c>
      <c r="O3122" s="59">
        <f>IF(tblMovement[[#This Row],[Is_Ore]]=1,tblMovement[[#This Row],[Contained_oz]],0)</f>
        <v/>
      </c>
    </row>
    <row r="3123">
      <c r="A3123" s="54" t="n"/>
      <c r="B3123" s="61" t="n"/>
      <c r="C3123" s="61" t="n"/>
      <c r="D3123" s="61" t="n"/>
      <c r="E3123" s="61" t="n"/>
      <c r="F3123" s="55" t="n"/>
      <c r="G3123" s="56" t="n"/>
      <c r="H3123" s="55" t="n"/>
      <c r="I3123" s="62" t="n"/>
      <c r="J3123" s="58" t="n"/>
      <c r="K3123" s="63">
        <f>IF(tblMovement[[#This Row],[Source]]="","",IFERROR(INDEX(tblSources[Type],MATCH(tblMovement[[#This Row],[Source]],tblSources[Source],0)),"?"))</f>
        <v/>
      </c>
      <c r="L3123" s="63">
        <f>IF(tblMovement[[#This Row],[Destination]]="","",IFERROR(INDEX(tblDestinations[Type],MATCH(tblMovement[[#This Row],[Destination]],tblDestinations[Destination],0)),"?"))</f>
        <v/>
      </c>
      <c r="M3123" s="64">
        <f>IF(tblMovement[[#This Row],[Material]]="","",IF(LEFT(tblMovement[[#This Row],[Material]],3)="Ore",1,0))</f>
        <v/>
      </c>
      <c r="N3123" s="59">
        <f>IF(OR(tblMovement[[#This Row],[Tonnes_t]]="",tblMovement[[#This Row],[Grade_gpt]]=""),0,tblMovement[[#This Row],[Tonnes_t]]*tblMovement[[#This Row],[Grade_gpt]]/cfg_TroyOz)</f>
        <v/>
      </c>
      <c r="O3123" s="59">
        <f>IF(tblMovement[[#This Row],[Is_Ore]]=1,tblMovement[[#This Row],[Contained_oz]],0)</f>
        <v/>
      </c>
    </row>
    <row r="3124">
      <c r="A3124" s="54" t="n"/>
      <c r="B3124" s="61" t="n"/>
      <c r="C3124" s="61" t="n"/>
      <c r="D3124" s="61" t="n"/>
      <c r="E3124" s="61" t="n"/>
      <c r="F3124" s="55" t="n"/>
      <c r="G3124" s="56" t="n"/>
      <c r="H3124" s="55" t="n"/>
      <c r="I3124" s="62" t="n"/>
      <c r="J3124" s="58" t="n"/>
      <c r="K3124" s="63">
        <f>IF(tblMovement[[#This Row],[Source]]="","",IFERROR(INDEX(tblSources[Type],MATCH(tblMovement[[#This Row],[Source]],tblSources[Source],0)),"?"))</f>
        <v/>
      </c>
      <c r="L3124" s="63">
        <f>IF(tblMovement[[#This Row],[Destination]]="","",IFERROR(INDEX(tblDestinations[Type],MATCH(tblMovement[[#This Row],[Destination]],tblDestinations[Destination],0)),"?"))</f>
        <v/>
      </c>
      <c r="M3124" s="64">
        <f>IF(tblMovement[[#This Row],[Material]]="","",IF(LEFT(tblMovement[[#This Row],[Material]],3)="Ore",1,0))</f>
        <v/>
      </c>
      <c r="N3124" s="59">
        <f>IF(OR(tblMovement[[#This Row],[Tonnes_t]]="",tblMovement[[#This Row],[Grade_gpt]]=""),0,tblMovement[[#This Row],[Tonnes_t]]*tblMovement[[#This Row],[Grade_gpt]]/cfg_TroyOz)</f>
        <v/>
      </c>
      <c r="O3124" s="59">
        <f>IF(tblMovement[[#This Row],[Is_Ore]]=1,tblMovement[[#This Row],[Contained_oz]],0)</f>
        <v/>
      </c>
    </row>
    <row r="3125">
      <c r="A3125" s="54" t="n"/>
      <c r="B3125" s="61" t="n"/>
      <c r="C3125" s="61" t="n"/>
      <c r="D3125" s="61" t="n"/>
      <c r="E3125" s="61" t="n"/>
      <c r="F3125" s="55" t="n"/>
      <c r="G3125" s="56" t="n"/>
      <c r="H3125" s="55" t="n"/>
      <c r="I3125" s="62" t="n"/>
      <c r="J3125" s="58" t="n"/>
      <c r="K3125" s="63">
        <f>IF(tblMovement[[#This Row],[Source]]="","",IFERROR(INDEX(tblSources[Type],MATCH(tblMovement[[#This Row],[Source]],tblSources[Source],0)),"?"))</f>
        <v/>
      </c>
      <c r="L3125" s="63">
        <f>IF(tblMovement[[#This Row],[Destination]]="","",IFERROR(INDEX(tblDestinations[Type],MATCH(tblMovement[[#This Row],[Destination]],tblDestinations[Destination],0)),"?"))</f>
        <v/>
      </c>
      <c r="M3125" s="64">
        <f>IF(tblMovement[[#This Row],[Material]]="","",IF(LEFT(tblMovement[[#This Row],[Material]],3)="Ore",1,0))</f>
        <v/>
      </c>
      <c r="N3125" s="59">
        <f>IF(OR(tblMovement[[#This Row],[Tonnes_t]]="",tblMovement[[#This Row],[Grade_gpt]]=""),0,tblMovement[[#This Row],[Tonnes_t]]*tblMovement[[#This Row],[Grade_gpt]]/cfg_TroyOz)</f>
        <v/>
      </c>
      <c r="O3125" s="59">
        <f>IF(tblMovement[[#This Row],[Is_Ore]]=1,tblMovement[[#This Row],[Contained_oz]],0)</f>
        <v/>
      </c>
    </row>
    <row r="3126">
      <c r="A3126" s="54" t="n"/>
      <c r="B3126" s="61" t="n"/>
      <c r="C3126" s="61" t="n"/>
      <c r="D3126" s="61" t="n"/>
      <c r="E3126" s="61" t="n"/>
      <c r="F3126" s="55" t="n"/>
      <c r="G3126" s="56" t="n"/>
      <c r="H3126" s="55" t="n"/>
      <c r="I3126" s="62" t="n"/>
      <c r="J3126" s="58" t="n"/>
      <c r="K3126" s="63">
        <f>IF(tblMovement[[#This Row],[Source]]="","",IFERROR(INDEX(tblSources[Type],MATCH(tblMovement[[#This Row],[Source]],tblSources[Source],0)),"?"))</f>
        <v/>
      </c>
      <c r="L3126" s="63">
        <f>IF(tblMovement[[#This Row],[Destination]]="","",IFERROR(INDEX(tblDestinations[Type],MATCH(tblMovement[[#This Row],[Destination]],tblDestinations[Destination],0)),"?"))</f>
        <v/>
      </c>
      <c r="M3126" s="64">
        <f>IF(tblMovement[[#This Row],[Material]]="","",IF(LEFT(tblMovement[[#This Row],[Material]],3)="Ore",1,0))</f>
        <v/>
      </c>
      <c r="N3126" s="59">
        <f>IF(OR(tblMovement[[#This Row],[Tonnes_t]]="",tblMovement[[#This Row],[Grade_gpt]]=""),0,tblMovement[[#This Row],[Tonnes_t]]*tblMovement[[#This Row],[Grade_gpt]]/cfg_TroyOz)</f>
        <v/>
      </c>
      <c r="O3126" s="59">
        <f>IF(tblMovement[[#This Row],[Is_Ore]]=1,tblMovement[[#This Row],[Contained_oz]],0)</f>
        <v/>
      </c>
    </row>
    <row r="3127">
      <c r="A3127" s="54" t="n"/>
      <c r="B3127" s="61" t="n"/>
      <c r="C3127" s="61" t="n"/>
      <c r="D3127" s="61" t="n"/>
      <c r="E3127" s="61" t="n"/>
      <c r="F3127" s="55" t="n"/>
      <c r="G3127" s="56" t="n"/>
      <c r="H3127" s="55" t="n"/>
      <c r="I3127" s="62" t="n"/>
      <c r="J3127" s="58" t="n"/>
      <c r="K3127" s="63">
        <f>IF(tblMovement[[#This Row],[Source]]="","",IFERROR(INDEX(tblSources[Type],MATCH(tblMovement[[#This Row],[Source]],tblSources[Source],0)),"?"))</f>
        <v/>
      </c>
      <c r="L3127" s="63">
        <f>IF(tblMovement[[#This Row],[Destination]]="","",IFERROR(INDEX(tblDestinations[Type],MATCH(tblMovement[[#This Row],[Destination]],tblDestinations[Destination],0)),"?"))</f>
        <v/>
      </c>
      <c r="M3127" s="64">
        <f>IF(tblMovement[[#This Row],[Material]]="","",IF(LEFT(tblMovement[[#This Row],[Material]],3)="Ore",1,0))</f>
        <v/>
      </c>
      <c r="N3127" s="59">
        <f>IF(OR(tblMovement[[#This Row],[Tonnes_t]]="",tblMovement[[#This Row],[Grade_gpt]]=""),0,tblMovement[[#This Row],[Tonnes_t]]*tblMovement[[#This Row],[Grade_gpt]]/cfg_TroyOz)</f>
        <v/>
      </c>
      <c r="O3127" s="59">
        <f>IF(tblMovement[[#This Row],[Is_Ore]]=1,tblMovement[[#This Row],[Contained_oz]],0)</f>
        <v/>
      </c>
    </row>
    <row r="3128">
      <c r="A3128" s="54" t="n"/>
      <c r="B3128" s="61" t="n"/>
      <c r="C3128" s="61" t="n"/>
      <c r="D3128" s="61" t="n"/>
      <c r="E3128" s="61" t="n"/>
      <c r="F3128" s="55" t="n"/>
      <c r="G3128" s="56" t="n"/>
      <c r="H3128" s="55" t="n"/>
      <c r="I3128" s="62" t="n"/>
      <c r="J3128" s="58" t="n"/>
      <c r="K3128" s="63">
        <f>IF(tblMovement[[#This Row],[Source]]="","",IFERROR(INDEX(tblSources[Type],MATCH(tblMovement[[#This Row],[Source]],tblSources[Source],0)),"?"))</f>
        <v/>
      </c>
      <c r="L3128" s="63">
        <f>IF(tblMovement[[#This Row],[Destination]]="","",IFERROR(INDEX(tblDestinations[Type],MATCH(tblMovement[[#This Row],[Destination]],tblDestinations[Destination],0)),"?"))</f>
        <v/>
      </c>
      <c r="M3128" s="64">
        <f>IF(tblMovement[[#This Row],[Material]]="","",IF(LEFT(tblMovement[[#This Row],[Material]],3)="Ore",1,0))</f>
        <v/>
      </c>
      <c r="N3128" s="59">
        <f>IF(OR(tblMovement[[#This Row],[Tonnes_t]]="",tblMovement[[#This Row],[Grade_gpt]]=""),0,tblMovement[[#This Row],[Tonnes_t]]*tblMovement[[#This Row],[Grade_gpt]]/cfg_TroyOz)</f>
        <v/>
      </c>
      <c r="O3128" s="59">
        <f>IF(tblMovement[[#This Row],[Is_Ore]]=1,tblMovement[[#This Row],[Contained_oz]],0)</f>
        <v/>
      </c>
    </row>
    <row r="3129">
      <c r="A3129" s="54" t="n"/>
      <c r="B3129" s="61" t="n"/>
      <c r="C3129" s="61" t="n"/>
      <c r="D3129" s="61" t="n"/>
      <c r="E3129" s="61" t="n"/>
      <c r="F3129" s="55" t="n"/>
      <c r="G3129" s="56" t="n"/>
      <c r="H3129" s="55" t="n"/>
      <c r="I3129" s="62" t="n"/>
      <c r="J3129" s="58" t="n"/>
      <c r="K3129" s="63">
        <f>IF(tblMovement[[#This Row],[Source]]="","",IFERROR(INDEX(tblSources[Type],MATCH(tblMovement[[#This Row],[Source]],tblSources[Source],0)),"?"))</f>
        <v/>
      </c>
      <c r="L3129" s="63">
        <f>IF(tblMovement[[#This Row],[Destination]]="","",IFERROR(INDEX(tblDestinations[Type],MATCH(tblMovement[[#This Row],[Destination]],tblDestinations[Destination],0)),"?"))</f>
        <v/>
      </c>
      <c r="M3129" s="64">
        <f>IF(tblMovement[[#This Row],[Material]]="","",IF(LEFT(tblMovement[[#This Row],[Material]],3)="Ore",1,0))</f>
        <v/>
      </c>
      <c r="N3129" s="59">
        <f>IF(OR(tblMovement[[#This Row],[Tonnes_t]]="",tblMovement[[#This Row],[Grade_gpt]]=""),0,tblMovement[[#This Row],[Tonnes_t]]*tblMovement[[#This Row],[Grade_gpt]]/cfg_TroyOz)</f>
        <v/>
      </c>
      <c r="O3129" s="59">
        <f>IF(tblMovement[[#This Row],[Is_Ore]]=1,tblMovement[[#This Row],[Contained_oz]],0)</f>
        <v/>
      </c>
    </row>
    <row r="3130">
      <c r="A3130" s="54" t="n"/>
      <c r="B3130" s="61" t="n"/>
      <c r="C3130" s="61" t="n"/>
      <c r="D3130" s="61" t="n"/>
      <c r="E3130" s="61" t="n"/>
      <c r="F3130" s="55" t="n"/>
      <c r="G3130" s="56" t="n"/>
      <c r="H3130" s="55" t="n"/>
      <c r="I3130" s="62" t="n"/>
      <c r="J3130" s="58" t="n"/>
      <c r="K3130" s="63">
        <f>IF(tblMovement[[#This Row],[Source]]="","",IFERROR(INDEX(tblSources[Type],MATCH(tblMovement[[#This Row],[Source]],tblSources[Source],0)),"?"))</f>
        <v/>
      </c>
      <c r="L3130" s="63">
        <f>IF(tblMovement[[#This Row],[Destination]]="","",IFERROR(INDEX(tblDestinations[Type],MATCH(tblMovement[[#This Row],[Destination]],tblDestinations[Destination],0)),"?"))</f>
        <v/>
      </c>
      <c r="M3130" s="64">
        <f>IF(tblMovement[[#This Row],[Material]]="","",IF(LEFT(tblMovement[[#This Row],[Material]],3)="Ore",1,0))</f>
        <v/>
      </c>
      <c r="N3130" s="59">
        <f>IF(OR(tblMovement[[#This Row],[Tonnes_t]]="",tblMovement[[#This Row],[Grade_gpt]]=""),0,tblMovement[[#This Row],[Tonnes_t]]*tblMovement[[#This Row],[Grade_gpt]]/cfg_TroyOz)</f>
        <v/>
      </c>
      <c r="O3130" s="59">
        <f>IF(tblMovement[[#This Row],[Is_Ore]]=1,tblMovement[[#This Row],[Contained_oz]],0)</f>
        <v/>
      </c>
    </row>
    <row r="3131">
      <c r="A3131" s="54" t="n"/>
      <c r="B3131" s="61" t="n"/>
      <c r="C3131" s="61" t="n"/>
      <c r="D3131" s="61" t="n"/>
      <c r="E3131" s="61" t="n"/>
      <c r="F3131" s="55" t="n"/>
      <c r="G3131" s="56" t="n"/>
      <c r="H3131" s="55" t="n"/>
      <c r="I3131" s="62" t="n"/>
      <c r="J3131" s="58" t="n"/>
      <c r="K3131" s="63">
        <f>IF(tblMovement[[#This Row],[Source]]="","",IFERROR(INDEX(tblSources[Type],MATCH(tblMovement[[#This Row],[Source]],tblSources[Source],0)),"?"))</f>
        <v/>
      </c>
      <c r="L3131" s="63">
        <f>IF(tblMovement[[#This Row],[Destination]]="","",IFERROR(INDEX(tblDestinations[Type],MATCH(tblMovement[[#This Row],[Destination]],tblDestinations[Destination],0)),"?"))</f>
        <v/>
      </c>
      <c r="M3131" s="64">
        <f>IF(tblMovement[[#This Row],[Material]]="","",IF(LEFT(tblMovement[[#This Row],[Material]],3)="Ore",1,0))</f>
        <v/>
      </c>
      <c r="N3131" s="59">
        <f>IF(OR(tblMovement[[#This Row],[Tonnes_t]]="",tblMovement[[#This Row],[Grade_gpt]]=""),0,tblMovement[[#This Row],[Tonnes_t]]*tblMovement[[#This Row],[Grade_gpt]]/cfg_TroyOz)</f>
        <v/>
      </c>
      <c r="O3131" s="59">
        <f>IF(tblMovement[[#This Row],[Is_Ore]]=1,tblMovement[[#This Row],[Contained_oz]],0)</f>
        <v/>
      </c>
    </row>
    <row r="3132">
      <c r="A3132" s="54" t="n"/>
      <c r="B3132" s="61" t="n"/>
      <c r="C3132" s="61" t="n"/>
      <c r="D3132" s="61" t="n"/>
      <c r="E3132" s="61" t="n"/>
      <c r="F3132" s="55" t="n"/>
      <c r="G3132" s="56" t="n"/>
      <c r="H3132" s="55" t="n"/>
      <c r="I3132" s="62" t="n"/>
      <c r="J3132" s="58" t="n"/>
      <c r="K3132" s="63">
        <f>IF(tblMovement[[#This Row],[Source]]="","",IFERROR(INDEX(tblSources[Type],MATCH(tblMovement[[#This Row],[Source]],tblSources[Source],0)),"?"))</f>
        <v/>
      </c>
      <c r="L3132" s="63">
        <f>IF(tblMovement[[#This Row],[Destination]]="","",IFERROR(INDEX(tblDestinations[Type],MATCH(tblMovement[[#This Row],[Destination]],tblDestinations[Destination],0)),"?"))</f>
        <v/>
      </c>
      <c r="M3132" s="64">
        <f>IF(tblMovement[[#This Row],[Material]]="","",IF(LEFT(tblMovement[[#This Row],[Material]],3)="Ore",1,0))</f>
        <v/>
      </c>
      <c r="N3132" s="59">
        <f>IF(OR(tblMovement[[#This Row],[Tonnes_t]]="",tblMovement[[#This Row],[Grade_gpt]]=""),0,tblMovement[[#This Row],[Tonnes_t]]*tblMovement[[#This Row],[Grade_gpt]]/cfg_TroyOz)</f>
        <v/>
      </c>
      <c r="O3132" s="59">
        <f>IF(tblMovement[[#This Row],[Is_Ore]]=1,tblMovement[[#This Row],[Contained_oz]],0)</f>
        <v/>
      </c>
    </row>
    <row r="3133">
      <c r="A3133" s="54" t="n"/>
      <c r="B3133" s="61" t="n"/>
      <c r="C3133" s="61" t="n"/>
      <c r="D3133" s="61" t="n"/>
      <c r="E3133" s="61" t="n"/>
      <c r="F3133" s="55" t="n"/>
      <c r="G3133" s="56" t="n"/>
      <c r="H3133" s="55" t="n"/>
      <c r="I3133" s="62" t="n"/>
      <c r="J3133" s="58" t="n"/>
      <c r="K3133" s="63">
        <f>IF(tblMovement[[#This Row],[Source]]="","",IFERROR(INDEX(tblSources[Type],MATCH(tblMovement[[#This Row],[Source]],tblSources[Source],0)),"?"))</f>
        <v/>
      </c>
      <c r="L3133" s="63">
        <f>IF(tblMovement[[#This Row],[Destination]]="","",IFERROR(INDEX(tblDestinations[Type],MATCH(tblMovement[[#This Row],[Destination]],tblDestinations[Destination],0)),"?"))</f>
        <v/>
      </c>
      <c r="M3133" s="64">
        <f>IF(tblMovement[[#This Row],[Material]]="","",IF(LEFT(tblMovement[[#This Row],[Material]],3)="Ore",1,0))</f>
        <v/>
      </c>
      <c r="N3133" s="59">
        <f>IF(OR(tblMovement[[#This Row],[Tonnes_t]]="",tblMovement[[#This Row],[Grade_gpt]]=""),0,tblMovement[[#This Row],[Tonnes_t]]*tblMovement[[#This Row],[Grade_gpt]]/cfg_TroyOz)</f>
        <v/>
      </c>
      <c r="O3133" s="59">
        <f>IF(tblMovement[[#This Row],[Is_Ore]]=1,tblMovement[[#This Row],[Contained_oz]],0)</f>
        <v/>
      </c>
    </row>
    <row r="3134">
      <c r="A3134" s="54" t="n"/>
      <c r="B3134" s="61" t="n"/>
      <c r="C3134" s="61" t="n"/>
      <c r="D3134" s="61" t="n"/>
      <c r="E3134" s="61" t="n"/>
      <c r="F3134" s="55" t="n"/>
      <c r="G3134" s="56" t="n"/>
      <c r="H3134" s="55" t="n"/>
      <c r="I3134" s="62" t="n"/>
      <c r="J3134" s="58" t="n"/>
      <c r="K3134" s="63">
        <f>IF(tblMovement[[#This Row],[Source]]="","",IFERROR(INDEX(tblSources[Type],MATCH(tblMovement[[#This Row],[Source]],tblSources[Source],0)),"?"))</f>
        <v/>
      </c>
      <c r="L3134" s="63">
        <f>IF(tblMovement[[#This Row],[Destination]]="","",IFERROR(INDEX(tblDestinations[Type],MATCH(tblMovement[[#This Row],[Destination]],tblDestinations[Destination],0)),"?"))</f>
        <v/>
      </c>
      <c r="M3134" s="64">
        <f>IF(tblMovement[[#This Row],[Material]]="","",IF(LEFT(tblMovement[[#This Row],[Material]],3)="Ore",1,0))</f>
        <v/>
      </c>
      <c r="N3134" s="59">
        <f>IF(OR(tblMovement[[#This Row],[Tonnes_t]]="",tblMovement[[#This Row],[Grade_gpt]]=""),0,tblMovement[[#This Row],[Tonnes_t]]*tblMovement[[#This Row],[Grade_gpt]]/cfg_TroyOz)</f>
        <v/>
      </c>
      <c r="O3134" s="59">
        <f>IF(tblMovement[[#This Row],[Is_Ore]]=1,tblMovement[[#This Row],[Contained_oz]],0)</f>
        <v/>
      </c>
    </row>
    <row r="3135">
      <c r="A3135" s="54" t="n"/>
      <c r="B3135" s="61" t="n"/>
      <c r="C3135" s="61" t="n"/>
      <c r="D3135" s="61" t="n"/>
      <c r="E3135" s="61" t="n"/>
      <c r="F3135" s="55" t="n"/>
      <c r="G3135" s="56" t="n"/>
      <c r="H3135" s="55" t="n"/>
      <c r="I3135" s="62" t="n"/>
      <c r="J3135" s="58" t="n"/>
      <c r="K3135" s="63">
        <f>IF(tblMovement[[#This Row],[Source]]="","",IFERROR(INDEX(tblSources[Type],MATCH(tblMovement[[#This Row],[Source]],tblSources[Source],0)),"?"))</f>
        <v/>
      </c>
      <c r="L3135" s="63">
        <f>IF(tblMovement[[#This Row],[Destination]]="","",IFERROR(INDEX(tblDestinations[Type],MATCH(tblMovement[[#This Row],[Destination]],tblDestinations[Destination],0)),"?"))</f>
        <v/>
      </c>
      <c r="M3135" s="64">
        <f>IF(tblMovement[[#This Row],[Material]]="","",IF(LEFT(tblMovement[[#This Row],[Material]],3)="Ore",1,0))</f>
        <v/>
      </c>
      <c r="N3135" s="59">
        <f>IF(OR(tblMovement[[#This Row],[Tonnes_t]]="",tblMovement[[#This Row],[Grade_gpt]]=""),0,tblMovement[[#This Row],[Tonnes_t]]*tblMovement[[#This Row],[Grade_gpt]]/cfg_TroyOz)</f>
        <v/>
      </c>
      <c r="O3135" s="59">
        <f>IF(tblMovement[[#This Row],[Is_Ore]]=1,tblMovement[[#This Row],[Contained_oz]],0)</f>
        <v/>
      </c>
    </row>
    <row r="3136">
      <c r="A3136" s="54" t="n"/>
      <c r="B3136" s="61" t="n"/>
      <c r="C3136" s="61" t="n"/>
      <c r="D3136" s="61" t="n"/>
      <c r="E3136" s="61" t="n"/>
      <c r="F3136" s="55" t="n"/>
      <c r="G3136" s="56" t="n"/>
      <c r="H3136" s="55" t="n"/>
      <c r="I3136" s="62" t="n"/>
      <c r="J3136" s="58" t="n"/>
      <c r="K3136" s="63">
        <f>IF(tblMovement[[#This Row],[Source]]="","",IFERROR(INDEX(tblSources[Type],MATCH(tblMovement[[#This Row],[Source]],tblSources[Source],0)),"?"))</f>
        <v/>
      </c>
      <c r="L3136" s="63">
        <f>IF(tblMovement[[#This Row],[Destination]]="","",IFERROR(INDEX(tblDestinations[Type],MATCH(tblMovement[[#This Row],[Destination]],tblDestinations[Destination],0)),"?"))</f>
        <v/>
      </c>
      <c r="M3136" s="64">
        <f>IF(tblMovement[[#This Row],[Material]]="","",IF(LEFT(tblMovement[[#This Row],[Material]],3)="Ore",1,0))</f>
        <v/>
      </c>
      <c r="N3136" s="59">
        <f>IF(OR(tblMovement[[#This Row],[Tonnes_t]]="",tblMovement[[#This Row],[Grade_gpt]]=""),0,tblMovement[[#This Row],[Tonnes_t]]*tblMovement[[#This Row],[Grade_gpt]]/cfg_TroyOz)</f>
        <v/>
      </c>
      <c r="O3136" s="59">
        <f>IF(tblMovement[[#This Row],[Is_Ore]]=1,tblMovement[[#This Row],[Contained_oz]],0)</f>
        <v/>
      </c>
    </row>
    <row r="3137">
      <c r="A3137" s="54" t="n"/>
      <c r="B3137" s="61" t="n"/>
      <c r="C3137" s="61" t="n"/>
      <c r="D3137" s="61" t="n"/>
      <c r="E3137" s="61" t="n"/>
      <c r="F3137" s="55" t="n"/>
      <c r="G3137" s="56" t="n"/>
      <c r="H3137" s="55" t="n"/>
      <c r="I3137" s="62" t="n"/>
      <c r="J3137" s="58" t="n"/>
      <c r="K3137" s="63">
        <f>IF(tblMovement[[#This Row],[Source]]="","",IFERROR(INDEX(tblSources[Type],MATCH(tblMovement[[#This Row],[Source]],tblSources[Source],0)),"?"))</f>
        <v/>
      </c>
      <c r="L3137" s="63">
        <f>IF(tblMovement[[#This Row],[Destination]]="","",IFERROR(INDEX(tblDestinations[Type],MATCH(tblMovement[[#This Row],[Destination]],tblDestinations[Destination],0)),"?"))</f>
        <v/>
      </c>
      <c r="M3137" s="64">
        <f>IF(tblMovement[[#This Row],[Material]]="","",IF(LEFT(tblMovement[[#This Row],[Material]],3)="Ore",1,0))</f>
        <v/>
      </c>
      <c r="N3137" s="59">
        <f>IF(OR(tblMovement[[#This Row],[Tonnes_t]]="",tblMovement[[#This Row],[Grade_gpt]]=""),0,tblMovement[[#This Row],[Tonnes_t]]*tblMovement[[#This Row],[Grade_gpt]]/cfg_TroyOz)</f>
        <v/>
      </c>
      <c r="O3137" s="59">
        <f>IF(tblMovement[[#This Row],[Is_Ore]]=1,tblMovement[[#This Row],[Contained_oz]],0)</f>
        <v/>
      </c>
    </row>
    <row r="3138">
      <c r="A3138" s="54" t="n"/>
      <c r="B3138" s="61" t="n"/>
      <c r="C3138" s="61" t="n"/>
      <c r="D3138" s="61" t="n"/>
      <c r="E3138" s="61" t="n"/>
      <c r="F3138" s="55" t="n"/>
      <c r="G3138" s="56" t="n"/>
      <c r="H3138" s="55" t="n"/>
      <c r="I3138" s="62" t="n"/>
      <c r="J3138" s="58" t="n"/>
      <c r="K3138" s="63">
        <f>IF(tblMovement[[#This Row],[Source]]="","",IFERROR(INDEX(tblSources[Type],MATCH(tblMovement[[#This Row],[Source]],tblSources[Source],0)),"?"))</f>
        <v/>
      </c>
      <c r="L3138" s="63">
        <f>IF(tblMovement[[#This Row],[Destination]]="","",IFERROR(INDEX(tblDestinations[Type],MATCH(tblMovement[[#This Row],[Destination]],tblDestinations[Destination],0)),"?"))</f>
        <v/>
      </c>
      <c r="M3138" s="64">
        <f>IF(tblMovement[[#This Row],[Material]]="","",IF(LEFT(tblMovement[[#This Row],[Material]],3)="Ore",1,0))</f>
        <v/>
      </c>
      <c r="N3138" s="59">
        <f>IF(OR(tblMovement[[#This Row],[Tonnes_t]]="",tblMovement[[#This Row],[Grade_gpt]]=""),0,tblMovement[[#This Row],[Tonnes_t]]*tblMovement[[#This Row],[Grade_gpt]]/cfg_TroyOz)</f>
        <v/>
      </c>
      <c r="O3138" s="59">
        <f>IF(tblMovement[[#This Row],[Is_Ore]]=1,tblMovement[[#This Row],[Contained_oz]],0)</f>
        <v/>
      </c>
    </row>
    <row r="3139">
      <c r="A3139" s="54" t="n"/>
      <c r="B3139" s="61" t="n"/>
      <c r="C3139" s="61" t="n"/>
      <c r="D3139" s="61" t="n"/>
      <c r="E3139" s="61" t="n"/>
      <c r="F3139" s="55" t="n"/>
      <c r="G3139" s="56" t="n"/>
      <c r="H3139" s="55" t="n"/>
      <c r="I3139" s="62" t="n"/>
      <c r="J3139" s="58" t="n"/>
      <c r="K3139" s="63">
        <f>IF(tblMovement[[#This Row],[Source]]="","",IFERROR(INDEX(tblSources[Type],MATCH(tblMovement[[#This Row],[Source]],tblSources[Source],0)),"?"))</f>
        <v/>
      </c>
      <c r="L3139" s="63">
        <f>IF(tblMovement[[#This Row],[Destination]]="","",IFERROR(INDEX(tblDestinations[Type],MATCH(tblMovement[[#This Row],[Destination]],tblDestinations[Destination],0)),"?"))</f>
        <v/>
      </c>
      <c r="M3139" s="64">
        <f>IF(tblMovement[[#This Row],[Material]]="","",IF(LEFT(tblMovement[[#This Row],[Material]],3)="Ore",1,0))</f>
        <v/>
      </c>
      <c r="N3139" s="59">
        <f>IF(OR(tblMovement[[#This Row],[Tonnes_t]]="",tblMovement[[#This Row],[Grade_gpt]]=""),0,tblMovement[[#This Row],[Tonnes_t]]*tblMovement[[#This Row],[Grade_gpt]]/cfg_TroyOz)</f>
        <v/>
      </c>
      <c r="O3139" s="59">
        <f>IF(tblMovement[[#This Row],[Is_Ore]]=1,tblMovement[[#This Row],[Contained_oz]],0)</f>
        <v/>
      </c>
    </row>
    <row r="3140">
      <c r="A3140" s="54" t="n"/>
      <c r="B3140" s="61" t="n"/>
      <c r="C3140" s="61" t="n"/>
      <c r="D3140" s="61" t="n"/>
      <c r="E3140" s="61" t="n"/>
      <c r="F3140" s="55" t="n"/>
      <c r="G3140" s="56" t="n"/>
      <c r="H3140" s="55" t="n"/>
      <c r="I3140" s="62" t="n"/>
      <c r="J3140" s="58" t="n"/>
      <c r="K3140" s="63">
        <f>IF(tblMovement[[#This Row],[Source]]="","",IFERROR(INDEX(tblSources[Type],MATCH(tblMovement[[#This Row],[Source]],tblSources[Source],0)),"?"))</f>
        <v/>
      </c>
      <c r="L3140" s="63">
        <f>IF(tblMovement[[#This Row],[Destination]]="","",IFERROR(INDEX(tblDestinations[Type],MATCH(tblMovement[[#This Row],[Destination]],tblDestinations[Destination],0)),"?"))</f>
        <v/>
      </c>
      <c r="M3140" s="64">
        <f>IF(tblMovement[[#This Row],[Material]]="","",IF(LEFT(tblMovement[[#This Row],[Material]],3)="Ore",1,0))</f>
        <v/>
      </c>
      <c r="N3140" s="59">
        <f>IF(OR(tblMovement[[#This Row],[Tonnes_t]]="",tblMovement[[#This Row],[Grade_gpt]]=""),0,tblMovement[[#This Row],[Tonnes_t]]*tblMovement[[#This Row],[Grade_gpt]]/cfg_TroyOz)</f>
        <v/>
      </c>
      <c r="O3140" s="59">
        <f>IF(tblMovement[[#This Row],[Is_Ore]]=1,tblMovement[[#This Row],[Contained_oz]],0)</f>
        <v/>
      </c>
    </row>
    <row r="3141">
      <c r="A3141" s="54" t="n"/>
      <c r="B3141" s="61" t="n"/>
      <c r="C3141" s="61" t="n"/>
      <c r="D3141" s="61" t="n"/>
      <c r="E3141" s="61" t="n"/>
      <c r="F3141" s="55" t="n"/>
      <c r="G3141" s="56" t="n"/>
      <c r="H3141" s="55" t="n"/>
      <c r="I3141" s="62" t="n"/>
      <c r="J3141" s="58" t="n"/>
      <c r="K3141" s="63">
        <f>IF(tblMovement[[#This Row],[Source]]="","",IFERROR(INDEX(tblSources[Type],MATCH(tblMovement[[#This Row],[Source]],tblSources[Source],0)),"?"))</f>
        <v/>
      </c>
      <c r="L3141" s="63">
        <f>IF(tblMovement[[#This Row],[Destination]]="","",IFERROR(INDEX(tblDestinations[Type],MATCH(tblMovement[[#This Row],[Destination]],tblDestinations[Destination],0)),"?"))</f>
        <v/>
      </c>
      <c r="M3141" s="64">
        <f>IF(tblMovement[[#This Row],[Material]]="","",IF(LEFT(tblMovement[[#This Row],[Material]],3)="Ore",1,0))</f>
        <v/>
      </c>
      <c r="N3141" s="59">
        <f>IF(OR(tblMovement[[#This Row],[Tonnes_t]]="",tblMovement[[#This Row],[Grade_gpt]]=""),0,tblMovement[[#This Row],[Tonnes_t]]*tblMovement[[#This Row],[Grade_gpt]]/cfg_TroyOz)</f>
        <v/>
      </c>
      <c r="O3141" s="59">
        <f>IF(tblMovement[[#This Row],[Is_Ore]]=1,tblMovement[[#This Row],[Contained_oz]],0)</f>
        <v/>
      </c>
    </row>
    <row r="3142">
      <c r="A3142" s="54" t="n"/>
      <c r="B3142" s="61" t="n"/>
      <c r="C3142" s="61" t="n"/>
      <c r="D3142" s="61" t="n"/>
      <c r="E3142" s="61" t="n"/>
      <c r="F3142" s="55" t="n"/>
      <c r="G3142" s="56" t="n"/>
      <c r="H3142" s="55" t="n"/>
      <c r="I3142" s="62" t="n"/>
      <c r="J3142" s="58" t="n"/>
      <c r="K3142" s="63">
        <f>IF(tblMovement[[#This Row],[Source]]="","",IFERROR(INDEX(tblSources[Type],MATCH(tblMovement[[#This Row],[Source]],tblSources[Source],0)),"?"))</f>
        <v/>
      </c>
      <c r="L3142" s="63">
        <f>IF(tblMovement[[#This Row],[Destination]]="","",IFERROR(INDEX(tblDestinations[Type],MATCH(tblMovement[[#This Row],[Destination]],tblDestinations[Destination],0)),"?"))</f>
        <v/>
      </c>
      <c r="M3142" s="64">
        <f>IF(tblMovement[[#This Row],[Material]]="","",IF(LEFT(tblMovement[[#This Row],[Material]],3)="Ore",1,0))</f>
        <v/>
      </c>
      <c r="N3142" s="59">
        <f>IF(OR(tblMovement[[#This Row],[Tonnes_t]]="",tblMovement[[#This Row],[Grade_gpt]]=""),0,tblMovement[[#This Row],[Tonnes_t]]*tblMovement[[#This Row],[Grade_gpt]]/cfg_TroyOz)</f>
        <v/>
      </c>
      <c r="O3142" s="59">
        <f>IF(tblMovement[[#This Row],[Is_Ore]]=1,tblMovement[[#This Row],[Contained_oz]],0)</f>
        <v/>
      </c>
    </row>
    <row r="3143">
      <c r="A3143" s="54" t="n"/>
      <c r="B3143" s="61" t="n"/>
      <c r="C3143" s="61" t="n"/>
      <c r="D3143" s="61" t="n"/>
      <c r="E3143" s="61" t="n"/>
      <c r="F3143" s="55" t="n"/>
      <c r="G3143" s="56" t="n"/>
      <c r="H3143" s="55" t="n"/>
      <c r="I3143" s="62" t="n"/>
      <c r="J3143" s="58" t="n"/>
      <c r="K3143" s="63">
        <f>IF(tblMovement[[#This Row],[Source]]="","",IFERROR(INDEX(tblSources[Type],MATCH(tblMovement[[#This Row],[Source]],tblSources[Source],0)),"?"))</f>
        <v/>
      </c>
      <c r="L3143" s="63">
        <f>IF(tblMovement[[#This Row],[Destination]]="","",IFERROR(INDEX(tblDestinations[Type],MATCH(tblMovement[[#This Row],[Destination]],tblDestinations[Destination],0)),"?"))</f>
        <v/>
      </c>
      <c r="M3143" s="64">
        <f>IF(tblMovement[[#This Row],[Material]]="","",IF(LEFT(tblMovement[[#This Row],[Material]],3)="Ore",1,0))</f>
        <v/>
      </c>
      <c r="N3143" s="59">
        <f>IF(OR(tblMovement[[#This Row],[Tonnes_t]]="",tblMovement[[#This Row],[Grade_gpt]]=""),0,tblMovement[[#This Row],[Tonnes_t]]*tblMovement[[#This Row],[Grade_gpt]]/cfg_TroyOz)</f>
        <v/>
      </c>
      <c r="O3143" s="59">
        <f>IF(tblMovement[[#This Row],[Is_Ore]]=1,tblMovement[[#This Row],[Contained_oz]],0)</f>
        <v/>
      </c>
    </row>
    <row r="3144">
      <c r="A3144" s="54" t="n"/>
      <c r="B3144" s="61" t="n"/>
      <c r="C3144" s="61" t="n"/>
      <c r="D3144" s="61" t="n"/>
      <c r="E3144" s="61" t="n"/>
      <c r="F3144" s="55" t="n"/>
      <c r="G3144" s="56" t="n"/>
      <c r="H3144" s="55" t="n"/>
      <c r="I3144" s="62" t="n"/>
      <c r="J3144" s="58" t="n"/>
      <c r="K3144" s="63">
        <f>IF(tblMovement[[#This Row],[Source]]="","",IFERROR(INDEX(tblSources[Type],MATCH(tblMovement[[#This Row],[Source]],tblSources[Source],0)),"?"))</f>
        <v/>
      </c>
      <c r="L3144" s="63">
        <f>IF(tblMovement[[#This Row],[Destination]]="","",IFERROR(INDEX(tblDestinations[Type],MATCH(tblMovement[[#This Row],[Destination]],tblDestinations[Destination],0)),"?"))</f>
        <v/>
      </c>
      <c r="M3144" s="64">
        <f>IF(tblMovement[[#This Row],[Material]]="","",IF(LEFT(tblMovement[[#This Row],[Material]],3)="Ore",1,0))</f>
        <v/>
      </c>
      <c r="N3144" s="59">
        <f>IF(OR(tblMovement[[#This Row],[Tonnes_t]]="",tblMovement[[#This Row],[Grade_gpt]]=""),0,tblMovement[[#This Row],[Tonnes_t]]*tblMovement[[#This Row],[Grade_gpt]]/cfg_TroyOz)</f>
        <v/>
      </c>
      <c r="O3144" s="59">
        <f>IF(tblMovement[[#This Row],[Is_Ore]]=1,tblMovement[[#This Row],[Contained_oz]],0)</f>
        <v/>
      </c>
    </row>
    <row r="3145">
      <c r="A3145" s="54" t="n"/>
      <c r="B3145" s="61" t="n"/>
      <c r="C3145" s="61" t="n"/>
      <c r="D3145" s="61" t="n"/>
      <c r="E3145" s="61" t="n"/>
      <c r="F3145" s="55" t="n"/>
      <c r="G3145" s="56" t="n"/>
      <c r="H3145" s="55" t="n"/>
      <c r="I3145" s="62" t="n"/>
      <c r="J3145" s="58" t="n"/>
      <c r="K3145" s="63">
        <f>IF(tblMovement[[#This Row],[Source]]="","",IFERROR(INDEX(tblSources[Type],MATCH(tblMovement[[#This Row],[Source]],tblSources[Source],0)),"?"))</f>
        <v/>
      </c>
      <c r="L3145" s="63">
        <f>IF(tblMovement[[#This Row],[Destination]]="","",IFERROR(INDEX(tblDestinations[Type],MATCH(tblMovement[[#This Row],[Destination]],tblDestinations[Destination],0)),"?"))</f>
        <v/>
      </c>
      <c r="M3145" s="64">
        <f>IF(tblMovement[[#This Row],[Material]]="","",IF(LEFT(tblMovement[[#This Row],[Material]],3)="Ore",1,0))</f>
        <v/>
      </c>
      <c r="N3145" s="59">
        <f>IF(OR(tblMovement[[#This Row],[Tonnes_t]]="",tblMovement[[#This Row],[Grade_gpt]]=""),0,tblMovement[[#This Row],[Tonnes_t]]*tblMovement[[#This Row],[Grade_gpt]]/cfg_TroyOz)</f>
        <v/>
      </c>
      <c r="O3145" s="59">
        <f>IF(tblMovement[[#This Row],[Is_Ore]]=1,tblMovement[[#This Row],[Contained_oz]],0)</f>
        <v/>
      </c>
    </row>
    <row r="3146">
      <c r="A3146" s="54" t="n"/>
      <c r="B3146" s="61" t="n"/>
      <c r="C3146" s="61" t="n"/>
      <c r="D3146" s="61" t="n"/>
      <c r="E3146" s="61" t="n"/>
      <c r="F3146" s="55" t="n"/>
      <c r="G3146" s="56" t="n"/>
      <c r="H3146" s="55" t="n"/>
      <c r="I3146" s="62" t="n"/>
      <c r="J3146" s="58" t="n"/>
      <c r="K3146" s="63">
        <f>IF(tblMovement[[#This Row],[Source]]="","",IFERROR(INDEX(tblSources[Type],MATCH(tblMovement[[#This Row],[Source]],tblSources[Source],0)),"?"))</f>
        <v/>
      </c>
      <c r="L3146" s="63">
        <f>IF(tblMovement[[#This Row],[Destination]]="","",IFERROR(INDEX(tblDestinations[Type],MATCH(tblMovement[[#This Row],[Destination]],tblDestinations[Destination],0)),"?"))</f>
        <v/>
      </c>
      <c r="M3146" s="64">
        <f>IF(tblMovement[[#This Row],[Material]]="","",IF(LEFT(tblMovement[[#This Row],[Material]],3)="Ore",1,0))</f>
        <v/>
      </c>
      <c r="N3146" s="59">
        <f>IF(OR(tblMovement[[#This Row],[Tonnes_t]]="",tblMovement[[#This Row],[Grade_gpt]]=""),0,tblMovement[[#This Row],[Tonnes_t]]*tblMovement[[#This Row],[Grade_gpt]]/cfg_TroyOz)</f>
        <v/>
      </c>
      <c r="O3146" s="59">
        <f>IF(tblMovement[[#This Row],[Is_Ore]]=1,tblMovement[[#This Row],[Contained_oz]],0)</f>
        <v/>
      </c>
    </row>
    <row r="3147">
      <c r="A3147" s="54" t="n"/>
      <c r="B3147" s="61" t="n"/>
      <c r="C3147" s="61" t="n"/>
      <c r="D3147" s="61" t="n"/>
      <c r="E3147" s="61" t="n"/>
      <c r="F3147" s="55" t="n"/>
      <c r="G3147" s="56" t="n"/>
      <c r="H3147" s="55" t="n"/>
      <c r="I3147" s="62" t="n"/>
      <c r="J3147" s="58" t="n"/>
      <c r="K3147" s="63">
        <f>IF(tblMovement[[#This Row],[Source]]="","",IFERROR(INDEX(tblSources[Type],MATCH(tblMovement[[#This Row],[Source]],tblSources[Source],0)),"?"))</f>
        <v/>
      </c>
      <c r="L3147" s="63">
        <f>IF(tblMovement[[#This Row],[Destination]]="","",IFERROR(INDEX(tblDestinations[Type],MATCH(tblMovement[[#This Row],[Destination]],tblDestinations[Destination],0)),"?"))</f>
        <v/>
      </c>
      <c r="M3147" s="64">
        <f>IF(tblMovement[[#This Row],[Material]]="","",IF(LEFT(tblMovement[[#This Row],[Material]],3)="Ore",1,0))</f>
        <v/>
      </c>
      <c r="N3147" s="59">
        <f>IF(OR(tblMovement[[#This Row],[Tonnes_t]]="",tblMovement[[#This Row],[Grade_gpt]]=""),0,tblMovement[[#This Row],[Tonnes_t]]*tblMovement[[#This Row],[Grade_gpt]]/cfg_TroyOz)</f>
        <v/>
      </c>
      <c r="O3147" s="59">
        <f>IF(tblMovement[[#This Row],[Is_Ore]]=1,tblMovement[[#This Row],[Contained_oz]],0)</f>
        <v/>
      </c>
    </row>
    <row r="3148">
      <c r="A3148" s="54" t="n"/>
      <c r="B3148" s="61" t="n"/>
      <c r="C3148" s="61" t="n"/>
      <c r="D3148" s="61" t="n"/>
      <c r="E3148" s="61" t="n"/>
      <c r="F3148" s="55" t="n"/>
      <c r="G3148" s="56" t="n"/>
      <c r="H3148" s="55" t="n"/>
      <c r="I3148" s="62" t="n"/>
      <c r="J3148" s="58" t="n"/>
      <c r="K3148" s="63">
        <f>IF(tblMovement[[#This Row],[Source]]="","",IFERROR(INDEX(tblSources[Type],MATCH(tblMovement[[#This Row],[Source]],tblSources[Source],0)),"?"))</f>
        <v/>
      </c>
      <c r="L3148" s="63">
        <f>IF(tblMovement[[#This Row],[Destination]]="","",IFERROR(INDEX(tblDestinations[Type],MATCH(tblMovement[[#This Row],[Destination]],tblDestinations[Destination],0)),"?"))</f>
        <v/>
      </c>
      <c r="M3148" s="64">
        <f>IF(tblMovement[[#This Row],[Material]]="","",IF(LEFT(tblMovement[[#This Row],[Material]],3)="Ore",1,0))</f>
        <v/>
      </c>
      <c r="N3148" s="59">
        <f>IF(OR(tblMovement[[#This Row],[Tonnes_t]]="",tblMovement[[#This Row],[Grade_gpt]]=""),0,tblMovement[[#This Row],[Tonnes_t]]*tblMovement[[#This Row],[Grade_gpt]]/cfg_TroyOz)</f>
        <v/>
      </c>
      <c r="O3148" s="59">
        <f>IF(tblMovement[[#This Row],[Is_Ore]]=1,tblMovement[[#This Row],[Contained_oz]],0)</f>
        <v/>
      </c>
    </row>
    <row r="3149">
      <c r="A3149" s="54" t="n"/>
      <c r="B3149" s="61" t="n"/>
      <c r="C3149" s="61" t="n"/>
      <c r="D3149" s="61" t="n"/>
      <c r="E3149" s="61" t="n"/>
      <c r="F3149" s="55" t="n"/>
      <c r="G3149" s="56" t="n"/>
      <c r="H3149" s="55" t="n"/>
      <c r="I3149" s="62" t="n"/>
      <c r="J3149" s="58" t="n"/>
      <c r="K3149" s="63">
        <f>IF(tblMovement[[#This Row],[Source]]="","",IFERROR(INDEX(tblSources[Type],MATCH(tblMovement[[#This Row],[Source]],tblSources[Source],0)),"?"))</f>
        <v/>
      </c>
      <c r="L3149" s="63">
        <f>IF(tblMovement[[#This Row],[Destination]]="","",IFERROR(INDEX(tblDestinations[Type],MATCH(tblMovement[[#This Row],[Destination]],tblDestinations[Destination],0)),"?"))</f>
        <v/>
      </c>
      <c r="M3149" s="64">
        <f>IF(tblMovement[[#This Row],[Material]]="","",IF(LEFT(tblMovement[[#This Row],[Material]],3)="Ore",1,0))</f>
        <v/>
      </c>
      <c r="N3149" s="59">
        <f>IF(OR(tblMovement[[#This Row],[Tonnes_t]]="",tblMovement[[#This Row],[Grade_gpt]]=""),0,tblMovement[[#This Row],[Tonnes_t]]*tblMovement[[#This Row],[Grade_gpt]]/cfg_TroyOz)</f>
        <v/>
      </c>
      <c r="O3149" s="59">
        <f>IF(tblMovement[[#This Row],[Is_Ore]]=1,tblMovement[[#This Row],[Contained_oz]],0)</f>
        <v/>
      </c>
    </row>
    <row r="3150">
      <c r="A3150" s="54" t="n"/>
      <c r="B3150" s="61" t="n"/>
      <c r="C3150" s="61" t="n"/>
      <c r="D3150" s="61" t="n"/>
      <c r="E3150" s="61" t="n"/>
      <c r="F3150" s="55" t="n"/>
      <c r="G3150" s="56" t="n"/>
      <c r="H3150" s="55" t="n"/>
      <c r="I3150" s="62" t="n"/>
      <c r="J3150" s="58" t="n"/>
      <c r="K3150" s="63">
        <f>IF(tblMovement[[#This Row],[Source]]="","",IFERROR(INDEX(tblSources[Type],MATCH(tblMovement[[#This Row],[Source]],tblSources[Source],0)),"?"))</f>
        <v/>
      </c>
      <c r="L3150" s="63">
        <f>IF(tblMovement[[#This Row],[Destination]]="","",IFERROR(INDEX(tblDestinations[Type],MATCH(tblMovement[[#This Row],[Destination]],tblDestinations[Destination],0)),"?"))</f>
        <v/>
      </c>
      <c r="M3150" s="64">
        <f>IF(tblMovement[[#This Row],[Material]]="","",IF(LEFT(tblMovement[[#This Row],[Material]],3)="Ore",1,0))</f>
        <v/>
      </c>
      <c r="N3150" s="59">
        <f>IF(OR(tblMovement[[#This Row],[Tonnes_t]]="",tblMovement[[#This Row],[Grade_gpt]]=""),0,tblMovement[[#This Row],[Tonnes_t]]*tblMovement[[#This Row],[Grade_gpt]]/cfg_TroyOz)</f>
        <v/>
      </c>
      <c r="O3150" s="59">
        <f>IF(tblMovement[[#This Row],[Is_Ore]]=1,tblMovement[[#This Row],[Contained_oz]],0)</f>
        <v/>
      </c>
    </row>
    <row r="3151">
      <c r="A3151" s="54" t="n"/>
      <c r="B3151" s="61" t="n"/>
      <c r="C3151" s="61" t="n"/>
      <c r="D3151" s="61" t="n"/>
      <c r="E3151" s="61" t="n"/>
      <c r="F3151" s="55" t="n"/>
      <c r="G3151" s="56" t="n"/>
      <c r="H3151" s="55" t="n"/>
      <c r="I3151" s="62" t="n"/>
      <c r="J3151" s="58" t="n"/>
      <c r="K3151" s="63">
        <f>IF(tblMovement[[#This Row],[Source]]="","",IFERROR(INDEX(tblSources[Type],MATCH(tblMovement[[#This Row],[Source]],tblSources[Source],0)),"?"))</f>
        <v/>
      </c>
      <c r="L3151" s="63">
        <f>IF(tblMovement[[#This Row],[Destination]]="","",IFERROR(INDEX(tblDestinations[Type],MATCH(tblMovement[[#This Row],[Destination]],tblDestinations[Destination],0)),"?"))</f>
        <v/>
      </c>
      <c r="M3151" s="64">
        <f>IF(tblMovement[[#This Row],[Material]]="","",IF(LEFT(tblMovement[[#This Row],[Material]],3)="Ore",1,0))</f>
        <v/>
      </c>
      <c r="N3151" s="59">
        <f>IF(OR(tblMovement[[#This Row],[Tonnes_t]]="",tblMovement[[#This Row],[Grade_gpt]]=""),0,tblMovement[[#This Row],[Tonnes_t]]*tblMovement[[#This Row],[Grade_gpt]]/cfg_TroyOz)</f>
        <v/>
      </c>
      <c r="O3151" s="59">
        <f>IF(tblMovement[[#This Row],[Is_Ore]]=1,tblMovement[[#This Row],[Contained_oz]],0)</f>
        <v/>
      </c>
    </row>
    <row r="3152">
      <c r="A3152" s="54" t="n"/>
      <c r="B3152" s="61" t="n"/>
      <c r="C3152" s="61" t="n"/>
      <c r="D3152" s="61" t="n"/>
      <c r="E3152" s="61" t="n"/>
      <c r="F3152" s="55" t="n"/>
      <c r="G3152" s="56" t="n"/>
      <c r="H3152" s="55" t="n"/>
      <c r="I3152" s="62" t="n"/>
      <c r="J3152" s="58" t="n"/>
      <c r="K3152" s="63">
        <f>IF(tblMovement[[#This Row],[Source]]="","",IFERROR(INDEX(tblSources[Type],MATCH(tblMovement[[#This Row],[Source]],tblSources[Source],0)),"?"))</f>
        <v/>
      </c>
      <c r="L3152" s="63">
        <f>IF(tblMovement[[#This Row],[Destination]]="","",IFERROR(INDEX(tblDestinations[Type],MATCH(tblMovement[[#This Row],[Destination]],tblDestinations[Destination],0)),"?"))</f>
        <v/>
      </c>
      <c r="M3152" s="64">
        <f>IF(tblMovement[[#This Row],[Material]]="","",IF(LEFT(tblMovement[[#This Row],[Material]],3)="Ore",1,0))</f>
        <v/>
      </c>
      <c r="N3152" s="59">
        <f>IF(OR(tblMovement[[#This Row],[Tonnes_t]]="",tblMovement[[#This Row],[Grade_gpt]]=""),0,tblMovement[[#This Row],[Tonnes_t]]*tblMovement[[#This Row],[Grade_gpt]]/cfg_TroyOz)</f>
        <v/>
      </c>
      <c r="O3152" s="59">
        <f>IF(tblMovement[[#This Row],[Is_Ore]]=1,tblMovement[[#This Row],[Contained_oz]],0)</f>
        <v/>
      </c>
    </row>
    <row r="3153">
      <c r="A3153" s="54" t="n"/>
      <c r="B3153" s="61" t="n"/>
      <c r="C3153" s="61" t="n"/>
      <c r="D3153" s="61" t="n"/>
      <c r="E3153" s="61" t="n"/>
      <c r="F3153" s="55" t="n"/>
      <c r="G3153" s="56" t="n"/>
      <c r="H3153" s="55" t="n"/>
      <c r="I3153" s="62" t="n"/>
      <c r="J3153" s="58" t="n"/>
      <c r="K3153" s="63">
        <f>IF(tblMovement[[#This Row],[Source]]="","",IFERROR(INDEX(tblSources[Type],MATCH(tblMovement[[#This Row],[Source]],tblSources[Source],0)),"?"))</f>
        <v/>
      </c>
      <c r="L3153" s="63">
        <f>IF(tblMovement[[#This Row],[Destination]]="","",IFERROR(INDEX(tblDestinations[Type],MATCH(tblMovement[[#This Row],[Destination]],tblDestinations[Destination],0)),"?"))</f>
        <v/>
      </c>
      <c r="M3153" s="64">
        <f>IF(tblMovement[[#This Row],[Material]]="","",IF(LEFT(tblMovement[[#This Row],[Material]],3)="Ore",1,0))</f>
        <v/>
      </c>
      <c r="N3153" s="59">
        <f>IF(OR(tblMovement[[#This Row],[Tonnes_t]]="",tblMovement[[#This Row],[Grade_gpt]]=""),0,tblMovement[[#This Row],[Tonnes_t]]*tblMovement[[#This Row],[Grade_gpt]]/cfg_TroyOz)</f>
        <v/>
      </c>
      <c r="O3153" s="59">
        <f>IF(tblMovement[[#This Row],[Is_Ore]]=1,tblMovement[[#This Row],[Contained_oz]],0)</f>
        <v/>
      </c>
    </row>
    <row r="3154">
      <c r="A3154" s="54" t="n"/>
      <c r="B3154" s="61" t="n"/>
      <c r="C3154" s="61" t="n"/>
      <c r="D3154" s="61" t="n"/>
      <c r="E3154" s="61" t="n"/>
      <c r="F3154" s="55" t="n"/>
      <c r="G3154" s="56" t="n"/>
      <c r="H3154" s="55" t="n"/>
      <c r="I3154" s="62" t="n"/>
      <c r="J3154" s="58" t="n"/>
      <c r="K3154" s="63">
        <f>IF(tblMovement[[#This Row],[Source]]="","",IFERROR(INDEX(tblSources[Type],MATCH(tblMovement[[#This Row],[Source]],tblSources[Source],0)),"?"))</f>
        <v/>
      </c>
      <c r="L3154" s="63">
        <f>IF(tblMovement[[#This Row],[Destination]]="","",IFERROR(INDEX(tblDestinations[Type],MATCH(tblMovement[[#This Row],[Destination]],tblDestinations[Destination],0)),"?"))</f>
        <v/>
      </c>
      <c r="M3154" s="64">
        <f>IF(tblMovement[[#This Row],[Material]]="","",IF(LEFT(tblMovement[[#This Row],[Material]],3)="Ore",1,0))</f>
        <v/>
      </c>
      <c r="N3154" s="59">
        <f>IF(OR(tblMovement[[#This Row],[Tonnes_t]]="",tblMovement[[#This Row],[Grade_gpt]]=""),0,tblMovement[[#This Row],[Tonnes_t]]*tblMovement[[#This Row],[Grade_gpt]]/cfg_TroyOz)</f>
        <v/>
      </c>
      <c r="O3154" s="59">
        <f>IF(tblMovement[[#This Row],[Is_Ore]]=1,tblMovement[[#This Row],[Contained_oz]],0)</f>
        <v/>
      </c>
    </row>
    <row r="3155">
      <c r="A3155" s="54" t="n"/>
      <c r="B3155" s="61" t="n"/>
      <c r="C3155" s="61" t="n"/>
      <c r="D3155" s="61" t="n"/>
      <c r="E3155" s="61" t="n"/>
      <c r="F3155" s="55" t="n"/>
      <c r="G3155" s="56" t="n"/>
      <c r="H3155" s="55" t="n"/>
      <c r="I3155" s="62" t="n"/>
      <c r="J3155" s="58" t="n"/>
      <c r="K3155" s="63">
        <f>IF(tblMovement[[#This Row],[Source]]="","",IFERROR(INDEX(tblSources[Type],MATCH(tblMovement[[#This Row],[Source]],tblSources[Source],0)),"?"))</f>
        <v/>
      </c>
      <c r="L3155" s="63">
        <f>IF(tblMovement[[#This Row],[Destination]]="","",IFERROR(INDEX(tblDestinations[Type],MATCH(tblMovement[[#This Row],[Destination]],tblDestinations[Destination],0)),"?"))</f>
        <v/>
      </c>
      <c r="M3155" s="64">
        <f>IF(tblMovement[[#This Row],[Material]]="","",IF(LEFT(tblMovement[[#This Row],[Material]],3)="Ore",1,0))</f>
        <v/>
      </c>
      <c r="N3155" s="59">
        <f>IF(OR(tblMovement[[#This Row],[Tonnes_t]]="",tblMovement[[#This Row],[Grade_gpt]]=""),0,tblMovement[[#This Row],[Tonnes_t]]*tblMovement[[#This Row],[Grade_gpt]]/cfg_TroyOz)</f>
        <v/>
      </c>
      <c r="O3155" s="59">
        <f>IF(tblMovement[[#This Row],[Is_Ore]]=1,tblMovement[[#This Row],[Contained_oz]],0)</f>
        <v/>
      </c>
    </row>
    <row r="3156">
      <c r="A3156" s="54" t="n"/>
      <c r="B3156" s="61" t="n"/>
      <c r="C3156" s="61" t="n"/>
      <c r="D3156" s="61" t="n"/>
      <c r="E3156" s="61" t="n"/>
      <c r="F3156" s="55" t="n"/>
      <c r="G3156" s="56" t="n"/>
      <c r="H3156" s="55" t="n"/>
      <c r="I3156" s="62" t="n"/>
      <c r="J3156" s="58" t="n"/>
      <c r="K3156" s="63">
        <f>IF(tblMovement[[#This Row],[Source]]="","",IFERROR(INDEX(tblSources[Type],MATCH(tblMovement[[#This Row],[Source]],tblSources[Source],0)),"?"))</f>
        <v/>
      </c>
      <c r="L3156" s="63">
        <f>IF(tblMovement[[#This Row],[Destination]]="","",IFERROR(INDEX(tblDestinations[Type],MATCH(tblMovement[[#This Row],[Destination]],tblDestinations[Destination],0)),"?"))</f>
        <v/>
      </c>
      <c r="M3156" s="64">
        <f>IF(tblMovement[[#This Row],[Material]]="","",IF(LEFT(tblMovement[[#This Row],[Material]],3)="Ore",1,0))</f>
        <v/>
      </c>
      <c r="N3156" s="59">
        <f>IF(OR(tblMovement[[#This Row],[Tonnes_t]]="",tblMovement[[#This Row],[Grade_gpt]]=""),0,tblMovement[[#This Row],[Tonnes_t]]*tblMovement[[#This Row],[Grade_gpt]]/cfg_TroyOz)</f>
        <v/>
      </c>
      <c r="O3156" s="59">
        <f>IF(tblMovement[[#This Row],[Is_Ore]]=1,tblMovement[[#This Row],[Contained_oz]],0)</f>
        <v/>
      </c>
    </row>
    <row r="3157">
      <c r="A3157" s="54" t="n"/>
      <c r="B3157" s="61" t="n"/>
      <c r="C3157" s="61" t="n"/>
      <c r="D3157" s="61" t="n"/>
      <c r="E3157" s="61" t="n"/>
      <c r="F3157" s="55" t="n"/>
      <c r="G3157" s="56" t="n"/>
      <c r="H3157" s="55" t="n"/>
      <c r="I3157" s="62" t="n"/>
      <c r="J3157" s="58" t="n"/>
      <c r="K3157" s="63">
        <f>IF(tblMovement[[#This Row],[Source]]="","",IFERROR(INDEX(tblSources[Type],MATCH(tblMovement[[#This Row],[Source]],tblSources[Source],0)),"?"))</f>
        <v/>
      </c>
      <c r="L3157" s="63">
        <f>IF(tblMovement[[#This Row],[Destination]]="","",IFERROR(INDEX(tblDestinations[Type],MATCH(tblMovement[[#This Row],[Destination]],tblDestinations[Destination],0)),"?"))</f>
        <v/>
      </c>
      <c r="M3157" s="64">
        <f>IF(tblMovement[[#This Row],[Material]]="","",IF(LEFT(tblMovement[[#This Row],[Material]],3)="Ore",1,0))</f>
        <v/>
      </c>
      <c r="N3157" s="59">
        <f>IF(OR(tblMovement[[#This Row],[Tonnes_t]]="",tblMovement[[#This Row],[Grade_gpt]]=""),0,tblMovement[[#This Row],[Tonnes_t]]*tblMovement[[#This Row],[Grade_gpt]]/cfg_TroyOz)</f>
        <v/>
      </c>
      <c r="O3157" s="59">
        <f>IF(tblMovement[[#This Row],[Is_Ore]]=1,tblMovement[[#This Row],[Contained_oz]],0)</f>
        <v/>
      </c>
    </row>
    <row r="3158">
      <c r="A3158" s="54" t="n"/>
      <c r="B3158" s="61" t="n"/>
      <c r="C3158" s="61" t="n"/>
      <c r="D3158" s="61" t="n"/>
      <c r="E3158" s="61" t="n"/>
      <c r="F3158" s="55" t="n"/>
      <c r="G3158" s="56" t="n"/>
      <c r="H3158" s="55" t="n"/>
      <c r="I3158" s="62" t="n"/>
      <c r="J3158" s="58" t="n"/>
      <c r="K3158" s="63">
        <f>IF(tblMovement[[#This Row],[Source]]="","",IFERROR(INDEX(tblSources[Type],MATCH(tblMovement[[#This Row],[Source]],tblSources[Source],0)),"?"))</f>
        <v/>
      </c>
      <c r="L3158" s="63">
        <f>IF(tblMovement[[#This Row],[Destination]]="","",IFERROR(INDEX(tblDestinations[Type],MATCH(tblMovement[[#This Row],[Destination]],tblDestinations[Destination],0)),"?"))</f>
        <v/>
      </c>
      <c r="M3158" s="64">
        <f>IF(tblMovement[[#This Row],[Material]]="","",IF(LEFT(tblMovement[[#This Row],[Material]],3)="Ore",1,0))</f>
        <v/>
      </c>
      <c r="N3158" s="59">
        <f>IF(OR(tblMovement[[#This Row],[Tonnes_t]]="",tblMovement[[#This Row],[Grade_gpt]]=""),0,tblMovement[[#This Row],[Tonnes_t]]*tblMovement[[#This Row],[Grade_gpt]]/cfg_TroyOz)</f>
        <v/>
      </c>
      <c r="O3158" s="59">
        <f>IF(tblMovement[[#This Row],[Is_Ore]]=1,tblMovement[[#This Row],[Contained_oz]],0)</f>
        <v/>
      </c>
    </row>
    <row r="3159">
      <c r="A3159" s="54" t="n"/>
      <c r="B3159" s="61" t="n"/>
      <c r="C3159" s="61" t="n"/>
      <c r="D3159" s="61" t="n"/>
      <c r="E3159" s="61" t="n"/>
      <c r="F3159" s="55" t="n"/>
      <c r="G3159" s="56" t="n"/>
      <c r="H3159" s="55" t="n"/>
      <c r="I3159" s="62" t="n"/>
      <c r="J3159" s="58" t="n"/>
      <c r="K3159" s="63">
        <f>IF(tblMovement[[#This Row],[Source]]="","",IFERROR(INDEX(tblSources[Type],MATCH(tblMovement[[#This Row],[Source]],tblSources[Source],0)),"?"))</f>
        <v/>
      </c>
      <c r="L3159" s="63">
        <f>IF(tblMovement[[#This Row],[Destination]]="","",IFERROR(INDEX(tblDestinations[Type],MATCH(tblMovement[[#This Row],[Destination]],tblDestinations[Destination],0)),"?"))</f>
        <v/>
      </c>
      <c r="M3159" s="64">
        <f>IF(tblMovement[[#This Row],[Material]]="","",IF(LEFT(tblMovement[[#This Row],[Material]],3)="Ore",1,0))</f>
        <v/>
      </c>
      <c r="N3159" s="59">
        <f>IF(OR(tblMovement[[#This Row],[Tonnes_t]]="",tblMovement[[#This Row],[Grade_gpt]]=""),0,tblMovement[[#This Row],[Tonnes_t]]*tblMovement[[#This Row],[Grade_gpt]]/cfg_TroyOz)</f>
        <v/>
      </c>
      <c r="O3159" s="59">
        <f>IF(tblMovement[[#This Row],[Is_Ore]]=1,tblMovement[[#This Row],[Contained_oz]],0)</f>
        <v/>
      </c>
    </row>
    <row r="3160">
      <c r="A3160" s="54" t="n"/>
      <c r="B3160" s="61" t="n"/>
      <c r="C3160" s="61" t="n"/>
      <c r="D3160" s="61" t="n"/>
      <c r="E3160" s="61" t="n"/>
      <c r="F3160" s="55" t="n"/>
      <c r="G3160" s="56" t="n"/>
      <c r="H3160" s="55" t="n"/>
      <c r="I3160" s="62" t="n"/>
      <c r="J3160" s="58" t="n"/>
      <c r="K3160" s="63">
        <f>IF(tblMovement[[#This Row],[Source]]="","",IFERROR(INDEX(tblSources[Type],MATCH(tblMovement[[#This Row],[Source]],tblSources[Source],0)),"?"))</f>
        <v/>
      </c>
      <c r="L3160" s="63">
        <f>IF(tblMovement[[#This Row],[Destination]]="","",IFERROR(INDEX(tblDestinations[Type],MATCH(tblMovement[[#This Row],[Destination]],tblDestinations[Destination],0)),"?"))</f>
        <v/>
      </c>
      <c r="M3160" s="64">
        <f>IF(tblMovement[[#This Row],[Material]]="","",IF(LEFT(tblMovement[[#This Row],[Material]],3)="Ore",1,0))</f>
        <v/>
      </c>
      <c r="N3160" s="59">
        <f>IF(OR(tblMovement[[#This Row],[Tonnes_t]]="",tblMovement[[#This Row],[Grade_gpt]]=""),0,tblMovement[[#This Row],[Tonnes_t]]*tblMovement[[#This Row],[Grade_gpt]]/cfg_TroyOz)</f>
        <v/>
      </c>
      <c r="O3160" s="59">
        <f>IF(tblMovement[[#This Row],[Is_Ore]]=1,tblMovement[[#This Row],[Contained_oz]],0)</f>
        <v/>
      </c>
    </row>
    <row r="3161">
      <c r="A3161" s="54" t="n"/>
      <c r="B3161" s="61" t="n"/>
      <c r="C3161" s="61" t="n"/>
      <c r="D3161" s="61" t="n"/>
      <c r="E3161" s="61" t="n"/>
      <c r="F3161" s="55" t="n"/>
      <c r="G3161" s="56" t="n"/>
      <c r="H3161" s="55" t="n"/>
      <c r="I3161" s="62" t="n"/>
      <c r="J3161" s="58" t="n"/>
      <c r="K3161" s="63">
        <f>IF(tblMovement[[#This Row],[Source]]="","",IFERROR(INDEX(tblSources[Type],MATCH(tblMovement[[#This Row],[Source]],tblSources[Source],0)),"?"))</f>
        <v/>
      </c>
      <c r="L3161" s="63">
        <f>IF(tblMovement[[#This Row],[Destination]]="","",IFERROR(INDEX(tblDestinations[Type],MATCH(tblMovement[[#This Row],[Destination]],tblDestinations[Destination],0)),"?"))</f>
        <v/>
      </c>
      <c r="M3161" s="64">
        <f>IF(tblMovement[[#This Row],[Material]]="","",IF(LEFT(tblMovement[[#This Row],[Material]],3)="Ore",1,0))</f>
        <v/>
      </c>
      <c r="N3161" s="59">
        <f>IF(OR(tblMovement[[#This Row],[Tonnes_t]]="",tblMovement[[#This Row],[Grade_gpt]]=""),0,tblMovement[[#This Row],[Tonnes_t]]*tblMovement[[#This Row],[Grade_gpt]]/cfg_TroyOz)</f>
        <v/>
      </c>
      <c r="O3161" s="59">
        <f>IF(tblMovement[[#This Row],[Is_Ore]]=1,tblMovement[[#This Row],[Contained_oz]],0)</f>
        <v/>
      </c>
    </row>
    <row r="3162">
      <c r="A3162" s="54" t="n"/>
      <c r="B3162" s="61" t="n"/>
      <c r="C3162" s="61" t="n"/>
      <c r="D3162" s="61" t="n"/>
      <c r="E3162" s="61" t="n"/>
      <c r="F3162" s="55" t="n"/>
      <c r="G3162" s="56" t="n"/>
      <c r="H3162" s="55" t="n"/>
      <c r="I3162" s="62" t="n"/>
      <c r="J3162" s="58" t="n"/>
      <c r="K3162" s="63">
        <f>IF(tblMovement[[#This Row],[Source]]="","",IFERROR(INDEX(tblSources[Type],MATCH(tblMovement[[#This Row],[Source]],tblSources[Source],0)),"?"))</f>
        <v/>
      </c>
      <c r="L3162" s="63">
        <f>IF(tblMovement[[#This Row],[Destination]]="","",IFERROR(INDEX(tblDestinations[Type],MATCH(tblMovement[[#This Row],[Destination]],tblDestinations[Destination],0)),"?"))</f>
        <v/>
      </c>
      <c r="M3162" s="64">
        <f>IF(tblMovement[[#This Row],[Material]]="","",IF(LEFT(tblMovement[[#This Row],[Material]],3)="Ore",1,0))</f>
        <v/>
      </c>
      <c r="N3162" s="59">
        <f>IF(OR(tblMovement[[#This Row],[Tonnes_t]]="",tblMovement[[#This Row],[Grade_gpt]]=""),0,tblMovement[[#This Row],[Tonnes_t]]*tblMovement[[#This Row],[Grade_gpt]]/cfg_TroyOz)</f>
        <v/>
      </c>
      <c r="O3162" s="59">
        <f>IF(tblMovement[[#This Row],[Is_Ore]]=1,tblMovement[[#This Row],[Contained_oz]],0)</f>
        <v/>
      </c>
    </row>
    <row r="3163">
      <c r="A3163" s="54" t="n"/>
      <c r="B3163" s="61" t="n"/>
      <c r="C3163" s="61" t="n"/>
      <c r="D3163" s="61" t="n"/>
      <c r="E3163" s="61" t="n"/>
      <c r="F3163" s="55" t="n"/>
      <c r="G3163" s="56" t="n"/>
      <c r="H3163" s="55" t="n"/>
      <c r="I3163" s="62" t="n"/>
      <c r="J3163" s="58" t="n"/>
      <c r="K3163" s="63">
        <f>IF(tblMovement[[#This Row],[Source]]="","",IFERROR(INDEX(tblSources[Type],MATCH(tblMovement[[#This Row],[Source]],tblSources[Source],0)),"?"))</f>
        <v/>
      </c>
      <c r="L3163" s="63">
        <f>IF(tblMovement[[#This Row],[Destination]]="","",IFERROR(INDEX(tblDestinations[Type],MATCH(tblMovement[[#This Row],[Destination]],tblDestinations[Destination],0)),"?"))</f>
        <v/>
      </c>
      <c r="M3163" s="64">
        <f>IF(tblMovement[[#This Row],[Material]]="","",IF(LEFT(tblMovement[[#This Row],[Material]],3)="Ore",1,0))</f>
        <v/>
      </c>
      <c r="N3163" s="59">
        <f>IF(OR(tblMovement[[#This Row],[Tonnes_t]]="",tblMovement[[#This Row],[Grade_gpt]]=""),0,tblMovement[[#This Row],[Tonnes_t]]*tblMovement[[#This Row],[Grade_gpt]]/cfg_TroyOz)</f>
        <v/>
      </c>
      <c r="O3163" s="59">
        <f>IF(tblMovement[[#This Row],[Is_Ore]]=1,tblMovement[[#This Row],[Contained_oz]],0)</f>
        <v/>
      </c>
    </row>
    <row r="3164">
      <c r="A3164" s="54" t="n"/>
      <c r="B3164" s="61" t="n"/>
      <c r="C3164" s="61" t="n"/>
      <c r="D3164" s="61" t="n"/>
      <c r="E3164" s="61" t="n"/>
      <c r="F3164" s="55" t="n"/>
      <c r="G3164" s="56" t="n"/>
      <c r="H3164" s="55" t="n"/>
      <c r="I3164" s="62" t="n"/>
      <c r="J3164" s="58" t="n"/>
      <c r="K3164" s="63">
        <f>IF(tblMovement[[#This Row],[Source]]="","",IFERROR(INDEX(tblSources[Type],MATCH(tblMovement[[#This Row],[Source]],tblSources[Source],0)),"?"))</f>
        <v/>
      </c>
      <c r="L3164" s="63">
        <f>IF(tblMovement[[#This Row],[Destination]]="","",IFERROR(INDEX(tblDestinations[Type],MATCH(tblMovement[[#This Row],[Destination]],tblDestinations[Destination],0)),"?"))</f>
        <v/>
      </c>
      <c r="M3164" s="64">
        <f>IF(tblMovement[[#This Row],[Material]]="","",IF(LEFT(tblMovement[[#This Row],[Material]],3)="Ore",1,0))</f>
        <v/>
      </c>
      <c r="N3164" s="59">
        <f>IF(OR(tblMovement[[#This Row],[Tonnes_t]]="",tblMovement[[#This Row],[Grade_gpt]]=""),0,tblMovement[[#This Row],[Tonnes_t]]*tblMovement[[#This Row],[Grade_gpt]]/cfg_TroyOz)</f>
        <v/>
      </c>
      <c r="O3164" s="59">
        <f>IF(tblMovement[[#This Row],[Is_Ore]]=1,tblMovement[[#This Row],[Contained_oz]],0)</f>
        <v/>
      </c>
    </row>
    <row r="3165">
      <c r="A3165" s="54" t="n"/>
      <c r="B3165" s="61" t="n"/>
      <c r="C3165" s="61" t="n"/>
      <c r="D3165" s="61" t="n"/>
      <c r="E3165" s="61" t="n"/>
      <c r="F3165" s="55" t="n"/>
      <c r="G3165" s="56" t="n"/>
      <c r="H3165" s="55" t="n"/>
      <c r="I3165" s="62" t="n"/>
      <c r="J3165" s="58" t="n"/>
      <c r="K3165" s="63">
        <f>IF(tblMovement[[#This Row],[Source]]="","",IFERROR(INDEX(tblSources[Type],MATCH(tblMovement[[#This Row],[Source]],tblSources[Source],0)),"?"))</f>
        <v/>
      </c>
      <c r="L3165" s="63">
        <f>IF(tblMovement[[#This Row],[Destination]]="","",IFERROR(INDEX(tblDestinations[Type],MATCH(tblMovement[[#This Row],[Destination]],tblDestinations[Destination],0)),"?"))</f>
        <v/>
      </c>
      <c r="M3165" s="64">
        <f>IF(tblMovement[[#This Row],[Material]]="","",IF(LEFT(tblMovement[[#This Row],[Material]],3)="Ore",1,0))</f>
        <v/>
      </c>
      <c r="N3165" s="59">
        <f>IF(OR(tblMovement[[#This Row],[Tonnes_t]]="",tblMovement[[#This Row],[Grade_gpt]]=""),0,tblMovement[[#This Row],[Tonnes_t]]*tblMovement[[#This Row],[Grade_gpt]]/cfg_TroyOz)</f>
        <v/>
      </c>
      <c r="O3165" s="59">
        <f>IF(tblMovement[[#This Row],[Is_Ore]]=1,tblMovement[[#This Row],[Contained_oz]],0)</f>
        <v/>
      </c>
    </row>
    <row r="3166">
      <c r="A3166" s="54" t="n"/>
      <c r="B3166" s="61" t="n"/>
      <c r="C3166" s="61" t="n"/>
      <c r="D3166" s="61" t="n"/>
      <c r="E3166" s="61" t="n"/>
      <c r="F3166" s="55" t="n"/>
      <c r="G3166" s="56" t="n"/>
      <c r="H3166" s="55" t="n"/>
      <c r="I3166" s="62" t="n"/>
      <c r="J3166" s="58" t="n"/>
      <c r="K3166" s="63">
        <f>IF(tblMovement[[#This Row],[Source]]="","",IFERROR(INDEX(tblSources[Type],MATCH(tblMovement[[#This Row],[Source]],tblSources[Source],0)),"?"))</f>
        <v/>
      </c>
      <c r="L3166" s="63">
        <f>IF(tblMovement[[#This Row],[Destination]]="","",IFERROR(INDEX(tblDestinations[Type],MATCH(tblMovement[[#This Row],[Destination]],tblDestinations[Destination],0)),"?"))</f>
        <v/>
      </c>
      <c r="M3166" s="64">
        <f>IF(tblMovement[[#This Row],[Material]]="","",IF(LEFT(tblMovement[[#This Row],[Material]],3)="Ore",1,0))</f>
        <v/>
      </c>
      <c r="N3166" s="59">
        <f>IF(OR(tblMovement[[#This Row],[Tonnes_t]]="",tblMovement[[#This Row],[Grade_gpt]]=""),0,tblMovement[[#This Row],[Tonnes_t]]*tblMovement[[#This Row],[Grade_gpt]]/cfg_TroyOz)</f>
        <v/>
      </c>
      <c r="O3166" s="59">
        <f>IF(tblMovement[[#This Row],[Is_Ore]]=1,tblMovement[[#This Row],[Contained_oz]],0)</f>
        <v/>
      </c>
    </row>
    <row r="3167">
      <c r="A3167" s="54" t="n"/>
      <c r="B3167" s="61" t="n"/>
      <c r="C3167" s="61" t="n"/>
      <c r="D3167" s="61" t="n"/>
      <c r="E3167" s="61" t="n"/>
      <c r="F3167" s="55" t="n"/>
      <c r="G3167" s="56" t="n"/>
      <c r="H3167" s="55" t="n"/>
      <c r="I3167" s="62" t="n"/>
      <c r="J3167" s="58" t="n"/>
      <c r="K3167" s="63">
        <f>IF(tblMovement[[#This Row],[Source]]="","",IFERROR(INDEX(tblSources[Type],MATCH(tblMovement[[#This Row],[Source]],tblSources[Source],0)),"?"))</f>
        <v/>
      </c>
      <c r="L3167" s="63">
        <f>IF(tblMovement[[#This Row],[Destination]]="","",IFERROR(INDEX(tblDestinations[Type],MATCH(tblMovement[[#This Row],[Destination]],tblDestinations[Destination],0)),"?"))</f>
        <v/>
      </c>
      <c r="M3167" s="64">
        <f>IF(tblMovement[[#This Row],[Material]]="","",IF(LEFT(tblMovement[[#This Row],[Material]],3)="Ore",1,0))</f>
        <v/>
      </c>
      <c r="N3167" s="59">
        <f>IF(OR(tblMovement[[#This Row],[Tonnes_t]]="",tblMovement[[#This Row],[Grade_gpt]]=""),0,tblMovement[[#This Row],[Tonnes_t]]*tblMovement[[#This Row],[Grade_gpt]]/cfg_TroyOz)</f>
        <v/>
      </c>
      <c r="O3167" s="59">
        <f>IF(tblMovement[[#This Row],[Is_Ore]]=1,tblMovement[[#This Row],[Contained_oz]],0)</f>
        <v/>
      </c>
    </row>
    <row r="3168">
      <c r="A3168" s="54" t="n"/>
      <c r="B3168" s="61" t="n"/>
      <c r="C3168" s="61" t="n"/>
      <c r="D3168" s="61" t="n"/>
      <c r="E3168" s="61" t="n"/>
      <c r="F3168" s="55" t="n"/>
      <c r="G3168" s="56" t="n"/>
      <c r="H3168" s="55" t="n"/>
      <c r="I3168" s="62" t="n"/>
      <c r="J3168" s="58" t="n"/>
      <c r="K3168" s="63">
        <f>IF(tblMovement[[#This Row],[Source]]="","",IFERROR(INDEX(tblSources[Type],MATCH(tblMovement[[#This Row],[Source]],tblSources[Source],0)),"?"))</f>
        <v/>
      </c>
      <c r="L3168" s="63">
        <f>IF(tblMovement[[#This Row],[Destination]]="","",IFERROR(INDEX(tblDestinations[Type],MATCH(tblMovement[[#This Row],[Destination]],tblDestinations[Destination],0)),"?"))</f>
        <v/>
      </c>
      <c r="M3168" s="64">
        <f>IF(tblMovement[[#This Row],[Material]]="","",IF(LEFT(tblMovement[[#This Row],[Material]],3)="Ore",1,0))</f>
        <v/>
      </c>
      <c r="N3168" s="59">
        <f>IF(OR(tblMovement[[#This Row],[Tonnes_t]]="",tblMovement[[#This Row],[Grade_gpt]]=""),0,tblMovement[[#This Row],[Tonnes_t]]*tblMovement[[#This Row],[Grade_gpt]]/cfg_TroyOz)</f>
        <v/>
      </c>
      <c r="O3168" s="59">
        <f>IF(tblMovement[[#This Row],[Is_Ore]]=1,tblMovement[[#This Row],[Contained_oz]],0)</f>
        <v/>
      </c>
    </row>
    <row r="3169">
      <c r="A3169" s="54" t="n"/>
      <c r="B3169" s="61" t="n"/>
      <c r="C3169" s="61" t="n"/>
      <c r="D3169" s="61" t="n"/>
      <c r="E3169" s="61" t="n"/>
      <c r="F3169" s="55" t="n"/>
      <c r="G3169" s="56" t="n"/>
      <c r="H3169" s="55" t="n"/>
      <c r="I3169" s="62" t="n"/>
      <c r="J3169" s="58" t="n"/>
      <c r="K3169" s="63">
        <f>IF(tblMovement[[#This Row],[Source]]="","",IFERROR(INDEX(tblSources[Type],MATCH(tblMovement[[#This Row],[Source]],tblSources[Source],0)),"?"))</f>
        <v/>
      </c>
      <c r="L3169" s="63">
        <f>IF(tblMovement[[#This Row],[Destination]]="","",IFERROR(INDEX(tblDestinations[Type],MATCH(tblMovement[[#This Row],[Destination]],tblDestinations[Destination],0)),"?"))</f>
        <v/>
      </c>
      <c r="M3169" s="64">
        <f>IF(tblMovement[[#This Row],[Material]]="","",IF(LEFT(tblMovement[[#This Row],[Material]],3)="Ore",1,0))</f>
        <v/>
      </c>
      <c r="N3169" s="59">
        <f>IF(OR(tblMovement[[#This Row],[Tonnes_t]]="",tblMovement[[#This Row],[Grade_gpt]]=""),0,tblMovement[[#This Row],[Tonnes_t]]*tblMovement[[#This Row],[Grade_gpt]]/cfg_TroyOz)</f>
        <v/>
      </c>
      <c r="O3169" s="59">
        <f>IF(tblMovement[[#This Row],[Is_Ore]]=1,tblMovement[[#This Row],[Contained_oz]],0)</f>
        <v/>
      </c>
    </row>
    <row r="3170">
      <c r="A3170" s="54" t="n"/>
      <c r="B3170" s="61" t="n"/>
      <c r="C3170" s="61" t="n"/>
      <c r="D3170" s="61" t="n"/>
      <c r="E3170" s="61" t="n"/>
      <c r="F3170" s="55" t="n"/>
      <c r="G3170" s="56" t="n"/>
      <c r="H3170" s="55" t="n"/>
      <c r="I3170" s="62" t="n"/>
      <c r="J3170" s="58" t="n"/>
      <c r="K3170" s="63">
        <f>IF(tblMovement[[#This Row],[Source]]="","",IFERROR(INDEX(tblSources[Type],MATCH(tblMovement[[#This Row],[Source]],tblSources[Source],0)),"?"))</f>
        <v/>
      </c>
      <c r="L3170" s="63">
        <f>IF(tblMovement[[#This Row],[Destination]]="","",IFERROR(INDEX(tblDestinations[Type],MATCH(tblMovement[[#This Row],[Destination]],tblDestinations[Destination],0)),"?"))</f>
        <v/>
      </c>
      <c r="M3170" s="64">
        <f>IF(tblMovement[[#This Row],[Material]]="","",IF(LEFT(tblMovement[[#This Row],[Material]],3)="Ore",1,0))</f>
        <v/>
      </c>
      <c r="N3170" s="59">
        <f>IF(OR(tblMovement[[#This Row],[Tonnes_t]]="",tblMovement[[#This Row],[Grade_gpt]]=""),0,tblMovement[[#This Row],[Tonnes_t]]*tblMovement[[#This Row],[Grade_gpt]]/cfg_TroyOz)</f>
        <v/>
      </c>
      <c r="O3170" s="59">
        <f>IF(tblMovement[[#This Row],[Is_Ore]]=1,tblMovement[[#This Row],[Contained_oz]],0)</f>
        <v/>
      </c>
    </row>
    <row r="3171">
      <c r="A3171" s="54" t="n"/>
      <c r="B3171" s="61" t="n"/>
      <c r="C3171" s="61" t="n"/>
      <c r="D3171" s="61" t="n"/>
      <c r="E3171" s="61" t="n"/>
      <c r="F3171" s="55" t="n"/>
      <c r="G3171" s="56" t="n"/>
      <c r="H3171" s="55" t="n"/>
      <c r="I3171" s="62" t="n"/>
      <c r="J3171" s="58" t="n"/>
      <c r="K3171" s="63">
        <f>IF(tblMovement[[#This Row],[Source]]="","",IFERROR(INDEX(tblSources[Type],MATCH(tblMovement[[#This Row],[Source]],tblSources[Source],0)),"?"))</f>
        <v/>
      </c>
      <c r="L3171" s="63">
        <f>IF(tblMovement[[#This Row],[Destination]]="","",IFERROR(INDEX(tblDestinations[Type],MATCH(tblMovement[[#This Row],[Destination]],tblDestinations[Destination],0)),"?"))</f>
        <v/>
      </c>
      <c r="M3171" s="64">
        <f>IF(tblMovement[[#This Row],[Material]]="","",IF(LEFT(tblMovement[[#This Row],[Material]],3)="Ore",1,0))</f>
        <v/>
      </c>
      <c r="N3171" s="59">
        <f>IF(OR(tblMovement[[#This Row],[Tonnes_t]]="",tblMovement[[#This Row],[Grade_gpt]]=""),0,tblMovement[[#This Row],[Tonnes_t]]*tblMovement[[#This Row],[Grade_gpt]]/cfg_TroyOz)</f>
        <v/>
      </c>
      <c r="O3171" s="59">
        <f>IF(tblMovement[[#This Row],[Is_Ore]]=1,tblMovement[[#This Row],[Contained_oz]],0)</f>
        <v/>
      </c>
    </row>
    <row r="3172">
      <c r="A3172" s="54" t="n"/>
      <c r="B3172" s="61" t="n"/>
      <c r="C3172" s="61" t="n"/>
      <c r="D3172" s="61" t="n"/>
      <c r="E3172" s="61" t="n"/>
      <c r="F3172" s="55" t="n"/>
      <c r="G3172" s="56" t="n"/>
      <c r="H3172" s="55" t="n"/>
      <c r="I3172" s="62" t="n"/>
      <c r="J3172" s="58" t="n"/>
      <c r="K3172" s="63">
        <f>IF(tblMovement[[#This Row],[Source]]="","",IFERROR(INDEX(tblSources[Type],MATCH(tblMovement[[#This Row],[Source]],tblSources[Source],0)),"?"))</f>
        <v/>
      </c>
      <c r="L3172" s="63">
        <f>IF(tblMovement[[#This Row],[Destination]]="","",IFERROR(INDEX(tblDestinations[Type],MATCH(tblMovement[[#This Row],[Destination]],tblDestinations[Destination],0)),"?"))</f>
        <v/>
      </c>
      <c r="M3172" s="64">
        <f>IF(tblMovement[[#This Row],[Material]]="","",IF(LEFT(tblMovement[[#This Row],[Material]],3)="Ore",1,0))</f>
        <v/>
      </c>
      <c r="N3172" s="59">
        <f>IF(OR(tblMovement[[#This Row],[Tonnes_t]]="",tblMovement[[#This Row],[Grade_gpt]]=""),0,tblMovement[[#This Row],[Tonnes_t]]*tblMovement[[#This Row],[Grade_gpt]]/cfg_TroyOz)</f>
        <v/>
      </c>
      <c r="O3172" s="59">
        <f>IF(tblMovement[[#This Row],[Is_Ore]]=1,tblMovement[[#This Row],[Contained_oz]],0)</f>
        <v/>
      </c>
    </row>
    <row r="3173">
      <c r="A3173" s="54" t="n"/>
      <c r="B3173" s="61" t="n"/>
      <c r="C3173" s="61" t="n"/>
      <c r="D3173" s="61" t="n"/>
      <c r="E3173" s="61" t="n"/>
      <c r="F3173" s="55" t="n"/>
      <c r="G3173" s="56" t="n"/>
      <c r="H3173" s="55" t="n"/>
      <c r="I3173" s="62" t="n"/>
      <c r="J3173" s="58" t="n"/>
      <c r="K3173" s="63">
        <f>IF(tblMovement[[#This Row],[Source]]="","",IFERROR(INDEX(tblSources[Type],MATCH(tblMovement[[#This Row],[Source]],tblSources[Source],0)),"?"))</f>
        <v/>
      </c>
      <c r="L3173" s="63">
        <f>IF(tblMovement[[#This Row],[Destination]]="","",IFERROR(INDEX(tblDestinations[Type],MATCH(tblMovement[[#This Row],[Destination]],tblDestinations[Destination],0)),"?"))</f>
        <v/>
      </c>
      <c r="M3173" s="64">
        <f>IF(tblMovement[[#This Row],[Material]]="","",IF(LEFT(tblMovement[[#This Row],[Material]],3)="Ore",1,0))</f>
        <v/>
      </c>
      <c r="N3173" s="59">
        <f>IF(OR(tblMovement[[#This Row],[Tonnes_t]]="",tblMovement[[#This Row],[Grade_gpt]]=""),0,tblMovement[[#This Row],[Tonnes_t]]*tblMovement[[#This Row],[Grade_gpt]]/cfg_TroyOz)</f>
        <v/>
      </c>
      <c r="O3173" s="59">
        <f>IF(tblMovement[[#This Row],[Is_Ore]]=1,tblMovement[[#This Row],[Contained_oz]],0)</f>
        <v/>
      </c>
    </row>
    <row r="3174">
      <c r="A3174" s="54" t="n"/>
      <c r="B3174" s="61" t="n"/>
      <c r="C3174" s="61" t="n"/>
      <c r="D3174" s="61" t="n"/>
      <c r="E3174" s="61" t="n"/>
      <c r="F3174" s="55" t="n"/>
      <c r="G3174" s="56" t="n"/>
      <c r="H3174" s="55" t="n"/>
      <c r="I3174" s="62" t="n"/>
      <c r="J3174" s="58" t="n"/>
      <c r="K3174" s="63">
        <f>IF(tblMovement[[#This Row],[Source]]="","",IFERROR(INDEX(tblSources[Type],MATCH(tblMovement[[#This Row],[Source]],tblSources[Source],0)),"?"))</f>
        <v/>
      </c>
      <c r="L3174" s="63">
        <f>IF(tblMovement[[#This Row],[Destination]]="","",IFERROR(INDEX(tblDestinations[Type],MATCH(tblMovement[[#This Row],[Destination]],tblDestinations[Destination],0)),"?"))</f>
        <v/>
      </c>
      <c r="M3174" s="64">
        <f>IF(tblMovement[[#This Row],[Material]]="","",IF(LEFT(tblMovement[[#This Row],[Material]],3)="Ore",1,0))</f>
        <v/>
      </c>
      <c r="N3174" s="59">
        <f>IF(OR(tblMovement[[#This Row],[Tonnes_t]]="",tblMovement[[#This Row],[Grade_gpt]]=""),0,tblMovement[[#This Row],[Tonnes_t]]*tblMovement[[#This Row],[Grade_gpt]]/cfg_TroyOz)</f>
        <v/>
      </c>
      <c r="O3174" s="59">
        <f>IF(tblMovement[[#This Row],[Is_Ore]]=1,tblMovement[[#This Row],[Contained_oz]],0)</f>
        <v/>
      </c>
    </row>
    <row r="3175">
      <c r="A3175" s="54" t="n"/>
      <c r="B3175" s="61" t="n"/>
      <c r="C3175" s="61" t="n"/>
      <c r="D3175" s="61" t="n"/>
      <c r="E3175" s="61" t="n"/>
      <c r="F3175" s="55" t="n"/>
      <c r="G3175" s="56" t="n"/>
      <c r="H3175" s="55" t="n"/>
      <c r="I3175" s="62" t="n"/>
      <c r="J3175" s="58" t="n"/>
      <c r="K3175" s="63">
        <f>IF(tblMovement[[#This Row],[Source]]="","",IFERROR(INDEX(tblSources[Type],MATCH(tblMovement[[#This Row],[Source]],tblSources[Source],0)),"?"))</f>
        <v/>
      </c>
      <c r="L3175" s="63">
        <f>IF(tblMovement[[#This Row],[Destination]]="","",IFERROR(INDEX(tblDestinations[Type],MATCH(tblMovement[[#This Row],[Destination]],tblDestinations[Destination],0)),"?"))</f>
        <v/>
      </c>
      <c r="M3175" s="64">
        <f>IF(tblMovement[[#This Row],[Material]]="","",IF(LEFT(tblMovement[[#This Row],[Material]],3)="Ore",1,0))</f>
        <v/>
      </c>
      <c r="N3175" s="59">
        <f>IF(OR(tblMovement[[#This Row],[Tonnes_t]]="",tblMovement[[#This Row],[Grade_gpt]]=""),0,tblMovement[[#This Row],[Tonnes_t]]*tblMovement[[#This Row],[Grade_gpt]]/cfg_TroyOz)</f>
        <v/>
      </c>
      <c r="O3175" s="59">
        <f>IF(tblMovement[[#This Row],[Is_Ore]]=1,tblMovement[[#This Row],[Contained_oz]],0)</f>
        <v/>
      </c>
    </row>
    <row r="3176">
      <c r="A3176" s="54" t="n"/>
      <c r="B3176" s="61" t="n"/>
      <c r="C3176" s="61" t="n"/>
      <c r="D3176" s="61" t="n"/>
      <c r="E3176" s="61" t="n"/>
      <c r="F3176" s="55" t="n"/>
      <c r="G3176" s="56" t="n"/>
      <c r="H3176" s="55" t="n"/>
      <c r="I3176" s="62" t="n"/>
      <c r="J3176" s="58" t="n"/>
      <c r="K3176" s="63">
        <f>IF(tblMovement[[#This Row],[Source]]="","",IFERROR(INDEX(tblSources[Type],MATCH(tblMovement[[#This Row],[Source]],tblSources[Source],0)),"?"))</f>
        <v/>
      </c>
      <c r="L3176" s="63">
        <f>IF(tblMovement[[#This Row],[Destination]]="","",IFERROR(INDEX(tblDestinations[Type],MATCH(tblMovement[[#This Row],[Destination]],tblDestinations[Destination],0)),"?"))</f>
        <v/>
      </c>
      <c r="M3176" s="64">
        <f>IF(tblMovement[[#This Row],[Material]]="","",IF(LEFT(tblMovement[[#This Row],[Material]],3)="Ore",1,0))</f>
        <v/>
      </c>
      <c r="N3176" s="59">
        <f>IF(OR(tblMovement[[#This Row],[Tonnes_t]]="",tblMovement[[#This Row],[Grade_gpt]]=""),0,tblMovement[[#This Row],[Tonnes_t]]*tblMovement[[#This Row],[Grade_gpt]]/cfg_TroyOz)</f>
        <v/>
      </c>
      <c r="O3176" s="59">
        <f>IF(tblMovement[[#This Row],[Is_Ore]]=1,tblMovement[[#This Row],[Contained_oz]],0)</f>
        <v/>
      </c>
    </row>
    <row r="3177">
      <c r="A3177" s="54" t="n"/>
      <c r="B3177" s="61" t="n"/>
      <c r="C3177" s="61" t="n"/>
      <c r="D3177" s="61" t="n"/>
      <c r="E3177" s="61" t="n"/>
      <c r="F3177" s="55" t="n"/>
      <c r="G3177" s="56" t="n"/>
      <c r="H3177" s="55" t="n"/>
      <c r="I3177" s="62" t="n"/>
      <c r="J3177" s="58" t="n"/>
      <c r="K3177" s="63">
        <f>IF(tblMovement[[#This Row],[Source]]="","",IFERROR(INDEX(tblSources[Type],MATCH(tblMovement[[#This Row],[Source]],tblSources[Source],0)),"?"))</f>
        <v/>
      </c>
      <c r="L3177" s="63">
        <f>IF(tblMovement[[#This Row],[Destination]]="","",IFERROR(INDEX(tblDestinations[Type],MATCH(tblMovement[[#This Row],[Destination]],tblDestinations[Destination],0)),"?"))</f>
        <v/>
      </c>
      <c r="M3177" s="64">
        <f>IF(tblMovement[[#This Row],[Material]]="","",IF(LEFT(tblMovement[[#This Row],[Material]],3)="Ore",1,0))</f>
        <v/>
      </c>
      <c r="N3177" s="59">
        <f>IF(OR(tblMovement[[#This Row],[Tonnes_t]]="",tblMovement[[#This Row],[Grade_gpt]]=""),0,tblMovement[[#This Row],[Tonnes_t]]*tblMovement[[#This Row],[Grade_gpt]]/cfg_TroyOz)</f>
        <v/>
      </c>
      <c r="O3177" s="59">
        <f>IF(tblMovement[[#This Row],[Is_Ore]]=1,tblMovement[[#This Row],[Contained_oz]],0)</f>
        <v/>
      </c>
    </row>
    <row r="3178">
      <c r="A3178" s="54" t="n"/>
      <c r="B3178" s="61" t="n"/>
      <c r="C3178" s="61" t="n"/>
      <c r="D3178" s="61" t="n"/>
      <c r="E3178" s="61" t="n"/>
      <c r="F3178" s="55" t="n"/>
      <c r="G3178" s="56" t="n"/>
      <c r="H3178" s="55" t="n"/>
      <c r="I3178" s="62" t="n"/>
      <c r="J3178" s="58" t="n"/>
      <c r="K3178" s="63">
        <f>IF(tblMovement[[#This Row],[Source]]="","",IFERROR(INDEX(tblSources[Type],MATCH(tblMovement[[#This Row],[Source]],tblSources[Source],0)),"?"))</f>
        <v/>
      </c>
      <c r="L3178" s="63">
        <f>IF(tblMovement[[#This Row],[Destination]]="","",IFERROR(INDEX(tblDestinations[Type],MATCH(tblMovement[[#This Row],[Destination]],tblDestinations[Destination],0)),"?"))</f>
        <v/>
      </c>
      <c r="M3178" s="64">
        <f>IF(tblMovement[[#This Row],[Material]]="","",IF(LEFT(tblMovement[[#This Row],[Material]],3)="Ore",1,0))</f>
        <v/>
      </c>
      <c r="N3178" s="59">
        <f>IF(OR(tblMovement[[#This Row],[Tonnes_t]]="",tblMovement[[#This Row],[Grade_gpt]]=""),0,tblMovement[[#This Row],[Tonnes_t]]*tblMovement[[#This Row],[Grade_gpt]]/cfg_TroyOz)</f>
        <v/>
      </c>
      <c r="O3178" s="59">
        <f>IF(tblMovement[[#This Row],[Is_Ore]]=1,tblMovement[[#This Row],[Contained_oz]],0)</f>
        <v/>
      </c>
    </row>
    <row r="3179">
      <c r="A3179" s="54" t="n"/>
      <c r="B3179" s="61" t="n"/>
      <c r="C3179" s="61" t="n"/>
      <c r="D3179" s="61" t="n"/>
      <c r="E3179" s="61" t="n"/>
      <c r="F3179" s="55" t="n"/>
      <c r="G3179" s="56" t="n"/>
      <c r="H3179" s="55" t="n"/>
      <c r="I3179" s="62" t="n"/>
      <c r="J3179" s="58" t="n"/>
      <c r="K3179" s="63">
        <f>IF(tblMovement[[#This Row],[Source]]="","",IFERROR(INDEX(tblSources[Type],MATCH(tblMovement[[#This Row],[Source]],tblSources[Source],0)),"?"))</f>
        <v/>
      </c>
      <c r="L3179" s="63">
        <f>IF(tblMovement[[#This Row],[Destination]]="","",IFERROR(INDEX(tblDestinations[Type],MATCH(tblMovement[[#This Row],[Destination]],tblDestinations[Destination],0)),"?"))</f>
        <v/>
      </c>
      <c r="M3179" s="64">
        <f>IF(tblMovement[[#This Row],[Material]]="","",IF(LEFT(tblMovement[[#This Row],[Material]],3)="Ore",1,0))</f>
        <v/>
      </c>
      <c r="N3179" s="59">
        <f>IF(OR(tblMovement[[#This Row],[Tonnes_t]]="",tblMovement[[#This Row],[Grade_gpt]]=""),0,tblMovement[[#This Row],[Tonnes_t]]*tblMovement[[#This Row],[Grade_gpt]]/cfg_TroyOz)</f>
        <v/>
      </c>
      <c r="O3179" s="59">
        <f>IF(tblMovement[[#This Row],[Is_Ore]]=1,tblMovement[[#This Row],[Contained_oz]],0)</f>
        <v/>
      </c>
    </row>
    <row r="3180">
      <c r="A3180" s="54" t="n"/>
      <c r="B3180" s="61" t="n"/>
      <c r="C3180" s="61" t="n"/>
      <c r="D3180" s="61" t="n"/>
      <c r="E3180" s="61" t="n"/>
      <c r="F3180" s="55" t="n"/>
      <c r="G3180" s="56" t="n"/>
      <c r="H3180" s="55" t="n"/>
      <c r="I3180" s="62" t="n"/>
      <c r="J3180" s="58" t="n"/>
      <c r="K3180" s="63">
        <f>IF(tblMovement[[#This Row],[Source]]="","",IFERROR(INDEX(tblSources[Type],MATCH(tblMovement[[#This Row],[Source]],tblSources[Source],0)),"?"))</f>
        <v/>
      </c>
      <c r="L3180" s="63">
        <f>IF(tblMovement[[#This Row],[Destination]]="","",IFERROR(INDEX(tblDestinations[Type],MATCH(tblMovement[[#This Row],[Destination]],tblDestinations[Destination],0)),"?"))</f>
        <v/>
      </c>
      <c r="M3180" s="64">
        <f>IF(tblMovement[[#This Row],[Material]]="","",IF(LEFT(tblMovement[[#This Row],[Material]],3)="Ore",1,0))</f>
        <v/>
      </c>
      <c r="N3180" s="59">
        <f>IF(OR(tblMovement[[#This Row],[Tonnes_t]]="",tblMovement[[#This Row],[Grade_gpt]]=""),0,tblMovement[[#This Row],[Tonnes_t]]*tblMovement[[#This Row],[Grade_gpt]]/cfg_TroyOz)</f>
        <v/>
      </c>
      <c r="O3180" s="59">
        <f>IF(tblMovement[[#This Row],[Is_Ore]]=1,tblMovement[[#This Row],[Contained_oz]],0)</f>
        <v/>
      </c>
    </row>
    <row r="3181">
      <c r="A3181" s="54" t="n"/>
      <c r="B3181" s="61" t="n"/>
      <c r="C3181" s="61" t="n"/>
      <c r="D3181" s="61" t="n"/>
      <c r="E3181" s="61" t="n"/>
      <c r="F3181" s="55" t="n"/>
      <c r="G3181" s="56" t="n"/>
      <c r="H3181" s="55" t="n"/>
      <c r="I3181" s="62" t="n"/>
      <c r="J3181" s="58" t="n"/>
      <c r="K3181" s="63">
        <f>IF(tblMovement[[#This Row],[Source]]="","",IFERROR(INDEX(tblSources[Type],MATCH(tblMovement[[#This Row],[Source]],tblSources[Source],0)),"?"))</f>
        <v/>
      </c>
      <c r="L3181" s="63">
        <f>IF(tblMovement[[#This Row],[Destination]]="","",IFERROR(INDEX(tblDestinations[Type],MATCH(tblMovement[[#This Row],[Destination]],tblDestinations[Destination],0)),"?"))</f>
        <v/>
      </c>
      <c r="M3181" s="64">
        <f>IF(tblMovement[[#This Row],[Material]]="","",IF(LEFT(tblMovement[[#This Row],[Material]],3)="Ore",1,0))</f>
        <v/>
      </c>
      <c r="N3181" s="59">
        <f>IF(OR(tblMovement[[#This Row],[Tonnes_t]]="",tblMovement[[#This Row],[Grade_gpt]]=""),0,tblMovement[[#This Row],[Tonnes_t]]*tblMovement[[#This Row],[Grade_gpt]]/cfg_TroyOz)</f>
        <v/>
      </c>
      <c r="O3181" s="59">
        <f>IF(tblMovement[[#This Row],[Is_Ore]]=1,tblMovement[[#This Row],[Contained_oz]],0)</f>
        <v/>
      </c>
    </row>
    <row r="3182">
      <c r="A3182" s="54" t="n"/>
      <c r="B3182" s="61" t="n"/>
      <c r="C3182" s="61" t="n"/>
      <c r="D3182" s="61" t="n"/>
      <c r="E3182" s="61" t="n"/>
      <c r="F3182" s="55" t="n"/>
      <c r="G3182" s="56" t="n"/>
      <c r="H3182" s="55" t="n"/>
      <c r="I3182" s="62" t="n"/>
      <c r="J3182" s="58" t="n"/>
      <c r="K3182" s="63">
        <f>IF(tblMovement[[#This Row],[Source]]="","",IFERROR(INDEX(tblSources[Type],MATCH(tblMovement[[#This Row],[Source]],tblSources[Source],0)),"?"))</f>
        <v/>
      </c>
      <c r="L3182" s="63">
        <f>IF(tblMovement[[#This Row],[Destination]]="","",IFERROR(INDEX(tblDestinations[Type],MATCH(tblMovement[[#This Row],[Destination]],tblDestinations[Destination],0)),"?"))</f>
        <v/>
      </c>
      <c r="M3182" s="64">
        <f>IF(tblMovement[[#This Row],[Material]]="","",IF(LEFT(tblMovement[[#This Row],[Material]],3)="Ore",1,0))</f>
        <v/>
      </c>
      <c r="N3182" s="59">
        <f>IF(OR(tblMovement[[#This Row],[Tonnes_t]]="",tblMovement[[#This Row],[Grade_gpt]]=""),0,tblMovement[[#This Row],[Tonnes_t]]*tblMovement[[#This Row],[Grade_gpt]]/cfg_TroyOz)</f>
        <v/>
      </c>
      <c r="O3182" s="59">
        <f>IF(tblMovement[[#This Row],[Is_Ore]]=1,tblMovement[[#This Row],[Contained_oz]],0)</f>
        <v/>
      </c>
    </row>
    <row r="3183">
      <c r="A3183" s="54" t="n"/>
      <c r="B3183" s="61" t="n"/>
      <c r="C3183" s="61" t="n"/>
      <c r="D3183" s="61" t="n"/>
      <c r="E3183" s="61" t="n"/>
      <c r="F3183" s="55" t="n"/>
      <c r="G3183" s="56" t="n"/>
      <c r="H3183" s="55" t="n"/>
      <c r="I3183" s="62" t="n"/>
      <c r="J3183" s="58" t="n"/>
      <c r="K3183" s="63">
        <f>IF(tblMovement[[#This Row],[Source]]="","",IFERROR(INDEX(tblSources[Type],MATCH(tblMovement[[#This Row],[Source]],tblSources[Source],0)),"?"))</f>
        <v/>
      </c>
      <c r="L3183" s="63">
        <f>IF(tblMovement[[#This Row],[Destination]]="","",IFERROR(INDEX(tblDestinations[Type],MATCH(tblMovement[[#This Row],[Destination]],tblDestinations[Destination],0)),"?"))</f>
        <v/>
      </c>
      <c r="M3183" s="64">
        <f>IF(tblMovement[[#This Row],[Material]]="","",IF(LEFT(tblMovement[[#This Row],[Material]],3)="Ore",1,0))</f>
        <v/>
      </c>
      <c r="N3183" s="59">
        <f>IF(OR(tblMovement[[#This Row],[Tonnes_t]]="",tblMovement[[#This Row],[Grade_gpt]]=""),0,tblMovement[[#This Row],[Tonnes_t]]*tblMovement[[#This Row],[Grade_gpt]]/cfg_TroyOz)</f>
        <v/>
      </c>
      <c r="O3183" s="59">
        <f>IF(tblMovement[[#This Row],[Is_Ore]]=1,tblMovement[[#This Row],[Contained_oz]],0)</f>
        <v/>
      </c>
    </row>
    <row r="3184">
      <c r="A3184" s="54" t="n"/>
      <c r="B3184" s="61" t="n"/>
      <c r="C3184" s="61" t="n"/>
      <c r="D3184" s="61" t="n"/>
      <c r="E3184" s="61" t="n"/>
      <c r="F3184" s="55" t="n"/>
      <c r="G3184" s="56" t="n"/>
      <c r="H3184" s="55" t="n"/>
      <c r="I3184" s="62" t="n"/>
      <c r="J3184" s="58" t="n"/>
      <c r="K3184" s="63">
        <f>IF(tblMovement[[#This Row],[Source]]="","",IFERROR(INDEX(tblSources[Type],MATCH(tblMovement[[#This Row],[Source]],tblSources[Source],0)),"?"))</f>
        <v/>
      </c>
      <c r="L3184" s="63">
        <f>IF(tblMovement[[#This Row],[Destination]]="","",IFERROR(INDEX(tblDestinations[Type],MATCH(tblMovement[[#This Row],[Destination]],tblDestinations[Destination],0)),"?"))</f>
        <v/>
      </c>
      <c r="M3184" s="64">
        <f>IF(tblMovement[[#This Row],[Material]]="","",IF(LEFT(tblMovement[[#This Row],[Material]],3)="Ore",1,0))</f>
        <v/>
      </c>
      <c r="N3184" s="59">
        <f>IF(OR(tblMovement[[#This Row],[Tonnes_t]]="",tblMovement[[#This Row],[Grade_gpt]]=""),0,tblMovement[[#This Row],[Tonnes_t]]*tblMovement[[#This Row],[Grade_gpt]]/cfg_TroyOz)</f>
        <v/>
      </c>
      <c r="O3184" s="59">
        <f>IF(tblMovement[[#This Row],[Is_Ore]]=1,tblMovement[[#This Row],[Contained_oz]],0)</f>
        <v/>
      </c>
    </row>
    <row r="3185">
      <c r="A3185" s="54" t="n"/>
      <c r="B3185" s="61" t="n"/>
      <c r="C3185" s="61" t="n"/>
      <c r="D3185" s="61" t="n"/>
      <c r="E3185" s="61" t="n"/>
      <c r="F3185" s="55" t="n"/>
      <c r="G3185" s="56" t="n"/>
      <c r="H3185" s="55" t="n"/>
      <c r="I3185" s="62" t="n"/>
      <c r="J3185" s="58" t="n"/>
      <c r="K3185" s="63">
        <f>IF(tblMovement[[#This Row],[Source]]="","",IFERROR(INDEX(tblSources[Type],MATCH(tblMovement[[#This Row],[Source]],tblSources[Source],0)),"?"))</f>
        <v/>
      </c>
      <c r="L3185" s="63">
        <f>IF(tblMovement[[#This Row],[Destination]]="","",IFERROR(INDEX(tblDestinations[Type],MATCH(tblMovement[[#This Row],[Destination]],tblDestinations[Destination],0)),"?"))</f>
        <v/>
      </c>
      <c r="M3185" s="64">
        <f>IF(tblMovement[[#This Row],[Material]]="","",IF(LEFT(tblMovement[[#This Row],[Material]],3)="Ore",1,0))</f>
        <v/>
      </c>
      <c r="N3185" s="59">
        <f>IF(OR(tblMovement[[#This Row],[Tonnes_t]]="",tblMovement[[#This Row],[Grade_gpt]]=""),0,tblMovement[[#This Row],[Tonnes_t]]*tblMovement[[#This Row],[Grade_gpt]]/cfg_TroyOz)</f>
        <v/>
      </c>
      <c r="O3185" s="59">
        <f>IF(tblMovement[[#This Row],[Is_Ore]]=1,tblMovement[[#This Row],[Contained_oz]],0)</f>
        <v/>
      </c>
    </row>
    <row r="3186">
      <c r="A3186" s="54" t="n"/>
      <c r="B3186" s="61" t="n"/>
      <c r="C3186" s="61" t="n"/>
      <c r="D3186" s="61" t="n"/>
      <c r="E3186" s="61" t="n"/>
      <c r="F3186" s="55" t="n"/>
      <c r="G3186" s="56" t="n"/>
      <c r="H3186" s="55" t="n"/>
      <c r="I3186" s="62" t="n"/>
      <c r="J3186" s="58" t="n"/>
      <c r="K3186" s="63">
        <f>IF(tblMovement[[#This Row],[Source]]="","",IFERROR(INDEX(tblSources[Type],MATCH(tblMovement[[#This Row],[Source]],tblSources[Source],0)),"?"))</f>
        <v/>
      </c>
      <c r="L3186" s="63">
        <f>IF(tblMovement[[#This Row],[Destination]]="","",IFERROR(INDEX(tblDestinations[Type],MATCH(tblMovement[[#This Row],[Destination]],tblDestinations[Destination],0)),"?"))</f>
        <v/>
      </c>
      <c r="M3186" s="64">
        <f>IF(tblMovement[[#This Row],[Material]]="","",IF(LEFT(tblMovement[[#This Row],[Material]],3)="Ore",1,0))</f>
        <v/>
      </c>
      <c r="N3186" s="59">
        <f>IF(OR(tblMovement[[#This Row],[Tonnes_t]]="",tblMovement[[#This Row],[Grade_gpt]]=""),0,tblMovement[[#This Row],[Tonnes_t]]*tblMovement[[#This Row],[Grade_gpt]]/cfg_TroyOz)</f>
        <v/>
      </c>
      <c r="O3186" s="59">
        <f>IF(tblMovement[[#This Row],[Is_Ore]]=1,tblMovement[[#This Row],[Contained_oz]],0)</f>
        <v/>
      </c>
    </row>
    <row r="3187">
      <c r="A3187" s="54" t="n"/>
      <c r="B3187" s="61" t="n"/>
      <c r="C3187" s="61" t="n"/>
      <c r="D3187" s="61" t="n"/>
      <c r="E3187" s="61" t="n"/>
      <c r="F3187" s="55" t="n"/>
      <c r="G3187" s="56" t="n"/>
      <c r="H3187" s="55" t="n"/>
      <c r="I3187" s="62" t="n"/>
      <c r="J3187" s="58" t="n"/>
      <c r="K3187" s="63">
        <f>IF(tblMovement[[#This Row],[Source]]="","",IFERROR(INDEX(tblSources[Type],MATCH(tblMovement[[#This Row],[Source]],tblSources[Source],0)),"?"))</f>
        <v/>
      </c>
      <c r="L3187" s="63">
        <f>IF(tblMovement[[#This Row],[Destination]]="","",IFERROR(INDEX(tblDestinations[Type],MATCH(tblMovement[[#This Row],[Destination]],tblDestinations[Destination],0)),"?"))</f>
        <v/>
      </c>
      <c r="M3187" s="64">
        <f>IF(tblMovement[[#This Row],[Material]]="","",IF(LEFT(tblMovement[[#This Row],[Material]],3)="Ore",1,0))</f>
        <v/>
      </c>
      <c r="N3187" s="59">
        <f>IF(OR(tblMovement[[#This Row],[Tonnes_t]]="",tblMovement[[#This Row],[Grade_gpt]]=""),0,tblMovement[[#This Row],[Tonnes_t]]*tblMovement[[#This Row],[Grade_gpt]]/cfg_TroyOz)</f>
        <v/>
      </c>
      <c r="O3187" s="59">
        <f>IF(tblMovement[[#This Row],[Is_Ore]]=1,tblMovement[[#This Row],[Contained_oz]],0)</f>
        <v/>
      </c>
    </row>
    <row r="3188">
      <c r="A3188" s="54" t="n"/>
      <c r="B3188" s="61" t="n"/>
      <c r="C3188" s="61" t="n"/>
      <c r="D3188" s="61" t="n"/>
      <c r="E3188" s="61" t="n"/>
      <c r="F3188" s="55" t="n"/>
      <c r="G3188" s="56" t="n"/>
      <c r="H3188" s="55" t="n"/>
      <c r="I3188" s="62" t="n"/>
      <c r="J3188" s="58" t="n"/>
      <c r="K3188" s="63">
        <f>IF(tblMovement[[#This Row],[Source]]="","",IFERROR(INDEX(tblSources[Type],MATCH(tblMovement[[#This Row],[Source]],tblSources[Source],0)),"?"))</f>
        <v/>
      </c>
      <c r="L3188" s="63">
        <f>IF(tblMovement[[#This Row],[Destination]]="","",IFERROR(INDEX(tblDestinations[Type],MATCH(tblMovement[[#This Row],[Destination]],tblDestinations[Destination],0)),"?"))</f>
        <v/>
      </c>
      <c r="M3188" s="64">
        <f>IF(tblMovement[[#This Row],[Material]]="","",IF(LEFT(tblMovement[[#This Row],[Material]],3)="Ore",1,0))</f>
        <v/>
      </c>
      <c r="N3188" s="59">
        <f>IF(OR(tblMovement[[#This Row],[Tonnes_t]]="",tblMovement[[#This Row],[Grade_gpt]]=""),0,tblMovement[[#This Row],[Tonnes_t]]*tblMovement[[#This Row],[Grade_gpt]]/cfg_TroyOz)</f>
        <v/>
      </c>
      <c r="O3188" s="59">
        <f>IF(tblMovement[[#This Row],[Is_Ore]]=1,tblMovement[[#This Row],[Contained_oz]],0)</f>
        <v/>
      </c>
    </row>
    <row r="3189">
      <c r="A3189" s="54" t="n"/>
      <c r="B3189" s="61" t="n"/>
      <c r="C3189" s="61" t="n"/>
      <c r="D3189" s="61" t="n"/>
      <c r="E3189" s="61" t="n"/>
      <c r="F3189" s="55" t="n"/>
      <c r="G3189" s="56" t="n"/>
      <c r="H3189" s="55" t="n"/>
      <c r="I3189" s="62" t="n"/>
      <c r="J3189" s="58" t="n"/>
      <c r="K3189" s="63">
        <f>IF(tblMovement[[#This Row],[Source]]="","",IFERROR(INDEX(tblSources[Type],MATCH(tblMovement[[#This Row],[Source]],tblSources[Source],0)),"?"))</f>
        <v/>
      </c>
      <c r="L3189" s="63">
        <f>IF(tblMovement[[#This Row],[Destination]]="","",IFERROR(INDEX(tblDestinations[Type],MATCH(tblMovement[[#This Row],[Destination]],tblDestinations[Destination],0)),"?"))</f>
        <v/>
      </c>
      <c r="M3189" s="64">
        <f>IF(tblMovement[[#This Row],[Material]]="","",IF(LEFT(tblMovement[[#This Row],[Material]],3)="Ore",1,0))</f>
        <v/>
      </c>
      <c r="N3189" s="59">
        <f>IF(OR(tblMovement[[#This Row],[Tonnes_t]]="",tblMovement[[#This Row],[Grade_gpt]]=""),0,tblMovement[[#This Row],[Tonnes_t]]*tblMovement[[#This Row],[Grade_gpt]]/cfg_TroyOz)</f>
        <v/>
      </c>
      <c r="O3189" s="59">
        <f>IF(tblMovement[[#This Row],[Is_Ore]]=1,tblMovement[[#This Row],[Contained_oz]],0)</f>
        <v/>
      </c>
    </row>
    <row r="3190">
      <c r="A3190" s="54" t="n"/>
      <c r="B3190" s="61" t="n"/>
      <c r="C3190" s="61" t="n"/>
      <c r="D3190" s="61" t="n"/>
      <c r="E3190" s="61" t="n"/>
      <c r="F3190" s="55" t="n"/>
      <c r="G3190" s="56" t="n"/>
      <c r="H3190" s="55" t="n"/>
      <c r="I3190" s="62" t="n"/>
      <c r="J3190" s="58" t="n"/>
      <c r="K3190" s="63">
        <f>IF(tblMovement[[#This Row],[Source]]="","",IFERROR(INDEX(tblSources[Type],MATCH(tblMovement[[#This Row],[Source]],tblSources[Source],0)),"?"))</f>
        <v/>
      </c>
      <c r="L3190" s="63">
        <f>IF(tblMovement[[#This Row],[Destination]]="","",IFERROR(INDEX(tblDestinations[Type],MATCH(tblMovement[[#This Row],[Destination]],tblDestinations[Destination],0)),"?"))</f>
        <v/>
      </c>
      <c r="M3190" s="64">
        <f>IF(tblMovement[[#This Row],[Material]]="","",IF(LEFT(tblMovement[[#This Row],[Material]],3)="Ore",1,0))</f>
        <v/>
      </c>
      <c r="N3190" s="59">
        <f>IF(OR(tblMovement[[#This Row],[Tonnes_t]]="",tblMovement[[#This Row],[Grade_gpt]]=""),0,tblMovement[[#This Row],[Tonnes_t]]*tblMovement[[#This Row],[Grade_gpt]]/cfg_TroyOz)</f>
        <v/>
      </c>
      <c r="O3190" s="59">
        <f>IF(tblMovement[[#This Row],[Is_Ore]]=1,tblMovement[[#This Row],[Contained_oz]],0)</f>
        <v/>
      </c>
    </row>
    <row r="3191">
      <c r="A3191" s="54" t="n"/>
      <c r="B3191" s="61" t="n"/>
      <c r="C3191" s="61" t="n"/>
      <c r="D3191" s="61" t="n"/>
      <c r="E3191" s="61" t="n"/>
      <c r="F3191" s="55" t="n"/>
      <c r="G3191" s="56" t="n"/>
      <c r="H3191" s="55" t="n"/>
      <c r="I3191" s="62" t="n"/>
      <c r="J3191" s="58" t="n"/>
      <c r="K3191" s="63">
        <f>IF(tblMovement[[#This Row],[Source]]="","",IFERROR(INDEX(tblSources[Type],MATCH(tblMovement[[#This Row],[Source]],tblSources[Source],0)),"?"))</f>
        <v/>
      </c>
      <c r="L3191" s="63">
        <f>IF(tblMovement[[#This Row],[Destination]]="","",IFERROR(INDEX(tblDestinations[Type],MATCH(tblMovement[[#This Row],[Destination]],tblDestinations[Destination],0)),"?"))</f>
        <v/>
      </c>
      <c r="M3191" s="64">
        <f>IF(tblMovement[[#This Row],[Material]]="","",IF(LEFT(tblMovement[[#This Row],[Material]],3)="Ore",1,0))</f>
        <v/>
      </c>
      <c r="N3191" s="59">
        <f>IF(OR(tblMovement[[#This Row],[Tonnes_t]]="",tblMovement[[#This Row],[Grade_gpt]]=""),0,tblMovement[[#This Row],[Tonnes_t]]*tblMovement[[#This Row],[Grade_gpt]]/cfg_TroyOz)</f>
        <v/>
      </c>
      <c r="O3191" s="59">
        <f>IF(tblMovement[[#This Row],[Is_Ore]]=1,tblMovement[[#This Row],[Contained_oz]],0)</f>
        <v/>
      </c>
    </row>
    <row r="3192">
      <c r="A3192" s="54" t="n"/>
      <c r="B3192" s="61" t="n"/>
      <c r="C3192" s="61" t="n"/>
      <c r="D3192" s="61" t="n"/>
      <c r="E3192" s="61" t="n"/>
      <c r="F3192" s="55" t="n"/>
      <c r="G3192" s="56" t="n"/>
      <c r="H3192" s="55" t="n"/>
      <c r="I3192" s="62" t="n"/>
      <c r="J3192" s="58" t="n"/>
      <c r="K3192" s="63">
        <f>IF(tblMovement[[#This Row],[Source]]="","",IFERROR(INDEX(tblSources[Type],MATCH(tblMovement[[#This Row],[Source]],tblSources[Source],0)),"?"))</f>
        <v/>
      </c>
      <c r="L3192" s="63">
        <f>IF(tblMovement[[#This Row],[Destination]]="","",IFERROR(INDEX(tblDestinations[Type],MATCH(tblMovement[[#This Row],[Destination]],tblDestinations[Destination],0)),"?"))</f>
        <v/>
      </c>
      <c r="M3192" s="64">
        <f>IF(tblMovement[[#This Row],[Material]]="","",IF(LEFT(tblMovement[[#This Row],[Material]],3)="Ore",1,0))</f>
        <v/>
      </c>
      <c r="N3192" s="59">
        <f>IF(OR(tblMovement[[#This Row],[Tonnes_t]]="",tblMovement[[#This Row],[Grade_gpt]]=""),0,tblMovement[[#This Row],[Tonnes_t]]*tblMovement[[#This Row],[Grade_gpt]]/cfg_TroyOz)</f>
        <v/>
      </c>
      <c r="O3192" s="59">
        <f>IF(tblMovement[[#This Row],[Is_Ore]]=1,tblMovement[[#This Row],[Contained_oz]],0)</f>
        <v/>
      </c>
    </row>
    <row r="3193">
      <c r="A3193" s="54" t="n"/>
      <c r="B3193" s="61" t="n"/>
      <c r="C3193" s="61" t="n"/>
      <c r="D3193" s="61" t="n"/>
      <c r="E3193" s="61" t="n"/>
      <c r="F3193" s="55" t="n"/>
      <c r="G3193" s="56" t="n"/>
      <c r="H3193" s="55" t="n"/>
      <c r="I3193" s="62" t="n"/>
      <c r="J3193" s="58" t="n"/>
      <c r="K3193" s="63">
        <f>IF(tblMovement[[#This Row],[Source]]="","",IFERROR(INDEX(tblSources[Type],MATCH(tblMovement[[#This Row],[Source]],tblSources[Source],0)),"?"))</f>
        <v/>
      </c>
      <c r="L3193" s="63">
        <f>IF(tblMovement[[#This Row],[Destination]]="","",IFERROR(INDEX(tblDestinations[Type],MATCH(tblMovement[[#This Row],[Destination]],tblDestinations[Destination],0)),"?"))</f>
        <v/>
      </c>
      <c r="M3193" s="64">
        <f>IF(tblMovement[[#This Row],[Material]]="","",IF(LEFT(tblMovement[[#This Row],[Material]],3)="Ore",1,0))</f>
        <v/>
      </c>
      <c r="N3193" s="59">
        <f>IF(OR(tblMovement[[#This Row],[Tonnes_t]]="",tblMovement[[#This Row],[Grade_gpt]]=""),0,tblMovement[[#This Row],[Tonnes_t]]*tblMovement[[#This Row],[Grade_gpt]]/cfg_TroyOz)</f>
        <v/>
      </c>
      <c r="O3193" s="59">
        <f>IF(tblMovement[[#This Row],[Is_Ore]]=1,tblMovement[[#This Row],[Contained_oz]],0)</f>
        <v/>
      </c>
    </row>
    <row r="3194">
      <c r="A3194" s="54" t="n"/>
      <c r="B3194" s="61" t="n"/>
      <c r="C3194" s="61" t="n"/>
      <c r="D3194" s="61" t="n"/>
      <c r="E3194" s="61" t="n"/>
      <c r="F3194" s="55" t="n"/>
      <c r="G3194" s="56" t="n"/>
      <c r="H3194" s="55" t="n"/>
      <c r="I3194" s="62" t="n"/>
      <c r="J3194" s="58" t="n"/>
      <c r="K3194" s="63">
        <f>IF(tblMovement[[#This Row],[Source]]="","",IFERROR(INDEX(tblSources[Type],MATCH(tblMovement[[#This Row],[Source]],tblSources[Source],0)),"?"))</f>
        <v/>
      </c>
      <c r="L3194" s="63">
        <f>IF(tblMovement[[#This Row],[Destination]]="","",IFERROR(INDEX(tblDestinations[Type],MATCH(tblMovement[[#This Row],[Destination]],tblDestinations[Destination],0)),"?"))</f>
        <v/>
      </c>
      <c r="M3194" s="64">
        <f>IF(tblMovement[[#This Row],[Material]]="","",IF(LEFT(tblMovement[[#This Row],[Material]],3)="Ore",1,0))</f>
        <v/>
      </c>
      <c r="N3194" s="59">
        <f>IF(OR(tblMovement[[#This Row],[Tonnes_t]]="",tblMovement[[#This Row],[Grade_gpt]]=""),0,tblMovement[[#This Row],[Tonnes_t]]*tblMovement[[#This Row],[Grade_gpt]]/cfg_TroyOz)</f>
        <v/>
      </c>
      <c r="O3194" s="59">
        <f>IF(tblMovement[[#This Row],[Is_Ore]]=1,tblMovement[[#This Row],[Contained_oz]],0)</f>
        <v/>
      </c>
    </row>
    <row r="3195">
      <c r="A3195" s="54" t="n"/>
      <c r="B3195" s="61" t="n"/>
      <c r="C3195" s="61" t="n"/>
      <c r="D3195" s="61" t="n"/>
      <c r="E3195" s="61" t="n"/>
      <c r="F3195" s="55" t="n"/>
      <c r="G3195" s="56" t="n"/>
      <c r="H3195" s="55" t="n"/>
      <c r="I3195" s="62" t="n"/>
      <c r="J3195" s="58" t="n"/>
      <c r="K3195" s="63">
        <f>IF(tblMovement[[#This Row],[Source]]="","",IFERROR(INDEX(tblSources[Type],MATCH(tblMovement[[#This Row],[Source]],tblSources[Source],0)),"?"))</f>
        <v/>
      </c>
      <c r="L3195" s="63">
        <f>IF(tblMovement[[#This Row],[Destination]]="","",IFERROR(INDEX(tblDestinations[Type],MATCH(tblMovement[[#This Row],[Destination]],tblDestinations[Destination],0)),"?"))</f>
        <v/>
      </c>
      <c r="M3195" s="64">
        <f>IF(tblMovement[[#This Row],[Material]]="","",IF(LEFT(tblMovement[[#This Row],[Material]],3)="Ore",1,0))</f>
        <v/>
      </c>
      <c r="N3195" s="59">
        <f>IF(OR(tblMovement[[#This Row],[Tonnes_t]]="",tblMovement[[#This Row],[Grade_gpt]]=""),0,tblMovement[[#This Row],[Tonnes_t]]*tblMovement[[#This Row],[Grade_gpt]]/cfg_TroyOz)</f>
        <v/>
      </c>
      <c r="O3195" s="59">
        <f>IF(tblMovement[[#This Row],[Is_Ore]]=1,tblMovement[[#This Row],[Contained_oz]],0)</f>
        <v/>
      </c>
    </row>
    <row r="3196">
      <c r="A3196" s="54" t="n"/>
      <c r="B3196" s="61" t="n"/>
      <c r="C3196" s="61" t="n"/>
      <c r="D3196" s="61" t="n"/>
      <c r="E3196" s="61" t="n"/>
      <c r="F3196" s="55" t="n"/>
      <c r="G3196" s="56" t="n"/>
      <c r="H3196" s="55" t="n"/>
      <c r="I3196" s="62" t="n"/>
      <c r="J3196" s="58" t="n"/>
      <c r="K3196" s="63">
        <f>IF(tblMovement[[#This Row],[Source]]="","",IFERROR(INDEX(tblSources[Type],MATCH(tblMovement[[#This Row],[Source]],tblSources[Source],0)),"?"))</f>
        <v/>
      </c>
      <c r="L3196" s="63">
        <f>IF(tblMovement[[#This Row],[Destination]]="","",IFERROR(INDEX(tblDestinations[Type],MATCH(tblMovement[[#This Row],[Destination]],tblDestinations[Destination],0)),"?"))</f>
        <v/>
      </c>
      <c r="M3196" s="64">
        <f>IF(tblMovement[[#This Row],[Material]]="","",IF(LEFT(tblMovement[[#This Row],[Material]],3)="Ore",1,0))</f>
        <v/>
      </c>
      <c r="N3196" s="59">
        <f>IF(OR(tblMovement[[#This Row],[Tonnes_t]]="",tblMovement[[#This Row],[Grade_gpt]]=""),0,tblMovement[[#This Row],[Tonnes_t]]*tblMovement[[#This Row],[Grade_gpt]]/cfg_TroyOz)</f>
        <v/>
      </c>
      <c r="O3196" s="59">
        <f>IF(tblMovement[[#This Row],[Is_Ore]]=1,tblMovement[[#This Row],[Contained_oz]],0)</f>
        <v/>
      </c>
    </row>
    <row r="3197">
      <c r="A3197" s="54" t="n"/>
      <c r="B3197" s="61" t="n"/>
      <c r="C3197" s="61" t="n"/>
      <c r="D3197" s="61" t="n"/>
      <c r="E3197" s="61" t="n"/>
      <c r="F3197" s="55" t="n"/>
      <c r="G3197" s="56" t="n"/>
      <c r="H3197" s="55" t="n"/>
      <c r="I3197" s="62" t="n"/>
      <c r="J3197" s="58" t="n"/>
      <c r="K3197" s="63">
        <f>IF(tblMovement[[#This Row],[Source]]="","",IFERROR(INDEX(tblSources[Type],MATCH(tblMovement[[#This Row],[Source]],tblSources[Source],0)),"?"))</f>
        <v/>
      </c>
      <c r="L3197" s="63">
        <f>IF(tblMovement[[#This Row],[Destination]]="","",IFERROR(INDEX(tblDestinations[Type],MATCH(tblMovement[[#This Row],[Destination]],tblDestinations[Destination],0)),"?"))</f>
        <v/>
      </c>
      <c r="M3197" s="64">
        <f>IF(tblMovement[[#This Row],[Material]]="","",IF(LEFT(tblMovement[[#This Row],[Material]],3)="Ore",1,0))</f>
        <v/>
      </c>
      <c r="N3197" s="59">
        <f>IF(OR(tblMovement[[#This Row],[Tonnes_t]]="",tblMovement[[#This Row],[Grade_gpt]]=""),0,tblMovement[[#This Row],[Tonnes_t]]*tblMovement[[#This Row],[Grade_gpt]]/cfg_TroyOz)</f>
        <v/>
      </c>
      <c r="O3197" s="59">
        <f>IF(tblMovement[[#This Row],[Is_Ore]]=1,tblMovement[[#This Row],[Contained_oz]],0)</f>
        <v/>
      </c>
    </row>
    <row r="3198">
      <c r="A3198" s="54" t="n"/>
      <c r="B3198" s="61" t="n"/>
      <c r="C3198" s="61" t="n"/>
      <c r="D3198" s="61" t="n"/>
      <c r="E3198" s="61" t="n"/>
      <c r="F3198" s="55" t="n"/>
      <c r="G3198" s="56" t="n"/>
      <c r="H3198" s="55" t="n"/>
      <c r="I3198" s="62" t="n"/>
      <c r="J3198" s="58" t="n"/>
      <c r="K3198" s="63">
        <f>IF(tblMovement[[#This Row],[Source]]="","",IFERROR(INDEX(tblSources[Type],MATCH(tblMovement[[#This Row],[Source]],tblSources[Source],0)),"?"))</f>
        <v/>
      </c>
      <c r="L3198" s="63">
        <f>IF(tblMovement[[#This Row],[Destination]]="","",IFERROR(INDEX(tblDestinations[Type],MATCH(tblMovement[[#This Row],[Destination]],tblDestinations[Destination],0)),"?"))</f>
        <v/>
      </c>
      <c r="M3198" s="64">
        <f>IF(tblMovement[[#This Row],[Material]]="","",IF(LEFT(tblMovement[[#This Row],[Material]],3)="Ore",1,0))</f>
        <v/>
      </c>
      <c r="N3198" s="59">
        <f>IF(OR(tblMovement[[#This Row],[Tonnes_t]]="",tblMovement[[#This Row],[Grade_gpt]]=""),0,tblMovement[[#This Row],[Tonnes_t]]*tblMovement[[#This Row],[Grade_gpt]]/cfg_TroyOz)</f>
        <v/>
      </c>
      <c r="O3198" s="59">
        <f>IF(tblMovement[[#This Row],[Is_Ore]]=1,tblMovement[[#This Row],[Contained_oz]],0)</f>
        <v/>
      </c>
    </row>
    <row r="3199">
      <c r="A3199" s="54" t="n"/>
      <c r="B3199" s="61" t="n"/>
      <c r="C3199" s="61" t="n"/>
      <c r="D3199" s="61" t="n"/>
      <c r="E3199" s="61" t="n"/>
      <c r="F3199" s="55" t="n"/>
      <c r="G3199" s="56" t="n"/>
      <c r="H3199" s="55" t="n"/>
      <c r="I3199" s="62" t="n"/>
      <c r="J3199" s="58" t="n"/>
      <c r="K3199" s="63">
        <f>IF(tblMovement[[#This Row],[Source]]="","",IFERROR(INDEX(tblSources[Type],MATCH(tblMovement[[#This Row],[Source]],tblSources[Source],0)),"?"))</f>
        <v/>
      </c>
      <c r="L3199" s="63">
        <f>IF(tblMovement[[#This Row],[Destination]]="","",IFERROR(INDEX(tblDestinations[Type],MATCH(tblMovement[[#This Row],[Destination]],tblDestinations[Destination],0)),"?"))</f>
        <v/>
      </c>
      <c r="M3199" s="64">
        <f>IF(tblMovement[[#This Row],[Material]]="","",IF(LEFT(tblMovement[[#This Row],[Material]],3)="Ore",1,0))</f>
        <v/>
      </c>
      <c r="N3199" s="59">
        <f>IF(OR(tblMovement[[#This Row],[Tonnes_t]]="",tblMovement[[#This Row],[Grade_gpt]]=""),0,tblMovement[[#This Row],[Tonnes_t]]*tblMovement[[#This Row],[Grade_gpt]]/cfg_TroyOz)</f>
        <v/>
      </c>
      <c r="O3199" s="59">
        <f>IF(tblMovement[[#This Row],[Is_Ore]]=1,tblMovement[[#This Row],[Contained_oz]],0)</f>
        <v/>
      </c>
    </row>
    <row r="3200">
      <c r="A3200" s="54" t="n"/>
      <c r="B3200" s="61" t="n"/>
      <c r="C3200" s="61" t="n"/>
      <c r="D3200" s="61" t="n"/>
      <c r="E3200" s="61" t="n"/>
      <c r="F3200" s="55" t="n"/>
      <c r="G3200" s="56" t="n"/>
      <c r="H3200" s="55" t="n"/>
      <c r="I3200" s="62" t="n"/>
      <c r="J3200" s="58" t="n"/>
      <c r="K3200" s="63">
        <f>IF(tblMovement[[#This Row],[Source]]="","",IFERROR(INDEX(tblSources[Type],MATCH(tblMovement[[#This Row],[Source]],tblSources[Source],0)),"?"))</f>
        <v/>
      </c>
      <c r="L3200" s="63">
        <f>IF(tblMovement[[#This Row],[Destination]]="","",IFERROR(INDEX(tblDestinations[Type],MATCH(tblMovement[[#This Row],[Destination]],tblDestinations[Destination],0)),"?"))</f>
        <v/>
      </c>
      <c r="M3200" s="64">
        <f>IF(tblMovement[[#This Row],[Material]]="","",IF(LEFT(tblMovement[[#This Row],[Material]],3)="Ore",1,0))</f>
        <v/>
      </c>
      <c r="N3200" s="59">
        <f>IF(OR(tblMovement[[#This Row],[Tonnes_t]]="",tblMovement[[#This Row],[Grade_gpt]]=""),0,tblMovement[[#This Row],[Tonnes_t]]*tblMovement[[#This Row],[Grade_gpt]]/cfg_TroyOz)</f>
        <v/>
      </c>
      <c r="O3200" s="59">
        <f>IF(tblMovement[[#This Row],[Is_Ore]]=1,tblMovement[[#This Row],[Contained_oz]],0)</f>
        <v/>
      </c>
    </row>
    <row r="3201">
      <c r="A3201" s="54" t="n"/>
      <c r="B3201" s="61" t="n"/>
      <c r="C3201" s="61" t="n"/>
      <c r="D3201" s="61" t="n"/>
      <c r="E3201" s="61" t="n"/>
      <c r="F3201" s="55" t="n"/>
      <c r="G3201" s="56" t="n"/>
      <c r="H3201" s="55" t="n"/>
      <c r="I3201" s="62" t="n"/>
      <c r="J3201" s="58" t="n"/>
      <c r="K3201" s="63">
        <f>IF(tblMovement[[#This Row],[Source]]="","",IFERROR(INDEX(tblSources[Type],MATCH(tblMovement[[#This Row],[Source]],tblSources[Source],0)),"?"))</f>
        <v/>
      </c>
      <c r="L3201" s="63">
        <f>IF(tblMovement[[#This Row],[Destination]]="","",IFERROR(INDEX(tblDestinations[Type],MATCH(tblMovement[[#This Row],[Destination]],tblDestinations[Destination],0)),"?"))</f>
        <v/>
      </c>
      <c r="M3201" s="64">
        <f>IF(tblMovement[[#This Row],[Material]]="","",IF(LEFT(tblMovement[[#This Row],[Material]],3)="Ore",1,0))</f>
        <v/>
      </c>
      <c r="N3201" s="59">
        <f>IF(OR(tblMovement[[#This Row],[Tonnes_t]]="",tblMovement[[#This Row],[Grade_gpt]]=""),0,tblMovement[[#This Row],[Tonnes_t]]*tblMovement[[#This Row],[Grade_gpt]]/cfg_TroyOz)</f>
        <v/>
      </c>
      <c r="O3201" s="59">
        <f>IF(tblMovement[[#This Row],[Is_Ore]]=1,tblMovement[[#This Row],[Contained_oz]],0)</f>
        <v/>
      </c>
    </row>
    <row r="3202">
      <c r="A3202" s="54" t="n"/>
      <c r="B3202" s="61" t="n"/>
      <c r="C3202" s="61" t="n"/>
      <c r="D3202" s="61" t="n"/>
      <c r="E3202" s="61" t="n"/>
      <c r="F3202" s="55" t="n"/>
      <c r="G3202" s="56" t="n"/>
      <c r="H3202" s="55" t="n"/>
      <c r="I3202" s="62" t="n"/>
      <c r="J3202" s="58" t="n"/>
      <c r="K3202" s="63">
        <f>IF(tblMovement[[#This Row],[Source]]="","",IFERROR(INDEX(tblSources[Type],MATCH(tblMovement[[#This Row],[Source]],tblSources[Source],0)),"?"))</f>
        <v/>
      </c>
      <c r="L3202" s="63">
        <f>IF(tblMovement[[#This Row],[Destination]]="","",IFERROR(INDEX(tblDestinations[Type],MATCH(tblMovement[[#This Row],[Destination]],tblDestinations[Destination],0)),"?"))</f>
        <v/>
      </c>
      <c r="M3202" s="64">
        <f>IF(tblMovement[[#This Row],[Material]]="","",IF(LEFT(tblMovement[[#This Row],[Material]],3)="Ore",1,0))</f>
        <v/>
      </c>
      <c r="N3202" s="59">
        <f>IF(OR(tblMovement[[#This Row],[Tonnes_t]]="",tblMovement[[#This Row],[Grade_gpt]]=""),0,tblMovement[[#This Row],[Tonnes_t]]*tblMovement[[#This Row],[Grade_gpt]]/cfg_TroyOz)</f>
        <v/>
      </c>
      <c r="O3202" s="59">
        <f>IF(tblMovement[[#This Row],[Is_Ore]]=1,tblMovement[[#This Row],[Contained_oz]],0)</f>
        <v/>
      </c>
    </row>
    <row r="3203">
      <c r="A3203" s="54" t="n"/>
      <c r="B3203" s="61" t="n"/>
      <c r="C3203" s="61" t="n"/>
      <c r="D3203" s="61" t="n"/>
      <c r="E3203" s="61" t="n"/>
      <c r="F3203" s="55" t="n"/>
      <c r="G3203" s="56" t="n"/>
      <c r="H3203" s="55" t="n"/>
      <c r="I3203" s="62" t="n"/>
      <c r="J3203" s="58" t="n"/>
      <c r="K3203" s="63">
        <f>IF(tblMovement[[#This Row],[Source]]="","",IFERROR(INDEX(tblSources[Type],MATCH(tblMovement[[#This Row],[Source]],tblSources[Source],0)),"?"))</f>
        <v/>
      </c>
      <c r="L3203" s="63">
        <f>IF(tblMovement[[#This Row],[Destination]]="","",IFERROR(INDEX(tblDestinations[Type],MATCH(tblMovement[[#This Row],[Destination]],tblDestinations[Destination],0)),"?"))</f>
        <v/>
      </c>
      <c r="M3203" s="64">
        <f>IF(tblMovement[[#This Row],[Material]]="","",IF(LEFT(tblMovement[[#This Row],[Material]],3)="Ore",1,0))</f>
        <v/>
      </c>
      <c r="N3203" s="59">
        <f>IF(OR(tblMovement[[#This Row],[Tonnes_t]]="",tblMovement[[#This Row],[Grade_gpt]]=""),0,tblMovement[[#This Row],[Tonnes_t]]*tblMovement[[#This Row],[Grade_gpt]]/cfg_TroyOz)</f>
        <v/>
      </c>
      <c r="O3203" s="59">
        <f>IF(tblMovement[[#This Row],[Is_Ore]]=1,tblMovement[[#This Row],[Contained_oz]],0)</f>
        <v/>
      </c>
    </row>
    <row r="3204">
      <c r="A3204" s="54" t="n"/>
      <c r="B3204" s="61" t="n"/>
      <c r="C3204" s="61" t="n"/>
      <c r="D3204" s="61" t="n"/>
      <c r="E3204" s="61" t="n"/>
      <c r="F3204" s="55" t="n"/>
      <c r="G3204" s="56" t="n"/>
      <c r="H3204" s="55" t="n"/>
      <c r="I3204" s="62" t="n"/>
      <c r="J3204" s="58" t="n"/>
      <c r="K3204" s="63">
        <f>IF(tblMovement[[#This Row],[Source]]="","",IFERROR(INDEX(tblSources[Type],MATCH(tblMovement[[#This Row],[Source]],tblSources[Source],0)),"?"))</f>
        <v/>
      </c>
      <c r="L3204" s="63">
        <f>IF(tblMovement[[#This Row],[Destination]]="","",IFERROR(INDEX(tblDestinations[Type],MATCH(tblMovement[[#This Row],[Destination]],tblDestinations[Destination],0)),"?"))</f>
        <v/>
      </c>
      <c r="M3204" s="64">
        <f>IF(tblMovement[[#This Row],[Material]]="","",IF(LEFT(tblMovement[[#This Row],[Material]],3)="Ore",1,0))</f>
        <v/>
      </c>
      <c r="N3204" s="59">
        <f>IF(OR(tblMovement[[#This Row],[Tonnes_t]]="",tblMovement[[#This Row],[Grade_gpt]]=""),0,tblMovement[[#This Row],[Tonnes_t]]*tblMovement[[#This Row],[Grade_gpt]]/cfg_TroyOz)</f>
        <v/>
      </c>
      <c r="O3204" s="59">
        <f>IF(tblMovement[[#This Row],[Is_Ore]]=1,tblMovement[[#This Row],[Contained_oz]],0)</f>
        <v/>
      </c>
    </row>
    <row r="3205">
      <c r="A3205" s="54" t="n"/>
      <c r="B3205" s="61" t="n"/>
      <c r="C3205" s="61" t="n"/>
      <c r="D3205" s="61" t="n"/>
      <c r="E3205" s="61" t="n"/>
      <c r="F3205" s="55" t="n"/>
      <c r="G3205" s="56" t="n"/>
      <c r="H3205" s="55" t="n"/>
      <c r="I3205" s="62" t="n"/>
      <c r="J3205" s="58" t="n"/>
      <c r="K3205" s="63">
        <f>IF(tblMovement[[#This Row],[Source]]="","",IFERROR(INDEX(tblSources[Type],MATCH(tblMovement[[#This Row],[Source]],tblSources[Source],0)),"?"))</f>
        <v/>
      </c>
      <c r="L3205" s="63">
        <f>IF(tblMovement[[#This Row],[Destination]]="","",IFERROR(INDEX(tblDestinations[Type],MATCH(tblMovement[[#This Row],[Destination]],tblDestinations[Destination],0)),"?"))</f>
        <v/>
      </c>
      <c r="M3205" s="64">
        <f>IF(tblMovement[[#This Row],[Material]]="","",IF(LEFT(tblMovement[[#This Row],[Material]],3)="Ore",1,0))</f>
        <v/>
      </c>
      <c r="N3205" s="59">
        <f>IF(OR(tblMovement[[#This Row],[Tonnes_t]]="",tblMovement[[#This Row],[Grade_gpt]]=""),0,tblMovement[[#This Row],[Tonnes_t]]*tblMovement[[#This Row],[Grade_gpt]]/cfg_TroyOz)</f>
        <v/>
      </c>
      <c r="O3205" s="59">
        <f>IF(tblMovement[[#This Row],[Is_Ore]]=1,tblMovement[[#This Row],[Contained_oz]],0)</f>
        <v/>
      </c>
    </row>
    <row r="3206">
      <c r="A3206" s="54" t="n"/>
      <c r="B3206" s="61" t="n"/>
      <c r="C3206" s="61" t="n"/>
      <c r="D3206" s="61" t="n"/>
      <c r="E3206" s="61" t="n"/>
      <c r="F3206" s="55" t="n"/>
      <c r="G3206" s="56" t="n"/>
      <c r="H3206" s="55" t="n"/>
      <c r="I3206" s="62" t="n"/>
      <c r="J3206" s="58" t="n"/>
      <c r="K3206" s="63">
        <f>IF(tblMovement[[#This Row],[Source]]="","",IFERROR(INDEX(tblSources[Type],MATCH(tblMovement[[#This Row],[Source]],tblSources[Source],0)),"?"))</f>
        <v/>
      </c>
      <c r="L3206" s="63">
        <f>IF(tblMovement[[#This Row],[Destination]]="","",IFERROR(INDEX(tblDestinations[Type],MATCH(tblMovement[[#This Row],[Destination]],tblDestinations[Destination],0)),"?"))</f>
        <v/>
      </c>
      <c r="M3206" s="64">
        <f>IF(tblMovement[[#This Row],[Material]]="","",IF(LEFT(tblMovement[[#This Row],[Material]],3)="Ore",1,0))</f>
        <v/>
      </c>
      <c r="N3206" s="59">
        <f>IF(OR(tblMovement[[#This Row],[Tonnes_t]]="",tblMovement[[#This Row],[Grade_gpt]]=""),0,tblMovement[[#This Row],[Tonnes_t]]*tblMovement[[#This Row],[Grade_gpt]]/cfg_TroyOz)</f>
        <v/>
      </c>
      <c r="O3206" s="59">
        <f>IF(tblMovement[[#This Row],[Is_Ore]]=1,tblMovement[[#This Row],[Contained_oz]],0)</f>
        <v/>
      </c>
    </row>
    <row r="3207">
      <c r="A3207" s="54" t="n"/>
      <c r="B3207" s="61" t="n"/>
      <c r="C3207" s="61" t="n"/>
      <c r="D3207" s="61" t="n"/>
      <c r="E3207" s="61" t="n"/>
      <c r="F3207" s="55" t="n"/>
      <c r="G3207" s="56" t="n"/>
      <c r="H3207" s="55" t="n"/>
      <c r="I3207" s="62" t="n"/>
      <c r="J3207" s="58" t="n"/>
      <c r="K3207" s="63">
        <f>IF(tblMovement[[#This Row],[Source]]="","",IFERROR(INDEX(tblSources[Type],MATCH(tblMovement[[#This Row],[Source]],tblSources[Source],0)),"?"))</f>
        <v/>
      </c>
      <c r="L3207" s="63">
        <f>IF(tblMovement[[#This Row],[Destination]]="","",IFERROR(INDEX(tblDestinations[Type],MATCH(tblMovement[[#This Row],[Destination]],tblDestinations[Destination],0)),"?"))</f>
        <v/>
      </c>
      <c r="M3207" s="64">
        <f>IF(tblMovement[[#This Row],[Material]]="","",IF(LEFT(tblMovement[[#This Row],[Material]],3)="Ore",1,0))</f>
        <v/>
      </c>
      <c r="N3207" s="59">
        <f>IF(OR(tblMovement[[#This Row],[Tonnes_t]]="",tblMovement[[#This Row],[Grade_gpt]]=""),0,tblMovement[[#This Row],[Tonnes_t]]*tblMovement[[#This Row],[Grade_gpt]]/cfg_TroyOz)</f>
        <v/>
      </c>
      <c r="O3207" s="59">
        <f>IF(tblMovement[[#This Row],[Is_Ore]]=1,tblMovement[[#This Row],[Contained_oz]],0)</f>
        <v/>
      </c>
    </row>
    <row r="3208">
      <c r="A3208" s="54" t="n"/>
      <c r="B3208" s="61" t="n"/>
      <c r="C3208" s="61" t="n"/>
      <c r="D3208" s="61" t="n"/>
      <c r="E3208" s="61" t="n"/>
      <c r="F3208" s="55" t="n"/>
      <c r="G3208" s="56" t="n"/>
      <c r="H3208" s="55" t="n"/>
      <c r="I3208" s="62" t="n"/>
      <c r="J3208" s="58" t="n"/>
      <c r="K3208" s="63">
        <f>IF(tblMovement[[#This Row],[Source]]="","",IFERROR(INDEX(tblSources[Type],MATCH(tblMovement[[#This Row],[Source]],tblSources[Source],0)),"?"))</f>
        <v/>
      </c>
      <c r="L3208" s="63">
        <f>IF(tblMovement[[#This Row],[Destination]]="","",IFERROR(INDEX(tblDestinations[Type],MATCH(tblMovement[[#This Row],[Destination]],tblDestinations[Destination],0)),"?"))</f>
        <v/>
      </c>
      <c r="M3208" s="64">
        <f>IF(tblMovement[[#This Row],[Material]]="","",IF(LEFT(tblMovement[[#This Row],[Material]],3)="Ore",1,0))</f>
        <v/>
      </c>
      <c r="N3208" s="59">
        <f>IF(OR(tblMovement[[#This Row],[Tonnes_t]]="",tblMovement[[#This Row],[Grade_gpt]]=""),0,tblMovement[[#This Row],[Tonnes_t]]*tblMovement[[#This Row],[Grade_gpt]]/cfg_TroyOz)</f>
        <v/>
      </c>
      <c r="O3208" s="59">
        <f>IF(tblMovement[[#This Row],[Is_Ore]]=1,tblMovement[[#This Row],[Contained_oz]],0)</f>
        <v/>
      </c>
    </row>
    <row r="3209">
      <c r="A3209" s="54" t="n"/>
      <c r="B3209" s="61" t="n"/>
      <c r="C3209" s="61" t="n"/>
      <c r="D3209" s="61" t="n"/>
      <c r="E3209" s="61" t="n"/>
      <c r="F3209" s="55" t="n"/>
      <c r="G3209" s="56" t="n"/>
      <c r="H3209" s="55" t="n"/>
      <c r="I3209" s="62" t="n"/>
      <c r="J3209" s="58" t="n"/>
      <c r="K3209" s="63">
        <f>IF(tblMovement[[#This Row],[Source]]="","",IFERROR(INDEX(tblSources[Type],MATCH(tblMovement[[#This Row],[Source]],tblSources[Source],0)),"?"))</f>
        <v/>
      </c>
      <c r="L3209" s="63">
        <f>IF(tblMovement[[#This Row],[Destination]]="","",IFERROR(INDEX(tblDestinations[Type],MATCH(tblMovement[[#This Row],[Destination]],tblDestinations[Destination],0)),"?"))</f>
        <v/>
      </c>
      <c r="M3209" s="64">
        <f>IF(tblMovement[[#This Row],[Material]]="","",IF(LEFT(tblMovement[[#This Row],[Material]],3)="Ore",1,0))</f>
        <v/>
      </c>
      <c r="N3209" s="59">
        <f>IF(OR(tblMovement[[#This Row],[Tonnes_t]]="",tblMovement[[#This Row],[Grade_gpt]]=""),0,tblMovement[[#This Row],[Tonnes_t]]*tblMovement[[#This Row],[Grade_gpt]]/cfg_TroyOz)</f>
        <v/>
      </c>
      <c r="O3209" s="59">
        <f>IF(tblMovement[[#This Row],[Is_Ore]]=1,tblMovement[[#This Row],[Contained_oz]],0)</f>
        <v/>
      </c>
    </row>
    <row r="3210">
      <c r="A3210" s="54" t="n"/>
      <c r="B3210" s="61" t="n"/>
      <c r="C3210" s="61" t="n"/>
      <c r="D3210" s="61" t="n"/>
      <c r="E3210" s="61" t="n"/>
      <c r="F3210" s="55" t="n"/>
      <c r="G3210" s="56" t="n"/>
      <c r="H3210" s="55" t="n"/>
      <c r="I3210" s="62" t="n"/>
      <c r="J3210" s="58" t="n"/>
      <c r="K3210" s="63">
        <f>IF(tblMovement[[#This Row],[Source]]="","",IFERROR(INDEX(tblSources[Type],MATCH(tblMovement[[#This Row],[Source]],tblSources[Source],0)),"?"))</f>
        <v/>
      </c>
      <c r="L3210" s="63">
        <f>IF(tblMovement[[#This Row],[Destination]]="","",IFERROR(INDEX(tblDestinations[Type],MATCH(tblMovement[[#This Row],[Destination]],tblDestinations[Destination],0)),"?"))</f>
        <v/>
      </c>
      <c r="M3210" s="64">
        <f>IF(tblMovement[[#This Row],[Material]]="","",IF(LEFT(tblMovement[[#This Row],[Material]],3)="Ore",1,0))</f>
        <v/>
      </c>
      <c r="N3210" s="59">
        <f>IF(OR(tblMovement[[#This Row],[Tonnes_t]]="",tblMovement[[#This Row],[Grade_gpt]]=""),0,tblMovement[[#This Row],[Tonnes_t]]*tblMovement[[#This Row],[Grade_gpt]]/cfg_TroyOz)</f>
        <v/>
      </c>
      <c r="O3210" s="59">
        <f>IF(tblMovement[[#This Row],[Is_Ore]]=1,tblMovement[[#This Row],[Contained_oz]],0)</f>
        <v/>
      </c>
    </row>
    <row r="3211">
      <c r="A3211" s="54" t="n"/>
      <c r="B3211" s="61" t="n"/>
      <c r="C3211" s="61" t="n"/>
      <c r="D3211" s="61" t="n"/>
      <c r="E3211" s="61" t="n"/>
      <c r="F3211" s="55" t="n"/>
      <c r="G3211" s="56" t="n"/>
      <c r="H3211" s="55" t="n"/>
      <c r="I3211" s="62" t="n"/>
      <c r="J3211" s="58" t="n"/>
      <c r="K3211" s="63">
        <f>IF(tblMovement[[#This Row],[Source]]="","",IFERROR(INDEX(tblSources[Type],MATCH(tblMovement[[#This Row],[Source]],tblSources[Source],0)),"?"))</f>
        <v/>
      </c>
      <c r="L3211" s="63">
        <f>IF(tblMovement[[#This Row],[Destination]]="","",IFERROR(INDEX(tblDestinations[Type],MATCH(tblMovement[[#This Row],[Destination]],tblDestinations[Destination],0)),"?"))</f>
        <v/>
      </c>
      <c r="M3211" s="64">
        <f>IF(tblMovement[[#This Row],[Material]]="","",IF(LEFT(tblMovement[[#This Row],[Material]],3)="Ore",1,0))</f>
        <v/>
      </c>
      <c r="N3211" s="59">
        <f>IF(OR(tblMovement[[#This Row],[Tonnes_t]]="",tblMovement[[#This Row],[Grade_gpt]]=""),0,tblMovement[[#This Row],[Tonnes_t]]*tblMovement[[#This Row],[Grade_gpt]]/cfg_TroyOz)</f>
        <v/>
      </c>
      <c r="O3211" s="59">
        <f>IF(tblMovement[[#This Row],[Is_Ore]]=1,tblMovement[[#This Row],[Contained_oz]],0)</f>
        <v/>
      </c>
    </row>
    <row r="3212">
      <c r="A3212" s="54" t="n"/>
      <c r="B3212" s="61" t="n"/>
      <c r="C3212" s="61" t="n"/>
      <c r="D3212" s="61" t="n"/>
      <c r="E3212" s="61" t="n"/>
      <c r="F3212" s="55" t="n"/>
      <c r="G3212" s="56" t="n"/>
      <c r="H3212" s="55" t="n"/>
      <c r="I3212" s="62" t="n"/>
      <c r="J3212" s="58" t="n"/>
      <c r="K3212" s="63">
        <f>IF(tblMovement[[#This Row],[Source]]="","",IFERROR(INDEX(tblSources[Type],MATCH(tblMovement[[#This Row],[Source]],tblSources[Source],0)),"?"))</f>
        <v/>
      </c>
      <c r="L3212" s="63">
        <f>IF(tblMovement[[#This Row],[Destination]]="","",IFERROR(INDEX(tblDestinations[Type],MATCH(tblMovement[[#This Row],[Destination]],tblDestinations[Destination],0)),"?"))</f>
        <v/>
      </c>
      <c r="M3212" s="64">
        <f>IF(tblMovement[[#This Row],[Material]]="","",IF(LEFT(tblMovement[[#This Row],[Material]],3)="Ore",1,0))</f>
        <v/>
      </c>
      <c r="N3212" s="59">
        <f>IF(OR(tblMovement[[#This Row],[Tonnes_t]]="",tblMovement[[#This Row],[Grade_gpt]]=""),0,tblMovement[[#This Row],[Tonnes_t]]*tblMovement[[#This Row],[Grade_gpt]]/cfg_TroyOz)</f>
        <v/>
      </c>
      <c r="O3212" s="59">
        <f>IF(tblMovement[[#This Row],[Is_Ore]]=1,tblMovement[[#This Row],[Contained_oz]],0)</f>
        <v/>
      </c>
    </row>
    <row r="3213">
      <c r="A3213" s="54" t="n"/>
      <c r="B3213" s="61" t="n"/>
      <c r="C3213" s="61" t="n"/>
      <c r="D3213" s="61" t="n"/>
      <c r="E3213" s="61" t="n"/>
      <c r="F3213" s="55" t="n"/>
      <c r="G3213" s="56" t="n"/>
      <c r="H3213" s="55" t="n"/>
      <c r="I3213" s="62" t="n"/>
      <c r="J3213" s="58" t="n"/>
      <c r="K3213" s="63">
        <f>IF(tblMovement[[#This Row],[Source]]="","",IFERROR(INDEX(tblSources[Type],MATCH(tblMovement[[#This Row],[Source]],tblSources[Source],0)),"?"))</f>
        <v/>
      </c>
      <c r="L3213" s="63">
        <f>IF(tblMovement[[#This Row],[Destination]]="","",IFERROR(INDEX(tblDestinations[Type],MATCH(tblMovement[[#This Row],[Destination]],tblDestinations[Destination],0)),"?"))</f>
        <v/>
      </c>
      <c r="M3213" s="64">
        <f>IF(tblMovement[[#This Row],[Material]]="","",IF(LEFT(tblMovement[[#This Row],[Material]],3)="Ore",1,0))</f>
        <v/>
      </c>
      <c r="N3213" s="59">
        <f>IF(OR(tblMovement[[#This Row],[Tonnes_t]]="",tblMovement[[#This Row],[Grade_gpt]]=""),0,tblMovement[[#This Row],[Tonnes_t]]*tblMovement[[#This Row],[Grade_gpt]]/cfg_TroyOz)</f>
        <v/>
      </c>
      <c r="O3213" s="59">
        <f>IF(tblMovement[[#This Row],[Is_Ore]]=1,tblMovement[[#This Row],[Contained_oz]],0)</f>
        <v/>
      </c>
    </row>
    <row r="3214">
      <c r="A3214" s="54" t="n"/>
      <c r="B3214" s="61" t="n"/>
      <c r="C3214" s="61" t="n"/>
      <c r="D3214" s="61" t="n"/>
      <c r="E3214" s="61" t="n"/>
      <c r="F3214" s="55" t="n"/>
      <c r="G3214" s="56" t="n"/>
      <c r="H3214" s="55" t="n"/>
      <c r="I3214" s="62" t="n"/>
      <c r="J3214" s="58" t="n"/>
      <c r="K3214" s="63">
        <f>IF(tblMovement[[#This Row],[Source]]="","",IFERROR(INDEX(tblSources[Type],MATCH(tblMovement[[#This Row],[Source]],tblSources[Source],0)),"?"))</f>
        <v/>
      </c>
      <c r="L3214" s="63">
        <f>IF(tblMovement[[#This Row],[Destination]]="","",IFERROR(INDEX(tblDestinations[Type],MATCH(tblMovement[[#This Row],[Destination]],tblDestinations[Destination],0)),"?"))</f>
        <v/>
      </c>
      <c r="M3214" s="64">
        <f>IF(tblMovement[[#This Row],[Material]]="","",IF(LEFT(tblMovement[[#This Row],[Material]],3)="Ore",1,0))</f>
        <v/>
      </c>
      <c r="N3214" s="59">
        <f>IF(OR(tblMovement[[#This Row],[Tonnes_t]]="",tblMovement[[#This Row],[Grade_gpt]]=""),0,tblMovement[[#This Row],[Tonnes_t]]*tblMovement[[#This Row],[Grade_gpt]]/cfg_TroyOz)</f>
        <v/>
      </c>
      <c r="O3214" s="59">
        <f>IF(tblMovement[[#This Row],[Is_Ore]]=1,tblMovement[[#This Row],[Contained_oz]],0)</f>
        <v/>
      </c>
    </row>
    <row r="3215">
      <c r="A3215" s="54" t="n"/>
      <c r="B3215" s="61" t="n"/>
      <c r="C3215" s="61" t="n"/>
      <c r="D3215" s="61" t="n"/>
      <c r="E3215" s="61" t="n"/>
      <c r="F3215" s="55" t="n"/>
      <c r="G3215" s="56" t="n"/>
      <c r="H3215" s="55" t="n"/>
      <c r="I3215" s="62" t="n"/>
      <c r="J3215" s="58" t="n"/>
      <c r="K3215" s="63">
        <f>IF(tblMovement[[#This Row],[Source]]="","",IFERROR(INDEX(tblSources[Type],MATCH(tblMovement[[#This Row],[Source]],tblSources[Source],0)),"?"))</f>
        <v/>
      </c>
      <c r="L3215" s="63">
        <f>IF(tblMovement[[#This Row],[Destination]]="","",IFERROR(INDEX(tblDestinations[Type],MATCH(tblMovement[[#This Row],[Destination]],tblDestinations[Destination],0)),"?"))</f>
        <v/>
      </c>
      <c r="M3215" s="64">
        <f>IF(tblMovement[[#This Row],[Material]]="","",IF(LEFT(tblMovement[[#This Row],[Material]],3)="Ore",1,0))</f>
        <v/>
      </c>
      <c r="N3215" s="59">
        <f>IF(OR(tblMovement[[#This Row],[Tonnes_t]]="",tblMovement[[#This Row],[Grade_gpt]]=""),0,tblMovement[[#This Row],[Tonnes_t]]*tblMovement[[#This Row],[Grade_gpt]]/cfg_TroyOz)</f>
        <v/>
      </c>
      <c r="O3215" s="59">
        <f>IF(tblMovement[[#This Row],[Is_Ore]]=1,tblMovement[[#This Row],[Contained_oz]],0)</f>
        <v/>
      </c>
    </row>
    <row r="3216">
      <c r="A3216" s="54" t="n"/>
      <c r="B3216" s="61" t="n"/>
      <c r="C3216" s="61" t="n"/>
      <c r="D3216" s="61" t="n"/>
      <c r="E3216" s="61" t="n"/>
      <c r="F3216" s="55" t="n"/>
      <c r="G3216" s="56" t="n"/>
      <c r="H3216" s="55" t="n"/>
      <c r="I3216" s="62" t="n"/>
      <c r="J3216" s="58" t="n"/>
      <c r="K3216" s="63">
        <f>IF(tblMovement[[#This Row],[Source]]="","",IFERROR(INDEX(tblSources[Type],MATCH(tblMovement[[#This Row],[Source]],tblSources[Source],0)),"?"))</f>
        <v/>
      </c>
      <c r="L3216" s="63">
        <f>IF(tblMovement[[#This Row],[Destination]]="","",IFERROR(INDEX(tblDestinations[Type],MATCH(tblMovement[[#This Row],[Destination]],tblDestinations[Destination],0)),"?"))</f>
        <v/>
      </c>
      <c r="M3216" s="64">
        <f>IF(tblMovement[[#This Row],[Material]]="","",IF(LEFT(tblMovement[[#This Row],[Material]],3)="Ore",1,0))</f>
        <v/>
      </c>
      <c r="N3216" s="59">
        <f>IF(OR(tblMovement[[#This Row],[Tonnes_t]]="",tblMovement[[#This Row],[Grade_gpt]]=""),0,tblMovement[[#This Row],[Tonnes_t]]*tblMovement[[#This Row],[Grade_gpt]]/cfg_TroyOz)</f>
        <v/>
      </c>
      <c r="O3216" s="59">
        <f>IF(tblMovement[[#This Row],[Is_Ore]]=1,tblMovement[[#This Row],[Contained_oz]],0)</f>
        <v/>
      </c>
    </row>
    <row r="3217">
      <c r="A3217" s="54" t="n"/>
      <c r="B3217" s="61" t="n"/>
      <c r="C3217" s="61" t="n"/>
      <c r="D3217" s="61" t="n"/>
      <c r="E3217" s="61" t="n"/>
      <c r="F3217" s="55" t="n"/>
      <c r="G3217" s="56" t="n"/>
      <c r="H3217" s="55" t="n"/>
      <c r="I3217" s="62" t="n"/>
      <c r="J3217" s="58" t="n"/>
      <c r="K3217" s="63">
        <f>IF(tblMovement[[#This Row],[Source]]="","",IFERROR(INDEX(tblSources[Type],MATCH(tblMovement[[#This Row],[Source]],tblSources[Source],0)),"?"))</f>
        <v/>
      </c>
      <c r="L3217" s="63">
        <f>IF(tblMovement[[#This Row],[Destination]]="","",IFERROR(INDEX(tblDestinations[Type],MATCH(tblMovement[[#This Row],[Destination]],tblDestinations[Destination],0)),"?"))</f>
        <v/>
      </c>
      <c r="M3217" s="64">
        <f>IF(tblMovement[[#This Row],[Material]]="","",IF(LEFT(tblMovement[[#This Row],[Material]],3)="Ore",1,0))</f>
        <v/>
      </c>
      <c r="N3217" s="59">
        <f>IF(OR(tblMovement[[#This Row],[Tonnes_t]]="",tblMovement[[#This Row],[Grade_gpt]]=""),0,tblMovement[[#This Row],[Tonnes_t]]*tblMovement[[#This Row],[Grade_gpt]]/cfg_TroyOz)</f>
        <v/>
      </c>
      <c r="O3217" s="59">
        <f>IF(tblMovement[[#This Row],[Is_Ore]]=1,tblMovement[[#This Row],[Contained_oz]],0)</f>
        <v/>
      </c>
    </row>
    <row r="3218">
      <c r="A3218" s="54" t="n"/>
      <c r="B3218" s="61" t="n"/>
      <c r="C3218" s="61" t="n"/>
      <c r="D3218" s="61" t="n"/>
      <c r="E3218" s="61" t="n"/>
      <c r="F3218" s="55" t="n"/>
      <c r="G3218" s="56" t="n"/>
      <c r="H3218" s="55" t="n"/>
      <c r="I3218" s="62" t="n"/>
      <c r="J3218" s="58" t="n"/>
      <c r="K3218" s="63">
        <f>IF(tblMovement[[#This Row],[Source]]="","",IFERROR(INDEX(tblSources[Type],MATCH(tblMovement[[#This Row],[Source]],tblSources[Source],0)),"?"))</f>
        <v/>
      </c>
      <c r="L3218" s="63">
        <f>IF(tblMovement[[#This Row],[Destination]]="","",IFERROR(INDEX(tblDestinations[Type],MATCH(tblMovement[[#This Row],[Destination]],tblDestinations[Destination],0)),"?"))</f>
        <v/>
      </c>
      <c r="M3218" s="64">
        <f>IF(tblMovement[[#This Row],[Material]]="","",IF(LEFT(tblMovement[[#This Row],[Material]],3)="Ore",1,0))</f>
        <v/>
      </c>
      <c r="N3218" s="59">
        <f>IF(OR(tblMovement[[#This Row],[Tonnes_t]]="",tblMovement[[#This Row],[Grade_gpt]]=""),0,tblMovement[[#This Row],[Tonnes_t]]*tblMovement[[#This Row],[Grade_gpt]]/cfg_TroyOz)</f>
        <v/>
      </c>
      <c r="O3218" s="59">
        <f>IF(tblMovement[[#This Row],[Is_Ore]]=1,tblMovement[[#This Row],[Contained_oz]],0)</f>
        <v/>
      </c>
    </row>
    <row r="3219">
      <c r="A3219" s="54" t="n"/>
      <c r="B3219" s="61" t="n"/>
      <c r="C3219" s="61" t="n"/>
      <c r="D3219" s="61" t="n"/>
      <c r="E3219" s="61" t="n"/>
      <c r="F3219" s="55" t="n"/>
      <c r="G3219" s="56" t="n"/>
      <c r="H3219" s="55" t="n"/>
      <c r="I3219" s="62" t="n"/>
      <c r="J3219" s="58" t="n"/>
      <c r="K3219" s="63">
        <f>IF(tblMovement[[#This Row],[Source]]="","",IFERROR(INDEX(tblSources[Type],MATCH(tblMovement[[#This Row],[Source]],tblSources[Source],0)),"?"))</f>
        <v/>
      </c>
      <c r="L3219" s="63">
        <f>IF(tblMovement[[#This Row],[Destination]]="","",IFERROR(INDEX(tblDestinations[Type],MATCH(tblMovement[[#This Row],[Destination]],tblDestinations[Destination],0)),"?"))</f>
        <v/>
      </c>
      <c r="M3219" s="64">
        <f>IF(tblMovement[[#This Row],[Material]]="","",IF(LEFT(tblMovement[[#This Row],[Material]],3)="Ore",1,0))</f>
        <v/>
      </c>
      <c r="N3219" s="59">
        <f>IF(OR(tblMovement[[#This Row],[Tonnes_t]]="",tblMovement[[#This Row],[Grade_gpt]]=""),0,tblMovement[[#This Row],[Tonnes_t]]*tblMovement[[#This Row],[Grade_gpt]]/cfg_TroyOz)</f>
        <v/>
      </c>
      <c r="O3219" s="59">
        <f>IF(tblMovement[[#This Row],[Is_Ore]]=1,tblMovement[[#This Row],[Contained_oz]],0)</f>
        <v/>
      </c>
    </row>
    <row r="3220">
      <c r="A3220" s="54" t="n"/>
      <c r="B3220" s="61" t="n"/>
      <c r="C3220" s="61" t="n"/>
      <c r="D3220" s="61" t="n"/>
      <c r="E3220" s="61" t="n"/>
      <c r="F3220" s="55" t="n"/>
      <c r="G3220" s="56" t="n"/>
      <c r="H3220" s="55" t="n"/>
      <c r="I3220" s="62" t="n"/>
      <c r="J3220" s="58" t="n"/>
      <c r="K3220" s="63">
        <f>IF(tblMovement[[#This Row],[Source]]="","",IFERROR(INDEX(tblSources[Type],MATCH(tblMovement[[#This Row],[Source]],tblSources[Source],0)),"?"))</f>
        <v/>
      </c>
      <c r="L3220" s="63">
        <f>IF(tblMovement[[#This Row],[Destination]]="","",IFERROR(INDEX(tblDestinations[Type],MATCH(tblMovement[[#This Row],[Destination]],tblDestinations[Destination],0)),"?"))</f>
        <v/>
      </c>
      <c r="M3220" s="64">
        <f>IF(tblMovement[[#This Row],[Material]]="","",IF(LEFT(tblMovement[[#This Row],[Material]],3)="Ore",1,0))</f>
        <v/>
      </c>
      <c r="N3220" s="59">
        <f>IF(OR(tblMovement[[#This Row],[Tonnes_t]]="",tblMovement[[#This Row],[Grade_gpt]]=""),0,tblMovement[[#This Row],[Tonnes_t]]*tblMovement[[#This Row],[Grade_gpt]]/cfg_TroyOz)</f>
        <v/>
      </c>
      <c r="O3220" s="59">
        <f>IF(tblMovement[[#This Row],[Is_Ore]]=1,tblMovement[[#This Row],[Contained_oz]],0)</f>
        <v/>
      </c>
    </row>
    <row r="3221">
      <c r="A3221" s="54" t="n"/>
      <c r="B3221" s="61" t="n"/>
      <c r="C3221" s="61" t="n"/>
      <c r="D3221" s="61" t="n"/>
      <c r="E3221" s="61" t="n"/>
      <c r="F3221" s="55" t="n"/>
      <c r="G3221" s="56" t="n"/>
      <c r="H3221" s="55" t="n"/>
      <c r="I3221" s="62" t="n"/>
      <c r="J3221" s="58" t="n"/>
      <c r="K3221" s="63">
        <f>IF(tblMovement[[#This Row],[Source]]="","",IFERROR(INDEX(tblSources[Type],MATCH(tblMovement[[#This Row],[Source]],tblSources[Source],0)),"?"))</f>
        <v/>
      </c>
      <c r="L3221" s="63">
        <f>IF(tblMovement[[#This Row],[Destination]]="","",IFERROR(INDEX(tblDestinations[Type],MATCH(tblMovement[[#This Row],[Destination]],tblDestinations[Destination],0)),"?"))</f>
        <v/>
      </c>
      <c r="M3221" s="64">
        <f>IF(tblMovement[[#This Row],[Material]]="","",IF(LEFT(tblMovement[[#This Row],[Material]],3)="Ore",1,0))</f>
        <v/>
      </c>
      <c r="N3221" s="59">
        <f>IF(OR(tblMovement[[#This Row],[Tonnes_t]]="",tblMovement[[#This Row],[Grade_gpt]]=""),0,tblMovement[[#This Row],[Tonnes_t]]*tblMovement[[#This Row],[Grade_gpt]]/cfg_TroyOz)</f>
        <v/>
      </c>
      <c r="O3221" s="59">
        <f>IF(tblMovement[[#This Row],[Is_Ore]]=1,tblMovement[[#This Row],[Contained_oz]],0)</f>
        <v/>
      </c>
    </row>
    <row r="3222">
      <c r="A3222" s="54" t="n"/>
      <c r="B3222" s="61" t="n"/>
      <c r="C3222" s="61" t="n"/>
      <c r="D3222" s="61" t="n"/>
      <c r="E3222" s="61" t="n"/>
      <c r="F3222" s="55" t="n"/>
      <c r="G3222" s="56" t="n"/>
      <c r="H3222" s="55" t="n"/>
      <c r="I3222" s="62" t="n"/>
      <c r="J3222" s="58" t="n"/>
      <c r="K3222" s="63">
        <f>IF(tblMovement[[#This Row],[Source]]="","",IFERROR(INDEX(tblSources[Type],MATCH(tblMovement[[#This Row],[Source]],tblSources[Source],0)),"?"))</f>
        <v/>
      </c>
      <c r="L3222" s="63">
        <f>IF(tblMovement[[#This Row],[Destination]]="","",IFERROR(INDEX(tblDestinations[Type],MATCH(tblMovement[[#This Row],[Destination]],tblDestinations[Destination],0)),"?"))</f>
        <v/>
      </c>
      <c r="M3222" s="64">
        <f>IF(tblMovement[[#This Row],[Material]]="","",IF(LEFT(tblMovement[[#This Row],[Material]],3)="Ore",1,0))</f>
        <v/>
      </c>
      <c r="N3222" s="59">
        <f>IF(OR(tblMovement[[#This Row],[Tonnes_t]]="",tblMovement[[#This Row],[Grade_gpt]]=""),0,tblMovement[[#This Row],[Tonnes_t]]*tblMovement[[#This Row],[Grade_gpt]]/cfg_TroyOz)</f>
        <v/>
      </c>
      <c r="O3222" s="59">
        <f>IF(tblMovement[[#This Row],[Is_Ore]]=1,tblMovement[[#This Row],[Contained_oz]],0)</f>
        <v/>
      </c>
    </row>
    <row r="3223">
      <c r="A3223" s="54" t="n"/>
      <c r="B3223" s="61" t="n"/>
      <c r="C3223" s="61" t="n"/>
      <c r="D3223" s="61" t="n"/>
      <c r="E3223" s="61" t="n"/>
      <c r="F3223" s="55" t="n"/>
      <c r="G3223" s="56" t="n"/>
      <c r="H3223" s="55" t="n"/>
      <c r="I3223" s="62" t="n"/>
      <c r="J3223" s="58" t="n"/>
      <c r="K3223" s="63">
        <f>IF(tblMovement[[#This Row],[Source]]="","",IFERROR(INDEX(tblSources[Type],MATCH(tblMovement[[#This Row],[Source]],tblSources[Source],0)),"?"))</f>
        <v/>
      </c>
      <c r="L3223" s="63">
        <f>IF(tblMovement[[#This Row],[Destination]]="","",IFERROR(INDEX(tblDestinations[Type],MATCH(tblMovement[[#This Row],[Destination]],tblDestinations[Destination],0)),"?"))</f>
        <v/>
      </c>
      <c r="M3223" s="64">
        <f>IF(tblMovement[[#This Row],[Material]]="","",IF(LEFT(tblMovement[[#This Row],[Material]],3)="Ore",1,0))</f>
        <v/>
      </c>
      <c r="N3223" s="59">
        <f>IF(OR(tblMovement[[#This Row],[Tonnes_t]]="",tblMovement[[#This Row],[Grade_gpt]]=""),0,tblMovement[[#This Row],[Tonnes_t]]*tblMovement[[#This Row],[Grade_gpt]]/cfg_TroyOz)</f>
        <v/>
      </c>
      <c r="O3223" s="59">
        <f>IF(tblMovement[[#This Row],[Is_Ore]]=1,tblMovement[[#This Row],[Contained_oz]],0)</f>
        <v/>
      </c>
    </row>
    <row r="3224">
      <c r="A3224" s="54" t="n"/>
      <c r="B3224" s="61" t="n"/>
      <c r="C3224" s="61" t="n"/>
      <c r="D3224" s="61" t="n"/>
      <c r="E3224" s="61" t="n"/>
      <c r="F3224" s="55" t="n"/>
      <c r="G3224" s="56" t="n"/>
      <c r="H3224" s="55" t="n"/>
      <c r="I3224" s="62" t="n"/>
      <c r="J3224" s="58" t="n"/>
      <c r="K3224" s="63">
        <f>IF(tblMovement[[#This Row],[Source]]="","",IFERROR(INDEX(tblSources[Type],MATCH(tblMovement[[#This Row],[Source]],tblSources[Source],0)),"?"))</f>
        <v/>
      </c>
      <c r="L3224" s="63">
        <f>IF(tblMovement[[#This Row],[Destination]]="","",IFERROR(INDEX(tblDestinations[Type],MATCH(tblMovement[[#This Row],[Destination]],tblDestinations[Destination],0)),"?"))</f>
        <v/>
      </c>
      <c r="M3224" s="64">
        <f>IF(tblMovement[[#This Row],[Material]]="","",IF(LEFT(tblMovement[[#This Row],[Material]],3)="Ore",1,0))</f>
        <v/>
      </c>
      <c r="N3224" s="59">
        <f>IF(OR(tblMovement[[#This Row],[Tonnes_t]]="",tblMovement[[#This Row],[Grade_gpt]]=""),0,tblMovement[[#This Row],[Tonnes_t]]*tblMovement[[#This Row],[Grade_gpt]]/cfg_TroyOz)</f>
        <v/>
      </c>
      <c r="O3224" s="59">
        <f>IF(tblMovement[[#This Row],[Is_Ore]]=1,tblMovement[[#This Row],[Contained_oz]],0)</f>
        <v/>
      </c>
    </row>
    <row r="3225">
      <c r="A3225" s="54" t="n"/>
      <c r="B3225" s="61" t="n"/>
      <c r="C3225" s="61" t="n"/>
      <c r="D3225" s="61" t="n"/>
      <c r="E3225" s="61" t="n"/>
      <c r="F3225" s="55" t="n"/>
      <c r="G3225" s="56" t="n"/>
      <c r="H3225" s="55" t="n"/>
      <c r="I3225" s="62" t="n"/>
      <c r="J3225" s="58" t="n"/>
      <c r="K3225" s="63">
        <f>IF(tblMovement[[#This Row],[Source]]="","",IFERROR(INDEX(tblSources[Type],MATCH(tblMovement[[#This Row],[Source]],tblSources[Source],0)),"?"))</f>
        <v/>
      </c>
      <c r="L3225" s="63">
        <f>IF(tblMovement[[#This Row],[Destination]]="","",IFERROR(INDEX(tblDestinations[Type],MATCH(tblMovement[[#This Row],[Destination]],tblDestinations[Destination],0)),"?"))</f>
        <v/>
      </c>
      <c r="M3225" s="64">
        <f>IF(tblMovement[[#This Row],[Material]]="","",IF(LEFT(tblMovement[[#This Row],[Material]],3)="Ore",1,0))</f>
        <v/>
      </c>
      <c r="N3225" s="59">
        <f>IF(OR(tblMovement[[#This Row],[Tonnes_t]]="",tblMovement[[#This Row],[Grade_gpt]]=""),0,tblMovement[[#This Row],[Tonnes_t]]*tblMovement[[#This Row],[Grade_gpt]]/cfg_TroyOz)</f>
        <v/>
      </c>
      <c r="O3225" s="59">
        <f>IF(tblMovement[[#This Row],[Is_Ore]]=1,tblMovement[[#This Row],[Contained_oz]],0)</f>
        <v/>
      </c>
    </row>
    <row r="3226">
      <c r="A3226" s="54" t="n"/>
      <c r="B3226" s="61" t="n"/>
      <c r="C3226" s="61" t="n"/>
      <c r="D3226" s="61" t="n"/>
      <c r="E3226" s="61" t="n"/>
      <c r="F3226" s="55" t="n"/>
      <c r="G3226" s="56" t="n"/>
      <c r="H3226" s="55" t="n"/>
      <c r="I3226" s="62" t="n"/>
      <c r="J3226" s="58" t="n"/>
      <c r="K3226" s="63">
        <f>IF(tblMovement[[#This Row],[Source]]="","",IFERROR(INDEX(tblSources[Type],MATCH(tblMovement[[#This Row],[Source]],tblSources[Source],0)),"?"))</f>
        <v/>
      </c>
      <c r="L3226" s="63">
        <f>IF(tblMovement[[#This Row],[Destination]]="","",IFERROR(INDEX(tblDestinations[Type],MATCH(tblMovement[[#This Row],[Destination]],tblDestinations[Destination],0)),"?"))</f>
        <v/>
      </c>
      <c r="M3226" s="64">
        <f>IF(tblMovement[[#This Row],[Material]]="","",IF(LEFT(tblMovement[[#This Row],[Material]],3)="Ore",1,0))</f>
        <v/>
      </c>
      <c r="N3226" s="59">
        <f>IF(OR(tblMovement[[#This Row],[Tonnes_t]]="",tblMovement[[#This Row],[Grade_gpt]]=""),0,tblMovement[[#This Row],[Tonnes_t]]*tblMovement[[#This Row],[Grade_gpt]]/cfg_TroyOz)</f>
        <v/>
      </c>
      <c r="O3226" s="59">
        <f>IF(tblMovement[[#This Row],[Is_Ore]]=1,tblMovement[[#This Row],[Contained_oz]],0)</f>
        <v/>
      </c>
    </row>
    <row r="3227">
      <c r="A3227" s="54" t="n"/>
      <c r="B3227" s="61" t="n"/>
      <c r="C3227" s="61" t="n"/>
      <c r="D3227" s="61" t="n"/>
      <c r="E3227" s="61" t="n"/>
      <c r="F3227" s="55" t="n"/>
      <c r="G3227" s="56" t="n"/>
      <c r="H3227" s="55" t="n"/>
      <c r="I3227" s="62" t="n"/>
      <c r="J3227" s="58" t="n"/>
      <c r="K3227" s="63">
        <f>IF(tblMovement[[#This Row],[Source]]="","",IFERROR(INDEX(tblSources[Type],MATCH(tblMovement[[#This Row],[Source]],tblSources[Source],0)),"?"))</f>
        <v/>
      </c>
      <c r="L3227" s="63">
        <f>IF(tblMovement[[#This Row],[Destination]]="","",IFERROR(INDEX(tblDestinations[Type],MATCH(tblMovement[[#This Row],[Destination]],tblDestinations[Destination],0)),"?"))</f>
        <v/>
      </c>
      <c r="M3227" s="64">
        <f>IF(tblMovement[[#This Row],[Material]]="","",IF(LEFT(tblMovement[[#This Row],[Material]],3)="Ore",1,0))</f>
        <v/>
      </c>
      <c r="N3227" s="59">
        <f>IF(OR(tblMovement[[#This Row],[Tonnes_t]]="",tblMovement[[#This Row],[Grade_gpt]]=""),0,tblMovement[[#This Row],[Tonnes_t]]*tblMovement[[#This Row],[Grade_gpt]]/cfg_TroyOz)</f>
        <v/>
      </c>
      <c r="O3227" s="59">
        <f>IF(tblMovement[[#This Row],[Is_Ore]]=1,tblMovement[[#This Row],[Contained_oz]],0)</f>
        <v/>
      </c>
    </row>
    <row r="3228">
      <c r="A3228" s="54" t="n"/>
      <c r="B3228" s="61" t="n"/>
      <c r="C3228" s="61" t="n"/>
      <c r="D3228" s="61" t="n"/>
      <c r="E3228" s="61" t="n"/>
      <c r="F3228" s="55" t="n"/>
      <c r="G3228" s="56" t="n"/>
      <c r="H3228" s="55" t="n"/>
      <c r="I3228" s="62" t="n"/>
      <c r="J3228" s="58" t="n"/>
      <c r="K3228" s="63">
        <f>IF(tblMovement[[#This Row],[Source]]="","",IFERROR(INDEX(tblSources[Type],MATCH(tblMovement[[#This Row],[Source]],tblSources[Source],0)),"?"))</f>
        <v/>
      </c>
      <c r="L3228" s="63">
        <f>IF(tblMovement[[#This Row],[Destination]]="","",IFERROR(INDEX(tblDestinations[Type],MATCH(tblMovement[[#This Row],[Destination]],tblDestinations[Destination],0)),"?"))</f>
        <v/>
      </c>
      <c r="M3228" s="64">
        <f>IF(tblMovement[[#This Row],[Material]]="","",IF(LEFT(tblMovement[[#This Row],[Material]],3)="Ore",1,0))</f>
        <v/>
      </c>
      <c r="N3228" s="59">
        <f>IF(OR(tblMovement[[#This Row],[Tonnes_t]]="",tblMovement[[#This Row],[Grade_gpt]]=""),0,tblMovement[[#This Row],[Tonnes_t]]*tblMovement[[#This Row],[Grade_gpt]]/cfg_TroyOz)</f>
        <v/>
      </c>
      <c r="O3228" s="59">
        <f>IF(tblMovement[[#This Row],[Is_Ore]]=1,tblMovement[[#This Row],[Contained_oz]],0)</f>
        <v/>
      </c>
    </row>
    <row r="3229">
      <c r="A3229" s="54" t="n"/>
      <c r="B3229" s="61" t="n"/>
      <c r="C3229" s="61" t="n"/>
      <c r="D3229" s="61" t="n"/>
      <c r="E3229" s="61" t="n"/>
      <c r="F3229" s="55" t="n"/>
      <c r="G3229" s="56" t="n"/>
      <c r="H3229" s="55" t="n"/>
      <c r="I3229" s="62" t="n"/>
      <c r="J3229" s="58" t="n"/>
      <c r="K3229" s="63">
        <f>IF(tblMovement[[#This Row],[Source]]="","",IFERROR(INDEX(tblSources[Type],MATCH(tblMovement[[#This Row],[Source]],tblSources[Source],0)),"?"))</f>
        <v/>
      </c>
      <c r="L3229" s="63">
        <f>IF(tblMovement[[#This Row],[Destination]]="","",IFERROR(INDEX(tblDestinations[Type],MATCH(tblMovement[[#This Row],[Destination]],tblDestinations[Destination],0)),"?"))</f>
        <v/>
      </c>
      <c r="M3229" s="64">
        <f>IF(tblMovement[[#This Row],[Material]]="","",IF(LEFT(tblMovement[[#This Row],[Material]],3)="Ore",1,0))</f>
        <v/>
      </c>
      <c r="N3229" s="59">
        <f>IF(OR(tblMovement[[#This Row],[Tonnes_t]]="",tblMovement[[#This Row],[Grade_gpt]]=""),0,tblMovement[[#This Row],[Tonnes_t]]*tblMovement[[#This Row],[Grade_gpt]]/cfg_TroyOz)</f>
        <v/>
      </c>
      <c r="O3229" s="59">
        <f>IF(tblMovement[[#This Row],[Is_Ore]]=1,tblMovement[[#This Row],[Contained_oz]],0)</f>
        <v/>
      </c>
    </row>
    <row r="3230">
      <c r="A3230" s="54" t="n"/>
      <c r="B3230" s="61" t="n"/>
      <c r="C3230" s="61" t="n"/>
      <c r="D3230" s="61" t="n"/>
      <c r="E3230" s="61" t="n"/>
      <c r="F3230" s="55" t="n"/>
      <c r="G3230" s="56" t="n"/>
      <c r="H3230" s="55" t="n"/>
      <c r="I3230" s="62" t="n"/>
      <c r="J3230" s="58" t="n"/>
      <c r="K3230" s="63">
        <f>IF(tblMovement[[#This Row],[Source]]="","",IFERROR(INDEX(tblSources[Type],MATCH(tblMovement[[#This Row],[Source]],tblSources[Source],0)),"?"))</f>
        <v/>
      </c>
      <c r="L3230" s="63">
        <f>IF(tblMovement[[#This Row],[Destination]]="","",IFERROR(INDEX(tblDestinations[Type],MATCH(tblMovement[[#This Row],[Destination]],tblDestinations[Destination],0)),"?"))</f>
        <v/>
      </c>
      <c r="M3230" s="64">
        <f>IF(tblMovement[[#This Row],[Material]]="","",IF(LEFT(tblMovement[[#This Row],[Material]],3)="Ore",1,0))</f>
        <v/>
      </c>
      <c r="N3230" s="59">
        <f>IF(OR(tblMovement[[#This Row],[Tonnes_t]]="",tblMovement[[#This Row],[Grade_gpt]]=""),0,tblMovement[[#This Row],[Tonnes_t]]*tblMovement[[#This Row],[Grade_gpt]]/cfg_TroyOz)</f>
        <v/>
      </c>
      <c r="O3230" s="59">
        <f>IF(tblMovement[[#This Row],[Is_Ore]]=1,tblMovement[[#This Row],[Contained_oz]],0)</f>
        <v/>
      </c>
    </row>
    <row r="3231">
      <c r="A3231" s="54" t="n"/>
      <c r="B3231" s="61" t="n"/>
      <c r="C3231" s="61" t="n"/>
      <c r="D3231" s="61" t="n"/>
      <c r="E3231" s="61" t="n"/>
      <c r="F3231" s="55" t="n"/>
      <c r="G3231" s="56" t="n"/>
      <c r="H3231" s="55" t="n"/>
      <c r="I3231" s="62" t="n"/>
      <c r="J3231" s="58" t="n"/>
      <c r="K3231" s="63">
        <f>IF(tblMovement[[#This Row],[Source]]="","",IFERROR(INDEX(tblSources[Type],MATCH(tblMovement[[#This Row],[Source]],tblSources[Source],0)),"?"))</f>
        <v/>
      </c>
      <c r="L3231" s="63">
        <f>IF(tblMovement[[#This Row],[Destination]]="","",IFERROR(INDEX(tblDestinations[Type],MATCH(tblMovement[[#This Row],[Destination]],tblDestinations[Destination],0)),"?"))</f>
        <v/>
      </c>
      <c r="M3231" s="64">
        <f>IF(tblMovement[[#This Row],[Material]]="","",IF(LEFT(tblMovement[[#This Row],[Material]],3)="Ore",1,0))</f>
        <v/>
      </c>
      <c r="N3231" s="59">
        <f>IF(OR(tblMovement[[#This Row],[Tonnes_t]]="",tblMovement[[#This Row],[Grade_gpt]]=""),0,tblMovement[[#This Row],[Tonnes_t]]*tblMovement[[#This Row],[Grade_gpt]]/cfg_TroyOz)</f>
        <v/>
      </c>
      <c r="O3231" s="59">
        <f>IF(tblMovement[[#This Row],[Is_Ore]]=1,tblMovement[[#This Row],[Contained_oz]],0)</f>
        <v/>
      </c>
    </row>
    <row r="3232">
      <c r="A3232" s="54" t="n"/>
      <c r="B3232" s="61" t="n"/>
      <c r="C3232" s="61" t="n"/>
      <c r="D3232" s="61" t="n"/>
      <c r="E3232" s="61" t="n"/>
      <c r="F3232" s="55" t="n"/>
      <c r="G3232" s="56" t="n"/>
      <c r="H3232" s="55" t="n"/>
      <c r="I3232" s="62" t="n"/>
      <c r="J3232" s="58" t="n"/>
      <c r="K3232" s="63">
        <f>IF(tblMovement[[#This Row],[Source]]="","",IFERROR(INDEX(tblSources[Type],MATCH(tblMovement[[#This Row],[Source]],tblSources[Source],0)),"?"))</f>
        <v/>
      </c>
      <c r="L3232" s="63">
        <f>IF(tblMovement[[#This Row],[Destination]]="","",IFERROR(INDEX(tblDestinations[Type],MATCH(tblMovement[[#This Row],[Destination]],tblDestinations[Destination],0)),"?"))</f>
        <v/>
      </c>
      <c r="M3232" s="64">
        <f>IF(tblMovement[[#This Row],[Material]]="","",IF(LEFT(tblMovement[[#This Row],[Material]],3)="Ore",1,0))</f>
        <v/>
      </c>
      <c r="N3232" s="59">
        <f>IF(OR(tblMovement[[#This Row],[Tonnes_t]]="",tblMovement[[#This Row],[Grade_gpt]]=""),0,tblMovement[[#This Row],[Tonnes_t]]*tblMovement[[#This Row],[Grade_gpt]]/cfg_TroyOz)</f>
        <v/>
      </c>
      <c r="O3232" s="59">
        <f>IF(tblMovement[[#This Row],[Is_Ore]]=1,tblMovement[[#This Row],[Contained_oz]],0)</f>
        <v/>
      </c>
    </row>
    <row r="3233">
      <c r="A3233" s="54" t="n"/>
      <c r="B3233" s="61" t="n"/>
      <c r="C3233" s="61" t="n"/>
      <c r="D3233" s="61" t="n"/>
      <c r="E3233" s="61" t="n"/>
      <c r="F3233" s="55" t="n"/>
      <c r="G3233" s="56" t="n"/>
      <c r="H3233" s="55" t="n"/>
      <c r="I3233" s="62" t="n"/>
      <c r="J3233" s="58" t="n"/>
      <c r="K3233" s="63">
        <f>IF(tblMovement[[#This Row],[Source]]="","",IFERROR(INDEX(tblSources[Type],MATCH(tblMovement[[#This Row],[Source]],tblSources[Source],0)),"?"))</f>
        <v/>
      </c>
      <c r="L3233" s="63">
        <f>IF(tblMovement[[#This Row],[Destination]]="","",IFERROR(INDEX(tblDestinations[Type],MATCH(tblMovement[[#This Row],[Destination]],tblDestinations[Destination],0)),"?"))</f>
        <v/>
      </c>
      <c r="M3233" s="64">
        <f>IF(tblMovement[[#This Row],[Material]]="","",IF(LEFT(tblMovement[[#This Row],[Material]],3)="Ore",1,0))</f>
        <v/>
      </c>
      <c r="N3233" s="59">
        <f>IF(OR(tblMovement[[#This Row],[Tonnes_t]]="",tblMovement[[#This Row],[Grade_gpt]]=""),0,tblMovement[[#This Row],[Tonnes_t]]*tblMovement[[#This Row],[Grade_gpt]]/cfg_TroyOz)</f>
        <v/>
      </c>
      <c r="O3233" s="59">
        <f>IF(tblMovement[[#This Row],[Is_Ore]]=1,tblMovement[[#This Row],[Contained_oz]],0)</f>
        <v/>
      </c>
    </row>
    <row r="3234">
      <c r="A3234" s="54" t="n"/>
      <c r="B3234" s="61" t="n"/>
      <c r="C3234" s="61" t="n"/>
      <c r="D3234" s="61" t="n"/>
      <c r="E3234" s="61" t="n"/>
      <c r="F3234" s="55" t="n"/>
      <c r="G3234" s="56" t="n"/>
      <c r="H3234" s="55" t="n"/>
      <c r="I3234" s="62" t="n"/>
      <c r="J3234" s="58" t="n"/>
      <c r="K3234" s="63">
        <f>IF(tblMovement[[#This Row],[Source]]="","",IFERROR(INDEX(tblSources[Type],MATCH(tblMovement[[#This Row],[Source]],tblSources[Source],0)),"?"))</f>
        <v/>
      </c>
      <c r="L3234" s="63">
        <f>IF(tblMovement[[#This Row],[Destination]]="","",IFERROR(INDEX(tblDestinations[Type],MATCH(tblMovement[[#This Row],[Destination]],tblDestinations[Destination],0)),"?"))</f>
        <v/>
      </c>
      <c r="M3234" s="64">
        <f>IF(tblMovement[[#This Row],[Material]]="","",IF(LEFT(tblMovement[[#This Row],[Material]],3)="Ore",1,0))</f>
        <v/>
      </c>
      <c r="N3234" s="59">
        <f>IF(OR(tblMovement[[#This Row],[Tonnes_t]]="",tblMovement[[#This Row],[Grade_gpt]]=""),0,tblMovement[[#This Row],[Tonnes_t]]*tblMovement[[#This Row],[Grade_gpt]]/cfg_TroyOz)</f>
        <v/>
      </c>
      <c r="O3234" s="59">
        <f>IF(tblMovement[[#This Row],[Is_Ore]]=1,tblMovement[[#This Row],[Contained_oz]],0)</f>
        <v/>
      </c>
    </row>
    <row r="3235">
      <c r="A3235" s="54" t="n"/>
      <c r="B3235" s="61" t="n"/>
      <c r="C3235" s="61" t="n"/>
      <c r="D3235" s="61" t="n"/>
      <c r="E3235" s="61" t="n"/>
      <c r="F3235" s="55" t="n"/>
      <c r="G3235" s="56" t="n"/>
      <c r="H3235" s="55" t="n"/>
      <c r="I3235" s="62" t="n"/>
      <c r="J3235" s="58" t="n"/>
      <c r="K3235" s="63">
        <f>IF(tblMovement[[#This Row],[Source]]="","",IFERROR(INDEX(tblSources[Type],MATCH(tblMovement[[#This Row],[Source]],tblSources[Source],0)),"?"))</f>
        <v/>
      </c>
      <c r="L3235" s="63">
        <f>IF(tblMovement[[#This Row],[Destination]]="","",IFERROR(INDEX(tblDestinations[Type],MATCH(tblMovement[[#This Row],[Destination]],tblDestinations[Destination],0)),"?"))</f>
        <v/>
      </c>
      <c r="M3235" s="64">
        <f>IF(tblMovement[[#This Row],[Material]]="","",IF(LEFT(tblMovement[[#This Row],[Material]],3)="Ore",1,0))</f>
        <v/>
      </c>
      <c r="N3235" s="59">
        <f>IF(OR(tblMovement[[#This Row],[Tonnes_t]]="",tblMovement[[#This Row],[Grade_gpt]]=""),0,tblMovement[[#This Row],[Tonnes_t]]*tblMovement[[#This Row],[Grade_gpt]]/cfg_TroyOz)</f>
        <v/>
      </c>
      <c r="O3235" s="59">
        <f>IF(tblMovement[[#This Row],[Is_Ore]]=1,tblMovement[[#This Row],[Contained_oz]],0)</f>
        <v/>
      </c>
    </row>
    <row r="3236">
      <c r="A3236" s="54" t="n"/>
      <c r="B3236" s="61" t="n"/>
      <c r="C3236" s="61" t="n"/>
      <c r="D3236" s="61" t="n"/>
      <c r="E3236" s="61" t="n"/>
      <c r="F3236" s="55" t="n"/>
      <c r="G3236" s="56" t="n"/>
      <c r="H3236" s="55" t="n"/>
      <c r="I3236" s="62" t="n"/>
      <c r="J3236" s="58" t="n"/>
      <c r="K3236" s="63">
        <f>IF(tblMovement[[#This Row],[Source]]="","",IFERROR(INDEX(tblSources[Type],MATCH(tblMovement[[#This Row],[Source]],tblSources[Source],0)),"?"))</f>
        <v/>
      </c>
      <c r="L3236" s="63">
        <f>IF(tblMovement[[#This Row],[Destination]]="","",IFERROR(INDEX(tblDestinations[Type],MATCH(tblMovement[[#This Row],[Destination]],tblDestinations[Destination],0)),"?"))</f>
        <v/>
      </c>
      <c r="M3236" s="64">
        <f>IF(tblMovement[[#This Row],[Material]]="","",IF(LEFT(tblMovement[[#This Row],[Material]],3)="Ore",1,0))</f>
        <v/>
      </c>
      <c r="N3236" s="59">
        <f>IF(OR(tblMovement[[#This Row],[Tonnes_t]]="",tblMovement[[#This Row],[Grade_gpt]]=""),0,tblMovement[[#This Row],[Tonnes_t]]*tblMovement[[#This Row],[Grade_gpt]]/cfg_TroyOz)</f>
        <v/>
      </c>
      <c r="O3236" s="59">
        <f>IF(tblMovement[[#This Row],[Is_Ore]]=1,tblMovement[[#This Row],[Contained_oz]],0)</f>
        <v/>
      </c>
    </row>
    <row r="3237">
      <c r="A3237" s="54" t="n"/>
      <c r="B3237" s="61" t="n"/>
      <c r="C3237" s="61" t="n"/>
      <c r="D3237" s="61" t="n"/>
      <c r="E3237" s="61" t="n"/>
      <c r="F3237" s="55" t="n"/>
      <c r="G3237" s="56" t="n"/>
      <c r="H3237" s="55" t="n"/>
      <c r="I3237" s="62" t="n"/>
      <c r="J3237" s="58" t="n"/>
      <c r="K3237" s="63">
        <f>IF(tblMovement[[#This Row],[Source]]="","",IFERROR(INDEX(tblSources[Type],MATCH(tblMovement[[#This Row],[Source]],tblSources[Source],0)),"?"))</f>
        <v/>
      </c>
      <c r="L3237" s="63">
        <f>IF(tblMovement[[#This Row],[Destination]]="","",IFERROR(INDEX(tblDestinations[Type],MATCH(tblMovement[[#This Row],[Destination]],tblDestinations[Destination],0)),"?"))</f>
        <v/>
      </c>
      <c r="M3237" s="64">
        <f>IF(tblMovement[[#This Row],[Material]]="","",IF(LEFT(tblMovement[[#This Row],[Material]],3)="Ore",1,0))</f>
        <v/>
      </c>
      <c r="N3237" s="59">
        <f>IF(OR(tblMovement[[#This Row],[Tonnes_t]]="",tblMovement[[#This Row],[Grade_gpt]]=""),0,tblMovement[[#This Row],[Tonnes_t]]*tblMovement[[#This Row],[Grade_gpt]]/cfg_TroyOz)</f>
        <v/>
      </c>
      <c r="O3237" s="59">
        <f>IF(tblMovement[[#This Row],[Is_Ore]]=1,tblMovement[[#This Row],[Contained_oz]],0)</f>
        <v/>
      </c>
    </row>
    <row r="3238">
      <c r="A3238" s="54" t="n"/>
      <c r="B3238" s="61" t="n"/>
      <c r="C3238" s="61" t="n"/>
      <c r="D3238" s="61" t="n"/>
      <c r="E3238" s="61" t="n"/>
      <c r="F3238" s="55" t="n"/>
      <c r="G3238" s="56" t="n"/>
      <c r="H3238" s="55" t="n"/>
      <c r="I3238" s="62" t="n"/>
      <c r="J3238" s="58" t="n"/>
      <c r="K3238" s="63">
        <f>IF(tblMovement[[#This Row],[Source]]="","",IFERROR(INDEX(tblSources[Type],MATCH(tblMovement[[#This Row],[Source]],tblSources[Source],0)),"?"))</f>
        <v/>
      </c>
      <c r="L3238" s="63">
        <f>IF(tblMovement[[#This Row],[Destination]]="","",IFERROR(INDEX(tblDestinations[Type],MATCH(tblMovement[[#This Row],[Destination]],tblDestinations[Destination],0)),"?"))</f>
        <v/>
      </c>
      <c r="M3238" s="64">
        <f>IF(tblMovement[[#This Row],[Material]]="","",IF(LEFT(tblMovement[[#This Row],[Material]],3)="Ore",1,0))</f>
        <v/>
      </c>
      <c r="N3238" s="59">
        <f>IF(OR(tblMovement[[#This Row],[Tonnes_t]]="",tblMovement[[#This Row],[Grade_gpt]]=""),0,tblMovement[[#This Row],[Tonnes_t]]*tblMovement[[#This Row],[Grade_gpt]]/cfg_TroyOz)</f>
        <v/>
      </c>
      <c r="O3238" s="59">
        <f>IF(tblMovement[[#This Row],[Is_Ore]]=1,tblMovement[[#This Row],[Contained_oz]],0)</f>
        <v/>
      </c>
    </row>
    <row r="3239">
      <c r="A3239" s="54" t="n"/>
      <c r="B3239" s="61" t="n"/>
      <c r="C3239" s="61" t="n"/>
      <c r="D3239" s="61" t="n"/>
      <c r="E3239" s="61" t="n"/>
      <c r="F3239" s="55" t="n"/>
      <c r="G3239" s="56" t="n"/>
      <c r="H3239" s="55" t="n"/>
      <c r="I3239" s="62" t="n"/>
      <c r="J3239" s="58" t="n"/>
      <c r="K3239" s="63">
        <f>IF(tblMovement[[#This Row],[Source]]="","",IFERROR(INDEX(tblSources[Type],MATCH(tblMovement[[#This Row],[Source]],tblSources[Source],0)),"?"))</f>
        <v/>
      </c>
      <c r="L3239" s="63">
        <f>IF(tblMovement[[#This Row],[Destination]]="","",IFERROR(INDEX(tblDestinations[Type],MATCH(tblMovement[[#This Row],[Destination]],tblDestinations[Destination],0)),"?"))</f>
        <v/>
      </c>
      <c r="M3239" s="64">
        <f>IF(tblMovement[[#This Row],[Material]]="","",IF(LEFT(tblMovement[[#This Row],[Material]],3)="Ore",1,0))</f>
        <v/>
      </c>
      <c r="N3239" s="59">
        <f>IF(OR(tblMovement[[#This Row],[Tonnes_t]]="",tblMovement[[#This Row],[Grade_gpt]]=""),0,tblMovement[[#This Row],[Tonnes_t]]*tblMovement[[#This Row],[Grade_gpt]]/cfg_TroyOz)</f>
        <v/>
      </c>
      <c r="O3239" s="59">
        <f>IF(tblMovement[[#This Row],[Is_Ore]]=1,tblMovement[[#This Row],[Contained_oz]],0)</f>
        <v/>
      </c>
    </row>
    <row r="3240">
      <c r="A3240" s="54" t="n"/>
      <c r="B3240" s="61" t="n"/>
      <c r="C3240" s="61" t="n"/>
      <c r="D3240" s="61" t="n"/>
      <c r="E3240" s="61" t="n"/>
      <c r="F3240" s="55" t="n"/>
      <c r="G3240" s="56" t="n"/>
      <c r="H3240" s="55" t="n"/>
      <c r="I3240" s="62" t="n"/>
      <c r="J3240" s="58" t="n"/>
      <c r="K3240" s="63">
        <f>IF(tblMovement[[#This Row],[Source]]="","",IFERROR(INDEX(tblSources[Type],MATCH(tblMovement[[#This Row],[Source]],tblSources[Source],0)),"?"))</f>
        <v/>
      </c>
      <c r="L3240" s="63">
        <f>IF(tblMovement[[#This Row],[Destination]]="","",IFERROR(INDEX(tblDestinations[Type],MATCH(tblMovement[[#This Row],[Destination]],tblDestinations[Destination],0)),"?"))</f>
        <v/>
      </c>
      <c r="M3240" s="64">
        <f>IF(tblMovement[[#This Row],[Material]]="","",IF(LEFT(tblMovement[[#This Row],[Material]],3)="Ore",1,0))</f>
        <v/>
      </c>
      <c r="N3240" s="59">
        <f>IF(OR(tblMovement[[#This Row],[Tonnes_t]]="",tblMovement[[#This Row],[Grade_gpt]]=""),0,tblMovement[[#This Row],[Tonnes_t]]*tblMovement[[#This Row],[Grade_gpt]]/cfg_TroyOz)</f>
        <v/>
      </c>
      <c r="O3240" s="59">
        <f>IF(tblMovement[[#This Row],[Is_Ore]]=1,tblMovement[[#This Row],[Contained_oz]],0)</f>
        <v/>
      </c>
    </row>
    <row r="3241">
      <c r="A3241" s="54" t="n"/>
      <c r="B3241" s="61" t="n"/>
      <c r="C3241" s="61" t="n"/>
      <c r="D3241" s="61" t="n"/>
      <c r="E3241" s="61" t="n"/>
      <c r="F3241" s="55" t="n"/>
      <c r="G3241" s="56" t="n"/>
      <c r="H3241" s="55" t="n"/>
      <c r="I3241" s="62" t="n"/>
      <c r="J3241" s="58" t="n"/>
      <c r="K3241" s="63">
        <f>IF(tblMovement[[#This Row],[Source]]="","",IFERROR(INDEX(tblSources[Type],MATCH(tblMovement[[#This Row],[Source]],tblSources[Source],0)),"?"))</f>
        <v/>
      </c>
      <c r="L3241" s="63">
        <f>IF(tblMovement[[#This Row],[Destination]]="","",IFERROR(INDEX(tblDestinations[Type],MATCH(tblMovement[[#This Row],[Destination]],tblDestinations[Destination],0)),"?"))</f>
        <v/>
      </c>
      <c r="M3241" s="64">
        <f>IF(tblMovement[[#This Row],[Material]]="","",IF(LEFT(tblMovement[[#This Row],[Material]],3)="Ore",1,0))</f>
        <v/>
      </c>
      <c r="N3241" s="59">
        <f>IF(OR(tblMovement[[#This Row],[Tonnes_t]]="",tblMovement[[#This Row],[Grade_gpt]]=""),0,tblMovement[[#This Row],[Tonnes_t]]*tblMovement[[#This Row],[Grade_gpt]]/cfg_TroyOz)</f>
        <v/>
      </c>
      <c r="O3241" s="59">
        <f>IF(tblMovement[[#This Row],[Is_Ore]]=1,tblMovement[[#This Row],[Contained_oz]],0)</f>
        <v/>
      </c>
    </row>
    <row r="3242">
      <c r="A3242" s="54" t="n"/>
      <c r="B3242" s="61" t="n"/>
      <c r="C3242" s="61" t="n"/>
      <c r="D3242" s="61" t="n"/>
      <c r="E3242" s="61" t="n"/>
      <c r="F3242" s="55" t="n"/>
      <c r="G3242" s="56" t="n"/>
      <c r="H3242" s="55" t="n"/>
      <c r="I3242" s="62" t="n"/>
      <c r="J3242" s="58" t="n"/>
      <c r="K3242" s="63">
        <f>IF(tblMovement[[#This Row],[Source]]="","",IFERROR(INDEX(tblSources[Type],MATCH(tblMovement[[#This Row],[Source]],tblSources[Source],0)),"?"))</f>
        <v/>
      </c>
      <c r="L3242" s="63">
        <f>IF(tblMovement[[#This Row],[Destination]]="","",IFERROR(INDEX(tblDestinations[Type],MATCH(tblMovement[[#This Row],[Destination]],tblDestinations[Destination],0)),"?"))</f>
        <v/>
      </c>
      <c r="M3242" s="64">
        <f>IF(tblMovement[[#This Row],[Material]]="","",IF(LEFT(tblMovement[[#This Row],[Material]],3)="Ore",1,0))</f>
        <v/>
      </c>
      <c r="N3242" s="59">
        <f>IF(OR(tblMovement[[#This Row],[Tonnes_t]]="",tblMovement[[#This Row],[Grade_gpt]]=""),0,tblMovement[[#This Row],[Tonnes_t]]*tblMovement[[#This Row],[Grade_gpt]]/cfg_TroyOz)</f>
        <v/>
      </c>
      <c r="O3242" s="59">
        <f>IF(tblMovement[[#This Row],[Is_Ore]]=1,tblMovement[[#This Row],[Contained_oz]],0)</f>
        <v/>
      </c>
    </row>
    <row r="3243">
      <c r="A3243" s="54" t="n"/>
      <c r="B3243" s="61" t="n"/>
      <c r="C3243" s="61" t="n"/>
      <c r="D3243" s="61" t="n"/>
      <c r="E3243" s="61" t="n"/>
      <c r="F3243" s="55" t="n"/>
      <c r="G3243" s="56" t="n"/>
      <c r="H3243" s="55" t="n"/>
      <c r="I3243" s="62" t="n"/>
      <c r="J3243" s="58" t="n"/>
      <c r="K3243" s="63">
        <f>IF(tblMovement[[#This Row],[Source]]="","",IFERROR(INDEX(tblSources[Type],MATCH(tblMovement[[#This Row],[Source]],tblSources[Source],0)),"?"))</f>
        <v/>
      </c>
      <c r="L3243" s="63">
        <f>IF(tblMovement[[#This Row],[Destination]]="","",IFERROR(INDEX(tblDestinations[Type],MATCH(tblMovement[[#This Row],[Destination]],tblDestinations[Destination],0)),"?"))</f>
        <v/>
      </c>
      <c r="M3243" s="64">
        <f>IF(tblMovement[[#This Row],[Material]]="","",IF(LEFT(tblMovement[[#This Row],[Material]],3)="Ore",1,0))</f>
        <v/>
      </c>
      <c r="N3243" s="59">
        <f>IF(OR(tblMovement[[#This Row],[Tonnes_t]]="",tblMovement[[#This Row],[Grade_gpt]]=""),0,tblMovement[[#This Row],[Tonnes_t]]*tblMovement[[#This Row],[Grade_gpt]]/cfg_TroyOz)</f>
        <v/>
      </c>
      <c r="O3243" s="59">
        <f>IF(tblMovement[[#This Row],[Is_Ore]]=1,tblMovement[[#This Row],[Contained_oz]],0)</f>
        <v/>
      </c>
    </row>
    <row r="3244">
      <c r="A3244" s="54" t="n"/>
      <c r="B3244" s="61" t="n"/>
      <c r="C3244" s="61" t="n"/>
      <c r="D3244" s="61" t="n"/>
      <c r="E3244" s="61" t="n"/>
      <c r="F3244" s="55" t="n"/>
      <c r="G3244" s="56" t="n"/>
      <c r="H3244" s="55" t="n"/>
      <c r="I3244" s="62" t="n"/>
      <c r="J3244" s="58" t="n"/>
      <c r="K3244" s="63">
        <f>IF(tblMovement[[#This Row],[Source]]="","",IFERROR(INDEX(tblSources[Type],MATCH(tblMovement[[#This Row],[Source]],tblSources[Source],0)),"?"))</f>
        <v/>
      </c>
      <c r="L3244" s="63">
        <f>IF(tblMovement[[#This Row],[Destination]]="","",IFERROR(INDEX(tblDestinations[Type],MATCH(tblMovement[[#This Row],[Destination]],tblDestinations[Destination],0)),"?"))</f>
        <v/>
      </c>
      <c r="M3244" s="64">
        <f>IF(tblMovement[[#This Row],[Material]]="","",IF(LEFT(tblMovement[[#This Row],[Material]],3)="Ore",1,0))</f>
        <v/>
      </c>
      <c r="N3244" s="59">
        <f>IF(OR(tblMovement[[#This Row],[Tonnes_t]]="",tblMovement[[#This Row],[Grade_gpt]]=""),0,tblMovement[[#This Row],[Tonnes_t]]*tblMovement[[#This Row],[Grade_gpt]]/cfg_TroyOz)</f>
        <v/>
      </c>
      <c r="O3244" s="59">
        <f>IF(tblMovement[[#This Row],[Is_Ore]]=1,tblMovement[[#This Row],[Contained_oz]],0)</f>
        <v/>
      </c>
    </row>
    <row r="3245">
      <c r="A3245" s="54" t="n"/>
      <c r="B3245" s="61" t="n"/>
      <c r="C3245" s="61" t="n"/>
      <c r="D3245" s="61" t="n"/>
      <c r="E3245" s="61" t="n"/>
      <c r="F3245" s="55" t="n"/>
      <c r="G3245" s="56" t="n"/>
      <c r="H3245" s="55" t="n"/>
      <c r="I3245" s="62" t="n"/>
      <c r="J3245" s="58" t="n"/>
      <c r="K3245" s="63">
        <f>IF(tblMovement[[#This Row],[Source]]="","",IFERROR(INDEX(tblSources[Type],MATCH(tblMovement[[#This Row],[Source]],tblSources[Source],0)),"?"))</f>
        <v/>
      </c>
      <c r="L3245" s="63">
        <f>IF(tblMovement[[#This Row],[Destination]]="","",IFERROR(INDEX(tblDestinations[Type],MATCH(tblMovement[[#This Row],[Destination]],tblDestinations[Destination],0)),"?"))</f>
        <v/>
      </c>
      <c r="M3245" s="64">
        <f>IF(tblMovement[[#This Row],[Material]]="","",IF(LEFT(tblMovement[[#This Row],[Material]],3)="Ore",1,0))</f>
        <v/>
      </c>
      <c r="N3245" s="59">
        <f>IF(OR(tblMovement[[#This Row],[Tonnes_t]]="",tblMovement[[#This Row],[Grade_gpt]]=""),0,tblMovement[[#This Row],[Tonnes_t]]*tblMovement[[#This Row],[Grade_gpt]]/cfg_TroyOz)</f>
        <v/>
      </c>
      <c r="O3245" s="59">
        <f>IF(tblMovement[[#This Row],[Is_Ore]]=1,tblMovement[[#This Row],[Contained_oz]],0)</f>
        <v/>
      </c>
    </row>
    <row r="3246">
      <c r="A3246" s="54" t="n"/>
      <c r="B3246" s="61" t="n"/>
      <c r="C3246" s="61" t="n"/>
      <c r="D3246" s="61" t="n"/>
      <c r="E3246" s="61" t="n"/>
      <c r="F3246" s="55" t="n"/>
      <c r="G3246" s="56" t="n"/>
      <c r="H3246" s="55" t="n"/>
      <c r="I3246" s="62" t="n"/>
      <c r="J3246" s="58" t="n"/>
      <c r="K3246" s="63">
        <f>IF(tblMovement[[#This Row],[Source]]="","",IFERROR(INDEX(tblSources[Type],MATCH(tblMovement[[#This Row],[Source]],tblSources[Source],0)),"?"))</f>
        <v/>
      </c>
      <c r="L3246" s="63">
        <f>IF(tblMovement[[#This Row],[Destination]]="","",IFERROR(INDEX(tblDestinations[Type],MATCH(tblMovement[[#This Row],[Destination]],tblDestinations[Destination],0)),"?"))</f>
        <v/>
      </c>
      <c r="M3246" s="64">
        <f>IF(tblMovement[[#This Row],[Material]]="","",IF(LEFT(tblMovement[[#This Row],[Material]],3)="Ore",1,0))</f>
        <v/>
      </c>
      <c r="N3246" s="59">
        <f>IF(OR(tblMovement[[#This Row],[Tonnes_t]]="",tblMovement[[#This Row],[Grade_gpt]]=""),0,tblMovement[[#This Row],[Tonnes_t]]*tblMovement[[#This Row],[Grade_gpt]]/cfg_TroyOz)</f>
        <v/>
      </c>
      <c r="O3246" s="59">
        <f>IF(tblMovement[[#This Row],[Is_Ore]]=1,tblMovement[[#This Row],[Contained_oz]],0)</f>
        <v/>
      </c>
    </row>
    <row r="3247">
      <c r="A3247" s="54" t="n"/>
      <c r="B3247" s="61" t="n"/>
      <c r="C3247" s="61" t="n"/>
      <c r="D3247" s="61" t="n"/>
      <c r="E3247" s="61" t="n"/>
      <c r="F3247" s="55" t="n"/>
      <c r="G3247" s="56" t="n"/>
      <c r="H3247" s="55" t="n"/>
      <c r="I3247" s="62" t="n"/>
      <c r="J3247" s="58" t="n"/>
      <c r="K3247" s="63">
        <f>IF(tblMovement[[#This Row],[Source]]="","",IFERROR(INDEX(tblSources[Type],MATCH(tblMovement[[#This Row],[Source]],tblSources[Source],0)),"?"))</f>
        <v/>
      </c>
      <c r="L3247" s="63">
        <f>IF(tblMovement[[#This Row],[Destination]]="","",IFERROR(INDEX(tblDestinations[Type],MATCH(tblMovement[[#This Row],[Destination]],tblDestinations[Destination],0)),"?"))</f>
        <v/>
      </c>
      <c r="M3247" s="64">
        <f>IF(tblMovement[[#This Row],[Material]]="","",IF(LEFT(tblMovement[[#This Row],[Material]],3)="Ore",1,0))</f>
        <v/>
      </c>
      <c r="N3247" s="59">
        <f>IF(OR(tblMovement[[#This Row],[Tonnes_t]]="",tblMovement[[#This Row],[Grade_gpt]]=""),0,tblMovement[[#This Row],[Tonnes_t]]*tblMovement[[#This Row],[Grade_gpt]]/cfg_TroyOz)</f>
        <v/>
      </c>
      <c r="O3247" s="59">
        <f>IF(tblMovement[[#This Row],[Is_Ore]]=1,tblMovement[[#This Row],[Contained_oz]],0)</f>
        <v/>
      </c>
    </row>
    <row r="3248">
      <c r="A3248" s="54" t="n"/>
      <c r="B3248" s="61" t="n"/>
      <c r="C3248" s="61" t="n"/>
      <c r="D3248" s="61" t="n"/>
      <c r="E3248" s="61" t="n"/>
      <c r="F3248" s="55" t="n"/>
      <c r="G3248" s="56" t="n"/>
      <c r="H3248" s="55" t="n"/>
      <c r="I3248" s="62" t="n"/>
      <c r="J3248" s="58" t="n"/>
      <c r="K3248" s="63">
        <f>IF(tblMovement[[#This Row],[Source]]="","",IFERROR(INDEX(tblSources[Type],MATCH(tblMovement[[#This Row],[Source]],tblSources[Source],0)),"?"))</f>
        <v/>
      </c>
      <c r="L3248" s="63">
        <f>IF(tblMovement[[#This Row],[Destination]]="","",IFERROR(INDEX(tblDestinations[Type],MATCH(tblMovement[[#This Row],[Destination]],tblDestinations[Destination],0)),"?"))</f>
        <v/>
      </c>
      <c r="M3248" s="64">
        <f>IF(tblMovement[[#This Row],[Material]]="","",IF(LEFT(tblMovement[[#This Row],[Material]],3)="Ore",1,0))</f>
        <v/>
      </c>
      <c r="N3248" s="59">
        <f>IF(OR(tblMovement[[#This Row],[Tonnes_t]]="",tblMovement[[#This Row],[Grade_gpt]]=""),0,tblMovement[[#This Row],[Tonnes_t]]*tblMovement[[#This Row],[Grade_gpt]]/cfg_TroyOz)</f>
        <v/>
      </c>
      <c r="O3248" s="59">
        <f>IF(tblMovement[[#This Row],[Is_Ore]]=1,tblMovement[[#This Row],[Contained_oz]],0)</f>
        <v/>
      </c>
    </row>
    <row r="3249">
      <c r="A3249" s="54" t="n"/>
      <c r="B3249" s="61" t="n"/>
      <c r="C3249" s="61" t="n"/>
      <c r="D3249" s="61" t="n"/>
      <c r="E3249" s="61" t="n"/>
      <c r="F3249" s="55" t="n"/>
      <c r="G3249" s="56" t="n"/>
      <c r="H3249" s="55" t="n"/>
      <c r="I3249" s="62" t="n"/>
      <c r="J3249" s="58" t="n"/>
      <c r="K3249" s="63">
        <f>IF(tblMovement[[#This Row],[Source]]="","",IFERROR(INDEX(tblSources[Type],MATCH(tblMovement[[#This Row],[Source]],tblSources[Source],0)),"?"))</f>
        <v/>
      </c>
      <c r="L3249" s="63">
        <f>IF(tblMovement[[#This Row],[Destination]]="","",IFERROR(INDEX(tblDestinations[Type],MATCH(tblMovement[[#This Row],[Destination]],tblDestinations[Destination],0)),"?"))</f>
        <v/>
      </c>
      <c r="M3249" s="64">
        <f>IF(tblMovement[[#This Row],[Material]]="","",IF(LEFT(tblMovement[[#This Row],[Material]],3)="Ore",1,0))</f>
        <v/>
      </c>
      <c r="N3249" s="59">
        <f>IF(OR(tblMovement[[#This Row],[Tonnes_t]]="",tblMovement[[#This Row],[Grade_gpt]]=""),0,tblMovement[[#This Row],[Tonnes_t]]*tblMovement[[#This Row],[Grade_gpt]]/cfg_TroyOz)</f>
        <v/>
      </c>
      <c r="O3249" s="59">
        <f>IF(tblMovement[[#This Row],[Is_Ore]]=1,tblMovement[[#This Row],[Contained_oz]],0)</f>
        <v/>
      </c>
    </row>
    <row r="3250">
      <c r="A3250" s="54" t="n"/>
      <c r="B3250" s="61" t="n"/>
      <c r="C3250" s="61" t="n"/>
      <c r="D3250" s="61" t="n"/>
      <c r="E3250" s="61" t="n"/>
      <c r="F3250" s="55" t="n"/>
      <c r="G3250" s="56" t="n"/>
      <c r="H3250" s="55" t="n"/>
      <c r="I3250" s="62" t="n"/>
      <c r="J3250" s="58" t="n"/>
      <c r="K3250" s="63">
        <f>IF(tblMovement[[#This Row],[Source]]="","",IFERROR(INDEX(tblSources[Type],MATCH(tblMovement[[#This Row],[Source]],tblSources[Source],0)),"?"))</f>
        <v/>
      </c>
      <c r="L3250" s="63">
        <f>IF(tblMovement[[#This Row],[Destination]]="","",IFERROR(INDEX(tblDestinations[Type],MATCH(tblMovement[[#This Row],[Destination]],tblDestinations[Destination],0)),"?"))</f>
        <v/>
      </c>
      <c r="M3250" s="64">
        <f>IF(tblMovement[[#This Row],[Material]]="","",IF(LEFT(tblMovement[[#This Row],[Material]],3)="Ore",1,0))</f>
        <v/>
      </c>
      <c r="N3250" s="59">
        <f>IF(OR(tblMovement[[#This Row],[Tonnes_t]]="",tblMovement[[#This Row],[Grade_gpt]]=""),0,tblMovement[[#This Row],[Tonnes_t]]*tblMovement[[#This Row],[Grade_gpt]]/cfg_TroyOz)</f>
        <v/>
      </c>
      <c r="O3250" s="59">
        <f>IF(tblMovement[[#This Row],[Is_Ore]]=1,tblMovement[[#This Row],[Contained_oz]],0)</f>
        <v/>
      </c>
    </row>
    <row r="3251">
      <c r="A3251" s="54" t="n"/>
      <c r="B3251" s="61" t="n"/>
      <c r="C3251" s="61" t="n"/>
      <c r="D3251" s="61" t="n"/>
      <c r="E3251" s="61" t="n"/>
      <c r="F3251" s="55" t="n"/>
      <c r="G3251" s="56" t="n"/>
      <c r="H3251" s="55" t="n"/>
      <c r="I3251" s="62" t="n"/>
      <c r="J3251" s="58" t="n"/>
      <c r="K3251" s="63">
        <f>IF(tblMovement[[#This Row],[Source]]="","",IFERROR(INDEX(tblSources[Type],MATCH(tblMovement[[#This Row],[Source]],tblSources[Source],0)),"?"))</f>
        <v/>
      </c>
      <c r="L3251" s="63">
        <f>IF(tblMovement[[#This Row],[Destination]]="","",IFERROR(INDEX(tblDestinations[Type],MATCH(tblMovement[[#This Row],[Destination]],tblDestinations[Destination],0)),"?"))</f>
        <v/>
      </c>
      <c r="M3251" s="64">
        <f>IF(tblMovement[[#This Row],[Material]]="","",IF(LEFT(tblMovement[[#This Row],[Material]],3)="Ore",1,0))</f>
        <v/>
      </c>
      <c r="N3251" s="59">
        <f>IF(OR(tblMovement[[#This Row],[Tonnes_t]]="",tblMovement[[#This Row],[Grade_gpt]]=""),0,tblMovement[[#This Row],[Tonnes_t]]*tblMovement[[#This Row],[Grade_gpt]]/cfg_TroyOz)</f>
        <v/>
      </c>
      <c r="O3251" s="59">
        <f>IF(tblMovement[[#This Row],[Is_Ore]]=1,tblMovement[[#This Row],[Contained_oz]],0)</f>
        <v/>
      </c>
    </row>
    <row r="3252">
      <c r="A3252" s="54" t="n"/>
      <c r="B3252" s="61" t="n"/>
      <c r="C3252" s="61" t="n"/>
      <c r="D3252" s="61" t="n"/>
      <c r="E3252" s="61" t="n"/>
      <c r="F3252" s="55" t="n"/>
      <c r="G3252" s="56" t="n"/>
      <c r="H3252" s="55" t="n"/>
      <c r="I3252" s="62" t="n"/>
      <c r="J3252" s="58" t="n"/>
      <c r="K3252" s="63">
        <f>IF(tblMovement[[#This Row],[Source]]="","",IFERROR(INDEX(tblSources[Type],MATCH(tblMovement[[#This Row],[Source]],tblSources[Source],0)),"?"))</f>
        <v/>
      </c>
      <c r="L3252" s="63">
        <f>IF(tblMovement[[#This Row],[Destination]]="","",IFERROR(INDEX(tblDestinations[Type],MATCH(tblMovement[[#This Row],[Destination]],tblDestinations[Destination],0)),"?"))</f>
        <v/>
      </c>
      <c r="M3252" s="64">
        <f>IF(tblMovement[[#This Row],[Material]]="","",IF(LEFT(tblMovement[[#This Row],[Material]],3)="Ore",1,0))</f>
        <v/>
      </c>
      <c r="N3252" s="59">
        <f>IF(OR(tblMovement[[#This Row],[Tonnes_t]]="",tblMovement[[#This Row],[Grade_gpt]]=""),0,tblMovement[[#This Row],[Tonnes_t]]*tblMovement[[#This Row],[Grade_gpt]]/cfg_TroyOz)</f>
        <v/>
      </c>
      <c r="O3252" s="59">
        <f>IF(tblMovement[[#This Row],[Is_Ore]]=1,tblMovement[[#This Row],[Contained_oz]],0)</f>
        <v/>
      </c>
    </row>
    <row r="3253">
      <c r="A3253" s="54" t="n"/>
      <c r="B3253" s="61" t="n"/>
      <c r="C3253" s="61" t="n"/>
      <c r="D3253" s="61" t="n"/>
      <c r="E3253" s="61" t="n"/>
      <c r="F3253" s="55" t="n"/>
      <c r="G3253" s="56" t="n"/>
      <c r="H3253" s="55" t="n"/>
      <c r="I3253" s="62" t="n"/>
      <c r="J3253" s="58" t="n"/>
      <c r="K3253" s="63">
        <f>IF(tblMovement[[#This Row],[Source]]="","",IFERROR(INDEX(tblSources[Type],MATCH(tblMovement[[#This Row],[Source]],tblSources[Source],0)),"?"))</f>
        <v/>
      </c>
      <c r="L3253" s="63">
        <f>IF(tblMovement[[#This Row],[Destination]]="","",IFERROR(INDEX(tblDestinations[Type],MATCH(tblMovement[[#This Row],[Destination]],tblDestinations[Destination],0)),"?"))</f>
        <v/>
      </c>
      <c r="M3253" s="64">
        <f>IF(tblMovement[[#This Row],[Material]]="","",IF(LEFT(tblMovement[[#This Row],[Material]],3)="Ore",1,0))</f>
        <v/>
      </c>
      <c r="N3253" s="59">
        <f>IF(OR(tblMovement[[#This Row],[Tonnes_t]]="",tblMovement[[#This Row],[Grade_gpt]]=""),0,tblMovement[[#This Row],[Tonnes_t]]*tblMovement[[#This Row],[Grade_gpt]]/cfg_TroyOz)</f>
        <v/>
      </c>
      <c r="O3253" s="59">
        <f>IF(tblMovement[[#This Row],[Is_Ore]]=1,tblMovement[[#This Row],[Contained_oz]],0)</f>
        <v/>
      </c>
    </row>
    <row r="3254">
      <c r="A3254" s="54" t="n"/>
      <c r="B3254" s="61" t="n"/>
      <c r="C3254" s="61" t="n"/>
      <c r="D3254" s="61" t="n"/>
      <c r="E3254" s="61" t="n"/>
      <c r="F3254" s="55" t="n"/>
      <c r="G3254" s="56" t="n"/>
      <c r="H3254" s="55" t="n"/>
      <c r="I3254" s="62" t="n"/>
      <c r="J3254" s="58" t="n"/>
      <c r="K3254" s="63">
        <f>IF(tblMovement[[#This Row],[Source]]="","",IFERROR(INDEX(tblSources[Type],MATCH(tblMovement[[#This Row],[Source]],tblSources[Source],0)),"?"))</f>
        <v/>
      </c>
      <c r="L3254" s="63">
        <f>IF(tblMovement[[#This Row],[Destination]]="","",IFERROR(INDEX(tblDestinations[Type],MATCH(tblMovement[[#This Row],[Destination]],tblDestinations[Destination],0)),"?"))</f>
        <v/>
      </c>
      <c r="M3254" s="64">
        <f>IF(tblMovement[[#This Row],[Material]]="","",IF(LEFT(tblMovement[[#This Row],[Material]],3)="Ore",1,0))</f>
        <v/>
      </c>
      <c r="N3254" s="59">
        <f>IF(OR(tblMovement[[#This Row],[Tonnes_t]]="",tblMovement[[#This Row],[Grade_gpt]]=""),0,tblMovement[[#This Row],[Tonnes_t]]*tblMovement[[#This Row],[Grade_gpt]]/cfg_TroyOz)</f>
        <v/>
      </c>
      <c r="O3254" s="59">
        <f>IF(tblMovement[[#This Row],[Is_Ore]]=1,tblMovement[[#This Row],[Contained_oz]],0)</f>
        <v/>
      </c>
    </row>
    <row r="3255">
      <c r="A3255" s="54" t="n"/>
      <c r="B3255" s="61" t="n"/>
      <c r="C3255" s="61" t="n"/>
      <c r="D3255" s="61" t="n"/>
      <c r="E3255" s="61" t="n"/>
      <c r="F3255" s="55" t="n"/>
      <c r="G3255" s="56" t="n"/>
      <c r="H3255" s="55" t="n"/>
      <c r="I3255" s="62" t="n"/>
      <c r="J3255" s="58" t="n"/>
      <c r="K3255" s="63">
        <f>IF(tblMovement[[#This Row],[Source]]="","",IFERROR(INDEX(tblSources[Type],MATCH(tblMovement[[#This Row],[Source]],tblSources[Source],0)),"?"))</f>
        <v/>
      </c>
      <c r="L3255" s="63">
        <f>IF(tblMovement[[#This Row],[Destination]]="","",IFERROR(INDEX(tblDestinations[Type],MATCH(tblMovement[[#This Row],[Destination]],tblDestinations[Destination],0)),"?"))</f>
        <v/>
      </c>
      <c r="M3255" s="64">
        <f>IF(tblMovement[[#This Row],[Material]]="","",IF(LEFT(tblMovement[[#This Row],[Material]],3)="Ore",1,0))</f>
        <v/>
      </c>
      <c r="N3255" s="59">
        <f>IF(OR(tblMovement[[#This Row],[Tonnes_t]]="",tblMovement[[#This Row],[Grade_gpt]]=""),0,tblMovement[[#This Row],[Tonnes_t]]*tblMovement[[#This Row],[Grade_gpt]]/cfg_TroyOz)</f>
        <v/>
      </c>
      <c r="O3255" s="59">
        <f>IF(tblMovement[[#This Row],[Is_Ore]]=1,tblMovement[[#This Row],[Contained_oz]],0)</f>
        <v/>
      </c>
    </row>
    <row r="3256">
      <c r="A3256" s="54" t="n"/>
      <c r="B3256" s="61" t="n"/>
      <c r="C3256" s="61" t="n"/>
      <c r="D3256" s="61" t="n"/>
      <c r="E3256" s="61" t="n"/>
      <c r="F3256" s="55" t="n"/>
      <c r="G3256" s="56" t="n"/>
      <c r="H3256" s="55" t="n"/>
      <c r="I3256" s="62" t="n"/>
      <c r="J3256" s="58" t="n"/>
      <c r="K3256" s="63">
        <f>IF(tblMovement[[#This Row],[Source]]="","",IFERROR(INDEX(tblSources[Type],MATCH(tblMovement[[#This Row],[Source]],tblSources[Source],0)),"?"))</f>
        <v/>
      </c>
      <c r="L3256" s="63">
        <f>IF(tblMovement[[#This Row],[Destination]]="","",IFERROR(INDEX(tblDestinations[Type],MATCH(tblMovement[[#This Row],[Destination]],tblDestinations[Destination],0)),"?"))</f>
        <v/>
      </c>
      <c r="M3256" s="64">
        <f>IF(tblMovement[[#This Row],[Material]]="","",IF(LEFT(tblMovement[[#This Row],[Material]],3)="Ore",1,0))</f>
        <v/>
      </c>
      <c r="N3256" s="59">
        <f>IF(OR(tblMovement[[#This Row],[Tonnes_t]]="",tblMovement[[#This Row],[Grade_gpt]]=""),0,tblMovement[[#This Row],[Tonnes_t]]*tblMovement[[#This Row],[Grade_gpt]]/cfg_TroyOz)</f>
        <v/>
      </c>
      <c r="O3256" s="59">
        <f>IF(tblMovement[[#This Row],[Is_Ore]]=1,tblMovement[[#This Row],[Contained_oz]],0)</f>
        <v/>
      </c>
    </row>
    <row r="3257">
      <c r="A3257" s="54" t="n"/>
      <c r="B3257" s="61" t="n"/>
      <c r="C3257" s="61" t="n"/>
      <c r="D3257" s="61" t="n"/>
      <c r="E3257" s="61" t="n"/>
      <c r="F3257" s="55" t="n"/>
      <c r="G3257" s="56" t="n"/>
      <c r="H3257" s="55" t="n"/>
      <c r="I3257" s="62" t="n"/>
      <c r="J3257" s="58" t="n"/>
      <c r="K3257" s="63">
        <f>IF(tblMovement[[#This Row],[Source]]="","",IFERROR(INDEX(tblSources[Type],MATCH(tblMovement[[#This Row],[Source]],tblSources[Source],0)),"?"))</f>
        <v/>
      </c>
      <c r="L3257" s="63">
        <f>IF(tblMovement[[#This Row],[Destination]]="","",IFERROR(INDEX(tblDestinations[Type],MATCH(tblMovement[[#This Row],[Destination]],tblDestinations[Destination],0)),"?"))</f>
        <v/>
      </c>
      <c r="M3257" s="64">
        <f>IF(tblMovement[[#This Row],[Material]]="","",IF(LEFT(tblMovement[[#This Row],[Material]],3)="Ore",1,0))</f>
        <v/>
      </c>
      <c r="N3257" s="59">
        <f>IF(OR(tblMovement[[#This Row],[Tonnes_t]]="",tblMovement[[#This Row],[Grade_gpt]]=""),0,tblMovement[[#This Row],[Tonnes_t]]*tblMovement[[#This Row],[Grade_gpt]]/cfg_TroyOz)</f>
        <v/>
      </c>
      <c r="O3257" s="59">
        <f>IF(tblMovement[[#This Row],[Is_Ore]]=1,tblMovement[[#This Row],[Contained_oz]],0)</f>
        <v/>
      </c>
    </row>
    <row r="3258">
      <c r="A3258" s="54" t="n"/>
      <c r="B3258" s="61" t="n"/>
      <c r="C3258" s="61" t="n"/>
      <c r="D3258" s="61" t="n"/>
      <c r="E3258" s="61" t="n"/>
      <c r="F3258" s="55" t="n"/>
      <c r="G3258" s="56" t="n"/>
      <c r="H3258" s="55" t="n"/>
      <c r="I3258" s="62" t="n"/>
      <c r="J3258" s="58" t="n"/>
      <c r="K3258" s="63">
        <f>IF(tblMovement[[#This Row],[Source]]="","",IFERROR(INDEX(tblSources[Type],MATCH(tblMovement[[#This Row],[Source]],tblSources[Source],0)),"?"))</f>
        <v/>
      </c>
      <c r="L3258" s="63">
        <f>IF(tblMovement[[#This Row],[Destination]]="","",IFERROR(INDEX(tblDestinations[Type],MATCH(tblMovement[[#This Row],[Destination]],tblDestinations[Destination],0)),"?"))</f>
        <v/>
      </c>
      <c r="M3258" s="64">
        <f>IF(tblMovement[[#This Row],[Material]]="","",IF(LEFT(tblMovement[[#This Row],[Material]],3)="Ore",1,0))</f>
        <v/>
      </c>
      <c r="N3258" s="59">
        <f>IF(OR(tblMovement[[#This Row],[Tonnes_t]]="",tblMovement[[#This Row],[Grade_gpt]]=""),0,tblMovement[[#This Row],[Tonnes_t]]*tblMovement[[#This Row],[Grade_gpt]]/cfg_TroyOz)</f>
        <v/>
      </c>
      <c r="O3258" s="59">
        <f>IF(tblMovement[[#This Row],[Is_Ore]]=1,tblMovement[[#This Row],[Contained_oz]],0)</f>
        <v/>
      </c>
    </row>
    <row r="3259">
      <c r="A3259" s="54" t="n"/>
      <c r="B3259" s="61" t="n"/>
      <c r="C3259" s="61" t="n"/>
      <c r="D3259" s="61" t="n"/>
      <c r="E3259" s="61" t="n"/>
      <c r="F3259" s="55" t="n"/>
      <c r="G3259" s="56" t="n"/>
      <c r="H3259" s="55" t="n"/>
      <c r="I3259" s="62" t="n"/>
      <c r="J3259" s="58" t="n"/>
      <c r="K3259" s="63">
        <f>IF(tblMovement[[#This Row],[Source]]="","",IFERROR(INDEX(tblSources[Type],MATCH(tblMovement[[#This Row],[Source]],tblSources[Source],0)),"?"))</f>
        <v/>
      </c>
      <c r="L3259" s="63">
        <f>IF(tblMovement[[#This Row],[Destination]]="","",IFERROR(INDEX(tblDestinations[Type],MATCH(tblMovement[[#This Row],[Destination]],tblDestinations[Destination],0)),"?"))</f>
        <v/>
      </c>
      <c r="M3259" s="64">
        <f>IF(tblMovement[[#This Row],[Material]]="","",IF(LEFT(tblMovement[[#This Row],[Material]],3)="Ore",1,0))</f>
        <v/>
      </c>
      <c r="N3259" s="59">
        <f>IF(OR(tblMovement[[#This Row],[Tonnes_t]]="",tblMovement[[#This Row],[Grade_gpt]]=""),0,tblMovement[[#This Row],[Tonnes_t]]*tblMovement[[#This Row],[Grade_gpt]]/cfg_TroyOz)</f>
        <v/>
      </c>
      <c r="O3259" s="59">
        <f>IF(tblMovement[[#This Row],[Is_Ore]]=1,tblMovement[[#This Row],[Contained_oz]],0)</f>
        <v/>
      </c>
    </row>
    <row r="3260">
      <c r="A3260" s="54" t="n"/>
      <c r="B3260" s="61" t="n"/>
      <c r="C3260" s="61" t="n"/>
      <c r="D3260" s="61" t="n"/>
      <c r="E3260" s="61" t="n"/>
      <c r="F3260" s="55" t="n"/>
      <c r="G3260" s="56" t="n"/>
      <c r="H3260" s="55" t="n"/>
      <c r="I3260" s="62" t="n"/>
      <c r="J3260" s="58" t="n"/>
      <c r="K3260" s="63">
        <f>IF(tblMovement[[#This Row],[Source]]="","",IFERROR(INDEX(tblSources[Type],MATCH(tblMovement[[#This Row],[Source]],tblSources[Source],0)),"?"))</f>
        <v/>
      </c>
      <c r="L3260" s="63">
        <f>IF(tblMovement[[#This Row],[Destination]]="","",IFERROR(INDEX(tblDestinations[Type],MATCH(tblMovement[[#This Row],[Destination]],tblDestinations[Destination],0)),"?"))</f>
        <v/>
      </c>
      <c r="M3260" s="64">
        <f>IF(tblMovement[[#This Row],[Material]]="","",IF(LEFT(tblMovement[[#This Row],[Material]],3)="Ore",1,0))</f>
        <v/>
      </c>
      <c r="N3260" s="59">
        <f>IF(OR(tblMovement[[#This Row],[Tonnes_t]]="",tblMovement[[#This Row],[Grade_gpt]]=""),0,tblMovement[[#This Row],[Tonnes_t]]*tblMovement[[#This Row],[Grade_gpt]]/cfg_TroyOz)</f>
        <v/>
      </c>
      <c r="O3260" s="59">
        <f>IF(tblMovement[[#This Row],[Is_Ore]]=1,tblMovement[[#This Row],[Contained_oz]],0)</f>
        <v/>
      </c>
    </row>
    <row r="3261">
      <c r="A3261" s="54" t="n"/>
      <c r="B3261" s="61" t="n"/>
      <c r="C3261" s="61" t="n"/>
      <c r="D3261" s="61" t="n"/>
      <c r="E3261" s="61" t="n"/>
      <c r="F3261" s="55" t="n"/>
      <c r="G3261" s="56" t="n"/>
      <c r="H3261" s="55" t="n"/>
      <c r="I3261" s="62" t="n"/>
      <c r="J3261" s="58" t="n"/>
      <c r="K3261" s="63">
        <f>IF(tblMovement[[#This Row],[Source]]="","",IFERROR(INDEX(tblSources[Type],MATCH(tblMovement[[#This Row],[Source]],tblSources[Source],0)),"?"))</f>
        <v/>
      </c>
      <c r="L3261" s="63">
        <f>IF(tblMovement[[#This Row],[Destination]]="","",IFERROR(INDEX(tblDestinations[Type],MATCH(tblMovement[[#This Row],[Destination]],tblDestinations[Destination],0)),"?"))</f>
        <v/>
      </c>
      <c r="M3261" s="64">
        <f>IF(tblMovement[[#This Row],[Material]]="","",IF(LEFT(tblMovement[[#This Row],[Material]],3)="Ore",1,0))</f>
        <v/>
      </c>
      <c r="N3261" s="59">
        <f>IF(OR(tblMovement[[#This Row],[Tonnes_t]]="",tblMovement[[#This Row],[Grade_gpt]]=""),0,tblMovement[[#This Row],[Tonnes_t]]*tblMovement[[#This Row],[Grade_gpt]]/cfg_TroyOz)</f>
        <v/>
      </c>
      <c r="O3261" s="59">
        <f>IF(tblMovement[[#This Row],[Is_Ore]]=1,tblMovement[[#This Row],[Contained_oz]],0)</f>
        <v/>
      </c>
    </row>
    <row r="3262">
      <c r="A3262" s="54" t="n"/>
      <c r="B3262" s="61" t="n"/>
      <c r="C3262" s="61" t="n"/>
      <c r="D3262" s="61" t="n"/>
      <c r="E3262" s="61" t="n"/>
      <c r="F3262" s="55" t="n"/>
      <c r="G3262" s="56" t="n"/>
      <c r="H3262" s="55" t="n"/>
      <c r="I3262" s="62" t="n"/>
      <c r="J3262" s="58" t="n"/>
      <c r="K3262" s="63">
        <f>IF(tblMovement[[#This Row],[Source]]="","",IFERROR(INDEX(tblSources[Type],MATCH(tblMovement[[#This Row],[Source]],tblSources[Source],0)),"?"))</f>
        <v/>
      </c>
      <c r="L3262" s="63">
        <f>IF(tblMovement[[#This Row],[Destination]]="","",IFERROR(INDEX(tblDestinations[Type],MATCH(tblMovement[[#This Row],[Destination]],tblDestinations[Destination],0)),"?"))</f>
        <v/>
      </c>
      <c r="M3262" s="64">
        <f>IF(tblMovement[[#This Row],[Material]]="","",IF(LEFT(tblMovement[[#This Row],[Material]],3)="Ore",1,0))</f>
        <v/>
      </c>
      <c r="N3262" s="59">
        <f>IF(OR(tblMovement[[#This Row],[Tonnes_t]]="",tblMovement[[#This Row],[Grade_gpt]]=""),0,tblMovement[[#This Row],[Tonnes_t]]*tblMovement[[#This Row],[Grade_gpt]]/cfg_TroyOz)</f>
        <v/>
      </c>
      <c r="O3262" s="59">
        <f>IF(tblMovement[[#This Row],[Is_Ore]]=1,tblMovement[[#This Row],[Contained_oz]],0)</f>
        <v/>
      </c>
    </row>
    <row r="3263">
      <c r="A3263" s="54" t="n"/>
      <c r="B3263" s="61" t="n"/>
      <c r="C3263" s="61" t="n"/>
      <c r="D3263" s="61" t="n"/>
      <c r="E3263" s="61" t="n"/>
      <c r="F3263" s="55" t="n"/>
      <c r="G3263" s="56" t="n"/>
      <c r="H3263" s="55" t="n"/>
      <c r="I3263" s="62" t="n"/>
      <c r="J3263" s="58" t="n"/>
      <c r="K3263" s="63">
        <f>IF(tblMovement[[#This Row],[Source]]="","",IFERROR(INDEX(tblSources[Type],MATCH(tblMovement[[#This Row],[Source]],tblSources[Source],0)),"?"))</f>
        <v/>
      </c>
      <c r="L3263" s="63">
        <f>IF(tblMovement[[#This Row],[Destination]]="","",IFERROR(INDEX(tblDestinations[Type],MATCH(tblMovement[[#This Row],[Destination]],tblDestinations[Destination],0)),"?"))</f>
        <v/>
      </c>
      <c r="M3263" s="64">
        <f>IF(tblMovement[[#This Row],[Material]]="","",IF(LEFT(tblMovement[[#This Row],[Material]],3)="Ore",1,0))</f>
        <v/>
      </c>
      <c r="N3263" s="59">
        <f>IF(OR(tblMovement[[#This Row],[Tonnes_t]]="",tblMovement[[#This Row],[Grade_gpt]]=""),0,tblMovement[[#This Row],[Tonnes_t]]*tblMovement[[#This Row],[Grade_gpt]]/cfg_TroyOz)</f>
        <v/>
      </c>
      <c r="O3263" s="59">
        <f>IF(tblMovement[[#This Row],[Is_Ore]]=1,tblMovement[[#This Row],[Contained_oz]],0)</f>
        <v/>
      </c>
    </row>
    <row r="3264">
      <c r="A3264" s="54" t="n"/>
      <c r="B3264" s="61" t="n"/>
      <c r="C3264" s="61" t="n"/>
      <c r="D3264" s="61" t="n"/>
      <c r="E3264" s="61" t="n"/>
      <c r="F3264" s="55" t="n"/>
      <c r="G3264" s="56" t="n"/>
      <c r="H3264" s="55" t="n"/>
      <c r="I3264" s="62" t="n"/>
      <c r="J3264" s="58" t="n"/>
      <c r="K3264" s="63">
        <f>IF(tblMovement[[#This Row],[Source]]="","",IFERROR(INDEX(tblSources[Type],MATCH(tblMovement[[#This Row],[Source]],tblSources[Source],0)),"?"))</f>
        <v/>
      </c>
      <c r="L3264" s="63">
        <f>IF(tblMovement[[#This Row],[Destination]]="","",IFERROR(INDEX(tblDestinations[Type],MATCH(tblMovement[[#This Row],[Destination]],tblDestinations[Destination],0)),"?"))</f>
        <v/>
      </c>
      <c r="M3264" s="64">
        <f>IF(tblMovement[[#This Row],[Material]]="","",IF(LEFT(tblMovement[[#This Row],[Material]],3)="Ore",1,0))</f>
        <v/>
      </c>
      <c r="N3264" s="59">
        <f>IF(OR(tblMovement[[#This Row],[Tonnes_t]]="",tblMovement[[#This Row],[Grade_gpt]]=""),0,tblMovement[[#This Row],[Tonnes_t]]*tblMovement[[#This Row],[Grade_gpt]]/cfg_TroyOz)</f>
        <v/>
      </c>
      <c r="O3264" s="59">
        <f>IF(tblMovement[[#This Row],[Is_Ore]]=1,tblMovement[[#This Row],[Contained_oz]],0)</f>
        <v/>
      </c>
    </row>
    <row r="3265">
      <c r="A3265" s="54" t="n"/>
      <c r="B3265" s="61" t="n"/>
      <c r="C3265" s="61" t="n"/>
      <c r="D3265" s="61" t="n"/>
      <c r="E3265" s="61" t="n"/>
      <c r="F3265" s="55" t="n"/>
      <c r="G3265" s="56" t="n"/>
      <c r="H3265" s="55" t="n"/>
      <c r="I3265" s="62" t="n"/>
      <c r="J3265" s="58" t="n"/>
      <c r="K3265" s="63">
        <f>IF(tblMovement[[#This Row],[Source]]="","",IFERROR(INDEX(tblSources[Type],MATCH(tblMovement[[#This Row],[Source]],tblSources[Source],0)),"?"))</f>
        <v/>
      </c>
      <c r="L3265" s="63">
        <f>IF(tblMovement[[#This Row],[Destination]]="","",IFERROR(INDEX(tblDestinations[Type],MATCH(tblMovement[[#This Row],[Destination]],tblDestinations[Destination],0)),"?"))</f>
        <v/>
      </c>
      <c r="M3265" s="64">
        <f>IF(tblMovement[[#This Row],[Material]]="","",IF(LEFT(tblMovement[[#This Row],[Material]],3)="Ore",1,0))</f>
        <v/>
      </c>
      <c r="N3265" s="59">
        <f>IF(OR(tblMovement[[#This Row],[Tonnes_t]]="",tblMovement[[#This Row],[Grade_gpt]]=""),0,tblMovement[[#This Row],[Tonnes_t]]*tblMovement[[#This Row],[Grade_gpt]]/cfg_TroyOz)</f>
        <v/>
      </c>
      <c r="O3265" s="59">
        <f>IF(tblMovement[[#This Row],[Is_Ore]]=1,tblMovement[[#This Row],[Contained_oz]],0)</f>
        <v/>
      </c>
    </row>
    <row r="3266">
      <c r="A3266" s="54" t="n"/>
      <c r="B3266" s="61" t="n"/>
      <c r="C3266" s="61" t="n"/>
      <c r="D3266" s="61" t="n"/>
      <c r="E3266" s="61" t="n"/>
      <c r="F3266" s="55" t="n"/>
      <c r="G3266" s="56" t="n"/>
      <c r="H3266" s="55" t="n"/>
      <c r="I3266" s="62" t="n"/>
      <c r="J3266" s="58" t="n"/>
      <c r="K3266" s="63">
        <f>IF(tblMovement[[#This Row],[Source]]="","",IFERROR(INDEX(tblSources[Type],MATCH(tblMovement[[#This Row],[Source]],tblSources[Source],0)),"?"))</f>
        <v/>
      </c>
      <c r="L3266" s="63">
        <f>IF(tblMovement[[#This Row],[Destination]]="","",IFERROR(INDEX(tblDestinations[Type],MATCH(tblMovement[[#This Row],[Destination]],tblDestinations[Destination],0)),"?"))</f>
        <v/>
      </c>
      <c r="M3266" s="64">
        <f>IF(tblMovement[[#This Row],[Material]]="","",IF(LEFT(tblMovement[[#This Row],[Material]],3)="Ore",1,0))</f>
        <v/>
      </c>
      <c r="N3266" s="59">
        <f>IF(OR(tblMovement[[#This Row],[Tonnes_t]]="",tblMovement[[#This Row],[Grade_gpt]]=""),0,tblMovement[[#This Row],[Tonnes_t]]*tblMovement[[#This Row],[Grade_gpt]]/cfg_TroyOz)</f>
        <v/>
      </c>
      <c r="O3266" s="59">
        <f>IF(tblMovement[[#This Row],[Is_Ore]]=1,tblMovement[[#This Row],[Contained_oz]],0)</f>
        <v/>
      </c>
    </row>
    <row r="3267">
      <c r="A3267" s="54" t="n"/>
      <c r="B3267" s="61" t="n"/>
      <c r="C3267" s="61" t="n"/>
      <c r="D3267" s="61" t="n"/>
      <c r="E3267" s="61" t="n"/>
      <c r="F3267" s="55" t="n"/>
      <c r="G3267" s="56" t="n"/>
      <c r="H3267" s="55" t="n"/>
      <c r="I3267" s="62" t="n"/>
      <c r="J3267" s="58" t="n"/>
      <c r="K3267" s="63">
        <f>IF(tblMovement[[#This Row],[Source]]="","",IFERROR(INDEX(tblSources[Type],MATCH(tblMovement[[#This Row],[Source]],tblSources[Source],0)),"?"))</f>
        <v/>
      </c>
      <c r="L3267" s="63">
        <f>IF(tblMovement[[#This Row],[Destination]]="","",IFERROR(INDEX(tblDestinations[Type],MATCH(tblMovement[[#This Row],[Destination]],tblDestinations[Destination],0)),"?"))</f>
        <v/>
      </c>
      <c r="M3267" s="64">
        <f>IF(tblMovement[[#This Row],[Material]]="","",IF(LEFT(tblMovement[[#This Row],[Material]],3)="Ore",1,0))</f>
        <v/>
      </c>
      <c r="N3267" s="59">
        <f>IF(OR(tblMovement[[#This Row],[Tonnes_t]]="",tblMovement[[#This Row],[Grade_gpt]]=""),0,tblMovement[[#This Row],[Tonnes_t]]*tblMovement[[#This Row],[Grade_gpt]]/cfg_TroyOz)</f>
        <v/>
      </c>
      <c r="O3267" s="59">
        <f>IF(tblMovement[[#This Row],[Is_Ore]]=1,tblMovement[[#This Row],[Contained_oz]],0)</f>
        <v/>
      </c>
    </row>
    <row r="3268">
      <c r="A3268" s="54" t="n"/>
      <c r="B3268" s="61" t="n"/>
      <c r="C3268" s="61" t="n"/>
      <c r="D3268" s="61" t="n"/>
      <c r="E3268" s="61" t="n"/>
      <c r="F3268" s="55" t="n"/>
      <c r="G3268" s="56" t="n"/>
      <c r="H3268" s="55" t="n"/>
      <c r="I3268" s="62" t="n"/>
      <c r="J3268" s="58" t="n"/>
      <c r="K3268" s="63">
        <f>IF(tblMovement[[#This Row],[Source]]="","",IFERROR(INDEX(tblSources[Type],MATCH(tblMovement[[#This Row],[Source]],tblSources[Source],0)),"?"))</f>
        <v/>
      </c>
      <c r="L3268" s="63">
        <f>IF(tblMovement[[#This Row],[Destination]]="","",IFERROR(INDEX(tblDestinations[Type],MATCH(tblMovement[[#This Row],[Destination]],tblDestinations[Destination],0)),"?"))</f>
        <v/>
      </c>
      <c r="M3268" s="64">
        <f>IF(tblMovement[[#This Row],[Material]]="","",IF(LEFT(tblMovement[[#This Row],[Material]],3)="Ore",1,0))</f>
        <v/>
      </c>
      <c r="N3268" s="59">
        <f>IF(OR(tblMovement[[#This Row],[Tonnes_t]]="",tblMovement[[#This Row],[Grade_gpt]]=""),0,tblMovement[[#This Row],[Tonnes_t]]*tblMovement[[#This Row],[Grade_gpt]]/cfg_TroyOz)</f>
        <v/>
      </c>
      <c r="O3268" s="59">
        <f>IF(tblMovement[[#This Row],[Is_Ore]]=1,tblMovement[[#This Row],[Contained_oz]],0)</f>
        <v/>
      </c>
    </row>
    <row r="3269">
      <c r="A3269" s="54" t="n"/>
      <c r="B3269" s="61" t="n"/>
      <c r="C3269" s="61" t="n"/>
      <c r="D3269" s="61" t="n"/>
      <c r="E3269" s="61" t="n"/>
      <c r="F3269" s="55" t="n"/>
      <c r="G3269" s="56" t="n"/>
      <c r="H3269" s="55" t="n"/>
      <c r="I3269" s="62" t="n"/>
      <c r="J3269" s="58" t="n"/>
      <c r="K3269" s="63">
        <f>IF(tblMovement[[#This Row],[Source]]="","",IFERROR(INDEX(tblSources[Type],MATCH(tblMovement[[#This Row],[Source]],tblSources[Source],0)),"?"))</f>
        <v/>
      </c>
      <c r="L3269" s="63">
        <f>IF(tblMovement[[#This Row],[Destination]]="","",IFERROR(INDEX(tblDestinations[Type],MATCH(tblMovement[[#This Row],[Destination]],tblDestinations[Destination],0)),"?"))</f>
        <v/>
      </c>
      <c r="M3269" s="64">
        <f>IF(tblMovement[[#This Row],[Material]]="","",IF(LEFT(tblMovement[[#This Row],[Material]],3)="Ore",1,0))</f>
        <v/>
      </c>
      <c r="N3269" s="59">
        <f>IF(OR(tblMovement[[#This Row],[Tonnes_t]]="",tblMovement[[#This Row],[Grade_gpt]]=""),0,tblMovement[[#This Row],[Tonnes_t]]*tblMovement[[#This Row],[Grade_gpt]]/cfg_TroyOz)</f>
        <v/>
      </c>
      <c r="O3269" s="59">
        <f>IF(tblMovement[[#This Row],[Is_Ore]]=1,tblMovement[[#This Row],[Contained_oz]],0)</f>
        <v/>
      </c>
    </row>
    <row r="3270">
      <c r="A3270" s="54" t="n"/>
      <c r="B3270" s="61" t="n"/>
      <c r="C3270" s="61" t="n"/>
      <c r="D3270" s="61" t="n"/>
      <c r="E3270" s="61" t="n"/>
      <c r="F3270" s="55" t="n"/>
      <c r="G3270" s="56" t="n"/>
      <c r="H3270" s="55" t="n"/>
      <c r="I3270" s="62" t="n"/>
      <c r="J3270" s="58" t="n"/>
      <c r="K3270" s="63">
        <f>IF(tblMovement[[#This Row],[Source]]="","",IFERROR(INDEX(tblSources[Type],MATCH(tblMovement[[#This Row],[Source]],tblSources[Source],0)),"?"))</f>
        <v/>
      </c>
      <c r="L3270" s="63">
        <f>IF(tblMovement[[#This Row],[Destination]]="","",IFERROR(INDEX(tblDestinations[Type],MATCH(tblMovement[[#This Row],[Destination]],tblDestinations[Destination],0)),"?"))</f>
        <v/>
      </c>
      <c r="M3270" s="64">
        <f>IF(tblMovement[[#This Row],[Material]]="","",IF(LEFT(tblMovement[[#This Row],[Material]],3)="Ore",1,0))</f>
        <v/>
      </c>
      <c r="N3270" s="59">
        <f>IF(OR(tblMovement[[#This Row],[Tonnes_t]]="",tblMovement[[#This Row],[Grade_gpt]]=""),0,tblMovement[[#This Row],[Tonnes_t]]*tblMovement[[#This Row],[Grade_gpt]]/cfg_TroyOz)</f>
        <v/>
      </c>
      <c r="O3270" s="59">
        <f>IF(tblMovement[[#This Row],[Is_Ore]]=1,tblMovement[[#This Row],[Contained_oz]],0)</f>
        <v/>
      </c>
    </row>
    <row r="3271">
      <c r="A3271" s="54" t="n"/>
      <c r="B3271" s="61" t="n"/>
      <c r="C3271" s="61" t="n"/>
      <c r="D3271" s="61" t="n"/>
      <c r="E3271" s="61" t="n"/>
      <c r="F3271" s="55" t="n"/>
      <c r="G3271" s="56" t="n"/>
      <c r="H3271" s="55" t="n"/>
      <c r="I3271" s="62" t="n"/>
      <c r="J3271" s="58" t="n"/>
      <c r="K3271" s="63">
        <f>IF(tblMovement[[#This Row],[Source]]="","",IFERROR(INDEX(tblSources[Type],MATCH(tblMovement[[#This Row],[Source]],tblSources[Source],0)),"?"))</f>
        <v/>
      </c>
      <c r="L3271" s="63">
        <f>IF(tblMovement[[#This Row],[Destination]]="","",IFERROR(INDEX(tblDestinations[Type],MATCH(tblMovement[[#This Row],[Destination]],tblDestinations[Destination],0)),"?"))</f>
        <v/>
      </c>
      <c r="M3271" s="64">
        <f>IF(tblMovement[[#This Row],[Material]]="","",IF(LEFT(tblMovement[[#This Row],[Material]],3)="Ore",1,0))</f>
        <v/>
      </c>
      <c r="N3271" s="59">
        <f>IF(OR(tblMovement[[#This Row],[Tonnes_t]]="",tblMovement[[#This Row],[Grade_gpt]]=""),0,tblMovement[[#This Row],[Tonnes_t]]*tblMovement[[#This Row],[Grade_gpt]]/cfg_TroyOz)</f>
        <v/>
      </c>
      <c r="O3271" s="59">
        <f>IF(tblMovement[[#This Row],[Is_Ore]]=1,tblMovement[[#This Row],[Contained_oz]],0)</f>
        <v/>
      </c>
    </row>
    <row r="3272">
      <c r="A3272" s="54" t="n"/>
      <c r="B3272" s="61" t="n"/>
      <c r="C3272" s="61" t="n"/>
      <c r="D3272" s="61" t="n"/>
      <c r="E3272" s="61" t="n"/>
      <c r="F3272" s="55" t="n"/>
      <c r="G3272" s="56" t="n"/>
      <c r="H3272" s="55" t="n"/>
      <c r="I3272" s="62" t="n"/>
      <c r="J3272" s="58" t="n"/>
      <c r="K3272" s="63">
        <f>IF(tblMovement[[#This Row],[Source]]="","",IFERROR(INDEX(tblSources[Type],MATCH(tblMovement[[#This Row],[Source]],tblSources[Source],0)),"?"))</f>
        <v/>
      </c>
      <c r="L3272" s="63">
        <f>IF(tblMovement[[#This Row],[Destination]]="","",IFERROR(INDEX(tblDestinations[Type],MATCH(tblMovement[[#This Row],[Destination]],tblDestinations[Destination],0)),"?"))</f>
        <v/>
      </c>
      <c r="M3272" s="64">
        <f>IF(tblMovement[[#This Row],[Material]]="","",IF(LEFT(tblMovement[[#This Row],[Material]],3)="Ore",1,0))</f>
        <v/>
      </c>
      <c r="N3272" s="59">
        <f>IF(OR(tblMovement[[#This Row],[Tonnes_t]]="",tblMovement[[#This Row],[Grade_gpt]]=""),0,tblMovement[[#This Row],[Tonnes_t]]*tblMovement[[#This Row],[Grade_gpt]]/cfg_TroyOz)</f>
        <v/>
      </c>
      <c r="O3272" s="59">
        <f>IF(tblMovement[[#This Row],[Is_Ore]]=1,tblMovement[[#This Row],[Contained_oz]],0)</f>
        <v/>
      </c>
    </row>
    <row r="3273">
      <c r="A3273" s="54" t="n"/>
      <c r="B3273" s="61" t="n"/>
      <c r="C3273" s="61" t="n"/>
      <c r="D3273" s="61" t="n"/>
      <c r="E3273" s="61" t="n"/>
      <c r="F3273" s="55" t="n"/>
      <c r="G3273" s="56" t="n"/>
      <c r="H3273" s="55" t="n"/>
      <c r="I3273" s="62" t="n"/>
      <c r="J3273" s="58" t="n"/>
      <c r="K3273" s="63">
        <f>IF(tblMovement[[#This Row],[Source]]="","",IFERROR(INDEX(tblSources[Type],MATCH(tblMovement[[#This Row],[Source]],tblSources[Source],0)),"?"))</f>
        <v/>
      </c>
      <c r="L3273" s="63">
        <f>IF(tblMovement[[#This Row],[Destination]]="","",IFERROR(INDEX(tblDestinations[Type],MATCH(tblMovement[[#This Row],[Destination]],tblDestinations[Destination],0)),"?"))</f>
        <v/>
      </c>
      <c r="M3273" s="64">
        <f>IF(tblMovement[[#This Row],[Material]]="","",IF(LEFT(tblMovement[[#This Row],[Material]],3)="Ore",1,0))</f>
        <v/>
      </c>
      <c r="N3273" s="59">
        <f>IF(OR(tblMovement[[#This Row],[Tonnes_t]]="",tblMovement[[#This Row],[Grade_gpt]]=""),0,tblMovement[[#This Row],[Tonnes_t]]*tblMovement[[#This Row],[Grade_gpt]]/cfg_TroyOz)</f>
        <v/>
      </c>
      <c r="O3273" s="59">
        <f>IF(tblMovement[[#This Row],[Is_Ore]]=1,tblMovement[[#This Row],[Contained_oz]],0)</f>
        <v/>
      </c>
    </row>
    <row r="3274">
      <c r="A3274" s="54" t="n"/>
      <c r="B3274" s="61" t="n"/>
      <c r="C3274" s="61" t="n"/>
      <c r="D3274" s="61" t="n"/>
      <c r="E3274" s="61" t="n"/>
      <c r="F3274" s="55" t="n"/>
      <c r="G3274" s="56" t="n"/>
      <c r="H3274" s="55" t="n"/>
      <c r="I3274" s="62" t="n"/>
      <c r="J3274" s="58" t="n"/>
      <c r="K3274" s="63">
        <f>IF(tblMovement[[#This Row],[Source]]="","",IFERROR(INDEX(tblSources[Type],MATCH(tblMovement[[#This Row],[Source]],tblSources[Source],0)),"?"))</f>
        <v/>
      </c>
      <c r="L3274" s="63">
        <f>IF(tblMovement[[#This Row],[Destination]]="","",IFERROR(INDEX(tblDestinations[Type],MATCH(tblMovement[[#This Row],[Destination]],tblDestinations[Destination],0)),"?"))</f>
        <v/>
      </c>
      <c r="M3274" s="64">
        <f>IF(tblMovement[[#This Row],[Material]]="","",IF(LEFT(tblMovement[[#This Row],[Material]],3)="Ore",1,0))</f>
        <v/>
      </c>
      <c r="N3274" s="59">
        <f>IF(OR(tblMovement[[#This Row],[Tonnes_t]]="",tblMovement[[#This Row],[Grade_gpt]]=""),0,tblMovement[[#This Row],[Tonnes_t]]*tblMovement[[#This Row],[Grade_gpt]]/cfg_TroyOz)</f>
        <v/>
      </c>
      <c r="O3274" s="59">
        <f>IF(tblMovement[[#This Row],[Is_Ore]]=1,tblMovement[[#This Row],[Contained_oz]],0)</f>
        <v/>
      </c>
    </row>
    <row r="3275">
      <c r="A3275" s="54" t="n"/>
      <c r="B3275" s="61" t="n"/>
      <c r="C3275" s="61" t="n"/>
      <c r="D3275" s="61" t="n"/>
      <c r="E3275" s="61" t="n"/>
      <c r="F3275" s="55" t="n"/>
      <c r="G3275" s="56" t="n"/>
      <c r="H3275" s="55" t="n"/>
      <c r="I3275" s="62" t="n"/>
      <c r="J3275" s="58" t="n"/>
      <c r="K3275" s="63">
        <f>IF(tblMovement[[#This Row],[Source]]="","",IFERROR(INDEX(tblSources[Type],MATCH(tblMovement[[#This Row],[Source]],tblSources[Source],0)),"?"))</f>
        <v/>
      </c>
      <c r="L3275" s="63">
        <f>IF(tblMovement[[#This Row],[Destination]]="","",IFERROR(INDEX(tblDestinations[Type],MATCH(tblMovement[[#This Row],[Destination]],tblDestinations[Destination],0)),"?"))</f>
        <v/>
      </c>
      <c r="M3275" s="64">
        <f>IF(tblMovement[[#This Row],[Material]]="","",IF(LEFT(tblMovement[[#This Row],[Material]],3)="Ore",1,0))</f>
        <v/>
      </c>
      <c r="N3275" s="59">
        <f>IF(OR(tblMovement[[#This Row],[Tonnes_t]]="",tblMovement[[#This Row],[Grade_gpt]]=""),0,tblMovement[[#This Row],[Tonnes_t]]*tblMovement[[#This Row],[Grade_gpt]]/cfg_TroyOz)</f>
        <v/>
      </c>
      <c r="O3275" s="59">
        <f>IF(tblMovement[[#This Row],[Is_Ore]]=1,tblMovement[[#This Row],[Contained_oz]],0)</f>
        <v/>
      </c>
    </row>
    <row r="3276">
      <c r="A3276" s="54" t="n"/>
      <c r="B3276" s="61" t="n"/>
      <c r="C3276" s="61" t="n"/>
      <c r="D3276" s="61" t="n"/>
      <c r="E3276" s="61" t="n"/>
      <c r="F3276" s="55" t="n"/>
      <c r="G3276" s="56" t="n"/>
      <c r="H3276" s="55" t="n"/>
      <c r="I3276" s="62" t="n"/>
      <c r="J3276" s="58" t="n"/>
      <c r="K3276" s="63">
        <f>IF(tblMovement[[#This Row],[Source]]="","",IFERROR(INDEX(tblSources[Type],MATCH(tblMovement[[#This Row],[Source]],tblSources[Source],0)),"?"))</f>
        <v/>
      </c>
      <c r="L3276" s="63">
        <f>IF(tblMovement[[#This Row],[Destination]]="","",IFERROR(INDEX(tblDestinations[Type],MATCH(tblMovement[[#This Row],[Destination]],tblDestinations[Destination],0)),"?"))</f>
        <v/>
      </c>
      <c r="M3276" s="64">
        <f>IF(tblMovement[[#This Row],[Material]]="","",IF(LEFT(tblMovement[[#This Row],[Material]],3)="Ore",1,0))</f>
        <v/>
      </c>
      <c r="N3276" s="59">
        <f>IF(OR(tblMovement[[#This Row],[Tonnes_t]]="",tblMovement[[#This Row],[Grade_gpt]]=""),0,tblMovement[[#This Row],[Tonnes_t]]*tblMovement[[#This Row],[Grade_gpt]]/cfg_TroyOz)</f>
        <v/>
      </c>
      <c r="O3276" s="59">
        <f>IF(tblMovement[[#This Row],[Is_Ore]]=1,tblMovement[[#This Row],[Contained_oz]],0)</f>
        <v/>
      </c>
    </row>
    <row r="3277">
      <c r="A3277" s="54" t="n"/>
      <c r="B3277" s="61" t="n"/>
      <c r="C3277" s="61" t="n"/>
      <c r="D3277" s="61" t="n"/>
      <c r="E3277" s="61" t="n"/>
      <c r="F3277" s="55" t="n"/>
      <c r="G3277" s="56" t="n"/>
      <c r="H3277" s="55" t="n"/>
      <c r="I3277" s="62" t="n"/>
      <c r="J3277" s="58" t="n"/>
      <c r="K3277" s="63">
        <f>IF(tblMovement[[#This Row],[Source]]="","",IFERROR(INDEX(tblSources[Type],MATCH(tblMovement[[#This Row],[Source]],tblSources[Source],0)),"?"))</f>
        <v/>
      </c>
      <c r="L3277" s="63">
        <f>IF(tblMovement[[#This Row],[Destination]]="","",IFERROR(INDEX(tblDestinations[Type],MATCH(tblMovement[[#This Row],[Destination]],tblDestinations[Destination],0)),"?"))</f>
        <v/>
      </c>
      <c r="M3277" s="64">
        <f>IF(tblMovement[[#This Row],[Material]]="","",IF(LEFT(tblMovement[[#This Row],[Material]],3)="Ore",1,0))</f>
        <v/>
      </c>
      <c r="N3277" s="59">
        <f>IF(OR(tblMovement[[#This Row],[Tonnes_t]]="",tblMovement[[#This Row],[Grade_gpt]]=""),0,tblMovement[[#This Row],[Tonnes_t]]*tblMovement[[#This Row],[Grade_gpt]]/cfg_TroyOz)</f>
        <v/>
      </c>
      <c r="O3277" s="59">
        <f>IF(tblMovement[[#This Row],[Is_Ore]]=1,tblMovement[[#This Row],[Contained_oz]],0)</f>
        <v/>
      </c>
    </row>
    <row r="3278">
      <c r="A3278" s="54" t="n"/>
      <c r="B3278" s="61" t="n"/>
      <c r="C3278" s="61" t="n"/>
      <c r="D3278" s="61" t="n"/>
      <c r="E3278" s="61" t="n"/>
      <c r="F3278" s="55" t="n"/>
      <c r="G3278" s="56" t="n"/>
      <c r="H3278" s="55" t="n"/>
      <c r="I3278" s="62" t="n"/>
      <c r="J3278" s="58" t="n"/>
      <c r="K3278" s="63">
        <f>IF(tblMovement[[#This Row],[Source]]="","",IFERROR(INDEX(tblSources[Type],MATCH(tblMovement[[#This Row],[Source]],tblSources[Source],0)),"?"))</f>
        <v/>
      </c>
      <c r="L3278" s="63">
        <f>IF(tblMovement[[#This Row],[Destination]]="","",IFERROR(INDEX(tblDestinations[Type],MATCH(tblMovement[[#This Row],[Destination]],tblDestinations[Destination],0)),"?"))</f>
        <v/>
      </c>
      <c r="M3278" s="64">
        <f>IF(tblMovement[[#This Row],[Material]]="","",IF(LEFT(tblMovement[[#This Row],[Material]],3)="Ore",1,0))</f>
        <v/>
      </c>
      <c r="N3278" s="59">
        <f>IF(OR(tblMovement[[#This Row],[Tonnes_t]]="",tblMovement[[#This Row],[Grade_gpt]]=""),0,tblMovement[[#This Row],[Tonnes_t]]*tblMovement[[#This Row],[Grade_gpt]]/cfg_TroyOz)</f>
        <v/>
      </c>
      <c r="O3278" s="59">
        <f>IF(tblMovement[[#This Row],[Is_Ore]]=1,tblMovement[[#This Row],[Contained_oz]],0)</f>
        <v/>
      </c>
    </row>
    <row r="3279">
      <c r="A3279" s="54" t="n"/>
      <c r="B3279" s="61" t="n"/>
      <c r="C3279" s="61" t="n"/>
      <c r="D3279" s="61" t="n"/>
      <c r="E3279" s="61" t="n"/>
      <c r="F3279" s="55" t="n"/>
      <c r="G3279" s="56" t="n"/>
      <c r="H3279" s="55" t="n"/>
      <c r="I3279" s="62" t="n"/>
      <c r="J3279" s="58" t="n"/>
      <c r="K3279" s="63">
        <f>IF(tblMovement[[#This Row],[Source]]="","",IFERROR(INDEX(tblSources[Type],MATCH(tblMovement[[#This Row],[Source]],tblSources[Source],0)),"?"))</f>
        <v/>
      </c>
      <c r="L3279" s="63">
        <f>IF(tblMovement[[#This Row],[Destination]]="","",IFERROR(INDEX(tblDestinations[Type],MATCH(tblMovement[[#This Row],[Destination]],tblDestinations[Destination],0)),"?"))</f>
        <v/>
      </c>
      <c r="M3279" s="64">
        <f>IF(tblMovement[[#This Row],[Material]]="","",IF(LEFT(tblMovement[[#This Row],[Material]],3)="Ore",1,0))</f>
        <v/>
      </c>
      <c r="N3279" s="59">
        <f>IF(OR(tblMovement[[#This Row],[Tonnes_t]]="",tblMovement[[#This Row],[Grade_gpt]]=""),0,tblMovement[[#This Row],[Tonnes_t]]*tblMovement[[#This Row],[Grade_gpt]]/cfg_TroyOz)</f>
        <v/>
      </c>
      <c r="O3279" s="59">
        <f>IF(tblMovement[[#This Row],[Is_Ore]]=1,tblMovement[[#This Row],[Contained_oz]],0)</f>
        <v/>
      </c>
    </row>
    <row r="3280">
      <c r="A3280" s="54" t="n"/>
      <c r="B3280" s="61" t="n"/>
      <c r="C3280" s="61" t="n"/>
      <c r="D3280" s="61" t="n"/>
      <c r="E3280" s="61" t="n"/>
      <c r="F3280" s="55" t="n"/>
      <c r="G3280" s="56" t="n"/>
      <c r="H3280" s="55" t="n"/>
      <c r="I3280" s="62" t="n"/>
      <c r="J3280" s="58" t="n"/>
      <c r="K3280" s="63">
        <f>IF(tblMovement[[#This Row],[Source]]="","",IFERROR(INDEX(tblSources[Type],MATCH(tblMovement[[#This Row],[Source]],tblSources[Source],0)),"?"))</f>
        <v/>
      </c>
      <c r="L3280" s="63">
        <f>IF(tblMovement[[#This Row],[Destination]]="","",IFERROR(INDEX(tblDestinations[Type],MATCH(tblMovement[[#This Row],[Destination]],tblDestinations[Destination],0)),"?"))</f>
        <v/>
      </c>
      <c r="M3280" s="64">
        <f>IF(tblMovement[[#This Row],[Material]]="","",IF(LEFT(tblMovement[[#This Row],[Material]],3)="Ore",1,0))</f>
        <v/>
      </c>
      <c r="N3280" s="59">
        <f>IF(OR(tblMovement[[#This Row],[Tonnes_t]]="",tblMovement[[#This Row],[Grade_gpt]]=""),0,tblMovement[[#This Row],[Tonnes_t]]*tblMovement[[#This Row],[Grade_gpt]]/cfg_TroyOz)</f>
        <v/>
      </c>
      <c r="O3280" s="59">
        <f>IF(tblMovement[[#This Row],[Is_Ore]]=1,tblMovement[[#This Row],[Contained_oz]],0)</f>
        <v/>
      </c>
    </row>
    <row r="3281">
      <c r="A3281" s="54" t="n"/>
      <c r="B3281" s="61" t="n"/>
      <c r="C3281" s="61" t="n"/>
      <c r="D3281" s="61" t="n"/>
      <c r="E3281" s="61" t="n"/>
      <c r="F3281" s="55" t="n"/>
      <c r="G3281" s="56" t="n"/>
      <c r="H3281" s="55" t="n"/>
      <c r="I3281" s="62" t="n"/>
      <c r="J3281" s="58" t="n"/>
      <c r="K3281" s="63">
        <f>IF(tblMovement[[#This Row],[Source]]="","",IFERROR(INDEX(tblSources[Type],MATCH(tblMovement[[#This Row],[Source]],tblSources[Source],0)),"?"))</f>
        <v/>
      </c>
      <c r="L3281" s="63">
        <f>IF(tblMovement[[#This Row],[Destination]]="","",IFERROR(INDEX(tblDestinations[Type],MATCH(tblMovement[[#This Row],[Destination]],tblDestinations[Destination],0)),"?"))</f>
        <v/>
      </c>
      <c r="M3281" s="64">
        <f>IF(tblMovement[[#This Row],[Material]]="","",IF(LEFT(tblMovement[[#This Row],[Material]],3)="Ore",1,0))</f>
        <v/>
      </c>
      <c r="N3281" s="59">
        <f>IF(OR(tblMovement[[#This Row],[Tonnes_t]]="",tblMovement[[#This Row],[Grade_gpt]]=""),0,tblMovement[[#This Row],[Tonnes_t]]*tblMovement[[#This Row],[Grade_gpt]]/cfg_TroyOz)</f>
        <v/>
      </c>
      <c r="O3281" s="59">
        <f>IF(tblMovement[[#This Row],[Is_Ore]]=1,tblMovement[[#This Row],[Contained_oz]],0)</f>
        <v/>
      </c>
    </row>
    <row r="3282">
      <c r="A3282" s="54" t="n"/>
      <c r="B3282" s="61" t="n"/>
      <c r="C3282" s="61" t="n"/>
      <c r="D3282" s="61" t="n"/>
      <c r="E3282" s="61" t="n"/>
      <c r="F3282" s="55" t="n"/>
      <c r="G3282" s="56" t="n"/>
      <c r="H3282" s="55" t="n"/>
      <c r="I3282" s="62" t="n"/>
      <c r="J3282" s="58" t="n"/>
      <c r="K3282" s="63">
        <f>IF(tblMovement[[#This Row],[Source]]="","",IFERROR(INDEX(tblSources[Type],MATCH(tblMovement[[#This Row],[Source]],tblSources[Source],0)),"?"))</f>
        <v/>
      </c>
      <c r="L3282" s="63">
        <f>IF(tblMovement[[#This Row],[Destination]]="","",IFERROR(INDEX(tblDestinations[Type],MATCH(tblMovement[[#This Row],[Destination]],tblDestinations[Destination],0)),"?"))</f>
        <v/>
      </c>
      <c r="M3282" s="64">
        <f>IF(tblMovement[[#This Row],[Material]]="","",IF(LEFT(tblMovement[[#This Row],[Material]],3)="Ore",1,0))</f>
        <v/>
      </c>
      <c r="N3282" s="59">
        <f>IF(OR(tblMovement[[#This Row],[Tonnes_t]]="",tblMovement[[#This Row],[Grade_gpt]]=""),0,tblMovement[[#This Row],[Tonnes_t]]*tblMovement[[#This Row],[Grade_gpt]]/cfg_TroyOz)</f>
        <v/>
      </c>
      <c r="O3282" s="59">
        <f>IF(tblMovement[[#This Row],[Is_Ore]]=1,tblMovement[[#This Row],[Contained_oz]],0)</f>
        <v/>
      </c>
    </row>
    <row r="3283">
      <c r="A3283" s="54" t="n"/>
      <c r="B3283" s="61" t="n"/>
      <c r="C3283" s="61" t="n"/>
      <c r="D3283" s="61" t="n"/>
      <c r="E3283" s="61" t="n"/>
      <c r="F3283" s="55" t="n"/>
      <c r="G3283" s="56" t="n"/>
      <c r="H3283" s="55" t="n"/>
      <c r="I3283" s="62" t="n"/>
      <c r="J3283" s="58" t="n"/>
      <c r="K3283" s="63">
        <f>IF(tblMovement[[#This Row],[Source]]="","",IFERROR(INDEX(tblSources[Type],MATCH(tblMovement[[#This Row],[Source]],tblSources[Source],0)),"?"))</f>
        <v/>
      </c>
      <c r="L3283" s="63">
        <f>IF(tblMovement[[#This Row],[Destination]]="","",IFERROR(INDEX(tblDestinations[Type],MATCH(tblMovement[[#This Row],[Destination]],tblDestinations[Destination],0)),"?"))</f>
        <v/>
      </c>
      <c r="M3283" s="64">
        <f>IF(tblMovement[[#This Row],[Material]]="","",IF(LEFT(tblMovement[[#This Row],[Material]],3)="Ore",1,0))</f>
        <v/>
      </c>
      <c r="N3283" s="59">
        <f>IF(OR(tblMovement[[#This Row],[Tonnes_t]]="",tblMovement[[#This Row],[Grade_gpt]]=""),0,tblMovement[[#This Row],[Tonnes_t]]*tblMovement[[#This Row],[Grade_gpt]]/cfg_TroyOz)</f>
        <v/>
      </c>
      <c r="O3283" s="59">
        <f>IF(tblMovement[[#This Row],[Is_Ore]]=1,tblMovement[[#This Row],[Contained_oz]],0)</f>
        <v/>
      </c>
    </row>
    <row r="3284">
      <c r="A3284" s="54" t="n"/>
      <c r="B3284" s="61" t="n"/>
      <c r="C3284" s="61" t="n"/>
      <c r="D3284" s="61" t="n"/>
      <c r="E3284" s="61" t="n"/>
      <c r="F3284" s="55" t="n"/>
      <c r="G3284" s="56" t="n"/>
      <c r="H3284" s="55" t="n"/>
      <c r="I3284" s="62" t="n"/>
      <c r="J3284" s="58" t="n"/>
      <c r="K3284" s="63">
        <f>IF(tblMovement[[#This Row],[Source]]="","",IFERROR(INDEX(tblSources[Type],MATCH(tblMovement[[#This Row],[Source]],tblSources[Source],0)),"?"))</f>
        <v/>
      </c>
      <c r="L3284" s="63">
        <f>IF(tblMovement[[#This Row],[Destination]]="","",IFERROR(INDEX(tblDestinations[Type],MATCH(tblMovement[[#This Row],[Destination]],tblDestinations[Destination],0)),"?"))</f>
        <v/>
      </c>
      <c r="M3284" s="64">
        <f>IF(tblMovement[[#This Row],[Material]]="","",IF(LEFT(tblMovement[[#This Row],[Material]],3)="Ore",1,0))</f>
        <v/>
      </c>
      <c r="N3284" s="59">
        <f>IF(OR(tblMovement[[#This Row],[Tonnes_t]]="",tblMovement[[#This Row],[Grade_gpt]]=""),0,tblMovement[[#This Row],[Tonnes_t]]*tblMovement[[#This Row],[Grade_gpt]]/cfg_TroyOz)</f>
        <v/>
      </c>
      <c r="O3284" s="59">
        <f>IF(tblMovement[[#This Row],[Is_Ore]]=1,tblMovement[[#This Row],[Contained_oz]],0)</f>
        <v/>
      </c>
    </row>
    <row r="3285">
      <c r="A3285" s="54" t="n"/>
      <c r="B3285" s="61" t="n"/>
      <c r="C3285" s="61" t="n"/>
      <c r="D3285" s="61" t="n"/>
      <c r="E3285" s="61" t="n"/>
      <c r="F3285" s="55" t="n"/>
      <c r="G3285" s="56" t="n"/>
      <c r="H3285" s="55" t="n"/>
      <c r="I3285" s="62" t="n"/>
      <c r="J3285" s="58" t="n"/>
      <c r="K3285" s="63">
        <f>IF(tblMovement[[#This Row],[Source]]="","",IFERROR(INDEX(tblSources[Type],MATCH(tblMovement[[#This Row],[Source]],tblSources[Source],0)),"?"))</f>
        <v/>
      </c>
      <c r="L3285" s="63">
        <f>IF(tblMovement[[#This Row],[Destination]]="","",IFERROR(INDEX(tblDestinations[Type],MATCH(tblMovement[[#This Row],[Destination]],tblDestinations[Destination],0)),"?"))</f>
        <v/>
      </c>
      <c r="M3285" s="64">
        <f>IF(tblMovement[[#This Row],[Material]]="","",IF(LEFT(tblMovement[[#This Row],[Material]],3)="Ore",1,0))</f>
        <v/>
      </c>
      <c r="N3285" s="59">
        <f>IF(OR(tblMovement[[#This Row],[Tonnes_t]]="",tblMovement[[#This Row],[Grade_gpt]]=""),0,tblMovement[[#This Row],[Tonnes_t]]*tblMovement[[#This Row],[Grade_gpt]]/cfg_TroyOz)</f>
        <v/>
      </c>
      <c r="O3285" s="59">
        <f>IF(tblMovement[[#This Row],[Is_Ore]]=1,tblMovement[[#This Row],[Contained_oz]],0)</f>
        <v/>
      </c>
    </row>
    <row r="3286">
      <c r="A3286" s="54" t="n"/>
      <c r="B3286" s="61" t="n"/>
      <c r="C3286" s="61" t="n"/>
      <c r="D3286" s="61" t="n"/>
      <c r="E3286" s="61" t="n"/>
      <c r="F3286" s="55" t="n"/>
      <c r="G3286" s="56" t="n"/>
      <c r="H3286" s="55" t="n"/>
      <c r="I3286" s="62" t="n"/>
      <c r="J3286" s="58" t="n"/>
      <c r="K3286" s="63">
        <f>IF(tblMovement[[#This Row],[Source]]="","",IFERROR(INDEX(tblSources[Type],MATCH(tblMovement[[#This Row],[Source]],tblSources[Source],0)),"?"))</f>
        <v/>
      </c>
      <c r="L3286" s="63">
        <f>IF(tblMovement[[#This Row],[Destination]]="","",IFERROR(INDEX(tblDestinations[Type],MATCH(tblMovement[[#This Row],[Destination]],tblDestinations[Destination],0)),"?"))</f>
        <v/>
      </c>
      <c r="M3286" s="64">
        <f>IF(tblMovement[[#This Row],[Material]]="","",IF(LEFT(tblMovement[[#This Row],[Material]],3)="Ore",1,0))</f>
        <v/>
      </c>
      <c r="N3286" s="59">
        <f>IF(OR(tblMovement[[#This Row],[Tonnes_t]]="",tblMovement[[#This Row],[Grade_gpt]]=""),0,tblMovement[[#This Row],[Tonnes_t]]*tblMovement[[#This Row],[Grade_gpt]]/cfg_TroyOz)</f>
        <v/>
      </c>
      <c r="O3286" s="59">
        <f>IF(tblMovement[[#This Row],[Is_Ore]]=1,tblMovement[[#This Row],[Contained_oz]],0)</f>
        <v/>
      </c>
    </row>
    <row r="3287">
      <c r="A3287" s="54" t="n"/>
      <c r="B3287" s="61" t="n"/>
      <c r="C3287" s="61" t="n"/>
      <c r="D3287" s="61" t="n"/>
      <c r="E3287" s="61" t="n"/>
      <c r="F3287" s="55" t="n"/>
      <c r="G3287" s="56" t="n"/>
      <c r="H3287" s="55" t="n"/>
      <c r="I3287" s="62" t="n"/>
      <c r="J3287" s="58" t="n"/>
      <c r="K3287" s="63">
        <f>IF(tblMovement[[#This Row],[Source]]="","",IFERROR(INDEX(tblSources[Type],MATCH(tblMovement[[#This Row],[Source]],tblSources[Source],0)),"?"))</f>
        <v/>
      </c>
      <c r="L3287" s="63">
        <f>IF(tblMovement[[#This Row],[Destination]]="","",IFERROR(INDEX(tblDestinations[Type],MATCH(tblMovement[[#This Row],[Destination]],tblDestinations[Destination],0)),"?"))</f>
        <v/>
      </c>
      <c r="M3287" s="64">
        <f>IF(tblMovement[[#This Row],[Material]]="","",IF(LEFT(tblMovement[[#This Row],[Material]],3)="Ore",1,0))</f>
        <v/>
      </c>
      <c r="N3287" s="59">
        <f>IF(OR(tblMovement[[#This Row],[Tonnes_t]]="",tblMovement[[#This Row],[Grade_gpt]]=""),0,tblMovement[[#This Row],[Tonnes_t]]*tblMovement[[#This Row],[Grade_gpt]]/cfg_TroyOz)</f>
        <v/>
      </c>
      <c r="O3287" s="59">
        <f>IF(tblMovement[[#This Row],[Is_Ore]]=1,tblMovement[[#This Row],[Contained_oz]],0)</f>
        <v/>
      </c>
    </row>
    <row r="3288">
      <c r="A3288" s="54" t="n"/>
      <c r="B3288" s="61" t="n"/>
      <c r="C3288" s="61" t="n"/>
      <c r="D3288" s="61" t="n"/>
      <c r="E3288" s="61" t="n"/>
      <c r="F3288" s="55" t="n"/>
      <c r="G3288" s="56" t="n"/>
      <c r="H3288" s="55" t="n"/>
      <c r="I3288" s="62" t="n"/>
      <c r="J3288" s="58" t="n"/>
      <c r="K3288" s="63">
        <f>IF(tblMovement[[#This Row],[Source]]="","",IFERROR(INDEX(tblSources[Type],MATCH(tblMovement[[#This Row],[Source]],tblSources[Source],0)),"?"))</f>
        <v/>
      </c>
      <c r="L3288" s="63">
        <f>IF(tblMovement[[#This Row],[Destination]]="","",IFERROR(INDEX(tblDestinations[Type],MATCH(tblMovement[[#This Row],[Destination]],tblDestinations[Destination],0)),"?"))</f>
        <v/>
      </c>
      <c r="M3288" s="64">
        <f>IF(tblMovement[[#This Row],[Material]]="","",IF(LEFT(tblMovement[[#This Row],[Material]],3)="Ore",1,0))</f>
        <v/>
      </c>
      <c r="N3288" s="59">
        <f>IF(OR(tblMovement[[#This Row],[Tonnes_t]]="",tblMovement[[#This Row],[Grade_gpt]]=""),0,tblMovement[[#This Row],[Tonnes_t]]*tblMovement[[#This Row],[Grade_gpt]]/cfg_TroyOz)</f>
        <v/>
      </c>
      <c r="O3288" s="59">
        <f>IF(tblMovement[[#This Row],[Is_Ore]]=1,tblMovement[[#This Row],[Contained_oz]],0)</f>
        <v/>
      </c>
    </row>
    <row r="3289">
      <c r="A3289" s="54" t="n"/>
      <c r="B3289" s="61" t="n"/>
      <c r="C3289" s="61" t="n"/>
      <c r="D3289" s="61" t="n"/>
      <c r="E3289" s="61" t="n"/>
      <c r="F3289" s="55" t="n"/>
      <c r="G3289" s="56" t="n"/>
      <c r="H3289" s="55" t="n"/>
      <c r="I3289" s="62" t="n"/>
      <c r="J3289" s="58" t="n"/>
      <c r="K3289" s="63">
        <f>IF(tblMovement[[#This Row],[Source]]="","",IFERROR(INDEX(tblSources[Type],MATCH(tblMovement[[#This Row],[Source]],tblSources[Source],0)),"?"))</f>
        <v/>
      </c>
      <c r="L3289" s="63">
        <f>IF(tblMovement[[#This Row],[Destination]]="","",IFERROR(INDEX(tblDestinations[Type],MATCH(tblMovement[[#This Row],[Destination]],tblDestinations[Destination],0)),"?"))</f>
        <v/>
      </c>
      <c r="M3289" s="64">
        <f>IF(tblMovement[[#This Row],[Material]]="","",IF(LEFT(tblMovement[[#This Row],[Material]],3)="Ore",1,0))</f>
        <v/>
      </c>
      <c r="N3289" s="59">
        <f>IF(OR(tblMovement[[#This Row],[Tonnes_t]]="",tblMovement[[#This Row],[Grade_gpt]]=""),0,tblMovement[[#This Row],[Tonnes_t]]*tblMovement[[#This Row],[Grade_gpt]]/cfg_TroyOz)</f>
        <v/>
      </c>
      <c r="O3289" s="59">
        <f>IF(tblMovement[[#This Row],[Is_Ore]]=1,tblMovement[[#This Row],[Contained_oz]],0)</f>
        <v/>
      </c>
    </row>
    <row r="3290">
      <c r="A3290" s="54" t="n"/>
      <c r="B3290" s="61" t="n"/>
      <c r="C3290" s="61" t="n"/>
      <c r="D3290" s="61" t="n"/>
      <c r="E3290" s="61" t="n"/>
      <c r="F3290" s="55" t="n"/>
      <c r="G3290" s="56" t="n"/>
      <c r="H3290" s="55" t="n"/>
      <c r="I3290" s="62" t="n"/>
      <c r="J3290" s="58" t="n"/>
      <c r="K3290" s="63">
        <f>IF(tblMovement[[#This Row],[Source]]="","",IFERROR(INDEX(tblSources[Type],MATCH(tblMovement[[#This Row],[Source]],tblSources[Source],0)),"?"))</f>
        <v/>
      </c>
      <c r="L3290" s="63">
        <f>IF(tblMovement[[#This Row],[Destination]]="","",IFERROR(INDEX(tblDestinations[Type],MATCH(tblMovement[[#This Row],[Destination]],tblDestinations[Destination],0)),"?"))</f>
        <v/>
      </c>
      <c r="M3290" s="64">
        <f>IF(tblMovement[[#This Row],[Material]]="","",IF(LEFT(tblMovement[[#This Row],[Material]],3)="Ore",1,0))</f>
        <v/>
      </c>
      <c r="N3290" s="59">
        <f>IF(OR(tblMovement[[#This Row],[Tonnes_t]]="",tblMovement[[#This Row],[Grade_gpt]]=""),0,tblMovement[[#This Row],[Tonnes_t]]*tblMovement[[#This Row],[Grade_gpt]]/cfg_TroyOz)</f>
        <v/>
      </c>
      <c r="O3290" s="59">
        <f>IF(tblMovement[[#This Row],[Is_Ore]]=1,tblMovement[[#This Row],[Contained_oz]],0)</f>
        <v/>
      </c>
    </row>
    <row r="3291">
      <c r="A3291" s="54" t="n"/>
      <c r="B3291" s="61" t="n"/>
      <c r="C3291" s="61" t="n"/>
      <c r="D3291" s="61" t="n"/>
      <c r="E3291" s="61" t="n"/>
      <c r="F3291" s="55" t="n"/>
      <c r="G3291" s="56" t="n"/>
      <c r="H3291" s="55" t="n"/>
      <c r="I3291" s="62" t="n"/>
      <c r="J3291" s="58" t="n"/>
      <c r="K3291" s="63">
        <f>IF(tblMovement[[#This Row],[Source]]="","",IFERROR(INDEX(tblSources[Type],MATCH(tblMovement[[#This Row],[Source]],tblSources[Source],0)),"?"))</f>
        <v/>
      </c>
      <c r="L3291" s="63">
        <f>IF(tblMovement[[#This Row],[Destination]]="","",IFERROR(INDEX(tblDestinations[Type],MATCH(tblMovement[[#This Row],[Destination]],tblDestinations[Destination],0)),"?"))</f>
        <v/>
      </c>
      <c r="M3291" s="64">
        <f>IF(tblMovement[[#This Row],[Material]]="","",IF(LEFT(tblMovement[[#This Row],[Material]],3)="Ore",1,0))</f>
        <v/>
      </c>
      <c r="N3291" s="59">
        <f>IF(OR(tblMovement[[#This Row],[Tonnes_t]]="",tblMovement[[#This Row],[Grade_gpt]]=""),0,tblMovement[[#This Row],[Tonnes_t]]*tblMovement[[#This Row],[Grade_gpt]]/cfg_TroyOz)</f>
        <v/>
      </c>
      <c r="O3291" s="59">
        <f>IF(tblMovement[[#This Row],[Is_Ore]]=1,tblMovement[[#This Row],[Contained_oz]],0)</f>
        <v/>
      </c>
    </row>
    <row r="3292">
      <c r="A3292" s="54" t="n"/>
      <c r="B3292" s="61" t="n"/>
      <c r="C3292" s="61" t="n"/>
      <c r="D3292" s="61" t="n"/>
      <c r="E3292" s="61" t="n"/>
      <c r="F3292" s="55" t="n"/>
      <c r="G3292" s="56" t="n"/>
      <c r="H3292" s="55" t="n"/>
      <c r="I3292" s="62" t="n"/>
      <c r="J3292" s="58" t="n"/>
      <c r="K3292" s="63">
        <f>IF(tblMovement[[#This Row],[Source]]="","",IFERROR(INDEX(tblSources[Type],MATCH(tblMovement[[#This Row],[Source]],tblSources[Source],0)),"?"))</f>
        <v/>
      </c>
      <c r="L3292" s="63">
        <f>IF(tblMovement[[#This Row],[Destination]]="","",IFERROR(INDEX(tblDestinations[Type],MATCH(tblMovement[[#This Row],[Destination]],tblDestinations[Destination],0)),"?"))</f>
        <v/>
      </c>
      <c r="M3292" s="64">
        <f>IF(tblMovement[[#This Row],[Material]]="","",IF(LEFT(tblMovement[[#This Row],[Material]],3)="Ore",1,0))</f>
        <v/>
      </c>
      <c r="N3292" s="59">
        <f>IF(OR(tblMovement[[#This Row],[Tonnes_t]]="",tblMovement[[#This Row],[Grade_gpt]]=""),0,tblMovement[[#This Row],[Tonnes_t]]*tblMovement[[#This Row],[Grade_gpt]]/cfg_TroyOz)</f>
        <v/>
      </c>
      <c r="O3292" s="59">
        <f>IF(tblMovement[[#This Row],[Is_Ore]]=1,tblMovement[[#This Row],[Contained_oz]],0)</f>
        <v/>
      </c>
    </row>
    <row r="3293">
      <c r="A3293" s="54" t="n"/>
      <c r="B3293" s="61" t="n"/>
      <c r="C3293" s="61" t="n"/>
      <c r="D3293" s="61" t="n"/>
      <c r="E3293" s="61" t="n"/>
      <c r="F3293" s="55" t="n"/>
      <c r="G3293" s="56" t="n"/>
      <c r="H3293" s="55" t="n"/>
      <c r="I3293" s="62" t="n"/>
      <c r="J3293" s="58" t="n"/>
      <c r="K3293" s="63">
        <f>IF(tblMovement[[#This Row],[Source]]="","",IFERROR(INDEX(tblSources[Type],MATCH(tblMovement[[#This Row],[Source]],tblSources[Source],0)),"?"))</f>
        <v/>
      </c>
      <c r="L3293" s="63">
        <f>IF(tblMovement[[#This Row],[Destination]]="","",IFERROR(INDEX(tblDestinations[Type],MATCH(tblMovement[[#This Row],[Destination]],tblDestinations[Destination],0)),"?"))</f>
        <v/>
      </c>
      <c r="M3293" s="64">
        <f>IF(tblMovement[[#This Row],[Material]]="","",IF(LEFT(tblMovement[[#This Row],[Material]],3)="Ore",1,0))</f>
        <v/>
      </c>
      <c r="N3293" s="59">
        <f>IF(OR(tblMovement[[#This Row],[Tonnes_t]]="",tblMovement[[#This Row],[Grade_gpt]]=""),0,tblMovement[[#This Row],[Tonnes_t]]*tblMovement[[#This Row],[Grade_gpt]]/cfg_TroyOz)</f>
        <v/>
      </c>
      <c r="O3293" s="59">
        <f>IF(tblMovement[[#This Row],[Is_Ore]]=1,tblMovement[[#This Row],[Contained_oz]],0)</f>
        <v/>
      </c>
    </row>
    <row r="3294">
      <c r="A3294" s="54" t="n"/>
      <c r="B3294" s="61" t="n"/>
      <c r="C3294" s="61" t="n"/>
      <c r="D3294" s="61" t="n"/>
      <c r="E3294" s="61" t="n"/>
      <c r="F3294" s="55" t="n"/>
      <c r="G3294" s="56" t="n"/>
      <c r="H3294" s="55" t="n"/>
      <c r="I3294" s="62" t="n"/>
      <c r="J3294" s="58" t="n"/>
      <c r="K3294" s="63">
        <f>IF(tblMovement[[#This Row],[Source]]="","",IFERROR(INDEX(tblSources[Type],MATCH(tblMovement[[#This Row],[Source]],tblSources[Source],0)),"?"))</f>
        <v/>
      </c>
      <c r="L3294" s="63">
        <f>IF(tblMovement[[#This Row],[Destination]]="","",IFERROR(INDEX(tblDestinations[Type],MATCH(tblMovement[[#This Row],[Destination]],tblDestinations[Destination],0)),"?"))</f>
        <v/>
      </c>
      <c r="M3294" s="64">
        <f>IF(tblMovement[[#This Row],[Material]]="","",IF(LEFT(tblMovement[[#This Row],[Material]],3)="Ore",1,0))</f>
        <v/>
      </c>
      <c r="N3294" s="59">
        <f>IF(OR(tblMovement[[#This Row],[Tonnes_t]]="",tblMovement[[#This Row],[Grade_gpt]]=""),0,tblMovement[[#This Row],[Tonnes_t]]*tblMovement[[#This Row],[Grade_gpt]]/cfg_TroyOz)</f>
        <v/>
      </c>
      <c r="O3294" s="59">
        <f>IF(tblMovement[[#This Row],[Is_Ore]]=1,tblMovement[[#This Row],[Contained_oz]],0)</f>
        <v/>
      </c>
    </row>
    <row r="3295">
      <c r="A3295" s="54" t="n"/>
      <c r="B3295" s="61" t="n"/>
      <c r="C3295" s="61" t="n"/>
      <c r="D3295" s="61" t="n"/>
      <c r="E3295" s="61" t="n"/>
      <c r="F3295" s="55" t="n"/>
      <c r="G3295" s="56" t="n"/>
      <c r="H3295" s="55" t="n"/>
      <c r="I3295" s="62" t="n"/>
      <c r="J3295" s="58" t="n"/>
      <c r="K3295" s="63">
        <f>IF(tblMovement[[#This Row],[Source]]="","",IFERROR(INDEX(tblSources[Type],MATCH(tblMovement[[#This Row],[Source]],tblSources[Source],0)),"?"))</f>
        <v/>
      </c>
      <c r="L3295" s="63">
        <f>IF(tblMovement[[#This Row],[Destination]]="","",IFERROR(INDEX(tblDestinations[Type],MATCH(tblMovement[[#This Row],[Destination]],tblDestinations[Destination],0)),"?"))</f>
        <v/>
      </c>
      <c r="M3295" s="64">
        <f>IF(tblMovement[[#This Row],[Material]]="","",IF(LEFT(tblMovement[[#This Row],[Material]],3)="Ore",1,0))</f>
        <v/>
      </c>
      <c r="N3295" s="59">
        <f>IF(OR(tblMovement[[#This Row],[Tonnes_t]]="",tblMovement[[#This Row],[Grade_gpt]]=""),0,tblMovement[[#This Row],[Tonnes_t]]*tblMovement[[#This Row],[Grade_gpt]]/cfg_TroyOz)</f>
        <v/>
      </c>
      <c r="O3295" s="59">
        <f>IF(tblMovement[[#This Row],[Is_Ore]]=1,tblMovement[[#This Row],[Contained_oz]],0)</f>
        <v/>
      </c>
    </row>
    <row r="3296">
      <c r="A3296" s="54" t="n"/>
      <c r="B3296" s="61" t="n"/>
      <c r="C3296" s="61" t="n"/>
      <c r="D3296" s="61" t="n"/>
      <c r="E3296" s="61" t="n"/>
      <c r="F3296" s="55" t="n"/>
      <c r="G3296" s="56" t="n"/>
      <c r="H3296" s="55" t="n"/>
      <c r="I3296" s="62" t="n"/>
      <c r="J3296" s="58" t="n"/>
      <c r="K3296" s="63">
        <f>IF(tblMovement[[#This Row],[Source]]="","",IFERROR(INDEX(tblSources[Type],MATCH(tblMovement[[#This Row],[Source]],tblSources[Source],0)),"?"))</f>
        <v/>
      </c>
      <c r="L3296" s="63">
        <f>IF(tblMovement[[#This Row],[Destination]]="","",IFERROR(INDEX(tblDestinations[Type],MATCH(tblMovement[[#This Row],[Destination]],tblDestinations[Destination],0)),"?"))</f>
        <v/>
      </c>
      <c r="M3296" s="64">
        <f>IF(tblMovement[[#This Row],[Material]]="","",IF(LEFT(tblMovement[[#This Row],[Material]],3)="Ore",1,0))</f>
        <v/>
      </c>
      <c r="N3296" s="59">
        <f>IF(OR(tblMovement[[#This Row],[Tonnes_t]]="",tblMovement[[#This Row],[Grade_gpt]]=""),0,tblMovement[[#This Row],[Tonnes_t]]*tblMovement[[#This Row],[Grade_gpt]]/cfg_TroyOz)</f>
        <v/>
      </c>
      <c r="O3296" s="59">
        <f>IF(tblMovement[[#This Row],[Is_Ore]]=1,tblMovement[[#This Row],[Contained_oz]],0)</f>
        <v/>
      </c>
    </row>
    <row r="3297">
      <c r="A3297" s="54" t="n"/>
      <c r="B3297" s="61" t="n"/>
      <c r="C3297" s="61" t="n"/>
      <c r="D3297" s="61" t="n"/>
      <c r="E3297" s="61" t="n"/>
      <c r="F3297" s="55" t="n"/>
      <c r="G3297" s="56" t="n"/>
      <c r="H3297" s="55" t="n"/>
      <c r="I3297" s="62" t="n"/>
      <c r="J3297" s="58" t="n"/>
      <c r="K3297" s="63">
        <f>IF(tblMovement[[#This Row],[Source]]="","",IFERROR(INDEX(tblSources[Type],MATCH(tblMovement[[#This Row],[Source]],tblSources[Source],0)),"?"))</f>
        <v/>
      </c>
      <c r="L3297" s="63">
        <f>IF(tblMovement[[#This Row],[Destination]]="","",IFERROR(INDEX(tblDestinations[Type],MATCH(tblMovement[[#This Row],[Destination]],tblDestinations[Destination],0)),"?"))</f>
        <v/>
      </c>
      <c r="M3297" s="64">
        <f>IF(tblMovement[[#This Row],[Material]]="","",IF(LEFT(tblMovement[[#This Row],[Material]],3)="Ore",1,0))</f>
        <v/>
      </c>
      <c r="N3297" s="59">
        <f>IF(OR(tblMovement[[#This Row],[Tonnes_t]]="",tblMovement[[#This Row],[Grade_gpt]]=""),0,tblMovement[[#This Row],[Tonnes_t]]*tblMovement[[#This Row],[Grade_gpt]]/cfg_TroyOz)</f>
        <v/>
      </c>
      <c r="O3297" s="59">
        <f>IF(tblMovement[[#This Row],[Is_Ore]]=1,tblMovement[[#This Row],[Contained_oz]],0)</f>
        <v/>
      </c>
    </row>
    <row r="3298">
      <c r="A3298" s="54" t="n"/>
      <c r="B3298" s="61" t="n"/>
      <c r="C3298" s="61" t="n"/>
      <c r="D3298" s="61" t="n"/>
      <c r="E3298" s="61" t="n"/>
      <c r="F3298" s="55" t="n"/>
      <c r="G3298" s="56" t="n"/>
      <c r="H3298" s="55" t="n"/>
      <c r="I3298" s="62" t="n"/>
      <c r="J3298" s="58" t="n"/>
      <c r="K3298" s="63">
        <f>IF(tblMovement[[#This Row],[Source]]="","",IFERROR(INDEX(tblSources[Type],MATCH(tblMovement[[#This Row],[Source]],tblSources[Source],0)),"?"))</f>
        <v/>
      </c>
      <c r="L3298" s="63">
        <f>IF(tblMovement[[#This Row],[Destination]]="","",IFERROR(INDEX(tblDestinations[Type],MATCH(tblMovement[[#This Row],[Destination]],tblDestinations[Destination],0)),"?"))</f>
        <v/>
      </c>
      <c r="M3298" s="64">
        <f>IF(tblMovement[[#This Row],[Material]]="","",IF(LEFT(tblMovement[[#This Row],[Material]],3)="Ore",1,0))</f>
        <v/>
      </c>
      <c r="N3298" s="59">
        <f>IF(OR(tblMovement[[#This Row],[Tonnes_t]]="",tblMovement[[#This Row],[Grade_gpt]]=""),0,tblMovement[[#This Row],[Tonnes_t]]*tblMovement[[#This Row],[Grade_gpt]]/cfg_TroyOz)</f>
        <v/>
      </c>
      <c r="O3298" s="59">
        <f>IF(tblMovement[[#This Row],[Is_Ore]]=1,tblMovement[[#This Row],[Contained_oz]],0)</f>
        <v/>
      </c>
    </row>
    <row r="3299">
      <c r="A3299" s="54" t="n"/>
      <c r="B3299" s="61" t="n"/>
      <c r="C3299" s="61" t="n"/>
      <c r="D3299" s="61" t="n"/>
      <c r="E3299" s="61" t="n"/>
      <c r="F3299" s="55" t="n"/>
      <c r="G3299" s="56" t="n"/>
      <c r="H3299" s="55" t="n"/>
      <c r="I3299" s="62" t="n"/>
      <c r="J3299" s="58" t="n"/>
      <c r="K3299" s="63">
        <f>IF(tblMovement[[#This Row],[Source]]="","",IFERROR(INDEX(tblSources[Type],MATCH(tblMovement[[#This Row],[Source]],tblSources[Source],0)),"?"))</f>
        <v/>
      </c>
      <c r="L3299" s="63">
        <f>IF(tblMovement[[#This Row],[Destination]]="","",IFERROR(INDEX(tblDestinations[Type],MATCH(tblMovement[[#This Row],[Destination]],tblDestinations[Destination],0)),"?"))</f>
        <v/>
      </c>
      <c r="M3299" s="64">
        <f>IF(tblMovement[[#This Row],[Material]]="","",IF(LEFT(tblMovement[[#This Row],[Material]],3)="Ore",1,0))</f>
        <v/>
      </c>
      <c r="N3299" s="59">
        <f>IF(OR(tblMovement[[#This Row],[Tonnes_t]]="",tblMovement[[#This Row],[Grade_gpt]]=""),0,tblMovement[[#This Row],[Tonnes_t]]*tblMovement[[#This Row],[Grade_gpt]]/cfg_TroyOz)</f>
        <v/>
      </c>
      <c r="O3299" s="59">
        <f>IF(tblMovement[[#This Row],[Is_Ore]]=1,tblMovement[[#This Row],[Contained_oz]],0)</f>
        <v/>
      </c>
    </row>
    <row r="3300">
      <c r="A3300" s="54" t="n"/>
      <c r="B3300" s="61" t="n"/>
      <c r="C3300" s="61" t="n"/>
      <c r="D3300" s="61" t="n"/>
      <c r="E3300" s="61" t="n"/>
      <c r="F3300" s="55" t="n"/>
      <c r="G3300" s="56" t="n"/>
      <c r="H3300" s="55" t="n"/>
      <c r="I3300" s="62" t="n"/>
      <c r="J3300" s="58" t="n"/>
      <c r="K3300" s="63">
        <f>IF(tblMovement[[#This Row],[Source]]="","",IFERROR(INDEX(tblSources[Type],MATCH(tblMovement[[#This Row],[Source]],tblSources[Source],0)),"?"))</f>
        <v/>
      </c>
      <c r="L3300" s="63">
        <f>IF(tblMovement[[#This Row],[Destination]]="","",IFERROR(INDEX(tblDestinations[Type],MATCH(tblMovement[[#This Row],[Destination]],tblDestinations[Destination],0)),"?"))</f>
        <v/>
      </c>
      <c r="M3300" s="64">
        <f>IF(tblMovement[[#This Row],[Material]]="","",IF(LEFT(tblMovement[[#This Row],[Material]],3)="Ore",1,0))</f>
        <v/>
      </c>
      <c r="N3300" s="59">
        <f>IF(OR(tblMovement[[#This Row],[Tonnes_t]]="",tblMovement[[#This Row],[Grade_gpt]]=""),0,tblMovement[[#This Row],[Tonnes_t]]*tblMovement[[#This Row],[Grade_gpt]]/cfg_TroyOz)</f>
        <v/>
      </c>
      <c r="O3300" s="59">
        <f>IF(tblMovement[[#This Row],[Is_Ore]]=1,tblMovement[[#This Row],[Contained_oz]],0)</f>
        <v/>
      </c>
    </row>
    <row r="3301">
      <c r="A3301" s="54" t="n"/>
      <c r="B3301" s="61" t="n"/>
      <c r="C3301" s="61" t="n"/>
      <c r="D3301" s="61" t="n"/>
      <c r="E3301" s="61" t="n"/>
      <c r="F3301" s="55" t="n"/>
      <c r="G3301" s="56" t="n"/>
      <c r="H3301" s="55" t="n"/>
      <c r="I3301" s="62" t="n"/>
      <c r="J3301" s="58" t="n"/>
      <c r="K3301" s="63">
        <f>IF(tblMovement[[#This Row],[Source]]="","",IFERROR(INDEX(tblSources[Type],MATCH(tblMovement[[#This Row],[Source]],tblSources[Source],0)),"?"))</f>
        <v/>
      </c>
      <c r="L3301" s="63">
        <f>IF(tblMovement[[#This Row],[Destination]]="","",IFERROR(INDEX(tblDestinations[Type],MATCH(tblMovement[[#This Row],[Destination]],tblDestinations[Destination],0)),"?"))</f>
        <v/>
      </c>
      <c r="M3301" s="64">
        <f>IF(tblMovement[[#This Row],[Material]]="","",IF(LEFT(tblMovement[[#This Row],[Material]],3)="Ore",1,0))</f>
        <v/>
      </c>
      <c r="N3301" s="59">
        <f>IF(OR(tblMovement[[#This Row],[Tonnes_t]]="",tblMovement[[#This Row],[Grade_gpt]]=""),0,tblMovement[[#This Row],[Tonnes_t]]*tblMovement[[#This Row],[Grade_gpt]]/cfg_TroyOz)</f>
        <v/>
      </c>
      <c r="O3301" s="59">
        <f>IF(tblMovement[[#This Row],[Is_Ore]]=1,tblMovement[[#This Row],[Contained_oz]],0)</f>
        <v/>
      </c>
    </row>
    <row r="3302">
      <c r="A3302" s="54" t="n"/>
      <c r="B3302" s="61" t="n"/>
      <c r="C3302" s="61" t="n"/>
      <c r="D3302" s="61" t="n"/>
      <c r="E3302" s="61" t="n"/>
      <c r="F3302" s="55" t="n"/>
      <c r="G3302" s="56" t="n"/>
      <c r="H3302" s="55" t="n"/>
      <c r="I3302" s="62" t="n"/>
      <c r="J3302" s="58" t="n"/>
      <c r="K3302" s="63">
        <f>IF(tblMovement[[#This Row],[Source]]="","",IFERROR(INDEX(tblSources[Type],MATCH(tblMovement[[#This Row],[Source]],tblSources[Source],0)),"?"))</f>
        <v/>
      </c>
      <c r="L3302" s="63">
        <f>IF(tblMovement[[#This Row],[Destination]]="","",IFERROR(INDEX(tblDestinations[Type],MATCH(tblMovement[[#This Row],[Destination]],tblDestinations[Destination],0)),"?"))</f>
        <v/>
      </c>
      <c r="M3302" s="64">
        <f>IF(tblMovement[[#This Row],[Material]]="","",IF(LEFT(tblMovement[[#This Row],[Material]],3)="Ore",1,0))</f>
        <v/>
      </c>
      <c r="N3302" s="59">
        <f>IF(OR(tblMovement[[#This Row],[Tonnes_t]]="",tblMovement[[#This Row],[Grade_gpt]]=""),0,tblMovement[[#This Row],[Tonnes_t]]*tblMovement[[#This Row],[Grade_gpt]]/cfg_TroyOz)</f>
        <v/>
      </c>
      <c r="O3302" s="59">
        <f>IF(tblMovement[[#This Row],[Is_Ore]]=1,tblMovement[[#This Row],[Contained_oz]],0)</f>
        <v/>
      </c>
    </row>
    <row r="3303">
      <c r="A3303" s="54" t="n"/>
      <c r="B3303" s="61" t="n"/>
      <c r="C3303" s="61" t="n"/>
      <c r="D3303" s="61" t="n"/>
      <c r="E3303" s="61" t="n"/>
      <c r="F3303" s="55" t="n"/>
      <c r="G3303" s="56" t="n"/>
      <c r="H3303" s="55" t="n"/>
      <c r="I3303" s="62" t="n"/>
      <c r="J3303" s="58" t="n"/>
      <c r="K3303" s="63">
        <f>IF(tblMovement[[#This Row],[Source]]="","",IFERROR(INDEX(tblSources[Type],MATCH(tblMovement[[#This Row],[Source]],tblSources[Source],0)),"?"))</f>
        <v/>
      </c>
      <c r="L3303" s="63">
        <f>IF(tblMovement[[#This Row],[Destination]]="","",IFERROR(INDEX(tblDestinations[Type],MATCH(tblMovement[[#This Row],[Destination]],tblDestinations[Destination],0)),"?"))</f>
        <v/>
      </c>
      <c r="M3303" s="64">
        <f>IF(tblMovement[[#This Row],[Material]]="","",IF(LEFT(tblMovement[[#This Row],[Material]],3)="Ore",1,0))</f>
        <v/>
      </c>
      <c r="N3303" s="59">
        <f>IF(OR(tblMovement[[#This Row],[Tonnes_t]]="",tblMovement[[#This Row],[Grade_gpt]]=""),0,tblMovement[[#This Row],[Tonnes_t]]*tblMovement[[#This Row],[Grade_gpt]]/cfg_TroyOz)</f>
        <v/>
      </c>
      <c r="O3303" s="59">
        <f>IF(tblMovement[[#This Row],[Is_Ore]]=1,tblMovement[[#This Row],[Contained_oz]],0)</f>
        <v/>
      </c>
    </row>
    <row r="3304">
      <c r="A3304" s="54" t="n"/>
      <c r="B3304" s="61" t="n"/>
      <c r="C3304" s="61" t="n"/>
      <c r="D3304" s="61" t="n"/>
      <c r="E3304" s="61" t="n"/>
      <c r="F3304" s="55" t="n"/>
      <c r="G3304" s="56" t="n"/>
      <c r="H3304" s="55" t="n"/>
      <c r="I3304" s="62" t="n"/>
      <c r="J3304" s="58" t="n"/>
      <c r="K3304" s="63">
        <f>IF(tblMovement[[#This Row],[Source]]="","",IFERROR(INDEX(tblSources[Type],MATCH(tblMovement[[#This Row],[Source]],tblSources[Source],0)),"?"))</f>
        <v/>
      </c>
      <c r="L3304" s="63">
        <f>IF(tblMovement[[#This Row],[Destination]]="","",IFERROR(INDEX(tblDestinations[Type],MATCH(tblMovement[[#This Row],[Destination]],tblDestinations[Destination],0)),"?"))</f>
        <v/>
      </c>
      <c r="M3304" s="64">
        <f>IF(tblMovement[[#This Row],[Material]]="","",IF(LEFT(tblMovement[[#This Row],[Material]],3)="Ore",1,0))</f>
        <v/>
      </c>
      <c r="N3304" s="59">
        <f>IF(OR(tblMovement[[#This Row],[Tonnes_t]]="",tblMovement[[#This Row],[Grade_gpt]]=""),0,tblMovement[[#This Row],[Tonnes_t]]*tblMovement[[#This Row],[Grade_gpt]]/cfg_TroyOz)</f>
        <v/>
      </c>
      <c r="O3304" s="59">
        <f>IF(tblMovement[[#This Row],[Is_Ore]]=1,tblMovement[[#This Row],[Contained_oz]],0)</f>
        <v/>
      </c>
    </row>
    <row r="3305">
      <c r="A3305" s="54" t="n"/>
      <c r="B3305" s="61" t="n"/>
      <c r="C3305" s="61" t="n"/>
      <c r="D3305" s="61" t="n"/>
      <c r="E3305" s="61" t="n"/>
      <c r="F3305" s="55" t="n"/>
      <c r="G3305" s="56" t="n"/>
      <c r="H3305" s="55" t="n"/>
      <c r="I3305" s="62" t="n"/>
      <c r="J3305" s="58" t="n"/>
      <c r="K3305" s="63">
        <f>IF(tblMovement[[#This Row],[Source]]="","",IFERROR(INDEX(tblSources[Type],MATCH(tblMovement[[#This Row],[Source]],tblSources[Source],0)),"?"))</f>
        <v/>
      </c>
      <c r="L3305" s="63">
        <f>IF(tblMovement[[#This Row],[Destination]]="","",IFERROR(INDEX(tblDestinations[Type],MATCH(tblMovement[[#This Row],[Destination]],tblDestinations[Destination],0)),"?"))</f>
        <v/>
      </c>
      <c r="M3305" s="64">
        <f>IF(tblMovement[[#This Row],[Material]]="","",IF(LEFT(tblMovement[[#This Row],[Material]],3)="Ore",1,0))</f>
        <v/>
      </c>
      <c r="N3305" s="59">
        <f>IF(OR(tblMovement[[#This Row],[Tonnes_t]]="",tblMovement[[#This Row],[Grade_gpt]]=""),0,tblMovement[[#This Row],[Tonnes_t]]*tblMovement[[#This Row],[Grade_gpt]]/cfg_TroyOz)</f>
        <v/>
      </c>
      <c r="O3305" s="59">
        <f>IF(tblMovement[[#This Row],[Is_Ore]]=1,tblMovement[[#This Row],[Contained_oz]],0)</f>
        <v/>
      </c>
    </row>
    <row r="3306">
      <c r="A3306" s="54" t="n"/>
      <c r="B3306" s="61" t="n"/>
      <c r="C3306" s="61" t="n"/>
      <c r="D3306" s="61" t="n"/>
      <c r="E3306" s="61" t="n"/>
      <c r="F3306" s="55" t="n"/>
      <c r="G3306" s="56" t="n"/>
      <c r="H3306" s="55" t="n"/>
      <c r="I3306" s="62" t="n"/>
      <c r="J3306" s="58" t="n"/>
      <c r="K3306" s="63">
        <f>IF(tblMovement[[#This Row],[Source]]="","",IFERROR(INDEX(tblSources[Type],MATCH(tblMovement[[#This Row],[Source]],tblSources[Source],0)),"?"))</f>
        <v/>
      </c>
      <c r="L3306" s="63">
        <f>IF(tblMovement[[#This Row],[Destination]]="","",IFERROR(INDEX(tblDestinations[Type],MATCH(tblMovement[[#This Row],[Destination]],tblDestinations[Destination],0)),"?"))</f>
        <v/>
      </c>
      <c r="M3306" s="64">
        <f>IF(tblMovement[[#This Row],[Material]]="","",IF(LEFT(tblMovement[[#This Row],[Material]],3)="Ore",1,0))</f>
        <v/>
      </c>
      <c r="N3306" s="59">
        <f>IF(OR(tblMovement[[#This Row],[Tonnes_t]]="",tblMovement[[#This Row],[Grade_gpt]]=""),0,tblMovement[[#This Row],[Tonnes_t]]*tblMovement[[#This Row],[Grade_gpt]]/cfg_TroyOz)</f>
        <v/>
      </c>
      <c r="O3306" s="59">
        <f>IF(tblMovement[[#This Row],[Is_Ore]]=1,tblMovement[[#This Row],[Contained_oz]],0)</f>
        <v/>
      </c>
    </row>
    <row r="3307">
      <c r="A3307" s="54" t="n"/>
      <c r="B3307" s="61" t="n"/>
      <c r="C3307" s="61" t="n"/>
      <c r="D3307" s="61" t="n"/>
      <c r="E3307" s="61" t="n"/>
      <c r="F3307" s="55" t="n"/>
      <c r="G3307" s="56" t="n"/>
      <c r="H3307" s="55" t="n"/>
      <c r="I3307" s="62" t="n"/>
      <c r="J3307" s="58" t="n"/>
      <c r="K3307" s="63">
        <f>IF(tblMovement[[#This Row],[Source]]="","",IFERROR(INDEX(tblSources[Type],MATCH(tblMovement[[#This Row],[Source]],tblSources[Source],0)),"?"))</f>
        <v/>
      </c>
      <c r="L3307" s="63">
        <f>IF(tblMovement[[#This Row],[Destination]]="","",IFERROR(INDEX(tblDestinations[Type],MATCH(tblMovement[[#This Row],[Destination]],tblDestinations[Destination],0)),"?"))</f>
        <v/>
      </c>
      <c r="M3307" s="64">
        <f>IF(tblMovement[[#This Row],[Material]]="","",IF(LEFT(tblMovement[[#This Row],[Material]],3)="Ore",1,0))</f>
        <v/>
      </c>
      <c r="N3307" s="59">
        <f>IF(OR(tblMovement[[#This Row],[Tonnes_t]]="",tblMovement[[#This Row],[Grade_gpt]]=""),0,tblMovement[[#This Row],[Tonnes_t]]*tblMovement[[#This Row],[Grade_gpt]]/cfg_TroyOz)</f>
        <v/>
      </c>
      <c r="O3307" s="59">
        <f>IF(tblMovement[[#This Row],[Is_Ore]]=1,tblMovement[[#This Row],[Contained_oz]],0)</f>
        <v/>
      </c>
    </row>
    <row r="3308">
      <c r="A3308" s="54" t="n"/>
      <c r="B3308" s="61" t="n"/>
      <c r="C3308" s="61" t="n"/>
      <c r="D3308" s="61" t="n"/>
      <c r="E3308" s="61" t="n"/>
      <c r="F3308" s="55" t="n"/>
      <c r="G3308" s="56" t="n"/>
      <c r="H3308" s="55" t="n"/>
      <c r="I3308" s="62" t="n"/>
      <c r="J3308" s="58" t="n"/>
      <c r="K3308" s="63">
        <f>IF(tblMovement[[#This Row],[Source]]="","",IFERROR(INDEX(tblSources[Type],MATCH(tblMovement[[#This Row],[Source]],tblSources[Source],0)),"?"))</f>
        <v/>
      </c>
      <c r="L3308" s="63">
        <f>IF(tblMovement[[#This Row],[Destination]]="","",IFERROR(INDEX(tblDestinations[Type],MATCH(tblMovement[[#This Row],[Destination]],tblDestinations[Destination],0)),"?"))</f>
        <v/>
      </c>
      <c r="M3308" s="64">
        <f>IF(tblMovement[[#This Row],[Material]]="","",IF(LEFT(tblMovement[[#This Row],[Material]],3)="Ore",1,0))</f>
        <v/>
      </c>
      <c r="N3308" s="59">
        <f>IF(OR(tblMovement[[#This Row],[Tonnes_t]]="",tblMovement[[#This Row],[Grade_gpt]]=""),0,tblMovement[[#This Row],[Tonnes_t]]*tblMovement[[#This Row],[Grade_gpt]]/cfg_TroyOz)</f>
        <v/>
      </c>
      <c r="O3308" s="59">
        <f>IF(tblMovement[[#This Row],[Is_Ore]]=1,tblMovement[[#This Row],[Contained_oz]],0)</f>
        <v/>
      </c>
    </row>
    <row r="3309">
      <c r="A3309" s="54" t="n"/>
      <c r="B3309" s="61" t="n"/>
      <c r="C3309" s="61" t="n"/>
      <c r="D3309" s="61" t="n"/>
      <c r="E3309" s="61" t="n"/>
      <c r="F3309" s="55" t="n"/>
      <c r="G3309" s="56" t="n"/>
      <c r="H3309" s="55" t="n"/>
      <c r="I3309" s="62" t="n"/>
      <c r="J3309" s="58" t="n"/>
      <c r="K3309" s="63">
        <f>IF(tblMovement[[#This Row],[Source]]="","",IFERROR(INDEX(tblSources[Type],MATCH(tblMovement[[#This Row],[Source]],tblSources[Source],0)),"?"))</f>
        <v/>
      </c>
      <c r="L3309" s="63">
        <f>IF(tblMovement[[#This Row],[Destination]]="","",IFERROR(INDEX(tblDestinations[Type],MATCH(tblMovement[[#This Row],[Destination]],tblDestinations[Destination],0)),"?"))</f>
        <v/>
      </c>
      <c r="M3309" s="64">
        <f>IF(tblMovement[[#This Row],[Material]]="","",IF(LEFT(tblMovement[[#This Row],[Material]],3)="Ore",1,0))</f>
        <v/>
      </c>
      <c r="N3309" s="59">
        <f>IF(OR(tblMovement[[#This Row],[Tonnes_t]]="",tblMovement[[#This Row],[Grade_gpt]]=""),0,tblMovement[[#This Row],[Tonnes_t]]*tblMovement[[#This Row],[Grade_gpt]]/cfg_TroyOz)</f>
        <v/>
      </c>
      <c r="O3309" s="59">
        <f>IF(tblMovement[[#This Row],[Is_Ore]]=1,tblMovement[[#This Row],[Contained_oz]],0)</f>
        <v/>
      </c>
    </row>
    <row r="3310">
      <c r="A3310" s="54" t="n"/>
      <c r="B3310" s="61" t="n"/>
      <c r="C3310" s="61" t="n"/>
      <c r="D3310" s="61" t="n"/>
      <c r="E3310" s="61" t="n"/>
      <c r="F3310" s="55" t="n"/>
      <c r="G3310" s="56" t="n"/>
      <c r="H3310" s="55" t="n"/>
      <c r="I3310" s="62" t="n"/>
      <c r="J3310" s="58" t="n"/>
      <c r="K3310" s="63">
        <f>IF(tblMovement[[#This Row],[Source]]="","",IFERROR(INDEX(tblSources[Type],MATCH(tblMovement[[#This Row],[Source]],tblSources[Source],0)),"?"))</f>
        <v/>
      </c>
      <c r="L3310" s="63">
        <f>IF(tblMovement[[#This Row],[Destination]]="","",IFERROR(INDEX(tblDestinations[Type],MATCH(tblMovement[[#This Row],[Destination]],tblDestinations[Destination],0)),"?"))</f>
        <v/>
      </c>
      <c r="M3310" s="64">
        <f>IF(tblMovement[[#This Row],[Material]]="","",IF(LEFT(tblMovement[[#This Row],[Material]],3)="Ore",1,0))</f>
        <v/>
      </c>
      <c r="N3310" s="59">
        <f>IF(OR(tblMovement[[#This Row],[Tonnes_t]]="",tblMovement[[#This Row],[Grade_gpt]]=""),0,tblMovement[[#This Row],[Tonnes_t]]*tblMovement[[#This Row],[Grade_gpt]]/cfg_TroyOz)</f>
        <v/>
      </c>
      <c r="O3310" s="59">
        <f>IF(tblMovement[[#This Row],[Is_Ore]]=1,tblMovement[[#This Row],[Contained_oz]],0)</f>
        <v/>
      </c>
    </row>
    <row r="3311">
      <c r="A3311" s="54" t="n"/>
      <c r="B3311" s="61" t="n"/>
      <c r="C3311" s="61" t="n"/>
      <c r="D3311" s="61" t="n"/>
      <c r="E3311" s="61" t="n"/>
      <c r="F3311" s="55" t="n"/>
      <c r="G3311" s="56" t="n"/>
      <c r="H3311" s="55" t="n"/>
      <c r="I3311" s="62" t="n"/>
      <c r="J3311" s="58" t="n"/>
      <c r="K3311" s="63">
        <f>IF(tblMovement[[#This Row],[Source]]="","",IFERROR(INDEX(tblSources[Type],MATCH(tblMovement[[#This Row],[Source]],tblSources[Source],0)),"?"))</f>
        <v/>
      </c>
      <c r="L3311" s="63">
        <f>IF(tblMovement[[#This Row],[Destination]]="","",IFERROR(INDEX(tblDestinations[Type],MATCH(tblMovement[[#This Row],[Destination]],tblDestinations[Destination],0)),"?"))</f>
        <v/>
      </c>
      <c r="M3311" s="64">
        <f>IF(tblMovement[[#This Row],[Material]]="","",IF(LEFT(tblMovement[[#This Row],[Material]],3)="Ore",1,0))</f>
        <v/>
      </c>
      <c r="N3311" s="59">
        <f>IF(OR(tblMovement[[#This Row],[Tonnes_t]]="",tblMovement[[#This Row],[Grade_gpt]]=""),0,tblMovement[[#This Row],[Tonnes_t]]*tblMovement[[#This Row],[Grade_gpt]]/cfg_TroyOz)</f>
        <v/>
      </c>
      <c r="O3311" s="59">
        <f>IF(tblMovement[[#This Row],[Is_Ore]]=1,tblMovement[[#This Row],[Contained_oz]],0)</f>
        <v/>
      </c>
    </row>
    <row r="3312">
      <c r="A3312" s="54" t="n"/>
      <c r="B3312" s="61" t="n"/>
      <c r="C3312" s="61" t="n"/>
      <c r="D3312" s="61" t="n"/>
      <c r="E3312" s="61" t="n"/>
      <c r="F3312" s="55" t="n"/>
      <c r="G3312" s="56" t="n"/>
      <c r="H3312" s="55" t="n"/>
      <c r="I3312" s="62" t="n"/>
      <c r="J3312" s="58" t="n"/>
      <c r="K3312" s="63">
        <f>IF(tblMovement[[#This Row],[Source]]="","",IFERROR(INDEX(tblSources[Type],MATCH(tblMovement[[#This Row],[Source]],tblSources[Source],0)),"?"))</f>
        <v/>
      </c>
      <c r="L3312" s="63">
        <f>IF(tblMovement[[#This Row],[Destination]]="","",IFERROR(INDEX(tblDestinations[Type],MATCH(tblMovement[[#This Row],[Destination]],tblDestinations[Destination],0)),"?"))</f>
        <v/>
      </c>
      <c r="M3312" s="64">
        <f>IF(tblMovement[[#This Row],[Material]]="","",IF(LEFT(tblMovement[[#This Row],[Material]],3)="Ore",1,0))</f>
        <v/>
      </c>
      <c r="N3312" s="59">
        <f>IF(OR(tblMovement[[#This Row],[Tonnes_t]]="",tblMovement[[#This Row],[Grade_gpt]]=""),0,tblMovement[[#This Row],[Tonnes_t]]*tblMovement[[#This Row],[Grade_gpt]]/cfg_TroyOz)</f>
        <v/>
      </c>
      <c r="O3312" s="59">
        <f>IF(tblMovement[[#This Row],[Is_Ore]]=1,tblMovement[[#This Row],[Contained_oz]],0)</f>
        <v/>
      </c>
    </row>
    <row r="3313">
      <c r="A3313" s="54" t="n"/>
      <c r="B3313" s="61" t="n"/>
      <c r="C3313" s="61" t="n"/>
      <c r="D3313" s="61" t="n"/>
      <c r="E3313" s="61" t="n"/>
      <c r="F3313" s="55" t="n"/>
      <c r="G3313" s="56" t="n"/>
      <c r="H3313" s="55" t="n"/>
      <c r="I3313" s="62" t="n"/>
      <c r="J3313" s="58" t="n"/>
      <c r="K3313" s="63">
        <f>IF(tblMovement[[#This Row],[Source]]="","",IFERROR(INDEX(tblSources[Type],MATCH(tblMovement[[#This Row],[Source]],tblSources[Source],0)),"?"))</f>
        <v/>
      </c>
      <c r="L3313" s="63">
        <f>IF(tblMovement[[#This Row],[Destination]]="","",IFERROR(INDEX(tblDestinations[Type],MATCH(tblMovement[[#This Row],[Destination]],tblDestinations[Destination],0)),"?"))</f>
        <v/>
      </c>
      <c r="M3313" s="64">
        <f>IF(tblMovement[[#This Row],[Material]]="","",IF(LEFT(tblMovement[[#This Row],[Material]],3)="Ore",1,0))</f>
        <v/>
      </c>
      <c r="N3313" s="59">
        <f>IF(OR(tblMovement[[#This Row],[Tonnes_t]]="",tblMovement[[#This Row],[Grade_gpt]]=""),0,tblMovement[[#This Row],[Tonnes_t]]*tblMovement[[#This Row],[Grade_gpt]]/cfg_TroyOz)</f>
        <v/>
      </c>
      <c r="O3313" s="59">
        <f>IF(tblMovement[[#This Row],[Is_Ore]]=1,tblMovement[[#This Row],[Contained_oz]],0)</f>
        <v/>
      </c>
    </row>
    <row r="3314">
      <c r="A3314" s="54" t="n"/>
      <c r="B3314" s="61" t="n"/>
      <c r="C3314" s="61" t="n"/>
      <c r="D3314" s="61" t="n"/>
      <c r="E3314" s="61" t="n"/>
      <c r="F3314" s="55" t="n"/>
      <c r="G3314" s="56" t="n"/>
      <c r="H3314" s="55" t="n"/>
      <c r="I3314" s="62" t="n"/>
      <c r="J3314" s="58" t="n"/>
      <c r="K3314" s="63">
        <f>IF(tblMovement[[#This Row],[Source]]="","",IFERROR(INDEX(tblSources[Type],MATCH(tblMovement[[#This Row],[Source]],tblSources[Source],0)),"?"))</f>
        <v/>
      </c>
      <c r="L3314" s="63">
        <f>IF(tblMovement[[#This Row],[Destination]]="","",IFERROR(INDEX(tblDestinations[Type],MATCH(tblMovement[[#This Row],[Destination]],tblDestinations[Destination],0)),"?"))</f>
        <v/>
      </c>
      <c r="M3314" s="64">
        <f>IF(tblMovement[[#This Row],[Material]]="","",IF(LEFT(tblMovement[[#This Row],[Material]],3)="Ore",1,0))</f>
        <v/>
      </c>
      <c r="N3314" s="59">
        <f>IF(OR(tblMovement[[#This Row],[Tonnes_t]]="",tblMovement[[#This Row],[Grade_gpt]]=""),0,tblMovement[[#This Row],[Tonnes_t]]*tblMovement[[#This Row],[Grade_gpt]]/cfg_TroyOz)</f>
        <v/>
      </c>
      <c r="O3314" s="59">
        <f>IF(tblMovement[[#This Row],[Is_Ore]]=1,tblMovement[[#This Row],[Contained_oz]],0)</f>
        <v/>
      </c>
    </row>
    <row r="3315">
      <c r="A3315" s="54" t="n"/>
      <c r="B3315" s="61" t="n"/>
      <c r="C3315" s="61" t="n"/>
      <c r="D3315" s="61" t="n"/>
      <c r="E3315" s="61" t="n"/>
      <c r="F3315" s="55" t="n"/>
      <c r="G3315" s="56" t="n"/>
      <c r="H3315" s="55" t="n"/>
      <c r="I3315" s="62" t="n"/>
      <c r="J3315" s="58" t="n"/>
      <c r="K3315" s="63">
        <f>IF(tblMovement[[#This Row],[Source]]="","",IFERROR(INDEX(tblSources[Type],MATCH(tblMovement[[#This Row],[Source]],tblSources[Source],0)),"?"))</f>
        <v/>
      </c>
      <c r="L3315" s="63">
        <f>IF(tblMovement[[#This Row],[Destination]]="","",IFERROR(INDEX(tblDestinations[Type],MATCH(tblMovement[[#This Row],[Destination]],tblDestinations[Destination],0)),"?"))</f>
        <v/>
      </c>
      <c r="M3315" s="64">
        <f>IF(tblMovement[[#This Row],[Material]]="","",IF(LEFT(tblMovement[[#This Row],[Material]],3)="Ore",1,0))</f>
        <v/>
      </c>
      <c r="N3315" s="59">
        <f>IF(OR(tblMovement[[#This Row],[Tonnes_t]]="",tblMovement[[#This Row],[Grade_gpt]]=""),0,tblMovement[[#This Row],[Tonnes_t]]*tblMovement[[#This Row],[Grade_gpt]]/cfg_TroyOz)</f>
        <v/>
      </c>
      <c r="O3315" s="59">
        <f>IF(tblMovement[[#This Row],[Is_Ore]]=1,tblMovement[[#This Row],[Contained_oz]],0)</f>
        <v/>
      </c>
    </row>
    <row r="3316">
      <c r="A3316" s="54" t="n"/>
      <c r="B3316" s="61" t="n"/>
      <c r="C3316" s="61" t="n"/>
      <c r="D3316" s="61" t="n"/>
      <c r="E3316" s="61" t="n"/>
      <c r="F3316" s="55" t="n"/>
      <c r="G3316" s="56" t="n"/>
      <c r="H3316" s="55" t="n"/>
      <c r="I3316" s="62" t="n"/>
      <c r="J3316" s="58" t="n"/>
      <c r="K3316" s="63">
        <f>IF(tblMovement[[#This Row],[Source]]="","",IFERROR(INDEX(tblSources[Type],MATCH(tblMovement[[#This Row],[Source]],tblSources[Source],0)),"?"))</f>
        <v/>
      </c>
      <c r="L3316" s="63">
        <f>IF(tblMovement[[#This Row],[Destination]]="","",IFERROR(INDEX(tblDestinations[Type],MATCH(tblMovement[[#This Row],[Destination]],tblDestinations[Destination],0)),"?"))</f>
        <v/>
      </c>
      <c r="M3316" s="64">
        <f>IF(tblMovement[[#This Row],[Material]]="","",IF(LEFT(tblMovement[[#This Row],[Material]],3)="Ore",1,0))</f>
        <v/>
      </c>
      <c r="N3316" s="59">
        <f>IF(OR(tblMovement[[#This Row],[Tonnes_t]]="",tblMovement[[#This Row],[Grade_gpt]]=""),0,tblMovement[[#This Row],[Tonnes_t]]*tblMovement[[#This Row],[Grade_gpt]]/cfg_TroyOz)</f>
        <v/>
      </c>
      <c r="O3316" s="59">
        <f>IF(tblMovement[[#This Row],[Is_Ore]]=1,tblMovement[[#This Row],[Contained_oz]],0)</f>
        <v/>
      </c>
    </row>
    <row r="3317">
      <c r="A3317" s="54" t="n"/>
      <c r="B3317" s="61" t="n"/>
      <c r="C3317" s="61" t="n"/>
      <c r="D3317" s="61" t="n"/>
      <c r="E3317" s="61" t="n"/>
      <c r="F3317" s="55" t="n"/>
      <c r="G3317" s="56" t="n"/>
      <c r="H3317" s="55" t="n"/>
      <c r="I3317" s="62" t="n"/>
      <c r="J3317" s="58" t="n"/>
      <c r="K3317" s="63">
        <f>IF(tblMovement[[#This Row],[Source]]="","",IFERROR(INDEX(tblSources[Type],MATCH(tblMovement[[#This Row],[Source]],tblSources[Source],0)),"?"))</f>
        <v/>
      </c>
      <c r="L3317" s="63">
        <f>IF(tblMovement[[#This Row],[Destination]]="","",IFERROR(INDEX(tblDestinations[Type],MATCH(tblMovement[[#This Row],[Destination]],tblDestinations[Destination],0)),"?"))</f>
        <v/>
      </c>
      <c r="M3317" s="64">
        <f>IF(tblMovement[[#This Row],[Material]]="","",IF(LEFT(tblMovement[[#This Row],[Material]],3)="Ore",1,0))</f>
        <v/>
      </c>
      <c r="N3317" s="59">
        <f>IF(OR(tblMovement[[#This Row],[Tonnes_t]]="",tblMovement[[#This Row],[Grade_gpt]]=""),0,tblMovement[[#This Row],[Tonnes_t]]*tblMovement[[#This Row],[Grade_gpt]]/cfg_TroyOz)</f>
        <v/>
      </c>
      <c r="O3317" s="59">
        <f>IF(tblMovement[[#This Row],[Is_Ore]]=1,tblMovement[[#This Row],[Contained_oz]],0)</f>
        <v/>
      </c>
    </row>
    <row r="3318">
      <c r="A3318" s="54" t="n"/>
      <c r="B3318" s="61" t="n"/>
      <c r="C3318" s="61" t="n"/>
      <c r="D3318" s="61" t="n"/>
      <c r="E3318" s="61" t="n"/>
      <c r="F3318" s="55" t="n"/>
      <c r="G3318" s="56" t="n"/>
      <c r="H3318" s="55" t="n"/>
      <c r="I3318" s="62" t="n"/>
      <c r="J3318" s="58" t="n"/>
      <c r="K3318" s="63">
        <f>IF(tblMovement[[#This Row],[Source]]="","",IFERROR(INDEX(tblSources[Type],MATCH(tblMovement[[#This Row],[Source]],tblSources[Source],0)),"?"))</f>
        <v/>
      </c>
      <c r="L3318" s="63">
        <f>IF(tblMovement[[#This Row],[Destination]]="","",IFERROR(INDEX(tblDestinations[Type],MATCH(tblMovement[[#This Row],[Destination]],tblDestinations[Destination],0)),"?"))</f>
        <v/>
      </c>
      <c r="M3318" s="64">
        <f>IF(tblMovement[[#This Row],[Material]]="","",IF(LEFT(tblMovement[[#This Row],[Material]],3)="Ore",1,0))</f>
        <v/>
      </c>
      <c r="N3318" s="59">
        <f>IF(OR(tblMovement[[#This Row],[Tonnes_t]]="",tblMovement[[#This Row],[Grade_gpt]]=""),0,tblMovement[[#This Row],[Tonnes_t]]*tblMovement[[#This Row],[Grade_gpt]]/cfg_TroyOz)</f>
        <v/>
      </c>
      <c r="O3318" s="59">
        <f>IF(tblMovement[[#This Row],[Is_Ore]]=1,tblMovement[[#This Row],[Contained_oz]],0)</f>
        <v/>
      </c>
    </row>
    <row r="3319">
      <c r="A3319" s="54" t="n"/>
      <c r="B3319" s="61" t="n"/>
      <c r="C3319" s="61" t="n"/>
      <c r="D3319" s="61" t="n"/>
      <c r="E3319" s="61" t="n"/>
      <c r="F3319" s="55" t="n"/>
      <c r="G3319" s="56" t="n"/>
      <c r="H3319" s="55" t="n"/>
      <c r="I3319" s="62" t="n"/>
      <c r="J3319" s="58" t="n"/>
      <c r="K3319" s="63">
        <f>IF(tblMovement[[#This Row],[Source]]="","",IFERROR(INDEX(tblSources[Type],MATCH(tblMovement[[#This Row],[Source]],tblSources[Source],0)),"?"))</f>
        <v/>
      </c>
      <c r="L3319" s="63">
        <f>IF(tblMovement[[#This Row],[Destination]]="","",IFERROR(INDEX(tblDestinations[Type],MATCH(tblMovement[[#This Row],[Destination]],tblDestinations[Destination],0)),"?"))</f>
        <v/>
      </c>
      <c r="M3319" s="64">
        <f>IF(tblMovement[[#This Row],[Material]]="","",IF(LEFT(tblMovement[[#This Row],[Material]],3)="Ore",1,0))</f>
        <v/>
      </c>
      <c r="N3319" s="59">
        <f>IF(OR(tblMovement[[#This Row],[Tonnes_t]]="",tblMovement[[#This Row],[Grade_gpt]]=""),0,tblMovement[[#This Row],[Tonnes_t]]*tblMovement[[#This Row],[Grade_gpt]]/cfg_TroyOz)</f>
        <v/>
      </c>
      <c r="O3319" s="59">
        <f>IF(tblMovement[[#This Row],[Is_Ore]]=1,tblMovement[[#This Row],[Contained_oz]],0)</f>
        <v/>
      </c>
    </row>
    <row r="3320">
      <c r="A3320" s="54" t="n"/>
      <c r="B3320" s="61" t="n"/>
      <c r="C3320" s="61" t="n"/>
      <c r="D3320" s="61" t="n"/>
      <c r="E3320" s="61" t="n"/>
      <c r="F3320" s="55" t="n"/>
      <c r="G3320" s="56" t="n"/>
      <c r="H3320" s="55" t="n"/>
      <c r="I3320" s="62" t="n"/>
      <c r="J3320" s="58" t="n"/>
      <c r="K3320" s="63">
        <f>IF(tblMovement[[#This Row],[Source]]="","",IFERROR(INDEX(tblSources[Type],MATCH(tblMovement[[#This Row],[Source]],tblSources[Source],0)),"?"))</f>
        <v/>
      </c>
      <c r="L3320" s="63">
        <f>IF(tblMovement[[#This Row],[Destination]]="","",IFERROR(INDEX(tblDestinations[Type],MATCH(tblMovement[[#This Row],[Destination]],tblDestinations[Destination],0)),"?"))</f>
        <v/>
      </c>
      <c r="M3320" s="64">
        <f>IF(tblMovement[[#This Row],[Material]]="","",IF(LEFT(tblMovement[[#This Row],[Material]],3)="Ore",1,0))</f>
        <v/>
      </c>
      <c r="N3320" s="59">
        <f>IF(OR(tblMovement[[#This Row],[Tonnes_t]]="",tblMovement[[#This Row],[Grade_gpt]]=""),0,tblMovement[[#This Row],[Tonnes_t]]*tblMovement[[#This Row],[Grade_gpt]]/cfg_TroyOz)</f>
        <v/>
      </c>
      <c r="O3320" s="59">
        <f>IF(tblMovement[[#This Row],[Is_Ore]]=1,tblMovement[[#This Row],[Contained_oz]],0)</f>
        <v/>
      </c>
    </row>
    <row r="3321">
      <c r="A3321" s="54" t="n"/>
      <c r="B3321" s="61" t="n"/>
      <c r="C3321" s="61" t="n"/>
      <c r="D3321" s="61" t="n"/>
      <c r="E3321" s="61" t="n"/>
      <c r="F3321" s="55" t="n"/>
      <c r="G3321" s="56" t="n"/>
      <c r="H3321" s="55" t="n"/>
      <c r="I3321" s="62" t="n"/>
      <c r="J3321" s="58" t="n"/>
      <c r="K3321" s="63">
        <f>IF(tblMovement[[#This Row],[Source]]="","",IFERROR(INDEX(tblSources[Type],MATCH(tblMovement[[#This Row],[Source]],tblSources[Source],0)),"?"))</f>
        <v/>
      </c>
      <c r="L3321" s="63">
        <f>IF(tblMovement[[#This Row],[Destination]]="","",IFERROR(INDEX(tblDestinations[Type],MATCH(tblMovement[[#This Row],[Destination]],tblDestinations[Destination],0)),"?"))</f>
        <v/>
      </c>
      <c r="M3321" s="64">
        <f>IF(tblMovement[[#This Row],[Material]]="","",IF(LEFT(tblMovement[[#This Row],[Material]],3)="Ore",1,0))</f>
        <v/>
      </c>
      <c r="N3321" s="59">
        <f>IF(OR(tblMovement[[#This Row],[Tonnes_t]]="",tblMovement[[#This Row],[Grade_gpt]]=""),0,tblMovement[[#This Row],[Tonnes_t]]*tblMovement[[#This Row],[Grade_gpt]]/cfg_TroyOz)</f>
        <v/>
      </c>
      <c r="O3321" s="59">
        <f>IF(tblMovement[[#This Row],[Is_Ore]]=1,tblMovement[[#This Row],[Contained_oz]],0)</f>
        <v/>
      </c>
    </row>
    <row r="3322">
      <c r="A3322" s="54" t="n"/>
      <c r="B3322" s="61" t="n"/>
      <c r="C3322" s="61" t="n"/>
      <c r="D3322" s="61" t="n"/>
      <c r="E3322" s="61" t="n"/>
      <c r="F3322" s="55" t="n"/>
      <c r="G3322" s="56" t="n"/>
      <c r="H3322" s="55" t="n"/>
      <c r="I3322" s="62" t="n"/>
      <c r="J3322" s="58" t="n"/>
      <c r="K3322" s="63">
        <f>IF(tblMovement[[#This Row],[Source]]="","",IFERROR(INDEX(tblSources[Type],MATCH(tblMovement[[#This Row],[Source]],tblSources[Source],0)),"?"))</f>
        <v/>
      </c>
      <c r="L3322" s="63">
        <f>IF(tblMovement[[#This Row],[Destination]]="","",IFERROR(INDEX(tblDestinations[Type],MATCH(tblMovement[[#This Row],[Destination]],tblDestinations[Destination],0)),"?"))</f>
        <v/>
      </c>
      <c r="M3322" s="64">
        <f>IF(tblMovement[[#This Row],[Material]]="","",IF(LEFT(tblMovement[[#This Row],[Material]],3)="Ore",1,0))</f>
        <v/>
      </c>
      <c r="N3322" s="59">
        <f>IF(OR(tblMovement[[#This Row],[Tonnes_t]]="",tblMovement[[#This Row],[Grade_gpt]]=""),0,tblMovement[[#This Row],[Tonnes_t]]*tblMovement[[#This Row],[Grade_gpt]]/cfg_TroyOz)</f>
        <v/>
      </c>
      <c r="O3322" s="59">
        <f>IF(tblMovement[[#This Row],[Is_Ore]]=1,tblMovement[[#This Row],[Contained_oz]],0)</f>
        <v/>
      </c>
    </row>
    <row r="3323">
      <c r="A3323" s="54" t="n"/>
      <c r="B3323" s="61" t="n"/>
      <c r="C3323" s="61" t="n"/>
      <c r="D3323" s="61" t="n"/>
      <c r="E3323" s="61" t="n"/>
      <c r="F3323" s="55" t="n"/>
      <c r="G3323" s="56" t="n"/>
      <c r="H3323" s="55" t="n"/>
      <c r="I3323" s="62" t="n"/>
      <c r="J3323" s="58" t="n"/>
      <c r="K3323" s="63">
        <f>IF(tblMovement[[#This Row],[Source]]="","",IFERROR(INDEX(tblSources[Type],MATCH(tblMovement[[#This Row],[Source]],tblSources[Source],0)),"?"))</f>
        <v/>
      </c>
      <c r="L3323" s="63">
        <f>IF(tblMovement[[#This Row],[Destination]]="","",IFERROR(INDEX(tblDestinations[Type],MATCH(tblMovement[[#This Row],[Destination]],tblDestinations[Destination],0)),"?"))</f>
        <v/>
      </c>
      <c r="M3323" s="64">
        <f>IF(tblMovement[[#This Row],[Material]]="","",IF(LEFT(tblMovement[[#This Row],[Material]],3)="Ore",1,0))</f>
        <v/>
      </c>
      <c r="N3323" s="59">
        <f>IF(OR(tblMovement[[#This Row],[Tonnes_t]]="",tblMovement[[#This Row],[Grade_gpt]]=""),0,tblMovement[[#This Row],[Tonnes_t]]*tblMovement[[#This Row],[Grade_gpt]]/cfg_TroyOz)</f>
        <v/>
      </c>
      <c r="O3323" s="59">
        <f>IF(tblMovement[[#This Row],[Is_Ore]]=1,tblMovement[[#This Row],[Contained_oz]],0)</f>
        <v/>
      </c>
    </row>
    <row r="3324">
      <c r="A3324" s="54" t="n"/>
      <c r="B3324" s="61" t="n"/>
      <c r="C3324" s="61" t="n"/>
      <c r="D3324" s="61" t="n"/>
      <c r="E3324" s="61" t="n"/>
      <c r="F3324" s="55" t="n"/>
      <c r="G3324" s="56" t="n"/>
      <c r="H3324" s="55" t="n"/>
      <c r="I3324" s="62" t="n"/>
      <c r="J3324" s="58" t="n"/>
      <c r="K3324" s="63">
        <f>IF(tblMovement[[#This Row],[Source]]="","",IFERROR(INDEX(tblSources[Type],MATCH(tblMovement[[#This Row],[Source]],tblSources[Source],0)),"?"))</f>
        <v/>
      </c>
      <c r="L3324" s="63">
        <f>IF(tblMovement[[#This Row],[Destination]]="","",IFERROR(INDEX(tblDestinations[Type],MATCH(tblMovement[[#This Row],[Destination]],tblDestinations[Destination],0)),"?"))</f>
        <v/>
      </c>
      <c r="M3324" s="64">
        <f>IF(tblMovement[[#This Row],[Material]]="","",IF(LEFT(tblMovement[[#This Row],[Material]],3)="Ore",1,0))</f>
        <v/>
      </c>
      <c r="N3324" s="59">
        <f>IF(OR(tblMovement[[#This Row],[Tonnes_t]]="",tblMovement[[#This Row],[Grade_gpt]]=""),0,tblMovement[[#This Row],[Tonnes_t]]*tblMovement[[#This Row],[Grade_gpt]]/cfg_TroyOz)</f>
        <v/>
      </c>
      <c r="O3324" s="59">
        <f>IF(tblMovement[[#This Row],[Is_Ore]]=1,tblMovement[[#This Row],[Contained_oz]],0)</f>
        <v/>
      </c>
    </row>
    <row r="3325">
      <c r="A3325" s="54" t="n"/>
      <c r="B3325" s="61" t="n"/>
      <c r="C3325" s="61" t="n"/>
      <c r="D3325" s="61" t="n"/>
      <c r="E3325" s="61" t="n"/>
      <c r="F3325" s="55" t="n"/>
      <c r="G3325" s="56" t="n"/>
      <c r="H3325" s="55" t="n"/>
      <c r="I3325" s="62" t="n"/>
      <c r="J3325" s="58" t="n"/>
      <c r="K3325" s="63">
        <f>IF(tblMovement[[#This Row],[Source]]="","",IFERROR(INDEX(tblSources[Type],MATCH(tblMovement[[#This Row],[Source]],tblSources[Source],0)),"?"))</f>
        <v/>
      </c>
      <c r="L3325" s="63">
        <f>IF(tblMovement[[#This Row],[Destination]]="","",IFERROR(INDEX(tblDestinations[Type],MATCH(tblMovement[[#This Row],[Destination]],tblDestinations[Destination],0)),"?"))</f>
        <v/>
      </c>
      <c r="M3325" s="64">
        <f>IF(tblMovement[[#This Row],[Material]]="","",IF(LEFT(tblMovement[[#This Row],[Material]],3)="Ore",1,0))</f>
        <v/>
      </c>
      <c r="N3325" s="59">
        <f>IF(OR(tblMovement[[#This Row],[Tonnes_t]]="",tblMovement[[#This Row],[Grade_gpt]]=""),0,tblMovement[[#This Row],[Tonnes_t]]*tblMovement[[#This Row],[Grade_gpt]]/cfg_TroyOz)</f>
        <v/>
      </c>
      <c r="O3325" s="59">
        <f>IF(tblMovement[[#This Row],[Is_Ore]]=1,tblMovement[[#This Row],[Contained_oz]],0)</f>
        <v/>
      </c>
    </row>
    <row r="3326">
      <c r="A3326" s="54" t="n"/>
      <c r="B3326" s="61" t="n"/>
      <c r="C3326" s="61" t="n"/>
      <c r="D3326" s="61" t="n"/>
      <c r="E3326" s="61" t="n"/>
      <c r="F3326" s="55" t="n"/>
      <c r="G3326" s="56" t="n"/>
      <c r="H3326" s="55" t="n"/>
      <c r="I3326" s="62" t="n"/>
      <c r="J3326" s="58" t="n"/>
      <c r="K3326" s="63">
        <f>IF(tblMovement[[#This Row],[Source]]="","",IFERROR(INDEX(tblSources[Type],MATCH(tblMovement[[#This Row],[Source]],tblSources[Source],0)),"?"))</f>
        <v/>
      </c>
      <c r="L3326" s="63">
        <f>IF(tblMovement[[#This Row],[Destination]]="","",IFERROR(INDEX(tblDestinations[Type],MATCH(tblMovement[[#This Row],[Destination]],tblDestinations[Destination],0)),"?"))</f>
        <v/>
      </c>
      <c r="M3326" s="64">
        <f>IF(tblMovement[[#This Row],[Material]]="","",IF(LEFT(tblMovement[[#This Row],[Material]],3)="Ore",1,0))</f>
        <v/>
      </c>
      <c r="N3326" s="59">
        <f>IF(OR(tblMovement[[#This Row],[Tonnes_t]]="",tblMovement[[#This Row],[Grade_gpt]]=""),0,tblMovement[[#This Row],[Tonnes_t]]*tblMovement[[#This Row],[Grade_gpt]]/cfg_TroyOz)</f>
        <v/>
      </c>
      <c r="O3326" s="59">
        <f>IF(tblMovement[[#This Row],[Is_Ore]]=1,tblMovement[[#This Row],[Contained_oz]],0)</f>
        <v/>
      </c>
    </row>
    <row r="3327">
      <c r="A3327" s="54" t="n"/>
      <c r="B3327" s="61" t="n"/>
      <c r="C3327" s="61" t="n"/>
      <c r="D3327" s="61" t="n"/>
      <c r="E3327" s="61" t="n"/>
      <c r="F3327" s="55" t="n"/>
      <c r="G3327" s="56" t="n"/>
      <c r="H3327" s="55" t="n"/>
      <c r="I3327" s="62" t="n"/>
      <c r="J3327" s="58" t="n"/>
      <c r="K3327" s="63">
        <f>IF(tblMovement[[#This Row],[Source]]="","",IFERROR(INDEX(tblSources[Type],MATCH(tblMovement[[#This Row],[Source]],tblSources[Source],0)),"?"))</f>
        <v/>
      </c>
      <c r="L3327" s="63">
        <f>IF(tblMovement[[#This Row],[Destination]]="","",IFERROR(INDEX(tblDestinations[Type],MATCH(tblMovement[[#This Row],[Destination]],tblDestinations[Destination],0)),"?"))</f>
        <v/>
      </c>
      <c r="M3327" s="64">
        <f>IF(tblMovement[[#This Row],[Material]]="","",IF(LEFT(tblMovement[[#This Row],[Material]],3)="Ore",1,0))</f>
        <v/>
      </c>
      <c r="N3327" s="59">
        <f>IF(OR(tblMovement[[#This Row],[Tonnes_t]]="",tblMovement[[#This Row],[Grade_gpt]]=""),0,tblMovement[[#This Row],[Tonnes_t]]*tblMovement[[#This Row],[Grade_gpt]]/cfg_TroyOz)</f>
        <v/>
      </c>
      <c r="O3327" s="59">
        <f>IF(tblMovement[[#This Row],[Is_Ore]]=1,tblMovement[[#This Row],[Contained_oz]],0)</f>
        <v/>
      </c>
    </row>
    <row r="3328">
      <c r="A3328" s="54" t="n"/>
      <c r="B3328" s="61" t="n"/>
      <c r="C3328" s="61" t="n"/>
      <c r="D3328" s="61" t="n"/>
      <c r="E3328" s="61" t="n"/>
      <c r="F3328" s="55" t="n"/>
      <c r="G3328" s="56" t="n"/>
      <c r="H3328" s="55" t="n"/>
      <c r="I3328" s="62" t="n"/>
      <c r="J3328" s="58" t="n"/>
      <c r="K3328" s="63">
        <f>IF(tblMovement[[#This Row],[Source]]="","",IFERROR(INDEX(tblSources[Type],MATCH(tblMovement[[#This Row],[Source]],tblSources[Source],0)),"?"))</f>
        <v/>
      </c>
      <c r="L3328" s="63">
        <f>IF(tblMovement[[#This Row],[Destination]]="","",IFERROR(INDEX(tblDestinations[Type],MATCH(tblMovement[[#This Row],[Destination]],tblDestinations[Destination],0)),"?"))</f>
        <v/>
      </c>
      <c r="M3328" s="64">
        <f>IF(tblMovement[[#This Row],[Material]]="","",IF(LEFT(tblMovement[[#This Row],[Material]],3)="Ore",1,0))</f>
        <v/>
      </c>
      <c r="N3328" s="59">
        <f>IF(OR(tblMovement[[#This Row],[Tonnes_t]]="",tblMovement[[#This Row],[Grade_gpt]]=""),0,tblMovement[[#This Row],[Tonnes_t]]*tblMovement[[#This Row],[Grade_gpt]]/cfg_TroyOz)</f>
        <v/>
      </c>
      <c r="O3328" s="59">
        <f>IF(tblMovement[[#This Row],[Is_Ore]]=1,tblMovement[[#This Row],[Contained_oz]],0)</f>
        <v/>
      </c>
    </row>
    <row r="3329">
      <c r="A3329" s="54" t="n"/>
      <c r="B3329" s="61" t="n"/>
      <c r="C3329" s="61" t="n"/>
      <c r="D3329" s="61" t="n"/>
      <c r="E3329" s="61" t="n"/>
      <c r="F3329" s="55" t="n"/>
      <c r="G3329" s="56" t="n"/>
      <c r="H3329" s="55" t="n"/>
      <c r="I3329" s="62" t="n"/>
      <c r="J3329" s="58" t="n"/>
      <c r="K3329" s="63">
        <f>IF(tblMovement[[#This Row],[Source]]="","",IFERROR(INDEX(tblSources[Type],MATCH(tblMovement[[#This Row],[Source]],tblSources[Source],0)),"?"))</f>
        <v/>
      </c>
      <c r="L3329" s="63">
        <f>IF(tblMovement[[#This Row],[Destination]]="","",IFERROR(INDEX(tblDestinations[Type],MATCH(tblMovement[[#This Row],[Destination]],tblDestinations[Destination],0)),"?"))</f>
        <v/>
      </c>
      <c r="M3329" s="64">
        <f>IF(tblMovement[[#This Row],[Material]]="","",IF(LEFT(tblMovement[[#This Row],[Material]],3)="Ore",1,0))</f>
        <v/>
      </c>
      <c r="N3329" s="59">
        <f>IF(OR(tblMovement[[#This Row],[Tonnes_t]]="",tblMovement[[#This Row],[Grade_gpt]]=""),0,tblMovement[[#This Row],[Tonnes_t]]*tblMovement[[#This Row],[Grade_gpt]]/cfg_TroyOz)</f>
        <v/>
      </c>
      <c r="O3329" s="59">
        <f>IF(tblMovement[[#This Row],[Is_Ore]]=1,tblMovement[[#This Row],[Contained_oz]],0)</f>
        <v/>
      </c>
    </row>
    <row r="3330">
      <c r="A3330" s="54" t="n"/>
      <c r="B3330" s="61" t="n"/>
      <c r="C3330" s="61" t="n"/>
      <c r="D3330" s="61" t="n"/>
      <c r="E3330" s="61" t="n"/>
      <c r="F3330" s="55" t="n"/>
      <c r="G3330" s="56" t="n"/>
      <c r="H3330" s="55" t="n"/>
      <c r="I3330" s="62" t="n"/>
      <c r="J3330" s="58" t="n"/>
      <c r="K3330" s="63">
        <f>IF(tblMovement[[#This Row],[Source]]="","",IFERROR(INDEX(tblSources[Type],MATCH(tblMovement[[#This Row],[Source]],tblSources[Source],0)),"?"))</f>
        <v/>
      </c>
      <c r="L3330" s="63">
        <f>IF(tblMovement[[#This Row],[Destination]]="","",IFERROR(INDEX(tblDestinations[Type],MATCH(tblMovement[[#This Row],[Destination]],tblDestinations[Destination],0)),"?"))</f>
        <v/>
      </c>
      <c r="M3330" s="64">
        <f>IF(tblMovement[[#This Row],[Material]]="","",IF(LEFT(tblMovement[[#This Row],[Material]],3)="Ore",1,0))</f>
        <v/>
      </c>
      <c r="N3330" s="59">
        <f>IF(OR(tblMovement[[#This Row],[Tonnes_t]]="",tblMovement[[#This Row],[Grade_gpt]]=""),0,tblMovement[[#This Row],[Tonnes_t]]*tblMovement[[#This Row],[Grade_gpt]]/cfg_TroyOz)</f>
        <v/>
      </c>
      <c r="O3330" s="59">
        <f>IF(tblMovement[[#This Row],[Is_Ore]]=1,tblMovement[[#This Row],[Contained_oz]],0)</f>
        <v/>
      </c>
    </row>
    <row r="3331">
      <c r="A3331" s="54" t="n"/>
      <c r="B3331" s="61" t="n"/>
      <c r="C3331" s="61" t="n"/>
      <c r="D3331" s="61" t="n"/>
      <c r="E3331" s="61" t="n"/>
      <c r="F3331" s="55" t="n"/>
      <c r="G3331" s="56" t="n"/>
      <c r="H3331" s="55" t="n"/>
      <c r="I3331" s="62" t="n"/>
      <c r="J3331" s="58" t="n"/>
      <c r="K3331" s="63">
        <f>IF(tblMovement[[#This Row],[Source]]="","",IFERROR(INDEX(tblSources[Type],MATCH(tblMovement[[#This Row],[Source]],tblSources[Source],0)),"?"))</f>
        <v/>
      </c>
      <c r="L3331" s="63">
        <f>IF(tblMovement[[#This Row],[Destination]]="","",IFERROR(INDEX(tblDestinations[Type],MATCH(tblMovement[[#This Row],[Destination]],tblDestinations[Destination],0)),"?"))</f>
        <v/>
      </c>
      <c r="M3331" s="64">
        <f>IF(tblMovement[[#This Row],[Material]]="","",IF(LEFT(tblMovement[[#This Row],[Material]],3)="Ore",1,0))</f>
        <v/>
      </c>
      <c r="N3331" s="59">
        <f>IF(OR(tblMovement[[#This Row],[Tonnes_t]]="",tblMovement[[#This Row],[Grade_gpt]]=""),0,tblMovement[[#This Row],[Tonnes_t]]*tblMovement[[#This Row],[Grade_gpt]]/cfg_TroyOz)</f>
        <v/>
      </c>
      <c r="O3331" s="59">
        <f>IF(tblMovement[[#This Row],[Is_Ore]]=1,tblMovement[[#This Row],[Contained_oz]],0)</f>
        <v/>
      </c>
    </row>
    <row r="3332">
      <c r="A3332" s="54" t="n"/>
      <c r="B3332" s="61" t="n"/>
      <c r="C3332" s="61" t="n"/>
      <c r="D3332" s="61" t="n"/>
      <c r="E3332" s="61" t="n"/>
      <c r="F3332" s="55" t="n"/>
      <c r="G3332" s="56" t="n"/>
      <c r="H3332" s="55" t="n"/>
      <c r="I3332" s="62" t="n"/>
      <c r="J3332" s="58" t="n"/>
      <c r="K3332" s="63">
        <f>IF(tblMovement[[#This Row],[Source]]="","",IFERROR(INDEX(tblSources[Type],MATCH(tblMovement[[#This Row],[Source]],tblSources[Source],0)),"?"))</f>
        <v/>
      </c>
      <c r="L3332" s="63">
        <f>IF(tblMovement[[#This Row],[Destination]]="","",IFERROR(INDEX(tblDestinations[Type],MATCH(tblMovement[[#This Row],[Destination]],tblDestinations[Destination],0)),"?"))</f>
        <v/>
      </c>
      <c r="M3332" s="64">
        <f>IF(tblMovement[[#This Row],[Material]]="","",IF(LEFT(tblMovement[[#This Row],[Material]],3)="Ore",1,0))</f>
        <v/>
      </c>
      <c r="N3332" s="59">
        <f>IF(OR(tblMovement[[#This Row],[Tonnes_t]]="",tblMovement[[#This Row],[Grade_gpt]]=""),0,tblMovement[[#This Row],[Tonnes_t]]*tblMovement[[#This Row],[Grade_gpt]]/cfg_TroyOz)</f>
        <v/>
      </c>
      <c r="O3332" s="59">
        <f>IF(tblMovement[[#This Row],[Is_Ore]]=1,tblMovement[[#This Row],[Contained_oz]],0)</f>
        <v/>
      </c>
    </row>
    <row r="3333">
      <c r="A3333" s="54" t="n"/>
      <c r="B3333" s="61" t="n"/>
      <c r="C3333" s="61" t="n"/>
      <c r="D3333" s="61" t="n"/>
      <c r="E3333" s="61" t="n"/>
      <c r="F3333" s="55" t="n"/>
      <c r="G3333" s="56" t="n"/>
      <c r="H3333" s="55" t="n"/>
      <c r="I3333" s="62" t="n"/>
      <c r="J3333" s="58" t="n"/>
      <c r="K3333" s="63">
        <f>IF(tblMovement[[#This Row],[Source]]="","",IFERROR(INDEX(tblSources[Type],MATCH(tblMovement[[#This Row],[Source]],tblSources[Source],0)),"?"))</f>
        <v/>
      </c>
      <c r="L3333" s="63">
        <f>IF(tblMovement[[#This Row],[Destination]]="","",IFERROR(INDEX(tblDestinations[Type],MATCH(tblMovement[[#This Row],[Destination]],tblDestinations[Destination],0)),"?"))</f>
        <v/>
      </c>
      <c r="M3333" s="64">
        <f>IF(tblMovement[[#This Row],[Material]]="","",IF(LEFT(tblMovement[[#This Row],[Material]],3)="Ore",1,0))</f>
        <v/>
      </c>
      <c r="N3333" s="59">
        <f>IF(OR(tblMovement[[#This Row],[Tonnes_t]]="",tblMovement[[#This Row],[Grade_gpt]]=""),0,tblMovement[[#This Row],[Tonnes_t]]*tblMovement[[#This Row],[Grade_gpt]]/cfg_TroyOz)</f>
        <v/>
      </c>
      <c r="O3333" s="59">
        <f>IF(tblMovement[[#This Row],[Is_Ore]]=1,tblMovement[[#This Row],[Contained_oz]],0)</f>
        <v/>
      </c>
    </row>
    <row r="3334">
      <c r="A3334" s="54" t="n"/>
      <c r="B3334" s="61" t="n"/>
      <c r="C3334" s="61" t="n"/>
      <c r="D3334" s="61" t="n"/>
      <c r="E3334" s="61" t="n"/>
      <c r="F3334" s="55" t="n"/>
      <c r="G3334" s="56" t="n"/>
      <c r="H3334" s="55" t="n"/>
      <c r="I3334" s="62" t="n"/>
      <c r="J3334" s="58" t="n"/>
      <c r="K3334" s="63">
        <f>IF(tblMovement[[#This Row],[Source]]="","",IFERROR(INDEX(tblSources[Type],MATCH(tblMovement[[#This Row],[Source]],tblSources[Source],0)),"?"))</f>
        <v/>
      </c>
      <c r="L3334" s="63">
        <f>IF(tblMovement[[#This Row],[Destination]]="","",IFERROR(INDEX(tblDestinations[Type],MATCH(tblMovement[[#This Row],[Destination]],tblDestinations[Destination],0)),"?"))</f>
        <v/>
      </c>
      <c r="M3334" s="64">
        <f>IF(tblMovement[[#This Row],[Material]]="","",IF(LEFT(tblMovement[[#This Row],[Material]],3)="Ore",1,0))</f>
        <v/>
      </c>
      <c r="N3334" s="59">
        <f>IF(OR(tblMovement[[#This Row],[Tonnes_t]]="",tblMovement[[#This Row],[Grade_gpt]]=""),0,tblMovement[[#This Row],[Tonnes_t]]*tblMovement[[#This Row],[Grade_gpt]]/cfg_TroyOz)</f>
        <v/>
      </c>
      <c r="O3334" s="59">
        <f>IF(tblMovement[[#This Row],[Is_Ore]]=1,tblMovement[[#This Row],[Contained_oz]],0)</f>
        <v/>
      </c>
    </row>
    <row r="3335">
      <c r="A3335" s="54" t="n"/>
      <c r="B3335" s="61" t="n"/>
      <c r="C3335" s="61" t="n"/>
      <c r="D3335" s="61" t="n"/>
      <c r="E3335" s="61" t="n"/>
      <c r="F3335" s="55" t="n"/>
      <c r="G3335" s="56" t="n"/>
      <c r="H3335" s="55" t="n"/>
      <c r="I3335" s="62" t="n"/>
      <c r="J3335" s="58" t="n"/>
      <c r="K3335" s="63">
        <f>IF(tblMovement[[#This Row],[Source]]="","",IFERROR(INDEX(tblSources[Type],MATCH(tblMovement[[#This Row],[Source]],tblSources[Source],0)),"?"))</f>
        <v/>
      </c>
      <c r="L3335" s="63">
        <f>IF(tblMovement[[#This Row],[Destination]]="","",IFERROR(INDEX(tblDestinations[Type],MATCH(tblMovement[[#This Row],[Destination]],tblDestinations[Destination],0)),"?"))</f>
        <v/>
      </c>
      <c r="M3335" s="64">
        <f>IF(tblMovement[[#This Row],[Material]]="","",IF(LEFT(tblMovement[[#This Row],[Material]],3)="Ore",1,0))</f>
        <v/>
      </c>
      <c r="N3335" s="59">
        <f>IF(OR(tblMovement[[#This Row],[Tonnes_t]]="",tblMovement[[#This Row],[Grade_gpt]]=""),0,tblMovement[[#This Row],[Tonnes_t]]*tblMovement[[#This Row],[Grade_gpt]]/cfg_TroyOz)</f>
        <v/>
      </c>
      <c r="O3335" s="59">
        <f>IF(tblMovement[[#This Row],[Is_Ore]]=1,tblMovement[[#This Row],[Contained_oz]],0)</f>
        <v/>
      </c>
    </row>
    <row r="3336">
      <c r="A3336" s="54" t="n"/>
      <c r="B3336" s="61" t="n"/>
      <c r="C3336" s="61" t="n"/>
      <c r="D3336" s="61" t="n"/>
      <c r="E3336" s="61" t="n"/>
      <c r="F3336" s="55" t="n"/>
      <c r="G3336" s="56" t="n"/>
      <c r="H3336" s="55" t="n"/>
      <c r="I3336" s="62" t="n"/>
      <c r="J3336" s="58" t="n"/>
      <c r="K3336" s="63">
        <f>IF(tblMovement[[#This Row],[Source]]="","",IFERROR(INDEX(tblSources[Type],MATCH(tblMovement[[#This Row],[Source]],tblSources[Source],0)),"?"))</f>
        <v/>
      </c>
      <c r="L3336" s="63">
        <f>IF(tblMovement[[#This Row],[Destination]]="","",IFERROR(INDEX(tblDestinations[Type],MATCH(tblMovement[[#This Row],[Destination]],tblDestinations[Destination],0)),"?"))</f>
        <v/>
      </c>
      <c r="M3336" s="64">
        <f>IF(tblMovement[[#This Row],[Material]]="","",IF(LEFT(tblMovement[[#This Row],[Material]],3)="Ore",1,0))</f>
        <v/>
      </c>
      <c r="N3336" s="59">
        <f>IF(OR(tblMovement[[#This Row],[Tonnes_t]]="",tblMovement[[#This Row],[Grade_gpt]]=""),0,tblMovement[[#This Row],[Tonnes_t]]*tblMovement[[#This Row],[Grade_gpt]]/cfg_TroyOz)</f>
        <v/>
      </c>
      <c r="O3336" s="59">
        <f>IF(tblMovement[[#This Row],[Is_Ore]]=1,tblMovement[[#This Row],[Contained_oz]],0)</f>
        <v/>
      </c>
    </row>
    <row r="3337">
      <c r="A3337" s="54" t="n"/>
      <c r="B3337" s="61" t="n"/>
      <c r="C3337" s="61" t="n"/>
      <c r="D3337" s="61" t="n"/>
      <c r="E3337" s="61" t="n"/>
      <c r="F3337" s="55" t="n"/>
      <c r="G3337" s="56" t="n"/>
      <c r="H3337" s="55" t="n"/>
      <c r="I3337" s="62" t="n"/>
      <c r="J3337" s="58" t="n"/>
      <c r="K3337" s="63">
        <f>IF(tblMovement[[#This Row],[Source]]="","",IFERROR(INDEX(tblSources[Type],MATCH(tblMovement[[#This Row],[Source]],tblSources[Source],0)),"?"))</f>
        <v/>
      </c>
      <c r="L3337" s="63">
        <f>IF(tblMovement[[#This Row],[Destination]]="","",IFERROR(INDEX(tblDestinations[Type],MATCH(tblMovement[[#This Row],[Destination]],tblDestinations[Destination],0)),"?"))</f>
        <v/>
      </c>
      <c r="M3337" s="64">
        <f>IF(tblMovement[[#This Row],[Material]]="","",IF(LEFT(tblMovement[[#This Row],[Material]],3)="Ore",1,0))</f>
        <v/>
      </c>
      <c r="N3337" s="59">
        <f>IF(OR(tblMovement[[#This Row],[Tonnes_t]]="",tblMovement[[#This Row],[Grade_gpt]]=""),0,tblMovement[[#This Row],[Tonnes_t]]*tblMovement[[#This Row],[Grade_gpt]]/cfg_TroyOz)</f>
        <v/>
      </c>
      <c r="O3337" s="59">
        <f>IF(tblMovement[[#This Row],[Is_Ore]]=1,tblMovement[[#This Row],[Contained_oz]],0)</f>
        <v/>
      </c>
    </row>
    <row r="3338">
      <c r="A3338" s="54" t="n"/>
      <c r="B3338" s="61" t="n"/>
      <c r="C3338" s="61" t="n"/>
      <c r="D3338" s="61" t="n"/>
      <c r="E3338" s="61" t="n"/>
      <c r="F3338" s="55" t="n"/>
      <c r="G3338" s="56" t="n"/>
      <c r="H3338" s="55" t="n"/>
      <c r="I3338" s="62" t="n"/>
      <c r="J3338" s="58" t="n"/>
      <c r="K3338" s="63">
        <f>IF(tblMovement[[#This Row],[Source]]="","",IFERROR(INDEX(tblSources[Type],MATCH(tblMovement[[#This Row],[Source]],tblSources[Source],0)),"?"))</f>
        <v/>
      </c>
      <c r="L3338" s="63">
        <f>IF(tblMovement[[#This Row],[Destination]]="","",IFERROR(INDEX(tblDestinations[Type],MATCH(tblMovement[[#This Row],[Destination]],tblDestinations[Destination],0)),"?"))</f>
        <v/>
      </c>
      <c r="M3338" s="64">
        <f>IF(tblMovement[[#This Row],[Material]]="","",IF(LEFT(tblMovement[[#This Row],[Material]],3)="Ore",1,0))</f>
        <v/>
      </c>
      <c r="N3338" s="59">
        <f>IF(OR(tblMovement[[#This Row],[Tonnes_t]]="",tblMovement[[#This Row],[Grade_gpt]]=""),0,tblMovement[[#This Row],[Tonnes_t]]*tblMovement[[#This Row],[Grade_gpt]]/cfg_TroyOz)</f>
        <v/>
      </c>
      <c r="O3338" s="59">
        <f>IF(tblMovement[[#This Row],[Is_Ore]]=1,tblMovement[[#This Row],[Contained_oz]],0)</f>
        <v/>
      </c>
    </row>
    <row r="3339">
      <c r="A3339" s="54" t="n"/>
      <c r="B3339" s="61" t="n"/>
      <c r="C3339" s="61" t="n"/>
      <c r="D3339" s="61" t="n"/>
      <c r="E3339" s="61" t="n"/>
      <c r="F3339" s="55" t="n"/>
      <c r="G3339" s="56" t="n"/>
      <c r="H3339" s="55" t="n"/>
      <c r="I3339" s="62" t="n"/>
      <c r="J3339" s="58" t="n"/>
      <c r="K3339" s="63">
        <f>IF(tblMovement[[#This Row],[Source]]="","",IFERROR(INDEX(tblSources[Type],MATCH(tblMovement[[#This Row],[Source]],tblSources[Source],0)),"?"))</f>
        <v/>
      </c>
      <c r="L3339" s="63">
        <f>IF(tblMovement[[#This Row],[Destination]]="","",IFERROR(INDEX(tblDestinations[Type],MATCH(tblMovement[[#This Row],[Destination]],tblDestinations[Destination],0)),"?"))</f>
        <v/>
      </c>
      <c r="M3339" s="64">
        <f>IF(tblMovement[[#This Row],[Material]]="","",IF(LEFT(tblMovement[[#This Row],[Material]],3)="Ore",1,0))</f>
        <v/>
      </c>
      <c r="N3339" s="59">
        <f>IF(OR(tblMovement[[#This Row],[Tonnes_t]]="",tblMovement[[#This Row],[Grade_gpt]]=""),0,tblMovement[[#This Row],[Tonnes_t]]*tblMovement[[#This Row],[Grade_gpt]]/cfg_TroyOz)</f>
        <v/>
      </c>
      <c r="O3339" s="59">
        <f>IF(tblMovement[[#This Row],[Is_Ore]]=1,tblMovement[[#This Row],[Contained_oz]],0)</f>
        <v/>
      </c>
    </row>
    <row r="3340">
      <c r="A3340" s="54" t="n"/>
      <c r="B3340" s="61" t="n"/>
      <c r="C3340" s="61" t="n"/>
      <c r="D3340" s="61" t="n"/>
      <c r="E3340" s="61" t="n"/>
      <c r="F3340" s="55" t="n"/>
      <c r="G3340" s="56" t="n"/>
      <c r="H3340" s="55" t="n"/>
      <c r="I3340" s="62" t="n"/>
      <c r="J3340" s="58" t="n"/>
      <c r="K3340" s="63">
        <f>IF(tblMovement[[#This Row],[Source]]="","",IFERROR(INDEX(tblSources[Type],MATCH(tblMovement[[#This Row],[Source]],tblSources[Source],0)),"?"))</f>
        <v/>
      </c>
      <c r="L3340" s="63">
        <f>IF(tblMovement[[#This Row],[Destination]]="","",IFERROR(INDEX(tblDestinations[Type],MATCH(tblMovement[[#This Row],[Destination]],tblDestinations[Destination],0)),"?"))</f>
        <v/>
      </c>
      <c r="M3340" s="64">
        <f>IF(tblMovement[[#This Row],[Material]]="","",IF(LEFT(tblMovement[[#This Row],[Material]],3)="Ore",1,0))</f>
        <v/>
      </c>
      <c r="N3340" s="59">
        <f>IF(OR(tblMovement[[#This Row],[Tonnes_t]]="",tblMovement[[#This Row],[Grade_gpt]]=""),0,tblMovement[[#This Row],[Tonnes_t]]*tblMovement[[#This Row],[Grade_gpt]]/cfg_TroyOz)</f>
        <v/>
      </c>
      <c r="O3340" s="59">
        <f>IF(tblMovement[[#This Row],[Is_Ore]]=1,tblMovement[[#This Row],[Contained_oz]],0)</f>
        <v/>
      </c>
    </row>
    <row r="3341">
      <c r="A3341" s="54" t="n"/>
      <c r="B3341" s="61" t="n"/>
      <c r="C3341" s="61" t="n"/>
      <c r="D3341" s="61" t="n"/>
      <c r="E3341" s="61" t="n"/>
      <c r="F3341" s="55" t="n"/>
      <c r="G3341" s="56" t="n"/>
      <c r="H3341" s="55" t="n"/>
      <c r="I3341" s="62" t="n"/>
      <c r="J3341" s="58" t="n"/>
      <c r="K3341" s="63">
        <f>IF(tblMovement[[#This Row],[Source]]="","",IFERROR(INDEX(tblSources[Type],MATCH(tblMovement[[#This Row],[Source]],tblSources[Source],0)),"?"))</f>
        <v/>
      </c>
      <c r="L3341" s="63">
        <f>IF(tblMovement[[#This Row],[Destination]]="","",IFERROR(INDEX(tblDestinations[Type],MATCH(tblMovement[[#This Row],[Destination]],tblDestinations[Destination],0)),"?"))</f>
        <v/>
      </c>
      <c r="M3341" s="64">
        <f>IF(tblMovement[[#This Row],[Material]]="","",IF(LEFT(tblMovement[[#This Row],[Material]],3)="Ore",1,0))</f>
        <v/>
      </c>
      <c r="N3341" s="59">
        <f>IF(OR(tblMovement[[#This Row],[Tonnes_t]]="",tblMovement[[#This Row],[Grade_gpt]]=""),0,tblMovement[[#This Row],[Tonnes_t]]*tblMovement[[#This Row],[Grade_gpt]]/cfg_TroyOz)</f>
        <v/>
      </c>
      <c r="O3341" s="59">
        <f>IF(tblMovement[[#This Row],[Is_Ore]]=1,tblMovement[[#This Row],[Contained_oz]],0)</f>
        <v/>
      </c>
    </row>
    <row r="3342">
      <c r="A3342" s="54" t="n"/>
      <c r="B3342" s="61" t="n"/>
      <c r="C3342" s="61" t="n"/>
      <c r="D3342" s="61" t="n"/>
      <c r="E3342" s="61" t="n"/>
      <c r="F3342" s="55" t="n"/>
      <c r="G3342" s="56" t="n"/>
      <c r="H3342" s="55" t="n"/>
      <c r="I3342" s="62" t="n"/>
      <c r="J3342" s="58" t="n"/>
      <c r="K3342" s="63">
        <f>IF(tblMovement[[#This Row],[Source]]="","",IFERROR(INDEX(tblSources[Type],MATCH(tblMovement[[#This Row],[Source]],tblSources[Source],0)),"?"))</f>
        <v/>
      </c>
      <c r="L3342" s="63">
        <f>IF(tblMovement[[#This Row],[Destination]]="","",IFERROR(INDEX(tblDestinations[Type],MATCH(tblMovement[[#This Row],[Destination]],tblDestinations[Destination],0)),"?"))</f>
        <v/>
      </c>
      <c r="M3342" s="64">
        <f>IF(tblMovement[[#This Row],[Material]]="","",IF(LEFT(tblMovement[[#This Row],[Material]],3)="Ore",1,0))</f>
        <v/>
      </c>
      <c r="N3342" s="59">
        <f>IF(OR(tblMovement[[#This Row],[Tonnes_t]]="",tblMovement[[#This Row],[Grade_gpt]]=""),0,tblMovement[[#This Row],[Tonnes_t]]*tblMovement[[#This Row],[Grade_gpt]]/cfg_TroyOz)</f>
        <v/>
      </c>
      <c r="O3342" s="59">
        <f>IF(tblMovement[[#This Row],[Is_Ore]]=1,tblMovement[[#This Row],[Contained_oz]],0)</f>
        <v/>
      </c>
    </row>
    <row r="3343">
      <c r="A3343" s="54" t="n"/>
      <c r="B3343" s="61" t="n"/>
      <c r="C3343" s="61" t="n"/>
      <c r="D3343" s="61" t="n"/>
      <c r="E3343" s="61" t="n"/>
      <c r="F3343" s="55" t="n"/>
      <c r="G3343" s="56" t="n"/>
      <c r="H3343" s="55" t="n"/>
      <c r="I3343" s="62" t="n"/>
      <c r="J3343" s="58" t="n"/>
      <c r="K3343" s="63">
        <f>IF(tblMovement[[#This Row],[Source]]="","",IFERROR(INDEX(tblSources[Type],MATCH(tblMovement[[#This Row],[Source]],tblSources[Source],0)),"?"))</f>
        <v/>
      </c>
      <c r="L3343" s="63">
        <f>IF(tblMovement[[#This Row],[Destination]]="","",IFERROR(INDEX(tblDestinations[Type],MATCH(tblMovement[[#This Row],[Destination]],tblDestinations[Destination],0)),"?"))</f>
        <v/>
      </c>
      <c r="M3343" s="64">
        <f>IF(tblMovement[[#This Row],[Material]]="","",IF(LEFT(tblMovement[[#This Row],[Material]],3)="Ore",1,0))</f>
        <v/>
      </c>
      <c r="N3343" s="59">
        <f>IF(OR(tblMovement[[#This Row],[Tonnes_t]]="",tblMovement[[#This Row],[Grade_gpt]]=""),0,tblMovement[[#This Row],[Tonnes_t]]*tblMovement[[#This Row],[Grade_gpt]]/cfg_TroyOz)</f>
        <v/>
      </c>
      <c r="O3343" s="59">
        <f>IF(tblMovement[[#This Row],[Is_Ore]]=1,tblMovement[[#This Row],[Contained_oz]],0)</f>
        <v/>
      </c>
    </row>
    <row r="3344">
      <c r="A3344" s="54" t="n"/>
      <c r="B3344" s="61" t="n"/>
      <c r="C3344" s="61" t="n"/>
      <c r="D3344" s="61" t="n"/>
      <c r="E3344" s="61" t="n"/>
      <c r="F3344" s="55" t="n"/>
      <c r="G3344" s="56" t="n"/>
      <c r="H3344" s="55" t="n"/>
      <c r="I3344" s="62" t="n"/>
      <c r="J3344" s="58" t="n"/>
      <c r="K3344" s="63">
        <f>IF(tblMovement[[#This Row],[Source]]="","",IFERROR(INDEX(tblSources[Type],MATCH(tblMovement[[#This Row],[Source]],tblSources[Source],0)),"?"))</f>
        <v/>
      </c>
      <c r="L3344" s="63">
        <f>IF(tblMovement[[#This Row],[Destination]]="","",IFERROR(INDEX(tblDestinations[Type],MATCH(tblMovement[[#This Row],[Destination]],tblDestinations[Destination],0)),"?"))</f>
        <v/>
      </c>
      <c r="M3344" s="64">
        <f>IF(tblMovement[[#This Row],[Material]]="","",IF(LEFT(tblMovement[[#This Row],[Material]],3)="Ore",1,0))</f>
        <v/>
      </c>
      <c r="N3344" s="59">
        <f>IF(OR(tblMovement[[#This Row],[Tonnes_t]]="",tblMovement[[#This Row],[Grade_gpt]]=""),0,tblMovement[[#This Row],[Tonnes_t]]*tblMovement[[#This Row],[Grade_gpt]]/cfg_TroyOz)</f>
        <v/>
      </c>
      <c r="O3344" s="59">
        <f>IF(tblMovement[[#This Row],[Is_Ore]]=1,tblMovement[[#This Row],[Contained_oz]],0)</f>
        <v/>
      </c>
    </row>
    <row r="3345">
      <c r="A3345" s="54" t="n"/>
      <c r="B3345" s="61" t="n"/>
      <c r="C3345" s="61" t="n"/>
      <c r="D3345" s="61" t="n"/>
      <c r="E3345" s="61" t="n"/>
      <c r="F3345" s="55" t="n"/>
      <c r="G3345" s="56" t="n"/>
      <c r="H3345" s="55" t="n"/>
      <c r="I3345" s="62" t="n"/>
      <c r="J3345" s="58" t="n"/>
      <c r="K3345" s="63">
        <f>IF(tblMovement[[#This Row],[Source]]="","",IFERROR(INDEX(tblSources[Type],MATCH(tblMovement[[#This Row],[Source]],tblSources[Source],0)),"?"))</f>
        <v/>
      </c>
      <c r="L3345" s="63">
        <f>IF(tblMovement[[#This Row],[Destination]]="","",IFERROR(INDEX(tblDestinations[Type],MATCH(tblMovement[[#This Row],[Destination]],tblDestinations[Destination],0)),"?"))</f>
        <v/>
      </c>
      <c r="M3345" s="64">
        <f>IF(tblMovement[[#This Row],[Material]]="","",IF(LEFT(tblMovement[[#This Row],[Material]],3)="Ore",1,0))</f>
        <v/>
      </c>
      <c r="N3345" s="59">
        <f>IF(OR(tblMovement[[#This Row],[Tonnes_t]]="",tblMovement[[#This Row],[Grade_gpt]]=""),0,tblMovement[[#This Row],[Tonnes_t]]*tblMovement[[#This Row],[Grade_gpt]]/cfg_TroyOz)</f>
        <v/>
      </c>
      <c r="O3345" s="59">
        <f>IF(tblMovement[[#This Row],[Is_Ore]]=1,tblMovement[[#This Row],[Contained_oz]],0)</f>
        <v/>
      </c>
    </row>
    <row r="3346">
      <c r="A3346" s="54" t="n"/>
      <c r="B3346" s="61" t="n"/>
      <c r="C3346" s="61" t="n"/>
      <c r="D3346" s="61" t="n"/>
      <c r="E3346" s="61" t="n"/>
      <c r="F3346" s="55" t="n"/>
      <c r="G3346" s="56" t="n"/>
      <c r="H3346" s="55" t="n"/>
      <c r="I3346" s="62" t="n"/>
      <c r="J3346" s="58" t="n"/>
      <c r="K3346" s="63">
        <f>IF(tblMovement[[#This Row],[Source]]="","",IFERROR(INDEX(tblSources[Type],MATCH(tblMovement[[#This Row],[Source]],tblSources[Source],0)),"?"))</f>
        <v/>
      </c>
      <c r="L3346" s="63">
        <f>IF(tblMovement[[#This Row],[Destination]]="","",IFERROR(INDEX(tblDestinations[Type],MATCH(tblMovement[[#This Row],[Destination]],tblDestinations[Destination],0)),"?"))</f>
        <v/>
      </c>
      <c r="M3346" s="64">
        <f>IF(tblMovement[[#This Row],[Material]]="","",IF(LEFT(tblMovement[[#This Row],[Material]],3)="Ore",1,0))</f>
        <v/>
      </c>
      <c r="N3346" s="59">
        <f>IF(OR(tblMovement[[#This Row],[Tonnes_t]]="",tblMovement[[#This Row],[Grade_gpt]]=""),0,tblMovement[[#This Row],[Tonnes_t]]*tblMovement[[#This Row],[Grade_gpt]]/cfg_TroyOz)</f>
        <v/>
      </c>
      <c r="O3346" s="59">
        <f>IF(tblMovement[[#This Row],[Is_Ore]]=1,tblMovement[[#This Row],[Contained_oz]],0)</f>
        <v/>
      </c>
    </row>
    <row r="3347">
      <c r="A3347" s="54" t="n"/>
      <c r="B3347" s="61" t="n"/>
      <c r="C3347" s="61" t="n"/>
      <c r="D3347" s="61" t="n"/>
      <c r="E3347" s="61" t="n"/>
      <c r="F3347" s="55" t="n"/>
      <c r="G3347" s="56" t="n"/>
      <c r="H3347" s="55" t="n"/>
      <c r="I3347" s="62" t="n"/>
      <c r="J3347" s="58" t="n"/>
      <c r="K3347" s="63">
        <f>IF(tblMovement[[#This Row],[Source]]="","",IFERROR(INDEX(tblSources[Type],MATCH(tblMovement[[#This Row],[Source]],tblSources[Source],0)),"?"))</f>
        <v/>
      </c>
      <c r="L3347" s="63">
        <f>IF(tblMovement[[#This Row],[Destination]]="","",IFERROR(INDEX(tblDestinations[Type],MATCH(tblMovement[[#This Row],[Destination]],tblDestinations[Destination],0)),"?"))</f>
        <v/>
      </c>
      <c r="M3347" s="64">
        <f>IF(tblMovement[[#This Row],[Material]]="","",IF(LEFT(tblMovement[[#This Row],[Material]],3)="Ore",1,0))</f>
        <v/>
      </c>
      <c r="N3347" s="59">
        <f>IF(OR(tblMovement[[#This Row],[Tonnes_t]]="",tblMovement[[#This Row],[Grade_gpt]]=""),0,tblMovement[[#This Row],[Tonnes_t]]*tblMovement[[#This Row],[Grade_gpt]]/cfg_TroyOz)</f>
        <v/>
      </c>
      <c r="O3347" s="59">
        <f>IF(tblMovement[[#This Row],[Is_Ore]]=1,tblMovement[[#This Row],[Contained_oz]],0)</f>
        <v/>
      </c>
    </row>
    <row r="3348">
      <c r="A3348" s="54" t="n"/>
      <c r="B3348" s="61" t="n"/>
      <c r="C3348" s="61" t="n"/>
      <c r="D3348" s="61" t="n"/>
      <c r="E3348" s="61" t="n"/>
      <c r="F3348" s="55" t="n"/>
      <c r="G3348" s="56" t="n"/>
      <c r="H3348" s="55" t="n"/>
      <c r="I3348" s="62" t="n"/>
      <c r="J3348" s="58" t="n"/>
      <c r="K3348" s="63">
        <f>IF(tblMovement[[#This Row],[Source]]="","",IFERROR(INDEX(tblSources[Type],MATCH(tblMovement[[#This Row],[Source]],tblSources[Source],0)),"?"))</f>
        <v/>
      </c>
      <c r="L3348" s="63">
        <f>IF(tblMovement[[#This Row],[Destination]]="","",IFERROR(INDEX(tblDestinations[Type],MATCH(tblMovement[[#This Row],[Destination]],tblDestinations[Destination],0)),"?"))</f>
        <v/>
      </c>
      <c r="M3348" s="64">
        <f>IF(tblMovement[[#This Row],[Material]]="","",IF(LEFT(tblMovement[[#This Row],[Material]],3)="Ore",1,0))</f>
        <v/>
      </c>
      <c r="N3348" s="59">
        <f>IF(OR(tblMovement[[#This Row],[Tonnes_t]]="",tblMovement[[#This Row],[Grade_gpt]]=""),0,tblMovement[[#This Row],[Tonnes_t]]*tblMovement[[#This Row],[Grade_gpt]]/cfg_TroyOz)</f>
        <v/>
      </c>
      <c r="O3348" s="59">
        <f>IF(tblMovement[[#This Row],[Is_Ore]]=1,tblMovement[[#This Row],[Contained_oz]],0)</f>
        <v/>
      </c>
    </row>
    <row r="3349">
      <c r="A3349" s="54" t="n"/>
      <c r="B3349" s="61" t="n"/>
      <c r="C3349" s="61" t="n"/>
      <c r="D3349" s="61" t="n"/>
      <c r="E3349" s="61" t="n"/>
      <c r="F3349" s="55" t="n"/>
      <c r="G3349" s="56" t="n"/>
      <c r="H3349" s="55" t="n"/>
      <c r="I3349" s="62" t="n"/>
      <c r="J3349" s="58" t="n"/>
      <c r="K3349" s="63">
        <f>IF(tblMovement[[#This Row],[Source]]="","",IFERROR(INDEX(tblSources[Type],MATCH(tblMovement[[#This Row],[Source]],tblSources[Source],0)),"?"))</f>
        <v/>
      </c>
      <c r="L3349" s="63">
        <f>IF(tblMovement[[#This Row],[Destination]]="","",IFERROR(INDEX(tblDestinations[Type],MATCH(tblMovement[[#This Row],[Destination]],tblDestinations[Destination],0)),"?"))</f>
        <v/>
      </c>
      <c r="M3349" s="64">
        <f>IF(tblMovement[[#This Row],[Material]]="","",IF(LEFT(tblMovement[[#This Row],[Material]],3)="Ore",1,0))</f>
        <v/>
      </c>
      <c r="N3349" s="59">
        <f>IF(OR(tblMovement[[#This Row],[Tonnes_t]]="",tblMovement[[#This Row],[Grade_gpt]]=""),0,tblMovement[[#This Row],[Tonnes_t]]*tblMovement[[#This Row],[Grade_gpt]]/cfg_TroyOz)</f>
        <v/>
      </c>
      <c r="O3349" s="59">
        <f>IF(tblMovement[[#This Row],[Is_Ore]]=1,tblMovement[[#This Row],[Contained_oz]],0)</f>
        <v/>
      </c>
    </row>
    <row r="3350">
      <c r="A3350" s="54" t="n"/>
      <c r="B3350" s="61" t="n"/>
      <c r="C3350" s="61" t="n"/>
      <c r="D3350" s="61" t="n"/>
      <c r="E3350" s="61" t="n"/>
      <c r="F3350" s="55" t="n"/>
      <c r="G3350" s="56" t="n"/>
      <c r="H3350" s="55" t="n"/>
      <c r="I3350" s="62" t="n"/>
      <c r="J3350" s="58" t="n"/>
      <c r="K3350" s="63">
        <f>IF(tblMovement[[#This Row],[Source]]="","",IFERROR(INDEX(tblSources[Type],MATCH(tblMovement[[#This Row],[Source]],tblSources[Source],0)),"?"))</f>
        <v/>
      </c>
      <c r="L3350" s="63">
        <f>IF(tblMovement[[#This Row],[Destination]]="","",IFERROR(INDEX(tblDestinations[Type],MATCH(tblMovement[[#This Row],[Destination]],tblDestinations[Destination],0)),"?"))</f>
        <v/>
      </c>
      <c r="M3350" s="64">
        <f>IF(tblMovement[[#This Row],[Material]]="","",IF(LEFT(tblMovement[[#This Row],[Material]],3)="Ore",1,0))</f>
        <v/>
      </c>
      <c r="N3350" s="59">
        <f>IF(OR(tblMovement[[#This Row],[Tonnes_t]]="",tblMovement[[#This Row],[Grade_gpt]]=""),0,tblMovement[[#This Row],[Tonnes_t]]*tblMovement[[#This Row],[Grade_gpt]]/cfg_TroyOz)</f>
        <v/>
      </c>
      <c r="O3350" s="59">
        <f>IF(tblMovement[[#This Row],[Is_Ore]]=1,tblMovement[[#This Row],[Contained_oz]],0)</f>
        <v/>
      </c>
    </row>
    <row r="3351">
      <c r="A3351" s="54" t="n"/>
      <c r="B3351" s="61" t="n"/>
      <c r="C3351" s="61" t="n"/>
      <c r="D3351" s="61" t="n"/>
      <c r="E3351" s="61" t="n"/>
      <c r="F3351" s="55" t="n"/>
      <c r="G3351" s="56" t="n"/>
      <c r="H3351" s="55" t="n"/>
      <c r="I3351" s="62" t="n"/>
      <c r="J3351" s="58" t="n"/>
      <c r="K3351" s="63">
        <f>IF(tblMovement[[#This Row],[Source]]="","",IFERROR(INDEX(tblSources[Type],MATCH(tblMovement[[#This Row],[Source]],tblSources[Source],0)),"?"))</f>
        <v/>
      </c>
      <c r="L3351" s="63">
        <f>IF(tblMovement[[#This Row],[Destination]]="","",IFERROR(INDEX(tblDestinations[Type],MATCH(tblMovement[[#This Row],[Destination]],tblDestinations[Destination],0)),"?"))</f>
        <v/>
      </c>
      <c r="M3351" s="64">
        <f>IF(tblMovement[[#This Row],[Material]]="","",IF(LEFT(tblMovement[[#This Row],[Material]],3)="Ore",1,0))</f>
        <v/>
      </c>
      <c r="N3351" s="59">
        <f>IF(OR(tblMovement[[#This Row],[Tonnes_t]]="",tblMovement[[#This Row],[Grade_gpt]]=""),0,tblMovement[[#This Row],[Tonnes_t]]*tblMovement[[#This Row],[Grade_gpt]]/cfg_TroyOz)</f>
        <v/>
      </c>
      <c r="O3351" s="59">
        <f>IF(tblMovement[[#This Row],[Is_Ore]]=1,tblMovement[[#This Row],[Contained_oz]],0)</f>
        <v/>
      </c>
    </row>
    <row r="3352">
      <c r="A3352" s="54" t="n"/>
      <c r="B3352" s="61" t="n"/>
      <c r="C3352" s="61" t="n"/>
      <c r="D3352" s="61" t="n"/>
      <c r="E3352" s="61" t="n"/>
      <c r="F3352" s="55" t="n"/>
      <c r="G3352" s="56" t="n"/>
      <c r="H3352" s="55" t="n"/>
      <c r="I3352" s="62" t="n"/>
      <c r="J3352" s="58" t="n"/>
      <c r="K3352" s="63">
        <f>IF(tblMovement[[#This Row],[Source]]="","",IFERROR(INDEX(tblSources[Type],MATCH(tblMovement[[#This Row],[Source]],tblSources[Source],0)),"?"))</f>
        <v/>
      </c>
      <c r="L3352" s="63">
        <f>IF(tblMovement[[#This Row],[Destination]]="","",IFERROR(INDEX(tblDestinations[Type],MATCH(tblMovement[[#This Row],[Destination]],tblDestinations[Destination],0)),"?"))</f>
        <v/>
      </c>
      <c r="M3352" s="64">
        <f>IF(tblMovement[[#This Row],[Material]]="","",IF(LEFT(tblMovement[[#This Row],[Material]],3)="Ore",1,0))</f>
        <v/>
      </c>
      <c r="N3352" s="59">
        <f>IF(OR(tblMovement[[#This Row],[Tonnes_t]]="",tblMovement[[#This Row],[Grade_gpt]]=""),0,tblMovement[[#This Row],[Tonnes_t]]*tblMovement[[#This Row],[Grade_gpt]]/cfg_TroyOz)</f>
        <v/>
      </c>
      <c r="O3352" s="59">
        <f>IF(tblMovement[[#This Row],[Is_Ore]]=1,tblMovement[[#This Row],[Contained_oz]],0)</f>
        <v/>
      </c>
    </row>
    <row r="3353">
      <c r="A3353" s="54" t="n"/>
      <c r="B3353" s="61" t="n"/>
      <c r="C3353" s="61" t="n"/>
      <c r="D3353" s="61" t="n"/>
      <c r="E3353" s="61" t="n"/>
      <c r="F3353" s="55" t="n"/>
      <c r="G3353" s="56" t="n"/>
      <c r="H3353" s="55" t="n"/>
      <c r="I3353" s="62" t="n"/>
      <c r="J3353" s="58" t="n"/>
      <c r="K3353" s="63">
        <f>IF(tblMovement[[#This Row],[Source]]="","",IFERROR(INDEX(tblSources[Type],MATCH(tblMovement[[#This Row],[Source]],tblSources[Source],0)),"?"))</f>
        <v/>
      </c>
      <c r="L3353" s="63">
        <f>IF(tblMovement[[#This Row],[Destination]]="","",IFERROR(INDEX(tblDestinations[Type],MATCH(tblMovement[[#This Row],[Destination]],tblDestinations[Destination],0)),"?"))</f>
        <v/>
      </c>
      <c r="M3353" s="64">
        <f>IF(tblMovement[[#This Row],[Material]]="","",IF(LEFT(tblMovement[[#This Row],[Material]],3)="Ore",1,0))</f>
        <v/>
      </c>
      <c r="N3353" s="59">
        <f>IF(OR(tblMovement[[#This Row],[Tonnes_t]]="",tblMovement[[#This Row],[Grade_gpt]]=""),0,tblMovement[[#This Row],[Tonnes_t]]*tblMovement[[#This Row],[Grade_gpt]]/cfg_TroyOz)</f>
        <v/>
      </c>
      <c r="O3353" s="59">
        <f>IF(tblMovement[[#This Row],[Is_Ore]]=1,tblMovement[[#This Row],[Contained_oz]],0)</f>
        <v/>
      </c>
    </row>
    <row r="3354">
      <c r="A3354" s="54" t="n"/>
      <c r="B3354" s="61" t="n"/>
      <c r="C3354" s="61" t="n"/>
      <c r="D3354" s="61" t="n"/>
      <c r="E3354" s="61" t="n"/>
      <c r="F3354" s="55" t="n"/>
      <c r="G3354" s="56" t="n"/>
      <c r="H3354" s="55" t="n"/>
      <c r="I3354" s="62" t="n"/>
      <c r="J3354" s="58" t="n"/>
      <c r="K3354" s="63">
        <f>IF(tblMovement[[#This Row],[Source]]="","",IFERROR(INDEX(tblSources[Type],MATCH(tblMovement[[#This Row],[Source]],tblSources[Source],0)),"?"))</f>
        <v/>
      </c>
      <c r="L3354" s="63">
        <f>IF(tblMovement[[#This Row],[Destination]]="","",IFERROR(INDEX(tblDestinations[Type],MATCH(tblMovement[[#This Row],[Destination]],tblDestinations[Destination],0)),"?"))</f>
        <v/>
      </c>
      <c r="M3354" s="64">
        <f>IF(tblMovement[[#This Row],[Material]]="","",IF(LEFT(tblMovement[[#This Row],[Material]],3)="Ore",1,0))</f>
        <v/>
      </c>
      <c r="N3354" s="59">
        <f>IF(OR(tblMovement[[#This Row],[Tonnes_t]]="",tblMovement[[#This Row],[Grade_gpt]]=""),0,tblMovement[[#This Row],[Tonnes_t]]*tblMovement[[#This Row],[Grade_gpt]]/cfg_TroyOz)</f>
        <v/>
      </c>
      <c r="O3354" s="59">
        <f>IF(tblMovement[[#This Row],[Is_Ore]]=1,tblMovement[[#This Row],[Contained_oz]],0)</f>
        <v/>
      </c>
    </row>
    <row r="3355">
      <c r="A3355" s="54" t="n"/>
      <c r="B3355" s="61" t="n"/>
      <c r="C3355" s="61" t="n"/>
      <c r="D3355" s="61" t="n"/>
      <c r="E3355" s="61" t="n"/>
      <c r="F3355" s="55" t="n"/>
      <c r="G3355" s="56" t="n"/>
      <c r="H3355" s="55" t="n"/>
      <c r="I3355" s="62" t="n"/>
      <c r="J3355" s="58" t="n"/>
      <c r="K3355" s="63">
        <f>IF(tblMovement[[#This Row],[Source]]="","",IFERROR(INDEX(tblSources[Type],MATCH(tblMovement[[#This Row],[Source]],tblSources[Source],0)),"?"))</f>
        <v/>
      </c>
      <c r="L3355" s="63">
        <f>IF(tblMovement[[#This Row],[Destination]]="","",IFERROR(INDEX(tblDestinations[Type],MATCH(tblMovement[[#This Row],[Destination]],tblDestinations[Destination],0)),"?"))</f>
        <v/>
      </c>
      <c r="M3355" s="64">
        <f>IF(tblMovement[[#This Row],[Material]]="","",IF(LEFT(tblMovement[[#This Row],[Material]],3)="Ore",1,0))</f>
        <v/>
      </c>
      <c r="N3355" s="59">
        <f>IF(OR(tblMovement[[#This Row],[Tonnes_t]]="",tblMovement[[#This Row],[Grade_gpt]]=""),0,tblMovement[[#This Row],[Tonnes_t]]*tblMovement[[#This Row],[Grade_gpt]]/cfg_TroyOz)</f>
        <v/>
      </c>
      <c r="O3355" s="59">
        <f>IF(tblMovement[[#This Row],[Is_Ore]]=1,tblMovement[[#This Row],[Contained_oz]],0)</f>
        <v/>
      </c>
    </row>
    <row r="3356">
      <c r="A3356" s="54" t="n"/>
      <c r="B3356" s="61" t="n"/>
      <c r="C3356" s="61" t="n"/>
      <c r="D3356" s="61" t="n"/>
      <c r="E3356" s="61" t="n"/>
      <c r="F3356" s="55" t="n"/>
      <c r="G3356" s="56" t="n"/>
      <c r="H3356" s="55" t="n"/>
      <c r="I3356" s="62" t="n"/>
      <c r="J3356" s="58" t="n"/>
      <c r="K3356" s="63">
        <f>IF(tblMovement[[#This Row],[Source]]="","",IFERROR(INDEX(tblSources[Type],MATCH(tblMovement[[#This Row],[Source]],tblSources[Source],0)),"?"))</f>
        <v/>
      </c>
      <c r="L3356" s="63">
        <f>IF(tblMovement[[#This Row],[Destination]]="","",IFERROR(INDEX(tblDestinations[Type],MATCH(tblMovement[[#This Row],[Destination]],tblDestinations[Destination],0)),"?"))</f>
        <v/>
      </c>
      <c r="M3356" s="64">
        <f>IF(tblMovement[[#This Row],[Material]]="","",IF(LEFT(tblMovement[[#This Row],[Material]],3)="Ore",1,0))</f>
        <v/>
      </c>
      <c r="N3356" s="59">
        <f>IF(OR(tblMovement[[#This Row],[Tonnes_t]]="",tblMovement[[#This Row],[Grade_gpt]]=""),0,tblMovement[[#This Row],[Tonnes_t]]*tblMovement[[#This Row],[Grade_gpt]]/cfg_TroyOz)</f>
        <v/>
      </c>
      <c r="O3356" s="59">
        <f>IF(tblMovement[[#This Row],[Is_Ore]]=1,tblMovement[[#This Row],[Contained_oz]],0)</f>
        <v/>
      </c>
    </row>
    <row r="3357">
      <c r="A3357" s="54" t="n"/>
      <c r="B3357" s="61" t="n"/>
      <c r="C3357" s="61" t="n"/>
      <c r="D3357" s="61" t="n"/>
      <c r="E3357" s="61" t="n"/>
      <c r="F3357" s="55" t="n"/>
      <c r="G3357" s="56" t="n"/>
      <c r="H3357" s="55" t="n"/>
      <c r="I3357" s="62" t="n"/>
      <c r="J3357" s="58" t="n"/>
      <c r="K3357" s="63">
        <f>IF(tblMovement[[#This Row],[Source]]="","",IFERROR(INDEX(tblSources[Type],MATCH(tblMovement[[#This Row],[Source]],tblSources[Source],0)),"?"))</f>
        <v/>
      </c>
      <c r="L3357" s="63">
        <f>IF(tblMovement[[#This Row],[Destination]]="","",IFERROR(INDEX(tblDestinations[Type],MATCH(tblMovement[[#This Row],[Destination]],tblDestinations[Destination],0)),"?"))</f>
        <v/>
      </c>
      <c r="M3357" s="64">
        <f>IF(tblMovement[[#This Row],[Material]]="","",IF(LEFT(tblMovement[[#This Row],[Material]],3)="Ore",1,0))</f>
        <v/>
      </c>
      <c r="N3357" s="59">
        <f>IF(OR(tblMovement[[#This Row],[Tonnes_t]]="",tblMovement[[#This Row],[Grade_gpt]]=""),0,tblMovement[[#This Row],[Tonnes_t]]*tblMovement[[#This Row],[Grade_gpt]]/cfg_TroyOz)</f>
        <v/>
      </c>
      <c r="O3357" s="59">
        <f>IF(tblMovement[[#This Row],[Is_Ore]]=1,tblMovement[[#This Row],[Contained_oz]],0)</f>
        <v/>
      </c>
    </row>
    <row r="3358">
      <c r="A3358" s="54" t="n"/>
      <c r="B3358" s="61" t="n"/>
      <c r="C3358" s="61" t="n"/>
      <c r="D3358" s="61" t="n"/>
      <c r="E3358" s="61" t="n"/>
      <c r="F3358" s="55" t="n"/>
      <c r="G3358" s="56" t="n"/>
      <c r="H3358" s="55" t="n"/>
      <c r="I3358" s="62" t="n"/>
      <c r="J3358" s="58" t="n"/>
      <c r="K3358" s="63">
        <f>IF(tblMovement[[#This Row],[Source]]="","",IFERROR(INDEX(tblSources[Type],MATCH(tblMovement[[#This Row],[Source]],tblSources[Source],0)),"?"))</f>
        <v/>
      </c>
      <c r="L3358" s="63">
        <f>IF(tblMovement[[#This Row],[Destination]]="","",IFERROR(INDEX(tblDestinations[Type],MATCH(tblMovement[[#This Row],[Destination]],tblDestinations[Destination],0)),"?"))</f>
        <v/>
      </c>
      <c r="M3358" s="64">
        <f>IF(tblMovement[[#This Row],[Material]]="","",IF(LEFT(tblMovement[[#This Row],[Material]],3)="Ore",1,0))</f>
        <v/>
      </c>
      <c r="N3358" s="59">
        <f>IF(OR(tblMovement[[#This Row],[Tonnes_t]]="",tblMovement[[#This Row],[Grade_gpt]]=""),0,tblMovement[[#This Row],[Tonnes_t]]*tblMovement[[#This Row],[Grade_gpt]]/cfg_TroyOz)</f>
        <v/>
      </c>
      <c r="O3358" s="59">
        <f>IF(tblMovement[[#This Row],[Is_Ore]]=1,tblMovement[[#This Row],[Contained_oz]],0)</f>
        <v/>
      </c>
    </row>
    <row r="3359">
      <c r="A3359" s="54" t="n"/>
      <c r="B3359" s="61" t="n"/>
      <c r="C3359" s="61" t="n"/>
      <c r="D3359" s="61" t="n"/>
      <c r="E3359" s="61" t="n"/>
      <c r="F3359" s="55" t="n"/>
      <c r="G3359" s="56" t="n"/>
      <c r="H3359" s="55" t="n"/>
      <c r="I3359" s="62" t="n"/>
      <c r="J3359" s="58" t="n"/>
      <c r="K3359" s="63">
        <f>IF(tblMovement[[#This Row],[Source]]="","",IFERROR(INDEX(tblSources[Type],MATCH(tblMovement[[#This Row],[Source]],tblSources[Source],0)),"?"))</f>
        <v/>
      </c>
      <c r="L3359" s="63">
        <f>IF(tblMovement[[#This Row],[Destination]]="","",IFERROR(INDEX(tblDestinations[Type],MATCH(tblMovement[[#This Row],[Destination]],tblDestinations[Destination],0)),"?"))</f>
        <v/>
      </c>
      <c r="M3359" s="64">
        <f>IF(tblMovement[[#This Row],[Material]]="","",IF(LEFT(tblMovement[[#This Row],[Material]],3)="Ore",1,0))</f>
        <v/>
      </c>
      <c r="N3359" s="59">
        <f>IF(OR(tblMovement[[#This Row],[Tonnes_t]]="",tblMovement[[#This Row],[Grade_gpt]]=""),0,tblMovement[[#This Row],[Tonnes_t]]*tblMovement[[#This Row],[Grade_gpt]]/cfg_TroyOz)</f>
        <v/>
      </c>
      <c r="O3359" s="59">
        <f>IF(tblMovement[[#This Row],[Is_Ore]]=1,tblMovement[[#This Row],[Contained_oz]],0)</f>
        <v/>
      </c>
    </row>
    <row r="3360">
      <c r="A3360" s="54" t="n"/>
      <c r="B3360" s="61" t="n"/>
      <c r="C3360" s="61" t="n"/>
      <c r="D3360" s="61" t="n"/>
      <c r="E3360" s="61" t="n"/>
      <c r="F3360" s="55" t="n"/>
      <c r="G3360" s="56" t="n"/>
      <c r="H3360" s="55" t="n"/>
      <c r="I3360" s="62" t="n"/>
      <c r="J3360" s="58" t="n"/>
      <c r="K3360" s="63">
        <f>IF(tblMovement[[#This Row],[Source]]="","",IFERROR(INDEX(tblSources[Type],MATCH(tblMovement[[#This Row],[Source]],tblSources[Source],0)),"?"))</f>
        <v/>
      </c>
      <c r="L3360" s="63">
        <f>IF(tblMovement[[#This Row],[Destination]]="","",IFERROR(INDEX(tblDestinations[Type],MATCH(tblMovement[[#This Row],[Destination]],tblDestinations[Destination],0)),"?"))</f>
        <v/>
      </c>
      <c r="M3360" s="64">
        <f>IF(tblMovement[[#This Row],[Material]]="","",IF(LEFT(tblMovement[[#This Row],[Material]],3)="Ore",1,0))</f>
        <v/>
      </c>
      <c r="N3360" s="59">
        <f>IF(OR(tblMovement[[#This Row],[Tonnes_t]]="",tblMovement[[#This Row],[Grade_gpt]]=""),0,tblMovement[[#This Row],[Tonnes_t]]*tblMovement[[#This Row],[Grade_gpt]]/cfg_TroyOz)</f>
        <v/>
      </c>
      <c r="O3360" s="59">
        <f>IF(tblMovement[[#This Row],[Is_Ore]]=1,tblMovement[[#This Row],[Contained_oz]],0)</f>
        <v/>
      </c>
    </row>
    <row r="3361">
      <c r="A3361" s="54" t="n"/>
      <c r="B3361" s="61" t="n"/>
      <c r="C3361" s="61" t="n"/>
      <c r="D3361" s="61" t="n"/>
      <c r="E3361" s="61" t="n"/>
      <c r="F3361" s="55" t="n"/>
      <c r="G3361" s="56" t="n"/>
      <c r="H3361" s="55" t="n"/>
      <c r="I3361" s="62" t="n"/>
      <c r="J3361" s="58" t="n"/>
      <c r="K3361" s="63">
        <f>IF(tblMovement[[#This Row],[Source]]="","",IFERROR(INDEX(tblSources[Type],MATCH(tblMovement[[#This Row],[Source]],tblSources[Source],0)),"?"))</f>
        <v/>
      </c>
      <c r="L3361" s="63">
        <f>IF(tblMovement[[#This Row],[Destination]]="","",IFERROR(INDEX(tblDestinations[Type],MATCH(tblMovement[[#This Row],[Destination]],tblDestinations[Destination],0)),"?"))</f>
        <v/>
      </c>
      <c r="M3361" s="64">
        <f>IF(tblMovement[[#This Row],[Material]]="","",IF(LEFT(tblMovement[[#This Row],[Material]],3)="Ore",1,0))</f>
        <v/>
      </c>
      <c r="N3361" s="59">
        <f>IF(OR(tblMovement[[#This Row],[Tonnes_t]]="",tblMovement[[#This Row],[Grade_gpt]]=""),0,tblMovement[[#This Row],[Tonnes_t]]*tblMovement[[#This Row],[Grade_gpt]]/cfg_TroyOz)</f>
        <v/>
      </c>
      <c r="O3361" s="59">
        <f>IF(tblMovement[[#This Row],[Is_Ore]]=1,tblMovement[[#This Row],[Contained_oz]],0)</f>
        <v/>
      </c>
    </row>
    <row r="3362">
      <c r="A3362" s="54" t="n"/>
      <c r="B3362" s="61" t="n"/>
      <c r="C3362" s="61" t="n"/>
      <c r="D3362" s="61" t="n"/>
      <c r="E3362" s="61" t="n"/>
      <c r="F3362" s="55" t="n"/>
      <c r="G3362" s="56" t="n"/>
      <c r="H3362" s="55" t="n"/>
      <c r="I3362" s="62" t="n"/>
      <c r="J3362" s="58" t="n"/>
      <c r="K3362" s="63">
        <f>IF(tblMovement[[#This Row],[Source]]="","",IFERROR(INDEX(tblSources[Type],MATCH(tblMovement[[#This Row],[Source]],tblSources[Source],0)),"?"))</f>
        <v/>
      </c>
      <c r="L3362" s="63">
        <f>IF(tblMovement[[#This Row],[Destination]]="","",IFERROR(INDEX(tblDestinations[Type],MATCH(tblMovement[[#This Row],[Destination]],tblDestinations[Destination],0)),"?"))</f>
        <v/>
      </c>
      <c r="M3362" s="64">
        <f>IF(tblMovement[[#This Row],[Material]]="","",IF(LEFT(tblMovement[[#This Row],[Material]],3)="Ore",1,0))</f>
        <v/>
      </c>
      <c r="N3362" s="59">
        <f>IF(OR(tblMovement[[#This Row],[Tonnes_t]]="",tblMovement[[#This Row],[Grade_gpt]]=""),0,tblMovement[[#This Row],[Tonnes_t]]*tblMovement[[#This Row],[Grade_gpt]]/cfg_TroyOz)</f>
        <v/>
      </c>
      <c r="O3362" s="59">
        <f>IF(tblMovement[[#This Row],[Is_Ore]]=1,tblMovement[[#This Row],[Contained_oz]],0)</f>
        <v/>
      </c>
    </row>
    <row r="3363">
      <c r="A3363" s="54" t="n"/>
      <c r="B3363" s="61" t="n"/>
      <c r="C3363" s="61" t="n"/>
      <c r="D3363" s="61" t="n"/>
      <c r="E3363" s="61" t="n"/>
      <c r="F3363" s="55" t="n"/>
      <c r="G3363" s="56" t="n"/>
      <c r="H3363" s="55" t="n"/>
      <c r="I3363" s="62" t="n"/>
      <c r="J3363" s="58" t="n"/>
      <c r="K3363" s="63">
        <f>IF(tblMovement[[#This Row],[Source]]="","",IFERROR(INDEX(tblSources[Type],MATCH(tblMovement[[#This Row],[Source]],tblSources[Source],0)),"?"))</f>
        <v/>
      </c>
      <c r="L3363" s="63">
        <f>IF(tblMovement[[#This Row],[Destination]]="","",IFERROR(INDEX(tblDestinations[Type],MATCH(tblMovement[[#This Row],[Destination]],tblDestinations[Destination],0)),"?"))</f>
        <v/>
      </c>
      <c r="M3363" s="64">
        <f>IF(tblMovement[[#This Row],[Material]]="","",IF(LEFT(tblMovement[[#This Row],[Material]],3)="Ore",1,0))</f>
        <v/>
      </c>
      <c r="N3363" s="59">
        <f>IF(OR(tblMovement[[#This Row],[Tonnes_t]]="",tblMovement[[#This Row],[Grade_gpt]]=""),0,tblMovement[[#This Row],[Tonnes_t]]*tblMovement[[#This Row],[Grade_gpt]]/cfg_TroyOz)</f>
        <v/>
      </c>
      <c r="O3363" s="59">
        <f>IF(tblMovement[[#This Row],[Is_Ore]]=1,tblMovement[[#This Row],[Contained_oz]],0)</f>
        <v/>
      </c>
    </row>
    <row r="3364">
      <c r="A3364" s="54" t="n"/>
      <c r="B3364" s="61" t="n"/>
      <c r="C3364" s="61" t="n"/>
      <c r="D3364" s="61" t="n"/>
      <c r="E3364" s="61" t="n"/>
      <c r="F3364" s="55" t="n"/>
      <c r="G3364" s="56" t="n"/>
      <c r="H3364" s="55" t="n"/>
      <c r="I3364" s="62" t="n"/>
      <c r="J3364" s="58" t="n"/>
      <c r="K3364" s="63">
        <f>IF(tblMovement[[#This Row],[Source]]="","",IFERROR(INDEX(tblSources[Type],MATCH(tblMovement[[#This Row],[Source]],tblSources[Source],0)),"?"))</f>
        <v/>
      </c>
      <c r="L3364" s="63">
        <f>IF(tblMovement[[#This Row],[Destination]]="","",IFERROR(INDEX(tblDestinations[Type],MATCH(tblMovement[[#This Row],[Destination]],tblDestinations[Destination],0)),"?"))</f>
        <v/>
      </c>
      <c r="M3364" s="64">
        <f>IF(tblMovement[[#This Row],[Material]]="","",IF(LEFT(tblMovement[[#This Row],[Material]],3)="Ore",1,0))</f>
        <v/>
      </c>
      <c r="N3364" s="59">
        <f>IF(OR(tblMovement[[#This Row],[Tonnes_t]]="",tblMovement[[#This Row],[Grade_gpt]]=""),0,tblMovement[[#This Row],[Tonnes_t]]*tblMovement[[#This Row],[Grade_gpt]]/cfg_TroyOz)</f>
        <v/>
      </c>
      <c r="O3364" s="59">
        <f>IF(tblMovement[[#This Row],[Is_Ore]]=1,tblMovement[[#This Row],[Contained_oz]],0)</f>
        <v/>
      </c>
    </row>
    <row r="3365">
      <c r="A3365" s="54" t="n"/>
      <c r="B3365" s="61" t="n"/>
      <c r="C3365" s="61" t="n"/>
      <c r="D3365" s="61" t="n"/>
      <c r="E3365" s="61" t="n"/>
      <c r="F3365" s="55" t="n"/>
      <c r="G3365" s="56" t="n"/>
      <c r="H3365" s="55" t="n"/>
      <c r="I3365" s="62" t="n"/>
      <c r="J3365" s="58" t="n"/>
      <c r="K3365" s="63">
        <f>IF(tblMovement[[#This Row],[Source]]="","",IFERROR(INDEX(tblSources[Type],MATCH(tblMovement[[#This Row],[Source]],tblSources[Source],0)),"?"))</f>
        <v/>
      </c>
      <c r="L3365" s="63">
        <f>IF(tblMovement[[#This Row],[Destination]]="","",IFERROR(INDEX(tblDestinations[Type],MATCH(tblMovement[[#This Row],[Destination]],tblDestinations[Destination],0)),"?"))</f>
        <v/>
      </c>
      <c r="M3365" s="64">
        <f>IF(tblMovement[[#This Row],[Material]]="","",IF(LEFT(tblMovement[[#This Row],[Material]],3)="Ore",1,0))</f>
        <v/>
      </c>
      <c r="N3365" s="59">
        <f>IF(OR(tblMovement[[#This Row],[Tonnes_t]]="",tblMovement[[#This Row],[Grade_gpt]]=""),0,tblMovement[[#This Row],[Tonnes_t]]*tblMovement[[#This Row],[Grade_gpt]]/cfg_TroyOz)</f>
        <v/>
      </c>
      <c r="O3365" s="59">
        <f>IF(tblMovement[[#This Row],[Is_Ore]]=1,tblMovement[[#This Row],[Contained_oz]],0)</f>
        <v/>
      </c>
    </row>
    <row r="3366">
      <c r="A3366" s="54" t="n"/>
      <c r="B3366" s="61" t="n"/>
      <c r="C3366" s="61" t="n"/>
      <c r="D3366" s="61" t="n"/>
      <c r="E3366" s="61" t="n"/>
      <c r="F3366" s="55" t="n"/>
      <c r="G3366" s="56" t="n"/>
      <c r="H3366" s="55" t="n"/>
      <c r="I3366" s="62" t="n"/>
      <c r="J3366" s="58" t="n"/>
      <c r="K3366" s="63">
        <f>IF(tblMovement[[#This Row],[Source]]="","",IFERROR(INDEX(tblSources[Type],MATCH(tblMovement[[#This Row],[Source]],tblSources[Source],0)),"?"))</f>
        <v/>
      </c>
      <c r="L3366" s="63">
        <f>IF(tblMovement[[#This Row],[Destination]]="","",IFERROR(INDEX(tblDestinations[Type],MATCH(tblMovement[[#This Row],[Destination]],tblDestinations[Destination],0)),"?"))</f>
        <v/>
      </c>
      <c r="M3366" s="64">
        <f>IF(tblMovement[[#This Row],[Material]]="","",IF(LEFT(tblMovement[[#This Row],[Material]],3)="Ore",1,0))</f>
        <v/>
      </c>
      <c r="N3366" s="59">
        <f>IF(OR(tblMovement[[#This Row],[Tonnes_t]]="",tblMovement[[#This Row],[Grade_gpt]]=""),0,tblMovement[[#This Row],[Tonnes_t]]*tblMovement[[#This Row],[Grade_gpt]]/cfg_TroyOz)</f>
        <v/>
      </c>
      <c r="O3366" s="59">
        <f>IF(tblMovement[[#This Row],[Is_Ore]]=1,tblMovement[[#This Row],[Contained_oz]],0)</f>
        <v/>
      </c>
    </row>
    <row r="3367">
      <c r="A3367" s="54" t="n"/>
      <c r="B3367" s="61" t="n"/>
      <c r="C3367" s="61" t="n"/>
      <c r="D3367" s="61" t="n"/>
      <c r="E3367" s="61" t="n"/>
      <c r="F3367" s="55" t="n"/>
      <c r="G3367" s="56" t="n"/>
      <c r="H3367" s="55" t="n"/>
      <c r="I3367" s="62" t="n"/>
      <c r="J3367" s="58" t="n"/>
      <c r="K3367" s="63">
        <f>IF(tblMovement[[#This Row],[Source]]="","",IFERROR(INDEX(tblSources[Type],MATCH(tblMovement[[#This Row],[Source]],tblSources[Source],0)),"?"))</f>
        <v/>
      </c>
      <c r="L3367" s="63">
        <f>IF(tblMovement[[#This Row],[Destination]]="","",IFERROR(INDEX(tblDestinations[Type],MATCH(tblMovement[[#This Row],[Destination]],tblDestinations[Destination],0)),"?"))</f>
        <v/>
      </c>
      <c r="M3367" s="64">
        <f>IF(tblMovement[[#This Row],[Material]]="","",IF(LEFT(tblMovement[[#This Row],[Material]],3)="Ore",1,0))</f>
        <v/>
      </c>
      <c r="N3367" s="59">
        <f>IF(OR(tblMovement[[#This Row],[Tonnes_t]]="",tblMovement[[#This Row],[Grade_gpt]]=""),0,tblMovement[[#This Row],[Tonnes_t]]*tblMovement[[#This Row],[Grade_gpt]]/cfg_TroyOz)</f>
        <v/>
      </c>
      <c r="O3367" s="59">
        <f>IF(tblMovement[[#This Row],[Is_Ore]]=1,tblMovement[[#This Row],[Contained_oz]],0)</f>
        <v/>
      </c>
    </row>
    <row r="3368">
      <c r="A3368" s="54" t="n"/>
      <c r="B3368" s="61" t="n"/>
      <c r="C3368" s="61" t="n"/>
      <c r="D3368" s="61" t="n"/>
      <c r="E3368" s="61" t="n"/>
      <c r="F3368" s="55" t="n"/>
      <c r="G3368" s="56" t="n"/>
      <c r="H3368" s="55" t="n"/>
      <c r="I3368" s="62" t="n"/>
      <c r="J3368" s="58" t="n"/>
      <c r="K3368" s="63">
        <f>IF(tblMovement[[#This Row],[Source]]="","",IFERROR(INDEX(tblSources[Type],MATCH(tblMovement[[#This Row],[Source]],tblSources[Source],0)),"?"))</f>
        <v/>
      </c>
      <c r="L3368" s="63">
        <f>IF(tblMovement[[#This Row],[Destination]]="","",IFERROR(INDEX(tblDestinations[Type],MATCH(tblMovement[[#This Row],[Destination]],tblDestinations[Destination],0)),"?"))</f>
        <v/>
      </c>
      <c r="M3368" s="64">
        <f>IF(tblMovement[[#This Row],[Material]]="","",IF(LEFT(tblMovement[[#This Row],[Material]],3)="Ore",1,0))</f>
        <v/>
      </c>
      <c r="N3368" s="59">
        <f>IF(OR(tblMovement[[#This Row],[Tonnes_t]]="",tblMovement[[#This Row],[Grade_gpt]]=""),0,tblMovement[[#This Row],[Tonnes_t]]*tblMovement[[#This Row],[Grade_gpt]]/cfg_TroyOz)</f>
        <v/>
      </c>
      <c r="O3368" s="59">
        <f>IF(tblMovement[[#This Row],[Is_Ore]]=1,tblMovement[[#This Row],[Contained_oz]],0)</f>
        <v/>
      </c>
    </row>
    <row r="3369">
      <c r="A3369" s="54" t="n"/>
      <c r="B3369" s="61" t="n"/>
      <c r="C3369" s="61" t="n"/>
      <c r="D3369" s="61" t="n"/>
      <c r="E3369" s="61" t="n"/>
      <c r="F3369" s="55" t="n"/>
      <c r="G3369" s="56" t="n"/>
      <c r="H3369" s="55" t="n"/>
      <c r="I3369" s="62" t="n"/>
      <c r="J3369" s="58" t="n"/>
      <c r="K3369" s="63">
        <f>IF(tblMovement[[#This Row],[Source]]="","",IFERROR(INDEX(tblSources[Type],MATCH(tblMovement[[#This Row],[Source]],tblSources[Source],0)),"?"))</f>
        <v/>
      </c>
      <c r="L3369" s="63">
        <f>IF(tblMovement[[#This Row],[Destination]]="","",IFERROR(INDEX(tblDestinations[Type],MATCH(tblMovement[[#This Row],[Destination]],tblDestinations[Destination],0)),"?"))</f>
        <v/>
      </c>
      <c r="M3369" s="64">
        <f>IF(tblMovement[[#This Row],[Material]]="","",IF(LEFT(tblMovement[[#This Row],[Material]],3)="Ore",1,0))</f>
        <v/>
      </c>
      <c r="N3369" s="59">
        <f>IF(OR(tblMovement[[#This Row],[Tonnes_t]]="",tblMovement[[#This Row],[Grade_gpt]]=""),0,tblMovement[[#This Row],[Tonnes_t]]*tblMovement[[#This Row],[Grade_gpt]]/cfg_TroyOz)</f>
        <v/>
      </c>
      <c r="O3369" s="59">
        <f>IF(tblMovement[[#This Row],[Is_Ore]]=1,tblMovement[[#This Row],[Contained_oz]],0)</f>
        <v/>
      </c>
    </row>
    <row r="3370">
      <c r="A3370" s="54" t="n"/>
      <c r="B3370" s="61" t="n"/>
      <c r="C3370" s="61" t="n"/>
      <c r="D3370" s="61" t="n"/>
      <c r="E3370" s="61" t="n"/>
      <c r="F3370" s="55" t="n"/>
      <c r="G3370" s="56" t="n"/>
      <c r="H3370" s="55" t="n"/>
      <c r="I3370" s="62" t="n"/>
      <c r="J3370" s="58" t="n"/>
      <c r="K3370" s="63">
        <f>IF(tblMovement[[#This Row],[Source]]="","",IFERROR(INDEX(tblSources[Type],MATCH(tblMovement[[#This Row],[Source]],tblSources[Source],0)),"?"))</f>
        <v/>
      </c>
      <c r="L3370" s="63">
        <f>IF(tblMovement[[#This Row],[Destination]]="","",IFERROR(INDEX(tblDestinations[Type],MATCH(tblMovement[[#This Row],[Destination]],tblDestinations[Destination],0)),"?"))</f>
        <v/>
      </c>
      <c r="M3370" s="64">
        <f>IF(tblMovement[[#This Row],[Material]]="","",IF(LEFT(tblMovement[[#This Row],[Material]],3)="Ore",1,0))</f>
        <v/>
      </c>
      <c r="N3370" s="59">
        <f>IF(OR(tblMovement[[#This Row],[Tonnes_t]]="",tblMovement[[#This Row],[Grade_gpt]]=""),0,tblMovement[[#This Row],[Tonnes_t]]*tblMovement[[#This Row],[Grade_gpt]]/cfg_TroyOz)</f>
        <v/>
      </c>
      <c r="O3370" s="59">
        <f>IF(tblMovement[[#This Row],[Is_Ore]]=1,tblMovement[[#This Row],[Contained_oz]],0)</f>
        <v/>
      </c>
    </row>
    <row r="3371">
      <c r="A3371" s="54" t="n"/>
      <c r="B3371" s="61" t="n"/>
      <c r="C3371" s="61" t="n"/>
      <c r="D3371" s="61" t="n"/>
      <c r="E3371" s="61" t="n"/>
      <c r="F3371" s="55" t="n"/>
      <c r="G3371" s="56" t="n"/>
      <c r="H3371" s="55" t="n"/>
      <c r="I3371" s="62" t="n"/>
      <c r="J3371" s="58" t="n"/>
      <c r="K3371" s="63">
        <f>IF(tblMovement[[#This Row],[Source]]="","",IFERROR(INDEX(tblSources[Type],MATCH(tblMovement[[#This Row],[Source]],tblSources[Source],0)),"?"))</f>
        <v/>
      </c>
      <c r="L3371" s="63">
        <f>IF(tblMovement[[#This Row],[Destination]]="","",IFERROR(INDEX(tblDestinations[Type],MATCH(tblMovement[[#This Row],[Destination]],tblDestinations[Destination],0)),"?"))</f>
        <v/>
      </c>
      <c r="M3371" s="64">
        <f>IF(tblMovement[[#This Row],[Material]]="","",IF(LEFT(tblMovement[[#This Row],[Material]],3)="Ore",1,0))</f>
        <v/>
      </c>
      <c r="N3371" s="59">
        <f>IF(OR(tblMovement[[#This Row],[Tonnes_t]]="",tblMovement[[#This Row],[Grade_gpt]]=""),0,tblMovement[[#This Row],[Tonnes_t]]*tblMovement[[#This Row],[Grade_gpt]]/cfg_TroyOz)</f>
        <v/>
      </c>
      <c r="O3371" s="59">
        <f>IF(tblMovement[[#This Row],[Is_Ore]]=1,tblMovement[[#This Row],[Contained_oz]],0)</f>
        <v/>
      </c>
    </row>
    <row r="3372">
      <c r="A3372" s="54" t="n"/>
      <c r="B3372" s="61" t="n"/>
      <c r="C3372" s="61" t="n"/>
      <c r="D3372" s="61" t="n"/>
      <c r="E3372" s="61" t="n"/>
      <c r="F3372" s="55" t="n"/>
      <c r="G3372" s="56" t="n"/>
      <c r="H3372" s="55" t="n"/>
      <c r="I3372" s="62" t="n"/>
      <c r="J3372" s="58" t="n"/>
      <c r="K3372" s="63">
        <f>IF(tblMovement[[#This Row],[Source]]="","",IFERROR(INDEX(tblSources[Type],MATCH(tblMovement[[#This Row],[Source]],tblSources[Source],0)),"?"))</f>
        <v/>
      </c>
      <c r="L3372" s="63">
        <f>IF(tblMovement[[#This Row],[Destination]]="","",IFERROR(INDEX(tblDestinations[Type],MATCH(tblMovement[[#This Row],[Destination]],tblDestinations[Destination],0)),"?"))</f>
        <v/>
      </c>
      <c r="M3372" s="64">
        <f>IF(tblMovement[[#This Row],[Material]]="","",IF(LEFT(tblMovement[[#This Row],[Material]],3)="Ore",1,0))</f>
        <v/>
      </c>
      <c r="N3372" s="59">
        <f>IF(OR(tblMovement[[#This Row],[Tonnes_t]]="",tblMovement[[#This Row],[Grade_gpt]]=""),0,tblMovement[[#This Row],[Tonnes_t]]*tblMovement[[#This Row],[Grade_gpt]]/cfg_TroyOz)</f>
        <v/>
      </c>
      <c r="O3372" s="59">
        <f>IF(tblMovement[[#This Row],[Is_Ore]]=1,tblMovement[[#This Row],[Contained_oz]],0)</f>
        <v/>
      </c>
    </row>
    <row r="3373">
      <c r="A3373" s="54" t="n"/>
      <c r="B3373" s="61" t="n"/>
      <c r="C3373" s="61" t="n"/>
      <c r="D3373" s="61" t="n"/>
      <c r="E3373" s="61" t="n"/>
      <c r="F3373" s="55" t="n"/>
      <c r="G3373" s="56" t="n"/>
      <c r="H3373" s="55" t="n"/>
      <c r="I3373" s="62" t="n"/>
      <c r="J3373" s="58" t="n"/>
      <c r="K3373" s="63">
        <f>IF(tblMovement[[#This Row],[Source]]="","",IFERROR(INDEX(tblSources[Type],MATCH(tblMovement[[#This Row],[Source]],tblSources[Source],0)),"?"))</f>
        <v/>
      </c>
      <c r="L3373" s="63">
        <f>IF(tblMovement[[#This Row],[Destination]]="","",IFERROR(INDEX(tblDestinations[Type],MATCH(tblMovement[[#This Row],[Destination]],tblDestinations[Destination],0)),"?"))</f>
        <v/>
      </c>
      <c r="M3373" s="64">
        <f>IF(tblMovement[[#This Row],[Material]]="","",IF(LEFT(tblMovement[[#This Row],[Material]],3)="Ore",1,0))</f>
        <v/>
      </c>
      <c r="N3373" s="59">
        <f>IF(OR(tblMovement[[#This Row],[Tonnes_t]]="",tblMovement[[#This Row],[Grade_gpt]]=""),0,tblMovement[[#This Row],[Tonnes_t]]*tblMovement[[#This Row],[Grade_gpt]]/cfg_TroyOz)</f>
        <v/>
      </c>
      <c r="O3373" s="59">
        <f>IF(tblMovement[[#This Row],[Is_Ore]]=1,tblMovement[[#This Row],[Contained_oz]],0)</f>
        <v/>
      </c>
    </row>
    <row r="3374">
      <c r="A3374" s="54" t="n"/>
      <c r="B3374" s="61" t="n"/>
      <c r="C3374" s="61" t="n"/>
      <c r="D3374" s="61" t="n"/>
      <c r="E3374" s="61" t="n"/>
      <c r="F3374" s="55" t="n"/>
      <c r="G3374" s="56" t="n"/>
      <c r="H3374" s="55" t="n"/>
      <c r="I3374" s="62" t="n"/>
      <c r="J3374" s="58" t="n"/>
      <c r="K3374" s="63">
        <f>IF(tblMovement[[#This Row],[Source]]="","",IFERROR(INDEX(tblSources[Type],MATCH(tblMovement[[#This Row],[Source]],tblSources[Source],0)),"?"))</f>
        <v/>
      </c>
      <c r="L3374" s="63">
        <f>IF(tblMovement[[#This Row],[Destination]]="","",IFERROR(INDEX(tblDestinations[Type],MATCH(tblMovement[[#This Row],[Destination]],tblDestinations[Destination],0)),"?"))</f>
        <v/>
      </c>
      <c r="M3374" s="64">
        <f>IF(tblMovement[[#This Row],[Material]]="","",IF(LEFT(tblMovement[[#This Row],[Material]],3)="Ore",1,0))</f>
        <v/>
      </c>
      <c r="N3374" s="59">
        <f>IF(OR(tblMovement[[#This Row],[Tonnes_t]]="",tblMovement[[#This Row],[Grade_gpt]]=""),0,tblMovement[[#This Row],[Tonnes_t]]*tblMovement[[#This Row],[Grade_gpt]]/cfg_TroyOz)</f>
        <v/>
      </c>
      <c r="O3374" s="59">
        <f>IF(tblMovement[[#This Row],[Is_Ore]]=1,tblMovement[[#This Row],[Contained_oz]],0)</f>
        <v/>
      </c>
    </row>
    <row r="3375">
      <c r="A3375" s="54" t="n"/>
      <c r="B3375" s="61" t="n"/>
      <c r="C3375" s="61" t="n"/>
      <c r="D3375" s="61" t="n"/>
      <c r="E3375" s="61" t="n"/>
      <c r="F3375" s="55" t="n"/>
      <c r="G3375" s="56" t="n"/>
      <c r="H3375" s="55" t="n"/>
      <c r="I3375" s="62" t="n"/>
      <c r="J3375" s="58" t="n"/>
      <c r="K3375" s="63">
        <f>IF(tblMovement[[#This Row],[Source]]="","",IFERROR(INDEX(tblSources[Type],MATCH(tblMovement[[#This Row],[Source]],tblSources[Source],0)),"?"))</f>
        <v/>
      </c>
      <c r="L3375" s="63">
        <f>IF(tblMovement[[#This Row],[Destination]]="","",IFERROR(INDEX(tblDestinations[Type],MATCH(tblMovement[[#This Row],[Destination]],tblDestinations[Destination],0)),"?"))</f>
        <v/>
      </c>
      <c r="M3375" s="64">
        <f>IF(tblMovement[[#This Row],[Material]]="","",IF(LEFT(tblMovement[[#This Row],[Material]],3)="Ore",1,0))</f>
        <v/>
      </c>
      <c r="N3375" s="59">
        <f>IF(OR(tblMovement[[#This Row],[Tonnes_t]]="",tblMovement[[#This Row],[Grade_gpt]]=""),0,tblMovement[[#This Row],[Tonnes_t]]*tblMovement[[#This Row],[Grade_gpt]]/cfg_TroyOz)</f>
        <v/>
      </c>
      <c r="O3375" s="59">
        <f>IF(tblMovement[[#This Row],[Is_Ore]]=1,tblMovement[[#This Row],[Contained_oz]],0)</f>
        <v/>
      </c>
    </row>
    <row r="3376">
      <c r="A3376" s="54" t="n"/>
      <c r="B3376" s="61" t="n"/>
      <c r="C3376" s="61" t="n"/>
      <c r="D3376" s="61" t="n"/>
      <c r="E3376" s="61" t="n"/>
      <c r="F3376" s="55" t="n"/>
      <c r="G3376" s="56" t="n"/>
      <c r="H3376" s="55" t="n"/>
      <c r="I3376" s="62" t="n"/>
      <c r="J3376" s="58" t="n"/>
      <c r="K3376" s="63">
        <f>IF(tblMovement[[#This Row],[Source]]="","",IFERROR(INDEX(tblSources[Type],MATCH(tblMovement[[#This Row],[Source]],tblSources[Source],0)),"?"))</f>
        <v/>
      </c>
      <c r="L3376" s="63">
        <f>IF(tblMovement[[#This Row],[Destination]]="","",IFERROR(INDEX(tblDestinations[Type],MATCH(tblMovement[[#This Row],[Destination]],tblDestinations[Destination],0)),"?"))</f>
        <v/>
      </c>
      <c r="M3376" s="64">
        <f>IF(tblMovement[[#This Row],[Material]]="","",IF(LEFT(tblMovement[[#This Row],[Material]],3)="Ore",1,0))</f>
        <v/>
      </c>
      <c r="N3376" s="59">
        <f>IF(OR(tblMovement[[#This Row],[Tonnes_t]]="",tblMovement[[#This Row],[Grade_gpt]]=""),0,tblMovement[[#This Row],[Tonnes_t]]*tblMovement[[#This Row],[Grade_gpt]]/cfg_TroyOz)</f>
        <v/>
      </c>
      <c r="O3376" s="59">
        <f>IF(tblMovement[[#This Row],[Is_Ore]]=1,tblMovement[[#This Row],[Contained_oz]],0)</f>
        <v/>
      </c>
    </row>
    <row r="3377">
      <c r="A3377" s="54" t="n"/>
      <c r="B3377" s="61" t="n"/>
      <c r="C3377" s="61" t="n"/>
      <c r="D3377" s="61" t="n"/>
      <c r="E3377" s="61" t="n"/>
      <c r="F3377" s="55" t="n"/>
      <c r="G3377" s="56" t="n"/>
      <c r="H3377" s="55" t="n"/>
      <c r="I3377" s="62" t="n"/>
      <c r="J3377" s="58" t="n"/>
      <c r="K3377" s="63">
        <f>IF(tblMovement[[#This Row],[Source]]="","",IFERROR(INDEX(tblSources[Type],MATCH(tblMovement[[#This Row],[Source]],tblSources[Source],0)),"?"))</f>
        <v/>
      </c>
      <c r="L3377" s="63">
        <f>IF(tblMovement[[#This Row],[Destination]]="","",IFERROR(INDEX(tblDestinations[Type],MATCH(tblMovement[[#This Row],[Destination]],tblDestinations[Destination],0)),"?"))</f>
        <v/>
      </c>
      <c r="M3377" s="64">
        <f>IF(tblMovement[[#This Row],[Material]]="","",IF(LEFT(tblMovement[[#This Row],[Material]],3)="Ore",1,0))</f>
        <v/>
      </c>
      <c r="N3377" s="59">
        <f>IF(OR(tblMovement[[#This Row],[Tonnes_t]]="",tblMovement[[#This Row],[Grade_gpt]]=""),0,tblMovement[[#This Row],[Tonnes_t]]*tblMovement[[#This Row],[Grade_gpt]]/cfg_TroyOz)</f>
        <v/>
      </c>
      <c r="O3377" s="59">
        <f>IF(tblMovement[[#This Row],[Is_Ore]]=1,tblMovement[[#This Row],[Contained_oz]],0)</f>
        <v/>
      </c>
    </row>
    <row r="3378">
      <c r="A3378" s="54" t="n"/>
      <c r="B3378" s="61" t="n"/>
      <c r="C3378" s="61" t="n"/>
      <c r="D3378" s="61" t="n"/>
      <c r="E3378" s="61" t="n"/>
      <c r="F3378" s="55" t="n"/>
      <c r="G3378" s="56" t="n"/>
      <c r="H3378" s="55" t="n"/>
      <c r="I3378" s="62" t="n"/>
      <c r="J3378" s="58" t="n"/>
      <c r="K3378" s="63">
        <f>IF(tblMovement[[#This Row],[Source]]="","",IFERROR(INDEX(tblSources[Type],MATCH(tblMovement[[#This Row],[Source]],tblSources[Source],0)),"?"))</f>
        <v/>
      </c>
      <c r="L3378" s="63">
        <f>IF(tblMovement[[#This Row],[Destination]]="","",IFERROR(INDEX(tblDestinations[Type],MATCH(tblMovement[[#This Row],[Destination]],tblDestinations[Destination],0)),"?"))</f>
        <v/>
      </c>
      <c r="M3378" s="64">
        <f>IF(tblMovement[[#This Row],[Material]]="","",IF(LEFT(tblMovement[[#This Row],[Material]],3)="Ore",1,0))</f>
        <v/>
      </c>
      <c r="N3378" s="59">
        <f>IF(OR(tblMovement[[#This Row],[Tonnes_t]]="",tblMovement[[#This Row],[Grade_gpt]]=""),0,tblMovement[[#This Row],[Tonnes_t]]*tblMovement[[#This Row],[Grade_gpt]]/cfg_TroyOz)</f>
        <v/>
      </c>
      <c r="O3378" s="59">
        <f>IF(tblMovement[[#This Row],[Is_Ore]]=1,tblMovement[[#This Row],[Contained_oz]],0)</f>
        <v/>
      </c>
    </row>
    <row r="3379">
      <c r="A3379" s="54" t="n"/>
      <c r="B3379" s="61" t="n"/>
      <c r="C3379" s="61" t="n"/>
      <c r="D3379" s="61" t="n"/>
      <c r="E3379" s="61" t="n"/>
      <c r="F3379" s="55" t="n"/>
      <c r="G3379" s="56" t="n"/>
      <c r="H3379" s="55" t="n"/>
      <c r="I3379" s="62" t="n"/>
      <c r="J3379" s="58" t="n"/>
      <c r="K3379" s="63">
        <f>IF(tblMovement[[#This Row],[Source]]="","",IFERROR(INDEX(tblSources[Type],MATCH(tblMovement[[#This Row],[Source]],tblSources[Source],0)),"?"))</f>
        <v/>
      </c>
      <c r="L3379" s="63">
        <f>IF(tblMovement[[#This Row],[Destination]]="","",IFERROR(INDEX(tblDestinations[Type],MATCH(tblMovement[[#This Row],[Destination]],tblDestinations[Destination],0)),"?"))</f>
        <v/>
      </c>
      <c r="M3379" s="64">
        <f>IF(tblMovement[[#This Row],[Material]]="","",IF(LEFT(tblMovement[[#This Row],[Material]],3)="Ore",1,0))</f>
        <v/>
      </c>
      <c r="N3379" s="59">
        <f>IF(OR(tblMovement[[#This Row],[Tonnes_t]]="",tblMovement[[#This Row],[Grade_gpt]]=""),0,tblMovement[[#This Row],[Tonnes_t]]*tblMovement[[#This Row],[Grade_gpt]]/cfg_TroyOz)</f>
        <v/>
      </c>
      <c r="O3379" s="59">
        <f>IF(tblMovement[[#This Row],[Is_Ore]]=1,tblMovement[[#This Row],[Contained_oz]],0)</f>
        <v/>
      </c>
    </row>
    <row r="3380">
      <c r="A3380" s="54" t="n"/>
      <c r="B3380" s="61" t="n"/>
      <c r="C3380" s="61" t="n"/>
      <c r="D3380" s="61" t="n"/>
      <c r="E3380" s="61" t="n"/>
      <c r="F3380" s="55" t="n"/>
      <c r="G3380" s="56" t="n"/>
      <c r="H3380" s="55" t="n"/>
      <c r="I3380" s="62" t="n"/>
      <c r="J3380" s="58" t="n"/>
      <c r="K3380" s="63">
        <f>IF(tblMovement[[#This Row],[Source]]="","",IFERROR(INDEX(tblSources[Type],MATCH(tblMovement[[#This Row],[Source]],tblSources[Source],0)),"?"))</f>
        <v/>
      </c>
      <c r="L3380" s="63">
        <f>IF(tblMovement[[#This Row],[Destination]]="","",IFERROR(INDEX(tblDestinations[Type],MATCH(tblMovement[[#This Row],[Destination]],tblDestinations[Destination],0)),"?"))</f>
        <v/>
      </c>
      <c r="M3380" s="64">
        <f>IF(tblMovement[[#This Row],[Material]]="","",IF(LEFT(tblMovement[[#This Row],[Material]],3)="Ore",1,0))</f>
        <v/>
      </c>
      <c r="N3380" s="59">
        <f>IF(OR(tblMovement[[#This Row],[Tonnes_t]]="",tblMovement[[#This Row],[Grade_gpt]]=""),0,tblMovement[[#This Row],[Tonnes_t]]*tblMovement[[#This Row],[Grade_gpt]]/cfg_TroyOz)</f>
        <v/>
      </c>
      <c r="O3380" s="59">
        <f>IF(tblMovement[[#This Row],[Is_Ore]]=1,tblMovement[[#This Row],[Contained_oz]],0)</f>
        <v/>
      </c>
    </row>
    <row r="3381">
      <c r="A3381" s="54" t="n"/>
      <c r="B3381" s="61" t="n"/>
      <c r="C3381" s="61" t="n"/>
      <c r="D3381" s="61" t="n"/>
      <c r="E3381" s="61" t="n"/>
      <c r="F3381" s="55" t="n"/>
      <c r="G3381" s="56" t="n"/>
      <c r="H3381" s="55" t="n"/>
      <c r="I3381" s="62" t="n"/>
      <c r="J3381" s="58" t="n"/>
      <c r="K3381" s="63">
        <f>IF(tblMovement[[#This Row],[Source]]="","",IFERROR(INDEX(tblSources[Type],MATCH(tblMovement[[#This Row],[Source]],tblSources[Source],0)),"?"))</f>
        <v/>
      </c>
      <c r="L3381" s="63">
        <f>IF(tblMovement[[#This Row],[Destination]]="","",IFERROR(INDEX(tblDestinations[Type],MATCH(tblMovement[[#This Row],[Destination]],tblDestinations[Destination],0)),"?"))</f>
        <v/>
      </c>
      <c r="M3381" s="64">
        <f>IF(tblMovement[[#This Row],[Material]]="","",IF(LEFT(tblMovement[[#This Row],[Material]],3)="Ore",1,0))</f>
        <v/>
      </c>
      <c r="N3381" s="59">
        <f>IF(OR(tblMovement[[#This Row],[Tonnes_t]]="",tblMovement[[#This Row],[Grade_gpt]]=""),0,tblMovement[[#This Row],[Tonnes_t]]*tblMovement[[#This Row],[Grade_gpt]]/cfg_TroyOz)</f>
        <v/>
      </c>
      <c r="O3381" s="59">
        <f>IF(tblMovement[[#This Row],[Is_Ore]]=1,tblMovement[[#This Row],[Contained_oz]],0)</f>
        <v/>
      </c>
    </row>
    <row r="3382">
      <c r="A3382" s="54" t="n"/>
      <c r="B3382" s="61" t="n"/>
      <c r="C3382" s="61" t="n"/>
      <c r="D3382" s="61" t="n"/>
      <c r="E3382" s="61" t="n"/>
      <c r="F3382" s="55" t="n"/>
      <c r="G3382" s="56" t="n"/>
      <c r="H3382" s="55" t="n"/>
      <c r="I3382" s="62" t="n"/>
      <c r="J3382" s="58" t="n"/>
      <c r="K3382" s="63">
        <f>IF(tblMovement[[#This Row],[Source]]="","",IFERROR(INDEX(tblSources[Type],MATCH(tblMovement[[#This Row],[Source]],tblSources[Source],0)),"?"))</f>
        <v/>
      </c>
      <c r="L3382" s="63">
        <f>IF(tblMovement[[#This Row],[Destination]]="","",IFERROR(INDEX(tblDestinations[Type],MATCH(tblMovement[[#This Row],[Destination]],tblDestinations[Destination],0)),"?"))</f>
        <v/>
      </c>
      <c r="M3382" s="64">
        <f>IF(tblMovement[[#This Row],[Material]]="","",IF(LEFT(tblMovement[[#This Row],[Material]],3)="Ore",1,0))</f>
        <v/>
      </c>
      <c r="N3382" s="59">
        <f>IF(OR(tblMovement[[#This Row],[Tonnes_t]]="",tblMovement[[#This Row],[Grade_gpt]]=""),0,tblMovement[[#This Row],[Tonnes_t]]*tblMovement[[#This Row],[Grade_gpt]]/cfg_TroyOz)</f>
        <v/>
      </c>
      <c r="O3382" s="59">
        <f>IF(tblMovement[[#This Row],[Is_Ore]]=1,tblMovement[[#This Row],[Contained_oz]],0)</f>
        <v/>
      </c>
    </row>
    <row r="3383">
      <c r="A3383" s="54" t="n"/>
      <c r="B3383" s="61" t="n"/>
      <c r="C3383" s="61" t="n"/>
      <c r="D3383" s="61" t="n"/>
      <c r="E3383" s="61" t="n"/>
      <c r="F3383" s="55" t="n"/>
      <c r="G3383" s="56" t="n"/>
      <c r="H3383" s="55" t="n"/>
      <c r="I3383" s="62" t="n"/>
      <c r="J3383" s="58" t="n"/>
      <c r="K3383" s="63">
        <f>IF(tblMovement[[#This Row],[Source]]="","",IFERROR(INDEX(tblSources[Type],MATCH(tblMovement[[#This Row],[Source]],tblSources[Source],0)),"?"))</f>
        <v/>
      </c>
      <c r="L3383" s="63">
        <f>IF(tblMovement[[#This Row],[Destination]]="","",IFERROR(INDEX(tblDestinations[Type],MATCH(tblMovement[[#This Row],[Destination]],tblDestinations[Destination],0)),"?"))</f>
        <v/>
      </c>
      <c r="M3383" s="64">
        <f>IF(tblMovement[[#This Row],[Material]]="","",IF(LEFT(tblMovement[[#This Row],[Material]],3)="Ore",1,0))</f>
        <v/>
      </c>
      <c r="N3383" s="59">
        <f>IF(OR(tblMovement[[#This Row],[Tonnes_t]]="",tblMovement[[#This Row],[Grade_gpt]]=""),0,tblMovement[[#This Row],[Tonnes_t]]*tblMovement[[#This Row],[Grade_gpt]]/cfg_TroyOz)</f>
        <v/>
      </c>
      <c r="O3383" s="59">
        <f>IF(tblMovement[[#This Row],[Is_Ore]]=1,tblMovement[[#This Row],[Contained_oz]],0)</f>
        <v/>
      </c>
    </row>
    <row r="3384">
      <c r="A3384" s="54" t="n"/>
      <c r="B3384" s="61" t="n"/>
      <c r="C3384" s="61" t="n"/>
      <c r="D3384" s="61" t="n"/>
      <c r="E3384" s="61" t="n"/>
      <c r="F3384" s="55" t="n"/>
      <c r="G3384" s="56" t="n"/>
      <c r="H3384" s="55" t="n"/>
      <c r="I3384" s="62" t="n"/>
      <c r="J3384" s="58" t="n"/>
      <c r="K3384" s="63">
        <f>IF(tblMovement[[#This Row],[Source]]="","",IFERROR(INDEX(tblSources[Type],MATCH(tblMovement[[#This Row],[Source]],tblSources[Source],0)),"?"))</f>
        <v/>
      </c>
      <c r="L3384" s="63">
        <f>IF(tblMovement[[#This Row],[Destination]]="","",IFERROR(INDEX(tblDestinations[Type],MATCH(tblMovement[[#This Row],[Destination]],tblDestinations[Destination],0)),"?"))</f>
        <v/>
      </c>
      <c r="M3384" s="64">
        <f>IF(tblMovement[[#This Row],[Material]]="","",IF(LEFT(tblMovement[[#This Row],[Material]],3)="Ore",1,0))</f>
        <v/>
      </c>
      <c r="N3384" s="59">
        <f>IF(OR(tblMovement[[#This Row],[Tonnes_t]]="",tblMovement[[#This Row],[Grade_gpt]]=""),0,tblMovement[[#This Row],[Tonnes_t]]*tblMovement[[#This Row],[Grade_gpt]]/cfg_TroyOz)</f>
        <v/>
      </c>
      <c r="O3384" s="59">
        <f>IF(tblMovement[[#This Row],[Is_Ore]]=1,tblMovement[[#This Row],[Contained_oz]],0)</f>
        <v/>
      </c>
    </row>
    <row r="3385">
      <c r="A3385" s="54" t="n"/>
      <c r="B3385" s="61" t="n"/>
      <c r="C3385" s="61" t="n"/>
      <c r="D3385" s="61" t="n"/>
      <c r="E3385" s="61" t="n"/>
      <c r="F3385" s="55" t="n"/>
      <c r="G3385" s="56" t="n"/>
      <c r="H3385" s="55" t="n"/>
      <c r="I3385" s="62" t="n"/>
      <c r="J3385" s="58" t="n"/>
      <c r="K3385" s="63">
        <f>IF(tblMovement[[#This Row],[Source]]="","",IFERROR(INDEX(tblSources[Type],MATCH(tblMovement[[#This Row],[Source]],tblSources[Source],0)),"?"))</f>
        <v/>
      </c>
      <c r="L3385" s="63">
        <f>IF(tblMovement[[#This Row],[Destination]]="","",IFERROR(INDEX(tblDestinations[Type],MATCH(tblMovement[[#This Row],[Destination]],tblDestinations[Destination],0)),"?"))</f>
        <v/>
      </c>
      <c r="M3385" s="64">
        <f>IF(tblMovement[[#This Row],[Material]]="","",IF(LEFT(tblMovement[[#This Row],[Material]],3)="Ore",1,0))</f>
        <v/>
      </c>
      <c r="N3385" s="59">
        <f>IF(OR(tblMovement[[#This Row],[Tonnes_t]]="",tblMovement[[#This Row],[Grade_gpt]]=""),0,tblMovement[[#This Row],[Tonnes_t]]*tblMovement[[#This Row],[Grade_gpt]]/cfg_TroyOz)</f>
        <v/>
      </c>
      <c r="O3385" s="59">
        <f>IF(tblMovement[[#This Row],[Is_Ore]]=1,tblMovement[[#This Row],[Contained_oz]],0)</f>
        <v/>
      </c>
    </row>
    <row r="3386">
      <c r="A3386" s="54" t="n"/>
      <c r="B3386" s="61" t="n"/>
      <c r="C3386" s="61" t="n"/>
      <c r="D3386" s="61" t="n"/>
      <c r="E3386" s="61" t="n"/>
      <c r="F3386" s="55" t="n"/>
      <c r="G3386" s="56" t="n"/>
      <c r="H3386" s="55" t="n"/>
      <c r="I3386" s="62" t="n"/>
      <c r="J3386" s="58" t="n"/>
      <c r="K3386" s="63">
        <f>IF(tblMovement[[#This Row],[Source]]="","",IFERROR(INDEX(tblSources[Type],MATCH(tblMovement[[#This Row],[Source]],tblSources[Source],0)),"?"))</f>
        <v/>
      </c>
      <c r="L3386" s="63">
        <f>IF(tblMovement[[#This Row],[Destination]]="","",IFERROR(INDEX(tblDestinations[Type],MATCH(tblMovement[[#This Row],[Destination]],tblDestinations[Destination],0)),"?"))</f>
        <v/>
      </c>
      <c r="M3386" s="64">
        <f>IF(tblMovement[[#This Row],[Material]]="","",IF(LEFT(tblMovement[[#This Row],[Material]],3)="Ore",1,0))</f>
        <v/>
      </c>
      <c r="N3386" s="59">
        <f>IF(OR(tblMovement[[#This Row],[Tonnes_t]]="",tblMovement[[#This Row],[Grade_gpt]]=""),0,tblMovement[[#This Row],[Tonnes_t]]*tblMovement[[#This Row],[Grade_gpt]]/cfg_TroyOz)</f>
        <v/>
      </c>
      <c r="O3386" s="59">
        <f>IF(tblMovement[[#This Row],[Is_Ore]]=1,tblMovement[[#This Row],[Contained_oz]],0)</f>
        <v/>
      </c>
    </row>
    <row r="3387">
      <c r="A3387" s="54" t="n"/>
      <c r="B3387" s="61" t="n"/>
      <c r="C3387" s="61" t="n"/>
      <c r="D3387" s="61" t="n"/>
      <c r="E3387" s="61" t="n"/>
      <c r="F3387" s="55" t="n"/>
      <c r="G3387" s="56" t="n"/>
      <c r="H3387" s="55" t="n"/>
      <c r="I3387" s="62" t="n"/>
      <c r="J3387" s="58" t="n"/>
      <c r="K3387" s="63">
        <f>IF(tblMovement[[#This Row],[Source]]="","",IFERROR(INDEX(tblSources[Type],MATCH(tblMovement[[#This Row],[Source]],tblSources[Source],0)),"?"))</f>
        <v/>
      </c>
      <c r="L3387" s="63">
        <f>IF(tblMovement[[#This Row],[Destination]]="","",IFERROR(INDEX(tblDestinations[Type],MATCH(tblMovement[[#This Row],[Destination]],tblDestinations[Destination],0)),"?"))</f>
        <v/>
      </c>
      <c r="M3387" s="64">
        <f>IF(tblMovement[[#This Row],[Material]]="","",IF(LEFT(tblMovement[[#This Row],[Material]],3)="Ore",1,0))</f>
        <v/>
      </c>
      <c r="N3387" s="59">
        <f>IF(OR(tblMovement[[#This Row],[Tonnes_t]]="",tblMovement[[#This Row],[Grade_gpt]]=""),0,tblMovement[[#This Row],[Tonnes_t]]*tblMovement[[#This Row],[Grade_gpt]]/cfg_TroyOz)</f>
        <v/>
      </c>
      <c r="O3387" s="59">
        <f>IF(tblMovement[[#This Row],[Is_Ore]]=1,tblMovement[[#This Row],[Contained_oz]],0)</f>
        <v/>
      </c>
    </row>
    <row r="3388">
      <c r="A3388" s="54" t="n"/>
      <c r="B3388" s="61" t="n"/>
      <c r="C3388" s="61" t="n"/>
      <c r="D3388" s="61" t="n"/>
      <c r="E3388" s="61" t="n"/>
      <c r="F3388" s="55" t="n"/>
      <c r="G3388" s="56" t="n"/>
      <c r="H3388" s="55" t="n"/>
      <c r="I3388" s="62" t="n"/>
      <c r="J3388" s="58" t="n"/>
      <c r="K3388" s="63">
        <f>IF(tblMovement[[#This Row],[Source]]="","",IFERROR(INDEX(tblSources[Type],MATCH(tblMovement[[#This Row],[Source]],tblSources[Source],0)),"?"))</f>
        <v/>
      </c>
      <c r="L3388" s="63">
        <f>IF(tblMovement[[#This Row],[Destination]]="","",IFERROR(INDEX(tblDestinations[Type],MATCH(tblMovement[[#This Row],[Destination]],tblDestinations[Destination],0)),"?"))</f>
        <v/>
      </c>
      <c r="M3388" s="64">
        <f>IF(tblMovement[[#This Row],[Material]]="","",IF(LEFT(tblMovement[[#This Row],[Material]],3)="Ore",1,0))</f>
        <v/>
      </c>
      <c r="N3388" s="59">
        <f>IF(OR(tblMovement[[#This Row],[Tonnes_t]]="",tblMovement[[#This Row],[Grade_gpt]]=""),0,tblMovement[[#This Row],[Tonnes_t]]*tblMovement[[#This Row],[Grade_gpt]]/cfg_TroyOz)</f>
        <v/>
      </c>
      <c r="O3388" s="59">
        <f>IF(tblMovement[[#This Row],[Is_Ore]]=1,tblMovement[[#This Row],[Contained_oz]],0)</f>
        <v/>
      </c>
    </row>
    <row r="3389">
      <c r="A3389" s="54" t="n"/>
      <c r="B3389" s="61" t="n"/>
      <c r="C3389" s="61" t="n"/>
      <c r="D3389" s="61" t="n"/>
      <c r="E3389" s="61" t="n"/>
      <c r="F3389" s="55" t="n"/>
      <c r="G3389" s="56" t="n"/>
      <c r="H3389" s="55" t="n"/>
      <c r="I3389" s="62" t="n"/>
      <c r="J3389" s="58" t="n"/>
      <c r="K3389" s="63">
        <f>IF(tblMovement[[#This Row],[Source]]="","",IFERROR(INDEX(tblSources[Type],MATCH(tblMovement[[#This Row],[Source]],tblSources[Source],0)),"?"))</f>
        <v/>
      </c>
      <c r="L3389" s="63">
        <f>IF(tblMovement[[#This Row],[Destination]]="","",IFERROR(INDEX(tblDestinations[Type],MATCH(tblMovement[[#This Row],[Destination]],tblDestinations[Destination],0)),"?"))</f>
        <v/>
      </c>
      <c r="M3389" s="64">
        <f>IF(tblMovement[[#This Row],[Material]]="","",IF(LEFT(tblMovement[[#This Row],[Material]],3)="Ore",1,0))</f>
        <v/>
      </c>
      <c r="N3389" s="59">
        <f>IF(OR(tblMovement[[#This Row],[Tonnes_t]]="",tblMovement[[#This Row],[Grade_gpt]]=""),0,tblMovement[[#This Row],[Tonnes_t]]*tblMovement[[#This Row],[Grade_gpt]]/cfg_TroyOz)</f>
        <v/>
      </c>
      <c r="O3389" s="59">
        <f>IF(tblMovement[[#This Row],[Is_Ore]]=1,tblMovement[[#This Row],[Contained_oz]],0)</f>
        <v/>
      </c>
    </row>
    <row r="3390">
      <c r="A3390" s="54" t="n"/>
      <c r="B3390" s="61" t="n"/>
      <c r="C3390" s="61" t="n"/>
      <c r="D3390" s="61" t="n"/>
      <c r="E3390" s="61" t="n"/>
      <c r="F3390" s="55" t="n"/>
      <c r="G3390" s="56" t="n"/>
      <c r="H3390" s="55" t="n"/>
      <c r="I3390" s="62" t="n"/>
      <c r="J3390" s="58" t="n"/>
      <c r="K3390" s="63">
        <f>IF(tblMovement[[#This Row],[Source]]="","",IFERROR(INDEX(tblSources[Type],MATCH(tblMovement[[#This Row],[Source]],tblSources[Source],0)),"?"))</f>
        <v/>
      </c>
      <c r="L3390" s="63">
        <f>IF(tblMovement[[#This Row],[Destination]]="","",IFERROR(INDEX(tblDestinations[Type],MATCH(tblMovement[[#This Row],[Destination]],tblDestinations[Destination],0)),"?"))</f>
        <v/>
      </c>
      <c r="M3390" s="64">
        <f>IF(tblMovement[[#This Row],[Material]]="","",IF(LEFT(tblMovement[[#This Row],[Material]],3)="Ore",1,0))</f>
        <v/>
      </c>
      <c r="N3390" s="59">
        <f>IF(OR(tblMovement[[#This Row],[Tonnes_t]]="",tblMovement[[#This Row],[Grade_gpt]]=""),0,tblMovement[[#This Row],[Tonnes_t]]*tblMovement[[#This Row],[Grade_gpt]]/cfg_TroyOz)</f>
        <v/>
      </c>
      <c r="O3390" s="59">
        <f>IF(tblMovement[[#This Row],[Is_Ore]]=1,tblMovement[[#This Row],[Contained_oz]],0)</f>
        <v/>
      </c>
    </row>
    <row r="3391">
      <c r="A3391" s="54" t="n"/>
      <c r="B3391" s="61" t="n"/>
      <c r="C3391" s="61" t="n"/>
      <c r="D3391" s="61" t="n"/>
      <c r="E3391" s="61" t="n"/>
      <c r="F3391" s="55" t="n"/>
      <c r="G3391" s="56" t="n"/>
      <c r="H3391" s="55" t="n"/>
      <c r="I3391" s="62" t="n"/>
      <c r="J3391" s="58" t="n"/>
      <c r="K3391" s="63">
        <f>IF(tblMovement[[#This Row],[Source]]="","",IFERROR(INDEX(tblSources[Type],MATCH(tblMovement[[#This Row],[Source]],tblSources[Source],0)),"?"))</f>
        <v/>
      </c>
      <c r="L3391" s="63">
        <f>IF(tblMovement[[#This Row],[Destination]]="","",IFERROR(INDEX(tblDestinations[Type],MATCH(tblMovement[[#This Row],[Destination]],tblDestinations[Destination],0)),"?"))</f>
        <v/>
      </c>
      <c r="M3391" s="64">
        <f>IF(tblMovement[[#This Row],[Material]]="","",IF(LEFT(tblMovement[[#This Row],[Material]],3)="Ore",1,0))</f>
        <v/>
      </c>
      <c r="N3391" s="59">
        <f>IF(OR(tblMovement[[#This Row],[Tonnes_t]]="",tblMovement[[#This Row],[Grade_gpt]]=""),0,tblMovement[[#This Row],[Tonnes_t]]*tblMovement[[#This Row],[Grade_gpt]]/cfg_TroyOz)</f>
        <v/>
      </c>
      <c r="O3391" s="59">
        <f>IF(tblMovement[[#This Row],[Is_Ore]]=1,tblMovement[[#This Row],[Contained_oz]],0)</f>
        <v/>
      </c>
    </row>
    <row r="3392">
      <c r="A3392" s="54" t="n"/>
      <c r="B3392" s="61" t="n"/>
      <c r="C3392" s="61" t="n"/>
      <c r="D3392" s="61" t="n"/>
      <c r="E3392" s="61" t="n"/>
      <c r="F3392" s="55" t="n"/>
      <c r="G3392" s="56" t="n"/>
      <c r="H3392" s="55" t="n"/>
      <c r="I3392" s="62" t="n"/>
      <c r="J3392" s="58" t="n"/>
      <c r="K3392" s="63">
        <f>IF(tblMovement[[#This Row],[Source]]="","",IFERROR(INDEX(tblSources[Type],MATCH(tblMovement[[#This Row],[Source]],tblSources[Source],0)),"?"))</f>
        <v/>
      </c>
      <c r="L3392" s="63">
        <f>IF(tblMovement[[#This Row],[Destination]]="","",IFERROR(INDEX(tblDestinations[Type],MATCH(tblMovement[[#This Row],[Destination]],tblDestinations[Destination],0)),"?"))</f>
        <v/>
      </c>
      <c r="M3392" s="64">
        <f>IF(tblMovement[[#This Row],[Material]]="","",IF(LEFT(tblMovement[[#This Row],[Material]],3)="Ore",1,0))</f>
        <v/>
      </c>
      <c r="N3392" s="59">
        <f>IF(OR(tblMovement[[#This Row],[Tonnes_t]]="",tblMovement[[#This Row],[Grade_gpt]]=""),0,tblMovement[[#This Row],[Tonnes_t]]*tblMovement[[#This Row],[Grade_gpt]]/cfg_TroyOz)</f>
        <v/>
      </c>
      <c r="O3392" s="59">
        <f>IF(tblMovement[[#This Row],[Is_Ore]]=1,tblMovement[[#This Row],[Contained_oz]],0)</f>
        <v/>
      </c>
    </row>
    <row r="3393">
      <c r="A3393" s="54" t="n"/>
      <c r="B3393" s="61" t="n"/>
      <c r="C3393" s="61" t="n"/>
      <c r="D3393" s="61" t="n"/>
      <c r="E3393" s="61" t="n"/>
      <c r="F3393" s="55" t="n"/>
      <c r="G3393" s="56" t="n"/>
      <c r="H3393" s="55" t="n"/>
      <c r="I3393" s="62" t="n"/>
      <c r="J3393" s="58" t="n"/>
      <c r="K3393" s="63">
        <f>IF(tblMovement[[#This Row],[Source]]="","",IFERROR(INDEX(tblSources[Type],MATCH(tblMovement[[#This Row],[Source]],tblSources[Source],0)),"?"))</f>
        <v/>
      </c>
      <c r="L3393" s="63">
        <f>IF(tblMovement[[#This Row],[Destination]]="","",IFERROR(INDEX(tblDestinations[Type],MATCH(tblMovement[[#This Row],[Destination]],tblDestinations[Destination],0)),"?"))</f>
        <v/>
      </c>
      <c r="M3393" s="64">
        <f>IF(tblMovement[[#This Row],[Material]]="","",IF(LEFT(tblMovement[[#This Row],[Material]],3)="Ore",1,0))</f>
        <v/>
      </c>
      <c r="N3393" s="59">
        <f>IF(OR(tblMovement[[#This Row],[Tonnes_t]]="",tblMovement[[#This Row],[Grade_gpt]]=""),0,tblMovement[[#This Row],[Tonnes_t]]*tblMovement[[#This Row],[Grade_gpt]]/cfg_TroyOz)</f>
        <v/>
      </c>
      <c r="O3393" s="59">
        <f>IF(tblMovement[[#This Row],[Is_Ore]]=1,tblMovement[[#This Row],[Contained_oz]],0)</f>
        <v/>
      </c>
    </row>
    <row r="3394">
      <c r="A3394" s="54" t="n"/>
      <c r="B3394" s="61" t="n"/>
      <c r="C3394" s="61" t="n"/>
      <c r="D3394" s="61" t="n"/>
      <c r="E3394" s="61" t="n"/>
      <c r="F3394" s="55" t="n"/>
      <c r="G3394" s="56" t="n"/>
      <c r="H3394" s="55" t="n"/>
      <c r="I3394" s="62" t="n"/>
      <c r="J3394" s="58" t="n"/>
      <c r="K3394" s="63">
        <f>IF(tblMovement[[#This Row],[Source]]="","",IFERROR(INDEX(tblSources[Type],MATCH(tblMovement[[#This Row],[Source]],tblSources[Source],0)),"?"))</f>
        <v/>
      </c>
      <c r="L3394" s="63">
        <f>IF(tblMovement[[#This Row],[Destination]]="","",IFERROR(INDEX(tblDestinations[Type],MATCH(tblMovement[[#This Row],[Destination]],tblDestinations[Destination],0)),"?"))</f>
        <v/>
      </c>
      <c r="M3394" s="64">
        <f>IF(tblMovement[[#This Row],[Material]]="","",IF(LEFT(tblMovement[[#This Row],[Material]],3)="Ore",1,0))</f>
        <v/>
      </c>
      <c r="N3394" s="59">
        <f>IF(OR(tblMovement[[#This Row],[Tonnes_t]]="",tblMovement[[#This Row],[Grade_gpt]]=""),0,tblMovement[[#This Row],[Tonnes_t]]*tblMovement[[#This Row],[Grade_gpt]]/cfg_TroyOz)</f>
        <v/>
      </c>
      <c r="O3394" s="59">
        <f>IF(tblMovement[[#This Row],[Is_Ore]]=1,tblMovement[[#This Row],[Contained_oz]],0)</f>
        <v/>
      </c>
    </row>
    <row r="3395">
      <c r="A3395" s="54" t="n"/>
      <c r="B3395" s="61" t="n"/>
      <c r="C3395" s="61" t="n"/>
      <c r="D3395" s="61" t="n"/>
      <c r="E3395" s="61" t="n"/>
      <c r="F3395" s="55" t="n"/>
      <c r="G3395" s="56" t="n"/>
      <c r="H3395" s="55" t="n"/>
      <c r="I3395" s="62" t="n"/>
      <c r="J3395" s="58" t="n"/>
      <c r="K3395" s="63">
        <f>IF(tblMovement[[#This Row],[Source]]="","",IFERROR(INDEX(tblSources[Type],MATCH(tblMovement[[#This Row],[Source]],tblSources[Source],0)),"?"))</f>
        <v/>
      </c>
      <c r="L3395" s="63">
        <f>IF(tblMovement[[#This Row],[Destination]]="","",IFERROR(INDEX(tblDestinations[Type],MATCH(tblMovement[[#This Row],[Destination]],tblDestinations[Destination],0)),"?"))</f>
        <v/>
      </c>
      <c r="M3395" s="64">
        <f>IF(tblMovement[[#This Row],[Material]]="","",IF(LEFT(tblMovement[[#This Row],[Material]],3)="Ore",1,0))</f>
        <v/>
      </c>
      <c r="N3395" s="59">
        <f>IF(OR(tblMovement[[#This Row],[Tonnes_t]]="",tblMovement[[#This Row],[Grade_gpt]]=""),0,tblMovement[[#This Row],[Tonnes_t]]*tblMovement[[#This Row],[Grade_gpt]]/cfg_TroyOz)</f>
        <v/>
      </c>
      <c r="O3395" s="59">
        <f>IF(tblMovement[[#This Row],[Is_Ore]]=1,tblMovement[[#This Row],[Contained_oz]],0)</f>
        <v/>
      </c>
    </row>
    <row r="3396">
      <c r="A3396" s="54" t="n"/>
      <c r="B3396" s="61" t="n"/>
      <c r="C3396" s="61" t="n"/>
      <c r="D3396" s="61" t="n"/>
      <c r="E3396" s="61" t="n"/>
      <c r="F3396" s="55" t="n"/>
      <c r="G3396" s="56" t="n"/>
      <c r="H3396" s="55" t="n"/>
      <c r="I3396" s="62" t="n"/>
      <c r="J3396" s="58" t="n"/>
      <c r="K3396" s="63">
        <f>IF(tblMovement[[#This Row],[Source]]="","",IFERROR(INDEX(tblSources[Type],MATCH(tblMovement[[#This Row],[Source]],tblSources[Source],0)),"?"))</f>
        <v/>
      </c>
      <c r="L3396" s="63">
        <f>IF(tblMovement[[#This Row],[Destination]]="","",IFERROR(INDEX(tblDestinations[Type],MATCH(tblMovement[[#This Row],[Destination]],tblDestinations[Destination],0)),"?"))</f>
        <v/>
      </c>
      <c r="M3396" s="64">
        <f>IF(tblMovement[[#This Row],[Material]]="","",IF(LEFT(tblMovement[[#This Row],[Material]],3)="Ore",1,0))</f>
        <v/>
      </c>
      <c r="N3396" s="59">
        <f>IF(OR(tblMovement[[#This Row],[Tonnes_t]]="",tblMovement[[#This Row],[Grade_gpt]]=""),0,tblMovement[[#This Row],[Tonnes_t]]*tblMovement[[#This Row],[Grade_gpt]]/cfg_TroyOz)</f>
        <v/>
      </c>
      <c r="O3396" s="59">
        <f>IF(tblMovement[[#This Row],[Is_Ore]]=1,tblMovement[[#This Row],[Contained_oz]],0)</f>
        <v/>
      </c>
    </row>
    <row r="3397">
      <c r="A3397" s="54" t="n"/>
      <c r="B3397" s="61" t="n"/>
      <c r="C3397" s="61" t="n"/>
      <c r="D3397" s="61" t="n"/>
      <c r="E3397" s="61" t="n"/>
      <c r="F3397" s="55" t="n"/>
      <c r="G3397" s="56" t="n"/>
      <c r="H3397" s="55" t="n"/>
      <c r="I3397" s="62" t="n"/>
      <c r="J3397" s="58" t="n"/>
      <c r="K3397" s="63">
        <f>IF(tblMovement[[#This Row],[Source]]="","",IFERROR(INDEX(tblSources[Type],MATCH(tblMovement[[#This Row],[Source]],tblSources[Source],0)),"?"))</f>
        <v/>
      </c>
      <c r="L3397" s="63">
        <f>IF(tblMovement[[#This Row],[Destination]]="","",IFERROR(INDEX(tblDestinations[Type],MATCH(tblMovement[[#This Row],[Destination]],tblDestinations[Destination],0)),"?"))</f>
        <v/>
      </c>
      <c r="M3397" s="64">
        <f>IF(tblMovement[[#This Row],[Material]]="","",IF(LEFT(tblMovement[[#This Row],[Material]],3)="Ore",1,0))</f>
        <v/>
      </c>
      <c r="N3397" s="59">
        <f>IF(OR(tblMovement[[#This Row],[Tonnes_t]]="",tblMovement[[#This Row],[Grade_gpt]]=""),0,tblMovement[[#This Row],[Tonnes_t]]*tblMovement[[#This Row],[Grade_gpt]]/cfg_TroyOz)</f>
        <v/>
      </c>
      <c r="O3397" s="59">
        <f>IF(tblMovement[[#This Row],[Is_Ore]]=1,tblMovement[[#This Row],[Contained_oz]],0)</f>
        <v/>
      </c>
    </row>
    <row r="3398">
      <c r="A3398" s="54" t="n"/>
      <c r="B3398" s="61" t="n"/>
      <c r="C3398" s="61" t="n"/>
      <c r="D3398" s="61" t="n"/>
      <c r="E3398" s="61" t="n"/>
      <c r="F3398" s="55" t="n"/>
      <c r="G3398" s="56" t="n"/>
      <c r="H3398" s="55" t="n"/>
      <c r="I3398" s="62" t="n"/>
      <c r="J3398" s="58" t="n"/>
      <c r="K3398" s="63">
        <f>IF(tblMovement[[#This Row],[Source]]="","",IFERROR(INDEX(tblSources[Type],MATCH(tblMovement[[#This Row],[Source]],tblSources[Source],0)),"?"))</f>
        <v/>
      </c>
      <c r="L3398" s="63">
        <f>IF(tblMovement[[#This Row],[Destination]]="","",IFERROR(INDEX(tblDestinations[Type],MATCH(tblMovement[[#This Row],[Destination]],tblDestinations[Destination],0)),"?"))</f>
        <v/>
      </c>
      <c r="M3398" s="64">
        <f>IF(tblMovement[[#This Row],[Material]]="","",IF(LEFT(tblMovement[[#This Row],[Material]],3)="Ore",1,0))</f>
        <v/>
      </c>
      <c r="N3398" s="59">
        <f>IF(OR(tblMovement[[#This Row],[Tonnes_t]]="",tblMovement[[#This Row],[Grade_gpt]]=""),0,tblMovement[[#This Row],[Tonnes_t]]*tblMovement[[#This Row],[Grade_gpt]]/cfg_TroyOz)</f>
        <v/>
      </c>
      <c r="O3398" s="59">
        <f>IF(tblMovement[[#This Row],[Is_Ore]]=1,tblMovement[[#This Row],[Contained_oz]],0)</f>
        <v/>
      </c>
    </row>
    <row r="3399">
      <c r="A3399" s="54" t="n"/>
      <c r="B3399" s="61" t="n"/>
      <c r="C3399" s="61" t="n"/>
      <c r="D3399" s="61" t="n"/>
      <c r="E3399" s="61" t="n"/>
      <c r="F3399" s="55" t="n"/>
      <c r="G3399" s="56" t="n"/>
      <c r="H3399" s="55" t="n"/>
      <c r="I3399" s="62" t="n"/>
      <c r="J3399" s="58" t="n"/>
      <c r="K3399" s="63">
        <f>IF(tblMovement[[#This Row],[Source]]="","",IFERROR(INDEX(tblSources[Type],MATCH(tblMovement[[#This Row],[Source]],tblSources[Source],0)),"?"))</f>
        <v/>
      </c>
      <c r="L3399" s="63">
        <f>IF(tblMovement[[#This Row],[Destination]]="","",IFERROR(INDEX(tblDestinations[Type],MATCH(tblMovement[[#This Row],[Destination]],tblDestinations[Destination],0)),"?"))</f>
        <v/>
      </c>
      <c r="M3399" s="64">
        <f>IF(tblMovement[[#This Row],[Material]]="","",IF(LEFT(tblMovement[[#This Row],[Material]],3)="Ore",1,0))</f>
        <v/>
      </c>
      <c r="N3399" s="59">
        <f>IF(OR(tblMovement[[#This Row],[Tonnes_t]]="",tblMovement[[#This Row],[Grade_gpt]]=""),0,tblMovement[[#This Row],[Tonnes_t]]*tblMovement[[#This Row],[Grade_gpt]]/cfg_TroyOz)</f>
        <v/>
      </c>
      <c r="O3399" s="59">
        <f>IF(tblMovement[[#This Row],[Is_Ore]]=1,tblMovement[[#This Row],[Contained_oz]],0)</f>
        <v/>
      </c>
    </row>
    <row r="3400">
      <c r="A3400" s="54" t="n"/>
      <c r="B3400" s="61" t="n"/>
      <c r="C3400" s="61" t="n"/>
      <c r="D3400" s="61" t="n"/>
      <c r="E3400" s="61" t="n"/>
      <c r="F3400" s="55" t="n"/>
      <c r="G3400" s="56" t="n"/>
      <c r="H3400" s="55" t="n"/>
      <c r="I3400" s="62" t="n"/>
      <c r="J3400" s="58" t="n"/>
      <c r="K3400" s="63">
        <f>IF(tblMovement[[#This Row],[Source]]="","",IFERROR(INDEX(tblSources[Type],MATCH(tblMovement[[#This Row],[Source]],tblSources[Source],0)),"?"))</f>
        <v/>
      </c>
      <c r="L3400" s="63">
        <f>IF(tblMovement[[#This Row],[Destination]]="","",IFERROR(INDEX(tblDestinations[Type],MATCH(tblMovement[[#This Row],[Destination]],tblDestinations[Destination],0)),"?"))</f>
        <v/>
      </c>
      <c r="M3400" s="64">
        <f>IF(tblMovement[[#This Row],[Material]]="","",IF(LEFT(tblMovement[[#This Row],[Material]],3)="Ore",1,0))</f>
        <v/>
      </c>
      <c r="N3400" s="59">
        <f>IF(OR(tblMovement[[#This Row],[Tonnes_t]]="",tblMovement[[#This Row],[Grade_gpt]]=""),0,tblMovement[[#This Row],[Tonnes_t]]*tblMovement[[#This Row],[Grade_gpt]]/cfg_TroyOz)</f>
        <v/>
      </c>
      <c r="O3400" s="59">
        <f>IF(tblMovement[[#This Row],[Is_Ore]]=1,tblMovement[[#This Row],[Contained_oz]],0)</f>
        <v/>
      </c>
    </row>
    <row r="3401">
      <c r="A3401" s="54" t="n"/>
      <c r="B3401" s="61" t="n"/>
      <c r="C3401" s="61" t="n"/>
      <c r="D3401" s="61" t="n"/>
      <c r="E3401" s="61" t="n"/>
      <c r="F3401" s="55" t="n"/>
      <c r="G3401" s="56" t="n"/>
      <c r="H3401" s="55" t="n"/>
      <c r="I3401" s="62" t="n"/>
      <c r="J3401" s="58" t="n"/>
      <c r="K3401" s="63">
        <f>IF(tblMovement[[#This Row],[Source]]="","",IFERROR(INDEX(tblSources[Type],MATCH(tblMovement[[#This Row],[Source]],tblSources[Source],0)),"?"))</f>
        <v/>
      </c>
      <c r="L3401" s="63">
        <f>IF(tblMovement[[#This Row],[Destination]]="","",IFERROR(INDEX(tblDestinations[Type],MATCH(tblMovement[[#This Row],[Destination]],tblDestinations[Destination],0)),"?"))</f>
        <v/>
      </c>
      <c r="M3401" s="64">
        <f>IF(tblMovement[[#This Row],[Material]]="","",IF(LEFT(tblMovement[[#This Row],[Material]],3)="Ore",1,0))</f>
        <v/>
      </c>
      <c r="N3401" s="59">
        <f>IF(OR(tblMovement[[#This Row],[Tonnes_t]]="",tblMovement[[#This Row],[Grade_gpt]]=""),0,tblMovement[[#This Row],[Tonnes_t]]*tblMovement[[#This Row],[Grade_gpt]]/cfg_TroyOz)</f>
        <v/>
      </c>
      <c r="O3401" s="59">
        <f>IF(tblMovement[[#This Row],[Is_Ore]]=1,tblMovement[[#This Row],[Contained_oz]],0)</f>
        <v/>
      </c>
    </row>
    <row r="3402">
      <c r="A3402" s="54" t="n"/>
      <c r="B3402" s="61" t="n"/>
      <c r="C3402" s="61" t="n"/>
      <c r="D3402" s="61" t="n"/>
      <c r="E3402" s="61" t="n"/>
      <c r="F3402" s="55" t="n"/>
      <c r="G3402" s="56" t="n"/>
      <c r="H3402" s="55" t="n"/>
      <c r="I3402" s="62" t="n"/>
      <c r="J3402" s="58" t="n"/>
      <c r="K3402" s="63">
        <f>IF(tblMovement[[#This Row],[Source]]="","",IFERROR(INDEX(tblSources[Type],MATCH(tblMovement[[#This Row],[Source]],tblSources[Source],0)),"?"))</f>
        <v/>
      </c>
      <c r="L3402" s="63">
        <f>IF(tblMovement[[#This Row],[Destination]]="","",IFERROR(INDEX(tblDestinations[Type],MATCH(tblMovement[[#This Row],[Destination]],tblDestinations[Destination],0)),"?"))</f>
        <v/>
      </c>
      <c r="M3402" s="64">
        <f>IF(tblMovement[[#This Row],[Material]]="","",IF(LEFT(tblMovement[[#This Row],[Material]],3)="Ore",1,0))</f>
        <v/>
      </c>
      <c r="N3402" s="59">
        <f>IF(OR(tblMovement[[#This Row],[Tonnes_t]]="",tblMovement[[#This Row],[Grade_gpt]]=""),0,tblMovement[[#This Row],[Tonnes_t]]*tblMovement[[#This Row],[Grade_gpt]]/cfg_TroyOz)</f>
        <v/>
      </c>
      <c r="O3402" s="59">
        <f>IF(tblMovement[[#This Row],[Is_Ore]]=1,tblMovement[[#This Row],[Contained_oz]],0)</f>
        <v/>
      </c>
    </row>
    <row r="3403">
      <c r="A3403" s="54" t="n"/>
      <c r="B3403" s="61" t="n"/>
      <c r="C3403" s="61" t="n"/>
      <c r="D3403" s="61" t="n"/>
      <c r="E3403" s="61" t="n"/>
      <c r="F3403" s="55" t="n"/>
      <c r="G3403" s="56" t="n"/>
      <c r="H3403" s="55" t="n"/>
      <c r="I3403" s="62" t="n"/>
      <c r="J3403" s="58" t="n"/>
      <c r="K3403" s="63">
        <f>IF(tblMovement[[#This Row],[Source]]="","",IFERROR(INDEX(tblSources[Type],MATCH(tblMovement[[#This Row],[Source]],tblSources[Source],0)),"?"))</f>
        <v/>
      </c>
      <c r="L3403" s="63">
        <f>IF(tblMovement[[#This Row],[Destination]]="","",IFERROR(INDEX(tblDestinations[Type],MATCH(tblMovement[[#This Row],[Destination]],tblDestinations[Destination],0)),"?"))</f>
        <v/>
      </c>
      <c r="M3403" s="64">
        <f>IF(tblMovement[[#This Row],[Material]]="","",IF(LEFT(tblMovement[[#This Row],[Material]],3)="Ore",1,0))</f>
        <v/>
      </c>
      <c r="N3403" s="59">
        <f>IF(OR(tblMovement[[#This Row],[Tonnes_t]]="",tblMovement[[#This Row],[Grade_gpt]]=""),0,tblMovement[[#This Row],[Tonnes_t]]*tblMovement[[#This Row],[Grade_gpt]]/cfg_TroyOz)</f>
        <v/>
      </c>
      <c r="O3403" s="59">
        <f>IF(tblMovement[[#This Row],[Is_Ore]]=1,tblMovement[[#This Row],[Contained_oz]],0)</f>
        <v/>
      </c>
    </row>
    <row r="3404">
      <c r="A3404" s="54" t="n"/>
      <c r="B3404" s="61" t="n"/>
      <c r="C3404" s="61" t="n"/>
      <c r="D3404" s="61" t="n"/>
      <c r="E3404" s="61" t="n"/>
      <c r="F3404" s="55" t="n"/>
      <c r="G3404" s="56" t="n"/>
      <c r="H3404" s="55" t="n"/>
      <c r="I3404" s="62" t="n"/>
      <c r="J3404" s="58" t="n"/>
      <c r="K3404" s="63">
        <f>IF(tblMovement[[#This Row],[Source]]="","",IFERROR(INDEX(tblSources[Type],MATCH(tblMovement[[#This Row],[Source]],tblSources[Source],0)),"?"))</f>
        <v/>
      </c>
      <c r="L3404" s="63">
        <f>IF(tblMovement[[#This Row],[Destination]]="","",IFERROR(INDEX(tblDestinations[Type],MATCH(tblMovement[[#This Row],[Destination]],tblDestinations[Destination],0)),"?"))</f>
        <v/>
      </c>
      <c r="M3404" s="64">
        <f>IF(tblMovement[[#This Row],[Material]]="","",IF(LEFT(tblMovement[[#This Row],[Material]],3)="Ore",1,0))</f>
        <v/>
      </c>
      <c r="N3404" s="59">
        <f>IF(OR(tblMovement[[#This Row],[Tonnes_t]]="",tblMovement[[#This Row],[Grade_gpt]]=""),0,tblMovement[[#This Row],[Tonnes_t]]*tblMovement[[#This Row],[Grade_gpt]]/cfg_TroyOz)</f>
        <v/>
      </c>
      <c r="O3404" s="59">
        <f>IF(tblMovement[[#This Row],[Is_Ore]]=1,tblMovement[[#This Row],[Contained_oz]],0)</f>
        <v/>
      </c>
    </row>
    <row r="3405">
      <c r="A3405" s="54" t="n"/>
      <c r="B3405" s="61" t="n"/>
      <c r="C3405" s="61" t="n"/>
      <c r="D3405" s="61" t="n"/>
      <c r="E3405" s="61" t="n"/>
      <c r="F3405" s="55" t="n"/>
      <c r="G3405" s="56" t="n"/>
      <c r="H3405" s="55" t="n"/>
      <c r="I3405" s="62" t="n"/>
      <c r="J3405" s="58" t="n"/>
      <c r="K3405" s="63">
        <f>IF(tblMovement[[#This Row],[Source]]="","",IFERROR(INDEX(tblSources[Type],MATCH(tblMovement[[#This Row],[Source]],tblSources[Source],0)),"?"))</f>
        <v/>
      </c>
      <c r="L3405" s="63">
        <f>IF(tblMovement[[#This Row],[Destination]]="","",IFERROR(INDEX(tblDestinations[Type],MATCH(tblMovement[[#This Row],[Destination]],tblDestinations[Destination],0)),"?"))</f>
        <v/>
      </c>
      <c r="M3405" s="64">
        <f>IF(tblMovement[[#This Row],[Material]]="","",IF(LEFT(tblMovement[[#This Row],[Material]],3)="Ore",1,0))</f>
        <v/>
      </c>
      <c r="N3405" s="59">
        <f>IF(OR(tblMovement[[#This Row],[Tonnes_t]]="",tblMovement[[#This Row],[Grade_gpt]]=""),0,tblMovement[[#This Row],[Tonnes_t]]*tblMovement[[#This Row],[Grade_gpt]]/cfg_TroyOz)</f>
        <v/>
      </c>
      <c r="O3405" s="59">
        <f>IF(tblMovement[[#This Row],[Is_Ore]]=1,tblMovement[[#This Row],[Contained_oz]],0)</f>
        <v/>
      </c>
    </row>
    <row r="3406">
      <c r="A3406" s="54" t="n"/>
      <c r="B3406" s="61" t="n"/>
      <c r="C3406" s="61" t="n"/>
      <c r="D3406" s="61" t="n"/>
      <c r="E3406" s="61" t="n"/>
      <c r="F3406" s="55" t="n"/>
      <c r="G3406" s="56" t="n"/>
      <c r="H3406" s="55" t="n"/>
      <c r="I3406" s="62" t="n"/>
      <c r="J3406" s="58" t="n"/>
      <c r="K3406" s="63">
        <f>IF(tblMovement[[#This Row],[Source]]="","",IFERROR(INDEX(tblSources[Type],MATCH(tblMovement[[#This Row],[Source]],tblSources[Source],0)),"?"))</f>
        <v/>
      </c>
      <c r="L3406" s="63">
        <f>IF(tblMovement[[#This Row],[Destination]]="","",IFERROR(INDEX(tblDestinations[Type],MATCH(tblMovement[[#This Row],[Destination]],tblDestinations[Destination],0)),"?"))</f>
        <v/>
      </c>
      <c r="M3406" s="64">
        <f>IF(tblMovement[[#This Row],[Material]]="","",IF(LEFT(tblMovement[[#This Row],[Material]],3)="Ore",1,0))</f>
        <v/>
      </c>
      <c r="N3406" s="59">
        <f>IF(OR(tblMovement[[#This Row],[Tonnes_t]]="",tblMovement[[#This Row],[Grade_gpt]]=""),0,tblMovement[[#This Row],[Tonnes_t]]*tblMovement[[#This Row],[Grade_gpt]]/cfg_TroyOz)</f>
        <v/>
      </c>
      <c r="O3406" s="59">
        <f>IF(tblMovement[[#This Row],[Is_Ore]]=1,tblMovement[[#This Row],[Contained_oz]],0)</f>
        <v/>
      </c>
    </row>
    <row r="3407">
      <c r="A3407" s="54" t="n"/>
      <c r="B3407" s="61" t="n"/>
      <c r="C3407" s="61" t="n"/>
      <c r="D3407" s="61" t="n"/>
      <c r="E3407" s="61" t="n"/>
      <c r="F3407" s="55" t="n"/>
      <c r="G3407" s="56" t="n"/>
      <c r="H3407" s="55" t="n"/>
      <c r="I3407" s="62" t="n"/>
      <c r="J3407" s="58" t="n"/>
      <c r="K3407" s="63">
        <f>IF(tblMovement[[#This Row],[Source]]="","",IFERROR(INDEX(tblSources[Type],MATCH(tblMovement[[#This Row],[Source]],tblSources[Source],0)),"?"))</f>
        <v/>
      </c>
      <c r="L3407" s="63">
        <f>IF(tblMovement[[#This Row],[Destination]]="","",IFERROR(INDEX(tblDestinations[Type],MATCH(tblMovement[[#This Row],[Destination]],tblDestinations[Destination],0)),"?"))</f>
        <v/>
      </c>
      <c r="M3407" s="64">
        <f>IF(tblMovement[[#This Row],[Material]]="","",IF(LEFT(tblMovement[[#This Row],[Material]],3)="Ore",1,0))</f>
        <v/>
      </c>
      <c r="N3407" s="59">
        <f>IF(OR(tblMovement[[#This Row],[Tonnes_t]]="",tblMovement[[#This Row],[Grade_gpt]]=""),0,tblMovement[[#This Row],[Tonnes_t]]*tblMovement[[#This Row],[Grade_gpt]]/cfg_TroyOz)</f>
        <v/>
      </c>
      <c r="O3407" s="59">
        <f>IF(tblMovement[[#This Row],[Is_Ore]]=1,tblMovement[[#This Row],[Contained_oz]],0)</f>
        <v/>
      </c>
    </row>
    <row r="3408">
      <c r="A3408" s="54" t="n"/>
      <c r="B3408" s="61" t="n"/>
      <c r="C3408" s="61" t="n"/>
      <c r="D3408" s="61" t="n"/>
      <c r="E3408" s="61" t="n"/>
      <c r="F3408" s="55" t="n"/>
      <c r="G3408" s="56" t="n"/>
      <c r="H3408" s="55" t="n"/>
      <c r="I3408" s="62" t="n"/>
      <c r="J3408" s="58" t="n"/>
      <c r="K3408" s="63">
        <f>IF(tblMovement[[#This Row],[Source]]="","",IFERROR(INDEX(tblSources[Type],MATCH(tblMovement[[#This Row],[Source]],tblSources[Source],0)),"?"))</f>
        <v/>
      </c>
      <c r="L3408" s="63">
        <f>IF(tblMovement[[#This Row],[Destination]]="","",IFERROR(INDEX(tblDestinations[Type],MATCH(tblMovement[[#This Row],[Destination]],tblDestinations[Destination],0)),"?"))</f>
        <v/>
      </c>
      <c r="M3408" s="64">
        <f>IF(tblMovement[[#This Row],[Material]]="","",IF(LEFT(tblMovement[[#This Row],[Material]],3)="Ore",1,0))</f>
        <v/>
      </c>
      <c r="N3408" s="59">
        <f>IF(OR(tblMovement[[#This Row],[Tonnes_t]]="",tblMovement[[#This Row],[Grade_gpt]]=""),0,tblMovement[[#This Row],[Tonnes_t]]*tblMovement[[#This Row],[Grade_gpt]]/cfg_TroyOz)</f>
        <v/>
      </c>
      <c r="O3408" s="59">
        <f>IF(tblMovement[[#This Row],[Is_Ore]]=1,tblMovement[[#This Row],[Contained_oz]],0)</f>
        <v/>
      </c>
    </row>
    <row r="3409">
      <c r="A3409" s="54" t="n"/>
      <c r="B3409" s="61" t="n"/>
      <c r="C3409" s="61" t="n"/>
      <c r="D3409" s="61" t="n"/>
      <c r="E3409" s="61" t="n"/>
      <c r="F3409" s="55" t="n"/>
      <c r="G3409" s="56" t="n"/>
      <c r="H3409" s="55" t="n"/>
      <c r="I3409" s="62" t="n"/>
      <c r="J3409" s="58" t="n"/>
      <c r="K3409" s="63">
        <f>IF(tblMovement[[#This Row],[Source]]="","",IFERROR(INDEX(tblSources[Type],MATCH(tblMovement[[#This Row],[Source]],tblSources[Source],0)),"?"))</f>
        <v/>
      </c>
      <c r="L3409" s="63">
        <f>IF(tblMovement[[#This Row],[Destination]]="","",IFERROR(INDEX(tblDestinations[Type],MATCH(tblMovement[[#This Row],[Destination]],tblDestinations[Destination],0)),"?"))</f>
        <v/>
      </c>
      <c r="M3409" s="64">
        <f>IF(tblMovement[[#This Row],[Material]]="","",IF(LEFT(tblMovement[[#This Row],[Material]],3)="Ore",1,0))</f>
        <v/>
      </c>
      <c r="N3409" s="59">
        <f>IF(OR(tblMovement[[#This Row],[Tonnes_t]]="",tblMovement[[#This Row],[Grade_gpt]]=""),0,tblMovement[[#This Row],[Tonnes_t]]*tblMovement[[#This Row],[Grade_gpt]]/cfg_TroyOz)</f>
        <v/>
      </c>
      <c r="O3409" s="59">
        <f>IF(tblMovement[[#This Row],[Is_Ore]]=1,tblMovement[[#This Row],[Contained_oz]],0)</f>
        <v/>
      </c>
    </row>
    <row r="3410">
      <c r="A3410" s="54" t="n"/>
      <c r="B3410" s="61" t="n"/>
      <c r="C3410" s="61" t="n"/>
      <c r="D3410" s="61" t="n"/>
      <c r="E3410" s="61" t="n"/>
      <c r="F3410" s="55" t="n"/>
      <c r="G3410" s="56" t="n"/>
      <c r="H3410" s="55" t="n"/>
      <c r="I3410" s="62" t="n"/>
      <c r="J3410" s="58" t="n"/>
      <c r="K3410" s="63">
        <f>IF(tblMovement[[#This Row],[Source]]="","",IFERROR(INDEX(tblSources[Type],MATCH(tblMovement[[#This Row],[Source]],tblSources[Source],0)),"?"))</f>
        <v/>
      </c>
      <c r="L3410" s="63">
        <f>IF(tblMovement[[#This Row],[Destination]]="","",IFERROR(INDEX(tblDestinations[Type],MATCH(tblMovement[[#This Row],[Destination]],tblDestinations[Destination],0)),"?"))</f>
        <v/>
      </c>
      <c r="M3410" s="64">
        <f>IF(tblMovement[[#This Row],[Material]]="","",IF(LEFT(tblMovement[[#This Row],[Material]],3)="Ore",1,0))</f>
        <v/>
      </c>
      <c r="N3410" s="59">
        <f>IF(OR(tblMovement[[#This Row],[Tonnes_t]]="",tblMovement[[#This Row],[Grade_gpt]]=""),0,tblMovement[[#This Row],[Tonnes_t]]*tblMovement[[#This Row],[Grade_gpt]]/cfg_TroyOz)</f>
        <v/>
      </c>
      <c r="O3410" s="59">
        <f>IF(tblMovement[[#This Row],[Is_Ore]]=1,tblMovement[[#This Row],[Contained_oz]],0)</f>
        <v/>
      </c>
    </row>
    <row r="3411">
      <c r="A3411" s="54" t="n"/>
      <c r="B3411" s="61" t="n"/>
      <c r="C3411" s="61" t="n"/>
      <c r="D3411" s="61" t="n"/>
      <c r="E3411" s="61" t="n"/>
      <c r="F3411" s="55" t="n"/>
      <c r="G3411" s="56" t="n"/>
      <c r="H3411" s="55" t="n"/>
      <c r="I3411" s="62" t="n"/>
      <c r="J3411" s="58" t="n"/>
      <c r="K3411" s="63">
        <f>IF(tblMovement[[#This Row],[Source]]="","",IFERROR(INDEX(tblSources[Type],MATCH(tblMovement[[#This Row],[Source]],tblSources[Source],0)),"?"))</f>
        <v/>
      </c>
      <c r="L3411" s="63">
        <f>IF(tblMovement[[#This Row],[Destination]]="","",IFERROR(INDEX(tblDestinations[Type],MATCH(tblMovement[[#This Row],[Destination]],tblDestinations[Destination],0)),"?"))</f>
        <v/>
      </c>
      <c r="M3411" s="64">
        <f>IF(tblMovement[[#This Row],[Material]]="","",IF(LEFT(tblMovement[[#This Row],[Material]],3)="Ore",1,0))</f>
        <v/>
      </c>
      <c r="N3411" s="59">
        <f>IF(OR(tblMovement[[#This Row],[Tonnes_t]]="",tblMovement[[#This Row],[Grade_gpt]]=""),0,tblMovement[[#This Row],[Tonnes_t]]*tblMovement[[#This Row],[Grade_gpt]]/cfg_TroyOz)</f>
        <v/>
      </c>
      <c r="O3411" s="59">
        <f>IF(tblMovement[[#This Row],[Is_Ore]]=1,tblMovement[[#This Row],[Contained_oz]],0)</f>
        <v/>
      </c>
    </row>
    <row r="3412">
      <c r="A3412" s="54" t="n"/>
      <c r="B3412" s="61" t="n"/>
      <c r="C3412" s="61" t="n"/>
      <c r="D3412" s="61" t="n"/>
      <c r="E3412" s="61" t="n"/>
      <c r="F3412" s="55" t="n"/>
      <c r="G3412" s="56" t="n"/>
      <c r="H3412" s="55" t="n"/>
      <c r="I3412" s="62" t="n"/>
      <c r="J3412" s="58" t="n"/>
      <c r="K3412" s="63">
        <f>IF(tblMovement[[#This Row],[Source]]="","",IFERROR(INDEX(tblSources[Type],MATCH(tblMovement[[#This Row],[Source]],tblSources[Source],0)),"?"))</f>
        <v/>
      </c>
      <c r="L3412" s="63">
        <f>IF(tblMovement[[#This Row],[Destination]]="","",IFERROR(INDEX(tblDestinations[Type],MATCH(tblMovement[[#This Row],[Destination]],tblDestinations[Destination],0)),"?"))</f>
        <v/>
      </c>
      <c r="M3412" s="64">
        <f>IF(tblMovement[[#This Row],[Material]]="","",IF(LEFT(tblMovement[[#This Row],[Material]],3)="Ore",1,0))</f>
        <v/>
      </c>
      <c r="N3412" s="59">
        <f>IF(OR(tblMovement[[#This Row],[Tonnes_t]]="",tblMovement[[#This Row],[Grade_gpt]]=""),0,tblMovement[[#This Row],[Tonnes_t]]*tblMovement[[#This Row],[Grade_gpt]]/cfg_TroyOz)</f>
        <v/>
      </c>
      <c r="O3412" s="59">
        <f>IF(tblMovement[[#This Row],[Is_Ore]]=1,tblMovement[[#This Row],[Contained_oz]],0)</f>
        <v/>
      </c>
    </row>
    <row r="3413">
      <c r="A3413" s="54" t="n"/>
      <c r="B3413" s="61" t="n"/>
      <c r="C3413" s="61" t="n"/>
      <c r="D3413" s="61" t="n"/>
      <c r="E3413" s="61" t="n"/>
      <c r="F3413" s="55" t="n"/>
      <c r="G3413" s="56" t="n"/>
      <c r="H3413" s="55" t="n"/>
      <c r="I3413" s="62" t="n"/>
      <c r="J3413" s="58" t="n"/>
      <c r="K3413" s="63">
        <f>IF(tblMovement[[#This Row],[Source]]="","",IFERROR(INDEX(tblSources[Type],MATCH(tblMovement[[#This Row],[Source]],tblSources[Source],0)),"?"))</f>
        <v/>
      </c>
      <c r="L3413" s="63">
        <f>IF(tblMovement[[#This Row],[Destination]]="","",IFERROR(INDEX(tblDestinations[Type],MATCH(tblMovement[[#This Row],[Destination]],tblDestinations[Destination],0)),"?"))</f>
        <v/>
      </c>
      <c r="M3413" s="64">
        <f>IF(tblMovement[[#This Row],[Material]]="","",IF(LEFT(tblMovement[[#This Row],[Material]],3)="Ore",1,0))</f>
        <v/>
      </c>
      <c r="N3413" s="59">
        <f>IF(OR(tblMovement[[#This Row],[Tonnes_t]]="",tblMovement[[#This Row],[Grade_gpt]]=""),0,tblMovement[[#This Row],[Tonnes_t]]*tblMovement[[#This Row],[Grade_gpt]]/cfg_TroyOz)</f>
        <v/>
      </c>
      <c r="O3413" s="59">
        <f>IF(tblMovement[[#This Row],[Is_Ore]]=1,tblMovement[[#This Row],[Contained_oz]],0)</f>
        <v/>
      </c>
    </row>
    <row r="3414">
      <c r="A3414" s="54" t="n"/>
      <c r="B3414" s="61" t="n"/>
      <c r="C3414" s="61" t="n"/>
      <c r="D3414" s="61" t="n"/>
      <c r="E3414" s="61" t="n"/>
      <c r="F3414" s="55" t="n"/>
      <c r="G3414" s="56" t="n"/>
      <c r="H3414" s="55" t="n"/>
      <c r="I3414" s="62" t="n"/>
      <c r="J3414" s="58" t="n"/>
      <c r="K3414" s="63">
        <f>IF(tblMovement[[#This Row],[Source]]="","",IFERROR(INDEX(tblSources[Type],MATCH(tblMovement[[#This Row],[Source]],tblSources[Source],0)),"?"))</f>
        <v/>
      </c>
      <c r="L3414" s="63">
        <f>IF(tblMovement[[#This Row],[Destination]]="","",IFERROR(INDEX(tblDestinations[Type],MATCH(tblMovement[[#This Row],[Destination]],tblDestinations[Destination],0)),"?"))</f>
        <v/>
      </c>
      <c r="M3414" s="64">
        <f>IF(tblMovement[[#This Row],[Material]]="","",IF(LEFT(tblMovement[[#This Row],[Material]],3)="Ore",1,0))</f>
        <v/>
      </c>
      <c r="N3414" s="59">
        <f>IF(OR(tblMovement[[#This Row],[Tonnes_t]]="",tblMovement[[#This Row],[Grade_gpt]]=""),0,tblMovement[[#This Row],[Tonnes_t]]*tblMovement[[#This Row],[Grade_gpt]]/cfg_TroyOz)</f>
        <v/>
      </c>
      <c r="O3414" s="59">
        <f>IF(tblMovement[[#This Row],[Is_Ore]]=1,tblMovement[[#This Row],[Contained_oz]],0)</f>
        <v/>
      </c>
    </row>
    <row r="3415">
      <c r="A3415" s="54" t="n"/>
      <c r="B3415" s="61" t="n"/>
      <c r="C3415" s="61" t="n"/>
      <c r="D3415" s="61" t="n"/>
      <c r="E3415" s="61" t="n"/>
      <c r="F3415" s="55" t="n"/>
      <c r="G3415" s="56" t="n"/>
      <c r="H3415" s="55" t="n"/>
      <c r="I3415" s="62" t="n"/>
      <c r="J3415" s="58" t="n"/>
      <c r="K3415" s="63">
        <f>IF(tblMovement[[#This Row],[Source]]="","",IFERROR(INDEX(tblSources[Type],MATCH(tblMovement[[#This Row],[Source]],tblSources[Source],0)),"?"))</f>
        <v/>
      </c>
      <c r="L3415" s="63">
        <f>IF(tblMovement[[#This Row],[Destination]]="","",IFERROR(INDEX(tblDestinations[Type],MATCH(tblMovement[[#This Row],[Destination]],tblDestinations[Destination],0)),"?"))</f>
        <v/>
      </c>
      <c r="M3415" s="64">
        <f>IF(tblMovement[[#This Row],[Material]]="","",IF(LEFT(tblMovement[[#This Row],[Material]],3)="Ore",1,0))</f>
        <v/>
      </c>
      <c r="N3415" s="59">
        <f>IF(OR(tblMovement[[#This Row],[Tonnes_t]]="",tblMovement[[#This Row],[Grade_gpt]]=""),0,tblMovement[[#This Row],[Tonnes_t]]*tblMovement[[#This Row],[Grade_gpt]]/cfg_TroyOz)</f>
        <v/>
      </c>
      <c r="O3415" s="59">
        <f>IF(tblMovement[[#This Row],[Is_Ore]]=1,tblMovement[[#This Row],[Contained_oz]],0)</f>
        <v/>
      </c>
    </row>
    <row r="3416">
      <c r="A3416" s="54" t="n"/>
      <c r="B3416" s="61" t="n"/>
      <c r="C3416" s="61" t="n"/>
      <c r="D3416" s="61" t="n"/>
      <c r="E3416" s="61" t="n"/>
      <c r="F3416" s="55" t="n"/>
      <c r="G3416" s="56" t="n"/>
      <c r="H3416" s="55" t="n"/>
      <c r="I3416" s="62" t="n"/>
      <c r="J3416" s="58" t="n"/>
      <c r="K3416" s="63">
        <f>IF(tblMovement[[#This Row],[Source]]="","",IFERROR(INDEX(tblSources[Type],MATCH(tblMovement[[#This Row],[Source]],tblSources[Source],0)),"?"))</f>
        <v/>
      </c>
      <c r="L3416" s="63">
        <f>IF(tblMovement[[#This Row],[Destination]]="","",IFERROR(INDEX(tblDestinations[Type],MATCH(tblMovement[[#This Row],[Destination]],tblDestinations[Destination],0)),"?"))</f>
        <v/>
      </c>
      <c r="M3416" s="64">
        <f>IF(tblMovement[[#This Row],[Material]]="","",IF(LEFT(tblMovement[[#This Row],[Material]],3)="Ore",1,0))</f>
        <v/>
      </c>
      <c r="N3416" s="59">
        <f>IF(OR(tblMovement[[#This Row],[Tonnes_t]]="",tblMovement[[#This Row],[Grade_gpt]]=""),0,tblMovement[[#This Row],[Tonnes_t]]*tblMovement[[#This Row],[Grade_gpt]]/cfg_TroyOz)</f>
        <v/>
      </c>
      <c r="O3416" s="59">
        <f>IF(tblMovement[[#This Row],[Is_Ore]]=1,tblMovement[[#This Row],[Contained_oz]],0)</f>
        <v/>
      </c>
    </row>
    <row r="3417">
      <c r="A3417" s="54" t="n"/>
      <c r="B3417" s="61" t="n"/>
      <c r="C3417" s="61" t="n"/>
      <c r="D3417" s="61" t="n"/>
      <c r="E3417" s="61" t="n"/>
      <c r="F3417" s="55" t="n"/>
      <c r="G3417" s="56" t="n"/>
      <c r="H3417" s="55" t="n"/>
      <c r="I3417" s="62" t="n"/>
      <c r="J3417" s="58" t="n"/>
      <c r="K3417" s="63">
        <f>IF(tblMovement[[#This Row],[Source]]="","",IFERROR(INDEX(tblSources[Type],MATCH(tblMovement[[#This Row],[Source]],tblSources[Source],0)),"?"))</f>
        <v/>
      </c>
      <c r="L3417" s="63">
        <f>IF(tblMovement[[#This Row],[Destination]]="","",IFERROR(INDEX(tblDestinations[Type],MATCH(tblMovement[[#This Row],[Destination]],tblDestinations[Destination],0)),"?"))</f>
        <v/>
      </c>
      <c r="M3417" s="64">
        <f>IF(tblMovement[[#This Row],[Material]]="","",IF(LEFT(tblMovement[[#This Row],[Material]],3)="Ore",1,0))</f>
        <v/>
      </c>
      <c r="N3417" s="59">
        <f>IF(OR(tblMovement[[#This Row],[Tonnes_t]]="",tblMovement[[#This Row],[Grade_gpt]]=""),0,tblMovement[[#This Row],[Tonnes_t]]*tblMovement[[#This Row],[Grade_gpt]]/cfg_TroyOz)</f>
        <v/>
      </c>
      <c r="O3417" s="59">
        <f>IF(tblMovement[[#This Row],[Is_Ore]]=1,tblMovement[[#This Row],[Contained_oz]],0)</f>
        <v/>
      </c>
    </row>
    <row r="3418">
      <c r="A3418" s="54" t="n"/>
      <c r="B3418" s="61" t="n"/>
      <c r="C3418" s="61" t="n"/>
      <c r="D3418" s="61" t="n"/>
      <c r="E3418" s="61" t="n"/>
      <c r="F3418" s="55" t="n"/>
      <c r="G3418" s="56" t="n"/>
      <c r="H3418" s="55" t="n"/>
      <c r="I3418" s="62" t="n"/>
      <c r="J3418" s="58" t="n"/>
      <c r="K3418" s="63">
        <f>IF(tblMovement[[#This Row],[Source]]="","",IFERROR(INDEX(tblSources[Type],MATCH(tblMovement[[#This Row],[Source]],tblSources[Source],0)),"?"))</f>
        <v/>
      </c>
      <c r="L3418" s="63">
        <f>IF(tblMovement[[#This Row],[Destination]]="","",IFERROR(INDEX(tblDestinations[Type],MATCH(tblMovement[[#This Row],[Destination]],tblDestinations[Destination],0)),"?"))</f>
        <v/>
      </c>
      <c r="M3418" s="64">
        <f>IF(tblMovement[[#This Row],[Material]]="","",IF(LEFT(tblMovement[[#This Row],[Material]],3)="Ore",1,0))</f>
        <v/>
      </c>
      <c r="N3418" s="59">
        <f>IF(OR(tblMovement[[#This Row],[Tonnes_t]]="",tblMovement[[#This Row],[Grade_gpt]]=""),0,tblMovement[[#This Row],[Tonnes_t]]*tblMovement[[#This Row],[Grade_gpt]]/cfg_TroyOz)</f>
        <v/>
      </c>
      <c r="O3418" s="59">
        <f>IF(tblMovement[[#This Row],[Is_Ore]]=1,tblMovement[[#This Row],[Contained_oz]],0)</f>
        <v/>
      </c>
    </row>
    <row r="3419">
      <c r="A3419" s="54" t="n"/>
      <c r="B3419" s="61" t="n"/>
      <c r="C3419" s="61" t="n"/>
      <c r="D3419" s="61" t="n"/>
      <c r="E3419" s="61" t="n"/>
      <c r="F3419" s="55" t="n"/>
      <c r="G3419" s="56" t="n"/>
      <c r="H3419" s="55" t="n"/>
      <c r="I3419" s="62" t="n"/>
      <c r="J3419" s="58" t="n"/>
      <c r="K3419" s="63">
        <f>IF(tblMovement[[#This Row],[Source]]="","",IFERROR(INDEX(tblSources[Type],MATCH(tblMovement[[#This Row],[Source]],tblSources[Source],0)),"?"))</f>
        <v/>
      </c>
      <c r="L3419" s="63">
        <f>IF(tblMovement[[#This Row],[Destination]]="","",IFERROR(INDEX(tblDestinations[Type],MATCH(tblMovement[[#This Row],[Destination]],tblDestinations[Destination],0)),"?"))</f>
        <v/>
      </c>
      <c r="M3419" s="64">
        <f>IF(tblMovement[[#This Row],[Material]]="","",IF(LEFT(tblMovement[[#This Row],[Material]],3)="Ore",1,0))</f>
        <v/>
      </c>
      <c r="N3419" s="59">
        <f>IF(OR(tblMovement[[#This Row],[Tonnes_t]]="",tblMovement[[#This Row],[Grade_gpt]]=""),0,tblMovement[[#This Row],[Tonnes_t]]*tblMovement[[#This Row],[Grade_gpt]]/cfg_TroyOz)</f>
        <v/>
      </c>
      <c r="O3419" s="59">
        <f>IF(tblMovement[[#This Row],[Is_Ore]]=1,tblMovement[[#This Row],[Contained_oz]],0)</f>
        <v/>
      </c>
    </row>
    <row r="3420">
      <c r="A3420" s="54" t="n"/>
      <c r="B3420" s="61" t="n"/>
      <c r="C3420" s="61" t="n"/>
      <c r="D3420" s="61" t="n"/>
      <c r="E3420" s="61" t="n"/>
      <c r="F3420" s="55" t="n"/>
      <c r="G3420" s="56" t="n"/>
      <c r="H3420" s="55" t="n"/>
      <c r="I3420" s="62" t="n"/>
      <c r="J3420" s="58" t="n"/>
      <c r="K3420" s="63">
        <f>IF(tblMovement[[#This Row],[Source]]="","",IFERROR(INDEX(tblSources[Type],MATCH(tblMovement[[#This Row],[Source]],tblSources[Source],0)),"?"))</f>
        <v/>
      </c>
      <c r="L3420" s="63">
        <f>IF(tblMovement[[#This Row],[Destination]]="","",IFERROR(INDEX(tblDestinations[Type],MATCH(tblMovement[[#This Row],[Destination]],tblDestinations[Destination],0)),"?"))</f>
        <v/>
      </c>
      <c r="M3420" s="64">
        <f>IF(tblMovement[[#This Row],[Material]]="","",IF(LEFT(tblMovement[[#This Row],[Material]],3)="Ore",1,0))</f>
        <v/>
      </c>
      <c r="N3420" s="59">
        <f>IF(OR(tblMovement[[#This Row],[Tonnes_t]]="",tblMovement[[#This Row],[Grade_gpt]]=""),0,tblMovement[[#This Row],[Tonnes_t]]*tblMovement[[#This Row],[Grade_gpt]]/cfg_TroyOz)</f>
        <v/>
      </c>
      <c r="O3420" s="59">
        <f>IF(tblMovement[[#This Row],[Is_Ore]]=1,tblMovement[[#This Row],[Contained_oz]],0)</f>
        <v/>
      </c>
    </row>
    <row r="3421">
      <c r="A3421" s="54" t="n"/>
      <c r="B3421" s="61" t="n"/>
      <c r="C3421" s="61" t="n"/>
      <c r="D3421" s="61" t="n"/>
      <c r="E3421" s="61" t="n"/>
      <c r="F3421" s="55" t="n"/>
      <c r="G3421" s="56" t="n"/>
      <c r="H3421" s="55" t="n"/>
      <c r="I3421" s="62" t="n"/>
      <c r="J3421" s="58" t="n"/>
      <c r="K3421" s="63">
        <f>IF(tblMovement[[#This Row],[Source]]="","",IFERROR(INDEX(tblSources[Type],MATCH(tblMovement[[#This Row],[Source]],tblSources[Source],0)),"?"))</f>
        <v/>
      </c>
      <c r="L3421" s="63">
        <f>IF(tblMovement[[#This Row],[Destination]]="","",IFERROR(INDEX(tblDestinations[Type],MATCH(tblMovement[[#This Row],[Destination]],tblDestinations[Destination],0)),"?"))</f>
        <v/>
      </c>
      <c r="M3421" s="64">
        <f>IF(tblMovement[[#This Row],[Material]]="","",IF(LEFT(tblMovement[[#This Row],[Material]],3)="Ore",1,0))</f>
        <v/>
      </c>
      <c r="N3421" s="59">
        <f>IF(OR(tblMovement[[#This Row],[Tonnes_t]]="",tblMovement[[#This Row],[Grade_gpt]]=""),0,tblMovement[[#This Row],[Tonnes_t]]*tblMovement[[#This Row],[Grade_gpt]]/cfg_TroyOz)</f>
        <v/>
      </c>
      <c r="O3421" s="59">
        <f>IF(tblMovement[[#This Row],[Is_Ore]]=1,tblMovement[[#This Row],[Contained_oz]],0)</f>
        <v/>
      </c>
    </row>
    <row r="3422">
      <c r="A3422" s="54" t="n"/>
      <c r="B3422" s="61" t="n"/>
      <c r="C3422" s="61" t="n"/>
      <c r="D3422" s="61" t="n"/>
      <c r="E3422" s="61" t="n"/>
      <c r="F3422" s="55" t="n"/>
      <c r="G3422" s="56" t="n"/>
      <c r="H3422" s="55" t="n"/>
      <c r="I3422" s="62" t="n"/>
      <c r="J3422" s="58" t="n"/>
      <c r="K3422" s="63">
        <f>IF(tblMovement[[#This Row],[Source]]="","",IFERROR(INDEX(tblSources[Type],MATCH(tblMovement[[#This Row],[Source]],tblSources[Source],0)),"?"))</f>
        <v/>
      </c>
      <c r="L3422" s="63">
        <f>IF(tblMovement[[#This Row],[Destination]]="","",IFERROR(INDEX(tblDestinations[Type],MATCH(tblMovement[[#This Row],[Destination]],tblDestinations[Destination],0)),"?"))</f>
        <v/>
      </c>
      <c r="M3422" s="64">
        <f>IF(tblMovement[[#This Row],[Material]]="","",IF(LEFT(tblMovement[[#This Row],[Material]],3)="Ore",1,0))</f>
        <v/>
      </c>
      <c r="N3422" s="59">
        <f>IF(OR(tblMovement[[#This Row],[Tonnes_t]]="",tblMovement[[#This Row],[Grade_gpt]]=""),0,tblMovement[[#This Row],[Tonnes_t]]*tblMovement[[#This Row],[Grade_gpt]]/cfg_TroyOz)</f>
        <v/>
      </c>
      <c r="O3422" s="59">
        <f>IF(tblMovement[[#This Row],[Is_Ore]]=1,tblMovement[[#This Row],[Contained_oz]],0)</f>
        <v/>
      </c>
    </row>
    <row r="3423">
      <c r="A3423" s="54" t="n"/>
      <c r="B3423" s="61" t="n"/>
      <c r="C3423" s="61" t="n"/>
      <c r="D3423" s="61" t="n"/>
      <c r="E3423" s="61" t="n"/>
      <c r="F3423" s="55" t="n"/>
      <c r="G3423" s="56" t="n"/>
      <c r="H3423" s="55" t="n"/>
      <c r="I3423" s="62" t="n"/>
      <c r="J3423" s="58" t="n"/>
      <c r="K3423" s="63">
        <f>IF(tblMovement[[#This Row],[Source]]="","",IFERROR(INDEX(tblSources[Type],MATCH(tblMovement[[#This Row],[Source]],tblSources[Source],0)),"?"))</f>
        <v/>
      </c>
      <c r="L3423" s="63">
        <f>IF(tblMovement[[#This Row],[Destination]]="","",IFERROR(INDEX(tblDestinations[Type],MATCH(tblMovement[[#This Row],[Destination]],tblDestinations[Destination],0)),"?"))</f>
        <v/>
      </c>
      <c r="M3423" s="64">
        <f>IF(tblMovement[[#This Row],[Material]]="","",IF(LEFT(tblMovement[[#This Row],[Material]],3)="Ore",1,0))</f>
        <v/>
      </c>
      <c r="N3423" s="59">
        <f>IF(OR(tblMovement[[#This Row],[Tonnes_t]]="",tblMovement[[#This Row],[Grade_gpt]]=""),0,tblMovement[[#This Row],[Tonnes_t]]*tblMovement[[#This Row],[Grade_gpt]]/cfg_TroyOz)</f>
        <v/>
      </c>
      <c r="O3423" s="59">
        <f>IF(tblMovement[[#This Row],[Is_Ore]]=1,tblMovement[[#This Row],[Contained_oz]],0)</f>
        <v/>
      </c>
    </row>
    <row r="3424">
      <c r="A3424" s="54" t="n"/>
      <c r="B3424" s="61" t="n"/>
      <c r="C3424" s="61" t="n"/>
      <c r="D3424" s="61" t="n"/>
      <c r="E3424" s="61" t="n"/>
      <c r="F3424" s="55" t="n"/>
      <c r="G3424" s="56" t="n"/>
      <c r="H3424" s="55" t="n"/>
      <c r="I3424" s="62" t="n"/>
      <c r="J3424" s="58" t="n"/>
      <c r="K3424" s="63">
        <f>IF(tblMovement[[#This Row],[Source]]="","",IFERROR(INDEX(tblSources[Type],MATCH(tblMovement[[#This Row],[Source]],tblSources[Source],0)),"?"))</f>
        <v/>
      </c>
      <c r="L3424" s="63">
        <f>IF(tblMovement[[#This Row],[Destination]]="","",IFERROR(INDEX(tblDestinations[Type],MATCH(tblMovement[[#This Row],[Destination]],tblDestinations[Destination],0)),"?"))</f>
        <v/>
      </c>
      <c r="M3424" s="64">
        <f>IF(tblMovement[[#This Row],[Material]]="","",IF(LEFT(tblMovement[[#This Row],[Material]],3)="Ore",1,0))</f>
        <v/>
      </c>
      <c r="N3424" s="59">
        <f>IF(OR(tblMovement[[#This Row],[Tonnes_t]]="",tblMovement[[#This Row],[Grade_gpt]]=""),0,tblMovement[[#This Row],[Tonnes_t]]*tblMovement[[#This Row],[Grade_gpt]]/cfg_TroyOz)</f>
        <v/>
      </c>
      <c r="O3424" s="59">
        <f>IF(tblMovement[[#This Row],[Is_Ore]]=1,tblMovement[[#This Row],[Contained_oz]],0)</f>
        <v/>
      </c>
    </row>
    <row r="3425">
      <c r="A3425" s="54" t="n"/>
      <c r="B3425" s="61" t="n"/>
      <c r="C3425" s="61" t="n"/>
      <c r="D3425" s="61" t="n"/>
      <c r="E3425" s="61" t="n"/>
      <c r="F3425" s="55" t="n"/>
      <c r="G3425" s="56" t="n"/>
      <c r="H3425" s="55" t="n"/>
      <c r="I3425" s="62" t="n"/>
      <c r="J3425" s="58" t="n"/>
      <c r="K3425" s="63">
        <f>IF(tblMovement[[#This Row],[Source]]="","",IFERROR(INDEX(tblSources[Type],MATCH(tblMovement[[#This Row],[Source]],tblSources[Source],0)),"?"))</f>
        <v/>
      </c>
      <c r="L3425" s="63">
        <f>IF(tblMovement[[#This Row],[Destination]]="","",IFERROR(INDEX(tblDestinations[Type],MATCH(tblMovement[[#This Row],[Destination]],tblDestinations[Destination],0)),"?"))</f>
        <v/>
      </c>
      <c r="M3425" s="64">
        <f>IF(tblMovement[[#This Row],[Material]]="","",IF(LEFT(tblMovement[[#This Row],[Material]],3)="Ore",1,0))</f>
        <v/>
      </c>
      <c r="N3425" s="59">
        <f>IF(OR(tblMovement[[#This Row],[Tonnes_t]]="",tblMovement[[#This Row],[Grade_gpt]]=""),0,tblMovement[[#This Row],[Tonnes_t]]*tblMovement[[#This Row],[Grade_gpt]]/cfg_TroyOz)</f>
        <v/>
      </c>
      <c r="O3425" s="59">
        <f>IF(tblMovement[[#This Row],[Is_Ore]]=1,tblMovement[[#This Row],[Contained_oz]],0)</f>
        <v/>
      </c>
    </row>
    <row r="3426">
      <c r="A3426" s="54" t="n"/>
      <c r="B3426" s="61" t="n"/>
      <c r="C3426" s="61" t="n"/>
      <c r="D3426" s="61" t="n"/>
      <c r="E3426" s="61" t="n"/>
      <c r="F3426" s="55" t="n"/>
      <c r="G3426" s="56" t="n"/>
      <c r="H3426" s="55" t="n"/>
      <c r="I3426" s="62" t="n"/>
      <c r="J3426" s="58" t="n"/>
      <c r="K3426" s="63">
        <f>IF(tblMovement[[#This Row],[Source]]="","",IFERROR(INDEX(tblSources[Type],MATCH(tblMovement[[#This Row],[Source]],tblSources[Source],0)),"?"))</f>
        <v/>
      </c>
      <c r="L3426" s="63">
        <f>IF(tblMovement[[#This Row],[Destination]]="","",IFERROR(INDEX(tblDestinations[Type],MATCH(tblMovement[[#This Row],[Destination]],tblDestinations[Destination],0)),"?"))</f>
        <v/>
      </c>
      <c r="M3426" s="64">
        <f>IF(tblMovement[[#This Row],[Material]]="","",IF(LEFT(tblMovement[[#This Row],[Material]],3)="Ore",1,0))</f>
        <v/>
      </c>
      <c r="N3426" s="59">
        <f>IF(OR(tblMovement[[#This Row],[Tonnes_t]]="",tblMovement[[#This Row],[Grade_gpt]]=""),0,tblMovement[[#This Row],[Tonnes_t]]*tblMovement[[#This Row],[Grade_gpt]]/cfg_TroyOz)</f>
        <v/>
      </c>
      <c r="O3426" s="59">
        <f>IF(tblMovement[[#This Row],[Is_Ore]]=1,tblMovement[[#This Row],[Contained_oz]],0)</f>
        <v/>
      </c>
    </row>
    <row r="3427">
      <c r="A3427" s="54" t="n"/>
      <c r="B3427" s="61" t="n"/>
      <c r="C3427" s="61" t="n"/>
      <c r="D3427" s="61" t="n"/>
      <c r="E3427" s="61" t="n"/>
      <c r="F3427" s="55" t="n"/>
      <c r="G3427" s="56" t="n"/>
      <c r="H3427" s="55" t="n"/>
      <c r="I3427" s="62" t="n"/>
      <c r="J3427" s="58" t="n"/>
      <c r="K3427" s="63">
        <f>IF(tblMovement[[#This Row],[Source]]="","",IFERROR(INDEX(tblSources[Type],MATCH(tblMovement[[#This Row],[Source]],tblSources[Source],0)),"?"))</f>
        <v/>
      </c>
      <c r="L3427" s="63">
        <f>IF(tblMovement[[#This Row],[Destination]]="","",IFERROR(INDEX(tblDestinations[Type],MATCH(tblMovement[[#This Row],[Destination]],tblDestinations[Destination],0)),"?"))</f>
        <v/>
      </c>
      <c r="M3427" s="64">
        <f>IF(tblMovement[[#This Row],[Material]]="","",IF(LEFT(tblMovement[[#This Row],[Material]],3)="Ore",1,0))</f>
        <v/>
      </c>
      <c r="N3427" s="59">
        <f>IF(OR(tblMovement[[#This Row],[Tonnes_t]]="",tblMovement[[#This Row],[Grade_gpt]]=""),0,tblMovement[[#This Row],[Tonnes_t]]*tblMovement[[#This Row],[Grade_gpt]]/cfg_TroyOz)</f>
        <v/>
      </c>
      <c r="O3427" s="59">
        <f>IF(tblMovement[[#This Row],[Is_Ore]]=1,tblMovement[[#This Row],[Contained_oz]],0)</f>
        <v/>
      </c>
    </row>
    <row r="3428">
      <c r="A3428" s="54" t="n"/>
      <c r="B3428" s="61" t="n"/>
      <c r="C3428" s="61" t="n"/>
      <c r="D3428" s="61" t="n"/>
      <c r="E3428" s="61" t="n"/>
      <c r="F3428" s="55" t="n"/>
      <c r="G3428" s="56" t="n"/>
      <c r="H3428" s="55" t="n"/>
      <c r="I3428" s="62" t="n"/>
      <c r="J3428" s="58" t="n"/>
      <c r="K3428" s="63">
        <f>IF(tblMovement[[#This Row],[Source]]="","",IFERROR(INDEX(tblSources[Type],MATCH(tblMovement[[#This Row],[Source]],tblSources[Source],0)),"?"))</f>
        <v/>
      </c>
      <c r="L3428" s="63">
        <f>IF(tblMovement[[#This Row],[Destination]]="","",IFERROR(INDEX(tblDestinations[Type],MATCH(tblMovement[[#This Row],[Destination]],tblDestinations[Destination],0)),"?"))</f>
        <v/>
      </c>
      <c r="M3428" s="64">
        <f>IF(tblMovement[[#This Row],[Material]]="","",IF(LEFT(tblMovement[[#This Row],[Material]],3)="Ore",1,0))</f>
        <v/>
      </c>
      <c r="N3428" s="59">
        <f>IF(OR(tblMovement[[#This Row],[Tonnes_t]]="",tblMovement[[#This Row],[Grade_gpt]]=""),0,tblMovement[[#This Row],[Tonnes_t]]*tblMovement[[#This Row],[Grade_gpt]]/cfg_TroyOz)</f>
        <v/>
      </c>
      <c r="O3428" s="59">
        <f>IF(tblMovement[[#This Row],[Is_Ore]]=1,tblMovement[[#This Row],[Contained_oz]],0)</f>
        <v/>
      </c>
    </row>
    <row r="3429">
      <c r="A3429" s="54" t="n"/>
      <c r="B3429" s="61" t="n"/>
      <c r="C3429" s="61" t="n"/>
      <c r="D3429" s="61" t="n"/>
      <c r="E3429" s="61" t="n"/>
      <c r="F3429" s="55" t="n"/>
      <c r="G3429" s="56" t="n"/>
      <c r="H3429" s="55" t="n"/>
      <c r="I3429" s="62" t="n"/>
      <c r="J3429" s="58" t="n"/>
      <c r="K3429" s="63">
        <f>IF(tblMovement[[#This Row],[Source]]="","",IFERROR(INDEX(tblSources[Type],MATCH(tblMovement[[#This Row],[Source]],tblSources[Source],0)),"?"))</f>
        <v/>
      </c>
      <c r="L3429" s="63">
        <f>IF(tblMovement[[#This Row],[Destination]]="","",IFERROR(INDEX(tblDestinations[Type],MATCH(tblMovement[[#This Row],[Destination]],tblDestinations[Destination],0)),"?"))</f>
        <v/>
      </c>
      <c r="M3429" s="64">
        <f>IF(tblMovement[[#This Row],[Material]]="","",IF(LEFT(tblMovement[[#This Row],[Material]],3)="Ore",1,0))</f>
        <v/>
      </c>
      <c r="N3429" s="59">
        <f>IF(OR(tblMovement[[#This Row],[Tonnes_t]]="",tblMovement[[#This Row],[Grade_gpt]]=""),0,tblMovement[[#This Row],[Tonnes_t]]*tblMovement[[#This Row],[Grade_gpt]]/cfg_TroyOz)</f>
        <v/>
      </c>
      <c r="O3429" s="59">
        <f>IF(tblMovement[[#This Row],[Is_Ore]]=1,tblMovement[[#This Row],[Contained_oz]],0)</f>
        <v/>
      </c>
    </row>
    <row r="3430">
      <c r="A3430" s="54" t="n"/>
      <c r="B3430" s="61" t="n"/>
      <c r="C3430" s="61" t="n"/>
      <c r="D3430" s="61" t="n"/>
      <c r="E3430" s="61" t="n"/>
      <c r="F3430" s="55" t="n"/>
      <c r="G3430" s="56" t="n"/>
      <c r="H3430" s="55" t="n"/>
      <c r="I3430" s="62" t="n"/>
      <c r="J3430" s="58" t="n"/>
      <c r="K3430" s="63">
        <f>IF(tblMovement[[#This Row],[Source]]="","",IFERROR(INDEX(tblSources[Type],MATCH(tblMovement[[#This Row],[Source]],tblSources[Source],0)),"?"))</f>
        <v/>
      </c>
      <c r="L3430" s="63">
        <f>IF(tblMovement[[#This Row],[Destination]]="","",IFERROR(INDEX(tblDestinations[Type],MATCH(tblMovement[[#This Row],[Destination]],tblDestinations[Destination],0)),"?"))</f>
        <v/>
      </c>
      <c r="M3430" s="64">
        <f>IF(tblMovement[[#This Row],[Material]]="","",IF(LEFT(tblMovement[[#This Row],[Material]],3)="Ore",1,0))</f>
        <v/>
      </c>
      <c r="N3430" s="59">
        <f>IF(OR(tblMovement[[#This Row],[Tonnes_t]]="",tblMovement[[#This Row],[Grade_gpt]]=""),0,tblMovement[[#This Row],[Tonnes_t]]*tblMovement[[#This Row],[Grade_gpt]]/cfg_TroyOz)</f>
        <v/>
      </c>
      <c r="O3430" s="59">
        <f>IF(tblMovement[[#This Row],[Is_Ore]]=1,tblMovement[[#This Row],[Contained_oz]],0)</f>
        <v/>
      </c>
    </row>
    <row r="3431">
      <c r="A3431" s="54" t="n"/>
      <c r="B3431" s="61" t="n"/>
      <c r="C3431" s="61" t="n"/>
      <c r="D3431" s="61" t="n"/>
      <c r="E3431" s="61" t="n"/>
      <c r="F3431" s="55" t="n"/>
      <c r="G3431" s="56" t="n"/>
      <c r="H3431" s="55" t="n"/>
      <c r="I3431" s="62" t="n"/>
      <c r="J3431" s="58" t="n"/>
      <c r="K3431" s="63">
        <f>IF(tblMovement[[#This Row],[Source]]="","",IFERROR(INDEX(tblSources[Type],MATCH(tblMovement[[#This Row],[Source]],tblSources[Source],0)),"?"))</f>
        <v/>
      </c>
      <c r="L3431" s="63">
        <f>IF(tblMovement[[#This Row],[Destination]]="","",IFERROR(INDEX(tblDestinations[Type],MATCH(tblMovement[[#This Row],[Destination]],tblDestinations[Destination],0)),"?"))</f>
        <v/>
      </c>
      <c r="M3431" s="64">
        <f>IF(tblMovement[[#This Row],[Material]]="","",IF(LEFT(tblMovement[[#This Row],[Material]],3)="Ore",1,0))</f>
        <v/>
      </c>
      <c r="N3431" s="59">
        <f>IF(OR(tblMovement[[#This Row],[Tonnes_t]]="",tblMovement[[#This Row],[Grade_gpt]]=""),0,tblMovement[[#This Row],[Tonnes_t]]*tblMovement[[#This Row],[Grade_gpt]]/cfg_TroyOz)</f>
        <v/>
      </c>
      <c r="O3431" s="59">
        <f>IF(tblMovement[[#This Row],[Is_Ore]]=1,tblMovement[[#This Row],[Contained_oz]],0)</f>
        <v/>
      </c>
    </row>
    <row r="3432">
      <c r="A3432" s="54" t="n"/>
      <c r="B3432" s="61" t="n"/>
      <c r="C3432" s="61" t="n"/>
      <c r="D3432" s="61" t="n"/>
      <c r="E3432" s="61" t="n"/>
      <c r="F3432" s="55" t="n"/>
      <c r="G3432" s="56" t="n"/>
      <c r="H3432" s="55" t="n"/>
      <c r="I3432" s="62" t="n"/>
      <c r="J3432" s="58" t="n"/>
      <c r="K3432" s="63">
        <f>IF(tblMovement[[#This Row],[Source]]="","",IFERROR(INDEX(tblSources[Type],MATCH(tblMovement[[#This Row],[Source]],tblSources[Source],0)),"?"))</f>
        <v/>
      </c>
      <c r="L3432" s="63">
        <f>IF(tblMovement[[#This Row],[Destination]]="","",IFERROR(INDEX(tblDestinations[Type],MATCH(tblMovement[[#This Row],[Destination]],tblDestinations[Destination],0)),"?"))</f>
        <v/>
      </c>
      <c r="M3432" s="64">
        <f>IF(tblMovement[[#This Row],[Material]]="","",IF(LEFT(tblMovement[[#This Row],[Material]],3)="Ore",1,0))</f>
        <v/>
      </c>
      <c r="N3432" s="59">
        <f>IF(OR(tblMovement[[#This Row],[Tonnes_t]]="",tblMovement[[#This Row],[Grade_gpt]]=""),0,tblMovement[[#This Row],[Tonnes_t]]*tblMovement[[#This Row],[Grade_gpt]]/cfg_TroyOz)</f>
        <v/>
      </c>
      <c r="O3432" s="59">
        <f>IF(tblMovement[[#This Row],[Is_Ore]]=1,tblMovement[[#This Row],[Contained_oz]],0)</f>
        <v/>
      </c>
    </row>
    <row r="3433">
      <c r="A3433" s="54" t="n"/>
      <c r="B3433" s="61" t="n"/>
      <c r="C3433" s="61" t="n"/>
      <c r="D3433" s="61" t="n"/>
      <c r="E3433" s="61" t="n"/>
      <c r="F3433" s="55" t="n"/>
      <c r="G3433" s="56" t="n"/>
      <c r="H3433" s="55" t="n"/>
      <c r="I3433" s="62" t="n"/>
      <c r="J3433" s="58" t="n"/>
      <c r="K3433" s="63">
        <f>IF(tblMovement[[#This Row],[Source]]="","",IFERROR(INDEX(tblSources[Type],MATCH(tblMovement[[#This Row],[Source]],tblSources[Source],0)),"?"))</f>
        <v/>
      </c>
      <c r="L3433" s="63">
        <f>IF(tblMovement[[#This Row],[Destination]]="","",IFERROR(INDEX(tblDestinations[Type],MATCH(tblMovement[[#This Row],[Destination]],tblDestinations[Destination],0)),"?"))</f>
        <v/>
      </c>
      <c r="M3433" s="64">
        <f>IF(tblMovement[[#This Row],[Material]]="","",IF(LEFT(tblMovement[[#This Row],[Material]],3)="Ore",1,0))</f>
        <v/>
      </c>
      <c r="N3433" s="59">
        <f>IF(OR(tblMovement[[#This Row],[Tonnes_t]]="",tblMovement[[#This Row],[Grade_gpt]]=""),0,tblMovement[[#This Row],[Tonnes_t]]*tblMovement[[#This Row],[Grade_gpt]]/cfg_TroyOz)</f>
        <v/>
      </c>
      <c r="O3433" s="59">
        <f>IF(tblMovement[[#This Row],[Is_Ore]]=1,tblMovement[[#This Row],[Contained_oz]],0)</f>
        <v/>
      </c>
    </row>
    <row r="3434">
      <c r="A3434" s="54" t="n"/>
      <c r="B3434" s="61" t="n"/>
      <c r="C3434" s="61" t="n"/>
      <c r="D3434" s="61" t="n"/>
      <c r="E3434" s="61" t="n"/>
      <c r="F3434" s="55" t="n"/>
      <c r="G3434" s="56" t="n"/>
      <c r="H3434" s="55" t="n"/>
      <c r="I3434" s="62" t="n"/>
      <c r="J3434" s="58" t="n"/>
      <c r="K3434" s="63">
        <f>IF(tblMovement[[#This Row],[Source]]="","",IFERROR(INDEX(tblSources[Type],MATCH(tblMovement[[#This Row],[Source]],tblSources[Source],0)),"?"))</f>
        <v/>
      </c>
      <c r="L3434" s="63">
        <f>IF(tblMovement[[#This Row],[Destination]]="","",IFERROR(INDEX(tblDestinations[Type],MATCH(tblMovement[[#This Row],[Destination]],tblDestinations[Destination],0)),"?"))</f>
        <v/>
      </c>
      <c r="M3434" s="64">
        <f>IF(tblMovement[[#This Row],[Material]]="","",IF(LEFT(tblMovement[[#This Row],[Material]],3)="Ore",1,0))</f>
        <v/>
      </c>
      <c r="N3434" s="59">
        <f>IF(OR(tblMovement[[#This Row],[Tonnes_t]]="",tblMovement[[#This Row],[Grade_gpt]]=""),0,tblMovement[[#This Row],[Tonnes_t]]*tblMovement[[#This Row],[Grade_gpt]]/cfg_TroyOz)</f>
        <v/>
      </c>
      <c r="O3434" s="59">
        <f>IF(tblMovement[[#This Row],[Is_Ore]]=1,tblMovement[[#This Row],[Contained_oz]],0)</f>
        <v/>
      </c>
    </row>
    <row r="3435">
      <c r="A3435" s="54" t="n"/>
      <c r="B3435" s="61" t="n"/>
      <c r="C3435" s="61" t="n"/>
      <c r="D3435" s="61" t="n"/>
      <c r="E3435" s="61" t="n"/>
      <c r="F3435" s="55" t="n"/>
      <c r="G3435" s="56" t="n"/>
      <c r="H3435" s="55" t="n"/>
      <c r="I3435" s="62" t="n"/>
      <c r="J3435" s="58" t="n"/>
      <c r="K3435" s="63">
        <f>IF(tblMovement[[#This Row],[Source]]="","",IFERROR(INDEX(tblSources[Type],MATCH(tblMovement[[#This Row],[Source]],tblSources[Source],0)),"?"))</f>
        <v/>
      </c>
      <c r="L3435" s="63">
        <f>IF(tblMovement[[#This Row],[Destination]]="","",IFERROR(INDEX(tblDestinations[Type],MATCH(tblMovement[[#This Row],[Destination]],tblDestinations[Destination],0)),"?"))</f>
        <v/>
      </c>
      <c r="M3435" s="64">
        <f>IF(tblMovement[[#This Row],[Material]]="","",IF(LEFT(tblMovement[[#This Row],[Material]],3)="Ore",1,0))</f>
        <v/>
      </c>
      <c r="N3435" s="59">
        <f>IF(OR(tblMovement[[#This Row],[Tonnes_t]]="",tblMovement[[#This Row],[Grade_gpt]]=""),0,tblMovement[[#This Row],[Tonnes_t]]*tblMovement[[#This Row],[Grade_gpt]]/cfg_TroyOz)</f>
        <v/>
      </c>
      <c r="O3435" s="59">
        <f>IF(tblMovement[[#This Row],[Is_Ore]]=1,tblMovement[[#This Row],[Contained_oz]],0)</f>
        <v/>
      </c>
    </row>
    <row r="3436">
      <c r="A3436" s="54" t="n"/>
      <c r="B3436" s="61" t="n"/>
      <c r="C3436" s="61" t="n"/>
      <c r="D3436" s="61" t="n"/>
      <c r="E3436" s="61" t="n"/>
      <c r="F3436" s="55" t="n"/>
      <c r="G3436" s="56" t="n"/>
      <c r="H3436" s="55" t="n"/>
      <c r="I3436" s="62" t="n"/>
      <c r="J3436" s="58" t="n"/>
      <c r="K3436" s="63">
        <f>IF(tblMovement[[#This Row],[Source]]="","",IFERROR(INDEX(tblSources[Type],MATCH(tblMovement[[#This Row],[Source]],tblSources[Source],0)),"?"))</f>
        <v/>
      </c>
      <c r="L3436" s="63">
        <f>IF(tblMovement[[#This Row],[Destination]]="","",IFERROR(INDEX(tblDestinations[Type],MATCH(tblMovement[[#This Row],[Destination]],tblDestinations[Destination],0)),"?"))</f>
        <v/>
      </c>
      <c r="M3436" s="64">
        <f>IF(tblMovement[[#This Row],[Material]]="","",IF(LEFT(tblMovement[[#This Row],[Material]],3)="Ore",1,0))</f>
        <v/>
      </c>
      <c r="N3436" s="59">
        <f>IF(OR(tblMovement[[#This Row],[Tonnes_t]]="",tblMovement[[#This Row],[Grade_gpt]]=""),0,tblMovement[[#This Row],[Tonnes_t]]*tblMovement[[#This Row],[Grade_gpt]]/cfg_TroyOz)</f>
        <v/>
      </c>
      <c r="O3436" s="59">
        <f>IF(tblMovement[[#This Row],[Is_Ore]]=1,tblMovement[[#This Row],[Contained_oz]],0)</f>
        <v/>
      </c>
    </row>
    <row r="3437">
      <c r="A3437" s="54" t="n"/>
      <c r="B3437" s="61" t="n"/>
      <c r="C3437" s="61" t="n"/>
      <c r="D3437" s="61" t="n"/>
      <c r="E3437" s="61" t="n"/>
      <c r="F3437" s="55" t="n"/>
      <c r="G3437" s="56" t="n"/>
      <c r="H3437" s="55" t="n"/>
      <c r="I3437" s="62" t="n"/>
      <c r="J3437" s="58" t="n"/>
      <c r="K3437" s="63">
        <f>IF(tblMovement[[#This Row],[Source]]="","",IFERROR(INDEX(tblSources[Type],MATCH(tblMovement[[#This Row],[Source]],tblSources[Source],0)),"?"))</f>
        <v/>
      </c>
      <c r="L3437" s="63">
        <f>IF(tblMovement[[#This Row],[Destination]]="","",IFERROR(INDEX(tblDestinations[Type],MATCH(tblMovement[[#This Row],[Destination]],tblDestinations[Destination],0)),"?"))</f>
        <v/>
      </c>
      <c r="M3437" s="64">
        <f>IF(tblMovement[[#This Row],[Material]]="","",IF(LEFT(tblMovement[[#This Row],[Material]],3)="Ore",1,0))</f>
        <v/>
      </c>
      <c r="N3437" s="59">
        <f>IF(OR(tblMovement[[#This Row],[Tonnes_t]]="",tblMovement[[#This Row],[Grade_gpt]]=""),0,tblMovement[[#This Row],[Tonnes_t]]*tblMovement[[#This Row],[Grade_gpt]]/cfg_TroyOz)</f>
        <v/>
      </c>
      <c r="O3437" s="59">
        <f>IF(tblMovement[[#This Row],[Is_Ore]]=1,tblMovement[[#This Row],[Contained_oz]],0)</f>
        <v/>
      </c>
    </row>
    <row r="3438">
      <c r="A3438" s="54" t="n"/>
      <c r="B3438" s="61" t="n"/>
      <c r="C3438" s="61" t="n"/>
      <c r="D3438" s="61" t="n"/>
      <c r="E3438" s="61" t="n"/>
      <c r="F3438" s="55" t="n"/>
      <c r="G3438" s="56" t="n"/>
      <c r="H3438" s="55" t="n"/>
      <c r="I3438" s="62" t="n"/>
      <c r="J3438" s="58" t="n"/>
      <c r="K3438" s="63">
        <f>IF(tblMovement[[#This Row],[Source]]="","",IFERROR(INDEX(tblSources[Type],MATCH(tblMovement[[#This Row],[Source]],tblSources[Source],0)),"?"))</f>
        <v/>
      </c>
      <c r="L3438" s="63">
        <f>IF(tblMovement[[#This Row],[Destination]]="","",IFERROR(INDEX(tblDestinations[Type],MATCH(tblMovement[[#This Row],[Destination]],tblDestinations[Destination],0)),"?"))</f>
        <v/>
      </c>
      <c r="M3438" s="64">
        <f>IF(tblMovement[[#This Row],[Material]]="","",IF(LEFT(tblMovement[[#This Row],[Material]],3)="Ore",1,0))</f>
        <v/>
      </c>
      <c r="N3438" s="59">
        <f>IF(OR(tblMovement[[#This Row],[Tonnes_t]]="",tblMovement[[#This Row],[Grade_gpt]]=""),0,tblMovement[[#This Row],[Tonnes_t]]*tblMovement[[#This Row],[Grade_gpt]]/cfg_TroyOz)</f>
        <v/>
      </c>
      <c r="O3438" s="59">
        <f>IF(tblMovement[[#This Row],[Is_Ore]]=1,tblMovement[[#This Row],[Contained_oz]],0)</f>
        <v/>
      </c>
    </row>
    <row r="3439">
      <c r="A3439" s="54" t="n"/>
      <c r="B3439" s="61" t="n"/>
      <c r="C3439" s="61" t="n"/>
      <c r="D3439" s="61" t="n"/>
      <c r="E3439" s="61" t="n"/>
      <c r="F3439" s="55" t="n"/>
      <c r="G3439" s="56" t="n"/>
      <c r="H3439" s="55" t="n"/>
      <c r="I3439" s="62" t="n"/>
      <c r="J3439" s="58" t="n"/>
      <c r="K3439" s="63">
        <f>IF(tblMovement[[#This Row],[Source]]="","",IFERROR(INDEX(tblSources[Type],MATCH(tblMovement[[#This Row],[Source]],tblSources[Source],0)),"?"))</f>
        <v/>
      </c>
      <c r="L3439" s="63">
        <f>IF(tblMovement[[#This Row],[Destination]]="","",IFERROR(INDEX(tblDestinations[Type],MATCH(tblMovement[[#This Row],[Destination]],tblDestinations[Destination],0)),"?"))</f>
        <v/>
      </c>
      <c r="M3439" s="64">
        <f>IF(tblMovement[[#This Row],[Material]]="","",IF(LEFT(tblMovement[[#This Row],[Material]],3)="Ore",1,0))</f>
        <v/>
      </c>
      <c r="N3439" s="59">
        <f>IF(OR(tblMovement[[#This Row],[Tonnes_t]]="",tblMovement[[#This Row],[Grade_gpt]]=""),0,tblMovement[[#This Row],[Tonnes_t]]*tblMovement[[#This Row],[Grade_gpt]]/cfg_TroyOz)</f>
        <v/>
      </c>
      <c r="O3439" s="59">
        <f>IF(tblMovement[[#This Row],[Is_Ore]]=1,tblMovement[[#This Row],[Contained_oz]],0)</f>
        <v/>
      </c>
    </row>
    <row r="3440">
      <c r="A3440" s="54" t="n"/>
      <c r="B3440" s="61" t="n"/>
      <c r="C3440" s="61" t="n"/>
      <c r="D3440" s="61" t="n"/>
      <c r="E3440" s="61" t="n"/>
      <c r="F3440" s="55" t="n"/>
      <c r="G3440" s="56" t="n"/>
      <c r="H3440" s="55" t="n"/>
      <c r="I3440" s="62" t="n"/>
      <c r="J3440" s="58" t="n"/>
      <c r="K3440" s="63">
        <f>IF(tblMovement[[#This Row],[Source]]="","",IFERROR(INDEX(tblSources[Type],MATCH(tblMovement[[#This Row],[Source]],tblSources[Source],0)),"?"))</f>
        <v/>
      </c>
      <c r="L3440" s="63">
        <f>IF(tblMovement[[#This Row],[Destination]]="","",IFERROR(INDEX(tblDestinations[Type],MATCH(tblMovement[[#This Row],[Destination]],tblDestinations[Destination],0)),"?"))</f>
        <v/>
      </c>
      <c r="M3440" s="64">
        <f>IF(tblMovement[[#This Row],[Material]]="","",IF(LEFT(tblMovement[[#This Row],[Material]],3)="Ore",1,0))</f>
        <v/>
      </c>
      <c r="N3440" s="59">
        <f>IF(OR(tblMovement[[#This Row],[Tonnes_t]]="",tblMovement[[#This Row],[Grade_gpt]]=""),0,tblMovement[[#This Row],[Tonnes_t]]*tblMovement[[#This Row],[Grade_gpt]]/cfg_TroyOz)</f>
        <v/>
      </c>
      <c r="O3440" s="59">
        <f>IF(tblMovement[[#This Row],[Is_Ore]]=1,tblMovement[[#This Row],[Contained_oz]],0)</f>
        <v/>
      </c>
    </row>
    <row r="3441">
      <c r="A3441" s="54" t="n"/>
      <c r="B3441" s="61" t="n"/>
      <c r="C3441" s="61" t="n"/>
      <c r="D3441" s="61" t="n"/>
      <c r="E3441" s="61" t="n"/>
      <c r="F3441" s="55" t="n"/>
      <c r="G3441" s="56" t="n"/>
      <c r="H3441" s="55" t="n"/>
      <c r="I3441" s="62" t="n"/>
      <c r="J3441" s="58" t="n"/>
      <c r="K3441" s="63">
        <f>IF(tblMovement[[#This Row],[Source]]="","",IFERROR(INDEX(tblSources[Type],MATCH(tblMovement[[#This Row],[Source]],tblSources[Source],0)),"?"))</f>
        <v/>
      </c>
      <c r="L3441" s="63">
        <f>IF(tblMovement[[#This Row],[Destination]]="","",IFERROR(INDEX(tblDestinations[Type],MATCH(tblMovement[[#This Row],[Destination]],tblDestinations[Destination],0)),"?"))</f>
        <v/>
      </c>
      <c r="M3441" s="64">
        <f>IF(tblMovement[[#This Row],[Material]]="","",IF(LEFT(tblMovement[[#This Row],[Material]],3)="Ore",1,0))</f>
        <v/>
      </c>
      <c r="N3441" s="59">
        <f>IF(OR(tblMovement[[#This Row],[Tonnes_t]]="",tblMovement[[#This Row],[Grade_gpt]]=""),0,tblMovement[[#This Row],[Tonnes_t]]*tblMovement[[#This Row],[Grade_gpt]]/cfg_TroyOz)</f>
        <v/>
      </c>
      <c r="O3441" s="59">
        <f>IF(tblMovement[[#This Row],[Is_Ore]]=1,tblMovement[[#This Row],[Contained_oz]],0)</f>
        <v/>
      </c>
    </row>
    <row r="3442">
      <c r="A3442" s="54" t="n"/>
      <c r="B3442" s="61" t="n"/>
      <c r="C3442" s="61" t="n"/>
      <c r="D3442" s="61" t="n"/>
      <c r="E3442" s="61" t="n"/>
      <c r="F3442" s="55" t="n"/>
      <c r="G3442" s="56" t="n"/>
      <c r="H3442" s="55" t="n"/>
      <c r="I3442" s="62" t="n"/>
      <c r="J3442" s="58" t="n"/>
      <c r="K3442" s="63">
        <f>IF(tblMovement[[#This Row],[Source]]="","",IFERROR(INDEX(tblSources[Type],MATCH(tblMovement[[#This Row],[Source]],tblSources[Source],0)),"?"))</f>
        <v/>
      </c>
      <c r="L3442" s="63">
        <f>IF(tblMovement[[#This Row],[Destination]]="","",IFERROR(INDEX(tblDestinations[Type],MATCH(tblMovement[[#This Row],[Destination]],tblDestinations[Destination],0)),"?"))</f>
        <v/>
      </c>
      <c r="M3442" s="64">
        <f>IF(tblMovement[[#This Row],[Material]]="","",IF(LEFT(tblMovement[[#This Row],[Material]],3)="Ore",1,0))</f>
        <v/>
      </c>
      <c r="N3442" s="59">
        <f>IF(OR(tblMovement[[#This Row],[Tonnes_t]]="",tblMovement[[#This Row],[Grade_gpt]]=""),0,tblMovement[[#This Row],[Tonnes_t]]*tblMovement[[#This Row],[Grade_gpt]]/cfg_TroyOz)</f>
        <v/>
      </c>
      <c r="O3442" s="59">
        <f>IF(tblMovement[[#This Row],[Is_Ore]]=1,tblMovement[[#This Row],[Contained_oz]],0)</f>
        <v/>
      </c>
    </row>
    <row r="3443">
      <c r="A3443" s="54" t="n"/>
      <c r="B3443" s="61" t="n"/>
      <c r="C3443" s="61" t="n"/>
      <c r="D3443" s="61" t="n"/>
      <c r="E3443" s="61" t="n"/>
      <c r="F3443" s="55" t="n"/>
      <c r="G3443" s="56" t="n"/>
      <c r="H3443" s="55" t="n"/>
      <c r="I3443" s="62" t="n"/>
      <c r="J3443" s="58" t="n"/>
      <c r="K3443" s="63">
        <f>IF(tblMovement[[#This Row],[Source]]="","",IFERROR(INDEX(tblSources[Type],MATCH(tblMovement[[#This Row],[Source]],tblSources[Source],0)),"?"))</f>
        <v/>
      </c>
      <c r="L3443" s="63">
        <f>IF(tblMovement[[#This Row],[Destination]]="","",IFERROR(INDEX(tblDestinations[Type],MATCH(tblMovement[[#This Row],[Destination]],tblDestinations[Destination],0)),"?"))</f>
        <v/>
      </c>
      <c r="M3443" s="64">
        <f>IF(tblMovement[[#This Row],[Material]]="","",IF(LEFT(tblMovement[[#This Row],[Material]],3)="Ore",1,0))</f>
        <v/>
      </c>
      <c r="N3443" s="59">
        <f>IF(OR(tblMovement[[#This Row],[Tonnes_t]]="",tblMovement[[#This Row],[Grade_gpt]]=""),0,tblMovement[[#This Row],[Tonnes_t]]*tblMovement[[#This Row],[Grade_gpt]]/cfg_TroyOz)</f>
        <v/>
      </c>
      <c r="O3443" s="59">
        <f>IF(tblMovement[[#This Row],[Is_Ore]]=1,tblMovement[[#This Row],[Contained_oz]],0)</f>
        <v/>
      </c>
    </row>
    <row r="3444">
      <c r="A3444" s="54" t="n"/>
      <c r="B3444" s="61" t="n"/>
      <c r="C3444" s="61" t="n"/>
      <c r="D3444" s="61" t="n"/>
      <c r="E3444" s="61" t="n"/>
      <c r="F3444" s="55" t="n"/>
      <c r="G3444" s="56" t="n"/>
      <c r="H3444" s="55" t="n"/>
      <c r="I3444" s="62" t="n"/>
      <c r="J3444" s="58" t="n"/>
      <c r="K3444" s="63">
        <f>IF(tblMovement[[#This Row],[Source]]="","",IFERROR(INDEX(tblSources[Type],MATCH(tblMovement[[#This Row],[Source]],tblSources[Source],0)),"?"))</f>
        <v/>
      </c>
      <c r="L3444" s="63">
        <f>IF(tblMovement[[#This Row],[Destination]]="","",IFERROR(INDEX(tblDestinations[Type],MATCH(tblMovement[[#This Row],[Destination]],tblDestinations[Destination],0)),"?"))</f>
        <v/>
      </c>
      <c r="M3444" s="64">
        <f>IF(tblMovement[[#This Row],[Material]]="","",IF(LEFT(tblMovement[[#This Row],[Material]],3)="Ore",1,0))</f>
        <v/>
      </c>
      <c r="N3444" s="59">
        <f>IF(OR(tblMovement[[#This Row],[Tonnes_t]]="",tblMovement[[#This Row],[Grade_gpt]]=""),0,tblMovement[[#This Row],[Tonnes_t]]*tblMovement[[#This Row],[Grade_gpt]]/cfg_TroyOz)</f>
        <v/>
      </c>
      <c r="O3444" s="59">
        <f>IF(tblMovement[[#This Row],[Is_Ore]]=1,tblMovement[[#This Row],[Contained_oz]],0)</f>
        <v/>
      </c>
    </row>
    <row r="3445">
      <c r="A3445" s="54" t="n"/>
      <c r="B3445" s="61" t="n"/>
      <c r="C3445" s="61" t="n"/>
      <c r="D3445" s="61" t="n"/>
      <c r="E3445" s="61" t="n"/>
      <c r="F3445" s="55" t="n"/>
      <c r="G3445" s="56" t="n"/>
      <c r="H3445" s="55" t="n"/>
      <c r="I3445" s="62" t="n"/>
      <c r="J3445" s="58" t="n"/>
      <c r="K3445" s="63">
        <f>IF(tblMovement[[#This Row],[Source]]="","",IFERROR(INDEX(tblSources[Type],MATCH(tblMovement[[#This Row],[Source]],tblSources[Source],0)),"?"))</f>
        <v/>
      </c>
      <c r="L3445" s="63">
        <f>IF(tblMovement[[#This Row],[Destination]]="","",IFERROR(INDEX(tblDestinations[Type],MATCH(tblMovement[[#This Row],[Destination]],tblDestinations[Destination],0)),"?"))</f>
        <v/>
      </c>
      <c r="M3445" s="64">
        <f>IF(tblMovement[[#This Row],[Material]]="","",IF(LEFT(tblMovement[[#This Row],[Material]],3)="Ore",1,0))</f>
        <v/>
      </c>
      <c r="N3445" s="59">
        <f>IF(OR(tblMovement[[#This Row],[Tonnes_t]]="",tblMovement[[#This Row],[Grade_gpt]]=""),0,tblMovement[[#This Row],[Tonnes_t]]*tblMovement[[#This Row],[Grade_gpt]]/cfg_TroyOz)</f>
        <v/>
      </c>
      <c r="O3445" s="59">
        <f>IF(tblMovement[[#This Row],[Is_Ore]]=1,tblMovement[[#This Row],[Contained_oz]],0)</f>
        <v/>
      </c>
    </row>
    <row r="3446">
      <c r="A3446" s="54" t="n"/>
      <c r="B3446" s="61" t="n"/>
      <c r="C3446" s="61" t="n"/>
      <c r="D3446" s="61" t="n"/>
      <c r="E3446" s="61" t="n"/>
      <c r="F3446" s="55" t="n"/>
      <c r="G3446" s="56" t="n"/>
      <c r="H3446" s="55" t="n"/>
      <c r="I3446" s="62" t="n"/>
      <c r="J3446" s="58" t="n"/>
      <c r="K3446" s="63">
        <f>IF(tblMovement[[#This Row],[Source]]="","",IFERROR(INDEX(tblSources[Type],MATCH(tblMovement[[#This Row],[Source]],tblSources[Source],0)),"?"))</f>
        <v/>
      </c>
      <c r="L3446" s="63">
        <f>IF(tblMovement[[#This Row],[Destination]]="","",IFERROR(INDEX(tblDestinations[Type],MATCH(tblMovement[[#This Row],[Destination]],tblDestinations[Destination],0)),"?"))</f>
        <v/>
      </c>
      <c r="M3446" s="64">
        <f>IF(tblMovement[[#This Row],[Material]]="","",IF(LEFT(tblMovement[[#This Row],[Material]],3)="Ore",1,0))</f>
        <v/>
      </c>
      <c r="N3446" s="59">
        <f>IF(OR(tblMovement[[#This Row],[Tonnes_t]]="",tblMovement[[#This Row],[Grade_gpt]]=""),0,tblMovement[[#This Row],[Tonnes_t]]*tblMovement[[#This Row],[Grade_gpt]]/cfg_TroyOz)</f>
        <v/>
      </c>
      <c r="O3446" s="59">
        <f>IF(tblMovement[[#This Row],[Is_Ore]]=1,tblMovement[[#This Row],[Contained_oz]],0)</f>
        <v/>
      </c>
    </row>
    <row r="3447">
      <c r="A3447" s="54" t="n"/>
      <c r="B3447" s="61" t="n"/>
      <c r="C3447" s="61" t="n"/>
      <c r="D3447" s="61" t="n"/>
      <c r="E3447" s="61" t="n"/>
      <c r="F3447" s="55" t="n"/>
      <c r="G3447" s="56" t="n"/>
      <c r="H3447" s="55" t="n"/>
      <c r="I3447" s="62" t="n"/>
      <c r="J3447" s="58" t="n"/>
      <c r="K3447" s="63">
        <f>IF(tblMovement[[#This Row],[Source]]="","",IFERROR(INDEX(tblSources[Type],MATCH(tblMovement[[#This Row],[Source]],tblSources[Source],0)),"?"))</f>
        <v/>
      </c>
      <c r="L3447" s="63">
        <f>IF(tblMovement[[#This Row],[Destination]]="","",IFERROR(INDEX(tblDestinations[Type],MATCH(tblMovement[[#This Row],[Destination]],tblDestinations[Destination],0)),"?"))</f>
        <v/>
      </c>
      <c r="M3447" s="64">
        <f>IF(tblMovement[[#This Row],[Material]]="","",IF(LEFT(tblMovement[[#This Row],[Material]],3)="Ore",1,0))</f>
        <v/>
      </c>
      <c r="N3447" s="59">
        <f>IF(OR(tblMovement[[#This Row],[Tonnes_t]]="",tblMovement[[#This Row],[Grade_gpt]]=""),0,tblMovement[[#This Row],[Tonnes_t]]*tblMovement[[#This Row],[Grade_gpt]]/cfg_TroyOz)</f>
        <v/>
      </c>
      <c r="O3447" s="59">
        <f>IF(tblMovement[[#This Row],[Is_Ore]]=1,tblMovement[[#This Row],[Contained_oz]],0)</f>
        <v/>
      </c>
    </row>
    <row r="3448">
      <c r="A3448" s="54" t="n"/>
      <c r="B3448" s="61" t="n"/>
      <c r="C3448" s="61" t="n"/>
      <c r="D3448" s="61" t="n"/>
      <c r="E3448" s="61" t="n"/>
      <c r="F3448" s="55" t="n"/>
      <c r="G3448" s="56" t="n"/>
      <c r="H3448" s="55" t="n"/>
      <c r="I3448" s="62" t="n"/>
      <c r="J3448" s="58" t="n"/>
      <c r="K3448" s="63">
        <f>IF(tblMovement[[#This Row],[Source]]="","",IFERROR(INDEX(tblSources[Type],MATCH(tblMovement[[#This Row],[Source]],tblSources[Source],0)),"?"))</f>
        <v/>
      </c>
      <c r="L3448" s="63">
        <f>IF(tblMovement[[#This Row],[Destination]]="","",IFERROR(INDEX(tblDestinations[Type],MATCH(tblMovement[[#This Row],[Destination]],tblDestinations[Destination],0)),"?"))</f>
        <v/>
      </c>
      <c r="M3448" s="64">
        <f>IF(tblMovement[[#This Row],[Material]]="","",IF(LEFT(tblMovement[[#This Row],[Material]],3)="Ore",1,0))</f>
        <v/>
      </c>
      <c r="N3448" s="59">
        <f>IF(OR(tblMovement[[#This Row],[Tonnes_t]]="",tblMovement[[#This Row],[Grade_gpt]]=""),0,tblMovement[[#This Row],[Tonnes_t]]*tblMovement[[#This Row],[Grade_gpt]]/cfg_TroyOz)</f>
        <v/>
      </c>
      <c r="O3448" s="59">
        <f>IF(tblMovement[[#This Row],[Is_Ore]]=1,tblMovement[[#This Row],[Contained_oz]],0)</f>
        <v/>
      </c>
    </row>
    <row r="3449">
      <c r="A3449" s="54" t="n"/>
      <c r="B3449" s="61" t="n"/>
      <c r="C3449" s="61" t="n"/>
      <c r="D3449" s="61" t="n"/>
      <c r="E3449" s="61" t="n"/>
      <c r="F3449" s="55" t="n"/>
      <c r="G3449" s="56" t="n"/>
      <c r="H3449" s="55" t="n"/>
      <c r="I3449" s="62" t="n"/>
      <c r="J3449" s="58" t="n"/>
      <c r="K3449" s="63">
        <f>IF(tblMovement[[#This Row],[Source]]="","",IFERROR(INDEX(tblSources[Type],MATCH(tblMovement[[#This Row],[Source]],tblSources[Source],0)),"?"))</f>
        <v/>
      </c>
      <c r="L3449" s="63">
        <f>IF(tblMovement[[#This Row],[Destination]]="","",IFERROR(INDEX(tblDestinations[Type],MATCH(tblMovement[[#This Row],[Destination]],tblDestinations[Destination],0)),"?"))</f>
        <v/>
      </c>
      <c r="M3449" s="64">
        <f>IF(tblMovement[[#This Row],[Material]]="","",IF(LEFT(tblMovement[[#This Row],[Material]],3)="Ore",1,0))</f>
        <v/>
      </c>
      <c r="N3449" s="59">
        <f>IF(OR(tblMovement[[#This Row],[Tonnes_t]]="",tblMovement[[#This Row],[Grade_gpt]]=""),0,tblMovement[[#This Row],[Tonnes_t]]*tblMovement[[#This Row],[Grade_gpt]]/cfg_TroyOz)</f>
        <v/>
      </c>
      <c r="O3449" s="59">
        <f>IF(tblMovement[[#This Row],[Is_Ore]]=1,tblMovement[[#This Row],[Contained_oz]],0)</f>
        <v/>
      </c>
    </row>
    <row r="3450">
      <c r="A3450" s="54" t="n"/>
      <c r="B3450" s="61" t="n"/>
      <c r="C3450" s="61" t="n"/>
      <c r="D3450" s="61" t="n"/>
      <c r="E3450" s="61" t="n"/>
      <c r="F3450" s="55" t="n"/>
      <c r="G3450" s="56" t="n"/>
      <c r="H3450" s="55" t="n"/>
      <c r="I3450" s="62" t="n"/>
      <c r="J3450" s="58" t="n"/>
      <c r="K3450" s="63">
        <f>IF(tblMovement[[#This Row],[Source]]="","",IFERROR(INDEX(tblSources[Type],MATCH(tblMovement[[#This Row],[Source]],tblSources[Source],0)),"?"))</f>
        <v/>
      </c>
      <c r="L3450" s="63">
        <f>IF(tblMovement[[#This Row],[Destination]]="","",IFERROR(INDEX(tblDestinations[Type],MATCH(tblMovement[[#This Row],[Destination]],tblDestinations[Destination],0)),"?"))</f>
        <v/>
      </c>
      <c r="M3450" s="64">
        <f>IF(tblMovement[[#This Row],[Material]]="","",IF(LEFT(tblMovement[[#This Row],[Material]],3)="Ore",1,0))</f>
        <v/>
      </c>
      <c r="N3450" s="59">
        <f>IF(OR(tblMovement[[#This Row],[Tonnes_t]]="",tblMovement[[#This Row],[Grade_gpt]]=""),0,tblMovement[[#This Row],[Tonnes_t]]*tblMovement[[#This Row],[Grade_gpt]]/cfg_TroyOz)</f>
        <v/>
      </c>
      <c r="O3450" s="59">
        <f>IF(tblMovement[[#This Row],[Is_Ore]]=1,tblMovement[[#This Row],[Contained_oz]],0)</f>
        <v/>
      </c>
    </row>
    <row r="3451">
      <c r="A3451" s="54" t="n"/>
      <c r="B3451" s="61" t="n"/>
      <c r="C3451" s="61" t="n"/>
      <c r="D3451" s="61" t="n"/>
      <c r="E3451" s="61" t="n"/>
      <c r="F3451" s="55" t="n"/>
      <c r="G3451" s="56" t="n"/>
      <c r="H3451" s="55" t="n"/>
      <c r="I3451" s="62" t="n"/>
      <c r="J3451" s="58" t="n"/>
      <c r="K3451" s="63">
        <f>IF(tblMovement[[#This Row],[Source]]="","",IFERROR(INDEX(tblSources[Type],MATCH(tblMovement[[#This Row],[Source]],tblSources[Source],0)),"?"))</f>
        <v/>
      </c>
      <c r="L3451" s="63">
        <f>IF(tblMovement[[#This Row],[Destination]]="","",IFERROR(INDEX(tblDestinations[Type],MATCH(tblMovement[[#This Row],[Destination]],tblDestinations[Destination],0)),"?"))</f>
        <v/>
      </c>
      <c r="M3451" s="64">
        <f>IF(tblMovement[[#This Row],[Material]]="","",IF(LEFT(tblMovement[[#This Row],[Material]],3)="Ore",1,0))</f>
        <v/>
      </c>
      <c r="N3451" s="59">
        <f>IF(OR(tblMovement[[#This Row],[Tonnes_t]]="",tblMovement[[#This Row],[Grade_gpt]]=""),0,tblMovement[[#This Row],[Tonnes_t]]*tblMovement[[#This Row],[Grade_gpt]]/cfg_TroyOz)</f>
        <v/>
      </c>
      <c r="O3451" s="59">
        <f>IF(tblMovement[[#This Row],[Is_Ore]]=1,tblMovement[[#This Row],[Contained_oz]],0)</f>
        <v/>
      </c>
    </row>
    <row r="3452">
      <c r="A3452" s="54" t="n"/>
      <c r="B3452" s="61" t="n"/>
      <c r="C3452" s="61" t="n"/>
      <c r="D3452" s="61" t="n"/>
      <c r="E3452" s="61" t="n"/>
      <c r="F3452" s="55" t="n"/>
      <c r="G3452" s="56" t="n"/>
      <c r="H3452" s="55" t="n"/>
      <c r="I3452" s="62" t="n"/>
      <c r="J3452" s="58" t="n"/>
      <c r="K3452" s="63">
        <f>IF(tblMovement[[#This Row],[Source]]="","",IFERROR(INDEX(tblSources[Type],MATCH(tblMovement[[#This Row],[Source]],tblSources[Source],0)),"?"))</f>
        <v/>
      </c>
      <c r="L3452" s="63">
        <f>IF(tblMovement[[#This Row],[Destination]]="","",IFERROR(INDEX(tblDestinations[Type],MATCH(tblMovement[[#This Row],[Destination]],tblDestinations[Destination],0)),"?"))</f>
        <v/>
      </c>
      <c r="M3452" s="64">
        <f>IF(tblMovement[[#This Row],[Material]]="","",IF(LEFT(tblMovement[[#This Row],[Material]],3)="Ore",1,0))</f>
        <v/>
      </c>
      <c r="N3452" s="59">
        <f>IF(OR(tblMovement[[#This Row],[Tonnes_t]]="",tblMovement[[#This Row],[Grade_gpt]]=""),0,tblMovement[[#This Row],[Tonnes_t]]*tblMovement[[#This Row],[Grade_gpt]]/cfg_TroyOz)</f>
        <v/>
      </c>
      <c r="O3452" s="59">
        <f>IF(tblMovement[[#This Row],[Is_Ore]]=1,tblMovement[[#This Row],[Contained_oz]],0)</f>
        <v/>
      </c>
    </row>
    <row r="3453">
      <c r="A3453" s="54" t="n"/>
      <c r="B3453" s="61" t="n"/>
      <c r="C3453" s="61" t="n"/>
      <c r="D3453" s="61" t="n"/>
      <c r="E3453" s="61" t="n"/>
      <c r="F3453" s="55" t="n"/>
      <c r="G3453" s="56" t="n"/>
      <c r="H3453" s="55" t="n"/>
      <c r="I3453" s="62" t="n"/>
      <c r="J3453" s="58" t="n"/>
      <c r="K3453" s="63">
        <f>IF(tblMovement[[#This Row],[Source]]="","",IFERROR(INDEX(tblSources[Type],MATCH(tblMovement[[#This Row],[Source]],tblSources[Source],0)),"?"))</f>
        <v/>
      </c>
      <c r="L3453" s="63">
        <f>IF(tblMovement[[#This Row],[Destination]]="","",IFERROR(INDEX(tblDestinations[Type],MATCH(tblMovement[[#This Row],[Destination]],tblDestinations[Destination],0)),"?"))</f>
        <v/>
      </c>
      <c r="M3453" s="64">
        <f>IF(tblMovement[[#This Row],[Material]]="","",IF(LEFT(tblMovement[[#This Row],[Material]],3)="Ore",1,0))</f>
        <v/>
      </c>
      <c r="N3453" s="59">
        <f>IF(OR(tblMovement[[#This Row],[Tonnes_t]]="",tblMovement[[#This Row],[Grade_gpt]]=""),0,tblMovement[[#This Row],[Tonnes_t]]*tblMovement[[#This Row],[Grade_gpt]]/cfg_TroyOz)</f>
        <v/>
      </c>
      <c r="O3453" s="59">
        <f>IF(tblMovement[[#This Row],[Is_Ore]]=1,tblMovement[[#This Row],[Contained_oz]],0)</f>
        <v/>
      </c>
    </row>
    <row r="3454">
      <c r="A3454" s="54" t="n"/>
      <c r="B3454" s="61" t="n"/>
      <c r="C3454" s="61" t="n"/>
      <c r="D3454" s="61" t="n"/>
      <c r="E3454" s="61" t="n"/>
      <c r="F3454" s="55" t="n"/>
      <c r="G3454" s="56" t="n"/>
      <c r="H3454" s="55" t="n"/>
      <c r="I3454" s="62" t="n"/>
      <c r="J3454" s="58" t="n"/>
      <c r="K3454" s="63">
        <f>IF(tblMovement[[#This Row],[Source]]="","",IFERROR(INDEX(tblSources[Type],MATCH(tblMovement[[#This Row],[Source]],tblSources[Source],0)),"?"))</f>
        <v/>
      </c>
      <c r="L3454" s="63">
        <f>IF(tblMovement[[#This Row],[Destination]]="","",IFERROR(INDEX(tblDestinations[Type],MATCH(tblMovement[[#This Row],[Destination]],tblDestinations[Destination],0)),"?"))</f>
        <v/>
      </c>
      <c r="M3454" s="64">
        <f>IF(tblMovement[[#This Row],[Material]]="","",IF(LEFT(tblMovement[[#This Row],[Material]],3)="Ore",1,0))</f>
        <v/>
      </c>
      <c r="N3454" s="59">
        <f>IF(OR(tblMovement[[#This Row],[Tonnes_t]]="",tblMovement[[#This Row],[Grade_gpt]]=""),0,tblMovement[[#This Row],[Tonnes_t]]*tblMovement[[#This Row],[Grade_gpt]]/cfg_TroyOz)</f>
        <v/>
      </c>
      <c r="O3454" s="59">
        <f>IF(tblMovement[[#This Row],[Is_Ore]]=1,tblMovement[[#This Row],[Contained_oz]],0)</f>
        <v/>
      </c>
    </row>
    <row r="3455">
      <c r="A3455" s="54" t="n"/>
      <c r="B3455" s="61" t="n"/>
      <c r="C3455" s="61" t="n"/>
      <c r="D3455" s="61" t="n"/>
      <c r="E3455" s="61" t="n"/>
      <c r="F3455" s="55" t="n"/>
      <c r="G3455" s="56" t="n"/>
      <c r="H3455" s="55" t="n"/>
      <c r="I3455" s="62" t="n"/>
      <c r="J3455" s="58" t="n"/>
      <c r="K3455" s="63">
        <f>IF(tblMovement[[#This Row],[Source]]="","",IFERROR(INDEX(tblSources[Type],MATCH(tblMovement[[#This Row],[Source]],tblSources[Source],0)),"?"))</f>
        <v/>
      </c>
      <c r="L3455" s="63">
        <f>IF(tblMovement[[#This Row],[Destination]]="","",IFERROR(INDEX(tblDestinations[Type],MATCH(tblMovement[[#This Row],[Destination]],tblDestinations[Destination],0)),"?"))</f>
        <v/>
      </c>
      <c r="M3455" s="64">
        <f>IF(tblMovement[[#This Row],[Material]]="","",IF(LEFT(tblMovement[[#This Row],[Material]],3)="Ore",1,0))</f>
        <v/>
      </c>
      <c r="N3455" s="59">
        <f>IF(OR(tblMovement[[#This Row],[Tonnes_t]]="",tblMovement[[#This Row],[Grade_gpt]]=""),0,tblMovement[[#This Row],[Tonnes_t]]*tblMovement[[#This Row],[Grade_gpt]]/cfg_TroyOz)</f>
        <v/>
      </c>
      <c r="O3455" s="59">
        <f>IF(tblMovement[[#This Row],[Is_Ore]]=1,tblMovement[[#This Row],[Contained_oz]],0)</f>
        <v/>
      </c>
    </row>
    <row r="3456">
      <c r="A3456" s="54" t="n"/>
      <c r="B3456" s="61" t="n"/>
      <c r="C3456" s="61" t="n"/>
      <c r="D3456" s="61" t="n"/>
      <c r="E3456" s="61" t="n"/>
      <c r="F3456" s="55" t="n"/>
      <c r="G3456" s="56" t="n"/>
      <c r="H3456" s="55" t="n"/>
      <c r="I3456" s="62" t="n"/>
      <c r="J3456" s="58" t="n"/>
      <c r="K3456" s="63">
        <f>IF(tblMovement[[#This Row],[Source]]="","",IFERROR(INDEX(tblSources[Type],MATCH(tblMovement[[#This Row],[Source]],tblSources[Source],0)),"?"))</f>
        <v/>
      </c>
      <c r="L3456" s="63">
        <f>IF(tblMovement[[#This Row],[Destination]]="","",IFERROR(INDEX(tblDestinations[Type],MATCH(tblMovement[[#This Row],[Destination]],tblDestinations[Destination],0)),"?"))</f>
        <v/>
      </c>
      <c r="M3456" s="64">
        <f>IF(tblMovement[[#This Row],[Material]]="","",IF(LEFT(tblMovement[[#This Row],[Material]],3)="Ore",1,0))</f>
        <v/>
      </c>
      <c r="N3456" s="59">
        <f>IF(OR(tblMovement[[#This Row],[Tonnes_t]]="",tblMovement[[#This Row],[Grade_gpt]]=""),0,tblMovement[[#This Row],[Tonnes_t]]*tblMovement[[#This Row],[Grade_gpt]]/cfg_TroyOz)</f>
        <v/>
      </c>
      <c r="O3456" s="59">
        <f>IF(tblMovement[[#This Row],[Is_Ore]]=1,tblMovement[[#This Row],[Contained_oz]],0)</f>
        <v/>
      </c>
    </row>
    <row r="3457">
      <c r="A3457" s="54" t="n"/>
      <c r="B3457" s="61" t="n"/>
      <c r="C3457" s="61" t="n"/>
      <c r="D3457" s="61" t="n"/>
      <c r="E3457" s="61" t="n"/>
      <c r="F3457" s="55" t="n"/>
      <c r="G3457" s="56" t="n"/>
      <c r="H3457" s="55" t="n"/>
      <c r="I3457" s="62" t="n"/>
      <c r="J3457" s="58" t="n"/>
      <c r="K3457" s="63">
        <f>IF(tblMovement[[#This Row],[Source]]="","",IFERROR(INDEX(tblSources[Type],MATCH(tblMovement[[#This Row],[Source]],tblSources[Source],0)),"?"))</f>
        <v/>
      </c>
      <c r="L3457" s="63">
        <f>IF(tblMovement[[#This Row],[Destination]]="","",IFERROR(INDEX(tblDestinations[Type],MATCH(tblMovement[[#This Row],[Destination]],tblDestinations[Destination],0)),"?"))</f>
        <v/>
      </c>
      <c r="M3457" s="64">
        <f>IF(tblMovement[[#This Row],[Material]]="","",IF(LEFT(tblMovement[[#This Row],[Material]],3)="Ore",1,0))</f>
        <v/>
      </c>
      <c r="N3457" s="59">
        <f>IF(OR(tblMovement[[#This Row],[Tonnes_t]]="",tblMovement[[#This Row],[Grade_gpt]]=""),0,tblMovement[[#This Row],[Tonnes_t]]*tblMovement[[#This Row],[Grade_gpt]]/cfg_TroyOz)</f>
        <v/>
      </c>
      <c r="O3457" s="59">
        <f>IF(tblMovement[[#This Row],[Is_Ore]]=1,tblMovement[[#This Row],[Contained_oz]],0)</f>
        <v/>
      </c>
    </row>
    <row r="3458">
      <c r="A3458" s="54" t="n"/>
      <c r="B3458" s="61" t="n"/>
      <c r="C3458" s="61" t="n"/>
      <c r="D3458" s="61" t="n"/>
      <c r="E3458" s="61" t="n"/>
      <c r="F3458" s="55" t="n"/>
      <c r="G3458" s="56" t="n"/>
      <c r="H3458" s="55" t="n"/>
      <c r="I3458" s="62" t="n"/>
      <c r="J3458" s="58" t="n"/>
      <c r="K3458" s="63">
        <f>IF(tblMovement[[#This Row],[Source]]="","",IFERROR(INDEX(tblSources[Type],MATCH(tblMovement[[#This Row],[Source]],tblSources[Source],0)),"?"))</f>
        <v/>
      </c>
      <c r="L3458" s="63">
        <f>IF(tblMovement[[#This Row],[Destination]]="","",IFERROR(INDEX(tblDestinations[Type],MATCH(tblMovement[[#This Row],[Destination]],tblDestinations[Destination],0)),"?"))</f>
        <v/>
      </c>
      <c r="M3458" s="64">
        <f>IF(tblMovement[[#This Row],[Material]]="","",IF(LEFT(tblMovement[[#This Row],[Material]],3)="Ore",1,0))</f>
        <v/>
      </c>
      <c r="N3458" s="59">
        <f>IF(OR(tblMovement[[#This Row],[Tonnes_t]]="",tblMovement[[#This Row],[Grade_gpt]]=""),0,tblMovement[[#This Row],[Tonnes_t]]*tblMovement[[#This Row],[Grade_gpt]]/cfg_TroyOz)</f>
        <v/>
      </c>
      <c r="O3458" s="59">
        <f>IF(tblMovement[[#This Row],[Is_Ore]]=1,tblMovement[[#This Row],[Contained_oz]],0)</f>
        <v/>
      </c>
    </row>
    <row r="3459">
      <c r="A3459" s="54" t="n"/>
      <c r="B3459" s="61" t="n"/>
      <c r="C3459" s="61" t="n"/>
      <c r="D3459" s="61" t="n"/>
      <c r="E3459" s="61" t="n"/>
      <c r="F3459" s="55" t="n"/>
      <c r="G3459" s="56" t="n"/>
      <c r="H3459" s="55" t="n"/>
      <c r="I3459" s="62" t="n"/>
      <c r="J3459" s="58" t="n"/>
      <c r="K3459" s="63">
        <f>IF(tblMovement[[#This Row],[Source]]="","",IFERROR(INDEX(tblSources[Type],MATCH(tblMovement[[#This Row],[Source]],tblSources[Source],0)),"?"))</f>
        <v/>
      </c>
      <c r="L3459" s="63">
        <f>IF(tblMovement[[#This Row],[Destination]]="","",IFERROR(INDEX(tblDestinations[Type],MATCH(tblMovement[[#This Row],[Destination]],tblDestinations[Destination],0)),"?"))</f>
        <v/>
      </c>
      <c r="M3459" s="64">
        <f>IF(tblMovement[[#This Row],[Material]]="","",IF(LEFT(tblMovement[[#This Row],[Material]],3)="Ore",1,0))</f>
        <v/>
      </c>
      <c r="N3459" s="59">
        <f>IF(OR(tblMovement[[#This Row],[Tonnes_t]]="",tblMovement[[#This Row],[Grade_gpt]]=""),0,tblMovement[[#This Row],[Tonnes_t]]*tblMovement[[#This Row],[Grade_gpt]]/cfg_TroyOz)</f>
        <v/>
      </c>
      <c r="O3459" s="59">
        <f>IF(tblMovement[[#This Row],[Is_Ore]]=1,tblMovement[[#This Row],[Contained_oz]],0)</f>
        <v/>
      </c>
    </row>
    <row r="3460">
      <c r="A3460" s="54" t="n"/>
      <c r="B3460" s="61" t="n"/>
      <c r="C3460" s="61" t="n"/>
      <c r="D3460" s="61" t="n"/>
      <c r="E3460" s="61" t="n"/>
      <c r="F3460" s="55" t="n"/>
      <c r="G3460" s="56" t="n"/>
      <c r="H3460" s="55" t="n"/>
      <c r="I3460" s="62" t="n"/>
      <c r="J3460" s="58" t="n"/>
      <c r="K3460" s="63">
        <f>IF(tblMovement[[#This Row],[Source]]="","",IFERROR(INDEX(tblSources[Type],MATCH(tblMovement[[#This Row],[Source]],tblSources[Source],0)),"?"))</f>
        <v/>
      </c>
      <c r="L3460" s="63">
        <f>IF(tblMovement[[#This Row],[Destination]]="","",IFERROR(INDEX(tblDestinations[Type],MATCH(tblMovement[[#This Row],[Destination]],tblDestinations[Destination],0)),"?"))</f>
        <v/>
      </c>
      <c r="M3460" s="64">
        <f>IF(tblMovement[[#This Row],[Material]]="","",IF(LEFT(tblMovement[[#This Row],[Material]],3)="Ore",1,0))</f>
        <v/>
      </c>
      <c r="N3460" s="59">
        <f>IF(OR(tblMovement[[#This Row],[Tonnes_t]]="",tblMovement[[#This Row],[Grade_gpt]]=""),0,tblMovement[[#This Row],[Tonnes_t]]*tblMovement[[#This Row],[Grade_gpt]]/cfg_TroyOz)</f>
        <v/>
      </c>
      <c r="O3460" s="59">
        <f>IF(tblMovement[[#This Row],[Is_Ore]]=1,tblMovement[[#This Row],[Contained_oz]],0)</f>
        <v/>
      </c>
    </row>
    <row r="3461">
      <c r="A3461" s="54" t="n"/>
      <c r="B3461" s="61" t="n"/>
      <c r="C3461" s="61" t="n"/>
      <c r="D3461" s="61" t="n"/>
      <c r="E3461" s="61" t="n"/>
      <c r="F3461" s="55" t="n"/>
      <c r="G3461" s="56" t="n"/>
      <c r="H3461" s="55" t="n"/>
      <c r="I3461" s="62" t="n"/>
      <c r="J3461" s="58" t="n"/>
      <c r="K3461" s="63">
        <f>IF(tblMovement[[#This Row],[Source]]="","",IFERROR(INDEX(tblSources[Type],MATCH(tblMovement[[#This Row],[Source]],tblSources[Source],0)),"?"))</f>
        <v/>
      </c>
      <c r="L3461" s="63">
        <f>IF(tblMovement[[#This Row],[Destination]]="","",IFERROR(INDEX(tblDestinations[Type],MATCH(tblMovement[[#This Row],[Destination]],tblDestinations[Destination],0)),"?"))</f>
        <v/>
      </c>
      <c r="M3461" s="64">
        <f>IF(tblMovement[[#This Row],[Material]]="","",IF(LEFT(tblMovement[[#This Row],[Material]],3)="Ore",1,0))</f>
        <v/>
      </c>
      <c r="N3461" s="59">
        <f>IF(OR(tblMovement[[#This Row],[Tonnes_t]]="",tblMovement[[#This Row],[Grade_gpt]]=""),0,tblMovement[[#This Row],[Tonnes_t]]*tblMovement[[#This Row],[Grade_gpt]]/cfg_TroyOz)</f>
        <v/>
      </c>
      <c r="O3461" s="59">
        <f>IF(tblMovement[[#This Row],[Is_Ore]]=1,tblMovement[[#This Row],[Contained_oz]],0)</f>
        <v/>
      </c>
    </row>
    <row r="3462">
      <c r="A3462" s="54" t="n"/>
      <c r="B3462" s="61" t="n"/>
      <c r="C3462" s="61" t="n"/>
      <c r="D3462" s="61" t="n"/>
      <c r="E3462" s="61" t="n"/>
      <c r="F3462" s="55" t="n"/>
      <c r="G3462" s="56" t="n"/>
      <c r="H3462" s="55" t="n"/>
      <c r="I3462" s="62" t="n"/>
      <c r="J3462" s="58" t="n"/>
      <c r="K3462" s="63">
        <f>IF(tblMovement[[#This Row],[Source]]="","",IFERROR(INDEX(tblSources[Type],MATCH(tblMovement[[#This Row],[Source]],tblSources[Source],0)),"?"))</f>
        <v/>
      </c>
      <c r="L3462" s="63">
        <f>IF(tblMovement[[#This Row],[Destination]]="","",IFERROR(INDEX(tblDestinations[Type],MATCH(tblMovement[[#This Row],[Destination]],tblDestinations[Destination],0)),"?"))</f>
        <v/>
      </c>
      <c r="M3462" s="64">
        <f>IF(tblMovement[[#This Row],[Material]]="","",IF(LEFT(tblMovement[[#This Row],[Material]],3)="Ore",1,0))</f>
        <v/>
      </c>
      <c r="N3462" s="59">
        <f>IF(OR(tblMovement[[#This Row],[Tonnes_t]]="",tblMovement[[#This Row],[Grade_gpt]]=""),0,tblMovement[[#This Row],[Tonnes_t]]*tblMovement[[#This Row],[Grade_gpt]]/cfg_TroyOz)</f>
        <v/>
      </c>
      <c r="O3462" s="59">
        <f>IF(tblMovement[[#This Row],[Is_Ore]]=1,tblMovement[[#This Row],[Contained_oz]],0)</f>
        <v/>
      </c>
    </row>
    <row r="3463">
      <c r="A3463" s="54" t="n"/>
      <c r="B3463" s="61" t="n"/>
      <c r="C3463" s="61" t="n"/>
      <c r="D3463" s="61" t="n"/>
      <c r="E3463" s="61" t="n"/>
      <c r="F3463" s="55" t="n"/>
      <c r="G3463" s="56" t="n"/>
      <c r="H3463" s="55" t="n"/>
      <c r="I3463" s="62" t="n"/>
      <c r="J3463" s="58" t="n"/>
      <c r="K3463" s="63">
        <f>IF(tblMovement[[#This Row],[Source]]="","",IFERROR(INDEX(tblSources[Type],MATCH(tblMovement[[#This Row],[Source]],tblSources[Source],0)),"?"))</f>
        <v/>
      </c>
      <c r="L3463" s="63">
        <f>IF(tblMovement[[#This Row],[Destination]]="","",IFERROR(INDEX(tblDestinations[Type],MATCH(tblMovement[[#This Row],[Destination]],tblDestinations[Destination],0)),"?"))</f>
        <v/>
      </c>
      <c r="M3463" s="64">
        <f>IF(tblMovement[[#This Row],[Material]]="","",IF(LEFT(tblMovement[[#This Row],[Material]],3)="Ore",1,0))</f>
        <v/>
      </c>
      <c r="N3463" s="59">
        <f>IF(OR(tblMovement[[#This Row],[Tonnes_t]]="",tblMovement[[#This Row],[Grade_gpt]]=""),0,tblMovement[[#This Row],[Tonnes_t]]*tblMovement[[#This Row],[Grade_gpt]]/cfg_TroyOz)</f>
        <v/>
      </c>
      <c r="O3463" s="59">
        <f>IF(tblMovement[[#This Row],[Is_Ore]]=1,tblMovement[[#This Row],[Contained_oz]],0)</f>
        <v/>
      </c>
    </row>
    <row r="3464">
      <c r="A3464" s="54" t="n"/>
      <c r="B3464" s="61" t="n"/>
      <c r="C3464" s="61" t="n"/>
      <c r="D3464" s="61" t="n"/>
      <c r="E3464" s="61" t="n"/>
      <c r="F3464" s="55" t="n"/>
      <c r="G3464" s="56" t="n"/>
      <c r="H3464" s="55" t="n"/>
      <c r="I3464" s="62" t="n"/>
      <c r="J3464" s="58" t="n"/>
      <c r="K3464" s="63">
        <f>IF(tblMovement[[#This Row],[Source]]="","",IFERROR(INDEX(tblSources[Type],MATCH(tblMovement[[#This Row],[Source]],tblSources[Source],0)),"?"))</f>
        <v/>
      </c>
      <c r="L3464" s="63">
        <f>IF(tblMovement[[#This Row],[Destination]]="","",IFERROR(INDEX(tblDestinations[Type],MATCH(tblMovement[[#This Row],[Destination]],tblDestinations[Destination],0)),"?"))</f>
        <v/>
      </c>
      <c r="M3464" s="64">
        <f>IF(tblMovement[[#This Row],[Material]]="","",IF(LEFT(tblMovement[[#This Row],[Material]],3)="Ore",1,0))</f>
        <v/>
      </c>
      <c r="N3464" s="59">
        <f>IF(OR(tblMovement[[#This Row],[Tonnes_t]]="",tblMovement[[#This Row],[Grade_gpt]]=""),0,tblMovement[[#This Row],[Tonnes_t]]*tblMovement[[#This Row],[Grade_gpt]]/cfg_TroyOz)</f>
        <v/>
      </c>
      <c r="O3464" s="59">
        <f>IF(tblMovement[[#This Row],[Is_Ore]]=1,tblMovement[[#This Row],[Contained_oz]],0)</f>
        <v/>
      </c>
    </row>
    <row r="3465">
      <c r="A3465" s="54" t="n"/>
      <c r="B3465" s="61" t="n"/>
      <c r="C3465" s="61" t="n"/>
      <c r="D3465" s="61" t="n"/>
      <c r="E3465" s="61" t="n"/>
      <c r="F3465" s="55" t="n"/>
      <c r="G3465" s="56" t="n"/>
      <c r="H3465" s="55" t="n"/>
      <c r="I3465" s="62" t="n"/>
      <c r="J3465" s="58" t="n"/>
      <c r="K3465" s="63">
        <f>IF(tblMovement[[#This Row],[Source]]="","",IFERROR(INDEX(tblSources[Type],MATCH(tblMovement[[#This Row],[Source]],tblSources[Source],0)),"?"))</f>
        <v/>
      </c>
      <c r="L3465" s="63">
        <f>IF(tblMovement[[#This Row],[Destination]]="","",IFERROR(INDEX(tblDestinations[Type],MATCH(tblMovement[[#This Row],[Destination]],tblDestinations[Destination],0)),"?"))</f>
        <v/>
      </c>
      <c r="M3465" s="64">
        <f>IF(tblMovement[[#This Row],[Material]]="","",IF(LEFT(tblMovement[[#This Row],[Material]],3)="Ore",1,0))</f>
        <v/>
      </c>
      <c r="N3465" s="59">
        <f>IF(OR(tblMovement[[#This Row],[Tonnes_t]]="",tblMovement[[#This Row],[Grade_gpt]]=""),0,tblMovement[[#This Row],[Tonnes_t]]*tblMovement[[#This Row],[Grade_gpt]]/cfg_TroyOz)</f>
        <v/>
      </c>
      <c r="O3465" s="59">
        <f>IF(tblMovement[[#This Row],[Is_Ore]]=1,tblMovement[[#This Row],[Contained_oz]],0)</f>
        <v/>
      </c>
    </row>
    <row r="3466">
      <c r="A3466" s="54" t="n"/>
      <c r="B3466" s="61" t="n"/>
      <c r="C3466" s="61" t="n"/>
      <c r="D3466" s="61" t="n"/>
      <c r="E3466" s="61" t="n"/>
      <c r="F3466" s="55" t="n"/>
      <c r="G3466" s="56" t="n"/>
      <c r="H3466" s="55" t="n"/>
      <c r="I3466" s="62" t="n"/>
      <c r="J3466" s="58" t="n"/>
      <c r="K3466" s="63">
        <f>IF(tblMovement[[#This Row],[Source]]="","",IFERROR(INDEX(tblSources[Type],MATCH(tblMovement[[#This Row],[Source]],tblSources[Source],0)),"?"))</f>
        <v/>
      </c>
      <c r="L3466" s="63">
        <f>IF(tblMovement[[#This Row],[Destination]]="","",IFERROR(INDEX(tblDestinations[Type],MATCH(tblMovement[[#This Row],[Destination]],tblDestinations[Destination],0)),"?"))</f>
        <v/>
      </c>
      <c r="M3466" s="64">
        <f>IF(tblMovement[[#This Row],[Material]]="","",IF(LEFT(tblMovement[[#This Row],[Material]],3)="Ore",1,0))</f>
        <v/>
      </c>
      <c r="N3466" s="59">
        <f>IF(OR(tblMovement[[#This Row],[Tonnes_t]]="",tblMovement[[#This Row],[Grade_gpt]]=""),0,tblMovement[[#This Row],[Tonnes_t]]*tblMovement[[#This Row],[Grade_gpt]]/cfg_TroyOz)</f>
        <v/>
      </c>
      <c r="O3466" s="59">
        <f>IF(tblMovement[[#This Row],[Is_Ore]]=1,tblMovement[[#This Row],[Contained_oz]],0)</f>
        <v/>
      </c>
    </row>
    <row r="3467">
      <c r="A3467" s="54" t="n"/>
      <c r="B3467" s="61" t="n"/>
      <c r="C3467" s="61" t="n"/>
      <c r="D3467" s="61" t="n"/>
      <c r="E3467" s="61" t="n"/>
      <c r="F3467" s="55" t="n"/>
      <c r="G3467" s="56" t="n"/>
      <c r="H3467" s="55" t="n"/>
      <c r="I3467" s="62" t="n"/>
      <c r="J3467" s="58" t="n"/>
      <c r="K3467" s="63">
        <f>IF(tblMovement[[#This Row],[Source]]="","",IFERROR(INDEX(tblSources[Type],MATCH(tblMovement[[#This Row],[Source]],tblSources[Source],0)),"?"))</f>
        <v/>
      </c>
      <c r="L3467" s="63">
        <f>IF(tblMovement[[#This Row],[Destination]]="","",IFERROR(INDEX(tblDestinations[Type],MATCH(tblMovement[[#This Row],[Destination]],tblDestinations[Destination],0)),"?"))</f>
        <v/>
      </c>
      <c r="M3467" s="64">
        <f>IF(tblMovement[[#This Row],[Material]]="","",IF(LEFT(tblMovement[[#This Row],[Material]],3)="Ore",1,0))</f>
        <v/>
      </c>
      <c r="N3467" s="59">
        <f>IF(OR(tblMovement[[#This Row],[Tonnes_t]]="",tblMovement[[#This Row],[Grade_gpt]]=""),0,tblMovement[[#This Row],[Tonnes_t]]*tblMovement[[#This Row],[Grade_gpt]]/cfg_TroyOz)</f>
        <v/>
      </c>
      <c r="O3467" s="59">
        <f>IF(tblMovement[[#This Row],[Is_Ore]]=1,tblMovement[[#This Row],[Contained_oz]],0)</f>
        <v/>
      </c>
    </row>
    <row r="3468">
      <c r="A3468" s="54" t="n"/>
      <c r="B3468" s="61" t="n"/>
      <c r="C3468" s="61" t="n"/>
      <c r="D3468" s="61" t="n"/>
      <c r="E3468" s="61" t="n"/>
      <c r="F3468" s="55" t="n"/>
      <c r="G3468" s="56" t="n"/>
      <c r="H3468" s="55" t="n"/>
      <c r="I3468" s="62" t="n"/>
      <c r="J3468" s="58" t="n"/>
      <c r="K3468" s="63">
        <f>IF(tblMovement[[#This Row],[Source]]="","",IFERROR(INDEX(tblSources[Type],MATCH(tblMovement[[#This Row],[Source]],tblSources[Source],0)),"?"))</f>
        <v/>
      </c>
      <c r="L3468" s="63">
        <f>IF(tblMovement[[#This Row],[Destination]]="","",IFERROR(INDEX(tblDestinations[Type],MATCH(tblMovement[[#This Row],[Destination]],tblDestinations[Destination],0)),"?"))</f>
        <v/>
      </c>
      <c r="M3468" s="64">
        <f>IF(tblMovement[[#This Row],[Material]]="","",IF(LEFT(tblMovement[[#This Row],[Material]],3)="Ore",1,0))</f>
        <v/>
      </c>
      <c r="N3468" s="59">
        <f>IF(OR(tblMovement[[#This Row],[Tonnes_t]]="",tblMovement[[#This Row],[Grade_gpt]]=""),0,tblMovement[[#This Row],[Tonnes_t]]*tblMovement[[#This Row],[Grade_gpt]]/cfg_TroyOz)</f>
        <v/>
      </c>
      <c r="O3468" s="59">
        <f>IF(tblMovement[[#This Row],[Is_Ore]]=1,tblMovement[[#This Row],[Contained_oz]],0)</f>
        <v/>
      </c>
    </row>
    <row r="3469">
      <c r="A3469" s="54" t="n"/>
      <c r="B3469" s="61" t="n"/>
      <c r="C3469" s="61" t="n"/>
      <c r="D3469" s="61" t="n"/>
      <c r="E3469" s="61" t="n"/>
      <c r="F3469" s="55" t="n"/>
      <c r="G3469" s="56" t="n"/>
      <c r="H3469" s="55" t="n"/>
      <c r="I3469" s="62" t="n"/>
      <c r="J3469" s="58" t="n"/>
      <c r="K3469" s="63">
        <f>IF(tblMovement[[#This Row],[Source]]="","",IFERROR(INDEX(tblSources[Type],MATCH(tblMovement[[#This Row],[Source]],tblSources[Source],0)),"?"))</f>
        <v/>
      </c>
      <c r="L3469" s="63">
        <f>IF(tblMovement[[#This Row],[Destination]]="","",IFERROR(INDEX(tblDestinations[Type],MATCH(tblMovement[[#This Row],[Destination]],tblDestinations[Destination],0)),"?"))</f>
        <v/>
      </c>
      <c r="M3469" s="64">
        <f>IF(tblMovement[[#This Row],[Material]]="","",IF(LEFT(tblMovement[[#This Row],[Material]],3)="Ore",1,0))</f>
        <v/>
      </c>
      <c r="N3469" s="59">
        <f>IF(OR(tblMovement[[#This Row],[Tonnes_t]]="",tblMovement[[#This Row],[Grade_gpt]]=""),0,tblMovement[[#This Row],[Tonnes_t]]*tblMovement[[#This Row],[Grade_gpt]]/cfg_TroyOz)</f>
        <v/>
      </c>
      <c r="O3469" s="59">
        <f>IF(tblMovement[[#This Row],[Is_Ore]]=1,tblMovement[[#This Row],[Contained_oz]],0)</f>
        <v/>
      </c>
    </row>
    <row r="3470">
      <c r="A3470" s="54" t="n"/>
      <c r="B3470" s="61" t="n"/>
      <c r="C3470" s="61" t="n"/>
      <c r="D3470" s="61" t="n"/>
      <c r="E3470" s="61" t="n"/>
      <c r="F3470" s="55" t="n"/>
      <c r="G3470" s="56" t="n"/>
      <c r="H3470" s="55" t="n"/>
      <c r="I3470" s="62" t="n"/>
      <c r="J3470" s="58" t="n"/>
      <c r="K3470" s="63">
        <f>IF(tblMovement[[#This Row],[Source]]="","",IFERROR(INDEX(tblSources[Type],MATCH(tblMovement[[#This Row],[Source]],tblSources[Source],0)),"?"))</f>
        <v/>
      </c>
      <c r="L3470" s="63">
        <f>IF(tblMovement[[#This Row],[Destination]]="","",IFERROR(INDEX(tblDestinations[Type],MATCH(tblMovement[[#This Row],[Destination]],tblDestinations[Destination],0)),"?"))</f>
        <v/>
      </c>
      <c r="M3470" s="64">
        <f>IF(tblMovement[[#This Row],[Material]]="","",IF(LEFT(tblMovement[[#This Row],[Material]],3)="Ore",1,0))</f>
        <v/>
      </c>
      <c r="N3470" s="59">
        <f>IF(OR(tblMovement[[#This Row],[Tonnes_t]]="",tblMovement[[#This Row],[Grade_gpt]]=""),0,tblMovement[[#This Row],[Tonnes_t]]*tblMovement[[#This Row],[Grade_gpt]]/cfg_TroyOz)</f>
        <v/>
      </c>
      <c r="O3470" s="59">
        <f>IF(tblMovement[[#This Row],[Is_Ore]]=1,tblMovement[[#This Row],[Contained_oz]],0)</f>
        <v/>
      </c>
    </row>
    <row r="3471">
      <c r="A3471" s="54" t="n"/>
      <c r="B3471" s="61" t="n"/>
      <c r="C3471" s="61" t="n"/>
      <c r="D3471" s="61" t="n"/>
      <c r="E3471" s="61" t="n"/>
      <c r="F3471" s="55" t="n"/>
      <c r="G3471" s="56" t="n"/>
      <c r="H3471" s="55" t="n"/>
      <c r="I3471" s="62" t="n"/>
      <c r="J3471" s="58" t="n"/>
      <c r="K3471" s="63">
        <f>IF(tblMovement[[#This Row],[Source]]="","",IFERROR(INDEX(tblSources[Type],MATCH(tblMovement[[#This Row],[Source]],tblSources[Source],0)),"?"))</f>
        <v/>
      </c>
      <c r="L3471" s="63">
        <f>IF(tblMovement[[#This Row],[Destination]]="","",IFERROR(INDEX(tblDestinations[Type],MATCH(tblMovement[[#This Row],[Destination]],tblDestinations[Destination],0)),"?"))</f>
        <v/>
      </c>
      <c r="M3471" s="64">
        <f>IF(tblMovement[[#This Row],[Material]]="","",IF(LEFT(tblMovement[[#This Row],[Material]],3)="Ore",1,0))</f>
        <v/>
      </c>
      <c r="N3471" s="59">
        <f>IF(OR(tblMovement[[#This Row],[Tonnes_t]]="",tblMovement[[#This Row],[Grade_gpt]]=""),0,tblMovement[[#This Row],[Tonnes_t]]*tblMovement[[#This Row],[Grade_gpt]]/cfg_TroyOz)</f>
        <v/>
      </c>
      <c r="O3471" s="59">
        <f>IF(tblMovement[[#This Row],[Is_Ore]]=1,tblMovement[[#This Row],[Contained_oz]],0)</f>
        <v/>
      </c>
    </row>
    <row r="3472">
      <c r="A3472" s="54" t="n"/>
      <c r="B3472" s="61" t="n"/>
      <c r="C3472" s="61" t="n"/>
      <c r="D3472" s="61" t="n"/>
      <c r="E3472" s="61" t="n"/>
      <c r="F3472" s="55" t="n"/>
      <c r="G3472" s="56" t="n"/>
      <c r="H3472" s="55" t="n"/>
      <c r="I3472" s="62" t="n"/>
      <c r="J3472" s="58" t="n"/>
      <c r="K3472" s="63">
        <f>IF(tblMovement[[#This Row],[Source]]="","",IFERROR(INDEX(tblSources[Type],MATCH(tblMovement[[#This Row],[Source]],tblSources[Source],0)),"?"))</f>
        <v/>
      </c>
      <c r="L3472" s="63">
        <f>IF(tblMovement[[#This Row],[Destination]]="","",IFERROR(INDEX(tblDestinations[Type],MATCH(tblMovement[[#This Row],[Destination]],tblDestinations[Destination],0)),"?"))</f>
        <v/>
      </c>
      <c r="M3472" s="64">
        <f>IF(tblMovement[[#This Row],[Material]]="","",IF(LEFT(tblMovement[[#This Row],[Material]],3)="Ore",1,0))</f>
        <v/>
      </c>
      <c r="N3472" s="59">
        <f>IF(OR(tblMovement[[#This Row],[Tonnes_t]]="",tblMovement[[#This Row],[Grade_gpt]]=""),0,tblMovement[[#This Row],[Tonnes_t]]*tblMovement[[#This Row],[Grade_gpt]]/cfg_TroyOz)</f>
        <v/>
      </c>
      <c r="O3472" s="59">
        <f>IF(tblMovement[[#This Row],[Is_Ore]]=1,tblMovement[[#This Row],[Contained_oz]],0)</f>
        <v/>
      </c>
    </row>
    <row r="3473">
      <c r="A3473" s="54" t="n"/>
      <c r="B3473" s="61" t="n"/>
      <c r="C3473" s="61" t="n"/>
      <c r="D3473" s="61" t="n"/>
      <c r="E3473" s="61" t="n"/>
      <c r="F3473" s="55" t="n"/>
      <c r="G3473" s="56" t="n"/>
      <c r="H3473" s="55" t="n"/>
      <c r="I3473" s="62" t="n"/>
      <c r="J3473" s="58" t="n"/>
      <c r="K3473" s="63">
        <f>IF(tblMovement[[#This Row],[Source]]="","",IFERROR(INDEX(tblSources[Type],MATCH(tblMovement[[#This Row],[Source]],tblSources[Source],0)),"?"))</f>
        <v/>
      </c>
      <c r="L3473" s="63">
        <f>IF(tblMovement[[#This Row],[Destination]]="","",IFERROR(INDEX(tblDestinations[Type],MATCH(tblMovement[[#This Row],[Destination]],tblDestinations[Destination],0)),"?"))</f>
        <v/>
      </c>
      <c r="M3473" s="64">
        <f>IF(tblMovement[[#This Row],[Material]]="","",IF(LEFT(tblMovement[[#This Row],[Material]],3)="Ore",1,0))</f>
        <v/>
      </c>
      <c r="N3473" s="59">
        <f>IF(OR(tblMovement[[#This Row],[Tonnes_t]]="",tblMovement[[#This Row],[Grade_gpt]]=""),0,tblMovement[[#This Row],[Tonnes_t]]*tblMovement[[#This Row],[Grade_gpt]]/cfg_TroyOz)</f>
        <v/>
      </c>
      <c r="O3473" s="59">
        <f>IF(tblMovement[[#This Row],[Is_Ore]]=1,tblMovement[[#This Row],[Contained_oz]],0)</f>
        <v/>
      </c>
    </row>
    <row r="3474">
      <c r="A3474" s="54" t="n"/>
      <c r="B3474" s="61" t="n"/>
      <c r="C3474" s="61" t="n"/>
      <c r="D3474" s="61" t="n"/>
      <c r="E3474" s="61" t="n"/>
      <c r="F3474" s="55" t="n"/>
      <c r="G3474" s="56" t="n"/>
      <c r="H3474" s="55" t="n"/>
      <c r="I3474" s="62" t="n"/>
      <c r="J3474" s="58" t="n"/>
      <c r="K3474" s="63">
        <f>IF(tblMovement[[#This Row],[Source]]="","",IFERROR(INDEX(tblSources[Type],MATCH(tblMovement[[#This Row],[Source]],tblSources[Source],0)),"?"))</f>
        <v/>
      </c>
      <c r="L3474" s="63">
        <f>IF(tblMovement[[#This Row],[Destination]]="","",IFERROR(INDEX(tblDestinations[Type],MATCH(tblMovement[[#This Row],[Destination]],tblDestinations[Destination],0)),"?"))</f>
        <v/>
      </c>
      <c r="M3474" s="64">
        <f>IF(tblMovement[[#This Row],[Material]]="","",IF(LEFT(tblMovement[[#This Row],[Material]],3)="Ore",1,0))</f>
        <v/>
      </c>
      <c r="N3474" s="59">
        <f>IF(OR(tblMovement[[#This Row],[Tonnes_t]]="",tblMovement[[#This Row],[Grade_gpt]]=""),0,tblMovement[[#This Row],[Tonnes_t]]*tblMovement[[#This Row],[Grade_gpt]]/cfg_TroyOz)</f>
        <v/>
      </c>
      <c r="O3474" s="59">
        <f>IF(tblMovement[[#This Row],[Is_Ore]]=1,tblMovement[[#This Row],[Contained_oz]],0)</f>
        <v/>
      </c>
    </row>
    <row r="3475">
      <c r="A3475" s="54" t="n"/>
      <c r="B3475" s="61" t="n"/>
      <c r="C3475" s="61" t="n"/>
      <c r="D3475" s="61" t="n"/>
      <c r="E3475" s="61" t="n"/>
      <c r="F3475" s="55" t="n"/>
      <c r="G3475" s="56" t="n"/>
      <c r="H3475" s="55" t="n"/>
      <c r="I3475" s="62" t="n"/>
      <c r="J3475" s="58" t="n"/>
      <c r="K3475" s="63">
        <f>IF(tblMovement[[#This Row],[Source]]="","",IFERROR(INDEX(tblSources[Type],MATCH(tblMovement[[#This Row],[Source]],tblSources[Source],0)),"?"))</f>
        <v/>
      </c>
      <c r="L3475" s="63">
        <f>IF(tblMovement[[#This Row],[Destination]]="","",IFERROR(INDEX(tblDestinations[Type],MATCH(tblMovement[[#This Row],[Destination]],tblDestinations[Destination],0)),"?"))</f>
        <v/>
      </c>
      <c r="M3475" s="64">
        <f>IF(tblMovement[[#This Row],[Material]]="","",IF(LEFT(tblMovement[[#This Row],[Material]],3)="Ore",1,0))</f>
        <v/>
      </c>
      <c r="N3475" s="59">
        <f>IF(OR(tblMovement[[#This Row],[Tonnes_t]]="",tblMovement[[#This Row],[Grade_gpt]]=""),0,tblMovement[[#This Row],[Tonnes_t]]*tblMovement[[#This Row],[Grade_gpt]]/cfg_TroyOz)</f>
        <v/>
      </c>
      <c r="O3475" s="59">
        <f>IF(tblMovement[[#This Row],[Is_Ore]]=1,tblMovement[[#This Row],[Contained_oz]],0)</f>
        <v/>
      </c>
    </row>
    <row r="3476">
      <c r="A3476" s="54" t="n"/>
      <c r="B3476" s="61" t="n"/>
      <c r="C3476" s="61" t="n"/>
      <c r="D3476" s="61" t="n"/>
      <c r="E3476" s="61" t="n"/>
      <c r="F3476" s="55" t="n"/>
      <c r="G3476" s="56" t="n"/>
      <c r="H3476" s="55" t="n"/>
      <c r="I3476" s="62" t="n"/>
      <c r="J3476" s="58" t="n"/>
      <c r="K3476" s="63">
        <f>IF(tblMovement[[#This Row],[Source]]="","",IFERROR(INDEX(tblSources[Type],MATCH(tblMovement[[#This Row],[Source]],tblSources[Source],0)),"?"))</f>
        <v/>
      </c>
      <c r="L3476" s="63">
        <f>IF(tblMovement[[#This Row],[Destination]]="","",IFERROR(INDEX(tblDestinations[Type],MATCH(tblMovement[[#This Row],[Destination]],tblDestinations[Destination],0)),"?"))</f>
        <v/>
      </c>
      <c r="M3476" s="64">
        <f>IF(tblMovement[[#This Row],[Material]]="","",IF(LEFT(tblMovement[[#This Row],[Material]],3)="Ore",1,0))</f>
        <v/>
      </c>
      <c r="N3476" s="59">
        <f>IF(OR(tblMovement[[#This Row],[Tonnes_t]]="",tblMovement[[#This Row],[Grade_gpt]]=""),0,tblMovement[[#This Row],[Tonnes_t]]*tblMovement[[#This Row],[Grade_gpt]]/cfg_TroyOz)</f>
        <v/>
      </c>
      <c r="O3476" s="59">
        <f>IF(tblMovement[[#This Row],[Is_Ore]]=1,tblMovement[[#This Row],[Contained_oz]],0)</f>
        <v/>
      </c>
    </row>
    <row r="3477">
      <c r="A3477" s="54" t="n"/>
      <c r="B3477" s="61" t="n"/>
      <c r="C3477" s="61" t="n"/>
      <c r="D3477" s="61" t="n"/>
      <c r="E3477" s="61" t="n"/>
      <c r="F3477" s="55" t="n"/>
      <c r="G3477" s="56" t="n"/>
      <c r="H3477" s="55" t="n"/>
      <c r="I3477" s="62" t="n"/>
      <c r="J3477" s="58" t="n"/>
      <c r="K3477" s="63">
        <f>IF(tblMovement[[#This Row],[Source]]="","",IFERROR(INDEX(tblSources[Type],MATCH(tblMovement[[#This Row],[Source]],tblSources[Source],0)),"?"))</f>
        <v/>
      </c>
      <c r="L3477" s="63">
        <f>IF(tblMovement[[#This Row],[Destination]]="","",IFERROR(INDEX(tblDestinations[Type],MATCH(tblMovement[[#This Row],[Destination]],tblDestinations[Destination],0)),"?"))</f>
        <v/>
      </c>
      <c r="M3477" s="64">
        <f>IF(tblMovement[[#This Row],[Material]]="","",IF(LEFT(tblMovement[[#This Row],[Material]],3)="Ore",1,0))</f>
        <v/>
      </c>
      <c r="N3477" s="59">
        <f>IF(OR(tblMovement[[#This Row],[Tonnes_t]]="",tblMovement[[#This Row],[Grade_gpt]]=""),0,tblMovement[[#This Row],[Tonnes_t]]*tblMovement[[#This Row],[Grade_gpt]]/cfg_TroyOz)</f>
        <v/>
      </c>
      <c r="O3477" s="59">
        <f>IF(tblMovement[[#This Row],[Is_Ore]]=1,tblMovement[[#This Row],[Contained_oz]],0)</f>
        <v/>
      </c>
    </row>
    <row r="3478">
      <c r="A3478" s="54" t="n"/>
      <c r="B3478" s="61" t="n"/>
      <c r="C3478" s="61" t="n"/>
      <c r="D3478" s="61" t="n"/>
      <c r="E3478" s="61" t="n"/>
      <c r="F3478" s="55" t="n"/>
      <c r="G3478" s="56" t="n"/>
      <c r="H3478" s="55" t="n"/>
      <c r="I3478" s="62" t="n"/>
      <c r="J3478" s="58" t="n"/>
      <c r="K3478" s="63">
        <f>IF(tblMovement[[#This Row],[Source]]="","",IFERROR(INDEX(tblSources[Type],MATCH(tblMovement[[#This Row],[Source]],tblSources[Source],0)),"?"))</f>
        <v/>
      </c>
      <c r="L3478" s="63">
        <f>IF(tblMovement[[#This Row],[Destination]]="","",IFERROR(INDEX(tblDestinations[Type],MATCH(tblMovement[[#This Row],[Destination]],tblDestinations[Destination],0)),"?"))</f>
        <v/>
      </c>
      <c r="M3478" s="64">
        <f>IF(tblMovement[[#This Row],[Material]]="","",IF(LEFT(tblMovement[[#This Row],[Material]],3)="Ore",1,0))</f>
        <v/>
      </c>
      <c r="N3478" s="59">
        <f>IF(OR(tblMovement[[#This Row],[Tonnes_t]]="",tblMovement[[#This Row],[Grade_gpt]]=""),0,tblMovement[[#This Row],[Tonnes_t]]*tblMovement[[#This Row],[Grade_gpt]]/cfg_TroyOz)</f>
        <v/>
      </c>
      <c r="O3478" s="59">
        <f>IF(tblMovement[[#This Row],[Is_Ore]]=1,tblMovement[[#This Row],[Contained_oz]],0)</f>
        <v/>
      </c>
    </row>
    <row r="3479">
      <c r="A3479" s="54" t="n"/>
      <c r="B3479" s="61" t="n"/>
      <c r="C3479" s="61" t="n"/>
      <c r="D3479" s="61" t="n"/>
      <c r="E3479" s="61" t="n"/>
      <c r="F3479" s="55" t="n"/>
      <c r="G3479" s="56" t="n"/>
      <c r="H3479" s="55" t="n"/>
      <c r="I3479" s="62" t="n"/>
      <c r="J3479" s="58" t="n"/>
      <c r="K3479" s="63">
        <f>IF(tblMovement[[#This Row],[Source]]="","",IFERROR(INDEX(tblSources[Type],MATCH(tblMovement[[#This Row],[Source]],tblSources[Source],0)),"?"))</f>
        <v/>
      </c>
      <c r="L3479" s="63">
        <f>IF(tblMovement[[#This Row],[Destination]]="","",IFERROR(INDEX(tblDestinations[Type],MATCH(tblMovement[[#This Row],[Destination]],tblDestinations[Destination],0)),"?"))</f>
        <v/>
      </c>
      <c r="M3479" s="64">
        <f>IF(tblMovement[[#This Row],[Material]]="","",IF(LEFT(tblMovement[[#This Row],[Material]],3)="Ore",1,0))</f>
        <v/>
      </c>
      <c r="N3479" s="59">
        <f>IF(OR(tblMovement[[#This Row],[Tonnes_t]]="",tblMovement[[#This Row],[Grade_gpt]]=""),0,tblMovement[[#This Row],[Tonnes_t]]*tblMovement[[#This Row],[Grade_gpt]]/cfg_TroyOz)</f>
        <v/>
      </c>
      <c r="O3479" s="59">
        <f>IF(tblMovement[[#This Row],[Is_Ore]]=1,tblMovement[[#This Row],[Contained_oz]],0)</f>
        <v/>
      </c>
    </row>
    <row r="3480">
      <c r="A3480" s="54" t="n"/>
      <c r="B3480" s="61" t="n"/>
      <c r="C3480" s="61" t="n"/>
      <c r="D3480" s="61" t="n"/>
      <c r="E3480" s="61" t="n"/>
      <c r="F3480" s="55" t="n"/>
      <c r="G3480" s="56" t="n"/>
      <c r="H3480" s="55" t="n"/>
      <c r="I3480" s="62" t="n"/>
      <c r="J3480" s="58" t="n"/>
      <c r="K3480" s="63">
        <f>IF(tblMovement[[#This Row],[Source]]="","",IFERROR(INDEX(tblSources[Type],MATCH(tblMovement[[#This Row],[Source]],tblSources[Source],0)),"?"))</f>
        <v/>
      </c>
      <c r="L3480" s="63">
        <f>IF(tblMovement[[#This Row],[Destination]]="","",IFERROR(INDEX(tblDestinations[Type],MATCH(tblMovement[[#This Row],[Destination]],tblDestinations[Destination],0)),"?"))</f>
        <v/>
      </c>
      <c r="M3480" s="64">
        <f>IF(tblMovement[[#This Row],[Material]]="","",IF(LEFT(tblMovement[[#This Row],[Material]],3)="Ore",1,0))</f>
        <v/>
      </c>
      <c r="N3480" s="59">
        <f>IF(OR(tblMovement[[#This Row],[Tonnes_t]]="",tblMovement[[#This Row],[Grade_gpt]]=""),0,tblMovement[[#This Row],[Tonnes_t]]*tblMovement[[#This Row],[Grade_gpt]]/cfg_TroyOz)</f>
        <v/>
      </c>
      <c r="O3480" s="59">
        <f>IF(tblMovement[[#This Row],[Is_Ore]]=1,tblMovement[[#This Row],[Contained_oz]],0)</f>
        <v/>
      </c>
    </row>
    <row r="3481">
      <c r="A3481" s="54" t="n"/>
      <c r="B3481" s="61" t="n"/>
      <c r="C3481" s="61" t="n"/>
      <c r="D3481" s="61" t="n"/>
      <c r="E3481" s="61" t="n"/>
      <c r="F3481" s="55" t="n"/>
      <c r="G3481" s="56" t="n"/>
      <c r="H3481" s="55" t="n"/>
      <c r="I3481" s="62" t="n"/>
      <c r="J3481" s="58" t="n"/>
      <c r="K3481" s="63">
        <f>IF(tblMovement[[#This Row],[Source]]="","",IFERROR(INDEX(tblSources[Type],MATCH(tblMovement[[#This Row],[Source]],tblSources[Source],0)),"?"))</f>
        <v/>
      </c>
      <c r="L3481" s="63">
        <f>IF(tblMovement[[#This Row],[Destination]]="","",IFERROR(INDEX(tblDestinations[Type],MATCH(tblMovement[[#This Row],[Destination]],tblDestinations[Destination],0)),"?"))</f>
        <v/>
      </c>
      <c r="M3481" s="64">
        <f>IF(tblMovement[[#This Row],[Material]]="","",IF(LEFT(tblMovement[[#This Row],[Material]],3)="Ore",1,0))</f>
        <v/>
      </c>
      <c r="N3481" s="59">
        <f>IF(OR(tblMovement[[#This Row],[Tonnes_t]]="",tblMovement[[#This Row],[Grade_gpt]]=""),0,tblMovement[[#This Row],[Tonnes_t]]*tblMovement[[#This Row],[Grade_gpt]]/cfg_TroyOz)</f>
        <v/>
      </c>
      <c r="O3481" s="59">
        <f>IF(tblMovement[[#This Row],[Is_Ore]]=1,tblMovement[[#This Row],[Contained_oz]],0)</f>
        <v/>
      </c>
    </row>
    <row r="3482">
      <c r="A3482" s="54" t="n"/>
      <c r="B3482" s="61" t="n"/>
      <c r="C3482" s="61" t="n"/>
      <c r="D3482" s="61" t="n"/>
      <c r="E3482" s="61" t="n"/>
      <c r="F3482" s="55" t="n"/>
      <c r="G3482" s="56" t="n"/>
      <c r="H3482" s="55" t="n"/>
      <c r="I3482" s="62" t="n"/>
      <c r="J3482" s="58" t="n"/>
      <c r="K3482" s="63">
        <f>IF(tblMovement[[#This Row],[Source]]="","",IFERROR(INDEX(tblSources[Type],MATCH(tblMovement[[#This Row],[Source]],tblSources[Source],0)),"?"))</f>
        <v/>
      </c>
      <c r="L3482" s="63">
        <f>IF(tblMovement[[#This Row],[Destination]]="","",IFERROR(INDEX(tblDestinations[Type],MATCH(tblMovement[[#This Row],[Destination]],tblDestinations[Destination],0)),"?"))</f>
        <v/>
      </c>
      <c r="M3482" s="64">
        <f>IF(tblMovement[[#This Row],[Material]]="","",IF(LEFT(tblMovement[[#This Row],[Material]],3)="Ore",1,0))</f>
        <v/>
      </c>
      <c r="N3482" s="59">
        <f>IF(OR(tblMovement[[#This Row],[Tonnes_t]]="",tblMovement[[#This Row],[Grade_gpt]]=""),0,tblMovement[[#This Row],[Tonnes_t]]*tblMovement[[#This Row],[Grade_gpt]]/cfg_TroyOz)</f>
        <v/>
      </c>
      <c r="O3482" s="59">
        <f>IF(tblMovement[[#This Row],[Is_Ore]]=1,tblMovement[[#This Row],[Contained_oz]],0)</f>
        <v/>
      </c>
    </row>
    <row r="3483">
      <c r="A3483" s="54" t="n"/>
      <c r="B3483" s="61" t="n"/>
      <c r="C3483" s="61" t="n"/>
      <c r="D3483" s="61" t="n"/>
      <c r="E3483" s="61" t="n"/>
      <c r="F3483" s="55" t="n"/>
      <c r="G3483" s="56" t="n"/>
      <c r="H3483" s="55" t="n"/>
      <c r="I3483" s="62" t="n"/>
      <c r="J3483" s="58" t="n"/>
      <c r="K3483" s="63">
        <f>IF(tblMovement[[#This Row],[Source]]="","",IFERROR(INDEX(tblSources[Type],MATCH(tblMovement[[#This Row],[Source]],tblSources[Source],0)),"?"))</f>
        <v/>
      </c>
      <c r="L3483" s="63">
        <f>IF(tblMovement[[#This Row],[Destination]]="","",IFERROR(INDEX(tblDestinations[Type],MATCH(tblMovement[[#This Row],[Destination]],tblDestinations[Destination],0)),"?"))</f>
        <v/>
      </c>
      <c r="M3483" s="64">
        <f>IF(tblMovement[[#This Row],[Material]]="","",IF(LEFT(tblMovement[[#This Row],[Material]],3)="Ore",1,0))</f>
        <v/>
      </c>
      <c r="N3483" s="59">
        <f>IF(OR(tblMovement[[#This Row],[Tonnes_t]]="",tblMovement[[#This Row],[Grade_gpt]]=""),0,tblMovement[[#This Row],[Tonnes_t]]*tblMovement[[#This Row],[Grade_gpt]]/cfg_TroyOz)</f>
        <v/>
      </c>
      <c r="O3483" s="59">
        <f>IF(tblMovement[[#This Row],[Is_Ore]]=1,tblMovement[[#This Row],[Contained_oz]],0)</f>
        <v/>
      </c>
    </row>
    <row r="3484">
      <c r="A3484" s="54" t="n"/>
      <c r="B3484" s="61" t="n"/>
      <c r="C3484" s="61" t="n"/>
      <c r="D3484" s="61" t="n"/>
      <c r="E3484" s="61" t="n"/>
      <c r="F3484" s="55" t="n"/>
      <c r="G3484" s="56" t="n"/>
      <c r="H3484" s="55" t="n"/>
      <c r="I3484" s="62" t="n"/>
      <c r="J3484" s="58" t="n"/>
      <c r="K3484" s="63">
        <f>IF(tblMovement[[#This Row],[Source]]="","",IFERROR(INDEX(tblSources[Type],MATCH(tblMovement[[#This Row],[Source]],tblSources[Source],0)),"?"))</f>
        <v/>
      </c>
      <c r="L3484" s="63">
        <f>IF(tblMovement[[#This Row],[Destination]]="","",IFERROR(INDEX(tblDestinations[Type],MATCH(tblMovement[[#This Row],[Destination]],tblDestinations[Destination],0)),"?"))</f>
        <v/>
      </c>
      <c r="M3484" s="64">
        <f>IF(tblMovement[[#This Row],[Material]]="","",IF(LEFT(tblMovement[[#This Row],[Material]],3)="Ore",1,0))</f>
        <v/>
      </c>
      <c r="N3484" s="59">
        <f>IF(OR(tblMovement[[#This Row],[Tonnes_t]]="",tblMovement[[#This Row],[Grade_gpt]]=""),0,tblMovement[[#This Row],[Tonnes_t]]*tblMovement[[#This Row],[Grade_gpt]]/cfg_TroyOz)</f>
        <v/>
      </c>
      <c r="O3484" s="59">
        <f>IF(tblMovement[[#This Row],[Is_Ore]]=1,tblMovement[[#This Row],[Contained_oz]],0)</f>
        <v/>
      </c>
    </row>
    <row r="3485">
      <c r="A3485" s="54" t="n"/>
      <c r="B3485" s="61" t="n"/>
      <c r="C3485" s="61" t="n"/>
      <c r="D3485" s="61" t="n"/>
      <c r="E3485" s="61" t="n"/>
      <c r="F3485" s="55" t="n"/>
      <c r="G3485" s="56" t="n"/>
      <c r="H3485" s="55" t="n"/>
      <c r="I3485" s="62" t="n"/>
      <c r="J3485" s="58" t="n"/>
      <c r="K3485" s="63">
        <f>IF(tblMovement[[#This Row],[Source]]="","",IFERROR(INDEX(tblSources[Type],MATCH(tblMovement[[#This Row],[Source]],tblSources[Source],0)),"?"))</f>
        <v/>
      </c>
      <c r="L3485" s="63">
        <f>IF(tblMovement[[#This Row],[Destination]]="","",IFERROR(INDEX(tblDestinations[Type],MATCH(tblMovement[[#This Row],[Destination]],tblDestinations[Destination],0)),"?"))</f>
        <v/>
      </c>
      <c r="M3485" s="64">
        <f>IF(tblMovement[[#This Row],[Material]]="","",IF(LEFT(tblMovement[[#This Row],[Material]],3)="Ore",1,0))</f>
        <v/>
      </c>
      <c r="N3485" s="59">
        <f>IF(OR(tblMovement[[#This Row],[Tonnes_t]]="",tblMovement[[#This Row],[Grade_gpt]]=""),0,tblMovement[[#This Row],[Tonnes_t]]*tblMovement[[#This Row],[Grade_gpt]]/cfg_TroyOz)</f>
        <v/>
      </c>
      <c r="O3485" s="59">
        <f>IF(tblMovement[[#This Row],[Is_Ore]]=1,tblMovement[[#This Row],[Contained_oz]],0)</f>
        <v/>
      </c>
    </row>
    <row r="3486">
      <c r="A3486" s="54" t="n"/>
      <c r="B3486" s="61" t="n"/>
      <c r="C3486" s="61" t="n"/>
      <c r="D3486" s="61" t="n"/>
      <c r="E3486" s="61" t="n"/>
      <c r="F3486" s="55" t="n"/>
      <c r="G3486" s="56" t="n"/>
      <c r="H3486" s="55" t="n"/>
      <c r="I3486" s="62" t="n"/>
      <c r="J3486" s="58" t="n"/>
      <c r="K3486" s="63">
        <f>IF(tblMovement[[#This Row],[Source]]="","",IFERROR(INDEX(tblSources[Type],MATCH(tblMovement[[#This Row],[Source]],tblSources[Source],0)),"?"))</f>
        <v/>
      </c>
      <c r="L3486" s="63">
        <f>IF(tblMovement[[#This Row],[Destination]]="","",IFERROR(INDEX(tblDestinations[Type],MATCH(tblMovement[[#This Row],[Destination]],tblDestinations[Destination],0)),"?"))</f>
        <v/>
      </c>
      <c r="M3486" s="64">
        <f>IF(tblMovement[[#This Row],[Material]]="","",IF(LEFT(tblMovement[[#This Row],[Material]],3)="Ore",1,0))</f>
        <v/>
      </c>
      <c r="N3486" s="59">
        <f>IF(OR(tblMovement[[#This Row],[Tonnes_t]]="",tblMovement[[#This Row],[Grade_gpt]]=""),0,tblMovement[[#This Row],[Tonnes_t]]*tblMovement[[#This Row],[Grade_gpt]]/cfg_TroyOz)</f>
        <v/>
      </c>
      <c r="O3486" s="59">
        <f>IF(tblMovement[[#This Row],[Is_Ore]]=1,tblMovement[[#This Row],[Contained_oz]],0)</f>
        <v/>
      </c>
    </row>
    <row r="3487">
      <c r="A3487" s="54" t="n"/>
      <c r="B3487" s="61" t="n"/>
      <c r="C3487" s="61" t="n"/>
      <c r="D3487" s="61" t="n"/>
      <c r="E3487" s="61" t="n"/>
      <c r="F3487" s="55" t="n"/>
      <c r="G3487" s="56" t="n"/>
      <c r="H3487" s="55" t="n"/>
      <c r="I3487" s="62" t="n"/>
      <c r="J3487" s="58" t="n"/>
      <c r="K3487" s="63">
        <f>IF(tblMovement[[#This Row],[Source]]="","",IFERROR(INDEX(tblSources[Type],MATCH(tblMovement[[#This Row],[Source]],tblSources[Source],0)),"?"))</f>
        <v/>
      </c>
      <c r="L3487" s="63">
        <f>IF(tblMovement[[#This Row],[Destination]]="","",IFERROR(INDEX(tblDestinations[Type],MATCH(tblMovement[[#This Row],[Destination]],tblDestinations[Destination],0)),"?"))</f>
        <v/>
      </c>
      <c r="M3487" s="64">
        <f>IF(tblMovement[[#This Row],[Material]]="","",IF(LEFT(tblMovement[[#This Row],[Material]],3)="Ore",1,0))</f>
        <v/>
      </c>
      <c r="N3487" s="59">
        <f>IF(OR(tblMovement[[#This Row],[Tonnes_t]]="",tblMovement[[#This Row],[Grade_gpt]]=""),0,tblMovement[[#This Row],[Tonnes_t]]*tblMovement[[#This Row],[Grade_gpt]]/cfg_TroyOz)</f>
        <v/>
      </c>
      <c r="O3487" s="59">
        <f>IF(tblMovement[[#This Row],[Is_Ore]]=1,tblMovement[[#This Row],[Contained_oz]],0)</f>
        <v/>
      </c>
    </row>
    <row r="3488">
      <c r="A3488" s="54" t="n"/>
      <c r="B3488" s="61" t="n"/>
      <c r="C3488" s="61" t="n"/>
      <c r="D3488" s="61" t="n"/>
      <c r="E3488" s="61" t="n"/>
      <c r="F3488" s="55" t="n"/>
      <c r="G3488" s="56" t="n"/>
      <c r="H3488" s="55" t="n"/>
      <c r="I3488" s="62" t="n"/>
      <c r="J3488" s="58" t="n"/>
      <c r="K3488" s="63">
        <f>IF(tblMovement[[#This Row],[Source]]="","",IFERROR(INDEX(tblSources[Type],MATCH(tblMovement[[#This Row],[Source]],tblSources[Source],0)),"?"))</f>
        <v/>
      </c>
      <c r="L3488" s="63">
        <f>IF(tblMovement[[#This Row],[Destination]]="","",IFERROR(INDEX(tblDestinations[Type],MATCH(tblMovement[[#This Row],[Destination]],tblDestinations[Destination],0)),"?"))</f>
        <v/>
      </c>
      <c r="M3488" s="64">
        <f>IF(tblMovement[[#This Row],[Material]]="","",IF(LEFT(tblMovement[[#This Row],[Material]],3)="Ore",1,0))</f>
        <v/>
      </c>
      <c r="N3488" s="59">
        <f>IF(OR(tblMovement[[#This Row],[Tonnes_t]]="",tblMovement[[#This Row],[Grade_gpt]]=""),0,tblMovement[[#This Row],[Tonnes_t]]*tblMovement[[#This Row],[Grade_gpt]]/cfg_TroyOz)</f>
        <v/>
      </c>
      <c r="O3488" s="59">
        <f>IF(tblMovement[[#This Row],[Is_Ore]]=1,tblMovement[[#This Row],[Contained_oz]],0)</f>
        <v/>
      </c>
    </row>
    <row r="3489">
      <c r="A3489" s="54" t="n"/>
      <c r="B3489" s="61" t="n"/>
      <c r="C3489" s="61" t="n"/>
      <c r="D3489" s="61" t="n"/>
      <c r="E3489" s="61" t="n"/>
      <c r="F3489" s="55" t="n"/>
      <c r="G3489" s="56" t="n"/>
      <c r="H3489" s="55" t="n"/>
      <c r="I3489" s="62" t="n"/>
      <c r="J3489" s="58" t="n"/>
      <c r="K3489" s="63">
        <f>IF(tblMovement[[#This Row],[Source]]="","",IFERROR(INDEX(tblSources[Type],MATCH(tblMovement[[#This Row],[Source]],tblSources[Source],0)),"?"))</f>
        <v/>
      </c>
      <c r="L3489" s="63">
        <f>IF(tblMovement[[#This Row],[Destination]]="","",IFERROR(INDEX(tblDestinations[Type],MATCH(tblMovement[[#This Row],[Destination]],tblDestinations[Destination],0)),"?"))</f>
        <v/>
      </c>
      <c r="M3489" s="64">
        <f>IF(tblMovement[[#This Row],[Material]]="","",IF(LEFT(tblMovement[[#This Row],[Material]],3)="Ore",1,0))</f>
        <v/>
      </c>
      <c r="N3489" s="59">
        <f>IF(OR(tblMovement[[#This Row],[Tonnes_t]]="",tblMovement[[#This Row],[Grade_gpt]]=""),0,tblMovement[[#This Row],[Tonnes_t]]*tblMovement[[#This Row],[Grade_gpt]]/cfg_TroyOz)</f>
        <v/>
      </c>
      <c r="O3489" s="59">
        <f>IF(tblMovement[[#This Row],[Is_Ore]]=1,tblMovement[[#This Row],[Contained_oz]],0)</f>
        <v/>
      </c>
    </row>
    <row r="3490">
      <c r="A3490" s="54" t="n"/>
      <c r="B3490" s="61" t="n"/>
      <c r="C3490" s="61" t="n"/>
      <c r="D3490" s="61" t="n"/>
      <c r="E3490" s="61" t="n"/>
      <c r="F3490" s="55" t="n"/>
      <c r="G3490" s="56" t="n"/>
      <c r="H3490" s="55" t="n"/>
      <c r="I3490" s="62" t="n"/>
      <c r="J3490" s="58" t="n"/>
      <c r="K3490" s="63">
        <f>IF(tblMovement[[#This Row],[Source]]="","",IFERROR(INDEX(tblSources[Type],MATCH(tblMovement[[#This Row],[Source]],tblSources[Source],0)),"?"))</f>
        <v/>
      </c>
      <c r="L3490" s="63">
        <f>IF(tblMovement[[#This Row],[Destination]]="","",IFERROR(INDEX(tblDestinations[Type],MATCH(tblMovement[[#This Row],[Destination]],tblDestinations[Destination],0)),"?"))</f>
        <v/>
      </c>
      <c r="M3490" s="64">
        <f>IF(tblMovement[[#This Row],[Material]]="","",IF(LEFT(tblMovement[[#This Row],[Material]],3)="Ore",1,0))</f>
        <v/>
      </c>
      <c r="N3490" s="59">
        <f>IF(OR(tblMovement[[#This Row],[Tonnes_t]]="",tblMovement[[#This Row],[Grade_gpt]]=""),0,tblMovement[[#This Row],[Tonnes_t]]*tblMovement[[#This Row],[Grade_gpt]]/cfg_TroyOz)</f>
        <v/>
      </c>
      <c r="O3490" s="59">
        <f>IF(tblMovement[[#This Row],[Is_Ore]]=1,tblMovement[[#This Row],[Contained_oz]],0)</f>
        <v/>
      </c>
    </row>
    <row r="3491">
      <c r="A3491" s="54" t="n"/>
      <c r="B3491" s="61" t="n"/>
      <c r="C3491" s="61" t="n"/>
      <c r="D3491" s="61" t="n"/>
      <c r="E3491" s="61" t="n"/>
      <c r="F3491" s="55" t="n"/>
      <c r="G3491" s="56" t="n"/>
      <c r="H3491" s="55" t="n"/>
      <c r="I3491" s="62" t="n"/>
      <c r="J3491" s="58" t="n"/>
      <c r="K3491" s="63">
        <f>IF(tblMovement[[#This Row],[Source]]="","",IFERROR(INDEX(tblSources[Type],MATCH(tblMovement[[#This Row],[Source]],tblSources[Source],0)),"?"))</f>
        <v/>
      </c>
      <c r="L3491" s="63">
        <f>IF(tblMovement[[#This Row],[Destination]]="","",IFERROR(INDEX(tblDestinations[Type],MATCH(tblMovement[[#This Row],[Destination]],tblDestinations[Destination],0)),"?"))</f>
        <v/>
      </c>
      <c r="M3491" s="64">
        <f>IF(tblMovement[[#This Row],[Material]]="","",IF(LEFT(tblMovement[[#This Row],[Material]],3)="Ore",1,0))</f>
        <v/>
      </c>
      <c r="N3491" s="59">
        <f>IF(OR(tblMovement[[#This Row],[Tonnes_t]]="",tblMovement[[#This Row],[Grade_gpt]]=""),0,tblMovement[[#This Row],[Tonnes_t]]*tblMovement[[#This Row],[Grade_gpt]]/cfg_TroyOz)</f>
        <v/>
      </c>
      <c r="O3491" s="59">
        <f>IF(tblMovement[[#This Row],[Is_Ore]]=1,tblMovement[[#This Row],[Contained_oz]],0)</f>
        <v/>
      </c>
    </row>
    <row r="3492">
      <c r="A3492" s="54" t="n"/>
      <c r="B3492" s="61" t="n"/>
      <c r="C3492" s="61" t="n"/>
      <c r="D3492" s="61" t="n"/>
      <c r="E3492" s="61" t="n"/>
      <c r="F3492" s="55" t="n"/>
      <c r="G3492" s="56" t="n"/>
      <c r="H3492" s="55" t="n"/>
      <c r="I3492" s="62" t="n"/>
      <c r="J3492" s="58" t="n"/>
      <c r="K3492" s="63">
        <f>IF(tblMovement[[#This Row],[Source]]="","",IFERROR(INDEX(tblSources[Type],MATCH(tblMovement[[#This Row],[Source]],tblSources[Source],0)),"?"))</f>
        <v/>
      </c>
      <c r="L3492" s="63">
        <f>IF(tblMovement[[#This Row],[Destination]]="","",IFERROR(INDEX(tblDestinations[Type],MATCH(tblMovement[[#This Row],[Destination]],tblDestinations[Destination],0)),"?"))</f>
        <v/>
      </c>
      <c r="M3492" s="64">
        <f>IF(tblMovement[[#This Row],[Material]]="","",IF(LEFT(tblMovement[[#This Row],[Material]],3)="Ore",1,0))</f>
        <v/>
      </c>
      <c r="N3492" s="59">
        <f>IF(OR(tblMovement[[#This Row],[Tonnes_t]]="",tblMovement[[#This Row],[Grade_gpt]]=""),0,tblMovement[[#This Row],[Tonnes_t]]*tblMovement[[#This Row],[Grade_gpt]]/cfg_TroyOz)</f>
        <v/>
      </c>
      <c r="O3492" s="59">
        <f>IF(tblMovement[[#This Row],[Is_Ore]]=1,tblMovement[[#This Row],[Contained_oz]],0)</f>
        <v/>
      </c>
    </row>
    <row r="3493">
      <c r="A3493" s="54" t="n"/>
      <c r="B3493" s="61" t="n"/>
      <c r="C3493" s="61" t="n"/>
      <c r="D3493" s="61" t="n"/>
      <c r="E3493" s="61" t="n"/>
      <c r="F3493" s="55" t="n"/>
      <c r="G3493" s="56" t="n"/>
      <c r="H3493" s="55" t="n"/>
      <c r="I3493" s="62" t="n"/>
      <c r="J3493" s="58" t="n"/>
      <c r="K3493" s="63">
        <f>IF(tblMovement[[#This Row],[Source]]="","",IFERROR(INDEX(tblSources[Type],MATCH(tblMovement[[#This Row],[Source]],tblSources[Source],0)),"?"))</f>
        <v/>
      </c>
      <c r="L3493" s="63">
        <f>IF(tblMovement[[#This Row],[Destination]]="","",IFERROR(INDEX(tblDestinations[Type],MATCH(tblMovement[[#This Row],[Destination]],tblDestinations[Destination],0)),"?"))</f>
        <v/>
      </c>
      <c r="M3493" s="64">
        <f>IF(tblMovement[[#This Row],[Material]]="","",IF(LEFT(tblMovement[[#This Row],[Material]],3)="Ore",1,0))</f>
        <v/>
      </c>
      <c r="N3493" s="59">
        <f>IF(OR(tblMovement[[#This Row],[Tonnes_t]]="",tblMovement[[#This Row],[Grade_gpt]]=""),0,tblMovement[[#This Row],[Tonnes_t]]*tblMovement[[#This Row],[Grade_gpt]]/cfg_TroyOz)</f>
        <v/>
      </c>
      <c r="O3493" s="59">
        <f>IF(tblMovement[[#This Row],[Is_Ore]]=1,tblMovement[[#This Row],[Contained_oz]],0)</f>
        <v/>
      </c>
    </row>
    <row r="3494">
      <c r="A3494" s="54" t="n"/>
      <c r="B3494" s="61" t="n"/>
      <c r="C3494" s="61" t="n"/>
      <c r="D3494" s="61" t="n"/>
      <c r="E3494" s="61" t="n"/>
      <c r="F3494" s="55" t="n"/>
      <c r="G3494" s="56" t="n"/>
      <c r="H3494" s="55" t="n"/>
      <c r="I3494" s="62" t="n"/>
      <c r="J3494" s="58" t="n"/>
      <c r="K3494" s="63">
        <f>IF(tblMovement[[#This Row],[Source]]="","",IFERROR(INDEX(tblSources[Type],MATCH(tblMovement[[#This Row],[Source]],tblSources[Source],0)),"?"))</f>
        <v/>
      </c>
      <c r="L3494" s="63">
        <f>IF(tblMovement[[#This Row],[Destination]]="","",IFERROR(INDEX(tblDestinations[Type],MATCH(tblMovement[[#This Row],[Destination]],tblDestinations[Destination],0)),"?"))</f>
        <v/>
      </c>
      <c r="M3494" s="64">
        <f>IF(tblMovement[[#This Row],[Material]]="","",IF(LEFT(tblMovement[[#This Row],[Material]],3)="Ore",1,0))</f>
        <v/>
      </c>
      <c r="N3494" s="59">
        <f>IF(OR(tblMovement[[#This Row],[Tonnes_t]]="",tblMovement[[#This Row],[Grade_gpt]]=""),0,tblMovement[[#This Row],[Tonnes_t]]*tblMovement[[#This Row],[Grade_gpt]]/cfg_TroyOz)</f>
        <v/>
      </c>
      <c r="O3494" s="59">
        <f>IF(tblMovement[[#This Row],[Is_Ore]]=1,tblMovement[[#This Row],[Contained_oz]],0)</f>
        <v/>
      </c>
    </row>
    <row r="3495">
      <c r="A3495" s="54" t="n"/>
      <c r="B3495" s="61" t="n"/>
      <c r="C3495" s="61" t="n"/>
      <c r="D3495" s="61" t="n"/>
      <c r="E3495" s="61" t="n"/>
      <c r="F3495" s="55" t="n"/>
      <c r="G3495" s="56" t="n"/>
      <c r="H3495" s="55" t="n"/>
      <c r="I3495" s="62" t="n"/>
      <c r="J3495" s="58" t="n"/>
      <c r="K3495" s="63">
        <f>IF(tblMovement[[#This Row],[Source]]="","",IFERROR(INDEX(tblSources[Type],MATCH(tblMovement[[#This Row],[Source]],tblSources[Source],0)),"?"))</f>
        <v/>
      </c>
      <c r="L3495" s="63">
        <f>IF(tblMovement[[#This Row],[Destination]]="","",IFERROR(INDEX(tblDestinations[Type],MATCH(tblMovement[[#This Row],[Destination]],tblDestinations[Destination],0)),"?"))</f>
        <v/>
      </c>
      <c r="M3495" s="64">
        <f>IF(tblMovement[[#This Row],[Material]]="","",IF(LEFT(tblMovement[[#This Row],[Material]],3)="Ore",1,0))</f>
        <v/>
      </c>
      <c r="N3495" s="59">
        <f>IF(OR(tblMovement[[#This Row],[Tonnes_t]]="",tblMovement[[#This Row],[Grade_gpt]]=""),0,tblMovement[[#This Row],[Tonnes_t]]*tblMovement[[#This Row],[Grade_gpt]]/cfg_TroyOz)</f>
        <v/>
      </c>
      <c r="O3495" s="59">
        <f>IF(tblMovement[[#This Row],[Is_Ore]]=1,tblMovement[[#This Row],[Contained_oz]],0)</f>
        <v/>
      </c>
    </row>
    <row r="3496">
      <c r="A3496" s="54" t="n"/>
      <c r="B3496" s="61" t="n"/>
      <c r="C3496" s="61" t="n"/>
      <c r="D3496" s="61" t="n"/>
      <c r="E3496" s="61" t="n"/>
      <c r="F3496" s="55" t="n"/>
      <c r="G3496" s="56" t="n"/>
      <c r="H3496" s="55" t="n"/>
      <c r="I3496" s="62" t="n"/>
      <c r="J3496" s="58" t="n"/>
      <c r="K3496" s="63">
        <f>IF(tblMovement[[#This Row],[Source]]="","",IFERROR(INDEX(tblSources[Type],MATCH(tblMovement[[#This Row],[Source]],tblSources[Source],0)),"?"))</f>
        <v/>
      </c>
      <c r="L3496" s="63">
        <f>IF(tblMovement[[#This Row],[Destination]]="","",IFERROR(INDEX(tblDestinations[Type],MATCH(tblMovement[[#This Row],[Destination]],tblDestinations[Destination],0)),"?"))</f>
        <v/>
      </c>
      <c r="M3496" s="64">
        <f>IF(tblMovement[[#This Row],[Material]]="","",IF(LEFT(tblMovement[[#This Row],[Material]],3)="Ore",1,0))</f>
        <v/>
      </c>
      <c r="N3496" s="59">
        <f>IF(OR(tblMovement[[#This Row],[Tonnes_t]]="",tblMovement[[#This Row],[Grade_gpt]]=""),0,tblMovement[[#This Row],[Tonnes_t]]*tblMovement[[#This Row],[Grade_gpt]]/cfg_TroyOz)</f>
        <v/>
      </c>
      <c r="O3496" s="59">
        <f>IF(tblMovement[[#This Row],[Is_Ore]]=1,tblMovement[[#This Row],[Contained_oz]],0)</f>
        <v/>
      </c>
    </row>
    <row r="3497">
      <c r="A3497" s="54" t="n"/>
      <c r="B3497" s="61" t="n"/>
      <c r="C3497" s="61" t="n"/>
      <c r="D3497" s="61" t="n"/>
      <c r="E3497" s="61" t="n"/>
      <c r="F3497" s="55" t="n"/>
      <c r="G3497" s="56" t="n"/>
      <c r="H3497" s="55" t="n"/>
      <c r="I3497" s="62" t="n"/>
      <c r="J3497" s="58" t="n"/>
      <c r="K3497" s="63">
        <f>IF(tblMovement[[#This Row],[Source]]="","",IFERROR(INDEX(tblSources[Type],MATCH(tblMovement[[#This Row],[Source]],tblSources[Source],0)),"?"))</f>
        <v/>
      </c>
      <c r="L3497" s="63">
        <f>IF(tblMovement[[#This Row],[Destination]]="","",IFERROR(INDEX(tblDestinations[Type],MATCH(tblMovement[[#This Row],[Destination]],tblDestinations[Destination],0)),"?"))</f>
        <v/>
      </c>
      <c r="M3497" s="64">
        <f>IF(tblMovement[[#This Row],[Material]]="","",IF(LEFT(tblMovement[[#This Row],[Material]],3)="Ore",1,0))</f>
        <v/>
      </c>
      <c r="N3497" s="59">
        <f>IF(OR(tblMovement[[#This Row],[Tonnes_t]]="",tblMovement[[#This Row],[Grade_gpt]]=""),0,tblMovement[[#This Row],[Tonnes_t]]*tblMovement[[#This Row],[Grade_gpt]]/cfg_TroyOz)</f>
        <v/>
      </c>
      <c r="O3497" s="59">
        <f>IF(tblMovement[[#This Row],[Is_Ore]]=1,tblMovement[[#This Row],[Contained_oz]],0)</f>
        <v/>
      </c>
    </row>
    <row r="3498">
      <c r="A3498" s="54" t="n"/>
      <c r="B3498" s="61" t="n"/>
      <c r="C3498" s="61" t="n"/>
      <c r="D3498" s="61" t="n"/>
      <c r="E3498" s="61" t="n"/>
      <c r="F3498" s="55" t="n"/>
      <c r="G3498" s="56" t="n"/>
      <c r="H3498" s="55" t="n"/>
      <c r="I3498" s="62" t="n"/>
      <c r="J3498" s="58" t="n"/>
      <c r="K3498" s="63">
        <f>IF(tblMovement[[#This Row],[Source]]="","",IFERROR(INDEX(tblSources[Type],MATCH(tblMovement[[#This Row],[Source]],tblSources[Source],0)),"?"))</f>
        <v/>
      </c>
      <c r="L3498" s="63">
        <f>IF(tblMovement[[#This Row],[Destination]]="","",IFERROR(INDEX(tblDestinations[Type],MATCH(tblMovement[[#This Row],[Destination]],tblDestinations[Destination],0)),"?"))</f>
        <v/>
      </c>
      <c r="M3498" s="64">
        <f>IF(tblMovement[[#This Row],[Material]]="","",IF(LEFT(tblMovement[[#This Row],[Material]],3)="Ore",1,0))</f>
        <v/>
      </c>
      <c r="N3498" s="59">
        <f>IF(OR(tblMovement[[#This Row],[Tonnes_t]]="",tblMovement[[#This Row],[Grade_gpt]]=""),0,tblMovement[[#This Row],[Tonnes_t]]*tblMovement[[#This Row],[Grade_gpt]]/cfg_TroyOz)</f>
        <v/>
      </c>
      <c r="O3498" s="59">
        <f>IF(tblMovement[[#This Row],[Is_Ore]]=1,tblMovement[[#This Row],[Contained_oz]],0)</f>
        <v/>
      </c>
    </row>
    <row r="3499">
      <c r="A3499" s="54" t="n"/>
      <c r="B3499" s="61" t="n"/>
      <c r="C3499" s="61" t="n"/>
      <c r="D3499" s="61" t="n"/>
      <c r="E3499" s="61" t="n"/>
      <c r="F3499" s="55" t="n"/>
      <c r="G3499" s="56" t="n"/>
      <c r="H3499" s="55" t="n"/>
      <c r="I3499" s="62" t="n"/>
      <c r="J3499" s="58" t="n"/>
      <c r="K3499" s="63">
        <f>IF(tblMovement[[#This Row],[Source]]="","",IFERROR(INDEX(tblSources[Type],MATCH(tblMovement[[#This Row],[Source]],tblSources[Source],0)),"?"))</f>
        <v/>
      </c>
      <c r="L3499" s="63">
        <f>IF(tblMovement[[#This Row],[Destination]]="","",IFERROR(INDEX(tblDestinations[Type],MATCH(tblMovement[[#This Row],[Destination]],tblDestinations[Destination],0)),"?"))</f>
        <v/>
      </c>
      <c r="M3499" s="64">
        <f>IF(tblMovement[[#This Row],[Material]]="","",IF(LEFT(tblMovement[[#This Row],[Material]],3)="Ore",1,0))</f>
        <v/>
      </c>
      <c r="N3499" s="59">
        <f>IF(OR(tblMovement[[#This Row],[Tonnes_t]]="",tblMovement[[#This Row],[Grade_gpt]]=""),0,tblMovement[[#This Row],[Tonnes_t]]*tblMovement[[#This Row],[Grade_gpt]]/cfg_TroyOz)</f>
        <v/>
      </c>
      <c r="O3499" s="59">
        <f>IF(tblMovement[[#This Row],[Is_Ore]]=1,tblMovement[[#This Row],[Contained_oz]],0)</f>
        <v/>
      </c>
    </row>
    <row r="3500">
      <c r="A3500" s="54" t="n"/>
      <c r="B3500" s="61" t="n"/>
      <c r="C3500" s="61" t="n"/>
      <c r="D3500" s="61" t="n"/>
      <c r="E3500" s="61" t="n"/>
      <c r="F3500" s="55" t="n"/>
      <c r="G3500" s="56" t="n"/>
      <c r="H3500" s="55" t="n"/>
      <c r="I3500" s="62" t="n"/>
      <c r="J3500" s="58" t="n"/>
      <c r="K3500" s="63">
        <f>IF(tblMovement[[#This Row],[Source]]="","",IFERROR(INDEX(tblSources[Type],MATCH(tblMovement[[#This Row],[Source]],tblSources[Source],0)),"?"))</f>
        <v/>
      </c>
      <c r="L3500" s="63">
        <f>IF(tblMovement[[#This Row],[Destination]]="","",IFERROR(INDEX(tblDestinations[Type],MATCH(tblMovement[[#This Row],[Destination]],tblDestinations[Destination],0)),"?"))</f>
        <v/>
      </c>
      <c r="M3500" s="64">
        <f>IF(tblMovement[[#This Row],[Material]]="","",IF(LEFT(tblMovement[[#This Row],[Material]],3)="Ore",1,0))</f>
        <v/>
      </c>
      <c r="N3500" s="59">
        <f>IF(OR(tblMovement[[#This Row],[Tonnes_t]]="",tblMovement[[#This Row],[Grade_gpt]]=""),0,tblMovement[[#This Row],[Tonnes_t]]*tblMovement[[#This Row],[Grade_gpt]]/cfg_TroyOz)</f>
        <v/>
      </c>
      <c r="O3500" s="59">
        <f>IF(tblMovement[[#This Row],[Is_Ore]]=1,tblMovement[[#This Row],[Contained_oz]],0)</f>
        <v/>
      </c>
    </row>
    <row r="3501">
      <c r="A3501" s="54" t="n"/>
      <c r="B3501" s="61" t="n"/>
      <c r="C3501" s="61" t="n"/>
      <c r="D3501" s="61" t="n"/>
      <c r="E3501" s="61" t="n"/>
      <c r="F3501" s="55" t="n"/>
      <c r="G3501" s="56" t="n"/>
      <c r="H3501" s="55" t="n"/>
      <c r="I3501" s="62" t="n"/>
      <c r="J3501" s="58" t="n"/>
      <c r="K3501" s="63">
        <f>IF(tblMovement[[#This Row],[Source]]="","",IFERROR(INDEX(tblSources[Type],MATCH(tblMovement[[#This Row],[Source]],tblSources[Source],0)),"?"))</f>
        <v/>
      </c>
      <c r="L3501" s="63">
        <f>IF(tblMovement[[#This Row],[Destination]]="","",IFERROR(INDEX(tblDestinations[Type],MATCH(tblMovement[[#This Row],[Destination]],tblDestinations[Destination],0)),"?"))</f>
        <v/>
      </c>
      <c r="M3501" s="64">
        <f>IF(tblMovement[[#This Row],[Material]]="","",IF(LEFT(tblMovement[[#This Row],[Material]],3)="Ore",1,0))</f>
        <v/>
      </c>
      <c r="N3501" s="59">
        <f>IF(OR(tblMovement[[#This Row],[Tonnes_t]]="",tblMovement[[#This Row],[Grade_gpt]]=""),0,tblMovement[[#This Row],[Tonnes_t]]*tblMovement[[#This Row],[Grade_gpt]]/cfg_TroyOz)</f>
        <v/>
      </c>
      <c r="O3501" s="59">
        <f>IF(tblMovement[[#This Row],[Is_Ore]]=1,tblMovement[[#This Row],[Contained_oz]],0)</f>
        <v/>
      </c>
    </row>
    <row r="3502">
      <c r="A3502" s="54" t="n"/>
      <c r="B3502" s="61" t="n"/>
      <c r="C3502" s="61" t="n"/>
      <c r="D3502" s="61" t="n"/>
      <c r="E3502" s="61" t="n"/>
      <c r="F3502" s="55" t="n"/>
      <c r="G3502" s="56" t="n"/>
      <c r="H3502" s="55" t="n"/>
      <c r="I3502" s="62" t="n"/>
      <c r="J3502" s="58" t="n"/>
      <c r="K3502" s="63">
        <f>IF(tblMovement[[#This Row],[Source]]="","",IFERROR(INDEX(tblSources[Type],MATCH(tblMovement[[#This Row],[Source]],tblSources[Source],0)),"?"))</f>
        <v/>
      </c>
      <c r="L3502" s="63">
        <f>IF(tblMovement[[#This Row],[Destination]]="","",IFERROR(INDEX(tblDestinations[Type],MATCH(tblMovement[[#This Row],[Destination]],tblDestinations[Destination],0)),"?"))</f>
        <v/>
      </c>
      <c r="M3502" s="64">
        <f>IF(tblMovement[[#This Row],[Material]]="","",IF(LEFT(tblMovement[[#This Row],[Material]],3)="Ore",1,0))</f>
        <v/>
      </c>
      <c r="N3502" s="59">
        <f>IF(OR(tblMovement[[#This Row],[Tonnes_t]]="",tblMovement[[#This Row],[Grade_gpt]]=""),0,tblMovement[[#This Row],[Tonnes_t]]*tblMovement[[#This Row],[Grade_gpt]]/cfg_TroyOz)</f>
        <v/>
      </c>
      <c r="O3502" s="59">
        <f>IF(tblMovement[[#This Row],[Is_Ore]]=1,tblMovement[[#This Row],[Contained_oz]],0)</f>
        <v/>
      </c>
    </row>
    <row r="3503">
      <c r="A3503" s="54" t="n"/>
      <c r="B3503" s="61" t="n"/>
      <c r="C3503" s="61" t="n"/>
      <c r="D3503" s="61" t="n"/>
      <c r="E3503" s="61" t="n"/>
      <c r="F3503" s="55" t="n"/>
      <c r="G3503" s="56" t="n"/>
      <c r="H3503" s="55" t="n"/>
      <c r="I3503" s="62" t="n"/>
      <c r="J3503" s="58" t="n"/>
      <c r="K3503" s="63">
        <f>IF(tblMovement[[#This Row],[Source]]="","",IFERROR(INDEX(tblSources[Type],MATCH(tblMovement[[#This Row],[Source]],tblSources[Source],0)),"?"))</f>
        <v/>
      </c>
      <c r="L3503" s="63">
        <f>IF(tblMovement[[#This Row],[Destination]]="","",IFERROR(INDEX(tblDestinations[Type],MATCH(tblMovement[[#This Row],[Destination]],tblDestinations[Destination],0)),"?"))</f>
        <v/>
      </c>
      <c r="M3503" s="64">
        <f>IF(tblMovement[[#This Row],[Material]]="","",IF(LEFT(tblMovement[[#This Row],[Material]],3)="Ore",1,0))</f>
        <v/>
      </c>
      <c r="N3503" s="59">
        <f>IF(OR(tblMovement[[#This Row],[Tonnes_t]]="",tblMovement[[#This Row],[Grade_gpt]]=""),0,tblMovement[[#This Row],[Tonnes_t]]*tblMovement[[#This Row],[Grade_gpt]]/cfg_TroyOz)</f>
        <v/>
      </c>
      <c r="O3503" s="59">
        <f>IF(tblMovement[[#This Row],[Is_Ore]]=1,tblMovement[[#This Row],[Contained_oz]],0)</f>
        <v/>
      </c>
    </row>
    <row r="3504">
      <c r="A3504" s="54" t="n"/>
      <c r="B3504" s="61" t="n"/>
      <c r="C3504" s="61" t="n"/>
      <c r="D3504" s="61" t="n"/>
      <c r="E3504" s="61" t="n"/>
      <c r="F3504" s="55" t="n"/>
      <c r="G3504" s="56" t="n"/>
      <c r="H3504" s="55" t="n"/>
      <c r="I3504" s="62" t="n"/>
      <c r="J3504" s="58" t="n"/>
      <c r="K3504" s="63">
        <f>IF(tblMovement[[#This Row],[Source]]="","",IFERROR(INDEX(tblSources[Type],MATCH(tblMovement[[#This Row],[Source]],tblSources[Source],0)),"?"))</f>
        <v/>
      </c>
      <c r="L3504" s="63">
        <f>IF(tblMovement[[#This Row],[Destination]]="","",IFERROR(INDEX(tblDestinations[Type],MATCH(tblMovement[[#This Row],[Destination]],tblDestinations[Destination],0)),"?"))</f>
        <v/>
      </c>
      <c r="M3504" s="64">
        <f>IF(tblMovement[[#This Row],[Material]]="","",IF(LEFT(tblMovement[[#This Row],[Material]],3)="Ore",1,0))</f>
        <v/>
      </c>
      <c r="N3504" s="59">
        <f>IF(OR(tblMovement[[#This Row],[Tonnes_t]]="",tblMovement[[#This Row],[Grade_gpt]]=""),0,tblMovement[[#This Row],[Tonnes_t]]*tblMovement[[#This Row],[Grade_gpt]]/cfg_TroyOz)</f>
        <v/>
      </c>
      <c r="O3504" s="59">
        <f>IF(tblMovement[[#This Row],[Is_Ore]]=1,tblMovement[[#This Row],[Contained_oz]],0)</f>
        <v/>
      </c>
    </row>
    <row r="3505">
      <c r="A3505" s="54" t="n"/>
      <c r="B3505" s="61" t="n"/>
      <c r="C3505" s="61" t="n"/>
      <c r="D3505" s="61" t="n"/>
      <c r="E3505" s="61" t="n"/>
      <c r="F3505" s="55" t="n"/>
      <c r="G3505" s="56" t="n"/>
      <c r="H3505" s="55" t="n"/>
      <c r="I3505" s="62" t="n"/>
      <c r="J3505" s="58" t="n"/>
      <c r="K3505" s="63">
        <f>IF(tblMovement[[#This Row],[Source]]="","",IFERROR(INDEX(tblSources[Type],MATCH(tblMovement[[#This Row],[Source]],tblSources[Source],0)),"?"))</f>
        <v/>
      </c>
      <c r="L3505" s="63">
        <f>IF(tblMovement[[#This Row],[Destination]]="","",IFERROR(INDEX(tblDestinations[Type],MATCH(tblMovement[[#This Row],[Destination]],tblDestinations[Destination],0)),"?"))</f>
        <v/>
      </c>
      <c r="M3505" s="64">
        <f>IF(tblMovement[[#This Row],[Material]]="","",IF(LEFT(tblMovement[[#This Row],[Material]],3)="Ore",1,0))</f>
        <v/>
      </c>
      <c r="N3505" s="59">
        <f>IF(OR(tblMovement[[#This Row],[Tonnes_t]]="",tblMovement[[#This Row],[Grade_gpt]]=""),0,tblMovement[[#This Row],[Tonnes_t]]*tblMovement[[#This Row],[Grade_gpt]]/cfg_TroyOz)</f>
        <v/>
      </c>
      <c r="O3505" s="59">
        <f>IF(tblMovement[[#This Row],[Is_Ore]]=1,tblMovement[[#This Row],[Contained_oz]],0)</f>
        <v/>
      </c>
    </row>
    <row r="3506">
      <c r="A3506" s="54" t="n"/>
      <c r="B3506" s="61" t="n"/>
      <c r="C3506" s="61" t="n"/>
      <c r="D3506" s="61" t="n"/>
      <c r="E3506" s="61" t="n"/>
      <c r="F3506" s="55" t="n"/>
      <c r="G3506" s="56" t="n"/>
      <c r="H3506" s="55" t="n"/>
      <c r="I3506" s="62" t="n"/>
      <c r="J3506" s="58" t="n"/>
      <c r="K3506" s="63">
        <f>IF(tblMovement[[#This Row],[Source]]="","",IFERROR(INDEX(tblSources[Type],MATCH(tblMovement[[#This Row],[Source]],tblSources[Source],0)),"?"))</f>
        <v/>
      </c>
      <c r="L3506" s="63">
        <f>IF(tblMovement[[#This Row],[Destination]]="","",IFERROR(INDEX(tblDestinations[Type],MATCH(tblMovement[[#This Row],[Destination]],tblDestinations[Destination],0)),"?"))</f>
        <v/>
      </c>
      <c r="M3506" s="64">
        <f>IF(tblMovement[[#This Row],[Material]]="","",IF(LEFT(tblMovement[[#This Row],[Material]],3)="Ore",1,0))</f>
        <v/>
      </c>
      <c r="N3506" s="59">
        <f>IF(OR(tblMovement[[#This Row],[Tonnes_t]]="",tblMovement[[#This Row],[Grade_gpt]]=""),0,tblMovement[[#This Row],[Tonnes_t]]*tblMovement[[#This Row],[Grade_gpt]]/cfg_TroyOz)</f>
        <v/>
      </c>
      <c r="O3506" s="59">
        <f>IF(tblMovement[[#This Row],[Is_Ore]]=1,tblMovement[[#This Row],[Contained_oz]],0)</f>
        <v/>
      </c>
    </row>
    <row r="3507">
      <c r="A3507" s="54" t="n"/>
      <c r="B3507" s="61" t="n"/>
      <c r="C3507" s="61" t="n"/>
      <c r="D3507" s="61" t="n"/>
      <c r="E3507" s="61" t="n"/>
      <c r="F3507" s="55" t="n"/>
      <c r="G3507" s="56" t="n"/>
      <c r="H3507" s="55" t="n"/>
      <c r="I3507" s="62" t="n"/>
      <c r="J3507" s="58" t="n"/>
      <c r="K3507" s="63">
        <f>IF(tblMovement[[#This Row],[Source]]="","",IFERROR(INDEX(tblSources[Type],MATCH(tblMovement[[#This Row],[Source]],tblSources[Source],0)),"?"))</f>
        <v/>
      </c>
      <c r="L3507" s="63">
        <f>IF(tblMovement[[#This Row],[Destination]]="","",IFERROR(INDEX(tblDestinations[Type],MATCH(tblMovement[[#This Row],[Destination]],tblDestinations[Destination],0)),"?"))</f>
        <v/>
      </c>
      <c r="M3507" s="64">
        <f>IF(tblMovement[[#This Row],[Material]]="","",IF(LEFT(tblMovement[[#This Row],[Material]],3)="Ore",1,0))</f>
        <v/>
      </c>
      <c r="N3507" s="59">
        <f>IF(OR(tblMovement[[#This Row],[Tonnes_t]]="",tblMovement[[#This Row],[Grade_gpt]]=""),0,tblMovement[[#This Row],[Tonnes_t]]*tblMovement[[#This Row],[Grade_gpt]]/cfg_TroyOz)</f>
        <v/>
      </c>
      <c r="O3507" s="59">
        <f>IF(tblMovement[[#This Row],[Is_Ore]]=1,tblMovement[[#This Row],[Contained_oz]],0)</f>
        <v/>
      </c>
    </row>
    <row r="3508">
      <c r="A3508" s="54" t="n"/>
      <c r="B3508" s="61" t="n"/>
      <c r="C3508" s="61" t="n"/>
      <c r="D3508" s="61" t="n"/>
      <c r="E3508" s="61" t="n"/>
      <c r="F3508" s="55" t="n"/>
      <c r="G3508" s="56" t="n"/>
      <c r="H3508" s="55" t="n"/>
      <c r="I3508" s="62" t="n"/>
      <c r="J3508" s="58" t="n"/>
      <c r="K3508" s="63">
        <f>IF(tblMovement[[#This Row],[Source]]="","",IFERROR(INDEX(tblSources[Type],MATCH(tblMovement[[#This Row],[Source]],tblSources[Source],0)),"?"))</f>
        <v/>
      </c>
      <c r="L3508" s="63">
        <f>IF(tblMovement[[#This Row],[Destination]]="","",IFERROR(INDEX(tblDestinations[Type],MATCH(tblMovement[[#This Row],[Destination]],tblDestinations[Destination],0)),"?"))</f>
        <v/>
      </c>
      <c r="M3508" s="64">
        <f>IF(tblMovement[[#This Row],[Material]]="","",IF(LEFT(tblMovement[[#This Row],[Material]],3)="Ore",1,0))</f>
        <v/>
      </c>
      <c r="N3508" s="59">
        <f>IF(OR(tblMovement[[#This Row],[Tonnes_t]]="",tblMovement[[#This Row],[Grade_gpt]]=""),0,tblMovement[[#This Row],[Tonnes_t]]*tblMovement[[#This Row],[Grade_gpt]]/cfg_TroyOz)</f>
        <v/>
      </c>
      <c r="O3508" s="59">
        <f>IF(tblMovement[[#This Row],[Is_Ore]]=1,tblMovement[[#This Row],[Contained_oz]],0)</f>
        <v/>
      </c>
    </row>
    <row r="3509">
      <c r="A3509" s="54" t="n"/>
      <c r="B3509" s="61" t="n"/>
      <c r="C3509" s="61" t="n"/>
      <c r="D3509" s="61" t="n"/>
      <c r="E3509" s="61" t="n"/>
      <c r="F3509" s="55" t="n"/>
      <c r="G3509" s="56" t="n"/>
      <c r="H3509" s="55" t="n"/>
      <c r="I3509" s="62" t="n"/>
      <c r="J3509" s="58" t="n"/>
      <c r="K3509" s="63">
        <f>IF(tblMovement[[#This Row],[Source]]="","",IFERROR(INDEX(tblSources[Type],MATCH(tblMovement[[#This Row],[Source]],tblSources[Source],0)),"?"))</f>
        <v/>
      </c>
      <c r="L3509" s="63">
        <f>IF(tblMovement[[#This Row],[Destination]]="","",IFERROR(INDEX(tblDestinations[Type],MATCH(tblMovement[[#This Row],[Destination]],tblDestinations[Destination],0)),"?"))</f>
        <v/>
      </c>
      <c r="M3509" s="64">
        <f>IF(tblMovement[[#This Row],[Material]]="","",IF(LEFT(tblMovement[[#This Row],[Material]],3)="Ore",1,0))</f>
        <v/>
      </c>
      <c r="N3509" s="59">
        <f>IF(OR(tblMovement[[#This Row],[Tonnes_t]]="",tblMovement[[#This Row],[Grade_gpt]]=""),0,tblMovement[[#This Row],[Tonnes_t]]*tblMovement[[#This Row],[Grade_gpt]]/cfg_TroyOz)</f>
        <v/>
      </c>
      <c r="O3509" s="59">
        <f>IF(tblMovement[[#This Row],[Is_Ore]]=1,tblMovement[[#This Row],[Contained_oz]],0)</f>
        <v/>
      </c>
    </row>
    <row r="3510">
      <c r="A3510" s="54" t="n"/>
      <c r="B3510" s="61" t="n"/>
      <c r="C3510" s="61" t="n"/>
      <c r="D3510" s="61" t="n"/>
      <c r="E3510" s="61" t="n"/>
      <c r="F3510" s="55" t="n"/>
      <c r="G3510" s="56" t="n"/>
      <c r="H3510" s="55" t="n"/>
      <c r="I3510" s="62" t="n"/>
      <c r="J3510" s="58" t="n"/>
      <c r="K3510" s="63">
        <f>IF(tblMovement[[#This Row],[Source]]="","",IFERROR(INDEX(tblSources[Type],MATCH(tblMovement[[#This Row],[Source]],tblSources[Source],0)),"?"))</f>
        <v/>
      </c>
      <c r="L3510" s="63">
        <f>IF(tblMovement[[#This Row],[Destination]]="","",IFERROR(INDEX(tblDestinations[Type],MATCH(tblMovement[[#This Row],[Destination]],tblDestinations[Destination],0)),"?"))</f>
        <v/>
      </c>
      <c r="M3510" s="64">
        <f>IF(tblMovement[[#This Row],[Material]]="","",IF(LEFT(tblMovement[[#This Row],[Material]],3)="Ore",1,0))</f>
        <v/>
      </c>
      <c r="N3510" s="59">
        <f>IF(OR(tblMovement[[#This Row],[Tonnes_t]]="",tblMovement[[#This Row],[Grade_gpt]]=""),0,tblMovement[[#This Row],[Tonnes_t]]*tblMovement[[#This Row],[Grade_gpt]]/cfg_TroyOz)</f>
        <v/>
      </c>
      <c r="O3510" s="59">
        <f>IF(tblMovement[[#This Row],[Is_Ore]]=1,tblMovement[[#This Row],[Contained_oz]],0)</f>
        <v/>
      </c>
    </row>
    <row r="3511">
      <c r="A3511" s="54" t="n"/>
      <c r="B3511" s="61" t="n"/>
      <c r="C3511" s="61" t="n"/>
      <c r="D3511" s="61" t="n"/>
      <c r="E3511" s="61" t="n"/>
      <c r="F3511" s="55" t="n"/>
      <c r="G3511" s="56" t="n"/>
      <c r="H3511" s="55" t="n"/>
      <c r="I3511" s="62" t="n"/>
      <c r="J3511" s="58" t="n"/>
      <c r="K3511" s="63">
        <f>IF(tblMovement[[#This Row],[Source]]="","",IFERROR(INDEX(tblSources[Type],MATCH(tblMovement[[#This Row],[Source]],tblSources[Source],0)),"?"))</f>
        <v/>
      </c>
      <c r="L3511" s="63">
        <f>IF(tblMovement[[#This Row],[Destination]]="","",IFERROR(INDEX(tblDestinations[Type],MATCH(tblMovement[[#This Row],[Destination]],tblDestinations[Destination],0)),"?"))</f>
        <v/>
      </c>
      <c r="M3511" s="64">
        <f>IF(tblMovement[[#This Row],[Material]]="","",IF(LEFT(tblMovement[[#This Row],[Material]],3)="Ore",1,0))</f>
        <v/>
      </c>
      <c r="N3511" s="59">
        <f>IF(OR(tblMovement[[#This Row],[Tonnes_t]]="",tblMovement[[#This Row],[Grade_gpt]]=""),0,tblMovement[[#This Row],[Tonnes_t]]*tblMovement[[#This Row],[Grade_gpt]]/cfg_TroyOz)</f>
        <v/>
      </c>
      <c r="O3511" s="59">
        <f>IF(tblMovement[[#This Row],[Is_Ore]]=1,tblMovement[[#This Row],[Contained_oz]],0)</f>
        <v/>
      </c>
    </row>
    <row r="3512">
      <c r="A3512" s="54" t="n"/>
      <c r="B3512" s="61" t="n"/>
      <c r="C3512" s="61" t="n"/>
      <c r="D3512" s="61" t="n"/>
      <c r="E3512" s="61" t="n"/>
      <c r="F3512" s="55" t="n"/>
      <c r="G3512" s="56" t="n"/>
      <c r="H3512" s="55" t="n"/>
      <c r="I3512" s="62" t="n"/>
      <c r="J3512" s="58" t="n"/>
      <c r="K3512" s="63">
        <f>IF(tblMovement[[#This Row],[Source]]="","",IFERROR(INDEX(tblSources[Type],MATCH(tblMovement[[#This Row],[Source]],tblSources[Source],0)),"?"))</f>
        <v/>
      </c>
      <c r="L3512" s="63">
        <f>IF(tblMovement[[#This Row],[Destination]]="","",IFERROR(INDEX(tblDestinations[Type],MATCH(tblMovement[[#This Row],[Destination]],tblDestinations[Destination],0)),"?"))</f>
        <v/>
      </c>
      <c r="M3512" s="64">
        <f>IF(tblMovement[[#This Row],[Material]]="","",IF(LEFT(tblMovement[[#This Row],[Material]],3)="Ore",1,0))</f>
        <v/>
      </c>
      <c r="N3512" s="59">
        <f>IF(OR(tblMovement[[#This Row],[Tonnes_t]]="",tblMovement[[#This Row],[Grade_gpt]]=""),0,tblMovement[[#This Row],[Tonnes_t]]*tblMovement[[#This Row],[Grade_gpt]]/cfg_TroyOz)</f>
        <v/>
      </c>
      <c r="O3512" s="59">
        <f>IF(tblMovement[[#This Row],[Is_Ore]]=1,tblMovement[[#This Row],[Contained_oz]],0)</f>
        <v/>
      </c>
    </row>
    <row r="3513">
      <c r="A3513" s="54" t="n"/>
      <c r="B3513" s="61" t="n"/>
      <c r="C3513" s="61" t="n"/>
      <c r="D3513" s="61" t="n"/>
      <c r="E3513" s="61" t="n"/>
      <c r="F3513" s="55" t="n"/>
      <c r="G3513" s="56" t="n"/>
      <c r="H3513" s="55" t="n"/>
      <c r="I3513" s="62" t="n"/>
      <c r="J3513" s="58" t="n"/>
      <c r="K3513" s="63">
        <f>IF(tblMovement[[#This Row],[Source]]="","",IFERROR(INDEX(tblSources[Type],MATCH(tblMovement[[#This Row],[Source]],tblSources[Source],0)),"?"))</f>
        <v/>
      </c>
      <c r="L3513" s="63">
        <f>IF(tblMovement[[#This Row],[Destination]]="","",IFERROR(INDEX(tblDestinations[Type],MATCH(tblMovement[[#This Row],[Destination]],tblDestinations[Destination],0)),"?"))</f>
        <v/>
      </c>
      <c r="M3513" s="64">
        <f>IF(tblMovement[[#This Row],[Material]]="","",IF(LEFT(tblMovement[[#This Row],[Material]],3)="Ore",1,0))</f>
        <v/>
      </c>
      <c r="N3513" s="59">
        <f>IF(OR(tblMovement[[#This Row],[Tonnes_t]]="",tblMovement[[#This Row],[Grade_gpt]]=""),0,tblMovement[[#This Row],[Tonnes_t]]*tblMovement[[#This Row],[Grade_gpt]]/cfg_TroyOz)</f>
        <v/>
      </c>
      <c r="O3513" s="59">
        <f>IF(tblMovement[[#This Row],[Is_Ore]]=1,tblMovement[[#This Row],[Contained_oz]],0)</f>
        <v/>
      </c>
    </row>
    <row r="3514">
      <c r="A3514" s="54" t="n"/>
      <c r="B3514" s="61" t="n"/>
      <c r="C3514" s="61" t="n"/>
      <c r="D3514" s="61" t="n"/>
      <c r="E3514" s="61" t="n"/>
      <c r="F3514" s="55" t="n"/>
      <c r="G3514" s="56" t="n"/>
      <c r="H3514" s="55" t="n"/>
      <c r="I3514" s="62" t="n"/>
      <c r="J3514" s="58" t="n"/>
      <c r="K3514" s="63">
        <f>IF(tblMovement[[#This Row],[Source]]="","",IFERROR(INDEX(tblSources[Type],MATCH(tblMovement[[#This Row],[Source]],tblSources[Source],0)),"?"))</f>
        <v/>
      </c>
      <c r="L3514" s="63">
        <f>IF(tblMovement[[#This Row],[Destination]]="","",IFERROR(INDEX(tblDestinations[Type],MATCH(tblMovement[[#This Row],[Destination]],tblDestinations[Destination],0)),"?"))</f>
        <v/>
      </c>
      <c r="M3514" s="64">
        <f>IF(tblMovement[[#This Row],[Material]]="","",IF(LEFT(tblMovement[[#This Row],[Material]],3)="Ore",1,0))</f>
        <v/>
      </c>
      <c r="N3514" s="59">
        <f>IF(OR(tblMovement[[#This Row],[Tonnes_t]]="",tblMovement[[#This Row],[Grade_gpt]]=""),0,tblMovement[[#This Row],[Tonnes_t]]*tblMovement[[#This Row],[Grade_gpt]]/cfg_TroyOz)</f>
        <v/>
      </c>
      <c r="O3514" s="59">
        <f>IF(tblMovement[[#This Row],[Is_Ore]]=1,tblMovement[[#This Row],[Contained_oz]],0)</f>
        <v/>
      </c>
    </row>
    <row r="3515">
      <c r="A3515" s="54" t="n"/>
      <c r="B3515" s="61" t="n"/>
      <c r="C3515" s="61" t="n"/>
      <c r="D3515" s="61" t="n"/>
      <c r="E3515" s="61" t="n"/>
      <c r="F3515" s="55" t="n"/>
      <c r="G3515" s="56" t="n"/>
      <c r="H3515" s="55" t="n"/>
      <c r="I3515" s="62" t="n"/>
      <c r="J3515" s="58" t="n"/>
      <c r="K3515" s="63">
        <f>IF(tblMovement[[#This Row],[Source]]="","",IFERROR(INDEX(tblSources[Type],MATCH(tblMovement[[#This Row],[Source]],tblSources[Source],0)),"?"))</f>
        <v/>
      </c>
      <c r="L3515" s="63">
        <f>IF(tblMovement[[#This Row],[Destination]]="","",IFERROR(INDEX(tblDestinations[Type],MATCH(tblMovement[[#This Row],[Destination]],tblDestinations[Destination],0)),"?"))</f>
        <v/>
      </c>
      <c r="M3515" s="64">
        <f>IF(tblMovement[[#This Row],[Material]]="","",IF(LEFT(tblMovement[[#This Row],[Material]],3)="Ore",1,0))</f>
        <v/>
      </c>
      <c r="N3515" s="59">
        <f>IF(OR(tblMovement[[#This Row],[Tonnes_t]]="",tblMovement[[#This Row],[Grade_gpt]]=""),0,tblMovement[[#This Row],[Tonnes_t]]*tblMovement[[#This Row],[Grade_gpt]]/cfg_TroyOz)</f>
        <v/>
      </c>
      <c r="O3515" s="59">
        <f>IF(tblMovement[[#This Row],[Is_Ore]]=1,tblMovement[[#This Row],[Contained_oz]],0)</f>
        <v/>
      </c>
    </row>
    <row r="3516">
      <c r="A3516" s="54" t="n"/>
      <c r="B3516" s="61" t="n"/>
      <c r="C3516" s="61" t="n"/>
      <c r="D3516" s="61" t="n"/>
      <c r="E3516" s="61" t="n"/>
      <c r="F3516" s="55" t="n"/>
      <c r="G3516" s="56" t="n"/>
      <c r="H3516" s="55" t="n"/>
      <c r="I3516" s="62" t="n"/>
      <c r="J3516" s="58" t="n"/>
      <c r="K3516" s="63">
        <f>IF(tblMovement[[#This Row],[Source]]="","",IFERROR(INDEX(tblSources[Type],MATCH(tblMovement[[#This Row],[Source]],tblSources[Source],0)),"?"))</f>
        <v/>
      </c>
      <c r="L3516" s="63">
        <f>IF(tblMovement[[#This Row],[Destination]]="","",IFERROR(INDEX(tblDestinations[Type],MATCH(tblMovement[[#This Row],[Destination]],tblDestinations[Destination],0)),"?"))</f>
        <v/>
      </c>
      <c r="M3516" s="64">
        <f>IF(tblMovement[[#This Row],[Material]]="","",IF(LEFT(tblMovement[[#This Row],[Material]],3)="Ore",1,0))</f>
        <v/>
      </c>
      <c r="N3516" s="59">
        <f>IF(OR(tblMovement[[#This Row],[Tonnes_t]]="",tblMovement[[#This Row],[Grade_gpt]]=""),0,tblMovement[[#This Row],[Tonnes_t]]*tblMovement[[#This Row],[Grade_gpt]]/cfg_TroyOz)</f>
        <v/>
      </c>
      <c r="O3516" s="59">
        <f>IF(tblMovement[[#This Row],[Is_Ore]]=1,tblMovement[[#This Row],[Contained_oz]],0)</f>
        <v/>
      </c>
    </row>
    <row r="3517">
      <c r="A3517" s="54" t="n"/>
      <c r="B3517" s="61" t="n"/>
      <c r="C3517" s="61" t="n"/>
      <c r="D3517" s="61" t="n"/>
      <c r="E3517" s="61" t="n"/>
      <c r="F3517" s="55" t="n"/>
      <c r="G3517" s="56" t="n"/>
      <c r="H3517" s="55" t="n"/>
      <c r="I3517" s="62" t="n"/>
      <c r="J3517" s="58" t="n"/>
      <c r="K3517" s="63">
        <f>IF(tblMovement[[#This Row],[Source]]="","",IFERROR(INDEX(tblSources[Type],MATCH(tblMovement[[#This Row],[Source]],tblSources[Source],0)),"?"))</f>
        <v/>
      </c>
      <c r="L3517" s="63">
        <f>IF(tblMovement[[#This Row],[Destination]]="","",IFERROR(INDEX(tblDestinations[Type],MATCH(tblMovement[[#This Row],[Destination]],tblDestinations[Destination],0)),"?"))</f>
        <v/>
      </c>
      <c r="M3517" s="64">
        <f>IF(tblMovement[[#This Row],[Material]]="","",IF(LEFT(tblMovement[[#This Row],[Material]],3)="Ore",1,0))</f>
        <v/>
      </c>
      <c r="N3517" s="59">
        <f>IF(OR(tblMovement[[#This Row],[Tonnes_t]]="",tblMovement[[#This Row],[Grade_gpt]]=""),0,tblMovement[[#This Row],[Tonnes_t]]*tblMovement[[#This Row],[Grade_gpt]]/cfg_TroyOz)</f>
        <v/>
      </c>
      <c r="O3517" s="59">
        <f>IF(tblMovement[[#This Row],[Is_Ore]]=1,tblMovement[[#This Row],[Contained_oz]],0)</f>
        <v/>
      </c>
    </row>
    <row r="3518">
      <c r="A3518" s="54" t="n"/>
      <c r="B3518" s="61" t="n"/>
      <c r="C3518" s="61" t="n"/>
      <c r="D3518" s="61" t="n"/>
      <c r="E3518" s="61" t="n"/>
      <c r="F3518" s="55" t="n"/>
      <c r="G3518" s="56" t="n"/>
      <c r="H3518" s="55" t="n"/>
      <c r="I3518" s="62" t="n"/>
      <c r="J3518" s="58" t="n"/>
      <c r="K3518" s="63">
        <f>IF(tblMovement[[#This Row],[Source]]="","",IFERROR(INDEX(tblSources[Type],MATCH(tblMovement[[#This Row],[Source]],tblSources[Source],0)),"?"))</f>
        <v/>
      </c>
      <c r="L3518" s="63">
        <f>IF(tblMovement[[#This Row],[Destination]]="","",IFERROR(INDEX(tblDestinations[Type],MATCH(tblMovement[[#This Row],[Destination]],tblDestinations[Destination],0)),"?"))</f>
        <v/>
      </c>
      <c r="M3518" s="64">
        <f>IF(tblMovement[[#This Row],[Material]]="","",IF(LEFT(tblMovement[[#This Row],[Material]],3)="Ore",1,0))</f>
        <v/>
      </c>
      <c r="N3518" s="59">
        <f>IF(OR(tblMovement[[#This Row],[Tonnes_t]]="",tblMovement[[#This Row],[Grade_gpt]]=""),0,tblMovement[[#This Row],[Tonnes_t]]*tblMovement[[#This Row],[Grade_gpt]]/cfg_TroyOz)</f>
        <v/>
      </c>
      <c r="O3518" s="59">
        <f>IF(tblMovement[[#This Row],[Is_Ore]]=1,tblMovement[[#This Row],[Contained_oz]],0)</f>
        <v/>
      </c>
    </row>
    <row r="3519">
      <c r="A3519" s="54" t="n"/>
      <c r="B3519" s="61" t="n"/>
      <c r="C3519" s="61" t="n"/>
      <c r="D3519" s="61" t="n"/>
      <c r="E3519" s="61" t="n"/>
      <c r="F3519" s="55" t="n"/>
      <c r="G3519" s="56" t="n"/>
      <c r="H3519" s="55" t="n"/>
      <c r="I3519" s="62" t="n"/>
      <c r="J3519" s="58" t="n"/>
      <c r="K3519" s="63">
        <f>IF(tblMovement[[#This Row],[Source]]="","",IFERROR(INDEX(tblSources[Type],MATCH(tblMovement[[#This Row],[Source]],tblSources[Source],0)),"?"))</f>
        <v/>
      </c>
      <c r="L3519" s="63">
        <f>IF(tblMovement[[#This Row],[Destination]]="","",IFERROR(INDEX(tblDestinations[Type],MATCH(tblMovement[[#This Row],[Destination]],tblDestinations[Destination],0)),"?"))</f>
        <v/>
      </c>
      <c r="M3519" s="64">
        <f>IF(tblMovement[[#This Row],[Material]]="","",IF(LEFT(tblMovement[[#This Row],[Material]],3)="Ore",1,0))</f>
        <v/>
      </c>
      <c r="N3519" s="59">
        <f>IF(OR(tblMovement[[#This Row],[Tonnes_t]]="",tblMovement[[#This Row],[Grade_gpt]]=""),0,tblMovement[[#This Row],[Tonnes_t]]*tblMovement[[#This Row],[Grade_gpt]]/cfg_TroyOz)</f>
        <v/>
      </c>
      <c r="O3519" s="59">
        <f>IF(tblMovement[[#This Row],[Is_Ore]]=1,tblMovement[[#This Row],[Contained_oz]],0)</f>
        <v/>
      </c>
    </row>
    <row r="3520">
      <c r="A3520" s="54" t="n"/>
      <c r="B3520" s="61" t="n"/>
      <c r="C3520" s="61" t="n"/>
      <c r="D3520" s="61" t="n"/>
      <c r="E3520" s="61" t="n"/>
      <c r="F3520" s="55" t="n"/>
      <c r="G3520" s="56" t="n"/>
      <c r="H3520" s="55" t="n"/>
      <c r="I3520" s="62" t="n"/>
      <c r="J3520" s="58" t="n"/>
      <c r="K3520" s="63">
        <f>IF(tblMovement[[#This Row],[Source]]="","",IFERROR(INDEX(tblSources[Type],MATCH(tblMovement[[#This Row],[Source]],tblSources[Source],0)),"?"))</f>
        <v/>
      </c>
      <c r="L3520" s="63">
        <f>IF(tblMovement[[#This Row],[Destination]]="","",IFERROR(INDEX(tblDestinations[Type],MATCH(tblMovement[[#This Row],[Destination]],tblDestinations[Destination],0)),"?"))</f>
        <v/>
      </c>
      <c r="M3520" s="64">
        <f>IF(tblMovement[[#This Row],[Material]]="","",IF(LEFT(tblMovement[[#This Row],[Material]],3)="Ore",1,0))</f>
        <v/>
      </c>
      <c r="N3520" s="59">
        <f>IF(OR(tblMovement[[#This Row],[Tonnes_t]]="",tblMovement[[#This Row],[Grade_gpt]]=""),0,tblMovement[[#This Row],[Tonnes_t]]*tblMovement[[#This Row],[Grade_gpt]]/cfg_TroyOz)</f>
        <v/>
      </c>
      <c r="O3520" s="59">
        <f>IF(tblMovement[[#This Row],[Is_Ore]]=1,tblMovement[[#This Row],[Contained_oz]],0)</f>
        <v/>
      </c>
    </row>
    <row r="3521">
      <c r="A3521" s="54" t="n"/>
      <c r="B3521" s="61" t="n"/>
      <c r="C3521" s="61" t="n"/>
      <c r="D3521" s="61" t="n"/>
      <c r="E3521" s="61" t="n"/>
      <c r="F3521" s="55" t="n"/>
      <c r="G3521" s="56" t="n"/>
      <c r="H3521" s="55" t="n"/>
      <c r="I3521" s="62" t="n"/>
      <c r="J3521" s="58" t="n"/>
      <c r="K3521" s="63">
        <f>IF(tblMovement[[#This Row],[Source]]="","",IFERROR(INDEX(tblSources[Type],MATCH(tblMovement[[#This Row],[Source]],tblSources[Source],0)),"?"))</f>
        <v/>
      </c>
      <c r="L3521" s="63">
        <f>IF(tblMovement[[#This Row],[Destination]]="","",IFERROR(INDEX(tblDestinations[Type],MATCH(tblMovement[[#This Row],[Destination]],tblDestinations[Destination],0)),"?"))</f>
        <v/>
      </c>
      <c r="M3521" s="64">
        <f>IF(tblMovement[[#This Row],[Material]]="","",IF(LEFT(tblMovement[[#This Row],[Material]],3)="Ore",1,0))</f>
        <v/>
      </c>
      <c r="N3521" s="59">
        <f>IF(OR(tblMovement[[#This Row],[Tonnes_t]]="",tblMovement[[#This Row],[Grade_gpt]]=""),0,tblMovement[[#This Row],[Tonnes_t]]*tblMovement[[#This Row],[Grade_gpt]]/cfg_TroyOz)</f>
        <v/>
      </c>
      <c r="O3521" s="59">
        <f>IF(tblMovement[[#This Row],[Is_Ore]]=1,tblMovement[[#This Row],[Contained_oz]],0)</f>
        <v/>
      </c>
    </row>
    <row r="3522">
      <c r="A3522" s="54" t="n"/>
      <c r="B3522" s="61" t="n"/>
      <c r="C3522" s="61" t="n"/>
      <c r="D3522" s="61" t="n"/>
      <c r="E3522" s="61" t="n"/>
      <c r="F3522" s="55" t="n"/>
      <c r="G3522" s="56" t="n"/>
      <c r="H3522" s="55" t="n"/>
      <c r="I3522" s="62" t="n"/>
      <c r="J3522" s="58" t="n"/>
      <c r="K3522" s="63">
        <f>IF(tblMovement[[#This Row],[Source]]="","",IFERROR(INDEX(tblSources[Type],MATCH(tblMovement[[#This Row],[Source]],tblSources[Source],0)),"?"))</f>
        <v/>
      </c>
      <c r="L3522" s="63">
        <f>IF(tblMovement[[#This Row],[Destination]]="","",IFERROR(INDEX(tblDestinations[Type],MATCH(tblMovement[[#This Row],[Destination]],tblDestinations[Destination],0)),"?"))</f>
        <v/>
      </c>
      <c r="M3522" s="64">
        <f>IF(tblMovement[[#This Row],[Material]]="","",IF(LEFT(tblMovement[[#This Row],[Material]],3)="Ore",1,0))</f>
        <v/>
      </c>
      <c r="N3522" s="59">
        <f>IF(OR(tblMovement[[#This Row],[Tonnes_t]]="",tblMovement[[#This Row],[Grade_gpt]]=""),0,tblMovement[[#This Row],[Tonnes_t]]*tblMovement[[#This Row],[Grade_gpt]]/cfg_TroyOz)</f>
        <v/>
      </c>
      <c r="O3522" s="59">
        <f>IF(tblMovement[[#This Row],[Is_Ore]]=1,tblMovement[[#This Row],[Contained_oz]],0)</f>
        <v/>
      </c>
    </row>
    <row r="3523">
      <c r="A3523" s="54" t="n"/>
      <c r="B3523" s="61" t="n"/>
      <c r="C3523" s="61" t="n"/>
      <c r="D3523" s="61" t="n"/>
      <c r="E3523" s="61" t="n"/>
      <c r="F3523" s="55" t="n"/>
      <c r="G3523" s="56" t="n"/>
      <c r="H3523" s="55" t="n"/>
      <c r="I3523" s="62" t="n"/>
      <c r="J3523" s="58" t="n"/>
      <c r="K3523" s="63">
        <f>IF(tblMovement[[#This Row],[Source]]="","",IFERROR(INDEX(tblSources[Type],MATCH(tblMovement[[#This Row],[Source]],tblSources[Source],0)),"?"))</f>
        <v/>
      </c>
      <c r="L3523" s="63">
        <f>IF(tblMovement[[#This Row],[Destination]]="","",IFERROR(INDEX(tblDestinations[Type],MATCH(tblMovement[[#This Row],[Destination]],tblDestinations[Destination],0)),"?"))</f>
        <v/>
      </c>
      <c r="M3523" s="64">
        <f>IF(tblMovement[[#This Row],[Material]]="","",IF(LEFT(tblMovement[[#This Row],[Material]],3)="Ore",1,0))</f>
        <v/>
      </c>
      <c r="N3523" s="59">
        <f>IF(OR(tblMovement[[#This Row],[Tonnes_t]]="",tblMovement[[#This Row],[Grade_gpt]]=""),0,tblMovement[[#This Row],[Tonnes_t]]*tblMovement[[#This Row],[Grade_gpt]]/cfg_TroyOz)</f>
        <v/>
      </c>
      <c r="O3523" s="59">
        <f>IF(tblMovement[[#This Row],[Is_Ore]]=1,tblMovement[[#This Row],[Contained_oz]],0)</f>
        <v/>
      </c>
    </row>
    <row r="3524">
      <c r="A3524" s="54" t="n"/>
      <c r="B3524" s="61" t="n"/>
      <c r="C3524" s="61" t="n"/>
      <c r="D3524" s="61" t="n"/>
      <c r="E3524" s="61" t="n"/>
      <c r="F3524" s="55" t="n"/>
      <c r="G3524" s="56" t="n"/>
      <c r="H3524" s="55" t="n"/>
      <c r="I3524" s="62" t="n"/>
      <c r="J3524" s="58" t="n"/>
      <c r="K3524" s="63">
        <f>IF(tblMovement[[#This Row],[Source]]="","",IFERROR(INDEX(tblSources[Type],MATCH(tblMovement[[#This Row],[Source]],tblSources[Source],0)),"?"))</f>
        <v/>
      </c>
      <c r="L3524" s="63">
        <f>IF(tblMovement[[#This Row],[Destination]]="","",IFERROR(INDEX(tblDestinations[Type],MATCH(tblMovement[[#This Row],[Destination]],tblDestinations[Destination],0)),"?"))</f>
        <v/>
      </c>
      <c r="M3524" s="64">
        <f>IF(tblMovement[[#This Row],[Material]]="","",IF(LEFT(tblMovement[[#This Row],[Material]],3)="Ore",1,0))</f>
        <v/>
      </c>
      <c r="N3524" s="59">
        <f>IF(OR(tblMovement[[#This Row],[Tonnes_t]]="",tblMovement[[#This Row],[Grade_gpt]]=""),0,tblMovement[[#This Row],[Tonnes_t]]*tblMovement[[#This Row],[Grade_gpt]]/cfg_TroyOz)</f>
        <v/>
      </c>
      <c r="O3524" s="59">
        <f>IF(tblMovement[[#This Row],[Is_Ore]]=1,tblMovement[[#This Row],[Contained_oz]],0)</f>
        <v/>
      </c>
    </row>
    <row r="3525">
      <c r="A3525" s="54" t="n"/>
      <c r="B3525" s="61" t="n"/>
      <c r="C3525" s="61" t="n"/>
      <c r="D3525" s="61" t="n"/>
      <c r="E3525" s="61" t="n"/>
      <c r="F3525" s="55" t="n"/>
      <c r="G3525" s="56" t="n"/>
      <c r="H3525" s="55" t="n"/>
      <c r="I3525" s="62" t="n"/>
      <c r="J3525" s="58" t="n"/>
      <c r="K3525" s="63">
        <f>IF(tblMovement[[#This Row],[Source]]="","",IFERROR(INDEX(tblSources[Type],MATCH(tblMovement[[#This Row],[Source]],tblSources[Source],0)),"?"))</f>
        <v/>
      </c>
      <c r="L3525" s="63">
        <f>IF(tblMovement[[#This Row],[Destination]]="","",IFERROR(INDEX(tblDestinations[Type],MATCH(tblMovement[[#This Row],[Destination]],tblDestinations[Destination],0)),"?"))</f>
        <v/>
      </c>
      <c r="M3525" s="64">
        <f>IF(tblMovement[[#This Row],[Material]]="","",IF(LEFT(tblMovement[[#This Row],[Material]],3)="Ore",1,0))</f>
        <v/>
      </c>
      <c r="N3525" s="59">
        <f>IF(OR(tblMovement[[#This Row],[Tonnes_t]]="",tblMovement[[#This Row],[Grade_gpt]]=""),0,tblMovement[[#This Row],[Tonnes_t]]*tblMovement[[#This Row],[Grade_gpt]]/cfg_TroyOz)</f>
        <v/>
      </c>
      <c r="O3525" s="59">
        <f>IF(tblMovement[[#This Row],[Is_Ore]]=1,tblMovement[[#This Row],[Contained_oz]],0)</f>
        <v/>
      </c>
    </row>
    <row r="3526">
      <c r="A3526" s="54" t="n"/>
      <c r="B3526" s="61" t="n"/>
      <c r="C3526" s="61" t="n"/>
      <c r="D3526" s="61" t="n"/>
      <c r="E3526" s="61" t="n"/>
      <c r="F3526" s="55" t="n"/>
      <c r="G3526" s="56" t="n"/>
      <c r="H3526" s="55" t="n"/>
      <c r="I3526" s="62" t="n"/>
      <c r="J3526" s="58" t="n"/>
      <c r="K3526" s="63">
        <f>IF(tblMovement[[#This Row],[Source]]="","",IFERROR(INDEX(tblSources[Type],MATCH(tblMovement[[#This Row],[Source]],tblSources[Source],0)),"?"))</f>
        <v/>
      </c>
      <c r="L3526" s="63">
        <f>IF(tblMovement[[#This Row],[Destination]]="","",IFERROR(INDEX(tblDestinations[Type],MATCH(tblMovement[[#This Row],[Destination]],tblDestinations[Destination],0)),"?"))</f>
        <v/>
      </c>
      <c r="M3526" s="64">
        <f>IF(tblMovement[[#This Row],[Material]]="","",IF(LEFT(tblMovement[[#This Row],[Material]],3)="Ore",1,0))</f>
        <v/>
      </c>
      <c r="N3526" s="59">
        <f>IF(OR(tblMovement[[#This Row],[Tonnes_t]]="",tblMovement[[#This Row],[Grade_gpt]]=""),0,tblMovement[[#This Row],[Tonnes_t]]*tblMovement[[#This Row],[Grade_gpt]]/cfg_TroyOz)</f>
        <v/>
      </c>
      <c r="O3526" s="59">
        <f>IF(tblMovement[[#This Row],[Is_Ore]]=1,tblMovement[[#This Row],[Contained_oz]],0)</f>
        <v/>
      </c>
    </row>
    <row r="3527">
      <c r="A3527" s="54" t="n"/>
      <c r="B3527" s="61" t="n"/>
      <c r="C3527" s="61" t="n"/>
      <c r="D3527" s="61" t="n"/>
      <c r="E3527" s="61" t="n"/>
      <c r="F3527" s="55" t="n"/>
      <c r="G3527" s="56" t="n"/>
      <c r="H3527" s="55" t="n"/>
      <c r="I3527" s="62" t="n"/>
      <c r="J3527" s="58" t="n"/>
      <c r="K3527" s="63">
        <f>IF(tblMovement[[#This Row],[Source]]="","",IFERROR(INDEX(tblSources[Type],MATCH(tblMovement[[#This Row],[Source]],tblSources[Source],0)),"?"))</f>
        <v/>
      </c>
      <c r="L3527" s="63">
        <f>IF(tblMovement[[#This Row],[Destination]]="","",IFERROR(INDEX(tblDestinations[Type],MATCH(tblMovement[[#This Row],[Destination]],tblDestinations[Destination],0)),"?"))</f>
        <v/>
      </c>
      <c r="M3527" s="64">
        <f>IF(tblMovement[[#This Row],[Material]]="","",IF(LEFT(tblMovement[[#This Row],[Material]],3)="Ore",1,0))</f>
        <v/>
      </c>
      <c r="N3527" s="59">
        <f>IF(OR(tblMovement[[#This Row],[Tonnes_t]]="",tblMovement[[#This Row],[Grade_gpt]]=""),0,tblMovement[[#This Row],[Tonnes_t]]*tblMovement[[#This Row],[Grade_gpt]]/cfg_TroyOz)</f>
        <v/>
      </c>
      <c r="O3527" s="59">
        <f>IF(tblMovement[[#This Row],[Is_Ore]]=1,tblMovement[[#This Row],[Contained_oz]],0)</f>
        <v/>
      </c>
    </row>
    <row r="3528">
      <c r="A3528" s="54" t="n"/>
      <c r="B3528" s="61" t="n"/>
      <c r="C3528" s="61" t="n"/>
      <c r="D3528" s="61" t="n"/>
      <c r="E3528" s="61" t="n"/>
      <c r="F3528" s="55" t="n"/>
      <c r="G3528" s="56" t="n"/>
      <c r="H3528" s="55" t="n"/>
      <c r="I3528" s="62" t="n"/>
      <c r="J3528" s="58" t="n"/>
      <c r="K3528" s="63">
        <f>IF(tblMovement[[#This Row],[Source]]="","",IFERROR(INDEX(tblSources[Type],MATCH(tblMovement[[#This Row],[Source]],tblSources[Source],0)),"?"))</f>
        <v/>
      </c>
      <c r="L3528" s="63">
        <f>IF(tblMovement[[#This Row],[Destination]]="","",IFERROR(INDEX(tblDestinations[Type],MATCH(tblMovement[[#This Row],[Destination]],tblDestinations[Destination],0)),"?"))</f>
        <v/>
      </c>
      <c r="M3528" s="64">
        <f>IF(tblMovement[[#This Row],[Material]]="","",IF(LEFT(tblMovement[[#This Row],[Material]],3)="Ore",1,0))</f>
        <v/>
      </c>
      <c r="N3528" s="59">
        <f>IF(OR(tblMovement[[#This Row],[Tonnes_t]]="",tblMovement[[#This Row],[Grade_gpt]]=""),0,tblMovement[[#This Row],[Tonnes_t]]*tblMovement[[#This Row],[Grade_gpt]]/cfg_TroyOz)</f>
        <v/>
      </c>
      <c r="O3528" s="59">
        <f>IF(tblMovement[[#This Row],[Is_Ore]]=1,tblMovement[[#This Row],[Contained_oz]],0)</f>
        <v/>
      </c>
    </row>
    <row r="3529">
      <c r="A3529" s="54" t="n"/>
      <c r="B3529" s="61" t="n"/>
      <c r="C3529" s="61" t="n"/>
      <c r="D3529" s="61" t="n"/>
      <c r="E3529" s="61" t="n"/>
      <c r="F3529" s="55" t="n"/>
      <c r="G3529" s="56" t="n"/>
      <c r="H3529" s="55" t="n"/>
      <c r="I3529" s="62" t="n"/>
      <c r="J3529" s="58" t="n"/>
      <c r="K3529" s="63">
        <f>IF(tblMovement[[#This Row],[Source]]="","",IFERROR(INDEX(tblSources[Type],MATCH(tblMovement[[#This Row],[Source]],tblSources[Source],0)),"?"))</f>
        <v/>
      </c>
      <c r="L3529" s="63">
        <f>IF(tblMovement[[#This Row],[Destination]]="","",IFERROR(INDEX(tblDestinations[Type],MATCH(tblMovement[[#This Row],[Destination]],tblDestinations[Destination],0)),"?"))</f>
        <v/>
      </c>
      <c r="M3529" s="64">
        <f>IF(tblMovement[[#This Row],[Material]]="","",IF(LEFT(tblMovement[[#This Row],[Material]],3)="Ore",1,0))</f>
        <v/>
      </c>
      <c r="N3529" s="59">
        <f>IF(OR(tblMovement[[#This Row],[Tonnes_t]]="",tblMovement[[#This Row],[Grade_gpt]]=""),0,tblMovement[[#This Row],[Tonnes_t]]*tblMovement[[#This Row],[Grade_gpt]]/cfg_TroyOz)</f>
        <v/>
      </c>
      <c r="O3529" s="59">
        <f>IF(tblMovement[[#This Row],[Is_Ore]]=1,tblMovement[[#This Row],[Contained_oz]],0)</f>
        <v/>
      </c>
    </row>
    <row r="3530">
      <c r="A3530" s="54" t="n"/>
      <c r="B3530" s="61" t="n"/>
      <c r="C3530" s="61" t="n"/>
      <c r="D3530" s="61" t="n"/>
      <c r="E3530" s="61" t="n"/>
      <c r="F3530" s="55" t="n"/>
      <c r="G3530" s="56" t="n"/>
      <c r="H3530" s="55" t="n"/>
      <c r="I3530" s="62" t="n"/>
      <c r="J3530" s="58" t="n"/>
      <c r="K3530" s="63">
        <f>IF(tblMovement[[#This Row],[Source]]="","",IFERROR(INDEX(tblSources[Type],MATCH(tblMovement[[#This Row],[Source]],tblSources[Source],0)),"?"))</f>
        <v/>
      </c>
      <c r="L3530" s="63">
        <f>IF(tblMovement[[#This Row],[Destination]]="","",IFERROR(INDEX(tblDestinations[Type],MATCH(tblMovement[[#This Row],[Destination]],tblDestinations[Destination],0)),"?"))</f>
        <v/>
      </c>
      <c r="M3530" s="64">
        <f>IF(tblMovement[[#This Row],[Material]]="","",IF(LEFT(tblMovement[[#This Row],[Material]],3)="Ore",1,0))</f>
        <v/>
      </c>
      <c r="N3530" s="59">
        <f>IF(OR(tblMovement[[#This Row],[Tonnes_t]]="",tblMovement[[#This Row],[Grade_gpt]]=""),0,tblMovement[[#This Row],[Tonnes_t]]*tblMovement[[#This Row],[Grade_gpt]]/cfg_TroyOz)</f>
        <v/>
      </c>
      <c r="O3530" s="59">
        <f>IF(tblMovement[[#This Row],[Is_Ore]]=1,tblMovement[[#This Row],[Contained_oz]],0)</f>
        <v/>
      </c>
    </row>
    <row r="3531">
      <c r="A3531" s="54" t="n"/>
      <c r="B3531" s="61" t="n"/>
      <c r="C3531" s="61" t="n"/>
      <c r="D3531" s="61" t="n"/>
      <c r="E3531" s="61" t="n"/>
      <c r="F3531" s="55" t="n"/>
      <c r="G3531" s="56" t="n"/>
      <c r="H3531" s="55" t="n"/>
      <c r="I3531" s="62" t="n"/>
      <c r="J3531" s="58" t="n"/>
      <c r="K3531" s="63">
        <f>IF(tblMovement[[#This Row],[Source]]="","",IFERROR(INDEX(tblSources[Type],MATCH(tblMovement[[#This Row],[Source]],tblSources[Source],0)),"?"))</f>
        <v/>
      </c>
      <c r="L3531" s="63">
        <f>IF(tblMovement[[#This Row],[Destination]]="","",IFERROR(INDEX(tblDestinations[Type],MATCH(tblMovement[[#This Row],[Destination]],tblDestinations[Destination],0)),"?"))</f>
        <v/>
      </c>
      <c r="M3531" s="64">
        <f>IF(tblMovement[[#This Row],[Material]]="","",IF(LEFT(tblMovement[[#This Row],[Material]],3)="Ore",1,0))</f>
        <v/>
      </c>
      <c r="N3531" s="59">
        <f>IF(OR(tblMovement[[#This Row],[Tonnes_t]]="",tblMovement[[#This Row],[Grade_gpt]]=""),0,tblMovement[[#This Row],[Tonnes_t]]*tblMovement[[#This Row],[Grade_gpt]]/cfg_TroyOz)</f>
        <v/>
      </c>
      <c r="O3531" s="59">
        <f>IF(tblMovement[[#This Row],[Is_Ore]]=1,tblMovement[[#This Row],[Contained_oz]],0)</f>
        <v/>
      </c>
    </row>
    <row r="3532">
      <c r="A3532" s="54" t="n"/>
      <c r="B3532" s="61" t="n"/>
      <c r="C3532" s="61" t="n"/>
      <c r="D3532" s="61" t="n"/>
      <c r="E3532" s="61" t="n"/>
      <c r="F3532" s="55" t="n"/>
      <c r="G3532" s="56" t="n"/>
      <c r="H3532" s="55" t="n"/>
      <c r="I3532" s="62" t="n"/>
      <c r="J3532" s="58" t="n"/>
      <c r="K3532" s="63">
        <f>IF(tblMovement[[#This Row],[Source]]="","",IFERROR(INDEX(tblSources[Type],MATCH(tblMovement[[#This Row],[Source]],tblSources[Source],0)),"?"))</f>
        <v/>
      </c>
      <c r="L3532" s="63">
        <f>IF(tblMovement[[#This Row],[Destination]]="","",IFERROR(INDEX(tblDestinations[Type],MATCH(tblMovement[[#This Row],[Destination]],tblDestinations[Destination],0)),"?"))</f>
        <v/>
      </c>
      <c r="M3532" s="64">
        <f>IF(tblMovement[[#This Row],[Material]]="","",IF(LEFT(tblMovement[[#This Row],[Material]],3)="Ore",1,0))</f>
        <v/>
      </c>
      <c r="N3532" s="59">
        <f>IF(OR(tblMovement[[#This Row],[Tonnes_t]]="",tblMovement[[#This Row],[Grade_gpt]]=""),0,tblMovement[[#This Row],[Tonnes_t]]*tblMovement[[#This Row],[Grade_gpt]]/cfg_TroyOz)</f>
        <v/>
      </c>
      <c r="O3532" s="59">
        <f>IF(tblMovement[[#This Row],[Is_Ore]]=1,tblMovement[[#This Row],[Contained_oz]],0)</f>
        <v/>
      </c>
    </row>
    <row r="3533">
      <c r="A3533" s="54" t="n"/>
      <c r="B3533" s="61" t="n"/>
      <c r="C3533" s="61" t="n"/>
      <c r="D3533" s="61" t="n"/>
      <c r="E3533" s="61" t="n"/>
      <c r="F3533" s="55" t="n"/>
      <c r="G3533" s="56" t="n"/>
      <c r="H3533" s="55" t="n"/>
      <c r="I3533" s="62" t="n"/>
      <c r="J3533" s="58" t="n"/>
      <c r="K3533" s="63">
        <f>IF(tblMovement[[#This Row],[Source]]="","",IFERROR(INDEX(tblSources[Type],MATCH(tblMovement[[#This Row],[Source]],tblSources[Source],0)),"?"))</f>
        <v/>
      </c>
      <c r="L3533" s="63">
        <f>IF(tblMovement[[#This Row],[Destination]]="","",IFERROR(INDEX(tblDestinations[Type],MATCH(tblMovement[[#This Row],[Destination]],tblDestinations[Destination],0)),"?"))</f>
        <v/>
      </c>
      <c r="M3533" s="64">
        <f>IF(tblMovement[[#This Row],[Material]]="","",IF(LEFT(tblMovement[[#This Row],[Material]],3)="Ore",1,0))</f>
        <v/>
      </c>
      <c r="N3533" s="59">
        <f>IF(OR(tblMovement[[#This Row],[Tonnes_t]]="",tblMovement[[#This Row],[Grade_gpt]]=""),0,tblMovement[[#This Row],[Tonnes_t]]*tblMovement[[#This Row],[Grade_gpt]]/cfg_TroyOz)</f>
        <v/>
      </c>
      <c r="O3533" s="59">
        <f>IF(tblMovement[[#This Row],[Is_Ore]]=1,tblMovement[[#This Row],[Contained_oz]],0)</f>
        <v/>
      </c>
    </row>
    <row r="3534">
      <c r="A3534" s="54" t="n"/>
      <c r="B3534" s="61" t="n"/>
      <c r="C3534" s="61" t="n"/>
      <c r="D3534" s="61" t="n"/>
      <c r="E3534" s="61" t="n"/>
      <c r="F3534" s="55" t="n"/>
      <c r="G3534" s="56" t="n"/>
      <c r="H3534" s="55" t="n"/>
      <c r="I3534" s="62" t="n"/>
      <c r="J3534" s="58" t="n"/>
      <c r="K3534" s="63">
        <f>IF(tblMovement[[#This Row],[Source]]="","",IFERROR(INDEX(tblSources[Type],MATCH(tblMovement[[#This Row],[Source]],tblSources[Source],0)),"?"))</f>
        <v/>
      </c>
      <c r="L3534" s="63">
        <f>IF(tblMovement[[#This Row],[Destination]]="","",IFERROR(INDEX(tblDestinations[Type],MATCH(tblMovement[[#This Row],[Destination]],tblDestinations[Destination],0)),"?"))</f>
        <v/>
      </c>
      <c r="M3534" s="64">
        <f>IF(tblMovement[[#This Row],[Material]]="","",IF(LEFT(tblMovement[[#This Row],[Material]],3)="Ore",1,0))</f>
        <v/>
      </c>
      <c r="N3534" s="59">
        <f>IF(OR(tblMovement[[#This Row],[Tonnes_t]]="",tblMovement[[#This Row],[Grade_gpt]]=""),0,tblMovement[[#This Row],[Tonnes_t]]*tblMovement[[#This Row],[Grade_gpt]]/cfg_TroyOz)</f>
        <v/>
      </c>
      <c r="O3534" s="59">
        <f>IF(tblMovement[[#This Row],[Is_Ore]]=1,tblMovement[[#This Row],[Contained_oz]],0)</f>
        <v/>
      </c>
    </row>
    <row r="3535">
      <c r="A3535" s="54" t="n"/>
      <c r="B3535" s="61" t="n"/>
      <c r="C3535" s="61" t="n"/>
      <c r="D3535" s="61" t="n"/>
      <c r="E3535" s="61" t="n"/>
      <c r="F3535" s="55" t="n"/>
      <c r="G3535" s="56" t="n"/>
      <c r="H3535" s="55" t="n"/>
      <c r="I3535" s="62" t="n"/>
      <c r="J3535" s="58" t="n"/>
      <c r="K3535" s="63">
        <f>IF(tblMovement[[#This Row],[Source]]="","",IFERROR(INDEX(tblSources[Type],MATCH(tblMovement[[#This Row],[Source]],tblSources[Source],0)),"?"))</f>
        <v/>
      </c>
      <c r="L3535" s="63">
        <f>IF(tblMovement[[#This Row],[Destination]]="","",IFERROR(INDEX(tblDestinations[Type],MATCH(tblMovement[[#This Row],[Destination]],tblDestinations[Destination],0)),"?"))</f>
        <v/>
      </c>
      <c r="M3535" s="64">
        <f>IF(tblMovement[[#This Row],[Material]]="","",IF(LEFT(tblMovement[[#This Row],[Material]],3)="Ore",1,0))</f>
        <v/>
      </c>
      <c r="N3535" s="59">
        <f>IF(OR(tblMovement[[#This Row],[Tonnes_t]]="",tblMovement[[#This Row],[Grade_gpt]]=""),0,tblMovement[[#This Row],[Tonnes_t]]*tblMovement[[#This Row],[Grade_gpt]]/cfg_TroyOz)</f>
        <v/>
      </c>
      <c r="O3535" s="59">
        <f>IF(tblMovement[[#This Row],[Is_Ore]]=1,tblMovement[[#This Row],[Contained_oz]],0)</f>
        <v/>
      </c>
    </row>
    <row r="3536">
      <c r="A3536" s="54" t="n"/>
      <c r="B3536" s="61" t="n"/>
      <c r="C3536" s="61" t="n"/>
      <c r="D3536" s="61" t="n"/>
      <c r="E3536" s="61" t="n"/>
      <c r="F3536" s="55" t="n"/>
      <c r="G3536" s="56" t="n"/>
      <c r="H3536" s="55" t="n"/>
      <c r="I3536" s="62" t="n"/>
      <c r="J3536" s="58" t="n"/>
      <c r="K3536" s="63">
        <f>IF(tblMovement[[#This Row],[Source]]="","",IFERROR(INDEX(tblSources[Type],MATCH(tblMovement[[#This Row],[Source]],tblSources[Source],0)),"?"))</f>
        <v/>
      </c>
      <c r="L3536" s="63">
        <f>IF(tblMovement[[#This Row],[Destination]]="","",IFERROR(INDEX(tblDestinations[Type],MATCH(tblMovement[[#This Row],[Destination]],tblDestinations[Destination],0)),"?"))</f>
        <v/>
      </c>
      <c r="M3536" s="64">
        <f>IF(tblMovement[[#This Row],[Material]]="","",IF(LEFT(tblMovement[[#This Row],[Material]],3)="Ore",1,0))</f>
        <v/>
      </c>
      <c r="N3536" s="59">
        <f>IF(OR(tblMovement[[#This Row],[Tonnes_t]]="",tblMovement[[#This Row],[Grade_gpt]]=""),0,tblMovement[[#This Row],[Tonnes_t]]*tblMovement[[#This Row],[Grade_gpt]]/cfg_TroyOz)</f>
        <v/>
      </c>
      <c r="O3536" s="59">
        <f>IF(tblMovement[[#This Row],[Is_Ore]]=1,tblMovement[[#This Row],[Contained_oz]],0)</f>
        <v/>
      </c>
    </row>
    <row r="3537">
      <c r="A3537" s="54" t="n"/>
      <c r="B3537" s="61" t="n"/>
      <c r="C3537" s="61" t="n"/>
      <c r="D3537" s="61" t="n"/>
      <c r="E3537" s="61" t="n"/>
      <c r="F3537" s="55" t="n"/>
      <c r="G3537" s="56" t="n"/>
      <c r="H3537" s="55" t="n"/>
      <c r="I3537" s="62" t="n"/>
      <c r="J3537" s="58" t="n"/>
      <c r="K3537" s="63">
        <f>IF(tblMovement[[#This Row],[Source]]="","",IFERROR(INDEX(tblSources[Type],MATCH(tblMovement[[#This Row],[Source]],tblSources[Source],0)),"?"))</f>
        <v/>
      </c>
      <c r="L3537" s="63">
        <f>IF(tblMovement[[#This Row],[Destination]]="","",IFERROR(INDEX(tblDestinations[Type],MATCH(tblMovement[[#This Row],[Destination]],tblDestinations[Destination],0)),"?"))</f>
        <v/>
      </c>
      <c r="M3537" s="64">
        <f>IF(tblMovement[[#This Row],[Material]]="","",IF(LEFT(tblMovement[[#This Row],[Material]],3)="Ore",1,0))</f>
        <v/>
      </c>
      <c r="N3537" s="59">
        <f>IF(OR(tblMovement[[#This Row],[Tonnes_t]]="",tblMovement[[#This Row],[Grade_gpt]]=""),0,tblMovement[[#This Row],[Tonnes_t]]*tblMovement[[#This Row],[Grade_gpt]]/cfg_TroyOz)</f>
        <v/>
      </c>
      <c r="O3537" s="59">
        <f>IF(tblMovement[[#This Row],[Is_Ore]]=1,tblMovement[[#This Row],[Contained_oz]],0)</f>
        <v/>
      </c>
    </row>
    <row r="3538">
      <c r="A3538" s="54" t="n"/>
      <c r="B3538" s="61" t="n"/>
      <c r="C3538" s="61" t="n"/>
      <c r="D3538" s="61" t="n"/>
      <c r="E3538" s="61" t="n"/>
      <c r="F3538" s="55" t="n"/>
      <c r="G3538" s="56" t="n"/>
      <c r="H3538" s="55" t="n"/>
      <c r="I3538" s="62" t="n"/>
      <c r="J3538" s="58" t="n"/>
      <c r="K3538" s="63">
        <f>IF(tblMovement[[#This Row],[Source]]="","",IFERROR(INDEX(tblSources[Type],MATCH(tblMovement[[#This Row],[Source]],tblSources[Source],0)),"?"))</f>
        <v/>
      </c>
      <c r="L3538" s="63">
        <f>IF(tblMovement[[#This Row],[Destination]]="","",IFERROR(INDEX(tblDestinations[Type],MATCH(tblMovement[[#This Row],[Destination]],tblDestinations[Destination],0)),"?"))</f>
        <v/>
      </c>
      <c r="M3538" s="64">
        <f>IF(tblMovement[[#This Row],[Material]]="","",IF(LEFT(tblMovement[[#This Row],[Material]],3)="Ore",1,0))</f>
        <v/>
      </c>
      <c r="N3538" s="59">
        <f>IF(OR(tblMovement[[#This Row],[Tonnes_t]]="",tblMovement[[#This Row],[Grade_gpt]]=""),0,tblMovement[[#This Row],[Tonnes_t]]*tblMovement[[#This Row],[Grade_gpt]]/cfg_TroyOz)</f>
        <v/>
      </c>
      <c r="O3538" s="59">
        <f>IF(tblMovement[[#This Row],[Is_Ore]]=1,tblMovement[[#This Row],[Contained_oz]],0)</f>
        <v/>
      </c>
    </row>
    <row r="3539">
      <c r="A3539" s="54" t="n"/>
      <c r="B3539" s="61" t="n"/>
      <c r="C3539" s="61" t="n"/>
      <c r="D3539" s="61" t="n"/>
      <c r="E3539" s="61" t="n"/>
      <c r="F3539" s="55" t="n"/>
      <c r="G3539" s="56" t="n"/>
      <c r="H3539" s="55" t="n"/>
      <c r="I3539" s="62" t="n"/>
      <c r="J3539" s="58" t="n"/>
      <c r="K3539" s="63">
        <f>IF(tblMovement[[#This Row],[Source]]="","",IFERROR(INDEX(tblSources[Type],MATCH(tblMovement[[#This Row],[Source]],tblSources[Source],0)),"?"))</f>
        <v/>
      </c>
      <c r="L3539" s="63">
        <f>IF(tblMovement[[#This Row],[Destination]]="","",IFERROR(INDEX(tblDestinations[Type],MATCH(tblMovement[[#This Row],[Destination]],tblDestinations[Destination],0)),"?"))</f>
        <v/>
      </c>
      <c r="M3539" s="64">
        <f>IF(tblMovement[[#This Row],[Material]]="","",IF(LEFT(tblMovement[[#This Row],[Material]],3)="Ore",1,0))</f>
        <v/>
      </c>
      <c r="N3539" s="59">
        <f>IF(OR(tblMovement[[#This Row],[Tonnes_t]]="",tblMovement[[#This Row],[Grade_gpt]]=""),0,tblMovement[[#This Row],[Tonnes_t]]*tblMovement[[#This Row],[Grade_gpt]]/cfg_TroyOz)</f>
        <v/>
      </c>
      <c r="O3539" s="59">
        <f>IF(tblMovement[[#This Row],[Is_Ore]]=1,tblMovement[[#This Row],[Contained_oz]],0)</f>
        <v/>
      </c>
    </row>
    <row r="3540">
      <c r="A3540" s="54" t="n"/>
      <c r="B3540" s="61" t="n"/>
      <c r="C3540" s="61" t="n"/>
      <c r="D3540" s="61" t="n"/>
      <c r="E3540" s="61" t="n"/>
      <c r="F3540" s="55" t="n"/>
      <c r="G3540" s="56" t="n"/>
      <c r="H3540" s="55" t="n"/>
      <c r="I3540" s="62" t="n"/>
      <c r="J3540" s="58" t="n"/>
      <c r="K3540" s="63">
        <f>IF(tblMovement[[#This Row],[Source]]="","",IFERROR(INDEX(tblSources[Type],MATCH(tblMovement[[#This Row],[Source]],tblSources[Source],0)),"?"))</f>
        <v/>
      </c>
      <c r="L3540" s="63">
        <f>IF(tblMovement[[#This Row],[Destination]]="","",IFERROR(INDEX(tblDestinations[Type],MATCH(tblMovement[[#This Row],[Destination]],tblDestinations[Destination],0)),"?"))</f>
        <v/>
      </c>
      <c r="M3540" s="64">
        <f>IF(tblMovement[[#This Row],[Material]]="","",IF(LEFT(tblMovement[[#This Row],[Material]],3)="Ore",1,0))</f>
        <v/>
      </c>
      <c r="N3540" s="59">
        <f>IF(OR(tblMovement[[#This Row],[Tonnes_t]]="",tblMovement[[#This Row],[Grade_gpt]]=""),0,tblMovement[[#This Row],[Tonnes_t]]*tblMovement[[#This Row],[Grade_gpt]]/cfg_TroyOz)</f>
        <v/>
      </c>
      <c r="O3540" s="59">
        <f>IF(tblMovement[[#This Row],[Is_Ore]]=1,tblMovement[[#This Row],[Contained_oz]],0)</f>
        <v/>
      </c>
    </row>
    <row r="3541">
      <c r="A3541" s="54" t="n"/>
      <c r="B3541" s="61" t="n"/>
      <c r="C3541" s="61" t="n"/>
      <c r="D3541" s="61" t="n"/>
      <c r="E3541" s="61" t="n"/>
      <c r="F3541" s="55" t="n"/>
      <c r="G3541" s="56" t="n"/>
      <c r="H3541" s="55" t="n"/>
      <c r="I3541" s="62" t="n"/>
      <c r="J3541" s="58" t="n"/>
      <c r="K3541" s="63">
        <f>IF(tblMovement[[#This Row],[Source]]="","",IFERROR(INDEX(tblSources[Type],MATCH(tblMovement[[#This Row],[Source]],tblSources[Source],0)),"?"))</f>
        <v/>
      </c>
      <c r="L3541" s="63">
        <f>IF(tblMovement[[#This Row],[Destination]]="","",IFERROR(INDEX(tblDestinations[Type],MATCH(tblMovement[[#This Row],[Destination]],tblDestinations[Destination],0)),"?"))</f>
        <v/>
      </c>
      <c r="M3541" s="64">
        <f>IF(tblMovement[[#This Row],[Material]]="","",IF(LEFT(tblMovement[[#This Row],[Material]],3)="Ore",1,0))</f>
        <v/>
      </c>
      <c r="N3541" s="59">
        <f>IF(OR(tblMovement[[#This Row],[Tonnes_t]]="",tblMovement[[#This Row],[Grade_gpt]]=""),0,tblMovement[[#This Row],[Tonnes_t]]*tblMovement[[#This Row],[Grade_gpt]]/cfg_TroyOz)</f>
        <v/>
      </c>
      <c r="O3541" s="59">
        <f>IF(tblMovement[[#This Row],[Is_Ore]]=1,tblMovement[[#This Row],[Contained_oz]],0)</f>
        <v/>
      </c>
    </row>
    <row r="3542">
      <c r="A3542" s="54" t="n"/>
      <c r="B3542" s="61" t="n"/>
      <c r="C3542" s="61" t="n"/>
      <c r="D3542" s="61" t="n"/>
      <c r="E3542" s="61" t="n"/>
      <c r="F3542" s="55" t="n"/>
      <c r="G3542" s="56" t="n"/>
      <c r="H3542" s="55" t="n"/>
      <c r="I3542" s="62" t="n"/>
      <c r="J3542" s="58" t="n"/>
      <c r="K3542" s="63">
        <f>IF(tblMovement[[#This Row],[Source]]="","",IFERROR(INDEX(tblSources[Type],MATCH(tblMovement[[#This Row],[Source]],tblSources[Source],0)),"?"))</f>
        <v/>
      </c>
      <c r="L3542" s="63">
        <f>IF(tblMovement[[#This Row],[Destination]]="","",IFERROR(INDEX(tblDestinations[Type],MATCH(tblMovement[[#This Row],[Destination]],tblDestinations[Destination],0)),"?"))</f>
        <v/>
      </c>
      <c r="M3542" s="64">
        <f>IF(tblMovement[[#This Row],[Material]]="","",IF(LEFT(tblMovement[[#This Row],[Material]],3)="Ore",1,0))</f>
        <v/>
      </c>
      <c r="N3542" s="59">
        <f>IF(OR(tblMovement[[#This Row],[Tonnes_t]]="",tblMovement[[#This Row],[Grade_gpt]]=""),0,tblMovement[[#This Row],[Tonnes_t]]*tblMovement[[#This Row],[Grade_gpt]]/cfg_TroyOz)</f>
        <v/>
      </c>
      <c r="O3542" s="59">
        <f>IF(tblMovement[[#This Row],[Is_Ore]]=1,tblMovement[[#This Row],[Contained_oz]],0)</f>
        <v/>
      </c>
    </row>
    <row r="3543">
      <c r="A3543" s="54" t="n"/>
      <c r="B3543" s="61" t="n"/>
      <c r="C3543" s="61" t="n"/>
      <c r="D3543" s="61" t="n"/>
      <c r="E3543" s="61" t="n"/>
      <c r="F3543" s="55" t="n"/>
      <c r="G3543" s="56" t="n"/>
      <c r="H3543" s="55" t="n"/>
      <c r="I3543" s="62" t="n"/>
      <c r="J3543" s="58" t="n"/>
      <c r="K3543" s="63">
        <f>IF(tblMovement[[#This Row],[Source]]="","",IFERROR(INDEX(tblSources[Type],MATCH(tblMovement[[#This Row],[Source]],tblSources[Source],0)),"?"))</f>
        <v/>
      </c>
      <c r="L3543" s="63">
        <f>IF(tblMovement[[#This Row],[Destination]]="","",IFERROR(INDEX(tblDestinations[Type],MATCH(tblMovement[[#This Row],[Destination]],tblDestinations[Destination],0)),"?"))</f>
        <v/>
      </c>
      <c r="M3543" s="64">
        <f>IF(tblMovement[[#This Row],[Material]]="","",IF(LEFT(tblMovement[[#This Row],[Material]],3)="Ore",1,0))</f>
        <v/>
      </c>
      <c r="N3543" s="59">
        <f>IF(OR(tblMovement[[#This Row],[Tonnes_t]]="",tblMovement[[#This Row],[Grade_gpt]]=""),0,tblMovement[[#This Row],[Tonnes_t]]*tblMovement[[#This Row],[Grade_gpt]]/cfg_TroyOz)</f>
        <v/>
      </c>
      <c r="O3543" s="59">
        <f>IF(tblMovement[[#This Row],[Is_Ore]]=1,tblMovement[[#This Row],[Contained_oz]],0)</f>
        <v/>
      </c>
    </row>
    <row r="3544">
      <c r="A3544" s="54" t="n"/>
      <c r="B3544" s="61" t="n"/>
      <c r="C3544" s="61" t="n"/>
      <c r="D3544" s="61" t="n"/>
      <c r="E3544" s="61" t="n"/>
      <c r="F3544" s="55" t="n"/>
      <c r="G3544" s="56" t="n"/>
      <c r="H3544" s="55" t="n"/>
      <c r="I3544" s="62" t="n"/>
      <c r="J3544" s="58" t="n"/>
      <c r="K3544" s="63">
        <f>IF(tblMovement[[#This Row],[Source]]="","",IFERROR(INDEX(tblSources[Type],MATCH(tblMovement[[#This Row],[Source]],tblSources[Source],0)),"?"))</f>
        <v/>
      </c>
      <c r="L3544" s="63">
        <f>IF(tblMovement[[#This Row],[Destination]]="","",IFERROR(INDEX(tblDestinations[Type],MATCH(tblMovement[[#This Row],[Destination]],tblDestinations[Destination],0)),"?"))</f>
        <v/>
      </c>
      <c r="M3544" s="64">
        <f>IF(tblMovement[[#This Row],[Material]]="","",IF(LEFT(tblMovement[[#This Row],[Material]],3)="Ore",1,0))</f>
        <v/>
      </c>
      <c r="N3544" s="59">
        <f>IF(OR(tblMovement[[#This Row],[Tonnes_t]]="",tblMovement[[#This Row],[Grade_gpt]]=""),0,tblMovement[[#This Row],[Tonnes_t]]*tblMovement[[#This Row],[Grade_gpt]]/cfg_TroyOz)</f>
        <v/>
      </c>
      <c r="O3544" s="59">
        <f>IF(tblMovement[[#This Row],[Is_Ore]]=1,tblMovement[[#This Row],[Contained_oz]],0)</f>
        <v/>
      </c>
    </row>
    <row r="3545">
      <c r="A3545" s="54" t="n"/>
      <c r="B3545" s="61" t="n"/>
      <c r="C3545" s="61" t="n"/>
      <c r="D3545" s="61" t="n"/>
      <c r="E3545" s="61" t="n"/>
      <c r="F3545" s="55" t="n"/>
      <c r="G3545" s="56" t="n"/>
      <c r="H3545" s="55" t="n"/>
      <c r="I3545" s="62" t="n"/>
      <c r="J3545" s="58" t="n"/>
      <c r="K3545" s="63">
        <f>IF(tblMovement[[#This Row],[Source]]="","",IFERROR(INDEX(tblSources[Type],MATCH(tblMovement[[#This Row],[Source]],tblSources[Source],0)),"?"))</f>
        <v/>
      </c>
      <c r="L3545" s="63">
        <f>IF(tblMovement[[#This Row],[Destination]]="","",IFERROR(INDEX(tblDestinations[Type],MATCH(tblMovement[[#This Row],[Destination]],tblDestinations[Destination],0)),"?"))</f>
        <v/>
      </c>
      <c r="M3545" s="64">
        <f>IF(tblMovement[[#This Row],[Material]]="","",IF(LEFT(tblMovement[[#This Row],[Material]],3)="Ore",1,0))</f>
        <v/>
      </c>
      <c r="N3545" s="59">
        <f>IF(OR(tblMovement[[#This Row],[Tonnes_t]]="",tblMovement[[#This Row],[Grade_gpt]]=""),0,tblMovement[[#This Row],[Tonnes_t]]*tblMovement[[#This Row],[Grade_gpt]]/cfg_TroyOz)</f>
        <v/>
      </c>
      <c r="O3545" s="59">
        <f>IF(tblMovement[[#This Row],[Is_Ore]]=1,tblMovement[[#This Row],[Contained_oz]],0)</f>
        <v/>
      </c>
    </row>
    <row r="3546">
      <c r="A3546" s="54" t="n"/>
      <c r="B3546" s="61" t="n"/>
      <c r="C3546" s="61" t="n"/>
      <c r="D3546" s="61" t="n"/>
      <c r="E3546" s="61" t="n"/>
      <c r="F3546" s="55" t="n"/>
      <c r="G3546" s="56" t="n"/>
      <c r="H3546" s="55" t="n"/>
      <c r="I3546" s="62" t="n"/>
      <c r="J3546" s="58" t="n"/>
      <c r="K3546" s="63">
        <f>IF(tblMovement[[#This Row],[Source]]="","",IFERROR(INDEX(tblSources[Type],MATCH(tblMovement[[#This Row],[Source]],tblSources[Source],0)),"?"))</f>
        <v/>
      </c>
      <c r="L3546" s="63">
        <f>IF(tblMovement[[#This Row],[Destination]]="","",IFERROR(INDEX(tblDestinations[Type],MATCH(tblMovement[[#This Row],[Destination]],tblDestinations[Destination],0)),"?"))</f>
        <v/>
      </c>
      <c r="M3546" s="64">
        <f>IF(tblMovement[[#This Row],[Material]]="","",IF(LEFT(tblMovement[[#This Row],[Material]],3)="Ore",1,0))</f>
        <v/>
      </c>
      <c r="N3546" s="59">
        <f>IF(OR(tblMovement[[#This Row],[Tonnes_t]]="",tblMovement[[#This Row],[Grade_gpt]]=""),0,tblMovement[[#This Row],[Tonnes_t]]*tblMovement[[#This Row],[Grade_gpt]]/cfg_TroyOz)</f>
        <v/>
      </c>
      <c r="O3546" s="59">
        <f>IF(tblMovement[[#This Row],[Is_Ore]]=1,tblMovement[[#This Row],[Contained_oz]],0)</f>
        <v/>
      </c>
    </row>
    <row r="3547">
      <c r="A3547" s="54" t="n"/>
      <c r="B3547" s="61" t="n"/>
      <c r="C3547" s="61" t="n"/>
      <c r="D3547" s="61" t="n"/>
      <c r="E3547" s="61" t="n"/>
      <c r="F3547" s="55" t="n"/>
      <c r="G3547" s="56" t="n"/>
      <c r="H3547" s="55" t="n"/>
      <c r="I3547" s="62" t="n"/>
      <c r="J3547" s="58" t="n"/>
      <c r="K3547" s="63">
        <f>IF(tblMovement[[#This Row],[Source]]="","",IFERROR(INDEX(tblSources[Type],MATCH(tblMovement[[#This Row],[Source]],tblSources[Source],0)),"?"))</f>
        <v/>
      </c>
      <c r="L3547" s="63">
        <f>IF(tblMovement[[#This Row],[Destination]]="","",IFERROR(INDEX(tblDestinations[Type],MATCH(tblMovement[[#This Row],[Destination]],tblDestinations[Destination],0)),"?"))</f>
        <v/>
      </c>
      <c r="M3547" s="64">
        <f>IF(tblMovement[[#This Row],[Material]]="","",IF(LEFT(tblMovement[[#This Row],[Material]],3)="Ore",1,0))</f>
        <v/>
      </c>
      <c r="N3547" s="59">
        <f>IF(OR(tblMovement[[#This Row],[Tonnes_t]]="",tblMovement[[#This Row],[Grade_gpt]]=""),0,tblMovement[[#This Row],[Tonnes_t]]*tblMovement[[#This Row],[Grade_gpt]]/cfg_TroyOz)</f>
        <v/>
      </c>
      <c r="O3547" s="59">
        <f>IF(tblMovement[[#This Row],[Is_Ore]]=1,tblMovement[[#This Row],[Contained_oz]],0)</f>
        <v/>
      </c>
    </row>
    <row r="3548">
      <c r="A3548" s="54" t="n"/>
      <c r="B3548" s="61" t="n"/>
      <c r="C3548" s="61" t="n"/>
      <c r="D3548" s="61" t="n"/>
      <c r="E3548" s="61" t="n"/>
      <c r="F3548" s="55" t="n"/>
      <c r="G3548" s="56" t="n"/>
      <c r="H3548" s="55" t="n"/>
      <c r="I3548" s="62" t="n"/>
      <c r="J3548" s="58" t="n"/>
      <c r="K3548" s="63">
        <f>IF(tblMovement[[#This Row],[Source]]="","",IFERROR(INDEX(tblSources[Type],MATCH(tblMovement[[#This Row],[Source]],tblSources[Source],0)),"?"))</f>
        <v/>
      </c>
      <c r="L3548" s="63">
        <f>IF(tblMovement[[#This Row],[Destination]]="","",IFERROR(INDEX(tblDestinations[Type],MATCH(tblMovement[[#This Row],[Destination]],tblDestinations[Destination],0)),"?"))</f>
        <v/>
      </c>
      <c r="M3548" s="64">
        <f>IF(tblMovement[[#This Row],[Material]]="","",IF(LEFT(tblMovement[[#This Row],[Material]],3)="Ore",1,0))</f>
        <v/>
      </c>
      <c r="N3548" s="59">
        <f>IF(OR(tblMovement[[#This Row],[Tonnes_t]]="",tblMovement[[#This Row],[Grade_gpt]]=""),0,tblMovement[[#This Row],[Tonnes_t]]*tblMovement[[#This Row],[Grade_gpt]]/cfg_TroyOz)</f>
        <v/>
      </c>
      <c r="O3548" s="59">
        <f>IF(tblMovement[[#This Row],[Is_Ore]]=1,tblMovement[[#This Row],[Contained_oz]],0)</f>
        <v/>
      </c>
    </row>
    <row r="3549">
      <c r="A3549" s="54" t="n"/>
      <c r="B3549" s="61" t="n"/>
      <c r="C3549" s="61" t="n"/>
      <c r="D3549" s="61" t="n"/>
      <c r="E3549" s="61" t="n"/>
      <c r="F3549" s="55" t="n"/>
      <c r="G3549" s="56" t="n"/>
      <c r="H3549" s="55" t="n"/>
      <c r="I3549" s="62" t="n"/>
      <c r="J3549" s="58" t="n"/>
      <c r="K3549" s="63">
        <f>IF(tblMovement[[#This Row],[Source]]="","",IFERROR(INDEX(tblSources[Type],MATCH(tblMovement[[#This Row],[Source]],tblSources[Source],0)),"?"))</f>
        <v/>
      </c>
      <c r="L3549" s="63">
        <f>IF(tblMovement[[#This Row],[Destination]]="","",IFERROR(INDEX(tblDestinations[Type],MATCH(tblMovement[[#This Row],[Destination]],tblDestinations[Destination],0)),"?"))</f>
        <v/>
      </c>
      <c r="M3549" s="64">
        <f>IF(tblMovement[[#This Row],[Material]]="","",IF(LEFT(tblMovement[[#This Row],[Material]],3)="Ore",1,0))</f>
        <v/>
      </c>
      <c r="N3549" s="59">
        <f>IF(OR(tblMovement[[#This Row],[Tonnes_t]]="",tblMovement[[#This Row],[Grade_gpt]]=""),0,tblMovement[[#This Row],[Tonnes_t]]*tblMovement[[#This Row],[Grade_gpt]]/cfg_TroyOz)</f>
        <v/>
      </c>
      <c r="O3549" s="59">
        <f>IF(tblMovement[[#This Row],[Is_Ore]]=1,tblMovement[[#This Row],[Contained_oz]],0)</f>
        <v/>
      </c>
    </row>
    <row r="3550">
      <c r="A3550" s="54" t="n"/>
      <c r="B3550" s="61" t="n"/>
      <c r="C3550" s="61" t="n"/>
      <c r="D3550" s="61" t="n"/>
      <c r="E3550" s="61" t="n"/>
      <c r="F3550" s="55" t="n"/>
      <c r="G3550" s="56" t="n"/>
      <c r="H3550" s="55" t="n"/>
      <c r="I3550" s="62" t="n"/>
      <c r="J3550" s="58" t="n"/>
      <c r="K3550" s="63">
        <f>IF(tblMovement[[#This Row],[Source]]="","",IFERROR(INDEX(tblSources[Type],MATCH(tblMovement[[#This Row],[Source]],tblSources[Source],0)),"?"))</f>
        <v/>
      </c>
      <c r="L3550" s="63">
        <f>IF(tblMovement[[#This Row],[Destination]]="","",IFERROR(INDEX(tblDestinations[Type],MATCH(tblMovement[[#This Row],[Destination]],tblDestinations[Destination],0)),"?"))</f>
        <v/>
      </c>
      <c r="M3550" s="64">
        <f>IF(tblMovement[[#This Row],[Material]]="","",IF(LEFT(tblMovement[[#This Row],[Material]],3)="Ore",1,0))</f>
        <v/>
      </c>
      <c r="N3550" s="59">
        <f>IF(OR(tblMovement[[#This Row],[Tonnes_t]]="",tblMovement[[#This Row],[Grade_gpt]]=""),0,tblMovement[[#This Row],[Tonnes_t]]*tblMovement[[#This Row],[Grade_gpt]]/cfg_TroyOz)</f>
        <v/>
      </c>
      <c r="O3550" s="59">
        <f>IF(tblMovement[[#This Row],[Is_Ore]]=1,tblMovement[[#This Row],[Contained_oz]],0)</f>
        <v/>
      </c>
    </row>
    <row r="3551">
      <c r="A3551" s="54" t="n"/>
      <c r="B3551" s="61" t="n"/>
      <c r="C3551" s="61" t="n"/>
      <c r="D3551" s="61" t="n"/>
      <c r="E3551" s="61" t="n"/>
      <c r="F3551" s="55" t="n"/>
      <c r="G3551" s="56" t="n"/>
      <c r="H3551" s="55" t="n"/>
      <c r="I3551" s="62" t="n"/>
      <c r="J3551" s="58" t="n"/>
      <c r="K3551" s="63">
        <f>IF(tblMovement[[#This Row],[Source]]="","",IFERROR(INDEX(tblSources[Type],MATCH(tblMovement[[#This Row],[Source]],tblSources[Source],0)),"?"))</f>
        <v/>
      </c>
      <c r="L3551" s="63">
        <f>IF(tblMovement[[#This Row],[Destination]]="","",IFERROR(INDEX(tblDestinations[Type],MATCH(tblMovement[[#This Row],[Destination]],tblDestinations[Destination],0)),"?"))</f>
        <v/>
      </c>
      <c r="M3551" s="64">
        <f>IF(tblMovement[[#This Row],[Material]]="","",IF(LEFT(tblMovement[[#This Row],[Material]],3)="Ore",1,0))</f>
        <v/>
      </c>
      <c r="N3551" s="59">
        <f>IF(OR(tblMovement[[#This Row],[Tonnes_t]]="",tblMovement[[#This Row],[Grade_gpt]]=""),0,tblMovement[[#This Row],[Tonnes_t]]*tblMovement[[#This Row],[Grade_gpt]]/cfg_TroyOz)</f>
        <v/>
      </c>
      <c r="O3551" s="59">
        <f>IF(tblMovement[[#This Row],[Is_Ore]]=1,tblMovement[[#This Row],[Contained_oz]],0)</f>
        <v/>
      </c>
    </row>
    <row r="3552">
      <c r="A3552" s="54" t="n"/>
      <c r="B3552" s="61" t="n"/>
      <c r="C3552" s="61" t="n"/>
      <c r="D3552" s="61" t="n"/>
      <c r="E3552" s="61" t="n"/>
      <c r="F3552" s="55" t="n"/>
      <c r="G3552" s="56" t="n"/>
      <c r="H3552" s="55" t="n"/>
      <c r="I3552" s="62" t="n"/>
      <c r="J3552" s="58" t="n"/>
      <c r="K3552" s="63">
        <f>IF(tblMovement[[#This Row],[Source]]="","",IFERROR(INDEX(tblSources[Type],MATCH(tblMovement[[#This Row],[Source]],tblSources[Source],0)),"?"))</f>
        <v/>
      </c>
      <c r="L3552" s="63">
        <f>IF(tblMovement[[#This Row],[Destination]]="","",IFERROR(INDEX(tblDestinations[Type],MATCH(tblMovement[[#This Row],[Destination]],tblDestinations[Destination],0)),"?"))</f>
        <v/>
      </c>
      <c r="M3552" s="64">
        <f>IF(tblMovement[[#This Row],[Material]]="","",IF(LEFT(tblMovement[[#This Row],[Material]],3)="Ore",1,0))</f>
        <v/>
      </c>
      <c r="N3552" s="59">
        <f>IF(OR(tblMovement[[#This Row],[Tonnes_t]]="",tblMovement[[#This Row],[Grade_gpt]]=""),0,tblMovement[[#This Row],[Tonnes_t]]*tblMovement[[#This Row],[Grade_gpt]]/cfg_TroyOz)</f>
        <v/>
      </c>
      <c r="O3552" s="59">
        <f>IF(tblMovement[[#This Row],[Is_Ore]]=1,tblMovement[[#This Row],[Contained_oz]],0)</f>
        <v/>
      </c>
    </row>
    <row r="3553">
      <c r="A3553" s="54" t="n"/>
      <c r="B3553" s="61" t="n"/>
      <c r="C3553" s="61" t="n"/>
      <c r="D3553" s="61" t="n"/>
      <c r="E3553" s="61" t="n"/>
      <c r="F3553" s="55" t="n"/>
      <c r="G3553" s="56" t="n"/>
      <c r="H3553" s="55" t="n"/>
      <c r="I3553" s="62" t="n"/>
      <c r="J3553" s="58" t="n"/>
      <c r="K3553" s="63">
        <f>IF(tblMovement[[#This Row],[Source]]="","",IFERROR(INDEX(tblSources[Type],MATCH(tblMovement[[#This Row],[Source]],tblSources[Source],0)),"?"))</f>
        <v/>
      </c>
      <c r="L3553" s="63">
        <f>IF(tblMovement[[#This Row],[Destination]]="","",IFERROR(INDEX(tblDestinations[Type],MATCH(tblMovement[[#This Row],[Destination]],tblDestinations[Destination],0)),"?"))</f>
        <v/>
      </c>
      <c r="M3553" s="64">
        <f>IF(tblMovement[[#This Row],[Material]]="","",IF(LEFT(tblMovement[[#This Row],[Material]],3)="Ore",1,0))</f>
        <v/>
      </c>
      <c r="N3553" s="59">
        <f>IF(OR(tblMovement[[#This Row],[Tonnes_t]]="",tblMovement[[#This Row],[Grade_gpt]]=""),0,tblMovement[[#This Row],[Tonnes_t]]*tblMovement[[#This Row],[Grade_gpt]]/cfg_TroyOz)</f>
        <v/>
      </c>
      <c r="O3553" s="59">
        <f>IF(tblMovement[[#This Row],[Is_Ore]]=1,tblMovement[[#This Row],[Contained_oz]],0)</f>
        <v/>
      </c>
    </row>
    <row r="3554">
      <c r="A3554" s="54" t="n"/>
      <c r="B3554" s="61" t="n"/>
      <c r="C3554" s="61" t="n"/>
      <c r="D3554" s="61" t="n"/>
      <c r="E3554" s="61" t="n"/>
      <c r="F3554" s="55" t="n"/>
      <c r="G3554" s="56" t="n"/>
      <c r="H3554" s="55" t="n"/>
      <c r="I3554" s="62" t="n"/>
      <c r="J3554" s="58" t="n"/>
      <c r="K3554" s="63">
        <f>IF(tblMovement[[#This Row],[Source]]="","",IFERROR(INDEX(tblSources[Type],MATCH(tblMovement[[#This Row],[Source]],tblSources[Source],0)),"?"))</f>
        <v/>
      </c>
      <c r="L3554" s="63">
        <f>IF(tblMovement[[#This Row],[Destination]]="","",IFERROR(INDEX(tblDestinations[Type],MATCH(tblMovement[[#This Row],[Destination]],tblDestinations[Destination],0)),"?"))</f>
        <v/>
      </c>
      <c r="M3554" s="64">
        <f>IF(tblMovement[[#This Row],[Material]]="","",IF(LEFT(tblMovement[[#This Row],[Material]],3)="Ore",1,0))</f>
        <v/>
      </c>
      <c r="N3554" s="59">
        <f>IF(OR(tblMovement[[#This Row],[Tonnes_t]]="",tblMovement[[#This Row],[Grade_gpt]]=""),0,tblMovement[[#This Row],[Tonnes_t]]*tblMovement[[#This Row],[Grade_gpt]]/cfg_TroyOz)</f>
        <v/>
      </c>
      <c r="O3554" s="59">
        <f>IF(tblMovement[[#This Row],[Is_Ore]]=1,tblMovement[[#This Row],[Contained_oz]],0)</f>
        <v/>
      </c>
    </row>
    <row r="3555">
      <c r="A3555" s="54" t="n"/>
      <c r="B3555" s="61" t="n"/>
      <c r="C3555" s="61" t="n"/>
      <c r="D3555" s="61" t="n"/>
      <c r="E3555" s="61" t="n"/>
      <c r="F3555" s="55" t="n"/>
      <c r="G3555" s="56" t="n"/>
      <c r="H3555" s="55" t="n"/>
      <c r="I3555" s="62" t="n"/>
      <c r="J3555" s="58" t="n"/>
      <c r="K3555" s="63">
        <f>IF(tblMovement[[#This Row],[Source]]="","",IFERROR(INDEX(tblSources[Type],MATCH(tblMovement[[#This Row],[Source]],tblSources[Source],0)),"?"))</f>
        <v/>
      </c>
      <c r="L3555" s="63">
        <f>IF(tblMovement[[#This Row],[Destination]]="","",IFERROR(INDEX(tblDestinations[Type],MATCH(tblMovement[[#This Row],[Destination]],tblDestinations[Destination],0)),"?"))</f>
        <v/>
      </c>
      <c r="M3555" s="64">
        <f>IF(tblMovement[[#This Row],[Material]]="","",IF(LEFT(tblMovement[[#This Row],[Material]],3)="Ore",1,0))</f>
        <v/>
      </c>
      <c r="N3555" s="59">
        <f>IF(OR(tblMovement[[#This Row],[Tonnes_t]]="",tblMovement[[#This Row],[Grade_gpt]]=""),0,tblMovement[[#This Row],[Tonnes_t]]*tblMovement[[#This Row],[Grade_gpt]]/cfg_TroyOz)</f>
        <v/>
      </c>
      <c r="O3555" s="59">
        <f>IF(tblMovement[[#This Row],[Is_Ore]]=1,tblMovement[[#This Row],[Contained_oz]],0)</f>
        <v/>
      </c>
    </row>
    <row r="3556">
      <c r="A3556" s="54" t="n"/>
      <c r="B3556" s="61" t="n"/>
      <c r="C3556" s="61" t="n"/>
      <c r="D3556" s="61" t="n"/>
      <c r="E3556" s="61" t="n"/>
      <c r="F3556" s="55" t="n"/>
      <c r="G3556" s="56" t="n"/>
      <c r="H3556" s="55" t="n"/>
      <c r="I3556" s="62" t="n"/>
      <c r="J3556" s="58" t="n"/>
      <c r="K3556" s="63">
        <f>IF(tblMovement[[#This Row],[Source]]="","",IFERROR(INDEX(tblSources[Type],MATCH(tblMovement[[#This Row],[Source]],tblSources[Source],0)),"?"))</f>
        <v/>
      </c>
      <c r="L3556" s="63">
        <f>IF(tblMovement[[#This Row],[Destination]]="","",IFERROR(INDEX(tblDestinations[Type],MATCH(tblMovement[[#This Row],[Destination]],tblDestinations[Destination],0)),"?"))</f>
        <v/>
      </c>
      <c r="M3556" s="64">
        <f>IF(tblMovement[[#This Row],[Material]]="","",IF(LEFT(tblMovement[[#This Row],[Material]],3)="Ore",1,0))</f>
        <v/>
      </c>
      <c r="N3556" s="59">
        <f>IF(OR(tblMovement[[#This Row],[Tonnes_t]]="",tblMovement[[#This Row],[Grade_gpt]]=""),0,tblMovement[[#This Row],[Tonnes_t]]*tblMovement[[#This Row],[Grade_gpt]]/cfg_TroyOz)</f>
        <v/>
      </c>
      <c r="O3556" s="59">
        <f>IF(tblMovement[[#This Row],[Is_Ore]]=1,tblMovement[[#This Row],[Contained_oz]],0)</f>
        <v/>
      </c>
    </row>
    <row r="3557">
      <c r="A3557" s="54" t="n"/>
      <c r="B3557" s="61" t="n"/>
      <c r="C3557" s="61" t="n"/>
      <c r="D3557" s="61" t="n"/>
      <c r="E3557" s="61" t="n"/>
      <c r="F3557" s="55" t="n"/>
      <c r="G3557" s="56" t="n"/>
      <c r="H3557" s="55" t="n"/>
      <c r="I3557" s="62" t="n"/>
      <c r="J3557" s="58" t="n"/>
      <c r="K3557" s="63">
        <f>IF(tblMovement[[#This Row],[Source]]="","",IFERROR(INDEX(tblSources[Type],MATCH(tblMovement[[#This Row],[Source]],tblSources[Source],0)),"?"))</f>
        <v/>
      </c>
      <c r="L3557" s="63">
        <f>IF(tblMovement[[#This Row],[Destination]]="","",IFERROR(INDEX(tblDestinations[Type],MATCH(tblMovement[[#This Row],[Destination]],tblDestinations[Destination],0)),"?"))</f>
        <v/>
      </c>
      <c r="M3557" s="64">
        <f>IF(tblMovement[[#This Row],[Material]]="","",IF(LEFT(tblMovement[[#This Row],[Material]],3)="Ore",1,0))</f>
        <v/>
      </c>
      <c r="N3557" s="59">
        <f>IF(OR(tblMovement[[#This Row],[Tonnes_t]]="",tblMovement[[#This Row],[Grade_gpt]]=""),0,tblMovement[[#This Row],[Tonnes_t]]*tblMovement[[#This Row],[Grade_gpt]]/cfg_TroyOz)</f>
        <v/>
      </c>
      <c r="O3557" s="59">
        <f>IF(tblMovement[[#This Row],[Is_Ore]]=1,tblMovement[[#This Row],[Contained_oz]],0)</f>
        <v/>
      </c>
    </row>
    <row r="3558">
      <c r="A3558" s="54" t="n"/>
      <c r="B3558" s="61" t="n"/>
      <c r="C3558" s="61" t="n"/>
      <c r="D3558" s="61" t="n"/>
      <c r="E3558" s="61" t="n"/>
      <c r="F3558" s="55" t="n"/>
      <c r="G3558" s="56" t="n"/>
      <c r="H3558" s="55" t="n"/>
      <c r="I3558" s="62" t="n"/>
      <c r="J3558" s="58" t="n"/>
      <c r="K3558" s="63">
        <f>IF(tblMovement[[#This Row],[Source]]="","",IFERROR(INDEX(tblSources[Type],MATCH(tblMovement[[#This Row],[Source]],tblSources[Source],0)),"?"))</f>
        <v/>
      </c>
      <c r="L3558" s="63">
        <f>IF(tblMovement[[#This Row],[Destination]]="","",IFERROR(INDEX(tblDestinations[Type],MATCH(tblMovement[[#This Row],[Destination]],tblDestinations[Destination],0)),"?"))</f>
        <v/>
      </c>
      <c r="M3558" s="64">
        <f>IF(tblMovement[[#This Row],[Material]]="","",IF(LEFT(tblMovement[[#This Row],[Material]],3)="Ore",1,0))</f>
        <v/>
      </c>
      <c r="N3558" s="59">
        <f>IF(OR(tblMovement[[#This Row],[Tonnes_t]]="",tblMovement[[#This Row],[Grade_gpt]]=""),0,tblMovement[[#This Row],[Tonnes_t]]*tblMovement[[#This Row],[Grade_gpt]]/cfg_TroyOz)</f>
        <v/>
      </c>
      <c r="O3558" s="59">
        <f>IF(tblMovement[[#This Row],[Is_Ore]]=1,tblMovement[[#This Row],[Contained_oz]],0)</f>
        <v/>
      </c>
    </row>
    <row r="3559">
      <c r="A3559" s="54" t="n"/>
      <c r="B3559" s="61" t="n"/>
      <c r="C3559" s="61" t="n"/>
      <c r="D3559" s="61" t="n"/>
      <c r="E3559" s="61" t="n"/>
      <c r="F3559" s="55" t="n"/>
      <c r="G3559" s="56" t="n"/>
      <c r="H3559" s="55" t="n"/>
      <c r="I3559" s="62" t="n"/>
      <c r="J3559" s="58" t="n"/>
      <c r="K3559" s="63">
        <f>IF(tblMovement[[#This Row],[Source]]="","",IFERROR(INDEX(tblSources[Type],MATCH(tblMovement[[#This Row],[Source]],tblSources[Source],0)),"?"))</f>
        <v/>
      </c>
      <c r="L3559" s="63">
        <f>IF(tblMovement[[#This Row],[Destination]]="","",IFERROR(INDEX(tblDestinations[Type],MATCH(tblMovement[[#This Row],[Destination]],tblDestinations[Destination],0)),"?"))</f>
        <v/>
      </c>
      <c r="M3559" s="64">
        <f>IF(tblMovement[[#This Row],[Material]]="","",IF(LEFT(tblMovement[[#This Row],[Material]],3)="Ore",1,0))</f>
        <v/>
      </c>
      <c r="N3559" s="59">
        <f>IF(OR(tblMovement[[#This Row],[Tonnes_t]]="",tblMovement[[#This Row],[Grade_gpt]]=""),0,tblMovement[[#This Row],[Tonnes_t]]*tblMovement[[#This Row],[Grade_gpt]]/cfg_TroyOz)</f>
        <v/>
      </c>
      <c r="O3559" s="59">
        <f>IF(tblMovement[[#This Row],[Is_Ore]]=1,tblMovement[[#This Row],[Contained_oz]],0)</f>
        <v/>
      </c>
    </row>
    <row r="3560">
      <c r="A3560" s="54" t="n"/>
      <c r="B3560" s="61" t="n"/>
      <c r="C3560" s="61" t="n"/>
      <c r="D3560" s="61" t="n"/>
      <c r="E3560" s="61" t="n"/>
      <c r="F3560" s="55" t="n"/>
      <c r="G3560" s="56" t="n"/>
      <c r="H3560" s="55" t="n"/>
      <c r="I3560" s="62" t="n"/>
      <c r="J3560" s="58" t="n"/>
      <c r="K3560" s="63">
        <f>IF(tblMovement[[#This Row],[Source]]="","",IFERROR(INDEX(tblSources[Type],MATCH(tblMovement[[#This Row],[Source]],tblSources[Source],0)),"?"))</f>
        <v/>
      </c>
      <c r="L3560" s="63">
        <f>IF(tblMovement[[#This Row],[Destination]]="","",IFERROR(INDEX(tblDestinations[Type],MATCH(tblMovement[[#This Row],[Destination]],tblDestinations[Destination],0)),"?"))</f>
        <v/>
      </c>
      <c r="M3560" s="64">
        <f>IF(tblMovement[[#This Row],[Material]]="","",IF(LEFT(tblMovement[[#This Row],[Material]],3)="Ore",1,0))</f>
        <v/>
      </c>
      <c r="N3560" s="59">
        <f>IF(OR(tblMovement[[#This Row],[Tonnes_t]]="",tblMovement[[#This Row],[Grade_gpt]]=""),0,tblMovement[[#This Row],[Tonnes_t]]*tblMovement[[#This Row],[Grade_gpt]]/cfg_TroyOz)</f>
        <v/>
      </c>
      <c r="O3560" s="59">
        <f>IF(tblMovement[[#This Row],[Is_Ore]]=1,tblMovement[[#This Row],[Contained_oz]],0)</f>
        <v/>
      </c>
    </row>
    <row r="3561">
      <c r="A3561" s="54" t="n"/>
      <c r="B3561" s="61" t="n"/>
      <c r="C3561" s="61" t="n"/>
      <c r="D3561" s="61" t="n"/>
      <c r="E3561" s="61" t="n"/>
      <c r="F3561" s="55" t="n"/>
      <c r="G3561" s="56" t="n"/>
      <c r="H3561" s="55" t="n"/>
      <c r="I3561" s="62" t="n"/>
      <c r="J3561" s="58" t="n"/>
      <c r="K3561" s="63">
        <f>IF(tblMovement[[#This Row],[Source]]="","",IFERROR(INDEX(tblSources[Type],MATCH(tblMovement[[#This Row],[Source]],tblSources[Source],0)),"?"))</f>
        <v/>
      </c>
      <c r="L3561" s="63">
        <f>IF(tblMovement[[#This Row],[Destination]]="","",IFERROR(INDEX(tblDestinations[Type],MATCH(tblMovement[[#This Row],[Destination]],tblDestinations[Destination],0)),"?"))</f>
        <v/>
      </c>
      <c r="M3561" s="64">
        <f>IF(tblMovement[[#This Row],[Material]]="","",IF(LEFT(tblMovement[[#This Row],[Material]],3)="Ore",1,0))</f>
        <v/>
      </c>
      <c r="N3561" s="59">
        <f>IF(OR(tblMovement[[#This Row],[Tonnes_t]]="",tblMovement[[#This Row],[Grade_gpt]]=""),0,tblMovement[[#This Row],[Tonnes_t]]*tblMovement[[#This Row],[Grade_gpt]]/cfg_TroyOz)</f>
        <v/>
      </c>
      <c r="O3561" s="59">
        <f>IF(tblMovement[[#This Row],[Is_Ore]]=1,tblMovement[[#This Row],[Contained_oz]],0)</f>
        <v/>
      </c>
    </row>
    <row r="3562">
      <c r="A3562" s="54" t="n"/>
      <c r="B3562" s="61" t="n"/>
      <c r="C3562" s="61" t="n"/>
      <c r="D3562" s="61" t="n"/>
      <c r="E3562" s="61" t="n"/>
      <c r="F3562" s="55" t="n"/>
      <c r="G3562" s="56" t="n"/>
      <c r="H3562" s="55" t="n"/>
      <c r="I3562" s="62" t="n"/>
      <c r="J3562" s="58" t="n"/>
      <c r="K3562" s="63">
        <f>IF(tblMovement[[#This Row],[Source]]="","",IFERROR(INDEX(tblSources[Type],MATCH(tblMovement[[#This Row],[Source]],tblSources[Source],0)),"?"))</f>
        <v/>
      </c>
      <c r="L3562" s="63">
        <f>IF(tblMovement[[#This Row],[Destination]]="","",IFERROR(INDEX(tblDestinations[Type],MATCH(tblMovement[[#This Row],[Destination]],tblDestinations[Destination],0)),"?"))</f>
        <v/>
      </c>
      <c r="M3562" s="64">
        <f>IF(tblMovement[[#This Row],[Material]]="","",IF(LEFT(tblMovement[[#This Row],[Material]],3)="Ore",1,0))</f>
        <v/>
      </c>
      <c r="N3562" s="59">
        <f>IF(OR(tblMovement[[#This Row],[Tonnes_t]]="",tblMovement[[#This Row],[Grade_gpt]]=""),0,tblMovement[[#This Row],[Tonnes_t]]*tblMovement[[#This Row],[Grade_gpt]]/cfg_TroyOz)</f>
        <v/>
      </c>
      <c r="O3562" s="59">
        <f>IF(tblMovement[[#This Row],[Is_Ore]]=1,tblMovement[[#This Row],[Contained_oz]],0)</f>
        <v/>
      </c>
    </row>
    <row r="3563">
      <c r="A3563" s="54" t="n"/>
      <c r="B3563" s="61" t="n"/>
      <c r="C3563" s="61" t="n"/>
      <c r="D3563" s="61" t="n"/>
      <c r="E3563" s="61" t="n"/>
      <c r="F3563" s="55" t="n"/>
      <c r="G3563" s="56" t="n"/>
      <c r="H3563" s="55" t="n"/>
      <c r="I3563" s="62" t="n"/>
      <c r="J3563" s="58" t="n"/>
      <c r="K3563" s="63">
        <f>IF(tblMovement[[#This Row],[Source]]="","",IFERROR(INDEX(tblSources[Type],MATCH(tblMovement[[#This Row],[Source]],tblSources[Source],0)),"?"))</f>
        <v/>
      </c>
      <c r="L3563" s="63">
        <f>IF(tblMovement[[#This Row],[Destination]]="","",IFERROR(INDEX(tblDestinations[Type],MATCH(tblMovement[[#This Row],[Destination]],tblDestinations[Destination],0)),"?"))</f>
        <v/>
      </c>
      <c r="M3563" s="64">
        <f>IF(tblMovement[[#This Row],[Material]]="","",IF(LEFT(tblMovement[[#This Row],[Material]],3)="Ore",1,0))</f>
        <v/>
      </c>
      <c r="N3563" s="59">
        <f>IF(OR(tblMovement[[#This Row],[Tonnes_t]]="",tblMovement[[#This Row],[Grade_gpt]]=""),0,tblMovement[[#This Row],[Tonnes_t]]*tblMovement[[#This Row],[Grade_gpt]]/cfg_TroyOz)</f>
        <v/>
      </c>
      <c r="O3563" s="59">
        <f>IF(tblMovement[[#This Row],[Is_Ore]]=1,tblMovement[[#This Row],[Contained_oz]],0)</f>
        <v/>
      </c>
    </row>
    <row r="3564">
      <c r="A3564" s="54" t="n"/>
      <c r="B3564" s="61" t="n"/>
      <c r="C3564" s="61" t="n"/>
      <c r="D3564" s="61" t="n"/>
      <c r="E3564" s="61" t="n"/>
      <c r="F3564" s="55" t="n"/>
      <c r="G3564" s="56" t="n"/>
      <c r="H3564" s="55" t="n"/>
      <c r="I3564" s="62" t="n"/>
      <c r="J3564" s="58" t="n"/>
      <c r="K3564" s="63">
        <f>IF(tblMovement[[#This Row],[Source]]="","",IFERROR(INDEX(tblSources[Type],MATCH(tblMovement[[#This Row],[Source]],tblSources[Source],0)),"?"))</f>
        <v/>
      </c>
      <c r="L3564" s="63">
        <f>IF(tblMovement[[#This Row],[Destination]]="","",IFERROR(INDEX(tblDestinations[Type],MATCH(tblMovement[[#This Row],[Destination]],tblDestinations[Destination],0)),"?"))</f>
        <v/>
      </c>
      <c r="M3564" s="64">
        <f>IF(tblMovement[[#This Row],[Material]]="","",IF(LEFT(tblMovement[[#This Row],[Material]],3)="Ore",1,0))</f>
        <v/>
      </c>
      <c r="N3564" s="59">
        <f>IF(OR(tblMovement[[#This Row],[Tonnes_t]]="",tblMovement[[#This Row],[Grade_gpt]]=""),0,tblMovement[[#This Row],[Tonnes_t]]*tblMovement[[#This Row],[Grade_gpt]]/cfg_TroyOz)</f>
        <v/>
      </c>
      <c r="O3564" s="59">
        <f>IF(tblMovement[[#This Row],[Is_Ore]]=1,tblMovement[[#This Row],[Contained_oz]],0)</f>
        <v/>
      </c>
    </row>
    <row r="3565">
      <c r="A3565" s="54" t="n"/>
      <c r="B3565" s="61" t="n"/>
      <c r="C3565" s="61" t="n"/>
      <c r="D3565" s="61" t="n"/>
      <c r="E3565" s="61" t="n"/>
      <c r="F3565" s="55" t="n"/>
      <c r="G3565" s="56" t="n"/>
      <c r="H3565" s="55" t="n"/>
      <c r="I3565" s="62" t="n"/>
      <c r="J3565" s="58" t="n"/>
      <c r="K3565" s="63">
        <f>IF(tblMovement[[#This Row],[Source]]="","",IFERROR(INDEX(tblSources[Type],MATCH(tblMovement[[#This Row],[Source]],tblSources[Source],0)),"?"))</f>
        <v/>
      </c>
      <c r="L3565" s="63">
        <f>IF(tblMovement[[#This Row],[Destination]]="","",IFERROR(INDEX(tblDestinations[Type],MATCH(tblMovement[[#This Row],[Destination]],tblDestinations[Destination],0)),"?"))</f>
        <v/>
      </c>
      <c r="M3565" s="64">
        <f>IF(tblMovement[[#This Row],[Material]]="","",IF(LEFT(tblMovement[[#This Row],[Material]],3)="Ore",1,0))</f>
        <v/>
      </c>
      <c r="N3565" s="59">
        <f>IF(OR(tblMovement[[#This Row],[Tonnes_t]]="",tblMovement[[#This Row],[Grade_gpt]]=""),0,tblMovement[[#This Row],[Tonnes_t]]*tblMovement[[#This Row],[Grade_gpt]]/cfg_TroyOz)</f>
        <v/>
      </c>
      <c r="O3565" s="59">
        <f>IF(tblMovement[[#This Row],[Is_Ore]]=1,tblMovement[[#This Row],[Contained_oz]],0)</f>
        <v/>
      </c>
    </row>
    <row r="3566">
      <c r="A3566" s="54" t="n"/>
      <c r="B3566" s="61" t="n"/>
      <c r="C3566" s="61" t="n"/>
      <c r="D3566" s="61" t="n"/>
      <c r="E3566" s="61" t="n"/>
      <c r="F3566" s="55" t="n"/>
      <c r="G3566" s="56" t="n"/>
      <c r="H3566" s="55" t="n"/>
      <c r="I3566" s="62" t="n"/>
      <c r="J3566" s="58" t="n"/>
      <c r="K3566" s="63">
        <f>IF(tblMovement[[#This Row],[Source]]="","",IFERROR(INDEX(tblSources[Type],MATCH(tblMovement[[#This Row],[Source]],tblSources[Source],0)),"?"))</f>
        <v/>
      </c>
      <c r="L3566" s="63">
        <f>IF(tblMovement[[#This Row],[Destination]]="","",IFERROR(INDEX(tblDestinations[Type],MATCH(tblMovement[[#This Row],[Destination]],tblDestinations[Destination],0)),"?"))</f>
        <v/>
      </c>
      <c r="M3566" s="64">
        <f>IF(tblMovement[[#This Row],[Material]]="","",IF(LEFT(tblMovement[[#This Row],[Material]],3)="Ore",1,0))</f>
        <v/>
      </c>
      <c r="N3566" s="59">
        <f>IF(OR(tblMovement[[#This Row],[Tonnes_t]]="",tblMovement[[#This Row],[Grade_gpt]]=""),0,tblMovement[[#This Row],[Tonnes_t]]*tblMovement[[#This Row],[Grade_gpt]]/cfg_TroyOz)</f>
        <v/>
      </c>
      <c r="O3566" s="59">
        <f>IF(tblMovement[[#This Row],[Is_Ore]]=1,tblMovement[[#This Row],[Contained_oz]],0)</f>
        <v/>
      </c>
    </row>
    <row r="3567">
      <c r="A3567" s="54" t="n"/>
      <c r="B3567" s="61" t="n"/>
      <c r="C3567" s="61" t="n"/>
      <c r="D3567" s="61" t="n"/>
      <c r="E3567" s="61" t="n"/>
      <c r="F3567" s="55" t="n"/>
      <c r="G3567" s="56" t="n"/>
      <c r="H3567" s="55" t="n"/>
      <c r="I3567" s="62" t="n"/>
      <c r="J3567" s="58" t="n"/>
      <c r="K3567" s="63">
        <f>IF(tblMovement[[#This Row],[Source]]="","",IFERROR(INDEX(tblSources[Type],MATCH(tblMovement[[#This Row],[Source]],tblSources[Source],0)),"?"))</f>
        <v/>
      </c>
      <c r="L3567" s="63">
        <f>IF(tblMovement[[#This Row],[Destination]]="","",IFERROR(INDEX(tblDestinations[Type],MATCH(tblMovement[[#This Row],[Destination]],tblDestinations[Destination],0)),"?"))</f>
        <v/>
      </c>
      <c r="M3567" s="64">
        <f>IF(tblMovement[[#This Row],[Material]]="","",IF(LEFT(tblMovement[[#This Row],[Material]],3)="Ore",1,0))</f>
        <v/>
      </c>
      <c r="N3567" s="59">
        <f>IF(OR(tblMovement[[#This Row],[Tonnes_t]]="",tblMovement[[#This Row],[Grade_gpt]]=""),0,tblMovement[[#This Row],[Tonnes_t]]*tblMovement[[#This Row],[Grade_gpt]]/cfg_TroyOz)</f>
        <v/>
      </c>
      <c r="O3567" s="59">
        <f>IF(tblMovement[[#This Row],[Is_Ore]]=1,tblMovement[[#This Row],[Contained_oz]],0)</f>
        <v/>
      </c>
    </row>
    <row r="3568">
      <c r="A3568" s="54" t="n"/>
      <c r="B3568" s="61" t="n"/>
      <c r="C3568" s="61" t="n"/>
      <c r="D3568" s="61" t="n"/>
      <c r="E3568" s="61" t="n"/>
      <c r="F3568" s="55" t="n"/>
      <c r="G3568" s="56" t="n"/>
      <c r="H3568" s="55" t="n"/>
      <c r="I3568" s="62" t="n"/>
      <c r="J3568" s="58" t="n"/>
      <c r="K3568" s="63">
        <f>IF(tblMovement[[#This Row],[Source]]="","",IFERROR(INDEX(tblSources[Type],MATCH(tblMovement[[#This Row],[Source]],tblSources[Source],0)),"?"))</f>
        <v/>
      </c>
      <c r="L3568" s="63">
        <f>IF(tblMovement[[#This Row],[Destination]]="","",IFERROR(INDEX(tblDestinations[Type],MATCH(tblMovement[[#This Row],[Destination]],tblDestinations[Destination],0)),"?"))</f>
        <v/>
      </c>
      <c r="M3568" s="64">
        <f>IF(tblMovement[[#This Row],[Material]]="","",IF(LEFT(tblMovement[[#This Row],[Material]],3)="Ore",1,0))</f>
        <v/>
      </c>
      <c r="N3568" s="59">
        <f>IF(OR(tblMovement[[#This Row],[Tonnes_t]]="",tblMovement[[#This Row],[Grade_gpt]]=""),0,tblMovement[[#This Row],[Tonnes_t]]*tblMovement[[#This Row],[Grade_gpt]]/cfg_TroyOz)</f>
        <v/>
      </c>
      <c r="O3568" s="59">
        <f>IF(tblMovement[[#This Row],[Is_Ore]]=1,tblMovement[[#This Row],[Contained_oz]],0)</f>
        <v/>
      </c>
    </row>
    <row r="3569">
      <c r="A3569" s="54" t="n"/>
      <c r="B3569" s="61" t="n"/>
      <c r="C3569" s="61" t="n"/>
      <c r="D3569" s="61" t="n"/>
      <c r="E3569" s="61" t="n"/>
      <c r="F3569" s="55" t="n"/>
      <c r="G3569" s="56" t="n"/>
      <c r="H3569" s="55" t="n"/>
      <c r="I3569" s="62" t="n"/>
      <c r="J3569" s="58" t="n"/>
      <c r="K3569" s="63">
        <f>IF(tblMovement[[#This Row],[Source]]="","",IFERROR(INDEX(tblSources[Type],MATCH(tblMovement[[#This Row],[Source]],tblSources[Source],0)),"?"))</f>
        <v/>
      </c>
      <c r="L3569" s="63">
        <f>IF(tblMovement[[#This Row],[Destination]]="","",IFERROR(INDEX(tblDestinations[Type],MATCH(tblMovement[[#This Row],[Destination]],tblDestinations[Destination],0)),"?"))</f>
        <v/>
      </c>
      <c r="M3569" s="64">
        <f>IF(tblMovement[[#This Row],[Material]]="","",IF(LEFT(tblMovement[[#This Row],[Material]],3)="Ore",1,0))</f>
        <v/>
      </c>
      <c r="N3569" s="59">
        <f>IF(OR(tblMovement[[#This Row],[Tonnes_t]]="",tblMovement[[#This Row],[Grade_gpt]]=""),0,tblMovement[[#This Row],[Tonnes_t]]*tblMovement[[#This Row],[Grade_gpt]]/cfg_TroyOz)</f>
        <v/>
      </c>
      <c r="O3569" s="59">
        <f>IF(tblMovement[[#This Row],[Is_Ore]]=1,tblMovement[[#This Row],[Contained_oz]],0)</f>
        <v/>
      </c>
    </row>
    <row r="3570">
      <c r="A3570" s="54" t="n"/>
      <c r="B3570" s="61" t="n"/>
      <c r="C3570" s="61" t="n"/>
      <c r="D3570" s="61" t="n"/>
      <c r="E3570" s="61" t="n"/>
      <c r="F3570" s="55" t="n"/>
      <c r="G3570" s="56" t="n"/>
      <c r="H3570" s="55" t="n"/>
      <c r="I3570" s="62" t="n"/>
      <c r="J3570" s="58" t="n"/>
      <c r="K3570" s="63">
        <f>IF(tblMovement[[#This Row],[Source]]="","",IFERROR(INDEX(tblSources[Type],MATCH(tblMovement[[#This Row],[Source]],tblSources[Source],0)),"?"))</f>
        <v/>
      </c>
      <c r="L3570" s="63">
        <f>IF(tblMovement[[#This Row],[Destination]]="","",IFERROR(INDEX(tblDestinations[Type],MATCH(tblMovement[[#This Row],[Destination]],tblDestinations[Destination],0)),"?"))</f>
        <v/>
      </c>
      <c r="M3570" s="64">
        <f>IF(tblMovement[[#This Row],[Material]]="","",IF(LEFT(tblMovement[[#This Row],[Material]],3)="Ore",1,0))</f>
        <v/>
      </c>
      <c r="N3570" s="59">
        <f>IF(OR(tblMovement[[#This Row],[Tonnes_t]]="",tblMovement[[#This Row],[Grade_gpt]]=""),0,tblMovement[[#This Row],[Tonnes_t]]*tblMovement[[#This Row],[Grade_gpt]]/cfg_TroyOz)</f>
        <v/>
      </c>
      <c r="O3570" s="59">
        <f>IF(tblMovement[[#This Row],[Is_Ore]]=1,tblMovement[[#This Row],[Contained_oz]],0)</f>
        <v/>
      </c>
    </row>
    <row r="3571">
      <c r="A3571" s="54" t="n"/>
      <c r="B3571" s="61" t="n"/>
      <c r="C3571" s="61" t="n"/>
      <c r="D3571" s="61" t="n"/>
      <c r="E3571" s="61" t="n"/>
      <c r="F3571" s="55" t="n"/>
      <c r="G3571" s="56" t="n"/>
      <c r="H3571" s="55" t="n"/>
      <c r="I3571" s="62" t="n"/>
      <c r="J3571" s="58" t="n"/>
      <c r="K3571" s="63">
        <f>IF(tblMovement[[#This Row],[Source]]="","",IFERROR(INDEX(tblSources[Type],MATCH(tblMovement[[#This Row],[Source]],tblSources[Source],0)),"?"))</f>
        <v/>
      </c>
      <c r="L3571" s="63">
        <f>IF(tblMovement[[#This Row],[Destination]]="","",IFERROR(INDEX(tblDestinations[Type],MATCH(tblMovement[[#This Row],[Destination]],tblDestinations[Destination],0)),"?"))</f>
        <v/>
      </c>
      <c r="M3571" s="64">
        <f>IF(tblMovement[[#This Row],[Material]]="","",IF(LEFT(tblMovement[[#This Row],[Material]],3)="Ore",1,0))</f>
        <v/>
      </c>
      <c r="N3571" s="59">
        <f>IF(OR(tblMovement[[#This Row],[Tonnes_t]]="",tblMovement[[#This Row],[Grade_gpt]]=""),0,tblMovement[[#This Row],[Tonnes_t]]*tblMovement[[#This Row],[Grade_gpt]]/cfg_TroyOz)</f>
        <v/>
      </c>
      <c r="O3571" s="59">
        <f>IF(tblMovement[[#This Row],[Is_Ore]]=1,tblMovement[[#This Row],[Contained_oz]],0)</f>
        <v/>
      </c>
    </row>
    <row r="3572">
      <c r="A3572" s="54" t="n"/>
      <c r="B3572" s="61" t="n"/>
      <c r="C3572" s="61" t="n"/>
      <c r="D3572" s="61" t="n"/>
      <c r="E3572" s="61" t="n"/>
      <c r="F3572" s="55" t="n"/>
      <c r="G3572" s="56" t="n"/>
      <c r="H3572" s="55" t="n"/>
      <c r="I3572" s="62" t="n"/>
      <c r="J3572" s="58" t="n"/>
      <c r="K3572" s="63">
        <f>IF(tblMovement[[#This Row],[Source]]="","",IFERROR(INDEX(tblSources[Type],MATCH(tblMovement[[#This Row],[Source]],tblSources[Source],0)),"?"))</f>
        <v/>
      </c>
      <c r="L3572" s="63">
        <f>IF(tblMovement[[#This Row],[Destination]]="","",IFERROR(INDEX(tblDestinations[Type],MATCH(tblMovement[[#This Row],[Destination]],tblDestinations[Destination],0)),"?"))</f>
        <v/>
      </c>
      <c r="M3572" s="64">
        <f>IF(tblMovement[[#This Row],[Material]]="","",IF(LEFT(tblMovement[[#This Row],[Material]],3)="Ore",1,0))</f>
        <v/>
      </c>
      <c r="N3572" s="59">
        <f>IF(OR(tblMovement[[#This Row],[Tonnes_t]]="",tblMovement[[#This Row],[Grade_gpt]]=""),0,tblMovement[[#This Row],[Tonnes_t]]*tblMovement[[#This Row],[Grade_gpt]]/cfg_TroyOz)</f>
        <v/>
      </c>
      <c r="O3572" s="59">
        <f>IF(tblMovement[[#This Row],[Is_Ore]]=1,tblMovement[[#This Row],[Contained_oz]],0)</f>
        <v/>
      </c>
    </row>
    <row r="3573">
      <c r="A3573" s="54" t="n"/>
      <c r="B3573" s="61" t="n"/>
      <c r="C3573" s="61" t="n"/>
      <c r="D3573" s="61" t="n"/>
      <c r="E3573" s="61" t="n"/>
      <c r="F3573" s="55" t="n"/>
      <c r="G3573" s="56" t="n"/>
      <c r="H3573" s="55" t="n"/>
      <c r="I3573" s="62" t="n"/>
      <c r="J3573" s="58" t="n"/>
      <c r="K3573" s="63">
        <f>IF(tblMovement[[#This Row],[Source]]="","",IFERROR(INDEX(tblSources[Type],MATCH(tblMovement[[#This Row],[Source]],tblSources[Source],0)),"?"))</f>
        <v/>
      </c>
      <c r="L3573" s="63">
        <f>IF(tblMovement[[#This Row],[Destination]]="","",IFERROR(INDEX(tblDestinations[Type],MATCH(tblMovement[[#This Row],[Destination]],tblDestinations[Destination],0)),"?"))</f>
        <v/>
      </c>
      <c r="M3573" s="64">
        <f>IF(tblMovement[[#This Row],[Material]]="","",IF(LEFT(tblMovement[[#This Row],[Material]],3)="Ore",1,0))</f>
        <v/>
      </c>
      <c r="N3573" s="59">
        <f>IF(OR(tblMovement[[#This Row],[Tonnes_t]]="",tblMovement[[#This Row],[Grade_gpt]]=""),0,tblMovement[[#This Row],[Tonnes_t]]*tblMovement[[#This Row],[Grade_gpt]]/cfg_TroyOz)</f>
        <v/>
      </c>
      <c r="O3573" s="59">
        <f>IF(tblMovement[[#This Row],[Is_Ore]]=1,tblMovement[[#This Row],[Contained_oz]],0)</f>
        <v/>
      </c>
    </row>
    <row r="3574">
      <c r="A3574" s="54" t="n"/>
      <c r="B3574" s="61" t="n"/>
      <c r="C3574" s="61" t="n"/>
      <c r="D3574" s="61" t="n"/>
      <c r="E3574" s="61" t="n"/>
      <c r="F3574" s="55" t="n"/>
      <c r="G3574" s="56" t="n"/>
      <c r="H3574" s="55" t="n"/>
      <c r="I3574" s="62" t="n"/>
      <c r="J3574" s="58" t="n"/>
      <c r="K3574" s="63">
        <f>IF(tblMovement[[#This Row],[Source]]="","",IFERROR(INDEX(tblSources[Type],MATCH(tblMovement[[#This Row],[Source]],tblSources[Source],0)),"?"))</f>
        <v/>
      </c>
      <c r="L3574" s="63">
        <f>IF(tblMovement[[#This Row],[Destination]]="","",IFERROR(INDEX(tblDestinations[Type],MATCH(tblMovement[[#This Row],[Destination]],tblDestinations[Destination],0)),"?"))</f>
        <v/>
      </c>
      <c r="M3574" s="64">
        <f>IF(tblMovement[[#This Row],[Material]]="","",IF(LEFT(tblMovement[[#This Row],[Material]],3)="Ore",1,0))</f>
        <v/>
      </c>
      <c r="N3574" s="59">
        <f>IF(OR(tblMovement[[#This Row],[Tonnes_t]]="",tblMovement[[#This Row],[Grade_gpt]]=""),0,tblMovement[[#This Row],[Tonnes_t]]*tblMovement[[#This Row],[Grade_gpt]]/cfg_TroyOz)</f>
        <v/>
      </c>
      <c r="O3574" s="59">
        <f>IF(tblMovement[[#This Row],[Is_Ore]]=1,tblMovement[[#This Row],[Contained_oz]],0)</f>
        <v/>
      </c>
    </row>
    <row r="3575">
      <c r="A3575" s="54" t="n"/>
      <c r="B3575" s="61" t="n"/>
      <c r="C3575" s="61" t="n"/>
      <c r="D3575" s="61" t="n"/>
      <c r="E3575" s="61" t="n"/>
      <c r="F3575" s="55" t="n"/>
      <c r="G3575" s="56" t="n"/>
      <c r="H3575" s="55" t="n"/>
      <c r="I3575" s="62" t="n"/>
      <c r="J3575" s="58" t="n"/>
      <c r="K3575" s="63">
        <f>IF(tblMovement[[#This Row],[Source]]="","",IFERROR(INDEX(tblSources[Type],MATCH(tblMovement[[#This Row],[Source]],tblSources[Source],0)),"?"))</f>
        <v/>
      </c>
      <c r="L3575" s="63">
        <f>IF(tblMovement[[#This Row],[Destination]]="","",IFERROR(INDEX(tblDestinations[Type],MATCH(tblMovement[[#This Row],[Destination]],tblDestinations[Destination],0)),"?"))</f>
        <v/>
      </c>
      <c r="M3575" s="64">
        <f>IF(tblMovement[[#This Row],[Material]]="","",IF(LEFT(tblMovement[[#This Row],[Material]],3)="Ore",1,0))</f>
        <v/>
      </c>
      <c r="N3575" s="59">
        <f>IF(OR(tblMovement[[#This Row],[Tonnes_t]]="",tblMovement[[#This Row],[Grade_gpt]]=""),0,tblMovement[[#This Row],[Tonnes_t]]*tblMovement[[#This Row],[Grade_gpt]]/cfg_TroyOz)</f>
        <v/>
      </c>
      <c r="O3575" s="59">
        <f>IF(tblMovement[[#This Row],[Is_Ore]]=1,tblMovement[[#This Row],[Contained_oz]],0)</f>
        <v/>
      </c>
    </row>
    <row r="3576">
      <c r="A3576" s="54" t="n"/>
      <c r="B3576" s="61" t="n"/>
      <c r="C3576" s="61" t="n"/>
      <c r="D3576" s="61" t="n"/>
      <c r="E3576" s="61" t="n"/>
      <c r="F3576" s="55" t="n"/>
      <c r="G3576" s="56" t="n"/>
      <c r="H3576" s="55" t="n"/>
      <c r="I3576" s="62" t="n"/>
      <c r="J3576" s="58" t="n"/>
      <c r="K3576" s="63">
        <f>IF(tblMovement[[#This Row],[Source]]="","",IFERROR(INDEX(tblSources[Type],MATCH(tblMovement[[#This Row],[Source]],tblSources[Source],0)),"?"))</f>
        <v/>
      </c>
      <c r="L3576" s="63">
        <f>IF(tblMovement[[#This Row],[Destination]]="","",IFERROR(INDEX(tblDestinations[Type],MATCH(tblMovement[[#This Row],[Destination]],tblDestinations[Destination],0)),"?"))</f>
        <v/>
      </c>
      <c r="M3576" s="64">
        <f>IF(tblMovement[[#This Row],[Material]]="","",IF(LEFT(tblMovement[[#This Row],[Material]],3)="Ore",1,0))</f>
        <v/>
      </c>
      <c r="N3576" s="59">
        <f>IF(OR(tblMovement[[#This Row],[Tonnes_t]]="",tblMovement[[#This Row],[Grade_gpt]]=""),0,tblMovement[[#This Row],[Tonnes_t]]*tblMovement[[#This Row],[Grade_gpt]]/cfg_TroyOz)</f>
        <v/>
      </c>
      <c r="O3576" s="59">
        <f>IF(tblMovement[[#This Row],[Is_Ore]]=1,tblMovement[[#This Row],[Contained_oz]],0)</f>
        <v/>
      </c>
    </row>
    <row r="3577">
      <c r="A3577" s="54" t="n"/>
      <c r="B3577" s="61" t="n"/>
      <c r="C3577" s="61" t="n"/>
      <c r="D3577" s="61" t="n"/>
      <c r="E3577" s="61" t="n"/>
      <c r="F3577" s="55" t="n"/>
      <c r="G3577" s="56" t="n"/>
      <c r="H3577" s="55" t="n"/>
      <c r="I3577" s="62" t="n"/>
      <c r="J3577" s="58" t="n"/>
      <c r="K3577" s="63">
        <f>IF(tblMovement[[#This Row],[Source]]="","",IFERROR(INDEX(tblSources[Type],MATCH(tblMovement[[#This Row],[Source]],tblSources[Source],0)),"?"))</f>
        <v/>
      </c>
      <c r="L3577" s="63">
        <f>IF(tblMovement[[#This Row],[Destination]]="","",IFERROR(INDEX(tblDestinations[Type],MATCH(tblMovement[[#This Row],[Destination]],tblDestinations[Destination],0)),"?"))</f>
        <v/>
      </c>
      <c r="M3577" s="64">
        <f>IF(tblMovement[[#This Row],[Material]]="","",IF(LEFT(tblMovement[[#This Row],[Material]],3)="Ore",1,0))</f>
        <v/>
      </c>
      <c r="N3577" s="59">
        <f>IF(OR(tblMovement[[#This Row],[Tonnes_t]]="",tblMovement[[#This Row],[Grade_gpt]]=""),0,tblMovement[[#This Row],[Tonnes_t]]*tblMovement[[#This Row],[Grade_gpt]]/cfg_TroyOz)</f>
        <v/>
      </c>
      <c r="O3577" s="59">
        <f>IF(tblMovement[[#This Row],[Is_Ore]]=1,tblMovement[[#This Row],[Contained_oz]],0)</f>
        <v/>
      </c>
    </row>
    <row r="3578">
      <c r="A3578" s="54" t="n"/>
      <c r="B3578" s="61" t="n"/>
      <c r="C3578" s="61" t="n"/>
      <c r="D3578" s="61" t="n"/>
      <c r="E3578" s="61" t="n"/>
      <c r="F3578" s="55" t="n"/>
      <c r="G3578" s="56" t="n"/>
      <c r="H3578" s="55" t="n"/>
      <c r="I3578" s="62" t="n"/>
      <c r="J3578" s="58" t="n"/>
      <c r="K3578" s="63">
        <f>IF(tblMovement[[#This Row],[Source]]="","",IFERROR(INDEX(tblSources[Type],MATCH(tblMovement[[#This Row],[Source]],tblSources[Source],0)),"?"))</f>
        <v/>
      </c>
      <c r="L3578" s="63">
        <f>IF(tblMovement[[#This Row],[Destination]]="","",IFERROR(INDEX(tblDestinations[Type],MATCH(tblMovement[[#This Row],[Destination]],tblDestinations[Destination],0)),"?"))</f>
        <v/>
      </c>
      <c r="M3578" s="64">
        <f>IF(tblMovement[[#This Row],[Material]]="","",IF(LEFT(tblMovement[[#This Row],[Material]],3)="Ore",1,0))</f>
        <v/>
      </c>
      <c r="N3578" s="59">
        <f>IF(OR(tblMovement[[#This Row],[Tonnes_t]]="",tblMovement[[#This Row],[Grade_gpt]]=""),0,tblMovement[[#This Row],[Tonnes_t]]*tblMovement[[#This Row],[Grade_gpt]]/cfg_TroyOz)</f>
        <v/>
      </c>
      <c r="O3578" s="59">
        <f>IF(tblMovement[[#This Row],[Is_Ore]]=1,tblMovement[[#This Row],[Contained_oz]],0)</f>
        <v/>
      </c>
    </row>
    <row r="3579">
      <c r="A3579" s="54" t="n"/>
      <c r="B3579" s="61" t="n"/>
      <c r="C3579" s="61" t="n"/>
      <c r="D3579" s="61" t="n"/>
      <c r="E3579" s="61" t="n"/>
      <c r="F3579" s="55" t="n"/>
      <c r="G3579" s="56" t="n"/>
      <c r="H3579" s="55" t="n"/>
      <c r="I3579" s="62" t="n"/>
      <c r="J3579" s="58" t="n"/>
      <c r="K3579" s="63">
        <f>IF(tblMovement[[#This Row],[Source]]="","",IFERROR(INDEX(tblSources[Type],MATCH(tblMovement[[#This Row],[Source]],tblSources[Source],0)),"?"))</f>
        <v/>
      </c>
      <c r="L3579" s="63">
        <f>IF(tblMovement[[#This Row],[Destination]]="","",IFERROR(INDEX(tblDestinations[Type],MATCH(tblMovement[[#This Row],[Destination]],tblDestinations[Destination],0)),"?"))</f>
        <v/>
      </c>
      <c r="M3579" s="64">
        <f>IF(tblMovement[[#This Row],[Material]]="","",IF(LEFT(tblMovement[[#This Row],[Material]],3)="Ore",1,0))</f>
        <v/>
      </c>
      <c r="N3579" s="59">
        <f>IF(OR(tblMovement[[#This Row],[Tonnes_t]]="",tblMovement[[#This Row],[Grade_gpt]]=""),0,tblMovement[[#This Row],[Tonnes_t]]*tblMovement[[#This Row],[Grade_gpt]]/cfg_TroyOz)</f>
        <v/>
      </c>
      <c r="O3579" s="59">
        <f>IF(tblMovement[[#This Row],[Is_Ore]]=1,tblMovement[[#This Row],[Contained_oz]],0)</f>
        <v/>
      </c>
    </row>
    <row r="3580">
      <c r="A3580" s="54" t="n"/>
      <c r="B3580" s="61" t="n"/>
      <c r="C3580" s="61" t="n"/>
      <c r="D3580" s="61" t="n"/>
      <c r="E3580" s="61" t="n"/>
      <c r="F3580" s="55" t="n"/>
      <c r="G3580" s="56" t="n"/>
      <c r="H3580" s="55" t="n"/>
      <c r="I3580" s="62" t="n"/>
      <c r="J3580" s="58" t="n"/>
      <c r="K3580" s="63">
        <f>IF(tblMovement[[#This Row],[Source]]="","",IFERROR(INDEX(tblSources[Type],MATCH(tblMovement[[#This Row],[Source]],tblSources[Source],0)),"?"))</f>
        <v/>
      </c>
      <c r="L3580" s="63">
        <f>IF(tblMovement[[#This Row],[Destination]]="","",IFERROR(INDEX(tblDestinations[Type],MATCH(tblMovement[[#This Row],[Destination]],tblDestinations[Destination],0)),"?"))</f>
        <v/>
      </c>
      <c r="M3580" s="64">
        <f>IF(tblMovement[[#This Row],[Material]]="","",IF(LEFT(tblMovement[[#This Row],[Material]],3)="Ore",1,0))</f>
        <v/>
      </c>
      <c r="N3580" s="59">
        <f>IF(OR(tblMovement[[#This Row],[Tonnes_t]]="",tblMovement[[#This Row],[Grade_gpt]]=""),0,tblMovement[[#This Row],[Tonnes_t]]*tblMovement[[#This Row],[Grade_gpt]]/cfg_TroyOz)</f>
        <v/>
      </c>
      <c r="O3580" s="59">
        <f>IF(tblMovement[[#This Row],[Is_Ore]]=1,tblMovement[[#This Row],[Contained_oz]],0)</f>
        <v/>
      </c>
    </row>
    <row r="3581">
      <c r="A3581" s="54" t="n"/>
      <c r="B3581" s="61" t="n"/>
      <c r="C3581" s="61" t="n"/>
      <c r="D3581" s="61" t="n"/>
      <c r="E3581" s="61" t="n"/>
      <c r="F3581" s="55" t="n"/>
      <c r="G3581" s="56" t="n"/>
      <c r="H3581" s="55" t="n"/>
      <c r="I3581" s="62" t="n"/>
      <c r="J3581" s="58" t="n"/>
      <c r="K3581" s="63">
        <f>IF(tblMovement[[#This Row],[Source]]="","",IFERROR(INDEX(tblSources[Type],MATCH(tblMovement[[#This Row],[Source]],tblSources[Source],0)),"?"))</f>
        <v/>
      </c>
      <c r="L3581" s="63">
        <f>IF(tblMovement[[#This Row],[Destination]]="","",IFERROR(INDEX(tblDestinations[Type],MATCH(tblMovement[[#This Row],[Destination]],tblDestinations[Destination],0)),"?"))</f>
        <v/>
      </c>
      <c r="M3581" s="64">
        <f>IF(tblMovement[[#This Row],[Material]]="","",IF(LEFT(tblMovement[[#This Row],[Material]],3)="Ore",1,0))</f>
        <v/>
      </c>
      <c r="N3581" s="59">
        <f>IF(OR(tblMovement[[#This Row],[Tonnes_t]]="",tblMovement[[#This Row],[Grade_gpt]]=""),0,tblMovement[[#This Row],[Tonnes_t]]*tblMovement[[#This Row],[Grade_gpt]]/cfg_TroyOz)</f>
        <v/>
      </c>
      <c r="O3581" s="59">
        <f>IF(tblMovement[[#This Row],[Is_Ore]]=1,tblMovement[[#This Row],[Contained_oz]],0)</f>
        <v/>
      </c>
    </row>
    <row r="3582">
      <c r="A3582" s="54" t="n"/>
      <c r="B3582" s="61" t="n"/>
      <c r="C3582" s="61" t="n"/>
      <c r="D3582" s="61" t="n"/>
      <c r="E3582" s="61" t="n"/>
      <c r="F3582" s="55" t="n"/>
      <c r="G3582" s="56" t="n"/>
      <c r="H3582" s="55" t="n"/>
      <c r="I3582" s="62" t="n"/>
      <c r="J3582" s="58" t="n"/>
      <c r="K3582" s="63">
        <f>IF(tblMovement[[#This Row],[Source]]="","",IFERROR(INDEX(tblSources[Type],MATCH(tblMovement[[#This Row],[Source]],tblSources[Source],0)),"?"))</f>
        <v/>
      </c>
      <c r="L3582" s="63">
        <f>IF(tblMovement[[#This Row],[Destination]]="","",IFERROR(INDEX(tblDestinations[Type],MATCH(tblMovement[[#This Row],[Destination]],tblDestinations[Destination],0)),"?"))</f>
        <v/>
      </c>
      <c r="M3582" s="64">
        <f>IF(tblMovement[[#This Row],[Material]]="","",IF(LEFT(tblMovement[[#This Row],[Material]],3)="Ore",1,0))</f>
        <v/>
      </c>
      <c r="N3582" s="59">
        <f>IF(OR(tblMovement[[#This Row],[Tonnes_t]]="",tblMovement[[#This Row],[Grade_gpt]]=""),0,tblMovement[[#This Row],[Tonnes_t]]*tblMovement[[#This Row],[Grade_gpt]]/cfg_TroyOz)</f>
        <v/>
      </c>
      <c r="O3582" s="59">
        <f>IF(tblMovement[[#This Row],[Is_Ore]]=1,tblMovement[[#This Row],[Contained_oz]],0)</f>
        <v/>
      </c>
    </row>
    <row r="3583">
      <c r="A3583" s="54" t="n"/>
      <c r="B3583" s="61" t="n"/>
      <c r="C3583" s="61" t="n"/>
      <c r="D3583" s="61" t="n"/>
      <c r="E3583" s="61" t="n"/>
      <c r="F3583" s="55" t="n"/>
      <c r="G3583" s="56" t="n"/>
      <c r="H3583" s="55" t="n"/>
      <c r="I3583" s="62" t="n"/>
      <c r="J3583" s="58" t="n"/>
      <c r="K3583" s="63">
        <f>IF(tblMovement[[#This Row],[Source]]="","",IFERROR(INDEX(tblSources[Type],MATCH(tblMovement[[#This Row],[Source]],tblSources[Source],0)),"?"))</f>
        <v/>
      </c>
      <c r="L3583" s="63">
        <f>IF(tblMovement[[#This Row],[Destination]]="","",IFERROR(INDEX(tblDestinations[Type],MATCH(tblMovement[[#This Row],[Destination]],tblDestinations[Destination],0)),"?"))</f>
        <v/>
      </c>
      <c r="M3583" s="64">
        <f>IF(tblMovement[[#This Row],[Material]]="","",IF(LEFT(tblMovement[[#This Row],[Material]],3)="Ore",1,0))</f>
        <v/>
      </c>
      <c r="N3583" s="59">
        <f>IF(OR(tblMovement[[#This Row],[Tonnes_t]]="",tblMovement[[#This Row],[Grade_gpt]]=""),0,tblMovement[[#This Row],[Tonnes_t]]*tblMovement[[#This Row],[Grade_gpt]]/cfg_TroyOz)</f>
        <v/>
      </c>
      <c r="O3583" s="59">
        <f>IF(tblMovement[[#This Row],[Is_Ore]]=1,tblMovement[[#This Row],[Contained_oz]],0)</f>
        <v/>
      </c>
    </row>
    <row r="3584">
      <c r="A3584" s="54" t="n"/>
      <c r="B3584" s="61" t="n"/>
      <c r="C3584" s="61" t="n"/>
      <c r="D3584" s="61" t="n"/>
      <c r="E3584" s="61" t="n"/>
      <c r="F3584" s="55" t="n"/>
      <c r="G3584" s="56" t="n"/>
      <c r="H3584" s="55" t="n"/>
      <c r="I3584" s="62" t="n"/>
      <c r="J3584" s="58" t="n"/>
      <c r="K3584" s="63">
        <f>IF(tblMovement[[#This Row],[Source]]="","",IFERROR(INDEX(tblSources[Type],MATCH(tblMovement[[#This Row],[Source]],tblSources[Source],0)),"?"))</f>
        <v/>
      </c>
      <c r="L3584" s="63">
        <f>IF(tblMovement[[#This Row],[Destination]]="","",IFERROR(INDEX(tblDestinations[Type],MATCH(tblMovement[[#This Row],[Destination]],tblDestinations[Destination],0)),"?"))</f>
        <v/>
      </c>
      <c r="M3584" s="64">
        <f>IF(tblMovement[[#This Row],[Material]]="","",IF(LEFT(tblMovement[[#This Row],[Material]],3)="Ore",1,0))</f>
        <v/>
      </c>
      <c r="N3584" s="59">
        <f>IF(OR(tblMovement[[#This Row],[Tonnes_t]]="",tblMovement[[#This Row],[Grade_gpt]]=""),0,tblMovement[[#This Row],[Tonnes_t]]*tblMovement[[#This Row],[Grade_gpt]]/cfg_TroyOz)</f>
        <v/>
      </c>
      <c r="O3584" s="59">
        <f>IF(tblMovement[[#This Row],[Is_Ore]]=1,tblMovement[[#This Row],[Contained_oz]],0)</f>
        <v/>
      </c>
    </row>
    <row r="3585">
      <c r="A3585" s="54" t="n"/>
      <c r="B3585" s="61" t="n"/>
      <c r="C3585" s="61" t="n"/>
      <c r="D3585" s="61" t="n"/>
      <c r="E3585" s="61" t="n"/>
      <c r="F3585" s="55" t="n"/>
      <c r="G3585" s="56" t="n"/>
      <c r="H3585" s="55" t="n"/>
      <c r="I3585" s="62" t="n"/>
      <c r="J3585" s="58" t="n"/>
      <c r="K3585" s="63">
        <f>IF(tblMovement[[#This Row],[Source]]="","",IFERROR(INDEX(tblSources[Type],MATCH(tblMovement[[#This Row],[Source]],tblSources[Source],0)),"?"))</f>
        <v/>
      </c>
      <c r="L3585" s="63">
        <f>IF(tblMovement[[#This Row],[Destination]]="","",IFERROR(INDEX(tblDestinations[Type],MATCH(tblMovement[[#This Row],[Destination]],tblDestinations[Destination],0)),"?"))</f>
        <v/>
      </c>
      <c r="M3585" s="64">
        <f>IF(tblMovement[[#This Row],[Material]]="","",IF(LEFT(tblMovement[[#This Row],[Material]],3)="Ore",1,0))</f>
        <v/>
      </c>
      <c r="N3585" s="59">
        <f>IF(OR(tblMovement[[#This Row],[Tonnes_t]]="",tblMovement[[#This Row],[Grade_gpt]]=""),0,tblMovement[[#This Row],[Tonnes_t]]*tblMovement[[#This Row],[Grade_gpt]]/cfg_TroyOz)</f>
        <v/>
      </c>
      <c r="O3585" s="59">
        <f>IF(tblMovement[[#This Row],[Is_Ore]]=1,tblMovement[[#This Row],[Contained_oz]],0)</f>
        <v/>
      </c>
    </row>
    <row r="3586">
      <c r="A3586" s="54" t="n"/>
      <c r="B3586" s="61" t="n"/>
      <c r="C3586" s="61" t="n"/>
      <c r="D3586" s="61" t="n"/>
      <c r="E3586" s="61" t="n"/>
      <c r="F3586" s="55" t="n"/>
      <c r="G3586" s="56" t="n"/>
      <c r="H3586" s="55" t="n"/>
      <c r="I3586" s="62" t="n"/>
      <c r="J3586" s="58" t="n"/>
      <c r="K3586" s="63">
        <f>IF(tblMovement[[#This Row],[Source]]="","",IFERROR(INDEX(tblSources[Type],MATCH(tblMovement[[#This Row],[Source]],tblSources[Source],0)),"?"))</f>
        <v/>
      </c>
      <c r="L3586" s="63">
        <f>IF(tblMovement[[#This Row],[Destination]]="","",IFERROR(INDEX(tblDestinations[Type],MATCH(tblMovement[[#This Row],[Destination]],tblDestinations[Destination],0)),"?"))</f>
        <v/>
      </c>
      <c r="M3586" s="64">
        <f>IF(tblMovement[[#This Row],[Material]]="","",IF(LEFT(tblMovement[[#This Row],[Material]],3)="Ore",1,0))</f>
        <v/>
      </c>
      <c r="N3586" s="59">
        <f>IF(OR(tblMovement[[#This Row],[Tonnes_t]]="",tblMovement[[#This Row],[Grade_gpt]]=""),0,tblMovement[[#This Row],[Tonnes_t]]*tblMovement[[#This Row],[Grade_gpt]]/cfg_TroyOz)</f>
        <v/>
      </c>
      <c r="O3586" s="59">
        <f>IF(tblMovement[[#This Row],[Is_Ore]]=1,tblMovement[[#This Row],[Contained_oz]],0)</f>
        <v/>
      </c>
    </row>
    <row r="3587">
      <c r="A3587" s="54" t="n"/>
      <c r="B3587" s="61" t="n"/>
      <c r="C3587" s="61" t="n"/>
      <c r="D3587" s="61" t="n"/>
      <c r="E3587" s="61" t="n"/>
      <c r="F3587" s="55" t="n"/>
      <c r="G3587" s="56" t="n"/>
      <c r="H3587" s="55" t="n"/>
      <c r="I3587" s="62" t="n"/>
      <c r="J3587" s="58" t="n"/>
      <c r="K3587" s="63">
        <f>IF(tblMovement[[#This Row],[Source]]="","",IFERROR(INDEX(tblSources[Type],MATCH(tblMovement[[#This Row],[Source]],tblSources[Source],0)),"?"))</f>
        <v/>
      </c>
      <c r="L3587" s="63">
        <f>IF(tblMovement[[#This Row],[Destination]]="","",IFERROR(INDEX(tblDestinations[Type],MATCH(tblMovement[[#This Row],[Destination]],tblDestinations[Destination],0)),"?"))</f>
        <v/>
      </c>
      <c r="M3587" s="64">
        <f>IF(tblMovement[[#This Row],[Material]]="","",IF(LEFT(tblMovement[[#This Row],[Material]],3)="Ore",1,0))</f>
        <v/>
      </c>
      <c r="N3587" s="59">
        <f>IF(OR(tblMovement[[#This Row],[Tonnes_t]]="",tblMovement[[#This Row],[Grade_gpt]]=""),0,tblMovement[[#This Row],[Tonnes_t]]*tblMovement[[#This Row],[Grade_gpt]]/cfg_TroyOz)</f>
        <v/>
      </c>
      <c r="O3587" s="59">
        <f>IF(tblMovement[[#This Row],[Is_Ore]]=1,tblMovement[[#This Row],[Contained_oz]],0)</f>
        <v/>
      </c>
    </row>
    <row r="3588">
      <c r="A3588" s="54" t="n"/>
      <c r="B3588" s="61" t="n"/>
      <c r="C3588" s="61" t="n"/>
      <c r="D3588" s="61" t="n"/>
      <c r="E3588" s="61" t="n"/>
      <c r="F3588" s="55" t="n"/>
      <c r="G3588" s="56" t="n"/>
      <c r="H3588" s="55" t="n"/>
      <c r="I3588" s="62" t="n"/>
      <c r="J3588" s="58" t="n"/>
      <c r="K3588" s="63">
        <f>IF(tblMovement[[#This Row],[Source]]="","",IFERROR(INDEX(tblSources[Type],MATCH(tblMovement[[#This Row],[Source]],tblSources[Source],0)),"?"))</f>
        <v/>
      </c>
      <c r="L3588" s="63">
        <f>IF(tblMovement[[#This Row],[Destination]]="","",IFERROR(INDEX(tblDestinations[Type],MATCH(tblMovement[[#This Row],[Destination]],tblDestinations[Destination],0)),"?"))</f>
        <v/>
      </c>
      <c r="M3588" s="64">
        <f>IF(tblMovement[[#This Row],[Material]]="","",IF(LEFT(tblMovement[[#This Row],[Material]],3)="Ore",1,0))</f>
        <v/>
      </c>
      <c r="N3588" s="59">
        <f>IF(OR(tblMovement[[#This Row],[Tonnes_t]]="",tblMovement[[#This Row],[Grade_gpt]]=""),0,tblMovement[[#This Row],[Tonnes_t]]*tblMovement[[#This Row],[Grade_gpt]]/cfg_TroyOz)</f>
        <v/>
      </c>
      <c r="O3588" s="59">
        <f>IF(tblMovement[[#This Row],[Is_Ore]]=1,tblMovement[[#This Row],[Contained_oz]],0)</f>
        <v/>
      </c>
    </row>
    <row r="3589">
      <c r="A3589" s="54" t="n"/>
      <c r="B3589" s="61" t="n"/>
      <c r="C3589" s="61" t="n"/>
      <c r="D3589" s="61" t="n"/>
      <c r="E3589" s="61" t="n"/>
      <c r="F3589" s="55" t="n"/>
      <c r="G3589" s="56" t="n"/>
      <c r="H3589" s="55" t="n"/>
      <c r="I3589" s="62" t="n"/>
      <c r="J3589" s="58" t="n"/>
      <c r="K3589" s="63">
        <f>IF(tblMovement[[#This Row],[Source]]="","",IFERROR(INDEX(tblSources[Type],MATCH(tblMovement[[#This Row],[Source]],tblSources[Source],0)),"?"))</f>
        <v/>
      </c>
      <c r="L3589" s="63">
        <f>IF(tblMovement[[#This Row],[Destination]]="","",IFERROR(INDEX(tblDestinations[Type],MATCH(tblMovement[[#This Row],[Destination]],tblDestinations[Destination],0)),"?"))</f>
        <v/>
      </c>
      <c r="M3589" s="64">
        <f>IF(tblMovement[[#This Row],[Material]]="","",IF(LEFT(tblMovement[[#This Row],[Material]],3)="Ore",1,0))</f>
        <v/>
      </c>
      <c r="N3589" s="59">
        <f>IF(OR(tblMovement[[#This Row],[Tonnes_t]]="",tblMovement[[#This Row],[Grade_gpt]]=""),0,tblMovement[[#This Row],[Tonnes_t]]*tblMovement[[#This Row],[Grade_gpt]]/cfg_TroyOz)</f>
        <v/>
      </c>
      <c r="O3589" s="59">
        <f>IF(tblMovement[[#This Row],[Is_Ore]]=1,tblMovement[[#This Row],[Contained_oz]],0)</f>
        <v/>
      </c>
    </row>
    <row r="3590">
      <c r="A3590" s="54" t="n"/>
      <c r="B3590" s="61" t="n"/>
      <c r="C3590" s="61" t="n"/>
      <c r="D3590" s="61" t="n"/>
      <c r="E3590" s="61" t="n"/>
      <c r="F3590" s="55" t="n"/>
      <c r="G3590" s="56" t="n"/>
      <c r="H3590" s="55" t="n"/>
      <c r="I3590" s="62" t="n"/>
      <c r="J3590" s="58" t="n"/>
      <c r="K3590" s="63">
        <f>IF(tblMovement[[#This Row],[Source]]="","",IFERROR(INDEX(tblSources[Type],MATCH(tblMovement[[#This Row],[Source]],tblSources[Source],0)),"?"))</f>
        <v/>
      </c>
      <c r="L3590" s="63">
        <f>IF(tblMovement[[#This Row],[Destination]]="","",IFERROR(INDEX(tblDestinations[Type],MATCH(tblMovement[[#This Row],[Destination]],tblDestinations[Destination],0)),"?"))</f>
        <v/>
      </c>
      <c r="M3590" s="64">
        <f>IF(tblMovement[[#This Row],[Material]]="","",IF(LEFT(tblMovement[[#This Row],[Material]],3)="Ore",1,0))</f>
        <v/>
      </c>
      <c r="N3590" s="59">
        <f>IF(OR(tblMovement[[#This Row],[Tonnes_t]]="",tblMovement[[#This Row],[Grade_gpt]]=""),0,tblMovement[[#This Row],[Tonnes_t]]*tblMovement[[#This Row],[Grade_gpt]]/cfg_TroyOz)</f>
        <v/>
      </c>
      <c r="O3590" s="59">
        <f>IF(tblMovement[[#This Row],[Is_Ore]]=1,tblMovement[[#This Row],[Contained_oz]],0)</f>
        <v/>
      </c>
    </row>
    <row r="3591">
      <c r="A3591" s="54" t="n"/>
      <c r="B3591" s="61" t="n"/>
      <c r="C3591" s="61" t="n"/>
      <c r="D3591" s="61" t="n"/>
      <c r="E3591" s="61" t="n"/>
      <c r="F3591" s="55" t="n"/>
      <c r="G3591" s="56" t="n"/>
      <c r="H3591" s="55" t="n"/>
      <c r="I3591" s="62" t="n"/>
      <c r="J3591" s="58" t="n"/>
      <c r="K3591" s="63">
        <f>IF(tblMovement[[#This Row],[Source]]="","",IFERROR(INDEX(tblSources[Type],MATCH(tblMovement[[#This Row],[Source]],tblSources[Source],0)),"?"))</f>
        <v/>
      </c>
      <c r="L3591" s="63">
        <f>IF(tblMovement[[#This Row],[Destination]]="","",IFERROR(INDEX(tblDestinations[Type],MATCH(tblMovement[[#This Row],[Destination]],tblDestinations[Destination],0)),"?"))</f>
        <v/>
      </c>
      <c r="M3591" s="64">
        <f>IF(tblMovement[[#This Row],[Material]]="","",IF(LEFT(tblMovement[[#This Row],[Material]],3)="Ore",1,0))</f>
        <v/>
      </c>
      <c r="N3591" s="59">
        <f>IF(OR(tblMovement[[#This Row],[Tonnes_t]]="",tblMovement[[#This Row],[Grade_gpt]]=""),0,tblMovement[[#This Row],[Tonnes_t]]*tblMovement[[#This Row],[Grade_gpt]]/cfg_TroyOz)</f>
        <v/>
      </c>
      <c r="O3591" s="59">
        <f>IF(tblMovement[[#This Row],[Is_Ore]]=1,tblMovement[[#This Row],[Contained_oz]],0)</f>
        <v/>
      </c>
    </row>
    <row r="3592">
      <c r="A3592" s="54" t="n"/>
      <c r="B3592" s="61" t="n"/>
      <c r="C3592" s="61" t="n"/>
      <c r="D3592" s="61" t="n"/>
      <c r="E3592" s="61" t="n"/>
      <c r="F3592" s="55" t="n"/>
      <c r="G3592" s="56" t="n"/>
      <c r="H3592" s="55" t="n"/>
      <c r="I3592" s="62" t="n"/>
      <c r="J3592" s="58" t="n"/>
      <c r="K3592" s="63">
        <f>IF(tblMovement[[#This Row],[Source]]="","",IFERROR(INDEX(tblSources[Type],MATCH(tblMovement[[#This Row],[Source]],tblSources[Source],0)),"?"))</f>
        <v/>
      </c>
      <c r="L3592" s="63">
        <f>IF(tblMovement[[#This Row],[Destination]]="","",IFERROR(INDEX(tblDestinations[Type],MATCH(tblMovement[[#This Row],[Destination]],tblDestinations[Destination],0)),"?"))</f>
        <v/>
      </c>
      <c r="M3592" s="64">
        <f>IF(tblMovement[[#This Row],[Material]]="","",IF(LEFT(tblMovement[[#This Row],[Material]],3)="Ore",1,0))</f>
        <v/>
      </c>
      <c r="N3592" s="59">
        <f>IF(OR(tblMovement[[#This Row],[Tonnes_t]]="",tblMovement[[#This Row],[Grade_gpt]]=""),0,tblMovement[[#This Row],[Tonnes_t]]*tblMovement[[#This Row],[Grade_gpt]]/cfg_TroyOz)</f>
        <v/>
      </c>
      <c r="O3592" s="59">
        <f>IF(tblMovement[[#This Row],[Is_Ore]]=1,tblMovement[[#This Row],[Contained_oz]],0)</f>
        <v/>
      </c>
    </row>
    <row r="3593">
      <c r="A3593" s="54" t="n"/>
      <c r="B3593" s="61" t="n"/>
      <c r="C3593" s="61" t="n"/>
      <c r="D3593" s="61" t="n"/>
      <c r="E3593" s="61" t="n"/>
      <c r="F3593" s="55" t="n"/>
      <c r="G3593" s="56" t="n"/>
      <c r="H3593" s="55" t="n"/>
      <c r="I3593" s="62" t="n"/>
      <c r="J3593" s="58" t="n"/>
      <c r="K3593" s="63">
        <f>IF(tblMovement[[#This Row],[Source]]="","",IFERROR(INDEX(tblSources[Type],MATCH(tblMovement[[#This Row],[Source]],tblSources[Source],0)),"?"))</f>
        <v/>
      </c>
      <c r="L3593" s="63">
        <f>IF(tblMovement[[#This Row],[Destination]]="","",IFERROR(INDEX(tblDestinations[Type],MATCH(tblMovement[[#This Row],[Destination]],tblDestinations[Destination],0)),"?"))</f>
        <v/>
      </c>
      <c r="M3593" s="64">
        <f>IF(tblMovement[[#This Row],[Material]]="","",IF(LEFT(tblMovement[[#This Row],[Material]],3)="Ore",1,0))</f>
        <v/>
      </c>
      <c r="N3593" s="59">
        <f>IF(OR(tblMovement[[#This Row],[Tonnes_t]]="",tblMovement[[#This Row],[Grade_gpt]]=""),0,tblMovement[[#This Row],[Tonnes_t]]*tblMovement[[#This Row],[Grade_gpt]]/cfg_TroyOz)</f>
        <v/>
      </c>
      <c r="O3593" s="59">
        <f>IF(tblMovement[[#This Row],[Is_Ore]]=1,tblMovement[[#This Row],[Contained_oz]],0)</f>
        <v/>
      </c>
    </row>
    <row r="3594">
      <c r="A3594" s="54" t="n"/>
      <c r="B3594" s="61" t="n"/>
      <c r="C3594" s="61" t="n"/>
      <c r="D3594" s="61" t="n"/>
      <c r="E3594" s="61" t="n"/>
      <c r="F3594" s="55" t="n"/>
      <c r="G3594" s="56" t="n"/>
      <c r="H3594" s="55" t="n"/>
      <c r="I3594" s="62" t="n"/>
      <c r="J3594" s="58" t="n"/>
      <c r="K3594" s="63">
        <f>IF(tblMovement[[#This Row],[Source]]="","",IFERROR(INDEX(tblSources[Type],MATCH(tblMovement[[#This Row],[Source]],tblSources[Source],0)),"?"))</f>
        <v/>
      </c>
      <c r="L3594" s="63">
        <f>IF(tblMovement[[#This Row],[Destination]]="","",IFERROR(INDEX(tblDestinations[Type],MATCH(tblMovement[[#This Row],[Destination]],tblDestinations[Destination],0)),"?"))</f>
        <v/>
      </c>
      <c r="M3594" s="64">
        <f>IF(tblMovement[[#This Row],[Material]]="","",IF(LEFT(tblMovement[[#This Row],[Material]],3)="Ore",1,0))</f>
        <v/>
      </c>
      <c r="N3594" s="59">
        <f>IF(OR(tblMovement[[#This Row],[Tonnes_t]]="",tblMovement[[#This Row],[Grade_gpt]]=""),0,tblMovement[[#This Row],[Tonnes_t]]*tblMovement[[#This Row],[Grade_gpt]]/cfg_TroyOz)</f>
        <v/>
      </c>
      <c r="O3594" s="59">
        <f>IF(tblMovement[[#This Row],[Is_Ore]]=1,tblMovement[[#This Row],[Contained_oz]],0)</f>
        <v/>
      </c>
    </row>
    <row r="3595">
      <c r="A3595" s="54" t="n"/>
      <c r="B3595" s="61" t="n"/>
      <c r="C3595" s="61" t="n"/>
      <c r="D3595" s="61" t="n"/>
      <c r="E3595" s="61" t="n"/>
      <c r="F3595" s="55" t="n"/>
      <c r="G3595" s="56" t="n"/>
      <c r="H3595" s="55" t="n"/>
      <c r="I3595" s="62" t="n"/>
      <c r="J3595" s="58" t="n"/>
      <c r="K3595" s="63">
        <f>IF(tblMovement[[#This Row],[Source]]="","",IFERROR(INDEX(tblSources[Type],MATCH(tblMovement[[#This Row],[Source]],tblSources[Source],0)),"?"))</f>
        <v/>
      </c>
      <c r="L3595" s="63">
        <f>IF(tblMovement[[#This Row],[Destination]]="","",IFERROR(INDEX(tblDestinations[Type],MATCH(tblMovement[[#This Row],[Destination]],tblDestinations[Destination],0)),"?"))</f>
        <v/>
      </c>
      <c r="M3595" s="64">
        <f>IF(tblMovement[[#This Row],[Material]]="","",IF(LEFT(tblMovement[[#This Row],[Material]],3)="Ore",1,0))</f>
        <v/>
      </c>
      <c r="N3595" s="59">
        <f>IF(OR(tblMovement[[#This Row],[Tonnes_t]]="",tblMovement[[#This Row],[Grade_gpt]]=""),0,tblMovement[[#This Row],[Tonnes_t]]*tblMovement[[#This Row],[Grade_gpt]]/cfg_TroyOz)</f>
        <v/>
      </c>
      <c r="O3595" s="59">
        <f>IF(tblMovement[[#This Row],[Is_Ore]]=1,tblMovement[[#This Row],[Contained_oz]],0)</f>
        <v/>
      </c>
    </row>
    <row r="3596">
      <c r="A3596" s="54" t="n"/>
      <c r="B3596" s="61" t="n"/>
      <c r="C3596" s="61" t="n"/>
      <c r="D3596" s="61" t="n"/>
      <c r="E3596" s="61" t="n"/>
      <c r="F3596" s="55" t="n"/>
      <c r="G3596" s="56" t="n"/>
      <c r="H3596" s="55" t="n"/>
      <c r="I3596" s="62" t="n"/>
      <c r="J3596" s="58" t="n"/>
      <c r="K3596" s="63">
        <f>IF(tblMovement[[#This Row],[Source]]="","",IFERROR(INDEX(tblSources[Type],MATCH(tblMovement[[#This Row],[Source]],tblSources[Source],0)),"?"))</f>
        <v/>
      </c>
      <c r="L3596" s="63">
        <f>IF(tblMovement[[#This Row],[Destination]]="","",IFERROR(INDEX(tblDestinations[Type],MATCH(tblMovement[[#This Row],[Destination]],tblDestinations[Destination],0)),"?"))</f>
        <v/>
      </c>
      <c r="M3596" s="64">
        <f>IF(tblMovement[[#This Row],[Material]]="","",IF(LEFT(tblMovement[[#This Row],[Material]],3)="Ore",1,0))</f>
        <v/>
      </c>
      <c r="N3596" s="59">
        <f>IF(OR(tblMovement[[#This Row],[Tonnes_t]]="",tblMovement[[#This Row],[Grade_gpt]]=""),0,tblMovement[[#This Row],[Tonnes_t]]*tblMovement[[#This Row],[Grade_gpt]]/cfg_TroyOz)</f>
        <v/>
      </c>
      <c r="O3596" s="59">
        <f>IF(tblMovement[[#This Row],[Is_Ore]]=1,tblMovement[[#This Row],[Contained_oz]],0)</f>
        <v/>
      </c>
    </row>
    <row r="3597">
      <c r="A3597" s="54" t="n"/>
      <c r="B3597" s="61" t="n"/>
      <c r="C3597" s="61" t="n"/>
      <c r="D3597" s="61" t="n"/>
      <c r="E3597" s="61" t="n"/>
      <c r="F3597" s="55" t="n"/>
      <c r="G3597" s="56" t="n"/>
      <c r="H3597" s="55" t="n"/>
      <c r="I3597" s="62" t="n"/>
      <c r="J3597" s="58" t="n"/>
      <c r="K3597" s="63">
        <f>IF(tblMovement[[#This Row],[Source]]="","",IFERROR(INDEX(tblSources[Type],MATCH(tblMovement[[#This Row],[Source]],tblSources[Source],0)),"?"))</f>
        <v/>
      </c>
      <c r="L3597" s="63">
        <f>IF(tblMovement[[#This Row],[Destination]]="","",IFERROR(INDEX(tblDestinations[Type],MATCH(tblMovement[[#This Row],[Destination]],tblDestinations[Destination],0)),"?"))</f>
        <v/>
      </c>
      <c r="M3597" s="64">
        <f>IF(tblMovement[[#This Row],[Material]]="","",IF(LEFT(tblMovement[[#This Row],[Material]],3)="Ore",1,0))</f>
        <v/>
      </c>
      <c r="N3597" s="59">
        <f>IF(OR(tblMovement[[#This Row],[Tonnes_t]]="",tblMovement[[#This Row],[Grade_gpt]]=""),0,tblMovement[[#This Row],[Tonnes_t]]*tblMovement[[#This Row],[Grade_gpt]]/cfg_TroyOz)</f>
        <v/>
      </c>
      <c r="O3597" s="59">
        <f>IF(tblMovement[[#This Row],[Is_Ore]]=1,tblMovement[[#This Row],[Contained_oz]],0)</f>
        <v/>
      </c>
    </row>
    <row r="3598">
      <c r="A3598" s="54" t="n"/>
      <c r="B3598" s="61" t="n"/>
      <c r="C3598" s="61" t="n"/>
      <c r="D3598" s="61" t="n"/>
      <c r="E3598" s="61" t="n"/>
      <c r="F3598" s="55" t="n"/>
      <c r="G3598" s="56" t="n"/>
      <c r="H3598" s="55" t="n"/>
      <c r="I3598" s="62" t="n"/>
      <c r="J3598" s="58" t="n"/>
      <c r="K3598" s="63">
        <f>IF(tblMovement[[#This Row],[Source]]="","",IFERROR(INDEX(tblSources[Type],MATCH(tblMovement[[#This Row],[Source]],tblSources[Source],0)),"?"))</f>
        <v/>
      </c>
      <c r="L3598" s="63">
        <f>IF(tblMovement[[#This Row],[Destination]]="","",IFERROR(INDEX(tblDestinations[Type],MATCH(tblMovement[[#This Row],[Destination]],tblDestinations[Destination],0)),"?"))</f>
        <v/>
      </c>
      <c r="M3598" s="64">
        <f>IF(tblMovement[[#This Row],[Material]]="","",IF(LEFT(tblMovement[[#This Row],[Material]],3)="Ore",1,0))</f>
        <v/>
      </c>
      <c r="N3598" s="59">
        <f>IF(OR(tblMovement[[#This Row],[Tonnes_t]]="",tblMovement[[#This Row],[Grade_gpt]]=""),0,tblMovement[[#This Row],[Tonnes_t]]*tblMovement[[#This Row],[Grade_gpt]]/cfg_TroyOz)</f>
        <v/>
      </c>
      <c r="O3598" s="59">
        <f>IF(tblMovement[[#This Row],[Is_Ore]]=1,tblMovement[[#This Row],[Contained_oz]],0)</f>
        <v/>
      </c>
    </row>
    <row r="3599">
      <c r="A3599" s="54" t="n"/>
      <c r="B3599" s="61" t="n"/>
      <c r="C3599" s="61" t="n"/>
      <c r="D3599" s="61" t="n"/>
      <c r="E3599" s="61" t="n"/>
      <c r="F3599" s="55" t="n"/>
      <c r="G3599" s="56" t="n"/>
      <c r="H3599" s="55" t="n"/>
      <c r="I3599" s="62" t="n"/>
      <c r="J3599" s="58" t="n"/>
      <c r="K3599" s="63">
        <f>IF(tblMovement[[#This Row],[Source]]="","",IFERROR(INDEX(tblSources[Type],MATCH(tblMovement[[#This Row],[Source]],tblSources[Source],0)),"?"))</f>
        <v/>
      </c>
      <c r="L3599" s="63">
        <f>IF(tblMovement[[#This Row],[Destination]]="","",IFERROR(INDEX(tblDestinations[Type],MATCH(tblMovement[[#This Row],[Destination]],tblDestinations[Destination],0)),"?"))</f>
        <v/>
      </c>
      <c r="M3599" s="64">
        <f>IF(tblMovement[[#This Row],[Material]]="","",IF(LEFT(tblMovement[[#This Row],[Material]],3)="Ore",1,0))</f>
        <v/>
      </c>
      <c r="N3599" s="59">
        <f>IF(OR(tblMovement[[#This Row],[Tonnes_t]]="",tblMovement[[#This Row],[Grade_gpt]]=""),0,tblMovement[[#This Row],[Tonnes_t]]*tblMovement[[#This Row],[Grade_gpt]]/cfg_TroyOz)</f>
        <v/>
      </c>
      <c r="O3599" s="59">
        <f>IF(tblMovement[[#This Row],[Is_Ore]]=1,tblMovement[[#This Row],[Contained_oz]],0)</f>
        <v/>
      </c>
    </row>
    <row r="3600">
      <c r="A3600" s="54" t="n"/>
      <c r="B3600" s="61" t="n"/>
      <c r="C3600" s="61" t="n"/>
      <c r="D3600" s="61" t="n"/>
      <c r="E3600" s="61" t="n"/>
      <c r="F3600" s="55" t="n"/>
      <c r="G3600" s="56" t="n"/>
      <c r="H3600" s="55" t="n"/>
      <c r="I3600" s="62" t="n"/>
      <c r="J3600" s="58" t="n"/>
      <c r="K3600" s="63">
        <f>IF(tblMovement[[#This Row],[Source]]="","",IFERROR(INDEX(tblSources[Type],MATCH(tblMovement[[#This Row],[Source]],tblSources[Source],0)),"?"))</f>
        <v/>
      </c>
      <c r="L3600" s="63">
        <f>IF(tblMovement[[#This Row],[Destination]]="","",IFERROR(INDEX(tblDestinations[Type],MATCH(tblMovement[[#This Row],[Destination]],tblDestinations[Destination],0)),"?"))</f>
        <v/>
      </c>
      <c r="M3600" s="64">
        <f>IF(tblMovement[[#This Row],[Material]]="","",IF(LEFT(tblMovement[[#This Row],[Material]],3)="Ore",1,0))</f>
        <v/>
      </c>
      <c r="N3600" s="59">
        <f>IF(OR(tblMovement[[#This Row],[Tonnes_t]]="",tblMovement[[#This Row],[Grade_gpt]]=""),0,tblMovement[[#This Row],[Tonnes_t]]*tblMovement[[#This Row],[Grade_gpt]]/cfg_TroyOz)</f>
        <v/>
      </c>
      <c r="O3600" s="59">
        <f>IF(tblMovement[[#This Row],[Is_Ore]]=1,tblMovement[[#This Row],[Contained_oz]],0)</f>
        <v/>
      </c>
    </row>
    <row r="3601">
      <c r="A3601" s="54" t="n"/>
      <c r="B3601" s="61" t="n"/>
      <c r="C3601" s="61" t="n"/>
      <c r="D3601" s="61" t="n"/>
      <c r="E3601" s="61" t="n"/>
      <c r="F3601" s="55" t="n"/>
      <c r="G3601" s="56" t="n"/>
      <c r="H3601" s="55" t="n"/>
      <c r="I3601" s="62" t="n"/>
      <c r="J3601" s="58" t="n"/>
      <c r="K3601" s="63">
        <f>IF(tblMovement[[#This Row],[Source]]="","",IFERROR(INDEX(tblSources[Type],MATCH(tblMovement[[#This Row],[Source]],tblSources[Source],0)),"?"))</f>
        <v/>
      </c>
      <c r="L3601" s="63">
        <f>IF(tblMovement[[#This Row],[Destination]]="","",IFERROR(INDEX(tblDestinations[Type],MATCH(tblMovement[[#This Row],[Destination]],tblDestinations[Destination],0)),"?"))</f>
        <v/>
      </c>
      <c r="M3601" s="64">
        <f>IF(tblMovement[[#This Row],[Material]]="","",IF(LEFT(tblMovement[[#This Row],[Material]],3)="Ore",1,0))</f>
        <v/>
      </c>
      <c r="N3601" s="59">
        <f>IF(OR(tblMovement[[#This Row],[Tonnes_t]]="",tblMovement[[#This Row],[Grade_gpt]]=""),0,tblMovement[[#This Row],[Tonnes_t]]*tblMovement[[#This Row],[Grade_gpt]]/cfg_TroyOz)</f>
        <v/>
      </c>
      <c r="O3601" s="59">
        <f>IF(tblMovement[[#This Row],[Is_Ore]]=1,tblMovement[[#This Row],[Contained_oz]],0)</f>
        <v/>
      </c>
    </row>
    <row r="3602">
      <c r="A3602" s="54" t="n"/>
      <c r="B3602" s="61" t="n"/>
      <c r="C3602" s="61" t="n"/>
      <c r="D3602" s="61" t="n"/>
      <c r="E3602" s="61" t="n"/>
      <c r="F3602" s="55" t="n"/>
      <c r="G3602" s="56" t="n"/>
      <c r="H3602" s="55" t="n"/>
      <c r="I3602" s="62" t="n"/>
      <c r="J3602" s="58" t="n"/>
      <c r="K3602" s="63">
        <f>IF(tblMovement[[#This Row],[Source]]="","",IFERROR(INDEX(tblSources[Type],MATCH(tblMovement[[#This Row],[Source]],tblSources[Source],0)),"?"))</f>
        <v/>
      </c>
      <c r="L3602" s="63">
        <f>IF(tblMovement[[#This Row],[Destination]]="","",IFERROR(INDEX(tblDestinations[Type],MATCH(tblMovement[[#This Row],[Destination]],tblDestinations[Destination],0)),"?"))</f>
        <v/>
      </c>
      <c r="M3602" s="64">
        <f>IF(tblMovement[[#This Row],[Material]]="","",IF(LEFT(tblMovement[[#This Row],[Material]],3)="Ore",1,0))</f>
        <v/>
      </c>
      <c r="N3602" s="59">
        <f>IF(OR(tblMovement[[#This Row],[Tonnes_t]]="",tblMovement[[#This Row],[Grade_gpt]]=""),0,tblMovement[[#This Row],[Tonnes_t]]*tblMovement[[#This Row],[Grade_gpt]]/cfg_TroyOz)</f>
        <v/>
      </c>
      <c r="O3602" s="59">
        <f>IF(tblMovement[[#This Row],[Is_Ore]]=1,tblMovement[[#This Row],[Contained_oz]],0)</f>
        <v/>
      </c>
    </row>
    <row r="3603">
      <c r="A3603" s="54" t="n"/>
      <c r="B3603" s="61" t="n"/>
      <c r="C3603" s="61" t="n"/>
      <c r="D3603" s="61" t="n"/>
      <c r="E3603" s="61" t="n"/>
      <c r="F3603" s="55" t="n"/>
      <c r="G3603" s="56" t="n"/>
      <c r="H3603" s="55" t="n"/>
      <c r="I3603" s="62" t="n"/>
      <c r="J3603" s="58" t="n"/>
      <c r="K3603" s="63">
        <f>IF(tblMovement[[#This Row],[Source]]="","",IFERROR(INDEX(tblSources[Type],MATCH(tblMovement[[#This Row],[Source]],tblSources[Source],0)),"?"))</f>
        <v/>
      </c>
      <c r="L3603" s="63">
        <f>IF(tblMovement[[#This Row],[Destination]]="","",IFERROR(INDEX(tblDestinations[Type],MATCH(tblMovement[[#This Row],[Destination]],tblDestinations[Destination],0)),"?"))</f>
        <v/>
      </c>
      <c r="M3603" s="64">
        <f>IF(tblMovement[[#This Row],[Material]]="","",IF(LEFT(tblMovement[[#This Row],[Material]],3)="Ore",1,0))</f>
        <v/>
      </c>
      <c r="N3603" s="59">
        <f>IF(OR(tblMovement[[#This Row],[Tonnes_t]]="",tblMovement[[#This Row],[Grade_gpt]]=""),0,tblMovement[[#This Row],[Tonnes_t]]*tblMovement[[#This Row],[Grade_gpt]]/cfg_TroyOz)</f>
        <v/>
      </c>
      <c r="O3603" s="59">
        <f>IF(tblMovement[[#This Row],[Is_Ore]]=1,tblMovement[[#This Row],[Contained_oz]],0)</f>
        <v/>
      </c>
    </row>
    <row r="3604">
      <c r="A3604" s="54" t="n"/>
      <c r="B3604" s="61" t="n"/>
      <c r="C3604" s="61" t="n"/>
      <c r="D3604" s="61" t="n"/>
      <c r="E3604" s="61" t="n"/>
      <c r="F3604" s="55" t="n"/>
      <c r="G3604" s="56" t="n"/>
      <c r="H3604" s="55" t="n"/>
      <c r="I3604" s="62" t="n"/>
      <c r="J3604" s="58" t="n"/>
      <c r="K3604" s="63">
        <f>IF(tblMovement[[#This Row],[Source]]="","",IFERROR(INDEX(tblSources[Type],MATCH(tblMovement[[#This Row],[Source]],tblSources[Source],0)),"?"))</f>
        <v/>
      </c>
      <c r="L3604" s="63">
        <f>IF(tblMovement[[#This Row],[Destination]]="","",IFERROR(INDEX(tblDestinations[Type],MATCH(tblMovement[[#This Row],[Destination]],tblDestinations[Destination],0)),"?"))</f>
        <v/>
      </c>
      <c r="M3604" s="64">
        <f>IF(tblMovement[[#This Row],[Material]]="","",IF(LEFT(tblMovement[[#This Row],[Material]],3)="Ore",1,0))</f>
        <v/>
      </c>
      <c r="N3604" s="59">
        <f>IF(OR(tblMovement[[#This Row],[Tonnes_t]]="",tblMovement[[#This Row],[Grade_gpt]]=""),0,tblMovement[[#This Row],[Tonnes_t]]*tblMovement[[#This Row],[Grade_gpt]]/cfg_TroyOz)</f>
        <v/>
      </c>
      <c r="O3604" s="59">
        <f>IF(tblMovement[[#This Row],[Is_Ore]]=1,tblMovement[[#This Row],[Contained_oz]],0)</f>
        <v/>
      </c>
    </row>
    <row r="3605">
      <c r="A3605" s="54" t="n"/>
      <c r="B3605" s="61" t="n"/>
      <c r="C3605" s="61" t="n"/>
      <c r="D3605" s="61" t="n"/>
      <c r="E3605" s="61" t="n"/>
      <c r="F3605" s="55" t="n"/>
      <c r="G3605" s="56" t="n"/>
      <c r="H3605" s="55" t="n"/>
      <c r="I3605" s="62" t="n"/>
      <c r="J3605" s="58" t="n"/>
      <c r="K3605" s="63">
        <f>IF(tblMovement[[#This Row],[Source]]="","",IFERROR(INDEX(tblSources[Type],MATCH(tblMovement[[#This Row],[Source]],tblSources[Source],0)),"?"))</f>
        <v/>
      </c>
      <c r="L3605" s="63">
        <f>IF(tblMovement[[#This Row],[Destination]]="","",IFERROR(INDEX(tblDestinations[Type],MATCH(tblMovement[[#This Row],[Destination]],tblDestinations[Destination],0)),"?"))</f>
        <v/>
      </c>
      <c r="M3605" s="64">
        <f>IF(tblMovement[[#This Row],[Material]]="","",IF(LEFT(tblMovement[[#This Row],[Material]],3)="Ore",1,0))</f>
        <v/>
      </c>
      <c r="N3605" s="59">
        <f>IF(OR(tblMovement[[#This Row],[Tonnes_t]]="",tblMovement[[#This Row],[Grade_gpt]]=""),0,tblMovement[[#This Row],[Tonnes_t]]*tblMovement[[#This Row],[Grade_gpt]]/cfg_TroyOz)</f>
        <v/>
      </c>
      <c r="O3605" s="59">
        <f>IF(tblMovement[[#This Row],[Is_Ore]]=1,tblMovement[[#This Row],[Contained_oz]],0)</f>
        <v/>
      </c>
    </row>
    <row r="3606">
      <c r="A3606" s="54" t="n"/>
      <c r="B3606" s="61" t="n"/>
      <c r="C3606" s="61" t="n"/>
      <c r="D3606" s="61" t="n"/>
      <c r="E3606" s="61" t="n"/>
      <c r="F3606" s="55" t="n"/>
      <c r="G3606" s="56" t="n"/>
      <c r="H3606" s="55" t="n"/>
      <c r="I3606" s="62" t="n"/>
      <c r="J3606" s="58" t="n"/>
      <c r="K3606" s="63">
        <f>IF(tblMovement[[#This Row],[Source]]="","",IFERROR(INDEX(tblSources[Type],MATCH(tblMovement[[#This Row],[Source]],tblSources[Source],0)),"?"))</f>
        <v/>
      </c>
      <c r="L3606" s="63">
        <f>IF(tblMovement[[#This Row],[Destination]]="","",IFERROR(INDEX(tblDestinations[Type],MATCH(tblMovement[[#This Row],[Destination]],tblDestinations[Destination],0)),"?"))</f>
        <v/>
      </c>
      <c r="M3606" s="64">
        <f>IF(tblMovement[[#This Row],[Material]]="","",IF(LEFT(tblMovement[[#This Row],[Material]],3)="Ore",1,0))</f>
        <v/>
      </c>
      <c r="N3606" s="59">
        <f>IF(OR(tblMovement[[#This Row],[Tonnes_t]]="",tblMovement[[#This Row],[Grade_gpt]]=""),0,tblMovement[[#This Row],[Tonnes_t]]*tblMovement[[#This Row],[Grade_gpt]]/cfg_TroyOz)</f>
        <v/>
      </c>
      <c r="O3606" s="59">
        <f>IF(tblMovement[[#This Row],[Is_Ore]]=1,tblMovement[[#This Row],[Contained_oz]],0)</f>
        <v/>
      </c>
    </row>
    <row r="3607">
      <c r="A3607" s="54" t="n"/>
      <c r="B3607" s="61" t="n"/>
      <c r="C3607" s="61" t="n"/>
      <c r="D3607" s="61" t="n"/>
      <c r="E3607" s="61" t="n"/>
      <c r="F3607" s="55" t="n"/>
      <c r="G3607" s="56" t="n"/>
      <c r="H3607" s="55" t="n"/>
      <c r="I3607" s="62" t="n"/>
      <c r="J3607" s="58" t="n"/>
      <c r="K3607" s="63">
        <f>IF(tblMovement[[#This Row],[Source]]="","",IFERROR(INDEX(tblSources[Type],MATCH(tblMovement[[#This Row],[Source]],tblSources[Source],0)),"?"))</f>
        <v/>
      </c>
      <c r="L3607" s="63">
        <f>IF(tblMovement[[#This Row],[Destination]]="","",IFERROR(INDEX(tblDestinations[Type],MATCH(tblMovement[[#This Row],[Destination]],tblDestinations[Destination],0)),"?"))</f>
        <v/>
      </c>
      <c r="M3607" s="64">
        <f>IF(tblMovement[[#This Row],[Material]]="","",IF(LEFT(tblMovement[[#This Row],[Material]],3)="Ore",1,0))</f>
        <v/>
      </c>
      <c r="N3607" s="59">
        <f>IF(OR(tblMovement[[#This Row],[Tonnes_t]]="",tblMovement[[#This Row],[Grade_gpt]]=""),0,tblMovement[[#This Row],[Tonnes_t]]*tblMovement[[#This Row],[Grade_gpt]]/cfg_TroyOz)</f>
        <v/>
      </c>
      <c r="O3607" s="59">
        <f>IF(tblMovement[[#This Row],[Is_Ore]]=1,tblMovement[[#This Row],[Contained_oz]],0)</f>
        <v/>
      </c>
    </row>
    <row r="3608">
      <c r="A3608" s="54" t="n"/>
      <c r="B3608" s="61" t="n"/>
      <c r="C3608" s="61" t="n"/>
      <c r="D3608" s="61" t="n"/>
      <c r="E3608" s="61" t="n"/>
      <c r="F3608" s="55" t="n"/>
      <c r="G3608" s="56" t="n"/>
      <c r="H3608" s="55" t="n"/>
      <c r="I3608" s="62" t="n"/>
      <c r="J3608" s="58" t="n"/>
      <c r="K3608" s="63">
        <f>IF(tblMovement[[#This Row],[Source]]="","",IFERROR(INDEX(tblSources[Type],MATCH(tblMovement[[#This Row],[Source]],tblSources[Source],0)),"?"))</f>
        <v/>
      </c>
      <c r="L3608" s="63">
        <f>IF(tblMovement[[#This Row],[Destination]]="","",IFERROR(INDEX(tblDestinations[Type],MATCH(tblMovement[[#This Row],[Destination]],tblDestinations[Destination],0)),"?"))</f>
        <v/>
      </c>
      <c r="M3608" s="64">
        <f>IF(tblMovement[[#This Row],[Material]]="","",IF(LEFT(tblMovement[[#This Row],[Material]],3)="Ore",1,0))</f>
        <v/>
      </c>
      <c r="N3608" s="59">
        <f>IF(OR(tblMovement[[#This Row],[Tonnes_t]]="",tblMovement[[#This Row],[Grade_gpt]]=""),0,tblMovement[[#This Row],[Tonnes_t]]*tblMovement[[#This Row],[Grade_gpt]]/cfg_TroyOz)</f>
        <v/>
      </c>
      <c r="O3608" s="59">
        <f>IF(tblMovement[[#This Row],[Is_Ore]]=1,tblMovement[[#This Row],[Contained_oz]],0)</f>
        <v/>
      </c>
    </row>
    <row r="3609">
      <c r="A3609" s="54" t="n"/>
      <c r="B3609" s="61" t="n"/>
      <c r="C3609" s="61" t="n"/>
      <c r="D3609" s="61" t="n"/>
      <c r="E3609" s="61" t="n"/>
      <c r="F3609" s="55" t="n"/>
      <c r="G3609" s="56" t="n"/>
      <c r="H3609" s="55" t="n"/>
      <c r="I3609" s="62" t="n"/>
      <c r="J3609" s="58" t="n"/>
      <c r="K3609" s="63">
        <f>IF(tblMovement[[#This Row],[Source]]="","",IFERROR(INDEX(tblSources[Type],MATCH(tblMovement[[#This Row],[Source]],tblSources[Source],0)),"?"))</f>
        <v/>
      </c>
      <c r="L3609" s="63">
        <f>IF(tblMovement[[#This Row],[Destination]]="","",IFERROR(INDEX(tblDestinations[Type],MATCH(tblMovement[[#This Row],[Destination]],tblDestinations[Destination],0)),"?"))</f>
        <v/>
      </c>
      <c r="M3609" s="64">
        <f>IF(tblMovement[[#This Row],[Material]]="","",IF(LEFT(tblMovement[[#This Row],[Material]],3)="Ore",1,0))</f>
        <v/>
      </c>
      <c r="N3609" s="59">
        <f>IF(OR(tblMovement[[#This Row],[Tonnes_t]]="",tblMovement[[#This Row],[Grade_gpt]]=""),0,tblMovement[[#This Row],[Tonnes_t]]*tblMovement[[#This Row],[Grade_gpt]]/cfg_TroyOz)</f>
        <v/>
      </c>
      <c r="O3609" s="59">
        <f>IF(tblMovement[[#This Row],[Is_Ore]]=1,tblMovement[[#This Row],[Contained_oz]],0)</f>
        <v/>
      </c>
    </row>
    <row r="3610">
      <c r="A3610" s="54" t="n"/>
      <c r="B3610" s="61" t="n"/>
      <c r="C3610" s="61" t="n"/>
      <c r="D3610" s="61" t="n"/>
      <c r="E3610" s="61" t="n"/>
      <c r="F3610" s="55" t="n"/>
      <c r="G3610" s="56" t="n"/>
      <c r="H3610" s="55" t="n"/>
      <c r="I3610" s="62" t="n"/>
      <c r="J3610" s="58" t="n"/>
      <c r="K3610" s="63">
        <f>IF(tblMovement[[#This Row],[Source]]="","",IFERROR(INDEX(tblSources[Type],MATCH(tblMovement[[#This Row],[Source]],tblSources[Source],0)),"?"))</f>
        <v/>
      </c>
      <c r="L3610" s="63">
        <f>IF(tblMovement[[#This Row],[Destination]]="","",IFERROR(INDEX(tblDestinations[Type],MATCH(tblMovement[[#This Row],[Destination]],tblDestinations[Destination],0)),"?"))</f>
        <v/>
      </c>
      <c r="M3610" s="64">
        <f>IF(tblMovement[[#This Row],[Material]]="","",IF(LEFT(tblMovement[[#This Row],[Material]],3)="Ore",1,0))</f>
        <v/>
      </c>
      <c r="N3610" s="59">
        <f>IF(OR(tblMovement[[#This Row],[Tonnes_t]]="",tblMovement[[#This Row],[Grade_gpt]]=""),0,tblMovement[[#This Row],[Tonnes_t]]*tblMovement[[#This Row],[Grade_gpt]]/cfg_TroyOz)</f>
        <v/>
      </c>
      <c r="O3610" s="59">
        <f>IF(tblMovement[[#This Row],[Is_Ore]]=1,tblMovement[[#This Row],[Contained_oz]],0)</f>
        <v/>
      </c>
    </row>
    <row r="3611">
      <c r="A3611" s="54" t="n"/>
      <c r="B3611" s="61" t="n"/>
      <c r="C3611" s="61" t="n"/>
      <c r="D3611" s="61" t="n"/>
      <c r="E3611" s="61" t="n"/>
      <c r="F3611" s="55" t="n"/>
      <c r="G3611" s="56" t="n"/>
      <c r="H3611" s="55" t="n"/>
      <c r="I3611" s="62" t="n"/>
      <c r="J3611" s="58" t="n"/>
      <c r="K3611" s="63">
        <f>IF(tblMovement[[#This Row],[Source]]="","",IFERROR(INDEX(tblSources[Type],MATCH(tblMovement[[#This Row],[Source]],tblSources[Source],0)),"?"))</f>
        <v/>
      </c>
      <c r="L3611" s="63">
        <f>IF(tblMovement[[#This Row],[Destination]]="","",IFERROR(INDEX(tblDestinations[Type],MATCH(tblMovement[[#This Row],[Destination]],tblDestinations[Destination],0)),"?"))</f>
        <v/>
      </c>
      <c r="M3611" s="64">
        <f>IF(tblMovement[[#This Row],[Material]]="","",IF(LEFT(tblMovement[[#This Row],[Material]],3)="Ore",1,0))</f>
        <v/>
      </c>
      <c r="N3611" s="59">
        <f>IF(OR(tblMovement[[#This Row],[Tonnes_t]]="",tblMovement[[#This Row],[Grade_gpt]]=""),0,tblMovement[[#This Row],[Tonnes_t]]*tblMovement[[#This Row],[Grade_gpt]]/cfg_TroyOz)</f>
        <v/>
      </c>
      <c r="O3611" s="59">
        <f>IF(tblMovement[[#This Row],[Is_Ore]]=1,tblMovement[[#This Row],[Contained_oz]],0)</f>
        <v/>
      </c>
    </row>
    <row r="3612">
      <c r="A3612" s="54" t="n"/>
      <c r="B3612" s="61" t="n"/>
      <c r="C3612" s="61" t="n"/>
      <c r="D3612" s="61" t="n"/>
      <c r="E3612" s="61" t="n"/>
      <c r="F3612" s="55" t="n"/>
      <c r="G3612" s="56" t="n"/>
      <c r="H3612" s="55" t="n"/>
      <c r="I3612" s="62" t="n"/>
      <c r="J3612" s="58" t="n"/>
      <c r="K3612" s="63">
        <f>IF(tblMovement[[#This Row],[Source]]="","",IFERROR(INDEX(tblSources[Type],MATCH(tblMovement[[#This Row],[Source]],tblSources[Source],0)),"?"))</f>
        <v/>
      </c>
      <c r="L3612" s="63">
        <f>IF(tblMovement[[#This Row],[Destination]]="","",IFERROR(INDEX(tblDestinations[Type],MATCH(tblMovement[[#This Row],[Destination]],tblDestinations[Destination],0)),"?"))</f>
        <v/>
      </c>
      <c r="M3612" s="64">
        <f>IF(tblMovement[[#This Row],[Material]]="","",IF(LEFT(tblMovement[[#This Row],[Material]],3)="Ore",1,0))</f>
        <v/>
      </c>
      <c r="N3612" s="59">
        <f>IF(OR(tblMovement[[#This Row],[Tonnes_t]]="",tblMovement[[#This Row],[Grade_gpt]]=""),0,tblMovement[[#This Row],[Tonnes_t]]*tblMovement[[#This Row],[Grade_gpt]]/cfg_TroyOz)</f>
        <v/>
      </c>
      <c r="O3612" s="59">
        <f>IF(tblMovement[[#This Row],[Is_Ore]]=1,tblMovement[[#This Row],[Contained_oz]],0)</f>
        <v/>
      </c>
    </row>
    <row r="3613">
      <c r="A3613" s="54" t="n"/>
      <c r="B3613" s="61" t="n"/>
      <c r="C3613" s="61" t="n"/>
      <c r="D3613" s="61" t="n"/>
      <c r="E3613" s="61" t="n"/>
      <c r="F3613" s="55" t="n"/>
      <c r="G3613" s="56" t="n"/>
      <c r="H3613" s="55" t="n"/>
      <c r="I3613" s="62" t="n"/>
      <c r="J3613" s="58" t="n"/>
      <c r="K3613" s="63">
        <f>IF(tblMovement[[#This Row],[Source]]="","",IFERROR(INDEX(tblSources[Type],MATCH(tblMovement[[#This Row],[Source]],tblSources[Source],0)),"?"))</f>
        <v/>
      </c>
      <c r="L3613" s="63">
        <f>IF(tblMovement[[#This Row],[Destination]]="","",IFERROR(INDEX(tblDestinations[Type],MATCH(tblMovement[[#This Row],[Destination]],tblDestinations[Destination],0)),"?"))</f>
        <v/>
      </c>
      <c r="M3613" s="64">
        <f>IF(tblMovement[[#This Row],[Material]]="","",IF(LEFT(tblMovement[[#This Row],[Material]],3)="Ore",1,0))</f>
        <v/>
      </c>
      <c r="N3613" s="59">
        <f>IF(OR(tblMovement[[#This Row],[Tonnes_t]]="",tblMovement[[#This Row],[Grade_gpt]]=""),0,tblMovement[[#This Row],[Tonnes_t]]*tblMovement[[#This Row],[Grade_gpt]]/cfg_TroyOz)</f>
        <v/>
      </c>
      <c r="O3613" s="59">
        <f>IF(tblMovement[[#This Row],[Is_Ore]]=1,tblMovement[[#This Row],[Contained_oz]],0)</f>
        <v/>
      </c>
    </row>
    <row r="3614">
      <c r="A3614" s="54" t="n"/>
      <c r="B3614" s="61" t="n"/>
      <c r="C3614" s="61" t="n"/>
      <c r="D3614" s="61" t="n"/>
      <c r="E3614" s="61" t="n"/>
      <c r="F3614" s="55" t="n"/>
      <c r="G3614" s="56" t="n"/>
      <c r="H3614" s="55" t="n"/>
      <c r="I3614" s="62" t="n"/>
      <c r="J3614" s="58" t="n"/>
      <c r="K3614" s="63">
        <f>IF(tblMovement[[#This Row],[Source]]="","",IFERROR(INDEX(tblSources[Type],MATCH(tblMovement[[#This Row],[Source]],tblSources[Source],0)),"?"))</f>
        <v/>
      </c>
      <c r="L3614" s="63">
        <f>IF(tblMovement[[#This Row],[Destination]]="","",IFERROR(INDEX(tblDestinations[Type],MATCH(tblMovement[[#This Row],[Destination]],tblDestinations[Destination],0)),"?"))</f>
        <v/>
      </c>
      <c r="M3614" s="64">
        <f>IF(tblMovement[[#This Row],[Material]]="","",IF(LEFT(tblMovement[[#This Row],[Material]],3)="Ore",1,0))</f>
        <v/>
      </c>
      <c r="N3614" s="59">
        <f>IF(OR(tblMovement[[#This Row],[Tonnes_t]]="",tblMovement[[#This Row],[Grade_gpt]]=""),0,tblMovement[[#This Row],[Tonnes_t]]*tblMovement[[#This Row],[Grade_gpt]]/cfg_TroyOz)</f>
        <v/>
      </c>
      <c r="O3614" s="59">
        <f>IF(tblMovement[[#This Row],[Is_Ore]]=1,tblMovement[[#This Row],[Contained_oz]],0)</f>
        <v/>
      </c>
    </row>
    <row r="3615">
      <c r="A3615" s="54" t="n"/>
      <c r="B3615" s="61" t="n"/>
      <c r="C3615" s="61" t="n"/>
      <c r="D3615" s="61" t="n"/>
      <c r="E3615" s="61" t="n"/>
      <c r="F3615" s="55" t="n"/>
      <c r="G3615" s="56" t="n"/>
      <c r="H3615" s="55" t="n"/>
      <c r="I3615" s="62" t="n"/>
      <c r="J3615" s="58" t="n"/>
      <c r="K3615" s="63">
        <f>IF(tblMovement[[#This Row],[Source]]="","",IFERROR(INDEX(tblSources[Type],MATCH(tblMovement[[#This Row],[Source]],tblSources[Source],0)),"?"))</f>
        <v/>
      </c>
      <c r="L3615" s="63">
        <f>IF(tblMovement[[#This Row],[Destination]]="","",IFERROR(INDEX(tblDestinations[Type],MATCH(tblMovement[[#This Row],[Destination]],tblDestinations[Destination],0)),"?"))</f>
        <v/>
      </c>
      <c r="M3615" s="64">
        <f>IF(tblMovement[[#This Row],[Material]]="","",IF(LEFT(tblMovement[[#This Row],[Material]],3)="Ore",1,0))</f>
        <v/>
      </c>
      <c r="N3615" s="59">
        <f>IF(OR(tblMovement[[#This Row],[Tonnes_t]]="",tblMovement[[#This Row],[Grade_gpt]]=""),0,tblMovement[[#This Row],[Tonnes_t]]*tblMovement[[#This Row],[Grade_gpt]]/cfg_TroyOz)</f>
        <v/>
      </c>
      <c r="O3615" s="59">
        <f>IF(tblMovement[[#This Row],[Is_Ore]]=1,tblMovement[[#This Row],[Contained_oz]],0)</f>
        <v/>
      </c>
    </row>
    <row r="3616">
      <c r="A3616" s="54" t="n"/>
      <c r="B3616" s="61" t="n"/>
      <c r="C3616" s="61" t="n"/>
      <c r="D3616" s="61" t="n"/>
      <c r="E3616" s="61" t="n"/>
      <c r="F3616" s="55" t="n"/>
      <c r="G3616" s="56" t="n"/>
      <c r="H3616" s="55" t="n"/>
      <c r="I3616" s="62" t="n"/>
      <c r="J3616" s="58" t="n"/>
      <c r="K3616" s="63">
        <f>IF(tblMovement[[#This Row],[Source]]="","",IFERROR(INDEX(tblSources[Type],MATCH(tblMovement[[#This Row],[Source]],tblSources[Source],0)),"?"))</f>
        <v/>
      </c>
      <c r="L3616" s="63">
        <f>IF(tblMovement[[#This Row],[Destination]]="","",IFERROR(INDEX(tblDestinations[Type],MATCH(tblMovement[[#This Row],[Destination]],tblDestinations[Destination],0)),"?"))</f>
        <v/>
      </c>
      <c r="M3616" s="64">
        <f>IF(tblMovement[[#This Row],[Material]]="","",IF(LEFT(tblMovement[[#This Row],[Material]],3)="Ore",1,0))</f>
        <v/>
      </c>
      <c r="N3616" s="59">
        <f>IF(OR(tblMovement[[#This Row],[Tonnes_t]]="",tblMovement[[#This Row],[Grade_gpt]]=""),0,tblMovement[[#This Row],[Tonnes_t]]*tblMovement[[#This Row],[Grade_gpt]]/cfg_TroyOz)</f>
        <v/>
      </c>
      <c r="O3616" s="59">
        <f>IF(tblMovement[[#This Row],[Is_Ore]]=1,tblMovement[[#This Row],[Contained_oz]],0)</f>
        <v/>
      </c>
    </row>
    <row r="3617">
      <c r="A3617" s="54" t="n"/>
      <c r="B3617" s="61" t="n"/>
      <c r="C3617" s="61" t="n"/>
      <c r="D3617" s="61" t="n"/>
      <c r="E3617" s="61" t="n"/>
      <c r="F3617" s="55" t="n"/>
      <c r="G3617" s="56" t="n"/>
      <c r="H3617" s="55" t="n"/>
      <c r="I3617" s="62" t="n"/>
      <c r="J3617" s="58" t="n"/>
      <c r="K3617" s="63">
        <f>IF(tblMovement[[#This Row],[Source]]="","",IFERROR(INDEX(tblSources[Type],MATCH(tblMovement[[#This Row],[Source]],tblSources[Source],0)),"?"))</f>
        <v/>
      </c>
      <c r="L3617" s="63">
        <f>IF(tblMovement[[#This Row],[Destination]]="","",IFERROR(INDEX(tblDestinations[Type],MATCH(tblMovement[[#This Row],[Destination]],tblDestinations[Destination],0)),"?"))</f>
        <v/>
      </c>
      <c r="M3617" s="64">
        <f>IF(tblMovement[[#This Row],[Material]]="","",IF(LEFT(tblMovement[[#This Row],[Material]],3)="Ore",1,0))</f>
        <v/>
      </c>
      <c r="N3617" s="59">
        <f>IF(OR(tblMovement[[#This Row],[Tonnes_t]]="",tblMovement[[#This Row],[Grade_gpt]]=""),0,tblMovement[[#This Row],[Tonnes_t]]*tblMovement[[#This Row],[Grade_gpt]]/cfg_TroyOz)</f>
        <v/>
      </c>
      <c r="O3617" s="59">
        <f>IF(tblMovement[[#This Row],[Is_Ore]]=1,tblMovement[[#This Row],[Contained_oz]],0)</f>
        <v/>
      </c>
    </row>
    <row r="3618">
      <c r="A3618" s="54" t="n"/>
      <c r="B3618" s="61" t="n"/>
      <c r="C3618" s="61" t="n"/>
      <c r="D3618" s="61" t="n"/>
      <c r="E3618" s="61" t="n"/>
      <c r="F3618" s="55" t="n"/>
      <c r="G3618" s="56" t="n"/>
      <c r="H3618" s="55" t="n"/>
      <c r="I3618" s="62" t="n"/>
      <c r="J3618" s="58" t="n"/>
      <c r="K3618" s="63">
        <f>IF(tblMovement[[#This Row],[Source]]="","",IFERROR(INDEX(tblSources[Type],MATCH(tblMovement[[#This Row],[Source]],tblSources[Source],0)),"?"))</f>
        <v/>
      </c>
      <c r="L3618" s="63">
        <f>IF(tblMovement[[#This Row],[Destination]]="","",IFERROR(INDEX(tblDestinations[Type],MATCH(tblMovement[[#This Row],[Destination]],tblDestinations[Destination],0)),"?"))</f>
        <v/>
      </c>
      <c r="M3618" s="64">
        <f>IF(tblMovement[[#This Row],[Material]]="","",IF(LEFT(tblMovement[[#This Row],[Material]],3)="Ore",1,0))</f>
        <v/>
      </c>
      <c r="N3618" s="59">
        <f>IF(OR(tblMovement[[#This Row],[Tonnes_t]]="",tblMovement[[#This Row],[Grade_gpt]]=""),0,tblMovement[[#This Row],[Tonnes_t]]*tblMovement[[#This Row],[Grade_gpt]]/cfg_TroyOz)</f>
        <v/>
      </c>
      <c r="O3618" s="59">
        <f>IF(tblMovement[[#This Row],[Is_Ore]]=1,tblMovement[[#This Row],[Contained_oz]],0)</f>
        <v/>
      </c>
    </row>
    <row r="3619">
      <c r="A3619" s="54" t="n"/>
      <c r="B3619" s="61" t="n"/>
      <c r="C3619" s="61" t="n"/>
      <c r="D3619" s="61" t="n"/>
      <c r="E3619" s="61" t="n"/>
      <c r="F3619" s="55" t="n"/>
      <c r="G3619" s="56" t="n"/>
      <c r="H3619" s="55" t="n"/>
      <c r="I3619" s="62" t="n"/>
      <c r="J3619" s="58" t="n"/>
      <c r="K3619" s="63">
        <f>IF(tblMovement[[#This Row],[Source]]="","",IFERROR(INDEX(tblSources[Type],MATCH(tblMovement[[#This Row],[Source]],tblSources[Source],0)),"?"))</f>
        <v/>
      </c>
      <c r="L3619" s="63">
        <f>IF(tblMovement[[#This Row],[Destination]]="","",IFERROR(INDEX(tblDestinations[Type],MATCH(tblMovement[[#This Row],[Destination]],tblDestinations[Destination],0)),"?"))</f>
        <v/>
      </c>
      <c r="M3619" s="64">
        <f>IF(tblMovement[[#This Row],[Material]]="","",IF(LEFT(tblMovement[[#This Row],[Material]],3)="Ore",1,0))</f>
        <v/>
      </c>
      <c r="N3619" s="59">
        <f>IF(OR(tblMovement[[#This Row],[Tonnes_t]]="",tblMovement[[#This Row],[Grade_gpt]]=""),0,tblMovement[[#This Row],[Tonnes_t]]*tblMovement[[#This Row],[Grade_gpt]]/cfg_TroyOz)</f>
        <v/>
      </c>
      <c r="O3619" s="59">
        <f>IF(tblMovement[[#This Row],[Is_Ore]]=1,tblMovement[[#This Row],[Contained_oz]],0)</f>
        <v/>
      </c>
    </row>
    <row r="3620">
      <c r="A3620" s="54" t="n"/>
      <c r="B3620" s="61" t="n"/>
      <c r="C3620" s="61" t="n"/>
      <c r="D3620" s="61" t="n"/>
      <c r="E3620" s="61" t="n"/>
      <c r="F3620" s="55" t="n"/>
      <c r="G3620" s="56" t="n"/>
      <c r="H3620" s="55" t="n"/>
      <c r="I3620" s="62" t="n"/>
      <c r="J3620" s="58" t="n"/>
      <c r="K3620" s="63">
        <f>IF(tblMovement[[#This Row],[Source]]="","",IFERROR(INDEX(tblSources[Type],MATCH(tblMovement[[#This Row],[Source]],tblSources[Source],0)),"?"))</f>
        <v/>
      </c>
      <c r="L3620" s="63">
        <f>IF(tblMovement[[#This Row],[Destination]]="","",IFERROR(INDEX(tblDestinations[Type],MATCH(tblMovement[[#This Row],[Destination]],tblDestinations[Destination],0)),"?"))</f>
        <v/>
      </c>
      <c r="M3620" s="64">
        <f>IF(tblMovement[[#This Row],[Material]]="","",IF(LEFT(tblMovement[[#This Row],[Material]],3)="Ore",1,0))</f>
        <v/>
      </c>
      <c r="N3620" s="59">
        <f>IF(OR(tblMovement[[#This Row],[Tonnes_t]]="",tblMovement[[#This Row],[Grade_gpt]]=""),0,tblMovement[[#This Row],[Tonnes_t]]*tblMovement[[#This Row],[Grade_gpt]]/cfg_TroyOz)</f>
        <v/>
      </c>
      <c r="O3620" s="59">
        <f>IF(tblMovement[[#This Row],[Is_Ore]]=1,tblMovement[[#This Row],[Contained_oz]],0)</f>
        <v/>
      </c>
    </row>
    <row r="3621">
      <c r="A3621" s="54" t="n"/>
      <c r="B3621" s="61" t="n"/>
      <c r="C3621" s="61" t="n"/>
      <c r="D3621" s="61" t="n"/>
      <c r="E3621" s="61" t="n"/>
      <c r="F3621" s="55" t="n"/>
      <c r="G3621" s="56" t="n"/>
      <c r="H3621" s="55" t="n"/>
      <c r="I3621" s="62" t="n"/>
      <c r="J3621" s="58" t="n"/>
      <c r="K3621" s="63">
        <f>IF(tblMovement[[#This Row],[Source]]="","",IFERROR(INDEX(tblSources[Type],MATCH(tblMovement[[#This Row],[Source]],tblSources[Source],0)),"?"))</f>
        <v/>
      </c>
      <c r="L3621" s="63">
        <f>IF(tblMovement[[#This Row],[Destination]]="","",IFERROR(INDEX(tblDestinations[Type],MATCH(tblMovement[[#This Row],[Destination]],tblDestinations[Destination],0)),"?"))</f>
        <v/>
      </c>
      <c r="M3621" s="64">
        <f>IF(tblMovement[[#This Row],[Material]]="","",IF(LEFT(tblMovement[[#This Row],[Material]],3)="Ore",1,0))</f>
        <v/>
      </c>
      <c r="N3621" s="59">
        <f>IF(OR(tblMovement[[#This Row],[Tonnes_t]]="",tblMovement[[#This Row],[Grade_gpt]]=""),0,tblMovement[[#This Row],[Tonnes_t]]*tblMovement[[#This Row],[Grade_gpt]]/cfg_TroyOz)</f>
        <v/>
      </c>
      <c r="O3621" s="59">
        <f>IF(tblMovement[[#This Row],[Is_Ore]]=1,tblMovement[[#This Row],[Contained_oz]],0)</f>
        <v/>
      </c>
    </row>
    <row r="3622">
      <c r="A3622" s="54" t="n"/>
      <c r="B3622" s="61" t="n"/>
      <c r="C3622" s="61" t="n"/>
      <c r="D3622" s="61" t="n"/>
      <c r="E3622" s="61" t="n"/>
      <c r="F3622" s="55" t="n"/>
      <c r="G3622" s="56" t="n"/>
      <c r="H3622" s="55" t="n"/>
      <c r="I3622" s="62" t="n"/>
      <c r="J3622" s="58" t="n"/>
      <c r="K3622" s="63">
        <f>IF(tblMovement[[#This Row],[Source]]="","",IFERROR(INDEX(tblSources[Type],MATCH(tblMovement[[#This Row],[Source]],tblSources[Source],0)),"?"))</f>
        <v/>
      </c>
      <c r="L3622" s="63">
        <f>IF(tblMovement[[#This Row],[Destination]]="","",IFERROR(INDEX(tblDestinations[Type],MATCH(tblMovement[[#This Row],[Destination]],tblDestinations[Destination],0)),"?"))</f>
        <v/>
      </c>
      <c r="M3622" s="64">
        <f>IF(tblMovement[[#This Row],[Material]]="","",IF(LEFT(tblMovement[[#This Row],[Material]],3)="Ore",1,0))</f>
        <v/>
      </c>
      <c r="N3622" s="59">
        <f>IF(OR(tblMovement[[#This Row],[Tonnes_t]]="",tblMovement[[#This Row],[Grade_gpt]]=""),0,tblMovement[[#This Row],[Tonnes_t]]*tblMovement[[#This Row],[Grade_gpt]]/cfg_TroyOz)</f>
        <v/>
      </c>
      <c r="O3622" s="59">
        <f>IF(tblMovement[[#This Row],[Is_Ore]]=1,tblMovement[[#This Row],[Contained_oz]],0)</f>
        <v/>
      </c>
    </row>
    <row r="3623">
      <c r="A3623" s="54" t="n"/>
      <c r="B3623" s="61" t="n"/>
      <c r="C3623" s="61" t="n"/>
      <c r="D3623" s="61" t="n"/>
      <c r="E3623" s="61" t="n"/>
      <c r="F3623" s="55" t="n"/>
      <c r="G3623" s="56" t="n"/>
      <c r="H3623" s="55" t="n"/>
      <c r="I3623" s="62" t="n"/>
      <c r="J3623" s="58" t="n"/>
      <c r="K3623" s="63">
        <f>IF(tblMovement[[#This Row],[Source]]="","",IFERROR(INDEX(tblSources[Type],MATCH(tblMovement[[#This Row],[Source]],tblSources[Source],0)),"?"))</f>
        <v/>
      </c>
      <c r="L3623" s="63">
        <f>IF(tblMovement[[#This Row],[Destination]]="","",IFERROR(INDEX(tblDestinations[Type],MATCH(tblMovement[[#This Row],[Destination]],tblDestinations[Destination],0)),"?"))</f>
        <v/>
      </c>
      <c r="M3623" s="64">
        <f>IF(tblMovement[[#This Row],[Material]]="","",IF(LEFT(tblMovement[[#This Row],[Material]],3)="Ore",1,0))</f>
        <v/>
      </c>
      <c r="N3623" s="59">
        <f>IF(OR(tblMovement[[#This Row],[Tonnes_t]]="",tblMovement[[#This Row],[Grade_gpt]]=""),0,tblMovement[[#This Row],[Tonnes_t]]*tblMovement[[#This Row],[Grade_gpt]]/cfg_TroyOz)</f>
        <v/>
      </c>
      <c r="O3623" s="59">
        <f>IF(tblMovement[[#This Row],[Is_Ore]]=1,tblMovement[[#This Row],[Contained_oz]],0)</f>
        <v/>
      </c>
    </row>
    <row r="3624">
      <c r="A3624" s="54" t="n"/>
      <c r="B3624" s="61" t="n"/>
      <c r="C3624" s="61" t="n"/>
      <c r="D3624" s="61" t="n"/>
      <c r="E3624" s="61" t="n"/>
      <c r="F3624" s="55" t="n"/>
      <c r="G3624" s="56" t="n"/>
      <c r="H3624" s="55" t="n"/>
      <c r="I3624" s="62" t="n"/>
      <c r="J3624" s="58" t="n"/>
      <c r="K3624" s="63">
        <f>IF(tblMovement[[#This Row],[Source]]="","",IFERROR(INDEX(tblSources[Type],MATCH(tblMovement[[#This Row],[Source]],tblSources[Source],0)),"?"))</f>
        <v/>
      </c>
      <c r="L3624" s="63">
        <f>IF(tblMovement[[#This Row],[Destination]]="","",IFERROR(INDEX(tblDestinations[Type],MATCH(tblMovement[[#This Row],[Destination]],tblDestinations[Destination],0)),"?"))</f>
        <v/>
      </c>
      <c r="M3624" s="64">
        <f>IF(tblMovement[[#This Row],[Material]]="","",IF(LEFT(tblMovement[[#This Row],[Material]],3)="Ore",1,0))</f>
        <v/>
      </c>
      <c r="N3624" s="59">
        <f>IF(OR(tblMovement[[#This Row],[Tonnes_t]]="",tblMovement[[#This Row],[Grade_gpt]]=""),0,tblMovement[[#This Row],[Tonnes_t]]*tblMovement[[#This Row],[Grade_gpt]]/cfg_TroyOz)</f>
        <v/>
      </c>
      <c r="O3624" s="59">
        <f>IF(tblMovement[[#This Row],[Is_Ore]]=1,tblMovement[[#This Row],[Contained_oz]],0)</f>
        <v/>
      </c>
    </row>
    <row r="3625">
      <c r="A3625" s="54" t="n"/>
      <c r="B3625" s="61" t="n"/>
      <c r="C3625" s="61" t="n"/>
      <c r="D3625" s="61" t="n"/>
      <c r="E3625" s="61" t="n"/>
      <c r="F3625" s="55" t="n"/>
      <c r="G3625" s="56" t="n"/>
      <c r="H3625" s="55" t="n"/>
      <c r="I3625" s="62" t="n"/>
      <c r="J3625" s="58" t="n"/>
      <c r="K3625" s="63">
        <f>IF(tblMovement[[#This Row],[Source]]="","",IFERROR(INDEX(tblSources[Type],MATCH(tblMovement[[#This Row],[Source]],tblSources[Source],0)),"?"))</f>
        <v/>
      </c>
      <c r="L3625" s="63">
        <f>IF(tblMovement[[#This Row],[Destination]]="","",IFERROR(INDEX(tblDestinations[Type],MATCH(tblMovement[[#This Row],[Destination]],tblDestinations[Destination],0)),"?"))</f>
        <v/>
      </c>
      <c r="M3625" s="64">
        <f>IF(tblMovement[[#This Row],[Material]]="","",IF(LEFT(tblMovement[[#This Row],[Material]],3)="Ore",1,0))</f>
        <v/>
      </c>
      <c r="N3625" s="59">
        <f>IF(OR(tblMovement[[#This Row],[Tonnes_t]]="",tblMovement[[#This Row],[Grade_gpt]]=""),0,tblMovement[[#This Row],[Tonnes_t]]*tblMovement[[#This Row],[Grade_gpt]]/cfg_TroyOz)</f>
        <v/>
      </c>
      <c r="O3625" s="59">
        <f>IF(tblMovement[[#This Row],[Is_Ore]]=1,tblMovement[[#This Row],[Contained_oz]],0)</f>
        <v/>
      </c>
    </row>
    <row r="3626">
      <c r="A3626" s="54" t="n"/>
      <c r="B3626" s="61" t="n"/>
      <c r="C3626" s="61" t="n"/>
      <c r="D3626" s="61" t="n"/>
      <c r="E3626" s="61" t="n"/>
      <c r="F3626" s="55" t="n"/>
      <c r="G3626" s="56" t="n"/>
      <c r="H3626" s="55" t="n"/>
      <c r="I3626" s="62" t="n"/>
      <c r="J3626" s="58" t="n"/>
      <c r="K3626" s="63">
        <f>IF(tblMovement[[#This Row],[Source]]="","",IFERROR(INDEX(tblSources[Type],MATCH(tblMovement[[#This Row],[Source]],tblSources[Source],0)),"?"))</f>
        <v/>
      </c>
      <c r="L3626" s="63">
        <f>IF(tblMovement[[#This Row],[Destination]]="","",IFERROR(INDEX(tblDestinations[Type],MATCH(tblMovement[[#This Row],[Destination]],tblDestinations[Destination],0)),"?"))</f>
        <v/>
      </c>
      <c r="M3626" s="64">
        <f>IF(tblMovement[[#This Row],[Material]]="","",IF(LEFT(tblMovement[[#This Row],[Material]],3)="Ore",1,0))</f>
        <v/>
      </c>
      <c r="N3626" s="59">
        <f>IF(OR(tblMovement[[#This Row],[Tonnes_t]]="",tblMovement[[#This Row],[Grade_gpt]]=""),0,tblMovement[[#This Row],[Tonnes_t]]*tblMovement[[#This Row],[Grade_gpt]]/cfg_TroyOz)</f>
        <v/>
      </c>
      <c r="O3626" s="59">
        <f>IF(tblMovement[[#This Row],[Is_Ore]]=1,tblMovement[[#This Row],[Contained_oz]],0)</f>
        <v/>
      </c>
    </row>
    <row r="3627">
      <c r="A3627" s="54" t="n"/>
      <c r="B3627" s="61" t="n"/>
      <c r="C3627" s="61" t="n"/>
      <c r="D3627" s="61" t="n"/>
      <c r="E3627" s="61" t="n"/>
      <c r="F3627" s="55" t="n"/>
      <c r="G3627" s="56" t="n"/>
      <c r="H3627" s="55" t="n"/>
      <c r="I3627" s="62" t="n"/>
      <c r="J3627" s="58" t="n"/>
      <c r="K3627" s="63">
        <f>IF(tblMovement[[#This Row],[Source]]="","",IFERROR(INDEX(tblSources[Type],MATCH(tblMovement[[#This Row],[Source]],tblSources[Source],0)),"?"))</f>
        <v/>
      </c>
      <c r="L3627" s="63">
        <f>IF(tblMovement[[#This Row],[Destination]]="","",IFERROR(INDEX(tblDestinations[Type],MATCH(tblMovement[[#This Row],[Destination]],tblDestinations[Destination],0)),"?"))</f>
        <v/>
      </c>
      <c r="M3627" s="64">
        <f>IF(tblMovement[[#This Row],[Material]]="","",IF(LEFT(tblMovement[[#This Row],[Material]],3)="Ore",1,0))</f>
        <v/>
      </c>
      <c r="N3627" s="59">
        <f>IF(OR(tblMovement[[#This Row],[Tonnes_t]]="",tblMovement[[#This Row],[Grade_gpt]]=""),0,tblMovement[[#This Row],[Tonnes_t]]*tblMovement[[#This Row],[Grade_gpt]]/cfg_TroyOz)</f>
        <v/>
      </c>
      <c r="O3627" s="59">
        <f>IF(tblMovement[[#This Row],[Is_Ore]]=1,tblMovement[[#This Row],[Contained_oz]],0)</f>
        <v/>
      </c>
    </row>
    <row r="3628">
      <c r="A3628" s="54" t="n"/>
      <c r="B3628" s="61" t="n"/>
      <c r="C3628" s="61" t="n"/>
      <c r="D3628" s="61" t="n"/>
      <c r="E3628" s="61" t="n"/>
      <c r="F3628" s="55" t="n"/>
      <c r="G3628" s="56" t="n"/>
      <c r="H3628" s="55" t="n"/>
      <c r="I3628" s="62" t="n"/>
      <c r="J3628" s="58" t="n"/>
      <c r="K3628" s="63">
        <f>IF(tblMovement[[#This Row],[Source]]="","",IFERROR(INDEX(tblSources[Type],MATCH(tblMovement[[#This Row],[Source]],tblSources[Source],0)),"?"))</f>
        <v/>
      </c>
      <c r="L3628" s="63">
        <f>IF(tblMovement[[#This Row],[Destination]]="","",IFERROR(INDEX(tblDestinations[Type],MATCH(tblMovement[[#This Row],[Destination]],tblDestinations[Destination],0)),"?"))</f>
        <v/>
      </c>
      <c r="M3628" s="64">
        <f>IF(tblMovement[[#This Row],[Material]]="","",IF(LEFT(tblMovement[[#This Row],[Material]],3)="Ore",1,0))</f>
        <v/>
      </c>
      <c r="N3628" s="59">
        <f>IF(OR(tblMovement[[#This Row],[Tonnes_t]]="",tblMovement[[#This Row],[Grade_gpt]]=""),0,tblMovement[[#This Row],[Tonnes_t]]*tblMovement[[#This Row],[Grade_gpt]]/cfg_TroyOz)</f>
        <v/>
      </c>
      <c r="O3628" s="59">
        <f>IF(tblMovement[[#This Row],[Is_Ore]]=1,tblMovement[[#This Row],[Contained_oz]],0)</f>
        <v/>
      </c>
    </row>
    <row r="3629">
      <c r="A3629" s="54" t="n"/>
      <c r="B3629" s="61" t="n"/>
      <c r="C3629" s="61" t="n"/>
      <c r="D3629" s="61" t="n"/>
      <c r="E3629" s="61" t="n"/>
      <c r="F3629" s="55" t="n"/>
      <c r="G3629" s="56" t="n"/>
      <c r="H3629" s="55" t="n"/>
      <c r="I3629" s="62" t="n"/>
      <c r="J3629" s="58" t="n"/>
      <c r="K3629" s="63">
        <f>IF(tblMovement[[#This Row],[Source]]="","",IFERROR(INDEX(tblSources[Type],MATCH(tblMovement[[#This Row],[Source]],tblSources[Source],0)),"?"))</f>
        <v/>
      </c>
      <c r="L3629" s="63">
        <f>IF(tblMovement[[#This Row],[Destination]]="","",IFERROR(INDEX(tblDestinations[Type],MATCH(tblMovement[[#This Row],[Destination]],tblDestinations[Destination],0)),"?"))</f>
        <v/>
      </c>
      <c r="M3629" s="64">
        <f>IF(tblMovement[[#This Row],[Material]]="","",IF(LEFT(tblMovement[[#This Row],[Material]],3)="Ore",1,0))</f>
        <v/>
      </c>
      <c r="N3629" s="59">
        <f>IF(OR(tblMovement[[#This Row],[Tonnes_t]]="",tblMovement[[#This Row],[Grade_gpt]]=""),0,tblMovement[[#This Row],[Tonnes_t]]*tblMovement[[#This Row],[Grade_gpt]]/cfg_TroyOz)</f>
        <v/>
      </c>
      <c r="O3629" s="59">
        <f>IF(tblMovement[[#This Row],[Is_Ore]]=1,tblMovement[[#This Row],[Contained_oz]],0)</f>
        <v/>
      </c>
    </row>
    <row r="3630">
      <c r="A3630" s="54" t="n"/>
      <c r="B3630" s="61" t="n"/>
      <c r="C3630" s="61" t="n"/>
      <c r="D3630" s="61" t="n"/>
      <c r="E3630" s="61" t="n"/>
      <c r="F3630" s="55" t="n"/>
      <c r="G3630" s="56" t="n"/>
      <c r="H3630" s="55" t="n"/>
      <c r="I3630" s="62" t="n"/>
      <c r="J3630" s="58" t="n"/>
      <c r="K3630" s="63">
        <f>IF(tblMovement[[#This Row],[Source]]="","",IFERROR(INDEX(tblSources[Type],MATCH(tblMovement[[#This Row],[Source]],tblSources[Source],0)),"?"))</f>
        <v/>
      </c>
      <c r="L3630" s="63">
        <f>IF(tblMovement[[#This Row],[Destination]]="","",IFERROR(INDEX(tblDestinations[Type],MATCH(tblMovement[[#This Row],[Destination]],tblDestinations[Destination],0)),"?"))</f>
        <v/>
      </c>
      <c r="M3630" s="64">
        <f>IF(tblMovement[[#This Row],[Material]]="","",IF(LEFT(tblMovement[[#This Row],[Material]],3)="Ore",1,0))</f>
        <v/>
      </c>
      <c r="N3630" s="59">
        <f>IF(OR(tblMovement[[#This Row],[Tonnes_t]]="",tblMovement[[#This Row],[Grade_gpt]]=""),0,tblMovement[[#This Row],[Tonnes_t]]*tblMovement[[#This Row],[Grade_gpt]]/cfg_TroyOz)</f>
        <v/>
      </c>
      <c r="O3630" s="59">
        <f>IF(tblMovement[[#This Row],[Is_Ore]]=1,tblMovement[[#This Row],[Contained_oz]],0)</f>
        <v/>
      </c>
    </row>
    <row r="3631">
      <c r="A3631" s="54" t="n"/>
      <c r="B3631" s="61" t="n"/>
      <c r="C3631" s="61" t="n"/>
      <c r="D3631" s="61" t="n"/>
      <c r="E3631" s="61" t="n"/>
      <c r="F3631" s="55" t="n"/>
      <c r="G3631" s="56" t="n"/>
      <c r="H3631" s="55" t="n"/>
      <c r="I3631" s="62" t="n"/>
      <c r="J3631" s="58" t="n"/>
      <c r="K3631" s="63">
        <f>IF(tblMovement[[#This Row],[Source]]="","",IFERROR(INDEX(tblSources[Type],MATCH(tblMovement[[#This Row],[Source]],tblSources[Source],0)),"?"))</f>
        <v/>
      </c>
      <c r="L3631" s="63">
        <f>IF(tblMovement[[#This Row],[Destination]]="","",IFERROR(INDEX(tblDestinations[Type],MATCH(tblMovement[[#This Row],[Destination]],tblDestinations[Destination],0)),"?"))</f>
        <v/>
      </c>
      <c r="M3631" s="64">
        <f>IF(tblMovement[[#This Row],[Material]]="","",IF(LEFT(tblMovement[[#This Row],[Material]],3)="Ore",1,0))</f>
        <v/>
      </c>
      <c r="N3631" s="59">
        <f>IF(OR(tblMovement[[#This Row],[Tonnes_t]]="",tblMovement[[#This Row],[Grade_gpt]]=""),0,tblMovement[[#This Row],[Tonnes_t]]*tblMovement[[#This Row],[Grade_gpt]]/cfg_TroyOz)</f>
        <v/>
      </c>
      <c r="O3631" s="59">
        <f>IF(tblMovement[[#This Row],[Is_Ore]]=1,tblMovement[[#This Row],[Contained_oz]],0)</f>
        <v/>
      </c>
    </row>
    <row r="3632">
      <c r="A3632" s="54" t="n"/>
      <c r="B3632" s="61" t="n"/>
      <c r="C3632" s="61" t="n"/>
      <c r="D3632" s="61" t="n"/>
      <c r="E3632" s="61" t="n"/>
      <c r="F3632" s="55" t="n"/>
      <c r="G3632" s="56" t="n"/>
      <c r="H3632" s="55" t="n"/>
      <c r="I3632" s="62" t="n"/>
      <c r="J3632" s="58" t="n"/>
      <c r="K3632" s="63">
        <f>IF(tblMovement[[#This Row],[Source]]="","",IFERROR(INDEX(tblSources[Type],MATCH(tblMovement[[#This Row],[Source]],tblSources[Source],0)),"?"))</f>
        <v/>
      </c>
      <c r="L3632" s="63">
        <f>IF(tblMovement[[#This Row],[Destination]]="","",IFERROR(INDEX(tblDestinations[Type],MATCH(tblMovement[[#This Row],[Destination]],tblDestinations[Destination],0)),"?"))</f>
        <v/>
      </c>
      <c r="M3632" s="64">
        <f>IF(tblMovement[[#This Row],[Material]]="","",IF(LEFT(tblMovement[[#This Row],[Material]],3)="Ore",1,0))</f>
        <v/>
      </c>
      <c r="N3632" s="59">
        <f>IF(OR(tblMovement[[#This Row],[Tonnes_t]]="",tblMovement[[#This Row],[Grade_gpt]]=""),0,tblMovement[[#This Row],[Tonnes_t]]*tblMovement[[#This Row],[Grade_gpt]]/cfg_TroyOz)</f>
        <v/>
      </c>
      <c r="O3632" s="59">
        <f>IF(tblMovement[[#This Row],[Is_Ore]]=1,tblMovement[[#This Row],[Contained_oz]],0)</f>
        <v/>
      </c>
    </row>
    <row r="3633">
      <c r="A3633" s="54" t="n"/>
      <c r="B3633" s="61" t="n"/>
      <c r="C3633" s="61" t="n"/>
      <c r="D3633" s="61" t="n"/>
      <c r="E3633" s="61" t="n"/>
      <c r="F3633" s="55" t="n"/>
      <c r="G3633" s="56" t="n"/>
      <c r="H3633" s="55" t="n"/>
      <c r="I3633" s="62" t="n"/>
      <c r="J3633" s="58" t="n"/>
      <c r="K3633" s="63">
        <f>IF(tblMovement[[#This Row],[Source]]="","",IFERROR(INDEX(tblSources[Type],MATCH(tblMovement[[#This Row],[Source]],tblSources[Source],0)),"?"))</f>
        <v/>
      </c>
      <c r="L3633" s="63">
        <f>IF(tblMovement[[#This Row],[Destination]]="","",IFERROR(INDEX(tblDestinations[Type],MATCH(tblMovement[[#This Row],[Destination]],tblDestinations[Destination],0)),"?"))</f>
        <v/>
      </c>
      <c r="M3633" s="64">
        <f>IF(tblMovement[[#This Row],[Material]]="","",IF(LEFT(tblMovement[[#This Row],[Material]],3)="Ore",1,0))</f>
        <v/>
      </c>
      <c r="N3633" s="59">
        <f>IF(OR(tblMovement[[#This Row],[Tonnes_t]]="",tblMovement[[#This Row],[Grade_gpt]]=""),0,tblMovement[[#This Row],[Tonnes_t]]*tblMovement[[#This Row],[Grade_gpt]]/cfg_TroyOz)</f>
        <v/>
      </c>
      <c r="O3633" s="59">
        <f>IF(tblMovement[[#This Row],[Is_Ore]]=1,tblMovement[[#This Row],[Contained_oz]],0)</f>
        <v/>
      </c>
    </row>
    <row r="3634">
      <c r="A3634" s="54" t="n"/>
      <c r="B3634" s="61" t="n"/>
      <c r="C3634" s="61" t="n"/>
      <c r="D3634" s="61" t="n"/>
      <c r="E3634" s="61" t="n"/>
      <c r="F3634" s="55" t="n"/>
      <c r="G3634" s="56" t="n"/>
      <c r="H3634" s="55" t="n"/>
      <c r="I3634" s="62" t="n"/>
      <c r="J3634" s="58" t="n"/>
      <c r="K3634" s="63">
        <f>IF(tblMovement[[#This Row],[Source]]="","",IFERROR(INDEX(tblSources[Type],MATCH(tblMovement[[#This Row],[Source]],tblSources[Source],0)),"?"))</f>
        <v/>
      </c>
      <c r="L3634" s="63">
        <f>IF(tblMovement[[#This Row],[Destination]]="","",IFERROR(INDEX(tblDestinations[Type],MATCH(tblMovement[[#This Row],[Destination]],tblDestinations[Destination],0)),"?"))</f>
        <v/>
      </c>
      <c r="M3634" s="64">
        <f>IF(tblMovement[[#This Row],[Material]]="","",IF(LEFT(tblMovement[[#This Row],[Material]],3)="Ore",1,0))</f>
        <v/>
      </c>
      <c r="N3634" s="59">
        <f>IF(OR(tblMovement[[#This Row],[Tonnes_t]]="",tblMovement[[#This Row],[Grade_gpt]]=""),0,tblMovement[[#This Row],[Tonnes_t]]*tblMovement[[#This Row],[Grade_gpt]]/cfg_TroyOz)</f>
        <v/>
      </c>
      <c r="O3634" s="59">
        <f>IF(tblMovement[[#This Row],[Is_Ore]]=1,tblMovement[[#This Row],[Contained_oz]],0)</f>
        <v/>
      </c>
    </row>
    <row r="3635">
      <c r="A3635" s="54" t="n"/>
      <c r="B3635" s="61" t="n"/>
      <c r="C3635" s="61" t="n"/>
      <c r="D3635" s="61" t="n"/>
      <c r="E3635" s="61" t="n"/>
      <c r="F3635" s="55" t="n"/>
      <c r="G3635" s="56" t="n"/>
      <c r="H3635" s="55" t="n"/>
      <c r="I3635" s="62" t="n"/>
      <c r="J3635" s="58" t="n"/>
      <c r="K3635" s="63">
        <f>IF(tblMovement[[#This Row],[Source]]="","",IFERROR(INDEX(tblSources[Type],MATCH(tblMovement[[#This Row],[Source]],tblSources[Source],0)),"?"))</f>
        <v/>
      </c>
      <c r="L3635" s="63">
        <f>IF(tblMovement[[#This Row],[Destination]]="","",IFERROR(INDEX(tblDestinations[Type],MATCH(tblMovement[[#This Row],[Destination]],tblDestinations[Destination],0)),"?"))</f>
        <v/>
      </c>
      <c r="M3635" s="64">
        <f>IF(tblMovement[[#This Row],[Material]]="","",IF(LEFT(tblMovement[[#This Row],[Material]],3)="Ore",1,0))</f>
        <v/>
      </c>
      <c r="N3635" s="59">
        <f>IF(OR(tblMovement[[#This Row],[Tonnes_t]]="",tblMovement[[#This Row],[Grade_gpt]]=""),0,tblMovement[[#This Row],[Tonnes_t]]*tblMovement[[#This Row],[Grade_gpt]]/cfg_TroyOz)</f>
        <v/>
      </c>
      <c r="O3635" s="59">
        <f>IF(tblMovement[[#This Row],[Is_Ore]]=1,tblMovement[[#This Row],[Contained_oz]],0)</f>
        <v/>
      </c>
    </row>
    <row r="3636">
      <c r="A3636" s="54" t="n"/>
      <c r="B3636" s="61" t="n"/>
      <c r="C3636" s="61" t="n"/>
      <c r="D3636" s="61" t="n"/>
      <c r="E3636" s="61" t="n"/>
      <c r="F3636" s="55" t="n"/>
      <c r="G3636" s="56" t="n"/>
      <c r="H3636" s="55" t="n"/>
      <c r="I3636" s="62" t="n"/>
      <c r="J3636" s="58" t="n"/>
      <c r="K3636" s="63">
        <f>IF(tblMovement[[#This Row],[Source]]="","",IFERROR(INDEX(tblSources[Type],MATCH(tblMovement[[#This Row],[Source]],tblSources[Source],0)),"?"))</f>
        <v/>
      </c>
      <c r="L3636" s="63">
        <f>IF(tblMovement[[#This Row],[Destination]]="","",IFERROR(INDEX(tblDestinations[Type],MATCH(tblMovement[[#This Row],[Destination]],tblDestinations[Destination],0)),"?"))</f>
        <v/>
      </c>
      <c r="M3636" s="64">
        <f>IF(tblMovement[[#This Row],[Material]]="","",IF(LEFT(tblMovement[[#This Row],[Material]],3)="Ore",1,0))</f>
        <v/>
      </c>
      <c r="N3636" s="59">
        <f>IF(OR(tblMovement[[#This Row],[Tonnes_t]]="",tblMovement[[#This Row],[Grade_gpt]]=""),0,tblMovement[[#This Row],[Tonnes_t]]*tblMovement[[#This Row],[Grade_gpt]]/cfg_TroyOz)</f>
        <v/>
      </c>
      <c r="O3636" s="59">
        <f>IF(tblMovement[[#This Row],[Is_Ore]]=1,tblMovement[[#This Row],[Contained_oz]],0)</f>
        <v/>
      </c>
    </row>
    <row r="3637">
      <c r="A3637" s="54" t="n"/>
      <c r="B3637" s="61" t="n"/>
      <c r="C3637" s="61" t="n"/>
      <c r="D3637" s="61" t="n"/>
      <c r="E3637" s="61" t="n"/>
      <c r="F3637" s="55" t="n"/>
      <c r="G3637" s="56" t="n"/>
      <c r="H3637" s="55" t="n"/>
      <c r="I3637" s="62" t="n"/>
      <c r="J3637" s="58" t="n"/>
      <c r="K3637" s="63">
        <f>IF(tblMovement[[#This Row],[Source]]="","",IFERROR(INDEX(tblSources[Type],MATCH(tblMovement[[#This Row],[Source]],tblSources[Source],0)),"?"))</f>
        <v/>
      </c>
      <c r="L3637" s="63">
        <f>IF(tblMovement[[#This Row],[Destination]]="","",IFERROR(INDEX(tblDestinations[Type],MATCH(tblMovement[[#This Row],[Destination]],tblDestinations[Destination],0)),"?"))</f>
        <v/>
      </c>
      <c r="M3637" s="64">
        <f>IF(tblMovement[[#This Row],[Material]]="","",IF(LEFT(tblMovement[[#This Row],[Material]],3)="Ore",1,0))</f>
        <v/>
      </c>
      <c r="N3637" s="59">
        <f>IF(OR(tblMovement[[#This Row],[Tonnes_t]]="",tblMovement[[#This Row],[Grade_gpt]]=""),0,tblMovement[[#This Row],[Tonnes_t]]*tblMovement[[#This Row],[Grade_gpt]]/cfg_TroyOz)</f>
        <v/>
      </c>
      <c r="O3637" s="59">
        <f>IF(tblMovement[[#This Row],[Is_Ore]]=1,tblMovement[[#This Row],[Contained_oz]],0)</f>
        <v/>
      </c>
    </row>
    <row r="3638">
      <c r="A3638" s="54" t="n"/>
      <c r="B3638" s="61" t="n"/>
      <c r="C3638" s="61" t="n"/>
      <c r="D3638" s="61" t="n"/>
      <c r="E3638" s="61" t="n"/>
      <c r="F3638" s="55" t="n"/>
      <c r="G3638" s="56" t="n"/>
      <c r="H3638" s="55" t="n"/>
      <c r="I3638" s="62" t="n"/>
      <c r="J3638" s="58" t="n"/>
      <c r="K3638" s="63">
        <f>IF(tblMovement[[#This Row],[Source]]="","",IFERROR(INDEX(tblSources[Type],MATCH(tblMovement[[#This Row],[Source]],tblSources[Source],0)),"?"))</f>
        <v/>
      </c>
      <c r="L3638" s="63">
        <f>IF(tblMovement[[#This Row],[Destination]]="","",IFERROR(INDEX(tblDestinations[Type],MATCH(tblMovement[[#This Row],[Destination]],tblDestinations[Destination],0)),"?"))</f>
        <v/>
      </c>
      <c r="M3638" s="64">
        <f>IF(tblMovement[[#This Row],[Material]]="","",IF(LEFT(tblMovement[[#This Row],[Material]],3)="Ore",1,0))</f>
        <v/>
      </c>
      <c r="N3638" s="59">
        <f>IF(OR(tblMovement[[#This Row],[Tonnes_t]]="",tblMovement[[#This Row],[Grade_gpt]]=""),0,tblMovement[[#This Row],[Tonnes_t]]*tblMovement[[#This Row],[Grade_gpt]]/cfg_TroyOz)</f>
        <v/>
      </c>
      <c r="O3638" s="59">
        <f>IF(tblMovement[[#This Row],[Is_Ore]]=1,tblMovement[[#This Row],[Contained_oz]],0)</f>
        <v/>
      </c>
    </row>
    <row r="3639">
      <c r="A3639" s="54" t="n"/>
      <c r="B3639" s="61" t="n"/>
      <c r="C3639" s="61" t="n"/>
      <c r="D3639" s="61" t="n"/>
      <c r="E3639" s="61" t="n"/>
      <c r="F3639" s="55" t="n"/>
      <c r="G3639" s="56" t="n"/>
      <c r="H3639" s="55" t="n"/>
      <c r="I3639" s="62" t="n"/>
      <c r="J3639" s="58" t="n"/>
      <c r="K3639" s="63">
        <f>IF(tblMovement[[#This Row],[Source]]="","",IFERROR(INDEX(tblSources[Type],MATCH(tblMovement[[#This Row],[Source]],tblSources[Source],0)),"?"))</f>
        <v/>
      </c>
      <c r="L3639" s="63">
        <f>IF(tblMovement[[#This Row],[Destination]]="","",IFERROR(INDEX(tblDestinations[Type],MATCH(tblMovement[[#This Row],[Destination]],tblDestinations[Destination],0)),"?"))</f>
        <v/>
      </c>
      <c r="M3639" s="64">
        <f>IF(tblMovement[[#This Row],[Material]]="","",IF(LEFT(tblMovement[[#This Row],[Material]],3)="Ore",1,0))</f>
        <v/>
      </c>
      <c r="N3639" s="59">
        <f>IF(OR(tblMovement[[#This Row],[Tonnes_t]]="",tblMovement[[#This Row],[Grade_gpt]]=""),0,tblMovement[[#This Row],[Tonnes_t]]*tblMovement[[#This Row],[Grade_gpt]]/cfg_TroyOz)</f>
        <v/>
      </c>
      <c r="O3639" s="59">
        <f>IF(tblMovement[[#This Row],[Is_Ore]]=1,tblMovement[[#This Row],[Contained_oz]],0)</f>
        <v/>
      </c>
    </row>
    <row r="3640">
      <c r="A3640" s="54" t="n"/>
      <c r="B3640" s="61" t="n"/>
      <c r="C3640" s="61" t="n"/>
      <c r="D3640" s="61" t="n"/>
      <c r="E3640" s="61" t="n"/>
      <c r="F3640" s="55" t="n"/>
      <c r="G3640" s="56" t="n"/>
      <c r="H3640" s="55" t="n"/>
      <c r="I3640" s="62" t="n"/>
      <c r="J3640" s="58" t="n"/>
      <c r="K3640" s="63">
        <f>IF(tblMovement[[#This Row],[Source]]="","",IFERROR(INDEX(tblSources[Type],MATCH(tblMovement[[#This Row],[Source]],tblSources[Source],0)),"?"))</f>
        <v/>
      </c>
      <c r="L3640" s="63">
        <f>IF(tblMovement[[#This Row],[Destination]]="","",IFERROR(INDEX(tblDestinations[Type],MATCH(tblMovement[[#This Row],[Destination]],tblDestinations[Destination],0)),"?"))</f>
        <v/>
      </c>
      <c r="M3640" s="64">
        <f>IF(tblMovement[[#This Row],[Material]]="","",IF(LEFT(tblMovement[[#This Row],[Material]],3)="Ore",1,0))</f>
        <v/>
      </c>
      <c r="N3640" s="59">
        <f>IF(OR(tblMovement[[#This Row],[Tonnes_t]]="",tblMovement[[#This Row],[Grade_gpt]]=""),0,tblMovement[[#This Row],[Tonnes_t]]*tblMovement[[#This Row],[Grade_gpt]]/cfg_TroyOz)</f>
        <v/>
      </c>
      <c r="O3640" s="59">
        <f>IF(tblMovement[[#This Row],[Is_Ore]]=1,tblMovement[[#This Row],[Contained_oz]],0)</f>
        <v/>
      </c>
    </row>
    <row r="3641">
      <c r="A3641" s="54" t="n"/>
      <c r="B3641" s="61" t="n"/>
      <c r="C3641" s="61" t="n"/>
      <c r="D3641" s="61" t="n"/>
      <c r="E3641" s="61" t="n"/>
      <c r="F3641" s="55" t="n"/>
      <c r="G3641" s="56" t="n"/>
      <c r="H3641" s="55" t="n"/>
      <c r="I3641" s="62" t="n"/>
      <c r="J3641" s="58" t="n"/>
      <c r="K3641" s="63">
        <f>IF(tblMovement[[#This Row],[Source]]="","",IFERROR(INDEX(tblSources[Type],MATCH(tblMovement[[#This Row],[Source]],tblSources[Source],0)),"?"))</f>
        <v/>
      </c>
      <c r="L3641" s="63">
        <f>IF(tblMovement[[#This Row],[Destination]]="","",IFERROR(INDEX(tblDestinations[Type],MATCH(tblMovement[[#This Row],[Destination]],tblDestinations[Destination],0)),"?"))</f>
        <v/>
      </c>
      <c r="M3641" s="64">
        <f>IF(tblMovement[[#This Row],[Material]]="","",IF(LEFT(tblMovement[[#This Row],[Material]],3)="Ore",1,0))</f>
        <v/>
      </c>
      <c r="N3641" s="59">
        <f>IF(OR(tblMovement[[#This Row],[Tonnes_t]]="",tblMovement[[#This Row],[Grade_gpt]]=""),0,tblMovement[[#This Row],[Tonnes_t]]*tblMovement[[#This Row],[Grade_gpt]]/cfg_TroyOz)</f>
        <v/>
      </c>
      <c r="O3641" s="59">
        <f>IF(tblMovement[[#This Row],[Is_Ore]]=1,tblMovement[[#This Row],[Contained_oz]],0)</f>
        <v/>
      </c>
    </row>
    <row r="3642">
      <c r="A3642" s="54" t="n"/>
      <c r="B3642" s="61" t="n"/>
      <c r="C3642" s="61" t="n"/>
      <c r="D3642" s="61" t="n"/>
      <c r="E3642" s="61" t="n"/>
      <c r="F3642" s="55" t="n"/>
      <c r="G3642" s="56" t="n"/>
      <c r="H3642" s="55" t="n"/>
      <c r="I3642" s="62" t="n"/>
      <c r="J3642" s="58" t="n"/>
      <c r="K3642" s="63">
        <f>IF(tblMovement[[#This Row],[Source]]="","",IFERROR(INDEX(tblSources[Type],MATCH(tblMovement[[#This Row],[Source]],tblSources[Source],0)),"?"))</f>
        <v/>
      </c>
      <c r="L3642" s="63">
        <f>IF(tblMovement[[#This Row],[Destination]]="","",IFERROR(INDEX(tblDestinations[Type],MATCH(tblMovement[[#This Row],[Destination]],tblDestinations[Destination],0)),"?"))</f>
        <v/>
      </c>
      <c r="M3642" s="64">
        <f>IF(tblMovement[[#This Row],[Material]]="","",IF(LEFT(tblMovement[[#This Row],[Material]],3)="Ore",1,0))</f>
        <v/>
      </c>
      <c r="N3642" s="59">
        <f>IF(OR(tblMovement[[#This Row],[Tonnes_t]]="",tblMovement[[#This Row],[Grade_gpt]]=""),0,tblMovement[[#This Row],[Tonnes_t]]*tblMovement[[#This Row],[Grade_gpt]]/cfg_TroyOz)</f>
        <v/>
      </c>
      <c r="O3642" s="59">
        <f>IF(tblMovement[[#This Row],[Is_Ore]]=1,tblMovement[[#This Row],[Contained_oz]],0)</f>
        <v/>
      </c>
    </row>
    <row r="3643">
      <c r="A3643" s="54" t="n"/>
      <c r="B3643" s="61" t="n"/>
      <c r="C3643" s="61" t="n"/>
      <c r="D3643" s="61" t="n"/>
      <c r="E3643" s="61" t="n"/>
      <c r="F3643" s="55" t="n"/>
      <c r="G3643" s="56" t="n"/>
      <c r="H3643" s="55" t="n"/>
      <c r="I3643" s="62" t="n"/>
      <c r="J3643" s="58" t="n"/>
      <c r="K3643" s="63">
        <f>IF(tblMovement[[#This Row],[Source]]="","",IFERROR(INDEX(tblSources[Type],MATCH(tblMovement[[#This Row],[Source]],tblSources[Source],0)),"?"))</f>
        <v/>
      </c>
      <c r="L3643" s="63">
        <f>IF(tblMovement[[#This Row],[Destination]]="","",IFERROR(INDEX(tblDestinations[Type],MATCH(tblMovement[[#This Row],[Destination]],tblDestinations[Destination],0)),"?"))</f>
        <v/>
      </c>
      <c r="M3643" s="64">
        <f>IF(tblMovement[[#This Row],[Material]]="","",IF(LEFT(tblMovement[[#This Row],[Material]],3)="Ore",1,0))</f>
        <v/>
      </c>
      <c r="N3643" s="59">
        <f>IF(OR(tblMovement[[#This Row],[Tonnes_t]]="",tblMovement[[#This Row],[Grade_gpt]]=""),0,tblMovement[[#This Row],[Tonnes_t]]*tblMovement[[#This Row],[Grade_gpt]]/cfg_TroyOz)</f>
        <v/>
      </c>
      <c r="O3643" s="59">
        <f>IF(tblMovement[[#This Row],[Is_Ore]]=1,tblMovement[[#This Row],[Contained_oz]],0)</f>
        <v/>
      </c>
    </row>
    <row r="3644">
      <c r="A3644" s="54" t="n"/>
      <c r="B3644" s="61" t="n"/>
      <c r="C3644" s="61" t="n"/>
      <c r="D3644" s="61" t="n"/>
      <c r="E3644" s="61" t="n"/>
      <c r="F3644" s="55" t="n"/>
      <c r="G3644" s="56" t="n"/>
      <c r="H3644" s="55" t="n"/>
      <c r="I3644" s="62" t="n"/>
      <c r="J3644" s="58" t="n"/>
      <c r="K3644" s="63">
        <f>IF(tblMovement[[#This Row],[Source]]="","",IFERROR(INDEX(tblSources[Type],MATCH(tblMovement[[#This Row],[Source]],tblSources[Source],0)),"?"))</f>
        <v/>
      </c>
      <c r="L3644" s="63">
        <f>IF(tblMovement[[#This Row],[Destination]]="","",IFERROR(INDEX(tblDestinations[Type],MATCH(tblMovement[[#This Row],[Destination]],tblDestinations[Destination],0)),"?"))</f>
        <v/>
      </c>
      <c r="M3644" s="64">
        <f>IF(tblMovement[[#This Row],[Material]]="","",IF(LEFT(tblMovement[[#This Row],[Material]],3)="Ore",1,0))</f>
        <v/>
      </c>
      <c r="N3644" s="59">
        <f>IF(OR(tblMovement[[#This Row],[Tonnes_t]]="",tblMovement[[#This Row],[Grade_gpt]]=""),0,tblMovement[[#This Row],[Tonnes_t]]*tblMovement[[#This Row],[Grade_gpt]]/cfg_TroyOz)</f>
        <v/>
      </c>
      <c r="O3644" s="59">
        <f>IF(tblMovement[[#This Row],[Is_Ore]]=1,tblMovement[[#This Row],[Contained_oz]],0)</f>
        <v/>
      </c>
    </row>
    <row r="3645">
      <c r="A3645" s="54" t="n"/>
      <c r="B3645" s="61" t="n"/>
      <c r="C3645" s="61" t="n"/>
      <c r="D3645" s="61" t="n"/>
      <c r="E3645" s="61" t="n"/>
      <c r="F3645" s="55" t="n"/>
      <c r="G3645" s="56" t="n"/>
      <c r="H3645" s="55" t="n"/>
      <c r="I3645" s="62" t="n"/>
      <c r="J3645" s="58" t="n"/>
      <c r="K3645" s="63">
        <f>IF(tblMovement[[#This Row],[Source]]="","",IFERROR(INDEX(tblSources[Type],MATCH(tblMovement[[#This Row],[Source]],tblSources[Source],0)),"?"))</f>
        <v/>
      </c>
      <c r="L3645" s="63">
        <f>IF(tblMovement[[#This Row],[Destination]]="","",IFERROR(INDEX(tblDestinations[Type],MATCH(tblMovement[[#This Row],[Destination]],tblDestinations[Destination],0)),"?"))</f>
        <v/>
      </c>
      <c r="M3645" s="64">
        <f>IF(tblMovement[[#This Row],[Material]]="","",IF(LEFT(tblMovement[[#This Row],[Material]],3)="Ore",1,0))</f>
        <v/>
      </c>
      <c r="N3645" s="59">
        <f>IF(OR(tblMovement[[#This Row],[Tonnes_t]]="",tblMovement[[#This Row],[Grade_gpt]]=""),0,tblMovement[[#This Row],[Tonnes_t]]*tblMovement[[#This Row],[Grade_gpt]]/cfg_TroyOz)</f>
        <v/>
      </c>
      <c r="O3645" s="59">
        <f>IF(tblMovement[[#This Row],[Is_Ore]]=1,tblMovement[[#This Row],[Contained_oz]],0)</f>
        <v/>
      </c>
    </row>
    <row r="3646">
      <c r="A3646" s="54" t="n"/>
      <c r="B3646" s="61" t="n"/>
      <c r="C3646" s="61" t="n"/>
      <c r="D3646" s="61" t="n"/>
      <c r="E3646" s="61" t="n"/>
      <c r="F3646" s="55" t="n"/>
      <c r="G3646" s="56" t="n"/>
      <c r="H3646" s="55" t="n"/>
      <c r="I3646" s="62" t="n"/>
      <c r="J3646" s="58" t="n"/>
      <c r="K3646" s="63">
        <f>IF(tblMovement[[#This Row],[Source]]="","",IFERROR(INDEX(tblSources[Type],MATCH(tblMovement[[#This Row],[Source]],tblSources[Source],0)),"?"))</f>
        <v/>
      </c>
      <c r="L3646" s="63">
        <f>IF(tblMovement[[#This Row],[Destination]]="","",IFERROR(INDEX(tblDestinations[Type],MATCH(tblMovement[[#This Row],[Destination]],tblDestinations[Destination],0)),"?"))</f>
        <v/>
      </c>
      <c r="M3646" s="64">
        <f>IF(tblMovement[[#This Row],[Material]]="","",IF(LEFT(tblMovement[[#This Row],[Material]],3)="Ore",1,0))</f>
        <v/>
      </c>
      <c r="N3646" s="59">
        <f>IF(OR(tblMovement[[#This Row],[Tonnes_t]]="",tblMovement[[#This Row],[Grade_gpt]]=""),0,tblMovement[[#This Row],[Tonnes_t]]*tblMovement[[#This Row],[Grade_gpt]]/cfg_TroyOz)</f>
        <v/>
      </c>
      <c r="O3646" s="59">
        <f>IF(tblMovement[[#This Row],[Is_Ore]]=1,tblMovement[[#This Row],[Contained_oz]],0)</f>
        <v/>
      </c>
    </row>
    <row r="3647">
      <c r="A3647" s="54" t="n"/>
      <c r="B3647" s="61" t="n"/>
      <c r="C3647" s="61" t="n"/>
      <c r="D3647" s="61" t="n"/>
      <c r="E3647" s="61" t="n"/>
      <c r="F3647" s="55" t="n"/>
      <c r="G3647" s="56" t="n"/>
      <c r="H3647" s="55" t="n"/>
      <c r="I3647" s="62" t="n"/>
      <c r="J3647" s="58" t="n"/>
      <c r="K3647" s="63">
        <f>IF(tblMovement[[#This Row],[Source]]="","",IFERROR(INDEX(tblSources[Type],MATCH(tblMovement[[#This Row],[Source]],tblSources[Source],0)),"?"))</f>
        <v/>
      </c>
      <c r="L3647" s="63">
        <f>IF(tblMovement[[#This Row],[Destination]]="","",IFERROR(INDEX(tblDestinations[Type],MATCH(tblMovement[[#This Row],[Destination]],tblDestinations[Destination],0)),"?"))</f>
        <v/>
      </c>
      <c r="M3647" s="64">
        <f>IF(tblMovement[[#This Row],[Material]]="","",IF(LEFT(tblMovement[[#This Row],[Material]],3)="Ore",1,0))</f>
        <v/>
      </c>
      <c r="N3647" s="59">
        <f>IF(OR(tblMovement[[#This Row],[Tonnes_t]]="",tblMovement[[#This Row],[Grade_gpt]]=""),0,tblMovement[[#This Row],[Tonnes_t]]*tblMovement[[#This Row],[Grade_gpt]]/cfg_TroyOz)</f>
        <v/>
      </c>
      <c r="O3647" s="59">
        <f>IF(tblMovement[[#This Row],[Is_Ore]]=1,tblMovement[[#This Row],[Contained_oz]],0)</f>
        <v/>
      </c>
    </row>
    <row r="3648">
      <c r="A3648" s="54" t="n"/>
      <c r="B3648" s="61" t="n"/>
      <c r="C3648" s="61" t="n"/>
      <c r="D3648" s="61" t="n"/>
      <c r="E3648" s="61" t="n"/>
      <c r="F3648" s="55" t="n"/>
      <c r="G3648" s="56" t="n"/>
      <c r="H3648" s="55" t="n"/>
      <c r="I3648" s="62" t="n"/>
      <c r="J3648" s="58" t="n"/>
      <c r="K3648" s="63">
        <f>IF(tblMovement[[#This Row],[Source]]="","",IFERROR(INDEX(tblSources[Type],MATCH(tblMovement[[#This Row],[Source]],tblSources[Source],0)),"?"))</f>
        <v/>
      </c>
      <c r="L3648" s="63">
        <f>IF(tblMovement[[#This Row],[Destination]]="","",IFERROR(INDEX(tblDestinations[Type],MATCH(tblMovement[[#This Row],[Destination]],tblDestinations[Destination],0)),"?"))</f>
        <v/>
      </c>
      <c r="M3648" s="64">
        <f>IF(tblMovement[[#This Row],[Material]]="","",IF(LEFT(tblMovement[[#This Row],[Material]],3)="Ore",1,0))</f>
        <v/>
      </c>
      <c r="N3648" s="59">
        <f>IF(OR(tblMovement[[#This Row],[Tonnes_t]]="",tblMovement[[#This Row],[Grade_gpt]]=""),0,tblMovement[[#This Row],[Tonnes_t]]*tblMovement[[#This Row],[Grade_gpt]]/cfg_TroyOz)</f>
        <v/>
      </c>
      <c r="O3648" s="59">
        <f>IF(tblMovement[[#This Row],[Is_Ore]]=1,tblMovement[[#This Row],[Contained_oz]],0)</f>
        <v/>
      </c>
    </row>
    <row r="3649">
      <c r="A3649" s="54" t="n"/>
      <c r="B3649" s="61" t="n"/>
      <c r="C3649" s="61" t="n"/>
      <c r="D3649" s="61" t="n"/>
      <c r="E3649" s="61" t="n"/>
      <c r="F3649" s="55" t="n"/>
      <c r="G3649" s="56" t="n"/>
      <c r="H3649" s="55" t="n"/>
      <c r="I3649" s="62" t="n"/>
      <c r="J3649" s="58" t="n"/>
      <c r="K3649" s="63">
        <f>IF(tblMovement[[#This Row],[Source]]="","",IFERROR(INDEX(tblSources[Type],MATCH(tblMovement[[#This Row],[Source]],tblSources[Source],0)),"?"))</f>
        <v/>
      </c>
      <c r="L3649" s="63">
        <f>IF(tblMovement[[#This Row],[Destination]]="","",IFERROR(INDEX(tblDestinations[Type],MATCH(tblMovement[[#This Row],[Destination]],tblDestinations[Destination],0)),"?"))</f>
        <v/>
      </c>
      <c r="M3649" s="64">
        <f>IF(tblMovement[[#This Row],[Material]]="","",IF(LEFT(tblMovement[[#This Row],[Material]],3)="Ore",1,0))</f>
        <v/>
      </c>
      <c r="N3649" s="59">
        <f>IF(OR(tblMovement[[#This Row],[Tonnes_t]]="",tblMovement[[#This Row],[Grade_gpt]]=""),0,tblMovement[[#This Row],[Tonnes_t]]*tblMovement[[#This Row],[Grade_gpt]]/cfg_TroyOz)</f>
        <v/>
      </c>
      <c r="O3649" s="59">
        <f>IF(tblMovement[[#This Row],[Is_Ore]]=1,tblMovement[[#This Row],[Contained_oz]],0)</f>
        <v/>
      </c>
    </row>
    <row r="3650">
      <c r="A3650" s="54" t="n"/>
      <c r="B3650" s="61" t="n"/>
      <c r="C3650" s="61" t="n"/>
      <c r="D3650" s="61" t="n"/>
      <c r="E3650" s="61" t="n"/>
      <c r="F3650" s="55" t="n"/>
      <c r="G3650" s="56" t="n"/>
      <c r="H3650" s="55" t="n"/>
      <c r="I3650" s="62" t="n"/>
      <c r="J3650" s="58" t="n"/>
      <c r="K3650" s="63">
        <f>IF(tblMovement[[#This Row],[Source]]="","",IFERROR(INDEX(tblSources[Type],MATCH(tblMovement[[#This Row],[Source]],tblSources[Source],0)),"?"))</f>
        <v/>
      </c>
      <c r="L3650" s="63">
        <f>IF(tblMovement[[#This Row],[Destination]]="","",IFERROR(INDEX(tblDestinations[Type],MATCH(tblMovement[[#This Row],[Destination]],tblDestinations[Destination],0)),"?"))</f>
        <v/>
      </c>
      <c r="M3650" s="64">
        <f>IF(tblMovement[[#This Row],[Material]]="","",IF(LEFT(tblMovement[[#This Row],[Material]],3)="Ore",1,0))</f>
        <v/>
      </c>
      <c r="N3650" s="59">
        <f>IF(OR(tblMovement[[#This Row],[Tonnes_t]]="",tblMovement[[#This Row],[Grade_gpt]]=""),0,tblMovement[[#This Row],[Tonnes_t]]*tblMovement[[#This Row],[Grade_gpt]]/cfg_TroyOz)</f>
        <v/>
      </c>
      <c r="O3650" s="59">
        <f>IF(tblMovement[[#This Row],[Is_Ore]]=1,tblMovement[[#This Row],[Contained_oz]],0)</f>
        <v/>
      </c>
    </row>
    <row r="3651">
      <c r="A3651" s="54" t="n"/>
      <c r="B3651" s="61" t="n"/>
      <c r="C3651" s="61" t="n"/>
      <c r="D3651" s="61" t="n"/>
      <c r="E3651" s="61" t="n"/>
      <c r="F3651" s="55" t="n"/>
      <c r="G3651" s="56" t="n"/>
      <c r="H3651" s="55" t="n"/>
      <c r="I3651" s="62" t="n"/>
      <c r="J3651" s="58" t="n"/>
      <c r="K3651" s="63">
        <f>IF(tblMovement[[#This Row],[Source]]="","",IFERROR(INDEX(tblSources[Type],MATCH(tblMovement[[#This Row],[Source]],tblSources[Source],0)),"?"))</f>
        <v/>
      </c>
      <c r="L3651" s="63">
        <f>IF(tblMovement[[#This Row],[Destination]]="","",IFERROR(INDEX(tblDestinations[Type],MATCH(tblMovement[[#This Row],[Destination]],tblDestinations[Destination],0)),"?"))</f>
        <v/>
      </c>
      <c r="M3651" s="64">
        <f>IF(tblMovement[[#This Row],[Material]]="","",IF(LEFT(tblMovement[[#This Row],[Material]],3)="Ore",1,0))</f>
        <v/>
      </c>
      <c r="N3651" s="59">
        <f>IF(OR(tblMovement[[#This Row],[Tonnes_t]]="",tblMovement[[#This Row],[Grade_gpt]]=""),0,tblMovement[[#This Row],[Tonnes_t]]*tblMovement[[#This Row],[Grade_gpt]]/cfg_TroyOz)</f>
        <v/>
      </c>
      <c r="O3651" s="59">
        <f>IF(tblMovement[[#This Row],[Is_Ore]]=1,tblMovement[[#This Row],[Contained_oz]],0)</f>
        <v/>
      </c>
    </row>
    <row r="3652">
      <c r="A3652" s="54" t="n"/>
      <c r="B3652" s="61" t="n"/>
      <c r="C3652" s="61" t="n"/>
      <c r="D3652" s="61" t="n"/>
      <c r="E3652" s="61" t="n"/>
      <c r="F3652" s="55" t="n"/>
      <c r="G3652" s="56" t="n"/>
      <c r="H3652" s="55" t="n"/>
      <c r="I3652" s="62" t="n"/>
      <c r="J3652" s="58" t="n"/>
      <c r="K3652" s="63">
        <f>IF(tblMovement[[#This Row],[Source]]="","",IFERROR(INDEX(tblSources[Type],MATCH(tblMovement[[#This Row],[Source]],tblSources[Source],0)),"?"))</f>
        <v/>
      </c>
      <c r="L3652" s="63">
        <f>IF(tblMovement[[#This Row],[Destination]]="","",IFERROR(INDEX(tblDestinations[Type],MATCH(tblMovement[[#This Row],[Destination]],tblDestinations[Destination],0)),"?"))</f>
        <v/>
      </c>
      <c r="M3652" s="64">
        <f>IF(tblMovement[[#This Row],[Material]]="","",IF(LEFT(tblMovement[[#This Row],[Material]],3)="Ore",1,0))</f>
        <v/>
      </c>
      <c r="N3652" s="59">
        <f>IF(OR(tblMovement[[#This Row],[Tonnes_t]]="",tblMovement[[#This Row],[Grade_gpt]]=""),0,tblMovement[[#This Row],[Tonnes_t]]*tblMovement[[#This Row],[Grade_gpt]]/cfg_TroyOz)</f>
        <v/>
      </c>
      <c r="O3652" s="59">
        <f>IF(tblMovement[[#This Row],[Is_Ore]]=1,tblMovement[[#This Row],[Contained_oz]],0)</f>
        <v/>
      </c>
    </row>
    <row r="3653">
      <c r="A3653" s="54" t="n"/>
      <c r="B3653" s="61" t="n"/>
      <c r="C3653" s="61" t="n"/>
      <c r="D3653" s="61" t="n"/>
      <c r="E3653" s="61" t="n"/>
      <c r="F3653" s="55" t="n"/>
      <c r="G3653" s="56" t="n"/>
      <c r="H3653" s="55" t="n"/>
      <c r="I3653" s="62" t="n"/>
      <c r="J3653" s="58" t="n"/>
      <c r="K3653" s="63">
        <f>IF(tblMovement[[#This Row],[Source]]="","",IFERROR(INDEX(tblSources[Type],MATCH(tblMovement[[#This Row],[Source]],tblSources[Source],0)),"?"))</f>
        <v/>
      </c>
      <c r="L3653" s="63">
        <f>IF(tblMovement[[#This Row],[Destination]]="","",IFERROR(INDEX(tblDestinations[Type],MATCH(tblMovement[[#This Row],[Destination]],tblDestinations[Destination],0)),"?"))</f>
        <v/>
      </c>
      <c r="M3653" s="64">
        <f>IF(tblMovement[[#This Row],[Material]]="","",IF(LEFT(tblMovement[[#This Row],[Material]],3)="Ore",1,0))</f>
        <v/>
      </c>
      <c r="N3653" s="59">
        <f>IF(OR(tblMovement[[#This Row],[Tonnes_t]]="",tblMovement[[#This Row],[Grade_gpt]]=""),0,tblMovement[[#This Row],[Tonnes_t]]*tblMovement[[#This Row],[Grade_gpt]]/cfg_TroyOz)</f>
        <v/>
      </c>
      <c r="O3653" s="59">
        <f>IF(tblMovement[[#This Row],[Is_Ore]]=1,tblMovement[[#This Row],[Contained_oz]],0)</f>
        <v/>
      </c>
    </row>
    <row r="3654">
      <c r="A3654" s="54" t="n"/>
      <c r="B3654" s="61" t="n"/>
      <c r="C3654" s="61" t="n"/>
      <c r="D3654" s="61" t="n"/>
      <c r="E3654" s="61" t="n"/>
      <c r="F3654" s="55" t="n"/>
      <c r="G3654" s="56" t="n"/>
      <c r="H3654" s="55" t="n"/>
      <c r="I3654" s="62" t="n"/>
      <c r="J3654" s="58" t="n"/>
      <c r="K3654" s="63">
        <f>IF(tblMovement[[#This Row],[Source]]="","",IFERROR(INDEX(tblSources[Type],MATCH(tblMovement[[#This Row],[Source]],tblSources[Source],0)),"?"))</f>
        <v/>
      </c>
      <c r="L3654" s="63">
        <f>IF(tblMovement[[#This Row],[Destination]]="","",IFERROR(INDEX(tblDestinations[Type],MATCH(tblMovement[[#This Row],[Destination]],tblDestinations[Destination],0)),"?"))</f>
        <v/>
      </c>
      <c r="M3654" s="64">
        <f>IF(tblMovement[[#This Row],[Material]]="","",IF(LEFT(tblMovement[[#This Row],[Material]],3)="Ore",1,0))</f>
        <v/>
      </c>
      <c r="N3654" s="59">
        <f>IF(OR(tblMovement[[#This Row],[Tonnes_t]]="",tblMovement[[#This Row],[Grade_gpt]]=""),0,tblMovement[[#This Row],[Tonnes_t]]*tblMovement[[#This Row],[Grade_gpt]]/cfg_TroyOz)</f>
        <v/>
      </c>
      <c r="O3654" s="59">
        <f>IF(tblMovement[[#This Row],[Is_Ore]]=1,tblMovement[[#This Row],[Contained_oz]],0)</f>
        <v/>
      </c>
    </row>
    <row r="3655">
      <c r="A3655" s="54" t="n"/>
      <c r="B3655" s="61" t="n"/>
      <c r="C3655" s="61" t="n"/>
      <c r="D3655" s="61" t="n"/>
      <c r="E3655" s="61" t="n"/>
      <c r="F3655" s="55" t="n"/>
      <c r="G3655" s="56" t="n"/>
      <c r="H3655" s="55" t="n"/>
      <c r="I3655" s="62" t="n"/>
      <c r="J3655" s="58" t="n"/>
      <c r="K3655" s="63">
        <f>IF(tblMovement[[#This Row],[Source]]="","",IFERROR(INDEX(tblSources[Type],MATCH(tblMovement[[#This Row],[Source]],tblSources[Source],0)),"?"))</f>
        <v/>
      </c>
      <c r="L3655" s="63">
        <f>IF(tblMovement[[#This Row],[Destination]]="","",IFERROR(INDEX(tblDestinations[Type],MATCH(tblMovement[[#This Row],[Destination]],tblDestinations[Destination],0)),"?"))</f>
        <v/>
      </c>
      <c r="M3655" s="64">
        <f>IF(tblMovement[[#This Row],[Material]]="","",IF(LEFT(tblMovement[[#This Row],[Material]],3)="Ore",1,0))</f>
        <v/>
      </c>
      <c r="N3655" s="59">
        <f>IF(OR(tblMovement[[#This Row],[Tonnes_t]]="",tblMovement[[#This Row],[Grade_gpt]]=""),0,tblMovement[[#This Row],[Tonnes_t]]*tblMovement[[#This Row],[Grade_gpt]]/cfg_TroyOz)</f>
        <v/>
      </c>
      <c r="O3655" s="59">
        <f>IF(tblMovement[[#This Row],[Is_Ore]]=1,tblMovement[[#This Row],[Contained_oz]],0)</f>
        <v/>
      </c>
    </row>
    <row r="3656">
      <c r="A3656" s="54" t="n"/>
      <c r="B3656" s="61" t="n"/>
      <c r="C3656" s="61" t="n"/>
      <c r="D3656" s="61" t="n"/>
      <c r="E3656" s="61" t="n"/>
      <c r="F3656" s="55" t="n"/>
      <c r="G3656" s="56" t="n"/>
      <c r="H3656" s="55" t="n"/>
      <c r="I3656" s="62" t="n"/>
      <c r="J3656" s="58" t="n"/>
      <c r="K3656" s="63">
        <f>IF(tblMovement[[#This Row],[Source]]="","",IFERROR(INDEX(tblSources[Type],MATCH(tblMovement[[#This Row],[Source]],tblSources[Source],0)),"?"))</f>
        <v/>
      </c>
      <c r="L3656" s="63">
        <f>IF(tblMovement[[#This Row],[Destination]]="","",IFERROR(INDEX(tblDestinations[Type],MATCH(tblMovement[[#This Row],[Destination]],tblDestinations[Destination],0)),"?"))</f>
        <v/>
      </c>
      <c r="M3656" s="64">
        <f>IF(tblMovement[[#This Row],[Material]]="","",IF(LEFT(tblMovement[[#This Row],[Material]],3)="Ore",1,0))</f>
        <v/>
      </c>
      <c r="N3656" s="59">
        <f>IF(OR(tblMovement[[#This Row],[Tonnes_t]]="",tblMovement[[#This Row],[Grade_gpt]]=""),0,tblMovement[[#This Row],[Tonnes_t]]*tblMovement[[#This Row],[Grade_gpt]]/cfg_TroyOz)</f>
        <v/>
      </c>
      <c r="O3656" s="59">
        <f>IF(tblMovement[[#This Row],[Is_Ore]]=1,tblMovement[[#This Row],[Contained_oz]],0)</f>
        <v/>
      </c>
    </row>
    <row r="3657">
      <c r="A3657" s="54" t="n"/>
      <c r="B3657" s="61" t="n"/>
      <c r="C3657" s="61" t="n"/>
      <c r="D3657" s="61" t="n"/>
      <c r="E3657" s="61" t="n"/>
      <c r="F3657" s="55" t="n"/>
      <c r="G3657" s="56" t="n"/>
      <c r="H3657" s="55" t="n"/>
      <c r="I3657" s="62" t="n"/>
      <c r="J3657" s="58" t="n"/>
      <c r="K3657" s="63">
        <f>IF(tblMovement[[#This Row],[Source]]="","",IFERROR(INDEX(tblSources[Type],MATCH(tblMovement[[#This Row],[Source]],tblSources[Source],0)),"?"))</f>
        <v/>
      </c>
      <c r="L3657" s="63">
        <f>IF(tblMovement[[#This Row],[Destination]]="","",IFERROR(INDEX(tblDestinations[Type],MATCH(tblMovement[[#This Row],[Destination]],tblDestinations[Destination],0)),"?"))</f>
        <v/>
      </c>
      <c r="M3657" s="64">
        <f>IF(tblMovement[[#This Row],[Material]]="","",IF(LEFT(tblMovement[[#This Row],[Material]],3)="Ore",1,0))</f>
        <v/>
      </c>
      <c r="N3657" s="59">
        <f>IF(OR(tblMovement[[#This Row],[Tonnes_t]]="",tblMovement[[#This Row],[Grade_gpt]]=""),0,tblMovement[[#This Row],[Tonnes_t]]*tblMovement[[#This Row],[Grade_gpt]]/cfg_TroyOz)</f>
        <v/>
      </c>
      <c r="O3657" s="59">
        <f>IF(tblMovement[[#This Row],[Is_Ore]]=1,tblMovement[[#This Row],[Contained_oz]],0)</f>
        <v/>
      </c>
    </row>
    <row r="3658">
      <c r="A3658" s="54" t="n"/>
      <c r="B3658" s="61" t="n"/>
      <c r="C3658" s="61" t="n"/>
      <c r="D3658" s="61" t="n"/>
      <c r="E3658" s="61" t="n"/>
      <c r="F3658" s="55" t="n"/>
      <c r="G3658" s="56" t="n"/>
      <c r="H3658" s="55" t="n"/>
      <c r="I3658" s="62" t="n"/>
      <c r="J3658" s="58" t="n"/>
      <c r="K3658" s="63">
        <f>IF(tblMovement[[#This Row],[Source]]="","",IFERROR(INDEX(tblSources[Type],MATCH(tblMovement[[#This Row],[Source]],tblSources[Source],0)),"?"))</f>
        <v/>
      </c>
      <c r="L3658" s="63">
        <f>IF(tblMovement[[#This Row],[Destination]]="","",IFERROR(INDEX(tblDestinations[Type],MATCH(tblMovement[[#This Row],[Destination]],tblDestinations[Destination],0)),"?"))</f>
        <v/>
      </c>
      <c r="M3658" s="64">
        <f>IF(tblMovement[[#This Row],[Material]]="","",IF(LEFT(tblMovement[[#This Row],[Material]],3)="Ore",1,0))</f>
        <v/>
      </c>
      <c r="N3658" s="59">
        <f>IF(OR(tblMovement[[#This Row],[Tonnes_t]]="",tblMovement[[#This Row],[Grade_gpt]]=""),0,tblMovement[[#This Row],[Tonnes_t]]*tblMovement[[#This Row],[Grade_gpt]]/cfg_TroyOz)</f>
        <v/>
      </c>
      <c r="O3658" s="59">
        <f>IF(tblMovement[[#This Row],[Is_Ore]]=1,tblMovement[[#This Row],[Contained_oz]],0)</f>
        <v/>
      </c>
    </row>
    <row r="3659">
      <c r="A3659" s="54" t="n"/>
      <c r="B3659" s="61" t="n"/>
      <c r="C3659" s="61" t="n"/>
      <c r="D3659" s="61" t="n"/>
      <c r="E3659" s="61" t="n"/>
      <c r="F3659" s="55" t="n"/>
      <c r="G3659" s="56" t="n"/>
      <c r="H3659" s="55" t="n"/>
      <c r="I3659" s="62" t="n"/>
      <c r="J3659" s="58" t="n"/>
      <c r="K3659" s="63">
        <f>IF(tblMovement[[#This Row],[Source]]="","",IFERROR(INDEX(tblSources[Type],MATCH(tblMovement[[#This Row],[Source]],tblSources[Source],0)),"?"))</f>
        <v/>
      </c>
      <c r="L3659" s="63">
        <f>IF(tblMovement[[#This Row],[Destination]]="","",IFERROR(INDEX(tblDestinations[Type],MATCH(tblMovement[[#This Row],[Destination]],tblDestinations[Destination],0)),"?"))</f>
        <v/>
      </c>
      <c r="M3659" s="64">
        <f>IF(tblMovement[[#This Row],[Material]]="","",IF(LEFT(tblMovement[[#This Row],[Material]],3)="Ore",1,0))</f>
        <v/>
      </c>
      <c r="N3659" s="59">
        <f>IF(OR(tblMovement[[#This Row],[Tonnes_t]]="",tblMovement[[#This Row],[Grade_gpt]]=""),0,tblMovement[[#This Row],[Tonnes_t]]*tblMovement[[#This Row],[Grade_gpt]]/cfg_TroyOz)</f>
        <v/>
      </c>
      <c r="O3659" s="59">
        <f>IF(tblMovement[[#This Row],[Is_Ore]]=1,tblMovement[[#This Row],[Contained_oz]],0)</f>
        <v/>
      </c>
    </row>
    <row r="3660">
      <c r="A3660" s="54" t="n"/>
      <c r="B3660" s="61" t="n"/>
      <c r="C3660" s="61" t="n"/>
      <c r="D3660" s="61" t="n"/>
      <c r="E3660" s="61" t="n"/>
      <c r="F3660" s="55" t="n"/>
      <c r="G3660" s="56" t="n"/>
      <c r="H3660" s="55" t="n"/>
      <c r="I3660" s="62" t="n"/>
      <c r="J3660" s="58" t="n"/>
      <c r="K3660" s="63">
        <f>IF(tblMovement[[#This Row],[Source]]="","",IFERROR(INDEX(tblSources[Type],MATCH(tblMovement[[#This Row],[Source]],tblSources[Source],0)),"?"))</f>
        <v/>
      </c>
      <c r="L3660" s="63">
        <f>IF(tblMovement[[#This Row],[Destination]]="","",IFERROR(INDEX(tblDestinations[Type],MATCH(tblMovement[[#This Row],[Destination]],tblDestinations[Destination],0)),"?"))</f>
        <v/>
      </c>
      <c r="M3660" s="64">
        <f>IF(tblMovement[[#This Row],[Material]]="","",IF(LEFT(tblMovement[[#This Row],[Material]],3)="Ore",1,0))</f>
        <v/>
      </c>
      <c r="N3660" s="59">
        <f>IF(OR(tblMovement[[#This Row],[Tonnes_t]]="",tblMovement[[#This Row],[Grade_gpt]]=""),0,tblMovement[[#This Row],[Tonnes_t]]*tblMovement[[#This Row],[Grade_gpt]]/cfg_TroyOz)</f>
        <v/>
      </c>
      <c r="O3660" s="59">
        <f>IF(tblMovement[[#This Row],[Is_Ore]]=1,tblMovement[[#This Row],[Contained_oz]],0)</f>
        <v/>
      </c>
    </row>
    <row r="3661">
      <c r="A3661" s="54" t="n"/>
      <c r="B3661" s="61" t="n"/>
      <c r="C3661" s="61" t="n"/>
      <c r="D3661" s="61" t="n"/>
      <c r="E3661" s="61" t="n"/>
      <c r="F3661" s="55" t="n"/>
      <c r="G3661" s="56" t="n"/>
      <c r="H3661" s="55" t="n"/>
      <c r="I3661" s="62" t="n"/>
      <c r="J3661" s="58" t="n"/>
      <c r="K3661" s="63">
        <f>IF(tblMovement[[#This Row],[Source]]="","",IFERROR(INDEX(tblSources[Type],MATCH(tblMovement[[#This Row],[Source]],tblSources[Source],0)),"?"))</f>
        <v/>
      </c>
      <c r="L3661" s="63">
        <f>IF(tblMovement[[#This Row],[Destination]]="","",IFERROR(INDEX(tblDestinations[Type],MATCH(tblMovement[[#This Row],[Destination]],tblDestinations[Destination],0)),"?"))</f>
        <v/>
      </c>
      <c r="M3661" s="64">
        <f>IF(tblMovement[[#This Row],[Material]]="","",IF(LEFT(tblMovement[[#This Row],[Material]],3)="Ore",1,0))</f>
        <v/>
      </c>
      <c r="N3661" s="59">
        <f>IF(OR(tblMovement[[#This Row],[Tonnes_t]]="",tblMovement[[#This Row],[Grade_gpt]]=""),0,tblMovement[[#This Row],[Tonnes_t]]*tblMovement[[#This Row],[Grade_gpt]]/cfg_TroyOz)</f>
        <v/>
      </c>
      <c r="O3661" s="59">
        <f>IF(tblMovement[[#This Row],[Is_Ore]]=1,tblMovement[[#This Row],[Contained_oz]],0)</f>
        <v/>
      </c>
    </row>
    <row r="3662">
      <c r="A3662" s="54" t="n"/>
      <c r="B3662" s="61" t="n"/>
      <c r="C3662" s="61" t="n"/>
      <c r="D3662" s="61" t="n"/>
      <c r="E3662" s="61" t="n"/>
      <c r="F3662" s="55" t="n"/>
      <c r="G3662" s="56" t="n"/>
      <c r="H3662" s="55" t="n"/>
      <c r="I3662" s="62" t="n"/>
      <c r="J3662" s="58" t="n"/>
      <c r="K3662" s="63">
        <f>IF(tblMovement[[#This Row],[Source]]="","",IFERROR(INDEX(tblSources[Type],MATCH(tblMovement[[#This Row],[Source]],tblSources[Source],0)),"?"))</f>
        <v/>
      </c>
      <c r="L3662" s="63">
        <f>IF(tblMovement[[#This Row],[Destination]]="","",IFERROR(INDEX(tblDestinations[Type],MATCH(tblMovement[[#This Row],[Destination]],tblDestinations[Destination],0)),"?"))</f>
        <v/>
      </c>
      <c r="M3662" s="64">
        <f>IF(tblMovement[[#This Row],[Material]]="","",IF(LEFT(tblMovement[[#This Row],[Material]],3)="Ore",1,0))</f>
        <v/>
      </c>
      <c r="N3662" s="59">
        <f>IF(OR(tblMovement[[#This Row],[Tonnes_t]]="",tblMovement[[#This Row],[Grade_gpt]]=""),0,tblMovement[[#This Row],[Tonnes_t]]*tblMovement[[#This Row],[Grade_gpt]]/cfg_TroyOz)</f>
        <v/>
      </c>
      <c r="O3662" s="59">
        <f>IF(tblMovement[[#This Row],[Is_Ore]]=1,tblMovement[[#This Row],[Contained_oz]],0)</f>
        <v/>
      </c>
    </row>
    <row r="3663">
      <c r="A3663" s="54" t="n"/>
      <c r="B3663" s="61" t="n"/>
      <c r="C3663" s="61" t="n"/>
      <c r="D3663" s="61" t="n"/>
      <c r="E3663" s="61" t="n"/>
      <c r="F3663" s="55" t="n"/>
      <c r="G3663" s="56" t="n"/>
      <c r="H3663" s="55" t="n"/>
      <c r="I3663" s="62" t="n"/>
      <c r="J3663" s="58" t="n"/>
      <c r="K3663" s="63">
        <f>IF(tblMovement[[#This Row],[Source]]="","",IFERROR(INDEX(tblSources[Type],MATCH(tblMovement[[#This Row],[Source]],tblSources[Source],0)),"?"))</f>
        <v/>
      </c>
      <c r="L3663" s="63">
        <f>IF(tblMovement[[#This Row],[Destination]]="","",IFERROR(INDEX(tblDestinations[Type],MATCH(tblMovement[[#This Row],[Destination]],tblDestinations[Destination],0)),"?"))</f>
        <v/>
      </c>
      <c r="M3663" s="64">
        <f>IF(tblMovement[[#This Row],[Material]]="","",IF(LEFT(tblMovement[[#This Row],[Material]],3)="Ore",1,0))</f>
        <v/>
      </c>
      <c r="N3663" s="59">
        <f>IF(OR(tblMovement[[#This Row],[Tonnes_t]]="",tblMovement[[#This Row],[Grade_gpt]]=""),0,tblMovement[[#This Row],[Tonnes_t]]*tblMovement[[#This Row],[Grade_gpt]]/cfg_TroyOz)</f>
        <v/>
      </c>
      <c r="O3663" s="59">
        <f>IF(tblMovement[[#This Row],[Is_Ore]]=1,tblMovement[[#This Row],[Contained_oz]],0)</f>
        <v/>
      </c>
    </row>
    <row r="3664">
      <c r="A3664" s="54" t="n"/>
      <c r="B3664" s="61" t="n"/>
      <c r="C3664" s="61" t="n"/>
      <c r="D3664" s="61" t="n"/>
      <c r="E3664" s="61" t="n"/>
      <c r="F3664" s="55" t="n"/>
      <c r="G3664" s="56" t="n"/>
      <c r="H3664" s="55" t="n"/>
      <c r="I3664" s="62" t="n"/>
      <c r="J3664" s="58" t="n"/>
      <c r="K3664" s="63">
        <f>IF(tblMovement[[#This Row],[Source]]="","",IFERROR(INDEX(tblSources[Type],MATCH(tblMovement[[#This Row],[Source]],tblSources[Source],0)),"?"))</f>
        <v/>
      </c>
      <c r="L3664" s="63">
        <f>IF(tblMovement[[#This Row],[Destination]]="","",IFERROR(INDEX(tblDestinations[Type],MATCH(tblMovement[[#This Row],[Destination]],tblDestinations[Destination],0)),"?"))</f>
        <v/>
      </c>
      <c r="M3664" s="64">
        <f>IF(tblMovement[[#This Row],[Material]]="","",IF(LEFT(tblMovement[[#This Row],[Material]],3)="Ore",1,0))</f>
        <v/>
      </c>
      <c r="N3664" s="59">
        <f>IF(OR(tblMovement[[#This Row],[Tonnes_t]]="",tblMovement[[#This Row],[Grade_gpt]]=""),0,tblMovement[[#This Row],[Tonnes_t]]*tblMovement[[#This Row],[Grade_gpt]]/cfg_TroyOz)</f>
        <v/>
      </c>
      <c r="O3664" s="59">
        <f>IF(tblMovement[[#This Row],[Is_Ore]]=1,tblMovement[[#This Row],[Contained_oz]],0)</f>
        <v/>
      </c>
    </row>
    <row r="3665">
      <c r="A3665" s="54" t="n"/>
      <c r="B3665" s="61" t="n"/>
      <c r="C3665" s="61" t="n"/>
      <c r="D3665" s="61" t="n"/>
      <c r="E3665" s="61" t="n"/>
      <c r="F3665" s="55" t="n"/>
      <c r="G3665" s="56" t="n"/>
      <c r="H3665" s="55" t="n"/>
      <c r="I3665" s="62" t="n"/>
      <c r="J3665" s="58" t="n"/>
      <c r="K3665" s="63">
        <f>IF(tblMovement[[#This Row],[Source]]="","",IFERROR(INDEX(tblSources[Type],MATCH(tblMovement[[#This Row],[Source]],tblSources[Source],0)),"?"))</f>
        <v/>
      </c>
      <c r="L3665" s="63">
        <f>IF(tblMovement[[#This Row],[Destination]]="","",IFERROR(INDEX(tblDestinations[Type],MATCH(tblMovement[[#This Row],[Destination]],tblDestinations[Destination],0)),"?"))</f>
        <v/>
      </c>
      <c r="M3665" s="64">
        <f>IF(tblMovement[[#This Row],[Material]]="","",IF(LEFT(tblMovement[[#This Row],[Material]],3)="Ore",1,0))</f>
        <v/>
      </c>
      <c r="N3665" s="59">
        <f>IF(OR(tblMovement[[#This Row],[Tonnes_t]]="",tblMovement[[#This Row],[Grade_gpt]]=""),0,tblMovement[[#This Row],[Tonnes_t]]*tblMovement[[#This Row],[Grade_gpt]]/cfg_TroyOz)</f>
        <v/>
      </c>
      <c r="O3665" s="59">
        <f>IF(tblMovement[[#This Row],[Is_Ore]]=1,tblMovement[[#This Row],[Contained_oz]],0)</f>
        <v/>
      </c>
    </row>
    <row r="3666">
      <c r="A3666" s="54" t="n"/>
      <c r="B3666" s="61" t="n"/>
      <c r="C3666" s="61" t="n"/>
      <c r="D3666" s="61" t="n"/>
      <c r="E3666" s="61" t="n"/>
      <c r="F3666" s="55" t="n"/>
      <c r="G3666" s="56" t="n"/>
      <c r="H3666" s="55" t="n"/>
      <c r="I3666" s="62" t="n"/>
      <c r="J3666" s="58" t="n"/>
      <c r="K3666" s="63">
        <f>IF(tblMovement[[#This Row],[Source]]="","",IFERROR(INDEX(tblSources[Type],MATCH(tblMovement[[#This Row],[Source]],tblSources[Source],0)),"?"))</f>
        <v/>
      </c>
      <c r="L3666" s="63">
        <f>IF(tblMovement[[#This Row],[Destination]]="","",IFERROR(INDEX(tblDestinations[Type],MATCH(tblMovement[[#This Row],[Destination]],tblDestinations[Destination],0)),"?"))</f>
        <v/>
      </c>
      <c r="M3666" s="64">
        <f>IF(tblMovement[[#This Row],[Material]]="","",IF(LEFT(tblMovement[[#This Row],[Material]],3)="Ore",1,0))</f>
        <v/>
      </c>
      <c r="N3666" s="59">
        <f>IF(OR(tblMovement[[#This Row],[Tonnes_t]]="",tblMovement[[#This Row],[Grade_gpt]]=""),0,tblMovement[[#This Row],[Tonnes_t]]*tblMovement[[#This Row],[Grade_gpt]]/cfg_TroyOz)</f>
        <v/>
      </c>
      <c r="O3666" s="59">
        <f>IF(tblMovement[[#This Row],[Is_Ore]]=1,tblMovement[[#This Row],[Contained_oz]],0)</f>
        <v/>
      </c>
    </row>
    <row r="3667">
      <c r="A3667" s="54" t="n"/>
      <c r="B3667" s="61" t="n"/>
      <c r="C3667" s="61" t="n"/>
      <c r="D3667" s="61" t="n"/>
      <c r="E3667" s="61" t="n"/>
      <c r="F3667" s="55" t="n"/>
      <c r="G3667" s="56" t="n"/>
      <c r="H3667" s="55" t="n"/>
      <c r="I3667" s="62" t="n"/>
      <c r="J3667" s="58" t="n"/>
      <c r="K3667" s="63">
        <f>IF(tblMovement[[#This Row],[Source]]="","",IFERROR(INDEX(tblSources[Type],MATCH(tblMovement[[#This Row],[Source]],tblSources[Source],0)),"?"))</f>
        <v/>
      </c>
      <c r="L3667" s="63">
        <f>IF(tblMovement[[#This Row],[Destination]]="","",IFERROR(INDEX(tblDestinations[Type],MATCH(tblMovement[[#This Row],[Destination]],tblDestinations[Destination],0)),"?"))</f>
        <v/>
      </c>
      <c r="M3667" s="64">
        <f>IF(tblMovement[[#This Row],[Material]]="","",IF(LEFT(tblMovement[[#This Row],[Material]],3)="Ore",1,0))</f>
        <v/>
      </c>
      <c r="N3667" s="59">
        <f>IF(OR(tblMovement[[#This Row],[Tonnes_t]]="",tblMovement[[#This Row],[Grade_gpt]]=""),0,tblMovement[[#This Row],[Tonnes_t]]*tblMovement[[#This Row],[Grade_gpt]]/cfg_TroyOz)</f>
        <v/>
      </c>
      <c r="O3667" s="59">
        <f>IF(tblMovement[[#This Row],[Is_Ore]]=1,tblMovement[[#This Row],[Contained_oz]],0)</f>
        <v/>
      </c>
    </row>
    <row r="3668">
      <c r="A3668" s="54" t="n"/>
      <c r="B3668" s="61" t="n"/>
      <c r="C3668" s="61" t="n"/>
      <c r="D3668" s="61" t="n"/>
      <c r="E3668" s="61" t="n"/>
      <c r="F3668" s="55" t="n"/>
      <c r="G3668" s="56" t="n"/>
      <c r="H3668" s="55" t="n"/>
      <c r="I3668" s="62" t="n"/>
      <c r="J3668" s="58" t="n"/>
      <c r="K3668" s="63">
        <f>IF(tblMovement[[#This Row],[Source]]="","",IFERROR(INDEX(tblSources[Type],MATCH(tblMovement[[#This Row],[Source]],tblSources[Source],0)),"?"))</f>
        <v/>
      </c>
      <c r="L3668" s="63">
        <f>IF(tblMovement[[#This Row],[Destination]]="","",IFERROR(INDEX(tblDestinations[Type],MATCH(tblMovement[[#This Row],[Destination]],tblDestinations[Destination],0)),"?"))</f>
        <v/>
      </c>
      <c r="M3668" s="64">
        <f>IF(tblMovement[[#This Row],[Material]]="","",IF(LEFT(tblMovement[[#This Row],[Material]],3)="Ore",1,0))</f>
        <v/>
      </c>
      <c r="N3668" s="59">
        <f>IF(OR(tblMovement[[#This Row],[Tonnes_t]]="",tblMovement[[#This Row],[Grade_gpt]]=""),0,tblMovement[[#This Row],[Tonnes_t]]*tblMovement[[#This Row],[Grade_gpt]]/cfg_TroyOz)</f>
        <v/>
      </c>
      <c r="O3668" s="59">
        <f>IF(tblMovement[[#This Row],[Is_Ore]]=1,tblMovement[[#This Row],[Contained_oz]],0)</f>
        <v/>
      </c>
    </row>
    <row r="3669">
      <c r="A3669" s="54" t="n"/>
      <c r="B3669" s="61" t="n"/>
      <c r="C3669" s="61" t="n"/>
      <c r="D3669" s="61" t="n"/>
      <c r="E3669" s="61" t="n"/>
      <c r="F3669" s="55" t="n"/>
      <c r="G3669" s="56" t="n"/>
      <c r="H3669" s="55" t="n"/>
      <c r="I3669" s="62" t="n"/>
      <c r="J3669" s="58" t="n"/>
      <c r="K3669" s="63">
        <f>IF(tblMovement[[#This Row],[Source]]="","",IFERROR(INDEX(tblSources[Type],MATCH(tblMovement[[#This Row],[Source]],tblSources[Source],0)),"?"))</f>
        <v/>
      </c>
      <c r="L3669" s="63">
        <f>IF(tblMovement[[#This Row],[Destination]]="","",IFERROR(INDEX(tblDestinations[Type],MATCH(tblMovement[[#This Row],[Destination]],tblDestinations[Destination],0)),"?"))</f>
        <v/>
      </c>
      <c r="M3669" s="64">
        <f>IF(tblMovement[[#This Row],[Material]]="","",IF(LEFT(tblMovement[[#This Row],[Material]],3)="Ore",1,0))</f>
        <v/>
      </c>
      <c r="N3669" s="59">
        <f>IF(OR(tblMovement[[#This Row],[Tonnes_t]]="",tblMovement[[#This Row],[Grade_gpt]]=""),0,tblMovement[[#This Row],[Tonnes_t]]*tblMovement[[#This Row],[Grade_gpt]]/cfg_TroyOz)</f>
        <v/>
      </c>
      <c r="O3669" s="59">
        <f>IF(tblMovement[[#This Row],[Is_Ore]]=1,tblMovement[[#This Row],[Contained_oz]],0)</f>
        <v/>
      </c>
    </row>
    <row r="3670">
      <c r="A3670" s="54" t="n"/>
      <c r="B3670" s="61" t="n"/>
      <c r="C3670" s="61" t="n"/>
      <c r="D3670" s="61" t="n"/>
      <c r="E3670" s="61" t="n"/>
      <c r="F3670" s="55" t="n"/>
      <c r="G3670" s="56" t="n"/>
      <c r="H3670" s="55" t="n"/>
      <c r="I3670" s="62" t="n"/>
      <c r="J3670" s="58" t="n"/>
      <c r="K3670" s="63">
        <f>IF(tblMovement[[#This Row],[Source]]="","",IFERROR(INDEX(tblSources[Type],MATCH(tblMovement[[#This Row],[Source]],tblSources[Source],0)),"?"))</f>
        <v/>
      </c>
      <c r="L3670" s="63">
        <f>IF(tblMovement[[#This Row],[Destination]]="","",IFERROR(INDEX(tblDestinations[Type],MATCH(tblMovement[[#This Row],[Destination]],tblDestinations[Destination],0)),"?"))</f>
        <v/>
      </c>
      <c r="M3670" s="64">
        <f>IF(tblMovement[[#This Row],[Material]]="","",IF(LEFT(tblMovement[[#This Row],[Material]],3)="Ore",1,0))</f>
        <v/>
      </c>
      <c r="N3670" s="59">
        <f>IF(OR(tblMovement[[#This Row],[Tonnes_t]]="",tblMovement[[#This Row],[Grade_gpt]]=""),0,tblMovement[[#This Row],[Tonnes_t]]*tblMovement[[#This Row],[Grade_gpt]]/cfg_TroyOz)</f>
        <v/>
      </c>
      <c r="O3670" s="59">
        <f>IF(tblMovement[[#This Row],[Is_Ore]]=1,tblMovement[[#This Row],[Contained_oz]],0)</f>
        <v/>
      </c>
    </row>
    <row r="3671">
      <c r="A3671" s="54" t="n"/>
      <c r="B3671" s="61" t="n"/>
      <c r="C3671" s="61" t="n"/>
      <c r="D3671" s="61" t="n"/>
      <c r="E3671" s="61" t="n"/>
      <c r="F3671" s="55" t="n"/>
      <c r="G3671" s="56" t="n"/>
      <c r="H3671" s="55" t="n"/>
      <c r="I3671" s="62" t="n"/>
      <c r="J3671" s="58" t="n"/>
      <c r="K3671" s="63">
        <f>IF(tblMovement[[#This Row],[Source]]="","",IFERROR(INDEX(tblSources[Type],MATCH(tblMovement[[#This Row],[Source]],tblSources[Source],0)),"?"))</f>
        <v/>
      </c>
      <c r="L3671" s="63">
        <f>IF(tblMovement[[#This Row],[Destination]]="","",IFERROR(INDEX(tblDestinations[Type],MATCH(tblMovement[[#This Row],[Destination]],tblDestinations[Destination],0)),"?"))</f>
        <v/>
      </c>
      <c r="M3671" s="64">
        <f>IF(tblMovement[[#This Row],[Material]]="","",IF(LEFT(tblMovement[[#This Row],[Material]],3)="Ore",1,0))</f>
        <v/>
      </c>
      <c r="N3671" s="59">
        <f>IF(OR(tblMovement[[#This Row],[Tonnes_t]]="",tblMovement[[#This Row],[Grade_gpt]]=""),0,tblMovement[[#This Row],[Tonnes_t]]*tblMovement[[#This Row],[Grade_gpt]]/cfg_TroyOz)</f>
        <v/>
      </c>
      <c r="O3671" s="59">
        <f>IF(tblMovement[[#This Row],[Is_Ore]]=1,tblMovement[[#This Row],[Contained_oz]],0)</f>
        <v/>
      </c>
    </row>
    <row r="3672">
      <c r="A3672" s="54" t="n"/>
      <c r="B3672" s="61" t="n"/>
      <c r="C3672" s="61" t="n"/>
      <c r="D3672" s="61" t="n"/>
      <c r="E3672" s="61" t="n"/>
      <c r="F3672" s="55" t="n"/>
      <c r="G3672" s="56" t="n"/>
      <c r="H3672" s="55" t="n"/>
      <c r="I3672" s="62" t="n"/>
      <c r="J3672" s="58" t="n"/>
      <c r="K3672" s="63">
        <f>IF(tblMovement[[#This Row],[Source]]="","",IFERROR(INDEX(tblSources[Type],MATCH(tblMovement[[#This Row],[Source]],tblSources[Source],0)),"?"))</f>
        <v/>
      </c>
      <c r="L3672" s="63">
        <f>IF(tblMovement[[#This Row],[Destination]]="","",IFERROR(INDEX(tblDestinations[Type],MATCH(tblMovement[[#This Row],[Destination]],tblDestinations[Destination],0)),"?"))</f>
        <v/>
      </c>
      <c r="M3672" s="64">
        <f>IF(tblMovement[[#This Row],[Material]]="","",IF(LEFT(tblMovement[[#This Row],[Material]],3)="Ore",1,0))</f>
        <v/>
      </c>
      <c r="N3672" s="59">
        <f>IF(OR(tblMovement[[#This Row],[Tonnes_t]]="",tblMovement[[#This Row],[Grade_gpt]]=""),0,tblMovement[[#This Row],[Tonnes_t]]*tblMovement[[#This Row],[Grade_gpt]]/cfg_TroyOz)</f>
        <v/>
      </c>
      <c r="O3672" s="59">
        <f>IF(tblMovement[[#This Row],[Is_Ore]]=1,tblMovement[[#This Row],[Contained_oz]],0)</f>
        <v/>
      </c>
    </row>
    <row r="3673">
      <c r="A3673" s="54" t="n"/>
      <c r="B3673" s="61" t="n"/>
      <c r="C3673" s="61" t="n"/>
      <c r="D3673" s="61" t="n"/>
      <c r="E3673" s="61" t="n"/>
      <c r="F3673" s="55" t="n"/>
      <c r="G3673" s="56" t="n"/>
      <c r="H3673" s="55" t="n"/>
      <c r="I3673" s="62" t="n"/>
      <c r="J3673" s="58" t="n"/>
      <c r="K3673" s="63">
        <f>IF(tblMovement[[#This Row],[Source]]="","",IFERROR(INDEX(tblSources[Type],MATCH(tblMovement[[#This Row],[Source]],tblSources[Source],0)),"?"))</f>
        <v/>
      </c>
      <c r="L3673" s="63">
        <f>IF(tblMovement[[#This Row],[Destination]]="","",IFERROR(INDEX(tblDestinations[Type],MATCH(tblMovement[[#This Row],[Destination]],tblDestinations[Destination],0)),"?"))</f>
        <v/>
      </c>
      <c r="M3673" s="64">
        <f>IF(tblMovement[[#This Row],[Material]]="","",IF(LEFT(tblMovement[[#This Row],[Material]],3)="Ore",1,0))</f>
        <v/>
      </c>
      <c r="N3673" s="59">
        <f>IF(OR(tblMovement[[#This Row],[Tonnes_t]]="",tblMovement[[#This Row],[Grade_gpt]]=""),0,tblMovement[[#This Row],[Tonnes_t]]*tblMovement[[#This Row],[Grade_gpt]]/cfg_TroyOz)</f>
        <v/>
      </c>
      <c r="O3673" s="59">
        <f>IF(tblMovement[[#This Row],[Is_Ore]]=1,tblMovement[[#This Row],[Contained_oz]],0)</f>
        <v/>
      </c>
    </row>
    <row r="3674">
      <c r="A3674" s="54" t="n"/>
      <c r="B3674" s="61" t="n"/>
      <c r="C3674" s="61" t="n"/>
      <c r="D3674" s="61" t="n"/>
      <c r="E3674" s="61" t="n"/>
      <c r="F3674" s="55" t="n"/>
      <c r="G3674" s="56" t="n"/>
      <c r="H3674" s="55" t="n"/>
      <c r="I3674" s="62" t="n"/>
      <c r="J3674" s="58" t="n"/>
      <c r="K3674" s="63">
        <f>IF(tblMovement[[#This Row],[Source]]="","",IFERROR(INDEX(tblSources[Type],MATCH(tblMovement[[#This Row],[Source]],tblSources[Source],0)),"?"))</f>
        <v/>
      </c>
      <c r="L3674" s="63">
        <f>IF(tblMovement[[#This Row],[Destination]]="","",IFERROR(INDEX(tblDestinations[Type],MATCH(tblMovement[[#This Row],[Destination]],tblDestinations[Destination],0)),"?"))</f>
        <v/>
      </c>
      <c r="M3674" s="64">
        <f>IF(tblMovement[[#This Row],[Material]]="","",IF(LEFT(tblMovement[[#This Row],[Material]],3)="Ore",1,0))</f>
        <v/>
      </c>
      <c r="N3674" s="59">
        <f>IF(OR(tblMovement[[#This Row],[Tonnes_t]]="",tblMovement[[#This Row],[Grade_gpt]]=""),0,tblMovement[[#This Row],[Tonnes_t]]*tblMovement[[#This Row],[Grade_gpt]]/cfg_TroyOz)</f>
        <v/>
      </c>
      <c r="O3674" s="59">
        <f>IF(tblMovement[[#This Row],[Is_Ore]]=1,tblMovement[[#This Row],[Contained_oz]],0)</f>
        <v/>
      </c>
    </row>
    <row r="3675">
      <c r="A3675" s="54" t="n"/>
      <c r="B3675" s="61" t="n"/>
      <c r="C3675" s="61" t="n"/>
      <c r="D3675" s="61" t="n"/>
      <c r="E3675" s="61" t="n"/>
      <c r="F3675" s="55" t="n"/>
      <c r="G3675" s="56" t="n"/>
      <c r="H3675" s="55" t="n"/>
      <c r="I3675" s="62" t="n"/>
      <c r="J3675" s="58" t="n"/>
      <c r="K3675" s="63">
        <f>IF(tblMovement[[#This Row],[Source]]="","",IFERROR(INDEX(tblSources[Type],MATCH(tblMovement[[#This Row],[Source]],tblSources[Source],0)),"?"))</f>
        <v/>
      </c>
      <c r="L3675" s="63">
        <f>IF(tblMovement[[#This Row],[Destination]]="","",IFERROR(INDEX(tblDestinations[Type],MATCH(tblMovement[[#This Row],[Destination]],tblDestinations[Destination],0)),"?"))</f>
        <v/>
      </c>
      <c r="M3675" s="64">
        <f>IF(tblMovement[[#This Row],[Material]]="","",IF(LEFT(tblMovement[[#This Row],[Material]],3)="Ore",1,0))</f>
        <v/>
      </c>
      <c r="N3675" s="59">
        <f>IF(OR(tblMovement[[#This Row],[Tonnes_t]]="",tblMovement[[#This Row],[Grade_gpt]]=""),0,tblMovement[[#This Row],[Tonnes_t]]*tblMovement[[#This Row],[Grade_gpt]]/cfg_TroyOz)</f>
        <v/>
      </c>
      <c r="O3675" s="59">
        <f>IF(tblMovement[[#This Row],[Is_Ore]]=1,tblMovement[[#This Row],[Contained_oz]],0)</f>
        <v/>
      </c>
    </row>
    <row r="3676">
      <c r="A3676" s="54" t="n"/>
      <c r="B3676" s="61" t="n"/>
      <c r="C3676" s="61" t="n"/>
      <c r="D3676" s="61" t="n"/>
      <c r="E3676" s="61" t="n"/>
      <c r="F3676" s="55" t="n"/>
      <c r="G3676" s="56" t="n"/>
      <c r="H3676" s="55" t="n"/>
      <c r="I3676" s="62" t="n"/>
      <c r="J3676" s="58" t="n"/>
      <c r="K3676" s="63">
        <f>IF(tblMovement[[#This Row],[Source]]="","",IFERROR(INDEX(tblSources[Type],MATCH(tblMovement[[#This Row],[Source]],tblSources[Source],0)),"?"))</f>
        <v/>
      </c>
      <c r="L3676" s="63">
        <f>IF(tblMovement[[#This Row],[Destination]]="","",IFERROR(INDEX(tblDestinations[Type],MATCH(tblMovement[[#This Row],[Destination]],tblDestinations[Destination],0)),"?"))</f>
        <v/>
      </c>
      <c r="M3676" s="64">
        <f>IF(tblMovement[[#This Row],[Material]]="","",IF(LEFT(tblMovement[[#This Row],[Material]],3)="Ore",1,0))</f>
        <v/>
      </c>
      <c r="N3676" s="59">
        <f>IF(OR(tblMovement[[#This Row],[Tonnes_t]]="",tblMovement[[#This Row],[Grade_gpt]]=""),0,tblMovement[[#This Row],[Tonnes_t]]*tblMovement[[#This Row],[Grade_gpt]]/cfg_TroyOz)</f>
        <v/>
      </c>
      <c r="O3676" s="59">
        <f>IF(tblMovement[[#This Row],[Is_Ore]]=1,tblMovement[[#This Row],[Contained_oz]],0)</f>
        <v/>
      </c>
    </row>
    <row r="3677">
      <c r="A3677" s="54" t="n"/>
      <c r="B3677" s="61" t="n"/>
      <c r="C3677" s="61" t="n"/>
      <c r="D3677" s="61" t="n"/>
      <c r="E3677" s="61" t="n"/>
      <c r="F3677" s="55" t="n"/>
      <c r="G3677" s="56" t="n"/>
      <c r="H3677" s="55" t="n"/>
      <c r="I3677" s="62" t="n"/>
      <c r="J3677" s="58" t="n"/>
      <c r="K3677" s="63">
        <f>IF(tblMovement[[#This Row],[Source]]="","",IFERROR(INDEX(tblSources[Type],MATCH(tblMovement[[#This Row],[Source]],tblSources[Source],0)),"?"))</f>
        <v/>
      </c>
      <c r="L3677" s="63">
        <f>IF(tblMovement[[#This Row],[Destination]]="","",IFERROR(INDEX(tblDestinations[Type],MATCH(tblMovement[[#This Row],[Destination]],tblDestinations[Destination],0)),"?"))</f>
        <v/>
      </c>
      <c r="M3677" s="64">
        <f>IF(tblMovement[[#This Row],[Material]]="","",IF(LEFT(tblMovement[[#This Row],[Material]],3)="Ore",1,0))</f>
        <v/>
      </c>
      <c r="N3677" s="59">
        <f>IF(OR(tblMovement[[#This Row],[Tonnes_t]]="",tblMovement[[#This Row],[Grade_gpt]]=""),0,tblMovement[[#This Row],[Tonnes_t]]*tblMovement[[#This Row],[Grade_gpt]]/cfg_TroyOz)</f>
        <v/>
      </c>
      <c r="O3677" s="59">
        <f>IF(tblMovement[[#This Row],[Is_Ore]]=1,tblMovement[[#This Row],[Contained_oz]],0)</f>
        <v/>
      </c>
    </row>
    <row r="3678">
      <c r="A3678" s="54" t="n"/>
      <c r="B3678" s="61" t="n"/>
      <c r="C3678" s="61" t="n"/>
      <c r="D3678" s="61" t="n"/>
      <c r="E3678" s="61" t="n"/>
      <c r="F3678" s="55" t="n"/>
      <c r="G3678" s="56" t="n"/>
      <c r="H3678" s="55" t="n"/>
      <c r="I3678" s="62" t="n"/>
      <c r="J3678" s="58" t="n"/>
      <c r="K3678" s="63">
        <f>IF(tblMovement[[#This Row],[Source]]="","",IFERROR(INDEX(tblSources[Type],MATCH(tblMovement[[#This Row],[Source]],tblSources[Source],0)),"?"))</f>
        <v/>
      </c>
      <c r="L3678" s="63">
        <f>IF(tblMovement[[#This Row],[Destination]]="","",IFERROR(INDEX(tblDestinations[Type],MATCH(tblMovement[[#This Row],[Destination]],tblDestinations[Destination],0)),"?"))</f>
        <v/>
      </c>
      <c r="M3678" s="64">
        <f>IF(tblMovement[[#This Row],[Material]]="","",IF(LEFT(tblMovement[[#This Row],[Material]],3)="Ore",1,0))</f>
        <v/>
      </c>
      <c r="N3678" s="59">
        <f>IF(OR(tblMovement[[#This Row],[Tonnes_t]]="",tblMovement[[#This Row],[Grade_gpt]]=""),0,tblMovement[[#This Row],[Tonnes_t]]*tblMovement[[#This Row],[Grade_gpt]]/cfg_TroyOz)</f>
        <v/>
      </c>
      <c r="O3678" s="59">
        <f>IF(tblMovement[[#This Row],[Is_Ore]]=1,tblMovement[[#This Row],[Contained_oz]],0)</f>
        <v/>
      </c>
    </row>
    <row r="3679">
      <c r="A3679" s="54" t="n"/>
      <c r="B3679" s="61" t="n"/>
      <c r="C3679" s="61" t="n"/>
      <c r="D3679" s="61" t="n"/>
      <c r="E3679" s="61" t="n"/>
      <c r="F3679" s="55" t="n"/>
      <c r="G3679" s="56" t="n"/>
      <c r="H3679" s="55" t="n"/>
      <c r="I3679" s="62" t="n"/>
      <c r="J3679" s="58" t="n"/>
      <c r="K3679" s="63">
        <f>IF(tblMovement[[#This Row],[Source]]="","",IFERROR(INDEX(tblSources[Type],MATCH(tblMovement[[#This Row],[Source]],tblSources[Source],0)),"?"))</f>
        <v/>
      </c>
      <c r="L3679" s="63">
        <f>IF(tblMovement[[#This Row],[Destination]]="","",IFERROR(INDEX(tblDestinations[Type],MATCH(tblMovement[[#This Row],[Destination]],tblDestinations[Destination],0)),"?"))</f>
        <v/>
      </c>
      <c r="M3679" s="64">
        <f>IF(tblMovement[[#This Row],[Material]]="","",IF(LEFT(tblMovement[[#This Row],[Material]],3)="Ore",1,0))</f>
        <v/>
      </c>
      <c r="N3679" s="59">
        <f>IF(OR(tblMovement[[#This Row],[Tonnes_t]]="",tblMovement[[#This Row],[Grade_gpt]]=""),0,tblMovement[[#This Row],[Tonnes_t]]*tblMovement[[#This Row],[Grade_gpt]]/cfg_TroyOz)</f>
        <v/>
      </c>
      <c r="O3679" s="59">
        <f>IF(tblMovement[[#This Row],[Is_Ore]]=1,tblMovement[[#This Row],[Contained_oz]],0)</f>
        <v/>
      </c>
    </row>
    <row r="3680">
      <c r="A3680" s="54" t="n"/>
      <c r="B3680" s="61" t="n"/>
      <c r="C3680" s="61" t="n"/>
      <c r="D3680" s="61" t="n"/>
      <c r="E3680" s="61" t="n"/>
      <c r="F3680" s="55" t="n"/>
      <c r="G3680" s="56" t="n"/>
      <c r="H3680" s="55" t="n"/>
      <c r="I3680" s="62" t="n"/>
      <c r="J3680" s="58" t="n"/>
      <c r="K3680" s="63">
        <f>IF(tblMovement[[#This Row],[Source]]="","",IFERROR(INDEX(tblSources[Type],MATCH(tblMovement[[#This Row],[Source]],tblSources[Source],0)),"?"))</f>
        <v/>
      </c>
      <c r="L3680" s="63">
        <f>IF(tblMovement[[#This Row],[Destination]]="","",IFERROR(INDEX(tblDestinations[Type],MATCH(tblMovement[[#This Row],[Destination]],tblDestinations[Destination],0)),"?"))</f>
        <v/>
      </c>
      <c r="M3680" s="64">
        <f>IF(tblMovement[[#This Row],[Material]]="","",IF(LEFT(tblMovement[[#This Row],[Material]],3)="Ore",1,0))</f>
        <v/>
      </c>
      <c r="N3680" s="59">
        <f>IF(OR(tblMovement[[#This Row],[Tonnes_t]]="",tblMovement[[#This Row],[Grade_gpt]]=""),0,tblMovement[[#This Row],[Tonnes_t]]*tblMovement[[#This Row],[Grade_gpt]]/cfg_TroyOz)</f>
        <v/>
      </c>
      <c r="O3680" s="59">
        <f>IF(tblMovement[[#This Row],[Is_Ore]]=1,tblMovement[[#This Row],[Contained_oz]],0)</f>
        <v/>
      </c>
    </row>
    <row r="3681">
      <c r="A3681" s="54" t="n"/>
      <c r="B3681" s="61" t="n"/>
      <c r="C3681" s="61" t="n"/>
      <c r="D3681" s="61" t="n"/>
      <c r="E3681" s="61" t="n"/>
      <c r="F3681" s="55" t="n"/>
      <c r="G3681" s="56" t="n"/>
      <c r="H3681" s="55" t="n"/>
      <c r="I3681" s="62" t="n"/>
      <c r="J3681" s="58" t="n"/>
      <c r="K3681" s="63">
        <f>IF(tblMovement[[#This Row],[Source]]="","",IFERROR(INDEX(tblSources[Type],MATCH(tblMovement[[#This Row],[Source]],tblSources[Source],0)),"?"))</f>
        <v/>
      </c>
      <c r="L3681" s="63">
        <f>IF(tblMovement[[#This Row],[Destination]]="","",IFERROR(INDEX(tblDestinations[Type],MATCH(tblMovement[[#This Row],[Destination]],tblDestinations[Destination],0)),"?"))</f>
        <v/>
      </c>
      <c r="M3681" s="64">
        <f>IF(tblMovement[[#This Row],[Material]]="","",IF(LEFT(tblMovement[[#This Row],[Material]],3)="Ore",1,0))</f>
        <v/>
      </c>
      <c r="N3681" s="59">
        <f>IF(OR(tblMovement[[#This Row],[Tonnes_t]]="",tblMovement[[#This Row],[Grade_gpt]]=""),0,tblMovement[[#This Row],[Tonnes_t]]*tblMovement[[#This Row],[Grade_gpt]]/cfg_TroyOz)</f>
        <v/>
      </c>
      <c r="O3681" s="59">
        <f>IF(tblMovement[[#This Row],[Is_Ore]]=1,tblMovement[[#This Row],[Contained_oz]],0)</f>
        <v/>
      </c>
    </row>
    <row r="3682">
      <c r="A3682" s="54" t="n"/>
      <c r="B3682" s="61" t="n"/>
      <c r="C3682" s="61" t="n"/>
      <c r="D3682" s="61" t="n"/>
      <c r="E3682" s="61" t="n"/>
      <c r="F3682" s="55" t="n"/>
      <c r="G3682" s="56" t="n"/>
      <c r="H3682" s="55" t="n"/>
      <c r="I3682" s="62" t="n"/>
      <c r="J3682" s="58" t="n"/>
      <c r="K3682" s="63">
        <f>IF(tblMovement[[#This Row],[Source]]="","",IFERROR(INDEX(tblSources[Type],MATCH(tblMovement[[#This Row],[Source]],tblSources[Source],0)),"?"))</f>
        <v/>
      </c>
      <c r="L3682" s="63">
        <f>IF(tblMovement[[#This Row],[Destination]]="","",IFERROR(INDEX(tblDestinations[Type],MATCH(tblMovement[[#This Row],[Destination]],tblDestinations[Destination],0)),"?"))</f>
        <v/>
      </c>
      <c r="M3682" s="64">
        <f>IF(tblMovement[[#This Row],[Material]]="","",IF(LEFT(tblMovement[[#This Row],[Material]],3)="Ore",1,0))</f>
        <v/>
      </c>
      <c r="N3682" s="59">
        <f>IF(OR(tblMovement[[#This Row],[Tonnes_t]]="",tblMovement[[#This Row],[Grade_gpt]]=""),0,tblMovement[[#This Row],[Tonnes_t]]*tblMovement[[#This Row],[Grade_gpt]]/cfg_TroyOz)</f>
        <v/>
      </c>
      <c r="O3682" s="59">
        <f>IF(tblMovement[[#This Row],[Is_Ore]]=1,tblMovement[[#This Row],[Contained_oz]],0)</f>
        <v/>
      </c>
    </row>
    <row r="3683">
      <c r="A3683" s="54" t="n"/>
      <c r="B3683" s="61" t="n"/>
      <c r="C3683" s="61" t="n"/>
      <c r="D3683" s="61" t="n"/>
      <c r="E3683" s="61" t="n"/>
      <c r="F3683" s="55" t="n"/>
      <c r="G3683" s="56" t="n"/>
      <c r="H3683" s="55" t="n"/>
      <c r="I3683" s="62" t="n"/>
      <c r="J3683" s="58" t="n"/>
      <c r="K3683" s="63">
        <f>IF(tblMovement[[#This Row],[Source]]="","",IFERROR(INDEX(tblSources[Type],MATCH(tblMovement[[#This Row],[Source]],tblSources[Source],0)),"?"))</f>
        <v/>
      </c>
      <c r="L3683" s="63">
        <f>IF(tblMovement[[#This Row],[Destination]]="","",IFERROR(INDEX(tblDestinations[Type],MATCH(tblMovement[[#This Row],[Destination]],tblDestinations[Destination],0)),"?"))</f>
        <v/>
      </c>
      <c r="M3683" s="64">
        <f>IF(tblMovement[[#This Row],[Material]]="","",IF(LEFT(tblMovement[[#This Row],[Material]],3)="Ore",1,0))</f>
        <v/>
      </c>
      <c r="N3683" s="59">
        <f>IF(OR(tblMovement[[#This Row],[Tonnes_t]]="",tblMovement[[#This Row],[Grade_gpt]]=""),0,tblMovement[[#This Row],[Tonnes_t]]*tblMovement[[#This Row],[Grade_gpt]]/cfg_TroyOz)</f>
        <v/>
      </c>
      <c r="O3683" s="59">
        <f>IF(tblMovement[[#This Row],[Is_Ore]]=1,tblMovement[[#This Row],[Contained_oz]],0)</f>
        <v/>
      </c>
    </row>
    <row r="3684">
      <c r="A3684" s="54" t="n"/>
      <c r="B3684" s="61" t="n"/>
      <c r="C3684" s="61" t="n"/>
      <c r="D3684" s="61" t="n"/>
      <c r="E3684" s="61" t="n"/>
      <c r="F3684" s="55" t="n"/>
      <c r="G3684" s="56" t="n"/>
      <c r="H3684" s="55" t="n"/>
      <c r="I3684" s="62" t="n"/>
      <c r="J3684" s="58" t="n"/>
      <c r="K3684" s="63">
        <f>IF(tblMovement[[#This Row],[Source]]="","",IFERROR(INDEX(tblSources[Type],MATCH(tblMovement[[#This Row],[Source]],tblSources[Source],0)),"?"))</f>
        <v/>
      </c>
      <c r="L3684" s="63">
        <f>IF(tblMovement[[#This Row],[Destination]]="","",IFERROR(INDEX(tblDestinations[Type],MATCH(tblMovement[[#This Row],[Destination]],tblDestinations[Destination],0)),"?"))</f>
        <v/>
      </c>
      <c r="M3684" s="64">
        <f>IF(tblMovement[[#This Row],[Material]]="","",IF(LEFT(tblMovement[[#This Row],[Material]],3)="Ore",1,0))</f>
        <v/>
      </c>
      <c r="N3684" s="59">
        <f>IF(OR(tblMovement[[#This Row],[Tonnes_t]]="",tblMovement[[#This Row],[Grade_gpt]]=""),0,tblMovement[[#This Row],[Tonnes_t]]*tblMovement[[#This Row],[Grade_gpt]]/cfg_TroyOz)</f>
        <v/>
      </c>
      <c r="O3684" s="59">
        <f>IF(tblMovement[[#This Row],[Is_Ore]]=1,tblMovement[[#This Row],[Contained_oz]],0)</f>
        <v/>
      </c>
    </row>
    <row r="3685">
      <c r="A3685" s="54" t="n"/>
      <c r="B3685" s="61" t="n"/>
      <c r="C3685" s="61" t="n"/>
      <c r="D3685" s="61" t="n"/>
      <c r="E3685" s="61" t="n"/>
      <c r="F3685" s="55" t="n"/>
      <c r="G3685" s="56" t="n"/>
      <c r="H3685" s="55" t="n"/>
      <c r="I3685" s="62" t="n"/>
      <c r="J3685" s="58" t="n"/>
      <c r="K3685" s="63">
        <f>IF(tblMovement[[#This Row],[Source]]="","",IFERROR(INDEX(tblSources[Type],MATCH(tblMovement[[#This Row],[Source]],tblSources[Source],0)),"?"))</f>
        <v/>
      </c>
      <c r="L3685" s="63">
        <f>IF(tblMovement[[#This Row],[Destination]]="","",IFERROR(INDEX(tblDestinations[Type],MATCH(tblMovement[[#This Row],[Destination]],tblDestinations[Destination],0)),"?"))</f>
        <v/>
      </c>
      <c r="M3685" s="64">
        <f>IF(tblMovement[[#This Row],[Material]]="","",IF(LEFT(tblMovement[[#This Row],[Material]],3)="Ore",1,0))</f>
        <v/>
      </c>
      <c r="N3685" s="59">
        <f>IF(OR(tblMovement[[#This Row],[Tonnes_t]]="",tblMovement[[#This Row],[Grade_gpt]]=""),0,tblMovement[[#This Row],[Tonnes_t]]*tblMovement[[#This Row],[Grade_gpt]]/cfg_TroyOz)</f>
        <v/>
      </c>
      <c r="O3685" s="59">
        <f>IF(tblMovement[[#This Row],[Is_Ore]]=1,tblMovement[[#This Row],[Contained_oz]],0)</f>
        <v/>
      </c>
    </row>
    <row r="3686">
      <c r="A3686" s="54" t="n"/>
      <c r="B3686" s="61" t="n"/>
      <c r="C3686" s="61" t="n"/>
      <c r="D3686" s="61" t="n"/>
      <c r="E3686" s="61" t="n"/>
      <c r="F3686" s="55" t="n"/>
      <c r="G3686" s="56" t="n"/>
      <c r="H3686" s="55" t="n"/>
      <c r="I3686" s="62" t="n"/>
      <c r="J3686" s="58" t="n"/>
      <c r="K3686" s="63">
        <f>IF(tblMovement[[#This Row],[Source]]="","",IFERROR(INDEX(tblSources[Type],MATCH(tblMovement[[#This Row],[Source]],tblSources[Source],0)),"?"))</f>
        <v/>
      </c>
      <c r="L3686" s="63">
        <f>IF(tblMovement[[#This Row],[Destination]]="","",IFERROR(INDEX(tblDestinations[Type],MATCH(tblMovement[[#This Row],[Destination]],tblDestinations[Destination],0)),"?"))</f>
        <v/>
      </c>
      <c r="M3686" s="64">
        <f>IF(tblMovement[[#This Row],[Material]]="","",IF(LEFT(tblMovement[[#This Row],[Material]],3)="Ore",1,0))</f>
        <v/>
      </c>
      <c r="N3686" s="59">
        <f>IF(OR(tblMovement[[#This Row],[Tonnes_t]]="",tblMovement[[#This Row],[Grade_gpt]]=""),0,tblMovement[[#This Row],[Tonnes_t]]*tblMovement[[#This Row],[Grade_gpt]]/cfg_TroyOz)</f>
        <v/>
      </c>
      <c r="O3686" s="59">
        <f>IF(tblMovement[[#This Row],[Is_Ore]]=1,tblMovement[[#This Row],[Contained_oz]],0)</f>
        <v/>
      </c>
    </row>
    <row r="3687">
      <c r="A3687" s="54" t="n"/>
      <c r="B3687" s="61" t="n"/>
      <c r="C3687" s="61" t="n"/>
      <c r="D3687" s="61" t="n"/>
      <c r="E3687" s="61" t="n"/>
      <c r="F3687" s="55" t="n"/>
      <c r="G3687" s="56" t="n"/>
      <c r="H3687" s="55" t="n"/>
      <c r="I3687" s="62" t="n"/>
      <c r="J3687" s="58" t="n"/>
      <c r="K3687" s="63">
        <f>IF(tblMovement[[#This Row],[Source]]="","",IFERROR(INDEX(tblSources[Type],MATCH(tblMovement[[#This Row],[Source]],tblSources[Source],0)),"?"))</f>
        <v/>
      </c>
      <c r="L3687" s="63">
        <f>IF(tblMovement[[#This Row],[Destination]]="","",IFERROR(INDEX(tblDestinations[Type],MATCH(tblMovement[[#This Row],[Destination]],tblDestinations[Destination],0)),"?"))</f>
        <v/>
      </c>
      <c r="M3687" s="64">
        <f>IF(tblMovement[[#This Row],[Material]]="","",IF(LEFT(tblMovement[[#This Row],[Material]],3)="Ore",1,0))</f>
        <v/>
      </c>
      <c r="N3687" s="59">
        <f>IF(OR(tblMovement[[#This Row],[Tonnes_t]]="",tblMovement[[#This Row],[Grade_gpt]]=""),0,tblMovement[[#This Row],[Tonnes_t]]*tblMovement[[#This Row],[Grade_gpt]]/cfg_TroyOz)</f>
        <v/>
      </c>
      <c r="O3687" s="59">
        <f>IF(tblMovement[[#This Row],[Is_Ore]]=1,tblMovement[[#This Row],[Contained_oz]],0)</f>
        <v/>
      </c>
    </row>
    <row r="3688">
      <c r="A3688" s="54" t="n"/>
      <c r="B3688" s="61" t="n"/>
      <c r="C3688" s="61" t="n"/>
      <c r="D3688" s="61" t="n"/>
      <c r="E3688" s="61" t="n"/>
      <c r="F3688" s="55" t="n"/>
      <c r="G3688" s="56" t="n"/>
      <c r="H3688" s="55" t="n"/>
      <c r="I3688" s="62" t="n"/>
      <c r="J3688" s="58" t="n"/>
      <c r="K3688" s="63">
        <f>IF(tblMovement[[#This Row],[Source]]="","",IFERROR(INDEX(tblSources[Type],MATCH(tblMovement[[#This Row],[Source]],tblSources[Source],0)),"?"))</f>
        <v/>
      </c>
      <c r="L3688" s="63">
        <f>IF(tblMovement[[#This Row],[Destination]]="","",IFERROR(INDEX(tblDestinations[Type],MATCH(tblMovement[[#This Row],[Destination]],tblDestinations[Destination],0)),"?"))</f>
        <v/>
      </c>
      <c r="M3688" s="64">
        <f>IF(tblMovement[[#This Row],[Material]]="","",IF(LEFT(tblMovement[[#This Row],[Material]],3)="Ore",1,0))</f>
        <v/>
      </c>
      <c r="N3688" s="59">
        <f>IF(OR(tblMovement[[#This Row],[Tonnes_t]]="",tblMovement[[#This Row],[Grade_gpt]]=""),0,tblMovement[[#This Row],[Tonnes_t]]*tblMovement[[#This Row],[Grade_gpt]]/cfg_TroyOz)</f>
        <v/>
      </c>
      <c r="O3688" s="59">
        <f>IF(tblMovement[[#This Row],[Is_Ore]]=1,tblMovement[[#This Row],[Contained_oz]],0)</f>
        <v/>
      </c>
    </row>
    <row r="3689">
      <c r="A3689" s="54" t="n"/>
      <c r="B3689" s="61" t="n"/>
      <c r="C3689" s="61" t="n"/>
      <c r="D3689" s="61" t="n"/>
      <c r="E3689" s="61" t="n"/>
      <c r="F3689" s="55" t="n"/>
      <c r="G3689" s="56" t="n"/>
      <c r="H3689" s="55" t="n"/>
      <c r="I3689" s="62" t="n"/>
      <c r="J3689" s="58" t="n"/>
      <c r="K3689" s="63">
        <f>IF(tblMovement[[#This Row],[Source]]="","",IFERROR(INDEX(tblSources[Type],MATCH(tblMovement[[#This Row],[Source]],tblSources[Source],0)),"?"))</f>
        <v/>
      </c>
      <c r="L3689" s="63">
        <f>IF(tblMovement[[#This Row],[Destination]]="","",IFERROR(INDEX(tblDestinations[Type],MATCH(tblMovement[[#This Row],[Destination]],tblDestinations[Destination],0)),"?"))</f>
        <v/>
      </c>
      <c r="M3689" s="64">
        <f>IF(tblMovement[[#This Row],[Material]]="","",IF(LEFT(tblMovement[[#This Row],[Material]],3)="Ore",1,0))</f>
        <v/>
      </c>
      <c r="N3689" s="59">
        <f>IF(OR(tblMovement[[#This Row],[Tonnes_t]]="",tblMovement[[#This Row],[Grade_gpt]]=""),0,tblMovement[[#This Row],[Tonnes_t]]*tblMovement[[#This Row],[Grade_gpt]]/cfg_TroyOz)</f>
        <v/>
      </c>
      <c r="O3689" s="59">
        <f>IF(tblMovement[[#This Row],[Is_Ore]]=1,tblMovement[[#This Row],[Contained_oz]],0)</f>
        <v/>
      </c>
    </row>
    <row r="3690">
      <c r="A3690" s="54" t="n"/>
      <c r="B3690" s="61" t="n"/>
      <c r="C3690" s="61" t="n"/>
      <c r="D3690" s="61" t="n"/>
      <c r="E3690" s="61" t="n"/>
      <c r="F3690" s="55" t="n"/>
      <c r="G3690" s="56" t="n"/>
      <c r="H3690" s="55" t="n"/>
      <c r="I3690" s="62" t="n"/>
      <c r="J3690" s="58" t="n"/>
      <c r="K3690" s="63">
        <f>IF(tblMovement[[#This Row],[Source]]="","",IFERROR(INDEX(tblSources[Type],MATCH(tblMovement[[#This Row],[Source]],tblSources[Source],0)),"?"))</f>
        <v/>
      </c>
      <c r="L3690" s="63">
        <f>IF(tblMovement[[#This Row],[Destination]]="","",IFERROR(INDEX(tblDestinations[Type],MATCH(tblMovement[[#This Row],[Destination]],tblDestinations[Destination],0)),"?"))</f>
        <v/>
      </c>
      <c r="M3690" s="64">
        <f>IF(tblMovement[[#This Row],[Material]]="","",IF(LEFT(tblMovement[[#This Row],[Material]],3)="Ore",1,0))</f>
        <v/>
      </c>
      <c r="N3690" s="59">
        <f>IF(OR(tblMovement[[#This Row],[Tonnes_t]]="",tblMovement[[#This Row],[Grade_gpt]]=""),0,tblMovement[[#This Row],[Tonnes_t]]*tblMovement[[#This Row],[Grade_gpt]]/cfg_TroyOz)</f>
        <v/>
      </c>
      <c r="O3690" s="59">
        <f>IF(tblMovement[[#This Row],[Is_Ore]]=1,tblMovement[[#This Row],[Contained_oz]],0)</f>
        <v/>
      </c>
    </row>
    <row r="3691">
      <c r="A3691" s="54" t="n"/>
      <c r="B3691" s="61" t="n"/>
      <c r="C3691" s="61" t="n"/>
      <c r="D3691" s="61" t="n"/>
      <c r="E3691" s="61" t="n"/>
      <c r="F3691" s="55" t="n"/>
      <c r="G3691" s="56" t="n"/>
      <c r="H3691" s="55" t="n"/>
      <c r="I3691" s="62" t="n"/>
      <c r="J3691" s="58" t="n"/>
      <c r="K3691" s="63">
        <f>IF(tblMovement[[#This Row],[Source]]="","",IFERROR(INDEX(tblSources[Type],MATCH(tblMovement[[#This Row],[Source]],tblSources[Source],0)),"?"))</f>
        <v/>
      </c>
      <c r="L3691" s="63">
        <f>IF(tblMovement[[#This Row],[Destination]]="","",IFERROR(INDEX(tblDestinations[Type],MATCH(tblMovement[[#This Row],[Destination]],tblDestinations[Destination],0)),"?"))</f>
        <v/>
      </c>
      <c r="M3691" s="64">
        <f>IF(tblMovement[[#This Row],[Material]]="","",IF(LEFT(tblMovement[[#This Row],[Material]],3)="Ore",1,0))</f>
        <v/>
      </c>
      <c r="N3691" s="59">
        <f>IF(OR(tblMovement[[#This Row],[Tonnes_t]]="",tblMovement[[#This Row],[Grade_gpt]]=""),0,tblMovement[[#This Row],[Tonnes_t]]*tblMovement[[#This Row],[Grade_gpt]]/cfg_TroyOz)</f>
        <v/>
      </c>
      <c r="O3691" s="59">
        <f>IF(tblMovement[[#This Row],[Is_Ore]]=1,tblMovement[[#This Row],[Contained_oz]],0)</f>
        <v/>
      </c>
    </row>
    <row r="3692">
      <c r="A3692" s="54" t="n"/>
      <c r="B3692" s="61" t="n"/>
      <c r="C3692" s="61" t="n"/>
      <c r="D3692" s="61" t="n"/>
      <c r="E3692" s="61" t="n"/>
      <c r="F3692" s="55" t="n"/>
      <c r="G3692" s="56" t="n"/>
      <c r="H3692" s="55" t="n"/>
      <c r="I3692" s="62" t="n"/>
      <c r="J3692" s="58" t="n"/>
      <c r="K3692" s="63">
        <f>IF(tblMovement[[#This Row],[Source]]="","",IFERROR(INDEX(tblSources[Type],MATCH(tblMovement[[#This Row],[Source]],tblSources[Source],0)),"?"))</f>
        <v/>
      </c>
      <c r="L3692" s="63">
        <f>IF(tblMovement[[#This Row],[Destination]]="","",IFERROR(INDEX(tblDestinations[Type],MATCH(tblMovement[[#This Row],[Destination]],tblDestinations[Destination],0)),"?"))</f>
        <v/>
      </c>
      <c r="M3692" s="64">
        <f>IF(tblMovement[[#This Row],[Material]]="","",IF(LEFT(tblMovement[[#This Row],[Material]],3)="Ore",1,0))</f>
        <v/>
      </c>
      <c r="N3692" s="59">
        <f>IF(OR(tblMovement[[#This Row],[Tonnes_t]]="",tblMovement[[#This Row],[Grade_gpt]]=""),0,tblMovement[[#This Row],[Tonnes_t]]*tblMovement[[#This Row],[Grade_gpt]]/cfg_TroyOz)</f>
        <v/>
      </c>
      <c r="O3692" s="59">
        <f>IF(tblMovement[[#This Row],[Is_Ore]]=1,tblMovement[[#This Row],[Contained_oz]],0)</f>
        <v/>
      </c>
    </row>
    <row r="3693">
      <c r="A3693" s="54" t="n"/>
      <c r="B3693" s="61" t="n"/>
      <c r="C3693" s="61" t="n"/>
      <c r="D3693" s="61" t="n"/>
      <c r="E3693" s="61" t="n"/>
      <c r="F3693" s="55" t="n"/>
      <c r="G3693" s="56" t="n"/>
      <c r="H3693" s="55" t="n"/>
      <c r="I3693" s="62" t="n"/>
      <c r="J3693" s="58" t="n"/>
      <c r="K3693" s="63">
        <f>IF(tblMovement[[#This Row],[Source]]="","",IFERROR(INDEX(tblSources[Type],MATCH(tblMovement[[#This Row],[Source]],tblSources[Source],0)),"?"))</f>
        <v/>
      </c>
      <c r="L3693" s="63">
        <f>IF(tblMovement[[#This Row],[Destination]]="","",IFERROR(INDEX(tblDestinations[Type],MATCH(tblMovement[[#This Row],[Destination]],tblDestinations[Destination],0)),"?"))</f>
        <v/>
      </c>
      <c r="M3693" s="64">
        <f>IF(tblMovement[[#This Row],[Material]]="","",IF(LEFT(tblMovement[[#This Row],[Material]],3)="Ore",1,0))</f>
        <v/>
      </c>
      <c r="N3693" s="59">
        <f>IF(OR(tblMovement[[#This Row],[Tonnes_t]]="",tblMovement[[#This Row],[Grade_gpt]]=""),0,tblMovement[[#This Row],[Tonnes_t]]*tblMovement[[#This Row],[Grade_gpt]]/cfg_TroyOz)</f>
        <v/>
      </c>
      <c r="O3693" s="59">
        <f>IF(tblMovement[[#This Row],[Is_Ore]]=1,tblMovement[[#This Row],[Contained_oz]],0)</f>
        <v/>
      </c>
    </row>
    <row r="3694">
      <c r="A3694" s="54" t="n"/>
      <c r="B3694" s="61" t="n"/>
      <c r="C3694" s="61" t="n"/>
      <c r="D3694" s="61" t="n"/>
      <c r="E3694" s="61" t="n"/>
      <c r="F3694" s="55" t="n"/>
      <c r="G3694" s="56" t="n"/>
      <c r="H3694" s="55" t="n"/>
      <c r="I3694" s="62" t="n"/>
      <c r="J3694" s="58" t="n"/>
      <c r="K3694" s="63">
        <f>IF(tblMovement[[#This Row],[Source]]="","",IFERROR(INDEX(tblSources[Type],MATCH(tblMovement[[#This Row],[Source]],tblSources[Source],0)),"?"))</f>
        <v/>
      </c>
      <c r="L3694" s="63">
        <f>IF(tblMovement[[#This Row],[Destination]]="","",IFERROR(INDEX(tblDestinations[Type],MATCH(tblMovement[[#This Row],[Destination]],tblDestinations[Destination],0)),"?"))</f>
        <v/>
      </c>
      <c r="M3694" s="64">
        <f>IF(tblMovement[[#This Row],[Material]]="","",IF(LEFT(tblMovement[[#This Row],[Material]],3)="Ore",1,0))</f>
        <v/>
      </c>
      <c r="N3694" s="59">
        <f>IF(OR(tblMovement[[#This Row],[Tonnes_t]]="",tblMovement[[#This Row],[Grade_gpt]]=""),0,tblMovement[[#This Row],[Tonnes_t]]*tblMovement[[#This Row],[Grade_gpt]]/cfg_TroyOz)</f>
        <v/>
      </c>
      <c r="O3694" s="59">
        <f>IF(tblMovement[[#This Row],[Is_Ore]]=1,tblMovement[[#This Row],[Contained_oz]],0)</f>
        <v/>
      </c>
    </row>
    <row r="3695">
      <c r="A3695" s="54" t="n"/>
      <c r="B3695" s="61" t="n"/>
      <c r="C3695" s="61" t="n"/>
      <c r="D3695" s="61" t="n"/>
      <c r="E3695" s="61" t="n"/>
      <c r="F3695" s="55" t="n"/>
      <c r="G3695" s="56" t="n"/>
      <c r="H3695" s="55" t="n"/>
      <c r="I3695" s="62" t="n"/>
      <c r="J3695" s="58" t="n"/>
      <c r="K3695" s="63">
        <f>IF(tblMovement[[#This Row],[Source]]="","",IFERROR(INDEX(tblSources[Type],MATCH(tblMovement[[#This Row],[Source]],tblSources[Source],0)),"?"))</f>
        <v/>
      </c>
      <c r="L3695" s="63">
        <f>IF(tblMovement[[#This Row],[Destination]]="","",IFERROR(INDEX(tblDestinations[Type],MATCH(tblMovement[[#This Row],[Destination]],tblDestinations[Destination],0)),"?"))</f>
        <v/>
      </c>
      <c r="M3695" s="64">
        <f>IF(tblMovement[[#This Row],[Material]]="","",IF(LEFT(tblMovement[[#This Row],[Material]],3)="Ore",1,0))</f>
        <v/>
      </c>
      <c r="N3695" s="59">
        <f>IF(OR(tblMovement[[#This Row],[Tonnes_t]]="",tblMovement[[#This Row],[Grade_gpt]]=""),0,tblMovement[[#This Row],[Tonnes_t]]*tblMovement[[#This Row],[Grade_gpt]]/cfg_TroyOz)</f>
        <v/>
      </c>
      <c r="O3695" s="59">
        <f>IF(tblMovement[[#This Row],[Is_Ore]]=1,tblMovement[[#This Row],[Contained_oz]],0)</f>
        <v/>
      </c>
    </row>
    <row r="3696">
      <c r="A3696" s="54" t="n"/>
      <c r="B3696" s="61" t="n"/>
      <c r="C3696" s="61" t="n"/>
      <c r="D3696" s="61" t="n"/>
      <c r="E3696" s="61" t="n"/>
      <c r="F3696" s="55" t="n"/>
      <c r="G3696" s="56" t="n"/>
      <c r="H3696" s="55" t="n"/>
      <c r="I3696" s="62" t="n"/>
      <c r="J3696" s="58" t="n"/>
      <c r="K3696" s="63">
        <f>IF(tblMovement[[#This Row],[Source]]="","",IFERROR(INDEX(tblSources[Type],MATCH(tblMovement[[#This Row],[Source]],tblSources[Source],0)),"?"))</f>
        <v/>
      </c>
      <c r="L3696" s="63">
        <f>IF(tblMovement[[#This Row],[Destination]]="","",IFERROR(INDEX(tblDestinations[Type],MATCH(tblMovement[[#This Row],[Destination]],tblDestinations[Destination],0)),"?"))</f>
        <v/>
      </c>
      <c r="M3696" s="64">
        <f>IF(tblMovement[[#This Row],[Material]]="","",IF(LEFT(tblMovement[[#This Row],[Material]],3)="Ore",1,0))</f>
        <v/>
      </c>
      <c r="N3696" s="59">
        <f>IF(OR(tblMovement[[#This Row],[Tonnes_t]]="",tblMovement[[#This Row],[Grade_gpt]]=""),0,tblMovement[[#This Row],[Tonnes_t]]*tblMovement[[#This Row],[Grade_gpt]]/cfg_TroyOz)</f>
        <v/>
      </c>
      <c r="O3696" s="59">
        <f>IF(tblMovement[[#This Row],[Is_Ore]]=1,tblMovement[[#This Row],[Contained_oz]],0)</f>
        <v/>
      </c>
    </row>
    <row r="3697">
      <c r="A3697" s="54" t="n"/>
      <c r="B3697" s="61" t="n"/>
      <c r="C3697" s="61" t="n"/>
      <c r="D3697" s="61" t="n"/>
      <c r="E3697" s="61" t="n"/>
      <c r="F3697" s="55" t="n"/>
      <c r="G3697" s="56" t="n"/>
      <c r="H3697" s="55" t="n"/>
      <c r="I3697" s="62" t="n"/>
      <c r="J3697" s="58" t="n"/>
      <c r="K3697" s="63">
        <f>IF(tblMovement[[#This Row],[Source]]="","",IFERROR(INDEX(tblSources[Type],MATCH(tblMovement[[#This Row],[Source]],tblSources[Source],0)),"?"))</f>
        <v/>
      </c>
      <c r="L3697" s="63">
        <f>IF(tblMovement[[#This Row],[Destination]]="","",IFERROR(INDEX(tblDestinations[Type],MATCH(tblMovement[[#This Row],[Destination]],tblDestinations[Destination],0)),"?"))</f>
        <v/>
      </c>
      <c r="M3697" s="64">
        <f>IF(tblMovement[[#This Row],[Material]]="","",IF(LEFT(tblMovement[[#This Row],[Material]],3)="Ore",1,0))</f>
        <v/>
      </c>
      <c r="N3697" s="59">
        <f>IF(OR(tblMovement[[#This Row],[Tonnes_t]]="",tblMovement[[#This Row],[Grade_gpt]]=""),0,tblMovement[[#This Row],[Tonnes_t]]*tblMovement[[#This Row],[Grade_gpt]]/cfg_TroyOz)</f>
        <v/>
      </c>
      <c r="O3697" s="59">
        <f>IF(tblMovement[[#This Row],[Is_Ore]]=1,tblMovement[[#This Row],[Contained_oz]],0)</f>
        <v/>
      </c>
    </row>
    <row r="3698">
      <c r="A3698" s="54" t="n"/>
      <c r="B3698" s="61" t="n"/>
      <c r="C3698" s="61" t="n"/>
      <c r="D3698" s="61" t="n"/>
      <c r="E3698" s="61" t="n"/>
      <c r="F3698" s="55" t="n"/>
      <c r="G3698" s="56" t="n"/>
      <c r="H3698" s="55" t="n"/>
      <c r="I3698" s="62" t="n"/>
      <c r="J3698" s="58" t="n"/>
      <c r="K3698" s="63">
        <f>IF(tblMovement[[#This Row],[Source]]="","",IFERROR(INDEX(tblSources[Type],MATCH(tblMovement[[#This Row],[Source]],tblSources[Source],0)),"?"))</f>
        <v/>
      </c>
      <c r="L3698" s="63">
        <f>IF(tblMovement[[#This Row],[Destination]]="","",IFERROR(INDEX(tblDestinations[Type],MATCH(tblMovement[[#This Row],[Destination]],tblDestinations[Destination],0)),"?"))</f>
        <v/>
      </c>
      <c r="M3698" s="64">
        <f>IF(tblMovement[[#This Row],[Material]]="","",IF(LEFT(tblMovement[[#This Row],[Material]],3)="Ore",1,0))</f>
        <v/>
      </c>
      <c r="N3698" s="59">
        <f>IF(OR(tblMovement[[#This Row],[Tonnes_t]]="",tblMovement[[#This Row],[Grade_gpt]]=""),0,tblMovement[[#This Row],[Tonnes_t]]*tblMovement[[#This Row],[Grade_gpt]]/cfg_TroyOz)</f>
        <v/>
      </c>
      <c r="O3698" s="59">
        <f>IF(tblMovement[[#This Row],[Is_Ore]]=1,tblMovement[[#This Row],[Contained_oz]],0)</f>
        <v/>
      </c>
    </row>
    <row r="3699">
      <c r="A3699" s="54" t="n"/>
      <c r="B3699" s="61" t="n"/>
      <c r="C3699" s="61" t="n"/>
      <c r="D3699" s="61" t="n"/>
      <c r="E3699" s="61" t="n"/>
      <c r="F3699" s="55" t="n"/>
      <c r="G3699" s="56" t="n"/>
      <c r="H3699" s="55" t="n"/>
      <c r="I3699" s="62" t="n"/>
      <c r="J3699" s="58" t="n"/>
      <c r="K3699" s="63">
        <f>IF(tblMovement[[#This Row],[Source]]="","",IFERROR(INDEX(tblSources[Type],MATCH(tblMovement[[#This Row],[Source]],tblSources[Source],0)),"?"))</f>
        <v/>
      </c>
      <c r="L3699" s="63">
        <f>IF(tblMovement[[#This Row],[Destination]]="","",IFERROR(INDEX(tblDestinations[Type],MATCH(tblMovement[[#This Row],[Destination]],tblDestinations[Destination],0)),"?"))</f>
        <v/>
      </c>
      <c r="M3699" s="64">
        <f>IF(tblMovement[[#This Row],[Material]]="","",IF(LEFT(tblMovement[[#This Row],[Material]],3)="Ore",1,0))</f>
        <v/>
      </c>
      <c r="N3699" s="59">
        <f>IF(OR(tblMovement[[#This Row],[Tonnes_t]]="",tblMovement[[#This Row],[Grade_gpt]]=""),0,tblMovement[[#This Row],[Tonnes_t]]*tblMovement[[#This Row],[Grade_gpt]]/cfg_TroyOz)</f>
        <v/>
      </c>
      <c r="O3699" s="59">
        <f>IF(tblMovement[[#This Row],[Is_Ore]]=1,tblMovement[[#This Row],[Contained_oz]],0)</f>
        <v/>
      </c>
    </row>
    <row r="3700">
      <c r="A3700" s="54" t="n"/>
      <c r="B3700" s="61" t="n"/>
      <c r="C3700" s="61" t="n"/>
      <c r="D3700" s="61" t="n"/>
      <c r="E3700" s="61" t="n"/>
      <c r="F3700" s="55" t="n"/>
      <c r="G3700" s="56" t="n"/>
      <c r="H3700" s="55" t="n"/>
      <c r="I3700" s="62" t="n"/>
      <c r="J3700" s="58" t="n"/>
      <c r="K3700" s="63">
        <f>IF(tblMovement[[#This Row],[Source]]="","",IFERROR(INDEX(tblSources[Type],MATCH(tblMovement[[#This Row],[Source]],tblSources[Source],0)),"?"))</f>
        <v/>
      </c>
      <c r="L3700" s="63">
        <f>IF(tblMovement[[#This Row],[Destination]]="","",IFERROR(INDEX(tblDestinations[Type],MATCH(tblMovement[[#This Row],[Destination]],tblDestinations[Destination],0)),"?"))</f>
        <v/>
      </c>
      <c r="M3700" s="64">
        <f>IF(tblMovement[[#This Row],[Material]]="","",IF(LEFT(tblMovement[[#This Row],[Material]],3)="Ore",1,0))</f>
        <v/>
      </c>
      <c r="N3700" s="59">
        <f>IF(OR(tblMovement[[#This Row],[Tonnes_t]]="",tblMovement[[#This Row],[Grade_gpt]]=""),0,tblMovement[[#This Row],[Tonnes_t]]*tblMovement[[#This Row],[Grade_gpt]]/cfg_TroyOz)</f>
        <v/>
      </c>
      <c r="O3700" s="59">
        <f>IF(tblMovement[[#This Row],[Is_Ore]]=1,tblMovement[[#This Row],[Contained_oz]],0)</f>
        <v/>
      </c>
    </row>
    <row r="3701">
      <c r="A3701" s="54" t="n"/>
      <c r="B3701" s="61" t="n"/>
      <c r="C3701" s="61" t="n"/>
      <c r="D3701" s="61" t="n"/>
      <c r="E3701" s="61" t="n"/>
      <c r="F3701" s="55" t="n"/>
      <c r="G3701" s="56" t="n"/>
      <c r="H3701" s="55" t="n"/>
      <c r="I3701" s="62" t="n"/>
      <c r="J3701" s="58" t="n"/>
      <c r="K3701" s="63">
        <f>IF(tblMovement[[#This Row],[Source]]="","",IFERROR(INDEX(tblSources[Type],MATCH(tblMovement[[#This Row],[Source]],tblSources[Source],0)),"?"))</f>
        <v/>
      </c>
      <c r="L3701" s="63">
        <f>IF(tblMovement[[#This Row],[Destination]]="","",IFERROR(INDEX(tblDestinations[Type],MATCH(tblMovement[[#This Row],[Destination]],tblDestinations[Destination],0)),"?"))</f>
        <v/>
      </c>
      <c r="M3701" s="64">
        <f>IF(tblMovement[[#This Row],[Material]]="","",IF(LEFT(tblMovement[[#This Row],[Material]],3)="Ore",1,0))</f>
        <v/>
      </c>
      <c r="N3701" s="59">
        <f>IF(OR(tblMovement[[#This Row],[Tonnes_t]]="",tblMovement[[#This Row],[Grade_gpt]]=""),0,tblMovement[[#This Row],[Tonnes_t]]*tblMovement[[#This Row],[Grade_gpt]]/cfg_TroyOz)</f>
        <v/>
      </c>
      <c r="O3701" s="59">
        <f>IF(tblMovement[[#This Row],[Is_Ore]]=1,tblMovement[[#This Row],[Contained_oz]],0)</f>
        <v/>
      </c>
    </row>
    <row r="3702">
      <c r="A3702" s="54" t="n"/>
      <c r="B3702" s="61" t="n"/>
      <c r="C3702" s="61" t="n"/>
      <c r="D3702" s="61" t="n"/>
      <c r="E3702" s="61" t="n"/>
      <c r="F3702" s="55" t="n"/>
      <c r="G3702" s="56" t="n"/>
      <c r="H3702" s="55" t="n"/>
      <c r="I3702" s="62" t="n"/>
      <c r="J3702" s="58" t="n"/>
      <c r="K3702" s="63">
        <f>IF(tblMovement[[#This Row],[Source]]="","",IFERROR(INDEX(tblSources[Type],MATCH(tblMovement[[#This Row],[Source]],tblSources[Source],0)),"?"))</f>
        <v/>
      </c>
      <c r="L3702" s="63">
        <f>IF(tblMovement[[#This Row],[Destination]]="","",IFERROR(INDEX(tblDestinations[Type],MATCH(tblMovement[[#This Row],[Destination]],tblDestinations[Destination],0)),"?"))</f>
        <v/>
      </c>
      <c r="M3702" s="64">
        <f>IF(tblMovement[[#This Row],[Material]]="","",IF(LEFT(tblMovement[[#This Row],[Material]],3)="Ore",1,0))</f>
        <v/>
      </c>
      <c r="N3702" s="59">
        <f>IF(OR(tblMovement[[#This Row],[Tonnes_t]]="",tblMovement[[#This Row],[Grade_gpt]]=""),0,tblMovement[[#This Row],[Tonnes_t]]*tblMovement[[#This Row],[Grade_gpt]]/cfg_TroyOz)</f>
        <v/>
      </c>
      <c r="O3702" s="59">
        <f>IF(tblMovement[[#This Row],[Is_Ore]]=1,tblMovement[[#This Row],[Contained_oz]],0)</f>
        <v/>
      </c>
    </row>
    <row r="3703">
      <c r="A3703" s="54" t="n"/>
      <c r="B3703" s="61" t="n"/>
      <c r="C3703" s="61" t="n"/>
      <c r="D3703" s="61" t="n"/>
      <c r="E3703" s="61" t="n"/>
      <c r="F3703" s="55" t="n"/>
      <c r="G3703" s="56" t="n"/>
      <c r="H3703" s="55" t="n"/>
      <c r="I3703" s="62" t="n"/>
      <c r="J3703" s="58" t="n"/>
      <c r="K3703" s="63">
        <f>IF(tblMovement[[#This Row],[Source]]="","",IFERROR(INDEX(tblSources[Type],MATCH(tblMovement[[#This Row],[Source]],tblSources[Source],0)),"?"))</f>
        <v/>
      </c>
      <c r="L3703" s="63">
        <f>IF(tblMovement[[#This Row],[Destination]]="","",IFERROR(INDEX(tblDestinations[Type],MATCH(tblMovement[[#This Row],[Destination]],tblDestinations[Destination],0)),"?"))</f>
        <v/>
      </c>
      <c r="M3703" s="64">
        <f>IF(tblMovement[[#This Row],[Material]]="","",IF(LEFT(tblMovement[[#This Row],[Material]],3)="Ore",1,0))</f>
        <v/>
      </c>
      <c r="N3703" s="59">
        <f>IF(OR(tblMovement[[#This Row],[Tonnes_t]]="",tblMovement[[#This Row],[Grade_gpt]]=""),0,tblMovement[[#This Row],[Tonnes_t]]*tblMovement[[#This Row],[Grade_gpt]]/cfg_TroyOz)</f>
        <v/>
      </c>
      <c r="O3703" s="59">
        <f>IF(tblMovement[[#This Row],[Is_Ore]]=1,tblMovement[[#This Row],[Contained_oz]],0)</f>
        <v/>
      </c>
    </row>
    <row r="3704">
      <c r="A3704" s="54" t="n"/>
      <c r="B3704" s="61" t="n"/>
      <c r="C3704" s="61" t="n"/>
      <c r="D3704" s="61" t="n"/>
      <c r="E3704" s="61" t="n"/>
      <c r="F3704" s="55" t="n"/>
      <c r="G3704" s="56" t="n"/>
      <c r="H3704" s="55" t="n"/>
      <c r="I3704" s="62" t="n"/>
      <c r="J3704" s="58" t="n"/>
      <c r="K3704" s="63">
        <f>IF(tblMovement[[#This Row],[Source]]="","",IFERROR(INDEX(tblSources[Type],MATCH(tblMovement[[#This Row],[Source]],tblSources[Source],0)),"?"))</f>
        <v/>
      </c>
      <c r="L3704" s="63">
        <f>IF(tblMovement[[#This Row],[Destination]]="","",IFERROR(INDEX(tblDestinations[Type],MATCH(tblMovement[[#This Row],[Destination]],tblDestinations[Destination],0)),"?"))</f>
        <v/>
      </c>
      <c r="M3704" s="64">
        <f>IF(tblMovement[[#This Row],[Material]]="","",IF(LEFT(tblMovement[[#This Row],[Material]],3)="Ore",1,0))</f>
        <v/>
      </c>
      <c r="N3704" s="59">
        <f>IF(OR(tblMovement[[#This Row],[Tonnes_t]]="",tblMovement[[#This Row],[Grade_gpt]]=""),0,tblMovement[[#This Row],[Tonnes_t]]*tblMovement[[#This Row],[Grade_gpt]]/cfg_TroyOz)</f>
        <v/>
      </c>
      <c r="O3704" s="59">
        <f>IF(tblMovement[[#This Row],[Is_Ore]]=1,tblMovement[[#This Row],[Contained_oz]],0)</f>
        <v/>
      </c>
    </row>
    <row r="3705">
      <c r="A3705" s="54" t="n"/>
      <c r="B3705" s="61" t="n"/>
      <c r="C3705" s="61" t="n"/>
      <c r="D3705" s="61" t="n"/>
      <c r="E3705" s="61" t="n"/>
      <c r="F3705" s="55" t="n"/>
      <c r="G3705" s="56" t="n"/>
      <c r="H3705" s="55" t="n"/>
      <c r="I3705" s="62" t="n"/>
      <c r="J3705" s="58" t="n"/>
      <c r="K3705" s="63">
        <f>IF(tblMovement[[#This Row],[Source]]="","",IFERROR(INDEX(tblSources[Type],MATCH(tblMovement[[#This Row],[Source]],tblSources[Source],0)),"?"))</f>
        <v/>
      </c>
      <c r="L3705" s="63">
        <f>IF(tblMovement[[#This Row],[Destination]]="","",IFERROR(INDEX(tblDestinations[Type],MATCH(tblMovement[[#This Row],[Destination]],tblDestinations[Destination],0)),"?"))</f>
        <v/>
      </c>
      <c r="M3705" s="64">
        <f>IF(tblMovement[[#This Row],[Material]]="","",IF(LEFT(tblMovement[[#This Row],[Material]],3)="Ore",1,0))</f>
        <v/>
      </c>
      <c r="N3705" s="59">
        <f>IF(OR(tblMovement[[#This Row],[Tonnes_t]]="",tblMovement[[#This Row],[Grade_gpt]]=""),0,tblMovement[[#This Row],[Tonnes_t]]*tblMovement[[#This Row],[Grade_gpt]]/cfg_TroyOz)</f>
        <v/>
      </c>
      <c r="O3705" s="59">
        <f>IF(tblMovement[[#This Row],[Is_Ore]]=1,tblMovement[[#This Row],[Contained_oz]],0)</f>
        <v/>
      </c>
    </row>
    <row r="3706">
      <c r="A3706" s="54" t="n"/>
      <c r="B3706" s="61" t="n"/>
      <c r="C3706" s="61" t="n"/>
      <c r="D3706" s="61" t="n"/>
      <c r="E3706" s="61" t="n"/>
      <c r="F3706" s="55" t="n"/>
      <c r="G3706" s="56" t="n"/>
      <c r="H3706" s="55" t="n"/>
      <c r="I3706" s="62" t="n"/>
      <c r="J3706" s="58" t="n"/>
      <c r="K3706" s="63">
        <f>IF(tblMovement[[#This Row],[Source]]="","",IFERROR(INDEX(tblSources[Type],MATCH(tblMovement[[#This Row],[Source]],tblSources[Source],0)),"?"))</f>
        <v/>
      </c>
      <c r="L3706" s="63">
        <f>IF(tblMovement[[#This Row],[Destination]]="","",IFERROR(INDEX(tblDestinations[Type],MATCH(tblMovement[[#This Row],[Destination]],tblDestinations[Destination],0)),"?"))</f>
        <v/>
      </c>
      <c r="M3706" s="64">
        <f>IF(tblMovement[[#This Row],[Material]]="","",IF(LEFT(tblMovement[[#This Row],[Material]],3)="Ore",1,0))</f>
        <v/>
      </c>
      <c r="N3706" s="59">
        <f>IF(OR(tblMovement[[#This Row],[Tonnes_t]]="",tblMovement[[#This Row],[Grade_gpt]]=""),0,tblMovement[[#This Row],[Tonnes_t]]*tblMovement[[#This Row],[Grade_gpt]]/cfg_TroyOz)</f>
        <v/>
      </c>
      <c r="O3706" s="59">
        <f>IF(tblMovement[[#This Row],[Is_Ore]]=1,tblMovement[[#This Row],[Contained_oz]],0)</f>
        <v/>
      </c>
    </row>
    <row r="3707">
      <c r="A3707" s="54" t="n"/>
      <c r="B3707" s="61" t="n"/>
      <c r="C3707" s="61" t="n"/>
      <c r="D3707" s="61" t="n"/>
      <c r="E3707" s="61" t="n"/>
      <c r="F3707" s="55" t="n"/>
      <c r="G3707" s="56" t="n"/>
      <c r="H3707" s="55" t="n"/>
      <c r="I3707" s="62" t="n"/>
      <c r="J3707" s="58" t="n"/>
      <c r="K3707" s="63">
        <f>IF(tblMovement[[#This Row],[Source]]="","",IFERROR(INDEX(tblSources[Type],MATCH(tblMovement[[#This Row],[Source]],tblSources[Source],0)),"?"))</f>
        <v/>
      </c>
      <c r="L3707" s="63">
        <f>IF(tblMovement[[#This Row],[Destination]]="","",IFERROR(INDEX(tblDestinations[Type],MATCH(tblMovement[[#This Row],[Destination]],tblDestinations[Destination],0)),"?"))</f>
        <v/>
      </c>
      <c r="M3707" s="64">
        <f>IF(tblMovement[[#This Row],[Material]]="","",IF(LEFT(tblMovement[[#This Row],[Material]],3)="Ore",1,0))</f>
        <v/>
      </c>
      <c r="N3707" s="59">
        <f>IF(OR(tblMovement[[#This Row],[Tonnes_t]]="",tblMovement[[#This Row],[Grade_gpt]]=""),0,tblMovement[[#This Row],[Tonnes_t]]*tblMovement[[#This Row],[Grade_gpt]]/cfg_TroyOz)</f>
        <v/>
      </c>
      <c r="O3707" s="59">
        <f>IF(tblMovement[[#This Row],[Is_Ore]]=1,tblMovement[[#This Row],[Contained_oz]],0)</f>
        <v/>
      </c>
    </row>
    <row r="3708">
      <c r="A3708" s="54" t="n"/>
      <c r="B3708" s="61" t="n"/>
      <c r="C3708" s="61" t="n"/>
      <c r="D3708" s="61" t="n"/>
      <c r="E3708" s="61" t="n"/>
      <c r="F3708" s="55" t="n"/>
      <c r="G3708" s="56" t="n"/>
      <c r="H3708" s="55" t="n"/>
      <c r="I3708" s="62" t="n"/>
      <c r="J3708" s="58" t="n"/>
      <c r="K3708" s="63">
        <f>IF(tblMovement[[#This Row],[Source]]="","",IFERROR(INDEX(tblSources[Type],MATCH(tblMovement[[#This Row],[Source]],tblSources[Source],0)),"?"))</f>
        <v/>
      </c>
      <c r="L3708" s="63">
        <f>IF(tblMovement[[#This Row],[Destination]]="","",IFERROR(INDEX(tblDestinations[Type],MATCH(tblMovement[[#This Row],[Destination]],tblDestinations[Destination],0)),"?"))</f>
        <v/>
      </c>
      <c r="M3708" s="64">
        <f>IF(tblMovement[[#This Row],[Material]]="","",IF(LEFT(tblMovement[[#This Row],[Material]],3)="Ore",1,0))</f>
        <v/>
      </c>
      <c r="N3708" s="59">
        <f>IF(OR(tblMovement[[#This Row],[Tonnes_t]]="",tblMovement[[#This Row],[Grade_gpt]]=""),0,tblMovement[[#This Row],[Tonnes_t]]*tblMovement[[#This Row],[Grade_gpt]]/cfg_TroyOz)</f>
        <v/>
      </c>
      <c r="O3708" s="59">
        <f>IF(tblMovement[[#This Row],[Is_Ore]]=1,tblMovement[[#This Row],[Contained_oz]],0)</f>
        <v/>
      </c>
    </row>
    <row r="3709">
      <c r="A3709" s="54" t="n"/>
      <c r="B3709" s="61" t="n"/>
      <c r="C3709" s="61" t="n"/>
      <c r="D3709" s="61" t="n"/>
      <c r="E3709" s="61" t="n"/>
      <c r="F3709" s="55" t="n"/>
      <c r="G3709" s="56" t="n"/>
      <c r="H3709" s="55" t="n"/>
      <c r="I3709" s="62" t="n"/>
      <c r="J3709" s="58" t="n"/>
      <c r="K3709" s="63">
        <f>IF(tblMovement[[#This Row],[Source]]="","",IFERROR(INDEX(tblSources[Type],MATCH(tblMovement[[#This Row],[Source]],tblSources[Source],0)),"?"))</f>
        <v/>
      </c>
      <c r="L3709" s="63">
        <f>IF(tblMovement[[#This Row],[Destination]]="","",IFERROR(INDEX(tblDestinations[Type],MATCH(tblMovement[[#This Row],[Destination]],tblDestinations[Destination],0)),"?"))</f>
        <v/>
      </c>
      <c r="M3709" s="64">
        <f>IF(tblMovement[[#This Row],[Material]]="","",IF(LEFT(tblMovement[[#This Row],[Material]],3)="Ore",1,0))</f>
        <v/>
      </c>
      <c r="N3709" s="59">
        <f>IF(OR(tblMovement[[#This Row],[Tonnes_t]]="",tblMovement[[#This Row],[Grade_gpt]]=""),0,tblMovement[[#This Row],[Tonnes_t]]*tblMovement[[#This Row],[Grade_gpt]]/cfg_TroyOz)</f>
        <v/>
      </c>
      <c r="O3709" s="59">
        <f>IF(tblMovement[[#This Row],[Is_Ore]]=1,tblMovement[[#This Row],[Contained_oz]],0)</f>
        <v/>
      </c>
    </row>
    <row r="3710">
      <c r="A3710" s="54" t="n"/>
      <c r="B3710" s="61" t="n"/>
      <c r="C3710" s="61" t="n"/>
      <c r="D3710" s="61" t="n"/>
      <c r="E3710" s="61" t="n"/>
      <c r="F3710" s="55" t="n"/>
      <c r="G3710" s="56" t="n"/>
      <c r="H3710" s="55" t="n"/>
      <c r="I3710" s="62" t="n"/>
      <c r="J3710" s="58" t="n"/>
      <c r="K3710" s="63">
        <f>IF(tblMovement[[#This Row],[Source]]="","",IFERROR(INDEX(tblSources[Type],MATCH(tblMovement[[#This Row],[Source]],tblSources[Source],0)),"?"))</f>
        <v/>
      </c>
      <c r="L3710" s="63">
        <f>IF(tblMovement[[#This Row],[Destination]]="","",IFERROR(INDEX(tblDestinations[Type],MATCH(tblMovement[[#This Row],[Destination]],tblDestinations[Destination],0)),"?"))</f>
        <v/>
      </c>
      <c r="M3710" s="64">
        <f>IF(tblMovement[[#This Row],[Material]]="","",IF(LEFT(tblMovement[[#This Row],[Material]],3)="Ore",1,0))</f>
        <v/>
      </c>
      <c r="N3710" s="59">
        <f>IF(OR(tblMovement[[#This Row],[Tonnes_t]]="",tblMovement[[#This Row],[Grade_gpt]]=""),0,tblMovement[[#This Row],[Tonnes_t]]*tblMovement[[#This Row],[Grade_gpt]]/cfg_TroyOz)</f>
        <v/>
      </c>
      <c r="O3710" s="59">
        <f>IF(tblMovement[[#This Row],[Is_Ore]]=1,tblMovement[[#This Row],[Contained_oz]],0)</f>
        <v/>
      </c>
    </row>
    <row r="3711">
      <c r="A3711" s="54" t="n"/>
      <c r="B3711" s="61" t="n"/>
      <c r="C3711" s="61" t="n"/>
      <c r="D3711" s="61" t="n"/>
      <c r="E3711" s="61" t="n"/>
      <c r="F3711" s="55" t="n"/>
      <c r="G3711" s="56" t="n"/>
      <c r="H3711" s="55" t="n"/>
      <c r="I3711" s="62" t="n"/>
      <c r="J3711" s="58" t="n"/>
      <c r="K3711" s="63">
        <f>IF(tblMovement[[#This Row],[Source]]="","",IFERROR(INDEX(tblSources[Type],MATCH(tblMovement[[#This Row],[Source]],tblSources[Source],0)),"?"))</f>
        <v/>
      </c>
      <c r="L3711" s="63">
        <f>IF(tblMovement[[#This Row],[Destination]]="","",IFERROR(INDEX(tblDestinations[Type],MATCH(tblMovement[[#This Row],[Destination]],tblDestinations[Destination],0)),"?"))</f>
        <v/>
      </c>
      <c r="M3711" s="64">
        <f>IF(tblMovement[[#This Row],[Material]]="","",IF(LEFT(tblMovement[[#This Row],[Material]],3)="Ore",1,0))</f>
        <v/>
      </c>
      <c r="N3711" s="59">
        <f>IF(OR(tblMovement[[#This Row],[Tonnes_t]]="",tblMovement[[#This Row],[Grade_gpt]]=""),0,tblMovement[[#This Row],[Tonnes_t]]*tblMovement[[#This Row],[Grade_gpt]]/cfg_TroyOz)</f>
        <v/>
      </c>
      <c r="O3711" s="59">
        <f>IF(tblMovement[[#This Row],[Is_Ore]]=1,tblMovement[[#This Row],[Contained_oz]],0)</f>
        <v/>
      </c>
    </row>
    <row r="3712">
      <c r="A3712" s="54" t="n"/>
      <c r="B3712" s="61" t="n"/>
      <c r="C3712" s="61" t="n"/>
      <c r="D3712" s="61" t="n"/>
      <c r="E3712" s="61" t="n"/>
      <c r="F3712" s="55" t="n"/>
      <c r="G3712" s="56" t="n"/>
      <c r="H3712" s="55" t="n"/>
      <c r="I3712" s="62" t="n"/>
      <c r="J3712" s="58" t="n"/>
      <c r="K3712" s="63">
        <f>IF(tblMovement[[#This Row],[Source]]="","",IFERROR(INDEX(tblSources[Type],MATCH(tblMovement[[#This Row],[Source]],tblSources[Source],0)),"?"))</f>
        <v/>
      </c>
      <c r="L3712" s="63">
        <f>IF(tblMovement[[#This Row],[Destination]]="","",IFERROR(INDEX(tblDestinations[Type],MATCH(tblMovement[[#This Row],[Destination]],tblDestinations[Destination],0)),"?"))</f>
        <v/>
      </c>
      <c r="M3712" s="64">
        <f>IF(tblMovement[[#This Row],[Material]]="","",IF(LEFT(tblMovement[[#This Row],[Material]],3)="Ore",1,0))</f>
        <v/>
      </c>
      <c r="N3712" s="59">
        <f>IF(OR(tblMovement[[#This Row],[Tonnes_t]]="",tblMovement[[#This Row],[Grade_gpt]]=""),0,tblMovement[[#This Row],[Tonnes_t]]*tblMovement[[#This Row],[Grade_gpt]]/cfg_TroyOz)</f>
        <v/>
      </c>
      <c r="O3712" s="59">
        <f>IF(tblMovement[[#This Row],[Is_Ore]]=1,tblMovement[[#This Row],[Contained_oz]],0)</f>
        <v/>
      </c>
    </row>
    <row r="3713">
      <c r="A3713" s="54" t="n"/>
      <c r="B3713" s="61" t="n"/>
      <c r="C3713" s="61" t="n"/>
      <c r="D3713" s="61" t="n"/>
      <c r="E3713" s="61" t="n"/>
      <c r="F3713" s="55" t="n"/>
      <c r="G3713" s="56" t="n"/>
      <c r="H3713" s="55" t="n"/>
      <c r="I3713" s="62" t="n"/>
      <c r="J3713" s="58" t="n"/>
      <c r="K3713" s="63">
        <f>IF(tblMovement[[#This Row],[Source]]="","",IFERROR(INDEX(tblSources[Type],MATCH(tblMovement[[#This Row],[Source]],tblSources[Source],0)),"?"))</f>
        <v/>
      </c>
      <c r="L3713" s="63">
        <f>IF(tblMovement[[#This Row],[Destination]]="","",IFERROR(INDEX(tblDestinations[Type],MATCH(tblMovement[[#This Row],[Destination]],tblDestinations[Destination],0)),"?"))</f>
        <v/>
      </c>
      <c r="M3713" s="64">
        <f>IF(tblMovement[[#This Row],[Material]]="","",IF(LEFT(tblMovement[[#This Row],[Material]],3)="Ore",1,0))</f>
        <v/>
      </c>
      <c r="N3713" s="59">
        <f>IF(OR(tblMovement[[#This Row],[Tonnes_t]]="",tblMovement[[#This Row],[Grade_gpt]]=""),0,tblMovement[[#This Row],[Tonnes_t]]*tblMovement[[#This Row],[Grade_gpt]]/cfg_TroyOz)</f>
        <v/>
      </c>
      <c r="O3713" s="59">
        <f>IF(tblMovement[[#This Row],[Is_Ore]]=1,tblMovement[[#This Row],[Contained_oz]],0)</f>
        <v/>
      </c>
    </row>
    <row r="3714">
      <c r="A3714" s="54" t="n"/>
      <c r="B3714" s="61" t="n"/>
      <c r="C3714" s="61" t="n"/>
      <c r="D3714" s="61" t="n"/>
      <c r="E3714" s="61" t="n"/>
      <c r="F3714" s="55" t="n"/>
      <c r="G3714" s="56" t="n"/>
      <c r="H3714" s="55" t="n"/>
      <c r="I3714" s="62" t="n"/>
      <c r="J3714" s="58" t="n"/>
      <c r="K3714" s="63">
        <f>IF(tblMovement[[#This Row],[Source]]="","",IFERROR(INDEX(tblSources[Type],MATCH(tblMovement[[#This Row],[Source]],tblSources[Source],0)),"?"))</f>
        <v/>
      </c>
      <c r="L3714" s="63">
        <f>IF(tblMovement[[#This Row],[Destination]]="","",IFERROR(INDEX(tblDestinations[Type],MATCH(tblMovement[[#This Row],[Destination]],tblDestinations[Destination],0)),"?"))</f>
        <v/>
      </c>
      <c r="M3714" s="64">
        <f>IF(tblMovement[[#This Row],[Material]]="","",IF(LEFT(tblMovement[[#This Row],[Material]],3)="Ore",1,0))</f>
        <v/>
      </c>
      <c r="N3714" s="59">
        <f>IF(OR(tblMovement[[#This Row],[Tonnes_t]]="",tblMovement[[#This Row],[Grade_gpt]]=""),0,tblMovement[[#This Row],[Tonnes_t]]*tblMovement[[#This Row],[Grade_gpt]]/cfg_TroyOz)</f>
        <v/>
      </c>
      <c r="O3714" s="59">
        <f>IF(tblMovement[[#This Row],[Is_Ore]]=1,tblMovement[[#This Row],[Contained_oz]],0)</f>
        <v/>
      </c>
    </row>
    <row r="3715">
      <c r="A3715" s="54" t="n"/>
      <c r="B3715" s="61" t="n"/>
      <c r="C3715" s="61" t="n"/>
      <c r="D3715" s="61" t="n"/>
      <c r="E3715" s="61" t="n"/>
      <c r="F3715" s="55" t="n"/>
      <c r="G3715" s="56" t="n"/>
      <c r="H3715" s="55" t="n"/>
      <c r="I3715" s="62" t="n"/>
      <c r="J3715" s="58" t="n"/>
      <c r="K3715" s="63">
        <f>IF(tblMovement[[#This Row],[Source]]="","",IFERROR(INDEX(tblSources[Type],MATCH(tblMovement[[#This Row],[Source]],tblSources[Source],0)),"?"))</f>
        <v/>
      </c>
      <c r="L3715" s="63">
        <f>IF(tblMovement[[#This Row],[Destination]]="","",IFERROR(INDEX(tblDestinations[Type],MATCH(tblMovement[[#This Row],[Destination]],tblDestinations[Destination],0)),"?"))</f>
        <v/>
      </c>
      <c r="M3715" s="64">
        <f>IF(tblMovement[[#This Row],[Material]]="","",IF(LEFT(tblMovement[[#This Row],[Material]],3)="Ore",1,0))</f>
        <v/>
      </c>
      <c r="N3715" s="59">
        <f>IF(OR(tblMovement[[#This Row],[Tonnes_t]]="",tblMovement[[#This Row],[Grade_gpt]]=""),0,tblMovement[[#This Row],[Tonnes_t]]*tblMovement[[#This Row],[Grade_gpt]]/cfg_TroyOz)</f>
        <v/>
      </c>
      <c r="O3715" s="59">
        <f>IF(tblMovement[[#This Row],[Is_Ore]]=1,tblMovement[[#This Row],[Contained_oz]],0)</f>
        <v/>
      </c>
    </row>
    <row r="3716">
      <c r="A3716" s="54" t="n"/>
      <c r="B3716" s="61" t="n"/>
      <c r="C3716" s="61" t="n"/>
      <c r="D3716" s="61" t="n"/>
      <c r="E3716" s="61" t="n"/>
      <c r="F3716" s="55" t="n"/>
      <c r="G3716" s="56" t="n"/>
      <c r="H3716" s="55" t="n"/>
      <c r="I3716" s="62" t="n"/>
      <c r="J3716" s="58" t="n"/>
      <c r="K3716" s="63">
        <f>IF(tblMovement[[#This Row],[Source]]="","",IFERROR(INDEX(tblSources[Type],MATCH(tblMovement[[#This Row],[Source]],tblSources[Source],0)),"?"))</f>
        <v/>
      </c>
      <c r="L3716" s="63">
        <f>IF(tblMovement[[#This Row],[Destination]]="","",IFERROR(INDEX(tblDestinations[Type],MATCH(tblMovement[[#This Row],[Destination]],tblDestinations[Destination],0)),"?"))</f>
        <v/>
      </c>
      <c r="M3716" s="64">
        <f>IF(tblMovement[[#This Row],[Material]]="","",IF(LEFT(tblMovement[[#This Row],[Material]],3)="Ore",1,0))</f>
        <v/>
      </c>
      <c r="N3716" s="59">
        <f>IF(OR(tblMovement[[#This Row],[Tonnes_t]]="",tblMovement[[#This Row],[Grade_gpt]]=""),0,tblMovement[[#This Row],[Tonnes_t]]*tblMovement[[#This Row],[Grade_gpt]]/cfg_TroyOz)</f>
        <v/>
      </c>
      <c r="O3716" s="59">
        <f>IF(tblMovement[[#This Row],[Is_Ore]]=1,tblMovement[[#This Row],[Contained_oz]],0)</f>
        <v/>
      </c>
    </row>
    <row r="3717">
      <c r="A3717" s="54" t="n"/>
      <c r="B3717" s="61" t="n"/>
      <c r="C3717" s="61" t="n"/>
      <c r="D3717" s="61" t="n"/>
      <c r="E3717" s="61" t="n"/>
      <c r="F3717" s="55" t="n"/>
      <c r="G3717" s="56" t="n"/>
      <c r="H3717" s="55" t="n"/>
      <c r="I3717" s="62" t="n"/>
      <c r="J3717" s="58" t="n"/>
      <c r="K3717" s="63">
        <f>IF(tblMovement[[#This Row],[Source]]="","",IFERROR(INDEX(tblSources[Type],MATCH(tblMovement[[#This Row],[Source]],tblSources[Source],0)),"?"))</f>
        <v/>
      </c>
      <c r="L3717" s="63">
        <f>IF(tblMovement[[#This Row],[Destination]]="","",IFERROR(INDEX(tblDestinations[Type],MATCH(tblMovement[[#This Row],[Destination]],tblDestinations[Destination],0)),"?"))</f>
        <v/>
      </c>
      <c r="M3717" s="64">
        <f>IF(tblMovement[[#This Row],[Material]]="","",IF(LEFT(tblMovement[[#This Row],[Material]],3)="Ore",1,0))</f>
        <v/>
      </c>
      <c r="N3717" s="59">
        <f>IF(OR(tblMovement[[#This Row],[Tonnes_t]]="",tblMovement[[#This Row],[Grade_gpt]]=""),0,tblMovement[[#This Row],[Tonnes_t]]*tblMovement[[#This Row],[Grade_gpt]]/cfg_TroyOz)</f>
        <v/>
      </c>
      <c r="O3717" s="59">
        <f>IF(tblMovement[[#This Row],[Is_Ore]]=1,tblMovement[[#This Row],[Contained_oz]],0)</f>
        <v/>
      </c>
    </row>
    <row r="3718">
      <c r="A3718" s="54" t="n"/>
      <c r="B3718" s="61" t="n"/>
      <c r="C3718" s="61" t="n"/>
      <c r="D3718" s="61" t="n"/>
      <c r="E3718" s="61" t="n"/>
      <c r="F3718" s="55" t="n"/>
      <c r="G3718" s="56" t="n"/>
      <c r="H3718" s="55" t="n"/>
      <c r="I3718" s="62" t="n"/>
      <c r="J3718" s="58" t="n"/>
      <c r="K3718" s="63">
        <f>IF(tblMovement[[#This Row],[Source]]="","",IFERROR(INDEX(tblSources[Type],MATCH(tblMovement[[#This Row],[Source]],tblSources[Source],0)),"?"))</f>
        <v/>
      </c>
      <c r="L3718" s="63">
        <f>IF(tblMovement[[#This Row],[Destination]]="","",IFERROR(INDEX(tblDestinations[Type],MATCH(tblMovement[[#This Row],[Destination]],tblDestinations[Destination],0)),"?"))</f>
        <v/>
      </c>
      <c r="M3718" s="64">
        <f>IF(tblMovement[[#This Row],[Material]]="","",IF(LEFT(tblMovement[[#This Row],[Material]],3)="Ore",1,0))</f>
        <v/>
      </c>
      <c r="N3718" s="59">
        <f>IF(OR(tblMovement[[#This Row],[Tonnes_t]]="",tblMovement[[#This Row],[Grade_gpt]]=""),0,tblMovement[[#This Row],[Tonnes_t]]*tblMovement[[#This Row],[Grade_gpt]]/cfg_TroyOz)</f>
        <v/>
      </c>
      <c r="O3718" s="59">
        <f>IF(tblMovement[[#This Row],[Is_Ore]]=1,tblMovement[[#This Row],[Contained_oz]],0)</f>
        <v/>
      </c>
    </row>
    <row r="3719">
      <c r="A3719" s="54" t="n"/>
      <c r="B3719" s="61" t="n"/>
      <c r="C3719" s="61" t="n"/>
      <c r="D3719" s="61" t="n"/>
      <c r="E3719" s="61" t="n"/>
      <c r="F3719" s="55" t="n"/>
      <c r="G3719" s="56" t="n"/>
      <c r="H3719" s="55" t="n"/>
      <c r="I3719" s="62" t="n"/>
      <c r="J3719" s="58" t="n"/>
      <c r="K3719" s="63">
        <f>IF(tblMovement[[#This Row],[Source]]="","",IFERROR(INDEX(tblSources[Type],MATCH(tblMovement[[#This Row],[Source]],tblSources[Source],0)),"?"))</f>
        <v/>
      </c>
      <c r="L3719" s="63">
        <f>IF(tblMovement[[#This Row],[Destination]]="","",IFERROR(INDEX(tblDestinations[Type],MATCH(tblMovement[[#This Row],[Destination]],tblDestinations[Destination],0)),"?"))</f>
        <v/>
      </c>
      <c r="M3719" s="64">
        <f>IF(tblMovement[[#This Row],[Material]]="","",IF(LEFT(tblMovement[[#This Row],[Material]],3)="Ore",1,0))</f>
        <v/>
      </c>
      <c r="N3719" s="59">
        <f>IF(OR(tblMovement[[#This Row],[Tonnes_t]]="",tblMovement[[#This Row],[Grade_gpt]]=""),0,tblMovement[[#This Row],[Tonnes_t]]*tblMovement[[#This Row],[Grade_gpt]]/cfg_TroyOz)</f>
        <v/>
      </c>
      <c r="O3719" s="59">
        <f>IF(tblMovement[[#This Row],[Is_Ore]]=1,tblMovement[[#This Row],[Contained_oz]],0)</f>
        <v/>
      </c>
    </row>
    <row r="3720">
      <c r="A3720" s="54" t="n"/>
      <c r="B3720" s="61" t="n"/>
      <c r="C3720" s="61" t="n"/>
      <c r="D3720" s="61" t="n"/>
      <c r="E3720" s="61" t="n"/>
      <c r="F3720" s="55" t="n"/>
      <c r="G3720" s="56" t="n"/>
      <c r="H3720" s="55" t="n"/>
      <c r="I3720" s="62" t="n"/>
      <c r="J3720" s="58" t="n"/>
      <c r="K3720" s="63">
        <f>IF(tblMovement[[#This Row],[Source]]="","",IFERROR(INDEX(tblSources[Type],MATCH(tblMovement[[#This Row],[Source]],tblSources[Source],0)),"?"))</f>
        <v/>
      </c>
      <c r="L3720" s="63">
        <f>IF(tblMovement[[#This Row],[Destination]]="","",IFERROR(INDEX(tblDestinations[Type],MATCH(tblMovement[[#This Row],[Destination]],tblDestinations[Destination],0)),"?"))</f>
        <v/>
      </c>
      <c r="M3720" s="64">
        <f>IF(tblMovement[[#This Row],[Material]]="","",IF(LEFT(tblMovement[[#This Row],[Material]],3)="Ore",1,0))</f>
        <v/>
      </c>
      <c r="N3720" s="59">
        <f>IF(OR(tblMovement[[#This Row],[Tonnes_t]]="",tblMovement[[#This Row],[Grade_gpt]]=""),0,tblMovement[[#This Row],[Tonnes_t]]*tblMovement[[#This Row],[Grade_gpt]]/cfg_TroyOz)</f>
        <v/>
      </c>
      <c r="O3720" s="59">
        <f>IF(tblMovement[[#This Row],[Is_Ore]]=1,tblMovement[[#This Row],[Contained_oz]],0)</f>
        <v/>
      </c>
    </row>
    <row r="3721">
      <c r="A3721" s="54" t="n"/>
      <c r="B3721" s="61" t="n"/>
      <c r="C3721" s="61" t="n"/>
      <c r="D3721" s="61" t="n"/>
      <c r="E3721" s="61" t="n"/>
      <c r="F3721" s="55" t="n"/>
      <c r="G3721" s="56" t="n"/>
      <c r="H3721" s="55" t="n"/>
      <c r="I3721" s="62" t="n"/>
      <c r="J3721" s="58" t="n"/>
      <c r="K3721" s="63">
        <f>IF(tblMovement[[#This Row],[Source]]="","",IFERROR(INDEX(tblSources[Type],MATCH(tblMovement[[#This Row],[Source]],tblSources[Source],0)),"?"))</f>
        <v/>
      </c>
      <c r="L3721" s="63">
        <f>IF(tblMovement[[#This Row],[Destination]]="","",IFERROR(INDEX(tblDestinations[Type],MATCH(tblMovement[[#This Row],[Destination]],tblDestinations[Destination],0)),"?"))</f>
        <v/>
      </c>
      <c r="M3721" s="64">
        <f>IF(tblMovement[[#This Row],[Material]]="","",IF(LEFT(tblMovement[[#This Row],[Material]],3)="Ore",1,0))</f>
        <v/>
      </c>
      <c r="N3721" s="59">
        <f>IF(OR(tblMovement[[#This Row],[Tonnes_t]]="",tblMovement[[#This Row],[Grade_gpt]]=""),0,tblMovement[[#This Row],[Tonnes_t]]*tblMovement[[#This Row],[Grade_gpt]]/cfg_TroyOz)</f>
        <v/>
      </c>
      <c r="O3721" s="59">
        <f>IF(tblMovement[[#This Row],[Is_Ore]]=1,tblMovement[[#This Row],[Contained_oz]],0)</f>
        <v/>
      </c>
    </row>
    <row r="3722">
      <c r="A3722" s="54" t="n"/>
      <c r="B3722" s="61" t="n"/>
      <c r="C3722" s="61" t="n"/>
      <c r="D3722" s="61" t="n"/>
      <c r="E3722" s="61" t="n"/>
      <c r="F3722" s="55" t="n"/>
      <c r="G3722" s="56" t="n"/>
      <c r="H3722" s="55" t="n"/>
      <c r="I3722" s="62" t="n"/>
      <c r="J3722" s="58" t="n"/>
      <c r="K3722" s="63">
        <f>IF(tblMovement[[#This Row],[Source]]="","",IFERROR(INDEX(tblSources[Type],MATCH(tblMovement[[#This Row],[Source]],tblSources[Source],0)),"?"))</f>
        <v/>
      </c>
      <c r="L3722" s="63">
        <f>IF(tblMovement[[#This Row],[Destination]]="","",IFERROR(INDEX(tblDestinations[Type],MATCH(tblMovement[[#This Row],[Destination]],tblDestinations[Destination],0)),"?"))</f>
        <v/>
      </c>
      <c r="M3722" s="64">
        <f>IF(tblMovement[[#This Row],[Material]]="","",IF(LEFT(tblMovement[[#This Row],[Material]],3)="Ore",1,0))</f>
        <v/>
      </c>
      <c r="N3722" s="59">
        <f>IF(OR(tblMovement[[#This Row],[Tonnes_t]]="",tblMovement[[#This Row],[Grade_gpt]]=""),0,tblMovement[[#This Row],[Tonnes_t]]*tblMovement[[#This Row],[Grade_gpt]]/cfg_TroyOz)</f>
        <v/>
      </c>
      <c r="O3722" s="59">
        <f>IF(tblMovement[[#This Row],[Is_Ore]]=1,tblMovement[[#This Row],[Contained_oz]],0)</f>
        <v/>
      </c>
    </row>
    <row r="3723">
      <c r="A3723" s="54" t="n"/>
      <c r="B3723" s="61" t="n"/>
      <c r="C3723" s="61" t="n"/>
      <c r="D3723" s="61" t="n"/>
      <c r="E3723" s="61" t="n"/>
      <c r="F3723" s="55" t="n"/>
      <c r="G3723" s="56" t="n"/>
      <c r="H3723" s="55" t="n"/>
      <c r="I3723" s="62" t="n"/>
      <c r="J3723" s="58" t="n"/>
      <c r="K3723" s="63">
        <f>IF(tblMovement[[#This Row],[Source]]="","",IFERROR(INDEX(tblSources[Type],MATCH(tblMovement[[#This Row],[Source]],tblSources[Source],0)),"?"))</f>
        <v/>
      </c>
      <c r="L3723" s="63">
        <f>IF(tblMovement[[#This Row],[Destination]]="","",IFERROR(INDEX(tblDestinations[Type],MATCH(tblMovement[[#This Row],[Destination]],tblDestinations[Destination],0)),"?"))</f>
        <v/>
      </c>
      <c r="M3723" s="64">
        <f>IF(tblMovement[[#This Row],[Material]]="","",IF(LEFT(tblMovement[[#This Row],[Material]],3)="Ore",1,0))</f>
        <v/>
      </c>
      <c r="N3723" s="59">
        <f>IF(OR(tblMovement[[#This Row],[Tonnes_t]]="",tblMovement[[#This Row],[Grade_gpt]]=""),0,tblMovement[[#This Row],[Tonnes_t]]*tblMovement[[#This Row],[Grade_gpt]]/cfg_TroyOz)</f>
        <v/>
      </c>
      <c r="O3723" s="59">
        <f>IF(tblMovement[[#This Row],[Is_Ore]]=1,tblMovement[[#This Row],[Contained_oz]],0)</f>
        <v/>
      </c>
    </row>
    <row r="3724">
      <c r="A3724" s="54" t="n"/>
      <c r="B3724" s="61" t="n"/>
      <c r="C3724" s="61" t="n"/>
      <c r="D3724" s="61" t="n"/>
      <c r="E3724" s="61" t="n"/>
      <c r="F3724" s="55" t="n"/>
      <c r="G3724" s="56" t="n"/>
      <c r="H3724" s="55" t="n"/>
      <c r="I3724" s="62" t="n"/>
      <c r="J3724" s="58" t="n"/>
      <c r="K3724" s="63">
        <f>IF(tblMovement[[#This Row],[Source]]="","",IFERROR(INDEX(tblSources[Type],MATCH(tblMovement[[#This Row],[Source]],tblSources[Source],0)),"?"))</f>
        <v/>
      </c>
      <c r="L3724" s="63">
        <f>IF(tblMovement[[#This Row],[Destination]]="","",IFERROR(INDEX(tblDestinations[Type],MATCH(tblMovement[[#This Row],[Destination]],tblDestinations[Destination],0)),"?"))</f>
        <v/>
      </c>
      <c r="M3724" s="64">
        <f>IF(tblMovement[[#This Row],[Material]]="","",IF(LEFT(tblMovement[[#This Row],[Material]],3)="Ore",1,0))</f>
        <v/>
      </c>
      <c r="N3724" s="59">
        <f>IF(OR(tblMovement[[#This Row],[Tonnes_t]]="",tblMovement[[#This Row],[Grade_gpt]]=""),0,tblMovement[[#This Row],[Tonnes_t]]*tblMovement[[#This Row],[Grade_gpt]]/cfg_TroyOz)</f>
        <v/>
      </c>
      <c r="O3724" s="59">
        <f>IF(tblMovement[[#This Row],[Is_Ore]]=1,tblMovement[[#This Row],[Contained_oz]],0)</f>
        <v/>
      </c>
    </row>
    <row r="3725">
      <c r="A3725" s="54" t="n"/>
      <c r="B3725" s="61" t="n"/>
      <c r="C3725" s="61" t="n"/>
      <c r="D3725" s="61" t="n"/>
      <c r="E3725" s="61" t="n"/>
      <c r="F3725" s="55" t="n"/>
      <c r="G3725" s="56" t="n"/>
      <c r="H3725" s="55" t="n"/>
      <c r="I3725" s="62" t="n"/>
      <c r="J3725" s="58" t="n"/>
      <c r="K3725" s="63">
        <f>IF(tblMovement[[#This Row],[Source]]="","",IFERROR(INDEX(tblSources[Type],MATCH(tblMovement[[#This Row],[Source]],tblSources[Source],0)),"?"))</f>
        <v/>
      </c>
      <c r="L3725" s="63">
        <f>IF(tblMovement[[#This Row],[Destination]]="","",IFERROR(INDEX(tblDestinations[Type],MATCH(tblMovement[[#This Row],[Destination]],tblDestinations[Destination],0)),"?"))</f>
        <v/>
      </c>
      <c r="M3725" s="64">
        <f>IF(tblMovement[[#This Row],[Material]]="","",IF(LEFT(tblMovement[[#This Row],[Material]],3)="Ore",1,0))</f>
        <v/>
      </c>
      <c r="N3725" s="59">
        <f>IF(OR(tblMovement[[#This Row],[Tonnes_t]]="",tblMovement[[#This Row],[Grade_gpt]]=""),0,tblMovement[[#This Row],[Tonnes_t]]*tblMovement[[#This Row],[Grade_gpt]]/cfg_TroyOz)</f>
        <v/>
      </c>
      <c r="O3725" s="59">
        <f>IF(tblMovement[[#This Row],[Is_Ore]]=1,tblMovement[[#This Row],[Contained_oz]],0)</f>
        <v/>
      </c>
    </row>
    <row r="3726">
      <c r="A3726" s="54" t="n"/>
      <c r="B3726" s="61" t="n"/>
      <c r="C3726" s="61" t="n"/>
      <c r="D3726" s="61" t="n"/>
      <c r="E3726" s="61" t="n"/>
      <c r="F3726" s="55" t="n"/>
      <c r="G3726" s="56" t="n"/>
      <c r="H3726" s="55" t="n"/>
      <c r="I3726" s="62" t="n"/>
      <c r="J3726" s="58" t="n"/>
      <c r="K3726" s="63">
        <f>IF(tblMovement[[#This Row],[Source]]="","",IFERROR(INDEX(tblSources[Type],MATCH(tblMovement[[#This Row],[Source]],tblSources[Source],0)),"?"))</f>
        <v/>
      </c>
      <c r="L3726" s="63">
        <f>IF(tblMovement[[#This Row],[Destination]]="","",IFERROR(INDEX(tblDestinations[Type],MATCH(tblMovement[[#This Row],[Destination]],tblDestinations[Destination],0)),"?"))</f>
        <v/>
      </c>
      <c r="M3726" s="64">
        <f>IF(tblMovement[[#This Row],[Material]]="","",IF(LEFT(tblMovement[[#This Row],[Material]],3)="Ore",1,0))</f>
        <v/>
      </c>
      <c r="N3726" s="59">
        <f>IF(OR(tblMovement[[#This Row],[Tonnes_t]]="",tblMovement[[#This Row],[Grade_gpt]]=""),0,tblMovement[[#This Row],[Tonnes_t]]*tblMovement[[#This Row],[Grade_gpt]]/cfg_TroyOz)</f>
        <v/>
      </c>
      <c r="O3726" s="59">
        <f>IF(tblMovement[[#This Row],[Is_Ore]]=1,tblMovement[[#This Row],[Contained_oz]],0)</f>
        <v/>
      </c>
    </row>
    <row r="3727">
      <c r="A3727" s="54" t="n"/>
      <c r="B3727" s="61" t="n"/>
      <c r="C3727" s="61" t="n"/>
      <c r="D3727" s="61" t="n"/>
      <c r="E3727" s="61" t="n"/>
      <c r="F3727" s="55" t="n"/>
      <c r="G3727" s="56" t="n"/>
      <c r="H3727" s="55" t="n"/>
      <c r="I3727" s="62" t="n"/>
      <c r="J3727" s="58" t="n"/>
      <c r="K3727" s="63">
        <f>IF(tblMovement[[#This Row],[Source]]="","",IFERROR(INDEX(tblSources[Type],MATCH(tblMovement[[#This Row],[Source]],tblSources[Source],0)),"?"))</f>
        <v/>
      </c>
      <c r="L3727" s="63">
        <f>IF(tblMovement[[#This Row],[Destination]]="","",IFERROR(INDEX(tblDestinations[Type],MATCH(tblMovement[[#This Row],[Destination]],tblDestinations[Destination],0)),"?"))</f>
        <v/>
      </c>
      <c r="M3727" s="64">
        <f>IF(tblMovement[[#This Row],[Material]]="","",IF(LEFT(tblMovement[[#This Row],[Material]],3)="Ore",1,0))</f>
        <v/>
      </c>
      <c r="N3727" s="59">
        <f>IF(OR(tblMovement[[#This Row],[Tonnes_t]]="",tblMovement[[#This Row],[Grade_gpt]]=""),0,tblMovement[[#This Row],[Tonnes_t]]*tblMovement[[#This Row],[Grade_gpt]]/cfg_TroyOz)</f>
        <v/>
      </c>
      <c r="O3727" s="59">
        <f>IF(tblMovement[[#This Row],[Is_Ore]]=1,tblMovement[[#This Row],[Contained_oz]],0)</f>
        <v/>
      </c>
    </row>
    <row r="3728">
      <c r="A3728" s="54" t="n"/>
      <c r="B3728" s="61" t="n"/>
      <c r="C3728" s="61" t="n"/>
      <c r="D3728" s="61" t="n"/>
      <c r="E3728" s="61" t="n"/>
      <c r="F3728" s="55" t="n"/>
      <c r="G3728" s="56" t="n"/>
      <c r="H3728" s="55" t="n"/>
      <c r="I3728" s="62" t="n"/>
      <c r="J3728" s="58" t="n"/>
      <c r="K3728" s="63">
        <f>IF(tblMovement[[#This Row],[Source]]="","",IFERROR(INDEX(tblSources[Type],MATCH(tblMovement[[#This Row],[Source]],tblSources[Source],0)),"?"))</f>
        <v/>
      </c>
      <c r="L3728" s="63">
        <f>IF(tblMovement[[#This Row],[Destination]]="","",IFERROR(INDEX(tblDestinations[Type],MATCH(tblMovement[[#This Row],[Destination]],tblDestinations[Destination],0)),"?"))</f>
        <v/>
      </c>
      <c r="M3728" s="64">
        <f>IF(tblMovement[[#This Row],[Material]]="","",IF(LEFT(tblMovement[[#This Row],[Material]],3)="Ore",1,0))</f>
        <v/>
      </c>
      <c r="N3728" s="59">
        <f>IF(OR(tblMovement[[#This Row],[Tonnes_t]]="",tblMovement[[#This Row],[Grade_gpt]]=""),0,tblMovement[[#This Row],[Tonnes_t]]*tblMovement[[#This Row],[Grade_gpt]]/cfg_TroyOz)</f>
        <v/>
      </c>
      <c r="O3728" s="59">
        <f>IF(tblMovement[[#This Row],[Is_Ore]]=1,tblMovement[[#This Row],[Contained_oz]],0)</f>
        <v/>
      </c>
    </row>
    <row r="3729">
      <c r="A3729" s="54" t="n"/>
      <c r="B3729" s="61" t="n"/>
      <c r="C3729" s="61" t="n"/>
      <c r="D3729" s="61" t="n"/>
      <c r="E3729" s="61" t="n"/>
      <c r="F3729" s="55" t="n"/>
      <c r="G3729" s="56" t="n"/>
      <c r="H3729" s="55" t="n"/>
      <c r="I3729" s="62" t="n"/>
      <c r="J3729" s="58" t="n"/>
      <c r="K3729" s="63">
        <f>IF(tblMovement[[#This Row],[Source]]="","",IFERROR(INDEX(tblSources[Type],MATCH(tblMovement[[#This Row],[Source]],tblSources[Source],0)),"?"))</f>
        <v/>
      </c>
      <c r="L3729" s="63">
        <f>IF(tblMovement[[#This Row],[Destination]]="","",IFERROR(INDEX(tblDestinations[Type],MATCH(tblMovement[[#This Row],[Destination]],tblDestinations[Destination],0)),"?"))</f>
        <v/>
      </c>
      <c r="M3729" s="64">
        <f>IF(tblMovement[[#This Row],[Material]]="","",IF(LEFT(tblMovement[[#This Row],[Material]],3)="Ore",1,0))</f>
        <v/>
      </c>
      <c r="N3729" s="59">
        <f>IF(OR(tblMovement[[#This Row],[Tonnes_t]]="",tblMovement[[#This Row],[Grade_gpt]]=""),0,tblMovement[[#This Row],[Tonnes_t]]*tblMovement[[#This Row],[Grade_gpt]]/cfg_TroyOz)</f>
        <v/>
      </c>
      <c r="O3729" s="59">
        <f>IF(tblMovement[[#This Row],[Is_Ore]]=1,tblMovement[[#This Row],[Contained_oz]],0)</f>
        <v/>
      </c>
    </row>
    <row r="3730">
      <c r="A3730" s="54" t="n"/>
      <c r="B3730" s="61" t="n"/>
      <c r="C3730" s="61" t="n"/>
      <c r="D3730" s="61" t="n"/>
      <c r="E3730" s="61" t="n"/>
      <c r="F3730" s="55" t="n"/>
      <c r="G3730" s="56" t="n"/>
      <c r="H3730" s="55" t="n"/>
      <c r="I3730" s="62" t="n"/>
      <c r="J3730" s="58" t="n"/>
      <c r="K3730" s="63">
        <f>IF(tblMovement[[#This Row],[Source]]="","",IFERROR(INDEX(tblSources[Type],MATCH(tblMovement[[#This Row],[Source]],tblSources[Source],0)),"?"))</f>
        <v/>
      </c>
      <c r="L3730" s="63">
        <f>IF(tblMovement[[#This Row],[Destination]]="","",IFERROR(INDEX(tblDestinations[Type],MATCH(tblMovement[[#This Row],[Destination]],tblDestinations[Destination],0)),"?"))</f>
        <v/>
      </c>
      <c r="M3730" s="64">
        <f>IF(tblMovement[[#This Row],[Material]]="","",IF(LEFT(tblMovement[[#This Row],[Material]],3)="Ore",1,0))</f>
        <v/>
      </c>
      <c r="N3730" s="59">
        <f>IF(OR(tblMovement[[#This Row],[Tonnes_t]]="",tblMovement[[#This Row],[Grade_gpt]]=""),0,tblMovement[[#This Row],[Tonnes_t]]*tblMovement[[#This Row],[Grade_gpt]]/cfg_TroyOz)</f>
        <v/>
      </c>
      <c r="O3730" s="59">
        <f>IF(tblMovement[[#This Row],[Is_Ore]]=1,tblMovement[[#This Row],[Contained_oz]],0)</f>
        <v/>
      </c>
    </row>
    <row r="3731">
      <c r="A3731" s="54" t="n"/>
      <c r="B3731" s="61" t="n"/>
      <c r="C3731" s="61" t="n"/>
      <c r="D3731" s="61" t="n"/>
      <c r="E3731" s="61" t="n"/>
      <c r="F3731" s="55" t="n"/>
      <c r="G3731" s="56" t="n"/>
      <c r="H3731" s="55" t="n"/>
      <c r="I3731" s="62" t="n"/>
      <c r="J3731" s="58" t="n"/>
      <c r="K3731" s="63">
        <f>IF(tblMovement[[#This Row],[Source]]="","",IFERROR(INDEX(tblSources[Type],MATCH(tblMovement[[#This Row],[Source]],tblSources[Source],0)),"?"))</f>
        <v/>
      </c>
      <c r="L3731" s="63">
        <f>IF(tblMovement[[#This Row],[Destination]]="","",IFERROR(INDEX(tblDestinations[Type],MATCH(tblMovement[[#This Row],[Destination]],tblDestinations[Destination],0)),"?"))</f>
        <v/>
      </c>
      <c r="M3731" s="64">
        <f>IF(tblMovement[[#This Row],[Material]]="","",IF(LEFT(tblMovement[[#This Row],[Material]],3)="Ore",1,0))</f>
        <v/>
      </c>
      <c r="N3731" s="59">
        <f>IF(OR(tblMovement[[#This Row],[Tonnes_t]]="",tblMovement[[#This Row],[Grade_gpt]]=""),0,tblMovement[[#This Row],[Tonnes_t]]*tblMovement[[#This Row],[Grade_gpt]]/cfg_TroyOz)</f>
        <v/>
      </c>
      <c r="O3731" s="59">
        <f>IF(tblMovement[[#This Row],[Is_Ore]]=1,tblMovement[[#This Row],[Contained_oz]],0)</f>
        <v/>
      </c>
    </row>
    <row r="3732">
      <c r="A3732" s="54" t="n"/>
      <c r="B3732" s="61" t="n"/>
      <c r="C3732" s="61" t="n"/>
      <c r="D3732" s="61" t="n"/>
      <c r="E3732" s="61" t="n"/>
      <c r="F3732" s="55" t="n"/>
      <c r="G3732" s="56" t="n"/>
      <c r="H3732" s="55" t="n"/>
      <c r="I3732" s="62" t="n"/>
      <c r="J3732" s="58" t="n"/>
      <c r="K3732" s="63">
        <f>IF(tblMovement[[#This Row],[Source]]="","",IFERROR(INDEX(tblSources[Type],MATCH(tblMovement[[#This Row],[Source]],tblSources[Source],0)),"?"))</f>
        <v/>
      </c>
      <c r="L3732" s="63">
        <f>IF(tblMovement[[#This Row],[Destination]]="","",IFERROR(INDEX(tblDestinations[Type],MATCH(tblMovement[[#This Row],[Destination]],tblDestinations[Destination],0)),"?"))</f>
        <v/>
      </c>
      <c r="M3732" s="64">
        <f>IF(tblMovement[[#This Row],[Material]]="","",IF(LEFT(tblMovement[[#This Row],[Material]],3)="Ore",1,0))</f>
        <v/>
      </c>
      <c r="N3732" s="59">
        <f>IF(OR(tblMovement[[#This Row],[Tonnes_t]]="",tblMovement[[#This Row],[Grade_gpt]]=""),0,tblMovement[[#This Row],[Tonnes_t]]*tblMovement[[#This Row],[Grade_gpt]]/cfg_TroyOz)</f>
        <v/>
      </c>
      <c r="O3732" s="59">
        <f>IF(tblMovement[[#This Row],[Is_Ore]]=1,tblMovement[[#This Row],[Contained_oz]],0)</f>
        <v/>
      </c>
    </row>
    <row r="3733">
      <c r="A3733" s="54" t="n"/>
      <c r="B3733" s="61" t="n"/>
      <c r="C3733" s="61" t="n"/>
      <c r="D3733" s="61" t="n"/>
      <c r="E3733" s="61" t="n"/>
      <c r="F3733" s="55" t="n"/>
      <c r="G3733" s="56" t="n"/>
      <c r="H3733" s="55" t="n"/>
      <c r="I3733" s="62" t="n"/>
      <c r="J3733" s="58" t="n"/>
      <c r="K3733" s="63">
        <f>IF(tblMovement[[#This Row],[Source]]="","",IFERROR(INDEX(tblSources[Type],MATCH(tblMovement[[#This Row],[Source]],tblSources[Source],0)),"?"))</f>
        <v/>
      </c>
      <c r="L3733" s="63">
        <f>IF(tblMovement[[#This Row],[Destination]]="","",IFERROR(INDEX(tblDestinations[Type],MATCH(tblMovement[[#This Row],[Destination]],tblDestinations[Destination],0)),"?"))</f>
        <v/>
      </c>
      <c r="M3733" s="64">
        <f>IF(tblMovement[[#This Row],[Material]]="","",IF(LEFT(tblMovement[[#This Row],[Material]],3)="Ore",1,0))</f>
        <v/>
      </c>
      <c r="N3733" s="59">
        <f>IF(OR(tblMovement[[#This Row],[Tonnes_t]]="",tblMovement[[#This Row],[Grade_gpt]]=""),0,tblMovement[[#This Row],[Tonnes_t]]*tblMovement[[#This Row],[Grade_gpt]]/cfg_TroyOz)</f>
        <v/>
      </c>
      <c r="O3733" s="59">
        <f>IF(tblMovement[[#This Row],[Is_Ore]]=1,tblMovement[[#This Row],[Contained_oz]],0)</f>
        <v/>
      </c>
    </row>
    <row r="3734">
      <c r="A3734" s="54" t="n"/>
      <c r="B3734" s="61" t="n"/>
      <c r="C3734" s="61" t="n"/>
      <c r="D3734" s="61" t="n"/>
      <c r="E3734" s="61" t="n"/>
      <c r="F3734" s="55" t="n"/>
      <c r="G3734" s="56" t="n"/>
      <c r="H3734" s="55" t="n"/>
      <c r="I3734" s="62" t="n"/>
      <c r="J3734" s="58" t="n"/>
      <c r="K3734" s="63">
        <f>IF(tblMovement[[#This Row],[Source]]="","",IFERROR(INDEX(tblSources[Type],MATCH(tblMovement[[#This Row],[Source]],tblSources[Source],0)),"?"))</f>
        <v/>
      </c>
      <c r="L3734" s="63">
        <f>IF(tblMovement[[#This Row],[Destination]]="","",IFERROR(INDEX(tblDestinations[Type],MATCH(tblMovement[[#This Row],[Destination]],tblDestinations[Destination],0)),"?"))</f>
        <v/>
      </c>
      <c r="M3734" s="64">
        <f>IF(tblMovement[[#This Row],[Material]]="","",IF(LEFT(tblMovement[[#This Row],[Material]],3)="Ore",1,0))</f>
        <v/>
      </c>
      <c r="N3734" s="59">
        <f>IF(OR(tblMovement[[#This Row],[Tonnes_t]]="",tblMovement[[#This Row],[Grade_gpt]]=""),0,tblMovement[[#This Row],[Tonnes_t]]*tblMovement[[#This Row],[Grade_gpt]]/cfg_TroyOz)</f>
        <v/>
      </c>
      <c r="O3734" s="59">
        <f>IF(tblMovement[[#This Row],[Is_Ore]]=1,tblMovement[[#This Row],[Contained_oz]],0)</f>
        <v/>
      </c>
    </row>
    <row r="3735">
      <c r="A3735" s="54" t="n"/>
      <c r="B3735" s="61" t="n"/>
      <c r="C3735" s="61" t="n"/>
      <c r="D3735" s="61" t="n"/>
      <c r="E3735" s="61" t="n"/>
      <c r="F3735" s="55" t="n"/>
      <c r="G3735" s="56" t="n"/>
      <c r="H3735" s="55" t="n"/>
      <c r="I3735" s="62" t="n"/>
      <c r="J3735" s="58" t="n"/>
      <c r="K3735" s="63">
        <f>IF(tblMovement[[#This Row],[Source]]="","",IFERROR(INDEX(tblSources[Type],MATCH(tblMovement[[#This Row],[Source]],tblSources[Source],0)),"?"))</f>
        <v/>
      </c>
      <c r="L3735" s="63">
        <f>IF(tblMovement[[#This Row],[Destination]]="","",IFERROR(INDEX(tblDestinations[Type],MATCH(tblMovement[[#This Row],[Destination]],tblDestinations[Destination],0)),"?"))</f>
        <v/>
      </c>
      <c r="M3735" s="64">
        <f>IF(tblMovement[[#This Row],[Material]]="","",IF(LEFT(tblMovement[[#This Row],[Material]],3)="Ore",1,0))</f>
        <v/>
      </c>
      <c r="N3735" s="59">
        <f>IF(OR(tblMovement[[#This Row],[Tonnes_t]]="",tblMovement[[#This Row],[Grade_gpt]]=""),0,tblMovement[[#This Row],[Tonnes_t]]*tblMovement[[#This Row],[Grade_gpt]]/cfg_TroyOz)</f>
        <v/>
      </c>
      <c r="O3735" s="59">
        <f>IF(tblMovement[[#This Row],[Is_Ore]]=1,tblMovement[[#This Row],[Contained_oz]],0)</f>
        <v/>
      </c>
    </row>
    <row r="3736">
      <c r="A3736" s="54" t="n"/>
      <c r="B3736" s="61" t="n"/>
      <c r="C3736" s="61" t="n"/>
      <c r="D3736" s="61" t="n"/>
      <c r="E3736" s="61" t="n"/>
      <c r="F3736" s="55" t="n"/>
      <c r="G3736" s="56" t="n"/>
      <c r="H3736" s="55" t="n"/>
      <c r="I3736" s="62" t="n"/>
      <c r="J3736" s="58" t="n"/>
      <c r="K3736" s="63">
        <f>IF(tblMovement[[#This Row],[Source]]="","",IFERROR(INDEX(tblSources[Type],MATCH(tblMovement[[#This Row],[Source]],tblSources[Source],0)),"?"))</f>
        <v/>
      </c>
      <c r="L3736" s="63">
        <f>IF(tblMovement[[#This Row],[Destination]]="","",IFERROR(INDEX(tblDestinations[Type],MATCH(tblMovement[[#This Row],[Destination]],tblDestinations[Destination],0)),"?"))</f>
        <v/>
      </c>
      <c r="M3736" s="64">
        <f>IF(tblMovement[[#This Row],[Material]]="","",IF(LEFT(tblMovement[[#This Row],[Material]],3)="Ore",1,0))</f>
        <v/>
      </c>
      <c r="N3736" s="59">
        <f>IF(OR(tblMovement[[#This Row],[Tonnes_t]]="",tblMovement[[#This Row],[Grade_gpt]]=""),0,tblMovement[[#This Row],[Tonnes_t]]*tblMovement[[#This Row],[Grade_gpt]]/cfg_TroyOz)</f>
        <v/>
      </c>
      <c r="O3736" s="59">
        <f>IF(tblMovement[[#This Row],[Is_Ore]]=1,tblMovement[[#This Row],[Contained_oz]],0)</f>
        <v/>
      </c>
    </row>
    <row r="3737">
      <c r="A3737" s="54" t="n"/>
      <c r="B3737" s="61" t="n"/>
      <c r="C3737" s="61" t="n"/>
      <c r="D3737" s="61" t="n"/>
      <c r="E3737" s="61" t="n"/>
      <c r="F3737" s="55" t="n"/>
      <c r="G3737" s="56" t="n"/>
      <c r="H3737" s="55" t="n"/>
      <c r="I3737" s="62" t="n"/>
      <c r="J3737" s="58" t="n"/>
      <c r="K3737" s="63">
        <f>IF(tblMovement[[#This Row],[Source]]="","",IFERROR(INDEX(tblSources[Type],MATCH(tblMovement[[#This Row],[Source]],tblSources[Source],0)),"?"))</f>
        <v/>
      </c>
      <c r="L3737" s="63">
        <f>IF(tblMovement[[#This Row],[Destination]]="","",IFERROR(INDEX(tblDestinations[Type],MATCH(tblMovement[[#This Row],[Destination]],tblDestinations[Destination],0)),"?"))</f>
        <v/>
      </c>
      <c r="M3737" s="64">
        <f>IF(tblMovement[[#This Row],[Material]]="","",IF(LEFT(tblMovement[[#This Row],[Material]],3)="Ore",1,0))</f>
        <v/>
      </c>
      <c r="N3737" s="59">
        <f>IF(OR(tblMovement[[#This Row],[Tonnes_t]]="",tblMovement[[#This Row],[Grade_gpt]]=""),0,tblMovement[[#This Row],[Tonnes_t]]*tblMovement[[#This Row],[Grade_gpt]]/cfg_TroyOz)</f>
        <v/>
      </c>
      <c r="O3737" s="59">
        <f>IF(tblMovement[[#This Row],[Is_Ore]]=1,tblMovement[[#This Row],[Contained_oz]],0)</f>
        <v/>
      </c>
    </row>
    <row r="3738">
      <c r="A3738" s="54" t="n"/>
      <c r="B3738" s="61" t="n"/>
      <c r="C3738" s="61" t="n"/>
      <c r="D3738" s="61" t="n"/>
      <c r="E3738" s="61" t="n"/>
      <c r="F3738" s="55" t="n"/>
      <c r="G3738" s="56" t="n"/>
      <c r="H3738" s="55" t="n"/>
      <c r="I3738" s="62" t="n"/>
      <c r="J3738" s="58" t="n"/>
      <c r="K3738" s="63">
        <f>IF(tblMovement[[#This Row],[Source]]="","",IFERROR(INDEX(tblSources[Type],MATCH(tblMovement[[#This Row],[Source]],tblSources[Source],0)),"?"))</f>
        <v/>
      </c>
      <c r="L3738" s="63">
        <f>IF(tblMovement[[#This Row],[Destination]]="","",IFERROR(INDEX(tblDestinations[Type],MATCH(tblMovement[[#This Row],[Destination]],tblDestinations[Destination],0)),"?"))</f>
        <v/>
      </c>
      <c r="M3738" s="64">
        <f>IF(tblMovement[[#This Row],[Material]]="","",IF(LEFT(tblMovement[[#This Row],[Material]],3)="Ore",1,0))</f>
        <v/>
      </c>
      <c r="N3738" s="59">
        <f>IF(OR(tblMovement[[#This Row],[Tonnes_t]]="",tblMovement[[#This Row],[Grade_gpt]]=""),0,tblMovement[[#This Row],[Tonnes_t]]*tblMovement[[#This Row],[Grade_gpt]]/cfg_TroyOz)</f>
        <v/>
      </c>
      <c r="O3738" s="59">
        <f>IF(tblMovement[[#This Row],[Is_Ore]]=1,tblMovement[[#This Row],[Contained_oz]],0)</f>
        <v/>
      </c>
    </row>
    <row r="3739">
      <c r="A3739" s="54" t="n"/>
      <c r="B3739" s="61" t="n"/>
      <c r="C3739" s="61" t="n"/>
      <c r="D3739" s="61" t="n"/>
      <c r="E3739" s="61" t="n"/>
      <c r="F3739" s="55" t="n"/>
      <c r="G3739" s="56" t="n"/>
      <c r="H3739" s="55" t="n"/>
      <c r="I3739" s="62" t="n"/>
      <c r="J3739" s="58" t="n"/>
      <c r="K3739" s="63">
        <f>IF(tblMovement[[#This Row],[Source]]="","",IFERROR(INDEX(tblSources[Type],MATCH(tblMovement[[#This Row],[Source]],tblSources[Source],0)),"?"))</f>
        <v/>
      </c>
      <c r="L3739" s="63">
        <f>IF(tblMovement[[#This Row],[Destination]]="","",IFERROR(INDEX(tblDestinations[Type],MATCH(tblMovement[[#This Row],[Destination]],tblDestinations[Destination],0)),"?"))</f>
        <v/>
      </c>
      <c r="M3739" s="64">
        <f>IF(tblMovement[[#This Row],[Material]]="","",IF(LEFT(tblMovement[[#This Row],[Material]],3)="Ore",1,0))</f>
        <v/>
      </c>
      <c r="N3739" s="59">
        <f>IF(OR(tblMovement[[#This Row],[Tonnes_t]]="",tblMovement[[#This Row],[Grade_gpt]]=""),0,tblMovement[[#This Row],[Tonnes_t]]*tblMovement[[#This Row],[Grade_gpt]]/cfg_TroyOz)</f>
        <v/>
      </c>
      <c r="O3739" s="59">
        <f>IF(tblMovement[[#This Row],[Is_Ore]]=1,tblMovement[[#This Row],[Contained_oz]],0)</f>
        <v/>
      </c>
    </row>
    <row r="3740">
      <c r="A3740" s="54" t="n"/>
      <c r="B3740" s="61" t="n"/>
      <c r="C3740" s="61" t="n"/>
      <c r="D3740" s="61" t="n"/>
      <c r="E3740" s="61" t="n"/>
      <c r="F3740" s="55" t="n"/>
      <c r="G3740" s="56" t="n"/>
      <c r="H3740" s="55" t="n"/>
      <c r="I3740" s="62" t="n"/>
      <c r="J3740" s="58" t="n"/>
      <c r="K3740" s="63">
        <f>IF(tblMovement[[#This Row],[Source]]="","",IFERROR(INDEX(tblSources[Type],MATCH(tblMovement[[#This Row],[Source]],tblSources[Source],0)),"?"))</f>
        <v/>
      </c>
      <c r="L3740" s="63">
        <f>IF(tblMovement[[#This Row],[Destination]]="","",IFERROR(INDEX(tblDestinations[Type],MATCH(tblMovement[[#This Row],[Destination]],tblDestinations[Destination],0)),"?"))</f>
        <v/>
      </c>
      <c r="M3740" s="64">
        <f>IF(tblMovement[[#This Row],[Material]]="","",IF(LEFT(tblMovement[[#This Row],[Material]],3)="Ore",1,0))</f>
        <v/>
      </c>
      <c r="N3740" s="59">
        <f>IF(OR(tblMovement[[#This Row],[Tonnes_t]]="",tblMovement[[#This Row],[Grade_gpt]]=""),0,tblMovement[[#This Row],[Tonnes_t]]*tblMovement[[#This Row],[Grade_gpt]]/cfg_TroyOz)</f>
        <v/>
      </c>
      <c r="O3740" s="59">
        <f>IF(tblMovement[[#This Row],[Is_Ore]]=1,tblMovement[[#This Row],[Contained_oz]],0)</f>
        <v/>
      </c>
    </row>
    <row r="3741">
      <c r="A3741" s="54" t="n"/>
      <c r="B3741" s="61" t="n"/>
      <c r="C3741" s="61" t="n"/>
      <c r="D3741" s="61" t="n"/>
      <c r="E3741" s="61" t="n"/>
      <c r="F3741" s="55" t="n"/>
      <c r="G3741" s="56" t="n"/>
      <c r="H3741" s="55" t="n"/>
      <c r="I3741" s="62" t="n"/>
      <c r="J3741" s="58" t="n"/>
      <c r="K3741" s="63">
        <f>IF(tblMovement[[#This Row],[Source]]="","",IFERROR(INDEX(tblSources[Type],MATCH(tblMovement[[#This Row],[Source]],tblSources[Source],0)),"?"))</f>
        <v/>
      </c>
      <c r="L3741" s="63">
        <f>IF(tblMovement[[#This Row],[Destination]]="","",IFERROR(INDEX(tblDestinations[Type],MATCH(tblMovement[[#This Row],[Destination]],tblDestinations[Destination],0)),"?"))</f>
        <v/>
      </c>
      <c r="M3741" s="64">
        <f>IF(tblMovement[[#This Row],[Material]]="","",IF(LEFT(tblMovement[[#This Row],[Material]],3)="Ore",1,0))</f>
        <v/>
      </c>
      <c r="N3741" s="59">
        <f>IF(OR(tblMovement[[#This Row],[Tonnes_t]]="",tblMovement[[#This Row],[Grade_gpt]]=""),0,tblMovement[[#This Row],[Tonnes_t]]*tblMovement[[#This Row],[Grade_gpt]]/cfg_TroyOz)</f>
        <v/>
      </c>
      <c r="O3741" s="59">
        <f>IF(tblMovement[[#This Row],[Is_Ore]]=1,tblMovement[[#This Row],[Contained_oz]],0)</f>
        <v/>
      </c>
    </row>
    <row r="3742">
      <c r="A3742" s="54" t="n"/>
      <c r="B3742" s="61" t="n"/>
      <c r="C3742" s="61" t="n"/>
      <c r="D3742" s="61" t="n"/>
      <c r="E3742" s="61" t="n"/>
      <c r="F3742" s="55" t="n"/>
      <c r="G3742" s="56" t="n"/>
      <c r="H3742" s="55" t="n"/>
      <c r="I3742" s="62" t="n"/>
      <c r="J3742" s="58" t="n"/>
      <c r="K3742" s="63">
        <f>IF(tblMovement[[#This Row],[Source]]="","",IFERROR(INDEX(tblSources[Type],MATCH(tblMovement[[#This Row],[Source]],tblSources[Source],0)),"?"))</f>
        <v/>
      </c>
      <c r="L3742" s="63">
        <f>IF(tblMovement[[#This Row],[Destination]]="","",IFERROR(INDEX(tblDestinations[Type],MATCH(tblMovement[[#This Row],[Destination]],tblDestinations[Destination],0)),"?"))</f>
        <v/>
      </c>
      <c r="M3742" s="64">
        <f>IF(tblMovement[[#This Row],[Material]]="","",IF(LEFT(tblMovement[[#This Row],[Material]],3)="Ore",1,0))</f>
        <v/>
      </c>
      <c r="N3742" s="59">
        <f>IF(OR(tblMovement[[#This Row],[Tonnes_t]]="",tblMovement[[#This Row],[Grade_gpt]]=""),0,tblMovement[[#This Row],[Tonnes_t]]*tblMovement[[#This Row],[Grade_gpt]]/cfg_TroyOz)</f>
        <v/>
      </c>
      <c r="O3742" s="59">
        <f>IF(tblMovement[[#This Row],[Is_Ore]]=1,tblMovement[[#This Row],[Contained_oz]],0)</f>
        <v/>
      </c>
    </row>
    <row r="3743">
      <c r="A3743" s="54" t="n"/>
      <c r="B3743" s="61" t="n"/>
      <c r="C3743" s="61" t="n"/>
      <c r="D3743" s="61" t="n"/>
      <c r="E3743" s="61" t="n"/>
      <c r="F3743" s="55" t="n"/>
      <c r="G3743" s="56" t="n"/>
      <c r="H3743" s="55" t="n"/>
      <c r="I3743" s="62" t="n"/>
      <c r="J3743" s="58" t="n"/>
      <c r="K3743" s="63">
        <f>IF(tblMovement[[#This Row],[Source]]="","",IFERROR(INDEX(tblSources[Type],MATCH(tblMovement[[#This Row],[Source]],tblSources[Source],0)),"?"))</f>
        <v/>
      </c>
      <c r="L3743" s="63">
        <f>IF(tblMovement[[#This Row],[Destination]]="","",IFERROR(INDEX(tblDestinations[Type],MATCH(tblMovement[[#This Row],[Destination]],tblDestinations[Destination],0)),"?"))</f>
        <v/>
      </c>
      <c r="M3743" s="64">
        <f>IF(tblMovement[[#This Row],[Material]]="","",IF(LEFT(tblMovement[[#This Row],[Material]],3)="Ore",1,0))</f>
        <v/>
      </c>
      <c r="N3743" s="59">
        <f>IF(OR(tblMovement[[#This Row],[Tonnes_t]]="",tblMovement[[#This Row],[Grade_gpt]]=""),0,tblMovement[[#This Row],[Tonnes_t]]*tblMovement[[#This Row],[Grade_gpt]]/cfg_TroyOz)</f>
        <v/>
      </c>
      <c r="O3743" s="59">
        <f>IF(tblMovement[[#This Row],[Is_Ore]]=1,tblMovement[[#This Row],[Contained_oz]],0)</f>
        <v/>
      </c>
    </row>
    <row r="3744">
      <c r="A3744" s="54" t="n"/>
      <c r="B3744" s="61" t="n"/>
      <c r="C3744" s="61" t="n"/>
      <c r="D3744" s="61" t="n"/>
      <c r="E3744" s="61" t="n"/>
      <c r="F3744" s="55" t="n"/>
      <c r="G3744" s="56" t="n"/>
      <c r="H3744" s="55" t="n"/>
      <c r="I3744" s="62" t="n"/>
      <c r="J3744" s="58" t="n"/>
      <c r="K3744" s="63">
        <f>IF(tblMovement[[#This Row],[Source]]="","",IFERROR(INDEX(tblSources[Type],MATCH(tblMovement[[#This Row],[Source]],tblSources[Source],0)),"?"))</f>
        <v/>
      </c>
      <c r="L3744" s="63">
        <f>IF(tblMovement[[#This Row],[Destination]]="","",IFERROR(INDEX(tblDestinations[Type],MATCH(tblMovement[[#This Row],[Destination]],tblDestinations[Destination],0)),"?"))</f>
        <v/>
      </c>
      <c r="M3744" s="64">
        <f>IF(tblMovement[[#This Row],[Material]]="","",IF(LEFT(tblMovement[[#This Row],[Material]],3)="Ore",1,0))</f>
        <v/>
      </c>
      <c r="N3744" s="59">
        <f>IF(OR(tblMovement[[#This Row],[Tonnes_t]]="",tblMovement[[#This Row],[Grade_gpt]]=""),0,tblMovement[[#This Row],[Tonnes_t]]*tblMovement[[#This Row],[Grade_gpt]]/cfg_TroyOz)</f>
        <v/>
      </c>
      <c r="O3744" s="59">
        <f>IF(tblMovement[[#This Row],[Is_Ore]]=1,tblMovement[[#This Row],[Contained_oz]],0)</f>
        <v/>
      </c>
    </row>
    <row r="3745">
      <c r="A3745" s="54" t="n"/>
      <c r="B3745" s="61" t="n"/>
      <c r="C3745" s="61" t="n"/>
      <c r="D3745" s="61" t="n"/>
      <c r="E3745" s="61" t="n"/>
      <c r="F3745" s="55" t="n"/>
      <c r="G3745" s="56" t="n"/>
      <c r="H3745" s="55" t="n"/>
      <c r="I3745" s="62" t="n"/>
      <c r="J3745" s="58" t="n"/>
      <c r="K3745" s="63">
        <f>IF(tblMovement[[#This Row],[Source]]="","",IFERROR(INDEX(tblSources[Type],MATCH(tblMovement[[#This Row],[Source]],tblSources[Source],0)),"?"))</f>
        <v/>
      </c>
      <c r="L3745" s="63">
        <f>IF(tblMovement[[#This Row],[Destination]]="","",IFERROR(INDEX(tblDestinations[Type],MATCH(tblMovement[[#This Row],[Destination]],tblDestinations[Destination],0)),"?"))</f>
        <v/>
      </c>
      <c r="M3745" s="64">
        <f>IF(tblMovement[[#This Row],[Material]]="","",IF(LEFT(tblMovement[[#This Row],[Material]],3)="Ore",1,0))</f>
        <v/>
      </c>
      <c r="N3745" s="59">
        <f>IF(OR(tblMovement[[#This Row],[Tonnes_t]]="",tblMovement[[#This Row],[Grade_gpt]]=""),0,tblMovement[[#This Row],[Tonnes_t]]*tblMovement[[#This Row],[Grade_gpt]]/cfg_TroyOz)</f>
        <v/>
      </c>
      <c r="O3745" s="59">
        <f>IF(tblMovement[[#This Row],[Is_Ore]]=1,tblMovement[[#This Row],[Contained_oz]],0)</f>
        <v/>
      </c>
    </row>
    <row r="3746">
      <c r="A3746" s="54" t="n"/>
      <c r="B3746" s="61" t="n"/>
      <c r="C3746" s="61" t="n"/>
      <c r="D3746" s="61" t="n"/>
      <c r="E3746" s="61" t="n"/>
      <c r="F3746" s="55" t="n"/>
      <c r="G3746" s="56" t="n"/>
      <c r="H3746" s="55" t="n"/>
      <c r="I3746" s="62" t="n"/>
      <c r="J3746" s="58" t="n"/>
      <c r="K3746" s="63">
        <f>IF(tblMovement[[#This Row],[Source]]="","",IFERROR(INDEX(tblSources[Type],MATCH(tblMovement[[#This Row],[Source]],tblSources[Source],0)),"?"))</f>
        <v/>
      </c>
      <c r="L3746" s="63">
        <f>IF(tblMovement[[#This Row],[Destination]]="","",IFERROR(INDEX(tblDestinations[Type],MATCH(tblMovement[[#This Row],[Destination]],tblDestinations[Destination],0)),"?"))</f>
        <v/>
      </c>
      <c r="M3746" s="64">
        <f>IF(tblMovement[[#This Row],[Material]]="","",IF(LEFT(tblMovement[[#This Row],[Material]],3)="Ore",1,0))</f>
        <v/>
      </c>
      <c r="N3746" s="59">
        <f>IF(OR(tblMovement[[#This Row],[Tonnes_t]]="",tblMovement[[#This Row],[Grade_gpt]]=""),0,tblMovement[[#This Row],[Tonnes_t]]*tblMovement[[#This Row],[Grade_gpt]]/cfg_TroyOz)</f>
        <v/>
      </c>
      <c r="O3746" s="59">
        <f>IF(tblMovement[[#This Row],[Is_Ore]]=1,tblMovement[[#This Row],[Contained_oz]],0)</f>
        <v/>
      </c>
    </row>
    <row r="3747">
      <c r="A3747" s="54" t="n"/>
      <c r="B3747" s="61" t="n"/>
      <c r="C3747" s="61" t="n"/>
      <c r="D3747" s="61" t="n"/>
      <c r="E3747" s="61" t="n"/>
      <c r="F3747" s="55" t="n"/>
      <c r="G3747" s="56" t="n"/>
      <c r="H3747" s="55" t="n"/>
      <c r="I3747" s="62" t="n"/>
      <c r="J3747" s="58" t="n"/>
      <c r="K3747" s="63">
        <f>IF(tblMovement[[#This Row],[Source]]="","",IFERROR(INDEX(tblSources[Type],MATCH(tblMovement[[#This Row],[Source]],tblSources[Source],0)),"?"))</f>
        <v/>
      </c>
      <c r="L3747" s="63">
        <f>IF(tblMovement[[#This Row],[Destination]]="","",IFERROR(INDEX(tblDestinations[Type],MATCH(tblMovement[[#This Row],[Destination]],tblDestinations[Destination],0)),"?"))</f>
        <v/>
      </c>
      <c r="M3747" s="64">
        <f>IF(tblMovement[[#This Row],[Material]]="","",IF(LEFT(tblMovement[[#This Row],[Material]],3)="Ore",1,0))</f>
        <v/>
      </c>
      <c r="N3747" s="59">
        <f>IF(OR(tblMovement[[#This Row],[Tonnes_t]]="",tblMovement[[#This Row],[Grade_gpt]]=""),0,tblMovement[[#This Row],[Tonnes_t]]*tblMovement[[#This Row],[Grade_gpt]]/cfg_TroyOz)</f>
        <v/>
      </c>
      <c r="O3747" s="59">
        <f>IF(tblMovement[[#This Row],[Is_Ore]]=1,tblMovement[[#This Row],[Contained_oz]],0)</f>
        <v/>
      </c>
    </row>
    <row r="3748">
      <c r="A3748" s="54" t="n"/>
      <c r="B3748" s="61" t="n"/>
      <c r="C3748" s="61" t="n"/>
      <c r="D3748" s="61" t="n"/>
      <c r="E3748" s="61" t="n"/>
      <c r="F3748" s="55" t="n"/>
      <c r="G3748" s="56" t="n"/>
      <c r="H3748" s="55" t="n"/>
      <c r="I3748" s="62" t="n"/>
      <c r="J3748" s="58" t="n"/>
      <c r="K3748" s="63">
        <f>IF(tblMovement[[#This Row],[Source]]="","",IFERROR(INDEX(tblSources[Type],MATCH(tblMovement[[#This Row],[Source]],tblSources[Source],0)),"?"))</f>
        <v/>
      </c>
      <c r="L3748" s="63">
        <f>IF(tblMovement[[#This Row],[Destination]]="","",IFERROR(INDEX(tblDestinations[Type],MATCH(tblMovement[[#This Row],[Destination]],tblDestinations[Destination],0)),"?"))</f>
        <v/>
      </c>
      <c r="M3748" s="64">
        <f>IF(tblMovement[[#This Row],[Material]]="","",IF(LEFT(tblMovement[[#This Row],[Material]],3)="Ore",1,0))</f>
        <v/>
      </c>
      <c r="N3748" s="59">
        <f>IF(OR(tblMovement[[#This Row],[Tonnes_t]]="",tblMovement[[#This Row],[Grade_gpt]]=""),0,tblMovement[[#This Row],[Tonnes_t]]*tblMovement[[#This Row],[Grade_gpt]]/cfg_TroyOz)</f>
        <v/>
      </c>
      <c r="O3748" s="59">
        <f>IF(tblMovement[[#This Row],[Is_Ore]]=1,tblMovement[[#This Row],[Contained_oz]],0)</f>
        <v/>
      </c>
    </row>
    <row r="3749">
      <c r="A3749" s="54" t="n"/>
      <c r="B3749" s="61" t="n"/>
      <c r="C3749" s="61" t="n"/>
      <c r="D3749" s="61" t="n"/>
      <c r="E3749" s="61" t="n"/>
      <c r="F3749" s="55" t="n"/>
      <c r="G3749" s="56" t="n"/>
      <c r="H3749" s="55" t="n"/>
      <c r="I3749" s="62" t="n"/>
      <c r="J3749" s="58" t="n"/>
      <c r="K3749" s="63">
        <f>IF(tblMovement[[#This Row],[Source]]="","",IFERROR(INDEX(tblSources[Type],MATCH(tblMovement[[#This Row],[Source]],tblSources[Source],0)),"?"))</f>
        <v/>
      </c>
      <c r="L3749" s="63">
        <f>IF(tblMovement[[#This Row],[Destination]]="","",IFERROR(INDEX(tblDestinations[Type],MATCH(tblMovement[[#This Row],[Destination]],tblDestinations[Destination],0)),"?"))</f>
        <v/>
      </c>
      <c r="M3749" s="64">
        <f>IF(tblMovement[[#This Row],[Material]]="","",IF(LEFT(tblMovement[[#This Row],[Material]],3)="Ore",1,0))</f>
        <v/>
      </c>
      <c r="N3749" s="59">
        <f>IF(OR(tblMovement[[#This Row],[Tonnes_t]]="",tblMovement[[#This Row],[Grade_gpt]]=""),0,tblMovement[[#This Row],[Tonnes_t]]*tblMovement[[#This Row],[Grade_gpt]]/cfg_TroyOz)</f>
        <v/>
      </c>
      <c r="O3749" s="59">
        <f>IF(tblMovement[[#This Row],[Is_Ore]]=1,tblMovement[[#This Row],[Contained_oz]],0)</f>
        <v/>
      </c>
    </row>
    <row r="3750">
      <c r="A3750" s="54" t="n"/>
      <c r="B3750" s="61" t="n"/>
      <c r="C3750" s="61" t="n"/>
      <c r="D3750" s="61" t="n"/>
      <c r="E3750" s="61" t="n"/>
      <c r="F3750" s="55" t="n"/>
      <c r="G3750" s="56" t="n"/>
      <c r="H3750" s="55" t="n"/>
      <c r="I3750" s="62" t="n"/>
      <c r="J3750" s="58" t="n"/>
      <c r="K3750" s="63">
        <f>IF(tblMovement[[#This Row],[Source]]="","",IFERROR(INDEX(tblSources[Type],MATCH(tblMovement[[#This Row],[Source]],tblSources[Source],0)),"?"))</f>
        <v/>
      </c>
      <c r="L3750" s="63">
        <f>IF(tblMovement[[#This Row],[Destination]]="","",IFERROR(INDEX(tblDestinations[Type],MATCH(tblMovement[[#This Row],[Destination]],tblDestinations[Destination],0)),"?"))</f>
        <v/>
      </c>
      <c r="M3750" s="64">
        <f>IF(tblMovement[[#This Row],[Material]]="","",IF(LEFT(tblMovement[[#This Row],[Material]],3)="Ore",1,0))</f>
        <v/>
      </c>
      <c r="N3750" s="59">
        <f>IF(OR(tblMovement[[#This Row],[Tonnes_t]]="",tblMovement[[#This Row],[Grade_gpt]]=""),0,tblMovement[[#This Row],[Tonnes_t]]*tblMovement[[#This Row],[Grade_gpt]]/cfg_TroyOz)</f>
        <v/>
      </c>
      <c r="O3750" s="59">
        <f>IF(tblMovement[[#This Row],[Is_Ore]]=1,tblMovement[[#This Row],[Contained_oz]],0)</f>
        <v/>
      </c>
    </row>
    <row r="3751">
      <c r="A3751" s="54" t="n"/>
      <c r="B3751" s="61" t="n"/>
      <c r="C3751" s="61" t="n"/>
      <c r="D3751" s="61" t="n"/>
      <c r="E3751" s="61" t="n"/>
      <c r="F3751" s="55" t="n"/>
      <c r="G3751" s="56" t="n"/>
      <c r="H3751" s="55" t="n"/>
      <c r="I3751" s="62" t="n"/>
      <c r="J3751" s="58" t="n"/>
      <c r="K3751" s="63">
        <f>IF(tblMovement[[#This Row],[Source]]="","",IFERROR(INDEX(tblSources[Type],MATCH(tblMovement[[#This Row],[Source]],tblSources[Source],0)),"?"))</f>
        <v/>
      </c>
      <c r="L3751" s="63">
        <f>IF(tblMovement[[#This Row],[Destination]]="","",IFERROR(INDEX(tblDestinations[Type],MATCH(tblMovement[[#This Row],[Destination]],tblDestinations[Destination],0)),"?"))</f>
        <v/>
      </c>
      <c r="M3751" s="64">
        <f>IF(tblMovement[[#This Row],[Material]]="","",IF(LEFT(tblMovement[[#This Row],[Material]],3)="Ore",1,0))</f>
        <v/>
      </c>
      <c r="N3751" s="59">
        <f>IF(OR(tblMovement[[#This Row],[Tonnes_t]]="",tblMovement[[#This Row],[Grade_gpt]]=""),0,tblMovement[[#This Row],[Tonnes_t]]*tblMovement[[#This Row],[Grade_gpt]]/cfg_TroyOz)</f>
        <v/>
      </c>
      <c r="O3751" s="59">
        <f>IF(tblMovement[[#This Row],[Is_Ore]]=1,tblMovement[[#This Row],[Contained_oz]],0)</f>
        <v/>
      </c>
    </row>
    <row r="3752">
      <c r="A3752" s="54" t="n"/>
      <c r="B3752" s="61" t="n"/>
      <c r="C3752" s="61" t="n"/>
      <c r="D3752" s="61" t="n"/>
      <c r="E3752" s="61" t="n"/>
      <c r="F3752" s="55" t="n"/>
      <c r="G3752" s="56" t="n"/>
      <c r="H3752" s="55" t="n"/>
      <c r="I3752" s="62" t="n"/>
      <c r="J3752" s="58" t="n"/>
      <c r="K3752" s="63">
        <f>IF(tblMovement[[#This Row],[Source]]="","",IFERROR(INDEX(tblSources[Type],MATCH(tblMovement[[#This Row],[Source]],tblSources[Source],0)),"?"))</f>
        <v/>
      </c>
      <c r="L3752" s="63">
        <f>IF(tblMovement[[#This Row],[Destination]]="","",IFERROR(INDEX(tblDestinations[Type],MATCH(tblMovement[[#This Row],[Destination]],tblDestinations[Destination],0)),"?"))</f>
        <v/>
      </c>
      <c r="M3752" s="64">
        <f>IF(tblMovement[[#This Row],[Material]]="","",IF(LEFT(tblMovement[[#This Row],[Material]],3)="Ore",1,0))</f>
        <v/>
      </c>
      <c r="N3752" s="59">
        <f>IF(OR(tblMovement[[#This Row],[Tonnes_t]]="",tblMovement[[#This Row],[Grade_gpt]]=""),0,tblMovement[[#This Row],[Tonnes_t]]*tblMovement[[#This Row],[Grade_gpt]]/cfg_TroyOz)</f>
        <v/>
      </c>
      <c r="O3752" s="59">
        <f>IF(tblMovement[[#This Row],[Is_Ore]]=1,tblMovement[[#This Row],[Contained_oz]],0)</f>
        <v/>
      </c>
    </row>
    <row r="3753">
      <c r="A3753" s="54" t="n"/>
      <c r="B3753" s="61" t="n"/>
      <c r="C3753" s="61" t="n"/>
      <c r="D3753" s="61" t="n"/>
      <c r="E3753" s="61" t="n"/>
      <c r="F3753" s="55" t="n"/>
      <c r="G3753" s="56" t="n"/>
      <c r="H3753" s="55" t="n"/>
      <c r="I3753" s="62" t="n"/>
      <c r="J3753" s="58" t="n"/>
      <c r="K3753" s="63">
        <f>IF(tblMovement[[#This Row],[Source]]="","",IFERROR(INDEX(tblSources[Type],MATCH(tblMovement[[#This Row],[Source]],tblSources[Source],0)),"?"))</f>
        <v/>
      </c>
      <c r="L3753" s="63">
        <f>IF(tblMovement[[#This Row],[Destination]]="","",IFERROR(INDEX(tblDestinations[Type],MATCH(tblMovement[[#This Row],[Destination]],tblDestinations[Destination],0)),"?"))</f>
        <v/>
      </c>
      <c r="M3753" s="64">
        <f>IF(tblMovement[[#This Row],[Material]]="","",IF(LEFT(tblMovement[[#This Row],[Material]],3)="Ore",1,0))</f>
        <v/>
      </c>
      <c r="N3753" s="59">
        <f>IF(OR(tblMovement[[#This Row],[Tonnes_t]]="",tblMovement[[#This Row],[Grade_gpt]]=""),0,tblMovement[[#This Row],[Tonnes_t]]*tblMovement[[#This Row],[Grade_gpt]]/cfg_TroyOz)</f>
        <v/>
      </c>
      <c r="O3753" s="59">
        <f>IF(tblMovement[[#This Row],[Is_Ore]]=1,tblMovement[[#This Row],[Contained_oz]],0)</f>
        <v/>
      </c>
    </row>
    <row r="3754">
      <c r="A3754" s="54" t="n"/>
      <c r="B3754" s="61" t="n"/>
      <c r="C3754" s="61" t="n"/>
      <c r="D3754" s="61" t="n"/>
      <c r="E3754" s="61" t="n"/>
      <c r="F3754" s="55" t="n"/>
      <c r="G3754" s="56" t="n"/>
      <c r="H3754" s="55" t="n"/>
      <c r="I3754" s="62" t="n"/>
      <c r="J3754" s="58" t="n"/>
      <c r="K3754" s="63">
        <f>IF(tblMovement[[#This Row],[Source]]="","",IFERROR(INDEX(tblSources[Type],MATCH(tblMovement[[#This Row],[Source]],tblSources[Source],0)),"?"))</f>
        <v/>
      </c>
      <c r="L3754" s="63">
        <f>IF(tblMovement[[#This Row],[Destination]]="","",IFERROR(INDEX(tblDestinations[Type],MATCH(tblMovement[[#This Row],[Destination]],tblDestinations[Destination],0)),"?"))</f>
        <v/>
      </c>
      <c r="M3754" s="64">
        <f>IF(tblMovement[[#This Row],[Material]]="","",IF(LEFT(tblMovement[[#This Row],[Material]],3)="Ore",1,0))</f>
        <v/>
      </c>
      <c r="N3754" s="59">
        <f>IF(OR(tblMovement[[#This Row],[Tonnes_t]]="",tblMovement[[#This Row],[Grade_gpt]]=""),0,tblMovement[[#This Row],[Tonnes_t]]*tblMovement[[#This Row],[Grade_gpt]]/cfg_TroyOz)</f>
        <v/>
      </c>
      <c r="O3754" s="59">
        <f>IF(tblMovement[[#This Row],[Is_Ore]]=1,tblMovement[[#This Row],[Contained_oz]],0)</f>
        <v/>
      </c>
    </row>
    <row r="3755">
      <c r="A3755" s="54" t="n"/>
      <c r="B3755" s="61" t="n"/>
      <c r="C3755" s="61" t="n"/>
      <c r="D3755" s="61" t="n"/>
      <c r="E3755" s="61" t="n"/>
      <c r="F3755" s="55" t="n"/>
      <c r="G3755" s="56" t="n"/>
      <c r="H3755" s="55" t="n"/>
      <c r="I3755" s="62" t="n"/>
      <c r="J3755" s="58" t="n"/>
      <c r="K3755" s="63">
        <f>IF(tblMovement[[#This Row],[Source]]="","",IFERROR(INDEX(tblSources[Type],MATCH(tblMovement[[#This Row],[Source]],tblSources[Source],0)),"?"))</f>
        <v/>
      </c>
      <c r="L3755" s="63">
        <f>IF(tblMovement[[#This Row],[Destination]]="","",IFERROR(INDEX(tblDestinations[Type],MATCH(tblMovement[[#This Row],[Destination]],tblDestinations[Destination],0)),"?"))</f>
        <v/>
      </c>
      <c r="M3755" s="64">
        <f>IF(tblMovement[[#This Row],[Material]]="","",IF(LEFT(tblMovement[[#This Row],[Material]],3)="Ore",1,0))</f>
        <v/>
      </c>
      <c r="N3755" s="59">
        <f>IF(OR(tblMovement[[#This Row],[Tonnes_t]]="",tblMovement[[#This Row],[Grade_gpt]]=""),0,tblMovement[[#This Row],[Tonnes_t]]*tblMovement[[#This Row],[Grade_gpt]]/cfg_TroyOz)</f>
        <v/>
      </c>
      <c r="O3755" s="59">
        <f>IF(tblMovement[[#This Row],[Is_Ore]]=1,tblMovement[[#This Row],[Contained_oz]],0)</f>
        <v/>
      </c>
    </row>
    <row r="3756">
      <c r="A3756" s="54" t="n"/>
      <c r="B3756" s="61" t="n"/>
      <c r="C3756" s="61" t="n"/>
      <c r="D3756" s="61" t="n"/>
      <c r="E3756" s="61" t="n"/>
      <c r="F3756" s="55" t="n"/>
      <c r="G3756" s="56" t="n"/>
      <c r="H3756" s="55" t="n"/>
      <c r="I3756" s="62" t="n"/>
      <c r="J3756" s="58" t="n"/>
      <c r="K3756" s="63">
        <f>IF(tblMovement[[#This Row],[Source]]="","",IFERROR(INDEX(tblSources[Type],MATCH(tblMovement[[#This Row],[Source]],tblSources[Source],0)),"?"))</f>
        <v/>
      </c>
      <c r="L3756" s="63">
        <f>IF(tblMovement[[#This Row],[Destination]]="","",IFERROR(INDEX(tblDestinations[Type],MATCH(tblMovement[[#This Row],[Destination]],tblDestinations[Destination],0)),"?"))</f>
        <v/>
      </c>
      <c r="M3756" s="64">
        <f>IF(tblMovement[[#This Row],[Material]]="","",IF(LEFT(tblMovement[[#This Row],[Material]],3)="Ore",1,0))</f>
        <v/>
      </c>
      <c r="N3756" s="59">
        <f>IF(OR(tblMovement[[#This Row],[Tonnes_t]]="",tblMovement[[#This Row],[Grade_gpt]]=""),0,tblMovement[[#This Row],[Tonnes_t]]*tblMovement[[#This Row],[Grade_gpt]]/cfg_TroyOz)</f>
        <v/>
      </c>
      <c r="O3756" s="59">
        <f>IF(tblMovement[[#This Row],[Is_Ore]]=1,tblMovement[[#This Row],[Contained_oz]],0)</f>
        <v/>
      </c>
    </row>
    <row r="3757">
      <c r="A3757" s="54" t="n"/>
      <c r="B3757" s="61" t="n"/>
      <c r="C3757" s="61" t="n"/>
      <c r="D3757" s="61" t="n"/>
      <c r="E3757" s="61" t="n"/>
      <c r="F3757" s="55" t="n"/>
      <c r="G3757" s="56" t="n"/>
      <c r="H3757" s="55" t="n"/>
      <c r="I3757" s="62" t="n"/>
      <c r="J3757" s="58" t="n"/>
      <c r="K3757" s="63">
        <f>IF(tblMovement[[#This Row],[Source]]="","",IFERROR(INDEX(tblSources[Type],MATCH(tblMovement[[#This Row],[Source]],tblSources[Source],0)),"?"))</f>
        <v/>
      </c>
      <c r="L3757" s="63">
        <f>IF(tblMovement[[#This Row],[Destination]]="","",IFERROR(INDEX(tblDestinations[Type],MATCH(tblMovement[[#This Row],[Destination]],tblDestinations[Destination],0)),"?"))</f>
        <v/>
      </c>
      <c r="M3757" s="64">
        <f>IF(tblMovement[[#This Row],[Material]]="","",IF(LEFT(tblMovement[[#This Row],[Material]],3)="Ore",1,0))</f>
        <v/>
      </c>
      <c r="N3757" s="59">
        <f>IF(OR(tblMovement[[#This Row],[Tonnes_t]]="",tblMovement[[#This Row],[Grade_gpt]]=""),0,tblMovement[[#This Row],[Tonnes_t]]*tblMovement[[#This Row],[Grade_gpt]]/cfg_TroyOz)</f>
        <v/>
      </c>
      <c r="O3757" s="59">
        <f>IF(tblMovement[[#This Row],[Is_Ore]]=1,tblMovement[[#This Row],[Contained_oz]],0)</f>
        <v/>
      </c>
    </row>
    <row r="3758">
      <c r="A3758" s="54" t="n"/>
      <c r="B3758" s="61" t="n"/>
      <c r="C3758" s="61" t="n"/>
      <c r="D3758" s="61" t="n"/>
      <c r="E3758" s="61" t="n"/>
      <c r="F3758" s="55" t="n"/>
      <c r="G3758" s="56" t="n"/>
      <c r="H3758" s="55" t="n"/>
      <c r="I3758" s="62" t="n"/>
      <c r="J3758" s="58" t="n"/>
      <c r="K3758" s="63">
        <f>IF(tblMovement[[#This Row],[Source]]="","",IFERROR(INDEX(tblSources[Type],MATCH(tblMovement[[#This Row],[Source]],tblSources[Source],0)),"?"))</f>
        <v/>
      </c>
      <c r="L3758" s="63">
        <f>IF(tblMovement[[#This Row],[Destination]]="","",IFERROR(INDEX(tblDestinations[Type],MATCH(tblMovement[[#This Row],[Destination]],tblDestinations[Destination],0)),"?"))</f>
        <v/>
      </c>
      <c r="M3758" s="64">
        <f>IF(tblMovement[[#This Row],[Material]]="","",IF(LEFT(tblMovement[[#This Row],[Material]],3)="Ore",1,0))</f>
        <v/>
      </c>
      <c r="N3758" s="59">
        <f>IF(OR(tblMovement[[#This Row],[Tonnes_t]]="",tblMovement[[#This Row],[Grade_gpt]]=""),0,tblMovement[[#This Row],[Tonnes_t]]*tblMovement[[#This Row],[Grade_gpt]]/cfg_TroyOz)</f>
        <v/>
      </c>
      <c r="O3758" s="59">
        <f>IF(tblMovement[[#This Row],[Is_Ore]]=1,tblMovement[[#This Row],[Contained_oz]],0)</f>
        <v/>
      </c>
    </row>
    <row r="3759">
      <c r="A3759" s="54" t="n"/>
      <c r="B3759" s="61" t="n"/>
      <c r="C3759" s="61" t="n"/>
      <c r="D3759" s="61" t="n"/>
      <c r="E3759" s="61" t="n"/>
      <c r="F3759" s="55" t="n"/>
      <c r="G3759" s="56" t="n"/>
      <c r="H3759" s="55" t="n"/>
      <c r="I3759" s="62" t="n"/>
      <c r="J3759" s="58" t="n"/>
      <c r="K3759" s="63">
        <f>IF(tblMovement[[#This Row],[Source]]="","",IFERROR(INDEX(tblSources[Type],MATCH(tblMovement[[#This Row],[Source]],tblSources[Source],0)),"?"))</f>
        <v/>
      </c>
      <c r="L3759" s="63">
        <f>IF(tblMovement[[#This Row],[Destination]]="","",IFERROR(INDEX(tblDestinations[Type],MATCH(tblMovement[[#This Row],[Destination]],tblDestinations[Destination],0)),"?"))</f>
        <v/>
      </c>
      <c r="M3759" s="64">
        <f>IF(tblMovement[[#This Row],[Material]]="","",IF(LEFT(tblMovement[[#This Row],[Material]],3)="Ore",1,0))</f>
        <v/>
      </c>
      <c r="N3759" s="59">
        <f>IF(OR(tblMovement[[#This Row],[Tonnes_t]]="",tblMovement[[#This Row],[Grade_gpt]]=""),0,tblMovement[[#This Row],[Tonnes_t]]*tblMovement[[#This Row],[Grade_gpt]]/cfg_TroyOz)</f>
        <v/>
      </c>
      <c r="O3759" s="59">
        <f>IF(tblMovement[[#This Row],[Is_Ore]]=1,tblMovement[[#This Row],[Contained_oz]],0)</f>
        <v/>
      </c>
    </row>
    <row r="3760">
      <c r="A3760" s="54" t="n"/>
      <c r="B3760" s="61" t="n"/>
      <c r="C3760" s="61" t="n"/>
      <c r="D3760" s="61" t="n"/>
      <c r="E3760" s="61" t="n"/>
      <c r="F3760" s="55" t="n"/>
      <c r="G3760" s="56" t="n"/>
      <c r="H3760" s="55" t="n"/>
      <c r="I3760" s="62" t="n"/>
      <c r="J3760" s="58" t="n"/>
      <c r="K3760" s="63">
        <f>IF(tblMovement[[#This Row],[Source]]="","",IFERROR(INDEX(tblSources[Type],MATCH(tblMovement[[#This Row],[Source]],tblSources[Source],0)),"?"))</f>
        <v/>
      </c>
      <c r="L3760" s="63">
        <f>IF(tblMovement[[#This Row],[Destination]]="","",IFERROR(INDEX(tblDestinations[Type],MATCH(tblMovement[[#This Row],[Destination]],tblDestinations[Destination],0)),"?"))</f>
        <v/>
      </c>
      <c r="M3760" s="64">
        <f>IF(tblMovement[[#This Row],[Material]]="","",IF(LEFT(tblMovement[[#This Row],[Material]],3)="Ore",1,0))</f>
        <v/>
      </c>
      <c r="N3760" s="59">
        <f>IF(OR(tblMovement[[#This Row],[Tonnes_t]]="",tblMovement[[#This Row],[Grade_gpt]]=""),0,tblMovement[[#This Row],[Tonnes_t]]*tblMovement[[#This Row],[Grade_gpt]]/cfg_TroyOz)</f>
        <v/>
      </c>
      <c r="O3760" s="59">
        <f>IF(tblMovement[[#This Row],[Is_Ore]]=1,tblMovement[[#This Row],[Contained_oz]],0)</f>
        <v/>
      </c>
    </row>
    <row r="3761">
      <c r="A3761" s="54" t="n"/>
      <c r="B3761" s="61" t="n"/>
      <c r="C3761" s="61" t="n"/>
      <c r="D3761" s="61" t="n"/>
      <c r="E3761" s="61" t="n"/>
      <c r="F3761" s="55" t="n"/>
      <c r="G3761" s="56" t="n"/>
      <c r="H3761" s="55" t="n"/>
      <c r="I3761" s="62" t="n"/>
      <c r="J3761" s="58" t="n"/>
      <c r="K3761" s="63">
        <f>IF(tblMovement[[#This Row],[Source]]="","",IFERROR(INDEX(tblSources[Type],MATCH(tblMovement[[#This Row],[Source]],tblSources[Source],0)),"?"))</f>
        <v/>
      </c>
      <c r="L3761" s="63">
        <f>IF(tblMovement[[#This Row],[Destination]]="","",IFERROR(INDEX(tblDestinations[Type],MATCH(tblMovement[[#This Row],[Destination]],tblDestinations[Destination],0)),"?"))</f>
        <v/>
      </c>
      <c r="M3761" s="64">
        <f>IF(tblMovement[[#This Row],[Material]]="","",IF(LEFT(tblMovement[[#This Row],[Material]],3)="Ore",1,0))</f>
        <v/>
      </c>
      <c r="N3761" s="59">
        <f>IF(OR(tblMovement[[#This Row],[Tonnes_t]]="",tblMovement[[#This Row],[Grade_gpt]]=""),0,tblMovement[[#This Row],[Tonnes_t]]*tblMovement[[#This Row],[Grade_gpt]]/cfg_TroyOz)</f>
        <v/>
      </c>
      <c r="O3761" s="59">
        <f>IF(tblMovement[[#This Row],[Is_Ore]]=1,tblMovement[[#This Row],[Contained_oz]],0)</f>
        <v/>
      </c>
    </row>
    <row r="3762">
      <c r="A3762" s="54" t="n"/>
      <c r="B3762" s="61" t="n"/>
      <c r="C3762" s="61" t="n"/>
      <c r="D3762" s="61" t="n"/>
      <c r="E3762" s="61" t="n"/>
      <c r="F3762" s="55" t="n"/>
      <c r="G3762" s="56" t="n"/>
      <c r="H3762" s="55" t="n"/>
      <c r="I3762" s="62" t="n"/>
      <c r="J3762" s="58" t="n"/>
      <c r="K3762" s="63">
        <f>IF(tblMovement[[#This Row],[Source]]="","",IFERROR(INDEX(tblSources[Type],MATCH(tblMovement[[#This Row],[Source]],tblSources[Source],0)),"?"))</f>
        <v/>
      </c>
      <c r="L3762" s="63">
        <f>IF(tblMovement[[#This Row],[Destination]]="","",IFERROR(INDEX(tblDestinations[Type],MATCH(tblMovement[[#This Row],[Destination]],tblDestinations[Destination],0)),"?"))</f>
        <v/>
      </c>
      <c r="M3762" s="64">
        <f>IF(tblMovement[[#This Row],[Material]]="","",IF(LEFT(tblMovement[[#This Row],[Material]],3)="Ore",1,0))</f>
        <v/>
      </c>
      <c r="N3762" s="59">
        <f>IF(OR(tblMovement[[#This Row],[Tonnes_t]]="",tblMovement[[#This Row],[Grade_gpt]]=""),0,tblMovement[[#This Row],[Tonnes_t]]*tblMovement[[#This Row],[Grade_gpt]]/cfg_TroyOz)</f>
        <v/>
      </c>
      <c r="O3762" s="59">
        <f>IF(tblMovement[[#This Row],[Is_Ore]]=1,tblMovement[[#This Row],[Contained_oz]],0)</f>
        <v/>
      </c>
    </row>
    <row r="3763">
      <c r="A3763" s="54" t="n"/>
      <c r="B3763" s="61" t="n"/>
      <c r="C3763" s="61" t="n"/>
      <c r="D3763" s="61" t="n"/>
      <c r="E3763" s="61" t="n"/>
      <c r="F3763" s="55" t="n"/>
      <c r="G3763" s="56" t="n"/>
      <c r="H3763" s="55" t="n"/>
      <c r="I3763" s="62" t="n"/>
      <c r="J3763" s="58" t="n"/>
      <c r="K3763" s="63">
        <f>IF(tblMovement[[#This Row],[Source]]="","",IFERROR(INDEX(tblSources[Type],MATCH(tblMovement[[#This Row],[Source]],tblSources[Source],0)),"?"))</f>
        <v/>
      </c>
      <c r="L3763" s="63">
        <f>IF(tblMovement[[#This Row],[Destination]]="","",IFERROR(INDEX(tblDestinations[Type],MATCH(tblMovement[[#This Row],[Destination]],tblDestinations[Destination],0)),"?"))</f>
        <v/>
      </c>
      <c r="M3763" s="64">
        <f>IF(tblMovement[[#This Row],[Material]]="","",IF(LEFT(tblMovement[[#This Row],[Material]],3)="Ore",1,0))</f>
        <v/>
      </c>
      <c r="N3763" s="59">
        <f>IF(OR(tblMovement[[#This Row],[Tonnes_t]]="",tblMovement[[#This Row],[Grade_gpt]]=""),0,tblMovement[[#This Row],[Tonnes_t]]*tblMovement[[#This Row],[Grade_gpt]]/cfg_TroyOz)</f>
        <v/>
      </c>
      <c r="O3763" s="59">
        <f>IF(tblMovement[[#This Row],[Is_Ore]]=1,tblMovement[[#This Row],[Contained_oz]],0)</f>
        <v/>
      </c>
    </row>
    <row r="3764">
      <c r="A3764" s="54" t="n"/>
      <c r="B3764" s="61" t="n"/>
      <c r="C3764" s="61" t="n"/>
      <c r="D3764" s="61" t="n"/>
      <c r="E3764" s="61" t="n"/>
      <c r="F3764" s="55" t="n"/>
      <c r="G3764" s="56" t="n"/>
      <c r="H3764" s="55" t="n"/>
      <c r="I3764" s="62" t="n"/>
      <c r="J3764" s="58" t="n"/>
      <c r="K3764" s="63">
        <f>IF(tblMovement[[#This Row],[Source]]="","",IFERROR(INDEX(tblSources[Type],MATCH(tblMovement[[#This Row],[Source]],tblSources[Source],0)),"?"))</f>
        <v/>
      </c>
      <c r="L3764" s="63">
        <f>IF(tblMovement[[#This Row],[Destination]]="","",IFERROR(INDEX(tblDestinations[Type],MATCH(tblMovement[[#This Row],[Destination]],tblDestinations[Destination],0)),"?"))</f>
        <v/>
      </c>
      <c r="M3764" s="64">
        <f>IF(tblMovement[[#This Row],[Material]]="","",IF(LEFT(tblMovement[[#This Row],[Material]],3)="Ore",1,0))</f>
        <v/>
      </c>
      <c r="N3764" s="59">
        <f>IF(OR(tblMovement[[#This Row],[Tonnes_t]]="",tblMovement[[#This Row],[Grade_gpt]]=""),0,tblMovement[[#This Row],[Tonnes_t]]*tblMovement[[#This Row],[Grade_gpt]]/cfg_TroyOz)</f>
        <v/>
      </c>
      <c r="O3764" s="59">
        <f>IF(tblMovement[[#This Row],[Is_Ore]]=1,tblMovement[[#This Row],[Contained_oz]],0)</f>
        <v/>
      </c>
    </row>
    <row r="3765">
      <c r="A3765" s="54" t="n"/>
      <c r="B3765" s="61" t="n"/>
      <c r="C3765" s="61" t="n"/>
      <c r="D3765" s="61" t="n"/>
      <c r="E3765" s="61" t="n"/>
      <c r="F3765" s="55" t="n"/>
      <c r="G3765" s="56" t="n"/>
      <c r="H3765" s="55" t="n"/>
      <c r="I3765" s="62" t="n"/>
      <c r="J3765" s="58" t="n"/>
      <c r="K3765" s="63">
        <f>IF(tblMovement[[#This Row],[Source]]="","",IFERROR(INDEX(tblSources[Type],MATCH(tblMovement[[#This Row],[Source]],tblSources[Source],0)),"?"))</f>
        <v/>
      </c>
      <c r="L3765" s="63">
        <f>IF(tblMovement[[#This Row],[Destination]]="","",IFERROR(INDEX(tblDestinations[Type],MATCH(tblMovement[[#This Row],[Destination]],tblDestinations[Destination],0)),"?"))</f>
        <v/>
      </c>
      <c r="M3765" s="64">
        <f>IF(tblMovement[[#This Row],[Material]]="","",IF(LEFT(tblMovement[[#This Row],[Material]],3)="Ore",1,0))</f>
        <v/>
      </c>
      <c r="N3765" s="59">
        <f>IF(OR(tblMovement[[#This Row],[Tonnes_t]]="",tblMovement[[#This Row],[Grade_gpt]]=""),0,tblMovement[[#This Row],[Tonnes_t]]*tblMovement[[#This Row],[Grade_gpt]]/cfg_TroyOz)</f>
        <v/>
      </c>
      <c r="O3765" s="59">
        <f>IF(tblMovement[[#This Row],[Is_Ore]]=1,tblMovement[[#This Row],[Contained_oz]],0)</f>
        <v/>
      </c>
    </row>
    <row r="3766">
      <c r="A3766" s="54" t="n"/>
      <c r="B3766" s="61" t="n"/>
      <c r="C3766" s="61" t="n"/>
      <c r="D3766" s="61" t="n"/>
      <c r="E3766" s="61" t="n"/>
      <c r="F3766" s="55" t="n"/>
      <c r="G3766" s="56" t="n"/>
      <c r="H3766" s="55" t="n"/>
      <c r="I3766" s="62" t="n"/>
      <c r="J3766" s="58" t="n"/>
      <c r="K3766" s="63">
        <f>IF(tblMovement[[#This Row],[Source]]="","",IFERROR(INDEX(tblSources[Type],MATCH(tblMovement[[#This Row],[Source]],tblSources[Source],0)),"?"))</f>
        <v/>
      </c>
      <c r="L3766" s="63">
        <f>IF(tblMovement[[#This Row],[Destination]]="","",IFERROR(INDEX(tblDestinations[Type],MATCH(tblMovement[[#This Row],[Destination]],tblDestinations[Destination],0)),"?"))</f>
        <v/>
      </c>
      <c r="M3766" s="64">
        <f>IF(tblMovement[[#This Row],[Material]]="","",IF(LEFT(tblMovement[[#This Row],[Material]],3)="Ore",1,0))</f>
        <v/>
      </c>
      <c r="N3766" s="59">
        <f>IF(OR(tblMovement[[#This Row],[Tonnes_t]]="",tblMovement[[#This Row],[Grade_gpt]]=""),0,tblMovement[[#This Row],[Tonnes_t]]*tblMovement[[#This Row],[Grade_gpt]]/cfg_TroyOz)</f>
        <v/>
      </c>
      <c r="O3766" s="59">
        <f>IF(tblMovement[[#This Row],[Is_Ore]]=1,tblMovement[[#This Row],[Contained_oz]],0)</f>
        <v/>
      </c>
    </row>
    <row r="3767">
      <c r="A3767" s="54" t="n"/>
      <c r="B3767" s="61" t="n"/>
      <c r="C3767" s="61" t="n"/>
      <c r="D3767" s="61" t="n"/>
      <c r="E3767" s="61" t="n"/>
      <c r="F3767" s="55" t="n"/>
      <c r="G3767" s="56" t="n"/>
      <c r="H3767" s="55" t="n"/>
      <c r="I3767" s="62" t="n"/>
      <c r="J3767" s="58" t="n"/>
      <c r="K3767" s="63">
        <f>IF(tblMovement[[#This Row],[Source]]="","",IFERROR(INDEX(tblSources[Type],MATCH(tblMovement[[#This Row],[Source]],tblSources[Source],0)),"?"))</f>
        <v/>
      </c>
      <c r="L3767" s="63">
        <f>IF(tblMovement[[#This Row],[Destination]]="","",IFERROR(INDEX(tblDestinations[Type],MATCH(tblMovement[[#This Row],[Destination]],tblDestinations[Destination],0)),"?"))</f>
        <v/>
      </c>
      <c r="M3767" s="64">
        <f>IF(tblMovement[[#This Row],[Material]]="","",IF(LEFT(tblMovement[[#This Row],[Material]],3)="Ore",1,0))</f>
        <v/>
      </c>
      <c r="N3767" s="59">
        <f>IF(OR(tblMovement[[#This Row],[Tonnes_t]]="",tblMovement[[#This Row],[Grade_gpt]]=""),0,tblMovement[[#This Row],[Tonnes_t]]*tblMovement[[#This Row],[Grade_gpt]]/cfg_TroyOz)</f>
        <v/>
      </c>
      <c r="O3767" s="59">
        <f>IF(tblMovement[[#This Row],[Is_Ore]]=1,tblMovement[[#This Row],[Contained_oz]],0)</f>
        <v/>
      </c>
    </row>
    <row r="3768">
      <c r="A3768" s="54" t="n"/>
      <c r="B3768" s="61" t="n"/>
      <c r="C3768" s="61" t="n"/>
      <c r="D3768" s="61" t="n"/>
      <c r="E3768" s="61" t="n"/>
      <c r="F3768" s="55" t="n"/>
      <c r="G3768" s="56" t="n"/>
      <c r="H3768" s="55" t="n"/>
      <c r="I3768" s="62" t="n"/>
      <c r="J3768" s="58" t="n"/>
      <c r="K3768" s="63">
        <f>IF(tblMovement[[#This Row],[Source]]="","",IFERROR(INDEX(tblSources[Type],MATCH(tblMovement[[#This Row],[Source]],tblSources[Source],0)),"?"))</f>
        <v/>
      </c>
      <c r="L3768" s="63">
        <f>IF(tblMovement[[#This Row],[Destination]]="","",IFERROR(INDEX(tblDestinations[Type],MATCH(tblMovement[[#This Row],[Destination]],tblDestinations[Destination],0)),"?"))</f>
        <v/>
      </c>
      <c r="M3768" s="64">
        <f>IF(tblMovement[[#This Row],[Material]]="","",IF(LEFT(tblMovement[[#This Row],[Material]],3)="Ore",1,0))</f>
        <v/>
      </c>
      <c r="N3768" s="59">
        <f>IF(OR(tblMovement[[#This Row],[Tonnes_t]]="",tblMovement[[#This Row],[Grade_gpt]]=""),0,tblMovement[[#This Row],[Tonnes_t]]*tblMovement[[#This Row],[Grade_gpt]]/cfg_TroyOz)</f>
        <v/>
      </c>
      <c r="O3768" s="59">
        <f>IF(tblMovement[[#This Row],[Is_Ore]]=1,tblMovement[[#This Row],[Contained_oz]],0)</f>
        <v/>
      </c>
    </row>
    <row r="3769">
      <c r="A3769" s="54" t="n"/>
      <c r="B3769" s="61" t="n"/>
      <c r="C3769" s="61" t="n"/>
      <c r="D3769" s="61" t="n"/>
      <c r="E3769" s="61" t="n"/>
      <c r="F3769" s="55" t="n"/>
      <c r="G3769" s="56" t="n"/>
      <c r="H3769" s="55" t="n"/>
      <c r="I3769" s="62" t="n"/>
      <c r="J3769" s="58" t="n"/>
      <c r="K3769" s="63">
        <f>IF(tblMovement[[#This Row],[Source]]="","",IFERROR(INDEX(tblSources[Type],MATCH(tblMovement[[#This Row],[Source]],tblSources[Source],0)),"?"))</f>
        <v/>
      </c>
      <c r="L3769" s="63">
        <f>IF(tblMovement[[#This Row],[Destination]]="","",IFERROR(INDEX(tblDestinations[Type],MATCH(tblMovement[[#This Row],[Destination]],tblDestinations[Destination],0)),"?"))</f>
        <v/>
      </c>
      <c r="M3769" s="64">
        <f>IF(tblMovement[[#This Row],[Material]]="","",IF(LEFT(tblMovement[[#This Row],[Material]],3)="Ore",1,0))</f>
        <v/>
      </c>
      <c r="N3769" s="59">
        <f>IF(OR(tblMovement[[#This Row],[Tonnes_t]]="",tblMovement[[#This Row],[Grade_gpt]]=""),0,tblMovement[[#This Row],[Tonnes_t]]*tblMovement[[#This Row],[Grade_gpt]]/cfg_TroyOz)</f>
        <v/>
      </c>
      <c r="O3769" s="59">
        <f>IF(tblMovement[[#This Row],[Is_Ore]]=1,tblMovement[[#This Row],[Contained_oz]],0)</f>
        <v/>
      </c>
    </row>
    <row r="3770">
      <c r="A3770" s="54" t="n"/>
      <c r="B3770" s="61" t="n"/>
      <c r="C3770" s="61" t="n"/>
      <c r="D3770" s="61" t="n"/>
      <c r="E3770" s="61" t="n"/>
      <c r="F3770" s="55" t="n"/>
      <c r="G3770" s="56" t="n"/>
      <c r="H3770" s="55" t="n"/>
      <c r="I3770" s="62" t="n"/>
      <c r="J3770" s="58" t="n"/>
      <c r="K3770" s="63">
        <f>IF(tblMovement[[#This Row],[Source]]="","",IFERROR(INDEX(tblSources[Type],MATCH(tblMovement[[#This Row],[Source]],tblSources[Source],0)),"?"))</f>
        <v/>
      </c>
      <c r="L3770" s="63">
        <f>IF(tblMovement[[#This Row],[Destination]]="","",IFERROR(INDEX(tblDestinations[Type],MATCH(tblMovement[[#This Row],[Destination]],tblDestinations[Destination],0)),"?"))</f>
        <v/>
      </c>
      <c r="M3770" s="64">
        <f>IF(tblMovement[[#This Row],[Material]]="","",IF(LEFT(tblMovement[[#This Row],[Material]],3)="Ore",1,0))</f>
        <v/>
      </c>
      <c r="N3770" s="59">
        <f>IF(OR(tblMovement[[#This Row],[Tonnes_t]]="",tblMovement[[#This Row],[Grade_gpt]]=""),0,tblMovement[[#This Row],[Tonnes_t]]*tblMovement[[#This Row],[Grade_gpt]]/cfg_TroyOz)</f>
        <v/>
      </c>
      <c r="O3770" s="59">
        <f>IF(tblMovement[[#This Row],[Is_Ore]]=1,tblMovement[[#This Row],[Contained_oz]],0)</f>
        <v/>
      </c>
    </row>
    <row r="3771">
      <c r="A3771" s="54" t="n"/>
      <c r="B3771" s="61" t="n"/>
      <c r="C3771" s="61" t="n"/>
      <c r="D3771" s="61" t="n"/>
      <c r="E3771" s="61" t="n"/>
      <c r="F3771" s="55" t="n"/>
      <c r="G3771" s="56" t="n"/>
      <c r="H3771" s="55" t="n"/>
      <c r="I3771" s="62" t="n"/>
      <c r="J3771" s="58" t="n"/>
      <c r="K3771" s="63">
        <f>IF(tblMovement[[#This Row],[Source]]="","",IFERROR(INDEX(tblSources[Type],MATCH(tblMovement[[#This Row],[Source]],tblSources[Source],0)),"?"))</f>
        <v/>
      </c>
      <c r="L3771" s="63">
        <f>IF(tblMovement[[#This Row],[Destination]]="","",IFERROR(INDEX(tblDestinations[Type],MATCH(tblMovement[[#This Row],[Destination]],tblDestinations[Destination],0)),"?"))</f>
        <v/>
      </c>
      <c r="M3771" s="64">
        <f>IF(tblMovement[[#This Row],[Material]]="","",IF(LEFT(tblMovement[[#This Row],[Material]],3)="Ore",1,0))</f>
        <v/>
      </c>
      <c r="N3771" s="59">
        <f>IF(OR(tblMovement[[#This Row],[Tonnes_t]]="",tblMovement[[#This Row],[Grade_gpt]]=""),0,tblMovement[[#This Row],[Tonnes_t]]*tblMovement[[#This Row],[Grade_gpt]]/cfg_TroyOz)</f>
        <v/>
      </c>
      <c r="O3771" s="59">
        <f>IF(tblMovement[[#This Row],[Is_Ore]]=1,tblMovement[[#This Row],[Contained_oz]],0)</f>
        <v/>
      </c>
    </row>
    <row r="3772">
      <c r="A3772" s="54" t="n"/>
      <c r="B3772" s="61" t="n"/>
      <c r="C3772" s="61" t="n"/>
      <c r="D3772" s="61" t="n"/>
      <c r="E3772" s="61" t="n"/>
      <c r="F3772" s="55" t="n"/>
      <c r="G3772" s="56" t="n"/>
      <c r="H3772" s="55" t="n"/>
      <c r="I3772" s="62" t="n"/>
      <c r="J3772" s="58" t="n"/>
      <c r="K3772" s="63">
        <f>IF(tblMovement[[#This Row],[Source]]="","",IFERROR(INDEX(tblSources[Type],MATCH(tblMovement[[#This Row],[Source]],tblSources[Source],0)),"?"))</f>
        <v/>
      </c>
      <c r="L3772" s="63">
        <f>IF(tblMovement[[#This Row],[Destination]]="","",IFERROR(INDEX(tblDestinations[Type],MATCH(tblMovement[[#This Row],[Destination]],tblDestinations[Destination],0)),"?"))</f>
        <v/>
      </c>
      <c r="M3772" s="64">
        <f>IF(tblMovement[[#This Row],[Material]]="","",IF(LEFT(tblMovement[[#This Row],[Material]],3)="Ore",1,0))</f>
        <v/>
      </c>
      <c r="N3772" s="59">
        <f>IF(OR(tblMovement[[#This Row],[Tonnes_t]]="",tblMovement[[#This Row],[Grade_gpt]]=""),0,tblMovement[[#This Row],[Tonnes_t]]*tblMovement[[#This Row],[Grade_gpt]]/cfg_TroyOz)</f>
        <v/>
      </c>
      <c r="O3772" s="59">
        <f>IF(tblMovement[[#This Row],[Is_Ore]]=1,tblMovement[[#This Row],[Contained_oz]],0)</f>
        <v/>
      </c>
    </row>
    <row r="3773">
      <c r="A3773" s="54" t="n"/>
      <c r="B3773" s="61" t="n"/>
      <c r="C3773" s="61" t="n"/>
      <c r="D3773" s="61" t="n"/>
      <c r="E3773" s="61" t="n"/>
      <c r="F3773" s="55" t="n"/>
      <c r="G3773" s="56" t="n"/>
      <c r="H3773" s="55" t="n"/>
      <c r="I3773" s="62" t="n"/>
      <c r="J3773" s="58" t="n"/>
      <c r="K3773" s="63">
        <f>IF(tblMovement[[#This Row],[Source]]="","",IFERROR(INDEX(tblSources[Type],MATCH(tblMovement[[#This Row],[Source]],tblSources[Source],0)),"?"))</f>
        <v/>
      </c>
      <c r="L3773" s="63">
        <f>IF(tblMovement[[#This Row],[Destination]]="","",IFERROR(INDEX(tblDestinations[Type],MATCH(tblMovement[[#This Row],[Destination]],tblDestinations[Destination],0)),"?"))</f>
        <v/>
      </c>
      <c r="M3773" s="64">
        <f>IF(tblMovement[[#This Row],[Material]]="","",IF(LEFT(tblMovement[[#This Row],[Material]],3)="Ore",1,0))</f>
        <v/>
      </c>
      <c r="N3773" s="59">
        <f>IF(OR(tblMovement[[#This Row],[Tonnes_t]]="",tblMovement[[#This Row],[Grade_gpt]]=""),0,tblMovement[[#This Row],[Tonnes_t]]*tblMovement[[#This Row],[Grade_gpt]]/cfg_TroyOz)</f>
        <v/>
      </c>
      <c r="O3773" s="59">
        <f>IF(tblMovement[[#This Row],[Is_Ore]]=1,tblMovement[[#This Row],[Contained_oz]],0)</f>
        <v/>
      </c>
    </row>
    <row r="3774">
      <c r="A3774" s="54" t="n"/>
      <c r="B3774" s="61" t="n"/>
      <c r="C3774" s="61" t="n"/>
      <c r="D3774" s="61" t="n"/>
      <c r="E3774" s="61" t="n"/>
      <c r="F3774" s="55" t="n"/>
      <c r="G3774" s="56" t="n"/>
      <c r="H3774" s="55" t="n"/>
      <c r="I3774" s="62" t="n"/>
      <c r="J3774" s="58" t="n"/>
      <c r="K3774" s="63">
        <f>IF(tblMovement[[#This Row],[Source]]="","",IFERROR(INDEX(tblSources[Type],MATCH(tblMovement[[#This Row],[Source]],tblSources[Source],0)),"?"))</f>
        <v/>
      </c>
      <c r="L3774" s="63">
        <f>IF(tblMovement[[#This Row],[Destination]]="","",IFERROR(INDEX(tblDestinations[Type],MATCH(tblMovement[[#This Row],[Destination]],tblDestinations[Destination],0)),"?"))</f>
        <v/>
      </c>
      <c r="M3774" s="64">
        <f>IF(tblMovement[[#This Row],[Material]]="","",IF(LEFT(tblMovement[[#This Row],[Material]],3)="Ore",1,0))</f>
        <v/>
      </c>
      <c r="N3774" s="59">
        <f>IF(OR(tblMovement[[#This Row],[Tonnes_t]]="",tblMovement[[#This Row],[Grade_gpt]]=""),0,tblMovement[[#This Row],[Tonnes_t]]*tblMovement[[#This Row],[Grade_gpt]]/cfg_TroyOz)</f>
        <v/>
      </c>
      <c r="O3774" s="59">
        <f>IF(tblMovement[[#This Row],[Is_Ore]]=1,tblMovement[[#This Row],[Contained_oz]],0)</f>
        <v/>
      </c>
    </row>
    <row r="3775">
      <c r="A3775" s="54" t="n"/>
      <c r="B3775" s="61" t="n"/>
      <c r="C3775" s="61" t="n"/>
      <c r="D3775" s="61" t="n"/>
      <c r="E3775" s="61" t="n"/>
      <c r="F3775" s="55" t="n"/>
      <c r="G3775" s="56" t="n"/>
      <c r="H3775" s="55" t="n"/>
      <c r="I3775" s="62" t="n"/>
      <c r="J3775" s="58" t="n"/>
      <c r="K3775" s="63">
        <f>IF(tblMovement[[#This Row],[Source]]="","",IFERROR(INDEX(tblSources[Type],MATCH(tblMovement[[#This Row],[Source]],tblSources[Source],0)),"?"))</f>
        <v/>
      </c>
      <c r="L3775" s="63">
        <f>IF(tblMovement[[#This Row],[Destination]]="","",IFERROR(INDEX(tblDestinations[Type],MATCH(tblMovement[[#This Row],[Destination]],tblDestinations[Destination],0)),"?"))</f>
        <v/>
      </c>
      <c r="M3775" s="64">
        <f>IF(tblMovement[[#This Row],[Material]]="","",IF(LEFT(tblMovement[[#This Row],[Material]],3)="Ore",1,0))</f>
        <v/>
      </c>
      <c r="N3775" s="59">
        <f>IF(OR(tblMovement[[#This Row],[Tonnes_t]]="",tblMovement[[#This Row],[Grade_gpt]]=""),0,tblMovement[[#This Row],[Tonnes_t]]*tblMovement[[#This Row],[Grade_gpt]]/cfg_TroyOz)</f>
        <v/>
      </c>
      <c r="O3775" s="59">
        <f>IF(tblMovement[[#This Row],[Is_Ore]]=1,tblMovement[[#This Row],[Contained_oz]],0)</f>
        <v/>
      </c>
    </row>
    <row r="3776">
      <c r="A3776" s="54" t="n"/>
      <c r="B3776" s="61" t="n"/>
      <c r="C3776" s="61" t="n"/>
      <c r="D3776" s="61" t="n"/>
      <c r="E3776" s="61" t="n"/>
      <c r="F3776" s="55" t="n"/>
      <c r="G3776" s="56" t="n"/>
      <c r="H3776" s="55" t="n"/>
      <c r="I3776" s="62" t="n"/>
      <c r="J3776" s="58" t="n"/>
      <c r="K3776" s="63">
        <f>IF(tblMovement[[#This Row],[Source]]="","",IFERROR(INDEX(tblSources[Type],MATCH(tblMovement[[#This Row],[Source]],tblSources[Source],0)),"?"))</f>
        <v/>
      </c>
      <c r="L3776" s="63">
        <f>IF(tblMovement[[#This Row],[Destination]]="","",IFERROR(INDEX(tblDestinations[Type],MATCH(tblMovement[[#This Row],[Destination]],tblDestinations[Destination],0)),"?"))</f>
        <v/>
      </c>
      <c r="M3776" s="64">
        <f>IF(tblMovement[[#This Row],[Material]]="","",IF(LEFT(tblMovement[[#This Row],[Material]],3)="Ore",1,0))</f>
        <v/>
      </c>
      <c r="N3776" s="59">
        <f>IF(OR(tblMovement[[#This Row],[Tonnes_t]]="",tblMovement[[#This Row],[Grade_gpt]]=""),0,tblMovement[[#This Row],[Tonnes_t]]*tblMovement[[#This Row],[Grade_gpt]]/cfg_TroyOz)</f>
        <v/>
      </c>
      <c r="O3776" s="59">
        <f>IF(tblMovement[[#This Row],[Is_Ore]]=1,tblMovement[[#This Row],[Contained_oz]],0)</f>
        <v/>
      </c>
    </row>
    <row r="3777">
      <c r="A3777" s="54" t="n"/>
      <c r="B3777" s="61" t="n"/>
      <c r="C3777" s="61" t="n"/>
      <c r="D3777" s="61" t="n"/>
      <c r="E3777" s="61" t="n"/>
      <c r="F3777" s="55" t="n"/>
      <c r="G3777" s="56" t="n"/>
      <c r="H3777" s="55" t="n"/>
      <c r="I3777" s="62" t="n"/>
      <c r="J3777" s="58" t="n"/>
      <c r="K3777" s="63">
        <f>IF(tblMovement[[#This Row],[Source]]="","",IFERROR(INDEX(tblSources[Type],MATCH(tblMovement[[#This Row],[Source]],tblSources[Source],0)),"?"))</f>
        <v/>
      </c>
      <c r="L3777" s="63">
        <f>IF(tblMovement[[#This Row],[Destination]]="","",IFERROR(INDEX(tblDestinations[Type],MATCH(tblMovement[[#This Row],[Destination]],tblDestinations[Destination],0)),"?"))</f>
        <v/>
      </c>
      <c r="M3777" s="64">
        <f>IF(tblMovement[[#This Row],[Material]]="","",IF(LEFT(tblMovement[[#This Row],[Material]],3)="Ore",1,0))</f>
        <v/>
      </c>
      <c r="N3777" s="59">
        <f>IF(OR(tblMovement[[#This Row],[Tonnes_t]]="",tblMovement[[#This Row],[Grade_gpt]]=""),0,tblMovement[[#This Row],[Tonnes_t]]*tblMovement[[#This Row],[Grade_gpt]]/cfg_TroyOz)</f>
        <v/>
      </c>
      <c r="O3777" s="59">
        <f>IF(tblMovement[[#This Row],[Is_Ore]]=1,tblMovement[[#This Row],[Contained_oz]],0)</f>
        <v/>
      </c>
    </row>
    <row r="3778">
      <c r="A3778" s="54" t="n"/>
      <c r="B3778" s="61" t="n"/>
      <c r="C3778" s="61" t="n"/>
      <c r="D3778" s="61" t="n"/>
      <c r="E3778" s="61" t="n"/>
      <c r="F3778" s="55" t="n"/>
      <c r="G3778" s="56" t="n"/>
      <c r="H3778" s="55" t="n"/>
      <c r="I3778" s="62" t="n"/>
      <c r="J3778" s="58" t="n"/>
      <c r="K3778" s="63">
        <f>IF(tblMovement[[#This Row],[Source]]="","",IFERROR(INDEX(tblSources[Type],MATCH(tblMovement[[#This Row],[Source]],tblSources[Source],0)),"?"))</f>
        <v/>
      </c>
      <c r="L3778" s="63">
        <f>IF(tblMovement[[#This Row],[Destination]]="","",IFERROR(INDEX(tblDestinations[Type],MATCH(tblMovement[[#This Row],[Destination]],tblDestinations[Destination],0)),"?"))</f>
        <v/>
      </c>
      <c r="M3778" s="64">
        <f>IF(tblMovement[[#This Row],[Material]]="","",IF(LEFT(tblMovement[[#This Row],[Material]],3)="Ore",1,0))</f>
        <v/>
      </c>
      <c r="N3778" s="59">
        <f>IF(OR(tblMovement[[#This Row],[Tonnes_t]]="",tblMovement[[#This Row],[Grade_gpt]]=""),0,tblMovement[[#This Row],[Tonnes_t]]*tblMovement[[#This Row],[Grade_gpt]]/cfg_TroyOz)</f>
        <v/>
      </c>
      <c r="O3778" s="59">
        <f>IF(tblMovement[[#This Row],[Is_Ore]]=1,tblMovement[[#This Row],[Contained_oz]],0)</f>
        <v/>
      </c>
    </row>
    <row r="3779">
      <c r="A3779" s="54" t="n"/>
      <c r="B3779" s="61" t="n"/>
      <c r="C3779" s="61" t="n"/>
      <c r="D3779" s="61" t="n"/>
      <c r="E3779" s="61" t="n"/>
      <c r="F3779" s="55" t="n"/>
      <c r="G3779" s="56" t="n"/>
      <c r="H3779" s="55" t="n"/>
      <c r="I3779" s="62" t="n"/>
      <c r="J3779" s="58" t="n"/>
      <c r="K3779" s="63">
        <f>IF(tblMovement[[#This Row],[Source]]="","",IFERROR(INDEX(tblSources[Type],MATCH(tblMovement[[#This Row],[Source]],tblSources[Source],0)),"?"))</f>
        <v/>
      </c>
      <c r="L3779" s="63">
        <f>IF(tblMovement[[#This Row],[Destination]]="","",IFERROR(INDEX(tblDestinations[Type],MATCH(tblMovement[[#This Row],[Destination]],tblDestinations[Destination],0)),"?"))</f>
        <v/>
      </c>
      <c r="M3779" s="64">
        <f>IF(tblMovement[[#This Row],[Material]]="","",IF(LEFT(tblMovement[[#This Row],[Material]],3)="Ore",1,0))</f>
        <v/>
      </c>
      <c r="N3779" s="59">
        <f>IF(OR(tblMovement[[#This Row],[Tonnes_t]]="",tblMovement[[#This Row],[Grade_gpt]]=""),0,tblMovement[[#This Row],[Tonnes_t]]*tblMovement[[#This Row],[Grade_gpt]]/cfg_TroyOz)</f>
        <v/>
      </c>
      <c r="O3779" s="59">
        <f>IF(tblMovement[[#This Row],[Is_Ore]]=1,tblMovement[[#This Row],[Contained_oz]],0)</f>
        <v/>
      </c>
    </row>
    <row r="3780">
      <c r="A3780" s="54" t="n"/>
      <c r="B3780" s="61" t="n"/>
      <c r="C3780" s="61" t="n"/>
      <c r="D3780" s="61" t="n"/>
      <c r="E3780" s="61" t="n"/>
      <c r="F3780" s="55" t="n"/>
      <c r="G3780" s="56" t="n"/>
      <c r="H3780" s="55" t="n"/>
      <c r="I3780" s="62" t="n"/>
      <c r="J3780" s="58" t="n"/>
      <c r="K3780" s="63">
        <f>IF(tblMovement[[#This Row],[Source]]="","",IFERROR(INDEX(tblSources[Type],MATCH(tblMovement[[#This Row],[Source]],tblSources[Source],0)),"?"))</f>
        <v/>
      </c>
      <c r="L3780" s="63">
        <f>IF(tblMovement[[#This Row],[Destination]]="","",IFERROR(INDEX(tblDestinations[Type],MATCH(tblMovement[[#This Row],[Destination]],tblDestinations[Destination],0)),"?"))</f>
        <v/>
      </c>
      <c r="M3780" s="64">
        <f>IF(tblMovement[[#This Row],[Material]]="","",IF(LEFT(tblMovement[[#This Row],[Material]],3)="Ore",1,0))</f>
        <v/>
      </c>
      <c r="N3780" s="59">
        <f>IF(OR(tblMovement[[#This Row],[Tonnes_t]]="",tblMovement[[#This Row],[Grade_gpt]]=""),0,tblMovement[[#This Row],[Tonnes_t]]*tblMovement[[#This Row],[Grade_gpt]]/cfg_TroyOz)</f>
        <v/>
      </c>
      <c r="O3780" s="59">
        <f>IF(tblMovement[[#This Row],[Is_Ore]]=1,tblMovement[[#This Row],[Contained_oz]],0)</f>
        <v/>
      </c>
    </row>
    <row r="3781">
      <c r="A3781" s="54" t="n"/>
      <c r="B3781" s="61" t="n"/>
      <c r="C3781" s="61" t="n"/>
      <c r="D3781" s="61" t="n"/>
      <c r="E3781" s="61" t="n"/>
      <c r="F3781" s="55" t="n"/>
      <c r="G3781" s="56" t="n"/>
      <c r="H3781" s="55" t="n"/>
      <c r="I3781" s="62" t="n"/>
      <c r="J3781" s="58" t="n"/>
      <c r="K3781" s="63">
        <f>IF(tblMovement[[#This Row],[Source]]="","",IFERROR(INDEX(tblSources[Type],MATCH(tblMovement[[#This Row],[Source]],tblSources[Source],0)),"?"))</f>
        <v/>
      </c>
      <c r="L3781" s="63">
        <f>IF(tblMovement[[#This Row],[Destination]]="","",IFERROR(INDEX(tblDestinations[Type],MATCH(tblMovement[[#This Row],[Destination]],tblDestinations[Destination],0)),"?"))</f>
        <v/>
      </c>
      <c r="M3781" s="64">
        <f>IF(tblMovement[[#This Row],[Material]]="","",IF(LEFT(tblMovement[[#This Row],[Material]],3)="Ore",1,0))</f>
        <v/>
      </c>
      <c r="N3781" s="59">
        <f>IF(OR(tblMovement[[#This Row],[Tonnes_t]]="",tblMovement[[#This Row],[Grade_gpt]]=""),0,tblMovement[[#This Row],[Tonnes_t]]*tblMovement[[#This Row],[Grade_gpt]]/cfg_TroyOz)</f>
        <v/>
      </c>
      <c r="O3781" s="59">
        <f>IF(tblMovement[[#This Row],[Is_Ore]]=1,tblMovement[[#This Row],[Contained_oz]],0)</f>
        <v/>
      </c>
    </row>
    <row r="3782">
      <c r="A3782" s="54" t="n"/>
      <c r="B3782" s="61" t="n"/>
      <c r="C3782" s="61" t="n"/>
      <c r="D3782" s="61" t="n"/>
      <c r="E3782" s="61" t="n"/>
      <c r="F3782" s="55" t="n"/>
      <c r="G3782" s="56" t="n"/>
      <c r="H3782" s="55" t="n"/>
      <c r="I3782" s="62" t="n"/>
      <c r="J3782" s="58" t="n"/>
      <c r="K3782" s="63">
        <f>IF(tblMovement[[#This Row],[Source]]="","",IFERROR(INDEX(tblSources[Type],MATCH(tblMovement[[#This Row],[Source]],tblSources[Source],0)),"?"))</f>
        <v/>
      </c>
      <c r="L3782" s="63">
        <f>IF(tblMovement[[#This Row],[Destination]]="","",IFERROR(INDEX(tblDestinations[Type],MATCH(tblMovement[[#This Row],[Destination]],tblDestinations[Destination],0)),"?"))</f>
        <v/>
      </c>
      <c r="M3782" s="64">
        <f>IF(tblMovement[[#This Row],[Material]]="","",IF(LEFT(tblMovement[[#This Row],[Material]],3)="Ore",1,0))</f>
        <v/>
      </c>
      <c r="N3782" s="59">
        <f>IF(OR(tblMovement[[#This Row],[Tonnes_t]]="",tblMovement[[#This Row],[Grade_gpt]]=""),0,tblMovement[[#This Row],[Tonnes_t]]*tblMovement[[#This Row],[Grade_gpt]]/cfg_TroyOz)</f>
        <v/>
      </c>
      <c r="O3782" s="59">
        <f>IF(tblMovement[[#This Row],[Is_Ore]]=1,tblMovement[[#This Row],[Contained_oz]],0)</f>
        <v/>
      </c>
    </row>
    <row r="3783">
      <c r="A3783" s="54" t="n"/>
      <c r="B3783" s="61" t="n"/>
      <c r="C3783" s="61" t="n"/>
      <c r="D3783" s="61" t="n"/>
      <c r="E3783" s="61" t="n"/>
      <c r="F3783" s="55" t="n"/>
      <c r="G3783" s="56" t="n"/>
      <c r="H3783" s="55" t="n"/>
      <c r="I3783" s="62" t="n"/>
      <c r="J3783" s="58" t="n"/>
      <c r="K3783" s="63">
        <f>IF(tblMovement[[#This Row],[Source]]="","",IFERROR(INDEX(tblSources[Type],MATCH(tblMovement[[#This Row],[Source]],tblSources[Source],0)),"?"))</f>
        <v/>
      </c>
      <c r="L3783" s="63">
        <f>IF(tblMovement[[#This Row],[Destination]]="","",IFERROR(INDEX(tblDestinations[Type],MATCH(tblMovement[[#This Row],[Destination]],tblDestinations[Destination],0)),"?"))</f>
        <v/>
      </c>
      <c r="M3783" s="64">
        <f>IF(tblMovement[[#This Row],[Material]]="","",IF(LEFT(tblMovement[[#This Row],[Material]],3)="Ore",1,0))</f>
        <v/>
      </c>
      <c r="N3783" s="59">
        <f>IF(OR(tblMovement[[#This Row],[Tonnes_t]]="",tblMovement[[#This Row],[Grade_gpt]]=""),0,tblMovement[[#This Row],[Tonnes_t]]*tblMovement[[#This Row],[Grade_gpt]]/cfg_TroyOz)</f>
        <v/>
      </c>
      <c r="O3783" s="59">
        <f>IF(tblMovement[[#This Row],[Is_Ore]]=1,tblMovement[[#This Row],[Contained_oz]],0)</f>
        <v/>
      </c>
    </row>
    <row r="3784">
      <c r="A3784" s="54" t="n"/>
      <c r="B3784" s="61" t="n"/>
      <c r="C3784" s="61" t="n"/>
      <c r="D3784" s="61" t="n"/>
      <c r="E3784" s="61" t="n"/>
      <c r="F3784" s="55" t="n"/>
      <c r="G3784" s="56" t="n"/>
      <c r="H3784" s="55" t="n"/>
      <c r="I3784" s="62" t="n"/>
      <c r="J3784" s="58" t="n"/>
      <c r="K3784" s="63">
        <f>IF(tblMovement[[#This Row],[Source]]="","",IFERROR(INDEX(tblSources[Type],MATCH(tblMovement[[#This Row],[Source]],tblSources[Source],0)),"?"))</f>
        <v/>
      </c>
      <c r="L3784" s="63">
        <f>IF(tblMovement[[#This Row],[Destination]]="","",IFERROR(INDEX(tblDestinations[Type],MATCH(tblMovement[[#This Row],[Destination]],tblDestinations[Destination],0)),"?"))</f>
        <v/>
      </c>
      <c r="M3784" s="64">
        <f>IF(tblMovement[[#This Row],[Material]]="","",IF(LEFT(tblMovement[[#This Row],[Material]],3)="Ore",1,0))</f>
        <v/>
      </c>
      <c r="N3784" s="59">
        <f>IF(OR(tblMovement[[#This Row],[Tonnes_t]]="",tblMovement[[#This Row],[Grade_gpt]]=""),0,tblMovement[[#This Row],[Tonnes_t]]*tblMovement[[#This Row],[Grade_gpt]]/cfg_TroyOz)</f>
        <v/>
      </c>
      <c r="O3784" s="59">
        <f>IF(tblMovement[[#This Row],[Is_Ore]]=1,tblMovement[[#This Row],[Contained_oz]],0)</f>
        <v/>
      </c>
    </row>
    <row r="3785">
      <c r="A3785" s="54" t="n"/>
      <c r="B3785" s="61" t="n"/>
      <c r="C3785" s="61" t="n"/>
      <c r="D3785" s="61" t="n"/>
      <c r="E3785" s="61" t="n"/>
      <c r="F3785" s="55" t="n"/>
      <c r="G3785" s="56" t="n"/>
      <c r="H3785" s="55" t="n"/>
      <c r="I3785" s="62" t="n"/>
      <c r="J3785" s="58" t="n"/>
      <c r="K3785" s="63">
        <f>IF(tblMovement[[#This Row],[Source]]="","",IFERROR(INDEX(tblSources[Type],MATCH(tblMovement[[#This Row],[Source]],tblSources[Source],0)),"?"))</f>
        <v/>
      </c>
      <c r="L3785" s="63">
        <f>IF(tblMovement[[#This Row],[Destination]]="","",IFERROR(INDEX(tblDestinations[Type],MATCH(tblMovement[[#This Row],[Destination]],tblDestinations[Destination],0)),"?"))</f>
        <v/>
      </c>
      <c r="M3785" s="64">
        <f>IF(tblMovement[[#This Row],[Material]]="","",IF(LEFT(tblMovement[[#This Row],[Material]],3)="Ore",1,0))</f>
        <v/>
      </c>
      <c r="N3785" s="59">
        <f>IF(OR(tblMovement[[#This Row],[Tonnes_t]]="",tblMovement[[#This Row],[Grade_gpt]]=""),0,tblMovement[[#This Row],[Tonnes_t]]*tblMovement[[#This Row],[Grade_gpt]]/cfg_TroyOz)</f>
        <v/>
      </c>
      <c r="O3785" s="59">
        <f>IF(tblMovement[[#This Row],[Is_Ore]]=1,tblMovement[[#This Row],[Contained_oz]],0)</f>
        <v/>
      </c>
    </row>
    <row r="3786">
      <c r="A3786" s="54" t="n"/>
      <c r="B3786" s="61" t="n"/>
      <c r="C3786" s="61" t="n"/>
      <c r="D3786" s="61" t="n"/>
      <c r="E3786" s="61" t="n"/>
      <c r="F3786" s="55" t="n"/>
      <c r="G3786" s="56" t="n"/>
      <c r="H3786" s="55" t="n"/>
      <c r="I3786" s="62" t="n"/>
      <c r="J3786" s="58" t="n"/>
      <c r="K3786" s="63">
        <f>IF(tblMovement[[#This Row],[Source]]="","",IFERROR(INDEX(tblSources[Type],MATCH(tblMovement[[#This Row],[Source]],tblSources[Source],0)),"?"))</f>
        <v/>
      </c>
      <c r="L3786" s="63">
        <f>IF(tblMovement[[#This Row],[Destination]]="","",IFERROR(INDEX(tblDestinations[Type],MATCH(tblMovement[[#This Row],[Destination]],tblDestinations[Destination],0)),"?"))</f>
        <v/>
      </c>
      <c r="M3786" s="64">
        <f>IF(tblMovement[[#This Row],[Material]]="","",IF(LEFT(tblMovement[[#This Row],[Material]],3)="Ore",1,0))</f>
        <v/>
      </c>
      <c r="N3786" s="59">
        <f>IF(OR(tblMovement[[#This Row],[Tonnes_t]]="",tblMovement[[#This Row],[Grade_gpt]]=""),0,tblMovement[[#This Row],[Tonnes_t]]*tblMovement[[#This Row],[Grade_gpt]]/cfg_TroyOz)</f>
        <v/>
      </c>
      <c r="O3786" s="59">
        <f>IF(tblMovement[[#This Row],[Is_Ore]]=1,tblMovement[[#This Row],[Contained_oz]],0)</f>
        <v/>
      </c>
    </row>
    <row r="3787">
      <c r="A3787" s="54" t="n"/>
      <c r="B3787" s="61" t="n"/>
      <c r="C3787" s="61" t="n"/>
      <c r="D3787" s="61" t="n"/>
      <c r="E3787" s="61" t="n"/>
      <c r="F3787" s="55" t="n"/>
      <c r="G3787" s="56" t="n"/>
      <c r="H3787" s="55" t="n"/>
      <c r="I3787" s="62" t="n"/>
      <c r="J3787" s="58" t="n"/>
      <c r="K3787" s="63">
        <f>IF(tblMovement[[#This Row],[Source]]="","",IFERROR(INDEX(tblSources[Type],MATCH(tblMovement[[#This Row],[Source]],tblSources[Source],0)),"?"))</f>
        <v/>
      </c>
      <c r="L3787" s="63">
        <f>IF(tblMovement[[#This Row],[Destination]]="","",IFERROR(INDEX(tblDestinations[Type],MATCH(tblMovement[[#This Row],[Destination]],tblDestinations[Destination],0)),"?"))</f>
        <v/>
      </c>
      <c r="M3787" s="64">
        <f>IF(tblMovement[[#This Row],[Material]]="","",IF(LEFT(tblMovement[[#This Row],[Material]],3)="Ore",1,0))</f>
        <v/>
      </c>
      <c r="N3787" s="59">
        <f>IF(OR(tblMovement[[#This Row],[Tonnes_t]]="",tblMovement[[#This Row],[Grade_gpt]]=""),0,tblMovement[[#This Row],[Tonnes_t]]*tblMovement[[#This Row],[Grade_gpt]]/cfg_TroyOz)</f>
        <v/>
      </c>
      <c r="O3787" s="59">
        <f>IF(tblMovement[[#This Row],[Is_Ore]]=1,tblMovement[[#This Row],[Contained_oz]],0)</f>
        <v/>
      </c>
    </row>
    <row r="3788">
      <c r="A3788" s="54" t="n"/>
      <c r="B3788" s="61" t="n"/>
      <c r="C3788" s="61" t="n"/>
      <c r="D3788" s="61" t="n"/>
      <c r="E3788" s="61" t="n"/>
      <c r="F3788" s="55" t="n"/>
      <c r="G3788" s="56" t="n"/>
      <c r="H3788" s="55" t="n"/>
      <c r="I3788" s="62" t="n"/>
      <c r="J3788" s="58" t="n"/>
      <c r="K3788" s="63">
        <f>IF(tblMovement[[#This Row],[Source]]="","",IFERROR(INDEX(tblSources[Type],MATCH(tblMovement[[#This Row],[Source]],tblSources[Source],0)),"?"))</f>
        <v/>
      </c>
      <c r="L3788" s="63">
        <f>IF(tblMovement[[#This Row],[Destination]]="","",IFERROR(INDEX(tblDestinations[Type],MATCH(tblMovement[[#This Row],[Destination]],tblDestinations[Destination],0)),"?"))</f>
        <v/>
      </c>
      <c r="M3788" s="64">
        <f>IF(tblMovement[[#This Row],[Material]]="","",IF(LEFT(tblMovement[[#This Row],[Material]],3)="Ore",1,0))</f>
        <v/>
      </c>
      <c r="N3788" s="59">
        <f>IF(OR(tblMovement[[#This Row],[Tonnes_t]]="",tblMovement[[#This Row],[Grade_gpt]]=""),0,tblMovement[[#This Row],[Tonnes_t]]*tblMovement[[#This Row],[Grade_gpt]]/cfg_TroyOz)</f>
        <v/>
      </c>
      <c r="O3788" s="59">
        <f>IF(tblMovement[[#This Row],[Is_Ore]]=1,tblMovement[[#This Row],[Contained_oz]],0)</f>
        <v/>
      </c>
    </row>
    <row r="3789">
      <c r="A3789" s="54" t="n"/>
      <c r="B3789" s="61" t="n"/>
      <c r="C3789" s="61" t="n"/>
      <c r="D3789" s="61" t="n"/>
      <c r="E3789" s="61" t="n"/>
      <c r="F3789" s="55" t="n"/>
      <c r="G3789" s="56" t="n"/>
      <c r="H3789" s="55" t="n"/>
      <c r="I3789" s="62" t="n"/>
      <c r="J3789" s="58" t="n"/>
      <c r="K3789" s="63">
        <f>IF(tblMovement[[#This Row],[Source]]="","",IFERROR(INDEX(tblSources[Type],MATCH(tblMovement[[#This Row],[Source]],tblSources[Source],0)),"?"))</f>
        <v/>
      </c>
      <c r="L3789" s="63">
        <f>IF(tblMovement[[#This Row],[Destination]]="","",IFERROR(INDEX(tblDestinations[Type],MATCH(tblMovement[[#This Row],[Destination]],tblDestinations[Destination],0)),"?"))</f>
        <v/>
      </c>
      <c r="M3789" s="64">
        <f>IF(tblMovement[[#This Row],[Material]]="","",IF(LEFT(tblMovement[[#This Row],[Material]],3)="Ore",1,0))</f>
        <v/>
      </c>
      <c r="N3789" s="59">
        <f>IF(OR(tblMovement[[#This Row],[Tonnes_t]]="",tblMovement[[#This Row],[Grade_gpt]]=""),0,tblMovement[[#This Row],[Tonnes_t]]*tblMovement[[#This Row],[Grade_gpt]]/cfg_TroyOz)</f>
        <v/>
      </c>
      <c r="O3789" s="59">
        <f>IF(tblMovement[[#This Row],[Is_Ore]]=1,tblMovement[[#This Row],[Contained_oz]],0)</f>
        <v/>
      </c>
    </row>
    <row r="3790">
      <c r="A3790" s="54" t="n"/>
      <c r="B3790" s="61" t="n"/>
      <c r="C3790" s="61" t="n"/>
      <c r="D3790" s="61" t="n"/>
      <c r="E3790" s="61" t="n"/>
      <c r="F3790" s="55" t="n"/>
      <c r="G3790" s="56" t="n"/>
      <c r="H3790" s="55" t="n"/>
      <c r="I3790" s="62" t="n"/>
      <c r="J3790" s="58" t="n"/>
      <c r="K3790" s="63">
        <f>IF(tblMovement[[#This Row],[Source]]="","",IFERROR(INDEX(tblSources[Type],MATCH(tblMovement[[#This Row],[Source]],tblSources[Source],0)),"?"))</f>
        <v/>
      </c>
      <c r="L3790" s="63">
        <f>IF(tblMovement[[#This Row],[Destination]]="","",IFERROR(INDEX(tblDestinations[Type],MATCH(tblMovement[[#This Row],[Destination]],tblDestinations[Destination],0)),"?"))</f>
        <v/>
      </c>
      <c r="M3790" s="64">
        <f>IF(tblMovement[[#This Row],[Material]]="","",IF(LEFT(tblMovement[[#This Row],[Material]],3)="Ore",1,0))</f>
        <v/>
      </c>
      <c r="N3790" s="59">
        <f>IF(OR(tblMovement[[#This Row],[Tonnes_t]]="",tblMovement[[#This Row],[Grade_gpt]]=""),0,tblMovement[[#This Row],[Tonnes_t]]*tblMovement[[#This Row],[Grade_gpt]]/cfg_TroyOz)</f>
        <v/>
      </c>
      <c r="O3790" s="59">
        <f>IF(tblMovement[[#This Row],[Is_Ore]]=1,tblMovement[[#This Row],[Contained_oz]],0)</f>
        <v/>
      </c>
    </row>
    <row r="3791">
      <c r="A3791" s="54" t="n"/>
      <c r="B3791" s="61" t="n"/>
      <c r="C3791" s="61" t="n"/>
      <c r="D3791" s="61" t="n"/>
      <c r="E3791" s="61" t="n"/>
      <c r="F3791" s="55" t="n"/>
      <c r="G3791" s="56" t="n"/>
      <c r="H3791" s="55" t="n"/>
      <c r="I3791" s="62" t="n"/>
      <c r="J3791" s="58" t="n"/>
      <c r="K3791" s="63">
        <f>IF(tblMovement[[#This Row],[Source]]="","",IFERROR(INDEX(tblSources[Type],MATCH(tblMovement[[#This Row],[Source]],tblSources[Source],0)),"?"))</f>
        <v/>
      </c>
      <c r="L3791" s="63">
        <f>IF(tblMovement[[#This Row],[Destination]]="","",IFERROR(INDEX(tblDestinations[Type],MATCH(tblMovement[[#This Row],[Destination]],tblDestinations[Destination],0)),"?"))</f>
        <v/>
      </c>
      <c r="M3791" s="64">
        <f>IF(tblMovement[[#This Row],[Material]]="","",IF(LEFT(tblMovement[[#This Row],[Material]],3)="Ore",1,0))</f>
        <v/>
      </c>
      <c r="N3791" s="59">
        <f>IF(OR(tblMovement[[#This Row],[Tonnes_t]]="",tblMovement[[#This Row],[Grade_gpt]]=""),0,tblMovement[[#This Row],[Tonnes_t]]*tblMovement[[#This Row],[Grade_gpt]]/cfg_TroyOz)</f>
        <v/>
      </c>
      <c r="O3791" s="59">
        <f>IF(tblMovement[[#This Row],[Is_Ore]]=1,tblMovement[[#This Row],[Contained_oz]],0)</f>
        <v/>
      </c>
    </row>
    <row r="3792">
      <c r="A3792" s="54" t="n"/>
      <c r="B3792" s="61" t="n"/>
      <c r="C3792" s="61" t="n"/>
      <c r="D3792" s="61" t="n"/>
      <c r="E3792" s="61" t="n"/>
      <c r="F3792" s="55" t="n"/>
      <c r="G3792" s="56" t="n"/>
      <c r="H3792" s="55" t="n"/>
      <c r="I3792" s="62" t="n"/>
      <c r="J3792" s="58" t="n"/>
      <c r="K3792" s="63">
        <f>IF(tblMovement[[#This Row],[Source]]="","",IFERROR(INDEX(tblSources[Type],MATCH(tblMovement[[#This Row],[Source]],tblSources[Source],0)),"?"))</f>
        <v/>
      </c>
      <c r="L3792" s="63">
        <f>IF(tblMovement[[#This Row],[Destination]]="","",IFERROR(INDEX(tblDestinations[Type],MATCH(tblMovement[[#This Row],[Destination]],tblDestinations[Destination],0)),"?"))</f>
        <v/>
      </c>
      <c r="M3792" s="64">
        <f>IF(tblMovement[[#This Row],[Material]]="","",IF(LEFT(tblMovement[[#This Row],[Material]],3)="Ore",1,0))</f>
        <v/>
      </c>
      <c r="N3792" s="59">
        <f>IF(OR(tblMovement[[#This Row],[Tonnes_t]]="",tblMovement[[#This Row],[Grade_gpt]]=""),0,tblMovement[[#This Row],[Tonnes_t]]*tblMovement[[#This Row],[Grade_gpt]]/cfg_TroyOz)</f>
        <v/>
      </c>
      <c r="O3792" s="59">
        <f>IF(tblMovement[[#This Row],[Is_Ore]]=1,tblMovement[[#This Row],[Contained_oz]],0)</f>
        <v/>
      </c>
    </row>
    <row r="3793">
      <c r="A3793" s="54" t="n"/>
      <c r="B3793" s="61" t="n"/>
      <c r="C3793" s="61" t="n"/>
      <c r="D3793" s="61" t="n"/>
      <c r="E3793" s="61" t="n"/>
      <c r="F3793" s="55" t="n"/>
      <c r="G3793" s="56" t="n"/>
      <c r="H3793" s="55" t="n"/>
      <c r="I3793" s="62" t="n"/>
      <c r="J3793" s="58" t="n"/>
      <c r="K3793" s="63">
        <f>IF(tblMovement[[#This Row],[Source]]="","",IFERROR(INDEX(tblSources[Type],MATCH(tblMovement[[#This Row],[Source]],tblSources[Source],0)),"?"))</f>
        <v/>
      </c>
      <c r="L3793" s="63">
        <f>IF(tblMovement[[#This Row],[Destination]]="","",IFERROR(INDEX(tblDestinations[Type],MATCH(tblMovement[[#This Row],[Destination]],tblDestinations[Destination],0)),"?"))</f>
        <v/>
      </c>
      <c r="M3793" s="64">
        <f>IF(tblMovement[[#This Row],[Material]]="","",IF(LEFT(tblMovement[[#This Row],[Material]],3)="Ore",1,0))</f>
        <v/>
      </c>
      <c r="N3793" s="59">
        <f>IF(OR(tblMovement[[#This Row],[Tonnes_t]]="",tblMovement[[#This Row],[Grade_gpt]]=""),0,tblMovement[[#This Row],[Tonnes_t]]*tblMovement[[#This Row],[Grade_gpt]]/cfg_TroyOz)</f>
        <v/>
      </c>
      <c r="O3793" s="59">
        <f>IF(tblMovement[[#This Row],[Is_Ore]]=1,tblMovement[[#This Row],[Contained_oz]],0)</f>
        <v/>
      </c>
    </row>
    <row r="3794">
      <c r="A3794" s="54" t="n"/>
      <c r="B3794" s="61" t="n"/>
      <c r="C3794" s="61" t="n"/>
      <c r="D3794" s="61" t="n"/>
      <c r="E3794" s="61" t="n"/>
      <c r="F3794" s="55" t="n"/>
      <c r="G3794" s="56" t="n"/>
      <c r="H3794" s="55" t="n"/>
      <c r="I3794" s="62" t="n"/>
      <c r="J3794" s="58" t="n"/>
      <c r="K3794" s="63">
        <f>IF(tblMovement[[#This Row],[Source]]="","",IFERROR(INDEX(tblSources[Type],MATCH(tblMovement[[#This Row],[Source]],tblSources[Source],0)),"?"))</f>
        <v/>
      </c>
      <c r="L3794" s="63">
        <f>IF(tblMovement[[#This Row],[Destination]]="","",IFERROR(INDEX(tblDestinations[Type],MATCH(tblMovement[[#This Row],[Destination]],tblDestinations[Destination],0)),"?"))</f>
        <v/>
      </c>
      <c r="M3794" s="64">
        <f>IF(tblMovement[[#This Row],[Material]]="","",IF(LEFT(tblMovement[[#This Row],[Material]],3)="Ore",1,0))</f>
        <v/>
      </c>
      <c r="N3794" s="59">
        <f>IF(OR(tblMovement[[#This Row],[Tonnes_t]]="",tblMovement[[#This Row],[Grade_gpt]]=""),0,tblMovement[[#This Row],[Tonnes_t]]*tblMovement[[#This Row],[Grade_gpt]]/cfg_TroyOz)</f>
        <v/>
      </c>
      <c r="O3794" s="59">
        <f>IF(tblMovement[[#This Row],[Is_Ore]]=1,tblMovement[[#This Row],[Contained_oz]],0)</f>
        <v/>
      </c>
    </row>
    <row r="3795">
      <c r="A3795" s="54" t="n"/>
      <c r="B3795" s="61" t="n"/>
      <c r="C3795" s="61" t="n"/>
      <c r="D3795" s="61" t="n"/>
      <c r="E3795" s="61" t="n"/>
      <c r="F3795" s="55" t="n"/>
      <c r="G3795" s="56" t="n"/>
      <c r="H3795" s="55" t="n"/>
      <c r="I3795" s="62" t="n"/>
      <c r="J3795" s="58" t="n"/>
      <c r="K3795" s="63">
        <f>IF(tblMovement[[#This Row],[Source]]="","",IFERROR(INDEX(tblSources[Type],MATCH(tblMovement[[#This Row],[Source]],tblSources[Source],0)),"?"))</f>
        <v/>
      </c>
      <c r="L3795" s="63">
        <f>IF(tblMovement[[#This Row],[Destination]]="","",IFERROR(INDEX(tblDestinations[Type],MATCH(tblMovement[[#This Row],[Destination]],tblDestinations[Destination],0)),"?"))</f>
        <v/>
      </c>
      <c r="M3795" s="64">
        <f>IF(tblMovement[[#This Row],[Material]]="","",IF(LEFT(tblMovement[[#This Row],[Material]],3)="Ore",1,0))</f>
        <v/>
      </c>
      <c r="N3795" s="59">
        <f>IF(OR(tblMovement[[#This Row],[Tonnes_t]]="",tblMovement[[#This Row],[Grade_gpt]]=""),0,tblMovement[[#This Row],[Tonnes_t]]*tblMovement[[#This Row],[Grade_gpt]]/cfg_TroyOz)</f>
        <v/>
      </c>
      <c r="O3795" s="59">
        <f>IF(tblMovement[[#This Row],[Is_Ore]]=1,tblMovement[[#This Row],[Contained_oz]],0)</f>
        <v/>
      </c>
    </row>
    <row r="3796">
      <c r="A3796" s="54" t="n"/>
      <c r="B3796" s="61" t="n"/>
      <c r="C3796" s="61" t="n"/>
      <c r="D3796" s="61" t="n"/>
      <c r="E3796" s="61" t="n"/>
      <c r="F3796" s="55" t="n"/>
      <c r="G3796" s="56" t="n"/>
      <c r="H3796" s="55" t="n"/>
      <c r="I3796" s="62" t="n"/>
      <c r="J3796" s="58" t="n"/>
      <c r="K3796" s="63">
        <f>IF(tblMovement[[#This Row],[Source]]="","",IFERROR(INDEX(tblSources[Type],MATCH(tblMovement[[#This Row],[Source]],tblSources[Source],0)),"?"))</f>
        <v/>
      </c>
      <c r="L3796" s="63">
        <f>IF(tblMovement[[#This Row],[Destination]]="","",IFERROR(INDEX(tblDestinations[Type],MATCH(tblMovement[[#This Row],[Destination]],tblDestinations[Destination],0)),"?"))</f>
        <v/>
      </c>
      <c r="M3796" s="64">
        <f>IF(tblMovement[[#This Row],[Material]]="","",IF(LEFT(tblMovement[[#This Row],[Material]],3)="Ore",1,0))</f>
        <v/>
      </c>
      <c r="N3796" s="59">
        <f>IF(OR(tblMovement[[#This Row],[Tonnes_t]]="",tblMovement[[#This Row],[Grade_gpt]]=""),0,tblMovement[[#This Row],[Tonnes_t]]*tblMovement[[#This Row],[Grade_gpt]]/cfg_TroyOz)</f>
        <v/>
      </c>
      <c r="O3796" s="59">
        <f>IF(tblMovement[[#This Row],[Is_Ore]]=1,tblMovement[[#This Row],[Contained_oz]],0)</f>
        <v/>
      </c>
    </row>
    <row r="3797">
      <c r="A3797" s="54" t="n"/>
      <c r="B3797" s="61" t="n"/>
      <c r="C3797" s="61" t="n"/>
      <c r="D3797" s="61" t="n"/>
      <c r="E3797" s="61" t="n"/>
      <c r="F3797" s="55" t="n"/>
      <c r="G3797" s="56" t="n"/>
      <c r="H3797" s="55" t="n"/>
      <c r="I3797" s="62" t="n"/>
      <c r="J3797" s="58" t="n"/>
      <c r="K3797" s="63">
        <f>IF(tblMovement[[#This Row],[Source]]="","",IFERROR(INDEX(tblSources[Type],MATCH(tblMovement[[#This Row],[Source]],tblSources[Source],0)),"?"))</f>
        <v/>
      </c>
      <c r="L3797" s="63">
        <f>IF(tblMovement[[#This Row],[Destination]]="","",IFERROR(INDEX(tblDestinations[Type],MATCH(tblMovement[[#This Row],[Destination]],tblDestinations[Destination],0)),"?"))</f>
        <v/>
      </c>
      <c r="M3797" s="64">
        <f>IF(tblMovement[[#This Row],[Material]]="","",IF(LEFT(tblMovement[[#This Row],[Material]],3)="Ore",1,0))</f>
        <v/>
      </c>
      <c r="N3797" s="59">
        <f>IF(OR(tblMovement[[#This Row],[Tonnes_t]]="",tblMovement[[#This Row],[Grade_gpt]]=""),0,tblMovement[[#This Row],[Tonnes_t]]*tblMovement[[#This Row],[Grade_gpt]]/cfg_TroyOz)</f>
        <v/>
      </c>
      <c r="O3797" s="59">
        <f>IF(tblMovement[[#This Row],[Is_Ore]]=1,tblMovement[[#This Row],[Contained_oz]],0)</f>
        <v/>
      </c>
    </row>
    <row r="3798">
      <c r="A3798" s="54" t="n"/>
      <c r="B3798" s="61" t="n"/>
      <c r="C3798" s="61" t="n"/>
      <c r="D3798" s="61" t="n"/>
      <c r="E3798" s="61" t="n"/>
      <c r="F3798" s="55" t="n"/>
      <c r="G3798" s="56" t="n"/>
      <c r="H3798" s="55" t="n"/>
      <c r="I3798" s="62" t="n"/>
      <c r="J3798" s="58" t="n"/>
      <c r="K3798" s="63">
        <f>IF(tblMovement[[#This Row],[Source]]="","",IFERROR(INDEX(tblSources[Type],MATCH(tblMovement[[#This Row],[Source]],tblSources[Source],0)),"?"))</f>
        <v/>
      </c>
      <c r="L3798" s="63">
        <f>IF(tblMovement[[#This Row],[Destination]]="","",IFERROR(INDEX(tblDestinations[Type],MATCH(tblMovement[[#This Row],[Destination]],tblDestinations[Destination],0)),"?"))</f>
        <v/>
      </c>
      <c r="M3798" s="64">
        <f>IF(tblMovement[[#This Row],[Material]]="","",IF(LEFT(tblMovement[[#This Row],[Material]],3)="Ore",1,0))</f>
        <v/>
      </c>
      <c r="N3798" s="59">
        <f>IF(OR(tblMovement[[#This Row],[Tonnes_t]]="",tblMovement[[#This Row],[Grade_gpt]]=""),0,tblMovement[[#This Row],[Tonnes_t]]*tblMovement[[#This Row],[Grade_gpt]]/cfg_TroyOz)</f>
        <v/>
      </c>
      <c r="O3798" s="59">
        <f>IF(tblMovement[[#This Row],[Is_Ore]]=1,tblMovement[[#This Row],[Contained_oz]],0)</f>
        <v/>
      </c>
    </row>
    <row r="3799">
      <c r="A3799" s="54" t="n"/>
      <c r="B3799" s="61" t="n"/>
      <c r="C3799" s="61" t="n"/>
      <c r="D3799" s="61" t="n"/>
      <c r="E3799" s="61" t="n"/>
      <c r="F3799" s="55" t="n"/>
      <c r="G3799" s="56" t="n"/>
      <c r="H3799" s="55" t="n"/>
      <c r="I3799" s="62" t="n"/>
      <c r="J3799" s="58" t="n"/>
      <c r="K3799" s="63">
        <f>IF(tblMovement[[#This Row],[Source]]="","",IFERROR(INDEX(tblSources[Type],MATCH(tblMovement[[#This Row],[Source]],tblSources[Source],0)),"?"))</f>
        <v/>
      </c>
      <c r="L3799" s="63">
        <f>IF(tblMovement[[#This Row],[Destination]]="","",IFERROR(INDEX(tblDestinations[Type],MATCH(tblMovement[[#This Row],[Destination]],tblDestinations[Destination],0)),"?"))</f>
        <v/>
      </c>
      <c r="M3799" s="64">
        <f>IF(tblMovement[[#This Row],[Material]]="","",IF(LEFT(tblMovement[[#This Row],[Material]],3)="Ore",1,0))</f>
        <v/>
      </c>
      <c r="N3799" s="59">
        <f>IF(OR(tblMovement[[#This Row],[Tonnes_t]]="",tblMovement[[#This Row],[Grade_gpt]]=""),0,tblMovement[[#This Row],[Tonnes_t]]*tblMovement[[#This Row],[Grade_gpt]]/cfg_TroyOz)</f>
        <v/>
      </c>
      <c r="O3799" s="59">
        <f>IF(tblMovement[[#This Row],[Is_Ore]]=1,tblMovement[[#This Row],[Contained_oz]],0)</f>
        <v/>
      </c>
    </row>
    <row r="3800">
      <c r="A3800" s="54" t="n"/>
      <c r="B3800" s="61" t="n"/>
      <c r="C3800" s="61" t="n"/>
      <c r="D3800" s="61" t="n"/>
      <c r="E3800" s="61" t="n"/>
      <c r="F3800" s="55" t="n"/>
      <c r="G3800" s="56" t="n"/>
      <c r="H3800" s="55" t="n"/>
      <c r="I3800" s="62" t="n"/>
      <c r="J3800" s="58" t="n"/>
      <c r="K3800" s="63">
        <f>IF(tblMovement[[#This Row],[Source]]="","",IFERROR(INDEX(tblSources[Type],MATCH(tblMovement[[#This Row],[Source]],tblSources[Source],0)),"?"))</f>
        <v/>
      </c>
      <c r="L3800" s="63">
        <f>IF(tblMovement[[#This Row],[Destination]]="","",IFERROR(INDEX(tblDestinations[Type],MATCH(tblMovement[[#This Row],[Destination]],tblDestinations[Destination],0)),"?"))</f>
        <v/>
      </c>
      <c r="M3800" s="64">
        <f>IF(tblMovement[[#This Row],[Material]]="","",IF(LEFT(tblMovement[[#This Row],[Material]],3)="Ore",1,0))</f>
        <v/>
      </c>
      <c r="N3800" s="59">
        <f>IF(OR(tblMovement[[#This Row],[Tonnes_t]]="",tblMovement[[#This Row],[Grade_gpt]]=""),0,tblMovement[[#This Row],[Tonnes_t]]*tblMovement[[#This Row],[Grade_gpt]]/cfg_TroyOz)</f>
        <v/>
      </c>
      <c r="O3800" s="59">
        <f>IF(tblMovement[[#This Row],[Is_Ore]]=1,tblMovement[[#This Row],[Contained_oz]],0)</f>
        <v/>
      </c>
    </row>
    <row r="3801">
      <c r="A3801" s="54" t="n"/>
      <c r="B3801" s="61" t="n"/>
      <c r="C3801" s="61" t="n"/>
      <c r="D3801" s="61" t="n"/>
      <c r="E3801" s="61" t="n"/>
      <c r="F3801" s="55" t="n"/>
      <c r="G3801" s="56" t="n"/>
      <c r="H3801" s="55" t="n"/>
      <c r="I3801" s="62" t="n"/>
      <c r="J3801" s="58" t="n"/>
      <c r="K3801" s="63">
        <f>IF(tblMovement[[#This Row],[Source]]="","",IFERROR(INDEX(tblSources[Type],MATCH(tblMovement[[#This Row],[Source]],tblSources[Source],0)),"?"))</f>
        <v/>
      </c>
      <c r="L3801" s="63">
        <f>IF(tblMovement[[#This Row],[Destination]]="","",IFERROR(INDEX(tblDestinations[Type],MATCH(tblMovement[[#This Row],[Destination]],tblDestinations[Destination],0)),"?"))</f>
        <v/>
      </c>
      <c r="M3801" s="64">
        <f>IF(tblMovement[[#This Row],[Material]]="","",IF(LEFT(tblMovement[[#This Row],[Material]],3)="Ore",1,0))</f>
        <v/>
      </c>
      <c r="N3801" s="59">
        <f>IF(OR(tblMovement[[#This Row],[Tonnes_t]]="",tblMovement[[#This Row],[Grade_gpt]]=""),0,tblMovement[[#This Row],[Tonnes_t]]*tblMovement[[#This Row],[Grade_gpt]]/cfg_TroyOz)</f>
        <v/>
      </c>
      <c r="O3801" s="59">
        <f>IF(tblMovement[[#This Row],[Is_Ore]]=1,tblMovement[[#This Row],[Contained_oz]],0)</f>
        <v/>
      </c>
    </row>
    <row r="3802">
      <c r="A3802" s="54" t="n"/>
      <c r="B3802" s="61" t="n"/>
      <c r="C3802" s="61" t="n"/>
      <c r="D3802" s="61" t="n"/>
      <c r="E3802" s="61" t="n"/>
      <c r="F3802" s="55" t="n"/>
      <c r="G3802" s="56" t="n"/>
      <c r="H3802" s="55" t="n"/>
      <c r="I3802" s="62" t="n"/>
      <c r="J3802" s="58" t="n"/>
      <c r="K3802" s="63">
        <f>IF(tblMovement[[#This Row],[Source]]="","",IFERROR(INDEX(tblSources[Type],MATCH(tblMovement[[#This Row],[Source]],tblSources[Source],0)),"?"))</f>
        <v/>
      </c>
      <c r="L3802" s="63">
        <f>IF(tblMovement[[#This Row],[Destination]]="","",IFERROR(INDEX(tblDestinations[Type],MATCH(tblMovement[[#This Row],[Destination]],tblDestinations[Destination],0)),"?"))</f>
        <v/>
      </c>
      <c r="M3802" s="64">
        <f>IF(tblMovement[[#This Row],[Material]]="","",IF(LEFT(tblMovement[[#This Row],[Material]],3)="Ore",1,0))</f>
        <v/>
      </c>
      <c r="N3802" s="59">
        <f>IF(OR(tblMovement[[#This Row],[Tonnes_t]]="",tblMovement[[#This Row],[Grade_gpt]]=""),0,tblMovement[[#This Row],[Tonnes_t]]*tblMovement[[#This Row],[Grade_gpt]]/cfg_TroyOz)</f>
        <v/>
      </c>
      <c r="O3802" s="59">
        <f>IF(tblMovement[[#This Row],[Is_Ore]]=1,tblMovement[[#This Row],[Contained_oz]],0)</f>
        <v/>
      </c>
    </row>
    <row r="3803">
      <c r="A3803" s="54" t="n"/>
      <c r="B3803" s="61" t="n"/>
      <c r="C3803" s="61" t="n"/>
      <c r="D3803" s="61" t="n"/>
      <c r="E3803" s="61" t="n"/>
      <c r="F3803" s="55" t="n"/>
      <c r="G3803" s="56" t="n"/>
      <c r="H3803" s="55" t="n"/>
      <c r="I3803" s="62" t="n"/>
      <c r="J3803" s="58" t="n"/>
      <c r="K3803" s="63">
        <f>IF(tblMovement[[#This Row],[Source]]="","",IFERROR(INDEX(tblSources[Type],MATCH(tblMovement[[#This Row],[Source]],tblSources[Source],0)),"?"))</f>
        <v/>
      </c>
      <c r="L3803" s="63">
        <f>IF(tblMovement[[#This Row],[Destination]]="","",IFERROR(INDEX(tblDestinations[Type],MATCH(tblMovement[[#This Row],[Destination]],tblDestinations[Destination],0)),"?"))</f>
        <v/>
      </c>
      <c r="M3803" s="64">
        <f>IF(tblMovement[[#This Row],[Material]]="","",IF(LEFT(tblMovement[[#This Row],[Material]],3)="Ore",1,0))</f>
        <v/>
      </c>
      <c r="N3803" s="59">
        <f>IF(OR(tblMovement[[#This Row],[Tonnes_t]]="",tblMovement[[#This Row],[Grade_gpt]]=""),0,tblMovement[[#This Row],[Tonnes_t]]*tblMovement[[#This Row],[Grade_gpt]]/cfg_TroyOz)</f>
        <v/>
      </c>
      <c r="O3803" s="59">
        <f>IF(tblMovement[[#This Row],[Is_Ore]]=1,tblMovement[[#This Row],[Contained_oz]],0)</f>
        <v/>
      </c>
    </row>
    <row r="3804">
      <c r="A3804" s="54" t="n"/>
      <c r="B3804" s="61" t="n"/>
      <c r="C3804" s="61" t="n"/>
      <c r="D3804" s="61" t="n"/>
      <c r="E3804" s="61" t="n"/>
      <c r="F3804" s="55" t="n"/>
      <c r="G3804" s="56" t="n"/>
      <c r="H3804" s="55" t="n"/>
      <c r="I3804" s="62" t="n"/>
      <c r="J3804" s="58" t="n"/>
      <c r="K3804" s="63">
        <f>IF(tblMovement[[#This Row],[Source]]="","",IFERROR(INDEX(tblSources[Type],MATCH(tblMovement[[#This Row],[Source]],tblSources[Source],0)),"?"))</f>
        <v/>
      </c>
      <c r="L3804" s="63">
        <f>IF(tblMovement[[#This Row],[Destination]]="","",IFERROR(INDEX(tblDestinations[Type],MATCH(tblMovement[[#This Row],[Destination]],tblDestinations[Destination],0)),"?"))</f>
        <v/>
      </c>
      <c r="M3804" s="64">
        <f>IF(tblMovement[[#This Row],[Material]]="","",IF(LEFT(tblMovement[[#This Row],[Material]],3)="Ore",1,0))</f>
        <v/>
      </c>
      <c r="N3804" s="59">
        <f>IF(OR(tblMovement[[#This Row],[Tonnes_t]]="",tblMovement[[#This Row],[Grade_gpt]]=""),0,tblMovement[[#This Row],[Tonnes_t]]*tblMovement[[#This Row],[Grade_gpt]]/cfg_TroyOz)</f>
        <v/>
      </c>
      <c r="O3804" s="59">
        <f>IF(tblMovement[[#This Row],[Is_Ore]]=1,tblMovement[[#This Row],[Contained_oz]],0)</f>
        <v/>
      </c>
    </row>
    <row r="3805">
      <c r="A3805" s="54" t="n"/>
      <c r="B3805" s="61" t="n"/>
      <c r="C3805" s="61" t="n"/>
      <c r="D3805" s="61" t="n"/>
      <c r="E3805" s="61" t="n"/>
      <c r="F3805" s="55" t="n"/>
      <c r="G3805" s="56" t="n"/>
      <c r="H3805" s="55" t="n"/>
      <c r="I3805" s="62" t="n"/>
      <c r="J3805" s="58" t="n"/>
      <c r="K3805" s="63">
        <f>IF(tblMovement[[#This Row],[Source]]="","",IFERROR(INDEX(tblSources[Type],MATCH(tblMovement[[#This Row],[Source]],tblSources[Source],0)),"?"))</f>
        <v/>
      </c>
      <c r="L3805" s="63">
        <f>IF(tblMovement[[#This Row],[Destination]]="","",IFERROR(INDEX(tblDestinations[Type],MATCH(tblMovement[[#This Row],[Destination]],tblDestinations[Destination],0)),"?"))</f>
        <v/>
      </c>
      <c r="M3805" s="64">
        <f>IF(tblMovement[[#This Row],[Material]]="","",IF(LEFT(tblMovement[[#This Row],[Material]],3)="Ore",1,0))</f>
        <v/>
      </c>
      <c r="N3805" s="59">
        <f>IF(OR(tblMovement[[#This Row],[Tonnes_t]]="",tblMovement[[#This Row],[Grade_gpt]]=""),0,tblMovement[[#This Row],[Tonnes_t]]*tblMovement[[#This Row],[Grade_gpt]]/cfg_TroyOz)</f>
        <v/>
      </c>
      <c r="O3805" s="59">
        <f>IF(tblMovement[[#This Row],[Is_Ore]]=1,tblMovement[[#This Row],[Contained_oz]],0)</f>
        <v/>
      </c>
    </row>
    <row r="3806">
      <c r="A3806" s="54" t="n"/>
      <c r="B3806" s="61" t="n"/>
      <c r="C3806" s="61" t="n"/>
      <c r="D3806" s="61" t="n"/>
      <c r="E3806" s="61" t="n"/>
      <c r="F3806" s="55" t="n"/>
      <c r="G3806" s="56" t="n"/>
      <c r="H3806" s="55" t="n"/>
      <c r="I3806" s="62" t="n"/>
      <c r="J3806" s="58" t="n"/>
      <c r="K3806" s="63">
        <f>IF(tblMovement[[#This Row],[Source]]="","",IFERROR(INDEX(tblSources[Type],MATCH(tblMovement[[#This Row],[Source]],tblSources[Source],0)),"?"))</f>
        <v/>
      </c>
      <c r="L3806" s="63">
        <f>IF(tblMovement[[#This Row],[Destination]]="","",IFERROR(INDEX(tblDestinations[Type],MATCH(tblMovement[[#This Row],[Destination]],tblDestinations[Destination],0)),"?"))</f>
        <v/>
      </c>
      <c r="M3806" s="64">
        <f>IF(tblMovement[[#This Row],[Material]]="","",IF(LEFT(tblMovement[[#This Row],[Material]],3)="Ore",1,0))</f>
        <v/>
      </c>
      <c r="N3806" s="59">
        <f>IF(OR(tblMovement[[#This Row],[Tonnes_t]]="",tblMovement[[#This Row],[Grade_gpt]]=""),0,tblMovement[[#This Row],[Tonnes_t]]*tblMovement[[#This Row],[Grade_gpt]]/cfg_TroyOz)</f>
        <v/>
      </c>
      <c r="O3806" s="59">
        <f>IF(tblMovement[[#This Row],[Is_Ore]]=1,tblMovement[[#This Row],[Contained_oz]],0)</f>
        <v/>
      </c>
    </row>
    <row r="3807">
      <c r="A3807" s="54" t="n"/>
      <c r="B3807" s="61" t="n"/>
      <c r="C3807" s="61" t="n"/>
      <c r="D3807" s="61" t="n"/>
      <c r="E3807" s="61" t="n"/>
      <c r="F3807" s="55" t="n"/>
      <c r="G3807" s="56" t="n"/>
      <c r="H3807" s="55" t="n"/>
      <c r="I3807" s="62" t="n"/>
      <c r="J3807" s="58" t="n"/>
      <c r="K3807" s="63">
        <f>IF(tblMovement[[#This Row],[Source]]="","",IFERROR(INDEX(tblSources[Type],MATCH(tblMovement[[#This Row],[Source]],tblSources[Source],0)),"?"))</f>
        <v/>
      </c>
      <c r="L3807" s="63">
        <f>IF(tblMovement[[#This Row],[Destination]]="","",IFERROR(INDEX(tblDestinations[Type],MATCH(tblMovement[[#This Row],[Destination]],tblDestinations[Destination],0)),"?"))</f>
        <v/>
      </c>
      <c r="M3807" s="64">
        <f>IF(tblMovement[[#This Row],[Material]]="","",IF(LEFT(tblMovement[[#This Row],[Material]],3)="Ore",1,0))</f>
        <v/>
      </c>
      <c r="N3807" s="59">
        <f>IF(OR(tblMovement[[#This Row],[Tonnes_t]]="",tblMovement[[#This Row],[Grade_gpt]]=""),0,tblMovement[[#This Row],[Tonnes_t]]*tblMovement[[#This Row],[Grade_gpt]]/cfg_TroyOz)</f>
        <v/>
      </c>
      <c r="O3807" s="59">
        <f>IF(tblMovement[[#This Row],[Is_Ore]]=1,tblMovement[[#This Row],[Contained_oz]],0)</f>
        <v/>
      </c>
    </row>
    <row r="3808">
      <c r="A3808" s="54" t="n"/>
      <c r="B3808" s="61" t="n"/>
      <c r="C3808" s="61" t="n"/>
      <c r="D3808" s="61" t="n"/>
      <c r="E3808" s="61" t="n"/>
      <c r="F3808" s="55" t="n"/>
      <c r="G3808" s="56" t="n"/>
      <c r="H3808" s="55" t="n"/>
      <c r="I3808" s="62" t="n"/>
      <c r="J3808" s="58" t="n"/>
      <c r="K3808" s="63">
        <f>IF(tblMovement[[#This Row],[Source]]="","",IFERROR(INDEX(tblSources[Type],MATCH(tblMovement[[#This Row],[Source]],tblSources[Source],0)),"?"))</f>
        <v/>
      </c>
      <c r="L3808" s="63">
        <f>IF(tblMovement[[#This Row],[Destination]]="","",IFERROR(INDEX(tblDestinations[Type],MATCH(tblMovement[[#This Row],[Destination]],tblDestinations[Destination],0)),"?"))</f>
        <v/>
      </c>
      <c r="M3808" s="64">
        <f>IF(tblMovement[[#This Row],[Material]]="","",IF(LEFT(tblMovement[[#This Row],[Material]],3)="Ore",1,0))</f>
        <v/>
      </c>
      <c r="N3808" s="59">
        <f>IF(OR(tblMovement[[#This Row],[Tonnes_t]]="",tblMovement[[#This Row],[Grade_gpt]]=""),0,tblMovement[[#This Row],[Tonnes_t]]*tblMovement[[#This Row],[Grade_gpt]]/cfg_TroyOz)</f>
        <v/>
      </c>
      <c r="O3808" s="59">
        <f>IF(tblMovement[[#This Row],[Is_Ore]]=1,tblMovement[[#This Row],[Contained_oz]],0)</f>
        <v/>
      </c>
    </row>
    <row r="3809">
      <c r="A3809" s="54" t="n"/>
      <c r="B3809" s="61" t="n"/>
      <c r="C3809" s="61" t="n"/>
      <c r="D3809" s="61" t="n"/>
      <c r="E3809" s="61" t="n"/>
      <c r="F3809" s="55" t="n"/>
      <c r="G3809" s="56" t="n"/>
      <c r="H3809" s="55" t="n"/>
      <c r="I3809" s="62" t="n"/>
      <c r="J3809" s="58" t="n"/>
      <c r="K3809" s="63">
        <f>IF(tblMovement[[#This Row],[Source]]="","",IFERROR(INDEX(tblSources[Type],MATCH(tblMovement[[#This Row],[Source]],tblSources[Source],0)),"?"))</f>
        <v/>
      </c>
      <c r="L3809" s="63">
        <f>IF(tblMovement[[#This Row],[Destination]]="","",IFERROR(INDEX(tblDestinations[Type],MATCH(tblMovement[[#This Row],[Destination]],tblDestinations[Destination],0)),"?"))</f>
        <v/>
      </c>
      <c r="M3809" s="64">
        <f>IF(tblMovement[[#This Row],[Material]]="","",IF(LEFT(tblMovement[[#This Row],[Material]],3)="Ore",1,0))</f>
        <v/>
      </c>
      <c r="N3809" s="59">
        <f>IF(OR(tblMovement[[#This Row],[Tonnes_t]]="",tblMovement[[#This Row],[Grade_gpt]]=""),0,tblMovement[[#This Row],[Tonnes_t]]*tblMovement[[#This Row],[Grade_gpt]]/cfg_TroyOz)</f>
        <v/>
      </c>
      <c r="O3809" s="59">
        <f>IF(tblMovement[[#This Row],[Is_Ore]]=1,tblMovement[[#This Row],[Contained_oz]],0)</f>
        <v/>
      </c>
    </row>
    <row r="3810">
      <c r="A3810" s="54" t="n"/>
      <c r="B3810" s="61" t="n"/>
      <c r="C3810" s="61" t="n"/>
      <c r="D3810" s="61" t="n"/>
      <c r="E3810" s="61" t="n"/>
      <c r="F3810" s="55" t="n"/>
      <c r="G3810" s="56" t="n"/>
      <c r="H3810" s="55" t="n"/>
      <c r="I3810" s="62" t="n"/>
      <c r="J3810" s="58" t="n"/>
      <c r="K3810" s="63">
        <f>IF(tblMovement[[#This Row],[Source]]="","",IFERROR(INDEX(tblSources[Type],MATCH(tblMovement[[#This Row],[Source]],tblSources[Source],0)),"?"))</f>
        <v/>
      </c>
      <c r="L3810" s="63">
        <f>IF(tblMovement[[#This Row],[Destination]]="","",IFERROR(INDEX(tblDestinations[Type],MATCH(tblMovement[[#This Row],[Destination]],tblDestinations[Destination],0)),"?"))</f>
        <v/>
      </c>
      <c r="M3810" s="64">
        <f>IF(tblMovement[[#This Row],[Material]]="","",IF(LEFT(tblMovement[[#This Row],[Material]],3)="Ore",1,0))</f>
        <v/>
      </c>
      <c r="N3810" s="59">
        <f>IF(OR(tblMovement[[#This Row],[Tonnes_t]]="",tblMovement[[#This Row],[Grade_gpt]]=""),0,tblMovement[[#This Row],[Tonnes_t]]*tblMovement[[#This Row],[Grade_gpt]]/cfg_TroyOz)</f>
        <v/>
      </c>
      <c r="O3810" s="59">
        <f>IF(tblMovement[[#This Row],[Is_Ore]]=1,tblMovement[[#This Row],[Contained_oz]],0)</f>
        <v/>
      </c>
    </row>
    <row r="3811">
      <c r="A3811" s="54" t="n"/>
      <c r="B3811" s="61" t="n"/>
      <c r="C3811" s="61" t="n"/>
      <c r="D3811" s="61" t="n"/>
      <c r="E3811" s="61" t="n"/>
      <c r="F3811" s="55" t="n"/>
      <c r="G3811" s="56" t="n"/>
      <c r="H3811" s="55" t="n"/>
      <c r="I3811" s="62" t="n"/>
      <c r="J3811" s="58" t="n"/>
      <c r="K3811" s="63">
        <f>IF(tblMovement[[#This Row],[Source]]="","",IFERROR(INDEX(tblSources[Type],MATCH(tblMovement[[#This Row],[Source]],tblSources[Source],0)),"?"))</f>
        <v/>
      </c>
      <c r="L3811" s="63">
        <f>IF(tblMovement[[#This Row],[Destination]]="","",IFERROR(INDEX(tblDestinations[Type],MATCH(tblMovement[[#This Row],[Destination]],tblDestinations[Destination],0)),"?"))</f>
        <v/>
      </c>
      <c r="M3811" s="64">
        <f>IF(tblMovement[[#This Row],[Material]]="","",IF(LEFT(tblMovement[[#This Row],[Material]],3)="Ore",1,0))</f>
        <v/>
      </c>
      <c r="N3811" s="59">
        <f>IF(OR(tblMovement[[#This Row],[Tonnes_t]]="",tblMovement[[#This Row],[Grade_gpt]]=""),0,tblMovement[[#This Row],[Tonnes_t]]*tblMovement[[#This Row],[Grade_gpt]]/cfg_TroyOz)</f>
        <v/>
      </c>
      <c r="O3811" s="59">
        <f>IF(tblMovement[[#This Row],[Is_Ore]]=1,tblMovement[[#This Row],[Contained_oz]],0)</f>
        <v/>
      </c>
    </row>
    <row r="3812">
      <c r="A3812" s="54" t="n"/>
      <c r="B3812" s="61" t="n"/>
      <c r="C3812" s="61" t="n"/>
      <c r="D3812" s="61" t="n"/>
      <c r="E3812" s="61" t="n"/>
      <c r="F3812" s="55" t="n"/>
      <c r="G3812" s="56" t="n"/>
      <c r="H3812" s="55" t="n"/>
      <c r="I3812" s="62" t="n"/>
      <c r="J3812" s="58" t="n"/>
      <c r="K3812" s="63">
        <f>IF(tblMovement[[#This Row],[Source]]="","",IFERROR(INDEX(tblSources[Type],MATCH(tblMovement[[#This Row],[Source]],tblSources[Source],0)),"?"))</f>
        <v/>
      </c>
      <c r="L3812" s="63">
        <f>IF(tblMovement[[#This Row],[Destination]]="","",IFERROR(INDEX(tblDestinations[Type],MATCH(tblMovement[[#This Row],[Destination]],tblDestinations[Destination],0)),"?"))</f>
        <v/>
      </c>
      <c r="M3812" s="64">
        <f>IF(tblMovement[[#This Row],[Material]]="","",IF(LEFT(tblMovement[[#This Row],[Material]],3)="Ore",1,0))</f>
        <v/>
      </c>
      <c r="N3812" s="59">
        <f>IF(OR(tblMovement[[#This Row],[Tonnes_t]]="",tblMovement[[#This Row],[Grade_gpt]]=""),0,tblMovement[[#This Row],[Tonnes_t]]*tblMovement[[#This Row],[Grade_gpt]]/cfg_TroyOz)</f>
        <v/>
      </c>
      <c r="O3812" s="59">
        <f>IF(tblMovement[[#This Row],[Is_Ore]]=1,tblMovement[[#This Row],[Contained_oz]],0)</f>
        <v/>
      </c>
    </row>
    <row r="3813">
      <c r="A3813" s="54" t="n"/>
      <c r="B3813" s="61" t="n"/>
      <c r="C3813" s="61" t="n"/>
      <c r="D3813" s="61" t="n"/>
      <c r="E3813" s="61" t="n"/>
      <c r="F3813" s="55" t="n"/>
      <c r="G3813" s="56" t="n"/>
      <c r="H3813" s="55" t="n"/>
      <c r="I3813" s="62" t="n"/>
      <c r="J3813" s="58" t="n"/>
      <c r="K3813" s="63">
        <f>IF(tblMovement[[#This Row],[Source]]="","",IFERROR(INDEX(tblSources[Type],MATCH(tblMovement[[#This Row],[Source]],tblSources[Source],0)),"?"))</f>
        <v/>
      </c>
      <c r="L3813" s="63">
        <f>IF(tblMovement[[#This Row],[Destination]]="","",IFERROR(INDEX(tblDestinations[Type],MATCH(tblMovement[[#This Row],[Destination]],tblDestinations[Destination],0)),"?"))</f>
        <v/>
      </c>
      <c r="M3813" s="64">
        <f>IF(tblMovement[[#This Row],[Material]]="","",IF(LEFT(tblMovement[[#This Row],[Material]],3)="Ore",1,0))</f>
        <v/>
      </c>
      <c r="N3813" s="59">
        <f>IF(OR(tblMovement[[#This Row],[Tonnes_t]]="",tblMovement[[#This Row],[Grade_gpt]]=""),0,tblMovement[[#This Row],[Tonnes_t]]*tblMovement[[#This Row],[Grade_gpt]]/cfg_TroyOz)</f>
        <v/>
      </c>
      <c r="O3813" s="59">
        <f>IF(tblMovement[[#This Row],[Is_Ore]]=1,tblMovement[[#This Row],[Contained_oz]],0)</f>
        <v/>
      </c>
    </row>
    <row r="3814">
      <c r="A3814" s="54" t="n"/>
      <c r="B3814" s="61" t="n"/>
      <c r="C3814" s="61" t="n"/>
      <c r="D3814" s="61" t="n"/>
      <c r="E3814" s="61" t="n"/>
      <c r="F3814" s="55" t="n"/>
      <c r="G3814" s="56" t="n"/>
      <c r="H3814" s="55" t="n"/>
      <c r="I3814" s="62" t="n"/>
      <c r="J3814" s="58" t="n"/>
      <c r="K3814" s="63">
        <f>IF(tblMovement[[#This Row],[Source]]="","",IFERROR(INDEX(tblSources[Type],MATCH(tblMovement[[#This Row],[Source]],tblSources[Source],0)),"?"))</f>
        <v/>
      </c>
      <c r="L3814" s="63">
        <f>IF(tblMovement[[#This Row],[Destination]]="","",IFERROR(INDEX(tblDestinations[Type],MATCH(tblMovement[[#This Row],[Destination]],tblDestinations[Destination],0)),"?"))</f>
        <v/>
      </c>
      <c r="M3814" s="64">
        <f>IF(tblMovement[[#This Row],[Material]]="","",IF(LEFT(tblMovement[[#This Row],[Material]],3)="Ore",1,0))</f>
        <v/>
      </c>
      <c r="N3814" s="59">
        <f>IF(OR(tblMovement[[#This Row],[Tonnes_t]]="",tblMovement[[#This Row],[Grade_gpt]]=""),0,tblMovement[[#This Row],[Tonnes_t]]*tblMovement[[#This Row],[Grade_gpt]]/cfg_TroyOz)</f>
        <v/>
      </c>
      <c r="O3814" s="59">
        <f>IF(tblMovement[[#This Row],[Is_Ore]]=1,tblMovement[[#This Row],[Contained_oz]],0)</f>
        <v/>
      </c>
    </row>
    <row r="3815">
      <c r="A3815" s="54" t="n"/>
      <c r="B3815" s="61" t="n"/>
      <c r="C3815" s="61" t="n"/>
      <c r="D3815" s="61" t="n"/>
      <c r="E3815" s="61" t="n"/>
      <c r="F3815" s="55" t="n"/>
      <c r="G3815" s="56" t="n"/>
      <c r="H3815" s="55" t="n"/>
      <c r="I3815" s="62" t="n"/>
      <c r="J3815" s="58" t="n"/>
      <c r="K3815" s="63">
        <f>IF(tblMovement[[#This Row],[Source]]="","",IFERROR(INDEX(tblSources[Type],MATCH(tblMovement[[#This Row],[Source]],tblSources[Source],0)),"?"))</f>
        <v/>
      </c>
      <c r="L3815" s="63">
        <f>IF(tblMovement[[#This Row],[Destination]]="","",IFERROR(INDEX(tblDestinations[Type],MATCH(tblMovement[[#This Row],[Destination]],tblDestinations[Destination],0)),"?"))</f>
        <v/>
      </c>
      <c r="M3815" s="64">
        <f>IF(tblMovement[[#This Row],[Material]]="","",IF(LEFT(tblMovement[[#This Row],[Material]],3)="Ore",1,0))</f>
        <v/>
      </c>
      <c r="N3815" s="59">
        <f>IF(OR(tblMovement[[#This Row],[Tonnes_t]]="",tblMovement[[#This Row],[Grade_gpt]]=""),0,tblMovement[[#This Row],[Tonnes_t]]*tblMovement[[#This Row],[Grade_gpt]]/cfg_TroyOz)</f>
        <v/>
      </c>
      <c r="O3815" s="59">
        <f>IF(tblMovement[[#This Row],[Is_Ore]]=1,tblMovement[[#This Row],[Contained_oz]],0)</f>
        <v/>
      </c>
    </row>
    <row r="3816">
      <c r="A3816" s="54" t="n"/>
      <c r="B3816" s="61" t="n"/>
      <c r="C3816" s="61" t="n"/>
      <c r="D3816" s="61" t="n"/>
      <c r="E3816" s="61" t="n"/>
      <c r="F3816" s="55" t="n"/>
      <c r="G3816" s="56" t="n"/>
      <c r="H3816" s="55" t="n"/>
      <c r="I3816" s="62" t="n"/>
      <c r="J3816" s="58" t="n"/>
      <c r="K3816" s="63">
        <f>IF(tblMovement[[#This Row],[Source]]="","",IFERROR(INDEX(tblSources[Type],MATCH(tblMovement[[#This Row],[Source]],tblSources[Source],0)),"?"))</f>
        <v/>
      </c>
      <c r="L3816" s="63">
        <f>IF(tblMovement[[#This Row],[Destination]]="","",IFERROR(INDEX(tblDestinations[Type],MATCH(tblMovement[[#This Row],[Destination]],tblDestinations[Destination],0)),"?"))</f>
        <v/>
      </c>
      <c r="M3816" s="64">
        <f>IF(tblMovement[[#This Row],[Material]]="","",IF(LEFT(tblMovement[[#This Row],[Material]],3)="Ore",1,0))</f>
        <v/>
      </c>
      <c r="N3816" s="59">
        <f>IF(OR(tblMovement[[#This Row],[Tonnes_t]]="",tblMovement[[#This Row],[Grade_gpt]]=""),0,tblMovement[[#This Row],[Tonnes_t]]*tblMovement[[#This Row],[Grade_gpt]]/cfg_TroyOz)</f>
        <v/>
      </c>
      <c r="O3816" s="59">
        <f>IF(tblMovement[[#This Row],[Is_Ore]]=1,tblMovement[[#This Row],[Contained_oz]],0)</f>
        <v/>
      </c>
    </row>
    <row r="3817">
      <c r="A3817" s="54" t="n"/>
      <c r="B3817" s="61" t="n"/>
      <c r="C3817" s="61" t="n"/>
      <c r="D3817" s="61" t="n"/>
      <c r="E3817" s="61" t="n"/>
      <c r="F3817" s="55" t="n"/>
      <c r="G3817" s="56" t="n"/>
      <c r="H3817" s="55" t="n"/>
      <c r="I3817" s="62" t="n"/>
      <c r="J3817" s="58" t="n"/>
      <c r="K3817" s="63">
        <f>IF(tblMovement[[#This Row],[Source]]="","",IFERROR(INDEX(tblSources[Type],MATCH(tblMovement[[#This Row],[Source]],tblSources[Source],0)),"?"))</f>
        <v/>
      </c>
      <c r="L3817" s="63">
        <f>IF(tblMovement[[#This Row],[Destination]]="","",IFERROR(INDEX(tblDestinations[Type],MATCH(tblMovement[[#This Row],[Destination]],tblDestinations[Destination],0)),"?"))</f>
        <v/>
      </c>
      <c r="M3817" s="64">
        <f>IF(tblMovement[[#This Row],[Material]]="","",IF(LEFT(tblMovement[[#This Row],[Material]],3)="Ore",1,0))</f>
        <v/>
      </c>
      <c r="N3817" s="59">
        <f>IF(OR(tblMovement[[#This Row],[Tonnes_t]]="",tblMovement[[#This Row],[Grade_gpt]]=""),0,tblMovement[[#This Row],[Tonnes_t]]*tblMovement[[#This Row],[Grade_gpt]]/cfg_TroyOz)</f>
        <v/>
      </c>
      <c r="O3817" s="59">
        <f>IF(tblMovement[[#This Row],[Is_Ore]]=1,tblMovement[[#This Row],[Contained_oz]],0)</f>
        <v/>
      </c>
    </row>
    <row r="3818">
      <c r="A3818" s="54" t="n"/>
      <c r="B3818" s="61" t="n"/>
      <c r="C3818" s="61" t="n"/>
      <c r="D3818" s="61" t="n"/>
      <c r="E3818" s="61" t="n"/>
      <c r="F3818" s="55" t="n"/>
      <c r="G3818" s="56" t="n"/>
      <c r="H3818" s="55" t="n"/>
      <c r="I3818" s="62" t="n"/>
      <c r="J3818" s="58" t="n"/>
      <c r="K3818" s="63">
        <f>IF(tblMovement[[#This Row],[Source]]="","",IFERROR(INDEX(tblSources[Type],MATCH(tblMovement[[#This Row],[Source]],tblSources[Source],0)),"?"))</f>
        <v/>
      </c>
      <c r="L3818" s="63">
        <f>IF(tblMovement[[#This Row],[Destination]]="","",IFERROR(INDEX(tblDestinations[Type],MATCH(tblMovement[[#This Row],[Destination]],tblDestinations[Destination],0)),"?"))</f>
        <v/>
      </c>
      <c r="M3818" s="64">
        <f>IF(tblMovement[[#This Row],[Material]]="","",IF(LEFT(tblMovement[[#This Row],[Material]],3)="Ore",1,0))</f>
        <v/>
      </c>
      <c r="N3818" s="59">
        <f>IF(OR(tblMovement[[#This Row],[Tonnes_t]]="",tblMovement[[#This Row],[Grade_gpt]]=""),0,tblMovement[[#This Row],[Tonnes_t]]*tblMovement[[#This Row],[Grade_gpt]]/cfg_TroyOz)</f>
        <v/>
      </c>
      <c r="O3818" s="59">
        <f>IF(tblMovement[[#This Row],[Is_Ore]]=1,tblMovement[[#This Row],[Contained_oz]],0)</f>
        <v/>
      </c>
    </row>
    <row r="3819">
      <c r="A3819" s="54" t="n"/>
      <c r="B3819" s="61" t="n"/>
      <c r="C3819" s="61" t="n"/>
      <c r="D3819" s="61" t="n"/>
      <c r="E3819" s="61" t="n"/>
      <c r="F3819" s="55" t="n"/>
      <c r="G3819" s="56" t="n"/>
      <c r="H3819" s="55" t="n"/>
      <c r="I3819" s="62" t="n"/>
      <c r="J3819" s="58" t="n"/>
      <c r="K3819" s="63">
        <f>IF(tblMovement[[#This Row],[Source]]="","",IFERROR(INDEX(tblSources[Type],MATCH(tblMovement[[#This Row],[Source]],tblSources[Source],0)),"?"))</f>
        <v/>
      </c>
      <c r="L3819" s="63">
        <f>IF(tblMovement[[#This Row],[Destination]]="","",IFERROR(INDEX(tblDestinations[Type],MATCH(tblMovement[[#This Row],[Destination]],tblDestinations[Destination],0)),"?"))</f>
        <v/>
      </c>
      <c r="M3819" s="64">
        <f>IF(tblMovement[[#This Row],[Material]]="","",IF(LEFT(tblMovement[[#This Row],[Material]],3)="Ore",1,0))</f>
        <v/>
      </c>
      <c r="N3819" s="59">
        <f>IF(OR(tblMovement[[#This Row],[Tonnes_t]]="",tblMovement[[#This Row],[Grade_gpt]]=""),0,tblMovement[[#This Row],[Tonnes_t]]*tblMovement[[#This Row],[Grade_gpt]]/cfg_TroyOz)</f>
        <v/>
      </c>
      <c r="O3819" s="59">
        <f>IF(tblMovement[[#This Row],[Is_Ore]]=1,tblMovement[[#This Row],[Contained_oz]],0)</f>
        <v/>
      </c>
    </row>
    <row r="3820">
      <c r="A3820" s="54" t="n"/>
      <c r="B3820" s="61" t="n"/>
      <c r="C3820" s="61" t="n"/>
      <c r="D3820" s="61" t="n"/>
      <c r="E3820" s="61" t="n"/>
      <c r="F3820" s="55" t="n"/>
      <c r="G3820" s="56" t="n"/>
      <c r="H3820" s="55" t="n"/>
      <c r="I3820" s="62" t="n"/>
      <c r="J3820" s="58" t="n"/>
      <c r="K3820" s="63">
        <f>IF(tblMovement[[#This Row],[Source]]="","",IFERROR(INDEX(tblSources[Type],MATCH(tblMovement[[#This Row],[Source]],tblSources[Source],0)),"?"))</f>
        <v/>
      </c>
      <c r="L3820" s="63">
        <f>IF(tblMovement[[#This Row],[Destination]]="","",IFERROR(INDEX(tblDestinations[Type],MATCH(tblMovement[[#This Row],[Destination]],tblDestinations[Destination],0)),"?"))</f>
        <v/>
      </c>
      <c r="M3820" s="64">
        <f>IF(tblMovement[[#This Row],[Material]]="","",IF(LEFT(tblMovement[[#This Row],[Material]],3)="Ore",1,0))</f>
        <v/>
      </c>
      <c r="N3820" s="59">
        <f>IF(OR(tblMovement[[#This Row],[Tonnes_t]]="",tblMovement[[#This Row],[Grade_gpt]]=""),0,tblMovement[[#This Row],[Tonnes_t]]*tblMovement[[#This Row],[Grade_gpt]]/cfg_TroyOz)</f>
        <v/>
      </c>
      <c r="O3820" s="59">
        <f>IF(tblMovement[[#This Row],[Is_Ore]]=1,tblMovement[[#This Row],[Contained_oz]],0)</f>
        <v/>
      </c>
    </row>
    <row r="3821">
      <c r="A3821" s="54" t="n"/>
      <c r="B3821" s="61" t="n"/>
      <c r="C3821" s="61" t="n"/>
      <c r="D3821" s="61" t="n"/>
      <c r="E3821" s="61" t="n"/>
      <c r="F3821" s="55" t="n"/>
      <c r="G3821" s="56" t="n"/>
      <c r="H3821" s="55" t="n"/>
      <c r="I3821" s="62" t="n"/>
      <c r="J3821" s="58" t="n"/>
      <c r="K3821" s="63">
        <f>IF(tblMovement[[#This Row],[Source]]="","",IFERROR(INDEX(tblSources[Type],MATCH(tblMovement[[#This Row],[Source]],tblSources[Source],0)),"?"))</f>
        <v/>
      </c>
      <c r="L3821" s="63">
        <f>IF(tblMovement[[#This Row],[Destination]]="","",IFERROR(INDEX(tblDestinations[Type],MATCH(tblMovement[[#This Row],[Destination]],tblDestinations[Destination],0)),"?"))</f>
        <v/>
      </c>
      <c r="M3821" s="64">
        <f>IF(tblMovement[[#This Row],[Material]]="","",IF(LEFT(tblMovement[[#This Row],[Material]],3)="Ore",1,0))</f>
        <v/>
      </c>
      <c r="N3821" s="59">
        <f>IF(OR(tblMovement[[#This Row],[Tonnes_t]]="",tblMovement[[#This Row],[Grade_gpt]]=""),0,tblMovement[[#This Row],[Tonnes_t]]*tblMovement[[#This Row],[Grade_gpt]]/cfg_TroyOz)</f>
        <v/>
      </c>
      <c r="O3821" s="59">
        <f>IF(tblMovement[[#This Row],[Is_Ore]]=1,tblMovement[[#This Row],[Contained_oz]],0)</f>
        <v/>
      </c>
    </row>
    <row r="3822">
      <c r="A3822" s="54" t="n"/>
      <c r="B3822" s="61" t="n"/>
      <c r="C3822" s="61" t="n"/>
      <c r="D3822" s="61" t="n"/>
      <c r="E3822" s="61" t="n"/>
      <c r="F3822" s="55" t="n"/>
      <c r="G3822" s="56" t="n"/>
      <c r="H3822" s="55" t="n"/>
      <c r="I3822" s="62" t="n"/>
      <c r="J3822" s="58" t="n"/>
      <c r="K3822" s="63">
        <f>IF(tblMovement[[#This Row],[Source]]="","",IFERROR(INDEX(tblSources[Type],MATCH(tblMovement[[#This Row],[Source]],tblSources[Source],0)),"?"))</f>
        <v/>
      </c>
      <c r="L3822" s="63">
        <f>IF(tblMovement[[#This Row],[Destination]]="","",IFERROR(INDEX(tblDestinations[Type],MATCH(tblMovement[[#This Row],[Destination]],tblDestinations[Destination],0)),"?"))</f>
        <v/>
      </c>
      <c r="M3822" s="64">
        <f>IF(tblMovement[[#This Row],[Material]]="","",IF(LEFT(tblMovement[[#This Row],[Material]],3)="Ore",1,0))</f>
        <v/>
      </c>
      <c r="N3822" s="59">
        <f>IF(OR(tblMovement[[#This Row],[Tonnes_t]]="",tblMovement[[#This Row],[Grade_gpt]]=""),0,tblMovement[[#This Row],[Tonnes_t]]*tblMovement[[#This Row],[Grade_gpt]]/cfg_TroyOz)</f>
        <v/>
      </c>
      <c r="O3822" s="59">
        <f>IF(tblMovement[[#This Row],[Is_Ore]]=1,tblMovement[[#This Row],[Contained_oz]],0)</f>
        <v/>
      </c>
    </row>
    <row r="3823">
      <c r="A3823" s="54" t="n"/>
      <c r="B3823" s="61" t="n"/>
      <c r="C3823" s="61" t="n"/>
      <c r="D3823" s="61" t="n"/>
      <c r="E3823" s="61" t="n"/>
      <c r="F3823" s="55" t="n"/>
      <c r="G3823" s="56" t="n"/>
      <c r="H3823" s="55" t="n"/>
      <c r="I3823" s="62" t="n"/>
      <c r="J3823" s="58" t="n"/>
      <c r="K3823" s="63">
        <f>IF(tblMovement[[#This Row],[Source]]="","",IFERROR(INDEX(tblSources[Type],MATCH(tblMovement[[#This Row],[Source]],tblSources[Source],0)),"?"))</f>
        <v/>
      </c>
      <c r="L3823" s="63">
        <f>IF(tblMovement[[#This Row],[Destination]]="","",IFERROR(INDEX(tblDestinations[Type],MATCH(tblMovement[[#This Row],[Destination]],tblDestinations[Destination],0)),"?"))</f>
        <v/>
      </c>
      <c r="M3823" s="64">
        <f>IF(tblMovement[[#This Row],[Material]]="","",IF(LEFT(tblMovement[[#This Row],[Material]],3)="Ore",1,0))</f>
        <v/>
      </c>
      <c r="N3823" s="59">
        <f>IF(OR(tblMovement[[#This Row],[Tonnes_t]]="",tblMovement[[#This Row],[Grade_gpt]]=""),0,tblMovement[[#This Row],[Tonnes_t]]*tblMovement[[#This Row],[Grade_gpt]]/cfg_TroyOz)</f>
        <v/>
      </c>
      <c r="O3823" s="59">
        <f>IF(tblMovement[[#This Row],[Is_Ore]]=1,tblMovement[[#This Row],[Contained_oz]],0)</f>
        <v/>
      </c>
    </row>
    <row r="3824">
      <c r="A3824" s="54" t="n"/>
      <c r="B3824" s="61" t="n"/>
      <c r="C3824" s="61" t="n"/>
      <c r="D3824" s="61" t="n"/>
      <c r="E3824" s="61" t="n"/>
      <c r="F3824" s="55" t="n"/>
      <c r="G3824" s="56" t="n"/>
      <c r="H3824" s="55" t="n"/>
      <c r="I3824" s="62" t="n"/>
      <c r="J3824" s="58" t="n"/>
      <c r="K3824" s="63">
        <f>IF(tblMovement[[#This Row],[Source]]="","",IFERROR(INDEX(tblSources[Type],MATCH(tblMovement[[#This Row],[Source]],tblSources[Source],0)),"?"))</f>
        <v/>
      </c>
      <c r="L3824" s="63">
        <f>IF(tblMovement[[#This Row],[Destination]]="","",IFERROR(INDEX(tblDestinations[Type],MATCH(tblMovement[[#This Row],[Destination]],tblDestinations[Destination],0)),"?"))</f>
        <v/>
      </c>
      <c r="M3824" s="64">
        <f>IF(tblMovement[[#This Row],[Material]]="","",IF(LEFT(tblMovement[[#This Row],[Material]],3)="Ore",1,0))</f>
        <v/>
      </c>
      <c r="N3824" s="59">
        <f>IF(OR(tblMovement[[#This Row],[Tonnes_t]]="",tblMovement[[#This Row],[Grade_gpt]]=""),0,tblMovement[[#This Row],[Tonnes_t]]*tblMovement[[#This Row],[Grade_gpt]]/cfg_TroyOz)</f>
        <v/>
      </c>
      <c r="O3824" s="59">
        <f>IF(tblMovement[[#This Row],[Is_Ore]]=1,tblMovement[[#This Row],[Contained_oz]],0)</f>
        <v/>
      </c>
    </row>
    <row r="3825">
      <c r="A3825" s="54" t="n"/>
      <c r="B3825" s="61" t="n"/>
      <c r="C3825" s="61" t="n"/>
      <c r="D3825" s="61" t="n"/>
      <c r="E3825" s="61" t="n"/>
      <c r="F3825" s="55" t="n"/>
      <c r="G3825" s="56" t="n"/>
      <c r="H3825" s="55" t="n"/>
      <c r="I3825" s="62" t="n"/>
      <c r="J3825" s="58" t="n"/>
      <c r="K3825" s="63">
        <f>IF(tblMovement[[#This Row],[Source]]="","",IFERROR(INDEX(tblSources[Type],MATCH(tblMovement[[#This Row],[Source]],tblSources[Source],0)),"?"))</f>
        <v/>
      </c>
      <c r="L3825" s="63">
        <f>IF(tblMovement[[#This Row],[Destination]]="","",IFERROR(INDEX(tblDestinations[Type],MATCH(tblMovement[[#This Row],[Destination]],tblDestinations[Destination],0)),"?"))</f>
        <v/>
      </c>
      <c r="M3825" s="64">
        <f>IF(tblMovement[[#This Row],[Material]]="","",IF(LEFT(tblMovement[[#This Row],[Material]],3)="Ore",1,0))</f>
        <v/>
      </c>
      <c r="N3825" s="59">
        <f>IF(OR(tblMovement[[#This Row],[Tonnes_t]]="",tblMovement[[#This Row],[Grade_gpt]]=""),0,tblMovement[[#This Row],[Tonnes_t]]*tblMovement[[#This Row],[Grade_gpt]]/cfg_TroyOz)</f>
        <v/>
      </c>
      <c r="O3825" s="59">
        <f>IF(tblMovement[[#This Row],[Is_Ore]]=1,tblMovement[[#This Row],[Contained_oz]],0)</f>
        <v/>
      </c>
    </row>
    <row r="3826">
      <c r="A3826" s="54" t="n"/>
      <c r="B3826" s="61" t="n"/>
      <c r="C3826" s="61" t="n"/>
      <c r="D3826" s="61" t="n"/>
      <c r="E3826" s="61" t="n"/>
      <c r="F3826" s="55" t="n"/>
      <c r="G3826" s="56" t="n"/>
      <c r="H3826" s="55" t="n"/>
      <c r="I3826" s="62" t="n"/>
      <c r="J3826" s="58" t="n"/>
      <c r="K3826" s="63">
        <f>IF(tblMovement[[#This Row],[Source]]="","",IFERROR(INDEX(tblSources[Type],MATCH(tblMovement[[#This Row],[Source]],tblSources[Source],0)),"?"))</f>
        <v/>
      </c>
      <c r="L3826" s="63">
        <f>IF(tblMovement[[#This Row],[Destination]]="","",IFERROR(INDEX(tblDestinations[Type],MATCH(tblMovement[[#This Row],[Destination]],tblDestinations[Destination],0)),"?"))</f>
        <v/>
      </c>
      <c r="M3826" s="64">
        <f>IF(tblMovement[[#This Row],[Material]]="","",IF(LEFT(tblMovement[[#This Row],[Material]],3)="Ore",1,0))</f>
        <v/>
      </c>
      <c r="N3826" s="59">
        <f>IF(OR(tblMovement[[#This Row],[Tonnes_t]]="",tblMovement[[#This Row],[Grade_gpt]]=""),0,tblMovement[[#This Row],[Tonnes_t]]*tblMovement[[#This Row],[Grade_gpt]]/cfg_TroyOz)</f>
        <v/>
      </c>
      <c r="O3826" s="59">
        <f>IF(tblMovement[[#This Row],[Is_Ore]]=1,tblMovement[[#This Row],[Contained_oz]],0)</f>
        <v/>
      </c>
    </row>
    <row r="3827">
      <c r="A3827" s="54" t="n"/>
      <c r="B3827" s="61" t="n"/>
      <c r="C3827" s="61" t="n"/>
      <c r="D3827" s="61" t="n"/>
      <c r="E3827" s="61" t="n"/>
      <c r="F3827" s="55" t="n"/>
      <c r="G3827" s="56" t="n"/>
      <c r="H3827" s="55" t="n"/>
      <c r="I3827" s="62" t="n"/>
      <c r="J3827" s="58" t="n"/>
      <c r="K3827" s="63">
        <f>IF(tblMovement[[#This Row],[Source]]="","",IFERROR(INDEX(tblSources[Type],MATCH(tblMovement[[#This Row],[Source]],tblSources[Source],0)),"?"))</f>
        <v/>
      </c>
      <c r="L3827" s="63">
        <f>IF(tblMovement[[#This Row],[Destination]]="","",IFERROR(INDEX(tblDestinations[Type],MATCH(tblMovement[[#This Row],[Destination]],tblDestinations[Destination],0)),"?"))</f>
        <v/>
      </c>
      <c r="M3827" s="64">
        <f>IF(tblMovement[[#This Row],[Material]]="","",IF(LEFT(tblMovement[[#This Row],[Material]],3)="Ore",1,0))</f>
        <v/>
      </c>
      <c r="N3827" s="59">
        <f>IF(OR(tblMovement[[#This Row],[Tonnes_t]]="",tblMovement[[#This Row],[Grade_gpt]]=""),0,tblMovement[[#This Row],[Tonnes_t]]*tblMovement[[#This Row],[Grade_gpt]]/cfg_TroyOz)</f>
        <v/>
      </c>
      <c r="O3827" s="59">
        <f>IF(tblMovement[[#This Row],[Is_Ore]]=1,tblMovement[[#This Row],[Contained_oz]],0)</f>
        <v/>
      </c>
    </row>
    <row r="3828">
      <c r="A3828" s="54" t="n"/>
      <c r="B3828" s="61" t="n"/>
      <c r="C3828" s="61" t="n"/>
      <c r="D3828" s="61" t="n"/>
      <c r="E3828" s="61" t="n"/>
      <c r="F3828" s="55" t="n"/>
      <c r="G3828" s="56" t="n"/>
      <c r="H3828" s="55" t="n"/>
      <c r="I3828" s="62" t="n"/>
      <c r="J3828" s="58" t="n"/>
      <c r="K3828" s="63">
        <f>IF(tblMovement[[#This Row],[Source]]="","",IFERROR(INDEX(tblSources[Type],MATCH(tblMovement[[#This Row],[Source]],tblSources[Source],0)),"?"))</f>
        <v/>
      </c>
      <c r="L3828" s="63">
        <f>IF(tblMovement[[#This Row],[Destination]]="","",IFERROR(INDEX(tblDestinations[Type],MATCH(tblMovement[[#This Row],[Destination]],tblDestinations[Destination],0)),"?"))</f>
        <v/>
      </c>
      <c r="M3828" s="64">
        <f>IF(tblMovement[[#This Row],[Material]]="","",IF(LEFT(tblMovement[[#This Row],[Material]],3)="Ore",1,0))</f>
        <v/>
      </c>
      <c r="N3828" s="59">
        <f>IF(OR(tblMovement[[#This Row],[Tonnes_t]]="",tblMovement[[#This Row],[Grade_gpt]]=""),0,tblMovement[[#This Row],[Tonnes_t]]*tblMovement[[#This Row],[Grade_gpt]]/cfg_TroyOz)</f>
        <v/>
      </c>
      <c r="O3828" s="59">
        <f>IF(tblMovement[[#This Row],[Is_Ore]]=1,tblMovement[[#This Row],[Contained_oz]],0)</f>
        <v/>
      </c>
    </row>
    <row r="3829">
      <c r="A3829" s="54" t="n"/>
      <c r="B3829" s="61" t="n"/>
      <c r="C3829" s="61" t="n"/>
      <c r="D3829" s="61" t="n"/>
      <c r="E3829" s="61" t="n"/>
      <c r="F3829" s="55" t="n"/>
      <c r="G3829" s="56" t="n"/>
      <c r="H3829" s="55" t="n"/>
      <c r="I3829" s="62" t="n"/>
      <c r="J3829" s="58" t="n"/>
      <c r="K3829" s="63">
        <f>IF(tblMovement[[#This Row],[Source]]="","",IFERROR(INDEX(tblSources[Type],MATCH(tblMovement[[#This Row],[Source]],tblSources[Source],0)),"?"))</f>
        <v/>
      </c>
      <c r="L3829" s="63">
        <f>IF(tblMovement[[#This Row],[Destination]]="","",IFERROR(INDEX(tblDestinations[Type],MATCH(tblMovement[[#This Row],[Destination]],tblDestinations[Destination],0)),"?"))</f>
        <v/>
      </c>
      <c r="M3829" s="64">
        <f>IF(tblMovement[[#This Row],[Material]]="","",IF(LEFT(tblMovement[[#This Row],[Material]],3)="Ore",1,0))</f>
        <v/>
      </c>
      <c r="N3829" s="59">
        <f>IF(OR(tblMovement[[#This Row],[Tonnes_t]]="",tblMovement[[#This Row],[Grade_gpt]]=""),0,tblMovement[[#This Row],[Tonnes_t]]*tblMovement[[#This Row],[Grade_gpt]]/cfg_TroyOz)</f>
        <v/>
      </c>
      <c r="O3829" s="59">
        <f>IF(tblMovement[[#This Row],[Is_Ore]]=1,tblMovement[[#This Row],[Contained_oz]],0)</f>
        <v/>
      </c>
    </row>
    <row r="3830">
      <c r="A3830" s="54" t="n"/>
      <c r="B3830" s="61" t="n"/>
      <c r="C3830" s="61" t="n"/>
      <c r="D3830" s="61" t="n"/>
      <c r="E3830" s="61" t="n"/>
      <c r="F3830" s="55" t="n"/>
      <c r="G3830" s="56" t="n"/>
      <c r="H3830" s="55" t="n"/>
      <c r="I3830" s="62" t="n"/>
      <c r="J3830" s="58" t="n"/>
      <c r="K3830" s="63">
        <f>IF(tblMovement[[#This Row],[Source]]="","",IFERROR(INDEX(tblSources[Type],MATCH(tblMovement[[#This Row],[Source]],tblSources[Source],0)),"?"))</f>
        <v/>
      </c>
      <c r="L3830" s="63">
        <f>IF(tblMovement[[#This Row],[Destination]]="","",IFERROR(INDEX(tblDestinations[Type],MATCH(tblMovement[[#This Row],[Destination]],tblDestinations[Destination],0)),"?"))</f>
        <v/>
      </c>
      <c r="M3830" s="64">
        <f>IF(tblMovement[[#This Row],[Material]]="","",IF(LEFT(tblMovement[[#This Row],[Material]],3)="Ore",1,0))</f>
        <v/>
      </c>
      <c r="N3830" s="59">
        <f>IF(OR(tblMovement[[#This Row],[Tonnes_t]]="",tblMovement[[#This Row],[Grade_gpt]]=""),0,tblMovement[[#This Row],[Tonnes_t]]*tblMovement[[#This Row],[Grade_gpt]]/cfg_TroyOz)</f>
        <v/>
      </c>
      <c r="O3830" s="59">
        <f>IF(tblMovement[[#This Row],[Is_Ore]]=1,tblMovement[[#This Row],[Contained_oz]],0)</f>
        <v/>
      </c>
    </row>
    <row r="3831">
      <c r="A3831" s="54" t="n"/>
      <c r="B3831" s="61" t="n"/>
      <c r="C3831" s="61" t="n"/>
      <c r="D3831" s="61" t="n"/>
      <c r="E3831" s="61" t="n"/>
      <c r="F3831" s="55" t="n"/>
      <c r="G3831" s="56" t="n"/>
      <c r="H3831" s="55" t="n"/>
      <c r="I3831" s="62" t="n"/>
      <c r="J3831" s="58" t="n"/>
      <c r="K3831" s="63">
        <f>IF(tblMovement[[#This Row],[Source]]="","",IFERROR(INDEX(tblSources[Type],MATCH(tblMovement[[#This Row],[Source]],tblSources[Source],0)),"?"))</f>
        <v/>
      </c>
      <c r="L3831" s="63">
        <f>IF(tblMovement[[#This Row],[Destination]]="","",IFERROR(INDEX(tblDestinations[Type],MATCH(tblMovement[[#This Row],[Destination]],tblDestinations[Destination],0)),"?"))</f>
        <v/>
      </c>
      <c r="M3831" s="64">
        <f>IF(tblMovement[[#This Row],[Material]]="","",IF(LEFT(tblMovement[[#This Row],[Material]],3)="Ore",1,0))</f>
        <v/>
      </c>
      <c r="N3831" s="59">
        <f>IF(OR(tblMovement[[#This Row],[Tonnes_t]]="",tblMovement[[#This Row],[Grade_gpt]]=""),0,tblMovement[[#This Row],[Tonnes_t]]*tblMovement[[#This Row],[Grade_gpt]]/cfg_TroyOz)</f>
        <v/>
      </c>
      <c r="O3831" s="59">
        <f>IF(tblMovement[[#This Row],[Is_Ore]]=1,tblMovement[[#This Row],[Contained_oz]],0)</f>
        <v/>
      </c>
    </row>
    <row r="3832">
      <c r="A3832" s="54" t="n"/>
      <c r="B3832" s="61" t="n"/>
      <c r="C3832" s="61" t="n"/>
      <c r="D3832" s="61" t="n"/>
      <c r="E3832" s="61" t="n"/>
      <c r="F3832" s="55" t="n"/>
      <c r="G3832" s="56" t="n"/>
      <c r="H3832" s="55" t="n"/>
      <c r="I3832" s="62" t="n"/>
      <c r="J3832" s="58" t="n"/>
      <c r="K3832" s="63">
        <f>IF(tblMovement[[#This Row],[Source]]="","",IFERROR(INDEX(tblSources[Type],MATCH(tblMovement[[#This Row],[Source]],tblSources[Source],0)),"?"))</f>
        <v/>
      </c>
      <c r="L3832" s="63">
        <f>IF(tblMovement[[#This Row],[Destination]]="","",IFERROR(INDEX(tblDestinations[Type],MATCH(tblMovement[[#This Row],[Destination]],tblDestinations[Destination],0)),"?"))</f>
        <v/>
      </c>
      <c r="M3832" s="64">
        <f>IF(tblMovement[[#This Row],[Material]]="","",IF(LEFT(tblMovement[[#This Row],[Material]],3)="Ore",1,0))</f>
        <v/>
      </c>
      <c r="N3832" s="59">
        <f>IF(OR(tblMovement[[#This Row],[Tonnes_t]]="",tblMovement[[#This Row],[Grade_gpt]]=""),0,tblMovement[[#This Row],[Tonnes_t]]*tblMovement[[#This Row],[Grade_gpt]]/cfg_TroyOz)</f>
        <v/>
      </c>
      <c r="O3832" s="59">
        <f>IF(tblMovement[[#This Row],[Is_Ore]]=1,tblMovement[[#This Row],[Contained_oz]],0)</f>
        <v/>
      </c>
    </row>
    <row r="3833">
      <c r="A3833" s="54" t="n"/>
      <c r="B3833" s="61" t="n"/>
      <c r="C3833" s="61" t="n"/>
      <c r="D3833" s="61" t="n"/>
      <c r="E3833" s="61" t="n"/>
      <c r="F3833" s="55" t="n"/>
      <c r="G3833" s="56" t="n"/>
      <c r="H3833" s="55" t="n"/>
      <c r="I3833" s="62" t="n"/>
      <c r="J3833" s="58" t="n"/>
      <c r="K3833" s="63">
        <f>IF(tblMovement[[#This Row],[Source]]="","",IFERROR(INDEX(tblSources[Type],MATCH(tblMovement[[#This Row],[Source]],tblSources[Source],0)),"?"))</f>
        <v/>
      </c>
      <c r="L3833" s="63">
        <f>IF(tblMovement[[#This Row],[Destination]]="","",IFERROR(INDEX(tblDestinations[Type],MATCH(tblMovement[[#This Row],[Destination]],tblDestinations[Destination],0)),"?"))</f>
        <v/>
      </c>
      <c r="M3833" s="64">
        <f>IF(tblMovement[[#This Row],[Material]]="","",IF(LEFT(tblMovement[[#This Row],[Material]],3)="Ore",1,0))</f>
        <v/>
      </c>
      <c r="N3833" s="59">
        <f>IF(OR(tblMovement[[#This Row],[Tonnes_t]]="",tblMovement[[#This Row],[Grade_gpt]]=""),0,tblMovement[[#This Row],[Tonnes_t]]*tblMovement[[#This Row],[Grade_gpt]]/cfg_TroyOz)</f>
        <v/>
      </c>
      <c r="O3833" s="59">
        <f>IF(tblMovement[[#This Row],[Is_Ore]]=1,tblMovement[[#This Row],[Contained_oz]],0)</f>
        <v/>
      </c>
    </row>
    <row r="3834">
      <c r="A3834" s="54" t="n"/>
      <c r="B3834" s="61" t="n"/>
      <c r="C3834" s="61" t="n"/>
      <c r="D3834" s="61" t="n"/>
      <c r="E3834" s="61" t="n"/>
      <c r="F3834" s="55" t="n"/>
      <c r="G3834" s="56" t="n"/>
      <c r="H3834" s="55" t="n"/>
      <c r="I3834" s="62" t="n"/>
      <c r="J3834" s="58" t="n"/>
      <c r="K3834" s="63">
        <f>IF(tblMovement[[#This Row],[Source]]="","",IFERROR(INDEX(tblSources[Type],MATCH(tblMovement[[#This Row],[Source]],tblSources[Source],0)),"?"))</f>
        <v/>
      </c>
      <c r="L3834" s="63">
        <f>IF(tblMovement[[#This Row],[Destination]]="","",IFERROR(INDEX(tblDestinations[Type],MATCH(tblMovement[[#This Row],[Destination]],tblDestinations[Destination],0)),"?"))</f>
        <v/>
      </c>
      <c r="M3834" s="64">
        <f>IF(tblMovement[[#This Row],[Material]]="","",IF(LEFT(tblMovement[[#This Row],[Material]],3)="Ore",1,0))</f>
        <v/>
      </c>
      <c r="N3834" s="59">
        <f>IF(OR(tblMovement[[#This Row],[Tonnes_t]]="",tblMovement[[#This Row],[Grade_gpt]]=""),0,tblMovement[[#This Row],[Tonnes_t]]*tblMovement[[#This Row],[Grade_gpt]]/cfg_TroyOz)</f>
        <v/>
      </c>
      <c r="O3834" s="59">
        <f>IF(tblMovement[[#This Row],[Is_Ore]]=1,tblMovement[[#This Row],[Contained_oz]],0)</f>
        <v/>
      </c>
    </row>
    <row r="3835">
      <c r="A3835" s="54" t="n"/>
      <c r="B3835" s="61" t="n"/>
      <c r="C3835" s="61" t="n"/>
      <c r="D3835" s="61" t="n"/>
      <c r="E3835" s="61" t="n"/>
      <c r="F3835" s="55" t="n"/>
      <c r="G3835" s="56" t="n"/>
      <c r="H3835" s="55" t="n"/>
      <c r="I3835" s="62" t="n"/>
      <c r="J3835" s="58" t="n"/>
      <c r="K3835" s="63">
        <f>IF(tblMovement[[#This Row],[Source]]="","",IFERROR(INDEX(tblSources[Type],MATCH(tblMovement[[#This Row],[Source]],tblSources[Source],0)),"?"))</f>
        <v/>
      </c>
      <c r="L3835" s="63">
        <f>IF(tblMovement[[#This Row],[Destination]]="","",IFERROR(INDEX(tblDestinations[Type],MATCH(tblMovement[[#This Row],[Destination]],tblDestinations[Destination],0)),"?"))</f>
        <v/>
      </c>
      <c r="M3835" s="64">
        <f>IF(tblMovement[[#This Row],[Material]]="","",IF(LEFT(tblMovement[[#This Row],[Material]],3)="Ore",1,0))</f>
        <v/>
      </c>
      <c r="N3835" s="59">
        <f>IF(OR(tblMovement[[#This Row],[Tonnes_t]]="",tblMovement[[#This Row],[Grade_gpt]]=""),0,tblMovement[[#This Row],[Tonnes_t]]*tblMovement[[#This Row],[Grade_gpt]]/cfg_TroyOz)</f>
        <v/>
      </c>
      <c r="O3835" s="59">
        <f>IF(tblMovement[[#This Row],[Is_Ore]]=1,tblMovement[[#This Row],[Contained_oz]],0)</f>
        <v/>
      </c>
    </row>
    <row r="3836">
      <c r="A3836" s="54" t="n"/>
      <c r="B3836" s="61" t="n"/>
      <c r="C3836" s="61" t="n"/>
      <c r="D3836" s="61" t="n"/>
      <c r="E3836" s="61" t="n"/>
      <c r="F3836" s="55" t="n"/>
      <c r="G3836" s="56" t="n"/>
      <c r="H3836" s="55" t="n"/>
      <c r="I3836" s="62" t="n"/>
      <c r="J3836" s="58" t="n"/>
      <c r="K3836" s="63">
        <f>IF(tblMovement[[#This Row],[Source]]="","",IFERROR(INDEX(tblSources[Type],MATCH(tblMovement[[#This Row],[Source]],tblSources[Source],0)),"?"))</f>
        <v/>
      </c>
      <c r="L3836" s="63">
        <f>IF(tblMovement[[#This Row],[Destination]]="","",IFERROR(INDEX(tblDestinations[Type],MATCH(tblMovement[[#This Row],[Destination]],tblDestinations[Destination],0)),"?"))</f>
        <v/>
      </c>
      <c r="M3836" s="64">
        <f>IF(tblMovement[[#This Row],[Material]]="","",IF(LEFT(tblMovement[[#This Row],[Material]],3)="Ore",1,0))</f>
        <v/>
      </c>
      <c r="N3836" s="59">
        <f>IF(OR(tblMovement[[#This Row],[Tonnes_t]]="",tblMovement[[#This Row],[Grade_gpt]]=""),0,tblMovement[[#This Row],[Tonnes_t]]*tblMovement[[#This Row],[Grade_gpt]]/cfg_TroyOz)</f>
        <v/>
      </c>
      <c r="O3836" s="59">
        <f>IF(tblMovement[[#This Row],[Is_Ore]]=1,tblMovement[[#This Row],[Contained_oz]],0)</f>
        <v/>
      </c>
    </row>
    <row r="3837">
      <c r="A3837" s="54" t="n"/>
      <c r="B3837" s="61" t="n"/>
      <c r="C3837" s="61" t="n"/>
      <c r="D3837" s="61" t="n"/>
      <c r="E3837" s="61" t="n"/>
      <c r="F3837" s="55" t="n"/>
      <c r="G3837" s="56" t="n"/>
      <c r="H3837" s="55" t="n"/>
      <c r="I3837" s="62" t="n"/>
      <c r="J3837" s="58" t="n"/>
      <c r="K3837" s="63">
        <f>IF(tblMovement[[#This Row],[Source]]="","",IFERROR(INDEX(tblSources[Type],MATCH(tblMovement[[#This Row],[Source]],tblSources[Source],0)),"?"))</f>
        <v/>
      </c>
      <c r="L3837" s="63">
        <f>IF(tblMovement[[#This Row],[Destination]]="","",IFERROR(INDEX(tblDestinations[Type],MATCH(tblMovement[[#This Row],[Destination]],tblDestinations[Destination],0)),"?"))</f>
        <v/>
      </c>
      <c r="M3837" s="64">
        <f>IF(tblMovement[[#This Row],[Material]]="","",IF(LEFT(tblMovement[[#This Row],[Material]],3)="Ore",1,0))</f>
        <v/>
      </c>
      <c r="N3837" s="59">
        <f>IF(OR(tblMovement[[#This Row],[Tonnes_t]]="",tblMovement[[#This Row],[Grade_gpt]]=""),0,tblMovement[[#This Row],[Tonnes_t]]*tblMovement[[#This Row],[Grade_gpt]]/cfg_TroyOz)</f>
        <v/>
      </c>
      <c r="O3837" s="59">
        <f>IF(tblMovement[[#This Row],[Is_Ore]]=1,tblMovement[[#This Row],[Contained_oz]],0)</f>
        <v/>
      </c>
    </row>
    <row r="3838">
      <c r="A3838" s="54" t="n"/>
      <c r="B3838" s="61" t="n"/>
      <c r="C3838" s="61" t="n"/>
      <c r="D3838" s="61" t="n"/>
      <c r="E3838" s="61" t="n"/>
      <c r="F3838" s="55" t="n"/>
      <c r="G3838" s="56" t="n"/>
      <c r="H3838" s="55" t="n"/>
      <c r="I3838" s="62" t="n"/>
      <c r="J3838" s="58" t="n"/>
      <c r="K3838" s="63">
        <f>IF(tblMovement[[#This Row],[Source]]="","",IFERROR(INDEX(tblSources[Type],MATCH(tblMovement[[#This Row],[Source]],tblSources[Source],0)),"?"))</f>
        <v/>
      </c>
      <c r="L3838" s="63">
        <f>IF(tblMovement[[#This Row],[Destination]]="","",IFERROR(INDEX(tblDestinations[Type],MATCH(tblMovement[[#This Row],[Destination]],tblDestinations[Destination],0)),"?"))</f>
        <v/>
      </c>
      <c r="M3838" s="64">
        <f>IF(tblMovement[[#This Row],[Material]]="","",IF(LEFT(tblMovement[[#This Row],[Material]],3)="Ore",1,0))</f>
        <v/>
      </c>
      <c r="N3838" s="59">
        <f>IF(OR(tblMovement[[#This Row],[Tonnes_t]]="",tblMovement[[#This Row],[Grade_gpt]]=""),0,tblMovement[[#This Row],[Tonnes_t]]*tblMovement[[#This Row],[Grade_gpt]]/cfg_TroyOz)</f>
        <v/>
      </c>
      <c r="O3838" s="59">
        <f>IF(tblMovement[[#This Row],[Is_Ore]]=1,tblMovement[[#This Row],[Contained_oz]],0)</f>
        <v/>
      </c>
    </row>
    <row r="3839">
      <c r="A3839" s="54" t="n"/>
      <c r="B3839" s="61" t="n"/>
      <c r="C3839" s="61" t="n"/>
      <c r="D3839" s="61" t="n"/>
      <c r="E3839" s="61" t="n"/>
      <c r="F3839" s="55" t="n"/>
      <c r="G3839" s="56" t="n"/>
      <c r="H3839" s="55" t="n"/>
      <c r="I3839" s="62" t="n"/>
      <c r="J3839" s="58" t="n"/>
      <c r="K3839" s="63">
        <f>IF(tblMovement[[#This Row],[Source]]="","",IFERROR(INDEX(tblSources[Type],MATCH(tblMovement[[#This Row],[Source]],tblSources[Source],0)),"?"))</f>
        <v/>
      </c>
      <c r="L3839" s="63">
        <f>IF(tblMovement[[#This Row],[Destination]]="","",IFERROR(INDEX(tblDestinations[Type],MATCH(tblMovement[[#This Row],[Destination]],tblDestinations[Destination],0)),"?"))</f>
        <v/>
      </c>
      <c r="M3839" s="64">
        <f>IF(tblMovement[[#This Row],[Material]]="","",IF(LEFT(tblMovement[[#This Row],[Material]],3)="Ore",1,0))</f>
        <v/>
      </c>
      <c r="N3839" s="59">
        <f>IF(OR(tblMovement[[#This Row],[Tonnes_t]]="",tblMovement[[#This Row],[Grade_gpt]]=""),0,tblMovement[[#This Row],[Tonnes_t]]*tblMovement[[#This Row],[Grade_gpt]]/cfg_TroyOz)</f>
        <v/>
      </c>
      <c r="O3839" s="59">
        <f>IF(tblMovement[[#This Row],[Is_Ore]]=1,tblMovement[[#This Row],[Contained_oz]],0)</f>
        <v/>
      </c>
    </row>
    <row r="3840">
      <c r="A3840" s="54" t="n"/>
      <c r="B3840" s="61" t="n"/>
      <c r="C3840" s="61" t="n"/>
      <c r="D3840" s="61" t="n"/>
      <c r="E3840" s="61" t="n"/>
      <c r="F3840" s="55" t="n"/>
      <c r="G3840" s="56" t="n"/>
      <c r="H3840" s="55" t="n"/>
      <c r="I3840" s="62" t="n"/>
      <c r="J3840" s="58" t="n"/>
      <c r="K3840" s="63">
        <f>IF(tblMovement[[#This Row],[Source]]="","",IFERROR(INDEX(tblSources[Type],MATCH(tblMovement[[#This Row],[Source]],tblSources[Source],0)),"?"))</f>
        <v/>
      </c>
      <c r="L3840" s="63">
        <f>IF(tblMovement[[#This Row],[Destination]]="","",IFERROR(INDEX(tblDestinations[Type],MATCH(tblMovement[[#This Row],[Destination]],tblDestinations[Destination],0)),"?"))</f>
        <v/>
      </c>
      <c r="M3840" s="64">
        <f>IF(tblMovement[[#This Row],[Material]]="","",IF(LEFT(tblMovement[[#This Row],[Material]],3)="Ore",1,0))</f>
        <v/>
      </c>
      <c r="N3840" s="59">
        <f>IF(OR(tblMovement[[#This Row],[Tonnes_t]]="",tblMovement[[#This Row],[Grade_gpt]]=""),0,tblMovement[[#This Row],[Tonnes_t]]*tblMovement[[#This Row],[Grade_gpt]]/cfg_TroyOz)</f>
        <v/>
      </c>
      <c r="O3840" s="59">
        <f>IF(tblMovement[[#This Row],[Is_Ore]]=1,tblMovement[[#This Row],[Contained_oz]],0)</f>
        <v/>
      </c>
    </row>
    <row r="3841">
      <c r="A3841" s="54" t="n"/>
      <c r="B3841" s="61" t="n"/>
      <c r="C3841" s="61" t="n"/>
      <c r="D3841" s="61" t="n"/>
      <c r="E3841" s="61" t="n"/>
      <c r="F3841" s="55" t="n"/>
      <c r="G3841" s="56" t="n"/>
      <c r="H3841" s="55" t="n"/>
      <c r="I3841" s="62" t="n"/>
      <c r="J3841" s="58" t="n"/>
      <c r="K3841" s="63">
        <f>IF(tblMovement[[#This Row],[Source]]="","",IFERROR(INDEX(tblSources[Type],MATCH(tblMovement[[#This Row],[Source]],tblSources[Source],0)),"?"))</f>
        <v/>
      </c>
      <c r="L3841" s="63">
        <f>IF(tblMovement[[#This Row],[Destination]]="","",IFERROR(INDEX(tblDestinations[Type],MATCH(tblMovement[[#This Row],[Destination]],tblDestinations[Destination],0)),"?"))</f>
        <v/>
      </c>
      <c r="M3841" s="64">
        <f>IF(tblMovement[[#This Row],[Material]]="","",IF(LEFT(tblMovement[[#This Row],[Material]],3)="Ore",1,0))</f>
        <v/>
      </c>
      <c r="N3841" s="59">
        <f>IF(OR(tblMovement[[#This Row],[Tonnes_t]]="",tblMovement[[#This Row],[Grade_gpt]]=""),0,tblMovement[[#This Row],[Tonnes_t]]*tblMovement[[#This Row],[Grade_gpt]]/cfg_TroyOz)</f>
        <v/>
      </c>
      <c r="O3841" s="59">
        <f>IF(tblMovement[[#This Row],[Is_Ore]]=1,tblMovement[[#This Row],[Contained_oz]],0)</f>
        <v/>
      </c>
    </row>
    <row r="3842">
      <c r="A3842" s="54" t="n"/>
      <c r="B3842" s="61" t="n"/>
      <c r="C3842" s="61" t="n"/>
      <c r="D3842" s="61" t="n"/>
      <c r="E3842" s="61" t="n"/>
      <c r="F3842" s="55" t="n"/>
      <c r="G3842" s="56" t="n"/>
      <c r="H3842" s="55" t="n"/>
      <c r="I3842" s="62" t="n"/>
      <c r="J3842" s="58" t="n"/>
      <c r="K3842" s="63">
        <f>IF(tblMovement[[#This Row],[Source]]="","",IFERROR(INDEX(tblSources[Type],MATCH(tblMovement[[#This Row],[Source]],tblSources[Source],0)),"?"))</f>
        <v/>
      </c>
      <c r="L3842" s="63">
        <f>IF(tblMovement[[#This Row],[Destination]]="","",IFERROR(INDEX(tblDestinations[Type],MATCH(tblMovement[[#This Row],[Destination]],tblDestinations[Destination],0)),"?"))</f>
        <v/>
      </c>
      <c r="M3842" s="64">
        <f>IF(tblMovement[[#This Row],[Material]]="","",IF(LEFT(tblMovement[[#This Row],[Material]],3)="Ore",1,0))</f>
        <v/>
      </c>
      <c r="N3842" s="59">
        <f>IF(OR(tblMovement[[#This Row],[Tonnes_t]]="",tblMovement[[#This Row],[Grade_gpt]]=""),0,tblMovement[[#This Row],[Tonnes_t]]*tblMovement[[#This Row],[Grade_gpt]]/cfg_TroyOz)</f>
        <v/>
      </c>
      <c r="O3842" s="59">
        <f>IF(tblMovement[[#This Row],[Is_Ore]]=1,tblMovement[[#This Row],[Contained_oz]],0)</f>
        <v/>
      </c>
    </row>
    <row r="3843">
      <c r="A3843" s="54" t="n"/>
      <c r="B3843" s="61" t="n"/>
      <c r="C3843" s="61" t="n"/>
      <c r="D3843" s="61" t="n"/>
      <c r="E3843" s="61" t="n"/>
      <c r="F3843" s="55" t="n"/>
      <c r="G3843" s="56" t="n"/>
      <c r="H3843" s="55" t="n"/>
      <c r="I3843" s="62" t="n"/>
      <c r="J3843" s="58" t="n"/>
      <c r="K3843" s="63">
        <f>IF(tblMovement[[#This Row],[Source]]="","",IFERROR(INDEX(tblSources[Type],MATCH(tblMovement[[#This Row],[Source]],tblSources[Source],0)),"?"))</f>
        <v/>
      </c>
      <c r="L3843" s="63">
        <f>IF(tblMovement[[#This Row],[Destination]]="","",IFERROR(INDEX(tblDestinations[Type],MATCH(tblMovement[[#This Row],[Destination]],tblDestinations[Destination],0)),"?"))</f>
        <v/>
      </c>
      <c r="M3843" s="64">
        <f>IF(tblMovement[[#This Row],[Material]]="","",IF(LEFT(tblMovement[[#This Row],[Material]],3)="Ore",1,0))</f>
        <v/>
      </c>
      <c r="N3843" s="59">
        <f>IF(OR(tblMovement[[#This Row],[Tonnes_t]]="",tblMovement[[#This Row],[Grade_gpt]]=""),0,tblMovement[[#This Row],[Tonnes_t]]*tblMovement[[#This Row],[Grade_gpt]]/cfg_TroyOz)</f>
        <v/>
      </c>
      <c r="O3843" s="59">
        <f>IF(tblMovement[[#This Row],[Is_Ore]]=1,tblMovement[[#This Row],[Contained_oz]],0)</f>
        <v/>
      </c>
    </row>
    <row r="3844">
      <c r="A3844" s="54" t="n"/>
      <c r="B3844" s="61" t="n"/>
      <c r="C3844" s="61" t="n"/>
      <c r="D3844" s="61" t="n"/>
      <c r="E3844" s="61" t="n"/>
      <c r="F3844" s="55" t="n"/>
      <c r="G3844" s="56" t="n"/>
      <c r="H3844" s="55" t="n"/>
      <c r="I3844" s="62" t="n"/>
      <c r="J3844" s="58" t="n"/>
      <c r="K3844" s="63">
        <f>IF(tblMovement[[#This Row],[Source]]="","",IFERROR(INDEX(tblSources[Type],MATCH(tblMovement[[#This Row],[Source]],tblSources[Source],0)),"?"))</f>
        <v/>
      </c>
      <c r="L3844" s="63">
        <f>IF(tblMovement[[#This Row],[Destination]]="","",IFERROR(INDEX(tblDestinations[Type],MATCH(tblMovement[[#This Row],[Destination]],tblDestinations[Destination],0)),"?"))</f>
        <v/>
      </c>
      <c r="M3844" s="64">
        <f>IF(tblMovement[[#This Row],[Material]]="","",IF(LEFT(tblMovement[[#This Row],[Material]],3)="Ore",1,0))</f>
        <v/>
      </c>
      <c r="N3844" s="59">
        <f>IF(OR(tblMovement[[#This Row],[Tonnes_t]]="",tblMovement[[#This Row],[Grade_gpt]]=""),0,tblMovement[[#This Row],[Tonnes_t]]*tblMovement[[#This Row],[Grade_gpt]]/cfg_TroyOz)</f>
        <v/>
      </c>
      <c r="O3844" s="59">
        <f>IF(tblMovement[[#This Row],[Is_Ore]]=1,tblMovement[[#This Row],[Contained_oz]],0)</f>
        <v/>
      </c>
    </row>
    <row r="3845">
      <c r="A3845" s="54" t="n"/>
      <c r="B3845" s="61" t="n"/>
      <c r="C3845" s="61" t="n"/>
      <c r="D3845" s="61" t="n"/>
      <c r="E3845" s="61" t="n"/>
      <c r="F3845" s="55" t="n"/>
      <c r="G3845" s="56" t="n"/>
      <c r="H3845" s="55" t="n"/>
      <c r="I3845" s="62" t="n"/>
      <c r="J3845" s="58" t="n"/>
      <c r="K3845" s="63">
        <f>IF(tblMovement[[#This Row],[Source]]="","",IFERROR(INDEX(tblSources[Type],MATCH(tblMovement[[#This Row],[Source]],tblSources[Source],0)),"?"))</f>
        <v/>
      </c>
      <c r="L3845" s="63">
        <f>IF(tblMovement[[#This Row],[Destination]]="","",IFERROR(INDEX(tblDestinations[Type],MATCH(tblMovement[[#This Row],[Destination]],tblDestinations[Destination],0)),"?"))</f>
        <v/>
      </c>
      <c r="M3845" s="64">
        <f>IF(tblMovement[[#This Row],[Material]]="","",IF(LEFT(tblMovement[[#This Row],[Material]],3)="Ore",1,0))</f>
        <v/>
      </c>
      <c r="N3845" s="59">
        <f>IF(OR(tblMovement[[#This Row],[Tonnes_t]]="",tblMovement[[#This Row],[Grade_gpt]]=""),0,tblMovement[[#This Row],[Tonnes_t]]*tblMovement[[#This Row],[Grade_gpt]]/cfg_TroyOz)</f>
        <v/>
      </c>
      <c r="O3845" s="59">
        <f>IF(tblMovement[[#This Row],[Is_Ore]]=1,tblMovement[[#This Row],[Contained_oz]],0)</f>
        <v/>
      </c>
    </row>
    <row r="3846">
      <c r="A3846" s="54" t="n"/>
      <c r="B3846" s="61" t="n"/>
      <c r="C3846" s="61" t="n"/>
      <c r="D3846" s="61" t="n"/>
      <c r="E3846" s="61" t="n"/>
      <c r="F3846" s="55" t="n"/>
      <c r="G3846" s="56" t="n"/>
      <c r="H3846" s="55" t="n"/>
      <c r="I3846" s="62" t="n"/>
      <c r="J3846" s="58" t="n"/>
      <c r="K3846" s="63">
        <f>IF(tblMovement[[#This Row],[Source]]="","",IFERROR(INDEX(tblSources[Type],MATCH(tblMovement[[#This Row],[Source]],tblSources[Source],0)),"?"))</f>
        <v/>
      </c>
      <c r="L3846" s="63">
        <f>IF(tblMovement[[#This Row],[Destination]]="","",IFERROR(INDEX(tblDestinations[Type],MATCH(tblMovement[[#This Row],[Destination]],tblDestinations[Destination],0)),"?"))</f>
        <v/>
      </c>
      <c r="M3846" s="64">
        <f>IF(tblMovement[[#This Row],[Material]]="","",IF(LEFT(tblMovement[[#This Row],[Material]],3)="Ore",1,0))</f>
        <v/>
      </c>
      <c r="N3846" s="59">
        <f>IF(OR(tblMovement[[#This Row],[Tonnes_t]]="",tblMovement[[#This Row],[Grade_gpt]]=""),0,tblMovement[[#This Row],[Tonnes_t]]*tblMovement[[#This Row],[Grade_gpt]]/cfg_TroyOz)</f>
        <v/>
      </c>
      <c r="O3846" s="59">
        <f>IF(tblMovement[[#This Row],[Is_Ore]]=1,tblMovement[[#This Row],[Contained_oz]],0)</f>
        <v/>
      </c>
    </row>
    <row r="3847">
      <c r="A3847" s="54" t="n"/>
      <c r="B3847" s="61" t="n"/>
      <c r="C3847" s="61" t="n"/>
      <c r="D3847" s="61" t="n"/>
      <c r="E3847" s="61" t="n"/>
      <c r="F3847" s="55" t="n"/>
      <c r="G3847" s="56" t="n"/>
      <c r="H3847" s="55" t="n"/>
      <c r="I3847" s="62" t="n"/>
      <c r="J3847" s="58" t="n"/>
      <c r="K3847" s="63">
        <f>IF(tblMovement[[#This Row],[Source]]="","",IFERROR(INDEX(tblSources[Type],MATCH(tblMovement[[#This Row],[Source]],tblSources[Source],0)),"?"))</f>
        <v/>
      </c>
      <c r="L3847" s="63">
        <f>IF(tblMovement[[#This Row],[Destination]]="","",IFERROR(INDEX(tblDestinations[Type],MATCH(tblMovement[[#This Row],[Destination]],tblDestinations[Destination],0)),"?"))</f>
        <v/>
      </c>
      <c r="M3847" s="64">
        <f>IF(tblMovement[[#This Row],[Material]]="","",IF(LEFT(tblMovement[[#This Row],[Material]],3)="Ore",1,0))</f>
        <v/>
      </c>
      <c r="N3847" s="59">
        <f>IF(OR(tblMovement[[#This Row],[Tonnes_t]]="",tblMovement[[#This Row],[Grade_gpt]]=""),0,tblMovement[[#This Row],[Tonnes_t]]*tblMovement[[#This Row],[Grade_gpt]]/cfg_TroyOz)</f>
        <v/>
      </c>
      <c r="O3847" s="59">
        <f>IF(tblMovement[[#This Row],[Is_Ore]]=1,tblMovement[[#This Row],[Contained_oz]],0)</f>
        <v/>
      </c>
    </row>
    <row r="3848">
      <c r="A3848" s="54" t="n"/>
      <c r="B3848" s="61" t="n"/>
      <c r="C3848" s="61" t="n"/>
      <c r="D3848" s="61" t="n"/>
      <c r="E3848" s="61" t="n"/>
      <c r="F3848" s="55" t="n"/>
      <c r="G3848" s="56" t="n"/>
      <c r="H3848" s="55" t="n"/>
      <c r="I3848" s="62" t="n"/>
      <c r="J3848" s="58" t="n"/>
      <c r="K3848" s="63">
        <f>IF(tblMovement[[#This Row],[Source]]="","",IFERROR(INDEX(tblSources[Type],MATCH(tblMovement[[#This Row],[Source]],tblSources[Source],0)),"?"))</f>
        <v/>
      </c>
      <c r="L3848" s="63">
        <f>IF(tblMovement[[#This Row],[Destination]]="","",IFERROR(INDEX(tblDestinations[Type],MATCH(tblMovement[[#This Row],[Destination]],tblDestinations[Destination],0)),"?"))</f>
        <v/>
      </c>
      <c r="M3848" s="64">
        <f>IF(tblMovement[[#This Row],[Material]]="","",IF(LEFT(tblMovement[[#This Row],[Material]],3)="Ore",1,0))</f>
        <v/>
      </c>
      <c r="N3848" s="59">
        <f>IF(OR(tblMovement[[#This Row],[Tonnes_t]]="",tblMovement[[#This Row],[Grade_gpt]]=""),0,tblMovement[[#This Row],[Tonnes_t]]*tblMovement[[#This Row],[Grade_gpt]]/cfg_TroyOz)</f>
        <v/>
      </c>
      <c r="O3848" s="59">
        <f>IF(tblMovement[[#This Row],[Is_Ore]]=1,tblMovement[[#This Row],[Contained_oz]],0)</f>
        <v/>
      </c>
    </row>
    <row r="3849">
      <c r="A3849" s="54" t="n"/>
      <c r="B3849" s="61" t="n"/>
      <c r="C3849" s="61" t="n"/>
      <c r="D3849" s="61" t="n"/>
      <c r="E3849" s="61" t="n"/>
      <c r="F3849" s="55" t="n"/>
      <c r="G3849" s="56" t="n"/>
      <c r="H3849" s="55" t="n"/>
      <c r="I3849" s="62" t="n"/>
      <c r="J3849" s="58" t="n"/>
      <c r="K3849" s="63">
        <f>IF(tblMovement[[#This Row],[Source]]="","",IFERROR(INDEX(tblSources[Type],MATCH(tblMovement[[#This Row],[Source]],tblSources[Source],0)),"?"))</f>
        <v/>
      </c>
      <c r="L3849" s="63">
        <f>IF(tblMovement[[#This Row],[Destination]]="","",IFERROR(INDEX(tblDestinations[Type],MATCH(tblMovement[[#This Row],[Destination]],tblDestinations[Destination],0)),"?"))</f>
        <v/>
      </c>
      <c r="M3849" s="64">
        <f>IF(tblMovement[[#This Row],[Material]]="","",IF(LEFT(tblMovement[[#This Row],[Material]],3)="Ore",1,0))</f>
        <v/>
      </c>
      <c r="N3849" s="59">
        <f>IF(OR(tblMovement[[#This Row],[Tonnes_t]]="",tblMovement[[#This Row],[Grade_gpt]]=""),0,tblMovement[[#This Row],[Tonnes_t]]*tblMovement[[#This Row],[Grade_gpt]]/cfg_TroyOz)</f>
        <v/>
      </c>
      <c r="O3849" s="59">
        <f>IF(tblMovement[[#This Row],[Is_Ore]]=1,tblMovement[[#This Row],[Contained_oz]],0)</f>
        <v/>
      </c>
    </row>
    <row r="3850">
      <c r="A3850" s="54" t="n"/>
      <c r="B3850" s="61" t="n"/>
      <c r="C3850" s="61" t="n"/>
      <c r="D3850" s="61" t="n"/>
      <c r="E3850" s="61" t="n"/>
      <c r="F3850" s="55" t="n"/>
      <c r="G3850" s="56" t="n"/>
      <c r="H3850" s="55" t="n"/>
      <c r="I3850" s="62" t="n"/>
      <c r="J3850" s="58" t="n"/>
      <c r="K3850" s="63">
        <f>IF(tblMovement[[#This Row],[Source]]="","",IFERROR(INDEX(tblSources[Type],MATCH(tblMovement[[#This Row],[Source]],tblSources[Source],0)),"?"))</f>
        <v/>
      </c>
      <c r="L3850" s="63">
        <f>IF(tblMovement[[#This Row],[Destination]]="","",IFERROR(INDEX(tblDestinations[Type],MATCH(tblMovement[[#This Row],[Destination]],tblDestinations[Destination],0)),"?"))</f>
        <v/>
      </c>
      <c r="M3850" s="64">
        <f>IF(tblMovement[[#This Row],[Material]]="","",IF(LEFT(tblMovement[[#This Row],[Material]],3)="Ore",1,0))</f>
        <v/>
      </c>
      <c r="N3850" s="59">
        <f>IF(OR(tblMovement[[#This Row],[Tonnes_t]]="",tblMovement[[#This Row],[Grade_gpt]]=""),0,tblMovement[[#This Row],[Tonnes_t]]*tblMovement[[#This Row],[Grade_gpt]]/cfg_TroyOz)</f>
        <v/>
      </c>
      <c r="O3850" s="59">
        <f>IF(tblMovement[[#This Row],[Is_Ore]]=1,tblMovement[[#This Row],[Contained_oz]],0)</f>
        <v/>
      </c>
    </row>
    <row r="3851">
      <c r="A3851" s="54" t="n"/>
      <c r="B3851" s="61" t="n"/>
      <c r="C3851" s="61" t="n"/>
      <c r="D3851" s="61" t="n"/>
      <c r="E3851" s="61" t="n"/>
      <c r="F3851" s="55" t="n"/>
      <c r="G3851" s="56" t="n"/>
      <c r="H3851" s="55" t="n"/>
      <c r="I3851" s="62" t="n"/>
      <c r="J3851" s="58" t="n"/>
      <c r="K3851" s="63">
        <f>IF(tblMovement[[#This Row],[Source]]="","",IFERROR(INDEX(tblSources[Type],MATCH(tblMovement[[#This Row],[Source]],tblSources[Source],0)),"?"))</f>
        <v/>
      </c>
      <c r="L3851" s="63">
        <f>IF(tblMovement[[#This Row],[Destination]]="","",IFERROR(INDEX(tblDestinations[Type],MATCH(tblMovement[[#This Row],[Destination]],tblDestinations[Destination],0)),"?"))</f>
        <v/>
      </c>
      <c r="M3851" s="64">
        <f>IF(tblMovement[[#This Row],[Material]]="","",IF(LEFT(tblMovement[[#This Row],[Material]],3)="Ore",1,0))</f>
        <v/>
      </c>
      <c r="N3851" s="59">
        <f>IF(OR(tblMovement[[#This Row],[Tonnes_t]]="",tblMovement[[#This Row],[Grade_gpt]]=""),0,tblMovement[[#This Row],[Tonnes_t]]*tblMovement[[#This Row],[Grade_gpt]]/cfg_TroyOz)</f>
        <v/>
      </c>
      <c r="O3851" s="59">
        <f>IF(tblMovement[[#This Row],[Is_Ore]]=1,tblMovement[[#This Row],[Contained_oz]],0)</f>
        <v/>
      </c>
    </row>
    <row r="3852">
      <c r="A3852" s="54" t="n"/>
      <c r="B3852" s="61" t="n"/>
      <c r="C3852" s="61" t="n"/>
      <c r="D3852" s="61" t="n"/>
      <c r="E3852" s="61" t="n"/>
      <c r="F3852" s="55" t="n"/>
      <c r="G3852" s="56" t="n"/>
      <c r="H3852" s="55" t="n"/>
      <c r="I3852" s="62" t="n"/>
      <c r="J3852" s="58" t="n"/>
      <c r="K3852" s="63">
        <f>IF(tblMovement[[#This Row],[Source]]="","",IFERROR(INDEX(tblSources[Type],MATCH(tblMovement[[#This Row],[Source]],tblSources[Source],0)),"?"))</f>
        <v/>
      </c>
      <c r="L3852" s="63">
        <f>IF(tblMovement[[#This Row],[Destination]]="","",IFERROR(INDEX(tblDestinations[Type],MATCH(tblMovement[[#This Row],[Destination]],tblDestinations[Destination],0)),"?"))</f>
        <v/>
      </c>
      <c r="M3852" s="64">
        <f>IF(tblMovement[[#This Row],[Material]]="","",IF(LEFT(tblMovement[[#This Row],[Material]],3)="Ore",1,0))</f>
        <v/>
      </c>
      <c r="N3852" s="59">
        <f>IF(OR(tblMovement[[#This Row],[Tonnes_t]]="",tblMovement[[#This Row],[Grade_gpt]]=""),0,tblMovement[[#This Row],[Tonnes_t]]*tblMovement[[#This Row],[Grade_gpt]]/cfg_TroyOz)</f>
        <v/>
      </c>
      <c r="O3852" s="59">
        <f>IF(tblMovement[[#This Row],[Is_Ore]]=1,tblMovement[[#This Row],[Contained_oz]],0)</f>
        <v/>
      </c>
    </row>
    <row r="3853">
      <c r="A3853" s="54" t="n"/>
      <c r="B3853" s="61" t="n"/>
      <c r="C3853" s="61" t="n"/>
      <c r="D3853" s="61" t="n"/>
      <c r="E3853" s="61" t="n"/>
      <c r="F3853" s="55" t="n"/>
      <c r="G3853" s="56" t="n"/>
      <c r="H3853" s="55" t="n"/>
      <c r="I3853" s="62" t="n"/>
      <c r="J3853" s="58" t="n"/>
      <c r="K3853" s="63">
        <f>IF(tblMovement[[#This Row],[Source]]="","",IFERROR(INDEX(tblSources[Type],MATCH(tblMovement[[#This Row],[Source]],tblSources[Source],0)),"?"))</f>
        <v/>
      </c>
      <c r="L3853" s="63">
        <f>IF(tblMovement[[#This Row],[Destination]]="","",IFERROR(INDEX(tblDestinations[Type],MATCH(tblMovement[[#This Row],[Destination]],tblDestinations[Destination],0)),"?"))</f>
        <v/>
      </c>
      <c r="M3853" s="64">
        <f>IF(tblMovement[[#This Row],[Material]]="","",IF(LEFT(tblMovement[[#This Row],[Material]],3)="Ore",1,0))</f>
        <v/>
      </c>
      <c r="N3853" s="59">
        <f>IF(OR(tblMovement[[#This Row],[Tonnes_t]]="",tblMovement[[#This Row],[Grade_gpt]]=""),0,tblMovement[[#This Row],[Tonnes_t]]*tblMovement[[#This Row],[Grade_gpt]]/cfg_TroyOz)</f>
        <v/>
      </c>
      <c r="O3853" s="59">
        <f>IF(tblMovement[[#This Row],[Is_Ore]]=1,tblMovement[[#This Row],[Contained_oz]],0)</f>
        <v/>
      </c>
    </row>
    <row r="3854">
      <c r="A3854" s="54" t="n"/>
      <c r="B3854" s="61" t="n"/>
      <c r="C3854" s="61" t="n"/>
      <c r="D3854" s="61" t="n"/>
      <c r="E3854" s="61" t="n"/>
      <c r="F3854" s="55" t="n"/>
      <c r="G3854" s="56" t="n"/>
      <c r="H3854" s="55" t="n"/>
      <c r="I3854" s="62" t="n"/>
      <c r="J3854" s="58" t="n"/>
      <c r="K3854" s="63">
        <f>IF(tblMovement[[#This Row],[Source]]="","",IFERROR(INDEX(tblSources[Type],MATCH(tblMovement[[#This Row],[Source]],tblSources[Source],0)),"?"))</f>
        <v/>
      </c>
      <c r="L3854" s="63">
        <f>IF(tblMovement[[#This Row],[Destination]]="","",IFERROR(INDEX(tblDestinations[Type],MATCH(tblMovement[[#This Row],[Destination]],tblDestinations[Destination],0)),"?"))</f>
        <v/>
      </c>
      <c r="M3854" s="64">
        <f>IF(tblMovement[[#This Row],[Material]]="","",IF(LEFT(tblMovement[[#This Row],[Material]],3)="Ore",1,0))</f>
        <v/>
      </c>
      <c r="N3854" s="59">
        <f>IF(OR(tblMovement[[#This Row],[Tonnes_t]]="",tblMovement[[#This Row],[Grade_gpt]]=""),0,tblMovement[[#This Row],[Tonnes_t]]*tblMovement[[#This Row],[Grade_gpt]]/cfg_TroyOz)</f>
        <v/>
      </c>
      <c r="O3854" s="59">
        <f>IF(tblMovement[[#This Row],[Is_Ore]]=1,tblMovement[[#This Row],[Contained_oz]],0)</f>
        <v/>
      </c>
    </row>
    <row r="3855">
      <c r="A3855" s="54" t="n"/>
      <c r="B3855" s="61" t="n"/>
      <c r="C3855" s="61" t="n"/>
      <c r="D3855" s="61" t="n"/>
      <c r="E3855" s="61" t="n"/>
      <c r="F3855" s="55" t="n"/>
      <c r="G3855" s="56" t="n"/>
      <c r="H3855" s="55" t="n"/>
      <c r="I3855" s="62" t="n"/>
      <c r="J3855" s="58" t="n"/>
      <c r="K3855" s="63">
        <f>IF(tblMovement[[#This Row],[Source]]="","",IFERROR(INDEX(tblSources[Type],MATCH(tblMovement[[#This Row],[Source]],tblSources[Source],0)),"?"))</f>
        <v/>
      </c>
      <c r="L3855" s="63">
        <f>IF(tblMovement[[#This Row],[Destination]]="","",IFERROR(INDEX(tblDestinations[Type],MATCH(tblMovement[[#This Row],[Destination]],tblDestinations[Destination],0)),"?"))</f>
        <v/>
      </c>
      <c r="M3855" s="64">
        <f>IF(tblMovement[[#This Row],[Material]]="","",IF(LEFT(tblMovement[[#This Row],[Material]],3)="Ore",1,0))</f>
        <v/>
      </c>
      <c r="N3855" s="59">
        <f>IF(OR(tblMovement[[#This Row],[Tonnes_t]]="",tblMovement[[#This Row],[Grade_gpt]]=""),0,tblMovement[[#This Row],[Tonnes_t]]*tblMovement[[#This Row],[Grade_gpt]]/cfg_TroyOz)</f>
        <v/>
      </c>
      <c r="O3855" s="59">
        <f>IF(tblMovement[[#This Row],[Is_Ore]]=1,tblMovement[[#This Row],[Contained_oz]],0)</f>
        <v/>
      </c>
    </row>
    <row r="3856">
      <c r="A3856" s="54" t="n"/>
      <c r="B3856" s="61" t="n"/>
      <c r="C3856" s="61" t="n"/>
      <c r="D3856" s="61" t="n"/>
      <c r="E3856" s="61" t="n"/>
      <c r="F3856" s="55" t="n"/>
      <c r="G3856" s="56" t="n"/>
      <c r="H3856" s="55" t="n"/>
      <c r="I3856" s="62" t="n"/>
      <c r="J3856" s="58" t="n"/>
      <c r="K3856" s="63">
        <f>IF(tblMovement[[#This Row],[Source]]="","",IFERROR(INDEX(tblSources[Type],MATCH(tblMovement[[#This Row],[Source]],tblSources[Source],0)),"?"))</f>
        <v/>
      </c>
      <c r="L3856" s="63">
        <f>IF(tblMovement[[#This Row],[Destination]]="","",IFERROR(INDEX(tblDestinations[Type],MATCH(tblMovement[[#This Row],[Destination]],tblDestinations[Destination],0)),"?"))</f>
        <v/>
      </c>
      <c r="M3856" s="64">
        <f>IF(tblMovement[[#This Row],[Material]]="","",IF(LEFT(tblMovement[[#This Row],[Material]],3)="Ore",1,0))</f>
        <v/>
      </c>
      <c r="N3856" s="59">
        <f>IF(OR(tblMovement[[#This Row],[Tonnes_t]]="",tblMovement[[#This Row],[Grade_gpt]]=""),0,tblMovement[[#This Row],[Tonnes_t]]*tblMovement[[#This Row],[Grade_gpt]]/cfg_TroyOz)</f>
        <v/>
      </c>
      <c r="O3856" s="59">
        <f>IF(tblMovement[[#This Row],[Is_Ore]]=1,tblMovement[[#This Row],[Contained_oz]],0)</f>
        <v/>
      </c>
    </row>
    <row r="3857">
      <c r="A3857" s="54" t="n"/>
      <c r="B3857" s="61" t="n"/>
      <c r="C3857" s="61" t="n"/>
      <c r="D3857" s="61" t="n"/>
      <c r="E3857" s="61" t="n"/>
      <c r="F3857" s="55" t="n"/>
      <c r="G3857" s="56" t="n"/>
      <c r="H3857" s="55" t="n"/>
      <c r="I3857" s="62" t="n"/>
      <c r="J3857" s="58" t="n"/>
      <c r="K3857" s="63">
        <f>IF(tblMovement[[#This Row],[Source]]="","",IFERROR(INDEX(tblSources[Type],MATCH(tblMovement[[#This Row],[Source]],tblSources[Source],0)),"?"))</f>
        <v/>
      </c>
      <c r="L3857" s="63">
        <f>IF(tblMovement[[#This Row],[Destination]]="","",IFERROR(INDEX(tblDestinations[Type],MATCH(tblMovement[[#This Row],[Destination]],tblDestinations[Destination],0)),"?"))</f>
        <v/>
      </c>
      <c r="M3857" s="64">
        <f>IF(tblMovement[[#This Row],[Material]]="","",IF(LEFT(tblMovement[[#This Row],[Material]],3)="Ore",1,0))</f>
        <v/>
      </c>
      <c r="N3857" s="59">
        <f>IF(OR(tblMovement[[#This Row],[Tonnes_t]]="",tblMovement[[#This Row],[Grade_gpt]]=""),0,tblMovement[[#This Row],[Tonnes_t]]*tblMovement[[#This Row],[Grade_gpt]]/cfg_TroyOz)</f>
        <v/>
      </c>
      <c r="O3857" s="59">
        <f>IF(tblMovement[[#This Row],[Is_Ore]]=1,tblMovement[[#This Row],[Contained_oz]],0)</f>
        <v/>
      </c>
    </row>
    <row r="3858">
      <c r="A3858" s="54" t="n"/>
      <c r="B3858" s="61" t="n"/>
      <c r="C3858" s="61" t="n"/>
      <c r="D3858" s="61" t="n"/>
      <c r="E3858" s="61" t="n"/>
      <c r="F3858" s="55" t="n"/>
      <c r="G3858" s="56" t="n"/>
      <c r="H3858" s="55" t="n"/>
      <c r="I3858" s="62" t="n"/>
      <c r="J3858" s="58" t="n"/>
      <c r="K3858" s="63">
        <f>IF(tblMovement[[#This Row],[Source]]="","",IFERROR(INDEX(tblSources[Type],MATCH(tblMovement[[#This Row],[Source]],tblSources[Source],0)),"?"))</f>
        <v/>
      </c>
      <c r="L3858" s="63">
        <f>IF(tblMovement[[#This Row],[Destination]]="","",IFERROR(INDEX(tblDestinations[Type],MATCH(tblMovement[[#This Row],[Destination]],tblDestinations[Destination],0)),"?"))</f>
        <v/>
      </c>
      <c r="M3858" s="64">
        <f>IF(tblMovement[[#This Row],[Material]]="","",IF(LEFT(tblMovement[[#This Row],[Material]],3)="Ore",1,0))</f>
        <v/>
      </c>
      <c r="N3858" s="59">
        <f>IF(OR(tblMovement[[#This Row],[Tonnes_t]]="",tblMovement[[#This Row],[Grade_gpt]]=""),0,tblMovement[[#This Row],[Tonnes_t]]*tblMovement[[#This Row],[Grade_gpt]]/cfg_TroyOz)</f>
        <v/>
      </c>
      <c r="O3858" s="59">
        <f>IF(tblMovement[[#This Row],[Is_Ore]]=1,tblMovement[[#This Row],[Contained_oz]],0)</f>
        <v/>
      </c>
    </row>
    <row r="3859">
      <c r="A3859" s="54" t="n"/>
      <c r="B3859" s="61" t="n"/>
      <c r="C3859" s="61" t="n"/>
      <c r="D3859" s="61" t="n"/>
      <c r="E3859" s="61" t="n"/>
      <c r="F3859" s="55" t="n"/>
      <c r="G3859" s="56" t="n"/>
      <c r="H3859" s="55" t="n"/>
      <c r="I3859" s="62" t="n"/>
      <c r="J3859" s="58" t="n"/>
      <c r="K3859" s="63">
        <f>IF(tblMovement[[#This Row],[Source]]="","",IFERROR(INDEX(tblSources[Type],MATCH(tblMovement[[#This Row],[Source]],tblSources[Source],0)),"?"))</f>
        <v/>
      </c>
      <c r="L3859" s="63">
        <f>IF(tblMovement[[#This Row],[Destination]]="","",IFERROR(INDEX(tblDestinations[Type],MATCH(tblMovement[[#This Row],[Destination]],tblDestinations[Destination],0)),"?"))</f>
        <v/>
      </c>
      <c r="M3859" s="64">
        <f>IF(tblMovement[[#This Row],[Material]]="","",IF(LEFT(tblMovement[[#This Row],[Material]],3)="Ore",1,0))</f>
        <v/>
      </c>
      <c r="N3859" s="59">
        <f>IF(OR(tblMovement[[#This Row],[Tonnes_t]]="",tblMovement[[#This Row],[Grade_gpt]]=""),0,tblMovement[[#This Row],[Tonnes_t]]*tblMovement[[#This Row],[Grade_gpt]]/cfg_TroyOz)</f>
        <v/>
      </c>
      <c r="O3859" s="59">
        <f>IF(tblMovement[[#This Row],[Is_Ore]]=1,tblMovement[[#This Row],[Contained_oz]],0)</f>
        <v/>
      </c>
    </row>
    <row r="3860">
      <c r="A3860" s="54" t="n"/>
      <c r="B3860" s="61" t="n"/>
      <c r="C3860" s="61" t="n"/>
      <c r="D3860" s="61" t="n"/>
      <c r="E3860" s="61" t="n"/>
      <c r="F3860" s="55" t="n"/>
      <c r="G3860" s="56" t="n"/>
      <c r="H3860" s="55" t="n"/>
      <c r="I3860" s="62" t="n"/>
      <c r="J3860" s="58" t="n"/>
      <c r="K3860" s="63">
        <f>IF(tblMovement[[#This Row],[Source]]="","",IFERROR(INDEX(tblSources[Type],MATCH(tblMovement[[#This Row],[Source]],tblSources[Source],0)),"?"))</f>
        <v/>
      </c>
      <c r="L3860" s="63">
        <f>IF(tblMovement[[#This Row],[Destination]]="","",IFERROR(INDEX(tblDestinations[Type],MATCH(tblMovement[[#This Row],[Destination]],tblDestinations[Destination],0)),"?"))</f>
        <v/>
      </c>
      <c r="M3860" s="64">
        <f>IF(tblMovement[[#This Row],[Material]]="","",IF(LEFT(tblMovement[[#This Row],[Material]],3)="Ore",1,0))</f>
        <v/>
      </c>
      <c r="N3860" s="59">
        <f>IF(OR(tblMovement[[#This Row],[Tonnes_t]]="",tblMovement[[#This Row],[Grade_gpt]]=""),0,tblMovement[[#This Row],[Tonnes_t]]*tblMovement[[#This Row],[Grade_gpt]]/cfg_TroyOz)</f>
        <v/>
      </c>
      <c r="O3860" s="59">
        <f>IF(tblMovement[[#This Row],[Is_Ore]]=1,tblMovement[[#This Row],[Contained_oz]],0)</f>
        <v/>
      </c>
    </row>
    <row r="3861">
      <c r="A3861" s="54" t="n"/>
      <c r="B3861" s="61" t="n"/>
      <c r="C3861" s="61" t="n"/>
      <c r="D3861" s="61" t="n"/>
      <c r="E3861" s="61" t="n"/>
      <c r="F3861" s="55" t="n"/>
      <c r="G3861" s="56" t="n"/>
      <c r="H3861" s="55" t="n"/>
      <c r="I3861" s="62" t="n"/>
      <c r="J3861" s="58" t="n"/>
      <c r="K3861" s="63">
        <f>IF(tblMovement[[#This Row],[Source]]="","",IFERROR(INDEX(tblSources[Type],MATCH(tblMovement[[#This Row],[Source]],tblSources[Source],0)),"?"))</f>
        <v/>
      </c>
      <c r="L3861" s="63">
        <f>IF(tblMovement[[#This Row],[Destination]]="","",IFERROR(INDEX(tblDestinations[Type],MATCH(tblMovement[[#This Row],[Destination]],tblDestinations[Destination],0)),"?"))</f>
        <v/>
      </c>
      <c r="M3861" s="64">
        <f>IF(tblMovement[[#This Row],[Material]]="","",IF(LEFT(tblMovement[[#This Row],[Material]],3)="Ore",1,0))</f>
        <v/>
      </c>
      <c r="N3861" s="59">
        <f>IF(OR(tblMovement[[#This Row],[Tonnes_t]]="",tblMovement[[#This Row],[Grade_gpt]]=""),0,tblMovement[[#This Row],[Tonnes_t]]*tblMovement[[#This Row],[Grade_gpt]]/cfg_TroyOz)</f>
        <v/>
      </c>
      <c r="O3861" s="59">
        <f>IF(tblMovement[[#This Row],[Is_Ore]]=1,tblMovement[[#This Row],[Contained_oz]],0)</f>
        <v/>
      </c>
    </row>
    <row r="3862">
      <c r="A3862" s="54" t="n"/>
      <c r="B3862" s="61" t="n"/>
      <c r="C3862" s="61" t="n"/>
      <c r="D3862" s="61" t="n"/>
      <c r="E3862" s="61" t="n"/>
      <c r="F3862" s="55" t="n"/>
      <c r="G3862" s="56" t="n"/>
      <c r="H3862" s="55" t="n"/>
      <c r="I3862" s="62" t="n"/>
      <c r="J3862" s="58" t="n"/>
      <c r="K3862" s="63">
        <f>IF(tblMovement[[#This Row],[Source]]="","",IFERROR(INDEX(tblSources[Type],MATCH(tblMovement[[#This Row],[Source]],tblSources[Source],0)),"?"))</f>
        <v/>
      </c>
      <c r="L3862" s="63">
        <f>IF(tblMovement[[#This Row],[Destination]]="","",IFERROR(INDEX(tblDestinations[Type],MATCH(tblMovement[[#This Row],[Destination]],tblDestinations[Destination],0)),"?"))</f>
        <v/>
      </c>
      <c r="M3862" s="64">
        <f>IF(tblMovement[[#This Row],[Material]]="","",IF(LEFT(tblMovement[[#This Row],[Material]],3)="Ore",1,0))</f>
        <v/>
      </c>
      <c r="N3862" s="59">
        <f>IF(OR(tblMovement[[#This Row],[Tonnes_t]]="",tblMovement[[#This Row],[Grade_gpt]]=""),0,tblMovement[[#This Row],[Tonnes_t]]*tblMovement[[#This Row],[Grade_gpt]]/cfg_TroyOz)</f>
        <v/>
      </c>
      <c r="O3862" s="59">
        <f>IF(tblMovement[[#This Row],[Is_Ore]]=1,tblMovement[[#This Row],[Contained_oz]],0)</f>
        <v/>
      </c>
    </row>
    <row r="3863">
      <c r="A3863" s="54" t="n"/>
      <c r="B3863" s="61" t="n"/>
      <c r="C3863" s="61" t="n"/>
      <c r="D3863" s="61" t="n"/>
      <c r="E3863" s="61" t="n"/>
      <c r="F3863" s="55" t="n"/>
      <c r="G3863" s="56" t="n"/>
      <c r="H3863" s="55" t="n"/>
      <c r="I3863" s="62" t="n"/>
      <c r="J3863" s="58" t="n"/>
      <c r="K3863" s="63">
        <f>IF(tblMovement[[#This Row],[Source]]="","",IFERROR(INDEX(tblSources[Type],MATCH(tblMovement[[#This Row],[Source]],tblSources[Source],0)),"?"))</f>
        <v/>
      </c>
      <c r="L3863" s="63">
        <f>IF(tblMovement[[#This Row],[Destination]]="","",IFERROR(INDEX(tblDestinations[Type],MATCH(tblMovement[[#This Row],[Destination]],tblDestinations[Destination],0)),"?"))</f>
        <v/>
      </c>
      <c r="M3863" s="64">
        <f>IF(tblMovement[[#This Row],[Material]]="","",IF(LEFT(tblMovement[[#This Row],[Material]],3)="Ore",1,0))</f>
        <v/>
      </c>
      <c r="N3863" s="59">
        <f>IF(OR(tblMovement[[#This Row],[Tonnes_t]]="",tblMovement[[#This Row],[Grade_gpt]]=""),0,tblMovement[[#This Row],[Tonnes_t]]*tblMovement[[#This Row],[Grade_gpt]]/cfg_TroyOz)</f>
        <v/>
      </c>
      <c r="O3863" s="59">
        <f>IF(tblMovement[[#This Row],[Is_Ore]]=1,tblMovement[[#This Row],[Contained_oz]],0)</f>
        <v/>
      </c>
    </row>
    <row r="3864">
      <c r="A3864" s="54" t="n"/>
      <c r="B3864" s="61" t="n"/>
      <c r="C3864" s="61" t="n"/>
      <c r="D3864" s="61" t="n"/>
      <c r="E3864" s="61" t="n"/>
      <c r="F3864" s="55" t="n"/>
      <c r="G3864" s="56" t="n"/>
      <c r="H3864" s="55" t="n"/>
      <c r="I3864" s="62" t="n"/>
      <c r="J3864" s="58" t="n"/>
      <c r="K3864" s="63">
        <f>IF(tblMovement[[#This Row],[Source]]="","",IFERROR(INDEX(tblSources[Type],MATCH(tblMovement[[#This Row],[Source]],tblSources[Source],0)),"?"))</f>
        <v/>
      </c>
      <c r="L3864" s="63">
        <f>IF(tblMovement[[#This Row],[Destination]]="","",IFERROR(INDEX(tblDestinations[Type],MATCH(tblMovement[[#This Row],[Destination]],tblDestinations[Destination],0)),"?"))</f>
        <v/>
      </c>
      <c r="M3864" s="64">
        <f>IF(tblMovement[[#This Row],[Material]]="","",IF(LEFT(tblMovement[[#This Row],[Material]],3)="Ore",1,0))</f>
        <v/>
      </c>
      <c r="N3864" s="59">
        <f>IF(OR(tblMovement[[#This Row],[Tonnes_t]]="",tblMovement[[#This Row],[Grade_gpt]]=""),0,tblMovement[[#This Row],[Tonnes_t]]*tblMovement[[#This Row],[Grade_gpt]]/cfg_TroyOz)</f>
        <v/>
      </c>
      <c r="O3864" s="59">
        <f>IF(tblMovement[[#This Row],[Is_Ore]]=1,tblMovement[[#This Row],[Contained_oz]],0)</f>
        <v/>
      </c>
    </row>
    <row r="3865">
      <c r="A3865" s="54" t="n"/>
      <c r="B3865" s="61" t="n"/>
      <c r="C3865" s="61" t="n"/>
      <c r="D3865" s="61" t="n"/>
      <c r="E3865" s="61" t="n"/>
      <c r="F3865" s="55" t="n"/>
      <c r="G3865" s="56" t="n"/>
      <c r="H3865" s="55" t="n"/>
      <c r="I3865" s="62" t="n"/>
      <c r="J3865" s="58" t="n"/>
      <c r="K3865" s="63">
        <f>IF(tblMovement[[#This Row],[Source]]="","",IFERROR(INDEX(tblSources[Type],MATCH(tblMovement[[#This Row],[Source]],tblSources[Source],0)),"?"))</f>
        <v/>
      </c>
      <c r="L3865" s="63">
        <f>IF(tblMovement[[#This Row],[Destination]]="","",IFERROR(INDEX(tblDestinations[Type],MATCH(tblMovement[[#This Row],[Destination]],tblDestinations[Destination],0)),"?"))</f>
        <v/>
      </c>
      <c r="M3865" s="64">
        <f>IF(tblMovement[[#This Row],[Material]]="","",IF(LEFT(tblMovement[[#This Row],[Material]],3)="Ore",1,0))</f>
        <v/>
      </c>
      <c r="N3865" s="59">
        <f>IF(OR(tblMovement[[#This Row],[Tonnes_t]]="",tblMovement[[#This Row],[Grade_gpt]]=""),0,tblMovement[[#This Row],[Tonnes_t]]*tblMovement[[#This Row],[Grade_gpt]]/cfg_TroyOz)</f>
        <v/>
      </c>
      <c r="O3865" s="59">
        <f>IF(tblMovement[[#This Row],[Is_Ore]]=1,tblMovement[[#This Row],[Contained_oz]],0)</f>
        <v/>
      </c>
    </row>
    <row r="3866">
      <c r="A3866" s="54" t="n"/>
      <c r="B3866" s="61" t="n"/>
      <c r="C3866" s="61" t="n"/>
      <c r="D3866" s="61" t="n"/>
      <c r="E3866" s="61" t="n"/>
      <c r="F3866" s="55" t="n"/>
      <c r="G3866" s="56" t="n"/>
      <c r="H3866" s="55" t="n"/>
      <c r="I3866" s="62" t="n"/>
      <c r="J3866" s="58" t="n"/>
      <c r="K3866" s="63">
        <f>IF(tblMovement[[#This Row],[Source]]="","",IFERROR(INDEX(tblSources[Type],MATCH(tblMovement[[#This Row],[Source]],tblSources[Source],0)),"?"))</f>
        <v/>
      </c>
      <c r="L3866" s="63">
        <f>IF(tblMovement[[#This Row],[Destination]]="","",IFERROR(INDEX(tblDestinations[Type],MATCH(tblMovement[[#This Row],[Destination]],tblDestinations[Destination],0)),"?"))</f>
        <v/>
      </c>
      <c r="M3866" s="64">
        <f>IF(tblMovement[[#This Row],[Material]]="","",IF(LEFT(tblMovement[[#This Row],[Material]],3)="Ore",1,0))</f>
        <v/>
      </c>
      <c r="N3866" s="59">
        <f>IF(OR(tblMovement[[#This Row],[Tonnes_t]]="",tblMovement[[#This Row],[Grade_gpt]]=""),0,tblMovement[[#This Row],[Tonnes_t]]*tblMovement[[#This Row],[Grade_gpt]]/cfg_TroyOz)</f>
        <v/>
      </c>
      <c r="O3866" s="59">
        <f>IF(tblMovement[[#This Row],[Is_Ore]]=1,tblMovement[[#This Row],[Contained_oz]],0)</f>
        <v/>
      </c>
    </row>
    <row r="3867">
      <c r="A3867" s="54" t="n"/>
      <c r="B3867" s="61" t="n"/>
      <c r="C3867" s="61" t="n"/>
      <c r="D3867" s="61" t="n"/>
      <c r="E3867" s="61" t="n"/>
      <c r="F3867" s="55" t="n"/>
      <c r="G3867" s="56" t="n"/>
      <c r="H3867" s="55" t="n"/>
      <c r="I3867" s="62" t="n"/>
      <c r="J3867" s="58" t="n"/>
      <c r="K3867" s="63">
        <f>IF(tblMovement[[#This Row],[Source]]="","",IFERROR(INDEX(tblSources[Type],MATCH(tblMovement[[#This Row],[Source]],tblSources[Source],0)),"?"))</f>
        <v/>
      </c>
      <c r="L3867" s="63">
        <f>IF(tblMovement[[#This Row],[Destination]]="","",IFERROR(INDEX(tblDestinations[Type],MATCH(tblMovement[[#This Row],[Destination]],tblDestinations[Destination],0)),"?"))</f>
        <v/>
      </c>
      <c r="M3867" s="64">
        <f>IF(tblMovement[[#This Row],[Material]]="","",IF(LEFT(tblMovement[[#This Row],[Material]],3)="Ore",1,0))</f>
        <v/>
      </c>
      <c r="N3867" s="59">
        <f>IF(OR(tblMovement[[#This Row],[Tonnes_t]]="",tblMovement[[#This Row],[Grade_gpt]]=""),0,tblMovement[[#This Row],[Tonnes_t]]*tblMovement[[#This Row],[Grade_gpt]]/cfg_TroyOz)</f>
        <v/>
      </c>
      <c r="O3867" s="59">
        <f>IF(tblMovement[[#This Row],[Is_Ore]]=1,tblMovement[[#This Row],[Contained_oz]],0)</f>
        <v/>
      </c>
    </row>
    <row r="3868">
      <c r="A3868" s="54" t="n"/>
      <c r="B3868" s="61" t="n"/>
      <c r="C3868" s="61" t="n"/>
      <c r="D3868" s="61" t="n"/>
      <c r="E3868" s="61" t="n"/>
      <c r="F3868" s="55" t="n"/>
      <c r="G3868" s="56" t="n"/>
      <c r="H3868" s="55" t="n"/>
      <c r="I3868" s="62" t="n"/>
      <c r="J3868" s="58" t="n"/>
      <c r="K3868" s="63">
        <f>IF(tblMovement[[#This Row],[Source]]="","",IFERROR(INDEX(tblSources[Type],MATCH(tblMovement[[#This Row],[Source]],tblSources[Source],0)),"?"))</f>
        <v/>
      </c>
      <c r="L3868" s="63">
        <f>IF(tblMovement[[#This Row],[Destination]]="","",IFERROR(INDEX(tblDestinations[Type],MATCH(tblMovement[[#This Row],[Destination]],tblDestinations[Destination],0)),"?"))</f>
        <v/>
      </c>
      <c r="M3868" s="64">
        <f>IF(tblMovement[[#This Row],[Material]]="","",IF(LEFT(tblMovement[[#This Row],[Material]],3)="Ore",1,0))</f>
        <v/>
      </c>
      <c r="N3868" s="59">
        <f>IF(OR(tblMovement[[#This Row],[Tonnes_t]]="",tblMovement[[#This Row],[Grade_gpt]]=""),0,tblMovement[[#This Row],[Tonnes_t]]*tblMovement[[#This Row],[Grade_gpt]]/cfg_TroyOz)</f>
        <v/>
      </c>
      <c r="O3868" s="59">
        <f>IF(tblMovement[[#This Row],[Is_Ore]]=1,tblMovement[[#This Row],[Contained_oz]],0)</f>
        <v/>
      </c>
    </row>
    <row r="3869">
      <c r="A3869" s="54" t="n"/>
      <c r="B3869" s="61" t="n"/>
      <c r="C3869" s="61" t="n"/>
      <c r="D3869" s="61" t="n"/>
      <c r="E3869" s="61" t="n"/>
      <c r="F3869" s="55" t="n"/>
      <c r="G3869" s="56" t="n"/>
      <c r="H3869" s="55" t="n"/>
      <c r="I3869" s="62" t="n"/>
      <c r="J3869" s="58" t="n"/>
      <c r="K3869" s="63">
        <f>IF(tblMovement[[#This Row],[Source]]="","",IFERROR(INDEX(tblSources[Type],MATCH(tblMovement[[#This Row],[Source]],tblSources[Source],0)),"?"))</f>
        <v/>
      </c>
      <c r="L3869" s="63">
        <f>IF(tblMovement[[#This Row],[Destination]]="","",IFERROR(INDEX(tblDestinations[Type],MATCH(tblMovement[[#This Row],[Destination]],tblDestinations[Destination],0)),"?"))</f>
        <v/>
      </c>
      <c r="M3869" s="64">
        <f>IF(tblMovement[[#This Row],[Material]]="","",IF(LEFT(tblMovement[[#This Row],[Material]],3)="Ore",1,0))</f>
        <v/>
      </c>
      <c r="N3869" s="59">
        <f>IF(OR(tblMovement[[#This Row],[Tonnes_t]]="",tblMovement[[#This Row],[Grade_gpt]]=""),0,tblMovement[[#This Row],[Tonnes_t]]*tblMovement[[#This Row],[Grade_gpt]]/cfg_TroyOz)</f>
        <v/>
      </c>
      <c r="O3869" s="59">
        <f>IF(tblMovement[[#This Row],[Is_Ore]]=1,tblMovement[[#This Row],[Contained_oz]],0)</f>
        <v/>
      </c>
    </row>
    <row r="3870">
      <c r="A3870" s="54" t="n"/>
      <c r="B3870" s="61" t="n"/>
      <c r="C3870" s="61" t="n"/>
      <c r="D3870" s="61" t="n"/>
      <c r="E3870" s="61" t="n"/>
      <c r="F3870" s="55" t="n"/>
      <c r="G3870" s="56" t="n"/>
      <c r="H3870" s="55" t="n"/>
      <c r="I3870" s="62" t="n"/>
      <c r="J3870" s="58" t="n"/>
      <c r="K3870" s="63">
        <f>IF(tblMovement[[#This Row],[Source]]="","",IFERROR(INDEX(tblSources[Type],MATCH(tblMovement[[#This Row],[Source]],tblSources[Source],0)),"?"))</f>
        <v/>
      </c>
      <c r="L3870" s="63">
        <f>IF(tblMovement[[#This Row],[Destination]]="","",IFERROR(INDEX(tblDestinations[Type],MATCH(tblMovement[[#This Row],[Destination]],tblDestinations[Destination],0)),"?"))</f>
        <v/>
      </c>
      <c r="M3870" s="64">
        <f>IF(tblMovement[[#This Row],[Material]]="","",IF(LEFT(tblMovement[[#This Row],[Material]],3)="Ore",1,0))</f>
        <v/>
      </c>
      <c r="N3870" s="59">
        <f>IF(OR(tblMovement[[#This Row],[Tonnes_t]]="",tblMovement[[#This Row],[Grade_gpt]]=""),0,tblMovement[[#This Row],[Tonnes_t]]*tblMovement[[#This Row],[Grade_gpt]]/cfg_TroyOz)</f>
        <v/>
      </c>
      <c r="O3870" s="59">
        <f>IF(tblMovement[[#This Row],[Is_Ore]]=1,tblMovement[[#This Row],[Contained_oz]],0)</f>
        <v/>
      </c>
    </row>
    <row r="3871">
      <c r="A3871" s="54" t="n"/>
      <c r="B3871" s="61" t="n"/>
      <c r="C3871" s="61" t="n"/>
      <c r="D3871" s="61" t="n"/>
      <c r="E3871" s="61" t="n"/>
      <c r="F3871" s="55" t="n"/>
      <c r="G3871" s="56" t="n"/>
      <c r="H3871" s="55" t="n"/>
      <c r="I3871" s="62" t="n"/>
      <c r="J3871" s="58" t="n"/>
      <c r="K3871" s="63">
        <f>IF(tblMovement[[#This Row],[Source]]="","",IFERROR(INDEX(tblSources[Type],MATCH(tblMovement[[#This Row],[Source]],tblSources[Source],0)),"?"))</f>
        <v/>
      </c>
      <c r="L3871" s="63">
        <f>IF(tblMovement[[#This Row],[Destination]]="","",IFERROR(INDEX(tblDestinations[Type],MATCH(tblMovement[[#This Row],[Destination]],tblDestinations[Destination],0)),"?"))</f>
        <v/>
      </c>
      <c r="M3871" s="64">
        <f>IF(tblMovement[[#This Row],[Material]]="","",IF(LEFT(tblMovement[[#This Row],[Material]],3)="Ore",1,0))</f>
        <v/>
      </c>
      <c r="N3871" s="59">
        <f>IF(OR(tblMovement[[#This Row],[Tonnes_t]]="",tblMovement[[#This Row],[Grade_gpt]]=""),0,tblMovement[[#This Row],[Tonnes_t]]*tblMovement[[#This Row],[Grade_gpt]]/cfg_TroyOz)</f>
        <v/>
      </c>
      <c r="O3871" s="59">
        <f>IF(tblMovement[[#This Row],[Is_Ore]]=1,tblMovement[[#This Row],[Contained_oz]],0)</f>
        <v/>
      </c>
    </row>
    <row r="3872">
      <c r="A3872" s="54" t="n"/>
      <c r="B3872" s="61" t="n"/>
      <c r="C3872" s="61" t="n"/>
      <c r="D3872" s="61" t="n"/>
      <c r="E3872" s="61" t="n"/>
      <c r="F3872" s="55" t="n"/>
      <c r="G3872" s="56" t="n"/>
      <c r="H3872" s="55" t="n"/>
      <c r="I3872" s="62" t="n"/>
      <c r="J3872" s="58" t="n"/>
      <c r="K3872" s="63">
        <f>IF(tblMovement[[#This Row],[Source]]="","",IFERROR(INDEX(tblSources[Type],MATCH(tblMovement[[#This Row],[Source]],tblSources[Source],0)),"?"))</f>
        <v/>
      </c>
      <c r="L3872" s="63">
        <f>IF(tblMovement[[#This Row],[Destination]]="","",IFERROR(INDEX(tblDestinations[Type],MATCH(tblMovement[[#This Row],[Destination]],tblDestinations[Destination],0)),"?"))</f>
        <v/>
      </c>
      <c r="M3872" s="64">
        <f>IF(tblMovement[[#This Row],[Material]]="","",IF(LEFT(tblMovement[[#This Row],[Material]],3)="Ore",1,0))</f>
        <v/>
      </c>
      <c r="N3872" s="59">
        <f>IF(OR(tblMovement[[#This Row],[Tonnes_t]]="",tblMovement[[#This Row],[Grade_gpt]]=""),0,tblMovement[[#This Row],[Tonnes_t]]*tblMovement[[#This Row],[Grade_gpt]]/cfg_TroyOz)</f>
        <v/>
      </c>
      <c r="O3872" s="59">
        <f>IF(tblMovement[[#This Row],[Is_Ore]]=1,tblMovement[[#This Row],[Contained_oz]],0)</f>
        <v/>
      </c>
    </row>
    <row r="3873">
      <c r="A3873" s="54" t="n"/>
      <c r="B3873" s="61" t="n"/>
      <c r="C3873" s="61" t="n"/>
      <c r="D3873" s="61" t="n"/>
      <c r="E3873" s="61" t="n"/>
      <c r="F3873" s="55" t="n"/>
      <c r="G3873" s="56" t="n"/>
      <c r="H3873" s="55" t="n"/>
      <c r="I3873" s="62" t="n"/>
      <c r="J3873" s="58" t="n"/>
      <c r="K3873" s="63">
        <f>IF(tblMovement[[#This Row],[Source]]="","",IFERROR(INDEX(tblSources[Type],MATCH(tblMovement[[#This Row],[Source]],tblSources[Source],0)),"?"))</f>
        <v/>
      </c>
      <c r="L3873" s="63">
        <f>IF(tblMovement[[#This Row],[Destination]]="","",IFERROR(INDEX(tblDestinations[Type],MATCH(tblMovement[[#This Row],[Destination]],tblDestinations[Destination],0)),"?"))</f>
        <v/>
      </c>
      <c r="M3873" s="64">
        <f>IF(tblMovement[[#This Row],[Material]]="","",IF(LEFT(tblMovement[[#This Row],[Material]],3)="Ore",1,0))</f>
        <v/>
      </c>
      <c r="N3873" s="59">
        <f>IF(OR(tblMovement[[#This Row],[Tonnes_t]]="",tblMovement[[#This Row],[Grade_gpt]]=""),0,tblMovement[[#This Row],[Tonnes_t]]*tblMovement[[#This Row],[Grade_gpt]]/cfg_TroyOz)</f>
        <v/>
      </c>
      <c r="O3873" s="59">
        <f>IF(tblMovement[[#This Row],[Is_Ore]]=1,tblMovement[[#This Row],[Contained_oz]],0)</f>
        <v/>
      </c>
    </row>
    <row r="3874">
      <c r="A3874" s="54" t="n"/>
      <c r="B3874" s="61" t="n"/>
      <c r="C3874" s="61" t="n"/>
      <c r="D3874" s="61" t="n"/>
      <c r="E3874" s="61" t="n"/>
      <c r="F3874" s="55" t="n"/>
      <c r="G3874" s="56" t="n"/>
      <c r="H3874" s="55" t="n"/>
      <c r="I3874" s="62" t="n"/>
      <c r="J3874" s="58" t="n"/>
      <c r="K3874" s="63">
        <f>IF(tblMovement[[#This Row],[Source]]="","",IFERROR(INDEX(tblSources[Type],MATCH(tblMovement[[#This Row],[Source]],tblSources[Source],0)),"?"))</f>
        <v/>
      </c>
      <c r="L3874" s="63">
        <f>IF(tblMovement[[#This Row],[Destination]]="","",IFERROR(INDEX(tblDestinations[Type],MATCH(tblMovement[[#This Row],[Destination]],tblDestinations[Destination],0)),"?"))</f>
        <v/>
      </c>
      <c r="M3874" s="64">
        <f>IF(tblMovement[[#This Row],[Material]]="","",IF(LEFT(tblMovement[[#This Row],[Material]],3)="Ore",1,0))</f>
        <v/>
      </c>
      <c r="N3874" s="59">
        <f>IF(OR(tblMovement[[#This Row],[Tonnes_t]]="",tblMovement[[#This Row],[Grade_gpt]]=""),0,tblMovement[[#This Row],[Tonnes_t]]*tblMovement[[#This Row],[Grade_gpt]]/cfg_TroyOz)</f>
        <v/>
      </c>
      <c r="O3874" s="59">
        <f>IF(tblMovement[[#This Row],[Is_Ore]]=1,tblMovement[[#This Row],[Contained_oz]],0)</f>
        <v/>
      </c>
    </row>
    <row r="3875">
      <c r="A3875" s="54" t="n"/>
      <c r="B3875" s="61" t="n"/>
      <c r="C3875" s="61" t="n"/>
      <c r="D3875" s="61" t="n"/>
      <c r="E3875" s="61" t="n"/>
      <c r="F3875" s="55" t="n"/>
      <c r="G3875" s="56" t="n"/>
      <c r="H3875" s="55" t="n"/>
      <c r="I3875" s="62" t="n"/>
      <c r="J3875" s="58" t="n"/>
      <c r="K3875" s="63">
        <f>IF(tblMovement[[#This Row],[Source]]="","",IFERROR(INDEX(tblSources[Type],MATCH(tblMovement[[#This Row],[Source]],tblSources[Source],0)),"?"))</f>
        <v/>
      </c>
      <c r="L3875" s="63">
        <f>IF(tblMovement[[#This Row],[Destination]]="","",IFERROR(INDEX(tblDestinations[Type],MATCH(tblMovement[[#This Row],[Destination]],tblDestinations[Destination],0)),"?"))</f>
        <v/>
      </c>
      <c r="M3875" s="64">
        <f>IF(tblMovement[[#This Row],[Material]]="","",IF(LEFT(tblMovement[[#This Row],[Material]],3)="Ore",1,0))</f>
        <v/>
      </c>
      <c r="N3875" s="59">
        <f>IF(OR(tblMovement[[#This Row],[Tonnes_t]]="",tblMovement[[#This Row],[Grade_gpt]]=""),0,tblMovement[[#This Row],[Tonnes_t]]*tblMovement[[#This Row],[Grade_gpt]]/cfg_TroyOz)</f>
        <v/>
      </c>
      <c r="O3875" s="59">
        <f>IF(tblMovement[[#This Row],[Is_Ore]]=1,tblMovement[[#This Row],[Contained_oz]],0)</f>
        <v/>
      </c>
    </row>
    <row r="3876">
      <c r="A3876" s="54" t="n"/>
      <c r="B3876" s="61" t="n"/>
      <c r="C3876" s="61" t="n"/>
      <c r="D3876" s="61" t="n"/>
      <c r="E3876" s="61" t="n"/>
      <c r="F3876" s="55" t="n"/>
      <c r="G3876" s="56" t="n"/>
      <c r="H3876" s="55" t="n"/>
      <c r="I3876" s="62" t="n"/>
      <c r="J3876" s="58" t="n"/>
      <c r="K3876" s="63">
        <f>IF(tblMovement[[#This Row],[Source]]="","",IFERROR(INDEX(tblSources[Type],MATCH(tblMovement[[#This Row],[Source]],tblSources[Source],0)),"?"))</f>
        <v/>
      </c>
      <c r="L3876" s="63">
        <f>IF(tblMovement[[#This Row],[Destination]]="","",IFERROR(INDEX(tblDestinations[Type],MATCH(tblMovement[[#This Row],[Destination]],tblDestinations[Destination],0)),"?"))</f>
        <v/>
      </c>
      <c r="M3876" s="64">
        <f>IF(tblMovement[[#This Row],[Material]]="","",IF(LEFT(tblMovement[[#This Row],[Material]],3)="Ore",1,0))</f>
        <v/>
      </c>
      <c r="N3876" s="59">
        <f>IF(OR(tblMovement[[#This Row],[Tonnes_t]]="",tblMovement[[#This Row],[Grade_gpt]]=""),0,tblMovement[[#This Row],[Tonnes_t]]*tblMovement[[#This Row],[Grade_gpt]]/cfg_TroyOz)</f>
        <v/>
      </c>
      <c r="O3876" s="59">
        <f>IF(tblMovement[[#This Row],[Is_Ore]]=1,tblMovement[[#This Row],[Contained_oz]],0)</f>
        <v/>
      </c>
    </row>
    <row r="3877">
      <c r="A3877" s="54" t="n"/>
      <c r="B3877" s="61" t="n"/>
      <c r="C3877" s="61" t="n"/>
      <c r="D3877" s="61" t="n"/>
      <c r="E3877" s="61" t="n"/>
      <c r="F3877" s="55" t="n"/>
      <c r="G3877" s="56" t="n"/>
      <c r="H3877" s="55" t="n"/>
      <c r="I3877" s="62" t="n"/>
      <c r="J3877" s="58" t="n"/>
      <c r="K3877" s="63">
        <f>IF(tblMovement[[#This Row],[Source]]="","",IFERROR(INDEX(tblSources[Type],MATCH(tblMovement[[#This Row],[Source]],tblSources[Source],0)),"?"))</f>
        <v/>
      </c>
      <c r="L3877" s="63">
        <f>IF(tblMovement[[#This Row],[Destination]]="","",IFERROR(INDEX(tblDestinations[Type],MATCH(tblMovement[[#This Row],[Destination]],tblDestinations[Destination],0)),"?"))</f>
        <v/>
      </c>
      <c r="M3877" s="64">
        <f>IF(tblMovement[[#This Row],[Material]]="","",IF(LEFT(tblMovement[[#This Row],[Material]],3)="Ore",1,0))</f>
        <v/>
      </c>
      <c r="N3877" s="59">
        <f>IF(OR(tblMovement[[#This Row],[Tonnes_t]]="",tblMovement[[#This Row],[Grade_gpt]]=""),0,tblMovement[[#This Row],[Tonnes_t]]*tblMovement[[#This Row],[Grade_gpt]]/cfg_TroyOz)</f>
        <v/>
      </c>
      <c r="O3877" s="59">
        <f>IF(tblMovement[[#This Row],[Is_Ore]]=1,tblMovement[[#This Row],[Contained_oz]],0)</f>
        <v/>
      </c>
    </row>
    <row r="3878">
      <c r="A3878" s="54" t="n"/>
      <c r="B3878" s="61" t="n"/>
      <c r="C3878" s="61" t="n"/>
      <c r="D3878" s="61" t="n"/>
      <c r="E3878" s="61" t="n"/>
      <c r="F3878" s="55" t="n"/>
      <c r="G3878" s="56" t="n"/>
      <c r="H3878" s="55" t="n"/>
      <c r="I3878" s="62" t="n"/>
      <c r="J3878" s="58" t="n"/>
      <c r="K3878" s="63">
        <f>IF(tblMovement[[#This Row],[Source]]="","",IFERROR(INDEX(tblSources[Type],MATCH(tblMovement[[#This Row],[Source]],tblSources[Source],0)),"?"))</f>
        <v/>
      </c>
      <c r="L3878" s="63">
        <f>IF(tblMovement[[#This Row],[Destination]]="","",IFERROR(INDEX(tblDestinations[Type],MATCH(tblMovement[[#This Row],[Destination]],tblDestinations[Destination],0)),"?"))</f>
        <v/>
      </c>
      <c r="M3878" s="64">
        <f>IF(tblMovement[[#This Row],[Material]]="","",IF(LEFT(tblMovement[[#This Row],[Material]],3)="Ore",1,0))</f>
        <v/>
      </c>
      <c r="N3878" s="59">
        <f>IF(OR(tblMovement[[#This Row],[Tonnes_t]]="",tblMovement[[#This Row],[Grade_gpt]]=""),0,tblMovement[[#This Row],[Tonnes_t]]*tblMovement[[#This Row],[Grade_gpt]]/cfg_TroyOz)</f>
        <v/>
      </c>
      <c r="O3878" s="59">
        <f>IF(tblMovement[[#This Row],[Is_Ore]]=1,tblMovement[[#This Row],[Contained_oz]],0)</f>
        <v/>
      </c>
    </row>
    <row r="3879">
      <c r="A3879" s="54" t="n"/>
      <c r="B3879" s="61" t="n"/>
      <c r="C3879" s="61" t="n"/>
      <c r="D3879" s="61" t="n"/>
      <c r="E3879" s="61" t="n"/>
      <c r="F3879" s="55" t="n"/>
      <c r="G3879" s="56" t="n"/>
      <c r="H3879" s="55" t="n"/>
      <c r="I3879" s="62" t="n"/>
      <c r="J3879" s="58" t="n"/>
      <c r="K3879" s="63">
        <f>IF(tblMovement[[#This Row],[Source]]="","",IFERROR(INDEX(tblSources[Type],MATCH(tblMovement[[#This Row],[Source]],tblSources[Source],0)),"?"))</f>
        <v/>
      </c>
      <c r="L3879" s="63">
        <f>IF(tblMovement[[#This Row],[Destination]]="","",IFERROR(INDEX(tblDestinations[Type],MATCH(tblMovement[[#This Row],[Destination]],tblDestinations[Destination],0)),"?"))</f>
        <v/>
      </c>
      <c r="M3879" s="64">
        <f>IF(tblMovement[[#This Row],[Material]]="","",IF(LEFT(tblMovement[[#This Row],[Material]],3)="Ore",1,0))</f>
        <v/>
      </c>
      <c r="N3879" s="59">
        <f>IF(OR(tblMovement[[#This Row],[Tonnes_t]]="",tblMovement[[#This Row],[Grade_gpt]]=""),0,tblMovement[[#This Row],[Tonnes_t]]*tblMovement[[#This Row],[Grade_gpt]]/cfg_TroyOz)</f>
        <v/>
      </c>
      <c r="O3879" s="59">
        <f>IF(tblMovement[[#This Row],[Is_Ore]]=1,tblMovement[[#This Row],[Contained_oz]],0)</f>
        <v/>
      </c>
    </row>
    <row r="3880">
      <c r="A3880" s="54" t="n"/>
      <c r="B3880" s="61" t="n"/>
      <c r="C3880" s="61" t="n"/>
      <c r="D3880" s="61" t="n"/>
      <c r="E3880" s="61" t="n"/>
      <c r="F3880" s="55" t="n"/>
      <c r="G3880" s="56" t="n"/>
      <c r="H3880" s="55" t="n"/>
      <c r="I3880" s="62" t="n"/>
      <c r="J3880" s="58" t="n"/>
      <c r="K3880" s="63">
        <f>IF(tblMovement[[#This Row],[Source]]="","",IFERROR(INDEX(tblSources[Type],MATCH(tblMovement[[#This Row],[Source]],tblSources[Source],0)),"?"))</f>
        <v/>
      </c>
      <c r="L3880" s="63">
        <f>IF(tblMovement[[#This Row],[Destination]]="","",IFERROR(INDEX(tblDestinations[Type],MATCH(tblMovement[[#This Row],[Destination]],tblDestinations[Destination],0)),"?"))</f>
        <v/>
      </c>
      <c r="M3880" s="64">
        <f>IF(tblMovement[[#This Row],[Material]]="","",IF(LEFT(tblMovement[[#This Row],[Material]],3)="Ore",1,0))</f>
        <v/>
      </c>
      <c r="N3880" s="59">
        <f>IF(OR(tblMovement[[#This Row],[Tonnes_t]]="",tblMovement[[#This Row],[Grade_gpt]]=""),0,tblMovement[[#This Row],[Tonnes_t]]*tblMovement[[#This Row],[Grade_gpt]]/cfg_TroyOz)</f>
        <v/>
      </c>
      <c r="O3880" s="59">
        <f>IF(tblMovement[[#This Row],[Is_Ore]]=1,tblMovement[[#This Row],[Contained_oz]],0)</f>
        <v/>
      </c>
    </row>
    <row r="3881">
      <c r="A3881" s="54" t="n"/>
      <c r="B3881" s="61" t="n"/>
      <c r="C3881" s="61" t="n"/>
      <c r="D3881" s="61" t="n"/>
      <c r="E3881" s="61" t="n"/>
      <c r="F3881" s="55" t="n"/>
      <c r="G3881" s="56" t="n"/>
      <c r="H3881" s="55" t="n"/>
      <c r="I3881" s="62" t="n"/>
      <c r="J3881" s="58" t="n"/>
      <c r="K3881" s="63">
        <f>IF(tblMovement[[#This Row],[Source]]="","",IFERROR(INDEX(tblSources[Type],MATCH(tblMovement[[#This Row],[Source]],tblSources[Source],0)),"?"))</f>
        <v/>
      </c>
      <c r="L3881" s="63">
        <f>IF(tblMovement[[#This Row],[Destination]]="","",IFERROR(INDEX(tblDestinations[Type],MATCH(tblMovement[[#This Row],[Destination]],tblDestinations[Destination],0)),"?"))</f>
        <v/>
      </c>
      <c r="M3881" s="64">
        <f>IF(tblMovement[[#This Row],[Material]]="","",IF(LEFT(tblMovement[[#This Row],[Material]],3)="Ore",1,0))</f>
        <v/>
      </c>
      <c r="N3881" s="59">
        <f>IF(OR(tblMovement[[#This Row],[Tonnes_t]]="",tblMovement[[#This Row],[Grade_gpt]]=""),0,tblMovement[[#This Row],[Tonnes_t]]*tblMovement[[#This Row],[Grade_gpt]]/cfg_TroyOz)</f>
        <v/>
      </c>
      <c r="O3881" s="59">
        <f>IF(tblMovement[[#This Row],[Is_Ore]]=1,tblMovement[[#This Row],[Contained_oz]],0)</f>
        <v/>
      </c>
    </row>
    <row r="3882">
      <c r="A3882" s="54" t="n"/>
      <c r="B3882" s="61" t="n"/>
      <c r="C3882" s="61" t="n"/>
      <c r="D3882" s="61" t="n"/>
      <c r="E3882" s="61" t="n"/>
      <c r="F3882" s="55" t="n"/>
      <c r="G3882" s="56" t="n"/>
      <c r="H3882" s="55" t="n"/>
      <c r="I3882" s="62" t="n"/>
      <c r="J3882" s="58" t="n"/>
      <c r="K3882" s="63">
        <f>IF(tblMovement[[#This Row],[Source]]="","",IFERROR(INDEX(tblSources[Type],MATCH(tblMovement[[#This Row],[Source]],tblSources[Source],0)),"?"))</f>
        <v/>
      </c>
      <c r="L3882" s="63">
        <f>IF(tblMovement[[#This Row],[Destination]]="","",IFERROR(INDEX(tblDestinations[Type],MATCH(tblMovement[[#This Row],[Destination]],tblDestinations[Destination],0)),"?"))</f>
        <v/>
      </c>
      <c r="M3882" s="64">
        <f>IF(tblMovement[[#This Row],[Material]]="","",IF(LEFT(tblMovement[[#This Row],[Material]],3)="Ore",1,0))</f>
        <v/>
      </c>
      <c r="N3882" s="59">
        <f>IF(OR(tblMovement[[#This Row],[Tonnes_t]]="",tblMovement[[#This Row],[Grade_gpt]]=""),0,tblMovement[[#This Row],[Tonnes_t]]*tblMovement[[#This Row],[Grade_gpt]]/cfg_TroyOz)</f>
        <v/>
      </c>
      <c r="O3882" s="59">
        <f>IF(tblMovement[[#This Row],[Is_Ore]]=1,tblMovement[[#This Row],[Contained_oz]],0)</f>
        <v/>
      </c>
    </row>
    <row r="3883">
      <c r="A3883" s="54" t="n"/>
      <c r="B3883" s="61" t="n"/>
      <c r="C3883" s="61" t="n"/>
      <c r="D3883" s="61" t="n"/>
      <c r="E3883" s="61" t="n"/>
      <c r="F3883" s="55" t="n"/>
      <c r="G3883" s="56" t="n"/>
      <c r="H3883" s="55" t="n"/>
      <c r="I3883" s="62" t="n"/>
      <c r="J3883" s="58" t="n"/>
      <c r="K3883" s="63">
        <f>IF(tblMovement[[#This Row],[Source]]="","",IFERROR(INDEX(tblSources[Type],MATCH(tblMovement[[#This Row],[Source]],tblSources[Source],0)),"?"))</f>
        <v/>
      </c>
      <c r="L3883" s="63">
        <f>IF(tblMovement[[#This Row],[Destination]]="","",IFERROR(INDEX(tblDestinations[Type],MATCH(tblMovement[[#This Row],[Destination]],tblDestinations[Destination],0)),"?"))</f>
        <v/>
      </c>
      <c r="M3883" s="64">
        <f>IF(tblMovement[[#This Row],[Material]]="","",IF(LEFT(tblMovement[[#This Row],[Material]],3)="Ore",1,0))</f>
        <v/>
      </c>
      <c r="N3883" s="59">
        <f>IF(OR(tblMovement[[#This Row],[Tonnes_t]]="",tblMovement[[#This Row],[Grade_gpt]]=""),0,tblMovement[[#This Row],[Tonnes_t]]*tblMovement[[#This Row],[Grade_gpt]]/cfg_TroyOz)</f>
        <v/>
      </c>
      <c r="O3883" s="59">
        <f>IF(tblMovement[[#This Row],[Is_Ore]]=1,tblMovement[[#This Row],[Contained_oz]],0)</f>
        <v/>
      </c>
    </row>
    <row r="3884">
      <c r="A3884" s="54" t="n"/>
      <c r="B3884" s="61" t="n"/>
      <c r="C3884" s="61" t="n"/>
      <c r="D3884" s="61" t="n"/>
      <c r="E3884" s="61" t="n"/>
      <c r="F3884" s="55" t="n"/>
      <c r="G3884" s="56" t="n"/>
      <c r="H3884" s="55" t="n"/>
      <c r="I3884" s="62" t="n"/>
      <c r="J3884" s="58" t="n"/>
      <c r="K3884" s="63">
        <f>IF(tblMovement[[#This Row],[Source]]="","",IFERROR(INDEX(tblSources[Type],MATCH(tblMovement[[#This Row],[Source]],tblSources[Source],0)),"?"))</f>
        <v/>
      </c>
      <c r="L3884" s="63">
        <f>IF(tblMovement[[#This Row],[Destination]]="","",IFERROR(INDEX(tblDestinations[Type],MATCH(tblMovement[[#This Row],[Destination]],tblDestinations[Destination],0)),"?"))</f>
        <v/>
      </c>
      <c r="M3884" s="64">
        <f>IF(tblMovement[[#This Row],[Material]]="","",IF(LEFT(tblMovement[[#This Row],[Material]],3)="Ore",1,0))</f>
        <v/>
      </c>
      <c r="N3884" s="59">
        <f>IF(OR(tblMovement[[#This Row],[Tonnes_t]]="",tblMovement[[#This Row],[Grade_gpt]]=""),0,tblMovement[[#This Row],[Tonnes_t]]*tblMovement[[#This Row],[Grade_gpt]]/cfg_TroyOz)</f>
        <v/>
      </c>
      <c r="O3884" s="59">
        <f>IF(tblMovement[[#This Row],[Is_Ore]]=1,tblMovement[[#This Row],[Contained_oz]],0)</f>
        <v/>
      </c>
    </row>
    <row r="3885">
      <c r="A3885" s="54" t="n"/>
      <c r="B3885" s="61" t="n"/>
      <c r="C3885" s="61" t="n"/>
      <c r="D3885" s="61" t="n"/>
      <c r="E3885" s="61" t="n"/>
      <c r="F3885" s="55" t="n"/>
      <c r="G3885" s="56" t="n"/>
      <c r="H3885" s="55" t="n"/>
      <c r="I3885" s="62" t="n"/>
      <c r="J3885" s="58" t="n"/>
      <c r="K3885" s="63">
        <f>IF(tblMovement[[#This Row],[Source]]="","",IFERROR(INDEX(tblSources[Type],MATCH(tblMovement[[#This Row],[Source]],tblSources[Source],0)),"?"))</f>
        <v/>
      </c>
      <c r="L3885" s="63">
        <f>IF(tblMovement[[#This Row],[Destination]]="","",IFERROR(INDEX(tblDestinations[Type],MATCH(tblMovement[[#This Row],[Destination]],tblDestinations[Destination],0)),"?"))</f>
        <v/>
      </c>
      <c r="M3885" s="64">
        <f>IF(tblMovement[[#This Row],[Material]]="","",IF(LEFT(tblMovement[[#This Row],[Material]],3)="Ore",1,0))</f>
        <v/>
      </c>
      <c r="N3885" s="59">
        <f>IF(OR(tblMovement[[#This Row],[Tonnes_t]]="",tblMovement[[#This Row],[Grade_gpt]]=""),0,tblMovement[[#This Row],[Tonnes_t]]*tblMovement[[#This Row],[Grade_gpt]]/cfg_TroyOz)</f>
        <v/>
      </c>
      <c r="O3885" s="59">
        <f>IF(tblMovement[[#This Row],[Is_Ore]]=1,tblMovement[[#This Row],[Contained_oz]],0)</f>
        <v/>
      </c>
    </row>
    <row r="3886">
      <c r="A3886" s="54" t="n"/>
      <c r="B3886" s="61" t="n"/>
      <c r="C3886" s="61" t="n"/>
      <c r="D3886" s="61" t="n"/>
      <c r="E3886" s="61" t="n"/>
      <c r="F3886" s="55" t="n"/>
      <c r="G3886" s="56" t="n"/>
      <c r="H3886" s="55" t="n"/>
      <c r="I3886" s="62" t="n"/>
      <c r="J3886" s="58" t="n"/>
      <c r="K3886" s="63">
        <f>IF(tblMovement[[#This Row],[Source]]="","",IFERROR(INDEX(tblSources[Type],MATCH(tblMovement[[#This Row],[Source]],tblSources[Source],0)),"?"))</f>
        <v/>
      </c>
      <c r="L3886" s="63">
        <f>IF(tblMovement[[#This Row],[Destination]]="","",IFERROR(INDEX(tblDestinations[Type],MATCH(tblMovement[[#This Row],[Destination]],tblDestinations[Destination],0)),"?"))</f>
        <v/>
      </c>
      <c r="M3886" s="64">
        <f>IF(tblMovement[[#This Row],[Material]]="","",IF(LEFT(tblMovement[[#This Row],[Material]],3)="Ore",1,0))</f>
        <v/>
      </c>
      <c r="N3886" s="59">
        <f>IF(OR(tblMovement[[#This Row],[Tonnes_t]]="",tblMovement[[#This Row],[Grade_gpt]]=""),0,tblMovement[[#This Row],[Tonnes_t]]*tblMovement[[#This Row],[Grade_gpt]]/cfg_TroyOz)</f>
        <v/>
      </c>
      <c r="O3886" s="59">
        <f>IF(tblMovement[[#This Row],[Is_Ore]]=1,tblMovement[[#This Row],[Contained_oz]],0)</f>
        <v/>
      </c>
    </row>
    <row r="3887">
      <c r="A3887" s="54" t="n"/>
      <c r="B3887" s="61" t="n"/>
      <c r="C3887" s="61" t="n"/>
      <c r="D3887" s="61" t="n"/>
      <c r="E3887" s="61" t="n"/>
      <c r="F3887" s="55" t="n"/>
      <c r="G3887" s="56" t="n"/>
      <c r="H3887" s="55" t="n"/>
      <c r="I3887" s="62" t="n"/>
      <c r="J3887" s="58" t="n"/>
      <c r="K3887" s="63">
        <f>IF(tblMovement[[#This Row],[Source]]="","",IFERROR(INDEX(tblSources[Type],MATCH(tblMovement[[#This Row],[Source]],tblSources[Source],0)),"?"))</f>
        <v/>
      </c>
      <c r="L3887" s="63">
        <f>IF(tblMovement[[#This Row],[Destination]]="","",IFERROR(INDEX(tblDestinations[Type],MATCH(tblMovement[[#This Row],[Destination]],tblDestinations[Destination],0)),"?"))</f>
        <v/>
      </c>
      <c r="M3887" s="64">
        <f>IF(tblMovement[[#This Row],[Material]]="","",IF(LEFT(tblMovement[[#This Row],[Material]],3)="Ore",1,0))</f>
        <v/>
      </c>
      <c r="N3887" s="59">
        <f>IF(OR(tblMovement[[#This Row],[Tonnes_t]]="",tblMovement[[#This Row],[Grade_gpt]]=""),0,tblMovement[[#This Row],[Tonnes_t]]*tblMovement[[#This Row],[Grade_gpt]]/cfg_TroyOz)</f>
        <v/>
      </c>
      <c r="O3887" s="59">
        <f>IF(tblMovement[[#This Row],[Is_Ore]]=1,tblMovement[[#This Row],[Contained_oz]],0)</f>
        <v/>
      </c>
    </row>
    <row r="3888">
      <c r="A3888" s="54" t="n"/>
      <c r="B3888" s="61" t="n"/>
      <c r="C3888" s="61" t="n"/>
      <c r="D3888" s="61" t="n"/>
      <c r="E3888" s="61" t="n"/>
      <c r="F3888" s="55" t="n"/>
      <c r="G3888" s="56" t="n"/>
      <c r="H3888" s="55" t="n"/>
      <c r="I3888" s="62" t="n"/>
      <c r="J3888" s="58" t="n"/>
      <c r="K3888" s="63">
        <f>IF(tblMovement[[#This Row],[Source]]="","",IFERROR(INDEX(tblSources[Type],MATCH(tblMovement[[#This Row],[Source]],tblSources[Source],0)),"?"))</f>
        <v/>
      </c>
      <c r="L3888" s="63">
        <f>IF(tblMovement[[#This Row],[Destination]]="","",IFERROR(INDEX(tblDestinations[Type],MATCH(tblMovement[[#This Row],[Destination]],tblDestinations[Destination],0)),"?"))</f>
        <v/>
      </c>
      <c r="M3888" s="64">
        <f>IF(tblMovement[[#This Row],[Material]]="","",IF(LEFT(tblMovement[[#This Row],[Material]],3)="Ore",1,0))</f>
        <v/>
      </c>
      <c r="N3888" s="59">
        <f>IF(OR(tblMovement[[#This Row],[Tonnes_t]]="",tblMovement[[#This Row],[Grade_gpt]]=""),0,tblMovement[[#This Row],[Tonnes_t]]*tblMovement[[#This Row],[Grade_gpt]]/cfg_TroyOz)</f>
        <v/>
      </c>
      <c r="O3888" s="59">
        <f>IF(tblMovement[[#This Row],[Is_Ore]]=1,tblMovement[[#This Row],[Contained_oz]],0)</f>
        <v/>
      </c>
    </row>
    <row r="3889">
      <c r="A3889" s="54" t="n"/>
      <c r="B3889" s="61" t="n"/>
      <c r="C3889" s="61" t="n"/>
      <c r="D3889" s="61" t="n"/>
      <c r="E3889" s="61" t="n"/>
      <c r="F3889" s="55" t="n"/>
      <c r="G3889" s="56" t="n"/>
      <c r="H3889" s="55" t="n"/>
      <c r="I3889" s="62" t="n"/>
      <c r="J3889" s="58" t="n"/>
      <c r="K3889" s="63">
        <f>IF(tblMovement[[#This Row],[Source]]="","",IFERROR(INDEX(tblSources[Type],MATCH(tblMovement[[#This Row],[Source]],tblSources[Source],0)),"?"))</f>
        <v/>
      </c>
      <c r="L3889" s="63">
        <f>IF(tblMovement[[#This Row],[Destination]]="","",IFERROR(INDEX(tblDestinations[Type],MATCH(tblMovement[[#This Row],[Destination]],tblDestinations[Destination],0)),"?"))</f>
        <v/>
      </c>
      <c r="M3889" s="64">
        <f>IF(tblMovement[[#This Row],[Material]]="","",IF(LEFT(tblMovement[[#This Row],[Material]],3)="Ore",1,0))</f>
        <v/>
      </c>
      <c r="N3889" s="59">
        <f>IF(OR(tblMovement[[#This Row],[Tonnes_t]]="",tblMovement[[#This Row],[Grade_gpt]]=""),0,tblMovement[[#This Row],[Tonnes_t]]*tblMovement[[#This Row],[Grade_gpt]]/cfg_TroyOz)</f>
        <v/>
      </c>
      <c r="O3889" s="59">
        <f>IF(tblMovement[[#This Row],[Is_Ore]]=1,tblMovement[[#This Row],[Contained_oz]],0)</f>
        <v/>
      </c>
    </row>
    <row r="3890">
      <c r="A3890" s="54" t="n"/>
      <c r="B3890" s="61" t="n"/>
      <c r="C3890" s="61" t="n"/>
      <c r="D3890" s="61" t="n"/>
      <c r="E3890" s="61" t="n"/>
      <c r="F3890" s="55" t="n"/>
      <c r="G3890" s="56" t="n"/>
      <c r="H3890" s="55" t="n"/>
      <c r="I3890" s="62" t="n"/>
      <c r="J3890" s="58" t="n"/>
      <c r="K3890" s="63">
        <f>IF(tblMovement[[#This Row],[Source]]="","",IFERROR(INDEX(tblSources[Type],MATCH(tblMovement[[#This Row],[Source]],tblSources[Source],0)),"?"))</f>
        <v/>
      </c>
      <c r="L3890" s="63">
        <f>IF(tblMovement[[#This Row],[Destination]]="","",IFERROR(INDEX(tblDestinations[Type],MATCH(tblMovement[[#This Row],[Destination]],tblDestinations[Destination],0)),"?"))</f>
        <v/>
      </c>
      <c r="M3890" s="64">
        <f>IF(tblMovement[[#This Row],[Material]]="","",IF(LEFT(tblMovement[[#This Row],[Material]],3)="Ore",1,0))</f>
        <v/>
      </c>
      <c r="N3890" s="59">
        <f>IF(OR(tblMovement[[#This Row],[Tonnes_t]]="",tblMovement[[#This Row],[Grade_gpt]]=""),0,tblMovement[[#This Row],[Tonnes_t]]*tblMovement[[#This Row],[Grade_gpt]]/cfg_TroyOz)</f>
        <v/>
      </c>
      <c r="O3890" s="59">
        <f>IF(tblMovement[[#This Row],[Is_Ore]]=1,tblMovement[[#This Row],[Contained_oz]],0)</f>
        <v/>
      </c>
    </row>
    <row r="3891">
      <c r="A3891" s="54" t="n"/>
      <c r="B3891" s="61" t="n"/>
      <c r="C3891" s="61" t="n"/>
      <c r="D3891" s="61" t="n"/>
      <c r="E3891" s="61" t="n"/>
      <c r="F3891" s="55" t="n"/>
      <c r="G3891" s="56" t="n"/>
      <c r="H3891" s="55" t="n"/>
      <c r="I3891" s="62" t="n"/>
      <c r="J3891" s="58" t="n"/>
      <c r="K3891" s="63">
        <f>IF(tblMovement[[#This Row],[Source]]="","",IFERROR(INDEX(tblSources[Type],MATCH(tblMovement[[#This Row],[Source]],tblSources[Source],0)),"?"))</f>
        <v/>
      </c>
      <c r="L3891" s="63">
        <f>IF(tblMovement[[#This Row],[Destination]]="","",IFERROR(INDEX(tblDestinations[Type],MATCH(tblMovement[[#This Row],[Destination]],tblDestinations[Destination],0)),"?"))</f>
        <v/>
      </c>
      <c r="M3891" s="64">
        <f>IF(tblMovement[[#This Row],[Material]]="","",IF(LEFT(tblMovement[[#This Row],[Material]],3)="Ore",1,0))</f>
        <v/>
      </c>
      <c r="N3891" s="59">
        <f>IF(OR(tblMovement[[#This Row],[Tonnes_t]]="",tblMovement[[#This Row],[Grade_gpt]]=""),0,tblMovement[[#This Row],[Tonnes_t]]*tblMovement[[#This Row],[Grade_gpt]]/cfg_TroyOz)</f>
        <v/>
      </c>
      <c r="O3891" s="59">
        <f>IF(tblMovement[[#This Row],[Is_Ore]]=1,tblMovement[[#This Row],[Contained_oz]],0)</f>
        <v/>
      </c>
    </row>
    <row r="3892">
      <c r="A3892" s="54" t="n"/>
      <c r="B3892" s="61" t="n"/>
      <c r="C3892" s="61" t="n"/>
      <c r="D3892" s="61" t="n"/>
      <c r="E3892" s="61" t="n"/>
      <c r="F3892" s="55" t="n"/>
      <c r="G3892" s="56" t="n"/>
      <c r="H3892" s="55" t="n"/>
      <c r="I3892" s="62" t="n"/>
      <c r="J3892" s="58" t="n"/>
      <c r="K3892" s="63">
        <f>IF(tblMovement[[#This Row],[Source]]="","",IFERROR(INDEX(tblSources[Type],MATCH(tblMovement[[#This Row],[Source]],tblSources[Source],0)),"?"))</f>
        <v/>
      </c>
      <c r="L3892" s="63">
        <f>IF(tblMovement[[#This Row],[Destination]]="","",IFERROR(INDEX(tblDestinations[Type],MATCH(tblMovement[[#This Row],[Destination]],tblDestinations[Destination],0)),"?"))</f>
        <v/>
      </c>
      <c r="M3892" s="64">
        <f>IF(tblMovement[[#This Row],[Material]]="","",IF(LEFT(tblMovement[[#This Row],[Material]],3)="Ore",1,0))</f>
        <v/>
      </c>
      <c r="N3892" s="59">
        <f>IF(OR(tblMovement[[#This Row],[Tonnes_t]]="",tblMovement[[#This Row],[Grade_gpt]]=""),0,tblMovement[[#This Row],[Tonnes_t]]*tblMovement[[#This Row],[Grade_gpt]]/cfg_TroyOz)</f>
        <v/>
      </c>
      <c r="O3892" s="59">
        <f>IF(tblMovement[[#This Row],[Is_Ore]]=1,tblMovement[[#This Row],[Contained_oz]],0)</f>
        <v/>
      </c>
    </row>
    <row r="3893">
      <c r="A3893" s="54" t="n"/>
      <c r="B3893" s="61" t="n"/>
      <c r="C3893" s="61" t="n"/>
      <c r="D3893" s="61" t="n"/>
      <c r="E3893" s="61" t="n"/>
      <c r="F3893" s="55" t="n"/>
      <c r="G3893" s="56" t="n"/>
      <c r="H3893" s="55" t="n"/>
      <c r="I3893" s="62" t="n"/>
      <c r="J3893" s="58" t="n"/>
      <c r="K3893" s="63">
        <f>IF(tblMovement[[#This Row],[Source]]="","",IFERROR(INDEX(tblSources[Type],MATCH(tblMovement[[#This Row],[Source]],tblSources[Source],0)),"?"))</f>
        <v/>
      </c>
      <c r="L3893" s="63">
        <f>IF(tblMovement[[#This Row],[Destination]]="","",IFERROR(INDEX(tblDestinations[Type],MATCH(tblMovement[[#This Row],[Destination]],tblDestinations[Destination],0)),"?"))</f>
        <v/>
      </c>
      <c r="M3893" s="64">
        <f>IF(tblMovement[[#This Row],[Material]]="","",IF(LEFT(tblMovement[[#This Row],[Material]],3)="Ore",1,0))</f>
        <v/>
      </c>
      <c r="N3893" s="59">
        <f>IF(OR(tblMovement[[#This Row],[Tonnes_t]]="",tblMovement[[#This Row],[Grade_gpt]]=""),0,tblMovement[[#This Row],[Tonnes_t]]*tblMovement[[#This Row],[Grade_gpt]]/cfg_TroyOz)</f>
        <v/>
      </c>
      <c r="O3893" s="59">
        <f>IF(tblMovement[[#This Row],[Is_Ore]]=1,tblMovement[[#This Row],[Contained_oz]],0)</f>
        <v/>
      </c>
    </row>
    <row r="3894">
      <c r="A3894" s="54" t="n"/>
      <c r="B3894" s="61" t="n"/>
      <c r="C3894" s="61" t="n"/>
      <c r="D3894" s="61" t="n"/>
      <c r="E3894" s="61" t="n"/>
      <c r="F3894" s="55" t="n"/>
      <c r="G3894" s="56" t="n"/>
      <c r="H3894" s="55" t="n"/>
      <c r="I3894" s="62" t="n"/>
      <c r="J3894" s="58" t="n"/>
      <c r="K3894" s="63">
        <f>IF(tblMovement[[#This Row],[Source]]="","",IFERROR(INDEX(tblSources[Type],MATCH(tblMovement[[#This Row],[Source]],tblSources[Source],0)),"?"))</f>
        <v/>
      </c>
      <c r="L3894" s="63">
        <f>IF(tblMovement[[#This Row],[Destination]]="","",IFERROR(INDEX(tblDestinations[Type],MATCH(tblMovement[[#This Row],[Destination]],tblDestinations[Destination],0)),"?"))</f>
        <v/>
      </c>
      <c r="M3894" s="64">
        <f>IF(tblMovement[[#This Row],[Material]]="","",IF(LEFT(tblMovement[[#This Row],[Material]],3)="Ore",1,0))</f>
        <v/>
      </c>
      <c r="N3894" s="59">
        <f>IF(OR(tblMovement[[#This Row],[Tonnes_t]]="",tblMovement[[#This Row],[Grade_gpt]]=""),0,tblMovement[[#This Row],[Tonnes_t]]*tblMovement[[#This Row],[Grade_gpt]]/cfg_TroyOz)</f>
        <v/>
      </c>
      <c r="O3894" s="59">
        <f>IF(tblMovement[[#This Row],[Is_Ore]]=1,tblMovement[[#This Row],[Contained_oz]],0)</f>
        <v/>
      </c>
    </row>
    <row r="3895">
      <c r="A3895" s="54" t="n"/>
      <c r="B3895" s="61" t="n"/>
      <c r="C3895" s="61" t="n"/>
      <c r="D3895" s="61" t="n"/>
      <c r="E3895" s="61" t="n"/>
      <c r="F3895" s="55" t="n"/>
      <c r="G3895" s="56" t="n"/>
      <c r="H3895" s="55" t="n"/>
      <c r="I3895" s="62" t="n"/>
      <c r="J3895" s="58" t="n"/>
      <c r="K3895" s="63">
        <f>IF(tblMovement[[#This Row],[Source]]="","",IFERROR(INDEX(tblSources[Type],MATCH(tblMovement[[#This Row],[Source]],tblSources[Source],0)),"?"))</f>
        <v/>
      </c>
      <c r="L3895" s="63">
        <f>IF(tblMovement[[#This Row],[Destination]]="","",IFERROR(INDEX(tblDestinations[Type],MATCH(tblMovement[[#This Row],[Destination]],tblDestinations[Destination],0)),"?"))</f>
        <v/>
      </c>
      <c r="M3895" s="64">
        <f>IF(tblMovement[[#This Row],[Material]]="","",IF(LEFT(tblMovement[[#This Row],[Material]],3)="Ore",1,0))</f>
        <v/>
      </c>
      <c r="N3895" s="59">
        <f>IF(OR(tblMovement[[#This Row],[Tonnes_t]]="",tblMovement[[#This Row],[Grade_gpt]]=""),0,tblMovement[[#This Row],[Tonnes_t]]*tblMovement[[#This Row],[Grade_gpt]]/cfg_TroyOz)</f>
        <v/>
      </c>
      <c r="O3895" s="59">
        <f>IF(tblMovement[[#This Row],[Is_Ore]]=1,tblMovement[[#This Row],[Contained_oz]],0)</f>
        <v/>
      </c>
    </row>
    <row r="3896">
      <c r="A3896" s="54" t="n"/>
      <c r="B3896" s="61" t="n"/>
      <c r="C3896" s="61" t="n"/>
      <c r="D3896" s="61" t="n"/>
      <c r="E3896" s="61" t="n"/>
      <c r="F3896" s="55" t="n"/>
      <c r="G3896" s="56" t="n"/>
      <c r="H3896" s="55" t="n"/>
      <c r="I3896" s="62" t="n"/>
      <c r="J3896" s="58" t="n"/>
      <c r="K3896" s="63">
        <f>IF(tblMovement[[#This Row],[Source]]="","",IFERROR(INDEX(tblSources[Type],MATCH(tblMovement[[#This Row],[Source]],tblSources[Source],0)),"?"))</f>
        <v/>
      </c>
      <c r="L3896" s="63">
        <f>IF(tblMovement[[#This Row],[Destination]]="","",IFERROR(INDEX(tblDestinations[Type],MATCH(tblMovement[[#This Row],[Destination]],tblDestinations[Destination],0)),"?"))</f>
        <v/>
      </c>
      <c r="M3896" s="64">
        <f>IF(tblMovement[[#This Row],[Material]]="","",IF(LEFT(tblMovement[[#This Row],[Material]],3)="Ore",1,0))</f>
        <v/>
      </c>
      <c r="N3896" s="59">
        <f>IF(OR(tblMovement[[#This Row],[Tonnes_t]]="",tblMovement[[#This Row],[Grade_gpt]]=""),0,tblMovement[[#This Row],[Tonnes_t]]*tblMovement[[#This Row],[Grade_gpt]]/cfg_TroyOz)</f>
        <v/>
      </c>
      <c r="O3896" s="59">
        <f>IF(tblMovement[[#This Row],[Is_Ore]]=1,tblMovement[[#This Row],[Contained_oz]],0)</f>
        <v/>
      </c>
    </row>
    <row r="3897">
      <c r="A3897" s="54" t="n"/>
      <c r="B3897" s="61" t="n"/>
      <c r="C3897" s="61" t="n"/>
      <c r="D3897" s="61" t="n"/>
      <c r="E3897" s="61" t="n"/>
      <c r="F3897" s="55" t="n"/>
      <c r="G3897" s="56" t="n"/>
      <c r="H3897" s="55" t="n"/>
      <c r="I3897" s="62" t="n"/>
      <c r="J3897" s="58" t="n"/>
      <c r="K3897" s="63">
        <f>IF(tblMovement[[#This Row],[Source]]="","",IFERROR(INDEX(tblSources[Type],MATCH(tblMovement[[#This Row],[Source]],tblSources[Source],0)),"?"))</f>
        <v/>
      </c>
      <c r="L3897" s="63">
        <f>IF(tblMovement[[#This Row],[Destination]]="","",IFERROR(INDEX(tblDestinations[Type],MATCH(tblMovement[[#This Row],[Destination]],tblDestinations[Destination],0)),"?"))</f>
        <v/>
      </c>
      <c r="M3897" s="64">
        <f>IF(tblMovement[[#This Row],[Material]]="","",IF(LEFT(tblMovement[[#This Row],[Material]],3)="Ore",1,0))</f>
        <v/>
      </c>
      <c r="N3897" s="59">
        <f>IF(OR(tblMovement[[#This Row],[Tonnes_t]]="",tblMovement[[#This Row],[Grade_gpt]]=""),0,tblMovement[[#This Row],[Tonnes_t]]*tblMovement[[#This Row],[Grade_gpt]]/cfg_TroyOz)</f>
        <v/>
      </c>
      <c r="O3897" s="59">
        <f>IF(tblMovement[[#This Row],[Is_Ore]]=1,tblMovement[[#This Row],[Contained_oz]],0)</f>
        <v/>
      </c>
    </row>
    <row r="3898">
      <c r="A3898" s="54" t="n"/>
      <c r="B3898" s="61" t="n"/>
      <c r="C3898" s="61" t="n"/>
      <c r="D3898" s="61" t="n"/>
      <c r="E3898" s="61" t="n"/>
      <c r="F3898" s="55" t="n"/>
      <c r="G3898" s="56" t="n"/>
      <c r="H3898" s="55" t="n"/>
      <c r="I3898" s="62" t="n"/>
      <c r="J3898" s="58" t="n"/>
      <c r="K3898" s="63">
        <f>IF(tblMovement[[#This Row],[Source]]="","",IFERROR(INDEX(tblSources[Type],MATCH(tblMovement[[#This Row],[Source]],tblSources[Source],0)),"?"))</f>
        <v/>
      </c>
      <c r="L3898" s="63">
        <f>IF(tblMovement[[#This Row],[Destination]]="","",IFERROR(INDEX(tblDestinations[Type],MATCH(tblMovement[[#This Row],[Destination]],tblDestinations[Destination],0)),"?"))</f>
        <v/>
      </c>
      <c r="M3898" s="64">
        <f>IF(tblMovement[[#This Row],[Material]]="","",IF(LEFT(tblMovement[[#This Row],[Material]],3)="Ore",1,0))</f>
        <v/>
      </c>
      <c r="N3898" s="59">
        <f>IF(OR(tblMovement[[#This Row],[Tonnes_t]]="",tblMovement[[#This Row],[Grade_gpt]]=""),0,tblMovement[[#This Row],[Tonnes_t]]*tblMovement[[#This Row],[Grade_gpt]]/cfg_TroyOz)</f>
        <v/>
      </c>
      <c r="O3898" s="59">
        <f>IF(tblMovement[[#This Row],[Is_Ore]]=1,tblMovement[[#This Row],[Contained_oz]],0)</f>
        <v/>
      </c>
    </row>
    <row r="3899">
      <c r="A3899" s="54" t="n"/>
      <c r="B3899" s="61" t="n"/>
      <c r="C3899" s="61" t="n"/>
      <c r="D3899" s="61" t="n"/>
      <c r="E3899" s="61" t="n"/>
      <c r="F3899" s="55" t="n"/>
      <c r="G3899" s="56" t="n"/>
      <c r="H3899" s="55" t="n"/>
      <c r="I3899" s="62" t="n"/>
      <c r="J3899" s="58" t="n"/>
      <c r="K3899" s="63">
        <f>IF(tblMovement[[#This Row],[Source]]="","",IFERROR(INDEX(tblSources[Type],MATCH(tblMovement[[#This Row],[Source]],tblSources[Source],0)),"?"))</f>
        <v/>
      </c>
      <c r="L3899" s="63">
        <f>IF(tblMovement[[#This Row],[Destination]]="","",IFERROR(INDEX(tblDestinations[Type],MATCH(tblMovement[[#This Row],[Destination]],tblDestinations[Destination],0)),"?"))</f>
        <v/>
      </c>
      <c r="M3899" s="64">
        <f>IF(tblMovement[[#This Row],[Material]]="","",IF(LEFT(tblMovement[[#This Row],[Material]],3)="Ore",1,0))</f>
        <v/>
      </c>
      <c r="N3899" s="59">
        <f>IF(OR(tblMovement[[#This Row],[Tonnes_t]]="",tblMovement[[#This Row],[Grade_gpt]]=""),0,tblMovement[[#This Row],[Tonnes_t]]*tblMovement[[#This Row],[Grade_gpt]]/cfg_TroyOz)</f>
        <v/>
      </c>
      <c r="O3899" s="59">
        <f>IF(tblMovement[[#This Row],[Is_Ore]]=1,tblMovement[[#This Row],[Contained_oz]],0)</f>
        <v/>
      </c>
    </row>
    <row r="3900">
      <c r="A3900" s="54" t="n"/>
      <c r="B3900" s="61" t="n"/>
      <c r="C3900" s="61" t="n"/>
      <c r="D3900" s="61" t="n"/>
      <c r="E3900" s="61" t="n"/>
      <c r="F3900" s="55" t="n"/>
      <c r="G3900" s="56" t="n"/>
      <c r="H3900" s="55" t="n"/>
      <c r="I3900" s="62" t="n"/>
      <c r="J3900" s="58" t="n"/>
      <c r="K3900" s="63">
        <f>IF(tblMovement[[#This Row],[Source]]="","",IFERROR(INDEX(tblSources[Type],MATCH(tblMovement[[#This Row],[Source]],tblSources[Source],0)),"?"))</f>
        <v/>
      </c>
      <c r="L3900" s="63">
        <f>IF(tblMovement[[#This Row],[Destination]]="","",IFERROR(INDEX(tblDestinations[Type],MATCH(tblMovement[[#This Row],[Destination]],tblDestinations[Destination],0)),"?"))</f>
        <v/>
      </c>
      <c r="M3900" s="64">
        <f>IF(tblMovement[[#This Row],[Material]]="","",IF(LEFT(tblMovement[[#This Row],[Material]],3)="Ore",1,0))</f>
        <v/>
      </c>
      <c r="N3900" s="59">
        <f>IF(OR(tblMovement[[#This Row],[Tonnes_t]]="",tblMovement[[#This Row],[Grade_gpt]]=""),0,tblMovement[[#This Row],[Tonnes_t]]*tblMovement[[#This Row],[Grade_gpt]]/cfg_TroyOz)</f>
        <v/>
      </c>
      <c r="O3900" s="59">
        <f>IF(tblMovement[[#This Row],[Is_Ore]]=1,tblMovement[[#This Row],[Contained_oz]],0)</f>
        <v/>
      </c>
    </row>
    <row r="3901">
      <c r="A3901" s="54" t="n"/>
      <c r="B3901" s="61" t="n"/>
      <c r="C3901" s="61" t="n"/>
      <c r="D3901" s="61" t="n"/>
      <c r="E3901" s="61" t="n"/>
      <c r="F3901" s="55" t="n"/>
      <c r="G3901" s="56" t="n"/>
      <c r="H3901" s="55" t="n"/>
      <c r="I3901" s="62" t="n"/>
      <c r="J3901" s="58" t="n"/>
      <c r="K3901" s="63">
        <f>IF(tblMovement[[#This Row],[Source]]="","",IFERROR(INDEX(tblSources[Type],MATCH(tblMovement[[#This Row],[Source]],tblSources[Source],0)),"?"))</f>
        <v/>
      </c>
      <c r="L3901" s="63">
        <f>IF(tblMovement[[#This Row],[Destination]]="","",IFERROR(INDEX(tblDestinations[Type],MATCH(tblMovement[[#This Row],[Destination]],tblDestinations[Destination],0)),"?"))</f>
        <v/>
      </c>
      <c r="M3901" s="64">
        <f>IF(tblMovement[[#This Row],[Material]]="","",IF(LEFT(tblMovement[[#This Row],[Material]],3)="Ore",1,0))</f>
        <v/>
      </c>
      <c r="N3901" s="59">
        <f>IF(OR(tblMovement[[#This Row],[Tonnes_t]]="",tblMovement[[#This Row],[Grade_gpt]]=""),0,tblMovement[[#This Row],[Tonnes_t]]*tblMovement[[#This Row],[Grade_gpt]]/cfg_TroyOz)</f>
        <v/>
      </c>
      <c r="O3901" s="59">
        <f>IF(tblMovement[[#This Row],[Is_Ore]]=1,tblMovement[[#This Row],[Contained_oz]],0)</f>
        <v/>
      </c>
    </row>
    <row r="3902">
      <c r="A3902" s="54" t="n"/>
      <c r="B3902" s="61" t="n"/>
      <c r="C3902" s="61" t="n"/>
      <c r="D3902" s="61" t="n"/>
      <c r="E3902" s="61" t="n"/>
      <c r="F3902" s="55" t="n"/>
      <c r="G3902" s="56" t="n"/>
      <c r="H3902" s="55" t="n"/>
      <c r="I3902" s="62" t="n"/>
      <c r="J3902" s="58" t="n"/>
      <c r="K3902" s="63">
        <f>IF(tblMovement[[#This Row],[Source]]="","",IFERROR(INDEX(tblSources[Type],MATCH(tblMovement[[#This Row],[Source]],tblSources[Source],0)),"?"))</f>
        <v/>
      </c>
      <c r="L3902" s="63">
        <f>IF(tblMovement[[#This Row],[Destination]]="","",IFERROR(INDEX(tblDestinations[Type],MATCH(tblMovement[[#This Row],[Destination]],tblDestinations[Destination],0)),"?"))</f>
        <v/>
      </c>
      <c r="M3902" s="64">
        <f>IF(tblMovement[[#This Row],[Material]]="","",IF(LEFT(tblMovement[[#This Row],[Material]],3)="Ore",1,0))</f>
        <v/>
      </c>
      <c r="N3902" s="59">
        <f>IF(OR(tblMovement[[#This Row],[Tonnes_t]]="",tblMovement[[#This Row],[Grade_gpt]]=""),0,tblMovement[[#This Row],[Tonnes_t]]*tblMovement[[#This Row],[Grade_gpt]]/cfg_TroyOz)</f>
        <v/>
      </c>
      <c r="O3902" s="59">
        <f>IF(tblMovement[[#This Row],[Is_Ore]]=1,tblMovement[[#This Row],[Contained_oz]],0)</f>
        <v/>
      </c>
    </row>
    <row r="3903">
      <c r="A3903" s="54" t="n"/>
      <c r="B3903" s="61" t="n"/>
      <c r="C3903" s="61" t="n"/>
      <c r="D3903" s="61" t="n"/>
      <c r="E3903" s="61" t="n"/>
      <c r="F3903" s="55" t="n"/>
      <c r="G3903" s="56" t="n"/>
      <c r="H3903" s="55" t="n"/>
      <c r="I3903" s="62" t="n"/>
      <c r="J3903" s="58" t="n"/>
      <c r="K3903" s="63">
        <f>IF(tblMovement[[#This Row],[Source]]="","",IFERROR(INDEX(tblSources[Type],MATCH(tblMovement[[#This Row],[Source]],tblSources[Source],0)),"?"))</f>
        <v/>
      </c>
      <c r="L3903" s="63">
        <f>IF(tblMovement[[#This Row],[Destination]]="","",IFERROR(INDEX(tblDestinations[Type],MATCH(tblMovement[[#This Row],[Destination]],tblDestinations[Destination],0)),"?"))</f>
        <v/>
      </c>
      <c r="M3903" s="64">
        <f>IF(tblMovement[[#This Row],[Material]]="","",IF(LEFT(tblMovement[[#This Row],[Material]],3)="Ore",1,0))</f>
        <v/>
      </c>
      <c r="N3903" s="59">
        <f>IF(OR(tblMovement[[#This Row],[Tonnes_t]]="",tblMovement[[#This Row],[Grade_gpt]]=""),0,tblMovement[[#This Row],[Tonnes_t]]*tblMovement[[#This Row],[Grade_gpt]]/cfg_TroyOz)</f>
        <v/>
      </c>
      <c r="O3903" s="59">
        <f>IF(tblMovement[[#This Row],[Is_Ore]]=1,tblMovement[[#This Row],[Contained_oz]],0)</f>
        <v/>
      </c>
    </row>
    <row r="3904">
      <c r="A3904" s="54" t="n"/>
      <c r="B3904" s="61" t="n"/>
      <c r="C3904" s="61" t="n"/>
      <c r="D3904" s="61" t="n"/>
      <c r="E3904" s="61" t="n"/>
      <c r="F3904" s="55" t="n"/>
      <c r="G3904" s="56" t="n"/>
      <c r="H3904" s="55" t="n"/>
      <c r="I3904" s="62" t="n"/>
      <c r="J3904" s="58" t="n"/>
      <c r="K3904" s="63">
        <f>IF(tblMovement[[#This Row],[Source]]="","",IFERROR(INDEX(tblSources[Type],MATCH(tblMovement[[#This Row],[Source]],tblSources[Source],0)),"?"))</f>
        <v/>
      </c>
      <c r="L3904" s="63">
        <f>IF(tblMovement[[#This Row],[Destination]]="","",IFERROR(INDEX(tblDestinations[Type],MATCH(tblMovement[[#This Row],[Destination]],tblDestinations[Destination],0)),"?"))</f>
        <v/>
      </c>
      <c r="M3904" s="64">
        <f>IF(tblMovement[[#This Row],[Material]]="","",IF(LEFT(tblMovement[[#This Row],[Material]],3)="Ore",1,0))</f>
        <v/>
      </c>
      <c r="N3904" s="59">
        <f>IF(OR(tblMovement[[#This Row],[Tonnes_t]]="",tblMovement[[#This Row],[Grade_gpt]]=""),0,tblMovement[[#This Row],[Tonnes_t]]*tblMovement[[#This Row],[Grade_gpt]]/cfg_TroyOz)</f>
        <v/>
      </c>
      <c r="O3904" s="59">
        <f>IF(tblMovement[[#This Row],[Is_Ore]]=1,tblMovement[[#This Row],[Contained_oz]],0)</f>
        <v/>
      </c>
    </row>
    <row r="3905">
      <c r="A3905" s="54" t="n"/>
      <c r="B3905" s="61" t="n"/>
      <c r="C3905" s="61" t="n"/>
      <c r="D3905" s="61" t="n"/>
      <c r="E3905" s="61" t="n"/>
      <c r="F3905" s="55" t="n"/>
      <c r="G3905" s="56" t="n"/>
      <c r="H3905" s="55" t="n"/>
      <c r="I3905" s="62" t="n"/>
      <c r="J3905" s="58" t="n"/>
      <c r="K3905" s="63">
        <f>IF(tblMovement[[#This Row],[Source]]="","",IFERROR(INDEX(tblSources[Type],MATCH(tblMovement[[#This Row],[Source]],tblSources[Source],0)),"?"))</f>
        <v/>
      </c>
      <c r="L3905" s="63">
        <f>IF(tblMovement[[#This Row],[Destination]]="","",IFERROR(INDEX(tblDestinations[Type],MATCH(tblMovement[[#This Row],[Destination]],tblDestinations[Destination],0)),"?"))</f>
        <v/>
      </c>
      <c r="M3905" s="64">
        <f>IF(tblMovement[[#This Row],[Material]]="","",IF(LEFT(tblMovement[[#This Row],[Material]],3)="Ore",1,0))</f>
        <v/>
      </c>
      <c r="N3905" s="59">
        <f>IF(OR(tblMovement[[#This Row],[Tonnes_t]]="",tblMovement[[#This Row],[Grade_gpt]]=""),0,tblMovement[[#This Row],[Tonnes_t]]*tblMovement[[#This Row],[Grade_gpt]]/cfg_TroyOz)</f>
        <v/>
      </c>
      <c r="O3905" s="59">
        <f>IF(tblMovement[[#This Row],[Is_Ore]]=1,tblMovement[[#This Row],[Contained_oz]],0)</f>
        <v/>
      </c>
    </row>
    <row r="3906">
      <c r="A3906" s="54" t="n"/>
      <c r="B3906" s="61" t="n"/>
      <c r="C3906" s="61" t="n"/>
      <c r="D3906" s="61" t="n"/>
      <c r="E3906" s="61" t="n"/>
      <c r="F3906" s="55" t="n"/>
      <c r="G3906" s="56" t="n"/>
      <c r="H3906" s="55" t="n"/>
      <c r="I3906" s="62" t="n"/>
      <c r="J3906" s="58" t="n"/>
      <c r="K3906" s="63">
        <f>IF(tblMovement[[#This Row],[Source]]="","",IFERROR(INDEX(tblSources[Type],MATCH(tblMovement[[#This Row],[Source]],tblSources[Source],0)),"?"))</f>
        <v/>
      </c>
      <c r="L3906" s="63">
        <f>IF(tblMovement[[#This Row],[Destination]]="","",IFERROR(INDEX(tblDestinations[Type],MATCH(tblMovement[[#This Row],[Destination]],tblDestinations[Destination],0)),"?"))</f>
        <v/>
      </c>
      <c r="M3906" s="64">
        <f>IF(tblMovement[[#This Row],[Material]]="","",IF(LEFT(tblMovement[[#This Row],[Material]],3)="Ore",1,0))</f>
        <v/>
      </c>
      <c r="N3906" s="59">
        <f>IF(OR(tblMovement[[#This Row],[Tonnes_t]]="",tblMovement[[#This Row],[Grade_gpt]]=""),0,tblMovement[[#This Row],[Tonnes_t]]*tblMovement[[#This Row],[Grade_gpt]]/cfg_TroyOz)</f>
        <v/>
      </c>
      <c r="O3906" s="59">
        <f>IF(tblMovement[[#This Row],[Is_Ore]]=1,tblMovement[[#This Row],[Contained_oz]],0)</f>
        <v/>
      </c>
    </row>
    <row r="3907">
      <c r="A3907" s="54" t="n"/>
      <c r="B3907" s="61" t="n"/>
      <c r="C3907" s="61" t="n"/>
      <c r="D3907" s="61" t="n"/>
      <c r="E3907" s="61" t="n"/>
      <c r="F3907" s="55" t="n"/>
      <c r="G3907" s="56" t="n"/>
      <c r="H3907" s="55" t="n"/>
      <c r="I3907" s="62" t="n"/>
      <c r="J3907" s="58" t="n"/>
      <c r="K3907" s="63">
        <f>IF(tblMovement[[#This Row],[Source]]="","",IFERROR(INDEX(tblSources[Type],MATCH(tblMovement[[#This Row],[Source]],tblSources[Source],0)),"?"))</f>
        <v/>
      </c>
      <c r="L3907" s="63">
        <f>IF(tblMovement[[#This Row],[Destination]]="","",IFERROR(INDEX(tblDestinations[Type],MATCH(tblMovement[[#This Row],[Destination]],tblDestinations[Destination],0)),"?"))</f>
        <v/>
      </c>
      <c r="M3907" s="64">
        <f>IF(tblMovement[[#This Row],[Material]]="","",IF(LEFT(tblMovement[[#This Row],[Material]],3)="Ore",1,0))</f>
        <v/>
      </c>
      <c r="N3907" s="59">
        <f>IF(OR(tblMovement[[#This Row],[Tonnes_t]]="",tblMovement[[#This Row],[Grade_gpt]]=""),0,tblMovement[[#This Row],[Tonnes_t]]*tblMovement[[#This Row],[Grade_gpt]]/cfg_TroyOz)</f>
        <v/>
      </c>
      <c r="O3907" s="59">
        <f>IF(tblMovement[[#This Row],[Is_Ore]]=1,tblMovement[[#This Row],[Contained_oz]],0)</f>
        <v/>
      </c>
    </row>
    <row r="3908">
      <c r="A3908" s="54" t="n"/>
      <c r="B3908" s="61" t="n"/>
      <c r="C3908" s="61" t="n"/>
      <c r="D3908" s="61" t="n"/>
      <c r="E3908" s="61" t="n"/>
      <c r="F3908" s="55" t="n"/>
      <c r="G3908" s="56" t="n"/>
      <c r="H3908" s="55" t="n"/>
      <c r="I3908" s="62" t="n"/>
      <c r="J3908" s="58" t="n"/>
      <c r="K3908" s="63">
        <f>IF(tblMovement[[#This Row],[Source]]="","",IFERROR(INDEX(tblSources[Type],MATCH(tblMovement[[#This Row],[Source]],tblSources[Source],0)),"?"))</f>
        <v/>
      </c>
      <c r="L3908" s="63">
        <f>IF(tblMovement[[#This Row],[Destination]]="","",IFERROR(INDEX(tblDestinations[Type],MATCH(tblMovement[[#This Row],[Destination]],tblDestinations[Destination],0)),"?"))</f>
        <v/>
      </c>
      <c r="M3908" s="64">
        <f>IF(tblMovement[[#This Row],[Material]]="","",IF(LEFT(tblMovement[[#This Row],[Material]],3)="Ore",1,0))</f>
        <v/>
      </c>
      <c r="N3908" s="59">
        <f>IF(OR(tblMovement[[#This Row],[Tonnes_t]]="",tblMovement[[#This Row],[Grade_gpt]]=""),0,tblMovement[[#This Row],[Tonnes_t]]*tblMovement[[#This Row],[Grade_gpt]]/cfg_TroyOz)</f>
        <v/>
      </c>
      <c r="O3908" s="59">
        <f>IF(tblMovement[[#This Row],[Is_Ore]]=1,tblMovement[[#This Row],[Contained_oz]],0)</f>
        <v/>
      </c>
    </row>
    <row r="3909">
      <c r="A3909" s="54" t="n"/>
      <c r="B3909" s="61" t="n"/>
      <c r="C3909" s="61" t="n"/>
      <c r="D3909" s="61" t="n"/>
      <c r="E3909" s="61" t="n"/>
      <c r="F3909" s="55" t="n"/>
      <c r="G3909" s="56" t="n"/>
      <c r="H3909" s="55" t="n"/>
      <c r="I3909" s="62" t="n"/>
      <c r="J3909" s="58" t="n"/>
      <c r="K3909" s="63">
        <f>IF(tblMovement[[#This Row],[Source]]="","",IFERROR(INDEX(tblSources[Type],MATCH(tblMovement[[#This Row],[Source]],tblSources[Source],0)),"?"))</f>
        <v/>
      </c>
      <c r="L3909" s="63">
        <f>IF(tblMovement[[#This Row],[Destination]]="","",IFERROR(INDEX(tblDestinations[Type],MATCH(tblMovement[[#This Row],[Destination]],tblDestinations[Destination],0)),"?"))</f>
        <v/>
      </c>
      <c r="M3909" s="64">
        <f>IF(tblMovement[[#This Row],[Material]]="","",IF(LEFT(tblMovement[[#This Row],[Material]],3)="Ore",1,0))</f>
        <v/>
      </c>
      <c r="N3909" s="59">
        <f>IF(OR(tblMovement[[#This Row],[Tonnes_t]]="",tblMovement[[#This Row],[Grade_gpt]]=""),0,tblMovement[[#This Row],[Tonnes_t]]*tblMovement[[#This Row],[Grade_gpt]]/cfg_TroyOz)</f>
        <v/>
      </c>
      <c r="O3909" s="59">
        <f>IF(tblMovement[[#This Row],[Is_Ore]]=1,tblMovement[[#This Row],[Contained_oz]],0)</f>
        <v/>
      </c>
    </row>
    <row r="3910">
      <c r="A3910" s="54" t="n"/>
      <c r="B3910" s="61" t="n"/>
      <c r="C3910" s="61" t="n"/>
      <c r="D3910" s="61" t="n"/>
      <c r="E3910" s="61" t="n"/>
      <c r="F3910" s="55" t="n"/>
      <c r="G3910" s="56" t="n"/>
      <c r="H3910" s="55" t="n"/>
      <c r="I3910" s="62" t="n"/>
      <c r="J3910" s="58" t="n"/>
      <c r="K3910" s="63">
        <f>IF(tblMovement[[#This Row],[Source]]="","",IFERROR(INDEX(tblSources[Type],MATCH(tblMovement[[#This Row],[Source]],tblSources[Source],0)),"?"))</f>
        <v/>
      </c>
      <c r="L3910" s="63">
        <f>IF(tblMovement[[#This Row],[Destination]]="","",IFERROR(INDEX(tblDestinations[Type],MATCH(tblMovement[[#This Row],[Destination]],tblDestinations[Destination],0)),"?"))</f>
        <v/>
      </c>
      <c r="M3910" s="64">
        <f>IF(tblMovement[[#This Row],[Material]]="","",IF(LEFT(tblMovement[[#This Row],[Material]],3)="Ore",1,0))</f>
        <v/>
      </c>
      <c r="N3910" s="59">
        <f>IF(OR(tblMovement[[#This Row],[Tonnes_t]]="",tblMovement[[#This Row],[Grade_gpt]]=""),0,tblMovement[[#This Row],[Tonnes_t]]*tblMovement[[#This Row],[Grade_gpt]]/cfg_TroyOz)</f>
        <v/>
      </c>
      <c r="O3910" s="59">
        <f>IF(tblMovement[[#This Row],[Is_Ore]]=1,tblMovement[[#This Row],[Contained_oz]],0)</f>
        <v/>
      </c>
    </row>
    <row r="3911">
      <c r="A3911" s="54" t="n"/>
      <c r="B3911" s="61" t="n"/>
      <c r="C3911" s="61" t="n"/>
      <c r="D3911" s="61" t="n"/>
      <c r="E3911" s="61" t="n"/>
      <c r="F3911" s="55" t="n"/>
      <c r="G3911" s="56" t="n"/>
      <c r="H3911" s="55" t="n"/>
      <c r="I3911" s="62" t="n"/>
      <c r="J3911" s="58" t="n"/>
      <c r="K3911" s="63">
        <f>IF(tblMovement[[#This Row],[Source]]="","",IFERROR(INDEX(tblSources[Type],MATCH(tblMovement[[#This Row],[Source]],tblSources[Source],0)),"?"))</f>
        <v/>
      </c>
      <c r="L3911" s="63">
        <f>IF(tblMovement[[#This Row],[Destination]]="","",IFERROR(INDEX(tblDestinations[Type],MATCH(tblMovement[[#This Row],[Destination]],tblDestinations[Destination],0)),"?"))</f>
        <v/>
      </c>
      <c r="M3911" s="64">
        <f>IF(tblMovement[[#This Row],[Material]]="","",IF(LEFT(tblMovement[[#This Row],[Material]],3)="Ore",1,0))</f>
        <v/>
      </c>
      <c r="N3911" s="59">
        <f>IF(OR(tblMovement[[#This Row],[Tonnes_t]]="",tblMovement[[#This Row],[Grade_gpt]]=""),0,tblMovement[[#This Row],[Tonnes_t]]*tblMovement[[#This Row],[Grade_gpt]]/cfg_TroyOz)</f>
        <v/>
      </c>
      <c r="O3911" s="59">
        <f>IF(tblMovement[[#This Row],[Is_Ore]]=1,tblMovement[[#This Row],[Contained_oz]],0)</f>
        <v/>
      </c>
    </row>
    <row r="3912">
      <c r="A3912" s="54" t="n"/>
      <c r="B3912" s="61" t="n"/>
      <c r="C3912" s="61" t="n"/>
      <c r="D3912" s="61" t="n"/>
      <c r="E3912" s="61" t="n"/>
      <c r="F3912" s="55" t="n"/>
      <c r="G3912" s="56" t="n"/>
      <c r="H3912" s="55" t="n"/>
      <c r="I3912" s="62" t="n"/>
      <c r="J3912" s="58" t="n"/>
      <c r="K3912" s="63">
        <f>IF(tblMovement[[#This Row],[Source]]="","",IFERROR(INDEX(tblSources[Type],MATCH(tblMovement[[#This Row],[Source]],tblSources[Source],0)),"?"))</f>
        <v/>
      </c>
      <c r="L3912" s="63">
        <f>IF(tblMovement[[#This Row],[Destination]]="","",IFERROR(INDEX(tblDestinations[Type],MATCH(tblMovement[[#This Row],[Destination]],tblDestinations[Destination],0)),"?"))</f>
        <v/>
      </c>
      <c r="M3912" s="64">
        <f>IF(tblMovement[[#This Row],[Material]]="","",IF(LEFT(tblMovement[[#This Row],[Material]],3)="Ore",1,0))</f>
        <v/>
      </c>
      <c r="N3912" s="59">
        <f>IF(OR(tblMovement[[#This Row],[Tonnes_t]]="",tblMovement[[#This Row],[Grade_gpt]]=""),0,tblMovement[[#This Row],[Tonnes_t]]*tblMovement[[#This Row],[Grade_gpt]]/cfg_TroyOz)</f>
        <v/>
      </c>
      <c r="O3912" s="59">
        <f>IF(tblMovement[[#This Row],[Is_Ore]]=1,tblMovement[[#This Row],[Contained_oz]],0)</f>
        <v/>
      </c>
    </row>
    <row r="3913">
      <c r="A3913" s="54" t="n"/>
      <c r="B3913" s="61" t="n"/>
      <c r="C3913" s="61" t="n"/>
      <c r="D3913" s="61" t="n"/>
      <c r="E3913" s="61" t="n"/>
      <c r="F3913" s="55" t="n"/>
      <c r="G3913" s="56" t="n"/>
      <c r="H3913" s="55" t="n"/>
      <c r="I3913" s="62" t="n"/>
      <c r="J3913" s="58" t="n"/>
      <c r="K3913" s="63">
        <f>IF(tblMovement[[#This Row],[Source]]="","",IFERROR(INDEX(tblSources[Type],MATCH(tblMovement[[#This Row],[Source]],tblSources[Source],0)),"?"))</f>
        <v/>
      </c>
      <c r="L3913" s="63">
        <f>IF(tblMovement[[#This Row],[Destination]]="","",IFERROR(INDEX(tblDestinations[Type],MATCH(tblMovement[[#This Row],[Destination]],tblDestinations[Destination],0)),"?"))</f>
        <v/>
      </c>
      <c r="M3913" s="64">
        <f>IF(tblMovement[[#This Row],[Material]]="","",IF(LEFT(tblMovement[[#This Row],[Material]],3)="Ore",1,0))</f>
        <v/>
      </c>
      <c r="N3913" s="59">
        <f>IF(OR(tblMovement[[#This Row],[Tonnes_t]]="",tblMovement[[#This Row],[Grade_gpt]]=""),0,tblMovement[[#This Row],[Tonnes_t]]*tblMovement[[#This Row],[Grade_gpt]]/cfg_TroyOz)</f>
        <v/>
      </c>
      <c r="O3913" s="59">
        <f>IF(tblMovement[[#This Row],[Is_Ore]]=1,tblMovement[[#This Row],[Contained_oz]],0)</f>
        <v/>
      </c>
    </row>
    <row r="3914">
      <c r="A3914" s="54" t="n"/>
      <c r="B3914" s="61" t="n"/>
      <c r="C3914" s="61" t="n"/>
      <c r="D3914" s="61" t="n"/>
      <c r="E3914" s="61" t="n"/>
      <c r="F3914" s="55" t="n"/>
      <c r="G3914" s="56" t="n"/>
      <c r="H3914" s="55" t="n"/>
      <c r="I3914" s="62" t="n"/>
      <c r="J3914" s="58" t="n"/>
      <c r="K3914" s="63">
        <f>IF(tblMovement[[#This Row],[Source]]="","",IFERROR(INDEX(tblSources[Type],MATCH(tblMovement[[#This Row],[Source]],tblSources[Source],0)),"?"))</f>
        <v/>
      </c>
      <c r="L3914" s="63">
        <f>IF(tblMovement[[#This Row],[Destination]]="","",IFERROR(INDEX(tblDestinations[Type],MATCH(tblMovement[[#This Row],[Destination]],tblDestinations[Destination],0)),"?"))</f>
        <v/>
      </c>
      <c r="M3914" s="64">
        <f>IF(tblMovement[[#This Row],[Material]]="","",IF(LEFT(tblMovement[[#This Row],[Material]],3)="Ore",1,0))</f>
        <v/>
      </c>
      <c r="N3914" s="59">
        <f>IF(OR(tblMovement[[#This Row],[Tonnes_t]]="",tblMovement[[#This Row],[Grade_gpt]]=""),0,tblMovement[[#This Row],[Tonnes_t]]*tblMovement[[#This Row],[Grade_gpt]]/cfg_TroyOz)</f>
        <v/>
      </c>
      <c r="O3914" s="59">
        <f>IF(tblMovement[[#This Row],[Is_Ore]]=1,tblMovement[[#This Row],[Contained_oz]],0)</f>
        <v/>
      </c>
    </row>
    <row r="3915">
      <c r="A3915" s="54" t="n"/>
      <c r="B3915" s="61" t="n"/>
      <c r="C3915" s="61" t="n"/>
      <c r="D3915" s="61" t="n"/>
      <c r="E3915" s="61" t="n"/>
      <c r="F3915" s="55" t="n"/>
      <c r="G3915" s="56" t="n"/>
      <c r="H3915" s="55" t="n"/>
      <c r="I3915" s="62" t="n"/>
      <c r="J3915" s="58" t="n"/>
      <c r="K3915" s="63">
        <f>IF(tblMovement[[#This Row],[Source]]="","",IFERROR(INDEX(tblSources[Type],MATCH(tblMovement[[#This Row],[Source]],tblSources[Source],0)),"?"))</f>
        <v/>
      </c>
      <c r="L3915" s="63">
        <f>IF(tblMovement[[#This Row],[Destination]]="","",IFERROR(INDEX(tblDestinations[Type],MATCH(tblMovement[[#This Row],[Destination]],tblDestinations[Destination],0)),"?"))</f>
        <v/>
      </c>
      <c r="M3915" s="64">
        <f>IF(tblMovement[[#This Row],[Material]]="","",IF(LEFT(tblMovement[[#This Row],[Material]],3)="Ore",1,0))</f>
        <v/>
      </c>
      <c r="N3915" s="59">
        <f>IF(OR(tblMovement[[#This Row],[Tonnes_t]]="",tblMovement[[#This Row],[Grade_gpt]]=""),0,tblMovement[[#This Row],[Tonnes_t]]*tblMovement[[#This Row],[Grade_gpt]]/cfg_TroyOz)</f>
        <v/>
      </c>
      <c r="O3915" s="59">
        <f>IF(tblMovement[[#This Row],[Is_Ore]]=1,tblMovement[[#This Row],[Contained_oz]],0)</f>
        <v/>
      </c>
    </row>
    <row r="3916">
      <c r="A3916" s="54" t="n"/>
      <c r="B3916" s="61" t="n"/>
      <c r="C3916" s="61" t="n"/>
      <c r="D3916" s="61" t="n"/>
      <c r="E3916" s="61" t="n"/>
      <c r="F3916" s="55" t="n"/>
      <c r="G3916" s="56" t="n"/>
      <c r="H3916" s="55" t="n"/>
      <c r="I3916" s="62" t="n"/>
      <c r="J3916" s="58" t="n"/>
      <c r="K3916" s="63">
        <f>IF(tblMovement[[#This Row],[Source]]="","",IFERROR(INDEX(tblSources[Type],MATCH(tblMovement[[#This Row],[Source]],tblSources[Source],0)),"?"))</f>
        <v/>
      </c>
      <c r="L3916" s="63">
        <f>IF(tblMovement[[#This Row],[Destination]]="","",IFERROR(INDEX(tblDestinations[Type],MATCH(tblMovement[[#This Row],[Destination]],tblDestinations[Destination],0)),"?"))</f>
        <v/>
      </c>
      <c r="M3916" s="64">
        <f>IF(tblMovement[[#This Row],[Material]]="","",IF(LEFT(tblMovement[[#This Row],[Material]],3)="Ore",1,0))</f>
        <v/>
      </c>
      <c r="N3916" s="59">
        <f>IF(OR(tblMovement[[#This Row],[Tonnes_t]]="",tblMovement[[#This Row],[Grade_gpt]]=""),0,tblMovement[[#This Row],[Tonnes_t]]*tblMovement[[#This Row],[Grade_gpt]]/cfg_TroyOz)</f>
        <v/>
      </c>
      <c r="O3916" s="59">
        <f>IF(tblMovement[[#This Row],[Is_Ore]]=1,tblMovement[[#This Row],[Contained_oz]],0)</f>
        <v/>
      </c>
    </row>
    <row r="3917">
      <c r="A3917" s="54" t="n"/>
      <c r="B3917" s="61" t="n"/>
      <c r="C3917" s="61" t="n"/>
      <c r="D3917" s="61" t="n"/>
      <c r="E3917" s="61" t="n"/>
      <c r="F3917" s="55" t="n"/>
      <c r="G3917" s="56" t="n"/>
      <c r="H3917" s="55" t="n"/>
      <c r="I3917" s="62" t="n"/>
      <c r="J3917" s="58" t="n"/>
      <c r="K3917" s="63">
        <f>IF(tblMovement[[#This Row],[Source]]="","",IFERROR(INDEX(tblSources[Type],MATCH(tblMovement[[#This Row],[Source]],tblSources[Source],0)),"?"))</f>
        <v/>
      </c>
      <c r="L3917" s="63">
        <f>IF(tblMovement[[#This Row],[Destination]]="","",IFERROR(INDEX(tblDestinations[Type],MATCH(tblMovement[[#This Row],[Destination]],tblDestinations[Destination],0)),"?"))</f>
        <v/>
      </c>
      <c r="M3917" s="64">
        <f>IF(tblMovement[[#This Row],[Material]]="","",IF(LEFT(tblMovement[[#This Row],[Material]],3)="Ore",1,0))</f>
        <v/>
      </c>
      <c r="N3917" s="59">
        <f>IF(OR(tblMovement[[#This Row],[Tonnes_t]]="",tblMovement[[#This Row],[Grade_gpt]]=""),0,tblMovement[[#This Row],[Tonnes_t]]*tblMovement[[#This Row],[Grade_gpt]]/cfg_TroyOz)</f>
        <v/>
      </c>
      <c r="O3917" s="59">
        <f>IF(tblMovement[[#This Row],[Is_Ore]]=1,tblMovement[[#This Row],[Contained_oz]],0)</f>
        <v/>
      </c>
    </row>
    <row r="3918">
      <c r="A3918" s="54" t="n"/>
      <c r="B3918" s="61" t="n"/>
      <c r="C3918" s="61" t="n"/>
      <c r="D3918" s="61" t="n"/>
      <c r="E3918" s="61" t="n"/>
      <c r="F3918" s="55" t="n"/>
      <c r="G3918" s="56" t="n"/>
      <c r="H3918" s="55" t="n"/>
      <c r="I3918" s="62" t="n"/>
      <c r="J3918" s="58" t="n"/>
      <c r="K3918" s="63">
        <f>IF(tblMovement[[#This Row],[Source]]="","",IFERROR(INDEX(tblSources[Type],MATCH(tblMovement[[#This Row],[Source]],tblSources[Source],0)),"?"))</f>
        <v/>
      </c>
      <c r="L3918" s="63">
        <f>IF(tblMovement[[#This Row],[Destination]]="","",IFERROR(INDEX(tblDestinations[Type],MATCH(tblMovement[[#This Row],[Destination]],tblDestinations[Destination],0)),"?"))</f>
        <v/>
      </c>
      <c r="M3918" s="64">
        <f>IF(tblMovement[[#This Row],[Material]]="","",IF(LEFT(tblMovement[[#This Row],[Material]],3)="Ore",1,0))</f>
        <v/>
      </c>
      <c r="N3918" s="59">
        <f>IF(OR(tblMovement[[#This Row],[Tonnes_t]]="",tblMovement[[#This Row],[Grade_gpt]]=""),0,tblMovement[[#This Row],[Tonnes_t]]*tblMovement[[#This Row],[Grade_gpt]]/cfg_TroyOz)</f>
        <v/>
      </c>
      <c r="O3918" s="59">
        <f>IF(tblMovement[[#This Row],[Is_Ore]]=1,tblMovement[[#This Row],[Contained_oz]],0)</f>
        <v/>
      </c>
    </row>
    <row r="3919">
      <c r="A3919" s="54" t="n"/>
      <c r="B3919" s="61" t="n"/>
      <c r="C3919" s="61" t="n"/>
      <c r="D3919" s="61" t="n"/>
      <c r="E3919" s="61" t="n"/>
      <c r="F3919" s="55" t="n"/>
      <c r="G3919" s="56" t="n"/>
      <c r="H3919" s="55" t="n"/>
      <c r="I3919" s="62" t="n"/>
      <c r="J3919" s="58" t="n"/>
      <c r="K3919" s="63">
        <f>IF(tblMovement[[#This Row],[Source]]="","",IFERROR(INDEX(tblSources[Type],MATCH(tblMovement[[#This Row],[Source]],tblSources[Source],0)),"?"))</f>
        <v/>
      </c>
      <c r="L3919" s="63">
        <f>IF(tblMovement[[#This Row],[Destination]]="","",IFERROR(INDEX(tblDestinations[Type],MATCH(tblMovement[[#This Row],[Destination]],tblDestinations[Destination],0)),"?"))</f>
        <v/>
      </c>
      <c r="M3919" s="64">
        <f>IF(tblMovement[[#This Row],[Material]]="","",IF(LEFT(tblMovement[[#This Row],[Material]],3)="Ore",1,0))</f>
        <v/>
      </c>
      <c r="N3919" s="59">
        <f>IF(OR(tblMovement[[#This Row],[Tonnes_t]]="",tblMovement[[#This Row],[Grade_gpt]]=""),0,tblMovement[[#This Row],[Tonnes_t]]*tblMovement[[#This Row],[Grade_gpt]]/cfg_TroyOz)</f>
        <v/>
      </c>
      <c r="O3919" s="59">
        <f>IF(tblMovement[[#This Row],[Is_Ore]]=1,tblMovement[[#This Row],[Contained_oz]],0)</f>
        <v/>
      </c>
    </row>
    <row r="3920">
      <c r="A3920" s="54" t="n"/>
      <c r="B3920" s="61" t="n"/>
      <c r="C3920" s="61" t="n"/>
      <c r="D3920" s="61" t="n"/>
      <c r="E3920" s="61" t="n"/>
      <c r="F3920" s="55" t="n"/>
      <c r="G3920" s="56" t="n"/>
      <c r="H3920" s="55" t="n"/>
      <c r="I3920" s="62" t="n"/>
      <c r="J3920" s="58" t="n"/>
      <c r="K3920" s="63">
        <f>IF(tblMovement[[#This Row],[Source]]="","",IFERROR(INDEX(tblSources[Type],MATCH(tblMovement[[#This Row],[Source]],tblSources[Source],0)),"?"))</f>
        <v/>
      </c>
      <c r="L3920" s="63">
        <f>IF(tblMovement[[#This Row],[Destination]]="","",IFERROR(INDEX(tblDestinations[Type],MATCH(tblMovement[[#This Row],[Destination]],tblDestinations[Destination],0)),"?"))</f>
        <v/>
      </c>
      <c r="M3920" s="64">
        <f>IF(tblMovement[[#This Row],[Material]]="","",IF(LEFT(tblMovement[[#This Row],[Material]],3)="Ore",1,0))</f>
        <v/>
      </c>
      <c r="N3920" s="59">
        <f>IF(OR(tblMovement[[#This Row],[Tonnes_t]]="",tblMovement[[#This Row],[Grade_gpt]]=""),0,tblMovement[[#This Row],[Tonnes_t]]*tblMovement[[#This Row],[Grade_gpt]]/cfg_TroyOz)</f>
        <v/>
      </c>
      <c r="O3920" s="59">
        <f>IF(tblMovement[[#This Row],[Is_Ore]]=1,tblMovement[[#This Row],[Contained_oz]],0)</f>
        <v/>
      </c>
    </row>
    <row r="3921">
      <c r="A3921" s="54" t="n"/>
      <c r="B3921" s="61" t="n"/>
      <c r="C3921" s="61" t="n"/>
      <c r="D3921" s="61" t="n"/>
      <c r="E3921" s="61" t="n"/>
      <c r="F3921" s="55" t="n"/>
      <c r="G3921" s="56" t="n"/>
      <c r="H3921" s="55" t="n"/>
      <c r="I3921" s="62" t="n"/>
      <c r="J3921" s="58" t="n"/>
      <c r="K3921" s="63">
        <f>IF(tblMovement[[#This Row],[Source]]="","",IFERROR(INDEX(tblSources[Type],MATCH(tblMovement[[#This Row],[Source]],tblSources[Source],0)),"?"))</f>
        <v/>
      </c>
      <c r="L3921" s="63">
        <f>IF(tblMovement[[#This Row],[Destination]]="","",IFERROR(INDEX(tblDestinations[Type],MATCH(tblMovement[[#This Row],[Destination]],tblDestinations[Destination],0)),"?"))</f>
        <v/>
      </c>
      <c r="M3921" s="64">
        <f>IF(tblMovement[[#This Row],[Material]]="","",IF(LEFT(tblMovement[[#This Row],[Material]],3)="Ore",1,0))</f>
        <v/>
      </c>
      <c r="N3921" s="59">
        <f>IF(OR(tblMovement[[#This Row],[Tonnes_t]]="",tblMovement[[#This Row],[Grade_gpt]]=""),0,tblMovement[[#This Row],[Tonnes_t]]*tblMovement[[#This Row],[Grade_gpt]]/cfg_TroyOz)</f>
        <v/>
      </c>
      <c r="O3921" s="59">
        <f>IF(tblMovement[[#This Row],[Is_Ore]]=1,tblMovement[[#This Row],[Contained_oz]],0)</f>
        <v/>
      </c>
    </row>
    <row r="3922">
      <c r="A3922" s="54" t="n"/>
      <c r="B3922" s="61" t="n"/>
      <c r="C3922" s="61" t="n"/>
      <c r="D3922" s="61" t="n"/>
      <c r="E3922" s="61" t="n"/>
      <c r="F3922" s="55" t="n"/>
      <c r="G3922" s="56" t="n"/>
      <c r="H3922" s="55" t="n"/>
      <c r="I3922" s="62" t="n"/>
      <c r="J3922" s="58" t="n"/>
      <c r="K3922" s="63">
        <f>IF(tblMovement[[#This Row],[Source]]="","",IFERROR(INDEX(tblSources[Type],MATCH(tblMovement[[#This Row],[Source]],tblSources[Source],0)),"?"))</f>
        <v/>
      </c>
      <c r="L3922" s="63">
        <f>IF(tblMovement[[#This Row],[Destination]]="","",IFERROR(INDEX(tblDestinations[Type],MATCH(tblMovement[[#This Row],[Destination]],tblDestinations[Destination],0)),"?"))</f>
        <v/>
      </c>
      <c r="M3922" s="64">
        <f>IF(tblMovement[[#This Row],[Material]]="","",IF(LEFT(tblMovement[[#This Row],[Material]],3)="Ore",1,0))</f>
        <v/>
      </c>
      <c r="N3922" s="59">
        <f>IF(OR(tblMovement[[#This Row],[Tonnes_t]]="",tblMovement[[#This Row],[Grade_gpt]]=""),0,tblMovement[[#This Row],[Tonnes_t]]*tblMovement[[#This Row],[Grade_gpt]]/cfg_TroyOz)</f>
        <v/>
      </c>
      <c r="O3922" s="59">
        <f>IF(tblMovement[[#This Row],[Is_Ore]]=1,tblMovement[[#This Row],[Contained_oz]],0)</f>
        <v/>
      </c>
    </row>
    <row r="3923">
      <c r="A3923" s="54" t="n"/>
      <c r="B3923" s="61" t="n"/>
      <c r="C3923" s="61" t="n"/>
      <c r="D3923" s="61" t="n"/>
      <c r="E3923" s="61" t="n"/>
      <c r="F3923" s="55" t="n"/>
      <c r="G3923" s="56" t="n"/>
      <c r="H3923" s="55" t="n"/>
      <c r="I3923" s="62" t="n"/>
      <c r="J3923" s="58" t="n"/>
      <c r="K3923" s="63">
        <f>IF(tblMovement[[#This Row],[Source]]="","",IFERROR(INDEX(tblSources[Type],MATCH(tblMovement[[#This Row],[Source]],tblSources[Source],0)),"?"))</f>
        <v/>
      </c>
      <c r="L3923" s="63">
        <f>IF(tblMovement[[#This Row],[Destination]]="","",IFERROR(INDEX(tblDestinations[Type],MATCH(tblMovement[[#This Row],[Destination]],tblDestinations[Destination],0)),"?"))</f>
        <v/>
      </c>
      <c r="M3923" s="64">
        <f>IF(tblMovement[[#This Row],[Material]]="","",IF(LEFT(tblMovement[[#This Row],[Material]],3)="Ore",1,0))</f>
        <v/>
      </c>
      <c r="N3923" s="59">
        <f>IF(OR(tblMovement[[#This Row],[Tonnes_t]]="",tblMovement[[#This Row],[Grade_gpt]]=""),0,tblMovement[[#This Row],[Tonnes_t]]*tblMovement[[#This Row],[Grade_gpt]]/cfg_TroyOz)</f>
        <v/>
      </c>
      <c r="O3923" s="59">
        <f>IF(tblMovement[[#This Row],[Is_Ore]]=1,tblMovement[[#This Row],[Contained_oz]],0)</f>
        <v/>
      </c>
    </row>
    <row r="3924">
      <c r="A3924" s="54" t="n"/>
      <c r="B3924" s="61" t="n"/>
      <c r="C3924" s="61" t="n"/>
      <c r="D3924" s="61" t="n"/>
      <c r="E3924" s="61" t="n"/>
      <c r="F3924" s="55" t="n"/>
      <c r="G3924" s="56" t="n"/>
      <c r="H3924" s="55" t="n"/>
      <c r="I3924" s="62" t="n"/>
      <c r="J3924" s="58" t="n"/>
      <c r="K3924" s="63">
        <f>IF(tblMovement[[#This Row],[Source]]="","",IFERROR(INDEX(tblSources[Type],MATCH(tblMovement[[#This Row],[Source]],tblSources[Source],0)),"?"))</f>
        <v/>
      </c>
      <c r="L3924" s="63">
        <f>IF(tblMovement[[#This Row],[Destination]]="","",IFERROR(INDEX(tblDestinations[Type],MATCH(tblMovement[[#This Row],[Destination]],tblDestinations[Destination],0)),"?"))</f>
        <v/>
      </c>
      <c r="M3924" s="64">
        <f>IF(tblMovement[[#This Row],[Material]]="","",IF(LEFT(tblMovement[[#This Row],[Material]],3)="Ore",1,0))</f>
        <v/>
      </c>
      <c r="N3924" s="59">
        <f>IF(OR(tblMovement[[#This Row],[Tonnes_t]]="",tblMovement[[#This Row],[Grade_gpt]]=""),0,tblMovement[[#This Row],[Tonnes_t]]*tblMovement[[#This Row],[Grade_gpt]]/cfg_TroyOz)</f>
        <v/>
      </c>
      <c r="O3924" s="59">
        <f>IF(tblMovement[[#This Row],[Is_Ore]]=1,tblMovement[[#This Row],[Contained_oz]],0)</f>
        <v/>
      </c>
    </row>
    <row r="3925">
      <c r="A3925" s="54" t="n"/>
      <c r="B3925" s="61" t="n"/>
      <c r="C3925" s="61" t="n"/>
      <c r="D3925" s="61" t="n"/>
      <c r="E3925" s="61" t="n"/>
      <c r="F3925" s="55" t="n"/>
      <c r="G3925" s="56" t="n"/>
      <c r="H3925" s="55" t="n"/>
      <c r="I3925" s="62" t="n"/>
      <c r="J3925" s="58" t="n"/>
      <c r="K3925" s="63">
        <f>IF(tblMovement[[#This Row],[Source]]="","",IFERROR(INDEX(tblSources[Type],MATCH(tblMovement[[#This Row],[Source]],tblSources[Source],0)),"?"))</f>
        <v/>
      </c>
      <c r="L3925" s="63">
        <f>IF(tblMovement[[#This Row],[Destination]]="","",IFERROR(INDEX(tblDestinations[Type],MATCH(tblMovement[[#This Row],[Destination]],tblDestinations[Destination],0)),"?"))</f>
        <v/>
      </c>
      <c r="M3925" s="64">
        <f>IF(tblMovement[[#This Row],[Material]]="","",IF(LEFT(tblMovement[[#This Row],[Material]],3)="Ore",1,0))</f>
        <v/>
      </c>
      <c r="N3925" s="59">
        <f>IF(OR(tblMovement[[#This Row],[Tonnes_t]]="",tblMovement[[#This Row],[Grade_gpt]]=""),0,tblMovement[[#This Row],[Tonnes_t]]*tblMovement[[#This Row],[Grade_gpt]]/cfg_TroyOz)</f>
        <v/>
      </c>
      <c r="O3925" s="59">
        <f>IF(tblMovement[[#This Row],[Is_Ore]]=1,tblMovement[[#This Row],[Contained_oz]],0)</f>
        <v/>
      </c>
    </row>
    <row r="3926">
      <c r="A3926" s="54" t="n"/>
      <c r="B3926" s="61" t="n"/>
      <c r="C3926" s="61" t="n"/>
      <c r="D3926" s="61" t="n"/>
      <c r="E3926" s="61" t="n"/>
      <c r="F3926" s="55" t="n"/>
      <c r="G3926" s="56" t="n"/>
      <c r="H3926" s="55" t="n"/>
      <c r="I3926" s="62" t="n"/>
      <c r="J3926" s="58" t="n"/>
      <c r="K3926" s="63">
        <f>IF(tblMovement[[#This Row],[Source]]="","",IFERROR(INDEX(tblSources[Type],MATCH(tblMovement[[#This Row],[Source]],tblSources[Source],0)),"?"))</f>
        <v/>
      </c>
      <c r="L3926" s="63">
        <f>IF(tblMovement[[#This Row],[Destination]]="","",IFERROR(INDEX(tblDestinations[Type],MATCH(tblMovement[[#This Row],[Destination]],tblDestinations[Destination],0)),"?"))</f>
        <v/>
      </c>
      <c r="M3926" s="64">
        <f>IF(tblMovement[[#This Row],[Material]]="","",IF(LEFT(tblMovement[[#This Row],[Material]],3)="Ore",1,0))</f>
        <v/>
      </c>
      <c r="N3926" s="59">
        <f>IF(OR(tblMovement[[#This Row],[Tonnes_t]]="",tblMovement[[#This Row],[Grade_gpt]]=""),0,tblMovement[[#This Row],[Tonnes_t]]*tblMovement[[#This Row],[Grade_gpt]]/cfg_TroyOz)</f>
        <v/>
      </c>
      <c r="O3926" s="59">
        <f>IF(tblMovement[[#This Row],[Is_Ore]]=1,tblMovement[[#This Row],[Contained_oz]],0)</f>
        <v/>
      </c>
    </row>
    <row r="3927">
      <c r="A3927" s="54" t="n"/>
      <c r="B3927" s="61" t="n"/>
      <c r="C3927" s="61" t="n"/>
      <c r="D3927" s="61" t="n"/>
      <c r="E3927" s="61" t="n"/>
      <c r="F3927" s="55" t="n"/>
      <c r="G3927" s="56" t="n"/>
      <c r="H3927" s="55" t="n"/>
      <c r="I3927" s="62" t="n"/>
      <c r="J3927" s="58" t="n"/>
      <c r="K3927" s="63">
        <f>IF(tblMovement[[#This Row],[Source]]="","",IFERROR(INDEX(tblSources[Type],MATCH(tblMovement[[#This Row],[Source]],tblSources[Source],0)),"?"))</f>
        <v/>
      </c>
      <c r="L3927" s="63">
        <f>IF(tblMovement[[#This Row],[Destination]]="","",IFERROR(INDEX(tblDestinations[Type],MATCH(tblMovement[[#This Row],[Destination]],tblDestinations[Destination],0)),"?"))</f>
        <v/>
      </c>
      <c r="M3927" s="64">
        <f>IF(tblMovement[[#This Row],[Material]]="","",IF(LEFT(tblMovement[[#This Row],[Material]],3)="Ore",1,0))</f>
        <v/>
      </c>
      <c r="N3927" s="59">
        <f>IF(OR(tblMovement[[#This Row],[Tonnes_t]]="",tblMovement[[#This Row],[Grade_gpt]]=""),0,tblMovement[[#This Row],[Tonnes_t]]*tblMovement[[#This Row],[Grade_gpt]]/cfg_TroyOz)</f>
        <v/>
      </c>
      <c r="O3927" s="59">
        <f>IF(tblMovement[[#This Row],[Is_Ore]]=1,tblMovement[[#This Row],[Contained_oz]],0)</f>
        <v/>
      </c>
    </row>
    <row r="3928">
      <c r="A3928" s="54" t="n"/>
      <c r="B3928" s="61" t="n"/>
      <c r="C3928" s="61" t="n"/>
      <c r="D3928" s="61" t="n"/>
      <c r="E3928" s="61" t="n"/>
      <c r="F3928" s="55" t="n"/>
      <c r="G3928" s="56" t="n"/>
      <c r="H3928" s="55" t="n"/>
      <c r="I3928" s="62" t="n"/>
      <c r="J3928" s="58" t="n"/>
      <c r="K3928" s="63">
        <f>IF(tblMovement[[#This Row],[Source]]="","",IFERROR(INDEX(tblSources[Type],MATCH(tblMovement[[#This Row],[Source]],tblSources[Source],0)),"?"))</f>
        <v/>
      </c>
      <c r="L3928" s="63">
        <f>IF(tblMovement[[#This Row],[Destination]]="","",IFERROR(INDEX(tblDestinations[Type],MATCH(tblMovement[[#This Row],[Destination]],tblDestinations[Destination],0)),"?"))</f>
        <v/>
      </c>
      <c r="M3928" s="64">
        <f>IF(tblMovement[[#This Row],[Material]]="","",IF(LEFT(tblMovement[[#This Row],[Material]],3)="Ore",1,0))</f>
        <v/>
      </c>
      <c r="N3928" s="59">
        <f>IF(OR(tblMovement[[#This Row],[Tonnes_t]]="",tblMovement[[#This Row],[Grade_gpt]]=""),0,tblMovement[[#This Row],[Tonnes_t]]*tblMovement[[#This Row],[Grade_gpt]]/cfg_TroyOz)</f>
        <v/>
      </c>
      <c r="O3928" s="59">
        <f>IF(tblMovement[[#This Row],[Is_Ore]]=1,tblMovement[[#This Row],[Contained_oz]],0)</f>
        <v/>
      </c>
    </row>
    <row r="3929">
      <c r="A3929" s="54" t="n"/>
      <c r="B3929" s="61" t="n"/>
      <c r="C3929" s="61" t="n"/>
      <c r="D3929" s="61" t="n"/>
      <c r="E3929" s="61" t="n"/>
      <c r="F3929" s="55" t="n"/>
      <c r="G3929" s="56" t="n"/>
      <c r="H3929" s="55" t="n"/>
      <c r="I3929" s="62" t="n"/>
      <c r="J3929" s="58" t="n"/>
      <c r="K3929" s="63">
        <f>IF(tblMovement[[#This Row],[Source]]="","",IFERROR(INDEX(tblSources[Type],MATCH(tblMovement[[#This Row],[Source]],tblSources[Source],0)),"?"))</f>
        <v/>
      </c>
      <c r="L3929" s="63">
        <f>IF(tblMovement[[#This Row],[Destination]]="","",IFERROR(INDEX(tblDestinations[Type],MATCH(tblMovement[[#This Row],[Destination]],tblDestinations[Destination],0)),"?"))</f>
        <v/>
      </c>
      <c r="M3929" s="64">
        <f>IF(tblMovement[[#This Row],[Material]]="","",IF(LEFT(tblMovement[[#This Row],[Material]],3)="Ore",1,0))</f>
        <v/>
      </c>
      <c r="N3929" s="59">
        <f>IF(OR(tblMovement[[#This Row],[Tonnes_t]]="",tblMovement[[#This Row],[Grade_gpt]]=""),0,tblMovement[[#This Row],[Tonnes_t]]*tblMovement[[#This Row],[Grade_gpt]]/cfg_TroyOz)</f>
        <v/>
      </c>
      <c r="O3929" s="59">
        <f>IF(tblMovement[[#This Row],[Is_Ore]]=1,tblMovement[[#This Row],[Contained_oz]],0)</f>
        <v/>
      </c>
    </row>
    <row r="3930">
      <c r="A3930" s="54" t="n"/>
      <c r="B3930" s="61" t="n"/>
      <c r="C3930" s="61" t="n"/>
      <c r="D3930" s="61" t="n"/>
      <c r="E3930" s="61" t="n"/>
      <c r="F3930" s="55" t="n"/>
      <c r="G3930" s="56" t="n"/>
      <c r="H3930" s="55" t="n"/>
      <c r="I3930" s="62" t="n"/>
      <c r="J3930" s="58" t="n"/>
      <c r="K3930" s="63">
        <f>IF(tblMovement[[#This Row],[Source]]="","",IFERROR(INDEX(tblSources[Type],MATCH(tblMovement[[#This Row],[Source]],tblSources[Source],0)),"?"))</f>
        <v/>
      </c>
      <c r="L3930" s="63">
        <f>IF(tblMovement[[#This Row],[Destination]]="","",IFERROR(INDEX(tblDestinations[Type],MATCH(tblMovement[[#This Row],[Destination]],tblDestinations[Destination],0)),"?"))</f>
        <v/>
      </c>
      <c r="M3930" s="64">
        <f>IF(tblMovement[[#This Row],[Material]]="","",IF(LEFT(tblMovement[[#This Row],[Material]],3)="Ore",1,0))</f>
        <v/>
      </c>
      <c r="N3930" s="59">
        <f>IF(OR(tblMovement[[#This Row],[Tonnes_t]]="",tblMovement[[#This Row],[Grade_gpt]]=""),0,tblMovement[[#This Row],[Tonnes_t]]*tblMovement[[#This Row],[Grade_gpt]]/cfg_TroyOz)</f>
        <v/>
      </c>
      <c r="O3930" s="59">
        <f>IF(tblMovement[[#This Row],[Is_Ore]]=1,tblMovement[[#This Row],[Contained_oz]],0)</f>
        <v/>
      </c>
    </row>
    <row r="3931">
      <c r="A3931" s="54" t="n"/>
      <c r="B3931" s="61" t="n"/>
      <c r="C3931" s="61" t="n"/>
      <c r="D3931" s="61" t="n"/>
      <c r="E3931" s="61" t="n"/>
      <c r="F3931" s="55" t="n"/>
      <c r="G3931" s="56" t="n"/>
      <c r="H3931" s="55" t="n"/>
      <c r="I3931" s="62" t="n"/>
      <c r="J3931" s="58" t="n"/>
      <c r="K3931" s="63">
        <f>IF(tblMovement[[#This Row],[Source]]="","",IFERROR(INDEX(tblSources[Type],MATCH(tblMovement[[#This Row],[Source]],tblSources[Source],0)),"?"))</f>
        <v/>
      </c>
      <c r="L3931" s="63">
        <f>IF(tblMovement[[#This Row],[Destination]]="","",IFERROR(INDEX(tblDestinations[Type],MATCH(tblMovement[[#This Row],[Destination]],tblDestinations[Destination],0)),"?"))</f>
        <v/>
      </c>
      <c r="M3931" s="64">
        <f>IF(tblMovement[[#This Row],[Material]]="","",IF(LEFT(tblMovement[[#This Row],[Material]],3)="Ore",1,0))</f>
        <v/>
      </c>
      <c r="N3931" s="59">
        <f>IF(OR(tblMovement[[#This Row],[Tonnes_t]]="",tblMovement[[#This Row],[Grade_gpt]]=""),0,tblMovement[[#This Row],[Tonnes_t]]*tblMovement[[#This Row],[Grade_gpt]]/cfg_TroyOz)</f>
        <v/>
      </c>
      <c r="O3931" s="59">
        <f>IF(tblMovement[[#This Row],[Is_Ore]]=1,tblMovement[[#This Row],[Contained_oz]],0)</f>
        <v/>
      </c>
    </row>
    <row r="3932">
      <c r="A3932" s="54" t="n"/>
      <c r="B3932" s="61" t="n"/>
      <c r="C3932" s="61" t="n"/>
      <c r="D3932" s="61" t="n"/>
      <c r="E3932" s="61" t="n"/>
      <c r="F3932" s="55" t="n"/>
      <c r="G3932" s="56" t="n"/>
      <c r="H3932" s="55" t="n"/>
      <c r="I3932" s="62" t="n"/>
      <c r="J3932" s="58" t="n"/>
      <c r="K3932" s="63">
        <f>IF(tblMovement[[#This Row],[Source]]="","",IFERROR(INDEX(tblSources[Type],MATCH(tblMovement[[#This Row],[Source]],tblSources[Source],0)),"?"))</f>
        <v/>
      </c>
      <c r="L3932" s="63">
        <f>IF(tblMovement[[#This Row],[Destination]]="","",IFERROR(INDEX(tblDestinations[Type],MATCH(tblMovement[[#This Row],[Destination]],tblDestinations[Destination],0)),"?"))</f>
        <v/>
      </c>
      <c r="M3932" s="64">
        <f>IF(tblMovement[[#This Row],[Material]]="","",IF(LEFT(tblMovement[[#This Row],[Material]],3)="Ore",1,0))</f>
        <v/>
      </c>
      <c r="N3932" s="59">
        <f>IF(OR(tblMovement[[#This Row],[Tonnes_t]]="",tblMovement[[#This Row],[Grade_gpt]]=""),0,tblMovement[[#This Row],[Tonnes_t]]*tblMovement[[#This Row],[Grade_gpt]]/cfg_TroyOz)</f>
        <v/>
      </c>
      <c r="O3932" s="59">
        <f>IF(tblMovement[[#This Row],[Is_Ore]]=1,tblMovement[[#This Row],[Contained_oz]],0)</f>
        <v/>
      </c>
    </row>
    <row r="3933">
      <c r="A3933" s="54" t="n"/>
      <c r="B3933" s="61" t="n"/>
      <c r="C3933" s="61" t="n"/>
      <c r="D3933" s="61" t="n"/>
      <c r="E3933" s="61" t="n"/>
      <c r="F3933" s="55" t="n"/>
      <c r="G3933" s="56" t="n"/>
      <c r="H3933" s="55" t="n"/>
      <c r="I3933" s="62" t="n"/>
      <c r="J3933" s="58" t="n"/>
      <c r="K3933" s="63">
        <f>IF(tblMovement[[#This Row],[Source]]="","",IFERROR(INDEX(tblSources[Type],MATCH(tblMovement[[#This Row],[Source]],tblSources[Source],0)),"?"))</f>
        <v/>
      </c>
      <c r="L3933" s="63">
        <f>IF(tblMovement[[#This Row],[Destination]]="","",IFERROR(INDEX(tblDestinations[Type],MATCH(tblMovement[[#This Row],[Destination]],tblDestinations[Destination],0)),"?"))</f>
        <v/>
      </c>
      <c r="M3933" s="64">
        <f>IF(tblMovement[[#This Row],[Material]]="","",IF(LEFT(tblMovement[[#This Row],[Material]],3)="Ore",1,0))</f>
        <v/>
      </c>
      <c r="N3933" s="59">
        <f>IF(OR(tblMovement[[#This Row],[Tonnes_t]]="",tblMovement[[#This Row],[Grade_gpt]]=""),0,tblMovement[[#This Row],[Tonnes_t]]*tblMovement[[#This Row],[Grade_gpt]]/cfg_TroyOz)</f>
        <v/>
      </c>
      <c r="O3933" s="59">
        <f>IF(tblMovement[[#This Row],[Is_Ore]]=1,tblMovement[[#This Row],[Contained_oz]],0)</f>
        <v/>
      </c>
    </row>
    <row r="3934">
      <c r="A3934" s="54" t="n"/>
      <c r="B3934" s="61" t="n"/>
      <c r="C3934" s="61" t="n"/>
      <c r="D3934" s="61" t="n"/>
      <c r="E3934" s="61" t="n"/>
      <c r="F3934" s="55" t="n"/>
      <c r="G3934" s="56" t="n"/>
      <c r="H3934" s="55" t="n"/>
      <c r="I3934" s="62" t="n"/>
      <c r="J3934" s="58" t="n"/>
      <c r="K3934" s="63">
        <f>IF(tblMovement[[#This Row],[Source]]="","",IFERROR(INDEX(tblSources[Type],MATCH(tblMovement[[#This Row],[Source]],tblSources[Source],0)),"?"))</f>
        <v/>
      </c>
      <c r="L3934" s="63">
        <f>IF(tblMovement[[#This Row],[Destination]]="","",IFERROR(INDEX(tblDestinations[Type],MATCH(tblMovement[[#This Row],[Destination]],tblDestinations[Destination],0)),"?"))</f>
        <v/>
      </c>
      <c r="M3934" s="64">
        <f>IF(tblMovement[[#This Row],[Material]]="","",IF(LEFT(tblMovement[[#This Row],[Material]],3)="Ore",1,0))</f>
        <v/>
      </c>
      <c r="N3934" s="59">
        <f>IF(OR(tblMovement[[#This Row],[Tonnes_t]]="",tblMovement[[#This Row],[Grade_gpt]]=""),0,tblMovement[[#This Row],[Tonnes_t]]*tblMovement[[#This Row],[Grade_gpt]]/cfg_TroyOz)</f>
        <v/>
      </c>
      <c r="O3934" s="59">
        <f>IF(tblMovement[[#This Row],[Is_Ore]]=1,tblMovement[[#This Row],[Contained_oz]],0)</f>
        <v/>
      </c>
    </row>
    <row r="3935">
      <c r="A3935" s="54" t="n"/>
      <c r="B3935" s="61" t="n"/>
      <c r="C3935" s="61" t="n"/>
      <c r="D3935" s="61" t="n"/>
      <c r="E3935" s="61" t="n"/>
      <c r="F3935" s="55" t="n"/>
      <c r="G3935" s="56" t="n"/>
      <c r="H3935" s="55" t="n"/>
      <c r="I3935" s="62" t="n"/>
      <c r="J3935" s="58" t="n"/>
      <c r="K3935" s="63">
        <f>IF(tblMovement[[#This Row],[Source]]="","",IFERROR(INDEX(tblSources[Type],MATCH(tblMovement[[#This Row],[Source]],tblSources[Source],0)),"?"))</f>
        <v/>
      </c>
      <c r="L3935" s="63">
        <f>IF(tblMovement[[#This Row],[Destination]]="","",IFERROR(INDEX(tblDestinations[Type],MATCH(tblMovement[[#This Row],[Destination]],tblDestinations[Destination],0)),"?"))</f>
        <v/>
      </c>
      <c r="M3935" s="64">
        <f>IF(tblMovement[[#This Row],[Material]]="","",IF(LEFT(tblMovement[[#This Row],[Material]],3)="Ore",1,0))</f>
        <v/>
      </c>
      <c r="N3935" s="59">
        <f>IF(OR(tblMovement[[#This Row],[Tonnes_t]]="",tblMovement[[#This Row],[Grade_gpt]]=""),0,tblMovement[[#This Row],[Tonnes_t]]*tblMovement[[#This Row],[Grade_gpt]]/cfg_TroyOz)</f>
        <v/>
      </c>
      <c r="O3935" s="59">
        <f>IF(tblMovement[[#This Row],[Is_Ore]]=1,tblMovement[[#This Row],[Contained_oz]],0)</f>
        <v/>
      </c>
    </row>
    <row r="3936">
      <c r="A3936" s="54" t="n"/>
      <c r="B3936" s="61" t="n"/>
      <c r="C3936" s="61" t="n"/>
      <c r="D3936" s="61" t="n"/>
      <c r="E3936" s="61" t="n"/>
      <c r="F3936" s="55" t="n"/>
      <c r="G3936" s="56" t="n"/>
      <c r="H3936" s="55" t="n"/>
      <c r="I3936" s="62" t="n"/>
      <c r="J3936" s="58" t="n"/>
      <c r="K3936" s="63">
        <f>IF(tblMovement[[#This Row],[Source]]="","",IFERROR(INDEX(tblSources[Type],MATCH(tblMovement[[#This Row],[Source]],tblSources[Source],0)),"?"))</f>
        <v/>
      </c>
      <c r="L3936" s="63">
        <f>IF(tblMovement[[#This Row],[Destination]]="","",IFERROR(INDEX(tblDestinations[Type],MATCH(tblMovement[[#This Row],[Destination]],tblDestinations[Destination],0)),"?"))</f>
        <v/>
      </c>
      <c r="M3936" s="64">
        <f>IF(tblMovement[[#This Row],[Material]]="","",IF(LEFT(tblMovement[[#This Row],[Material]],3)="Ore",1,0))</f>
        <v/>
      </c>
      <c r="N3936" s="59">
        <f>IF(OR(tblMovement[[#This Row],[Tonnes_t]]="",tblMovement[[#This Row],[Grade_gpt]]=""),0,tblMovement[[#This Row],[Tonnes_t]]*tblMovement[[#This Row],[Grade_gpt]]/cfg_TroyOz)</f>
        <v/>
      </c>
      <c r="O3936" s="59">
        <f>IF(tblMovement[[#This Row],[Is_Ore]]=1,tblMovement[[#This Row],[Contained_oz]],0)</f>
        <v/>
      </c>
    </row>
    <row r="3937">
      <c r="A3937" s="54" t="n"/>
      <c r="B3937" s="61" t="n"/>
      <c r="C3937" s="61" t="n"/>
      <c r="D3937" s="61" t="n"/>
      <c r="E3937" s="61" t="n"/>
      <c r="F3937" s="55" t="n"/>
      <c r="G3937" s="56" t="n"/>
      <c r="H3937" s="55" t="n"/>
      <c r="I3937" s="62" t="n"/>
      <c r="J3937" s="58" t="n"/>
      <c r="K3937" s="63">
        <f>IF(tblMovement[[#This Row],[Source]]="","",IFERROR(INDEX(tblSources[Type],MATCH(tblMovement[[#This Row],[Source]],tblSources[Source],0)),"?"))</f>
        <v/>
      </c>
      <c r="L3937" s="63">
        <f>IF(tblMovement[[#This Row],[Destination]]="","",IFERROR(INDEX(tblDestinations[Type],MATCH(tblMovement[[#This Row],[Destination]],tblDestinations[Destination],0)),"?"))</f>
        <v/>
      </c>
      <c r="M3937" s="64">
        <f>IF(tblMovement[[#This Row],[Material]]="","",IF(LEFT(tblMovement[[#This Row],[Material]],3)="Ore",1,0))</f>
        <v/>
      </c>
      <c r="N3937" s="59">
        <f>IF(OR(tblMovement[[#This Row],[Tonnes_t]]="",tblMovement[[#This Row],[Grade_gpt]]=""),0,tblMovement[[#This Row],[Tonnes_t]]*tblMovement[[#This Row],[Grade_gpt]]/cfg_TroyOz)</f>
        <v/>
      </c>
      <c r="O3937" s="59">
        <f>IF(tblMovement[[#This Row],[Is_Ore]]=1,tblMovement[[#This Row],[Contained_oz]],0)</f>
        <v/>
      </c>
    </row>
    <row r="3938">
      <c r="A3938" s="54" t="n"/>
      <c r="B3938" s="61" t="n"/>
      <c r="C3938" s="61" t="n"/>
      <c r="D3938" s="61" t="n"/>
      <c r="E3938" s="61" t="n"/>
      <c r="F3938" s="55" t="n"/>
      <c r="G3938" s="56" t="n"/>
      <c r="H3938" s="55" t="n"/>
      <c r="I3938" s="62" t="n"/>
      <c r="J3938" s="58" t="n"/>
      <c r="K3938" s="63">
        <f>IF(tblMovement[[#This Row],[Source]]="","",IFERROR(INDEX(tblSources[Type],MATCH(tblMovement[[#This Row],[Source]],tblSources[Source],0)),"?"))</f>
        <v/>
      </c>
      <c r="L3938" s="63">
        <f>IF(tblMovement[[#This Row],[Destination]]="","",IFERROR(INDEX(tblDestinations[Type],MATCH(tblMovement[[#This Row],[Destination]],tblDestinations[Destination],0)),"?"))</f>
        <v/>
      </c>
      <c r="M3938" s="64">
        <f>IF(tblMovement[[#This Row],[Material]]="","",IF(LEFT(tblMovement[[#This Row],[Material]],3)="Ore",1,0))</f>
        <v/>
      </c>
      <c r="N3938" s="59">
        <f>IF(OR(tblMovement[[#This Row],[Tonnes_t]]="",tblMovement[[#This Row],[Grade_gpt]]=""),0,tblMovement[[#This Row],[Tonnes_t]]*tblMovement[[#This Row],[Grade_gpt]]/cfg_TroyOz)</f>
        <v/>
      </c>
      <c r="O3938" s="59">
        <f>IF(tblMovement[[#This Row],[Is_Ore]]=1,tblMovement[[#This Row],[Contained_oz]],0)</f>
        <v/>
      </c>
    </row>
    <row r="3939">
      <c r="A3939" s="54" t="n"/>
      <c r="B3939" s="61" t="n"/>
      <c r="C3939" s="61" t="n"/>
      <c r="D3939" s="61" t="n"/>
      <c r="E3939" s="61" t="n"/>
      <c r="F3939" s="55" t="n"/>
      <c r="G3939" s="56" t="n"/>
      <c r="H3939" s="55" t="n"/>
      <c r="I3939" s="62" t="n"/>
      <c r="J3939" s="58" t="n"/>
      <c r="K3939" s="63">
        <f>IF(tblMovement[[#This Row],[Source]]="","",IFERROR(INDEX(tblSources[Type],MATCH(tblMovement[[#This Row],[Source]],tblSources[Source],0)),"?"))</f>
        <v/>
      </c>
      <c r="L3939" s="63">
        <f>IF(tblMovement[[#This Row],[Destination]]="","",IFERROR(INDEX(tblDestinations[Type],MATCH(tblMovement[[#This Row],[Destination]],tblDestinations[Destination],0)),"?"))</f>
        <v/>
      </c>
      <c r="M3939" s="64">
        <f>IF(tblMovement[[#This Row],[Material]]="","",IF(LEFT(tblMovement[[#This Row],[Material]],3)="Ore",1,0))</f>
        <v/>
      </c>
      <c r="N3939" s="59">
        <f>IF(OR(tblMovement[[#This Row],[Tonnes_t]]="",tblMovement[[#This Row],[Grade_gpt]]=""),0,tblMovement[[#This Row],[Tonnes_t]]*tblMovement[[#This Row],[Grade_gpt]]/cfg_TroyOz)</f>
        <v/>
      </c>
      <c r="O3939" s="59">
        <f>IF(tblMovement[[#This Row],[Is_Ore]]=1,tblMovement[[#This Row],[Contained_oz]],0)</f>
        <v/>
      </c>
    </row>
    <row r="3940">
      <c r="A3940" s="54" t="n"/>
      <c r="B3940" s="61" t="n"/>
      <c r="C3940" s="61" t="n"/>
      <c r="D3940" s="61" t="n"/>
      <c r="E3940" s="61" t="n"/>
      <c r="F3940" s="55" t="n"/>
      <c r="G3940" s="56" t="n"/>
      <c r="H3940" s="55" t="n"/>
      <c r="I3940" s="62" t="n"/>
      <c r="J3940" s="58" t="n"/>
      <c r="K3940" s="63">
        <f>IF(tblMovement[[#This Row],[Source]]="","",IFERROR(INDEX(tblSources[Type],MATCH(tblMovement[[#This Row],[Source]],tblSources[Source],0)),"?"))</f>
        <v/>
      </c>
      <c r="L3940" s="63">
        <f>IF(tblMovement[[#This Row],[Destination]]="","",IFERROR(INDEX(tblDestinations[Type],MATCH(tblMovement[[#This Row],[Destination]],tblDestinations[Destination],0)),"?"))</f>
        <v/>
      </c>
      <c r="M3940" s="64">
        <f>IF(tblMovement[[#This Row],[Material]]="","",IF(LEFT(tblMovement[[#This Row],[Material]],3)="Ore",1,0))</f>
        <v/>
      </c>
      <c r="N3940" s="59">
        <f>IF(OR(tblMovement[[#This Row],[Tonnes_t]]="",tblMovement[[#This Row],[Grade_gpt]]=""),0,tblMovement[[#This Row],[Tonnes_t]]*tblMovement[[#This Row],[Grade_gpt]]/cfg_TroyOz)</f>
        <v/>
      </c>
      <c r="O3940" s="59">
        <f>IF(tblMovement[[#This Row],[Is_Ore]]=1,tblMovement[[#This Row],[Contained_oz]],0)</f>
        <v/>
      </c>
    </row>
    <row r="3941">
      <c r="A3941" s="54" t="n"/>
      <c r="B3941" s="61" t="n"/>
      <c r="C3941" s="61" t="n"/>
      <c r="D3941" s="61" t="n"/>
      <c r="E3941" s="61" t="n"/>
      <c r="F3941" s="55" t="n"/>
      <c r="G3941" s="56" t="n"/>
      <c r="H3941" s="55" t="n"/>
      <c r="I3941" s="62" t="n"/>
      <c r="J3941" s="58" t="n"/>
      <c r="K3941" s="63">
        <f>IF(tblMovement[[#This Row],[Source]]="","",IFERROR(INDEX(tblSources[Type],MATCH(tblMovement[[#This Row],[Source]],tblSources[Source],0)),"?"))</f>
        <v/>
      </c>
      <c r="L3941" s="63">
        <f>IF(tblMovement[[#This Row],[Destination]]="","",IFERROR(INDEX(tblDestinations[Type],MATCH(tblMovement[[#This Row],[Destination]],tblDestinations[Destination],0)),"?"))</f>
        <v/>
      </c>
      <c r="M3941" s="64">
        <f>IF(tblMovement[[#This Row],[Material]]="","",IF(LEFT(tblMovement[[#This Row],[Material]],3)="Ore",1,0))</f>
        <v/>
      </c>
      <c r="N3941" s="59">
        <f>IF(OR(tblMovement[[#This Row],[Tonnes_t]]="",tblMovement[[#This Row],[Grade_gpt]]=""),0,tblMovement[[#This Row],[Tonnes_t]]*tblMovement[[#This Row],[Grade_gpt]]/cfg_TroyOz)</f>
        <v/>
      </c>
      <c r="O3941" s="59">
        <f>IF(tblMovement[[#This Row],[Is_Ore]]=1,tblMovement[[#This Row],[Contained_oz]],0)</f>
        <v/>
      </c>
    </row>
    <row r="3942">
      <c r="A3942" s="54" t="n"/>
      <c r="B3942" s="61" t="n"/>
      <c r="C3942" s="61" t="n"/>
      <c r="D3942" s="61" t="n"/>
      <c r="E3942" s="61" t="n"/>
      <c r="F3942" s="55" t="n"/>
      <c r="G3942" s="56" t="n"/>
      <c r="H3942" s="55" t="n"/>
      <c r="I3942" s="62" t="n"/>
      <c r="J3942" s="58" t="n"/>
      <c r="K3942" s="63">
        <f>IF(tblMovement[[#This Row],[Source]]="","",IFERROR(INDEX(tblSources[Type],MATCH(tblMovement[[#This Row],[Source]],tblSources[Source],0)),"?"))</f>
        <v/>
      </c>
      <c r="L3942" s="63">
        <f>IF(tblMovement[[#This Row],[Destination]]="","",IFERROR(INDEX(tblDestinations[Type],MATCH(tblMovement[[#This Row],[Destination]],tblDestinations[Destination],0)),"?"))</f>
        <v/>
      </c>
      <c r="M3942" s="64">
        <f>IF(tblMovement[[#This Row],[Material]]="","",IF(LEFT(tblMovement[[#This Row],[Material]],3)="Ore",1,0))</f>
        <v/>
      </c>
      <c r="N3942" s="59">
        <f>IF(OR(tblMovement[[#This Row],[Tonnes_t]]="",tblMovement[[#This Row],[Grade_gpt]]=""),0,tblMovement[[#This Row],[Tonnes_t]]*tblMovement[[#This Row],[Grade_gpt]]/cfg_TroyOz)</f>
        <v/>
      </c>
      <c r="O3942" s="59">
        <f>IF(tblMovement[[#This Row],[Is_Ore]]=1,tblMovement[[#This Row],[Contained_oz]],0)</f>
        <v/>
      </c>
    </row>
    <row r="3943">
      <c r="A3943" s="54" t="n"/>
      <c r="B3943" s="61" t="n"/>
      <c r="C3943" s="61" t="n"/>
      <c r="D3943" s="61" t="n"/>
      <c r="E3943" s="61" t="n"/>
      <c r="F3943" s="55" t="n"/>
      <c r="G3943" s="56" t="n"/>
      <c r="H3943" s="55" t="n"/>
      <c r="I3943" s="62" t="n"/>
      <c r="J3943" s="58" t="n"/>
      <c r="K3943" s="63">
        <f>IF(tblMovement[[#This Row],[Source]]="","",IFERROR(INDEX(tblSources[Type],MATCH(tblMovement[[#This Row],[Source]],tblSources[Source],0)),"?"))</f>
        <v/>
      </c>
      <c r="L3943" s="63">
        <f>IF(tblMovement[[#This Row],[Destination]]="","",IFERROR(INDEX(tblDestinations[Type],MATCH(tblMovement[[#This Row],[Destination]],tblDestinations[Destination],0)),"?"))</f>
        <v/>
      </c>
      <c r="M3943" s="64">
        <f>IF(tblMovement[[#This Row],[Material]]="","",IF(LEFT(tblMovement[[#This Row],[Material]],3)="Ore",1,0))</f>
        <v/>
      </c>
      <c r="N3943" s="59">
        <f>IF(OR(tblMovement[[#This Row],[Tonnes_t]]="",tblMovement[[#This Row],[Grade_gpt]]=""),0,tblMovement[[#This Row],[Tonnes_t]]*tblMovement[[#This Row],[Grade_gpt]]/cfg_TroyOz)</f>
        <v/>
      </c>
      <c r="O3943" s="59">
        <f>IF(tblMovement[[#This Row],[Is_Ore]]=1,tblMovement[[#This Row],[Contained_oz]],0)</f>
        <v/>
      </c>
    </row>
    <row r="3944">
      <c r="A3944" s="54" t="n"/>
      <c r="B3944" s="61" t="n"/>
      <c r="C3944" s="61" t="n"/>
      <c r="D3944" s="61" t="n"/>
      <c r="E3944" s="61" t="n"/>
      <c r="F3944" s="55" t="n"/>
      <c r="G3944" s="56" t="n"/>
      <c r="H3944" s="55" t="n"/>
      <c r="I3944" s="62" t="n"/>
      <c r="J3944" s="58" t="n"/>
      <c r="K3944" s="63">
        <f>IF(tblMovement[[#This Row],[Source]]="","",IFERROR(INDEX(tblSources[Type],MATCH(tblMovement[[#This Row],[Source]],tblSources[Source],0)),"?"))</f>
        <v/>
      </c>
      <c r="L3944" s="63">
        <f>IF(tblMovement[[#This Row],[Destination]]="","",IFERROR(INDEX(tblDestinations[Type],MATCH(tblMovement[[#This Row],[Destination]],tblDestinations[Destination],0)),"?"))</f>
        <v/>
      </c>
      <c r="M3944" s="64">
        <f>IF(tblMovement[[#This Row],[Material]]="","",IF(LEFT(tblMovement[[#This Row],[Material]],3)="Ore",1,0))</f>
        <v/>
      </c>
      <c r="N3944" s="59">
        <f>IF(OR(tblMovement[[#This Row],[Tonnes_t]]="",tblMovement[[#This Row],[Grade_gpt]]=""),0,tblMovement[[#This Row],[Tonnes_t]]*tblMovement[[#This Row],[Grade_gpt]]/cfg_TroyOz)</f>
        <v/>
      </c>
      <c r="O3944" s="59">
        <f>IF(tblMovement[[#This Row],[Is_Ore]]=1,tblMovement[[#This Row],[Contained_oz]],0)</f>
        <v/>
      </c>
    </row>
    <row r="3945">
      <c r="A3945" s="54" t="n"/>
      <c r="B3945" s="61" t="n"/>
      <c r="C3945" s="61" t="n"/>
      <c r="D3945" s="61" t="n"/>
      <c r="E3945" s="61" t="n"/>
      <c r="F3945" s="55" t="n"/>
      <c r="G3945" s="56" t="n"/>
      <c r="H3945" s="55" t="n"/>
      <c r="I3945" s="62" t="n"/>
      <c r="J3945" s="58" t="n"/>
      <c r="K3945" s="63">
        <f>IF(tblMovement[[#This Row],[Source]]="","",IFERROR(INDEX(tblSources[Type],MATCH(tblMovement[[#This Row],[Source]],tblSources[Source],0)),"?"))</f>
        <v/>
      </c>
      <c r="L3945" s="63">
        <f>IF(tblMovement[[#This Row],[Destination]]="","",IFERROR(INDEX(tblDestinations[Type],MATCH(tblMovement[[#This Row],[Destination]],tblDestinations[Destination],0)),"?"))</f>
        <v/>
      </c>
      <c r="M3945" s="64">
        <f>IF(tblMovement[[#This Row],[Material]]="","",IF(LEFT(tblMovement[[#This Row],[Material]],3)="Ore",1,0))</f>
        <v/>
      </c>
      <c r="N3945" s="59">
        <f>IF(OR(tblMovement[[#This Row],[Tonnes_t]]="",tblMovement[[#This Row],[Grade_gpt]]=""),0,tblMovement[[#This Row],[Tonnes_t]]*tblMovement[[#This Row],[Grade_gpt]]/cfg_TroyOz)</f>
        <v/>
      </c>
      <c r="O3945" s="59">
        <f>IF(tblMovement[[#This Row],[Is_Ore]]=1,tblMovement[[#This Row],[Contained_oz]],0)</f>
        <v/>
      </c>
    </row>
    <row r="3946">
      <c r="A3946" s="54" t="n"/>
      <c r="B3946" s="61" t="n"/>
      <c r="C3946" s="61" t="n"/>
      <c r="D3946" s="61" t="n"/>
      <c r="E3946" s="61" t="n"/>
      <c r="F3946" s="55" t="n"/>
      <c r="G3946" s="56" t="n"/>
      <c r="H3946" s="55" t="n"/>
      <c r="I3946" s="62" t="n"/>
      <c r="J3946" s="58" t="n"/>
      <c r="K3946" s="63">
        <f>IF(tblMovement[[#This Row],[Source]]="","",IFERROR(INDEX(tblSources[Type],MATCH(tblMovement[[#This Row],[Source]],tblSources[Source],0)),"?"))</f>
        <v/>
      </c>
      <c r="L3946" s="63">
        <f>IF(tblMovement[[#This Row],[Destination]]="","",IFERROR(INDEX(tblDestinations[Type],MATCH(tblMovement[[#This Row],[Destination]],tblDestinations[Destination],0)),"?"))</f>
        <v/>
      </c>
      <c r="M3946" s="64">
        <f>IF(tblMovement[[#This Row],[Material]]="","",IF(LEFT(tblMovement[[#This Row],[Material]],3)="Ore",1,0))</f>
        <v/>
      </c>
      <c r="N3946" s="59">
        <f>IF(OR(tblMovement[[#This Row],[Tonnes_t]]="",tblMovement[[#This Row],[Grade_gpt]]=""),0,tblMovement[[#This Row],[Tonnes_t]]*tblMovement[[#This Row],[Grade_gpt]]/cfg_TroyOz)</f>
        <v/>
      </c>
      <c r="O3946" s="59">
        <f>IF(tblMovement[[#This Row],[Is_Ore]]=1,tblMovement[[#This Row],[Contained_oz]],0)</f>
        <v/>
      </c>
    </row>
    <row r="3947">
      <c r="A3947" s="54" t="n"/>
      <c r="B3947" s="61" t="n"/>
      <c r="C3947" s="61" t="n"/>
      <c r="D3947" s="61" t="n"/>
      <c r="E3947" s="61" t="n"/>
      <c r="F3947" s="55" t="n"/>
      <c r="G3947" s="56" t="n"/>
      <c r="H3947" s="55" t="n"/>
      <c r="I3947" s="62" t="n"/>
      <c r="J3947" s="58" t="n"/>
      <c r="K3947" s="63">
        <f>IF(tblMovement[[#This Row],[Source]]="","",IFERROR(INDEX(tblSources[Type],MATCH(tblMovement[[#This Row],[Source]],tblSources[Source],0)),"?"))</f>
        <v/>
      </c>
      <c r="L3947" s="63">
        <f>IF(tblMovement[[#This Row],[Destination]]="","",IFERROR(INDEX(tblDestinations[Type],MATCH(tblMovement[[#This Row],[Destination]],tblDestinations[Destination],0)),"?"))</f>
        <v/>
      </c>
      <c r="M3947" s="64">
        <f>IF(tblMovement[[#This Row],[Material]]="","",IF(LEFT(tblMovement[[#This Row],[Material]],3)="Ore",1,0))</f>
        <v/>
      </c>
      <c r="N3947" s="59">
        <f>IF(OR(tblMovement[[#This Row],[Tonnes_t]]="",tblMovement[[#This Row],[Grade_gpt]]=""),0,tblMovement[[#This Row],[Tonnes_t]]*tblMovement[[#This Row],[Grade_gpt]]/cfg_TroyOz)</f>
        <v/>
      </c>
      <c r="O3947" s="59">
        <f>IF(tblMovement[[#This Row],[Is_Ore]]=1,tblMovement[[#This Row],[Contained_oz]],0)</f>
        <v/>
      </c>
    </row>
    <row r="3948">
      <c r="A3948" s="54" t="n"/>
      <c r="B3948" s="61" t="n"/>
      <c r="C3948" s="61" t="n"/>
      <c r="D3948" s="61" t="n"/>
      <c r="E3948" s="61" t="n"/>
      <c r="F3948" s="55" t="n"/>
      <c r="G3948" s="56" t="n"/>
      <c r="H3948" s="55" t="n"/>
      <c r="I3948" s="62" t="n"/>
      <c r="J3948" s="58" t="n"/>
      <c r="K3948" s="63">
        <f>IF(tblMovement[[#This Row],[Source]]="","",IFERROR(INDEX(tblSources[Type],MATCH(tblMovement[[#This Row],[Source]],tblSources[Source],0)),"?"))</f>
        <v/>
      </c>
      <c r="L3948" s="63">
        <f>IF(tblMovement[[#This Row],[Destination]]="","",IFERROR(INDEX(tblDestinations[Type],MATCH(tblMovement[[#This Row],[Destination]],tblDestinations[Destination],0)),"?"))</f>
        <v/>
      </c>
      <c r="M3948" s="64">
        <f>IF(tblMovement[[#This Row],[Material]]="","",IF(LEFT(tblMovement[[#This Row],[Material]],3)="Ore",1,0))</f>
        <v/>
      </c>
      <c r="N3948" s="59">
        <f>IF(OR(tblMovement[[#This Row],[Tonnes_t]]="",tblMovement[[#This Row],[Grade_gpt]]=""),0,tblMovement[[#This Row],[Tonnes_t]]*tblMovement[[#This Row],[Grade_gpt]]/cfg_TroyOz)</f>
        <v/>
      </c>
      <c r="O3948" s="59">
        <f>IF(tblMovement[[#This Row],[Is_Ore]]=1,tblMovement[[#This Row],[Contained_oz]],0)</f>
        <v/>
      </c>
    </row>
    <row r="3949">
      <c r="A3949" s="54" t="n"/>
      <c r="B3949" s="61" t="n"/>
      <c r="C3949" s="61" t="n"/>
      <c r="D3949" s="61" t="n"/>
      <c r="E3949" s="61" t="n"/>
      <c r="F3949" s="55" t="n"/>
      <c r="G3949" s="56" t="n"/>
      <c r="H3949" s="55" t="n"/>
      <c r="I3949" s="62" t="n"/>
      <c r="J3949" s="58" t="n"/>
      <c r="K3949" s="63">
        <f>IF(tblMovement[[#This Row],[Source]]="","",IFERROR(INDEX(tblSources[Type],MATCH(tblMovement[[#This Row],[Source]],tblSources[Source],0)),"?"))</f>
        <v/>
      </c>
      <c r="L3949" s="63">
        <f>IF(tblMovement[[#This Row],[Destination]]="","",IFERROR(INDEX(tblDestinations[Type],MATCH(tblMovement[[#This Row],[Destination]],tblDestinations[Destination],0)),"?"))</f>
        <v/>
      </c>
      <c r="M3949" s="64">
        <f>IF(tblMovement[[#This Row],[Material]]="","",IF(LEFT(tblMovement[[#This Row],[Material]],3)="Ore",1,0))</f>
        <v/>
      </c>
      <c r="N3949" s="59">
        <f>IF(OR(tblMovement[[#This Row],[Tonnes_t]]="",tblMovement[[#This Row],[Grade_gpt]]=""),0,tblMovement[[#This Row],[Tonnes_t]]*tblMovement[[#This Row],[Grade_gpt]]/cfg_TroyOz)</f>
        <v/>
      </c>
      <c r="O3949" s="59">
        <f>IF(tblMovement[[#This Row],[Is_Ore]]=1,tblMovement[[#This Row],[Contained_oz]],0)</f>
        <v/>
      </c>
    </row>
    <row r="3950">
      <c r="A3950" s="54" t="n"/>
      <c r="B3950" s="61" t="n"/>
      <c r="C3950" s="61" t="n"/>
      <c r="D3950" s="61" t="n"/>
      <c r="E3950" s="61" t="n"/>
      <c r="F3950" s="55" t="n"/>
      <c r="G3950" s="56" t="n"/>
      <c r="H3950" s="55" t="n"/>
      <c r="I3950" s="62" t="n"/>
      <c r="J3950" s="58" t="n"/>
      <c r="K3950" s="63">
        <f>IF(tblMovement[[#This Row],[Source]]="","",IFERROR(INDEX(tblSources[Type],MATCH(tblMovement[[#This Row],[Source]],tblSources[Source],0)),"?"))</f>
        <v/>
      </c>
      <c r="L3950" s="63">
        <f>IF(tblMovement[[#This Row],[Destination]]="","",IFERROR(INDEX(tblDestinations[Type],MATCH(tblMovement[[#This Row],[Destination]],tblDestinations[Destination],0)),"?"))</f>
        <v/>
      </c>
      <c r="M3950" s="64">
        <f>IF(tblMovement[[#This Row],[Material]]="","",IF(LEFT(tblMovement[[#This Row],[Material]],3)="Ore",1,0))</f>
        <v/>
      </c>
      <c r="N3950" s="59">
        <f>IF(OR(tblMovement[[#This Row],[Tonnes_t]]="",tblMovement[[#This Row],[Grade_gpt]]=""),0,tblMovement[[#This Row],[Tonnes_t]]*tblMovement[[#This Row],[Grade_gpt]]/cfg_TroyOz)</f>
        <v/>
      </c>
      <c r="O3950" s="59">
        <f>IF(tblMovement[[#This Row],[Is_Ore]]=1,tblMovement[[#This Row],[Contained_oz]],0)</f>
        <v/>
      </c>
    </row>
    <row r="3951">
      <c r="A3951" s="54" t="n"/>
      <c r="B3951" s="61" t="n"/>
      <c r="C3951" s="61" t="n"/>
      <c r="D3951" s="61" t="n"/>
      <c r="E3951" s="61" t="n"/>
      <c r="F3951" s="55" t="n"/>
      <c r="G3951" s="56" t="n"/>
      <c r="H3951" s="55" t="n"/>
      <c r="I3951" s="62" t="n"/>
      <c r="J3951" s="58" t="n"/>
      <c r="K3951" s="63">
        <f>IF(tblMovement[[#This Row],[Source]]="","",IFERROR(INDEX(tblSources[Type],MATCH(tblMovement[[#This Row],[Source]],tblSources[Source],0)),"?"))</f>
        <v/>
      </c>
      <c r="L3951" s="63">
        <f>IF(tblMovement[[#This Row],[Destination]]="","",IFERROR(INDEX(tblDestinations[Type],MATCH(tblMovement[[#This Row],[Destination]],tblDestinations[Destination],0)),"?"))</f>
        <v/>
      </c>
      <c r="M3951" s="64">
        <f>IF(tblMovement[[#This Row],[Material]]="","",IF(LEFT(tblMovement[[#This Row],[Material]],3)="Ore",1,0))</f>
        <v/>
      </c>
      <c r="N3951" s="59">
        <f>IF(OR(tblMovement[[#This Row],[Tonnes_t]]="",tblMovement[[#This Row],[Grade_gpt]]=""),0,tblMovement[[#This Row],[Tonnes_t]]*tblMovement[[#This Row],[Grade_gpt]]/cfg_TroyOz)</f>
        <v/>
      </c>
      <c r="O3951" s="59">
        <f>IF(tblMovement[[#This Row],[Is_Ore]]=1,tblMovement[[#This Row],[Contained_oz]],0)</f>
        <v/>
      </c>
    </row>
    <row r="3952">
      <c r="A3952" s="54" t="n"/>
      <c r="B3952" s="61" t="n"/>
      <c r="C3952" s="61" t="n"/>
      <c r="D3952" s="61" t="n"/>
      <c r="E3952" s="61" t="n"/>
      <c r="F3952" s="55" t="n"/>
      <c r="G3952" s="56" t="n"/>
      <c r="H3952" s="55" t="n"/>
      <c r="I3952" s="62" t="n"/>
      <c r="J3952" s="58" t="n"/>
      <c r="K3952" s="63">
        <f>IF(tblMovement[[#This Row],[Source]]="","",IFERROR(INDEX(tblSources[Type],MATCH(tblMovement[[#This Row],[Source]],tblSources[Source],0)),"?"))</f>
        <v/>
      </c>
      <c r="L3952" s="63">
        <f>IF(tblMovement[[#This Row],[Destination]]="","",IFERROR(INDEX(tblDestinations[Type],MATCH(tblMovement[[#This Row],[Destination]],tblDestinations[Destination],0)),"?"))</f>
        <v/>
      </c>
      <c r="M3952" s="64">
        <f>IF(tblMovement[[#This Row],[Material]]="","",IF(LEFT(tblMovement[[#This Row],[Material]],3)="Ore",1,0))</f>
        <v/>
      </c>
      <c r="N3952" s="59">
        <f>IF(OR(tblMovement[[#This Row],[Tonnes_t]]="",tblMovement[[#This Row],[Grade_gpt]]=""),0,tblMovement[[#This Row],[Tonnes_t]]*tblMovement[[#This Row],[Grade_gpt]]/cfg_TroyOz)</f>
        <v/>
      </c>
      <c r="O3952" s="59">
        <f>IF(tblMovement[[#This Row],[Is_Ore]]=1,tblMovement[[#This Row],[Contained_oz]],0)</f>
        <v/>
      </c>
    </row>
    <row r="3953">
      <c r="A3953" s="54" t="n"/>
      <c r="B3953" s="61" t="n"/>
      <c r="C3953" s="61" t="n"/>
      <c r="D3953" s="61" t="n"/>
      <c r="E3953" s="61" t="n"/>
      <c r="F3953" s="55" t="n"/>
      <c r="G3953" s="56" t="n"/>
      <c r="H3953" s="55" t="n"/>
      <c r="I3953" s="62" t="n"/>
      <c r="J3953" s="58" t="n"/>
      <c r="K3953" s="63">
        <f>IF(tblMovement[[#This Row],[Source]]="","",IFERROR(INDEX(tblSources[Type],MATCH(tblMovement[[#This Row],[Source]],tblSources[Source],0)),"?"))</f>
        <v/>
      </c>
      <c r="L3953" s="63">
        <f>IF(tblMovement[[#This Row],[Destination]]="","",IFERROR(INDEX(tblDestinations[Type],MATCH(tblMovement[[#This Row],[Destination]],tblDestinations[Destination],0)),"?"))</f>
        <v/>
      </c>
      <c r="M3953" s="64">
        <f>IF(tblMovement[[#This Row],[Material]]="","",IF(LEFT(tblMovement[[#This Row],[Material]],3)="Ore",1,0))</f>
        <v/>
      </c>
      <c r="N3953" s="59">
        <f>IF(OR(tblMovement[[#This Row],[Tonnes_t]]="",tblMovement[[#This Row],[Grade_gpt]]=""),0,tblMovement[[#This Row],[Tonnes_t]]*tblMovement[[#This Row],[Grade_gpt]]/cfg_TroyOz)</f>
        <v/>
      </c>
      <c r="O3953" s="59">
        <f>IF(tblMovement[[#This Row],[Is_Ore]]=1,tblMovement[[#This Row],[Contained_oz]],0)</f>
        <v/>
      </c>
    </row>
    <row r="3954">
      <c r="A3954" s="54" t="n"/>
      <c r="B3954" s="61" t="n"/>
      <c r="C3954" s="61" t="n"/>
      <c r="D3954" s="61" t="n"/>
      <c r="E3954" s="61" t="n"/>
      <c r="F3954" s="55" t="n"/>
      <c r="G3954" s="56" t="n"/>
      <c r="H3954" s="55" t="n"/>
      <c r="I3954" s="62" t="n"/>
      <c r="J3954" s="58" t="n"/>
      <c r="K3954" s="63">
        <f>IF(tblMovement[[#This Row],[Source]]="","",IFERROR(INDEX(tblSources[Type],MATCH(tblMovement[[#This Row],[Source]],tblSources[Source],0)),"?"))</f>
        <v/>
      </c>
      <c r="L3954" s="63">
        <f>IF(tblMovement[[#This Row],[Destination]]="","",IFERROR(INDEX(tblDestinations[Type],MATCH(tblMovement[[#This Row],[Destination]],tblDestinations[Destination],0)),"?"))</f>
        <v/>
      </c>
      <c r="M3954" s="64">
        <f>IF(tblMovement[[#This Row],[Material]]="","",IF(LEFT(tblMovement[[#This Row],[Material]],3)="Ore",1,0))</f>
        <v/>
      </c>
      <c r="N3954" s="59">
        <f>IF(OR(tblMovement[[#This Row],[Tonnes_t]]="",tblMovement[[#This Row],[Grade_gpt]]=""),0,tblMovement[[#This Row],[Tonnes_t]]*tblMovement[[#This Row],[Grade_gpt]]/cfg_TroyOz)</f>
        <v/>
      </c>
      <c r="O3954" s="59">
        <f>IF(tblMovement[[#This Row],[Is_Ore]]=1,tblMovement[[#This Row],[Contained_oz]],0)</f>
        <v/>
      </c>
    </row>
    <row r="3955">
      <c r="A3955" s="54" t="n"/>
      <c r="B3955" s="61" t="n"/>
      <c r="C3955" s="61" t="n"/>
      <c r="D3955" s="61" t="n"/>
      <c r="E3955" s="61" t="n"/>
      <c r="F3955" s="55" t="n"/>
      <c r="G3955" s="56" t="n"/>
      <c r="H3955" s="55" t="n"/>
      <c r="I3955" s="62" t="n"/>
      <c r="J3955" s="58" t="n"/>
      <c r="K3955" s="63">
        <f>IF(tblMovement[[#This Row],[Source]]="","",IFERROR(INDEX(tblSources[Type],MATCH(tblMovement[[#This Row],[Source]],tblSources[Source],0)),"?"))</f>
        <v/>
      </c>
      <c r="L3955" s="63">
        <f>IF(tblMovement[[#This Row],[Destination]]="","",IFERROR(INDEX(tblDestinations[Type],MATCH(tblMovement[[#This Row],[Destination]],tblDestinations[Destination],0)),"?"))</f>
        <v/>
      </c>
      <c r="M3955" s="64">
        <f>IF(tblMovement[[#This Row],[Material]]="","",IF(LEFT(tblMovement[[#This Row],[Material]],3)="Ore",1,0))</f>
        <v/>
      </c>
      <c r="N3955" s="59">
        <f>IF(OR(tblMovement[[#This Row],[Tonnes_t]]="",tblMovement[[#This Row],[Grade_gpt]]=""),0,tblMovement[[#This Row],[Tonnes_t]]*tblMovement[[#This Row],[Grade_gpt]]/cfg_TroyOz)</f>
        <v/>
      </c>
      <c r="O3955" s="59">
        <f>IF(tblMovement[[#This Row],[Is_Ore]]=1,tblMovement[[#This Row],[Contained_oz]],0)</f>
        <v/>
      </c>
    </row>
    <row r="3956">
      <c r="A3956" s="54" t="n"/>
      <c r="B3956" s="61" t="n"/>
      <c r="C3956" s="61" t="n"/>
      <c r="D3956" s="61" t="n"/>
      <c r="E3956" s="61" t="n"/>
      <c r="F3956" s="55" t="n"/>
      <c r="G3956" s="56" t="n"/>
      <c r="H3956" s="55" t="n"/>
      <c r="I3956" s="62" t="n"/>
      <c r="J3956" s="58" t="n"/>
      <c r="K3956" s="63">
        <f>IF(tblMovement[[#This Row],[Source]]="","",IFERROR(INDEX(tblSources[Type],MATCH(tblMovement[[#This Row],[Source]],tblSources[Source],0)),"?"))</f>
        <v/>
      </c>
      <c r="L3956" s="63">
        <f>IF(tblMovement[[#This Row],[Destination]]="","",IFERROR(INDEX(tblDestinations[Type],MATCH(tblMovement[[#This Row],[Destination]],tblDestinations[Destination],0)),"?"))</f>
        <v/>
      </c>
      <c r="M3956" s="64">
        <f>IF(tblMovement[[#This Row],[Material]]="","",IF(LEFT(tblMovement[[#This Row],[Material]],3)="Ore",1,0))</f>
        <v/>
      </c>
      <c r="N3956" s="59">
        <f>IF(OR(tblMovement[[#This Row],[Tonnes_t]]="",tblMovement[[#This Row],[Grade_gpt]]=""),0,tblMovement[[#This Row],[Tonnes_t]]*tblMovement[[#This Row],[Grade_gpt]]/cfg_TroyOz)</f>
        <v/>
      </c>
      <c r="O3956" s="59">
        <f>IF(tblMovement[[#This Row],[Is_Ore]]=1,tblMovement[[#This Row],[Contained_oz]],0)</f>
        <v/>
      </c>
    </row>
    <row r="3957">
      <c r="A3957" s="54" t="n"/>
      <c r="B3957" s="61" t="n"/>
      <c r="C3957" s="61" t="n"/>
      <c r="D3957" s="61" t="n"/>
      <c r="E3957" s="61" t="n"/>
      <c r="F3957" s="55" t="n"/>
      <c r="G3957" s="56" t="n"/>
      <c r="H3957" s="55" t="n"/>
      <c r="I3957" s="62" t="n"/>
      <c r="J3957" s="58" t="n"/>
      <c r="K3957" s="63">
        <f>IF(tblMovement[[#This Row],[Source]]="","",IFERROR(INDEX(tblSources[Type],MATCH(tblMovement[[#This Row],[Source]],tblSources[Source],0)),"?"))</f>
        <v/>
      </c>
      <c r="L3957" s="63">
        <f>IF(tblMovement[[#This Row],[Destination]]="","",IFERROR(INDEX(tblDestinations[Type],MATCH(tblMovement[[#This Row],[Destination]],tblDestinations[Destination],0)),"?"))</f>
        <v/>
      </c>
      <c r="M3957" s="64">
        <f>IF(tblMovement[[#This Row],[Material]]="","",IF(LEFT(tblMovement[[#This Row],[Material]],3)="Ore",1,0))</f>
        <v/>
      </c>
      <c r="N3957" s="59">
        <f>IF(OR(tblMovement[[#This Row],[Tonnes_t]]="",tblMovement[[#This Row],[Grade_gpt]]=""),0,tblMovement[[#This Row],[Tonnes_t]]*tblMovement[[#This Row],[Grade_gpt]]/cfg_TroyOz)</f>
        <v/>
      </c>
      <c r="O3957" s="59">
        <f>IF(tblMovement[[#This Row],[Is_Ore]]=1,tblMovement[[#This Row],[Contained_oz]],0)</f>
        <v/>
      </c>
    </row>
    <row r="3958">
      <c r="A3958" s="54" t="n"/>
      <c r="B3958" s="61" t="n"/>
      <c r="C3958" s="61" t="n"/>
      <c r="D3958" s="61" t="n"/>
      <c r="E3958" s="61" t="n"/>
      <c r="F3958" s="55" t="n"/>
      <c r="G3958" s="56" t="n"/>
      <c r="H3958" s="55" t="n"/>
      <c r="I3958" s="62" t="n"/>
      <c r="J3958" s="58" t="n"/>
      <c r="K3958" s="63">
        <f>IF(tblMovement[[#This Row],[Source]]="","",IFERROR(INDEX(tblSources[Type],MATCH(tblMovement[[#This Row],[Source]],tblSources[Source],0)),"?"))</f>
        <v/>
      </c>
      <c r="L3958" s="63">
        <f>IF(tblMovement[[#This Row],[Destination]]="","",IFERROR(INDEX(tblDestinations[Type],MATCH(tblMovement[[#This Row],[Destination]],tblDestinations[Destination],0)),"?"))</f>
        <v/>
      </c>
      <c r="M3958" s="64">
        <f>IF(tblMovement[[#This Row],[Material]]="","",IF(LEFT(tblMovement[[#This Row],[Material]],3)="Ore",1,0))</f>
        <v/>
      </c>
      <c r="N3958" s="59">
        <f>IF(OR(tblMovement[[#This Row],[Tonnes_t]]="",tblMovement[[#This Row],[Grade_gpt]]=""),0,tblMovement[[#This Row],[Tonnes_t]]*tblMovement[[#This Row],[Grade_gpt]]/cfg_TroyOz)</f>
        <v/>
      </c>
      <c r="O3958" s="59">
        <f>IF(tblMovement[[#This Row],[Is_Ore]]=1,tblMovement[[#This Row],[Contained_oz]],0)</f>
        <v/>
      </c>
    </row>
    <row r="3959">
      <c r="A3959" s="54" t="n"/>
      <c r="B3959" s="61" t="n"/>
      <c r="C3959" s="61" t="n"/>
      <c r="D3959" s="61" t="n"/>
      <c r="E3959" s="61" t="n"/>
      <c r="F3959" s="55" t="n"/>
      <c r="G3959" s="56" t="n"/>
      <c r="H3959" s="55" t="n"/>
      <c r="I3959" s="62" t="n"/>
      <c r="J3959" s="58" t="n"/>
      <c r="K3959" s="63">
        <f>IF(tblMovement[[#This Row],[Source]]="","",IFERROR(INDEX(tblSources[Type],MATCH(tblMovement[[#This Row],[Source]],tblSources[Source],0)),"?"))</f>
        <v/>
      </c>
      <c r="L3959" s="63">
        <f>IF(tblMovement[[#This Row],[Destination]]="","",IFERROR(INDEX(tblDestinations[Type],MATCH(tblMovement[[#This Row],[Destination]],tblDestinations[Destination],0)),"?"))</f>
        <v/>
      </c>
      <c r="M3959" s="64">
        <f>IF(tblMovement[[#This Row],[Material]]="","",IF(LEFT(tblMovement[[#This Row],[Material]],3)="Ore",1,0))</f>
        <v/>
      </c>
      <c r="N3959" s="59">
        <f>IF(OR(tblMovement[[#This Row],[Tonnes_t]]="",tblMovement[[#This Row],[Grade_gpt]]=""),0,tblMovement[[#This Row],[Tonnes_t]]*tblMovement[[#This Row],[Grade_gpt]]/cfg_TroyOz)</f>
        <v/>
      </c>
      <c r="O3959" s="59">
        <f>IF(tblMovement[[#This Row],[Is_Ore]]=1,tblMovement[[#This Row],[Contained_oz]],0)</f>
        <v/>
      </c>
    </row>
    <row r="3960">
      <c r="A3960" s="54" t="n"/>
      <c r="B3960" s="61" t="n"/>
      <c r="C3960" s="61" t="n"/>
      <c r="D3960" s="61" t="n"/>
      <c r="E3960" s="61" t="n"/>
      <c r="F3960" s="55" t="n"/>
      <c r="G3960" s="56" t="n"/>
      <c r="H3960" s="55" t="n"/>
      <c r="I3960" s="62" t="n"/>
      <c r="J3960" s="58" t="n"/>
      <c r="K3960" s="63">
        <f>IF(tblMovement[[#This Row],[Source]]="","",IFERROR(INDEX(tblSources[Type],MATCH(tblMovement[[#This Row],[Source]],tblSources[Source],0)),"?"))</f>
        <v/>
      </c>
      <c r="L3960" s="63">
        <f>IF(tblMovement[[#This Row],[Destination]]="","",IFERROR(INDEX(tblDestinations[Type],MATCH(tblMovement[[#This Row],[Destination]],tblDestinations[Destination],0)),"?"))</f>
        <v/>
      </c>
      <c r="M3960" s="64">
        <f>IF(tblMovement[[#This Row],[Material]]="","",IF(LEFT(tblMovement[[#This Row],[Material]],3)="Ore",1,0))</f>
        <v/>
      </c>
      <c r="N3960" s="59">
        <f>IF(OR(tblMovement[[#This Row],[Tonnes_t]]="",tblMovement[[#This Row],[Grade_gpt]]=""),0,tblMovement[[#This Row],[Tonnes_t]]*tblMovement[[#This Row],[Grade_gpt]]/cfg_TroyOz)</f>
        <v/>
      </c>
      <c r="O3960" s="59">
        <f>IF(tblMovement[[#This Row],[Is_Ore]]=1,tblMovement[[#This Row],[Contained_oz]],0)</f>
        <v/>
      </c>
    </row>
    <row r="3961">
      <c r="A3961" s="54" t="n"/>
      <c r="B3961" s="61" t="n"/>
      <c r="C3961" s="61" t="n"/>
      <c r="D3961" s="61" t="n"/>
      <c r="E3961" s="61" t="n"/>
      <c r="F3961" s="55" t="n"/>
      <c r="G3961" s="56" t="n"/>
      <c r="H3961" s="55" t="n"/>
      <c r="I3961" s="62" t="n"/>
      <c r="J3961" s="58" t="n"/>
      <c r="K3961" s="63">
        <f>IF(tblMovement[[#This Row],[Source]]="","",IFERROR(INDEX(tblSources[Type],MATCH(tblMovement[[#This Row],[Source]],tblSources[Source],0)),"?"))</f>
        <v/>
      </c>
      <c r="L3961" s="63">
        <f>IF(tblMovement[[#This Row],[Destination]]="","",IFERROR(INDEX(tblDestinations[Type],MATCH(tblMovement[[#This Row],[Destination]],tblDestinations[Destination],0)),"?"))</f>
        <v/>
      </c>
      <c r="M3961" s="64">
        <f>IF(tblMovement[[#This Row],[Material]]="","",IF(LEFT(tblMovement[[#This Row],[Material]],3)="Ore",1,0))</f>
        <v/>
      </c>
      <c r="N3961" s="59">
        <f>IF(OR(tblMovement[[#This Row],[Tonnes_t]]="",tblMovement[[#This Row],[Grade_gpt]]=""),0,tblMovement[[#This Row],[Tonnes_t]]*tblMovement[[#This Row],[Grade_gpt]]/cfg_TroyOz)</f>
        <v/>
      </c>
      <c r="O3961" s="59">
        <f>IF(tblMovement[[#This Row],[Is_Ore]]=1,tblMovement[[#This Row],[Contained_oz]],0)</f>
        <v/>
      </c>
    </row>
    <row r="3962">
      <c r="A3962" s="54" t="n"/>
      <c r="B3962" s="61" t="n"/>
      <c r="C3962" s="61" t="n"/>
      <c r="D3962" s="61" t="n"/>
      <c r="E3962" s="61" t="n"/>
      <c r="F3962" s="55" t="n"/>
      <c r="G3962" s="56" t="n"/>
      <c r="H3962" s="55" t="n"/>
      <c r="I3962" s="62" t="n"/>
      <c r="J3962" s="58" t="n"/>
      <c r="K3962" s="63">
        <f>IF(tblMovement[[#This Row],[Source]]="","",IFERROR(INDEX(tblSources[Type],MATCH(tblMovement[[#This Row],[Source]],tblSources[Source],0)),"?"))</f>
        <v/>
      </c>
      <c r="L3962" s="63">
        <f>IF(tblMovement[[#This Row],[Destination]]="","",IFERROR(INDEX(tblDestinations[Type],MATCH(tblMovement[[#This Row],[Destination]],tblDestinations[Destination],0)),"?"))</f>
        <v/>
      </c>
      <c r="M3962" s="64">
        <f>IF(tblMovement[[#This Row],[Material]]="","",IF(LEFT(tblMovement[[#This Row],[Material]],3)="Ore",1,0))</f>
        <v/>
      </c>
      <c r="N3962" s="59">
        <f>IF(OR(tblMovement[[#This Row],[Tonnes_t]]="",tblMovement[[#This Row],[Grade_gpt]]=""),0,tblMovement[[#This Row],[Tonnes_t]]*tblMovement[[#This Row],[Grade_gpt]]/cfg_TroyOz)</f>
        <v/>
      </c>
      <c r="O3962" s="59">
        <f>IF(tblMovement[[#This Row],[Is_Ore]]=1,tblMovement[[#This Row],[Contained_oz]],0)</f>
        <v/>
      </c>
    </row>
    <row r="3963">
      <c r="A3963" s="54" t="n"/>
      <c r="B3963" s="61" t="n"/>
      <c r="C3963" s="61" t="n"/>
      <c r="D3963" s="61" t="n"/>
      <c r="E3963" s="61" t="n"/>
      <c r="F3963" s="55" t="n"/>
      <c r="G3963" s="56" t="n"/>
      <c r="H3963" s="55" t="n"/>
      <c r="I3963" s="62" t="n"/>
      <c r="J3963" s="58" t="n"/>
      <c r="K3963" s="63">
        <f>IF(tblMovement[[#This Row],[Source]]="","",IFERROR(INDEX(tblSources[Type],MATCH(tblMovement[[#This Row],[Source]],tblSources[Source],0)),"?"))</f>
        <v/>
      </c>
      <c r="L3963" s="63">
        <f>IF(tblMovement[[#This Row],[Destination]]="","",IFERROR(INDEX(tblDestinations[Type],MATCH(tblMovement[[#This Row],[Destination]],tblDestinations[Destination],0)),"?"))</f>
        <v/>
      </c>
      <c r="M3963" s="64">
        <f>IF(tblMovement[[#This Row],[Material]]="","",IF(LEFT(tblMovement[[#This Row],[Material]],3)="Ore",1,0))</f>
        <v/>
      </c>
      <c r="N3963" s="59">
        <f>IF(OR(tblMovement[[#This Row],[Tonnes_t]]="",tblMovement[[#This Row],[Grade_gpt]]=""),0,tblMovement[[#This Row],[Tonnes_t]]*tblMovement[[#This Row],[Grade_gpt]]/cfg_TroyOz)</f>
        <v/>
      </c>
      <c r="O3963" s="59">
        <f>IF(tblMovement[[#This Row],[Is_Ore]]=1,tblMovement[[#This Row],[Contained_oz]],0)</f>
        <v/>
      </c>
    </row>
    <row r="3964">
      <c r="A3964" s="54" t="n"/>
      <c r="B3964" s="61" t="n"/>
      <c r="C3964" s="61" t="n"/>
      <c r="D3964" s="61" t="n"/>
      <c r="E3964" s="61" t="n"/>
      <c r="F3964" s="55" t="n"/>
      <c r="G3964" s="56" t="n"/>
      <c r="H3964" s="55" t="n"/>
      <c r="I3964" s="62" t="n"/>
      <c r="J3964" s="58" t="n"/>
      <c r="K3964" s="63">
        <f>IF(tblMovement[[#This Row],[Source]]="","",IFERROR(INDEX(tblSources[Type],MATCH(tblMovement[[#This Row],[Source]],tblSources[Source],0)),"?"))</f>
        <v/>
      </c>
      <c r="L3964" s="63">
        <f>IF(tblMovement[[#This Row],[Destination]]="","",IFERROR(INDEX(tblDestinations[Type],MATCH(tblMovement[[#This Row],[Destination]],tblDestinations[Destination],0)),"?"))</f>
        <v/>
      </c>
      <c r="M3964" s="64">
        <f>IF(tblMovement[[#This Row],[Material]]="","",IF(LEFT(tblMovement[[#This Row],[Material]],3)="Ore",1,0))</f>
        <v/>
      </c>
      <c r="N3964" s="59">
        <f>IF(OR(tblMovement[[#This Row],[Tonnes_t]]="",tblMovement[[#This Row],[Grade_gpt]]=""),0,tblMovement[[#This Row],[Tonnes_t]]*tblMovement[[#This Row],[Grade_gpt]]/cfg_TroyOz)</f>
        <v/>
      </c>
      <c r="O3964" s="59">
        <f>IF(tblMovement[[#This Row],[Is_Ore]]=1,tblMovement[[#This Row],[Contained_oz]],0)</f>
        <v/>
      </c>
    </row>
    <row r="3965">
      <c r="A3965" s="54" t="n"/>
      <c r="B3965" s="61" t="n"/>
      <c r="C3965" s="61" t="n"/>
      <c r="D3965" s="61" t="n"/>
      <c r="E3965" s="61" t="n"/>
      <c r="F3965" s="55" t="n"/>
      <c r="G3965" s="56" t="n"/>
      <c r="H3965" s="55" t="n"/>
      <c r="I3965" s="62" t="n"/>
      <c r="J3965" s="58" t="n"/>
      <c r="K3965" s="63">
        <f>IF(tblMovement[[#This Row],[Source]]="","",IFERROR(INDEX(tblSources[Type],MATCH(tblMovement[[#This Row],[Source]],tblSources[Source],0)),"?"))</f>
        <v/>
      </c>
      <c r="L3965" s="63">
        <f>IF(tblMovement[[#This Row],[Destination]]="","",IFERROR(INDEX(tblDestinations[Type],MATCH(tblMovement[[#This Row],[Destination]],tblDestinations[Destination],0)),"?"))</f>
        <v/>
      </c>
      <c r="M3965" s="64">
        <f>IF(tblMovement[[#This Row],[Material]]="","",IF(LEFT(tblMovement[[#This Row],[Material]],3)="Ore",1,0))</f>
        <v/>
      </c>
      <c r="N3965" s="59">
        <f>IF(OR(tblMovement[[#This Row],[Tonnes_t]]="",tblMovement[[#This Row],[Grade_gpt]]=""),0,tblMovement[[#This Row],[Tonnes_t]]*tblMovement[[#This Row],[Grade_gpt]]/cfg_TroyOz)</f>
        <v/>
      </c>
      <c r="O3965" s="59">
        <f>IF(tblMovement[[#This Row],[Is_Ore]]=1,tblMovement[[#This Row],[Contained_oz]],0)</f>
        <v/>
      </c>
    </row>
    <row r="3966">
      <c r="A3966" s="54" t="n"/>
      <c r="B3966" s="61" t="n"/>
      <c r="C3966" s="61" t="n"/>
      <c r="D3966" s="61" t="n"/>
      <c r="E3966" s="61" t="n"/>
      <c r="F3966" s="55" t="n"/>
      <c r="G3966" s="56" t="n"/>
      <c r="H3966" s="55" t="n"/>
      <c r="I3966" s="62" t="n"/>
      <c r="J3966" s="58" t="n"/>
      <c r="K3966" s="63">
        <f>IF(tblMovement[[#This Row],[Source]]="","",IFERROR(INDEX(tblSources[Type],MATCH(tblMovement[[#This Row],[Source]],tblSources[Source],0)),"?"))</f>
        <v/>
      </c>
      <c r="L3966" s="63">
        <f>IF(tblMovement[[#This Row],[Destination]]="","",IFERROR(INDEX(tblDestinations[Type],MATCH(tblMovement[[#This Row],[Destination]],tblDestinations[Destination],0)),"?"))</f>
        <v/>
      </c>
      <c r="M3966" s="64">
        <f>IF(tblMovement[[#This Row],[Material]]="","",IF(LEFT(tblMovement[[#This Row],[Material]],3)="Ore",1,0))</f>
        <v/>
      </c>
      <c r="N3966" s="59">
        <f>IF(OR(tblMovement[[#This Row],[Tonnes_t]]="",tblMovement[[#This Row],[Grade_gpt]]=""),0,tblMovement[[#This Row],[Tonnes_t]]*tblMovement[[#This Row],[Grade_gpt]]/cfg_TroyOz)</f>
        <v/>
      </c>
      <c r="O3966" s="59">
        <f>IF(tblMovement[[#This Row],[Is_Ore]]=1,tblMovement[[#This Row],[Contained_oz]],0)</f>
        <v/>
      </c>
    </row>
    <row r="3967">
      <c r="A3967" s="54" t="n"/>
      <c r="B3967" s="61" t="n"/>
      <c r="C3967" s="61" t="n"/>
      <c r="D3967" s="61" t="n"/>
      <c r="E3967" s="61" t="n"/>
      <c r="F3967" s="55" t="n"/>
      <c r="G3967" s="56" t="n"/>
      <c r="H3967" s="55" t="n"/>
      <c r="I3967" s="62" t="n"/>
      <c r="J3967" s="58" t="n"/>
      <c r="K3967" s="63">
        <f>IF(tblMovement[[#This Row],[Source]]="","",IFERROR(INDEX(tblSources[Type],MATCH(tblMovement[[#This Row],[Source]],tblSources[Source],0)),"?"))</f>
        <v/>
      </c>
      <c r="L3967" s="63">
        <f>IF(tblMovement[[#This Row],[Destination]]="","",IFERROR(INDEX(tblDestinations[Type],MATCH(tblMovement[[#This Row],[Destination]],tblDestinations[Destination],0)),"?"))</f>
        <v/>
      </c>
      <c r="M3967" s="64">
        <f>IF(tblMovement[[#This Row],[Material]]="","",IF(LEFT(tblMovement[[#This Row],[Material]],3)="Ore",1,0))</f>
        <v/>
      </c>
      <c r="N3967" s="59">
        <f>IF(OR(tblMovement[[#This Row],[Tonnes_t]]="",tblMovement[[#This Row],[Grade_gpt]]=""),0,tblMovement[[#This Row],[Tonnes_t]]*tblMovement[[#This Row],[Grade_gpt]]/cfg_TroyOz)</f>
        <v/>
      </c>
      <c r="O3967" s="59">
        <f>IF(tblMovement[[#This Row],[Is_Ore]]=1,tblMovement[[#This Row],[Contained_oz]],0)</f>
        <v/>
      </c>
    </row>
    <row r="3968">
      <c r="A3968" s="54" t="n"/>
      <c r="B3968" s="61" t="n"/>
      <c r="C3968" s="61" t="n"/>
      <c r="D3968" s="61" t="n"/>
      <c r="E3968" s="61" t="n"/>
      <c r="F3968" s="55" t="n"/>
      <c r="G3968" s="56" t="n"/>
      <c r="H3968" s="55" t="n"/>
      <c r="I3968" s="62" t="n"/>
      <c r="J3968" s="58" t="n"/>
      <c r="K3968" s="63">
        <f>IF(tblMovement[[#This Row],[Source]]="","",IFERROR(INDEX(tblSources[Type],MATCH(tblMovement[[#This Row],[Source]],tblSources[Source],0)),"?"))</f>
        <v/>
      </c>
      <c r="L3968" s="63">
        <f>IF(tblMovement[[#This Row],[Destination]]="","",IFERROR(INDEX(tblDestinations[Type],MATCH(tblMovement[[#This Row],[Destination]],tblDestinations[Destination],0)),"?"))</f>
        <v/>
      </c>
      <c r="M3968" s="64">
        <f>IF(tblMovement[[#This Row],[Material]]="","",IF(LEFT(tblMovement[[#This Row],[Material]],3)="Ore",1,0))</f>
        <v/>
      </c>
      <c r="N3968" s="59">
        <f>IF(OR(tblMovement[[#This Row],[Tonnes_t]]="",tblMovement[[#This Row],[Grade_gpt]]=""),0,tblMovement[[#This Row],[Tonnes_t]]*tblMovement[[#This Row],[Grade_gpt]]/cfg_TroyOz)</f>
        <v/>
      </c>
      <c r="O3968" s="59">
        <f>IF(tblMovement[[#This Row],[Is_Ore]]=1,tblMovement[[#This Row],[Contained_oz]],0)</f>
        <v/>
      </c>
    </row>
    <row r="3969">
      <c r="A3969" s="54" t="n"/>
      <c r="B3969" s="61" t="n"/>
      <c r="C3969" s="61" t="n"/>
      <c r="D3969" s="61" t="n"/>
      <c r="E3969" s="61" t="n"/>
      <c r="F3969" s="55" t="n"/>
      <c r="G3969" s="56" t="n"/>
      <c r="H3969" s="55" t="n"/>
      <c r="I3969" s="62" t="n"/>
      <c r="J3969" s="58" t="n"/>
      <c r="K3969" s="63">
        <f>IF(tblMovement[[#This Row],[Source]]="","",IFERROR(INDEX(tblSources[Type],MATCH(tblMovement[[#This Row],[Source]],tblSources[Source],0)),"?"))</f>
        <v/>
      </c>
      <c r="L3969" s="63">
        <f>IF(tblMovement[[#This Row],[Destination]]="","",IFERROR(INDEX(tblDestinations[Type],MATCH(tblMovement[[#This Row],[Destination]],tblDestinations[Destination],0)),"?"))</f>
        <v/>
      </c>
      <c r="M3969" s="64">
        <f>IF(tblMovement[[#This Row],[Material]]="","",IF(LEFT(tblMovement[[#This Row],[Material]],3)="Ore",1,0))</f>
        <v/>
      </c>
      <c r="N3969" s="59">
        <f>IF(OR(tblMovement[[#This Row],[Tonnes_t]]="",tblMovement[[#This Row],[Grade_gpt]]=""),0,tblMovement[[#This Row],[Tonnes_t]]*tblMovement[[#This Row],[Grade_gpt]]/cfg_TroyOz)</f>
        <v/>
      </c>
      <c r="O3969" s="59">
        <f>IF(tblMovement[[#This Row],[Is_Ore]]=1,tblMovement[[#This Row],[Contained_oz]],0)</f>
        <v/>
      </c>
    </row>
    <row r="3970">
      <c r="A3970" s="54" t="n"/>
      <c r="B3970" s="61" t="n"/>
      <c r="C3970" s="61" t="n"/>
      <c r="D3970" s="61" t="n"/>
      <c r="E3970" s="61" t="n"/>
      <c r="F3970" s="55" t="n"/>
      <c r="G3970" s="56" t="n"/>
      <c r="H3970" s="55" t="n"/>
      <c r="I3970" s="62" t="n"/>
      <c r="J3970" s="58" t="n"/>
      <c r="K3970" s="63">
        <f>IF(tblMovement[[#This Row],[Source]]="","",IFERROR(INDEX(tblSources[Type],MATCH(tblMovement[[#This Row],[Source]],tblSources[Source],0)),"?"))</f>
        <v/>
      </c>
      <c r="L3970" s="63">
        <f>IF(tblMovement[[#This Row],[Destination]]="","",IFERROR(INDEX(tblDestinations[Type],MATCH(tblMovement[[#This Row],[Destination]],tblDestinations[Destination],0)),"?"))</f>
        <v/>
      </c>
      <c r="M3970" s="64">
        <f>IF(tblMovement[[#This Row],[Material]]="","",IF(LEFT(tblMovement[[#This Row],[Material]],3)="Ore",1,0))</f>
        <v/>
      </c>
      <c r="N3970" s="59">
        <f>IF(OR(tblMovement[[#This Row],[Tonnes_t]]="",tblMovement[[#This Row],[Grade_gpt]]=""),0,tblMovement[[#This Row],[Tonnes_t]]*tblMovement[[#This Row],[Grade_gpt]]/cfg_TroyOz)</f>
        <v/>
      </c>
      <c r="O3970" s="59">
        <f>IF(tblMovement[[#This Row],[Is_Ore]]=1,tblMovement[[#This Row],[Contained_oz]],0)</f>
        <v/>
      </c>
    </row>
    <row r="3971">
      <c r="A3971" s="54" t="n"/>
      <c r="B3971" s="61" t="n"/>
      <c r="C3971" s="61" t="n"/>
      <c r="D3971" s="61" t="n"/>
      <c r="E3971" s="61" t="n"/>
      <c r="F3971" s="55" t="n"/>
      <c r="G3971" s="56" t="n"/>
      <c r="H3971" s="55" t="n"/>
      <c r="I3971" s="62" t="n"/>
      <c r="J3971" s="58" t="n"/>
      <c r="K3971" s="63">
        <f>IF(tblMovement[[#This Row],[Source]]="","",IFERROR(INDEX(tblSources[Type],MATCH(tblMovement[[#This Row],[Source]],tblSources[Source],0)),"?"))</f>
        <v/>
      </c>
      <c r="L3971" s="63">
        <f>IF(tblMovement[[#This Row],[Destination]]="","",IFERROR(INDEX(tblDestinations[Type],MATCH(tblMovement[[#This Row],[Destination]],tblDestinations[Destination],0)),"?"))</f>
        <v/>
      </c>
      <c r="M3971" s="64">
        <f>IF(tblMovement[[#This Row],[Material]]="","",IF(LEFT(tblMovement[[#This Row],[Material]],3)="Ore",1,0))</f>
        <v/>
      </c>
      <c r="N3971" s="59">
        <f>IF(OR(tblMovement[[#This Row],[Tonnes_t]]="",tblMovement[[#This Row],[Grade_gpt]]=""),0,tblMovement[[#This Row],[Tonnes_t]]*tblMovement[[#This Row],[Grade_gpt]]/cfg_TroyOz)</f>
        <v/>
      </c>
      <c r="O3971" s="59">
        <f>IF(tblMovement[[#This Row],[Is_Ore]]=1,tblMovement[[#This Row],[Contained_oz]],0)</f>
        <v/>
      </c>
    </row>
    <row r="3972">
      <c r="A3972" s="54" t="n"/>
      <c r="B3972" s="61" t="n"/>
      <c r="C3972" s="61" t="n"/>
      <c r="D3972" s="61" t="n"/>
      <c r="E3972" s="61" t="n"/>
      <c r="F3972" s="55" t="n"/>
      <c r="G3972" s="56" t="n"/>
      <c r="H3972" s="55" t="n"/>
      <c r="I3972" s="62" t="n"/>
      <c r="J3972" s="58" t="n"/>
      <c r="K3972" s="63">
        <f>IF(tblMovement[[#This Row],[Source]]="","",IFERROR(INDEX(tblSources[Type],MATCH(tblMovement[[#This Row],[Source]],tblSources[Source],0)),"?"))</f>
        <v/>
      </c>
      <c r="L3972" s="63">
        <f>IF(tblMovement[[#This Row],[Destination]]="","",IFERROR(INDEX(tblDestinations[Type],MATCH(tblMovement[[#This Row],[Destination]],tblDestinations[Destination],0)),"?"))</f>
        <v/>
      </c>
      <c r="M3972" s="64">
        <f>IF(tblMovement[[#This Row],[Material]]="","",IF(LEFT(tblMovement[[#This Row],[Material]],3)="Ore",1,0))</f>
        <v/>
      </c>
      <c r="N3972" s="59">
        <f>IF(OR(tblMovement[[#This Row],[Tonnes_t]]="",tblMovement[[#This Row],[Grade_gpt]]=""),0,tblMovement[[#This Row],[Tonnes_t]]*tblMovement[[#This Row],[Grade_gpt]]/cfg_TroyOz)</f>
        <v/>
      </c>
      <c r="O3972" s="59">
        <f>IF(tblMovement[[#This Row],[Is_Ore]]=1,tblMovement[[#This Row],[Contained_oz]],0)</f>
        <v/>
      </c>
    </row>
    <row r="3973">
      <c r="A3973" s="54" t="n"/>
      <c r="B3973" s="61" t="n"/>
      <c r="C3973" s="61" t="n"/>
      <c r="D3973" s="61" t="n"/>
      <c r="E3973" s="61" t="n"/>
      <c r="F3973" s="55" t="n"/>
      <c r="G3973" s="56" t="n"/>
      <c r="H3973" s="55" t="n"/>
      <c r="I3973" s="62" t="n"/>
      <c r="J3973" s="58" t="n"/>
      <c r="K3973" s="63">
        <f>IF(tblMovement[[#This Row],[Source]]="","",IFERROR(INDEX(tblSources[Type],MATCH(tblMovement[[#This Row],[Source]],tblSources[Source],0)),"?"))</f>
        <v/>
      </c>
      <c r="L3973" s="63">
        <f>IF(tblMovement[[#This Row],[Destination]]="","",IFERROR(INDEX(tblDestinations[Type],MATCH(tblMovement[[#This Row],[Destination]],tblDestinations[Destination],0)),"?"))</f>
        <v/>
      </c>
      <c r="M3973" s="64">
        <f>IF(tblMovement[[#This Row],[Material]]="","",IF(LEFT(tblMovement[[#This Row],[Material]],3)="Ore",1,0))</f>
        <v/>
      </c>
      <c r="N3973" s="59">
        <f>IF(OR(tblMovement[[#This Row],[Tonnes_t]]="",tblMovement[[#This Row],[Grade_gpt]]=""),0,tblMovement[[#This Row],[Tonnes_t]]*tblMovement[[#This Row],[Grade_gpt]]/cfg_TroyOz)</f>
        <v/>
      </c>
      <c r="O3973" s="59">
        <f>IF(tblMovement[[#This Row],[Is_Ore]]=1,tblMovement[[#This Row],[Contained_oz]],0)</f>
        <v/>
      </c>
    </row>
    <row r="3974">
      <c r="A3974" s="54" t="n"/>
      <c r="B3974" s="61" t="n"/>
      <c r="C3974" s="61" t="n"/>
      <c r="D3974" s="61" t="n"/>
      <c r="E3974" s="61" t="n"/>
      <c r="F3974" s="55" t="n"/>
      <c r="G3974" s="56" t="n"/>
      <c r="H3974" s="55" t="n"/>
      <c r="I3974" s="62" t="n"/>
      <c r="J3974" s="58" t="n"/>
      <c r="K3974" s="63">
        <f>IF(tblMovement[[#This Row],[Source]]="","",IFERROR(INDEX(tblSources[Type],MATCH(tblMovement[[#This Row],[Source]],tblSources[Source],0)),"?"))</f>
        <v/>
      </c>
      <c r="L3974" s="63">
        <f>IF(tblMovement[[#This Row],[Destination]]="","",IFERROR(INDEX(tblDestinations[Type],MATCH(tblMovement[[#This Row],[Destination]],tblDestinations[Destination],0)),"?"))</f>
        <v/>
      </c>
      <c r="M3974" s="64">
        <f>IF(tblMovement[[#This Row],[Material]]="","",IF(LEFT(tblMovement[[#This Row],[Material]],3)="Ore",1,0))</f>
        <v/>
      </c>
      <c r="N3974" s="59">
        <f>IF(OR(tblMovement[[#This Row],[Tonnes_t]]="",tblMovement[[#This Row],[Grade_gpt]]=""),0,tblMovement[[#This Row],[Tonnes_t]]*tblMovement[[#This Row],[Grade_gpt]]/cfg_TroyOz)</f>
        <v/>
      </c>
      <c r="O3974" s="59">
        <f>IF(tblMovement[[#This Row],[Is_Ore]]=1,tblMovement[[#This Row],[Contained_oz]],0)</f>
        <v/>
      </c>
    </row>
    <row r="3975">
      <c r="A3975" s="54" t="n"/>
      <c r="B3975" s="61" t="n"/>
      <c r="C3975" s="61" t="n"/>
      <c r="D3975" s="61" t="n"/>
      <c r="E3975" s="61" t="n"/>
      <c r="F3975" s="55" t="n"/>
      <c r="G3975" s="56" t="n"/>
      <c r="H3975" s="55" t="n"/>
      <c r="I3975" s="62" t="n"/>
      <c r="J3975" s="58" t="n"/>
      <c r="K3975" s="63">
        <f>IF(tblMovement[[#This Row],[Source]]="","",IFERROR(INDEX(tblSources[Type],MATCH(tblMovement[[#This Row],[Source]],tblSources[Source],0)),"?"))</f>
        <v/>
      </c>
      <c r="L3975" s="63">
        <f>IF(tblMovement[[#This Row],[Destination]]="","",IFERROR(INDEX(tblDestinations[Type],MATCH(tblMovement[[#This Row],[Destination]],tblDestinations[Destination],0)),"?"))</f>
        <v/>
      </c>
      <c r="M3975" s="64">
        <f>IF(tblMovement[[#This Row],[Material]]="","",IF(LEFT(tblMovement[[#This Row],[Material]],3)="Ore",1,0))</f>
        <v/>
      </c>
      <c r="N3975" s="59">
        <f>IF(OR(tblMovement[[#This Row],[Tonnes_t]]="",tblMovement[[#This Row],[Grade_gpt]]=""),0,tblMovement[[#This Row],[Tonnes_t]]*tblMovement[[#This Row],[Grade_gpt]]/cfg_TroyOz)</f>
        <v/>
      </c>
      <c r="O3975" s="59">
        <f>IF(tblMovement[[#This Row],[Is_Ore]]=1,tblMovement[[#This Row],[Contained_oz]],0)</f>
        <v/>
      </c>
    </row>
    <row r="3976">
      <c r="A3976" s="54" t="n"/>
      <c r="B3976" s="61" t="n"/>
      <c r="C3976" s="61" t="n"/>
      <c r="D3976" s="61" t="n"/>
      <c r="E3976" s="61" t="n"/>
      <c r="F3976" s="55" t="n"/>
      <c r="G3976" s="56" t="n"/>
      <c r="H3976" s="55" t="n"/>
      <c r="I3976" s="62" t="n"/>
      <c r="J3976" s="58" t="n"/>
      <c r="K3976" s="63">
        <f>IF(tblMovement[[#This Row],[Source]]="","",IFERROR(INDEX(tblSources[Type],MATCH(tblMovement[[#This Row],[Source]],tblSources[Source],0)),"?"))</f>
        <v/>
      </c>
      <c r="L3976" s="63">
        <f>IF(tblMovement[[#This Row],[Destination]]="","",IFERROR(INDEX(tblDestinations[Type],MATCH(tblMovement[[#This Row],[Destination]],tblDestinations[Destination],0)),"?"))</f>
        <v/>
      </c>
      <c r="M3976" s="64">
        <f>IF(tblMovement[[#This Row],[Material]]="","",IF(LEFT(tblMovement[[#This Row],[Material]],3)="Ore",1,0))</f>
        <v/>
      </c>
      <c r="N3976" s="59">
        <f>IF(OR(tblMovement[[#This Row],[Tonnes_t]]="",tblMovement[[#This Row],[Grade_gpt]]=""),0,tblMovement[[#This Row],[Tonnes_t]]*tblMovement[[#This Row],[Grade_gpt]]/cfg_TroyOz)</f>
        <v/>
      </c>
      <c r="O3976" s="59">
        <f>IF(tblMovement[[#This Row],[Is_Ore]]=1,tblMovement[[#This Row],[Contained_oz]],0)</f>
        <v/>
      </c>
    </row>
    <row r="3977">
      <c r="A3977" s="54" t="n"/>
      <c r="B3977" s="61" t="n"/>
      <c r="C3977" s="61" t="n"/>
      <c r="D3977" s="61" t="n"/>
      <c r="E3977" s="61" t="n"/>
      <c r="F3977" s="55" t="n"/>
      <c r="G3977" s="56" t="n"/>
      <c r="H3977" s="55" t="n"/>
      <c r="I3977" s="62" t="n"/>
      <c r="J3977" s="58" t="n"/>
      <c r="K3977" s="63">
        <f>IF(tblMovement[[#This Row],[Source]]="","",IFERROR(INDEX(tblSources[Type],MATCH(tblMovement[[#This Row],[Source]],tblSources[Source],0)),"?"))</f>
        <v/>
      </c>
      <c r="L3977" s="63">
        <f>IF(tblMovement[[#This Row],[Destination]]="","",IFERROR(INDEX(tblDestinations[Type],MATCH(tblMovement[[#This Row],[Destination]],tblDestinations[Destination],0)),"?"))</f>
        <v/>
      </c>
      <c r="M3977" s="64">
        <f>IF(tblMovement[[#This Row],[Material]]="","",IF(LEFT(tblMovement[[#This Row],[Material]],3)="Ore",1,0))</f>
        <v/>
      </c>
      <c r="N3977" s="59">
        <f>IF(OR(tblMovement[[#This Row],[Tonnes_t]]="",tblMovement[[#This Row],[Grade_gpt]]=""),0,tblMovement[[#This Row],[Tonnes_t]]*tblMovement[[#This Row],[Grade_gpt]]/cfg_TroyOz)</f>
        <v/>
      </c>
      <c r="O3977" s="59">
        <f>IF(tblMovement[[#This Row],[Is_Ore]]=1,tblMovement[[#This Row],[Contained_oz]],0)</f>
        <v/>
      </c>
    </row>
    <row r="3978">
      <c r="A3978" s="54" t="n"/>
      <c r="B3978" s="61" t="n"/>
      <c r="C3978" s="61" t="n"/>
      <c r="D3978" s="61" t="n"/>
      <c r="E3978" s="61" t="n"/>
      <c r="F3978" s="55" t="n"/>
      <c r="G3978" s="56" t="n"/>
      <c r="H3978" s="55" t="n"/>
      <c r="I3978" s="62" t="n"/>
      <c r="J3978" s="58" t="n"/>
      <c r="K3978" s="63">
        <f>IF(tblMovement[[#This Row],[Source]]="","",IFERROR(INDEX(tblSources[Type],MATCH(tblMovement[[#This Row],[Source]],tblSources[Source],0)),"?"))</f>
        <v/>
      </c>
      <c r="L3978" s="63">
        <f>IF(tblMovement[[#This Row],[Destination]]="","",IFERROR(INDEX(tblDestinations[Type],MATCH(tblMovement[[#This Row],[Destination]],tblDestinations[Destination],0)),"?"))</f>
        <v/>
      </c>
      <c r="M3978" s="64">
        <f>IF(tblMovement[[#This Row],[Material]]="","",IF(LEFT(tblMovement[[#This Row],[Material]],3)="Ore",1,0))</f>
        <v/>
      </c>
      <c r="N3978" s="59">
        <f>IF(OR(tblMovement[[#This Row],[Tonnes_t]]="",tblMovement[[#This Row],[Grade_gpt]]=""),0,tblMovement[[#This Row],[Tonnes_t]]*tblMovement[[#This Row],[Grade_gpt]]/cfg_TroyOz)</f>
        <v/>
      </c>
      <c r="O3978" s="59">
        <f>IF(tblMovement[[#This Row],[Is_Ore]]=1,tblMovement[[#This Row],[Contained_oz]],0)</f>
        <v/>
      </c>
    </row>
    <row r="3979">
      <c r="A3979" s="54" t="n"/>
      <c r="B3979" s="61" t="n"/>
      <c r="C3979" s="61" t="n"/>
      <c r="D3979" s="61" t="n"/>
      <c r="E3979" s="61" t="n"/>
      <c r="F3979" s="55" t="n"/>
      <c r="G3979" s="56" t="n"/>
      <c r="H3979" s="55" t="n"/>
      <c r="I3979" s="62" t="n"/>
      <c r="J3979" s="58" t="n"/>
      <c r="K3979" s="63">
        <f>IF(tblMovement[[#This Row],[Source]]="","",IFERROR(INDEX(tblSources[Type],MATCH(tblMovement[[#This Row],[Source]],tblSources[Source],0)),"?"))</f>
        <v/>
      </c>
      <c r="L3979" s="63">
        <f>IF(tblMovement[[#This Row],[Destination]]="","",IFERROR(INDEX(tblDestinations[Type],MATCH(tblMovement[[#This Row],[Destination]],tblDestinations[Destination],0)),"?"))</f>
        <v/>
      </c>
      <c r="M3979" s="64">
        <f>IF(tblMovement[[#This Row],[Material]]="","",IF(LEFT(tblMovement[[#This Row],[Material]],3)="Ore",1,0))</f>
        <v/>
      </c>
      <c r="N3979" s="59">
        <f>IF(OR(tblMovement[[#This Row],[Tonnes_t]]="",tblMovement[[#This Row],[Grade_gpt]]=""),0,tblMovement[[#This Row],[Tonnes_t]]*tblMovement[[#This Row],[Grade_gpt]]/cfg_TroyOz)</f>
        <v/>
      </c>
      <c r="O3979" s="59">
        <f>IF(tblMovement[[#This Row],[Is_Ore]]=1,tblMovement[[#This Row],[Contained_oz]],0)</f>
        <v/>
      </c>
    </row>
    <row r="3980">
      <c r="A3980" s="54" t="n"/>
      <c r="B3980" s="61" t="n"/>
      <c r="C3980" s="61" t="n"/>
      <c r="D3980" s="61" t="n"/>
      <c r="E3980" s="61" t="n"/>
      <c r="F3980" s="55" t="n"/>
      <c r="G3980" s="56" t="n"/>
      <c r="H3980" s="55" t="n"/>
      <c r="I3980" s="62" t="n"/>
      <c r="J3980" s="58" t="n"/>
      <c r="K3980" s="63">
        <f>IF(tblMovement[[#This Row],[Source]]="","",IFERROR(INDEX(tblSources[Type],MATCH(tblMovement[[#This Row],[Source]],tblSources[Source],0)),"?"))</f>
        <v/>
      </c>
      <c r="L3980" s="63">
        <f>IF(tblMovement[[#This Row],[Destination]]="","",IFERROR(INDEX(tblDestinations[Type],MATCH(tblMovement[[#This Row],[Destination]],tblDestinations[Destination],0)),"?"))</f>
        <v/>
      </c>
      <c r="M3980" s="64">
        <f>IF(tblMovement[[#This Row],[Material]]="","",IF(LEFT(tblMovement[[#This Row],[Material]],3)="Ore",1,0))</f>
        <v/>
      </c>
      <c r="N3980" s="59">
        <f>IF(OR(tblMovement[[#This Row],[Tonnes_t]]="",tblMovement[[#This Row],[Grade_gpt]]=""),0,tblMovement[[#This Row],[Tonnes_t]]*tblMovement[[#This Row],[Grade_gpt]]/cfg_TroyOz)</f>
        <v/>
      </c>
      <c r="O3980" s="59">
        <f>IF(tblMovement[[#This Row],[Is_Ore]]=1,tblMovement[[#This Row],[Contained_oz]],0)</f>
        <v/>
      </c>
    </row>
    <row r="3981">
      <c r="A3981" s="54" t="n"/>
      <c r="B3981" s="61" t="n"/>
      <c r="C3981" s="61" t="n"/>
      <c r="D3981" s="61" t="n"/>
      <c r="E3981" s="61" t="n"/>
      <c r="F3981" s="55" t="n"/>
      <c r="G3981" s="56" t="n"/>
      <c r="H3981" s="55" t="n"/>
      <c r="I3981" s="62" t="n"/>
      <c r="J3981" s="58" t="n"/>
      <c r="K3981" s="63">
        <f>IF(tblMovement[[#This Row],[Source]]="","",IFERROR(INDEX(tblSources[Type],MATCH(tblMovement[[#This Row],[Source]],tblSources[Source],0)),"?"))</f>
        <v/>
      </c>
      <c r="L3981" s="63">
        <f>IF(tblMovement[[#This Row],[Destination]]="","",IFERROR(INDEX(tblDestinations[Type],MATCH(tblMovement[[#This Row],[Destination]],tblDestinations[Destination],0)),"?"))</f>
        <v/>
      </c>
      <c r="M3981" s="64">
        <f>IF(tblMovement[[#This Row],[Material]]="","",IF(LEFT(tblMovement[[#This Row],[Material]],3)="Ore",1,0))</f>
        <v/>
      </c>
      <c r="N3981" s="59">
        <f>IF(OR(tblMovement[[#This Row],[Tonnes_t]]="",tblMovement[[#This Row],[Grade_gpt]]=""),0,tblMovement[[#This Row],[Tonnes_t]]*tblMovement[[#This Row],[Grade_gpt]]/cfg_TroyOz)</f>
        <v/>
      </c>
      <c r="O3981" s="59">
        <f>IF(tblMovement[[#This Row],[Is_Ore]]=1,tblMovement[[#This Row],[Contained_oz]],0)</f>
        <v/>
      </c>
    </row>
    <row r="3982">
      <c r="A3982" s="54" t="n"/>
      <c r="B3982" s="61" t="n"/>
      <c r="C3982" s="61" t="n"/>
      <c r="D3982" s="61" t="n"/>
      <c r="E3982" s="61" t="n"/>
      <c r="F3982" s="55" t="n"/>
      <c r="G3982" s="56" t="n"/>
      <c r="H3982" s="55" t="n"/>
      <c r="I3982" s="62" t="n"/>
      <c r="J3982" s="58" t="n"/>
      <c r="K3982" s="63">
        <f>IF(tblMovement[[#This Row],[Source]]="","",IFERROR(INDEX(tblSources[Type],MATCH(tblMovement[[#This Row],[Source]],tblSources[Source],0)),"?"))</f>
        <v/>
      </c>
      <c r="L3982" s="63">
        <f>IF(tblMovement[[#This Row],[Destination]]="","",IFERROR(INDEX(tblDestinations[Type],MATCH(tblMovement[[#This Row],[Destination]],tblDestinations[Destination],0)),"?"))</f>
        <v/>
      </c>
      <c r="M3982" s="64">
        <f>IF(tblMovement[[#This Row],[Material]]="","",IF(LEFT(tblMovement[[#This Row],[Material]],3)="Ore",1,0))</f>
        <v/>
      </c>
      <c r="N3982" s="59">
        <f>IF(OR(tblMovement[[#This Row],[Tonnes_t]]="",tblMovement[[#This Row],[Grade_gpt]]=""),0,tblMovement[[#This Row],[Tonnes_t]]*tblMovement[[#This Row],[Grade_gpt]]/cfg_TroyOz)</f>
        <v/>
      </c>
      <c r="O3982" s="59">
        <f>IF(tblMovement[[#This Row],[Is_Ore]]=1,tblMovement[[#This Row],[Contained_oz]],0)</f>
        <v/>
      </c>
    </row>
    <row r="3983">
      <c r="A3983" s="54" t="n"/>
      <c r="B3983" s="61" t="n"/>
      <c r="C3983" s="61" t="n"/>
      <c r="D3983" s="61" t="n"/>
      <c r="E3983" s="61" t="n"/>
      <c r="F3983" s="55" t="n"/>
      <c r="G3983" s="56" t="n"/>
      <c r="H3983" s="55" t="n"/>
      <c r="I3983" s="62" t="n"/>
      <c r="J3983" s="58" t="n"/>
      <c r="K3983" s="63">
        <f>IF(tblMovement[[#This Row],[Source]]="","",IFERROR(INDEX(tblSources[Type],MATCH(tblMovement[[#This Row],[Source]],tblSources[Source],0)),"?"))</f>
        <v/>
      </c>
      <c r="L3983" s="63">
        <f>IF(tblMovement[[#This Row],[Destination]]="","",IFERROR(INDEX(tblDestinations[Type],MATCH(tblMovement[[#This Row],[Destination]],tblDestinations[Destination],0)),"?"))</f>
        <v/>
      </c>
      <c r="M3983" s="64">
        <f>IF(tblMovement[[#This Row],[Material]]="","",IF(LEFT(tblMovement[[#This Row],[Material]],3)="Ore",1,0))</f>
        <v/>
      </c>
      <c r="N3983" s="59">
        <f>IF(OR(tblMovement[[#This Row],[Tonnes_t]]="",tblMovement[[#This Row],[Grade_gpt]]=""),0,tblMovement[[#This Row],[Tonnes_t]]*tblMovement[[#This Row],[Grade_gpt]]/cfg_TroyOz)</f>
        <v/>
      </c>
      <c r="O3983" s="59">
        <f>IF(tblMovement[[#This Row],[Is_Ore]]=1,tblMovement[[#This Row],[Contained_oz]],0)</f>
        <v/>
      </c>
    </row>
    <row r="3984">
      <c r="A3984" s="54" t="n"/>
      <c r="B3984" s="61" t="n"/>
      <c r="C3984" s="61" t="n"/>
      <c r="D3984" s="61" t="n"/>
      <c r="E3984" s="61" t="n"/>
      <c r="F3984" s="55" t="n"/>
      <c r="G3984" s="56" t="n"/>
      <c r="H3984" s="55" t="n"/>
      <c r="I3984" s="62" t="n"/>
      <c r="J3984" s="58" t="n"/>
      <c r="K3984" s="63">
        <f>IF(tblMovement[[#This Row],[Source]]="","",IFERROR(INDEX(tblSources[Type],MATCH(tblMovement[[#This Row],[Source]],tblSources[Source],0)),"?"))</f>
        <v/>
      </c>
      <c r="L3984" s="63">
        <f>IF(tblMovement[[#This Row],[Destination]]="","",IFERROR(INDEX(tblDestinations[Type],MATCH(tblMovement[[#This Row],[Destination]],tblDestinations[Destination],0)),"?"))</f>
        <v/>
      </c>
      <c r="M3984" s="64">
        <f>IF(tblMovement[[#This Row],[Material]]="","",IF(LEFT(tblMovement[[#This Row],[Material]],3)="Ore",1,0))</f>
        <v/>
      </c>
      <c r="N3984" s="59">
        <f>IF(OR(tblMovement[[#This Row],[Tonnes_t]]="",tblMovement[[#This Row],[Grade_gpt]]=""),0,tblMovement[[#This Row],[Tonnes_t]]*tblMovement[[#This Row],[Grade_gpt]]/cfg_TroyOz)</f>
        <v/>
      </c>
      <c r="O3984" s="59">
        <f>IF(tblMovement[[#This Row],[Is_Ore]]=1,tblMovement[[#This Row],[Contained_oz]],0)</f>
        <v/>
      </c>
    </row>
    <row r="3985">
      <c r="A3985" s="54" t="n"/>
      <c r="B3985" s="61" t="n"/>
      <c r="C3985" s="61" t="n"/>
      <c r="D3985" s="61" t="n"/>
      <c r="E3985" s="61" t="n"/>
      <c r="F3985" s="55" t="n"/>
      <c r="G3985" s="56" t="n"/>
      <c r="H3985" s="55" t="n"/>
      <c r="I3985" s="62" t="n"/>
      <c r="J3985" s="58" t="n"/>
      <c r="K3985" s="63">
        <f>IF(tblMovement[[#This Row],[Source]]="","",IFERROR(INDEX(tblSources[Type],MATCH(tblMovement[[#This Row],[Source]],tblSources[Source],0)),"?"))</f>
        <v/>
      </c>
      <c r="L3985" s="63">
        <f>IF(tblMovement[[#This Row],[Destination]]="","",IFERROR(INDEX(tblDestinations[Type],MATCH(tblMovement[[#This Row],[Destination]],tblDestinations[Destination],0)),"?"))</f>
        <v/>
      </c>
      <c r="M3985" s="64">
        <f>IF(tblMovement[[#This Row],[Material]]="","",IF(LEFT(tblMovement[[#This Row],[Material]],3)="Ore",1,0))</f>
        <v/>
      </c>
      <c r="N3985" s="59">
        <f>IF(OR(tblMovement[[#This Row],[Tonnes_t]]="",tblMovement[[#This Row],[Grade_gpt]]=""),0,tblMovement[[#This Row],[Tonnes_t]]*tblMovement[[#This Row],[Grade_gpt]]/cfg_TroyOz)</f>
        <v/>
      </c>
      <c r="O3985" s="59">
        <f>IF(tblMovement[[#This Row],[Is_Ore]]=1,tblMovement[[#This Row],[Contained_oz]],0)</f>
        <v/>
      </c>
    </row>
    <row r="3986">
      <c r="A3986" s="54" t="n"/>
      <c r="B3986" s="61" t="n"/>
      <c r="C3986" s="61" t="n"/>
      <c r="D3986" s="61" t="n"/>
      <c r="E3986" s="61" t="n"/>
      <c r="F3986" s="55" t="n"/>
      <c r="G3986" s="56" t="n"/>
      <c r="H3986" s="55" t="n"/>
      <c r="I3986" s="62" t="n"/>
      <c r="J3986" s="58" t="n"/>
      <c r="K3986" s="63">
        <f>IF(tblMovement[[#This Row],[Source]]="","",IFERROR(INDEX(tblSources[Type],MATCH(tblMovement[[#This Row],[Source]],tblSources[Source],0)),"?"))</f>
        <v/>
      </c>
      <c r="L3986" s="63">
        <f>IF(tblMovement[[#This Row],[Destination]]="","",IFERROR(INDEX(tblDestinations[Type],MATCH(tblMovement[[#This Row],[Destination]],tblDestinations[Destination],0)),"?"))</f>
        <v/>
      </c>
      <c r="M3986" s="64">
        <f>IF(tblMovement[[#This Row],[Material]]="","",IF(LEFT(tblMovement[[#This Row],[Material]],3)="Ore",1,0))</f>
        <v/>
      </c>
      <c r="N3986" s="59">
        <f>IF(OR(tblMovement[[#This Row],[Tonnes_t]]="",tblMovement[[#This Row],[Grade_gpt]]=""),0,tblMovement[[#This Row],[Tonnes_t]]*tblMovement[[#This Row],[Grade_gpt]]/cfg_TroyOz)</f>
        <v/>
      </c>
      <c r="O3986" s="59">
        <f>IF(tblMovement[[#This Row],[Is_Ore]]=1,tblMovement[[#This Row],[Contained_oz]],0)</f>
        <v/>
      </c>
    </row>
    <row r="3987">
      <c r="A3987" s="54" t="n"/>
      <c r="B3987" s="61" t="n"/>
      <c r="C3987" s="61" t="n"/>
      <c r="D3987" s="61" t="n"/>
      <c r="E3987" s="61" t="n"/>
      <c r="F3987" s="55" t="n"/>
      <c r="G3987" s="56" t="n"/>
      <c r="H3987" s="55" t="n"/>
      <c r="I3987" s="62" t="n"/>
      <c r="J3987" s="58" t="n"/>
      <c r="K3987" s="63">
        <f>IF(tblMovement[[#This Row],[Source]]="","",IFERROR(INDEX(tblSources[Type],MATCH(tblMovement[[#This Row],[Source]],tblSources[Source],0)),"?"))</f>
        <v/>
      </c>
      <c r="L3987" s="63">
        <f>IF(tblMovement[[#This Row],[Destination]]="","",IFERROR(INDEX(tblDestinations[Type],MATCH(tblMovement[[#This Row],[Destination]],tblDestinations[Destination],0)),"?"))</f>
        <v/>
      </c>
      <c r="M3987" s="64">
        <f>IF(tblMovement[[#This Row],[Material]]="","",IF(LEFT(tblMovement[[#This Row],[Material]],3)="Ore",1,0))</f>
        <v/>
      </c>
      <c r="N3987" s="59">
        <f>IF(OR(tblMovement[[#This Row],[Tonnes_t]]="",tblMovement[[#This Row],[Grade_gpt]]=""),0,tblMovement[[#This Row],[Tonnes_t]]*tblMovement[[#This Row],[Grade_gpt]]/cfg_TroyOz)</f>
        <v/>
      </c>
      <c r="O3987" s="59">
        <f>IF(tblMovement[[#This Row],[Is_Ore]]=1,tblMovement[[#This Row],[Contained_oz]],0)</f>
        <v/>
      </c>
    </row>
    <row r="3988">
      <c r="A3988" s="54" t="n"/>
      <c r="B3988" s="61" t="n"/>
      <c r="C3988" s="61" t="n"/>
      <c r="D3988" s="61" t="n"/>
      <c r="E3988" s="61" t="n"/>
      <c r="F3988" s="55" t="n"/>
      <c r="G3988" s="56" t="n"/>
      <c r="H3988" s="55" t="n"/>
      <c r="I3988" s="62" t="n"/>
      <c r="J3988" s="58" t="n"/>
      <c r="K3988" s="63">
        <f>IF(tblMovement[[#This Row],[Source]]="","",IFERROR(INDEX(tblSources[Type],MATCH(tblMovement[[#This Row],[Source]],tblSources[Source],0)),"?"))</f>
        <v/>
      </c>
      <c r="L3988" s="63">
        <f>IF(tblMovement[[#This Row],[Destination]]="","",IFERROR(INDEX(tblDestinations[Type],MATCH(tblMovement[[#This Row],[Destination]],tblDestinations[Destination],0)),"?"))</f>
        <v/>
      </c>
      <c r="M3988" s="64">
        <f>IF(tblMovement[[#This Row],[Material]]="","",IF(LEFT(tblMovement[[#This Row],[Material]],3)="Ore",1,0))</f>
        <v/>
      </c>
      <c r="N3988" s="59">
        <f>IF(OR(tblMovement[[#This Row],[Tonnes_t]]="",tblMovement[[#This Row],[Grade_gpt]]=""),0,tblMovement[[#This Row],[Tonnes_t]]*tblMovement[[#This Row],[Grade_gpt]]/cfg_TroyOz)</f>
        <v/>
      </c>
      <c r="O3988" s="59">
        <f>IF(tblMovement[[#This Row],[Is_Ore]]=1,tblMovement[[#This Row],[Contained_oz]],0)</f>
        <v/>
      </c>
    </row>
    <row r="3989">
      <c r="A3989" s="54" t="n"/>
      <c r="B3989" s="61" t="n"/>
      <c r="C3989" s="61" t="n"/>
      <c r="D3989" s="61" t="n"/>
      <c r="E3989" s="61" t="n"/>
      <c r="F3989" s="55" t="n"/>
      <c r="G3989" s="56" t="n"/>
      <c r="H3989" s="55" t="n"/>
      <c r="I3989" s="62" t="n"/>
      <c r="J3989" s="58" t="n"/>
      <c r="K3989" s="63">
        <f>IF(tblMovement[[#This Row],[Source]]="","",IFERROR(INDEX(tblSources[Type],MATCH(tblMovement[[#This Row],[Source]],tblSources[Source],0)),"?"))</f>
        <v/>
      </c>
      <c r="L3989" s="63">
        <f>IF(tblMovement[[#This Row],[Destination]]="","",IFERROR(INDEX(tblDestinations[Type],MATCH(tblMovement[[#This Row],[Destination]],tblDestinations[Destination],0)),"?"))</f>
        <v/>
      </c>
      <c r="M3989" s="64">
        <f>IF(tblMovement[[#This Row],[Material]]="","",IF(LEFT(tblMovement[[#This Row],[Material]],3)="Ore",1,0))</f>
        <v/>
      </c>
      <c r="N3989" s="59">
        <f>IF(OR(tblMovement[[#This Row],[Tonnes_t]]="",tblMovement[[#This Row],[Grade_gpt]]=""),0,tblMovement[[#This Row],[Tonnes_t]]*tblMovement[[#This Row],[Grade_gpt]]/cfg_TroyOz)</f>
        <v/>
      </c>
      <c r="O3989" s="59">
        <f>IF(tblMovement[[#This Row],[Is_Ore]]=1,tblMovement[[#This Row],[Contained_oz]],0)</f>
        <v/>
      </c>
    </row>
    <row r="3990">
      <c r="A3990" s="54" t="n"/>
      <c r="B3990" s="61" t="n"/>
      <c r="C3990" s="61" t="n"/>
      <c r="D3990" s="61" t="n"/>
      <c r="E3990" s="61" t="n"/>
      <c r="F3990" s="55" t="n"/>
      <c r="G3990" s="56" t="n"/>
      <c r="H3990" s="55" t="n"/>
      <c r="I3990" s="62" t="n"/>
      <c r="J3990" s="58" t="n"/>
      <c r="K3990" s="63">
        <f>IF(tblMovement[[#This Row],[Source]]="","",IFERROR(INDEX(tblSources[Type],MATCH(tblMovement[[#This Row],[Source]],tblSources[Source],0)),"?"))</f>
        <v/>
      </c>
      <c r="L3990" s="63">
        <f>IF(tblMovement[[#This Row],[Destination]]="","",IFERROR(INDEX(tblDestinations[Type],MATCH(tblMovement[[#This Row],[Destination]],tblDestinations[Destination],0)),"?"))</f>
        <v/>
      </c>
      <c r="M3990" s="64">
        <f>IF(tblMovement[[#This Row],[Material]]="","",IF(LEFT(tblMovement[[#This Row],[Material]],3)="Ore",1,0))</f>
        <v/>
      </c>
      <c r="N3990" s="59">
        <f>IF(OR(tblMovement[[#This Row],[Tonnes_t]]="",tblMovement[[#This Row],[Grade_gpt]]=""),0,tblMovement[[#This Row],[Tonnes_t]]*tblMovement[[#This Row],[Grade_gpt]]/cfg_TroyOz)</f>
        <v/>
      </c>
      <c r="O3990" s="59">
        <f>IF(tblMovement[[#This Row],[Is_Ore]]=1,tblMovement[[#This Row],[Contained_oz]],0)</f>
        <v/>
      </c>
    </row>
    <row r="3991">
      <c r="A3991" s="54" t="n"/>
      <c r="B3991" s="61" t="n"/>
      <c r="C3991" s="61" t="n"/>
      <c r="D3991" s="61" t="n"/>
      <c r="E3991" s="61" t="n"/>
      <c r="F3991" s="55" t="n"/>
      <c r="G3991" s="56" t="n"/>
      <c r="H3991" s="55" t="n"/>
      <c r="I3991" s="62" t="n"/>
      <c r="J3991" s="58" t="n"/>
      <c r="K3991" s="63">
        <f>IF(tblMovement[[#This Row],[Source]]="","",IFERROR(INDEX(tblSources[Type],MATCH(tblMovement[[#This Row],[Source]],tblSources[Source],0)),"?"))</f>
        <v/>
      </c>
      <c r="L3991" s="63">
        <f>IF(tblMovement[[#This Row],[Destination]]="","",IFERROR(INDEX(tblDestinations[Type],MATCH(tblMovement[[#This Row],[Destination]],tblDestinations[Destination],0)),"?"))</f>
        <v/>
      </c>
      <c r="M3991" s="64">
        <f>IF(tblMovement[[#This Row],[Material]]="","",IF(LEFT(tblMovement[[#This Row],[Material]],3)="Ore",1,0))</f>
        <v/>
      </c>
      <c r="N3991" s="59">
        <f>IF(OR(tblMovement[[#This Row],[Tonnes_t]]="",tblMovement[[#This Row],[Grade_gpt]]=""),0,tblMovement[[#This Row],[Tonnes_t]]*tblMovement[[#This Row],[Grade_gpt]]/cfg_TroyOz)</f>
        <v/>
      </c>
      <c r="O3991" s="59">
        <f>IF(tblMovement[[#This Row],[Is_Ore]]=1,tblMovement[[#This Row],[Contained_oz]],0)</f>
        <v/>
      </c>
    </row>
    <row r="3992">
      <c r="A3992" s="54" t="n"/>
      <c r="B3992" s="61" t="n"/>
      <c r="C3992" s="61" t="n"/>
      <c r="D3992" s="61" t="n"/>
      <c r="E3992" s="61" t="n"/>
      <c r="F3992" s="55" t="n"/>
      <c r="G3992" s="56" t="n"/>
      <c r="H3992" s="55" t="n"/>
      <c r="I3992" s="62" t="n"/>
      <c r="J3992" s="58" t="n"/>
      <c r="K3992" s="63">
        <f>IF(tblMovement[[#This Row],[Source]]="","",IFERROR(INDEX(tblSources[Type],MATCH(tblMovement[[#This Row],[Source]],tblSources[Source],0)),"?"))</f>
        <v/>
      </c>
      <c r="L3992" s="63">
        <f>IF(tblMovement[[#This Row],[Destination]]="","",IFERROR(INDEX(tblDestinations[Type],MATCH(tblMovement[[#This Row],[Destination]],tblDestinations[Destination],0)),"?"))</f>
        <v/>
      </c>
      <c r="M3992" s="64">
        <f>IF(tblMovement[[#This Row],[Material]]="","",IF(LEFT(tblMovement[[#This Row],[Material]],3)="Ore",1,0))</f>
        <v/>
      </c>
      <c r="N3992" s="59">
        <f>IF(OR(tblMovement[[#This Row],[Tonnes_t]]="",tblMovement[[#This Row],[Grade_gpt]]=""),0,tblMovement[[#This Row],[Tonnes_t]]*tblMovement[[#This Row],[Grade_gpt]]/cfg_TroyOz)</f>
        <v/>
      </c>
      <c r="O3992" s="59">
        <f>IF(tblMovement[[#This Row],[Is_Ore]]=1,tblMovement[[#This Row],[Contained_oz]],0)</f>
        <v/>
      </c>
    </row>
    <row r="3993">
      <c r="A3993" s="54" t="n"/>
      <c r="B3993" s="61" t="n"/>
      <c r="C3993" s="61" t="n"/>
      <c r="D3993" s="61" t="n"/>
      <c r="E3993" s="61" t="n"/>
      <c r="F3993" s="55" t="n"/>
      <c r="G3993" s="56" t="n"/>
      <c r="H3993" s="55" t="n"/>
      <c r="I3993" s="62" t="n"/>
      <c r="J3993" s="58" t="n"/>
      <c r="K3993" s="63">
        <f>IF(tblMovement[[#This Row],[Source]]="","",IFERROR(INDEX(tblSources[Type],MATCH(tblMovement[[#This Row],[Source]],tblSources[Source],0)),"?"))</f>
        <v/>
      </c>
      <c r="L3993" s="63">
        <f>IF(tblMovement[[#This Row],[Destination]]="","",IFERROR(INDEX(tblDestinations[Type],MATCH(tblMovement[[#This Row],[Destination]],tblDestinations[Destination],0)),"?"))</f>
        <v/>
      </c>
      <c r="M3993" s="64">
        <f>IF(tblMovement[[#This Row],[Material]]="","",IF(LEFT(tblMovement[[#This Row],[Material]],3)="Ore",1,0))</f>
        <v/>
      </c>
      <c r="N3993" s="59">
        <f>IF(OR(tblMovement[[#This Row],[Tonnes_t]]="",tblMovement[[#This Row],[Grade_gpt]]=""),0,tblMovement[[#This Row],[Tonnes_t]]*tblMovement[[#This Row],[Grade_gpt]]/cfg_TroyOz)</f>
        <v/>
      </c>
      <c r="O3993" s="59">
        <f>IF(tblMovement[[#This Row],[Is_Ore]]=1,tblMovement[[#This Row],[Contained_oz]],0)</f>
        <v/>
      </c>
    </row>
    <row r="3994">
      <c r="A3994" s="54" t="n"/>
      <c r="B3994" s="61" t="n"/>
      <c r="C3994" s="61" t="n"/>
      <c r="D3994" s="61" t="n"/>
      <c r="E3994" s="61" t="n"/>
      <c r="F3994" s="55" t="n"/>
      <c r="G3994" s="56" t="n"/>
      <c r="H3994" s="55" t="n"/>
      <c r="I3994" s="62" t="n"/>
      <c r="J3994" s="58" t="n"/>
      <c r="K3994" s="63">
        <f>IF(tblMovement[[#This Row],[Source]]="","",IFERROR(INDEX(tblSources[Type],MATCH(tblMovement[[#This Row],[Source]],tblSources[Source],0)),"?"))</f>
        <v/>
      </c>
      <c r="L3994" s="63">
        <f>IF(tblMovement[[#This Row],[Destination]]="","",IFERROR(INDEX(tblDestinations[Type],MATCH(tblMovement[[#This Row],[Destination]],tblDestinations[Destination],0)),"?"))</f>
        <v/>
      </c>
      <c r="M3994" s="64">
        <f>IF(tblMovement[[#This Row],[Material]]="","",IF(LEFT(tblMovement[[#This Row],[Material]],3)="Ore",1,0))</f>
        <v/>
      </c>
      <c r="N3994" s="59">
        <f>IF(OR(tblMovement[[#This Row],[Tonnes_t]]="",tblMovement[[#This Row],[Grade_gpt]]=""),0,tblMovement[[#This Row],[Tonnes_t]]*tblMovement[[#This Row],[Grade_gpt]]/cfg_TroyOz)</f>
        <v/>
      </c>
      <c r="O3994" s="59">
        <f>IF(tblMovement[[#This Row],[Is_Ore]]=1,tblMovement[[#This Row],[Contained_oz]],0)</f>
        <v/>
      </c>
    </row>
    <row r="3995">
      <c r="A3995" s="54" t="n"/>
      <c r="B3995" s="61" t="n"/>
      <c r="C3995" s="61" t="n"/>
      <c r="D3995" s="61" t="n"/>
      <c r="E3995" s="61" t="n"/>
      <c r="F3995" s="55" t="n"/>
      <c r="G3995" s="56" t="n"/>
      <c r="H3995" s="55" t="n"/>
      <c r="I3995" s="62" t="n"/>
      <c r="J3995" s="58" t="n"/>
      <c r="K3995" s="63">
        <f>IF(tblMovement[[#This Row],[Source]]="","",IFERROR(INDEX(tblSources[Type],MATCH(tblMovement[[#This Row],[Source]],tblSources[Source],0)),"?"))</f>
        <v/>
      </c>
      <c r="L3995" s="63">
        <f>IF(tblMovement[[#This Row],[Destination]]="","",IFERROR(INDEX(tblDestinations[Type],MATCH(tblMovement[[#This Row],[Destination]],tblDestinations[Destination],0)),"?"))</f>
        <v/>
      </c>
      <c r="M3995" s="64">
        <f>IF(tblMovement[[#This Row],[Material]]="","",IF(LEFT(tblMovement[[#This Row],[Material]],3)="Ore",1,0))</f>
        <v/>
      </c>
      <c r="N3995" s="59">
        <f>IF(OR(tblMovement[[#This Row],[Tonnes_t]]="",tblMovement[[#This Row],[Grade_gpt]]=""),0,tblMovement[[#This Row],[Tonnes_t]]*tblMovement[[#This Row],[Grade_gpt]]/cfg_TroyOz)</f>
        <v/>
      </c>
      <c r="O3995" s="59">
        <f>IF(tblMovement[[#This Row],[Is_Ore]]=1,tblMovement[[#This Row],[Contained_oz]],0)</f>
        <v/>
      </c>
    </row>
    <row r="3996">
      <c r="A3996" s="54" t="n"/>
      <c r="B3996" s="61" t="n"/>
      <c r="C3996" s="61" t="n"/>
      <c r="D3996" s="61" t="n"/>
      <c r="E3996" s="61" t="n"/>
      <c r="F3996" s="55" t="n"/>
      <c r="G3996" s="56" t="n"/>
      <c r="H3996" s="55" t="n"/>
      <c r="I3996" s="62" t="n"/>
      <c r="J3996" s="58" t="n"/>
      <c r="K3996" s="63">
        <f>IF(tblMovement[[#This Row],[Source]]="","",IFERROR(INDEX(tblSources[Type],MATCH(tblMovement[[#This Row],[Source]],tblSources[Source],0)),"?"))</f>
        <v/>
      </c>
      <c r="L3996" s="63">
        <f>IF(tblMovement[[#This Row],[Destination]]="","",IFERROR(INDEX(tblDestinations[Type],MATCH(tblMovement[[#This Row],[Destination]],tblDestinations[Destination],0)),"?"))</f>
        <v/>
      </c>
      <c r="M3996" s="64">
        <f>IF(tblMovement[[#This Row],[Material]]="","",IF(LEFT(tblMovement[[#This Row],[Material]],3)="Ore",1,0))</f>
        <v/>
      </c>
      <c r="N3996" s="59">
        <f>IF(OR(tblMovement[[#This Row],[Tonnes_t]]="",tblMovement[[#This Row],[Grade_gpt]]=""),0,tblMovement[[#This Row],[Tonnes_t]]*tblMovement[[#This Row],[Grade_gpt]]/cfg_TroyOz)</f>
        <v/>
      </c>
      <c r="O3996" s="59">
        <f>IF(tblMovement[[#This Row],[Is_Ore]]=1,tblMovement[[#This Row],[Contained_oz]],0)</f>
        <v/>
      </c>
    </row>
    <row r="3997">
      <c r="A3997" s="54" t="n"/>
      <c r="B3997" s="61" t="n"/>
      <c r="C3997" s="61" t="n"/>
      <c r="D3997" s="61" t="n"/>
      <c r="E3997" s="61" t="n"/>
      <c r="F3997" s="55" t="n"/>
      <c r="G3997" s="56" t="n"/>
      <c r="H3997" s="55" t="n"/>
      <c r="I3997" s="62" t="n"/>
      <c r="J3997" s="58" t="n"/>
      <c r="K3997" s="63">
        <f>IF(tblMovement[[#This Row],[Source]]="","",IFERROR(INDEX(tblSources[Type],MATCH(tblMovement[[#This Row],[Source]],tblSources[Source],0)),"?"))</f>
        <v/>
      </c>
      <c r="L3997" s="63">
        <f>IF(tblMovement[[#This Row],[Destination]]="","",IFERROR(INDEX(tblDestinations[Type],MATCH(tblMovement[[#This Row],[Destination]],tblDestinations[Destination],0)),"?"))</f>
        <v/>
      </c>
      <c r="M3997" s="64">
        <f>IF(tblMovement[[#This Row],[Material]]="","",IF(LEFT(tblMovement[[#This Row],[Material]],3)="Ore",1,0))</f>
        <v/>
      </c>
      <c r="N3997" s="59">
        <f>IF(OR(tblMovement[[#This Row],[Tonnes_t]]="",tblMovement[[#This Row],[Grade_gpt]]=""),0,tblMovement[[#This Row],[Tonnes_t]]*tblMovement[[#This Row],[Grade_gpt]]/cfg_TroyOz)</f>
        <v/>
      </c>
      <c r="O3997" s="59">
        <f>IF(tblMovement[[#This Row],[Is_Ore]]=1,tblMovement[[#This Row],[Contained_oz]],0)</f>
        <v/>
      </c>
    </row>
    <row r="3998">
      <c r="A3998" s="54" t="n"/>
      <c r="B3998" s="61" t="n"/>
      <c r="C3998" s="61" t="n"/>
      <c r="D3998" s="61" t="n"/>
      <c r="E3998" s="61" t="n"/>
      <c r="F3998" s="55" t="n"/>
      <c r="G3998" s="56" t="n"/>
      <c r="H3998" s="55" t="n"/>
      <c r="I3998" s="62" t="n"/>
      <c r="J3998" s="58" t="n"/>
      <c r="K3998" s="63">
        <f>IF(tblMovement[[#This Row],[Source]]="","",IFERROR(INDEX(tblSources[Type],MATCH(tblMovement[[#This Row],[Source]],tblSources[Source],0)),"?"))</f>
        <v/>
      </c>
      <c r="L3998" s="63">
        <f>IF(tblMovement[[#This Row],[Destination]]="","",IFERROR(INDEX(tblDestinations[Type],MATCH(tblMovement[[#This Row],[Destination]],tblDestinations[Destination],0)),"?"))</f>
        <v/>
      </c>
      <c r="M3998" s="64">
        <f>IF(tblMovement[[#This Row],[Material]]="","",IF(LEFT(tblMovement[[#This Row],[Material]],3)="Ore",1,0))</f>
        <v/>
      </c>
      <c r="N3998" s="59">
        <f>IF(OR(tblMovement[[#This Row],[Tonnes_t]]="",tblMovement[[#This Row],[Grade_gpt]]=""),0,tblMovement[[#This Row],[Tonnes_t]]*tblMovement[[#This Row],[Grade_gpt]]/cfg_TroyOz)</f>
        <v/>
      </c>
      <c r="O3998" s="59">
        <f>IF(tblMovement[[#This Row],[Is_Ore]]=1,tblMovement[[#This Row],[Contained_oz]],0)</f>
        <v/>
      </c>
    </row>
    <row r="3999">
      <c r="A3999" s="54" t="n"/>
      <c r="B3999" s="61" t="n"/>
      <c r="C3999" s="61" t="n"/>
      <c r="D3999" s="61" t="n"/>
      <c r="E3999" s="61" t="n"/>
      <c r="F3999" s="55" t="n"/>
      <c r="G3999" s="56" t="n"/>
      <c r="H3999" s="55" t="n"/>
      <c r="I3999" s="62" t="n"/>
      <c r="J3999" s="58" t="n"/>
      <c r="K3999" s="63">
        <f>IF(tblMovement[[#This Row],[Source]]="","",IFERROR(INDEX(tblSources[Type],MATCH(tblMovement[[#This Row],[Source]],tblSources[Source],0)),"?"))</f>
        <v/>
      </c>
      <c r="L3999" s="63">
        <f>IF(tblMovement[[#This Row],[Destination]]="","",IFERROR(INDEX(tblDestinations[Type],MATCH(tblMovement[[#This Row],[Destination]],tblDestinations[Destination],0)),"?"))</f>
        <v/>
      </c>
      <c r="M3999" s="64">
        <f>IF(tblMovement[[#This Row],[Material]]="","",IF(LEFT(tblMovement[[#This Row],[Material]],3)="Ore",1,0))</f>
        <v/>
      </c>
      <c r="N3999" s="59">
        <f>IF(OR(tblMovement[[#This Row],[Tonnes_t]]="",tblMovement[[#This Row],[Grade_gpt]]=""),0,tblMovement[[#This Row],[Tonnes_t]]*tblMovement[[#This Row],[Grade_gpt]]/cfg_TroyOz)</f>
        <v/>
      </c>
      <c r="O3999" s="59">
        <f>IF(tblMovement[[#This Row],[Is_Ore]]=1,tblMovement[[#This Row],[Contained_oz]],0)</f>
        <v/>
      </c>
    </row>
    <row r="4000">
      <c r="A4000" s="54" t="n"/>
      <c r="B4000" s="61" t="n"/>
      <c r="C4000" s="61" t="n"/>
      <c r="D4000" s="61" t="n"/>
      <c r="E4000" s="61" t="n"/>
      <c r="F4000" s="55" t="n"/>
      <c r="G4000" s="56" t="n"/>
      <c r="H4000" s="55" t="n"/>
      <c r="I4000" s="62" t="n"/>
      <c r="J4000" s="58" t="n"/>
      <c r="K4000" s="63">
        <f>IF(tblMovement[[#This Row],[Source]]="","",IFERROR(INDEX(tblSources[Type],MATCH(tblMovement[[#This Row],[Source]],tblSources[Source],0)),"?"))</f>
        <v/>
      </c>
      <c r="L4000" s="63">
        <f>IF(tblMovement[[#This Row],[Destination]]="","",IFERROR(INDEX(tblDestinations[Type],MATCH(tblMovement[[#This Row],[Destination]],tblDestinations[Destination],0)),"?"))</f>
        <v/>
      </c>
      <c r="M4000" s="64">
        <f>IF(tblMovement[[#This Row],[Material]]="","",IF(LEFT(tblMovement[[#This Row],[Material]],3)="Ore",1,0))</f>
        <v/>
      </c>
      <c r="N4000" s="59">
        <f>IF(OR(tblMovement[[#This Row],[Tonnes_t]]="",tblMovement[[#This Row],[Grade_gpt]]=""),0,tblMovement[[#This Row],[Tonnes_t]]*tblMovement[[#This Row],[Grade_gpt]]/cfg_TroyOz)</f>
        <v/>
      </c>
      <c r="O4000" s="59">
        <f>IF(tblMovement[[#This Row],[Is_Ore]]=1,tblMovement[[#This Row],[Contained_oz]],0)</f>
        <v/>
      </c>
    </row>
    <row r="4001">
      <c r="A4001" s="54" t="n"/>
      <c r="B4001" s="61" t="n"/>
      <c r="C4001" s="61" t="n"/>
      <c r="D4001" s="61" t="n"/>
      <c r="E4001" s="61" t="n"/>
      <c r="F4001" s="55" t="n"/>
      <c r="G4001" s="56" t="n"/>
      <c r="H4001" s="55" t="n"/>
      <c r="I4001" s="62" t="n"/>
      <c r="J4001" s="58" t="n"/>
      <c r="K4001" s="63">
        <f>IF(tblMovement[[#This Row],[Source]]="","",IFERROR(INDEX(tblSources[Type],MATCH(tblMovement[[#This Row],[Source]],tblSources[Source],0)),"?"))</f>
        <v/>
      </c>
      <c r="L4001" s="63">
        <f>IF(tblMovement[[#This Row],[Destination]]="","",IFERROR(INDEX(tblDestinations[Type],MATCH(tblMovement[[#This Row],[Destination]],tblDestinations[Destination],0)),"?"))</f>
        <v/>
      </c>
      <c r="M4001" s="64">
        <f>IF(tblMovement[[#This Row],[Material]]="","",IF(LEFT(tblMovement[[#This Row],[Material]],3)="Ore",1,0))</f>
        <v/>
      </c>
      <c r="N4001" s="59">
        <f>IF(OR(tblMovement[[#This Row],[Tonnes_t]]="",tblMovement[[#This Row],[Grade_gpt]]=""),0,tblMovement[[#This Row],[Tonnes_t]]*tblMovement[[#This Row],[Grade_gpt]]/cfg_TroyOz)</f>
        <v/>
      </c>
      <c r="O4001" s="59">
        <f>IF(tblMovement[[#This Row],[Is_Ore]]=1,tblMovement[[#This Row],[Contained_oz]],0)</f>
        <v/>
      </c>
    </row>
    <row r="4002">
      <c r="A4002" s="54" t="n"/>
      <c r="B4002" s="61" t="n"/>
      <c r="C4002" s="61" t="n"/>
      <c r="D4002" s="61" t="n"/>
      <c r="E4002" s="61" t="n"/>
      <c r="F4002" s="55" t="n"/>
      <c r="G4002" s="56" t="n"/>
      <c r="H4002" s="55" t="n"/>
      <c r="I4002" s="62" t="n"/>
      <c r="J4002" s="58" t="n"/>
      <c r="K4002" s="63">
        <f>IF(tblMovement[[#This Row],[Source]]="","",IFERROR(INDEX(tblSources[Type],MATCH(tblMovement[[#This Row],[Source]],tblSources[Source],0)),"?"))</f>
        <v/>
      </c>
      <c r="L4002" s="63">
        <f>IF(tblMovement[[#This Row],[Destination]]="","",IFERROR(INDEX(tblDestinations[Type],MATCH(tblMovement[[#This Row],[Destination]],tblDestinations[Destination],0)),"?"))</f>
        <v/>
      </c>
      <c r="M4002" s="64">
        <f>IF(tblMovement[[#This Row],[Material]]="","",IF(LEFT(tblMovement[[#This Row],[Material]],3)="Ore",1,0))</f>
        <v/>
      </c>
      <c r="N4002" s="59">
        <f>IF(OR(tblMovement[[#This Row],[Tonnes_t]]="",tblMovement[[#This Row],[Grade_gpt]]=""),0,tblMovement[[#This Row],[Tonnes_t]]*tblMovement[[#This Row],[Grade_gpt]]/cfg_TroyOz)</f>
        <v/>
      </c>
      <c r="O4002" s="59">
        <f>IF(tblMovement[[#This Row],[Is_Ore]]=1,tblMovement[[#This Row],[Contained_oz]],0)</f>
        <v/>
      </c>
    </row>
    <row r="4003">
      <c r="A4003" s="54" t="n"/>
      <c r="B4003" s="61" t="n"/>
      <c r="C4003" s="61" t="n"/>
      <c r="D4003" s="61" t="n"/>
      <c r="E4003" s="61" t="n"/>
      <c r="F4003" s="55" t="n"/>
      <c r="G4003" s="56" t="n"/>
      <c r="H4003" s="55" t="n"/>
      <c r="I4003" s="62" t="n"/>
      <c r="J4003" s="58" t="n"/>
      <c r="K4003" s="63">
        <f>IF(tblMovement[[#This Row],[Source]]="","",IFERROR(INDEX(tblSources[Type],MATCH(tblMovement[[#This Row],[Source]],tblSources[Source],0)),"?"))</f>
        <v/>
      </c>
      <c r="L4003" s="63">
        <f>IF(tblMovement[[#This Row],[Destination]]="","",IFERROR(INDEX(tblDestinations[Type],MATCH(tblMovement[[#This Row],[Destination]],tblDestinations[Destination],0)),"?"))</f>
        <v/>
      </c>
      <c r="M4003" s="64">
        <f>IF(tblMovement[[#This Row],[Material]]="","",IF(LEFT(tblMovement[[#This Row],[Material]],3)="Ore",1,0))</f>
        <v/>
      </c>
      <c r="N4003" s="59">
        <f>IF(OR(tblMovement[[#This Row],[Tonnes_t]]="",tblMovement[[#This Row],[Grade_gpt]]=""),0,tblMovement[[#This Row],[Tonnes_t]]*tblMovement[[#This Row],[Grade_gpt]]/cfg_TroyOz)</f>
        <v/>
      </c>
      <c r="O4003" s="59">
        <f>IF(tblMovement[[#This Row],[Is_Ore]]=1,tblMovement[[#This Row],[Contained_oz]],0)</f>
        <v/>
      </c>
    </row>
    <row r="4004">
      <c r="A4004" s="54" t="n"/>
      <c r="B4004" s="61" t="n"/>
      <c r="C4004" s="61" t="n"/>
      <c r="D4004" s="61" t="n"/>
      <c r="E4004" s="61" t="n"/>
      <c r="F4004" s="55" t="n"/>
      <c r="G4004" s="56" t="n"/>
      <c r="H4004" s="55" t="n"/>
      <c r="I4004" s="62" t="n"/>
      <c r="J4004" s="58" t="n"/>
      <c r="K4004" s="63">
        <f>IF(tblMovement[[#This Row],[Source]]="","",IFERROR(INDEX(tblSources[Type],MATCH(tblMovement[[#This Row],[Source]],tblSources[Source],0)),"?"))</f>
        <v/>
      </c>
      <c r="L4004" s="63">
        <f>IF(tblMovement[[#This Row],[Destination]]="","",IFERROR(INDEX(tblDestinations[Type],MATCH(tblMovement[[#This Row],[Destination]],tblDestinations[Destination],0)),"?"))</f>
        <v/>
      </c>
      <c r="M4004" s="64">
        <f>IF(tblMovement[[#This Row],[Material]]="","",IF(LEFT(tblMovement[[#This Row],[Material]],3)="Ore",1,0))</f>
        <v/>
      </c>
      <c r="N4004" s="59">
        <f>IF(OR(tblMovement[[#This Row],[Tonnes_t]]="",tblMovement[[#This Row],[Grade_gpt]]=""),0,tblMovement[[#This Row],[Tonnes_t]]*tblMovement[[#This Row],[Grade_gpt]]/cfg_TroyOz)</f>
        <v/>
      </c>
      <c r="O4004" s="59">
        <f>IF(tblMovement[[#This Row],[Is_Ore]]=1,tblMovement[[#This Row],[Contained_oz]],0)</f>
        <v/>
      </c>
    </row>
    <row r="4005">
      <c r="A4005" s="54" t="n"/>
      <c r="B4005" s="61" t="n"/>
      <c r="C4005" s="61" t="n"/>
      <c r="D4005" s="61" t="n"/>
      <c r="E4005" s="61" t="n"/>
      <c r="F4005" s="55" t="n"/>
      <c r="G4005" s="56" t="n"/>
      <c r="H4005" s="55" t="n"/>
      <c r="I4005" s="62" t="n"/>
      <c r="J4005" s="58" t="n"/>
      <c r="K4005" s="63">
        <f>IF(tblMovement[[#This Row],[Source]]="","",IFERROR(INDEX(tblSources[Type],MATCH(tblMovement[[#This Row],[Source]],tblSources[Source],0)),"?"))</f>
        <v/>
      </c>
      <c r="L4005" s="63">
        <f>IF(tblMovement[[#This Row],[Destination]]="","",IFERROR(INDEX(tblDestinations[Type],MATCH(tblMovement[[#This Row],[Destination]],tblDestinations[Destination],0)),"?"))</f>
        <v/>
      </c>
      <c r="M4005" s="64">
        <f>IF(tblMovement[[#This Row],[Material]]="","",IF(LEFT(tblMovement[[#This Row],[Material]],3)="Ore",1,0))</f>
        <v/>
      </c>
      <c r="N4005" s="59">
        <f>IF(OR(tblMovement[[#This Row],[Tonnes_t]]="",tblMovement[[#This Row],[Grade_gpt]]=""),0,tblMovement[[#This Row],[Tonnes_t]]*tblMovement[[#This Row],[Grade_gpt]]/cfg_TroyOz)</f>
        <v/>
      </c>
      <c r="O4005" s="59">
        <f>IF(tblMovement[[#This Row],[Is_Ore]]=1,tblMovement[[#This Row],[Contained_oz]],0)</f>
        <v/>
      </c>
    </row>
    <row r="4006">
      <c r="A4006" s="54" t="n"/>
      <c r="B4006" s="61" t="n"/>
      <c r="C4006" s="61" t="n"/>
      <c r="D4006" s="61" t="n"/>
      <c r="E4006" s="61" t="n"/>
      <c r="F4006" s="55" t="n"/>
      <c r="G4006" s="56" t="n"/>
      <c r="H4006" s="55" t="n"/>
      <c r="I4006" s="62" t="n"/>
      <c r="J4006" s="58" t="n"/>
      <c r="K4006" s="63">
        <f>IF(tblMovement[[#This Row],[Source]]="","",IFERROR(INDEX(tblSources[Type],MATCH(tblMovement[[#This Row],[Source]],tblSources[Source],0)),"?"))</f>
        <v/>
      </c>
      <c r="L4006" s="63">
        <f>IF(tblMovement[[#This Row],[Destination]]="","",IFERROR(INDEX(tblDestinations[Type],MATCH(tblMovement[[#This Row],[Destination]],tblDestinations[Destination],0)),"?"))</f>
        <v/>
      </c>
      <c r="M4006" s="64">
        <f>IF(tblMovement[[#This Row],[Material]]="","",IF(LEFT(tblMovement[[#This Row],[Material]],3)="Ore",1,0))</f>
        <v/>
      </c>
      <c r="N4006" s="59">
        <f>IF(OR(tblMovement[[#This Row],[Tonnes_t]]="",tblMovement[[#This Row],[Grade_gpt]]=""),0,tblMovement[[#This Row],[Tonnes_t]]*tblMovement[[#This Row],[Grade_gpt]]/cfg_TroyOz)</f>
        <v/>
      </c>
      <c r="O4006" s="59">
        <f>IF(tblMovement[[#This Row],[Is_Ore]]=1,tblMovement[[#This Row],[Contained_oz]],0)</f>
        <v/>
      </c>
    </row>
    <row r="4007">
      <c r="A4007" s="54" t="n"/>
      <c r="B4007" s="61" t="n"/>
      <c r="C4007" s="61" t="n"/>
      <c r="D4007" s="61" t="n"/>
      <c r="E4007" s="61" t="n"/>
      <c r="F4007" s="55" t="n"/>
      <c r="G4007" s="56" t="n"/>
      <c r="H4007" s="55" t="n"/>
      <c r="I4007" s="62" t="n"/>
      <c r="J4007" s="58" t="n"/>
      <c r="K4007" s="63">
        <f>IF(tblMovement[[#This Row],[Source]]="","",IFERROR(INDEX(tblSources[Type],MATCH(tblMovement[[#This Row],[Source]],tblSources[Source],0)),"?"))</f>
        <v/>
      </c>
      <c r="L4007" s="63">
        <f>IF(tblMovement[[#This Row],[Destination]]="","",IFERROR(INDEX(tblDestinations[Type],MATCH(tblMovement[[#This Row],[Destination]],tblDestinations[Destination],0)),"?"))</f>
        <v/>
      </c>
      <c r="M4007" s="64">
        <f>IF(tblMovement[[#This Row],[Material]]="","",IF(LEFT(tblMovement[[#This Row],[Material]],3)="Ore",1,0))</f>
        <v/>
      </c>
      <c r="N4007" s="59">
        <f>IF(OR(tblMovement[[#This Row],[Tonnes_t]]="",tblMovement[[#This Row],[Grade_gpt]]=""),0,tblMovement[[#This Row],[Tonnes_t]]*tblMovement[[#This Row],[Grade_gpt]]/cfg_TroyOz)</f>
        <v/>
      </c>
      <c r="O4007" s="59">
        <f>IF(tblMovement[[#This Row],[Is_Ore]]=1,tblMovement[[#This Row],[Contained_oz]],0)</f>
        <v/>
      </c>
    </row>
    <row r="4008">
      <c r="A4008" s="54" t="n"/>
      <c r="B4008" s="61" t="n"/>
      <c r="C4008" s="61" t="n"/>
      <c r="D4008" s="61" t="n"/>
      <c r="E4008" s="61" t="n"/>
      <c r="F4008" s="55" t="n"/>
      <c r="G4008" s="56" t="n"/>
      <c r="H4008" s="55" t="n"/>
      <c r="I4008" s="62" t="n"/>
      <c r="J4008" s="58" t="n"/>
      <c r="K4008" s="63">
        <f>IF(tblMovement[[#This Row],[Source]]="","",IFERROR(INDEX(tblSources[Type],MATCH(tblMovement[[#This Row],[Source]],tblSources[Source],0)),"?"))</f>
        <v/>
      </c>
      <c r="L4008" s="63">
        <f>IF(tblMovement[[#This Row],[Destination]]="","",IFERROR(INDEX(tblDestinations[Type],MATCH(tblMovement[[#This Row],[Destination]],tblDestinations[Destination],0)),"?"))</f>
        <v/>
      </c>
      <c r="M4008" s="64">
        <f>IF(tblMovement[[#This Row],[Material]]="","",IF(LEFT(tblMovement[[#This Row],[Material]],3)="Ore",1,0))</f>
        <v/>
      </c>
      <c r="N4008" s="59">
        <f>IF(OR(tblMovement[[#This Row],[Tonnes_t]]="",tblMovement[[#This Row],[Grade_gpt]]=""),0,tblMovement[[#This Row],[Tonnes_t]]*tblMovement[[#This Row],[Grade_gpt]]/cfg_TroyOz)</f>
        <v/>
      </c>
      <c r="O4008" s="59">
        <f>IF(tblMovement[[#This Row],[Is_Ore]]=1,tblMovement[[#This Row],[Contained_oz]],0)</f>
        <v/>
      </c>
    </row>
    <row r="4009">
      <c r="A4009" s="54" t="n"/>
      <c r="B4009" s="61" t="n"/>
      <c r="C4009" s="61" t="n"/>
      <c r="D4009" s="61" t="n"/>
      <c r="E4009" s="61" t="n"/>
      <c r="F4009" s="55" t="n"/>
      <c r="G4009" s="56" t="n"/>
      <c r="H4009" s="55" t="n"/>
      <c r="I4009" s="62" t="n"/>
      <c r="J4009" s="58" t="n"/>
      <c r="K4009" s="63">
        <f>IF(tblMovement[[#This Row],[Source]]="","",IFERROR(INDEX(tblSources[Type],MATCH(tblMovement[[#This Row],[Source]],tblSources[Source],0)),"?"))</f>
        <v/>
      </c>
      <c r="L4009" s="63">
        <f>IF(tblMovement[[#This Row],[Destination]]="","",IFERROR(INDEX(tblDestinations[Type],MATCH(tblMovement[[#This Row],[Destination]],tblDestinations[Destination],0)),"?"))</f>
        <v/>
      </c>
      <c r="M4009" s="64">
        <f>IF(tblMovement[[#This Row],[Material]]="","",IF(LEFT(tblMovement[[#This Row],[Material]],3)="Ore",1,0))</f>
        <v/>
      </c>
      <c r="N4009" s="59">
        <f>IF(OR(tblMovement[[#This Row],[Tonnes_t]]="",tblMovement[[#This Row],[Grade_gpt]]=""),0,tblMovement[[#This Row],[Tonnes_t]]*tblMovement[[#This Row],[Grade_gpt]]/cfg_TroyOz)</f>
        <v/>
      </c>
      <c r="O4009" s="59">
        <f>IF(tblMovement[[#This Row],[Is_Ore]]=1,tblMovement[[#This Row],[Contained_oz]],0)</f>
        <v/>
      </c>
    </row>
    <row r="4010">
      <c r="A4010" s="54" t="n"/>
      <c r="B4010" s="61" t="n"/>
      <c r="C4010" s="61" t="n"/>
      <c r="D4010" s="61" t="n"/>
      <c r="E4010" s="61" t="n"/>
      <c r="F4010" s="55" t="n"/>
      <c r="G4010" s="56" t="n"/>
      <c r="H4010" s="55" t="n"/>
      <c r="I4010" s="62" t="n"/>
      <c r="J4010" s="58" t="n"/>
      <c r="K4010" s="63">
        <f>IF(tblMovement[[#This Row],[Source]]="","",IFERROR(INDEX(tblSources[Type],MATCH(tblMovement[[#This Row],[Source]],tblSources[Source],0)),"?"))</f>
        <v/>
      </c>
      <c r="L4010" s="63">
        <f>IF(tblMovement[[#This Row],[Destination]]="","",IFERROR(INDEX(tblDestinations[Type],MATCH(tblMovement[[#This Row],[Destination]],tblDestinations[Destination],0)),"?"))</f>
        <v/>
      </c>
      <c r="M4010" s="64">
        <f>IF(tblMovement[[#This Row],[Material]]="","",IF(LEFT(tblMovement[[#This Row],[Material]],3)="Ore",1,0))</f>
        <v/>
      </c>
      <c r="N4010" s="59">
        <f>IF(OR(tblMovement[[#This Row],[Tonnes_t]]="",tblMovement[[#This Row],[Grade_gpt]]=""),0,tblMovement[[#This Row],[Tonnes_t]]*tblMovement[[#This Row],[Grade_gpt]]/cfg_TroyOz)</f>
        <v/>
      </c>
      <c r="O4010" s="59">
        <f>IF(tblMovement[[#This Row],[Is_Ore]]=1,tblMovement[[#This Row],[Contained_oz]],0)</f>
        <v/>
      </c>
    </row>
    <row r="4011">
      <c r="A4011" s="54" t="n"/>
      <c r="B4011" s="61" t="n"/>
      <c r="C4011" s="61" t="n"/>
      <c r="D4011" s="61" t="n"/>
      <c r="E4011" s="61" t="n"/>
      <c r="F4011" s="55" t="n"/>
      <c r="G4011" s="56" t="n"/>
      <c r="H4011" s="55" t="n"/>
      <c r="I4011" s="62" t="n"/>
      <c r="J4011" s="58" t="n"/>
      <c r="K4011" s="63">
        <f>IF(tblMovement[[#This Row],[Source]]="","",IFERROR(INDEX(tblSources[Type],MATCH(tblMovement[[#This Row],[Source]],tblSources[Source],0)),"?"))</f>
        <v/>
      </c>
      <c r="L4011" s="63">
        <f>IF(tblMovement[[#This Row],[Destination]]="","",IFERROR(INDEX(tblDestinations[Type],MATCH(tblMovement[[#This Row],[Destination]],tblDestinations[Destination],0)),"?"))</f>
        <v/>
      </c>
      <c r="M4011" s="64">
        <f>IF(tblMovement[[#This Row],[Material]]="","",IF(LEFT(tblMovement[[#This Row],[Material]],3)="Ore",1,0))</f>
        <v/>
      </c>
      <c r="N4011" s="59">
        <f>IF(OR(tblMovement[[#This Row],[Tonnes_t]]="",tblMovement[[#This Row],[Grade_gpt]]=""),0,tblMovement[[#This Row],[Tonnes_t]]*tblMovement[[#This Row],[Grade_gpt]]/cfg_TroyOz)</f>
        <v/>
      </c>
      <c r="O4011" s="59">
        <f>IF(tblMovement[[#This Row],[Is_Ore]]=1,tblMovement[[#This Row],[Contained_oz]],0)</f>
        <v/>
      </c>
    </row>
    <row r="4012">
      <c r="A4012" s="54" t="n"/>
      <c r="B4012" s="61" t="n"/>
      <c r="C4012" s="61" t="n"/>
      <c r="D4012" s="61" t="n"/>
      <c r="E4012" s="61" t="n"/>
      <c r="F4012" s="55" t="n"/>
      <c r="G4012" s="56" t="n"/>
      <c r="H4012" s="55" t="n"/>
      <c r="I4012" s="62" t="n"/>
      <c r="J4012" s="58" t="n"/>
      <c r="K4012" s="63">
        <f>IF(tblMovement[[#This Row],[Source]]="","",IFERROR(INDEX(tblSources[Type],MATCH(tblMovement[[#This Row],[Source]],tblSources[Source],0)),"?"))</f>
        <v/>
      </c>
      <c r="L4012" s="63">
        <f>IF(tblMovement[[#This Row],[Destination]]="","",IFERROR(INDEX(tblDestinations[Type],MATCH(tblMovement[[#This Row],[Destination]],tblDestinations[Destination],0)),"?"))</f>
        <v/>
      </c>
      <c r="M4012" s="64">
        <f>IF(tblMovement[[#This Row],[Material]]="","",IF(LEFT(tblMovement[[#This Row],[Material]],3)="Ore",1,0))</f>
        <v/>
      </c>
      <c r="N4012" s="59">
        <f>IF(OR(tblMovement[[#This Row],[Tonnes_t]]="",tblMovement[[#This Row],[Grade_gpt]]=""),0,tblMovement[[#This Row],[Tonnes_t]]*tblMovement[[#This Row],[Grade_gpt]]/cfg_TroyOz)</f>
        <v/>
      </c>
      <c r="O4012" s="59">
        <f>IF(tblMovement[[#This Row],[Is_Ore]]=1,tblMovement[[#This Row],[Contained_oz]],0)</f>
        <v/>
      </c>
    </row>
    <row r="4013">
      <c r="A4013" s="54" t="n"/>
      <c r="B4013" s="61" t="n"/>
      <c r="C4013" s="61" t="n"/>
      <c r="D4013" s="61" t="n"/>
      <c r="E4013" s="61" t="n"/>
      <c r="F4013" s="55" t="n"/>
      <c r="G4013" s="56" t="n"/>
      <c r="H4013" s="55" t="n"/>
      <c r="I4013" s="62" t="n"/>
      <c r="J4013" s="58" t="n"/>
      <c r="K4013" s="63">
        <f>IF(tblMovement[[#This Row],[Source]]="","",IFERROR(INDEX(tblSources[Type],MATCH(tblMovement[[#This Row],[Source]],tblSources[Source],0)),"?"))</f>
        <v/>
      </c>
      <c r="L4013" s="63">
        <f>IF(tblMovement[[#This Row],[Destination]]="","",IFERROR(INDEX(tblDestinations[Type],MATCH(tblMovement[[#This Row],[Destination]],tblDestinations[Destination],0)),"?"))</f>
        <v/>
      </c>
      <c r="M4013" s="64">
        <f>IF(tblMovement[[#This Row],[Material]]="","",IF(LEFT(tblMovement[[#This Row],[Material]],3)="Ore",1,0))</f>
        <v/>
      </c>
      <c r="N4013" s="59">
        <f>IF(OR(tblMovement[[#This Row],[Tonnes_t]]="",tblMovement[[#This Row],[Grade_gpt]]=""),0,tblMovement[[#This Row],[Tonnes_t]]*tblMovement[[#This Row],[Grade_gpt]]/cfg_TroyOz)</f>
        <v/>
      </c>
      <c r="O4013" s="59">
        <f>IF(tblMovement[[#This Row],[Is_Ore]]=1,tblMovement[[#This Row],[Contained_oz]],0)</f>
        <v/>
      </c>
    </row>
    <row r="4014">
      <c r="A4014" s="54" t="n"/>
      <c r="B4014" s="61" t="n"/>
      <c r="C4014" s="61" t="n"/>
      <c r="D4014" s="61" t="n"/>
      <c r="E4014" s="61" t="n"/>
      <c r="F4014" s="55" t="n"/>
      <c r="G4014" s="56" t="n"/>
      <c r="H4014" s="55" t="n"/>
      <c r="I4014" s="62" t="n"/>
      <c r="J4014" s="58" t="n"/>
      <c r="K4014" s="63">
        <f>IF(tblMovement[[#This Row],[Source]]="","",IFERROR(INDEX(tblSources[Type],MATCH(tblMovement[[#This Row],[Source]],tblSources[Source],0)),"?"))</f>
        <v/>
      </c>
      <c r="L4014" s="63">
        <f>IF(tblMovement[[#This Row],[Destination]]="","",IFERROR(INDEX(tblDestinations[Type],MATCH(tblMovement[[#This Row],[Destination]],tblDestinations[Destination],0)),"?"))</f>
        <v/>
      </c>
      <c r="M4014" s="64">
        <f>IF(tblMovement[[#This Row],[Material]]="","",IF(LEFT(tblMovement[[#This Row],[Material]],3)="Ore",1,0))</f>
        <v/>
      </c>
      <c r="N4014" s="59">
        <f>IF(OR(tblMovement[[#This Row],[Tonnes_t]]="",tblMovement[[#This Row],[Grade_gpt]]=""),0,tblMovement[[#This Row],[Tonnes_t]]*tblMovement[[#This Row],[Grade_gpt]]/cfg_TroyOz)</f>
        <v/>
      </c>
      <c r="O4014" s="59">
        <f>IF(tblMovement[[#This Row],[Is_Ore]]=1,tblMovement[[#This Row],[Contained_oz]],0)</f>
        <v/>
      </c>
    </row>
    <row r="4015">
      <c r="A4015" s="54" t="n"/>
      <c r="B4015" s="61" t="n"/>
      <c r="C4015" s="61" t="n"/>
      <c r="D4015" s="61" t="n"/>
      <c r="E4015" s="61" t="n"/>
      <c r="F4015" s="55" t="n"/>
      <c r="G4015" s="56" t="n"/>
      <c r="H4015" s="55" t="n"/>
      <c r="I4015" s="62" t="n"/>
      <c r="J4015" s="58" t="n"/>
      <c r="K4015" s="63">
        <f>IF(tblMovement[[#This Row],[Source]]="","",IFERROR(INDEX(tblSources[Type],MATCH(tblMovement[[#This Row],[Source]],tblSources[Source],0)),"?"))</f>
        <v/>
      </c>
      <c r="L4015" s="63">
        <f>IF(tblMovement[[#This Row],[Destination]]="","",IFERROR(INDEX(tblDestinations[Type],MATCH(tblMovement[[#This Row],[Destination]],tblDestinations[Destination],0)),"?"))</f>
        <v/>
      </c>
      <c r="M4015" s="64">
        <f>IF(tblMovement[[#This Row],[Material]]="","",IF(LEFT(tblMovement[[#This Row],[Material]],3)="Ore",1,0))</f>
        <v/>
      </c>
      <c r="N4015" s="59">
        <f>IF(OR(tblMovement[[#This Row],[Tonnes_t]]="",tblMovement[[#This Row],[Grade_gpt]]=""),0,tblMovement[[#This Row],[Tonnes_t]]*tblMovement[[#This Row],[Grade_gpt]]/cfg_TroyOz)</f>
        <v/>
      </c>
      <c r="O4015" s="59">
        <f>IF(tblMovement[[#This Row],[Is_Ore]]=1,tblMovement[[#This Row],[Contained_oz]],0)</f>
        <v/>
      </c>
    </row>
    <row r="4016">
      <c r="A4016" s="54" t="n"/>
      <c r="B4016" s="61" t="n"/>
      <c r="C4016" s="61" t="n"/>
      <c r="D4016" s="61" t="n"/>
      <c r="E4016" s="61" t="n"/>
      <c r="F4016" s="55" t="n"/>
      <c r="G4016" s="56" t="n"/>
      <c r="H4016" s="55" t="n"/>
      <c r="I4016" s="62" t="n"/>
      <c r="J4016" s="58" t="n"/>
      <c r="K4016" s="63">
        <f>IF(tblMovement[[#This Row],[Source]]="","",IFERROR(INDEX(tblSources[Type],MATCH(tblMovement[[#This Row],[Source]],tblSources[Source],0)),"?"))</f>
        <v/>
      </c>
      <c r="L4016" s="63">
        <f>IF(tblMovement[[#This Row],[Destination]]="","",IFERROR(INDEX(tblDestinations[Type],MATCH(tblMovement[[#This Row],[Destination]],tblDestinations[Destination],0)),"?"))</f>
        <v/>
      </c>
      <c r="M4016" s="64">
        <f>IF(tblMovement[[#This Row],[Material]]="","",IF(LEFT(tblMovement[[#This Row],[Material]],3)="Ore",1,0))</f>
        <v/>
      </c>
      <c r="N4016" s="59">
        <f>IF(OR(tblMovement[[#This Row],[Tonnes_t]]="",tblMovement[[#This Row],[Grade_gpt]]=""),0,tblMovement[[#This Row],[Tonnes_t]]*tblMovement[[#This Row],[Grade_gpt]]/cfg_TroyOz)</f>
        <v/>
      </c>
      <c r="O4016" s="59">
        <f>IF(tblMovement[[#This Row],[Is_Ore]]=1,tblMovement[[#This Row],[Contained_oz]],0)</f>
        <v/>
      </c>
    </row>
    <row r="4017">
      <c r="A4017" s="54" t="n"/>
      <c r="B4017" s="61" t="n"/>
      <c r="C4017" s="61" t="n"/>
      <c r="D4017" s="61" t="n"/>
      <c r="E4017" s="61" t="n"/>
      <c r="F4017" s="55" t="n"/>
      <c r="G4017" s="56" t="n"/>
      <c r="H4017" s="55" t="n"/>
      <c r="I4017" s="62" t="n"/>
      <c r="J4017" s="58" t="n"/>
      <c r="K4017" s="63">
        <f>IF(tblMovement[[#This Row],[Source]]="","",IFERROR(INDEX(tblSources[Type],MATCH(tblMovement[[#This Row],[Source]],tblSources[Source],0)),"?"))</f>
        <v/>
      </c>
      <c r="L4017" s="63">
        <f>IF(tblMovement[[#This Row],[Destination]]="","",IFERROR(INDEX(tblDestinations[Type],MATCH(tblMovement[[#This Row],[Destination]],tblDestinations[Destination],0)),"?"))</f>
        <v/>
      </c>
      <c r="M4017" s="64">
        <f>IF(tblMovement[[#This Row],[Material]]="","",IF(LEFT(tblMovement[[#This Row],[Material]],3)="Ore",1,0))</f>
        <v/>
      </c>
      <c r="N4017" s="59">
        <f>IF(OR(tblMovement[[#This Row],[Tonnes_t]]="",tblMovement[[#This Row],[Grade_gpt]]=""),0,tblMovement[[#This Row],[Tonnes_t]]*tblMovement[[#This Row],[Grade_gpt]]/cfg_TroyOz)</f>
        <v/>
      </c>
      <c r="O4017" s="59">
        <f>IF(tblMovement[[#This Row],[Is_Ore]]=1,tblMovement[[#This Row],[Contained_oz]],0)</f>
        <v/>
      </c>
    </row>
    <row r="4018">
      <c r="A4018" s="54" t="n"/>
      <c r="B4018" s="61" t="n"/>
      <c r="C4018" s="61" t="n"/>
      <c r="D4018" s="61" t="n"/>
      <c r="E4018" s="61" t="n"/>
      <c r="F4018" s="55" t="n"/>
      <c r="G4018" s="56" t="n"/>
      <c r="H4018" s="55" t="n"/>
      <c r="I4018" s="62" t="n"/>
      <c r="J4018" s="58" t="n"/>
      <c r="K4018" s="63">
        <f>IF(tblMovement[[#This Row],[Source]]="","",IFERROR(INDEX(tblSources[Type],MATCH(tblMovement[[#This Row],[Source]],tblSources[Source],0)),"?"))</f>
        <v/>
      </c>
      <c r="L4018" s="63">
        <f>IF(tblMovement[[#This Row],[Destination]]="","",IFERROR(INDEX(tblDestinations[Type],MATCH(tblMovement[[#This Row],[Destination]],tblDestinations[Destination],0)),"?"))</f>
        <v/>
      </c>
      <c r="M4018" s="64">
        <f>IF(tblMovement[[#This Row],[Material]]="","",IF(LEFT(tblMovement[[#This Row],[Material]],3)="Ore",1,0))</f>
        <v/>
      </c>
      <c r="N4018" s="59">
        <f>IF(OR(tblMovement[[#This Row],[Tonnes_t]]="",tblMovement[[#This Row],[Grade_gpt]]=""),0,tblMovement[[#This Row],[Tonnes_t]]*tblMovement[[#This Row],[Grade_gpt]]/cfg_TroyOz)</f>
        <v/>
      </c>
      <c r="O4018" s="59">
        <f>IF(tblMovement[[#This Row],[Is_Ore]]=1,tblMovement[[#This Row],[Contained_oz]],0)</f>
        <v/>
      </c>
    </row>
    <row r="4019">
      <c r="A4019" s="54" t="n"/>
      <c r="B4019" s="61" t="n"/>
      <c r="C4019" s="61" t="n"/>
      <c r="D4019" s="61" t="n"/>
      <c r="E4019" s="61" t="n"/>
      <c r="F4019" s="55" t="n"/>
      <c r="G4019" s="56" t="n"/>
      <c r="H4019" s="55" t="n"/>
      <c r="I4019" s="62" t="n"/>
      <c r="J4019" s="58" t="n"/>
      <c r="K4019" s="63">
        <f>IF(tblMovement[[#This Row],[Source]]="","",IFERROR(INDEX(tblSources[Type],MATCH(tblMovement[[#This Row],[Source]],tblSources[Source],0)),"?"))</f>
        <v/>
      </c>
      <c r="L4019" s="63">
        <f>IF(tblMovement[[#This Row],[Destination]]="","",IFERROR(INDEX(tblDestinations[Type],MATCH(tblMovement[[#This Row],[Destination]],tblDestinations[Destination],0)),"?"))</f>
        <v/>
      </c>
      <c r="M4019" s="64">
        <f>IF(tblMovement[[#This Row],[Material]]="","",IF(LEFT(tblMovement[[#This Row],[Material]],3)="Ore",1,0))</f>
        <v/>
      </c>
      <c r="N4019" s="59">
        <f>IF(OR(tblMovement[[#This Row],[Tonnes_t]]="",tblMovement[[#This Row],[Grade_gpt]]=""),0,tblMovement[[#This Row],[Tonnes_t]]*tblMovement[[#This Row],[Grade_gpt]]/cfg_TroyOz)</f>
        <v/>
      </c>
      <c r="O4019" s="59">
        <f>IF(tblMovement[[#This Row],[Is_Ore]]=1,tblMovement[[#This Row],[Contained_oz]],0)</f>
        <v/>
      </c>
    </row>
    <row r="4020">
      <c r="A4020" s="54" t="n"/>
      <c r="B4020" s="61" t="n"/>
      <c r="C4020" s="61" t="n"/>
      <c r="D4020" s="61" t="n"/>
      <c r="E4020" s="61" t="n"/>
      <c r="F4020" s="55" t="n"/>
      <c r="G4020" s="56" t="n"/>
      <c r="H4020" s="55" t="n"/>
      <c r="I4020" s="62" t="n"/>
      <c r="J4020" s="58" t="n"/>
      <c r="K4020" s="63">
        <f>IF(tblMovement[[#This Row],[Source]]="","",IFERROR(INDEX(tblSources[Type],MATCH(tblMovement[[#This Row],[Source]],tblSources[Source],0)),"?"))</f>
        <v/>
      </c>
      <c r="L4020" s="63">
        <f>IF(tblMovement[[#This Row],[Destination]]="","",IFERROR(INDEX(tblDestinations[Type],MATCH(tblMovement[[#This Row],[Destination]],tblDestinations[Destination],0)),"?"))</f>
        <v/>
      </c>
      <c r="M4020" s="64">
        <f>IF(tblMovement[[#This Row],[Material]]="","",IF(LEFT(tblMovement[[#This Row],[Material]],3)="Ore",1,0))</f>
        <v/>
      </c>
      <c r="N4020" s="59">
        <f>IF(OR(tblMovement[[#This Row],[Tonnes_t]]="",tblMovement[[#This Row],[Grade_gpt]]=""),0,tblMovement[[#This Row],[Tonnes_t]]*tblMovement[[#This Row],[Grade_gpt]]/cfg_TroyOz)</f>
        <v/>
      </c>
      <c r="O4020" s="59">
        <f>IF(tblMovement[[#This Row],[Is_Ore]]=1,tblMovement[[#This Row],[Contained_oz]],0)</f>
        <v/>
      </c>
    </row>
    <row r="4021">
      <c r="A4021" s="54" t="n"/>
      <c r="B4021" s="61" t="n"/>
      <c r="C4021" s="61" t="n"/>
      <c r="D4021" s="61" t="n"/>
      <c r="E4021" s="61" t="n"/>
      <c r="F4021" s="55" t="n"/>
      <c r="G4021" s="56" t="n"/>
      <c r="H4021" s="55" t="n"/>
      <c r="I4021" s="62" t="n"/>
      <c r="J4021" s="58" t="n"/>
      <c r="K4021" s="63">
        <f>IF(tblMovement[[#This Row],[Source]]="","",IFERROR(INDEX(tblSources[Type],MATCH(tblMovement[[#This Row],[Source]],tblSources[Source],0)),"?"))</f>
        <v/>
      </c>
      <c r="L4021" s="63">
        <f>IF(tblMovement[[#This Row],[Destination]]="","",IFERROR(INDEX(tblDestinations[Type],MATCH(tblMovement[[#This Row],[Destination]],tblDestinations[Destination],0)),"?"))</f>
        <v/>
      </c>
      <c r="M4021" s="64">
        <f>IF(tblMovement[[#This Row],[Material]]="","",IF(LEFT(tblMovement[[#This Row],[Material]],3)="Ore",1,0))</f>
        <v/>
      </c>
      <c r="N4021" s="59">
        <f>IF(OR(tblMovement[[#This Row],[Tonnes_t]]="",tblMovement[[#This Row],[Grade_gpt]]=""),0,tblMovement[[#This Row],[Tonnes_t]]*tblMovement[[#This Row],[Grade_gpt]]/cfg_TroyOz)</f>
        <v/>
      </c>
      <c r="O4021" s="59">
        <f>IF(tblMovement[[#This Row],[Is_Ore]]=1,tblMovement[[#This Row],[Contained_oz]],0)</f>
        <v/>
      </c>
    </row>
    <row r="4022">
      <c r="A4022" s="54" t="n"/>
      <c r="B4022" s="61" t="n"/>
      <c r="C4022" s="61" t="n"/>
      <c r="D4022" s="61" t="n"/>
      <c r="E4022" s="61" t="n"/>
      <c r="F4022" s="55" t="n"/>
      <c r="G4022" s="56" t="n"/>
      <c r="H4022" s="55" t="n"/>
      <c r="I4022" s="62" t="n"/>
      <c r="J4022" s="58" t="n"/>
      <c r="K4022" s="63">
        <f>IF(tblMovement[[#This Row],[Source]]="","",IFERROR(INDEX(tblSources[Type],MATCH(tblMovement[[#This Row],[Source]],tblSources[Source],0)),"?"))</f>
        <v/>
      </c>
      <c r="L4022" s="63">
        <f>IF(tblMovement[[#This Row],[Destination]]="","",IFERROR(INDEX(tblDestinations[Type],MATCH(tblMovement[[#This Row],[Destination]],tblDestinations[Destination],0)),"?"))</f>
        <v/>
      </c>
      <c r="M4022" s="64">
        <f>IF(tblMovement[[#This Row],[Material]]="","",IF(LEFT(tblMovement[[#This Row],[Material]],3)="Ore",1,0))</f>
        <v/>
      </c>
      <c r="N4022" s="59">
        <f>IF(OR(tblMovement[[#This Row],[Tonnes_t]]="",tblMovement[[#This Row],[Grade_gpt]]=""),0,tblMovement[[#This Row],[Tonnes_t]]*tblMovement[[#This Row],[Grade_gpt]]/cfg_TroyOz)</f>
        <v/>
      </c>
      <c r="O4022" s="59">
        <f>IF(tblMovement[[#This Row],[Is_Ore]]=1,tblMovement[[#This Row],[Contained_oz]],0)</f>
        <v/>
      </c>
    </row>
    <row r="4023">
      <c r="A4023" s="54" t="n"/>
      <c r="B4023" s="61" t="n"/>
      <c r="C4023" s="61" t="n"/>
      <c r="D4023" s="61" t="n"/>
      <c r="E4023" s="61" t="n"/>
      <c r="F4023" s="55" t="n"/>
      <c r="G4023" s="56" t="n"/>
      <c r="H4023" s="55" t="n"/>
      <c r="I4023" s="62" t="n"/>
      <c r="J4023" s="58" t="n"/>
      <c r="K4023" s="63">
        <f>IF(tblMovement[[#This Row],[Source]]="","",IFERROR(INDEX(tblSources[Type],MATCH(tblMovement[[#This Row],[Source]],tblSources[Source],0)),"?"))</f>
        <v/>
      </c>
      <c r="L4023" s="63">
        <f>IF(tblMovement[[#This Row],[Destination]]="","",IFERROR(INDEX(tblDestinations[Type],MATCH(tblMovement[[#This Row],[Destination]],tblDestinations[Destination],0)),"?"))</f>
        <v/>
      </c>
      <c r="M4023" s="64">
        <f>IF(tblMovement[[#This Row],[Material]]="","",IF(LEFT(tblMovement[[#This Row],[Material]],3)="Ore",1,0))</f>
        <v/>
      </c>
      <c r="N4023" s="59">
        <f>IF(OR(tblMovement[[#This Row],[Tonnes_t]]="",tblMovement[[#This Row],[Grade_gpt]]=""),0,tblMovement[[#This Row],[Tonnes_t]]*tblMovement[[#This Row],[Grade_gpt]]/cfg_TroyOz)</f>
        <v/>
      </c>
      <c r="O4023" s="59">
        <f>IF(tblMovement[[#This Row],[Is_Ore]]=1,tblMovement[[#This Row],[Contained_oz]],0)</f>
        <v/>
      </c>
    </row>
    <row r="4024">
      <c r="A4024" s="54" t="n"/>
      <c r="B4024" s="61" t="n"/>
      <c r="C4024" s="61" t="n"/>
      <c r="D4024" s="61" t="n"/>
      <c r="E4024" s="61" t="n"/>
      <c r="F4024" s="55" t="n"/>
      <c r="G4024" s="56" t="n"/>
      <c r="H4024" s="55" t="n"/>
      <c r="I4024" s="62" t="n"/>
      <c r="J4024" s="58" t="n"/>
      <c r="K4024" s="63">
        <f>IF(tblMovement[[#This Row],[Source]]="","",IFERROR(INDEX(tblSources[Type],MATCH(tblMovement[[#This Row],[Source]],tblSources[Source],0)),"?"))</f>
        <v/>
      </c>
      <c r="L4024" s="63">
        <f>IF(tblMovement[[#This Row],[Destination]]="","",IFERROR(INDEX(tblDestinations[Type],MATCH(tblMovement[[#This Row],[Destination]],tblDestinations[Destination],0)),"?"))</f>
        <v/>
      </c>
      <c r="M4024" s="64">
        <f>IF(tblMovement[[#This Row],[Material]]="","",IF(LEFT(tblMovement[[#This Row],[Material]],3)="Ore",1,0))</f>
        <v/>
      </c>
      <c r="N4024" s="59">
        <f>IF(OR(tblMovement[[#This Row],[Tonnes_t]]="",tblMovement[[#This Row],[Grade_gpt]]=""),0,tblMovement[[#This Row],[Tonnes_t]]*tblMovement[[#This Row],[Grade_gpt]]/cfg_TroyOz)</f>
        <v/>
      </c>
      <c r="O4024" s="59">
        <f>IF(tblMovement[[#This Row],[Is_Ore]]=1,tblMovement[[#This Row],[Contained_oz]],0)</f>
        <v/>
      </c>
    </row>
    <row r="4025">
      <c r="A4025" s="54" t="n"/>
      <c r="B4025" s="61" t="n"/>
      <c r="C4025" s="61" t="n"/>
      <c r="D4025" s="61" t="n"/>
      <c r="E4025" s="61" t="n"/>
      <c r="F4025" s="55" t="n"/>
      <c r="G4025" s="56" t="n"/>
      <c r="H4025" s="55" t="n"/>
      <c r="I4025" s="62" t="n"/>
      <c r="J4025" s="58" t="n"/>
      <c r="K4025" s="63">
        <f>IF(tblMovement[[#This Row],[Source]]="","",IFERROR(INDEX(tblSources[Type],MATCH(tblMovement[[#This Row],[Source]],tblSources[Source],0)),"?"))</f>
        <v/>
      </c>
      <c r="L4025" s="63">
        <f>IF(tblMovement[[#This Row],[Destination]]="","",IFERROR(INDEX(tblDestinations[Type],MATCH(tblMovement[[#This Row],[Destination]],tblDestinations[Destination],0)),"?"))</f>
        <v/>
      </c>
      <c r="M4025" s="64">
        <f>IF(tblMovement[[#This Row],[Material]]="","",IF(LEFT(tblMovement[[#This Row],[Material]],3)="Ore",1,0))</f>
        <v/>
      </c>
      <c r="N4025" s="59">
        <f>IF(OR(tblMovement[[#This Row],[Tonnes_t]]="",tblMovement[[#This Row],[Grade_gpt]]=""),0,tblMovement[[#This Row],[Tonnes_t]]*tblMovement[[#This Row],[Grade_gpt]]/cfg_TroyOz)</f>
        <v/>
      </c>
      <c r="O4025" s="59">
        <f>IF(tblMovement[[#This Row],[Is_Ore]]=1,tblMovement[[#This Row],[Contained_oz]],0)</f>
        <v/>
      </c>
    </row>
    <row r="4026">
      <c r="A4026" s="54" t="n"/>
      <c r="B4026" s="61" t="n"/>
      <c r="C4026" s="61" t="n"/>
      <c r="D4026" s="61" t="n"/>
      <c r="E4026" s="61" t="n"/>
      <c r="F4026" s="55" t="n"/>
      <c r="G4026" s="56" t="n"/>
      <c r="H4026" s="55" t="n"/>
      <c r="I4026" s="62" t="n"/>
      <c r="J4026" s="58" t="n"/>
      <c r="K4026" s="63">
        <f>IF(tblMovement[[#This Row],[Source]]="","",IFERROR(INDEX(tblSources[Type],MATCH(tblMovement[[#This Row],[Source]],tblSources[Source],0)),"?"))</f>
        <v/>
      </c>
      <c r="L4026" s="63">
        <f>IF(tblMovement[[#This Row],[Destination]]="","",IFERROR(INDEX(tblDestinations[Type],MATCH(tblMovement[[#This Row],[Destination]],tblDestinations[Destination],0)),"?"))</f>
        <v/>
      </c>
      <c r="M4026" s="64">
        <f>IF(tblMovement[[#This Row],[Material]]="","",IF(LEFT(tblMovement[[#This Row],[Material]],3)="Ore",1,0))</f>
        <v/>
      </c>
      <c r="N4026" s="59">
        <f>IF(OR(tblMovement[[#This Row],[Tonnes_t]]="",tblMovement[[#This Row],[Grade_gpt]]=""),0,tblMovement[[#This Row],[Tonnes_t]]*tblMovement[[#This Row],[Grade_gpt]]/cfg_TroyOz)</f>
        <v/>
      </c>
      <c r="O4026" s="59">
        <f>IF(tblMovement[[#This Row],[Is_Ore]]=1,tblMovement[[#This Row],[Contained_oz]],0)</f>
        <v/>
      </c>
    </row>
    <row r="4027">
      <c r="A4027" s="54" t="n"/>
      <c r="B4027" s="61" t="n"/>
      <c r="C4027" s="61" t="n"/>
      <c r="D4027" s="61" t="n"/>
      <c r="E4027" s="61" t="n"/>
      <c r="F4027" s="55" t="n"/>
      <c r="G4027" s="56" t="n"/>
      <c r="H4027" s="55" t="n"/>
      <c r="I4027" s="62" t="n"/>
      <c r="J4027" s="58" t="n"/>
      <c r="K4027" s="63">
        <f>IF(tblMovement[[#This Row],[Source]]="","",IFERROR(INDEX(tblSources[Type],MATCH(tblMovement[[#This Row],[Source]],tblSources[Source],0)),"?"))</f>
        <v/>
      </c>
      <c r="L4027" s="63">
        <f>IF(tblMovement[[#This Row],[Destination]]="","",IFERROR(INDEX(tblDestinations[Type],MATCH(tblMovement[[#This Row],[Destination]],tblDestinations[Destination],0)),"?"))</f>
        <v/>
      </c>
      <c r="M4027" s="64">
        <f>IF(tblMovement[[#This Row],[Material]]="","",IF(LEFT(tblMovement[[#This Row],[Material]],3)="Ore",1,0))</f>
        <v/>
      </c>
      <c r="N4027" s="59">
        <f>IF(OR(tblMovement[[#This Row],[Tonnes_t]]="",tblMovement[[#This Row],[Grade_gpt]]=""),0,tblMovement[[#This Row],[Tonnes_t]]*tblMovement[[#This Row],[Grade_gpt]]/cfg_TroyOz)</f>
        <v/>
      </c>
      <c r="O4027" s="59">
        <f>IF(tblMovement[[#This Row],[Is_Ore]]=1,tblMovement[[#This Row],[Contained_oz]],0)</f>
        <v/>
      </c>
    </row>
    <row r="4028">
      <c r="A4028" s="54" t="n"/>
      <c r="B4028" s="61" t="n"/>
      <c r="C4028" s="61" t="n"/>
      <c r="D4028" s="61" t="n"/>
      <c r="E4028" s="61" t="n"/>
      <c r="F4028" s="55" t="n"/>
      <c r="G4028" s="56" t="n"/>
      <c r="H4028" s="55" t="n"/>
      <c r="I4028" s="62" t="n"/>
      <c r="J4028" s="58" t="n"/>
      <c r="K4028" s="63">
        <f>IF(tblMovement[[#This Row],[Source]]="","",IFERROR(INDEX(tblSources[Type],MATCH(tblMovement[[#This Row],[Source]],tblSources[Source],0)),"?"))</f>
        <v/>
      </c>
      <c r="L4028" s="63">
        <f>IF(tblMovement[[#This Row],[Destination]]="","",IFERROR(INDEX(tblDestinations[Type],MATCH(tblMovement[[#This Row],[Destination]],tblDestinations[Destination],0)),"?"))</f>
        <v/>
      </c>
      <c r="M4028" s="64">
        <f>IF(tblMovement[[#This Row],[Material]]="","",IF(LEFT(tblMovement[[#This Row],[Material]],3)="Ore",1,0))</f>
        <v/>
      </c>
      <c r="N4028" s="59">
        <f>IF(OR(tblMovement[[#This Row],[Tonnes_t]]="",tblMovement[[#This Row],[Grade_gpt]]=""),0,tblMovement[[#This Row],[Tonnes_t]]*tblMovement[[#This Row],[Grade_gpt]]/cfg_TroyOz)</f>
        <v/>
      </c>
      <c r="O4028" s="59">
        <f>IF(tblMovement[[#This Row],[Is_Ore]]=1,tblMovement[[#This Row],[Contained_oz]],0)</f>
        <v/>
      </c>
    </row>
    <row r="4029">
      <c r="A4029" s="54" t="n"/>
      <c r="B4029" s="61" t="n"/>
      <c r="C4029" s="61" t="n"/>
      <c r="D4029" s="61" t="n"/>
      <c r="E4029" s="61" t="n"/>
      <c r="F4029" s="55" t="n"/>
      <c r="G4029" s="56" t="n"/>
      <c r="H4029" s="55" t="n"/>
      <c r="I4029" s="62" t="n"/>
      <c r="J4029" s="58" t="n"/>
      <c r="K4029" s="63">
        <f>IF(tblMovement[[#This Row],[Source]]="","",IFERROR(INDEX(tblSources[Type],MATCH(tblMovement[[#This Row],[Source]],tblSources[Source],0)),"?"))</f>
        <v/>
      </c>
      <c r="L4029" s="63">
        <f>IF(tblMovement[[#This Row],[Destination]]="","",IFERROR(INDEX(tblDestinations[Type],MATCH(tblMovement[[#This Row],[Destination]],tblDestinations[Destination],0)),"?"))</f>
        <v/>
      </c>
      <c r="M4029" s="64">
        <f>IF(tblMovement[[#This Row],[Material]]="","",IF(LEFT(tblMovement[[#This Row],[Material]],3)="Ore",1,0))</f>
        <v/>
      </c>
      <c r="N4029" s="59">
        <f>IF(OR(tblMovement[[#This Row],[Tonnes_t]]="",tblMovement[[#This Row],[Grade_gpt]]=""),0,tblMovement[[#This Row],[Tonnes_t]]*tblMovement[[#This Row],[Grade_gpt]]/cfg_TroyOz)</f>
        <v/>
      </c>
      <c r="O4029" s="59">
        <f>IF(tblMovement[[#This Row],[Is_Ore]]=1,tblMovement[[#This Row],[Contained_oz]],0)</f>
        <v/>
      </c>
    </row>
    <row r="4030">
      <c r="A4030" s="54" t="n"/>
      <c r="B4030" s="61" t="n"/>
      <c r="C4030" s="61" t="n"/>
      <c r="D4030" s="61" t="n"/>
      <c r="E4030" s="61" t="n"/>
      <c r="F4030" s="55" t="n"/>
      <c r="G4030" s="56" t="n"/>
      <c r="H4030" s="55" t="n"/>
      <c r="I4030" s="62" t="n"/>
      <c r="J4030" s="58" t="n"/>
      <c r="K4030" s="63">
        <f>IF(tblMovement[[#This Row],[Source]]="","",IFERROR(INDEX(tblSources[Type],MATCH(tblMovement[[#This Row],[Source]],tblSources[Source],0)),"?"))</f>
        <v/>
      </c>
      <c r="L4030" s="63">
        <f>IF(tblMovement[[#This Row],[Destination]]="","",IFERROR(INDEX(tblDestinations[Type],MATCH(tblMovement[[#This Row],[Destination]],tblDestinations[Destination],0)),"?"))</f>
        <v/>
      </c>
      <c r="M4030" s="64">
        <f>IF(tblMovement[[#This Row],[Material]]="","",IF(LEFT(tblMovement[[#This Row],[Material]],3)="Ore",1,0))</f>
        <v/>
      </c>
      <c r="N4030" s="59">
        <f>IF(OR(tblMovement[[#This Row],[Tonnes_t]]="",tblMovement[[#This Row],[Grade_gpt]]=""),0,tblMovement[[#This Row],[Tonnes_t]]*tblMovement[[#This Row],[Grade_gpt]]/cfg_TroyOz)</f>
        <v/>
      </c>
      <c r="O4030" s="59">
        <f>IF(tblMovement[[#This Row],[Is_Ore]]=1,tblMovement[[#This Row],[Contained_oz]],0)</f>
        <v/>
      </c>
    </row>
    <row r="4031">
      <c r="A4031" s="54" t="n"/>
      <c r="B4031" s="61" t="n"/>
      <c r="C4031" s="61" t="n"/>
      <c r="D4031" s="61" t="n"/>
      <c r="E4031" s="61" t="n"/>
      <c r="F4031" s="55" t="n"/>
      <c r="G4031" s="56" t="n"/>
      <c r="H4031" s="55" t="n"/>
      <c r="I4031" s="62" t="n"/>
      <c r="J4031" s="58" t="n"/>
      <c r="K4031" s="63">
        <f>IF(tblMovement[[#This Row],[Source]]="","",IFERROR(INDEX(tblSources[Type],MATCH(tblMovement[[#This Row],[Source]],tblSources[Source],0)),"?"))</f>
        <v/>
      </c>
      <c r="L4031" s="63">
        <f>IF(tblMovement[[#This Row],[Destination]]="","",IFERROR(INDEX(tblDestinations[Type],MATCH(tblMovement[[#This Row],[Destination]],tblDestinations[Destination],0)),"?"))</f>
        <v/>
      </c>
      <c r="M4031" s="64">
        <f>IF(tblMovement[[#This Row],[Material]]="","",IF(LEFT(tblMovement[[#This Row],[Material]],3)="Ore",1,0))</f>
        <v/>
      </c>
      <c r="N4031" s="59">
        <f>IF(OR(tblMovement[[#This Row],[Tonnes_t]]="",tblMovement[[#This Row],[Grade_gpt]]=""),0,tblMovement[[#This Row],[Tonnes_t]]*tblMovement[[#This Row],[Grade_gpt]]/cfg_TroyOz)</f>
        <v/>
      </c>
      <c r="O4031" s="59">
        <f>IF(tblMovement[[#This Row],[Is_Ore]]=1,tblMovement[[#This Row],[Contained_oz]],0)</f>
        <v/>
      </c>
    </row>
    <row r="4032">
      <c r="A4032" s="54" t="n"/>
      <c r="B4032" s="61" t="n"/>
      <c r="C4032" s="61" t="n"/>
      <c r="D4032" s="61" t="n"/>
      <c r="E4032" s="61" t="n"/>
      <c r="F4032" s="55" t="n"/>
      <c r="G4032" s="56" t="n"/>
      <c r="H4032" s="55" t="n"/>
      <c r="I4032" s="62" t="n"/>
      <c r="J4032" s="58" t="n"/>
      <c r="K4032" s="63">
        <f>IF(tblMovement[[#This Row],[Source]]="","",IFERROR(INDEX(tblSources[Type],MATCH(tblMovement[[#This Row],[Source]],tblSources[Source],0)),"?"))</f>
        <v/>
      </c>
      <c r="L4032" s="63">
        <f>IF(tblMovement[[#This Row],[Destination]]="","",IFERROR(INDEX(tblDestinations[Type],MATCH(tblMovement[[#This Row],[Destination]],tblDestinations[Destination],0)),"?"))</f>
        <v/>
      </c>
      <c r="M4032" s="64">
        <f>IF(tblMovement[[#This Row],[Material]]="","",IF(LEFT(tblMovement[[#This Row],[Material]],3)="Ore",1,0))</f>
        <v/>
      </c>
      <c r="N4032" s="59">
        <f>IF(OR(tblMovement[[#This Row],[Tonnes_t]]="",tblMovement[[#This Row],[Grade_gpt]]=""),0,tblMovement[[#This Row],[Tonnes_t]]*tblMovement[[#This Row],[Grade_gpt]]/cfg_TroyOz)</f>
        <v/>
      </c>
      <c r="O4032" s="59">
        <f>IF(tblMovement[[#This Row],[Is_Ore]]=1,tblMovement[[#This Row],[Contained_oz]],0)</f>
        <v/>
      </c>
    </row>
    <row r="4033">
      <c r="A4033" s="54" t="n"/>
      <c r="B4033" s="61" t="n"/>
      <c r="C4033" s="61" t="n"/>
      <c r="D4033" s="61" t="n"/>
      <c r="E4033" s="61" t="n"/>
      <c r="F4033" s="55" t="n"/>
      <c r="G4033" s="56" t="n"/>
      <c r="H4033" s="55" t="n"/>
      <c r="I4033" s="62" t="n"/>
      <c r="J4033" s="58" t="n"/>
      <c r="K4033" s="63">
        <f>IF(tblMovement[[#This Row],[Source]]="","",IFERROR(INDEX(tblSources[Type],MATCH(tblMovement[[#This Row],[Source]],tblSources[Source],0)),"?"))</f>
        <v/>
      </c>
      <c r="L4033" s="63">
        <f>IF(tblMovement[[#This Row],[Destination]]="","",IFERROR(INDEX(tblDestinations[Type],MATCH(tblMovement[[#This Row],[Destination]],tblDestinations[Destination],0)),"?"))</f>
        <v/>
      </c>
      <c r="M4033" s="64">
        <f>IF(tblMovement[[#This Row],[Material]]="","",IF(LEFT(tblMovement[[#This Row],[Material]],3)="Ore",1,0))</f>
        <v/>
      </c>
      <c r="N4033" s="59">
        <f>IF(OR(tblMovement[[#This Row],[Tonnes_t]]="",tblMovement[[#This Row],[Grade_gpt]]=""),0,tblMovement[[#This Row],[Tonnes_t]]*tblMovement[[#This Row],[Grade_gpt]]/cfg_TroyOz)</f>
        <v/>
      </c>
      <c r="O4033" s="59">
        <f>IF(tblMovement[[#This Row],[Is_Ore]]=1,tblMovement[[#This Row],[Contained_oz]],0)</f>
        <v/>
      </c>
    </row>
    <row r="4034">
      <c r="A4034" s="54" t="n"/>
      <c r="B4034" s="61" t="n"/>
      <c r="C4034" s="61" t="n"/>
      <c r="D4034" s="61" t="n"/>
      <c r="E4034" s="61" t="n"/>
      <c r="F4034" s="55" t="n"/>
      <c r="G4034" s="56" t="n"/>
      <c r="H4034" s="55" t="n"/>
      <c r="I4034" s="62" t="n"/>
      <c r="J4034" s="58" t="n"/>
      <c r="K4034" s="63">
        <f>IF(tblMovement[[#This Row],[Source]]="","",IFERROR(INDEX(tblSources[Type],MATCH(tblMovement[[#This Row],[Source]],tblSources[Source],0)),"?"))</f>
        <v/>
      </c>
      <c r="L4034" s="63">
        <f>IF(tblMovement[[#This Row],[Destination]]="","",IFERROR(INDEX(tblDestinations[Type],MATCH(tblMovement[[#This Row],[Destination]],tblDestinations[Destination],0)),"?"))</f>
        <v/>
      </c>
      <c r="M4034" s="64">
        <f>IF(tblMovement[[#This Row],[Material]]="","",IF(LEFT(tblMovement[[#This Row],[Material]],3)="Ore",1,0))</f>
        <v/>
      </c>
      <c r="N4034" s="59">
        <f>IF(OR(tblMovement[[#This Row],[Tonnes_t]]="",tblMovement[[#This Row],[Grade_gpt]]=""),0,tblMovement[[#This Row],[Tonnes_t]]*tblMovement[[#This Row],[Grade_gpt]]/cfg_TroyOz)</f>
        <v/>
      </c>
      <c r="O4034" s="59">
        <f>IF(tblMovement[[#This Row],[Is_Ore]]=1,tblMovement[[#This Row],[Contained_oz]],0)</f>
        <v/>
      </c>
    </row>
    <row r="4035">
      <c r="A4035" s="54" t="n"/>
      <c r="B4035" s="61" t="n"/>
      <c r="C4035" s="61" t="n"/>
      <c r="D4035" s="61" t="n"/>
      <c r="E4035" s="61" t="n"/>
      <c r="F4035" s="55" t="n"/>
      <c r="G4035" s="56" t="n"/>
      <c r="H4035" s="55" t="n"/>
      <c r="I4035" s="62" t="n"/>
      <c r="J4035" s="58" t="n"/>
      <c r="K4035" s="63">
        <f>IF(tblMovement[[#This Row],[Source]]="","",IFERROR(INDEX(tblSources[Type],MATCH(tblMovement[[#This Row],[Source]],tblSources[Source],0)),"?"))</f>
        <v/>
      </c>
      <c r="L4035" s="63">
        <f>IF(tblMovement[[#This Row],[Destination]]="","",IFERROR(INDEX(tblDestinations[Type],MATCH(tblMovement[[#This Row],[Destination]],tblDestinations[Destination],0)),"?"))</f>
        <v/>
      </c>
      <c r="M4035" s="64">
        <f>IF(tblMovement[[#This Row],[Material]]="","",IF(LEFT(tblMovement[[#This Row],[Material]],3)="Ore",1,0))</f>
        <v/>
      </c>
      <c r="N4035" s="59">
        <f>IF(OR(tblMovement[[#This Row],[Tonnes_t]]="",tblMovement[[#This Row],[Grade_gpt]]=""),0,tblMovement[[#This Row],[Tonnes_t]]*tblMovement[[#This Row],[Grade_gpt]]/cfg_TroyOz)</f>
        <v/>
      </c>
      <c r="O4035" s="59">
        <f>IF(tblMovement[[#This Row],[Is_Ore]]=1,tblMovement[[#This Row],[Contained_oz]],0)</f>
        <v/>
      </c>
    </row>
    <row r="4036">
      <c r="A4036" s="54" t="n"/>
      <c r="B4036" s="61" t="n"/>
      <c r="C4036" s="61" t="n"/>
      <c r="D4036" s="61" t="n"/>
      <c r="E4036" s="61" t="n"/>
      <c r="F4036" s="55" t="n"/>
      <c r="G4036" s="56" t="n"/>
      <c r="H4036" s="55" t="n"/>
      <c r="I4036" s="62" t="n"/>
      <c r="J4036" s="58" t="n"/>
      <c r="K4036" s="63">
        <f>IF(tblMovement[[#This Row],[Source]]="","",IFERROR(INDEX(tblSources[Type],MATCH(tblMovement[[#This Row],[Source]],tblSources[Source],0)),"?"))</f>
        <v/>
      </c>
      <c r="L4036" s="63">
        <f>IF(tblMovement[[#This Row],[Destination]]="","",IFERROR(INDEX(tblDestinations[Type],MATCH(tblMovement[[#This Row],[Destination]],tblDestinations[Destination],0)),"?"))</f>
        <v/>
      </c>
      <c r="M4036" s="64">
        <f>IF(tblMovement[[#This Row],[Material]]="","",IF(LEFT(tblMovement[[#This Row],[Material]],3)="Ore",1,0))</f>
        <v/>
      </c>
      <c r="N4036" s="59">
        <f>IF(OR(tblMovement[[#This Row],[Tonnes_t]]="",tblMovement[[#This Row],[Grade_gpt]]=""),0,tblMovement[[#This Row],[Tonnes_t]]*tblMovement[[#This Row],[Grade_gpt]]/cfg_TroyOz)</f>
        <v/>
      </c>
      <c r="O4036" s="59">
        <f>IF(tblMovement[[#This Row],[Is_Ore]]=1,tblMovement[[#This Row],[Contained_oz]],0)</f>
        <v/>
      </c>
    </row>
    <row r="4037">
      <c r="A4037" s="54" t="n"/>
      <c r="B4037" s="61" t="n"/>
      <c r="C4037" s="61" t="n"/>
      <c r="D4037" s="61" t="n"/>
      <c r="E4037" s="61" t="n"/>
      <c r="F4037" s="55" t="n"/>
      <c r="G4037" s="56" t="n"/>
      <c r="H4037" s="55" t="n"/>
      <c r="I4037" s="62" t="n"/>
      <c r="J4037" s="58" t="n"/>
      <c r="K4037" s="63">
        <f>IF(tblMovement[[#This Row],[Source]]="","",IFERROR(INDEX(tblSources[Type],MATCH(tblMovement[[#This Row],[Source]],tblSources[Source],0)),"?"))</f>
        <v/>
      </c>
      <c r="L4037" s="63">
        <f>IF(tblMovement[[#This Row],[Destination]]="","",IFERROR(INDEX(tblDestinations[Type],MATCH(tblMovement[[#This Row],[Destination]],tblDestinations[Destination],0)),"?"))</f>
        <v/>
      </c>
      <c r="M4037" s="64">
        <f>IF(tblMovement[[#This Row],[Material]]="","",IF(LEFT(tblMovement[[#This Row],[Material]],3)="Ore",1,0))</f>
        <v/>
      </c>
      <c r="N4037" s="59">
        <f>IF(OR(tblMovement[[#This Row],[Tonnes_t]]="",tblMovement[[#This Row],[Grade_gpt]]=""),0,tblMovement[[#This Row],[Tonnes_t]]*tblMovement[[#This Row],[Grade_gpt]]/cfg_TroyOz)</f>
        <v/>
      </c>
      <c r="O4037" s="59">
        <f>IF(tblMovement[[#This Row],[Is_Ore]]=1,tblMovement[[#This Row],[Contained_oz]],0)</f>
        <v/>
      </c>
    </row>
    <row r="4038">
      <c r="A4038" s="54" t="n"/>
      <c r="B4038" s="61" t="n"/>
      <c r="C4038" s="61" t="n"/>
      <c r="D4038" s="61" t="n"/>
      <c r="E4038" s="61" t="n"/>
      <c r="F4038" s="55" t="n"/>
      <c r="G4038" s="56" t="n"/>
      <c r="H4038" s="55" t="n"/>
      <c r="I4038" s="62" t="n"/>
      <c r="J4038" s="58" t="n"/>
      <c r="K4038" s="63">
        <f>IF(tblMovement[[#This Row],[Source]]="","",IFERROR(INDEX(tblSources[Type],MATCH(tblMovement[[#This Row],[Source]],tblSources[Source],0)),"?"))</f>
        <v/>
      </c>
      <c r="L4038" s="63">
        <f>IF(tblMovement[[#This Row],[Destination]]="","",IFERROR(INDEX(tblDestinations[Type],MATCH(tblMovement[[#This Row],[Destination]],tblDestinations[Destination],0)),"?"))</f>
        <v/>
      </c>
      <c r="M4038" s="64">
        <f>IF(tblMovement[[#This Row],[Material]]="","",IF(LEFT(tblMovement[[#This Row],[Material]],3)="Ore",1,0))</f>
        <v/>
      </c>
      <c r="N4038" s="59">
        <f>IF(OR(tblMovement[[#This Row],[Tonnes_t]]="",tblMovement[[#This Row],[Grade_gpt]]=""),0,tblMovement[[#This Row],[Tonnes_t]]*tblMovement[[#This Row],[Grade_gpt]]/cfg_TroyOz)</f>
        <v/>
      </c>
      <c r="O4038" s="59">
        <f>IF(tblMovement[[#This Row],[Is_Ore]]=1,tblMovement[[#This Row],[Contained_oz]],0)</f>
        <v/>
      </c>
    </row>
    <row r="4039">
      <c r="A4039" s="54" t="n"/>
      <c r="B4039" s="61" t="n"/>
      <c r="C4039" s="61" t="n"/>
      <c r="D4039" s="61" t="n"/>
      <c r="E4039" s="61" t="n"/>
      <c r="F4039" s="55" t="n"/>
      <c r="G4039" s="56" t="n"/>
      <c r="H4039" s="55" t="n"/>
      <c r="I4039" s="62" t="n"/>
      <c r="J4039" s="58" t="n"/>
      <c r="K4039" s="63">
        <f>IF(tblMovement[[#This Row],[Source]]="","",IFERROR(INDEX(tblSources[Type],MATCH(tblMovement[[#This Row],[Source]],tblSources[Source],0)),"?"))</f>
        <v/>
      </c>
      <c r="L4039" s="63">
        <f>IF(tblMovement[[#This Row],[Destination]]="","",IFERROR(INDEX(tblDestinations[Type],MATCH(tblMovement[[#This Row],[Destination]],tblDestinations[Destination],0)),"?"))</f>
        <v/>
      </c>
      <c r="M4039" s="64">
        <f>IF(tblMovement[[#This Row],[Material]]="","",IF(LEFT(tblMovement[[#This Row],[Material]],3)="Ore",1,0))</f>
        <v/>
      </c>
      <c r="N4039" s="59">
        <f>IF(OR(tblMovement[[#This Row],[Tonnes_t]]="",tblMovement[[#This Row],[Grade_gpt]]=""),0,tblMovement[[#This Row],[Tonnes_t]]*tblMovement[[#This Row],[Grade_gpt]]/cfg_TroyOz)</f>
        <v/>
      </c>
      <c r="O4039" s="59">
        <f>IF(tblMovement[[#This Row],[Is_Ore]]=1,tblMovement[[#This Row],[Contained_oz]],0)</f>
        <v/>
      </c>
    </row>
    <row r="4040">
      <c r="A4040" s="54" t="n"/>
      <c r="B4040" s="61" t="n"/>
      <c r="C4040" s="61" t="n"/>
      <c r="D4040" s="61" t="n"/>
      <c r="E4040" s="61" t="n"/>
      <c r="F4040" s="55" t="n"/>
      <c r="G4040" s="56" t="n"/>
      <c r="H4040" s="55" t="n"/>
      <c r="I4040" s="62" t="n"/>
      <c r="J4040" s="58" t="n"/>
      <c r="K4040" s="63">
        <f>IF(tblMovement[[#This Row],[Source]]="","",IFERROR(INDEX(tblSources[Type],MATCH(tblMovement[[#This Row],[Source]],tblSources[Source],0)),"?"))</f>
        <v/>
      </c>
      <c r="L4040" s="63">
        <f>IF(tblMovement[[#This Row],[Destination]]="","",IFERROR(INDEX(tblDestinations[Type],MATCH(tblMovement[[#This Row],[Destination]],tblDestinations[Destination],0)),"?"))</f>
        <v/>
      </c>
      <c r="M4040" s="64">
        <f>IF(tblMovement[[#This Row],[Material]]="","",IF(LEFT(tblMovement[[#This Row],[Material]],3)="Ore",1,0))</f>
        <v/>
      </c>
      <c r="N4040" s="59">
        <f>IF(OR(tblMovement[[#This Row],[Tonnes_t]]="",tblMovement[[#This Row],[Grade_gpt]]=""),0,tblMovement[[#This Row],[Tonnes_t]]*tblMovement[[#This Row],[Grade_gpt]]/cfg_TroyOz)</f>
        <v/>
      </c>
      <c r="O4040" s="59">
        <f>IF(tblMovement[[#This Row],[Is_Ore]]=1,tblMovement[[#This Row],[Contained_oz]],0)</f>
        <v/>
      </c>
    </row>
    <row r="4041">
      <c r="A4041" s="54" t="n"/>
      <c r="B4041" s="61" t="n"/>
      <c r="C4041" s="61" t="n"/>
      <c r="D4041" s="61" t="n"/>
      <c r="E4041" s="61" t="n"/>
      <c r="F4041" s="55" t="n"/>
      <c r="G4041" s="56" t="n"/>
      <c r="H4041" s="55" t="n"/>
      <c r="I4041" s="62" t="n"/>
      <c r="J4041" s="58" t="n"/>
      <c r="K4041" s="63">
        <f>IF(tblMovement[[#This Row],[Source]]="","",IFERROR(INDEX(tblSources[Type],MATCH(tblMovement[[#This Row],[Source]],tblSources[Source],0)),"?"))</f>
        <v/>
      </c>
      <c r="L4041" s="63">
        <f>IF(tblMovement[[#This Row],[Destination]]="","",IFERROR(INDEX(tblDestinations[Type],MATCH(tblMovement[[#This Row],[Destination]],tblDestinations[Destination],0)),"?"))</f>
        <v/>
      </c>
      <c r="M4041" s="64">
        <f>IF(tblMovement[[#This Row],[Material]]="","",IF(LEFT(tblMovement[[#This Row],[Material]],3)="Ore",1,0))</f>
        <v/>
      </c>
      <c r="N4041" s="59">
        <f>IF(OR(tblMovement[[#This Row],[Tonnes_t]]="",tblMovement[[#This Row],[Grade_gpt]]=""),0,tblMovement[[#This Row],[Tonnes_t]]*tblMovement[[#This Row],[Grade_gpt]]/cfg_TroyOz)</f>
        <v/>
      </c>
      <c r="O4041" s="59">
        <f>IF(tblMovement[[#This Row],[Is_Ore]]=1,tblMovement[[#This Row],[Contained_oz]],0)</f>
        <v/>
      </c>
    </row>
    <row r="4042">
      <c r="A4042" s="54" t="n"/>
      <c r="B4042" s="61" t="n"/>
      <c r="C4042" s="61" t="n"/>
      <c r="D4042" s="61" t="n"/>
      <c r="E4042" s="61" t="n"/>
      <c r="F4042" s="55" t="n"/>
      <c r="G4042" s="56" t="n"/>
      <c r="H4042" s="55" t="n"/>
      <c r="I4042" s="62" t="n"/>
      <c r="J4042" s="58" t="n"/>
      <c r="K4042" s="63">
        <f>IF(tblMovement[[#This Row],[Source]]="","",IFERROR(INDEX(tblSources[Type],MATCH(tblMovement[[#This Row],[Source]],tblSources[Source],0)),"?"))</f>
        <v/>
      </c>
      <c r="L4042" s="63">
        <f>IF(tblMovement[[#This Row],[Destination]]="","",IFERROR(INDEX(tblDestinations[Type],MATCH(tblMovement[[#This Row],[Destination]],tblDestinations[Destination],0)),"?"))</f>
        <v/>
      </c>
      <c r="M4042" s="64">
        <f>IF(tblMovement[[#This Row],[Material]]="","",IF(LEFT(tblMovement[[#This Row],[Material]],3)="Ore",1,0))</f>
        <v/>
      </c>
      <c r="N4042" s="59">
        <f>IF(OR(tblMovement[[#This Row],[Tonnes_t]]="",tblMovement[[#This Row],[Grade_gpt]]=""),0,tblMovement[[#This Row],[Tonnes_t]]*tblMovement[[#This Row],[Grade_gpt]]/cfg_TroyOz)</f>
        <v/>
      </c>
      <c r="O4042" s="59">
        <f>IF(tblMovement[[#This Row],[Is_Ore]]=1,tblMovement[[#This Row],[Contained_oz]],0)</f>
        <v/>
      </c>
    </row>
    <row r="4043">
      <c r="A4043" s="54" t="n"/>
      <c r="B4043" s="61" t="n"/>
      <c r="C4043" s="61" t="n"/>
      <c r="D4043" s="61" t="n"/>
      <c r="E4043" s="61" t="n"/>
      <c r="F4043" s="55" t="n"/>
      <c r="G4043" s="56" t="n"/>
      <c r="H4043" s="55" t="n"/>
      <c r="I4043" s="62" t="n"/>
      <c r="J4043" s="58" t="n"/>
      <c r="K4043" s="63">
        <f>IF(tblMovement[[#This Row],[Source]]="","",IFERROR(INDEX(tblSources[Type],MATCH(tblMovement[[#This Row],[Source]],tblSources[Source],0)),"?"))</f>
        <v/>
      </c>
      <c r="L4043" s="63">
        <f>IF(tblMovement[[#This Row],[Destination]]="","",IFERROR(INDEX(tblDestinations[Type],MATCH(tblMovement[[#This Row],[Destination]],tblDestinations[Destination],0)),"?"))</f>
        <v/>
      </c>
      <c r="M4043" s="64">
        <f>IF(tblMovement[[#This Row],[Material]]="","",IF(LEFT(tblMovement[[#This Row],[Material]],3)="Ore",1,0))</f>
        <v/>
      </c>
      <c r="N4043" s="59">
        <f>IF(OR(tblMovement[[#This Row],[Tonnes_t]]="",tblMovement[[#This Row],[Grade_gpt]]=""),0,tblMovement[[#This Row],[Tonnes_t]]*tblMovement[[#This Row],[Grade_gpt]]/cfg_TroyOz)</f>
        <v/>
      </c>
      <c r="O4043" s="59">
        <f>IF(tblMovement[[#This Row],[Is_Ore]]=1,tblMovement[[#This Row],[Contained_oz]],0)</f>
        <v/>
      </c>
    </row>
    <row r="4044">
      <c r="A4044" s="54" t="n"/>
      <c r="B4044" s="61" t="n"/>
      <c r="C4044" s="61" t="n"/>
      <c r="D4044" s="61" t="n"/>
      <c r="E4044" s="61" t="n"/>
      <c r="F4044" s="55" t="n"/>
      <c r="G4044" s="56" t="n"/>
      <c r="H4044" s="55" t="n"/>
      <c r="I4044" s="62" t="n"/>
      <c r="J4044" s="58" t="n"/>
      <c r="K4044" s="63">
        <f>IF(tblMovement[[#This Row],[Source]]="","",IFERROR(INDEX(tblSources[Type],MATCH(tblMovement[[#This Row],[Source]],tblSources[Source],0)),"?"))</f>
        <v/>
      </c>
      <c r="L4044" s="63">
        <f>IF(tblMovement[[#This Row],[Destination]]="","",IFERROR(INDEX(tblDestinations[Type],MATCH(tblMovement[[#This Row],[Destination]],tblDestinations[Destination],0)),"?"))</f>
        <v/>
      </c>
      <c r="M4044" s="64">
        <f>IF(tblMovement[[#This Row],[Material]]="","",IF(LEFT(tblMovement[[#This Row],[Material]],3)="Ore",1,0))</f>
        <v/>
      </c>
      <c r="N4044" s="59">
        <f>IF(OR(tblMovement[[#This Row],[Tonnes_t]]="",tblMovement[[#This Row],[Grade_gpt]]=""),0,tblMovement[[#This Row],[Tonnes_t]]*tblMovement[[#This Row],[Grade_gpt]]/cfg_TroyOz)</f>
        <v/>
      </c>
      <c r="O4044" s="59">
        <f>IF(tblMovement[[#This Row],[Is_Ore]]=1,tblMovement[[#This Row],[Contained_oz]],0)</f>
        <v/>
      </c>
    </row>
    <row r="4045">
      <c r="A4045" s="54" t="n"/>
      <c r="B4045" s="61" t="n"/>
      <c r="C4045" s="61" t="n"/>
      <c r="D4045" s="61" t="n"/>
      <c r="E4045" s="61" t="n"/>
      <c r="F4045" s="55" t="n"/>
      <c r="G4045" s="56" t="n"/>
      <c r="H4045" s="55" t="n"/>
      <c r="I4045" s="62" t="n"/>
      <c r="J4045" s="58" t="n"/>
      <c r="K4045" s="63">
        <f>IF(tblMovement[[#This Row],[Source]]="","",IFERROR(INDEX(tblSources[Type],MATCH(tblMovement[[#This Row],[Source]],tblSources[Source],0)),"?"))</f>
        <v/>
      </c>
      <c r="L4045" s="63">
        <f>IF(tblMovement[[#This Row],[Destination]]="","",IFERROR(INDEX(tblDestinations[Type],MATCH(tblMovement[[#This Row],[Destination]],tblDestinations[Destination],0)),"?"))</f>
        <v/>
      </c>
      <c r="M4045" s="64">
        <f>IF(tblMovement[[#This Row],[Material]]="","",IF(LEFT(tblMovement[[#This Row],[Material]],3)="Ore",1,0))</f>
        <v/>
      </c>
      <c r="N4045" s="59">
        <f>IF(OR(tblMovement[[#This Row],[Tonnes_t]]="",tblMovement[[#This Row],[Grade_gpt]]=""),0,tblMovement[[#This Row],[Tonnes_t]]*tblMovement[[#This Row],[Grade_gpt]]/cfg_TroyOz)</f>
        <v/>
      </c>
      <c r="O4045" s="59">
        <f>IF(tblMovement[[#This Row],[Is_Ore]]=1,tblMovement[[#This Row],[Contained_oz]],0)</f>
        <v/>
      </c>
    </row>
    <row r="4046">
      <c r="A4046" s="54" t="n"/>
      <c r="B4046" s="61" t="n"/>
      <c r="C4046" s="61" t="n"/>
      <c r="D4046" s="61" t="n"/>
      <c r="E4046" s="61" t="n"/>
      <c r="F4046" s="55" t="n"/>
      <c r="G4046" s="56" t="n"/>
      <c r="H4046" s="55" t="n"/>
      <c r="I4046" s="62" t="n"/>
      <c r="J4046" s="58" t="n"/>
      <c r="K4046" s="63">
        <f>IF(tblMovement[[#This Row],[Source]]="","",IFERROR(INDEX(tblSources[Type],MATCH(tblMovement[[#This Row],[Source]],tblSources[Source],0)),"?"))</f>
        <v/>
      </c>
      <c r="L4046" s="63">
        <f>IF(tblMovement[[#This Row],[Destination]]="","",IFERROR(INDEX(tblDestinations[Type],MATCH(tblMovement[[#This Row],[Destination]],tblDestinations[Destination],0)),"?"))</f>
        <v/>
      </c>
      <c r="M4046" s="64">
        <f>IF(tblMovement[[#This Row],[Material]]="","",IF(LEFT(tblMovement[[#This Row],[Material]],3)="Ore",1,0))</f>
        <v/>
      </c>
      <c r="N4046" s="59">
        <f>IF(OR(tblMovement[[#This Row],[Tonnes_t]]="",tblMovement[[#This Row],[Grade_gpt]]=""),0,tblMovement[[#This Row],[Tonnes_t]]*tblMovement[[#This Row],[Grade_gpt]]/cfg_TroyOz)</f>
        <v/>
      </c>
      <c r="O4046" s="59">
        <f>IF(tblMovement[[#This Row],[Is_Ore]]=1,tblMovement[[#This Row],[Contained_oz]],0)</f>
        <v/>
      </c>
    </row>
    <row r="4047">
      <c r="A4047" s="54" t="n"/>
      <c r="B4047" s="61" t="n"/>
      <c r="C4047" s="61" t="n"/>
      <c r="D4047" s="61" t="n"/>
      <c r="E4047" s="61" t="n"/>
      <c r="F4047" s="55" t="n"/>
      <c r="G4047" s="56" t="n"/>
      <c r="H4047" s="55" t="n"/>
      <c r="I4047" s="62" t="n"/>
      <c r="J4047" s="58" t="n"/>
      <c r="K4047" s="63">
        <f>IF(tblMovement[[#This Row],[Source]]="","",IFERROR(INDEX(tblSources[Type],MATCH(tblMovement[[#This Row],[Source]],tblSources[Source],0)),"?"))</f>
        <v/>
      </c>
      <c r="L4047" s="63">
        <f>IF(tblMovement[[#This Row],[Destination]]="","",IFERROR(INDEX(tblDestinations[Type],MATCH(tblMovement[[#This Row],[Destination]],tblDestinations[Destination],0)),"?"))</f>
        <v/>
      </c>
      <c r="M4047" s="64">
        <f>IF(tblMovement[[#This Row],[Material]]="","",IF(LEFT(tblMovement[[#This Row],[Material]],3)="Ore",1,0))</f>
        <v/>
      </c>
      <c r="N4047" s="59">
        <f>IF(OR(tblMovement[[#This Row],[Tonnes_t]]="",tblMovement[[#This Row],[Grade_gpt]]=""),0,tblMovement[[#This Row],[Tonnes_t]]*tblMovement[[#This Row],[Grade_gpt]]/cfg_TroyOz)</f>
        <v/>
      </c>
      <c r="O4047" s="59">
        <f>IF(tblMovement[[#This Row],[Is_Ore]]=1,tblMovement[[#This Row],[Contained_oz]],0)</f>
        <v/>
      </c>
    </row>
    <row r="4048">
      <c r="A4048" s="54" t="n"/>
      <c r="B4048" s="61" t="n"/>
      <c r="C4048" s="61" t="n"/>
      <c r="D4048" s="61" t="n"/>
      <c r="E4048" s="61" t="n"/>
      <c r="F4048" s="55" t="n"/>
      <c r="G4048" s="56" t="n"/>
      <c r="H4048" s="55" t="n"/>
      <c r="I4048" s="62" t="n"/>
      <c r="J4048" s="58" t="n"/>
      <c r="K4048" s="63">
        <f>IF(tblMovement[[#This Row],[Source]]="","",IFERROR(INDEX(tblSources[Type],MATCH(tblMovement[[#This Row],[Source]],tblSources[Source],0)),"?"))</f>
        <v/>
      </c>
      <c r="L4048" s="63">
        <f>IF(tblMovement[[#This Row],[Destination]]="","",IFERROR(INDEX(tblDestinations[Type],MATCH(tblMovement[[#This Row],[Destination]],tblDestinations[Destination],0)),"?"))</f>
        <v/>
      </c>
      <c r="M4048" s="64">
        <f>IF(tblMovement[[#This Row],[Material]]="","",IF(LEFT(tblMovement[[#This Row],[Material]],3)="Ore",1,0))</f>
        <v/>
      </c>
      <c r="N4048" s="59">
        <f>IF(OR(tblMovement[[#This Row],[Tonnes_t]]="",tblMovement[[#This Row],[Grade_gpt]]=""),0,tblMovement[[#This Row],[Tonnes_t]]*tblMovement[[#This Row],[Grade_gpt]]/cfg_TroyOz)</f>
        <v/>
      </c>
      <c r="O4048" s="59">
        <f>IF(tblMovement[[#This Row],[Is_Ore]]=1,tblMovement[[#This Row],[Contained_oz]],0)</f>
        <v/>
      </c>
    </row>
    <row r="4049">
      <c r="A4049" s="54" t="n"/>
      <c r="B4049" s="61" t="n"/>
      <c r="C4049" s="61" t="n"/>
      <c r="D4049" s="61" t="n"/>
      <c r="E4049" s="61" t="n"/>
      <c r="F4049" s="55" t="n"/>
      <c r="G4049" s="56" t="n"/>
      <c r="H4049" s="55" t="n"/>
      <c r="I4049" s="62" t="n"/>
      <c r="J4049" s="58" t="n"/>
      <c r="K4049" s="63">
        <f>IF(tblMovement[[#This Row],[Source]]="","",IFERROR(INDEX(tblSources[Type],MATCH(tblMovement[[#This Row],[Source]],tblSources[Source],0)),"?"))</f>
        <v/>
      </c>
      <c r="L4049" s="63">
        <f>IF(tblMovement[[#This Row],[Destination]]="","",IFERROR(INDEX(tblDestinations[Type],MATCH(tblMovement[[#This Row],[Destination]],tblDestinations[Destination],0)),"?"))</f>
        <v/>
      </c>
      <c r="M4049" s="64">
        <f>IF(tblMovement[[#This Row],[Material]]="","",IF(LEFT(tblMovement[[#This Row],[Material]],3)="Ore",1,0))</f>
        <v/>
      </c>
      <c r="N4049" s="59">
        <f>IF(OR(tblMovement[[#This Row],[Tonnes_t]]="",tblMovement[[#This Row],[Grade_gpt]]=""),0,tblMovement[[#This Row],[Tonnes_t]]*tblMovement[[#This Row],[Grade_gpt]]/cfg_TroyOz)</f>
        <v/>
      </c>
      <c r="O4049" s="59">
        <f>IF(tblMovement[[#This Row],[Is_Ore]]=1,tblMovement[[#This Row],[Contained_oz]],0)</f>
        <v/>
      </c>
    </row>
    <row r="4050">
      <c r="A4050" s="54" t="n"/>
      <c r="B4050" s="61" t="n"/>
      <c r="C4050" s="61" t="n"/>
      <c r="D4050" s="61" t="n"/>
      <c r="E4050" s="61" t="n"/>
      <c r="F4050" s="55" t="n"/>
      <c r="G4050" s="56" t="n"/>
      <c r="H4050" s="55" t="n"/>
      <c r="I4050" s="62" t="n"/>
      <c r="J4050" s="58" t="n"/>
      <c r="K4050" s="63">
        <f>IF(tblMovement[[#This Row],[Source]]="","",IFERROR(INDEX(tblSources[Type],MATCH(tblMovement[[#This Row],[Source]],tblSources[Source],0)),"?"))</f>
        <v/>
      </c>
      <c r="L4050" s="63">
        <f>IF(tblMovement[[#This Row],[Destination]]="","",IFERROR(INDEX(tblDestinations[Type],MATCH(tblMovement[[#This Row],[Destination]],tblDestinations[Destination],0)),"?"))</f>
        <v/>
      </c>
      <c r="M4050" s="64">
        <f>IF(tblMovement[[#This Row],[Material]]="","",IF(LEFT(tblMovement[[#This Row],[Material]],3)="Ore",1,0))</f>
        <v/>
      </c>
      <c r="N4050" s="59">
        <f>IF(OR(tblMovement[[#This Row],[Tonnes_t]]="",tblMovement[[#This Row],[Grade_gpt]]=""),0,tblMovement[[#This Row],[Tonnes_t]]*tblMovement[[#This Row],[Grade_gpt]]/cfg_TroyOz)</f>
        <v/>
      </c>
      <c r="O4050" s="59">
        <f>IF(tblMovement[[#This Row],[Is_Ore]]=1,tblMovement[[#This Row],[Contained_oz]],0)</f>
        <v/>
      </c>
    </row>
    <row r="4051">
      <c r="A4051" s="54" t="n"/>
      <c r="B4051" s="61" t="n"/>
      <c r="C4051" s="61" t="n"/>
      <c r="D4051" s="61" t="n"/>
      <c r="E4051" s="61" t="n"/>
      <c r="F4051" s="55" t="n"/>
      <c r="G4051" s="56" t="n"/>
      <c r="H4051" s="55" t="n"/>
      <c r="I4051" s="62" t="n"/>
      <c r="J4051" s="58" t="n"/>
      <c r="K4051" s="63">
        <f>IF(tblMovement[[#This Row],[Source]]="","",IFERROR(INDEX(tblSources[Type],MATCH(tblMovement[[#This Row],[Source]],tblSources[Source],0)),"?"))</f>
        <v/>
      </c>
      <c r="L4051" s="63">
        <f>IF(tblMovement[[#This Row],[Destination]]="","",IFERROR(INDEX(tblDestinations[Type],MATCH(tblMovement[[#This Row],[Destination]],tblDestinations[Destination],0)),"?"))</f>
        <v/>
      </c>
      <c r="M4051" s="64">
        <f>IF(tblMovement[[#This Row],[Material]]="","",IF(LEFT(tblMovement[[#This Row],[Material]],3)="Ore",1,0))</f>
        <v/>
      </c>
      <c r="N4051" s="59">
        <f>IF(OR(tblMovement[[#This Row],[Tonnes_t]]="",tblMovement[[#This Row],[Grade_gpt]]=""),0,tblMovement[[#This Row],[Tonnes_t]]*tblMovement[[#This Row],[Grade_gpt]]/cfg_TroyOz)</f>
        <v/>
      </c>
      <c r="O4051" s="59">
        <f>IF(tblMovement[[#This Row],[Is_Ore]]=1,tblMovement[[#This Row],[Contained_oz]],0)</f>
        <v/>
      </c>
    </row>
    <row r="4052">
      <c r="A4052" s="54" t="n"/>
      <c r="B4052" s="61" t="n"/>
      <c r="C4052" s="61" t="n"/>
      <c r="D4052" s="61" t="n"/>
      <c r="E4052" s="61" t="n"/>
      <c r="F4052" s="55" t="n"/>
      <c r="G4052" s="56" t="n"/>
      <c r="H4052" s="55" t="n"/>
      <c r="I4052" s="62" t="n"/>
      <c r="J4052" s="58" t="n"/>
      <c r="K4052" s="63">
        <f>IF(tblMovement[[#This Row],[Source]]="","",IFERROR(INDEX(tblSources[Type],MATCH(tblMovement[[#This Row],[Source]],tblSources[Source],0)),"?"))</f>
        <v/>
      </c>
      <c r="L4052" s="63">
        <f>IF(tblMovement[[#This Row],[Destination]]="","",IFERROR(INDEX(tblDestinations[Type],MATCH(tblMovement[[#This Row],[Destination]],tblDestinations[Destination],0)),"?"))</f>
        <v/>
      </c>
      <c r="M4052" s="64">
        <f>IF(tblMovement[[#This Row],[Material]]="","",IF(LEFT(tblMovement[[#This Row],[Material]],3)="Ore",1,0))</f>
        <v/>
      </c>
      <c r="N4052" s="59">
        <f>IF(OR(tblMovement[[#This Row],[Tonnes_t]]="",tblMovement[[#This Row],[Grade_gpt]]=""),0,tblMovement[[#This Row],[Tonnes_t]]*tblMovement[[#This Row],[Grade_gpt]]/cfg_TroyOz)</f>
        <v/>
      </c>
      <c r="O4052" s="59">
        <f>IF(tblMovement[[#This Row],[Is_Ore]]=1,tblMovement[[#This Row],[Contained_oz]],0)</f>
        <v/>
      </c>
    </row>
    <row r="4053">
      <c r="A4053" s="54" t="n"/>
      <c r="B4053" s="61" t="n"/>
      <c r="C4053" s="61" t="n"/>
      <c r="D4053" s="61" t="n"/>
      <c r="E4053" s="61" t="n"/>
      <c r="F4053" s="55" t="n"/>
      <c r="G4053" s="56" t="n"/>
      <c r="H4053" s="55" t="n"/>
      <c r="I4053" s="62" t="n"/>
      <c r="J4053" s="58" t="n"/>
      <c r="K4053" s="63">
        <f>IF(tblMovement[[#This Row],[Source]]="","",IFERROR(INDEX(tblSources[Type],MATCH(tblMovement[[#This Row],[Source]],tblSources[Source],0)),"?"))</f>
        <v/>
      </c>
      <c r="L4053" s="63">
        <f>IF(tblMovement[[#This Row],[Destination]]="","",IFERROR(INDEX(tblDestinations[Type],MATCH(tblMovement[[#This Row],[Destination]],tblDestinations[Destination],0)),"?"))</f>
        <v/>
      </c>
      <c r="M4053" s="64">
        <f>IF(tblMovement[[#This Row],[Material]]="","",IF(LEFT(tblMovement[[#This Row],[Material]],3)="Ore",1,0))</f>
        <v/>
      </c>
      <c r="N4053" s="59">
        <f>IF(OR(tblMovement[[#This Row],[Tonnes_t]]="",tblMovement[[#This Row],[Grade_gpt]]=""),0,tblMovement[[#This Row],[Tonnes_t]]*tblMovement[[#This Row],[Grade_gpt]]/cfg_TroyOz)</f>
        <v/>
      </c>
      <c r="O4053" s="59">
        <f>IF(tblMovement[[#This Row],[Is_Ore]]=1,tblMovement[[#This Row],[Contained_oz]],0)</f>
        <v/>
      </c>
    </row>
    <row r="4054">
      <c r="A4054" s="54" t="n"/>
      <c r="B4054" s="61" t="n"/>
      <c r="C4054" s="61" t="n"/>
      <c r="D4054" s="61" t="n"/>
      <c r="E4054" s="61" t="n"/>
      <c r="F4054" s="55" t="n"/>
      <c r="G4054" s="56" t="n"/>
      <c r="H4054" s="55" t="n"/>
      <c r="I4054" s="62" t="n"/>
      <c r="J4054" s="58" t="n"/>
      <c r="K4054" s="63">
        <f>IF(tblMovement[[#This Row],[Source]]="","",IFERROR(INDEX(tblSources[Type],MATCH(tblMovement[[#This Row],[Source]],tblSources[Source],0)),"?"))</f>
        <v/>
      </c>
      <c r="L4054" s="63">
        <f>IF(tblMovement[[#This Row],[Destination]]="","",IFERROR(INDEX(tblDestinations[Type],MATCH(tblMovement[[#This Row],[Destination]],tblDestinations[Destination],0)),"?"))</f>
        <v/>
      </c>
      <c r="M4054" s="64">
        <f>IF(tblMovement[[#This Row],[Material]]="","",IF(LEFT(tblMovement[[#This Row],[Material]],3)="Ore",1,0))</f>
        <v/>
      </c>
      <c r="N4054" s="59">
        <f>IF(OR(tblMovement[[#This Row],[Tonnes_t]]="",tblMovement[[#This Row],[Grade_gpt]]=""),0,tblMovement[[#This Row],[Tonnes_t]]*tblMovement[[#This Row],[Grade_gpt]]/cfg_TroyOz)</f>
        <v/>
      </c>
      <c r="O4054" s="59">
        <f>IF(tblMovement[[#This Row],[Is_Ore]]=1,tblMovement[[#This Row],[Contained_oz]],0)</f>
        <v/>
      </c>
    </row>
    <row r="4055">
      <c r="A4055" s="54" t="n"/>
      <c r="B4055" s="61" t="n"/>
      <c r="C4055" s="61" t="n"/>
      <c r="D4055" s="61" t="n"/>
      <c r="E4055" s="61" t="n"/>
      <c r="F4055" s="55" t="n"/>
      <c r="G4055" s="56" t="n"/>
      <c r="H4055" s="55" t="n"/>
      <c r="I4055" s="62" t="n"/>
      <c r="J4055" s="58" t="n"/>
      <c r="K4055" s="63">
        <f>IF(tblMovement[[#This Row],[Source]]="","",IFERROR(INDEX(tblSources[Type],MATCH(tblMovement[[#This Row],[Source]],tblSources[Source],0)),"?"))</f>
        <v/>
      </c>
      <c r="L4055" s="63">
        <f>IF(tblMovement[[#This Row],[Destination]]="","",IFERROR(INDEX(tblDestinations[Type],MATCH(tblMovement[[#This Row],[Destination]],tblDestinations[Destination],0)),"?"))</f>
        <v/>
      </c>
      <c r="M4055" s="64">
        <f>IF(tblMovement[[#This Row],[Material]]="","",IF(LEFT(tblMovement[[#This Row],[Material]],3)="Ore",1,0))</f>
        <v/>
      </c>
      <c r="N4055" s="59">
        <f>IF(OR(tblMovement[[#This Row],[Tonnes_t]]="",tblMovement[[#This Row],[Grade_gpt]]=""),0,tblMovement[[#This Row],[Tonnes_t]]*tblMovement[[#This Row],[Grade_gpt]]/cfg_TroyOz)</f>
        <v/>
      </c>
      <c r="O4055" s="59">
        <f>IF(tblMovement[[#This Row],[Is_Ore]]=1,tblMovement[[#This Row],[Contained_oz]],0)</f>
        <v/>
      </c>
    </row>
    <row r="4056">
      <c r="A4056" s="54" t="n"/>
      <c r="B4056" s="61" t="n"/>
      <c r="C4056" s="61" t="n"/>
      <c r="D4056" s="61" t="n"/>
      <c r="E4056" s="61" t="n"/>
      <c r="F4056" s="55" t="n"/>
      <c r="G4056" s="56" t="n"/>
      <c r="H4056" s="55" t="n"/>
      <c r="I4056" s="62" t="n"/>
      <c r="J4056" s="58" t="n"/>
      <c r="K4056" s="63">
        <f>IF(tblMovement[[#This Row],[Source]]="","",IFERROR(INDEX(tblSources[Type],MATCH(tblMovement[[#This Row],[Source]],tblSources[Source],0)),"?"))</f>
        <v/>
      </c>
      <c r="L4056" s="63">
        <f>IF(tblMovement[[#This Row],[Destination]]="","",IFERROR(INDEX(tblDestinations[Type],MATCH(tblMovement[[#This Row],[Destination]],tblDestinations[Destination],0)),"?"))</f>
        <v/>
      </c>
      <c r="M4056" s="64">
        <f>IF(tblMovement[[#This Row],[Material]]="","",IF(LEFT(tblMovement[[#This Row],[Material]],3)="Ore",1,0))</f>
        <v/>
      </c>
      <c r="N4056" s="59">
        <f>IF(OR(tblMovement[[#This Row],[Tonnes_t]]="",tblMovement[[#This Row],[Grade_gpt]]=""),0,tblMovement[[#This Row],[Tonnes_t]]*tblMovement[[#This Row],[Grade_gpt]]/cfg_TroyOz)</f>
        <v/>
      </c>
      <c r="O4056" s="59">
        <f>IF(tblMovement[[#This Row],[Is_Ore]]=1,tblMovement[[#This Row],[Contained_oz]],0)</f>
        <v/>
      </c>
    </row>
    <row r="4057">
      <c r="A4057" s="54" t="n"/>
      <c r="B4057" s="61" t="n"/>
      <c r="C4057" s="61" t="n"/>
      <c r="D4057" s="61" t="n"/>
      <c r="E4057" s="61" t="n"/>
      <c r="F4057" s="55" t="n"/>
      <c r="G4057" s="56" t="n"/>
      <c r="H4057" s="55" t="n"/>
      <c r="I4057" s="62" t="n"/>
      <c r="J4057" s="58" t="n"/>
      <c r="K4057" s="63">
        <f>IF(tblMovement[[#This Row],[Source]]="","",IFERROR(INDEX(tblSources[Type],MATCH(tblMovement[[#This Row],[Source]],tblSources[Source],0)),"?"))</f>
        <v/>
      </c>
      <c r="L4057" s="63">
        <f>IF(tblMovement[[#This Row],[Destination]]="","",IFERROR(INDEX(tblDestinations[Type],MATCH(tblMovement[[#This Row],[Destination]],tblDestinations[Destination],0)),"?"))</f>
        <v/>
      </c>
      <c r="M4057" s="64">
        <f>IF(tblMovement[[#This Row],[Material]]="","",IF(LEFT(tblMovement[[#This Row],[Material]],3)="Ore",1,0))</f>
        <v/>
      </c>
      <c r="N4057" s="59">
        <f>IF(OR(tblMovement[[#This Row],[Tonnes_t]]="",tblMovement[[#This Row],[Grade_gpt]]=""),0,tblMovement[[#This Row],[Tonnes_t]]*tblMovement[[#This Row],[Grade_gpt]]/cfg_TroyOz)</f>
        <v/>
      </c>
      <c r="O4057" s="59">
        <f>IF(tblMovement[[#This Row],[Is_Ore]]=1,tblMovement[[#This Row],[Contained_oz]],0)</f>
        <v/>
      </c>
    </row>
    <row r="4058">
      <c r="A4058" s="54" t="n"/>
      <c r="B4058" s="61" t="n"/>
      <c r="C4058" s="61" t="n"/>
      <c r="D4058" s="61" t="n"/>
      <c r="E4058" s="61" t="n"/>
      <c r="F4058" s="55" t="n"/>
      <c r="G4058" s="56" t="n"/>
      <c r="H4058" s="55" t="n"/>
      <c r="I4058" s="62" t="n"/>
      <c r="J4058" s="58" t="n"/>
      <c r="K4058" s="63">
        <f>IF(tblMovement[[#This Row],[Source]]="","",IFERROR(INDEX(tblSources[Type],MATCH(tblMovement[[#This Row],[Source]],tblSources[Source],0)),"?"))</f>
        <v/>
      </c>
      <c r="L4058" s="63">
        <f>IF(tblMovement[[#This Row],[Destination]]="","",IFERROR(INDEX(tblDestinations[Type],MATCH(tblMovement[[#This Row],[Destination]],tblDestinations[Destination],0)),"?"))</f>
        <v/>
      </c>
      <c r="M4058" s="64">
        <f>IF(tblMovement[[#This Row],[Material]]="","",IF(LEFT(tblMovement[[#This Row],[Material]],3)="Ore",1,0))</f>
        <v/>
      </c>
      <c r="N4058" s="59">
        <f>IF(OR(tblMovement[[#This Row],[Tonnes_t]]="",tblMovement[[#This Row],[Grade_gpt]]=""),0,tblMovement[[#This Row],[Tonnes_t]]*tblMovement[[#This Row],[Grade_gpt]]/cfg_TroyOz)</f>
        <v/>
      </c>
      <c r="O4058" s="59">
        <f>IF(tblMovement[[#This Row],[Is_Ore]]=1,tblMovement[[#This Row],[Contained_oz]],0)</f>
        <v/>
      </c>
    </row>
    <row r="4059">
      <c r="A4059" s="54" t="n"/>
      <c r="B4059" s="61" t="n"/>
      <c r="C4059" s="61" t="n"/>
      <c r="D4059" s="61" t="n"/>
      <c r="E4059" s="61" t="n"/>
      <c r="F4059" s="55" t="n"/>
      <c r="G4059" s="56" t="n"/>
      <c r="H4059" s="55" t="n"/>
      <c r="I4059" s="62" t="n"/>
      <c r="J4059" s="58" t="n"/>
      <c r="K4059" s="63">
        <f>IF(tblMovement[[#This Row],[Source]]="","",IFERROR(INDEX(tblSources[Type],MATCH(tblMovement[[#This Row],[Source]],tblSources[Source],0)),"?"))</f>
        <v/>
      </c>
      <c r="L4059" s="63">
        <f>IF(tblMovement[[#This Row],[Destination]]="","",IFERROR(INDEX(tblDestinations[Type],MATCH(tblMovement[[#This Row],[Destination]],tblDestinations[Destination],0)),"?"))</f>
        <v/>
      </c>
      <c r="M4059" s="64">
        <f>IF(tblMovement[[#This Row],[Material]]="","",IF(LEFT(tblMovement[[#This Row],[Material]],3)="Ore",1,0))</f>
        <v/>
      </c>
      <c r="N4059" s="59">
        <f>IF(OR(tblMovement[[#This Row],[Tonnes_t]]="",tblMovement[[#This Row],[Grade_gpt]]=""),0,tblMovement[[#This Row],[Tonnes_t]]*tblMovement[[#This Row],[Grade_gpt]]/cfg_TroyOz)</f>
        <v/>
      </c>
      <c r="O4059" s="59">
        <f>IF(tblMovement[[#This Row],[Is_Ore]]=1,tblMovement[[#This Row],[Contained_oz]],0)</f>
        <v/>
      </c>
    </row>
    <row r="4060">
      <c r="A4060" s="54" t="n"/>
      <c r="B4060" s="61" t="n"/>
      <c r="C4060" s="61" t="n"/>
      <c r="D4060" s="61" t="n"/>
      <c r="E4060" s="61" t="n"/>
      <c r="F4060" s="55" t="n"/>
      <c r="G4060" s="56" t="n"/>
      <c r="H4060" s="55" t="n"/>
      <c r="I4060" s="62" t="n"/>
      <c r="J4060" s="58" t="n"/>
      <c r="K4060" s="63">
        <f>IF(tblMovement[[#This Row],[Source]]="","",IFERROR(INDEX(tblSources[Type],MATCH(tblMovement[[#This Row],[Source]],tblSources[Source],0)),"?"))</f>
        <v/>
      </c>
      <c r="L4060" s="63">
        <f>IF(tblMovement[[#This Row],[Destination]]="","",IFERROR(INDEX(tblDestinations[Type],MATCH(tblMovement[[#This Row],[Destination]],tblDestinations[Destination],0)),"?"))</f>
        <v/>
      </c>
      <c r="M4060" s="64">
        <f>IF(tblMovement[[#This Row],[Material]]="","",IF(LEFT(tblMovement[[#This Row],[Material]],3)="Ore",1,0))</f>
        <v/>
      </c>
      <c r="N4060" s="59">
        <f>IF(OR(tblMovement[[#This Row],[Tonnes_t]]="",tblMovement[[#This Row],[Grade_gpt]]=""),0,tblMovement[[#This Row],[Tonnes_t]]*tblMovement[[#This Row],[Grade_gpt]]/cfg_TroyOz)</f>
        <v/>
      </c>
      <c r="O4060" s="59">
        <f>IF(tblMovement[[#This Row],[Is_Ore]]=1,tblMovement[[#This Row],[Contained_oz]],0)</f>
        <v/>
      </c>
    </row>
    <row r="4061">
      <c r="A4061" s="54" t="n"/>
      <c r="B4061" s="61" t="n"/>
      <c r="C4061" s="61" t="n"/>
      <c r="D4061" s="61" t="n"/>
      <c r="E4061" s="61" t="n"/>
      <c r="F4061" s="55" t="n"/>
      <c r="G4061" s="56" t="n"/>
      <c r="H4061" s="55" t="n"/>
      <c r="I4061" s="62" t="n"/>
      <c r="J4061" s="58" t="n"/>
      <c r="K4061" s="63">
        <f>IF(tblMovement[[#This Row],[Source]]="","",IFERROR(INDEX(tblSources[Type],MATCH(tblMovement[[#This Row],[Source]],tblSources[Source],0)),"?"))</f>
        <v/>
      </c>
      <c r="L4061" s="63">
        <f>IF(tblMovement[[#This Row],[Destination]]="","",IFERROR(INDEX(tblDestinations[Type],MATCH(tblMovement[[#This Row],[Destination]],tblDestinations[Destination],0)),"?"))</f>
        <v/>
      </c>
      <c r="M4061" s="64">
        <f>IF(tblMovement[[#This Row],[Material]]="","",IF(LEFT(tblMovement[[#This Row],[Material]],3)="Ore",1,0))</f>
        <v/>
      </c>
      <c r="N4061" s="59">
        <f>IF(OR(tblMovement[[#This Row],[Tonnes_t]]="",tblMovement[[#This Row],[Grade_gpt]]=""),0,tblMovement[[#This Row],[Tonnes_t]]*tblMovement[[#This Row],[Grade_gpt]]/cfg_TroyOz)</f>
        <v/>
      </c>
      <c r="O4061" s="59">
        <f>IF(tblMovement[[#This Row],[Is_Ore]]=1,tblMovement[[#This Row],[Contained_oz]],0)</f>
        <v/>
      </c>
    </row>
    <row r="4062">
      <c r="A4062" s="54" t="n"/>
      <c r="B4062" s="61" t="n"/>
      <c r="C4062" s="61" t="n"/>
      <c r="D4062" s="61" t="n"/>
      <c r="E4062" s="61" t="n"/>
      <c r="F4062" s="55" t="n"/>
      <c r="G4062" s="56" t="n"/>
      <c r="H4062" s="55" t="n"/>
      <c r="I4062" s="62" t="n"/>
      <c r="J4062" s="58" t="n"/>
      <c r="K4062" s="63">
        <f>IF(tblMovement[[#This Row],[Source]]="","",IFERROR(INDEX(tblSources[Type],MATCH(tblMovement[[#This Row],[Source]],tblSources[Source],0)),"?"))</f>
        <v/>
      </c>
      <c r="L4062" s="63">
        <f>IF(tblMovement[[#This Row],[Destination]]="","",IFERROR(INDEX(tblDestinations[Type],MATCH(tblMovement[[#This Row],[Destination]],tblDestinations[Destination],0)),"?"))</f>
        <v/>
      </c>
      <c r="M4062" s="64">
        <f>IF(tblMovement[[#This Row],[Material]]="","",IF(LEFT(tblMovement[[#This Row],[Material]],3)="Ore",1,0))</f>
        <v/>
      </c>
      <c r="N4062" s="59">
        <f>IF(OR(tblMovement[[#This Row],[Tonnes_t]]="",tblMovement[[#This Row],[Grade_gpt]]=""),0,tblMovement[[#This Row],[Tonnes_t]]*tblMovement[[#This Row],[Grade_gpt]]/cfg_TroyOz)</f>
        <v/>
      </c>
      <c r="O4062" s="59">
        <f>IF(tblMovement[[#This Row],[Is_Ore]]=1,tblMovement[[#This Row],[Contained_oz]],0)</f>
        <v/>
      </c>
    </row>
    <row r="4063">
      <c r="A4063" s="54" t="n"/>
      <c r="B4063" s="61" t="n"/>
      <c r="C4063" s="61" t="n"/>
      <c r="D4063" s="61" t="n"/>
      <c r="E4063" s="61" t="n"/>
      <c r="F4063" s="55" t="n"/>
      <c r="G4063" s="56" t="n"/>
      <c r="H4063" s="55" t="n"/>
      <c r="I4063" s="62" t="n"/>
      <c r="J4063" s="58" t="n"/>
      <c r="K4063" s="63">
        <f>IF(tblMovement[[#This Row],[Source]]="","",IFERROR(INDEX(tblSources[Type],MATCH(tblMovement[[#This Row],[Source]],tblSources[Source],0)),"?"))</f>
        <v/>
      </c>
      <c r="L4063" s="63">
        <f>IF(tblMovement[[#This Row],[Destination]]="","",IFERROR(INDEX(tblDestinations[Type],MATCH(tblMovement[[#This Row],[Destination]],tblDestinations[Destination],0)),"?"))</f>
        <v/>
      </c>
      <c r="M4063" s="64">
        <f>IF(tblMovement[[#This Row],[Material]]="","",IF(LEFT(tblMovement[[#This Row],[Material]],3)="Ore",1,0))</f>
        <v/>
      </c>
      <c r="N4063" s="59">
        <f>IF(OR(tblMovement[[#This Row],[Tonnes_t]]="",tblMovement[[#This Row],[Grade_gpt]]=""),0,tblMovement[[#This Row],[Tonnes_t]]*tblMovement[[#This Row],[Grade_gpt]]/cfg_TroyOz)</f>
        <v/>
      </c>
      <c r="O4063" s="59">
        <f>IF(tblMovement[[#This Row],[Is_Ore]]=1,tblMovement[[#This Row],[Contained_oz]],0)</f>
        <v/>
      </c>
    </row>
    <row r="4064">
      <c r="A4064" s="54" t="n"/>
      <c r="B4064" s="61" t="n"/>
      <c r="C4064" s="61" t="n"/>
      <c r="D4064" s="61" t="n"/>
      <c r="E4064" s="61" t="n"/>
      <c r="F4064" s="55" t="n"/>
      <c r="G4064" s="56" t="n"/>
      <c r="H4064" s="55" t="n"/>
      <c r="I4064" s="62" t="n"/>
      <c r="J4064" s="58" t="n"/>
      <c r="K4064" s="63">
        <f>IF(tblMovement[[#This Row],[Source]]="","",IFERROR(INDEX(tblSources[Type],MATCH(tblMovement[[#This Row],[Source]],tblSources[Source],0)),"?"))</f>
        <v/>
      </c>
      <c r="L4064" s="63">
        <f>IF(tblMovement[[#This Row],[Destination]]="","",IFERROR(INDEX(tblDestinations[Type],MATCH(tblMovement[[#This Row],[Destination]],tblDestinations[Destination],0)),"?"))</f>
        <v/>
      </c>
      <c r="M4064" s="64">
        <f>IF(tblMovement[[#This Row],[Material]]="","",IF(LEFT(tblMovement[[#This Row],[Material]],3)="Ore",1,0))</f>
        <v/>
      </c>
      <c r="N4064" s="59">
        <f>IF(OR(tblMovement[[#This Row],[Tonnes_t]]="",tblMovement[[#This Row],[Grade_gpt]]=""),0,tblMovement[[#This Row],[Tonnes_t]]*tblMovement[[#This Row],[Grade_gpt]]/cfg_TroyOz)</f>
        <v/>
      </c>
      <c r="O4064" s="59">
        <f>IF(tblMovement[[#This Row],[Is_Ore]]=1,tblMovement[[#This Row],[Contained_oz]],0)</f>
        <v/>
      </c>
    </row>
    <row r="4065">
      <c r="A4065" s="54" t="n"/>
      <c r="B4065" s="61" t="n"/>
      <c r="C4065" s="61" t="n"/>
      <c r="D4065" s="61" t="n"/>
      <c r="E4065" s="61" t="n"/>
      <c r="F4065" s="55" t="n"/>
      <c r="G4065" s="56" t="n"/>
      <c r="H4065" s="55" t="n"/>
      <c r="I4065" s="62" t="n"/>
      <c r="J4065" s="58" t="n"/>
      <c r="K4065" s="63">
        <f>IF(tblMovement[[#This Row],[Source]]="","",IFERROR(INDEX(tblSources[Type],MATCH(tblMovement[[#This Row],[Source]],tblSources[Source],0)),"?"))</f>
        <v/>
      </c>
      <c r="L4065" s="63">
        <f>IF(tblMovement[[#This Row],[Destination]]="","",IFERROR(INDEX(tblDestinations[Type],MATCH(tblMovement[[#This Row],[Destination]],tblDestinations[Destination],0)),"?"))</f>
        <v/>
      </c>
      <c r="M4065" s="64">
        <f>IF(tblMovement[[#This Row],[Material]]="","",IF(LEFT(tblMovement[[#This Row],[Material]],3)="Ore",1,0))</f>
        <v/>
      </c>
      <c r="N4065" s="59">
        <f>IF(OR(tblMovement[[#This Row],[Tonnes_t]]="",tblMovement[[#This Row],[Grade_gpt]]=""),0,tblMovement[[#This Row],[Tonnes_t]]*tblMovement[[#This Row],[Grade_gpt]]/cfg_TroyOz)</f>
        <v/>
      </c>
      <c r="O4065" s="59">
        <f>IF(tblMovement[[#This Row],[Is_Ore]]=1,tblMovement[[#This Row],[Contained_oz]],0)</f>
        <v/>
      </c>
    </row>
    <row r="4066">
      <c r="A4066" s="54" t="n"/>
      <c r="B4066" s="61" t="n"/>
      <c r="C4066" s="61" t="n"/>
      <c r="D4066" s="61" t="n"/>
      <c r="E4066" s="61" t="n"/>
      <c r="F4066" s="55" t="n"/>
      <c r="G4066" s="56" t="n"/>
      <c r="H4066" s="55" t="n"/>
      <c r="I4066" s="62" t="n"/>
      <c r="J4066" s="58" t="n"/>
      <c r="K4066" s="63">
        <f>IF(tblMovement[[#This Row],[Source]]="","",IFERROR(INDEX(tblSources[Type],MATCH(tblMovement[[#This Row],[Source]],tblSources[Source],0)),"?"))</f>
        <v/>
      </c>
      <c r="L4066" s="63">
        <f>IF(tblMovement[[#This Row],[Destination]]="","",IFERROR(INDEX(tblDestinations[Type],MATCH(tblMovement[[#This Row],[Destination]],tblDestinations[Destination],0)),"?"))</f>
        <v/>
      </c>
      <c r="M4066" s="64">
        <f>IF(tblMovement[[#This Row],[Material]]="","",IF(LEFT(tblMovement[[#This Row],[Material]],3)="Ore",1,0))</f>
        <v/>
      </c>
      <c r="N4066" s="59">
        <f>IF(OR(tblMovement[[#This Row],[Tonnes_t]]="",tblMovement[[#This Row],[Grade_gpt]]=""),0,tblMovement[[#This Row],[Tonnes_t]]*tblMovement[[#This Row],[Grade_gpt]]/cfg_TroyOz)</f>
        <v/>
      </c>
      <c r="O4066" s="59">
        <f>IF(tblMovement[[#This Row],[Is_Ore]]=1,tblMovement[[#This Row],[Contained_oz]],0)</f>
        <v/>
      </c>
    </row>
    <row r="4067">
      <c r="A4067" s="54" t="n"/>
      <c r="B4067" s="61" t="n"/>
      <c r="C4067" s="61" t="n"/>
      <c r="D4067" s="61" t="n"/>
      <c r="E4067" s="61" t="n"/>
      <c r="F4067" s="55" t="n"/>
      <c r="G4067" s="56" t="n"/>
      <c r="H4067" s="55" t="n"/>
      <c r="I4067" s="62" t="n"/>
      <c r="J4067" s="58" t="n"/>
      <c r="K4067" s="63">
        <f>IF(tblMovement[[#This Row],[Source]]="","",IFERROR(INDEX(tblSources[Type],MATCH(tblMovement[[#This Row],[Source]],tblSources[Source],0)),"?"))</f>
        <v/>
      </c>
      <c r="L4067" s="63">
        <f>IF(tblMovement[[#This Row],[Destination]]="","",IFERROR(INDEX(tblDestinations[Type],MATCH(tblMovement[[#This Row],[Destination]],tblDestinations[Destination],0)),"?"))</f>
        <v/>
      </c>
      <c r="M4067" s="64">
        <f>IF(tblMovement[[#This Row],[Material]]="","",IF(LEFT(tblMovement[[#This Row],[Material]],3)="Ore",1,0))</f>
        <v/>
      </c>
      <c r="N4067" s="59">
        <f>IF(OR(tblMovement[[#This Row],[Tonnes_t]]="",tblMovement[[#This Row],[Grade_gpt]]=""),0,tblMovement[[#This Row],[Tonnes_t]]*tblMovement[[#This Row],[Grade_gpt]]/cfg_TroyOz)</f>
        <v/>
      </c>
      <c r="O4067" s="59">
        <f>IF(tblMovement[[#This Row],[Is_Ore]]=1,tblMovement[[#This Row],[Contained_oz]],0)</f>
        <v/>
      </c>
    </row>
    <row r="4068">
      <c r="A4068" s="54" t="n"/>
      <c r="B4068" s="61" t="n"/>
      <c r="C4068" s="61" t="n"/>
      <c r="D4068" s="61" t="n"/>
      <c r="E4068" s="61" t="n"/>
      <c r="F4068" s="55" t="n"/>
      <c r="G4068" s="56" t="n"/>
      <c r="H4068" s="55" t="n"/>
      <c r="I4068" s="62" t="n"/>
      <c r="J4068" s="58" t="n"/>
      <c r="K4068" s="63">
        <f>IF(tblMovement[[#This Row],[Source]]="","",IFERROR(INDEX(tblSources[Type],MATCH(tblMovement[[#This Row],[Source]],tblSources[Source],0)),"?"))</f>
        <v/>
      </c>
      <c r="L4068" s="63">
        <f>IF(tblMovement[[#This Row],[Destination]]="","",IFERROR(INDEX(tblDestinations[Type],MATCH(tblMovement[[#This Row],[Destination]],tblDestinations[Destination],0)),"?"))</f>
        <v/>
      </c>
      <c r="M4068" s="64">
        <f>IF(tblMovement[[#This Row],[Material]]="","",IF(LEFT(tblMovement[[#This Row],[Material]],3)="Ore",1,0))</f>
        <v/>
      </c>
      <c r="N4068" s="59">
        <f>IF(OR(tblMovement[[#This Row],[Tonnes_t]]="",tblMovement[[#This Row],[Grade_gpt]]=""),0,tblMovement[[#This Row],[Tonnes_t]]*tblMovement[[#This Row],[Grade_gpt]]/cfg_TroyOz)</f>
        <v/>
      </c>
      <c r="O4068" s="59">
        <f>IF(tblMovement[[#This Row],[Is_Ore]]=1,tblMovement[[#This Row],[Contained_oz]],0)</f>
        <v/>
      </c>
    </row>
    <row r="4069">
      <c r="A4069" s="54" t="n"/>
      <c r="B4069" s="61" t="n"/>
      <c r="C4069" s="61" t="n"/>
      <c r="D4069" s="61" t="n"/>
      <c r="E4069" s="61" t="n"/>
      <c r="F4069" s="55" t="n"/>
      <c r="G4069" s="56" t="n"/>
      <c r="H4069" s="55" t="n"/>
      <c r="I4069" s="62" t="n"/>
      <c r="J4069" s="58" t="n"/>
      <c r="K4069" s="63">
        <f>IF(tblMovement[[#This Row],[Source]]="","",IFERROR(INDEX(tblSources[Type],MATCH(tblMovement[[#This Row],[Source]],tblSources[Source],0)),"?"))</f>
        <v/>
      </c>
      <c r="L4069" s="63">
        <f>IF(tblMovement[[#This Row],[Destination]]="","",IFERROR(INDEX(tblDestinations[Type],MATCH(tblMovement[[#This Row],[Destination]],tblDestinations[Destination],0)),"?"))</f>
        <v/>
      </c>
      <c r="M4069" s="64">
        <f>IF(tblMovement[[#This Row],[Material]]="","",IF(LEFT(tblMovement[[#This Row],[Material]],3)="Ore",1,0))</f>
        <v/>
      </c>
      <c r="N4069" s="59">
        <f>IF(OR(tblMovement[[#This Row],[Tonnes_t]]="",tblMovement[[#This Row],[Grade_gpt]]=""),0,tblMovement[[#This Row],[Tonnes_t]]*tblMovement[[#This Row],[Grade_gpt]]/cfg_TroyOz)</f>
        <v/>
      </c>
      <c r="O4069" s="59">
        <f>IF(tblMovement[[#This Row],[Is_Ore]]=1,tblMovement[[#This Row],[Contained_oz]],0)</f>
        <v/>
      </c>
    </row>
    <row r="4070">
      <c r="A4070" s="54" t="n"/>
      <c r="B4070" s="61" t="n"/>
      <c r="C4070" s="61" t="n"/>
      <c r="D4070" s="61" t="n"/>
      <c r="E4070" s="61" t="n"/>
      <c r="F4070" s="55" t="n"/>
      <c r="G4070" s="56" t="n"/>
      <c r="H4070" s="55" t="n"/>
      <c r="I4070" s="62" t="n"/>
      <c r="J4070" s="58" t="n"/>
      <c r="K4070" s="63">
        <f>IF(tblMovement[[#This Row],[Source]]="","",IFERROR(INDEX(tblSources[Type],MATCH(tblMovement[[#This Row],[Source]],tblSources[Source],0)),"?"))</f>
        <v/>
      </c>
      <c r="L4070" s="63">
        <f>IF(tblMovement[[#This Row],[Destination]]="","",IFERROR(INDEX(tblDestinations[Type],MATCH(tblMovement[[#This Row],[Destination]],tblDestinations[Destination],0)),"?"))</f>
        <v/>
      </c>
      <c r="M4070" s="64">
        <f>IF(tblMovement[[#This Row],[Material]]="","",IF(LEFT(tblMovement[[#This Row],[Material]],3)="Ore",1,0))</f>
        <v/>
      </c>
      <c r="N4070" s="59">
        <f>IF(OR(tblMovement[[#This Row],[Tonnes_t]]="",tblMovement[[#This Row],[Grade_gpt]]=""),0,tblMovement[[#This Row],[Tonnes_t]]*tblMovement[[#This Row],[Grade_gpt]]/cfg_TroyOz)</f>
        <v/>
      </c>
      <c r="O4070" s="59">
        <f>IF(tblMovement[[#This Row],[Is_Ore]]=1,tblMovement[[#This Row],[Contained_oz]],0)</f>
        <v/>
      </c>
    </row>
    <row r="4071">
      <c r="A4071" s="54" t="n"/>
      <c r="B4071" s="61" t="n"/>
      <c r="C4071" s="61" t="n"/>
      <c r="D4071" s="61" t="n"/>
      <c r="E4071" s="61" t="n"/>
      <c r="F4071" s="55" t="n"/>
      <c r="G4071" s="56" t="n"/>
      <c r="H4071" s="55" t="n"/>
      <c r="I4071" s="62" t="n"/>
      <c r="J4071" s="58" t="n"/>
      <c r="K4071" s="63">
        <f>IF(tblMovement[[#This Row],[Source]]="","",IFERROR(INDEX(tblSources[Type],MATCH(tblMovement[[#This Row],[Source]],tblSources[Source],0)),"?"))</f>
        <v/>
      </c>
      <c r="L4071" s="63">
        <f>IF(tblMovement[[#This Row],[Destination]]="","",IFERROR(INDEX(tblDestinations[Type],MATCH(tblMovement[[#This Row],[Destination]],tblDestinations[Destination],0)),"?"))</f>
        <v/>
      </c>
      <c r="M4071" s="64">
        <f>IF(tblMovement[[#This Row],[Material]]="","",IF(LEFT(tblMovement[[#This Row],[Material]],3)="Ore",1,0))</f>
        <v/>
      </c>
      <c r="N4071" s="59">
        <f>IF(OR(tblMovement[[#This Row],[Tonnes_t]]="",tblMovement[[#This Row],[Grade_gpt]]=""),0,tblMovement[[#This Row],[Tonnes_t]]*tblMovement[[#This Row],[Grade_gpt]]/cfg_TroyOz)</f>
        <v/>
      </c>
      <c r="O4071" s="59">
        <f>IF(tblMovement[[#This Row],[Is_Ore]]=1,tblMovement[[#This Row],[Contained_oz]],0)</f>
        <v/>
      </c>
    </row>
    <row r="4072">
      <c r="A4072" s="54" t="n"/>
      <c r="B4072" s="61" t="n"/>
      <c r="C4072" s="61" t="n"/>
      <c r="D4072" s="61" t="n"/>
      <c r="E4072" s="61" t="n"/>
      <c r="F4072" s="55" t="n"/>
      <c r="G4072" s="56" t="n"/>
      <c r="H4072" s="55" t="n"/>
      <c r="I4072" s="62" t="n"/>
      <c r="J4072" s="58" t="n"/>
      <c r="K4072" s="63">
        <f>IF(tblMovement[[#This Row],[Source]]="","",IFERROR(INDEX(tblSources[Type],MATCH(tblMovement[[#This Row],[Source]],tblSources[Source],0)),"?"))</f>
        <v/>
      </c>
      <c r="L4072" s="63">
        <f>IF(tblMovement[[#This Row],[Destination]]="","",IFERROR(INDEX(tblDestinations[Type],MATCH(tblMovement[[#This Row],[Destination]],tblDestinations[Destination],0)),"?"))</f>
        <v/>
      </c>
      <c r="M4072" s="64">
        <f>IF(tblMovement[[#This Row],[Material]]="","",IF(LEFT(tblMovement[[#This Row],[Material]],3)="Ore",1,0))</f>
        <v/>
      </c>
      <c r="N4072" s="59">
        <f>IF(OR(tblMovement[[#This Row],[Tonnes_t]]="",tblMovement[[#This Row],[Grade_gpt]]=""),0,tblMovement[[#This Row],[Tonnes_t]]*tblMovement[[#This Row],[Grade_gpt]]/cfg_TroyOz)</f>
        <v/>
      </c>
      <c r="O4072" s="59">
        <f>IF(tblMovement[[#This Row],[Is_Ore]]=1,tblMovement[[#This Row],[Contained_oz]],0)</f>
        <v/>
      </c>
    </row>
    <row r="4073">
      <c r="A4073" s="54" t="n"/>
      <c r="B4073" s="61" t="n"/>
      <c r="C4073" s="61" t="n"/>
      <c r="D4073" s="61" t="n"/>
      <c r="E4073" s="61" t="n"/>
      <c r="F4073" s="55" t="n"/>
      <c r="G4073" s="56" t="n"/>
      <c r="H4073" s="55" t="n"/>
      <c r="I4073" s="62" t="n"/>
      <c r="J4073" s="58" t="n"/>
      <c r="K4073" s="63">
        <f>IF(tblMovement[[#This Row],[Source]]="","",IFERROR(INDEX(tblSources[Type],MATCH(tblMovement[[#This Row],[Source]],tblSources[Source],0)),"?"))</f>
        <v/>
      </c>
      <c r="L4073" s="63">
        <f>IF(tblMovement[[#This Row],[Destination]]="","",IFERROR(INDEX(tblDestinations[Type],MATCH(tblMovement[[#This Row],[Destination]],tblDestinations[Destination],0)),"?"))</f>
        <v/>
      </c>
      <c r="M4073" s="64">
        <f>IF(tblMovement[[#This Row],[Material]]="","",IF(LEFT(tblMovement[[#This Row],[Material]],3)="Ore",1,0))</f>
        <v/>
      </c>
      <c r="N4073" s="59">
        <f>IF(OR(tblMovement[[#This Row],[Tonnes_t]]="",tblMovement[[#This Row],[Grade_gpt]]=""),0,tblMovement[[#This Row],[Tonnes_t]]*tblMovement[[#This Row],[Grade_gpt]]/cfg_TroyOz)</f>
        <v/>
      </c>
      <c r="O4073" s="59">
        <f>IF(tblMovement[[#This Row],[Is_Ore]]=1,tblMovement[[#This Row],[Contained_oz]],0)</f>
        <v/>
      </c>
    </row>
    <row r="4074">
      <c r="A4074" s="54" t="n"/>
      <c r="B4074" s="61" t="n"/>
      <c r="C4074" s="61" t="n"/>
      <c r="D4074" s="61" t="n"/>
      <c r="E4074" s="61" t="n"/>
      <c r="F4074" s="55" t="n"/>
      <c r="G4074" s="56" t="n"/>
      <c r="H4074" s="55" t="n"/>
      <c r="I4074" s="62" t="n"/>
      <c r="J4074" s="58" t="n"/>
      <c r="K4074" s="63">
        <f>IF(tblMovement[[#This Row],[Source]]="","",IFERROR(INDEX(tblSources[Type],MATCH(tblMovement[[#This Row],[Source]],tblSources[Source],0)),"?"))</f>
        <v/>
      </c>
      <c r="L4074" s="63">
        <f>IF(tblMovement[[#This Row],[Destination]]="","",IFERROR(INDEX(tblDestinations[Type],MATCH(tblMovement[[#This Row],[Destination]],tblDestinations[Destination],0)),"?"))</f>
        <v/>
      </c>
      <c r="M4074" s="64">
        <f>IF(tblMovement[[#This Row],[Material]]="","",IF(LEFT(tblMovement[[#This Row],[Material]],3)="Ore",1,0))</f>
        <v/>
      </c>
      <c r="N4074" s="59">
        <f>IF(OR(tblMovement[[#This Row],[Tonnes_t]]="",tblMovement[[#This Row],[Grade_gpt]]=""),0,tblMovement[[#This Row],[Tonnes_t]]*tblMovement[[#This Row],[Grade_gpt]]/cfg_TroyOz)</f>
        <v/>
      </c>
      <c r="O4074" s="59">
        <f>IF(tblMovement[[#This Row],[Is_Ore]]=1,tblMovement[[#This Row],[Contained_oz]],0)</f>
        <v/>
      </c>
    </row>
    <row r="4075">
      <c r="A4075" s="54" t="n"/>
      <c r="B4075" s="61" t="n"/>
      <c r="C4075" s="61" t="n"/>
      <c r="D4075" s="61" t="n"/>
      <c r="E4075" s="61" t="n"/>
      <c r="F4075" s="55" t="n"/>
      <c r="G4075" s="56" t="n"/>
      <c r="H4075" s="55" t="n"/>
      <c r="I4075" s="62" t="n"/>
      <c r="J4075" s="58" t="n"/>
      <c r="K4075" s="63">
        <f>IF(tblMovement[[#This Row],[Source]]="","",IFERROR(INDEX(tblSources[Type],MATCH(tblMovement[[#This Row],[Source]],tblSources[Source],0)),"?"))</f>
        <v/>
      </c>
      <c r="L4075" s="63">
        <f>IF(tblMovement[[#This Row],[Destination]]="","",IFERROR(INDEX(tblDestinations[Type],MATCH(tblMovement[[#This Row],[Destination]],tblDestinations[Destination],0)),"?"))</f>
        <v/>
      </c>
      <c r="M4075" s="64">
        <f>IF(tblMovement[[#This Row],[Material]]="","",IF(LEFT(tblMovement[[#This Row],[Material]],3)="Ore",1,0))</f>
        <v/>
      </c>
      <c r="N4075" s="59">
        <f>IF(OR(tblMovement[[#This Row],[Tonnes_t]]="",tblMovement[[#This Row],[Grade_gpt]]=""),0,tblMovement[[#This Row],[Tonnes_t]]*tblMovement[[#This Row],[Grade_gpt]]/cfg_TroyOz)</f>
        <v/>
      </c>
      <c r="O4075" s="59">
        <f>IF(tblMovement[[#This Row],[Is_Ore]]=1,tblMovement[[#This Row],[Contained_oz]],0)</f>
        <v/>
      </c>
    </row>
    <row r="4076">
      <c r="A4076" s="54" t="n"/>
      <c r="B4076" s="61" t="n"/>
      <c r="C4076" s="61" t="n"/>
      <c r="D4076" s="61" t="n"/>
      <c r="E4076" s="61" t="n"/>
      <c r="F4076" s="55" t="n"/>
      <c r="G4076" s="56" t="n"/>
      <c r="H4076" s="55" t="n"/>
      <c r="I4076" s="62" t="n"/>
      <c r="J4076" s="58" t="n"/>
      <c r="K4076" s="63">
        <f>IF(tblMovement[[#This Row],[Source]]="","",IFERROR(INDEX(tblSources[Type],MATCH(tblMovement[[#This Row],[Source]],tblSources[Source],0)),"?"))</f>
        <v/>
      </c>
      <c r="L4076" s="63">
        <f>IF(tblMovement[[#This Row],[Destination]]="","",IFERROR(INDEX(tblDestinations[Type],MATCH(tblMovement[[#This Row],[Destination]],tblDestinations[Destination],0)),"?"))</f>
        <v/>
      </c>
      <c r="M4076" s="64">
        <f>IF(tblMovement[[#This Row],[Material]]="","",IF(LEFT(tblMovement[[#This Row],[Material]],3)="Ore",1,0))</f>
        <v/>
      </c>
      <c r="N4076" s="59">
        <f>IF(OR(tblMovement[[#This Row],[Tonnes_t]]="",tblMovement[[#This Row],[Grade_gpt]]=""),0,tblMovement[[#This Row],[Tonnes_t]]*tblMovement[[#This Row],[Grade_gpt]]/cfg_TroyOz)</f>
        <v/>
      </c>
      <c r="O4076" s="59">
        <f>IF(tblMovement[[#This Row],[Is_Ore]]=1,tblMovement[[#This Row],[Contained_oz]],0)</f>
        <v/>
      </c>
    </row>
    <row r="4077">
      <c r="A4077" s="54" t="n"/>
      <c r="B4077" s="61" t="n"/>
      <c r="C4077" s="61" t="n"/>
      <c r="D4077" s="61" t="n"/>
      <c r="E4077" s="61" t="n"/>
      <c r="F4077" s="55" t="n"/>
      <c r="G4077" s="56" t="n"/>
      <c r="H4077" s="55" t="n"/>
      <c r="I4077" s="62" t="n"/>
      <c r="J4077" s="58" t="n"/>
      <c r="K4077" s="63">
        <f>IF(tblMovement[[#This Row],[Source]]="","",IFERROR(INDEX(tblSources[Type],MATCH(tblMovement[[#This Row],[Source]],tblSources[Source],0)),"?"))</f>
        <v/>
      </c>
      <c r="L4077" s="63">
        <f>IF(tblMovement[[#This Row],[Destination]]="","",IFERROR(INDEX(tblDestinations[Type],MATCH(tblMovement[[#This Row],[Destination]],tblDestinations[Destination],0)),"?"))</f>
        <v/>
      </c>
      <c r="M4077" s="64">
        <f>IF(tblMovement[[#This Row],[Material]]="","",IF(LEFT(tblMovement[[#This Row],[Material]],3)="Ore",1,0))</f>
        <v/>
      </c>
      <c r="N4077" s="59">
        <f>IF(OR(tblMovement[[#This Row],[Tonnes_t]]="",tblMovement[[#This Row],[Grade_gpt]]=""),0,tblMovement[[#This Row],[Tonnes_t]]*tblMovement[[#This Row],[Grade_gpt]]/cfg_TroyOz)</f>
        <v/>
      </c>
      <c r="O4077" s="59">
        <f>IF(tblMovement[[#This Row],[Is_Ore]]=1,tblMovement[[#This Row],[Contained_oz]],0)</f>
        <v/>
      </c>
    </row>
    <row r="4078">
      <c r="A4078" s="54" t="n"/>
      <c r="B4078" s="61" t="n"/>
      <c r="C4078" s="61" t="n"/>
      <c r="D4078" s="61" t="n"/>
      <c r="E4078" s="61" t="n"/>
      <c r="F4078" s="55" t="n"/>
      <c r="G4078" s="56" t="n"/>
      <c r="H4078" s="55" t="n"/>
      <c r="I4078" s="62" t="n"/>
      <c r="J4078" s="58" t="n"/>
      <c r="K4078" s="63">
        <f>IF(tblMovement[[#This Row],[Source]]="","",IFERROR(INDEX(tblSources[Type],MATCH(tblMovement[[#This Row],[Source]],tblSources[Source],0)),"?"))</f>
        <v/>
      </c>
      <c r="L4078" s="63">
        <f>IF(tblMovement[[#This Row],[Destination]]="","",IFERROR(INDEX(tblDestinations[Type],MATCH(tblMovement[[#This Row],[Destination]],tblDestinations[Destination],0)),"?"))</f>
        <v/>
      </c>
      <c r="M4078" s="64">
        <f>IF(tblMovement[[#This Row],[Material]]="","",IF(LEFT(tblMovement[[#This Row],[Material]],3)="Ore",1,0))</f>
        <v/>
      </c>
      <c r="N4078" s="59">
        <f>IF(OR(tblMovement[[#This Row],[Tonnes_t]]="",tblMovement[[#This Row],[Grade_gpt]]=""),0,tblMovement[[#This Row],[Tonnes_t]]*tblMovement[[#This Row],[Grade_gpt]]/cfg_TroyOz)</f>
        <v/>
      </c>
      <c r="O4078" s="59">
        <f>IF(tblMovement[[#This Row],[Is_Ore]]=1,tblMovement[[#This Row],[Contained_oz]],0)</f>
        <v/>
      </c>
    </row>
    <row r="4079">
      <c r="A4079" s="54" t="n"/>
      <c r="B4079" s="61" t="n"/>
      <c r="C4079" s="61" t="n"/>
      <c r="D4079" s="61" t="n"/>
      <c r="E4079" s="61" t="n"/>
      <c r="F4079" s="55" t="n"/>
      <c r="G4079" s="56" t="n"/>
      <c r="H4079" s="55" t="n"/>
      <c r="I4079" s="62" t="n"/>
      <c r="J4079" s="58" t="n"/>
      <c r="K4079" s="63">
        <f>IF(tblMovement[[#This Row],[Source]]="","",IFERROR(INDEX(tblSources[Type],MATCH(tblMovement[[#This Row],[Source]],tblSources[Source],0)),"?"))</f>
        <v/>
      </c>
      <c r="L4079" s="63">
        <f>IF(tblMovement[[#This Row],[Destination]]="","",IFERROR(INDEX(tblDestinations[Type],MATCH(tblMovement[[#This Row],[Destination]],tblDestinations[Destination],0)),"?"))</f>
        <v/>
      </c>
      <c r="M4079" s="64">
        <f>IF(tblMovement[[#This Row],[Material]]="","",IF(LEFT(tblMovement[[#This Row],[Material]],3)="Ore",1,0))</f>
        <v/>
      </c>
      <c r="N4079" s="59">
        <f>IF(OR(tblMovement[[#This Row],[Tonnes_t]]="",tblMovement[[#This Row],[Grade_gpt]]=""),0,tblMovement[[#This Row],[Tonnes_t]]*tblMovement[[#This Row],[Grade_gpt]]/cfg_TroyOz)</f>
        <v/>
      </c>
      <c r="O4079" s="59">
        <f>IF(tblMovement[[#This Row],[Is_Ore]]=1,tblMovement[[#This Row],[Contained_oz]],0)</f>
        <v/>
      </c>
    </row>
    <row r="4080">
      <c r="A4080" s="54" t="n"/>
      <c r="B4080" s="61" t="n"/>
      <c r="C4080" s="61" t="n"/>
      <c r="D4080" s="61" t="n"/>
      <c r="E4080" s="61" t="n"/>
      <c r="F4080" s="55" t="n"/>
      <c r="G4080" s="56" t="n"/>
      <c r="H4080" s="55" t="n"/>
      <c r="I4080" s="62" t="n"/>
      <c r="J4080" s="58" t="n"/>
      <c r="K4080" s="63">
        <f>IF(tblMovement[[#This Row],[Source]]="","",IFERROR(INDEX(tblSources[Type],MATCH(tblMovement[[#This Row],[Source]],tblSources[Source],0)),"?"))</f>
        <v/>
      </c>
      <c r="L4080" s="63">
        <f>IF(tblMovement[[#This Row],[Destination]]="","",IFERROR(INDEX(tblDestinations[Type],MATCH(tblMovement[[#This Row],[Destination]],tblDestinations[Destination],0)),"?"))</f>
        <v/>
      </c>
      <c r="M4080" s="64">
        <f>IF(tblMovement[[#This Row],[Material]]="","",IF(LEFT(tblMovement[[#This Row],[Material]],3)="Ore",1,0))</f>
        <v/>
      </c>
      <c r="N4080" s="59">
        <f>IF(OR(tblMovement[[#This Row],[Tonnes_t]]="",tblMovement[[#This Row],[Grade_gpt]]=""),0,tblMovement[[#This Row],[Tonnes_t]]*tblMovement[[#This Row],[Grade_gpt]]/cfg_TroyOz)</f>
        <v/>
      </c>
      <c r="O4080" s="59">
        <f>IF(tblMovement[[#This Row],[Is_Ore]]=1,tblMovement[[#This Row],[Contained_oz]],0)</f>
        <v/>
      </c>
    </row>
    <row r="4081">
      <c r="A4081" s="54" t="n"/>
      <c r="B4081" s="61" t="n"/>
      <c r="C4081" s="61" t="n"/>
      <c r="D4081" s="61" t="n"/>
      <c r="E4081" s="61" t="n"/>
      <c r="F4081" s="55" t="n"/>
      <c r="G4081" s="56" t="n"/>
      <c r="H4081" s="55" t="n"/>
      <c r="I4081" s="62" t="n"/>
      <c r="J4081" s="58" t="n"/>
      <c r="K4081" s="63">
        <f>IF(tblMovement[[#This Row],[Source]]="","",IFERROR(INDEX(tblSources[Type],MATCH(tblMovement[[#This Row],[Source]],tblSources[Source],0)),"?"))</f>
        <v/>
      </c>
      <c r="L4081" s="63">
        <f>IF(tblMovement[[#This Row],[Destination]]="","",IFERROR(INDEX(tblDestinations[Type],MATCH(tblMovement[[#This Row],[Destination]],tblDestinations[Destination],0)),"?"))</f>
        <v/>
      </c>
      <c r="M4081" s="64">
        <f>IF(tblMovement[[#This Row],[Material]]="","",IF(LEFT(tblMovement[[#This Row],[Material]],3)="Ore",1,0))</f>
        <v/>
      </c>
      <c r="N4081" s="59">
        <f>IF(OR(tblMovement[[#This Row],[Tonnes_t]]="",tblMovement[[#This Row],[Grade_gpt]]=""),0,tblMovement[[#This Row],[Tonnes_t]]*tblMovement[[#This Row],[Grade_gpt]]/cfg_TroyOz)</f>
        <v/>
      </c>
      <c r="O4081" s="59">
        <f>IF(tblMovement[[#This Row],[Is_Ore]]=1,tblMovement[[#This Row],[Contained_oz]],0)</f>
        <v/>
      </c>
    </row>
    <row r="4082">
      <c r="A4082" s="54" t="n"/>
      <c r="B4082" s="61" t="n"/>
      <c r="C4082" s="61" t="n"/>
      <c r="D4082" s="61" t="n"/>
      <c r="E4082" s="61" t="n"/>
      <c r="F4082" s="55" t="n"/>
      <c r="G4082" s="56" t="n"/>
      <c r="H4082" s="55" t="n"/>
      <c r="I4082" s="62" t="n"/>
      <c r="J4082" s="58" t="n"/>
      <c r="K4082" s="63">
        <f>IF(tblMovement[[#This Row],[Source]]="","",IFERROR(INDEX(tblSources[Type],MATCH(tblMovement[[#This Row],[Source]],tblSources[Source],0)),"?"))</f>
        <v/>
      </c>
      <c r="L4082" s="63">
        <f>IF(tblMovement[[#This Row],[Destination]]="","",IFERROR(INDEX(tblDestinations[Type],MATCH(tblMovement[[#This Row],[Destination]],tblDestinations[Destination],0)),"?"))</f>
        <v/>
      </c>
      <c r="M4082" s="64">
        <f>IF(tblMovement[[#This Row],[Material]]="","",IF(LEFT(tblMovement[[#This Row],[Material]],3)="Ore",1,0))</f>
        <v/>
      </c>
      <c r="N4082" s="59">
        <f>IF(OR(tblMovement[[#This Row],[Tonnes_t]]="",tblMovement[[#This Row],[Grade_gpt]]=""),0,tblMovement[[#This Row],[Tonnes_t]]*tblMovement[[#This Row],[Grade_gpt]]/cfg_TroyOz)</f>
        <v/>
      </c>
      <c r="O4082" s="59">
        <f>IF(tblMovement[[#This Row],[Is_Ore]]=1,tblMovement[[#This Row],[Contained_oz]],0)</f>
        <v/>
      </c>
    </row>
    <row r="4083">
      <c r="A4083" s="54" t="n"/>
      <c r="B4083" s="61" t="n"/>
      <c r="C4083" s="61" t="n"/>
      <c r="D4083" s="61" t="n"/>
      <c r="E4083" s="61" t="n"/>
      <c r="F4083" s="55" t="n"/>
      <c r="G4083" s="56" t="n"/>
      <c r="H4083" s="55" t="n"/>
      <c r="I4083" s="62" t="n"/>
      <c r="J4083" s="58" t="n"/>
      <c r="K4083" s="63">
        <f>IF(tblMovement[[#This Row],[Source]]="","",IFERROR(INDEX(tblSources[Type],MATCH(tblMovement[[#This Row],[Source]],tblSources[Source],0)),"?"))</f>
        <v/>
      </c>
      <c r="L4083" s="63">
        <f>IF(tblMovement[[#This Row],[Destination]]="","",IFERROR(INDEX(tblDestinations[Type],MATCH(tblMovement[[#This Row],[Destination]],tblDestinations[Destination],0)),"?"))</f>
        <v/>
      </c>
      <c r="M4083" s="64">
        <f>IF(tblMovement[[#This Row],[Material]]="","",IF(LEFT(tblMovement[[#This Row],[Material]],3)="Ore",1,0))</f>
        <v/>
      </c>
      <c r="N4083" s="59">
        <f>IF(OR(tblMovement[[#This Row],[Tonnes_t]]="",tblMovement[[#This Row],[Grade_gpt]]=""),0,tblMovement[[#This Row],[Tonnes_t]]*tblMovement[[#This Row],[Grade_gpt]]/cfg_TroyOz)</f>
        <v/>
      </c>
      <c r="O4083" s="59">
        <f>IF(tblMovement[[#This Row],[Is_Ore]]=1,tblMovement[[#This Row],[Contained_oz]],0)</f>
        <v/>
      </c>
    </row>
    <row r="4084">
      <c r="A4084" s="54" t="n"/>
      <c r="B4084" s="61" t="n"/>
      <c r="C4084" s="61" t="n"/>
      <c r="D4084" s="61" t="n"/>
      <c r="E4084" s="61" t="n"/>
      <c r="F4084" s="55" t="n"/>
      <c r="G4084" s="56" t="n"/>
      <c r="H4084" s="55" t="n"/>
      <c r="I4084" s="62" t="n"/>
      <c r="J4084" s="58" t="n"/>
      <c r="K4084" s="63">
        <f>IF(tblMovement[[#This Row],[Source]]="","",IFERROR(INDEX(tblSources[Type],MATCH(tblMovement[[#This Row],[Source]],tblSources[Source],0)),"?"))</f>
        <v/>
      </c>
      <c r="L4084" s="63">
        <f>IF(tblMovement[[#This Row],[Destination]]="","",IFERROR(INDEX(tblDestinations[Type],MATCH(tblMovement[[#This Row],[Destination]],tblDestinations[Destination],0)),"?"))</f>
        <v/>
      </c>
      <c r="M4084" s="64">
        <f>IF(tblMovement[[#This Row],[Material]]="","",IF(LEFT(tblMovement[[#This Row],[Material]],3)="Ore",1,0))</f>
        <v/>
      </c>
      <c r="N4084" s="59">
        <f>IF(OR(tblMovement[[#This Row],[Tonnes_t]]="",tblMovement[[#This Row],[Grade_gpt]]=""),0,tblMovement[[#This Row],[Tonnes_t]]*tblMovement[[#This Row],[Grade_gpt]]/cfg_TroyOz)</f>
        <v/>
      </c>
      <c r="O4084" s="59">
        <f>IF(tblMovement[[#This Row],[Is_Ore]]=1,tblMovement[[#This Row],[Contained_oz]],0)</f>
        <v/>
      </c>
    </row>
    <row r="4085">
      <c r="A4085" s="54" t="n"/>
      <c r="B4085" s="61" t="n"/>
      <c r="C4085" s="61" t="n"/>
      <c r="D4085" s="61" t="n"/>
      <c r="E4085" s="61" t="n"/>
      <c r="F4085" s="55" t="n"/>
      <c r="G4085" s="56" t="n"/>
      <c r="H4085" s="55" t="n"/>
      <c r="I4085" s="62" t="n"/>
      <c r="J4085" s="58" t="n"/>
      <c r="K4085" s="63">
        <f>IF(tblMovement[[#This Row],[Source]]="","",IFERROR(INDEX(tblSources[Type],MATCH(tblMovement[[#This Row],[Source]],tblSources[Source],0)),"?"))</f>
        <v/>
      </c>
      <c r="L4085" s="63">
        <f>IF(tblMovement[[#This Row],[Destination]]="","",IFERROR(INDEX(tblDestinations[Type],MATCH(tblMovement[[#This Row],[Destination]],tblDestinations[Destination],0)),"?"))</f>
        <v/>
      </c>
      <c r="M4085" s="64">
        <f>IF(tblMovement[[#This Row],[Material]]="","",IF(LEFT(tblMovement[[#This Row],[Material]],3)="Ore",1,0))</f>
        <v/>
      </c>
      <c r="N4085" s="59">
        <f>IF(OR(tblMovement[[#This Row],[Tonnes_t]]="",tblMovement[[#This Row],[Grade_gpt]]=""),0,tblMovement[[#This Row],[Tonnes_t]]*tblMovement[[#This Row],[Grade_gpt]]/cfg_TroyOz)</f>
        <v/>
      </c>
      <c r="O4085" s="59">
        <f>IF(tblMovement[[#This Row],[Is_Ore]]=1,tblMovement[[#This Row],[Contained_oz]],0)</f>
        <v/>
      </c>
    </row>
    <row r="4086">
      <c r="A4086" s="54" t="n"/>
      <c r="B4086" s="61" t="n"/>
      <c r="C4086" s="61" t="n"/>
      <c r="D4086" s="61" t="n"/>
      <c r="E4086" s="61" t="n"/>
      <c r="F4086" s="55" t="n"/>
      <c r="G4086" s="56" t="n"/>
      <c r="H4086" s="55" t="n"/>
      <c r="I4086" s="62" t="n"/>
      <c r="J4086" s="58" t="n"/>
      <c r="K4086" s="63">
        <f>IF(tblMovement[[#This Row],[Source]]="","",IFERROR(INDEX(tblSources[Type],MATCH(tblMovement[[#This Row],[Source]],tblSources[Source],0)),"?"))</f>
        <v/>
      </c>
      <c r="L4086" s="63">
        <f>IF(tblMovement[[#This Row],[Destination]]="","",IFERROR(INDEX(tblDestinations[Type],MATCH(tblMovement[[#This Row],[Destination]],tblDestinations[Destination],0)),"?"))</f>
        <v/>
      </c>
      <c r="M4086" s="64">
        <f>IF(tblMovement[[#This Row],[Material]]="","",IF(LEFT(tblMovement[[#This Row],[Material]],3)="Ore",1,0))</f>
        <v/>
      </c>
      <c r="N4086" s="59">
        <f>IF(OR(tblMovement[[#This Row],[Tonnes_t]]="",tblMovement[[#This Row],[Grade_gpt]]=""),0,tblMovement[[#This Row],[Tonnes_t]]*tblMovement[[#This Row],[Grade_gpt]]/cfg_TroyOz)</f>
        <v/>
      </c>
      <c r="O4086" s="59">
        <f>IF(tblMovement[[#This Row],[Is_Ore]]=1,tblMovement[[#This Row],[Contained_oz]],0)</f>
        <v/>
      </c>
    </row>
    <row r="4087">
      <c r="A4087" s="54" t="n"/>
      <c r="B4087" s="61" t="n"/>
      <c r="C4087" s="61" t="n"/>
      <c r="D4087" s="61" t="n"/>
      <c r="E4087" s="61" t="n"/>
      <c r="F4087" s="55" t="n"/>
      <c r="G4087" s="56" t="n"/>
      <c r="H4087" s="55" t="n"/>
      <c r="I4087" s="62" t="n"/>
      <c r="J4087" s="58" t="n"/>
      <c r="K4087" s="63">
        <f>IF(tblMovement[[#This Row],[Source]]="","",IFERROR(INDEX(tblSources[Type],MATCH(tblMovement[[#This Row],[Source]],tblSources[Source],0)),"?"))</f>
        <v/>
      </c>
      <c r="L4087" s="63">
        <f>IF(tblMovement[[#This Row],[Destination]]="","",IFERROR(INDEX(tblDestinations[Type],MATCH(tblMovement[[#This Row],[Destination]],tblDestinations[Destination],0)),"?"))</f>
        <v/>
      </c>
      <c r="M4087" s="64">
        <f>IF(tblMovement[[#This Row],[Material]]="","",IF(LEFT(tblMovement[[#This Row],[Material]],3)="Ore",1,0))</f>
        <v/>
      </c>
      <c r="N4087" s="59">
        <f>IF(OR(tblMovement[[#This Row],[Tonnes_t]]="",tblMovement[[#This Row],[Grade_gpt]]=""),0,tblMovement[[#This Row],[Tonnes_t]]*tblMovement[[#This Row],[Grade_gpt]]/cfg_TroyOz)</f>
        <v/>
      </c>
      <c r="O4087" s="59">
        <f>IF(tblMovement[[#This Row],[Is_Ore]]=1,tblMovement[[#This Row],[Contained_oz]],0)</f>
        <v/>
      </c>
    </row>
    <row r="4088">
      <c r="A4088" s="54" t="n"/>
      <c r="B4088" s="61" t="n"/>
      <c r="C4088" s="61" t="n"/>
      <c r="D4088" s="61" t="n"/>
      <c r="E4088" s="61" t="n"/>
      <c r="F4088" s="55" t="n"/>
      <c r="G4088" s="56" t="n"/>
      <c r="H4088" s="55" t="n"/>
      <c r="I4088" s="62" t="n"/>
      <c r="J4088" s="58" t="n"/>
      <c r="K4088" s="63">
        <f>IF(tblMovement[[#This Row],[Source]]="","",IFERROR(INDEX(tblSources[Type],MATCH(tblMovement[[#This Row],[Source]],tblSources[Source],0)),"?"))</f>
        <v/>
      </c>
      <c r="L4088" s="63">
        <f>IF(tblMovement[[#This Row],[Destination]]="","",IFERROR(INDEX(tblDestinations[Type],MATCH(tblMovement[[#This Row],[Destination]],tblDestinations[Destination],0)),"?"))</f>
        <v/>
      </c>
      <c r="M4088" s="64">
        <f>IF(tblMovement[[#This Row],[Material]]="","",IF(LEFT(tblMovement[[#This Row],[Material]],3)="Ore",1,0))</f>
        <v/>
      </c>
      <c r="N4088" s="59">
        <f>IF(OR(tblMovement[[#This Row],[Tonnes_t]]="",tblMovement[[#This Row],[Grade_gpt]]=""),0,tblMovement[[#This Row],[Tonnes_t]]*tblMovement[[#This Row],[Grade_gpt]]/cfg_TroyOz)</f>
        <v/>
      </c>
      <c r="O4088" s="59">
        <f>IF(tblMovement[[#This Row],[Is_Ore]]=1,tblMovement[[#This Row],[Contained_oz]],0)</f>
        <v/>
      </c>
    </row>
    <row r="4089">
      <c r="A4089" s="54" t="n"/>
      <c r="B4089" s="61" t="n"/>
      <c r="C4089" s="61" t="n"/>
      <c r="D4089" s="61" t="n"/>
      <c r="E4089" s="61" t="n"/>
      <c r="F4089" s="55" t="n"/>
      <c r="G4089" s="56" t="n"/>
      <c r="H4089" s="55" t="n"/>
      <c r="I4089" s="62" t="n"/>
      <c r="J4089" s="58" t="n"/>
      <c r="K4089" s="63">
        <f>IF(tblMovement[[#This Row],[Source]]="","",IFERROR(INDEX(tblSources[Type],MATCH(tblMovement[[#This Row],[Source]],tblSources[Source],0)),"?"))</f>
        <v/>
      </c>
      <c r="L4089" s="63">
        <f>IF(tblMovement[[#This Row],[Destination]]="","",IFERROR(INDEX(tblDestinations[Type],MATCH(tblMovement[[#This Row],[Destination]],tblDestinations[Destination],0)),"?"))</f>
        <v/>
      </c>
      <c r="M4089" s="64">
        <f>IF(tblMovement[[#This Row],[Material]]="","",IF(LEFT(tblMovement[[#This Row],[Material]],3)="Ore",1,0))</f>
        <v/>
      </c>
      <c r="N4089" s="59">
        <f>IF(OR(tblMovement[[#This Row],[Tonnes_t]]="",tblMovement[[#This Row],[Grade_gpt]]=""),0,tblMovement[[#This Row],[Tonnes_t]]*tblMovement[[#This Row],[Grade_gpt]]/cfg_TroyOz)</f>
        <v/>
      </c>
      <c r="O4089" s="59">
        <f>IF(tblMovement[[#This Row],[Is_Ore]]=1,tblMovement[[#This Row],[Contained_oz]],0)</f>
        <v/>
      </c>
    </row>
    <row r="4090">
      <c r="A4090" s="54" t="n"/>
      <c r="B4090" s="61" t="n"/>
      <c r="C4090" s="61" t="n"/>
      <c r="D4090" s="61" t="n"/>
      <c r="E4090" s="61" t="n"/>
      <c r="F4090" s="55" t="n"/>
      <c r="G4090" s="56" t="n"/>
      <c r="H4090" s="55" t="n"/>
      <c r="I4090" s="62" t="n"/>
      <c r="J4090" s="58" t="n"/>
      <c r="K4090" s="63">
        <f>IF(tblMovement[[#This Row],[Source]]="","",IFERROR(INDEX(tblSources[Type],MATCH(tblMovement[[#This Row],[Source]],tblSources[Source],0)),"?"))</f>
        <v/>
      </c>
      <c r="L4090" s="63">
        <f>IF(tblMovement[[#This Row],[Destination]]="","",IFERROR(INDEX(tblDestinations[Type],MATCH(tblMovement[[#This Row],[Destination]],tblDestinations[Destination],0)),"?"))</f>
        <v/>
      </c>
      <c r="M4090" s="64">
        <f>IF(tblMovement[[#This Row],[Material]]="","",IF(LEFT(tblMovement[[#This Row],[Material]],3)="Ore",1,0))</f>
        <v/>
      </c>
      <c r="N4090" s="59">
        <f>IF(OR(tblMovement[[#This Row],[Tonnes_t]]="",tblMovement[[#This Row],[Grade_gpt]]=""),0,tblMovement[[#This Row],[Tonnes_t]]*tblMovement[[#This Row],[Grade_gpt]]/cfg_TroyOz)</f>
        <v/>
      </c>
      <c r="O4090" s="59">
        <f>IF(tblMovement[[#This Row],[Is_Ore]]=1,tblMovement[[#This Row],[Contained_oz]],0)</f>
        <v/>
      </c>
    </row>
    <row r="4091">
      <c r="A4091" s="54" t="n"/>
      <c r="B4091" s="61" t="n"/>
      <c r="C4091" s="61" t="n"/>
      <c r="D4091" s="61" t="n"/>
      <c r="E4091" s="61" t="n"/>
      <c r="F4091" s="55" t="n"/>
      <c r="G4091" s="56" t="n"/>
      <c r="H4091" s="55" t="n"/>
      <c r="I4091" s="62" t="n"/>
      <c r="J4091" s="58" t="n"/>
      <c r="K4091" s="63">
        <f>IF(tblMovement[[#This Row],[Source]]="","",IFERROR(INDEX(tblSources[Type],MATCH(tblMovement[[#This Row],[Source]],tblSources[Source],0)),"?"))</f>
        <v/>
      </c>
      <c r="L4091" s="63">
        <f>IF(tblMovement[[#This Row],[Destination]]="","",IFERROR(INDEX(tblDestinations[Type],MATCH(tblMovement[[#This Row],[Destination]],tblDestinations[Destination],0)),"?"))</f>
        <v/>
      </c>
      <c r="M4091" s="64">
        <f>IF(tblMovement[[#This Row],[Material]]="","",IF(LEFT(tblMovement[[#This Row],[Material]],3)="Ore",1,0))</f>
        <v/>
      </c>
      <c r="N4091" s="59">
        <f>IF(OR(tblMovement[[#This Row],[Tonnes_t]]="",tblMovement[[#This Row],[Grade_gpt]]=""),0,tblMovement[[#This Row],[Tonnes_t]]*tblMovement[[#This Row],[Grade_gpt]]/cfg_TroyOz)</f>
        <v/>
      </c>
      <c r="O4091" s="59">
        <f>IF(tblMovement[[#This Row],[Is_Ore]]=1,tblMovement[[#This Row],[Contained_oz]],0)</f>
        <v/>
      </c>
    </row>
    <row r="4092">
      <c r="A4092" s="54" t="n"/>
      <c r="B4092" s="61" t="n"/>
      <c r="C4092" s="61" t="n"/>
      <c r="D4092" s="61" t="n"/>
      <c r="E4092" s="61" t="n"/>
      <c r="F4092" s="55" t="n"/>
      <c r="G4092" s="56" t="n"/>
      <c r="H4092" s="55" t="n"/>
      <c r="I4092" s="62" t="n"/>
      <c r="J4092" s="58" t="n"/>
      <c r="K4092" s="63">
        <f>IF(tblMovement[[#This Row],[Source]]="","",IFERROR(INDEX(tblSources[Type],MATCH(tblMovement[[#This Row],[Source]],tblSources[Source],0)),"?"))</f>
        <v/>
      </c>
      <c r="L4092" s="63">
        <f>IF(tblMovement[[#This Row],[Destination]]="","",IFERROR(INDEX(tblDestinations[Type],MATCH(tblMovement[[#This Row],[Destination]],tblDestinations[Destination],0)),"?"))</f>
        <v/>
      </c>
      <c r="M4092" s="64">
        <f>IF(tblMovement[[#This Row],[Material]]="","",IF(LEFT(tblMovement[[#This Row],[Material]],3)="Ore",1,0))</f>
        <v/>
      </c>
      <c r="N4092" s="59">
        <f>IF(OR(tblMovement[[#This Row],[Tonnes_t]]="",tblMovement[[#This Row],[Grade_gpt]]=""),0,tblMovement[[#This Row],[Tonnes_t]]*tblMovement[[#This Row],[Grade_gpt]]/cfg_TroyOz)</f>
        <v/>
      </c>
      <c r="O4092" s="59">
        <f>IF(tblMovement[[#This Row],[Is_Ore]]=1,tblMovement[[#This Row],[Contained_oz]],0)</f>
        <v/>
      </c>
    </row>
    <row r="4093">
      <c r="A4093" s="54" t="n"/>
      <c r="B4093" s="61" t="n"/>
      <c r="C4093" s="61" t="n"/>
      <c r="D4093" s="61" t="n"/>
      <c r="E4093" s="61" t="n"/>
      <c r="F4093" s="55" t="n"/>
      <c r="G4093" s="56" t="n"/>
      <c r="H4093" s="55" t="n"/>
      <c r="I4093" s="62" t="n"/>
      <c r="J4093" s="58" t="n"/>
      <c r="K4093" s="63">
        <f>IF(tblMovement[[#This Row],[Source]]="","",IFERROR(INDEX(tblSources[Type],MATCH(tblMovement[[#This Row],[Source]],tblSources[Source],0)),"?"))</f>
        <v/>
      </c>
      <c r="L4093" s="63">
        <f>IF(tblMovement[[#This Row],[Destination]]="","",IFERROR(INDEX(tblDestinations[Type],MATCH(tblMovement[[#This Row],[Destination]],tblDestinations[Destination],0)),"?"))</f>
        <v/>
      </c>
      <c r="M4093" s="64">
        <f>IF(tblMovement[[#This Row],[Material]]="","",IF(LEFT(tblMovement[[#This Row],[Material]],3)="Ore",1,0))</f>
        <v/>
      </c>
      <c r="N4093" s="59">
        <f>IF(OR(tblMovement[[#This Row],[Tonnes_t]]="",tblMovement[[#This Row],[Grade_gpt]]=""),0,tblMovement[[#This Row],[Tonnes_t]]*tblMovement[[#This Row],[Grade_gpt]]/cfg_TroyOz)</f>
        <v/>
      </c>
      <c r="O4093" s="59">
        <f>IF(tblMovement[[#This Row],[Is_Ore]]=1,tblMovement[[#This Row],[Contained_oz]],0)</f>
        <v/>
      </c>
    </row>
    <row r="4094">
      <c r="A4094" s="54" t="n"/>
      <c r="B4094" s="61" t="n"/>
      <c r="C4094" s="61" t="n"/>
      <c r="D4094" s="61" t="n"/>
      <c r="E4094" s="61" t="n"/>
      <c r="F4094" s="55" t="n"/>
      <c r="G4094" s="56" t="n"/>
      <c r="H4094" s="55" t="n"/>
      <c r="I4094" s="62" t="n"/>
      <c r="J4094" s="58" t="n"/>
      <c r="K4094" s="63">
        <f>IF(tblMovement[[#This Row],[Source]]="","",IFERROR(INDEX(tblSources[Type],MATCH(tblMovement[[#This Row],[Source]],tblSources[Source],0)),"?"))</f>
        <v/>
      </c>
      <c r="L4094" s="63">
        <f>IF(tblMovement[[#This Row],[Destination]]="","",IFERROR(INDEX(tblDestinations[Type],MATCH(tblMovement[[#This Row],[Destination]],tblDestinations[Destination],0)),"?"))</f>
        <v/>
      </c>
      <c r="M4094" s="64">
        <f>IF(tblMovement[[#This Row],[Material]]="","",IF(LEFT(tblMovement[[#This Row],[Material]],3)="Ore",1,0))</f>
        <v/>
      </c>
      <c r="N4094" s="59">
        <f>IF(OR(tblMovement[[#This Row],[Tonnes_t]]="",tblMovement[[#This Row],[Grade_gpt]]=""),0,tblMovement[[#This Row],[Tonnes_t]]*tblMovement[[#This Row],[Grade_gpt]]/cfg_TroyOz)</f>
        <v/>
      </c>
      <c r="O4094" s="59">
        <f>IF(tblMovement[[#This Row],[Is_Ore]]=1,tblMovement[[#This Row],[Contained_oz]],0)</f>
        <v/>
      </c>
    </row>
    <row r="4095">
      <c r="A4095" s="54" t="n"/>
      <c r="B4095" s="61" t="n"/>
      <c r="C4095" s="61" t="n"/>
      <c r="D4095" s="61" t="n"/>
      <c r="E4095" s="61" t="n"/>
      <c r="F4095" s="55" t="n"/>
      <c r="G4095" s="56" t="n"/>
      <c r="H4095" s="55" t="n"/>
      <c r="I4095" s="62" t="n"/>
      <c r="J4095" s="58" t="n"/>
      <c r="K4095" s="63">
        <f>IF(tblMovement[[#This Row],[Source]]="","",IFERROR(INDEX(tblSources[Type],MATCH(tblMovement[[#This Row],[Source]],tblSources[Source],0)),"?"))</f>
        <v/>
      </c>
      <c r="L4095" s="63">
        <f>IF(tblMovement[[#This Row],[Destination]]="","",IFERROR(INDEX(tblDestinations[Type],MATCH(tblMovement[[#This Row],[Destination]],tblDestinations[Destination],0)),"?"))</f>
        <v/>
      </c>
      <c r="M4095" s="64">
        <f>IF(tblMovement[[#This Row],[Material]]="","",IF(LEFT(tblMovement[[#This Row],[Material]],3)="Ore",1,0))</f>
        <v/>
      </c>
      <c r="N4095" s="59">
        <f>IF(OR(tblMovement[[#This Row],[Tonnes_t]]="",tblMovement[[#This Row],[Grade_gpt]]=""),0,tblMovement[[#This Row],[Tonnes_t]]*tblMovement[[#This Row],[Grade_gpt]]/cfg_TroyOz)</f>
        <v/>
      </c>
      <c r="O4095" s="59">
        <f>IF(tblMovement[[#This Row],[Is_Ore]]=1,tblMovement[[#This Row],[Contained_oz]],0)</f>
        <v/>
      </c>
    </row>
    <row r="4096">
      <c r="A4096" s="54" t="n"/>
      <c r="B4096" s="61" t="n"/>
      <c r="C4096" s="61" t="n"/>
      <c r="D4096" s="61" t="n"/>
      <c r="E4096" s="61" t="n"/>
      <c r="F4096" s="55" t="n"/>
      <c r="G4096" s="56" t="n"/>
      <c r="H4096" s="55" t="n"/>
      <c r="I4096" s="62" t="n"/>
      <c r="J4096" s="58" t="n"/>
      <c r="K4096" s="63">
        <f>IF(tblMovement[[#This Row],[Source]]="","",IFERROR(INDEX(tblSources[Type],MATCH(tblMovement[[#This Row],[Source]],tblSources[Source],0)),"?"))</f>
        <v/>
      </c>
      <c r="L4096" s="63">
        <f>IF(tblMovement[[#This Row],[Destination]]="","",IFERROR(INDEX(tblDestinations[Type],MATCH(tblMovement[[#This Row],[Destination]],tblDestinations[Destination],0)),"?"))</f>
        <v/>
      </c>
      <c r="M4096" s="64">
        <f>IF(tblMovement[[#This Row],[Material]]="","",IF(LEFT(tblMovement[[#This Row],[Material]],3)="Ore",1,0))</f>
        <v/>
      </c>
      <c r="N4096" s="59">
        <f>IF(OR(tblMovement[[#This Row],[Tonnes_t]]="",tblMovement[[#This Row],[Grade_gpt]]=""),0,tblMovement[[#This Row],[Tonnes_t]]*tblMovement[[#This Row],[Grade_gpt]]/cfg_TroyOz)</f>
        <v/>
      </c>
      <c r="O4096" s="59">
        <f>IF(tblMovement[[#This Row],[Is_Ore]]=1,tblMovement[[#This Row],[Contained_oz]],0)</f>
        <v/>
      </c>
    </row>
    <row r="4097">
      <c r="A4097" s="54" t="n"/>
      <c r="B4097" s="61" t="n"/>
      <c r="C4097" s="61" t="n"/>
      <c r="D4097" s="61" t="n"/>
      <c r="E4097" s="61" t="n"/>
      <c r="F4097" s="55" t="n"/>
      <c r="G4097" s="56" t="n"/>
      <c r="H4097" s="55" t="n"/>
      <c r="I4097" s="62" t="n"/>
      <c r="J4097" s="58" t="n"/>
      <c r="K4097" s="63">
        <f>IF(tblMovement[[#This Row],[Source]]="","",IFERROR(INDEX(tblSources[Type],MATCH(tblMovement[[#This Row],[Source]],tblSources[Source],0)),"?"))</f>
        <v/>
      </c>
      <c r="L4097" s="63">
        <f>IF(tblMovement[[#This Row],[Destination]]="","",IFERROR(INDEX(tblDestinations[Type],MATCH(tblMovement[[#This Row],[Destination]],tblDestinations[Destination],0)),"?"))</f>
        <v/>
      </c>
      <c r="M4097" s="64">
        <f>IF(tblMovement[[#This Row],[Material]]="","",IF(LEFT(tblMovement[[#This Row],[Material]],3)="Ore",1,0))</f>
        <v/>
      </c>
      <c r="N4097" s="59">
        <f>IF(OR(tblMovement[[#This Row],[Tonnes_t]]="",tblMovement[[#This Row],[Grade_gpt]]=""),0,tblMovement[[#This Row],[Tonnes_t]]*tblMovement[[#This Row],[Grade_gpt]]/cfg_TroyOz)</f>
        <v/>
      </c>
      <c r="O4097" s="59">
        <f>IF(tblMovement[[#This Row],[Is_Ore]]=1,tblMovement[[#This Row],[Contained_oz]],0)</f>
        <v/>
      </c>
    </row>
    <row r="4098">
      <c r="A4098" s="54" t="n"/>
      <c r="B4098" s="61" t="n"/>
      <c r="C4098" s="61" t="n"/>
      <c r="D4098" s="61" t="n"/>
      <c r="E4098" s="61" t="n"/>
      <c r="F4098" s="55" t="n"/>
      <c r="G4098" s="56" t="n"/>
      <c r="H4098" s="55" t="n"/>
      <c r="I4098" s="62" t="n"/>
      <c r="J4098" s="58" t="n"/>
      <c r="K4098" s="63">
        <f>IF(tblMovement[[#This Row],[Source]]="","",IFERROR(INDEX(tblSources[Type],MATCH(tblMovement[[#This Row],[Source]],tblSources[Source],0)),"?"))</f>
        <v/>
      </c>
      <c r="L4098" s="63">
        <f>IF(tblMovement[[#This Row],[Destination]]="","",IFERROR(INDEX(tblDestinations[Type],MATCH(tblMovement[[#This Row],[Destination]],tblDestinations[Destination],0)),"?"))</f>
        <v/>
      </c>
      <c r="M4098" s="64">
        <f>IF(tblMovement[[#This Row],[Material]]="","",IF(LEFT(tblMovement[[#This Row],[Material]],3)="Ore",1,0))</f>
        <v/>
      </c>
      <c r="N4098" s="59">
        <f>IF(OR(tblMovement[[#This Row],[Tonnes_t]]="",tblMovement[[#This Row],[Grade_gpt]]=""),0,tblMovement[[#This Row],[Tonnes_t]]*tblMovement[[#This Row],[Grade_gpt]]/cfg_TroyOz)</f>
        <v/>
      </c>
      <c r="O4098" s="59">
        <f>IF(tblMovement[[#This Row],[Is_Ore]]=1,tblMovement[[#This Row],[Contained_oz]],0)</f>
        <v/>
      </c>
    </row>
    <row r="4099">
      <c r="A4099" s="54" t="n"/>
      <c r="B4099" s="61" t="n"/>
      <c r="C4099" s="61" t="n"/>
      <c r="D4099" s="61" t="n"/>
      <c r="E4099" s="61" t="n"/>
      <c r="F4099" s="55" t="n"/>
      <c r="G4099" s="56" t="n"/>
      <c r="H4099" s="55" t="n"/>
      <c r="I4099" s="62" t="n"/>
      <c r="J4099" s="58" t="n"/>
      <c r="K4099" s="63">
        <f>IF(tblMovement[[#This Row],[Source]]="","",IFERROR(INDEX(tblSources[Type],MATCH(tblMovement[[#This Row],[Source]],tblSources[Source],0)),"?"))</f>
        <v/>
      </c>
      <c r="L4099" s="63">
        <f>IF(tblMovement[[#This Row],[Destination]]="","",IFERROR(INDEX(tblDestinations[Type],MATCH(tblMovement[[#This Row],[Destination]],tblDestinations[Destination],0)),"?"))</f>
        <v/>
      </c>
      <c r="M4099" s="64">
        <f>IF(tblMovement[[#This Row],[Material]]="","",IF(LEFT(tblMovement[[#This Row],[Material]],3)="Ore",1,0))</f>
        <v/>
      </c>
      <c r="N4099" s="59">
        <f>IF(OR(tblMovement[[#This Row],[Tonnes_t]]="",tblMovement[[#This Row],[Grade_gpt]]=""),0,tblMovement[[#This Row],[Tonnes_t]]*tblMovement[[#This Row],[Grade_gpt]]/cfg_TroyOz)</f>
        <v/>
      </c>
      <c r="O4099" s="59">
        <f>IF(tblMovement[[#This Row],[Is_Ore]]=1,tblMovement[[#This Row],[Contained_oz]],0)</f>
        <v/>
      </c>
    </row>
    <row r="4100">
      <c r="A4100" s="54" t="n"/>
      <c r="B4100" s="61" t="n"/>
      <c r="C4100" s="61" t="n"/>
      <c r="D4100" s="61" t="n"/>
      <c r="E4100" s="61" t="n"/>
      <c r="F4100" s="55" t="n"/>
      <c r="G4100" s="56" t="n"/>
      <c r="H4100" s="55" t="n"/>
      <c r="I4100" s="62" t="n"/>
      <c r="J4100" s="58" t="n"/>
      <c r="K4100" s="63">
        <f>IF(tblMovement[[#This Row],[Source]]="","",IFERROR(INDEX(tblSources[Type],MATCH(tblMovement[[#This Row],[Source]],tblSources[Source],0)),"?"))</f>
        <v/>
      </c>
      <c r="L4100" s="63">
        <f>IF(tblMovement[[#This Row],[Destination]]="","",IFERROR(INDEX(tblDestinations[Type],MATCH(tblMovement[[#This Row],[Destination]],tblDestinations[Destination],0)),"?"))</f>
        <v/>
      </c>
      <c r="M4100" s="64">
        <f>IF(tblMovement[[#This Row],[Material]]="","",IF(LEFT(tblMovement[[#This Row],[Material]],3)="Ore",1,0))</f>
        <v/>
      </c>
      <c r="N4100" s="59">
        <f>IF(OR(tblMovement[[#This Row],[Tonnes_t]]="",tblMovement[[#This Row],[Grade_gpt]]=""),0,tblMovement[[#This Row],[Tonnes_t]]*tblMovement[[#This Row],[Grade_gpt]]/cfg_TroyOz)</f>
        <v/>
      </c>
      <c r="O4100" s="59">
        <f>IF(tblMovement[[#This Row],[Is_Ore]]=1,tblMovement[[#This Row],[Contained_oz]],0)</f>
        <v/>
      </c>
    </row>
    <row r="4101">
      <c r="A4101" s="54" t="n"/>
      <c r="B4101" s="61" t="n"/>
      <c r="C4101" s="61" t="n"/>
      <c r="D4101" s="61" t="n"/>
      <c r="E4101" s="61" t="n"/>
      <c r="F4101" s="55" t="n"/>
      <c r="G4101" s="56" t="n"/>
      <c r="H4101" s="55" t="n"/>
      <c r="I4101" s="62" t="n"/>
      <c r="J4101" s="58" t="n"/>
      <c r="K4101" s="63">
        <f>IF(tblMovement[[#This Row],[Source]]="","",IFERROR(INDEX(tblSources[Type],MATCH(tblMovement[[#This Row],[Source]],tblSources[Source],0)),"?"))</f>
        <v/>
      </c>
      <c r="L4101" s="63">
        <f>IF(tblMovement[[#This Row],[Destination]]="","",IFERROR(INDEX(tblDestinations[Type],MATCH(tblMovement[[#This Row],[Destination]],tblDestinations[Destination],0)),"?"))</f>
        <v/>
      </c>
      <c r="M4101" s="64">
        <f>IF(tblMovement[[#This Row],[Material]]="","",IF(LEFT(tblMovement[[#This Row],[Material]],3)="Ore",1,0))</f>
        <v/>
      </c>
      <c r="N4101" s="59">
        <f>IF(OR(tblMovement[[#This Row],[Tonnes_t]]="",tblMovement[[#This Row],[Grade_gpt]]=""),0,tblMovement[[#This Row],[Tonnes_t]]*tblMovement[[#This Row],[Grade_gpt]]/cfg_TroyOz)</f>
        <v/>
      </c>
      <c r="O4101" s="59">
        <f>IF(tblMovement[[#This Row],[Is_Ore]]=1,tblMovement[[#This Row],[Contained_oz]],0)</f>
        <v/>
      </c>
    </row>
    <row r="4102">
      <c r="A4102" s="54" t="n"/>
      <c r="B4102" s="61" t="n"/>
      <c r="C4102" s="61" t="n"/>
      <c r="D4102" s="61" t="n"/>
      <c r="E4102" s="61" t="n"/>
      <c r="F4102" s="55" t="n"/>
      <c r="G4102" s="56" t="n"/>
      <c r="H4102" s="55" t="n"/>
      <c r="I4102" s="62" t="n"/>
      <c r="J4102" s="58" t="n"/>
      <c r="K4102" s="63">
        <f>IF(tblMovement[[#This Row],[Source]]="","",IFERROR(INDEX(tblSources[Type],MATCH(tblMovement[[#This Row],[Source]],tblSources[Source],0)),"?"))</f>
        <v/>
      </c>
      <c r="L4102" s="63">
        <f>IF(tblMovement[[#This Row],[Destination]]="","",IFERROR(INDEX(tblDestinations[Type],MATCH(tblMovement[[#This Row],[Destination]],tblDestinations[Destination],0)),"?"))</f>
        <v/>
      </c>
      <c r="M4102" s="64">
        <f>IF(tblMovement[[#This Row],[Material]]="","",IF(LEFT(tblMovement[[#This Row],[Material]],3)="Ore",1,0))</f>
        <v/>
      </c>
      <c r="N4102" s="59">
        <f>IF(OR(tblMovement[[#This Row],[Tonnes_t]]="",tblMovement[[#This Row],[Grade_gpt]]=""),0,tblMovement[[#This Row],[Tonnes_t]]*tblMovement[[#This Row],[Grade_gpt]]/cfg_TroyOz)</f>
        <v/>
      </c>
      <c r="O4102" s="59">
        <f>IF(tblMovement[[#This Row],[Is_Ore]]=1,tblMovement[[#This Row],[Contained_oz]],0)</f>
        <v/>
      </c>
    </row>
    <row r="4103">
      <c r="A4103" s="54" t="n"/>
      <c r="B4103" s="61" t="n"/>
      <c r="C4103" s="61" t="n"/>
      <c r="D4103" s="61" t="n"/>
      <c r="E4103" s="61" t="n"/>
      <c r="F4103" s="55" t="n"/>
      <c r="G4103" s="56" t="n"/>
      <c r="H4103" s="55" t="n"/>
      <c r="I4103" s="62" t="n"/>
      <c r="J4103" s="58" t="n"/>
      <c r="K4103" s="63">
        <f>IF(tblMovement[[#This Row],[Source]]="","",IFERROR(INDEX(tblSources[Type],MATCH(tblMovement[[#This Row],[Source]],tblSources[Source],0)),"?"))</f>
        <v/>
      </c>
      <c r="L4103" s="63">
        <f>IF(tblMovement[[#This Row],[Destination]]="","",IFERROR(INDEX(tblDestinations[Type],MATCH(tblMovement[[#This Row],[Destination]],tblDestinations[Destination],0)),"?"))</f>
        <v/>
      </c>
      <c r="M4103" s="64">
        <f>IF(tblMovement[[#This Row],[Material]]="","",IF(LEFT(tblMovement[[#This Row],[Material]],3)="Ore",1,0))</f>
        <v/>
      </c>
      <c r="N4103" s="59">
        <f>IF(OR(tblMovement[[#This Row],[Tonnes_t]]="",tblMovement[[#This Row],[Grade_gpt]]=""),0,tblMovement[[#This Row],[Tonnes_t]]*tblMovement[[#This Row],[Grade_gpt]]/cfg_TroyOz)</f>
        <v/>
      </c>
      <c r="O4103" s="59">
        <f>IF(tblMovement[[#This Row],[Is_Ore]]=1,tblMovement[[#This Row],[Contained_oz]],0)</f>
        <v/>
      </c>
    </row>
    <row r="4104">
      <c r="A4104" s="54" t="n"/>
      <c r="B4104" s="61" t="n"/>
      <c r="C4104" s="61" t="n"/>
      <c r="D4104" s="61" t="n"/>
      <c r="E4104" s="61" t="n"/>
      <c r="F4104" s="55" t="n"/>
      <c r="G4104" s="56" t="n"/>
      <c r="H4104" s="55" t="n"/>
      <c r="I4104" s="62" t="n"/>
      <c r="J4104" s="58" t="n"/>
      <c r="K4104" s="63">
        <f>IF(tblMovement[[#This Row],[Source]]="","",IFERROR(INDEX(tblSources[Type],MATCH(tblMovement[[#This Row],[Source]],tblSources[Source],0)),"?"))</f>
        <v/>
      </c>
      <c r="L4104" s="63">
        <f>IF(tblMovement[[#This Row],[Destination]]="","",IFERROR(INDEX(tblDestinations[Type],MATCH(tblMovement[[#This Row],[Destination]],tblDestinations[Destination],0)),"?"))</f>
        <v/>
      </c>
      <c r="M4104" s="64">
        <f>IF(tblMovement[[#This Row],[Material]]="","",IF(LEFT(tblMovement[[#This Row],[Material]],3)="Ore",1,0))</f>
        <v/>
      </c>
      <c r="N4104" s="59">
        <f>IF(OR(tblMovement[[#This Row],[Tonnes_t]]="",tblMovement[[#This Row],[Grade_gpt]]=""),0,tblMovement[[#This Row],[Tonnes_t]]*tblMovement[[#This Row],[Grade_gpt]]/cfg_TroyOz)</f>
        <v/>
      </c>
      <c r="O4104" s="59">
        <f>IF(tblMovement[[#This Row],[Is_Ore]]=1,tblMovement[[#This Row],[Contained_oz]],0)</f>
        <v/>
      </c>
    </row>
    <row r="4105">
      <c r="A4105" s="54" t="n"/>
      <c r="B4105" s="61" t="n"/>
      <c r="C4105" s="61" t="n"/>
      <c r="D4105" s="61" t="n"/>
      <c r="E4105" s="61" t="n"/>
      <c r="F4105" s="55" t="n"/>
      <c r="G4105" s="56" t="n"/>
      <c r="H4105" s="55" t="n"/>
      <c r="I4105" s="62" t="n"/>
      <c r="J4105" s="58" t="n"/>
      <c r="K4105" s="63">
        <f>IF(tblMovement[[#This Row],[Source]]="","",IFERROR(INDEX(tblSources[Type],MATCH(tblMovement[[#This Row],[Source]],tblSources[Source],0)),"?"))</f>
        <v/>
      </c>
      <c r="L4105" s="63">
        <f>IF(tblMovement[[#This Row],[Destination]]="","",IFERROR(INDEX(tblDestinations[Type],MATCH(tblMovement[[#This Row],[Destination]],tblDestinations[Destination],0)),"?"))</f>
        <v/>
      </c>
      <c r="M4105" s="64">
        <f>IF(tblMovement[[#This Row],[Material]]="","",IF(LEFT(tblMovement[[#This Row],[Material]],3)="Ore",1,0))</f>
        <v/>
      </c>
      <c r="N4105" s="59">
        <f>IF(OR(tblMovement[[#This Row],[Tonnes_t]]="",tblMovement[[#This Row],[Grade_gpt]]=""),0,tblMovement[[#This Row],[Tonnes_t]]*tblMovement[[#This Row],[Grade_gpt]]/cfg_TroyOz)</f>
        <v/>
      </c>
      <c r="O4105" s="59">
        <f>IF(tblMovement[[#This Row],[Is_Ore]]=1,tblMovement[[#This Row],[Contained_oz]],0)</f>
        <v/>
      </c>
    </row>
    <row r="4106">
      <c r="A4106" s="54" t="n"/>
      <c r="B4106" s="61" t="n"/>
      <c r="C4106" s="61" t="n"/>
      <c r="D4106" s="61" t="n"/>
      <c r="E4106" s="61" t="n"/>
      <c r="F4106" s="55" t="n"/>
      <c r="G4106" s="56" t="n"/>
      <c r="H4106" s="55" t="n"/>
      <c r="I4106" s="62" t="n"/>
      <c r="J4106" s="58" t="n"/>
      <c r="K4106" s="63">
        <f>IF(tblMovement[[#This Row],[Source]]="","",IFERROR(INDEX(tblSources[Type],MATCH(tblMovement[[#This Row],[Source]],tblSources[Source],0)),"?"))</f>
        <v/>
      </c>
      <c r="L4106" s="63">
        <f>IF(tblMovement[[#This Row],[Destination]]="","",IFERROR(INDEX(tblDestinations[Type],MATCH(tblMovement[[#This Row],[Destination]],tblDestinations[Destination],0)),"?"))</f>
        <v/>
      </c>
      <c r="M4106" s="64">
        <f>IF(tblMovement[[#This Row],[Material]]="","",IF(LEFT(tblMovement[[#This Row],[Material]],3)="Ore",1,0))</f>
        <v/>
      </c>
      <c r="N4106" s="59">
        <f>IF(OR(tblMovement[[#This Row],[Tonnes_t]]="",tblMovement[[#This Row],[Grade_gpt]]=""),0,tblMovement[[#This Row],[Tonnes_t]]*tblMovement[[#This Row],[Grade_gpt]]/cfg_TroyOz)</f>
        <v/>
      </c>
      <c r="O4106" s="59">
        <f>IF(tblMovement[[#This Row],[Is_Ore]]=1,tblMovement[[#This Row],[Contained_oz]],0)</f>
        <v/>
      </c>
    </row>
    <row r="4107">
      <c r="A4107" s="54" t="n"/>
      <c r="B4107" s="61" t="n"/>
      <c r="C4107" s="61" t="n"/>
      <c r="D4107" s="61" t="n"/>
      <c r="E4107" s="61" t="n"/>
      <c r="F4107" s="55" t="n"/>
      <c r="G4107" s="56" t="n"/>
      <c r="H4107" s="55" t="n"/>
      <c r="I4107" s="62" t="n"/>
      <c r="J4107" s="58" t="n"/>
      <c r="K4107" s="63">
        <f>IF(tblMovement[[#This Row],[Source]]="","",IFERROR(INDEX(tblSources[Type],MATCH(tblMovement[[#This Row],[Source]],tblSources[Source],0)),"?"))</f>
        <v/>
      </c>
      <c r="L4107" s="63">
        <f>IF(tblMovement[[#This Row],[Destination]]="","",IFERROR(INDEX(tblDestinations[Type],MATCH(tblMovement[[#This Row],[Destination]],tblDestinations[Destination],0)),"?"))</f>
        <v/>
      </c>
      <c r="M4107" s="64">
        <f>IF(tblMovement[[#This Row],[Material]]="","",IF(LEFT(tblMovement[[#This Row],[Material]],3)="Ore",1,0))</f>
        <v/>
      </c>
      <c r="N4107" s="59">
        <f>IF(OR(tblMovement[[#This Row],[Tonnes_t]]="",tblMovement[[#This Row],[Grade_gpt]]=""),0,tblMovement[[#This Row],[Tonnes_t]]*tblMovement[[#This Row],[Grade_gpt]]/cfg_TroyOz)</f>
        <v/>
      </c>
      <c r="O4107" s="59">
        <f>IF(tblMovement[[#This Row],[Is_Ore]]=1,tblMovement[[#This Row],[Contained_oz]],0)</f>
        <v/>
      </c>
    </row>
    <row r="4108">
      <c r="A4108" s="54" t="n"/>
      <c r="B4108" s="61" t="n"/>
      <c r="C4108" s="61" t="n"/>
      <c r="D4108" s="61" t="n"/>
      <c r="E4108" s="61" t="n"/>
      <c r="F4108" s="55" t="n"/>
      <c r="G4108" s="56" t="n"/>
      <c r="H4108" s="55" t="n"/>
      <c r="I4108" s="62" t="n"/>
      <c r="J4108" s="58" t="n"/>
      <c r="K4108" s="63">
        <f>IF(tblMovement[[#This Row],[Source]]="","",IFERROR(INDEX(tblSources[Type],MATCH(tblMovement[[#This Row],[Source]],tblSources[Source],0)),"?"))</f>
        <v/>
      </c>
      <c r="L4108" s="63">
        <f>IF(tblMovement[[#This Row],[Destination]]="","",IFERROR(INDEX(tblDestinations[Type],MATCH(tblMovement[[#This Row],[Destination]],tblDestinations[Destination],0)),"?"))</f>
        <v/>
      </c>
      <c r="M4108" s="64">
        <f>IF(tblMovement[[#This Row],[Material]]="","",IF(LEFT(tblMovement[[#This Row],[Material]],3)="Ore",1,0))</f>
        <v/>
      </c>
      <c r="N4108" s="59">
        <f>IF(OR(tblMovement[[#This Row],[Tonnes_t]]="",tblMovement[[#This Row],[Grade_gpt]]=""),0,tblMovement[[#This Row],[Tonnes_t]]*tblMovement[[#This Row],[Grade_gpt]]/cfg_TroyOz)</f>
        <v/>
      </c>
      <c r="O4108" s="59">
        <f>IF(tblMovement[[#This Row],[Is_Ore]]=1,tblMovement[[#This Row],[Contained_oz]],0)</f>
        <v/>
      </c>
    </row>
    <row r="4109">
      <c r="A4109" s="54" t="n"/>
      <c r="B4109" s="61" t="n"/>
      <c r="C4109" s="61" t="n"/>
      <c r="D4109" s="61" t="n"/>
      <c r="E4109" s="61" t="n"/>
      <c r="F4109" s="55" t="n"/>
      <c r="G4109" s="56" t="n"/>
      <c r="H4109" s="55" t="n"/>
      <c r="I4109" s="62" t="n"/>
      <c r="J4109" s="58" t="n"/>
      <c r="K4109" s="63">
        <f>IF(tblMovement[[#This Row],[Source]]="","",IFERROR(INDEX(tblSources[Type],MATCH(tblMovement[[#This Row],[Source]],tblSources[Source],0)),"?"))</f>
        <v/>
      </c>
      <c r="L4109" s="63">
        <f>IF(tblMovement[[#This Row],[Destination]]="","",IFERROR(INDEX(tblDestinations[Type],MATCH(tblMovement[[#This Row],[Destination]],tblDestinations[Destination],0)),"?"))</f>
        <v/>
      </c>
      <c r="M4109" s="64">
        <f>IF(tblMovement[[#This Row],[Material]]="","",IF(LEFT(tblMovement[[#This Row],[Material]],3)="Ore",1,0))</f>
        <v/>
      </c>
      <c r="N4109" s="59">
        <f>IF(OR(tblMovement[[#This Row],[Tonnes_t]]="",tblMovement[[#This Row],[Grade_gpt]]=""),0,tblMovement[[#This Row],[Tonnes_t]]*tblMovement[[#This Row],[Grade_gpt]]/cfg_TroyOz)</f>
        <v/>
      </c>
      <c r="O4109" s="59">
        <f>IF(tblMovement[[#This Row],[Is_Ore]]=1,tblMovement[[#This Row],[Contained_oz]],0)</f>
        <v/>
      </c>
    </row>
    <row r="4110">
      <c r="A4110" s="54" t="n"/>
      <c r="B4110" s="61" t="n"/>
      <c r="C4110" s="61" t="n"/>
      <c r="D4110" s="61" t="n"/>
      <c r="E4110" s="61" t="n"/>
      <c r="F4110" s="55" t="n"/>
      <c r="G4110" s="56" t="n"/>
      <c r="H4110" s="55" t="n"/>
      <c r="I4110" s="62" t="n"/>
      <c r="J4110" s="58" t="n"/>
      <c r="K4110" s="63">
        <f>IF(tblMovement[[#This Row],[Source]]="","",IFERROR(INDEX(tblSources[Type],MATCH(tblMovement[[#This Row],[Source]],tblSources[Source],0)),"?"))</f>
        <v/>
      </c>
      <c r="L4110" s="63">
        <f>IF(tblMovement[[#This Row],[Destination]]="","",IFERROR(INDEX(tblDestinations[Type],MATCH(tblMovement[[#This Row],[Destination]],tblDestinations[Destination],0)),"?"))</f>
        <v/>
      </c>
      <c r="M4110" s="64">
        <f>IF(tblMovement[[#This Row],[Material]]="","",IF(LEFT(tblMovement[[#This Row],[Material]],3)="Ore",1,0))</f>
        <v/>
      </c>
      <c r="N4110" s="59">
        <f>IF(OR(tblMovement[[#This Row],[Tonnes_t]]="",tblMovement[[#This Row],[Grade_gpt]]=""),0,tblMovement[[#This Row],[Tonnes_t]]*tblMovement[[#This Row],[Grade_gpt]]/cfg_TroyOz)</f>
        <v/>
      </c>
      <c r="O4110" s="59">
        <f>IF(tblMovement[[#This Row],[Is_Ore]]=1,tblMovement[[#This Row],[Contained_oz]],0)</f>
        <v/>
      </c>
    </row>
    <row r="4111">
      <c r="A4111" s="54" t="n"/>
      <c r="B4111" s="61" t="n"/>
      <c r="C4111" s="61" t="n"/>
      <c r="D4111" s="61" t="n"/>
      <c r="E4111" s="61" t="n"/>
      <c r="F4111" s="55" t="n"/>
      <c r="G4111" s="56" t="n"/>
      <c r="H4111" s="55" t="n"/>
      <c r="I4111" s="62" t="n"/>
      <c r="J4111" s="58" t="n"/>
      <c r="K4111" s="63">
        <f>IF(tblMovement[[#This Row],[Source]]="","",IFERROR(INDEX(tblSources[Type],MATCH(tblMovement[[#This Row],[Source]],tblSources[Source],0)),"?"))</f>
        <v/>
      </c>
      <c r="L4111" s="63">
        <f>IF(tblMovement[[#This Row],[Destination]]="","",IFERROR(INDEX(tblDestinations[Type],MATCH(tblMovement[[#This Row],[Destination]],tblDestinations[Destination],0)),"?"))</f>
        <v/>
      </c>
      <c r="M4111" s="64">
        <f>IF(tblMovement[[#This Row],[Material]]="","",IF(LEFT(tblMovement[[#This Row],[Material]],3)="Ore",1,0))</f>
        <v/>
      </c>
      <c r="N4111" s="59">
        <f>IF(OR(tblMovement[[#This Row],[Tonnes_t]]="",tblMovement[[#This Row],[Grade_gpt]]=""),0,tblMovement[[#This Row],[Tonnes_t]]*tblMovement[[#This Row],[Grade_gpt]]/cfg_TroyOz)</f>
        <v/>
      </c>
      <c r="O4111" s="59">
        <f>IF(tblMovement[[#This Row],[Is_Ore]]=1,tblMovement[[#This Row],[Contained_oz]],0)</f>
        <v/>
      </c>
    </row>
    <row r="4112">
      <c r="A4112" s="54" t="n"/>
      <c r="B4112" s="61" t="n"/>
      <c r="C4112" s="61" t="n"/>
      <c r="D4112" s="61" t="n"/>
      <c r="E4112" s="61" t="n"/>
      <c r="F4112" s="55" t="n"/>
      <c r="G4112" s="56" t="n"/>
      <c r="H4112" s="55" t="n"/>
      <c r="I4112" s="62" t="n"/>
      <c r="J4112" s="58" t="n"/>
      <c r="K4112" s="63">
        <f>IF(tblMovement[[#This Row],[Source]]="","",IFERROR(INDEX(tblSources[Type],MATCH(tblMovement[[#This Row],[Source]],tblSources[Source],0)),"?"))</f>
        <v/>
      </c>
      <c r="L4112" s="63">
        <f>IF(tblMovement[[#This Row],[Destination]]="","",IFERROR(INDEX(tblDestinations[Type],MATCH(tblMovement[[#This Row],[Destination]],tblDestinations[Destination],0)),"?"))</f>
        <v/>
      </c>
      <c r="M4112" s="64">
        <f>IF(tblMovement[[#This Row],[Material]]="","",IF(LEFT(tblMovement[[#This Row],[Material]],3)="Ore",1,0))</f>
        <v/>
      </c>
      <c r="N4112" s="59">
        <f>IF(OR(tblMovement[[#This Row],[Tonnes_t]]="",tblMovement[[#This Row],[Grade_gpt]]=""),0,tblMovement[[#This Row],[Tonnes_t]]*tblMovement[[#This Row],[Grade_gpt]]/cfg_TroyOz)</f>
        <v/>
      </c>
      <c r="O4112" s="59">
        <f>IF(tblMovement[[#This Row],[Is_Ore]]=1,tblMovement[[#This Row],[Contained_oz]],0)</f>
        <v/>
      </c>
    </row>
    <row r="4113">
      <c r="A4113" s="54" t="n"/>
      <c r="B4113" s="61" t="n"/>
      <c r="C4113" s="61" t="n"/>
      <c r="D4113" s="61" t="n"/>
      <c r="E4113" s="61" t="n"/>
      <c r="F4113" s="55" t="n"/>
      <c r="G4113" s="56" t="n"/>
      <c r="H4113" s="55" t="n"/>
      <c r="I4113" s="62" t="n"/>
      <c r="J4113" s="58" t="n"/>
      <c r="K4113" s="63">
        <f>IF(tblMovement[[#This Row],[Source]]="","",IFERROR(INDEX(tblSources[Type],MATCH(tblMovement[[#This Row],[Source]],tblSources[Source],0)),"?"))</f>
        <v/>
      </c>
      <c r="L4113" s="63">
        <f>IF(tblMovement[[#This Row],[Destination]]="","",IFERROR(INDEX(tblDestinations[Type],MATCH(tblMovement[[#This Row],[Destination]],tblDestinations[Destination],0)),"?"))</f>
        <v/>
      </c>
      <c r="M4113" s="64">
        <f>IF(tblMovement[[#This Row],[Material]]="","",IF(LEFT(tblMovement[[#This Row],[Material]],3)="Ore",1,0))</f>
        <v/>
      </c>
      <c r="N4113" s="59">
        <f>IF(OR(tblMovement[[#This Row],[Tonnes_t]]="",tblMovement[[#This Row],[Grade_gpt]]=""),0,tblMovement[[#This Row],[Tonnes_t]]*tblMovement[[#This Row],[Grade_gpt]]/cfg_TroyOz)</f>
        <v/>
      </c>
      <c r="O4113" s="59">
        <f>IF(tblMovement[[#This Row],[Is_Ore]]=1,tblMovement[[#This Row],[Contained_oz]],0)</f>
        <v/>
      </c>
    </row>
    <row r="4114">
      <c r="A4114" s="54" t="n"/>
      <c r="B4114" s="61" t="n"/>
      <c r="C4114" s="61" t="n"/>
      <c r="D4114" s="61" t="n"/>
      <c r="E4114" s="61" t="n"/>
      <c r="F4114" s="55" t="n"/>
      <c r="G4114" s="56" t="n"/>
      <c r="H4114" s="55" t="n"/>
      <c r="I4114" s="62" t="n"/>
      <c r="J4114" s="58" t="n"/>
      <c r="K4114" s="63">
        <f>IF(tblMovement[[#This Row],[Source]]="","",IFERROR(INDEX(tblSources[Type],MATCH(tblMovement[[#This Row],[Source]],tblSources[Source],0)),"?"))</f>
        <v/>
      </c>
      <c r="L4114" s="63">
        <f>IF(tblMovement[[#This Row],[Destination]]="","",IFERROR(INDEX(tblDestinations[Type],MATCH(tblMovement[[#This Row],[Destination]],tblDestinations[Destination],0)),"?"))</f>
        <v/>
      </c>
      <c r="M4114" s="64">
        <f>IF(tblMovement[[#This Row],[Material]]="","",IF(LEFT(tblMovement[[#This Row],[Material]],3)="Ore",1,0))</f>
        <v/>
      </c>
      <c r="N4114" s="59">
        <f>IF(OR(tblMovement[[#This Row],[Tonnes_t]]="",tblMovement[[#This Row],[Grade_gpt]]=""),0,tblMovement[[#This Row],[Tonnes_t]]*tblMovement[[#This Row],[Grade_gpt]]/cfg_TroyOz)</f>
        <v/>
      </c>
      <c r="O4114" s="59">
        <f>IF(tblMovement[[#This Row],[Is_Ore]]=1,tblMovement[[#This Row],[Contained_oz]],0)</f>
        <v/>
      </c>
    </row>
    <row r="4115">
      <c r="A4115" s="54" t="n"/>
      <c r="B4115" s="61" t="n"/>
      <c r="C4115" s="61" t="n"/>
      <c r="D4115" s="61" t="n"/>
      <c r="E4115" s="61" t="n"/>
      <c r="F4115" s="55" t="n"/>
      <c r="G4115" s="56" t="n"/>
      <c r="H4115" s="55" t="n"/>
      <c r="I4115" s="62" t="n"/>
      <c r="J4115" s="58" t="n"/>
      <c r="K4115" s="63">
        <f>IF(tblMovement[[#This Row],[Source]]="","",IFERROR(INDEX(tblSources[Type],MATCH(tblMovement[[#This Row],[Source]],tblSources[Source],0)),"?"))</f>
        <v/>
      </c>
      <c r="L4115" s="63">
        <f>IF(tblMovement[[#This Row],[Destination]]="","",IFERROR(INDEX(tblDestinations[Type],MATCH(tblMovement[[#This Row],[Destination]],tblDestinations[Destination],0)),"?"))</f>
        <v/>
      </c>
      <c r="M4115" s="64">
        <f>IF(tblMovement[[#This Row],[Material]]="","",IF(LEFT(tblMovement[[#This Row],[Material]],3)="Ore",1,0))</f>
        <v/>
      </c>
      <c r="N4115" s="59">
        <f>IF(OR(tblMovement[[#This Row],[Tonnes_t]]="",tblMovement[[#This Row],[Grade_gpt]]=""),0,tblMovement[[#This Row],[Tonnes_t]]*tblMovement[[#This Row],[Grade_gpt]]/cfg_TroyOz)</f>
        <v/>
      </c>
      <c r="O4115" s="59">
        <f>IF(tblMovement[[#This Row],[Is_Ore]]=1,tblMovement[[#This Row],[Contained_oz]],0)</f>
        <v/>
      </c>
    </row>
    <row r="4116">
      <c r="A4116" s="54" t="n"/>
      <c r="B4116" s="61" t="n"/>
      <c r="C4116" s="61" t="n"/>
      <c r="D4116" s="61" t="n"/>
      <c r="E4116" s="61" t="n"/>
      <c r="F4116" s="55" t="n"/>
      <c r="G4116" s="56" t="n"/>
      <c r="H4116" s="55" t="n"/>
      <c r="I4116" s="62" t="n"/>
      <c r="J4116" s="58" t="n"/>
      <c r="K4116" s="63">
        <f>IF(tblMovement[[#This Row],[Source]]="","",IFERROR(INDEX(tblSources[Type],MATCH(tblMovement[[#This Row],[Source]],tblSources[Source],0)),"?"))</f>
        <v/>
      </c>
      <c r="L4116" s="63">
        <f>IF(tblMovement[[#This Row],[Destination]]="","",IFERROR(INDEX(tblDestinations[Type],MATCH(tblMovement[[#This Row],[Destination]],tblDestinations[Destination],0)),"?"))</f>
        <v/>
      </c>
      <c r="M4116" s="64">
        <f>IF(tblMovement[[#This Row],[Material]]="","",IF(LEFT(tblMovement[[#This Row],[Material]],3)="Ore",1,0))</f>
        <v/>
      </c>
      <c r="N4116" s="59">
        <f>IF(OR(tblMovement[[#This Row],[Tonnes_t]]="",tblMovement[[#This Row],[Grade_gpt]]=""),0,tblMovement[[#This Row],[Tonnes_t]]*tblMovement[[#This Row],[Grade_gpt]]/cfg_TroyOz)</f>
        <v/>
      </c>
      <c r="O4116" s="59">
        <f>IF(tblMovement[[#This Row],[Is_Ore]]=1,tblMovement[[#This Row],[Contained_oz]],0)</f>
        <v/>
      </c>
    </row>
    <row r="4117">
      <c r="A4117" s="54" t="n"/>
      <c r="B4117" s="61" t="n"/>
      <c r="C4117" s="61" t="n"/>
      <c r="D4117" s="61" t="n"/>
      <c r="E4117" s="61" t="n"/>
      <c r="F4117" s="55" t="n"/>
      <c r="G4117" s="56" t="n"/>
      <c r="H4117" s="55" t="n"/>
      <c r="I4117" s="62" t="n"/>
      <c r="J4117" s="58" t="n"/>
      <c r="K4117" s="63">
        <f>IF(tblMovement[[#This Row],[Source]]="","",IFERROR(INDEX(tblSources[Type],MATCH(tblMovement[[#This Row],[Source]],tblSources[Source],0)),"?"))</f>
        <v/>
      </c>
      <c r="L4117" s="63">
        <f>IF(tblMovement[[#This Row],[Destination]]="","",IFERROR(INDEX(tblDestinations[Type],MATCH(tblMovement[[#This Row],[Destination]],tblDestinations[Destination],0)),"?"))</f>
        <v/>
      </c>
      <c r="M4117" s="64">
        <f>IF(tblMovement[[#This Row],[Material]]="","",IF(LEFT(tblMovement[[#This Row],[Material]],3)="Ore",1,0))</f>
        <v/>
      </c>
      <c r="N4117" s="59">
        <f>IF(OR(tblMovement[[#This Row],[Tonnes_t]]="",tblMovement[[#This Row],[Grade_gpt]]=""),0,tblMovement[[#This Row],[Tonnes_t]]*tblMovement[[#This Row],[Grade_gpt]]/cfg_TroyOz)</f>
        <v/>
      </c>
      <c r="O4117" s="59">
        <f>IF(tblMovement[[#This Row],[Is_Ore]]=1,tblMovement[[#This Row],[Contained_oz]],0)</f>
        <v/>
      </c>
    </row>
    <row r="4118">
      <c r="A4118" s="54" t="n"/>
      <c r="B4118" s="61" t="n"/>
      <c r="C4118" s="61" t="n"/>
      <c r="D4118" s="61" t="n"/>
      <c r="E4118" s="61" t="n"/>
      <c r="F4118" s="55" t="n"/>
      <c r="G4118" s="56" t="n"/>
      <c r="H4118" s="55" t="n"/>
      <c r="I4118" s="62" t="n"/>
      <c r="J4118" s="58" t="n"/>
      <c r="K4118" s="63">
        <f>IF(tblMovement[[#This Row],[Source]]="","",IFERROR(INDEX(tblSources[Type],MATCH(tblMovement[[#This Row],[Source]],tblSources[Source],0)),"?"))</f>
        <v/>
      </c>
      <c r="L4118" s="63">
        <f>IF(tblMovement[[#This Row],[Destination]]="","",IFERROR(INDEX(tblDestinations[Type],MATCH(tblMovement[[#This Row],[Destination]],tblDestinations[Destination],0)),"?"))</f>
        <v/>
      </c>
      <c r="M4118" s="64">
        <f>IF(tblMovement[[#This Row],[Material]]="","",IF(LEFT(tblMovement[[#This Row],[Material]],3)="Ore",1,0))</f>
        <v/>
      </c>
      <c r="N4118" s="59">
        <f>IF(OR(tblMovement[[#This Row],[Tonnes_t]]="",tblMovement[[#This Row],[Grade_gpt]]=""),0,tblMovement[[#This Row],[Tonnes_t]]*tblMovement[[#This Row],[Grade_gpt]]/cfg_TroyOz)</f>
        <v/>
      </c>
      <c r="O4118" s="59">
        <f>IF(tblMovement[[#This Row],[Is_Ore]]=1,tblMovement[[#This Row],[Contained_oz]],0)</f>
        <v/>
      </c>
    </row>
    <row r="4119">
      <c r="A4119" s="54" t="n"/>
      <c r="B4119" s="61" t="n"/>
      <c r="C4119" s="61" t="n"/>
      <c r="D4119" s="61" t="n"/>
      <c r="E4119" s="61" t="n"/>
      <c r="F4119" s="55" t="n"/>
      <c r="G4119" s="56" t="n"/>
      <c r="H4119" s="55" t="n"/>
      <c r="I4119" s="62" t="n"/>
      <c r="J4119" s="58" t="n"/>
      <c r="K4119" s="63">
        <f>IF(tblMovement[[#This Row],[Source]]="","",IFERROR(INDEX(tblSources[Type],MATCH(tblMovement[[#This Row],[Source]],tblSources[Source],0)),"?"))</f>
        <v/>
      </c>
      <c r="L4119" s="63">
        <f>IF(tblMovement[[#This Row],[Destination]]="","",IFERROR(INDEX(tblDestinations[Type],MATCH(tblMovement[[#This Row],[Destination]],tblDestinations[Destination],0)),"?"))</f>
        <v/>
      </c>
      <c r="M4119" s="64">
        <f>IF(tblMovement[[#This Row],[Material]]="","",IF(LEFT(tblMovement[[#This Row],[Material]],3)="Ore",1,0))</f>
        <v/>
      </c>
      <c r="N4119" s="59">
        <f>IF(OR(tblMovement[[#This Row],[Tonnes_t]]="",tblMovement[[#This Row],[Grade_gpt]]=""),0,tblMovement[[#This Row],[Tonnes_t]]*tblMovement[[#This Row],[Grade_gpt]]/cfg_TroyOz)</f>
        <v/>
      </c>
      <c r="O4119" s="59">
        <f>IF(tblMovement[[#This Row],[Is_Ore]]=1,tblMovement[[#This Row],[Contained_oz]],0)</f>
        <v/>
      </c>
    </row>
    <row r="4120">
      <c r="A4120" s="54" t="n"/>
      <c r="B4120" s="61" t="n"/>
      <c r="C4120" s="61" t="n"/>
      <c r="D4120" s="61" t="n"/>
      <c r="E4120" s="61" t="n"/>
      <c r="F4120" s="55" t="n"/>
      <c r="G4120" s="56" t="n"/>
      <c r="H4120" s="55" t="n"/>
      <c r="I4120" s="62" t="n"/>
      <c r="J4120" s="58" t="n"/>
      <c r="K4120" s="63">
        <f>IF(tblMovement[[#This Row],[Source]]="","",IFERROR(INDEX(tblSources[Type],MATCH(tblMovement[[#This Row],[Source]],tblSources[Source],0)),"?"))</f>
        <v/>
      </c>
      <c r="L4120" s="63">
        <f>IF(tblMovement[[#This Row],[Destination]]="","",IFERROR(INDEX(tblDestinations[Type],MATCH(tblMovement[[#This Row],[Destination]],tblDestinations[Destination],0)),"?"))</f>
        <v/>
      </c>
      <c r="M4120" s="64">
        <f>IF(tblMovement[[#This Row],[Material]]="","",IF(LEFT(tblMovement[[#This Row],[Material]],3)="Ore",1,0))</f>
        <v/>
      </c>
      <c r="N4120" s="59">
        <f>IF(OR(tblMovement[[#This Row],[Tonnes_t]]="",tblMovement[[#This Row],[Grade_gpt]]=""),0,tblMovement[[#This Row],[Tonnes_t]]*tblMovement[[#This Row],[Grade_gpt]]/cfg_TroyOz)</f>
        <v/>
      </c>
      <c r="O4120" s="59">
        <f>IF(tblMovement[[#This Row],[Is_Ore]]=1,tblMovement[[#This Row],[Contained_oz]],0)</f>
        <v/>
      </c>
    </row>
    <row r="4121">
      <c r="A4121" s="54" t="n"/>
      <c r="B4121" s="61" t="n"/>
      <c r="C4121" s="61" t="n"/>
      <c r="D4121" s="61" t="n"/>
      <c r="E4121" s="61" t="n"/>
      <c r="F4121" s="55" t="n"/>
      <c r="G4121" s="56" t="n"/>
      <c r="H4121" s="55" t="n"/>
      <c r="I4121" s="62" t="n"/>
      <c r="J4121" s="58" t="n"/>
      <c r="K4121" s="63">
        <f>IF(tblMovement[[#This Row],[Source]]="","",IFERROR(INDEX(tblSources[Type],MATCH(tblMovement[[#This Row],[Source]],tblSources[Source],0)),"?"))</f>
        <v/>
      </c>
      <c r="L4121" s="63">
        <f>IF(tblMovement[[#This Row],[Destination]]="","",IFERROR(INDEX(tblDestinations[Type],MATCH(tblMovement[[#This Row],[Destination]],tblDestinations[Destination],0)),"?"))</f>
        <v/>
      </c>
      <c r="M4121" s="64">
        <f>IF(tblMovement[[#This Row],[Material]]="","",IF(LEFT(tblMovement[[#This Row],[Material]],3)="Ore",1,0))</f>
        <v/>
      </c>
      <c r="N4121" s="59">
        <f>IF(OR(tblMovement[[#This Row],[Tonnes_t]]="",tblMovement[[#This Row],[Grade_gpt]]=""),0,tblMovement[[#This Row],[Tonnes_t]]*tblMovement[[#This Row],[Grade_gpt]]/cfg_TroyOz)</f>
        <v/>
      </c>
      <c r="O4121" s="59">
        <f>IF(tblMovement[[#This Row],[Is_Ore]]=1,tblMovement[[#This Row],[Contained_oz]],0)</f>
        <v/>
      </c>
    </row>
    <row r="4122">
      <c r="A4122" s="54" t="n"/>
      <c r="B4122" s="61" t="n"/>
      <c r="C4122" s="61" t="n"/>
      <c r="D4122" s="61" t="n"/>
      <c r="E4122" s="61" t="n"/>
      <c r="F4122" s="55" t="n"/>
      <c r="G4122" s="56" t="n"/>
      <c r="H4122" s="55" t="n"/>
      <c r="I4122" s="62" t="n"/>
      <c r="J4122" s="58" t="n"/>
      <c r="K4122" s="63">
        <f>IF(tblMovement[[#This Row],[Source]]="","",IFERROR(INDEX(tblSources[Type],MATCH(tblMovement[[#This Row],[Source]],tblSources[Source],0)),"?"))</f>
        <v/>
      </c>
      <c r="L4122" s="63">
        <f>IF(tblMovement[[#This Row],[Destination]]="","",IFERROR(INDEX(tblDestinations[Type],MATCH(tblMovement[[#This Row],[Destination]],tblDestinations[Destination],0)),"?"))</f>
        <v/>
      </c>
      <c r="M4122" s="64">
        <f>IF(tblMovement[[#This Row],[Material]]="","",IF(LEFT(tblMovement[[#This Row],[Material]],3)="Ore",1,0))</f>
        <v/>
      </c>
      <c r="N4122" s="59">
        <f>IF(OR(tblMovement[[#This Row],[Tonnes_t]]="",tblMovement[[#This Row],[Grade_gpt]]=""),0,tblMovement[[#This Row],[Tonnes_t]]*tblMovement[[#This Row],[Grade_gpt]]/cfg_TroyOz)</f>
        <v/>
      </c>
      <c r="O4122" s="59">
        <f>IF(tblMovement[[#This Row],[Is_Ore]]=1,tblMovement[[#This Row],[Contained_oz]],0)</f>
        <v/>
      </c>
    </row>
    <row r="4123">
      <c r="A4123" s="54" t="n"/>
      <c r="B4123" s="61" t="n"/>
      <c r="C4123" s="61" t="n"/>
      <c r="D4123" s="61" t="n"/>
      <c r="E4123" s="61" t="n"/>
      <c r="F4123" s="55" t="n"/>
      <c r="G4123" s="56" t="n"/>
      <c r="H4123" s="55" t="n"/>
      <c r="I4123" s="62" t="n"/>
      <c r="J4123" s="58" t="n"/>
      <c r="K4123" s="63">
        <f>IF(tblMovement[[#This Row],[Source]]="","",IFERROR(INDEX(tblSources[Type],MATCH(tblMovement[[#This Row],[Source]],tblSources[Source],0)),"?"))</f>
        <v/>
      </c>
      <c r="L4123" s="63">
        <f>IF(tblMovement[[#This Row],[Destination]]="","",IFERROR(INDEX(tblDestinations[Type],MATCH(tblMovement[[#This Row],[Destination]],tblDestinations[Destination],0)),"?"))</f>
        <v/>
      </c>
      <c r="M4123" s="64">
        <f>IF(tblMovement[[#This Row],[Material]]="","",IF(LEFT(tblMovement[[#This Row],[Material]],3)="Ore",1,0))</f>
        <v/>
      </c>
      <c r="N4123" s="59">
        <f>IF(OR(tblMovement[[#This Row],[Tonnes_t]]="",tblMovement[[#This Row],[Grade_gpt]]=""),0,tblMovement[[#This Row],[Tonnes_t]]*tblMovement[[#This Row],[Grade_gpt]]/cfg_TroyOz)</f>
        <v/>
      </c>
      <c r="O4123" s="59">
        <f>IF(tblMovement[[#This Row],[Is_Ore]]=1,tblMovement[[#This Row],[Contained_oz]],0)</f>
        <v/>
      </c>
    </row>
    <row r="4124">
      <c r="A4124" s="54" t="n"/>
      <c r="B4124" s="61" t="n"/>
      <c r="C4124" s="61" t="n"/>
      <c r="D4124" s="61" t="n"/>
      <c r="E4124" s="61" t="n"/>
      <c r="F4124" s="55" t="n"/>
      <c r="G4124" s="56" t="n"/>
      <c r="H4124" s="55" t="n"/>
      <c r="I4124" s="62" t="n"/>
      <c r="J4124" s="58" t="n"/>
      <c r="K4124" s="63">
        <f>IF(tblMovement[[#This Row],[Source]]="","",IFERROR(INDEX(tblSources[Type],MATCH(tblMovement[[#This Row],[Source]],tblSources[Source],0)),"?"))</f>
        <v/>
      </c>
      <c r="L4124" s="63">
        <f>IF(tblMovement[[#This Row],[Destination]]="","",IFERROR(INDEX(tblDestinations[Type],MATCH(tblMovement[[#This Row],[Destination]],tblDestinations[Destination],0)),"?"))</f>
        <v/>
      </c>
      <c r="M4124" s="64">
        <f>IF(tblMovement[[#This Row],[Material]]="","",IF(LEFT(tblMovement[[#This Row],[Material]],3)="Ore",1,0))</f>
        <v/>
      </c>
      <c r="N4124" s="59">
        <f>IF(OR(tblMovement[[#This Row],[Tonnes_t]]="",tblMovement[[#This Row],[Grade_gpt]]=""),0,tblMovement[[#This Row],[Tonnes_t]]*tblMovement[[#This Row],[Grade_gpt]]/cfg_TroyOz)</f>
        <v/>
      </c>
      <c r="O4124" s="59">
        <f>IF(tblMovement[[#This Row],[Is_Ore]]=1,tblMovement[[#This Row],[Contained_oz]],0)</f>
        <v/>
      </c>
    </row>
    <row r="4125">
      <c r="A4125" s="54" t="n"/>
      <c r="B4125" s="61" t="n"/>
      <c r="C4125" s="61" t="n"/>
      <c r="D4125" s="61" t="n"/>
      <c r="E4125" s="61" t="n"/>
      <c r="F4125" s="55" t="n"/>
      <c r="G4125" s="56" t="n"/>
      <c r="H4125" s="55" t="n"/>
      <c r="I4125" s="62" t="n"/>
      <c r="J4125" s="58" t="n"/>
      <c r="K4125" s="63">
        <f>IF(tblMovement[[#This Row],[Source]]="","",IFERROR(INDEX(tblSources[Type],MATCH(tblMovement[[#This Row],[Source]],tblSources[Source],0)),"?"))</f>
        <v/>
      </c>
      <c r="L4125" s="63">
        <f>IF(tblMovement[[#This Row],[Destination]]="","",IFERROR(INDEX(tblDestinations[Type],MATCH(tblMovement[[#This Row],[Destination]],tblDestinations[Destination],0)),"?"))</f>
        <v/>
      </c>
      <c r="M4125" s="64">
        <f>IF(tblMovement[[#This Row],[Material]]="","",IF(LEFT(tblMovement[[#This Row],[Material]],3)="Ore",1,0))</f>
        <v/>
      </c>
      <c r="N4125" s="59">
        <f>IF(OR(tblMovement[[#This Row],[Tonnes_t]]="",tblMovement[[#This Row],[Grade_gpt]]=""),0,tblMovement[[#This Row],[Tonnes_t]]*tblMovement[[#This Row],[Grade_gpt]]/cfg_TroyOz)</f>
        <v/>
      </c>
      <c r="O4125" s="59">
        <f>IF(tblMovement[[#This Row],[Is_Ore]]=1,tblMovement[[#This Row],[Contained_oz]],0)</f>
        <v/>
      </c>
    </row>
    <row r="4126">
      <c r="A4126" s="54" t="n"/>
      <c r="B4126" s="61" t="n"/>
      <c r="C4126" s="61" t="n"/>
      <c r="D4126" s="61" t="n"/>
      <c r="E4126" s="61" t="n"/>
      <c r="F4126" s="55" t="n"/>
      <c r="G4126" s="56" t="n"/>
      <c r="H4126" s="55" t="n"/>
      <c r="I4126" s="62" t="n"/>
      <c r="J4126" s="58" t="n"/>
      <c r="K4126" s="63">
        <f>IF(tblMovement[[#This Row],[Source]]="","",IFERROR(INDEX(tblSources[Type],MATCH(tblMovement[[#This Row],[Source]],tblSources[Source],0)),"?"))</f>
        <v/>
      </c>
      <c r="L4126" s="63">
        <f>IF(tblMovement[[#This Row],[Destination]]="","",IFERROR(INDEX(tblDestinations[Type],MATCH(tblMovement[[#This Row],[Destination]],tblDestinations[Destination],0)),"?"))</f>
        <v/>
      </c>
      <c r="M4126" s="64">
        <f>IF(tblMovement[[#This Row],[Material]]="","",IF(LEFT(tblMovement[[#This Row],[Material]],3)="Ore",1,0))</f>
        <v/>
      </c>
      <c r="N4126" s="59">
        <f>IF(OR(tblMovement[[#This Row],[Tonnes_t]]="",tblMovement[[#This Row],[Grade_gpt]]=""),0,tblMovement[[#This Row],[Tonnes_t]]*tblMovement[[#This Row],[Grade_gpt]]/cfg_TroyOz)</f>
        <v/>
      </c>
      <c r="O4126" s="59">
        <f>IF(tblMovement[[#This Row],[Is_Ore]]=1,tblMovement[[#This Row],[Contained_oz]],0)</f>
        <v/>
      </c>
    </row>
    <row r="4127">
      <c r="A4127" s="54" t="n"/>
      <c r="B4127" s="61" t="n"/>
      <c r="C4127" s="61" t="n"/>
      <c r="D4127" s="61" t="n"/>
      <c r="E4127" s="61" t="n"/>
      <c r="F4127" s="55" t="n"/>
      <c r="G4127" s="56" t="n"/>
      <c r="H4127" s="55" t="n"/>
      <c r="I4127" s="62" t="n"/>
      <c r="J4127" s="58" t="n"/>
      <c r="K4127" s="63">
        <f>IF(tblMovement[[#This Row],[Source]]="","",IFERROR(INDEX(tblSources[Type],MATCH(tblMovement[[#This Row],[Source]],tblSources[Source],0)),"?"))</f>
        <v/>
      </c>
      <c r="L4127" s="63">
        <f>IF(tblMovement[[#This Row],[Destination]]="","",IFERROR(INDEX(tblDestinations[Type],MATCH(tblMovement[[#This Row],[Destination]],tblDestinations[Destination],0)),"?"))</f>
        <v/>
      </c>
      <c r="M4127" s="64">
        <f>IF(tblMovement[[#This Row],[Material]]="","",IF(LEFT(tblMovement[[#This Row],[Material]],3)="Ore",1,0))</f>
        <v/>
      </c>
      <c r="N4127" s="59">
        <f>IF(OR(tblMovement[[#This Row],[Tonnes_t]]="",tblMovement[[#This Row],[Grade_gpt]]=""),0,tblMovement[[#This Row],[Tonnes_t]]*tblMovement[[#This Row],[Grade_gpt]]/cfg_TroyOz)</f>
        <v/>
      </c>
      <c r="O4127" s="59">
        <f>IF(tblMovement[[#This Row],[Is_Ore]]=1,tblMovement[[#This Row],[Contained_oz]],0)</f>
        <v/>
      </c>
    </row>
    <row r="4128">
      <c r="A4128" s="54" t="n"/>
      <c r="B4128" s="61" t="n"/>
      <c r="C4128" s="61" t="n"/>
      <c r="D4128" s="61" t="n"/>
      <c r="E4128" s="61" t="n"/>
      <c r="F4128" s="55" t="n"/>
      <c r="G4128" s="56" t="n"/>
      <c r="H4128" s="55" t="n"/>
      <c r="I4128" s="62" t="n"/>
      <c r="J4128" s="58" t="n"/>
      <c r="K4128" s="63">
        <f>IF(tblMovement[[#This Row],[Source]]="","",IFERROR(INDEX(tblSources[Type],MATCH(tblMovement[[#This Row],[Source]],tblSources[Source],0)),"?"))</f>
        <v/>
      </c>
      <c r="L4128" s="63">
        <f>IF(tblMovement[[#This Row],[Destination]]="","",IFERROR(INDEX(tblDestinations[Type],MATCH(tblMovement[[#This Row],[Destination]],tblDestinations[Destination],0)),"?"))</f>
        <v/>
      </c>
      <c r="M4128" s="64">
        <f>IF(tblMovement[[#This Row],[Material]]="","",IF(LEFT(tblMovement[[#This Row],[Material]],3)="Ore",1,0))</f>
        <v/>
      </c>
      <c r="N4128" s="59">
        <f>IF(OR(tblMovement[[#This Row],[Tonnes_t]]="",tblMovement[[#This Row],[Grade_gpt]]=""),0,tblMovement[[#This Row],[Tonnes_t]]*tblMovement[[#This Row],[Grade_gpt]]/cfg_TroyOz)</f>
        <v/>
      </c>
      <c r="O4128" s="59">
        <f>IF(tblMovement[[#This Row],[Is_Ore]]=1,tblMovement[[#This Row],[Contained_oz]],0)</f>
        <v/>
      </c>
    </row>
    <row r="4129">
      <c r="A4129" s="54" t="n"/>
      <c r="B4129" s="61" t="n"/>
      <c r="C4129" s="61" t="n"/>
      <c r="D4129" s="61" t="n"/>
      <c r="E4129" s="61" t="n"/>
      <c r="F4129" s="55" t="n"/>
      <c r="G4129" s="56" t="n"/>
      <c r="H4129" s="55" t="n"/>
      <c r="I4129" s="62" t="n"/>
      <c r="J4129" s="58" t="n"/>
      <c r="K4129" s="63">
        <f>IF(tblMovement[[#This Row],[Source]]="","",IFERROR(INDEX(tblSources[Type],MATCH(tblMovement[[#This Row],[Source]],tblSources[Source],0)),"?"))</f>
        <v/>
      </c>
      <c r="L4129" s="63">
        <f>IF(tblMovement[[#This Row],[Destination]]="","",IFERROR(INDEX(tblDestinations[Type],MATCH(tblMovement[[#This Row],[Destination]],tblDestinations[Destination],0)),"?"))</f>
        <v/>
      </c>
      <c r="M4129" s="64">
        <f>IF(tblMovement[[#This Row],[Material]]="","",IF(LEFT(tblMovement[[#This Row],[Material]],3)="Ore",1,0))</f>
        <v/>
      </c>
      <c r="N4129" s="59">
        <f>IF(OR(tblMovement[[#This Row],[Tonnes_t]]="",tblMovement[[#This Row],[Grade_gpt]]=""),0,tblMovement[[#This Row],[Tonnes_t]]*tblMovement[[#This Row],[Grade_gpt]]/cfg_TroyOz)</f>
        <v/>
      </c>
      <c r="O4129" s="59">
        <f>IF(tblMovement[[#This Row],[Is_Ore]]=1,tblMovement[[#This Row],[Contained_oz]],0)</f>
        <v/>
      </c>
    </row>
    <row r="4130">
      <c r="A4130" s="54" t="n"/>
      <c r="B4130" s="61" t="n"/>
      <c r="C4130" s="61" t="n"/>
      <c r="D4130" s="61" t="n"/>
      <c r="E4130" s="61" t="n"/>
      <c r="F4130" s="55" t="n"/>
      <c r="G4130" s="56" t="n"/>
      <c r="H4130" s="55" t="n"/>
      <c r="I4130" s="62" t="n"/>
      <c r="J4130" s="58" t="n"/>
      <c r="K4130" s="63">
        <f>IF(tblMovement[[#This Row],[Source]]="","",IFERROR(INDEX(tblSources[Type],MATCH(tblMovement[[#This Row],[Source]],tblSources[Source],0)),"?"))</f>
        <v/>
      </c>
      <c r="L4130" s="63">
        <f>IF(tblMovement[[#This Row],[Destination]]="","",IFERROR(INDEX(tblDestinations[Type],MATCH(tblMovement[[#This Row],[Destination]],tblDestinations[Destination],0)),"?"))</f>
        <v/>
      </c>
      <c r="M4130" s="64">
        <f>IF(tblMovement[[#This Row],[Material]]="","",IF(LEFT(tblMovement[[#This Row],[Material]],3)="Ore",1,0))</f>
        <v/>
      </c>
      <c r="N4130" s="59">
        <f>IF(OR(tblMovement[[#This Row],[Tonnes_t]]="",tblMovement[[#This Row],[Grade_gpt]]=""),0,tblMovement[[#This Row],[Tonnes_t]]*tblMovement[[#This Row],[Grade_gpt]]/cfg_TroyOz)</f>
        <v/>
      </c>
      <c r="O4130" s="59">
        <f>IF(tblMovement[[#This Row],[Is_Ore]]=1,tblMovement[[#This Row],[Contained_oz]],0)</f>
        <v/>
      </c>
    </row>
    <row r="4131">
      <c r="A4131" s="54" t="n"/>
      <c r="B4131" s="61" t="n"/>
      <c r="C4131" s="61" t="n"/>
      <c r="D4131" s="61" t="n"/>
      <c r="E4131" s="61" t="n"/>
      <c r="F4131" s="55" t="n"/>
      <c r="G4131" s="56" t="n"/>
      <c r="H4131" s="55" t="n"/>
      <c r="I4131" s="62" t="n"/>
      <c r="J4131" s="58" t="n"/>
      <c r="K4131" s="63">
        <f>IF(tblMovement[[#This Row],[Source]]="","",IFERROR(INDEX(tblSources[Type],MATCH(tblMovement[[#This Row],[Source]],tblSources[Source],0)),"?"))</f>
        <v/>
      </c>
      <c r="L4131" s="63">
        <f>IF(tblMovement[[#This Row],[Destination]]="","",IFERROR(INDEX(tblDestinations[Type],MATCH(tblMovement[[#This Row],[Destination]],tblDestinations[Destination],0)),"?"))</f>
        <v/>
      </c>
      <c r="M4131" s="64">
        <f>IF(tblMovement[[#This Row],[Material]]="","",IF(LEFT(tblMovement[[#This Row],[Material]],3)="Ore",1,0))</f>
        <v/>
      </c>
      <c r="N4131" s="59">
        <f>IF(OR(tblMovement[[#This Row],[Tonnes_t]]="",tblMovement[[#This Row],[Grade_gpt]]=""),0,tblMovement[[#This Row],[Tonnes_t]]*tblMovement[[#This Row],[Grade_gpt]]/cfg_TroyOz)</f>
        <v/>
      </c>
      <c r="O4131" s="59">
        <f>IF(tblMovement[[#This Row],[Is_Ore]]=1,tblMovement[[#This Row],[Contained_oz]],0)</f>
        <v/>
      </c>
    </row>
    <row r="4132">
      <c r="A4132" s="54" t="n"/>
      <c r="B4132" s="61" t="n"/>
      <c r="C4132" s="61" t="n"/>
      <c r="D4132" s="61" t="n"/>
      <c r="E4132" s="61" t="n"/>
      <c r="F4132" s="55" t="n"/>
      <c r="G4132" s="56" t="n"/>
      <c r="H4132" s="55" t="n"/>
      <c r="I4132" s="62" t="n"/>
      <c r="J4132" s="58" t="n"/>
      <c r="K4132" s="63">
        <f>IF(tblMovement[[#This Row],[Source]]="","",IFERROR(INDEX(tblSources[Type],MATCH(tblMovement[[#This Row],[Source]],tblSources[Source],0)),"?"))</f>
        <v/>
      </c>
      <c r="L4132" s="63">
        <f>IF(tblMovement[[#This Row],[Destination]]="","",IFERROR(INDEX(tblDestinations[Type],MATCH(tblMovement[[#This Row],[Destination]],tblDestinations[Destination],0)),"?"))</f>
        <v/>
      </c>
      <c r="M4132" s="64">
        <f>IF(tblMovement[[#This Row],[Material]]="","",IF(LEFT(tblMovement[[#This Row],[Material]],3)="Ore",1,0))</f>
        <v/>
      </c>
      <c r="N4132" s="59">
        <f>IF(OR(tblMovement[[#This Row],[Tonnes_t]]="",tblMovement[[#This Row],[Grade_gpt]]=""),0,tblMovement[[#This Row],[Tonnes_t]]*tblMovement[[#This Row],[Grade_gpt]]/cfg_TroyOz)</f>
        <v/>
      </c>
      <c r="O4132" s="59">
        <f>IF(tblMovement[[#This Row],[Is_Ore]]=1,tblMovement[[#This Row],[Contained_oz]],0)</f>
        <v/>
      </c>
    </row>
    <row r="4133">
      <c r="A4133" s="54" t="n"/>
      <c r="B4133" s="61" t="n"/>
      <c r="C4133" s="61" t="n"/>
      <c r="D4133" s="61" t="n"/>
      <c r="E4133" s="61" t="n"/>
      <c r="F4133" s="55" t="n"/>
      <c r="G4133" s="56" t="n"/>
      <c r="H4133" s="55" t="n"/>
      <c r="I4133" s="62" t="n"/>
      <c r="J4133" s="58" t="n"/>
      <c r="K4133" s="63">
        <f>IF(tblMovement[[#This Row],[Source]]="","",IFERROR(INDEX(tblSources[Type],MATCH(tblMovement[[#This Row],[Source]],tblSources[Source],0)),"?"))</f>
        <v/>
      </c>
      <c r="L4133" s="63">
        <f>IF(tblMovement[[#This Row],[Destination]]="","",IFERROR(INDEX(tblDestinations[Type],MATCH(tblMovement[[#This Row],[Destination]],tblDestinations[Destination],0)),"?"))</f>
        <v/>
      </c>
      <c r="M4133" s="64">
        <f>IF(tblMovement[[#This Row],[Material]]="","",IF(LEFT(tblMovement[[#This Row],[Material]],3)="Ore",1,0))</f>
        <v/>
      </c>
      <c r="N4133" s="59">
        <f>IF(OR(tblMovement[[#This Row],[Tonnes_t]]="",tblMovement[[#This Row],[Grade_gpt]]=""),0,tblMovement[[#This Row],[Tonnes_t]]*tblMovement[[#This Row],[Grade_gpt]]/cfg_TroyOz)</f>
        <v/>
      </c>
      <c r="O4133" s="59">
        <f>IF(tblMovement[[#This Row],[Is_Ore]]=1,tblMovement[[#This Row],[Contained_oz]],0)</f>
        <v/>
      </c>
    </row>
    <row r="4134">
      <c r="A4134" s="54" t="n"/>
      <c r="B4134" s="61" t="n"/>
      <c r="C4134" s="61" t="n"/>
      <c r="D4134" s="61" t="n"/>
      <c r="E4134" s="61" t="n"/>
      <c r="F4134" s="55" t="n"/>
      <c r="G4134" s="56" t="n"/>
      <c r="H4134" s="55" t="n"/>
      <c r="I4134" s="62" t="n"/>
      <c r="J4134" s="58" t="n"/>
      <c r="K4134" s="63">
        <f>IF(tblMovement[[#This Row],[Source]]="","",IFERROR(INDEX(tblSources[Type],MATCH(tblMovement[[#This Row],[Source]],tblSources[Source],0)),"?"))</f>
        <v/>
      </c>
      <c r="L4134" s="63">
        <f>IF(tblMovement[[#This Row],[Destination]]="","",IFERROR(INDEX(tblDestinations[Type],MATCH(tblMovement[[#This Row],[Destination]],tblDestinations[Destination],0)),"?"))</f>
        <v/>
      </c>
      <c r="M4134" s="64">
        <f>IF(tblMovement[[#This Row],[Material]]="","",IF(LEFT(tblMovement[[#This Row],[Material]],3)="Ore",1,0))</f>
        <v/>
      </c>
      <c r="N4134" s="59">
        <f>IF(OR(tblMovement[[#This Row],[Tonnes_t]]="",tblMovement[[#This Row],[Grade_gpt]]=""),0,tblMovement[[#This Row],[Tonnes_t]]*tblMovement[[#This Row],[Grade_gpt]]/cfg_TroyOz)</f>
        <v/>
      </c>
      <c r="O4134" s="59">
        <f>IF(tblMovement[[#This Row],[Is_Ore]]=1,tblMovement[[#This Row],[Contained_oz]],0)</f>
        <v/>
      </c>
    </row>
    <row r="4135">
      <c r="A4135" s="54" t="n"/>
      <c r="B4135" s="61" t="n"/>
      <c r="C4135" s="61" t="n"/>
      <c r="D4135" s="61" t="n"/>
      <c r="E4135" s="61" t="n"/>
      <c r="F4135" s="55" t="n"/>
      <c r="G4135" s="56" t="n"/>
      <c r="H4135" s="55" t="n"/>
      <c r="I4135" s="62" t="n"/>
      <c r="J4135" s="58" t="n"/>
      <c r="K4135" s="63">
        <f>IF(tblMovement[[#This Row],[Source]]="","",IFERROR(INDEX(tblSources[Type],MATCH(tblMovement[[#This Row],[Source]],tblSources[Source],0)),"?"))</f>
        <v/>
      </c>
      <c r="L4135" s="63">
        <f>IF(tblMovement[[#This Row],[Destination]]="","",IFERROR(INDEX(tblDestinations[Type],MATCH(tblMovement[[#This Row],[Destination]],tblDestinations[Destination],0)),"?"))</f>
        <v/>
      </c>
      <c r="M4135" s="64">
        <f>IF(tblMovement[[#This Row],[Material]]="","",IF(LEFT(tblMovement[[#This Row],[Material]],3)="Ore",1,0))</f>
        <v/>
      </c>
      <c r="N4135" s="59">
        <f>IF(OR(tblMovement[[#This Row],[Tonnes_t]]="",tblMovement[[#This Row],[Grade_gpt]]=""),0,tblMovement[[#This Row],[Tonnes_t]]*tblMovement[[#This Row],[Grade_gpt]]/cfg_TroyOz)</f>
        <v/>
      </c>
      <c r="O4135" s="59">
        <f>IF(tblMovement[[#This Row],[Is_Ore]]=1,tblMovement[[#This Row],[Contained_oz]],0)</f>
        <v/>
      </c>
    </row>
    <row r="4136">
      <c r="A4136" s="54" t="n"/>
      <c r="B4136" s="61" t="n"/>
      <c r="C4136" s="61" t="n"/>
      <c r="D4136" s="61" t="n"/>
      <c r="E4136" s="61" t="n"/>
      <c r="F4136" s="55" t="n"/>
      <c r="G4136" s="56" t="n"/>
      <c r="H4136" s="55" t="n"/>
      <c r="I4136" s="62" t="n"/>
      <c r="J4136" s="58" t="n"/>
      <c r="K4136" s="63">
        <f>IF(tblMovement[[#This Row],[Source]]="","",IFERROR(INDEX(tblSources[Type],MATCH(tblMovement[[#This Row],[Source]],tblSources[Source],0)),"?"))</f>
        <v/>
      </c>
      <c r="L4136" s="63">
        <f>IF(tblMovement[[#This Row],[Destination]]="","",IFERROR(INDEX(tblDestinations[Type],MATCH(tblMovement[[#This Row],[Destination]],tblDestinations[Destination],0)),"?"))</f>
        <v/>
      </c>
      <c r="M4136" s="64">
        <f>IF(tblMovement[[#This Row],[Material]]="","",IF(LEFT(tblMovement[[#This Row],[Material]],3)="Ore",1,0))</f>
        <v/>
      </c>
      <c r="N4136" s="59">
        <f>IF(OR(tblMovement[[#This Row],[Tonnes_t]]="",tblMovement[[#This Row],[Grade_gpt]]=""),0,tblMovement[[#This Row],[Tonnes_t]]*tblMovement[[#This Row],[Grade_gpt]]/cfg_TroyOz)</f>
        <v/>
      </c>
      <c r="O4136" s="59">
        <f>IF(tblMovement[[#This Row],[Is_Ore]]=1,tblMovement[[#This Row],[Contained_oz]],0)</f>
        <v/>
      </c>
    </row>
    <row r="4137">
      <c r="A4137" s="54" t="n"/>
      <c r="B4137" s="61" t="n"/>
      <c r="C4137" s="61" t="n"/>
      <c r="D4137" s="61" t="n"/>
      <c r="E4137" s="61" t="n"/>
      <c r="F4137" s="55" t="n"/>
      <c r="G4137" s="56" t="n"/>
      <c r="H4137" s="55" t="n"/>
      <c r="I4137" s="62" t="n"/>
      <c r="J4137" s="58" t="n"/>
      <c r="K4137" s="63">
        <f>IF(tblMovement[[#This Row],[Source]]="","",IFERROR(INDEX(tblSources[Type],MATCH(tblMovement[[#This Row],[Source]],tblSources[Source],0)),"?"))</f>
        <v/>
      </c>
      <c r="L4137" s="63">
        <f>IF(tblMovement[[#This Row],[Destination]]="","",IFERROR(INDEX(tblDestinations[Type],MATCH(tblMovement[[#This Row],[Destination]],tblDestinations[Destination],0)),"?"))</f>
        <v/>
      </c>
      <c r="M4137" s="64">
        <f>IF(tblMovement[[#This Row],[Material]]="","",IF(LEFT(tblMovement[[#This Row],[Material]],3)="Ore",1,0))</f>
        <v/>
      </c>
      <c r="N4137" s="59">
        <f>IF(OR(tblMovement[[#This Row],[Tonnes_t]]="",tblMovement[[#This Row],[Grade_gpt]]=""),0,tblMovement[[#This Row],[Tonnes_t]]*tblMovement[[#This Row],[Grade_gpt]]/cfg_TroyOz)</f>
        <v/>
      </c>
      <c r="O4137" s="59">
        <f>IF(tblMovement[[#This Row],[Is_Ore]]=1,tblMovement[[#This Row],[Contained_oz]],0)</f>
        <v/>
      </c>
    </row>
    <row r="4138">
      <c r="A4138" s="54" t="n"/>
      <c r="B4138" s="61" t="n"/>
      <c r="C4138" s="61" t="n"/>
      <c r="D4138" s="61" t="n"/>
      <c r="E4138" s="61" t="n"/>
      <c r="F4138" s="55" t="n"/>
      <c r="G4138" s="56" t="n"/>
      <c r="H4138" s="55" t="n"/>
      <c r="I4138" s="62" t="n"/>
      <c r="J4138" s="58" t="n"/>
      <c r="K4138" s="63">
        <f>IF(tblMovement[[#This Row],[Source]]="","",IFERROR(INDEX(tblSources[Type],MATCH(tblMovement[[#This Row],[Source]],tblSources[Source],0)),"?"))</f>
        <v/>
      </c>
      <c r="L4138" s="63">
        <f>IF(tblMovement[[#This Row],[Destination]]="","",IFERROR(INDEX(tblDestinations[Type],MATCH(tblMovement[[#This Row],[Destination]],tblDestinations[Destination],0)),"?"))</f>
        <v/>
      </c>
      <c r="M4138" s="64">
        <f>IF(tblMovement[[#This Row],[Material]]="","",IF(LEFT(tblMovement[[#This Row],[Material]],3)="Ore",1,0))</f>
        <v/>
      </c>
      <c r="N4138" s="59">
        <f>IF(OR(tblMovement[[#This Row],[Tonnes_t]]="",tblMovement[[#This Row],[Grade_gpt]]=""),0,tblMovement[[#This Row],[Tonnes_t]]*tblMovement[[#This Row],[Grade_gpt]]/cfg_TroyOz)</f>
        <v/>
      </c>
      <c r="O4138" s="59">
        <f>IF(tblMovement[[#This Row],[Is_Ore]]=1,tblMovement[[#This Row],[Contained_oz]],0)</f>
        <v/>
      </c>
    </row>
    <row r="4139">
      <c r="A4139" s="54" t="n"/>
      <c r="B4139" s="61" t="n"/>
      <c r="C4139" s="61" t="n"/>
      <c r="D4139" s="61" t="n"/>
      <c r="E4139" s="61" t="n"/>
      <c r="F4139" s="55" t="n"/>
      <c r="G4139" s="56" t="n"/>
      <c r="H4139" s="55" t="n"/>
      <c r="I4139" s="62" t="n"/>
      <c r="J4139" s="58" t="n"/>
      <c r="K4139" s="63">
        <f>IF(tblMovement[[#This Row],[Source]]="","",IFERROR(INDEX(tblSources[Type],MATCH(tblMovement[[#This Row],[Source]],tblSources[Source],0)),"?"))</f>
        <v/>
      </c>
      <c r="L4139" s="63">
        <f>IF(tblMovement[[#This Row],[Destination]]="","",IFERROR(INDEX(tblDestinations[Type],MATCH(tblMovement[[#This Row],[Destination]],tblDestinations[Destination],0)),"?"))</f>
        <v/>
      </c>
      <c r="M4139" s="64">
        <f>IF(tblMovement[[#This Row],[Material]]="","",IF(LEFT(tblMovement[[#This Row],[Material]],3)="Ore",1,0))</f>
        <v/>
      </c>
      <c r="N4139" s="59">
        <f>IF(OR(tblMovement[[#This Row],[Tonnes_t]]="",tblMovement[[#This Row],[Grade_gpt]]=""),0,tblMovement[[#This Row],[Tonnes_t]]*tblMovement[[#This Row],[Grade_gpt]]/cfg_TroyOz)</f>
        <v/>
      </c>
      <c r="O4139" s="59">
        <f>IF(tblMovement[[#This Row],[Is_Ore]]=1,tblMovement[[#This Row],[Contained_oz]],0)</f>
        <v/>
      </c>
    </row>
    <row r="4140">
      <c r="A4140" s="54" t="n"/>
      <c r="B4140" s="61" t="n"/>
      <c r="C4140" s="61" t="n"/>
      <c r="D4140" s="61" t="n"/>
      <c r="E4140" s="61" t="n"/>
      <c r="F4140" s="55" t="n"/>
      <c r="G4140" s="56" t="n"/>
      <c r="H4140" s="55" t="n"/>
      <c r="I4140" s="62" t="n"/>
      <c r="J4140" s="58" t="n"/>
      <c r="K4140" s="63">
        <f>IF(tblMovement[[#This Row],[Source]]="","",IFERROR(INDEX(tblSources[Type],MATCH(tblMovement[[#This Row],[Source]],tblSources[Source],0)),"?"))</f>
        <v/>
      </c>
      <c r="L4140" s="63">
        <f>IF(tblMovement[[#This Row],[Destination]]="","",IFERROR(INDEX(tblDestinations[Type],MATCH(tblMovement[[#This Row],[Destination]],tblDestinations[Destination],0)),"?"))</f>
        <v/>
      </c>
      <c r="M4140" s="64">
        <f>IF(tblMovement[[#This Row],[Material]]="","",IF(LEFT(tblMovement[[#This Row],[Material]],3)="Ore",1,0))</f>
        <v/>
      </c>
      <c r="N4140" s="59">
        <f>IF(OR(tblMovement[[#This Row],[Tonnes_t]]="",tblMovement[[#This Row],[Grade_gpt]]=""),0,tblMovement[[#This Row],[Tonnes_t]]*tblMovement[[#This Row],[Grade_gpt]]/cfg_TroyOz)</f>
        <v/>
      </c>
      <c r="O4140" s="59">
        <f>IF(tblMovement[[#This Row],[Is_Ore]]=1,tblMovement[[#This Row],[Contained_oz]],0)</f>
        <v/>
      </c>
    </row>
    <row r="4141">
      <c r="A4141" s="54" t="n"/>
      <c r="B4141" s="61" t="n"/>
      <c r="C4141" s="61" t="n"/>
      <c r="D4141" s="61" t="n"/>
      <c r="E4141" s="61" t="n"/>
      <c r="F4141" s="55" t="n"/>
      <c r="G4141" s="56" t="n"/>
      <c r="H4141" s="55" t="n"/>
      <c r="I4141" s="62" t="n"/>
      <c r="J4141" s="58" t="n"/>
      <c r="K4141" s="63">
        <f>IF(tblMovement[[#This Row],[Source]]="","",IFERROR(INDEX(tblSources[Type],MATCH(tblMovement[[#This Row],[Source]],tblSources[Source],0)),"?"))</f>
        <v/>
      </c>
      <c r="L4141" s="63">
        <f>IF(tblMovement[[#This Row],[Destination]]="","",IFERROR(INDEX(tblDestinations[Type],MATCH(tblMovement[[#This Row],[Destination]],tblDestinations[Destination],0)),"?"))</f>
        <v/>
      </c>
      <c r="M4141" s="64">
        <f>IF(tblMovement[[#This Row],[Material]]="","",IF(LEFT(tblMovement[[#This Row],[Material]],3)="Ore",1,0))</f>
        <v/>
      </c>
      <c r="N4141" s="59">
        <f>IF(OR(tblMovement[[#This Row],[Tonnes_t]]="",tblMovement[[#This Row],[Grade_gpt]]=""),0,tblMovement[[#This Row],[Tonnes_t]]*tblMovement[[#This Row],[Grade_gpt]]/cfg_TroyOz)</f>
        <v/>
      </c>
      <c r="O4141" s="59">
        <f>IF(tblMovement[[#This Row],[Is_Ore]]=1,tblMovement[[#This Row],[Contained_oz]],0)</f>
        <v/>
      </c>
    </row>
    <row r="4142">
      <c r="A4142" s="54" t="n"/>
      <c r="B4142" s="61" t="n"/>
      <c r="C4142" s="61" t="n"/>
      <c r="D4142" s="61" t="n"/>
      <c r="E4142" s="61" t="n"/>
      <c r="F4142" s="55" t="n"/>
      <c r="G4142" s="56" t="n"/>
      <c r="H4142" s="55" t="n"/>
      <c r="I4142" s="62" t="n"/>
      <c r="J4142" s="58" t="n"/>
      <c r="K4142" s="63">
        <f>IF(tblMovement[[#This Row],[Source]]="","",IFERROR(INDEX(tblSources[Type],MATCH(tblMovement[[#This Row],[Source]],tblSources[Source],0)),"?"))</f>
        <v/>
      </c>
      <c r="L4142" s="63">
        <f>IF(tblMovement[[#This Row],[Destination]]="","",IFERROR(INDEX(tblDestinations[Type],MATCH(tblMovement[[#This Row],[Destination]],tblDestinations[Destination],0)),"?"))</f>
        <v/>
      </c>
      <c r="M4142" s="64">
        <f>IF(tblMovement[[#This Row],[Material]]="","",IF(LEFT(tblMovement[[#This Row],[Material]],3)="Ore",1,0))</f>
        <v/>
      </c>
      <c r="N4142" s="59">
        <f>IF(OR(tblMovement[[#This Row],[Tonnes_t]]="",tblMovement[[#This Row],[Grade_gpt]]=""),0,tblMovement[[#This Row],[Tonnes_t]]*tblMovement[[#This Row],[Grade_gpt]]/cfg_TroyOz)</f>
        <v/>
      </c>
      <c r="O4142" s="59">
        <f>IF(tblMovement[[#This Row],[Is_Ore]]=1,tblMovement[[#This Row],[Contained_oz]],0)</f>
        <v/>
      </c>
    </row>
    <row r="4143">
      <c r="A4143" s="54" t="n"/>
      <c r="B4143" s="61" t="n"/>
      <c r="C4143" s="61" t="n"/>
      <c r="D4143" s="61" t="n"/>
      <c r="E4143" s="61" t="n"/>
      <c r="F4143" s="55" t="n"/>
      <c r="G4143" s="56" t="n"/>
      <c r="H4143" s="55" t="n"/>
      <c r="I4143" s="62" t="n"/>
      <c r="J4143" s="58" t="n"/>
      <c r="K4143" s="63">
        <f>IF(tblMovement[[#This Row],[Source]]="","",IFERROR(INDEX(tblSources[Type],MATCH(tblMovement[[#This Row],[Source]],tblSources[Source],0)),"?"))</f>
        <v/>
      </c>
      <c r="L4143" s="63">
        <f>IF(tblMovement[[#This Row],[Destination]]="","",IFERROR(INDEX(tblDestinations[Type],MATCH(tblMovement[[#This Row],[Destination]],tblDestinations[Destination],0)),"?"))</f>
        <v/>
      </c>
      <c r="M4143" s="64">
        <f>IF(tblMovement[[#This Row],[Material]]="","",IF(LEFT(tblMovement[[#This Row],[Material]],3)="Ore",1,0))</f>
        <v/>
      </c>
      <c r="N4143" s="59">
        <f>IF(OR(tblMovement[[#This Row],[Tonnes_t]]="",tblMovement[[#This Row],[Grade_gpt]]=""),0,tblMovement[[#This Row],[Tonnes_t]]*tblMovement[[#This Row],[Grade_gpt]]/cfg_TroyOz)</f>
        <v/>
      </c>
      <c r="O4143" s="59">
        <f>IF(tblMovement[[#This Row],[Is_Ore]]=1,tblMovement[[#This Row],[Contained_oz]],0)</f>
        <v/>
      </c>
    </row>
    <row r="4144">
      <c r="A4144" s="54" t="n"/>
      <c r="B4144" s="61" t="n"/>
      <c r="C4144" s="61" t="n"/>
      <c r="D4144" s="61" t="n"/>
      <c r="E4144" s="61" t="n"/>
      <c r="F4144" s="55" t="n"/>
      <c r="G4144" s="56" t="n"/>
      <c r="H4144" s="55" t="n"/>
      <c r="I4144" s="62" t="n"/>
      <c r="J4144" s="58" t="n"/>
      <c r="K4144" s="63">
        <f>IF(tblMovement[[#This Row],[Source]]="","",IFERROR(INDEX(tblSources[Type],MATCH(tblMovement[[#This Row],[Source]],tblSources[Source],0)),"?"))</f>
        <v/>
      </c>
      <c r="L4144" s="63">
        <f>IF(tblMovement[[#This Row],[Destination]]="","",IFERROR(INDEX(tblDestinations[Type],MATCH(tblMovement[[#This Row],[Destination]],tblDestinations[Destination],0)),"?"))</f>
        <v/>
      </c>
      <c r="M4144" s="64">
        <f>IF(tblMovement[[#This Row],[Material]]="","",IF(LEFT(tblMovement[[#This Row],[Material]],3)="Ore",1,0))</f>
        <v/>
      </c>
      <c r="N4144" s="59">
        <f>IF(OR(tblMovement[[#This Row],[Tonnes_t]]="",tblMovement[[#This Row],[Grade_gpt]]=""),0,tblMovement[[#This Row],[Tonnes_t]]*tblMovement[[#This Row],[Grade_gpt]]/cfg_TroyOz)</f>
        <v/>
      </c>
      <c r="O4144" s="59">
        <f>IF(tblMovement[[#This Row],[Is_Ore]]=1,tblMovement[[#This Row],[Contained_oz]],0)</f>
        <v/>
      </c>
    </row>
    <row r="4145">
      <c r="A4145" s="54" t="n"/>
      <c r="B4145" s="61" t="n"/>
      <c r="C4145" s="61" t="n"/>
      <c r="D4145" s="61" t="n"/>
      <c r="E4145" s="61" t="n"/>
      <c r="F4145" s="55" t="n"/>
      <c r="G4145" s="56" t="n"/>
      <c r="H4145" s="55" t="n"/>
      <c r="I4145" s="62" t="n"/>
      <c r="J4145" s="58" t="n"/>
      <c r="K4145" s="63">
        <f>IF(tblMovement[[#This Row],[Source]]="","",IFERROR(INDEX(tblSources[Type],MATCH(tblMovement[[#This Row],[Source]],tblSources[Source],0)),"?"))</f>
        <v/>
      </c>
      <c r="L4145" s="63">
        <f>IF(tblMovement[[#This Row],[Destination]]="","",IFERROR(INDEX(tblDestinations[Type],MATCH(tblMovement[[#This Row],[Destination]],tblDestinations[Destination],0)),"?"))</f>
        <v/>
      </c>
      <c r="M4145" s="64">
        <f>IF(tblMovement[[#This Row],[Material]]="","",IF(LEFT(tblMovement[[#This Row],[Material]],3)="Ore",1,0))</f>
        <v/>
      </c>
      <c r="N4145" s="59">
        <f>IF(OR(tblMovement[[#This Row],[Tonnes_t]]="",tblMovement[[#This Row],[Grade_gpt]]=""),0,tblMovement[[#This Row],[Tonnes_t]]*tblMovement[[#This Row],[Grade_gpt]]/cfg_TroyOz)</f>
        <v/>
      </c>
      <c r="O4145" s="59">
        <f>IF(tblMovement[[#This Row],[Is_Ore]]=1,tblMovement[[#This Row],[Contained_oz]],0)</f>
        <v/>
      </c>
    </row>
    <row r="4146">
      <c r="A4146" s="54" t="n"/>
      <c r="B4146" s="61" t="n"/>
      <c r="C4146" s="61" t="n"/>
      <c r="D4146" s="61" t="n"/>
      <c r="E4146" s="61" t="n"/>
      <c r="F4146" s="55" t="n"/>
      <c r="G4146" s="56" t="n"/>
      <c r="H4146" s="55" t="n"/>
      <c r="I4146" s="62" t="n"/>
      <c r="J4146" s="58" t="n"/>
      <c r="K4146" s="63">
        <f>IF(tblMovement[[#This Row],[Source]]="","",IFERROR(INDEX(tblSources[Type],MATCH(tblMovement[[#This Row],[Source]],tblSources[Source],0)),"?"))</f>
        <v/>
      </c>
      <c r="L4146" s="63">
        <f>IF(tblMovement[[#This Row],[Destination]]="","",IFERROR(INDEX(tblDestinations[Type],MATCH(tblMovement[[#This Row],[Destination]],tblDestinations[Destination],0)),"?"))</f>
        <v/>
      </c>
      <c r="M4146" s="64">
        <f>IF(tblMovement[[#This Row],[Material]]="","",IF(LEFT(tblMovement[[#This Row],[Material]],3)="Ore",1,0))</f>
        <v/>
      </c>
      <c r="N4146" s="59">
        <f>IF(OR(tblMovement[[#This Row],[Tonnes_t]]="",tblMovement[[#This Row],[Grade_gpt]]=""),0,tblMovement[[#This Row],[Tonnes_t]]*tblMovement[[#This Row],[Grade_gpt]]/cfg_TroyOz)</f>
        <v/>
      </c>
      <c r="O4146" s="59">
        <f>IF(tblMovement[[#This Row],[Is_Ore]]=1,tblMovement[[#This Row],[Contained_oz]],0)</f>
        <v/>
      </c>
    </row>
    <row r="4147">
      <c r="A4147" s="54" t="n"/>
      <c r="B4147" s="61" t="n"/>
      <c r="C4147" s="61" t="n"/>
      <c r="D4147" s="61" t="n"/>
      <c r="E4147" s="61" t="n"/>
      <c r="F4147" s="55" t="n"/>
      <c r="G4147" s="56" t="n"/>
      <c r="H4147" s="55" t="n"/>
      <c r="I4147" s="62" t="n"/>
      <c r="J4147" s="58" t="n"/>
      <c r="K4147" s="63">
        <f>IF(tblMovement[[#This Row],[Source]]="","",IFERROR(INDEX(tblSources[Type],MATCH(tblMovement[[#This Row],[Source]],tblSources[Source],0)),"?"))</f>
        <v/>
      </c>
      <c r="L4147" s="63">
        <f>IF(tblMovement[[#This Row],[Destination]]="","",IFERROR(INDEX(tblDestinations[Type],MATCH(tblMovement[[#This Row],[Destination]],tblDestinations[Destination],0)),"?"))</f>
        <v/>
      </c>
      <c r="M4147" s="64">
        <f>IF(tblMovement[[#This Row],[Material]]="","",IF(LEFT(tblMovement[[#This Row],[Material]],3)="Ore",1,0))</f>
        <v/>
      </c>
      <c r="N4147" s="59">
        <f>IF(OR(tblMovement[[#This Row],[Tonnes_t]]="",tblMovement[[#This Row],[Grade_gpt]]=""),0,tblMovement[[#This Row],[Tonnes_t]]*tblMovement[[#This Row],[Grade_gpt]]/cfg_TroyOz)</f>
        <v/>
      </c>
      <c r="O4147" s="59">
        <f>IF(tblMovement[[#This Row],[Is_Ore]]=1,tblMovement[[#This Row],[Contained_oz]],0)</f>
        <v/>
      </c>
    </row>
    <row r="4148">
      <c r="A4148" s="54" t="n"/>
      <c r="B4148" s="61" t="n"/>
      <c r="C4148" s="61" t="n"/>
      <c r="D4148" s="61" t="n"/>
      <c r="E4148" s="61" t="n"/>
      <c r="F4148" s="55" t="n"/>
      <c r="G4148" s="56" t="n"/>
      <c r="H4148" s="55" t="n"/>
      <c r="I4148" s="62" t="n"/>
      <c r="J4148" s="58" t="n"/>
      <c r="K4148" s="63">
        <f>IF(tblMovement[[#This Row],[Source]]="","",IFERROR(INDEX(tblSources[Type],MATCH(tblMovement[[#This Row],[Source]],tblSources[Source],0)),"?"))</f>
        <v/>
      </c>
      <c r="L4148" s="63">
        <f>IF(tblMovement[[#This Row],[Destination]]="","",IFERROR(INDEX(tblDestinations[Type],MATCH(tblMovement[[#This Row],[Destination]],tblDestinations[Destination],0)),"?"))</f>
        <v/>
      </c>
      <c r="M4148" s="64">
        <f>IF(tblMovement[[#This Row],[Material]]="","",IF(LEFT(tblMovement[[#This Row],[Material]],3)="Ore",1,0))</f>
        <v/>
      </c>
      <c r="N4148" s="59">
        <f>IF(OR(tblMovement[[#This Row],[Tonnes_t]]="",tblMovement[[#This Row],[Grade_gpt]]=""),0,tblMovement[[#This Row],[Tonnes_t]]*tblMovement[[#This Row],[Grade_gpt]]/cfg_TroyOz)</f>
        <v/>
      </c>
      <c r="O4148" s="59">
        <f>IF(tblMovement[[#This Row],[Is_Ore]]=1,tblMovement[[#This Row],[Contained_oz]],0)</f>
        <v/>
      </c>
    </row>
    <row r="4149">
      <c r="A4149" s="54" t="n"/>
      <c r="B4149" s="61" t="n"/>
      <c r="C4149" s="61" t="n"/>
      <c r="D4149" s="61" t="n"/>
      <c r="E4149" s="61" t="n"/>
      <c r="F4149" s="55" t="n"/>
      <c r="G4149" s="56" t="n"/>
      <c r="H4149" s="55" t="n"/>
      <c r="I4149" s="62" t="n"/>
      <c r="J4149" s="58" t="n"/>
      <c r="K4149" s="63">
        <f>IF(tblMovement[[#This Row],[Source]]="","",IFERROR(INDEX(tblSources[Type],MATCH(tblMovement[[#This Row],[Source]],tblSources[Source],0)),"?"))</f>
        <v/>
      </c>
      <c r="L4149" s="63">
        <f>IF(tblMovement[[#This Row],[Destination]]="","",IFERROR(INDEX(tblDestinations[Type],MATCH(tblMovement[[#This Row],[Destination]],tblDestinations[Destination],0)),"?"))</f>
        <v/>
      </c>
      <c r="M4149" s="64">
        <f>IF(tblMovement[[#This Row],[Material]]="","",IF(LEFT(tblMovement[[#This Row],[Material]],3)="Ore",1,0))</f>
        <v/>
      </c>
      <c r="N4149" s="59">
        <f>IF(OR(tblMovement[[#This Row],[Tonnes_t]]="",tblMovement[[#This Row],[Grade_gpt]]=""),0,tblMovement[[#This Row],[Tonnes_t]]*tblMovement[[#This Row],[Grade_gpt]]/cfg_TroyOz)</f>
        <v/>
      </c>
      <c r="O4149" s="59">
        <f>IF(tblMovement[[#This Row],[Is_Ore]]=1,tblMovement[[#This Row],[Contained_oz]],0)</f>
        <v/>
      </c>
    </row>
    <row r="4150">
      <c r="A4150" s="54" t="n"/>
      <c r="B4150" s="61" t="n"/>
      <c r="C4150" s="61" t="n"/>
      <c r="D4150" s="61" t="n"/>
      <c r="E4150" s="61" t="n"/>
      <c r="F4150" s="55" t="n"/>
      <c r="G4150" s="56" t="n"/>
      <c r="H4150" s="55" t="n"/>
      <c r="I4150" s="62" t="n"/>
      <c r="J4150" s="58" t="n"/>
      <c r="K4150" s="63">
        <f>IF(tblMovement[[#This Row],[Source]]="","",IFERROR(INDEX(tblSources[Type],MATCH(tblMovement[[#This Row],[Source]],tblSources[Source],0)),"?"))</f>
        <v/>
      </c>
      <c r="L4150" s="63">
        <f>IF(tblMovement[[#This Row],[Destination]]="","",IFERROR(INDEX(tblDestinations[Type],MATCH(tblMovement[[#This Row],[Destination]],tblDestinations[Destination],0)),"?"))</f>
        <v/>
      </c>
      <c r="M4150" s="64">
        <f>IF(tblMovement[[#This Row],[Material]]="","",IF(LEFT(tblMovement[[#This Row],[Material]],3)="Ore",1,0))</f>
        <v/>
      </c>
      <c r="N4150" s="59">
        <f>IF(OR(tblMovement[[#This Row],[Tonnes_t]]="",tblMovement[[#This Row],[Grade_gpt]]=""),0,tblMovement[[#This Row],[Tonnes_t]]*tblMovement[[#This Row],[Grade_gpt]]/cfg_TroyOz)</f>
        <v/>
      </c>
      <c r="O4150" s="59">
        <f>IF(tblMovement[[#This Row],[Is_Ore]]=1,tblMovement[[#This Row],[Contained_oz]],0)</f>
        <v/>
      </c>
    </row>
    <row r="4151">
      <c r="A4151" s="54" t="n"/>
      <c r="B4151" s="61" t="n"/>
      <c r="C4151" s="61" t="n"/>
      <c r="D4151" s="61" t="n"/>
      <c r="E4151" s="61" t="n"/>
      <c r="F4151" s="55" t="n"/>
      <c r="G4151" s="56" t="n"/>
      <c r="H4151" s="55" t="n"/>
      <c r="I4151" s="62" t="n"/>
      <c r="J4151" s="58" t="n"/>
      <c r="K4151" s="63">
        <f>IF(tblMovement[[#This Row],[Source]]="","",IFERROR(INDEX(tblSources[Type],MATCH(tblMovement[[#This Row],[Source]],tblSources[Source],0)),"?"))</f>
        <v/>
      </c>
      <c r="L4151" s="63">
        <f>IF(tblMovement[[#This Row],[Destination]]="","",IFERROR(INDEX(tblDestinations[Type],MATCH(tblMovement[[#This Row],[Destination]],tblDestinations[Destination],0)),"?"))</f>
        <v/>
      </c>
      <c r="M4151" s="64">
        <f>IF(tblMovement[[#This Row],[Material]]="","",IF(LEFT(tblMovement[[#This Row],[Material]],3)="Ore",1,0))</f>
        <v/>
      </c>
      <c r="N4151" s="59">
        <f>IF(OR(tblMovement[[#This Row],[Tonnes_t]]="",tblMovement[[#This Row],[Grade_gpt]]=""),0,tblMovement[[#This Row],[Tonnes_t]]*tblMovement[[#This Row],[Grade_gpt]]/cfg_TroyOz)</f>
        <v/>
      </c>
      <c r="O4151" s="59">
        <f>IF(tblMovement[[#This Row],[Is_Ore]]=1,tblMovement[[#This Row],[Contained_oz]],0)</f>
        <v/>
      </c>
    </row>
    <row r="4152">
      <c r="A4152" s="54" t="n"/>
      <c r="B4152" s="61" t="n"/>
      <c r="C4152" s="61" t="n"/>
      <c r="D4152" s="61" t="n"/>
      <c r="E4152" s="61" t="n"/>
      <c r="F4152" s="55" t="n"/>
      <c r="G4152" s="56" t="n"/>
      <c r="H4152" s="55" t="n"/>
      <c r="I4152" s="62" t="n"/>
      <c r="J4152" s="58" t="n"/>
      <c r="K4152" s="63">
        <f>IF(tblMovement[[#This Row],[Source]]="","",IFERROR(INDEX(tblSources[Type],MATCH(tblMovement[[#This Row],[Source]],tblSources[Source],0)),"?"))</f>
        <v/>
      </c>
      <c r="L4152" s="63">
        <f>IF(tblMovement[[#This Row],[Destination]]="","",IFERROR(INDEX(tblDestinations[Type],MATCH(tblMovement[[#This Row],[Destination]],tblDestinations[Destination],0)),"?"))</f>
        <v/>
      </c>
      <c r="M4152" s="64">
        <f>IF(tblMovement[[#This Row],[Material]]="","",IF(LEFT(tblMovement[[#This Row],[Material]],3)="Ore",1,0))</f>
        <v/>
      </c>
      <c r="N4152" s="59">
        <f>IF(OR(tblMovement[[#This Row],[Tonnes_t]]="",tblMovement[[#This Row],[Grade_gpt]]=""),0,tblMovement[[#This Row],[Tonnes_t]]*tblMovement[[#This Row],[Grade_gpt]]/cfg_TroyOz)</f>
        <v/>
      </c>
      <c r="O4152" s="59">
        <f>IF(tblMovement[[#This Row],[Is_Ore]]=1,tblMovement[[#This Row],[Contained_oz]],0)</f>
        <v/>
      </c>
    </row>
    <row r="4153">
      <c r="A4153" s="54" t="n"/>
      <c r="B4153" s="61" t="n"/>
      <c r="C4153" s="61" t="n"/>
      <c r="D4153" s="61" t="n"/>
      <c r="E4153" s="61" t="n"/>
      <c r="F4153" s="55" t="n"/>
      <c r="G4153" s="56" t="n"/>
      <c r="H4153" s="55" t="n"/>
      <c r="I4153" s="62" t="n"/>
      <c r="J4153" s="58" t="n"/>
      <c r="K4153" s="63">
        <f>IF(tblMovement[[#This Row],[Source]]="","",IFERROR(INDEX(tblSources[Type],MATCH(tblMovement[[#This Row],[Source]],tblSources[Source],0)),"?"))</f>
        <v/>
      </c>
      <c r="L4153" s="63">
        <f>IF(tblMovement[[#This Row],[Destination]]="","",IFERROR(INDEX(tblDestinations[Type],MATCH(tblMovement[[#This Row],[Destination]],tblDestinations[Destination],0)),"?"))</f>
        <v/>
      </c>
      <c r="M4153" s="64">
        <f>IF(tblMovement[[#This Row],[Material]]="","",IF(LEFT(tblMovement[[#This Row],[Material]],3)="Ore",1,0))</f>
        <v/>
      </c>
      <c r="N4153" s="59">
        <f>IF(OR(tblMovement[[#This Row],[Tonnes_t]]="",tblMovement[[#This Row],[Grade_gpt]]=""),0,tblMovement[[#This Row],[Tonnes_t]]*tblMovement[[#This Row],[Grade_gpt]]/cfg_TroyOz)</f>
        <v/>
      </c>
      <c r="O4153" s="59">
        <f>IF(tblMovement[[#This Row],[Is_Ore]]=1,tblMovement[[#This Row],[Contained_oz]],0)</f>
        <v/>
      </c>
    </row>
    <row r="4154">
      <c r="A4154" s="54" t="n"/>
      <c r="B4154" s="61" t="n"/>
      <c r="C4154" s="61" t="n"/>
      <c r="D4154" s="61" t="n"/>
      <c r="E4154" s="61" t="n"/>
      <c r="F4154" s="55" t="n"/>
      <c r="G4154" s="56" t="n"/>
      <c r="H4154" s="55" t="n"/>
      <c r="I4154" s="62" t="n"/>
      <c r="J4154" s="58" t="n"/>
      <c r="K4154" s="63">
        <f>IF(tblMovement[[#This Row],[Source]]="","",IFERROR(INDEX(tblSources[Type],MATCH(tblMovement[[#This Row],[Source]],tblSources[Source],0)),"?"))</f>
        <v/>
      </c>
      <c r="L4154" s="63">
        <f>IF(tblMovement[[#This Row],[Destination]]="","",IFERROR(INDEX(tblDestinations[Type],MATCH(tblMovement[[#This Row],[Destination]],tblDestinations[Destination],0)),"?"))</f>
        <v/>
      </c>
      <c r="M4154" s="64">
        <f>IF(tblMovement[[#This Row],[Material]]="","",IF(LEFT(tblMovement[[#This Row],[Material]],3)="Ore",1,0))</f>
        <v/>
      </c>
      <c r="N4154" s="59">
        <f>IF(OR(tblMovement[[#This Row],[Tonnes_t]]="",tblMovement[[#This Row],[Grade_gpt]]=""),0,tblMovement[[#This Row],[Tonnes_t]]*tblMovement[[#This Row],[Grade_gpt]]/cfg_TroyOz)</f>
        <v/>
      </c>
      <c r="O4154" s="59">
        <f>IF(tblMovement[[#This Row],[Is_Ore]]=1,tblMovement[[#This Row],[Contained_oz]],0)</f>
        <v/>
      </c>
    </row>
    <row r="4155">
      <c r="A4155" s="54" t="n"/>
      <c r="B4155" s="61" t="n"/>
      <c r="C4155" s="61" t="n"/>
      <c r="D4155" s="61" t="n"/>
      <c r="E4155" s="61" t="n"/>
      <c r="F4155" s="55" t="n"/>
      <c r="G4155" s="56" t="n"/>
      <c r="H4155" s="55" t="n"/>
      <c r="I4155" s="62" t="n"/>
      <c r="J4155" s="58" t="n"/>
      <c r="K4155" s="63">
        <f>IF(tblMovement[[#This Row],[Source]]="","",IFERROR(INDEX(tblSources[Type],MATCH(tblMovement[[#This Row],[Source]],tblSources[Source],0)),"?"))</f>
        <v/>
      </c>
      <c r="L4155" s="63">
        <f>IF(tblMovement[[#This Row],[Destination]]="","",IFERROR(INDEX(tblDestinations[Type],MATCH(tblMovement[[#This Row],[Destination]],tblDestinations[Destination],0)),"?"))</f>
        <v/>
      </c>
      <c r="M4155" s="64">
        <f>IF(tblMovement[[#This Row],[Material]]="","",IF(LEFT(tblMovement[[#This Row],[Material]],3)="Ore",1,0))</f>
        <v/>
      </c>
      <c r="N4155" s="59">
        <f>IF(OR(tblMovement[[#This Row],[Tonnes_t]]="",tblMovement[[#This Row],[Grade_gpt]]=""),0,tblMovement[[#This Row],[Tonnes_t]]*tblMovement[[#This Row],[Grade_gpt]]/cfg_TroyOz)</f>
        <v/>
      </c>
      <c r="O4155" s="59">
        <f>IF(tblMovement[[#This Row],[Is_Ore]]=1,tblMovement[[#This Row],[Contained_oz]],0)</f>
        <v/>
      </c>
    </row>
    <row r="4156">
      <c r="A4156" s="54" t="n"/>
      <c r="B4156" s="61" t="n"/>
      <c r="C4156" s="61" t="n"/>
      <c r="D4156" s="61" t="n"/>
      <c r="E4156" s="61" t="n"/>
      <c r="F4156" s="55" t="n"/>
      <c r="G4156" s="56" t="n"/>
      <c r="H4156" s="55" t="n"/>
      <c r="I4156" s="62" t="n"/>
      <c r="J4156" s="58" t="n"/>
      <c r="K4156" s="63">
        <f>IF(tblMovement[[#This Row],[Source]]="","",IFERROR(INDEX(tblSources[Type],MATCH(tblMovement[[#This Row],[Source]],tblSources[Source],0)),"?"))</f>
        <v/>
      </c>
      <c r="L4156" s="63">
        <f>IF(tblMovement[[#This Row],[Destination]]="","",IFERROR(INDEX(tblDestinations[Type],MATCH(tblMovement[[#This Row],[Destination]],tblDestinations[Destination],0)),"?"))</f>
        <v/>
      </c>
      <c r="M4156" s="64">
        <f>IF(tblMovement[[#This Row],[Material]]="","",IF(LEFT(tblMovement[[#This Row],[Material]],3)="Ore",1,0))</f>
        <v/>
      </c>
      <c r="N4156" s="59">
        <f>IF(OR(tblMovement[[#This Row],[Tonnes_t]]="",tblMovement[[#This Row],[Grade_gpt]]=""),0,tblMovement[[#This Row],[Tonnes_t]]*tblMovement[[#This Row],[Grade_gpt]]/cfg_TroyOz)</f>
        <v/>
      </c>
      <c r="O4156" s="59">
        <f>IF(tblMovement[[#This Row],[Is_Ore]]=1,tblMovement[[#This Row],[Contained_oz]],0)</f>
        <v/>
      </c>
    </row>
    <row r="4157">
      <c r="A4157" s="54" t="n"/>
      <c r="B4157" s="61" t="n"/>
      <c r="C4157" s="61" t="n"/>
      <c r="D4157" s="61" t="n"/>
      <c r="E4157" s="61" t="n"/>
      <c r="F4157" s="55" t="n"/>
      <c r="G4157" s="56" t="n"/>
      <c r="H4157" s="55" t="n"/>
      <c r="I4157" s="62" t="n"/>
      <c r="J4157" s="58" t="n"/>
      <c r="K4157" s="63">
        <f>IF(tblMovement[[#This Row],[Source]]="","",IFERROR(INDEX(tblSources[Type],MATCH(tblMovement[[#This Row],[Source]],tblSources[Source],0)),"?"))</f>
        <v/>
      </c>
      <c r="L4157" s="63">
        <f>IF(tblMovement[[#This Row],[Destination]]="","",IFERROR(INDEX(tblDestinations[Type],MATCH(tblMovement[[#This Row],[Destination]],tblDestinations[Destination],0)),"?"))</f>
        <v/>
      </c>
      <c r="M4157" s="64">
        <f>IF(tblMovement[[#This Row],[Material]]="","",IF(LEFT(tblMovement[[#This Row],[Material]],3)="Ore",1,0))</f>
        <v/>
      </c>
      <c r="N4157" s="59">
        <f>IF(OR(tblMovement[[#This Row],[Tonnes_t]]="",tblMovement[[#This Row],[Grade_gpt]]=""),0,tblMovement[[#This Row],[Tonnes_t]]*tblMovement[[#This Row],[Grade_gpt]]/cfg_TroyOz)</f>
        <v/>
      </c>
      <c r="O4157" s="59">
        <f>IF(tblMovement[[#This Row],[Is_Ore]]=1,tblMovement[[#This Row],[Contained_oz]],0)</f>
        <v/>
      </c>
    </row>
    <row r="4158">
      <c r="A4158" s="54" t="n"/>
      <c r="B4158" s="61" t="n"/>
      <c r="C4158" s="61" t="n"/>
      <c r="D4158" s="61" t="n"/>
      <c r="E4158" s="61" t="n"/>
      <c r="F4158" s="55" t="n"/>
      <c r="G4158" s="56" t="n"/>
      <c r="H4158" s="55" t="n"/>
      <c r="I4158" s="62" t="n"/>
      <c r="J4158" s="58" t="n"/>
      <c r="K4158" s="63">
        <f>IF(tblMovement[[#This Row],[Source]]="","",IFERROR(INDEX(tblSources[Type],MATCH(tblMovement[[#This Row],[Source]],tblSources[Source],0)),"?"))</f>
        <v/>
      </c>
      <c r="L4158" s="63">
        <f>IF(tblMovement[[#This Row],[Destination]]="","",IFERROR(INDEX(tblDestinations[Type],MATCH(tblMovement[[#This Row],[Destination]],tblDestinations[Destination],0)),"?"))</f>
        <v/>
      </c>
      <c r="M4158" s="64">
        <f>IF(tblMovement[[#This Row],[Material]]="","",IF(LEFT(tblMovement[[#This Row],[Material]],3)="Ore",1,0))</f>
        <v/>
      </c>
      <c r="N4158" s="59">
        <f>IF(OR(tblMovement[[#This Row],[Tonnes_t]]="",tblMovement[[#This Row],[Grade_gpt]]=""),0,tblMovement[[#This Row],[Tonnes_t]]*tblMovement[[#This Row],[Grade_gpt]]/cfg_TroyOz)</f>
        <v/>
      </c>
      <c r="O4158" s="59">
        <f>IF(tblMovement[[#This Row],[Is_Ore]]=1,tblMovement[[#This Row],[Contained_oz]],0)</f>
        <v/>
      </c>
    </row>
    <row r="4159">
      <c r="A4159" s="54" t="n"/>
      <c r="B4159" s="61" t="n"/>
      <c r="C4159" s="61" t="n"/>
      <c r="D4159" s="61" t="n"/>
      <c r="E4159" s="61" t="n"/>
      <c r="F4159" s="55" t="n"/>
      <c r="G4159" s="56" t="n"/>
      <c r="H4159" s="55" t="n"/>
      <c r="I4159" s="62" t="n"/>
      <c r="J4159" s="58" t="n"/>
      <c r="K4159" s="63">
        <f>IF(tblMovement[[#This Row],[Source]]="","",IFERROR(INDEX(tblSources[Type],MATCH(tblMovement[[#This Row],[Source]],tblSources[Source],0)),"?"))</f>
        <v/>
      </c>
      <c r="L4159" s="63">
        <f>IF(tblMovement[[#This Row],[Destination]]="","",IFERROR(INDEX(tblDestinations[Type],MATCH(tblMovement[[#This Row],[Destination]],tblDestinations[Destination],0)),"?"))</f>
        <v/>
      </c>
      <c r="M4159" s="64">
        <f>IF(tblMovement[[#This Row],[Material]]="","",IF(LEFT(tblMovement[[#This Row],[Material]],3)="Ore",1,0))</f>
        <v/>
      </c>
      <c r="N4159" s="59">
        <f>IF(OR(tblMovement[[#This Row],[Tonnes_t]]="",tblMovement[[#This Row],[Grade_gpt]]=""),0,tblMovement[[#This Row],[Tonnes_t]]*tblMovement[[#This Row],[Grade_gpt]]/cfg_TroyOz)</f>
        <v/>
      </c>
      <c r="O4159" s="59">
        <f>IF(tblMovement[[#This Row],[Is_Ore]]=1,tblMovement[[#This Row],[Contained_oz]],0)</f>
        <v/>
      </c>
    </row>
    <row r="4160">
      <c r="A4160" s="54" t="n"/>
      <c r="B4160" s="61" t="n"/>
      <c r="C4160" s="61" t="n"/>
      <c r="D4160" s="61" t="n"/>
      <c r="E4160" s="61" t="n"/>
      <c r="F4160" s="55" t="n"/>
      <c r="G4160" s="56" t="n"/>
      <c r="H4160" s="55" t="n"/>
      <c r="I4160" s="62" t="n"/>
      <c r="J4160" s="58" t="n"/>
      <c r="K4160" s="63">
        <f>IF(tblMovement[[#This Row],[Source]]="","",IFERROR(INDEX(tblSources[Type],MATCH(tblMovement[[#This Row],[Source]],tblSources[Source],0)),"?"))</f>
        <v/>
      </c>
      <c r="L4160" s="63">
        <f>IF(tblMovement[[#This Row],[Destination]]="","",IFERROR(INDEX(tblDestinations[Type],MATCH(tblMovement[[#This Row],[Destination]],tblDestinations[Destination],0)),"?"))</f>
        <v/>
      </c>
      <c r="M4160" s="64">
        <f>IF(tblMovement[[#This Row],[Material]]="","",IF(LEFT(tblMovement[[#This Row],[Material]],3)="Ore",1,0))</f>
        <v/>
      </c>
      <c r="N4160" s="59">
        <f>IF(OR(tblMovement[[#This Row],[Tonnes_t]]="",tblMovement[[#This Row],[Grade_gpt]]=""),0,tblMovement[[#This Row],[Tonnes_t]]*tblMovement[[#This Row],[Grade_gpt]]/cfg_TroyOz)</f>
        <v/>
      </c>
      <c r="O4160" s="59">
        <f>IF(tblMovement[[#This Row],[Is_Ore]]=1,tblMovement[[#This Row],[Contained_oz]],0)</f>
        <v/>
      </c>
    </row>
    <row r="4161">
      <c r="A4161" s="54" t="n"/>
      <c r="B4161" s="61" t="n"/>
      <c r="C4161" s="61" t="n"/>
      <c r="D4161" s="61" t="n"/>
      <c r="E4161" s="61" t="n"/>
      <c r="F4161" s="55" t="n"/>
      <c r="G4161" s="56" t="n"/>
      <c r="H4161" s="55" t="n"/>
      <c r="I4161" s="62" t="n"/>
      <c r="J4161" s="58" t="n"/>
      <c r="K4161" s="63">
        <f>IF(tblMovement[[#This Row],[Source]]="","",IFERROR(INDEX(tblSources[Type],MATCH(tblMovement[[#This Row],[Source]],tblSources[Source],0)),"?"))</f>
        <v/>
      </c>
      <c r="L4161" s="63">
        <f>IF(tblMovement[[#This Row],[Destination]]="","",IFERROR(INDEX(tblDestinations[Type],MATCH(tblMovement[[#This Row],[Destination]],tblDestinations[Destination],0)),"?"))</f>
        <v/>
      </c>
      <c r="M4161" s="64">
        <f>IF(tblMovement[[#This Row],[Material]]="","",IF(LEFT(tblMovement[[#This Row],[Material]],3)="Ore",1,0))</f>
        <v/>
      </c>
      <c r="N4161" s="59">
        <f>IF(OR(tblMovement[[#This Row],[Tonnes_t]]="",tblMovement[[#This Row],[Grade_gpt]]=""),0,tblMovement[[#This Row],[Tonnes_t]]*tblMovement[[#This Row],[Grade_gpt]]/cfg_TroyOz)</f>
        <v/>
      </c>
      <c r="O4161" s="59">
        <f>IF(tblMovement[[#This Row],[Is_Ore]]=1,tblMovement[[#This Row],[Contained_oz]],0)</f>
        <v/>
      </c>
    </row>
    <row r="4162">
      <c r="A4162" s="54" t="n"/>
      <c r="B4162" s="61" t="n"/>
      <c r="C4162" s="61" t="n"/>
      <c r="D4162" s="61" t="n"/>
      <c r="E4162" s="61" t="n"/>
      <c r="F4162" s="55" t="n"/>
      <c r="G4162" s="56" t="n"/>
      <c r="H4162" s="55" t="n"/>
      <c r="I4162" s="62" t="n"/>
      <c r="J4162" s="58" t="n"/>
      <c r="K4162" s="63">
        <f>IF(tblMovement[[#This Row],[Source]]="","",IFERROR(INDEX(tblSources[Type],MATCH(tblMovement[[#This Row],[Source]],tblSources[Source],0)),"?"))</f>
        <v/>
      </c>
      <c r="L4162" s="63">
        <f>IF(tblMovement[[#This Row],[Destination]]="","",IFERROR(INDEX(tblDestinations[Type],MATCH(tblMovement[[#This Row],[Destination]],tblDestinations[Destination],0)),"?"))</f>
        <v/>
      </c>
      <c r="M4162" s="64">
        <f>IF(tblMovement[[#This Row],[Material]]="","",IF(LEFT(tblMovement[[#This Row],[Material]],3)="Ore",1,0))</f>
        <v/>
      </c>
      <c r="N4162" s="59">
        <f>IF(OR(tblMovement[[#This Row],[Tonnes_t]]="",tblMovement[[#This Row],[Grade_gpt]]=""),0,tblMovement[[#This Row],[Tonnes_t]]*tblMovement[[#This Row],[Grade_gpt]]/cfg_TroyOz)</f>
        <v/>
      </c>
      <c r="O4162" s="59">
        <f>IF(tblMovement[[#This Row],[Is_Ore]]=1,tblMovement[[#This Row],[Contained_oz]],0)</f>
        <v/>
      </c>
    </row>
    <row r="4163">
      <c r="A4163" s="54" t="n"/>
      <c r="B4163" s="61" t="n"/>
      <c r="C4163" s="61" t="n"/>
      <c r="D4163" s="61" t="n"/>
      <c r="E4163" s="61" t="n"/>
      <c r="F4163" s="55" t="n"/>
      <c r="G4163" s="56" t="n"/>
      <c r="H4163" s="55" t="n"/>
      <c r="I4163" s="62" t="n"/>
      <c r="J4163" s="58" t="n"/>
      <c r="K4163" s="63">
        <f>IF(tblMovement[[#This Row],[Source]]="","",IFERROR(INDEX(tblSources[Type],MATCH(tblMovement[[#This Row],[Source]],tblSources[Source],0)),"?"))</f>
        <v/>
      </c>
      <c r="L4163" s="63">
        <f>IF(tblMovement[[#This Row],[Destination]]="","",IFERROR(INDEX(tblDestinations[Type],MATCH(tblMovement[[#This Row],[Destination]],tblDestinations[Destination],0)),"?"))</f>
        <v/>
      </c>
      <c r="M4163" s="64">
        <f>IF(tblMovement[[#This Row],[Material]]="","",IF(LEFT(tblMovement[[#This Row],[Material]],3)="Ore",1,0))</f>
        <v/>
      </c>
      <c r="N4163" s="59">
        <f>IF(OR(tblMovement[[#This Row],[Tonnes_t]]="",tblMovement[[#This Row],[Grade_gpt]]=""),0,tblMovement[[#This Row],[Tonnes_t]]*tblMovement[[#This Row],[Grade_gpt]]/cfg_TroyOz)</f>
        <v/>
      </c>
      <c r="O4163" s="59">
        <f>IF(tblMovement[[#This Row],[Is_Ore]]=1,tblMovement[[#This Row],[Contained_oz]],0)</f>
        <v/>
      </c>
    </row>
    <row r="4164">
      <c r="A4164" s="54" t="n"/>
      <c r="B4164" s="61" t="n"/>
      <c r="C4164" s="61" t="n"/>
      <c r="D4164" s="61" t="n"/>
      <c r="E4164" s="61" t="n"/>
      <c r="F4164" s="55" t="n"/>
      <c r="G4164" s="56" t="n"/>
      <c r="H4164" s="55" t="n"/>
      <c r="I4164" s="62" t="n"/>
      <c r="J4164" s="58" t="n"/>
      <c r="K4164" s="63">
        <f>IF(tblMovement[[#This Row],[Source]]="","",IFERROR(INDEX(tblSources[Type],MATCH(tblMovement[[#This Row],[Source]],tblSources[Source],0)),"?"))</f>
        <v/>
      </c>
      <c r="L4164" s="63">
        <f>IF(tblMovement[[#This Row],[Destination]]="","",IFERROR(INDEX(tblDestinations[Type],MATCH(tblMovement[[#This Row],[Destination]],tblDestinations[Destination],0)),"?"))</f>
        <v/>
      </c>
      <c r="M4164" s="64">
        <f>IF(tblMovement[[#This Row],[Material]]="","",IF(LEFT(tblMovement[[#This Row],[Material]],3)="Ore",1,0))</f>
        <v/>
      </c>
      <c r="N4164" s="59">
        <f>IF(OR(tblMovement[[#This Row],[Tonnes_t]]="",tblMovement[[#This Row],[Grade_gpt]]=""),0,tblMovement[[#This Row],[Tonnes_t]]*tblMovement[[#This Row],[Grade_gpt]]/cfg_TroyOz)</f>
        <v/>
      </c>
      <c r="O4164" s="59">
        <f>IF(tblMovement[[#This Row],[Is_Ore]]=1,tblMovement[[#This Row],[Contained_oz]],0)</f>
        <v/>
      </c>
    </row>
    <row r="4165">
      <c r="A4165" s="54" t="n"/>
      <c r="B4165" s="61" t="n"/>
      <c r="C4165" s="61" t="n"/>
      <c r="D4165" s="61" t="n"/>
      <c r="E4165" s="61" t="n"/>
      <c r="F4165" s="55" t="n"/>
      <c r="G4165" s="56" t="n"/>
      <c r="H4165" s="55" t="n"/>
      <c r="I4165" s="62" t="n"/>
      <c r="J4165" s="58" t="n"/>
      <c r="K4165" s="63">
        <f>IF(tblMovement[[#This Row],[Source]]="","",IFERROR(INDEX(tblSources[Type],MATCH(tblMovement[[#This Row],[Source]],tblSources[Source],0)),"?"))</f>
        <v/>
      </c>
      <c r="L4165" s="63">
        <f>IF(tblMovement[[#This Row],[Destination]]="","",IFERROR(INDEX(tblDestinations[Type],MATCH(tblMovement[[#This Row],[Destination]],tblDestinations[Destination],0)),"?"))</f>
        <v/>
      </c>
      <c r="M4165" s="64">
        <f>IF(tblMovement[[#This Row],[Material]]="","",IF(LEFT(tblMovement[[#This Row],[Material]],3)="Ore",1,0))</f>
        <v/>
      </c>
      <c r="N4165" s="59">
        <f>IF(OR(tblMovement[[#This Row],[Tonnes_t]]="",tblMovement[[#This Row],[Grade_gpt]]=""),0,tblMovement[[#This Row],[Tonnes_t]]*tblMovement[[#This Row],[Grade_gpt]]/cfg_TroyOz)</f>
        <v/>
      </c>
      <c r="O4165" s="59">
        <f>IF(tblMovement[[#This Row],[Is_Ore]]=1,tblMovement[[#This Row],[Contained_oz]],0)</f>
        <v/>
      </c>
    </row>
    <row r="4166">
      <c r="A4166" s="54" t="n"/>
      <c r="B4166" s="61" t="n"/>
      <c r="C4166" s="61" t="n"/>
      <c r="D4166" s="61" t="n"/>
      <c r="E4166" s="61" t="n"/>
      <c r="F4166" s="55" t="n"/>
      <c r="G4166" s="56" t="n"/>
      <c r="H4166" s="55" t="n"/>
      <c r="I4166" s="62" t="n"/>
      <c r="J4166" s="58" t="n"/>
      <c r="K4166" s="63">
        <f>IF(tblMovement[[#This Row],[Source]]="","",IFERROR(INDEX(tblSources[Type],MATCH(tblMovement[[#This Row],[Source]],tblSources[Source],0)),"?"))</f>
        <v/>
      </c>
      <c r="L4166" s="63">
        <f>IF(tblMovement[[#This Row],[Destination]]="","",IFERROR(INDEX(tblDestinations[Type],MATCH(tblMovement[[#This Row],[Destination]],tblDestinations[Destination],0)),"?"))</f>
        <v/>
      </c>
      <c r="M4166" s="64">
        <f>IF(tblMovement[[#This Row],[Material]]="","",IF(LEFT(tblMovement[[#This Row],[Material]],3)="Ore",1,0))</f>
        <v/>
      </c>
      <c r="N4166" s="59">
        <f>IF(OR(tblMovement[[#This Row],[Tonnes_t]]="",tblMovement[[#This Row],[Grade_gpt]]=""),0,tblMovement[[#This Row],[Tonnes_t]]*tblMovement[[#This Row],[Grade_gpt]]/cfg_TroyOz)</f>
        <v/>
      </c>
      <c r="O4166" s="59">
        <f>IF(tblMovement[[#This Row],[Is_Ore]]=1,tblMovement[[#This Row],[Contained_oz]],0)</f>
        <v/>
      </c>
    </row>
    <row r="4167">
      <c r="A4167" s="54" t="n"/>
      <c r="B4167" s="61" t="n"/>
      <c r="C4167" s="61" t="n"/>
      <c r="D4167" s="61" t="n"/>
      <c r="E4167" s="61" t="n"/>
      <c r="F4167" s="55" t="n"/>
      <c r="G4167" s="56" t="n"/>
      <c r="H4167" s="55" t="n"/>
      <c r="I4167" s="62" t="n"/>
      <c r="J4167" s="58" t="n"/>
      <c r="K4167" s="63">
        <f>IF(tblMovement[[#This Row],[Source]]="","",IFERROR(INDEX(tblSources[Type],MATCH(tblMovement[[#This Row],[Source]],tblSources[Source],0)),"?"))</f>
        <v/>
      </c>
      <c r="L4167" s="63">
        <f>IF(tblMovement[[#This Row],[Destination]]="","",IFERROR(INDEX(tblDestinations[Type],MATCH(tblMovement[[#This Row],[Destination]],tblDestinations[Destination],0)),"?"))</f>
        <v/>
      </c>
      <c r="M4167" s="64">
        <f>IF(tblMovement[[#This Row],[Material]]="","",IF(LEFT(tblMovement[[#This Row],[Material]],3)="Ore",1,0))</f>
        <v/>
      </c>
      <c r="N4167" s="59">
        <f>IF(OR(tblMovement[[#This Row],[Tonnes_t]]="",tblMovement[[#This Row],[Grade_gpt]]=""),0,tblMovement[[#This Row],[Tonnes_t]]*tblMovement[[#This Row],[Grade_gpt]]/cfg_TroyOz)</f>
        <v/>
      </c>
      <c r="O4167" s="59">
        <f>IF(tblMovement[[#This Row],[Is_Ore]]=1,tblMovement[[#This Row],[Contained_oz]],0)</f>
        <v/>
      </c>
    </row>
    <row r="4168">
      <c r="A4168" s="54" t="n"/>
      <c r="B4168" s="61" t="n"/>
      <c r="C4168" s="61" t="n"/>
      <c r="D4168" s="61" t="n"/>
      <c r="E4168" s="61" t="n"/>
      <c r="F4168" s="55" t="n"/>
      <c r="G4168" s="56" t="n"/>
      <c r="H4168" s="55" t="n"/>
      <c r="I4168" s="62" t="n"/>
      <c r="J4168" s="58" t="n"/>
      <c r="K4168" s="63">
        <f>IF(tblMovement[[#This Row],[Source]]="","",IFERROR(INDEX(tblSources[Type],MATCH(tblMovement[[#This Row],[Source]],tblSources[Source],0)),"?"))</f>
        <v/>
      </c>
      <c r="L4168" s="63">
        <f>IF(tblMovement[[#This Row],[Destination]]="","",IFERROR(INDEX(tblDestinations[Type],MATCH(tblMovement[[#This Row],[Destination]],tblDestinations[Destination],0)),"?"))</f>
        <v/>
      </c>
      <c r="M4168" s="64">
        <f>IF(tblMovement[[#This Row],[Material]]="","",IF(LEFT(tblMovement[[#This Row],[Material]],3)="Ore",1,0))</f>
        <v/>
      </c>
      <c r="N4168" s="59">
        <f>IF(OR(tblMovement[[#This Row],[Tonnes_t]]="",tblMovement[[#This Row],[Grade_gpt]]=""),0,tblMovement[[#This Row],[Tonnes_t]]*tblMovement[[#This Row],[Grade_gpt]]/cfg_TroyOz)</f>
        <v/>
      </c>
      <c r="O4168" s="59">
        <f>IF(tblMovement[[#This Row],[Is_Ore]]=1,tblMovement[[#This Row],[Contained_oz]],0)</f>
        <v/>
      </c>
    </row>
    <row r="4169">
      <c r="A4169" s="54" t="n"/>
      <c r="B4169" s="61" t="n"/>
      <c r="C4169" s="61" t="n"/>
      <c r="D4169" s="61" t="n"/>
      <c r="E4169" s="61" t="n"/>
      <c r="F4169" s="55" t="n"/>
      <c r="G4169" s="56" t="n"/>
      <c r="H4169" s="55" t="n"/>
      <c r="I4169" s="62" t="n"/>
      <c r="J4169" s="58" t="n"/>
      <c r="K4169" s="63">
        <f>IF(tblMovement[[#This Row],[Source]]="","",IFERROR(INDEX(tblSources[Type],MATCH(tblMovement[[#This Row],[Source]],tblSources[Source],0)),"?"))</f>
        <v/>
      </c>
      <c r="L4169" s="63">
        <f>IF(tblMovement[[#This Row],[Destination]]="","",IFERROR(INDEX(tblDestinations[Type],MATCH(tblMovement[[#This Row],[Destination]],tblDestinations[Destination],0)),"?"))</f>
        <v/>
      </c>
      <c r="M4169" s="64">
        <f>IF(tblMovement[[#This Row],[Material]]="","",IF(LEFT(tblMovement[[#This Row],[Material]],3)="Ore",1,0))</f>
        <v/>
      </c>
      <c r="N4169" s="59">
        <f>IF(OR(tblMovement[[#This Row],[Tonnes_t]]="",tblMovement[[#This Row],[Grade_gpt]]=""),0,tblMovement[[#This Row],[Tonnes_t]]*tblMovement[[#This Row],[Grade_gpt]]/cfg_TroyOz)</f>
        <v/>
      </c>
      <c r="O4169" s="59">
        <f>IF(tblMovement[[#This Row],[Is_Ore]]=1,tblMovement[[#This Row],[Contained_oz]],0)</f>
        <v/>
      </c>
    </row>
    <row r="4170">
      <c r="A4170" s="54" t="n"/>
      <c r="B4170" s="61" t="n"/>
      <c r="C4170" s="61" t="n"/>
      <c r="D4170" s="61" t="n"/>
      <c r="E4170" s="61" t="n"/>
      <c r="F4170" s="55" t="n"/>
      <c r="G4170" s="56" t="n"/>
      <c r="H4170" s="55" t="n"/>
      <c r="I4170" s="62" t="n"/>
      <c r="J4170" s="58" t="n"/>
      <c r="K4170" s="63">
        <f>IF(tblMovement[[#This Row],[Source]]="","",IFERROR(INDEX(tblSources[Type],MATCH(tblMovement[[#This Row],[Source]],tblSources[Source],0)),"?"))</f>
        <v/>
      </c>
      <c r="L4170" s="63">
        <f>IF(tblMovement[[#This Row],[Destination]]="","",IFERROR(INDEX(tblDestinations[Type],MATCH(tblMovement[[#This Row],[Destination]],tblDestinations[Destination],0)),"?"))</f>
        <v/>
      </c>
      <c r="M4170" s="64">
        <f>IF(tblMovement[[#This Row],[Material]]="","",IF(LEFT(tblMovement[[#This Row],[Material]],3)="Ore",1,0))</f>
        <v/>
      </c>
      <c r="N4170" s="59">
        <f>IF(OR(tblMovement[[#This Row],[Tonnes_t]]="",tblMovement[[#This Row],[Grade_gpt]]=""),0,tblMovement[[#This Row],[Tonnes_t]]*tblMovement[[#This Row],[Grade_gpt]]/cfg_TroyOz)</f>
        <v/>
      </c>
      <c r="O4170" s="59">
        <f>IF(tblMovement[[#This Row],[Is_Ore]]=1,tblMovement[[#This Row],[Contained_oz]],0)</f>
        <v/>
      </c>
    </row>
    <row r="4171">
      <c r="A4171" s="54" t="n"/>
      <c r="B4171" s="61" t="n"/>
      <c r="C4171" s="61" t="n"/>
      <c r="D4171" s="61" t="n"/>
      <c r="E4171" s="61" t="n"/>
      <c r="F4171" s="55" t="n"/>
      <c r="G4171" s="56" t="n"/>
      <c r="H4171" s="55" t="n"/>
      <c r="I4171" s="62" t="n"/>
      <c r="J4171" s="58" t="n"/>
      <c r="K4171" s="63">
        <f>IF(tblMovement[[#This Row],[Source]]="","",IFERROR(INDEX(tblSources[Type],MATCH(tblMovement[[#This Row],[Source]],tblSources[Source],0)),"?"))</f>
        <v/>
      </c>
      <c r="L4171" s="63">
        <f>IF(tblMovement[[#This Row],[Destination]]="","",IFERROR(INDEX(tblDestinations[Type],MATCH(tblMovement[[#This Row],[Destination]],tblDestinations[Destination],0)),"?"))</f>
        <v/>
      </c>
      <c r="M4171" s="64">
        <f>IF(tblMovement[[#This Row],[Material]]="","",IF(LEFT(tblMovement[[#This Row],[Material]],3)="Ore",1,0))</f>
        <v/>
      </c>
      <c r="N4171" s="59">
        <f>IF(OR(tblMovement[[#This Row],[Tonnes_t]]="",tblMovement[[#This Row],[Grade_gpt]]=""),0,tblMovement[[#This Row],[Tonnes_t]]*tblMovement[[#This Row],[Grade_gpt]]/cfg_TroyOz)</f>
        <v/>
      </c>
      <c r="O4171" s="59">
        <f>IF(tblMovement[[#This Row],[Is_Ore]]=1,tblMovement[[#This Row],[Contained_oz]],0)</f>
        <v/>
      </c>
    </row>
    <row r="4172">
      <c r="A4172" s="54" t="n"/>
      <c r="B4172" s="61" t="n"/>
      <c r="C4172" s="61" t="n"/>
      <c r="D4172" s="61" t="n"/>
      <c r="E4172" s="61" t="n"/>
      <c r="F4172" s="55" t="n"/>
      <c r="G4172" s="56" t="n"/>
      <c r="H4172" s="55" t="n"/>
      <c r="I4172" s="62" t="n"/>
      <c r="J4172" s="58" t="n"/>
      <c r="K4172" s="63">
        <f>IF(tblMovement[[#This Row],[Source]]="","",IFERROR(INDEX(tblSources[Type],MATCH(tblMovement[[#This Row],[Source]],tblSources[Source],0)),"?"))</f>
        <v/>
      </c>
      <c r="L4172" s="63">
        <f>IF(tblMovement[[#This Row],[Destination]]="","",IFERROR(INDEX(tblDestinations[Type],MATCH(tblMovement[[#This Row],[Destination]],tblDestinations[Destination],0)),"?"))</f>
        <v/>
      </c>
      <c r="M4172" s="64">
        <f>IF(tblMovement[[#This Row],[Material]]="","",IF(LEFT(tblMovement[[#This Row],[Material]],3)="Ore",1,0))</f>
        <v/>
      </c>
      <c r="N4172" s="59">
        <f>IF(OR(tblMovement[[#This Row],[Tonnes_t]]="",tblMovement[[#This Row],[Grade_gpt]]=""),0,tblMovement[[#This Row],[Tonnes_t]]*tblMovement[[#This Row],[Grade_gpt]]/cfg_TroyOz)</f>
        <v/>
      </c>
      <c r="O4172" s="59">
        <f>IF(tblMovement[[#This Row],[Is_Ore]]=1,tblMovement[[#This Row],[Contained_oz]],0)</f>
        <v/>
      </c>
    </row>
    <row r="4173">
      <c r="A4173" s="54" t="n"/>
      <c r="B4173" s="61" t="n"/>
      <c r="C4173" s="61" t="n"/>
      <c r="D4173" s="61" t="n"/>
      <c r="E4173" s="61" t="n"/>
      <c r="F4173" s="55" t="n"/>
      <c r="G4173" s="56" t="n"/>
      <c r="H4173" s="55" t="n"/>
      <c r="I4173" s="62" t="n"/>
      <c r="J4173" s="58" t="n"/>
      <c r="K4173" s="63">
        <f>IF(tblMovement[[#This Row],[Source]]="","",IFERROR(INDEX(tblSources[Type],MATCH(tblMovement[[#This Row],[Source]],tblSources[Source],0)),"?"))</f>
        <v/>
      </c>
      <c r="L4173" s="63">
        <f>IF(tblMovement[[#This Row],[Destination]]="","",IFERROR(INDEX(tblDestinations[Type],MATCH(tblMovement[[#This Row],[Destination]],tblDestinations[Destination],0)),"?"))</f>
        <v/>
      </c>
      <c r="M4173" s="64">
        <f>IF(tblMovement[[#This Row],[Material]]="","",IF(LEFT(tblMovement[[#This Row],[Material]],3)="Ore",1,0))</f>
        <v/>
      </c>
      <c r="N4173" s="59">
        <f>IF(OR(tblMovement[[#This Row],[Tonnes_t]]="",tblMovement[[#This Row],[Grade_gpt]]=""),0,tblMovement[[#This Row],[Tonnes_t]]*tblMovement[[#This Row],[Grade_gpt]]/cfg_TroyOz)</f>
        <v/>
      </c>
      <c r="O4173" s="59">
        <f>IF(tblMovement[[#This Row],[Is_Ore]]=1,tblMovement[[#This Row],[Contained_oz]],0)</f>
        <v/>
      </c>
    </row>
    <row r="4174">
      <c r="A4174" s="54" t="n"/>
      <c r="B4174" s="61" t="n"/>
      <c r="C4174" s="61" t="n"/>
      <c r="D4174" s="61" t="n"/>
      <c r="E4174" s="61" t="n"/>
      <c r="F4174" s="55" t="n"/>
      <c r="G4174" s="56" t="n"/>
      <c r="H4174" s="55" t="n"/>
      <c r="I4174" s="62" t="n"/>
      <c r="J4174" s="58" t="n"/>
      <c r="K4174" s="63">
        <f>IF(tblMovement[[#This Row],[Source]]="","",IFERROR(INDEX(tblSources[Type],MATCH(tblMovement[[#This Row],[Source]],tblSources[Source],0)),"?"))</f>
        <v/>
      </c>
      <c r="L4174" s="63">
        <f>IF(tblMovement[[#This Row],[Destination]]="","",IFERROR(INDEX(tblDestinations[Type],MATCH(tblMovement[[#This Row],[Destination]],tblDestinations[Destination],0)),"?"))</f>
        <v/>
      </c>
      <c r="M4174" s="64">
        <f>IF(tblMovement[[#This Row],[Material]]="","",IF(LEFT(tblMovement[[#This Row],[Material]],3)="Ore",1,0))</f>
        <v/>
      </c>
      <c r="N4174" s="59">
        <f>IF(OR(tblMovement[[#This Row],[Tonnes_t]]="",tblMovement[[#This Row],[Grade_gpt]]=""),0,tblMovement[[#This Row],[Tonnes_t]]*tblMovement[[#This Row],[Grade_gpt]]/cfg_TroyOz)</f>
        <v/>
      </c>
      <c r="O4174" s="59">
        <f>IF(tblMovement[[#This Row],[Is_Ore]]=1,tblMovement[[#This Row],[Contained_oz]],0)</f>
        <v/>
      </c>
    </row>
    <row r="4175">
      <c r="A4175" s="54" t="n"/>
      <c r="B4175" s="61" t="n"/>
      <c r="C4175" s="61" t="n"/>
      <c r="D4175" s="61" t="n"/>
      <c r="E4175" s="61" t="n"/>
      <c r="F4175" s="55" t="n"/>
      <c r="G4175" s="56" t="n"/>
      <c r="H4175" s="55" t="n"/>
      <c r="I4175" s="62" t="n"/>
      <c r="J4175" s="58" t="n"/>
      <c r="K4175" s="63">
        <f>IF(tblMovement[[#This Row],[Source]]="","",IFERROR(INDEX(tblSources[Type],MATCH(tblMovement[[#This Row],[Source]],tblSources[Source],0)),"?"))</f>
        <v/>
      </c>
      <c r="L4175" s="63">
        <f>IF(tblMovement[[#This Row],[Destination]]="","",IFERROR(INDEX(tblDestinations[Type],MATCH(tblMovement[[#This Row],[Destination]],tblDestinations[Destination],0)),"?"))</f>
        <v/>
      </c>
      <c r="M4175" s="64">
        <f>IF(tblMovement[[#This Row],[Material]]="","",IF(LEFT(tblMovement[[#This Row],[Material]],3)="Ore",1,0))</f>
        <v/>
      </c>
      <c r="N4175" s="59">
        <f>IF(OR(tblMovement[[#This Row],[Tonnes_t]]="",tblMovement[[#This Row],[Grade_gpt]]=""),0,tblMovement[[#This Row],[Tonnes_t]]*tblMovement[[#This Row],[Grade_gpt]]/cfg_TroyOz)</f>
        <v/>
      </c>
      <c r="O4175" s="59">
        <f>IF(tblMovement[[#This Row],[Is_Ore]]=1,tblMovement[[#This Row],[Contained_oz]],0)</f>
        <v/>
      </c>
    </row>
    <row r="4176">
      <c r="A4176" s="54" t="n"/>
      <c r="B4176" s="61" t="n"/>
      <c r="C4176" s="61" t="n"/>
      <c r="D4176" s="61" t="n"/>
      <c r="E4176" s="61" t="n"/>
      <c r="F4176" s="55" t="n"/>
      <c r="G4176" s="56" t="n"/>
      <c r="H4176" s="55" t="n"/>
      <c r="I4176" s="62" t="n"/>
      <c r="J4176" s="58" t="n"/>
      <c r="K4176" s="63">
        <f>IF(tblMovement[[#This Row],[Source]]="","",IFERROR(INDEX(tblSources[Type],MATCH(tblMovement[[#This Row],[Source]],tblSources[Source],0)),"?"))</f>
        <v/>
      </c>
      <c r="L4176" s="63">
        <f>IF(tblMovement[[#This Row],[Destination]]="","",IFERROR(INDEX(tblDestinations[Type],MATCH(tblMovement[[#This Row],[Destination]],tblDestinations[Destination],0)),"?"))</f>
        <v/>
      </c>
      <c r="M4176" s="64">
        <f>IF(tblMovement[[#This Row],[Material]]="","",IF(LEFT(tblMovement[[#This Row],[Material]],3)="Ore",1,0))</f>
        <v/>
      </c>
      <c r="N4176" s="59">
        <f>IF(OR(tblMovement[[#This Row],[Tonnes_t]]="",tblMovement[[#This Row],[Grade_gpt]]=""),0,tblMovement[[#This Row],[Tonnes_t]]*tblMovement[[#This Row],[Grade_gpt]]/cfg_TroyOz)</f>
        <v/>
      </c>
      <c r="O4176" s="59">
        <f>IF(tblMovement[[#This Row],[Is_Ore]]=1,tblMovement[[#This Row],[Contained_oz]],0)</f>
        <v/>
      </c>
    </row>
    <row r="4177">
      <c r="A4177" s="54" t="n"/>
      <c r="B4177" s="61" t="n"/>
      <c r="C4177" s="61" t="n"/>
      <c r="D4177" s="61" t="n"/>
      <c r="E4177" s="61" t="n"/>
      <c r="F4177" s="55" t="n"/>
      <c r="G4177" s="56" t="n"/>
      <c r="H4177" s="55" t="n"/>
      <c r="I4177" s="62" t="n"/>
      <c r="J4177" s="58" t="n"/>
      <c r="K4177" s="63">
        <f>IF(tblMovement[[#This Row],[Source]]="","",IFERROR(INDEX(tblSources[Type],MATCH(tblMovement[[#This Row],[Source]],tblSources[Source],0)),"?"))</f>
        <v/>
      </c>
      <c r="L4177" s="63">
        <f>IF(tblMovement[[#This Row],[Destination]]="","",IFERROR(INDEX(tblDestinations[Type],MATCH(tblMovement[[#This Row],[Destination]],tblDestinations[Destination],0)),"?"))</f>
        <v/>
      </c>
      <c r="M4177" s="64">
        <f>IF(tblMovement[[#This Row],[Material]]="","",IF(LEFT(tblMovement[[#This Row],[Material]],3)="Ore",1,0))</f>
        <v/>
      </c>
      <c r="N4177" s="59">
        <f>IF(OR(tblMovement[[#This Row],[Tonnes_t]]="",tblMovement[[#This Row],[Grade_gpt]]=""),0,tblMovement[[#This Row],[Tonnes_t]]*tblMovement[[#This Row],[Grade_gpt]]/cfg_TroyOz)</f>
        <v/>
      </c>
      <c r="O4177" s="59">
        <f>IF(tblMovement[[#This Row],[Is_Ore]]=1,tblMovement[[#This Row],[Contained_oz]],0)</f>
        <v/>
      </c>
    </row>
    <row r="4178">
      <c r="A4178" s="54" t="n"/>
      <c r="B4178" s="61" t="n"/>
      <c r="C4178" s="61" t="n"/>
      <c r="D4178" s="61" t="n"/>
      <c r="E4178" s="61" t="n"/>
      <c r="F4178" s="55" t="n"/>
      <c r="G4178" s="56" t="n"/>
      <c r="H4178" s="55" t="n"/>
      <c r="I4178" s="62" t="n"/>
      <c r="J4178" s="58" t="n"/>
      <c r="K4178" s="63">
        <f>IF(tblMovement[[#This Row],[Source]]="","",IFERROR(INDEX(tblSources[Type],MATCH(tblMovement[[#This Row],[Source]],tblSources[Source],0)),"?"))</f>
        <v/>
      </c>
      <c r="L4178" s="63">
        <f>IF(tblMovement[[#This Row],[Destination]]="","",IFERROR(INDEX(tblDestinations[Type],MATCH(tblMovement[[#This Row],[Destination]],tblDestinations[Destination],0)),"?"))</f>
        <v/>
      </c>
      <c r="M4178" s="64">
        <f>IF(tblMovement[[#This Row],[Material]]="","",IF(LEFT(tblMovement[[#This Row],[Material]],3)="Ore",1,0))</f>
        <v/>
      </c>
      <c r="N4178" s="59">
        <f>IF(OR(tblMovement[[#This Row],[Tonnes_t]]="",tblMovement[[#This Row],[Grade_gpt]]=""),0,tblMovement[[#This Row],[Tonnes_t]]*tblMovement[[#This Row],[Grade_gpt]]/cfg_TroyOz)</f>
        <v/>
      </c>
      <c r="O4178" s="59">
        <f>IF(tblMovement[[#This Row],[Is_Ore]]=1,tblMovement[[#This Row],[Contained_oz]],0)</f>
        <v/>
      </c>
    </row>
    <row r="4179">
      <c r="A4179" s="54" t="n"/>
      <c r="B4179" s="61" t="n"/>
      <c r="C4179" s="61" t="n"/>
      <c r="D4179" s="61" t="n"/>
      <c r="E4179" s="61" t="n"/>
      <c r="F4179" s="55" t="n"/>
      <c r="G4179" s="56" t="n"/>
      <c r="H4179" s="55" t="n"/>
      <c r="I4179" s="62" t="n"/>
      <c r="J4179" s="58" t="n"/>
      <c r="K4179" s="63">
        <f>IF(tblMovement[[#This Row],[Source]]="","",IFERROR(INDEX(tblSources[Type],MATCH(tblMovement[[#This Row],[Source]],tblSources[Source],0)),"?"))</f>
        <v/>
      </c>
      <c r="L4179" s="63">
        <f>IF(tblMovement[[#This Row],[Destination]]="","",IFERROR(INDEX(tblDestinations[Type],MATCH(tblMovement[[#This Row],[Destination]],tblDestinations[Destination],0)),"?"))</f>
        <v/>
      </c>
      <c r="M4179" s="64">
        <f>IF(tblMovement[[#This Row],[Material]]="","",IF(LEFT(tblMovement[[#This Row],[Material]],3)="Ore",1,0))</f>
        <v/>
      </c>
      <c r="N4179" s="59">
        <f>IF(OR(tblMovement[[#This Row],[Tonnes_t]]="",tblMovement[[#This Row],[Grade_gpt]]=""),0,tblMovement[[#This Row],[Tonnes_t]]*tblMovement[[#This Row],[Grade_gpt]]/cfg_TroyOz)</f>
        <v/>
      </c>
      <c r="O4179" s="59">
        <f>IF(tblMovement[[#This Row],[Is_Ore]]=1,tblMovement[[#This Row],[Contained_oz]],0)</f>
        <v/>
      </c>
    </row>
    <row r="4180">
      <c r="A4180" s="54" t="n"/>
      <c r="B4180" s="61" t="n"/>
      <c r="C4180" s="61" t="n"/>
      <c r="D4180" s="61" t="n"/>
      <c r="E4180" s="61" t="n"/>
      <c r="F4180" s="55" t="n"/>
      <c r="G4180" s="56" t="n"/>
      <c r="H4180" s="55" t="n"/>
      <c r="I4180" s="62" t="n"/>
      <c r="J4180" s="58" t="n"/>
      <c r="K4180" s="63">
        <f>IF(tblMovement[[#This Row],[Source]]="","",IFERROR(INDEX(tblSources[Type],MATCH(tblMovement[[#This Row],[Source]],tblSources[Source],0)),"?"))</f>
        <v/>
      </c>
      <c r="L4180" s="63">
        <f>IF(tblMovement[[#This Row],[Destination]]="","",IFERROR(INDEX(tblDestinations[Type],MATCH(tblMovement[[#This Row],[Destination]],tblDestinations[Destination],0)),"?"))</f>
        <v/>
      </c>
      <c r="M4180" s="64">
        <f>IF(tblMovement[[#This Row],[Material]]="","",IF(LEFT(tblMovement[[#This Row],[Material]],3)="Ore",1,0))</f>
        <v/>
      </c>
      <c r="N4180" s="59">
        <f>IF(OR(tblMovement[[#This Row],[Tonnes_t]]="",tblMovement[[#This Row],[Grade_gpt]]=""),0,tblMovement[[#This Row],[Tonnes_t]]*tblMovement[[#This Row],[Grade_gpt]]/cfg_TroyOz)</f>
        <v/>
      </c>
      <c r="O4180" s="59">
        <f>IF(tblMovement[[#This Row],[Is_Ore]]=1,tblMovement[[#This Row],[Contained_oz]],0)</f>
        <v/>
      </c>
    </row>
    <row r="4181">
      <c r="A4181" s="54" t="n"/>
      <c r="B4181" s="61" t="n"/>
      <c r="C4181" s="61" t="n"/>
      <c r="D4181" s="61" t="n"/>
      <c r="E4181" s="61" t="n"/>
      <c r="F4181" s="55" t="n"/>
      <c r="G4181" s="56" t="n"/>
      <c r="H4181" s="55" t="n"/>
      <c r="I4181" s="62" t="n"/>
      <c r="J4181" s="58" t="n"/>
      <c r="K4181" s="63">
        <f>IF(tblMovement[[#This Row],[Source]]="","",IFERROR(INDEX(tblSources[Type],MATCH(tblMovement[[#This Row],[Source]],tblSources[Source],0)),"?"))</f>
        <v/>
      </c>
      <c r="L4181" s="63">
        <f>IF(tblMovement[[#This Row],[Destination]]="","",IFERROR(INDEX(tblDestinations[Type],MATCH(tblMovement[[#This Row],[Destination]],tblDestinations[Destination],0)),"?"))</f>
        <v/>
      </c>
      <c r="M4181" s="64">
        <f>IF(tblMovement[[#This Row],[Material]]="","",IF(LEFT(tblMovement[[#This Row],[Material]],3)="Ore",1,0))</f>
        <v/>
      </c>
      <c r="N4181" s="59">
        <f>IF(OR(tblMovement[[#This Row],[Tonnes_t]]="",tblMovement[[#This Row],[Grade_gpt]]=""),0,tblMovement[[#This Row],[Tonnes_t]]*tblMovement[[#This Row],[Grade_gpt]]/cfg_TroyOz)</f>
        <v/>
      </c>
      <c r="O4181" s="59">
        <f>IF(tblMovement[[#This Row],[Is_Ore]]=1,tblMovement[[#This Row],[Contained_oz]],0)</f>
        <v/>
      </c>
    </row>
    <row r="4182">
      <c r="A4182" s="54" t="n"/>
      <c r="B4182" s="61" t="n"/>
      <c r="C4182" s="61" t="n"/>
      <c r="D4182" s="61" t="n"/>
      <c r="E4182" s="61" t="n"/>
      <c r="F4182" s="55" t="n"/>
      <c r="G4182" s="56" t="n"/>
      <c r="H4182" s="55" t="n"/>
      <c r="I4182" s="62" t="n"/>
      <c r="J4182" s="58" t="n"/>
      <c r="K4182" s="63">
        <f>IF(tblMovement[[#This Row],[Source]]="","",IFERROR(INDEX(tblSources[Type],MATCH(tblMovement[[#This Row],[Source]],tblSources[Source],0)),"?"))</f>
        <v/>
      </c>
      <c r="L4182" s="63">
        <f>IF(tblMovement[[#This Row],[Destination]]="","",IFERROR(INDEX(tblDestinations[Type],MATCH(tblMovement[[#This Row],[Destination]],tblDestinations[Destination],0)),"?"))</f>
        <v/>
      </c>
      <c r="M4182" s="64">
        <f>IF(tblMovement[[#This Row],[Material]]="","",IF(LEFT(tblMovement[[#This Row],[Material]],3)="Ore",1,0))</f>
        <v/>
      </c>
      <c r="N4182" s="59">
        <f>IF(OR(tblMovement[[#This Row],[Tonnes_t]]="",tblMovement[[#This Row],[Grade_gpt]]=""),0,tblMovement[[#This Row],[Tonnes_t]]*tblMovement[[#This Row],[Grade_gpt]]/cfg_TroyOz)</f>
        <v/>
      </c>
      <c r="O4182" s="59">
        <f>IF(tblMovement[[#This Row],[Is_Ore]]=1,tblMovement[[#This Row],[Contained_oz]],0)</f>
        <v/>
      </c>
    </row>
    <row r="4183">
      <c r="A4183" s="54" t="n"/>
      <c r="B4183" s="61" t="n"/>
      <c r="C4183" s="61" t="n"/>
      <c r="D4183" s="61" t="n"/>
      <c r="E4183" s="61" t="n"/>
      <c r="F4183" s="55" t="n"/>
      <c r="G4183" s="56" t="n"/>
      <c r="H4183" s="55" t="n"/>
      <c r="I4183" s="62" t="n"/>
      <c r="J4183" s="58" t="n"/>
      <c r="K4183" s="63">
        <f>IF(tblMovement[[#This Row],[Source]]="","",IFERROR(INDEX(tblSources[Type],MATCH(tblMovement[[#This Row],[Source]],tblSources[Source],0)),"?"))</f>
        <v/>
      </c>
      <c r="L4183" s="63">
        <f>IF(tblMovement[[#This Row],[Destination]]="","",IFERROR(INDEX(tblDestinations[Type],MATCH(tblMovement[[#This Row],[Destination]],tblDestinations[Destination],0)),"?"))</f>
        <v/>
      </c>
      <c r="M4183" s="64">
        <f>IF(tblMovement[[#This Row],[Material]]="","",IF(LEFT(tblMovement[[#This Row],[Material]],3)="Ore",1,0))</f>
        <v/>
      </c>
      <c r="N4183" s="59">
        <f>IF(OR(tblMovement[[#This Row],[Tonnes_t]]="",tblMovement[[#This Row],[Grade_gpt]]=""),0,tblMovement[[#This Row],[Tonnes_t]]*tblMovement[[#This Row],[Grade_gpt]]/cfg_TroyOz)</f>
        <v/>
      </c>
      <c r="O4183" s="59">
        <f>IF(tblMovement[[#This Row],[Is_Ore]]=1,tblMovement[[#This Row],[Contained_oz]],0)</f>
        <v/>
      </c>
    </row>
    <row r="4184">
      <c r="A4184" s="54" t="n"/>
      <c r="B4184" s="61" t="n"/>
      <c r="C4184" s="61" t="n"/>
      <c r="D4184" s="61" t="n"/>
      <c r="E4184" s="61" t="n"/>
      <c r="F4184" s="55" t="n"/>
      <c r="G4184" s="56" t="n"/>
      <c r="H4184" s="55" t="n"/>
      <c r="I4184" s="62" t="n"/>
      <c r="J4184" s="58" t="n"/>
      <c r="K4184" s="63">
        <f>IF(tblMovement[[#This Row],[Source]]="","",IFERROR(INDEX(tblSources[Type],MATCH(tblMovement[[#This Row],[Source]],tblSources[Source],0)),"?"))</f>
        <v/>
      </c>
      <c r="L4184" s="63">
        <f>IF(tblMovement[[#This Row],[Destination]]="","",IFERROR(INDEX(tblDestinations[Type],MATCH(tblMovement[[#This Row],[Destination]],tblDestinations[Destination],0)),"?"))</f>
        <v/>
      </c>
      <c r="M4184" s="64">
        <f>IF(tblMovement[[#This Row],[Material]]="","",IF(LEFT(tblMovement[[#This Row],[Material]],3)="Ore",1,0))</f>
        <v/>
      </c>
      <c r="N4184" s="59">
        <f>IF(OR(tblMovement[[#This Row],[Tonnes_t]]="",tblMovement[[#This Row],[Grade_gpt]]=""),0,tblMovement[[#This Row],[Tonnes_t]]*tblMovement[[#This Row],[Grade_gpt]]/cfg_TroyOz)</f>
        <v/>
      </c>
      <c r="O4184" s="59">
        <f>IF(tblMovement[[#This Row],[Is_Ore]]=1,tblMovement[[#This Row],[Contained_oz]],0)</f>
        <v/>
      </c>
    </row>
    <row r="4185">
      <c r="A4185" s="54" t="n"/>
      <c r="B4185" s="61" t="n"/>
      <c r="C4185" s="61" t="n"/>
      <c r="D4185" s="61" t="n"/>
      <c r="E4185" s="61" t="n"/>
      <c r="F4185" s="55" t="n"/>
      <c r="G4185" s="56" t="n"/>
      <c r="H4185" s="55" t="n"/>
      <c r="I4185" s="62" t="n"/>
      <c r="J4185" s="58" t="n"/>
      <c r="K4185" s="63">
        <f>IF(tblMovement[[#This Row],[Source]]="","",IFERROR(INDEX(tblSources[Type],MATCH(tblMovement[[#This Row],[Source]],tblSources[Source],0)),"?"))</f>
        <v/>
      </c>
      <c r="L4185" s="63">
        <f>IF(tblMovement[[#This Row],[Destination]]="","",IFERROR(INDEX(tblDestinations[Type],MATCH(tblMovement[[#This Row],[Destination]],tblDestinations[Destination],0)),"?"))</f>
        <v/>
      </c>
      <c r="M4185" s="64">
        <f>IF(tblMovement[[#This Row],[Material]]="","",IF(LEFT(tblMovement[[#This Row],[Material]],3)="Ore",1,0))</f>
        <v/>
      </c>
      <c r="N4185" s="59">
        <f>IF(OR(tblMovement[[#This Row],[Tonnes_t]]="",tblMovement[[#This Row],[Grade_gpt]]=""),0,tblMovement[[#This Row],[Tonnes_t]]*tblMovement[[#This Row],[Grade_gpt]]/cfg_TroyOz)</f>
        <v/>
      </c>
      <c r="O4185" s="59">
        <f>IF(tblMovement[[#This Row],[Is_Ore]]=1,tblMovement[[#This Row],[Contained_oz]],0)</f>
        <v/>
      </c>
    </row>
    <row r="4186">
      <c r="A4186" s="54" t="n"/>
      <c r="B4186" s="61" t="n"/>
      <c r="C4186" s="61" t="n"/>
      <c r="D4186" s="61" t="n"/>
      <c r="E4186" s="61" t="n"/>
      <c r="F4186" s="55" t="n"/>
      <c r="G4186" s="56" t="n"/>
      <c r="H4186" s="55" t="n"/>
      <c r="I4186" s="62" t="n"/>
      <c r="J4186" s="58" t="n"/>
      <c r="K4186" s="63">
        <f>IF(tblMovement[[#This Row],[Source]]="","",IFERROR(INDEX(tblSources[Type],MATCH(tblMovement[[#This Row],[Source]],tblSources[Source],0)),"?"))</f>
        <v/>
      </c>
      <c r="L4186" s="63">
        <f>IF(tblMovement[[#This Row],[Destination]]="","",IFERROR(INDEX(tblDestinations[Type],MATCH(tblMovement[[#This Row],[Destination]],tblDestinations[Destination],0)),"?"))</f>
        <v/>
      </c>
      <c r="M4186" s="64">
        <f>IF(tblMovement[[#This Row],[Material]]="","",IF(LEFT(tblMovement[[#This Row],[Material]],3)="Ore",1,0))</f>
        <v/>
      </c>
      <c r="N4186" s="59">
        <f>IF(OR(tblMovement[[#This Row],[Tonnes_t]]="",tblMovement[[#This Row],[Grade_gpt]]=""),0,tblMovement[[#This Row],[Tonnes_t]]*tblMovement[[#This Row],[Grade_gpt]]/cfg_TroyOz)</f>
        <v/>
      </c>
      <c r="O4186" s="59">
        <f>IF(tblMovement[[#This Row],[Is_Ore]]=1,tblMovement[[#This Row],[Contained_oz]],0)</f>
        <v/>
      </c>
    </row>
    <row r="4187">
      <c r="A4187" s="54" t="n"/>
      <c r="B4187" s="61" t="n"/>
      <c r="C4187" s="61" t="n"/>
      <c r="D4187" s="61" t="n"/>
      <c r="E4187" s="61" t="n"/>
      <c r="F4187" s="55" t="n"/>
      <c r="G4187" s="56" t="n"/>
      <c r="H4187" s="55" t="n"/>
      <c r="I4187" s="62" t="n"/>
      <c r="J4187" s="58" t="n"/>
      <c r="K4187" s="63">
        <f>IF(tblMovement[[#This Row],[Source]]="","",IFERROR(INDEX(tblSources[Type],MATCH(tblMovement[[#This Row],[Source]],tblSources[Source],0)),"?"))</f>
        <v/>
      </c>
      <c r="L4187" s="63">
        <f>IF(tblMovement[[#This Row],[Destination]]="","",IFERROR(INDEX(tblDestinations[Type],MATCH(tblMovement[[#This Row],[Destination]],tblDestinations[Destination],0)),"?"))</f>
        <v/>
      </c>
      <c r="M4187" s="64">
        <f>IF(tblMovement[[#This Row],[Material]]="","",IF(LEFT(tblMovement[[#This Row],[Material]],3)="Ore",1,0))</f>
        <v/>
      </c>
      <c r="N4187" s="59">
        <f>IF(OR(tblMovement[[#This Row],[Tonnes_t]]="",tblMovement[[#This Row],[Grade_gpt]]=""),0,tblMovement[[#This Row],[Tonnes_t]]*tblMovement[[#This Row],[Grade_gpt]]/cfg_TroyOz)</f>
        <v/>
      </c>
      <c r="O4187" s="59">
        <f>IF(tblMovement[[#This Row],[Is_Ore]]=1,tblMovement[[#This Row],[Contained_oz]],0)</f>
        <v/>
      </c>
    </row>
    <row r="4188">
      <c r="A4188" s="54" t="n"/>
      <c r="B4188" s="61" t="n"/>
      <c r="C4188" s="61" t="n"/>
      <c r="D4188" s="61" t="n"/>
      <c r="E4188" s="61" t="n"/>
      <c r="F4188" s="55" t="n"/>
      <c r="G4188" s="56" t="n"/>
      <c r="H4188" s="55" t="n"/>
      <c r="I4188" s="62" t="n"/>
      <c r="J4188" s="58" t="n"/>
      <c r="K4188" s="63">
        <f>IF(tblMovement[[#This Row],[Source]]="","",IFERROR(INDEX(tblSources[Type],MATCH(tblMovement[[#This Row],[Source]],tblSources[Source],0)),"?"))</f>
        <v/>
      </c>
      <c r="L4188" s="63">
        <f>IF(tblMovement[[#This Row],[Destination]]="","",IFERROR(INDEX(tblDestinations[Type],MATCH(tblMovement[[#This Row],[Destination]],tblDestinations[Destination],0)),"?"))</f>
        <v/>
      </c>
      <c r="M4188" s="64">
        <f>IF(tblMovement[[#This Row],[Material]]="","",IF(LEFT(tblMovement[[#This Row],[Material]],3)="Ore",1,0))</f>
        <v/>
      </c>
      <c r="N4188" s="59">
        <f>IF(OR(tblMovement[[#This Row],[Tonnes_t]]="",tblMovement[[#This Row],[Grade_gpt]]=""),0,tblMovement[[#This Row],[Tonnes_t]]*tblMovement[[#This Row],[Grade_gpt]]/cfg_TroyOz)</f>
        <v/>
      </c>
      <c r="O4188" s="59">
        <f>IF(tblMovement[[#This Row],[Is_Ore]]=1,tblMovement[[#This Row],[Contained_oz]],0)</f>
        <v/>
      </c>
    </row>
    <row r="4189">
      <c r="A4189" s="54" t="n"/>
      <c r="B4189" s="61" t="n"/>
      <c r="C4189" s="61" t="n"/>
      <c r="D4189" s="61" t="n"/>
      <c r="E4189" s="61" t="n"/>
      <c r="F4189" s="55" t="n"/>
      <c r="G4189" s="56" t="n"/>
      <c r="H4189" s="55" t="n"/>
      <c r="I4189" s="62" t="n"/>
      <c r="J4189" s="58" t="n"/>
      <c r="K4189" s="63">
        <f>IF(tblMovement[[#This Row],[Source]]="","",IFERROR(INDEX(tblSources[Type],MATCH(tblMovement[[#This Row],[Source]],tblSources[Source],0)),"?"))</f>
        <v/>
      </c>
      <c r="L4189" s="63">
        <f>IF(tblMovement[[#This Row],[Destination]]="","",IFERROR(INDEX(tblDestinations[Type],MATCH(tblMovement[[#This Row],[Destination]],tblDestinations[Destination],0)),"?"))</f>
        <v/>
      </c>
      <c r="M4189" s="64">
        <f>IF(tblMovement[[#This Row],[Material]]="","",IF(LEFT(tblMovement[[#This Row],[Material]],3)="Ore",1,0))</f>
        <v/>
      </c>
      <c r="N4189" s="59">
        <f>IF(OR(tblMovement[[#This Row],[Tonnes_t]]="",tblMovement[[#This Row],[Grade_gpt]]=""),0,tblMovement[[#This Row],[Tonnes_t]]*tblMovement[[#This Row],[Grade_gpt]]/cfg_TroyOz)</f>
        <v/>
      </c>
      <c r="O4189" s="59">
        <f>IF(tblMovement[[#This Row],[Is_Ore]]=1,tblMovement[[#This Row],[Contained_oz]],0)</f>
        <v/>
      </c>
    </row>
    <row r="4190">
      <c r="A4190" s="54" t="n"/>
      <c r="B4190" s="61" t="n"/>
      <c r="C4190" s="61" t="n"/>
      <c r="D4190" s="61" t="n"/>
      <c r="E4190" s="61" t="n"/>
      <c r="F4190" s="55" t="n"/>
      <c r="G4190" s="56" t="n"/>
      <c r="H4190" s="55" t="n"/>
      <c r="I4190" s="62" t="n"/>
      <c r="J4190" s="58" t="n"/>
      <c r="K4190" s="63">
        <f>IF(tblMovement[[#This Row],[Source]]="","",IFERROR(INDEX(tblSources[Type],MATCH(tblMovement[[#This Row],[Source]],tblSources[Source],0)),"?"))</f>
        <v/>
      </c>
      <c r="L4190" s="63">
        <f>IF(tblMovement[[#This Row],[Destination]]="","",IFERROR(INDEX(tblDestinations[Type],MATCH(tblMovement[[#This Row],[Destination]],tblDestinations[Destination],0)),"?"))</f>
        <v/>
      </c>
      <c r="M4190" s="64">
        <f>IF(tblMovement[[#This Row],[Material]]="","",IF(LEFT(tblMovement[[#This Row],[Material]],3)="Ore",1,0))</f>
        <v/>
      </c>
      <c r="N4190" s="59">
        <f>IF(OR(tblMovement[[#This Row],[Tonnes_t]]="",tblMovement[[#This Row],[Grade_gpt]]=""),0,tblMovement[[#This Row],[Tonnes_t]]*tblMovement[[#This Row],[Grade_gpt]]/cfg_TroyOz)</f>
        <v/>
      </c>
      <c r="O4190" s="59">
        <f>IF(tblMovement[[#This Row],[Is_Ore]]=1,tblMovement[[#This Row],[Contained_oz]],0)</f>
        <v/>
      </c>
    </row>
    <row r="4191">
      <c r="A4191" s="54" t="n"/>
      <c r="B4191" s="61" t="n"/>
      <c r="C4191" s="61" t="n"/>
      <c r="D4191" s="61" t="n"/>
      <c r="E4191" s="61" t="n"/>
      <c r="F4191" s="55" t="n"/>
      <c r="G4191" s="56" t="n"/>
      <c r="H4191" s="55" t="n"/>
      <c r="I4191" s="62" t="n"/>
      <c r="J4191" s="58" t="n"/>
      <c r="K4191" s="63">
        <f>IF(tblMovement[[#This Row],[Source]]="","",IFERROR(INDEX(tblSources[Type],MATCH(tblMovement[[#This Row],[Source]],tblSources[Source],0)),"?"))</f>
        <v/>
      </c>
      <c r="L4191" s="63">
        <f>IF(tblMovement[[#This Row],[Destination]]="","",IFERROR(INDEX(tblDestinations[Type],MATCH(tblMovement[[#This Row],[Destination]],tblDestinations[Destination],0)),"?"))</f>
        <v/>
      </c>
      <c r="M4191" s="64">
        <f>IF(tblMovement[[#This Row],[Material]]="","",IF(LEFT(tblMovement[[#This Row],[Material]],3)="Ore",1,0))</f>
        <v/>
      </c>
      <c r="N4191" s="59">
        <f>IF(OR(tblMovement[[#This Row],[Tonnes_t]]="",tblMovement[[#This Row],[Grade_gpt]]=""),0,tblMovement[[#This Row],[Tonnes_t]]*tblMovement[[#This Row],[Grade_gpt]]/cfg_TroyOz)</f>
        <v/>
      </c>
      <c r="O4191" s="59">
        <f>IF(tblMovement[[#This Row],[Is_Ore]]=1,tblMovement[[#This Row],[Contained_oz]],0)</f>
        <v/>
      </c>
    </row>
    <row r="4192">
      <c r="A4192" s="54" t="n"/>
      <c r="B4192" s="61" t="n"/>
      <c r="C4192" s="61" t="n"/>
      <c r="D4192" s="61" t="n"/>
      <c r="E4192" s="61" t="n"/>
      <c r="F4192" s="55" t="n"/>
      <c r="G4192" s="56" t="n"/>
      <c r="H4192" s="55" t="n"/>
      <c r="I4192" s="62" t="n"/>
      <c r="J4192" s="58" t="n"/>
      <c r="K4192" s="63">
        <f>IF(tblMovement[[#This Row],[Source]]="","",IFERROR(INDEX(tblSources[Type],MATCH(tblMovement[[#This Row],[Source]],tblSources[Source],0)),"?"))</f>
        <v/>
      </c>
      <c r="L4192" s="63">
        <f>IF(tblMovement[[#This Row],[Destination]]="","",IFERROR(INDEX(tblDestinations[Type],MATCH(tblMovement[[#This Row],[Destination]],tblDestinations[Destination],0)),"?"))</f>
        <v/>
      </c>
      <c r="M4192" s="64">
        <f>IF(tblMovement[[#This Row],[Material]]="","",IF(LEFT(tblMovement[[#This Row],[Material]],3)="Ore",1,0))</f>
        <v/>
      </c>
      <c r="N4192" s="59">
        <f>IF(OR(tblMovement[[#This Row],[Tonnes_t]]="",tblMovement[[#This Row],[Grade_gpt]]=""),0,tblMovement[[#This Row],[Tonnes_t]]*tblMovement[[#This Row],[Grade_gpt]]/cfg_TroyOz)</f>
        <v/>
      </c>
      <c r="O4192" s="59">
        <f>IF(tblMovement[[#This Row],[Is_Ore]]=1,tblMovement[[#This Row],[Contained_oz]],0)</f>
        <v/>
      </c>
    </row>
    <row r="4193">
      <c r="A4193" s="54" t="n"/>
      <c r="B4193" s="61" t="n"/>
      <c r="C4193" s="61" t="n"/>
      <c r="D4193" s="61" t="n"/>
      <c r="E4193" s="61" t="n"/>
      <c r="F4193" s="55" t="n"/>
      <c r="G4193" s="56" t="n"/>
      <c r="H4193" s="55" t="n"/>
      <c r="I4193" s="62" t="n"/>
      <c r="J4193" s="58" t="n"/>
      <c r="K4193" s="63">
        <f>IF(tblMovement[[#This Row],[Source]]="","",IFERROR(INDEX(tblSources[Type],MATCH(tblMovement[[#This Row],[Source]],tblSources[Source],0)),"?"))</f>
        <v/>
      </c>
      <c r="L4193" s="63">
        <f>IF(tblMovement[[#This Row],[Destination]]="","",IFERROR(INDEX(tblDestinations[Type],MATCH(tblMovement[[#This Row],[Destination]],tblDestinations[Destination],0)),"?"))</f>
        <v/>
      </c>
      <c r="M4193" s="64">
        <f>IF(tblMovement[[#This Row],[Material]]="","",IF(LEFT(tblMovement[[#This Row],[Material]],3)="Ore",1,0))</f>
        <v/>
      </c>
      <c r="N4193" s="59">
        <f>IF(OR(tblMovement[[#This Row],[Tonnes_t]]="",tblMovement[[#This Row],[Grade_gpt]]=""),0,tblMovement[[#This Row],[Tonnes_t]]*tblMovement[[#This Row],[Grade_gpt]]/cfg_TroyOz)</f>
        <v/>
      </c>
      <c r="O4193" s="59">
        <f>IF(tblMovement[[#This Row],[Is_Ore]]=1,tblMovement[[#This Row],[Contained_oz]],0)</f>
        <v/>
      </c>
    </row>
    <row r="4194">
      <c r="A4194" s="54" t="n"/>
      <c r="B4194" s="61" t="n"/>
      <c r="C4194" s="61" t="n"/>
      <c r="D4194" s="61" t="n"/>
      <c r="E4194" s="61" t="n"/>
      <c r="F4194" s="55" t="n"/>
      <c r="G4194" s="56" t="n"/>
      <c r="H4194" s="55" t="n"/>
      <c r="I4194" s="62" t="n"/>
      <c r="J4194" s="58" t="n"/>
      <c r="K4194" s="63">
        <f>IF(tblMovement[[#This Row],[Source]]="","",IFERROR(INDEX(tblSources[Type],MATCH(tblMovement[[#This Row],[Source]],tblSources[Source],0)),"?"))</f>
        <v/>
      </c>
      <c r="L4194" s="63">
        <f>IF(tblMovement[[#This Row],[Destination]]="","",IFERROR(INDEX(tblDestinations[Type],MATCH(tblMovement[[#This Row],[Destination]],tblDestinations[Destination],0)),"?"))</f>
        <v/>
      </c>
      <c r="M4194" s="64">
        <f>IF(tblMovement[[#This Row],[Material]]="","",IF(LEFT(tblMovement[[#This Row],[Material]],3)="Ore",1,0))</f>
        <v/>
      </c>
      <c r="N4194" s="59">
        <f>IF(OR(tblMovement[[#This Row],[Tonnes_t]]="",tblMovement[[#This Row],[Grade_gpt]]=""),0,tblMovement[[#This Row],[Tonnes_t]]*tblMovement[[#This Row],[Grade_gpt]]/cfg_TroyOz)</f>
        <v/>
      </c>
      <c r="O4194" s="59">
        <f>IF(tblMovement[[#This Row],[Is_Ore]]=1,tblMovement[[#This Row],[Contained_oz]],0)</f>
        <v/>
      </c>
    </row>
    <row r="4195">
      <c r="A4195" s="54" t="n"/>
      <c r="B4195" s="61" t="n"/>
      <c r="C4195" s="61" t="n"/>
      <c r="D4195" s="61" t="n"/>
      <c r="E4195" s="61" t="n"/>
      <c r="F4195" s="55" t="n"/>
      <c r="G4195" s="56" t="n"/>
      <c r="H4195" s="55" t="n"/>
      <c r="I4195" s="62" t="n"/>
      <c r="J4195" s="58" t="n"/>
      <c r="K4195" s="63">
        <f>IF(tblMovement[[#This Row],[Source]]="","",IFERROR(INDEX(tblSources[Type],MATCH(tblMovement[[#This Row],[Source]],tblSources[Source],0)),"?"))</f>
        <v/>
      </c>
      <c r="L4195" s="63">
        <f>IF(tblMovement[[#This Row],[Destination]]="","",IFERROR(INDEX(tblDestinations[Type],MATCH(tblMovement[[#This Row],[Destination]],tblDestinations[Destination],0)),"?"))</f>
        <v/>
      </c>
      <c r="M4195" s="64">
        <f>IF(tblMovement[[#This Row],[Material]]="","",IF(LEFT(tblMovement[[#This Row],[Material]],3)="Ore",1,0))</f>
        <v/>
      </c>
      <c r="N4195" s="59">
        <f>IF(OR(tblMovement[[#This Row],[Tonnes_t]]="",tblMovement[[#This Row],[Grade_gpt]]=""),0,tblMovement[[#This Row],[Tonnes_t]]*tblMovement[[#This Row],[Grade_gpt]]/cfg_TroyOz)</f>
        <v/>
      </c>
      <c r="O4195" s="59">
        <f>IF(tblMovement[[#This Row],[Is_Ore]]=1,tblMovement[[#This Row],[Contained_oz]],0)</f>
        <v/>
      </c>
    </row>
    <row r="4196">
      <c r="A4196" s="54" t="n"/>
      <c r="B4196" s="61" t="n"/>
      <c r="C4196" s="61" t="n"/>
      <c r="D4196" s="61" t="n"/>
      <c r="E4196" s="61" t="n"/>
      <c r="F4196" s="55" t="n"/>
      <c r="G4196" s="56" t="n"/>
      <c r="H4196" s="55" t="n"/>
      <c r="I4196" s="62" t="n"/>
      <c r="J4196" s="58" t="n"/>
      <c r="K4196" s="63">
        <f>IF(tblMovement[[#This Row],[Source]]="","",IFERROR(INDEX(tblSources[Type],MATCH(tblMovement[[#This Row],[Source]],tblSources[Source],0)),"?"))</f>
        <v/>
      </c>
      <c r="L4196" s="63">
        <f>IF(tblMovement[[#This Row],[Destination]]="","",IFERROR(INDEX(tblDestinations[Type],MATCH(tblMovement[[#This Row],[Destination]],tblDestinations[Destination],0)),"?"))</f>
        <v/>
      </c>
      <c r="M4196" s="64">
        <f>IF(tblMovement[[#This Row],[Material]]="","",IF(LEFT(tblMovement[[#This Row],[Material]],3)="Ore",1,0))</f>
        <v/>
      </c>
      <c r="N4196" s="59">
        <f>IF(OR(tblMovement[[#This Row],[Tonnes_t]]="",tblMovement[[#This Row],[Grade_gpt]]=""),0,tblMovement[[#This Row],[Tonnes_t]]*tblMovement[[#This Row],[Grade_gpt]]/cfg_TroyOz)</f>
        <v/>
      </c>
      <c r="O4196" s="59">
        <f>IF(tblMovement[[#This Row],[Is_Ore]]=1,tblMovement[[#This Row],[Contained_oz]],0)</f>
        <v/>
      </c>
    </row>
    <row r="4197">
      <c r="A4197" s="54" t="n"/>
      <c r="B4197" s="61" t="n"/>
      <c r="C4197" s="61" t="n"/>
      <c r="D4197" s="61" t="n"/>
      <c r="E4197" s="61" t="n"/>
      <c r="F4197" s="55" t="n"/>
      <c r="G4197" s="56" t="n"/>
      <c r="H4197" s="55" t="n"/>
      <c r="I4197" s="62" t="n"/>
      <c r="J4197" s="58" t="n"/>
      <c r="K4197" s="63">
        <f>IF(tblMovement[[#This Row],[Source]]="","",IFERROR(INDEX(tblSources[Type],MATCH(tblMovement[[#This Row],[Source]],tblSources[Source],0)),"?"))</f>
        <v/>
      </c>
      <c r="L4197" s="63">
        <f>IF(tblMovement[[#This Row],[Destination]]="","",IFERROR(INDEX(tblDestinations[Type],MATCH(tblMovement[[#This Row],[Destination]],tblDestinations[Destination],0)),"?"))</f>
        <v/>
      </c>
      <c r="M4197" s="64">
        <f>IF(tblMovement[[#This Row],[Material]]="","",IF(LEFT(tblMovement[[#This Row],[Material]],3)="Ore",1,0))</f>
        <v/>
      </c>
      <c r="N4197" s="59">
        <f>IF(OR(tblMovement[[#This Row],[Tonnes_t]]="",tblMovement[[#This Row],[Grade_gpt]]=""),0,tblMovement[[#This Row],[Tonnes_t]]*tblMovement[[#This Row],[Grade_gpt]]/cfg_TroyOz)</f>
        <v/>
      </c>
      <c r="O4197" s="59">
        <f>IF(tblMovement[[#This Row],[Is_Ore]]=1,tblMovement[[#This Row],[Contained_oz]],0)</f>
        <v/>
      </c>
    </row>
    <row r="4198">
      <c r="A4198" s="54" t="n"/>
      <c r="B4198" s="61" t="n"/>
      <c r="C4198" s="61" t="n"/>
      <c r="D4198" s="61" t="n"/>
      <c r="E4198" s="61" t="n"/>
      <c r="F4198" s="55" t="n"/>
      <c r="G4198" s="56" t="n"/>
      <c r="H4198" s="55" t="n"/>
      <c r="I4198" s="62" t="n"/>
      <c r="J4198" s="58" t="n"/>
      <c r="K4198" s="63">
        <f>IF(tblMovement[[#This Row],[Source]]="","",IFERROR(INDEX(tblSources[Type],MATCH(tblMovement[[#This Row],[Source]],tblSources[Source],0)),"?"))</f>
        <v/>
      </c>
      <c r="L4198" s="63">
        <f>IF(tblMovement[[#This Row],[Destination]]="","",IFERROR(INDEX(tblDestinations[Type],MATCH(tblMovement[[#This Row],[Destination]],tblDestinations[Destination],0)),"?"))</f>
        <v/>
      </c>
      <c r="M4198" s="64">
        <f>IF(tblMovement[[#This Row],[Material]]="","",IF(LEFT(tblMovement[[#This Row],[Material]],3)="Ore",1,0))</f>
        <v/>
      </c>
      <c r="N4198" s="59">
        <f>IF(OR(tblMovement[[#This Row],[Tonnes_t]]="",tblMovement[[#This Row],[Grade_gpt]]=""),0,tblMovement[[#This Row],[Tonnes_t]]*tblMovement[[#This Row],[Grade_gpt]]/cfg_TroyOz)</f>
        <v/>
      </c>
      <c r="O4198" s="59">
        <f>IF(tblMovement[[#This Row],[Is_Ore]]=1,tblMovement[[#This Row],[Contained_oz]],0)</f>
        <v/>
      </c>
    </row>
    <row r="4199">
      <c r="A4199" s="54" t="n"/>
      <c r="B4199" s="61" t="n"/>
      <c r="C4199" s="61" t="n"/>
      <c r="D4199" s="61" t="n"/>
      <c r="E4199" s="61" t="n"/>
      <c r="F4199" s="55" t="n"/>
      <c r="G4199" s="56" t="n"/>
      <c r="H4199" s="55" t="n"/>
      <c r="I4199" s="62" t="n"/>
      <c r="J4199" s="58" t="n"/>
      <c r="K4199" s="63">
        <f>IF(tblMovement[[#This Row],[Source]]="","",IFERROR(INDEX(tblSources[Type],MATCH(tblMovement[[#This Row],[Source]],tblSources[Source],0)),"?"))</f>
        <v/>
      </c>
      <c r="L4199" s="63">
        <f>IF(tblMovement[[#This Row],[Destination]]="","",IFERROR(INDEX(tblDestinations[Type],MATCH(tblMovement[[#This Row],[Destination]],tblDestinations[Destination],0)),"?"))</f>
        <v/>
      </c>
      <c r="M4199" s="64">
        <f>IF(tblMovement[[#This Row],[Material]]="","",IF(LEFT(tblMovement[[#This Row],[Material]],3)="Ore",1,0))</f>
        <v/>
      </c>
      <c r="N4199" s="59">
        <f>IF(OR(tblMovement[[#This Row],[Tonnes_t]]="",tblMovement[[#This Row],[Grade_gpt]]=""),0,tblMovement[[#This Row],[Tonnes_t]]*tblMovement[[#This Row],[Grade_gpt]]/cfg_TroyOz)</f>
        <v/>
      </c>
      <c r="O4199" s="59">
        <f>IF(tblMovement[[#This Row],[Is_Ore]]=1,tblMovement[[#This Row],[Contained_oz]],0)</f>
        <v/>
      </c>
    </row>
    <row r="4200">
      <c r="A4200" s="54" t="n"/>
      <c r="B4200" s="61" t="n"/>
      <c r="C4200" s="61" t="n"/>
      <c r="D4200" s="61" t="n"/>
      <c r="E4200" s="61" t="n"/>
      <c r="F4200" s="55" t="n"/>
      <c r="G4200" s="56" t="n"/>
      <c r="H4200" s="55" t="n"/>
      <c r="I4200" s="62" t="n"/>
      <c r="J4200" s="58" t="n"/>
      <c r="K4200" s="63">
        <f>IF(tblMovement[[#This Row],[Source]]="","",IFERROR(INDEX(tblSources[Type],MATCH(tblMovement[[#This Row],[Source]],tblSources[Source],0)),"?"))</f>
        <v/>
      </c>
      <c r="L4200" s="63">
        <f>IF(tblMovement[[#This Row],[Destination]]="","",IFERROR(INDEX(tblDestinations[Type],MATCH(tblMovement[[#This Row],[Destination]],tblDestinations[Destination],0)),"?"))</f>
        <v/>
      </c>
      <c r="M4200" s="64">
        <f>IF(tblMovement[[#This Row],[Material]]="","",IF(LEFT(tblMovement[[#This Row],[Material]],3)="Ore",1,0))</f>
        <v/>
      </c>
      <c r="N4200" s="59">
        <f>IF(OR(tblMovement[[#This Row],[Tonnes_t]]="",tblMovement[[#This Row],[Grade_gpt]]=""),0,tblMovement[[#This Row],[Tonnes_t]]*tblMovement[[#This Row],[Grade_gpt]]/cfg_TroyOz)</f>
        <v/>
      </c>
      <c r="O4200" s="59">
        <f>IF(tblMovement[[#This Row],[Is_Ore]]=1,tblMovement[[#This Row],[Contained_oz]],0)</f>
        <v/>
      </c>
    </row>
    <row r="4201">
      <c r="A4201" s="54" t="n"/>
      <c r="B4201" s="61" t="n"/>
      <c r="C4201" s="61" t="n"/>
      <c r="D4201" s="61" t="n"/>
      <c r="E4201" s="61" t="n"/>
      <c r="F4201" s="55" t="n"/>
      <c r="G4201" s="56" t="n"/>
      <c r="H4201" s="55" t="n"/>
      <c r="I4201" s="62" t="n"/>
      <c r="J4201" s="58" t="n"/>
      <c r="K4201" s="63">
        <f>IF(tblMovement[[#This Row],[Source]]="","",IFERROR(INDEX(tblSources[Type],MATCH(tblMovement[[#This Row],[Source]],tblSources[Source],0)),"?"))</f>
        <v/>
      </c>
      <c r="L4201" s="63">
        <f>IF(tblMovement[[#This Row],[Destination]]="","",IFERROR(INDEX(tblDestinations[Type],MATCH(tblMovement[[#This Row],[Destination]],tblDestinations[Destination],0)),"?"))</f>
        <v/>
      </c>
      <c r="M4201" s="64">
        <f>IF(tblMovement[[#This Row],[Material]]="","",IF(LEFT(tblMovement[[#This Row],[Material]],3)="Ore",1,0))</f>
        <v/>
      </c>
      <c r="N4201" s="59">
        <f>IF(OR(tblMovement[[#This Row],[Tonnes_t]]="",tblMovement[[#This Row],[Grade_gpt]]=""),0,tblMovement[[#This Row],[Tonnes_t]]*tblMovement[[#This Row],[Grade_gpt]]/cfg_TroyOz)</f>
        <v/>
      </c>
      <c r="O4201" s="59">
        <f>IF(tblMovement[[#This Row],[Is_Ore]]=1,tblMovement[[#This Row],[Contained_oz]],0)</f>
        <v/>
      </c>
    </row>
    <row r="4202">
      <c r="A4202" s="54" t="n"/>
      <c r="B4202" s="61" t="n"/>
      <c r="C4202" s="61" t="n"/>
      <c r="D4202" s="61" t="n"/>
      <c r="E4202" s="61" t="n"/>
      <c r="F4202" s="55" t="n"/>
      <c r="G4202" s="56" t="n"/>
      <c r="H4202" s="55" t="n"/>
      <c r="I4202" s="62" t="n"/>
      <c r="J4202" s="58" t="n"/>
      <c r="K4202" s="63">
        <f>IF(tblMovement[[#This Row],[Source]]="","",IFERROR(INDEX(tblSources[Type],MATCH(tblMovement[[#This Row],[Source]],tblSources[Source],0)),"?"))</f>
        <v/>
      </c>
      <c r="L4202" s="63">
        <f>IF(tblMovement[[#This Row],[Destination]]="","",IFERROR(INDEX(tblDestinations[Type],MATCH(tblMovement[[#This Row],[Destination]],tblDestinations[Destination],0)),"?"))</f>
        <v/>
      </c>
      <c r="M4202" s="64">
        <f>IF(tblMovement[[#This Row],[Material]]="","",IF(LEFT(tblMovement[[#This Row],[Material]],3)="Ore",1,0))</f>
        <v/>
      </c>
      <c r="N4202" s="59">
        <f>IF(OR(tblMovement[[#This Row],[Tonnes_t]]="",tblMovement[[#This Row],[Grade_gpt]]=""),0,tblMovement[[#This Row],[Tonnes_t]]*tblMovement[[#This Row],[Grade_gpt]]/cfg_TroyOz)</f>
        <v/>
      </c>
      <c r="O4202" s="59">
        <f>IF(tblMovement[[#This Row],[Is_Ore]]=1,tblMovement[[#This Row],[Contained_oz]],0)</f>
        <v/>
      </c>
    </row>
    <row r="4203">
      <c r="A4203" s="54" t="n"/>
      <c r="B4203" s="61" t="n"/>
      <c r="C4203" s="61" t="n"/>
      <c r="D4203" s="61" t="n"/>
      <c r="E4203" s="61" t="n"/>
      <c r="F4203" s="55" t="n"/>
      <c r="G4203" s="56" t="n"/>
      <c r="H4203" s="55" t="n"/>
      <c r="I4203" s="62" t="n"/>
      <c r="J4203" s="58" t="n"/>
      <c r="K4203" s="63">
        <f>IF(tblMovement[[#This Row],[Source]]="","",IFERROR(INDEX(tblSources[Type],MATCH(tblMovement[[#This Row],[Source]],tblSources[Source],0)),"?"))</f>
        <v/>
      </c>
      <c r="L4203" s="63">
        <f>IF(tblMovement[[#This Row],[Destination]]="","",IFERROR(INDEX(tblDestinations[Type],MATCH(tblMovement[[#This Row],[Destination]],tblDestinations[Destination],0)),"?"))</f>
        <v/>
      </c>
      <c r="M4203" s="64">
        <f>IF(tblMovement[[#This Row],[Material]]="","",IF(LEFT(tblMovement[[#This Row],[Material]],3)="Ore",1,0))</f>
        <v/>
      </c>
      <c r="N4203" s="59">
        <f>IF(OR(tblMovement[[#This Row],[Tonnes_t]]="",tblMovement[[#This Row],[Grade_gpt]]=""),0,tblMovement[[#This Row],[Tonnes_t]]*tblMovement[[#This Row],[Grade_gpt]]/cfg_TroyOz)</f>
        <v/>
      </c>
      <c r="O4203" s="59">
        <f>IF(tblMovement[[#This Row],[Is_Ore]]=1,tblMovement[[#This Row],[Contained_oz]],0)</f>
        <v/>
      </c>
    </row>
    <row r="4204">
      <c r="A4204" s="54" t="n"/>
      <c r="B4204" s="61" t="n"/>
      <c r="C4204" s="61" t="n"/>
      <c r="D4204" s="61" t="n"/>
      <c r="E4204" s="61" t="n"/>
      <c r="F4204" s="55" t="n"/>
      <c r="G4204" s="56" t="n"/>
      <c r="H4204" s="55" t="n"/>
      <c r="I4204" s="62" t="n"/>
      <c r="J4204" s="58" t="n"/>
      <c r="K4204" s="63">
        <f>IF(tblMovement[[#This Row],[Source]]="","",IFERROR(INDEX(tblSources[Type],MATCH(tblMovement[[#This Row],[Source]],tblSources[Source],0)),"?"))</f>
        <v/>
      </c>
      <c r="L4204" s="63">
        <f>IF(tblMovement[[#This Row],[Destination]]="","",IFERROR(INDEX(tblDestinations[Type],MATCH(tblMovement[[#This Row],[Destination]],tblDestinations[Destination],0)),"?"))</f>
        <v/>
      </c>
      <c r="M4204" s="64">
        <f>IF(tblMovement[[#This Row],[Material]]="","",IF(LEFT(tblMovement[[#This Row],[Material]],3)="Ore",1,0))</f>
        <v/>
      </c>
      <c r="N4204" s="59">
        <f>IF(OR(tblMovement[[#This Row],[Tonnes_t]]="",tblMovement[[#This Row],[Grade_gpt]]=""),0,tblMovement[[#This Row],[Tonnes_t]]*tblMovement[[#This Row],[Grade_gpt]]/cfg_TroyOz)</f>
        <v/>
      </c>
      <c r="O4204" s="59">
        <f>IF(tblMovement[[#This Row],[Is_Ore]]=1,tblMovement[[#This Row],[Contained_oz]],0)</f>
        <v/>
      </c>
    </row>
    <row r="4205">
      <c r="A4205" s="54" t="n"/>
      <c r="B4205" s="61" t="n"/>
      <c r="C4205" s="61" t="n"/>
      <c r="D4205" s="61" t="n"/>
      <c r="E4205" s="61" t="n"/>
      <c r="F4205" s="55" t="n"/>
      <c r="G4205" s="56" t="n"/>
      <c r="H4205" s="55" t="n"/>
      <c r="I4205" s="62" t="n"/>
      <c r="J4205" s="58" t="n"/>
      <c r="K4205" s="63">
        <f>IF(tblMovement[[#This Row],[Source]]="","",IFERROR(INDEX(tblSources[Type],MATCH(tblMovement[[#This Row],[Source]],tblSources[Source],0)),"?"))</f>
        <v/>
      </c>
      <c r="L4205" s="63">
        <f>IF(tblMovement[[#This Row],[Destination]]="","",IFERROR(INDEX(tblDestinations[Type],MATCH(tblMovement[[#This Row],[Destination]],tblDestinations[Destination],0)),"?"))</f>
        <v/>
      </c>
      <c r="M4205" s="64">
        <f>IF(tblMovement[[#This Row],[Material]]="","",IF(LEFT(tblMovement[[#This Row],[Material]],3)="Ore",1,0))</f>
        <v/>
      </c>
      <c r="N4205" s="59">
        <f>IF(OR(tblMovement[[#This Row],[Tonnes_t]]="",tblMovement[[#This Row],[Grade_gpt]]=""),0,tblMovement[[#This Row],[Tonnes_t]]*tblMovement[[#This Row],[Grade_gpt]]/cfg_TroyOz)</f>
        <v/>
      </c>
      <c r="O4205" s="59">
        <f>IF(tblMovement[[#This Row],[Is_Ore]]=1,tblMovement[[#This Row],[Contained_oz]],0)</f>
        <v/>
      </c>
    </row>
    <row r="4206">
      <c r="A4206" s="54" t="n"/>
      <c r="B4206" s="61" t="n"/>
      <c r="C4206" s="61" t="n"/>
      <c r="D4206" s="61" t="n"/>
      <c r="E4206" s="61" t="n"/>
      <c r="F4206" s="55" t="n"/>
      <c r="G4206" s="56" t="n"/>
      <c r="H4206" s="55" t="n"/>
      <c r="I4206" s="62" t="n"/>
      <c r="J4206" s="58" t="n"/>
      <c r="K4206" s="63">
        <f>IF(tblMovement[[#This Row],[Source]]="","",IFERROR(INDEX(tblSources[Type],MATCH(tblMovement[[#This Row],[Source]],tblSources[Source],0)),"?"))</f>
        <v/>
      </c>
      <c r="L4206" s="63">
        <f>IF(tblMovement[[#This Row],[Destination]]="","",IFERROR(INDEX(tblDestinations[Type],MATCH(tblMovement[[#This Row],[Destination]],tblDestinations[Destination],0)),"?"))</f>
        <v/>
      </c>
      <c r="M4206" s="64">
        <f>IF(tblMovement[[#This Row],[Material]]="","",IF(LEFT(tblMovement[[#This Row],[Material]],3)="Ore",1,0))</f>
        <v/>
      </c>
      <c r="N4206" s="59">
        <f>IF(OR(tblMovement[[#This Row],[Tonnes_t]]="",tblMovement[[#This Row],[Grade_gpt]]=""),0,tblMovement[[#This Row],[Tonnes_t]]*tblMovement[[#This Row],[Grade_gpt]]/cfg_TroyOz)</f>
        <v/>
      </c>
      <c r="O4206" s="59">
        <f>IF(tblMovement[[#This Row],[Is_Ore]]=1,tblMovement[[#This Row],[Contained_oz]],0)</f>
        <v/>
      </c>
    </row>
    <row r="4207">
      <c r="A4207" s="54" t="n"/>
      <c r="B4207" s="61" t="n"/>
      <c r="C4207" s="61" t="n"/>
      <c r="D4207" s="61" t="n"/>
      <c r="E4207" s="61" t="n"/>
      <c r="F4207" s="55" t="n"/>
      <c r="G4207" s="56" t="n"/>
      <c r="H4207" s="55" t="n"/>
      <c r="I4207" s="62" t="n"/>
      <c r="J4207" s="58" t="n"/>
      <c r="K4207" s="63">
        <f>IF(tblMovement[[#This Row],[Source]]="","",IFERROR(INDEX(tblSources[Type],MATCH(tblMovement[[#This Row],[Source]],tblSources[Source],0)),"?"))</f>
        <v/>
      </c>
      <c r="L4207" s="63">
        <f>IF(tblMovement[[#This Row],[Destination]]="","",IFERROR(INDEX(tblDestinations[Type],MATCH(tblMovement[[#This Row],[Destination]],tblDestinations[Destination],0)),"?"))</f>
        <v/>
      </c>
      <c r="M4207" s="64">
        <f>IF(tblMovement[[#This Row],[Material]]="","",IF(LEFT(tblMovement[[#This Row],[Material]],3)="Ore",1,0))</f>
        <v/>
      </c>
      <c r="N4207" s="59">
        <f>IF(OR(tblMovement[[#This Row],[Tonnes_t]]="",tblMovement[[#This Row],[Grade_gpt]]=""),0,tblMovement[[#This Row],[Tonnes_t]]*tblMovement[[#This Row],[Grade_gpt]]/cfg_TroyOz)</f>
        <v/>
      </c>
      <c r="O4207" s="59">
        <f>IF(tblMovement[[#This Row],[Is_Ore]]=1,tblMovement[[#This Row],[Contained_oz]],0)</f>
        <v/>
      </c>
    </row>
    <row r="4208">
      <c r="A4208" s="54" t="n"/>
      <c r="B4208" s="61" t="n"/>
      <c r="C4208" s="61" t="n"/>
      <c r="D4208" s="61" t="n"/>
      <c r="E4208" s="61" t="n"/>
      <c r="F4208" s="55" t="n"/>
      <c r="G4208" s="56" t="n"/>
      <c r="H4208" s="55" t="n"/>
      <c r="I4208" s="62" t="n"/>
      <c r="J4208" s="58" t="n"/>
      <c r="K4208" s="63">
        <f>IF(tblMovement[[#This Row],[Source]]="","",IFERROR(INDEX(tblSources[Type],MATCH(tblMovement[[#This Row],[Source]],tblSources[Source],0)),"?"))</f>
        <v/>
      </c>
      <c r="L4208" s="63">
        <f>IF(tblMovement[[#This Row],[Destination]]="","",IFERROR(INDEX(tblDestinations[Type],MATCH(tblMovement[[#This Row],[Destination]],tblDestinations[Destination],0)),"?"))</f>
        <v/>
      </c>
      <c r="M4208" s="64">
        <f>IF(tblMovement[[#This Row],[Material]]="","",IF(LEFT(tblMovement[[#This Row],[Material]],3)="Ore",1,0))</f>
        <v/>
      </c>
      <c r="N4208" s="59">
        <f>IF(OR(tblMovement[[#This Row],[Tonnes_t]]="",tblMovement[[#This Row],[Grade_gpt]]=""),0,tblMovement[[#This Row],[Tonnes_t]]*tblMovement[[#This Row],[Grade_gpt]]/cfg_TroyOz)</f>
        <v/>
      </c>
      <c r="O4208" s="59">
        <f>IF(tblMovement[[#This Row],[Is_Ore]]=1,tblMovement[[#This Row],[Contained_oz]],0)</f>
        <v/>
      </c>
    </row>
    <row r="4209">
      <c r="A4209" s="54" t="n"/>
      <c r="B4209" s="61" t="n"/>
      <c r="C4209" s="61" t="n"/>
      <c r="D4209" s="61" t="n"/>
      <c r="E4209" s="61" t="n"/>
      <c r="F4209" s="55" t="n"/>
      <c r="G4209" s="56" t="n"/>
      <c r="H4209" s="55" t="n"/>
      <c r="I4209" s="62" t="n"/>
      <c r="J4209" s="58" t="n"/>
      <c r="K4209" s="63">
        <f>IF(tblMovement[[#This Row],[Source]]="","",IFERROR(INDEX(tblSources[Type],MATCH(tblMovement[[#This Row],[Source]],tblSources[Source],0)),"?"))</f>
        <v/>
      </c>
      <c r="L4209" s="63">
        <f>IF(tblMovement[[#This Row],[Destination]]="","",IFERROR(INDEX(tblDestinations[Type],MATCH(tblMovement[[#This Row],[Destination]],tblDestinations[Destination],0)),"?"))</f>
        <v/>
      </c>
      <c r="M4209" s="64">
        <f>IF(tblMovement[[#This Row],[Material]]="","",IF(LEFT(tblMovement[[#This Row],[Material]],3)="Ore",1,0))</f>
        <v/>
      </c>
      <c r="N4209" s="59">
        <f>IF(OR(tblMovement[[#This Row],[Tonnes_t]]="",tblMovement[[#This Row],[Grade_gpt]]=""),0,tblMovement[[#This Row],[Tonnes_t]]*tblMovement[[#This Row],[Grade_gpt]]/cfg_TroyOz)</f>
        <v/>
      </c>
      <c r="O4209" s="59">
        <f>IF(tblMovement[[#This Row],[Is_Ore]]=1,tblMovement[[#This Row],[Contained_oz]],0)</f>
        <v/>
      </c>
    </row>
    <row r="4210">
      <c r="A4210" s="54" t="n"/>
      <c r="B4210" s="61" t="n"/>
      <c r="C4210" s="61" t="n"/>
      <c r="D4210" s="61" t="n"/>
      <c r="E4210" s="61" t="n"/>
      <c r="F4210" s="55" t="n"/>
      <c r="G4210" s="56" t="n"/>
      <c r="H4210" s="55" t="n"/>
      <c r="I4210" s="62" t="n"/>
      <c r="J4210" s="58" t="n"/>
      <c r="K4210" s="63">
        <f>IF(tblMovement[[#This Row],[Source]]="","",IFERROR(INDEX(tblSources[Type],MATCH(tblMovement[[#This Row],[Source]],tblSources[Source],0)),"?"))</f>
        <v/>
      </c>
      <c r="L4210" s="63">
        <f>IF(tblMovement[[#This Row],[Destination]]="","",IFERROR(INDEX(tblDestinations[Type],MATCH(tblMovement[[#This Row],[Destination]],tblDestinations[Destination],0)),"?"))</f>
        <v/>
      </c>
      <c r="M4210" s="64">
        <f>IF(tblMovement[[#This Row],[Material]]="","",IF(LEFT(tblMovement[[#This Row],[Material]],3)="Ore",1,0))</f>
        <v/>
      </c>
      <c r="N4210" s="59">
        <f>IF(OR(tblMovement[[#This Row],[Tonnes_t]]="",tblMovement[[#This Row],[Grade_gpt]]=""),0,tblMovement[[#This Row],[Tonnes_t]]*tblMovement[[#This Row],[Grade_gpt]]/cfg_TroyOz)</f>
        <v/>
      </c>
      <c r="O4210" s="59">
        <f>IF(tblMovement[[#This Row],[Is_Ore]]=1,tblMovement[[#This Row],[Contained_oz]],0)</f>
        <v/>
      </c>
    </row>
    <row r="4211">
      <c r="A4211" s="54" t="n"/>
      <c r="B4211" s="61" t="n"/>
      <c r="C4211" s="61" t="n"/>
      <c r="D4211" s="61" t="n"/>
      <c r="E4211" s="61" t="n"/>
      <c r="F4211" s="55" t="n"/>
      <c r="G4211" s="56" t="n"/>
      <c r="H4211" s="55" t="n"/>
      <c r="I4211" s="62" t="n"/>
      <c r="J4211" s="58" t="n"/>
      <c r="K4211" s="63">
        <f>IF(tblMovement[[#This Row],[Source]]="","",IFERROR(INDEX(tblSources[Type],MATCH(tblMovement[[#This Row],[Source]],tblSources[Source],0)),"?"))</f>
        <v/>
      </c>
      <c r="L4211" s="63">
        <f>IF(tblMovement[[#This Row],[Destination]]="","",IFERROR(INDEX(tblDestinations[Type],MATCH(tblMovement[[#This Row],[Destination]],tblDestinations[Destination],0)),"?"))</f>
        <v/>
      </c>
      <c r="M4211" s="64">
        <f>IF(tblMovement[[#This Row],[Material]]="","",IF(LEFT(tblMovement[[#This Row],[Material]],3)="Ore",1,0))</f>
        <v/>
      </c>
      <c r="N4211" s="59">
        <f>IF(OR(tblMovement[[#This Row],[Tonnes_t]]="",tblMovement[[#This Row],[Grade_gpt]]=""),0,tblMovement[[#This Row],[Tonnes_t]]*tblMovement[[#This Row],[Grade_gpt]]/cfg_TroyOz)</f>
        <v/>
      </c>
      <c r="O4211" s="59">
        <f>IF(tblMovement[[#This Row],[Is_Ore]]=1,tblMovement[[#This Row],[Contained_oz]],0)</f>
        <v/>
      </c>
    </row>
    <row r="4212">
      <c r="A4212" s="54" t="n"/>
      <c r="B4212" s="61" t="n"/>
      <c r="C4212" s="61" t="n"/>
      <c r="D4212" s="61" t="n"/>
      <c r="E4212" s="61" t="n"/>
      <c r="F4212" s="55" t="n"/>
      <c r="G4212" s="56" t="n"/>
      <c r="H4212" s="55" t="n"/>
      <c r="I4212" s="62" t="n"/>
      <c r="J4212" s="58" t="n"/>
      <c r="K4212" s="63">
        <f>IF(tblMovement[[#This Row],[Source]]="","",IFERROR(INDEX(tblSources[Type],MATCH(tblMovement[[#This Row],[Source]],tblSources[Source],0)),"?"))</f>
        <v/>
      </c>
      <c r="L4212" s="63">
        <f>IF(tblMovement[[#This Row],[Destination]]="","",IFERROR(INDEX(tblDestinations[Type],MATCH(tblMovement[[#This Row],[Destination]],tblDestinations[Destination],0)),"?"))</f>
        <v/>
      </c>
      <c r="M4212" s="64">
        <f>IF(tblMovement[[#This Row],[Material]]="","",IF(LEFT(tblMovement[[#This Row],[Material]],3)="Ore",1,0))</f>
        <v/>
      </c>
      <c r="N4212" s="59">
        <f>IF(OR(tblMovement[[#This Row],[Tonnes_t]]="",tblMovement[[#This Row],[Grade_gpt]]=""),0,tblMovement[[#This Row],[Tonnes_t]]*tblMovement[[#This Row],[Grade_gpt]]/cfg_TroyOz)</f>
        <v/>
      </c>
      <c r="O4212" s="59">
        <f>IF(tblMovement[[#This Row],[Is_Ore]]=1,tblMovement[[#This Row],[Contained_oz]],0)</f>
        <v/>
      </c>
    </row>
    <row r="4213">
      <c r="A4213" s="54" t="n"/>
      <c r="B4213" s="61" t="n"/>
      <c r="C4213" s="61" t="n"/>
      <c r="D4213" s="61" t="n"/>
      <c r="E4213" s="61" t="n"/>
      <c r="F4213" s="55" t="n"/>
      <c r="G4213" s="56" t="n"/>
      <c r="H4213" s="55" t="n"/>
      <c r="I4213" s="62" t="n"/>
      <c r="J4213" s="58" t="n"/>
      <c r="K4213" s="63">
        <f>IF(tblMovement[[#This Row],[Source]]="","",IFERROR(INDEX(tblSources[Type],MATCH(tblMovement[[#This Row],[Source]],tblSources[Source],0)),"?"))</f>
        <v/>
      </c>
      <c r="L4213" s="63">
        <f>IF(tblMovement[[#This Row],[Destination]]="","",IFERROR(INDEX(tblDestinations[Type],MATCH(tblMovement[[#This Row],[Destination]],tblDestinations[Destination],0)),"?"))</f>
        <v/>
      </c>
      <c r="M4213" s="64">
        <f>IF(tblMovement[[#This Row],[Material]]="","",IF(LEFT(tblMovement[[#This Row],[Material]],3)="Ore",1,0))</f>
        <v/>
      </c>
      <c r="N4213" s="59">
        <f>IF(OR(tblMovement[[#This Row],[Tonnes_t]]="",tblMovement[[#This Row],[Grade_gpt]]=""),0,tblMovement[[#This Row],[Tonnes_t]]*tblMovement[[#This Row],[Grade_gpt]]/cfg_TroyOz)</f>
        <v/>
      </c>
      <c r="O4213" s="59">
        <f>IF(tblMovement[[#This Row],[Is_Ore]]=1,tblMovement[[#This Row],[Contained_oz]],0)</f>
        <v/>
      </c>
    </row>
    <row r="4214">
      <c r="A4214" s="54" t="n"/>
      <c r="B4214" s="61" t="n"/>
      <c r="C4214" s="61" t="n"/>
      <c r="D4214" s="61" t="n"/>
      <c r="E4214" s="61" t="n"/>
      <c r="F4214" s="55" t="n"/>
      <c r="G4214" s="56" t="n"/>
      <c r="H4214" s="55" t="n"/>
      <c r="I4214" s="62" t="n"/>
      <c r="J4214" s="58" t="n"/>
      <c r="K4214" s="63">
        <f>IF(tblMovement[[#This Row],[Source]]="","",IFERROR(INDEX(tblSources[Type],MATCH(tblMovement[[#This Row],[Source]],tblSources[Source],0)),"?"))</f>
        <v/>
      </c>
      <c r="L4214" s="63">
        <f>IF(tblMovement[[#This Row],[Destination]]="","",IFERROR(INDEX(tblDestinations[Type],MATCH(tblMovement[[#This Row],[Destination]],tblDestinations[Destination],0)),"?"))</f>
        <v/>
      </c>
      <c r="M4214" s="64">
        <f>IF(tblMovement[[#This Row],[Material]]="","",IF(LEFT(tblMovement[[#This Row],[Material]],3)="Ore",1,0))</f>
        <v/>
      </c>
      <c r="N4214" s="59">
        <f>IF(OR(tblMovement[[#This Row],[Tonnes_t]]="",tblMovement[[#This Row],[Grade_gpt]]=""),0,tblMovement[[#This Row],[Tonnes_t]]*tblMovement[[#This Row],[Grade_gpt]]/cfg_TroyOz)</f>
        <v/>
      </c>
      <c r="O4214" s="59">
        <f>IF(tblMovement[[#This Row],[Is_Ore]]=1,tblMovement[[#This Row],[Contained_oz]],0)</f>
        <v/>
      </c>
    </row>
    <row r="4215">
      <c r="A4215" s="54" t="n"/>
      <c r="B4215" s="61" t="n"/>
      <c r="C4215" s="61" t="n"/>
      <c r="D4215" s="61" t="n"/>
      <c r="E4215" s="61" t="n"/>
      <c r="F4215" s="55" t="n"/>
      <c r="G4215" s="56" t="n"/>
      <c r="H4215" s="55" t="n"/>
      <c r="I4215" s="62" t="n"/>
      <c r="J4215" s="58" t="n"/>
      <c r="K4215" s="63">
        <f>IF(tblMovement[[#This Row],[Source]]="","",IFERROR(INDEX(tblSources[Type],MATCH(tblMovement[[#This Row],[Source]],tblSources[Source],0)),"?"))</f>
        <v/>
      </c>
      <c r="L4215" s="63">
        <f>IF(tblMovement[[#This Row],[Destination]]="","",IFERROR(INDEX(tblDestinations[Type],MATCH(tblMovement[[#This Row],[Destination]],tblDestinations[Destination],0)),"?"))</f>
        <v/>
      </c>
      <c r="M4215" s="64">
        <f>IF(tblMovement[[#This Row],[Material]]="","",IF(LEFT(tblMovement[[#This Row],[Material]],3)="Ore",1,0))</f>
        <v/>
      </c>
      <c r="N4215" s="59">
        <f>IF(OR(tblMovement[[#This Row],[Tonnes_t]]="",tblMovement[[#This Row],[Grade_gpt]]=""),0,tblMovement[[#This Row],[Tonnes_t]]*tblMovement[[#This Row],[Grade_gpt]]/cfg_TroyOz)</f>
        <v/>
      </c>
      <c r="O4215" s="59">
        <f>IF(tblMovement[[#This Row],[Is_Ore]]=1,tblMovement[[#This Row],[Contained_oz]],0)</f>
        <v/>
      </c>
    </row>
    <row r="4216">
      <c r="A4216" s="54" t="n"/>
      <c r="B4216" s="61" t="n"/>
      <c r="C4216" s="61" t="n"/>
      <c r="D4216" s="61" t="n"/>
      <c r="E4216" s="61" t="n"/>
      <c r="F4216" s="55" t="n"/>
      <c r="G4216" s="56" t="n"/>
      <c r="H4216" s="55" t="n"/>
      <c r="I4216" s="62" t="n"/>
      <c r="J4216" s="58" t="n"/>
      <c r="K4216" s="63">
        <f>IF(tblMovement[[#This Row],[Source]]="","",IFERROR(INDEX(tblSources[Type],MATCH(tblMovement[[#This Row],[Source]],tblSources[Source],0)),"?"))</f>
        <v/>
      </c>
      <c r="L4216" s="63">
        <f>IF(tblMovement[[#This Row],[Destination]]="","",IFERROR(INDEX(tblDestinations[Type],MATCH(tblMovement[[#This Row],[Destination]],tblDestinations[Destination],0)),"?"))</f>
        <v/>
      </c>
      <c r="M4216" s="64">
        <f>IF(tblMovement[[#This Row],[Material]]="","",IF(LEFT(tblMovement[[#This Row],[Material]],3)="Ore",1,0))</f>
        <v/>
      </c>
      <c r="N4216" s="59">
        <f>IF(OR(tblMovement[[#This Row],[Tonnes_t]]="",tblMovement[[#This Row],[Grade_gpt]]=""),0,tblMovement[[#This Row],[Tonnes_t]]*tblMovement[[#This Row],[Grade_gpt]]/cfg_TroyOz)</f>
        <v/>
      </c>
      <c r="O4216" s="59">
        <f>IF(tblMovement[[#This Row],[Is_Ore]]=1,tblMovement[[#This Row],[Contained_oz]],0)</f>
        <v/>
      </c>
    </row>
    <row r="4217">
      <c r="A4217" s="54" t="n"/>
      <c r="B4217" s="61" t="n"/>
      <c r="C4217" s="61" t="n"/>
      <c r="D4217" s="61" t="n"/>
      <c r="E4217" s="61" t="n"/>
      <c r="F4217" s="55" t="n"/>
      <c r="G4217" s="56" t="n"/>
      <c r="H4217" s="55" t="n"/>
      <c r="I4217" s="62" t="n"/>
      <c r="J4217" s="58" t="n"/>
      <c r="K4217" s="63">
        <f>IF(tblMovement[[#This Row],[Source]]="","",IFERROR(INDEX(tblSources[Type],MATCH(tblMovement[[#This Row],[Source]],tblSources[Source],0)),"?"))</f>
        <v/>
      </c>
      <c r="L4217" s="63">
        <f>IF(tblMovement[[#This Row],[Destination]]="","",IFERROR(INDEX(tblDestinations[Type],MATCH(tblMovement[[#This Row],[Destination]],tblDestinations[Destination],0)),"?"))</f>
        <v/>
      </c>
      <c r="M4217" s="64">
        <f>IF(tblMovement[[#This Row],[Material]]="","",IF(LEFT(tblMovement[[#This Row],[Material]],3)="Ore",1,0))</f>
        <v/>
      </c>
      <c r="N4217" s="59">
        <f>IF(OR(tblMovement[[#This Row],[Tonnes_t]]="",tblMovement[[#This Row],[Grade_gpt]]=""),0,tblMovement[[#This Row],[Tonnes_t]]*tblMovement[[#This Row],[Grade_gpt]]/cfg_TroyOz)</f>
        <v/>
      </c>
      <c r="O4217" s="59">
        <f>IF(tblMovement[[#This Row],[Is_Ore]]=1,tblMovement[[#This Row],[Contained_oz]],0)</f>
        <v/>
      </c>
    </row>
    <row r="4218">
      <c r="A4218" s="54" t="n"/>
      <c r="B4218" s="61" t="n"/>
      <c r="C4218" s="61" t="n"/>
      <c r="D4218" s="61" t="n"/>
      <c r="E4218" s="61" t="n"/>
      <c r="F4218" s="55" t="n"/>
      <c r="G4218" s="56" t="n"/>
      <c r="H4218" s="55" t="n"/>
      <c r="I4218" s="62" t="n"/>
      <c r="J4218" s="58" t="n"/>
      <c r="K4218" s="63">
        <f>IF(tblMovement[[#This Row],[Source]]="","",IFERROR(INDEX(tblSources[Type],MATCH(tblMovement[[#This Row],[Source]],tblSources[Source],0)),"?"))</f>
        <v/>
      </c>
      <c r="L4218" s="63">
        <f>IF(tblMovement[[#This Row],[Destination]]="","",IFERROR(INDEX(tblDestinations[Type],MATCH(tblMovement[[#This Row],[Destination]],tblDestinations[Destination],0)),"?"))</f>
        <v/>
      </c>
      <c r="M4218" s="64">
        <f>IF(tblMovement[[#This Row],[Material]]="","",IF(LEFT(tblMovement[[#This Row],[Material]],3)="Ore",1,0))</f>
        <v/>
      </c>
      <c r="N4218" s="59">
        <f>IF(OR(tblMovement[[#This Row],[Tonnes_t]]="",tblMovement[[#This Row],[Grade_gpt]]=""),0,tblMovement[[#This Row],[Tonnes_t]]*tblMovement[[#This Row],[Grade_gpt]]/cfg_TroyOz)</f>
        <v/>
      </c>
      <c r="O4218" s="59">
        <f>IF(tblMovement[[#This Row],[Is_Ore]]=1,tblMovement[[#This Row],[Contained_oz]],0)</f>
        <v/>
      </c>
    </row>
    <row r="4219">
      <c r="A4219" s="54" t="n"/>
      <c r="B4219" s="61" t="n"/>
      <c r="C4219" s="61" t="n"/>
      <c r="D4219" s="61" t="n"/>
      <c r="E4219" s="61" t="n"/>
      <c r="F4219" s="55" t="n"/>
      <c r="G4219" s="56" t="n"/>
      <c r="H4219" s="55" t="n"/>
      <c r="I4219" s="62" t="n"/>
      <c r="J4219" s="58" t="n"/>
      <c r="K4219" s="63">
        <f>IF(tblMovement[[#This Row],[Source]]="","",IFERROR(INDEX(tblSources[Type],MATCH(tblMovement[[#This Row],[Source]],tblSources[Source],0)),"?"))</f>
        <v/>
      </c>
      <c r="L4219" s="63">
        <f>IF(tblMovement[[#This Row],[Destination]]="","",IFERROR(INDEX(tblDestinations[Type],MATCH(tblMovement[[#This Row],[Destination]],tblDestinations[Destination],0)),"?"))</f>
        <v/>
      </c>
      <c r="M4219" s="64">
        <f>IF(tblMovement[[#This Row],[Material]]="","",IF(LEFT(tblMovement[[#This Row],[Material]],3)="Ore",1,0))</f>
        <v/>
      </c>
      <c r="N4219" s="59">
        <f>IF(OR(tblMovement[[#This Row],[Tonnes_t]]="",tblMovement[[#This Row],[Grade_gpt]]=""),0,tblMovement[[#This Row],[Tonnes_t]]*tblMovement[[#This Row],[Grade_gpt]]/cfg_TroyOz)</f>
        <v/>
      </c>
      <c r="O4219" s="59">
        <f>IF(tblMovement[[#This Row],[Is_Ore]]=1,tblMovement[[#This Row],[Contained_oz]],0)</f>
        <v/>
      </c>
    </row>
    <row r="4220">
      <c r="A4220" s="54" t="n"/>
      <c r="B4220" s="61" t="n"/>
      <c r="C4220" s="61" t="n"/>
      <c r="D4220" s="61" t="n"/>
      <c r="E4220" s="61" t="n"/>
      <c r="F4220" s="55" t="n"/>
      <c r="G4220" s="56" t="n"/>
      <c r="H4220" s="55" t="n"/>
      <c r="I4220" s="62" t="n"/>
      <c r="J4220" s="58" t="n"/>
      <c r="K4220" s="63">
        <f>IF(tblMovement[[#This Row],[Source]]="","",IFERROR(INDEX(tblSources[Type],MATCH(tblMovement[[#This Row],[Source]],tblSources[Source],0)),"?"))</f>
        <v/>
      </c>
      <c r="L4220" s="63">
        <f>IF(tblMovement[[#This Row],[Destination]]="","",IFERROR(INDEX(tblDestinations[Type],MATCH(tblMovement[[#This Row],[Destination]],tblDestinations[Destination],0)),"?"))</f>
        <v/>
      </c>
      <c r="M4220" s="64">
        <f>IF(tblMovement[[#This Row],[Material]]="","",IF(LEFT(tblMovement[[#This Row],[Material]],3)="Ore",1,0))</f>
        <v/>
      </c>
      <c r="N4220" s="59">
        <f>IF(OR(tblMovement[[#This Row],[Tonnes_t]]="",tblMovement[[#This Row],[Grade_gpt]]=""),0,tblMovement[[#This Row],[Tonnes_t]]*tblMovement[[#This Row],[Grade_gpt]]/cfg_TroyOz)</f>
        <v/>
      </c>
      <c r="O4220" s="59">
        <f>IF(tblMovement[[#This Row],[Is_Ore]]=1,tblMovement[[#This Row],[Contained_oz]],0)</f>
        <v/>
      </c>
    </row>
    <row r="4221">
      <c r="A4221" s="54" t="n"/>
      <c r="B4221" s="61" t="n"/>
      <c r="C4221" s="61" t="n"/>
      <c r="D4221" s="61" t="n"/>
      <c r="E4221" s="61" t="n"/>
      <c r="F4221" s="55" t="n"/>
      <c r="G4221" s="56" t="n"/>
      <c r="H4221" s="55" t="n"/>
      <c r="I4221" s="62" t="n"/>
      <c r="J4221" s="58" t="n"/>
      <c r="K4221" s="63">
        <f>IF(tblMovement[[#This Row],[Source]]="","",IFERROR(INDEX(tblSources[Type],MATCH(tblMovement[[#This Row],[Source]],tblSources[Source],0)),"?"))</f>
        <v/>
      </c>
      <c r="L4221" s="63">
        <f>IF(tblMovement[[#This Row],[Destination]]="","",IFERROR(INDEX(tblDestinations[Type],MATCH(tblMovement[[#This Row],[Destination]],tblDestinations[Destination],0)),"?"))</f>
        <v/>
      </c>
      <c r="M4221" s="64">
        <f>IF(tblMovement[[#This Row],[Material]]="","",IF(LEFT(tblMovement[[#This Row],[Material]],3)="Ore",1,0))</f>
        <v/>
      </c>
      <c r="N4221" s="59">
        <f>IF(OR(tblMovement[[#This Row],[Tonnes_t]]="",tblMovement[[#This Row],[Grade_gpt]]=""),0,tblMovement[[#This Row],[Tonnes_t]]*tblMovement[[#This Row],[Grade_gpt]]/cfg_TroyOz)</f>
        <v/>
      </c>
      <c r="O4221" s="59">
        <f>IF(tblMovement[[#This Row],[Is_Ore]]=1,tblMovement[[#This Row],[Contained_oz]],0)</f>
        <v/>
      </c>
    </row>
    <row r="4222">
      <c r="A4222" s="54" t="n"/>
      <c r="B4222" s="61" t="n"/>
      <c r="C4222" s="61" t="n"/>
      <c r="D4222" s="61" t="n"/>
      <c r="E4222" s="61" t="n"/>
      <c r="F4222" s="55" t="n"/>
      <c r="G4222" s="56" t="n"/>
      <c r="H4222" s="55" t="n"/>
      <c r="I4222" s="62" t="n"/>
      <c r="J4222" s="58" t="n"/>
      <c r="K4222" s="63">
        <f>IF(tblMovement[[#This Row],[Source]]="","",IFERROR(INDEX(tblSources[Type],MATCH(tblMovement[[#This Row],[Source]],tblSources[Source],0)),"?"))</f>
        <v/>
      </c>
      <c r="L4222" s="63">
        <f>IF(tblMovement[[#This Row],[Destination]]="","",IFERROR(INDEX(tblDestinations[Type],MATCH(tblMovement[[#This Row],[Destination]],tblDestinations[Destination],0)),"?"))</f>
        <v/>
      </c>
      <c r="M4222" s="64">
        <f>IF(tblMovement[[#This Row],[Material]]="","",IF(LEFT(tblMovement[[#This Row],[Material]],3)="Ore",1,0))</f>
        <v/>
      </c>
      <c r="N4222" s="59">
        <f>IF(OR(tblMovement[[#This Row],[Tonnes_t]]="",tblMovement[[#This Row],[Grade_gpt]]=""),0,tblMovement[[#This Row],[Tonnes_t]]*tblMovement[[#This Row],[Grade_gpt]]/cfg_TroyOz)</f>
        <v/>
      </c>
      <c r="O4222" s="59">
        <f>IF(tblMovement[[#This Row],[Is_Ore]]=1,tblMovement[[#This Row],[Contained_oz]],0)</f>
        <v/>
      </c>
    </row>
    <row r="4223">
      <c r="A4223" s="54" t="n"/>
      <c r="B4223" s="61" t="n"/>
      <c r="C4223" s="61" t="n"/>
      <c r="D4223" s="61" t="n"/>
      <c r="E4223" s="61" t="n"/>
      <c r="F4223" s="55" t="n"/>
      <c r="G4223" s="56" t="n"/>
      <c r="H4223" s="55" t="n"/>
      <c r="I4223" s="62" t="n"/>
      <c r="J4223" s="58" t="n"/>
      <c r="K4223" s="63">
        <f>IF(tblMovement[[#This Row],[Source]]="","",IFERROR(INDEX(tblSources[Type],MATCH(tblMovement[[#This Row],[Source]],tblSources[Source],0)),"?"))</f>
        <v/>
      </c>
      <c r="L4223" s="63">
        <f>IF(tblMovement[[#This Row],[Destination]]="","",IFERROR(INDEX(tblDestinations[Type],MATCH(tblMovement[[#This Row],[Destination]],tblDestinations[Destination],0)),"?"))</f>
        <v/>
      </c>
      <c r="M4223" s="64">
        <f>IF(tblMovement[[#This Row],[Material]]="","",IF(LEFT(tblMovement[[#This Row],[Material]],3)="Ore",1,0))</f>
        <v/>
      </c>
      <c r="N4223" s="59">
        <f>IF(OR(tblMovement[[#This Row],[Tonnes_t]]="",tblMovement[[#This Row],[Grade_gpt]]=""),0,tblMovement[[#This Row],[Tonnes_t]]*tblMovement[[#This Row],[Grade_gpt]]/cfg_TroyOz)</f>
        <v/>
      </c>
      <c r="O4223" s="59">
        <f>IF(tblMovement[[#This Row],[Is_Ore]]=1,tblMovement[[#This Row],[Contained_oz]],0)</f>
        <v/>
      </c>
    </row>
    <row r="4224">
      <c r="A4224" s="54" t="n"/>
      <c r="B4224" s="61" t="n"/>
      <c r="C4224" s="61" t="n"/>
      <c r="D4224" s="61" t="n"/>
      <c r="E4224" s="61" t="n"/>
      <c r="F4224" s="55" t="n"/>
      <c r="G4224" s="56" t="n"/>
      <c r="H4224" s="55" t="n"/>
      <c r="I4224" s="62" t="n"/>
      <c r="J4224" s="58" t="n"/>
      <c r="K4224" s="63">
        <f>IF(tblMovement[[#This Row],[Source]]="","",IFERROR(INDEX(tblSources[Type],MATCH(tblMovement[[#This Row],[Source]],tblSources[Source],0)),"?"))</f>
        <v/>
      </c>
      <c r="L4224" s="63">
        <f>IF(tblMovement[[#This Row],[Destination]]="","",IFERROR(INDEX(tblDestinations[Type],MATCH(tblMovement[[#This Row],[Destination]],tblDestinations[Destination],0)),"?"))</f>
        <v/>
      </c>
      <c r="M4224" s="64">
        <f>IF(tblMovement[[#This Row],[Material]]="","",IF(LEFT(tblMovement[[#This Row],[Material]],3)="Ore",1,0))</f>
        <v/>
      </c>
      <c r="N4224" s="59">
        <f>IF(OR(tblMovement[[#This Row],[Tonnes_t]]="",tblMovement[[#This Row],[Grade_gpt]]=""),0,tblMovement[[#This Row],[Tonnes_t]]*tblMovement[[#This Row],[Grade_gpt]]/cfg_TroyOz)</f>
        <v/>
      </c>
      <c r="O4224" s="59">
        <f>IF(tblMovement[[#This Row],[Is_Ore]]=1,tblMovement[[#This Row],[Contained_oz]],0)</f>
        <v/>
      </c>
    </row>
    <row r="4225">
      <c r="A4225" s="54" t="n"/>
      <c r="B4225" s="61" t="n"/>
      <c r="C4225" s="61" t="n"/>
      <c r="D4225" s="61" t="n"/>
      <c r="E4225" s="61" t="n"/>
      <c r="F4225" s="55" t="n"/>
      <c r="G4225" s="56" t="n"/>
      <c r="H4225" s="55" t="n"/>
      <c r="I4225" s="62" t="n"/>
      <c r="J4225" s="58" t="n"/>
      <c r="K4225" s="63">
        <f>IF(tblMovement[[#This Row],[Source]]="","",IFERROR(INDEX(tblSources[Type],MATCH(tblMovement[[#This Row],[Source]],tblSources[Source],0)),"?"))</f>
        <v/>
      </c>
      <c r="L4225" s="63">
        <f>IF(tblMovement[[#This Row],[Destination]]="","",IFERROR(INDEX(tblDestinations[Type],MATCH(tblMovement[[#This Row],[Destination]],tblDestinations[Destination],0)),"?"))</f>
        <v/>
      </c>
      <c r="M4225" s="64">
        <f>IF(tblMovement[[#This Row],[Material]]="","",IF(LEFT(tblMovement[[#This Row],[Material]],3)="Ore",1,0))</f>
        <v/>
      </c>
      <c r="N4225" s="59">
        <f>IF(OR(tblMovement[[#This Row],[Tonnes_t]]="",tblMovement[[#This Row],[Grade_gpt]]=""),0,tblMovement[[#This Row],[Tonnes_t]]*tblMovement[[#This Row],[Grade_gpt]]/cfg_TroyOz)</f>
        <v/>
      </c>
      <c r="O4225" s="59">
        <f>IF(tblMovement[[#This Row],[Is_Ore]]=1,tblMovement[[#This Row],[Contained_oz]],0)</f>
        <v/>
      </c>
    </row>
    <row r="4226">
      <c r="A4226" s="54" t="n"/>
      <c r="B4226" s="61" t="n"/>
      <c r="C4226" s="61" t="n"/>
      <c r="D4226" s="61" t="n"/>
      <c r="E4226" s="61" t="n"/>
      <c r="F4226" s="55" t="n"/>
      <c r="G4226" s="56" t="n"/>
      <c r="H4226" s="55" t="n"/>
      <c r="I4226" s="62" t="n"/>
      <c r="J4226" s="58" t="n"/>
      <c r="K4226" s="63">
        <f>IF(tblMovement[[#This Row],[Source]]="","",IFERROR(INDEX(tblSources[Type],MATCH(tblMovement[[#This Row],[Source]],tblSources[Source],0)),"?"))</f>
        <v/>
      </c>
      <c r="L4226" s="63">
        <f>IF(tblMovement[[#This Row],[Destination]]="","",IFERROR(INDEX(tblDestinations[Type],MATCH(tblMovement[[#This Row],[Destination]],tblDestinations[Destination],0)),"?"))</f>
        <v/>
      </c>
      <c r="M4226" s="64">
        <f>IF(tblMovement[[#This Row],[Material]]="","",IF(LEFT(tblMovement[[#This Row],[Material]],3)="Ore",1,0))</f>
        <v/>
      </c>
      <c r="N4226" s="59">
        <f>IF(OR(tblMovement[[#This Row],[Tonnes_t]]="",tblMovement[[#This Row],[Grade_gpt]]=""),0,tblMovement[[#This Row],[Tonnes_t]]*tblMovement[[#This Row],[Grade_gpt]]/cfg_TroyOz)</f>
        <v/>
      </c>
      <c r="O4226" s="59">
        <f>IF(tblMovement[[#This Row],[Is_Ore]]=1,tblMovement[[#This Row],[Contained_oz]],0)</f>
        <v/>
      </c>
    </row>
    <row r="4227">
      <c r="A4227" s="54" t="n"/>
      <c r="B4227" s="61" t="n"/>
      <c r="C4227" s="61" t="n"/>
      <c r="D4227" s="61" t="n"/>
      <c r="E4227" s="61" t="n"/>
      <c r="F4227" s="55" t="n"/>
      <c r="G4227" s="56" t="n"/>
      <c r="H4227" s="55" t="n"/>
      <c r="I4227" s="62" t="n"/>
      <c r="J4227" s="58" t="n"/>
      <c r="K4227" s="63">
        <f>IF(tblMovement[[#This Row],[Source]]="","",IFERROR(INDEX(tblSources[Type],MATCH(tblMovement[[#This Row],[Source]],tblSources[Source],0)),"?"))</f>
        <v/>
      </c>
      <c r="L4227" s="63">
        <f>IF(tblMovement[[#This Row],[Destination]]="","",IFERROR(INDEX(tblDestinations[Type],MATCH(tblMovement[[#This Row],[Destination]],tblDestinations[Destination],0)),"?"))</f>
        <v/>
      </c>
      <c r="M4227" s="64">
        <f>IF(tblMovement[[#This Row],[Material]]="","",IF(LEFT(tblMovement[[#This Row],[Material]],3)="Ore",1,0))</f>
        <v/>
      </c>
      <c r="N4227" s="59">
        <f>IF(OR(tblMovement[[#This Row],[Tonnes_t]]="",tblMovement[[#This Row],[Grade_gpt]]=""),0,tblMovement[[#This Row],[Tonnes_t]]*tblMovement[[#This Row],[Grade_gpt]]/cfg_TroyOz)</f>
        <v/>
      </c>
      <c r="O4227" s="59">
        <f>IF(tblMovement[[#This Row],[Is_Ore]]=1,tblMovement[[#This Row],[Contained_oz]],0)</f>
        <v/>
      </c>
    </row>
    <row r="4228">
      <c r="A4228" s="54" t="n"/>
      <c r="B4228" s="61" t="n"/>
      <c r="C4228" s="61" t="n"/>
      <c r="D4228" s="61" t="n"/>
      <c r="E4228" s="61" t="n"/>
      <c r="F4228" s="55" t="n"/>
      <c r="G4228" s="56" t="n"/>
      <c r="H4228" s="55" t="n"/>
      <c r="I4228" s="62" t="n"/>
      <c r="J4228" s="58" t="n"/>
      <c r="K4228" s="63">
        <f>IF(tblMovement[[#This Row],[Source]]="","",IFERROR(INDEX(tblSources[Type],MATCH(tblMovement[[#This Row],[Source]],tblSources[Source],0)),"?"))</f>
        <v/>
      </c>
      <c r="L4228" s="63">
        <f>IF(tblMovement[[#This Row],[Destination]]="","",IFERROR(INDEX(tblDestinations[Type],MATCH(tblMovement[[#This Row],[Destination]],tblDestinations[Destination],0)),"?"))</f>
        <v/>
      </c>
      <c r="M4228" s="64">
        <f>IF(tblMovement[[#This Row],[Material]]="","",IF(LEFT(tblMovement[[#This Row],[Material]],3)="Ore",1,0))</f>
        <v/>
      </c>
      <c r="N4228" s="59">
        <f>IF(OR(tblMovement[[#This Row],[Tonnes_t]]="",tblMovement[[#This Row],[Grade_gpt]]=""),0,tblMovement[[#This Row],[Tonnes_t]]*tblMovement[[#This Row],[Grade_gpt]]/cfg_TroyOz)</f>
        <v/>
      </c>
      <c r="O4228" s="59">
        <f>IF(tblMovement[[#This Row],[Is_Ore]]=1,tblMovement[[#This Row],[Contained_oz]],0)</f>
        <v/>
      </c>
    </row>
    <row r="4229">
      <c r="A4229" s="54" t="n"/>
      <c r="B4229" s="61" t="n"/>
      <c r="C4229" s="61" t="n"/>
      <c r="D4229" s="61" t="n"/>
      <c r="E4229" s="61" t="n"/>
      <c r="F4229" s="55" t="n"/>
      <c r="G4229" s="56" t="n"/>
      <c r="H4229" s="55" t="n"/>
      <c r="I4229" s="62" t="n"/>
      <c r="J4229" s="58" t="n"/>
      <c r="K4229" s="63">
        <f>IF(tblMovement[[#This Row],[Source]]="","",IFERROR(INDEX(tblSources[Type],MATCH(tblMovement[[#This Row],[Source]],tblSources[Source],0)),"?"))</f>
        <v/>
      </c>
      <c r="L4229" s="63">
        <f>IF(tblMovement[[#This Row],[Destination]]="","",IFERROR(INDEX(tblDestinations[Type],MATCH(tblMovement[[#This Row],[Destination]],tblDestinations[Destination],0)),"?"))</f>
        <v/>
      </c>
      <c r="M4229" s="64">
        <f>IF(tblMovement[[#This Row],[Material]]="","",IF(LEFT(tblMovement[[#This Row],[Material]],3)="Ore",1,0))</f>
        <v/>
      </c>
      <c r="N4229" s="59">
        <f>IF(OR(tblMovement[[#This Row],[Tonnes_t]]="",tblMovement[[#This Row],[Grade_gpt]]=""),0,tblMovement[[#This Row],[Tonnes_t]]*tblMovement[[#This Row],[Grade_gpt]]/cfg_TroyOz)</f>
        <v/>
      </c>
      <c r="O4229" s="59">
        <f>IF(tblMovement[[#This Row],[Is_Ore]]=1,tblMovement[[#This Row],[Contained_oz]],0)</f>
        <v/>
      </c>
    </row>
    <row r="4230">
      <c r="A4230" s="54" t="n"/>
      <c r="B4230" s="61" t="n"/>
      <c r="C4230" s="61" t="n"/>
      <c r="D4230" s="61" t="n"/>
      <c r="E4230" s="61" t="n"/>
      <c r="F4230" s="55" t="n"/>
      <c r="G4230" s="56" t="n"/>
      <c r="H4230" s="55" t="n"/>
      <c r="I4230" s="62" t="n"/>
      <c r="J4230" s="58" t="n"/>
      <c r="K4230" s="63">
        <f>IF(tblMovement[[#This Row],[Source]]="","",IFERROR(INDEX(tblSources[Type],MATCH(tblMovement[[#This Row],[Source]],tblSources[Source],0)),"?"))</f>
        <v/>
      </c>
      <c r="L4230" s="63">
        <f>IF(tblMovement[[#This Row],[Destination]]="","",IFERROR(INDEX(tblDestinations[Type],MATCH(tblMovement[[#This Row],[Destination]],tblDestinations[Destination],0)),"?"))</f>
        <v/>
      </c>
      <c r="M4230" s="64">
        <f>IF(tblMovement[[#This Row],[Material]]="","",IF(LEFT(tblMovement[[#This Row],[Material]],3)="Ore",1,0))</f>
        <v/>
      </c>
      <c r="N4230" s="59">
        <f>IF(OR(tblMovement[[#This Row],[Tonnes_t]]="",tblMovement[[#This Row],[Grade_gpt]]=""),0,tblMovement[[#This Row],[Tonnes_t]]*tblMovement[[#This Row],[Grade_gpt]]/cfg_TroyOz)</f>
        <v/>
      </c>
      <c r="O4230" s="59">
        <f>IF(tblMovement[[#This Row],[Is_Ore]]=1,tblMovement[[#This Row],[Contained_oz]],0)</f>
        <v/>
      </c>
    </row>
    <row r="4231">
      <c r="A4231" s="54" t="n"/>
      <c r="B4231" s="61" t="n"/>
      <c r="C4231" s="61" t="n"/>
      <c r="D4231" s="61" t="n"/>
      <c r="E4231" s="61" t="n"/>
      <c r="F4231" s="55" t="n"/>
      <c r="G4231" s="56" t="n"/>
      <c r="H4231" s="55" t="n"/>
      <c r="I4231" s="62" t="n"/>
      <c r="J4231" s="58" t="n"/>
      <c r="K4231" s="63">
        <f>IF(tblMovement[[#This Row],[Source]]="","",IFERROR(INDEX(tblSources[Type],MATCH(tblMovement[[#This Row],[Source]],tblSources[Source],0)),"?"))</f>
        <v/>
      </c>
      <c r="L4231" s="63">
        <f>IF(tblMovement[[#This Row],[Destination]]="","",IFERROR(INDEX(tblDestinations[Type],MATCH(tblMovement[[#This Row],[Destination]],tblDestinations[Destination],0)),"?"))</f>
        <v/>
      </c>
      <c r="M4231" s="64">
        <f>IF(tblMovement[[#This Row],[Material]]="","",IF(LEFT(tblMovement[[#This Row],[Material]],3)="Ore",1,0))</f>
        <v/>
      </c>
      <c r="N4231" s="59">
        <f>IF(OR(tblMovement[[#This Row],[Tonnes_t]]="",tblMovement[[#This Row],[Grade_gpt]]=""),0,tblMovement[[#This Row],[Tonnes_t]]*tblMovement[[#This Row],[Grade_gpt]]/cfg_TroyOz)</f>
        <v/>
      </c>
      <c r="O4231" s="59">
        <f>IF(tblMovement[[#This Row],[Is_Ore]]=1,tblMovement[[#This Row],[Contained_oz]],0)</f>
        <v/>
      </c>
    </row>
    <row r="4232">
      <c r="A4232" s="54" t="n"/>
      <c r="B4232" s="61" t="n"/>
      <c r="C4232" s="61" t="n"/>
      <c r="D4232" s="61" t="n"/>
      <c r="E4232" s="61" t="n"/>
      <c r="F4232" s="55" t="n"/>
      <c r="G4232" s="56" t="n"/>
      <c r="H4232" s="55" t="n"/>
      <c r="I4232" s="62" t="n"/>
      <c r="J4232" s="58" t="n"/>
      <c r="K4232" s="63">
        <f>IF(tblMovement[[#This Row],[Source]]="","",IFERROR(INDEX(tblSources[Type],MATCH(tblMovement[[#This Row],[Source]],tblSources[Source],0)),"?"))</f>
        <v/>
      </c>
      <c r="L4232" s="63">
        <f>IF(tblMovement[[#This Row],[Destination]]="","",IFERROR(INDEX(tblDestinations[Type],MATCH(tblMovement[[#This Row],[Destination]],tblDestinations[Destination],0)),"?"))</f>
        <v/>
      </c>
      <c r="M4232" s="64">
        <f>IF(tblMovement[[#This Row],[Material]]="","",IF(LEFT(tblMovement[[#This Row],[Material]],3)="Ore",1,0))</f>
        <v/>
      </c>
      <c r="N4232" s="59">
        <f>IF(OR(tblMovement[[#This Row],[Tonnes_t]]="",tblMovement[[#This Row],[Grade_gpt]]=""),0,tblMovement[[#This Row],[Tonnes_t]]*tblMovement[[#This Row],[Grade_gpt]]/cfg_TroyOz)</f>
        <v/>
      </c>
      <c r="O4232" s="59">
        <f>IF(tblMovement[[#This Row],[Is_Ore]]=1,tblMovement[[#This Row],[Contained_oz]],0)</f>
        <v/>
      </c>
    </row>
    <row r="4233">
      <c r="A4233" s="54" t="n"/>
      <c r="B4233" s="61" t="n"/>
      <c r="C4233" s="61" t="n"/>
      <c r="D4233" s="61" t="n"/>
      <c r="E4233" s="61" t="n"/>
      <c r="F4233" s="55" t="n"/>
      <c r="G4233" s="56" t="n"/>
      <c r="H4233" s="55" t="n"/>
      <c r="I4233" s="62" t="n"/>
      <c r="J4233" s="58" t="n"/>
      <c r="K4233" s="63">
        <f>IF(tblMovement[[#This Row],[Source]]="","",IFERROR(INDEX(tblSources[Type],MATCH(tblMovement[[#This Row],[Source]],tblSources[Source],0)),"?"))</f>
        <v/>
      </c>
      <c r="L4233" s="63">
        <f>IF(tblMovement[[#This Row],[Destination]]="","",IFERROR(INDEX(tblDestinations[Type],MATCH(tblMovement[[#This Row],[Destination]],tblDestinations[Destination],0)),"?"))</f>
        <v/>
      </c>
      <c r="M4233" s="64">
        <f>IF(tblMovement[[#This Row],[Material]]="","",IF(LEFT(tblMovement[[#This Row],[Material]],3)="Ore",1,0))</f>
        <v/>
      </c>
      <c r="N4233" s="59">
        <f>IF(OR(tblMovement[[#This Row],[Tonnes_t]]="",tblMovement[[#This Row],[Grade_gpt]]=""),0,tblMovement[[#This Row],[Tonnes_t]]*tblMovement[[#This Row],[Grade_gpt]]/cfg_TroyOz)</f>
        <v/>
      </c>
      <c r="O4233" s="59">
        <f>IF(tblMovement[[#This Row],[Is_Ore]]=1,tblMovement[[#This Row],[Contained_oz]],0)</f>
        <v/>
      </c>
    </row>
    <row r="4234">
      <c r="A4234" s="54" t="n"/>
      <c r="B4234" s="61" t="n"/>
      <c r="C4234" s="61" t="n"/>
      <c r="D4234" s="61" t="n"/>
      <c r="E4234" s="61" t="n"/>
      <c r="F4234" s="55" t="n"/>
      <c r="G4234" s="56" t="n"/>
      <c r="H4234" s="55" t="n"/>
      <c r="I4234" s="62" t="n"/>
      <c r="J4234" s="58" t="n"/>
      <c r="K4234" s="63">
        <f>IF(tblMovement[[#This Row],[Source]]="","",IFERROR(INDEX(tblSources[Type],MATCH(tblMovement[[#This Row],[Source]],tblSources[Source],0)),"?"))</f>
        <v/>
      </c>
      <c r="L4234" s="63">
        <f>IF(tblMovement[[#This Row],[Destination]]="","",IFERROR(INDEX(tblDestinations[Type],MATCH(tblMovement[[#This Row],[Destination]],tblDestinations[Destination],0)),"?"))</f>
        <v/>
      </c>
      <c r="M4234" s="64">
        <f>IF(tblMovement[[#This Row],[Material]]="","",IF(LEFT(tblMovement[[#This Row],[Material]],3)="Ore",1,0))</f>
        <v/>
      </c>
      <c r="N4234" s="59">
        <f>IF(OR(tblMovement[[#This Row],[Tonnes_t]]="",tblMovement[[#This Row],[Grade_gpt]]=""),0,tblMovement[[#This Row],[Tonnes_t]]*tblMovement[[#This Row],[Grade_gpt]]/cfg_TroyOz)</f>
        <v/>
      </c>
      <c r="O4234" s="59">
        <f>IF(tblMovement[[#This Row],[Is_Ore]]=1,tblMovement[[#This Row],[Contained_oz]],0)</f>
        <v/>
      </c>
    </row>
    <row r="4235">
      <c r="A4235" s="54" t="n"/>
      <c r="B4235" s="61" t="n"/>
      <c r="C4235" s="61" t="n"/>
      <c r="D4235" s="61" t="n"/>
      <c r="E4235" s="61" t="n"/>
      <c r="F4235" s="55" t="n"/>
      <c r="G4235" s="56" t="n"/>
      <c r="H4235" s="55" t="n"/>
      <c r="I4235" s="62" t="n"/>
      <c r="J4235" s="58" t="n"/>
      <c r="K4235" s="63">
        <f>IF(tblMovement[[#This Row],[Source]]="","",IFERROR(INDEX(tblSources[Type],MATCH(tblMovement[[#This Row],[Source]],tblSources[Source],0)),"?"))</f>
        <v/>
      </c>
      <c r="L4235" s="63">
        <f>IF(tblMovement[[#This Row],[Destination]]="","",IFERROR(INDEX(tblDestinations[Type],MATCH(tblMovement[[#This Row],[Destination]],tblDestinations[Destination],0)),"?"))</f>
        <v/>
      </c>
      <c r="M4235" s="64">
        <f>IF(tblMovement[[#This Row],[Material]]="","",IF(LEFT(tblMovement[[#This Row],[Material]],3)="Ore",1,0))</f>
        <v/>
      </c>
      <c r="N4235" s="59">
        <f>IF(OR(tblMovement[[#This Row],[Tonnes_t]]="",tblMovement[[#This Row],[Grade_gpt]]=""),0,tblMovement[[#This Row],[Tonnes_t]]*tblMovement[[#This Row],[Grade_gpt]]/cfg_TroyOz)</f>
        <v/>
      </c>
      <c r="O4235" s="59">
        <f>IF(tblMovement[[#This Row],[Is_Ore]]=1,tblMovement[[#This Row],[Contained_oz]],0)</f>
        <v/>
      </c>
    </row>
    <row r="4236">
      <c r="A4236" s="54" t="n"/>
      <c r="B4236" s="61" t="n"/>
      <c r="C4236" s="61" t="n"/>
      <c r="D4236" s="61" t="n"/>
      <c r="E4236" s="61" t="n"/>
      <c r="F4236" s="55" t="n"/>
      <c r="G4236" s="56" t="n"/>
      <c r="H4236" s="55" t="n"/>
      <c r="I4236" s="62" t="n"/>
      <c r="J4236" s="58" t="n"/>
      <c r="K4236" s="63">
        <f>IF(tblMovement[[#This Row],[Source]]="","",IFERROR(INDEX(tblSources[Type],MATCH(tblMovement[[#This Row],[Source]],tblSources[Source],0)),"?"))</f>
        <v/>
      </c>
      <c r="L4236" s="63">
        <f>IF(tblMovement[[#This Row],[Destination]]="","",IFERROR(INDEX(tblDestinations[Type],MATCH(tblMovement[[#This Row],[Destination]],tblDestinations[Destination],0)),"?"))</f>
        <v/>
      </c>
      <c r="M4236" s="64">
        <f>IF(tblMovement[[#This Row],[Material]]="","",IF(LEFT(tblMovement[[#This Row],[Material]],3)="Ore",1,0))</f>
        <v/>
      </c>
      <c r="N4236" s="59">
        <f>IF(OR(tblMovement[[#This Row],[Tonnes_t]]="",tblMovement[[#This Row],[Grade_gpt]]=""),0,tblMovement[[#This Row],[Tonnes_t]]*tblMovement[[#This Row],[Grade_gpt]]/cfg_TroyOz)</f>
        <v/>
      </c>
      <c r="O4236" s="59">
        <f>IF(tblMovement[[#This Row],[Is_Ore]]=1,tblMovement[[#This Row],[Contained_oz]],0)</f>
        <v/>
      </c>
    </row>
    <row r="4237">
      <c r="A4237" s="54" t="n"/>
      <c r="B4237" s="61" t="n"/>
      <c r="C4237" s="61" t="n"/>
      <c r="D4237" s="61" t="n"/>
      <c r="E4237" s="61" t="n"/>
      <c r="F4237" s="55" t="n"/>
      <c r="G4237" s="56" t="n"/>
      <c r="H4237" s="55" t="n"/>
      <c r="I4237" s="62" t="n"/>
      <c r="J4237" s="58" t="n"/>
      <c r="K4237" s="63">
        <f>IF(tblMovement[[#This Row],[Source]]="","",IFERROR(INDEX(tblSources[Type],MATCH(tblMovement[[#This Row],[Source]],tblSources[Source],0)),"?"))</f>
        <v/>
      </c>
      <c r="L4237" s="63">
        <f>IF(tblMovement[[#This Row],[Destination]]="","",IFERROR(INDEX(tblDestinations[Type],MATCH(tblMovement[[#This Row],[Destination]],tblDestinations[Destination],0)),"?"))</f>
        <v/>
      </c>
      <c r="M4237" s="64">
        <f>IF(tblMovement[[#This Row],[Material]]="","",IF(LEFT(tblMovement[[#This Row],[Material]],3)="Ore",1,0))</f>
        <v/>
      </c>
      <c r="N4237" s="59">
        <f>IF(OR(tblMovement[[#This Row],[Tonnes_t]]="",tblMovement[[#This Row],[Grade_gpt]]=""),0,tblMovement[[#This Row],[Tonnes_t]]*tblMovement[[#This Row],[Grade_gpt]]/cfg_TroyOz)</f>
        <v/>
      </c>
      <c r="O4237" s="59">
        <f>IF(tblMovement[[#This Row],[Is_Ore]]=1,tblMovement[[#This Row],[Contained_oz]],0)</f>
        <v/>
      </c>
    </row>
    <row r="4238">
      <c r="A4238" s="54" t="n"/>
      <c r="B4238" s="61" t="n"/>
      <c r="C4238" s="61" t="n"/>
      <c r="D4238" s="61" t="n"/>
      <c r="E4238" s="61" t="n"/>
      <c r="F4238" s="55" t="n"/>
      <c r="G4238" s="56" t="n"/>
      <c r="H4238" s="55" t="n"/>
      <c r="I4238" s="62" t="n"/>
      <c r="J4238" s="58" t="n"/>
      <c r="K4238" s="63">
        <f>IF(tblMovement[[#This Row],[Source]]="","",IFERROR(INDEX(tblSources[Type],MATCH(tblMovement[[#This Row],[Source]],tblSources[Source],0)),"?"))</f>
        <v/>
      </c>
      <c r="L4238" s="63">
        <f>IF(tblMovement[[#This Row],[Destination]]="","",IFERROR(INDEX(tblDestinations[Type],MATCH(tblMovement[[#This Row],[Destination]],tblDestinations[Destination],0)),"?"))</f>
        <v/>
      </c>
      <c r="M4238" s="64">
        <f>IF(tblMovement[[#This Row],[Material]]="","",IF(LEFT(tblMovement[[#This Row],[Material]],3)="Ore",1,0))</f>
        <v/>
      </c>
      <c r="N4238" s="59">
        <f>IF(OR(tblMovement[[#This Row],[Tonnes_t]]="",tblMovement[[#This Row],[Grade_gpt]]=""),0,tblMovement[[#This Row],[Tonnes_t]]*tblMovement[[#This Row],[Grade_gpt]]/cfg_TroyOz)</f>
        <v/>
      </c>
      <c r="O4238" s="59">
        <f>IF(tblMovement[[#This Row],[Is_Ore]]=1,tblMovement[[#This Row],[Contained_oz]],0)</f>
        <v/>
      </c>
    </row>
    <row r="4239">
      <c r="A4239" s="54" t="n"/>
      <c r="B4239" s="61" t="n"/>
      <c r="C4239" s="61" t="n"/>
      <c r="D4239" s="61" t="n"/>
      <c r="E4239" s="61" t="n"/>
      <c r="F4239" s="55" t="n"/>
      <c r="G4239" s="56" t="n"/>
      <c r="H4239" s="55" t="n"/>
      <c r="I4239" s="62" t="n"/>
      <c r="J4239" s="58" t="n"/>
      <c r="K4239" s="63">
        <f>IF(tblMovement[[#This Row],[Source]]="","",IFERROR(INDEX(tblSources[Type],MATCH(tblMovement[[#This Row],[Source]],tblSources[Source],0)),"?"))</f>
        <v/>
      </c>
      <c r="L4239" s="63">
        <f>IF(tblMovement[[#This Row],[Destination]]="","",IFERROR(INDEX(tblDestinations[Type],MATCH(tblMovement[[#This Row],[Destination]],tblDestinations[Destination],0)),"?"))</f>
        <v/>
      </c>
      <c r="M4239" s="64">
        <f>IF(tblMovement[[#This Row],[Material]]="","",IF(LEFT(tblMovement[[#This Row],[Material]],3)="Ore",1,0))</f>
        <v/>
      </c>
      <c r="N4239" s="59">
        <f>IF(OR(tblMovement[[#This Row],[Tonnes_t]]="",tblMovement[[#This Row],[Grade_gpt]]=""),0,tblMovement[[#This Row],[Tonnes_t]]*tblMovement[[#This Row],[Grade_gpt]]/cfg_TroyOz)</f>
        <v/>
      </c>
      <c r="O4239" s="59">
        <f>IF(tblMovement[[#This Row],[Is_Ore]]=1,tblMovement[[#This Row],[Contained_oz]],0)</f>
        <v/>
      </c>
    </row>
    <row r="4240">
      <c r="A4240" s="54" t="n"/>
      <c r="B4240" s="61" t="n"/>
      <c r="C4240" s="61" t="n"/>
      <c r="D4240" s="61" t="n"/>
      <c r="E4240" s="61" t="n"/>
      <c r="F4240" s="55" t="n"/>
      <c r="G4240" s="56" t="n"/>
      <c r="H4240" s="55" t="n"/>
      <c r="I4240" s="62" t="n"/>
      <c r="J4240" s="58" t="n"/>
      <c r="K4240" s="63">
        <f>IF(tblMovement[[#This Row],[Source]]="","",IFERROR(INDEX(tblSources[Type],MATCH(tblMovement[[#This Row],[Source]],tblSources[Source],0)),"?"))</f>
        <v/>
      </c>
      <c r="L4240" s="63">
        <f>IF(tblMovement[[#This Row],[Destination]]="","",IFERROR(INDEX(tblDestinations[Type],MATCH(tblMovement[[#This Row],[Destination]],tblDestinations[Destination],0)),"?"))</f>
        <v/>
      </c>
      <c r="M4240" s="64">
        <f>IF(tblMovement[[#This Row],[Material]]="","",IF(LEFT(tblMovement[[#This Row],[Material]],3)="Ore",1,0))</f>
        <v/>
      </c>
      <c r="N4240" s="59">
        <f>IF(OR(tblMovement[[#This Row],[Tonnes_t]]="",tblMovement[[#This Row],[Grade_gpt]]=""),0,tblMovement[[#This Row],[Tonnes_t]]*tblMovement[[#This Row],[Grade_gpt]]/cfg_TroyOz)</f>
        <v/>
      </c>
      <c r="O4240" s="59">
        <f>IF(tblMovement[[#This Row],[Is_Ore]]=1,tblMovement[[#This Row],[Contained_oz]],0)</f>
        <v/>
      </c>
    </row>
    <row r="4241">
      <c r="A4241" s="54" t="n"/>
      <c r="B4241" s="61" t="n"/>
      <c r="C4241" s="61" t="n"/>
      <c r="D4241" s="61" t="n"/>
      <c r="E4241" s="61" t="n"/>
      <c r="F4241" s="55" t="n"/>
      <c r="G4241" s="56" t="n"/>
      <c r="H4241" s="55" t="n"/>
      <c r="I4241" s="62" t="n"/>
      <c r="J4241" s="58" t="n"/>
      <c r="K4241" s="63">
        <f>IF(tblMovement[[#This Row],[Source]]="","",IFERROR(INDEX(tblSources[Type],MATCH(tblMovement[[#This Row],[Source]],tblSources[Source],0)),"?"))</f>
        <v/>
      </c>
      <c r="L4241" s="63">
        <f>IF(tblMovement[[#This Row],[Destination]]="","",IFERROR(INDEX(tblDestinations[Type],MATCH(tblMovement[[#This Row],[Destination]],tblDestinations[Destination],0)),"?"))</f>
        <v/>
      </c>
      <c r="M4241" s="64">
        <f>IF(tblMovement[[#This Row],[Material]]="","",IF(LEFT(tblMovement[[#This Row],[Material]],3)="Ore",1,0))</f>
        <v/>
      </c>
      <c r="N4241" s="59">
        <f>IF(OR(tblMovement[[#This Row],[Tonnes_t]]="",tblMovement[[#This Row],[Grade_gpt]]=""),0,tblMovement[[#This Row],[Tonnes_t]]*tblMovement[[#This Row],[Grade_gpt]]/cfg_TroyOz)</f>
        <v/>
      </c>
      <c r="O4241" s="59">
        <f>IF(tblMovement[[#This Row],[Is_Ore]]=1,tblMovement[[#This Row],[Contained_oz]],0)</f>
        <v/>
      </c>
    </row>
    <row r="4242">
      <c r="A4242" s="54" t="n"/>
      <c r="B4242" s="61" t="n"/>
      <c r="C4242" s="61" t="n"/>
      <c r="D4242" s="61" t="n"/>
      <c r="E4242" s="61" t="n"/>
      <c r="F4242" s="55" t="n"/>
      <c r="G4242" s="56" t="n"/>
      <c r="H4242" s="55" t="n"/>
      <c r="I4242" s="62" t="n"/>
      <c r="J4242" s="58" t="n"/>
      <c r="K4242" s="63">
        <f>IF(tblMovement[[#This Row],[Source]]="","",IFERROR(INDEX(tblSources[Type],MATCH(tblMovement[[#This Row],[Source]],tblSources[Source],0)),"?"))</f>
        <v/>
      </c>
      <c r="L4242" s="63">
        <f>IF(tblMovement[[#This Row],[Destination]]="","",IFERROR(INDEX(tblDestinations[Type],MATCH(tblMovement[[#This Row],[Destination]],tblDestinations[Destination],0)),"?"))</f>
        <v/>
      </c>
      <c r="M4242" s="64">
        <f>IF(tblMovement[[#This Row],[Material]]="","",IF(LEFT(tblMovement[[#This Row],[Material]],3)="Ore",1,0))</f>
        <v/>
      </c>
      <c r="N4242" s="59">
        <f>IF(OR(tblMovement[[#This Row],[Tonnes_t]]="",tblMovement[[#This Row],[Grade_gpt]]=""),0,tblMovement[[#This Row],[Tonnes_t]]*tblMovement[[#This Row],[Grade_gpt]]/cfg_TroyOz)</f>
        <v/>
      </c>
      <c r="O4242" s="59">
        <f>IF(tblMovement[[#This Row],[Is_Ore]]=1,tblMovement[[#This Row],[Contained_oz]],0)</f>
        <v/>
      </c>
    </row>
    <row r="4243">
      <c r="A4243" s="54" t="n"/>
      <c r="B4243" s="61" t="n"/>
      <c r="C4243" s="61" t="n"/>
      <c r="D4243" s="61" t="n"/>
      <c r="E4243" s="61" t="n"/>
      <c r="F4243" s="55" t="n"/>
      <c r="G4243" s="56" t="n"/>
      <c r="H4243" s="55" t="n"/>
      <c r="I4243" s="62" t="n"/>
      <c r="J4243" s="58" t="n"/>
      <c r="K4243" s="63">
        <f>IF(tblMovement[[#This Row],[Source]]="","",IFERROR(INDEX(tblSources[Type],MATCH(tblMovement[[#This Row],[Source]],tblSources[Source],0)),"?"))</f>
        <v/>
      </c>
      <c r="L4243" s="63">
        <f>IF(tblMovement[[#This Row],[Destination]]="","",IFERROR(INDEX(tblDestinations[Type],MATCH(tblMovement[[#This Row],[Destination]],tblDestinations[Destination],0)),"?"))</f>
        <v/>
      </c>
      <c r="M4243" s="64">
        <f>IF(tblMovement[[#This Row],[Material]]="","",IF(LEFT(tblMovement[[#This Row],[Material]],3)="Ore",1,0))</f>
        <v/>
      </c>
      <c r="N4243" s="59">
        <f>IF(OR(tblMovement[[#This Row],[Tonnes_t]]="",tblMovement[[#This Row],[Grade_gpt]]=""),0,tblMovement[[#This Row],[Tonnes_t]]*tblMovement[[#This Row],[Grade_gpt]]/cfg_TroyOz)</f>
        <v/>
      </c>
      <c r="O4243" s="59">
        <f>IF(tblMovement[[#This Row],[Is_Ore]]=1,tblMovement[[#This Row],[Contained_oz]],0)</f>
        <v/>
      </c>
    </row>
    <row r="4244">
      <c r="A4244" s="54" t="n"/>
      <c r="B4244" s="61" t="n"/>
      <c r="C4244" s="61" t="n"/>
      <c r="D4244" s="61" t="n"/>
      <c r="E4244" s="61" t="n"/>
      <c r="F4244" s="55" t="n"/>
      <c r="G4244" s="56" t="n"/>
      <c r="H4244" s="55" t="n"/>
      <c r="I4244" s="62" t="n"/>
      <c r="J4244" s="58" t="n"/>
      <c r="K4244" s="63">
        <f>IF(tblMovement[[#This Row],[Source]]="","",IFERROR(INDEX(tblSources[Type],MATCH(tblMovement[[#This Row],[Source]],tblSources[Source],0)),"?"))</f>
        <v/>
      </c>
      <c r="L4244" s="63">
        <f>IF(tblMovement[[#This Row],[Destination]]="","",IFERROR(INDEX(tblDestinations[Type],MATCH(tblMovement[[#This Row],[Destination]],tblDestinations[Destination],0)),"?"))</f>
        <v/>
      </c>
      <c r="M4244" s="64">
        <f>IF(tblMovement[[#This Row],[Material]]="","",IF(LEFT(tblMovement[[#This Row],[Material]],3)="Ore",1,0))</f>
        <v/>
      </c>
      <c r="N4244" s="59">
        <f>IF(OR(tblMovement[[#This Row],[Tonnes_t]]="",tblMovement[[#This Row],[Grade_gpt]]=""),0,tblMovement[[#This Row],[Tonnes_t]]*tblMovement[[#This Row],[Grade_gpt]]/cfg_TroyOz)</f>
        <v/>
      </c>
      <c r="O4244" s="59">
        <f>IF(tblMovement[[#This Row],[Is_Ore]]=1,tblMovement[[#This Row],[Contained_oz]],0)</f>
        <v/>
      </c>
    </row>
    <row r="4245">
      <c r="A4245" s="54" t="n"/>
      <c r="B4245" s="61" t="n"/>
      <c r="C4245" s="61" t="n"/>
      <c r="D4245" s="61" t="n"/>
      <c r="E4245" s="61" t="n"/>
      <c r="F4245" s="55" t="n"/>
      <c r="G4245" s="56" t="n"/>
      <c r="H4245" s="55" t="n"/>
      <c r="I4245" s="62" t="n"/>
      <c r="J4245" s="58" t="n"/>
      <c r="K4245" s="63">
        <f>IF(tblMovement[[#This Row],[Source]]="","",IFERROR(INDEX(tblSources[Type],MATCH(tblMovement[[#This Row],[Source]],tblSources[Source],0)),"?"))</f>
        <v/>
      </c>
      <c r="L4245" s="63">
        <f>IF(tblMovement[[#This Row],[Destination]]="","",IFERROR(INDEX(tblDestinations[Type],MATCH(tblMovement[[#This Row],[Destination]],tblDestinations[Destination],0)),"?"))</f>
        <v/>
      </c>
      <c r="M4245" s="64">
        <f>IF(tblMovement[[#This Row],[Material]]="","",IF(LEFT(tblMovement[[#This Row],[Material]],3)="Ore",1,0))</f>
        <v/>
      </c>
      <c r="N4245" s="59">
        <f>IF(OR(tblMovement[[#This Row],[Tonnes_t]]="",tblMovement[[#This Row],[Grade_gpt]]=""),0,tblMovement[[#This Row],[Tonnes_t]]*tblMovement[[#This Row],[Grade_gpt]]/cfg_TroyOz)</f>
        <v/>
      </c>
      <c r="O4245" s="59">
        <f>IF(tblMovement[[#This Row],[Is_Ore]]=1,tblMovement[[#This Row],[Contained_oz]],0)</f>
        <v/>
      </c>
    </row>
    <row r="4246">
      <c r="A4246" s="54" t="n"/>
      <c r="B4246" s="61" t="n"/>
      <c r="C4246" s="61" t="n"/>
      <c r="D4246" s="61" t="n"/>
      <c r="E4246" s="61" t="n"/>
      <c r="F4246" s="55" t="n"/>
      <c r="G4246" s="56" t="n"/>
      <c r="H4246" s="55" t="n"/>
      <c r="I4246" s="62" t="n"/>
      <c r="J4246" s="58" t="n"/>
      <c r="K4246" s="63">
        <f>IF(tblMovement[[#This Row],[Source]]="","",IFERROR(INDEX(tblSources[Type],MATCH(tblMovement[[#This Row],[Source]],tblSources[Source],0)),"?"))</f>
        <v/>
      </c>
      <c r="L4246" s="63">
        <f>IF(tblMovement[[#This Row],[Destination]]="","",IFERROR(INDEX(tblDestinations[Type],MATCH(tblMovement[[#This Row],[Destination]],tblDestinations[Destination],0)),"?"))</f>
        <v/>
      </c>
      <c r="M4246" s="64">
        <f>IF(tblMovement[[#This Row],[Material]]="","",IF(LEFT(tblMovement[[#This Row],[Material]],3)="Ore",1,0))</f>
        <v/>
      </c>
      <c r="N4246" s="59">
        <f>IF(OR(tblMovement[[#This Row],[Tonnes_t]]="",tblMovement[[#This Row],[Grade_gpt]]=""),0,tblMovement[[#This Row],[Tonnes_t]]*tblMovement[[#This Row],[Grade_gpt]]/cfg_TroyOz)</f>
        <v/>
      </c>
      <c r="O4246" s="59">
        <f>IF(tblMovement[[#This Row],[Is_Ore]]=1,tblMovement[[#This Row],[Contained_oz]],0)</f>
        <v/>
      </c>
    </row>
    <row r="4247">
      <c r="A4247" s="54" t="n"/>
      <c r="B4247" s="61" t="n"/>
      <c r="C4247" s="61" t="n"/>
      <c r="D4247" s="61" t="n"/>
      <c r="E4247" s="61" t="n"/>
      <c r="F4247" s="55" t="n"/>
      <c r="G4247" s="56" t="n"/>
      <c r="H4247" s="55" t="n"/>
      <c r="I4247" s="62" t="n"/>
      <c r="J4247" s="58" t="n"/>
      <c r="K4247" s="63">
        <f>IF(tblMovement[[#This Row],[Source]]="","",IFERROR(INDEX(tblSources[Type],MATCH(tblMovement[[#This Row],[Source]],tblSources[Source],0)),"?"))</f>
        <v/>
      </c>
      <c r="L4247" s="63">
        <f>IF(tblMovement[[#This Row],[Destination]]="","",IFERROR(INDEX(tblDestinations[Type],MATCH(tblMovement[[#This Row],[Destination]],tblDestinations[Destination],0)),"?"))</f>
        <v/>
      </c>
      <c r="M4247" s="64">
        <f>IF(tblMovement[[#This Row],[Material]]="","",IF(LEFT(tblMovement[[#This Row],[Material]],3)="Ore",1,0))</f>
        <v/>
      </c>
      <c r="N4247" s="59">
        <f>IF(OR(tblMovement[[#This Row],[Tonnes_t]]="",tblMovement[[#This Row],[Grade_gpt]]=""),0,tblMovement[[#This Row],[Tonnes_t]]*tblMovement[[#This Row],[Grade_gpt]]/cfg_TroyOz)</f>
        <v/>
      </c>
      <c r="O4247" s="59">
        <f>IF(tblMovement[[#This Row],[Is_Ore]]=1,tblMovement[[#This Row],[Contained_oz]],0)</f>
        <v/>
      </c>
    </row>
    <row r="4248">
      <c r="A4248" s="54" t="n"/>
      <c r="B4248" s="61" t="n"/>
      <c r="C4248" s="61" t="n"/>
      <c r="D4248" s="61" t="n"/>
      <c r="E4248" s="61" t="n"/>
      <c r="F4248" s="55" t="n"/>
      <c r="G4248" s="56" t="n"/>
      <c r="H4248" s="55" t="n"/>
      <c r="I4248" s="62" t="n"/>
      <c r="J4248" s="58" t="n"/>
      <c r="K4248" s="63">
        <f>IF(tblMovement[[#This Row],[Source]]="","",IFERROR(INDEX(tblSources[Type],MATCH(tblMovement[[#This Row],[Source]],tblSources[Source],0)),"?"))</f>
        <v/>
      </c>
      <c r="L4248" s="63">
        <f>IF(tblMovement[[#This Row],[Destination]]="","",IFERROR(INDEX(tblDestinations[Type],MATCH(tblMovement[[#This Row],[Destination]],tblDestinations[Destination],0)),"?"))</f>
        <v/>
      </c>
      <c r="M4248" s="64">
        <f>IF(tblMovement[[#This Row],[Material]]="","",IF(LEFT(tblMovement[[#This Row],[Material]],3)="Ore",1,0))</f>
        <v/>
      </c>
      <c r="N4248" s="59">
        <f>IF(OR(tblMovement[[#This Row],[Tonnes_t]]="",tblMovement[[#This Row],[Grade_gpt]]=""),0,tblMovement[[#This Row],[Tonnes_t]]*tblMovement[[#This Row],[Grade_gpt]]/cfg_TroyOz)</f>
        <v/>
      </c>
      <c r="O4248" s="59">
        <f>IF(tblMovement[[#This Row],[Is_Ore]]=1,tblMovement[[#This Row],[Contained_oz]],0)</f>
        <v/>
      </c>
    </row>
    <row r="4249">
      <c r="A4249" s="54" t="n"/>
      <c r="B4249" s="61" t="n"/>
      <c r="C4249" s="61" t="n"/>
      <c r="D4249" s="61" t="n"/>
      <c r="E4249" s="61" t="n"/>
      <c r="F4249" s="55" t="n"/>
      <c r="G4249" s="56" t="n"/>
      <c r="H4249" s="55" t="n"/>
      <c r="I4249" s="62" t="n"/>
      <c r="J4249" s="58" t="n"/>
      <c r="K4249" s="63">
        <f>IF(tblMovement[[#This Row],[Source]]="","",IFERROR(INDEX(tblSources[Type],MATCH(tblMovement[[#This Row],[Source]],tblSources[Source],0)),"?"))</f>
        <v/>
      </c>
      <c r="L4249" s="63">
        <f>IF(tblMovement[[#This Row],[Destination]]="","",IFERROR(INDEX(tblDestinations[Type],MATCH(tblMovement[[#This Row],[Destination]],tblDestinations[Destination],0)),"?"))</f>
        <v/>
      </c>
      <c r="M4249" s="64">
        <f>IF(tblMovement[[#This Row],[Material]]="","",IF(LEFT(tblMovement[[#This Row],[Material]],3)="Ore",1,0))</f>
        <v/>
      </c>
      <c r="N4249" s="59">
        <f>IF(OR(tblMovement[[#This Row],[Tonnes_t]]="",tblMovement[[#This Row],[Grade_gpt]]=""),0,tblMovement[[#This Row],[Tonnes_t]]*tblMovement[[#This Row],[Grade_gpt]]/cfg_TroyOz)</f>
        <v/>
      </c>
      <c r="O4249" s="59">
        <f>IF(tblMovement[[#This Row],[Is_Ore]]=1,tblMovement[[#This Row],[Contained_oz]],0)</f>
        <v/>
      </c>
    </row>
    <row r="4250">
      <c r="A4250" s="54" t="n"/>
      <c r="B4250" s="61" t="n"/>
      <c r="C4250" s="61" t="n"/>
      <c r="D4250" s="61" t="n"/>
      <c r="E4250" s="61" t="n"/>
      <c r="F4250" s="55" t="n"/>
      <c r="G4250" s="56" t="n"/>
      <c r="H4250" s="55" t="n"/>
      <c r="I4250" s="62" t="n"/>
      <c r="J4250" s="58" t="n"/>
      <c r="K4250" s="63">
        <f>IF(tblMovement[[#This Row],[Source]]="","",IFERROR(INDEX(tblSources[Type],MATCH(tblMovement[[#This Row],[Source]],tblSources[Source],0)),"?"))</f>
        <v/>
      </c>
      <c r="L4250" s="63">
        <f>IF(tblMovement[[#This Row],[Destination]]="","",IFERROR(INDEX(tblDestinations[Type],MATCH(tblMovement[[#This Row],[Destination]],tblDestinations[Destination],0)),"?"))</f>
        <v/>
      </c>
      <c r="M4250" s="64">
        <f>IF(tblMovement[[#This Row],[Material]]="","",IF(LEFT(tblMovement[[#This Row],[Material]],3)="Ore",1,0))</f>
        <v/>
      </c>
      <c r="N4250" s="59">
        <f>IF(OR(tblMovement[[#This Row],[Tonnes_t]]="",tblMovement[[#This Row],[Grade_gpt]]=""),0,tblMovement[[#This Row],[Tonnes_t]]*tblMovement[[#This Row],[Grade_gpt]]/cfg_TroyOz)</f>
        <v/>
      </c>
      <c r="O4250" s="59">
        <f>IF(tblMovement[[#This Row],[Is_Ore]]=1,tblMovement[[#This Row],[Contained_oz]],0)</f>
        <v/>
      </c>
    </row>
    <row r="4251">
      <c r="A4251" s="54" t="n"/>
      <c r="B4251" s="61" t="n"/>
      <c r="C4251" s="61" t="n"/>
      <c r="D4251" s="61" t="n"/>
      <c r="E4251" s="61" t="n"/>
      <c r="F4251" s="55" t="n"/>
      <c r="G4251" s="56" t="n"/>
      <c r="H4251" s="55" t="n"/>
      <c r="I4251" s="62" t="n"/>
      <c r="J4251" s="58" t="n"/>
      <c r="K4251" s="63">
        <f>IF(tblMovement[[#This Row],[Source]]="","",IFERROR(INDEX(tblSources[Type],MATCH(tblMovement[[#This Row],[Source]],tblSources[Source],0)),"?"))</f>
        <v/>
      </c>
      <c r="L4251" s="63">
        <f>IF(tblMovement[[#This Row],[Destination]]="","",IFERROR(INDEX(tblDestinations[Type],MATCH(tblMovement[[#This Row],[Destination]],tblDestinations[Destination],0)),"?"))</f>
        <v/>
      </c>
      <c r="M4251" s="64">
        <f>IF(tblMovement[[#This Row],[Material]]="","",IF(LEFT(tblMovement[[#This Row],[Material]],3)="Ore",1,0))</f>
        <v/>
      </c>
      <c r="N4251" s="59">
        <f>IF(OR(tblMovement[[#This Row],[Tonnes_t]]="",tblMovement[[#This Row],[Grade_gpt]]=""),0,tblMovement[[#This Row],[Tonnes_t]]*tblMovement[[#This Row],[Grade_gpt]]/cfg_TroyOz)</f>
        <v/>
      </c>
      <c r="O4251" s="59">
        <f>IF(tblMovement[[#This Row],[Is_Ore]]=1,tblMovement[[#This Row],[Contained_oz]],0)</f>
        <v/>
      </c>
    </row>
    <row r="4252">
      <c r="A4252" s="54" t="n"/>
      <c r="B4252" s="61" t="n"/>
      <c r="C4252" s="61" t="n"/>
      <c r="D4252" s="61" t="n"/>
      <c r="E4252" s="61" t="n"/>
      <c r="F4252" s="55" t="n"/>
      <c r="G4252" s="56" t="n"/>
      <c r="H4252" s="55" t="n"/>
      <c r="I4252" s="62" t="n"/>
      <c r="J4252" s="58" t="n"/>
      <c r="K4252" s="63">
        <f>IF(tblMovement[[#This Row],[Source]]="","",IFERROR(INDEX(tblSources[Type],MATCH(tblMovement[[#This Row],[Source]],tblSources[Source],0)),"?"))</f>
        <v/>
      </c>
      <c r="L4252" s="63">
        <f>IF(tblMovement[[#This Row],[Destination]]="","",IFERROR(INDEX(tblDestinations[Type],MATCH(tblMovement[[#This Row],[Destination]],tblDestinations[Destination],0)),"?"))</f>
        <v/>
      </c>
      <c r="M4252" s="64">
        <f>IF(tblMovement[[#This Row],[Material]]="","",IF(LEFT(tblMovement[[#This Row],[Material]],3)="Ore",1,0))</f>
        <v/>
      </c>
      <c r="N4252" s="59">
        <f>IF(OR(tblMovement[[#This Row],[Tonnes_t]]="",tblMovement[[#This Row],[Grade_gpt]]=""),0,tblMovement[[#This Row],[Tonnes_t]]*tblMovement[[#This Row],[Grade_gpt]]/cfg_TroyOz)</f>
        <v/>
      </c>
      <c r="O4252" s="59">
        <f>IF(tblMovement[[#This Row],[Is_Ore]]=1,tblMovement[[#This Row],[Contained_oz]],0)</f>
        <v/>
      </c>
    </row>
    <row r="4253">
      <c r="A4253" s="54" t="n"/>
      <c r="B4253" s="61" t="n"/>
      <c r="C4253" s="61" t="n"/>
      <c r="D4253" s="61" t="n"/>
      <c r="E4253" s="61" t="n"/>
      <c r="F4253" s="55" t="n"/>
      <c r="G4253" s="56" t="n"/>
      <c r="H4253" s="55" t="n"/>
      <c r="I4253" s="62" t="n"/>
      <c r="J4253" s="58" t="n"/>
      <c r="K4253" s="63">
        <f>IF(tblMovement[[#This Row],[Source]]="","",IFERROR(INDEX(tblSources[Type],MATCH(tblMovement[[#This Row],[Source]],tblSources[Source],0)),"?"))</f>
        <v/>
      </c>
      <c r="L4253" s="63">
        <f>IF(tblMovement[[#This Row],[Destination]]="","",IFERROR(INDEX(tblDestinations[Type],MATCH(tblMovement[[#This Row],[Destination]],tblDestinations[Destination],0)),"?"))</f>
        <v/>
      </c>
      <c r="M4253" s="64">
        <f>IF(tblMovement[[#This Row],[Material]]="","",IF(LEFT(tblMovement[[#This Row],[Material]],3)="Ore",1,0))</f>
        <v/>
      </c>
      <c r="N4253" s="59">
        <f>IF(OR(tblMovement[[#This Row],[Tonnes_t]]="",tblMovement[[#This Row],[Grade_gpt]]=""),0,tblMovement[[#This Row],[Tonnes_t]]*tblMovement[[#This Row],[Grade_gpt]]/cfg_TroyOz)</f>
        <v/>
      </c>
      <c r="O4253" s="59">
        <f>IF(tblMovement[[#This Row],[Is_Ore]]=1,tblMovement[[#This Row],[Contained_oz]],0)</f>
        <v/>
      </c>
    </row>
    <row r="4254">
      <c r="A4254" s="54" t="n"/>
      <c r="B4254" s="61" t="n"/>
      <c r="C4254" s="61" t="n"/>
      <c r="D4254" s="61" t="n"/>
      <c r="E4254" s="61" t="n"/>
      <c r="F4254" s="55" t="n"/>
      <c r="G4254" s="56" t="n"/>
      <c r="H4254" s="55" t="n"/>
      <c r="I4254" s="62" t="n"/>
      <c r="J4254" s="58" t="n"/>
      <c r="K4254" s="63">
        <f>IF(tblMovement[[#This Row],[Source]]="","",IFERROR(INDEX(tblSources[Type],MATCH(tblMovement[[#This Row],[Source]],tblSources[Source],0)),"?"))</f>
        <v/>
      </c>
      <c r="L4254" s="63">
        <f>IF(tblMovement[[#This Row],[Destination]]="","",IFERROR(INDEX(tblDestinations[Type],MATCH(tblMovement[[#This Row],[Destination]],tblDestinations[Destination],0)),"?"))</f>
        <v/>
      </c>
      <c r="M4254" s="64">
        <f>IF(tblMovement[[#This Row],[Material]]="","",IF(LEFT(tblMovement[[#This Row],[Material]],3)="Ore",1,0))</f>
        <v/>
      </c>
      <c r="N4254" s="59">
        <f>IF(OR(tblMovement[[#This Row],[Tonnes_t]]="",tblMovement[[#This Row],[Grade_gpt]]=""),0,tblMovement[[#This Row],[Tonnes_t]]*tblMovement[[#This Row],[Grade_gpt]]/cfg_TroyOz)</f>
        <v/>
      </c>
      <c r="O4254" s="59">
        <f>IF(tblMovement[[#This Row],[Is_Ore]]=1,tblMovement[[#This Row],[Contained_oz]],0)</f>
        <v/>
      </c>
    </row>
    <row r="4255">
      <c r="A4255" s="54" t="n"/>
      <c r="B4255" s="61" t="n"/>
      <c r="C4255" s="61" t="n"/>
      <c r="D4255" s="61" t="n"/>
      <c r="E4255" s="61" t="n"/>
      <c r="F4255" s="55" t="n"/>
      <c r="G4255" s="56" t="n"/>
      <c r="H4255" s="55" t="n"/>
      <c r="I4255" s="62" t="n"/>
      <c r="J4255" s="58" t="n"/>
      <c r="K4255" s="63">
        <f>IF(tblMovement[[#This Row],[Source]]="","",IFERROR(INDEX(tblSources[Type],MATCH(tblMovement[[#This Row],[Source]],tblSources[Source],0)),"?"))</f>
        <v/>
      </c>
      <c r="L4255" s="63">
        <f>IF(tblMovement[[#This Row],[Destination]]="","",IFERROR(INDEX(tblDestinations[Type],MATCH(tblMovement[[#This Row],[Destination]],tblDestinations[Destination],0)),"?"))</f>
        <v/>
      </c>
      <c r="M4255" s="64">
        <f>IF(tblMovement[[#This Row],[Material]]="","",IF(LEFT(tblMovement[[#This Row],[Material]],3)="Ore",1,0))</f>
        <v/>
      </c>
      <c r="N4255" s="59">
        <f>IF(OR(tblMovement[[#This Row],[Tonnes_t]]="",tblMovement[[#This Row],[Grade_gpt]]=""),0,tblMovement[[#This Row],[Tonnes_t]]*tblMovement[[#This Row],[Grade_gpt]]/cfg_TroyOz)</f>
        <v/>
      </c>
      <c r="O4255" s="59">
        <f>IF(tblMovement[[#This Row],[Is_Ore]]=1,tblMovement[[#This Row],[Contained_oz]],0)</f>
        <v/>
      </c>
    </row>
    <row r="4256">
      <c r="A4256" s="54" t="n"/>
      <c r="B4256" s="61" t="n"/>
      <c r="C4256" s="61" t="n"/>
      <c r="D4256" s="61" t="n"/>
      <c r="E4256" s="61" t="n"/>
      <c r="F4256" s="55" t="n"/>
      <c r="G4256" s="56" t="n"/>
      <c r="H4256" s="55" t="n"/>
      <c r="I4256" s="62" t="n"/>
      <c r="J4256" s="58" t="n"/>
      <c r="K4256" s="63">
        <f>IF(tblMovement[[#This Row],[Source]]="","",IFERROR(INDEX(tblSources[Type],MATCH(tblMovement[[#This Row],[Source]],tblSources[Source],0)),"?"))</f>
        <v/>
      </c>
      <c r="L4256" s="63">
        <f>IF(tblMovement[[#This Row],[Destination]]="","",IFERROR(INDEX(tblDestinations[Type],MATCH(tblMovement[[#This Row],[Destination]],tblDestinations[Destination],0)),"?"))</f>
        <v/>
      </c>
      <c r="M4256" s="64">
        <f>IF(tblMovement[[#This Row],[Material]]="","",IF(LEFT(tblMovement[[#This Row],[Material]],3)="Ore",1,0))</f>
        <v/>
      </c>
      <c r="N4256" s="59">
        <f>IF(OR(tblMovement[[#This Row],[Tonnes_t]]="",tblMovement[[#This Row],[Grade_gpt]]=""),0,tblMovement[[#This Row],[Tonnes_t]]*tblMovement[[#This Row],[Grade_gpt]]/cfg_TroyOz)</f>
        <v/>
      </c>
      <c r="O4256" s="59">
        <f>IF(tblMovement[[#This Row],[Is_Ore]]=1,tblMovement[[#This Row],[Contained_oz]],0)</f>
        <v/>
      </c>
    </row>
    <row r="4257">
      <c r="A4257" s="54" t="n"/>
      <c r="B4257" s="61" t="n"/>
      <c r="C4257" s="61" t="n"/>
      <c r="D4257" s="61" t="n"/>
      <c r="E4257" s="61" t="n"/>
      <c r="F4257" s="55" t="n"/>
      <c r="G4257" s="56" t="n"/>
      <c r="H4257" s="55" t="n"/>
      <c r="I4257" s="62" t="n"/>
      <c r="J4257" s="58" t="n"/>
      <c r="K4257" s="63">
        <f>IF(tblMovement[[#This Row],[Source]]="","",IFERROR(INDEX(tblSources[Type],MATCH(tblMovement[[#This Row],[Source]],tblSources[Source],0)),"?"))</f>
        <v/>
      </c>
      <c r="L4257" s="63">
        <f>IF(tblMovement[[#This Row],[Destination]]="","",IFERROR(INDEX(tblDestinations[Type],MATCH(tblMovement[[#This Row],[Destination]],tblDestinations[Destination],0)),"?"))</f>
        <v/>
      </c>
      <c r="M4257" s="64">
        <f>IF(tblMovement[[#This Row],[Material]]="","",IF(LEFT(tblMovement[[#This Row],[Material]],3)="Ore",1,0))</f>
        <v/>
      </c>
      <c r="N4257" s="59">
        <f>IF(OR(tblMovement[[#This Row],[Tonnes_t]]="",tblMovement[[#This Row],[Grade_gpt]]=""),0,tblMovement[[#This Row],[Tonnes_t]]*tblMovement[[#This Row],[Grade_gpt]]/cfg_TroyOz)</f>
        <v/>
      </c>
      <c r="O4257" s="59">
        <f>IF(tblMovement[[#This Row],[Is_Ore]]=1,tblMovement[[#This Row],[Contained_oz]],0)</f>
        <v/>
      </c>
    </row>
    <row r="4258">
      <c r="A4258" s="54" t="n"/>
      <c r="B4258" s="61" t="n"/>
      <c r="C4258" s="61" t="n"/>
      <c r="D4258" s="61" t="n"/>
      <c r="E4258" s="61" t="n"/>
      <c r="F4258" s="55" t="n"/>
      <c r="G4258" s="56" t="n"/>
      <c r="H4258" s="55" t="n"/>
      <c r="I4258" s="62" t="n"/>
      <c r="J4258" s="58" t="n"/>
      <c r="K4258" s="63">
        <f>IF(tblMovement[[#This Row],[Source]]="","",IFERROR(INDEX(tblSources[Type],MATCH(tblMovement[[#This Row],[Source]],tblSources[Source],0)),"?"))</f>
        <v/>
      </c>
      <c r="L4258" s="63">
        <f>IF(tblMovement[[#This Row],[Destination]]="","",IFERROR(INDEX(tblDestinations[Type],MATCH(tblMovement[[#This Row],[Destination]],tblDestinations[Destination],0)),"?"))</f>
        <v/>
      </c>
      <c r="M4258" s="64">
        <f>IF(tblMovement[[#This Row],[Material]]="","",IF(LEFT(tblMovement[[#This Row],[Material]],3)="Ore",1,0))</f>
        <v/>
      </c>
      <c r="N4258" s="59">
        <f>IF(OR(tblMovement[[#This Row],[Tonnes_t]]="",tblMovement[[#This Row],[Grade_gpt]]=""),0,tblMovement[[#This Row],[Tonnes_t]]*tblMovement[[#This Row],[Grade_gpt]]/cfg_TroyOz)</f>
        <v/>
      </c>
      <c r="O4258" s="59">
        <f>IF(tblMovement[[#This Row],[Is_Ore]]=1,tblMovement[[#This Row],[Contained_oz]],0)</f>
        <v/>
      </c>
    </row>
    <row r="4259">
      <c r="A4259" s="54" t="n"/>
      <c r="B4259" s="61" t="n"/>
      <c r="C4259" s="61" t="n"/>
      <c r="D4259" s="61" t="n"/>
      <c r="E4259" s="61" t="n"/>
      <c r="F4259" s="55" t="n"/>
      <c r="G4259" s="56" t="n"/>
      <c r="H4259" s="55" t="n"/>
      <c r="I4259" s="62" t="n"/>
      <c r="J4259" s="58" t="n"/>
      <c r="K4259" s="63">
        <f>IF(tblMovement[[#This Row],[Source]]="","",IFERROR(INDEX(tblSources[Type],MATCH(tblMovement[[#This Row],[Source]],tblSources[Source],0)),"?"))</f>
        <v/>
      </c>
      <c r="L4259" s="63">
        <f>IF(tblMovement[[#This Row],[Destination]]="","",IFERROR(INDEX(tblDestinations[Type],MATCH(tblMovement[[#This Row],[Destination]],tblDestinations[Destination],0)),"?"))</f>
        <v/>
      </c>
      <c r="M4259" s="64">
        <f>IF(tblMovement[[#This Row],[Material]]="","",IF(LEFT(tblMovement[[#This Row],[Material]],3)="Ore",1,0))</f>
        <v/>
      </c>
      <c r="N4259" s="59">
        <f>IF(OR(tblMovement[[#This Row],[Tonnes_t]]="",tblMovement[[#This Row],[Grade_gpt]]=""),0,tblMovement[[#This Row],[Tonnes_t]]*tblMovement[[#This Row],[Grade_gpt]]/cfg_TroyOz)</f>
        <v/>
      </c>
      <c r="O4259" s="59">
        <f>IF(tblMovement[[#This Row],[Is_Ore]]=1,tblMovement[[#This Row],[Contained_oz]],0)</f>
        <v/>
      </c>
    </row>
    <row r="4260">
      <c r="A4260" s="54" t="n"/>
      <c r="B4260" s="61" t="n"/>
      <c r="C4260" s="61" t="n"/>
      <c r="D4260" s="61" t="n"/>
      <c r="E4260" s="61" t="n"/>
      <c r="F4260" s="55" t="n"/>
      <c r="G4260" s="56" t="n"/>
      <c r="H4260" s="55" t="n"/>
      <c r="I4260" s="62" t="n"/>
      <c r="J4260" s="58" t="n"/>
      <c r="K4260" s="63">
        <f>IF(tblMovement[[#This Row],[Source]]="","",IFERROR(INDEX(tblSources[Type],MATCH(tblMovement[[#This Row],[Source]],tblSources[Source],0)),"?"))</f>
        <v/>
      </c>
      <c r="L4260" s="63">
        <f>IF(tblMovement[[#This Row],[Destination]]="","",IFERROR(INDEX(tblDestinations[Type],MATCH(tblMovement[[#This Row],[Destination]],tblDestinations[Destination],0)),"?"))</f>
        <v/>
      </c>
      <c r="M4260" s="64">
        <f>IF(tblMovement[[#This Row],[Material]]="","",IF(LEFT(tblMovement[[#This Row],[Material]],3)="Ore",1,0))</f>
        <v/>
      </c>
      <c r="N4260" s="59">
        <f>IF(OR(tblMovement[[#This Row],[Tonnes_t]]="",tblMovement[[#This Row],[Grade_gpt]]=""),0,tblMovement[[#This Row],[Tonnes_t]]*tblMovement[[#This Row],[Grade_gpt]]/cfg_TroyOz)</f>
        <v/>
      </c>
      <c r="O4260" s="59">
        <f>IF(tblMovement[[#This Row],[Is_Ore]]=1,tblMovement[[#This Row],[Contained_oz]],0)</f>
        <v/>
      </c>
    </row>
    <row r="4261">
      <c r="A4261" s="54" t="n"/>
      <c r="B4261" s="61" t="n"/>
      <c r="C4261" s="61" t="n"/>
      <c r="D4261" s="61" t="n"/>
      <c r="E4261" s="61" t="n"/>
      <c r="F4261" s="55" t="n"/>
      <c r="G4261" s="56" t="n"/>
      <c r="H4261" s="55" t="n"/>
      <c r="I4261" s="62" t="n"/>
      <c r="J4261" s="58" t="n"/>
      <c r="K4261" s="63">
        <f>IF(tblMovement[[#This Row],[Source]]="","",IFERROR(INDEX(tblSources[Type],MATCH(tblMovement[[#This Row],[Source]],tblSources[Source],0)),"?"))</f>
        <v/>
      </c>
      <c r="L4261" s="63">
        <f>IF(tblMovement[[#This Row],[Destination]]="","",IFERROR(INDEX(tblDestinations[Type],MATCH(tblMovement[[#This Row],[Destination]],tblDestinations[Destination],0)),"?"))</f>
        <v/>
      </c>
      <c r="M4261" s="64">
        <f>IF(tblMovement[[#This Row],[Material]]="","",IF(LEFT(tblMovement[[#This Row],[Material]],3)="Ore",1,0))</f>
        <v/>
      </c>
      <c r="N4261" s="59">
        <f>IF(OR(tblMovement[[#This Row],[Tonnes_t]]="",tblMovement[[#This Row],[Grade_gpt]]=""),0,tblMovement[[#This Row],[Tonnes_t]]*tblMovement[[#This Row],[Grade_gpt]]/cfg_TroyOz)</f>
        <v/>
      </c>
      <c r="O4261" s="59">
        <f>IF(tblMovement[[#This Row],[Is_Ore]]=1,tblMovement[[#This Row],[Contained_oz]],0)</f>
        <v/>
      </c>
    </row>
    <row r="4262">
      <c r="A4262" s="54" t="n"/>
      <c r="B4262" s="61" t="n"/>
      <c r="C4262" s="61" t="n"/>
      <c r="D4262" s="61" t="n"/>
      <c r="E4262" s="61" t="n"/>
      <c r="F4262" s="55" t="n"/>
      <c r="G4262" s="56" t="n"/>
      <c r="H4262" s="55" t="n"/>
      <c r="I4262" s="62" t="n"/>
      <c r="J4262" s="58" t="n"/>
      <c r="K4262" s="63">
        <f>IF(tblMovement[[#This Row],[Source]]="","",IFERROR(INDEX(tblSources[Type],MATCH(tblMovement[[#This Row],[Source]],tblSources[Source],0)),"?"))</f>
        <v/>
      </c>
      <c r="L4262" s="63">
        <f>IF(tblMovement[[#This Row],[Destination]]="","",IFERROR(INDEX(tblDestinations[Type],MATCH(tblMovement[[#This Row],[Destination]],tblDestinations[Destination],0)),"?"))</f>
        <v/>
      </c>
      <c r="M4262" s="64">
        <f>IF(tblMovement[[#This Row],[Material]]="","",IF(LEFT(tblMovement[[#This Row],[Material]],3)="Ore",1,0))</f>
        <v/>
      </c>
      <c r="N4262" s="59">
        <f>IF(OR(tblMovement[[#This Row],[Tonnes_t]]="",tblMovement[[#This Row],[Grade_gpt]]=""),0,tblMovement[[#This Row],[Tonnes_t]]*tblMovement[[#This Row],[Grade_gpt]]/cfg_TroyOz)</f>
        <v/>
      </c>
      <c r="O4262" s="59">
        <f>IF(tblMovement[[#This Row],[Is_Ore]]=1,tblMovement[[#This Row],[Contained_oz]],0)</f>
        <v/>
      </c>
    </row>
    <row r="4263">
      <c r="A4263" s="54" t="n"/>
      <c r="B4263" s="61" t="n"/>
      <c r="C4263" s="61" t="n"/>
      <c r="D4263" s="61" t="n"/>
      <c r="E4263" s="61" t="n"/>
      <c r="F4263" s="55" t="n"/>
      <c r="G4263" s="56" t="n"/>
      <c r="H4263" s="55" t="n"/>
      <c r="I4263" s="62" t="n"/>
      <c r="J4263" s="58" t="n"/>
      <c r="K4263" s="63">
        <f>IF(tblMovement[[#This Row],[Source]]="","",IFERROR(INDEX(tblSources[Type],MATCH(tblMovement[[#This Row],[Source]],tblSources[Source],0)),"?"))</f>
        <v/>
      </c>
      <c r="L4263" s="63">
        <f>IF(tblMovement[[#This Row],[Destination]]="","",IFERROR(INDEX(tblDestinations[Type],MATCH(tblMovement[[#This Row],[Destination]],tblDestinations[Destination],0)),"?"))</f>
        <v/>
      </c>
      <c r="M4263" s="64">
        <f>IF(tblMovement[[#This Row],[Material]]="","",IF(LEFT(tblMovement[[#This Row],[Material]],3)="Ore",1,0))</f>
        <v/>
      </c>
      <c r="N4263" s="59">
        <f>IF(OR(tblMovement[[#This Row],[Tonnes_t]]="",tblMovement[[#This Row],[Grade_gpt]]=""),0,tblMovement[[#This Row],[Tonnes_t]]*tblMovement[[#This Row],[Grade_gpt]]/cfg_TroyOz)</f>
        <v/>
      </c>
      <c r="O4263" s="59">
        <f>IF(tblMovement[[#This Row],[Is_Ore]]=1,tblMovement[[#This Row],[Contained_oz]],0)</f>
        <v/>
      </c>
    </row>
    <row r="4264">
      <c r="A4264" s="54" t="n"/>
      <c r="B4264" s="61" t="n"/>
      <c r="C4264" s="61" t="n"/>
      <c r="D4264" s="61" t="n"/>
      <c r="E4264" s="61" t="n"/>
      <c r="F4264" s="55" t="n"/>
      <c r="G4264" s="56" t="n"/>
      <c r="H4264" s="55" t="n"/>
      <c r="I4264" s="62" t="n"/>
      <c r="J4264" s="58" t="n"/>
      <c r="K4264" s="63">
        <f>IF(tblMovement[[#This Row],[Source]]="","",IFERROR(INDEX(tblSources[Type],MATCH(tblMovement[[#This Row],[Source]],tblSources[Source],0)),"?"))</f>
        <v/>
      </c>
      <c r="L4264" s="63">
        <f>IF(tblMovement[[#This Row],[Destination]]="","",IFERROR(INDEX(tblDestinations[Type],MATCH(tblMovement[[#This Row],[Destination]],tblDestinations[Destination],0)),"?"))</f>
        <v/>
      </c>
      <c r="M4264" s="64">
        <f>IF(tblMovement[[#This Row],[Material]]="","",IF(LEFT(tblMovement[[#This Row],[Material]],3)="Ore",1,0))</f>
        <v/>
      </c>
      <c r="N4264" s="59">
        <f>IF(OR(tblMovement[[#This Row],[Tonnes_t]]="",tblMovement[[#This Row],[Grade_gpt]]=""),0,tblMovement[[#This Row],[Tonnes_t]]*tblMovement[[#This Row],[Grade_gpt]]/cfg_TroyOz)</f>
        <v/>
      </c>
      <c r="O4264" s="59">
        <f>IF(tblMovement[[#This Row],[Is_Ore]]=1,tblMovement[[#This Row],[Contained_oz]],0)</f>
        <v/>
      </c>
    </row>
    <row r="4265">
      <c r="A4265" s="54" t="n"/>
      <c r="B4265" s="61" t="n"/>
      <c r="C4265" s="61" t="n"/>
      <c r="D4265" s="61" t="n"/>
      <c r="E4265" s="61" t="n"/>
      <c r="F4265" s="55" t="n"/>
      <c r="G4265" s="56" t="n"/>
      <c r="H4265" s="55" t="n"/>
      <c r="I4265" s="62" t="n"/>
      <c r="J4265" s="58" t="n"/>
      <c r="K4265" s="63">
        <f>IF(tblMovement[[#This Row],[Source]]="","",IFERROR(INDEX(tblSources[Type],MATCH(tblMovement[[#This Row],[Source]],tblSources[Source],0)),"?"))</f>
        <v/>
      </c>
      <c r="L4265" s="63">
        <f>IF(tblMovement[[#This Row],[Destination]]="","",IFERROR(INDEX(tblDestinations[Type],MATCH(tblMovement[[#This Row],[Destination]],tblDestinations[Destination],0)),"?"))</f>
        <v/>
      </c>
      <c r="M4265" s="64">
        <f>IF(tblMovement[[#This Row],[Material]]="","",IF(LEFT(tblMovement[[#This Row],[Material]],3)="Ore",1,0))</f>
        <v/>
      </c>
      <c r="N4265" s="59">
        <f>IF(OR(tblMovement[[#This Row],[Tonnes_t]]="",tblMovement[[#This Row],[Grade_gpt]]=""),0,tblMovement[[#This Row],[Tonnes_t]]*tblMovement[[#This Row],[Grade_gpt]]/cfg_TroyOz)</f>
        <v/>
      </c>
      <c r="O4265" s="59">
        <f>IF(tblMovement[[#This Row],[Is_Ore]]=1,tblMovement[[#This Row],[Contained_oz]],0)</f>
        <v/>
      </c>
    </row>
    <row r="4266">
      <c r="A4266" s="54" t="n"/>
      <c r="B4266" s="61" t="n"/>
      <c r="C4266" s="61" t="n"/>
      <c r="D4266" s="61" t="n"/>
      <c r="E4266" s="61" t="n"/>
      <c r="F4266" s="55" t="n"/>
      <c r="G4266" s="56" t="n"/>
      <c r="H4266" s="55" t="n"/>
      <c r="I4266" s="62" t="n"/>
      <c r="J4266" s="58" t="n"/>
      <c r="K4266" s="63">
        <f>IF(tblMovement[[#This Row],[Source]]="","",IFERROR(INDEX(tblSources[Type],MATCH(tblMovement[[#This Row],[Source]],tblSources[Source],0)),"?"))</f>
        <v/>
      </c>
      <c r="L4266" s="63">
        <f>IF(tblMovement[[#This Row],[Destination]]="","",IFERROR(INDEX(tblDestinations[Type],MATCH(tblMovement[[#This Row],[Destination]],tblDestinations[Destination],0)),"?"))</f>
        <v/>
      </c>
      <c r="M4266" s="64">
        <f>IF(tblMovement[[#This Row],[Material]]="","",IF(LEFT(tblMovement[[#This Row],[Material]],3)="Ore",1,0))</f>
        <v/>
      </c>
      <c r="N4266" s="59">
        <f>IF(OR(tblMovement[[#This Row],[Tonnes_t]]="",tblMovement[[#This Row],[Grade_gpt]]=""),0,tblMovement[[#This Row],[Tonnes_t]]*tblMovement[[#This Row],[Grade_gpt]]/cfg_TroyOz)</f>
        <v/>
      </c>
      <c r="O4266" s="59">
        <f>IF(tblMovement[[#This Row],[Is_Ore]]=1,tblMovement[[#This Row],[Contained_oz]],0)</f>
        <v/>
      </c>
    </row>
    <row r="4267">
      <c r="A4267" s="54" t="n"/>
      <c r="B4267" s="61" t="n"/>
      <c r="C4267" s="61" t="n"/>
      <c r="D4267" s="61" t="n"/>
      <c r="E4267" s="61" t="n"/>
      <c r="F4267" s="55" t="n"/>
      <c r="G4267" s="56" t="n"/>
      <c r="H4267" s="55" t="n"/>
      <c r="I4267" s="62" t="n"/>
      <c r="J4267" s="58" t="n"/>
      <c r="K4267" s="63">
        <f>IF(tblMovement[[#This Row],[Source]]="","",IFERROR(INDEX(tblSources[Type],MATCH(tblMovement[[#This Row],[Source]],tblSources[Source],0)),"?"))</f>
        <v/>
      </c>
      <c r="L4267" s="63">
        <f>IF(tblMovement[[#This Row],[Destination]]="","",IFERROR(INDEX(tblDestinations[Type],MATCH(tblMovement[[#This Row],[Destination]],tblDestinations[Destination],0)),"?"))</f>
        <v/>
      </c>
      <c r="M4267" s="64">
        <f>IF(tblMovement[[#This Row],[Material]]="","",IF(LEFT(tblMovement[[#This Row],[Material]],3)="Ore",1,0))</f>
        <v/>
      </c>
      <c r="N4267" s="59">
        <f>IF(OR(tblMovement[[#This Row],[Tonnes_t]]="",tblMovement[[#This Row],[Grade_gpt]]=""),0,tblMovement[[#This Row],[Tonnes_t]]*tblMovement[[#This Row],[Grade_gpt]]/cfg_TroyOz)</f>
        <v/>
      </c>
      <c r="O4267" s="59">
        <f>IF(tblMovement[[#This Row],[Is_Ore]]=1,tblMovement[[#This Row],[Contained_oz]],0)</f>
        <v/>
      </c>
    </row>
    <row r="4268">
      <c r="A4268" s="54" t="n"/>
      <c r="B4268" s="61" t="n"/>
      <c r="C4268" s="61" t="n"/>
      <c r="D4268" s="61" t="n"/>
      <c r="E4268" s="61" t="n"/>
      <c r="F4268" s="55" t="n"/>
      <c r="G4268" s="56" t="n"/>
      <c r="H4268" s="55" t="n"/>
      <c r="I4268" s="62" t="n"/>
      <c r="J4268" s="58" t="n"/>
      <c r="K4268" s="63">
        <f>IF(tblMovement[[#This Row],[Source]]="","",IFERROR(INDEX(tblSources[Type],MATCH(tblMovement[[#This Row],[Source]],tblSources[Source],0)),"?"))</f>
        <v/>
      </c>
      <c r="L4268" s="63">
        <f>IF(tblMovement[[#This Row],[Destination]]="","",IFERROR(INDEX(tblDestinations[Type],MATCH(tblMovement[[#This Row],[Destination]],tblDestinations[Destination],0)),"?"))</f>
        <v/>
      </c>
      <c r="M4268" s="64">
        <f>IF(tblMovement[[#This Row],[Material]]="","",IF(LEFT(tblMovement[[#This Row],[Material]],3)="Ore",1,0))</f>
        <v/>
      </c>
      <c r="N4268" s="59">
        <f>IF(OR(tblMovement[[#This Row],[Tonnes_t]]="",tblMovement[[#This Row],[Grade_gpt]]=""),0,tblMovement[[#This Row],[Tonnes_t]]*tblMovement[[#This Row],[Grade_gpt]]/cfg_TroyOz)</f>
        <v/>
      </c>
      <c r="O4268" s="59">
        <f>IF(tblMovement[[#This Row],[Is_Ore]]=1,tblMovement[[#This Row],[Contained_oz]],0)</f>
        <v/>
      </c>
    </row>
    <row r="4269">
      <c r="A4269" s="54" t="n"/>
      <c r="B4269" s="61" t="n"/>
      <c r="C4269" s="61" t="n"/>
      <c r="D4269" s="61" t="n"/>
      <c r="E4269" s="61" t="n"/>
      <c r="F4269" s="55" t="n"/>
      <c r="G4269" s="56" t="n"/>
      <c r="H4269" s="55" t="n"/>
      <c r="I4269" s="62" t="n"/>
      <c r="J4269" s="58" t="n"/>
      <c r="K4269" s="63">
        <f>IF(tblMovement[[#This Row],[Source]]="","",IFERROR(INDEX(tblSources[Type],MATCH(tblMovement[[#This Row],[Source]],tblSources[Source],0)),"?"))</f>
        <v/>
      </c>
      <c r="L4269" s="63">
        <f>IF(tblMovement[[#This Row],[Destination]]="","",IFERROR(INDEX(tblDestinations[Type],MATCH(tblMovement[[#This Row],[Destination]],tblDestinations[Destination],0)),"?"))</f>
        <v/>
      </c>
      <c r="M4269" s="64">
        <f>IF(tblMovement[[#This Row],[Material]]="","",IF(LEFT(tblMovement[[#This Row],[Material]],3)="Ore",1,0))</f>
        <v/>
      </c>
      <c r="N4269" s="59">
        <f>IF(OR(tblMovement[[#This Row],[Tonnes_t]]="",tblMovement[[#This Row],[Grade_gpt]]=""),0,tblMovement[[#This Row],[Tonnes_t]]*tblMovement[[#This Row],[Grade_gpt]]/cfg_TroyOz)</f>
        <v/>
      </c>
      <c r="O4269" s="59">
        <f>IF(tblMovement[[#This Row],[Is_Ore]]=1,tblMovement[[#This Row],[Contained_oz]],0)</f>
        <v/>
      </c>
    </row>
    <row r="4270">
      <c r="A4270" s="54" t="n"/>
      <c r="B4270" s="61" t="n"/>
      <c r="C4270" s="61" t="n"/>
      <c r="D4270" s="61" t="n"/>
      <c r="E4270" s="61" t="n"/>
      <c r="F4270" s="55" t="n"/>
      <c r="G4270" s="56" t="n"/>
      <c r="H4270" s="55" t="n"/>
      <c r="I4270" s="62" t="n"/>
      <c r="J4270" s="58" t="n"/>
      <c r="K4270" s="63">
        <f>IF(tblMovement[[#This Row],[Source]]="","",IFERROR(INDEX(tblSources[Type],MATCH(tblMovement[[#This Row],[Source]],tblSources[Source],0)),"?"))</f>
        <v/>
      </c>
      <c r="L4270" s="63">
        <f>IF(tblMovement[[#This Row],[Destination]]="","",IFERROR(INDEX(tblDestinations[Type],MATCH(tblMovement[[#This Row],[Destination]],tblDestinations[Destination],0)),"?"))</f>
        <v/>
      </c>
      <c r="M4270" s="64">
        <f>IF(tblMovement[[#This Row],[Material]]="","",IF(LEFT(tblMovement[[#This Row],[Material]],3)="Ore",1,0))</f>
        <v/>
      </c>
      <c r="N4270" s="59">
        <f>IF(OR(tblMovement[[#This Row],[Tonnes_t]]="",tblMovement[[#This Row],[Grade_gpt]]=""),0,tblMovement[[#This Row],[Tonnes_t]]*tblMovement[[#This Row],[Grade_gpt]]/cfg_TroyOz)</f>
        <v/>
      </c>
      <c r="O4270" s="59">
        <f>IF(tblMovement[[#This Row],[Is_Ore]]=1,tblMovement[[#This Row],[Contained_oz]],0)</f>
        <v/>
      </c>
    </row>
    <row r="4271">
      <c r="A4271" s="54" t="n"/>
      <c r="B4271" s="61" t="n"/>
      <c r="C4271" s="61" t="n"/>
      <c r="D4271" s="61" t="n"/>
      <c r="E4271" s="61" t="n"/>
      <c r="F4271" s="55" t="n"/>
      <c r="G4271" s="56" t="n"/>
      <c r="H4271" s="55" t="n"/>
      <c r="I4271" s="62" t="n"/>
      <c r="J4271" s="58" t="n"/>
      <c r="K4271" s="63">
        <f>IF(tblMovement[[#This Row],[Source]]="","",IFERROR(INDEX(tblSources[Type],MATCH(tblMovement[[#This Row],[Source]],tblSources[Source],0)),"?"))</f>
        <v/>
      </c>
      <c r="L4271" s="63">
        <f>IF(tblMovement[[#This Row],[Destination]]="","",IFERROR(INDEX(tblDestinations[Type],MATCH(tblMovement[[#This Row],[Destination]],tblDestinations[Destination],0)),"?"))</f>
        <v/>
      </c>
      <c r="M4271" s="64">
        <f>IF(tblMovement[[#This Row],[Material]]="","",IF(LEFT(tblMovement[[#This Row],[Material]],3)="Ore",1,0))</f>
        <v/>
      </c>
      <c r="N4271" s="59">
        <f>IF(OR(tblMovement[[#This Row],[Tonnes_t]]="",tblMovement[[#This Row],[Grade_gpt]]=""),0,tblMovement[[#This Row],[Tonnes_t]]*tblMovement[[#This Row],[Grade_gpt]]/cfg_TroyOz)</f>
        <v/>
      </c>
      <c r="O4271" s="59">
        <f>IF(tblMovement[[#This Row],[Is_Ore]]=1,tblMovement[[#This Row],[Contained_oz]],0)</f>
        <v/>
      </c>
    </row>
    <row r="4272">
      <c r="A4272" s="54" t="n"/>
      <c r="B4272" s="61" t="n"/>
      <c r="C4272" s="61" t="n"/>
      <c r="D4272" s="61" t="n"/>
      <c r="E4272" s="61" t="n"/>
      <c r="F4272" s="55" t="n"/>
      <c r="G4272" s="56" t="n"/>
      <c r="H4272" s="55" t="n"/>
      <c r="I4272" s="62" t="n"/>
      <c r="J4272" s="58" t="n"/>
      <c r="K4272" s="63">
        <f>IF(tblMovement[[#This Row],[Source]]="","",IFERROR(INDEX(tblSources[Type],MATCH(tblMovement[[#This Row],[Source]],tblSources[Source],0)),"?"))</f>
        <v/>
      </c>
      <c r="L4272" s="63">
        <f>IF(tblMovement[[#This Row],[Destination]]="","",IFERROR(INDEX(tblDestinations[Type],MATCH(tblMovement[[#This Row],[Destination]],tblDestinations[Destination],0)),"?"))</f>
        <v/>
      </c>
      <c r="M4272" s="64">
        <f>IF(tblMovement[[#This Row],[Material]]="","",IF(LEFT(tblMovement[[#This Row],[Material]],3)="Ore",1,0))</f>
        <v/>
      </c>
      <c r="N4272" s="59">
        <f>IF(OR(tblMovement[[#This Row],[Tonnes_t]]="",tblMovement[[#This Row],[Grade_gpt]]=""),0,tblMovement[[#This Row],[Tonnes_t]]*tblMovement[[#This Row],[Grade_gpt]]/cfg_TroyOz)</f>
        <v/>
      </c>
      <c r="O4272" s="59">
        <f>IF(tblMovement[[#This Row],[Is_Ore]]=1,tblMovement[[#This Row],[Contained_oz]],0)</f>
        <v/>
      </c>
    </row>
    <row r="4273">
      <c r="A4273" s="54" t="n"/>
      <c r="B4273" s="61" t="n"/>
      <c r="C4273" s="61" t="n"/>
      <c r="D4273" s="61" t="n"/>
      <c r="E4273" s="61" t="n"/>
      <c r="F4273" s="55" t="n"/>
      <c r="G4273" s="56" t="n"/>
      <c r="H4273" s="55" t="n"/>
      <c r="I4273" s="62" t="n"/>
      <c r="J4273" s="58" t="n"/>
      <c r="K4273" s="63">
        <f>IF(tblMovement[[#This Row],[Source]]="","",IFERROR(INDEX(tblSources[Type],MATCH(tblMovement[[#This Row],[Source]],tblSources[Source],0)),"?"))</f>
        <v/>
      </c>
      <c r="L4273" s="63">
        <f>IF(tblMovement[[#This Row],[Destination]]="","",IFERROR(INDEX(tblDestinations[Type],MATCH(tblMovement[[#This Row],[Destination]],tblDestinations[Destination],0)),"?"))</f>
        <v/>
      </c>
      <c r="M4273" s="64">
        <f>IF(tblMovement[[#This Row],[Material]]="","",IF(LEFT(tblMovement[[#This Row],[Material]],3)="Ore",1,0))</f>
        <v/>
      </c>
      <c r="N4273" s="59">
        <f>IF(OR(tblMovement[[#This Row],[Tonnes_t]]="",tblMovement[[#This Row],[Grade_gpt]]=""),0,tblMovement[[#This Row],[Tonnes_t]]*tblMovement[[#This Row],[Grade_gpt]]/cfg_TroyOz)</f>
        <v/>
      </c>
      <c r="O4273" s="59">
        <f>IF(tblMovement[[#This Row],[Is_Ore]]=1,tblMovement[[#This Row],[Contained_oz]],0)</f>
        <v/>
      </c>
    </row>
    <row r="4274">
      <c r="A4274" s="54" t="n"/>
      <c r="B4274" s="61" t="n"/>
      <c r="C4274" s="61" t="n"/>
      <c r="D4274" s="61" t="n"/>
      <c r="E4274" s="61" t="n"/>
      <c r="F4274" s="55" t="n"/>
      <c r="G4274" s="56" t="n"/>
      <c r="H4274" s="55" t="n"/>
      <c r="I4274" s="62" t="n"/>
      <c r="J4274" s="58" t="n"/>
      <c r="K4274" s="63">
        <f>IF(tblMovement[[#This Row],[Source]]="","",IFERROR(INDEX(tblSources[Type],MATCH(tblMovement[[#This Row],[Source]],tblSources[Source],0)),"?"))</f>
        <v/>
      </c>
      <c r="L4274" s="63">
        <f>IF(tblMovement[[#This Row],[Destination]]="","",IFERROR(INDEX(tblDestinations[Type],MATCH(tblMovement[[#This Row],[Destination]],tblDestinations[Destination],0)),"?"))</f>
        <v/>
      </c>
      <c r="M4274" s="64">
        <f>IF(tblMovement[[#This Row],[Material]]="","",IF(LEFT(tblMovement[[#This Row],[Material]],3)="Ore",1,0))</f>
        <v/>
      </c>
      <c r="N4274" s="59">
        <f>IF(OR(tblMovement[[#This Row],[Tonnes_t]]="",tblMovement[[#This Row],[Grade_gpt]]=""),0,tblMovement[[#This Row],[Tonnes_t]]*tblMovement[[#This Row],[Grade_gpt]]/cfg_TroyOz)</f>
        <v/>
      </c>
      <c r="O4274" s="59">
        <f>IF(tblMovement[[#This Row],[Is_Ore]]=1,tblMovement[[#This Row],[Contained_oz]],0)</f>
        <v/>
      </c>
    </row>
    <row r="4275">
      <c r="A4275" s="54" t="n"/>
      <c r="B4275" s="61" t="n"/>
      <c r="C4275" s="61" t="n"/>
      <c r="D4275" s="61" t="n"/>
      <c r="E4275" s="61" t="n"/>
      <c r="F4275" s="55" t="n"/>
      <c r="G4275" s="56" t="n"/>
      <c r="H4275" s="55" t="n"/>
      <c r="I4275" s="62" t="n"/>
      <c r="J4275" s="58" t="n"/>
      <c r="K4275" s="63">
        <f>IF(tblMovement[[#This Row],[Source]]="","",IFERROR(INDEX(tblSources[Type],MATCH(tblMovement[[#This Row],[Source]],tblSources[Source],0)),"?"))</f>
        <v/>
      </c>
      <c r="L4275" s="63">
        <f>IF(tblMovement[[#This Row],[Destination]]="","",IFERROR(INDEX(tblDestinations[Type],MATCH(tblMovement[[#This Row],[Destination]],tblDestinations[Destination],0)),"?"))</f>
        <v/>
      </c>
      <c r="M4275" s="64">
        <f>IF(tblMovement[[#This Row],[Material]]="","",IF(LEFT(tblMovement[[#This Row],[Material]],3)="Ore",1,0))</f>
        <v/>
      </c>
      <c r="N4275" s="59">
        <f>IF(OR(tblMovement[[#This Row],[Tonnes_t]]="",tblMovement[[#This Row],[Grade_gpt]]=""),0,tblMovement[[#This Row],[Tonnes_t]]*tblMovement[[#This Row],[Grade_gpt]]/cfg_TroyOz)</f>
        <v/>
      </c>
      <c r="O4275" s="59">
        <f>IF(tblMovement[[#This Row],[Is_Ore]]=1,tblMovement[[#This Row],[Contained_oz]],0)</f>
        <v/>
      </c>
    </row>
    <row r="4276">
      <c r="A4276" s="54" t="n"/>
      <c r="B4276" s="61" t="n"/>
      <c r="C4276" s="61" t="n"/>
      <c r="D4276" s="61" t="n"/>
      <c r="E4276" s="61" t="n"/>
      <c r="F4276" s="55" t="n"/>
      <c r="G4276" s="56" t="n"/>
      <c r="H4276" s="55" t="n"/>
      <c r="I4276" s="62" t="n"/>
      <c r="J4276" s="58" t="n"/>
      <c r="K4276" s="63">
        <f>IF(tblMovement[[#This Row],[Source]]="","",IFERROR(INDEX(tblSources[Type],MATCH(tblMovement[[#This Row],[Source]],tblSources[Source],0)),"?"))</f>
        <v/>
      </c>
      <c r="L4276" s="63">
        <f>IF(tblMovement[[#This Row],[Destination]]="","",IFERROR(INDEX(tblDestinations[Type],MATCH(tblMovement[[#This Row],[Destination]],tblDestinations[Destination],0)),"?"))</f>
        <v/>
      </c>
      <c r="M4276" s="64">
        <f>IF(tblMovement[[#This Row],[Material]]="","",IF(LEFT(tblMovement[[#This Row],[Material]],3)="Ore",1,0))</f>
        <v/>
      </c>
      <c r="N4276" s="59">
        <f>IF(OR(tblMovement[[#This Row],[Tonnes_t]]="",tblMovement[[#This Row],[Grade_gpt]]=""),0,tblMovement[[#This Row],[Tonnes_t]]*tblMovement[[#This Row],[Grade_gpt]]/cfg_TroyOz)</f>
        <v/>
      </c>
      <c r="O4276" s="59">
        <f>IF(tblMovement[[#This Row],[Is_Ore]]=1,tblMovement[[#This Row],[Contained_oz]],0)</f>
        <v/>
      </c>
    </row>
    <row r="4277">
      <c r="A4277" s="54" t="n"/>
      <c r="B4277" s="61" t="n"/>
      <c r="C4277" s="61" t="n"/>
      <c r="D4277" s="61" t="n"/>
      <c r="E4277" s="61" t="n"/>
      <c r="F4277" s="55" t="n"/>
      <c r="G4277" s="56" t="n"/>
      <c r="H4277" s="55" t="n"/>
      <c r="I4277" s="62" t="n"/>
      <c r="J4277" s="58" t="n"/>
      <c r="K4277" s="63">
        <f>IF(tblMovement[[#This Row],[Source]]="","",IFERROR(INDEX(tblSources[Type],MATCH(tblMovement[[#This Row],[Source]],tblSources[Source],0)),"?"))</f>
        <v/>
      </c>
      <c r="L4277" s="63">
        <f>IF(tblMovement[[#This Row],[Destination]]="","",IFERROR(INDEX(tblDestinations[Type],MATCH(tblMovement[[#This Row],[Destination]],tblDestinations[Destination],0)),"?"))</f>
        <v/>
      </c>
      <c r="M4277" s="64">
        <f>IF(tblMovement[[#This Row],[Material]]="","",IF(LEFT(tblMovement[[#This Row],[Material]],3)="Ore",1,0))</f>
        <v/>
      </c>
      <c r="N4277" s="59">
        <f>IF(OR(tblMovement[[#This Row],[Tonnes_t]]="",tblMovement[[#This Row],[Grade_gpt]]=""),0,tblMovement[[#This Row],[Tonnes_t]]*tblMovement[[#This Row],[Grade_gpt]]/cfg_TroyOz)</f>
        <v/>
      </c>
      <c r="O4277" s="59">
        <f>IF(tblMovement[[#This Row],[Is_Ore]]=1,tblMovement[[#This Row],[Contained_oz]],0)</f>
        <v/>
      </c>
    </row>
    <row r="4278">
      <c r="A4278" s="54" t="n"/>
      <c r="B4278" s="61" t="n"/>
      <c r="C4278" s="61" t="n"/>
      <c r="D4278" s="61" t="n"/>
      <c r="E4278" s="61" t="n"/>
      <c r="F4278" s="55" t="n"/>
      <c r="G4278" s="56" t="n"/>
      <c r="H4278" s="55" t="n"/>
      <c r="I4278" s="62" t="n"/>
      <c r="J4278" s="58" t="n"/>
      <c r="K4278" s="63">
        <f>IF(tblMovement[[#This Row],[Source]]="","",IFERROR(INDEX(tblSources[Type],MATCH(tblMovement[[#This Row],[Source]],tblSources[Source],0)),"?"))</f>
        <v/>
      </c>
      <c r="L4278" s="63">
        <f>IF(tblMovement[[#This Row],[Destination]]="","",IFERROR(INDEX(tblDestinations[Type],MATCH(tblMovement[[#This Row],[Destination]],tblDestinations[Destination],0)),"?"))</f>
        <v/>
      </c>
      <c r="M4278" s="64">
        <f>IF(tblMovement[[#This Row],[Material]]="","",IF(LEFT(tblMovement[[#This Row],[Material]],3)="Ore",1,0))</f>
        <v/>
      </c>
      <c r="N4278" s="59">
        <f>IF(OR(tblMovement[[#This Row],[Tonnes_t]]="",tblMovement[[#This Row],[Grade_gpt]]=""),0,tblMovement[[#This Row],[Tonnes_t]]*tblMovement[[#This Row],[Grade_gpt]]/cfg_TroyOz)</f>
        <v/>
      </c>
      <c r="O4278" s="59">
        <f>IF(tblMovement[[#This Row],[Is_Ore]]=1,tblMovement[[#This Row],[Contained_oz]],0)</f>
        <v/>
      </c>
    </row>
    <row r="4279">
      <c r="A4279" s="54" t="n"/>
      <c r="B4279" s="61" t="n"/>
      <c r="C4279" s="61" t="n"/>
      <c r="D4279" s="61" t="n"/>
      <c r="E4279" s="61" t="n"/>
      <c r="F4279" s="55" t="n"/>
      <c r="G4279" s="56" t="n"/>
      <c r="H4279" s="55" t="n"/>
      <c r="I4279" s="62" t="n"/>
      <c r="J4279" s="58" t="n"/>
      <c r="K4279" s="63">
        <f>IF(tblMovement[[#This Row],[Source]]="","",IFERROR(INDEX(tblSources[Type],MATCH(tblMovement[[#This Row],[Source]],tblSources[Source],0)),"?"))</f>
        <v/>
      </c>
      <c r="L4279" s="63">
        <f>IF(tblMovement[[#This Row],[Destination]]="","",IFERROR(INDEX(tblDestinations[Type],MATCH(tblMovement[[#This Row],[Destination]],tblDestinations[Destination],0)),"?"))</f>
        <v/>
      </c>
      <c r="M4279" s="64">
        <f>IF(tblMovement[[#This Row],[Material]]="","",IF(LEFT(tblMovement[[#This Row],[Material]],3)="Ore",1,0))</f>
        <v/>
      </c>
      <c r="N4279" s="59">
        <f>IF(OR(tblMovement[[#This Row],[Tonnes_t]]="",tblMovement[[#This Row],[Grade_gpt]]=""),0,tblMovement[[#This Row],[Tonnes_t]]*tblMovement[[#This Row],[Grade_gpt]]/cfg_TroyOz)</f>
        <v/>
      </c>
      <c r="O4279" s="59">
        <f>IF(tblMovement[[#This Row],[Is_Ore]]=1,tblMovement[[#This Row],[Contained_oz]],0)</f>
        <v/>
      </c>
    </row>
    <row r="4280">
      <c r="A4280" s="54" t="n"/>
      <c r="B4280" s="61" t="n"/>
      <c r="C4280" s="61" t="n"/>
      <c r="D4280" s="61" t="n"/>
      <c r="E4280" s="61" t="n"/>
      <c r="F4280" s="55" t="n"/>
      <c r="G4280" s="56" t="n"/>
      <c r="H4280" s="55" t="n"/>
      <c r="I4280" s="62" t="n"/>
      <c r="J4280" s="58" t="n"/>
      <c r="K4280" s="63">
        <f>IF(tblMovement[[#This Row],[Source]]="","",IFERROR(INDEX(tblSources[Type],MATCH(tblMovement[[#This Row],[Source]],tblSources[Source],0)),"?"))</f>
        <v/>
      </c>
      <c r="L4280" s="63">
        <f>IF(tblMovement[[#This Row],[Destination]]="","",IFERROR(INDEX(tblDestinations[Type],MATCH(tblMovement[[#This Row],[Destination]],tblDestinations[Destination],0)),"?"))</f>
        <v/>
      </c>
      <c r="M4280" s="64">
        <f>IF(tblMovement[[#This Row],[Material]]="","",IF(LEFT(tblMovement[[#This Row],[Material]],3)="Ore",1,0))</f>
        <v/>
      </c>
      <c r="N4280" s="59">
        <f>IF(OR(tblMovement[[#This Row],[Tonnes_t]]="",tblMovement[[#This Row],[Grade_gpt]]=""),0,tblMovement[[#This Row],[Tonnes_t]]*tblMovement[[#This Row],[Grade_gpt]]/cfg_TroyOz)</f>
        <v/>
      </c>
      <c r="O4280" s="59">
        <f>IF(tblMovement[[#This Row],[Is_Ore]]=1,tblMovement[[#This Row],[Contained_oz]],0)</f>
        <v/>
      </c>
    </row>
    <row r="4281">
      <c r="A4281" s="54" t="n"/>
      <c r="B4281" s="61" t="n"/>
      <c r="C4281" s="61" t="n"/>
      <c r="D4281" s="61" t="n"/>
      <c r="E4281" s="61" t="n"/>
      <c r="F4281" s="55" t="n"/>
      <c r="G4281" s="56" t="n"/>
      <c r="H4281" s="55" t="n"/>
      <c r="I4281" s="62" t="n"/>
      <c r="J4281" s="58" t="n"/>
      <c r="K4281" s="63">
        <f>IF(tblMovement[[#This Row],[Source]]="","",IFERROR(INDEX(tblSources[Type],MATCH(tblMovement[[#This Row],[Source]],tblSources[Source],0)),"?"))</f>
        <v/>
      </c>
      <c r="L4281" s="63">
        <f>IF(tblMovement[[#This Row],[Destination]]="","",IFERROR(INDEX(tblDestinations[Type],MATCH(tblMovement[[#This Row],[Destination]],tblDestinations[Destination],0)),"?"))</f>
        <v/>
      </c>
      <c r="M4281" s="64">
        <f>IF(tblMovement[[#This Row],[Material]]="","",IF(LEFT(tblMovement[[#This Row],[Material]],3)="Ore",1,0))</f>
        <v/>
      </c>
      <c r="N4281" s="59">
        <f>IF(OR(tblMovement[[#This Row],[Tonnes_t]]="",tblMovement[[#This Row],[Grade_gpt]]=""),0,tblMovement[[#This Row],[Tonnes_t]]*tblMovement[[#This Row],[Grade_gpt]]/cfg_TroyOz)</f>
        <v/>
      </c>
      <c r="O4281" s="59">
        <f>IF(tblMovement[[#This Row],[Is_Ore]]=1,tblMovement[[#This Row],[Contained_oz]],0)</f>
        <v/>
      </c>
    </row>
    <row r="4282">
      <c r="A4282" s="54" t="n"/>
      <c r="B4282" s="61" t="n"/>
      <c r="C4282" s="61" t="n"/>
      <c r="D4282" s="61" t="n"/>
      <c r="E4282" s="61" t="n"/>
      <c r="F4282" s="55" t="n"/>
      <c r="G4282" s="56" t="n"/>
      <c r="H4282" s="55" t="n"/>
      <c r="I4282" s="62" t="n"/>
      <c r="J4282" s="58" t="n"/>
      <c r="K4282" s="63">
        <f>IF(tblMovement[[#This Row],[Source]]="","",IFERROR(INDEX(tblSources[Type],MATCH(tblMovement[[#This Row],[Source]],tblSources[Source],0)),"?"))</f>
        <v/>
      </c>
      <c r="L4282" s="63">
        <f>IF(tblMovement[[#This Row],[Destination]]="","",IFERROR(INDEX(tblDestinations[Type],MATCH(tblMovement[[#This Row],[Destination]],tblDestinations[Destination],0)),"?"))</f>
        <v/>
      </c>
      <c r="M4282" s="64">
        <f>IF(tblMovement[[#This Row],[Material]]="","",IF(LEFT(tblMovement[[#This Row],[Material]],3)="Ore",1,0))</f>
        <v/>
      </c>
      <c r="N4282" s="59">
        <f>IF(OR(tblMovement[[#This Row],[Tonnes_t]]="",tblMovement[[#This Row],[Grade_gpt]]=""),0,tblMovement[[#This Row],[Tonnes_t]]*tblMovement[[#This Row],[Grade_gpt]]/cfg_TroyOz)</f>
        <v/>
      </c>
      <c r="O4282" s="59">
        <f>IF(tblMovement[[#This Row],[Is_Ore]]=1,tblMovement[[#This Row],[Contained_oz]],0)</f>
        <v/>
      </c>
    </row>
    <row r="4283">
      <c r="A4283" s="54" t="n"/>
      <c r="B4283" s="61" t="n"/>
      <c r="C4283" s="61" t="n"/>
      <c r="D4283" s="61" t="n"/>
      <c r="E4283" s="61" t="n"/>
      <c r="F4283" s="55" t="n"/>
      <c r="G4283" s="56" t="n"/>
      <c r="H4283" s="55" t="n"/>
      <c r="I4283" s="62" t="n"/>
      <c r="J4283" s="58" t="n"/>
      <c r="K4283" s="63">
        <f>IF(tblMovement[[#This Row],[Source]]="","",IFERROR(INDEX(tblSources[Type],MATCH(tblMovement[[#This Row],[Source]],tblSources[Source],0)),"?"))</f>
        <v/>
      </c>
      <c r="L4283" s="63">
        <f>IF(tblMovement[[#This Row],[Destination]]="","",IFERROR(INDEX(tblDestinations[Type],MATCH(tblMovement[[#This Row],[Destination]],tblDestinations[Destination],0)),"?"))</f>
        <v/>
      </c>
      <c r="M4283" s="64">
        <f>IF(tblMovement[[#This Row],[Material]]="","",IF(LEFT(tblMovement[[#This Row],[Material]],3)="Ore",1,0))</f>
        <v/>
      </c>
      <c r="N4283" s="59">
        <f>IF(OR(tblMovement[[#This Row],[Tonnes_t]]="",tblMovement[[#This Row],[Grade_gpt]]=""),0,tblMovement[[#This Row],[Tonnes_t]]*tblMovement[[#This Row],[Grade_gpt]]/cfg_TroyOz)</f>
        <v/>
      </c>
      <c r="O4283" s="59">
        <f>IF(tblMovement[[#This Row],[Is_Ore]]=1,tblMovement[[#This Row],[Contained_oz]],0)</f>
        <v/>
      </c>
    </row>
    <row r="4284">
      <c r="A4284" s="54" t="n"/>
      <c r="B4284" s="61" t="n"/>
      <c r="C4284" s="61" t="n"/>
      <c r="D4284" s="61" t="n"/>
      <c r="E4284" s="61" t="n"/>
      <c r="F4284" s="55" t="n"/>
      <c r="G4284" s="56" t="n"/>
      <c r="H4284" s="55" t="n"/>
      <c r="I4284" s="62" t="n"/>
      <c r="J4284" s="58" t="n"/>
      <c r="K4284" s="63">
        <f>IF(tblMovement[[#This Row],[Source]]="","",IFERROR(INDEX(tblSources[Type],MATCH(tblMovement[[#This Row],[Source]],tblSources[Source],0)),"?"))</f>
        <v/>
      </c>
      <c r="L4284" s="63">
        <f>IF(tblMovement[[#This Row],[Destination]]="","",IFERROR(INDEX(tblDestinations[Type],MATCH(tblMovement[[#This Row],[Destination]],tblDestinations[Destination],0)),"?"))</f>
        <v/>
      </c>
      <c r="M4284" s="64">
        <f>IF(tblMovement[[#This Row],[Material]]="","",IF(LEFT(tblMovement[[#This Row],[Material]],3)="Ore",1,0))</f>
        <v/>
      </c>
      <c r="N4284" s="59">
        <f>IF(OR(tblMovement[[#This Row],[Tonnes_t]]="",tblMovement[[#This Row],[Grade_gpt]]=""),0,tblMovement[[#This Row],[Tonnes_t]]*tblMovement[[#This Row],[Grade_gpt]]/cfg_TroyOz)</f>
        <v/>
      </c>
      <c r="O4284" s="59">
        <f>IF(tblMovement[[#This Row],[Is_Ore]]=1,tblMovement[[#This Row],[Contained_oz]],0)</f>
        <v/>
      </c>
    </row>
    <row r="4285">
      <c r="A4285" s="54" t="n"/>
      <c r="B4285" s="61" t="n"/>
      <c r="C4285" s="61" t="n"/>
      <c r="D4285" s="61" t="n"/>
      <c r="E4285" s="61" t="n"/>
      <c r="F4285" s="55" t="n"/>
      <c r="G4285" s="56" t="n"/>
      <c r="H4285" s="55" t="n"/>
      <c r="I4285" s="62" t="n"/>
      <c r="J4285" s="58" t="n"/>
      <c r="K4285" s="63">
        <f>IF(tblMovement[[#This Row],[Source]]="","",IFERROR(INDEX(tblSources[Type],MATCH(tblMovement[[#This Row],[Source]],tblSources[Source],0)),"?"))</f>
        <v/>
      </c>
      <c r="L4285" s="63">
        <f>IF(tblMovement[[#This Row],[Destination]]="","",IFERROR(INDEX(tblDestinations[Type],MATCH(tblMovement[[#This Row],[Destination]],tblDestinations[Destination],0)),"?"))</f>
        <v/>
      </c>
      <c r="M4285" s="64">
        <f>IF(tblMovement[[#This Row],[Material]]="","",IF(LEFT(tblMovement[[#This Row],[Material]],3)="Ore",1,0))</f>
        <v/>
      </c>
      <c r="N4285" s="59">
        <f>IF(OR(tblMovement[[#This Row],[Tonnes_t]]="",tblMovement[[#This Row],[Grade_gpt]]=""),0,tblMovement[[#This Row],[Tonnes_t]]*tblMovement[[#This Row],[Grade_gpt]]/cfg_TroyOz)</f>
        <v/>
      </c>
      <c r="O4285" s="59">
        <f>IF(tblMovement[[#This Row],[Is_Ore]]=1,tblMovement[[#This Row],[Contained_oz]],0)</f>
        <v/>
      </c>
    </row>
    <row r="4286">
      <c r="A4286" s="54" t="n"/>
      <c r="B4286" s="61" t="n"/>
      <c r="C4286" s="61" t="n"/>
      <c r="D4286" s="61" t="n"/>
      <c r="E4286" s="61" t="n"/>
      <c r="F4286" s="55" t="n"/>
      <c r="G4286" s="56" t="n"/>
      <c r="H4286" s="55" t="n"/>
      <c r="I4286" s="62" t="n"/>
      <c r="J4286" s="58" t="n"/>
      <c r="K4286" s="63">
        <f>IF(tblMovement[[#This Row],[Source]]="","",IFERROR(INDEX(tblSources[Type],MATCH(tblMovement[[#This Row],[Source]],tblSources[Source],0)),"?"))</f>
        <v/>
      </c>
      <c r="L4286" s="63">
        <f>IF(tblMovement[[#This Row],[Destination]]="","",IFERROR(INDEX(tblDestinations[Type],MATCH(tblMovement[[#This Row],[Destination]],tblDestinations[Destination],0)),"?"))</f>
        <v/>
      </c>
      <c r="M4286" s="64">
        <f>IF(tblMovement[[#This Row],[Material]]="","",IF(LEFT(tblMovement[[#This Row],[Material]],3)="Ore",1,0))</f>
        <v/>
      </c>
      <c r="N4286" s="59">
        <f>IF(OR(tblMovement[[#This Row],[Tonnes_t]]="",tblMovement[[#This Row],[Grade_gpt]]=""),0,tblMovement[[#This Row],[Tonnes_t]]*tblMovement[[#This Row],[Grade_gpt]]/cfg_TroyOz)</f>
        <v/>
      </c>
      <c r="O4286" s="59">
        <f>IF(tblMovement[[#This Row],[Is_Ore]]=1,tblMovement[[#This Row],[Contained_oz]],0)</f>
        <v/>
      </c>
    </row>
    <row r="4287">
      <c r="A4287" s="54" t="n"/>
      <c r="B4287" s="61" t="n"/>
      <c r="C4287" s="61" t="n"/>
      <c r="D4287" s="61" t="n"/>
      <c r="E4287" s="61" t="n"/>
      <c r="F4287" s="55" t="n"/>
      <c r="G4287" s="56" t="n"/>
      <c r="H4287" s="55" t="n"/>
      <c r="I4287" s="62" t="n"/>
      <c r="J4287" s="58" t="n"/>
      <c r="K4287" s="63">
        <f>IF(tblMovement[[#This Row],[Source]]="","",IFERROR(INDEX(tblSources[Type],MATCH(tblMovement[[#This Row],[Source]],tblSources[Source],0)),"?"))</f>
        <v/>
      </c>
      <c r="L4287" s="63">
        <f>IF(tblMovement[[#This Row],[Destination]]="","",IFERROR(INDEX(tblDestinations[Type],MATCH(tblMovement[[#This Row],[Destination]],tblDestinations[Destination],0)),"?"))</f>
        <v/>
      </c>
      <c r="M4287" s="64">
        <f>IF(tblMovement[[#This Row],[Material]]="","",IF(LEFT(tblMovement[[#This Row],[Material]],3)="Ore",1,0))</f>
        <v/>
      </c>
      <c r="N4287" s="59">
        <f>IF(OR(tblMovement[[#This Row],[Tonnes_t]]="",tblMovement[[#This Row],[Grade_gpt]]=""),0,tblMovement[[#This Row],[Tonnes_t]]*tblMovement[[#This Row],[Grade_gpt]]/cfg_TroyOz)</f>
        <v/>
      </c>
      <c r="O4287" s="59">
        <f>IF(tblMovement[[#This Row],[Is_Ore]]=1,tblMovement[[#This Row],[Contained_oz]],0)</f>
        <v/>
      </c>
    </row>
    <row r="4288">
      <c r="A4288" s="54" t="n"/>
      <c r="B4288" s="61" t="n"/>
      <c r="C4288" s="61" t="n"/>
      <c r="D4288" s="61" t="n"/>
      <c r="E4288" s="61" t="n"/>
      <c r="F4288" s="55" t="n"/>
      <c r="G4288" s="56" t="n"/>
      <c r="H4288" s="55" t="n"/>
      <c r="I4288" s="62" t="n"/>
      <c r="J4288" s="58" t="n"/>
      <c r="K4288" s="63">
        <f>IF(tblMovement[[#This Row],[Source]]="","",IFERROR(INDEX(tblSources[Type],MATCH(tblMovement[[#This Row],[Source]],tblSources[Source],0)),"?"))</f>
        <v/>
      </c>
      <c r="L4288" s="63">
        <f>IF(tblMovement[[#This Row],[Destination]]="","",IFERROR(INDEX(tblDestinations[Type],MATCH(tblMovement[[#This Row],[Destination]],tblDestinations[Destination],0)),"?"))</f>
        <v/>
      </c>
      <c r="M4288" s="64">
        <f>IF(tblMovement[[#This Row],[Material]]="","",IF(LEFT(tblMovement[[#This Row],[Material]],3)="Ore",1,0))</f>
        <v/>
      </c>
      <c r="N4288" s="59">
        <f>IF(OR(tblMovement[[#This Row],[Tonnes_t]]="",tblMovement[[#This Row],[Grade_gpt]]=""),0,tblMovement[[#This Row],[Tonnes_t]]*tblMovement[[#This Row],[Grade_gpt]]/cfg_TroyOz)</f>
        <v/>
      </c>
      <c r="O4288" s="59">
        <f>IF(tblMovement[[#This Row],[Is_Ore]]=1,tblMovement[[#This Row],[Contained_oz]],0)</f>
        <v/>
      </c>
    </row>
    <row r="4289">
      <c r="A4289" s="54" t="n"/>
      <c r="B4289" s="61" t="n"/>
      <c r="C4289" s="61" t="n"/>
      <c r="D4289" s="61" t="n"/>
      <c r="E4289" s="61" t="n"/>
      <c r="F4289" s="55" t="n"/>
      <c r="G4289" s="56" t="n"/>
      <c r="H4289" s="55" t="n"/>
      <c r="I4289" s="62" t="n"/>
      <c r="J4289" s="58" t="n"/>
      <c r="K4289" s="63">
        <f>IF(tblMovement[[#This Row],[Source]]="","",IFERROR(INDEX(tblSources[Type],MATCH(tblMovement[[#This Row],[Source]],tblSources[Source],0)),"?"))</f>
        <v/>
      </c>
      <c r="L4289" s="63">
        <f>IF(tblMovement[[#This Row],[Destination]]="","",IFERROR(INDEX(tblDestinations[Type],MATCH(tblMovement[[#This Row],[Destination]],tblDestinations[Destination],0)),"?"))</f>
        <v/>
      </c>
      <c r="M4289" s="64">
        <f>IF(tblMovement[[#This Row],[Material]]="","",IF(LEFT(tblMovement[[#This Row],[Material]],3)="Ore",1,0))</f>
        <v/>
      </c>
      <c r="N4289" s="59">
        <f>IF(OR(tblMovement[[#This Row],[Tonnes_t]]="",tblMovement[[#This Row],[Grade_gpt]]=""),0,tblMovement[[#This Row],[Tonnes_t]]*tblMovement[[#This Row],[Grade_gpt]]/cfg_TroyOz)</f>
        <v/>
      </c>
      <c r="O4289" s="59">
        <f>IF(tblMovement[[#This Row],[Is_Ore]]=1,tblMovement[[#This Row],[Contained_oz]],0)</f>
        <v/>
      </c>
    </row>
    <row r="4290">
      <c r="A4290" s="54" t="n"/>
      <c r="B4290" s="61" t="n"/>
      <c r="C4290" s="61" t="n"/>
      <c r="D4290" s="61" t="n"/>
      <c r="E4290" s="61" t="n"/>
      <c r="F4290" s="55" t="n"/>
      <c r="G4290" s="56" t="n"/>
      <c r="H4290" s="55" t="n"/>
      <c r="I4290" s="62" t="n"/>
      <c r="J4290" s="58" t="n"/>
      <c r="K4290" s="63">
        <f>IF(tblMovement[[#This Row],[Source]]="","",IFERROR(INDEX(tblSources[Type],MATCH(tblMovement[[#This Row],[Source]],tblSources[Source],0)),"?"))</f>
        <v/>
      </c>
      <c r="L4290" s="63">
        <f>IF(tblMovement[[#This Row],[Destination]]="","",IFERROR(INDEX(tblDestinations[Type],MATCH(tblMovement[[#This Row],[Destination]],tblDestinations[Destination],0)),"?"))</f>
        <v/>
      </c>
      <c r="M4290" s="64">
        <f>IF(tblMovement[[#This Row],[Material]]="","",IF(LEFT(tblMovement[[#This Row],[Material]],3)="Ore",1,0))</f>
        <v/>
      </c>
      <c r="N4290" s="59">
        <f>IF(OR(tblMovement[[#This Row],[Tonnes_t]]="",tblMovement[[#This Row],[Grade_gpt]]=""),0,tblMovement[[#This Row],[Tonnes_t]]*tblMovement[[#This Row],[Grade_gpt]]/cfg_TroyOz)</f>
        <v/>
      </c>
      <c r="O4290" s="59">
        <f>IF(tblMovement[[#This Row],[Is_Ore]]=1,tblMovement[[#This Row],[Contained_oz]],0)</f>
        <v/>
      </c>
    </row>
    <row r="4291">
      <c r="A4291" s="54" t="n"/>
      <c r="B4291" s="61" t="n"/>
      <c r="C4291" s="61" t="n"/>
      <c r="D4291" s="61" t="n"/>
      <c r="E4291" s="61" t="n"/>
      <c r="F4291" s="55" t="n"/>
      <c r="G4291" s="56" t="n"/>
      <c r="H4291" s="55" t="n"/>
      <c r="I4291" s="62" t="n"/>
      <c r="J4291" s="58" t="n"/>
      <c r="K4291" s="63">
        <f>IF(tblMovement[[#This Row],[Source]]="","",IFERROR(INDEX(tblSources[Type],MATCH(tblMovement[[#This Row],[Source]],tblSources[Source],0)),"?"))</f>
        <v/>
      </c>
      <c r="L4291" s="63">
        <f>IF(tblMovement[[#This Row],[Destination]]="","",IFERROR(INDEX(tblDestinations[Type],MATCH(tblMovement[[#This Row],[Destination]],tblDestinations[Destination],0)),"?"))</f>
        <v/>
      </c>
      <c r="M4291" s="64">
        <f>IF(tblMovement[[#This Row],[Material]]="","",IF(LEFT(tblMovement[[#This Row],[Material]],3)="Ore",1,0))</f>
        <v/>
      </c>
      <c r="N4291" s="59">
        <f>IF(OR(tblMovement[[#This Row],[Tonnes_t]]="",tblMovement[[#This Row],[Grade_gpt]]=""),0,tblMovement[[#This Row],[Tonnes_t]]*tblMovement[[#This Row],[Grade_gpt]]/cfg_TroyOz)</f>
        <v/>
      </c>
      <c r="O4291" s="59">
        <f>IF(tblMovement[[#This Row],[Is_Ore]]=1,tblMovement[[#This Row],[Contained_oz]],0)</f>
        <v/>
      </c>
    </row>
    <row r="4292">
      <c r="A4292" s="54" t="n"/>
      <c r="B4292" s="61" t="n"/>
      <c r="C4292" s="61" t="n"/>
      <c r="D4292" s="61" t="n"/>
      <c r="E4292" s="61" t="n"/>
      <c r="F4292" s="55" t="n"/>
      <c r="G4292" s="56" t="n"/>
      <c r="H4292" s="55" t="n"/>
      <c r="I4292" s="62" t="n"/>
      <c r="J4292" s="58" t="n"/>
      <c r="K4292" s="63">
        <f>IF(tblMovement[[#This Row],[Source]]="","",IFERROR(INDEX(tblSources[Type],MATCH(tblMovement[[#This Row],[Source]],tblSources[Source],0)),"?"))</f>
        <v/>
      </c>
      <c r="L4292" s="63">
        <f>IF(tblMovement[[#This Row],[Destination]]="","",IFERROR(INDEX(tblDestinations[Type],MATCH(tblMovement[[#This Row],[Destination]],tblDestinations[Destination],0)),"?"))</f>
        <v/>
      </c>
      <c r="M4292" s="64">
        <f>IF(tblMovement[[#This Row],[Material]]="","",IF(LEFT(tblMovement[[#This Row],[Material]],3)="Ore",1,0))</f>
        <v/>
      </c>
      <c r="N4292" s="59">
        <f>IF(OR(tblMovement[[#This Row],[Tonnes_t]]="",tblMovement[[#This Row],[Grade_gpt]]=""),0,tblMovement[[#This Row],[Tonnes_t]]*tblMovement[[#This Row],[Grade_gpt]]/cfg_TroyOz)</f>
        <v/>
      </c>
      <c r="O4292" s="59">
        <f>IF(tblMovement[[#This Row],[Is_Ore]]=1,tblMovement[[#This Row],[Contained_oz]],0)</f>
        <v/>
      </c>
    </row>
    <row r="4293">
      <c r="A4293" s="54" t="n"/>
      <c r="B4293" s="61" t="n"/>
      <c r="C4293" s="61" t="n"/>
      <c r="D4293" s="61" t="n"/>
      <c r="E4293" s="61" t="n"/>
      <c r="F4293" s="55" t="n"/>
      <c r="G4293" s="56" t="n"/>
      <c r="H4293" s="55" t="n"/>
      <c r="I4293" s="62" t="n"/>
      <c r="J4293" s="58" t="n"/>
      <c r="K4293" s="63">
        <f>IF(tblMovement[[#This Row],[Source]]="","",IFERROR(INDEX(tblSources[Type],MATCH(tblMovement[[#This Row],[Source]],tblSources[Source],0)),"?"))</f>
        <v/>
      </c>
      <c r="L4293" s="63">
        <f>IF(tblMovement[[#This Row],[Destination]]="","",IFERROR(INDEX(tblDestinations[Type],MATCH(tblMovement[[#This Row],[Destination]],tblDestinations[Destination],0)),"?"))</f>
        <v/>
      </c>
      <c r="M4293" s="64">
        <f>IF(tblMovement[[#This Row],[Material]]="","",IF(LEFT(tblMovement[[#This Row],[Material]],3)="Ore",1,0))</f>
        <v/>
      </c>
      <c r="N4293" s="59">
        <f>IF(OR(tblMovement[[#This Row],[Tonnes_t]]="",tblMovement[[#This Row],[Grade_gpt]]=""),0,tblMovement[[#This Row],[Tonnes_t]]*tblMovement[[#This Row],[Grade_gpt]]/cfg_TroyOz)</f>
        <v/>
      </c>
      <c r="O4293" s="59">
        <f>IF(tblMovement[[#This Row],[Is_Ore]]=1,tblMovement[[#This Row],[Contained_oz]],0)</f>
        <v/>
      </c>
    </row>
    <row r="4294">
      <c r="A4294" s="54" t="n"/>
      <c r="B4294" s="61" t="n"/>
      <c r="C4294" s="61" t="n"/>
      <c r="D4294" s="61" t="n"/>
      <c r="E4294" s="61" t="n"/>
      <c r="F4294" s="55" t="n"/>
      <c r="G4294" s="56" t="n"/>
      <c r="H4294" s="55" t="n"/>
      <c r="I4294" s="62" t="n"/>
      <c r="J4294" s="58" t="n"/>
      <c r="K4294" s="63">
        <f>IF(tblMovement[[#This Row],[Source]]="","",IFERROR(INDEX(tblSources[Type],MATCH(tblMovement[[#This Row],[Source]],tblSources[Source],0)),"?"))</f>
        <v/>
      </c>
      <c r="L4294" s="63">
        <f>IF(tblMovement[[#This Row],[Destination]]="","",IFERROR(INDEX(tblDestinations[Type],MATCH(tblMovement[[#This Row],[Destination]],tblDestinations[Destination],0)),"?"))</f>
        <v/>
      </c>
      <c r="M4294" s="64">
        <f>IF(tblMovement[[#This Row],[Material]]="","",IF(LEFT(tblMovement[[#This Row],[Material]],3)="Ore",1,0))</f>
        <v/>
      </c>
      <c r="N4294" s="59">
        <f>IF(OR(tblMovement[[#This Row],[Tonnes_t]]="",tblMovement[[#This Row],[Grade_gpt]]=""),0,tblMovement[[#This Row],[Tonnes_t]]*tblMovement[[#This Row],[Grade_gpt]]/cfg_TroyOz)</f>
        <v/>
      </c>
      <c r="O4294" s="59">
        <f>IF(tblMovement[[#This Row],[Is_Ore]]=1,tblMovement[[#This Row],[Contained_oz]],0)</f>
        <v/>
      </c>
    </row>
    <row r="4295">
      <c r="A4295" s="54" t="n"/>
      <c r="B4295" s="61" t="n"/>
      <c r="C4295" s="61" t="n"/>
      <c r="D4295" s="61" t="n"/>
      <c r="E4295" s="61" t="n"/>
      <c r="F4295" s="55" t="n"/>
      <c r="G4295" s="56" t="n"/>
      <c r="H4295" s="55" t="n"/>
      <c r="I4295" s="62" t="n"/>
      <c r="J4295" s="58" t="n"/>
      <c r="K4295" s="63">
        <f>IF(tblMovement[[#This Row],[Source]]="","",IFERROR(INDEX(tblSources[Type],MATCH(tblMovement[[#This Row],[Source]],tblSources[Source],0)),"?"))</f>
        <v/>
      </c>
      <c r="L4295" s="63">
        <f>IF(tblMovement[[#This Row],[Destination]]="","",IFERROR(INDEX(tblDestinations[Type],MATCH(tblMovement[[#This Row],[Destination]],tblDestinations[Destination],0)),"?"))</f>
        <v/>
      </c>
      <c r="M4295" s="64">
        <f>IF(tblMovement[[#This Row],[Material]]="","",IF(LEFT(tblMovement[[#This Row],[Material]],3)="Ore",1,0))</f>
        <v/>
      </c>
      <c r="N4295" s="59">
        <f>IF(OR(tblMovement[[#This Row],[Tonnes_t]]="",tblMovement[[#This Row],[Grade_gpt]]=""),0,tblMovement[[#This Row],[Tonnes_t]]*tblMovement[[#This Row],[Grade_gpt]]/cfg_TroyOz)</f>
        <v/>
      </c>
      <c r="O4295" s="59">
        <f>IF(tblMovement[[#This Row],[Is_Ore]]=1,tblMovement[[#This Row],[Contained_oz]],0)</f>
        <v/>
      </c>
    </row>
    <row r="4296">
      <c r="A4296" s="54" t="n"/>
      <c r="B4296" s="61" t="n"/>
      <c r="C4296" s="61" t="n"/>
      <c r="D4296" s="61" t="n"/>
      <c r="E4296" s="61" t="n"/>
      <c r="F4296" s="55" t="n"/>
      <c r="G4296" s="56" t="n"/>
      <c r="H4296" s="55" t="n"/>
      <c r="I4296" s="62" t="n"/>
      <c r="J4296" s="58" t="n"/>
      <c r="K4296" s="63">
        <f>IF(tblMovement[[#This Row],[Source]]="","",IFERROR(INDEX(tblSources[Type],MATCH(tblMovement[[#This Row],[Source]],tblSources[Source],0)),"?"))</f>
        <v/>
      </c>
      <c r="L4296" s="63">
        <f>IF(tblMovement[[#This Row],[Destination]]="","",IFERROR(INDEX(tblDestinations[Type],MATCH(tblMovement[[#This Row],[Destination]],tblDestinations[Destination],0)),"?"))</f>
        <v/>
      </c>
      <c r="M4296" s="64">
        <f>IF(tblMovement[[#This Row],[Material]]="","",IF(LEFT(tblMovement[[#This Row],[Material]],3)="Ore",1,0))</f>
        <v/>
      </c>
      <c r="N4296" s="59">
        <f>IF(OR(tblMovement[[#This Row],[Tonnes_t]]="",tblMovement[[#This Row],[Grade_gpt]]=""),0,tblMovement[[#This Row],[Tonnes_t]]*tblMovement[[#This Row],[Grade_gpt]]/cfg_TroyOz)</f>
        <v/>
      </c>
      <c r="O4296" s="59">
        <f>IF(tblMovement[[#This Row],[Is_Ore]]=1,tblMovement[[#This Row],[Contained_oz]],0)</f>
        <v/>
      </c>
    </row>
    <row r="4297">
      <c r="A4297" s="54" t="n"/>
      <c r="B4297" s="61" t="n"/>
      <c r="C4297" s="61" t="n"/>
      <c r="D4297" s="61" t="n"/>
      <c r="E4297" s="61" t="n"/>
      <c r="F4297" s="55" t="n"/>
      <c r="G4297" s="56" t="n"/>
      <c r="H4297" s="55" t="n"/>
      <c r="I4297" s="62" t="n"/>
      <c r="J4297" s="58" t="n"/>
      <c r="K4297" s="63">
        <f>IF(tblMovement[[#This Row],[Source]]="","",IFERROR(INDEX(tblSources[Type],MATCH(tblMovement[[#This Row],[Source]],tblSources[Source],0)),"?"))</f>
        <v/>
      </c>
      <c r="L4297" s="63">
        <f>IF(tblMovement[[#This Row],[Destination]]="","",IFERROR(INDEX(tblDestinations[Type],MATCH(tblMovement[[#This Row],[Destination]],tblDestinations[Destination],0)),"?"))</f>
        <v/>
      </c>
      <c r="M4297" s="64">
        <f>IF(tblMovement[[#This Row],[Material]]="","",IF(LEFT(tblMovement[[#This Row],[Material]],3)="Ore",1,0))</f>
        <v/>
      </c>
      <c r="N4297" s="59">
        <f>IF(OR(tblMovement[[#This Row],[Tonnes_t]]="",tblMovement[[#This Row],[Grade_gpt]]=""),0,tblMovement[[#This Row],[Tonnes_t]]*tblMovement[[#This Row],[Grade_gpt]]/cfg_TroyOz)</f>
        <v/>
      </c>
      <c r="O4297" s="59">
        <f>IF(tblMovement[[#This Row],[Is_Ore]]=1,tblMovement[[#This Row],[Contained_oz]],0)</f>
        <v/>
      </c>
    </row>
    <row r="4298">
      <c r="A4298" s="54" t="n"/>
      <c r="B4298" s="61" t="n"/>
      <c r="C4298" s="61" t="n"/>
      <c r="D4298" s="61" t="n"/>
      <c r="E4298" s="61" t="n"/>
      <c r="F4298" s="55" t="n"/>
      <c r="G4298" s="56" t="n"/>
      <c r="H4298" s="55" t="n"/>
      <c r="I4298" s="62" t="n"/>
      <c r="J4298" s="58" t="n"/>
      <c r="K4298" s="63">
        <f>IF(tblMovement[[#This Row],[Source]]="","",IFERROR(INDEX(tblSources[Type],MATCH(tblMovement[[#This Row],[Source]],tblSources[Source],0)),"?"))</f>
        <v/>
      </c>
      <c r="L4298" s="63">
        <f>IF(tblMovement[[#This Row],[Destination]]="","",IFERROR(INDEX(tblDestinations[Type],MATCH(tblMovement[[#This Row],[Destination]],tblDestinations[Destination],0)),"?"))</f>
        <v/>
      </c>
      <c r="M4298" s="64">
        <f>IF(tblMovement[[#This Row],[Material]]="","",IF(LEFT(tblMovement[[#This Row],[Material]],3)="Ore",1,0))</f>
        <v/>
      </c>
      <c r="N4298" s="59">
        <f>IF(OR(tblMovement[[#This Row],[Tonnes_t]]="",tblMovement[[#This Row],[Grade_gpt]]=""),0,tblMovement[[#This Row],[Tonnes_t]]*tblMovement[[#This Row],[Grade_gpt]]/cfg_TroyOz)</f>
        <v/>
      </c>
      <c r="O4298" s="59">
        <f>IF(tblMovement[[#This Row],[Is_Ore]]=1,tblMovement[[#This Row],[Contained_oz]],0)</f>
        <v/>
      </c>
    </row>
    <row r="4299">
      <c r="A4299" s="54" t="n"/>
      <c r="B4299" s="61" t="n"/>
      <c r="C4299" s="61" t="n"/>
      <c r="D4299" s="61" t="n"/>
      <c r="E4299" s="61" t="n"/>
      <c r="F4299" s="55" t="n"/>
      <c r="G4299" s="56" t="n"/>
      <c r="H4299" s="55" t="n"/>
      <c r="I4299" s="62" t="n"/>
      <c r="J4299" s="58" t="n"/>
      <c r="K4299" s="63">
        <f>IF(tblMovement[[#This Row],[Source]]="","",IFERROR(INDEX(tblSources[Type],MATCH(tblMovement[[#This Row],[Source]],tblSources[Source],0)),"?"))</f>
        <v/>
      </c>
      <c r="L4299" s="63">
        <f>IF(tblMovement[[#This Row],[Destination]]="","",IFERROR(INDEX(tblDestinations[Type],MATCH(tblMovement[[#This Row],[Destination]],tblDestinations[Destination],0)),"?"))</f>
        <v/>
      </c>
      <c r="M4299" s="64">
        <f>IF(tblMovement[[#This Row],[Material]]="","",IF(LEFT(tblMovement[[#This Row],[Material]],3)="Ore",1,0))</f>
        <v/>
      </c>
      <c r="N4299" s="59">
        <f>IF(OR(tblMovement[[#This Row],[Tonnes_t]]="",tblMovement[[#This Row],[Grade_gpt]]=""),0,tblMovement[[#This Row],[Tonnes_t]]*tblMovement[[#This Row],[Grade_gpt]]/cfg_TroyOz)</f>
        <v/>
      </c>
      <c r="O4299" s="59">
        <f>IF(tblMovement[[#This Row],[Is_Ore]]=1,tblMovement[[#This Row],[Contained_oz]],0)</f>
        <v/>
      </c>
    </row>
    <row r="4300">
      <c r="A4300" s="54" t="n"/>
      <c r="B4300" s="61" t="n"/>
      <c r="C4300" s="61" t="n"/>
      <c r="D4300" s="61" t="n"/>
      <c r="E4300" s="61" t="n"/>
      <c r="F4300" s="55" t="n"/>
      <c r="G4300" s="56" t="n"/>
      <c r="H4300" s="55" t="n"/>
      <c r="I4300" s="62" t="n"/>
      <c r="J4300" s="58" t="n"/>
      <c r="K4300" s="63">
        <f>IF(tblMovement[[#This Row],[Source]]="","",IFERROR(INDEX(tblSources[Type],MATCH(tblMovement[[#This Row],[Source]],tblSources[Source],0)),"?"))</f>
        <v/>
      </c>
      <c r="L4300" s="63">
        <f>IF(tblMovement[[#This Row],[Destination]]="","",IFERROR(INDEX(tblDestinations[Type],MATCH(tblMovement[[#This Row],[Destination]],tblDestinations[Destination],0)),"?"))</f>
        <v/>
      </c>
      <c r="M4300" s="64">
        <f>IF(tblMovement[[#This Row],[Material]]="","",IF(LEFT(tblMovement[[#This Row],[Material]],3)="Ore",1,0))</f>
        <v/>
      </c>
      <c r="N4300" s="59">
        <f>IF(OR(tblMovement[[#This Row],[Tonnes_t]]="",tblMovement[[#This Row],[Grade_gpt]]=""),0,tblMovement[[#This Row],[Tonnes_t]]*tblMovement[[#This Row],[Grade_gpt]]/cfg_TroyOz)</f>
        <v/>
      </c>
      <c r="O4300" s="59">
        <f>IF(tblMovement[[#This Row],[Is_Ore]]=1,tblMovement[[#This Row],[Contained_oz]],0)</f>
        <v/>
      </c>
    </row>
    <row r="4301">
      <c r="A4301" s="54" t="n"/>
      <c r="B4301" s="61" t="n"/>
      <c r="C4301" s="61" t="n"/>
      <c r="D4301" s="61" t="n"/>
      <c r="E4301" s="61" t="n"/>
      <c r="F4301" s="55" t="n"/>
      <c r="G4301" s="56" t="n"/>
      <c r="H4301" s="55" t="n"/>
      <c r="I4301" s="62" t="n"/>
      <c r="J4301" s="58" t="n"/>
      <c r="K4301" s="63">
        <f>IF(tblMovement[[#This Row],[Source]]="","",IFERROR(INDEX(tblSources[Type],MATCH(tblMovement[[#This Row],[Source]],tblSources[Source],0)),"?"))</f>
        <v/>
      </c>
      <c r="L4301" s="63">
        <f>IF(tblMovement[[#This Row],[Destination]]="","",IFERROR(INDEX(tblDestinations[Type],MATCH(tblMovement[[#This Row],[Destination]],tblDestinations[Destination],0)),"?"))</f>
        <v/>
      </c>
      <c r="M4301" s="64">
        <f>IF(tblMovement[[#This Row],[Material]]="","",IF(LEFT(tblMovement[[#This Row],[Material]],3)="Ore",1,0))</f>
        <v/>
      </c>
      <c r="N4301" s="59">
        <f>IF(OR(tblMovement[[#This Row],[Tonnes_t]]="",tblMovement[[#This Row],[Grade_gpt]]=""),0,tblMovement[[#This Row],[Tonnes_t]]*tblMovement[[#This Row],[Grade_gpt]]/cfg_TroyOz)</f>
        <v/>
      </c>
      <c r="O4301" s="59">
        <f>IF(tblMovement[[#This Row],[Is_Ore]]=1,tblMovement[[#This Row],[Contained_oz]],0)</f>
        <v/>
      </c>
    </row>
    <row r="4302">
      <c r="A4302" s="54" t="n"/>
      <c r="B4302" s="61" t="n"/>
      <c r="C4302" s="61" t="n"/>
      <c r="D4302" s="61" t="n"/>
      <c r="E4302" s="61" t="n"/>
      <c r="F4302" s="55" t="n"/>
      <c r="G4302" s="56" t="n"/>
      <c r="H4302" s="55" t="n"/>
      <c r="I4302" s="62" t="n"/>
      <c r="J4302" s="58" t="n"/>
      <c r="K4302" s="63">
        <f>IF(tblMovement[[#This Row],[Source]]="","",IFERROR(INDEX(tblSources[Type],MATCH(tblMovement[[#This Row],[Source]],tblSources[Source],0)),"?"))</f>
        <v/>
      </c>
      <c r="L4302" s="63">
        <f>IF(tblMovement[[#This Row],[Destination]]="","",IFERROR(INDEX(tblDestinations[Type],MATCH(tblMovement[[#This Row],[Destination]],tblDestinations[Destination],0)),"?"))</f>
        <v/>
      </c>
      <c r="M4302" s="64">
        <f>IF(tblMovement[[#This Row],[Material]]="","",IF(LEFT(tblMovement[[#This Row],[Material]],3)="Ore",1,0))</f>
        <v/>
      </c>
      <c r="N4302" s="59">
        <f>IF(OR(tblMovement[[#This Row],[Tonnes_t]]="",tblMovement[[#This Row],[Grade_gpt]]=""),0,tblMovement[[#This Row],[Tonnes_t]]*tblMovement[[#This Row],[Grade_gpt]]/cfg_TroyOz)</f>
        <v/>
      </c>
      <c r="O4302" s="59">
        <f>IF(tblMovement[[#This Row],[Is_Ore]]=1,tblMovement[[#This Row],[Contained_oz]],0)</f>
        <v/>
      </c>
    </row>
    <row r="4303">
      <c r="A4303" s="54" t="n"/>
      <c r="B4303" s="61" t="n"/>
      <c r="C4303" s="61" t="n"/>
      <c r="D4303" s="61" t="n"/>
      <c r="E4303" s="61" t="n"/>
      <c r="F4303" s="55" t="n"/>
      <c r="G4303" s="56" t="n"/>
      <c r="H4303" s="55" t="n"/>
      <c r="I4303" s="62" t="n"/>
      <c r="J4303" s="58" t="n"/>
      <c r="K4303" s="63">
        <f>IF(tblMovement[[#This Row],[Source]]="","",IFERROR(INDEX(tblSources[Type],MATCH(tblMovement[[#This Row],[Source]],tblSources[Source],0)),"?"))</f>
        <v/>
      </c>
      <c r="L4303" s="63">
        <f>IF(tblMovement[[#This Row],[Destination]]="","",IFERROR(INDEX(tblDestinations[Type],MATCH(tblMovement[[#This Row],[Destination]],tblDestinations[Destination],0)),"?"))</f>
        <v/>
      </c>
      <c r="M4303" s="64">
        <f>IF(tblMovement[[#This Row],[Material]]="","",IF(LEFT(tblMovement[[#This Row],[Material]],3)="Ore",1,0))</f>
        <v/>
      </c>
      <c r="N4303" s="59">
        <f>IF(OR(tblMovement[[#This Row],[Tonnes_t]]="",tblMovement[[#This Row],[Grade_gpt]]=""),0,tblMovement[[#This Row],[Tonnes_t]]*tblMovement[[#This Row],[Grade_gpt]]/cfg_TroyOz)</f>
        <v/>
      </c>
      <c r="O4303" s="59">
        <f>IF(tblMovement[[#This Row],[Is_Ore]]=1,tblMovement[[#This Row],[Contained_oz]],0)</f>
        <v/>
      </c>
    </row>
    <row r="4304">
      <c r="A4304" s="54" t="n"/>
      <c r="B4304" s="61" t="n"/>
      <c r="C4304" s="61" t="n"/>
      <c r="D4304" s="61" t="n"/>
      <c r="E4304" s="61" t="n"/>
      <c r="F4304" s="55" t="n"/>
      <c r="G4304" s="56" t="n"/>
      <c r="H4304" s="55" t="n"/>
      <c r="I4304" s="62" t="n"/>
      <c r="J4304" s="58" t="n"/>
      <c r="K4304" s="63">
        <f>IF(tblMovement[[#This Row],[Source]]="","",IFERROR(INDEX(tblSources[Type],MATCH(tblMovement[[#This Row],[Source]],tblSources[Source],0)),"?"))</f>
        <v/>
      </c>
      <c r="L4304" s="63">
        <f>IF(tblMovement[[#This Row],[Destination]]="","",IFERROR(INDEX(tblDestinations[Type],MATCH(tblMovement[[#This Row],[Destination]],tblDestinations[Destination],0)),"?"))</f>
        <v/>
      </c>
      <c r="M4304" s="64">
        <f>IF(tblMovement[[#This Row],[Material]]="","",IF(LEFT(tblMovement[[#This Row],[Material]],3)="Ore",1,0))</f>
        <v/>
      </c>
      <c r="N4304" s="59">
        <f>IF(OR(tblMovement[[#This Row],[Tonnes_t]]="",tblMovement[[#This Row],[Grade_gpt]]=""),0,tblMovement[[#This Row],[Tonnes_t]]*tblMovement[[#This Row],[Grade_gpt]]/cfg_TroyOz)</f>
        <v/>
      </c>
      <c r="O4304" s="59">
        <f>IF(tblMovement[[#This Row],[Is_Ore]]=1,tblMovement[[#This Row],[Contained_oz]],0)</f>
        <v/>
      </c>
    </row>
    <row r="4305">
      <c r="A4305" s="54" t="n"/>
      <c r="B4305" s="61" t="n"/>
      <c r="C4305" s="61" t="n"/>
      <c r="D4305" s="61" t="n"/>
      <c r="E4305" s="61" t="n"/>
      <c r="F4305" s="55" t="n"/>
      <c r="G4305" s="56" t="n"/>
      <c r="H4305" s="55" t="n"/>
      <c r="I4305" s="62" t="n"/>
      <c r="J4305" s="58" t="n"/>
      <c r="K4305" s="63">
        <f>IF(tblMovement[[#This Row],[Source]]="","",IFERROR(INDEX(tblSources[Type],MATCH(tblMovement[[#This Row],[Source]],tblSources[Source],0)),"?"))</f>
        <v/>
      </c>
      <c r="L4305" s="63">
        <f>IF(tblMovement[[#This Row],[Destination]]="","",IFERROR(INDEX(tblDestinations[Type],MATCH(tblMovement[[#This Row],[Destination]],tblDestinations[Destination],0)),"?"))</f>
        <v/>
      </c>
      <c r="M4305" s="64">
        <f>IF(tblMovement[[#This Row],[Material]]="","",IF(LEFT(tblMovement[[#This Row],[Material]],3)="Ore",1,0))</f>
        <v/>
      </c>
      <c r="N4305" s="59">
        <f>IF(OR(tblMovement[[#This Row],[Tonnes_t]]="",tblMovement[[#This Row],[Grade_gpt]]=""),0,tblMovement[[#This Row],[Tonnes_t]]*tblMovement[[#This Row],[Grade_gpt]]/cfg_TroyOz)</f>
        <v/>
      </c>
      <c r="O4305" s="59">
        <f>IF(tblMovement[[#This Row],[Is_Ore]]=1,tblMovement[[#This Row],[Contained_oz]],0)</f>
        <v/>
      </c>
    </row>
    <row r="4306">
      <c r="A4306" s="54" t="n"/>
      <c r="B4306" s="61" t="n"/>
      <c r="C4306" s="61" t="n"/>
      <c r="D4306" s="61" t="n"/>
      <c r="E4306" s="61" t="n"/>
      <c r="F4306" s="55" t="n"/>
      <c r="G4306" s="56" t="n"/>
      <c r="H4306" s="55" t="n"/>
      <c r="I4306" s="62" t="n"/>
      <c r="J4306" s="58" t="n"/>
      <c r="K4306" s="63">
        <f>IF(tblMovement[[#This Row],[Source]]="","",IFERROR(INDEX(tblSources[Type],MATCH(tblMovement[[#This Row],[Source]],tblSources[Source],0)),"?"))</f>
        <v/>
      </c>
      <c r="L4306" s="63">
        <f>IF(tblMovement[[#This Row],[Destination]]="","",IFERROR(INDEX(tblDestinations[Type],MATCH(tblMovement[[#This Row],[Destination]],tblDestinations[Destination],0)),"?"))</f>
        <v/>
      </c>
      <c r="M4306" s="64">
        <f>IF(tblMovement[[#This Row],[Material]]="","",IF(LEFT(tblMovement[[#This Row],[Material]],3)="Ore",1,0))</f>
        <v/>
      </c>
      <c r="N4306" s="59">
        <f>IF(OR(tblMovement[[#This Row],[Tonnes_t]]="",tblMovement[[#This Row],[Grade_gpt]]=""),0,tblMovement[[#This Row],[Tonnes_t]]*tblMovement[[#This Row],[Grade_gpt]]/cfg_TroyOz)</f>
        <v/>
      </c>
      <c r="O4306" s="59">
        <f>IF(tblMovement[[#This Row],[Is_Ore]]=1,tblMovement[[#This Row],[Contained_oz]],0)</f>
        <v/>
      </c>
    </row>
    <row r="4307">
      <c r="A4307" s="54" t="n"/>
      <c r="B4307" s="61" t="n"/>
      <c r="C4307" s="61" t="n"/>
      <c r="D4307" s="61" t="n"/>
      <c r="E4307" s="61" t="n"/>
      <c r="F4307" s="55" t="n"/>
      <c r="G4307" s="56" t="n"/>
      <c r="H4307" s="55" t="n"/>
      <c r="I4307" s="62" t="n"/>
      <c r="J4307" s="58" t="n"/>
      <c r="K4307" s="63">
        <f>IF(tblMovement[[#This Row],[Source]]="","",IFERROR(INDEX(tblSources[Type],MATCH(tblMovement[[#This Row],[Source]],tblSources[Source],0)),"?"))</f>
        <v/>
      </c>
      <c r="L4307" s="63">
        <f>IF(tblMovement[[#This Row],[Destination]]="","",IFERROR(INDEX(tblDestinations[Type],MATCH(tblMovement[[#This Row],[Destination]],tblDestinations[Destination],0)),"?"))</f>
        <v/>
      </c>
      <c r="M4307" s="64">
        <f>IF(tblMovement[[#This Row],[Material]]="","",IF(LEFT(tblMovement[[#This Row],[Material]],3)="Ore",1,0))</f>
        <v/>
      </c>
      <c r="N4307" s="59">
        <f>IF(OR(tblMovement[[#This Row],[Tonnes_t]]="",tblMovement[[#This Row],[Grade_gpt]]=""),0,tblMovement[[#This Row],[Tonnes_t]]*tblMovement[[#This Row],[Grade_gpt]]/cfg_TroyOz)</f>
        <v/>
      </c>
      <c r="O4307" s="59">
        <f>IF(tblMovement[[#This Row],[Is_Ore]]=1,tblMovement[[#This Row],[Contained_oz]],0)</f>
        <v/>
      </c>
    </row>
    <row r="4308">
      <c r="A4308" s="54" t="n"/>
      <c r="B4308" s="61" t="n"/>
      <c r="C4308" s="61" t="n"/>
      <c r="D4308" s="61" t="n"/>
      <c r="E4308" s="61" t="n"/>
      <c r="F4308" s="55" t="n"/>
      <c r="G4308" s="56" t="n"/>
      <c r="H4308" s="55" t="n"/>
      <c r="I4308" s="62" t="n"/>
      <c r="J4308" s="58" t="n"/>
      <c r="K4308" s="63">
        <f>IF(tblMovement[[#This Row],[Source]]="","",IFERROR(INDEX(tblSources[Type],MATCH(tblMovement[[#This Row],[Source]],tblSources[Source],0)),"?"))</f>
        <v/>
      </c>
      <c r="L4308" s="63">
        <f>IF(tblMovement[[#This Row],[Destination]]="","",IFERROR(INDEX(tblDestinations[Type],MATCH(tblMovement[[#This Row],[Destination]],tblDestinations[Destination],0)),"?"))</f>
        <v/>
      </c>
      <c r="M4308" s="64">
        <f>IF(tblMovement[[#This Row],[Material]]="","",IF(LEFT(tblMovement[[#This Row],[Material]],3)="Ore",1,0))</f>
        <v/>
      </c>
      <c r="N4308" s="59">
        <f>IF(OR(tblMovement[[#This Row],[Tonnes_t]]="",tblMovement[[#This Row],[Grade_gpt]]=""),0,tblMovement[[#This Row],[Tonnes_t]]*tblMovement[[#This Row],[Grade_gpt]]/cfg_TroyOz)</f>
        <v/>
      </c>
      <c r="O4308" s="59">
        <f>IF(tblMovement[[#This Row],[Is_Ore]]=1,tblMovement[[#This Row],[Contained_oz]],0)</f>
        <v/>
      </c>
    </row>
    <row r="4309">
      <c r="A4309" s="54" t="n"/>
      <c r="B4309" s="61" t="n"/>
      <c r="C4309" s="61" t="n"/>
      <c r="D4309" s="61" t="n"/>
      <c r="E4309" s="61" t="n"/>
      <c r="F4309" s="55" t="n"/>
      <c r="G4309" s="56" t="n"/>
      <c r="H4309" s="55" t="n"/>
      <c r="I4309" s="62" t="n"/>
      <c r="J4309" s="58" t="n"/>
      <c r="K4309" s="63">
        <f>IF(tblMovement[[#This Row],[Source]]="","",IFERROR(INDEX(tblSources[Type],MATCH(tblMovement[[#This Row],[Source]],tblSources[Source],0)),"?"))</f>
        <v/>
      </c>
      <c r="L4309" s="63">
        <f>IF(tblMovement[[#This Row],[Destination]]="","",IFERROR(INDEX(tblDestinations[Type],MATCH(tblMovement[[#This Row],[Destination]],tblDestinations[Destination],0)),"?"))</f>
        <v/>
      </c>
      <c r="M4309" s="64">
        <f>IF(tblMovement[[#This Row],[Material]]="","",IF(LEFT(tblMovement[[#This Row],[Material]],3)="Ore",1,0))</f>
        <v/>
      </c>
      <c r="N4309" s="59">
        <f>IF(OR(tblMovement[[#This Row],[Tonnes_t]]="",tblMovement[[#This Row],[Grade_gpt]]=""),0,tblMovement[[#This Row],[Tonnes_t]]*tblMovement[[#This Row],[Grade_gpt]]/cfg_TroyOz)</f>
        <v/>
      </c>
      <c r="O4309" s="59">
        <f>IF(tblMovement[[#This Row],[Is_Ore]]=1,tblMovement[[#This Row],[Contained_oz]],0)</f>
        <v/>
      </c>
    </row>
    <row r="4310">
      <c r="A4310" s="54" t="n"/>
      <c r="B4310" s="61" t="n"/>
      <c r="C4310" s="61" t="n"/>
      <c r="D4310" s="61" t="n"/>
      <c r="E4310" s="61" t="n"/>
      <c r="F4310" s="55" t="n"/>
      <c r="G4310" s="56" t="n"/>
      <c r="H4310" s="55" t="n"/>
      <c r="I4310" s="62" t="n"/>
      <c r="J4310" s="58" t="n"/>
      <c r="K4310" s="63">
        <f>IF(tblMovement[[#This Row],[Source]]="","",IFERROR(INDEX(tblSources[Type],MATCH(tblMovement[[#This Row],[Source]],tblSources[Source],0)),"?"))</f>
        <v/>
      </c>
      <c r="L4310" s="63">
        <f>IF(tblMovement[[#This Row],[Destination]]="","",IFERROR(INDEX(tblDestinations[Type],MATCH(tblMovement[[#This Row],[Destination]],tblDestinations[Destination],0)),"?"))</f>
        <v/>
      </c>
      <c r="M4310" s="64">
        <f>IF(tblMovement[[#This Row],[Material]]="","",IF(LEFT(tblMovement[[#This Row],[Material]],3)="Ore",1,0))</f>
        <v/>
      </c>
      <c r="N4310" s="59">
        <f>IF(OR(tblMovement[[#This Row],[Tonnes_t]]="",tblMovement[[#This Row],[Grade_gpt]]=""),0,tblMovement[[#This Row],[Tonnes_t]]*tblMovement[[#This Row],[Grade_gpt]]/cfg_TroyOz)</f>
        <v/>
      </c>
      <c r="O4310" s="59">
        <f>IF(tblMovement[[#This Row],[Is_Ore]]=1,tblMovement[[#This Row],[Contained_oz]],0)</f>
        <v/>
      </c>
    </row>
    <row r="4311">
      <c r="A4311" s="54" t="n"/>
      <c r="B4311" s="61" t="n"/>
      <c r="C4311" s="61" t="n"/>
      <c r="D4311" s="61" t="n"/>
      <c r="E4311" s="61" t="n"/>
      <c r="F4311" s="55" t="n"/>
      <c r="G4311" s="56" t="n"/>
      <c r="H4311" s="55" t="n"/>
      <c r="I4311" s="62" t="n"/>
      <c r="J4311" s="58" t="n"/>
      <c r="K4311" s="63">
        <f>IF(tblMovement[[#This Row],[Source]]="","",IFERROR(INDEX(tblSources[Type],MATCH(tblMovement[[#This Row],[Source]],tblSources[Source],0)),"?"))</f>
        <v/>
      </c>
      <c r="L4311" s="63">
        <f>IF(tblMovement[[#This Row],[Destination]]="","",IFERROR(INDEX(tblDestinations[Type],MATCH(tblMovement[[#This Row],[Destination]],tblDestinations[Destination],0)),"?"))</f>
        <v/>
      </c>
      <c r="M4311" s="64">
        <f>IF(tblMovement[[#This Row],[Material]]="","",IF(LEFT(tblMovement[[#This Row],[Material]],3)="Ore",1,0))</f>
        <v/>
      </c>
      <c r="N4311" s="59">
        <f>IF(OR(tblMovement[[#This Row],[Tonnes_t]]="",tblMovement[[#This Row],[Grade_gpt]]=""),0,tblMovement[[#This Row],[Tonnes_t]]*tblMovement[[#This Row],[Grade_gpt]]/cfg_TroyOz)</f>
        <v/>
      </c>
      <c r="O4311" s="59">
        <f>IF(tblMovement[[#This Row],[Is_Ore]]=1,tblMovement[[#This Row],[Contained_oz]],0)</f>
        <v/>
      </c>
    </row>
    <row r="4312">
      <c r="A4312" s="54" t="n"/>
      <c r="B4312" s="61" t="n"/>
      <c r="C4312" s="61" t="n"/>
      <c r="D4312" s="61" t="n"/>
      <c r="E4312" s="61" t="n"/>
      <c r="F4312" s="55" t="n"/>
      <c r="G4312" s="56" t="n"/>
      <c r="H4312" s="55" t="n"/>
      <c r="I4312" s="62" t="n"/>
      <c r="J4312" s="58" t="n"/>
      <c r="K4312" s="63">
        <f>IF(tblMovement[[#This Row],[Source]]="","",IFERROR(INDEX(tblSources[Type],MATCH(tblMovement[[#This Row],[Source]],tblSources[Source],0)),"?"))</f>
        <v/>
      </c>
      <c r="L4312" s="63">
        <f>IF(tblMovement[[#This Row],[Destination]]="","",IFERROR(INDEX(tblDestinations[Type],MATCH(tblMovement[[#This Row],[Destination]],tblDestinations[Destination],0)),"?"))</f>
        <v/>
      </c>
      <c r="M4312" s="64">
        <f>IF(tblMovement[[#This Row],[Material]]="","",IF(LEFT(tblMovement[[#This Row],[Material]],3)="Ore",1,0))</f>
        <v/>
      </c>
      <c r="N4312" s="59">
        <f>IF(OR(tblMovement[[#This Row],[Tonnes_t]]="",tblMovement[[#This Row],[Grade_gpt]]=""),0,tblMovement[[#This Row],[Tonnes_t]]*tblMovement[[#This Row],[Grade_gpt]]/cfg_TroyOz)</f>
        <v/>
      </c>
      <c r="O4312" s="59">
        <f>IF(tblMovement[[#This Row],[Is_Ore]]=1,tblMovement[[#This Row],[Contained_oz]],0)</f>
        <v/>
      </c>
    </row>
    <row r="4313">
      <c r="A4313" s="54" t="n"/>
      <c r="B4313" s="61" t="n"/>
      <c r="C4313" s="61" t="n"/>
      <c r="D4313" s="61" t="n"/>
      <c r="E4313" s="61" t="n"/>
      <c r="F4313" s="55" t="n"/>
      <c r="G4313" s="56" t="n"/>
      <c r="H4313" s="55" t="n"/>
      <c r="I4313" s="62" t="n"/>
      <c r="J4313" s="58" t="n"/>
      <c r="K4313" s="63">
        <f>IF(tblMovement[[#This Row],[Source]]="","",IFERROR(INDEX(tblSources[Type],MATCH(tblMovement[[#This Row],[Source]],tblSources[Source],0)),"?"))</f>
        <v/>
      </c>
      <c r="L4313" s="63">
        <f>IF(tblMovement[[#This Row],[Destination]]="","",IFERROR(INDEX(tblDestinations[Type],MATCH(tblMovement[[#This Row],[Destination]],tblDestinations[Destination],0)),"?"))</f>
        <v/>
      </c>
      <c r="M4313" s="64">
        <f>IF(tblMovement[[#This Row],[Material]]="","",IF(LEFT(tblMovement[[#This Row],[Material]],3)="Ore",1,0))</f>
        <v/>
      </c>
      <c r="N4313" s="59">
        <f>IF(OR(tblMovement[[#This Row],[Tonnes_t]]="",tblMovement[[#This Row],[Grade_gpt]]=""),0,tblMovement[[#This Row],[Tonnes_t]]*tblMovement[[#This Row],[Grade_gpt]]/cfg_TroyOz)</f>
        <v/>
      </c>
      <c r="O4313" s="59">
        <f>IF(tblMovement[[#This Row],[Is_Ore]]=1,tblMovement[[#This Row],[Contained_oz]],0)</f>
        <v/>
      </c>
    </row>
    <row r="4314">
      <c r="A4314" s="54" t="n"/>
      <c r="B4314" s="61" t="n"/>
      <c r="C4314" s="61" t="n"/>
      <c r="D4314" s="61" t="n"/>
      <c r="E4314" s="61" t="n"/>
      <c r="F4314" s="55" t="n"/>
      <c r="G4314" s="56" t="n"/>
      <c r="H4314" s="55" t="n"/>
      <c r="I4314" s="62" t="n"/>
      <c r="J4314" s="58" t="n"/>
      <c r="K4314" s="63">
        <f>IF(tblMovement[[#This Row],[Source]]="","",IFERROR(INDEX(tblSources[Type],MATCH(tblMovement[[#This Row],[Source]],tblSources[Source],0)),"?"))</f>
        <v/>
      </c>
      <c r="L4314" s="63">
        <f>IF(tblMovement[[#This Row],[Destination]]="","",IFERROR(INDEX(tblDestinations[Type],MATCH(tblMovement[[#This Row],[Destination]],tblDestinations[Destination],0)),"?"))</f>
        <v/>
      </c>
      <c r="M4314" s="64">
        <f>IF(tblMovement[[#This Row],[Material]]="","",IF(LEFT(tblMovement[[#This Row],[Material]],3)="Ore",1,0))</f>
        <v/>
      </c>
      <c r="N4314" s="59">
        <f>IF(OR(tblMovement[[#This Row],[Tonnes_t]]="",tblMovement[[#This Row],[Grade_gpt]]=""),0,tblMovement[[#This Row],[Tonnes_t]]*tblMovement[[#This Row],[Grade_gpt]]/cfg_TroyOz)</f>
        <v/>
      </c>
      <c r="O4314" s="59">
        <f>IF(tblMovement[[#This Row],[Is_Ore]]=1,tblMovement[[#This Row],[Contained_oz]],0)</f>
        <v/>
      </c>
    </row>
    <row r="4315">
      <c r="A4315" s="54" t="n"/>
      <c r="B4315" s="61" t="n"/>
      <c r="C4315" s="61" t="n"/>
      <c r="D4315" s="61" t="n"/>
      <c r="E4315" s="61" t="n"/>
      <c r="F4315" s="55" t="n"/>
      <c r="G4315" s="56" t="n"/>
      <c r="H4315" s="55" t="n"/>
      <c r="I4315" s="62" t="n"/>
      <c r="J4315" s="58" t="n"/>
      <c r="K4315" s="63">
        <f>IF(tblMovement[[#This Row],[Source]]="","",IFERROR(INDEX(tblSources[Type],MATCH(tblMovement[[#This Row],[Source]],tblSources[Source],0)),"?"))</f>
        <v/>
      </c>
      <c r="L4315" s="63">
        <f>IF(tblMovement[[#This Row],[Destination]]="","",IFERROR(INDEX(tblDestinations[Type],MATCH(tblMovement[[#This Row],[Destination]],tblDestinations[Destination],0)),"?"))</f>
        <v/>
      </c>
      <c r="M4315" s="64">
        <f>IF(tblMovement[[#This Row],[Material]]="","",IF(LEFT(tblMovement[[#This Row],[Material]],3)="Ore",1,0))</f>
        <v/>
      </c>
      <c r="N4315" s="59">
        <f>IF(OR(tblMovement[[#This Row],[Tonnes_t]]="",tblMovement[[#This Row],[Grade_gpt]]=""),0,tblMovement[[#This Row],[Tonnes_t]]*tblMovement[[#This Row],[Grade_gpt]]/cfg_TroyOz)</f>
        <v/>
      </c>
      <c r="O4315" s="59">
        <f>IF(tblMovement[[#This Row],[Is_Ore]]=1,tblMovement[[#This Row],[Contained_oz]],0)</f>
        <v/>
      </c>
    </row>
    <row r="4316">
      <c r="A4316" s="54" t="n"/>
      <c r="B4316" s="61" t="n"/>
      <c r="C4316" s="61" t="n"/>
      <c r="D4316" s="61" t="n"/>
      <c r="E4316" s="61" t="n"/>
      <c r="F4316" s="55" t="n"/>
      <c r="G4316" s="56" t="n"/>
      <c r="H4316" s="55" t="n"/>
      <c r="I4316" s="62" t="n"/>
      <c r="J4316" s="58" t="n"/>
      <c r="K4316" s="63">
        <f>IF(tblMovement[[#This Row],[Source]]="","",IFERROR(INDEX(tblSources[Type],MATCH(tblMovement[[#This Row],[Source]],tblSources[Source],0)),"?"))</f>
        <v/>
      </c>
      <c r="L4316" s="63">
        <f>IF(tblMovement[[#This Row],[Destination]]="","",IFERROR(INDEX(tblDestinations[Type],MATCH(tblMovement[[#This Row],[Destination]],tblDestinations[Destination],0)),"?"))</f>
        <v/>
      </c>
      <c r="M4316" s="64">
        <f>IF(tblMovement[[#This Row],[Material]]="","",IF(LEFT(tblMovement[[#This Row],[Material]],3)="Ore",1,0))</f>
        <v/>
      </c>
      <c r="N4316" s="59">
        <f>IF(OR(tblMovement[[#This Row],[Tonnes_t]]="",tblMovement[[#This Row],[Grade_gpt]]=""),0,tblMovement[[#This Row],[Tonnes_t]]*tblMovement[[#This Row],[Grade_gpt]]/cfg_TroyOz)</f>
        <v/>
      </c>
      <c r="O4316" s="59">
        <f>IF(tblMovement[[#This Row],[Is_Ore]]=1,tblMovement[[#This Row],[Contained_oz]],0)</f>
        <v/>
      </c>
    </row>
    <row r="4317">
      <c r="A4317" s="54" t="n"/>
      <c r="B4317" s="61" t="n"/>
      <c r="C4317" s="61" t="n"/>
      <c r="D4317" s="61" t="n"/>
      <c r="E4317" s="61" t="n"/>
      <c r="F4317" s="55" t="n"/>
      <c r="G4317" s="56" t="n"/>
      <c r="H4317" s="55" t="n"/>
      <c r="I4317" s="62" t="n"/>
      <c r="J4317" s="58" t="n"/>
      <c r="K4317" s="63">
        <f>IF(tblMovement[[#This Row],[Source]]="","",IFERROR(INDEX(tblSources[Type],MATCH(tblMovement[[#This Row],[Source]],tblSources[Source],0)),"?"))</f>
        <v/>
      </c>
      <c r="L4317" s="63">
        <f>IF(tblMovement[[#This Row],[Destination]]="","",IFERROR(INDEX(tblDestinations[Type],MATCH(tblMovement[[#This Row],[Destination]],tblDestinations[Destination],0)),"?"))</f>
        <v/>
      </c>
      <c r="M4317" s="64">
        <f>IF(tblMovement[[#This Row],[Material]]="","",IF(LEFT(tblMovement[[#This Row],[Material]],3)="Ore",1,0))</f>
        <v/>
      </c>
      <c r="N4317" s="59">
        <f>IF(OR(tblMovement[[#This Row],[Tonnes_t]]="",tblMovement[[#This Row],[Grade_gpt]]=""),0,tblMovement[[#This Row],[Tonnes_t]]*tblMovement[[#This Row],[Grade_gpt]]/cfg_TroyOz)</f>
        <v/>
      </c>
      <c r="O4317" s="59">
        <f>IF(tblMovement[[#This Row],[Is_Ore]]=1,tblMovement[[#This Row],[Contained_oz]],0)</f>
        <v/>
      </c>
    </row>
    <row r="4318">
      <c r="A4318" s="54" t="n"/>
      <c r="B4318" s="61" t="n"/>
      <c r="C4318" s="61" t="n"/>
      <c r="D4318" s="61" t="n"/>
      <c r="E4318" s="61" t="n"/>
      <c r="F4318" s="55" t="n"/>
      <c r="G4318" s="56" t="n"/>
      <c r="H4318" s="55" t="n"/>
      <c r="I4318" s="62" t="n"/>
      <c r="J4318" s="58" t="n"/>
      <c r="K4318" s="63">
        <f>IF(tblMovement[[#This Row],[Source]]="","",IFERROR(INDEX(tblSources[Type],MATCH(tblMovement[[#This Row],[Source]],tblSources[Source],0)),"?"))</f>
        <v/>
      </c>
      <c r="L4318" s="63">
        <f>IF(tblMovement[[#This Row],[Destination]]="","",IFERROR(INDEX(tblDestinations[Type],MATCH(tblMovement[[#This Row],[Destination]],tblDestinations[Destination],0)),"?"))</f>
        <v/>
      </c>
      <c r="M4318" s="64">
        <f>IF(tblMovement[[#This Row],[Material]]="","",IF(LEFT(tblMovement[[#This Row],[Material]],3)="Ore",1,0))</f>
        <v/>
      </c>
      <c r="N4318" s="59">
        <f>IF(OR(tblMovement[[#This Row],[Tonnes_t]]="",tblMovement[[#This Row],[Grade_gpt]]=""),0,tblMovement[[#This Row],[Tonnes_t]]*tblMovement[[#This Row],[Grade_gpt]]/cfg_TroyOz)</f>
        <v/>
      </c>
      <c r="O4318" s="59">
        <f>IF(tblMovement[[#This Row],[Is_Ore]]=1,tblMovement[[#This Row],[Contained_oz]],0)</f>
        <v/>
      </c>
    </row>
    <row r="4319">
      <c r="A4319" s="54" t="n"/>
      <c r="B4319" s="61" t="n"/>
      <c r="C4319" s="61" t="n"/>
      <c r="D4319" s="61" t="n"/>
      <c r="E4319" s="61" t="n"/>
      <c r="F4319" s="55" t="n"/>
      <c r="G4319" s="56" t="n"/>
      <c r="H4319" s="55" t="n"/>
      <c r="I4319" s="62" t="n"/>
      <c r="J4319" s="58" t="n"/>
      <c r="K4319" s="63">
        <f>IF(tblMovement[[#This Row],[Source]]="","",IFERROR(INDEX(tblSources[Type],MATCH(tblMovement[[#This Row],[Source]],tblSources[Source],0)),"?"))</f>
        <v/>
      </c>
      <c r="L4319" s="63">
        <f>IF(tblMovement[[#This Row],[Destination]]="","",IFERROR(INDEX(tblDestinations[Type],MATCH(tblMovement[[#This Row],[Destination]],tblDestinations[Destination],0)),"?"))</f>
        <v/>
      </c>
      <c r="M4319" s="64">
        <f>IF(tblMovement[[#This Row],[Material]]="","",IF(LEFT(tblMovement[[#This Row],[Material]],3)="Ore",1,0))</f>
        <v/>
      </c>
      <c r="N4319" s="59">
        <f>IF(OR(tblMovement[[#This Row],[Tonnes_t]]="",tblMovement[[#This Row],[Grade_gpt]]=""),0,tblMovement[[#This Row],[Tonnes_t]]*tblMovement[[#This Row],[Grade_gpt]]/cfg_TroyOz)</f>
        <v/>
      </c>
      <c r="O4319" s="59">
        <f>IF(tblMovement[[#This Row],[Is_Ore]]=1,tblMovement[[#This Row],[Contained_oz]],0)</f>
        <v/>
      </c>
    </row>
    <row r="4320">
      <c r="A4320" s="54" t="n"/>
      <c r="B4320" s="61" t="n"/>
      <c r="C4320" s="61" t="n"/>
      <c r="D4320" s="61" t="n"/>
      <c r="E4320" s="61" t="n"/>
      <c r="F4320" s="55" t="n"/>
      <c r="G4320" s="56" t="n"/>
      <c r="H4320" s="55" t="n"/>
      <c r="I4320" s="62" t="n"/>
      <c r="J4320" s="58" t="n"/>
      <c r="K4320" s="63">
        <f>IF(tblMovement[[#This Row],[Source]]="","",IFERROR(INDEX(tblSources[Type],MATCH(tblMovement[[#This Row],[Source]],tblSources[Source],0)),"?"))</f>
        <v/>
      </c>
      <c r="L4320" s="63">
        <f>IF(tblMovement[[#This Row],[Destination]]="","",IFERROR(INDEX(tblDestinations[Type],MATCH(tblMovement[[#This Row],[Destination]],tblDestinations[Destination],0)),"?"))</f>
        <v/>
      </c>
      <c r="M4320" s="64">
        <f>IF(tblMovement[[#This Row],[Material]]="","",IF(LEFT(tblMovement[[#This Row],[Material]],3)="Ore",1,0))</f>
        <v/>
      </c>
      <c r="N4320" s="59">
        <f>IF(OR(tblMovement[[#This Row],[Tonnes_t]]="",tblMovement[[#This Row],[Grade_gpt]]=""),0,tblMovement[[#This Row],[Tonnes_t]]*tblMovement[[#This Row],[Grade_gpt]]/cfg_TroyOz)</f>
        <v/>
      </c>
      <c r="O4320" s="59">
        <f>IF(tblMovement[[#This Row],[Is_Ore]]=1,tblMovement[[#This Row],[Contained_oz]],0)</f>
        <v/>
      </c>
    </row>
    <row r="4321">
      <c r="A4321" s="54" t="n"/>
      <c r="B4321" s="61" t="n"/>
      <c r="C4321" s="61" t="n"/>
      <c r="D4321" s="61" t="n"/>
      <c r="E4321" s="61" t="n"/>
      <c r="F4321" s="55" t="n"/>
      <c r="G4321" s="56" t="n"/>
      <c r="H4321" s="55" t="n"/>
      <c r="I4321" s="62" t="n"/>
      <c r="J4321" s="58" t="n"/>
      <c r="K4321" s="63">
        <f>IF(tblMovement[[#This Row],[Source]]="","",IFERROR(INDEX(tblSources[Type],MATCH(tblMovement[[#This Row],[Source]],tblSources[Source],0)),"?"))</f>
        <v/>
      </c>
      <c r="L4321" s="63">
        <f>IF(tblMovement[[#This Row],[Destination]]="","",IFERROR(INDEX(tblDestinations[Type],MATCH(tblMovement[[#This Row],[Destination]],tblDestinations[Destination],0)),"?"))</f>
        <v/>
      </c>
      <c r="M4321" s="64">
        <f>IF(tblMovement[[#This Row],[Material]]="","",IF(LEFT(tblMovement[[#This Row],[Material]],3)="Ore",1,0))</f>
        <v/>
      </c>
      <c r="N4321" s="59">
        <f>IF(OR(tblMovement[[#This Row],[Tonnes_t]]="",tblMovement[[#This Row],[Grade_gpt]]=""),0,tblMovement[[#This Row],[Tonnes_t]]*tblMovement[[#This Row],[Grade_gpt]]/cfg_TroyOz)</f>
        <v/>
      </c>
      <c r="O4321" s="59">
        <f>IF(tblMovement[[#This Row],[Is_Ore]]=1,tblMovement[[#This Row],[Contained_oz]],0)</f>
        <v/>
      </c>
    </row>
    <row r="4322">
      <c r="A4322" s="54" t="n"/>
      <c r="B4322" s="61" t="n"/>
      <c r="C4322" s="61" t="n"/>
      <c r="D4322" s="61" t="n"/>
      <c r="E4322" s="61" t="n"/>
      <c r="F4322" s="55" t="n"/>
      <c r="G4322" s="56" t="n"/>
      <c r="H4322" s="55" t="n"/>
      <c r="I4322" s="62" t="n"/>
      <c r="J4322" s="58" t="n"/>
      <c r="K4322" s="63">
        <f>IF(tblMovement[[#This Row],[Source]]="","",IFERROR(INDEX(tblSources[Type],MATCH(tblMovement[[#This Row],[Source]],tblSources[Source],0)),"?"))</f>
        <v/>
      </c>
      <c r="L4322" s="63">
        <f>IF(tblMovement[[#This Row],[Destination]]="","",IFERROR(INDEX(tblDestinations[Type],MATCH(tblMovement[[#This Row],[Destination]],tblDestinations[Destination],0)),"?"))</f>
        <v/>
      </c>
      <c r="M4322" s="64">
        <f>IF(tblMovement[[#This Row],[Material]]="","",IF(LEFT(tblMovement[[#This Row],[Material]],3)="Ore",1,0))</f>
        <v/>
      </c>
      <c r="N4322" s="59">
        <f>IF(OR(tblMovement[[#This Row],[Tonnes_t]]="",tblMovement[[#This Row],[Grade_gpt]]=""),0,tblMovement[[#This Row],[Tonnes_t]]*tblMovement[[#This Row],[Grade_gpt]]/cfg_TroyOz)</f>
        <v/>
      </c>
      <c r="O4322" s="59">
        <f>IF(tblMovement[[#This Row],[Is_Ore]]=1,tblMovement[[#This Row],[Contained_oz]],0)</f>
        <v/>
      </c>
    </row>
    <row r="4323">
      <c r="A4323" s="54" t="n"/>
      <c r="B4323" s="61" t="n"/>
      <c r="C4323" s="61" t="n"/>
      <c r="D4323" s="61" t="n"/>
      <c r="E4323" s="61" t="n"/>
      <c r="F4323" s="55" t="n"/>
      <c r="G4323" s="56" t="n"/>
      <c r="H4323" s="55" t="n"/>
      <c r="I4323" s="62" t="n"/>
      <c r="J4323" s="58" t="n"/>
      <c r="K4323" s="63">
        <f>IF(tblMovement[[#This Row],[Source]]="","",IFERROR(INDEX(tblSources[Type],MATCH(tblMovement[[#This Row],[Source]],tblSources[Source],0)),"?"))</f>
        <v/>
      </c>
      <c r="L4323" s="63">
        <f>IF(tblMovement[[#This Row],[Destination]]="","",IFERROR(INDEX(tblDestinations[Type],MATCH(tblMovement[[#This Row],[Destination]],tblDestinations[Destination],0)),"?"))</f>
        <v/>
      </c>
      <c r="M4323" s="64">
        <f>IF(tblMovement[[#This Row],[Material]]="","",IF(LEFT(tblMovement[[#This Row],[Material]],3)="Ore",1,0))</f>
        <v/>
      </c>
      <c r="N4323" s="59">
        <f>IF(OR(tblMovement[[#This Row],[Tonnes_t]]="",tblMovement[[#This Row],[Grade_gpt]]=""),0,tblMovement[[#This Row],[Tonnes_t]]*tblMovement[[#This Row],[Grade_gpt]]/cfg_TroyOz)</f>
        <v/>
      </c>
      <c r="O4323" s="59">
        <f>IF(tblMovement[[#This Row],[Is_Ore]]=1,tblMovement[[#This Row],[Contained_oz]],0)</f>
        <v/>
      </c>
    </row>
    <row r="4324">
      <c r="A4324" s="54" t="n"/>
      <c r="B4324" s="61" t="n"/>
      <c r="C4324" s="61" t="n"/>
      <c r="D4324" s="61" t="n"/>
      <c r="E4324" s="61" t="n"/>
      <c r="F4324" s="55" t="n"/>
      <c r="G4324" s="56" t="n"/>
      <c r="H4324" s="55" t="n"/>
      <c r="I4324" s="62" t="n"/>
      <c r="J4324" s="58" t="n"/>
      <c r="K4324" s="63">
        <f>IF(tblMovement[[#This Row],[Source]]="","",IFERROR(INDEX(tblSources[Type],MATCH(tblMovement[[#This Row],[Source]],tblSources[Source],0)),"?"))</f>
        <v/>
      </c>
      <c r="L4324" s="63">
        <f>IF(tblMovement[[#This Row],[Destination]]="","",IFERROR(INDEX(tblDestinations[Type],MATCH(tblMovement[[#This Row],[Destination]],tblDestinations[Destination],0)),"?"))</f>
        <v/>
      </c>
      <c r="M4324" s="64">
        <f>IF(tblMovement[[#This Row],[Material]]="","",IF(LEFT(tblMovement[[#This Row],[Material]],3)="Ore",1,0))</f>
        <v/>
      </c>
      <c r="N4324" s="59">
        <f>IF(OR(tblMovement[[#This Row],[Tonnes_t]]="",tblMovement[[#This Row],[Grade_gpt]]=""),0,tblMovement[[#This Row],[Tonnes_t]]*tblMovement[[#This Row],[Grade_gpt]]/cfg_TroyOz)</f>
        <v/>
      </c>
      <c r="O4324" s="59">
        <f>IF(tblMovement[[#This Row],[Is_Ore]]=1,tblMovement[[#This Row],[Contained_oz]],0)</f>
        <v/>
      </c>
    </row>
    <row r="4325">
      <c r="A4325" s="54" t="n"/>
      <c r="B4325" s="61" t="n"/>
      <c r="C4325" s="61" t="n"/>
      <c r="D4325" s="61" t="n"/>
      <c r="E4325" s="61" t="n"/>
      <c r="F4325" s="55" t="n"/>
      <c r="G4325" s="56" t="n"/>
      <c r="H4325" s="55" t="n"/>
      <c r="I4325" s="62" t="n"/>
      <c r="J4325" s="58" t="n"/>
      <c r="K4325" s="63">
        <f>IF(tblMovement[[#This Row],[Source]]="","",IFERROR(INDEX(tblSources[Type],MATCH(tblMovement[[#This Row],[Source]],tblSources[Source],0)),"?"))</f>
        <v/>
      </c>
      <c r="L4325" s="63">
        <f>IF(tblMovement[[#This Row],[Destination]]="","",IFERROR(INDEX(tblDestinations[Type],MATCH(tblMovement[[#This Row],[Destination]],tblDestinations[Destination],0)),"?"))</f>
        <v/>
      </c>
      <c r="M4325" s="64">
        <f>IF(tblMovement[[#This Row],[Material]]="","",IF(LEFT(tblMovement[[#This Row],[Material]],3)="Ore",1,0))</f>
        <v/>
      </c>
      <c r="N4325" s="59">
        <f>IF(OR(tblMovement[[#This Row],[Tonnes_t]]="",tblMovement[[#This Row],[Grade_gpt]]=""),0,tblMovement[[#This Row],[Tonnes_t]]*tblMovement[[#This Row],[Grade_gpt]]/cfg_TroyOz)</f>
        <v/>
      </c>
      <c r="O4325" s="59">
        <f>IF(tblMovement[[#This Row],[Is_Ore]]=1,tblMovement[[#This Row],[Contained_oz]],0)</f>
        <v/>
      </c>
    </row>
    <row r="4326">
      <c r="A4326" s="54" t="n"/>
      <c r="B4326" s="61" t="n"/>
      <c r="C4326" s="61" t="n"/>
      <c r="D4326" s="61" t="n"/>
      <c r="E4326" s="61" t="n"/>
      <c r="F4326" s="55" t="n"/>
      <c r="G4326" s="56" t="n"/>
      <c r="H4326" s="55" t="n"/>
      <c r="I4326" s="62" t="n"/>
      <c r="J4326" s="58" t="n"/>
      <c r="K4326" s="63">
        <f>IF(tblMovement[[#This Row],[Source]]="","",IFERROR(INDEX(tblSources[Type],MATCH(tblMovement[[#This Row],[Source]],tblSources[Source],0)),"?"))</f>
        <v/>
      </c>
      <c r="L4326" s="63">
        <f>IF(tblMovement[[#This Row],[Destination]]="","",IFERROR(INDEX(tblDestinations[Type],MATCH(tblMovement[[#This Row],[Destination]],tblDestinations[Destination],0)),"?"))</f>
        <v/>
      </c>
      <c r="M4326" s="64">
        <f>IF(tblMovement[[#This Row],[Material]]="","",IF(LEFT(tblMovement[[#This Row],[Material]],3)="Ore",1,0))</f>
        <v/>
      </c>
      <c r="N4326" s="59">
        <f>IF(OR(tblMovement[[#This Row],[Tonnes_t]]="",tblMovement[[#This Row],[Grade_gpt]]=""),0,tblMovement[[#This Row],[Tonnes_t]]*tblMovement[[#This Row],[Grade_gpt]]/cfg_TroyOz)</f>
        <v/>
      </c>
      <c r="O4326" s="59">
        <f>IF(tblMovement[[#This Row],[Is_Ore]]=1,tblMovement[[#This Row],[Contained_oz]],0)</f>
        <v/>
      </c>
    </row>
    <row r="4327">
      <c r="A4327" s="54" t="n"/>
      <c r="B4327" s="61" t="n"/>
      <c r="C4327" s="61" t="n"/>
      <c r="D4327" s="61" t="n"/>
      <c r="E4327" s="61" t="n"/>
      <c r="F4327" s="55" t="n"/>
      <c r="G4327" s="56" t="n"/>
      <c r="H4327" s="55" t="n"/>
      <c r="I4327" s="62" t="n"/>
      <c r="J4327" s="58" t="n"/>
      <c r="K4327" s="63">
        <f>IF(tblMovement[[#This Row],[Source]]="","",IFERROR(INDEX(tblSources[Type],MATCH(tblMovement[[#This Row],[Source]],tblSources[Source],0)),"?"))</f>
        <v/>
      </c>
      <c r="L4327" s="63">
        <f>IF(tblMovement[[#This Row],[Destination]]="","",IFERROR(INDEX(tblDestinations[Type],MATCH(tblMovement[[#This Row],[Destination]],tblDestinations[Destination],0)),"?"))</f>
        <v/>
      </c>
      <c r="M4327" s="64">
        <f>IF(tblMovement[[#This Row],[Material]]="","",IF(LEFT(tblMovement[[#This Row],[Material]],3)="Ore",1,0))</f>
        <v/>
      </c>
      <c r="N4327" s="59">
        <f>IF(OR(tblMovement[[#This Row],[Tonnes_t]]="",tblMovement[[#This Row],[Grade_gpt]]=""),0,tblMovement[[#This Row],[Tonnes_t]]*tblMovement[[#This Row],[Grade_gpt]]/cfg_TroyOz)</f>
        <v/>
      </c>
      <c r="O4327" s="59">
        <f>IF(tblMovement[[#This Row],[Is_Ore]]=1,tblMovement[[#This Row],[Contained_oz]],0)</f>
        <v/>
      </c>
    </row>
    <row r="4328">
      <c r="A4328" s="54" t="n"/>
      <c r="B4328" s="61" t="n"/>
      <c r="C4328" s="61" t="n"/>
      <c r="D4328" s="61" t="n"/>
      <c r="E4328" s="61" t="n"/>
      <c r="F4328" s="55" t="n"/>
      <c r="G4328" s="56" t="n"/>
      <c r="H4328" s="55" t="n"/>
      <c r="I4328" s="62" t="n"/>
      <c r="J4328" s="58" t="n"/>
      <c r="K4328" s="63">
        <f>IF(tblMovement[[#This Row],[Source]]="","",IFERROR(INDEX(tblSources[Type],MATCH(tblMovement[[#This Row],[Source]],tblSources[Source],0)),"?"))</f>
        <v/>
      </c>
      <c r="L4328" s="63">
        <f>IF(tblMovement[[#This Row],[Destination]]="","",IFERROR(INDEX(tblDestinations[Type],MATCH(tblMovement[[#This Row],[Destination]],tblDestinations[Destination],0)),"?"))</f>
        <v/>
      </c>
      <c r="M4328" s="64">
        <f>IF(tblMovement[[#This Row],[Material]]="","",IF(LEFT(tblMovement[[#This Row],[Material]],3)="Ore",1,0))</f>
        <v/>
      </c>
      <c r="N4328" s="59">
        <f>IF(OR(tblMovement[[#This Row],[Tonnes_t]]="",tblMovement[[#This Row],[Grade_gpt]]=""),0,tblMovement[[#This Row],[Tonnes_t]]*tblMovement[[#This Row],[Grade_gpt]]/cfg_TroyOz)</f>
        <v/>
      </c>
      <c r="O4328" s="59">
        <f>IF(tblMovement[[#This Row],[Is_Ore]]=1,tblMovement[[#This Row],[Contained_oz]],0)</f>
        <v/>
      </c>
    </row>
    <row r="4329">
      <c r="A4329" s="54" t="n"/>
      <c r="B4329" s="61" t="n"/>
      <c r="C4329" s="61" t="n"/>
      <c r="D4329" s="61" t="n"/>
      <c r="E4329" s="61" t="n"/>
      <c r="F4329" s="55" t="n"/>
      <c r="G4329" s="56" t="n"/>
      <c r="H4329" s="55" t="n"/>
      <c r="I4329" s="62" t="n"/>
      <c r="J4329" s="58" t="n"/>
      <c r="K4329" s="63">
        <f>IF(tblMovement[[#This Row],[Source]]="","",IFERROR(INDEX(tblSources[Type],MATCH(tblMovement[[#This Row],[Source]],tblSources[Source],0)),"?"))</f>
        <v/>
      </c>
      <c r="L4329" s="63">
        <f>IF(tblMovement[[#This Row],[Destination]]="","",IFERROR(INDEX(tblDestinations[Type],MATCH(tblMovement[[#This Row],[Destination]],tblDestinations[Destination],0)),"?"))</f>
        <v/>
      </c>
      <c r="M4329" s="64">
        <f>IF(tblMovement[[#This Row],[Material]]="","",IF(LEFT(tblMovement[[#This Row],[Material]],3)="Ore",1,0))</f>
        <v/>
      </c>
      <c r="N4329" s="59">
        <f>IF(OR(tblMovement[[#This Row],[Tonnes_t]]="",tblMovement[[#This Row],[Grade_gpt]]=""),0,tblMovement[[#This Row],[Tonnes_t]]*tblMovement[[#This Row],[Grade_gpt]]/cfg_TroyOz)</f>
        <v/>
      </c>
      <c r="O4329" s="59">
        <f>IF(tblMovement[[#This Row],[Is_Ore]]=1,tblMovement[[#This Row],[Contained_oz]],0)</f>
        <v/>
      </c>
    </row>
    <row r="4330">
      <c r="A4330" s="54" t="n"/>
      <c r="B4330" s="61" t="n"/>
      <c r="C4330" s="61" t="n"/>
      <c r="D4330" s="61" t="n"/>
      <c r="E4330" s="61" t="n"/>
      <c r="F4330" s="55" t="n"/>
      <c r="G4330" s="56" t="n"/>
      <c r="H4330" s="55" t="n"/>
      <c r="I4330" s="62" t="n"/>
      <c r="J4330" s="58" t="n"/>
      <c r="K4330" s="63">
        <f>IF(tblMovement[[#This Row],[Source]]="","",IFERROR(INDEX(tblSources[Type],MATCH(tblMovement[[#This Row],[Source]],tblSources[Source],0)),"?"))</f>
        <v/>
      </c>
      <c r="L4330" s="63">
        <f>IF(tblMovement[[#This Row],[Destination]]="","",IFERROR(INDEX(tblDestinations[Type],MATCH(tblMovement[[#This Row],[Destination]],tblDestinations[Destination],0)),"?"))</f>
        <v/>
      </c>
      <c r="M4330" s="64">
        <f>IF(tblMovement[[#This Row],[Material]]="","",IF(LEFT(tblMovement[[#This Row],[Material]],3)="Ore",1,0))</f>
        <v/>
      </c>
      <c r="N4330" s="59">
        <f>IF(OR(tblMovement[[#This Row],[Tonnes_t]]="",tblMovement[[#This Row],[Grade_gpt]]=""),0,tblMovement[[#This Row],[Tonnes_t]]*tblMovement[[#This Row],[Grade_gpt]]/cfg_TroyOz)</f>
        <v/>
      </c>
      <c r="O4330" s="59">
        <f>IF(tblMovement[[#This Row],[Is_Ore]]=1,tblMovement[[#This Row],[Contained_oz]],0)</f>
        <v/>
      </c>
    </row>
    <row r="4331">
      <c r="A4331" s="54" t="n"/>
      <c r="B4331" s="61" t="n"/>
      <c r="C4331" s="61" t="n"/>
      <c r="D4331" s="61" t="n"/>
      <c r="E4331" s="61" t="n"/>
      <c r="F4331" s="55" t="n"/>
      <c r="G4331" s="56" t="n"/>
      <c r="H4331" s="55" t="n"/>
      <c r="I4331" s="62" t="n"/>
      <c r="J4331" s="58" t="n"/>
      <c r="K4331" s="63">
        <f>IF(tblMovement[[#This Row],[Source]]="","",IFERROR(INDEX(tblSources[Type],MATCH(tblMovement[[#This Row],[Source]],tblSources[Source],0)),"?"))</f>
        <v/>
      </c>
      <c r="L4331" s="63">
        <f>IF(tblMovement[[#This Row],[Destination]]="","",IFERROR(INDEX(tblDestinations[Type],MATCH(tblMovement[[#This Row],[Destination]],tblDestinations[Destination],0)),"?"))</f>
        <v/>
      </c>
      <c r="M4331" s="64">
        <f>IF(tblMovement[[#This Row],[Material]]="","",IF(LEFT(tblMovement[[#This Row],[Material]],3)="Ore",1,0))</f>
        <v/>
      </c>
      <c r="N4331" s="59">
        <f>IF(OR(tblMovement[[#This Row],[Tonnes_t]]="",tblMovement[[#This Row],[Grade_gpt]]=""),0,tblMovement[[#This Row],[Tonnes_t]]*tblMovement[[#This Row],[Grade_gpt]]/cfg_TroyOz)</f>
        <v/>
      </c>
      <c r="O4331" s="59">
        <f>IF(tblMovement[[#This Row],[Is_Ore]]=1,tblMovement[[#This Row],[Contained_oz]],0)</f>
        <v/>
      </c>
    </row>
    <row r="4332">
      <c r="A4332" s="54" t="n"/>
      <c r="B4332" s="61" t="n"/>
      <c r="C4332" s="61" t="n"/>
      <c r="D4332" s="61" t="n"/>
      <c r="E4332" s="61" t="n"/>
      <c r="F4332" s="55" t="n"/>
      <c r="G4332" s="56" t="n"/>
      <c r="H4332" s="55" t="n"/>
      <c r="I4332" s="62" t="n"/>
      <c r="J4332" s="58" t="n"/>
      <c r="K4332" s="63">
        <f>IF(tblMovement[[#This Row],[Source]]="","",IFERROR(INDEX(tblSources[Type],MATCH(tblMovement[[#This Row],[Source]],tblSources[Source],0)),"?"))</f>
        <v/>
      </c>
      <c r="L4332" s="63">
        <f>IF(tblMovement[[#This Row],[Destination]]="","",IFERROR(INDEX(tblDestinations[Type],MATCH(tblMovement[[#This Row],[Destination]],tblDestinations[Destination],0)),"?"))</f>
        <v/>
      </c>
      <c r="M4332" s="64">
        <f>IF(tblMovement[[#This Row],[Material]]="","",IF(LEFT(tblMovement[[#This Row],[Material]],3)="Ore",1,0))</f>
        <v/>
      </c>
      <c r="N4332" s="59">
        <f>IF(OR(tblMovement[[#This Row],[Tonnes_t]]="",tblMovement[[#This Row],[Grade_gpt]]=""),0,tblMovement[[#This Row],[Tonnes_t]]*tblMovement[[#This Row],[Grade_gpt]]/cfg_TroyOz)</f>
        <v/>
      </c>
      <c r="O4332" s="59">
        <f>IF(tblMovement[[#This Row],[Is_Ore]]=1,tblMovement[[#This Row],[Contained_oz]],0)</f>
        <v/>
      </c>
    </row>
    <row r="4333">
      <c r="A4333" s="54" t="n"/>
      <c r="B4333" s="61" t="n"/>
      <c r="C4333" s="61" t="n"/>
      <c r="D4333" s="61" t="n"/>
      <c r="E4333" s="61" t="n"/>
      <c r="F4333" s="55" t="n"/>
      <c r="G4333" s="56" t="n"/>
      <c r="H4333" s="55" t="n"/>
      <c r="I4333" s="62" t="n"/>
      <c r="J4333" s="58" t="n"/>
      <c r="K4333" s="63">
        <f>IF(tblMovement[[#This Row],[Source]]="","",IFERROR(INDEX(tblSources[Type],MATCH(tblMovement[[#This Row],[Source]],tblSources[Source],0)),"?"))</f>
        <v/>
      </c>
      <c r="L4333" s="63">
        <f>IF(tblMovement[[#This Row],[Destination]]="","",IFERROR(INDEX(tblDestinations[Type],MATCH(tblMovement[[#This Row],[Destination]],tblDestinations[Destination],0)),"?"))</f>
        <v/>
      </c>
      <c r="M4333" s="64">
        <f>IF(tblMovement[[#This Row],[Material]]="","",IF(LEFT(tblMovement[[#This Row],[Material]],3)="Ore",1,0))</f>
        <v/>
      </c>
      <c r="N4333" s="59">
        <f>IF(OR(tblMovement[[#This Row],[Tonnes_t]]="",tblMovement[[#This Row],[Grade_gpt]]=""),0,tblMovement[[#This Row],[Tonnes_t]]*tblMovement[[#This Row],[Grade_gpt]]/cfg_TroyOz)</f>
        <v/>
      </c>
      <c r="O4333" s="59">
        <f>IF(tblMovement[[#This Row],[Is_Ore]]=1,tblMovement[[#This Row],[Contained_oz]],0)</f>
        <v/>
      </c>
    </row>
    <row r="4334">
      <c r="A4334" s="54" t="n"/>
      <c r="B4334" s="61" t="n"/>
      <c r="C4334" s="61" t="n"/>
      <c r="D4334" s="61" t="n"/>
      <c r="E4334" s="61" t="n"/>
      <c r="F4334" s="55" t="n"/>
      <c r="G4334" s="56" t="n"/>
      <c r="H4334" s="55" t="n"/>
      <c r="I4334" s="62" t="n"/>
      <c r="J4334" s="58" t="n"/>
      <c r="K4334" s="63">
        <f>IF(tblMovement[[#This Row],[Source]]="","",IFERROR(INDEX(tblSources[Type],MATCH(tblMovement[[#This Row],[Source]],tblSources[Source],0)),"?"))</f>
        <v/>
      </c>
      <c r="L4334" s="63">
        <f>IF(tblMovement[[#This Row],[Destination]]="","",IFERROR(INDEX(tblDestinations[Type],MATCH(tblMovement[[#This Row],[Destination]],tblDestinations[Destination],0)),"?"))</f>
        <v/>
      </c>
      <c r="M4334" s="64">
        <f>IF(tblMovement[[#This Row],[Material]]="","",IF(LEFT(tblMovement[[#This Row],[Material]],3)="Ore",1,0))</f>
        <v/>
      </c>
      <c r="N4334" s="59">
        <f>IF(OR(tblMovement[[#This Row],[Tonnes_t]]="",tblMovement[[#This Row],[Grade_gpt]]=""),0,tblMovement[[#This Row],[Tonnes_t]]*tblMovement[[#This Row],[Grade_gpt]]/cfg_TroyOz)</f>
        <v/>
      </c>
      <c r="O4334" s="59">
        <f>IF(tblMovement[[#This Row],[Is_Ore]]=1,tblMovement[[#This Row],[Contained_oz]],0)</f>
        <v/>
      </c>
    </row>
    <row r="4335">
      <c r="A4335" s="54" t="n"/>
      <c r="B4335" s="61" t="n"/>
      <c r="C4335" s="61" t="n"/>
      <c r="D4335" s="61" t="n"/>
      <c r="E4335" s="61" t="n"/>
      <c r="F4335" s="55" t="n"/>
      <c r="G4335" s="56" t="n"/>
      <c r="H4335" s="55" t="n"/>
      <c r="I4335" s="62" t="n"/>
      <c r="J4335" s="58" t="n"/>
      <c r="K4335" s="63">
        <f>IF(tblMovement[[#This Row],[Source]]="","",IFERROR(INDEX(tblSources[Type],MATCH(tblMovement[[#This Row],[Source]],tblSources[Source],0)),"?"))</f>
        <v/>
      </c>
      <c r="L4335" s="63">
        <f>IF(tblMovement[[#This Row],[Destination]]="","",IFERROR(INDEX(tblDestinations[Type],MATCH(tblMovement[[#This Row],[Destination]],tblDestinations[Destination],0)),"?"))</f>
        <v/>
      </c>
      <c r="M4335" s="64">
        <f>IF(tblMovement[[#This Row],[Material]]="","",IF(LEFT(tblMovement[[#This Row],[Material]],3)="Ore",1,0))</f>
        <v/>
      </c>
      <c r="N4335" s="59">
        <f>IF(OR(tblMovement[[#This Row],[Tonnes_t]]="",tblMovement[[#This Row],[Grade_gpt]]=""),0,tblMovement[[#This Row],[Tonnes_t]]*tblMovement[[#This Row],[Grade_gpt]]/cfg_TroyOz)</f>
        <v/>
      </c>
      <c r="O4335" s="59">
        <f>IF(tblMovement[[#This Row],[Is_Ore]]=1,tblMovement[[#This Row],[Contained_oz]],0)</f>
        <v/>
      </c>
    </row>
    <row r="4336">
      <c r="A4336" s="54" t="n"/>
      <c r="B4336" s="61" t="n"/>
      <c r="C4336" s="61" t="n"/>
      <c r="D4336" s="61" t="n"/>
      <c r="E4336" s="61" t="n"/>
      <c r="F4336" s="55" t="n"/>
      <c r="G4336" s="56" t="n"/>
      <c r="H4336" s="55" t="n"/>
      <c r="I4336" s="62" t="n"/>
      <c r="J4336" s="58" t="n"/>
      <c r="K4336" s="63">
        <f>IF(tblMovement[[#This Row],[Source]]="","",IFERROR(INDEX(tblSources[Type],MATCH(tblMovement[[#This Row],[Source]],tblSources[Source],0)),"?"))</f>
        <v/>
      </c>
      <c r="L4336" s="63">
        <f>IF(tblMovement[[#This Row],[Destination]]="","",IFERROR(INDEX(tblDestinations[Type],MATCH(tblMovement[[#This Row],[Destination]],tblDestinations[Destination],0)),"?"))</f>
        <v/>
      </c>
      <c r="M4336" s="64">
        <f>IF(tblMovement[[#This Row],[Material]]="","",IF(LEFT(tblMovement[[#This Row],[Material]],3)="Ore",1,0))</f>
        <v/>
      </c>
      <c r="N4336" s="59">
        <f>IF(OR(tblMovement[[#This Row],[Tonnes_t]]="",tblMovement[[#This Row],[Grade_gpt]]=""),0,tblMovement[[#This Row],[Tonnes_t]]*tblMovement[[#This Row],[Grade_gpt]]/cfg_TroyOz)</f>
        <v/>
      </c>
      <c r="O4336" s="59">
        <f>IF(tblMovement[[#This Row],[Is_Ore]]=1,tblMovement[[#This Row],[Contained_oz]],0)</f>
        <v/>
      </c>
    </row>
    <row r="4337">
      <c r="A4337" s="54" t="n"/>
      <c r="B4337" s="61" t="n"/>
      <c r="C4337" s="61" t="n"/>
      <c r="D4337" s="61" t="n"/>
      <c r="E4337" s="61" t="n"/>
      <c r="F4337" s="55" t="n"/>
      <c r="G4337" s="56" t="n"/>
      <c r="H4337" s="55" t="n"/>
      <c r="I4337" s="62" t="n"/>
      <c r="J4337" s="58" t="n"/>
      <c r="K4337" s="63">
        <f>IF(tblMovement[[#This Row],[Source]]="","",IFERROR(INDEX(tblSources[Type],MATCH(tblMovement[[#This Row],[Source]],tblSources[Source],0)),"?"))</f>
        <v/>
      </c>
      <c r="L4337" s="63">
        <f>IF(tblMovement[[#This Row],[Destination]]="","",IFERROR(INDEX(tblDestinations[Type],MATCH(tblMovement[[#This Row],[Destination]],tblDestinations[Destination],0)),"?"))</f>
        <v/>
      </c>
      <c r="M4337" s="64">
        <f>IF(tblMovement[[#This Row],[Material]]="","",IF(LEFT(tblMovement[[#This Row],[Material]],3)="Ore",1,0))</f>
        <v/>
      </c>
      <c r="N4337" s="59">
        <f>IF(OR(tblMovement[[#This Row],[Tonnes_t]]="",tblMovement[[#This Row],[Grade_gpt]]=""),0,tblMovement[[#This Row],[Tonnes_t]]*tblMovement[[#This Row],[Grade_gpt]]/cfg_TroyOz)</f>
        <v/>
      </c>
      <c r="O4337" s="59">
        <f>IF(tblMovement[[#This Row],[Is_Ore]]=1,tblMovement[[#This Row],[Contained_oz]],0)</f>
        <v/>
      </c>
    </row>
    <row r="4338">
      <c r="A4338" s="54" t="n"/>
      <c r="B4338" s="61" t="n"/>
      <c r="C4338" s="61" t="n"/>
      <c r="D4338" s="61" t="n"/>
      <c r="E4338" s="61" t="n"/>
      <c r="F4338" s="55" t="n"/>
      <c r="G4338" s="56" t="n"/>
      <c r="H4338" s="55" t="n"/>
      <c r="I4338" s="62" t="n"/>
      <c r="J4338" s="58" t="n"/>
      <c r="K4338" s="63">
        <f>IF(tblMovement[[#This Row],[Source]]="","",IFERROR(INDEX(tblSources[Type],MATCH(tblMovement[[#This Row],[Source]],tblSources[Source],0)),"?"))</f>
        <v/>
      </c>
      <c r="L4338" s="63">
        <f>IF(tblMovement[[#This Row],[Destination]]="","",IFERROR(INDEX(tblDestinations[Type],MATCH(tblMovement[[#This Row],[Destination]],tblDestinations[Destination],0)),"?"))</f>
        <v/>
      </c>
      <c r="M4338" s="64">
        <f>IF(tblMovement[[#This Row],[Material]]="","",IF(LEFT(tblMovement[[#This Row],[Material]],3)="Ore",1,0))</f>
        <v/>
      </c>
      <c r="N4338" s="59">
        <f>IF(OR(tblMovement[[#This Row],[Tonnes_t]]="",tblMovement[[#This Row],[Grade_gpt]]=""),0,tblMovement[[#This Row],[Tonnes_t]]*tblMovement[[#This Row],[Grade_gpt]]/cfg_TroyOz)</f>
        <v/>
      </c>
      <c r="O4338" s="59">
        <f>IF(tblMovement[[#This Row],[Is_Ore]]=1,tblMovement[[#This Row],[Contained_oz]],0)</f>
        <v/>
      </c>
    </row>
    <row r="4339">
      <c r="A4339" s="54" t="n"/>
      <c r="B4339" s="61" t="n"/>
      <c r="C4339" s="61" t="n"/>
      <c r="D4339" s="61" t="n"/>
      <c r="E4339" s="61" t="n"/>
      <c r="F4339" s="55" t="n"/>
      <c r="G4339" s="56" t="n"/>
      <c r="H4339" s="55" t="n"/>
      <c r="I4339" s="62" t="n"/>
      <c r="J4339" s="58" t="n"/>
      <c r="K4339" s="63">
        <f>IF(tblMovement[[#This Row],[Source]]="","",IFERROR(INDEX(tblSources[Type],MATCH(tblMovement[[#This Row],[Source]],tblSources[Source],0)),"?"))</f>
        <v/>
      </c>
      <c r="L4339" s="63">
        <f>IF(tblMovement[[#This Row],[Destination]]="","",IFERROR(INDEX(tblDestinations[Type],MATCH(tblMovement[[#This Row],[Destination]],tblDestinations[Destination],0)),"?"))</f>
        <v/>
      </c>
      <c r="M4339" s="64">
        <f>IF(tblMovement[[#This Row],[Material]]="","",IF(LEFT(tblMovement[[#This Row],[Material]],3)="Ore",1,0))</f>
        <v/>
      </c>
      <c r="N4339" s="59">
        <f>IF(OR(tblMovement[[#This Row],[Tonnes_t]]="",tblMovement[[#This Row],[Grade_gpt]]=""),0,tblMovement[[#This Row],[Tonnes_t]]*tblMovement[[#This Row],[Grade_gpt]]/cfg_TroyOz)</f>
        <v/>
      </c>
      <c r="O4339" s="59">
        <f>IF(tblMovement[[#This Row],[Is_Ore]]=1,tblMovement[[#This Row],[Contained_oz]],0)</f>
        <v/>
      </c>
    </row>
    <row r="4340">
      <c r="A4340" s="54" t="n"/>
      <c r="B4340" s="61" t="n"/>
      <c r="C4340" s="61" t="n"/>
      <c r="D4340" s="61" t="n"/>
      <c r="E4340" s="61" t="n"/>
      <c r="F4340" s="55" t="n"/>
      <c r="G4340" s="56" t="n"/>
      <c r="H4340" s="55" t="n"/>
      <c r="I4340" s="62" t="n"/>
      <c r="J4340" s="58" t="n"/>
      <c r="K4340" s="63">
        <f>IF(tblMovement[[#This Row],[Source]]="","",IFERROR(INDEX(tblSources[Type],MATCH(tblMovement[[#This Row],[Source]],tblSources[Source],0)),"?"))</f>
        <v/>
      </c>
      <c r="L4340" s="63">
        <f>IF(tblMovement[[#This Row],[Destination]]="","",IFERROR(INDEX(tblDestinations[Type],MATCH(tblMovement[[#This Row],[Destination]],tblDestinations[Destination],0)),"?"))</f>
        <v/>
      </c>
      <c r="M4340" s="64">
        <f>IF(tblMovement[[#This Row],[Material]]="","",IF(LEFT(tblMovement[[#This Row],[Material]],3)="Ore",1,0))</f>
        <v/>
      </c>
      <c r="N4340" s="59">
        <f>IF(OR(tblMovement[[#This Row],[Tonnes_t]]="",tblMovement[[#This Row],[Grade_gpt]]=""),0,tblMovement[[#This Row],[Tonnes_t]]*tblMovement[[#This Row],[Grade_gpt]]/cfg_TroyOz)</f>
        <v/>
      </c>
      <c r="O4340" s="59">
        <f>IF(tblMovement[[#This Row],[Is_Ore]]=1,tblMovement[[#This Row],[Contained_oz]],0)</f>
        <v/>
      </c>
    </row>
    <row r="4341">
      <c r="A4341" s="54" t="n"/>
      <c r="B4341" s="61" t="n"/>
      <c r="C4341" s="61" t="n"/>
      <c r="D4341" s="61" t="n"/>
      <c r="E4341" s="61" t="n"/>
      <c r="F4341" s="55" t="n"/>
      <c r="G4341" s="56" t="n"/>
      <c r="H4341" s="55" t="n"/>
      <c r="I4341" s="62" t="n"/>
      <c r="J4341" s="58" t="n"/>
      <c r="K4341" s="63">
        <f>IF(tblMovement[[#This Row],[Source]]="","",IFERROR(INDEX(tblSources[Type],MATCH(tblMovement[[#This Row],[Source]],tblSources[Source],0)),"?"))</f>
        <v/>
      </c>
      <c r="L4341" s="63">
        <f>IF(tblMovement[[#This Row],[Destination]]="","",IFERROR(INDEX(tblDestinations[Type],MATCH(tblMovement[[#This Row],[Destination]],tblDestinations[Destination],0)),"?"))</f>
        <v/>
      </c>
      <c r="M4341" s="64">
        <f>IF(tblMovement[[#This Row],[Material]]="","",IF(LEFT(tblMovement[[#This Row],[Material]],3)="Ore",1,0))</f>
        <v/>
      </c>
      <c r="N4341" s="59">
        <f>IF(OR(tblMovement[[#This Row],[Tonnes_t]]="",tblMovement[[#This Row],[Grade_gpt]]=""),0,tblMovement[[#This Row],[Tonnes_t]]*tblMovement[[#This Row],[Grade_gpt]]/cfg_TroyOz)</f>
        <v/>
      </c>
      <c r="O4341" s="59">
        <f>IF(tblMovement[[#This Row],[Is_Ore]]=1,tblMovement[[#This Row],[Contained_oz]],0)</f>
        <v/>
      </c>
    </row>
    <row r="4342">
      <c r="A4342" s="54" t="n"/>
      <c r="B4342" s="61" t="n"/>
      <c r="C4342" s="61" t="n"/>
      <c r="D4342" s="61" t="n"/>
      <c r="E4342" s="61" t="n"/>
      <c r="F4342" s="55" t="n"/>
      <c r="G4342" s="56" t="n"/>
      <c r="H4342" s="55" t="n"/>
      <c r="I4342" s="62" t="n"/>
      <c r="J4342" s="58" t="n"/>
      <c r="K4342" s="63">
        <f>IF(tblMovement[[#This Row],[Source]]="","",IFERROR(INDEX(tblSources[Type],MATCH(tblMovement[[#This Row],[Source]],tblSources[Source],0)),"?"))</f>
        <v/>
      </c>
      <c r="L4342" s="63">
        <f>IF(tblMovement[[#This Row],[Destination]]="","",IFERROR(INDEX(tblDestinations[Type],MATCH(tblMovement[[#This Row],[Destination]],tblDestinations[Destination],0)),"?"))</f>
        <v/>
      </c>
      <c r="M4342" s="64">
        <f>IF(tblMovement[[#This Row],[Material]]="","",IF(LEFT(tblMovement[[#This Row],[Material]],3)="Ore",1,0))</f>
        <v/>
      </c>
      <c r="N4342" s="59">
        <f>IF(OR(tblMovement[[#This Row],[Tonnes_t]]="",tblMovement[[#This Row],[Grade_gpt]]=""),0,tblMovement[[#This Row],[Tonnes_t]]*tblMovement[[#This Row],[Grade_gpt]]/cfg_TroyOz)</f>
        <v/>
      </c>
      <c r="O4342" s="59">
        <f>IF(tblMovement[[#This Row],[Is_Ore]]=1,tblMovement[[#This Row],[Contained_oz]],0)</f>
        <v/>
      </c>
    </row>
    <row r="4343">
      <c r="A4343" s="54" t="n"/>
      <c r="B4343" s="61" t="n"/>
      <c r="C4343" s="61" t="n"/>
      <c r="D4343" s="61" t="n"/>
      <c r="E4343" s="61" t="n"/>
      <c r="F4343" s="55" t="n"/>
      <c r="G4343" s="56" t="n"/>
      <c r="H4343" s="55" t="n"/>
      <c r="I4343" s="62" t="n"/>
      <c r="J4343" s="58" t="n"/>
      <c r="K4343" s="63">
        <f>IF(tblMovement[[#This Row],[Source]]="","",IFERROR(INDEX(tblSources[Type],MATCH(tblMovement[[#This Row],[Source]],tblSources[Source],0)),"?"))</f>
        <v/>
      </c>
      <c r="L4343" s="63">
        <f>IF(tblMovement[[#This Row],[Destination]]="","",IFERROR(INDEX(tblDestinations[Type],MATCH(tblMovement[[#This Row],[Destination]],tblDestinations[Destination],0)),"?"))</f>
        <v/>
      </c>
      <c r="M4343" s="64">
        <f>IF(tblMovement[[#This Row],[Material]]="","",IF(LEFT(tblMovement[[#This Row],[Material]],3)="Ore",1,0))</f>
        <v/>
      </c>
      <c r="N4343" s="59">
        <f>IF(OR(tblMovement[[#This Row],[Tonnes_t]]="",tblMovement[[#This Row],[Grade_gpt]]=""),0,tblMovement[[#This Row],[Tonnes_t]]*tblMovement[[#This Row],[Grade_gpt]]/cfg_TroyOz)</f>
        <v/>
      </c>
      <c r="O4343" s="59">
        <f>IF(tblMovement[[#This Row],[Is_Ore]]=1,tblMovement[[#This Row],[Contained_oz]],0)</f>
        <v/>
      </c>
    </row>
    <row r="4344">
      <c r="A4344" s="54" t="n"/>
      <c r="B4344" s="61" t="n"/>
      <c r="C4344" s="61" t="n"/>
      <c r="D4344" s="61" t="n"/>
      <c r="E4344" s="61" t="n"/>
      <c r="F4344" s="55" t="n"/>
      <c r="G4344" s="56" t="n"/>
      <c r="H4344" s="55" t="n"/>
      <c r="I4344" s="62" t="n"/>
      <c r="J4344" s="58" t="n"/>
      <c r="K4344" s="63">
        <f>IF(tblMovement[[#This Row],[Source]]="","",IFERROR(INDEX(tblSources[Type],MATCH(tblMovement[[#This Row],[Source]],tblSources[Source],0)),"?"))</f>
        <v/>
      </c>
      <c r="L4344" s="63">
        <f>IF(tblMovement[[#This Row],[Destination]]="","",IFERROR(INDEX(tblDestinations[Type],MATCH(tblMovement[[#This Row],[Destination]],tblDestinations[Destination],0)),"?"))</f>
        <v/>
      </c>
      <c r="M4344" s="64">
        <f>IF(tblMovement[[#This Row],[Material]]="","",IF(LEFT(tblMovement[[#This Row],[Material]],3)="Ore",1,0))</f>
        <v/>
      </c>
      <c r="N4344" s="59">
        <f>IF(OR(tblMovement[[#This Row],[Tonnes_t]]="",tblMovement[[#This Row],[Grade_gpt]]=""),0,tblMovement[[#This Row],[Tonnes_t]]*tblMovement[[#This Row],[Grade_gpt]]/cfg_TroyOz)</f>
        <v/>
      </c>
      <c r="O4344" s="59">
        <f>IF(tblMovement[[#This Row],[Is_Ore]]=1,tblMovement[[#This Row],[Contained_oz]],0)</f>
        <v/>
      </c>
    </row>
    <row r="4345">
      <c r="A4345" s="54" t="n"/>
      <c r="B4345" s="61" t="n"/>
      <c r="C4345" s="61" t="n"/>
      <c r="D4345" s="61" t="n"/>
      <c r="E4345" s="61" t="n"/>
      <c r="F4345" s="55" t="n"/>
      <c r="G4345" s="56" t="n"/>
      <c r="H4345" s="55" t="n"/>
      <c r="I4345" s="62" t="n"/>
      <c r="J4345" s="58" t="n"/>
      <c r="K4345" s="63">
        <f>IF(tblMovement[[#This Row],[Source]]="","",IFERROR(INDEX(tblSources[Type],MATCH(tblMovement[[#This Row],[Source]],tblSources[Source],0)),"?"))</f>
        <v/>
      </c>
      <c r="L4345" s="63">
        <f>IF(tblMovement[[#This Row],[Destination]]="","",IFERROR(INDEX(tblDestinations[Type],MATCH(tblMovement[[#This Row],[Destination]],tblDestinations[Destination],0)),"?"))</f>
        <v/>
      </c>
      <c r="M4345" s="64">
        <f>IF(tblMovement[[#This Row],[Material]]="","",IF(LEFT(tblMovement[[#This Row],[Material]],3)="Ore",1,0))</f>
        <v/>
      </c>
      <c r="N4345" s="59">
        <f>IF(OR(tblMovement[[#This Row],[Tonnes_t]]="",tblMovement[[#This Row],[Grade_gpt]]=""),0,tblMovement[[#This Row],[Tonnes_t]]*tblMovement[[#This Row],[Grade_gpt]]/cfg_TroyOz)</f>
        <v/>
      </c>
      <c r="O4345" s="59">
        <f>IF(tblMovement[[#This Row],[Is_Ore]]=1,tblMovement[[#This Row],[Contained_oz]],0)</f>
        <v/>
      </c>
    </row>
    <row r="4346">
      <c r="A4346" s="54" t="n"/>
      <c r="B4346" s="61" t="n"/>
      <c r="C4346" s="61" t="n"/>
      <c r="D4346" s="61" t="n"/>
      <c r="E4346" s="61" t="n"/>
      <c r="F4346" s="55" t="n"/>
      <c r="G4346" s="56" t="n"/>
      <c r="H4346" s="55" t="n"/>
      <c r="I4346" s="62" t="n"/>
      <c r="J4346" s="58" t="n"/>
      <c r="K4346" s="63">
        <f>IF(tblMovement[[#This Row],[Source]]="","",IFERROR(INDEX(tblSources[Type],MATCH(tblMovement[[#This Row],[Source]],tblSources[Source],0)),"?"))</f>
        <v/>
      </c>
      <c r="L4346" s="63">
        <f>IF(tblMovement[[#This Row],[Destination]]="","",IFERROR(INDEX(tblDestinations[Type],MATCH(tblMovement[[#This Row],[Destination]],tblDestinations[Destination],0)),"?"))</f>
        <v/>
      </c>
      <c r="M4346" s="64">
        <f>IF(tblMovement[[#This Row],[Material]]="","",IF(LEFT(tblMovement[[#This Row],[Material]],3)="Ore",1,0))</f>
        <v/>
      </c>
      <c r="N4346" s="59">
        <f>IF(OR(tblMovement[[#This Row],[Tonnes_t]]="",tblMovement[[#This Row],[Grade_gpt]]=""),0,tblMovement[[#This Row],[Tonnes_t]]*tblMovement[[#This Row],[Grade_gpt]]/cfg_TroyOz)</f>
        <v/>
      </c>
      <c r="O4346" s="59">
        <f>IF(tblMovement[[#This Row],[Is_Ore]]=1,tblMovement[[#This Row],[Contained_oz]],0)</f>
        <v/>
      </c>
    </row>
    <row r="4347">
      <c r="A4347" s="54" t="n"/>
      <c r="B4347" s="61" t="n"/>
      <c r="C4347" s="61" t="n"/>
      <c r="D4347" s="61" t="n"/>
      <c r="E4347" s="61" t="n"/>
      <c r="F4347" s="55" t="n"/>
      <c r="G4347" s="56" t="n"/>
      <c r="H4347" s="55" t="n"/>
      <c r="I4347" s="62" t="n"/>
      <c r="J4347" s="58" t="n"/>
      <c r="K4347" s="63">
        <f>IF(tblMovement[[#This Row],[Source]]="","",IFERROR(INDEX(tblSources[Type],MATCH(tblMovement[[#This Row],[Source]],tblSources[Source],0)),"?"))</f>
        <v/>
      </c>
      <c r="L4347" s="63">
        <f>IF(tblMovement[[#This Row],[Destination]]="","",IFERROR(INDEX(tblDestinations[Type],MATCH(tblMovement[[#This Row],[Destination]],tblDestinations[Destination],0)),"?"))</f>
        <v/>
      </c>
      <c r="M4347" s="64">
        <f>IF(tblMovement[[#This Row],[Material]]="","",IF(LEFT(tblMovement[[#This Row],[Material]],3)="Ore",1,0))</f>
        <v/>
      </c>
      <c r="N4347" s="59">
        <f>IF(OR(tblMovement[[#This Row],[Tonnes_t]]="",tblMovement[[#This Row],[Grade_gpt]]=""),0,tblMovement[[#This Row],[Tonnes_t]]*tblMovement[[#This Row],[Grade_gpt]]/cfg_TroyOz)</f>
        <v/>
      </c>
      <c r="O4347" s="59">
        <f>IF(tblMovement[[#This Row],[Is_Ore]]=1,tblMovement[[#This Row],[Contained_oz]],0)</f>
        <v/>
      </c>
    </row>
    <row r="4348">
      <c r="A4348" s="54" t="n"/>
      <c r="B4348" s="61" t="n"/>
      <c r="C4348" s="61" t="n"/>
      <c r="D4348" s="61" t="n"/>
      <c r="E4348" s="61" t="n"/>
      <c r="F4348" s="55" t="n"/>
      <c r="G4348" s="56" t="n"/>
      <c r="H4348" s="55" t="n"/>
      <c r="I4348" s="62" t="n"/>
      <c r="J4348" s="58" t="n"/>
      <c r="K4348" s="63">
        <f>IF(tblMovement[[#This Row],[Source]]="","",IFERROR(INDEX(tblSources[Type],MATCH(tblMovement[[#This Row],[Source]],tblSources[Source],0)),"?"))</f>
        <v/>
      </c>
      <c r="L4348" s="63">
        <f>IF(tblMovement[[#This Row],[Destination]]="","",IFERROR(INDEX(tblDestinations[Type],MATCH(tblMovement[[#This Row],[Destination]],tblDestinations[Destination],0)),"?"))</f>
        <v/>
      </c>
      <c r="M4348" s="64">
        <f>IF(tblMovement[[#This Row],[Material]]="","",IF(LEFT(tblMovement[[#This Row],[Material]],3)="Ore",1,0))</f>
        <v/>
      </c>
      <c r="N4348" s="59">
        <f>IF(OR(tblMovement[[#This Row],[Tonnes_t]]="",tblMovement[[#This Row],[Grade_gpt]]=""),0,tblMovement[[#This Row],[Tonnes_t]]*tblMovement[[#This Row],[Grade_gpt]]/cfg_TroyOz)</f>
        <v/>
      </c>
      <c r="O4348" s="59">
        <f>IF(tblMovement[[#This Row],[Is_Ore]]=1,tblMovement[[#This Row],[Contained_oz]],0)</f>
        <v/>
      </c>
    </row>
    <row r="4349">
      <c r="A4349" s="54" t="n"/>
      <c r="B4349" s="61" t="n"/>
      <c r="C4349" s="61" t="n"/>
      <c r="D4349" s="61" t="n"/>
      <c r="E4349" s="61" t="n"/>
      <c r="F4349" s="55" t="n"/>
      <c r="G4349" s="56" t="n"/>
      <c r="H4349" s="55" t="n"/>
      <c r="I4349" s="62" t="n"/>
      <c r="J4349" s="58" t="n"/>
      <c r="K4349" s="63">
        <f>IF(tblMovement[[#This Row],[Source]]="","",IFERROR(INDEX(tblSources[Type],MATCH(tblMovement[[#This Row],[Source]],tblSources[Source],0)),"?"))</f>
        <v/>
      </c>
      <c r="L4349" s="63">
        <f>IF(tblMovement[[#This Row],[Destination]]="","",IFERROR(INDEX(tblDestinations[Type],MATCH(tblMovement[[#This Row],[Destination]],tblDestinations[Destination],0)),"?"))</f>
        <v/>
      </c>
      <c r="M4349" s="64">
        <f>IF(tblMovement[[#This Row],[Material]]="","",IF(LEFT(tblMovement[[#This Row],[Material]],3)="Ore",1,0))</f>
        <v/>
      </c>
      <c r="N4349" s="59">
        <f>IF(OR(tblMovement[[#This Row],[Tonnes_t]]="",tblMovement[[#This Row],[Grade_gpt]]=""),0,tblMovement[[#This Row],[Tonnes_t]]*tblMovement[[#This Row],[Grade_gpt]]/cfg_TroyOz)</f>
        <v/>
      </c>
      <c r="O4349" s="59">
        <f>IF(tblMovement[[#This Row],[Is_Ore]]=1,tblMovement[[#This Row],[Contained_oz]],0)</f>
        <v/>
      </c>
    </row>
    <row r="4350">
      <c r="A4350" s="54" t="n"/>
      <c r="B4350" s="61" t="n"/>
      <c r="C4350" s="61" t="n"/>
      <c r="D4350" s="61" t="n"/>
      <c r="E4350" s="61" t="n"/>
      <c r="F4350" s="55" t="n"/>
      <c r="G4350" s="56" t="n"/>
      <c r="H4350" s="55" t="n"/>
      <c r="I4350" s="62" t="n"/>
      <c r="J4350" s="58" t="n"/>
      <c r="K4350" s="63">
        <f>IF(tblMovement[[#This Row],[Source]]="","",IFERROR(INDEX(tblSources[Type],MATCH(tblMovement[[#This Row],[Source]],tblSources[Source],0)),"?"))</f>
        <v/>
      </c>
      <c r="L4350" s="63">
        <f>IF(tblMovement[[#This Row],[Destination]]="","",IFERROR(INDEX(tblDestinations[Type],MATCH(tblMovement[[#This Row],[Destination]],tblDestinations[Destination],0)),"?"))</f>
        <v/>
      </c>
      <c r="M4350" s="64">
        <f>IF(tblMovement[[#This Row],[Material]]="","",IF(LEFT(tblMovement[[#This Row],[Material]],3)="Ore",1,0))</f>
        <v/>
      </c>
      <c r="N4350" s="59">
        <f>IF(OR(tblMovement[[#This Row],[Tonnes_t]]="",tblMovement[[#This Row],[Grade_gpt]]=""),0,tblMovement[[#This Row],[Tonnes_t]]*tblMovement[[#This Row],[Grade_gpt]]/cfg_TroyOz)</f>
        <v/>
      </c>
      <c r="O4350" s="59">
        <f>IF(tblMovement[[#This Row],[Is_Ore]]=1,tblMovement[[#This Row],[Contained_oz]],0)</f>
        <v/>
      </c>
    </row>
    <row r="4351">
      <c r="A4351" s="54" t="n"/>
      <c r="B4351" s="61" t="n"/>
      <c r="C4351" s="61" t="n"/>
      <c r="D4351" s="61" t="n"/>
      <c r="E4351" s="61" t="n"/>
      <c r="F4351" s="55" t="n"/>
      <c r="G4351" s="56" t="n"/>
      <c r="H4351" s="55" t="n"/>
      <c r="I4351" s="62" t="n"/>
      <c r="J4351" s="58" t="n"/>
      <c r="K4351" s="63">
        <f>IF(tblMovement[[#This Row],[Source]]="","",IFERROR(INDEX(tblSources[Type],MATCH(tblMovement[[#This Row],[Source]],tblSources[Source],0)),"?"))</f>
        <v/>
      </c>
      <c r="L4351" s="63">
        <f>IF(tblMovement[[#This Row],[Destination]]="","",IFERROR(INDEX(tblDestinations[Type],MATCH(tblMovement[[#This Row],[Destination]],tblDestinations[Destination],0)),"?"))</f>
        <v/>
      </c>
      <c r="M4351" s="64">
        <f>IF(tblMovement[[#This Row],[Material]]="","",IF(LEFT(tblMovement[[#This Row],[Material]],3)="Ore",1,0))</f>
        <v/>
      </c>
      <c r="N4351" s="59">
        <f>IF(OR(tblMovement[[#This Row],[Tonnes_t]]="",tblMovement[[#This Row],[Grade_gpt]]=""),0,tblMovement[[#This Row],[Tonnes_t]]*tblMovement[[#This Row],[Grade_gpt]]/cfg_TroyOz)</f>
        <v/>
      </c>
      <c r="O4351" s="59">
        <f>IF(tblMovement[[#This Row],[Is_Ore]]=1,tblMovement[[#This Row],[Contained_oz]],0)</f>
        <v/>
      </c>
    </row>
    <row r="4352">
      <c r="A4352" s="54" t="n"/>
      <c r="B4352" s="61" t="n"/>
      <c r="C4352" s="61" t="n"/>
      <c r="D4352" s="61" t="n"/>
      <c r="E4352" s="61" t="n"/>
      <c r="F4352" s="55" t="n"/>
      <c r="G4352" s="56" t="n"/>
      <c r="H4352" s="55" t="n"/>
      <c r="I4352" s="62" t="n"/>
      <c r="J4352" s="58" t="n"/>
      <c r="K4352" s="63">
        <f>IF(tblMovement[[#This Row],[Source]]="","",IFERROR(INDEX(tblSources[Type],MATCH(tblMovement[[#This Row],[Source]],tblSources[Source],0)),"?"))</f>
        <v/>
      </c>
      <c r="L4352" s="63">
        <f>IF(tblMovement[[#This Row],[Destination]]="","",IFERROR(INDEX(tblDestinations[Type],MATCH(tblMovement[[#This Row],[Destination]],tblDestinations[Destination],0)),"?"))</f>
        <v/>
      </c>
      <c r="M4352" s="64">
        <f>IF(tblMovement[[#This Row],[Material]]="","",IF(LEFT(tblMovement[[#This Row],[Material]],3)="Ore",1,0))</f>
        <v/>
      </c>
      <c r="N4352" s="59">
        <f>IF(OR(tblMovement[[#This Row],[Tonnes_t]]="",tblMovement[[#This Row],[Grade_gpt]]=""),0,tblMovement[[#This Row],[Tonnes_t]]*tblMovement[[#This Row],[Grade_gpt]]/cfg_TroyOz)</f>
        <v/>
      </c>
      <c r="O4352" s="59">
        <f>IF(tblMovement[[#This Row],[Is_Ore]]=1,tblMovement[[#This Row],[Contained_oz]],0)</f>
        <v/>
      </c>
    </row>
    <row r="4353">
      <c r="A4353" s="54" t="n"/>
      <c r="B4353" s="61" t="n"/>
      <c r="C4353" s="61" t="n"/>
      <c r="D4353" s="61" t="n"/>
      <c r="E4353" s="61" t="n"/>
      <c r="F4353" s="55" t="n"/>
      <c r="G4353" s="56" t="n"/>
      <c r="H4353" s="55" t="n"/>
      <c r="I4353" s="62" t="n"/>
      <c r="J4353" s="58" t="n"/>
      <c r="K4353" s="63">
        <f>IF(tblMovement[[#This Row],[Source]]="","",IFERROR(INDEX(tblSources[Type],MATCH(tblMovement[[#This Row],[Source]],tblSources[Source],0)),"?"))</f>
        <v/>
      </c>
      <c r="L4353" s="63">
        <f>IF(tblMovement[[#This Row],[Destination]]="","",IFERROR(INDEX(tblDestinations[Type],MATCH(tblMovement[[#This Row],[Destination]],tblDestinations[Destination],0)),"?"))</f>
        <v/>
      </c>
      <c r="M4353" s="64">
        <f>IF(tblMovement[[#This Row],[Material]]="","",IF(LEFT(tblMovement[[#This Row],[Material]],3)="Ore",1,0))</f>
        <v/>
      </c>
      <c r="N4353" s="59">
        <f>IF(OR(tblMovement[[#This Row],[Tonnes_t]]="",tblMovement[[#This Row],[Grade_gpt]]=""),0,tblMovement[[#This Row],[Tonnes_t]]*tblMovement[[#This Row],[Grade_gpt]]/cfg_TroyOz)</f>
        <v/>
      </c>
      <c r="O4353" s="59">
        <f>IF(tblMovement[[#This Row],[Is_Ore]]=1,tblMovement[[#This Row],[Contained_oz]],0)</f>
        <v/>
      </c>
    </row>
    <row r="4354">
      <c r="A4354" s="54" t="n"/>
      <c r="B4354" s="61" t="n"/>
      <c r="C4354" s="61" t="n"/>
      <c r="D4354" s="61" t="n"/>
      <c r="E4354" s="61" t="n"/>
      <c r="F4354" s="55" t="n"/>
      <c r="G4354" s="56" t="n"/>
      <c r="H4354" s="55" t="n"/>
      <c r="I4354" s="62" t="n"/>
      <c r="J4354" s="58" t="n"/>
      <c r="K4354" s="63">
        <f>IF(tblMovement[[#This Row],[Source]]="","",IFERROR(INDEX(tblSources[Type],MATCH(tblMovement[[#This Row],[Source]],tblSources[Source],0)),"?"))</f>
        <v/>
      </c>
      <c r="L4354" s="63">
        <f>IF(tblMovement[[#This Row],[Destination]]="","",IFERROR(INDEX(tblDestinations[Type],MATCH(tblMovement[[#This Row],[Destination]],tblDestinations[Destination],0)),"?"))</f>
        <v/>
      </c>
      <c r="M4354" s="64">
        <f>IF(tblMovement[[#This Row],[Material]]="","",IF(LEFT(tblMovement[[#This Row],[Material]],3)="Ore",1,0))</f>
        <v/>
      </c>
      <c r="N4354" s="59">
        <f>IF(OR(tblMovement[[#This Row],[Tonnes_t]]="",tblMovement[[#This Row],[Grade_gpt]]=""),0,tblMovement[[#This Row],[Tonnes_t]]*tblMovement[[#This Row],[Grade_gpt]]/cfg_TroyOz)</f>
        <v/>
      </c>
      <c r="O4354" s="59">
        <f>IF(tblMovement[[#This Row],[Is_Ore]]=1,tblMovement[[#This Row],[Contained_oz]],0)</f>
        <v/>
      </c>
    </row>
    <row r="4355">
      <c r="A4355" s="54" t="n"/>
      <c r="B4355" s="61" t="n"/>
      <c r="C4355" s="61" t="n"/>
      <c r="D4355" s="61" t="n"/>
      <c r="E4355" s="61" t="n"/>
      <c r="F4355" s="55" t="n"/>
      <c r="G4355" s="56" t="n"/>
      <c r="H4355" s="55" t="n"/>
      <c r="I4355" s="62" t="n"/>
      <c r="J4355" s="58" t="n"/>
      <c r="K4355" s="63">
        <f>IF(tblMovement[[#This Row],[Source]]="","",IFERROR(INDEX(tblSources[Type],MATCH(tblMovement[[#This Row],[Source]],tblSources[Source],0)),"?"))</f>
        <v/>
      </c>
      <c r="L4355" s="63">
        <f>IF(tblMovement[[#This Row],[Destination]]="","",IFERROR(INDEX(tblDestinations[Type],MATCH(tblMovement[[#This Row],[Destination]],tblDestinations[Destination],0)),"?"))</f>
        <v/>
      </c>
      <c r="M4355" s="64">
        <f>IF(tblMovement[[#This Row],[Material]]="","",IF(LEFT(tblMovement[[#This Row],[Material]],3)="Ore",1,0))</f>
        <v/>
      </c>
      <c r="N4355" s="59">
        <f>IF(OR(tblMovement[[#This Row],[Tonnes_t]]="",tblMovement[[#This Row],[Grade_gpt]]=""),0,tblMovement[[#This Row],[Tonnes_t]]*tblMovement[[#This Row],[Grade_gpt]]/cfg_TroyOz)</f>
        <v/>
      </c>
      <c r="O4355" s="59">
        <f>IF(tblMovement[[#This Row],[Is_Ore]]=1,tblMovement[[#This Row],[Contained_oz]],0)</f>
        <v/>
      </c>
    </row>
    <row r="4356">
      <c r="A4356" s="54" t="n"/>
      <c r="B4356" s="61" t="n"/>
      <c r="C4356" s="61" t="n"/>
      <c r="D4356" s="61" t="n"/>
      <c r="E4356" s="61" t="n"/>
      <c r="F4356" s="55" t="n"/>
      <c r="G4356" s="56" t="n"/>
      <c r="H4356" s="55" t="n"/>
      <c r="I4356" s="62" t="n"/>
      <c r="J4356" s="58" t="n"/>
      <c r="K4356" s="63">
        <f>IF(tblMovement[[#This Row],[Source]]="","",IFERROR(INDEX(tblSources[Type],MATCH(tblMovement[[#This Row],[Source]],tblSources[Source],0)),"?"))</f>
        <v/>
      </c>
      <c r="L4356" s="63">
        <f>IF(tblMovement[[#This Row],[Destination]]="","",IFERROR(INDEX(tblDestinations[Type],MATCH(tblMovement[[#This Row],[Destination]],tblDestinations[Destination],0)),"?"))</f>
        <v/>
      </c>
      <c r="M4356" s="64">
        <f>IF(tblMovement[[#This Row],[Material]]="","",IF(LEFT(tblMovement[[#This Row],[Material]],3)="Ore",1,0))</f>
        <v/>
      </c>
      <c r="N4356" s="59">
        <f>IF(OR(tblMovement[[#This Row],[Tonnes_t]]="",tblMovement[[#This Row],[Grade_gpt]]=""),0,tblMovement[[#This Row],[Tonnes_t]]*tblMovement[[#This Row],[Grade_gpt]]/cfg_TroyOz)</f>
        <v/>
      </c>
      <c r="O4356" s="59">
        <f>IF(tblMovement[[#This Row],[Is_Ore]]=1,tblMovement[[#This Row],[Contained_oz]],0)</f>
        <v/>
      </c>
    </row>
    <row r="4357">
      <c r="A4357" s="54" t="n"/>
      <c r="B4357" s="61" t="n"/>
      <c r="C4357" s="61" t="n"/>
      <c r="D4357" s="61" t="n"/>
      <c r="E4357" s="61" t="n"/>
      <c r="F4357" s="55" t="n"/>
      <c r="G4357" s="56" t="n"/>
      <c r="H4357" s="55" t="n"/>
      <c r="I4357" s="62" t="n"/>
      <c r="J4357" s="58" t="n"/>
      <c r="K4357" s="63">
        <f>IF(tblMovement[[#This Row],[Source]]="","",IFERROR(INDEX(tblSources[Type],MATCH(tblMovement[[#This Row],[Source]],tblSources[Source],0)),"?"))</f>
        <v/>
      </c>
      <c r="L4357" s="63">
        <f>IF(tblMovement[[#This Row],[Destination]]="","",IFERROR(INDEX(tblDestinations[Type],MATCH(tblMovement[[#This Row],[Destination]],tblDestinations[Destination],0)),"?"))</f>
        <v/>
      </c>
      <c r="M4357" s="64">
        <f>IF(tblMovement[[#This Row],[Material]]="","",IF(LEFT(tblMovement[[#This Row],[Material]],3)="Ore",1,0))</f>
        <v/>
      </c>
      <c r="N4357" s="59">
        <f>IF(OR(tblMovement[[#This Row],[Tonnes_t]]="",tblMovement[[#This Row],[Grade_gpt]]=""),0,tblMovement[[#This Row],[Tonnes_t]]*tblMovement[[#This Row],[Grade_gpt]]/cfg_TroyOz)</f>
        <v/>
      </c>
      <c r="O4357" s="59">
        <f>IF(tblMovement[[#This Row],[Is_Ore]]=1,tblMovement[[#This Row],[Contained_oz]],0)</f>
        <v/>
      </c>
    </row>
    <row r="4358">
      <c r="A4358" s="54" t="n"/>
      <c r="B4358" s="61" t="n"/>
      <c r="C4358" s="61" t="n"/>
      <c r="D4358" s="61" t="n"/>
      <c r="E4358" s="61" t="n"/>
      <c r="F4358" s="55" t="n"/>
      <c r="G4358" s="56" t="n"/>
      <c r="H4358" s="55" t="n"/>
      <c r="I4358" s="62" t="n"/>
      <c r="J4358" s="58" t="n"/>
      <c r="K4358" s="63">
        <f>IF(tblMovement[[#This Row],[Source]]="","",IFERROR(INDEX(tblSources[Type],MATCH(tblMovement[[#This Row],[Source]],tblSources[Source],0)),"?"))</f>
        <v/>
      </c>
      <c r="L4358" s="63">
        <f>IF(tblMovement[[#This Row],[Destination]]="","",IFERROR(INDEX(tblDestinations[Type],MATCH(tblMovement[[#This Row],[Destination]],tblDestinations[Destination],0)),"?"))</f>
        <v/>
      </c>
      <c r="M4358" s="64">
        <f>IF(tblMovement[[#This Row],[Material]]="","",IF(LEFT(tblMovement[[#This Row],[Material]],3)="Ore",1,0))</f>
        <v/>
      </c>
      <c r="N4358" s="59">
        <f>IF(OR(tblMovement[[#This Row],[Tonnes_t]]="",tblMovement[[#This Row],[Grade_gpt]]=""),0,tblMovement[[#This Row],[Tonnes_t]]*tblMovement[[#This Row],[Grade_gpt]]/cfg_TroyOz)</f>
        <v/>
      </c>
      <c r="O4358" s="59">
        <f>IF(tblMovement[[#This Row],[Is_Ore]]=1,tblMovement[[#This Row],[Contained_oz]],0)</f>
        <v/>
      </c>
    </row>
    <row r="4359">
      <c r="A4359" s="54" t="n"/>
      <c r="B4359" s="61" t="n"/>
      <c r="C4359" s="61" t="n"/>
      <c r="D4359" s="61" t="n"/>
      <c r="E4359" s="61" t="n"/>
      <c r="F4359" s="55" t="n"/>
      <c r="G4359" s="56" t="n"/>
      <c r="H4359" s="55" t="n"/>
      <c r="I4359" s="62" t="n"/>
      <c r="J4359" s="58" t="n"/>
      <c r="K4359" s="63">
        <f>IF(tblMovement[[#This Row],[Source]]="","",IFERROR(INDEX(tblSources[Type],MATCH(tblMovement[[#This Row],[Source]],tblSources[Source],0)),"?"))</f>
        <v/>
      </c>
      <c r="L4359" s="63">
        <f>IF(tblMovement[[#This Row],[Destination]]="","",IFERROR(INDEX(tblDestinations[Type],MATCH(tblMovement[[#This Row],[Destination]],tblDestinations[Destination],0)),"?"))</f>
        <v/>
      </c>
      <c r="M4359" s="64">
        <f>IF(tblMovement[[#This Row],[Material]]="","",IF(LEFT(tblMovement[[#This Row],[Material]],3)="Ore",1,0))</f>
        <v/>
      </c>
      <c r="N4359" s="59">
        <f>IF(OR(tblMovement[[#This Row],[Tonnes_t]]="",tblMovement[[#This Row],[Grade_gpt]]=""),0,tblMovement[[#This Row],[Tonnes_t]]*tblMovement[[#This Row],[Grade_gpt]]/cfg_TroyOz)</f>
        <v/>
      </c>
      <c r="O4359" s="59">
        <f>IF(tblMovement[[#This Row],[Is_Ore]]=1,tblMovement[[#This Row],[Contained_oz]],0)</f>
        <v/>
      </c>
    </row>
    <row r="4360">
      <c r="A4360" s="54" t="n"/>
      <c r="B4360" s="61" t="n"/>
      <c r="C4360" s="61" t="n"/>
      <c r="D4360" s="61" t="n"/>
      <c r="E4360" s="61" t="n"/>
      <c r="F4360" s="55" t="n"/>
      <c r="G4360" s="56" t="n"/>
      <c r="H4360" s="55" t="n"/>
      <c r="I4360" s="62" t="n"/>
      <c r="J4360" s="58" t="n"/>
      <c r="K4360" s="63">
        <f>IF(tblMovement[[#This Row],[Source]]="","",IFERROR(INDEX(tblSources[Type],MATCH(tblMovement[[#This Row],[Source]],tblSources[Source],0)),"?"))</f>
        <v/>
      </c>
      <c r="L4360" s="63">
        <f>IF(tblMovement[[#This Row],[Destination]]="","",IFERROR(INDEX(tblDestinations[Type],MATCH(tblMovement[[#This Row],[Destination]],tblDestinations[Destination],0)),"?"))</f>
        <v/>
      </c>
      <c r="M4360" s="64">
        <f>IF(tblMovement[[#This Row],[Material]]="","",IF(LEFT(tblMovement[[#This Row],[Material]],3)="Ore",1,0))</f>
        <v/>
      </c>
      <c r="N4360" s="59">
        <f>IF(OR(tblMovement[[#This Row],[Tonnes_t]]="",tblMovement[[#This Row],[Grade_gpt]]=""),0,tblMovement[[#This Row],[Tonnes_t]]*tblMovement[[#This Row],[Grade_gpt]]/cfg_TroyOz)</f>
        <v/>
      </c>
      <c r="O4360" s="59">
        <f>IF(tblMovement[[#This Row],[Is_Ore]]=1,tblMovement[[#This Row],[Contained_oz]],0)</f>
        <v/>
      </c>
    </row>
    <row r="4361">
      <c r="A4361" s="54" t="n"/>
      <c r="B4361" s="61" t="n"/>
      <c r="C4361" s="61" t="n"/>
      <c r="D4361" s="61" t="n"/>
      <c r="E4361" s="61" t="n"/>
      <c r="F4361" s="55" t="n"/>
      <c r="G4361" s="56" t="n"/>
      <c r="H4361" s="55" t="n"/>
      <c r="I4361" s="62" t="n"/>
      <c r="J4361" s="58" t="n"/>
      <c r="K4361" s="63">
        <f>IF(tblMovement[[#This Row],[Source]]="","",IFERROR(INDEX(tblSources[Type],MATCH(tblMovement[[#This Row],[Source]],tblSources[Source],0)),"?"))</f>
        <v/>
      </c>
      <c r="L4361" s="63">
        <f>IF(tblMovement[[#This Row],[Destination]]="","",IFERROR(INDEX(tblDestinations[Type],MATCH(tblMovement[[#This Row],[Destination]],tblDestinations[Destination],0)),"?"))</f>
        <v/>
      </c>
      <c r="M4361" s="64">
        <f>IF(tblMovement[[#This Row],[Material]]="","",IF(LEFT(tblMovement[[#This Row],[Material]],3)="Ore",1,0))</f>
        <v/>
      </c>
      <c r="N4361" s="59">
        <f>IF(OR(tblMovement[[#This Row],[Tonnes_t]]="",tblMovement[[#This Row],[Grade_gpt]]=""),0,tblMovement[[#This Row],[Tonnes_t]]*tblMovement[[#This Row],[Grade_gpt]]/cfg_TroyOz)</f>
        <v/>
      </c>
      <c r="O4361" s="59">
        <f>IF(tblMovement[[#This Row],[Is_Ore]]=1,tblMovement[[#This Row],[Contained_oz]],0)</f>
        <v/>
      </c>
    </row>
    <row r="4362">
      <c r="A4362" s="54" t="n"/>
      <c r="B4362" s="61" t="n"/>
      <c r="C4362" s="61" t="n"/>
      <c r="D4362" s="61" t="n"/>
      <c r="E4362" s="61" t="n"/>
      <c r="F4362" s="55" t="n"/>
      <c r="G4362" s="56" t="n"/>
      <c r="H4362" s="55" t="n"/>
      <c r="I4362" s="62" t="n"/>
      <c r="J4362" s="58" t="n"/>
      <c r="K4362" s="63">
        <f>IF(tblMovement[[#This Row],[Source]]="","",IFERROR(INDEX(tblSources[Type],MATCH(tblMovement[[#This Row],[Source]],tblSources[Source],0)),"?"))</f>
        <v/>
      </c>
      <c r="L4362" s="63">
        <f>IF(tblMovement[[#This Row],[Destination]]="","",IFERROR(INDEX(tblDestinations[Type],MATCH(tblMovement[[#This Row],[Destination]],tblDestinations[Destination],0)),"?"))</f>
        <v/>
      </c>
      <c r="M4362" s="64">
        <f>IF(tblMovement[[#This Row],[Material]]="","",IF(LEFT(tblMovement[[#This Row],[Material]],3)="Ore",1,0))</f>
        <v/>
      </c>
      <c r="N4362" s="59">
        <f>IF(OR(tblMovement[[#This Row],[Tonnes_t]]="",tblMovement[[#This Row],[Grade_gpt]]=""),0,tblMovement[[#This Row],[Tonnes_t]]*tblMovement[[#This Row],[Grade_gpt]]/cfg_TroyOz)</f>
        <v/>
      </c>
      <c r="O4362" s="59">
        <f>IF(tblMovement[[#This Row],[Is_Ore]]=1,tblMovement[[#This Row],[Contained_oz]],0)</f>
        <v/>
      </c>
    </row>
    <row r="4363">
      <c r="A4363" s="54" t="n"/>
      <c r="B4363" s="61" t="n"/>
      <c r="C4363" s="61" t="n"/>
      <c r="D4363" s="61" t="n"/>
      <c r="E4363" s="61" t="n"/>
      <c r="F4363" s="55" t="n"/>
      <c r="G4363" s="56" t="n"/>
      <c r="H4363" s="55" t="n"/>
      <c r="I4363" s="62" t="n"/>
      <c r="J4363" s="58" t="n"/>
      <c r="K4363" s="63">
        <f>IF(tblMovement[[#This Row],[Source]]="","",IFERROR(INDEX(tblSources[Type],MATCH(tblMovement[[#This Row],[Source]],tblSources[Source],0)),"?"))</f>
        <v/>
      </c>
      <c r="L4363" s="63">
        <f>IF(tblMovement[[#This Row],[Destination]]="","",IFERROR(INDEX(tblDestinations[Type],MATCH(tblMovement[[#This Row],[Destination]],tblDestinations[Destination],0)),"?"))</f>
        <v/>
      </c>
      <c r="M4363" s="64">
        <f>IF(tblMovement[[#This Row],[Material]]="","",IF(LEFT(tblMovement[[#This Row],[Material]],3)="Ore",1,0))</f>
        <v/>
      </c>
      <c r="N4363" s="59">
        <f>IF(OR(tblMovement[[#This Row],[Tonnes_t]]="",tblMovement[[#This Row],[Grade_gpt]]=""),0,tblMovement[[#This Row],[Tonnes_t]]*tblMovement[[#This Row],[Grade_gpt]]/cfg_TroyOz)</f>
        <v/>
      </c>
      <c r="O4363" s="59">
        <f>IF(tblMovement[[#This Row],[Is_Ore]]=1,tblMovement[[#This Row],[Contained_oz]],0)</f>
        <v/>
      </c>
    </row>
    <row r="4364">
      <c r="A4364" s="54" t="n"/>
      <c r="B4364" s="61" t="n"/>
      <c r="C4364" s="61" t="n"/>
      <c r="D4364" s="61" t="n"/>
      <c r="E4364" s="61" t="n"/>
      <c r="F4364" s="55" t="n"/>
      <c r="G4364" s="56" t="n"/>
      <c r="H4364" s="55" t="n"/>
      <c r="I4364" s="62" t="n"/>
      <c r="J4364" s="58" t="n"/>
      <c r="K4364" s="63">
        <f>IF(tblMovement[[#This Row],[Source]]="","",IFERROR(INDEX(tblSources[Type],MATCH(tblMovement[[#This Row],[Source]],tblSources[Source],0)),"?"))</f>
        <v/>
      </c>
      <c r="L4364" s="63">
        <f>IF(tblMovement[[#This Row],[Destination]]="","",IFERROR(INDEX(tblDestinations[Type],MATCH(tblMovement[[#This Row],[Destination]],tblDestinations[Destination],0)),"?"))</f>
        <v/>
      </c>
      <c r="M4364" s="64">
        <f>IF(tblMovement[[#This Row],[Material]]="","",IF(LEFT(tblMovement[[#This Row],[Material]],3)="Ore",1,0))</f>
        <v/>
      </c>
      <c r="N4364" s="59">
        <f>IF(OR(tblMovement[[#This Row],[Tonnes_t]]="",tblMovement[[#This Row],[Grade_gpt]]=""),0,tblMovement[[#This Row],[Tonnes_t]]*tblMovement[[#This Row],[Grade_gpt]]/cfg_TroyOz)</f>
        <v/>
      </c>
      <c r="O4364" s="59">
        <f>IF(tblMovement[[#This Row],[Is_Ore]]=1,tblMovement[[#This Row],[Contained_oz]],0)</f>
        <v/>
      </c>
    </row>
    <row r="4365">
      <c r="A4365" s="54" t="n"/>
      <c r="B4365" s="61" t="n"/>
      <c r="C4365" s="61" t="n"/>
      <c r="D4365" s="61" t="n"/>
      <c r="E4365" s="61" t="n"/>
      <c r="F4365" s="55" t="n"/>
      <c r="G4365" s="56" t="n"/>
      <c r="H4365" s="55" t="n"/>
      <c r="I4365" s="62" t="n"/>
      <c r="J4365" s="58" t="n"/>
      <c r="K4365" s="63">
        <f>IF(tblMovement[[#This Row],[Source]]="","",IFERROR(INDEX(tblSources[Type],MATCH(tblMovement[[#This Row],[Source]],tblSources[Source],0)),"?"))</f>
        <v/>
      </c>
      <c r="L4365" s="63">
        <f>IF(tblMovement[[#This Row],[Destination]]="","",IFERROR(INDEX(tblDestinations[Type],MATCH(tblMovement[[#This Row],[Destination]],tblDestinations[Destination],0)),"?"))</f>
        <v/>
      </c>
      <c r="M4365" s="64">
        <f>IF(tblMovement[[#This Row],[Material]]="","",IF(LEFT(tblMovement[[#This Row],[Material]],3)="Ore",1,0))</f>
        <v/>
      </c>
      <c r="N4365" s="59">
        <f>IF(OR(tblMovement[[#This Row],[Tonnes_t]]="",tblMovement[[#This Row],[Grade_gpt]]=""),0,tblMovement[[#This Row],[Tonnes_t]]*tblMovement[[#This Row],[Grade_gpt]]/cfg_TroyOz)</f>
        <v/>
      </c>
      <c r="O4365" s="59">
        <f>IF(tblMovement[[#This Row],[Is_Ore]]=1,tblMovement[[#This Row],[Contained_oz]],0)</f>
        <v/>
      </c>
    </row>
    <row r="4366">
      <c r="A4366" s="54" t="n"/>
      <c r="B4366" s="61" t="n"/>
      <c r="C4366" s="61" t="n"/>
      <c r="D4366" s="61" t="n"/>
      <c r="E4366" s="61" t="n"/>
      <c r="F4366" s="55" t="n"/>
      <c r="G4366" s="56" t="n"/>
      <c r="H4366" s="55" t="n"/>
      <c r="I4366" s="62" t="n"/>
      <c r="J4366" s="58" t="n"/>
      <c r="K4366" s="63">
        <f>IF(tblMovement[[#This Row],[Source]]="","",IFERROR(INDEX(tblSources[Type],MATCH(tblMovement[[#This Row],[Source]],tblSources[Source],0)),"?"))</f>
        <v/>
      </c>
      <c r="L4366" s="63">
        <f>IF(tblMovement[[#This Row],[Destination]]="","",IFERROR(INDEX(tblDestinations[Type],MATCH(tblMovement[[#This Row],[Destination]],tblDestinations[Destination],0)),"?"))</f>
        <v/>
      </c>
      <c r="M4366" s="64">
        <f>IF(tblMovement[[#This Row],[Material]]="","",IF(LEFT(tblMovement[[#This Row],[Material]],3)="Ore",1,0))</f>
        <v/>
      </c>
      <c r="N4366" s="59">
        <f>IF(OR(tblMovement[[#This Row],[Tonnes_t]]="",tblMovement[[#This Row],[Grade_gpt]]=""),0,tblMovement[[#This Row],[Tonnes_t]]*tblMovement[[#This Row],[Grade_gpt]]/cfg_TroyOz)</f>
        <v/>
      </c>
      <c r="O4366" s="59">
        <f>IF(tblMovement[[#This Row],[Is_Ore]]=1,tblMovement[[#This Row],[Contained_oz]],0)</f>
        <v/>
      </c>
    </row>
    <row r="4367">
      <c r="A4367" s="54" t="n"/>
      <c r="B4367" s="61" t="n"/>
      <c r="C4367" s="61" t="n"/>
      <c r="D4367" s="61" t="n"/>
      <c r="E4367" s="61" t="n"/>
      <c r="F4367" s="55" t="n"/>
      <c r="G4367" s="56" t="n"/>
      <c r="H4367" s="55" t="n"/>
      <c r="I4367" s="62" t="n"/>
      <c r="J4367" s="58" t="n"/>
      <c r="K4367" s="63">
        <f>IF(tblMovement[[#This Row],[Source]]="","",IFERROR(INDEX(tblSources[Type],MATCH(tblMovement[[#This Row],[Source]],tblSources[Source],0)),"?"))</f>
        <v/>
      </c>
      <c r="L4367" s="63">
        <f>IF(tblMovement[[#This Row],[Destination]]="","",IFERROR(INDEX(tblDestinations[Type],MATCH(tblMovement[[#This Row],[Destination]],tblDestinations[Destination],0)),"?"))</f>
        <v/>
      </c>
      <c r="M4367" s="64">
        <f>IF(tblMovement[[#This Row],[Material]]="","",IF(LEFT(tblMovement[[#This Row],[Material]],3)="Ore",1,0))</f>
        <v/>
      </c>
      <c r="N4367" s="59">
        <f>IF(OR(tblMovement[[#This Row],[Tonnes_t]]="",tblMovement[[#This Row],[Grade_gpt]]=""),0,tblMovement[[#This Row],[Tonnes_t]]*tblMovement[[#This Row],[Grade_gpt]]/cfg_TroyOz)</f>
        <v/>
      </c>
      <c r="O4367" s="59">
        <f>IF(tblMovement[[#This Row],[Is_Ore]]=1,tblMovement[[#This Row],[Contained_oz]],0)</f>
        <v/>
      </c>
    </row>
    <row r="4368">
      <c r="A4368" s="54" t="n"/>
      <c r="B4368" s="61" t="n"/>
      <c r="C4368" s="61" t="n"/>
      <c r="D4368" s="61" t="n"/>
      <c r="E4368" s="61" t="n"/>
      <c r="F4368" s="55" t="n"/>
      <c r="G4368" s="56" t="n"/>
      <c r="H4368" s="55" t="n"/>
      <c r="I4368" s="62" t="n"/>
      <c r="J4368" s="58" t="n"/>
      <c r="K4368" s="63">
        <f>IF(tblMovement[[#This Row],[Source]]="","",IFERROR(INDEX(tblSources[Type],MATCH(tblMovement[[#This Row],[Source]],tblSources[Source],0)),"?"))</f>
        <v/>
      </c>
      <c r="L4368" s="63">
        <f>IF(tblMovement[[#This Row],[Destination]]="","",IFERROR(INDEX(tblDestinations[Type],MATCH(tblMovement[[#This Row],[Destination]],tblDestinations[Destination],0)),"?"))</f>
        <v/>
      </c>
      <c r="M4368" s="64">
        <f>IF(tblMovement[[#This Row],[Material]]="","",IF(LEFT(tblMovement[[#This Row],[Material]],3)="Ore",1,0))</f>
        <v/>
      </c>
      <c r="N4368" s="59">
        <f>IF(OR(tblMovement[[#This Row],[Tonnes_t]]="",tblMovement[[#This Row],[Grade_gpt]]=""),0,tblMovement[[#This Row],[Tonnes_t]]*tblMovement[[#This Row],[Grade_gpt]]/cfg_TroyOz)</f>
        <v/>
      </c>
      <c r="O4368" s="59">
        <f>IF(tblMovement[[#This Row],[Is_Ore]]=1,tblMovement[[#This Row],[Contained_oz]],0)</f>
        <v/>
      </c>
    </row>
    <row r="4369">
      <c r="A4369" s="54" t="n"/>
      <c r="B4369" s="61" t="n"/>
      <c r="C4369" s="61" t="n"/>
      <c r="D4369" s="61" t="n"/>
      <c r="E4369" s="61" t="n"/>
      <c r="F4369" s="55" t="n"/>
      <c r="G4369" s="56" t="n"/>
      <c r="H4369" s="55" t="n"/>
      <c r="I4369" s="62" t="n"/>
      <c r="J4369" s="58" t="n"/>
      <c r="K4369" s="63">
        <f>IF(tblMovement[[#This Row],[Source]]="","",IFERROR(INDEX(tblSources[Type],MATCH(tblMovement[[#This Row],[Source]],tblSources[Source],0)),"?"))</f>
        <v/>
      </c>
      <c r="L4369" s="63">
        <f>IF(tblMovement[[#This Row],[Destination]]="","",IFERROR(INDEX(tblDestinations[Type],MATCH(tblMovement[[#This Row],[Destination]],tblDestinations[Destination],0)),"?"))</f>
        <v/>
      </c>
      <c r="M4369" s="64">
        <f>IF(tblMovement[[#This Row],[Material]]="","",IF(LEFT(tblMovement[[#This Row],[Material]],3)="Ore",1,0))</f>
        <v/>
      </c>
      <c r="N4369" s="59">
        <f>IF(OR(tblMovement[[#This Row],[Tonnes_t]]="",tblMovement[[#This Row],[Grade_gpt]]=""),0,tblMovement[[#This Row],[Tonnes_t]]*tblMovement[[#This Row],[Grade_gpt]]/cfg_TroyOz)</f>
        <v/>
      </c>
      <c r="O4369" s="59">
        <f>IF(tblMovement[[#This Row],[Is_Ore]]=1,tblMovement[[#This Row],[Contained_oz]],0)</f>
        <v/>
      </c>
    </row>
    <row r="4370">
      <c r="A4370" s="54" t="n"/>
      <c r="B4370" s="61" t="n"/>
      <c r="C4370" s="61" t="n"/>
      <c r="D4370" s="61" t="n"/>
      <c r="E4370" s="61" t="n"/>
      <c r="F4370" s="55" t="n"/>
      <c r="G4370" s="56" t="n"/>
      <c r="H4370" s="55" t="n"/>
      <c r="I4370" s="62" t="n"/>
      <c r="J4370" s="58" t="n"/>
      <c r="K4370" s="63">
        <f>IF(tblMovement[[#This Row],[Source]]="","",IFERROR(INDEX(tblSources[Type],MATCH(tblMovement[[#This Row],[Source]],tblSources[Source],0)),"?"))</f>
        <v/>
      </c>
      <c r="L4370" s="63">
        <f>IF(tblMovement[[#This Row],[Destination]]="","",IFERROR(INDEX(tblDestinations[Type],MATCH(tblMovement[[#This Row],[Destination]],tblDestinations[Destination],0)),"?"))</f>
        <v/>
      </c>
      <c r="M4370" s="64">
        <f>IF(tblMovement[[#This Row],[Material]]="","",IF(LEFT(tblMovement[[#This Row],[Material]],3)="Ore",1,0))</f>
        <v/>
      </c>
      <c r="N4370" s="59">
        <f>IF(OR(tblMovement[[#This Row],[Tonnes_t]]="",tblMovement[[#This Row],[Grade_gpt]]=""),0,tblMovement[[#This Row],[Tonnes_t]]*tblMovement[[#This Row],[Grade_gpt]]/cfg_TroyOz)</f>
        <v/>
      </c>
      <c r="O4370" s="59">
        <f>IF(tblMovement[[#This Row],[Is_Ore]]=1,tblMovement[[#This Row],[Contained_oz]],0)</f>
        <v/>
      </c>
    </row>
    <row r="4371">
      <c r="A4371" s="54" t="n"/>
      <c r="B4371" s="61" t="n"/>
      <c r="C4371" s="61" t="n"/>
      <c r="D4371" s="61" t="n"/>
      <c r="E4371" s="61" t="n"/>
      <c r="F4371" s="55" t="n"/>
      <c r="G4371" s="56" t="n"/>
      <c r="H4371" s="55" t="n"/>
      <c r="I4371" s="62" t="n"/>
      <c r="J4371" s="58" t="n"/>
      <c r="K4371" s="63">
        <f>IF(tblMovement[[#This Row],[Source]]="","",IFERROR(INDEX(tblSources[Type],MATCH(tblMovement[[#This Row],[Source]],tblSources[Source],0)),"?"))</f>
        <v/>
      </c>
      <c r="L4371" s="63">
        <f>IF(tblMovement[[#This Row],[Destination]]="","",IFERROR(INDEX(tblDestinations[Type],MATCH(tblMovement[[#This Row],[Destination]],tblDestinations[Destination],0)),"?"))</f>
        <v/>
      </c>
      <c r="M4371" s="64">
        <f>IF(tblMovement[[#This Row],[Material]]="","",IF(LEFT(tblMovement[[#This Row],[Material]],3)="Ore",1,0))</f>
        <v/>
      </c>
      <c r="N4371" s="59">
        <f>IF(OR(tblMovement[[#This Row],[Tonnes_t]]="",tblMovement[[#This Row],[Grade_gpt]]=""),0,tblMovement[[#This Row],[Tonnes_t]]*tblMovement[[#This Row],[Grade_gpt]]/cfg_TroyOz)</f>
        <v/>
      </c>
      <c r="O4371" s="59">
        <f>IF(tblMovement[[#This Row],[Is_Ore]]=1,tblMovement[[#This Row],[Contained_oz]],0)</f>
        <v/>
      </c>
    </row>
    <row r="4372">
      <c r="A4372" s="54" t="n"/>
      <c r="B4372" s="61" t="n"/>
      <c r="C4372" s="61" t="n"/>
      <c r="D4372" s="61" t="n"/>
      <c r="E4372" s="61" t="n"/>
      <c r="F4372" s="55" t="n"/>
      <c r="G4372" s="56" t="n"/>
      <c r="H4372" s="55" t="n"/>
      <c r="I4372" s="62" t="n"/>
      <c r="J4372" s="58" t="n"/>
      <c r="K4372" s="63">
        <f>IF(tblMovement[[#This Row],[Source]]="","",IFERROR(INDEX(tblSources[Type],MATCH(tblMovement[[#This Row],[Source]],tblSources[Source],0)),"?"))</f>
        <v/>
      </c>
      <c r="L4372" s="63">
        <f>IF(tblMovement[[#This Row],[Destination]]="","",IFERROR(INDEX(tblDestinations[Type],MATCH(tblMovement[[#This Row],[Destination]],tblDestinations[Destination],0)),"?"))</f>
        <v/>
      </c>
      <c r="M4372" s="64">
        <f>IF(tblMovement[[#This Row],[Material]]="","",IF(LEFT(tblMovement[[#This Row],[Material]],3)="Ore",1,0))</f>
        <v/>
      </c>
      <c r="N4372" s="59">
        <f>IF(OR(tblMovement[[#This Row],[Tonnes_t]]="",tblMovement[[#This Row],[Grade_gpt]]=""),0,tblMovement[[#This Row],[Tonnes_t]]*tblMovement[[#This Row],[Grade_gpt]]/cfg_TroyOz)</f>
        <v/>
      </c>
      <c r="O4372" s="59">
        <f>IF(tblMovement[[#This Row],[Is_Ore]]=1,tblMovement[[#This Row],[Contained_oz]],0)</f>
        <v/>
      </c>
    </row>
    <row r="4373">
      <c r="A4373" s="54" t="n"/>
      <c r="B4373" s="61" t="n"/>
      <c r="C4373" s="61" t="n"/>
      <c r="D4373" s="61" t="n"/>
      <c r="E4373" s="61" t="n"/>
      <c r="F4373" s="55" t="n"/>
      <c r="G4373" s="56" t="n"/>
      <c r="H4373" s="55" t="n"/>
      <c r="I4373" s="62" t="n"/>
      <c r="J4373" s="58" t="n"/>
      <c r="K4373" s="63">
        <f>IF(tblMovement[[#This Row],[Source]]="","",IFERROR(INDEX(tblSources[Type],MATCH(tblMovement[[#This Row],[Source]],tblSources[Source],0)),"?"))</f>
        <v/>
      </c>
      <c r="L4373" s="63">
        <f>IF(tblMovement[[#This Row],[Destination]]="","",IFERROR(INDEX(tblDestinations[Type],MATCH(tblMovement[[#This Row],[Destination]],tblDestinations[Destination],0)),"?"))</f>
        <v/>
      </c>
      <c r="M4373" s="64">
        <f>IF(tblMovement[[#This Row],[Material]]="","",IF(LEFT(tblMovement[[#This Row],[Material]],3)="Ore",1,0))</f>
        <v/>
      </c>
      <c r="N4373" s="59">
        <f>IF(OR(tblMovement[[#This Row],[Tonnes_t]]="",tblMovement[[#This Row],[Grade_gpt]]=""),0,tblMovement[[#This Row],[Tonnes_t]]*tblMovement[[#This Row],[Grade_gpt]]/cfg_TroyOz)</f>
        <v/>
      </c>
      <c r="O4373" s="59">
        <f>IF(tblMovement[[#This Row],[Is_Ore]]=1,tblMovement[[#This Row],[Contained_oz]],0)</f>
        <v/>
      </c>
    </row>
    <row r="4374">
      <c r="A4374" s="54" t="n"/>
      <c r="B4374" s="61" t="n"/>
      <c r="C4374" s="61" t="n"/>
      <c r="D4374" s="61" t="n"/>
      <c r="E4374" s="61" t="n"/>
      <c r="F4374" s="55" t="n"/>
      <c r="G4374" s="56" t="n"/>
      <c r="H4374" s="55" t="n"/>
      <c r="I4374" s="62" t="n"/>
      <c r="J4374" s="58" t="n"/>
      <c r="K4374" s="63">
        <f>IF(tblMovement[[#This Row],[Source]]="","",IFERROR(INDEX(tblSources[Type],MATCH(tblMovement[[#This Row],[Source]],tblSources[Source],0)),"?"))</f>
        <v/>
      </c>
      <c r="L4374" s="63">
        <f>IF(tblMovement[[#This Row],[Destination]]="","",IFERROR(INDEX(tblDestinations[Type],MATCH(tblMovement[[#This Row],[Destination]],tblDestinations[Destination],0)),"?"))</f>
        <v/>
      </c>
      <c r="M4374" s="64">
        <f>IF(tblMovement[[#This Row],[Material]]="","",IF(LEFT(tblMovement[[#This Row],[Material]],3)="Ore",1,0))</f>
        <v/>
      </c>
      <c r="N4374" s="59">
        <f>IF(OR(tblMovement[[#This Row],[Tonnes_t]]="",tblMovement[[#This Row],[Grade_gpt]]=""),0,tblMovement[[#This Row],[Tonnes_t]]*tblMovement[[#This Row],[Grade_gpt]]/cfg_TroyOz)</f>
        <v/>
      </c>
      <c r="O4374" s="59">
        <f>IF(tblMovement[[#This Row],[Is_Ore]]=1,tblMovement[[#This Row],[Contained_oz]],0)</f>
        <v/>
      </c>
    </row>
    <row r="4375">
      <c r="A4375" s="54" t="n"/>
      <c r="B4375" s="61" t="n"/>
      <c r="C4375" s="61" t="n"/>
      <c r="D4375" s="61" t="n"/>
      <c r="E4375" s="61" t="n"/>
      <c r="F4375" s="55" t="n"/>
      <c r="G4375" s="56" t="n"/>
      <c r="H4375" s="55" t="n"/>
      <c r="I4375" s="62" t="n"/>
      <c r="J4375" s="58" t="n"/>
      <c r="K4375" s="63">
        <f>IF(tblMovement[[#This Row],[Source]]="","",IFERROR(INDEX(tblSources[Type],MATCH(tblMovement[[#This Row],[Source]],tblSources[Source],0)),"?"))</f>
        <v/>
      </c>
      <c r="L4375" s="63">
        <f>IF(tblMovement[[#This Row],[Destination]]="","",IFERROR(INDEX(tblDestinations[Type],MATCH(tblMovement[[#This Row],[Destination]],tblDestinations[Destination],0)),"?"))</f>
        <v/>
      </c>
      <c r="M4375" s="64">
        <f>IF(tblMovement[[#This Row],[Material]]="","",IF(LEFT(tblMovement[[#This Row],[Material]],3)="Ore",1,0))</f>
        <v/>
      </c>
      <c r="N4375" s="59">
        <f>IF(OR(tblMovement[[#This Row],[Tonnes_t]]="",tblMovement[[#This Row],[Grade_gpt]]=""),0,tblMovement[[#This Row],[Tonnes_t]]*tblMovement[[#This Row],[Grade_gpt]]/cfg_TroyOz)</f>
        <v/>
      </c>
      <c r="O4375" s="59">
        <f>IF(tblMovement[[#This Row],[Is_Ore]]=1,tblMovement[[#This Row],[Contained_oz]],0)</f>
        <v/>
      </c>
    </row>
    <row r="4376">
      <c r="A4376" s="54" t="n"/>
      <c r="B4376" s="61" t="n"/>
      <c r="C4376" s="61" t="n"/>
      <c r="D4376" s="61" t="n"/>
      <c r="E4376" s="61" t="n"/>
      <c r="F4376" s="55" t="n"/>
      <c r="G4376" s="56" t="n"/>
      <c r="H4376" s="55" t="n"/>
      <c r="I4376" s="62" t="n"/>
      <c r="J4376" s="58" t="n"/>
      <c r="K4376" s="63">
        <f>IF(tblMovement[[#This Row],[Source]]="","",IFERROR(INDEX(tblSources[Type],MATCH(tblMovement[[#This Row],[Source]],tblSources[Source],0)),"?"))</f>
        <v/>
      </c>
      <c r="L4376" s="63">
        <f>IF(tblMovement[[#This Row],[Destination]]="","",IFERROR(INDEX(tblDestinations[Type],MATCH(tblMovement[[#This Row],[Destination]],tblDestinations[Destination],0)),"?"))</f>
        <v/>
      </c>
      <c r="M4376" s="64">
        <f>IF(tblMovement[[#This Row],[Material]]="","",IF(LEFT(tblMovement[[#This Row],[Material]],3)="Ore",1,0))</f>
        <v/>
      </c>
      <c r="N4376" s="59">
        <f>IF(OR(tblMovement[[#This Row],[Tonnes_t]]="",tblMovement[[#This Row],[Grade_gpt]]=""),0,tblMovement[[#This Row],[Tonnes_t]]*tblMovement[[#This Row],[Grade_gpt]]/cfg_TroyOz)</f>
        <v/>
      </c>
      <c r="O4376" s="59">
        <f>IF(tblMovement[[#This Row],[Is_Ore]]=1,tblMovement[[#This Row],[Contained_oz]],0)</f>
        <v/>
      </c>
    </row>
    <row r="4377">
      <c r="A4377" s="54" t="n"/>
      <c r="B4377" s="61" t="n"/>
      <c r="C4377" s="61" t="n"/>
      <c r="D4377" s="61" t="n"/>
      <c r="E4377" s="61" t="n"/>
      <c r="F4377" s="55" t="n"/>
      <c r="G4377" s="56" t="n"/>
      <c r="H4377" s="55" t="n"/>
      <c r="I4377" s="62" t="n"/>
      <c r="J4377" s="58" t="n"/>
      <c r="K4377" s="63">
        <f>IF(tblMovement[[#This Row],[Source]]="","",IFERROR(INDEX(tblSources[Type],MATCH(tblMovement[[#This Row],[Source]],tblSources[Source],0)),"?"))</f>
        <v/>
      </c>
      <c r="L4377" s="63">
        <f>IF(tblMovement[[#This Row],[Destination]]="","",IFERROR(INDEX(tblDestinations[Type],MATCH(tblMovement[[#This Row],[Destination]],tblDestinations[Destination],0)),"?"))</f>
        <v/>
      </c>
      <c r="M4377" s="64">
        <f>IF(tblMovement[[#This Row],[Material]]="","",IF(LEFT(tblMovement[[#This Row],[Material]],3)="Ore",1,0))</f>
        <v/>
      </c>
      <c r="N4377" s="59">
        <f>IF(OR(tblMovement[[#This Row],[Tonnes_t]]="",tblMovement[[#This Row],[Grade_gpt]]=""),0,tblMovement[[#This Row],[Tonnes_t]]*tblMovement[[#This Row],[Grade_gpt]]/cfg_TroyOz)</f>
        <v/>
      </c>
      <c r="O4377" s="59">
        <f>IF(tblMovement[[#This Row],[Is_Ore]]=1,tblMovement[[#This Row],[Contained_oz]],0)</f>
        <v/>
      </c>
    </row>
    <row r="4378">
      <c r="A4378" s="54" t="n"/>
      <c r="B4378" s="61" t="n"/>
      <c r="C4378" s="61" t="n"/>
      <c r="D4378" s="61" t="n"/>
      <c r="E4378" s="61" t="n"/>
      <c r="F4378" s="55" t="n"/>
      <c r="G4378" s="56" t="n"/>
      <c r="H4378" s="55" t="n"/>
      <c r="I4378" s="62" t="n"/>
      <c r="J4378" s="58" t="n"/>
      <c r="K4378" s="63">
        <f>IF(tblMovement[[#This Row],[Source]]="","",IFERROR(INDEX(tblSources[Type],MATCH(tblMovement[[#This Row],[Source]],tblSources[Source],0)),"?"))</f>
        <v/>
      </c>
      <c r="L4378" s="63">
        <f>IF(tblMovement[[#This Row],[Destination]]="","",IFERROR(INDEX(tblDestinations[Type],MATCH(tblMovement[[#This Row],[Destination]],tblDestinations[Destination],0)),"?"))</f>
        <v/>
      </c>
      <c r="M4378" s="64">
        <f>IF(tblMovement[[#This Row],[Material]]="","",IF(LEFT(tblMovement[[#This Row],[Material]],3)="Ore",1,0))</f>
        <v/>
      </c>
      <c r="N4378" s="59">
        <f>IF(OR(tblMovement[[#This Row],[Tonnes_t]]="",tblMovement[[#This Row],[Grade_gpt]]=""),0,tblMovement[[#This Row],[Tonnes_t]]*tblMovement[[#This Row],[Grade_gpt]]/cfg_TroyOz)</f>
        <v/>
      </c>
      <c r="O4378" s="59">
        <f>IF(tblMovement[[#This Row],[Is_Ore]]=1,tblMovement[[#This Row],[Contained_oz]],0)</f>
        <v/>
      </c>
    </row>
    <row r="4379">
      <c r="A4379" s="54" t="n"/>
      <c r="B4379" s="61" t="n"/>
      <c r="C4379" s="61" t="n"/>
      <c r="D4379" s="61" t="n"/>
      <c r="E4379" s="61" t="n"/>
      <c r="F4379" s="55" t="n"/>
      <c r="G4379" s="56" t="n"/>
      <c r="H4379" s="55" t="n"/>
      <c r="I4379" s="62" t="n"/>
      <c r="J4379" s="58" t="n"/>
      <c r="K4379" s="63">
        <f>IF(tblMovement[[#This Row],[Source]]="","",IFERROR(INDEX(tblSources[Type],MATCH(tblMovement[[#This Row],[Source]],tblSources[Source],0)),"?"))</f>
        <v/>
      </c>
      <c r="L4379" s="63">
        <f>IF(tblMovement[[#This Row],[Destination]]="","",IFERROR(INDEX(tblDestinations[Type],MATCH(tblMovement[[#This Row],[Destination]],tblDestinations[Destination],0)),"?"))</f>
        <v/>
      </c>
      <c r="M4379" s="64">
        <f>IF(tblMovement[[#This Row],[Material]]="","",IF(LEFT(tblMovement[[#This Row],[Material]],3)="Ore",1,0))</f>
        <v/>
      </c>
      <c r="N4379" s="59">
        <f>IF(OR(tblMovement[[#This Row],[Tonnes_t]]="",tblMovement[[#This Row],[Grade_gpt]]=""),0,tblMovement[[#This Row],[Tonnes_t]]*tblMovement[[#This Row],[Grade_gpt]]/cfg_TroyOz)</f>
        <v/>
      </c>
      <c r="O4379" s="59">
        <f>IF(tblMovement[[#This Row],[Is_Ore]]=1,tblMovement[[#This Row],[Contained_oz]],0)</f>
        <v/>
      </c>
    </row>
    <row r="4380">
      <c r="A4380" s="54" t="n"/>
      <c r="B4380" s="61" t="n"/>
      <c r="C4380" s="61" t="n"/>
      <c r="D4380" s="61" t="n"/>
      <c r="E4380" s="61" t="n"/>
      <c r="F4380" s="55" t="n"/>
      <c r="G4380" s="56" t="n"/>
      <c r="H4380" s="55" t="n"/>
      <c r="I4380" s="62" t="n"/>
      <c r="J4380" s="58" t="n"/>
      <c r="K4380" s="63">
        <f>IF(tblMovement[[#This Row],[Source]]="","",IFERROR(INDEX(tblSources[Type],MATCH(tblMovement[[#This Row],[Source]],tblSources[Source],0)),"?"))</f>
        <v/>
      </c>
      <c r="L4380" s="63">
        <f>IF(tblMovement[[#This Row],[Destination]]="","",IFERROR(INDEX(tblDestinations[Type],MATCH(tblMovement[[#This Row],[Destination]],tblDestinations[Destination],0)),"?"))</f>
        <v/>
      </c>
      <c r="M4380" s="64">
        <f>IF(tblMovement[[#This Row],[Material]]="","",IF(LEFT(tblMovement[[#This Row],[Material]],3)="Ore",1,0))</f>
        <v/>
      </c>
      <c r="N4380" s="59">
        <f>IF(OR(tblMovement[[#This Row],[Tonnes_t]]="",tblMovement[[#This Row],[Grade_gpt]]=""),0,tblMovement[[#This Row],[Tonnes_t]]*tblMovement[[#This Row],[Grade_gpt]]/cfg_TroyOz)</f>
        <v/>
      </c>
      <c r="O4380" s="59">
        <f>IF(tblMovement[[#This Row],[Is_Ore]]=1,tblMovement[[#This Row],[Contained_oz]],0)</f>
        <v/>
      </c>
    </row>
    <row r="4381">
      <c r="A4381" s="54" t="n"/>
      <c r="B4381" s="61" t="n"/>
      <c r="C4381" s="61" t="n"/>
      <c r="D4381" s="61" t="n"/>
      <c r="E4381" s="61" t="n"/>
      <c r="F4381" s="55" t="n"/>
      <c r="G4381" s="56" t="n"/>
      <c r="H4381" s="55" t="n"/>
      <c r="I4381" s="62" t="n"/>
      <c r="J4381" s="58" t="n"/>
      <c r="K4381" s="63">
        <f>IF(tblMovement[[#This Row],[Source]]="","",IFERROR(INDEX(tblSources[Type],MATCH(tblMovement[[#This Row],[Source]],tblSources[Source],0)),"?"))</f>
        <v/>
      </c>
      <c r="L4381" s="63">
        <f>IF(tblMovement[[#This Row],[Destination]]="","",IFERROR(INDEX(tblDestinations[Type],MATCH(tblMovement[[#This Row],[Destination]],tblDestinations[Destination],0)),"?"))</f>
        <v/>
      </c>
      <c r="M4381" s="64">
        <f>IF(tblMovement[[#This Row],[Material]]="","",IF(LEFT(tblMovement[[#This Row],[Material]],3)="Ore",1,0))</f>
        <v/>
      </c>
      <c r="N4381" s="59">
        <f>IF(OR(tblMovement[[#This Row],[Tonnes_t]]="",tblMovement[[#This Row],[Grade_gpt]]=""),0,tblMovement[[#This Row],[Tonnes_t]]*tblMovement[[#This Row],[Grade_gpt]]/cfg_TroyOz)</f>
        <v/>
      </c>
      <c r="O4381" s="59">
        <f>IF(tblMovement[[#This Row],[Is_Ore]]=1,tblMovement[[#This Row],[Contained_oz]],0)</f>
        <v/>
      </c>
    </row>
    <row r="4382">
      <c r="A4382" s="54" t="n"/>
      <c r="B4382" s="61" t="n"/>
      <c r="C4382" s="61" t="n"/>
      <c r="D4382" s="61" t="n"/>
      <c r="E4382" s="61" t="n"/>
      <c r="F4382" s="55" t="n"/>
      <c r="G4382" s="56" t="n"/>
      <c r="H4382" s="55" t="n"/>
      <c r="I4382" s="62" t="n"/>
      <c r="J4382" s="58" t="n"/>
      <c r="K4382" s="63">
        <f>IF(tblMovement[[#This Row],[Source]]="","",IFERROR(INDEX(tblSources[Type],MATCH(tblMovement[[#This Row],[Source]],tblSources[Source],0)),"?"))</f>
        <v/>
      </c>
      <c r="L4382" s="63">
        <f>IF(tblMovement[[#This Row],[Destination]]="","",IFERROR(INDEX(tblDestinations[Type],MATCH(tblMovement[[#This Row],[Destination]],tblDestinations[Destination],0)),"?"))</f>
        <v/>
      </c>
      <c r="M4382" s="64">
        <f>IF(tblMovement[[#This Row],[Material]]="","",IF(LEFT(tblMovement[[#This Row],[Material]],3)="Ore",1,0))</f>
        <v/>
      </c>
      <c r="N4382" s="59">
        <f>IF(OR(tblMovement[[#This Row],[Tonnes_t]]="",tblMovement[[#This Row],[Grade_gpt]]=""),0,tblMovement[[#This Row],[Tonnes_t]]*tblMovement[[#This Row],[Grade_gpt]]/cfg_TroyOz)</f>
        <v/>
      </c>
      <c r="O4382" s="59">
        <f>IF(tblMovement[[#This Row],[Is_Ore]]=1,tblMovement[[#This Row],[Contained_oz]],0)</f>
        <v/>
      </c>
    </row>
    <row r="4383">
      <c r="A4383" s="54" t="n"/>
      <c r="B4383" s="61" t="n"/>
      <c r="C4383" s="61" t="n"/>
      <c r="D4383" s="61" t="n"/>
      <c r="E4383" s="61" t="n"/>
      <c r="F4383" s="55" t="n"/>
      <c r="G4383" s="56" t="n"/>
      <c r="H4383" s="55" t="n"/>
      <c r="I4383" s="62" t="n"/>
      <c r="J4383" s="58" t="n"/>
      <c r="K4383" s="63">
        <f>IF(tblMovement[[#This Row],[Source]]="","",IFERROR(INDEX(tblSources[Type],MATCH(tblMovement[[#This Row],[Source]],tblSources[Source],0)),"?"))</f>
        <v/>
      </c>
      <c r="L4383" s="63">
        <f>IF(tblMovement[[#This Row],[Destination]]="","",IFERROR(INDEX(tblDestinations[Type],MATCH(tblMovement[[#This Row],[Destination]],tblDestinations[Destination],0)),"?"))</f>
        <v/>
      </c>
      <c r="M4383" s="64">
        <f>IF(tblMovement[[#This Row],[Material]]="","",IF(LEFT(tblMovement[[#This Row],[Material]],3)="Ore",1,0))</f>
        <v/>
      </c>
      <c r="N4383" s="59">
        <f>IF(OR(tblMovement[[#This Row],[Tonnes_t]]="",tblMovement[[#This Row],[Grade_gpt]]=""),0,tblMovement[[#This Row],[Tonnes_t]]*tblMovement[[#This Row],[Grade_gpt]]/cfg_TroyOz)</f>
        <v/>
      </c>
      <c r="O4383" s="59">
        <f>IF(tblMovement[[#This Row],[Is_Ore]]=1,tblMovement[[#This Row],[Contained_oz]],0)</f>
        <v/>
      </c>
    </row>
    <row r="4384">
      <c r="A4384" s="54" t="n"/>
      <c r="B4384" s="61" t="n"/>
      <c r="C4384" s="61" t="n"/>
      <c r="D4384" s="61" t="n"/>
      <c r="E4384" s="61" t="n"/>
      <c r="F4384" s="55" t="n"/>
      <c r="G4384" s="56" t="n"/>
      <c r="H4384" s="55" t="n"/>
      <c r="I4384" s="62" t="n"/>
      <c r="J4384" s="58" t="n"/>
      <c r="K4384" s="63">
        <f>IF(tblMovement[[#This Row],[Source]]="","",IFERROR(INDEX(tblSources[Type],MATCH(tblMovement[[#This Row],[Source]],tblSources[Source],0)),"?"))</f>
        <v/>
      </c>
      <c r="L4384" s="63">
        <f>IF(tblMovement[[#This Row],[Destination]]="","",IFERROR(INDEX(tblDestinations[Type],MATCH(tblMovement[[#This Row],[Destination]],tblDestinations[Destination],0)),"?"))</f>
        <v/>
      </c>
      <c r="M4384" s="64">
        <f>IF(tblMovement[[#This Row],[Material]]="","",IF(LEFT(tblMovement[[#This Row],[Material]],3)="Ore",1,0))</f>
        <v/>
      </c>
      <c r="N4384" s="59">
        <f>IF(OR(tblMovement[[#This Row],[Tonnes_t]]="",tblMovement[[#This Row],[Grade_gpt]]=""),0,tblMovement[[#This Row],[Tonnes_t]]*tblMovement[[#This Row],[Grade_gpt]]/cfg_TroyOz)</f>
        <v/>
      </c>
      <c r="O4384" s="59">
        <f>IF(tblMovement[[#This Row],[Is_Ore]]=1,tblMovement[[#This Row],[Contained_oz]],0)</f>
        <v/>
      </c>
    </row>
    <row r="4385">
      <c r="A4385" s="54" t="n"/>
      <c r="B4385" s="61" t="n"/>
      <c r="C4385" s="61" t="n"/>
      <c r="D4385" s="61" t="n"/>
      <c r="E4385" s="61" t="n"/>
      <c r="F4385" s="55" t="n"/>
      <c r="G4385" s="56" t="n"/>
      <c r="H4385" s="55" t="n"/>
      <c r="I4385" s="62" t="n"/>
      <c r="J4385" s="58" t="n"/>
      <c r="K4385" s="63">
        <f>IF(tblMovement[[#This Row],[Source]]="","",IFERROR(INDEX(tblSources[Type],MATCH(tblMovement[[#This Row],[Source]],tblSources[Source],0)),"?"))</f>
        <v/>
      </c>
      <c r="L4385" s="63">
        <f>IF(tblMovement[[#This Row],[Destination]]="","",IFERROR(INDEX(tblDestinations[Type],MATCH(tblMovement[[#This Row],[Destination]],tblDestinations[Destination],0)),"?"))</f>
        <v/>
      </c>
      <c r="M4385" s="64">
        <f>IF(tblMovement[[#This Row],[Material]]="","",IF(LEFT(tblMovement[[#This Row],[Material]],3)="Ore",1,0))</f>
        <v/>
      </c>
      <c r="N4385" s="59">
        <f>IF(OR(tblMovement[[#This Row],[Tonnes_t]]="",tblMovement[[#This Row],[Grade_gpt]]=""),0,tblMovement[[#This Row],[Tonnes_t]]*tblMovement[[#This Row],[Grade_gpt]]/cfg_TroyOz)</f>
        <v/>
      </c>
      <c r="O4385" s="59">
        <f>IF(tblMovement[[#This Row],[Is_Ore]]=1,tblMovement[[#This Row],[Contained_oz]],0)</f>
        <v/>
      </c>
    </row>
    <row r="4386">
      <c r="A4386" s="54" t="n"/>
      <c r="B4386" s="61" t="n"/>
      <c r="C4386" s="61" t="n"/>
      <c r="D4386" s="61" t="n"/>
      <c r="E4386" s="61" t="n"/>
      <c r="F4386" s="55" t="n"/>
      <c r="G4386" s="56" t="n"/>
      <c r="H4386" s="55" t="n"/>
      <c r="I4386" s="62" t="n"/>
      <c r="J4386" s="58" t="n"/>
      <c r="K4386" s="63">
        <f>IF(tblMovement[[#This Row],[Source]]="","",IFERROR(INDEX(tblSources[Type],MATCH(tblMovement[[#This Row],[Source]],tblSources[Source],0)),"?"))</f>
        <v/>
      </c>
      <c r="L4386" s="63">
        <f>IF(tblMovement[[#This Row],[Destination]]="","",IFERROR(INDEX(tblDestinations[Type],MATCH(tblMovement[[#This Row],[Destination]],tblDestinations[Destination],0)),"?"))</f>
        <v/>
      </c>
      <c r="M4386" s="64">
        <f>IF(tblMovement[[#This Row],[Material]]="","",IF(LEFT(tblMovement[[#This Row],[Material]],3)="Ore",1,0))</f>
        <v/>
      </c>
      <c r="N4386" s="59">
        <f>IF(OR(tblMovement[[#This Row],[Tonnes_t]]="",tblMovement[[#This Row],[Grade_gpt]]=""),0,tblMovement[[#This Row],[Tonnes_t]]*tblMovement[[#This Row],[Grade_gpt]]/cfg_TroyOz)</f>
        <v/>
      </c>
      <c r="O4386" s="59">
        <f>IF(tblMovement[[#This Row],[Is_Ore]]=1,tblMovement[[#This Row],[Contained_oz]],0)</f>
        <v/>
      </c>
    </row>
    <row r="4387">
      <c r="A4387" s="54" t="n"/>
      <c r="B4387" s="61" t="n"/>
      <c r="C4387" s="61" t="n"/>
      <c r="D4387" s="61" t="n"/>
      <c r="E4387" s="61" t="n"/>
      <c r="F4387" s="55" t="n"/>
      <c r="G4387" s="56" t="n"/>
      <c r="H4387" s="55" t="n"/>
      <c r="I4387" s="62" t="n"/>
      <c r="J4387" s="58" t="n"/>
      <c r="K4387" s="63">
        <f>IF(tblMovement[[#This Row],[Source]]="","",IFERROR(INDEX(tblSources[Type],MATCH(tblMovement[[#This Row],[Source]],tblSources[Source],0)),"?"))</f>
        <v/>
      </c>
      <c r="L4387" s="63">
        <f>IF(tblMovement[[#This Row],[Destination]]="","",IFERROR(INDEX(tblDestinations[Type],MATCH(tblMovement[[#This Row],[Destination]],tblDestinations[Destination],0)),"?"))</f>
        <v/>
      </c>
      <c r="M4387" s="64">
        <f>IF(tblMovement[[#This Row],[Material]]="","",IF(LEFT(tblMovement[[#This Row],[Material]],3)="Ore",1,0))</f>
        <v/>
      </c>
      <c r="N4387" s="59">
        <f>IF(OR(tblMovement[[#This Row],[Tonnes_t]]="",tblMovement[[#This Row],[Grade_gpt]]=""),0,tblMovement[[#This Row],[Tonnes_t]]*tblMovement[[#This Row],[Grade_gpt]]/cfg_TroyOz)</f>
        <v/>
      </c>
      <c r="O4387" s="59">
        <f>IF(tblMovement[[#This Row],[Is_Ore]]=1,tblMovement[[#This Row],[Contained_oz]],0)</f>
        <v/>
      </c>
    </row>
    <row r="4388">
      <c r="A4388" s="54" t="n"/>
      <c r="B4388" s="61" t="n"/>
      <c r="C4388" s="61" t="n"/>
      <c r="D4388" s="61" t="n"/>
      <c r="E4388" s="61" t="n"/>
      <c r="F4388" s="55" t="n"/>
      <c r="G4388" s="56" t="n"/>
      <c r="H4388" s="55" t="n"/>
      <c r="I4388" s="62" t="n"/>
      <c r="J4388" s="58" t="n"/>
      <c r="K4388" s="63">
        <f>IF(tblMovement[[#This Row],[Source]]="","",IFERROR(INDEX(tblSources[Type],MATCH(tblMovement[[#This Row],[Source]],tblSources[Source],0)),"?"))</f>
        <v/>
      </c>
      <c r="L4388" s="63">
        <f>IF(tblMovement[[#This Row],[Destination]]="","",IFERROR(INDEX(tblDestinations[Type],MATCH(tblMovement[[#This Row],[Destination]],tblDestinations[Destination],0)),"?"))</f>
        <v/>
      </c>
      <c r="M4388" s="64">
        <f>IF(tblMovement[[#This Row],[Material]]="","",IF(LEFT(tblMovement[[#This Row],[Material]],3)="Ore",1,0))</f>
        <v/>
      </c>
      <c r="N4388" s="59">
        <f>IF(OR(tblMovement[[#This Row],[Tonnes_t]]="",tblMovement[[#This Row],[Grade_gpt]]=""),0,tblMovement[[#This Row],[Tonnes_t]]*tblMovement[[#This Row],[Grade_gpt]]/cfg_TroyOz)</f>
        <v/>
      </c>
      <c r="O4388" s="59">
        <f>IF(tblMovement[[#This Row],[Is_Ore]]=1,tblMovement[[#This Row],[Contained_oz]],0)</f>
        <v/>
      </c>
    </row>
    <row r="4389">
      <c r="A4389" s="54" t="n"/>
      <c r="B4389" s="61" t="n"/>
      <c r="C4389" s="61" t="n"/>
      <c r="D4389" s="61" t="n"/>
      <c r="E4389" s="61" t="n"/>
      <c r="F4389" s="55" t="n"/>
      <c r="G4389" s="56" t="n"/>
      <c r="H4389" s="55" t="n"/>
      <c r="I4389" s="62" t="n"/>
      <c r="J4389" s="58" t="n"/>
      <c r="K4389" s="63">
        <f>IF(tblMovement[[#This Row],[Source]]="","",IFERROR(INDEX(tblSources[Type],MATCH(tblMovement[[#This Row],[Source]],tblSources[Source],0)),"?"))</f>
        <v/>
      </c>
      <c r="L4389" s="63">
        <f>IF(tblMovement[[#This Row],[Destination]]="","",IFERROR(INDEX(tblDestinations[Type],MATCH(tblMovement[[#This Row],[Destination]],tblDestinations[Destination],0)),"?"))</f>
        <v/>
      </c>
      <c r="M4389" s="64">
        <f>IF(tblMovement[[#This Row],[Material]]="","",IF(LEFT(tblMovement[[#This Row],[Material]],3)="Ore",1,0))</f>
        <v/>
      </c>
      <c r="N4389" s="59">
        <f>IF(OR(tblMovement[[#This Row],[Tonnes_t]]="",tblMovement[[#This Row],[Grade_gpt]]=""),0,tblMovement[[#This Row],[Tonnes_t]]*tblMovement[[#This Row],[Grade_gpt]]/cfg_TroyOz)</f>
        <v/>
      </c>
      <c r="O4389" s="59">
        <f>IF(tblMovement[[#This Row],[Is_Ore]]=1,tblMovement[[#This Row],[Contained_oz]],0)</f>
        <v/>
      </c>
    </row>
    <row r="4390">
      <c r="A4390" s="54" t="n"/>
      <c r="B4390" s="61" t="n"/>
      <c r="C4390" s="61" t="n"/>
      <c r="D4390" s="61" t="n"/>
      <c r="E4390" s="61" t="n"/>
      <c r="F4390" s="55" t="n"/>
      <c r="G4390" s="56" t="n"/>
      <c r="H4390" s="55" t="n"/>
      <c r="I4390" s="62" t="n"/>
      <c r="J4390" s="58" t="n"/>
      <c r="K4390" s="63">
        <f>IF(tblMovement[[#This Row],[Source]]="","",IFERROR(INDEX(tblSources[Type],MATCH(tblMovement[[#This Row],[Source]],tblSources[Source],0)),"?"))</f>
        <v/>
      </c>
      <c r="L4390" s="63">
        <f>IF(tblMovement[[#This Row],[Destination]]="","",IFERROR(INDEX(tblDestinations[Type],MATCH(tblMovement[[#This Row],[Destination]],tblDestinations[Destination],0)),"?"))</f>
        <v/>
      </c>
      <c r="M4390" s="64">
        <f>IF(tblMovement[[#This Row],[Material]]="","",IF(LEFT(tblMovement[[#This Row],[Material]],3)="Ore",1,0))</f>
        <v/>
      </c>
      <c r="N4390" s="59">
        <f>IF(OR(tblMovement[[#This Row],[Tonnes_t]]="",tblMovement[[#This Row],[Grade_gpt]]=""),0,tblMovement[[#This Row],[Tonnes_t]]*tblMovement[[#This Row],[Grade_gpt]]/cfg_TroyOz)</f>
        <v/>
      </c>
      <c r="O4390" s="59">
        <f>IF(tblMovement[[#This Row],[Is_Ore]]=1,tblMovement[[#This Row],[Contained_oz]],0)</f>
        <v/>
      </c>
    </row>
    <row r="4391">
      <c r="A4391" s="54" t="n"/>
      <c r="B4391" s="61" t="n"/>
      <c r="C4391" s="61" t="n"/>
      <c r="D4391" s="61" t="n"/>
      <c r="E4391" s="61" t="n"/>
      <c r="F4391" s="55" t="n"/>
      <c r="G4391" s="56" t="n"/>
      <c r="H4391" s="55" t="n"/>
      <c r="I4391" s="62" t="n"/>
      <c r="J4391" s="58" t="n"/>
      <c r="K4391" s="63">
        <f>IF(tblMovement[[#This Row],[Source]]="","",IFERROR(INDEX(tblSources[Type],MATCH(tblMovement[[#This Row],[Source]],tblSources[Source],0)),"?"))</f>
        <v/>
      </c>
      <c r="L4391" s="63">
        <f>IF(tblMovement[[#This Row],[Destination]]="","",IFERROR(INDEX(tblDestinations[Type],MATCH(tblMovement[[#This Row],[Destination]],tblDestinations[Destination],0)),"?"))</f>
        <v/>
      </c>
      <c r="M4391" s="64">
        <f>IF(tblMovement[[#This Row],[Material]]="","",IF(LEFT(tblMovement[[#This Row],[Material]],3)="Ore",1,0))</f>
        <v/>
      </c>
      <c r="N4391" s="59">
        <f>IF(OR(tblMovement[[#This Row],[Tonnes_t]]="",tblMovement[[#This Row],[Grade_gpt]]=""),0,tblMovement[[#This Row],[Tonnes_t]]*tblMovement[[#This Row],[Grade_gpt]]/cfg_TroyOz)</f>
        <v/>
      </c>
      <c r="O4391" s="59">
        <f>IF(tblMovement[[#This Row],[Is_Ore]]=1,tblMovement[[#This Row],[Contained_oz]],0)</f>
        <v/>
      </c>
    </row>
    <row r="4392">
      <c r="A4392" s="54" t="n"/>
      <c r="B4392" s="61" t="n"/>
      <c r="C4392" s="61" t="n"/>
      <c r="D4392" s="61" t="n"/>
      <c r="E4392" s="61" t="n"/>
      <c r="F4392" s="55" t="n"/>
      <c r="G4392" s="56" t="n"/>
      <c r="H4392" s="55" t="n"/>
      <c r="I4392" s="62" t="n"/>
      <c r="J4392" s="58" t="n"/>
      <c r="K4392" s="63">
        <f>IF(tblMovement[[#This Row],[Source]]="","",IFERROR(INDEX(tblSources[Type],MATCH(tblMovement[[#This Row],[Source]],tblSources[Source],0)),"?"))</f>
        <v/>
      </c>
      <c r="L4392" s="63">
        <f>IF(tblMovement[[#This Row],[Destination]]="","",IFERROR(INDEX(tblDestinations[Type],MATCH(tblMovement[[#This Row],[Destination]],tblDestinations[Destination],0)),"?"))</f>
        <v/>
      </c>
      <c r="M4392" s="64">
        <f>IF(tblMovement[[#This Row],[Material]]="","",IF(LEFT(tblMovement[[#This Row],[Material]],3)="Ore",1,0))</f>
        <v/>
      </c>
      <c r="N4392" s="59">
        <f>IF(OR(tblMovement[[#This Row],[Tonnes_t]]="",tblMovement[[#This Row],[Grade_gpt]]=""),0,tblMovement[[#This Row],[Tonnes_t]]*tblMovement[[#This Row],[Grade_gpt]]/cfg_TroyOz)</f>
        <v/>
      </c>
      <c r="O4392" s="59">
        <f>IF(tblMovement[[#This Row],[Is_Ore]]=1,tblMovement[[#This Row],[Contained_oz]],0)</f>
        <v/>
      </c>
    </row>
    <row r="4393">
      <c r="A4393" s="54" t="n"/>
      <c r="B4393" s="61" t="n"/>
      <c r="C4393" s="61" t="n"/>
      <c r="D4393" s="61" t="n"/>
      <c r="E4393" s="61" t="n"/>
      <c r="F4393" s="55" t="n"/>
      <c r="G4393" s="56" t="n"/>
      <c r="H4393" s="55" t="n"/>
      <c r="I4393" s="62" t="n"/>
      <c r="J4393" s="58" t="n"/>
      <c r="K4393" s="63">
        <f>IF(tblMovement[[#This Row],[Source]]="","",IFERROR(INDEX(tblSources[Type],MATCH(tblMovement[[#This Row],[Source]],tblSources[Source],0)),"?"))</f>
        <v/>
      </c>
      <c r="L4393" s="63">
        <f>IF(tblMovement[[#This Row],[Destination]]="","",IFERROR(INDEX(tblDestinations[Type],MATCH(tblMovement[[#This Row],[Destination]],tblDestinations[Destination],0)),"?"))</f>
        <v/>
      </c>
      <c r="M4393" s="64">
        <f>IF(tblMovement[[#This Row],[Material]]="","",IF(LEFT(tblMovement[[#This Row],[Material]],3)="Ore",1,0))</f>
        <v/>
      </c>
      <c r="N4393" s="59">
        <f>IF(OR(tblMovement[[#This Row],[Tonnes_t]]="",tblMovement[[#This Row],[Grade_gpt]]=""),0,tblMovement[[#This Row],[Tonnes_t]]*tblMovement[[#This Row],[Grade_gpt]]/cfg_TroyOz)</f>
        <v/>
      </c>
      <c r="O4393" s="59">
        <f>IF(tblMovement[[#This Row],[Is_Ore]]=1,tblMovement[[#This Row],[Contained_oz]],0)</f>
        <v/>
      </c>
    </row>
    <row r="4394">
      <c r="A4394" s="54" t="n"/>
      <c r="B4394" s="61" t="n"/>
      <c r="C4394" s="61" t="n"/>
      <c r="D4394" s="61" t="n"/>
      <c r="E4394" s="61" t="n"/>
      <c r="F4394" s="55" t="n"/>
      <c r="G4394" s="56" t="n"/>
      <c r="H4394" s="55" t="n"/>
      <c r="I4394" s="62" t="n"/>
      <c r="J4394" s="58" t="n"/>
      <c r="K4394" s="63">
        <f>IF(tblMovement[[#This Row],[Source]]="","",IFERROR(INDEX(tblSources[Type],MATCH(tblMovement[[#This Row],[Source]],tblSources[Source],0)),"?"))</f>
        <v/>
      </c>
      <c r="L4394" s="63">
        <f>IF(tblMovement[[#This Row],[Destination]]="","",IFERROR(INDEX(tblDestinations[Type],MATCH(tblMovement[[#This Row],[Destination]],tblDestinations[Destination],0)),"?"))</f>
        <v/>
      </c>
      <c r="M4394" s="64">
        <f>IF(tblMovement[[#This Row],[Material]]="","",IF(LEFT(tblMovement[[#This Row],[Material]],3)="Ore",1,0))</f>
        <v/>
      </c>
      <c r="N4394" s="59">
        <f>IF(OR(tblMovement[[#This Row],[Tonnes_t]]="",tblMovement[[#This Row],[Grade_gpt]]=""),0,tblMovement[[#This Row],[Tonnes_t]]*tblMovement[[#This Row],[Grade_gpt]]/cfg_TroyOz)</f>
        <v/>
      </c>
      <c r="O4394" s="59">
        <f>IF(tblMovement[[#This Row],[Is_Ore]]=1,tblMovement[[#This Row],[Contained_oz]],0)</f>
        <v/>
      </c>
    </row>
    <row r="4395">
      <c r="A4395" s="54" t="n"/>
      <c r="B4395" s="61" t="n"/>
      <c r="C4395" s="61" t="n"/>
      <c r="D4395" s="61" t="n"/>
      <c r="E4395" s="61" t="n"/>
      <c r="F4395" s="55" t="n"/>
      <c r="G4395" s="56" t="n"/>
      <c r="H4395" s="55" t="n"/>
      <c r="I4395" s="62" t="n"/>
      <c r="J4395" s="58" t="n"/>
      <c r="K4395" s="63">
        <f>IF(tblMovement[[#This Row],[Source]]="","",IFERROR(INDEX(tblSources[Type],MATCH(tblMovement[[#This Row],[Source]],tblSources[Source],0)),"?"))</f>
        <v/>
      </c>
      <c r="L4395" s="63">
        <f>IF(tblMovement[[#This Row],[Destination]]="","",IFERROR(INDEX(tblDestinations[Type],MATCH(tblMovement[[#This Row],[Destination]],tblDestinations[Destination],0)),"?"))</f>
        <v/>
      </c>
      <c r="M4395" s="64">
        <f>IF(tblMovement[[#This Row],[Material]]="","",IF(LEFT(tblMovement[[#This Row],[Material]],3)="Ore",1,0))</f>
        <v/>
      </c>
      <c r="N4395" s="59">
        <f>IF(OR(tblMovement[[#This Row],[Tonnes_t]]="",tblMovement[[#This Row],[Grade_gpt]]=""),0,tblMovement[[#This Row],[Tonnes_t]]*tblMovement[[#This Row],[Grade_gpt]]/cfg_TroyOz)</f>
        <v/>
      </c>
      <c r="O4395" s="59">
        <f>IF(tblMovement[[#This Row],[Is_Ore]]=1,tblMovement[[#This Row],[Contained_oz]],0)</f>
        <v/>
      </c>
    </row>
    <row r="4396">
      <c r="A4396" s="54" t="n"/>
      <c r="B4396" s="61" t="n"/>
      <c r="C4396" s="61" t="n"/>
      <c r="D4396" s="61" t="n"/>
      <c r="E4396" s="61" t="n"/>
      <c r="F4396" s="55" t="n"/>
      <c r="G4396" s="56" t="n"/>
      <c r="H4396" s="55" t="n"/>
      <c r="I4396" s="62" t="n"/>
      <c r="J4396" s="58" t="n"/>
      <c r="K4396" s="63">
        <f>IF(tblMovement[[#This Row],[Source]]="","",IFERROR(INDEX(tblSources[Type],MATCH(tblMovement[[#This Row],[Source]],tblSources[Source],0)),"?"))</f>
        <v/>
      </c>
      <c r="L4396" s="63">
        <f>IF(tblMovement[[#This Row],[Destination]]="","",IFERROR(INDEX(tblDestinations[Type],MATCH(tblMovement[[#This Row],[Destination]],tblDestinations[Destination],0)),"?"))</f>
        <v/>
      </c>
      <c r="M4396" s="64">
        <f>IF(tblMovement[[#This Row],[Material]]="","",IF(LEFT(tblMovement[[#This Row],[Material]],3)="Ore",1,0))</f>
        <v/>
      </c>
      <c r="N4396" s="59">
        <f>IF(OR(tblMovement[[#This Row],[Tonnes_t]]="",tblMovement[[#This Row],[Grade_gpt]]=""),0,tblMovement[[#This Row],[Tonnes_t]]*tblMovement[[#This Row],[Grade_gpt]]/cfg_TroyOz)</f>
        <v/>
      </c>
      <c r="O4396" s="59">
        <f>IF(tblMovement[[#This Row],[Is_Ore]]=1,tblMovement[[#This Row],[Contained_oz]],0)</f>
        <v/>
      </c>
    </row>
    <row r="4397">
      <c r="A4397" s="54" t="n"/>
      <c r="B4397" s="61" t="n"/>
      <c r="C4397" s="61" t="n"/>
      <c r="D4397" s="61" t="n"/>
      <c r="E4397" s="61" t="n"/>
      <c r="F4397" s="55" t="n"/>
      <c r="G4397" s="56" t="n"/>
      <c r="H4397" s="55" t="n"/>
      <c r="I4397" s="62" t="n"/>
      <c r="J4397" s="58" t="n"/>
      <c r="K4397" s="63">
        <f>IF(tblMovement[[#This Row],[Source]]="","",IFERROR(INDEX(tblSources[Type],MATCH(tblMovement[[#This Row],[Source]],tblSources[Source],0)),"?"))</f>
        <v/>
      </c>
      <c r="L4397" s="63">
        <f>IF(tblMovement[[#This Row],[Destination]]="","",IFERROR(INDEX(tblDestinations[Type],MATCH(tblMovement[[#This Row],[Destination]],tblDestinations[Destination],0)),"?"))</f>
        <v/>
      </c>
      <c r="M4397" s="64">
        <f>IF(tblMovement[[#This Row],[Material]]="","",IF(LEFT(tblMovement[[#This Row],[Material]],3)="Ore",1,0))</f>
        <v/>
      </c>
      <c r="N4397" s="59">
        <f>IF(OR(tblMovement[[#This Row],[Tonnes_t]]="",tblMovement[[#This Row],[Grade_gpt]]=""),0,tblMovement[[#This Row],[Tonnes_t]]*tblMovement[[#This Row],[Grade_gpt]]/cfg_TroyOz)</f>
        <v/>
      </c>
      <c r="O4397" s="59">
        <f>IF(tblMovement[[#This Row],[Is_Ore]]=1,tblMovement[[#This Row],[Contained_oz]],0)</f>
        <v/>
      </c>
    </row>
    <row r="4398">
      <c r="A4398" s="54" t="n"/>
      <c r="B4398" s="61" t="n"/>
      <c r="C4398" s="61" t="n"/>
      <c r="D4398" s="61" t="n"/>
      <c r="E4398" s="61" t="n"/>
      <c r="F4398" s="55" t="n"/>
      <c r="G4398" s="56" t="n"/>
      <c r="H4398" s="55" t="n"/>
      <c r="I4398" s="62" t="n"/>
      <c r="J4398" s="58" t="n"/>
      <c r="K4398" s="63">
        <f>IF(tblMovement[[#This Row],[Source]]="","",IFERROR(INDEX(tblSources[Type],MATCH(tblMovement[[#This Row],[Source]],tblSources[Source],0)),"?"))</f>
        <v/>
      </c>
      <c r="L4398" s="63">
        <f>IF(tblMovement[[#This Row],[Destination]]="","",IFERROR(INDEX(tblDestinations[Type],MATCH(tblMovement[[#This Row],[Destination]],tblDestinations[Destination],0)),"?"))</f>
        <v/>
      </c>
      <c r="M4398" s="64">
        <f>IF(tblMovement[[#This Row],[Material]]="","",IF(LEFT(tblMovement[[#This Row],[Material]],3)="Ore",1,0))</f>
        <v/>
      </c>
      <c r="N4398" s="59">
        <f>IF(OR(tblMovement[[#This Row],[Tonnes_t]]="",tblMovement[[#This Row],[Grade_gpt]]=""),0,tblMovement[[#This Row],[Tonnes_t]]*tblMovement[[#This Row],[Grade_gpt]]/cfg_TroyOz)</f>
        <v/>
      </c>
      <c r="O4398" s="59">
        <f>IF(tblMovement[[#This Row],[Is_Ore]]=1,tblMovement[[#This Row],[Contained_oz]],0)</f>
        <v/>
      </c>
    </row>
    <row r="4399">
      <c r="A4399" s="54" t="n"/>
      <c r="B4399" s="61" t="n"/>
      <c r="C4399" s="61" t="n"/>
      <c r="D4399" s="61" t="n"/>
      <c r="E4399" s="61" t="n"/>
      <c r="F4399" s="55" t="n"/>
      <c r="G4399" s="56" t="n"/>
      <c r="H4399" s="55" t="n"/>
      <c r="I4399" s="62" t="n"/>
      <c r="J4399" s="58" t="n"/>
      <c r="K4399" s="63">
        <f>IF(tblMovement[[#This Row],[Source]]="","",IFERROR(INDEX(tblSources[Type],MATCH(tblMovement[[#This Row],[Source]],tblSources[Source],0)),"?"))</f>
        <v/>
      </c>
      <c r="L4399" s="63">
        <f>IF(tblMovement[[#This Row],[Destination]]="","",IFERROR(INDEX(tblDestinations[Type],MATCH(tblMovement[[#This Row],[Destination]],tblDestinations[Destination],0)),"?"))</f>
        <v/>
      </c>
      <c r="M4399" s="64">
        <f>IF(tblMovement[[#This Row],[Material]]="","",IF(LEFT(tblMovement[[#This Row],[Material]],3)="Ore",1,0))</f>
        <v/>
      </c>
      <c r="N4399" s="59">
        <f>IF(OR(tblMovement[[#This Row],[Tonnes_t]]="",tblMovement[[#This Row],[Grade_gpt]]=""),0,tblMovement[[#This Row],[Tonnes_t]]*tblMovement[[#This Row],[Grade_gpt]]/cfg_TroyOz)</f>
        <v/>
      </c>
      <c r="O4399" s="59">
        <f>IF(tblMovement[[#This Row],[Is_Ore]]=1,tblMovement[[#This Row],[Contained_oz]],0)</f>
        <v/>
      </c>
    </row>
    <row r="4400">
      <c r="A4400" s="54" t="n"/>
      <c r="B4400" s="61" t="n"/>
      <c r="C4400" s="61" t="n"/>
      <c r="D4400" s="61" t="n"/>
      <c r="E4400" s="61" t="n"/>
      <c r="F4400" s="55" t="n"/>
      <c r="G4400" s="56" t="n"/>
      <c r="H4400" s="55" t="n"/>
      <c r="I4400" s="62" t="n"/>
      <c r="J4400" s="58" t="n"/>
      <c r="K4400" s="63">
        <f>IF(tblMovement[[#This Row],[Source]]="","",IFERROR(INDEX(tblSources[Type],MATCH(tblMovement[[#This Row],[Source]],tblSources[Source],0)),"?"))</f>
        <v/>
      </c>
      <c r="L4400" s="63">
        <f>IF(tblMovement[[#This Row],[Destination]]="","",IFERROR(INDEX(tblDestinations[Type],MATCH(tblMovement[[#This Row],[Destination]],tblDestinations[Destination],0)),"?"))</f>
        <v/>
      </c>
      <c r="M4400" s="64">
        <f>IF(tblMovement[[#This Row],[Material]]="","",IF(LEFT(tblMovement[[#This Row],[Material]],3)="Ore",1,0))</f>
        <v/>
      </c>
      <c r="N4400" s="59">
        <f>IF(OR(tblMovement[[#This Row],[Tonnes_t]]="",tblMovement[[#This Row],[Grade_gpt]]=""),0,tblMovement[[#This Row],[Tonnes_t]]*tblMovement[[#This Row],[Grade_gpt]]/cfg_TroyOz)</f>
        <v/>
      </c>
      <c r="O4400" s="59">
        <f>IF(tblMovement[[#This Row],[Is_Ore]]=1,tblMovement[[#This Row],[Contained_oz]],0)</f>
        <v/>
      </c>
    </row>
    <row r="4401">
      <c r="A4401" s="54" t="n"/>
      <c r="B4401" s="61" t="n"/>
      <c r="C4401" s="61" t="n"/>
      <c r="D4401" s="61" t="n"/>
      <c r="E4401" s="61" t="n"/>
      <c r="F4401" s="55" t="n"/>
      <c r="G4401" s="56" t="n"/>
      <c r="H4401" s="55" t="n"/>
      <c r="I4401" s="62" t="n"/>
      <c r="J4401" s="58" t="n"/>
      <c r="K4401" s="63">
        <f>IF(tblMovement[[#This Row],[Source]]="","",IFERROR(INDEX(tblSources[Type],MATCH(tblMovement[[#This Row],[Source]],tblSources[Source],0)),"?"))</f>
        <v/>
      </c>
      <c r="L4401" s="63">
        <f>IF(tblMovement[[#This Row],[Destination]]="","",IFERROR(INDEX(tblDestinations[Type],MATCH(tblMovement[[#This Row],[Destination]],tblDestinations[Destination],0)),"?"))</f>
        <v/>
      </c>
      <c r="M4401" s="64">
        <f>IF(tblMovement[[#This Row],[Material]]="","",IF(LEFT(tblMovement[[#This Row],[Material]],3)="Ore",1,0))</f>
        <v/>
      </c>
      <c r="N4401" s="59">
        <f>IF(OR(tblMovement[[#This Row],[Tonnes_t]]="",tblMovement[[#This Row],[Grade_gpt]]=""),0,tblMovement[[#This Row],[Tonnes_t]]*tblMovement[[#This Row],[Grade_gpt]]/cfg_TroyOz)</f>
        <v/>
      </c>
      <c r="O4401" s="59">
        <f>IF(tblMovement[[#This Row],[Is_Ore]]=1,tblMovement[[#This Row],[Contained_oz]],0)</f>
        <v/>
      </c>
    </row>
    <row r="4402">
      <c r="A4402" s="54" t="n"/>
      <c r="B4402" s="61" t="n"/>
      <c r="C4402" s="61" t="n"/>
      <c r="D4402" s="61" t="n"/>
      <c r="E4402" s="61" t="n"/>
      <c r="F4402" s="55" t="n"/>
      <c r="G4402" s="56" t="n"/>
      <c r="H4402" s="55" t="n"/>
      <c r="I4402" s="62" t="n"/>
      <c r="J4402" s="58" t="n"/>
      <c r="K4402" s="63">
        <f>IF(tblMovement[[#This Row],[Source]]="","",IFERROR(INDEX(tblSources[Type],MATCH(tblMovement[[#This Row],[Source]],tblSources[Source],0)),"?"))</f>
        <v/>
      </c>
      <c r="L4402" s="63">
        <f>IF(tblMovement[[#This Row],[Destination]]="","",IFERROR(INDEX(tblDestinations[Type],MATCH(tblMovement[[#This Row],[Destination]],tblDestinations[Destination],0)),"?"))</f>
        <v/>
      </c>
      <c r="M4402" s="64">
        <f>IF(tblMovement[[#This Row],[Material]]="","",IF(LEFT(tblMovement[[#This Row],[Material]],3)="Ore",1,0))</f>
        <v/>
      </c>
      <c r="N4402" s="59">
        <f>IF(OR(tblMovement[[#This Row],[Tonnes_t]]="",tblMovement[[#This Row],[Grade_gpt]]=""),0,tblMovement[[#This Row],[Tonnes_t]]*tblMovement[[#This Row],[Grade_gpt]]/cfg_TroyOz)</f>
        <v/>
      </c>
      <c r="O4402" s="59">
        <f>IF(tblMovement[[#This Row],[Is_Ore]]=1,tblMovement[[#This Row],[Contained_oz]],0)</f>
        <v/>
      </c>
    </row>
    <row r="4403">
      <c r="A4403" s="54" t="n"/>
      <c r="B4403" s="61" t="n"/>
      <c r="C4403" s="61" t="n"/>
      <c r="D4403" s="61" t="n"/>
      <c r="E4403" s="61" t="n"/>
      <c r="F4403" s="55" t="n"/>
      <c r="G4403" s="56" t="n"/>
      <c r="H4403" s="55" t="n"/>
      <c r="I4403" s="62" t="n"/>
      <c r="J4403" s="58" t="n"/>
      <c r="K4403" s="63">
        <f>IF(tblMovement[[#This Row],[Source]]="","",IFERROR(INDEX(tblSources[Type],MATCH(tblMovement[[#This Row],[Source]],tblSources[Source],0)),"?"))</f>
        <v/>
      </c>
      <c r="L4403" s="63">
        <f>IF(tblMovement[[#This Row],[Destination]]="","",IFERROR(INDEX(tblDestinations[Type],MATCH(tblMovement[[#This Row],[Destination]],tblDestinations[Destination],0)),"?"))</f>
        <v/>
      </c>
      <c r="M4403" s="64">
        <f>IF(tblMovement[[#This Row],[Material]]="","",IF(LEFT(tblMovement[[#This Row],[Material]],3)="Ore",1,0))</f>
        <v/>
      </c>
      <c r="N4403" s="59">
        <f>IF(OR(tblMovement[[#This Row],[Tonnes_t]]="",tblMovement[[#This Row],[Grade_gpt]]=""),0,tblMovement[[#This Row],[Tonnes_t]]*tblMovement[[#This Row],[Grade_gpt]]/cfg_TroyOz)</f>
        <v/>
      </c>
      <c r="O4403" s="59">
        <f>IF(tblMovement[[#This Row],[Is_Ore]]=1,tblMovement[[#This Row],[Contained_oz]],0)</f>
        <v/>
      </c>
    </row>
    <row r="4404">
      <c r="A4404" s="54" t="n"/>
      <c r="B4404" s="61" t="n"/>
      <c r="C4404" s="61" t="n"/>
      <c r="D4404" s="61" t="n"/>
      <c r="E4404" s="61" t="n"/>
      <c r="F4404" s="55" t="n"/>
      <c r="G4404" s="56" t="n"/>
      <c r="H4404" s="55" t="n"/>
      <c r="I4404" s="62" t="n"/>
      <c r="J4404" s="58" t="n"/>
      <c r="K4404" s="63">
        <f>IF(tblMovement[[#This Row],[Source]]="","",IFERROR(INDEX(tblSources[Type],MATCH(tblMovement[[#This Row],[Source]],tblSources[Source],0)),"?"))</f>
        <v/>
      </c>
      <c r="L4404" s="63">
        <f>IF(tblMovement[[#This Row],[Destination]]="","",IFERROR(INDEX(tblDestinations[Type],MATCH(tblMovement[[#This Row],[Destination]],tblDestinations[Destination],0)),"?"))</f>
        <v/>
      </c>
      <c r="M4404" s="64">
        <f>IF(tblMovement[[#This Row],[Material]]="","",IF(LEFT(tblMovement[[#This Row],[Material]],3)="Ore",1,0))</f>
        <v/>
      </c>
      <c r="N4404" s="59">
        <f>IF(OR(tblMovement[[#This Row],[Tonnes_t]]="",tblMovement[[#This Row],[Grade_gpt]]=""),0,tblMovement[[#This Row],[Tonnes_t]]*tblMovement[[#This Row],[Grade_gpt]]/cfg_TroyOz)</f>
        <v/>
      </c>
      <c r="O4404" s="59">
        <f>IF(tblMovement[[#This Row],[Is_Ore]]=1,tblMovement[[#This Row],[Contained_oz]],0)</f>
        <v/>
      </c>
    </row>
    <row r="4405">
      <c r="A4405" s="54" t="n"/>
      <c r="B4405" s="61" t="n"/>
      <c r="C4405" s="61" t="n"/>
      <c r="D4405" s="61" t="n"/>
      <c r="E4405" s="61" t="n"/>
      <c r="F4405" s="55" t="n"/>
      <c r="G4405" s="56" t="n"/>
      <c r="H4405" s="55" t="n"/>
      <c r="I4405" s="62" t="n"/>
      <c r="J4405" s="58" t="n"/>
      <c r="K4405" s="63">
        <f>IF(tblMovement[[#This Row],[Source]]="","",IFERROR(INDEX(tblSources[Type],MATCH(tblMovement[[#This Row],[Source]],tblSources[Source],0)),"?"))</f>
        <v/>
      </c>
      <c r="L4405" s="63">
        <f>IF(tblMovement[[#This Row],[Destination]]="","",IFERROR(INDEX(tblDestinations[Type],MATCH(tblMovement[[#This Row],[Destination]],tblDestinations[Destination],0)),"?"))</f>
        <v/>
      </c>
      <c r="M4405" s="64">
        <f>IF(tblMovement[[#This Row],[Material]]="","",IF(LEFT(tblMovement[[#This Row],[Material]],3)="Ore",1,0))</f>
        <v/>
      </c>
      <c r="N4405" s="59">
        <f>IF(OR(tblMovement[[#This Row],[Tonnes_t]]="",tblMovement[[#This Row],[Grade_gpt]]=""),0,tblMovement[[#This Row],[Tonnes_t]]*tblMovement[[#This Row],[Grade_gpt]]/cfg_TroyOz)</f>
        <v/>
      </c>
      <c r="O4405" s="59">
        <f>IF(tblMovement[[#This Row],[Is_Ore]]=1,tblMovement[[#This Row],[Contained_oz]],0)</f>
        <v/>
      </c>
    </row>
    <row r="4406">
      <c r="A4406" s="54" t="n"/>
      <c r="B4406" s="61" t="n"/>
      <c r="C4406" s="61" t="n"/>
      <c r="D4406" s="61" t="n"/>
      <c r="E4406" s="61" t="n"/>
      <c r="F4406" s="55" t="n"/>
      <c r="G4406" s="56" t="n"/>
      <c r="H4406" s="55" t="n"/>
      <c r="I4406" s="62" t="n"/>
      <c r="J4406" s="58" t="n"/>
      <c r="K4406" s="63">
        <f>IF(tblMovement[[#This Row],[Source]]="","",IFERROR(INDEX(tblSources[Type],MATCH(tblMovement[[#This Row],[Source]],tblSources[Source],0)),"?"))</f>
        <v/>
      </c>
      <c r="L4406" s="63">
        <f>IF(tblMovement[[#This Row],[Destination]]="","",IFERROR(INDEX(tblDestinations[Type],MATCH(tblMovement[[#This Row],[Destination]],tblDestinations[Destination],0)),"?"))</f>
        <v/>
      </c>
      <c r="M4406" s="64">
        <f>IF(tblMovement[[#This Row],[Material]]="","",IF(LEFT(tblMovement[[#This Row],[Material]],3)="Ore",1,0))</f>
        <v/>
      </c>
      <c r="N4406" s="59">
        <f>IF(OR(tblMovement[[#This Row],[Tonnes_t]]="",tblMovement[[#This Row],[Grade_gpt]]=""),0,tblMovement[[#This Row],[Tonnes_t]]*tblMovement[[#This Row],[Grade_gpt]]/cfg_TroyOz)</f>
        <v/>
      </c>
      <c r="O4406" s="59">
        <f>IF(tblMovement[[#This Row],[Is_Ore]]=1,tblMovement[[#This Row],[Contained_oz]],0)</f>
        <v/>
      </c>
    </row>
    <row r="4407">
      <c r="A4407" s="54" t="n"/>
      <c r="B4407" s="61" t="n"/>
      <c r="C4407" s="61" t="n"/>
      <c r="D4407" s="61" t="n"/>
      <c r="E4407" s="61" t="n"/>
      <c r="F4407" s="55" t="n"/>
      <c r="G4407" s="56" t="n"/>
      <c r="H4407" s="55" t="n"/>
      <c r="I4407" s="62" t="n"/>
      <c r="J4407" s="58" t="n"/>
      <c r="K4407" s="63">
        <f>IF(tblMovement[[#This Row],[Source]]="","",IFERROR(INDEX(tblSources[Type],MATCH(tblMovement[[#This Row],[Source]],tblSources[Source],0)),"?"))</f>
        <v/>
      </c>
      <c r="L4407" s="63">
        <f>IF(tblMovement[[#This Row],[Destination]]="","",IFERROR(INDEX(tblDestinations[Type],MATCH(tblMovement[[#This Row],[Destination]],tblDestinations[Destination],0)),"?"))</f>
        <v/>
      </c>
      <c r="M4407" s="64">
        <f>IF(tblMovement[[#This Row],[Material]]="","",IF(LEFT(tblMovement[[#This Row],[Material]],3)="Ore",1,0))</f>
        <v/>
      </c>
      <c r="N4407" s="59">
        <f>IF(OR(tblMovement[[#This Row],[Tonnes_t]]="",tblMovement[[#This Row],[Grade_gpt]]=""),0,tblMovement[[#This Row],[Tonnes_t]]*tblMovement[[#This Row],[Grade_gpt]]/cfg_TroyOz)</f>
        <v/>
      </c>
      <c r="O4407" s="59">
        <f>IF(tblMovement[[#This Row],[Is_Ore]]=1,tblMovement[[#This Row],[Contained_oz]],0)</f>
        <v/>
      </c>
    </row>
    <row r="4408">
      <c r="A4408" s="54" t="n"/>
      <c r="B4408" s="61" t="n"/>
      <c r="C4408" s="61" t="n"/>
      <c r="D4408" s="61" t="n"/>
      <c r="E4408" s="61" t="n"/>
      <c r="F4408" s="55" t="n"/>
      <c r="G4408" s="56" t="n"/>
      <c r="H4408" s="55" t="n"/>
      <c r="I4408" s="62" t="n"/>
      <c r="J4408" s="58" t="n"/>
      <c r="K4408" s="63">
        <f>IF(tblMovement[[#This Row],[Source]]="","",IFERROR(INDEX(tblSources[Type],MATCH(tblMovement[[#This Row],[Source]],tblSources[Source],0)),"?"))</f>
        <v/>
      </c>
      <c r="L4408" s="63">
        <f>IF(tblMovement[[#This Row],[Destination]]="","",IFERROR(INDEX(tblDestinations[Type],MATCH(tblMovement[[#This Row],[Destination]],tblDestinations[Destination],0)),"?"))</f>
        <v/>
      </c>
      <c r="M4408" s="64">
        <f>IF(tblMovement[[#This Row],[Material]]="","",IF(LEFT(tblMovement[[#This Row],[Material]],3)="Ore",1,0))</f>
        <v/>
      </c>
      <c r="N4408" s="59">
        <f>IF(OR(tblMovement[[#This Row],[Tonnes_t]]="",tblMovement[[#This Row],[Grade_gpt]]=""),0,tblMovement[[#This Row],[Tonnes_t]]*tblMovement[[#This Row],[Grade_gpt]]/cfg_TroyOz)</f>
        <v/>
      </c>
      <c r="O4408" s="59">
        <f>IF(tblMovement[[#This Row],[Is_Ore]]=1,tblMovement[[#This Row],[Contained_oz]],0)</f>
        <v/>
      </c>
    </row>
    <row r="4409">
      <c r="A4409" s="54" t="n"/>
      <c r="B4409" s="61" t="n"/>
      <c r="C4409" s="61" t="n"/>
      <c r="D4409" s="61" t="n"/>
      <c r="E4409" s="61" t="n"/>
      <c r="F4409" s="55" t="n"/>
      <c r="G4409" s="56" t="n"/>
      <c r="H4409" s="55" t="n"/>
      <c r="I4409" s="62" t="n"/>
      <c r="J4409" s="58" t="n"/>
      <c r="K4409" s="63">
        <f>IF(tblMovement[[#This Row],[Source]]="","",IFERROR(INDEX(tblSources[Type],MATCH(tblMovement[[#This Row],[Source]],tblSources[Source],0)),"?"))</f>
        <v/>
      </c>
      <c r="L4409" s="63">
        <f>IF(tblMovement[[#This Row],[Destination]]="","",IFERROR(INDEX(tblDestinations[Type],MATCH(tblMovement[[#This Row],[Destination]],tblDestinations[Destination],0)),"?"))</f>
        <v/>
      </c>
      <c r="M4409" s="64">
        <f>IF(tblMovement[[#This Row],[Material]]="","",IF(LEFT(tblMovement[[#This Row],[Material]],3)="Ore",1,0))</f>
        <v/>
      </c>
      <c r="N4409" s="59">
        <f>IF(OR(tblMovement[[#This Row],[Tonnes_t]]="",tblMovement[[#This Row],[Grade_gpt]]=""),0,tblMovement[[#This Row],[Tonnes_t]]*tblMovement[[#This Row],[Grade_gpt]]/cfg_TroyOz)</f>
        <v/>
      </c>
      <c r="O4409" s="59">
        <f>IF(tblMovement[[#This Row],[Is_Ore]]=1,tblMovement[[#This Row],[Contained_oz]],0)</f>
        <v/>
      </c>
    </row>
    <row r="4410">
      <c r="A4410" s="54" t="n"/>
      <c r="B4410" s="61" t="n"/>
      <c r="C4410" s="61" t="n"/>
      <c r="D4410" s="61" t="n"/>
      <c r="E4410" s="61" t="n"/>
      <c r="F4410" s="55" t="n"/>
      <c r="G4410" s="56" t="n"/>
      <c r="H4410" s="55" t="n"/>
      <c r="I4410" s="62" t="n"/>
      <c r="J4410" s="58" t="n"/>
      <c r="K4410" s="63">
        <f>IF(tblMovement[[#This Row],[Source]]="","",IFERROR(INDEX(tblSources[Type],MATCH(tblMovement[[#This Row],[Source]],tblSources[Source],0)),"?"))</f>
        <v/>
      </c>
      <c r="L4410" s="63">
        <f>IF(tblMovement[[#This Row],[Destination]]="","",IFERROR(INDEX(tblDestinations[Type],MATCH(tblMovement[[#This Row],[Destination]],tblDestinations[Destination],0)),"?"))</f>
        <v/>
      </c>
      <c r="M4410" s="64">
        <f>IF(tblMovement[[#This Row],[Material]]="","",IF(LEFT(tblMovement[[#This Row],[Material]],3)="Ore",1,0))</f>
        <v/>
      </c>
      <c r="N4410" s="59">
        <f>IF(OR(tblMovement[[#This Row],[Tonnes_t]]="",tblMovement[[#This Row],[Grade_gpt]]=""),0,tblMovement[[#This Row],[Tonnes_t]]*tblMovement[[#This Row],[Grade_gpt]]/cfg_TroyOz)</f>
        <v/>
      </c>
      <c r="O4410" s="59">
        <f>IF(tblMovement[[#This Row],[Is_Ore]]=1,tblMovement[[#This Row],[Contained_oz]],0)</f>
        <v/>
      </c>
    </row>
    <row r="4411">
      <c r="A4411" s="54" t="n"/>
      <c r="B4411" s="61" t="n"/>
      <c r="C4411" s="61" t="n"/>
      <c r="D4411" s="61" t="n"/>
      <c r="E4411" s="61" t="n"/>
      <c r="F4411" s="55" t="n"/>
      <c r="G4411" s="56" t="n"/>
      <c r="H4411" s="55" t="n"/>
      <c r="I4411" s="62" t="n"/>
      <c r="J4411" s="58" t="n"/>
      <c r="K4411" s="63">
        <f>IF(tblMovement[[#This Row],[Source]]="","",IFERROR(INDEX(tblSources[Type],MATCH(tblMovement[[#This Row],[Source]],tblSources[Source],0)),"?"))</f>
        <v/>
      </c>
      <c r="L4411" s="63">
        <f>IF(tblMovement[[#This Row],[Destination]]="","",IFERROR(INDEX(tblDestinations[Type],MATCH(tblMovement[[#This Row],[Destination]],tblDestinations[Destination],0)),"?"))</f>
        <v/>
      </c>
      <c r="M4411" s="64">
        <f>IF(tblMovement[[#This Row],[Material]]="","",IF(LEFT(tblMovement[[#This Row],[Material]],3)="Ore",1,0))</f>
        <v/>
      </c>
      <c r="N4411" s="59">
        <f>IF(OR(tblMovement[[#This Row],[Tonnes_t]]="",tblMovement[[#This Row],[Grade_gpt]]=""),0,tblMovement[[#This Row],[Tonnes_t]]*tblMovement[[#This Row],[Grade_gpt]]/cfg_TroyOz)</f>
        <v/>
      </c>
      <c r="O4411" s="59">
        <f>IF(tblMovement[[#This Row],[Is_Ore]]=1,tblMovement[[#This Row],[Contained_oz]],0)</f>
        <v/>
      </c>
    </row>
    <row r="4412">
      <c r="A4412" s="54" t="n"/>
      <c r="B4412" s="61" t="n"/>
      <c r="C4412" s="61" t="n"/>
      <c r="D4412" s="61" t="n"/>
      <c r="E4412" s="61" t="n"/>
      <c r="F4412" s="55" t="n"/>
      <c r="G4412" s="56" t="n"/>
      <c r="H4412" s="55" t="n"/>
      <c r="I4412" s="62" t="n"/>
      <c r="J4412" s="58" t="n"/>
      <c r="K4412" s="63">
        <f>IF(tblMovement[[#This Row],[Source]]="","",IFERROR(INDEX(tblSources[Type],MATCH(tblMovement[[#This Row],[Source]],tblSources[Source],0)),"?"))</f>
        <v/>
      </c>
      <c r="L4412" s="63">
        <f>IF(tblMovement[[#This Row],[Destination]]="","",IFERROR(INDEX(tblDestinations[Type],MATCH(tblMovement[[#This Row],[Destination]],tblDestinations[Destination],0)),"?"))</f>
        <v/>
      </c>
      <c r="M4412" s="64">
        <f>IF(tblMovement[[#This Row],[Material]]="","",IF(LEFT(tblMovement[[#This Row],[Material]],3)="Ore",1,0))</f>
        <v/>
      </c>
      <c r="N4412" s="59">
        <f>IF(OR(tblMovement[[#This Row],[Tonnes_t]]="",tblMovement[[#This Row],[Grade_gpt]]=""),0,tblMovement[[#This Row],[Tonnes_t]]*tblMovement[[#This Row],[Grade_gpt]]/cfg_TroyOz)</f>
        <v/>
      </c>
      <c r="O4412" s="59">
        <f>IF(tblMovement[[#This Row],[Is_Ore]]=1,tblMovement[[#This Row],[Contained_oz]],0)</f>
        <v/>
      </c>
    </row>
    <row r="4413">
      <c r="A4413" s="54" t="n"/>
      <c r="B4413" s="61" t="n"/>
      <c r="C4413" s="61" t="n"/>
      <c r="D4413" s="61" t="n"/>
      <c r="E4413" s="61" t="n"/>
      <c r="F4413" s="55" t="n"/>
      <c r="G4413" s="56" t="n"/>
      <c r="H4413" s="55" t="n"/>
      <c r="I4413" s="62" t="n"/>
      <c r="J4413" s="58" t="n"/>
      <c r="K4413" s="63">
        <f>IF(tblMovement[[#This Row],[Source]]="","",IFERROR(INDEX(tblSources[Type],MATCH(tblMovement[[#This Row],[Source]],tblSources[Source],0)),"?"))</f>
        <v/>
      </c>
      <c r="L4413" s="63">
        <f>IF(tblMovement[[#This Row],[Destination]]="","",IFERROR(INDEX(tblDestinations[Type],MATCH(tblMovement[[#This Row],[Destination]],tblDestinations[Destination],0)),"?"))</f>
        <v/>
      </c>
      <c r="M4413" s="64">
        <f>IF(tblMovement[[#This Row],[Material]]="","",IF(LEFT(tblMovement[[#This Row],[Material]],3)="Ore",1,0))</f>
        <v/>
      </c>
      <c r="N4413" s="59">
        <f>IF(OR(tblMovement[[#This Row],[Tonnes_t]]="",tblMovement[[#This Row],[Grade_gpt]]=""),0,tblMovement[[#This Row],[Tonnes_t]]*tblMovement[[#This Row],[Grade_gpt]]/cfg_TroyOz)</f>
        <v/>
      </c>
      <c r="O4413" s="59">
        <f>IF(tblMovement[[#This Row],[Is_Ore]]=1,tblMovement[[#This Row],[Contained_oz]],0)</f>
        <v/>
      </c>
    </row>
    <row r="4414">
      <c r="A4414" s="54" t="n"/>
      <c r="B4414" s="61" t="n"/>
      <c r="C4414" s="61" t="n"/>
      <c r="D4414" s="61" t="n"/>
      <c r="E4414" s="61" t="n"/>
      <c r="F4414" s="55" t="n"/>
      <c r="G4414" s="56" t="n"/>
      <c r="H4414" s="55" t="n"/>
      <c r="I4414" s="62" t="n"/>
      <c r="J4414" s="58" t="n"/>
      <c r="K4414" s="63">
        <f>IF(tblMovement[[#This Row],[Source]]="","",IFERROR(INDEX(tblSources[Type],MATCH(tblMovement[[#This Row],[Source]],tblSources[Source],0)),"?"))</f>
        <v/>
      </c>
      <c r="L4414" s="63">
        <f>IF(tblMovement[[#This Row],[Destination]]="","",IFERROR(INDEX(tblDestinations[Type],MATCH(tblMovement[[#This Row],[Destination]],tblDestinations[Destination],0)),"?"))</f>
        <v/>
      </c>
      <c r="M4414" s="64">
        <f>IF(tblMovement[[#This Row],[Material]]="","",IF(LEFT(tblMovement[[#This Row],[Material]],3)="Ore",1,0))</f>
        <v/>
      </c>
      <c r="N4414" s="59">
        <f>IF(OR(tblMovement[[#This Row],[Tonnes_t]]="",tblMovement[[#This Row],[Grade_gpt]]=""),0,tblMovement[[#This Row],[Tonnes_t]]*tblMovement[[#This Row],[Grade_gpt]]/cfg_TroyOz)</f>
        <v/>
      </c>
      <c r="O4414" s="59">
        <f>IF(tblMovement[[#This Row],[Is_Ore]]=1,tblMovement[[#This Row],[Contained_oz]],0)</f>
        <v/>
      </c>
    </row>
    <row r="4415">
      <c r="A4415" s="54" t="n"/>
      <c r="B4415" s="61" t="n"/>
      <c r="C4415" s="61" t="n"/>
      <c r="D4415" s="61" t="n"/>
      <c r="E4415" s="61" t="n"/>
      <c r="F4415" s="55" t="n"/>
      <c r="G4415" s="56" t="n"/>
      <c r="H4415" s="55" t="n"/>
      <c r="I4415" s="62" t="n"/>
      <c r="J4415" s="58" t="n"/>
      <c r="K4415" s="63">
        <f>IF(tblMovement[[#This Row],[Source]]="","",IFERROR(INDEX(tblSources[Type],MATCH(tblMovement[[#This Row],[Source]],tblSources[Source],0)),"?"))</f>
        <v/>
      </c>
      <c r="L4415" s="63">
        <f>IF(tblMovement[[#This Row],[Destination]]="","",IFERROR(INDEX(tblDestinations[Type],MATCH(tblMovement[[#This Row],[Destination]],tblDestinations[Destination],0)),"?"))</f>
        <v/>
      </c>
      <c r="M4415" s="64">
        <f>IF(tblMovement[[#This Row],[Material]]="","",IF(LEFT(tblMovement[[#This Row],[Material]],3)="Ore",1,0))</f>
        <v/>
      </c>
      <c r="N4415" s="59">
        <f>IF(OR(tblMovement[[#This Row],[Tonnes_t]]="",tblMovement[[#This Row],[Grade_gpt]]=""),0,tblMovement[[#This Row],[Tonnes_t]]*tblMovement[[#This Row],[Grade_gpt]]/cfg_TroyOz)</f>
        <v/>
      </c>
      <c r="O4415" s="59">
        <f>IF(tblMovement[[#This Row],[Is_Ore]]=1,tblMovement[[#This Row],[Contained_oz]],0)</f>
        <v/>
      </c>
    </row>
    <row r="4416">
      <c r="A4416" s="54" t="n"/>
      <c r="B4416" s="61" t="n"/>
      <c r="C4416" s="61" t="n"/>
      <c r="D4416" s="61" t="n"/>
      <c r="E4416" s="61" t="n"/>
      <c r="F4416" s="55" t="n"/>
      <c r="G4416" s="56" t="n"/>
      <c r="H4416" s="55" t="n"/>
      <c r="I4416" s="62" t="n"/>
      <c r="J4416" s="58" t="n"/>
      <c r="K4416" s="63">
        <f>IF(tblMovement[[#This Row],[Source]]="","",IFERROR(INDEX(tblSources[Type],MATCH(tblMovement[[#This Row],[Source]],tblSources[Source],0)),"?"))</f>
        <v/>
      </c>
      <c r="L4416" s="63">
        <f>IF(tblMovement[[#This Row],[Destination]]="","",IFERROR(INDEX(tblDestinations[Type],MATCH(tblMovement[[#This Row],[Destination]],tblDestinations[Destination],0)),"?"))</f>
        <v/>
      </c>
      <c r="M4416" s="64">
        <f>IF(tblMovement[[#This Row],[Material]]="","",IF(LEFT(tblMovement[[#This Row],[Material]],3)="Ore",1,0))</f>
        <v/>
      </c>
      <c r="N4416" s="59">
        <f>IF(OR(tblMovement[[#This Row],[Tonnes_t]]="",tblMovement[[#This Row],[Grade_gpt]]=""),0,tblMovement[[#This Row],[Tonnes_t]]*tblMovement[[#This Row],[Grade_gpt]]/cfg_TroyOz)</f>
        <v/>
      </c>
      <c r="O4416" s="59">
        <f>IF(tblMovement[[#This Row],[Is_Ore]]=1,tblMovement[[#This Row],[Contained_oz]],0)</f>
        <v/>
      </c>
    </row>
    <row r="4417">
      <c r="A4417" s="54" t="n"/>
      <c r="B4417" s="61" t="n"/>
      <c r="C4417" s="61" t="n"/>
      <c r="D4417" s="61" t="n"/>
      <c r="E4417" s="61" t="n"/>
      <c r="F4417" s="55" t="n"/>
      <c r="G4417" s="56" t="n"/>
      <c r="H4417" s="55" t="n"/>
      <c r="I4417" s="62" t="n"/>
      <c r="J4417" s="58" t="n"/>
      <c r="K4417" s="63">
        <f>IF(tblMovement[[#This Row],[Source]]="","",IFERROR(INDEX(tblSources[Type],MATCH(tblMovement[[#This Row],[Source]],tblSources[Source],0)),"?"))</f>
        <v/>
      </c>
      <c r="L4417" s="63">
        <f>IF(tblMovement[[#This Row],[Destination]]="","",IFERROR(INDEX(tblDestinations[Type],MATCH(tblMovement[[#This Row],[Destination]],tblDestinations[Destination],0)),"?"))</f>
        <v/>
      </c>
      <c r="M4417" s="64">
        <f>IF(tblMovement[[#This Row],[Material]]="","",IF(LEFT(tblMovement[[#This Row],[Material]],3)="Ore",1,0))</f>
        <v/>
      </c>
      <c r="N4417" s="59">
        <f>IF(OR(tblMovement[[#This Row],[Tonnes_t]]="",tblMovement[[#This Row],[Grade_gpt]]=""),0,tblMovement[[#This Row],[Tonnes_t]]*tblMovement[[#This Row],[Grade_gpt]]/cfg_TroyOz)</f>
        <v/>
      </c>
      <c r="O4417" s="59">
        <f>IF(tblMovement[[#This Row],[Is_Ore]]=1,tblMovement[[#This Row],[Contained_oz]],0)</f>
        <v/>
      </c>
    </row>
    <row r="4418">
      <c r="A4418" s="54" t="n"/>
      <c r="B4418" s="61" t="n"/>
      <c r="C4418" s="61" t="n"/>
      <c r="D4418" s="61" t="n"/>
      <c r="E4418" s="61" t="n"/>
      <c r="F4418" s="55" t="n"/>
      <c r="G4418" s="56" t="n"/>
      <c r="H4418" s="55" t="n"/>
      <c r="I4418" s="62" t="n"/>
      <c r="J4418" s="58" t="n"/>
      <c r="K4418" s="63">
        <f>IF(tblMovement[[#This Row],[Source]]="","",IFERROR(INDEX(tblSources[Type],MATCH(tblMovement[[#This Row],[Source]],tblSources[Source],0)),"?"))</f>
        <v/>
      </c>
      <c r="L4418" s="63">
        <f>IF(tblMovement[[#This Row],[Destination]]="","",IFERROR(INDEX(tblDestinations[Type],MATCH(tblMovement[[#This Row],[Destination]],tblDestinations[Destination],0)),"?"))</f>
        <v/>
      </c>
      <c r="M4418" s="64">
        <f>IF(tblMovement[[#This Row],[Material]]="","",IF(LEFT(tblMovement[[#This Row],[Material]],3)="Ore",1,0))</f>
        <v/>
      </c>
      <c r="N4418" s="59">
        <f>IF(OR(tblMovement[[#This Row],[Tonnes_t]]="",tblMovement[[#This Row],[Grade_gpt]]=""),0,tblMovement[[#This Row],[Tonnes_t]]*tblMovement[[#This Row],[Grade_gpt]]/cfg_TroyOz)</f>
        <v/>
      </c>
      <c r="O4418" s="59">
        <f>IF(tblMovement[[#This Row],[Is_Ore]]=1,tblMovement[[#This Row],[Contained_oz]],0)</f>
        <v/>
      </c>
    </row>
    <row r="4419">
      <c r="A4419" s="54" t="n"/>
      <c r="B4419" s="61" t="n"/>
      <c r="C4419" s="61" t="n"/>
      <c r="D4419" s="61" t="n"/>
      <c r="E4419" s="61" t="n"/>
      <c r="F4419" s="55" t="n"/>
      <c r="G4419" s="56" t="n"/>
      <c r="H4419" s="55" t="n"/>
      <c r="I4419" s="62" t="n"/>
      <c r="J4419" s="58" t="n"/>
      <c r="K4419" s="63">
        <f>IF(tblMovement[[#This Row],[Source]]="","",IFERROR(INDEX(tblSources[Type],MATCH(tblMovement[[#This Row],[Source]],tblSources[Source],0)),"?"))</f>
        <v/>
      </c>
      <c r="L4419" s="63">
        <f>IF(tblMovement[[#This Row],[Destination]]="","",IFERROR(INDEX(tblDestinations[Type],MATCH(tblMovement[[#This Row],[Destination]],tblDestinations[Destination],0)),"?"))</f>
        <v/>
      </c>
      <c r="M4419" s="64">
        <f>IF(tblMovement[[#This Row],[Material]]="","",IF(LEFT(tblMovement[[#This Row],[Material]],3)="Ore",1,0))</f>
        <v/>
      </c>
      <c r="N4419" s="59">
        <f>IF(OR(tblMovement[[#This Row],[Tonnes_t]]="",tblMovement[[#This Row],[Grade_gpt]]=""),0,tblMovement[[#This Row],[Tonnes_t]]*tblMovement[[#This Row],[Grade_gpt]]/cfg_TroyOz)</f>
        <v/>
      </c>
      <c r="O4419" s="59">
        <f>IF(tblMovement[[#This Row],[Is_Ore]]=1,tblMovement[[#This Row],[Contained_oz]],0)</f>
        <v/>
      </c>
    </row>
    <row r="4420">
      <c r="A4420" s="54" t="n"/>
      <c r="B4420" s="61" t="n"/>
      <c r="C4420" s="61" t="n"/>
      <c r="D4420" s="61" t="n"/>
      <c r="E4420" s="61" t="n"/>
      <c r="F4420" s="55" t="n"/>
      <c r="G4420" s="56" t="n"/>
      <c r="H4420" s="55" t="n"/>
      <c r="I4420" s="62" t="n"/>
      <c r="J4420" s="58" t="n"/>
      <c r="K4420" s="63">
        <f>IF(tblMovement[[#This Row],[Source]]="","",IFERROR(INDEX(tblSources[Type],MATCH(tblMovement[[#This Row],[Source]],tblSources[Source],0)),"?"))</f>
        <v/>
      </c>
      <c r="L4420" s="63">
        <f>IF(tblMovement[[#This Row],[Destination]]="","",IFERROR(INDEX(tblDestinations[Type],MATCH(tblMovement[[#This Row],[Destination]],tblDestinations[Destination],0)),"?"))</f>
        <v/>
      </c>
      <c r="M4420" s="64">
        <f>IF(tblMovement[[#This Row],[Material]]="","",IF(LEFT(tblMovement[[#This Row],[Material]],3)="Ore",1,0))</f>
        <v/>
      </c>
      <c r="N4420" s="59">
        <f>IF(OR(tblMovement[[#This Row],[Tonnes_t]]="",tblMovement[[#This Row],[Grade_gpt]]=""),0,tblMovement[[#This Row],[Tonnes_t]]*tblMovement[[#This Row],[Grade_gpt]]/cfg_TroyOz)</f>
        <v/>
      </c>
      <c r="O4420" s="59">
        <f>IF(tblMovement[[#This Row],[Is_Ore]]=1,tblMovement[[#This Row],[Contained_oz]],0)</f>
        <v/>
      </c>
    </row>
    <row r="4421">
      <c r="A4421" s="54" t="n"/>
      <c r="B4421" s="61" t="n"/>
      <c r="C4421" s="61" t="n"/>
      <c r="D4421" s="61" t="n"/>
      <c r="E4421" s="61" t="n"/>
      <c r="F4421" s="55" t="n"/>
      <c r="G4421" s="56" t="n"/>
      <c r="H4421" s="55" t="n"/>
      <c r="I4421" s="62" t="n"/>
      <c r="J4421" s="58" t="n"/>
      <c r="K4421" s="63">
        <f>IF(tblMovement[[#This Row],[Source]]="","",IFERROR(INDEX(tblSources[Type],MATCH(tblMovement[[#This Row],[Source]],tblSources[Source],0)),"?"))</f>
        <v/>
      </c>
      <c r="L4421" s="63">
        <f>IF(tblMovement[[#This Row],[Destination]]="","",IFERROR(INDEX(tblDestinations[Type],MATCH(tblMovement[[#This Row],[Destination]],tblDestinations[Destination],0)),"?"))</f>
        <v/>
      </c>
      <c r="M4421" s="64">
        <f>IF(tblMovement[[#This Row],[Material]]="","",IF(LEFT(tblMovement[[#This Row],[Material]],3)="Ore",1,0))</f>
        <v/>
      </c>
      <c r="N4421" s="59">
        <f>IF(OR(tblMovement[[#This Row],[Tonnes_t]]="",tblMovement[[#This Row],[Grade_gpt]]=""),0,tblMovement[[#This Row],[Tonnes_t]]*tblMovement[[#This Row],[Grade_gpt]]/cfg_TroyOz)</f>
        <v/>
      </c>
      <c r="O4421" s="59">
        <f>IF(tblMovement[[#This Row],[Is_Ore]]=1,tblMovement[[#This Row],[Contained_oz]],0)</f>
        <v/>
      </c>
    </row>
    <row r="4422">
      <c r="A4422" s="54" t="n"/>
      <c r="B4422" s="61" t="n"/>
      <c r="C4422" s="61" t="n"/>
      <c r="D4422" s="61" t="n"/>
      <c r="E4422" s="61" t="n"/>
      <c r="F4422" s="55" t="n"/>
      <c r="G4422" s="56" t="n"/>
      <c r="H4422" s="55" t="n"/>
      <c r="I4422" s="62" t="n"/>
      <c r="J4422" s="58" t="n"/>
      <c r="K4422" s="63">
        <f>IF(tblMovement[[#This Row],[Source]]="","",IFERROR(INDEX(tblSources[Type],MATCH(tblMovement[[#This Row],[Source]],tblSources[Source],0)),"?"))</f>
        <v/>
      </c>
      <c r="L4422" s="63">
        <f>IF(tblMovement[[#This Row],[Destination]]="","",IFERROR(INDEX(tblDestinations[Type],MATCH(tblMovement[[#This Row],[Destination]],tblDestinations[Destination],0)),"?"))</f>
        <v/>
      </c>
      <c r="M4422" s="64">
        <f>IF(tblMovement[[#This Row],[Material]]="","",IF(LEFT(tblMovement[[#This Row],[Material]],3)="Ore",1,0))</f>
        <v/>
      </c>
      <c r="N4422" s="59">
        <f>IF(OR(tblMovement[[#This Row],[Tonnes_t]]="",tblMovement[[#This Row],[Grade_gpt]]=""),0,tblMovement[[#This Row],[Tonnes_t]]*tblMovement[[#This Row],[Grade_gpt]]/cfg_TroyOz)</f>
        <v/>
      </c>
      <c r="O4422" s="59">
        <f>IF(tblMovement[[#This Row],[Is_Ore]]=1,tblMovement[[#This Row],[Contained_oz]],0)</f>
        <v/>
      </c>
    </row>
    <row r="4423">
      <c r="A4423" s="54" t="n"/>
      <c r="B4423" s="61" t="n"/>
      <c r="C4423" s="61" t="n"/>
      <c r="D4423" s="61" t="n"/>
      <c r="E4423" s="61" t="n"/>
      <c r="F4423" s="55" t="n"/>
      <c r="G4423" s="56" t="n"/>
      <c r="H4423" s="55" t="n"/>
      <c r="I4423" s="62" t="n"/>
      <c r="J4423" s="58" t="n"/>
      <c r="K4423" s="63">
        <f>IF(tblMovement[[#This Row],[Source]]="","",IFERROR(INDEX(tblSources[Type],MATCH(tblMovement[[#This Row],[Source]],tblSources[Source],0)),"?"))</f>
        <v/>
      </c>
      <c r="L4423" s="63">
        <f>IF(tblMovement[[#This Row],[Destination]]="","",IFERROR(INDEX(tblDestinations[Type],MATCH(tblMovement[[#This Row],[Destination]],tblDestinations[Destination],0)),"?"))</f>
        <v/>
      </c>
      <c r="M4423" s="64">
        <f>IF(tblMovement[[#This Row],[Material]]="","",IF(LEFT(tblMovement[[#This Row],[Material]],3)="Ore",1,0))</f>
        <v/>
      </c>
      <c r="N4423" s="59">
        <f>IF(OR(tblMovement[[#This Row],[Tonnes_t]]="",tblMovement[[#This Row],[Grade_gpt]]=""),0,tblMovement[[#This Row],[Tonnes_t]]*tblMovement[[#This Row],[Grade_gpt]]/cfg_TroyOz)</f>
        <v/>
      </c>
      <c r="O4423" s="59">
        <f>IF(tblMovement[[#This Row],[Is_Ore]]=1,tblMovement[[#This Row],[Contained_oz]],0)</f>
        <v/>
      </c>
    </row>
    <row r="4424">
      <c r="A4424" s="54" t="n"/>
      <c r="B4424" s="61" t="n"/>
      <c r="C4424" s="61" t="n"/>
      <c r="D4424" s="61" t="n"/>
      <c r="E4424" s="61" t="n"/>
      <c r="F4424" s="55" t="n"/>
      <c r="G4424" s="56" t="n"/>
      <c r="H4424" s="55" t="n"/>
      <c r="I4424" s="62" t="n"/>
      <c r="J4424" s="58" t="n"/>
      <c r="K4424" s="63">
        <f>IF(tblMovement[[#This Row],[Source]]="","",IFERROR(INDEX(tblSources[Type],MATCH(tblMovement[[#This Row],[Source]],tblSources[Source],0)),"?"))</f>
        <v/>
      </c>
      <c r="L4424" s="63">
        <f>IF(tblMovement[[#This Row],[Destination]]="","",IFERROR(INDEX(tblDestinations[Type],MATCH(tblMovement[[#This Row],[Destination]],tblDestinations[Destination],0)),"?"))</f>
        <v/>
      </c>
      <c r="M4424" s="64">
        <f>IF(tblMovement[[#This Row],[Material]]="","",IF(LEFT(tblMovement[[#This Row],[Material]],3)="Ore",1,0))</f>
        <v/>
      </c>
      <c r="N4424" s="59">
        <f>IF(OR(tblMovement[[#This Row],[Tonnes_t]]="",tblMovement[[#This Row],[Grade_gpt]]=""),0,tblMovement[[#This Row],[Tonnes_t]]*tblMovement[[#This Row],[Grade_gpt]]/cfg_TroyOz)</f>
        <v/>
      </c>
      <c r="O4424" s="59">
        <f>IF(tblMovement[[#This Row],[Is_Ore]]=1,tblMovement[[#This Row],[Contained_oz]],0)</f>
        <v/>
      </c>
    </row>
    <row r="4425">
      <c r="A4425" s="54" t="n"/>
      <c r="B4425" s="61" t="n"/>
      <c r="C4425" s="61" t="n"/>
      <c r="D4425" s="61" t="n"/>
      <c r="E4425" s="61" t="n"/>
      <c r="F4425" s="55" t="n"/>
      <c r="G4425" s="56" t="n"/>
      <c r="H4425" s="55" t="n"/>
      <c r="I4425" s="62" t="n"/>
      <c r="J4425" s="58" t="n"/>
      <c r="K4425" s="63">
        <f>IF(tblMovement[[#This Row],[Source]]="","",IFERROR(INDEX(tblSources[Type],MATCH(tblMovement[[#This Row],[Source]],tblSources[Source],0)),"?"))</f>
        <v/>
      </c>
      <c r="L4425" s="63">
        <f>IF(tblMovement[[#This Row],[Destination]]="","",IFERROR(INDEX(tblDestinations[Type],MATCH(tblMovement[[#This Row],[Destination]],tblDestinations[Destination],0)),"?"))</f>
        <v/>
      </c>
      <c r="M4425" s="64">
        <f>IF(tblMovement[[#This Row],[Material]]="","",IF(LEFT(tblMovement[[#This Row],[Material]],3)="Ore",1,0))</f>
        <v/>
      </c>
      <c r="N4425" s="59">
        <f>IF(OR(tblMovement[[#This Row],[Tonnes_t]]="",tblMovement[[#This Row],[Grade_gpt]]=""),0,tblMovement[[#This Row],[Tonnes_t]]*tblMovement[[#This Row],[Grade_gpt]]/cfg_TroyOz)</f>
        <v/>
      </c>
      <c r="O4425" s="59">
        <f>IF(tblMovement[[#This Row],[Is_Ore]]=1,tblMovement[[#This Row],[Contained_oz]],0)</f>
        <v/>
      </c>
    </row>
    <row r="4426">
      <c r="A4426" s="54" t="n"/>
      <c r="B4426" s="61" t="n"/>
      <c r="C4426" s="61" t="n"/>
      <c r="D4426" s="61" t="n"/>
      <c r="E4426" s="61" t="n"/>
      <c r="F4426" s="55" t="n"/>
      <c r="G4426" s="56" t="n"/>
      <c r="H4426" s="55" t="n"/>
      <c r="I4426" s="62" t="n"/>
      <c r="J4426" s="58" t="n"/>
      <c r="K4426" s="63">
        <f>IF(tblMovement[[#This Row],[Source]]="","",IFERROR(INDEX(tblSources[Type],MATCH(tblMovement[[#This Row],[Source]],tblSources[Source],0)),"?"))</f>
        <v/>
      </c>
      <c r="L4426" s="63">
        <f>IF(tblMovement[[#This Row],[Destination]]="","",IFERROR(INDEX(tblDestinations[Type],MATCH(tblMovement[[#This Row],[Destination]],tblDestinations[Destination],0)),"?"))</f>
        <v/>
      </c>
      <c r="M4426" s="64">
        <f>IF(tblMovement[[#This Row],[Material]]="","",IF(LEFT(tblMovement[[#This Row],[Material]],3)="Ore",1,0))</f>
        <v/>
      </c>
      <c r="N4426" s="59">
        <f>IF(OR(tblMovement[[#This Row],[Tonnes_t]]="",tblMovement[[#This Row],[Grade_gpt]]=""),0,tblMovement[[#This Row],[Tonnes_t]]*tblMovement[[#This Row],[Grade_gpt]]/cfg_TroyOz)</f>
        <v/>
      </c>
      <c r="O4426" s="59">
        <f>IF(tblMovement[[#This Row],[Is_Ore]]=1,tblMovement[[#This Row],[Contained_oz]],0)</f>
        <v/>
      </c>
    </row>
    <row r="4427">
      <c r="A4427" s="54" t="n"/>
      <c r="B4427" s="61" t="n"/>
      <c r="C4427" s="61" t="n"/>
      <c r="D4427" s="61" t="n"/>
      <c r="E4427" s="61" t="n"/>
      <c r="F4427" s="55" t="n"/>
      <c r="G4427" s="56" t="n"/>
      <c r="H4427" s="55" t="n"/>
      <c r="I4427" s="62" t="n"/>
      <c r="J4427" s="58" t="n"/>
      <c r="K4427" s="63">
        <f>IF(tblMovement[[#This Row],[Source]]="","",IFERROR(INDEX(tblSources[Type],MATCH(tblMovement[[#This Row],[Source]],tblSources[Source],0)),"?"))</f>
        <v/>
      </c>
      <c r="L4427" s="63">
        <f>IF(tblMovement[[#This Row],[Destination]]="","",IFERROR(INDEX(tblDestinations[Type],MATCH(tblMovement[[#This Row],[Destination]],tblDestinations[Destination],0)),"?"))</f>
        <v/>
      </c>
      <c r="M4427" s="64">
        <f>IF(tblMovement[[#This Row],[Material]]="","",IF(LEFT(tblMovement[[#This Row],[Material]],3)="Ore",1,0))</f>
        <v/>
      </c>
      <c r="N4427" s="59">
        <f>IF(OR(tblMovement[[#This Row],[Tonnes_t]]="",tblMovement[[#This Row],[Grade_gpt]]=""),0,tblMovement[[#This Row],[Tonnes_t]]*tblMovement[[#This Row],[Grade_gpt]]/cfg_TroyOz)</f>
        <v/>
      </c>
      <c r="O4427" s="59">
        <f>IF(tblMovement[[#This Row],[Is_Ore]]=1,tblMovement[[#This Row],[Contained_oz]],0)</f>
        <v/>
      </c>
    </row>
    <row r="4428">
      <c r="A4428" s="54" t="n"/>
      <c r="B4428" s="61" t="n"/>
      <c r="C4428" s="61" t="n"/>
      <c r="D4428" s="61" t="n"/>
      <c r="E4428" s="61" t="n"/>
      <c r="F4428" s="55" t="n"/>
      <c r="G4428" s="56" t="n"/>
      <c r="H4428" s="55" t="n"/>
      <c r="I4428" s="62" t="n"/>
      <c r="J4428" s="58" t="n"/>
      <c r="K4428" s="63">
        <f>IF(tblMovement[[#This Row],[Source]]="","",IFERROR(INDEX(tblSources[Type],MATCH(tblMovement[[#This Row],[Source]],tblSources[Source],0)),"?"))</f>
        <v/>
      </c>
      <c r="L4428" s="63">
        <f>IF(tblMovement[[#This Row],[Destination]]="","",IFERROR(INDEX(tblDestinations[Type],MATCH(tblMovement[[#This Row],[Destination]],tblDestinations[Destination],0)),"?"))</f>
        <v/>
      </c>
      <c r="M4428" s="64">
        <f>IF(tblMovement[[#This Row],[Material]]="","",IF(LEFT(tblMovement[[#This Row],[Material]],3)="Ore",1,0))</f>
        <v/>
      </c>
      <c r="N4428" s="59">
        <f>IF(OR(tblMovement[[#This Row],[Tonnes_t]]="",tblMovement[[#This Row],[Grade_gpt]]=""),0,tblMovement[[#This Row],[Tonnes_t]]*tblMovement[[#This Row],[Grade_gpt]]/cfg_TroyOz)</f>
        <v/>
      </c>
      <c r="O4428" s="59">
        <f>IF(tblMovement[[#This Row],[Is_Ore]]=1,tblMovement[[#This Row],[Contained_oz]],0)</f>
        <v/>
      </c>
    </row>
    <row r="4429">
      <c r="A4429" s="54" t="n"/>
      <c r="B4429" s="61" t="n"/>
      <c r="C4429" s="61" t="n"/>
      <c r="D4429" s="61" t="n"/>
      <c r="E4429" s="61" t="n"/>
      <c r="F4429" s="55" t="n"/>
      <c r="G4429" s="56" t="n"/>
      <c r="H4429" s="55" t="n"/>
      <c r="I4429" s="62" t="n"/>
      <c r="J4429" s="58" t="n"/>
      <c r="K4429" s="63">
        <f>IF(tblMovement[[#This Row],[Source]]="","",IFERROR(INDEX(tblSources[Type],MATCH(tblMovement[[#This Row],[Source]],tblSources[Source],0)),"?"))</f>
        <v/>
      </c>
      <c r="L4429" s="63">
        <f>IF(tblMovement[[#This Row],[Destination]]="","",IFERROR(INDEX(tblDestinations[Type],MATCH(tblMovement[[#This Row],[Destination]],tblDestinations[Destination],0)),"?"))</f>
        <v/>
      </c>
      <c r="M4429" s="64">
        <f>IF(tblMovement[[#This Row],[Material]]="","",IF(LEFT(tblMovement[[#This Row],[Material]],3)="Ore",1,0))</f>
        <v/>
      </c>
      <c r="N4429" s="59">
        <f>IF(OR(tblMovement[[#This Row],[Tonnes_t]]="",tblMovement[[#This Row],[Grade_gpt]]=""),0,tblMovement[[#This Row],[Tonnes_t]]*tblMovement[[#This Row],[Grade_gpt]]/cfg_TroyOz)</f>
        <v/>
      </c>
      <c r="O4429" s="59">
        <f>IF(tblMovement[[#This Row],[Is_Ore]]=1,tblMovement[[#This Row],[Contained_oz]],0)</f>
        <v/>
      </c>
    </row>
    <row r="4430">
      <c r="A4430" s="54" t="n"/>
      <c r="B4430" s="61" t="n"/>
      <c r="C4430" s="61" t="n"/>
      <c r="D4430" s="61" t="n"/>
      <c r="E4430" s="61" t="n"/>
      <c r="F4430" s="55" t="n"/>
      <c r="G4430" s="56" t="n"/>
      <c r="H4430" s="55" t="n"/>
      <c r="I4430" s="62" t="n"/>
      <c r="J4430" s="58" t="n"/>
      <c r="K4430" s="63">
        <f>IF(tblMovement[[#This Row],[Source]]="","",IFERROR(INDEX(tblSources[Type],MATCH(tblMovement[[#This Row],[Source]],tblSources[Source],0)),"?"))</f>
        <v/>
      </c>
      <c r="L4430" s="63">
        <f>IF(tblMovement[[#This Row],[Destination]]="","",IFERROR(INDEX(tblDestinations[Type],MATCH(tblMovement[[#This Row],[Destination]],tblDestinations[Destination],0)),"?"))</f>
        <v/>
      </c>
      <c r="M4430" s="64">
        <f>IF(tblMovement[[#This Row],[Material]]="","",IF(LEFT(tblMovement[[#This Row],[Material]],3)="Ore",1,0))</f>
        <v/>
      </c>
      <c r="N4430" s="59">
        <f>IF(OR(tblMovement[[#This Row],[Tonnes_t]]="",tblMovement[[#This Row],[Grade_gpt]]=""),0,tblMovement[[#This Row],[Tonnes_t]]*tblMovement[[#This Row],[Grade_gpt]]/cfg_TroyOz)</f>
        <v/>
      </c>
      <c r="O4430" s="59">
        <f>IF(tblMovement[[#This Row],[Is_Ore]]=1,tblMovement[[#This Row],[Contained_oz]],0)</f>
        <v/>
      </c>
    </row>
    <row r="4431">
      <c r="A4431" s="54" t="n"/>
      <c r="B4431" s="61" t="n"/>
      <c r="C4431" s="61" t="n"/>
      <c r="D4431" s="61" t="n"/>
      <c r="E4431" s="61" t="n"/>
      <c r="F4431" s="55" t="n"/>
      <c r="G4431" s="56" t="n"/>
      <c r="H4431" s="55" t="n"/>
      <c r="I4431" s="62" t="n"/>
      <c r="J4431" s="58" t="n"/>
      <c r="K4431" s="63">
        <f>IF(tblMovement[[#This Row],[Source]]="","",IFERROR(INDEX(tblSources[Type],MATCH(tblMovement[[#This Row],[Source]],tblSources[Source],0)),"?"))</f>
        <v/>
      </c>
      <c r="L4431" s="63">
        <f>IF(tblMovement[[#This Row],[Destination]]="","",IFERROR(INDEX(tblDestinations[Type],MATCH(tblMovement[[#This Row],[Destination]],tblDestinations[Destination],0)),"?"))</f>
        <v/>
      </c>
      <c r="M4431" s="64">
        <f>IF(tblMovement[[#This Row],[Material]]="","",IF(LEFT(tblMovement[[#This Row],[Material]],3)="Ore",1,0))</f>
        <v/>
      </c>
      <c r="N4431" s="59">
        <f>IF(OR(tblMovement[[#This Row],[Tonnes_t]]="",tblMovement[[#This Row],[Grade_gpt]]=""),0,tblMovement[[#This Row],[Tonnes_t]]*tblMovement[[#This Row],[Grade_gpt]]/cfg_TroyOz)</f>
        <v/>
      </c>
      <c r="O4431" s="59">
        <f>IF(tblMovement[[#This Row],[Is_Ore]]=1,tblMovement[[#This Row],[Contained_oz]],0)</f>
        <v/>
      </c>
    </row>
    <row r="4432">
      <c r="A4432" s="54" t="n"/>
      <c r="B4432" s="61" t="n"/>
      <c r="C4432" s="61" t="n"/>
      <c r="D4432" s="61" t="n"/>
      <c r="E4432" s="61" t="n"/>
      <c r="F4432" s="55" t="n"/>
      <c r="G4432" s="56" t="n"/>
      <c r="H4432" s="55" t="n"/>
      <c r="I4432" s="62" t="n"/>
      <c r="J4432" s="58" t="n"/>
      <c r="K4432" s="63">
        <f>IF(tblMovement[[#This Row],[Source]]="","",IFERROR(INDEX(tblSources[Type],MATCH(tblMovement[[#This Row],[Source]],tblSources[Source],0)),"?"))</f>
        <v/>
      </c>
      <c r="L4432" s="63">
        <f>IF(tblMovement[[#This Row],[Destination]]="","",IFERROR(INDEX(tblDestinations[Type],MATCH(tblMovement[[#This Row],[Destination]],tblDestinations[Destination],0)),"?"))</f>
        <v/>
      </c>
      <c r="M4432" s="64">
        <f>IF(tblMovement[[#This Row],[Material]]="","",IF(LEFT(tblMovement[[#This Row],[Material]],3)="Ore",1,0))</f>
        <v/>
      </c>
      <c r="N4432" s="59">
        <f>IF(OR(tblMovement[[#This Row],[Tonnes_t]]="",tblMovement[[#This Row],[Grade_gpt]]=""),0,tblMovement[[#This Row],[Tonnes_t]]*tblMovement[[#This Row],[Grade_gpt]]/cfg_TroyOz)</f>
        <v/>
      </c>
      <c r="O4432" s="59">
        <f>IF(tblMovement[[#This Row],[Is_Ore]]=1,tblMovement[[#This Row],[Contained_oz]],0)</f>
        <v/>
      </c>
    </row>
    <row r="4433">
      <c r="A4433" s="54" t="n"/>
      <c r="B4433" s="61" t="n"/>
      <c r="C4433" s="61" t="n"/>
      <c r="D4433" s="61" t="n"/>
      <c r="E4433" s="61" t="n"/>
      <c r="F4433" s="55" t="n"/>
      <c r="G4433" s="56" t="n"/>
      <c r="H4433" s="55" t="n"/>
      <c r="I4433" s="62" t="n"/>
      <c r="J4433" s="58" t="n"/>
      <c r="K4433" s="63">
        <f>IF(tblMovement[[#This Row],[Source]]="","",IFERROR(INDEX(tblSources[Type],MATCH(tblMovement[[#This Row],[Source]],tblSources[Source],0)),"?"))</f>
        <v/>
      </c>
      <c r="L4433" s="63">
        <f>IF(tblMovement[[#This Row],[Destination]]="","",IFERROR(INDEX(tblDestinations[Type],MATCH(tblMovement[[#This Row],[Destination]],tblDestinations[Destination],0)),"?"))</f>
        <v/>
      </c>
      <c r="M4433" s="64">
        <f>IF(tblMovement[[#This Row],[Material]]="","",IF(LEFT(tblMovement[[#This Row],[Material]],3)="Ore",1,0))</f>
        <v/>
      </c>
      <c r="N4433" s="59">
        <f>IF(OR(tblMovement[[#This Row],[Tonnes_t]]="",tblMovement[[#This Row],[Grade_gpt]]=""),0,tblMovement[[#This Row],[Tonnes_t]]*tblMovement[[#This Row],[Grade_gpt]]/cfg_TroyOz)</f>
        <v/>
      </c>
      <c r="O4433" s="59">
        <f>IF(tblMovement[[#This Row],[Is_Ore]]=1,tblMovement[[#This Row],[Contained_oz]],0)</f>
        <v/>
      </c>
    </row>
    <row r="4434">
      <c r="A4434" s="54" t="n"/>
      <c r="B4434" s="61" t="n"/>
      <c r="C4434" s="61" t="n"/>
      <c r="D4434" s="61" t="n"/>
      <c r="E4434" s="61" t="n"/>
      <c r="F4434" s="55" t="n"/>
      <c r="G4434" s="56" t="n"/>
      <c r="H4434" s="55" t="n"/>
      <c r="I4434" s="62" t="n"/>
      <c r="J4434" s="58" t="n"/>
      <c r="K4434" s="63">
        <f>IF(tblMovement[[#This Row],[Source]]="","",IFERROR(INDEX(tblSources[Type],MATCH(tblMovement[[#This Row],[Source]],tblSources[Source],0)),"?"))</f>
        <v/>
      </c>
      <c r="L4434" s="63">
        <f>IF(tblMovement[[#This Row],[Destination]]="","",IFERROR(INDEX(tblDestinations[Type],MATCH(tblMovement[[#This Row],[Destination]],tblDestinations[Destination],0)),"?"))</f>
        <v/>
      </c>
      <c r="M4434" s="64">
        <f>IF(tblMovement[[#This Row],[Material]]="","",IF(LEFT(tblMovement[[#This Row],[Material]],3)="Ore",1,0))</f>
        <v/>
      </c>
      <c r="N4434" s="59">
        <f>IF(OR(tblMovement[[#This Row],[Tonnes_t]]="",tblMovement[[#This Row],[Grade_gpt]]=""),0,tblMovement[[#This Row],[Tonnes_t]]*tblMovement[[#This Row],[Grade_gpt]]/cfg_TroyOz)</f>
        <v/>
      </c>
      <c r="O4434" s="59">
        <f>IF(tblMovement[[#This Row],[Is_Ore]]=1,tblMovement[[#This Row],[Contained_oz]],0)</f>
        <v/>
      </c>
    </row>
    <row r="4435">
      <c r="A4435" s="54" t="n"/>
      <c r="B4435" s="61" t="n"/>
      <c r="C4435" s="61" t="n"/>
      <c r="D4435" s="61" t="n"/>
      <c r="E4435" s="61" t="n"/>
      <c r="F4435" s="55" t="n"/>
      <c r="G4435" s="56" t="n"/>
      <c r="H4435" s="55" t="n"/>
      <c r="I4435" s="62" t="n"/>
      <c r="J4435" s="58" t="n"/>
      <c r="K4435" s="63">
        <f>IF(tblMovement[[#This Row],[Source]]="","",IFERROR(INDEX(tblSources[Type],MATCH(tblMovement[[#This Row],[Source]],tblSources[Source],0)),"?"))</f>
        <v/>
      </c>
      <c r="L4435" s="63">
        <f>IF(tblMovement[[#This Row],[Destination]]="","",IFERROR(INDEX(tblDestinations[Type],MATCH(tblMovement[[#This Row],[Destination]],tblDestinations[Destination],0)),"?"))</f>
        <v/>
      </c>
      <c r="M4435" s="64">
        <f>IF(tblMovement[[#This Row],[Material]]="","",IF(LEFT(tblMovement[[#This Row],[Material]],3)="Ore",1,0))</f>
        <v/>
      </c>
      <c r="N4435" s="59">
        <f>IF(OR(tblMovement[[#This Row],[Tonnes_t]]="",tblMovement[[#This Row],[Grade_gpt]]=""),0,tblMovement[[#This Row],[Tonnes_t]]*tblMovement[[#This Row],[Grade_gpt]]/cfg_TroyOz)</f>
        <v/>
      </c>
      <c r="O4435" s="59">
        <f>IF(tblMovement[[#This Row],[Is_Ore]]=1,tblMovement[[#This Row],[Contained_oz]],0)</f>
        <v/>
      </c>
    </row>
    <row r="4436">
      <c r="A4436" s="54" t="n"/>
      <c r="B4436" s="61" t="n"/>
      <c r="C4436" s="61" t="n"/>
      <c r="D4436" s="61" t="n"/>
      <c r="E4436" s="61" t="n"/>
      <c r="F4436" s="55" t="n"/>
      <c r="G4436" s="56" t="n"/>
      <c r="H4436" s="55" t="n"/>
      <c r="I4436" s="62" t="n"/>
      <c r="J4436" s="58" t="n"/>
      <c r="K4436" s="63">
        <f>IF(tblMovement[[#This Row],[Source]]="","",IFERROR(INDEX(tblSources[Type],MATCH(tblMovement[[#This Row],[Source]],tblSources[Source],0)),"?"))</f>
        <v/>
      </c>
      <c r="L4436" s="63">
        <f>IF(tblMovement[[#This Row],[Destination]]="","",IFERROR(INDEX(tblDestinations[Type],MATCH(tblMovement[[#This Row],[Destination]],tblDestinations[Destination],0)),"?"))</f>
        <v/>
      </c>
      <c r="M4436" s="64">
        <f>IF(tblMovement[[#This Row],[Material]]="","",IF(LEFT(tblMovement[[#This Row],[Material]],3)="Ore",1,0))</f>
        <v/>
      </c>
      <c r="N4436" s="59">
        <f>IF(OR(tblMovement[[#This Row],[Tonnes_t]]="",tblMovement[[#This Row],[Grade_gpt]]=""),0,tblMovement[[#This Row],[Tonnes_t]]*tblMovement[[#This Row],[Grade_gpt]]/cfg_TroyOz)</f>
        <v/>
      </c>
      <c r="O4436" s="59">
        <f>IF(tblMovement[[#This Row],[Is_Ore]]=1,tblMovement[[#This Row],[Contained_oz]],0)</f>
        <v/>
      </c>
    </row>
    <row r="4437">
      <c r="A4437" s="54" t="n"/>
      <c r="B4437" s="61" t="n"/>
      <c r="C4437" s="61" t="n"/>
      <c r="D4437" s="61" t="n"/>
      <c r="E4437" s="61" t="n"/>
      <c r="F4437" s="55" t="n"/>
      <c r="G4437" s="56" t="n"/>
      <c r="H4437" s="55" t="n"/>
      <c r="I4437" s="62" t="n"/>
      <c r="J4437" s="58" t="n"/>
      <c r="K4437" s="63">
        <f>IF(tblMovement[[#This Row],[Source]]="","",IFERROR(INDEX(tblSources[Type],MATCH(tblMovement[[#This Row],[Source]],tblSources[Source],0)),"?"))</f>
        <v/>
      </c>
      <c r="L4437" s="63">
        <f>IF(tblMovement[[#This Row],[Destination]]="","",IFERROR(INDEX(tblDestinations[Type],MATCH(tblMovement[[#This Row],[Destination]],tblDestinations[Destination],0)),"?"))</f>
        <v/>
      </c>
      <c r="M4437" s="64">
        <f>IF(tblMovement[[#This Row],[Material]]="","",IF(LEFT(tblMovement[[#This Row],[Material]],3)="Ore",1,0))</f>
        <v/>
      </c>
      <c r="N4437" s="59">
        <f>IF(OR(tblMovement[[#This Row],[Tonnes_t]]="",tblMovement[[#This Row],[Grade_gpt]]=""),0,tblMovement[[#This Row],[Tonnes_t]]*tblMovement[[#This Row],[Grade_gpt]]/cfg_TroyOz)</f>
        <v/>
      </c>
      <c r="O4437" s="59">
        <f>IF(tblMovement[[#This Row],[Is_Ore]]=1,tblMovement[[#This Row],[Contained_oz]],0)</f>
        <v/>
      </c>
    </row>
    <row r="4438">
      <c r="A4438" s="54" t="n"/>
      <c r="B4438" s="61" t="n"/>
      <c r="C4438" s="61" t="n"/>
      <c r="D4438" s="61" t="n"/>
      <c r="E4438" s="61" t="n"/>
      <c r="F4438" s="55" t="n"/>
      <c r="G4438" s="56" t="n"/>
      <c r="H4438" s="55" t="n"/>
      <c r="I4438" s="62" t="n"/>
      <c r="J4438" s="58" t="n"/>
      <c r="K4438" s="63">
        <f>IF(tblMovement[[#This Row],[Source]]="","",IFERROR(INDEX(tblSources[Type],MATCH(tblMovement[[#This Row],[Source]],tblSources[Source],0)),"?"))</f>
        <v/>
      </c>
      <c r="L4438" s="63">
        <f>IF(tblMovement[[#This Row],[Destination]]="","",IFERROR(INDEX(tblDestinations[Type],MATCH(tblMovement[[#This Row],[Destination]],tblDestinations[Destination],0)),"?"))</f>
        <v/>
      </c>
      <c r="M4438" s="64">
        <f>IF(tblMovement[[#This Row],[Material]]="","",IF(LEFT(tblMovement[[#This Row],[Material]],3)="Ore",1,0))</f>
        <v/>
      </c>
      <c r="N4438" s="59">
        <f>IF(OR(tblMovement[[#This Row],[Tonnes_t]]="",tblMovement[[#This Row],[Grade_gpt]]=""),0,tblMovement[[#This Row],[Tonnes_t]]*tblMovement[[#This Row],[Grade_gpt]]/cfg_TroyOz)</f>
        <v/>
      </c>
      <c r="O4438" s="59">
        <f>IF(tblMovement[[#This Row],[Is_Ore]]=1,tblMovement[[#This Row],[Contained_oz]],0)</f>
        <v/>
      </c>
    </row>
    <row r="4439">
      <c r="A4439" s="54" t="n"/>
      <c r="B4439" s="61" t="n"/>
      <c r="C4439" s="61" t="n"/>
      <c r="D4439" s="61" t="n"/>
      <c r="E4439" s="61" t="n"/>
      <c r="F4439" s="55" t="n"/>
      <c r="G4439" s="56" t="n"/>
      <c r="H4439" s="55" t="n"/>
      <c r="I4439" s="62" t="n"/>
      <c r="J4439" s="58" t="n"/>
      <c r="K4439" s="63">
        <f>IF(tblMovement[[#This Row],[Source]]="","",IFERROR(INDEX(tblSources[Type],MATCH(tblMovement[[#This Row],[Source]],tblSources[Source],0)),"?"))</f>
        <v/>
      </c>
      <c r="L4439" s="63">
        <f>IF(tblMovement[[#This Row],[Destination]]="","",IFERROR(INDEX(tblDestinations[Type],MATCH(tblMovement[[#This Row],[Destination]],tblDestinations[Destination],0)),"?"))</f>
        <v/>
      </c>
      <c r="M4439" s="64">
        <f>IF(tblMovement[[#This Row],[Material]]="","",IF(LEFT(tblMovement[[#This Row],[Material]],3)="Ore",1,0))</f>
        <v/>
      </c>
      <c r="N4439" s="59">
        <f>IF(OR(tblMovement[[#This Row],[Tonnes_t]]="",tblMovement[[#This Row],[Grade_gpt]]=""),0,tblMovement[[#This Row],[Tonnes_t]]*tblMovement[[#This Row],[Grade_gpt]]/cfg_TroyOz)</f>
        <v/>
      </c>
      <c r="O4439" s="59">
        <f>IF(tblMovement[[#This Row],[Is_Ore]]=1,tblMovement[[#This Row],[Contained_oz]],0)</f>
        <v/>
      </c>
    </row>
    <row r="4440">
      <c r="A4440" s="54" t="n"/>
      <c r="B4440" s="61" t="n"/>
      <c r="C4440" s="61" t="n"/>
      <c r="D4440" s="61" t="n"/>
      <c r="E4440" s="61" t="n"/>
      <c r="F4440" s="55" t="n"/>
      <c r="G4440" s="56" t="n"/>
      <c r="H4440" s="55" t="n"/>
      <c r="I4440" s="62" t="n"/>
      <c r="J4440" s="58" t="n"/>
      <c r="K4440" s="63">
        <f>IF(tblMovement[[#This Row],[Source]]="","",IFERROR(INDEX(tblSources[Type],MATCH(tblMovement[[#This Row],[Source]],tblSources[Source],0)),"?"))</f>
        <v/>
      </c>
      <c r="L4440" s="63">
        <f>IF(tblMovement[[#This Row],[Destination]]="","",IFERROR(INDEX(tblDestinations[Type],MATCH(tblMovement[[#This Row],[Destination]],tblDestinations[Destination],0)),"?"))</f>
        <v/>
      </c>
      <c r="M4440" s="64">
        <f>IF(tblMovement[[#This Row],[Material]]="","",IF(LEFT(tblMovement[[#This Row],[Material]],3)="Ore",1,0))</f>
        <v/>
      </c>
      <c r="N4440" s="59">
        <f>IF(OR(tblMovement[[#This Row],[Tonnes_t]]="",tblMovement[[#This Row],[Grade_gpt]]=""),0,tblMovement[[#This Row],[Tonnes_t]]*tblMovement[[#This Row],[Grade_gpt]]/cfg_TroyOz)</f>
        <v/>
      </c>
      <c r="O4440" s="59">
        <f>IF(tblMovement[[#This Row],[Is_Ore]]=1,tblMovement[[#This Row],[Contained_oz]],0)</f>
        <v/>
      </c>
    </row>
    <row r="4441">
      <c r="A4441" s="54" t="n"/>
      <c r="B4441" s="61" t="n"/>
      <c r="C4441" s="61" t="n"/>
      <c r="D4441" s="61" t="n"/>
      <c r="E4441" s="61" t="n"/>
      <c r="F4441" s="55" t="n"/>
      <c r="G4441" s="56" t="n"/>
      <c r="H4441" s="55" t="n"/>
      <c r="I4441" s="62" t="n"/>
      <c r="J4441" s="58" t="n"/>
      <c r="K4441" s="63">
        <f>IF(tblMovement[[#This Row],[Source]]="","",IFERROR(INDEX(tblSources[Type],MATCH(tblMovement[[#This Row],[Source]],tblSources[Source],0)),"?"))</f>
        <v/>
      </c>
      <c r="L4441" s="63">
        <f>IF(tblMovement[[#This Row],[Destination]]="","",IFERROR(INDEX(tblDestinations[Type],MATCH(tblMovement[[#This Row],[Destination]],tblDestinations[Destination],0)),"?"))</f>
        <v/>
      </c>
      <c r="M4441" s="64">
        <f>IF(tblMovement[[#This Row],[Material]]="","",IF(LEFT(tblMovement[[#This Row],[Material]],3)="Ore",1,0))</f>
        <v/>
      </c>
      <c r="N4441" s="59">
        <f>IF(OR(tblMovement[[#This Row],[Tonnes_t]]="",tblMovement[[#This Row],[Grade_gpt]]=""),0,tblMovement[[#This Row],[Tonnes_t]]*tblMovement[[#This Row],[Grade_gpt]]/cfg_TroyOz)</f>
        <v/>
      </c>
      <c r="O4441" s="59">
        <f>IF(tblMovement[[#This Row],[Is_Ore]]=1,tblMovement[[#This Row],[Contained_oz]],0)</f>
        <v/>
      </c>
    </row>
    <row r="4442">
      <c r="A4442" s="54" t="n"/>
      <c r="B4442" s="61" t="n"/>
      <c r="C4442" s="61" t="n"/>
      <c r="D4442" s="61" t="n"/>
      <c r="E4442" s="61" t="n"/>
      <c r="F4442" s="55" t="n"/>
      <c r="G4442" s="56" t="n"/>
      <c r="H4442" s="55" t="n"/>
      <c r="I4442" s="62" t="n"/>
      <c r="J4442" s="58" t="n"/>
      <c r="K4442" s="63">
        <f>IF(tblMovement[[#This Row],[Source]]="","",IFERROR(INDEX(tblSources[Type],MATCH(tblMovement[[#This Row],[Source]],tblSources[Source],0)),"?"))</f>
        <v/>
      </c>
      <c r="L4442" s="63">
        <f>IF(tblMovement[[#This Row],[Destination]]="","",IFERROR(INDEX(tblDestinations[Type],MATCH(tblMovement[[#This Row],[Destination]],tblDestinations[Destination],0)),"?"))</f>
        <v/>
      </c>
      <c r="M4442" s="64">
        <f>IF(tblMovement[[#This Row],[Material]]="","",IF(LEFT(tblMovement[[#This Row],[Material]],3)="Ore",1,0))</f>
        <v/>
      </c>
      <c r="N4442" s="59">
        <f>IF(OR(tblMovement[[#This Row],[Tonnes_t]]="",tblMovement[[#This Row],[Grade_gpt]]=""),0,tblMovement[[#This Row],[Tonnes_t]]*tblMovement[[#This Row],[Grade_gpt]]/cfg_TroyOz)</f>
        <v/>
      </c>
      <c r="O4442" s="59">
        <f>IF(tblMovement[[#This Row],[Is_Ore]]=1,tblMovement[[#This Row],[Contained_oz]],0)</f>
        <v/>
      </c>
    </row>
    <row r="4443">
      <c r="A4443" s="54" t="n"/>
      <c r="B4443" s="61" t="n"/>
      <c r="C4443" s="61" t="n"/>
      <c r="D4443" s="61" t="n"/>
      <c r="E4443" s="61" t="n"/>
      <c r="F4443" s="55" t="n"/>
      <c r="G4443" s="56" t="n"/>
      <c r="H4443" s="55" t="n"/>
      <c r="I4443" s="62" t="n"/>
      <c r="J4443" s="58" t="n"/>
      <c r="K4443" s="63">
        <f>IF(tblMovement[[#This Row],[Source]]="","",IFERROR(INDEX(tblSources[Type],MATCH(tblMovement[[#This Row],[Source]],tblSources[Source],0)),"?"))</f>
        <v/>
      </c>
      <c r="L4443" s="63">
        <f>IF(tblMovement[[#This Row],[Destination]]="","",IFERROR(INDEX(tblDestinations[Type],MATCH(tblMovement[[#This Row],[Destination]],tblDestinations[Destination],0)),"?"))</f>
        <v/>
      </c>
      <c r="M4443" s="64">
        <f>IF(tblMovement[[#This Row],[Material]]="","",IF(LEFT(tblMovement[[#This Row],[Material]],3)="Ore",1,0))</f>
        <v/>
      </c>
      <c r="N4443" s="59">
        <f>IF(OR(tblMovement[[#This Row],[Tonnes_t]]="",tblMovement[[#This Row],[Grade_gpt]]=""),0,tblMovement[[#This Row],[Tonnes_t]]*tblMovement[[#This Row],[Grade_gpt]]/cfg_TroyOz)</f>
        <v/>
      </c>
      <c r="O4443" s="59">
        <f>IF(tblMovement[[#This Row],[Is_Ore]]=1,tblMovement[[#This Row],[Contained_oz]],0)</f>
        <v/>
      </c>
    </row>
    <row r="4444">
      <c r="A4444" s="54" t="n"/>
      <c r="B4444" s="61" t="n"/>
      <c r="C4444" s="61" t="n"/>
      <c r="D4444" s="61" t="n"/>
      <c r="E4444" s="61" t="n"/>
      <c r="F4444" s="55" t="n"/>
      <c r="G4444" s="56" t="n"/>
      <c r="H4444" s="55" t="n"/>
      <c r="I4444" s="62" t="n"/>
      <c r="J4444" s="58" t="n"/>
      <c r="K4444" s="63">
        <f>IF(tblMovement[[#This Row],[Source]]="","",IFERROR(INDEX(tblSources[Type],MATCH(tblMovement[[#This Row],[Source]],tblSources[Source],0)),"?"))</f>
        <v/>
      </c>
      <c r="L4444" s="63">
        <f>IF(tblMovement[[#This Row],[Destination]]="","",IFERROR(INDEX(tblDestinations[Type],MATCH(tblMovement[[#This Row],[Destination]],tblDestinations[Destination],0)),"?"))</f>
        <v/>
      </c>
      <c r="M4444" s="64">
        <f>IF(tblMovement[[#This Row],[Material]]="","",IF(LEFT(tblMovement[[#This Row],[Material]],3)="Ore",1,0))</f>
        <v/>
      </c>
      <c r="N4444" s="59">
        <f>IF(OR(tblMovement[[#This Row],[Tonnes_t]]="",tblMovement[[#This Row],[Grade_gpt]]=""),0,tblMovement[[#This Row],[Tonnes_t]]*tblMovement[[#This Row],[Grade_gpt]]/cfg_TroyOz)</f>
        <v/>
      </c>
      <c r="O4444" s="59">
        <f>IF(tblMovement[[#This Row],[Is_Ore]]=1,tblMovement[[#This Row],[Contained_oz]],0)</f>
        <v/>
      </c>
    </row>
    <row r="4445">
      <c r="A4445" s="54" t="n"/>
      <c r="B4445" s="61" t="n"/>
      <c r="C4445" s="61" t="n"/>
      <c r="D4445" s="61" t="n"/>
      <c r="E4445" s="61" t="n"/>
      <c r="F4445" s="55" t="n"/>
      <c r="G4445" s="56" t="n"/>
      <c r="H4445" s="55" t="n"/>
      <c r="I4445" s="62" t="n"/>
      <c r="J4445" s="58" t="n"/>
      <c r="K4445" s="63">
        <f>IF(tblMovement[[#This Row],[Source]]="","",IFERROR(INDEX(tblSources[Type],MATCH(tblMovement[[#This Row],[Source]],tblSources[Source],0)),"?"))</f>
        <v/>
      </c>
      <c r="L4445" s="63">
        <f>IF(tblMovement[[#This Row],[Destination]]="","",IFERROR(INDEX(tblDestinations[Type],MATCH(tblMovement[[#This Row],[Destination]],tblDestinations[Destination],0)),"?"))</f>
        <v/>
      </c>
      <c r="M4445" s="64">
        <f>IF(tblMovement[[#This Row],[Material]]="","",IF(LEFT(tblMovement[[#This Row],[Material]],3)="Ore",1,0))</f>
        <v/>
      </c>
      <c r="N4445" s="59">
        <f>IF(OR(tblMovement[[#This Row],[Tonnes_t]]="",tblMovement[[#This Row],[Grade_gpt]]=""),0,tblMovement[[#This Row],[Tonnes_t]]*tblMovement[[#This Row],[Grade_gpt]]/cfg_TroyOz)</f>
        <v/>
      </c>
      <c r="O4445" s="59">
        <f>IF(tblMovement[[#This Row],[Is_Ore]]=1,tblMovement[[#This Row],[Contained_oz]],0)</f>
        <v/>
      </c>
    </row>
    <row r="4446">
      <c r="A4446" s="54" t="n"/>
      <c r="B4446" s="61" t="n"/>
      <c r="C4446" s="61" t="n"/>
      <c r="D4446" s="61" t="n"/>
      <c r="E4446" s="61" t="n"/>
      <c r="F4446" s="55" t="n"/>
      <c r="G4446" s="56" t="n"/>
      <c r="H4446" s="55" t="n"/>
      <c r="I4446" s="62" t="n"/>
      <c r="J4446" s="58" t="n"/>
      <c r="K4446" s="63">
        <f>IF(tblMovement[[#This Row],[Source]]="","",IFERROR(INDEX(tblSources[Type],MATCH(tblMovement[[#This Row],[Source]],tblSources[Source],0)),"?"))</f>
        <v/>
      </c>
      <c r="L4446" s="63">
        <f>IF(tblMovement[[#This Row],[Destination]]="","",IFERROR(INDEX(tblDestinations[Type],MATCH(tblMovement[[#This Row],[Destination]],tblDestinations[Destination],0)),"?"))</f>
        <v/>
      </c>
      <c r="M4446" s="64">
        <f>IF(tblMovement[[#This Row],[Material]]="","",IF(LEFT(tblMovement[[#This Row],[Material]],3)="Ore",1,0))</f>
        <v/>
      </c>
      <c r="N4446" s="59">
        <f>IF(OR(tblMovement[[#This Row],[Tonnes_t]]="",tblMovement[[#This Row],[Grade_gpt]]=""),0,tblMovement[[#This Row],[Tonnes_t]]*tblMovement[[#This Row],[Grade_gpt]]/cfg_TroyOz)</f>
        <v/>
      </c>
      <c r="O4446" s="59">
        <f>IF(tblMovement[[#This Row],[Is_Ore]]=1,tblMovement[[#This Row],[Contained_oz]],0)</f>
        <v/>
      </c>
    </row>
    <row r="4447">
      <c r="A4447" s="54" t="n"/>
      <c r="B4447" s="61" t="n"/>
      <c r="C4447" s="61" t="n"/>
      <c r="D4447" s="61" t="n"/>
      <c r="E4447" s="61" t="n"/>
      <c r="F4447" s="55" t="n"/>
      <c r="G4447" s="56" t="n"/>
      <c r="H4447" s="55" t="n"/>
      <c r="I4447" s="62" t="n"/>
      <c r="J4447" s="58" t="n"/>
      <c r="K4447" s="63">
        <f>IF(tblMovement[[#This Row],[Source]]="","",IFERROR(INDEX(tblSources[Type],MATCH(tblMovement[[#This Row],[Source]],tblSources[Source],0)),"?"))</f>
        <v/>
      </c>
      <c r="L4447" s="63">
        <f>IF(tblMovement[[#This Row],[Destination]]="","",IFERROR(INDEX(tblDestinations[Type],MATCH(tblMovement[[#This Row],[Destination]],tblDestinations[Destination],0)),"?"))</f>
        <v/>
      </c>
      <c r="M4447" s="64">
        <f>IF(tblMovement[[#This Row],[Material]]="","",IF(LEFT(tblMovement[[#This Row],[Material]],3)="Ore",1,0))</f>
        <v/>
      </c>
      <c r="N4447" s="59">
        <f>IF(OR(tblMovement[[#This Row],[Tonnes_t]]="",tblMovement[[#This Row],[Grade_gpt]]=""),0,tblMovement[[#This Row],[Tonnes_t]]*tblMovement[[#This Row],[Grade_gpt]]/cfg_TroyOz)</f>
        <v/>
      </c>
      <c r="O4447" s="59">
        <f>IF(tblMovement[[#This Row],[Is_Ore]]=1,tblMovement[[#This Row],[Contained_oz]],0)</f>
        <v/>
      </c>
    </row>
    <row r="4448">
      <c r="A4448" s="54" t="n"/>
      <c r="B4448" s="61" t="n"/>
      <c r="C4448" s="61" t="n"/>
      <c r="D4448" s="61" t="n"/>
      <c r="E4448" s="61" t="n"/>
      <c r="F4448" s="55" t="n"/>
      <c r="G4448" s="56" t="n"/>
      <c r="H4448" s="55" t="n"/>
      <c r="I4448" s="62" t="n"/>
      <c r="J4448" s="58" t="n"/>
      <c r="K4448" s="63">
        <f>IF(tblMovement[[#This Row],[Source]]="","",IFERROR(INDEX(tblSources[Type],MATCH(tblMovement[[#This Row],[Source]],tblSources[Source],0)),"?"))</f>
        <v/>
      </c>
      <c r="L4448" s="63">
        <f>IF(tblMovement[[#This Row],[Destination]]="","",IFERROR(INDEX(tblDestinations[Type],MATCH(tblMovement[[#This Row],[Destination]],tblDestinations[Destination],0)),"?"))</f>
        <v/>
      </c>
      <c r="M4448" s="64">
        <f>IF(tblMovement[[#This Row],[Material]]="","",IF(LEFT(tblMovement[[#This Row],[Material]],3)="Ore",1,0))</f>
        <v/>
      </c>
      <c r="N4448" s="59">
        <f>IF(OR(tblMovement[[#This Row],[Tonnes_t]]="",tblMovement[[#This Row],[Grade_gpt]]=""),0,tblMovement[[#This Row],[Tonnes_t]]*tblMovement[[#This Row],[Grade_gpt]]/cfg_TroyOz)</f>
        <v/>
      </c>
      <c r="O4448" s="59">
        <f>IF(tblMovement[[#This Row],[Is_Ore]]=1,tblMovement[[#This Row],[Contained_oz]],0)</f>
        <v/>
      </c>
    </row>
    <row r="4449">
      <c r="A4449" s="54" t="n"/>
      <c r="B4449" s="61" t="n"/>
      <c r="C4449" s="61" t="n"/>
      <c r="D4449" s="61" t="n"/>
      <c r="E4449" s="61" t="n"/>
      <c r="F4449" s="55" t="n"/>
      <c r="G4449" s="56" t="n"/>
      <c r="H4449" s="55" t="n"/>
      <c r="I4449" s="62" t="n"/>
      <c r="J4449" s="58" t="n"/>
      <c r="K4449" s="63">
        <f>IF(tblMovement[[#This Row],[Source]]="","",IFERROR(INDEX(tblSources[Type],MATCH(tblMovement[[#This Row],[Source]],tblSources[Source],0)),"?"))</f>
        <v/>
      </c>
      <c r="L4449" s="63">
        <f>IF(tblMovement[[#This Row],[Destination]]="","",IFERROR(INDEX(tblDestinations[Type],MATCH(tblMovement[[#This Row],[Destination]],tblDestinations[Destination],0)),"?"))</f>
        <v/>
      </c>
      <c r="M4449" s="64">
        <f>IF(tblMovement[[#This Row],[Material]]="","",IF(LEFT(tblMovement[[#This Row],[Material]],3)="Ore",1,0))</f>
        <v/>
      </c>
      <c r="N4449" s="59">
        <f>IF(OR(tblMovement[[#This Row],[Tonnes_t]]="",tblMovement[[#This Row],[Grade_gpt]]=""),0,tblMovement[[#This Row],[Tonnes_t]]*tblMovement[[#This Row],[Grade_gpt]]/cfg_TroyOz)</f>
        <v/>
      </c>
      <c r="O4449" s="59">
        <f>IF(tblMovement[[#This Row],[Is_Ore]]=1,tblMovement[[#This Row],[Contained_oz]],0)</f>
        <v/>
      </c>
    </row>
    <row r="4450">
      <c r="A4450" s="54" t="n"/>
      <c r="B4450" s="61" t="n"/>
      <c r="C4450" s="61" t="n"/>
      <c r="D4450" s="61" t="n"/>
      <c r="E4450" s="61" t="n"/>
      <c r="F4450" s="55" t="n"/>
      <c r="G4450" s="56" t="n"/>
      <c r="H4450" s="55" t="n"/>
      <c r="I4450" s="62" t="n"/>
      <c r="J4450" s="58" t="n"/>
      <c r="K4450" s="63">
        <f>IF(tblMovement[[#This Row],[Source]]="","",IFERROR(INDEX(tblSources[Type],MATCH(tblMovement[[#This Row],[Source]],tblSources[Source],0)),"?"))</f>
        <v/>
      </c>
      <c r="L4450" s="63">
        <f>IF(tblMovement[[#This Row],[Destination]]="","",IFERROR(INDEX(tblDestinations[Type],MATCH(tblMovement[[#This Row],[Destination]],tblDestinations[Destination],0)),"?"))</f>
        <v/>
      </c>
      <c r="M4450" s="64">
        <f>IF(tblMovement[[#This Row],[Material]]="","",IF(LEFT(tblMovement[[#This Row],[Material]],3)="Ore",1,0))</f>
        <v/>
      </c>
      <c r="N4450" s="59">
        <f>IF(OR(tblMovement[[#This Row],[Tonnes_t]]="",tblMovement[[#This Row],[Grade_gpt]]=""),0,tblMovement[[#This Row],[Tonnes_t]]*tblMovement[[#This Row],[Grade_gpt]]/cfg_TroyOz)</f>
        <v/>
      </c>
      <c r="O4450" s="59">
        <f>IF(tblMovement[[#This Row],[Is_Ore]]=1,tblMovement[[#This Row],[Contained_oz]],0)</f>
        <v/>
      </c>
    </row>
    <row r="4451">
      <c r="A4451" s="54" t="n"/>
      <c r="B4451" s="61" t="n"/>
      <c r="C4451" s="61" t="n"/>
      <c r="D4451" s="61" t="n"/>
      <c r="E4451" s="61" t="n"/>
      <c r="F4451" s="55" t="n"/>
      <c r="G4451" s="56" t="n"/>
      <c r="H4451" s="55" t="n"/>
      <c r="I4451" s="62" t="n"/>
      <c r="J4451" s="58" t="n"/>
      <c r="K4451" s="63">
        <f>IF(tblMovement[[#This Row],[Source]]="","",IFERROR(INDEX(tblSources[Type],MATCH(tblMovement[[#This Row],[Source]],tblSources[Source],0)),"?"))</f>
        <v/>
      </c>
      <c r="L4451" s="63">
        <f>IF(tblMovement[[#This Row],[Destination]]="","",IFERROR(INDEX(tblDestinations[Type],MATCH(tblMovement[[#This Row],[Destination]],tblDestinations[Destination],0)),"?"))</f>
        <v/>
      </c>
      <c r="M4451" s="64">
        <f>IF(tblMovement[[#This Row],[Material]]="","",IF(LEFT(tblMovement[[#This Row],[Material]],3)="Ore",1,0))</f>
        <v/>
      </c>
      <c r="N4451" s="59">
        <f>IF(OR(tblMovement[[#This Row],[Tonnes_t]]="",tblMovement[[#This Row],[Grade_gpt]]=""),0,tblMovement[[#This Row],[Tonnes_t]]*tblMovement[[#This Row],[Grade_gpt]]/cfg_TroyOz)</f>
        <v/>
      </c>
      <c r="O4451" s="59">
        <f>IF(tblMovement[[#This Row],[Is_Ore]]=1,tblMovement[[#This Row],[Contained_oz]],0)</f>
        <v/>
      </c>
    </row>
    <row r="4452">
      <c r="A4452" s="54" t="n"/>
      <c r="B4452" s="61" t="n"/>
      <c r="C4452" s="61" t="n"/>
      <c r="D4452" s="61" t="n"/>
      <c r="E4452" s="61" t="n"/>
      <c r="F4452" s="55" t="n"/>
      <c r="G4452" s="56" t="n"/>
      <c r="H4452" s="55" t="n"/>
      <c r="I4452" s="62" t="n"/>
      <c r="J4452" s="58" t="n"/>
      <c r="K4452" s="63">
        <f>IF(tblMovement[[#This Row],[Source]]="","",IFERROR(INDEX(tblSources[Type],MATCH(tblMovement[[#This Row],[Source]],tblSources[Source],0)),"?"))</f>
        <v/>
      </c>
      <c r="L4452" s="63">
        <f>IF(tblMovement[[#This Row],[Destination]]="","",IFERROR(INDEX(tblDestinations[Type],MATCH(tblMovement[[#This Row],[Destination]],tblDestinations[Destination],0)),"?"))</f>
        <v/>
      </c>
      <c r="M4452" s="64">
        <f>IF(tblMovement[[#This Row],[Material]]="","",IF(LEFT(tblMovement[[#This Row],[Material]],3)="Ore",1,0))</f>
        <v/>
      </c>
      <c r="N4452" s="59">
        <f>IF(OR(tblMovement[[#This Row],[Tonnes_t]]="",tblMovement[[#This Row],[Grade_gpt]]=""),0,tblMovement[[#This Row],[Tonnes_t]]*tblMovement[[#This Row],[Grade_gpt]]/cfg_TroyOz)</f>
        <v/>
      </c>
      <c r="O4452" s="59">
        <f>IF(tblMovement[[#This Row],[Is_Ore]]=1,tblMovement[[#This Row],[Contained_oz]],0)</f>
        <v/>
      </c>
    </row>
    <row r="4453">
      <c r="A4453" s="54" t="n"/>
      <c r="B4453" s="61" t="n"/>
      <c r="C4453" s="61" t="n"/>
      <c r="D4453" s="61" t="n"/>
      <c r="E4453" s="61" t="n"/>
      <c r="F4453" s="55" t="n"/>
      <c r="G4453" s="56" t="n"/>
      <c r="H4453" s="55" t="n"/>
      <c r="I4453" s="62" t="n"/>
      <c r="J4453" s="58" t="n"/>
      <c r="K4453" s="63">
        <f>IF(tblMovement[[#This Row],[Source]]="","",IFERROR(INDEX(tblSources[Type],MATCH(tblMovement[[#This Row],[Source]],tblSources[Source],0)),"?"))</f>
        <v/>
      </c>
      <c r="L4453" s="63">
        <f>IF(tblMovement[[#This Row],[Destination]]="","",IFERROR(INDEX(tblDestinations[Type],MATCH(tblMovement[[#This Row],[Destination]],tblDestinations[Destination],0)),"?"))</f>
        <v/>
      </c>
      <c r="M4453" s="64">
        <f>IF(tblMovement[[#This Row],[Material]]="","",IF(LEFT(tblMovement[[#This Row],[Material]],3)="Ore",1,0))</f>
        <v/>
      </c>
      <c r="N4453" s="59">
        <f>IF(OR(tblMovement[[#This Row],[Tonnes_t]]="",tblMovement[[#This Row],[Grade_gpt]]=""),0,tblMovement[[#This Row],[Tonnes_t]]*tblMovement[[#This Row],[Grade_gpt]]/cfg_TroyOz)</f>
        <v/>
      </c>
      <c r="O4453" s="59">
        <f>IF(tblMovement[[#This Row],[Is_Ore]]=1,tblMovement[[#This Row],[Contained_oz]],0)</f>
        <v/>
      </c>
    </row>
    <row r="4454">
      <c r="A4454" s="54" t="n"/>
      <c r="B4454" s="61" t="n"/>
      <c r="C4454" s="61" t="n"/>
      <c r="D4454" s="61" t="n"/>
      <c r="E4454" s="61" t="n"/>
      <c r="F4454" s="55" t="n"/>
      <c r="G4454" s="56" t="n"/>
      <c r="H4454" s="55" t="n"/>
      <c r="I4454" s="62" t="n"/>
      <c r="J4454" s="58" t="n"/>
      <c r="K4454" s="63">
        <f>IF(tblMovement[[#This Row],[Source]]="","",IFERROR(INDEX(tblSources[Type],MATCH(tblMovement[[#This Row],[Source]],tblSources[Source],0)),"?"))</f>
        <v/>
      </c>
      <c r="L4454" s="63">
        <f>IF(tblMovement[[#This Row],[Destination]]="","",IFERROR(INDEX(tblDestinations[Type],MATCH(tblMovement[[#This Row],[Destination]],tblDestinations[Destination],0)),"?"))</f>
        <v/>
      </c>
      <c r="M4454" s="64">
        <f>IF(tblMovement[[#This Row],[Material]]="","",IF(LEFT(tblMovement[[#This Row],[Material]],3)="Ore",1,0))</f>
        <v/>
      </c>
      <c r="N4454" s="59">
        <f>IF(OR(tblMovement[[#This Row],[Tonnes_t]]="",tblMovement[[#This Row],[Grade_gpt]]=""),0,tblMovement[[#This Row],[Tonnes_t]]*tblMovement[[#This Row],[Grade_gpt]]/cfg_TroyOz)</f>
        <v/>
      </c>
      <c r="O4454" s="59">
        <f>IF(tblMovement[[#This Row],[Is_Ore]]=1,tblMovement[[#This Row],[Contained_oz]],0)</f>
        <v/>
      </c>
    </row>
    <row r="4455">
      <c r="A4455" s="54" t="n"/>
      <c r="B4455" s="61" t="n"/>
      <c r="C4455" s="61" t="n"/>
      <c r="D4455" s="61" t="n"/>
      <c r="E4455" s="61" t="n"/>
      <c r="F4455" s="55" t="n"/>
      <c r="G4455" s="56" t="n"/>
      <c r="H4455" s="55" t="n"/>
      <c r="I4455" s="62" t="n"/>
      <c r="J4455" s="58" t="n"/>
      <c r="K4455" s="63">
        <f>IF(tblMovement[[#This Row],[Source]]="","",IFERROR(INDEX(tblSources[Type],MATCH(tblMovement[[#This Row],[Source]],tblSources[Source],0)),"?"))</f>
        <v/>
      </c>
      <c r="L4455" s="63">
        <f>IF(tblMovement[[#This Row],[Destination]]="","",IFERROR(INDEX(tblDestinations[Type],MATCH(tblMovement[[#This Row],[Destination]],tblDestinations[Destination],0)),"?"))</f>
        <v/>
      </c>
      <c r="M4455" s="64">
        <f>IF(tblMovement[[#This Row],[Material]]="","",IF(LEFT(tblMovement[[#This Row],[Material]],3)="Ore",1,0))</f>
        <v/>
      </c>
      <c r="N4455" s="59">
        <f>IF(OR(tblMovement[[#This Row],[Tonnes_t]]="",tblMovement[[#This Row],[Grade_gpt]]=""),0,tblMovement[[#This Row],[Tonnes_t]]*tblMovement[[#This Row],[Grade_gpt]]/cfg_TroyOz)</f>
        <v/>
      </c>
      <c r="O4455" s="59">
        <f>IF(tblMovement[[#This Row],[Is_Ore]]=1,tblMovement[[#This Row],[Contained_oz]],0)</f>
        <v/>
      </c>
    </row>
    <row r="4456">
      <c r="A4456" s="54" t="n"/>
      <c r="B4456" s="61" t="n"/>
      <c r="C4456" s="61" t="n"/>
      <c r="D4456" s="61" t="n"/>
      <c r="E4456" s="61" t="n"/>
      <c r="F4456" s="55" t="n"/>
      <c r="G4456" s="56" t="n"/>
      <c r="H4456" s="55" t="n"/>
      <c r="I4456" s="62" t="n"/>
      <c r="J4456" s="58" t="n"/>
      <c r="K4456" s="63">
        <f>IF(tblMovement[[#This Row],[Source]]="","",IFERROR(INDEX(tblSources[Type],MATCH(tblMovement[[#This Row],[Source]],tblSources[Source],0)),"?"))</f>
        <v/>
      </c>
      <c r="L4456" s="63">
        <f>IF(tblMovement[[#This Row],[Destination]]="","",IFERROR(INDEX(tblDestinations[Type],MATCH(tblMovement[[#This Row],[Destination]],tblDestinations[Destination],0)),"?"))</f>
        <v/>
      </c>
      <c r="M4456" s="64">
        <f>IF(tblMovement[[#This Row],[Material]]="","",IF(LEFT(tblMovement[[#This Row],[Material]],3)="Ore",1,0))</f>
        <v/>
      </c>
      <c r="N4456" s="59">
        <f>IF(OR(tblMovement[[#This Row],[Tonnes_t]]="",tblMovement[[#This Row],[Grade_gpt]]=""),0,tblMovement[[#This Row],[Tonnes_t]]*tblMovement[[#This Row],[Grade_gpt]]/cfg_TroyOz)</f>
        <v/>
      </c>
      <c r="O4456" s="59">
        <f>IF(tblMovement[[#This Row],[Is_Ore]]=1,tblMovement[[#This Row],[Contained_oz]],0)</f>
        <v/>
      </c>
    </row>
    <row r="4457">
      <c r="A4457" s="54" t="n"/>
      <c r="B4457" s="61" t="n"/>
      <c r="C4457" s="61" t="n"/>
      <c r="D4457" s="61" t="n"/>
      <c r="E4457" s="61" t="n"/>
      <c r="F4457" s="55" t="n"/>
      <c r="G4457" s="56" t="n"/>
      <c r="H4457" s="55" t="n"/>
      <c r="I4457" s="62" t="n"/>
      <c r="J4457" s="58" t="n"/>
      <c r="K4457" s="63">
        <f>IF(tblMovement[[#This Row],[Source]]="","",IFERROR(INDEX(tblSources[Type],MATCH(tblMovement[[#This Row],[Source]],tblSources[Source],0)),"?"))</f>
        <v/>
      </c>
      <c r="L4457" s="63">
        <f>IF(tblMovement[[#This Row],[Destination]]="","",IFERROR(INDEX(tblDestinations[Type],MATCH(tblMovement[[#This Row],[Destination]],tblDestinations[Destination],0)),"?"))</f>
        <v/>
      </c>
      <c r="M4457" s="64">
        <f>IF(tblMovement[[#This Row],[Material]]="","",IF(LEFT(tblMovement[[#This Row],[Material]],3)="Ore",1,0))</f>
        <v/>
      </c>
      <c r="N4457" s="59">
        <f>IF(OR(tblMovement[[#This Row],[Tonnes_t]]="",tblMovement[[#This Row],[Grade_gpt]]=""),0,tblMovement[[#This Row],[Tonnes_t]]*tblMovement[[#This Row],[Grade_gpt]]/cfg_TroyOz)</f>
        <v/>
      </c>
      <c r="O4457" s="59">
        <f>IF(tblMovement[[#This Row],[Is_Ore]]=1,tblMovement[[#This Row],[Contained_oz]],0)</f>
        <v/>
      </c>
    </row>
    <row r="4458">
      <c r="A4458" s="54" t="n"/>
      <c r="B4458" s="61" t="n"/>
      <c r="C4458" s="61" t="n"/>
      <c r="D4458" s="61" t="n"/>
      <c r="E4458" s="61" t="n"/>
      <c r="F4458" s="55" t="n"/>
      <c r="G4458" s="56" t="n"/>
      <c r="H4458" s="55" t="n"/>
      <c r="I4458" s="62" t="n"/>
      <c r="J4458" s="58" t="n"/>
      <c r="K4458" s="63">
        <f>IF(tblMovement[[#This Row],[Source]]="","",IFERROR(INDEX(tblSources[Type],MATCH(tblMovement[[#This Row],[Source]],tblSources[Source],0)),"?"))</f>
        <v/>
      </c>
      <c r="L4458" s="63">
        <f>IF(tblMovement[[#This Row],[Destination]]="","",IFERROR(INDEX(tblDestinations[Type],MATCH(tblMovement[[#This Row],[Destination]],tblDestinations[Destination],0)),"?"))</f>
        <v/>
      </c>
      <c r="M4458" s="64">
        <f>IF(tblMovement[[#This Row],[Material]]="","",IF(LEFT(tblMovement[[#This Row],[Material]],3)="Ore",1,0))</f>
        <v/>
      </c>
      <c r="N4458" s="59">
        <f>IF(OR(tblMovement[[#This Row],[Tonnes_t]]="",tblMovement[[#This Row],[Grade_gpt]]=""),0,tblMovement[[#This Row],[Tonnes_t]]*tblMovement[[#This Row],[Grade_gpt]]/cfg_TroyOz)</f>
        <v/>
      </c>
      <c r="O4458" s="59">
        <f>IF(tblMovement[[#This Row],[Is_Ore]]=1,tblMovement[[#This Row],[Contained_oz]],0)</f>
        <v/>
      </c>
    </row>
    <row r="4459">
      <c r="A4459" s="54" t="n"/>
      <c r="B4459" s="61" t="n"/>
      <c r="C4459" s="61" t="n"/>
      <c r="D4459" s="61" t="n"/>
      <c r="E4459" s="61" t="n"/>
      <c r="F4459" s="55" t="n"/>
      <c r="G4459" s="56" t="n"/>
      <c r="H4459" s="55" t="n"/>
      <c r="I4459" s="62" t="n"/>
      <c r="J4459" s="58" t="n"/>
      <c r="K4459" s="63">
        <f>IF(tblMovement[[#This Row],[Source]]="","",IFERROR(INDEX(tblSources[Type],MATCH(tblMovement[[#This Row],[Source]],tblSources[Source],0)),"?"))</f>
        <v/>
      </c>
      <c r="L4459" s="63">
        <f>IF(tblMovement[[#This Row],[Destination]]="","",IFERROR(INDEX(tblDestinations[Type],MATCH(tblMovement[[#This Row],[Destination]],tblDestinations[Destination],0)),"?"))</f>
        <v/>
      </c>
      <c r="M4459" s="64">
        <f>IF(tblMovement[[#This Row],[Material]]="","",IF(LEFT(tblMovement[[#This Row],[Material]],3)="Ore",1,0))</f>
        <v/>
      </c>
      <c r="N4459" s="59">
        <f>IF(OR(tblMovement[[#This Row],[Tonnes_t]]="",tblMovement[[#This Row],[Grade_gpt]]=""),0,tblMovement[[#This Row],[Tonnes_t]]*tblMovement[[#This Row],[Grade_gpt]]/cfg_TroyOz)</f>
        <v/>
      </c>
      <c r="O4459" s="59">
        <f>IF(tblMovement[[#This Row],[Is_Ore]]=1,tblMovement[[#This Row],[Contained_oz]],0)</f>
        <v/>
      </c>
    </row>
    <row r="4460">
      <c r="A4460" s="54" t="n"/>
      <c r="B4460" s="61" t="n"/>
      <c r="C4460" s="61" t="n"/>
      <c r="D4460" s="61" t="n"/>
      <c r="E4460" s="61" t="n"/>
      <c r="F4460" s="55" t="n"/>
      <c r="G4460" s="56" t="n"/>
      <c r="H4460" s="55" t="n"/>
      <c r="I4460" s="62" t="n"/>
      <c r="J4460" s="58" t="n"/>
      <c r="K4460" s="63">
        <f>IF(tblMovement[[#This Row],[Source]]="","",IFERROR(INDEX(tblSources[Type],MATCH(tblMovement[[#This Row],[Source]],tblSources[Source],0)),"?"))</f>
        <v/>
      </c>
      <c r="L4460" s="63">
        <f>IF(tblMovement[[#This Row],[Destination]]="","",IFERROR(INDEX(tblDestinations[Type],MATCH(tblMovement[[#This Row],[Destination]],tblDestinations[Destination],0)),"?"))</f>
        <v/>
      </c>
      <c r="M4460" s="64">
        <f>IF(tblMovement[[#This Row],[Material]]="","",IF(LEFT(tblMovement[[#This Row],[Material]],3)="Ore",1,0))</f>
        <v/>
      </c>
      <c r="N4460" s="59">
        <f>IF(OR(tblMovement[[#This Row],[Tonnes_t]]="",tblMovement[[#This Row],[Grade_gpt]]=""),0,tblMovement[[#This Row],[Tonnes_t]]*tblMovement[[#This Row],[Grade_gpt]]/cfg_TroyOz)</f>
        <v/>
      </c>
      <c r="O4460" s="59">
        <f>IF(tblMovement[[#This Row],[Is_Ore]]=1,tblMovement[[#This Row],[Contained_oz]],0)</f>
        <v/>
      </c>
    </row>
    <row r="4461">
      <c r="A4461" s="54" t="n"/>
      <c r="B4461" s="61" t="n"/>
      <c r="C4461" s="61" t="n"/>
      <c r="D4461" s="61" t="n"/>
      <c r="E4461" s="61" t="n"/>
      <c r="F4461" s="55" t="n"/>
      <c r="G4461" s="56" t="n"/>
      <c r="H4461" s="55" t="n"/>
      <c r="I4461" s="62" t="n"/>
      <c r="J4461" s="58" t="n"/>
      <c r="K4461" s="63">
        <f>IF(tblMovement[[#This Row],[Source]]="","",IFERROR(INDEX(tblSources[Type],MATCH(tblMovement[[#This Row],[Source]],tblSources[Source],0)),"?"))</f>
        <v/>
      </c>
      <c r="L4461" s="63">
        <f>IF(tblMovement[[#This Row],[Destination]]="","",IFERROR(INDEX(tblDestinations[Type],MATCH(tblMovement[[#This Row],[Destination]],tblDestinations[Destination],0)),"?"))</f>
        <v/>
      </c>
      <c r="M4461" s="64">
        <f>IF(tblMovement[[#This Row],[Material]]="","",IF(LEFT(tblMovement[[#This Row],[Material]],3)="Ore",1,0))</f>
        <v/>
      </c>
      <c r="N4461" s="59">
        <f>IF(OR(tblMovement[[#This Row],[Tonnes_t]]="",tblMovement[[#This Row],[Grade_gpt]]=""),0,tblMovement[[#This Row],[Tonnes_t]]*tblMovement[[#This Row],[Grade_gpt]]/cfg_TroyOz)</f>
        <v/>
      </c>
      <c r="O4461" s="59">
        <f>IF(tblMovement[[#This Row],[Is_Ore]]=1,tblMovement[[#This Row],[Contained_oz]],0)</f>
        <v/>
      </c>
    </row>
    <row r="4462">
      <c r="A4462" s="54" t="n"/>
      <c r="B4462" s="61" t="n"/>
      <c r="C4462" s="61" t="n"/>
      <c r="D4462" s="61" t="n"/>
      <c r="E4462" s="61" t="n"/>
      <c r="F4462" s="55" t="n"/>
      <c r="G4462" s="56" t="n"/>
      <c r="H4462" s="55" t="n"/>
      <c r="I4462" s="62" t="n"/>
      <c r="J4462" s="58" t="n"/>
      <c r="K4462" s="63">
        <f>IF(tblMovement[[#This Row],[Source]]="","",IFERROR(INDEX(tblSources[Type],MATCH(tblMovement[[#This Row],[Source]],tblSources[Source],0)),"?"))</f>
        <v/>
      </c>
      <c r="L4462" s="63">
        <f>IF(tblMovement[[#This Row],[Destination]]="","",IFERROR(INDEX(tblDestinations[Type],MATCH(tblMovement[[#This Row],[Destination]],tblDestinations[Destination],0)),"?"))</f>
        <v/>
      </c>
      <c r="M4462" s="64">
        <f>IF(tblMovement[[#This Row],[Material]]="","",IF(LEFT(tblMovement[[#This Row],[Material]],3)="Ore",1,0))</f>
        <v/>
      </c>
      <c r="N4462" s="59">
        <f>IF(OR(tblMovement[[#This Row],[Tonnes_t]]="",tblMovement[[#This Row],[Grade_gpt]]=""),0,tblMovement[[#This Row],[Tonnes_t]]*tblMovement[[#This Row],[Grade_gpt]]/cfg_TroyOz)</f>
        <v/>
      </c>
      <c r="O4462" s="59">
        <f>IF(tblMovement[[#This Row],[Is_Ore]]=1,tblMovement[[#This Row],[Contained_oz]],0)</f>
        <v/>
      </c>
    </row>
    <row r="4463">
      <c r="A4463" s="54" t="n"/>
      <c r="B4463" s="61" t="n"/>
      <c r="C4463" s="61" t="n"/>
      <c r="D4463" s="61" t="n"/>
      <c r="E4463" s="61" t="n"/>
      <c r="F4463" s="55" t="n"/>
      <c r="G4463" s="56" t="n"/>
      <c r="H4463" s="55" t="n"/>
      <c r="I4463" s="62" t="n"/>
      <c r="J4463" s="58" t="n"/>
      <c r="K4463" s="63">
        <f>IF(tblMovement[[#This Row],[Source]]="","",IFERROR(INDEX(tblSources[Type],MATCH(tblMovement[[#This Row],[Source]],tblSources[Source],0)),"?"))</f>
        <v/>
      </c>
      <c r="L4463" s="63">
        <f>IF(tblMovement[[#This Row],[Destination]]="","",IFERROR(INDEX(tblDestinations[Type],MATCH(tblMovement[[#This Row],[Destination]],tblDestinations[Destination],0)),"?"))</f>
        <v/>
      </c>
      <c r="M4463" s="64">
        <f>IF(tblMovement[[#This Row],[Material]]="","",IF(LEFT(tblMovement[[#This Row],[Material]],3)="Ore",1,0))</f>
        <v/>
      </c>
      <c r="N4463" s="59">
        <f>IF(OR(tblMovement[[#This Row],[Tonnes_t]]="",tblMovement[[#This Row],[Grade_gpt]]=""),0,tblMovement[[#This Row],[Tonnes_t]]*tblMovement[[#This Row],[Grade_gpt]]/cfg_TroyOz)</f>
        <v/>
      </c>
      <c r="O4463" s="59">
        <f>IF(tblMovement[[#This Row],[Is_Ore]]=1,tblMovement[[#This Row],[Contained_oz]],0)</f>
        <v/>
      </c>
    </row>
    <row r="4464">
      <c r="A4464" s="54" t="n"/>
      <c r="B4464" s="61" t="n"/>
      <c r="C4464" s="61" t="n"/>
      <c r="D4464" s="61" t="n"/>
      <c r="E4464" s="61" t="n"/>
      <c r="F4464" s="55" t="n"/>
      <c r="G4464" s="56" t="n"/>
      <c r="H4464" s="55" t="n"/>
      <c r="I4464" s="62" t="n"/>
      <c r="J4464" s="58" t="n"/>
      <c r="K4464" s="63">
        <f>IF(tblMovement[[#This Row],[Source]]="","",IFERROR(INDEX(tblSources[Type],MATCH(tblMovement[[#This Row],[Source]],tblSources[Source],0)),"?"))</f>
        <v/>
      </c>
      <c r="L4464" s="63">
        <f>IF(tblMovement[[#This Row],[Destination]]="","",IFERROR(INDEX(tblDestinations[Type],MATCH(tblMovement[[#This Row],[Destination]],tblDestinations[Destination],0)),"?"))</f>
        <v/>
      </c>
      <c r="M4464" s="64">
        <f>IF(tblMovement[[#This Row],[Material]]="","",IF(LEFT(tblMovement[[#This Row],[Material]],3)="Ore",1,0))</f>
        <v/>
      </c>
      <c r="N4464" s="59">
        <f>IF(OR(tblMovement[[#This Row],[Tonnes_t]]="",tblMovement[[#This Row],[Grade_gpt]]=""),0,tblMovement[[#This Row],[Tonnes_t]]*tblMovement[[#This Row],[Grade_gpt]]/cfg_TroyOz)</f>
        <v/>
      </c>
      <c r="O4464" s="59">
        <f>IF(tblMovement[[#This Row],[Is_Ore]]=1,tblMovement[[#This Row],[Contained_oz]],0)</f>
        <v/>
      </c>
    </row>
    <row r="4465">
      <c r="A4465" s="54" t="n"/>
      <c r="B4465" s="61" t="n"/>
      <c r="C4465" s="61" t="n"/>
      <c r="D4465" s="61" t="n"/>
      <c r="E4465" s="61" t="n"/>
      <c r="F4465" s="55" t="n"/>
      <c r="G4465" s="56" t="n"/>
      <c r="H4465" s="55" t="n"/>
      <c r="I4465" s="62" t="n"/>
      <c r="J4465" s="58" t="n"/>
      <c r="K4465" s="63">
        <f>IF(tblMovement[[#This Row],[Source]]="","",IFERROR(INDEX(tblSources[Type],MATCH(tblMovement[[#This Row],[Source]],tblSources[Source],0)),"?"))</f>
        <v/>
      </c>
      <c r="L4465" s="63">
        <f>IF(tblMovement[[#This Row],[Destination]]="","",IFERROR(INDEX(tblDestinations[Type],MATCH(tblMovement[[#This Row],[Destination]],tblDestinations[Destination],0)),"?"))</f>
        <v/>
      </c>
      <c r="M4465" s="64">
        <f>IF(tblMovement[[#This Row],[Material]]="","",IF(LEFT(tblMovement[[#This Row],[Material]],3)="Ore",1,0))</f>
        <v/>
      </c>
      <c r="N4465" s="59">
        <f>IF(OR(tblMovement[[#This Row],[Tonnes_t]]="",tblMovement[[#This Row],[Grade_gpt]]=""),0,tblMovement[[#This Row],[Tonnes_t]]*tblMovement[[#This Row],[Grade_gpt]]/cfg_TroyOz)</f>
        <v/>
      </c>
      <c r="O4465" s="59">
        <f>IF(tblMovement[[#This Row],[Is_Ore]]=1,tblMovement[[#This Row],[Contained_oz]],0)</f>
        <v/>
      </c>
    </row>
    <row r="4466">
      <c r="A4466" s="54" t="n"/>
      <c r="B4466" s="61" t="n"/>
      <c r="C4466" s="61" t="n"/>
      <c r="D4466" s="61" t="n"/>
      <c r="E4466" s="61" t="n"/>
      <c r="F4466" s="55" t="n"/>
      <c r="G4466" s="56" t="n"/>
      <c r="H4466" s="55" t="n"/>
      <c r="I4466" s="62" t="n"/>
      <c r="J4466" s="58" t="n"/>
      <c r="K4466" s="63">
        <f>IF(tblMovement[[#This Row],[Source]]="","",IFERROR(INDEX(tblSources[Type],MATCH(tblMovement[[#This Row],[Source]],tblSources[Source],0)),"?"))</f>
        <v/>
      </c>
      <c r="L4466" s="63">
        <f>IF(tblMovement[[#This Row],[Destination]]="","",IFERROR(INDEX(tblDestinations[Type],MATCH(tblMovement[[#This Row],[Destination]],tblDestinations[Destination],0)),"?"))</f>
        <v/>
      </c>
      <c r="M4466" s="64">
        <f>IF(tblMovement[[#This Row],[Material]]="","",IF(LEFT(tblMovement[[#This Row],[Material]],3)="Ore",1,0))</f>
        <v/>
      </c>
      <c r="N4466" s="59">
        <f>IF(OR(tblMovement[[#This Row],[Tonnes_t]]="",tblMovement[[#This Row],[Grade_gpt]]=""),0,tblMovement[[#This Row],[Tonnes_t]]*tblMovement[[#This Row],[Grade_gpt]]/cfg_TroyOz)</f>
        <v/>
      </c>
      <c r="O4466" s="59">
        <f>IF(tblMovement[[#This Row],[Is_Ore]]=1,tblMovement[[#This Row],[Contained_oz]],0)</f>
        <v/>
      </c>
    </row>
    <row r="4467">
      <c r="A4467" s="54" t="n"/>
      <c r="B4467" s="61" t="n"/>
      <c r="C4467" s="61" t="n"/>
      <c r="D4467" s="61" t="n"/>
      <c r="E4467" s="61" t="n"/>
      <c r="F4467" s="55" t="n"/>
      <c r="G4467" s="56" t="n"/>
      <c r="H4467" s="55" t="n"/>
      <c r="I4467" s="62" t="n"/>
      <c r="J4467" s="58" t="n"/>
      <c r="K4467" s="63">
        <f>IF(tblMovement[[#This Row],[Source]]="","",IFERROR(INDEX(tblSources[Type],MATCH(tblMovement[[#This Row],[Source]],tblSources[Source],0)),"?"))</f>
        <v/>
      </c>
      <c r="L4467" s="63">
        <f>IF(tblMovement[[#This Row],[Destination]]="","",IFERROR(INDEX(tblDestinations[Type],MATCH(tblMovement[[#This Row],[Destination]],tblDestinations[Destination],0)),"?"))</f>
        <v/>
      </c>
      <c r="M4467" s="64">
        <f>IF(tblMovement[[#This Row],[Material]]="","",IF(LEFT(tblMovement[[#This Row],[Material]],3)="Ore",1,0))</f>
        <v/>
      </c>
      <c r="N4467" s="59">
        <f>IF(OR(tblMovement[[#This Row],[Tonnes_t]]="",tblMovement[[#This Row],[Grade_gpt]]=""),0,tblMovement[[#This Row],[Tonnes_t]]*tblMovement[[#This Row],[Grade_gpt]]/cfg_TroyOz)</f>
        <v/>
      </c>
      <c r="O4467" s="59">
        <f>IF(tblMovement[[#This Row],[Is_Ore]]=1,tblMovement[[#This Row],[Contained_oz]],0)</f>
        <v/>
      </c>
    </row>
    <row r="4468">
      <c r="A4468" s="54" t="n"/>
      <c r="B4468" s="61" t="n"/>
      <c r="C4468" s="61" t="n"/>
      <c r="D4468" s="61" t="n"/>
      <c r="E4468" s="61" t="n"/>
      <c r="F4468" s="55" t="n"/>
      <c r="G4468" s="56" t="n"/>
      <c r="H4468" s="55" t="n"/>
      <c r="I4468" s="62" t="n"/>
      <c r="J4468" s="58" t="n"/>
      <c r="K4468" s="63">
        <f>IF(tblMovement[[#This Row],[Source]]="","",IFERROR(INDEX(tblSources[Type],MATCH(tblMovement[[#This Row],[Source]],tblSources[Source],0)),"?"))</f>
        <v/>
      </c>
      <c r="L4468" s="63">
        <f>IF(tblMovement[[#This Row],[Destination]]="","",IFERROR(INDEX(tblDestinations[Type],MATCH(tblMovement[[#This Row],[Destination]],tblDestinations[Destination],0)),"?"))</f>
        <v/>
      </c>
      <c r="M4468" s="64">
        <f>IF(tblMovement[[#This Row],[Material]]="","",IF(LEFT(tblMovement[[#This Row],[Material]],3)="Ore",1,0))</f>
        <v/>
      </c>
      <c r="N4468" s="59">
        <f>IF(OR(tblMovement[[#This Row],[Tonnes_t]]="",tblMovement[[#This Row],[Grade_gpt]]=""),0,tblMovement[[#This Row],[Tonnes_t]]*tblMovement[[#This Row],[Grade_gpt]]/cfg_TroyOz)</f>
        <v/>
      </c>
      <c r="O4468" s="59">
        <f>IF(tblMovement[[#This Row],[Is_Ore]]=1,tblMovement[[#This Row],[Contained_oz]],0)</f>
        <v/>
      </c>
    </row>
    <row r="4469">
      <c r="A4469" s="54" t="n"/>
      <c r="B4469" s="61" t="n"/>
      <c r="C4469" s="61" t="n"/>
      <c r="D4469" s="61" t="n"/>
      <c r="E4469" s="61" t="n"/>
      <c r="F4469" s="55" t="n"/>
      <c r="G4469" s="56" t="n"/>
      <c r="H4469" s="55" t="n"/>
      <c r="I4469" s="62" t="n"/>
      <c r="J4469" s="58" t="n"/>
      <c r="K4469" s="63">
        <f>IF(tblMovement[[#This Row],[Source]]="","",IFERROR(INDEX(tblSources[Type],MATCH(tblMovement[[#This Row],[Source]],tblSources[Source],0)),"?"))</f>
        <v/>
      </c>
      <c r="L4469" s="63">
        <f>IF(tblMovement[[#This Row],[Destination]]="","",IFERROR(INDEX(tblDestinations[Type],MATCH(tblMovement[[#This Row],[Destination]],tblDestinations[Destination],0)),"?"))</f>
        <v/>
      </c>
      <c r="M4469" s="64">
        <f>IF(tblMovement[[#This Row],[Material]]="","",IF(LEFT(tblMovement[[#This Row],[Material]],3)="Ore",1,0))</f>
        <v/>
      </c>
      <c r="N4469" s="59">
        <f>IF(OR(tblMovement[[#This Row],[Tonnes_t]]="",tblMovement[[#This Row],[Grade_gpt]]=""),0,tblMovement[[#This Row],[Tonnes_t]]*tblMovement[[#This Row],[Grade_gpt]]/cfg_TroyOz)</f>
        <v/>
      </c>
      <c r="O4469" s="59">
        <f>IF(tblMovement[[#This Row],[Is_Ore]]=1,tblMovement[[#This Row],[Contained_oz]],0)</f>
        <v/>
      </c>
    </row>
    <row r="4470">
      <c r="A4470" s="54" t="n"/>
      <c r="B4470" s="61" t="n"/>
      <c r="C4470" s="61" t="n"/>
      <c r="D4470" s="61" t="n"/>
      <c r="E4470" s="61" t="n"/>
      <c r="F4470" s="55" t="n"/>
      <c r="G4470" s="56" t="n"/>
      <c r="H4470" s="55" t="n"/>
      <c r="I4470" s="62" t="n"/>
      <c r="J4470" s="58" t="n"/>
      <c r="K4470" s="63">
        <f>IF(tblMovement[[#This Row],[Source]]="","",IFERROR(INDEX(tblSources[Type],MATCH(tblMovement[[#This Row],[Source]],tblSources[Source],0)),"?"))</f>
        <v/>
      </c>
      <c r="L4470" s="63">
        <f>IF(tblMovement[[#This Row],[Destination]]="","",IFERROR(INDEX(tblDestinations[Type],MATCH(tblMovement[[#This Row],[Destination]],tblDestinations[Destination],0)),"?"))</f>
        <v/>
      </c>
      <c r="M4470" s="64">
        <f>IF(tblMovement[[#This Row],[Material]]="","",IF(LEFT(tblMovement[[#This Row],[Material]],3)="Ore",1,0))</f>
        <v/>
      </c>
      <c r="N4470" s="59">
        <f>IF(OR(tblMovement[[#This Row],[Tonnes_t]]="",tblMovement[[#This Row],[Grade_gpt]]=""),0,tblMovement[[#This Row],[Tonnes_t]]*tblMovement[[#This Row],[Grade_gpt]]/cfg_TroyOz)</f>
        <v/>
      </c>
      <c r="O4470" s="59">
        <f>IF(tblMovement[[#This Row],[Is_Ore]]=1,tblMovement[[#This Row],[Contained_oz]],0)</f>
        <v/>
      </c>
    </row>
    <row r="4471">
      <c r="A4471" s="54" t="n"/>
      <c r="B4471" s="61" t="n"/>
      <c r="C4471" s="61" t="n"/>
      <c r="D4471" s="61" t="n"/>
      <c r="E4471" s="61" t="n"/>
      <c r="F4471" s="55" t="n"/>
      <c r="G4471" s="56" t="n"/>
      <c r="H4471" s="55" t="n"/>
      <c r="I4471" s="62" t="n"/>
      <c r="J4471" s="58" t="n"/>
      <c r="K4471" s="63">
        <f>IF(tblMovement[[#This Row],[Source]]="","",IFERROR(INDEX(tblSources[Type],MATCH(tblMovement[[#This Row],[Source]],tblSources[Source],0)),"?"))</f>
        <v/>
      </c>
      <c r="L4471" s="63">
        <f>IF(tblMovement[[#This Row],[Destination]]="","",IFERROR(INDEX(tblDestinations[Type],MATCH(tblMovement[[#This Row],[Destination]],tblDestinations[Destination],0)),"?"))</f>
        <v/>
      </c>
      <c r="M4471" s="64">
        <f>IF(tblMovement[[#This Row],[Material]]="","",IF(LEFT(tblMovement[[#This Row],[Material]],3)="Ore",1,0))</f>
        <v/>
      </c>
      <c r="N4471" s="59">
        <f>IF(OR(tblMovement[[#This Row],[Tonnes_t]]="",tblMovement[[#This Row],[Grade_gpt]]=""),0,tblMovement[[#This Row],[Tonnes_t]]*tblMovement[[#This Row],[Grade_gpt]]/cfg_TroyOz)</f>
        <v/>
      </c>
      <c r="O4471" s="59">
        <f>IF(tblMovement[[#This Row],[Is_Ore]]=1,tblMovement[[#This Row],[Contained_oz]],0)</f>
        <v/>
      </c>
    </row>
    <row r="4472">
      <c r="A4472" s="54" t="n"/>
      <c r="B4472" s="61" t="n"/>
      <c r="C4472" s="61" t="n"/>
      <c r="D4472" s="61" t="n"/>
      <c r="E4472" s="61" t="n"/>
      <c r="F4472" s="55" t="n"/>
      <c r="G4472" s="56" t="n"/>
      <c r="H4472" s="55" t="n"/>
      <c r="I4472" s="62" t="n"/>
      <c r="J4472" s="58" t="n"/>
      <c r="K4472" s="63">
        <f>IF(tblMovement[[#This Row],[Source]]="","",IFERROR(INDEX(tblSources[Type],MATCH(tblMovement[[#This Row],[Source]],tblSources[Source],0)),"?"))</f>
        <v/>
      </c>
      <c r="L4472" s="63">
        <f>IF(tblMovement[[#This Row],[Destination]]="","",IFERROR(INDEX(tblDestinations[Type],MATCH(tblMovement[[#This Row],[Destination]],tblDestinations[Destination],0)),"?"))</f>
        <v/>
      </c>
      <c r="M4472" s="64">
        <f>IF(tblMovement[[#This Row],[Material]]="","",IF(LEFT(tblMovement[[#This Row],[Material]],3)="Ore",1,0))</f>
        <v/>
      </c>
      <c r="N4472" s="59">
        <f>IF(OR(tblMovement[[#This Row],[Tonnes_t]]="",tblMovement[[#This Row],[Grade_gpt]]=""),0,tblMovement[[#This Row],[Tonnes_t]]*tblMovement[[#This Row],[Grade_gpt]]/cfg_TroyOz)</f>
        <v/>
      </c>
      <c r="O4472" s="59">
        <f>IF(tblMovement[[#This Row],[Is_Ore]]=1,tblMovement[[#This Row],[Contained_oz]],0)</f>
        <v/>
      </c>
    </row>
    <row r="4473">
      <c r="A4473" s="54" t="n"/>
      <c r="B4473" s="61" t="n"/>
      <c r="C4473" s="61" t="n"/>
      <c r="D4473" s="61" t="n"/>
      <c r="E4473" s="61" t="n"/>
      <c r="F4473" s="55" t="n"/>
      <c r="G4473" s="56" t="n"/>
      <c r="H4473" s="55" t="n"/>
      <c r="I4473" s="62" t="n"/>
      <c r="J4473" s="58" t="n"/>
      <c r="K4473" s="63">
        <f>IF(tblMovement[[#This Row],[Source]]="","",IFERROR(INDEX(tblSources[Type],MATCH(tblMovement[[#This Row],[Source]],tblSources[Source],0)),"?"))</f>
        <v/>
      </c>
      <c r="L4473" s="63">
        <f>IF(tblMovement[[#This Row],[Destination]]="","",IFERROR(INDEX(tblDestinations[Type],MATCH(tblMovement[[#This Row],[Destination]],tblDestinations[Destination],0)),"?"))</f>
        <v/>
      </c>
      <c r="M4473" s="64">
        <f>IF(tblMovement[[#This Row],[Material]]="","",IF(LEFT(tblMovement[[#This Row],[Material]],3)="Ore",1,0))</f>
        <v/>
      </c>
      <c r="N4473" s="59">
        <f>IF(OR(tblMovement[[#This Row],[Tonnes_t]]="",tblMovement[[#This Row],[Grade_gpt]]=""),0,tblMovement[[#This Row],[Tonnes_t]]*tblMovement[[#This Row],[Grade_gpt]]/cfg_TroyOz)</f>
        <v/>
      </c>
      <c r="O4473" s="59">
        <f>IF(tblMovement[[#This Row],[Is_Ore]]=1,tblMovement[[#This Row],[Contained_oz]],0)</f>
        <v/>
      </c>
    </row>
    <row r="4474">
      <c r="A4474" s="54" t="n"/>
      <c r="B4474" s="61" t="n"/>
      <c r="C4474" s="61" t="n"/>
      <c r="D4474" s="61" t="n"/>
      <c r="E4474" s="61" t="n"/>
      <c r="F4474" s="55" t="n"/>
      <c r="G4474" s="56" t="n"/>
      <c r="H4474" s="55" t="n"/>
      <c r="I4474" s="62" t="n"/>
      <c r="J4474" s="58" t="n"/>
      <c r="K4474" s="63">
        <f>IF(tblMovement[[#This Row],[Source]]="","",IFERROR(INDEX(tblSources[Type],MATCH(tblMovement[[#This Row],[Source]],tblSources[Source],0)),"?"))</f>
        <v/>
      </c>
      <c r="L4474" s="63">
        <f>IF(tblMovement[[#This Row],[Destination]]="","",IFERROR(INDEX(tblDestinations[Type],MATCH(tblMovement[[#This Row],[Destination]],tblDestinations[Destination],0)),"?"))</f>
        <v/>
      </c>
      <c r="M4474" s="64">
        <f>IF(tblMovement[[#This Row],[Material]]="","",IF(LEFT(tblMovement[[#This Row],[Material]],3)="Ore",1,0))</f>
        <v/>
      </c>
      <c r="N4474" s="59">
        <f>IF(OR(tblMovement[[#This Row],[Tonnes_t]]="",tblMovement[[#This Row],[Grade_gpt]]=""),0,tblMovement[[#This Row],[Tonnes_t]]*tblMovement[[#This Row],[Grade_gpt]]/cfg_TroyOz)</f>
        <v/>
      </c>
      <c r="O4474" s="59">
        <f>IF(tblMovement[[#This Row],[Is_Ore]]=1,tblMovement[[#This Row],[Contained_oz]],0)</f>
        <v/>
      </c>
    </row>
    <row r="4475">
      <c r="A4475" s="54" t="n"/>
      <c r="B4475" s="61" t="n"/>
      <c r="C4475" s="61" t="n"/>
      <c r="D4475" s="61" t="n"/>
      <c r="E4475" s="61" t="n"/>
      <c r="F4475" s="55" t="n"/>
      <c r="G4475" s="56" t="n"/>
      <c r="H4475" s="55" t="n"/>
      <c r="I4475" s="62" t="n"/>
      <c r="J4475" s="58" t="n"/>
      <c r="K4475" s="63">
        <f>IF(tblMovement[[#This Row],[Source]]="","",IFERROR(INDEX(tblSources[Type],MATCH(tblMovement[[#This Row],[Source]],tblSources[Source],0)),"?"))</f>
        <v/>
      </c>
      <c r="L4475" s="63">
        <f>IF(tblMovement[[#This Row],[Destination]]="","",IFERROR(INDEX(tblDestinations[Type],MATCH(tblMovement[[#This Row],[Destination]],tblDestinations[Destination],0)),"?"))</f>
        <v/>
      </c>
      <c r="M4475" s="64">
        <f>IF(tblMovement[[#This Row],[Material]]="","",IF(LEFT(tblMovement[[#This Row],[Material]],3)="Ore",1,0))</f>
        <v/>
      </c>
      <c r="N4475" s="59">
        <f>IF(OR(tblMovement[[#This Row],[Tonnes_t]]="",tblMovement[[#This Row],[Grade_gpt]]=""),0,tblMovement[[#This Row],[Tonnes_t]]*tblMovement[[#This Row],[Grade_gpt]]/cfg_TroyOz)</f>
        <v/>
      </c>
      <c r="O4475" s="59">
        <f>IF(tblMovement[[#This Row],[Is_Ore]]=1,tblMovement[[#This Row],[Contained_oz]],0)</f>
        <v/>
      </c>
    </row>
    <row r="4476">
      <c r="A4476" s="54" t="n"/>
      <c r="B4476" s="61" t="n"/>
      <c r="C4476" s="61" t="n"/>
      <c r="D4476" s="61" t="n"/>
      <c r="E4476" s="61" t="n"/>
      <c r="F4476" s="55" t="n"/>
      <c r="G4476" s="56" t="n"/>
      <c r="H4476" s="55" t="n"/>
      <c r="I4476" s="62" t="n"/>
      <c r="J4476" s="58" t="n"/>
      <c r="K4476" s="63">
        <f>IF(tblMovement[[#This Row],[Source]]="","",IFERROR(INDEX(tblSources[Type],MATCH(tblMovement[[#This Row],[Source]],tblSources[Source],0)),"?"))</f>
        <v/>
      </c>
      <c r="L4476" s="63">
        <f>IF(tblMovement[[#This Row],[Destination]]="","",IFERROR(INDEX(tblDestinations[Type],MATCH(tblMovement[[#This Row],[Destination]],tblDestinations[Destination],0)),"?"))</f>
        <v/>
      </c>
      <c r="M4476" s="64">
        <f>IF(tblMovement[[#This Row],[Material]]="","",IF(LEFT(tblMovement[[#This Row],[Material]],3)="Ore",1,0))</f>
        <v/>
      </c>
      <c r="N4476" s="59">
        <f>IF(OR(tblMovement[[#This Row],[Tonnes_t]]="",tblMovement[[#This Row],[Grade_gpt]]=""),0,tblMovement[[#This Row],[Tonnes_t]]*tblMovement[[#This Row],[Grade_gpt]]/cfg_TroyOz)</f>
        <v/>
      </c>
      <c r="O4476" s="59">
        <f>IF(tblMovement[[#This Row],[Is_Ore]]=1,tblMovement[[#This Row],[Contained_oz]],0)</f>
        <v/>
      </c>
    </row>
    <row r="4477">
      <c r="A4477" s="54" t="n"/>
      <c r="B4477" s="61" t="n"/>
      <c r="C4477" s="61" t="n"/>
      <c r="D4477" s="61" t="n"/>
      <c r="E4477" s="61" t="n"/>
      <c r="F4477" s="55" t="n"/>
      <c r="G4477" s="56" t="n"/>
      <c r="H4477" s="55" t="n"/>
      <c r="I4477" s="62" t="n"/>
      <c r="J4477" s="58" t="n"/>
      <c r="K4477" s="63">
        <f>IF(tblMovement[[#This Row],[Source]]="","",IFERROR(INDEX(tblSources[Type],MATCH(tblMovement[[#This Row],[Source]],tblSources[Source],0)),"?"))</f>
        <v/>
      </c>
      <c r="L4477" s="63">
        <f>IF(tblMovement[[#This Row],[Destination]]="","",IFERROR(INDEX(tblDestinations[Type],MATCH(tblMovement[[#This Row],[Destination]],tblDestinations[Destination],0)),"?"))</f>
        <v/>
      </c>
      <c r="M4477" s="64">
        <f>IF(tblMovement[[#This Row],[Material]]="","",IF(LEFT(tblMovement[[#This Row],[Material]],3)="Ore",1,0))</f>
        <v/>
      </c>
      <c r="N4477" s="59">
        <f>IF(OR(tblMovement[[#This Row],[Tonnes_t]]="",tblMovement[[#This Row],[Grade_gpt]]=""),0,tblMovement[[#This Row],[Tonnes_t]]*tblMovement[[#This Row],[Grade_gpt]]/cfg_TroyOz)</f>
        <v/>
      </c>
      <c r="O4477" s="59">
        <f>IF(tblMovement[[#This Row],[Is_Ore]]=1,tblMovement[[#This Row],[Contained_oz]],0)</f>
        <v/>
      </c>
    </row>
    <row r="4478">
      <c r="A4478" s="54" t="n"/>
      <c r="B4478" s="61" t="n"/>
      <c r="C4478" s="61" t="n"/>
      <c r="D4478" s="61" t="n"/>
      <c r="E4478" s="61" t="n"/>
      <c r="F4478" s="55" t="n"/>
      <c r="G4478" s="56" t="n"/>
      <c r="H4478" s="55" t="n"/>
      <c r="I4478" s="62" t="n"/>
      <c r="J4478" s="58" t="n"/>
      <c r="K4478" s="63">
        <f>IF(tblMovement[[#This Row],[Source]]="","",IFERROR(INDEX(tblSources[Type],MATCH(tblMovement[[#This Row],[Source]],tblSources[Source],0)),"?"))</f>
        <v/>
      </c>
      <c r="L4478" s="63">
        <f>IF(tblMovement[[#This Row],[Destination]]="","",IFERROR(INDEX(tblDestinations[Type],MATCH(tblMovement[[#This Row],[Destination]],tblDestinations[Destination],0)),"?"))</f>
        <v/>
      </c>
      <c r="M4478" s="64">
        <f>IF(tblMovement[[#This Row],[Material]]="","",IF(LEFT(tblMovement[[#This Row],[Material]],3)="Ore",1,0))</f>
        <v/>
      </c>
      <c r="N4478" s="59">
        <f>IF(OR(tblMovement[[#This Row],[Tonnes_t]]="",tblMovement[[#This Row],[Grade_gpt]]=""),0,tblMovement[[#This Row],[Tonnes_t]]*tblMovement[[#This Row],[Grade_gpt]]/cfg_TroyOz)</f>
        <v/>
      </c>
      <c r="O4478" s="59">
        <f>IF(tblMovement[[#This Row],[Is_Ore]]=1,tblMovement[[#This Row],[Contained_oz]],0)</f>
        <v/>
      </c>
    </row>
    <row r="4479">
      <c r="A4479" s="54" t="n"/>
      <c r="B4479" s="61" t="n"/>
      <c r="C4479" s="61" t="n"/>
      <c r="D4479" s="61" t="n"/>
      <c r="E4479" s="61" t="n"/>
      <c r="F4479" s="55" t="n"/>
      <c r="G4479" s="56" t="n"/>
      <c r="H4479" s="55" t="n"/>
      <c r="I4479" s="62" t="n"/>
      <c r="J4479" s="58" t="n"/>
      <c r="K4479" s="63">
        <f>IF(tblMovement[[#This Row],[Source]]="","",IFERROR(INDEX(tblSources[Type],MATCH(tblMovement[[#This Row],[Source]],tblSources[Source],0)),"?"))</f>
        <v/>
      </c>
      <c r="L4479" s="63">
        <f>IF(tblMovement[[#This Row],[Destination]]="","",IFERROR(INDEX(tblDestinations[Type],MATCH(tblMovement[[#This Row],[Destination]],tblDestinations[Destination],0)),"?"))</f>
        <v/>
      </c>
      <c r="M4479" s="64">
        <f>IF(tblMovement[[#This Row],[Material]]="","",IF(LEFT(tblMovement[[#This Row],[Material]],3)="Ore",1,0))</f>
        <v/>
      </c>
      <c r="N4479" s="59">
        <f>IF(OR(tblMovement[[#This Row],[Tonnes_t]]="",tblMovement[[#This Row],[Grade_gpt]]=""),0,tblMovement[[#This Row],[Tonnes_t]]*tblMovement[[#This Row],[Grade_gpt]]/cfg_TroyOz)</f>
        <v/>
      </c>
      <c r="O4479" s="59">
        <f>IF(tblMovement[[#This Row],[Is_Ore]]=1,tblMovement[[#This Row],[Contained_oz]],0)</f>
        <v/>
      </c>
    </row>
    <row r="4480">
      <c r="A4480" s="54" t="n"/>
      <c r="B4480" s="61" t="n"/>
      <c r="C4480" s="61" t="n"/>
      <c r="D4480" s="61" t="n"/>
      <c r="E4480" s="61" t="n"/>
      <c r="F4480" s="55" t="n"/>
      <c r="G4480" s="56" t="n"/>
      <c r="H4480" s="55" t="n"/>
      <c r="I4480" s="62" t="n"/>
      <c r="J4480" s="58" t="n"/>
      <c r="K4480" s="63">
        <f>IF(tblMovement[[#This Row],[Source]]="","",IFERROR(INDEX(tblSources[Type],MATCH(tblMovement[[#This Row],[Source]],tblSources[Source],0)),"?"))</f>
        <v/>
      </c>
      <c r="L4480" s="63">
        <f>IF(tblMovement[[#This Row],[Destination]]="","",IFERROR(INDEX(tblDestinations[Type],MATCH(tblMovement[[#This Row],[Destination]],tblDestinations[Destination],0)),"?"))</f>
        <v/>
      </c>
      <c r="M4480" s="64">
        <f>IF(tblMovement[[#This Row],[Material]]="","",IF(LEFT(tblMovement[[#This Row],[Material]],3)="Ore",1,0))</f>
        <v/>
      </c>
      <c r="N4480" s="59">
        <f>IF(OR(tblMovement[[#This Row],[Tonnes_t]]="",tblMovement[[#This Row],[Grade_gpt]]=""),0,tblMovement[[#This Row],[Tonnes_t]]*tblMovement[[#This Row],[Grade_gpt]]/cfg_TroyOz)</f>
        <v/>
      </c>
      <c r="O4480" s="59">
        <f>IF(tblMovement[[#This Row],[Is_Ore]]=1,tblMovement[[#This Row],[Contained_oz]],0)</f>
        <v/>
      </c>
    </row>
    <row r="4481">
      <c r="A4481" s="54" t="n"/>
      <c r="B4481" s="61" t="n"/>
      <c r="C4481" s="61" t="n"/>
      <c r="D4481" s="61" t="n"/>
      <c r="E4481" s="61" t="n"/>
      <c r="F4481" s="55" t="n"/>
      <c r="G4481" s="56" t="n"/>
      <c r="H4481" s="55" t="n"/>
      <c r="I4481" s="62" t="n"/>
      <c r="J4481" s="58" t="n"/>
      <c r="K4481" s="63">
        <f>IF(tblMovement[[#This Row],[Source]]="","",IFERROR(INDEX(tblSources[Type],MATCH(tblMovement[[#This Row],[Source]],tblSources[Source],0)),"?"))</f>
        <v/>
      </c>
      <c r="L4481" s="63">
        <f>IF(tblMovement[[#This Row],[Destination]]="","",IFERROR(INDEX(tblDestinations[Type],MATCH(tblMovement[[#This Row],[Destination]],tblDestinations[Destination],0)),"?"))</f>
        <v/>
      </c>
      <c r="M4481" s="64">
        <f>IF(tblMovement[[#This Row],[Material]]="","",IF(LEFT(tblMovement[[#This Row],[Material]],3)="Ore",1,0))</f>
        <v/>
      </c>
      <c r="N4481" s="59">
        <f>IF(OR(tblMovement[[#This Row],[Tonnes_t]]="",tblMovement[[#This Row],[Grade_gpt]]=""),0,tblMovement[[#This Row],[Tonnes_t]]*tblMovement[[#This Row],[Grade_gpt]]/cfg_TroyOz)</f>
        <v/>
      </c>
      <c r="O4481" s="59">
        <f>IF(tblMovement[[#This Row],[Is_Ore]]=1,tblMovement[[#This Row],[Contained_oz]],0)</f>
        <v/>
      </c>
    </row>
    <row r="4482">
      <c r="A4482" s="54" t="n"/>
      <c r="B4482" s="61" t="n"/>
      <c r="C4482" s="61" t="n"/>
      <c r="D4482" s="61" t="n"/>
      <c r="E4482" s="61" t="n"/>
      <c r="F4482" s="55" t="n"/>
      <c r="G4482" s="56" t="n"/>
      <c r="H4482" s="55" t="n"/>
      <c r="I4482" s="62" t="n"/>
      <c r="J4482" s="58" t="n"/>
      <c r="K4482" s="63">
        <f>IF(tblMovement[[#This Row],[Source]]="","",IFERROR(INDEX(tblSources[Type],MATCH(tblMovement[[#This Row],[Source]],tblSources[Source],0)),"?"))</f>
        <v/>
      </c>
      <c r="L4482" s="63">
        <f>IF(tblMovement[[#This Row],[Destination]]="","",IFERROR(INDEX(tblDestinations[Type],MATCH(tblMovement[[#This Row],[Destination]],tblDestinations[Destination],0)),"?"))</f>
        <v/>
      </c>
      <c r="M4482" s="64">
        <f>IF(tblMovement[[#This Row],[Material]]="","",IF(LEFT(tblMovement[[#This Row],[Material]],3)="Ore",1,0))</f>
        <v/>
      </c>
      <c r="N4482" s="59">
        <f>IF(OR(tblMovement[[#This Row],[Tonnes_t]]="",tblMovement[[#This Row],[Grade_gpt]]=""),0,tblMovement[[#This Row],[Tonnes_t]]*tblMovement[[#This Row],[Grade_gpt]]/cfg_TroyOz)</f>
        <v/>
      </c>
      <c r="O4482" s="59">
        <f>IF(tblMovement[[#This Row],[Is_Ore]]=1,tblMovement[[#This Row],[Contained_oz]],0)</f>
        <v/>
      </c>
    </row>
    <row r="4483">
      <c r="A4483" s="54" t="n"/>
      <c r="B4483" s="61" t="n"/>
      <c r="C4483" s="61" t="n"/>
      <c r="D4483" s="61" t="n"/>
      <c r="E4483" s="61" t="n"/>
      <c r="F4483" s="55" t="n"/>
      <c r="G4483" s="56" t="n"/>
      <c r="H4483" s="55" t="n"/>
      <c r="I4483" s="62" t="n"/>
      <c r="J4483" s="58" t="n"/>
      <c r="K4483" s="63">
        <f>IF(tblMovement[[#This Row],[Source]]="","",IFERROR(INDEX(tblSources[Type],MATCH(tblMovement[[#This Row],[Source]],tblSources[Source],0)),"?"))</f>
        <v/>
      </c>
      <c r="L4483" s="63">
        <f>IF(tblMovement[[#This Row],[Destination]]="","",IFERROR(INDEX(tblDestinations[Type],MATCH(tblMovement[[#This Row],[Destination]],tblDestinations[Destination],0)),"?"))</f>
        <v/>
      </c>
      <c r="M4483" s="64">
        <f>IF(tblMovement[[#This Row],[Material]]="","",IF(LEFT(tblMovement[[#This Row],[Material]],3)="Ore",1,0))</f>
        <v/>
      </c>
      <c r="N4483" s="59">
        <f>IF(OR(tblMovement[[#This Row],[Tonnes_t]]="",tblMovement[[#This Row],[Grade_gpt]]=""),0,tblMovement[[#This Row],[Tonnes_t]]*tblMovement[[#This Row],[Grade_gpt]]/cfg_TroyOz)</f>
        <v/>
      </c>
      <c r="O4483" s="59">
        <f>IF(tblMovement[[#This Row],[Is_Ore]]=1,tblMovement[[#This Row],[Contained_oz]],0)</f>
        <v/>
      </c>
    </row>
    <row r="4484">
      <c r="A4484" s="54" t="n"/>
      <c r="B4484" s="61" t="n"/>
      <c r="C4484" s="61" t="n"/>
      <c r="D4484" s="61" t="n"/>
      <c r="E4484" s="61" t="n"/>
      <c r="F4484" s="55" t="n"/>
      <c r="G4484" s="56" t="n"/>
      <c r="H4484" s="55" t="n"/>
      <c r="I4484" s="62" t="n"/>
      <c r="J4484" s="58" t="n"/>
      <c r="K4484" s="63">
        <f>IF(tblMovement[[#This Row],[Source]]="","",IFERROR(INDEX(tblSources[Type],MATCH(tblMovement[[#This Row],[Source]],tblSources[Source],0)),"?"))</f>
        <v/>
      </c>
      <c r="L4484" s="63">
        <f>IF(tblMovement[[#This Row],[Destination]]="","",IFERROR(INDEX(tblDestinations[Type],MATCH(tblMovement[[#This Row],[Destination]],tblDestinations[Destination],0)),"?"))</f>
        <v/>
      </c>
      <c r="M4484" s="64">
        <f>IF(tblMovement[[#This Row],[Material]]="","",IF(LEFT(tblMovement[[#This Row],[Material]],3)="Ore",1,0))</f>
        <v/>
      </c>
      <c r="N4484" s="59">
        <f>IF(OR(tblMovement[[#This Row],[Tonnes_t]]="",tblMovement[[#This Row],[Grade_gpt]]=""),0,tblMovement[[#This Row],[Tonnes_t]]*tblMovement[[#This Row],[Grade_gpt]]/cfg_TroyOz)</f>
        <v/>
      </c>
      <c r="O4484" s="59">
        <f>IF(tblMovement[[#This Row],[Is_Ore]]=1,tblMovement[[#This Row],[Contained_oz]],0)</f>
        <v/>
      </c>
    </row>
    <row r="4485">
      <c r="A4485" s="54" t="n"/>
      <c r="B4485" s="61" t="n"/>
      <c r="C4485" s="61" t="n"/>
      <c r="D4485" s="61" t="n"/>
      <c r="E4485" s="61" t="n"/>
      <c r="F4485" s="55" t="n"/>
      <c r="G4485" s="56" t="n"/>
      <c r="H4485" s="55" t="n"/>
      <c r="I4485" s="62" t="n"/>
      <c r="J4485" s="58" t="n"/>
      <c r="K4485" s="63">
        <f>IF(tblMovement[[#This Row],[Source]]="","",IFERROR(INDEX(tblSources[Type],MATCH(tblMovement[[#This Row],[Source]],tblSources[Source],0)),"?"))</f>
        <v/>
      </c>
      <c r="L4485" s="63">
        <f>IF(tblMovement[[#This Row],[Destination]]="","",IFERROR(INDEX(tblDestinations[Type],MATCH(tblMovement[[#This Row],[Destination]],tblDestinations[Destination],0)),"?"))</f>
        <v/>
      </c>
      <c r="M4485" s="64">
        <f>IF(tblMovement[[#This Row],[Material]]="","",IF(LEFT(tblMovement[[#This Row],[Material]],3)="Ore",1,0))</f>
        <v/>
      </c>
      <c r="N4485" s="59">
        <f>IF(OR(tblMovement[[#This Row],[Tonnes_t]]="",tblMovement[[#This Row],[Grade_gpt]]=""),0,tblMovement[[#This Row],[Tonnes_t]]*tblMovement[[#This Row],[Grade_gpt]]/cfg_TroyOz)</f>
        <v/>
      </c>
      <c r="O4485" s="59">
        <f>IF(tblMovement[[#This Row],[Is_Ore]]=1,tblMovement[[#This Row],[Contained_oz]],0)</f>
        <v/>
      </c>
    </row>
    <row r="4486">
      <c r="A4486" s="54" t="n"/>
      <c r="B4486" s="61" t="n"/>
      <c r="C4486" s="61" t="n"/>
      <c r="D4486" s="61" t="n"/>
      <c r="E4486" s="61" t="n"/>
      <c r="F4486" s="55" t="n"/>
      <c r="G4486" s="56" t="n"/>
      <c r="H4486" s="55" t="n"/>
      <c r="I4486" s="62" t="n"/>
      <c r="J4486" s="58" t="n"/>
      <c r="K4486" s="63">
        <f>IF(tblMovement[[#This Row],[Source]]="","",IFERROR(INDEX(tblSources[Type],MATCH(tblMovement[[#This Row],[Source]],tblSources[Source],0)),"?"))</f>
        <v/>
      </c>
      <c r="L4486" s="63">
        <f>IF(tblMovement[[#This Row],[Destination]]="","",IFERROR(INDEX(tblDestinations[Type],MATCH(tblMovement[[#This Row],[Destination]],tblDestinations[Destination],0)),"?"))</f>
        <v/>
      </c>
      <c r="M4486" s="64">
        <f>IF(tblMovement[[#This Row],[Material]]="","",IF(LEFT(tblMovement[[#This Row],[Material]],3)="Ore",1,0))</f>
        <v/>
      </c>
      <c r="N4486" s="59">
        <f>IF(OR(tblMovement[[#This Row],[Tonnes_t]]="",tblMovement[[#This Row],[Grade_gpt]]=""),0,tblMovement[[#This Row],[Tonnes_t]]*tblMovement[[#This Row],[Grade_gpt]]/cfg_TroyOz)</f>
        <v/>
      </c>
      <c r="O4486" s="59">
        <f>IF(tblMovement[[#This Row],[Is_Ore]]=1,tblMovement[[#This Row],[Contained_oz]],0)</f>
        <v/>
      </c>
    </row>
    <row r="4487">
      <c r="A4487" s="54" t="n"/>
      <c r="B4487" s="61" t="n"/>
      <c r="C4487" s="61" t="n"/>
      <c r="D4487" s="61" t="n"/>
      <c r="E4487" s="61" t="n"/>
      <c r="F4487" s="55" t="n"/>
      <c r="G4487" s="56" t="n"/>
      <c r="H4487" s="55" t="n"/>
      <c r="I4487" s="62" t="n"/>
      <c r="J4487" s="58" t="n"/>
      <c r="K4487" s="63">
        <f>IF(tblMovement[[#This Row],[Source]]="","",IFERROR(INDEX(tblSources[Type],MATCH(tblMovement[[#This Row],[Source]],tblSources[Source],0)),"?"))</f>
        <v/>
      </c>
      <c r="L4487" s="63">
        <f>IF(tblMovement[[#This Row],[Destination]]="","",IFERROR(INDEX(tblDestinations[Type],MATCH(tblMovement[[#This Row],[Destination]],tblDestinations[Destination],0)),"?"))</f>
        <v/>
      </c>
      <c r="M4487" s="64">
        <f>IF(tblMovement[[#This Row],[Material]]="","",IF(LEFT(tblMovement[[#This Row],[Material]],3)="Ore",1,0))</f>
        <v/>
      </c>
      <c r="N4487" s="59">
        <f>IF(OR(tblMovement[[#This Row],[Tonnes_t]]="",tblMovement[[#This Row],[Grade_gpt]]=""),0,tblMovement[[#This Row],[Tonnes_t]]*tblMovement[[#This Row],[Grade_gpt]]/cfg_TroyOz)</f>
        <v/>
      </c>
      <c r="O4487" s="59">
        <f>IF(tblMovement[[#This Row],[Is_Ore]]=1,tblMovement[[#This Row],[Contained_oz]],0)</f>
        <v/>
      </c>
    </row>
    <row r="4488">
      <c r="A4488" s="54" t="n"/>
      <c r="B4488" s="61" t="n"/>
      <c r="C4488" s="61" t="n"/>
      <c r="D4488" s="61" t="n"/>
      <c r="E4488" s="61" t="n"/>
      <c r="F4488" s="55" t="n"/>
      <c r="G4488" s="56" t="n"/>
      <c r="H4488" s="55" t="n"/>
      <c r="I4488" s="62" t="n"/>
      <c r="J4488" s="58" t="n"/>
      <c r="K4488" s="63">
        <f>IF(tblMovement[[#This Row],[Source]]="","",IFERROR(INDEX(tblSources[Type],MATCH(tblMovement[[#This Row],[Source]],tblSources[Source],0)),"?"))</f>
        <v/>
      </c>
      <c r="L4488" s="63">
        <f>IF(tblMovement[[#This Row],[Destination]]="","",IFERROR(INDEX(tblDestinations[Type],MATCH(tblMovement[[#This Row],[Destination]],tblDestinations[Destination],0)),"?"))</f>
        <v/>
      </c>
      <c r="M4488" s="64">
        <f>IF(tblMovement[[#This Row],[Material]]="","",IF(LEFT(tblMovement[[#This Row],[Material]],3)="Ore",1,0))</f>
        <v/>
      </c>
      <c r="N4488" s="59">
        <f>IF(OR(tblMovement[[#This Row],[Tonnes_t]]="",tblMovement[[#This Row],[Grade_gpt]]=""),0,tblMovement[[#This Row],[Tonnes_t]]*tblMovement[[#This Row],[Grade_gpt]]/cfg_TroyOz)</f>
        <v/>
      </c>
      <c r="O4488" s="59">
        <f>IF(tblMovement[[#This Row],[Is_Ore]]=1,tblMovement[[#This Row],[Contained_oz]],0)</f>
        <v/>
      </c>
    </row>
    <row r="4489">
      <c r="A4489" s="54" t="n"/>
      <c r="B4489" s="61" t="n"/>
      <c r="C4489" s="61" t="n"/>
      <c r="D4489" s="61" t="n"/>
      <c r="E4489" s="61" t="n"/>
      <c r="F4489" s="55" t="n"/>
      <c r="G4489" s="56" t="n"/>
      <c r="H4489" s="55" t="n"/>
      <c r="I4489" s="62" t="n"/>
      <c r="J4489" s="58" t="n"/>
      <c r="K4489" s="63">
        <f>IF(tblMovement[[#This Row],[Source]]="","",IFERROR(INDEX(tblSources[Type],MATCH(tblMovement[[#This Row],[Source]],tblSources[Source],0)),"?"))</f>
        <v/>
      </c>
      <c r="L4489" s="63">
        <f>IF(tblMovement[[#This Row],[Destination]]="","",IFERROR(INDEX(tblDestinations[Type],MATCH(tblMovement[[#This Row],[Destination]],tblDestinations[Destination],0)),"?"))</f>
        <v/>
      </c>
      <c r="M4489" s="64">
        <f>IF(tblMovement[[#This Row],[Material]]="","",IF(LEFT(tblMovement[[#This Row],[Material]],3)="Ore",1,0))</f>
        <v/>
      </c>
      <c r="N4489" s="59">
        <f>IF(OR(tblMovement[[#This Row],[Tonnes_t]]="",tblMovement[[#This Row],[Grade_gpt]]=""),0,tblMovement[[#This Row],[Tonnes_t]]*tblMovement[[#This Row],[Grade_gpt]]/cfg_TroyOz)</f>
        <v/>
      </c>
      <c r="O4489" s="59">
        <f>IF(tblMovement[[#This Row],[Is_Ore]]=1,tblMovement[[#This Row],[Contained_oz]],0)</f>
        <v/>
      </c>
    </row>
    <row r="4490">
      <c r="A4490" s="54" t="n"/>
      <c r="B4490" s="61" t="n"/>
      <c r="C4490" s="61" t="n"/>
      <c r="D4490" s="61" t="n"/>
      <c r="E4490" s="61" t="n"/>
      <c r="F4490" s="55" t="n"/>
      <c r="G4490" s="56" t="n"/>
      <c r="H4490" s="55" t="n"/>
      <c r="I4490" s="62" t="n"/>
      <c r="J4490" s="58" t="n"/>
      <c r="K4490" s="63">
        <f>IF(tblMovement[[#This Row],[Source]]="","",IFERROR(INDEX(tblSources[Type],MATCH(tblMovement[[#This Row],[Source]],tblSources[Source],0)),"?"))</f>
        <v/>
      </c>
      <c r="L4490" s="63">
        <f>IF(tblMovement[[#This Row],[Destination]]="","",IFERROR(INDEX(tblDestinations[Type],MATCH(tblMovement[[#This Row],[Destination]],tblDestinations[Destination],0)),"?"))</f>
        <v/>
      </c>
      <c r="M4490" s="64">
        <f>IF(tblMovement[[#This Row],[Material]]="","",IF(LEFT(tblMovement[[#This Row],[Material]],3)="Ore",1,0))</f>
        <v/>
      </c>
      <c r="N4490" s="59">
        <f>IF(OR(tblMovement[[#This Row],[Tonnes_t]]="",tblMovement[[#This Row],[Grade_gpt]]=""),0,tblMovement[[#This Row],[Tonnes_t]]*tblMovement[[#This Row],[Grade_gpt]]/cfg_TroyOz)</f>
        <v/>
      </c>
      <c r="O4490" s="59">
        <f>IF(tblMovement[[#This Row],[Is_Ore]]=1,tblMovement[[#This Row],[Contained_oz]],0)</f>
        <v/>
      </c>
    </row>
    <row r="4491">
      <c r="A4491" s="54" t="n"/>
      <c r="B4491" s="61" t="n"/>
      <c r="C4491" s="61" t="n"/>
      <c r="D4491" s="61" t="n"/>
      <c r="E4491" s="61" t="n"/>
      <c r="F4491" s="55" t="n"/>
      <c r="G4491" s="56" t="n"/>
      <c r="H4491" s="55" t="n"/>
      <c r="I4491" s="62" t="n"/>
      <c r="J4491" s="58" t="n"/>
      <c r="K4491" s="63">
        <f>IF(tblMovement[[#This Row],[Source]]="","",IFERROR(INDEX(tblSources[Type],MATCH(tblMovement[[#This Row],[Source]],tblSources[Source],0)),"?"))</f>
        <v/>
      </c>
      <c r="L4491" s="63">
        <f>IF(tblMovement[[#This Row],[Destination]]="","",IFERROR(INDEX(tblDestinations[Type],MATCH(tblMovement[[#This Row],[Destination]],tblDestinations[Destination],0)),"?"))</f>
        <v/>
      </c>
      <c r="M4491" s="64">
        <f>IF(tblMovement[[#This Row],[Material]]="","",IF(LEFT(tblMovement[[#This Row],[Material]],3)="Ore",1,0))</f>
        <v/>
      </c>
      <c r="N4491" s="59">
        <f>IF(OR(tblMovement[[#This Row],[Tonnes_t]]="",tblMovement[[#This Row],[Grade_gpt]]=""),0,tblMovement[[#This Row],[Tonnes_t]]*tblMovement[[#This Row],[Grade_gpt]]/cfg_TroyOz)</f>
        <v/>
      </c>
      <c r="O4491" s="59">
        <f>IF(tblMovement[[#This Row],[Is_Ore]]=1,tblMovement[[#This Row],[Contained_oz]],0)</f>
        <v/>
      </c>
    </row>
    <row r="4492">
      <c r="A4492" s="54" t="n"/>
      <c r="B4492" s="61" t="n"/>
      <c r="C4492" s="61" t="n"/>
      <c r="D4492" s="61" t="n"/>
      <c r="E4492" s="61" t="n"/>
      <c r="F4492" s="55" t="n"/>
      <c r="G4492" s="56" t="n"/>
      <c r="H4492" s="55" t="n"/>
      <c r="I4492" s="62" t="n"/>
      <c r="J4492" s="58" t="n"/>
      <c r="K4492" s="63">
        <f>IF(tblMovement[[#This Row],[Source]]="","",IFERROR(INDEX(tblSources[Type],MATCH(tblMovement[[#This Row],[Source]],tblSources[Source],0)),"?"))</f>
        <v/>
      </c>
      <c r="L4492" s="63">
        <f>IF(tblMovement[[#This Row],[Destination]]="","",IFERROR(INDEX(tblDestinations[Type],MATCH(tblMovement[[#This Row],[Destination]],tblDestinations[Destination],0)),"?"))</f>
        <v/>
      </c>
      <c r="M4492" s="64">
        <f>IF(tblMovement[[#This Row],[Material]]="","",IF(LEFT(tblMovement[[#This Row],[Material]],3)="Ore",1,0))</f>
        <v/>
      </c>
      <c r="N4492" s="59">
        <f>IF(OR(tblMovement[[#This Row],[Tonnes_t]]="",tblMovement[[#This Row],[Grade_gpt]]=""),0,tblMovement[[#This Row],[Tonnes_t]]*tblMovement[[#This Row],[Grade_gpt]]/cfg_TroyOz)</f>
        <v/>
      </c>
      <c r="O4492" s="59">
        <f>IF(tblMovement[[#This Row],[Is_Ore]]=1,tblMovement[[#This Row],[Contained_oz]],0)</f>
        <v/>
      </c>
    </row>
    <row r="4493">
      <c r="A4493" s="54" t="n"/>
      <c r="B4493" s="61" t="n"/>
      <c r="C4493" s="61" t="n"/>
      <c r="D4493" s="61" t="n"/>
      <c r="E4493" s="61" t="n"/>
      <c r="F4493" s="55" t="n"/>
      <c r="G4493" s="56" t="n"/>
      <c r="H4493" s="55" t="n"/>
      <c r="I4493" s="62" t="n"/>
      <c r="J4493" s="58" t="n"/>
      <c r="K4493" s="63">
        <f>IF(tblMovement[[#This Row],[Source]]="","",IFERROR(INDEX(tblSources[Type],MATCH(tblMovement[[#This Row],[Source]],tblSources[Source],0)),"?"))</f>
        <v/>
      </c>
      <c r="L4493" s="63">
        <f>IF(tblMovement[[#This Row],[Destination]]="","",IFERROR(INDEX(tblDestinations[Type],MATCH(tblMovement[[#This Row],[Destination]],tblDestinations[Destination],0)),"?"))</f>
        <v/>
      </c>
      <c r="M4493" s="64">
        <f>IF(tblMovement[[#This Row],[Material]]="","",IF(LEFT(tblMovement[[#This Row],[Material]],3)="Ore",1,0))</f>
        <v/>
      </c>
      <c r="N4493" s="59">
        <f>IF(OR(tblMovement[[#This Row],[Tonnes_t]]="",tblMovement[[#This Row],[Grade_gpt]]=""),0,tblMovement[[#This Row],[Tonnes_t]]*tblMovement[[#This Row],[Grade_gpt]]/cfg_TroyOz)</f>
        <v/>
      </c>
      <c r="O4493" s="59">
        <f>IF(tblMovement[[#This Row],[Is_Ore]]=1,tblMovement[[#This Row],[Contained_oz]],0)</f>
        <v/>
      </c>
    </row>
    <row r="4494">
      <c r="A4494" s="54" t="n"/>
      <c r="B4494" s="61" t="n"/>
      <c r="C4494" s="61" t="n"/>
      <c r="D4494" s="61" t="n"/>
      <c r="E4494" s="61" t="n"/>
      <c r="F4494" s="55" t="n"/>
      <c r="G4494" s="56" t="n"/>
      <c r="H4494" s="55" t="n"/>
      <c r="I4494" s="62" t="n"/>
      <c r="J4494" s="58" t="n"/>
      <c r="K4494" s="63">
        <f>IF(tblMovement[[#This Row],[Source]]="","",IFERROR(INDEX(tblSources[Type],MATCH(tblMovement[[#This Row],[Source]],tblSources[Source],0)),"?"))</f>
        <v/>
      </c>
      <c r="L4494" s="63">
        <f>IF(tblMovement[[#This Row],[Destination]]="","",IFERROR(INDEX(tblDestinations[Type],MATCH(tblMovement[[#This Row],[Destination]],tblDestinations[Destination],0)),"?"))</f>
        <v/>
      </c>
      <c r="M4494" s="64">
        <f>IF(tblMovement[[#This Row],[Material]]="","",IF(LEFT(tblMovement[[#This Row],[Material]],3)="Ore",1,0))</f>
        <v/>
      </c>
      <c r="N4494" s="59">
        <f>IF(OR(tblMovement[[#This Row],[Tonnes_t]]="",tblMovement[[#This Row],[Grade_gpt]]=""),0,tblMovement[[#This Row],[Tonnes_t]]*tblMovement[[#This Row],[Grade_gpt]]/cfg_TroyOz)</f>
        <v/>
      </c>
      <c r="O4494" s="59">
        <f>IF(tblMovement[[#This Row],[Is_Ore]]=1,tblMovement[[#This Row],[Contained_oz]],0)</f>
        <v/>
      </c>
    </row>
    <row r="4495">
      <c r="A4495" s="54" t="n"/>
      <c r="B4495" s="61" t="n"/>
      <c r="C4495" s="61" t="n"/>
      <c r="D4495" s="61" t="n"/>
      <c r="E4495" s="61" t="n"/>
      <c r="F4495" s="55" t="n"/>
      <c r="G4495" s="56" t="n"/>
      <c r="H4495" s="55" t="n"/>
      <c r="I4495" s="62" t="n"/>
      <c r="J4495" s="58" t="n"/>
      <c r="K4495" s="63">
        <f>IF(tblMovement[[#This Row],[Source]]="","",IFERROR(INDEX(tblSources[Type],MATCH(tblMovement[[#This Row],[Source]],tblSources[Source],0)),"?"))</f>
        <v/>
      </c>
      <c r="L4495" s="63">
        <f>IF(tblMovement[[#This Row],[Destination]]="","",IFERROR(INDEX(tblDestinations[Type],MATCH(tblMovement[[#This Row],[Destination]],tblDestinations[Destination],0)),"?"))</f>
        <v/>
      </c>
      <c r="M4495" s="64">
        <f>IF(tblMovement[[#This Row],[Material]]="","",IF(LEFT(tblMovement[[#This Row],[Material]],3)="Ore",1,0))</f>
        <v/>
      </c>
      <c r="N4495" s="59">
        <f>IF(OR(tblMovement[[#This Row],[Tonnes_t]]="",tblMovement[[#This Row],[Grade_gpt]]=""),0,tblMovement[[#This Row],[Tonnes_t]]*tblMovement[[#This Row],[Grade_gpt]]/cfg_TroyOz)</f>
        <v/>
      </c>
      <c r="O4495" s="59">
        <f>IF(tblMovement[[#This Row],[Is_Ore]]=1,tblMovement[[#This Row],[Contained_oz]],0)</f>
        <v/>
      </c>
    </row>
    <row r="4496">
      <c r="A4496" s="54" t="n"/>
      <c r="B4496" s="61" t="n"/>
      <c r="C4496" s="61" t="n"/>
      <c r="D4496" s="61" t="n"/>
      <c r="E4496" s="61" t="n"/>
      <c r="F4496" s="55" t="n"/>
      <c r="G4496" s="56" t="n"/>
      <c r="H4496" s="55" t="n"/>
      <c r="I4496" s="62" t="n"/>
      <c r="J4496" s="58" t="n"/>
      <c r="K4496" s="63">
        <f>IF(tblMovement[[#This Row],[Source]]="","",IFERROR(INDEX(tblSources[Type],MATCH(tblMovement[[#This Row],[Source]],tblSources[Source],0)),"?"))</f>
        <v/>
      </c>
      <c r="L4496" s="63">
        <f>IF(tblMovement[[#This Row],[Destination]]="","",IFERROR(INDEX(tblDestinations[Type],MATCH(tblMovement[[#This Row],[Destination]],tblDestinations[Destination],0)),"?"))</f>
        <v/>
      </c>
      <c r="M4496" s="64">
        <f>IF(tblMovement[[#This Row],[Material]]="","",IF(LEFT(tblMovement[[#This Row],[Material]],3)="Ore",1,0))</f>
        <v/>
      </c>
      <c r="N4496" s="59">
        <f>IF(OR(tblMovement[[#This Row],[Tonnes_t]]="",tblMovement[[#This Row],[Grade_gpt]]=""),0,tblMovement[[#This Row],[Tonnes_t]]*tblMovement[[#This Row],[Grade_gpt]]/cfg_TroyOz)</f>
        <v/>
      </c>
      <c r="O4496" s="59">
        <f>IF(tblMovement[[#This Row],[Is_Ore]]=1,tblMovement[[#This Row],[Contained_oz]],0)</f>
        <v/>
      </c>
    </row>
    <row r="4497">
      <c r="A4497" s="54" t="n"/>
      <c r="B4497" s="61" t="n"/>
      <c r="C4497" s="61" t="n"/>
      <c r="D4497" s="61" t="n"/>
      <c r="E4497" s="61" t="n"/>
      <c r="F4497" s="55" t="n"/>
      <c r="G4497" s="56" t="n"/>
      <c r="H4497" s="55" t="n"/>
      <c r="I4497" s="62" t="n"/>
      <c r="J4497" s="58" t="n"/>
      <c r="K4497" s="63">
        <f>IF(tblMovement[[#This Row],[Source]]="","",IFERROR(INDEX(tblSources[Type],MATCH(tblMovement[[#This Row],[Source]],tblSources[Source],0)),"?"))</f>
        <v/>
      </c>
      <c r="L4497" s="63">
        <f>IF(tblMovement[[#This Row],[Destination]]="","",IFERROR(INDEX(tblDestinations[Type],MATCH(tblMovement[[#This Row],[Destination]],tblDestinations[Destination],0)),"?"))</f>
        <v/>
      </c>
      <c r="M4497" s="64">
        <f>IF(tblMovement[[#This Row],[Material]]="","",IF(LEFT(tblMovement[[#This Row],[Material]],3)="Ore",1,0))</f>
        <v/>
      </c>
      <c r="N4497" s="59">
        <f>IF(OR(tblMovement[[#This Row],[Tonnes_t]]="",tblMovement[[#This Row],[Grade_gpt]]=""),0,tblMovement[[#This Row],[Tonnes_t]]*tblMovement[[#This Row],[Grade_gpt]]/cfg_TroyOz)</f>
        <v/>
      </c>
      <c r="O4497" s="59">
        <f>IF(tblMovement[[#This Row],[Is_Ore]]=1,tblMovement[[#This Row],[Contained_oz]],0)</f>
        <v/>
      </c>
    </row>
    <row r="4498">
      <c r="A4498" s="54" t="n"/>
      <c r="B4498" s="61" t="n"/>
      <c r="C4498" s="61" t="n"/>
      <c r="D4498" s="61" t="n"/>
      <c r="E4498" s="61" t="n"/>
      <c r="F4498" s="55" t="n"/>
      <c r="G4498" s="56" t="n"/>
      <c r="H4498" s="55" t="n"/>
      <c r="I4498" s="62" t="n"/>
      <c r="J4498" s="58" t="n"/>
      <c r="K4498" s="63">
        <f>IF(tblMovement[[#This Row],[Source]]="","",IFERROR(INDEX(tblSources[Type],MATCH(tblMovement[[#This Row],[Source]],tblSources[Source],0)),"?"))</f>
        <v/>
      </c>
      <c r="L4498" s="63">
        <f>IF(tblMovement[[#This Row],[Destination]]="","",IFERROR(INDEX(tblDestinations[Type],MATCH(tblMovement[[#This Row],[Destination]],tblDestinations[Destination],0)),"?"))</f>
        <v/>
      </c>
      <c r="M4498" s="64">
        <f>IF(tblMovement[[#This Row],[Material]]="","",IF(LEFT(tblMovement[[#This Row],[Material]],3)="Ore",1,0))</f>
        <v/>
      </c>
      <c r="N4498" s="59">
        <f>IF(OR(tblMovement[[#This Row],[Tonnes_t]]="",tblMovement[[#This Row],[Grade_gpt]]=""),0,tblMovement[[#This Row],[Tonnes_t]]*tblMovement[[#This Row],[Grade_gpt]]/cfg_TroyOz)</f>
        <v/>
      </c>
      <c r="O4498" s="59">
        <f>IF(tblMovement[[#This Row],[Is_Ore]]=1,tblMovement[[#This Row],[Contained_oz]],0)</f>
        <v/>
      </c>
    </row>
    <row r="4499">
      <c r="A4499" s="54" t="n"/>
      <c r="B4499" s="61" t="n"/>
      <c r="C4499" s="61" t="n"/>
      <c r="D4499" s="61" t="n"/>
      <c r="E4499" s="61" t="n"/>
      <c r="F4499" s="55" t="n"/>
      <c r="G4499" s="56" t="n"/>
      <c r="H4499" s="55" t="n"/>
      <c r="I4499" s="62" t="n"/>
      <c r="J4499" s="58" t="n"/>
      <c r="K4499" s="63">
        <f>IF(tblMovement[[#This Row],[Source]]="","",IFERROR(INDEX(tblSources[Type],MATCH(tblMovement[[#This Row],[Source]],tblSources[Source],0)),"?"))</f>
        <v/>
      </c>
      <c r="L4499" s="63">
        <f>IF(tblMovement[[#This Row],[Destination]]="","",IFERROR(INDEX(tblDestinations[Type],MATCH(tblMovement[[#This Row],[Destination]],tblDestinations[Destination],0)),"?"))</f>
        <v/>
      </c>
      <c r="M4499" s="64">
        <f>IF(tblMovement[[#This Row],[Material]]="","",IF(LEFT(tblMovement[[#This Row],[Material]],3)="Ore",1,0))</f>
        <v/>
      </c>
      <c r="N4499" s="59">
        <f>IF(OR(tblMovement[[#This Row],[Tonnes_t]]="",tblMovement[[#This Row],[Grade_gpt]]=""),0,tblMovement[[#This Row],[Tonnes_t]]*tblMovement[[#This Row],[Grade_gpt]]/cfg_TroyOz)</f>
        <v/>
      </c>
      <c r="O4499" s="59">
        <f>IF(tblMovement[[#This Row],[Is_Ore]]=1,tblMovement[[#This Row],[Contained_oz]],0)</f>
        <v/>
      </c>
    </row>
    <row r="4500">
      <c r="A4500" s="54" t="n"/>
      <c r="B4500" s="61" t="n"/>
      <c r="C4500" s="61" t="n"/>
      <c r="D4500" s="61" t="n"/>
      <c r="E4500" s="61" t="n"/>
      <c r="F4500" s="55" t="n"/>
      <c r="G4500" s="56" t="n"/>
      <c r="H4500" s="55" t="n"/>
      <c r="I4500" s="62" t="n"/>
      <c r="J4500" s="58" t="n"/>
      <c r="K4500" s="63">
        <f>IF(tblMovement[[#This Row],[Source]]="","",IFERROR(INDEX(tblSources[Type],MATCH(tblMovement[[#This Row],[Source]],tblSources[Source],0)),"?"))</f>
        <v/>
      </c>
      <c r="L4500" s="63">
        <f>IF(tblMovement[[#This Row],[Destination]]="","",IFERROR(INDEX(tblDestinations[Type],MATCH(tblMovement[[#This Row],[Destination]],tblDestinations[Destination],0)),"?"))</f>
        <v/>
      </c>
      <c r="M4500" s="64">
        <f>IF(tblMovement[[#This Row],[Material]]="","",IF(LEFT(tblMovement[[#This Row],[Material]],3)="Ore",1,0))</f>
        <v/>
      </c>
      <c r="N4500" s="59">
        <f>IF(OR(tblMovement[[#This Row],[Tonnes_t]]="",tblMovement[[#This Row],[Grade_gpt]]=""),0,tblMovement[[#This Row],[Tonnes_t]]*tblMovement[[#This Row],[Grade_gpt]]/cfg_TroyOz)</f>
        <v/>
      </c>
      <c r="O4500" s="59">
        <f>IF(tblMovement[[#This Row],[Is_Ore]]=1,tblMovement[[#This Row],[Contained_oz]],0)</f>
        <v/>
      </c>
    </row>
    <row r="4501">
      <c r="A4501" s="54" t="n"/>
      <c r="B4501" s="61" t="n"/>
      <c r="C4501" s="61" t="n"/>
      <c r="D4501" s="61" t="n"/>
      <c r="E4501" s="61" t="n"/>
      <c r="F4501" s="55" t="n"/>
      <c r="G4501" s="56" t="n"/>
      <c r="H4501" s="55" t="n"/>
      <c r="I4501" s="62" t="n"/>
      <c r="J4501" s="58" t="n"/>
      <c r="K4501" s="63">
        <f>IF(tblMovement[[#This Row],[Source]]="","",IFERROR(INDEX(tblSources[Type],MATCH(tblMovement[[#This Row],[Source]],tblSources[Source],0)),"?"))</f>
        <v/>
      </c>
      <c r="L4501" s="63">
        <f>IF(tblMovement[[#This Row],[Destination]]="","",IFERROR(INDEX(tblDestinations[Type],MATCH(tblMovement[[#This Row],[Destination]],tblDestinations[Destination],0)),"?"))</f>
        <v/>
      </c>
      <c r="M4501" s="64">
        <f>IF(tblMovement[[#This Row],[Material]]="","",IF(LEFT(tblMovement[[#This Row],[Material]],3)="Ore",1,0))</f>
        <v/>
      </c>
      <c r="N4501" s="59">
        <f>IF(OR(tblMovement[[#This Row],[Tonnes_t]]="",tblMovement[[#This Row],[Grade_gpt]]=""),0,tblMovement[[#This Row],[Tonnes_t]]*tblMovement[[#This Row],[Grade_gpt]]/cfg_TroyOz)</f>
        <v/>
      </c>
      <c r="O4501" s="59">
        <f>IF(tblMovement[[#This Row],[Is_Ore]]=1,tblMovement[[#This Row],[Contained_oz]],0)</f>
        <v/>
      </c>
    </row>
    <row r="4502">
      <c r="A4502" s="54" t="n"/>
      <c r="B4502" s="61" t="n"/>
      <c r="C4502" s="61" t="n"/>
      <c r="D4502" s="61" t="n"/>
      <c r="E4502" s="61" t="n"/>
      <c r="F4502" s="55" t="n"/>
      <c r="G4502" s="56" t="n"/>
      <c r="H4502" s="55" t="n"/>
      <c r="I4502" s="62" t="n"/>
      <c r="J4502" s="58" t="n"/>
      <c r="K4502" s="63">
        <f>IF(tblMovement[[#This Row],[Source]]="","",IFERROR(INDEX(tblSources[Type],MATCH(tblMovement[[#This Row],[Source]],tblSources[Source],0)),"?"))</f>
        <v/>
      </c>
      <c r="L4502" s="63">
        <f>IF(tblMovement[[#This Row],[Destination]]="","",IFERROR(INDEX(tblDestinations[Type],MATCH(tblMovement[[#This Row],[Destination]],tblDestinations[Destination],0)),"?"))</f>
        <v/>
      </c>
      <c r="M4502" s="64">
        <f>IF(tblMovement[[#This Row],[Material]]="","",IF(LEFT(tblMovement[[#This Row],[Material]],3)="Ore",1,0))</f>
        <v/>
      </c>
      <c r="N4502" s="59">
        <f>IF(OR(tblMovement[[#This Row],[Tonnes_t]]="",tblMovement[[#This Row],[Grade_gpt]]=""),0,tblMovement[[#This Row],[Tonnes_t]]*tblMovement[[#This Row],[Grade_gpt]]/cfg_TroyOz)</f>
        <v/>
      </c>
      <c r="O4502" s="59">
        <f>IF(tblMovement[[#This Row],[Is_Ore]]=1,tblMovement[[#This Row],[Contained_oz]],0)</f>
        <v/>
      </c>
    </row>
    <row r="4503">
      <c r="A4503" s="54" t="n"/>
      <c r="B4503" s="61" t="n"/>
      <c r="C4503" s="61" t="n"/>
      <c r="D4503" s="61" t="n"/>
      <c r="E4503" s="61" t="n"/>
      <c r="F4503" s="55" t="n"/>
      <c r="G4503" s="56" t="n"/>
      <c r="H4503" s="55" t="n"/>
      <c r="I4503" s="62" t="n"/>
      <c r="J4503" s="58" t="n"/>
      <c r="K4503" s="63">
        <f>IF(tblMovement[[#This Row],[Source]]="","",IFERROR(INDEX(tblSources[Type],MATCH(tblMovement[[#This Row],[Source]],tblSources[Source],0)),"?"))</f>
        <v/>
      </c>
      <c r="L4503" s="63">
        <f>IF(tblMovement[[#This Row],[Destination]]="","",IFERROR(INDEX(tblDestinations[Type],MATCH(tblMovement[[#This Row],[Destination]],tblDestinations[Destination],0)),"?"))</f>
        <v/>
      </c>
      <c r="M4503" s="64">
        <f>IF(tblMovement[[#This Row],[Material]]="","",IF(LEFT(tblMovement[[#This Row],[Material]],3)="Ore",1,0))</f>
        <v/>
      </c>
      <c r="N4503" s="59">
        <f>IF(OR(tblMovement[[#This Row],[Tonnes_t]]="",tblMovement[[#This Row],[Grade_gpt]]=""),0,tblMovement[[#This Row],[Tonnes_t]]*tblMovement[[#This Row],[Grade_gpt]]/cfg_TroyOz)</f>
        <v/>
      </c>
      <c r="O4503" s="59">
        <f>IF(tblMovement[[#This Row],[Is_Ore]]=1,tblMovement[[#This Row],[Contained_oz]],0)</f>
        <v/>
      </c>
    </row>
    <row r="4504">
      <c r="A4504" s="54" t="n"/>
      <c r="B4504" s="61" t="n"/>
      <c r="C4504" s="61" t="n"/>
      <c r="D4504" s="61" t="n"/>
      <c r="E4504" s="61" t="n"/>
      <c r="F4504" s="55" t="n"/>
      <c r="G4504" s="56" t="n"/>
      <c r="H4504" s="55" t="n"/>
      <c r="I4504" s="62" t="n"/>
      <c r="J4504" s="58" t="n"/>
      <c r="K4504" s="63">
        <f>IF(tblMovement[[#This Row],[Source]]="","",IFERROR(INDEX(tblSources[Type],MATCH(tblMovement[[#This Row],[Source]],tblSources[Source],0)),"?"))</f>
        <v/>
      </c>
      <c r="L4504" s="63">
        <f>IF(tblMovement[[#This Row],[Destination]]="","",IFERROR(INDEX(tblDestinations[Type],MATCH(tblMovement[[#This Row],[Destination]],tblDestinations[Destination],0)),"?"))</f>
        <v/>
      </c>
      <c r="M4504" s="64">
        <f>IF(tblMovement[[#This Row],[Material]]="","",IF(LEFT(tblMovement[[#This Row],[Material]],3)="Ore",1,0))</f>
        <v/>
      </c>
      <c r="N4504" s="59">
        <f>IF(OR(tblMovement[[#This Row],[Tonnes_t]]="",tblMovement[[#This Row],[Grade_gpt]]=""),0,tblMovement[[#This Row],[Tonnes_t]]*tblMovement[[#This Row],[Grade_gpt]]/cfg_TroyOz)</f>
        <v/>
      </c>
      <c r="O4504" s="59">
        <f>IF(tblMovement[[#This Row],[Is_Ore]]=1,tblMovement[[#This Row],[Contained_oz]],0)</f>
        <v/>
      </c>
    </row>
    <row r="4505">
      <c r="A4505" s="54" t="n"/>
      <c r="B4505" s="61" t="n"/>
      <c r="C4505" s="61" t="n"/>
      <c r="D4505" s="61" t="n"/>
      <c r="E4505" s="61" t="n"/>
      <c r="F4505" s="55" t="n"/>
      <c r="G4505" s="56" t="n"/>
      <c r="H4505" s="55" t="n"/>
      <c r="I4505" s="62" t="n"/>
      <c r="J4505" s="58" t="n"/>
      <c r="K4505" s="63">
        <f>IF(tblMovement[[#This Row],[Source]]="","",IFERROR(INDEX(tblSources[Type],MATCH(tblMovement[[#This Row],[Source]],tblSources[Source],0)),"?"))</f>
        <v/>
      </c>
      <c r="L4505" s="63">
        <f>IF(tblMovement[[#This Row],[Destination]]="","",IFERROR(INDEX(tblDestinations[Type],MATCH(tblMovement[[#This Row],[Destination]],tblDestinations[Destination],0)),"?"))</f>
        <v/>
      </c>
      <c r="M4505" s="64">
        <f>IF(tblMovement[[#This Row],[Material]]="","",IF(LEFT(tblMovement[[#This Row],[Material]],3)="Ore",1,0))</f>
        <v/>
      </c>
      <c r="N4505" s="59">
        <f>IF(OR(tblMovement[[#This Row],[Tonnes_t]]="",tblMovement[[#This Row],[Grade_gpt]]=""),0,tblMovement[[#This Row],[Tonnes_t]]*tblMovement[[#This Row],[Grade_gpt]]/cfg_TroyOz)</f>
        <v/>
      </c>
      <c r="O4505" s="59">
        <f>IF(tblMovement[[#This Row],[Is_Ore]]=1,tblMovement[[#This Row],[Contained_oz]],0)</f>
        <v/>
      </c>
    </row>
    <row r="4506">
      <c r="A4506" s="54" t="n"/>
      <c r="B4506" s="61" t="n"/>
      <c r="C4506" s="61" t="n"/>
      <c r="D4506" s="61" t="n"/>
      <c r="E4506" s="61" t="n"/>
      <c r="F4506" s="55" t="n"/>
      <c r="G4506" s="56" t="n"/>
      <c r="H4506" s="55" t="n"/>
      <c r="I4506" s="62" t="n"/>
      <c r="J4506" s="58" t="n"/>
      <c r="K4506" s="63">
        <f>IF(tblMovement[[#This Row],[Source]]="","",IFERROR(INDEX(tblSources[Type],MATCH(tblMovement[[#This Row],[Source]],tblSources[Source],0)),"?"))</f>
        <v/>
      </c>
      <c r="L4506" s="63">
        <f>IF(tblMovement[[#This Row],[Destination]]="","",IFERROR(INDEX(tblDestinations[Type],MATCH(tblMovement[[#This Row],[Destination]],tblDestinations[Destination],0)),"?"))</f>
        <v/>
      </c>
      <c r="M4506" s="64">
        <f>IF(tblMovement[[#This Row],[Material]]="","",IF(LEFT(tblMovement[[#This Row],[Material]],3)="Ore",1,0))</f>
        <v/>
      </c>
      <c r="N4506" s="59">
        <f>IF(OR(tblMovement[[#This Row],[Tonnes_t]]="",tblMovement[[#This Row],[Grade_gpt]]=""),0,tblMovement[[#This Row],[Tonnes_t]]*tblMovement[[#This Row],[Grade_gpt]]/cfg_TroyOz)</f>
        <v/>
      </c>
      <c r="O4506" s="59">
        <f>IF(tblMovement[[#This Row],[Is_Ore]]=1,tblMovement[[#This Row],[Contained_oz]],0)</f>
        <v/>
      </c>
    </row>
    <row r="4507">
      <c r="A4507" s="54" t="n"/>
      <c r="B4507" s="61" t="n"/>
      <c r="C4507" s="61" t="n"/>
      <c r="D4507" s="61" t="n"/>
      <c r="E4507" s="61" t="n"/>
      <c r="F4507" s="55" t="n"/>
      <c r="G4507" s="56" t="n"/>
      <c r="H4507" s="55" t="n"/>
      <c r="I4507" s="62" t="n"/>
      <c r="J4507" s="58" t="n"/>
      <c r="K4507" s="63">
        <f>IF(tblMovement[[#This Row],[Source]]="","",IFERROR(INDEX(tblSources[Type],MATCH(tblMovement[[#This Row],[Source]],tblSources[Source],0)),"?"))</f>
        <v/>
      </c>
      <c r="L4507" s="63">
        <f>IF(tblMovement[[#This Row],[Destination]]="","",IFERROR(INDEX(tblDestinations[Type],MATCH(tblMovement[[#This Row],[Destination]],tblDestinations[Destination],0)),"?"))</f>
        <v/>
      </c>
      <c r="M4507" s="64">
        <f>IF(tblMovement[[#This Row],[Material]]="","",IF(LEFT(tblMovement[[#This Row],[Material]],3)="Ore",1,0))</f>
        <v/>
      </c>
      <c r="N4507" s="59">
        <f>IF(OR(tblMovement[[#This Row],[Tonnes_t]]="",tblMovement[[#This Row],[Grade_gpt]]=""),0,tblMovement[[#This Row],[Tonnes_t]]*tblMovement[[#This Row],[Grade_gpt]]/cfg_TroyOz)</f>
        <v/>
      </c>
      <c r="O4507" s="59">
        <f>IF(tblMovement[[#This Row],[Is_Ore]]=1,tblMovement[[#This Row],[Contained_oz]],0)</f>
        <v/>
      </c>
    </row>
    <row r="4508">
      <c r="A4508" s="54" t="n"/>
      <c r="B4508" s="61" t="n"/>
      <c r="C4508" s="61" t="n"/>
      <c r="D4508" s="61" t="n"/>
      <c r="E4508" s="61" t="n"/>
      <c r="F4508" s="55" t="n"/>
      <c r="G4508" s="56" t="n"/>
      <c r="H4508" s="55" t="n"/>
      <c r="I4508" s="62" t="n"/>
      <c r="J4508" s="58" t="n"/>
      <c r="K4508" s="63">
        <f>IF(tblMovement[[#This Row],[Source]]="","",IFERROR(INDEX(tblSources[Type],MATCH(tblMovement[[#This Row],[Source]],tblSources[Source],0)),"?"))</f>
        <v/>
      </c>
      <c r="L4508" s="63">
        <f>IF(tblMovement[[#This Row],[Destination]]="","",IFERROR(INDEX(tblDestinations[Type],MATCH(tblMovement[[#This Row],[Destination]],tblDestinations[Destination],0)),"?"))</f>
        <v/>
      </c>
      <c r="M4508" s="64">
        <f>IF(tblMovement[[#This Row],[Material]]="","",IF(LEFT(tblMovement[[#This Row],[Material]],3)="Ore",1,0))</f>
        <v/>
      </c>
      <c r="N4508" s="59">
        <f>IF(OR(tblMovement[[#This Row],[Tonnes_t]]="",tblMovement[[#This Row],[Grade_gpt]]=""),0,tblMovement[[#This Row],[Tonnes_t]]*tblMovement[[#This Row],[Grade_gpt]]/cfg_TroyOz)</f>
        <v/>
      </c>
      <c r="O4508" s="59">
        <f>IF(tblMovement[[#This Row],[Is_Ore]]=1,tblMovement[[#This Row],[Contained_oz]],0)</f>
        <v/>
      </c>
    </row>
    <row r="4509">
      <c r="A4509" s="54" t="n"/>
      <c r="B4509" s="61" t="n"/>
      <c r="C4509" s="61" t="n"/>
      <c r="D4509" s="61" t="n"/>
      <c r="E4509" s="61" t="n"/>
      <c r="F4509" s="55" t="n"/>
      <c r="G4509" s="56" t="n"/>
      <c r="H4509" s="55" t="n"/>
      <c r="I4509" s="62" t="n"/>
      <c r="J4509" s="58" t="n"/>
      <c r="K4509" s="63">
        <f>IF(tblMovement[[#This Row],[Source]]="","",IFERROR(INDEX(tblSources[Type],MATCH(tblMovement[[#This Row],[Source]],tblSources[Source],0)),"?"))</f>
        <v/>
      </c>
      <c r="L4509" s="63">
        <f>IF(tblMovement[[#This Row],[Destination]]="","",IFERROR(INDEX(tblDestinations[Type],MATCH(tblMovement[[#This Row],[Destination]],tblDestinations[Destination],0)),"?"))</f>
        <v/>
      </c>
      <c r="M4509" s="64">
        <f>IF(tblMovement[[#This Row],[Material]]="","",IF(LEFT(tblMovement[[#This Row],[Material]],3)="Ore",1,0))</f>
        <v/>
      </c>
      <c r="N4509" s="59">
        <f>IF(OR(tblMovement[[#This Row],[Tonnes_t]]="",tblMovement[[#This Row],[Grade_gpt]]=""),0,tblMovement[[#This Row],[Tonnes_t]]*tblMovement[[#This Row],[Grade_gpt]]/cfg_TroyOz)</f>
        <v/>
      </c>
      <c r="O4509" s="59">
        <f>IF(tblMovement[[#This Row],[Is_Ore]]=1,tblMovement[[#This Row],[Contained_oz]],0)</f>
        <v/>
      </c>
    </row>
    <row r="4510">
      <c r="A4510" s="54" t="n"/>
      <c r="B4510" s="61" t="n"/>
      <c r="C4510" s="61" t="n"/>
      <c r="D4510" s="61" t="n"/>
      <c r="E4510" s="61" t="n"/>
      <c r="F4510" s="55" t="n"/>
      <c r="G4510" s="56" t="n"/>
      <c r="H4510" s="55" t="n"/>
      <c r="I4510" s="62" t="n"/>
      <c r="J4510" s="58" t="n"/>
      <c r="K4510" s="63">
        <f>IF(tblMovement[[#This Row],[Source]]="","",IFERROR(INDEX(tblSources[Type],MATCH(tblMovement[[#This Row],[Source]],tblSources[Source],0)),"?"))</f>
        <v/>
      </c>
      <c r="L4510" s="63">
        <f>IF(tblMovement[[#This Row],[Destination]]="","",IFERROR(INDEX(tblDestinations[Type],MATCH(tblMovement[[#This Row],[Destination]],tblDestinations[Destination],0)),"?"))</f>
        <v/>
      </c>
      <c r="M4510" s="64">
        <f>IF(tblMovement[[#This Row],[Material]]="","",IF(LEFT(tblMovement[[#This Row],[Material]],3)="Ore",1,0))</f>
        <v/>
      </c>
      <c r="N4510" s="59">
        <f>IF(OR(tblMovement[[#This Row],[Tonnes_t]]="",tblMovement[[#This Row],[Grade_gpt]]=""),0,tblMovement[[#This Row],[Tonnes_t]]*tblMovement[[#This Row],[Grade_gpt]]/cfg_TroyOz)</f>
        <v/>
      </c>
      <c r="O4510" s="59">
        <f>IF(tblMovement[[#This Row],[Is_Ore]]=1,tblMovement[[#This Row],[Contained_oz]],0)</f>
        <v/>
      </c>
    </row>
    <row r="4511">
      <c r="A4511" s="54" t="n"/>
      <c r="B4511" s="61" t="n"/>
      <c r="C4511" s="61" t="n"/>
      <c r="D4511" s="61" t="n"/>
      <c r="E4511" s="61" t="n"/>
      <c r="F4511" s="55" t="n"/>
      <c r="G4511" s="56" t="n"/>
      <c r="H4511" s="55" t="n"/>
      <c r="I4511" s="62" t="n"/>
      <c r="J4511" s="58" t="n"/>
      <c r="K4511" s="63">
        <f>IF(tblMovement[[#This Row],[Source]]="","",IFERROR(INDEX(tblSources[Type],MATCH(tblMovement[[#This Row],[Source]],tblSources[Source],0)),"?"))</f>
        <v/>
      </c>
      <c r="L4511" s="63">
        <f>IF(tblMovement[[#This Row],[Destination]]="","",IFERROR(INDEX(tblDestinations[Type],MATCH(tblMovement[[#This Row],[Destination]],tblDestinations[Destination],0)),"?"))</f>
        <v/>
      </c>
      <c r="M4511" s="64">
        <f>IF(tblMovement[[#This Row],[Material]]="","",IF(LEFT(tblMovement[[#This Row],[Material]],3)="Ore",1,0))</f>
        <v/>
      </c>
      <c r="N4511" s="59">
        <f>IF(OR(tblMovement[[#This Row],[Tonnes_t]]="",tblMovement[[#This Row],[Grade_gpt]]=""),0,tblMovement[[#This Row],[Tonnes_t]]*tblMovement[[#This Row],[Grade_gpt]]/cfg_TroyOz)</f>
        <v/>
      </c>
      <c r="O4511" s="59">
        <f>IF(tblMovement[[#This Row],[Is_Ore]]=1,tblMovement[[#This Row],[Contained_oz]],0)</f>
        <v/>
      </c>
    </row>
    <row r="4512">
      <c r="A4512" s="54" t="n"/>
      <c r="B4512" s="61" t="n"/>
      <c r="C4512" s="61" t="n"/>
      <c r="D4512" s="61" t="n"/>
      <c r="E4512" s="61" t="n"/>
      <c r="F4512" s="55" t="n"/>
      <c r="G4512" s="56" t="n"/>
      <c r="H4512" s="55" t="n"/>
      <c r="I4512" s="62" t="n"/>
      <c r="J4512" s="58" t="n"/>
      <c r="K4512" s="63">
        <f>IF(tblMovement[[#This Row],[Source]]="","",IFERROR(INDEX(tblSources[Type],MATCH(tblMovement[[#This Row],[Source]],tblSources[Source],0)),"?"))</f>
        <v/>
      </c>
      <c r="L4512" s="63">
        <f>IF(tblMovement[[#This Row],[Destination]]="","",IFERROR(INDEX(tblDestinations[Type],MATCH(tblMovement[[#This Row],[Destination]],tblDestinations[Destination],0)),"?"))</f>
        <v/>
      </c>
      <c r="M4512" s="64">
        <f>IF(tblMovement[[#This Row],[Material]]="","",IF(LEFT(tblMovement[[#This Row],[Material]],3)="Ore",1,0))</f>
        <v/>
      </c>
      <c r="N4512" s="59">
        <f>IF(OR(tblMovement[[#This Row],[Tonnes_t]]="",tblMovement[[#This Row],[Grade_gpt]]=""),0,tblMovement[[#This Row],[Tonnes_t]]*tblMovement[[#This Row],[Grade_gpt]]/cfg_TroyOz)</f>
        <v/>
      </c>
      <c r="O4512" s="59">
        <f>IF(tblMovement[[#This Row],[Is_Ore]]=1,tblMovement[[#This Row],[Contained_oz]],0)</f>
        <v/>
      </c>
    </row>
    <row r="4513">
      <c r="A4513" s="54" t="n"/>
      <c r="B4513" s="61" t="n"/>
      <c r="C4513" s="61" t="n"/>
      <c r="D4513" s="61" t="n"/>
      <c r="E4513" s="61" t="n"/>
      <c r="F4513" s="55" t="n"/>
      <c r="G4513" s="56" t="n"/>
      <c r="H4513" s="55" t="n"/>
      <c r="I4513" s="62" t="n"/>
      <c r="J4513" s="58" t="n"/>
      <c r="K4513" s="63">
        <f>IF(tblMovement[[#This Row],[Source]]="","",IFERROR(INDEX(tblSources[Type],MATCH(tblMovement[[#This Row],[Source]],tblSources[Source],0)),"?"))</f>
        <v/>
      </c>
      <c r="L4513" s="63">
        <f>IF(tblMovement[[#This Row],[Destination]]="","",IFERROR(INDEX(tblDestinations[Type],MATCH(tblMovement[[#This Row],[Destination]],tblDestinations[Destination],0)),"?"))</f>
        <v/>
      </c>
      <c r="M4513" s="64">
        <f>IF(tblMovement[[#This Row],[Material]]="","",IF(LEFT(tblMovement[[#This Row],[Material]],3)="Ore",1,0))</f>
        <v/>
      </c>
      <c r="N4513" s="59">
        <f>IF(OR(tblMovement[[#This Row],[Tonnes_t]]="",tblMovement[[#This Row],[Grade_gpt]]=""),0,tblMovement[[#This Row],[Tonnes_t]]*tblMovement[[#This Row],[Grade_gpt]]/cfg_TroyOz)</f>
        <v/>
      </c>
      <c r="O4513" s="59">
        <f>IF(tblMovement[[#This Row],[Is_Ore]]=1,tblMovement[[#This Row],[Contained_oz]],0)</f>
        <v/>
      </c>
    </row>
    <row r="4514">
      <c r="A4514" s="54" t="n"/>
      <c r="B4514" s="61" t="n"/>
      <c r="C4514" s="61" t="n"/>
      <c r="D4514" s="61" t="n"/>
      <c r="E4514" s="61" t="n"/>
      <c r="F4514" s="55" t="n"/>
      <c r="G4514" s="56" t="n"/>
      <c r="H4514" s="55" t="n"/>
      <c r="I4514" s="62" t="n"/>
      <c r="J4514" s="58" t="n"/>
      <c r="K4514" s="63">
        <f>IF(tblMovement[[#This Row],[Source]]="","",IFERROR(INDEX(tblSources[Type],MATCH(tblMovement[[#This Row],[Source]],tblSources[Source],0)),"?"))</f>
        <v/>
      </c>
      <c r="L4514" s="63">
        <f>IF(tblMovement[[#This Row],[Destination]]="","",IFERROR(INDEX(tblDestinations[Type],MATCH(tblMovement[[#This Row],[Destination]],tblDestinations[Destination],0)),"?"))</f>
        <v/>
      </c>
      <c r="M4514" s="64">
        <f>IF(tblMovement[[#This Row],[Material]]="","",IF(LEFT(tblMovement[[#This Row],[Material]],3)="Ore",1,0))</f>
        <v/>
      </c>
      <c r="N4514" s="59">
        <f>IF(OR(tblMovement[[#This Row],[Tonnes_t]]="",tblMovement[[#This Row],[Grade_gpt]]=""),0,tblMovement[[#This Row],[Tonnes_t]]*tblMovement[[#This Row],[Grade_gpt]]/cfg_TroyOz)</f>
        <v/>
      </c>
      <c r="O4514" s="59">
        <f>IF(tblMovement[[#This Row],[Is_Ore]]=1,tblMovement[[#This Row],[Contained_oz]],0)</f>
        <v/>
      </c>
    </row>
    <row r="4515">
      <c r="A4515" s="54" t="n"/>
      <c r="B4515" s="61" t="n"/>
      <c r="C4515" s="61" t="n"/>
      <c r="D4515" s="61" t="n"/>
      <c r="E4515" s="61" t="n"/>
      <c r="F4515" s="55" t="n"/>
      <c r="G4515" s="56" t="n"/>
      <c r="H4515" s="55" t="n"/>
      <c r="I4515" s="62" t="n"/>
      <c r="J4515" s="58" t="n"/>
      <c r="K4515" s="63">
        <f>IF(tblMovement[[#This Row],[Source]]="","",IFERROR(INDEX(tblSources[Type],MATCH(tblMovement[[#This Row],[Source]],tblSources[Source],0)),"?"))</f>
        <v/>
      </c>
      <c r="L4515" s="63">
        <f>IF(tblMovement[[#This Row],[Destination]]="","",IFERROR(INDEX(tblDestinations[Type],MATCH(tblMovement[[#This Row],[Destination]],tblDestinations[Destination],0)),"?"))</f>
        <v/>
      </c>
      <c r="M4515" s="64">
        <f>IF(tblMovement[[#This Row],[Material]]="","",IF(LEFT(tblMovement[[#This Row],[Material]],3)="Ore",1,0))</f>
        <v/>
      </c>
      <c r="N4515" s="59">
        <f>IF(OR(tblMovement[[#This Row],[Tonnes_t]]="",tblMovement[[#This Row],[Grade_gpt]]=""),0,tblMovement[[#This Row],[Tonnes_t]]*tblMovement[[#This Row],[Grade_gpt]]/cfg_TroyOz)</f>
        <v/>
      </c>
      <c r="O4515" s="59">
        <f>IF(tblMovement[[#This Row],[Is_Ore]]=1,tblMovement[[#This Row],[Contained_oz]],0)</f>
        <v/>
      </c>
    </row>
    <row r="4516">
      <c r="A4516" s="54" t="n"/>
      <c r="B4516" s="61" t="n"/>
      <c r="C4516" s="61" t="n"/>
      <c r="D4516" s="61" t="n"/>
      <c r="E4516" s="61" t="n"/>
      <c r="F4516" s="55" t="n"/>
      <c r="G4516" s="56" t="n"/>
      <c r="H4516" s="55" t="n"/>
      <c r="I4516" s="62" t="n"/>
      <c r="J4516" s="58" t="n"/>
      <c r="K4516" s="63">
        <f>IF(tblMovement[[#This Row],[Source]]="","",IFERROR(INDEX(tblSources[Type],MATCH(tblMovement[[#This Row],[Source]],tblSources[Source],0)),"?"))</f>
        <v/>
      </c>
      <c r="L4516" s="63">
        <f>IF(tblMovement[[#This Row],[Destination]]="","",IFERROR(INDEX(tblDestinations[Type],MATCH(tblMovement[[#This Row],[Destination]],tblDestinations[Destination],0)),"?"))</f>
        <v/>
      </c>
      <c r="M4516" s="64">
        <f>IF(tblMovement[[#This Row],[Material]]="","",IF(LEFT(tblMovement[[#This Row],[Material]],3)="Ore",1,0))</f>
        <v/>
      </c>
      <c r="N4516" s="59">
        <f>IF(OR(tblMovement[[#This Row],[Tonnes_t]]="",tblMovement[[#This Row],[Grade_gpt]]=""),0,tblMovement[[#This Row],[Tonnes_t]]*tblMovement[[#This Row],[Grade_gpt]]/cfg_TroyOz)</f>
        <v/>
      </c>
      <c r="O4516" s="59">
        <f>IF(tblMovement[[#This Row],[Is_Ore]]=1,tblMovement[[#This Row],[Contained_oz]],0)</f>
        <v/>
      </c>
    </row>
    <row r="4517">
      <c r="A4517" s="54" t="n"/>
      <c r="B4517" s="61" t="n"/>
      <c r="C4517" s="61" t="n"/>
      <c r="D4517" s="61" t="n"/>
      <c r="E4517" s="61" t="n"/>
      <c r="F4517" s="55" t="n"/>
      <c r="G4517" s="56" t="n"/>
      <c r="H4517" s="55" t="n"/>
      <c r="I4517" s="62" t="n"/>
      <c r="J4517" s="58" t="n"/>
      <c r="K4517" s="63">
        <f>IF(tblMovement[[#This Row],[Source]]="","",IFERROR(INDEX(tblSources[Type],MATCH(tblMovement[[#This Row],[Source]],tblSources[Source],0)),"?"))</f>
        <v/>
      </c>
      <c r="L4517" s="63">
        <f>IF(tblMovement[[#This Row],[Destination]]="","",IFERROR(INDEX(tblDestinations[Type],MATCH(tblMovement[[#This Row],[Destination]],tblDestinations[Destination],0)),"?"))</f>
        <v/>
      </c>
      <c r="M4517" s="64">
        <f>IF(tblMovement[[#This Row],[Material]]="","",IF(LEFT(tblMovement[[#This Row],[Material]],3)="Ore",1,0))</f>
        <v/>
      </c>
      <c r="N4517" s="59">
        <f>IF(OR(tblMovement[[#This Row],[Tonnes_t]]="",tblMovement[[#This Row],[Grade_gpt]]=""),0,tblMovement[[#This Row],[Tonnes_t]]*tblMovement[[#This Row],[Grade_gpt]]/cfg_TroyOz)</f>
        <v/>
      </c>
      <c r="O4517" s="59">
        <f>IF(tblMovement[[#This Row],[Is_Ore]]=1,tblMovement[[#This Row],[Contained_oz]],0)</f>
        <v/>
      </c>
    </row>
    <row r="4518">
      <c r="A4518" s="54" t="n"/>
      <c r="B4518" s="61" t="n"/>
      <c r="C4518" s="61" t="n"/>
      <c r="D4518" s="61" t="n"/>
      <c r="E4518" s="61" t="n"/>
      <c r="F4518" s="55" t="n"/>
      <c r="G4518" s="56" t="n"/>
      <c r="H4518" s="55" t="n"/>
      <c r="I4518" s="62" t="n"/>
      <c r="J4518" s="58" t="n"/>
      <c r="K4518" s="63">
        <f>IF(tblMovement[[#This Row],[Source]]="","",IFERROR(INDEX(tblSources[Type],MATCH(tblMovement[[#This Row],[Source]],tblSources[Source],0)),"?"))</f>
        <v/>
      </c>
      <c r="L4518" s="63">
        <f>IF(tblMovement[[#This Row],[Destination]]="","",IFERROR(INDEX(tblDestinations[Type],MATCH(tblMovement[[#This Row],[Destination]],tblDestinations[Destination],0)),"?"))</f>
        <v/>
      </c>
      <c r="M4518" s="64">
        <f>IF(tblMovement[[#This Row],[Material]]="","",IF(LEFT(tblMovement[[#This Row],[Material]],3)="Ore",1,0))</f>
        <v/>
      </c>
      <c r="N4518" s="59">
        <f>IF(OR(tblMovement[[#This Row],[Tonnes_t]]="",tblMovement[[#This Row],[Grade_gpt]]=""),0,tblMovement[[#This Row],[Tonnes_t]]*tblMovement[[#This Row],[Grade_gpt]]/cfg_TroyOz)</f>
        <v/>
      </c>
      <c r="O4518" s="59">
        <f>IF(tblMovement[[#This Row],[Is_Ore]]=1,tblMovement[[#This Row],[Contained_oz]],0)</f>
        <v/>
      </c>
    </row>
    <row r="4519">
      <c r="A4519" s="54" t="n"/>
      <c r="B4519" s="61" t="n"/>
      <c r="C4519" s="61" t="n"/>
      <c r="D4519" s="61" t="n"/>
      <c r="E4519" s="61" t="n"/>
      <c r="F4519" s="55" t="n"/>
      <c r="G4519" s="56" t="n"/>
      <c r="H4519" s="55" t="n"/>
      <c r="I4519" s="62" t="n"/>
      <c r="J4519" s="58" t="n"/>
      <c r="K4519" s="63">
        <f>IF(tblMovement[[#This Row],[Source]]="","",IFERROR(INDEX(tblSources[Type],MATCH(tblMovement[[#This Row],[Source]],tblSources[Source],0)),"?"))</f>
        <v/>
      </c>
      <c r="L4519" s="63">
        <f>IF(tblMovement[[#This Row],[Destination]]="","",IFERROR(INDEX(tblDestinations[Type],MATCH(tblMovement[[#This Row],[Destination]],tblDestinations[Destination],0)),"?"))</f>
        <v/>
      </c>
      <c r="M4519" s="64">
        <f>IF(tblMovement[[#This Row],[Material]]="","",IF(LEFT(tblMovement[[#This Row],[Material]],3)="Ore",1,0))</f>
        <v/>
      </c>
      <c r="N4519" s="59">
        <f>IF(OR(tblMovement[[#This Row],[Tonnes_t]]="",tblMovement[[#This Row],[Grade_gpt]]=""),0,tblMovement[[#This Row],[Tonnes_t]]*tblMovement[[#This Row],[Grade_gpt]]/cfg_TroyOz)</f>
        <v/>
      </c>
      <c r="O4519" s="59">
        <f>IF(tblMovement[[#This Row],[Is_Ore]]=1,tblMovement[[#This Row],[Contained_oz]],0)</f>
        <v/>
      </c>
    </row>
    <row r="4520">
      <c r="A4520" s="54" t="n"/>
      <c r="B4520" s="61" t="n"/>
      <c r="C4520" s="61" t="n"/>
      <c r="D4520" s="61" t="n"/>
      <c r="E4520" s="61" t="n"/>
      <c r="F4520" s="55" t="n"/>
      <c r="G4520" s="56" t="n"/>
      <c r="H4520" s="55" t="n"/>
      <c r="I4520" s="62" t="n"/>
      <c r="J4520" s="58" t="n"/>
      <c r="K4520" s="63">
        <f>IF(tblMovement[[#This Row],[Source]]="","",IFERROR(INDEX(tblSources[Type],MATCH(tblMovement[[#This Row],[Source]],tblSources[Source],0)),"?"))</f>
        <v/>
      </c>
      <c r="L4520" s="63">
        <f>IF(tblMovement[[#This Row],[Destination]]="","",IFERROR(INDEX(tblDestinations[Type],MATCH(tblMovement[[#This Row],[Destination]],tblDestinations[Destination],0)),"?"))</f>
        <v/>
      </c>
      <c r="M4520" s="64">
        <f>IF(tblMovement[[#This Row],[Material]]="","",IF(LEFT(tblMovement[[#This Row],[Material]],3)="Ore",1,0))</f>
        <v/>
      </c>
      <c r="N4520" s="59">
        <f>IF(OR(tblMovement[[#This Row],[Tonnes_t]]="",tblMovement[[#This Row],[Grade_gpt]]=""),0,tblMovement[[#This Row],[Tonnes_t]]*tblMovement[[#This Row],[Grade_gpt]]/cfg_TroyOz)</f>
        <v/>
      </c>
      <c r="O4520" s="59">
        <f>IF(tblMovement[[#This Row],[Is_Ore]]=1,tblMovement[[#This Row],[Contained_oz]],0)</f>
        <v/>
      </c>
    </row>
    <row r="4521">
      <c r="A4521" s="54" t="n"/>
      <c r="B4521" s="61" t="n"/>
      <c r="C4521" s="61" t="n"/>
      <c r="D4521" s="61" t="n"/>
      <c r="E4521" s="61" t="n"/>
      <c r="F4521" s="55" t="n"/>
      <c r="G4521" s="56" t="n"/>
      <c r="H4521" s="55" t="n"/>
      <c r="I4521" s="62" t="n"/>
      <c r="J4521" s="58" t="n"/>
      <c r="K4521" s="63">
        <f>IF(tblMovement[[#This Row],[Source]]="","",IFERROR(INDEX(tblSources[Type],MATCH(tblMovement[[#This Row],[Source]],tblSources[Source],0)),"?"))</f>
        <v/>
      </c>
      <c r="L4521" s="63">
        <f>IF(tblMovement[[#This Row],[Destination]]="","",IFERROR(INDEX(tblDestinations[Type],MATCH(tblMovement[[#This Row],[Destination]],tblDestinations[Destination],0)),"?"))</f>
        <v/>
      </c>
      <c r="M4521" s="64">
        <f>IF(tblMovement[[#This Row],[Material]]="","",IF(LEFT(tblMovement[[#This Row],[Material]],3)="Ore",1,0))</f>
        <v/>
      </c>
      <c r="N4521" s="59">
        <f>IF(OR(tblMovement[[#This Row],[Tonnes_t]]="",tblMovement[[#This Row],[Grade_gpt]]=""),0,tblMovement[[#This Row],[Tonnes_t]]*tblMovement[[#This Row],[Grade_gpt]]/cfg_TroyOz)</f>
        <v/>
      </c>
      <c r="O4521" s="59">
        <f>IF(tblMovement[[#This Row],[Is_Ore]]=1,tblMovement[[#This Row],[Contained_oz]],0)</f>
        <v/>
      </c>
    </row>
    <row r="4522">
      <c r="A4522" s="54" t="n"/>
      <c r="B4522" s="61" t="n"/>
      <c r="C4522" s="61" t="n"/>
      <c r="D4522" s="61" t="n"/>
      <c r="E4522" s="61" t="n"/>
      <c r="F4522" s="55" t="n"/>
      <c r="G4522" s="56" t="n"/>
      <c r="H4522" s="55" t="n"/>
      <c r="I4522" s="62" t="n"/>
      <c r="J4522" s="58" t="n"/>
      <c r="K4522" s="63">
        <f>IF(tblMovement[[#This Row],[Source]]="","",IFERROR(INDEX(tblSources[Type],MATCH(tblMovement[[#This Row],[Source]],tblSources[Source],0)),"?"))</f>
        <v/>
      </c>
      <c r="L4522" s="63">
        <f>IF(tblMovement[[#This Row],[Destination]]="","",IFERROR(INDEX(tblDestinations[Type],MATCH(tblMovement[[#This Row],[Destination]],tblDestinations[Destination],0)),"?"))</f>
        <v/>
      </c>
      <c r="M4522" s="64">
        <f>IF(tblMovement[[#This Row],[Material]]="","",IF(LEFT(tblMovement[[#This Row],[Material]],3)="Ore",1,0))</f>
        <v/>
      </c>
      <c r="N4522" s="59">
        <f>IF(OR(tblMovement[[#This Row],[Tonnes_t]]="",tblMovement[[#This Row],[Grade_gpt]]=""),0,tblMovement[[#This Row],[Tonnes_t]]*tblMovement[[#This Row],[Grade_gpt]]/cfg_TroyOz)</f>
        <v/>
      </c>
      <c r="O4522" s="59">
        <f>IF(tblMovement[[#This Row],[Is_Ore]]=1,tblMovement[[#This Row],[Contained_oz]],0)</f>
        <v/>
      </c>
    </row>
    <row r="4523">
      <c r="A4523" s="54" t="n"/>
      <c r="B4523" s="61" t="n"/>
      <c r="C4523" s="61" t="n"/>
      <c r="D4523" s="61" t="n"/>
      <c r="E4523" s="61" t="n"/>
      <c r="F4523" s="55" t="n"/>
      <c r="G4523" s="56" t="n"/>
      <c r="H4523" s="55" t="n"/>
      <c r="I4523" s="62" t="n"/>
      <c r="J4523" s="58" t="n"/>
      <c r="K4523" s="63">
        <f>IF(tblMovement[[#This Row],[Source]]="","",IFERROR(INDEX(tblSources[Type],MATCH(tblMovement[[#This Row],[Source]],tblSources[Source],0)),"?"))</f>
        <v/>
      </c>
      <c r="L4523" s="63">
        <f>IF(tblMovement[[#This Row],[Destination]]="","",IFERROR(INDEX(tblDestinations[Type],MATCH(tblMovement[[#This Row],[Destination]],tblDestinations[Destination],0)),"?"))</f>
        <v/>
      </c>
      <c r="M4523" s="64">
        <f>IF(tblMovement[[#This Row],[Material]]="","",IF(LEFT(tblMovement[[#This Row],[Material]],3)="Ore",1,0))</f>
        <v/>
      </c>
      <c r="N4523" s="59">
        <f>IF(OR(tblMovement[[#This Row],[Tonnes_t]]="",tblMovement[[#This Row],[Grade_gpt]]=""),0,tblMovement[[#This Row],[Tonnes_t]]*tblMovement[[#This Row],[Grade_gpt]]/cfg_TroyOz)</f>
        <v/>
      </c>
      <c r="O4523" s="59">
        <f>IF(tblMovement[[#This Row],[Is_Ore]]=1,tblMovement[[#This Row],[Contained_oz]],0)</f>
        <v/>
      </c>
    </row>
    <row r="4524">
      <c r="A4524" s="54" t="n"/>
      <c r="B4524" s="61" t="n"/>
      <c r="C4524" s="61" t="n"/>
      <c r="D4524" s="61" t="n"/>
      <c r="E4524" s="61" t="n"/>
      <c r="F4524" s="55" t="n"/>
      <c r="G4524" s="56" t="n"/>
      <c r="H4524" s="55" t="n"/>
      <c r="I4524" s="62" t="n"/>
      <c r="J4524" s="58" t="n"/>
      <c r="K4524" s="63">
        <f>IF(tblMovement[[#This Row],[Source]]="","",IFERROR(INDEX(tblSources[Type],MATCH(tblMovement[[#This Row],[Source]],tblSources[Source],0)),"?"))</f>
        <v/>
      </c>
      <c r="L4524" s="63">
        <f>IF(tblMovement[[#This Row],[Destination]]="","",IFERROR(INDEX(tblDestinations[Type],MATCH(tblMovement[[#This Row],[Destination]],tblDestinations[Destination],0)),"?"))</f>
        <v/>
      </c>
      <c r="M4524" s="64">
        <f>IF(tblMovement[[#This Row],[Material]]="","",IF(LEFT(tblMovement[[#This Row],[Material]],3)="Ore",1,0))</f>
        <v/>
      </c>
      <c r="N4524" s="59">
        <f>IF(OR(tblMovement[[#This Row],[Tonnes_t]]="",tblMovement[[#This Row],[Grade_gpt]]=""),0,tblMovement[[#This Row],[Tonnes_t]]*tblMovement[[#This Row],[Grade_gpt]]/cfg_TroyOz)</f>
        <v/>
      </c>
      <c r="O4524" s="59">
        <f>IF(tblMovement[[#This Row],[Is_Ore]]=1,tblMovement[[#This Row],[Contained_oz]],0)</f>
        <v/>
      </c>
    </row>
    <row r="4525">
      <c r="A4525" s="54" t="n"/>
      <c r="B4525" s="61" t="n"/>
      <c r="C4525" s="61" t="n"/>
      <c r="D4525" s="61" t="n"/>
      <c r="E4525" s="61" t="n"/>
      <c r="F4525" s="55" t="n"/>
      <c r="G4525" s="56" t="n"/>
      <c r="H4525" s="55" t="n"/>
      <c r="I4525" s="62" t="n"/>
      <c r="J4525" s="58" t="n"/>
      <c r="K4525" s="63">
        <f>IF(tblMovement[[#This Row],[Source]]="","",IFERROR(INDEX(tblSources[Type],MATCH(tblMovement[[#This Row],[Source]],tblSources[Source],0)),"?"))</f>
        <v/>
      </c>
      <c r="L4525" s="63">
        <f>IF(tblMovement[[#This Row],[Destination]]="","",IFERROR(INDEX(tblDestinations[Type],MATCH(tblMovement[[#This Row],[Destination]],tblDestinations[Destination],0)),"?"))</f>
        <v/>
      </c>
      <c r="M4525" s="64">
        <f>IF(tblMovement[[#This Row],[Material]]="","",IF(LEFT(tblMovement[[#This Row],[Material]],3)="Ore",1,0))</f>
        <v/>
      </c>
      <c r="N4525" s="59">
        <f>IF(OR(tblMovement[[#This Row],[Tonnes_t]]="",tblMovement[[#This Row],[Grade_gpt]]=""),0,tblMovement[[#This Row],[Tonnes_t]]*tblMovement[[#This Row],[Grade_gpt]]/cfg_TroyOz)</f>
        <v/>
      </c>
      <c r="O4525" s="59">
        <f>IF(tblMovement[[#This Row],[Is_Ore]]=1,tblMovement[[#This Row],[Contained_oz]],0)</f>
        <v/>
      </c>
    </row>
    <row r="4526">
      <c r="A4526" s="54" t="n"/>
      <c r="B4526" s="61" t="n"/>
      <c r="C4526" s="61" t="n"/>
      <c r="D4526" s="61" t="n"/>
      <c r="E4526" s="61" t="n"/>
      <c r="F4526" s="55" t="n"/>
      <c r="G4526" s="56" t="n"/>
      <c r="H4526" s="55" t="n"/>
      <c r="I4526" s="62" t="n"/>
      <c r="J4526" s="58" t="n"/>
      <c r="K4526" s="63">
        <f>IF(tblMovement[[#This Row],[Source]]="","",IFERROR(INDEX(tblSources[Type],MATCH(tblMovement[[#This Row],[Source]],tblSources[Source],0)),"?"))</f>
        <v/>
      </c>
      <c r="L4526" s="63">
        <f>IF(tblMovement[[#This Row],[Destination]]="","",IFERROR(INDEX(tblDestinations[Type],MATCH(tblMovement[[#This Row],[Destination]],tblDestinations[Destination],0)),"?"))</f>
        <v/>
      </c>
      <c r="M4526" s="64">
        <f>IF(tblMovement[[#This Row],[Material]]="","",IF(LEFT(tblMovement[[#This Row],[Material]],3)="Ore",1,0))</f>
        <v/>
      </c>
      <c r="N4526" s="59">
        <f>IF(OR(tblMovement[[#This Row],[Tonnes_t]]="",tblMovement[[#This Row],[Grade_gpt]]=""),0,tblMovement[[#This Row],[Tonnes_t]]*tblMovement[[#This Row],[Grade_gpt]]/cfg_TroyOz)</f>
        <v/>
      </c>
      <c r="O4526" s="59">
        <f>IF(tblMovement[[#This Row],[Is_Ore]]=1,tblMovement[[#This Row],[Contained_oz]],0)</f>
        <v/>
      </c>
    </row>
    <row r="4527">
      <c r="A4527" s="54" t="n"/>
      <c r="B4527" s="61" t="n"/>
      <c r="C4527" s="61" t="n"/>
      <c r="D4527" s="61" t="n"/>
      <c r="E4527" s="61" t="n"/>
      <c r="F4527" s="55" t="n"/>
      <c r="G4527" s="56" t="n"/>
      <c r="H4527" s="55" t="n"/>
      <c r="I4527" s="62" t="n"/>
      <c r="J4527" s="58" t="n"/>
      <c r="K4527" s="63">
        <f>IF(tblMovement[[#This Row],[Source]]="","",IFERROR(INDEX(tblSources[Type],MATCH(tblMovement[[#This Row],[Source]],tblSources[Source],0)),"?"))</f>
        <v/>
      </c>
      <c r="L4527" s="63">
        <f>IF(tblMovement[[#This Row],[Destination]]="","",IFERROR(INDEX(tblDestinations[Type],MATCH(tblMovement[[#This Row],[Destination]],tblDestinations[Destination],0)),"?"))</f>
        <v/>
      </c>
      <c r="M4527" s="64">
        <f>IF(tblMovement[[#This Row],[Material]]="","",IF(LEFT(tblMovement[[#This Row],[Material]],3)="Ore",1,0))</f>
        <v/>
      </c>
      <c r="N4527" s="59">
        <f>IF(OR(tblMovement[[#This Row],[Tonnes_t]]="",tblMovement[[#This Row],[Grade_gpt]]=""),0,tblMovement[[#This Row],[Tonnes_t]]*tblMovement[[#This Row],[Grade_gpt]]/cfg_TroyOz)</f>
        <v/>
      </c>
      <c r="O4527" s="59">
        <f>IF(tblMovement[[#This Row],[Is_Ore]]=1,tblMovement[[#This Row],[Contained_oz]],0)</f>
        <v/>
      </c>
    </row>
    <row r="4528">
      <c r="A4528" s="54" t="n"/>
      <c r="B4528" s="61" t="n"/>
      <c r="C4528" s="61" t="n"/>
      <c r="D4528" s="61" t="n"/>
      <c r="E4528" s="61" t="n"/>
      <c r="F4528" s="55" t="n"/>
      <c r="G4528" s="56" t="n"/>
      <c r="H4528" s="55" t="n"/>
      <c r="I4528" s="62" t="n"/>
      <c r="J4528" s="58" t="n"/>
      <c r="K4528" s="63">
        <f>IF(tblMovement[[#This Row],[Source]]="","",IFERROR(INDEX(tblSources[Type],MATCH(tblMovement[[#This Row],[Source]],tblSources[Source],0)),"?"))</f>
        <v/>
      </c>
      <c r="L4528" s="63">
        <f>IF(tblMovement[[#This Row],[Destination]]="","",IFERROR(INDEX(tblDestinations[Type],MATCH(tblMovement[[#This Row],[Destination]],tblDestinations[Destination],0)),"?"))</f>
        <v/>
      </c>
      <c r="M4528" s="64">
        <f>IF(tblMovement[[#This Row],[Material]]="","",IF(LEFT(tblMovement[[#This Row],[Material]],3)="Ore",1,0))</f>
        <v/>
      </c>
      <c r="N4528" s="59">
        <f>IF(OR(tblMovement[[#This Row],[Tonnes_t]]="",tblMovement[[#This Row],[Grade_gpt]]=""),0,tblMovement[[#This Row],[Tonnes_t]]*tblMovement[[#This Row],[Grade_gpt]]/cfg_TroyOz)</f>
        <v/>
      </c>
      <c r="O4528" s="59">
        <f>IF(tblMovement[[#This Row],[Is_Ore]]=1,tblMovement[[#This Row],[Contained_oz]],0)</f>
        <v/>
      </c>
    </row>
    <row r="4529">
      <c r="A4529" s="54" t="n"/>
      <c r="B4529" s="61" t="n"/>
      <c r="C4529" s="61" t="n"/>
      <c r="D4529" s="61" t="n"/>
      <c r="E4529" s="61" t="n"/>
      <c r="F4529" s="55" t="n"/>
      <c r="G4529" s="56" t="n"/>
      <c r="H4529" s="55" t="n"/>
      <c r="I4529" s="62" t="n"/>
      <c r="J4529" s="58" t="n"/>
      <c r="K4529" s="63">
        <f>IF(tblMovement[[#This Row],[Source]]="","",IFERROR(INDEX(tblSources[Type],MATCH(tblMovement[[#This Row],[Source]],tblSources[Source],0)),"?"))</f>
        <v/>
      </c>
      <c r="L4529" s="63">
        <f>IF(tblMovement[[#This Row],[Destination]]="","",IFERROR(INDEX(tblDestinations[Type],MATCH(tblMovement[[#This Row],[Destination]],tblDestinations[Destination],0)),"?"))</f>
        <v/>
      </c>
      <c r="M4529" s="64">
        <f>IF(tblMovement[[#This Row],[Material]]="","",IF(LEFT(tblMovement[[#This Row],[Material]],3)="Ore",1,0))</f>
        <v/>
      </c>
      <c r="N4529" s="59">
        <f>IF(OR(tblMovement[[#This Row],[Tonnes_t]]="",tblMovement[[#This Row],[Grade_gpt]]=""),0,tblMovement[[#This Row],[Tonnes_t]]*tblMovement[[#This Row],[Grade_gpt]]/cfg_TroyOz)</f>
        <v/>
      </c>
      <c r="O4529" s="59">
        <f>IF(tblMovement[[#This Row],[Is_Ore]]=1,tblMovement[[#This Row],[Contained_oz]],0)</f>
        <v/>
      </c>
    </row>
    <row r="4530">
      <c r="A4530" s="54" t="n"/>
      <c r="B4530" s="61" t="n"/>
      <c r="C4530" s="61" t="n"/>
      <c r="D4530" s="61" t="n"/>
      <c r="E4530" s="61" t="n"/>
      <c r="F4530" s="55" t="n"/>
      <c r="G4530" s="56" t="n"/>
      <c r="H4530" s="55" t="n"/>
      <c r="I4530" s="62" t="n"/>
      <c r="J4530" s="58" t="n"/>
      <c r="K4530" s="63">
        <f>IF(tblMovement[[#This Row],[Source]]="","",IFERROR(INDEX(tblSources[Type],MATCH(tblMovement[[#This Row],[Source]],tblSources[Source],0)),"?"))</f>
        <v/>
      </c>
      <c r="L4530" s="63">
        <f>IF(tblMovement[[#This Row],[Destination]]="","",IFERROR(INDEX(tblDestinations[Type],MATCH(tblMovement[[#This Row],[Destination]],tblDestinations[Destination],0)),"?"))</f>
        <v/>
      </c>
      <c r="M4530" s="64">
        <f>IF(tblMovement[[#This Row],[Material]]="","",IF(LEFT(tblMovement[[#This Row],[Material]],3)="Ore",1,0))</f>
        <v/>
      </c>
      <c r="N4530" s="59">
        <f>IF(OR(tblMovement[[#This Row],[Tonnes_t]]="",tblMovement[[#This Row],[Grade_gpt]]=""),0,tblMovement[[#This Row],[Tonnes_t]]*tblMovement[[#This Row],[Grade_gpt]]/cfg_TroyOz)</f>
        <v/>
      </c>
      <c r="O4530" s="59">
        <f>IF(tblMovement[[#This Row],[Is_Ore]]=1,tblMovement[[#This Row],[Contained_oz]],0)</f>
        <v/>
      </c>
    </row>
    <row r="4531">
      <c r="A4531" s="54" t="n"/>
      <c r="B4531" s="61" t="n"/>
      <c r="C4531" s="61" t="n"/>
      <c r="D4531" s="61" t="n"/>
      <c r="E4531" s="61" t="n"/>
      <c r="F4531" s="55" t="n"/>
      <c r="G4531" s="56" t="n"/>
      <c r="H4531" s="55" t="n"/>
      <c r="I4531" s="62" t="n"/>
      <c r="J4531" s="58" t="n"/>
      <c r="K4531" s="63">
        <f>IF(tblMovement[[#This Row],[Source]]="","",IFERROR(INDEX(tblSources[Type],MATCH(tblMovement[[#This Row],[Source]],tblSources[Source],0)),"?"))</f>
        <v/>
      </c>
      <c r="L4531" s="63">
        <f>IF(tblMovement[[#This Row],[Destination]]="","",IFERROR(INDEX(tblDestinations[Type],MATCH(tblMovement[[#This Row],[Destination]],tblDestinations[Destination],0)),"?"))</f>
        <v/>
      </c>
      <c r="M4531" s="64">
        <f>IF(tblMovement[[#This Row],[Material]]="","",IF(LEFT(tblMovement[[#This Row],[Material]],3)="Ore",1,0))</f>
        <v/>
      </c>
      <c r="N4531" s="59">
        <f>IF(OR(tblMovement[[#This Row],[Tonnes_t]]="",tblMovement[[#This Row],[Grade_gpt]]=""),0,tblMovement[[#This Row],[Tonnes_t]]*tblMovement[[#This Row],[Grade_gpt]]/cfg_TroyOz)</f>
        <v/>
      </c>
      <c r="O4531" s="59">
        <f>IF(tblMovement[[#This Row],[Is_Ore]]=1,tblMovement[[#This Row],[Contained_oz]],0)</f>
        <v/>
      </c>
    </row>
    <row r="4532">
      <c r="A4532" s="54" t="n"/>
      <c r="B4532" s="61" t="n"/>
      <c r="C4532" s="61" t="n"/>
      <c r="D4532" s="61" t="n"/>
      <c r="E4532" s="61" t="n"/>
      <c r="F4532" s="55" t="n"/>
      <c r="G4532" s="56" t="n"/>
      <c r="H4532" s="55" t="n"/>
      <c r="I4532" s="62" t="n"/>
      <c r="J4532" s="58" t="n"/>
      <c r="K4532" s="63">
        <f>IF(tblMovement[[#This Row],[Source]]="","",IFERROR(INDEX(tblSources[Type],MATCH(tblMovement[[#This Row],[Source]],tblSources[Source],0)),"?"))</f>
        <v/>
      </c>
      <c r="L4532" s="63">
        <f>IF(tblMovement[[#This Row],[Destination]]="","",IFERROR(INDEX(tblDestinations[Type],MATCH(tblMovement[[#This Row],[Destination]],tblDestinations[Destination],0)),"?"))</f>
        <v/>
      </c>
      <c r="M4532" s="64">
        <f>IF(tblMovement[[#This Row],[Material]]="","",IF(LEFT(tblMovement[[#This Row],[Material]],3)="Ore",1,0))</f>
        <v/>
      </c>
      <c r="N4532" s="59">
        <f>IF(OR(tblMovement[[#This Row],[Tonnes_t]]="",tblMovement[[#This Row],[Grade_gpt]]=""),0,tblMovement[[#This Row],[Tonnes_t]]*tblMovement[[#This Row],[Grade_gpt]]/cfg_TroyOz)</f>
        <v/>
      </c>
      <c r="O4532" s="59">
        <f>IF(tblMovement[[#This Row],[Is_Ore]]=1,tblMovement[[#This Row],[Contained_oz]],0)</f>
        <v/>
      </c>
    </row>
    <row r="4533">
      <c r="A4533" s="54" t="n"/>
      <c r="B4533" s="61" t="n"/>
      <c r="C4533" s="61" t="n"/>
      <c r="D4533" s="61" t="n"/>
      <c r="E4533" s="61" t="n"/>
      <c r="F4533" s="55" t="n"/>
      <c r="G4533" s="56" t="n"/>
      <c r="H4533" s="55" t="n"/>
      <c r="I4533" s="62" t="n"/>
      <c r="J4533" s="58" t="n"/>
      <c r="K4533" s="63">
        <f>IF(tblMovement[[#This Row],[Source]]="","",IFERROR(INDEX(tblSources[Type],MATCH(tblMovement[[#This Row],[Source]],tblSources[Source],0)),"?"))</f>
        <v/>
      </c>
      <c r="L4533" s="63">
        <f>IF(tblMovement[[#This Row],[Destination]]="","",IFERROR(INDEX(tblDestinations[Type],MATCH(tblMovement[[#This Row],[Destination]],tblDestinations[Destination],0)),"?"))</f>
        <v/>
      </c>
      <c r="M4533" s="64">
        <f>IF(tblMovement[[#This Row],[Material]]="","",IF(LEFT(tblMovement[[#This Row],[Material]],3)="Ore",1,0))</f>
        <v/>
      </c>
      <c r="N4533" s="59">
        <f>IF(OR(tblMovement[[#This Row],[Tonnes_t]]="",tblMovement[[#This Row],[Grade_gpt]]=""),0,tblMovement[[#This Row],[Tonnes_t]]*tblMovement[[#This Row],[Grade_gpt]]/cfg_TroyOz)</f>
        <v/>
      </c>
      <c r="O4533" s="59">
        <f>IF(tblMovement[[#This Row],[Is_Ore]]=1,tblMovement[[#This Row],[Contained_oz]],0)</f>
        <v/>
      </c>
    </row>
    <row r="4534">
      <c r="A4534" s="54" t="n"/>
      <c r="B4534" s="61" t="n"/>
      <c r="C4534" s="61" t="n"/>
      <c r="D4534" s="61" t="n"/>
      <c r="E4534" s="61" t="n"/>
      <c r="F4534" s="55" t="n"/>
      <c r="G4534" s="56" t="n"/>
      <c r="H4534" s="55" t="n"/>
      <c r="I4534" s="62" t="n"/>
      <c r="J4534" s="58" t="n"/>
      <c r="K4534" s="63">
        <f>IF(tblMovement[[#This Row],[Source]]="","",IFERROR(INDEX(tblSources[Type],MATCH(tblMovement[[#This Row],[Source]],tblSources[Source],0)),"?"))</f>
        <v/>
      </c>
      <c r="L4534" s="63">
        <f>IF(tblMovement[[#This Row],[Destination]]="","",IFERROR(INDEX(tblDestinations[Type],MATCH(tblMovement[[#This Row],[Destination]],tblDestinations[Destination],0)),"?"))</f>
        <v/>
      </c>
      <c r="M4534" s="64">
        <f>IF(tblMovement[[#This Row],[Material]]="","",IF(LEFT(tblMovement[[#This Row],[Material]],3)="Ore",1,0))</f>
        <v/>
      </c>
      <c r="N4534" s="59">
        <f>IF(OR(tblMovement[[#This Row],[Tonnes_t]]="",tblMovement[[#This Row],[Grade_gpt]]=""),0,tblMovement[[#This Row],[Tonnes_t]]*tblMovement[[#This Row],[Grade_gpt]]/cfg_TroyOz)</f>
        <v/>
      </c>
      <c r="O4534" s="59">
        <f>IF(tblMovement[[#This Row],[Is_Ore]]=1,tblMovement[[#This Row],[Contained_oz]],0)</f>
        <v/>
      </c>
    </row>
    <row r="4535">
      <c r="A4535" s="54" t="n"/>
      <c r="B4535" s="61" t="n"/>
      <c r="C4535" s="61" t="n"/>
      <c r="D4535" s="61" t="n"/>
      <c r="E4535" s="61" t="n"/>
      <c r="F4535" s="55" t="n"/>
      <c r="G4535" s="56" t="n"/>
      <c r="H4535" s="55" t="n"/>
      <c r="I4535" s="62" t="n"/>
      <c r="J4535" s="58" t="n"/>
      <c r="K4535" s="63">
        <f>IF(tblMovement[[#This Row],[Source]]="","",IFERROR(INDEX(tblSources[Type],MATCH(tblMovement[[#This Row],[Source]],tblSources[Source],0)),"?"))</f>
        <v/>
      </c>
      <c r="L4535" s="63">
        <f>IF(tblMovement[[#This Row],[Destination]]="","",IFERROR(INDEX(tblDestinations[Type],MATCH(tblMovement[[#This Row],[Destination]],tblDestinations[Destination],0)),"?"))</f>
        <v/>
      </c>
      <c r="M4535" s="64">
        <f>IF(tblMovement[[#This Row],[Material]]="","",IF(LEFT(tblMovement[[#This Row],[Material]],3)="Ore",1,0))</f>
        <v/>
      </c>
      <c r="N4535" s="59">
        <f>IF(OR(tblMovement[[#This Row],[Tonnes_t]]="",tblMovement[[#This Row],[Grade_gpt]]=""),0,tblMovement[[#This Row],[Tonnes_t]]*tblMovement[[#This Row],[Grade_gpt]]/cfg_TroyOz)</f>
        <v/>
      </c>
      <c r="O4535" s="59">
        <f>IF(tblMovement[[#This Row],[Is_Ore]]=1,tblMovement[[#This Row],[Contained_oz]],0)</f>
        <v/>
      </c>
    </row>
    <row r="4536">
      <c r="A4536" s="54" t="n"/>
      <c r="B4536" s="61" t="n"/>
      <c r="C4536" s="61" t="n"/>
      <c r="D4536" s="61" t="n"/>
      <c r="E4536" s="61" t="n"/>
      <c r="F4536" s="55" t="n"/>
      <c r="G4536" s="56" t="n"/>
      <c r="H4536" s="55" t="n"/>
      <c r="I4536" s="62" t="n"/>
      <c r="J4536" s="58" t="n"/>
      <c r="K4536" s="63">
        <f>IF(tblMovement[[#This Row],[Source]]="","",IFERROR(INDEX(tblSources[Type],MATCH(tblMovement[[#This Row],[Source]],tblSources[Source],0)),"?"))</f>
        <v/>
      </c>
      <c r="L4536" s="63">
        <f>IF(tblMovement[[#This Row],[Destination]]="","",IFERROR(INDEX(tblDestinations[Type],MATCH(tblMovement[[#This Row],[Destination]],tblDestinations[Destination],0)),"?"))</f>
        <v/>
      </c>
      <c r="M4536" s="64">
        <f>IF(tblMovement[[#This Row],[Material]]="","",IF(LEFT(tblMovement[[#This Row],[Material]],3)="Ore",1,0))</f>
        <v/>
      </c>
      <c r="N4536" s="59">
        <f>IF(OR(tblMovement[[#This Row],[Tonnes_t]]="",tblMovement[[#This Row],[Grade_gpt]]=""),0,tblMovement[[#This Row],[Tonnes_t]]*tblMovement[[#This Row],[Grade_gpt]]/cfg_TroyOz)</f>
        <v/>
      </c>
      <c r="O4536" s="59">
        <f>IF(tblMovement[[#This Row],[Is_Ore]]=1,tblMovement[[#This Row],[Contained_oz]],0)</f>
        <v/>
      </c>
    </row>
    <row r="4537">
      <c r="A4537" s="54" t="n"/>
      <c r="B4537" s="61" t="n"/>
      <c r="C4537" s="61" t="n"/>
      <c r="D4537" s="61" t="n"/>
      <c r="E4537" s="61" t="n"/>
      <c r="F4537" s="55" t="n"/>
      <c r="G4537" s="56" t="n"/>
      <c r="H4537" s="55" t="n"/>
      <c r="I4537" s="62" t="n"/>
      <c r="J4537" s="58" t="n"/>
      <c r="K4537" s="63">
        <f>IF(tblMovement[[#This Row],[Source]]="","",IFERROR(INDEX(tblSources[Type],MATCH(tblMovement[[#This Row],[Source]],tblSources[Source],0)),"?"))</f>
        <v/>
      </c>
      <c r="L4537" s="63">
        <f>IF(tblMovement[[#This Row],[Destination]]="","",IFERROR(INDEX(tblDestinations[Type],MATCH(tblMovement[[#This Row],[Destination]],tblDestinations[Destination],0)),"?"))</f>
        <v/>
      </c>
      <c r="M4537" s="64">
        <f>IF(tblMovement[[#This Row],[Material]]="","",IF(LEFT(tblMovement[[#This Row],[Material]],3)="Ore",1,0))</f>
        <v/>
      </c>
      <c r="N4537" s="59">
        <f>IF(OR(tblMovement[[#This Row],[Tonnes_t]]="",tblMovement[[#This Row],[Grade_gpt]]=""),0,tblMovement[[#This Row],[Tonnes_t]]*tblMovement[[#This Row],[Grade_gpt]]/cfg_TroyOz)</f>
        <v/>
      </c>
      <c r="O4537" s="59">
        <f>IF(tblMovement[[#This Row],[Is_Ore]]=1,tblMovement[[#This Row],[Contained_oz]],0)</f>
        <v/>
      </c>
    </row>
    <row r="4538">
      <c r="A4538" s="54" t="n"/>
      <c r="B4538" s="61" t="n"/>
      <c r="C4538" s="61" t="n"/>
      <c r="D4538" s="61" t="n"/>
      <c r="E4538" s="61" t="n"/>
      <c r="F4538" s="55" t="n"/>
      <c r="G4538" s="56" t="n"/>
      <c r="H4538" s="55" t="n"/>
      <c r="I4538" s="62" t="n"/>
      <c r="J4538" s="58" t="n"/>
      <c r="K4538" s="63">
        <f>IF(tblMovement[[#This Row],[Source]]="","",IFERROR(INDEX(tblSources[Type],MATCH(tblMovement[[#This Row],[Source]],tblSources[Source],0)),"?"))</f>
        <v/>
      </c>
      <c r="L4538" s="63">
        <f>IF(tblMovement[[#This Row],[Destination]]="","",IFERROR(INDEX(tblDestinations[Type],MATCH(tblMovement[[#This Row],[Destination]],tblDestinations[Destination],0)),"?"))</f>
        <v/>
      </c>
      <c r="M4538" s="64">
        <f>IF(tblMovement[[#This Row],[Material]]="","",IF(LEFT(tblMovement[[#This Row],[Material]],3)="Ore",1,0))</f>
        <v/>
      </c>
      <c r="N4538" s="59">
        <f>IF(OR(tblMovement[[#This Row],[Tonnes_t]]="",tblMovement[[#This Row],[Grade_gpt]]=""),0,tblMovement[[#This Row],[Tonnes_t]]*tblMovement[[#This Row],[Grade_gpt]]/cfg_TroyOz)</f>
        <v/>
      </c>
      <c r="O4538" s="59">
        <f>IF(tblMovement[[#This Row],[Is_Ore]]=1,tblMovement[[#This Row],[Contained_oz]],0)</f>
        <v/>
      </c>
    </row>
    <row r="4539">
      <c r="A4539" s="54" t="n"/>
      <c r="B4539" s="61" t="n"/>
      <c r="C4539" s="61" t="n"/>
      <c r="D4539" s="61" t="n"/>
      <c r="E4539" s="61" t="n"/>
      <c r="F4539" s="55" t="n"/>
      <c r="G4539" s="56" t="n"/>
      <c r="H4539" s="55" t="n"/>
      <c r="I4539" s="62" t="n"/>
      <c r="J4539" s="58" t="n"/>
      <c r="K4539" s="63">
        <f>IF(tblMovement[[#This Row],[Source]]="","",IFERROR(INDEX(tblSources[Type],MATCH(tblMovement[[#This Row],[Source]],tblSources[Source],0)),"?"))</f>
        <v/>
      </c>
      <c r="L4539" s="63">
        <f>IF(tblMovement[[#This Row],[Destination]]="","",IFERROR(INDEX(tblDestinations[Type],MATCH(tblMovement[[#This Row],[Destination]],tblDestinations[Destination],0)),"?"))</f>
        <v/>
      </c>
      <c r="M4539" s="64">
        <f>IF(tblMovement[[#This Row],[Material]]="","",IF(LEFT(tblMovement[[#This Row],[Material]],3)="Ore",1,0))</f>
        <v/>
      </c>
      <c r="N4539" s="59">
        <f>IF(OR(tblMovement[[#This Row],[Tonnes_t]]="",tblMovement[[#This Row],[Grade_gpt]]=""),0,tblMovement[[#This Row],[Tonnes_t]]*tblMovement[[#This Row],[Grade_gpt]]/cfg_TroyOz)</f>
        <v/>
      </c>
      <c r="O4539" s="59">
        <f>IF(tblMovement[[#This Row],[Is_Ore]]=1,tblMovement[[#This Row],[Contained_oz]],0)</f>
        <v/>
      </c>
    </row>
    <row r="4540">
      <c r="A4540" s="54" t="n"/>
      <c r="B4540" s="61" t="n"/>
      <c r="C4540" s="61" t="n"/>
      <c r="D4540" s="61" t="n"/>
      <c r="E4540" s="61" t="n"/>
      <c r="F4540" s="55" t="n"/>
      <c r="G4540" s="56" t="n"/>
      <c r="H4540" s="55" t="n"/>
      <c r="I4540" s="62" t="n"/>
      <c r="J4540" s="58" t="n"/>
      <c r="K4540" s="63">
        <f>IF(tblMovement[[#This Row],[Source]]="","",IFERROR(INDEX(tblSources[Type],MATCH(tblMovement[[#This Row],[Source]],tblSources[Source],0)),"?"))</f>
        <v/>
      </c>
      <c r="L4540" s="63">
        <f>IF(tblMovement[[#This Row],[Destination]]="","",IFERROR(INDEX(tblDestinations[Type],MATCH(tblMovement[[#This Row],[Destination]],tblDestinations[Destination],0)),"?"))</f>
        <v/>
      </c>
      <c r="M4540" s="64">
        <f>IF(tblMovement[[#This Row],[Material]]="","",IF(LEFT(tblMovement[[#This Row],[Material]],3)="Ore",1,0))</f>
        <v/>
      </c>
      <c r="N4540" s="59">
        <f>IF(OR(tblMovement[[#This Row],[Tonnes_t]]="",tblMovement[[#This Row],[Grade_gpt]]=""),0,tblMovement[[#This Row],[Tonnes_t]]*tblMovement[[#This Row],[Grade_gpt]]/cfg_TroyOz)</f>
        <v/>
      </c>
      <c r="O4540" s="59">
        <f>IF(tblMovement[[#This Row],[Is_Ore]]=1,tblMovement[[#This Row],[Contained_oz]],0)</f>
        <v/>
      </c>
    </row>
    <row r="4541">
      <c r="A4541" s="54" t="n"/>
      <c r="B4541" s="61" t="n"/>
      <c r="C4541" s="61" t="n"/>
      <c r="D4541" s="61" t="n"/>
      <c r="E4541" s="61" t="n"/>
      <c r="F4541" s="55" t="n"/>
      <c r="G4541" s="56" t="n"/>
      <c r="H4541" s="55" t="n"/>
      <c r="I4541" s="62" t="n"/>
      <c r="J4541" s="58" t="n"/>
      <c r="K4541" s="63">
        <f>IF(tblMovement[[#This Row],[Source]]="","",IFERROR(INDEX(tblSources[Type],MATCH(tblMovement[[#This Row],[Source]],tblSources[Source],0)),"?"))</f>
        <v/>
      </c>
      <c r="L4541" s="63">
        <f>IF(tblMovement[[#This Row],[Destination]]="","",IFERROR(INDEX(tblDestinations[Type],MATCH(tblMovement[[#This Row],[Destination]],tblDestinations[Destination],0)),"?"))</f>
        <v/>
      </c>
      <c r="M4541" s="64">
        <f>IF(tblMovement[[#This Row],[Material]]="","",IF(LEFT(tblMovement[[#This Row],[Material]],3)="Ore",1,0))</f>
        <v/>
      </c>
      <c r="N4541" s="59">
        <f>IF(OR(tblMovement[[#This Row],[Tonnes_t]]="",tblMovement[[#This Row],[Grade_gpt]]=""),0,tblMovement[[#This Row],[Tonnes_t]]*tblMovement[[#This Row],[Grade_gpt]]/cfg_TroyOz)</f>
        <v/>
      </c>
      <c r="O4541" s="59">
        <f>IF(tblMovement[[#This Row],[Is_Ore]]=1,tblMovement[[#This Row],[Contained_oz]],0)</f>
        <v/>
      </c>
    </row>
    <row r="4542">
      <c r="A4542" s="54" t="n"/>
      <c r="B4542" s="61" t="n"/>
      <c r="C4542" s="61" t="n"/>
      <c r="D4542" s="61" t="n"/>
      <c r="E4542" s="61" t="n"/>
      <c r="F4542" s="55" t="n"/>
      <c r="G4542" s="56" t="n"/>
      <c r="H4542" s="55" t="n"/>
      <c r="I4542" s="62" t="n"/>
      <c r="J4542" s="58" t="n"/>
      <c r="K4542" s="63">
        <f>IF(tblMovement[[#This Row],[Source]]="","",IFERROR(INDEX(tblSources[Type],MATCH(tblMovement[[#This Row],[Source]],tblSources[Source],0)),"?"))</f>
        <v/>
      </c>
      <c r="L4542" s="63">
        <f>IF(tblMovement[[#This Row],[Destination]]="","",IFERROR(INDEX(tblDestinations[Type],MATCH(tblMovement[[#This Row],[Destination]],tblDestinations[Destination],0)),"?"))</f>
        <v/>
      </c>
      <c r="M4542" s="64">
        <f>IF(tblMovement[[#This Row],[Material]]="","",IF(LEFT(tblMovement[[#This Row],[Material]],3)="Ore",1,0))</f>
        <v/>
      </c>
      <c r="N4542" s="59">
        <f>IF(OR(tblMovement[[#This Row],[Tonnes_t]]="",tblMovement[[#This Row],[Grade_gpt]]=""),0,tblMovement[[#This Row],[Tonnes_t]]*tblMovement[[#This Row],[Grade_gpt]]/cfg_TroyOz)</f>
        <v/>
      </c>
      <c r="O4542" s="59">
        <f>IF(tblMovement[[#This Row],[Is_Ore]]=1,tblMovement[[#This Row],[Contained_oz]],0)</f>
        <v/>
      </c>
    </row>
    <row r="4543">
      <c r="A4543" s="54" t="n"/>
      <c r="B4543" s="61" t="n"/>
      <c r="C4543" s="61" t="n"/>
      <c r="D4543" s="61" t="n"/>
      <c r="E4543" s="61" t="n"/>
      <c r="F4543" s="55" t="n"/>
      <c r="G4543" s="56" t="n"/>
      <c r="H4543" s="55" t="n"/>
      <c r="I4543" s="62" t="n"/>
      <c r="J4543" s="58" t="n"/>
      <c r="K4543" s="63">
        <f>IF(tblMovement[[#This Row],[Source]]="","",IFERROR(INDEX(tblSources[Type],MATCH(tblMovement[[#This Row],[Source]],tblSources[Source],0)),"?"))</f>
        <v/>
      </c>
      <c r="L4543" s="63">
        <f>IF(tblMovement[[#This Row],[Destination]]="","",IFERROR(INDEX(tblDestinations[Type],MATCH(tblMovement[[#This Row],[Destination]],tblDestinations[Destination],0)),"?"))</f>
        <v/>
      </c>
      <c r="M4543" s="64">
        <f>IF(tblMovement[[#This Row],[Material]]="","",IF(LEFT(tblMovement[[#This Row],[Material]],3)="Ore",1,0))</f>
        <v/>
      </c>
      <c r="N4543" s="59">
        <f>IF(OR(tblMovement[[#This Row],[Tonnes_t]]="",tblMovement[[#This Row],[Grade_gpt]]=""),0,tblMovement[[#This Row],[Tonnes_t]]*tblMovement[[#This Row],[Grade_gpt]]/cfg_TroyOz)</f>
        <v/>
      </c>
      <c r="O4543" s="59">
        <f>IF(tblMovement[[#This Row],[Is_Ore]]=1,tblMovement[[#This Row],[Contained_oz]],0)</f>
        <v/>
      </c>
    </row>
    <row r="4544">
      <c r="A4544" s="54" t="n"/>
      <c r="B4544" s="61" t="n"/>
      <c r="C4544" s="61" t="n"/>
      <c r="D4544" s="61" t="n"/>
      <c r="E4544" s="61" t="n"/>
      <c r="F4544" s="55" t="n"/>
      <c r="G4544" s="56" t="n"/>
      <c r="H4544" s="55" t="n"/>
      <c r="I4544" s="62" t="n"/>
      <c r="J4544" s="58" t="n"/>
      <c r="K4544" s="63">
        <f>IF(tblMovement[[#This Row],[Source]]="","",IFERROR(INDEX(tblSources[Type],MATCH(tblMovement[[#This Row],[Source]],tblSources[Source],0)),"?"))</f>
        <v/>
      </c>
      <c r="L4544" s="63">
        <f>IF(tblMovement[[#This Row],[Destination]]="","",IFERROR(INDEX(tblDestinations[Type],MATCH(tblMovement[[#This Row],[Destination]],tblDestinations[Destination],0)),"?"))</f>
        <v/>
      </c>
      <c r="M4544" s="64">
        <f>IF(tblMovement[[#This Row],[Material]]="","",IF(LEFT(tblMovement[[#This Row],[Material]],3)="Ore",1,0))</f>
        <v/>
      </c>
      <c r="N4544" s="59">
        <f>IF(OR(tblMovement[[#This Row],[Tonnes_t]]="",tblMovement[[#This Row],[Grade_gpt]]=""),0,tblMovement[[#This Row],[Tonnes_t]]*tblMovement[[#This Row],[Grade_gpt]]/cfg_TroyOz)</f>
        <v/>
      </c>
      <c r="O4544" s="59">
        <f>IF(tblMovement[[#This Row],[Is_Ore]]=1,tblMovement[[#This Row],[Contained_oz]],0)</f>
        <v/>
      </c>
    </row>
    <row r="4545">
      <c r="A4545" s="54" t="n"/>
      <c r="B4545" s="61" t="n"/>
      <c r="C4545" s="61" t="n"/>
      <c r="D4545" s="61" t="n"/>
      <c r="E4545" s="61" t="n"/>
      <c r="F4545" s="55" t="n"/>
      <c r="G4545" s="56" t="n"/>
      <c r="H4545" s="55" t="n"/>
      <c r="I4545" s="62" t="n"/>
      <c r="J4545" s="58" t="n"/>
      <c r="K4545" s="63">
        <f>IF(tblMovement[[#This Row],[Source]]="","",IFERROR(INDEX(tblSources[Type],MATCH(tblMovement[[#This Row],[Source]],tblSources[Source],0)),"?"))</f>
        <v/>
      </c>
      <c r="L4545" s="63">
        <f>IF(tblMovement[[#This Row],[Destination]]="","",IFERROR(INDEX(tblDestinations[Type],MATCH(tblMovement[[#This Row],[Destination]],tblDestinations[Destination],0)),"?"))</f>
        <v/>
      </c>
      <c r="M4545" s="64">
        <f>IF(tblMovement[[#This Row],[Material]]="","",IF(LEFT(tblMovement[[#This Row],[Material]],3)="Ore",1,0))</f>
        <v/>
      </c>
      <c r="N4545" s="59">
        <f>IF(OR(tblMovement[[#This Row],[Tonnes_t]]="",tblMovement[[#This Row],[Grade_gpt]]=""),0,tblMovement[[#This Row],[Tonnes_t]]*tblMovement[[#This Row],[Grade_gpt]]/cfg_TroyOz)</f>
        <v/>
      </c>
      <c r="O4545" s="59">
        <f>IF(tblMovement[[#This Row],[Is_Ore]]=1,tblMovement[[#This Row],[Contained_oz]],0)</f>
        <v/>
      </c>
    </row>
    <row r="4546">
      <c r="A4546" s="54" t="n"/>
      <c r="B4546" s="61" t="n"/>
      <c r="C4546" s="61" t="n"/>
      <c r="D4546" s="61" t="n"/>
      <c r="E4546" s="61" t="n"/>
      <c r="F4546" s="55" t="n"/>
      <c r="G4546" s="56" t="n"/>
      <c r="H4546" s="55" t="n"/>
      <c r="I4546" s="62" t="n"/>
      <c r="J4546" s="58" t="n"/>
      <c r="K4546" s="63">
        <f>IF(tblMovement[[#This Row],[Source]]="","",IFERROR(INDEX(tblSources[Type],MATCH(tblMovement[[#This Row],[Source]],tblSources[Source],0)),"?"))</f>
        <v/>
      </c>
      <c r="L4546" s="63">
        <f>IF(tblMovement[[#This Row],[Destination]]="","",IFERROR(INDEX(tblDestinations[Type],MATCH(tblMovement[[#This Row],[Destination]],tblDestinations[Destination],0)),"?"))</f>
        <v/>
      </c>
      <c r="M4546" s="64">
        <f>IF(tblMovement[[#This Row],[Material]]="","",IF(LEFT(tblMovement[[#This Row],[Material]],3)="Ore",1,0))</f>
        <v/>
      </c>
      <c r="N4546" s="59">
        <f>IF(OR(tblMovement[[#This Row],[Tonnes_t]]="",tblMovement[[#This Row],[Grade_gpt]]=""),0,tblMovement[[#This Row],[Tonnes_t]]*tblMovement[[#This Row],[Grade_gpt]]/cfg_TroyOz)</f>
        <v/>
      </c>
      <c r="O4546" s="59">
        <f>IF(tblMovement[[#This Row],[Is_Ore]]=1,tblMovement[[#This Row],[Contained_oz]],0)</f>
        <v/>
      </c>
    </row>
    <row r="4547">
      <c r="A4547" s="54" t="n"/>
      <c r="B4547" s="61" t="n"/>
      <c r="C4547" s="61" t="n"/>
      <c r="D4547" s="61" t="n"/>
      <c r="E4547" s="61" t="n"/>
      <c r="F4547" s="55" t="n"/>
      <c r="G4547" s="56" t="n"/>
      <c r="H4547" s="55" t="n"/>
      <c r="I4547" s="62" t="n"/>
      <c r="J4547" s="58" t="n"/>
      <c r="K4547" s="63">
        <f>IF(tblMovement[[#This Row],[Source]]="","",IFERROR(INDEX(tblSources[Type],MATCH(tblMovement[[#This Row],[Source]],tblSources[Source],0)),"?"))</f>
        <v/>
      </c>
      <c r="L4547" s="63">
        <f>IF(tblMovement[[#This Row],[Destination]]="","",IFERROR(INDEX(tblDestinations[Type],MATCH(tblMovement[[#This Row],[Destination]],tblDestinations[Destination],0)),"?"))</f>
        <v/>
      </c>
      <c r="M4547" s="64">
        <f>IF(tblMovement[[#This Row],[Material]]="","",IF(LEFT(tblMovement[[#This Row],[Material]],3)="Ore",1,0))</f>
        <v/>
      </c>
      <c r="N4547" s="59">
        <f>IF(OR(tblMovement[[#This Row],[Tonnes_t]]="",tblMovement[[#This Row],[Grade_gpt]]=""),0,tblMovement[[#This Row],[Tonnes_t]]*tblMovement[[#This Row],[Grade_gpt]]/cfg_TroyOz)</f>
        <v/>
      </c>
      <c r="O4547" s="59">
        <f>IF(tblMovement[[#This Row],[Is_Ore]]=1,tblMovement[[#This Row],[Contained_oz]],0)</f>
        <v/>
      </c>
    </row>
    <row r="4548">
      <c r="A4548" s="54" t="n"/>
      <c r="B4548" s="61" t="n"/>
      <c r="C4548" s="61" t="n"/>
      <c r="D4548" s="61" t="n"/>
      <c r="E4548" s="61" t="n"/>
      <c r="F4548" s="55" t="n"/>
      <c r="G4548" s="56" t="n"/>
      <c r="H4548" s="55" t="n"/>
      <c r="I4548" s="62" t="n"/>
      <c r="J4548" s="58" t="n"/>
      <c r="K4548" s="63">
        <f>IF(tblMovement[[#This Row],[Source]]="","",IFERROR(INDEX(tblSources[Type],MATCH(tblMovement[[#This Row],[Source]],tblSources[Source],0)),"?"))</f>
        <v/>
      </c>
      <c r="L4548" s="63">
        <f>IF(tblMovement[[#This Row],[Destination]]="","",IFERROR(INDEX(tblDestinations[Type],MATCH(tblMovement[[#This Row],[Destination]],tblDestinations[Destination],0)),"?"))</f>
        <v/>
      </c>
      <c r="M4548" s="64">
        <f>IF(tblMovement[[#This Row],[Material]]="","",IF(LEFT(tblMovement[[#This Row],[Material]],3)="Ore",1,0))</f>
        <v/>
      </c>
      <c r="N4548" s="59">
        <f>IF(OR(tblMovement[[#This Row],[Tonnes_t]]="",tblMovement[[#This Row],[Grade_gpt]]=""),0,tblMovement[[#This Row],[Tonnes_t]]*tblMovement[[#This Row],[Grade_gpt]]/cfg_TroyOz)</f>
        <v/>
      </c>
      <c r="O4548" s="59">
        <f>IF(tblMovement[[#This Row],[Is_Ore]]=1,tblMovement[[#This Row],[Contained_oz]],0)</f>
        <v/>
      </c>
    </row>
    <row r="4549">
      <c r="A4549" s="54" t="n"/>
      <c r="B4549" s="61" t="n"/>
      <c r="C4549" s="61" t="n"/>
      <c r="D4549" s="61" t="n"/>
      <c r="E4549" s="61" t="n"/>
      <c r="F4549" s="55" t="n"/>
      <c r="G4549" s="56" t="n"/>
      <c r="H4549" s="55" t="n"/>
      <c r="I4549" s="62" t="n"/>
      <c r="J4549" s="58" t="n"/>
      <c r="K4549" s="63">
        <f>IF(tblMovement[[#This Row],[Source]]="","",IFERROR(INDEX(tblSources[Type],MATCH(tblMovement[[#This Row],[Source]],tblSources[Source],0)),"?"))</f>
        <v/>
      </c>
      <c r="L4549" s="63">
        <f>IF(tblMovement[[#This Row],[Destination]]="","",IFERROR(INDEX(tblDestinations[Type],MATCH(tblMovement[[#This Row],[Destination]],tblDestinations[Destination],0)),"?"))</f>
        <v/>
      </c>
      <c r="M4549" s="64">
        <f>IF(tblMovement[[#This Row],[Material]]="","",IF(LEFT(tblMovement[[#This Row],[Material]],3)="Ore",1,0))</f>
        <v/>
      </c>
      <c r="N4549" s="59">
        <f>IF(OR(tblMovement[[#This Row],[Tonnes_t]]="",tblMovement[[#This Row],[Grade_gpt]]=""),0,tblMovement[[#This Row],[Tonnes_t]]*tblMovement[[#This Row],[Grade_gpt]]/cfg_TroyOz)</f>
        <v/>
      </c>
      <c r="O4549" s="59">
        <f>IF(tblMovement[[#This Row],[Is_Ore]]=1,tblMovement[[#This Row],[Contained_oz]],0)</f>
        <v/>
      </c>
    </row>
    <row r="4550">
      <c r="A4550" s="54" t="n"/>
      <c r="B4550" s="61" t="n"/>
      <c r="C4550" s="61" t="n"/>
      <c r="D4550" s="61" t="n"/>
      <c r="E4550" s="61" t="n"/>
      <c r="F4550" s="55" t="n"/>
      <c r="G4550" s="56" t="n"/>
      <c r="H4550" s="55" t="n"/>
      <c r="I4550" s="62" t="n"/>
      <c r="J4550" s="58" t="n"/>
      <c r="K4550" s="63">
        <f>IF(tblMovement[[#This Row],[Source]]="","",IFERROR(INDEX(tblSources[Type],MATCH(tblMovement[[#This Row],[Source]],tblSources[Source],0)),"?"))</f>
        <v/>
      </c>
      <c r="L4550" s="63">
        <f>IF(tblMovement[[#This Row],[Destination]]="","",IFERROR(INDEX(tblDestinations[Type],MATCH(tblMovement[[#This Row],[Destination]],tblDestinations[Destination],0)),"?"))</f>
        <v/>
      </c>
      <c r="M4550" s="64">
        <f>IF(tblMovement[[#This Row],[Material]]="","",IF(LEFT(tblMovement[[#This Row],[Material]],3)="Ore",1,0))</f>
        <v/>
      </c>
      <c r="N4550" s="59">
        <f>IF(OR(tblMovement[[#This Row],[Tonnes_t]]="",tblMovement[[#This Row],[Grade_gpt]]=""),0,tblMovement[[#This Row],[Tonnes_t]]*tblMovement[[#This Row],[Grade_gpt]]/cfg_TroyOz)</f>
        <v/>
      </c>
      <c r="O4550" s="59">
        <f>IF(tblMovement[[#This Row],[Is_Ore]]=1,tblMovement[[#This Row],[Contained_oz]],0)</f>
        <v/>
      </c>
    </row>
    <row r="4551">
      <c r="A4551" s="54" t="n"/>
      <c r="B4551" s="61" t="n"/>
      <c r="C4551" s="61" t="n"/>
      <c r="D4551" s="61" t="n"/>
      <c r="E4551" s="61" t="n"/>
      <c r="F4551" s="55" t="n"/>
      <c r="G4551" s="56" t="n"/>
      <c r="H4551" s="55" t="n"/>
      <c r="I4551" s="62" t="n"/>
      <c r="J4551" s="58" t="n"/>
      <c r="K4551" s="63">
        <f>IF(tblMovement[[#This Row],[Source]]="","",IFERROR(INDEX(tblSources[Type],MATCH(tblMovement[[#This Row],[Source]],tblSources[Source],0)),"?"))</f>
        <v/>
      </c>
      <c r="L4551" s="63">
        <f>IF(tblMovement[[#This Row],[Destination]]="","",IFERROR(INDEX(tblDestinations[Type],MATCH(tblMovement[[#This Row],[Destination]],tblDestinations[Destination],0)),"?"))</f>
        <v/>
      </c>
      <c r="M4551" s="64">
        <f>IF(tblMovement[[#This Row],[Material]]="","",IF(LEFT(tblMovement[[#This Row],[Material]],3)="Ore",1,0))</f>
        <v/>
      </c>
      <c r="N4551" s="59">
        <f>IF(OR(tblMovement[[#This Row],[Tonnes_t]]="",tblMovement[[#This Row],[Grade_gpt]]=""),0,tblMovement[[#This Row],[Tonnes_t]]*tblMovement[[#This Row],[Grade_gpt]]/cfg_TroyOz)</f>
        <v/>
      </c>
      <c r="O4551" s="59">
        <f>IF(tblMovement[[#This Row],[Is_Ore]]=1,tblMovement[[#This Row],[Contained_oz]],0)</f>
        <v/>
      </c>
    </row>
    <row r="4552">
      <c r="A4552" s="54" t="n"/>
      <c r="B4552" s="61" t="n"/>
      <c r="C4552" s="61" t="n"/>
      <c r="D4552" s="61" t="n"/>
      <c r="E4552" s="61" t="n"/>
      <c r="F4552" s="55" t="n"/>
      <c r="G4552" s="56" t="n"/>
      <c r="H4552" s="55" t="n"/>
      <c r="I4552" s="62" t="n"/>
      <c r="J4552" s="58" t="n"/>
      <c r="K4552" s="63">
        <f>IF(tblMovement[[#This Row],[Source]]="","",IFERROR(INDEX(tblSources[Type],MATCH(tblMovement[[#This Row],[Source]],tblSources[Source],0)),"?"))</f>
        <v/>
      </c>
      <c r="L4552" s="63">
        <f>IF(tblMovement[[#This Row],[Destination]]="","",IFERROR(INDEX(tblDestinations[Type],MATCH(tblMovement[[#This Row],[Destination]],tblDestinations[Destination],0)),"?"))</f>
        <v/>
      </c>
      <c r="M4552" s="64">
        <f>IF(tblMovement[[#This Row],[Material]]="","",IF(LEFT(tblMovement[[#This Row],[Material]],3)="Ore",1,0))</f>
        <v/>
      </c>
      <c r="N4552" s="59">
        <f>IF(OR(tblMovement[[#This Row],[Tonnes_t]]="",tblMovement[[#This Row],[Grade_gpt]]=""),0,tblMovement[[#This Row],[Tonnes_t]]*tblMovement[[#This Row],[Grade_gpt]]/cfg_TroyOz)</f>
        <v/>
      </c>
      <c r="O4552" s="59">
        <f>IF(tblMovement[[#This Row],[Is_Ore]]=1,tblMovement[[#This Row],[Contained_oz]],0)</f>
        <v/>
      </c>
    </row>
    <row r="4553">
      <c r="A4553" s="54" t="n"/>
      <c r="B4553" s="61" t="n"/>
      <c r="C4553" s="61" t="n"/>
      <c r="D4553" s="61" t="n"/>
      <c r="E4553" s="61" t="n"/>
      <c r="F4553" s="55" t="n"/>
      <c r="G4553" s="56" t="n"/>
      <c r="H4553" s="55" t="n"/>
      <c r="I4553" s="62" t="n"/>
      <c r="J4553" s="58" t="n"/>
      <c r="K4553" s="63">
        <f>IF(tblMovement[[#This Row],[Source]]="","",IFERROR(INDEX(tblSources[Type],MATCH(tblMovement[[#This Row],[Source]],tblSources[Source],0)),"?"))</f>
        <v/>
      </c>
      <c r="L4553" s="63">
        <f>IF(tblMovement[[#This Row],[Destination]]="","",IFERROR(INDEX(tblDestinations[Type],MATCH(tblMovement[[#This Row],[Destination]],tblDestinations[Destination],0)),"?"))</f>
        <v/>
      </c>
      <c r="M4553" s="64">
        <f>IF(tblMovement[[#This Row],[Material]]="","",IF(LEFT(tblMovement[[#This Row],[Material]],3)="Ore",1,0))</f>
        <v/>
      </c>
      <c r="N4553" s="59">
        <f>IF(OR(tblMovement[[#This Row],[Tonnes_t]]="",tblMovement[[#This Row],[Grade_gpt]]=""),0,tblMovement[[#This Row],[Tonnes_t]]*tblMovement[[#This Row],[Grade_gpt]]/cfg_TroyOz)</f>
        <v/>
      </c>
      <c r="O4553" s="59">
        <f>IF(tblMovement[[#This Row],[Is_Ore]]=1,tblMovement[[#This Row],[Contained_oz]],0)</f>
        <v/>
      </c>
    </row>
    <row r="4554">
      <c r="A4554" s="54" t="n"/>
      <c r="B4554" s="61" t="n"/>
      <c r="C4554" s="61" t="n"/>
      <c r="D4554" s="61" t="n"/>
      <c r="E4554" s="61" t="n"/>
      <c r="F4554" s="55" t="n"/>
      <c r="G4554" s="56" t="n"/>
      <c r="H4554" s="55" t="n"/>
      <c r="I4554" s="62" t="n"/>
      <c r="J4554" s="58" t="n"/>
      <c r="K4554" s="63">
        <f>IF(tblMovement[[#This Row],[Source]]="","",IFERROR(INDEX(tblSources[Type],MATCH(tblMovement[[#This Row],[Source]],tblSources[Source],0)),"?"))</f>
        <v/>
      </c>
      <c r="L4554" s="63">
        <f>IF(tblMovement[[#This Row],[Destination]]="","",IFERROR(INDEX(tblDestinations[Type],MATCH(tblMovement[[#This Row],[Destination]],tblDestinations[Destination],0)),"?"))</f>
        <v/>
      </c>
      <c r="M4554" s="64">
        <f>IF(tblMovement[[#This Row],[Material]]="","",IF(LEFT(tblMovement[[#This Row],[Material]],3)="Ore",1,0))</f>
        <v/>
      </c>
      <c r="N4554" s="59">
        <f>IF(OR(tblMovement[[#This Row],[Tonnes_t]]="",tblMovement[[#This Row],[Grade_gpt]]=""),0,tblMovement[[#This Row],[Tonnes_t]]*tblMovement[[#This Row],[Grade_gpt]]/cfg_TroyOz)</f>
        <v/>
      </c>
      <c r="O4554" s="59">
        <f>IF(tblMovement[[#This Row],[Is_Ore]]=1,tblMovement[[#This Row],[Contained_oz]],0)</f>
        <v/>
      </c>
    </row>
    <row r="4555">
      <c r="A4555" s="54" t="n"/>
      <c r="B4555" s="61" t="n"/>
      <c r="C4555" s="61" t="n"/>
      <c r="D4555" s="61" t="n"/>
      <c r="E4555" s="61" t="n"/>
      <c r="F4555" s="55" t="n"/>
      <c r="G4555" s="56" t="n"/>
      <c r="H4555" s="55" t="n"/>
      <c r="I4555" s="62" t="n"/>
      <c r="J4555" s="58" t="n"/>
      <c r="K4555" s="63">
        <f>IF(tblMovement[[#This Row],[Source]]="","",IFERROR(INDEX(tblSources[Type],MATCH(tblMovement[[#This Row],[Source]],tblSources[Source],0)),"?"))</f>
        <v/>
      </c>
      <c r="L4555" s="63">
        <f>IF(tblMovement[[#This Row],[Destination]]="","",IFERROR(INDEX(tblDestinations[Type],MATCH(tblMovement[[#This Row],[Destination]],tblDestinations[Destination],0)),"?"))</f>
        <v/>
      </c>
      <c r="M4555" s="64">
        <f>IF(tblMovement[[#This Row],[Material]]="","",IF(LEFT(tblMovement[[#This Row],[Material]],3)="Ore",1,0))</f>
        <v/>
      </c>
      <c r="N4555" s="59">
        <f>IF(OR(tblMovement[[#This Row],[Tonnes_t]]="",tblMovement[[#This Row],[Grade_gpt]]=""),0,tblMovement[[#This Row],[Tonnes_t]]*tblMovement[[#This Row],[Grade_gpt]]/cfg_TroyOz)</f>
        <v/>
      </c>
      <c r="O4555" s="59">
        <f>IF(tblMovement[[#This Row],[Is_Ore]]=1,tblMovement[[#This Row],[Contained_oz]],0)</f>
        <v/>
      </c>
    </row>
    <row r="4556">
      <c r="A4556" s="54" t="n"/>
      <c r="B4556" s="61" t="n"/>
      <c r="C4556" s="61" t="n"/>
      <c r="D4556" s="61" t="n"/>
      <c r="E4556" s="61" t="n"/>
      <c r="F4556" s="55" t="n"/>
      <c r="G4556" s="56" t="n"/>
      <c r="H4556" s="55" t="n"/>
      <c r="I4556" s="62" t="n"/>
      <c r="J4556" s="58" t="n"/>
      <c r="K4556" s="63">
        <f>IF(tblMovement[[#This Row],[Source]]="","",IFERROR(INDEX(tblSources[Type],MATCH(tblMovement[[#This Row],[Source]],tblSources[Source],0)),"?"))</f>
        <v/>
      </c>
      <c r="L4556" s="63">
        <f>IF(tblMovement[[#This Row],[Destination]]="","",IFERROR(INDEX(tblDestinations[Type],MATCH(tblMovement[[#This Row],[Destination]],tblDestinations[Destination],0)),"?"))</f>
        <v/>
      </c>
      <c r="M4556" s="64">
        <f>IF(tblMovement[[#This Row],[Material]]="","",IF(LEFT(tblMovement[[#This Row],[Material]],3)="Ore",1,0))</f>
        <v/>
      </c>
      <c r="N4556" s="59">
        <f>IF(OR(tblMovement[[#This Row],[Tonnes_t]]="",tblMovement[[#This Row],[Grade_gpt]]=""),0,tblMovement[[#This Row],[Tonnes_t]]*tblMovement[[#This Row],[Grade_gpt]]/cfg_TroyOz)</f>
        <v/>
      </c>
      <c r="O4556" s="59">
        <f>IF(tblMovement[[#This Row],[Is_Ore]]=1,tblMovement[[#This Row],[Contained_oz]],0)</f>
        <v/>
      </c>
    </row>
    <row r="4557">
      <c r="A4557" s="54" t="n"/>
      <c r="B4557" s="61" t="n"/>
      <c r="C4557" s="61" t="n"/>
      <c r="D4557" s="61" t="n"/>
      <c r="E4557" s="61" t="n"/>
      <c r="F4557" s="55" t="n"/>
      <c r="G4557" s="56" t="n"/>
      <c r="H4557" s="55" t="n"/>
      <c r="I4557" s="62" t="n"/>
      <c r="J4557" s="58" t="n"/>
      <c r="K4557" s="63">
        <f>IF(tblMovement[[#This Row],[Source]]="","",IFERROR(INDEX(tblSources[Type],MATCH(tblMovement[[#This Row],[Source]],tblSources[Source],0)),"?"))</f>
        <v/>
      </c>
      <c r="L4557" s="63">
        <f>IF(tblMovement[[#This Row],[Destination]]="","",IFERROR(INDEX(tblDestinations[Type],MATCH(tblMovement[[#This Row],[Destination]],tblDestinations[Destination],0)),"?"))</f>
        <v/>
      </c>
      <c r="M4557" s="64">
        <f>IF(tblMovement[[#This Row],[Material]]="","",IF(LEFT(tblMovement[[#This Row],[Material]],3)="Ore",1,0))</f>
        <v/>
      </c>
      <c r="N4557" s="59">
        <f>IF(OR(tblMovement[[#This Row],[Tonnes_t]]="",tblMovement[[#This Row],[Grade_gpt]]=""),0,tblMovement[[#This Row],[Tonnes_t]]*tblMovement[[#This Row],[Grade_gpt]]/cfg_TroyOz)</f>
        <v/>
      </c>
      <c r="O4557" s="59">
        <f>IF(tblMovement[[#This Row],[Is_Ore]]=1,tblMovement[[#This Row],[Contained_oz]],0)</f>
        <v/>
      </c>
    </row>
    <row r="4558">
      <c r="A4558" s="54" t="n"/>
      <c r="B4558" s="61" t="n"/>
      <c r="C4558" s="61" t="n"/>
      <c r="D4558" s="61" t="n"/>
      <c r="E4558" s="61" t="n"/>
      <c r="F4558" s="55" t="n"/>
      <c r="G4558" s="56" t="n"/>
      <c r="H4558" s="55" t="n"/>
      <c r="I4558" s="62" t="n"/>
      <c r="J4558" s="58" t="n"/>
      <c r="K4558" s="63">
        <f>IF(tblMovement[[#This Row],[Source]]="","",IFERROR(INDEX(tblSources[Type],MATCH(tblMovement[[#This Row],[Source]],tblSources[Source],0)),"?"))</f>
        <v/>
      </c>
      <c r="L4558" s="63">
        <f>IF(tblMovement[[#This Row],[Destination]]="","",IFERROR(INDEX(tblDestinations[Type],MATCH(tblMovement[[#This Row],[Destination]],tblDestinations[Destination],0)),"?"))</f>
        <v/>
      </c>
      <c r="M4558" s="64">
        <f>IF(tblMovement[[#This Row],[Material]]="","",IF(LEFT(tblMovement[[#This Row],[Material]],3)="Ore",1,0))</f>
        <v/>
      </c>
      <c r="N4558" s="59">
        <f>IF(OR(tblMovement[[#This Row],[Tonnes_t]]="",tblMovement[[#This Row],[Grade_gpt]]=""),0,tblMovement[[#This Row],[Tonnes_t]]*tblMovement[[#This Row],[Grade_gpt]]/cfg_TroyOz)</f>
        <v/>
      </c>
      <c r="O4558" s="59">
        <f>IF(tblMovement[[#This Row],[Is_Ore]]=1,tblMovement[[#This Row],[Contained_oz]],0)</f>
        <v/>
      </c>
    </row>
    <row r="4559">
      <c r="A4559" s="54" t="n"/>
      <c r="B4559" s="61" t="n"/>
      <c r="C4559" s="61" t="n"/>
      <c r="D4559" s="61" t="n"/>
      <c r="E4559" s="61" t="n"/>
      <c r="F4559" s="55" t="n"/>
      <c r="G4559" s="56" t="n"/>
      <c r="H4559" s="55" t="n"/>
      <c r="I4559" s="62" t="n"/>
      <c r="J4559" s="58" t="n"/>
      <c r="K4559" s="63">
        <f>IF(tblMovement[[#This Row],[Source]]="","",IFERROR(INDEX(tblSources[Type],MATCH(tblMovement[[#This Row],[Source]],tblSources[Source],0)),"?"))</f>
        <v/>
      </c>
      <c r="L4559" s="63">
        <f>IF(tblMovement[[#This Row],[Destination]]="","",IFERROR(INDEX(tblDestinations[Type],MATCH(tblMovement[[#This Row],[Destination]],tblDestinations[Destination],0)),"?"))</f>
        <v/>
      </c>
      <c r="M4559" s="64">
        <f>IF(tblMovement[[#This Row],[Material]]="","",IF(LEFT(tblMovement[[#This Row],[Material]],3)="Ore",1,0))</f>
        <v/>
      </c>
      <c r="N4559" s="59">
        <f>IF(OR(tblMovement[[#This Row],[Tonnes_t]]="",tblMovement[[#This Row],[Grade_gpt]]=""),0,tblMovement[[#This Row],[Tonnes_t]]*tblMovement[[#This Row],[Grade_gpt]]/cfg_TroyOz)</f>
        <v/>
      </c>
      <c r="O4559" s="59">
        <f>IF(tblMovement[[#This Row],[Is_Ore]]=1,tblMovement[[#This Row],[Contained_oz]],0)</f>
        <v/>
      </c>
    </row>
    <row r="4560">
      <c r="A4560" s="54" t="n"/>
      <c r="B4560" s="61" t="n"/>
      <c r="C4560" s="61" t="n"/>
      <c r="D4560" s="61" t="n"/>
      <c r="E4560" s="61" t="n"/>
      <c r="F4560" s="55" t="n"/>
      <c r="G4560" s="56" t="n"/>
      <c r="H4560" s="55" t="n"/>
      <c r="I4560" s="62" t="n"/>
      <c r="J4560" s="58" t="n"/>
      <c r="K4560" s="63">
        <f>IF(tblMovement[[#This Row],[Source]]="","",IFERROR(INDEX(tblSources[Type],MATCH(tblMovement[[#This Row],[Source]],tblSources[Source],0)),"?"))</f>
        <v/>
      </c>
      <c r="L4560" s="63">
        <f>IF(tblMovement[[#This Row],[Destination]]="","",IFERROR(INDEX(tblDestinations[Type],MATCH(tblMovement[[#This Row],[Destination]],tblDestinations[Destination],0)),"?"))</f>
        <v/>
      </c>
      <c r="M4560" s="64">
        <f>IF(tblMovement[[#This Row],[Material]]="","",IF(LEFT(tblMovement[[#This Row],[Material]],3)="Ore",1,0))</f>
        <v/>
      </c>
      <c r="N4560" s="59">
        <f>IF(OR(tblMovement[[#This Row],[Tonnes_t]]="",tblMovement[[#This Row],[Grade_gpt]]=""),0,tblMovement[[#This Row],[Tonnes_t]]*tblMovement[[#This Row],[Grade_gpt]]/cfg_TroyOz)</f>
        <v/>
      </c>
      <c r="O4560" s="59">
        <f>IF(tblMovement[[#This Row],[Is_Ore]]=1,tblMovement[[#This Row],[Contained_oz]],0)</f>
        <v/>
      </c>
    </row>
    <row r="4561">
      <c r="A4561" s="54" t="n"/>
      <c r="B4561" s="61" t="n"/>
      <c r="C4561" s="61" t="n"/>
      <c r="D4561" s="61" t="n"/>
      <c r="E4561" s="61" t="n"/>
      <c r="F4561" s="55" t="n"/>
      <c r="G4561" s="56" t="n"/>
      <c r="H4561" s="55" t="n"/>
      <c r="I4561" s="62" t="n"/>
      <c r="J4561" s="58" t="n"/>
      <c r="K4561" s="63">
        <f>IF(tblMovement[[#This Row],[Source]]="","",IFERROR(INDEX(tblSources[Type],MATCH(tblMovement[[#This Row],[Source]],tblSources[Source],0)),"?"))</f>
        <v/>
      </c>
      <c r="L4561" s="63">
        <f>IF(tblMovement[[#This Row],[Destination]]="","",IFERROR(INDEX(tblDestinations[Type],MATCH(tblMovement[[#This Row],[Destination]],tblDestinations[Destination],0)),"?"))</f>
        <v/>
      </c>
      <c r="M4561" s="64">
        <f>IF(tblMovement[[#This Row],[Material]]="","",IF(LEFT(tblMovement[[#This Row],[Material]],3)="Ore",1,0))</f>
        <v/>
      </c>
      <c r="N4561" s="59">
        <f>IF(OR(tblMovement[[#This Row],[Tonnes_t]]="",tblMovement[[#This Row],[Grade_gpt]]=""),0,tblMovement[[#This Row],[Tonnes_t]]*tblMovement[[#This Row],[Grade_gpt]]/cfg_TroyOz)</f>
        <v/>
      </c>
      <c r="O4561" s="59">
        <f>IF(tblMovement[[#This Row],[Is_Ore]]=1,tblMovement[[#This Row],[Contained_oz]],0)</f>
        <v/>
      </c>
    </row>
    <row r="4562">
      <c r="A4562" s="54" t="n"/>
      <c r="B4562" s="61" t="n"/>
      <c r="C4562" s="61" t="n"/>
      <c r="D4562" s="61" t="n"/>
      <c r="E4562" s="61" t="n"/>
      <c r="F4562" s="55" t="n"/>
      <c r="G4562" s="56" t="n"/>
      <c r="H4562" s="55" t="n"/>
      <c r="I4562" s="62" t="n"/>
      <c r="J4562" s="58" t="n"/>
      <c r="K4562" s="63">
        <f>IF(tblMovement[[#This Row],[Source]]="","",IFERROR(INDEX(tblSources[Type],MATCH(tblMovement[[#This Row],[Source]],tblSources[Source],0)),"?"))</f>
        <v/>
      </c>
      <c r="L4562" s="63">
        <f>IF(tblMovement[[#This Row],[Destination]]="","",IFERROR(INDEX(tblDestinations[Type],MATCH(tblMovement[[#This Row],[Destination]],tblDestinations[Destination],0)),"?"))</f>
        <v/>
      </c>
      <c r="M4562" s="64">
        <f>IF(tblMovement[[#This Row],[Material]]="","",IF(LEFT(tblMovement[[#This Row],[Material]],3)="Ore",1,0))</f>
        <v/>
      </c>
      <c r="N4562" s="59">
        <f>IF(OR(tblMovement[[#This Row],[Tonnes_t]]="",tblMovement[[#This Row],[Grade_gpt]]=""),0,tblMovement[[#This Row],[Tonnes_t]]*tblMovement[[#This Row],[Grade_gpt]]/cfg_TroyOz)</f>
        <v/>
      </c>
      <c r="O4562" s="59">
        <f>IF(tblMovement[[#This Row],[Is_Ore]]=1,tblMovement[[#This Row],[Contained_oz]],0)</f>
        <v/>
      </c>
    </row>
    <row r="4563">
      <c r="A4563" s="54" t="n"/>
      <c r="B4563" s="61" t="n"/>
      <c r="C4563" s="61" t="n"/>
      <c r="D4563" s="61" t="n"/>
      <c r="E4563" s="61" t="n"/>
      <c r="F4563" s="55" t="n"/>
      <c r="G4563" s="56" t="n"/>
      <c r="H4563" s="55" t="n"/>
      <c r="I4563" s="62" t="n"/>
      <c r="J4563" s="58" t="n"/>
      <c r="K4563" s="63">
        <f>IF(tblMovement[[#This Row],[Source]]="","",IFERROR(INDEX(tblSources[Type],MATCH(tblMovement[[#This Row],[Source]],tblSources[Source],0)),"?"))</f>
        <v/>
      </c>
      <c r="L4563" s="63">
        <f>IF(tblMovement[[#This Row],[Destination]]="","",IFERROR(INDEX(tblDestinations[Type],MATCH(tblMovement[[#This Row],[Destination]],tblDestinations[Destination],0)),"?"))</f>
        <v/>
      </c>
      <c r="M4563" s="64">
        <f>IF(tblMovement[[#This Row],[Material]]="","",IF(LEFT(tblMovement[[#This Row],[Material]],3)="Ore",1,0))</f>
        <v/>
      </c>
      <c r="N4563" s="59">
        <f>IF(OR(tblMovement[[#This Row],[Tonnes_t]]="",tblMovement[[#This Row],[Grade_gpt]]=""),0,tblMovement[[#This Row],[Tonnes_t]]*tblMovement[[#This Row],[Grade_gpt]]/cfg_TroyOz)</f>
        <v/>
      </c>
      <c r="O4563" s="59">
        <f>IF(tblMovement[[#This Row],[Is_Ore]]=1,tblMovement[[#This Row],[Contained_oz]],0)</f>
        <v/>
      </c>
    </row>
    <row r="4564">
      <c r="A4564" s="54" t="n"/>
      <c r="B4564" s="61" t="n"/>
      <c r="C4564" s="61" t="n"/>
      <c r="D4564" s="61" t="n"/>
      <c r="E4564" s="61" t="n"/>
      <c r="F4564" s="55" t="n"/>
      <c r="G4564" s="56" t="n"/>
      <c r="H4564" s="55" t="n"/>
      <c r="I4564" s="62" t="n"/>
      <c r="J4564" s="58" t="n"/>
      <c r="K4564" s="63">
        <f>IF(tblMovement[[#This Row],[Source]]="","",IFERROR(INDEX(tblSources[Type],MATCH(tblMovement[[#This Row],[Source]],tblSources[Source],0)),"?"))</f>
        <v/>
      </c>
      <c r="L4564" s="63">
        <f>IF(tblMovement[[#This Row],[Destination]]="","",IFERROR(INDEX(tblDestinations[Type],MATCH(tblMovement[[#This Row],[Destination]],tblDestinations[Destination],0)),"?"))</f>
        <v/>
      </c>
      <c r="M4564" s="64">
        <f>IF(tblMovement[[#This Row],[Material]]="","",IF(LEFT(tblMovement[[#This Row],[Material]],3)="Ore",1,0))</f>
        <v/>
      </c>
      <c r="N4564" s="59">
        <f>IF(OR(tblMovement[[#This Row],[Tonnes_t]]="",tblMovement[[#This Row],[Grade_gpt]]=""),0,tblMovement[[#This Row],[Tonnes_t]]*tblMovement[[#This Row],[Grade_gpt]]/cfg_TroyOz)</f>
        <v/>
      </c>
      <c r="O4564" s="59">
        <f>IF(tblMovement[[#This Row],[Is_Ore]]=1,tblMovement[[#This Row],[Contained_oz]],0)</f>
        <v/>
      </c>
    </row>
    <row r="4565">
      <c r="A4565" s="54" t="n"/>
      <c r="B4565" s="61" t="n"/>
      <c r="C4565" s="61" t="n"/>
      <c r="D4565" s="61" t="n"/>
      <c r="E4565" s="61" t="n"/>
      <c r="F4565" s="55" t="n"/>
      <c r="G4565" s="56" t="n"/>
      <c r="H4565" s="55" t="n"/>
      <c r="I4565" s="62" t="n"/>
      <c r="J4565" s="58" t="n"/>
      <c r="K4565" s="63">
        <f>IF(tblMovement[[#This Row],[Source]]="","",IFERROR(INDEX(tblSources[Type],MATCH(tblMovement[[#This Row],[Source]],tblSources[Source],0)),"?"))</f>
        <v/>
      </c>
      <c r="L4565" s="63">
        <f>IF(tblMovement[[#This Row],[Destination]]="","",IFERROR(INDEX(tblDestinations[Type],MATCH(tblMovement[[#This Row],[Destination]],tblDestinations[Destination],0)),"?"))</f>
        <v/>
      </c>
      <c r="M4565" s="64">
        <f>IF(tblMovement[[#This Row],[Material]]="","",IF(LEFT(tblMovement[[#This Row],[Material]],3)="Ore",1,0))</f>
        <v/>
      </c>
      <c r="N4565" s="59">
        <f>IF(OR(tblMovement[[#This Row],[Tonnes_t]]="",tblMovement[[#This Row],[Grade_gpt]]=""),0,tblMovement[[#This Row],[Tonnes_t]]*tblMovement[[#This Row],[Grade_gpt]]/cfg_TroyOz)</f>
        <v/>
      </c>
      <c r="O4565" s="59">
        <f>IF(tblMovement[[#This Row],[Is_Ore]]=1,tblMovement[[#This Row],[Contained_oz]],0)</f>
        <v/>
      </c>
    </row>
    <row r="4566">
      <c r="A4566" s="54" t="n"/>
      <c r="B4566" s="61" t="n"/>
      <c r="C4566" s="61" t="n"/>
      <c r="D4566" s="61" t="n"/>
      <c r="E4566" s="61" t="n"/>
      <c r="F4566" s="55" t="n"/>
      <c r="G4566" s="56" t="n"/>
      <c r="H4566" s="55" t="n"/>
      <c r="I4566" s="62" t="n"/>
      <c r="J4566" s="58" t="n"/>
      <c r="K4566" s="63">
        <f>IF(tblMovement[[#This Row],[Source]]="","",IFERROR(INDEX(tblSources[Type],MATCH(tblMovement[[#This Row],[Source]],tblSources[Source],0)),"?"))</f>
        <v/>
      </c>
      <c r="L4566" s="63">
        <f>IF(tblMovement[[#This Row],[Destination]]="","",IFERROR(INDEX(tblDestinations[Type],MATCH(tblMovement[[#This Row],[Destination]],tblDestinations[Destination],0)),"?"))</f>
        <v/>
      </c>
      <c r="M4566" s="64">
        <f>IF(tblMovement[[#This Row],[Material]]="","",IF(LEFT(tblMovement[[#This Row],[Material]],3)="Ore",1,0))</f>
        <v/>
      </c>
      <c r="N4566" s="59">
        <f>IF(OR(tblMovement[[#This Row],[Tonnes_t]]="",tblMovement[[#This Row],[Grade_gpt]]=""),0,tblMovement[[#This Row],[Tonnes_t]]*tblMovement[[#This Row],[Grade_gpt]]/cfg_TroyOz)</f>
        <v/>
      </c>
      <c r="O4566" s="59">
        <f>IF(tblMovement[[#This Row],[Is_Ore]]=1,tblMovement[[#This Row],[Contained_oz]],0)</f>
        <v/>
      </c>
    </row>
    <row r="4567">
      <c r="A4567" s="54" t="n"/>
      <c r="B4567" s="61" t="n"/>
      <c r="C4567" s="61" t="n"/>
      <c r="D4567" s="61" t="n"/>
      <c r="E4567" s="61" t="n"/>
      <c r="F4567" s="55" t="n"/>
      <c r="G4567" s="56" t="n"/>
      <c r="H4567" s="55" t="n"/>
      <c r="I4567" s="62" t="n"/>
      <c r="J4567" s="58" t="n"/>
      <c r="K4567" s="63">
        <f>IF(tblMovement[[#This Row],[Source]]="","",IFERROR(INDEX(tblSources[Type],MATCH(tblMovement[[#This Row],[Source]],tblSources[Source],0)),"?"))</f>
        <v/>
      </c>
      <c r="L4567" s="63">
        <f>IF(tblMovement[[#This Row],[Destination]]="","",IFERROR(INDEX(tblDestinations[Type],MATCH(tblMovement[[#This Row],[Destination]],tblDestinations[Destination],0)),"?"))</f>
        <v/>
      </c>
      <c r="M4567" s="64">
        <f>IF(tblMovement[[#This Row],[Material]]="","",IF(LEFT(tblMovement[[#This Row],[Material]],3)="Ore",1,0))</f>
        <v/>
      </c>
      <c r="N4567" s="59">
        <f>IF(OR(tblMovement[[#This Row],[Tonnes_t]]="",tblMovement[[#This Row],[Grade_gpt]]=""),0,tblMovement[[#This Row],[Tonnes_t]]*tblMovement[[#This Row],[Grade_gpt]]/cfg_TroyOz)</f>
        <v/>
      </c>
      <c r="O4567" s="59">
        <f>IF(tblMovement[[#This Row],[Is_Ore]]=1,tblMovement[[#This Row],[Contained_oz]],0)</f>
        <v/>
      </c>
    </row>
    <row r="4568">
      <c r="A4568" s="54" t="n"/>
      <c r="B4568" s="61" t="n"/>
      <c r="C4568" s="61" t="n"/>
      <c r="D4568" s="61" t="n"/>
      <c r="E4568" s="61" t="n"/>
      <c r="F4568" s="55" t="n"/>
      <c r="G4568" s="56" t="n"/>
      <c r="H4568" s="55" t="n"/>
      <c r="I4568" s="62" t="n"/>
      <c r="J4568" s="58" t="n"/>
      <c r="K4568" s="63">
        <f>IF(tblMovement[[#This Row],[Source]]="","",IFERROR(INDEX(tblSources[Type],MATCH(tblMovement[[#This Row],[Source]],tblSources[Source],0)),"?"))</f>
        <v/>
      </c>
      <c r="L4568" s="63">
        <f>IF(tblMovement[[#This Row],[Destination]]="","",IFERROR(INDEX(tblDestinations[Type],MATCH(tblMovement[[#This Row],[Destination]],tblDestinations[Destination],0)),"?"))</f>
        <v/>
      </c>
      <c r="M4568" s="64">
        <f>IF(tblMovement[[#This Row],[Material]]="","",IF(LEFT(tblMovement[[#This Row],[Material]],3)="Ore",1,0))</f>
        <v/>
      </c>
      <c r="N4568" s="59">
        <f>IF(OR(tblMovement[[#This Row],[Tonnes_t]]="",tblMovement[[#This Row],[Grade_gpt]]=""),0,tblMovement[[#This Row],[Tonnes_t]]*tblMovement[[#This Row],[Grade_gpt]]/cfg_TroyOz)</f>
        <v/>
      </c>
      <c r="O4568" s="59">
        <f>IF(tblMovement[[#This Row],[Is_Ore]]=1,tblMovement[[#This Row],[Contained_oz]],0)</f>
        <v/>
      </c>
    </row>
    <row r="4569">
      <c r="A4569" s="54" t="n"/>
      <c r="B4569" s="61" t="n"/>
      <c r="C4569" s="61" t="n"/>
      <c r="D4569" s="61" t="n"/>
      <c r="E4569" s="61" t="n"/>
      <c r="F4569" s="55" t="n"/>
      <c r="G4569" s="56" t="n"/>
      <c r="H4569" s="55" t="n"/>
      <c r="I4569" s="62" t="n"/>
      <c r="J4569" s="58" t="n"/>
      <c r="K4569" s="63">
        <f>IF(tblMovement[[#This Row],[Source]]="","",IFERROR(INDEX(tblSources[Type],MATCH(tblMovement[[#This Row],[Source]],tblSources[Source],0)),"?"))</f>
        <v/>
      </c>
      <c r="L4569" s="63">
        <f>IF(tblMovement[[#This Row],[Destination]]="","",IFERROR(INDEX(tblDestinations[Type],MATCH(tblMovement[[#This Row],[Destination]],tblDestinations[Destination],0)),"?"))</f>
        <v/>
      </c>
      <c r="M4569" s="64">
        <f>IF(tblMovement[[#This Row],[Material]]="","",IF(LEFT(tblMovement[[#This Row],[Material]],3)="Ore",1,0))</f>
        <v/>
      </c>
      <c r="N4569" s="59">
        <f>IF(OR(tblMovement[[#This Row],[Tonnes_t]]="",tblMovement[[#This Row],[Grade_gpt]]=""),0,tblMovement[[#This Row],[Tonnes_t]]*tblMovement[[#This Row],[Grade_gpt]]/cfg_TroyOz)</f>
        <v/>
      </c>
      <c r="O4569" s="59">
        <f>IF(tblMovement[[#This Row],[Is_Ore]]=1,tblMovement[[#This Row],[Contained_oz]],0)</f>
        <v/>
      </c>
    </row>
    <row r="4570">
      <c r="A4570" s="54" t="n"/>
      <c r="B4570" s="61" t="n"/>
      <c r="C4570" s="61" t="n"/>
      <c r="D4570" s="61" t="n"/>
      <c r="E4570" s="61" t="n"/>
      <c r="F4570" s="55" t="n"/>
      <c r="G4570" s="56" t="n"/>
      <c r="H4570" s="55" t="n"/>
      <c r="I4570" s="62" t="n"/>
      <c r="J4570" s="58" t="n"/>
      <c r="K4570" s="63">
        <f>IF(tblMovement[[#This Row],[Source]]="","",IFERROR(INDEX(tblSources[Type],MATCH(tblMovement[[#This Row],[Source]],tblSources[Source],0)),"?"))</f>
        <v/>
      </c>
      <c r="L4570" s="63">
        <f>IF(tblMovement[[#This Row],[Destination]]="","",IFERROR(INDEX(tblDestinations[Type],MATCH(tblMovement[[#This Row],[Destination]],tblDestinations[Destination],0)),"?"))</f>
        <v/>
      </c>
      <c r="M4570" s="64">
        <f>IF(tblMovement[[#This Row],[Material]]="","",IF(LEFT(tblMovement[[#This Row],[Material]],3)="Ore",1,0))</f>
        <v/>
      </c>
      <c r="N4570" s="59">
        <f>IF(OR(tblMovement[[#This Row],[Tonnes_t]]="",tblMovement[[#This Row],[Grade_gpt]]=""),0,tblMovement[[#This Row],[Tonnes_t]]*tblMovement[[#This Row],[Grade_gpt]]/cfg_TroyOz)</f>
        <v/>
      </c>
      <c r="O4570" s="59">
        <f>IF(tblMovement[[#This Row],[Is_Ore]]=1,tblMovement[[#This Row],[Contained_oz]],0)</f>
        <v/>
      </c>
    </row>
    <row r="4571">
      <c r="A4571" s="54" t="n"/>
      <c r="B4571" s="61" t="n"/>
      <c r="C4571" s="61" t="n"/>
      <c r="D4571" s="61" t="n"/>
      <c r="E4571" s="61" t="n"/>
      <c r="F4571" s="55" t="n"/>
      <c r="G4571" s="56" t="n"/>
      <c r="H4571" s="55" t="n"/>
      <c r="I4571" s="62" t="n"/>
      <c r="J4571" s="58" t="n"/>
      <c r="K4571" s="63">
        <f>IF(tblMovement[[#This Row],[Source]]="","",IFERROR(INDEX(tblSources[Type],MATCH(tblMovement[[#This Row],[Source]],tblSources[Source],0)),"?"))</f>
        <v/>
      </c>
      <c r="L4571" s="63">
        <f>IF(tblMovement[[#This Row],[Destination]]="","",IFERROR(INDEX(tblDestinations[Type],MATCH(tblMovement[[#This Row],[Destination]],tblDestinations[Destination],0)),"?"))</f>
        <v/>
      </c>
      <c r="M4571" s="64">
        <f>IF(tblMovement[[#This Row],[Material]]="","",IF(LEFT(tblMovement[[#This Row],[Material]],3)="Ore",1,0))</f>
        <v/>
      </c>
      <c r="N4571" s="59">
        <f>IF(OR(tblMovement[[#This Row],[Tonnes_t]]="",tblMovement[[#This Row],[Grade_gpt]]=""),0,tblMovement[[#This Row],[Tonnes_t]]*tblMovement[[#This Row],[Grade_gpt]]/cfg_TroyOz)</f>
        <v/>
      </c>
      <c r="O4571" s="59">
        <f>IF(tblMovement[[#This Row],[Is_Ore]]=1,tblMovement[[#This Row],[Contained_oz]],0)</f>
        <v/>
      </c>
    </row>
    <row r="4572">
      <c r="A4572" s="54" t="n"/>
      <c r="B4572" s="61" t="n"/>
      <c r="C4572" s="61" t="n"/>
      <c r="D4572" s="61" t="n"/>
      <c r="E4572" s="61" t="n"/>
      <c r="F4572" s="55" t="n"/>
      <c r="G4572" s="56" t="n"/>
      <c r="H4572" s="55" t="n"/>
      <c r="I4572" s="62" t="n"/>
      <c r="J4572" s="58" t="n"/>
      <c r="K4572" s="63">
        <f>IF(tblMovement[[#This Row],[Source]]="","",IFERROR(INDEX(tblSources[Type],MATCH(tblMovement[[#This Row],[Source]],tblSources[Source],0)),"?"))</f>
        <v/>
      </c>
      <c r="L4572" s="63">
        <f>IF(tblMovement[[#This Row],[Destination]]="","",IFERROR(INDEX(tblDestinations[Type],MATCH(tblMovement[[#This Row],[Destination]],tblDestinations[Destination],0)),"?"))</f>
        <v/>
      </c>
      <c r="M4572" s="64">
        <f>IF(tblMovement[[#This Row],[Material]]="","",IF(LEFT(tblMovement[[#This Row],[Material]],3)="Ore",1,0))</f>
        <v/>
      </c>
      <c r="N4572" s="59">
        <f>IF(OR(tblMovement[[#This Row],[Tonnes_t]]="",tblMovement[[#This Row],[Grade_gpt]]=""),0,tblMovement[[#This Row],[Tonnes_t]]*tblMovement[[#This Row],[Grade_gpt]]/cfg_TroyOz)</f>
        <v/>
      </c>
      <c r="O4572" s="59">
        <f>IF(tblMovement[[#This Row],[Is_Ore]]=1,tblMovement[[#This Row],[Contained_oz]],0)</f>
        <v/>
      </c>
    </row>
    <row r="4573">
      <c r="A4573" s="54" t="n"/>
      <c r="B4573" s="61" t="n"/>
      <c r="C4573" s="61" t="n"/>
      <c r="D4573" s="61" t="n"/>
      <c r="E4573" s="61" t="n"/>
      <c r="F4573" s="55" t="n"/>
      <c r="G4573" s="56" t="n"/>
      <c r="H4573" s="55" t="n"/>
      <c r="I4573" s="62" t="n"/>
      <c r="J4573" s="58" t="n"/>
      <c r="K4573" s="63">
        <f>IF(tblMovement[[#This Row],[Source]]="","",IFERROR(INDEX(tblSources[Type],MATCH(tblMovement[[#This Row],[Source]],tblSources[Source],0)),"?"))</f>
        <v/>
      </c>
      <c r="L4573" s="63">
        <f>IF(tblMovement[[#This Row],[Destination]]="","",IFERROR(INDEX(tblDestinations[Type],MATCH(tblMovement[[#This Row],[Destination]],tblDestinations[Destination],0)),"?"))</f>
        <v/>
      </c>
      <c r="M4573" s="64">
        <f>IF(tblMovement[[#This Row],[Material]]="","",IF(LEFT(tblMovement[[#This Row],[Material]],3)="Ore",1,0))</f>
        <v/>
      </c>
      <c r="N4573" s="59">
        <f>IF(OR(tblMovement[[#This Row],[Tonnes_t]]="",tblMovement[[#This Row],[Grade_gpt]]=""),0,tblMovement[[#This Row],[Tonnes_t]]*tblMovement[[#This Row],[Grade_gpt]]/cfg_TroyOz)</f>
        <v/>
      </c>
      <c r="O4573" s="59">
        <f>IF(tblMovement[[#This Row],[Is_Ore]]=1,tblMovement[[#This Row],[Contained_oz]],0)</f>
        <v/>
      </c>
    </row>
    <row r="4574">
      <c r="A4574" s="54" t="n"/>
      <c r="B4574" s="61" t="n"/>
      <c r="C4574" s="61" t="n"/>
      <c r="D4574" s="61" t="n"/>
      <c r="E4574" s="61" t="n"/>
      <c r="F4574" s="55" t="n"/>
      <c r="G4574" s="56" t="n"/>
      <c r="H4574" s="55" t="n"/>
      <c r="I4574" s="62" t="n"/>
      <c r="J4574" s="58" t="n"/>
      <c r="K4574" s="63">
        <f>IF(tblMovement[[#This Row],[Source]]="","",IFERROR(INDEX(tblSources[Type],MATCH(tblMovement[[#This Row],[Source]],tblSources[Source],0)),"?"))</f>
        <v/>
      </c>
      <c r="L4574" s="63">
        <f>IF(tblMovement[[#This Row],[Destination]]="","",IFERROR(INDEX(tblDestinations[Type],MATCH(tblMovement[[#This Row],[Destination]],tblDestinations[Destination],0)),"?"))</f>
        <v/>
      </c>
      <c r="M4574" s="64">
        <f>IF(tblMovement[[#This Row],[Material]]="","",IF(LEFT(tblMovement[[#This Row],[Material]],3)="Ore",1,0))</f>
        <v/>
      </c>
      <c r="N4574" s="59">
        <f>IF(OR(tblMovement[[#This Row],[Tonnes_t]]="",tblMovement[[#This Row],[Grade_gpt]]=""),0,tblMovement[[#This Row],[Tonnes_t]]*tblMovement[[#This Row],[Grade_gpt]]/cfg_TroyOz)</f>
        <v/>
      </c>
      <c r="O4574" s="59">
        <f>IF(tblMovement[[#This Row],[Is_Ore]]=1,tblMovement[[#This Row],[Contained_oz]],0)</f>
        <v/>
      </c>
    </row>
    <row r="4575">
      <c r="A4575" s="54" t="n"/>
      <c r="B4575" s="61" t="n"/>
      <c r="C4575" s="61" t="n"/>
      <c r="D4575" s="61" t="n"/>
      <c r="E4575" s="61" t="n"/>
      <c r="F4575" s="55" t="n"/>
      <c r="G4575" s="56" t="n"/>
      <c r="H4575" s="55" t="n"/>
      <c r="I4575" s="62" t="n"/>
      <c r="J4575" s="58" t="n"/>
      <c r="K4575" s="63">
        <f>IF(tblMovement[[#This Row],[Source]]="","",IFERROR(INDEX(tblSources[Type],MATCH(tblMovement[[#This Row],[Source]],tblSources[Source],0)),"?"))</f>
        <v/>
      </c>
      <c r="L4575" s="63">
        <f>IF(tblMovement[[#This Row],[Destination]]="","",IFERROR(INDEX(tblDestinations[Type],MATCH(tblMovement[[#This Row],[Destination]],tblDestinations[Destination],0)),"?"))</f>
        <v/>
      </c>
      <c r="M4575" s="64">
        <f>IF(tblMovement[[#This Row],[Material]]="","",IF(LEFT(tblMovement[[#This Row],[Material]],3)="Ore",1,0))</f>
        <v/>
      </c>
      <c r="N4575" s="59">
        <f>IF(OR(tblMovement[[#This Row],[Tonnes_t]]="",tblMovement[[#This Row],[Grade_gpt]]=""),0,tblMovement[[#This Row],[Tonnes_t]]*tblMovement[[#This Row],[Grade_gpt]]/cfg_TroyOz)</f>
        <v/>
      </c>
      <c r="O4575" s="59">
        <f>IF(tblMovement[[#This Row],[Is_Ore]]=1,tblMovement[[#This Row],[Contained_oz]],0)</f>
        <v/>
      </c>
    </row>
    <row r="4576">
      <c r="A4576" s="54" t="n"/>
      <c r="B4576" s="61" t="n"/>
      <c r="C4576" s="61" t="n"/>
      <c r="D4576" s="61" t="n"/>
      <c r="E4576" s="61" t="n"/>
      <c r="F4576" s="55" t="n"/>
      <c r="G4576" s="56" t="n"/>
      <c r="H4576" s="55" t="n"/>
      <c r="I4576" s="62" t="n"/>
      <c r="J4576" s="58" t="n"/>
      <c r="K4576" s="63">
        <f>IF(tblMovement[[#This Row],[Source]]="","",IFERROR(INDEX(tblSources[Type],MATCH(tblMovement[[#This Row],[Source]],tblSources[Source],0)),"?"))</f>
        <v/>
      </c>
      <c r="L4576" s="63">
        <f>IF(tblMovement[[#This Row],[Destination]]="","",IFERROR(INDEX(tblDestinations[Type],MATCH(tblMovement[[#This Row],[Destination]],tblDestinations[Destination],0)),"?"))</f>
        <v/>
      </c>
      <c r="M4576" s="64">
        <f>IF(tblMovement[[#This Row],[Material]]="","",IF(LEFT(tblMovement[[#This Row],[Material]],3)="Ore",1,0))</f>
        <v/>
      </c>
      <c r="N4576" s="59">
        <f>IF(OR(tblMovement[[#This Row],[Tonnes_t]]="",tblMovement[[#This Row],[Grade_gpt]]=""),0,tblMovement[[#This Row],[Tonnes_t]]*tblMovement[[#This Row],[Grade_gpt]]/cfg_TroyOz)</f>
        <v/>
      </c>
      <c r="O4576" s="59">
        <f>IF(tblMovement[[#This Row],[Is_Ore]]=1,tblMovement[[#This Row],[Contained_oz]],0)</f>
        <v/>
      </c>
    </row>
    <row r="4577">
      <c r="A4577" s="54" t="n"/>
      <c r="B4577" s="61" t="n"/>
      <c r="C4577" s="61" t="n"/>
      <c r="D4577" s="61" t="n"/>
      <c r="E4577" s="61" t="n"/>
      <c r="F4577" s="55" t="n"/>
      <c r="G4577" s="56" t="n"/>
      <c r="H4577" s="55" t="n"/>
      <c r="I4577" s="62" t="n"/>
      <c r="J4577" s="58" t="n"/>
      <c r="K4577" s="63">
        <f>IF(tblMovement[[#This Row],[Source]]="","",IFERROR(INDEX(tblSources[Type],MATCH(tblMovement[[#This Row],[Source]],tblSources[Source],0)),"?"))</f>
        <v/>
      </c>
      <c r="L4577" s="63">
        <f>IF(tblMovement[[#This Row],[Destination]]="","",IFERROR(INDEX(tblDestinations[Type],MATCH(tblMovement[[#This Row],[Destination]],tblDestinations[Destination],0)),"?"))</f>
        <v/>
      </c>
      <c r="M4577" s="64">
        <f>IF(tblMovement[[#This Row],[Material]]="","",IF(LEFT(tblMovement[[#This Row],[Material]],3)="Ore",1,0))</f>
        <v/>
      </c>
      <c r="N4577" s="59">
        <f>IF(OR(tblMovement[[#This Row],[Tonnes_t]]="",tblMovement[[#This Row],[Grade_gpt]]=""),0,tblMovement[[#This Row],[Tonnes_t]]*tblMovement[[#This Row],[Grade_gpt]]/cfg_TroyOz)</f>
        <v/>
      </c>
      <c r="O4577" s="59">
        <f>IF(tblMovement[[#This Row],[Is_Ore]]=1,tblMovement[[#This Row],[Contained_oz]],0)</f>
        <v/>
      </c>
    </row>
    <row r="4578">
      <c r="A4578" s="54" t="n"/>
      <c r="B4578" s="61" t="n"/>
      <c r="C4578" s="61" t="n"/>
      <c r="D4578" s="61" t="n"/>
      <c r="E4578" s="61" t="n"/>
      <c r="F4578" s="55" t="n"/>
      <c r="G4578" s="56" t="n"/>
      <c r="H4578" s="55" t="n"/>
      <c r="I4578" s="62" t="n"/>
      <c r="J4578" s="58" t="n"/>
      <c r="K4578" s="63">
        <f>IF(tblMovement[[#This Row],[Source]]="","",IFERROR(INDEX(tblSources[Type],MATCH(tblMovement[[#This Row],[Source]],tblSources[Source],0)),"?"))</f>
        <v/>
      </c>
      <c r="L4578" s="63">
        <f>IF(tblMovement[[#This Row],[Destination]]="","",IFERROR(INDEX(tblDestinations[Type],MATCH(tblMovement[[#This Row],[Destination]],tblDestinations[Destination],0)),"?"))</f>
        <v/>
      </c>
      <c r="M4578" s="64">
        <f>IF(tblMovement[[#This Row],[Material]]="","",IF(LEFT(tblMovement[[#This Row],[Material]],3)="Ore",1,0))</f>
        <v/>
      </c>
      <c r="N4578" s="59">
        <f>IF(OR(tblMovement[[#This Row],[Tonnes_t]]="",tblMovement[[#This Row],[Grade_gpt]]=""),0,tblMovement[[#This Row],[Tonnes_t]]*tblMovement[[#This Row],[Grade_gpt]]/cfg_TroyOz)</f>
        <v/>
      </c>
      <c r="O4578" s="59">
        <f>IF(tblMovement[[#This Row],[Is_Ore]]=1,tblMovement[[#This Row],[Contained_oz]],0)</f>
        <v/>
      </c>
    </row>
    <row r="4579">
      <c r="A4579" s="54" t="n"/>
      <c r="B4579" s="61" t="n"/>
      <c r="C4579" s="61" t="n"/>
      <c r="D4579" s="61" t="n"/>
      <c r="E4579" s="61" t="n"/>
      <c r="F4579" s="55" t="n"/>
      <c r="G4579" s="56" t="n"/>
      <c r="H4579" s="55" t="n"/>
      <c r="I4579" s="62" t="n"/>
      <c r="J4579" s="58" t="n"/>
      <c r="K4579" s="63">
        <f>IF(tblMovement[[#This Row],[Source]]="","",IFERROR(INDEX(tblSources[Type],MATCH(tblMovement[[#This Row],[Source]],tblSources[Source],0)),"?"))</f>
        <v/>
      </c>
      <c r="L4579" s="63">
        <f>IF(tblMovement[[#This Row],[Destination]]="","",IFERROR(INDEX(tblDestinations[Type],MATCH(tblMovement[[#This Row],[Destination]],tblDestinations[Destination],0)),"?"))</f>
        <v/>
      </c>
      <c r="M4579" s="64">
        <f>IF(tblMovement[[#This Row],[Material]]="","",IF(LEFT(tblMovement[[#This Row],[Material]],3)="Ore",1,0))</f>
        <v/>
      </c>
      <c r="N4579" s="59">
        <f>IF(OR(tblMovement[[#This Row],[Tonnes_t]]="",tblMovement[[#This Row],[Grade_gpt]]=""),0,tblMovement[[#This Row],[Tonnes_t]]*tblMovement[[#This Row],[Grade_gpt]]/cfg_TroyOz)</f>
        <v/>
      </c>
      <c r="O4579" s="59">
        <f>IF(tblMovement[[#This Row],[Is_Ore]]=1,tblMovement[[#This Row],[Contained_oz]],0)</f>
        <v/>
      </c>
    </row>
    <row r="4580">
      <c r="A4580" s="54" t="n"/>
      <c r="B4580" s="61" t="n"/>
      <c r="C4580" s="61" t="n"/>
      <c r="D4580" s="61" t="n"/>
      <c r="E4580" s="61" t="n"/>
      <c r="F4580" s="55" t="n"/>
      <c r="G4580" s="56" t="n"/>
      <c r="H4580" s="55" t="n"/>
      <c r="I4580" s="62" t="n"/>
      <c r="J4580" s="58" t="n"/>
      <c r="K4580" s="63">
        <f>IF(tblMovement[[#This Row],[Source]]="","",IFERROR(INDEX(tblSources[Type],MATCH(tblMovement[[#This Row],[Source]],tblSources[Source],0)),"?"))</f>
        <v/>
      </c>
      <c r="L4580" s="63">
        <f>IF(tblMovement[[#This Row],[Destination]]="","",IFERROR(INDEX(tblDestinations[Type],MATCH(tblMovement[[#This Row],[Destination]],tblDestinations[Destination],0)),"?"))</f>
        <v/>
      </c>
      <c r="M4580" s="64">
        <f>IF(tblMovement[[#This Row],[Material]]="","",IF(LEFT(tblMovement[[#This Row],[Material]],3)="Ore",1,0))</f>
        <v/>
      </c>
      <c r="N4580" s="59">
        <f>IF(OR(tblMovement[[#This Row],[Tonnes_t]]="",tblMovement[[#This Row],[Grade_gpt]]=""),0,tblMovement[[#This Row],[Tonnes_t]]*tblMovement[[#This Row],[Grade_gpt]]/cfg_TroyOz)</f>
        <v/>
      </c>
      <c r="O4580" s="59">
        <f>IF(tblMovement[[#This Row],[Is_Ore]]=1,tblMovement[[#This Row],[Contained_oz]],0)</f>
        <v/>
      </c>
    </row>
    <row r="4581">
      <c r="A4581" s="54" t="n"/>
      <c r="B4581" s="61" t="n"/>
      <c r="C4581" s="61" t="n"/>
      <c r="D4581" s="61" t="n"/>
      <c r="E4581" s="61" t="n"/>
      <c r="F4581" s="55" t="n"/>
      <c r="G4581" s="56" t="n"/>
      <c r="H4581" s="55" t="n"/>
      <c r="I4581" s="62" t="n"/>
      <c r="J4581" s="58" t="n"/>
      <c r="K4581" s="63">
        <f>IF(tblMovement[[#This Row],[Source]]="","",IFERROR(INDEX(tblSources[Type],MATCH(tblMovement[[#This Row],[Source]],tblSources[Source],0)),"?"))</f>
        <v/>
      </c>
      <c r="L4581" s="63">
        <f>IF(tblMovement[[#This Row],[Destination]]="","",IFERROR(INDEX(tblDestinations[Type],MATCH(tblMovement[[#This Row],[Destination]],tblDestinations[Destination],0)),"?"))</f>
        <v/>
      </c>
      <c r="M4581" s="64">
        <f>IF(tblMovement[[#This Row],[Material]]="","",IF(LEFT(tblMovement[[#This Row],[Material]],3)="Ore",1,0))</f>
        <v/>
      </c>
      <c r="N4581" s="59">
        <f>IF(OR(tblMovement[[#This Row],[Tonnes_t]]="",tblMovement[[#This Row],[Grade_gpt]]=""),0,tblMovement[[#This Row],[Tonnes_t]]*tblMovement[[#This Row],[Grade_gpt]]/cfg_TroyOz)</f>
        <v/>
      </c>
      <c r="O4581" s="59">
        <f>IF(tblMovement[[#This Row],[Is_Ore]]=1,tblMovement[[#This Row],[Contained_oz]],0)</f>
        <v/>
      </c>
    </row>
    <row r="4582">
      <c r="A4582" s="54" t="n"/>
      <c r="B4582" s="61" t="n"/>
      <c r="C4582" s="61" t="n"/>
      <c r="D4582" s="61" t="n"/>
      <c r="E4582" s="61" t="n"/>
      <c r="F4582" s="55" t="n"/>
      <c r="G4582" s="56" t="n"/>
      <c r="H4582" s="55" t="n"/>
      <c r="I4582" s="62" t="n"/>
      <c r="J4582" s="58" t="n"/>
      <c r="K4582" s="63">
        <f>IF(tblMovement[[#This Row],[Source]]="","",IFERROR(INDEX(tblSources[Type],MATCH(tblMovement[[#This Row],[Source]],tblSources[Source],0)),"?"))</f>
        <v/>
      </c>
      <c r="L4582" s="63">
        <f>IF(tblMovement[[#This Row],[Destination]]="","",IFERROR(INDEX(tblDestinations[Type],MATCH(tblMovement[[#This Row],[Destination]],tblDestinations[Destination],0)),"?"))</f>
        <v/>
      </c>
      <c r="M4582" s="64">
        <f>IF(tblMovement[[#This Row],[Material]]="","",IF(LEFT(tblMovement[[#This Row],[Material]],3)="Ore",1,0))</f>
        <v/>
      </c>
      <c r="N4582" s="59">
        <f>IF(OR(tblMovement[[#This Row],[Tonnes_t]]="",tblMovement[[#This Row],[Grade_gpt]]=""),0,tblMovement[[#This Row],[Tonnes_t]]*tblMovement[[#This Row],[Grade_gpt]]/cfg_TroyOz)</f>
        <v/>
      </c>
      <c r="O4582" s="59">
        <f>IF(tblMovement[[#This Row],[Is_Ore]]=1,tblMovement[[#This Row],[Contained_oz]],0)</f>
        <v/>
      </c>
    </row>
    <row r="4583">
      <c r="A4583" s="54" t="n"/>
      <c r="B4583" s="61" t="n"/>
      <c r="C4583" s="61" t="n"/>
      <c r="D4583" s="61" t="n"/>
      <c r="E4583" s="61" t="n"/>
      <c r="F4583" s="55" t="n"/>
      <c r="G4583" s="56" t="n"/>
      <c r="H4583" s="55" t="n"/>
      <c r="I4583" s="62" t="n"/>
      <c r="J4583" s="58" t="n"/>
      <c r="K4583" s="63">
        <f>IF(tblMovement[[#This Row],[Source]]="","",IFERROR(INDEX(tblSources[Type],MATCH(tblMovement[[#This Row],[Source]],tblSources[Source],0)),"?"))</f>
        <v/>
      </c>
      <c r="L4583" s="63">
        <f>IF(tblMovement[[#This Row],[Destination]]="","",IFERROR(INDEX(tblDestinations[Type],MATCH(tblMovement[[#This Row],[Destination]],tblDestinations[Destination],0)),"?"))</f>
        <v/>
      </c>
      <c r="M4583" s="64">
        <f>IF(tblMovement[[#This Row],[Material]]="","",IF(LEFT(tblMovement[[#This Row],[Material]],3)="Ore",1,0))</f>
        <v/>
      </c>
      <c r="N4583" s="59">
        <f>IF(OR(tblMovement[[#This Row],[Tonnes_t]]="",tblMovement[[#This Row],[Grade_gpt]]=""),0,tblMovement[[#This Row],[Tonnes_t]]*tblMovement[[#This Row],[Grade_gpt]]/cfg_TroyOz)</f>
        <v/>
      </c>
      <c r="O4583" s="59">
        <f>IF(tblMovement[[#This Row],[Is_Ore]]=1,tblMovement[[#This Row],[Contained_oz]],0)</f>
        <v/>
      </c>
    </row>
    <row r="4584">
      <c r="A4584" s="54" t="n"/>
      <c r="B4584" s="61" t="n"/>
      <c r="C4584" s="61" t="n"/>
      <c r="D4584" s="61" t="n"/>
      <c r="E4584" s="61" t="n"/>
      <c r="F4584" s="55" t="n"/>
      <c r="G4584" s="56" t="n"/>
      <c r="H4584" s="55" t="n"/>
      <c r="I4584" s="62" t="n"/>
      <c r="J4584" s="58" t="n"/>
      <c r="K4584" s="63">
        <f>IF(tblMovement[[#This Row],[Source]]="","",IFERROR(INDEX(tblSources[Type],MATCH(tblMovement[[#This Row],[Source]],tblSources[Source],0)),"?"))</f>
        <v/>
      </c>
      <c r="L4584" s="63">
        <f>IF(tblMovement[[#This Row],[Destination]]="","",IFERROR(INDEX(tblDestinations[Type],MATCH(tblMovement[[#This Row],[Destination]],tblDestinations[Destination],0)),"?"))</f>
        <v/>
      </c>
      <c r="M4584" s="64">
        <f>IF(tblMovement[[#This Row],[Material]]="","",IF(LEFT(tblMovement[[#This Row],[Material]],3)="Ore",1,0))</f>
        <v/>
      </c>
      <c r="N4584" s="59">
        <f>IF(OR(tblMovement[[#This Row],[Tonnes_t]]="",tblMovement[[#This Row],[Grade_gpt]]=""),0,tblMovement[[#This Row],[Tonnes_t]]*tblMovement[[#This Row],[Grade_gpt]]/cfg_TroyOz)</f>
        <v/>
      </c>
      <c r="O4584" s="59">
        <f>IF(tblMovement[[#This Row],[Is_Ore]]=1,tblMovement[[#This Row],[Contained_oz]],0)</f>
        <v/>
      </c>
    </row>
    <row r="4585">
      <c r="A4585" s="54" t="n"/>
      <c r="B4585" s="61" t="n"/>
      <c r="C4585" s="61" t="n"/>
      <c r="D4585" s="61" t="n"/>
      <c r="E4585" s="61" t="n"/>
      <c r="F4585" s="55" t="n"/>
      <c r="G4585" s="56" t="n"/>
      <c r="H4585" s="55" t="n"/>
      <c r="I4585" s="62" t="n"/>
      <c r="J4585" s="58" t="n"/>
      <c r="K4585" s="63">
        <f>IF(tblMovement[[#This Row],[Source]]="","",IFERROR(INDEX(tblSources[Type],MATCH(tblMovement[[#This Row],[Source]],tblSources[Source],0)),"?"))</f>
        <v/>
      </c>
      <c r="L4585" s="63">
        <f>IF(tblMovement[[#This Row],[Destination]]="","",IFERROR(INDEX(tblDestinations[Type],MATCH(tblMovement[[#This Row],[Destination]],tblDestinations[Destination],0)),"?"))</f>
        <v/>
      </c>
      <c r="M4585" s="64">
        <f>IF(tblMovement[[#This Row],[Material]]="","",IF(LEFT(tblMovement[[#This Row],[Material]],3)="Ore",1,0))</f>
        <v/>
      </c>
      <c r="N4585" s="59">
        <f>IF(OR(tblMovement[[#This Row],[Tonnes_t]]="",tblMovement[[#This Row],[Grade_gpt]]=""),0,tblMovement[[#This Row],[Tonnes_t]]*tblMovement[[#This Row],[Grade_gpt]]/cfg_TroyOz)</f>
        <v/>
      </c>
      <c r="O4585" s="59">
        <f>IF(tblMovement[[#This Row],[Is_Ore]]=1,tblMovement[[#This Row],[Contained_oz]],0)</f>
        <v/>
      </c>
    </row>
    <row r="4586">
      <c r="A4586" s="54" t="n"/>
      <c r="B4586" s="61" t="n"/>
      <c r="C4586" s="61" t="n"/>
      <c r="D4586" s="61" t="n"/>
      <c r="E4586" s="61" t="n"/>
      <c r="F4586" s="55" t="n"/>
      <c r="G4586" s="56" t="n"/>
      <c r="H4586" s="55" t="n"/>
      <c r="I4586" s="62" t="n"/>
      <c r="J4586" s="58" t="n"/>
      <c r="K4586" s="63">
        <f>IF(tblMovement[[#This Row],[Source]]="","",IFERROR(INDEX(tblSources[Type],MATCH(tblMovement[[#This Row],[Source]],tblSources[Source],0)),"?"))</f>
        <v/>
      </c>
      <c r="L4586" s="63">
        <f>IF(tblMovement[[#This Row],[Destination]]="","",IFERROR(INDEX(tblDestinations[Type],MATCH(tblMovement[[#This Row],[Destination]],tblDestinations[Destination],0)),"?"))</f>
        <v/>
      </c>
      <c r="M4586" s="64">
        <f>IF(tblMovement[[#This Row],[Material]]="","",IF(LEFT(tblMovement[[#This Row],[Material]],3)="Ore",1,0))</f>
        <v/>
      </c>
      <c r="N4586" s="59">
        <f>IF(OR(tblMovement[[#This Row],[Tonnes_t]]="",tblMovement[[#This Row],[Grade_gpt]]=""),0,tblMovement[[#This Row],[Tonnes_t]]*tblMovement[[#This Row],[Grade_gpt]]/cfg_TroyOz)</f>
        <v/>
      </c>
      <c r="O4586" s="59">
        <f>IF(tblMovement[[#This Row],[Is_Ore]]=1,tblMovement[[#This Row],[Contained_oz]],0)</f>
        <v/>
      </c>
    </row>
    <row r="4587">
      <c r="A4587" s="54" t="n"/>
      <c r="B4587" s="61" t="n"/>
      <c r="C4587" s="61" t="n"/>
      <c r="D4587" s="61" t="n"/>
      <c r="E4587" s="61" t="n"/>
      <c r="F4587" s="55" t="n"/>
      <c r="G4587" s="56" t="n"/>
      <c r="H4587" s="55" t="n"/>
      <c r="I4587" s="62" t="n"/>
      <c r="J4587" s="58" t="n"/>
      <c r="K4587" s="63">
        <f>IF(tblMovement[[#This Row],[Source]]="","",IFERROR(INDEX(tblSources[Type],MATCH(tblMovement[[#This Row],[Source]],tblSources[Source],0)),"?"))</f>
        <v/>
      </c>
      <c r="L4587" s="63">
        <f>IF(tblMovement[[#This Row],[Destination]]="","",IFERROR(INDEX(tblDestinations[Type],MATCH(tblMovement[[#This Row],[Destination]],tblDestinations[Destination],0)),"?"))</f>
        <v/>
      </c>
      <c r="M4587" s="64">
        <f>IF(tblMovement[[#This Row],[Material]]="","",IF(LEFT(tblMovement[[#This Row],[Material]],3)="Ore",1,0))</f>
        <v/>
      </c>
      <c r="N4587" s="59">
        <f>IF(OR(tblMovement[[#This Row],[Tonnes_t]]="",tblMovement[[#This Row],[Grade_gpt]]=""),0,tblMovement[[#This Row],[Tonnes_t]]*tblMovement[[#This Row],[Grade_gpt]]/cfg_TroyOz)</f>
        <v/>
      </c>
      <c r="O4587" s="59">
        <f>IF(tblMovement[[#This Row],[Is_Ore]]=1,tblMovement[[#This Row],[Contained_oz]],0)</f>
        <v/>
      </c>
    </row>
    <row r="4588">
      <c r="A4588" s="54" t="n"/>
      <c r="B4588" s="61" t="n"/>
      <c r="C4588" s="61" t="n"/>
      <c r="D4588" s="61" t="n"/>
      <c r="E4588" s="61" t="n"/>
      <c r="F4588" s="55" t="n"/>
      <c r="G4588" s="56" t="n"/>
      <c r="H4588" s="55" t="n"/>
      <c r="I4588" s="62" t="n"/>
      <c r="J4588" s="58" t="n"/>
      <c r="K4588" s="63">
        <f>IF(tblMovement[[#This Row],[Source]]="","",IFERROR(INDEX(tblSources[Type],MATCH(tblMovement[[#This Row],[Source]],tblSources[Source],0)),"?"))</f>
        <v/>
      </c>
      <c r="L4588" s="63">
        <f>IF(tblMovement[[#This Row],[Destination]]="","",IFERROR(INDEX(tblDestinations[Type],MATCH(tblMovement[[#This Row],[Destination]],tblDestinations[Destination],0)),"?"))</f>
        <v/>
      </c>
      <c r="M4588" s="64">
        <f>IF(tblMovement[[#This Row],[Material]]="","",IF(LEFT(tblMovement[[#This Row],[Material]],3)="Ore",1,0))</f>
        <v/>
      </c>
      <c r="N4588" s="59">
        <f>IF(OR(tblMovement[[#This Row],[Tonnes_t]]="",tblMovement[[#This Row],[Grade_gpt]]=""),0,tblMovement[[#This Row],[Tonnes_t]]*tblMovement[[#This Row],[Grade_gpt]]/cfg_TroyOz)</f>
        <v/>
      </c>
      <c r="O4588" s="59">
        <f>IF(tblMovement[[#This Row],[Is_Ore]]=1,tblMovement[[#This Row],[Contained_oz]],0)</f>
        <v/>
      </c>
    </row>
    <row r="4589">
      <c r="A4589" s="54" t="n"/>
      <c r="B4589" s="61" t="n"/>
      <c r="C4589" s="61" t="n"/>
      <c r="D4589" s="61" t="n"/>
      <c r="E4589" s="61" t="n"/>
      <c r="F4589" s="55" t="n"/>
      <c r="G4589" s="56" t="n"/>
      <c r="H4589" s="55" t="n"/>
      <c r="I4589" s="62" t="n"/>
      <c r="J4589" s="58" t="n"/>
      <c r="K4589" s="63">
        <f>IF(tblMovement[[#This Row],[Source]]="","",IFERROR(INDEX(tblSources[Type],MATCH(tblMovement[[#This Row],[Source]],tblSources[Source],0)),"?"))</f>
        <v/>
      </c>
      <c r="L4589" s="63">
        <f>IF(tblMovement[[#This Row],[Destination]]="","",IFERROR(INDEX(tblDestinations[Type],MATCH(tblMovement[[#This Row],[Destination]],tblDestinations[Destination],0)),"?"))</f>
        <v/>
      </c>
      <c r="M4589" s="64">
        <f>IF(tblMovement[[#This Row],[Material]]="","",IF(LEFT(tblMovement[[#This Row],[Material]],3)="Ore",1,0))</f>
        <v/>
      </c>
      <c r="N4589" s="59">
        <f>IF(OR(tblMovement[[#This Row],[Tonnes_t]]="",tblMovement[[#This Row],[Grade_gpt]]=""),0,tblMovement[[#This Row],[Tonnes_t]]*tblMovement[[#This Row],[Grade_gpt]]/cfg_TroyOz)</f>
        <v/>
      </c>
      <c r="O4589" s="59">
        <f>IF(tblMovement[[#This Row],[Is_Ore]]=1,tblMovement[[#This Row],[Contained_oz]],0)</f>
        <v/>
      </c>
    </row>
    <row r="4590">
      <c r="A4590" s="54" t="n"/>
      <c r="B4590" s="61" t="n"/>
      <c r="C4590" s="61" t="n"/>
      <c r="D4590" s="61" t="n"/>
      <c r="E4590" s="61" t="n"/>
      <c r="F4590" s="55" t="n"/>
      <c r="G4590" s="56" t="n"/>
      <c r="H4590" s="55" t="n"/>
      <c r="I4590" s="62" t="n"/>
      <c r="J4590" s="58" t="n"/>
      <c r="K4590" s="63">
        <f>IF(tblMovement[[#This Row],[Source]]="","",IFERROR(INDEX(tblSources[Type],MATCH(tblMovement[[#This Row],[Source]],tblSources[Source],0)),"?"))</f>
        <v/>
      </c>
      <c r="L4590" s="63">
        <f>IF(tblMovement[[#This Row],[Destination]]="","",IFERROR(INDEX(tblDestinations[Type],MATCH(tblMovement[[#This Row],[Destination]],tblDestinations[Destination],0)),"?"))</f>
        <v/>
      </c>
      <c r="M4590" s="64">
        <f>IF(tblMovement[[#This Row],[Material]]="","",IF(LEFT(tblMovement[[#This Row],[Material]],3)="Ore",1,0))</f>
        <v/>
      </c>
      <c r="N4590" s="59">
        <f>IF(OR(tblMovement[[#This Row],[Tonnes_t]]="",tblMovement[[#This Row],[Grade_gpt]]=""),0,tblMovement[[#This Row],[Tonnes_t]]*tblMovement[[#This Row],[Grade_gpt]]/cfg_TroyOz)</f>
        <v/>
      </c>
      <c r="O4590" s="59">
        <f>IF(tblMovement[[#This Row],[Is_Ore]]=1,tblMovement[[#This Row],[Contained_oz]],0)</f>
        <v/>
      </c>
    </row>
    <row r="4591">
      <c r="A4591" s="54" t="n"/>
      <c r="B4591" s="61" t="n"/>
      <c r="C4591" s="61" t="n"/>
      <c r="D4591" s="61" t="n"/>
      <c r="E4591" s="61" t="n"/>
      <c r="F4591" s="55" t="n"/>
      <c r="G4591" s="56" t="n"/>
      <c r="H4591" s="55" t="n"/>
      <c r="I4591" s="62" t="n"/>
      <c r="J4591" s="58" t="n"/>
      <c r="K4591" s="63">
        <f>IF(tblMovement[[#This Row],[Source]]="","",IFERROR(INDEX(tblSources[Type],MATCH(tblMovement[[#This Row],[Source]],tblSources[Source],0)),"?"))</f>
        <v/>
      </c>
      <c r="L4591" s="63">
        <f>IF(tblMovement[[#This Row],[Destination]]="","",IFERROR(INDEX(tblDestinations[Type],MATCH(tblMovement[[#This Row],[Destination]],tblDestinations[Destination],0)),"?"))</f>
        <v/>
      </c>
      <c r="M4591" s="64">
        <f>IF(tblMovement[[#This Row],[Material]]="","",IF(LEFT(tblMovement[[#This Row],[Material]],3)="Ore",1,0))</f>
        <v/>
      </c>
      <c r="N4591" s="59">
        <f>IF(OR(tblMovement[[#This Row],[Tonnes_t]]="",tblMovement[[#This Row],[Grade_gpt]]=""),0,tblMovement[[#This Row],[Tonnes_t]]*tblMovement[[#This Row],[Grade_gpt]]/cfg_TroyOz)</f>
        <v/>
      </c>
      <c r="O4591" s="59">
        <f>IF(tblMovement[[#This Row],[Is_Ore]]=1,tblMovement[[#This Row],[Contained_oz]],0)</f>
        <v/>
      </c>
    </row>
    <row r="4592">
      <c r="A4592" s="54" t="n"/>
      <c r="B4592" s="61" t="n"/>
      <c r="C4592" s="61" t="n"/>
      <c r="D4592" s="61" t="n"/>
      <c r="E4592" s="61" t="n"/>
      <c r="F4592" s="55" t="n"/>
      <c r="G4592" s="56" t="n"/>
      <c r="H4592" s="55" t="n"/>
      <c r="I4592" s="62" t="n"/>
      <c r="J4592" s="58" t="n"/>
      <c r="K4592" s="63">
        <f>IF(tblMovement[[#This Row],[Source]]="","",IFERROR(INDEX(tblSources[Type],MATCH(tblMovement[[#This Row],[Source]],tblSources[Source],0)),"?"))</f>
        <v/>
      </c>
      <c r="L4592" s="63">
        <f>IF(tblMovement[[#This Row],[Destination]]="","",IFERROR(INDEX(tblDestinations[Type],MATCH(tblMovement[[#This Row],[Destination]],tblDestinations[Destination],0)),"?"))</f>
        <v/>
      </c>
      <c r="M4592" s="64">
        <f>IF(tblMovement[[#This Row],[Material]]="","",IF(LEFT(tblMovement[[#This Row],[Material]],3)="Ore",1,0))</f>
        <v/>
      </c>
      <c r="N4592" s="59">
        <f>IF(OR(tblMovement[[#This Row],[Tonnes_t]]="",tblMovement[[#This Row],[Grade_gpt]]=""),0,tblMovement[[#This Row],[Tonnes_t]]*tblMovement[[#This Row],[Grade_gpt]]/cfg_TroyOz)</f>
        <v/>
      </c>
      <c r="O4592" s="59">
        <f>IF(tblMovement[[#This Row],[Is_Ore]]=1,tblMovement[[#This Row],[Contained_oz]],0)</f>
        <v/>
      </c>
    </row>
    <row r="4593">
      <c r="A4593" s="54" t="n"/>
      <c r="B4593" s="61" t="n"/>
      <c r="C4593" s="61" t="n"/>
      <c r="D4593" s="61" t="n"/>
      <c r="E4593" s="61" t="n"/>
      <c r="F4593" s="55" t="n"/>
      <c r="G4593" s="56" t="n"/>
      <c r="H4593" s="55" t="n"/>
      <c r="I4593" s="62" t="n"/>
      <c r="J4593" s="58" t="n"/>
      <c r="K4593" s="63">
        <f>IF(tblMovement[[#This Row],[Source]]="","",IFERROR(INDEX(tblSources[Type],MATCH(tblMovement[[#This Row],[Source]],tblSources[Source],0)),"?"))</f>
        <v/>
      </c>
      <c r="L4593" s="63">
        <f>IF(tblMovement[[#This Row],[Destination]]="","",IFERROR(INDEX(tblDestinations[Type],MATCH(tblMovement[[#This Row],[Destination]],tblDestinations[Destination],0)),"?"))</f>
        <v/>
      </c>
      <c r="M4593" s="64">
        <f>IF(tblMovement[[#This Row],[Material]]="","",IF(LEFT(tblMovement[[#This Row],[Material]],3)="Ore",1,0))</f>
        <v/>
      </c>
      <c r="N4593" s="59">
        <f>IF(OR(tblMovement[[#This Row],[Tonnes_t]]="",tblMovement[[#This Row],[Grade_gpt]]=""),0,tblMovement[[#This Row],[Tonnes_t]]*tblMovement[[#This Row],[Grade_gpt]]/cfg_TroyOz)</f>
        <v/>
      </c>
      <c r="O4593" s="59">
        <f>IF(tblMovement[[#This Row],[Is_Ore]]=1,tblMovement[[#This Row],[Contained_oz]],0)</f>
        <v/>
      </c>
    </row>
    <row r="4594">
      <c r="A4594" s="54" t="n"/>
      <c r="B4594" s="61" t="n"/>
      <c r="C4594" s="61" t="n"/>
      <c r="D4594" s="61" t="n"/>
      <c r="E4594" s="61" t="n"/>
      <c r="F4594" s="55" t="n"/>
      <c r="G4594" s="56" t="n"/>
      <c r="H4594" s="55" t="n"/>
      <c r="I4594" s="62" t="n"/>
      <c r="J4594" s="58" t="n"/>
      <c r="K4594" s="63">
        <f>IF(tblMovement[[#This Row],[Source]]="","",IFERROR(INDEX(tblSources[Type],MATCH(tblMovement[[#This Row],[Source]],tblSources[Source],0)),"?"))</f>
        <v/>
      </c>
      <c r="L4594" s="63">
        <f>IF(tblMovement[[#This Row],[Destination]]="","",IFERROR(INDEX(tblDestinations[Type],MATCH(tblMovement[[#This Row],[Destination]],tblDestinations[Destination],0)),"?"))</f>
        <v/>
      </c>
      <c r="M4594" s="64">
        <f>IF(tblMovement[[#This Row],[Material]]="","",IF(LEFT(tblMovement[[#This Row],[Material]],3)="Ore",1,0))</f>
        <v/>
      </c>
      <c r="N4594" s="59">
        <f>IF(OR(tblMovement[[#This Row],[Tonnes_t]]="",tblMovement[[#This Row],[Grade_gpt]]=""),0,tblMovement[[#This Row],[Tonnes_t]]*tblMovement[[#This Row],[Grade_gpt]]/cfg_TroyOz)</f>
        <v/>
      </c>
      <c r="O4594" s="59">
        <f>IF(tblMovement[[#This Row],[Is_Ore]]=1,tblMovement[[#This Row],[Contained_oz]],0)</f>
        <v/>
      </c>
    </row>
    <row r="4595">
      <c r="A4595" s="54" t="n"/>
      <c r="B4595" s="61" t="n"/>
      <c r="C4595" s="61" t="n"/>
      <c r="D4595" s="61" t="n"/>
      <c r="E4595" s="61" t="n"/>
      <c r="F4595" s="55" t="n"/>
      <c r="G4595" s="56" t="n"/>
      <c r="H4595" s="55" t="n"/>
      <c r="I4595" s="62" t="n"/>
      <c r="J4595" s="58" t="n"/>
      <c r="K4595" s="63">
        <f>IF(tblMovement[[#This Row],[Source]]="","",IFERROR(INDEX(tblSources[Type],MATCH(tblMovement[[#This Row],[Source]],tblSources[Source],0)),"?"))</f>
        <v/>
      </c>
      <c r="L4595" s="63">
        <f>IF(tblMovement[[#This Row],[Destination]]="","",IFERROR(INDEX(tblDestinations[Type],MATCH(tblMovement[[#This Row],[Destination]],tblDestinations[Destination],0)),"?"))</f>
        <v/>
      </c>
      <c r="M4595" s="64">
        <f>IF(tblMovement[[#This Row],[Material]]="","",IF(LEFT(tblMovement[[#This Row],[Material]],3)="Ore",1,0))</f>
        <v/>
      </c>
      <c r="N4595" s="59">
        <f>IF(OR(tblMovement[[#This Row],[Tonnes_t]]="",tblMovement[[#This Row],[Grade_gpt]]=""),0,tblMovement[[#This Row],[Tonnes_t]]*tblMovement[[#This Row],[Grade_gpt]]/cfg_TroyOz)</f>
        <v/>
      </c>
      <c r="O4595" s="59">
        <f>IF(tblMovement[[#This Row],[Is_Ore]]=1,tblMovement[[#This Row],[Contained_oz]],0)</f>
        <v/>
      </c>
    </row>
    <row r="4596">
      <c r="A4596" s="54" t="n"/>
      <c r="B4596" s="61" t="n"/>
      <c r="C4596" s="61" t="n"/>
      <c r="D4596" s="61" t="n"/>
      <c r="E4596" s="61" t="n"/>
      <c r="F4596" s="55" t="n"/>
      <c r="G4596" s="56" t="n"/>
      <c r="H4596" s="55" t="n"/>
      <c r="I4596" s="62" t="n"/>
      <c r="J4596" s="58" t="n"/>
      <c r="K4596" s="63">
        <f>IF(tblMovement[[#This Row],[Source]]="","",IFERROR(INDEX(tblSources[Type],MATCH(tblMovement[[#This Row],[Source]],tblSources[Source],0)),"?"))</f>
        <v/>
      </c>
      <c r="L4596" s="63">
        <f>IF(tblMovement[[#This Row],[Destination]]="","",IFERROR(INDEX(tblDestinations[Type],MATCH(tblMovement[[#This Row],[Destination]],tblDestinations[Destination],0)),"?"))</f>
        <v/>
      </c>
      <c r="M4596" s="64">
        <f>IF(tblMovement[[#This Row],[Material]]="","",IF(LEFT(tblMovement[[#This Row],[Material]],3)="Ore",1,0))</f>
        <v/>
      </c>
      <c r="N4596" s="59">
        <f>IF(OR(tblMovement[[#This Row],[Tonnes_t]]="",tblMovement[[#This Row],[Grade_gpt]]=""),0,tblMovement[[#This Row],[Tonnes_t]]*tblMovement[[#This Row],[Grade_gpt]]/cfg_TroyOz)</f>
        <v/>
      </c>
      <c r="O4596" s="59">
        <f>IF(tblMovement[[#This Row],[Is_Ore]]=1,tblMovement[[#This Row],[Contained_oz]],0)</f>
        <v/>
      </c>
    </row>
    <row r="4597">
      <c r="A4597" s="54" t="n"/>
      <c r="B4597" s="61" t="n"/>
      <c r="C4597" s="61" t="n"/>
      <c r="D4597" s="61" t="n"/>
      <c r="E4597" s="61" t="n"/>
      <c r="F4597" s="55" t="n"/>
      <c r="G4597" s="56" t="n"/>
      <c r="H4597" s="55" t="n"/>
      <c r="I4597" s="62" t="n"/>
      <c r="J4597" s="58" t="n"/>
      <c r="K4597" s="63">
        <f>IF(tblMovement[[#This Row],[Source]]="","",IFERROR(INDEX(tblSources[Type],MATCH(tblMovement[[#This Row],[Source]],tblSources[Source],0)),"?"))</f>
        <v/>
      </c>
      <c r="L4597" s="63">
        <f>IF(tblMovement[[#This Row],[Destination]]="","",IFERROR(INDEX(tblDestinations[Type],MATCH(tblMovement[[#This Row],[Destination]],tblDestinations[Destination],0)),"?"))</f>
        <v/>
      </c>
      <c r="M4597" s="64">
        <f>IF(tblMovement[[#This Row],[Material]]="","",IF(LEFT(tblMovement[[#This Row],[Material]],3)="Ore",1,0))</f>
        <v/>
      </c>
      <c r="N4597" s="59">
        <f>IF(OR(tblMovement[[#This Row],[Tonnes_t]]="",tblMovement[[#This Row],[Grade_gpt]]=""),0,tblMovement[[#This Row],[Tonnes_t]]*tblMovement[[#This Row],[Grade_gpt]]/cfg_TroyOz)</f>
        <v/>
      </c>
      <c r="O4597" s="59">
        <f>IF(tblMovement[[#This Row],[Is_Ore]]=1,tblMovement[[#This Row],[Contained_oz]],0)</f>
        <v/>
      </c>
    </row>
    <row r="4598">
      <c r="A4598" s="54" t="n"/>
      <c r="B4598" s="61" t="n"/>
      <c r="C4598" s="61" t="n"/>
      <c r="D4598" s="61" t="n"/>
      <c r="E4598" s="61" t="n"/>
      <c r="F4598" s="55" t="n"/>
      <c r="G4598" s="56" t="n"/>
      <c r="H4598" s="55" t="n"/>
      <c r="I4598" s="62" t="n"/>
      <c r="J4598" s="58" t="n"/>
      <c r="K4598" s="63">
        <f>IF(tblMovement[[#This Row],[Source]]="","",IFERROR(INDEX(tblSources[Type],MATCH(tblMovement[[#This Row],[Source]],tblSources[Source],0)),"?"))</f>
        <v/>
      </c>
      <c r="L4598" s="63">
        <f>IF(tblMovement[[#This Row],[Destination]]="","",IFERROR(INDEX(tblDestinations[Type],MATCH(tblMovement[[#This Row],[Destination]],tblDestinations[Destination],0)),"?"))</f>
        <v/>
      </c>
      <c r="M4598" s="64">
        <f>IF(tblMovement[[#This Row],[Material]]="","",IF(LEFT(tblMovement[[#This Row],[Material]],3)="Ore",1,0))</f>
        <v/>
      </c>
      <c r="N4598" s="59">
        <f>IF(OR(tblMovement[[#This Row],[Tonnes_t]]="",tblMovement[[#This Row],[Grade_gpt]]=""),0,tblMovement[[#This Row],[Tonnes_t]]*tblMovement[[#This Row],[Grade_gpt]]/cfg_TroyOz)</f>
        <v/>
      </c>
      <c r="O4598" s="59">
        <f>IF(tblMovement[[#This Row],[Is_Ore]]=1,tblMovement[[#This Row],[Contained_oz]],0)</f>
        <v/>
      </c>
    </row>
    <row r="4599">
      <c r="A4599" s="54" t="n"/>
      <c r="B4599" s="61" t="n"/>
      <c r="C4599" s="61" t="n"/>
      <c r="D4599" s="61" t="n"/>
      <c r="E4599" s="61" t="n"/>
      <c r="F4599" s="55" t="n"/>
      <c r="G4599" s="56" t="n"/>
      <c r="H4599" s="55" t="n"/>
      <c r="I4599" s="62" t="n"/>
      <c r="J4599" s="58" t="n"/>
      <c r="K4599" s="63">
        <f>IF(tblMovement[[#This Row],[Source]]="","",IFERROR(INDEX(tblSources[Type],MATCH(tblMovement[[#This Row],[Source]],tblSources[Source],0)),"?"))</f>
        <v/>
      </c>
      <c r="L4599" s="63">
        <f>IF(tblMovement[[#This Row],[Destination]]="","",IFERROR(INDEX(tblDestinations[Type],MATCH(tblMovement[[#This Row],[Destination]],tblDestinations[Destination],0)),"?"))</f>
        <v/>
      </c>
      <c r="M4599" s="64">
        <f>IF(tblMovement[[#This Row],[Material]]="","",IF(LEFT(tblMovement[[#This Row],[Material]],3)="Ore",1,0))</f>
        <v/>
      </c>
      <c r="N4599" s="59">
        <f>IF(OR(tblMovement[[#This Row],[Tonnes_t]]="",tblMovement[[#This Row],[Grade_gpt]]=""),0,tblMovement[[#This Row],[Tonnes_t]]*tblMovement[[#This Row],[Grade_gpt]]/cfg_TroyOz)</f>
        <v/>
      </c>
      <c r="O4599" s="59">
        <f>IF(tblMovement[[#This Row],[Is_Ore]]=1,tblMovement[[#This Row],[Contained_oz]],0)</f>
        <v/>
      </c>
    </row>
    <row r="4600">
      <c r="A4600" s="54" t="n"/>
      <c r="B4600" s="61" t="n"/>
      <c r="C4600" s="61" t="n"/>
      <c r="D4600" s="61" t="n"/>
      <c r="E4600" s="61" t="n"/>
      <c r="F4600" s="55" t="n"/>
      <c r="G4600" s="56" t="n"/>
      <c r="H4600" s="55" t="n"/>
      <c r="I4600" s="62" t="n"/>
      <c r="J4600" s="58" t="n"/>
      <c r="K4600" s="63">
        <f>IF(tblMovement[[#This Row],[Source]]="","",IFERROR(INDEX(tblSources[Type],MATCH(tblMovement[[#This Row],[Source]],tblSources[Source],0)),"?"))</f>
        <v/>
      </c>
      <c r="L4600" s="63">
        <f>IF(tblMovement[[#This Row],[Destination]]="","",IFERROR(INDEX(tblDestinations[Type],MATCH(tblMovement[[#This Row],[Destination]],tblDestinations[Destination],0)),"?"))</f>
        <v/>
      </c>
      <c r="M4600" s="64">
        <f>IF(tblMovement[[#This Row],[Material]]="","",IF(LEFT(tblMovement[[#This Row],[Material]],3)="Ore",1,0))</f>
        <v/>
      </c>
      <c r="N4600" s="59">
        <f>IF(OR(tblMovement[[#This Row],[Tonnes_t]]="",tblMovement[[#This Row],[Grade_gpt]]=""),0,tblMovement[[#This Row],[Tonnes_t]]*tblMovement[[#This Row],[Grade_gpt]]/cfg_TroyOz)</f>
        <v/>
      </c>
      <c r="O4600" s="59">
        <f>IF(tblMovement[[#This Row],[Is_Ore]]=1,tblMovement[[#This Row],[Contained_oz]],0)</f>
        <v/>
      </c>
    </row>
    <row r="4601">
      <c r="A4601" s="54" t="n"/>
      <c r="B4601" s="61" t="n"/>
      <c r="C4601" s="61" t="n"/>
      <c r="D4601" s="61" t="n"/>
      <c r="E4601" s="61" t="n"/>
      <c r="F4601" s="55" t="n"/>
      <c r="G4601" s="56" t="n"/>
      <c r="H4601" s="55" t="n"/>
      <c r="I4601" s="62" t="n"/>
      <c r="J4601" s="58" t="n"/>
      <c r="K4601" s="63">
        <f>IF(tblMovement[[#This Row],[Source]]="","",IFERROR(INDEX(tblSources[Type],MATCH(tblMovement[[#This Row],[Source]],tblSources[Source],0)),"?"))</f>
        <v/>
      </c>
      <c r="L4601" s="63">
        <f>IF(tblMovement[[#This Row],[Destination]]="","",IFERROR(INDEX(tblDestinations[Type],MATCH(tblMovement[[#This Row],[Destination]],tblDestinations[Destination],0)),"?"))</f>
        <v/>
      </c>
      <c r="M4601" s="64">
        <f>IF(tblMovement[[#This Row],[Material]]="","",IF(LEFT(tblMovement[[#This Row],[Material]],3)="Ore",1,0))</f>
        <v/>
      </c>
      <c r="N4601" s="59">
        <f>IF(OR(tblMovement[[#This Row],[Tonnes_t]]="",tblMovement[[#This Row],[Grade_gpt]]=""),0,tblMovement[[#This Row],[Tonnes_t]]*tblMovement[[#This Row],[Grade_gpt]]/cfg_TroyOz)</f>
        <v/>
      </c>
      <c r="O4601" s="59">
        <f>IF(tblMovement[[#This Row],[Is_Ore]]=1,tblMovement[[#This Row],[Contained_oz]],0)</f>
        <v/>
      </c>
    </row>
    <row r="4602">
      <c r="A4602" s="54" t="n"/>
      <c r="B4602" s="61" t="n"/>
      <c r="C4602" s="61" t="n"/>
      <c r="D4602" s="61" t="n"/>
      <c r="E4602" s="61" t="n"/>
      <c r="F4602" s="55" t="n"/>
      <c r="G4602" s="56" t="n"/>
      <c r="H4602" s="55" t="n"/>
      <c r="I4602" s="62" t="n"/>
      <c r="J4602" s="58" t="n"/>
      <c r="K4602" s="63">
        <f>IF(tblMovement[[#This Row],[Source]]="","",IFERROR(INDEX(tblSources[Type],MATCH(tblMovement[[#This Row],[Source]],tblSources[Source],0)),"?"))</f>
        <v/>
      </c>
      <c r="L4602" s="63">
        <f>IF(tblMovement[[#This Row],[Destination]]="","",IFERROR(INDEX(tblDestinations[Type],MATCH(tblMovement[[#This Row],[Destination]],tblDestinations[Destination],0)),"?"))</f>
        <v/>
      </c>
      <c r="M4602" s="64">
        <f>IF(tblMovement[[#This Row],[Material]]="","",IF(LEFT(tblMovement[[#This Row],[Material]],3)="Ore",1,0))</f>
        <v/>
      </c>
      <c r="N4602" s="59">
        <f>IF(OR(tblMovement[[#This Row],[Tonnes_t]]="",tblMovement[[#This Row],[Grade_gpt]]=""),0,tblMovement[[#This Row],[Tonnes_t]]*tblMovement[[#This Row],[Grade_gpt]]/cfg_TroyOz)</f>
        <v/>
      </c>
      <c r="O4602" s="59">
        <f>IF(tblMovement[[#This Row],[Is_Ore]]=1,tblMovement[[#This Row],[Contained_oz]],0)</f>
        <v/>
      </c>
    </row>
    <row r="4603">
      <c r="A4603" s="54" t="n"/>
      <c r="B4603" s="61" t="n"/>
      <c r="C4603" s="61" t="n"/>
      <c r="D4603" s="61" t="n"/>
      <c r="E4603" s="61" t="n"/>
      <c r="F4603" s="55" t="n"/>
      <c r="G4603" s="56" t="n"/>
      <c r="H4603" s="55" t="n"/>
      <c r="I4603" s="62" t="n"/>
      <c r="J4603" s="58" t="n"/>
      <c r="K4603" s="63">
        <f>IF(tblMovement[[#This Row],[Source]]="","",IFERROR(INDEX(tblSources[Type],MATCH(tblMovement[[#This Row],[Source]],tblSources[Source],0)),"?"))</f>
        <v/>
      </c>
      <c r="L4603" s="63">
        <f>IF(tblMovement[[#This Row],[Destination]]="","",IFERROR(INDEX(tblDestinations[Type],MATCH(tblMovement[[#This Row],[Destination]],tblDestinations[Destination],0)),"?"))</f>
        <v/>
      </c>
      <c r="M4603" s="64">
        <f>IF(tblMovement[[#This Row],[Material]]="","",IF(LEFT(tblMovement[[#This Row],[Material]],3)="Ore",1,0))</f>
        <v/>
      </c>
      <c r="N4603" s="59">
        <f>IF(OR(tblMovement[[#This Row],[Tonnes_t]]="",tblMovement[[#This Row],[Grade_gpt]]=""),0,tblMovement[[#This Row],[Tonnes_t]]*tblMovement[[#This Row],[Grade_gpt]]/cfg_TroyOz)</f>
        <v/>
      </c>
      <c r="O4603" s="59">
        <f>IF(tblMovement[[#This Row],[Is_Ore]]=1,tblMovement[[#This Row],[Contained_oz]],0)</f>
        <v/>
      </c>
    </row>
    <row r="4604">
      <c r="A4604" s="54" t="n"/>
      <c r="B4604" s="61" t="n"/>
      <c r="C4604" s="61" t="n"/>
      <c r="D4604" s="61" t="n"/>
      <c r="E4604" s="61" t="n"/>
      <c r="F4604" s="55" t="n"/>
      <c r="G4604" s="56" t="n"/>
      <c r="H4604" s="55" t="n"/>
      <c r="I4604" s="62" t="n"/>
      <c r="J4604" s="58" t="n"/>
      <c r="K4604" s="63">
        <f>IF(tblMovement[[#This Row],[Source]]="","",IFERROR(INDEX(tblSources[Type],MATCH(tblMovement[[#This Row],[Source]],tblSources[Source],0)),"?"))</f>
        <v/>
      </c>
      <c r="L4604" s="63">
        <f>IF(tblMovement[[#This Row],[Destination]]="","",IFERROR(INDEX(tblDestinations[Type],MATCH(tblMovement[[#This Row],[Destination]],tblDestinations[Destination],0)),"?"))</f>
        <v/>
      </c>
      <c r="M4604" s="64">
        <f>IF(tblMovement[[#This Row],[Material]]="","",IF(LEFT(tblMovement[[#This Row],[Material]],3)="Ore",1,0))</f>
        <v/>
      </c>
      <c r="N4604" s="59">
        <f>IF(OR(tblMovement[[#This Row],[Tonnes_t]]="",tblMovement[[#This Row],[Grade_gpt]]=""),0,tblMovement[[#This Row],[Tonnes_t]]*tblMovement[[#This Row],[Grade_gpt]]/cfg_TroyOz)</f>
        <v/>
      </c>
      <c r="O4604" s="59">
        <f>IF(tblMovement[[#This Row],[Is_Ore]]=1,tblMovement[[#This Row],[Contained_oz]],0)</f>
        <v/>
      </c>
    </row>
    <row r="4605">
      <c r="A4605" s="54" t="n"/>
      <c r="B4605" s="61" t="n"/>
      <c r="C4605" s="61" t="n"/>
      <c r="D4605" s="61" t="n"/>
      <c r="E4605" s="61" t="n"/>
      <c r="F4605" s="55" t="n"/>
      <c r="G4605" s="56" t="n"/>
      <c r="H4605" s="55" t="n"/>
      <c r="I4605" s="62" t="n"/>
      <c r="J4605" s="58" t="n"/>
      <c r="K4605" s="63">
        <f>IF(tblMovement[[#This Row],[Source]]="","",IFERROR(INDEX(tblSources[Type],MATCH(tblMovement[[#This Row],[Source]],tblSources[Source],0)),"?"))</f>
        <v/>
      </c>
      <c r="L4605" s="63">
        <f>IF(tblMovement[[#This Row],[Destination]]="","",IFERROR(INDEX(tblDestinations[Type],MATCH(tblMovement[[#This Row],[Destination]],tblDestinations[Destination],0)),"?"))</f>
        <v/>
      </c>
      <c r="M4605" s="64">
        <f>IF(tblMovement[[#This Row],[Material]]="","",IF(LEFT(tblMovement[[#This Row],[Material]],3)="Ore",1,0))</f>
        <v/>
      </c>
      <c r="N4605" s="59">
        <f>IF(OR(tblMovement[[#This Row],[Tonnes_t]]="",tblMovement[[#This Row],[Grade_gpt]]=""),0,tblMovement[[#This Row],[Tonnes_t]]*tblMovement[[#This Row],[Grade_gpt]]/cfg_TroyOz)</f>
        <v/>
      </c>
      <c r="O4605" s="59">
        <f>IF(tblMovement[[#This Row],[Is_Ore]]=1,tblMovement[[#This Row],[Contained_oz]],0)</f>
        <v/>
      </c>
    </row>
    <row r="4606">
      <c r="A4606" s="54" t="n"/>
      <c r="B4606" s="61" t="n"/>
      <c r="C4606" s="61" t="n"/>
      <c r="D4606" s="61" t="n"/>
      <c r="E4606" s="61" t="n"/>
      <c r="F4606" s="55" t="n"/>
      <c r="G4606" s="56" t="n"/>
      <c r="H4606" s="55" t="n"/>
      <c r="I4606" s="62" t="n"/>
      <c r="J4606" s="58" t="n"/>
      <c r="K4606" s="63">
        <f>IF(tblMovement[[#This Row],[Source]]="","",IFERROR(INDEX(tblSources[Type],MATCH(tblMovement[[#This Row],[Source]],tblSources[Source],0)),"?"))</f>
        <v/>
      </c>
      <c r="L4606" s="63">
        <f>IF(tblMovement[[#This Row],[Destination]]="","",IFERROR(INDEX(tblDestinations[Type],MATCH(tblMovement[[#This Row],[Destination]],tblDestinations[Destination],0)),"?"))</f>
        <v/>
      </c>
      <c r="M4606" s="64">
        <f>IF(tblMovement[[#This Row],[Material]]="","",IF(LEFT(tblMovement[[#This Row],[Material]],3)="Ore",1,0))</f>
        <v/>
      </c>
      <c r="N4606" s="59">
        <f>IF(OR(tblMovement[[#This Row],[Tonnes_t]]="",tblMovement[[#This Row],[Grade_gpt]]=""),0,tblMovement[[#This Row],[Tonnes_t]]*tblMovement[[#This Row],[Grade_gpt]]/cfg_TroyOz)</f>
        <v/>
      </c>
      <c r="O4606" s="59">
        <f>IF(tblMovement[[#This Row],[Is_Ore]]=1,tblMovement[[#This Row],[Contained_oz]],0)</f>
        <v/>
      </c>
    </row>
    <row r="4607">
      <c r="A4607" s="54" t="n"/>
      <c r="B4607" s="61" t="n"/>
      <c r="C4607" s="61" t="n"/>
      <c r="D4607" s="61" t="n"/>
      <c r="E4607" s="61" t="n"/>
      <c r="F4607" s="55" t="n"/>
      <c r="G4607" s="56" t="n"/>
      <c r="H4607" s="55" t="n"/>
      <c r="I4607" s="62" t="n"/>
      <c r="J4607" s="58" t="n"/>
      <c r="K4607" s="63">
        <f>IF(tblMovement[[#This Row],[Source]]="","",IFERROR(INDEX(tblSources[Type],MATCH(tblMovement[[#This Row],[Source]],tblSources[Source],0)),"?"))</f>
        <v/>
      </c>
      <c r="L4607" s="63">
        <f>IF(tblMovement[[#This Row],[Destination]]="","",IFERROR(INDEX(tblDestinations[Type],MATCH(tblMovement[[#This Row],[Destination]],tblDestinations[Destination],0)),"?"))</f>
        <v/>
      </c>
      <c r="M4607" s="64">
        <f>IF(tblMovement[[#This Row],[Material]]="","",IF(LEFT(tblMovement[[#This Row],[Material]],3)="Ore",1,0))</f>
        <v/>
      </c>
      <c r="N4607" s="59">
        <f>IF(OR(tblMovement[[#This Row],[Tonnes_t]]="",tblMovement[[#This Row],[Grade_gpt]]=""),0,tblMovement[[#This Row],[Tonnes_t]]*tblMovement[[#This Row],[Grade_gpt]]/cfg_TroyOz)</f>
        <v/>
      </c>
      <c r="O4607" s="59">
        <f>IF(tblMovement[[#This Row],[Is_Ore]]=1,tblMovement[[#This Row],[Contained_oz]],0)</f>
        <v/>
      </c>
    </row>
    <row r="4608">
      <c r="A4608" s="54" t="n"/>
      <c r="B4608" s="61" t="n"/>
      <c r="C4608" s="61" t="n"/>
      <c r="D4608" s="61" t="n"/>
      <c r="E4608" s="61" t="n"/>
      <c r="F4608" s="55" t="n"/>
      <c r="G4608" s="56" t="n"/>
      <c r="H4608" s="55" t="n"/>
      <c r="I4608" s="62" t="n"/>
      <c r="J4608" s="58" t="n"/>
      <c r="K4608" s="63">
        <f>IF(tblMovement[[#This Row],[Source]]="","",IFERROR(INDEX(tblSources[Type],MATCH(tblMovement[[#This Row],[Source]],tblSources[Source],0)),"?"))</f>
        <v/>
      </c>
      <c r="L4608" s="63">
        <f>IF(tblMovement[[#This Row],[Destination]]="","",IFERROR(INDEX(tblDestinations[Type],MATCH(tblMovement[[#This Row],[Destination]],tblDestinations[Destination],0)),"?"))</f>
        <v/>
      </c>
      <c r="M4608" s="64">
        <f>IF(tblMovement[[#This Row],[Material]]="","",IF(LEFT(tblMovement[[#This Row],[Material]],3)="Ore",1,0))</f>
        <v/>
      </c>
      <c r="N4608" s="59">
        <f>IF(OR(tblMovement[[#This Row],[Tonnes_t]]="",tblMovement[[#This Row],[Grade_gpt]]=""),0,tblMovement[[#This Row],[Tonnes_t]]*tblMovement[[#This Row],[Grade_gpt]]/cfg_TroyOz)</f>
        <v/>
      </c>
      <c r="O4608" s="59">
        <f>IF(tblMovement[[#This Row],[Is_Ore]]=1,tblMovement[[#This Row],[Contained_oz]],0)</f>
        <v/>
      </c>
    </row>
    <row r="4609">
      <c r="A4609" s="54" t="n"/>
      <c r="B4609" s="61" t="n"/>
      <c r="C4609" s="61" t="n"/>
      <c r="D4609" s="61" t="n"/>
      <c r="E4609" s="61" t="n"/>
      <c r="F4609" s="55" t="n"/>
      <c r="G4609" s="56" t="n"/>
      <c r="H4609" s="55" t="n"/>
      <c r="I4609" s="62" t="n"/>
      <c r="J4609" s="58" t="n"/>
      <c r="K4609" s="63">
        <f>IF(tblMovement[[#This Row],[Source]]="","",IFERROR(INDEX(tblSources[Type],MATCH(tblMovement[[#This Row],[Source]],tblSources[Source],0)),"?"))</f>
        <v/>
      </c>
      <c r="L4609" s="63">
        <f>IF(tblMovement[[#This Row],[Destination]]="","",IFERROR(INDEX(tblDestinations[Type],MATCH(tblMovement[[#This Row],[Destination]],tblDestinations[Destination],0)),"?"))</f>
        <v/>
      </c>
      <c r="M4609" s="64">
        <f>IF(tblMovement[[#This Row],[Material]]="","",IF(LEFT(tblMovement[[#This Row],[Material]],3)="Ore",1,0))</f>
        <v/>
      </c>
      <c r="N4609" s="59">
        <f>IF(OR(tblMovement[[#This Row],[Tonnes_t]]="",tblMovement[[#This Row],[Grade_gpt]]=""),0,tblMovement[[#This Row],[Tonnes_t]]*tblMovement[[#This Row],[Grade_gpt]]/cfg_TroyOz)</f>
        <v/>
      </c>
      <c r="O4609" s="59">
        <f>IF(tblMovement[[#This Row],[Is_Ore]]=1,tblMovement[[#This Row],[Contained_oz]],0)</f>
        <v/>
      </c>
    </row>
    <row r="4610">
      <c r="A4610" s="54" t="n"/>
      <c r="B4610" s="61" t="n"/>
      <c r="C4610" s="61" t="n"/>
      <c r="D4610" s="61" t="n"/>
      <c r="E4610" s="61" t="n"/>
      <c r="F4610" s="55" t="n"/>
      <c r="G4610" s="56" t="n"/>
      <c r="H4610" s="55" t="n"/>
      <c r="I4610" s="62" t="n"/>
      <c r="J4610" s="58" t="n"/>
      <c r="K4610" s="63">
        <f>IF(tblMovement[[#This Row],[Source]]="","",IFERROR(INDEX(tblSources[Type],MATCH(tblMovement[[#This Row],[Source]],tblSources[Source],0)),"?"))</f>
        <v/>
      </c>
      <c r="L4610" s="63">
        <f>IF(tblMovement[[#This Row],[Destination]]="","",IFERROR(INDEX(tblDestinations[Type],MATCH(tblMovement[[#This Row],[Destination]],tblDestinations[Destination],0)),"?"))</f>
        <v/>
      </c>
      <c r="M4610" s="64">
        <f>IF(tblMovement[[#This Row],[Material]]="","",IF(LEFT(tblMovement[[#This Row],[Material]],3)="Ore",1,0))</f>
        <v/>
      </c>
      <c r="N4610" s="59">
        <f>IF(OR(tblMovement[[#This Row],[Tonnes_t]]="",tblMovement[[#This Row],[Grade_gpt]]=""),0,tblMovement[[#This Row],[Tonnes_t]]*tblMovement[[#This Row],[Grade_gpt]]/cfg_TroyOz)</f>
        <v/>
      </c>
      <c r="O4610" s="59">
        <f>IF(tblMovement[[#This Row],[Is_Ore]]=1,tblMovement[[#This Row],[Contained_oz]],0)</f>
        <v/>
      </c>
    </row>
    <row r="4611">
      <c r="A4611" s="54" t="n"/>
      <c r="B4611" s="61" t="n"/>
      <c r="C4611" s="61" t="n"/>
      <c r="D4611" s="61" t="n"/>
      <c r="E4611" s="61" t="n"/>
      <c r="F4611" s="55" t="n"/>
      <c r="G4611" s="56" t="n"/>
      <c r="H4611" s="55" t="n"/>
      <c r="I4611" s="62" t="n"/>
      <c r="J4611" s="58" t="n"/>
      <c r="K4611" s="63">
        <f>IF(tblMovement[[#This Row],[Source]]="","",IFERROR(INDEX(tblSources[Type],MATCH(tblMovement[[#This Row],[Source]],tblSources[Source],0)),"?"))</f>
        <v/>
      </c>
      <c r="L4611" s="63">
        <f>IF(tblMovement[[#This Row],[Destination]]="","",IFERROR(INDEX(tblDestinations[Type],MATCH(tblMovement[[#This Row],[Destination]],tblDestinations[Destination],0)),"?"))</f>
        <v/>
      </c>
      <c r="M4611" s="64">
        <f>IF(tblMovement[[#This Row],[Material]]="","",IF(LEFT(tblMovement[[#This Row],[Material]],3)="Ore",1,0))</f>
        <v/>
      </c>
      <c r="N4611" s="59">
        <f>IF(OR(tblMovement[[#This Row],[Tonnes_t]]="",tblMovement[[#This Row],[Grade_gpt]]=""),0,tblMovement[[#This Row],[Tonnes_t]]*tblMovement[[#This Row],[Grade_gpt]]/cfg_TroyOz)</f>
        <v/>
      </c>
      <c r="O4611" s="59">
        <f>IF(tblMovement[[#This Row],[Is_Ore]]=1,tblMovement[[#This Row],[Contained_oz]],0)</f>
        <v/>
      </c>
    </row>
    <row r="4612">
      <c r="A4612" s="54" t="n"/>
      <c r="B4612" s="61" t="n"/>
      <c r="C4612" s="61" t="n"/>
      <c r="D4612" s="61" t="n"/>
      <c r="E4612" s="61" t="n"/>
      <c r="F4612" s="55" t="n"/>
      <c r="G4612" s="56" t="n"/>
      <c r="H4612" s="55" t="n"/>
      <c r="I4612" s="62" t="n"/>
      <c r="J4612" s="58" t="n"/>
      <c r="K4612" s="63">
        <f>IF(tblMovement[[#This Row],[Source]]="","",IFERROR(INDEX(tblSources[Type],MATCH(tblMovement[[#This Row],[Source]],tblSources[Source],0)),"?"))</f>
        <v/>
      </c>
      <c r="L4612" s="63">
        <f>IF(tblMovement[[#This Row],[Destination]]="","",IFERROR(INDEX(tblDestinations[Type],MATCH(tblMovement[[#This Row],[Destination]],tblDestinations[Destination],0)),"?"))</f>
        <v/>
      </c>
      <c r="M4612" s="64">
        <f>IF(tblMovement[[#This Row],[Material]]="","",IF(LEFT(tblMovement[[#This Row],[Material]],3)="Ore",1,0))</f>
        <v/>
      </c>
      <c r="N4612" s="59">
        <f>IF(OR(tblMovement[[#This Row],[Tonnes_t]]="",tblMovement[[#This Row],[Grade_gpt]]=""),0,tblMovement[[#This Row],[Tonnes_t]]*tblMovement[[#This Row],[Grade_gpt]]/cfg_TroyOz)</f>
        <v/>
      </c>
      <c r="O4612" s="59">
        <f>IF(tblMovement[[#This Row],[Is_Ore]]=1,tblMovement[[#This Row],[Contained_oz]],0)</f>
        <v/>
      </c>
    </row>
    <row r="4613">
      <c r="A4613" s="54" t="n"/>
      <c r="B4613" s="61" t="n"/>
      <c r="C4613" s="61" t="n"/>
      <c r="D4613" s="61" t="n"/>
      <c r="E4613" s="61" t="n"/>
      <c r="F4613" s="55" t="n"/>
      <c r="G4613" s="56" t="n"/>
      <c r="H4613" s="55" t="n"/>
      <c r="I4613" s="62" t="n"/>
      <c r="J4613" s="58" t="n"/>
      <c r="K4613" s="63">
        <f>IF(tblMovement[[#This Row],[Source]]="","",IFERROR(INDEX(tblSources[Type],MATCH(tblMovement[[#This Row],[Source]],tblSources[Source],0)),"?"))</f>
        <v/>
      </c>
      <c r="L4613" s="63">
        <f>IF(tblMovement[[#This Row],[Destination]]="","",IFERROR(INDEX(tblDestinations[Type],MATCH(tblMovement[[#This Row],[Destination]],tblDestinations[Destination],0)),"?"))</f>
        <v/>
      </c>
      <c r="M4613" s="64">
        <f>IF(tblMovement[[#This Row],[Material]]="","",IF(LEFT(tblMovement[[#This Row],[Material]],3)="Ore",1,0))</f>
        <v/>
      </c>
      <c r="N4613" s="59">
        <f>IF(OR(tblMovement[[#This Row],[Tonnes_t]]="",tblMovement[[#This Row],[Grade_gpt]]=""),0,tblMovement[[#This Row],[Tonnes_t]]*tblMovement[[#This Row],[Grade_gpt]]/cfg_TroyOz)</f>
        <v/>
      </c>
      <c r="O4613" s="59">
        <f>IF(tblMovement[[#This Row],[Is_Ore]]=1,tblMovement[[#This Row],[Contained_oz]],0)</f>
        <v/>
      </c>
    </row>
    <row r="4614">
      <c r="A4614" s="54" t="n"/>
      <c r="B4614" s="61" t="n"/>
      <c r="C4614" s="61" t="n"/>
      <c r="D4614" s="61" t="n"/>
      <c r="E4614" s="61" t="n"/>
      <c r="F4614" s="55" t="n"/>
      <c r="G4614" s="56" t="n"/>
      <c r="H4614" s="55" t="n"/>
      <c r="I4614" s="62" t="n"/>
      <c r="J4614" s="58" t="n"/>
      <c r="K4614" s="63">
        <f>IF(tblMovement[[#This Row],[Source]]="","",IFERROR(INDEX(tblSources[Type],MATCH(tblMovement[[#This Row],[Source]],tblSources[Source],0)),"?"))</f>
        <v/>
      </c>
      <c r="L4614" s="63">
        <f>IF(tblMovement[[#This Row],[Destination]]="","",IFERROR(INDEX(tblDestinations[Type],MATCH(tblMovement[[#This Row],[Destination]],tblDestinations[Destination],0)),"?"))</f>
        <v/>
      </c>
      <c r="M4614" s="64">
        <f>IF(tblMovement[[#This Row],[Material]]="","",IF(LEFT(tblMovement[[#This Row],[Material]],3)="Ore",1,0))</f>
        <v/>
      </c>
      <c r="N4614" s="59">
        <f>IF(OR(tblMovement[[#This Row],[Tonnes_t]]="",tblMovement[[#This Row],[Grade_gpt]]=""),0,tblMovement[[#This Row],[Tonnes_t]]*tblMovement[[#This Row],[Grade_gpt]]/cfg_TroyOz)</f>
        <v/>
      </c>
      <c r="O4614" s="59">
        <f>IF(tblMovement[[#This Row],[Is_Ore]]=1,tblMovement[[#This Row],[Contained_oz]],0)</f>
        <v/>
      </c>
    </row>
    <row r="4615">
      <c r="A4615" s="54" t="n"/>
      <c r="B4615" s="61" t="n"/>
      <c r="C4615" s="61" t="n"/>
      <c r="D4615" s="61" t="n"/>
      <c r="E4615" s="61" t="n"/>
      <c r="F4615" s="55" t="n"/>
      <c r="G4615" s="56" t="n"/>
      <c r="H4615" s="55" t="n"/>
      <c r="I4615" s="62" t="n"/>
      <c r="J4615" s="58" t="n"/>
      <c r="K4615" s="63">
        <f>IF(tblMovement[[#This Row],[Source]]="","",IFERROR(INDEX(tblSources[Type],MATCH(tblMovement[[#This Row],[Source]],tblSources[Source],0)),"?"))</f>
        <v/>
      </c>
      <c r="L4615" s="63">
        <f>IF(tblMovement[[#This Row],[Destination]]="","",IFERROR(INDEX(tblDestinations[Type],MATCH(tblMovement[[#This Row],[Destination]],tblDestinations[Destination],0)),"?"))</f>
        <v/>
      </c>
      <c r="M4615" s="64">
        <f>IF(tblMovement[[#This Row],[Material]]="","",IF(LEFT(tblMovement[[#This Row],[Material]],3)="Ore",1,0))</f>
        <v/>
      </c>
      <c r="N4615" s="59">
        <f>IF(OR(tblMovement[[#This Row],[Tonnes_t]]="",tblMovement[[#This Row],[Grade_gpt]]=""),0,tblMovement[[#This Row],[Tonnes_t]]*tblMovement[[#This Row],[Grade_gpt]]/cfg_TroyOz)</f>
        <v/>
      </c>
      <c r="O4615" s="59">
        <f>IF(tblMovement[[#This Row],[Is_Ore]]=1,tblMovement[[#This Row],[Contained_oz]],0)</f>
        <v/>
      </c>
    </row>
    <row r="4616">
      <c r="A4616" s="54" t="n"/>
      <c r="B4616" s="61" t="n"/>
      <c r="C4616" s="61" t="n"/>
      <c r="D4616" s="61" t="n"/>
      <c r="E4616" s="61" t="n"/>
      <c r="F4616" s="55" t="n"/>
      <c r="G4616" s="56" t="n"/>
      <c r="H4616" s="55" t="n"/>
      <c r="I4616" s="62" t="n"/>
      <c r="J4616" s="58" t="n"/>
      <c r="K4616" s="63">
        <f>IF(tblMovement[[#This Row],[Source]]="","",IFERROR(INDEX(tblSources[Type],MATCH(tblMovement[[#This Row],[Source]],tblSources[Source],0)),"?"))</f>
        <v/>
      </c>
      <c r="L4616" s="63">
        <f>IF(tblMovement[[#This Row],[Destination]]="","",IFERROR(INDEX(tblDestinations[Type],MATCH(tblMovement[[#This Row],[Destination]],tblDestinations[Destination],0)),"?"))</f>
        <v/>
      </c>
      <c r="M4616" s="64">
        <f>IF(tblMovement[[#This Row],[Material]]="","",IF(LEFT(tblMovement[[#This Row],[Material]],3)="Ore",1,0))</f>
        <v/>
      </c>
      <c r="N4616" s="59">
        <f>IF(OR(tblMovement[[#This Row],[Tonnes_t]]="",tblMovement[[#This Row],[Grade_gpt]]=""),0,tblMovement[[#This Row],[Tonnes_t]]*tblMovement[[#This Row],[Grade_gpt]]/cfg_TroyOz)</f>
        <v/>
      </c>
      <c r="O4616" s="59">
        <f>IF(tblMovement[[#This Row],[Is_Ore]]=1,tblMovement[[#This Row],[Contained_oz]],0)</f>
        <v/>
      </c>
    </row>
    <row r="4617">
      <c r="A4617" s="54" t="n"/>
      <c r="B4617" s="61" t="n"/>
      <c r="C4617" s="61" t="n"/>
      <c r="D4617" s="61" t="n"/>
      <c r="E4617" s="61" t="n"/>
      <c r="F4617" s="55" t="n"/>
      <c r="G4617" s="56" t="n"/>
      <c r="H4617" s="55" t="n"/>
      <c r="I4617" s="62" t="n"/>
      <c r="J4617" s="58" t="n"/>
      <c r="K4617" s="63">
        <f>IF(tblMovement[[#This Row],[Source]]="","",IFERROR(INDEX(tblSources[Type],MATCH(tblMovement[[#This Row],[Source]],tblSources[Source],0)),"?"))</f>
        <v/>
      </c>
      <c r="L4617" s="63">
        <f>IF(tblMovement[[#This Row],[Destination]]="","",IFERROR(INDEX(tblDestinations[Type],MATCH(tblMovement[[#This Row],[Destination]],tblDestinations[Destination],0)),"?"))</f>
        <v/>
      </c>
      <c r="M4617" s="64">
        <f>IF(tblMovement[[#This Row],[Material]]="","",IF(LEFT(tblMovement[[#This Row],[Material]],3)="Ore",1,0))</f>
        <v/>
      </c>
      <c r="N4617" s="59">
        <f>IF(OR(tblMovement[[#This Row],[Tonnes_t]]="",tblMovement[[#This Row],[Grade_gpt]]=""),0,tblMovement[[#This Row],[Tonnes_t]]*tblMovement[[#This Row],[Grade_gpt]]/cfg_TroyOz)</f>
        <v/>
      </c>
      <c r="O4617" s="59">
        <f>IF(tblMovement[[#This Row],[Is_Ore]]=1,tblMovement[[#This Row],[Contained_oz]],0)</f>
        <v/>
      </c>
    </row>
    <row r="4618">
      <c r="A4618" s="54" t="n"/>
      <c r="B4618" s="61" t="n"/>
      <c r="C4618" s="61" t="n"/>
      <c r="D4618" s="61" t="n"/>
      <c r="E4618" s="61" t="n"/>
      <c r="F4618" s="55" t="n"/>
      <c r="G4618" s="56" t="n"/>
      <c r="H4618" s="55" t="n"/>
      <c r="I4618" s="62" t="n"/>
      <c r="J4618" s="58" t="n"/>
      <c r="K4618" s="63">
        <f>IF(tblMovement[[#This Row],[Source]]="","",IFERROR(INDEX(tblSources[Type],MATCH(tblMovement[[#This Row],[Source]],tblSources[Source],0)),"?"))</f>
        <v/>
      </c>
      <c r="L4618" s="63">
        <f>IF(tblMovement[[#This Row],[Destination]]="","",IFERROR(INDEX(tblDestinations[Type],MATCH(tblMovement[[#This Row],[Destination]],tblDestinations[Destination],0)),"?"))</f>
        <v/>
      </c>
      <c r="M4618" s="64">
        <f>IF(tblMovement[[#This Row],[Material]]="","",IF(LEFT(tblMovement[[#This Row],[Material]],3)="Ore",1,0))</f>
        <v/>
      </c>
      <c r="N4618" s="59">
        <f>IF(OR(tblMovement[[#This Row],[Tonnes_t]]="",tblMovement[[#This Row],[Grade_gpt]]=""),0,tblMovement[[#This Row],[Tonnes_t]]*tblMovement[[#This Row],[Grade_gpt]]/cfg_TroyOz)</f>
        <v/>
      </c>
      <c r="O4618" s="59">
        <f>IF(tblMovement[[#This Row],[Is_Ore]]=1,tblMovement[[#This Row],[Contained_oz]],0)</f>
        <v/>
      </c>
    </row>
    <row r="4619">
      <c r="A4619" s="54" t="n"/>
      <c r="B4619" s="61" t="n"/>
      <c r="C4619" s="61" t="n"/>
      <c r="D4619" s="61" t="n"/>
      <c r="E4619" s="61" t="n"/>
      <c r="F4619" s="55" t="n"/>
      <c r="G4619" s="56" t="n"/>
      <c r="H4619" s="55" t="n"/>
      <c r="I4619" s="62" t="n"/>
      <c r="J4619" s="58" t="n"/>
      <c r="K4619" s="63">
        <f>IF(tblMovement[[#This Row],[Source]]="","",IFERROR(INDEX(tblSources[Type],MATCH(tblMovement[[#This Row],[Source]],tblSources[Source],0)),"?"))</f>
        <v/>
      </c>
      <c r="L4619" s="63">
        <f>IF(tblMovement[[#This Row],[Destination]]="","",IFERROR(INDEX(tblDestinations[Type],MATCH(tblMovement[[#This Row],[Destination]],tblDestinations[Destination],0)),"?"))</f>
        <v/>
      </c>
      <c r="M4619" s="64">
        <f>IF(tblMovement[[#This Row],[Material]]="","",IF(LEFT(tblMovement[[#This Row],[Material]],3)="Ore",1,0))</f>
        <v/>
      </c>
      <c r="N4619" s="59">
        <f>IF(OR(tblMovement[[#This Row],[Tonnes_t]]="",tblMovement[[#This Row],[Grade_gpt]]=""),0,tblMovement[[#This Row],[Tonnes_t]]*tblMovement[[#This Row],[Grade_gpt]]/cfg_TroyOz)</f>
        <v/>
      </c>
      <c r="O4619" s="59">
        <f>IF(tblMovement[[#This Row],[Is_Ore]]=1,tblMovement[[#This Row],[Contained_oz]],0)</f>
        <v/>
      </c>
    </row>
    <row r="4620">
      <c r="A4620" s="54" t="n"/>
      <c r="B4620" s="61" t="n"/>
      <c r="C4620" s="61" t="n"/>
      <c r="D4620" s="61" t="n"/>
      <c r="E4620" s="61" t="n"/>
      <c r="F4620" s="55" t="n"/>
      <c r="G4620" s="56" t="n"/>
      <c r="H4620" s="55" t="n"/>
      <c r="I4620" s="62" t="n"/>
      <c r="J4620" s="58" t="n"/>
      <c r="K4620" s="63">
        <f>IF(tblMovement[[#This Row],[Source]]="","",IFERROR(INDEX(tblSources[Type],MATCH(tblMovement[[#This Row],[Source]],tblSources[Source],0)),"?"))</f>
        <v/>
      </c>
      <c r="L4620" s="63">
        <f>IF(tblMovement[[#This Row],[Destination]]="","",IFERROR(INDEX(tblDestinations[Type],MATCH(tblMovement[[#This Row],[Destination]],tblDestinations[Destination],0)),"?"))</f>
        <v/>
      </c>
      <c r="M4620" s="64">
        <f>IF(tblMovement[[#This Row],[Material]]="","",IF(LEFT(tblMovement[[#This Row],[Material]],3)="Ore",1,0))</f>
        <v/>
      </c>
      <c r="N4620" s="59">
        <f>IF(OR(tblMovement[[#This Row],[Tonnes_t]]="",tblMovement[[#This Row],[Grade_gpt]]=""),0,tblMovement[[#This Row],[Tonnes_t]]*tblMovement[[#This Row],[Grade_gpt]]/cfg_TroyOz)</f>
        <v/>
      </c>
      <c r="O4620" s="59">
        <f>IF(tblMovement[[#This Row],[Is_Ore]]=1,tblMovement[[#This Row],[Contained_oz]],0)</f>
        <v/>
      </c>
    </row>
    <row r="4621">
      <c r="A4621" s="54" t="n"/>
      <c r="B4621" s="61" t="n"/>
      <c r="C4621" s="61" t="n"/>
      <c r="D4621" s="61" t="n"/>
      <c r="E4621" s="61" t="n"/>
      <c r="F4621" s="55" t="n"/>
      <c r="G4621" s="56" t="n"/>
      <c r="H4621" s="55" t="n"/>
      <c r="I4621" s="62" t="n"/>
      <c r="J4621" s="58" t="n"/>
      <c r="K4621" s="63">
        <f>IF(tblMovement[[#This Row],[Source]]="","",IFERROR(INDEX(tblSources[Type],MATCH(tblMovement[[#This Row],[Source]],tblSources[Source],0)),"?"))</f>
        <v/>
      </c>
      <c r="L4621" s="63">
        <f>IF(tblMovement[[#This Row],[Destination]]="","",IFERROR(INDEX(tblDestinations[Type],MATCH(tblMovement[[#This Row],[Destination]],tblDestinations[Destination],0)),"?"))</f>
        <v/>
      </c>
      <c r="M4621" s="64">
        <f>IF(tblMovement[[#This Row],[Material]]="","",IF(LEFT(tblMovement[[#This Row],[Material]],3)="Ore",1,0))</f>
        <v/>
      </c>
      <c r="N4621" s="59">
        <f>IF(OR(tblMovement[[#This Row],[Tonnes_t]]="",tblMovement[[#This Row],[Grade_gpt]]=""),0,tblMovement[[#This Row],[Tonnes_t]]*tblMovement[[#This Row],[Grade_gpt]]/cfg_TroyOz)</f>
        <v/>
      </c>
      <c r="O4621" s="59">
        <f>IF(tblMovement[[#This Row],[Is_Ore]]=1,tblMovement[[#This Row],[Contained_oz]],0)</f>
        <v/>
      </c>
    </row>
    <row r="4622">
      <c r="A4622" s="54" t="n"/>
      <c r="B4622" s="61" t="n"/>
      <c r="C4622" s="61" t="n"/>
      <c r="D4622" s="61" t="n"/>
      <c r="E4622" s="61" t="n"/>
      <c r="F4622" s="55" t="n"/>
      <c r="G4622" s="56" t="n"/>
      <c r="H4622" s="55" t="n"/>
      <c r="I4622" s="62" t="n"/>
      <c r="J4622" s="58" t="n"/>
      <c r="K4622" s="63">
        <f>IF(tblMovement[[#This Row],[Source]]="","",IFERROR(INDEX(tblSources[Type],MATCH(tblMovement[[#This Row],[Source]],tblSources[Source],0)),"?"))</f>
        <v/>
      </c>
      <c r="L4622" s="63">
        <f>IF(tblMovement[[#This Row],[Destination]]="","",IFERROR(INDEX(tblDestinations[Type],MATCH(tblMovement[[#This Row],[Destination]],tblDestinations[Destination],0)),"?"))</f>
        <v/>
      </c>
      <c r="M4622" s="64">
        <f>IF(tblMovement[[#This Row],[Material]]="","",IF(LEFT(tblMovement[[#This Row],[Material]],3)="Ore",1,0))</f>
        <v/>
      </c>
      <c r="N4622" s="59">
        <f>IF(OR(tblMovement[[#This Row],[Tonnes_t]]="",tblMovement[[#This Row],[Grade_gpt]]=""),0,tblMovement[[#This Row],[Tonnes_t]]*tblMovement[[#This Row],[Grade_gpt]]/cfg_TroyOz)</f>
        <v/>
      </c>
      <c r="O4622" s="59">
        <f>IF(tblMovement[[#This Row],[Is_Ore]]=1,tblMovement[[#This Row],[Contained_oz]],0)</f>
        <v/>
      </c>
    </row>
    <row r="4623">
      <c r="A4623" s="54" t="n"/>
      <c r="B4623" s="61" t="n"/>
      <c r="C4623" s="61" t="n"/>
      <c r="D4623" s="61" t="n"/>
      <c r="E4623" s="61" t="n"/>
      <c r="F4623" s="55" t="n"/>
      <c r="G4623" s="56" t="n"/>
      <c r="H4623" s="55" t="n"/>
      <c r="I4623" s="62" t="n"/>
      <c r="J4623" s="58" t="n"/>
      <c r="K4623" s="63">
        <f>IF(tblMovement[[#This Row],[Source]]="","",IFERROR(INDEX(tblSources[Type],MATCH(tblMovement[[#This Row],[Source]],tblSources[Source],0)),"?"))</f>
        <v/>
      </c>
      <c r="L4623" s="63">
        <f>IF(tblMovement[[#This Row],[Destination]]="","",IFERROR(INDEX(tblDestinations[Type],MATCH(tblMovement[[#This Row],[Destination]],tblDestinations[Destination],0)),"?"))</f>
        <v/>
      </c>
      <c r="M4623" s="64">
        <f>IF(tblMovement[[#This Row],[Material]]="","",IF(LEFT(tblMovement[[#This Row],[Material]],3)="Ore",1,0))</f>
        <v/>
      </c>
      <c r="N4623" s="59">
        <f>IF(OR(tblMovement[[#This Row],[Tonnes_t]]="",tblMovement[[#This Row],[Grade_gpt]]=""),0,tblMovement[[#This Row],[Tonnes_t]]*tblMovement[[#This Row],[Grade_gpt]]/cfg_TroyOz)</f>
        <v/>
      </c>
      <c r="O4623" s="59">
        <f>IF(tblMovement[[#This Row],[Is_Ore]]=1,tblMovement[[#This Row],[Contained_oz]],0)</f>
        <v/>
      </c>
    </row>
    <row r="4624">
      <c r="A4624" s="54" t="n"/>
      <c r="B4624" s="61" t="n"/>
      <c r="C4624" s="61" t="n"/>
      <c r="D4624" s="61" t="n"/>
      <c r="E4624" s="61" t="n"/>
      <c r="F4624" s="55" t="n"/>
      <c r="G4624" s="56" t="n"/>
      <c r="H4624" s="55" t="n"/>
      <c r="I4624" s="62" t="n"/>
      <c r="J4624" s="58" t="n"/>
      <c r="K4624" s="63">
        <f>IF(tblMovement[[#This Row],[Source]]="","",IFERROR(INDEX(tblSources[Type],MATCH(tblMovement[[#This Row],[Source]],tblSources[Source],0)),"?"))</f>
        <v/>
      </c>
      <c r="L4624" s="63">
        <f>IF(tblMovement[[#This Row],[Destination]]="","",IFERROR(INDEX(tblDestinations[Type],MATCH(tblMovement[[#This Row],[Destination]],tblDestinations[Destination],0)),"?"))</f>
        <v/>
      </c>
      <c r="M4624" s="64">
        <f>IF(tblMovement[[#This Row],[Material]]="","",IF(LEFT(tblMovement[[#This Row],[Material]],3)="Ore",1,0))</f>
        <v/>
      </c>
      <c r="N4624" s="59">
        <f>IF(OR(tblMovement[[#This Row],[Tonnes_t]]="",tblMovement[[#This Row],[Grade_gpt]]=""),0,tblMovement[[#This Row],[Tonnes_t]]*tblMovement[[#This Row],[Grade_gpt]]/cfg_TroyOz)</f>
        <v/>
      </c>
      <c r="O4624" s="59">
        <f>IF(tblMovement[[#This Row],[Is_Ore]]=1,tblMovement[[#This Row],[Contained_oz]],0)</f>
        <v/>
      </c>
    </row>
    <row r="4625">
      <c r="A4625" s="54" t="n"/>
      <c r="B4625" s="61" t="n"/>
      <c r="C4625" s="61" t="n"/>
      <c r="D4625" s="61" t="n"/>
      <c r="E4625" s="61" t="n"/>
      <c r="F4625" s="55" t="n"/>
      <c r="G4625" s="56" t="n"/>
      <c r="H4625" s="55" t="n"/>
      <c r="I4625" s="62" t="n"/>
      <c r="J4625" s="58" t="n"/>
      <c r="K4625" s="63">
        <f>IF(tblMovement[[#This Row],[Source]]="","",IFERROR(INDEX(tblSources[Type],MATCH(tblMovement[[#This Row],[Source]],tblSources[Source],0)),"?"))</f>
        <v/>
      </c>
      <c r="L4625" s="63">
        <f>IF(tblMovement[[#This Row],[Destination]]="","",IFERROR(INDEX(tblDestinations[Type],MATCH(tblMovement[[#This Row],[Destination]],tblDestinations[Destination],0)),"?"))</f>
        <v/>
      </c>
      <c r="M4625" s="64">
        <f>IF(tblMovement[[#This Row],[Material]]="","",IF(LEFT(tblMovement[[#This Row],[Material]],3)="Ore",1,0))</f>
        <v/>
      </c>
      <c r="N4625" s="59">
        <f>IF(OR(tblMovement[[#This Row],[Tonnes_t]]="",tblMovement[[#This Row],[Grade_gpt]]=""),0,tblMovement[[#This Row],[Tonnes_t]]*tblMovement[[#This Row],[Grade_gpt]]/cfg_TroyOz)</f>
        <v/>
      </c>
      <c r="O4625" s="59">
        <f>IF(tblMovement[[#This Row],[Is_Ore]]=1,tblMovement[[#This Row],[Contained_oz]],0)</f>
        <v/>
      </c>
    </row>
    <row r="4626">
      <c r="A4626" s="54" t="n"/>
      <c r="B4626" s="61" t="n"/>
      <c r="C4626" s="61" t="n"/>
      <c r="D4626" s="61" t="n"/>
      <c r="E4626" s="61" t="n"/>
      <c r="F4626" s="55" t="n"/>
      <c r="G4626" s="56" t="n"/>
      <c r="H4626" s="55" t="n"/>
      <c r="I4626" s="62" t="n"/>
      <c r="J4626" s="58" t="n"/>
      <c r="K4626" s="63">
        <f>IF(tblMovement[[#This Row],[Source]]="","",IFERROR(INDEX(tblSources[Type],MATCH(tblMovement[[#This Row],[Source]],tblSources[Source],0)),"?"))</f>
        <v/>
      </c>
      <c r="L4626" s="63">
        <f>IF(tblMovement[[#This Row],[Destination]]="","",IFERROR(INDEX(tblDestinations[Type],MATCH(tblMovement[[#This Row],[Destination]],tblDestinations[Destination],0)),"?"))</f>
        <v/>
      </c>
      <c r="M4626" s="64">
        <f>IF(tblMovement[[#This Row],[Material]]="","",IF(LEFT(tblMovement[[#This Row],[Material]],3)="Ore",1,0))</f>
        <v/>
      </c>
      <c r="N4626" s="59">
        <f>IF(OR(tblMovement[[#This Row],[Tonnes_t]]="",tblMovement[[#This Row],[Grade_gpt]]=""),0,tblMovement[[#This Row],[Tonnes_t]]*tblMovement[[#This Row],[Grade_gpt]]/cfg_TroyOz)</f>
        <v/>
      </c>
      <c r="O4626" s="59">
        <f>IF(tblMovement[[#This Row],[Is_Ore]]=1,tblMovement[[#This Row],[Contained_oz]],0)</f>
        <v/>
      </c>
    </row>
    <row r="4627">
      <c r="A4627" s="54" t="n"/>
      <c r="B4627" s="61" t="n"/>
      <c r="C4627" s="61" t="n"/>
      <c r="D4627" s="61" t="n"/>
      <c r="E4627" s="61" t="n"/>
      <c r="F4627" s="55" t="n"/>
      <c r="G4627" s="56" t="n"/>
      <c r="H4627" s="55" t="n"/>
      <c r="I4627" s="62" t="n"/>
      <c r="J4627" s="58" t="n"/>
      <c r="K4627" s="63">
        <f>IF(tblMovement[[#This Row],[Source]]="","",IFERROR(INDEX(tblSources[Type],MATCH(tblMovement[[#This Row],[Source]],tblSources[Source],0)),"?"))</f>
        <v/>
      </c>
      <c r="L4627" s="63">
        <f>IF(tblMovement[[#This Row],[Destination]]="","",IFERROR(INDEX(tblDestinations[Type],MATCH(tblMovement[[#This Row],[Destination]],tblDestinations[Destination],0)),"?"))</f>
        <v/>
      </c>
      <c r="M4627" s="64">
        <f>IF(tblMovement[[#This Row],[Material]]="","",IF(LEFT(tblMovement[[#This Row],[Material]],3)="Ore",1,0))</f>
        <v/>
      </c>
      <c r="N4627" s="59">
        <f>IF(OR(tblMovement[[#This Row],[Tonnes_t]]="",tblMovement[[#This Row],[Grade_gpt]]=""),0,tblMovement[[#This Row],[Tonnes_t]]*tblMovement[[#This Row],[Grade_gpt]]/cfg_TroyOz)</f>
        <v/>
      </c>
      <c r="O4627" s="59">
        <f>IF(tblMovement[[#This Row],[Is_Ore]]=1,tblMovement[[#This Row],[Contained_oz]],0)</f>
        <v/>
      </c>
    </row>
    <row r="4628">
      <c r="A4628" s="54" t="n"/>
      <c r="B4628" s="61" t="n"/>
      <c r="C4628" s="61" t="n"/>
      <c r="D4628" s="61" t="n"/>
      <c r="E4628" s="61" t="n"/>
      <c r="F4628" s="55" t="n"/>
      <c r="G4628" s="56" t="n"/>
      <c r="H4628" s="55" t="n"/>
      <c r="I4628" s="62" t="n"/>
      <c r="J4628" s="58" t="n"/>
      <c r="K4628" s="63">
        <f>IF(tblMovement[[#This Row],[Source]]="","",IFERROR(INDEX(tblSources[Type],MATCH(tblMovement[[#This Row],[Source]],tblSources[Source],0)),"?"))</f>
        <v/>
      </c>
      <c r="L4628" s="63">
        <f>IF(tblMovement[[#This Row],[Destination]]="","",IFERROR(INDEX(tblDestinations[Type],MATCH(tblMovement[[#This Row],[Destination]],tblDestinations[Destination],0)),"?"))</f>
        <v/>
      </c>
      <c r="M4628" s="64">
        <f>IF(tblMovement[[#This Row],[Material]]="","",IF(LEFT(tblMovement[[#This Row],[Material]],3)="Ore",1,0))</f>
        <v/>
      </c>
      <c r="N4628" s="59">
        <f>IF(OR(tblMovement[[#This Row],[Tonnes_t]]="",tblMovement[[#This Row],[Grade_gpt]]=""),0,tblMovement[[#This Row],[Tonnes_t]]*tblMovement[[#This Row],[Grade_gpt]]/cfg_TroyOz)</f>
        <v/>
      </c>
      <c r="O4628" s="59">
        <f>IF(tblMovement[[#This Row],[Is_Ore]]=1,tblMovement[[#This Row],[Contained_oz]],0)</f>
        <v/>
      </c>
    </row>
    <row r="4629">
      <c r="A4629" s="54" t="n"/>
      <c r="B4629" s="61" t="n"/>
      <c r="C4629" s="61" t="n"/>
      <c r="D4629" s="61" t="n"/>
      <c r="E4629" s="61" t="n"/>
      <c r="F4629" s="55" t="n"/>
      <c r="G4629" s="56" t="n"/>
      <c r="H4629" s="55" t="n"/>
      <c r="I4629" s="62" t="n"/>
      <c r="J4629" s="58" t="n"/>
      <c r="K4629" s="63">
        <f>IF(tblMovement[[#This Row],[Source]]="","",IFERROR(INDEX(tblSources[Type],MATCH(tblMovement[[#This Row],[Source]],tblSources[Source],0)),"?"))</f>
        <v/>
      </c>
      <c r="L4629" s="63">
        <f>IF(tblMovement[[#This Row],[Destination]]="","",IFERROR(INDEX(tblDestinations[Type],MATCH(tblMovement[[#This Row],[Destination]],tblDestinations[Destination],0)),"?"))</f>
        <v/>
      </c>
      <c r="M4629" s="64">
        <f>IF(tblMovement[[#This Row],[Material]]="","",IF(LEFT(tblMovement[[#This Row],[Material]],3)="Ore",1,0))</f>
        <v/>
      </c>
      <c r="N4629" s="59">
        <f>IF(OR(tblMovement[[#This Row],[Tonnes_t]]="",tblMovement[[#This Row],[Grade_gpt]]=""),0,tblMovement[[#This Row],[Tonnes_t]]*tblMovement[[#This Row],[Grade_gpt]]/cfg_TroyOz)</f>
        <v/>
      </c>
      <c r="O4629" s="59">
        <f>IF(tblMovement[[#This Row],[Is_Ore]]=1,tblMovement[[#This Row],[Contained_oz]],0)</f>
        <v/>
      </c>
    </row>
    <row r="4630">
      <c r="A4630" s="54" t="n"/>
      <c r="B4630" s="61" t="n"/>
      <c r="C4630" s="61" t="n"/>
      <c r="D4630" s="61" t="n"/>
      <c r="E4630" s="61" t="n"/>
      <c r="F4630" s="55" t="n"/>
      <c r="G4630" s="56" t="n"/>
      <c r="H4630" s="55" t="n"/>
      <c r="I4630" s="62" t="n"/>
      <c r="J4630" s="58" t="n"/>
      <c r="K4630" s="63">
        <f>IF(tblMovement[[#This Row],[Source]]="","",IFERROR(INDEX(tblSources[Type],MATCH(tblMovement[[#This Row],[Source]],tblSources[Source],0)),"?"))</f>
        <v/>
      </c>
      <c r="L4630" s="63">
        <f>IF(tblMovement[[#This Row],[Destination]]="","",IFERROR(INDEX(tblDestinations[Type],MATCH(tblMovement[[#This Row],[Destination]],tblDestinations[Destination],0)),"?"))</f>
        <v/>
      </c>
      <c r="M4630" s="64">
        <f>IF(tblMovement[[#This Row],[Material]]="","",IF(LEFT(tblMovement[[#This Row],[Material]],3)="Ore",1,0))</f>
        <v/>
      </c>
      <c r="N4630" s="59">
        <f>IF(OR(tblMovement[[#This Row],[Tonnes_t]]="",tblMovement[[#This Row],[Grade_gpt]]=""),0,tblMovement[[#This Row],[Tonnes_t]]*tblMovement[[#This Row],[Grade_gpt]]/cfg_TroyOz)</f>
        <v/>
      </c>
      <c r="O4630" s="59">
        <f>IF(tblMovement[[#This Row],[Is_Ore]]=1,tblMovement[[#This Row],[Contained_oz]],0)</f>
        <v/>
      </c>
    </row>
    <row r="4631">
      <c r="A4631" s="54" t="n"/>
      <c r="B4631" s="61" t="n"/>
      <c r="C4631" s="61" t="n"/>
      <c r="D4631" s="61" t="n"/>
      <c r="E4631" s="61" t="n"/>
      <c r="F4631" s="55" t="n"/>
      <c r="G4631" s="56" t="n"/>
      <c r="H4631" s="55" t="n"/>
      <c r="I4631" s="62" t="n"/>
      <c r="J4631" s="58" t="n"/>
      <c r="K4631" s="63">
        <f>IF(tblMovement[[#This Row],[Source]]="","",IFERROR(INDEX(tblSources[Type],MATCH(tblMovement[[#This Row],[Source]],tblSources[Source],0)),"?"))</f>
        <v/>
      </c>
      <c r="L4631" s="63">
        <f>IF(tblMovement[[#This Row],[Destination]]="","",IFERROR(INDEX(tblDestinations[Type],MATCH(tblMovement[[#This Row],[Destination]],tblDestinations[Destination],0)),"?"))</f>
        <v/>
      </c>
      <c r="M4631" s="64">
        <f>IF(tblMovement[[#This Row],[Material]]="","",IF(LEFT(tblMovement[[#This Row],[Material]],3)="Ore",1,0))</f>
        <v/>
      </c>
      <c r="N4631" s="59">
        <f>IF(OR(tblMovement[[#This Row],[Tonnes_t]]="",tblMovement[[#This Row],[Grade_gpt]]=""),0,tblMovement[[#This Row],[Tonnes_t]]*tblMovement[[#This Row],[Grade_gpt]]/cfg_TroyOz)</f>
        <v/>
      </c>
      <c r="O4631" s="59">
        <f>IF(tblMovement[[#This Row],[Is_Ore]]=1,tblMovement[[#This Row],[Contained_oz]],0)</f>
        <v/>
      </c>
    </row>
    <row r="4632">
      <c r="A4632" s="54" t="n"/>
      <c r="B4632" s="61" t="n"/>
      <c r="C4632" s="61" t="n"/>
      <c r="D4632" s="61" t="n"/>
      <c r="E4632" s="61" t="n"/>
      <c r="F4632" s="55" t="n"/>
      <c r="G4632" s="56" t="n"/>
      <c r="H4632" s="55" t="n"/>
      <c r="I4632" s="62" t="n"/>
      <c r="J4632" s="58" t="n"/>
      <c r="K4632" s="63">
        <f>IF(tblMovement[[#This Row],[Source]]="","",IFERROR(INDEX(tblSources[Type],MATCH(tblMovement[[#This Row],[Source]],tblSources[Source],0)),"?"))</f>
        <v/>
      </c>
      <c r="L4632" s="63">
        <f>IF(tblMovement[[#This Row],[Destination]]="","",IFERROR(INDEX(tblDestinations[Type],MATCH(tblMovement[[#This Row],[Destination]],tblDestinations[Destination],0)),"?"))</f>
        <v/>
      </c>
      <c r="M4632" s="64">
        <f>IF(tblMovement[[#This Row],[Material]]="","",IF(LEFT(tblMovement[[#This Row],[Material]],3)="Ore",1,0))</f>
        <v/>
      </c>
      <c r="N4632" s="59">
        <f>IF(OR(tblMovement[[#This Row],[Tonnes_t]]="",tblMovement[[#This Row],[Grade_gpt]]=""),0,tblMovement[[#This Row],[Tonnes_t]]*tblMovement[[#This Row],[Grade_gpt]]/cfg_TroyOz)</f>
        <v/>
      </c>
      <c r="O4632" s="59">
        <f>IF(tblMovement[[#This Row],[Is_Ore]]=1,tblMovement[[#This Row],[Contained_oz]],0)</f>
        <v/>
      </c>
    </row>
    <row r="4633">
      <c r="A4633" s="54" t="n"/>
      <c r="B4633" s="61" t="n"/>
      <c r="C4633" s="61" t="n"/>
      <c r="D4633" s="61" t="n"/>
      <c r="E4633" s="61" t="n"/>
      <c r="F4633" s="55" t="n"/>
      <c r="G4633" s="56" t="n"/>
      <c r="H4633" s="55" t="n"/>
      <c r="I4633" s="62" t="n"/>
      <c r="J4633" s="58" t="n"/>
      <c r="K4633" s="63">
        <f>IF(tblMovement[[#This Row],[Source]]="","",IFERROR(INDEX(tblSources[Type],MATCH(tblMovement[[#This Row],[Source]],tblSources[Source],0)),"?"))</f>
        <v/>
      </c>
      <c r="L4633" s="63">
        <f>IF(tblMovement[[#This Row],[Destination]]="","",IFERROR(INDEX(tblDestinations[Type],MATCH(tblMovement[[#This Row],[Destination]],tblDestinations[Destination],0)),"?"))</f>
        <v/>
      </c>
      <c r="M4633" s="64">
        <f>IF(tblMovement[[#This Row],[Material]]="","",IF(LEFT(tblMovement[[#This Row],[Material]],3)="Ore",1,0))</f>
        <v/>
      </c>
      <c r="N4633" s="59">
        <f>IF(OR(tblMovement[[#This Row],[Tonnes_t]]="",tblMovement[[#This Row],[Grade_gpt]]=""),0,tblMovement[[#This Row],[Tonnes_t]]*tblMovement[[#This Row],[Grade_gpt]]/cfg_TroyOz)</f>
        <v/>
      </c>
      <c r="O4633" s="59">
        <f>IF(tblMovement[[#This Row],[Is_Ore]]=1,tblMovement[[#This Row],[Contained_oz]],0)</f>
        <v/>
      </c>
    </row>
    <row r="4634">
      <c r="A4634" s="54" t="n"/>
      <c r="B4634" s="61" t="n"/>
      <c r="C4634" s="61" t="n"/>
      <c r="D4634" s="61" t="n"/>
      <c r="E4634" s="61" t="n"/>
      <c r="F4634" s="55" t="n"/>
      <c r="G4634" s="56" t="n"/>
      <c r="H4634" s="55" t="n"/>
      <c r="I4634" s="62" t="n"/>
      <c r="J4634" s="58" t="n"/>
      <c r="K4634" s="63">
        <f>IF(tblMovement[[#This Row],[Source]]="","",IFERROR(INDEX(tblSources[Type],MATCH(tblMovement[[#This Row],[Source]],tblSources[Source],0)),"?"))</f>
        <v/>
      </c>
      <c r="L4634" s="63">
        <f>IF(tblMovement[[#This Row],[Destination]]="","",IFERROR(INDEX(tblDestinations[Type],MATCH(tblMovement[[#This Row],[Destination]],tblDestinations[Destination],0)),"?"))</f>
        <v/>
      </c>
      <c r="M4634" s="64">
        <f>IF(tblMovement[[#This Row],[Material]]="","",IF(LEFT(tblMovement[[#This Row],[Material]],3)="Ore",1,0))</f>
        <v/>
      </c>
      <c r="N4634" s="59">
        <f>IF(OR(tblMovement[[#This Row],[Tonnes_t]]="",tblMovement[[#This Row],[Grade_gpt]]=""),0,tblMovement[[#This Row],[Tonnes_t]]*tblMovement[[#This Row],[Grade_gpt]]/cfg_TroyOz)</f>
        <v/>
      </c>
      <c r="O4634" s="59">
        <f>IF(tblMovement[[#This Row],[Is_Ore]]=1,tblMovement[[#This Row],[Contained_oz]],0)</f>
        <v/>
      </c>
    </row>
    <row r="4635">
      <c r="A4635" s="54" t="n"/>
      <c r="B4635" s="61" t="n"/>
      <c r="C4635" s="61" t="n"/>
      <c r="D4635" s="61" t="n"/>
      <c r="E4635" s="61" t="n"/>
      <c r="F4635" s="55" t="n"/>
      <c r="G4635" s="56" t="n"/>
      <c r="H4635" s="55" t="n"/>
      <c r="I4635" s="62" t="n"/>
      <c r="J4635" s="58" t="n"/>
      <c r="K4635" s="63">
        <f>IF(tblMovement[[#This Row],[Source]]="","",IFERROR(INDEX(tblSources[Type],MATCH(tblMovement[[#This Row],[Source]],tblSources[Source],0)),"?"))</f>
        <v/>
      </c>
      <c r="L4635" s="63">
        <f>IF(tblMovement[[#This Row],[Destination]]="","",IFERROR(INDEX(tblDestinations[Type],MATCH(tblMovement[[#This Row],[Destination]],tblDestinations[Destination],0)),"?"))</f>
        <v/>
      </c>
      <c r="M4635" s="64">
        <f>IF(tblMovement[[#This Row],[Material]]="","",IF(LEFT(tblMovement[[#This Row],[Material]],3)="Ore",1,0))</f>
        <v/>
      </c>
      <c r="N4635" s="59">
        <f>IF(OR(tblMovement[[#This Row],[Tonnes_t]]="",tblMovement[[#This Row],[Grade_gpt]]=""),0,tblMovement[[#This Row],[Tonnes_t]]*tblMovement[[#This Row],[Grade_gpt]]/cfg_TroyOz)</f>
        <v/>
      </c>
      <c r="O4635" s="59">
        <f>IF(tblMovement[[#This Row],[Is_Ore]]=1,tblMovement[[#This Row],[Contained_oz]],0)</f>
        <v/>
      </c>
    </row>
    <row r="4636">
      <c r="A4636" s="54" t="n"/>
      <c r="B4636" s="61" t="n"/>
      <c r="C4636" s="61" t="n"/>
      <c r="D4636" s="61" t="n"/>
      <c r="E4636" s="61" t="n"/>
      <c r="F4636" s="55" t="n"/>
      <c r="G4636" s="56" t="n"/>
      <c r="H4636" s="55" t="n"/>
      <c r="I4636" s="62" t="n"/>
      <c r="J4636" s="58" t="n"/>
      <c r="K4636" s="63">
        <f>IF(tblMovement[[#This Row],[Source]]="","",IFERROR(INDEX(tblSources[Type],MATCH(tblMovement[[#This Row],[Source]],tblSources[Source],0)),"?"))</f>
        <v/>
      </c>
      <c r="L4636" s="63">
        <f>IF(tblMovement[[#This Row],[Destination]]="","",IFERROR(INDEX(tblDestinations[Type],MATCH(tblMovement[[#This Row],[Destination]],tblDestinations[Destination],0)),"?"))</f>
        <v/>
      </c>
      <c r="M4636" s="64">
        <f>IF(tblMovement[[#This Row],[Material]]="","",IF(LEFT(tblMovement[[#This Row],[Material]],3)="Ore",1,0))</f>
        <v/>
      </c>
      <c r="N4636" s="59">
        <f>IF(OR(tblMovement[[#This Row],[Tonnes_t]]="",tblMovement[[#This Row],[Grade_gpt]]=""),0,tblMovement[[#This Row],[Tonnes_t]]*tblMovement[[#This Row],[Grade_gpt]]/cfg_TroyOz)</f>
        <v/>
      </c>
      <c r="O4636" s="59">
        <f>IF(tblMovement[[#This Row],[Is_Ore]]=1,tblMovement[[#This Row],[Contained_oz]],0)</f>
        <v/>
      </c>
    </row>
    <row r="4637">
      <c r="A4637" s="54" t="n"/>
      <c r="B4637" s="61" t="n"/>
      <c r="C4637" s="61" t="n"/>
      <c r="D4637" s="61" t="n"/>
      <c r="E4637" s="61" t="n"/>
      <c r="F4637" s="55" t="n"/>
      <c r="G4637" s="56" t="n"/>
      <c r="H4637" s="55" t="n"/>
      <c r="I4637" s="62" t="n"/>
      <c r="J4637" s="58" t="n"/>
      <c r="K4637" s="63">
        <f>IF(tblMovement[[#This Row],[Source]]="","",IFERROR(INDEX(tblSources[Type],MATCH(tblMovement[[#This Row],[Source]],tblSources[Source],0)),"?"))</f>
        <v/>
      </c>
      <c r="L4637" s="63">
        <f>IF(tblMovement[[#This Row],[Destination]]="","",IFERROR(INDEX(tblDestinations[Type],MATCH(tblMovement[[#This Row],[Destination]],tblDestinations[Destination],0)),"?"))</f>
        <v/>
      </c>
      <c r="M4637" s="64">
        <f>IF(tblMovement[[#This Row],[Material]]="","",IF(LEFT(tblMovement[[#This Row],[Material]],3)="Ore",1,0))</f>
        <v/>
      </c>
      <c r="N4637" s="59">
        <f>IF(OR(tblMovement[[#This Row],[Tonnes_t]]="",tblMovement[[#This Row],[Grade_gpt]]=""),0,tblMovement[[#This Row],[Tonnes_t]]*tblMovement[[#This Row],[Grade_gpt]]/cfg_TroyOz)</f>
        <v/>
      </c>
      <c r="O4637" s="59">
        <f>IF(tblMovement[[#This Row],[Is_Ore]]=1,tblMovement[[#This Row],[Contained_oz]],0)</f>
        <v/>
      </c>
    </row>
    <row r="4638">
      <c r="A4638" s="54" t="n"/>
      <c r="B4638" s="61" t="n"/>
      <c r="C4638" s="61" t="n"/>
      <c r="D4638" s="61" t="n"/>
      <c r="E4638" s="61" t="n"/>
      <c r="F4638" s="55" t="n"/>
      <c r="G4638" s="56" t="n"/>
      <c r="H4638" s="55" t="n"/>
      <c r="I4638" s="62" t="n"/>
      <c r="J4638" s="58" t="n"/>
      <c r="K4638" s="63">
        <f>IF(tblMovement[[#This Row],[Source]]="","",IFERROR(INDEX(tblSources[Type],MATCH(tblMovement[[#This Row],[Source]],tblSources[Source],0)),"?"))</f>
        <v/>
      </c>
      <c r="L4638" s="63">
        <f>IF(tblMovement[[#This Row],[Destination]]="","",IFERROR(INDEX(tblDestinations[Type],MATCH(tblMovement[[#This Row],[Destination]],tblDestinations[Destination],0)),"?"))</f>
        <v/>
      </c>
      <c r="M4638" s="64">
        <f>IF(tblMovement[[#This Row],[Material]]="","",IF(LEFT(tblMovement[[#This Row],[Material]],3)="Ore",1,0))</f>
        <v/>
      </c>
      <c r="N4638" s="59">
        <f>IF(OR(tblMovement[[#This Row],[Tonnes_t]]="",tblMovement[[#This Row],[Grade_gpt]]=""),0,tblMovement[[#This Row],[Tonnes_t]]*tblMovement[[#This Row],[Grade_gpt]]/cfg_TroyOz)</f>
        <v/>
      </c>
      <c r="O4638" s="59">
        <f>IF(tblMovement[[#This Row],[Is_Ore]]=1,tblMovement[[#This Row],[Contained_oz]],0)</f>
        <v/>
      </c>
    </row>
    <row r="4639">
      <c r="A4639" s="54" t="n"/>
      <c r="B4639" s="61" t="n"/>
      <c r="C4639" s="61" t="n"/>
      <c r="D4639" s="61" t="n"/>
      <c r="E4639" s="61" t="n"/>
      <c r="F4639" s="55" t="n"/>
      <c r="G4639" s="56" t="n"/>
      <c r="H4639" s="55" t="n"/>
      <c r="I4639" s="62" t="n"/>
      <c r="J4639" s="58" t="n"/>
      <c r="K4639" s="63">
        <f>IF(tblMovement[[#This Row],[Source]]="","",IFERROR(INDEX(tblSources[Type],MATCH(tblMovement[[#This Row],[Source]],tblSources[Source],0)),"?"))</f>
        <v/>
      </c>
      <c r="L4639" s="63">
        <f>IF(tblMovement[[#This Row],[Destination]]="","",IFERROR(INDEX(tblDestinations[Type],MATCH(tblMovement[[#This Row],[Destination]],tblDestinations[Destination],0)),"?"))</f>
        <v/>
      </c>
      <c r="M4639" s="64">
        <f>IF(tblMovement[[#This Row],[Material]]="","",IF(LEFT(tblMovement[[#This Row],[Material]],3)="Ore",1,0))</f>
        <v/>
      </c>
      <c r="N4639" s="59">
        <f>IF(OR(tblMovement[[#This Row],[Tonnes_t]]="",tblMovement[[#This Row],[Grade_gpt]]=""),0,tblMovement[[#This Row],[Tonnes_t]]*tblMovement[[#This Row],[Grade_gpt]]/cfg_TroyOz)</f>
        <v/>
      </c>
      <c r="O4639" s="59">
        <f>IF(tblMovement[[#This Row],[Is_Ore]]=1,tblMovement[[#This Row],[Contained_oz]],0)</f>
        <v/>
      </c>
    </row>
    <row r="4640">
      <c r="A4640" s="54" t="n"/>
      <c r="B4640" s="61" t="n"/>
      <c r="C4640" s="61" t="n"/>
      <c r="D4640" s="61" t="n"/>
      <c r="E4640" s="61" t="n"/>
      <c r="F4640" s="55" t="n"/>
      <c r="G4640" s="56" t="n"/>
      <c r="H4640" s="55" t="n"/>
      <c r="I4640" s="62" t="n"/>
      <c r="J4640" s="58" t="n"/>
      <c r="K4640" s="63">
        <f>IF(tblMovement[[#This Row],[Source]]="","",IFERROR(INDEX(tblSources[Type],MATCH(tblMovement[[#This Row],[Source]],tblSources[Source],0)),"?"))</f>
        <v/>
      </c>
      <c r="L4640" s="63">
        <f>IF(tblMovement[[#This Row],[Destination]]="","",IFERROR(INDEX(tblDestinations[Type],MATCH(tblMovement[[#This Row],[Destination]],tblDestinations[Destination],0)),"?"))</f>
        <v/>
      </c>
      <c r="M4640" s="64">
        <f>IF(tblMovement[[#This Row],[Material]]="","",IF(LEFT(tblMovement[[#This Row],[Material]],3)="Ore",1,0))</f>
        <v/>
      </c>
      <c r="N4640" s="59">
        <f>IF(OR(tblMovement[[#This Row],[Tonnes_t]]="",tblMovement[[#This Row],[Grade_gpt]]=""),0,tblMovement[[#This Row],[Tonnes_t]]*tblMovement[[#This Row],[Grade_gpt]]/cfg_TroyOz)</f>
        <v/>
      </c>
      <c r="O4640" s="59">
        <f>IF(tblMovement[[#This Row],[Is_Ore]]=1,tblMovement[[#This Row],[Contained_oz]],0)</f>
        <v/>
      </c>
    </row>
    <row r="4641">
      <c r="A4641" s="54" t="n"/>
      <c r="B4641" s="61" t="n"/>
      <c r="C4641" s="61" t="n"/>
      <c r="D4641" s="61" t="n"/>
      <c r="E4641" s="61" t="n"/>
      <c r="F4641" s="55" t="n"/>
      <c r="G4641" s="56" t="n"/>
      <c r="H4641" s="55" t="n"/>
      <c r="I4641" s="62" t="n"/>
      <c r="J4641" s="58" t="n"/>
      <c r="K4641" s="63">
        <f>IF(tblMovement[[#This Row],[Source]]="","",IFERROR(INDEX(tblSources[Type],MATCH(tblMovement[[#This Row],[Source]],tblSources[Source],0)),"?"))</f>
        <v/>
      </c>
      <c r="L4641" s="63">
        <f>IF(tblMovement[[#This Row],[Destination]]="","",IFERROR(INDEX(tblDestinations[Type],MATCH(tblMovement[[#This Row],[Destination]],tblDestinations[Destination],0)),"?"))</f>
        <v/>
      </c>
      <c r="M4641" s="64">
        <f>IF(tblMovement[[#This Row],[Material]]="","",IF(LEFT(tblMovement[[#This Row],[Material]],3)="Ore",1,0))</f>
        <v/>
      </c>
      <c r="N4641" s="59">
        <f>IF(OR(tblMovement[[#This Row],[Tonnes_t]]="",tblMovement[[#This Row],[Grade_gpt]]=""),0,tblMovement[[#This Row],[Tonnes_t]]*tblMovement[[#This Row],[Grade_gpt]]/cfg_TroyOz)</f>
        <v/>
      </c>
      <c r="O4641" s="59">
        <f>IF(tblMovement[[#This Row],[Is_Ore]]=1,tblMovement[[#This Row],[Contained_oz]],0)</f>
        <v/>
      </c>
    </row>
    <row r="4642">
      <c r="A4642" s="54" t="n"/>
      <c r="B4642" s="61" t="n"/>
      <c r="C4642" s="61" t="n"/>
      <c r="D4642" s="61" t="n"/>
      <c r="E4642" s="61" t="n"/>
      <c r="F4642" s="55" t="n"/>
      <c r="G4642" s="56" t="n"/>
      <c r="H4642" s="55" t="n"/>
      <c r="I4642" s="62" t="n"/>
      <c r="J4642" s="58" t="n"/>
      <c r="K4642" s="63">
        <f>IF(tblMovement[[#This Row],[Source]]="","",IFERROR(INDEX(tblSources[Type],MATCH(tblMovement[[#This Row],[Source]],tblSources[Source],0)),"?"))</f>
        <v/>
      </c>
      <c r="L4642" s="63">
        <f>IF(tblMovement[[#This Row],[Destination]]="","",IFERROR(INDEX(tblDestinations[Type],MATCH(tblMovement[[#This Row],[Destination]],tblDestinations[Destination],0)),"?"))</f>
        <v/>
      </c>
      <c r="M4642" s="64">
        <f>IF(tblMovement[[#This Row],[Material]]="","",IF(LEFT(tblMovement[[#This Row],[Material]],3)="Ore",1,0))</f>
        <v/>
      </c>
      <c r="N4642" s="59">
        <f>IF(OR(tblMovement[[#This Row],[Tonnes_t]]="",tblMovement[[#This Row],[Grade_gpt]]=""),0,tblMovement[[#This Row],[Tonnes_t]]*tblMovement[[#This Row],[Grade_gpt]]/cfg_TroyOz)</f>
        <v/>
      </c>
      <c r="O4642" s="59">
        <f>IF(tblMovement[[#This Row],[Is_Ore]]=1,tblMovement[[#This Row],[Contained_oz]],0)</f>
        <v/>
      </c>
    </row>
    <row r="4643">
      <c r="A4643" s="54" t="n"/>
      <c r="B4643" s="61" t="n"/>
      <c r="C4643" s="61" t="n"/>
      <c r="D4643" s="61" t="n"/>
      <c r="E4643" s="61" t="n"/>
      <c r="F4643" s="55" t="n"/>
      <c r="G4643" s="56" t="n"/>
      <c r="H4643" s="55" t="n"/>
      <c r="I4643" s="62" t="n"/>
      <c r="J4643" s="58" t="n"/>
      <c r="K4643" s="63">
        <f>IF(tblMovement[[#This Row],[Source]]="","",IFERROR(INDEX(tblSources[Type],MATCH(tblMovement[[#This Row],[Source]],tblSources[Source],0)),"?"))</f>
        <v/>
      </c>
      <c r="L4643" s="63">
        <f>IF(tblMovement[[#This Row],[Destination]]="","",IFERROR(INDEX(tblDestinations[Type],MATCH(tblMovement[[#This Row],[Destination]],tblDestinations[Destination],0)),"?"))</f>
        <v/>
      </c>
      <c r="M4643" s="64">
        <f>IF(tblMovement[[#This Row],[Material]]="","",IF(LEFT(tblMovement[[#This Row],[Material]],3)="Ore",1,0))</f>
        <v/>
      </c>
      <c r="N4643" s="59">
        <f>IF(OR(tblMovement[[#This Row],[Tonnes_t]]="",tblMovement[[#This Row],[Grade_gpt]]=""),0,tblMovement[[#This Row],[Tonnes_t]]*tblMovement[[#This Row],[Grade_gpt]]/cfg_TroyOz)</f>
        <v/>
      </c>
      <c r="O4643" s="59">
        <f>IF(tblMovement[[#This Row],[Is_Ore]]=1,tblMovement[[#This Row],[Contained_oz]],0)</f>
        <v/>
      </c>
    </row>
    <row r="4644">
      <c r="A4644" s="54" t="n"/>
      <c r="B4644" s="61" t="n"/>
      <c r="C4644" s="61" t="n"/>
      <c r="D4644" s="61" t="n"/>
      <c r="E4644" s="61" t="n"/>
      <c r="F4644" s="55" t="n"/>
      <c r="G4644" s="56" t="n"/>
      <c r="H4644" s="55" t="n"/>
      <c r="I4644" s="62" t="n"/>
      <c r="J4644" s="58" t="n"/>
      <c r="K4644" s="63">
        <f>IF(tblMovement[[#This Row],[Source]]="","",IFERROR(INDEX(tblSources[Type],MATCH(tblMovement[[#This Row],[Source]],tblSources[Source],0)),"?"))</f>
        <v/>
      </c>
      <c r="L4644" s="63">
        <f>IF(tblMovement[[#This Row],[Destination]]="","",IFERROR(INDEX(tblDestinations[Type],MATCH(tblMovement[[#This Row],[Destination]],tblDestinations[Destination],0)),"?"))</f>
        <v/>
      </c>
      <c r="M4644" s="64">
        <f>IF(tblMovement[[#This Row],[Material]]="","",IF(LEFT(tblMovement[[#This Row],[Material]],3)="Ore",1,0))</f>
        <v/>
      </c>
      <c r="N4644" s="59">
        <f>IF(OR(tblMovement[[#This Row],[Tonnes_t]]="",tblMovement[[#This Row],[Grade_gpt]]=""),0,tblMovement[[#This Row],[Tonnes_t]]*tblMovement[[#This Row],[Grade_gpt]]/cfg_TroyOz)</f>
        <v/>
      </c>
      <c r="O4644" s="59">
        <f>IF(tblMovement[[#This Row],[Is_Ore]]=1,tblMovement[[#This Row],[Contained_oz]],0)</f>
        <v/>
      </c>
    </row>
    <row r="4645">
      <c r="A4645" s="54" t="n"/>
      <c r="B4645" s="61" t="n"/>
      <c r="C4645" s="61" t="n"/>
      <c r="D4645" s="61" t="n"/>
      <c r="E4645" s="61" t="n"/>
      <c r="F4645" s="55" t="n"/>
      <c r="G4645" s="56" t="n"/>
      <c r="H4645" s="55" t="n"/>
      <c r="I4645" s="62" t="n"/>
      <c r="J4645" s="58" t="n"/>
      <c r="K4645" s="63">
        <f>IF(tblMovement[[#This Row],[Source]]="","",IFERROR(INDEX(tblSources[Type],MATCH(tblMovement[[#This Row],[Source]],tblSources[Source],0)),"?"))</f>
        <v/>
      </c>
      <c r="L4645" s="63">
        <f>IF(tblMovement[[#This Row],[Destination]]="","",IFERROR(INDEX(tblDestinations[Type],MATCH(tblMovement[[#This Row],[Destination]],tblDestinations[Destination],0)),"?"))</f>
        <v/>
      </c>
      <c r="M4645" s="64">
        <f>IF(tblMovement[[#This Row],[Material]]="","",IF(LEFT(tblMovement[[#This Row],[Material]],3)="Ore",1,0))</f>
        <v/>
      </c>
      <c r="N4645" s="59">
        <f>IF(OR(tblMovement[[#This Row],[Tonnes_t]]="",tblMovement[[#This Row],[Grade_gpt]]=""),0,tblMovement[[#This Row],[Tonnes_t]]*tblMovement[[#This Row],[Grade_gpt]]/cfg_TroyOz)</f>
        <v/>
      </c>
      <c r="O4645" s="59">
        <f>IF(tblMovement[[#This Row],[Is_Ore]]=1,tblMovement[[#This Row],[Contained_oz]],0)</f>
        <v/>
      </c>
    </row>
    <row r="4646">
      <c r="A4646" s="54" t="n"/>
      <c r="B4646" s="61" t="n"/>
      <c r="C4646" s="61" t="n"/>
      <c r="D4646" s="61" t="n"/>
      <c r="E4646" s="61" t="n"/>
      <c r="F4646" s="55" t="n"/>
      <c r="G4646" s="56" t="n"/>
      <c r="H4646" s="55" t="n"/>
      <c r="I4646" s="62" t="n"/>
      <c r="J4646" s="58" t="n"/>
      <c r="K4646" s="63">
        <f>IF(tblMovement[[#This Row],[Source]]="","",IFERROR(INDEX(tblSources[Type],MATCH(tblMovement[[#This Row],[Source]],tblSources[Source],0)),"?"))</f>
        <v/>
      </c>
      <c r="L4646" s="63">
        <f>IF(tblMovement[[#This Row],[Destination]]="","",IFERROR(INDEX(tblDestinations[Type],MATCH(tblMovement[[#This Row],[Destination]],tblDestinations[Destination],0)),"?"))</f>
        <v/>
      </c>
      <c r="M4646" s="64">
        <f>IF(tblMovement[[#This Row],[Material]]="","",IF(LEFT(tblMovement[[#This Row],[Material]],3)="Ore",1,0))</f>
        <v/>
      </c>
      <c r="N4646" s="59">
        <f>IF(OR(tblMovement[[#This Row],[Tonnes_t]]="",tblMovement[[#This Row],[Grade_gpt]]=""),0,tblMovement[[#This Row],[Tonnes_t]]*tblMovement[[#This Row],[Grade_gpt]]/cfg_TroyOz)</f>
        <v/>
      </c>
      <c r="O4646" s="59">
        <f>IF(tblMovement[[#This Row],[Is_Ore]]=1,tblMovement[[#This Row],[Contained_oz]],0)</f>
        <v/>
      </c>
    </row>
    <row r="4647">
      <c r="A4647" s="54" t="n"/>
      <c r="B4647" s="61" t="n"/>
      <c r="C4647" s="61" t="n"/>
      <c r="D4647" s="61" t="n"/>
      <c r="E4647" s="61" t="n"/>
      <c r="F4647" s="55" t="n"/>
      <c r="G4647" s="56" t="n"/>
      <c r="H4647" s="55" t="n"/>
      <c r="I4647" s="62" t="n"/>
      <c r="J4647" s="58" t="n"/>
      <c r="K4647" s="63">
        <f>IF(tblMovement[[#This Row],[Source]]="","",IFERROR(INDEX(tblSources[Type],MATCH(tblMovement[[#This Row],[Source]],tblSources[Source],0)),"?"))</f>
        <v/>
      </c>
      <c r="L4647" s="63">
        <f>IF(tblMovement[[#This Row],[Destination]]="","",IFERROR(INDEX(tblDestinations[Type],MATCH(tblMovement[[#This Row],[Destination]],tblDestinations[Destination],0)),"?"))</f>
        <v/>
      </c>
      <c r="M4647" s="64">
        <f>IF(tblMovement[[#This Row],[Material]]="","",IF(LEFT(tblMovement[[#This Row],[Material]],3)="Ore",1,0))</f>
        <v/>
      </c>
      <c r="N4647" s="59">
        <f>IF(OR(tblMovement[[#This Row],[Tonnes_t]]="",tblMovement[[#This Row],[Grade_gpt]]=""),0,tblMovement[[#This Row],[Tonnes_t]]*tblMovement[[#This Row],[Grade_gpt]]/cfg_TroyOz)</f>
        <v/>
      </c>
      <c r="O4647" s="59">
        <f>IF(tblMovement[[#This Row],[Is_Ore]]=1,tblMovement[[#This Row],[Contained_oz]],0)</f>
        <v/>
      </c>
    </row>
    <row r="4648">
      <c r="A4648" s="54" t="n"/>
      <c r="B4648" s="61" t="n"/>
      <c r="C4648" s="61" t="n"/>
      <c r="D4648" s="61" t="n"/>
      <c r="E4648" s="61" t="n"/>
      <c r="F4648" s="55" t="n"/>
      <c r="G4648" s="56" t="n"/>
      <c r="H4648" s="55" t="n"/>
      <c r="I4648" s="62" t="n"/>
      <c r="J4648" s="58" t="n"/>
      <c r="K4648" s="63">
        <f>IF(tblMovement[[#This Row],[Source]]="","",IFERROR(INDEX(tblSources[Type],MATCH(tblMovement[[#This Row],[Source]],tblSources[Source],0)),"?"))</f>
        <v/>
      </c>
      <c r="L4648" s="63">
        <f>IF(tblMovement[[#This Row],[Destination]]="","",IFERROR(INDEX(tblDestinations[Type],MATCH(tblMovement[[#This Row],[Destination]],tblDestinations[Destination],0)),"?"))</f>
        <v/>
      </c>
      <c r="M4648" s="64">
        <f>IF(tblMovement[[#This Row],[Material]]="","",IF(LEFT(tblMovement[[#This Row],[Material]],3)="Ore",1,0))</f>
        <v/>
      </c>
      <c r="N4648" s="59">
        <f>IF(OR(tblMovement[[#This Row],[Tonnes_t]]="",tblMovement[[#This Row],[Grade_gpt]]=""),0,tblMovement[[#This Row],[Tonnes_t]]*tblMovement[[#This Row],[Grade_gpt]]/cfg_TroyOz)</f>
        <v/>
      </c>
      <c r="O4648" s="59">
        <f>IF(tblMovement[[#This Row],[Is_Ore]]=1,tblMovement[[#This Row],[Contained_oz]],0)</f>
        <v/>
      </c>
    </row>
    <row r="4649">
      <c r="A4649" s="54" t="n"/>
      <c r="B4649" s="61" t="n"/>
      <c r="C4649" s="61" t="n"/>
      <c r="D4649" s="61" t="n"/>
      <c r="E4649" s="61" t="n"/>
      <c r="F4649" s="55" t="n"/>
      <c r="G4649" s="56" t="n"/>
      <c r="H4649" s="55" t="n"/>
      <c r="I4649" s="62" t="n"/>
      <c r="J4649" s="58" t="n"/>
      <c r="K4649" s="63">
        <f>IF(tblMovement[[#This Row],[Source]]="","",IFERROR(INDEX(tblSources[Type],MATCH(tblMovement[[#This Row],[Source]],tblSources[Source],0)),"?"))</f>
        <v/>
      </c>
      <c r="L4649" s="63">
        <f>IF(tblMovement[[#This Row],[Destination]]="","",IFERROR(INDEX(tblDestinations[Type],MATCH(tblMovement[[#This Row],[Destination]],tblDestinations[Destination],0)),"?"))</f>
        <v/>
      </c>
      <c r="M4649" s="64">
        <f>IF(tblMovement[[#This Row],[Material]]="","",IF(LEFT(tblMovement[[#This Row],[Material]],3)="Ore",1,0))</f>
        <v/>
      </c>
      <c r="N4649" s="59">
        <f>IF(OR(tblMovement[[#This Row],[Tonnes_t]]="",tblMovement[[#This Row],[Grade_gpt]]=""),0,tblMovement[[#This Row],[Tonnes_t]]*tblMovement[[#This Row],[Grade_gpt]]/cfg_TroyOz)</f>
        <v/>
      </c>
      <c r="O4649" s="59">
        <f>IF(tblMovement[[#This Row],[Is_Ore]]=1,tblMovement[[#This Row],[Contained_oz]],0)</f>
        <v/>
      </c>
    </row>
    <row r="4650">
      <c r="A4650" s="54" t="n"/>
      <c r="B4650" s="61" t="n"/>
      <c r="C4650" s="61" t="n"/>
      <c r="D4650" s="61" t="n"/>
      <c r="E4650" s="61" t="n"/>
      <c r="F4650" s="55" t="n"/>
      <c r="G4650" s="56" t="n"/>
      <c r="H4650" s="55" t="n"/>
      <c r="I4650" s="62" t="n"/>
      <c r="J4650" s="58" t="n"/>
      <c r="K4650" s="63">
        <f>IF(tblMovement[[#This Row],[Source]]="","",IFERROR(INDEX(tblSources[Type],MATCH(tblMovement[[#This Row],[Source]],tblSources[Source],0)),"?"))</f>
        <v/>
      </c>
      <c r="L4650" s="63">
        <f>IF(tblMovement[[#This Row],[Destination]]="","",IFERROR(INDEX(tblDestinations[Type],MATCH(tblMovement[[#This Row],[Destination]],tblDestinations[Destination],0)),"?"))</f>
        <v/>
      </c>
      <c r="M4650" s="64">
        <f>IF(tblMovement[[#This Row],[Material]]="","",IF(LEFT(tblMovement[[#This Row],[Material]],3)="Ore",1,0))</f>
        <v/>
      </c>
      <c r="N4650" s="59">
        <f>IF(OR(tblMovement[[#This Row],[Tonnes_t]]="",tblMovement[[#This Row],[Grade_gpt]]=""),0,tblMovement[[#This Row],[Tonnes_t]]*tblMovement[[#This Row],[Grade_gpt]]/cfg_TroyOz)</f>
        <v/>
      </c>
      <c r="O4650" s="59">
        <f>IF(tblMovement[[#This Row],[Is_Ore]]=1,tblMovement[[#This Row],[Contained_oz]],0)</f>
        <v/>
      </c>
    </row>
    <row r="4651">
      <c r="A4651" s="54" t="n"/>
      <c r="B4651" s="61" t="n"/>
      <c r="C4651" s="61" t="n"/>
      <c r="D4651" s="61" t="n"/>
      <c r="E4651" s="61" t="n"/>
      <c r="F4651" s="55" t="n"/>
      <c r="G4651" s="56" t="n"/>
      <c r="H4651" s="55" t="n"/>
      <c r="I4651" s="62" t="n"/>
      <c r="J4651" s="58" t="n"/>
      <c r="K4651" s="63">
        <f>IF(tblMovement[[#This Row],[Source]]="","",IFERROR(INDEX(tblSources[Type],MATCH(tblMovement[[#This Row],[Source]],tblSources[Source],0)),"?"))</f>
        <v/>
      </c>
      <c r="L4651" s="63">
        <f>IF(tblMovement[[#This Row],[Destination]]="","",IFERROR(INDEX(tblDestinations[Type],MATCH(tblMovement[[#This Row],[Destination]],tblDestinations[Destination],0)),"?"))</f>
        <v/>
      </c>
      <c r="M4651" s="64">
        <f>IF(tblMovement[[#This Row],[Material]]="","",IF(LEFT(tblMovement[[#This Row],[Material]],3)="Ore",1,0))</f>
        <v/>
      </c>
      <c r="N4651" s="59">
        <f>IF(OR(tblMovement[[#This Row],[Tonnes_t]]="",tblMovement[[#This Row],[Grade_gpt]]=""),0,tblMovement[[#This Row],[Tonnes_t]]*tblMovement[[#This Row],[Grade_gpt]]/cfg_TroyOz)</f>
        <v/>
      </c>
      <c r="O4651" s="59">
        <f>IF(tblMovement[[#This Row],[Is_Ore]]=1,tblMovement[[#This Row],[Contained_oz]],0)</f>
        <v/>
      </c>
    </row>
    <row r="4652">
      <c r="A4652" s="54" t="n"/>
      <c r="B4652" s="61" t="n"/>
      <c r="C4652" s="61" t="n"/>
      <c r="D4652" s="61" t="n"/>
      <c r="E4652" s="61" t="n"/>
      <c r="F4652" s="55" t="n"/>
      <c r="G4652" s="56" t="n"/>
      <c r="H4652" s="55" t="n"/>
      <c r="I4652" s="62" t="n"/>
      <c r="J4652" s="58" t="n"/>
      <c r="K4652" s="63">
        <f>IF(tblMovement[[#This Row],[Source]]="","",IFERROR(INDEX(tblSources[Type],MATCH(tblMovement[[#This Row],[Source]],tblSources[Source],0)),"?"))</f>
        <v/>
      </c>
      <c r="L4652" s="63">
        <f>IF(tblMovement[[#This Row],[Destination]]="","",IFERROR(INDEX(tblDestinations[Type],MATCH(tblMovement[[#This Row],[Destination]],tblDestinations[Destination],0)),"?"))</f>
        <v/>
      </c>
      <c r="M4652" s="64">
        <f>IF(tblMovement[[#This Row],[Material]]="","",IF(LEFT(tblMovement[[#This Row],[Material]],3)="Ore",1,0))</f>
        <v/>
      </c>
      <c r="N4652" s="59">
        <f>IF(OR(tblMovement[[#This Row],[Tonnes_t]]="",tblMovement[[#This Row],[Grade_gpt]]=""),0,tblMovement[[#This Row],[Tonnes_t]]*tblMovement[[#This Row],[Grade_gpt]]/cfg_TroyOz)</f>
        <v/>
      </c>
      <c r="O4652" s="59">
        <f>IF(tblMovement[[#This Row],[Is_Ore]]=1,tblMovement[[#This Row],[Contained_oz]],0)</f>
        <v/>
      </c>
    </row>
    <row r="4653">
      <c r="A4653" s="54" t="n"/>
      <c r="B4653" s="61" t="n"/>
      <c r="C4653" s="61" t="n"/>
      <c r="D4653" s="61" t="n"/>
      <c r="E4653" s="61" t="n"/>
      <c r="F4653" s="55" t="n"/>
      <c r="G4653" s="56" t="n"/>
      <c r="H4653" s="55" t="n"/>
      <c r="I4653" s="62" t="n"/>
      <c r="J4653" s="58" t="n"/>
      <c r="K4653" s="63">
        <f>IF(tblMovement[[#This Row],[Source]]="","",IFERROR(INDEX(tblSources[Type],MATCH(tblMovement[[#This Row],[Source]],tblSources[Source],0)),"?"))</f>
        <v/>
      </c>
      <c r="L4653" s="63">
        <f>IF(tblMovement[[#This Row],[Destination]]="","",IFERROR(INDEX(tblDestinations[Type],MATCH(tblMovement[[#This Row],[Destination]],tblDestinations[Destination],0)),"?"))</f>
        <v/>
      </c>
      <c r="M4653" s="64">
        <f>IF(tblMovement[[#This Row],[Material]]="","",IF(LEFT(tblMovement[[#This Row],[Material]],3)="Ore",1,0))</f>
        <v/>
      </c>
      <c r="N4653" s="59">
        <f>IF(OR(tblMovement[[#This Row],[Tonnes_t]]="",tblMovement[[#This Row],[Grade_gpt]]=""),0,tblMovement[[#This Row],[Tonnes_t]]*tblMovement[[#This Row],[Grade_gpt]]/cfg_TroyOz)</f>
        <v/>
      </c>
      <c r="O4653" s="59">
        <f>IF(tblMovement[[#This Row],[Is_Ore]]=1,tblMovement[[#This Row],[Contained_oz]],0)</f>
        <v/>
      </c>
    </row>
    <row r="4654">
      <c r="A4654" s="54" t="n"/>
      <c r="B4654" s="61" t="n"/>
      <c r="C4654" s="61" t="n"/>
      <c r="D4654" s="61" t="n"/>
      <c r="E4654" s="61" t="n"/>
      <c r="F4654" s="55" t="n"/>
      <c r="G4654" s="56" t="n"/>
      <c r="H4654" s="55" t="n"/>
      <c r="I4654" s="62" t="n"/>
      <c r="J4654" s="58" t="n"/>
      <c r="K4654" s="63">
        <f>IF(tblMovement[[#This Row],[Source]]="","",IFERROR(INDEX(tblSources[Type],MATCH(tblMovement[[#This Row],[Source]],tblSources[Source],0)),"?"))</f>
        <v/>
      </c>
      <c r="L4654" s="63">
        <f>IF(tblMovement[[#This Row],[Destination]]="","",IFERROR(INDEX(tblDestinations[Type],MATCH(tblMovement[[#This Row],[Destination]],tblDestinations[Destination],0)),"?"))</f>
        <v/>
      </c>
      <c r="M4654" s="64">
        <f>IF(tblMovement[[#This Row],[Material]]="","",IF(LEFT(tblMovement[[#This Row],[Material]],3)="Ore",1,0))</f>
        <v/>
      </c>
      <c r="N4654" s="59">
        <f>IF(OR(tblMovement[[#This Row],[Tonnes_t]]="",tblMovement[[#This Row],[Grade_gpt]]=""),0,tblMovement[[#This Row],[Tonnes_t]]*tblMovement[[#This Row],[Grade_gpt]]/cfg_TroyOz)</f>
        <v/>
      </c>
      <c r="O4654" s="59">
        <f>IF(tblMovement[[#This Row],[Is_Ore]]=1,tblMovement[[#This Row],[Contained_oz]],0)</f>
        <v/>
      </c>
    </row>
    <row r="4655">
      <c r="A4655" s="54" t="n"/>
      <c r="B4655" s="61" t="n"/>
      <c r="C4655" s="61" t="n"/>
      <c r="D4655" s="61" t="n"/>
      <c r="E4655" s="61" t="n"/>
      <c r="F4655" s="55" t="n"/>
      <c r="G4655" s="56" t="n"/>
      <c r="H4655" s="55" t="n"/>
      <c r="I4655" s="62" t="n"/>
      <c r="J4655" s="58" t="n"/>
      <c r="K4655" s="63">
        <f>IF(tblMovement[[#This Row],[Source]]="","",IFERROR(INDEX(tblSources[Type],MATCH(tblMovement[[#This Row],[Source]],tblSources[Source],0)),"?"))</f>
        <v/>
      </c>
      <c r="L4655" s="63">
        <f>IF(tblMovement[[#This Row],[Destination]]="","",IFERROR(INDEX(tblDestinations[Type],MATCH(tblMovement[[#This Row],[Destination]],tblDestinations[Destination],0)),"?"))</f>
        <v/>
      </c>
      <c r="M4655" s="64">
        <f>IF(tblMovement[[#This Row],[Material]]="","",IF(LEFT(tblMovement[[#This Row],[Material]],3)="Ore",1,0))</f>
        <v/>
      </c>
      <c r="N4655" s="59">
        <f>IF(OR(tblMovement[[#This Row],[Tonnes_t]]="",tblMovement[[#This Row],[Grade_gpt]]=""),0,tblMovement[[#This Row],[Tonnes_t]]*tblMovement[[#This Row],[Grade_gpt]]/cfg_TroyOz)</f>
        <v/>
      </c>
      <c r="O4655" s="59">
        <f>IF(tblMovement[[#This Row],[Is_Ore]]=1,tblMovement[[#This Row],[Contained_oz]],0)</f>
        <v/>
      </c>
    </row>
    <row r="4656">
      <c r="A4656" s="54" t="n"/>
      <c r="B4656" s="61" t="n"/>
      <c r="C4656" s="61" t="n"/>
      <c r="D4656" s="61" t="n"/>
      <c r="E4656" s="61" t="n"/>
      <c r="F4656" s="55" t="n"/>
      <c r="G4656" s="56" t="n"/>
      <c r="H4656" s="55" t="n"/>
      <c r="I4656" s="62" t="n"/>
      <c r="J4656" s="58" t="n"/>
      <c r="K4656" s="63">
        <f>IF(tblMovement[[#This Row],[Source]]="","",IFERROR(INDEX(tblSources[Type],MATCH(tblMovement[[#This Row],[Source]],tblSources[Source],0)),"?"))</f>
        <v/>
      </c>
      <c r="L4656" s="63">
        <f>IF(tblMovement[[#This Row],[Destination]]="","",IFERROR(INDEX(tblDestinations[Type],MATCH(tblMovement[[#This Row],[Destination]],tblDestinations[Destination],0)),"?"))</f>
        <v/>
      </c>
      <c r="M4656" s="64">
        <f>IF(tblMovement[[#This Row],[Material]]="","",IF(LEFT(tblMovement[[#This Row],[Material]],3)="Ore",1,0))</f>
        <v/>
      </c>
      <c r="N4656" s="59">
        <f>IF(OR(tblMovement[[#This Row],[Tonnes_t]]="",tblMovement[[#This Row],[Grade_gpt]]=""),0,tblMovement[[#This Row],[Tonnes_t]]*tblMovement[[#This Row],[Grade_gpt]]/cfg_TroyOz)</f>
        <v/>
      </c>
      <c r="O4656" s="59">
        <f>IF(tblMovement[[#This Row],[Is_Ore]]=1,tblMovement[[#This Row],[Contained_oz]],0)</f>
        <v/>
      </c>
    </row>
    <row r="4657">
      <c r="A4657" s="54" t="n"/>
      <c r="B4657" s="61" t="n"/>
      <c r="C4657" s="61" t="n"/>
      <c r="D4657" s="61" t="n"/>
      <c r="E4657" s="61" t="n"/>
      <c r="F4657" s="55" t="n"/>
      <c r="G4657" s="56" t="n"/>
      <c r="H4657" s="55" t="n"/>
      <c r="I4657" s="62" t="n"/>
      <c r="J4657" s="58" t="n"/>
      <c r="K4657" s="63">
        <f>IF(tblMovement[[#This Row],[Source]]="","",IFERROR(INDEX(tblSources[Type],MATCH(tblMovement[[#This Row],[Source]],tblSources[Source],0)),"?"))</f>
        <v/>
      </c>
      <c r="L4657" s="63">
        <f>IF(tblMovement[[#This Row],[Destination]]="","",IFERROR(INDEX(tblDestinations[Type],MATCH(tblMovement[[#This Row],[Destination]],tblDestinations[Destination],0)),"?"))</f>
        <v/>
      </c>
      <c r="M4657" s="64">
        <f>IF(tblMovement[[#This Row],[Material]]="","",IF(LEFT(tblMovement[[#This Row],[Material]],3)="Ore",1,0))</f>
        <v/>
      </c>
      <c r="N4657" s="59">
        <f>IF(OR(tblMovement[[#This Row],[Tonnes_t]]="",tblMovement[[#This Row],[Grade_gpt]]=""),0,tblMovement[[#This Row],[Tonnes_t]]*tblMovement[[#This Row],[Grade_gpt]]/cfg_TroyOz)</f>
        <v/>
      </c>
      <c r="O4657" s="59">
        <f>IF(tblMovement[[#This Row],[Is_Ore]]=1,tblMovement[[#This Row],[Contained_oz]],0)</f>
        <v/>
      </c>
    </row>
    <row r="4658">
      <c r="A4658" s="54" t="n"/>
      <c r="B4658" s="61" t="n"/>
      <c r="C4658" s="61" t="n"/>
      <c r="D4658" s="61" t="n"/>
      <c r="E4658" s="61" t="n"/>
      <c r="F4658" s="55" t="n"/>
      <c r="G4658" s="56" t="n"/>
      <c r="H4658" s="55" t="n"/>
      <c r="I4658" s="62" t="n"/>
      <c r="J4658" s="58" t="n"/>
      <c r="K4658" s="63">
        <f>IF(tblMovement[[#This Row],[Source]]="","",IFERROR(INDEX(tblSources[Type],MATCH(tblMovement[[#This Row],[Source]],tblSources[Source],0)),"?"))</f>
        <v/>
      </c>
      <c r="L4658" s="63">
        <f>IF(tblMovement[[#This Row],[Destination]]="","",IFERROR(INDEX(tblDestinations[Type],MATCH(tblMovement[[#This Row],[Destination]],tblDestinations[Destination],0)),"?"))</f>
        <v/>
      </c>
      <c r="M4658" s="64">
        <f>IF(tblMovement[[#This Row],[Material]]="","",IF(LEFT(tblMovement[[#This Row],[Material]],3)="Ore",1,0))</f>
        <v/>
      </c>
      <c r="N4658" s="59">
        <f>IF(OR(tblMovement[[#This Row],[Tonnes_t]]="",tblMovement[[#This Row],[Grade_gpt]]=""),0,tblMovement[[#This Row],[Tonnes_t]]*tblMovement[[#This Row],[Grade_gpt]]/cfg_TroyOz)</f>
        <v/>
      </c>
      <c r="O4658" s="59">
        <f>IF(tblMovement[[#This Row],[Is_Ore]]=1,tblMovement[[#This Row],[Contained_oz]],0)</f>
        <v/>
      </c>
    </row>
    <row r="4659">
      <c r="A4659" s="54" t="n"/>
      <c r="B4659" s="61" t="n"/>
      <c r="C4659" s="61" t="n"/>
      <c r="D4659" s="61" t="n"/>
      <c r="E4659" s="61" t="n"/>
      <c r="F4659" s="55" t="n"/>
      <c r="G4659" s="56" t="n"/>
      <c r="H4659" s="55" t="n"/>
      <c r="I4659" s="62" t="n"/>
      <c r="J4659" s="58" t="n"/>
      <c r="K4659" s="63">
        <f>IF(tblMovement[[#This Row],[Source]]="","",IFERROR(INDEX(tblSources[Type],MATCH(tblMovement[[#This Row],[Source]],tblSources[Source],0)),"?"))</f>
        <v/>
      </c>
      <c r="L4659" s="63">
        <f>IF(tblMovement[[#This Row],[Destination]]="","",IFERROR(INDEX(tblDestinations[Type],MATCH(tblMovement[[#This Row],[Destination]],tblDestinations[Destination],0)),"?"))</f>
        <v/>
      </c>
      <c r="M4659" s="64">
        <f>IF(tblMovement[[#This Row],[Material]]="","",IF(LEFT(tblMovement[[#This Row],[Material]],3)="Ore",1,0))</f>
        <v/>
      </c>
      <c r="N4659" s="59">
        <f>IF(OR(tblMovement[[#This Row],[Tonnes_t]]="",tblMovement[[#This Row],[Grade_gpt]]=""),0,tblMovement[[#This Row],[Tonnes_t]]*tblMovement[[#This Row],[Grade_gpt]]/cfg_TroyOz)</f>
        <v/>
      </c>
      <c r="O4659" s="59">
        <f>IF(tblMovement[[#This Row],[Is_Ore]]=1,tblMovement[[#This Row],[Contained_oz]],0)</f>
        <v/>
      </c>
    </row>
    <row r="4660">
      <c r="A4660" s="54" t="n"/>
      <c r="B4660" s="61" t="n"/>
      <c r="C4660" s="61" t="n"/>
      <c r="D4660" s="61" t="n"/>
      <c r="E4660" s="61" t="n"/>
      <c r="F4660" s="55" t="n"/>
      <c r="G4660" s="56" t="n"/>
      <c r="H4660" s="55" t="n"/>
      <c r="I4660" s="62" t="n"/>
      <c r="J4660" s="58" t="n"/>
      <c r="K4660" s="63">
        <f>IF(tblMovement[[#This Row],[Source]]="","",IFERROR(INDEX(tblSources[Type],MATCH(tblMovement[[#This Row],[Source]],tblSources[Source],0)),"?"))</f>
        <v/>
      </c>
      <c r="L4660" s="63">
        <f>IF(tblMovement[[#This Row],[Destination]]="","",IFERROR(INDEX(tblDestinations[Type],MATCH(tblMovement[[#This Row],[Destination]],tblDestinations[Destination],0)),"?"))</f>
        <v/>
      </c>
      <c r="M4660" s="64">
        <f>IF(tblMovement[[#This Row],[Material]]="","",IF(LEFT(tblMovement[[#This Row],[Material]],3)="Ore",1,0))</f>
        <v/>
      </c>
      <c r="N4660" s="59">
        <f>IF(OR(tblMovement[[#This Row],[Tonnes_t]]="",tblMovement[[#This Row],[Grade_gpt]]=""),0,tblMovement[[#This Row],[Tonnes_t]]*tblMovement[[#This Row],[Grade_gpt]]/cfg_TroyOz)</f>
        <v/>
      </c>
      <c r="O4660" s="59">
        <f>IF(tblMovement[[#This Row],[Is_Ore]]=1,tblMovement[[#This Row],[Contained_oz]],0)</f>
        <v/>
      </c>
    </row>
    <row r="4661">
      <c r="A4661" s="54" t="n"/>
      <c r="B4661" s="61" t="n"/>
      <c r="C4661" s="61" t="n"/>
      <c r="D4661" s="61" t="n"/>
      <c r="E4661" s="61" t="n"/>
      <c r="F4661" s="55" t="n"/>
      <c r="G4661" s="56" t="n"/>
      <c r="H4661" s="55" t="n"/>
      <c r="I4661" s="62" t="n"/>
      <c r="J4661" s="58" t="n"/>
      <c r="K4661" s="63">
        <f>IF(tblMovement[[#This Row],[Source]]="","",IFERROR(INDEX(tblSources[Type],MATCH(tblMovement[[#This Row],[Source]],tblSources[Source],0)),"?"))</f>
        <v/>
      </c>
      <c r="L4661" s="63">
        <f>IF(tblMovement[[#This Row],[Destination]]="","",IFERROR(INDEX(tblDestinations[Type],MATCH(tblMovement[[#This Row],[Destination]],tblDestinations[Destination],0)),"?"))</f>
        <v/>
      </c>
      <c r="M4661" s="64">
        <f>IF(tblMovement[[#This Row],[Material]]="","",IF(LEFT(tblMovement[[#This Row],[Material]],3)="Ore",1,0))</f>
        <v/>
      </c>
      <c r="N4661" s="59">
        <f>IF(OR(tblMovement[[#This Row],[Tonnes_t]]="",tblMovement[[#This Row],[Grade_gpt]]=""),0,tblMovement[[#This Row],[Tonnes_t]]*tblMovement[[#This Row],[Grade_gpt]]/cfg_TroyOz)</f>
        <v/>
      </c>
      <c r="O4661" s="59">
        <f>IF(tblMovement[[#This Row],[Is_Ore]]=1,tblMovement[[#This Row],[Contained_oz]],0)</f>
        <v/>
      </c>
    </row>
    <row r="4662">
      <c r="A4662" s="54" t="n"/>
      <c r="B4662" s="61" t="n"/>
      <c r="C4662" s="61" t="n"/>
      <c r="D4662" s="61" t="n"/>
      <c r="E4662" s="61" t="n"/>
      <c r="F4662" s="55" t="n"/>
      <c r="G4662" s="56" t="n"/>
      <c r="H4662" s="55" t="n"/>
      <c r="I4662" s="62" t="n"/>
      <c r="J4662" s="58" t="n"/>
      <c r="K4662" s="63">
        <f>IF(tblMovement[[#This Row],[Source]]="","",IFERROR(INDEX(tblSources[Type],MATCH(tblMovement[[#This Row],[Source]],tblSources[Source],0)),"?"))</f>
        <v/>
      </c>
      <c r="L4662" s="63">
        <f>IF(tblMovement[[#This Row],[Destination]]="","",IFERROR(INDEX(tblDestinations[Type],MATCH(tblMovement[[#This Row],[Destination]],tblDestinations[Destination],0)),"?"))</f>
        <v/>
      </c>
      <c r="M4662" s="64">
        <f>IF(tblMovement[[#This Row],[Material]]="","",IF(LEFT(tblMovement[[#This Row],[Material]],3)="Ore",1,0))</f>
        <v/>
      </c>
      <c r="N4662" s="59">
        <f>IF(OR(tblMovement[[#This Row],[Tonnes_t]]="",tblMovement[[#This Row],[Grade_gpt]]=""),0,tblMovement[[#This Row],[Tonnes_t]]*tblMovement[[#This Row],[Grade_gpt]]/cfg_TroyOz)</f>
        <v/>
      </c>
      <c r="O4662" s="59">
        <f>IF(tblMovement[[#This Row],[Is_Ore]]=1,tblMovement[[#This Row],[Contained_oz]],0)</f>
        <v/>
      </c>
    </row>
    <row r="4663">
      <c r="A4663" s="54" t="n"/>
      <c r="B4663" s="61" t="n"/>
      <c r="C4663" s="61" t="n"/>
      <c r="D4663" s="61" t="n"/>
      <c r="E4663" s="61" t="n"/>
      <c r="F4663" s="55" t="n"/>
      <c r="G4663" s="56" t="n"/>
      <c r="H4663" s="55" t="n"/>
      <c r="I4663" s="62" t="n"/>
      <c r="J4663" s="58" t="n"/>
      <c r="K4663" s="63">
        <f>IF(tblMovement[[#This Row],[Source]]="","",IFERROR(INDEX(tblSources[Type],MATCH(tblMovement[[#This Row],[Source]],tblSources[Source],0)),"?"))</f>
        <v/>
      </c>
      <c r="L4663" s="63">
        <f>IF(tblMovement[[#This Row],[Destination]]="","",IFERROR(INDEX(tblDestinations[Type],MATCH(tblMovement[[#This Row],[Destination]],tblDestinations[Destination],0)),"?"))</f>
        <v/>
      </c>
      <c r="M4663" s="64">
        <f>IF(tblMovement[[#This Row],[Material]]="","",IF(LEFT(tblMovement[[#This Row],[Material]],3)="Ore",1,0))</f>
        <v/>
      </c>
      <c r="N4663" s="59">
        <f>IF(OR(tblMovement[[#This Row],[Tonnes_t]]="",tblMovement[[#This Row],[Grade_gpt]]=""),0,tblMovement[[#This Row],[Tonnes_t]]*tblMovement[[#This Row],[Grade_gpt]]/cfg_TroyOz)</f>
        <v/>
      </c>
      <c r="O4663" s="59">
        <f>IF(tblMovement[[#This Row],[Is_Ore]]=1,tblMovement[[#This Row],[Contained_oz]],0)</f>
        <v/>
      </c>
    </row>
    <row r="4664">
      <c r="A4664" s="54" t="n"/>
      <c r="B4664" s="61" t="n"/>
      <c r="C4664" s="61" t="n"/>
      <c r="D4664" s="61" t="n"/>
      <c r="E4664" s="61" t="n"/>
      <c r="F4664" s="55" t="n"/>
      <c r="G4664" s="56" t="n"/>
      <c r="H4664" s="55" t="n"/>
      <c r="I4664" s="62" t="n"/>
      <c r="J4664" s="58" t="n"/>
      <c r="K4664" s="63">
        <f>IF(tblMovement[[#This Row],[Source]]="","",IFERROR(INDEX(tblSources[Type],MATCH(tblMovement[[#This Row],[Source]],tblSources[Source],0)),"?"))</f>
        <v/>
      </c>
      <c r="L4664" s="63">
        <f>IF(tblMovement[[#This Row],[Destination]]="","",IFERROR(INDEX(tblDestinations[Type],MATCH(tblMovement[[#This Row],[Destination]],tblDestinations[Destination],0)),"?"))</f>
        <v/>
      </c>
      <c r="M4664" s="64">
        <f>IF(tblMovement[[#This Row],[Material]]="","",IF(LEFT(tblMovement[[#This Row],[Material]],3)="Ore",1,0))</f>
        <v/>
      </c>
      <c r="N4664" s="59">
        <f>IF(OR(tblMovement[[#This Row],[Tonnes_t]]="",tblMovement[[#This Row],[Grade_gpt]]=""),0,tblMovement[[#This Row],[Tonnes_t]]*tblMovement[[#This Row],[Grade_gpt]]/cfg_TroyOz)</f>
        <v/>
      </c>
      <c r="O4664" s="59">
        <f>IF(tblMovement[[#This Row],[Is_Ore]]=1,tblMovement[[#This Row],[Contained_oz]],0)</f>
        <v/>
      </c>
    </row>
    <row r="4665">
      <c r="A4665" s="54" t="n"/>
      <c r="B4665" s="61" t="n"/>
      <c r="C4665" s="61" t="n"/>
      <c r="D4665" s="61" t="n"/>
      <c r="E4665" s="61" t="n"/>
      <c r="F4665" s="55" t="n"/>
      <c r="G4665" s="56" t="n"/>
      <c r="H4665" s="55" t="n"/>
      <c r="I4665" s="62" t="n"/>
      <c r="J4665" s="58" t="n"/>
      <c r="K4665" s="63">
        <f>IF(tblMovement[[#This Row],[Source]]="","",IFERROR(INDEX(tblSources[Type],MATCH(tblMovement[[#This Row],[Source]],tblSources[Source],0)),"?"))</f>
        <v/>
      </c>
      <c r="L4665" s="63">
        <f>IF(tblMovement[[#This Row],[Destination]]="","",IFERROR(INDEX(tblDestinations[Type],MATCH(tblMovement[[#This Row],[Destination]],tblDestinations[Destination],0)),"?"))</f>
        <v/>
      </c>
      <c r="M4665" s="64">
        <f>IF(tblMovement[[#This Row],[Material]]="","",IF(LEFT(tblMovement[[#This Row],[Material]],3)="Ore",1,0))</f>
        <v/>
      </c>
      <c r="N4665" s="59">
        <f>IF(OR(tblMovement[[#This Row],[Tonnes_t]]="",tblMovement[[#This Row],[Grade_gpt]]=""),0,tblMovement[[#This Row],[Tonnes_t]]*tblMovement[[#This Row],[Grade_gpt]]/cfg_TroyOz)</f>
        <v/>
      </c>
      <c r="O4665" s="59">
        <f>IF(tblMovement[[#This Row],[Is_Ore]]=1,tblMovement[[#This Row],[Contained_oz]],0)</f>
        <v/>
      </c>
    </row>
    <row r="4666">
      <c r="A4666" s="54" t="n"/>
      <c r="B4666" s="61" t="n"/>
      <c r="C4666" s="61" t="n"/>
      <c r="D4666" s="61" t="n"/>
      <c r="E4666" s="61" t="n"/>
      <c r="F4666" s="55" t="n"/>
      <c r="G4666" s="56" t="n"/>
      <c r="H4666" s="55" t="n"/>
      <c r="I4666" s="62" t="n"/>
      <c r="J4666" s="58" t="n"/>
      <c r="K4666" s="63">
        <f>IF(tblMovement[[#This Row],[Source]]="","",IFERROR(INDEX(tblSources[Type],MATCH(tblMovement[[#This Row],[Source]],tblSources[Source],0)),"?"))</f>
        <v/>
      </c>
      <c r="L4666" s="63">
        <f>IF(tblMovement[[#This Row],[Destination]]="","",IFERROR(INDEX(tblDestinations[Type],MATCH(tblMovement[[#This Row],[Destination]],tblDestinations[Destination],0)),"?"))</f>
        <v/>
      </c>
      <c r="M4666" s="64">
        <f>IF(tblMovement[[#This Row],[Material]]="","",IF(LEFT(tblMovement[[#This Row],[Material]],3)="Ore",1,0))</f>
        <v/>
      </c>
      <c r="N4666" s="59">
        <f>IF(OR(tblMovement[[#This Row],[Tonnes_t]]="",tblMovement[[#This Row],[Grade_gpt]]=""),0,tblMovement[[#This Row],[Tonnes_t]]*tblMovement[[#This Row],[Grade_gpt]]/cfg_TroyOz)</f>
        <v/>
      </c>
      <c r="O4666" s="59">
        <f>IF(tblMovement[[#This Row],[Is_Ore]]=1,tblMovement[[#This Row],[Contained_oz]],0)</f>
        <v/>
      </c>
    </row>
    <row r="4667">
      <c r="A4667" s="54" t="n"/>
      <c r="B4667" s="61" t="n"/>
      <c r="C4667" s="61" t="n"/>
      <c r="D4667" s="61" t="n"/>
      <c r="E4667" s="61" t="n"/>
      <c r="F4667" s="55" t="n"/>
      <c r="G4667" s="56" t="n"/>
      <c r="H4667" s="55" t="n"/>
      <c r="I4667" s="62" t="n"/>
      <c r="J4667" s="58" t="n"/>
      <c r="K4667" s="63">
        <f>IF(tblMovement[[#This Row],[Source]]="","",IFERROR(INDEX(tblSources[Type],MATCH(tblMovement[[#This Row],[Source]],tblSources[Source],0)),"?"))</f>
        <v/>
      </c>
      <c r="L4667" s="63">
        <f>IF(tblMovement[[#This Row],[Destination]]="","",IFERROR(INDEX(tblDestinations[Type],MATCH(tblMovement[[#This Row],[Destination]],tblDestinations[Destination],0)),"?"))</f>
        <v/>
      </c>
      <c r="M4667" s="64">
        <f>IF(tblMovement[[#This Row],[Material]]="","",IF(LEFT(tblMovement[[#This Row],[Material]],3)="Ore",1,0))</f>
        <v/>
      </c>
      <c r="N4667" s="59">
        <f>IF(OR(tblMovement[[#This Row],[Tonnes_t]]="",tblMovement[[#This Row],[Grade_gpt]]=""),0,tblMovement[[#This Row],[Tonnes_t]]*tblMovement[[#This Row],[Grade_gpt]]/cfg_TroyOz)</f>
        <v/>
      </c>
      <c r="O4667" s="59">
        <f>IF(tblMovement[[#This Row],[Is_Ore]]=1,tblMovement[[#This Row],[Contained_oz]],0)</f>
        <v/>
      </c>
    </row>
    <row r="4668">
      <c r="A4668" s="54" t="n"/>
      <c r="B4668" s="61" t="n"/>
      <c r="C4668" s="61" t="n"/>
      <c r="D4668" s="61" t="n"/>
      <c r="E4668" s="61" t="n"/>
      <c r="F4668" s="55" t="n"/>
      <c r="G4668" s="56" t="n"/>
      <c r="H4668" s="55" t="n"/>
      <c r="I4668" s="62" t="n"/>
      <c r="J4668" s="58" t="n"/>
      <c r="K4668" s="63">
        <f>IF(tblMovement[[#This Row],[Source]]="","",IFERROR(INDEX(tblSources[Type],MATCH(tblMovement[[#This Row],[Source]],tblSources[Source],0)),"?"))</f>
        <v/>
      </c>
      <c r="L4668" s="63">
        <f>IF(tblMovement[[#This Row],[Destination]]="","",IFERROR(INDEX(tblDestinations[Type],MATCH(tblMovement[[#This Row],[Destination]],tblDestinations[Destination],0)),"?"))</f>
        <v/>
      </c>
      <c r="M4668" s="64">
        <f>IF(tblMovement[[#This Row],[Material]]="","",IF(LEFT(tblMovement[[#This Row],[Material]],3)="Ore",1,0))</f>
        <v/>
      </c>
      <c r="N4668" s="59">
        <f>IF(OR(tblMovement[[#This Row],[Tonnes_t]]="",tblMovement[[#This Row],[Grade_gpt]]=""),0,tblMovement[[#This Row],[Tonnes_t]]*tblMovement[[#This Row],[Grade_gpt]]/cfg_TroyOz)</f>
        <v/>
      </c>
      <c r="O4668" s="59">
        <f>IF(tblMovement[[#This Row],[Is_Ore]]=1,tblMovement[[#This Row],[Contained_oz]],0)</f>
        <v/>
      </c>
    </row>
    <row r="4669">
      <c r="A4669" s="54" t="n"/>
      <c r="B4669" s="61" t="n"/>
      <c r="C4669" s="61" t="n"/>
      <c r="D4669" s="61" t="n"/>
      <c r="E4669" s="61" t="n"/>
      <c r="F4669" s="55" t="n"/>
      <c r="G4669" s="56" t="n"/>
      <c r="H4669" s="55" t="n"/>
      <c r="I4669" s="62" t="n"/>
      <c r="J4669" s="58" t="n"/>
      <c r="K4669" s="63">
        <f>IF(tblMovement[[#This Row],[Source]]="","",IFERROR(INDEX(tblSources[Type],MATCH(tblMovement[[#This Row],[Source]],tblSources[Source],0)),"?"))</f>
        <v/>
      </c>
      <c r="L4669" s="63">
        <f>IF(tblMovement[[#This Row],[Destination]]="","",IFERROR(INDEX(tblDestinations[Type],MATCH(tblMovement[[#This Row],[Destination]],tblDestinations[Destination],0)),"?"))</f>
        <v/>
      </c>
      <c r="M4669" s="64">
        <f>IF(tblMovement[[#This Row],[Material]]="","",IF(LEFT(tblMovement[[#This Row],[Material]],3)="Ore",1,0))</f>
        <v/>
      </c>
      <c r="N4669" s="59">
        <f>IF(OR(tblMovement[[#This Row],[Tonnes_t]]="",tblMovement[[#This Row],[Grade_gpt]]=""),0,tblMovement[[#This Row],[Tonnes_t]]*tblMovement[[#This Row],[Grade_gpt]]/cfg_TroyOz)</f>
        <v/>
      </c>
      <c r="O4669" s="59">
        <f>IF(tblMovement[[#This Row],[Is_Ore]]=1,tblMovement[[#This Row],[Contained_oz]],0)</f>
        <v/>
      </c>
    </row>
    <row r="4670">
      <c r="A4670" s="54" t="n"/>
      <c r="B4670" s="61" t="n"/>
      <c r="C4670" s="61" t="n"/>
      <c r="D4670" s="61" t="n"/>
      <c r="E4670" s="61" t="n"/>
      <c r="F4670" s="55" t="n"/>
      <c r="G4670" s="56" t="n"/>
      <c r="H4670" s="55" t="n"/>
      <c r="I4670" s="62" t="n"/>
      <c r="J4670" s="58" t="n"/>
      <c r="K4670" s="63">
        <f>IF(tblMovement[[#This Row],[Source]]="","",IFERROR(INDEX(tblSources[Type],MATCH(tblMovement[[#This Row],[Source]],tblSources[Source],0)),"?"))</f>
        <v/>
      </c>
      <c r="L4670" s="63">
        <f>IF(tblMovement[[#This Row],[Destination]]="","",IFERROR(INDEX(tblDestinations[Type],MATCH(tblMovement[[#This Row],[Destination]],tblDestinations[Destination],0)),"?"))</f>
        <v/>
      </c>
      <c r="M4670" s="64">
        <f>IF(tblMovement[[#This Row],[Material]]="","",IF(LEFT(tblMovement[[#This Row],[Material]],3)="Ore",1,0))</f>
        <v/>
      </c>
      <c r="N4670" s="59">
        <f>IF(OR(tblMovement[[#This Row],[Tonnes_t]]="",tblMovement[[#This Row],[Grade_gpt]]=""),0,tblMovement[[#This Row],[Tonnes_t]]*tblMovement[[#This Row],[Grade_gpt]]/cfg_TroyOz)</f>
        <v/>
      </c>
      <c r="O4670" s="59">
        <f>IF(tblMovement[[#This Row],[Is_Ore]]=1,tblMovement[[#This Row],[Contained_oz]],0)</f>
        <v/>
      </c>
    </row>
    <row r="4671">
      <c r="A4671" s="54" t="n"/>
      <c r="B4671" s="61" t="n"/>
      <c r="C4671" s="61" t="n"/>
      <c r="D4671" s="61" t="n"/>
      <c r="E4671" s="61" t="n"/>
      <c r="F4671" s="55" t="n"/>
      <c r="G4671" s="56" t="n"/>
      <c r="H4671" s="55" t="n"/>
      <c r="I4671" s="62" t="n"/>
      <c r="J4671" s="58" t="n"/>
      <c r="K4671" s="63">
        <f>IF(tblMovement[[#This Row],[Source]]="","",IFERROR(INDEX(tblSources[Type],MATCH(tblMovement[[#This Row],[Source]],tblSources[Source],0)),"?"))</f>
        <v/>
      </c>
      <c r="L4671" s="63">
        <f>IF(tblMovement[[#This Row],[Destination]]="","",IFERROR(INDEX(tblDestinations[Type],MATCH(tblMovement[[#This Row],[Destination]],tblDestinations[Destination],0)),"?"))</f>
        <v/>
      </c>
      <c r="M4671" s="64">
        <f>IF(tblMovement[[#This Row],[Material]]="","",IF(LEFT(tblMovement[[#This Row],[Material]],3)="Ore",1,0))</f>
        <v/>
      </c>
      <c r="N4671" s="59">
        <f>IF(OR(tblMovement[[#This Row],[Tonnes_t]]="",tblMovement[[#This Row],[Grade_gpt]]=""),0,tblMovement[[#This Row],[Tonnes_t]]*tblMovement[[#This Row],[Grade_gpt]]/cfg_TroyOz)</f>
        <v/>
      </c>
      <c r="O4671" s="59">
        <f>IF(tblMovement[[#This Row],[Is_Ore]]=1,tblMovement[[#This Row],[Contained_oz]],0)</f>
        <v/>
      </c>
    </row>
    <row r="4672">
      <c r="A4672" s="54" t="n"/>
      <c r="B4672" s="61" t="n"/>
      <c r="C4672" s="61" t="n"/>
      <c r="D4672" s="61" t="n"/>
      <c r="E4672" s="61" t="n"/>
      <c r="F4672" s="55" t="n"/>
      <c r="G4672" s="56" t="n"/>
      <c r="H4672" s="55" t="n"/>
      <c r="I4672" s="62" t="n"/>
      <c r="J4672" s="58" t="n"/>
      <c r="K4672" s="63">
        <f>IF(tblMovement[[#This Row],[Source]]="","",IFERROR(INDEX(tblSources[Type],MATCH(tblMovement[[#This Row],[Source]],tblSources[Source],0)),"?"))</f>
        <v/>
      </c>
      <c r="L4672" s="63">
        <f>IF(tblMovement[[#This Row],[Destination]]="","",IFERROR(INDEX(tblDestinations[Type],MATCH(tblMovement[[#This Row],[Destination]],tblDestinations[Destination],0)),"?"))</f>
        <v/>
      </c>
      <c r="M4672" s="64">
        <f>IF(tblMovement[[#This Row],[Material]]="","",IF(LEFT(tblMovement[[#This Row],[Material]],3)="Ore",1,0))</f>
        <v/>
      </c>
      <c r="N4672" s="59">
        <f>IF(OR(tblMovement[[#This Row],[Tonnes_t]]="",tblMovement[[#This Row],[Grade_gpt]]=""),0,tblMovement[[#This Row],[Tonnes_t]]*tblMovement[[#This Row],[Grade_gpt]]/cfg_TroyOz)</f>
        <v/>
      </c>
      <c r="O4672" s="59">
        <f>IF(tblMovement[[#This Row],[Is_Ore]]=1,tblMovement[[#This Row],[Contained_oz]],0)</f>
        <v/>
      </c>
    </row>
    <row r="4673">
      <c r="A4673" s="54" t="n"/>
      <c r="B4673" s="61" t="n"/>
      <c r="C4673" s="61" t="n"/>
      <c r="D4673" s="61" t="n"/>
      <c r="E4673" s="61" t="n"/>
      <c r="F4673" s="55" t="n"/>
      <c r="G4673" s="56" t="n"/>
      <c r="H4673" s="55" t="n"/>
      <c r="I4673" s="62" t="n"/>
      <c r="J4673" s="58" t="n"/>
      <c r="K4673" s="63">
        <f>IF(tblMovement[[#This Row],[Source]]="","",IFERROR(INDEX(tblSources[Type],MATCH(tblMovement[[#This Row],[Source]],tblSources[Source],0)),"?"))</f>
        <v/>
      </c>
      <c r="L4673" s="63">
        <f>IF(tblMovement[[#This Row],[Destination]]="","",IFERROR(INDEX(tblDestinations[Type],MATCH(tblMovement[[#This Row],[Destination]],tblDestinations[Destination],0)),"?"))</f>
        <v/>
      </c>
      <c r="M4673" s="64">
        <f>IF(tblMovement[[#This Row],[Material]]="","",IF(LEFT(tblMovement[[#This Row],[Material]],3)="Ore",1,0))</f>
        <v/>
      </c>
      <c r="N4673" s="59">
        <f>IF(OR(tblMovement[[#This Row],[Tonnes_t]]="",tblMovement[[#This Row],[Grade_gpt]]=""),0,tblMovement[[#This Row],[Tonnes_t]]*tblMovement[[#This Row],[Grade_gpt]]/cfg_TroyOz)</f>
        <v/>
      </c>
      <c r="O4673" s="59">
        <f>IF(tblMovement[[#This Row],[Is_Ore]]=1,tblMovement[[#This Row],[Contained_oz]],0)</f>
        <v/>
      </c>
    </row>
    <row r="4674">
      <c r="A4674" s="54" t="n"/>
      <c r="B4674" s="61" t="n"/>
      <c r="C4674" s="61" t="n"/>
      <c r="D4674" s="61" t="n"/>
      <c r="E4674" s="61" t="n"/>
      <c r="F4674" s="55" t="n"/>
      <c r="G4674" s="56" t="n"/>
      <c r="H4674" s="55" t="n"/>
      <c r="I4674" s="62" t="n"/>
      <c r="J4674" s="58" t="n"/>
      <c r="K4674" s="63">
        <f>IF(tblMovement[[#This Row],[Source]]="","",IFERROR(INDEX(tblSources[Type],MATCH(tblMovement[[#This Row],[Source]],tblSources[Source],0)),"?"))</f>
        <v/>
      </c>
      <c r="L4674" s="63">
        <f>IF(tblMovement[[#This Row],[Destination]]="","",IFERROR(INDEX(tblDestinations[Type],MATCH(tblMovement[[#This Row],[Destination]],tblDestinations[Destination],0)),"?"))</f>
        <v/>
      </c>
      <c r="M4674" s="64">
        <f>IF(tblMovement[[#This Row],[Material]]="","",IF(LEFT(tblMovement[[#This Row],[Material]],3)="Ore",1,0))</f>
        <v/>
      </c>
      <c r="N4674" s="59">
        <f>IF(OR(tblMovement[[#This Row],[Tonnes_t]]="",tblMovement[[#This Row],[Grade_gpt]]=""),0,tblMovement[[#This Row],[Tonnes_t]]*tblMovement[[#This Row],[Grade_gpt]]/cfg_TroyOz)</f>
        <v/>
      </c>
      <c r="O4674" s="59">
        <f>IF(tblMovement[[#This Row],[Is_Ore]]=1,tblMovement[[#This Row],[Contained_oz]],0)</f>
        <v/>
      </c>
    </row>
    <row r="4675">
      <c r="A4675" s="54" t="n"/>
      <c r="B4675" s="61" t="n"/>
      <c r="C4675" s="61" t="n"/>
      <c r="D4675" s="61" t="n"/>
      <c r="E4675" s="61" t="n"/>
      <c r="F4675" s="55" t="n"/>
      <c r="G4675" s="56" t="n"/>
      <c r="H4675" s="55" t="n"/>
      <c r="I4675" s="62" t="n"/>
      <c r="J4675" s="58" t="n"/>
      <c r="K4675" s="63">
        <f>IF(tblMovement[[#This Row],[Source]]="","",IFERROR(INDEX(tblSources[Type],MATCH(tblMovement[[#This Row],[Source]],tblSources[Source],0)),"?"))</f>
        <v/>
      </c>
      <c r="L4675" s="63">
        <f>IF(tblMovement[[#This Row],[Destination]]="","",IFERROR(INDEX(tblDestinations[Type],MATCH(tblMovement[[#This Row],[Destination]],tblDestinations[Destination],0)),"?"))</f>
        <v/>
      </c>
      <c r="M4675" s="64">
        <f>IF(tblMovement[[#This Row],[Material]]="","",IF(LEFT(tblMovement[[#This Row],[Material]],3)="Ore",1,0))</f>
        <v/>
      </c>
      <c r="N4675" s="59">
        <f>IF(OR(tblMovement[[#This Row],[Tonnes_t]]="",tblMovement[[#This Row],[Grade_gpt]]=""),0,tblMovement[[#This Row],[Tonnes_t]]*tblMovement[[#This Row],[Grade_gpt]]/cfg_TroyOz)</f>
        <v/>
      </c>
      <c r="O4675" s="59">
        <f>IF(tblMovement[[#This Row],[Is_Ore]]=1,tblMovement[[#This Row],[Contained_oz]],0)</f>
        <v/>
      </c>
    </row>
    <row r="4676">
      <c r="A4676" s="54" t="n"/>
      <c r="B4676" s="61" t="n"/>
      <c r="C4676" s="61" t="n"/>
      <c r="D4676" s="61" t="n"/>
      <c r="E4676" s="61" t="n"/>
      <c r="F4676" s="55" t="n"/>
      <c r="G4676" s="56" t="n"/>
      <c r="H4676" s="55" t="n"/>
      <c r="I4676" s="62" t="n"/>
      <c r="J4676" s="58" t="n"/>
      <c r="K4676" s="63">
        <f>IF(tblMovement[[#This Row],[Source]]="","",IFERROR(INDEX(tblSources[Type],MATCH(tblMovement[[#This Row],[Source]],tblSources[Source],0)),"?"))</f>
        <v/>
      </c>
      <c r="L4676" s="63">
        <f>IF(tblMovement[[#This Row],[Destination]]="","",IFERROR(INDEX(tblDestinations[Type],MATCH(tblMovement[[#This Row],[Destination]],tblDestinations[Destination],0)),"?"))</f>
        <v/>
      </c>
      <c r="M4676" s="64">
        <f>IF(tblMovement[[#This Row],[Material]]="","",IF(LEFT(tblMovement[[#This Row],[Material]],3)="Ore",1,0))</f>
        <v/>
      </c>
      <c r="N4676" s="59">
        <f>IF(OR(tblMovement[[#This Row],[Tonnes_t]]="",tblMovement[[#This Row],[Grade_gpt]]=""),0,tblMovement[[#This Row],[Tonnes_t]]*tblMovement[[#This Row],[Grade_gpt]]/cfg_TroyOz)</f>
        <v/>
      </c>
      <c r="O4676" s="59">
        <f>IF(tblMovement[[#This Row],[Is_Ore]]=1,tblMovement[[#This Row],[Contained_oz]],0)</f>
        <v/>
      </c>
    </row>
    <row r="4677">
      <c r="A4677" s="54" t="n"/>
      <c r="B4677" s="61" t="n"/>
      <c r="C4677" s="61" t="n"/>
      <c r="D4677" s="61" t="n"/>
      <c r="E4677" s="61" t="n"/>
      <c r="F4677" s="55" t="n"/>
      <c r="G4677" s="56" t="n"/>
      <c r="H4677" s="55" t="n"/>
      <c r="I4677" s="62" t="n"/>
      <c r="J4677" s="58" t="n"/>
      <c r="K4677" s="63">
        <f>IF(tblMovement[[#This Row],[Source]]="","",IFERROR(INDEX(tblSources[Type],MATCH(tblMovement[[#This Row],[Source]],tblSources[Source],0)),"?"))</f>
        <v/>
      </c>
      <c r="L4677" s="63">
        <f>IF(tblMovement[[#This Row],[Destination]]="","",IFERROR(INDEX(tblDestinations[Type],MATCH(tblMovement[[#This Row],[Destination]],tblDestinations[Destination],0)),"?"))</f>
        <v/>
      </c>
      <c r="M4677" s="64">
        <f>IF(tblMovement[[#This Row],[Material]]="","",IF(LEFT(tblMovement[[#This Row],[Material]],3)="Ore",1,0))</f>
        <v/>
      </c>
      <c r="N4677" s="59">
        <f>IF(OR(tblMovement[[#This Row],[Tonnes_t]]="",tblMovement[[#This Row],[Grade_gpt]]=""),0,tblMovement[[#This Row],[Tonnes_t]]*tblMovement[[#This Row],[Grade_gpt]]/cfg_TroyOz)</f>
        <v/>
      </c>
      <c r="O4677" s="59">
        <f>IF(tblMovement[[#This Row],[Is_Ore]]=1,tblMovement[[#This Row],[Contained_oz]],0)</f>
        <v/>
      </c>
    </row>
    <row r="4678">
      <c r="A4678" s="54" t="n"/>
      <c r="B4678" s="61" t="n"/>
      <c r="C4678" s="61" t="n"/>
      <c r="D4678" s="61" t="n"/>
      <c r="E4678" s="61" t="n"/>
      <c r="F4678" s="55" t="n"/>
      <c r="G4678" s="56" t="n"/>
      <c r="H4678" s="55" t="n"/>
      <c r="I4678" s="62" t="n"/>
      <c r="J4678" s="58" t="n"/>
      <c r="K4678" s="63">
        <f>IF(tblMovement[[#This Row],[Source]]="","",IFERROR(INDEX(tblSources[Type],MATCH(tblMovement[[#This Row],[Source]],tblSources[Source],0)),"?"))</f>
        <v/>
      </c>
      <c r="L4678" s="63">
        <f>IF(tblMovement[[#This Row],[Destination]]="","",IFERROR(INDEX(tblDestinations[Type],MATCH(tblMovement[[#This Row],[Destination]],tblDestinations[Destination],0)),"?"))</f>
        <v/>
      </c>
      <c r="M4678" s="64">
        <f>IF(tblMovement[[#This Row],[Material]]="","",IF(LEFT(tblMovement[[#This Row],[Material]],3)="Ore",1,0))</f>
        <v/>
      </c>
      <c r="N4678" s="59">
        <f>IF(OR(tblMovement[[#This Row],[Tonnes_t]]="",tblMovement[[#This Row],[Grade_gpt]]=""),0,tblMovement[[#This Row],[Tonnes_t]]*tblMovement[[#This Row],[Grade_gpt]]/cfg_TroyOz)</f>
        <v/>
      </c>
      <c r="O4678" s="59">
        <f>IF(tblMovement[[#This Row],[Is_Ore]]=1,tblMovement[[#This Row],[Contained_oz]],0)</f>
        <v/>
      </c>
    </row>
    <row r="4679">
      <c r="A4679" s="54" t="n"/>
      <c r="B4679" s="61" t="n"/>
      <c r="C4679" s="61" t="n"/>
      <c r="D4679" s="61" t="n"/>
      <c r="E4679" s="61" t="n"/>
      <c r="F4679" s="55" t="n"/>
      <c r="G4679" s="56" t="n"/>
      <c r="H4679" s="55" t="n"/>
      <c r="I4679" s="62" t="n"/>
      <c r="J4679" s="58" t="n"/>
      <c r="K4679" s="63">
        <f>IF(tblMovement[[#This Row],[Source]]="","",IFERROR(INDEX(tblSources[Type],MATCH(tblMovement[[#This Row],[Source]],tblSources[Source],0)),"?"))</f>
        <v/>
      </c>
      <c r="L4679" s="63">
        <f>IF(tblMovement[[#This Row],[Destination]]="","",IFERROR(INDEX(tblDestinations[Type],MATCH(tblMovement[[#This Row],[Destination]],tblDestinations[Destination],0)),"?"))</f>
        <v/>
      </c>
      <c r="M4679" s="64">
        <f>IF(tblMovement[[#This Row],[Material]]="","",IF(LEFT(tblMovement[[#This Row],[Material]],3)="Ore",1,0))</f>
        <v/>
      </c>
      <c r="N4679" s="59">
        <f>IF(OR(tblMovement[[#This Row],[Tonnes_t]]="",tblMovement[[#This Row],[Grade_gpt]]=""),0,tblMovement[[#This Row],[Tonnes_t]]*tblMovement[[#This Row],[Grade_gpt]]/cfg_TroyOz)</f>
        <v/>
      </c>
      <c r="O4679" s="59">
        <f>IF(tblMovement[[#This Row],[Is_Ore]]=1,tblMovement[[#This Row],[Contained_oz]],0)</f>
        <v/>
      </c>
    </row>
    <row r="4680">
      <c r="A4680" s="54" t="n"/>
      <c r="B4680" s="61" t="n"/>
      <c r="C4680" s="61" t="n"/>
      <c r="D4680" s="61" t="n"/>
      <c r="E4680" s="61" t="n"/>
      <c r="F4680" s="55" t="n"/>
      <c r="G4680" s="56" t="n"/>
      <c r="H4680" s="55" t="n"/>
      <c r="I4680" s="62" t="n"/>
      <c r="J4680" s="58" t="n"/>
      <c r="K4680" s="63">
        <f>IF(tblMovement[[#This Row],[Source]]="","",IFERROR(INDEX(tblSources[Type],MATCH(tblMovement[[#This Row],[Source]],tblSources[Source],0)),"?"))</f>
        <v/>
      </c>
      <c r="L4680" s="63">
        <f>IF(tblMovement[[#This Row],[Destination]]="","",IFERROR(INDEX(tblDestinations[Type],MATCH(tblMovement[[#This Row],[Destination]],tblDestinations[Destination],0)),"?"))</f>
        <v/>
      </c>
      <c r="M4680" s="64">
        <f>IF(tblMovement[[#This Row],[Material]]="","",IF(LEFT(tblMovement[[#This Row],[Material]],3)="Ore",1,0))</f>
        <v/>
      </c>
      <c r="N4680" s="59">
        <f>IF(OR(tblMovement[[#This Row],[Tonnes_t]]="",tblMovement[[#This Row],[Grade_gpt]]=""),0,tblMovement[[#This Row],[Tonnes_t]]*tblMovement[[#This Row],[Grade_gpt]]/cfg_TroyOz)</f>
        <v/>
      </c>
      <c r="O4680" s="59">
        <f>IF(tblMovement[[#This Row],[Is_Ore]]=1,tblMovement[[#This Row],[Contained_oz]],0)</f>
        <v/>
      </c>
    </row>
    <row r="4681">
      <c r="A4681" s="54" t="n"/>
      <c r="B4681" s="61" t="n"/>
      <c r="C4681" s="61" t="n"/>
      <c r="D4681" s="61" t="n"/>
      <c r="E4681" s="61" t="n"/>
      <c r="F4681" s="55" t="n"/>
      <c r="G4681" s="56" t="n"/>
      <c r="H4681" s="55" t="n"/>
      <c r="I4681" s="62" t="n"/>
      <c r="J4681" s="58" t="n"/>
      <c r="K4681" s="63">
        <f>IF(tblMovement[[#This Row],[Source]]="","",IFERROR(INDEX(tblSources[Type],MATCH(tblMovement[[#This Row],[Source]],tblSources[Source],0)),"?"))</f>
        <v/>
      </c>
      <c r="L4681" s="63">
        <f>IF(tblMovement[[#This Row],[Destination]]="","",IFERROR(INDEX(tblDestinations[Type],MATCH(tblMovement[[#This Row],[Destination]],tblDestinations[Destination],0)),"?"))</f>
        <v/>
      </c>
      <c r="M4681" s="64">
        <f>IF(tblMovement[[#This Row],[Material]]="","",IF(LEFT(tblMovement[[#This Row],[Material]],3)="Ore",1,0))</f>
        <v/>
      </c>
      <c r="N4681" s="59">
        <f>IF(OR(tblMovement[[#This Row],[Tonnes_t]]="",tblMovement[[#This Row],[Grade_gpt]]=""),0,tblMovement[[#This Row],[Tonnes_t]]*tblMovement[[#This Row],[Grade_gpt]]/cfg_TroyOz)</f>
        <v/>
      </c>
      <c r="O4681" s="59">
        <f>IF(tblMovement[[#This Row],[Is_Ore]]=1,tblMovement[[#This Row],[Contained_oz]],0)</f>
        <v/>
      </c>
    </row>
    <row r="4682">
      <c r="A4682" s="54" t="n"/>
      <c r="B4682" s="61" t="n"/>
      <c r="C4682" s="61" t="n"/>
      <c r="D4682" s="61" t="n"/>
      <c r="E4682" s="61" t="n"/>
      <c r="F4682" s="55" t="n"/>
      <c r="G4682" s="56" t="n"/>
      <c r="H4682" s="55" t="n"/>
      <c r="I4682" s="62" t="n"/>
      <c r="J4682" s="58" t="n"/>
      <c r="K4682" s="63">
        <f>IF(tblMovement[[#This Row],[Source]]="","",IFERROR(INDEX(tblSources[Type],MATCH(tblMovement[[#This Row],[Source]],tblSources[Source],0)),"?"))</f>
        <v/>
      </c>
      <c r="L4682" s="63">
        <f>IF(tblMovement[[#This Row],[Destination]]="","",IFERROR(INDEX(tblDestinations[Type],MATCH(tblMovement[[#This Row],[Destination]],tblDestinations[Destination],0)),"?"))</f>
        <v/>
      </c>
      <c r="M4682" s="64">
        <f>IF(tblMovement[[#This Row],[Material]]="","",IF(LEFT(tblMovement[[#This Row],[Material]],3)="Ore",1,0))</f>
        <v/>
      </c>
      <c r="N4682" s="59">
        <f>IF(OR(tblMovement[[#This Row],[Tonnes_t]]="",tblMovement[[#This Row],[Grade_gpt]]=""),0,tblMovement[[#This Row],[Tonnes_t]]*tblMovement[[#This Row],[Grade_gpt]]/cfg_TroyOz)</f>
        <v/>
      </c>
      <c r="O4682" s="59">
        <f>IF(tblMovement[[#This Row],[Is_Ore]]=1,tblMovement[[#This Row],[Contained_oz]],0)</f>
        <v/>
      </c>
    </row>
    <row r="4683">
      <c r="A4683" s="54" t="n"/>
      <c r="B4683" s="61" t="n"/>
      <c r="C4683" s="61" t="n"/>
      <c r="D4683" s="61" t="n"/>
      <c r="E4683" s="61" t="n"/>
      <c r="F4683" s="55" t="n"/>
      <c r="G4683" s="56" t="n"/>
      <c r="H4683" s="55" t="n"/>
      <c r="I4683" s="62" t="n"/>
      <c r="J4683" s="58" t="n"/>
      <c r="K4683" s="63">
        <f>IF(tblMovement[[#This Row],[Source]]="","",IFERROR(INDEX(tblSources[Type],MATCH(tblMovement[[#This Row],[Source]],tblSources[Source],0)),"?"))</f>
        <v/>
      </c>
      <c r="L4683" s="63">
        <f>IF(tblMovement[[#This Row],[Destination]]="","",IFERROR(INDEX(tblDestinations[Type],MATCH(tblMovement[[#This Row],[Destination]],tblDestinations[Destination],0)),"?"))</f>
        <v/>
      </c>
      <c r="M4683" s="64">
        <f>IF(tblMovement[[#This Row],[Material]]="","",IF(LEFT(tblMovement[[#This Row],[Material]],3)="Ore",1,0))</f>
        <v/>
      </c>
      <c r="N4683" s="59">
        <f>IF(OR(tblMovement[[#This Row],[Tonnes_t]]="",tblMovement[[#This Row],[Grade_gpt]]=""),0,tblMovement[[#This Row],[Tonnes_t]]*tblMovement[[#This Row],[Grade_gpt]]/cfg_TroyOz)</f>
        <v/>
      </c>
      <c r="O4683" s="59">
        <f>IF(tblMovement[[#This Row],[Is_Ore]]=1,tblMovement[[#This Row],[Contained_oz]],0)</f>
        <v/>
      </c>
    </row>
    <row r="4684">
      <c r="A4684" s="54" t="n"/>
      <c r="B4684" s="61" t="n"/>
      <c r="C4684" s="61" t="n"/>
      <c r="D4684" s="61" t="n"/>
      <c r="E4684" s="61" t="n"/>
      <c r="F4684" s="55" t="n"/>
      <c r="G4684" s="56" t="n"/>
      <c r="H4684" s="55" t="n"/>
      <c r="I4684" s="62" t="n"/>
      <c r="J4684" s="58" t="n"/>
      <c r="K4684" s="63">
        <f>IF(tblMovement[[#This Row],[Source]]="","",IFERROR(INDEX(tblSources[Type],MATCH(tblMovement[[#This Row],[Source]],tblSources[Source],0)),"?"))</f>
        <v/>
      </c>
      <c r="L4684" s="63">
        <f>IF(tblMovement[[#This Row],[Destination]]="","",IFERROR(INDEX(tblDestinations[Type],MATCH(tblMovement[[#This Row],[Destination]],tblDestinations[Destination],0)),"?"))</f>
        <v/>
      </c>
      <c r="M4684" s="64">
        <f>IF(tblMovement[[#This Row],[Material]]="","",IF(LEFT(tblMovement[[#This Row],[Material]],3)="Ore",1,0))</f>
        <v/>
      </c>
      <c r="N4684" s="59">
        <f>IF(OR(tblMovement[[#This Row],[Tonnes_t]]="",tblMovement[[#This Row],[Grade_gpt]]=""),0,tblMovement[[#This Row],[Tonnes_t]]*tblMovement[[#This Row],[Grade_gpt]]/cfg_TroyOz)</f>
        <v/>
      </c>
      <c r="O4684" s="59">
        <f>IF(tblMovement[[#This Row],[Is_Ore]]=1,tblMovement[[#This Row],[Contained_oz]],0)</f>
        <v/>
      </c>
    </row>
    <row r="4685">
      <c r="A4685" s="54" t="n"/>
      <c r="B4685" s="61" t="n"/>
      <c r="C4685" s="61" t="n"/>
      <c r="D4685" s="61" t="n"/>
      <c r="E4685" s="61" t="n"/>
      <c r="F4685" s="55" t="n"/>
      <c r="G4685" s="56" t="n"/>
      <c r="H4685" s="55" t="n"/>
      <c r="I4685" s="62" t="n"/>
      <c r="J4685" s="58" t="n"/>
      <c r="K4685" s="63">
        <f>IF(tblMovement[[#This Row],[Source]]="","",IFERROR(INDEX(tblSources[Type],MATCH(tblMovement[[#This Row],[Source]],tblSources[Source],0)),"?"))</f>
        <v/>
      </c>
      <c r="L4685" s="63">
        <f>IF(tblMovement[[#This Row],[Destination]]="","",IFERROR(INDEX(tblDestinations[Type],MATCH(tblMovement[[#This Row],[Destination]],tblDestinations[Destination],0)),"?"))</f>
        <v/>
      </c>
      <c r="M4685" s="64">
        <f>IF(tblMovement[[#This Row],[Material]]="","",IF(LEFT(tblMovement[[#This Row],[Material]],3)="Ore",1,0))</f>
        <v/>
      </c>
      <c r="N4685" s="59">
        <f>IF(OR(tblMovement[[#This Row],[Tonnes_t]]="",tblMovement[[#This Row],[Grade_gpt]]=""),0,tblMovement[[#This Row],[Tonnes_t]]*tblMovement[[#This Row],[Grade_gpt]]/cfg_TroyOz)</f>
        <v/>
      </c>
      <c r="O4685" s="59">
        <f>IF(tblMovement[[#This Row],[Is_Ore]]=1,tblMovement[[#This Row],[Contained_oz]],0)</f>
        <v/>
      </c>
    </row>
    <row r="4686">
      <c r="A4686" s="54" t="n"/>
      <c r="B4686" s="61" t="n"/>
      <c r="C4686" s="61" t="n"/>
      <c r="D4686" s="61" t="n"/>
      <c r="E4686" s="61" t="n"/>
      <c r="F4686" s="55" t="n"/>
      <c r="G4686" s="56" t="n"/>
      <c r="H4686" s="55" t="n"/>
      <c r="I4686" s="62" t="n"/>
      <c r="J4686" s="58" t="n"/>
      <c r="K4686" s="63">
        <f>IF(tblMovement[[#This Row],[Source]]="","",IFERROR(INDEX(tblSources[Type],MATCH(tblMovement[[#This Row],[Source]],tblSources[Source],0)),"?"))</f>
        <v/>
      </c>
      <c r="L4686" s="63">
        <f>IF(tblMovement[[#This Row],[Destination]]="","",IFERROR(INDEX(tblDestinations[Type],MATCH(tblMovement[[#This Row],[Destination]],tblDestinations[Destination],0)),"?"))</f>
        <v/>
      </c>
      <c r="M4686" s="64">
        <f>IF(tblMovement[[#This Row],[Material]]="","",IF(LEFT(tblMovement[[#This Row],[Material]],3)="Ore",1,0))</f>
        <v/>
      </c>
      <c r="N4686" s="59">
        <f>IF(OR(tblMovement[[#This Row],[Tonnes_t]]="",tblMovement[[#This Row],[Grade_gpt]]=""),0,tblMovement[[#This Row],[Tonnes_t]]*tblMovement[[#This Row],[Grade_gpt]]/cfg_TroyOz)</f>
        <v/>
      </c>
      <c r="O4686" s="59">
        <f>IF(tblMovement[[#This Row],[Is_Ore]]=1,tblMovement[[#This Row],[Contained_oz]],0)</f>
        <v/>
      </c>
    </row>
    <row r="4687">
      <c r="A4687" s="54" t="n"/>
      <c r="B4687" s="61" t="n"/>
      <c r="C4687" s="61" t="n"/>
      <c r="D4687" s="61" t="n"/>
      <c r="E4687" s="61" t="n"/>
      <c r="F4687" s="55" t="n"/>
      <c r="G4687" s="56" t="n"/>
      <c r="H4687" s="55" t="n"/>
      <c r="I4687" s="62" t="n"/>
      <c r="J4687" s="58" t="n"/>
      <c r="K4687" s="63">
        <f>IF(tblMovement[[#This Row],[Source]]="","",IFERROR(INDEX(tblSources[Type],MATCH(tblMovement[[#This Row],[Source]],tblSources[Source],0)),"?"))</f>
        <v/>
      </c>
      <c r="L4687" s="63">
        <f>IF(tblMovement[[#This Row],[Destination]]="","",IFERROR(INDEX(tblDestinations[Type],MATCH(tblMovement[[#This Row],[Destination]],tblDestinations[Destination],0)),"?"))</f>
        <v/>
      </c>
      <c r="M4687" s="64">
        <f>IF(tblMovement[[#This Row],[Material]]="","",IF(LEFT(tblMovement[[#This Row],[Material]],3)="Ore",1,0))</f>
        <v/>
      </c>
      <c r="N4687" s="59">
        <f>IF(OR(tblMovement[[#This Row],[Tonnes_t]]="",tblMovement[[#This Row],[Grade_gpt]]=""),0,tblMovement[[#This Row],[Tonnes_t]]*tblMovement[[#This Row],[Grade_gpt]]/cfg_TroyOz)</f>
        <v/>
      </c>
      <c r="O4687" s="59">
        <f>IF(tblMovement[[#This Row],[Is_Ore]]=1,tblMovement[[#This Row],[Contained_oz]],0)</f>
        <v/>
      </c>
    </row>
    <row r="4688">
      <c r="A4688" s="54" t="n"/>
      <c r="B4688" s="61" t="n"/>
      <c r="C4688" s="61" t="n"/>
      <c r="D4688" s="61" t="n"/>
      <c r="E4688" s="61" t="n"/>
      <c r="F4688" s="55" t="n"/>
      <c r="G4688" s="56" t="n"/>
      <c r="H4688" s="55" t="n"/>
      <c r="I4688" s="62" t="n"/>
      <c r="J4688" s="58" t="n"/>
      <c r="K4688" s="63">
        <f>IF(tblMovement[[#This Row],[Source]]="","",IFERROR(INDEX(tblSources[Type],MATCH(tblMovement[[#This Row],[Source]],tblSources[Source],0)),"?"))</f>
        <v/>
      </c>
      <c r="L4688" s="63">
        <f>IF(tblMovement[[#This Row],[Destination]]="","",IFERROR(INDEX(tblDestinations[Type],MATCH(tblMovement[[#This Row],[Destination]],tblDestinations[Destination],0)),"?"))</f>
        <v/>
      </c>
      <c r="M4688" s="64">
        <f>IF(tblMovement[[#This Row],[Material]]="","",IF(LEFT(tblMovement[[#This Row],[Material]],3)="Ore",1,0))</f>
        <v/>
      </c>
      <c r="N4688" s="59">
        <f>IF(OR(tblMovement[[#This Row],[Tonnes_t]]="",tblMovement[[#This Row],[Grade_gpt]]=""),0,tblMovement[[#This Row],[Tonnes_t]]*tblMovement[[#This Row],[Grade_gpt]]/cfg_TroyOz)</f>
        <v/>
      </c>
      <c r="O4688" s="59">
        <f>IF(tblMovement[[#This Row],[Is_Ore]]=1,tblMovement[[#This Row],[Contained_oz]],0)</f>
        <v/>
      </c>
    </row>
    <row r="4689">
      <c r="A4689" s="54" t="n"/>
      <c r="B4689" s="61" t="n"/>
      <c r="C4689" s="61" t="n"/>
      <c r="D4689" s="61" t="n"/>
      <c r="E4689" s="61" t="n"/>
      <c r="F4689" s="55" t="n"/>
      <c r="G4689" s="56" t="n"/>
      <c r="H4689" s="55" t="n"/>
      <c r="I4689" s="62" t="n"/>
      <c r="J4689" s="58" t="n"/>
      <c r="K4689" s="63">
        <f>IF(tblMovement[[#This Row],[Source]]="","",IFERROR(INDEX(tblSources[Type],MATCH(tblMovement[[#This Row],[Source]],tblSources[Source],0)),"?"))</f>
        <v/>
      </c>
      <c r="L4689" s="63">
        <f>IF(tblMovement[[#This Row],[Destination]]="","",IFERROR(INDEX(tblDestinations[Type],MATCH(tblMovement[[#This Row],[Destination]],tblDestinations[Destination],0)),"?"))</f>
        <v/>
      </c>
      <c r="M4689" s="64">
        <f>IF(tblMovement[[#This Row],[Material]]="","",IF(LEFT(tblMovement[[#This Row],[Material]],3)="Ore",1,0))</f>
        <v/>
      </c>
      <c r="N4689" s="59">
        <f>IF(OR(tblMovement[[#This Row],[Tonnes_t]]="",tblMovement[[#This Row],[Grade_gpt]]=""),0,tblMovement[[#This Row],[Tonnes_t]]*tblMovement[[#This Row],[Grade_gpt]]/cfg_TroyOz)</f>
        <v/>
      </c>
      <c r="O4689" s="59">
        <f>IF(tblMovement[[#This Row],[Is_Ore]]=1,tblMovement[[#This Row],[Contained_oz]],0)</f>
        <v/>
      </c>
    </row>
    <row r="4690">
      <c r="A4690" s="54" t="n"/>
      <c r="B4690" s="61" t="n"/>
      <c r="C4690" s="61" t="n"/>
      <c r="D4690" s="61" t="n"/>
      <c r="E4690" s="61" t="n"/>
      <c r="F4690" s="55" t="n"/>
      <c r="G4690" s="56" t="n"/>
      <c r="H4690" s="55" t="n"/>
      <c r="I4690" s="62" t="n"/>
      <c r="J4690" s="58" t="n"/>
      <c r="K4690" s="63">
        <f>IF(tblMovement[[#This Row],[Source]]="","",IFERROR(INDEX(tblSources[Type],MATCH(tblMovement[[#This Row],[Source]],tblSources[Source],0)),"?"))</f>
        <v/>
      </c>
      <c r="L4690" s="63">
        <f>IF(tblMovement[[#This Row],[Destination]]="","",IFERROR(INDEX(tblDestinations[Type],MATCH(tblMovement[[#This Row],[Destination]],tblDestinations[Destination],0)),"?"))</f>
        <v/>
      </c>
      <c r="M4690" s="64">
        <f>IF(tblMovement[[#This Row],[Material]]="","",IF(LEFT(tblMovement[[#This Row],[Material]],3)="Ore",1,0))</f>
        <v/>
      </c>
      <c r="N4690" s="59">
        <f>IF(OR(tblMovement[[#This Row],[Tonnes_t]]="",tblMovement[[#This Row],[Grade_gpt]]=""),0,tblMovement[[#This Row],[Tonnes_t]]*tblMovement[[#This Row],[Grade_gpt]]/cfg_TroyOz)</f>
        <v/>
      </c>
      <c r="O4690" s="59">
        <f>IF(tblMovement[[#This Row],[Is_Ore]]=1,tblMovement[[#This Row],[Contained_oz]],0)</f>
        <v/>
      </c>
    </row>
    <row r="4691">
      <c r="A4691" s="54" t="n"/>
      <c r="B4691" s="61" t="n"/>
      <c r="C4691" s="61" t="n"/>
      <c r="D4691" s="61" t="n"/>
      <c r="E4691" s="61" t="n"/>
      <c r="F4691" s="55" t="n"/>
      <c r="G4691" s="56" t="n"/>
      <c r="H4691" s="55" t="n"/>
      <c r="I4691" s="62" t="n"/>
      <c r="J4691" s="58" t="n"/>
      <c r="K4691" s="63">
        <f>IF(tblMovement[[#This Row],[Source]]="","",IFERROR(INDEX(tblSources[Type],MATCH(tblMovement[[#This Row],[Source]],tblSources[Source],0)),"?"))</f>
        <v/>
      </c>
      <c r="L4691" s="63">
        <f>IF(tblMovement[[#This Row],[Destination]]="","",IFERROR(INDEX(tblDestinations[Type],MATCH(tblMovement[[#This Row],[Destination]],tblDestinations[Destination],0)),"?"))</f>
        <v/>
      </c>
      <c r="M4691" s="64">
        <f>IF(tblMovement[[#This Row],[Material]]="","",IF(LEFT(tblMovement[[#This Row],[Material]],3)="Ore",1,0))</f>
        <v/>
      </c>
      <c r="N4691" s="59">
        <f>IF(OR(tblMovement[[#This Row],[Tonnes_t]]="",tblMovement[[#This Row],[Grade_gpt]]=""),0,tblMovement[[#This Row],[Tonnes_t]]*tblMovement[[#This Row],[Grade_gpt]]/cfg_TroyOz)</f>
        <v/>
      </c>
      <c r="O4691" s="59">
        <f>IF(tblMovement[[#This Row],[Is_Ore]]=1,tblMovement[[#This Row],[Contained_oz]],0)</f>
        <v/>
      </c>
    </row>
    <row r="4692">
      <c r="A4692" s="54" t="n"/>
      <c r="B4692" s="61" t="n"/>
      <c r="C4692" s="61" t="n"/>
      <c r="D4692" s="61" t="n"/>
      <c r="E4692" s="61" t="n"/>
      <c r="F4692" s="55" t="n"/>
      <c r="G4692" s="56" t="n"/>
      <c r="H4692" s="55" t="n"/>
      <c r="I4692" s="62" t="n"/>
      <c r="J4692" s="58" t="n"/>
      <c r="K4692" s="63">
        <f>IF(tblMovement[[#This Row],[Source]]="","",IFERROR(INDEX(tblSources[Type],MATCH(tblMovement[[#This Row],[Source]],tblSources[Source],0)),"?"))</f>
        <v/>
      </c>
      <c r="L4692" s="63">
        <f>IF(tblMovement[[#This Row],[Destination]]="","",IFERROR(INDEX(tblDestinations[Type],MATCH(tblMovement[[#This Row],[Destination]],tblDestinations[Destination],0)),"?"))</f>
        <v/>
      </c>
      <c r="M4692" s="64">
        <f>IF(tblMovement[[#This Row],[Material]]="","",IF(LEFT(tblMovement[[#This Row],[Material]],3)="Ore",1,0))</f>
        <v/>
      </c>
      <c r="N4692" s="59">
        <f>IF(OR(tblMovement[[#This Row],[Tonnes_t]]="",tblMovement[[#This Row],[Grade_gpt]]=""),0,tblMovement[[#This Row],[Tonnes_t]]*tblMovement[[#This Row],[Grade_gpt]]/cfg_TroyOz)</f>
        <v/>
      </c>
      <c r="O4692" s="59">
        <f>IF(tblMovement[[#This Row],[Is_Ore]]=1,tblMovement[[#This Row],[Contained_oz]],0)</f>
        <v/>
      </c>
    </row>
    <row r="4693">
      <c r="A4693" s="54" t="n"/>
      <c r="B4693" s="61" t="n"/>
      <c r="C4693" s="61" t="n"/>
      <c r="D4693" s="61" t="n"/>
      <c r="E4693" s="61" t="n"/>
      <c r="F4693" s="55" t="n"/>
      <c r="G4693" s="56" t="n"/>
      <c r="H4693" s="55" t="n"/>
      <c r="I4693" s="62" t="n"/>
      <c r="J4693" s="58" t="n"/>
      <c r="K4693" s="63">
        <f>IF(tblMovement[[#This Row],[Source]]="","",IFERROR(INDEX(tblSources[Type],MATCH(tblMovement[[#This Row],[Source]],tblSources[Source],0)),"?"))</f>
        <v/>
      </c>
      <c r="L4693" s="63">
        <f>IF(tblMovement[[#This Row],[Destination]]="","",IFERROR(INDEX(tblDestinations[Type],MATCH(tblMovement[[#This Row],[Destination]],tblDestinations[Destination],0)),"?"))</f>
        <v/>
      </c>
      <c r="M4693" s="64">
        <f>IF(tblMovement[[#This Row],[Material]]="","",IF(LEFT(tblMovement[[#This Row],[Material]],3)="Ore",1,0))</f>
        <v/>
      </c>
      <c r="N4693" s="59">
        <f>IF(OR(tblMovement[[#This Row],[Tonnes_t]]="",tblMovement[[#This Row],[Grade_gpt]]=""),0,tblMovement[[#This Row],[Tonnes_t]]*tblMovement[[#This Row],[Grade_gpt]]/cfg_TroyOz)</f>
        <v/>
      </c>
      <c r="O4693" s="59">
        <f>IF(tblMovement[[#This Row],[Is_Ore]]=1,tblMovement[[#This Row],[Contained_oz]],0)</f>
        <v/>
      </c>
    </row>
    <row r="4694">
      <c r="A4694" s="54" t="n"/>
      <c r="B4694" s="61" t="n"/>
      <c r="C4694" s="61" t="n"/>
      <c r="D4694" s="61" t="n"/>
      <c r="E4694" s="61" t="n"/>
      <c r="F4694" s="55" t="n"/>
      <c r="G4694" s="56" t="n"/>
      <c r="H4694" s="55" t="n"/>
      <c r="I4694" s="62" t="n"/>
      <c r="J4694" s="58" t="n"/>
      <c r="K4694" s="63">
        <f>IF(tblMovement[[#This Row],[Source]]="","",IFERROR(INDEX(tblSources[Type],MATCH(tblMovement[[#This Row],[Source]],tblSources[Source],0)),"?"))</f>
        <v/>
      </c>
      <c r="L4694" s="63">
        <f>IF(tblMovement[[#This Row],[Destination]]="","",IFERROR(INDEX(tblDestinations[Type],MATCH(tblMovement[[#This Row],[Destination]],tblDestinations[Destination],0)),"?"))</f>
        <v/>
      </c>
      <c r="M4694" s="64">
        <f>IF(tblMovement[[#This Row],[Material]]="","",IF(LEFT(tblMovement[[#This Row],[Material]],3)="Ore",1,0))</f>
        <v/>
      </c>
      <c r="N4694" s="59">
        <f>IF(OR(tblMovement[[#This Row],[Tonnes_t]]="",tblMovement[[#This Row],[Grade_gpt]]=""),0,tblMovement[[#This Row],[Tonnes_t]]*tblMovement[[#This Row],[Grade_gpt]]/cfg_TroyOz)</f>
        <v/>
      </c>
      <c r="O4694" s="59">
        <f>IF(tblMovement[[#This Row],[Is_Ore]]=1,tblMovement[[#This Row],[Contained_oz]],0)</f>
        <v/>
      </c>
    </row>
    <row r="4695">
      <c r="A4695" s="54" t="n"/>
      <c r="B4695" s="61" t="n"/>
      <c r="C4695" s="61" t="n"/>
      <c r="D4695" s="61" t="n"/>
      <c r="E4695" s="61" t="n"/>
      <c r="F4695" s="55" t="n"/>
      <c r="G4695" s="56" t="n"/>
      <c r="H4695" s="55" t="n"/>
      <c r="I4695" s="62" t="n"/>
      <c r="J4695" s="58" t="n"/>
      <c r="K4695" s="63">
        <f>IF(tblMovement[[#This Row],[Source]]="","",IFERROR(INDEX(tblSources[Type],MATCH(tblMovement[[#This Row],[Source]],tblSources[Source],0)),"?"))</f>
        <v/>
      </c>
      <c r="L4695" s="63">
        <f>IF(tblMovement[[#This Row],[Destination]]="","",IFERROR(INDEX(tblDestinations[Type],MATCH(tblMovement[[#This Row],[Destination]],tblDestinations[Destination],0)),"?"))</f>
        <v/>
      </c>
      <c r="M4695" s="64">
        <f>IF(tblMovement[[#This Row],[Material]]="","",IF(LEFT(tblMovement[[#This Row],[Material]],3)="Ore",1,0))</f>
        <v/>
      </c>
      <c r="N4695" s="59">
        <f>IF(OR(tblMovement[[#This Row],[Tonnes_t]]="",tblMovement[[#This Row],[Grade_gpt]]=""),0,tblMovement[[#This Row],[Tonnes_t]]*tblMovement[[#This Row],[Grade_gpt]]/cfg_TroyOz)</f>
        <v/>
      </c>
      <c r="O4695" s="59">
        <f>IF(tblMovement[[#This Row],[Is_Ore]]=1,tblMovement[[#This Row],[Contained_oz]],0)</f>
        <v/>
      </c>
    </row>
    <row r="4696">
      <c r="A4696" s="54" t="n"/>
      <c r="B4696" s="61" t="n"/>
      <c r="C4696" s="61" t="n"/>
      <c r="D4696" s="61" t="n"/>
      <c r="E4696" s="61" t="n"/>
      <c r="F4696" s="55" t="n"/>
      <c r="G4696" s="56" t="n"/>
      <c r="H4696" s="55" t="n"/>
      <c r="I4696" s="62" t="n"/>
      <c r="J4696" s="58" t="n"/>
      <c r="K4696" s="63">
        <f>IF(tblMovement[[#This Row],[Source]]="","",IFERROR(INDEX(tblSources[Type],MATCH(tblMovement[[#This Row],[Source]],tblSources[Source],0)),"?"))</f>
        <v/>
      </c>
      <c r="L4696" s="63">
        <f>IF(tblMovement[[#This Row],[Destination]]="","",IFERROR(INDEX(tblDestinations[Type],MATCH(tblMovement[[#This Row],[Destination]],tblDestinations[Destination],0)),"?"))</f>
        <v/>
      </c>
      <c r="M4696" s="64">
        <f>IF(tblMovement[[#This Row],[Material]]="","",IF(LEFT(tblMovement[[#This Row],[Material]],3)="Ore",1,0))</f>
        <v/>
      </c>
      <c r="N4696" s="59">
        <f>IF(OR(tblMovement[[#This Row],[Tonnes_t]]="",tblMovement[[#This Row],[Grade_gpt]]=""),0,tblMovement[[#This Row],[Tonnes_t]]*tblMovement[[#This Row],[Grade_gpt]]/cfg_TroyOz)</f>
        <v/>
      </c>
      <c r="O4696" s="59">
        <f>IF(tblMovement[[#This Row],[Is_Ore]]=1,tblMovement[[#This Row],[Contained_oz]],0)</f>
        <v/>
      </c>
    </row>
    <row r="4697">
      <c r="A4697" s="54" t="n"/>
      <c r="B4697" s="61" t="n"/>
      <c r="C4697" s="61" t="n"/>
      <c r="D4697" s="61" t="n"/>
      <c r="E4697" s="61" t="n"/>
      <c r="F4697" s="55" t="n"/>
      <c r="G4697" s="56" t="n"/>
      <c r="H4697" s="55" t="n"/>
      <c r="I4697" s="62" t="n"/>
      <c r="J4697" s="58" t="n"/>
      <c r="K4697" s="63">
        <f>IF(tblMovement[[#This Row],[Source]]="","",IFERROR(INDEX(tblSources[Type],MATCH(tblMovement[[#This Row],[Source]],tblSources[Source],0)),"?"))</f>
        <v/>
      </c>
      <c r="L4697" s="63">
        <f>IF(tblMovement[[#This Row],[Destination]]="","",IFERROR(INDEX(tblDestinations[Type],MATCH(tblMovement[[#This Row],[Destination]],tblDestinations[Destination],0)),"?"))</f>
        <v/>
      </c>
      <c r="M4697" s="64">
        <f>IF(tblMovement[[#This Row],[Material]]="","",IF(LEFT(tblMovement[[#This Row],[Material]],3)="Ore",1,0))</f>
        <v/>
      </c>
      <c r="N4697" s="59">
        <f>IF(OR(tblMovement[[#This Row],[Tonnes_t]]="",tblMovement[[#This Row],[Grade_gpt]]=""),0,tblMovement[[#This Row],[Tonnes_t]]*tblMovement[[#This Row],[Grade_gpt]]/cfg_TroyOz)</f>
        <v/>
      </c>
      <c r="O4697" s="59">
        <f>IF(tblMovement[[#This Row],[Is_Ore]]=1,tblMovement[[#This Row],[Contained_oz]],0)</f>
        <v/>
      </c>
    </row>
    <row r="4698">
      <c r="A4698" s="54" t="n"/>
      <c r="B4698" s="61" t="n"/>
      <c r="C4698" s="61" t="n"/>
      <c r="D4698" s="61" t="n"/>
      <c r="E4698" s="61" t="n"/>
      <c r="F4698" s="55" t="n"/>
      <c r="G4698" s="56" t="n"/>
      <c r="H4698" s="55" t="n"/>
      <c r="I4698" s="62" t="n"/>
      <c r="J4698" s="58" t="n"/>
      <c r="K4698" s="63">
        <f>IF(tblMovement[[#This Row],[Source]]="","",IFERROR(INDEX(tblSources[Type],MATCH(tblMovement[[#This Row],[Source]],tblSources[Source],0)),"?"))</f>
        <v/>
      </c>
      <c r="L4698" s="63">
        <f>IF(tblMovement[[#This Row],[Destination]]="","",IFERROR(INDEX(tblDestinations[Type],MATCH(tblMovement[[#This Row],[Destination]],tblDestinations[Destination],0)),"?"))</f>
        <v/>
      </c>
      <c r="M4698" s="64">
        <f>IF(tblMovement[[#This Row],[Material]]="","",IF(LEFT(tblMovement[[#This Row],[Material]],3)="Ore",1,0))</f>
        <v/>
      </c>
      <c r="N4698" s="59">
        <f>IF(OR(tblMovement[[#This Row],[Tonnes_t]]="",tblMovement[[#This Row],[Grade_gpt]]=""),0,tblMovement[[#This Row],[Tonnes_t]]*tblMovement[[#This Row],[Grade_gpt]]/cfg_TroyOz)</f>
        <v/>
      </c>
      <c r="O4698" s="59">
        <f>IF(tblMovement[[#This Row],[Is_Ore]]=1,tblMovement[[#This Row],[Contained_oz]],0)</f>
        <v/>
      </c>
    </row>
    <row r="4699">
      <c r="A4699" s="54" t="n"/>
      <c r="B4699" s="61" t="n"/>
      <c r="C4699" s="61" t="n"/>
      <c r="D4699" s="61" t="n"/>
      <c r="E4699" s="61" t="n"/>
      <c r="F4699" s="55" t="n"/>
      <c r="G4699" s="56" t="n"/>
      <c r="H4699" s="55" t="n"/>
      <c r="I4699" s="62" t="n"/>
      <c r="J4699" s="58" t="n"/>
      <c r="K4699" s="63">
        <f>IF(tblMovement[[#This Row],[Source]]="","",IFERROR(INDEX(tblSources[Type],MATCH(tblMovement[[#This Row],[Source]],tblSources[Source],0)),"?"))</f>
        <v/>
      </c>
      <c r="L4699" s="63">
        <f>IF(tblMovement[[#This Row],[Destination]]="","",IFERROR(INDEX(tblDestinations[Type],MATCH(tblMovement[[#This Row],[Destination]],tblDestinations[Destination],0)),"?"))</f>
        <v/>
      </c>
      <c r="M4699" s="64">
        <f>IF(tblMovement[[#This Row],[Material]]="","",IF(LEFT(tblMovement[[#This Row],[Material]],3)="Ore",1,0))</f>
        <v/>
      </c>
      <c r="N4699" s="59">
        <f>IF(OR(tblMovement[[#This Row],[Tonnes_t]]="",tblMovement[[#This Row],[Grade_gpt]]=""),0,tblMovement[[#This Row],[Tonnes_t]]*tblMovement[[#This Row],[Grade_gpt]]/cfg_TroyOz)</f>
        <v/>
      </c>
      <c r="O4699" s="59">
        <f>IF(tblMovement[[#This Row],[Is_Ore]]=1,tblMovement[[#This Row],[Contained_oz]],0)</f>
        <v/>
      </c>
    </row>
    <row r="4700">
      <c r="A4700" s="54" t="n"/>
      <c r="B4700" s="61" t="n"/>
      <c r="C4700" s="61" t="n"/>
      <c r="D4700" s="61" t="n"/>
      <c r="E4700" s="61" t="n"/>
      <c r="F4700" s="55" t="n"/>
      <c r="G4700" s="56" t="n"/>
      <c r="H4700" s="55" t="n"/>
      <c r="I4700" s="62" t="n"/>
      <c r="J4700" s="58" t="n"/>
      <c r="K4700" s="63">
        <f>IF(tblMovement[[#This Row],[Source]]="","",IFERROR(INDEX(tblSources[Type],MATCH(tblMovement[[#This Row],[Source]],tblSources[Source],0)),"?"))</f>
        <v/>
      </c>
      <c r="L4700" s="63">
        <f>IF(tblMovement[[#This Row],[Destination]]="","",IFERROR(INDEX(tblDestinations[Type],MATCH(tblMovement[[#This Row],[Destination]],tblDestinations[Destination],0)),"?"))</f>
        <v/>
      </c>
      <c r="M4700" s="64">
        <f>IF(tblMovement[[#This Row],[Material]]="","",IF(LEFT(tblMovement[[#This Row],[Material]],3)="Ore",1,0))</f>
        <v/>
      </c>
      <c r="N4700" s="59">
        <f>IF(OR(tblMovement[[#This Row],[Tonnes_t]]="",tblMovement[[#This Row],[Grade_gpt]]=""),0,tblMovement[[#This Row],[Tonnes_t]]*tblMovement[[#This Row],[Grade_gpt]]/cfg_TroyOz)</f>
        <v/>
      </c>
      <c r="O4700" s="59">
        <f>IF(tblMovement[[#This Row],[Is_Ore]]=1,tblMovement[[#This Row],[Contained_oz]],0)</f>
        <v/>
      </c>
    </row>
    <row r="4701">
      <c r="A4701" s="54" t="n"/>
      <c r="B4701" s="61" t="n"/>
      <c r="C4701" s="61" t="n"/>
      <c r="D4701" s="61" t="n"/>
      <c r="E4701" s="61" t="n"/>
      <c r="F4701" s="55" t="n"/>
      <c r="G4701" s="56" t="n"/>
      <c r="H4701" s="55" t="n"/>
      <c r="I4701" s="62" t="n"/>
      <c r="J4701" s="58" t="n"/>
      <c r="K4701" s="63">
        <f>IF(tblMovement[[#This Row],[Source]]="","",IFERROR(INDEX(tblSources[Type],MATCH(tblMovement[[#This Row],[Source]],tblSources[Source],0)),"?"))</f>
        <v/>
      </c>
      <c r="L4701" s="63">
        <f>IF(tblMovement[[#This Row],[Destination]]="","",IFERROR(INDEX(tblDestinations[Type],MATCH(tblMovement[[#This Row],[Destination]],tblDestinations[Destination],0)),"?"))</f>
        <v/>
      </c>
      <c r="M4701" s="64">
        <f>IF(tblMovement[[#This Row],[Material]]="","",IF(LEFT(tblMovement[[#This Row],[Material]],3)="Ore",1,0))</f>
        <v/>
      </c>
      <c r="N4701" s="59">
        <f>IF(OR(tblMovement[[#This Row],[Tonnes_t]]="",tblMovement[[#This Row],[Grade_gpt]]=""),0,tblMovement[[#This Row],[Tonnes_t]]*tblMovement[[#This Row],[Grade_gpt]]/cfg_TroyOz)</f>
        <v/>
      </c>
      <c r="O4701" s="59">
        <f>IF(tblMovement[[#This Row],[Is_Ore]]=1,tblMovement[[#This Row],[Contained_oz]],0)</f>
        <v/>
      </c>
    </row>
    <row r="4702">
      <c r="A4702" s="54" t="n"/>
      <c r="B4702" s="61" t="n"/>
      <c r="C4702" s="61" t="n"/>
      <c r="D4702" s="61" t="n"/>
      <c r="E4702" s="61" t="n"/>
      <c r="F4702" s="55" t="n"/>
      <c r="G4702" s="56" t="n"/>
      <c r="H4702" s="55" t="n"/>
      <c r="I4702" s="62" t="n"/>
      <c r="J4702" s="58" t="n"/>
      <c r="K4702" s="63">
        <f>IF(tblMovement[[#This Row],[Source]]="","",IFERROR(INDEX(tblSources[Type],MATCH(tblMovement[[#This Row],[Source]],tblSources[Source],0)),"?"))</f>
        <v/>
      </c>
      <c r="L4702" s="63">
        <f>IF(tblMovement[[#This Row],[Destination]]="","",IFERROR(INDEX(tblDestinations[Type],MATCH(tblMovement[[#This Row],[Destination]],tblDestinations[Destination],0)),"?"))</f>
        <v/>
      </c>
      <c r="M4702" s="64">
        <f>IF(tblMovement[[#This Row],[Material]]="","",IF(LEFT(tblMovement[[#This Row],[Material]],3)="Ore",1,0))</f>
        <v/>
      </c>
      <c r="N4702" s="59">
        <f>IF(OR(tblMovement[[#This Row],[Tonnes_t]]="",tblMovement[[#This Row],[Grade_gpt]]=""),0,tblMovement[[#This Row],[Tonnes_t]]*tblMovement[[#This Row],[Grade_gpt]]/cfg_TroyOz)</f>
        <v/>
      </c>
      <c r="O4702" s="59">
        <f>IF(tblMovement[[#This Row],[Is_Ore]]=1,tblMovement[[#This Row],[Contained_oz]],0)</f>
        <v/>
      </c>
    </row>
    <row r="4703">
      <c r="A4703" s="54" t="n"/>
      <c r="B4703" s="61" t="n"/>
      <c r="C4703" s="61" t="n"/>
      <c r="D4703" s="61" t="n"/>
      <c r="E4703" s="61" t="n"/>
      <c r="F4703" s="55" t="n"/>
      <c r="G4703" s="56" t="n"/>
      <c r="H4703" s="55" t="n"/>
      <c r="I4703" s="62" t="n"/>
      <c r="J4703" s="58" t="n"/>
      <c r="K4703" s="63">
        <f>IF(tblMovement[[#This Row],[Source]]="","",IFERROR(INDEX(tblSources[Type],MATCH(tblMovement[[#This Row],[Source]],tblSources[Source],0)),"?"))</f>
        <v/>
      </c>
      <c r="L4703" s="63">
        <f>IF(tblMovement[[#This Row],[Destination]]="","",IFERROR(INDEX(tblDestinations[Type],MATCH(tblMovement[[#This Row],[Destination]],tblDestinations[Destination],0)),"?"))</f>
        <v/>
      </c>
      <c r="M4703" s="64">
        <f>IF(tblMovement[[#This Row],[Material]]="","",IF(LEFT(tblMovement[[#This Row],[Material]],3)="Ore",1,0))</f>
        <v/>
      </c>
      <c r="N4703" s="59">
        <f>IF(OR(tblMovement[[#This Row],[Tonnes_t]]="",tblMovement[[#This Row],[Grade_gpt]]=""),0,tblMovement[[#This Row],[Tonnes_t]]*tblMovement[[#This Row],[Grade_gpt]]/cfg_TroyOz)</f>
        <v/>
      </c>
      <c r="O4703" s="59">
        <f>IF(tblMovement[[#This Row],[Is_Ore]]=1,tblMovement[[#This Row],[Contained_oz]],0)</f>
        <v/>
      </c>
    </row>
    <row r="4704">
      <c r="A4704" s="54" t="n"/>
      <c r="B4704" s="61" t="n"/>
      <c r="C4704" s="61" t="n"/>
      <c r="D4704" s="61" t="n"/>
      <c r="E4704" s="61" t="n"/>
      <c r="F4704" s="55" t="n"/>
      <c r="G4704" s="56" t="n"/>
      <c r="H4704" s="55" t="n"/>
      <c r="I4704" s="62" t="n"/>
      <c r="J4704" s="58" t="n"/>
      <c r="K4704" s="63">
        <f>IF(tblMovement[[#This Row],[Source]]="","",IFERROR(INDEX(tblSources[Type],MATCH(tblMovement[[#This Row],[Source]],tblSources[Source],0)),"?"))</f>
        <v/>
      </c>
      <c r="L4704" s="63">
        <f>IF(tblMovement[[#This Row],[Destination]]="","",IFERROR(INDEX(tblDestinations[Type],MATCH(tblMovement[[#This Row],[Destination]],tblDestinations[Destination],0)),"?"))</f>
        <v/>
      </c>
      <c r="M4704" s="64">
        <f>IF(tblMovement[[#This Row],[Material]]="","",IF(LEFT(tblMovement[[#This Row],[Material]],3)="Ore",1,0))</f>
        <v/>
      </c>
      <c r="N4704" s="59">
        <f>IF(OR(tblMovement[[#This Row],[Tonnes_t]]="",tblMovement[[#This Row],[Grade_gpt]]=""),0,tblMovement[[#This Row],[Tonnes_t]]*tblMovement[[#This Row],[Grade_gpt]]/cfg_TroyOz)</f>
        <v/>
      </c>
      <c r="O4704" s="59">
        <f>IF(tblMovement[[#This Row],[Is_Ore]]=1,tblMovement[[#This Row],[Contained_oz]],0)</f>
        <v/>
      </c>
    </row>
    <row r="4705">
      <c r="A4705" s="54" t="n"/>
      <c r="B4705" s="61" t="n"/>
      <c r="C4705" s="61" t="n"/>
      <c r="D4705" s="61" t="n"/>
      <c r="E4705" s="61" t="n"/>
      <c r="F4705" s="55" t="n"/>
      <c r="G4705" s="56" t="n"/>
      <c r="H4705" s="55" t="n"/>
      <c r="I4705" s="62" t="n"/>
      <c r="J4705" s="58" t="n"/>
      <c r="K4705" s="63">
        <f>IF(tblMovement[[#This Row],[Source]]="","",IFERROR(INDEX(tblSources[Type],MATCH(tblMovement[[#This Row],[Source]],tblSources[Source],0)),"?"))</f>
        <v/>
      </c>
      <c r="L4705" s="63">
        <f>IF(tblMovement[[#This Row],[Destination]]="","",IFERROR(INDEX(tblDestinations[Type],MATCH(tblMovement[[#This Row],[Destination]],tblDestinations[Destination],0)),"?"))</f>
        <v/>
      </c>
      <c r="M4705" s="64">
        <f>IF(tblMovement[[#This Row],[Material]]="","",IF(LEFT(tblMovement[[#This Row],[Material]],3)="Ore",1,0))</f>
        <v/>
      </c>
      <c r="N4705" s="59">
        <f>IF(OR(tblMovement[[#This Row],[Tonnes_t]]="",tblMovement[[#This Row],[Grade_gpt]]=""),0,tblMovement[[#This Row],[Tonnes_t]]*tblMovement[[#This Row],[Grade_gpt]]/cfg_TroyOz)</f>
        <v/>
      </c>
      <c r="O4705" s="59">
        <f>IF(tblMovement[[#This Row],[Is_Ore]]=1,tblMovement[[#This Row],[Contained_oz]],0)</f>
        <v/>
      </c>
    </row>
    <row r="4706">
      <c r="A4706" s="54" t="n"/>
      <c r="B4706" s="61" t="n"/>
      <c r="C4706" s="61" t="n"/>
      <c r="D4706" s="61" t="n"/>
      <c r="E4706" s="61" t="n"/>
      <c r="F4706" s="55" t="n"/>
      <c r="G4706" s="56" t="n"/>
      <c r="H4706" s="55" t="n"/>
      <c r="I4706" s="62" t="n"/>
      <c r="J4706" s="58" t="n"/>
      <c r="K4706" s="63">
        <f>IF(tblMovement[[#This Row],[Source]]="","",IFERROR(INDEX(tblSources[Type],MATCH(tblMovement[[#This Row],[Source]],tblSources[Source],0)),"?"))</f>
        <v/>
      </c>
      <c r="L4706" s="63">
        <f>IF(tblMovement[[#This Row],[Destination]]="","",IFERROR(INDEX(tblDestinations[Type],MATCH(tblMovement[[#This Row],[Destination]],tblDestinations[Destination],0)),"?"))</f>
        <v/>
      </c>
      <c r="M4706" s="64">
        <f>IF(tblMovement[[#This Row],[Material]]="","",IF(LEFT(tblMovement[[#This Row],[Material]],3)="Ore",1,0))</f>
        <v/>
      </c>
      <c r="N4706" s="59">
        <f>IF(OR(tblMovement[[#This Row],[Tonnes_t]]="",tblMovement[[#This Row],[Grade_gpt]]=""),0,tblMovement[[#This Row],[Tonnes_t]]*tblMovement[[#This Row],[Grade_gpt]]/cfg_TroyOz)</f>
        <v/>
      </c>
      <c r="O4706" s="59">
        <f>IF(tblMovement[[#This Row],[Is_Ore]]=1,tblMovement[[#This Row],[Contained_oz]],0)</f>
        <v/>
      </c>
    </row>
    <row r="4707">
      <c r="A4707" s="54" t="n"/>
      <c r="B4707" s="61" t="n"/>
      <c r="C4707" s="61" t="n"/>
      <c r="D4707" s="61" t="n"/>
      <c r="E4707" s="61" t="n"/>
      <c r="F4707" s="55" t="n"/>
      <c r="G4707" s="56" t="n"/>
      <c r="H4707" s="55" t="n"/>
      <c r="I4707" s="62" t="n"/>
      <c r="J4707" s="58" t="n"/>
      <c r="K4707" s="63">
        <f>IF(tblMovement[[#This Row],[Source]]="","",IFERROR(INDEX(tblSources[Type],MATCH(tblMovement[[#This Row],[Source]],tblSources[Source],0)),"?"))</f>
        <v/>
      </c>
      <c r="L4707" s="63">
        <f>IF(tblMovement[[#This Row],[Destination]]="","",IFERROR(INDEX(tblDestinations[Type],MATCH(tblMovement[[#This Row],[Destination]],tblDestinations[Destination],0)),"?"))</f>
        <v/>
      </c>
      <c r="M4707" s="64">
        <f>IF(tblMovement[[#This Row],[Material]]="","",IF(LEFT(tblMovement[[#This Row],[Material]],3)="Ore",1,0))</f>
        <v/>
      </c>
      <c r="N4707" s="59">
        <f>IF(OR(tblMovement[[#This Row],[Tonnes_t]]="",tblMovement[[#This Row],[Grade_gpt]]=""),0,tblMovement[[#This Row],[Tonnes_t]]*tblMovement[[#This Row],[Grade_gpt]]/cfg_TroyOz)</f>
        <v/>
      </c>
      <c r="O4707" s="59">
        <f>IF(tblMovement[[#This Row],[Is_Ore]]=1,tblMovement[[#This Row],[Contained_oz]],0)</f>
        <v/>
      </c>
    </row>
    <row r="4708">
      <c r="A4708" s="54" t="n"/>
      <c r="B4708" s="61" t="n"/>
      <c r="C4708" s="61" t="n"/>
      <c r="D4708" s="61" t="n"/>
      <c r="E4708" s="61" t="n"/>
      <c r="F4708" s="55" t="n"/>
      <c r="G4708" s="56" t="n"/>
      <c r="H4708" s="55" t="n"/>
      <c r="I4708" s="62" t="n"/>
      <c r="J4708" s="58" t="n"/>
      <c r="K4708" s="63">
        <f>IF(tblMovement[[#This Row],[Source]]="","",IFERROR(INDEX(tblSources[Type],MATCH(tblMovement[[#This Row],[Source]],tblSources[Source],0)),"?"))</f>
        <v/>
      </c>
      <c r="L4708" s="63">
        <f>IF(tblMovement[[#This Row],[Destination]]="","",IFERROR(INDEX(tblDestinations[Type],MATCH(tblMovement[[#This Row],[Destination]],tblDestinations[Destination],0)),"?"))</f>
        <v/>
      </c>
      <c r="M4708" s="64">
        <f>IF(tblMovement[[#This Row],[Material]]="","",IF(LEFT(tblMovement[[#This Row],[Material]],3)="Ore",1,0))</f>
        <v/>
      </c>
      <c r="N4708" s="59">
        <f>IF(OR(tblMovement[[#This Row],[Tonnes_t]]="",tblMovement[[#This Row],[Grade_gpt]]=""),0,tblMovement[[#This Row],[Tonnes_t]]*tblMovement[[#This Row],[Grade_gpt]]/cfg_TroyOz)</f>
        <v/>
      </c>
      <c r="O4708" s="59">
        <f>IF(tblMovement[[#This Row],[Is_Ore]]=1,tblMovement[[#This Row],[Contained_oz]],0)</f>
        <v/>
      </c>
    </row>
    <row r="4709">
      <c r="A4709" s="54" t="n"/>
      <c r="B4709" s="61" t="n"/>
      <c r="C4709" s="61" t="n"/>
      <c r="D4709" s="61" t="n"/>
      <c r="E4709" s="61" t="n"/>
      <c r="F4709" s="55" t="n"/>
      <c r="G4709" s="56" t="n"/>
      <c r="H4709" s="55" t="n"/>
      <c r="I4709" s="62" t="n"/>
      <c r="J4709" s="58" t="n"/>
      <c r="K4709" s="63">
        <f>IF(tblMovement[[#This Row],[Source]]="","",IFERROR(INDEX(tblSources[Type],MATCH(tblMovement[[#This Row],[Source]],tblSources[Source],0)),"?"))</f>
        <v/>
      </c>
      <c r="L4709" s="63">
        <f>IF(tblMovement[[#This Row],[Destination]]="","",IFERROR(INDEX(tblDestinations[Type],MATCH(tblMovement[[#This Row],[Destination]],tblDestinations[Destination],0)),"?"))</f>
        <v/>
      </c>
      <c r="M4709" s="64">
        <f>IF(tblMovement[[#This Row],[Material]]="","",IF(LEFT(tblMovement[[#This Row],[Material]],3)="Ore",1,0))</f>
        <v/>
      </c>
      <c r="N4709" s="59">
        <f>IF(OR(tblMovement[[#This Row],[Tonnes_t]]="",tblMovement[[#This Row],[Grade_gpt]]=""),0,tblMovement[[#This Row],[Tonnes_t]]*tblMovement[[#This Row],[Grade_gpt]]/cfg_TroyOz)</f>
        <v/>
      </c>
      <c r="O4709" s="59">
        <f>IF(tblMovement[[#This Row],[Is_Ore]]=1,tblMovement[[#This Row],[Contained_oz]],0)</f>
        <v/>
      </c>
    </row>
    <row r="4710">
      <c r="A4710" s="54" t="n"/>
      <c r="B4710" s="61" t="n"/>
      <c r="C4710" s="61" t="n"/>
      <c r="D4710" s="61" t="n"/>
      <c r="E4710" s="61" t="n"/>
      <c r="F4710" s="55" t="n"/>
      <c r="G4710" s="56" t="n"/>
      <c r="H4710" s="55" t="n"/>
      <c r="I4710" s="62" t="n"/>
      <c r="J4710" s="58" t="n"/>
      <c r="K4710" s="63">
        <f>IF(tblMovement[[#This Row],[Source]]="","",IFERROR(INDEX(tblSources[Type],MATCH(tblMovement[[#This Row],[Source]],tblSources[Source],0)),"?"))</f>
        <v/>
      </c>
      <c r="L4710" s="63">
        <f>IF(tblMovement[[#This Row],[Destination]]="","",IFERROR(INDEX(tblDestinations[Type],MATCH(tblMovement[[#This Row],[Destination]],tblDestinations[Destination],0)),"?"))</f>
        <v/>
      </c>
      <c r="M4710" s="64">
        <f>IF(tblMovement[[#This Row],[Material]]="","",IF(LEFT(tblMovement[[#This Row],[Material]],3)="Ore",1,0))</f>
        <v/>
      </c>
      <c r="N4710" s="59">
        <f>IF(OR(tblMovement[[#This Row],[Tonnes_t]]="",tblMovement[[#This Row],[Grade_gpt]]=""),0,tblMovement[[#This Row],[Tonnes_t]]*tblMovement[[#This Row],[Grade_gpt]]/cfg_TroyOz)</f>
        <v/>
      </c>
      <c r="O4710" s="59">
        <f>IF(tblMovement[[#This Row],[Is_Ore]]=1,tblMovement[[#This Row],[Contained_oz]],0)</f>
        <v/>
      </c>
    </row>
    <row r="4711">
      <c r="A4711" s="54" t="n"/>
      <c r="B4711" s="61" t="n"/>
      <c r="C4711" s="61" t="n"/>
      <c r="D4711" s="61" t="n"/>
      <c r="E4711" s="61" t="n"/>
      <c r="F4711" s="55" t="n"/>
      <c r="G4711" s="56" t="n"/>
      <c r="H4711" s="55" t="n"/>
      <c r="I4711" s="62" t="n"/>
      <c r="J4711" s="58" t="n"/>
      <c r="K4711" s="63">
        <f>IF(tblMovement[[#This Row],[Source]]="","",IFERROR(INDEX(tblSources[Type],MATCH(tblMovement[[#This Row],[Source]],tblSources[Source],0)),"?"))</f>
        <v/>
      </c>
      <c r="L4711" s="63">
        <f>IF(tblMovement[[#This Row],[Destination]]="","",IFERROR(INDEX(tblDestinations[Type],MATCH(tblMovement[[#This Row],[Destination]],tblDestinations[Destination],0)),"?"))</f>
        <v/>
      </c>
      <c r="M4711" s="64">
        <f>IF(tblMovement[[#This Row],[Material]]="","",IF(LEFT(tblMovement[[#This Row],[Material]],3)="Ore",1,0))</f>
        <v/>
      </c>
      <c r="N4711" s="59">
        <f>IF(OR(tblMovement[[#This Row],[Tonnes_t]]="",tblMovement[[#This Row],[Grade_gpt]]=""),0,tblMovement[[#This Row],[Tonnes_t]]*tblMovement[[#This Row],[Grade_gpt]]/cfg_TroyOz)</f>
        <v/>
      </c>
      <c r="O4711" s="59">
        <f>IF(tblMovement[[#This Row],[Is_Ore]]=1,tblMovement[[#This Row],[Contained_oz]],0)</f>
        <v/>
      </c>
    </row>
    <row r="4712">
      <c r="A4712" s="54" t="n"/>
      <c r="B4712" s="61" t="n"/>
      <c r="C4712" s="61" t="n"/>
      <c r="D4712" s="61" t="n"/>
      <c r="E4712" s="61" t="n"/>
      <c r="F4712" s="55" t="n"/>
      <c r="G4712" s="56" t="n"/>
      <c r="H4712" s="55" t="n"/>
      <c r="I4712" s="62" t="n"/>
      <c r="J4712" s="58" t="n"/>
      <c r="K4712" s="63">
        <f>IF(tblMovement[[#This Row],[Source]]="","",IFERROR(INDEX(tblSources[Type],MATCH(tblMovement[[#This Row],[Source]],tblSources[Source],0)),"?"))</f>
        <v/>
      </c>
      <c r="L4712" s="63">
        <f>IF(tblMovement[[#This Row],[Destination]]="","",IFERROR(INDEX(tblDestinations[Type],MATCH(tblMovement[[#This Row],[Destination]],tblDestinations[Destination],0)),"?"))</f>
        <v/>
      </c>
      <c r="M4712" s="64">
        <f>IF(tblMovement[[#This Row],[Material]]="","",IF(LEFT(tblMovement[[#This Row],[Material]],3)="Ore",1,0))</f>
        <v/>
      </c>
      <c r="N4712" s="59">
        <f>IF(OR(tblMovement[[#This Row],[Tonnes_t]]="",tblMovement[[#This Row],[Grade_gpt]]=""),0,tblMovement[[#This Row],[Tonnes_t]]*tblMovement[[#This Row],[Grade_gpt]]/cfg_TroyOz)</f>
        <v/>
      </c>
      <c r="O4712" s="59">
        <f>IF(tblMovement[[#This Row],[Is_Ore]]=1,tblMovement[[#This Row],[Contained_oz]],0)</f>
        <v/>
      </c>
    </row>
    <row r="4713">
      <c r="A4713" s="54" t="n"/>
      <c r="B4713" s="61" t="n"/>
      <c r="C4713" s="61" t="n"/>
      <c r="D4713" s="61" t="n"/>
      <c r="E4713" s="61" t="n"/>
      <c r="F4713" s="55" t="n"/>
      <c r="G4713" s="56" t="n"/>
      <c r="H4713" s="55" t="n"/>
      <c r="I4713" s="62" t="n"/>
      <c r="J4713" s="58" t="n"/>
      <c r="K4713" s="63">
        <f>IF(tblMovement[[#This Row],[Source]]="","",IFERROR(INDEX(tblSources[Type],MATCH(tblMovement[[#This Row],[Source]],tblSources[Source],0)),"?"))</f>
        <v/>
      </c>
      <c r="L4713" s="63">
        <f>IF(tblMovement[[#This Row],[Destination]]="","",IFERROR(INDEX(tblDestinations[Type],MATCH(tblMovement[[#This Row],[Destination]],tblDestinations[Destination],0)),"?"))</f>
        <v/>
      </c>
      <c r="M4713" s="64">
        <f>IF(tblMovement[[#This Row],[Material]]="","",IF(LEFT(tblMovement[[#This Row],[Material]],3)="Ore",1,0))</f>
        <v/>
      </c>
      <c r="N4713" s="59">
        <f>IF(OR(tblMovement[[#This Row],[Tonnes_t]]="",tblMovement[[#This Row],[Grade_gpt]]=""),0,tblMovement[[#This Row],[Tonnes_t]]*tblMovement[[#This Row],[Grade_gpt]]/cfg_TroyOz)</f>
        <v/>
      </c>
      <c r="O4713" s="59">
        <f>IF(tblMovement[[#This Row],[Is_Ore]]=1,tblMovement[[#This Row],[Contained_oz]],0)</f>
        <v/>
      </c>
    </row>
    <row r="4714">
      <c r="A4714" s="54" t="n"/>
      <c r="B4714" s="61" t="n"/>
      <c r="C4714" s="61" t="n"/>
      <c r="D4714" s="61" t="n"/>
      <c r="E4714" s="61" t="n"/>
      <c r="F4714" s="55" t="n"/>
      <c r="G4714" s="56" t="n"/>
      <c r="H4714" s="55" t="n"/>
      <c r="I4714" s="62" t="n"/>
      <c r="J4714" s="58" t="n"/>
      <c r="K4714" s="63">
        <f>IF(tblMovement[[#This Row],[Source]]="","",IFERROR(INDEX(tblSources[Type],MATCH(tblMovement[[#This Row],[Source]],tblSources[Source],0)),"?"))</f>
        <v/>
      </c>
      <c r="L4714" s="63">
        <f>IF(tblMovement[[#This Row],[Destination]]="","",IFERROR(INDEX(tblDestinations[Type],MATCH(tblMovement[[#This Row],[Destination]],tblDestinations[Destination],0)),"?"))</f>
        <v/>
      </c>
      <c r="M4714" s="64">
        <f>IF(tblMovement[[#This Row],[Material]]="","",IF(LEFT(tblMovement[[#This Row],[Material]],3)="Ore",1,0))</f>
        <v/>
      </c>
      <c r="N4714" s="59">
        <f>IF(OR(tblMovement[[#This Row],[Tonnes_t]]="",tblMovement[[#This Row],[Grade_gpt]]=""),0,tblMovement[[#This Row],[Tonnes_t]]*tblMovement[[#This Row],[Grade_gpt]]/cfg_TroyOz)</f>
        <v/>
      </c>
      <c r="O4714" s="59">
        <f>IF(tblMovement[[#This Row],[Is_Ore]]=1,tblMovement[[#This Row],[Contained_oz]],0)</f>
        <v/>
      </c>
    </row>
    <row r="4715">
      <c r="A4715" s="54" t="n"/>
      <c r="B4715" s="61" t="n"/>
      <c r="C4715" s="61" t="n"/>
      <c r="D4715" s="61" t="n"/>
      <c r="E4715" s="61" t="n"/>
      <c r="F4715" s="55" t="n"/>
      <c r="G4715" s="56" t="n"/>
      <c r="H4715" s="55" t="n"/>
      <c r="I4715" s="62" t="n"/>
      <c r="J4715" s="58" t="n"/>
      <c r="K4715" s="63">
        <f>IF(tblMovement[[#This Row],[Source]]="","",IFERROR(INDEX(tblSources[Type],MATCH(tblMovement[[#This Row],[Source]],tblSources[Source],0)),"?"))</f>
        <v/>
      </c>
      <c r="L4715" s="63">
        <f>IF(tblMovement[[#This Row],[Destination]]="","",IFERROR(INDEX(tblDestinations[Type],MATCH(tblMovement[[#This Row],[Destination]],tblDestinations[Destination],0)),"?"))</f>
        <v/>
      </c>
      <c r="M4715" s="64">
        <f>IF(tblMovement[[#This Row],[Material]]="","",IF(LEFT(tblMovement[[#This Row],[Material]],3)="Ore",1,0))</f>
        <v/>
      </c>
      <c r="N4715" s="59">
        <f>IF(OR(tblMovement[[#This Row],[Tonnes_t]]="",tblMovement[[#This Row],[Grade_gpt]]=""),0,tblMovement[[#This Row],[Tonnes_t]]*tblMovement[[#This Row],[Grade_gpt]]/cfg_TroyOz)</f>
        <v/>
      </c>
      <c r="O4715" s="59">
        <f>IF(tblMovement[[#This Row],[Is_Ore]]=1,tblMovement[[#This Row],[Contained_oz]],0)</f>
        <v/>
      </c>
    </row>
    <row r="4716">
      <c r="A4716" s="54" t="n"/>
      <c r="B4716" s="61" t="n"/>
      <c r="C4716" s="61" t="n"/>
      <c r="D4716" s="61" t="n"/>
      <c r="E4716" s="61" t="n"/>
      <c r="F4716" s="55" t="n"/>
      <c r="G4716" s="56" t="n"/>
      <c r="H4716" s="55" t="n"/>
      <c r="I4716" s="62" t="n"/>
      <c r="J4716" s="58" t="n"/>
      <c r="K4716" s="63">
        <f>IF(tblMovement[[#This Row],[Source]]="","",IFERROR(INDEX(tblSources[Type],MATCH(tblMovement[[#This Row],[Source]],tblSources[Source],0)),"?"))</f>
        <v/>
      </c>
      <c r="L4716" s="63">
        <f>IF(tblMovement[[#This Row],[Destination]]="","",IFERROR(INDEX(tblDestinations[Type],MATCH(tblMovement[[#This Row],[Destination]],tblDestinations[Destination],0)),"?"))</f>
        <v/>
      </c>
      <c r="M4716" s="64">
        <f>IF(tblMovement[[#This Row],[Material]]="","",IF(LEFT(tblMovement[[#This Row],[Material]],3)="Ore",1,0))</f>
        <v/>
      </c>
      <c r="N4716" s="59">
        <f>IF(OR(tblMovement[[#This Row],[Tonnes_t]]="",tblMovement[[#This Row],[Grade_gpt]]=""),0,tblMovement[[#This Row],[Tonnes_t]]*tblMovement[[#This Row],[Grade_gpt]]/cfg_TroyOz)</f>
        <v/>
      </c>
      <c r="O4716" s="59">
        <f>IF(tblMovement[[#This Row],[Is_Ore]]=1,tblMovement[[#This Row],[Contained_oz]],0)</f>
        <v/>
      </c>
    </row>
    <row r="4717">
      <c r="A4717" s="54" t="n"/>
      <c r="B4717" s="61" t="n"/>
      <c r="C4717" s="61" t="n"/>
      <c r="D4717" s="61" t="n"/>
      <c r="E4717" s="61" t="n"/>
      <c r="F4717" s="55" t="n"/>
      <c r="G4717" s="56" t="n"/>
      <c r="H4717" s="55" t="n"/>
      <c r="I4717" s="62" t="n"/>
      <c r="J4717" s="58" t="n"/>
      <c r="K4717" s="63">
        <f>IF(tblMovement[[#This Row],[Source]]="","",IFERROR(INDEX(tblSources[Type],MATCH(tblMovement[[#This Row],[Source]],tblSources[Source],0)),"?"))</f>
        <v/>
      </c>
      <c r="L4717" s="63">
        <f>IF(tblMovement[[#This Row],[Destination]]="","",IFERROR(INDEX(tblDestinations[Type],MATCH(tblMovement[[#This Row],[Destination]],tblDestinations[Destination],0)),"?"))</f>
        <v/>
      </c>
      <c r="M4717" s="64">
        <f>IF(tblMovement[[#This Row],[Material]]="","",IF(LEFT(tblMovement[[#This Row],[Material]],3)="Ore",1,0))</f>
        <v/>
      </c>
      <c r="N4717" s="59">
        <f>IF(OR(tblMovement[[#This Row],[Tonnes_t]]="",tblMovement[[#This Row],[Grade_gpt]]=""),0,tblMovement[[#This Row],[Tonnes_t]]*tblMovement[[#This Row],[Grade_gpt]]/cfg_TroyOz)</f>
        <v/>
      </c>
      <c r="O4717" s="59">
        <f>IF(tblMovement[[#This Row],[Is_Ore]]=1,tblMovement[[#This Row],[Contained_oz]],0)</f>
        <v/>
      </c>
    </row>
    <row r="4718">
      <c r="A4718" s="54" t="n"/>
      <c r="B4718" s="61" t="n"/>
      <c r="C4718" s="61" t="n"/>
      <c r="D4718" s="61" t="n"/>
      <c r="E4718" s="61" t="n"/>
      <c r="F4718" s="55" t="n"/>
      <c r="G4718" s="56" t="n"/>
      <c r="H4718" s="55" t="n"/>
      <c r="I4718" s="62" t="n"/>
      <c r="J4718" s="58" t="n"/>
      <c r="K4718" s="63">
        <f>IF(tblMovement[[#This Row],[Source]]="","",IFERROR(INDEX(tblSources[Type],MATCH(tblMovement[[#This Row],[Source]],tblSources[Source],0)),"?"))</f>
        <v/>
      </c>
      <c r="L4718" s="63">
        <f>IF(tblMovement[[#This Row],[Destination]]="","",IFERROR(INDEX(tblDestinations[Type],MATCH(tblMovement[[#This Row],[Destination]],tblDestinations[Destination],0)),"?"))</f>
        <v/>
      </c>
      <c r="M4718" s="64">
        <f>IF(tblMovement[[#This Row],[Material]]="","",IF(LEFT(tblMovement[[#This Row],[Material]],3)="Ore",1,0))</f>
        <v/>
      </c>
      <c r="N4718" s="59">
        <f>IF(OR(tblMovement[[#This Row],[Tonnes_t]]="",tblMovement[[#This Row],[Grade_gpt]]=""),0,tblMovement[[#This Row],[Tonnes_t]]*tblMovement[[#This Row],[Grade_gpt]]/cfg_TroyOz)</f>
        <v/>
      </c>
      <c r="O4718" s="59">
        <f>IF(tblMovement[[#This Row],[Is_Ore]]=1,tblMovement[[#This Row],[Contained_oz]],0)</f>
        <v/>
      </c>
    </row>
    <row r="4719">
      <c r="A4719" s="54" t="n"/>
      <c r="B4719" s="61" t="n"/>
      <c r="C4719" s="61" t="n"/>
      <c r="D4719" s="61" t="n"/>
      <c r="E4719" s="61" t="n"/>
      <c r="F4719" s="55" t="n"/>
      <c r="G4719" s="56" t="n"/>
      <c r="H4719" s="55" t="n"/>
      <c r="I4719" s="62" t="n"/>
      <c r="J4719" s="58" t="n"/>
      <c r="K4719" s="63">
        <f>IF(tblMovement[[#This Row],[Source]]="","",IFERROR(INDEX(tblSources[Type],MATCH(tblMovement[[#This Row],[Source]],tblSources[Source],0)),"?"))</f>
        <v/>
      </c>
      <c r="L4719" s="63">
        <f>IF(tblMovement[[#This Row],[Destination]]="","",IFERROR(INDEX(tblDestinations[Type],MATCH(tblMovement[[#This Row],[Destination]],tblDestinations[Destination],0)),"?"))</f>
        <v/>
      </c>
      <c r="M4719" s="64">
        <f>IF(tblMovement[[#This Row],[Material]]="","",IF(LEFT(tblMovement[[#This Row],[Material]],3)="Ore",1,0))</f>
        <v/>
      </c>
      <c r="N4719" s="59">
        <f>IF(OR(tblMovement[[#This Row],[Tonnes_t]]="",tblMovement[[#This Row],[Grade_gpt]]=""),0,tblMovement[[#This Row],[Tonnes_t]]*tblMovement[[#This Row],[Grade_gpt]]/cfg_TroyOz)</f>
        <v/>
      </c>
      <c r="O4719" s="59">
        <f>IF(tblMovement[[#This Row],[Is_Ore]]=1,tblMovement[[#This Row],[Contained_oz]],0)</f>
        <v/>
      </c>
    </row>
    <row r="4720">
      <c r="A4720" s="54" t="n"/>
      <c r="B4720" s="61" t="n"/>
      <c r="C4720" s="61" t="n"/>
      <c r="D4720" s="61" t="n"/>
      <c r="E4720" s="61" t="n"/>
      <c r="F4720" s="55" t="n"/>
      <c r="G4720" s="56" t="n"/>
      <c r="H4720" s="55" t="n"/>
      <c r="I4720" s="62" t="n"/>
      <c r="J4720" s="58" t="n"/>
      <c r="K4720" s="63">
        <f>IF(tblMovement[[#This Row],[Source]]="","",IFERROR(INDEX(tblSources[Type],MATCH(tblMovement[[#This Row],[Source]],tblSources[Source],0)),"?"))</f>
        <v/>
      </c>
      <c r="L4720" s="63">
        <f>IF(tblMovement[[#This Row],[Destination]]="","",IFERROR(INDEX(tblDestinations[Type],MATCH(tblMovement[[#This Row],[Destination]],tblDestinations[Destination],0)),"?"))</f>
        <v/>
      </c>
      <c r="M4720" s="64">
        <f>IF(tblMovement[[#This Row],[Material]]="","",IF(LEFT(tblMovement[[#This Row],[Material]],3)="Ore",1,0))</f>
        <v/>
      </c>
      <c r="N4720" s="59">
        <f>IF(OR(tblMovement[[#This Row],[Tonnes_t]]="",tblMovement[[#This Row],[Grade_gpt]]=""),0,tblMovement[[#This Row],[Tonnes_t]]*tblMovement[[#This Row],[Grade_gpt]]/cfg_TroyOz)</f>
        <v/>
      </c>
      <c r="O4720" s="59">
        <f>IF(tblMovement[[#This Row],[Is_Ore]]=1,tblMovement[[#This Row],[Contained_oz]],0)</f>
        <v/>
      </c>
    </row>
    <row r="4721">
      <c r="A4721" s="54" t="n"/>
      <c r="B4721" s="61" t="n"/>
      <c r="C4721" s="61" t="n"/>
      <c r="D4721" s="61" t="n"/>
      <c r="E4721" s="61" t="n"/>
      <c r="F4721" s="55" t="n"/>
      <c r="G4721" s="56" t="n"/>
      <c r="H4721" s="55" t="n"/>
      <c r="I4721" s="62" t="n"/>
      <c r="J4721" s="58" t="n"/>
      <c r="K4721" s="63">
        <f>IF(tblMovement[[#This Row],[Source]]="","",IFERROR(INDEX(tblSources[Type],MATCH(tblMovement[[#This Row],[Source]],tblSources[Source],0)),"?"))</f>
        <v/>
      </c>
      <c r="L4721" s="63">
        <f>IF(tblMovement[[#This Row],[Destination]]="","",IFERROR(INDEX(tblDestinations[Type],MATCH(tblMovement[[#This Row],[Destination]],tblDestinations[Destination],0)),"?"))</f>
        <v/>
      </c>
      <c r="M4721" s="64">
        <f>IF(tblMovement[[#This Row],[Material]]="","",IF(LEFT(tblMovement[[#This Row],[Material]],3)="Ore",1,0))</f>
        <v/>
      </c>
      <c r="N4721" s="59">
        <f>IF(OR(tblMovement[[#This Row],[Tonnes_t]]="",tblMovement[[#This Row],[Grade_gpt]]=""),0,tblMovement[[#This Row],[Tonnes_t]]*tblMovement[[#This Row],[Grade_gpt]]/cfg_TroyOz)</f>
        <v/>
      </c>
      <c r="O4721" s="59">
        <f>IF(tblMovement[[#This Row],[Is_Ore]]=1,tblMovement[[#This Row],[Contained_oz]],0)</f>
        <v/>
      </c>
    </row>
    <row r="4722">
      <c r="A4722" s="54" t="n"/>
      <c r="B4722" s="61" t="n"/>
      <c r="C4722" s="61" t="n"/>
      <c r="D4722" s="61" t="n"/>
      <c r="E4722" s="61" t="n"/>
      <c r="F4722" s="55" t="n"/>
      <c r="G4722" s="56" t="n"/>
      <c r="H4722" s="55" t="n"/>
      <c r="I4722" s="62" t="n"/>
      <c r="J4722" s="58" t="n"/>
      <c r="K4722" s="63">
        <f>IF(tblMovement[[#This Row],[Source]]="","",IFERROR(INDEX(tblSources[Type],MATCH(tblMovement[[#This Row],[Source]],tblSources[Source],0)),"?"))</f>
        <v/>
      </c>
      <c r="L4722" s="63">
        <f>IF(tblMovement[[#This Row],[Destination]]="","",IFERROR(INDEX(tblDestinations[Type],MATCH(tblMovement[[#This Row],[Destination]],tblDestinations[Destination],0)),"?"))</f>
        <v/>
      </c>
      <c r="M4722" s="64">
        <f>IF(tblMovement[[#This Row],[Material]]="","",IF(LEFT(tblMovement[[#This Row],[Material]],3)="Ore",1,0))</f>
        <v/>
      </c>
      <c r="N4722" s="59">
        <f>IF(OR(tblMovement[[#This Row],[Tonnes_t]]="",tblMovement[[#This Row],[Grade_gpt]]=""),0,tblMovement[[#This Row],[Tonnes_t]]*tblMovement[[#This Row],[Grade_gpt]]/cfg_TroyOz)</f>
        <v/>
      </c>
      <c r="O4722" s="59">
        <f>IF(tblMovement[[#This Row],[Is_Ore]]=1,tblMovement[[#This Row],[Contained_oz]],0)</f>
        <v/>
      </c>
    </row>
    <row r="4723">
      <c r="A4723" s="54" t="n"/>
      <c r="B4723" s="61" t="n"/>
      <c r="C4723" s="61" t="n"/>
      <c r="D4723" s="61" t="n"/>
      <c r="E4723" s="61" t="n"/>
      <c r="F4723" s="55" t="n"/>
      <c r="G4723" s="56" t="n"/>
      <c r="H4723" s="55" t="n"/>
      <c r="I4723" s="62" t="n"/>
      <c r="J4723" s="58" t="n"/>
      <c r="K4723" s="63">
        <f>IF(tblMovement[[#This Row],[Source]]="","",IFERROR(INDEX(tblSources[Type],MATCH(tblMovement[[#This Row],[Source]],tblSources[Source],0)),"?"))</f>
        <v/>
      </c>
      <c r="L4723" s="63">
        <f>IF(tblMovement[[#This Row],[Destination]]="","",IFERROR(INDEX(tblDestinations[Type],MATCH(tblMovement[[#This Row],[Destination]],tblDestinations[Destination],0)),"?"))</f>
        <v/>
      </c>
      <c r="M4723" s="64">
        <f>IF(tblMovement[[#This Row],[Material]]="","",IF(LEFT(tblMovement[[#This Row],[Material]],3)="Ore",1,0))</f>
        <v/>
      </c>
      <c r="N4723" s="59">
        <f>IF(OR(tblMovement[[#This Row],[Tonnes_t]]="",tblMovement[[#This Row],[Grade_gpt]]=""),0,tblMovement[[#This Row],[Tonnes_t]]*tblMovement[[#This Row],[Grade_gpt]]/cfg_TroyOz)</f>
        <v/>
      </c>
      <c r="O4723" s="59">
        <f>IF(tblMovement[[#This Row],[Is_Ore]]=1,tblMovement[[#This Row],[Contained_oz]],0)</f>
        <v/>
      </c>
    </row>
    <row r="4724">
      <c r="A4724" s="54" t="n"/>
      <c r="B4724" s="61" t="n"/>
      <c r="C4724" s="61" t="n"/>
      <c r="D4724" s="61" t="n"/>
      <c r="E4724" s="61" t="n"/>
      <c r="F4724" s="55" t="n"/>
      <c r="G4724" s="56" t="n"/>
      <c r="H4724" s="55" t="n"/>
      <c r="I4724" s="62" t="n"/>
      <c r="J4724" s="58" t="n"/>
      <c r="K4724" s="63">
        <f>IF(tblMovement[[#This Row],[Source]]="","",IFERROR(INDEX(tblSources[Type],MATCH(tblMovement[[#This Row],[Source]],tblSources[Source],0)),"?"))</f>
        <v/>
      </c>
      <c r="L4724" s="63">
        <f>IF(tblMovement[[#This Row],[Destination]]="","",IFERROR(INDEX(tblDestinations[Type],MATCH(tblMovement[[#This Row],[Destination]],tblDestinations[Destination],0)),"?"))</f>
        <v/>
      </c>
      <c r="M4724" s="64">
        <f>IF(tblMovement[[#This Row],[Material]]="","",IF(LEFT(tblMovement[[#This Row],[Material]],3)="Ore",1,0))</f>
        <v/>
      </c>
      <c r="N4724" s="59">
        <f>IF(OR(tblMovement[[#This Row],[Tonnes_t]]="",tblMovement[[#This Row],[Grade_gpt]]=""),0,tblMovement[[#This Row],[Tonnes_t]]*tblMovement[[#This Row],[Grade_gpt]]/cfg_TroyOz)</f>
        <v/>
      </c>
      <c r="O4724" s="59">
        <f>IF(tblMovement[[#This Row],[Is_Ore]]=1,tblMovement[[#This Row],[Contained_oz]],0)</f>
        <v/>
      </c>
    </row>
    <row r="4725">
      <c r="A4725" s="54" t="n"/>
      <c r="B4725" s="61" t="n"/>
      <c r="C4725" s="61" t="n"/>
      <c r="D4725" s="61" t="n"/>
      <c r="E4725" s="61" t="n"/>
      <c r="F4725" s="55" t="n"/>
      <c r="G4725" s="56" t="n"/>
      <c r="H4725" s="55" t="n"/>
      <c r="I4725" s="62" t="n"/>
      <c r="J4725" s="58" t="n"/>
      <c r="K4725" s="63">
        <f>IF(tblMovement[[#This Row],[Source]]="","",IFERROR(INDEX(tblSources[Type],MATCH(tblMovement[[#This Row],[Source]],tblSources[Source],0)),"?"))</f>
        <v/>
      </c>
      <c r="L4725" s="63">
        <f>IF(tblMovement[[#This Row],[Destination]]="","",IFERROR(INDEX(tblDestinations[Type],MATCH(tblMovement[[#This Row],[Destination]],tblDestinations[Destination],0)),"?"))</f>
        <v/>
      </c>
      <c r="M4725" s="64">
        <f>IF(tblMovement[[#This Row],[Material]]="","",IF(LEFT(tblMovement[[#This Row],[Material]],3)="Ore",1,0))</f>
        <v/>
      </c>
      <c r="N4725" s="59">
        <f>IF(OR(tblMovement[[#This Row],[Tonnes_t]]="",tblMovement[[#This Row],[Grade_gpt]]=""),0,tblMovement[[#This Row],[Tonnes_t]]*tblMovement[[#This Row],[Grade_gpt]]/cfg_TroyOz)</f>
        <v/>
      </c>
      <c r="O4725" s="59">
        <f>IF(tblMovement[[#This Row],[Is_Ore]]=1,tblMovement[[#This Row],[Contained_oz]],0)</f>
        <v/>
      </c>
    </row>
    <row r="4726">
      <c r="A4726" s="54" t="n"/>
      <c r="B4726" s="61" t="n"/>
      <c r="C4726" s="61" t="n"/>
      <c r="D4726" s="61" t="n"/>
      <c r="E4726" s="61" t="n"/>
      <c r="F4726" s="55" t="n"/>
      <c r="G4726" s="56" t="n"/>
      <c r="H4726" s="55" t="n"/>
      <c r="I4726" s="62" t="n"/>
      <c r="J4726" s="58" t="n"/>
      <c r="K4726" s="63">
        <f>IF(tblMovement[[#This Row],[Source]]="","",IFERROR(INDEX(tblSources[Type],MATCH(tblMovement[[#This Row],[Source]],tblSources[Source],0)),"?"))</f>
        <v/>
      </c>
      <c r="L4726" s="63">
        <f>IF(tblMovement[[#This Row],[Destination]]="","",IFERROR(INDEX(tblDestinations[Type],MATCH(tblMovement[[#This Row],[Destination]],tblDestinations[Destination],0)),"?"))</f>
        <v/>
      </c>
      <c r="M4726" s="64">
        <f>IF(tblMovement[[#This Row],[Material]]="","",IF(LEFT(tblMovement[[#This Row],[Material]],3)="Ore",1,0))</f>
        <v/>
      </c>
      <c r="N4726" s="59">
        <f>IF(OR(tblMovement[[#This Row],[Tonnes_t]]="",tblMovement[[#This Row],[Grade_gpt]]=""),0,tblMovement[[#This Row],[Tonnes_t]]*tblMovement[[#This Row],[Grade_gpt]]/cfg_TroyOz)</f>
        <v/>
      </c>
      <c r="O4726" s="59">
        <f>IF(tblMovement[[#This Row],[Is_Ore]]=1,tblMovement[[#This Row],[Contained_oz]],0)</f>
        <v/>
      </c>
    </row>
    <row r="4727">
      <c r="A4727" s="54" t="n"/>
      <c r="B4727" s="61" t="n"/>
      <c r="C4727" s="61" t="n"/>
      <c r="D4727" s="61" t="n"/>
      <c r="E4727" s="61" t="n"/>
      <c r="F4727" s="55" t="n"/>
      <c r="G4727" s="56" t="n"/>
      <c r="H4727" s="55" t="n"/>
      <c r="I4727" s="62" t="n"/>
      <c r="J4727" s="58" t="n"/>
      <c r="K4727" s="63">
        <f>IF(tblMovement[[#This Row],[Source]]="","",IFERROR(INDEX(tblSources[Type],MATCH(tblMovement[[#This Row],[Source]],tblSources[Source],0)),"?"))</f>
        <v/>
      </c>
      <c r="L4727" s="63">
        <f>IF(tblMovement[[#This Row],[Destination]]="","",IFERROR(INDEX(tblDestinations[Type],MATCH(tblMovement[[#This Row],[Destination]],tblDestinations[Destination],0)),"?"))</f>
        <v/>
      </c>
      <c r="M4727" s="64">
        <f>IF(tblMovement[[#This Row],[Material]]="","",IF(LEFT(tblMovement[[#This Row],[Material]],3)="Ore",1,0))</f>
        <v/>
      </c>
      <c r="N4727" s="59">
        <f>IF(OR(tblMovement[[#This Row],[Tonnes_t]]="",tblMovement[[#This Row],[Grade_gpt]]=""),0,tblMovement[[#This Row],[Tonnes_t]]*tblMovement[[#This Row],[Grade_gpt]]/cfg_TroyOz)</f>
        <v/>
      </c>
      <c r="O4727" s="59">
        <f>IF(tblMovement[[#This Row],[Is_Ore]]=1,tblMovement[[#This Row],[Contained_oz]],0)</f>
        <v/>
      </c>
    </row>
    <row r="4728">
      <c r="A4728" s="54" t="n"/>
      <c r="B4728" s="61" t="n"/>
      <c r="C4728" s="61" t="n"/>
      <c r="D4728" s="61" t="n"/>
      <c r="E4728" s="61" t="n"/>
      <c r="F4728" s="55" t="n"/>
      <c r="G4728" s="56" t="n"/>
      <c r="H4728" s="55" t="n"/>
      <c r="I4728" s="62" t="n"/>
      <c r="J4728" s="58" t="n"/>
      <c r="K4728" s="63">
        <f>IF(tblMovement[[#This Row],[Source]]="","",IFERROR(INDEX(tblSources[Type],MATCH(tblMovement[[#This Row],[Source]],tblSources[Source],0)),"?"))</f>
        <v/>
      </c>
      <c r="L4728" s="63">
        <f>IF(tblMovement[[#This Row],[Destination]]="","",IFERROR(INDEX(tblDestinations[Type],MATCH(tblMovement[[#This Row],[Destination]],tblDestinations[Destination],0)),"?"))</f>
        <v/>
      </c>
      <c r="M4728" s="64">
        <f>IF(tblMovement[[#This Row],[Material]]="","",IF(LEFT(tblMovement[[#This Row],[Material]],3)="Ore",1,0))</f>
        <v/>
      </c>
      <c r="N4728" s="59">
        <f>IF(OR(tblMovement[[#This Row],[Tonnes_t]]="",tblMovement[[#This Row],[Grade_gpt]]=""),0,tblMovement[[#This Row],[Tonnes_t]]*tblMovement[[#This Row],[Grade_gpt]]/cfg_TroyOz)</f>
        <v/>
      </c>
      <c r="O4728" s="59">
        <f>IF(tblMovement[[#This Row],[Is_Ore]]=1,tblMovement[[#This Row],[Contained_oz]],0)</f>
        <v/>
      </c>
    </row>
    <row r="4729">
      <c r="A4729" s="54" t="n"/>
      <c r="B4729" s="61" t="n"/>
      <c r="C4729" s="61" t="n"/>
      <c r="D4729" s="61" t="n"/>
      <c r="E4729" s="61" t="n"/>
      <c r="F4729" s="55" t="n"/>
      <c r="G4729" s="56" t="n"/>
      <c r="H4729" s="55" t="n"/>
      <c r="I4729" s="62" t="n"/>
      <c r="J4729" s="58" t="n"/>
      <c r="K4729" s="63">
        <f>IF(tblMovement[[#This Row],[Source]]="","",IFERROR(INDEX(tblSources[Type],MATCH(tblMovement[[#This Row],[Source]],tblSources[Source],0)),"?"))</f>
        <v/>
      </c>
      <c r="L4729" s="63">
        <f>IF(tblMovement[[#This Row],[Destination]]="","",IFERROR(INDEX(tblDestinations[Type],MATCH(tblMovement[[#This Row],[Destination]],tblDestinations[Destination],0)),"?"))</f>
        <v/>
      </c>
      <c r="M4729" s="64">
        <f>IF(tblMovement[[#This Row],[Material]]="","",IF(LEFT(tblMovement[[#This Row],[Material]],3)="Ore",1,0))</f>
        <v/>
      </c>
      <c r="N4729" s="59">
        <f>IF(OR(tblMovement[[#This Row],[Tonnes_t]]="",tblMovement[[#This Row],[Grade_gpt]]=""),0,tblMovement[[#This Row],[Tonnes_t]]*tblMovement[[#This Row],[Grade_gpt]]/cfg_TroyOz)</f>
        <v/>
      </c>
      <c r="O4729" s="59">
        <f>IF(tblMovement[[#This Row],[Is_Ore]]=1,tblMovement[[#This Row],[Contained_oz]],0)</f>
        <v/>
      </c>
    </row>
    <row r="4730">
      <c r="A4730" s="54" t="n"/>
      <c r="B4730" s="61" t="n"/>
      <c r="C4730" s="61" t="n"/>
      <c r="D4730" s="61" t="n"/>
      <c r="E4730" s="61" t="n"/>
      <c r="F4730" s="55" t="n"/>
      <c r="G4730" s="56" t="n"/>
      <c r="H4730" s="55" t="n"/>
      <c r="I4730" s="62" t="n"/>
      <c r="J4730" s="58" t="n"/>
      <c r="K4730" s="63">
        <f>IF(tblMovement[[#This Row],[Source]]="","",IFERROR(INDEX(tblSources[Type],MATCH(tblMovement[[#This Row],[Source]],tblSources[Source],0)),"?"))</f>
        <v/>
      </c>
      <c r="L4730" s="63">
        <f>IF(tblMovement[[#This Row],[Destination]]="","",IFERROR(INDEX(tblDestinations[Type],MATCH(tblMovement[[#This Row],[Destination]],tblDestinations[Destination],0)),"?"))</f>
        <v/>
      </c>
      <c r="M4730" s="64">
        <f>IF(tblMovement[[#This Row],[Material]]="","",IF(LEFT(tblMovement[[#This Row],[Material]],3)="Ore",1,0))</f>
        <v/>
      </c>
      <c r="N4730" s="59">
        <f>IF(OR(tblMovement[[#This Row],[Tonnes_t]]="",tblMovement[[#This Row],[Grade_gpt]]=""),0,tblMovement[[#This Row],[Tonnes_t]]*tblMovement[[#This Row],[Grade_gpt]]/cfg_TroyOz)</f>
        <v/>
      </c>
      <c r="O4730" s="59">
        <f>IF(tblMovement[[#This Row],[Is_Ore]]=1,tblMovement[[#This Row],[Contained_oz]],0)</f>
        <v/>
      </c>
    </row>
    <row r="4731">
      <c r="A4731" s="54" t="n"/>
      <c r="B4731" s="61" t="n"/>
      <c r="C4731" s="61" t="n"/>
      <c r="D4731" s="61" t="n"/>
      <c r="E4731" s="61" t="n"/>
      <c r="F4731" s="55" t="n"/>
      <c r="G4731" s="56" t="n"/>
      <c r="H4731" s="55" t="n"/>
      <c r="I4731" s="62" t="n"/>
      <c r="J4731" s="58" t="n"/>
      <c r="K4731" s="63">
        <f>IF(tblMovement[[#This Row],[Source]]="","",IFERROR(INDEX(tblSources[Type],MATCH(tblMovement[[#This Row],[Source]],tblSources[Source],0)),"?"))</f>
        <v/>
      </c>
      <c r="L4731" s="63">
        <f>IF(tblMovement[[#This Row],[Destination]]="","",IFERROR(INDEX(tblDestinations[Type],MATCH(tblMovement[[#This Row],[Destination]],tblDestinations[Destination],0)),"?"))</f>
        <v/>
      </c>
      <c r="M4731" s="64">
        <f>IF(tblMovement[[#This Row],[Material]]="","",IF(LEFT(tblMovement[[#This Row],[Material]],3)="Ore",1,0))</f>
        <v/>
      </c>
      <c r="N4731" s="59">
        <f>IF(OR(tblMovement[[#This Row],[Tonnes_t]]="",tblMovement[[#This Row],[Grade_gpt]]=""),0,tblMovement[[#This Row],[Tonnes_t]]*tblMovement[[#This Row],[Grade_gpt]]/cfg_TroyOz)</f>
        <v/>
      </c>
      <c r="O4731" s="59">
        <f>IF(tblMovement[[#This Row],[Is_Ore]]=1,tblMovement[[#This Row],[Contained_oz]],0)</f>
        <v/>
      </c>
    </row>
    <row r="4732">
      <c r="A4732" s="54" t="n"/>
      <c r="B4732" s="61" t="n"/>
      <c r="C4732" s="61" t="n"/>
      <c r="D4732" s="61" t="n"/>
      <c r="E4732" s="61" t="n"/>
      <c r="F4732" s="55" t="n"/>
      <c r="G4732" s="56" t="n"/>
      <c r="H4732" s="55" t="n"/>
      <c r="I4732" s="62" t="n"/>
      <c r="J4732" s="58" t="n"/>
      <c r="K4732" s="63">
        <f>IF(tblMovement[[#This Row],[Source]]="","",IFERROR(INDEX(tblSources[Type],MATCH(tblMovement[[#This Row],[Source]],tblSources[Source],0)),"?"))</f>
        <v/>
      </c>
      <c r="L4732" s="63">
        <f>IF(tblMovement[[#This Row],[Destination]]="","",IFERROR(INDEX(tblDestinations[Type],MATCH(tblMovement[[#This Row],[Destination]],tblDestinations[Destination],0)),"?"))</f>
        <v/>
      </c>
      <c r="M4732" s="64">
        <f>IF(tblMovement[[#This Row],[Material]]="","",IF(LEFT(tblMovement[[#This Row],[Material]],3)="Ore",1,0))</f>
        <v/>
      </c>
      <c r="N4732" s="59">
        <f>IF(OR(tblMovement[[#This Row],[Tonnes_t]]="",tblMovement[[#This Row],[Grade_gpt]]=""),0,tblMovement[[#This Row],[Tonnes_t]]*tblMovement[[#This Row],[Grade_gpt]]/cfg_TroyOz)</f>
        <v/>
      </c>
      <c r="O4732" s="59">
        <f>IF(tblMovement[[#This Row],[Is_Ore]]=1,tblMovement[[#This Row],[Contained_oz]],0)</f>
        <v/>
      </c>
    </row>
    <row r="4733">
      <c r="A4733" s="54" t="n"/>
      <c r="B4733" s="61" t="n"/>
      <c r="C4733" s="61" t="n"/>
      <c r="D4733" s="61" t="n"/>
      <c r="E4733" s="61" t="n"/>
      <c r="F4733" s="55" t="n"/>
      <c r="G4733" s="56" t="n"/>
      <c r="H4733" s="55" t="n"/>
      <c r="I4733" s="62" t="n"/>
      <c r="J4733" s="58" t="n"/>
      <c r="K4733" s="63">
        <f>IF(tblMovement[[#This Row],[Source]]="","",IFERROR(INDEX(tblSources[Type],MATCH(tblMovement[[#This Row],[Source]],tblSources[Source],0)),"?"))</f>
        <v/>
      </c>
      <c r="L4733" s="63">
        <f>IF(tblMovement[[#This Row],[Destination]]="","",IFERROR(INDEX(tblDestinations[Type],MATCH(tblMovement[[#This Row],[Destination]],tblDestinations[Destination],0)),"?"))</f>
        <v/>
      </c>
      <c r="M4733" s="64">
        <f>IF(tblMovement[[#This Row],[Material]]="","",IF(LEFT(tblMovement[[#This Row],[Material]],3)="Ore",1,0))</f>
        <v/>
      </c>
      <c r="N4733" s="59">
        <f>IF(OR(tblMovement[[#This Row],[Tonnes_t]]="",tblMovement[[#This Row],[Grade_gpt]]=""),0,tblMovement[[#This Row],[Tonnes_t]]*tblMovement[[#This Row],[Grade_gpt]]/cfg_TroyOz)</f>
        <v/>
      </c>
      <c r="O4733" s="59">
        <f>IF(tblMovement[[#This Row],[Is_Ore]]=1,tblMovement[[#This Row],[Contained_oz]],0)</f>
        <v/>
      </c>
    </row>
    <row r="4734">
      <c r="A4734" s="54" t="n"/>
      <c r="B4734" s="61" t="n"/>
      <c r="C4734" s="61" t="n"/>
      <c r="D4734" s="61" t="n"/>
      <c r="E4734" s="61" t="n"/>
      <c r="F4734" s="55" t="n"/>
      <c r="G4734" s="56" t="n"/>
      <c r="H4734" s="55" t="n"/>
      <c r="I4734" s="62" t="n"/>
      <c r="J4734" s="58" t="n"/>
      <c r="K4734" s="63">
        <f>IF(tblMovement[[#This Row],[Source]]="","",IFERROR(INDEX(tblSources[Type],MATCH(tblMovement[[#This Row],[Source]],tblSources[Source],0)),"?"))</f>
        <v/>
      </c>
      <c r="L4734" s="63">
        <f>IF(tblMovement[[#This Row],[Destination]]="","",IFERROR(INDEX(tblDestinations[Type],MATCH(tblMovement[[#This Row],[Destination]],tblDestinations[Destination],0)),"?"))</f>
        <v/>
      </c>
      <c r="M4734" s="64">
        <f>IF(tblMovement[[#This Row],[Material]]="","",IF(LEFT(tblMovement[[#This Row],[Material]],3)="Ore",1,0))</f>
        <v/>
      </c>
      <c r="N4734" s="59">
        <f>IF(OR(tblMovement[[#This Row],[Tonnes_t]]="",tblMovement[[#This Row],[Grade_gpt]]=""),0,tblMovement[[#This Row],[Tonnes_t]]*tblMovement[[#This Row],[Grade_gpt]]/cfg_TroyOz)</f>
        <v/>
      </c>
      <c r="O4734" s="59">
        <f>IF(tblMovement[[#This Row],[Is_Ore]]=1,tblMovement[[#This Row],[Contained_oz]],0)</f>
        <v/>
      </c>
    </row>
    <row r="4735">
      <c r="A4735" s="54" t="n"/>
      <c r="B4735" s="61" t="n"/>
      <c r="C4735" s="61" t="n"/>
      <c r="D4735" s="61" t="n"/>
      <c r="E4735" s="61" t="n"/>
      <c r="F4735" s="55" t="n"/>
      <c r="G4735" s="56" t="n"/>
      <c r="H4735" s="55" t="n"/>
      <c r="I4735" s="62" t="n"/>
      <c r="J4735" s="58" t="n"/>
      <c r="K4735" s="63">
        <f>IF(tblMovement[[#This Row],[Source]]="","",IFERROR(INDEX(tblSources[Type],MATCH(tblMovement[[#This Row],[Source]],tblSources[Source],0)),"?"))</f>
        <v/>
      </c>
      <c r="L4735" s="63">
        <f>IF(tblMovement[[#This Row],[Destination]]="","",IFERROR(INDEX(tblDestinations[Type],MATCH(tblMovement[[#This Row],[Destination]],tblDestinations[Destination],0)),"?"))</f>
        <v/>
      </c>
      <c r="M4735" s="64">
        <f>IF(tblMovement[[#This Row],[Material]]="","",IF(LEFT(tblMovement[[#This Row],[Material]],3)="Ore",1,0))</f>
        <v/>
      </c>
      <c r="N4735" s="59">
        <f>IF(OR(tblMovement[[#This Row],[Tonnes_t]]="",tblMovement[[#This Row],[Grade_gpt]]=""),0,tblMovement[[#This Row],[Tonnes_t]]*tblMovement[[#This Row],[Grade_gpt]]/cfg_TroyOz)</f>
        <v/>
      </c>
      <c r="O4735" s="59">
        <f>IF(tblMovement[[#This Row],[Is_Ore]]=1,tblMovement[[#This Row],[Contained_oz]],0)</f>
        <v/>
      </c>
    </row>
    <row r="4736">
      <c r="A4736" s="54" t="n"/>
      <c r="B4736" s="61" t="n"/>
      <c r="C4736" s="61" t="n"/>
      <c r="D4736" s="61" t="n"/>
      <c r="E4736" s="61" t="n"/>
      <c r="F4736" s="55" t="n"/>
      <c r="G4736" s="56" t="n"/>
      <c r="H4736" s="55" t="n"/>
      <c r="I4736" s="62" t="n"/>
      <c r="J4736" s="58" t="n"/>
      <c r="K4736" s="63">
        <f>IF(tblMovement[[#This Row],[Source]]="","",IFERROR(INDEX(tblSources[Type],MATCH(tblMovement[[#This Row],[Source]],tblSources[Source],0)),"?"))</f>
        <v/>
      </c>
      <c r="L4736" s="63">
        <f>IF(tblMovement[[#This Row],[Destination]]="","",IFERROR(INDEX(tblDestinations[Type],MATCH(tblMovement[[#This Row],[Destination]],tblDestinations[Destination],0)),"?"))</f>
        <v/>
      </c>
      <c r="M4736" s="64">
        <f>IF(tblMovement[[#This Row],[Material]]="","",IF(LEFT(tblMovement[[#This Row],[Material]],3)="Ore",1,0))</f>
        <v/>
      </c>
      <c r="N4736" s="59">
        <f>IF(OR(tblMovement[[#This Row],[Tonnes_t]]="",tblMovement[[#This Row],[Grade_gpt]]=""),0,tblMovement[[#This Row],[Tonnes_t]]*tblMovement[[#This Row],[Grade_gpt]]/cfg_TroyOz)</f>
        <v/>
      </c>
      <c r="O4736" s="59">
        <f>IF(tblMovement[[#This Row],[Is_Ore]]=1,tblMovement[[#This Row],[Contained_oz]],0)</f>
        <v/>
      </c>
    </row>
    <row r="4737">
      <c r="A4737" s="54" t="n"/>
      <c r="B4737" s="61" t="n"/>
      <c r="C4737" s="61" t="n"/>
      <c r="D4737" s="61" t="n"/>
      <c r="E4737" s="61" t="n"/>
      <c r="F4737" s="55" t="n"/>
      <c r="G4737" s="56" t="n"/>
      <c r="H4737" s="55" t="n"/>
      <c r="I4737" s="62" t="n"/>
      <c r="J4737" s="58" t="n"/>
      <c r="K4737" s="63">
        <f>IF(tblMovement[[#This Row],[Source]]="","",IFERROR(INDEX(tblSources[Type],MATCH(tblMovement[[#This Row],[Source]],tblSources[Source],0)),"?"))</f>
        <v/>
      </c>
      <c r="L4737" s="63">
        <f>IF(tblMovement[[#This Row],[Destination]]="","",IFERROR(INDEX(tblDestinations[Type],MATCH(tblMovement[[#This Row],[Destination]],tblDestinations[Destination],0)),"?"))</f>
        <v/>
      </c>
      <c r="M4737" s="64">
        <f>IF(tblMovement[[#This Row],[Material]]="","",IF(LEFT(tblMovement[[#This Row],[Material]],3)="Ore",1,0))</f>
        <v/>
      </c>
      <c r="N4737" s="59">
        <f>IF(OR(tblMovement[[#This Row],[Tonnes_t]]="",tblMovement[[#This Row],[Grade_gpt]]=""),0,tblMovement[[#This Row],[Tonnes_t]]*tblMovement[[#This Row],[Grade_gpt]]/cfg_TroyOz)</f>
        <v/>
      </c>
      <c r="O4737" s="59">
        <f>IF(tblMovement[[#This Row],[Is_Ore]]=1,tblMovement[[#This Row],[Contained_oz]],0)</f>
        <v/>
      </c>
    </row>
    <row r="4738">
      <c r="A4738" s="54" t="n"/>
      <c r="B4738" s="61" t="n"/>
      <c r="C4738" s="61" t="n"/>
      <c r="D4738" s="61" t="n"/>
      <c r="E4738" s="61" t="n"/>
      <c r="F4738" s="55" t="n"/>
      <c r="G4738" s="56" t="n"/>
      <c r="H4738" s="55" t="n"/>
      <c r="I4738" s="62" t="n"/>
      <c r="J4738" s="58" t="n"/>
      <c r="K4738" s="63">
        <f>IF(tblMovement[[#This Row],[Source]]="","",IFERROR(INDEX(tblSources[Type],MATCH(tblMovement[[#This Row],[Source]],tblSources[Source],0)),"?"))</f>
        <v/>
      </c>
      <c r="L4738" s="63">
        <f>IF(tblMovement[[#This Row],[Destination]]="","",IFERROR(INDEX(tblDestinations[Type],MATCH(tblMovement[[#This Row],[Destination]],tblDestinations[Destination],0)),"?"))</f>
        <v/>
      </c>
      <c r="M4738" s="64">
        <f>IF(tblMovement[[#This Row],[Material]]="","",IF(LEFT(tblMovement[[#This Row],[Material]],3)="Ore",1,0))</f>
        <v/>
      </c>
      <c r="N4738" s="59">
        <f>IF(OR(tblMovement[[#This Row],[Tonnes_t]]="",tblMovement[[#This Row],[Grade_gpt]]=""),0,tblMovement[[#This Row],[Tonnes_t]]*tblMovement[[#This Row],[Grade_gpt]]/cfg_TroyOz)</f>
        <v/>
      </c>
      <c r="O4738" s="59">
        <f>IF(tblMovement[[#This Row],[Is_Ore]]=1,tblMovement[[#This Row],[Contained_oz]],0)</f>
        <v/>
      </c>
    </row>
    <row r="4739">
      <c r="A4739" s="54" t="n"/>
      <c r="B4739" s="61" t="n"/>
      <c r="C4739" s="61" t="n"/>
      <c r="D4739" s="61" t="n"/>
      <c r="E4739" s="61" t="n"/>
      <c r="F4739" s="55" t="n"/>
      <c r="G4739" s="56" t="n"/>
      <c r="H4739" s="55" t="n"/>
      <c r="I4739" s="62" t="n"/>
      <c r="J4739" s="58" t="n"/>
      <c r="K4739" s="63">
        <f>IF(tblMovement[[#This Row],[Source]]="","",IFERROR(INDEX(tblSources[Type],MATCH(tblMovement[[#This Row],[Source]],tblSources[Source],0)),"?"))</f>
        <v/>
      </c>
      <c r="L4739" s="63">
        <f>IF(tblMovement[[#This Row],[Destination]]="","",IFERROR(INDEX(tblDestinations[Type],MATCH(tblMovement[[#This Row],[Destination]],tblDestinations[Destination],0)),"?"))</f>
        <v/>
      </c>
      <c r="M4739" s="64">
        <f>IF(tblMovement[[#This Row],[Material]]="","",IF(LEFT(tblMovement[[#This Row],[Material]],3)="Ore",1,0))</f>
        <v/>
      </c>
      <c r="N4739" s="59">
        <f>IF(OR(tblMovement[[#This Row],[Tonnes_t]]="",tblMovement[[#This Row],[Grade_gpt]]=""),0,tblMovement[[#This Row],[Tonnes_t]]*tblMovement[[#This Row],[Grade_gpt]]/cfg_TroyOz)</f>
        <v/>
      </c>
      <c r="O4739" s="59">
        <f>IF(tblMovement[[#This Row],[Is_Ore]]=1,tblMovement[[#This Row],[Contained_oz]],0)</f>
        <v/>
      </c>
    </row>
    <row r="4740">
      <c r="A4740" s="54" t="n"/>
      <c r="B4740" s="61" t="n"/>
      <c r="C4740" s="61" t="n"/>
      <c r="D4740" s="61" t="n"/>
      <c r="E4740" s="61" t="n"/>
      <c r="F4740" s="55" t="n"/>
      <c r="G4740" s="56" t="n"/>
      <c r="H4740" s="55" t="n"/>
      <c r="I4740" s="62" t="n"/>
      <c r="J4740" s="58" t="n"/>
      <c r="K4740" s="63">
        <f>IF(tblMovement[[#This Row],[Source]]="","",IFERROR(INDEX(tblSources[Type],MATCH(tblMovement[[#This Row],[Source]],tblSources[Source],0)),"?"))</f>
        <v/>
      </c>
      <c r="L4740" s="63">
        <f>IF(tblMovement[[#This Row],[Destination]]="","",IFERROR(INDEX(tblDestinations[Type],MATCH(tblMovement[[#This Row],[Destination]],tblDestinations[Destination],0)),"?"))</f>
        <v/>
      </c>
      <c r="M4740" s="64">
        <f>IF(tblMovement[[#This Row],[Material]]="","",IF(LEFT(tblMovement[[#This Row],[Material]],3)="Ore",1,0))</f>
        <v/>
      </c>
      <c r="N4740" s="59">
        <f>IF(OR(tblMovement[[#This Row],[Tonnes_t]]="",tblMovement[[#This Row],[Grade_gpt]]=""),0,tblMovement[[#This Row],[Tonnes_t]]*tblMovement[[#This Row],[Grade_gpt]]/cfg_TroyOz)</f>
        <v/>
      </c>
      <c r="O4740" s="59">
        <f>IF(tblMovement[[#This Row],[Is_Ore]]=1,tblMovement[[#This Row],[Contained_oz]],0)</f>
        <v/>
      </c>
    </row>
    <row r="4741">
      <c r="A4741" s="54" t="n"/>
      <c r="B4741" s="61" t="n"/>
      <c r="C4741" s="61" t="n"/>
      <c r="D4741" s="61" t="n"/>
      <c r="E4741" s="61" t="n"/>
      <c r="F4741" s="55" t="n"/>
      <c r="G4741" s="56" t="n"/>
      <c r="H4741" s="55" t="n"/>
      <c r="I4741" s="62" t="n"/>
      <c r="J4741" s="58" t="n"/>
      <c r="K4741" s="63">
        <f>IF(tblMovement[[#This Row],[Source]]="","",IFERROR(INDEX(tblSources[Type],MATCH(tblMovement[[#This Row],[Source]],tblSources[Source],0)),"?"))</f>
        <v/>
      </c>
      <c r="L4741" s="63">
        <f>IF(tblMovement[[#This Row],[Destination]]="","",IFERROR(INDEX(tblDestinations[Type],MATCH(tblMovement[[#This Row],[Destination]],tblDestinations[Destination],0)),"?"))</f>
        <v/>
      </c>
      <c r="M4741" s="64">
        <f>IF(tblMovement[[#This Row],[Material]]="","",IF(LEFT(tblMovement[[#This Row],[Material]],3)="Ore",1,0))</f>
        <v/>
      </c>
      <c r="N4741" s="59">
        <f>IF(OR(tblMovement[[#This Row],[Tonnes_t]]="",tblMovement[[#This Row],[Grade_gpt]]=""),0,tblMovement[[#This Row],[Tonnes_t]]*tblMovement[[#This Row],[Grade_gpt]]/cfg_TroyOz)</f>
        <v/>
      </c>
      <c r="O4741" s="59">
        <f>IF(tblMovement[[#This Row],[Is_Ore]]=1,tblMovement[[#This Row],[Contained_oz]],0)</f>
        <v/>
      </c>
    </row>
    <row r="4742">
      <c r="A4742" s="54" t="n"/>
      <c r="B4742" s="61" t="n"/>
      <c r="C4742" s="61" t="n"/>
      <c r="D4742" s="61" t="n"/>
      <c r="E4742" s="61" t="n"/>
      <c r="F4742" s="55" t="n"/>
      <c r="G4742" s="56" t="n"/>
      <c r="H4742" s="55" t="n"/>
      <c r="I4742" s="62" t="n"/>
      <c r="J4742" s="58" t="n"/>
      <c r="K4742" s="63">
        <f>IF(tblMovement[[#This Row],[Source]]="","",IFERROR(INDEX(tblSources[Type],MATCH(tblMovement[[#This Row],[Source]],tblSources[Source],0)),"?"))</f>
        <v/>
      </c>
      <c r="L4742" s="63">
        <f>IF(tblMovement[[#This Row],[Destination]]="","",IFERROR(INDEX(tblDestinations[Type],MATCH(tblMovement[[#This Row],[Destination]],tblDestinations[Destination],0)),"?"))</f>
        <v/>
      </c>
      <c r="M4742" s="64">
        <f>IF(tblMovement[[#This Row],[Material]]="","",IF(LEFT(tblMovement[[#This Row],[Material]],3)="Ore",1,0))</f>
        <v/>
      </c>
      <c r="N4742" s="59">
        <f>IF(OR(tblMovement[[#This Row],[Tonnes_t]]="",tblMovement[[#This Row],[Grade_gpt]]=""),0,tblMovement[[#This Row],[Tonnes_t]]*tblMovement[[#This Row],[Grade_gpt]]/cfg_TroyOz)</f>
        <v/>
      </c>
      <c r="O4742" s="59">
        <f>IF(tblMovement[[#This Row],[Is_Ore]]=1,tblMovement[[#This Row],[Contained_oz]],0)</f>
        <v/>
      </c>
    </row>
    <row r="4743">
      <c r="A4743" s="54" t="n"/>
      <c r="B4743" s="61" t="n"/>
      <c r="C4743" s="61" t="n"/>
      <c r="D4743" s="61" t="n"/>
      <c r="E4743" s="61" t="n"/>
      <c r="F4743" s="55" t="n"/>
      <c r="G4743" s="56" t="n"/>
      <c r="H4743" s="55" t="n"/>
      <c r="I4743" s="62" t="n"/>
      <c r="J4743" s="58" t="n"/>
      <c r="K4743" s="63">
        <f>IF(tblMovement[[#This Row],[Source]]="","",IFERROR(INDEX(tblSources[Type],MATCH(tblMovement[[#This Row],[Source]],tblSources[Source],0)),"?"))</f>
        <v/>
      </c>
      <c r="L4743" s="63">
        <f>IF(tblMovement[[#This Row],[Destination]]="","",IFERROR(INDEX(tblDestinations[Type],MATCH(tblMovement[[#This Row],[Destination]],tblDestinations[Destination],0)),"?"))</f>
        <v/>
      </c>
      <c r="M4743" s="64">
        <f>IF(tblMovement[[#This Row],[Material]]="","",IF(LEFT(tblMovement[[#This Row],[Material]],3)="Ore",1,0))</f>
        <v/>
      </c>
      <c r="N4743" s="59">
        <f>IF(OR(tblMovement[[#This Row],[Tonnes_t]]="",tblMovement[[#This Row],[Grade_gpt]]=""),0,tblMovement[[#This Row],[Tonnes_t]]*tblMovement[[#This Row],[Grade_gpt]]/cfg_TroyOz)</f>
        <v/>
      </c>
      <c r="O4743" s="59">
        <f>IF(tblMovement[[#This Row],[Is_Ore]]=1,tblMovement[[#This Row],[Contained_oz]],0)</f>
        <v/>
      </c>
    </row>
    <row r="4744">
      <c r="A4744" s="54" t="n"/>
      <c r="B4744" s="61" t="n"/>
      <c r="C4744" s="61" t="n"/>
      <c r="D4744" s="61" t="n"/>
      <c r="E4744" s="61" t="n"/>
      <c r="F4744" s="55" t="n"/>
      <c r="G4744" s="56" t="n"/>
      <c r="H4744" s="55" t="n"/>
      <c r="I4744" s="62" t="n"/>
      <c r="J4744" s="58" t="n"/>
      <c r="K4744" s="63">
        <f>IF(tblMovement[[#This Row],[Source]]="","",IFERROR(INDEX(tblSources[Type],MATCH(tblMovement[[#This Row],[Source]],tblSources[Source],0)),"?"))</f>
        <v/>
      </c>
      <c r="L4744" s="63">
        <f>IF(tblMovement[[#This Row],[Destination]]="","",IFERROR(INDEX(tblDestinations[Type],MATCH(tblMovement[[#This Row],[Destination]],tblDestinations[Destination],0)),"?"))</f>
        <v/>
      </c>
      <c r="M4744" s="64">
        <f>IF(tblMovement[[#This Row],[Material]]="","",IF(LEFT(tblMovement[[#This Row],[Material]],3)="Ore",1,0))</f>
        <v/>
      </c>
      <c r="N4744" s="59">
        <f>IF(OR(tblMovement[[#This Row],[Tonnes_t]]="",tblMovement[[#This Row],[Grade_gpt]]=""),0,tblMovement[[#This Row],[Tonnes_t]]*tblMovement[[#This Row],[Grade_gpt]]/cfg_TroyOz)</f>
        <v/>
      </c>
      <c r="O4744" s="59">
        <f>IF(tblMovement[[#This Row],[Is_Ore]]=1,tblMovement[[#This Row],[Contained_oz]],0)</f>
        <v/>
      </c>
    </row>
    <row r="4745">
      <c r="A4745" s="54" t="n"/>
      <c r="B4745" s="61" t="n"/>
      <c r="C4745" s="61" t="n"/>
      <c r="D4745" s="61" t="n"/>
      <c r="E4745" s="61" t="n"/>
      <c r="F4745" s="55" t="n"/>
      <c r="G4745" s="56" t="n"/>
      <c r="H4745" s="55" t="n"/>
      <c r="I4745" s="62" t="n"/>
      <c r="J4745" s="58" t="n"/>
      <c r="K4745" s="63">
        <f>IF(tblMovement[[#This Row],[Source]]="","",IFERROR(INDEX(tblSources[Type],MATCH(tblMovement[[#This Row],[Source]],tblSources[Source],0)),"?"))</f>
        <v/>
      </c>
      <c r="L4745" s="63">
        <f>IF(tblMovement[[#This Row],[Destination]]="","",IFERROR(INDEX(tblDestinations[Type],MATCH(tblMovement[[#This Row],[Destination]],tblDestinations[Destination],0)),"?"))</f>
        <v/>
      </c>
      <c r="M4745" s="64">
        <f>IF(tblMovement[[#This Row],[Material]]="","",IF(LEFT(tblMovement[[#This Row],[Material]],3)="Ore",1,0))</f>
        <v/>
      </c>
      <c r="N4745" s="59">
        <f>IF(OR(tblMovement[[#This Row],[Tonnes_t]]="",tblMovement[[#This Row],[Grade_gpt]]=""),0,tblMovement[[#This Row],[Tonnes_t]]*tblMovement[[#This Row],[Grade_gpt]]/cfg_TroyOz)</f>
        <v/>
      </c>
      <c r="O4745" s="59">
        <f>IF(tblMovement[[#This Row],[Is_Ore]]=1,tblMovement[[#This Row],[Contained_oz]],0)</f>
        <v/>
      </c>
    </row>
    <row r="4746">
      <c r="A4746" s="54" t="n"/>
      <c r="B4746" s="61" t="n"/>
      <c r="C4746" s="61" t="n"/>
      <c r="D4746" s="61" t="n"/>
      <c r="E4746" s="61" t="n"/>
      <c r="F4746" s="55" t="n"/>
      <c r="G4746" s="56" t="n"/>
      <c r="H4746" s="55" t="n"/>
      <c r="I4746" s="62" t="n"/>
      <c r="J4746" s="58" t="n"/>
      <c r="K4746" s="63">
        <f>IF(tblMovement[[#This Row],[Source]]="","",IFERROR(INDEX(tblSources[Type],MATCH(tblMovement[[#This Row],[Source]],tblSources[Source],0)),"?"))</f>
        <v/>
      </c>
      <c r="L4746" s="63">
        <f>IF(tblMovement[[#This Row],[Destination]]="","",IFERROR(INDEX(tblDestinations[Type],MATCH(tblMovement[[#This Row],[Destination]],tblDestinations[Destination],0)),"?"))</f>
        <v/>
      </c>
      <c r="M4746" s="64">
        <f>IF(tblMovement[[#This Row],[Material]]="","",IF(LEFT(tblMovement[[#This Row],[Material]],3)="Ore",1,0))</f>
        <v/>
      </c>
      <c r="N4746" s="59">
        <f>IF(OR(tblMovement[[#This Row],[Tonnes_t]]="",tblMovement[[#This Row],[Grade_gpt]]=""),0,tblMovement[[#This Row],[Tonnes_t]]*tblMovement[[#This Row],[Grade_gpt]]/cfg_TroyOz)</f>
        <v/>
      </c>
      <c r="O4746" s="59">
        <f>IF(tblMovement[[#This Row],[Is_Ore]]=1,tblMovement[[#This Row],[Contained_oz]],0)</f>
        <v/>
      </c>
    </row>
    <row r="4747">
      <c r="A4747" s="54" t="n"/>
      <c r="B4747" s="61" t="n"/>
      <c r="C4747" s="61" t="n"/>
      <c r="D4747" s="61" t="n"/>
      <c r="E4747" s="61" t="n"/>
      <c r="F4747" s="55" t="n"/>
      <c r="G4747" s="56" t="n"/>
      <c r="H4747" s="55" t="n"/>
      <c r="I4747" s="62" t="n"/>
      <c r="J4747" s="58" t="n"/>
      <c r="K4747" s="63">
        <f>IF(tblMovement[[#This Row],[Source]]="","",IFERROR(INDEX(tblSources[Type],MATCH(tblMovement[[#This Row],[Source]],tblSources[Source],0)),"?"))</f>
        <v/>
      </c>
      <c r="L4747" s="63">
        <f>IF(tblMovement[[#This Row],[Destination]]="","",IFERROR(INDEX(tblDestinations[Type],MATCH(tblMovement[[#This Row],[Destination]],tblDestinations[Destination],0)),"?"))</f>
        <v/>
      </c>
      <c r="M4747" s="64">
        <f>IF(tblMovement[[#This Row],[Material]]="","",IF(LEFT(tblMovement[[#This Row],[Material]],3)="Ore",1,0))</f>
        <v/>
      </c>
      <c r="N4747" s="59">
        <f>IF(OR(tblMovement[[#This Row],[Tonnes_t]]="",tblMovement[[#This Row],[Grade_gpt]]=""),0,tblMovement[[#This Row],[Tonnes_t]]*tblMovement[[#This Row],[Grade_gpt]]/cfg_TroyOz)</f>
        <v/>
      </c>
      <c r="O4747" s="59">
        <f>IF(tblMovement[[#This Row],[Is_Ore]]=1,tblMovement[[#This Row],[Contained_oz]],0)</f>
        <v/>
      </c>
    </row>
    <row r="4748">
      <c r="A4748" s="54" t="n"/>
      <c r="B4748" s="61" t="n"/>
      <c r="C4748" s="61" t="n"/>
      <c r="D4748" s="61" t="n"/>
      <c r="E4748" s="61" t="n"/>
      <c r="F4748" s="55" t="n"/>
      <c r="G4748" s="56" t="n"/>
      <c r="H4748" s="55" t="n"/>
      <c r="I4748" s="62" t="n"/>
      <c r="J4748" s="58" t="n"/>
      <c r="K4748" s="63">
        <f>IF(tblMovement[[#This Row],[Source]]="","",IFERROR(INDEX(tblSources[Type],MATCH(tblMovement[[#This Row],[Source]],tblSources[Source],0)),"?"))</f>
        <v/>
      </c>
      <c r="L4748" s="63">
        <f>IF(tblMovement[[#This Row],[Destination]]="","",IFERROR(INDEX(tblDestinations[Type],MATCH(tblMovement[[#This Row],[Destination]],tblDestinations[Destination],0)),"?"))</f>
        <v/>
      </c>
      <c r="M4748" s="64">
        <f>IF(tblMovement[[#This Row],[Material]]="","",IF(LEFT(tblMovement[[#This Row],[Material]],3)="Ore",1,0))</f>
        <v/>
      </c>
      <c r="N4748" s="59">
        <f>IF(OR(tblMovement[[#This Row],[Tonnes_t]]="",tblMovement[[#This Row],[Grade_gpt]]=""),0,tblMovement[[#This Row],[Tonnes_t]]*tblMovement[[#This Row],[Grade_gpt]]/cfg_TroyOz)</f>
        <v/>
      </c>
      <c r="O4748" s="59">
        <f>IF(tblMovement[[#This Row],[Is_Ore]]=1,tblMovement[[#This Row],[Contained_oz]],0)</f>
        <v/>
      </c>
    </row>
    <row r="4749">
      <c r="A4749" s="54" t="n"/>
      <c r="B4749" s="61" t="n"/>
      <c r="C4749" s="61" t="n"/>
      <c r="D4749" s="61" t="n"/>
      <c r="E4749" s="61" t="n"/>
      <c r="F4749" s="55" t="n"/>
      <c r="G4749" s="56" t="n"/>
      <c r="H4749" s="55" t="n"/>
      <c r="I4749" s="62" t="n"/>
      <c r="J4749" s="58" t="n"/>
      <c r="K4749" s="63">
        <f>IF(tblMovement[[#This Row],[Source]]="","",IFERROR(INDEX(tblSources[Type],MATCH(tblMovement[[#This Row],[Source]],tblSources[Source],0)),"?"))</f>
        <v/>
      </c>
      <c r="L4749" s="63">
        <f>IF(tblMovement[[#This Row],[Destination]]="","",IFERROR(INDEX(tblDestinations[Type],MATCH(tblMovement[[#This Row],[Destination]],tblDestinations[Destination],0)),"?"))</f>
        <v/>
      </c>
      <c r="M4749" s="64">
        <f>IF(tblMovement[[#This Row],[Material]]="","",IF(LEFT(tblMovement[[#This Row],[Material]],3)="Ore",1,0))</f>
        <v/>
      </c>
      <c r="N4749" s="59">
        <f>IF(OR(tblMovement[[#This Row],[Tonnes_t]]="",tblMovement[[#This Row],[Grade_gpt]]=""),0,tblMovement[[#This Row],[Tonnes_t]]*tblMovement[[#This Row],[Grade_gpt]]/cfg_TroyOz)</f>
        <v/>
      </c>
      <c r="O4749" s="59">
        <f>IF(tblMovement[[#This Row],[Is_Ore]]=1,tblMovement[[#This Row],[Contained_oz]],0)</f>
        <v/>
      </c>
    </row>
    <row r="4750">
      <c r="A4750" s="54" t="n"/>
      <c r="B4750" s="61" t="n"/>
      <c r="C4750" s="61" t="n"/>
      <c r="D4750" s="61" t="n"/>
      <c r="E4750" s="61" t="n"/>
      <c r="F4750" s="55" t="n"/>
      <c r="G4750" s="56" t="n"/>
      <c r="H4750" s="55" t="n"/>
      <c r="I4750" s="62" t="n"/>
      <c r="J4750" s="58" t="n"/>
      <c r="K4750" s="63">
        <f>IF(tblMovement[[#This Row],[Source]]="","",IFERROR(INDEX(tblSources[Type],MATCH(tblMovement[[#This Row],[Source]],tblSources[Source],0)),"?"))</f>
        <v/>
      </c>
      <c r="L4750" s="63">
        <f>IF(tblMovement[[#This Row],[Destination]]="","",IFERROR(INDEX(tblDestinations[Type],MATCH(tblMovement[[#This Row],[Destination]],tblDestinations[Destination],0)),"?"))</f>
        <v/>
      </c>
      <c r="M4750" s="64">
        <f>IF(tblMovement[[#This Row],[Material]]="","",IF(LEFT(tblMovement[[#This Row],[Material]],3)="Ore",1,0))</f>
        <v/>
      </c>
      <c r="N4750" s="59">
        <f>IF(OR(tblMovement[[#This Row],[Tonnes_t]]="",tblMovement[[#This Row],[Grade_gpt]]=""),0,tblMovement[[#This Row],[Tonnes_t]]*tblMovement[[#This Row],[Grade_gpt]]/cfg_TroyOz)</f>
        <v/>
      </c>
      <c r="O4750" s="59">
        <f>IF(tblMovement[[#This Row],[Is_Ore]]=1,tblMovement[[#This Row],[Contained_oz]],0)</f>
        <v/>
      </c>
    </row>
    <row r="4751">
      <c r="A4751" s="54" t="n"/>
      <c r="B4751" s="61" t="n"/>
      <c r="C4751" s="61" t="n"/>
      <c r="D4751" s="61" t="n"/>
      <c r="E4751" s="61" t="n"/>
      <c r="F4751" s="55" t="n"/>
      <c r="G4751" s="56" t="n"/>
      <c r="H4751" s="55" t="n"/>
      <c r="I4751" s="62" t="n"/>
      <c r="J4751" s="58" t="n"/>
      <c r="K4751" s="63">
        <f>IF(tblMovement[[#This Row],[Source]]="","",IFERROR(INDEX(tblSources[Type],MATCH(tblMovement[[#This Row],[Source]],tblSources[Source],0)),"?"))</f>
        <v/>
      </c>
      <c r="L4751" s="63">
        <f>IF(tblMovement[[#This Row],[Destination]]="","",IFERROR(INDEX(tblDestinations[Type],MATCH(tblMovement[[#This Row],[Destination]],tblDestinations[Destination],0)),"?"))</f>
        <v/>
      </c>
      <c r="M4751" s="64">
        <f>IF(tblMovement[[#This Row],[Material]]="","",IF(LEFT(tblMovement[[#This Row],[Material]],3)="Ore",1,0))</f>
        <v/>
      </c>
      <c r="N4751" s="59">
        <f>IF(OR(tblMovement[[#This Row],[Tonnes_t]]="",tblMovement[[#This Row],[Grade_gpt]]=""),0,tblMovement[[#This Row],[Tonnes_t]]*tblMovement[[#This Row],[Grade_gpt]]/cfg_TroyOz)</f>
        <v/>
      </c>
      <c r="O4751" s="59">
        <f>IF(tblMovement[[#This Row],[Is_Ore]]=1,tblMovement[[#This Row],[Contained_oz]],0)</f>
        <v/>
      </c>
    </row>
    <row r="4752">
      <c r="A4752" s="54" t="n"/>
      <c r="B4752" s="61" t="n"/>
      <c r="C4752" s="61" t="n"/>
      <c r="D4752" s="61" t="n"/>
      <c r="E4752" s="61" t="n"/>
      <c r="F4752" s="55" t="n"/>
      <c r="G4752" s="56" t="n"/>
      <c r="H4752" s="55" t="n"/>
      <c r="I4752" s="62" t="n"/>
      <c r="J4752" s="58" t="n"/>
      <c r="K4752" s="63">
        <f>IF(tblMovement[[#This Row],[Source]]="","",IFERROR(INDEX(tblSources[Type],MATCH(tblMovement[[#This Row],[Source]],tblSources[Source],0)),"?"))</f>
        <v/>
      </c>
      <c r="L4752" s="63">
        <f>IF(tblMovement[[#This Row],[Destination]]="","",IFERROR(INDEX(tblDestinations[Type],MATCH(tblMovement[[#This Row],[Destination]],tblDestinations[Destination],0)),"?"))</f>
        <v/>
      </c>
      <c r="M4752" s="64">
        <f>IF(tblMovement[[#This Row],[Material]]="","",IF(LEFT(tblMovement[[#This Row],[Material]],3)="Ore",1,0))</f>
        <v/>
      </c>
      <c r="N4752" s="59">
        <f>IF(OR(tblMovement[[#This Row],[Tonnes_t]]="",tblMovement[[#This Row],[Grade_gpt]]=""),0,tblMovement[[#This Row],[Tonnes_t]]*tblMovement[[#This Row],[Grade_gpt]]/cfg_TroyOz)</f>
        <v/>
      </c>
      <c r="O4752" s="59">
        <f>IF(tblMovement[[#This Row],[Is_Ore]]=1,tblMovement[[#This Row],[Contained_oz]],0)</f>
        <v/>
      </c>
    </row>
    <row r="4753">
      <c r="A4753" s="54" t="n"/>
      <c r="B4753" s="61" t="n"/>
      <c r="C4753" s="61" t="n"/>
      <c r="D4753" s="61" t="n"/>
      <c r="E4753" s="61" t="n"/>
      <c r="F4753" s="55" t="n"/>
      <c r="G4753" s="56" t="n"/>
      <c r="H4753" s="55" t="n"/>
      <c r="I4753" s="62" t="n"/>
      <c r="J4753" s="58" t="n"/>
      <c r="K4753" s="63">
        <f>IF(tblMovement[[#This Row],[Source]]="","",IFERROR(INDEX(tblSources[Type],MATCH(tblMovement[[#This Row],[Source]],tblSources[Source],0)),"?"))</f>
        <v/>
      </c>
      <c r="L4753" s="63">
        <f>IF(tblMovement[[#This Row],[Destination]]="","",IFERROR(INDEX(tblDestinations[Type],MATCH(tblMovement[[#This Row],[Destination]],tblDestinations[Destination],0)),"?"))</f>
        <v/>
      </c>
      <c r="M4753" s="64">
        <f>IF(tblMovement[[#This Row],[Material]]="","",IF(LEFT(tblMovement[[#This Row],[Material]],3)="Ore",1,0))</f>
        <v/>
      </c>
      <c r="N4753" s="59">
        <f>IF(OR(tblMovement[[#This Row],[Tonnes_t]]="",tblMovement[[#This Row],[Grade_gpt]]=""),0,tblMovement[[#This Row],[Tonnes_t]]*tblMovement[[#This Row],[Grade_gpt]]/cfg_TroyOz)</f>
        <v/>
      </c>
      <c r="O4753" s="59">
        <f>IF(tblMovement[[#This Row],[Is_Ore]]=1,tblMovement[[#This Row],[Contained_oz]],0)</f>
        <v/>
      </c>
    </row>
    <row r="4754">
      <c r="A4754" s="54" t="n"/>
      <c r="B4754" s="61" t="n"/>
      <c r="C4754" s="61" t="n"/>
      <c r="D4754" s="61" t="n"/>
      <c r="E4754" s="61" t="n"/>
      <c r="F4754" s="55" t="n"/>
      <c r="G4754" s="56" t="n"/>
      <c r="H4754" s="55" t="n"/>
      <c r="I4754" s="62" t="n"/>
      <c r="J4754" s="58" t="n"/>
      <c r="K4754" s="63">
        <f>IF(tblMovement[[#This Row],[Source]]="","",IFERROR(INDEX(tblSources[Type],MATCH(tblMovement[[#This Row],[Source]],tblSources[Source],0)),"?"))</f>
        <v/>
      </c>
      <c r="L4754" s="63">
        <f>IF(tblMovement[[#This Row],[Destination]]="","",IFERROR(INDEX(tblDestinations[Type],MATCH(tblMovement[[#This Row],[Destination]],tblDestinations[Destination],0)),"?"))</f>
        <v/>
      </c>
      <c r="M4754" s="64">
        <f>IF(tblMovement[[#This Row],[Material]]="","",IF(LEFT(tblMovement[[#This Row],[Material]],3)="Ore",1,0))</f>
        <v/>
      </c>
      <c r="N4754" s="59">
        <f>IF(OR(tblMovement[[#This Row],[Tonnes_t]]="",tblMovement[[#This Row],[Grade_gpt]]=""),0,tblMovement[[#This Row],[Tonnes_t]]*tblMovement[[#This Row],[Grade_gpt]]/cfg_TroyOz)</f>
        <v/>
      </c>
      <c r="O4754" s="59">
        <f>IF(tblMovement[[#This Row],[Is_Ore]]=1,tblMovement[[#This Row],[Contained_oz]],0)</f>
        <v/>
      </c>
    </row>
    <row r="4755">
      <c r="A4755" s="54" t="n"/>
      <c r="B4755" s="61" t="n"/>
      <c r="C4755" s="61" t="n"/>
      <c r="D4755" s="61" t="n"/>
      <c r="E4755" s="61" t="n"/>
      <c r="F4755" s="55" t="n"/>
      <c r="G4755" s="56" t="n"/>
      <c r="H4755" s="55" t="n"/>
      <c r="I4755" s="62" t="n"/>
      <c r="J4755" s="58" t="n"/>
      <c r="K4755" s="63">
        <f>IF(tblMovement[[#This Row],[Source]]="","",IFERROR(INDEX(tblSources[Type],MATCH(tblMovement[[#This Row],[Source]],tblSources[Source],0)),"?"))</f>
        <v/>
      </c>
      <c r="L4755" s="63">
        <f>IF(tblMovement[[#This Row],[Destination]]="","",IFERROR(INDEX(tblDestinations[Type],MATCH(tblMovement[[#This Row],[Destination]],tblDestinations[Destination],0)),"?"))</f>
        <v/>
      </c>
      <c r="M4755" s="64">
        <f>IF(tblMovement[[#This Row],[Material]]="","",IF(LEFT(tblMovement[[#This Row],[Material]],3)="Ore",1,0))</f>
        <v/>
      </c>
      <c r="N4755" s="59">
        <f>IF(OR(tblMovement[[#This Row],[Tonnes_t]]="",tblMovement[[#This Row],[Grade_gpt]]=""),0,tblMovement[[#This Row],[Tonnes_t]]*tblMovement[[#This Row],[Grade_gpt]]/cfg_TroyOz)</f>
        <v/>
      </c>
      <c r="O4755" s="59">
        <f>IF(tblMovement[[#This Row],[Is_Ore]]=1,tblMovement[[#This Row],[Contained_oz]],0)</f>
        <v/>
      </c>
    </row>
    <row r="4756">
      <c r="A4756" s="54" t="n"/>
      <c r="B4756" s="61" t="n"/>
      <c r="C4756" s="61" t="n"/>
      <c r="D4756" s="61" t="n"/>
      <c r="E4756" s="61" t="n"/>
      <c r="F4756" s="55" t="n"/>
      <c r="G4756" s="56" t="n"/>
      <c r="H4756" s="55" t="n"/>
      <c r="I4756" s="62" t="n"/>
      <c r="J4756" s="58" t="n"/>
      <c r="K4756" s="63">
        <f>IF(tblMovement[[#This Row],[Source]]="","",IFERROR(INDEX(tblSources[Type],MATCH(tblMovement[[#This Row],[Source]],tblSources[Source],0)),"?"))</f>
        <v/>
      </c>
      <c r="L4756" s="63">
        <f>IF(tblMovement[[#This Row],[Destination]]="","",IFERROR(INDEX(tblDestinations[Type],MATCH(tblMovement[[#This Row],[Destination]],tblDestinations[Destination],0)),"?"))</f>
        <v/>
      </c>
      <c r="M4756" s="64">
        <f>IF(tblMovement[[#This Row],[Material]]="","",IF(LEFT(tblMovement[[#This Row],[Material]],3)="Ore",1,0))</f>
        <v/>
      </c>
      <c r="N4756" s="59">
        <f>IF(OR(tblMovement[[#This Row],[Tonnes_t]]="",tblMovement[[#This Row],[Grade_gpt]]=""),0,tblMovement[[#This Row],[Tonnes_t]]*tblMovement[[#This Row],[Grade_gpt]]/cfg_TroyOz)</f>
        <v/>
      </c>
      <c r="O4756" s="59">
        <f>IF(tblMovement[[#This Row],[Is_Ore]]=1,tblMovement[[#This Row],[Contained_oz]],0)</f>
        <v/>
      </c>
    </row>
    <row r="4757">
      <c r="A4757" s="54" t="n"/>
      <c r="B4757" s="61" t="n"/>
      <c r="C4757" s="61" t="n"/>
      <c r="D4757" s="61" t="n"/>
      <c r="E4757" s="61" t="n"/>
      <c r="F4757" s="55" t="n"/>
      <c r="G4757" s="56" t="n"/>
      <c r="H4757" s="55" t="n"/>
      <c r="I4757" s="62" t="n"/>
      <c r="J4757" s="58" t="n"/>
      <c r="K4757" s="63">
        <f>IF(tblMovement[[#This Row],[Source]]="","",IFERROR(INDEX(tblSources[Type],MATCH(tblMovement[[#This Row],[Source]],tblSources[Source],0)),"?"))</f>
        <v/>
      </c>
      <c r="L4757" s="63">
        <f>IF(tblMovement[[#This Row],[Destination]]="","",IFERROR(INDEX(tblDestinations[Type],MATCH(tblMovement[[#This Row],[Destination]],tblDestinations[Destination],0)),"?"))</f>
        <v/>
      </c>
      <c r="M4757" s="64">
        <f>IF(tblMovement[[#This Row],[Material]]="","",IF(LEFT(tblMovement[[#This Row],[Material]],3)="Ore",1,0))</f>
        <v/>
      </c>
      <c r="N4757" s="59">
        <f>IF(OR(tblMovement[[#This Row],[Tonnes_t]]="",tblMovement[[#This Row],[Grade_gpt]]=""),0,tblMovement[[#This Row],[Tonnes_t]]*tblMovement[[#This Row],[Grade_gpt]]/cfg_TroyOz)</f>
        <v/>
      </c>
      <c r="O4757" s="59">
        <f>IF(tblMovement[[#This Row],[Is_Ore]]=1,tblMovement[[#This Row],[Contained_oz]],0)</f>
        <v/>
      </c>
    </row>
    <row r="4758">
      <c r="A4758" s="54" t="n"/>
      <c r="B4758" s="61" t="n"/>
      <c r="C4758" s="61" t="n"/>
      <c r="D4758" s="61" t="n"/>
      <c r="E4758" s="61" t="n"/>
      <c r="F4758" s="55" t="n"/>
      <c r="G4758" s="56" t="n"/>
      <c r="H4758" s="55" t="n"/>
      <c r="I4758" s="62" t="n"/>
      <c r="J4758" s="58" t="n"/>
      <c r="K4758" s="63">
        <f>IF(tblMovement[[#This Row],[Source]]="","",IFERROR(INDEX(tblSources[Type],MATCH(tblMovement[[#This Row],[Source]],tblSources[Source],0)),"?"))</f>
        <v/>
      </c>
      <c r="L4758" s="63">
        <f>IF(tblMovement[[#This Row],[Destination]]="","",IFERROR(INDEX(tblDestinations[Type],MATCH(tblMovement[[#This Row],[Destination]],tblDestinations[Destination],0)),"?"))</f>
        <v/>
      </c>
      <c r="M4758" s="64">
        <f>IF(tblMovement[[#This Row],[Material]]="","",IF(LEFT(tblMovement[[#This Row],[Material]],3)="Ore",1,0))</f>
        <v/>
      </c>
      <c r="N4758" s="59">
        <f>IF(OR(tblMovement[[#This Row],[Tonnes_t]]="",tblMovement[[#This Row],[Grade_gpt]]=""),0,tblMovement[[#This Row],[Tonnes_t]]*tblMovement[[#This Row],[Grade_gpt]]/cfg_TroyOz)</f>
        <v/>
      </c>
      <c r="O4758" s="59">
        <f>IF(tblMovement[[#This Row],[Is_Ore]]=1,tblMovement[[#This Row],[Contained_oz]],0)</f>
        <v/>
      </c>
    </row>
    <row r="4759">
      <c r="A4759" s="54" t="n"/>
      <c r="B4759" s="61" t="n"/>
      <c r="C4759" s="61" t="n"/>
      <c r="D4759" s="61" t="n"/>
      <c r="E4759" s="61" t="n"/>
      <c r="F4759" s="55" t="n"/>
      <c r="G4759" s="56" t="n"/>
      <c r="H4759" s="55" t="n"/>
      <c r="I4759" s="62" t="n"/>
      <c r="J4759" s="58" t="n"/>
      <c r="K4759" s="63">
        <f>IF(tblMovement[[#This Row],[Source]]="","",IFERROR(INDEX(tblSources[Type],MATCH(tblMovement[[#This Row],[Source]],tblSources[Source],0)),"?"))</f>
        <v/>
      </c>
      <c r="L4759" s="63">
        <f>IF(tblMovement[[#This Row],[Destination]]="","",IFERROR(INDEX(tblDestinations[Type],MATCH(tblMovement[[#This Row],[Destination]],tblDestinations[Destination],0)),"?"))</f>
        <v/>
      </c>
      <c r="M4759" s="64">
        <f>IF(tblMovement[[#This Row],[Material]]="","",IF(LEFT(tblMovement[[#This Row],[Material]],3)="Ore",1,0))</f>
        <v/>
      </c>
      <c r="N4759" s="59">
        <f>IF(OR(tblMovement[[#This Row],[Tonnes_t]]="",tblMovement[[#This Row],[Grade_gpt]]=""),0,tblMovement[[#This Row],[Tonnes_t]]*tblMovement[[#This Row],[Grade_gpt]]/cfg_TroyOz)</f>
        <v/>
      </c>
      <c r="O4759" s="59">
        <f>IF(tblMovement[[#This Row],[Is_Ore]]=1,tblMovement[[#This Row],[Contained_oz]],0)</f>
        <v/>
      </c>
    </row>
    <row r="4760">
      <c r="A4760" s="54" t="n"/>
      <c r="B4760" s="61" t="n"/>
      <c r="C4760" s="61" t="n"/>
      <c r="D4760" s="61" t="n"/>
      <c r="E4760" s="61" t="n"/>
      <c r="F4760" s="55" t="n"/>
      <c r="G4760" s="56" t="n"/>
      <c r="H4760" s="55" t="n"/>
      <c r="I4760" s="62" t="n"/>
      <c r="J4760" s="58" t="n"/>
      <c r="K4760" s="63">
        <f>IF(tblMovement[[#This Row],[Source]]="","",IFERROR(INDEX(tblSources[Type],MATCH(tblMovement[[#This Row],[Source]],tblSources[Source],0)),"?"))</f>
        <v/>
      </c>
      <c r="L4760" s="63">
        <f>IF(tblMovement[[#This Row],[Destination]]="","",IFERROR(INDEX(tblDestinations[Type],MATCH(tblMovement[[#This Row],[Destination]],tblDestinations[Destination],0)),"?"))</f>
        <v/>
      </c>
      <c r="M4760" s="64">
        <f>IF(tblMovement[[#This Row],[Material]]="","",IF(LEFT(tblMovement[[#This Row],[Material]],3)="Ore",1,0))</f>
        <v/>
      </c>
      <c r="N4760" s="59">
        <f>IF(OR(tblMovement[[#This Row],[Tonnes_t]]="",tblMovement[[#This Row],[Grade_gpt]]=""),0,tblMovement[[#This Row],[Tonnes_t]]*tblMovement[[#This Row],[Grade_gpt]]/cfg_TroyOz)</f>
        <v/>
      </c>
      <c r="O4760" s="59">
        <f>IF(tblMovement[[#This Row],[Is_Ore]]=1,tblMovement[[#This Row],[Contained_oz]],0)</f>
        <v/>
      </c>
    </row>
    <row r="4761">
      <c r="A4761" s="54" t="n"/>
      <c r="B4761" s="61" t="n"/>
      <c r="C4761" s="61" t="n"/>
      <c r="D4761" s="61" t="n"/>
      <c r="E4761" s="61" t="n"/>
      <c r="F4761" s="55" t="n"/>
      <c r="G4761" s="56" t="n"/>
      <c r="H4761" s="55" t="n"/>
      <c r="I4761" s="62" t="n"/>
      <c r="J4761" s="58" t="n"/>
      <c r="K4761" s="63">
        <f>IF(tblMovement[[#This Row],[Source]]="","",IFERROR(INDEX(tblSources[Type],MATCH(tblMovement[[#This Row],[Source]],tblSources[Source],0)),"?"))</f>
        <v/>
      </c>
      <c r="L4761" s="63">
        <f>IF(tblMovement[[#This Row],[Destination]]="","",IFERROR(INDEX(tblDestinations[Type],MATCH(tblMovement[[#This Row],[Destination]],tblDestinations[Destination],0)),"?"))</f>
        <v/>
      </c>
      <c r="M4761" s="64">
        <f>IF(tblMovement[[#This Row],[Material]]="","",IF(LEFT(tblMovement[[#This Row],[Material]],3)="Ore",1,0))</f>
        <v/>
      </c>
      <c r="N4761" s="59">
        <f>IF(OR(tblMovement[[#This Row],[Tonnes_t]]="",tblMovement[[#This Row],[Grade_gpt]]=""),0,tblMovement[[#This Row],[Tonnes_t]]*tblMovement[[#This Row],[Grade_gpt]]/cfg_TroyOz)</f>
        <v/>
      </c>
      <c r="O4761" s="59">
        <f>IF(tblMovement[[#This Row],[Is_Ore]]=1,tblMovement[[#This Row],[Contained_oz]],0)</f>
        <v/>
      </c>
    </row>
    <row r="4762">
      <c r="A4762" s="54" t="n"/>
      <c r="B4762" s="61" t="n"/>
      <c r="C4762" s="61" t="n"/>
      <c r="D4762" s="61" t="n"/>
      <c r="E4762" s="61" t="n"/>
      <c r="F4762" s="55" t="n"/>
      <c r="G4762" s="56" t="n"/>
      <c r="H4762" s="55" t="n"/>
      <c r="I4762" s="62" t="n"/>
      <c r="J4762" s="58" t="n"/>
      <c r="K4762" s="63">
        <f>IF(tblMovement[[#This Row],[Source]]="","",IFERROR(INDEX(tblSources[Type],MATCH(tblMovement[[#This Row],[Source]],tblSources[Source],0)),"?"))</f>
        <v/>
      </c>
      <c r="L4762" s="63">
        <f>IF(tblMovement[[#This Row],[Destination]]="","",IFERROR(INDEX(tblDestinations[Type],MATCH(tblMovement[[#This Row],[Destination]],tblDestinations[Destination],0)),"?"))</f>
        <v/>
      </c>
      <c r="M4762" s="64">
        <f>IF(tblMovement[[#This Row],[Material]]="","",IF(LEFT(tblMovement[[#This Row],[Material]],3)="Ore",1,0))</f>
        <v/>
      </c>
      <c r="N4762" s="59">
        <f>IF(OR(tblMovement[[#This Row],[Tonnes_t]]="",tblMovement[[#This Row],[Grade_gpt]]=""),0,tblMovement[[#This Row],[Tonnes_t]]*tblMovement[[#This Row],[Grade_gpt]]/cfg_TroyOz)</f>
        <v/>
      </c>
      <c r="O4762" s="59">
        <f>IF(tblMovement[[#This Row],[Is_Ore]]=1,tblMovement[[#This Row],[Contained_oz]],0)</f>
        <v/>
      </c>
    </row>
    <row r="4763">
      <c r="A4763" s="54" t="n"/>
      <c r="B4763" s="61" t="n"/>
      <c r="C4763" s="61" t="n"/>
      <c r="D4763" s="61" t="n"/>
      <c r="E4763" s="61" t="n"/>
      <c r="F4763" s="55" t="n"/>
      <c r="G4763" s="56" t="n"/>
      <c r="H4763" s="55" t="n"/>
      <c r="I4763" s="62" t="n"/>
      <c r="J4763" s="58" t="n"/>
      <c r="K4763" s="63">
        <f>IF(tblMovement[[#This Row],[Source]]="","",IFERROR(INDEX(tblSources[Type],MATCH(tblMovement[[#This Row],[Source]],tblSources[Source],0)),"?"))</f>
        <v/>
      </c>
      <c r="L4763" s="63">
        <f>IF(tblMovement[[#This Row],[Destination]]="","",IFERROR(INDEX(tblDestinations[Type],MATCH(tblMovement[[#This Row],[Destination]],tblDestinations[Destination],0)),"?"))</f>
        <v/>
      </c>
      <c r="M4763" s="64">
        <f>IF(tblMovement[[#This Row],[Material]]="","",IF(LEFT(tblMovement[[#This Row],[Material]],3)="Ore",1,0))</f>
        <v/>
      </c>
      <c r="N4763" s="59">
        <f>IF(OR(tblMovement[[#This Row],[Tonnes_t]]="",tblMovement[[#This Row],[Grade_gpt]]=""),0,tblMovement[[#This Row],[Tonnes_t]]*tblMovement[[#This Row],[Grade_gpt]]/cfg_TroyOz)</f>
        <v/>
      </c>
      <c r="O4763" s="59">
        <f>IF(tblMovement[[#This Row],[Is_Ore]]=1,tblMovement[[#This Row],[Contained_oz]],0)</f>
        <v/>
      </c>
    </row>
    <row r="4764">
      <c r="A4764" s="54" t="n"/>
      <c r="B4764" s="61" t="n"/>
      <c r="C4764" s="61" t="n"/>
      <c r="D4764" s="61" t="n"/>
      <c r="E4764" s="61" t="n"/>
      <c r="F4764" s="55" t="n"/>
      <c r="G4764" s="56" t="n"/>
      <c r="H4764" s="55" t="n"/>
      <c r="I4764" s="62" t="n"/>
      <c r="J4764" s="58" t="n"/>
      <c r="K4764" s="63">
        <f>IF(tblMovement[[#This Row],[Source]]="","",IFERROR(INDEX(tblSources[Type],MATCH(tblMovement[[#This Row],[Source]],tblSources[Source],0)),"?"))</f>
        <v/>
      </c>
      <c r="L4764" s="63">
        <f>IF(tblMovement[[#This Row],[Destination]]="","",IFERROR(INDEX(tblDestinations[Type],MATCH(tblMovement[[#This Row],[Destination]],tblDestinations[Destination],0)),"?"))</f>
        <v/>
      </c>
      <c r="M4764" s="64">
        <f>IF(tblMovement[[#This Row],[Material]]="","",IF(LEFT(tblMovement[[#This Row],[Material]],3)="Ore",1,0))</f>
        <v/>
      </c>
      <c r="N4764" s="59">
        <f>IF(OR(tblMovement[[#This Row],[Tonnes_t]]="",tblMovement[[#This Row],[Grade_gpt]]=""),0,tblMovement[[#This Row],[Tonnes_t]]*tblMovement[[#This Row],[Grade_gpt]]/cfg_TroyOz)</f>
        <v/>
      </c>
      <c r="O4764" s="59">
        <f>IF(tblMovement[[#This Row],[Is_Ore]]=1,tblMovement[[#This Row],[Contained_oz]],0)</f>
        <v/>
      </c>
    </row>
    <row r="4765">
      <c r="A4765" s="54" t="n"/>
      <c r="B4765" s="61" t="n"/>
      <c r="C4765" s="61" t="n"/>
      <c r="D4765" s="61" t="n"/>
      <c r="E4765" s="61" t="n"/>
      <c r="F4765" s="55" t="n"/>
      <c r="G4765" s="56" t="n"/>
      <c r="H4765" s="55" t="n"/>
      <c r="I4765" s="62" t="n"/>
      <c r="J4765" s="58" t="n"/>
      <c r="K4765" s="63">
        <f>IF(tblMovement[[#This Row],[Source]]="","",IFERROR(INDEX(tblSources[Type],MATCH(tblMovement[[#This Row],[Source]],tblSources[Source],0)),"?"))</f>
        <v/>
      </c>
      <c r="L4765" s="63">
        <f>IF(tblMovement[[#This Row],[Destination]]="","",IFERROR(INDEX(tblDestinations[Type],MATCH(tblMovement[[#This Row],[Destination]],tblDestinations[Destination],0)),"?"))</f>
        <v/>
      </c>
      <c r="M4765" s="64">
        <f>IF(tblMovement[[#This Row],[Material]]="","",IF(LEFT(tblMovement[[#This Row],[Material]],3)="Ore",1,0))</f>
        <v/>
      </c>
      <c r="N4765" s="59">
        <f>IF(OR(tblMovement[[#This Row],[Tonnes_t]]="",tblMovement[[#This Row],[Grade_gpt]]=""),0,tblMovement[[#This Row],[Tonnes_t]]*tblMovement[[#This Row],[Grade_gpt]]/cfg_TroyOz)</f>
        <v/>
      </c>
      <c r="O4765" s="59">
        <f>IF(tblMovement[[#This Row],[Is_Ore]]=1,tblMovement[[#This Row],[Contained_oz]],0)</f>
        <v/>
      </c>
    </row>
    <row r="4766">
      <c r="A4766" s="54" t="n"/>
      <c r="B4766" s="61" t="n"/>
      <c r="C4766" s="61" t="n"/>
      <c r="D4766" s="61" t="n"/>
      <c r="E4766" s="61" t="n"/>
      <c r="F4766" s="55" t="n"/>
      <c r="G4766" s="56" t="n"/>
      <c r="H4766" s="55" t="n"/>
      <c r="I4766" s="62" t="n"/>
      <c r="J4766" s="58" t="n"/>
      <c r="K4766" s="63">
        <f>IF(tblMovement[[#This Row],[Source]]="","",IFERROR(INDEX(tblSources[Type],MATCH(tblMovement[[#This Row],[Source]],tblSources[Source],0)),"?"))</f>
        <v/>
      </c>
      <c r="L4766" s="63">
        <f>IF(tblMovement[[#This Row],[Destination]]="","",IFERROR(INDEX(tblDestinations[Type],MATCH(tblMovement[[#This Row],[Destination]],tblDestinations[Destination],0)),"?"))</f>
        <v/>
      </c>
      <c r="M4766" s="64">
        <f>IF(tblMovement[[#This Row],[Material]]="","",IF(LEFT(tblMovement[[#This Row],[Material]],3)="Ore",1,0))</f>
        <v/>
      </c>
      <c r="N4766" s="59">
        <f>IF(OR(tblMovement[[#This Row],[Tonnes_t]]="",tblMovement[[#This Row],[Grade_gpt]]=""),0,tblMovement[[#This Row],[Tonnes_t]]*tblMovement[[#This Row],[Grade_gpt]]/cfg_TroyOz)</f>
        <v/>
      </c>
      <c r="O4766" s="59">
        <f>IF(tblMovement[[#This Row],[Is_Ore]]=1,tblMovement[[#This Row],[Contained_oz]],0)</f>
        <v/>
      </c>
    </row>
    <row r="4767">
      <c r="A4767" s="54" t="n"/>
      <c r="B4767" s="61" t="n"/>
      <c r="C4767" s="61" t="n"/>
      <c r="D4767" s="61" t="n"/>
      <c r="E4767" s="61" t="n"/>
      <c r="F4767" s="55" t="n"/>
      <c r="G4767" s="56" t="n"/>
      <c r="H4767" s="55" t="n"/>
      <c r="I4767" s="62" t="n"/>
      <c r="J4767" s="58" t="n"/>
      <c r="K4767" s="63">
        <f>IF(tblMovement[[#This Row],[Source]]="","",IFERROR(INDEX(tblSources[Type],MATCH(tblMovement[[#This Row],[Source]],tblSources[Source],0)),"?"))</f>
        <v/>
      </c>
      <c r="L4767" s="63">
        <f>IF(tblMovement[[#This Row],[Destination]]="","",IFERROR(INDEX(tblDestinations[Type],MATCH(tblMovement[[#This Row],[Destination]],tblDestinations[Destination],0)),"?"))</f>
        <v/>
      </c>
      <c r="M4767" s="64">
        <f>IF(tblMovement[[#This Row],[Material]]="","",IF(LEFT(tblMovement[[#This Row],[Material]],3)="Ore",1,0))</f>
        <v/>
      </c>
      <c r="N4767" s="59">
        <f>IF(OR(tblMovement[[#This Row],[Tonnes_t]]="",tblMovement[[#This Row],[Grade_gpt]]=""),0,tblMovement[[#This Row],[Tonnes_t]]*tblMovement[[#This Row],[Grade_gpt]]/cfg_TroyOz)</f>
        <v/>
      </c>
      <c r="O4767" s="59">
        <f>IF(tblMovement[[#This Row],[Is_Ore]]=1,tblMovement[[#This Row],[Contained_oz]],0)</f>
        <v/>
      </c>
    </row>
    <row r="4768">
      <c r="A4768" s="54" t="n"/>
      <c r="B4768" s="61" t="n"/>
      <c r="C4768" s="61" t="n"/>
      <c r="D4768" s="61" t="n"/>
      <c r="E4768" s="61" t="n"/>
      <c r="F4768" s="55" t="n"/>
      <c r="G4768" s="56" t="n"/>
      <c r="H4768" s="55" t="n"/>
      <c r="I4768" s="62" t="n"/>
      <c r="J4768" s="58" t="n"/>
      <c r="K4768" s="63">
        <f>IF(tblMovement[[#This Row],[Source]]="","",IFERROR(INDEX(tblSources[Type],MATCH(tblMovement[[#This Row],[Source]],tblSources[Source],0)),"?"))</f>
        <v/>
      </c>
      <c r="L4768" s="63">
        <f>IF(tblMovement[[#This Row],[Destination]]="","",IFERROR(INDEX(tblDestinations[Type],MATCH(tblMovement[[#This Row],[Destination]],tblDestinations[Destination],0)),"?"))</f>
        <v/>
      </c>
      <c r="M4768" s="64">
        <f>IF(tblMovement[[#This Row],[Material]]="","",IF(LEFT(tblMovement[[#This Row],[Material]],3)="Ore",1,0))</f>
        <v/>
      </c>
      <c r="N4768" s="59">
        <f>IF(OR(tblMovement[[#This Row],[Tonnes_t]]="",tblMovement[[#This Row],[Grade_gpt]]=""),0,tblMovement[[#This Row],[Tonnes_t]]*tblMovement[[#This Row],[Grade_gpt]]/cfg_TroyOz)</f>
        <v/>
      </c>
      <c r="O4768" s="59">
        <f>IF(tblMovement[[#This Row],[Is_Ore]]=1,tblMovement[[#This Row],[Contained_oz]],0)</f>
        <v/>
      </c>
    </row>
    <row r="4769">
      <c r="A4769" s="54" t="n"/>
      <c r="B4769" s="61" t="n"/>
      <c r="C4769" s="61" t="n"/>
      <c r="D4769" s="61" t="n"/>
      <c r="E4769" s="61" t="n"/>
      <c r="F4769" s="55" t="n"/>
      <c r="G4769" s="56" t="n"/>
      <c r="H4769" s="55" t="n"/>
      <c r="I4769" s="62" t="n"/>
      <c r="J4769" s="58" t="n"/>
      <c r="K4769" s="63">
        <f>IF(tblMovement[[#This Row],[Source]]="","",IFERROR(INDEX(tblSources[Type],MATCH(tblMovement[[#This Row],[Source]],tblSources[Source],0)),"?"))</f>
        <v/>
      </c>
      <c r="L4769" s="63">
        <f>IF(tblMovement[[#This Row],[Destination]]="","",IFERROR(INDEX(tblDestinations[Type],MATCH(tblMovement[[#This Row],[Destination]],tblDestinations[Destination],0)),"?"))</f>
        <v/>
      </c>
      <c r="M4769" s="64">
        <f>IF(tblMovement[[#This Row],[Material]]="","",IF(LEFT(tblMovement[[#This Row],[Material]],3)="Ore",1,0))</f>
        <v/>
      </c>
      <c r="N4769" s="59">
        <f>IF(OR(tblMovement[[#This Row],[Tonnes_t]]="",tblMovement[[#This Row],[Grade_gpt]]=""),0,tblMovement[[#This Row],[Tonnes_t]]*tblMovement[[#This Row],[Grade_gpt]]/cfg_TroyOz)</f>
        <v/>
      </c>
      <c r="O4769" s="59">
        <f>IF(tblMovement[[#This Row],[Is_Ore]]=1,tblMovement[[#This Row],[Contained_oz]],0)</f>
        <v/>
      </c>
    </row>
    <row r="4770">
      <c r="A4770" s="54" t="n"/>
      <c r="B4770" s="61" t="n"/>
      <c r="C4770" s="61" t="n"/>
      <c r="D4770" s="61" t="n"/>
      <c r="E4770" s="61" t="n"/>
      <c r="F4770" s="55" t="n"/>
      <c r="G4770" s="56" t="n"/>
      <c r="H4770" s="55" t="n"/>
      <c r="I4770" s="62" t="n"/>
      <c r="J4770" s="58" t="n"/>
      <c r="K4770" s="63">
        <f>IF(tblMovement[[#This Row],[Source]]="","",IFERROR(INDEX(tblSources[Type],MATCH(tblMovement[[#This Row],[Source]],tblSources[Source],0)),"?"))</f>
        <v/>
      </c>
      <c r="L4770" s="63">
        <f>IF(tblMovement[[#This Row],[Destination]]="","",IFERROR(INDEX(tblDestinations[Type],MATCH(tblMovement[[#This Row],[Destination]],tblDestinations[Destination],0)),"?"))</f>
        <v/>
      </c>
      <c r="M4770" s="64">
        <f>IF(tblMovement[[#This Row],[Material]]="","",IF(LEFT(tblMovement[[#This Row],[Material]],3)="Ore",1,0))</f>
        <v/>
      </c>
      <c r="N4770" s="59">
        <f>IF(OR(tblMovement[[#This Row],[Tonnes_t]]="",tblMovement[[#This Row],[Grade_gpt]]=""),0,tblMovement[[#This Row],[Tonnes_t]]*tblMovement[[#This Row],[Grade_gpt]]/cfg_TroyOz)</f>
        <v/>
      </c>
      <c r="O4770" s="59">
        <f>IF(tblMovement[[#This Row],[Is_Ore]]=1,tblMovement[[#This Row],[Contained_oz]],0)</f>
        <v/>
      </c>
    </row>
    <row r="4771">
      <c r="A4771" s="54" t="n"/>
      <c r="B4771" s="61" t="n"/>
      <c r="C4771" s="61" t="n"/>
      <c r="D4771" s="61" t="n"/>
      <c r="E4771" s="61" t="n"/>
      <c r="F4771" s="55" t="n"/>
      <c r="G4771" s="56" t="n"/>
      <c r="H4771" s="55" t="n"/>
      <c r="I4771" s="62" t="n"/>
      <c r="J4771" s="58" t="n"/>
      <c r="K4771" s="63">
        <f>IF(tblMovement[[#This Row],[Source]]="","",IFERROR(INDEX(tblSources[Type],MATCH(tblMovement[[#This Row],[Source]],tblSources[Source],0)),"?"))</f>
        <v/>
      </c>
      <c r="L4771" s="63">
        <f>IF(tblMovement[[#This Row],[Destination]]="","",IFERROR(INDEX(tblDestinations[Type],MATCH(tblMovement[[#This Row],[Destination]],tblDestinations[Destination],0)),"?"))</f>
        <v/>
      </c>
      <c r="M4771" s="64">
        <f>IF(tblMovement[[#This Row],[Material]]="","",IF(LEFT(tblMovement[[#This Row],[Material]],3)="Ore",1,0))</f>
        <v/>
      </c>
      <c r="N4771" s="59">
        <f>IF(OR(tblMovement[[#This Row],[Tonnes_t]]="",tblMovement[[#This Row],[Grade_gpt]]=""),0,tblMovement[[#This Row],[Tonnes_t]]*tblMovement[[#This Row],[Grade_gpt]]/cfg_TroyOz)</f>
        <v/>
      </c>
      <c r="O4771" s="59">
        <f>IF(tblMovement[[#This Row],[Is_Ore]]=1,tblMovement[[#This Row],[Contained_oz]],0)</f>
        <v/>
      </c>
    </row>
    <row r="4772">
      <c r="A4772" s="54" t="n"/>
      <c r="B4772" s="61" t="n"/>
      <c r="C4772" s="61" t="n"/>
      <c r="D4772" s="61" t="n"/>
      <c r="E4772" s="61" t="n"/>
      <c r="F4772" s="55" t="n"/>
      <c r="G4772" s="56" t="n"/>
      <c r="H4772" s="55" t="n"/>
      <c r="I4772" s="62" t="n"/>
      <c r="J4772" s="58" t="n"/>
      <c r="K4772" s="63">
        <f>IF(tblMovement[[#This Row],[Source]]="","",IFERROR(INDEX(tblSources[Type],MATCH(tblMovement[[#This Row],[Source]],tblSources[Source],0)),"?"))</f>
        <v/>
      </c>
      <c r="L4772" s="63">
        <f>IF(tblMovement[[#This Row],[Destination]]="","",IFERROR(INDEX(tblDestinations[Type],MATCH(tblMovement[[#This Row],[Destination]],tblDestinations[Destination],0)),"?"))</f>
        <v/>
      </c>
      <c r="M4772" s="64">
        <f>IF(tblMovement[[#This Row],[Material]]="","",IF(LEFT(tblMovement[[#This Row],[Material]],3)="Ore",1,0))</f>
        <v/>
      </c>
      <c r="N4772" s="59">
        <f>IF(OR(tblMovement[[#This Row],[Tonnes_t]]="",tblMovement[[#This Row],[Grade_gpt]]=""),0,tblMovement[[#This Row],[Tonnes_t]]*tblMovement[[#This Row],[Grade_gpt]]/cfg_TroyOz)</f>
        <v/>
      </c>
      <c r="O4772" s="59">
        <f>IF(tblMovement[[#This Row],[Is_Ore]]=1,tblMovement[[#This Row],[Contained_oz]],0)</f>
        <v/>
      </c>
    </row>
    <row r="4773">
      <c r="A4773" s="54" t="n"/>
      <c r="B4773" s="61" t="n"/>
      <c r="C4773" s="61" t="n"/>
      <c r="D4773" s="61" t="n"/>
      <c r="E4773" s="61" t="n"/>
      <c r="F4773" s="55" t="n"/>
      <c r="G4773" s="56" t="n"/>
      <c r="H4773" s="55" t="n"/>
      <c r="I4773" s="62" t="n"/>
      <c r="J4773" s="58" t="n"/>
      <c r="K4773" s="63">
        <f>IF(tblMovement[[#This Row],[Source]]="","",IFERROR(INDEX(tblSources[Type],MATCH(tblMovement[[#This Row],[Source]],tblSources[Source],0)),"?"))</f>
        <v/>
      </c>
      <c r="L4773" s="63">
        <f>IF(tblMovement[[#This Row],[Destination]]="","",IFERROR(INDEX(tblDestinations[Type],MATCH(tblMovement[[#This Row],[Destination]],tblDestinations[Destination],0)),"?"))</f>
        <v/>
      </c>
      <c r="M4773" s="64">
        <f>IF(tblMovement[[#This Row],[Material]]="","",IF(LEFT(tblMovement[[#This Row],[Material]],3)="Ore",1,0))</f>
        <v/>
      </c>
      <c r="N4773" s="59">
        <f>IF(OR(tblMovement[[#This Row],[Tonnes_t]]="",tblMovement[[#This Row],[Grade_gpt]]=""),0,tblMovement[[#This Row],[Tonnes_t]]*tblMovement[[#This Row],[Grade_gpt]]/cfg_TroyOz)</f>
        <v/>
      </c>
      <c r="O4773" s="59">
        <f>IF(tblMovement[[#This Row],[Is_Ore]]=1,tblMovement[[#This Row],[Contained_oz]],0)</f>
        <v/>
      </c>
    </row>
    <row r="4774">
      <c r="A4774" s="54" t="n"/>
      <c r="B4774" s="61" t="n"/>
      <c r="C4774" s="61" t="n"/>
      <c r="D4774" s="61" t="n"/>
      <c r="E4774" s="61" t="n"/>
      <c r="F4774" s="55" t="n"/>
      <c r="G4774" s="56" t="n"/>
      <c r="H4774" s="55" t="n"/>
      <c r="I4774" s="62" t="n"/>
      <c r="J4774" s="58" t="n"/>
      <c r="K4774" s="63">
        <f>IF(tblMovement[[#This Row],[Source]]="","",IFERROR(INDEX(tblSources[Type],MATCH(tblMovement[[#This Row],[Source]],tblSources[Source],0)),"?"))</f>
        <v/>
      </c>
      <c r="L4774" s="63">
        <f>IF(tblMovement[[#This Row],[Destination]]="","",IFERROR(INDEX(tblDestinations[Type],MATCH(tblMovement[[#This Row],[Destination]],tblDestinations[Destination],0)),"?"))</f>
        <v/>
      </c>
      <c r="M4774" s="64">
        <f>IF(tblMovement[[#This Row],[Material]]="","",IF(LEFT(tblMovement[[#This Row],[Material]],3)="Ore",1,0))</f>
        <v/>
      </c>
      <c r="N4774" s="59">
        <f>IF(OR(tblMovement[[#This Row],[Tonnes_t]]="",tblMovement[[#This Row],[Grade_gpt]]=""),0,tblMovement[[#This Row],[Tonnes_t]]*tblMovement[[#This Row],[Grade_gpt]]/cfg_TroyOz)</f>
        <v/>
      </c>
      <c r="O4774" s="59">
        <f>IF(tblMovement[[#This Row],[Is_Ore]]=1,tblMovement[[#This Row],[Contained_oz]],0)</f>
        <v/>
      </c>
    </row>
    <row r="4775">
      <c r="A4775" s="54" t="n"/>
      <c r="B4775" s="61" t="n"/>
      <c r="C4775" s="61" t="n"/>
      <c r="D4775" s="61" t="n"/>
      <c r="E4775" s="61" t="n"/>
      <c r="F4775" s="55" t="n"/>
      <c r="G4775" s="56" t="n"/>
      <c r="H4775" s="55" t="n"/>
      <c r="I4775" s="62" t="n"/>
      <c r="J4775" s="58" t="n"/>
      <c r="K4775" s="63">
        <f>IF(tblMovement[[#This Row],[Source]]="","",IFERROR(INDEX(tblSources[Type],MATCH(tblMovement[[#This Row],[Source]],tblSources[Source],0)),"?"))</f>
        <v/>
      </c>
      <c r="L4775" s="63">
        <f>IF(tblMovement[[#This Row],[Destination]]="","",IFERROR(INDEX(tblDestinations[Type],MATCH(tblMovement[[#This Row],[Destination]],tblDestinations[Destination],0)),"?"))</f>
        <v/>
      </c>
      <c r="M4775" s="64">
        <f>IF(tblMovement[[#This Row],[Material]]="","",IF(LEFT(tblMovement[[#This Row],[Material]],3)="Ore",1,0))</f>
        <v/>
      </c>
      <c r="N4775" s="59">
        <f>IF(OR(tblMovement[[#This Row],[Tonnes_t]]="",tblMovement[[#This Row],[Grade_gpt]]=""),0,tblMovement[[#This Row],[Tonnes_t]]*tblMovement[[#This Row],[Grade_gpt]]/cfg_TroyOz)</f>
        <v/>
      </c>
      <c r="O4775" s="59">
        <f>IF(tblMovement[[#This Row],[Is_Ore]]=1,tblMovement[[#This Row],[Contained_oz]],0)</f>
        <v/>
      </c>
    </row>
    <row r="4776">
      <c r="A4776" s="54" t="n"/>
      <c r="B4776" s="61" t="n"/>
      <c r="C4776" s="61" t="n"/>
      <c r="D4776" s="61" t="n"/>
      <c r="E4776" s="61" t="n"/>
      <c r="F4776" s="55" t="n"/>
      <c r="G4776" s="56" t="n"/>
      <c r="H4776" s="55" t="n"/>
      <c r="I4776" s="62" t="n"/>
      <c r="J4776" s="58" t="n"/>
      <c r="K4776" s="63">
        <f>IF(tblMovement[[#This Row],[Source]]="","",IFERROR(INDEX(tblSources[Type],MATCH(tblMovement[[#This Row],[Source]],tblSources[Source],0)),"?"))</f>
        <v/>
      </c>
      <c r="L4776" s="63">
        <f>IF(tblMovement[[#This Row],[Destination]]="","",IFERROR(INDEX(tblDestinations[Type],MATCH(tblMovement[[#This Row],[Destination]],tblDestinations[Destination],0)),"?"))</f>
        <v/>
      </c>
      <c r="M4776" s="64">
        <f>IF(tblMovement[[#This Row],[Material]]="","",IF(LEFT(tblMovement[[#This Row],[Material]],3)="Ore",1,0))</f>
        <v/>
      </c>
      <c r="N4776" s="59">
        <f>IF(OR(tblMovement[[#This Row],[Tonnes_t]]="",tblMovement[[#This Row],[Grade_gpt]]=""),0,tblMovement[[#This Row],[Tonnes_t]]*tblMovement[[#This Row],[Grade_gpt]]/cfg_TroyOz)</f>
        <v/>
      </c>
      <c r="O4776" s="59">
        <f>IF(tblMovement[[#This Row],[Is_Ore]]=1,tblMovement[[#This Row],[Contained_oz]],0)</f>
        <v/>
      </c>
    </row>
    <row r="4777">
      <c r="A4777" s="54" t="n"/>
      <c r="B4777" s="61" t="n"/>
      <c r="C4777" s="61" t="n"/>
      <c r="D4777" s="61" t="n"/>
      <c r="E4777" s="61" t="n"/>
      <c r="F4777" s="55" t="n"/>
      <c r="G4777" s="56" t="n"/>
      <c r="H4777" s="55" t="n"/>
      <c r="I4777" s="62" t="n"/>
      <c r="J4777" s="58" t="n"/>
      <c r="K4777" s="63">
        <f>IF(tblMovement[[#This Row],[Source]]="","",IFERROR(INDEX(tblSources[Type],MATCH(tblMovement[[#This Row],[Source]],tblSources[Source],0)),"?"))</f>
        <v/>
      </c>
      <c r="L4777" s="63">
        <f>IF(tblMovement[[#This Row],[Destination]]="","",IFERROR(INDEX(tblDestinations[Type],MATCH(tblMovement[[#This Row],[Destination]],tblDestinations[Destination],0)),"?"))</f>
        <v/>
      </c>
      <c r="M4777" s="64">
        <f>IF(tblMovement[[#This Row],[Material]]="","",IF(LEFT(tblMovement[[#This Row],[Material]],3)="Ore",1,0))</f>
        <v/>
      </c>
      <c r="N4777" s="59">
        <f>IF(OR(tblMovement[[#This Row],[Tonnes_t]]="",tblMovement[[#This Row],[Grade_gpt]]=""),0,tblMovement[[#This Row],[Tonnes_t]]*tblMovement[[#This Row],[Grade_gpt]]/cfg_TroyOz)</f>
        <v/>
      </c>
      <c r="O4777" s="59">
        <f>IF(tblMovement[[#This Row],[Is_Ore]]=1,tblMovement[[#This Row],[Contained_oz]],0)</f>
        <v/>
      </c>
    </row>
    <row r="4778">
      <c r="A4778" s="54" t="n"/>
      <c r="B4778" s="61" t="n"/>
      <c r="C4778" s="61" t="n"/>
      <c r="D4778" s="61" t="n"/>
      <c r="E4778" s="61" t="n"/>
      <c r="F4778" s="55" t="n"/>
      <c r="G4778" s="56" t="n"/>
      <c r="H4778" s="55" t="n"/>
      <c r="I4778" s="62" t="n"/>
      <c r="J4778" s="58" t="n"/>
      <c r="K4778" s="63">
        <f>IF(tblMovement[[#This Row],[Source]]="","",IFERROR(INDEX(tblSources[Type],MATCH(tblMovement[[#This Row],[Source]],tblSources[Source],0)),"?"))</f>
        <v/>
      </c>
      <c r="L4778" s="63">
        <f>IF(tblMovement[[#This Row],[Destination]]="","",IFERROR(INDEX(tblDestinations[Type],MATCH(tblMovement[[#This Row],[Destination]],tblDestinations[Destination],0)),"?"))</f>
        <v/>
      </c>
      <c r="M4778" s="64">
        <f>IF(tblMovement[[#This Row],[Material]]="","",IF(LEFT(tblMovement[[#This Row],[Material]],3)="Ore",1,0))</f>
        <v/>
      </c>
      <c r="N4778" s="59">
        <f>IF(OR(tblMovement[[#This Row],[Tonnes_t]]="",tblMovement[[#This Row],[Grade_gpt]]=""),0,tblMovement[[#This Row],[Tonnes_t]]*tblMovement[[#This Row],[Grade_gpt]]/cfg_TroyOz)</f>
        <v/>
      </c>
      <c r="O4778" s="59">
        <f>IF(tblMovement[[#This Row],[Is_Ore]]=1,tblMovement[[#This Row],[Contained_oz]],0)</f>
        <v/>
      </c>
    </row>
    <row r="4779">
      <c r="A4779" s="54" t="n"/>
      <c r="B4779" s="61" t="n"/>
      <c r="C4779" s="61" t="n"/>
      <c r="D4779" s="61" t="n"/>
      <c r="E4779" s="61" t="n"/>
      <c r="F4779" s="55" t="n"/>
      <c r="G4779" s="56" t="n"/>
      <c r="H4779" s="55" t="n"/>
      <c r="I4779" s="62" t="n"/>
      <c r="J4779" s="58" t="n"/>
      <c r="K4779" s="63">
        <f>IF(tblMovement[[#This Row],[Source]]="","",IFERROR(INDEX(tblSources[Type],MATCH(tblMovement[[#This Row],[Source]],tblSources[Source],0)),"?"))</f>
        <v/>
      </c>
      <c r="L4779" s="63">
        <f>IF(tblMovement[[#This Row],[Destination]]="","",IFERROR(INDEX(tblDestinations[Type],MATCH(tblMovement[[#This Row],[Destination]],tblDestinations[Destination],0)),"?"))</f>
        <v/>
      </c>
      <c r="M4779" s="64">
        <f>IF(tblMovement[[#This Row],[Material]]="","",IF(LEFT(tblMovement[[#This Row],[Material]],3)="Ore",1,0))</f>
        <v/>
      </c>
      <c r="N4779" s="59">
        <f>IF(OR(tblMovement[[#This Row],[Tonnes_t]]="",tblMovement[[#This Row],[Grade_gpt]]=""),0,tblMovement[[#This Row],[Tonnes_t]]*tblMovement[[#This Row],[Grade_gpt]]/cfg_TroyOz)</f>
        <v/>
      </c>
      <c r="O4779" s="59">
        <f>IF(tblMovement[[#This Row],[Is_Ore]]=1,tblMovement[[#This Row],[Contained_oz]],0)</f>
        <v/>
      </c>
    </row>
    <row r="4780">
      <c r="A4780" s="54" t="n"/>
      <c r="B4780" s="61" t="n"/>
      <c r="C4780" s="61" t="n"/>
      <c r="D4780" s="61" t="n"/>
      <c r="E4780" s="61" t="n"/>
      <c r="F4780" s="55" t="n"/>
      <c r="G4780" s="56" t="n"/>
      <c r="H4780" s="55" t="n"/>
      <c r="I4780" s="62" t="n"/>
      <c r="J4780" s="58" t="n"/>
      <c r="K4780" s="63">
        <f>IF(tblMovement[[#This Row],[Source]]="","",IFERROR(INDEX(tblSources[Type],MATCH(tblMovement[[#This Row],[Source]],tblSources[Source],0)),"?"))</f>
        <v/>
      </c>
      <c r="L4780" s="63">
        <f>IF(tblMovement[[#This Row],[Destination]]="","",IFERROR(INDEX(tblDestinations[Type],MATCH(tblMovement[[#This Row],[Destination]],tblDestinations[Destination],0)),"?"))</f>
        <v/>
      </c>
      <c r="M4780" s="64">
        <f>IF(tblMovement[[#This Row],[Material]]="","",IF(LEFT(tblMovement[[#This Row],[Material]],3)="Ore",1,0))</f>
        <v/>
      </c>
      <c r="N4780" s="59">
        <f>IF(OR(tblMovement[[#This Row],[Tonnes_t]]="",tblMovement[[#This Row],[Grade_gpt]]=""),0,tblMovement[[#This Row],[Tonnes_t]]*tblMovement[[#This Row],[Grade_gpt]]/cfg_TroyOz)</f>
        <v/>
      </c>
      <c r="O4780" s="59">
        <f>IF(tblMovement[[#This Row],[Is_Ore]]=1,tblMovement[[#This Row],[Contained_oz]],0)</f>
        <v/>
      </c>
    </row>
    <row r="4781">
      <c r="A4781" s="54" t="n"/>
      <c r="B4781" s="61" t="n"/>
      <c r="C4781" s="61" t="n"/>
      <c r="D4781" s="61" t="n"/>
      <c r="E4781" s="61" t="n"/>
      <c r="F4781" s="55" t="n"/>
      <c r="G4781" s="56" t="n"/>
      <c r="H4781" s="55" t="n"/>
      <c r="I4781" s="62" t="n"/>
      <c r="J4781" s="58" t="n"/>
      <c r="K4781" s="63">
        <f>IF(tblMovement[[#This Row],[Source]]="","",IFERROR(INDEX(tblSources[Type],MATCH(tblMovement[[#This Row],[Source]],tblSources[Source],0)),"?"))</f>
        <v/>
      </c>
      <c r="L4781" s="63">
        <f>IF(tblMovement[[#This Row],[Destination]]="","",IFERROR(INDEX(tblDestinations[Type],MATCH(tblMovement[[#This Row],[Destination]],tblDestinations[Destination],0)),"?"))</f>
        <v/>
      </c>
      <c r="M4781" s="64">
        <f>IF(tblMovement[[#This Row],[Material]]="","",IF(LEFT(tblMovement[[#This Row],[Material]],3)="Ore",1,0))</f>
        <v/>
      </c>
      <c r="N4781" s="59">
        <f>IF(OR(tblMovement[[#This Row],[Tonnes_t]]="",tblMovement[[#This Row],[Grade_gpt]]=""),0,tblMovement[[#This Row],[Tonnes_t]]*tblMovement[[#This Row],[Grade_gpt]]/cfg_TroyOz)</f>
        <v/>
      </c>
      <c r="O4781" s="59">
        <f>IF(tblMovement[[#This Row],[Is_Ore]]=1,tblMovement[[#This Row],[Contained_oz]],0)</f>
        <v/>
      </c>
    </row>
    <row r="4782">
      <c r="A4782" s="54" t="n"/>
      <c r="B4782" s="61" t="n"/>
      <c r="C4782" s="61" t="n"/>
      <c r="D4782" s="61" t="n"/>
      <c r="E4782" s="61" t="n"/>
      <c r="F4782" s="55" t="n"/>
      <c r="G4782" s="56" t="n"/>
      <c r="H4782" s="55" t="n"/>
      <c r="I4782" s="62" t="n"/>
      <c r="J4782" s="58" t="n"/>
      <c r="K4782" s="63">
        <f>IF(tblMovement[[#This Row],[Source]]="","",IFERROR(INDEX(tblSources[Type],MATCH(tblMovement[[#This Row],[Source]],tblSources[Source],0)),"?"))</f>
        <v/>
      </c>
      <c r="L4782" s="63">
        <f>IF(tblMovement[[#This Row],[Destination]]="","",IFERROR(INDEX(tblDestinations[Type],MATCH(tblMovement[[#This Row],[Destination]],tblDestinations[Destination],0)),"?"))</f>
        <v/>
      </c>
      <c r="M4782" s="64">
        <f>IF(tblMovement[[#This Row],[Material]]="","",IF(LEFT(tblMovement[[#This Row],[Material]],3)="Ore",1,0))</f>
        <v/>
      </c>
      <c r="N4782" s="59">
        <f>IF(OR(tblMovement[[#This Row],[Tonnes_t]]="",tblMovement[[#This Row],[Grade_gpt]]=""),0,tblMovement[[#This Row],[Tonnes_t]]*tblMovement[[#This Row],[Grade_gpt]]/cfg_TroyOz)</f>
        <v/>
      </c>
      <c r="O4782" s="59">
        <f>IF(tblMovement[[#This Row],[Is_Ore]]=1,tblMovement[[#This Row],[Contained_oz]],0)</f>
        <v/>
      </c>
    </row>
    <row r="4783">
      <c r="A4783" s="54" t="n"/>
      <c r="B4783" s="61" t="n"/>
      <c r="C4783" s="61" t="n"/>
      <c r="D4783" s="61" t="n"/>
      <c r="E4783" s="61" t="n"/>
      <c r="F4783" s="55" t="n"/>
      <c r="G4783" s="56" t="n"/>
      <c r="H4783" s="55" t="n"/>
      <c r="I4783" s="62" t="n"/>
      <c r="J4783" s="58" t="n"/>
      <c r="K4783" s="63">
        <f>IF(tblMovement[[#This Row],[Source]]="","",IFERROR(INDEX(tblSources[Type],MATCH(tblMovement[[#This Row],[Source]],tblSources[Source],0)),"?"))</f>
        <v/>
      </c>
      <c r="L4783" s="63">
        <f>IF(tblMovement[[#This Row],[Destination]]="","",IFERROR(INDEX(tblDestinations[Type],MATCH(tblMovement[[#This Row],[Destination]],tblDestinations[Destination],0)),"?"))</f>
        <v/>
      </c>
      <c r="M4783" s="64">
        <f>IF(tblMovement[[#This Row],[Material]]="","",IF(LEFT(tblMovement[[#This Row],[Material]],3)="Ore",1,0))</f>
        <v/>
      </c>
      <c r="N4783" s="59">
        <f>IF(OR(tblMovement[[#This Row],[Tonnes_t]]="",tblMovement[[#This Row],[Grade_gpt]]=""),0,tblMovement[[#This Row],[Tonnes_t]]*tblMovement[[#This Row],[Grade_gpt]]/cfg_TroyOz)</f>
        <v/>
      </c>
      <c r="O4783" s="59">
        <f>IF(tblMovement[[#This Row],[Is_Ore]]=1,tblMovement[[#This Row],[Contained_oz]],0)</f>
        <v/>
      </c>
    </row>
    <row r="4784">
      <c r="A4784" s="54" t="n"/>
      <c r="B4784" s="61" t="n"/>
      <c r="C4784" s="61" t="n"/>
      <c r="D4784" s="61" t="n"/>
      <c r="E4784" s="61" t="n"/>
      <c r="F4784" s="55" t="n"/>
      <c r="G4784" s="56" t="n"/>
      <c r="H4784" s="55" t="n"/>
      <c r="I4784" s="62" t="n"/>
      <c r="J4784" s="58" t="n"/>
      <c r="K4784" s="63">
        <f>IF(tblMovement[[#This Row],[Source]]="","",IFERROR(INDEX(tblSources[Type],MATCH(tblMovement[[#This Row],[Source]],tblSources[Source],0)),"?"))</f>
        <v/>
      </c>
      <c r="L4784" s="63">
        <f>IF(tblMovement[[#This Row],[Destination]]="","",IFERROR(INDEX(tblDestinations[Type],MATCH(tblMovement[[#This Row],[Destination]],tblDestinations[Destination],0)),"?"))</f>
        <v/>
      </c>
      <c r="M4784" s="64">
        <f>IF(tblMovement[[#This Row],[Material]]="","",IF(LEFT(tblMovement[[#This Row],[Material]],3)="Ore",1,0))</f>
        <v/>
      </c>
      <c r="N4784" s="59">
        <f>IF(OR(tblMovement[[#This Row],[Tonnes_t]]="",tblMovement[[#This Row],[Grade_gpt]]=""),0,tblMovement[[#This Row],[Tonnes_t]]*tblMovement[[#This Row],[Grade_gpt]]/cfg_TroyOz)</f>
        <v/>
      </c>
      <c r="O4784" s="59">
        <f>IF(tblMovement[[#This Row],[Is_Ore]]=1,tblMovement[[#This Row],[Contained_oz]],0)</f>
        <v/>
      </c>
    </row>
    <row r="4785">
      <c r="A4785" s="54" t="n"/>
      <c r="B4785" s="61" t="n"/>
      <c r="C4785" s="61" t="n"/>
      <c r="D4785" s="61" t="n"/>
      <c r="E4785" s="61" t="n"/>
      <c r="F4785" s="55" t="n"/>
      <c r="G4785" s="56" t="n"/>
      <c r="H4785" s="55" t="n"/>
      <c r="I4785" s="62" t="n"/>
      <c r="J4785" s="58" t="n"/>
      <c r="K4785" s="63">
        <f>IF(tblMovement[[#This Row],[Source]]="","",IFERROR(INDEX(tblSources[Type],MATCH(tblMovement[[#This Row],[Source]],tblSources[Source],0)),"?"))</f>
        <v/>
      </c>
      <c r="L4785" s="63">
        <f>IF(tblMovement[[#This Row],[Destination]]="","",IFERROR(INDEX(tblDestinations[Type],MATCH(tblMovement[[#This Row],[Destination]],tblDestinations[Destination],0)),"?"))</f>
        <v/>
      </c>
      <c r="M4785" s="64">
        <f>IF(tblMovement[[#This Row],[Material]]="","",IF(LEFT(tblMovement[[#This Row],[Material]],3)="Ore",1,0))</f>
        <v/>
      </c>
      <c r="N4785" s="59">
        <f>IF(OR(tblMovement[[#This Row],[Tonnes_t]]="",tblMovement[[#This Row],[Grade_gpt]]=""),0,tblMovement[[#This Row],[Tonnes_t]]*tblMovement[[#This Row],[Grade_gpt]]/cfg_TroyOz)</f>
        <v/>
      </c>
      <c r="O4785" s="59">
        <f>IF(tblMovement[[#This Row],[Is_Ore]]=1,tblMovement[[#This Row],[Contained_oz]],0)</f>
        <v/>
      </c>
    </row>
    <row r="4786">
      <c r="A4786" s="54" t="n"/>
      <c r="B4786" s="61" t="n"/>
      <c r="C4786" s="61" t="n"/>
      <c r="D4786" s="61" t="n"/>
      <c r="E4786" s="61" t="n"/>
      <c r="F4786" s="55" t="n"/>
      <c r="G4786" s="56" t="n"/>
      <c r="H4786" s="55" t="n"/>
      <c r="I4786" s="62" t="n"/>
      <c r="J4786" s="58" t="n"/>
      <c r="K4786" s="63">
        <f>IF(tblMovement[[#This Row],[Source]]="","",IFERROR(INDEX(tblSources[Type],MATCH(tblMovement[[#This Row],[Source]],tblSources[Source],0)),"?"))</f>
        <v/>
      </c>
      <c r="L4786" s="63">
        <f>IF(tblMovement[[#This Row],[Destination]]="","",IFERROR(INDEX(tblDestinations[Type],MATCH(tblMovement[[#This Row],[Destination]],tblDestinations[Destination],0)),"?"))</f>
        <v/>
      </c>
      <c r="M4786" s="64">
        <f>IF(tblMovement[[#This Row],[Material]]="","",IF(LEFT(tblMovement[[#This Row],[Material]],3)="Ore",1,0))</f>
        <v/>
      </c>
      <c r="N4786" s="59">
        <f>IF(OR(tblMovement[[#This Row],[Tonnes_t]]="",tblMovement[[#This Row],[Grade_gpt]]=""),0,tblMovement[[#This Row],[Tonnes_t]]*tblMovement[[#This Row],[Grade_gpt]]/cfg_TroyOz)</f>
        <v/>
      </c>
      <c r="O4786" s="59">
        <f>IF(tblMovement[[#This Row],[Is_Ore]]=1,tblMovement[[#This Row],[Contained_oz]],0)</f>
        <v/>
      </c>
    </row>
    <row r="4787">
      <c r="A4787" s="54" t="n"/>
      <c r="B4787" s="61" t="n"/>
      <c r="C4787" s="61" t="n"/>
      <c r="D4787" s="61" t="n"/>
      <c r="E4787" s="61" t="n"/>
      <c r="F4787" s="55" t="n"/>
      <c r="G4787" s="56" t="n"/>
      <c r="H4787" s="55" t="n"/>
      <c r="I4787" s="62" t="n"/>
      <c r="J4787" s="58" t="n"/>
      <c r="K4787" s="63">
        <f>IF(tblMovement[[#This Row],[Source]]="","",IFERROR(INDEX(tblSources[Type],MATCH(tblMovement[[#This Row],[Source]],tblSources[Source],0)),"?"))</f>
        <v/>
      </c>
      <c r="L4787" s="63">
        <f>IF(tblMovement[[#This Row],[Destination]]="","",IFERROR(INDEX(tblDestinations[Type],MATCH(tblMovement[[#This Row],[Destination]],tblDestinations[Destination],0)),"?"))</f>
        <v/>
      </c>
      <c r="M4787" s="64">
        <f>IF(tblMovement[[#This Row],[Material]]="","",IF(LEFT(tblMovement[[#This Row],[Material]],3)="Ore",1,0))</f>
        <v/>
      </c>
      <c r="N4787" s="59">
        <f>IF(OR(tblMovement[[#This Row],[Tonnes_t]]="",tblMovement[[#This Row],[Grade_gpt]]=""),0,tblMovement[[#This Row],[Tonnes_t]]*tblMovement[[#This Row],[Grade_gpt]]/cfg_TroyOz)</f>
        <v/>
      </c>
      <c r="O4787" s="59">
        <f>IF(tblMovement[[#This Row],[Is_Ore]]=1,tblMovement[[#This Row],[Contained_oz]],0)</f>
        <v/>
      </c>
    </row>
    <row r="4788">
      <c r="A4788" s="54" t="n"/>
      <c r="B4788" s="61" t="n"/>
      <c r="C4788" s="61" t="n"/>
      <c r="D4788" s="61" t="n"/>
      <c r="E4788" s="61" t="n"/>
      <c r="F4788" s="55" t="n"/>
      <c r="G4788" s="56" t="n"/>
      <c r="H4788" s="55" t="n"/>
      <c r="I4788" s="62" t="n"/>
      <c r="J4788" s="58" t="n"/>
      <c r="K4788" s="63">
        <f>IF(tblMovement[[#This Row],[Source]]="","",IFERROR(INDEX(tblSources[Type],MATCH(tblMovement[[#This Row],[Source]],tblSources[Source],0)),"?"))</f>
        <v/>
      </c>
      <c r="L4788" s="63">
        <f>IF(tblMovement[[#This Row],[Destination]]="","",IFERROR(INDEX(tblDestinations[Type],MATCH(tblMovement[[#This Row],[Destination]],tblDestinations[Destination],0)),"?"))</f>
        <v/>
      </c>
      <c r="M4788" s="64">
        <f>IF(tblMovement[[#This Row],[Material]]="","",IF(LEFT(tblMovement[[#This Row],[Material]],3)="Ore",1,0))</f>
        <v/>
      </c>
      <c r="N4788" s="59">
        <f>IF(OR(tblMovement[[#This Row],[Tonnes_t]]="",tblMovement[[#This Row],[Grade_gpt]]=""),0,tblMovement[[#This Row],[Tonnes_t]]*tblMovement[[#This Row],[Grade_gpt]]/cfg_TroyOz)</f>
        <v/>
      </c>
      <c r="O4788" s="59">
        <f>IF(tblMovement[[#This Row],[Is_Ore]]=1,tblMovement[[#This Row],[Contained_oz]],0)</f>
        <v/>
      </c>
    </row>
    <row r="4789">
      <c r="A4789" s="54" t="n"/>
      <c r="B4789" s="61" t="n"/>
      <c r="C4789" s="61" t="n"/>
      <c r="D4789" s="61" t="n"/>
      <c r="E4789" s="61" t="n"/>
      <c r="F4789" s="55" t="n"/>
      <c r="G4789" s="56" t="n"/>
      <c r="H4789" s="55" t="n"/>
      <c r="I4789" s="62" t="n"/>
      <c r="J4789" s="58" t="n"/>
      <c r="K4789" s="63">
        <f>IF(tblMovement[[#This Row],[Source]]="","",IFERROR(INDEX(tblSources[Type],MATCH(tblMovement[[#This Row],[Source]],tblSources[Source],0)),"?"))</f>
        <v/>
      </c>
      <c r="L4789" s="63">
        <f>IF(tblMovement[[#This Row],[Destination]]="","",IFERROR(INDEX(tblDestinations[Type],MATCH(tblMovement[[#This Row],[Destination]],tblDestinations[Destination],0)),"?"))</f>
        <v/>
      </c>
      <c r="M4789" s="64">
        <f>IF(tblMovement[[#This Row],[Material]]="","",IF(LEFT(tblMovement[[#This Row],[Material]],3)="Ore",1,0))</f>
        <v/>
      </c>
      <c r="N4789" s="59">
        <f>IF(OR(tblMovement[[#This Row],[Tonnes_t]]="",tblMovement[[#This Row],[Grade_gpt]]=""),0,tblMovement[[#This Row],[Tonnes_t]]*tblMovement[[#This Row],[Grade_gpt]]/cfg_TroyOz)</f>
        <v/>
      </c>
      <c r="O4789" s="59">
        <f>IF(tblMovement[[#This Row],[Is_Ore]]=1,tblMovement[[#This Row],[Contained_oz]],0)</f>
        <v/>
      </c>
    </row>
    <row r="4790">
      <c r="A4790" s="54" t="n"/>
      <c r="B4790" s="61" t="n"/>
      <c r="C4790" s="61" t="n"/>
      <c r="D4790" s="61" t="n"/>
      <c r="E4790" s="61" t="n"/>
      <c r="F4790" s="55" t="n"/>
      <c r="G4790" s="56" t="n"/>
      <c r="H4790" s="55" t="n"/>
      <c r="I4790" s="62" t="n"/>
      <c r="J4790" s="58" t="n"/>
      <c r="K4790" s="63">
        <f>IF(tblMovement[[#This Row],[Source]]="","",IFERROR(INDEX(tblSources[Type],MATCH(tblMovement[[#This Row],[Source]],tblSources[Source],0)),"?"))</f>
        <v/>
      </c>
      <c r="L4790" s="63">
        <f>IF(tblMovement[[#This Row],[Destination]]="","",IFERROR(INDEX(tblDestinations[Type],MATCH(tblMovement[[#This Row],[Destination]],tblDestinations[Destination],0)),"?"))</f>
        <v/>
      </c>
      <c r="M4790" s="64">
        <f>IF(tblMovement[[#This Row],[Material]]="","",IF(LEFT(tblMovement[[#This Row],[Material]],3)="Ore",1,0))</f>
        <v/>
      </c>
      <c r="N4790" s="59">
        <f>IF(OR(tblMovement[[#This Row],[Tonnes_t]]="",tblMovement[[#This Row],[Grade_gpt]]=""),0,tblMovement[[#This Row],[Tonnes_t]]*tblMovement[[#This Row],[Grade_gpt]]/cfg_TroyOz)</f>
        <v/>
      </c>
      <c r="O4790" s="59">
        <f>IF(tblMovement[[#This Row],[Is_Ore]]=1,tblMovement[[#This Row],[Contained_oz]],0)</f>
        <v/>
      </c>
    </row>
    <row r="4791">
      <c r="A4791" s="54" t="n"/>
      <c r="B4791" s="61" t="n"/>
      <c r="C4791" s="61" t="n"/>
      <c r="D4791" s="61" t="n"/>
      <c r="E4791" s="61" t="n"/>
      <c r="F4791" s="55" t="n"/>
      <c r="G4791" s="56" t="n"/>
      <c r="H4791" s="55" t="n"/>
      <c r="I4791" s="62" t="n"/>
      <c r="J4791" s="58" t="n"/>
      <c r="K4791" s="63">
        <f>IF(tblMovement[[#This Row],[Source]]="","",IFERROR(INDEX(tblSources[Type],MATCH(tblMovement[[#This Row],[Source]],tblSources[Source],0)),"?"))</f>
        <v/>
      </c>
      <c r="L4791" s="63">
        <f>IF(tblMovement[[#This Row],[Destination]]="","",IFERROR(INDEX(tblDestinations[Type],MATCH(tblMovement[[#This Row],[Destination]],tblDestinations[Destination],0)),"?"))</f>
        <v/>
      </c>
      <c r="M4791" s="64">
        <f>IF(tblMovement[[#This Row],[Material]]="","",IF(LEFT(tblMovement[[#This Row],[Material]],3)="Ore",1,0))</f>
        <v/>
      </c>
      <c r="N4791" s="59">
        <f>IF(OR(tblMovement[[#This Row],[Tonnes_t]]="",tblMovement[[#This Row],[Grade_gpt]]=""),0,tblMovement[[#This Row],[Tonnes_t]]*tblMovement[[#This Row],[Grade_gpt]]/cfg_TroyOz)</f>
        <v/>
      </c>
      <c r="O4791" s="59">
        <f>IF(tblMovement[[#This Row],[Is_Ore]]=1,tblMovement[[#This Row],[Contained_oz]],0)</f>
        <v/>
      </c>
    </row>
    <row r="4792">
      <c r="A4792" s="54" t="n"/>
      <c r="B4792" s="61" t="n"/>
      <c r="C4792" s="61" t="n"/>
      <c r="D4792" s="61" t="n"/>
      <c r="E4792" s="61" t="n"/>
      <c r="F4792" s="55" t="n"/>
      <c r="G4792" s="56" t="n"/>
      <c r="H4792" s="55" t="n"/>
      <c r="I4792" s="62" t="n"/>
      <c r="J4792" s="58" t="n"/>
      <c r="K4792" s="63">
        <f>IF(tblMovement[[#This Row],[Source]]="","",IFERROR(INDEX(tblSources[Type],MATCH(tblMovement[[#This Row],[Source]],tblSources[Source],0)),"?"))</f>
        <v/>
      </c>
      <c r="L4792" s="63">
        <f>IF(tblMovement[[#This Row],[Destination]]="","",IFERROR(INDEX(tblDestinations[Type],MATCH(tblMovement[[#This Row],[Destination]],tblDestinations[Destination],0)),"?"))</f>
        <v/>
      </c>
      <c r="M4792" s="64">
        <f>IF(tblMovement[[#This Row],[Material]]="","",IF(LEFT(tblMovement[[#This Row],[Material]],3)="Ore",1,0))</f>
        <v/>
      </c>
      <c r="N4792" s="59">
        <f>IF(OR(tblMovement[[#This Row],[Tonnes_t]]="",tblMovement[[#This Row],[Grade_gpt]]=""),0,tblMovement[[#This Row],[Tonnes_t]]*tblMovement[[#This Row],[Grade_gpt]]/cfg_TroyOz)</f>
        <v/>
      </c>
      <c r="O4792" s="59">
        <f>IF(tblMovement[[#This Row],[Is_Ore]]=1,tblMovement[[#This Row],[Contained_oz]],0)</f>
        <v/>
      </c>
    </row>
    <row r="4793">
      <c r="A4793" s="54" t="n"/>
      <c r="B4793" s="61" t="n"/>
      <c r="C4793" s="61" t="n"/>
      <c r="D4793" s="61" t="n"/>
      <c r="E4793" s="61" t="n"/>
      <c r="F4793" s="55" t="n"/>
      <c r="G4793" s="56" t="n"/>
      <c r="H4793" s="55" t="n"/>
      <c r="I4793" s="62" t="n"/>
      <c r="J4793" s="58" t="n"/>
      <c r="K4793" s="63">
        <f>IF(tblMovement[[#This Row],[Source]]="","",IFERROR(INDEX(tblSources[Type],MATCH(tblMovement[[#This Row],[Source]],tblSources[Source],0)),"?"))</f>
        <v/>
      </c>
      <c r="L4793" s="63">
        <f>IF(tblMovement[[#This Row],[Destination]]="","",IFERROR(INDEX(tblDestinations[Type],MATCH(tblMovement[[#This Row],[Destination]],tblDestinations[Destination],0)),"?"))</f>
        <v/>
      </c>
      <c r="M4793" s="64">
        <f>IF(tblMovement[[#This Row],[Material]]="","",IF(LEFT(tblMovement[[#This Row],[Material]],3)="Ore",1,0))</f>
        <v/>
      </c>
      <c r="N4793" s="59">
        <f>IF(OR(tblMovement[[#This Row],[Tonnes_t]]="",tblMovement[[#This Row],[Grade_gpt]]=""),0,tblMovement[[#This Row],[Tonnes_t]]*tblMovement[[#This Row],[Grade_gpt]]/cfg_TroyOz)</f>
        <v/>
      </c>
      <c r="O4793" s="59">
        <f>IF(tblMovement[[#This Row],[Is_Ore]]=1,tblMovement[[#This Row],[Contained_oz]],0)</f>
        <v/>
      </c>
    </row>
    <row r="4794">
      <c r="A4794" s="54" t="n"/>
      <c r="B4794" s="61" t="n"/>
      <c r="C4794" s="61" t="n"/>
      <c r="D4794" s="61" t="n"/>
      <c r="E4794" s="61" t="n"/>
      <c r="F4794" s="55" t="n"/>
      <c r="G4794" s="56" t="n"/>
      <c r="H4794" s="55" t="n"/>
      <c r="I4794" s="62" t="n"/>
      <c r="J4794" s="58" t="n"/>
      <c r="K4794" s="63">
        <f>IF(tblMovement[[#This Row],[Source]]="","",IFERROR(INDEX(tblSources[Type],MATCH(tblMovement[[#This Row],[Source]],tblSources[Source],0)),"?"))</f>
        <v/>
      </c>
      <c r="L4794" s="63">
        <f>IF(tblMovement[[#This Row],[Destination]]="","",IFERROR(INDEX(tblDestinations[Type],MATCH(tblMovement[[#This Row],[Destination]],tblDestinations[Destination],0)),"?"))</f>
        <v/>
      </c>
      <c r="M4794" s="64">
        <f>IF(tblMovement[[#This Row],[Material]]="","",IF(LEFT(tblMovement[[#This Row],[Material]],3)="Ore",1,0))</f>
        <v/>
      </c>
      <c r="N4794" s="59">
        <f>IF(OR(tblMovement[[#This Row],[Tonnes_t]]="",tblMovement[[#This Row],[Grade_gpt]]=""),0,tblMovement[[#This Row],[Tonnes_t]]*tblMovement[[#This Row],[Grade_gpt]]/cfg_TroyOz)</f>
        <v/>
      </c>
      <c r="O4794" s="59">
        <f>IF(tblMovement[[#This Row],[Is_Ore]]=1,tblMovement[[#This Row],[Contained_oz]],0)</f>
        <v/>
      </c>
    </row>
    <row r="4795">
      <c r="A4795" s="54" t="n"/>
      <c r="B4795" s="61" t="n"/>
      <c r="C4795" s="61" t="n"/>
      <c r="D4795" s="61" t="n"/>
      <c r="E4795" s="61" t="n"/>
      <c r="F4795" s="55" t="n"/>
      <c r="G4795" s="56" t="n"/>
      <c r="H4795" s="55" t="n"/>
      <c r="I4795" s="62" t="n"/>
      <c r="J4795" s="58" t="n"/>
      <c r="K4795" s="63">
        <f>IF(tblMovement[[#This Row],[Source]]="","",IFERROR(INDEX(tblSources[Type],MATCH(tblMovement[[#This Row],[Source]],tblSources[Source],0)),"?"))</f>
        <v/>
      </c>
      <c r="L4795" s="63">
        <f>IF(tblMovement[[#This Row],[Destination]]="","",IFERROR(INDEX(tblDestinations[Type],MATCH(tblMovement[[#This Row],[Destination]],tblDestinations[Destination],0)),"?"))</f>
        <v/>
      </c>
      <c r="M4795" s="64">
        <f>IF(tblMovement[[#This Row],[Material]]="","",IF(LEFT(tblMovement[[#This Row],[Material]],3)="Ore",1,0))</f>
        <v/>
      </c>
      <c r="N4795" s="59">
        <f>IF(OR(tblMovement[[#This Row],[Tonnes_t]]="",tblMovement[[#This Row],[Grade_gpt]]=""),0,tblMovement[[#This Row],[Tonnes_t]]*tblMovement[[#This Row],[Grade_gpt]]/cfg_TroyOz)</f>
        <v/>
      </c>
      <c r="O4795" s="59">
        <f>IF(tblMovement[[#This Row],[Is_Ore]]=1,tblMovement[[#This Row],[Contained_oz]],0)</f>
        <v/>
      </c>
    </row>
    <row r="4796">
      <c r="A4796" s="54" t="n"/>
      <c r="B4796" s="61" t="n"/>
      <c r="C4796" s="61" t="n"/>
      <c r="D4796" s="61" t="n"/>
      <c r="E4796" s="61" t="n"/>
      <c r="F4796" s="55" t="n"/>
      <c r="G4796" s="56" t="n"/>
      <c r="H4796" s="55" t="n"/>
      <c r="I4796" s="62" t="n"/>
      <c r="J4796" s="58" t="n"/>
      <c r="K4796" s="63">
        <f>IF(tblMovement[[#This Row],[Source]]="","",IFERROR(INDEX(tblSources[Type],MATCH(tblMovement[[#This Row],[Source]],tblSources[Source],0)),"?"))</f>
        <v/>
      </c>
      <c r="L4796" s="63">
        <f>IF(tblMovement[[#This Row],[Destination]]="","",IFERROR(INDEX(tblDestinations[Type],MATCH(tblMovement[[#This Row],[Destination]],tblDestinations[Destination],0)),"?"))</f>
        <v/>
      </c>
      <c r="M4796" s="64">
        <f>IF(tblMovement[[#This Row],[Material]]="","",IF(LEFT(tblMovement[[#This Row],[Material]],3)="Ore",1,0))</f>
        <v/>
      </c>
      <c r="N4796" s="59">
        <f>IF(OR(tblMovement[[#This Row],[Tonnes_t]]="",tblMovement[[#This Row],[Grade_gpt]]=""),0,tblMovement[[#This Row],[Tonnes_t]]*tblMovement[[#This Row],[Grade_gpt]]/cfg_TroyOz)</f>
        <v/>
      </c>
      <c r="O4796" s="59">
        <f>IF(tblMovement[[#This Row],[Is_Ore]]=1,tblMovement[[#This Row],[Contained_oz]],0)</f>
        <v/>
      </c>
    </row>
    <row r="4797">
      <c r="A4797" s="54" t="n"/>
      <c r="B4797" s="61" t="n"/>
      <c r="C4797" s="61" t="n"/>
      <c r="D4797" s="61" t="n"/>
      <c r="E4797" s="61" t="n"/>
      <c r="F4797" s="55" t="n"/>
      <c r="G4797" s="56" t="n"/>
      <c r="H4797" s="55" t="n"/>
      <c r="I4797" s="62" t="n"/>
      <c r="J4797" s="58" t="n"/>
      <c r="K4797" s="63">
        <f>IF(tblMovement[[#This Row],[Source]]="","",IFERROR(INDEX(tblSources[Type],MATCH(tblMovement[[#This Row],[Source]],tblSources[Source],0)),"?"))</f>
        <v/>
      </c>
      <c r="L4797" s="63">
        <f>IF(tblMovement[[#This Row],[Destination]]="","",IFERROR(INDEX(tblDestinations[Type],MATCH(tblMovement[[#This Row],[Destination]],tblDestinations[Destination],0)),"?"))</f>
        <v/>
      </c>
      <c r="M4797" s="64">
        <f>IF(tblMovement[[#This Row],[Material]]="","",IF(LEFT(tblMovement[[#This Row],[Material]],3)="Ore",1,0))</f>
        <v/>
      </c>
      <c r="N4797" s="59">
        <f>IF(OR(tblMovement[[#This Row],[Tonnes_t]]="",tblMovement[[#This Row],[Grade_gpt]]=""),0,tblMovement[[#This Row],[Tonnes_t]]*tblMovement[[#This Row],[Grade_gpt]]/cfg_TroyOz)</f>
        <v/>
      </c>
      <c r="O4797" s="59">
        <f>IF(tblMovement[[#This Row],[Is_Ore]]=1,tblMovement[[#This Row],[Contained_oz]],0)</f>
        <v/>
      </c>
    </row>
    <row r="4798">
      <c r="A4798" s="54" t="n"/>
      <c r="B4798" s="61" t="n"/>
      <c r="C4798" s="61" t="n"/>
      <c r="D4798" s="61" t="n"/>
      <c r="E4798" s="61" t="n"/>
      <c r="F4798" s="55" t="n"/>
      <c r="G4798" s="56" t="n"/>
      <c r="H4798" s="55" t="n"/>
      <c r="I4798" s="62" t="n"/>
      <c r="J4798" s="58" t="n"/>
      <c r="K4798" s="63">
        <f>IF(tblMovement[[#This Row],[Source]]="","",IFERROR(INDEX(tblSources[Type],MATCH(tblMovement[[#This Row],[Source]],tblSources[Source],0)),"?"))</f>
        <v/>
      </c>
      <c r="L4798" s="63">
        <f>IF(tblMovement[[#This Row],[Destination]]="","",IFERROR(INDEX(tblDestinations[Type],MATCH(tblMovement[[#This Row],[Destination]],tblDestinations[Destination],0)),"?"))</f>
        <v/>
      </c>
      <c r="M4798" s="64">
        <f>IF(tblMovement[[#This Row],[Material]]="","",IF(LEFT(tblMovement[[#This Row],[Material]],3)="Ore",1,0))</f>
        <v/>
      </c>
      <c r="N4798" s="59">
        <f>IF(OR(tblMovement[[#This Row],[Tonnes_t]]="",tblMovement[[#This Row],[Grade_gpt]]=""),0,tblMovement[[#This Row],[Tonnes_t]]*tblMovement[[#This Row],[Grade_gpt]]/cfg_TroyOz)</f>
        <v/>
      </c>
      <c r="O4798" s="59">
        <f>IF(tblMovement[[#This Row],[Is_Ore]]=1,tblMovement[[#This Row],[Contained_oz]],0)</f>
        <v/>
      </c>
    </row>
    <row r="4799">
      <c r="A4799" s="54" t="n"/>
      <c r="B4799" s="61" t="n"/>
      <c r="C4799" s="61" t="n"/>
      <c r="D4799" s="61" t="n"/>
      <c r="E4799" s="61" t="n"/>
      <c r="F4799" s="55" t="n"/>
      <c r="G4799" s="56" t="n"/>
      <c r="H4799" s="55" t="n"/>
      <c r="I4799" s="62" t="n"/>
      <c r="J4799" s="58" t="n"/>
      <c r="K4799" s="63">
        <f>IF(tblMovement[[#This Row],[Source]]="","",IFERROR(INDEX(tblSources[Type],MATCH(tblMovement[[#This Row],[Source]],tblSources[Source],0)),"?"))</f>
        <v/>
      </c>
      <c r="L4799" s="63">
        <f>IF(tblMovement[[#This Row],[Destination]]="","",IFERROR(INDEX(tblDestinations[Type],MATCH(tblMovement[[#This Row],[Destination]],tblDestinations[Destination],0)),"?"))</f>
        <v/>
      </c>
      <c r="M4799" s="64">
        <f>IF(tblMovement[[#This Row],[Material]]="","",IF(LEFT(tblMovement[[#This Row],[Material]],3)="Ore",1,0))</f>
        <v/>
      </c>
      <c r="N4799" s="59">
        <f>IF(OR(tblMovement[[#This Row],[Tonnes_t]]="",tblMovement[[#This Row],[Grade_gpt]]=""),0,tblMovement[[#This Row],[Tonnes_t]]*tblMovement[[#This Row],[Grade_gpt]]/cfg_TroyOz)</f>
        <v/>
      </c>
      <c r="O4799" s="59">
        <f>IF(tblMovement[[#This Row],[Is_Ore]]=1,tblMovement[[#This Row],[Contained_oz]],0)</f>
        <v/>
      </c>
    </row>
    <row r="4800">
      <c r="A4800" s="54" t="n"/>
      <c r="B4800" s="61" t="n"/>
      <c r="C4800" s="61" t="n"/>
      <c r="D4800" s="61" t="n"/>
      <c r="E4800" s="61" t="n"/>
      <c r="F4800" s="55" t="n"/>
      <c r="G4800" s="56" t="n"/>
      <c r="H4800" s="55" t="n"/>
      <c r="I4800" s="62" t="n"/>
      <c r="J4800" s="58" t="n"/>
      <c r="K4800" s="63">
        <f>IF(tblMovement[[#This Row],[Source]]="","",IFERROR(INDEX(tblSources[Type],MATCH(tblMovement[[#This Row],[Source]],tblSources[Source],0)),"?"))</f>
        <v/>
      </c>
      <c r="L4800" s="63">
        <f>IF(tblMovement[[#This Row],[Destination]]="","",IFERROR(INDEX(tblDestinations[Type],MATCH(tblMovement[[#This Row],[Destination]],tblDestinations[Destination],0)),"?"))</f>
        <v/>
      </c>
      <c r="M4800" s="64">
        <f>IF(tblMovement[[#This Row],[Material]]="","",IF(LEFT(tblMovement[[#This Row],[Material]],3)="Ore",1,0))</f>
        <v/>
      </c>
      <c r="N4800" s="59">
        <f>IF(OR(tblMovement[[#This Row],[Tonnes_t]]="",tblMovement[[#This Row],[Grade_gpt]]=""),0,tblMovement[[#This Row],[Tonnes_t]]*tblMovement[[#This Row],[Grade_gpt]]/cfg_TroyOz)</f>
        <v/>
      </c>
      <c r="O4800" s="59">
        <f>IF(tblMovement[[#This Row],[Is_Ore]]=1,tblMovement[[#This Row],[Contained_oz]],0)</f>
        <v/>
      </c>
    </row>
    <row r="4801">
      <c r="A4801" s="54" t="n"/>
      <c r="B4801" s="61" t="n"/>
      <c r="C4801" s="61" t="n"/>
      <c r="D4801" s="61" t="n"/>
      <c r="E4801" s="61" t="n"/>
      <c r="F4801" s="55" t="n"/>
      <c r="G4801" s="56" t="n"/>
      <c r="H4801" s="55" t="n"/>
      <c r="I4801" s="62" t="n"/>
      <c r="J4801" s="58" t="n"/>
      <c r="K4801" s="63">
        <f>IF(tblMovement[[#This Row],[Source]]="","",IFERROR(INDEX(tblSources[Type],MATCH(tblMovement[[#This Row],[Source]],tblSources[Source],0)),"?"))</f>
        <v/>
      </c>
      <c r="L4801" s="63">
        <f>IF(tblMovement[[#This Row],[Destination]]="","",IFERROR(INDEX(tblDestinations[Type],MATCH(tblMovement[[#This Row],[Destination]],tblDestinations[Destination],0)),"?"))</f>
        <v/>
      </c>
      <c r="M4801" s="64">
        <f>IF(tblMovement[[#This Row],[Material]]="","",IF(LEFT(tblMovement[[#This Row],[Material]],3)="Ore",1,0))</f>
        <v/>
      </c>
      <c r="N4801" s="59">
        <f>IF(OR(tblMovement[[#This Row],[Tonnes_t]]="",tblMovement[[#This Row],[Grade_gpt]]=""),0,tblMovement[[#This Row],[Tonnes_t]]*tblMovement[[#This Row],[Grade_gpt]]/cfg_TroyOz)</f>
        <v/>
      </c>
      <c r="O4801" s="59">
        <f>IF(tblMovement[[#This Row],[Is_Ore]]=1,tblMovement[[#This Row],[Contained_oz]],0)</f>
        <v/>
      </c>
    </row>
    <row r="4802">
      <c r="A4802" s="54" t="n"/>
      <c r="B4802" s="61" t="n"/>
      <c r="C4802" s="61" t="n"/>
      <c r="D4802" s="61" t="n"/>
      <c r="E4802" s="61" t="n"/>
      <c r="F4802" s="55" t="n"/>
      <c r="G4802" s="56" t="n"/>
      <c r="H4802" s="55" t="n"/>
      <c r="I4802" s="62" t="n"/>
      <c r="J4802" s="58" t="n"/>
      <c r="K4802" s="63">
        <f>IF(tblMovement[[#This Row],[Source]]="","",IFERROR(INDEX(tblSources[Type],MATCH(tblMovement[[#This Row],[Source]],tblSources[Source],0)),"?"))</f>
        <v/>
      </c>
      <c r="L4802" s="63">
        <f>IF(tblMovement[[#This Row],[Destination]]="","",IFERROR(INDEX(tblDestinations[Type],MATCH(tblMovement[[#This Row],[Destination]],tblDestinations[Destination],0)),"?"))</f>
        <v/>
      </c>
      <c r="M4802" s="64">
        <f>IF(tblMovement[[#This Row],[Material]]="","",IF(LEFT(tblMovement[[#This Row],[Material]],3)="Ore",1,0))</f>
        <v/>
      </c>
      <c r="N4802" s="59">
        <f>IF(OR(tblMovement[[#This Row],[Tonnes_t]]="",tblMovement[[#This Row],[Grade_gpt]]=""),0,tblMovement[[#This Row],[Tonnes_t]]*tblMovement[[#This Row],[Grade_gpt]]/cfg_TroyOz)</f>
        <v/>
      </c>
      <c r="O4802" s="59">
        <f>IF(tblMovement[[#This Row],[Is_Ore]]=1,tblMovement[[#This Row],[Contained_oz]],0)</f>
        <v/>
      </c>
    </row>
    <row r="4803">
      <c r="A4803" s="54" t="n"/>
      <c r="B4803" s="61" t="n"/>
      <c r="C4803" s="61" t="n"/>
      <c r="D4803" s="61" t="n"/>
      <c r="E4803" s="61" t="n"/>
      <c r="F4803" s="55" t="n"/>
      <c r="G4803" s="56" t="n"/>
      <c r="H4803" s="55" t="n"/>
      <c r="I4803" s="62" t="n"/>
      <c r="J4803" s="58" t="n"/>
      <c r="K4803" s="63">
        <f>IF(tblMovement[[#This Row],[Source]]="","",IFERROR(INDEX(tblSources[Type],MATCH(tblMovement[[#This Row],[Source]],tblSources[Source],0)),"?"))</f>
        <v/>
      </c>
      <c r="L4803" s="63">
        <f>IF(tblMovement[[#This Row],[Destination]]="","",IFERROR(INDEX(tblDestinations[Type],MATCH(tblMovement[[#This Row],[Destination]],tblDestinations[Destination],0)),"?"))</f>
        <v/>
      </c>
      <c r="M4803" s="64">
        <f>IF(tblMovement[[#This Row],[Material]]="","",IF(LEFT(tblMovement[[#This Row],[Material]],3)="Ore",1,0))</f>
        <v/>
      </c>
      <c r="N4803" s="59">
        <f>IF(OR(tblMovement[[#This Row],[Tonnes_t]]="",tblMovement[[#This Row],[Grade_gpt]]=""),0,tblMovement[[#This Row],[Tonnes_t]]*tblMovement[[#This Row],[Grade_gpt]]/cfg_TroyOz)</f>
        <v/>
      </c>
      <c r="O4803" s="59">
        <f>IF(tblMovement[[#This Row],[Is_Ore]]=1,tblMovement[[#This Row],[Contained_oz]],0)</f>
        <v/>
      </c>
    </row>
    <row r="4804">
      <c r="A4804" s="54" t="n"/>
      <c r="B4804" s="61" t="n"/>
      <c r="C4804" s="61" t="n"/>
      <c r="D4804" s="61" t="n"/>
      <c r="E4804" s="61" t="n"/>
      <c r="F4804" s="55" t="n"/>
      <c r="G4804" s="56" t="n"/>
      <c r="H4804" s="55" t="n"/>
      <c r="I4804" s="62" t="n"/>
      <c r="J4804" s="58" t="n"/>
      <c r="K4804" s="63">
        <f>IF(tblMovement[[#This Row],[Source]]="","",IFERROR(INDEX(tblSources[Type],MATCH(tblMovement[[#This Row],[Source]],tblSources[Source],0)),"?"))</f>
        <v/>
      </c>
      <c r="L4804" s="63">
        <f>IF(tblMovement[[#This Row],[Destination]]="","",IFERROR(INDEX(tblDestinations[Type],MATCH(tblMovement[[#This Row],[Destination]],tblDestinations[Destination],0)),"?"))</f>
        <v/>
      </c>
      <c r="M4804" s="64">
        <f>IF(tblMovement[[#This Row],[Material]]="","",IF(LEFT(tblMovement[[#This Row],[Material]],3)="Ore",1,0))</f>
        <v/>
      </c>
      <c r="N4804" s="59">
        <f>IF(OR(tblMovement[[#This Row],[Tonnes_t]]="",tblMovement[[#This Row],[Grade_gpt]]=""),0,tblMovement[[#This Row],[Tonnes_t]]*tblMovement[[#This Row],[Grade_gpt]]/cfg_TroyOz)</f>
        <v/>
      </c>
      <c r="O4804" s="59">
        <f>IF(tblMovement[[#This Row],[Is_Ore]]=1,tblMovement[[#This Row],[Contained_oz]],0)</f>
        <v/>
      </c>
    </row>
    <row r="4805">
      <c r="A4805" s="54" t="n"/>
      <c r="B4805" s="61" t="n"/>
      <c r="C4805" s="61" t="n"/>
      <c r="D4805" s="61" t="n"/>
      <c r="E4805" s="61" t="n"/>
      <c r="F4805" s="55" t="n"/>
      <c r="G4805" s="56" t="n"/>
      <c r="H4805" s="55" t="n"/>
      <c r="I4805" s="62" t="n"/>
      <c r="J4805" s="58" t="n"/>
      <c r="K4805" s="63">
        <f>IF(tblMovement[[#This Row],[Source]]="","",IFERROR(INDEX(tblSources[Type],MATCH(tblMovement[[#This Row],[Source]],tblSources[Source],0)),"?"))</f>
        <v/>
      </c>
      <c r="L4805" s="63">
        <f>IF(tblMovement[[#This Row],[Destination]]="","",IFERROR(INDEX(tblDestinations[Type],MATCH(tblMovement[[#This Row],[Destination]],tblDestinations[Destination],0)),"?"))</f>
        <v/>
      </c>
      <c r="M4805" s="64">
        <f>IF(tblMovement[[#This Row],[Material]]="","",IF(LEFT(tblMovement[[#This Row],[Material]],3)="Ore",1,0))</f>
        <v/>
      </c>
      <c r="N4805" s="59">
        <f>IF(OR(tblMovement[[#This Row],[Tonnes_t]]="",tblMovement[[#This Row],[Grade_gpt]]=""),0,tblMovement[[#This Row],[Tonnes_t]]*tblMovement[[#This Row],[Grade_gpt]]/cfg_TroyOz)</f>
        <v/>
      </c>
      <c r="O4805" s="59">
        <f>IF(tblMovement[[#This Row],[Is_Ore]]=1,tblMovement[[#This Row],[Contained_oz]],0)</f>
        <v/>
      </c>
    </row>
    <row r="4806">
      <c r="A4806" s="54" t="n"/>
      <c r="B4806" s="61" t="n"/>
      <c r="C4806" s="61" t="n"/>
      <c r="D4806" s="61" t="n"/>
      <c r="E4806" s="61" t="n"/>
      <c r="F4806" s="55" t="n"/>
      <c r="G4806" s="56" t="n"/>
      <c r="H4806" s="55" t="n"/>
      <c r="I4806" s="62" t="n"/>
      <c r="J4806" s="58" t="n"/>
      <c r="K4806" s="63">
        <f>IF(tblMovement[[#This Row],[Source]]="","",IFERROR(INDEX(tblSources[Type],MATCH(tblMovement[[#This Row],[Source]],tblSources[Source],0)),"?"))</f>
        <v/>
      </c>
      <c r="L4806" s="63">
        <f>IF(tblMovement[[#This Row],[Destination]]="","",IFERROR(INDEX(tblDestinations[Type],MATCH(tblMovement[[#This Row],[Destination]],tblDestinations[Destination],0)),"?"))</f>
        <v/>
      </c>
      <c r="M4806" s="64">
        <f>IF(tblMovement[[#This Row],[Material]]="","",IF(LEFT(tblMovement[[#This Row],[Material]],3)="Ore",1,0))</f>
        <v/>
      </c>
      <c r="N4806" s="59">
        <f>IF(OR(tblMovement[[#This Row],[Tonnes_t]]="",tblMovement[[#This Row],[Grade_gpt]]=""),0,tblMovement[[#This Row],[Tonnes_t]]*tblMovement[[#This Row],[Grade_gpt]]/cfg_TroyOz)</f>
        <v/>
      </c>
      <c r="O4806" s="59">
        <f>IF(tblMovement[[#This Row],[Is_Ore]]=1,tblMovement[[#This Row],[Contained_oz]],0)</f>
        <v/>
      </c>
    </row>
    <row r="4807">
      <c r="A4807" s="54" t="n"/>
      <c r="B4807" s="61" t="n"/>
      <c r="C4807" s="61" t="n"/>
      <c r="D4807" s="61" t="n"/>
      <c r="E4807" s="61" t="n"/>
      <c r="F4807" s="55" t="n"/>
      <c r="G4807" s="56" t="n"/>
      <c r="H4807" s="55" t="n"/>
      <c r="I4807" s="62" t="n"/>
      <c r="J4807" s="58" t="n"/>
      <c r="K4807" s="63">
        <f>IF(tblMovement[[#This Row],[Source]]="","",IFERROR(INDEX(tblSources[Type],MATCH(tblMovement[[#This Row],[Source]],tblSources[Source],0)),"?"))</f>
        <v/>
      </c>
      <c r="L4807" s="63">
        <f>IF(tblMovement[[#This Row],[Destination]]="","",IFERROR(INDEX(tblDestinations[Type],MATCH(tblMovement[[#This Row],[Destination]],tblDestinations[Destination],0)),"?"))</f>
        <v/>
      </c>
      <c r="M4807" s="64">
        <f>IF(tblMovement[[#This Row],[Material]]="","",IF(LEFT(tblMovement[[#This Row],[Material]],3)="Ore",1,0))</f>
        <v/>
      </c>
      <c r="N4807" s="59">
        <f>IF(OR(tblMovement[[#This Row],[Tonnes_t]]="",tblMovement[[#This Row],[Grade_gpt]]=""),0,tblMovement[[#This Row],[Tonnes_t]]*tblMovement[[#This Row],[Grade_gpt]]/cfg_TroyOz)</f>
        <v/>
      </c>
      <c r="O4807" s="59">
        <f>IF(tblMovement[[#This Row],[Is_Ore]]=1,tblMovement[[#This Row],[Contained_oz]],0)</f>
        <v/>
      </c>
    </row>
    <row r="4808">
      <c r="A4808" s="54" t="n"/>
      <c r="B4808" s="61" t="n"/>
      <c r="C4808" s="61" t="n"/>
      <c r="D4808" s="61" t="n"/>
      <c r="E4808" s="61" t="n"/>
      <c r="F4808" s="55" t="n"/>
      <c r="G4808" s="56" t="n"/>
      <c r="H4808" s="55" t="n"/>
      <c r="I4808" s="62" t="n"/>
      <c r="J4808" s="58" t="n"/>
      <c r="K4808" s="63">
        <f>IF(tblMovement[[#This Row],[Source]]="","",IFERROR(INDEX(tblSources[Type],MATCH(tblMovement[[#This Row],[Source]],tblSources[Source],0)),"?"))</f>
        <v/>
      </c>
      <c r="L4808" s="63">
        <f>IF(tblMovement[[#This Row],[Destination]]="","",IFERROR(INDEX(tblDestinations[Type],MATCH(tblMovement[[#This Row],[Destination]],tblDestinations[Destination],0)),"?"))</f>
        <v/>
      </c>
      <c r="M4808" s="64">
        <f>IF(tblMovement[[#This Row],[Material]]="","",IF(LEFT(tblMovement[[#This Row],[Material]],3)="Ore",1,0))</f>
        <v/>
      </c>
      <c r="N4808" s="59">
        <f>IF(OR(tblMovement[[#This Row],[Tonnes_t]]="",tblMovement[[#This Row],[Grade_gpt]]=""),0,tblMovement[[#This Row],[Tonnes_t]]*tblMovement[[#This Row],[Grade_gpt]]/cfg_TroyOz)</f>
        <v/>
      </c>
      <c r="O4808" s="59">
        <f>IF(tblMovement[[#This Row],[Is_Ore]]=1,tblMovement[[#This Row],[Contained_oz]],0)</f>
        <v/>
      </c>
    </row>
    <row r="4809">
      <c r="A4809" s="54" t="n"/>
      <c r="B4809" s="61" t="n"/>
      <c r="C4809" s="61" t="n"/>
      <c r="D4809" s="61" t="n"/>
      <c r="E4809" s="61" t="n"/>
      <c r="F4809" s="55" t="n"/>
      <c r="G4809" s="56" t="n"/>
      <c r="H4809" s="55" t="n"/>
      <c r="I4809" s="62" t="n"/>
      <c r="J4809" s="58" t="n"/>
      <c r="K4809" s="63">
        <f>IF(tblMovement[[#This Row],[Source]]="","",IFERROR(INDEX(tblSources[Type],MATCH(tblMovement[[#This Row],[Source]],tblSources[Source],0)),"?"))</f>
        <v/>
      </c>
      <c r="L4809" s="63">
        <f>IF(tblMovement[[#This Row],[Destination]]="","",IFERROR(INDEX(tblDestinations[Type],MATCH(tblMovement[[#This Row],[Destination]],tblDestinations[Destination],0)),"?"))</f>
        <v/>
      </c>
      <c r="M4809" s="64">
        <f>IF(tblMovement[[#This Row],[Material]]="","",IF(LEFT(tblMovement[[#This Row],[Material]],3)="Ore",1,0))</f>
        <v/>
      </c>
      <c r="N4809" s="59">
        <f>IF(OR(tblMovement[[#This Row],[Tonnes_t]]="",tblMovement[[#This Row],[Grade_gpt]]=""),0,tblMovement[[#This Row],[Tonnes_t]]*tblMovement[[#This Row],[Grade_gpt]]/cfg_TroyOz)</f>
        <v/>
      </c>
      <c r="O4809" s="59">
        <f>IF(tblMovement[[#This Row],[Is_Ore]]=1,tblMovement[[#This Row],[Contained_oz]],0)</f>
        <v/>
      </c>
    </row>
    <row r="4810">
      <c r="A4810" s="54" t="n"/>
      <c r="B4810" s="61" t="n"/>
      <c r="C4810" s="61" t="n"/>
      <c r="D4810" s="61" t="n"/>
      <c r="E4810" s="61" t="n"/>
      <c r="F4810" s="55" t="n"/>
      <c r="G4810" s="56" t="n"/>
      <c r="H4810" s="55" t="n"/>
      <c r="I4810" s="62" t="n"/>
      <c r="J4810" s="58" t="n"/>
      <c r="K4810" s="63">
        <f>IF(tblMovement[[#This Row],[Source]]="","",IFERROR(INDEX(tblSources[Type],MATCH(tblMovement[[#This Row],[Source]],tblSources[Source],0)),"?"))</f>
        <v/>
      </c>
      <c r="L4810" s="63">
        <f>IF(tblMovement[[#This Row],[Destination]]="","",IFERROR(INDEX(tblDestinations[Type],MATCH(tblMovement[[#This Row],[Destination]],tblDestinations[Destination],0)),"?"))</f>
        <v/>
      </c>
      <c r="M4810" s="64">
        <f>IF(tblMovement[[#This Row],[Material]]="","",IF(LEFT(tblMovement[[#This Row],[Material]],3)="Ore",1,0))</f>
        <v/>
      </c>
      <c r="N4810" s="59">
        <f>IF(OR(tblMovement[[#This Row],[Tonnes_t]]="",tblMovement[[#This Row],[Grade_gpt]]=""),0,tblMovement[[#This Row],[Tonnes_t]]*tblMovement[[#This Row],[Grade_gpt]]/cfg_TroyOz)</f>
        <v/>
      </c>
      <c r="O4810" s="59">
        <f>IF(tblMovement[[#This Row],[Is_Ore]]=1,tblMovement[[#This Row],[Contained_oz]],0)</f>
        <v/>
      </c>
    </row>
    <row r="4811">
      <c r="A4811" s="54" t="n"/>
      <c r="B4811" s="61" t="n"/>
      <c r="C4811" s="61" t="n"/>
      <c r="D4811" s="61" t="n"/>
      <c r="E4811" s="61" t="n"/>
      <c r="F4811" s="55" t="n"/>
      <c r="G4811" s="56" t="n"/>
      <c r="H4811" s="55" t="n"/>
      <c r="I4811" s="62" t="n"/>
      <c r="J4811" s="58" t="n"/>
      <c r="K4811" s="63">
        <f>IF(tblMovement[[#This Row],[Source]]="","",IFERROR(INDEX(tblSources[Type],MATCH(tblMovement[[#This Row],[Source]],tblSources[Source],0)),"?"))</f>
        <v/>
      </c>
      <c r="L4811" s="63">
        <f>IF(tblMovement[[#This Row],[Destination]]="","",IFERROR(INDEX(tblDestinations[Type],MATCH(tblMovement[[#This Row],[Destination]],tblDestinations[Destination],0)),"?"))</f>
        <v/>
      </c>
      <c r="M4811" s="64">
        <f>IF(tblMovement[[#This Row],[Material]]="","",IF(LEFT(tblMovement[[#This Row],[Material]],3)="Ore",1,0))</f>
        <v/>
      </c>
      <c r="N4811" s="59">
        <f>IF(OR(tblMovement[[#This Row],[Tonnes_t]]="",tblMovement[[#This Row],[Grade_gpt]]=""),0,tblMovement[[#This Row],[Tonnes_t]]*tblMovement[[#This Row],[Grade_gpt]]/cfg_TroyOz)</f>
        <v/>
      </c>
      <c r="O4811" s="59">
        <f>IF(tblMovement[[#This Row],[Is_Ore]]=1,tblMovement[[#This Row],[Contained_oz]],0)</f>
        <v/>
      </c>
    </row>
    <row r="4812">
      <c r="A4812" s="54" t="n"/>
      <c r="B4812" s="61" t="n"/>
      <c r="C4812" s="61" t="n"/>
      <c r="D4812" s="61" t="n"/>
      <c r="E4812" s="61" t="n"/>
      <c r="F4812" s="55" t="n"/>
      <c r="G4812" s="56" t="n"/>
      <c r="H4812" s="55" t="n"/>
      <c r="I4812" s="62" t="n"/>
      <c r="J4812" s="58" t="n"/>
      <c r="K4812" s="63">
        <f>IF(tblMovement[[#This Row],[Source]]="","",IFERROR(INDEX(tblSources[Type],MATCH(tblMovement[[#This Row],[Source]],tblSources[Source],0)),"?"))</f>
        <v/>
      </c>
      <c r="L4812" s="63">
        <f>IF(tblMovement[[#This Row],[Destination]]="","",IFERROR(INDEX(tblDestinations[Type],MATCH(tblMovement[[#This Row],[Destination]],tblDestinations[Destination],0)),"?"))</f>
        <v/>
      </c>
      <c r="M4812" s="64">
        <f>IF(tblMovement[[#This Row],[Material]]="","",IF(LEFT(tblMovement[[#This Row],[Material]],3)="Ore",1,0))</f>
        <v/>
      </c>
      <c r="N4812" s="59">
        <f>IF(OR(tblMovement[[#This Row],[Tonnes_t]]="",tblMovement[[#This Row],[Grade_gpt]]=""),0,tblMovement[[#This Row],[Tonnes_t]]*tblMovement[[#This Row],[Grade_gpt]]/cfg_TroyOz)</f>
        <v/>
      </c>
      <c r="O4812" s="59">
        <f>IF(tblMovement[[#This Row],[Is_Ore]]=1,tblMovement[[#This Row],[Contained_oz]],0)</f>
        <v/>
      </c>
    </row>
    <row r="4813">
      <c r="A4813" s="54" t="n"/>
      <c r="B4813" s="61" t="n"/>
      <c r="C4813" s="61" t="n"/>
      <c r="D4813" s="61" t="n"/>
      <c r="E4813" s="61" t="n"/>
      <c r="F4813" s="55" t="n"/>
      <c r="G4813" s="56" t="n"/>
      <c r="H4813" s="55" t="n"/>
      <c r="I4813" s="62" t="n"/>
      <c r="J4813" s="58" t="n"/>
      <c r="K4813" s="63">
        <f>IF(tblMovement[[#This Row],[Source]]="","",IFERROR(INDEX(tblSources[Type],MATCH(tblMovement[[#This Row],[Source]],tblSources[Source],0)),"?"))</f>
        <v/>
      </c>
      <c r="L4813" s="63">
        <f>IF(tblMovement[[#This Row],[Destination]]="","",IFERROR(INDEX(tblDestinations[Type],MATCH(tblMovement[[#This Row],[Destination]],tblDestinations[Destination],0)),"?"))</f>
        <v/>
      </c>
      <c r="M4813" s="64">
        <f>IF(tblMovement[[#This Row],[Material]]="","",IF(LEFT(tblMovement[[#This Row],[Material]],3)="Ore",1,0))</f>
        <v/>
      </c>
      <c r="N4813" s="59">
        <f>IF(OR(tblMovement[[#This Row],[Tonnes_t]]="",tblMovement[[#This Row],[Grade_gpt]]=""),0,tblMovement[[#This Row],[Tonnes_t]]*tblMovement[[#This Row],[Grade_gpt]]/cfg_TroyOz)</f>
        <v/>
      </c>
      <c r="O4813" s="59">
        <f>IF(tblMovement[[#This Row],[Is_Ore]]=1,tblMovement[[#This Row],[Contained_oz]],0)</f>
        <v/>
      </c>
    </row>
    <row r="4814">
      <c r="A4814" s="54" t="n"/>
      <c r="B4814" s="61" t="n"/>
      <c r="C4814" s="61" t="n"/>
      <c r="D4814" s="61" t="n"/>
      <c r="E4814" s="61" t="n"/>
      <c r="F4814" s="55" t="n"/>
      <c r="G4814" s="56" t="n"/>
      <c r="H4814" s="55" t="n"/>
      <c r="I4814" s="62" t="n"/>
      <c r="J4814" s="58" t="n"/>
      <c r="K4814" s="63">
        <f>IF(tblMovement[[#This Row],[Source]]="","",IFERROR(INDEX(tblSources[Type],MATCH(tblMovement[[#This Row],[Source]],tblSources[Source],0)),"?"))</f>
        <v/>
      </c>
      <c r="L4814" s="63">
        <f>IF(tblMovement[[#This Row],[Destination]]="","",IFERROR(INDEX(tblDestinations[Type],MATCH(tblMovement[[#This Row],[Destination]],tblDestinations[Destination],0)),"?"))</f>
        <v/>
      </c>
      <c r="M4814" s="64">
        <f>IF(tblMovement[[#This Row],[Material]]="","",IF(LEFT(tblMovement[[#This Row],[Material]],3)="Ore",1,0))</f>
        <v/>
      </c>
      <c r="N4814" s="59">
        <f>IF(OR(tblMovement[[#This Row],[Tonnes_t]]="",tblMovement[[#This Row],[Grade_gpt]]=""),0,tblMovement[[#This Row],[Tonnes_t]]*tblMovement[[#This Row],[Grade_gpt]]/cfg_TroyOz)</f>
        <v/>
      </c>
      <c r="O4814" s="59">
        <f>IF(tblMovement[[#This Row],[Is_Ore]]=1,tblMovement[[#This Row],[Contained_oz]],0)</f>
        <v/>
      </c>
    </row>
    <row r="4815">
      <c r="A4815" s="54" t="n"/>
      <c r="B4815" s="61" t="n"/>
      <c r="C4815" s="61" t="n"/>
      <c r="D4815" s="61" t="n"/>
      <c r="E4815" s="61" t="n"/>
      <c r="F4815" s="55" t="n"/>
      <c r="G4815" s="56" t="n"/>
      <c r="H4815" s="55" t="n"/>
      <c r="I4815" s="62" t="n"/>
      <c r="J4815" s="58" t="n"/>
      <c r="K4815" s="63">
        <f>IF(tblMovement[[#This Row],[Source]]="","",IFERROR(INDEX(tblSources[Type],MATCH(tblMovement[[#This Row],[Source]],tblSources[Source],0)),"?"))</f>
        <v/>
      </c>
      <c r="L4815" s="63">
        <f>IF(tblMovement[[#This Row],[Destination]]="","",IFERROR(INDEX(tblDestinations[Type],MATCH(tblMovement[[#This Row],[Destination]],tblDestinations[Destination],0)),"?"))</f>
        <v/>
      </c>
      <c r="M4815" s="64">
        <f>IF(tblMovement[[#This Row],[Material]]="","",IF(LEFT(tblMovement[[#This Row],[Material]],3)="Ore",1,0))</f>
        <v/>
      </c>
      <c r="N4815" s="59">
        <f>IF(OR(tblMovement[[#This Row],[Tonnes_t]]="",tblMovement[[#This Row],[Grade_gpt]]=""),0,tblMovement[[#This Row],[Tonnes_t]]*tblMovement[[#This Row],[Grade_gpt]]/cfg_TroyOz)</f>
        <v/>
      </c>
      <c r="O4815" s="59">
        <f>IF(tblMovement[[#This Row],[Is_Ore]]=1,tblMovement[[#This Row],[Contained_oz]],0)</f>
        <v/>
      </c>
    </row>
    <row r="4816">
      <c r="A4816" s="54" t="n"/>
      <c r="B4816" s="61" t="n"/>
      <c r="C4816" s="61" t="n"/>
      <c r="D4816" s="61" t="n"/>
      <c r="E4816" s="61" t="n"/>
      <c r="F4816" s="55" t="n"/>
      <c r="G4816" s="56" t="n"/>
      <c r="H4816" s="55" t="n"/>
      <c r="I4816" s="62" t="n"/>
      <c r="J4816" s="58" t="n"/>
      <c r="K4816" s="63">
        <f>IF(tblMovement[[#This Row],[Source]]="","",IFERROR(INDEX(tblSources[Type],MATCH(tblMovement[[#This Row],[Source]],tblSources[Source],0)),"?"))</f>
        <v/>
      </c>
      <c r="L4816" s="63">
        <f>IF(tblMovement[[#This Row],[Destination]]="","",IFERROR(INDEX(tblDestinations[Type],MATCH(tblMovement[[#This Row],[Destination]],tblDestinations[Destination],0)),"?"))</f>
        <v/>
      </c>
      <c r="M4816" s="64">
        <f>IF(tblMovement[[#This Row],[Material]]="","",IF(LEFT(tblMovement[[#This Row],[Material]],3)="Ore",1,0))</f>
        <v/>
      </c>
      <c r="N4816" s="59">
        <f>IF(OR(tblMovement[[#This Row],[Tonnes_t]]="",tblMovement[[#This Row],[Grade_gpt]]=""),0,tblMovement[[#This Row],[Tonnes_t]]*tblMovement[[#This Row],[Grade_gpt]]/cfg_TroyOz)</f>
        <v/>
      </c>
      <c r="O4816" s="59">
        <f>IF(tblMovement[[#This Row],[Is_Ore]]=1,tblMovement[[#This Row],[Contained_oz]],0)</f>
        <v/>
      </c>
    </row>
    <row r="4817">
      <c r="A4817" s="54" t="n"/>
      <c r="B4817" s="61" t="n"/>
      <c r="C4817" s="61" t="n"/>
      <c r="D4817" s="61" t="n"/>
      <c r="E4817" s="61" t="n"/>
      <c r="F4817" s="55" t="n"/>
      <c r="G4817" s="56" t="n"/>
      <c r="H4817" s="55" t="n"/>
      <c r="I4817" s="62" t="n"/>
      <c r="J4817" s="58" t="n"/>
      <c r="K4817" s="63">
        <f>IF(tblMovement[[#This Row],[Source]]="","",IFERROR(INDEX(tblSources[Type],MATCH(tblMovement[[#This Row],[Source]],tblSources[Source],0)),"?"))</f>
        <v/>
      </c>
      <c r="L4817" s="63">
        <f>IF(tblMovement[[#This Row],[Destination]]="","",IFERROR(INDEX(tblDestinations[Type],MATCH(tblMovement[[#This Row],[Destination]],tblDestinations[Destination],0)),"?"))</f>
        <v/>
      </c>
      <c r="M4817" s="64">
        <f>IF(tblMovement[[#This Row],[Material]]="","",IF(LEFT(tblMovement[[#This Row],[Material]],3)="Ore",1,0))</f>
        <v/>
      </c>
      <c r="N4817" s="59">
        <f>IF(OR(tblMovement[[#This Row],[Tonnes_t]]="",tblMovement[[#This Row],[Grade_gpt]]=""),0,tblMovement[[#This Row],[Tonnes_t]]*tblMovement[[#This Row],[Grade_gpt]]/cfg_TroyOz)</f>
        <v/>
      </c>
      <c r="O4817" s="59">
        <f>IF(tblMovement[[#This Row],[Is_Ore]]=1,tblMovement[[#This Row],[Contained_oz]],0)</f>
        <v/>
      </c>
    </row>
    <row r="4818">
      <c r="A4818" s="54" t="n"/>
      <c r="B4818" s="61" t="n"/>
      <c r="C4818" s="61" t="n"/>
      <c r="D4818" s="61" t="n"/>
      <c r="E4818" s="61" t="n"/>
      <c r="F4818" s="55" t="n"/>
      <c r="G4818" s="56" t="n"/>
      <c r="H4818" s="55" t="n"/>
      <c r="I4818" s="62" t="n"/>
      <c r="J4818" s="58" t="n"/>
      <c r="K4818" s="63">
        <f>IF(tblMovement[[#This Row],[Source]]="","",IFERROR(INDEX(tblSources[Type],MATCH(tblMovement[[#This Row],[Source]],tblSources[Source],0)),"?"))</f>
        <v/>
      </c>
      <c r="L4818" s="63">
        <f>IF(tblMovement[[#This Row],[Destination]]="","",IFERROR(INDEX(tblDestinations[Type],MATCH(tblMovement[[#This Row],[Destination]],tblDestinations[Destination],0)),"?"))</f>
        <v/>
      </c>
      <c r="M4818" s="64">
        <f>IF(tblMovement[[#This Row],[Material]]="","",IF(LEFT(tblMovement[[#This Row],[Material]],3)="Ore",1,0))</f>
        <v/>
      </c>
      <c r="N4818" s="59">
        <f>IF(OR(tblMovement[[#This Row],[Tonnes_t]]="",tblMovement[[#This Row],[Grade_gpt]]=""),0,tblMovement[[#This Row],[Tonnes_t]]*tblMovement[[#This Row],[Grade_gpt]]/cfg_TroyOz)</f>
        <v/>
      </c>
      <c r="O4818" s="59">
        <f>IF(tblMovement[[#This Row],[Is_Ore]]=1,tblMovement[[#This Row],[Contained_oz]],0)</f>
        <v/>
      </c>
    </row>
    <row r="4819">
      <c r="A4819" s="54" t="n"/>
      <c r="B4819" s="61" t="n"/>
      <c r="C4819" s="61" t="n"/>
      <c r="D4819" s="61" t="n"/>
      <c r="E4819" s="61" t="n"/>
      <c r="F4819" s="55" t="n"/>
      <c r="G4819" s="56" t="n"/>
      <c r="H4819" s="55" t="n"/>
      <c r="I4819" s="62" t="n"/>
      <c r="J4819" s="58" t="n"/>
      <c r="K4819" s="63">
        <f>IF(tblMovement[[#This Row],[Source]]="","",IFERROR(INDEX(tblSources[Type],MATCH(tblMovement[[#This Row],[Source]],tblSources[Source],0)),"?"))</f>
        <v/>
      </c>
      <c r="L4819" s="63">
        <f>IF(tblMovement[[#This Row],[Destination]]="","",IFERROR(INDEX(tblDestinations[Type],MATCH(tblMovement[[#This Row],[Destination]],tblDestinations[Destination],0)),"?"))</f>
        <v/>
      </c>
      <c r="M4819" s="64">
        <f>IF(tblMovement[[#This Row],[Material]]="","",IF(LEFT(tblMovement[[#This Row],[Material]],3)="Ore",1,0))</f>
        <v/>
      </c>
      <c r="N4819" s="59">
        <f>IF(OR(tblMovement[[#This Row],[Tonnes_t]]="",tblMovement[[#This Row],[Grade_gpt]]=""),0,tblMovement[[#This Row],[Tonnes_t]]*tblMovement[[#This Row],[Grade_gpt]]/cfg_TroyOz)</f>
        <v/>
      </c>
      <c r="O4819" s="59">
        <f>IF(tblMovement[[#This Row],[Is_Ore]]=1,tblMovement[[#This Row],[Contained_oz]],0)</f>
        <v/>
      </c>
    </row>
    <row r="4820">
      <c r="A4820" s="54" t="n"/>
      <c r="B4820" s="61" t="n"/>
      <c r="C4820" s="61" t="n"/>
      <c r="D4820" s="61" t="n"/>
      <c r="E4820" s="61" t="n"/>
      <c r="F4820" s="55" t="n"/>
      <c r="G4820" s="56" t="n"/>
      <c r="H4820" s="55" t="n"/>
      <c r="I4820" s="62" t="n"/>
      <c r="J4820" s="58" t="n"/>
      <c r="K4820" s="63">
        <f>IF(tblMovement[[#This Row],[Source]]="","",IFERROR(INDEX(tblSources[Type],MATCH(tblMovement[[#This Row],[Source]],tblSources[Source],0)),"?"))</f>
        <v/>
      </c>
      <c r="L4820" s="63">
        <f>IF(tblMovement[[#This Row],[Destination]]="","",IFERROR(INDEX(tblDestinations[Type],MATCH(tblMovement[[#This Row],[Destination]],tblDestinations[Destination],0)),"?"))</f>
        <v/>
      </c>
      <c r="M4820" s="64">
        <f>IF(tblMovement[[#This Row],[Material]]="","",IF(LEFT(tblMovement[[#This Row],[Material]],3)="Ore",1,0))</f>
        <v/>
      </c>
      <c r="N4820" s="59">
        <f>IF(OR(tblMovement[[#This Row],[Tonnes_t]]="",tblMovement[[#This Row],[Grade_gpt]]=""),0,tblMovement[[#This Row],[Tonnes_t]]*tblMovement[[#This Row],[Grade_gpt]]/cfg_TroyOz)</f>
        <v/>
      </c>
      <c r="O4820" s="59">
        <f>IF(tblMovement[[#This Row],[Is_Ore]]=1,tblMovement[[#This Row],[Contained_oz]],0)</f>
        <v/>
      </c>
    </row>
    <row r="4821">
      <c r="A4821" s="54" t="n"/>
      <c r="B4821" s="61" t="n"/>
      <c r="C4821" s="61" t="n"/>
      <c r="D4821" s="61" t="n"/>
      <c r="E4821" s="61" t="n"/>
      <c r="F4821" s="55" t="n"/>
      <c r="G4821" s="56" t="n"/>
      <c r="H4821" s="55" t="n"/>
      <c r="I4821" s="62" t="n"/>
      <c r="J4821" s="58" t="n"/>
      <c r="K4821" s="63">
        <f>IF(tblMovement[[#This Row],[Source]]="","",IFERROR(INDEX(tblSources[Type],MATCH(tblMovement[[#This Row],[Source]],tblSources[Source],0)),"?"))</f>
        <v/>
      </c>
      <c r="L4821" s="63">
        <f>IF(tblMovement[[#This Row],[Destination]]="","",IFERROR(INDEX(tblDestinations[Type],MATCH(tblMovement[[#This Row],[Destination]],tblDestinations[Destination],0)),"?"))</f>
        <v/>
      </c>
      <c r="M4821" s="64">
        <f>IF(tblMovement[[#This Row],[Material]]="","",IF(LEFT(tblMovement[[#This Row],[Material]],3)="Ore",1,0))</f>
        <v/>
      </c>
      <c r="N4821" s="59">
        <f>IF(OR(tblMovement[[#This Row],[Tonnes_t]]="",tblMovement[[#This Row],[Grade_gpt]]=""),0,tblMovement[[#This Row],[Tonnes_t]]*tblMovement[[#This Row],[Grade_gpt]]/cfg_TroyOz)</f>
        <v/>
      </c>
      <c r="O4821" s="59">
        <f>IF(tblMovement[[#This Row],[Is_Ore]]=1,tblMovement[[#This Row],[Contained_oz]],0)</f>
        <v/>
      </c>
    </row>
    <row r="4822">
      <c r="A4822" s="54" t="n"/>
      <c r="B4822" s="61" t="n"/>
      <c r="C4822" s="61" t="n"/>
      <c r="D4822" s="61" t="n"/>
      <c r="E4822" s="61" t="n"/>
      <c r="F4822" s="55" t="n"/>
      <c r="G4822" s="56" t="n"/>
      <c r="H4822" s="55" t="n"/>
      <c r="I4822" s="62" t="n"/>
      <c r="J4822" s="58" t="n"/>
      <c r="K4822" s="63">
        <f>IF(tblMovement[[#This Row],[Source]]="","",IFERROR(INDEX(tblSources[Type],MATCH(tblMovement[[#This Row],[Source]],tblSources[Source],0)),"?"))</f>
        <v/>
      </c>
      <c r="L4822" s="63">
        <f>IF(tblMovement[[#This Row],[Destination]]="","",IFERROR(INDEX(tblDestinations[Type],MATCH(tblMovement[[#This Row],[Destination]],tblDestinations[Destination],0)),"?"))</f>
        <v/>
      </c>
      <c r="M4822" s="64">
        <f>IF(tblMovement[[#This Row],[Material]]="","",IF(LEFT(tblMovement[[#This Row],[Material]],3)="Ore",1,0))</f>
        <v/>
      </c>
      <c r="N4822" s="59">
        <f>IF(OR(tblMovement[[#This Row],[Tonnes_t]]="",tblMovement[[#This Row],[Grade_gpt]]=""),0,tblMovement[[#This Row],[Tonnes_t]]*tblMovement[[#This Row],[Grade_gpt]]/cfg_TroyOz)</f>
        <v/>
      </c>
      <c r="O4822" s="59">
        <f>IF(tblMovement[[#This Row],[Is_Ore]]=1,tblMovement[[#This Row],[Contained_oz]],0)</f>
        <v/>
      </c>
    </row>
    <row r="4823">
      <c r="A4823" s="54" t="n"/>
      <c r="B4823" s="61" t="n"/>
      <c r="C4823" s="61" t="n"/>
      <c r="D4823" s="61" t="n"/>
      <c r="E4823" s="61" t="n"/>
      <c r="F4823" s="55" t="n"/>
      <c r="G4823" s="56" t="n"/>
      <c r="H4823" s="55" t="n"/>
      <c r="I4823" s="62" t="n"/>
      <c r="J4823" s="58" t="n"/>
      <c r="K4823" s="63">
        <f>IF(tblMovement[[#This Row],[Source]]="","",IFERROR(INDEX(tblSources[Type],MATCH(tblMovement[[#This Row],[Source]],tblSources[Source],0)),"?"))</f>
        <v/>
      </c>
      <c r="L4823" s="63">
        <f>IF(tblMovement[[#This Row],[Destination]]="","",IFERROR(INDEX(tblDestinations[Type],MATCH(tblMovement[[#This Row],[Destination]],tblDestinations[Destination],0)),"?"))</f>
        <v/>
      </c>
      <c r="M4823" s="64">
        <f>IF(tblMovement[[#This Row],[Material]]="","",IF(LEFT(tblMovement[[#This Row],[Material]],3)="Ore",1,0))</f>
        <v/>
      </c>
      <c r="N4823" s="59">
        <f>IF(OR(tblMovement[[#This Row],[Tonnes_t]]="",tblMovement[[#This Row],[Grade_gpt]]=""),0,tblMovement[[#This Row],[Tonnes_t]]*tblMovement[[#This Row],[Grade_gpt]]/cfg_TroyOz)</f>
        <v/>
      </c>
      <c r="O4823" s="59">
        <f>IF(tblMovement[[#This Row],[Is_Ore]]=1,tblMovement[[#This Row],[Contained_oz]],0)</f>
        <v/>
      </c>
    </row>
    <row r="4824">
      <c r="A4824" s="54" t="n"/>
      <c r="B4824" s="61" t="n"/>
      <c r="C4824" s="61" t="n"/>
      <c r="D4824" s="61" t="n"/>
      <c r="E4824" s="61" t="n"/>
      <c r="F4824" s="55" t="n"/>
      <c r="G4824" s="56" t="n"/>
      <c r="H4824" s="55" t="n"/>
      <c r="I4824" s="62" t="n"/>
      <c r="J4824" s="58" t="n"/>
      <c r="K4824" s="63">
        <f>IF(tblMovement[[#This Row],[Source]]="","",IFERROR(INDEX(tblSources[Type],MATCH(tblMovement[[#This Row],[Source]],tblSources[Source],0)),"?"))</f>
        <v/>
      </c>
      <c r="L4824" s="63">
        <f>IF(tblMovement[[#This Row],[Destination]]="","",IFERROR(INDEX(tblDestinations[Type],MATCH(tblMovement[[#This Row],[Destination]],tblDestinations[Destination],0)),"?"))</f>
        <v/>
      </c>
      <c r="M4824" s="64">
        <f>IF(tblMovement[[#This Row],[Material]]="","",IF(LEFT(tblMovement[[#This Row],[Material]],3)="Ore",1,0))</f>
        <v/>
      </c>
      <c r="N4824" s="59">
        <f>IF(OR(tblMovement[[#This Row],[Tonnes_t]]="",tblMovement[[#This Row],[Grade_gpt]]=""),0,tblMovement[[#This Row],[Tonnes_t]]*tblMovement[[#This Row],[Grade_gpt]]/cfg_TroyOz)</f>
        <v/>
      </c>
      <c r="O4824" s="59">
        <f>IF(tblMovement[[#This Row],[Is_Ore]]=1,tblMovement[[#This Row],[Contained_oz]],0)</f>
        <v/>
      </c>
    </row>
    <row r="4825">
      <c r="A4825" s="54" t="n"/>
      <c r="B4825" s="61" t="n"/>
      <c r="C4825" s="61" t="n"/>
      <c r="D4825" s="61" t="n"/>
      <c r="E4825" s="61" t="n"/>
      <c r="F4825" s="55" t="n"/>
      <c r="G4825" s="56" t="n"/>
      <c r="H4825" s="55" t="n"/>
      <c r="I4825" s="62" t="n"/>
      <c r="J4825" s="58" t="n"/>
      <c r="K4825" s="63">
        <f>IF(tblMovement[[#This Row],[Source]]="","",IFERROR(INDEX(tblSources[Type],MATCH(tblMovement[[#This Row],[Source]],tblSources[Source],0)),"?"))</f>
        <v/>
      </c>
      <c r="L4825" s="63">
        <f>IF(tblMovement[[#This Row],[Destination]]="","",IFERROR(INDEX(tblDestinations[Type],MATCH(tblMovement[[#This Row],[Destination]],tblDestinations[Destination],0)),"?"))</f>
        <v/>
      </c>
      <c r="M4825" s="64">
        <f>IF(tblMovement[[#This Row],[Material]]="","",IF(LEFT(tblMovement[[#This Row],[Material]],3)="Ore",1,0))</f>
        <v/>
      </c>
      <c r="N4825" s="59">
        <f>IF(OR(tblMovement[[#This Row],[Tonnes_t]]="",tblMovement[[#This Row],[Grade_gpt]]=""),0,tblMovement[[#This Row],[Tonnes_t]]*tblMovement[[#This Row],[Grade_gpt]]/cfg_TroyOz)</f>
        <v/>
      </c>
      <c r="O4825" s="59">
        <f>IF(tblMovement[[#This Row],[Is_Ore]]=1,tblMovement[[#This Row],[Contained_oz]],0)</f>
        <v/>
      </c>
    </row>
    <row r="4826">
      <c r="A4826" s="54" t="n"/>
      <c r="B4826" s="61" t="n"/>
      <c r="C4826" s="61" t="n"/>
      <c r="D4826" s="61" t="n"/>
      <c r="E4826" s="61" t="n"/>
      <c r="F4826" s="55" t="n"/>
      <c r="G4826" s="56" t="n"/>
      <c r="H4826" s="55" t="n"/>
      <c r="I4826" s="62" t="n"/>
      <c r="J4826" s="58" t="n"/>
      <c r="K4826" s="63">
        <f>IF(tblMovement[[#This Row],[Source]]="","",IFERROR(INDEX(tblSources[Type],MATCH(tblMovement[[#This Row],[Source]],tblSources[Source],0)),"?"))</f>
        <v/>
      </c>
      <c r="L4826" s="63">
        <f>IF(tblMovement[[#This Row],[Destination]]="","",IFERROR(INDEX(tblDestinations[Type],MATCH(tblMovement[[#This Row],[Destination]],tblDestinations[Destination],0)),"?"))</f>
        <v/>
      </c>
      <c r="M4826" s="64">
        <f>IF(tblMovement[[#This Row],[Material]]="","",IF(LEFT(tblMovement[[#This Row],[Material]],3)="Ore",1,0))</f>
        <v/>
      </c>
      <c r="N4826" s="59">
        <f>IF(OR(tblMovement[[#This Row],[Tonnes_t]]="",tblMovement[[#This Row],[Grade_gpt]]=""),0,tblMovement[[#This Row],[Tonnes_t]]*tblMovement[[#This Row],[Grade_gpt]]/cfg_TroyOz)</f>
        <v/>
      </c>
      <c r="O4826" s="59">
        <f>IF(tblMovement[[#This Row],[Is_Ore]]=1,tblMovement[[#This Row],[Contained_oz]],0)</f>
        <v/>
      </c>
    </row>
    <row r="4827">
      <c r="A4827" s="54" t="n"/>
      <c r="B4827" s="61" t="n"/>
      <c r="C4827" s="61" t="n"/>
      <c r="D4827" s="61" t="n"/>
      <c r="E4827" s="61" t="n"/>
      <c r="F4827" s="55" t="n"/>
      <c r="G4827" s="56" t="n"/>
      <c r="H4827" s="55" t="n"/>
      <c r="I4827" s="62" t="n"/>
      <c r="J4827" s="58" t="n"/>
      <c r="K4827" s="63">
        <f>IF(tblMovement[[#This Row],[Source]]="","",IFERROR(INDEX(tblSources[Type],MATCH(tblMovement[[#This Row],[Source]],tblSources[Source],0)),"?"))</f>
        <v/>
      </c>
      <c r="L4827" s="63">
        <f>IF(tblMovement[[#This Row],[Destination]]="","",IFERROR(INDEX(tblDestinations[Type],MATCH(tblMovement[[#This Row],[Destination]],tblDestinations[Destination],0)),"?"))</f>
        <v/>
      </c>
      <c r="M4827" s="64">
        <f>IF(tblMovement[[#This Row],[Material]]="","",IF(LEFT(tblMovement[[#This Row],[Material]],3)="Ore",1,0))</f>
        <v/>
      </c>
      <c r="N4827" s="59">
        <f>IF(OR(tblMovement[[#This Row],[Tonnes_t]]="",tblMovement[[#This Row],[Grade_gpt]]=""),0,tblMovement[[#This Row],[Tonnes_t]]*tblMovement[[#This Row],[Grade_gpt]]/cfg_TroyOz)</f>
        <v/>
      </c>
      <c r="O4827" s="59">
        <f>IF(tblMovement[[#This Row],[Is_Ore]]=1,tblMovement[[#This Row],[Contained_oz]],0)</f>
        <v/>
      </c>
    </row>
    <row r="4828">
      <c r="A4828" s="54" t="n"/>
      <c r="B4828" s="61" t="n"/>
      <c r="C4828" s="61" t="n"/>
      <c r="D4828" s="61" t="n"/>
      <c r="E4828" s="61" t="n"/>
      <c r="F4828" s="55" t="n"/>
      <c r="G4828" s="56" t="n"/>
      <c r="H4828" s="55" t="n"/>
      <c r="I4828" s="62" t="n"/>
      <c r="J4828" s="58" t="n"/>
      <c r="K4828" s="63">
        <f>IF(tblMovement[[#This Row],[Source]]="","",IFERROR(INDEX(tblSources[Type],MATCH(tblMovement[[#This Row],[Source]],tblSources[Source],0)),"?"))</f>
        <v/>
      </c>
      <c r="L4828" s="63">
        <f>IF(tblMovement[[#This Row],[Destination]]="","",IFERROR(INDEX(tblDestinations[Type],MATCH(tblMovement[[#This Row],[Destination]],tblDestinations[Destination],0)),"?"))</f>
        <v/>
      </c>
      <c r="M4828" s="64">
        <f>IF(tblMovement[[#This Row],[Material]]="","",IF(LEFT(tblMovement[[#This Row],[Material]],3)="Ore",1,0))</f>
        <v/>
      </c>
      <c r="N4828" s="59">
        <f>IF(OR(tblMovement[[#This Row],[Tonnes_t]]="",tblMovement[[#This Row],[Grade_gpt]]=""),0,tblMovement[[#This Row],[Tonnes_t]]*tblMovement[[#This Row],[Grade_gpt]]/cfg_TroyOz)</f>
        <v/>
      </c>
      <c r="O4828" s="59">
        <f>IF(tblMovement[[#This Row],[Is_Ore]]=1,tblMovement[[#This Row],[Contained_oz]],0)</f>
        <v/>
      </c>
    </row>
    <row r="4829">
      <c r="A4829" s="54" t="n"/>
      <c r="B4829" s="61" t="n"/>
      <c r="C4829" s="61" t="n"/>
      <c r="D4829" s="61" t="n"/>
      <c r="E4829" s="61" t="n"/>
      <c r="F4829" s="55" t="n"/>
      <c r="G4829" s="56" t="n"/>
      <c r="H4829" s="55" t="n"/>
      <c r="I4829" s="62" t="n"/>
      <c r="J4829" s="58" t="n"/>
      <c r="K4829" s="63">
        <f>IF(tblMovement[[#This Row],[Source]]="","",IFERROR(INDEX(tblSources[Type],MATCH(tblMovement[[#This Row],[Source]],tblSources[Source],0)),"?"))</f>
        <v/>
      </c>
      <c r="L4829" s="63">
        <f>IF(tblMovement[[#This Row],[Destination]]="","",IFERROR(INDEX(tblDestinations[Type],MATCH(tblMovement[[#This Row],[Destination]],tblDestinations[Destination],0)),"?"))</f>
        <v/>
      </c>
      <c r="M4829" s="64">
        <f>IF(tblMovement[[#This Row],[Material]]="","",IF(LEFT(tblMovement[[#This Row],[Material]],3)="Ore",1,0))</f>
        <v/>
      </c>
      <c r="N4829" s="59">
        <f>IF(OR(tblMovement[[#This Row],[Tonnes_t]]="",tblMovement[[#This Row],[Grade_gpt]]=""),0,tblMovement[[#This Row],[Tonnes_t]]*tblMovement[[#This Row],[Grade_gpt]]/cfg_TroyOz)</f>
        <v/>
      </c>
      <c r="O4829" s="59">
        <f>IF(tblMovement[[#This Row],[Is_Ore]]=1,tblMovement[[#This Row],[Contained_oz]],0)</f>
        <v/>
      </c>
    </row>
    <row r="4830">
      <c r="A4830" s="54" t="n"/>
      <c r="B4830" s="61" t="n"/>
      <c r="C4830" s="61" t="n"/>
      <c r="D4830" s="61" t="n"/>
      <c r="E4830" s="61" t="n"/>
      <c r="F4830" s="55" t="n"/>
      <c r="G4830" s="56" t="n"/>
      <c r="H4830" s="55" t="n"/>
      <c r="I4830" s="62" t="n"/>
      <c r="J4830" s="58" t="n"/>
      <c r="K4830" s="63">
        <f>IF(tblMovement[[#This Row],[Source]]="","",IFERROR(INDEX(tblSources[Type],MATCH(tblMovement[[#This Row],[Source]],tblSources[Source],0)),"?"))</f>
        <v/>
      </c>
      <c r="L4830" s="63">
        <f>IF(tblMovement[[#This Row],[Destination]]="","",IFERROR(INDEX(tblDestinations[Type],MATCH(tblMovement[[#This Row],[Destination]],tblDestinations[Destination],0)),"?"))</f>
        <v/>
      </c>
      <c r="M4830" s="64">
        <f>IF(tblMovement[[#This Row],[Material]]="","",IF(LEFT(tblMovement[[#This Row],[Material]],3)="Ore",1,0))</f>
        <v/>
      </c>
      <c r="N4830" s="59">
        <f>IF(OR(tblMovement[[#This Row],[Tonnes_t]]="",tblMovement[[#This Row],[Grade_gpt]]=""),0,tblMovement[[#This Row],[Tonnes_t]]*tblMovement[[#This Row],[Grade_gpt]]/cfg_TroyOz)</f>
        <v/>
      </c>
      <c r="O4830" s="59">
        <f>IF(tblMovement[[#This Row],[Is_Ore]]=1,tblMovement[[#This Row],[Contained_oz]],0)</f>
        <v/>
      </c>
    </row>
    <row r="4831">
      <c r="A4831" s="54" t="n"/>
      <c r="B4831" s="61" t="n"/>
      <c r="C4831" s="61" t="n"/>
      <c r="D4831" s="61" t="n"/>
      <c r="E4831" s="61" t="n"/>
      <c r="F4831" s="55" t="n"/>
      <c r="G4831" s="56" t="n"/>
      <c r="H4831" s="55" t="n"/>
      <c r="I4831" s="62" t="n"/>
      <c r="J4831" s="58" t="n"/>
      <c r="K4831" s="63">
        <f>IF(tblMovement[[#This Row],[Source]]="","",IFERROR(INDEX(tblSources[Type],MATCH(tblMovement[[#This Row],[Source]],tblSources[Source],0)),"?"))</f>
        <v/>
      </c>
      <c r="L4831" s="63">
        <f>IF(tblMovement[[#This Row],[Destination]]="","",IFERROR(INDEX(tblDestinations[Type],MATCH(tblMovement[[#This Row],[Destination]],tblDestinations[Destination],0)),"?"))</f>
        <v/>
      </c>
      <c r="M4831" s="64">
        <f>IF(tblMovement[[#This Row],[Material]]="","",IF(LEFT(tblMovement[[#This Row],[Material]],3)="Ore",1,0))</f>
        <v/>
      </c>
      <c r="N4831" s="59">
        <f>IF(OR(tblMovement[[#This Row],[Tonnes_t]]="",tblMovement[[#This Row],[Grade_gpt]]=""),0,tblMovement[[#This Row],[Tonnes_t]]*tblMovement[[#This Row],[Grade_gpt]]/cfg_TroyOz)</f>
        <v/>
      </c>
      <c r="O4831" s="59">
        <f>IF(tblMovement[[#This Row],[Is_Ore]]=1,tblMovement[[#This Row],[Contained_oz]],0)</f>
        <v/>
      </c>
    </row>
    <row r="4832">
      <c r="A4832" s="54" t="n"/>
      <c r="B4832" s="61" t="n"/>
      <c r="C4832" s="61" t="n"/>
      <c r="D4832" s="61" t="n"/>
      <c r="E4832" s="61" t="n"/>
      <c r="F4832" s="55" t="n"/>
      <c r="G4832" s="56" t="n"/>
      <c r="H4832" s="55" t="n"/>
      <c r="I4832" s="62" t="n"/>
      <c r="J4832" s="58" t="n"/>
      <c r="K4832" s="63">
        <f>IF(tblMovement[[#This Row],[Source]]="","",IFERROR(INDEX(tblSources[Type],MATCH(tblMovement[[#This Row],[Source]],tblSources[Source],0)),"?"))</f>
        <v/>
      </c>
      <c r="L4832" s="63">
        <f>IF(tblMovement[[#This Row],[Destination]]="","",IFERROR(INDEX(tblDestinations[Type],MATCH(tblMovement[[#This Row],[Destination]],tblDestinations[Destination],0)),"?"))</f>
        <v/>
      </c>
      <c r="M4832" s="64">
        <f>IF(tblMovement[[#This Row],[Material]]="","",IF(LEFT(tblMovement[[#This Row],[Material]],3)="Ore",1,0))</f>
        <v/>
      </c>
      <c r="N4832" s="59">
        <f>IF(OR(tblMovement[[#This Row],[Tonnes_t]]="",tblMovement[[#This Row],[Grade_gpt]]=""),0,tblMovement[[#This Row],[Tonnes_t]]*tblMovement[[#This Row],[Grade_gpt]]/cfg_TroyOz)</f>
        <v/>
      </c>
      <c r="O4832" s="59">
        <f>IF(tblMovement[[#This Row],[Is_Ore]]=1,tblMovement[[#This Row],[Contained_oz]],0)</f>
        <v/>
      </c>
    </row>
    <row r="4833">
      <c r="A4833" s="54" t="n"/>
      <c r="B4833" s="61" t="n"/>
      <c r="C4833" s="61" t="n"/>
      <c r="D4833" s="61" t="n"/>
      <c r="E4833" s="61" t="n"/>
      <c r="F4833" s="55" t="n"/>
      <c r="G4833" s="56" t="n"/>
      <c r="H4833" s="55" t="n"/>
      <c r="I4833" s="62" t="n"/>
      <c r="J4833" s="58" t="n"/>
      <c r="K4833" s="63">
        <f>IF(tblMovement[[#This Row],[Source]]="","",IFERROR(INDEX(tblSources[Type],MATCH(tblMovement[[#This Row],[Source]],tblSources[Source],0)),"?"))</f>
        <v/>
      </c>
      <c r="L4833" s="63">
        <f>IF(tblMovement[[#This Row],[Destination]]="","",IFERROR(INDEX(tblDestinations[Type],MATCH(tblMovement[[#This Row],[Destination]],tblDestinations[Destination],0)),"?"))</f>
        <v/>
      </c>
      <c r="M4833" s="64">
        <f>IF(tblMovement[[#This Row],[Material]]="","",IF(LEFT(tblMovement[[#This Row],[Material]],3)="Ore",1,0))</f>
        <v/>
      </c>
      <c r="N4833" s="59">
        <f>IF(OR(tblMovement[[#This Row],[Tonnes_t]]="",tblMovement[[#This Row],[Grade_gpt]]=""),0,tblMovement[[#This Row],[Tonnes_t]]*tblMovement[[#This Row],[Grade_gpt]]/cfg_TroyOz)</f>
        <v/>
      </c>
      <c r="O4833" s="59">
        <f>IF(tblMovement[[#This Row],[Is_Ore]]=1,tblMovement[[#This Row],[Contained_oz]],0)</f>
        <v/>
      </c>
    </row>
    <row r="4834">
      <c r="A4834" s="54" t="n"/>
      <c r="B4834" s="61" t="n"/>
      <c r="C4834" s="61" t="n"/>
      <c r="D4834" s="61" t="n"/>
      <c r="E4834" s="61" t="n"/>
      <c r="F4834" s="55" t="n"/>
      <c r="G4834" s="56" t="n"/>
      <c r="H4834" s="55" t="n"/>
      <c r="I4834" s="62" t="n"/>
      <c r="J4834" s="58" t="n"/>
      <c r="K4834" s="63">
        <f>IF(tblMovement[[#This Row],[Source]]="","",IFERROR(INDEX(tblSources[Type],MATCH(tblMovement[[#This Row],[Source]],tblSources[Source],0)),"?"))</f>
        <v/>
      </c>
      <c r="L4834" s="63">
        <f>IF(tblMovement[[#This Row],[Destination]]="","",IFERROR(INDEX(tblDestinations[Type],MATCH(tblMovement[[#This Row],[Destination]],tblDestinations[Destination],0)),"?"))</f>
        <v/>
      </c>
      <c r="M4834" s="64">
        <f>IF(tblMovement[[#This Row],[Material]]="","",IF(LEFT(tblMovement[[#This Row],[Material]],3)="Ore",1,0))</f>
        <v/>
      </c>
      <c r="N4834" s="59">
        <f>IF(OR(tblMovement[[#This Row],[Tonnes_t]]="",tblMovement[[#This Row],[Grade_gpt]]=""),0,tblMovement[[#This Row],[Tonnes_t]]*tblMovement[[#This Row],[Grade_gpt]]/cfg_TroyOz)</f>
        <v/>
      </c>
      <c r="O4834" s="59">
        <f>IF(tblMovement[[#This Row],[Is_Ore]]=1,tblMovement[[#This Row],[Contained_oz]],0)</f>
        <v/>
      </c>
    </row>
    <row r="4835">
      <c r="A4835" s="54" t="n"/>
      <c r="B4835" s="61" t="n"/>
      <c r="C4835" s="61" t="n"/>
      <c r="D4835" s="61" t="n"/>
      <c r="E4835" s="61" t="n"/>
      <c r="F4835" s="55" t="n"/>
      <c r="G4835" s="56" t="n"/>
      <c r="H4835" s="55" t="n"/>
      <c r="I4835" s="62" t="n"/>
      <c r="J4835" s="58" t="n"/>
      <c r="K4835" s="63">
        <f>IF(tblMovement[[#This Row],[Source]]="","",IFERROR(INDEX(tblSources[Type],MATCH(tblMovement[[#This Row],[Source]],tblSources[Source],0)),"?"))</f>
        <v/>
      </c>
      <c r="L4835" s="63">
        <f>IF(tblMovement[[#This Row],[Destination]]="","",IFERROR(INDEX(tblDestinations[Type],MATCH(tblMovement[[#This Row],[Destination]],tblDestinations[Destination],0)),"?"))</f>
        <v/>
      </c>
      <c r="M4835" s="64">
        <f>IF(tblMovement[[#This Row],[Material]]="","",IF(LEFT(tblMovement[[#This Row],[Material]],3)="Ore",1,0))</f>
        <v/>
      </c>
      <c r="N4835" s="59">
        <f>IF(OR(tblMovement[[#This Row],[Tonnes_t]]="",tblMovement[[#This Row],[Grade_gpt]]=""),0,tblMovement[[#This Row],[Tonnes_t]]*tblMovement[[#This Row],[Grade_gpt]]/cfg_TroyOz)</f>
        <v/>
      </c>
      <c r="O4835" s="59">
        <f>IF(tblMovement[[#This Row],[Is_Ore]]=1,tblMovement[[#This Row],[Contained_oz]],0)</f>
        <v/>
      </c>
    </row>
    <row r="4836">
      <c r="A4836" s="54" t="n"/>
      <c r="B4836" s="61" t="n"/>
      <c r="C4836" s="61" t="n"/>
      <c r="D4836" s="61" t="n"/>
      <c r="E4836" s="61" t="n"/>
      <c r="F4836" s="55" t="n"/>
      <c r="G4836" s="56" t="n"/>
      <c r="H4836" s="55" t="n"/>
      <c r="I4836" s="62" t="n"/>
      <c r="J4836" s="58" t="n"/>
      <c r="K4836" s="63">
        <f>IF(tblMovement[[#This Row],[Source]]="","",IFERROR(INDEX(tblSources[Type],MATCH(tblMovement[[#This Row],[Source]],tblSources[Source],0)),"?"))</f>
        <v/>
      </c>
      <c r="L4836" s="63">
        <f>IF(tblMovement[[#This Row],[Destination]]="","",IFERROR(INDEX(tblDestinations[Type],MATCH(tblMovement[[#This Row],[Destination]],tblDestinations[Destination],0)),"?"))</f>
        <v/>
      </c>
      <c r="M4836" s="64">
        <f>IF(tblMovement[[#This Row],[Material]]="","",IF(LEFT(tblMovement[[#This Row],[Material]],3)="Ore",1,0))</f>
        <v/>
      </c>
      <c r="N4836" s="59">
        <f>IF(OR(tblMovement[[#This Row],[Tonnes_t]]="",tblMovement[[#This Row],[Grade_gpt]]=""),0,tblMovement[[#This Row],[Tonnes_t]]*tblMovement[[#This Row],[Grade_gpt]]/cfg_TroyOz)</f>
        <v/>
      </c>
      <c r="O4836" s="59">
        <f>IF(tblMovement[[#This Row],[Is_Ore]]=1,tblMovement[[#This Row],[Contained_oz]],0)</f>
        <v/>
      </c>
    </row>
    <row r="4837">
      <c r="A4837" s="54" t="n"/>
      <c r="B4837" s="61" t="n"/>
      <c r="C4837" s="61" t="n"/>
      <c r="D4837" s="61" t="n"/>
      <c r="E4837" s="61" t="n"/>
      <c r="F4837" s="55" t="n"/>
      <c r="G4837" s="56" t="n"/>
      <c r="H4837" s="55" t="n"/>
      <c r="I4837" s="62" t="n"/>
      <c r="J4837" s="58" t="n"/>
      <c r="K4837" s="63">
        <f>IF(tblMovement[[#This Row],[Source]]="","",IFERROR(INDEX(tblSources[Type],MATCH(tblMovement[[#This Row],[Source]],tblSources[Source],0)),"?"))</f>
        <v/>
      </c>
      <c r="L4837" s="63">
        <f>IF(tblMovement[[#This Row],[Destination]]="","",IFERROR(INDEX(tblDestinations[Type],MATCH(tblMovement[[#This Row],[Destination]],tblDestinations[Destination],0)),"?"))</f>
        <v/>
      </c>
      <c r="M4837" s="64">
        <f>IF(tblMovement[[#This Row],[Material]]="","",IF(LEFT(tblMovement[[#This Row],[Material]],3)="Ore",1,0))</f>
        <v/>
      </c>
      <c r="N4837" s="59">
        <f>IF(OR(tblMovement[[#This Row],[Tonnes_t]]="",tblMovement[[#This Row],[Grade_gpt]]=""),0,tblMovement[[#This Row],[Tonnes_t]]*tblMovement[[#This Row],[Grade_gpt]]/cfg_TroyOz)</f>
        <v/>
      </c>
      <c r="O4837" s="59">
        <f>IF(tblMovement[[#This Row],[Is_Ore]]=1,tblMovement[[#This Row],[Contained_oz]],0)</f>
        <v/>
      </c>
    </row>
    <row r="4838">
      <c r="A4838" s="54" t="n"/>
      <c r="B4838" s="61" t="n"/>
      <c r="C4838" s="61" t="n"/>
      <c r="D4838" s="61" t="n"/>
      <c r="E4838" s="61" t="n"/>
      <c r="F4838" s="55" t="n"/>
      <c r="G4838" s="56" t="n"/>
      <c r="H4838" s="55" t="n"/>
      <c r="I4838" s="62" t="n"/>
      <c r="J4838" s="58" t="n"/>
      <c r="K4838" s="63">
        <f>IF(tblMovement[[#This Row],[Source]]="","",IFERROR(INDEX(tblSources[Type],MATCH(tblMovement[[#This Row],[Source]],tblSources[Source],0)),"?"))</f>
        <v/>
      </c>
      <c r="L4838" s="63">
        <f>IF(tblMovement[[#This Row],[Destination]]="","",IFERROR(INDEX(tblDestinations[Type],MATCH(tblMovement[[#This Row],[Destination]],tblDestinations[Destination],0)),"?"))</f>
        <v/>
      </c>
      <c r="M4838" s="64">
        <f>IF(tblMovement[[#This Row],[Material]]="","",IF(LEFT(tblMovement[[#This Row],[Material]],3)="Ore",1,0))</f>
        <v/>
      </c>
      <c r="N4838" s="59">
        <f>IF(OR(tblMovement[[#This Row],[Tonnes_t]]="",tblMovement[[#This Row],[Grade_gpt]]=""),0,tblMovement[[#This Row],[Tonnes_t]]*tblMovement[[#This Row],[Grade_gpt]]/cfg_TroyOz)</f>
        <v/>
      </c>
      <c r="O4838" s="59">
        <f>IF(tblMovement[[#This Row],[Is_Ore]]=1,tblMovement[[#This Row],[Contained_oz]],0)</f>
        <v/>
      </c>
    </row>
    <row r="4839">
      <c r="A4839" s="54" t="n"/>
      <c r="B4839" s="61" t="n"/>
      <c r="C4839" s="61" t="n"/>
      <c r="D4839" s="61" t="n"/>
      <c r="E4839" s="61" t="n"/>
      <c r="F4839" s="55" t="n"/>
      <c r="G4839" s="56" t="n"/>
      <c r="H4839" s="55" t="n"/>
      <c r="I4839" s="62" t="n"/>
      <c r="J4839" s="58" t="n"/>
      <c r="K4839" s="63">
        <f>IF(tblMovement[[#This Row],[Source]]="","",IFERROR(INDEX(tblSources[Type],MATCH(tblMovement[[#This Row],[Source]],tblSources[Source],0)),"?"))</f>
        <v/>
      </c>
      <c r="L4839" s="63">
        <f>IF(tblMovement[[#This Row],[Destination]]="","",IFERROR(INDEX(tblDestinations[Type],MATCH(tblMovement[[#This Row],[Destination]],tblDestinations[Destination],0)),"?"))</f>
        <v/>
      </c>
      <c r="M4839" s="64">
        <f>IF(tblMovement[[#This Row],[Material]]="","",IF(LEFT(tblMovement[[#This Row],[Material]],3)="Ore",1,0))</f>
        <v/>
      </c>
      <c r="N4839" s="59">
        <f>IF(OR(tblMovement[[#This Row],[Tonnes_t]]="",tblMovement[[#This Row],[Grade_gpt]]=""),0,tblMovement[[#This Row],[Tonnes_t]]*tblMovement[[#This Row],[Grade_gpt]]/cfg_TroyOz)</f>
        <v/>
      </c>
      <c r="O4839" s="59">
        <f>IF(tblMovement[[#This Row],[Is_Ore]]=1,tblMovement[[#This Row],[Contained_oz]],0)</f>
        <v/>
      </c>
    </row>
    <row r="4840">
      <c r="A4840" s="54" t="n"/>
      <c r="B4840" s="61" t="n"/>
      <c r="C4840" s="61" t="n"/>
      <c r="D4840" s="61" t="n"/>
      <c r="E4840" s="61" t="n"/>
      <c r="F4840" s="55" t="n"/>
      <c r="G4840" s="56" t="n"/>
      <c r="H4840" s="55" t="n"/>
      <c r="I4840" s="62" t="n"/>
      <c r="J4840" s="58" t="n"/>
      <c r="K4840" s="63">
        <f>IF(tblMovement[[#This Row],[Source]]="","",IFERROR(INDEX(tblSources[Type],MATCH(tblMovement[[#This Row],[Source]],tblSources[Source],0)),"?"))</f>
        <v/>
      </c>
      <c r="L4840" s="63">
        <f>IF(tblMovement[[#This Row],[Destination]]="","",IFERROR(INDEX(tblDestinations[Type],MATCH(tblMovement[[#This Row],[Destination]],tblDestinations[Destination],0)),"?"))</f>
        <v/>
      </c>
      <c r="M4840" s="64">
        <f>IF(tblMovement[[#This Row],[Material]]="","",IF(LEFT(tblMovement[[#This Row],[Material]],3)="Ore",1,0))</f>
        <v/>
      </c>
      <c r="N4840" s="59">
        <f>IF(OR(tblMovement[[#This Row],[Tonnes_t]]="",tblMovement[[#This Row],[Grade_gpt]]=""),0,tblMovement[[#This Row],[Tonnes_t]]*tblMovement[[#This Row],[Grade_gpt]]/cfg_TroyOz)</f>
        <v/>
      </c>
      <c r="O4840" s="59">
        <f>IF(tblMovement[[#This Row],[Is_Ore]]=1,tblMovement[[#This Row],[Contained_oz]],0)</f>
        <v/>
      </c>
    </row>
    <row r="4841">
      <c r="A4841" s="54" t="n"/>
      <c r="B4841" s="61" t="n"/>
      <c r="C4841" s="61" t="n"/>
      <c r="D4841" s="61" t="n"/>
      <c r="E4841" s="61" t="n"/>
      <c r="F4841" s="55" t="n"/>
      <c r="G4841" s="56" t="n"/>
      <c r="H4841" s="55" t="n"/>
      <c r="I4841" s="62" t="n"/>
      <c r="J4841" s="58" t="n"/>
      <c r="K4841" s="63">
        <f>IF(tblMovement[[#This Row],[Source]]="","",IFERROR(INDEX(tblSources[Type],MATCH(tblMovement[[#This Row],[Source]],tblSources[Source],0)),"?"))</f>
        <v/>
      </c>
      <c r="L4841" s="63">
        <f>IF(tblMovement[[#This Row],[Destination]]="","",IFERROR(INDEX(tblDestinations[Type],MATCH(tblMovement[[#This Row],[Destination]],tblDestinations[Destination],0)),"?"))</f>
        <v/>
      </c>
      <c r="M4841" s="64">
        <f>IF(tblMovement[[#This Row],[Material]]="","",IF(LEFT(tblMovement[[#This Row],[Material]],3)="Ore",1,0))</f>
        <v/>
      </c>
      <c r="N4841" s="59">
        <f>IF(OR(tblMovement[[#This Row],[Tonnes_t]]="",tblMovement[[#This Row],[Grade_gpt]]=""),0,tblMovement[[#This Row],[Tonnes_t]]*tblMovement[[#This Row],[Grade_gpt]]/cfg_TroyOz)</f>
        <v/>
      </c>
      <c r="O4841" s="59">
        <f>IF(tblMovement[[#This Row],[Is_Ore]]=1,tblMovement[[#This Row],[Contained_oz]],0)</f>
        <v/>
      </c>
    </row>
    <row r="4842">
      <c r="A4842" s="54" t="n"/>
      <c r="B4842" s="61" t="n"/>
      <c r="C4842" s="61" t="n"/>
      <c r="D4842" s="61" t="n"/>
      <c r="E4842" s="61" t="n"/>
      <c r="F4842" s="55" t="n"/>
      <c r="G4842" s="56" t="n"/>
      <c r="H4842" s="55" t="n"/>
      <c r="I4842" s="62" t="n"/>
      <c r="J4842" s="58" t="n"/>
      <c r="K4842" s="63">
        <f>IF(tblMovement[[#This Row],[Source]]="","",IFERROR(INDEX(tblSources[Type],MATCH(tblMovement[[#This Row],[Source]],tblSources[Source],0)),"?"))</f>
        <v/>
      </c>
      <c r="L4842" s="63">
        <f>IF(tblMovement[[#This Row],[Destination]]="","",IFERROR(INDEX(tblDestinations[Type],MATCH(tblMovement[[#This Row],[Destination]],tblDestinations[Destination],0)),"?"))</f>
        <v/>
      </c>
      <c r="M4842" s="64">
        <f>IF(tblMovement[[#This Row],[Material]]="","",IF(LEFT(tblMovement[[#This Row],[Material]],3)="Ore",1,0))</f>
        <v/>
      </c>
      <c r="N4842" s="59">
        <f>IF(OR(tblMovement[[#This Row],[Tonnes_t]]="",tblMovement[[#This Row],[Grade_gpt]]=""),0,tblMovement[[#This Row],[Tonnes_t]]*tblMovement[[#This Row],[Grade_gpt]]/cfg_TroyOz)</f>
        <v/>
      </c>
      <c r="O4842" s="59">
        <f>IF(tblMovement[[#This Row],[Is_Ore]]=1,tblMovement[[#This Row],[Contained_oz]],0)</f>
        <v/>
      </c>
    </row>
    <row r="4843">
      <c r="A4843" s="54" t="n"/>
      <c r="B4843" s="61" t="n"/>
      <c r="C4843" s="61" t="n"/>
      <c r="D4843" s="61" t="n"/>
      <c r="E4843" s="61" t="n"/>
      <c r="F4843" s="55" t="n"/>
      <c r="G4843" s="56" t="n"/>
      <c r="H4843" s="55" t="n"/>
      <c r="I4843" s="62" t="n"/>
      <c r="J4843" s="58" t="n"/>
      <c r="K4843" s="63">
        <f>IF(tblMovement[[#This Row],[Source]]="","",IFERROR(INDEX(tblSources[Type],MATCH(tblMovement[[#This Row],[Source]],tblSources[Source],0)),"?"))</f>
        <v/>
      </c>
      <c r="L4843" s="63">
        <f>IF(tblMovement[[#This Row],[Destination]]="","",IFERROR(INDEX(tblDestinations[Type],MATCH(tblMovement[[#This Row],[Destination]],tblDestinations[Destination],0)),"?"))</f>
        <v/>
      </c>
      <c r="M4843" s="64">
        <f>IF(tblMovement[[#This Row],[Material]]="","",IF(LEFT(tblMovement[[#This Row],[Material]],3)="Ore",1,0))</f>
        <v/>
      </c>
      <c r="N4843" s="59">
        <f>IF(OR(tblMovement[[#This Row],[Tonnes_t]]="",tblMovement[[#This Row],[Grade_gpt]]=""),0,tblMovement[[#This Row],[Tonnes_t]]*tblMovement[[#This Row],[Grade_gpt]]/cfg_TroyOz)</f>
        <v/>
      </c>
      <c r="O4843" s="59">
        <f>IF(tblMovement[[#This Row],[Is_Ore]]=1,tblMovement[[#This Row],[Contained_oz]],0)</f>
        <v/>
      </c>
    </row>
    <row r="4844">
      <c r="A4844" s="54" t="n"/>
      <c r="B4844" s="61" t="n"/>
      <c r="C4844" s="61" t="n"/>
      <c r="D4844" s="61" t="n"/>
      <c r="E4844" s="61" t="n"/>
      <c r="F4844" s="55" t="n"/>
      <c r="G4844" s="56" t="n"/>
      <c r="H4844" s="55" t="n"/>
      <c r="I4844" s="62" t="n"/>
      <c r="J4844" s="58" t="n"/>
      <c r="K4844" s="63">
        <f>IF(tblMovement[[#This Row],[Source]]="","",IFERROR(INDEX(tblSources[Type],MATCH(tblMovement[[#This Row],[Source]],tblSources[Source],0)),"?"))</f>
        <v/>
      </c>
      <c r="L4844" s="63">
        <f>IF(tblMovement[[#This Row],[Destination]]="","",IFERROR(INDEX(tblDestinations[Type],MATCH(tblMovement[[#This Row],[Destination]],tblDestinations[Destination],0)),"?"))</f>
        <v/>
      </c>
      <c r="M4844" s="64">
        <f>IF(tblMovement[[#This Row],[Material]]="","",IF(LEFT(tblMovement[[#This Row],[Material]],3)="Ore",1,0))</f>
        <v/>
      </c>
      <c r="N4844" s="59">
        <f>IF(OR(tblMovement[[#This Row],[Tonnes_t]]="",tblMovement[[#This Row],[Grade_gpt]]=""),0,tblMovement[[#This Row],[Tonnes_t]]*tblMovement[[#This Row],[Grade_gpt]]/cfg_TroyOz)</f>
        <v/>
      </c>
      <c r="O4844" s="59">
        <f>IF(tblMovement[[#This Row],[Is_Ore]]=1,tblMovement[[#This Row],[Contained_oz]],0)</f>
        <v/>
      </c>
    </row>
    <row r="4845">
      <c r="A4845" s="54" t="n"/>
      <c r="B4845" s="61" t="n"/>
      <c r="C4845" s="61" t="n"/>
      <c r="D4845" s="61" t="n"/>
      <c r="E4845" s="61" t="n"/>
      <c r="F4845" s="55" t="n"/>
      <c r="G4845" s="56" t="n"/>
      <c r="H4845" s="55" t="n"/>
      <c r="I4845" s="62" t="n"/>
      <c r="J4845" s="58" t="n"/>
      <c r="K4845" s="63">
        <f>IF(tblMovement[[#This Row],[Source]]="","",IFERROR(INDEX(tblSources[Type],MATCH(tblMovement[[#This Row],[Source]],tblSources[Source],0)),"?"))</f>
        <v/>
      </c>
      <c r="L4845" s="63">
        <f>IF(tblMovement[[#This Row],[Destination]]="","",IFERROR(INDEX(tblDestinations[Type],MATCH(tblMovement[[#This Row],[Destination]],tblDestinations[Destination],0)),"?"))</f>
        <v/>
      </c>
      <c r="M4845" s="64">
        <f>IF(tblMovement[[#This Row],[Material]]="","",IF(LEFT(tblMovement[[#This Row],[Material]],3)="Ore",1,0))</f>
        <v/>
      </c>
      <c r="N4845" s="59">
        <f>IF(OR(tblMovement[[#This Row],[Tonnes_t]]="",tblMovement[[#This Row],[Grade_gpt]]=""),0,tblMovement[[#This Row],[Tonnes_t]]*tblMovement[[#This Row],[Grade_gpt]]/cfg_TroyOz)</f>
        <v/>
      </c>
      <c r="O4845" s="59">
        <f>IF(tblMovement[[#This Row],[Is_Ore]]=1,tblMovement[[#This Row],[Contained_oz]],0)</f>
        <v/>
      </c>
    </row>
    <row r="4846">
      <c r="A4846" s="54" t="n"/>
      <c r="B4846" s="61" t="n"/>
      <c r="C4846" s="61" t="n"/>
      <c r="D4846" s="61" t="n"/>
      <c r="E4846" s="61" t="n"/>
      <c r="F4846" s="55" t="n"/>
      <c r="G4846" s="56" t="n"/>
      <c r="H4846" s="55" t="n"/>
      <c r="I4846" s="62" t="n"/>
      <c r="J4846" s="58" t="n"/>
      <c r="K4846" s="63">
        <f>IF(tblMovement[[#This Row],[Source]]="","",IFERROR(INDEX(tblSources[Type],MATCH(tblMovement[[#This Row],[Source]],tblSources[Source],0)),"?"))</f>
        <v/>
      </c>
      <c r="L4846" s="63">
        <f>IF(tblMovement[[#This Row],[Destination]]="","",IFERROR(INDEX(tblDestinations[Type],MATCH(tblMovement[[#This Row],[Destination]],tblDestinations[Destination],0)),"?"))</f>
        <v/>
      </c>
      <c r="M4846" s="64">
        <f>IF(tblMovement[[#This Row],[Material]]="","",IF(LEFT(tblMovement[[#This Row],[Material]],3)="Ore",1,0))</f>
        <v/>
      </c>
      <c r="N4846" s="59">
        <f>IF(OR(tblMovement[[#This Row],[Tonnes_t]]="",tblMovement[[#This Row],[Grade_gpt]]=""),0,tblMovement[[#This Row],[Tonnes_t]]*tblMovement[[#This Row],[Grade_gpt]]/cfg_TroyOz)</f>
        <v/>
      </c>
      <c r="O4846" s="59">
        <f>IF(tblMovement[[#This Row],[Is_Ore]]=1,tblMovement[[#This Row],[Contained_oz]],0)</f>
        <v/>
      </c>
    </row>
    <row r="4847">
      <c r="A4847" s="54" t="n"/>
      <c r="B4847" s="61" t="n"/>
      <c r="C4847" s="61" t="n"/>
      <c r="D4847" s="61" t="n"/>
      <c r="E4847" s="61" t="n"/>
      <c r="F4847" s="55" t="n"/>
      <c r="G4847" s="56" t="n"/>
      <c r="H4847" s="55" t="n"/>
      <c r="I4847" s="62" t="n"/>
      <c r="J4847" s="58" t="n"/>
      <c r="K4847" s="63">
        <f>IF(tblMovement[[#This Row],[Source]]="","",IFERROR(INDEX(tblSources[Type],MATCH(tblMovement[[#This Row],[Source]],tblSources[Source],0)),"?"))</f>
        <v/>
      </c>
      <c r="L4847" s="63">
        <f>IF(tblMovement[[#This Row],[Destination]]="","",IFERROR(INDEX(tblDestinations[Type],MATCH(tblMovement[[#This Row],[Destination]],tblDestinations[Destination],0)),"?"))</f>
        <v/>
      </c>
      <c r="M4847" s="64">
        <f>IF(tblMovement[[#This Row],[Material]]="","",IF(LEFT(tblMovement[[#This Row],[Material]],3)="Ore",1,0))</f>
        <v/>
      </c>
      <c r="N4847" s="59">
        <f>IF(OR(tblMovement[[#This Row],[Tonnes_t]]="",tblMovement[[#This Row],[Grade_gpt]]=""),0,tblMovement[[#This Row],[Tonnes_t]]*tblMovement[[#This Row],[Grade_gpt]]/cfg_TroyOz)</f>
        <v/>
      </c>
      <c r="O4847" s="59">
        <f>IF(tblMovement[[#This Row],[Is_Ore]]=1,tblMovement[[#This Row],[Contained_oz]],0)</f>
        <v/>
      </c>
    </row>
    <row r="4848">
      <c r="A4848" s="54" t="n"/>
      <c r="B4848" s="61" t="n"/>
      <c r="C4848" s="61" t="n"/>
      <c r="D4848" s="61" t="n"/>
      <c r="E4848" s="61" t="n"/>
      <c r="F4848" s="55" t="n"/>
      <c r="G4848" s="56" t="n"/>
      <c r="H4848" s="55" t="n"/>
      <c r="I4848" s="62" t="n"/>
      <c r="J4848" s="58" t="n"/>
      <c r="K4848" s="63">
        <f>IF(tblMovement[[#This Row],[Source]]="","",IFERROR(INDEX(tblSources[Type],MATCH(tblMovement[[#This Row],[Source]],tblSources[Source],0)),"?"))</f>
        <v/>
      </c>
      <c r="L4848" s="63">
        <f>IF(tblMovement[[#This Row],[Destination]]="","",IFERROR(INDEX(tblDestinations[Type],MATCH(tblMovement[[#This Row],[Destination]],tblDestinations[Destination],0)),"?"))</f>
        <v/>
      </c>
      <c r="M4848" s="64">
        <f>IF(tblMovement[[#This Row],[Material]]="","",IF(LEFT(tblMovement[[#This Row],[Material]],3)="Ore",1,0))</f>
        <v/>
      </c>
      <c r="N4848" s="59">
        <f>IF(OR(tblMovement[[#This Row],[Tonnes_t]]="",tblMovement[[#This Row],[Grade_gpt]]=""),0,tblMovement[[#This Row],[Tonnes_t]]*tblMovement[[#This Row],[Grade_gpt]]/cfg_TroyOz)</f>
        <v/>
      </c>
      <c r="O4848" s="59">
        <f>IF(tblMovement[[#This Row],[Is_Ore]]=1,tblMovement[[#This Row],[Contained_oz]],0)</f>
        <v/>
      </c>
    </row>
    <row r="4849">
      <c r="A4849" s="54" t="n"/>
      <c r="B4849" s="61" t="n"/>
      <c r="C4849" s="61" t="n"/>
      <c r="D4849" s="61" t="n"/>
      <c r="E4849" s="61" t="n"/>
      <c r="F4849" s="55" t="n"/>
      <c r="G4849" s="56" t="n"/>
      <c r="H4849" s="55" t="n"/>
      <c r="I4849" s="62" t="n"/>
      <c r="J4849" s="58" t="n"/>
      <c r="K4849" s="63">
        <f>IF(tblMovement[[#This Row],[Source]]="","",IFERROR(INDEX(tblSources[Type],MATCH(tblMovement[[#This Row],[Source]],tblSources[Source],0)),"?"))</f>
        <v/>
      </c>
      <c r="L4849" s="63">
        <f>IF(tblMovement[[#This Row],[Destination]]="","",IFERROR(INDEX(tblDestinations[Type],MATCH(tblMovement[[#This Row],[Destination]],tblDestinations[Destination],0)),"?"))</f>
        <v/>
      </c>
      <c r="M4849" s="64">
        <f>IF(tblMovement[[#This Row],[Material]]="","",IF(LEFT(tblMovement[[#This Row],[Material]],3)="Ore",1,0))</f>
        <v/>
      </c>
      <c r="N4849" s="59">
        <f>IF(OR(tblMovement[[#This Row],[Tonnes_t]]="",tblMovement[[#This Row],[Grade_gpt]]=""),0,tblMovement[[#This Row],[Tonnes_t]]*tblMovement[[#This Row],[Grade_gpt]]/cfg_TroyOz)</f>
        <v/>
      </c>
      <c r="O4849" s="59">
        <f>IF(tblMovement[[#This Row],[Is_Ore]]=1,tblMovement[[#This Row],[Contained_oz]],0)</f>
        <v/>
      </c>
    </row>
    <row r="4850">
      <c r="A4850" s="54" t="n"/>
      <c r="B4850" s="61" t="n"/>
      <c r="C4850" s="61" t="n"/>
      <c r="D4850" s="61" t="n"/>
      <c r="E4850" s="61" t="n"/>
      <c r="F4850" s="55" t="n"/>
      <c r="G4850" s="56" t="n"/>
      <c r="H4850" s="55" t="n"/>
      <c r="I4850" s="62" t="n"/>
      <c r="J4850" s="58" t="n"/>
      <c r="K4850" s="63">
        <f>IF(tblMovement[[#This Row],[Source]]="","",IFERROR(INDEX(tblSources[Type],MATCH(tblMovement[[#This Row],[Source]],tblSources[Source],0)),"?"))</f>
        <v/>
      </c>
      <c r="L4850" s="63">
        <f>IF(tblMovement[[#This Row],[Destination]]="","",IFERROR(INDEX(tblDestinations[Type],MATCH(tblMovement[[#This Row],[Destination]],tblDestinations[Destination],0)),"?"))</f>
        <v/>
      </c>
      <c r="M4850" s="64">
        <f>IF(tblMovement[[#This Row],[Material]]="","",IF(LEFT(tblMovement[[#This Row],[Material]],3)="Ore",1,0))</f>
        <v/>
      </c>
      <c r="N4850" s="59">
        <f>IF(OR(tblMovement[[#This Row],[Tonnes_t]]="",tblMovement[[#This Row],[Grade_gpt]]=""),0,tblMovement[[#This Row],[Tonnes_t]]*tblMovement[[#This Row],[Grade_gpt]]/cfg_TroyOz)</f>
        <v/>
      </c>
      <c r="O4850" s="59">
        <f>IF(tblMovement[[#This Row],[Is_Ore]]=1,tblMovement[[#This Row],[Contained_oz]],0)</f>
        <v/>
      </c>
    </row>
    <row r="4851">
      <c r="A4851" s="54" t="n"/>
      <c r="B4851" s="61" t="n"/>
      <c r="C4851" s="61" t="n"/>
      <c r="D4851" s="61" t="n"/>
      <c r="E4851" s="61" t="n"/>
      <c r="F4851" s="55" t="n"/>
      <c r="G4851" s="56" t="n"/>
      <c r="H4851" s="55" t="n"/>
      <c r="I4851" s="62" t="n"/>
      <c r="J4851" s="58" t="n"/>
      <c r="K4851" s="63">
        <f>IF(tblMovement[[#This Row],[Source]]="","",IFERROR(INDEX(tblSources[Type],MATCH(tblMovement[[#This Row],[Source]],tblSources[Source],0)),"?"))</f>
        <v/>
      </c>
      <c r="L4851" s="63">
        <f>IF(tblMovement[[#This Row],[Destination]]="","",IFERROR(INDEX(tblDestinations[Type],MATCH(tblMovement[[#This Row],[Destination]],tblDestinations[Destination],0)),"?"))</f>
        <v/>
      </c>
      <c r="M4851" s="64">
        <f>IF(tblMovement[[#This Row],[Material]]="","",IF(LEFT(tblMovement[[#This Row],[Material]],3)="Ore",1,0))</f>
        <v/>
      </c>
      <c r="N4851" s="59">
        <f>IF(OR(tblMovement[[#This Row],[Tonnes_t]]="",tblMovement[[#This Row],[Grade_gpt]]=""),0,tblMovement[[#This Row],[Tonnes_t]]*tblMovement[[#This Row],[Grade_gpt]]/cfg_TroyOz)</f>
        <v/>
      </c>
      <c r="O4851" s="59">
        <f>IF(tblMovement[[#This Row],[Is_Ore]]=1,tblMovement[[#This Row],[Contained_oz]],0)</f>
        <v/>
      </c>
    </row>
    <row r="4852">
      <c r="A4852" s="54" t="n"/>
      <c r="B4852" s="61" t="n"/>
      <c r="C4852" s="61" t="n"/>
      <c r="D4852" s="61" t="n"/>
      <c r="E4852" s="61" t="n"/>
      <c r="F4852" s="55" t="n"/>
      <c r="G4852" s="56" t="n"/>
      <c r="H4852" s="55" t="n"/>
      <c r="I4852" s="62" t="n"/>
      <c r="J4852" s="58" t="n"/>
      <c r="K4852" s="63">
        <f>IF(tblMovement[[#This Row],[Source]]="","",IFERROR(INDEX(tblSources[Type],MATCH(tblMovement[[#This Row],[Source]],tblSources[Source],0)),"?"))</f>
        <v/>
      </c>
      <c r="L4852" s="63">
        <f>IF(tblMovement[[#This Row],[Destination]]="","",IFERROR(INDEX(tblDestinations[Type],MATCH(tblMovement[[#This Row],[Destination]],tblDestinations[Destination],0)),"?"))</f>
        <v/>
      </c>
      <c r="M4852" s="64">
        <f>IF(tblMovement[[#This Row],[Material]]="","",IF(LEFT(tblMovement[[#This Row],[Material]],3)="Ore",1,0))</f>
        <v/>
      </c>
      <c r="N4852" s="59">
        <f>IF(OR(tblMovement[[#This Row],[Tonnes_t]]="",tblMovement[[#This Row],[Grade_gpt]]=""),0,tblMovement[[#This Row],[Tonnes_t]]*tblMovement[[#This Row],[Grade_gpt]]/cfg_TroyOz)</f>
        <v/>
      </c>
      <c r="O4852" s="59">
        <f>IF(tblMovement[[#This Row],[Is_Ore]]=1,tblMovement[[#This Row],[Contained_oz]],0)</f>
        <v/>
      </c>
    </row>
    <row r="4853">
      <c r="A4853" s="54" t="n"/>
      <c r="B4853" s="61" t="n"/>
      <c r="C4853" s="61" t="n"/>
      <c r="D4853" s="61" t="n"/>
      <c r="E4853" s="61" t="n"/>
      <c r="F4853" s="55" t="n"/>
      <c r="G4853" s="56" t="n"/>
      <c r="H4853" s="55" t="n"/>
      <c r="I4853" s="62" t="n"/>
      <c r="J4853" s="58" t="n"/>
      <c r="K4853" s="63">
        <f>IF(tblMovement[[#This Row],[Source]]="","",IFERROR(INDEX(tblSources[Type],MATCH(tblMovement[[#This Row],[Source]],tblSources[Source],0)),"?"))</f>
        <v/>
      </c>
      <c r="L4853" s="63">
        <f>IF(tblMovement[[#This Row],[Destination]]="","",IFERROR(INDEX(tblDestinations[Type],MATCH(tblMovement[[#This Row],[Destination]],tblDestinations[Destination],0)),"?"))</f>
        <v/>
      </c>
      <c r="M4853" s="64">
        <f>IF(tblMovement[[#This Row],[Material]]="","",IF(LEFT(tblMovement[[#This Row],[Material]],3)="Ore",1,0))</f>
        <v/>
      </c>
      <c r="N4853" s="59">
        <f>IF(OR(tblMovement[[#This Row],[Tonnes_t]]="",tblMovement[[#This Row],[Grade_gpt]]=""),0,tblMovement[[#This Row],[Tonnes_t]]*tblMovement[[#This Row],[Grade_gpt]]/cfg_TroyOz)</f>
        <v/>
      </c>
      <c r="O4853" s="59">
        <f>IF(tblMovement[[#This Row],[Is_Ore]]=1,tblMovement[[#This Row],[Contained_oz]],0)</f>
        <v/>
      </c>
    </row>
    <row r="4854">
      <c r="A4854" s="54" t="n"/>
      <c r="B4854" s="61" t="n"/>
      <c r="C4854" s="61" t="n"/>
      <c r="D4854" s="61" t="n"/>
      <c r="E4854" s="61" t="n"/>
      <c r="F4854" s="55" t="n"/>
      <c r="G4854" s="56" t="n"/>
      <c r="H4854" s="55" t="n"/>
      <c r="I4854" s="62" t="n"/>
      <c r="J4854" s="58" t="n"/>
      <c r="K4854" s="63">
        <f>IF(tblMovement[[#This Row],[Source]]="","",IFERROR(INDEX(tblSources[Type],MATCH(tblMovement[[#This Row],[Source]],tblSources[Source],0)),"?"))</f>
        <v/>
      </c>
      <c r="L4854" s="63">
        <f>IF(tblMovement[[#This Row],[Destination]]="","",IFERROR(INDEX(tblDestinations[Type],MATCH(tblMovement[[#This Row],[Destination]],tblDestinations[Destination],0)),"?"))</f>
        <v/>
      </c>
      <c r="M4854" s="64">
        <f>IF(tblMovement[[#This Row],[Material]]="","",IF(LEFT(tblMovement[[#This Row],[Material]],3)="Ore",1,0))</f>
        <v/>
      </c>
      <c r="N4854" s="59">
        <f>IF(OR(tblMovement[[#This Row],[Tonnes_t]]="",tblMovement[[#This Row],[Grade_gpt]]=""),0,tblMovement[[#This Row],[Tonnes_t]]*tblMovement[[#This Row],[Grade_gpt]]/cfg_TroyOz)</f>
        <v/>
      </c>
      <c r="O4854" s="59">
        <f>IF(tblMovement[[#This Row],[Is_Ore]]=1,tblMovement[[#This Row],[Contained_oz]],0)</f>
        <v/>
      </c>
    </row>
    <row r="4855">
      <c r="A4855" s="54" t="n"/>
      <c r="B4855" s="61" t="n"/>
      <c r="C4855" s="61" t="n"/>
      <c r="D4855" s="61" t="n"/>
      <c r="E4855" s="61" t="n"/>
      <c r="F4855" s="55" t="n"/>
      <c r="G4855" s="56" t="n"/>
      <c r="H4855" s="55" t="n"/>
      <c r="I4855" s="62" t="n"/>
      <c r="J4855" s="58" t="n"/>
      <c r="K4855" s="63">
        <f>IF(tblMovement[[#This Row],[Source]]="","",IFERROR(INDEX(tblSources[Type],MATCH(tblMovement[[#This Row],[Source]],tblSources[Source],0)),"?"))</f>
        <v/>
      </c>
      <c r="L4855" s="63">
        <f>IF(tblMovement[[#This Row],[Destination]]="","",IFERROR(INDEX(tblDestinations[Type],MATCH(tblMovement[[#This Row],[Destination]],tblDestinations[Destination],0)),"?"))</f>
        <v/>
      </c>
      <c r="M4855" s="64">
        <f>IF(tblMovement[[#This Row],[Material]]="","",IF(LEFT(tblMovement[[#This Row],[Material]],3)="Ore",1,0))</f>
        <v/>
      </c>
      <c r="N4855" s="59">
        <f>IF(OR(tblMovement[[#This Row],[Tonnes_t]]="",tblMovement[[#This Row],[Grade_gpt]]=""),0,tblMovement[[#This Row],[Tonnes_t]]*tblMovement[[#This Row],[Grade_gpt]]/cfg_TroyOz)</f>
        <v/>
      </c>
      <c r="O4855" s="59">
        <f>IF(tblMovement[[#This Row],[Is_Ore]]=1,tblMovement[[#This Row],[Contained_oz]],0)</f>
        <v/>
      </c>
    </row>
    <row r="4856">
      <c r="A4856" s="54" t="n"/>
      <c r="B4856" s="61" t="n"/>
      <c r="C4856" s="61" t="n"/>
      <c r="D4856" s="61" t="n"/>
      <c r="E4856" s="61" t="n"/>
      <c r="F4856" s="55" t="n"/>
      <c r="G4856" s="56" t="n"/>
      <c r="H4856" s="55" t="n"/>
      <c r="I4856" s="62" t="n"/>
      <c r="J4856" s="58" t="n"/>
      <c r="K4856" s="63">
        <f>IF(tblMovement[[#This Row],[Source]]="","",IFERROR(INDEX(tblSources[Type],MATCH(tblMovement[[#This Row],[Source]],tblSources[Source],0)),"?"))</f>
        <v/>
      </c>
      <c r="L4856" s="63">
        <f>IF(tblMovement[[#This Row],[Destination]]="","",IFERROR(INDEX(tblDestinations[Type],MATCH(tblMovement[[#This Row],[Destination]],tblDestinations[Destination],0)),"?"))</f>
        <v/>
      </c>
      <c r="M4856" s="64">
        <f>IF(tblMovement[[#This Row],[Material]]="","",IF(LEFT(tblMovement[[#This Row],[Material]],3)="Ore",1,0))</f>
        <v/>
      </c>
      <c r="N4856" s="59">
        <f>IF(OR(tblMovement[[#This Row],[Tonnes_t]]="",tblMovement[[#This Row],[Grade_gpt]]=""),0,tblMovement[[#This Row],[Tonnes_t]]*tblMovement[[#This Row],[Grade_gpt]]/cfg_TroyOz)</f>
        <v/>
      </c>
      <c r="O4856" s="59">
        <f>IF(tblMovement[[#This Row],[Is_Ore]]=1,tblMovement[[#This Row],[Contained_oz]],0)</f>
        <v/>
      </c>
    </row>
    <row r="4857">
      <c r="A4857" s="54" t="n"/>
      <c r="B4857" s="61" t="n"/>
      <c r="C4857" s="61" t="n"/>
      <c r="D4857" s="61" t="n"/>
      <c r="E4857" s="61" t="n"/>
      <c r="F4857" s="55" t="n"/>
      <c r="G4857" s="56" t="n"/>
      <c r="H4857" s="55" t="n"/>
      <c r="I4857" s="62" t="n"/>
      <c r="J4857" s="58" t="n"/>
      <c r="K4857" s="63">
        <f>IF(tblMovement[[#This Row],[Source]]="","",IFERROR(INDEX(tblSources[Type],MATCH(tblMovement[[#This Row],[Source]],tblSources[Source],0)),"?"))</f>
        <v/>
      </c>
      <c r="L4857" s="63">
        <f>IF(tblMovement[[#This Row],[Destination]]="","",IFERROR(INDEX(tblDestinations[Type],MATCH(tblMovement[[#This Row],[Destination]],tblDestinations[Destination],0)),"?"))</f>
        <v/>
      </c>
      <c r="M4857" s="64">
        <f>IF(tblMovement[[#This Row],[Material]]="","",IF(LEFT(tblMovement[[#This Row],[Material]],3)="Ore",1,0))</f>
        <v/>
      </c>
      <c r="N4857" s="59">
        <f>IF(OR(tblMovement[[#This Row],[Tonnes_t]]="",tblMovement[[#This Row],[Grade_gpt]]=""),0,tblMovement[[#This Row],[Tonnes_t]]*tblMovement[[#This Row],[Grade_gpt]]/cfg_TroyOz)</f>
        <v/>
      </c>
      <c r="O4857" s="59">
        <f>IF(tblMovement[[#This Row],[Is_Ore]]=1,tblMovement[[#This Row],[Contained_oz]],0)</f>
        <v/>
      </c>
    </row>
    <row r="4858">
      <c r="A4858" s="54" t="n"/>
      <c r="B4858" s="61" t="n"/>
      <c r="C4858" s="61" t="n"/>
      <c r="D4858" s="61" t="n"/>
      <c r="E4858" s="61" t="n"/>
      <c r="F4858" s="55" t="n"/>
      <c r="G4858" s="56" t="n"/>
      <c r="H4858" s="55" t="n"/>
      <c r="I4858" s="62" t="n"/>
      <c r="J4858" s="58" t="n"/>
      <c r="K4858" s="63">
        <f>IF(tblMovement[[#This Row],[Source]]="","",IFERROR(INDEX(tblSources[Type],MATCH(tblMovement[[#This Row],[Source]],tblSources[Source],0)),"?"))</f>
        <v/>
      </c>
      <c r="L4858" s="63">
        <f>IF(tblMovement[[#This Row],[Destination]]="","",IFERROR(INDEX(tblDestinations[Type],MATCH(tblMovement[[#This Row],[Destination]],tblDestinations[Destination],0)),"?"))</f>
        <v/>
      </c>
      <c r="M4858" s="64">
        <f>IF(tblMovement[[#This Row],[Material]]="","",IF(LEFT(tblMovement[[#This Row],[Material]],3)="Ore",1,0))</f>
        <v/>
      </c>
      <c r="N4858" s="59">
        <f>IF(OR(tblMovement[[#This Row],[Tonnes_t]]="",tblMovement[[#This Row],[Grade_gpt]]=""),0,tblMovement[[#This Row],[Tonnes_t]]*tblMovement[[#This Row],[Grade_gpt]]/cfg_TroyOz)</f>
        <v/>
      </c>
      <c r="O4858" s="59">
        <f>IF(tblMovement[[#This Row],[Is_Ore]]=1,tblMovement[[#This Row],[Contained_oz]],0)</f>
        <v/>
      </c>
    </row>
    <row r="4859">
      <c r="A4859" s="54" t="n"/>
      <c r="B4859" s="61" t="n"/>
      <c r="C4859" s="61" t="n"/>
      <c r="D4859" s="61" t="n"/>
      <c r="E4859" s="61" t="n"/>
      <c r="F4859" s="55" t="n"/>
      <c r="G4859" s="56" t="n"/>
      <c r="H4859" s="55" t="n"/>
      <c r="I4859" s="62" t="n"/>
      <c r="J4859" s="58" t="n"/>
      <c r="K4859" s="63">
        <f>IF(tblMovement[[#This Row],[Source]]="","",IFERROR(INDEX(tblSources[Type],MATCH(tblMovement[[#This Row],[Source]],tblSources[Source],0)),"?"))</f>
        <v/>
      </c>
      <c r="L4859" s="63">
        <f>IF(tblMovement[[#This Row],[Destination]]="","",IFERROR(INDEX(tblDestinations[Type],MATCH(tblMovement[[#This Row],[Destination]],tblDestinations[Destination],0)),"?"))</f>
        <v/>
      </c>
      <c r="M4859" s="64">
        <f>IF(tblMovement[[#This Row],[Material]]="","",IF(LEFT(tblMovement[[#This Row],[Material]],3)="Ore",1,0))</f>
        <v/>
      </c>
      <c r="N4859" s="59">
        <f>IF(OR(tblMovement[[#This Row],[Tonnes_t]]="",tblMovement[[#This Row],[Grade_gpt]]=""),0,tblMovement[[#This Row],[Tonnes_t]]*tblMovement[[#This Row],[Grade_gpt]]/cfg_TroyOz)</f>
        <v/>
      </c>
      <c r="O4859" s="59">
        <f>IF(tblMovement[[#This Row],[Is_Ore]]=1,tblMovement[[#This Row],[Contained_oz]],0)</f>
        <v/>
      </c>
    </row>
    <row r="4860">
      <c r="A4860" s="54" t="n"/>
      <c r="B4860" s="61" t="n"/>
      <c r="C4860" s="61" t="n"/>
      <c r="D4860" s="61" t="n"/>
      <c r="E4860" s="61" t="n"/>
      <c r="F4860" s="55" t="n"/>
      <c r="G4860" s="56" t="n"/>
      <c r="H4860" s="55" t="n"/>
      <c r="I4860" s="62" t="n"/>
      <c r="J4860" s="58" t="n"/>
      <c r="K4860" s="63">
        <f>IF(tblMovement[[#This Row],[Source]]="","",IFERROR(INDEX(tblSources[Type],MATCH(tblMovement[[#This Row],[Source]],tblSources[Source],0)),"?"))</f>
        <v/>
      </c>
      <c r="L4860" s="63">
        <f>IF(tblMovement[[#This Row],[Destination]]="","",IFERROR(INDEX(tblDestinations[Type],MATCH(tblMovement[[#This Row],[Destination]],tblDestinations[Destination],0)),"?"))</f>
        <v/>
      </c>
      <c r="M4860" s="64">
        <f>IF(tblMovement[[#This Row],[Material]]="","",IF(LEFT(tblMovement[[#This Row],[Material]],3)="Ore",1,0))</f>
        <v/>
      </c>
      <c r="N4860" s="59">
        <f>IF(OR(tblMovement[[#This Row],[Tonnes_t]]="",tblMovement[[#This Row],[Grade_gpt]]=""),0,tblMovement[[#This Row],[Tonnes_t]]*tblMovement[[#This Row],[Grade_gpt]]/cfg_TroyOz)</f>
        <v/>
      </c>
      <c r="O4860" s="59">
        <f>IF(tblMovement[[#This Row],[Is_Ore]]=1,tblMovement[[#This Row],[Contained_oz]],0)</f>
        <v/>
      </c>
    </row>
    <row r="4861">
      <c r="A4861" s="54" t="n"/>
      <c r="B4861" s="61" t="n"/>
      <c r="C4861" s="61" t="n"/>
      <c r="D4861" s="61" t="n"/>
      <c r="E4861" s="61" t="n"/>
      <c r="F4861" s="55" t="n"/>
      <c r="G4861" s="56" t="n"/>
      <c r="H4861" s="55" t="n"/>
      <c r="I4861" s="62" t="n"/>
      <c r="J4861" s="58" t="n"/>
      <c r="K4861" s="63">
        <f>IF(tblMovement[[#This Row],[Source]]="","",IFERROR(INDEX(tblSources[Type],MATCH(tblMovement[[#This Row],[Source]],tblSources[Source],0)),"?"))</f>
        <v/>
      </c>
      <c r="L4861" s="63">
        <f>IF(tblMovement[[#This Row],[Destination]]="","",IFERROR(INDEX(tblDestinations[Type],MATCH(tblMovement[[#This Row],[Destination]],tblDestinations[Destination],0)),"?"))</f>
        <v/>
      </c>
      <c r="M4861" s="64">
        <f>IF(tblMovement[[#This Row],[Material]]="","",IF(LEFT(tblMovement[[#This Row],[Material]],3)="Ore",1,0))</f>
        <v/>
      </c>
      <c r="N4861" s="59">
        <f>IF(OR(tblMovement[[#This Row],[Tonnes_t]]="",tblMovement[[#This Row],[Grade_gpt]]=""),0,tblMovement[[#This Row],[Tonnes_t]]*tblMovement[[#This Row],[Grade_gpt]]/cfg_TroyOz)</f>
        <v/>
      </c>
      <c r="O4861" s="59">
        <f>IF(tblMovement[[#This Row],[Is_Ore]]=1,tblMovement[[#This Row],[Contained_oz]],0)</f>
        <v/>
      </c>
    </row>
    <row r="4862">
      <c r="A4862" s="54" t="n"/>
      <c r="B4862" s="61" t="n"/>
      <c r="C4862" s="61" t="n"/>
      <c r="D4862" s="61" t="n"/>
      <c r="E4862" s="61" t="n"/>
      <c r="F4862" s="55" t="n"/>
      <c r="G4862" s="56" t="n"/>
      <c r="H4862" s="55" t="n"/>
      <c r="I4862" s="62" t="n"/>
      <c r="J4862" s="58" t="n"/>
      <c r="K4862" s="63">
        <f>IF(tblMovement[[#This Row],[Source]]="","",IFERROR(INDEX(tblSources[Type],MATCH(tblMovement[[#This Row],[Source]],tblSources[Source],0)),"?"))</f>
        <v/>
      </c>
      <c r="L4862" s="63">
        <f>IF(tblMovement[[#This Row],[Destination]]="","",IFERROR(INDEX(tblDestinations[Type],MATCH(tblMovement[[#This Row],[Destination]],tblDestinations[Destination],0)),"?"))</f>
        <v/>
      </c>
      <c r="M4862" s="64">
        <f>IF(tblMovement[[#This Row],[Material]]="","",IF(LEFT(tblMovement[[#This Row],[Material]],3)="Ore",1,0))</f>
        <v/>
      </c>
      <c r="N4862" s="59">
        <f>IF(OR(tblMovement[[#This Row],[Tonnes_t]]="",tblMovement[[#This Row],[Grade_gpt]]=""),0,tblMovement[[#This Row],[Tonnes_t]]*tblMovement[[#This Row],[Grade_gpt]]/cfg_TroyOz)</f>
        <v/>
      </c>
      <c r="O4862" s="59">
        <f>IF(tblMovement[[#This Row],[Is_Ore]]=1,tblMovement[[#This Row],[Contained_oz]],0)</f>
        <v/>
      </c>
    </row>
    <row r="4863">
      <c r="A4863" s="54" t="n"/>
      <c r="B4863" s="61" t="n"/>
      <c r="C4863" s="61" t="n"/>
      <c r="D4863" s="61" t="n"/>
      <c r="E4863" s="61" t="n"/>
      <c r="F4863" s="55" t="n"/>
      <c r="G4863" s="56" t="n"/>
      <c r="H4863" s="55" t="n"/>
      <c r="I4863" s="62" t="n"/>
      <c r="J4863" s="58" t="n"/>
      <c r="K4863" s="63">
        <f>IF(tblMovement[[#This Row],[Source]]="","",IFERROR(INDEX(tblSources[Type],MATCH(tblMovement[[#This Row],[Source]],tblSources[Source],0)),"?"))</f>
        <v/>
      </c>
      <c r="L4863" s="63">
        <f>IF(tblMovement[[#This Row],[Destination]]="","",IFERROR(INDEX(tblDestinations[Type],MATCH(tblMovement[[#This Row],[Destination]],tblDestinations[Destination],0)),"?"))</f>
        <v/>
      </c>
      <c r="M4863" s="64">
        <f>IF(tblMovement[[#This Row],[Material]]="","",IF(LEFT(tblMovement[[#This Row],[Material]],3)="Ore",1,0))</f>
        <v/>
      </c>
      <c r="N4863" s="59">
        <f>IF(OR(tblMovement[[#This Row],[Tonnes_t]]="",tblMovement[[#This Row],[Grade_gpt]]=""),0,tblMovement[[#This Row],[Tonnes_t]]*tblMovement[[#This Row],[Grade_gpt]]/cfg_TroyOz)</f>
        <v/>
      </c>
      <c r="O4863" s="59">
        <f>IF(tblMovement[[#This Row],[Is_Ore]]=1,tblMovement[[#This Row],[Contained_oz]],0)</f>
        <v/>
      </c>
    </row>
    <row r="4864">
      <c r="A4864" s="54" t="n"/>
      <c r="B4864" s="61" t="n"/>
      <c r="C4864" s="61" t="n"/>
      <c r="D4864" s="61" t="n"/>
      <c r="E4864" s="61" t="n"/>
      <c r="F4864" s="55" t="n"/>
      <c r="G4864" s="56" t="n"/>
      <c r="H4864" s="55" t="n"/>
      <c r="I4864" s="62" t="n"/>
      <c r="J4864" s="58" t="n"/>
      <c r="K4864" s="63">
        <f>IF(tblMovement[[#This Row],[Source]]="","",IFERROR(INDEX(tblSources[Type],MATCH(tblMovement[[#This Row],[Source]],tblSources[Source],0)),"?"))</f>
        <v/>
      </c>
      <c r="L4864" s="63">
        <f>IF(tblMovement[[#This Row],[Destination]]="","",IFERROR(INDEX(tblDestinations[Type],MATCH(tblMovement[[#This Row],[Destination]],tblDestinations[Destination],0)),"?"))</f>
        <v/>
      </c>
      <c r="M4864" s="64">
        <f>IF(tblMovement[[#This Row],[Material]]="","",IF(LEFT(tblMovement[[#This Row],[Material]],3)="Ore",1,0))</f>
        <v/>
      </c>
      <c r="N4864" s="59">
        <f>IF(OR(tblMovement[[#This Row],[Tonnes_t]]="",tblMovement[[#This Row],[Grade_gpt]]=""),0,tblMovement[[#This Row],[Tonnes_t]]*tblMovement[[#This Row],[Grade_gpt]]/cfg_TroyOz)</f>
        <v/>
      </c>
      <c r="O4864" s="59">
        <f>IF(tblMovement[[#This Row],[Is_Ore]]=1,tblMovement[[#This Row],[Contained_oz]],0)</f>
        <v/>
      </c>
    </row>
    <row r="4865">
      <c r="A4865" s="54" t="n"/>
      <c r="B4865" s="61" t="n"/>
      <c r="C4865" s="61" t="n"/>
      <c r="D4865" s="61" t="n"/>
      <c r="E4865" s="61" t="n"/>
      <c r="F4865" s="55" t="n"/>
      <c r="G4865" s="56" t="n"/>
      <c r="H4865" s="55" t="n"/>
      <c r="I4865" s="62" t="n"/>
      <c r="J4865" s="58" t="n"/>
      <c r="K4865" s="63">
        <f>IF(tblMovement[[#This Row],[Source]]="","",IFERROR(INDEX(tblSources[Type],MATCH(tblMovement[[#This Row],[Source]],tblSources[Source],0)),"?"))</f>
        <v/>
      </c>
      <c r="L4865" s="63">
        <f>IF(tblMovement[[#This Row],[Destination]]="","",IFERROR(INDEX(tblDestinations[Type],MATCH(tblMovement[[#This Row],[Destination]],tblDestinations[Destination],0)),"?"))</f>
        <v/>
      </c>
      <c r="M4865" s="64">
        <f>IF(tblMovement[[#This Row],[Material]]="","",IF(LEFT(tblMovement[[#This Row],[Material]],3)="Ore",1,0))</f>
        <v/>
      </c>
      <c r="N4865" s="59">
        <f>IF(OR(tblMovement[[#This Row],[Tonnes_t]]="",tblMovement[[#This Row],[Grade_gpt]]=""),0,tblMovement[[#This Row],[Tonnes_t]]*tblMovement[[#This Row],[Grade_gpt]]/cfg_TroyOz)</f>
        <v/>
      </c>
      <c r="O4865" s="59">
        <f>IF(tblMovement[[#This Row],[Is_Ore]]=1,tblMovement[[#This Row],[Contained_oz]],0)</f>
        <v/>
      </c>
    </row>
    <row r="4866">
      <c r="A4866" s="54" t="n"/>
      <c r="B4866" s="61" t="n"/>
      <c r="C4866" s="61" t="n"/>
      <c r="D4866" s="61" t="n"/>
      <c r="E4866" s="61" t="n"/>
      <c r="F4866" s="55" t="n"/>
      <c r="G4866" s="56" t="n"/>
      <c r="H4866" s="55" t="n"/>
      <c r="I4866" s="62" t="n"/>
      <c r="J4866" s="58" t="n"/>
      <c r="K4866" s="63">
        <f>IF(tblMovement[[#This Row],[Source]]="","",IFERROR(INDEX(tblSources[Type],MATCH(tblMovement[[#This Row],[Source]],tblSources[Source],0)),"?"))</f>
        <v/>
      </c>
      <c r="L4866" s="63">
        <f>IF(tblMovement[[#This Row],[Destination]]="","",IFERROR(INDEX(tblDestinations[Type],MATCH(tblMovement[[#This Row],[Destination]],tblDestinations[Destination],0)),"?"))</f>
        <v/>
      </c>
      <c r="M4866" s="64">
        <f>IF(tblMovement[[#This Row],[Material]]="","",IF(LEFT(tblMovement[[#This Row],[Material]],3)="Ore",1,0))</f>
        <v/>
      </c>
      <c r="N4866" s="59">
        <f>IF(OR(tblMovement[[#This Row],[Tonnes_t]]="",tblMovement[[#This Row],[Grade_gpt]]=""),0,tblMovement[[#This Row],[Tonnes_t]]*tblMovement[[#This Row],[Grade_gpt]]/cfg_TroyOz)</f>
        <v/>
      </c>
      <c r="O4866" s="59">
        <f>IF(tblMovement[[#This Row],[Is_Ore]]=1,tblMovement[[#This Row],[Contained_oz]],0)</f>
        <v/>
      </c>
    </row>
    <row r="4867">
      <c r="A4867" s="54" t="n"/>
      <c r="B4867" s="61" t="n"/>
      <c r="C4867" s="61" t="n"/>
      <c r="D4867" s="61" t="n"/>
      <c r="E4867" s="61" t="n"/>
      <c r="F4867" s="55" t="n"/>
      <c r="G4867" s="56" t="n"/>
      <c r="H4867" s="55" t="n"/>
      <c r="I4867" s="62" t="n"/>
      <c r="J4867" s="58" t="n"/>
      <c r="K4867" s="63">
        <f>IF(tblMovement[[#This Row],[Source]]="","",IFERROR(INDEX(tblSources[Type],MATCH(tblMovement[[#This Row],[Source]],tblSources[Source],0)),"?"))</f>
        <v/>
      </c>
      <c r="L4867" s="63">
        <f>IF(tblMovement[[#This Row],[Destination]]="","",IFERROR(INDEX(tblDestinations[Type],MATCH(tblMovement[[#This Row],[Destination]],tblDestinations[Destination],0)),"?"))</f>
        <v/>
      </c>
      <c r="M4867" s="64">
        <f>IF(tblMovement[[#This Row],[Material]]="","",IF(LEFT(tblMovement[[#This Row],[Material]],3)="Ore",1,0))</f>
        <v/>
      </c>
      <c r="N4867" s="59">
        <f>IF(OR(tblMovement[[#This Row],[Tonnes_t]]="",tblMovement[[#This Row],[Grade_gpt]]=""),0,tblMovement[[#This Row],[Tonnes_t]]*tblMovement[[#This Row],[Grade_gpt]]/cfg_TroyOz)</f>
        <v/>
      </c>
      <c r="O4867" s="59">
        <f>IF(tblMovement[[#This Row],[Is_Ore]]=1,tblMovement[[#This Row],[Contained_oz]],0)</f>
        <v/>
      </c>
    </row>
    <row r="4868">
      <c r="A4868" s="54" t="n"/>
      <c r="B4868" s="61" t="n"/>
      <c r="C4868" s="61" t="n"/>
      <c r="D4868" s="61" t="n"/>
      <c r="E4868" s="61" t="n"/>
      <c r="F4868" s="55" t="n"/>
      <c r="G4868" s="56" t="n"/>
      <c r="H4868" s="55" t="n"/>
      <c r="I4868" s="62" t="n"/>
      <c r="J4868" s="58" t="n"/>
      <c r="K4868" s="63">
        <f>IF(tblMovement[[#This Row],[Source]]="","",IFERROR(INDEX(tblSources[Type],MATCH(tblMovement[[#This Row],[Source]],tblSources[Source],0)),"?"))</f>
        <v/>
      </c>
      <c r="L4868" s="63">
        <f>IF(tblMovement[[#This Row],[Destination]]="","",IFERROR(INDEX(tblDestinations[Type],MATCH(tblMovement[[#This Row],[Destination]],tblDestinations[Destination],0)),"?"))</f>
        <v/>
      </c>
      <c r="M4868" s="64">
        <f>IF(tblMovement[[#This Row],[Material]]="","",IF(LEFT(tblMovement[[#This Row],[Material]],3)="Ore",1,0))</f>
        <v/>
      </c>
      <c r="N4868" s="59">
        <f>IF(OR(tblMovement[[#This Row],[Tonnes_t]]="",tblMovement[[#This Row],[Grade_gpt]]=""),0,tblMovement[[#This Row],[Tonnes_t]]*tblMovement[[#This Row],[Grade_gpt]]/cfg_TroyOz)</f>
        <v/>
      </c>
      <c r="O4868" s="59">
        <f>IF(tblMovement[[#This Row],[Is_Ore]]=1,tblMovement[[#This Row],[Contained_oz]],0)</f>
        <v/>
      </c>
    </row>
    <row r="4869">
      <c r="A4869" s="54" t="n"/>
      <c r="B4869" s="61" t="n"/>
      <c r="C4869" s="61" t="n"/>
      <c r="D4869" s="61" t="n"/>
      <c r="E4869" s="61" t="n"/>
      <c r="F4869" s="55" t="n"/>
      <c r="G4869" s="56" t="n"/>
      <c r="H4869" s="55" t="n"/>
      <c r="I4869" s="62" t="n"/>
      <c r="J4869" s="58" t="n"/>
      <c r="K4869" s="63">
        <f>IF(tblMovement[[#This Row],[Source]]="","",IFERROR(INDEX(tblSources[Type],MATCH(tblMovement[[#This Row],[Source]],tblSources[Source],0)),"?"))</f>
        <v/>
      </c>
      <c r="L4869" s="63">
        <f>IF(tblMovement[[#This Row],[Destination]]="","",IFERROR(INDEX(tblDestinations[Type],MATCH(tblMovement[[#This Row],[Destination]],tblDestinations[Destination],0)),"?"))</f>
        <v/>
      </c>
      <c r="M4869" s="64">
        <f>IF(tblMovement[[#This Row],[Material]]="","",IF(LEFT(tblMovement[[#This Row],[Material]],3)="Ore",1,0))</f>
        <v/>
      </c>
      <c r="N4869" s="59">
        <f>IF(OR(tblMovement[[#This Row],[Tonnes_t]]="",tblMovement[[#This Row],[Grade_gpt]]=""),0,tblMovement[[#This Row],[Tonnes_t]]*tblMovement[[#This Row],[Grade_gpt]]/cfg_TroyOz)</f>
        <v/>
      </c>
      <c r="O4869" s="59">
        <f>IF(tblMovement[[#This Row],[Is_Ore]]=1,tblMovement[[#This Row],[Contained_oz]],0)</f>
        <v/>
      </c>
    </row>
    <row r="4870">
      <c r="A4870" s="54" t="n"/>
      <c r="B4870" s="61" t="n"/>
      <c r="C4870" s="61" t="n"/>
      <c r="D4870" s="61" t="n"/>
      <c r="E4870" s="61" t="n"/>
      <c r="F4870" s="55" t="n"/>
      <c r="G4870" s="56" t="n"/>
      <c r="H4870" s="55" t="n"/>
      <c r="I4870" s="62" t="n"/>
      <c r="J4870" s="58" t="n"/>
      <c r="K4870" s="63">
        <f>IF(tblMovement[[#This Row],[Source]]="","",IFERROR(INDEX(tblSources[Type],MATCH(tblMovement[[#This Row],[Source]],tblSources[Source],0)),"?"))</f>
        <v/>
      </c>
      <c r="L4870" s="63">
        <f>IF(tblMovement[[#This Row],[Destination]]="","",IFERROR(INDEX(tblDestinations[Type],MATCH(tblMovement[[#This Row],[Destination]],tblDestinations[Destination],0)),"?"))</f>
        <v/>
      </c>
      <c r="M4870" s="64">
        <f>IF(tblMovement[[#This Row],[Material]]="","",IF(LEFT(tblMovement[[#This Row],[Material]],3)="Ore",1,0))</f>
        <v/>
      </c>
      <c r="N4870" s="59">
        <f>IF(OR(tblMovement[[#This Row],[Tonnes_t]]="",tblMovement[[#This Row],[Grade_gpt]]=""),0,tblMovement[[#This Row],[Tonnes_t]]*tblMovement[[#This Row],[Grade_gpt]]/cfg_TroyOz)</f>
        <v/>
      </c>
      <c r="O4870" s="59">
        <f>IF(tblMovement[[#This Row],[Is_Ore]]=1,tblMovement[[#This Row],[Contained_oz]],0)</f>
        <v/>
      </c>
    </row>
    <row r="4871">
      <c r="A4871" s="54" t="n"/>
      <c r="B4871" s="61" t="n"/>
      <c r="C4871" s="61" t="n"/>
      <c r="D4871" s="61" t="n"/>
      <c r="E4871" s="61" t="n"/>
      <c r="F4871" s="55" t="n"/>
      <c r="G4871" s="56" t="n"/>
      <c r="H4871" s="55" t="n"/>
      <c r="I4871" s="62" t="n"/>
      <c r="J4871" s="58" t="n"/>
      <c r="K4871" s="63">
        <f>IF(tblMovement[[#This Row],[Source]]="","",IFERROR(INDEX(tblSources[Type],MATCH(tblMovement[[#This Row],[Source]],tblSources[Source],0)),"?"))</f>
        <v/>
      </c>
      <c r="L4871" s="63">
        <f>IF(tblMovement[[#This Row],[Destination]]="","",IFERROR(INDEX(tblDestinations[Type],MATCH(tblMovement[[#This Row],[Destination]],tblDestinations[Destination],0)),"?"))</f>
        <v/>
      </c>
      <c r="M4871" s="64">
        <f>IF(tblMovement[[#This Row],[Material]]="","",IF(LEFT(tblMovement[[#This Row],[Material]],3)="Ore",1,0))</f>
        <v/>
      </c>
      <c r="N4871" s="59">
        <f>IF(OR(tblMovement[[#This Row],[Tonnes_t]]="",tblMovement[[#This Row],[Grade_gpt]]=""),0,tblMovement[[#This Row],[Tonnes_t]]*tblMovement[[#This Row],[Grade_gpt]]/cfg_TroyOz)</f>
        <v/>
      </c>
      <c r="O4871" s="59">
        <f>IF(tblMovement[[#This Row],[Is_Ore]]=1,tblMovement[[#This Row],[Contained_oz]],0)</f>
        <v/>
      </c>
    </row>
    <row r="4872">
      <c r="A4872" s="54" t="n"/>
      <c r="B4872" s="61" t="n"/>
      <c r="C4872" s="61" t="n"/>
      <c r="D4872" s="61" t="n"/>
      <c r="E4872" s="61" t="n"/>
      <c r="F4872" s="55" t="n"/>
      <c r="G4872" s="56" t="n"/>
      <c r="H4872" s="55" t="n"/>
      <c r="I4872" s="62" t="n"/>
      <c r="J4872" s="58" t="n"/>
      <c r="K4872" s="63">
        <f>IF(tblMovement[[#This Row],[Source]]="","",IFERROR(INDEX(tblSources[Type],MATCH(tblMovement[[#This Row],[Source]],tblSources[Source],0)),"?"))</f>
        <v/>
      </c>
      <c r="L4872" s="63">
        <f>IF(tblMovement[[#This Row],[Destination]]="","",IFERROR(INDEX(tblDestinations[Type],MATCH(tblMovement[[#This Row],[Destination]],tblDestinations[Destination],0)),"?"))</f>
        <v/>
      </c>
      <c r="M4872" s="64">
        <f>IF(tblMovement[[#This Row],[Material]]="","",IF(LEFT(tblMovement[[#This Row],[Material]],3)="Ore",1,0))</f>
        <v/>
      </c>
      <c r="N4872" s="59">
        <f>IF(OR(tblMovement[[#This Row],[Tonnes_t]]="",tblMovement[[#This Row],[Grade_gpt]]=""),0,tblMovement[[#This Row],[Tonnes_t]]*tblMovement[[#This Row],[Grade_gpt]]/cfg_TroyOz)</f>
        <v/>
      </c>
      <c r="O4872" s="59">
        <f>IF(tblMovement[[#This Row],[Is_Ore]]=1,tblMovement[[#This Row],[Contained_oz]],0)</f>
        <v/>
      </c>
    </row>
    <row r="4873">
      <c r="A4873" s="54" t="n"/>
      <c r="B4873" s="61" t="n"/>
      <c r="C4873" s="61" t="n"/>
      <c r="D4873" s="61" t="n"/>
      <c r="E4873" s="61" t="n"/>
      <c r="F4873" s="55" t="n"/>
      <c r="G4873" s="56" t="n"/>
      <c r="H4873" s="55" t="n"/>
      <c r="I4873" s="62" t="n"/>
      <c r="J4873" s="58" t="n"/>
      <c r="K4873" s="63">
        <f>IF(tblMovement[[#This Row],[Source]]="","",IFERROR(INDEX(tblSources[Type],MATCH(tblMovement[[#This Row],[Source]],tblSources[Source],0)),"?"))</f>
        <v/>
      </c>
      <c r="L4873" s="63">
        <f>IF(tblMovement[[#This Row],[Destination]]="","",IFERROR(INDEX(tblDestinations[Type],MATCH(tblMovement[[#This Row],[Destination]],tblDestinations[Destination],0)),"?"))</f>
        <v/>
      </c>
      <c r="M4873" s="64">
        <f>IF(tblMovement[[#This Row],[Material]]="","",IF(LEFT(tblMovement[[#This Row],[Material]],3)="Ore",1,0))</f>
        <v/>
      </c>
      <c r="N4873" s="59">
        <f>IF(OR(tblMovement[[#This Row],[Tonnes_t]]="",tblMovement[[#This Row],[Grade_gpt]]=""),0,tblMovement[[#This Row],[Tonnes_t]]*tblMovement[[#This Row],[Grade_gpt]]/cfg_TroyOz)</f>
        <v/>
      </c>
      <c r="O4873" s="59">
        <f>IF(tblMovement[[#This Row],[Is_Ore]]=1,tblMovement[[#This Row],[Contained_oz]],0)</f>
        <v/>
      </c>
    </row>
    <row r="4874">
      <c r="A4874" s="54" t="n"/>
      <c r="B4874" s="61" t="n"/>
      <c r="C4874" s="61" t="n"/>
      <c r="D4874" s="61" t="n"/>
      <c r="E4874" s="61" t="n"/>
      <c r="F4874" s="55" t="n"/>
      <c r="G4874" s="56" t="n"/>
      <c r="H4874" s="55" t="n"/>
      <c r="I4874" s="62" t="n"/>
      <c r="J4874" s="58" t="n"/>
      <c r="K4874" s="63">
        <f>IF(tblMovement[[#This Row],[Source]]="","",IFERROR(INDEX(tblSources[Type],MATCH(tblMovement[[#This Row],[Source]],tblSources[Source],0)),"?"))</f>
        <v/>
      </c>
      <c r="L4874" s="63">
        <f>IF(tblMovement[[#This Row],[Destination]]="","",IFERROR(INDEX(tblDestinations[Type],MATCH(tblMovement[[#This Row],[Destination]],tblDestinations[Destination],0)),"?"))</f>
        <v/>
      </c>
      <c r="M4874" s="64">
        <f>IF(tblMovement[[#This Row],[Material]]="","",IF(LEFT(tblMovement[[#This Row],[Material]],3)="Ore",1,0))</f>
        <v/>
      </c>
      <c r="N4874" s="59">
        <f>IF(OR(tblMovement[[#This Row],[Tonnes_t]]="",tblMovement[[#This Row],[Grade_gpt]]=""),0,tblMovement[[#This Row],[Tonnes_t]]*tblMovement[[#This Row],[Grade_gpt]]/cfg_TroyOz)</f>
        <v/>
      </c>
      <c r="O4874" s="59">
        <f>IF(tblMovement[[#This Row],[Is_Ore]]=1,tblMovement[[#This Row],[Contained_oz]],0)</f>
        <v/>
      </c>
    </row>
    <row r="4875">
      <c r="A4875" s="54" t="n"/>
      <c r="B4875" s="61" t="n"/>
      <c r="C4875" s="61" t="n"/>
      <c r="D4875" s="61" t="n"/>
      <c r="E4875" s="61" t="n"/>
      <c r="F4875" s="55" t="n"/>
      <c r="G4875" s="56" t="n"/>
      <c r="H4875" s="55" t="n"/>
      <c r="I4875" s="62" t="n"/>
      <c r="J4875" s="58" t="n"/>
      <c r="K4875" s="63">
        <f>IF(tblMovement[[#This Row],[Source]]="","",IFERROR(INDEX(tblSources[Type],MATCH(tblMovement[[#This Row],[Source]],tblSources[Source],0)),"?"))</f>
        <v/>
      </c>
      <c r="L4875" s="63">
        <f>IF(tblMovement[[#This Row],[Destination]]="","",IFERROR(INDEX(tblDestinations[Type],MATCH(tblMovement[[#This Row],[Destination]],tblDestinations[Destination],0)),"?"))</f>
        <v/>
      </c>
      <c r="M4875" s="64">
        <f>IF(tblMovement[[#This Row],[Material]]="","",IF(LEFT(tblMovement[[#This Row],[Material]],3)="Ore",1,0))</f>
        <v/>
      </c>
      <c r="N4875" s="59">
        <f>IF(OR(tblMovement[[#This Row],[Tonnes_t]]="",tblMovement[[#This Row],[Grade_gpt]]=""),0,tblMovement[[#This Row],[Tonnes_t]]*tblMovement[[#This Row],[Grade_gpt]]/cfg_TroyOz)</f>
        <v/>
      </c>
      <c r="O4875" s="59">
        <f>IF(tblMovement[[#This Row],[Is_Ore]]=1,tblMovement[[#This Row],[Contained_oz]],0)</f>
        <v/>
      </c>
    </row>
    <row r="4876">
      <c r="A4876" s="54" t="n"/>
      <c r="B4876" s="61" t="n"/>
      <c r="C4876" s="61" t="n"/>
      <c r="D4876" s="61" t="n"/>
      <c r="E4876" s="61" t="n"/>
      <c r="F4876" s="55" t="n"/>
      <c r="G4876" s="56" t="n"/>
      <c r="H4876" s="55" t="n"/>
      <c r="I4876" s="62" t="n"/>
      <c r="J4876" s="58" t="n"/>
      <c r="K4876" s="63">
        <f>IF(tblMovement[[#This Row],[Source]]="","",IFERROR(INDEX(tblSources[Type],MATCH(tblMovement[[#This Row],[Source]],tblSources[Source],0)),"?"))</f>
        <v/>
      </c>
      <c r="L4876" s="63">
        <f>IF(tblMovement[[#This Row],[Destination]]="","",IFERROR(INDEX(tblDestinations[Type],MATCH(tblMovement[[#This Row],[Destination]],tblDestinations[Destination],0)),"?"))</f>
        <v/>
      </c>
      <c r="M4876" s="64">
        <f>IF(tblMovement[[#This Row],[Material]]="","",IF(LEFT(tblMovement[[#This Row],[Material]],3)="Ore",1,0))</f>
        <v/>
      </c>
      <c r="N4876" s="59">
        <f>IF(OR(tblMovement[[#This Row],[Tonnes_t]]="",tblMovement[[#This Row],[Grade_gpt]]=""),0,tblMovement[[#This Row],[Tonnes_t]]*tblMovement[[#This Row],[Grade_gpt]]/cfg_TroyOz)</f>
        <v/>
      </c>
      <c r="O4876" s="59">
        <f>IF(tblMovement[[#This Row],[Is_Ore]]=1,tblMovement[[#This Row],[Contained_oz]],0)</f>
        <v/>
      </c>
    </row>
    <row r="4877">
      <c r="A4877" s="54" t="n"/>
      <c r="B4877" s="61" t="n"/>
      <c r="C4877" s="61" t="n"/>
      <c r="D4877" s="61" t="n"/>
      <c r="E4877" s="61" t="n"/>
      <c r="F4877" s="55" t="n"/>
      <c r="G4877" s="56" t="n"/>
      <c r="H4877" s="55" t="n"/>
      <c r="I4877" s="62" t="n"/>
      <c r="J4877" s="58" t="n"/>
      <c r="K4877" s="63">
        <f>IF(tblMovement[[#This Row],[Source]]="","",IFERROR(INDEX(tblSources[Type],MATCH(tblMovement[[#This Row],[Source]],tblSources[Source],0)),"?"))</f>
        <v/>
      </c>
      <c r="L4877" s="63">
        <f>IF(tblMovement[[#This Row],[Destination]]="","",IFERROR(INDEX(tblDestinations[Type],MATCH(tblMovement[[#This Row],[Destination]],tblDestinations[Destination],0)),"?"))</f>
        <v/>
      </c>
      <c r="M4877" s="64">
        <f>IF(tblMovement[[#This Row],[Material]]="","",IF(LEFT(tblMovement[[#This Row],[Material]],3)="Ore",1,0))</f>
        <v/>
      </c>
      <c r="N4877" s="59">
        <f>IF(OR(tblMovement[[#This Row],[Tonnes_t]]="",tblMovement[[#This Row],[Grade_gpt]]=""),0,tblMovement[[#This Row],[Tonnes_t]]*tblMovement[[#This Row],[Grade_gpt]]/cfg_TroyOz)</f>
        <v/>
      </c>
      <c r="O4877" s="59">
        <f>IF(tblMovement[[#This Row],[Is_Ore]]=1,tblMovement[[#This Row],[Contained_oz]],0)</f>
        <v/>
      </c>
    </row>
    <row r="4878">
      <c r="A4878" s="54" t="n"/>
      <c r="B4878" s="61" t="n"/>
      <c r="C4878" s="61" t="n"/>
      <c r="D4878" s="61" t="n"/>
      <c r="E4878" s="61" t="n"/>
      <c r="F4878" s="55" t="n"/>
      <c r="G4878" s="56" t="n"/>
      <c r="H4878" s="55" t="n"/>
      <c r="I4878" s="62" t="n"/>
      <c r="J4878" s="58" t="n"/>
      <c r="K4878" s="63">
        <f>IF(tblMovement[[#This Row],[Source]]="","",IFERROR(INDEX(tblSources[Type],MATCH(tblMovement[[#This Row],[Source]],tblSources[Source],0)),"?"))</f>
        <v/>
      </c>
      <c r="L4878" s="63">
        <f>IF(tblMovement[[#This Row],[Destination]]="","",IFERROR(INDEX(tblDestinations[Type],MATCH(tblMovement[[#This Row],[Destination]],tblDestinations[Destination],0)),"?"))</f>
        <v/>
      </c>
      <c r="M4878" s="64">
        <f>IF(tblMovement[[#This Row],[Material]]="","",IF(LEFT(tblMovement[[#This Row],[Material]],3)="Ore",1,0))</f>
        <v/>
      </c>
      <c r="N4878" s="59">
        <f>IF(OR(tblMovement[[#This Row],[Tonnes_t]]="",tblMovement[[#This Row],[Grade_gpt]]=""),0,tblMovement[[#This Row],[Tonnes_t]]*tblMovement[[#This Row],[Grade_gpt]]/cfg_TroyOz)</f>
        <v/>
      </c>
      <c r="O4878" s="59">
        <f>IF(tblMovement[[#This Row],[Is_Ore]]=1,tblMovement[[#This Row],[Contained_oz]],0)</f>
        <v/>
      </c>
    </row>
    <row r="4879">
      <c r="A4879" s="54" t="n"/>
      <c r="B4879" s="61" t="n"/>
      <c r="C4879" s="61" t="n"/>
      <c r="D4879" s="61" t="n"/>
      <c r="E4879" s="61" t="n"/>
      <c r="F4879" s="55" t="n"/>
      <c r="G4879" s="56" t="n"/>
      <c r="H4879" s="55" t="n"/>
      <c r="I4879" s="62" t="n"/>
      <c r="J4879" s="58" t="n"/>
      <c r="K4879" s="63">
        <f>IF(tblMovement[[#This Row],[Source]]="","",IFERROR(INDEX(tblSources[Type],MATCH(tblMovement[[#This Row],[Source]],tblSources[Source],0)),"?"))</f>
        <v/>
      </c>
      <c r="L4879" s="63">
        <f>IF(tblMovement[[#This Row],[Destination]]="","",IFERROR(INDEX(tblDestinations[Type],MATCH(tblMovement[[#This Row],[Destination]],tblDestinations[Destination],0)),"?"))</f>
        <v/>
      </c>
      <c r="M4879" s="64">
        <f>IF(tblMovement[[#This Row],[Material]]="","",IF(LEFT(tblMovement[[#This Row],[Material]],3)="Ore",1,0))</f>
        <v/>
      </c>
      <c r="N4879" s="59">
        <f>IF(OR(tblMovement[[#This Row],[Tonnes_t]]="",tblMovement[[#This Row],[Grade_gpt]]=""),0,tblMovement[[#This Row],[Tonnes_t]]*tblMovement[[#This Row],[Grade_gpt]]/cfg_TroyOz)</f>
        <v/>
      </c>
      <c r="O4879" s="59">
        <f>IF(tblMovement[[#This Row],[Is_Ore]]=1,tblMovement[[#This Row],[Contained_oz]],0)</f>
        <v/>
      </c>
    </row>
    <row r="4880">
      <c r="A4880" s="54" t="n"/>
      <c r="B4880" s="61" t="n"/>
      <c r="C4880" s="61" t="n"/>
      <c r="D4880" s="61" t="n"/>
      <c r="E4880" s="61" t="n"/>
      <c r="F4880" s="55" t="n"/>
      <c r="G4880" s="56" t="n"/>
      <c r="H4880" s="55" t="n"/>
      <c r="I4880" s="62" t="n"/>
      <c r="J4880" s="58" t="n"/>
      <c r="K4880" s="63">
        <f>IF(tblMovement[[#This Row],[Source]]="","",IFERROR(INDEX(tblSources[Type],MATCH(tblMovement[[#This Row],[Source]],tblSources[Source],0)),"?"))</f>
        <v/>
      </c>
      <c r="L4880" s="63">
        <f>IF(tblMovement[[#This Row],[Destination]]="","",IFERROR(INDEX(tblDestinations[Type],MATCH(tblMovement[[#This Row],[Destination]],tblDestinations[Destination],0)),"?"))</f>
        <v/>
      </c>
      <c r="M4880" s="64">
        <f>IF(tblMovement[[#This Row],[Material]]="","",IF(LEFT(tblMovement[[#This Row],[Material]],3)="Ore",1,0))</f>
        <v/>
      </c>
      <c r="N4880" s="59">
        <f>IF(OR(tblMovement[[#This Row],[Tonnes_t]]="",tblMovement[[#This Row],[Grade_gpt]]=""),0,tblMovement[[#This Row],[Tonnes_t]]*tblMovement[[#This Row],[Grade_gpt]]/cfg_TroyOz)</f>
        <v/>
      </c>
      <c r="O4880" s="59">
        <f>IF(tblMovement[[#This Row],[Is_Ore]]=1,tblMovement[[#This Row],[Contained_oz]],0)</f>
        <v/>
      </c>
    </row>
    <row r="4881">
      <c r="A4881" s="54" t="n"/>
      <c r="B4881" s="61" t="n"/>
      <c r="C4881" s="61" t="n"/>
      <c r="D4881" s="61" t="n"/>
      <c r="E4881" s="61" t="n"/>
      <c r="F4881" s="55" t="n"/>
      <c r="G4881" s="56" t="n"/>
      <c r="H4881" s="55" t="n"/>
      <c r="I4881" s="62" t="n"/>
      <c r="J4881" s="58" t="n"/>
      <c r="K4881" s="63">
        <f>IF(tblMovement[[#This Row],[Source]]="","",IFERROR(INDEX(tblSources[Type],MATCH(tblMovement[[#This Row],[Source]],tblSources[Source],0)),"?"))</f>
        <v/>
      </c>
      <c r="L4881" s="63">
        <f>IF(tblMovement[[#This Row],[Destination]]="","",IFERROR(INDEX(tblDestinations[Type],MATCH(tblMovement[[#This Row],[Destination]],tblDestinations[Destination],0)),"?"))</f>
        <v/>
      </c>
      <c r="M4881" s="64">
        <f>IF(tblMovement[[#This Row],[Material]]="","",IF(LEFT(tblMovement[[#This Row],[Material]],3)="Ore",1,0))</f>
        <v/>
      </c>
      <c r="N4881" s="59">
        <f>IF(OR(tblMovement[[#This Row],[Tonnes_t]]="",tblMovement[[#This Row],[Grade_gpt]]=""),0,tblMovement[[#This Row],[Tonnes_t]]*tblMovement[[#This Row],[Grade_gpt]]/cfg_TroyOz)</f>
        <v/>
      </c>
      <c r="O4881" s="59">
        <f>IF(tblMovement[[#This Row],[Is_Ore]]=1,tblMovement[[#This Row],[Contained_oz]],0)</f>
        <v/>
      </c>
    </row>
    <row r="4882">
      <c r="A4882" s="54" t="n"/>
      <c r="B4882" s="61" t="n"/>
      <c r="C4882" s="61" t="n"/>
      <c r="D4882" s="61" t="n"/>
      <c r="E4882" s="61" t="n"/>
      <c r="F4882" s="55" t="n"/>
      <c r="G4882" s="56" t="n"/>
      <c r="H4882" s="55" t="n"/>
      <c r="I4882" s="62" t="n"/>
      <c r="J4882" s="58" t="n"/>
      <c r="K4882" s="63">
        <f>IF(tblMovement[[#This Row],[Source]]="","",IFERROR(INDEX(tblSources[Type],MATCH(tblMovement[[#This Row],[Source]],tblSources[Source],0)),"?"))</f>
        <v/>
      </c>
      <c r="L4882" s="63">
        <f>IF(tblMovement[[#This Row],[Destination]]="","",IFERROR(INDEX(tblDestinations[Type],MATCH(tblMovement[[#This Row],[Destination]],tblDestinations[Destination],0)),"?"))</f>
        <v/>
      </c>
      <c r="M4882" s="64">
        <f>IF(tblMovement[[#This Row],[Material]]="","",IF(LEFT(tblMovement[[#This Row],[Material]],3)="Ore",1,0))</f>
        <v/>
      </c>
      <c r="N4882" s="59">
        <f>IF(OR(tblMovement[[#This Row],[Tonnes_t]]="",tblMovement[[#This Row],[Grade_gpt]]=""),0,tblMovement[[#This Row],[Tonnes_t]]*tblMovement[[#This Row],[Grade_gpt]]/cfg_TroyOz)</f>
        <v/>
      </c>
      <c r="O4882" s="59">
        <f>IF(tblMovement[[#This Row],[Is_Ore]]=1,tblMovement[[#This Row],[Contained_oz]],0)</f>
        <v/>
      </c>
    </row>
    <row r="4883">
      <c r="A4883" s="54" t="n"/>
      <c r="B4883" s="61" t="n"/>
      <c r="C4883" s="61" t="n"/>
      <c r="D4883" s="61" t="n"/>
      <c r="E4883" s="61" t="n"/>
      <c r="F4883" s="55" t="n"/>
      <c r="G4883" s="56" t="n"/>
      <c r="H4883" s="55" t="n"/>
      <c r="I4883" s="62" t="n"/>
      <c r="J4883" s="58" t="n"/>
      <c r="K4883" s="63">
        <f>IF(tblMovement[[#This Row],[Source]]="","",IFERROR(INDEX(tblSources[Type],MATCH(tblMovement[[#This Row],[Source]],tblSources[Source],0)),"?"))</f>
        <v/>
      </c>
      <c r="L4883" s="63">
        <f>IF(tblMovement[[#This Row],[Destination]]="","",IFERROR(INDEX(tblDestinations[Type],MATCH(tblMovement[[#This Row],[Destination]],tblDestinations[Destination],0)),"?"))</f>
        <v/>
      </c>
      <c r="M4883" s="64">
        <f>IF(tblMovement[[#This Row],[Material]]="","",IF(LEFT(tblMovement[[#This Row],[Material]],3)="Ore",1,0))</f>
        <v/>
      </c>
      <c r="N4883" s="59">
        <f>IF(OR(tblMovement[[#This Row],[Tonnes_t]]="",tblMovement[[#This Row],[Grade_gpt]]=""),0,tblMovement[[#This Row],[Tonnes_t]]*tblMovement[[#This Row],[Grade_gpt]]/cfg_TroyOz)</f>
        <v/>
      </c>
      <c r="O4883" s="59">
        <f>IF(tblMovement[[#This Row],[Is_Ore]]=1,tblMovement[[#This Row],[Contained_oz]],0)</f>
        <v/>
      </c>
    </row>
    <row r="4884">
      <c r="A4884" s="54" t="n"/>
      <c r="B4884" s="61" t="n"/>
      <c r="C4884" s="61" t="n"/>
      <c r="D4884" s="61" t="n"/>
      <c r="E4884" s="61" t="n"/>
      <c r="F4884" s="55" t="n"/>
      <c r="G4884" s="56" t="n"/>
      <c r="H4884" s="55" t="n"/>
      <c r="I4884" s="62" t="n"/>
      <c r="J4884" s="58" t="n"/>
      <c r="K4884" s="63">
        <f>IF(tblMovement[[#This Row],[Source]]="","",IFERROR(INDEX(tblSources[Type],MATCH(tblMovement[[#This Row],[Source]],tblSources[Source],0)),"?"))</f>
        <v/>
      </c>
      <c r="L4884" s="63">
        <f>IF(tblMovement[[#This Row],[Destination]]="","",IFERROR(INDEX(tblDestinations[Type],MATCH(tblMovement[[#This Row],[Destination]],tblDestinations[Destination],0)),"?"))</f>
        <v/>
      </c>
      <c r="M4884" s="64">
        <f>IF(tblMovement[[#This Row],[Material]]="","",IF(LEFT(tblMovement[[#This Row],[Material]],3)="Ore",1,0))</f>
        <v/>
      </c>
      <c r="N4884" s="59">
        <f>IF(OR(tblMovement[[#This Row],[Tonnes_t]]="",tblMovement[[#This Row],[Grade_gpt]]=""),0,tblMovement[[#This Row],[Tonnes_t]]*tblMovement[[#This Row],[Grade_gpt]]/cfg_TroyOz)</f>
        <v/>
      </c>
      <c r="O4884" s="59">
        <f>IF(tblMovement[[#This Row],[Is_Ore]]=1,tblMovement[[#This Row],[Contained_oz]],0)</f>
        <v/>
      </c>
    </row>
    <row r="4885">
      <c r="A4885" s="54" t="n"/>
      <c r="B4885" s="61" t="n"/>
      <c r="C4885" s="61" t="n"/>
      <c r="D4885" s="61" t="n"/>
      <c r="E4885" s="61" t="n"/>
      <c r="F4885" s="55" t="n"/>
      <c r="G4885" s="56" t="n"/>
      <c r="H4885" s="55" t="n"/>
      <c r="I4885" s="62" t="n"/>
      <c r="J4885" s="58" t="n"/>
      <c r="K4885" s="63">
        <f>IF(tblMovement[[#This Row],[Source]]="","",IFERROR(INDEX(tblSources[Type],MATCH(tblMovement[[#This Row],[Source]],tblSources[Source],0)),"?"))</f>
        <v/>
      </c>
      <c r="L4885" s="63">
        <f>IF(tblMovement[[#This Row],[Destination]]="","",IFERROR(INDEX(tblDestinations[Type],MATCH(tblMovement[[#This Row],[Destination]],tblDestinations[Destination],0)),"?"))</f>
        <v/>
      </c>
      <c r="M4885" s="64">
        <f>IF(tblMovement[[#This Row],[Material]]="","",IF(LEFT(tblMovement[[#This Row],[Material]],3)="Ore",1,0))</f>
        <v/>
      </c>
      <c r="N4885" s="59">
        <f>IF(OR(tblMovement[[#This Row],[Tonnes_t]]="",tblMovement[[#This Row],[Grade_gpt]]=""),0,tblMovement[[#This Row],[Tonnes_t]]*tblMovement[[#This Row],[Grade_gpt]]/cfg_TroyOz)</f>
        <v/>
      </c>
      <c r="O4885" s="59">
        <f>IF(tblMovement[[#This Row],[Is_Ore]]=1,tblMovement[[#This Row],[Contained_oz]],0)</f>
        <v/>
      </c>
    </row>
    <row r="4886">
      <c r="A4886" s="54" t="n"/>
      <c r="B4886" s="61" t="n"/>
      <c r="C4886" s="61" t="n"/>
      <c r="D4886" s="61" t="n"/>
      <c r="E4886" s="61" t="n"/>
      <c r="F4886" s="55" t="n"/>
      <c r="G4886" s="56" t="n"/>
      <c r="H4886" s="55" t="n"/>
      <c r="I4886" s="62" t="n"/>
      <c r="J4886" s="58" t="n"/>
      <c r="K4886" s="63">
        <f>IF(tblMovement[[#This Row],[Source]]="","",IFERROR(INDEX(tblSources[Type],MATCH(tblMovement[[#This Row],[Source]],tblSources[Source],0)),"?"))</f>
        <v/>
      </c>
      <c r="L4886" s="63">
        <f>IF(tblMovement[[#This Row],[Destination]]="","",IFERROR(INDEX(tblDestinations[Type],MATCH(tblMovement[[#This Row],[Destination]],tblDestinations[Destination],0)),"?"))</f>
        <v/>
      </c>
      <c r="M4886" s="64">
        <f>IF(tblMovement[[#This Row],[Material]]="","",IF(LEFT(tblMovement[[#This Row],[Material]],3)="Ore",1,0))</f>
        <v/>
      </c>
      <c r="N4886" s="59">
        <f>IF(OR(tblMovement[[#This Row],[Tonnes_t]]="",tblMovement[[#This Row],[Grade_gpt]]=""),0,tblMovement[[#This Row],[Tonnes_t]]*tblMovement[[#This Row],[Grade_gpt]]/cfg_TroyOz)</f>
        <v/>
      </c>
      <c r="O4886" s="59">
        <f>IF(tblMovement[[#This Row],[Is_Ore]]=1,tblMovement[[#This Row],[Contained_oz]],0)</f>
        <v/>
      </c>
    </row>
    <row r="4887">
      <c r="A4887" s="54" t="n"/>
      <c r="B4887" s="61" t="n"/>
      <c r="C4887" s="61" t="n"/>
      <c r="D4887" s="61" t="n"/>
      <c r="E4887" s="61" t="n"/>
      <c r="F4887" s="55" t="n"/>
      <c r="G4887" s="56" t="n"/>
      <c r="H4887" s="55" t="n"/>
      <c r="I4887" s="62" t="n"/>
      <c r="J4887" s="58" t="n"/>
      <c r="K4887" s="63">
        <f>IF(tblMovement[[#This Row],[Source]]="","",IFERROR(INDEX(tblSources[Type],MATCH(tblMovement[[#This Row],[Source]],tblSources[Source],0)),"?"))</f>
        <v/>
      </c>
      <c r="L4887" s="63">
        <f>IF(tblMovement[[#This Row],[Destination]]="","",IFERROR(INDEX(tblDestinations[Type],MATCH(tblMovement[[#This Row],[Destination]],tblDestinations[Destination],0)),"?"))</f>
        <v/>
      </c>
      <c r="M4887" s="64">
        <f>IF(tblMovement[[#This Row],[Material]]="","",IF(LEFT(tblMovement[[#This Row],[Material]],3)="Ore",1,0))</f>
        <v/>
      </c>
      <c r="N4887" s="59">
        <f>IF(OR(tblMovement[[#This Row],[Tonnes_t]]="",tblMovement[[#This Row],[Grade_gpt]]=""),0,tblMovement[[#This Row],[Tonnes_t]]*tblMovement[[#This Row],[Grade_gpt]]/cfg_TroyOz)</f>
        <v/>
      </c>
      <c r="O4887" s="59">
        <f>IF(tblMovement[[#This Row],[Is_Ore]]=1,tblMovement[[#This Row],[Contained_oz]],0)</f>
        <v/>
      </c>
    </row>
    <row r="4888">
      <c r="A4888" s="54" t="n"/>
      <c r="B4888" s="61" t="n"/>
      <c r="C4888" s="61" t="n"/>
      <c r="D4888" s="61" t="n"/>
      <c r="E4888" s="61" t="n"/>
      <c r="F4888" s="55" t="n"/>
      <c r="G4888" s="56" t="n"/>
      <c r="H4888" s="55" t="n"/>
      <c r="I4888" s="62" t="n"/>
      <c r="J4888" s="58" t="n"/>
      <c r="K4888" s="63">
        <f>IF(tblMovement[[#This Row],[Source]]="","",IFERROR(INDEX(tblSources[Type],MATCH(tblMovement[[#This Row],[Source]],tblSources[Source],0)),"?"))</f>
        <v/>
      </c>
      <c r="L4888" s="63">
        <f>IF(tblMovement[[#This Row],[Destination]]="","",IFERROR(INDEX(tblDestinations[Type],MATCH(tblMovement[[#This Row],[Destination]],tblDestinations[Destination],0)),"?"))</f>
        <v/>
      </c>
      <c r="M4888" s="64">
        <f>IF(tblMovement[[#This Row],[Material]]="","",IF(LEFT(tblMovement[[#This Row],[Material]],3)="Ore",1,0))</f>
        <v/>
      </c>
      <c r="N4888" s="59">
        <f>IF(OR(tblMovement[[#This Row],[Tonnes_t]]="",tblMovement[[#This Row],[Grade_gpt]]=""),0,tblMovement[[#This Row],[Tonnes_t]]*tblMovement[[#This Row],[Grade_gpt]]/cfg_TroyOz)</f>
        <v/>
      </c>
      <c r="O4888" s="59">
        <f>IF(tblMovement[[#This Row],[Is_Ore]]=1,tblMovement[[#This Row],[Contained_oz]],0)</f>
        <v/>
      </c>
    </row>
    <row r="4889">
      <c r="A4889" s="54" t="n"/>
      <c r="B4889" s="61" t="n"/>
      <c r="C4889" s="61" t="n"/>
      <c r="D4889" s="61" t="n"/>
      <c r="E4889" s="61" t="n"/>
      <c r="F4889" s="55" t="n"/>
      <c r="G4889" s="56" t="n"/>
      <c r="H4889" s="55" t="n"/>
      <c r="I4889" s="62" t="n"/>
      <c r="J4889" s="58" t="n"/>
      <c r="K4889" s="63">
        <f>IF(tblMovement[[#This Row],[Source]]="","",IFERROR(INDEX(tblSources[Type],MATCH(tblMovement[[#This Row],[Source]],tblSources[Source],0)),"?"))</f>
        <v/>
      </c>
      <c r="L4889" s="63">
        <f>IF(tblMovement[[#This Row],[Destination]]="","",IFERROR(INDEX(tblDestinations[Type],MATCH(tblMovement[[#This Row],[Destination]],tblDestinations[Destination],0)),"?"))</f>
        <v/>
      </c>
      <c r="M4889" s="64">
        <f>IF(tblMovement[[#This Row],[Material]]="","",IF(LEFT(tblMovement[[#This Row],[Material]],3)="Ore",1,0))</f>
        <v/>
      </c>
      <c r="N4889" s="59">
        <f>IF(OR(tblMovement[[#This Row],[Tonnes_t]]="",tblMovement[[#This Row],[Grade_gpt]]=""),0,tblMovement[[#This Row],[Tonnes_t]]*tblMovement[[#This Row],[Grade_gpt]]/cfg_TroyOz)</f>
        <v/>
      </c>
      <c r="O4889" s="59">
        <f>IF(tblMovement[[#This Row],[Is_Ore]]=1,tblMovement[[#This Row],[Contained_oz]],0)</f>
        <v/>
      </c>
    </row>
    <row r="4890">
      <c r="A4890" s="54" t="n"/>
      <c r="B4890" s="61" t="n"/>
      <c r="C4890" s="61" t="n"/>
      <c r="D4890" s="61" t="n"/>
      <c r="E4890" s="61" t="n"/>
      <c r="F4890" s="55" t="n"/>
      <c r="G4890" s="56" t="n"/>
      <c r="H4890" s="55" t="n"/>
      <c r="I4890" s="62" t="n"/>
      <c r="J4890" s="58" t="n"/>
      <c r="K4890" s="63">
        <f>IF(tblMovement[[#This Row],[Source]]="","",IFERROR(INDEX(tblSources[Type],MATCH(tblMovement[[#This Row],[Source]],tblSources[Source],0)),"?"))</f>
        <v/>
      </c>
      <c r="L4890" s="63">
        <f>IF(tblMovement[[#This Row],[Destination]]="","",IFERROR(INDEX(tblDestinations[Type],MATCH(tblMovement[[#This Row],[Destination]],tblDestinations[Destination],0)),"?"))</f>
        <v/>
      </c>
      <c r="M4890" s="64">
        <f>IF(tblMovement[[#This Row],[Material]]="","",IF(LEFT(tblMovement[[#This Row],[Material]],3)="Ore",1,0))</f>
        <v/>
      </c>
      <c r="N4890" s="59">
        <f>IF(OR(tblMovement[[#This Row],[Tonnes_t]]="",tblMovement[[#This Row],[Grade_gpt]]=""),0,tblMovement[[#This Row],[Tonnes_t]]*tblMovement[[#This Row],[Grade_gpt]]/cfg_TroyOz)</f>
        <v/>
      </c>
      <c r="O4890" s="59">
        <f>IF(tblMovement[[#This Row],[Is_Ore]]=1,tblMovement[[#This Row],[Contained_oz]],0)</f>
        <v/>
      </c>
    </row>
    <row r="4891">
      <c r="A4891" s="54" t="n"/>
      <c r="B4891" s="61" t="n"/>
      <c r="C4891" s="61" t="n"/>
      <c r="D4891" s="61" t="n"/>
      <c r="E4891" s="61" t="n"/>
      <c r="F4891" s="55" t="n"/>
      <c r="G4891" s="56" t="n"/>
      <c r="H4891" s="55" t="n"/>
      <c r="I4891" s="62" t="n"/>
      <c r="J4891" s="58" t="n"/>
      <c r="K4891" s="63">
        <f>IF(tblMovement[[#This Row],[Source]]="","",IFERROR(INDEX(tblSources[Type],MATCH(tblMovement[[#This Row],[Source]],tblSources[Source],0)),"?"))</f>
        <v/>
      </c>
      <c r="L4891" s="63">
        <f>IF(tblMovement[[#This Row],[Destination]]="","",IFERROR(INDEX(tblDestinations[Type],MATCH(tblMovement[[#This Row],[Destination]],tblDestinations[Destination],0)),"?"))</f>
        <v/>
      </c>
      <c r="M4891" s="64">
        <f>IF(tblMovement[[#This Row],[Material]]="","",IF(LEFT(tblMovement[[#This Row],[Material]],3)="Ore",1,0))</f>
        <v/>
      </c>
      <c r="N4891" s="59">
        <f>IF(OR(tblMovement[[#This Row],[Tonnes_t]]="",tblMovement[[#This Row],[Grade_gpt]]=""),0,tblMovement[[#This Row],[Tonnes_t]]*tblMovement[[#This Row],[Grade_gpt]]/cfg_TroyOz)</f>
        <v/>
      </c>
      <c r="O4891" s="59">
        <f>IF(tblMovement[[#This Row],[Is_Ore]]=1,tblMovement[[#This Row],[Contained_oz]],0)</f>
        <v/>
      </c>
    </row>
    <row r="4892">
      <c r="A4892" s="54" t="n"/>
      <c r="B4892" s="61" t="n"/>
      <c r="C4892" s="61" t="n"/>
      <c r="D4892" s="61" t="n"/>
      <c r="E4892" s="61" t="n"/>
      <c r="F4892" s="55" t="n"/>
      <c r="G4892" s="56" t="n"/>
      <c r="H4892" s="55" t="n"/>
      <c r="I4892" s="62" t="n"/>
      <c r="J4892" s="58" t="n"/>
      <c r="K4892" s="63">
        <f>IF(tblMovement[[#This Row],[Source]]="","",IFERROR(INDEX(tblSources[Type],MATCH(tblMovement[[#This Row],[Source]],tblSources[Source],0)),"?"))</f>
        <v/>
      </c>
      <c r="L4892" s="63">
        <f>IF(tblMovement[[#This Row],[Destination]]="","",IFERROR(INDEX(tblDestinations[Type],MATCH(tblMovement[[#This Row],[Destination]],tblDestinations[Destination],0)),"?"))</f>
        <v/>
      </c>
      <c r="M4892" s="64">
        <f>IF(tblMovement[[#This Row],[Material]]="","",IF(LEFT(tblMovement[[#This Row],[Material]],3)="Ore",1,0))</f>
        <v/>
      </c>
      <c r="N4892" s="59">
        <f>IF(OR(tblMovement[[#This Row],[Tonnes_t]]="",tblMovement[[#This Row],[Grade_gpt]]=""),0,tblMovement[[#This Row],[Tonnes_t]]*tblMovement[[#This Row],[Grade_gpt]]/cfg_TroyOz)</f>
        <v/>
      </c>
      <c r="O4892" s="59">
        <f>IF(tblMovement[[#This Row],[Is_Ore]]=1,tblMovement[[#This Row],[Contained_oz]],0)</f>
        <v/>
      </c>
    </row>
    <row r="4893">
      <c r="A4893" s="54" t="n"/>
      <c r="B4893" s="61" t="n"/>
      <c r="C4893" s="61" t="n"/>
      <c r="D4893" s="61" t="n"/>
      <c r="E4893" s="61" t="n"/>
      <c r="F4893" s="55" t="n"/>
      <c r="G4893" s="56" t="n"/>
      <c r="H4893" s="55" t="n"/>
      <c r="I4893" s="62" t="n"/>
      <c r="J4893" s="58" t="n"/>
      <c r="K4893" s="63">
        <f>IF(tblMovement[[#This Row],[Source]]="","",IFERROR(INDEX(tblSources[Type],MATCH(tblMovement[[#This Row],[Source]],tblSources[Source],0)),"?"))</f>
        <v/>
      </c>
      <c r="L4893" s="63">
        <f>IF(tblMovement[[#This Row],[Destination]]="","",IFERROR(INDEX(tblDestinations[Type],MATCH(tblMovement[[#This Row],[Destination]],tblDestinations[Destination],0)),"?"))</f>
        <v/>
      </c>
      <c r="M4893" s="64">
        <f>IF(tblMovement[[#This Row],[Material]]="","",IF(LEFT(tblMovement[[#This Row],[Material]],3)="Ore",1,0))</f>
        <v/>
      </c>
      <c r="N4893" s="59">
        <f>IF(OR(tblMovement[[#This Row],[Tonnes_t]]="",tblMovement[[#This Row],[Grade_gpt]]=""),0,tblMovement[[#This Row],[Tonnes_t]]*tblMovement[[#This Row],[Grade_gpt]]/cfg_TroyOz)</f>
        <v/>
      </c>
      <c r="O4893" s="59">
        <f>IF(tblMovement[[#This Row],[Is_Ore]]=1,tblMovement[[#This Row],[Contained_oz]],0)</f>
        <v/>
      </c>
    </row>
    <row r="4894">
      <c r="A4894" s="54" t="n"/>
      <c r="B4894" s="61" t="n"/>
      <c r="C4894" s="61" t="n"/>
      <c r="D4894" s="61" t="n"/>
      <c r="E4894" s="61" t="n"/>
      <c r="F4894" s="55" t="n"/>
      <c r="G4894" s="56" t="n"/>
      <c r="H4894" s="55" t="n"/>
      <c r="I4894" s="62" t="n"/>
      <c r="J4894" s="58" t="n"/>
      <c r="K4894" s="63">
        <f>IF(tblMovement[[#This Row],[Source]]="","",IFERROR(INDEX(tblSources[Type],MATCH(tblMovement[[#This Row],[Source]],tblSources[Source],0)),"?"))</f>
        <v/>
      </c>
      <c r="L4894" s="63">
        <f>IF(tblMovement[[#This Row],[Destination]]="","",IFERROR(INDEX(tblDestinations[Type],MATCH(tblMovement[[#This Row],[Destination]],tblDestinations[Destination],0)),"?"))</f>
        <v/>
      </c>
      <c r="M4894" s="64">
        <f>IF(tblMovement[[#This Row],[Material]]="","",IF(LEFT(tblMovement[[#This Row],[Material]],3)="Ore",1,0))</f>
        <v/>
      </c>
      <c r="N4894" s="59">
        <f>IF(OR(tblMovement[[#This Row],[Tonnes_t]]="",tblMovement[[#This Row],[Grade_gpt]]=""),0,tblMovement[[#This Row],[Tonnes_t]]*tblMovement[[#This Row],[Grade_gpt]]/cfg_TroyOz)</f>
        <v/>
      </c>
      <c r="O4894" s="59">
        <f>IF(tblMovement[[#This Row],[Is_Ore]]=1,tblMovement[[#This Row],[Contained_oz]],0)</f>
        <v/>
      </c>
    </row>
    <row r="4895">
      <c r="A4895" s="54" t="n"/>
      <c r="B4895" s="61" t="n"/>
      <c r="C4895" s="61" t="n"/>
      <c r="D4895" s="61" t="n"/>
      <c r="E4895" s="61" t="n"/>
      <c r="F4895" s="55" t="n"/>
      <c r="G4895" s="56" t="n"/>
      <c r="H4895" s="55" t="n"/>
      <c r="I4895" s="62" t="n"/>
      <c r="J4895" s="58" t="n"/>
      <c r="K4895" s="63">
        <f>IF(tblMovement[[#This Row],[Source]]="","",IFERROR(INDEX(tblSources[Type],MATCH(tblMovement[[#This Row],[Source]],tblSources[Source],0)),"?"))</f>
        <v/>
      </c>
      <c r="L4895" s="63">
        <f>IF(tblMovement[[#This Row],[Destination]]="","",IFERROR(INDEX(tblDestinations[Type],MATCH(tblMovement[[#This Row],[Destination]],tblDestinations[Destination],0)),"?"))</f>
        <v/>
      </c>
      <c r="M4895" s="64">
        <f>IF(tblMovement[[#This Row],[Material]]="","",IF(LEFT(tblMovement[[#This Row],[Material]],3)="Ore",1,0))</f>
        <v/>
      </c>
      <c r="N4895" s="59">
        <f>IF(OR(tblMovement[[#This Row],[Tonnes_t]]="",tblMovement[[#This Row],[Grade_gpt]]=""),0,tblMovement[[#This Row],[Tonnes_t]]*tblMovement[[#This Row],[Grade_gpt]]/cfg_TroyOz)</f>
        <v/>
      </c>
      <c r="O4895" s="59">
        <f>IF(tblMovement[[#This Row],[Is_Ore]]=1,tblMovement[[#This Row],[Contained_oz]],0)</f>
        <v/>
      </c>
    </row>
    <row r="4896">
      <c r="A4896" s="54" t="n"/>
      <c r="B4896" s="61" t="n"/>
      <c r="C4896" s="61" t="n"/>
      <c r="D4896" s="61" t="n"/>
      <c r="E4896" s="61" t="n"/>
      <c r="F4896" s="55" t="n"/>
      <c r="G4896" s="56" t="n"/>
      <c r="H4896" s="55" t="n"/>
      <c r="I4896" s="62" t="n"/>
      <c r="J4896" s="58" t="n"/>
      <c r="K4896" s="63">
        <f>IF(tblMovement[[#This Row],[Source]]="","",IFERROR(INDEX(tblSources[Type],MATCH(tblMovement[[#This Row],[Source]],tblSources[Source],0)),"?"))</f>
        <v/>
      </c>
      <c r="L4896" s="63">
        <f>IF(tblMovement[[#This Row],[Destination]]="","",IFERROR(INDEX(tblDestinations[Type],MATCH(tblMovement[[#This Row],[Destination]],tblDestinations[Destination],0)),"?"))</f>
        <v/>
      </c>
      <c r="M4896" s="64">
        <f>IF(tblMovement[[#This Row],[Material]]="","",IF(LEFT(tblMovement[[#This Row],[Material]],3)="Ore",1,0))</f>
        <v/>
      </c>
      <c r="N4896" s="59">
        <f>IF(OR(tblMovement[[#This Row],[Tonnes_t]]="",tblMovement[[#This Row],[Grade_gpt]]=""),0,tblMovement[[#This Row],[Tonnes_t]]*tblMovement[[#This Row],[Grade_gpt]]/cfg_TroyOz)</f>
        <v/>
      </c>
      <c r="O4896" s="59">
        <f>IF(tblMovement[[#This Row],[Is_Ore]]=1,tblMovement[[#This Row],[Contained_oz]],0)</f>
        <v/>
      </c>
    </row>
    <row r="4897">
      <c r="A4897" s="54" t="n"/>
      <c r="B4897" s="61" t="n"/>
      <c r="C4897" s="61" t="n"/>
      <c r="D4897" s="61" t="n"/>
      <c r="E4897" s="61" t="n"/>
      <c r="F4897" s="55" t="n"/>
      <c r="G4897" s="56" t="n"/>
      <c r="H4897" s="55" t="n"/>
      <c r="I4897" s="62" t="n"/>
      <c r="J4897" s="58" t="n"/>
      <c r="K4897" s="63">
        <f>IF(tblMovement[[#This Row],[Source]]="","",IFERROR(INDEX(tblSources[Type],MATCH(tblMovement[[#This Row],[Source]],tblSources[Source],0)),"?"))</f>
        <v/>
      </c>
      <c r="L4897" s="63">
        <f>IF(tblMovement[[#This Row],[Destination]]="","",IFERROR(INDEX(tblDestinations[Type],MATCH(tblMovement[[#This Row],[Destination]],tblDestinations[Destination],0)),"?"))</f>
        <v/>
      </c>
      <c r="M4897" s="64">
        <f>IF(tblMovement[[#This Row],[Material]]="","",IF(LEFT(tblMovement[[#This Row],[Material]],3)="Ore",1,0))</f>
        <v/>
      </c>
      <c r="N4897" s="59">
        <f>IF(OR(tblMovement[[#This Row],[Tonnes_t]]="",tblMovement[[#This Row],[Grade_gpt]]=""),0,tblMovement[[#This Row],[Tonnes_t]]*tblMovement[[#This Row],[Grade_gpt]]/cfg_TroyOz)</f>
        <v/>
      </c>
      <c r="O4897" s="59">
        <f>IF(tblMovement[[#This Row],[Is_Ore]]=1,tblMovement[[#This Row],[Contained_oz]],0)</f>
        <v/>
      </c>
    </row>
    <row r="4898">
      <c r="A4898" s="54" t="n"/>
      <c r="B4898" s="61" t="n"/>
      <c r="C4898" s="61" t="n"/>
      <c r="D4898" s="61" t="n"/>
      <c r="E4898" s="61" t="n"/>
      <c r="F4898" s="55" t="n"/>
      <c r="G4898" s="56" t="n"/>
      <c r="H4898" s="55" t="n"/>
      <c r="I4898" s="62" t="n"/>
      <c r="J4898" s="58" t="n"/>
      <c r="K4898" s="63">
        <f>IF(tblMovement[[#This Row],[Source]]="","",IFERROR(INDEX(tblSources[Type],MATCH(tblMovement[[#This Row],[Source]],tblSources[Source],0)),"?"))</f>
        <v/>
      </c>
      <c r="L4898" s="63">
        <f>IF(tblMovement[[#This Row],[Destination]]="","",IFERROR(INDEX(tblDestinations[Type],MATCH(tblMovement[[#This Row],[Destination]],tblDestinations[Destination],0)),"?"))</f>
        <v/>
      </c>
      <c r="M4898" s="64">
        <f>IF(tblMovement[[#This Row],[Material]]="","",IF(LEFT(tblMovement[[#This Row],[Material]],3)="Ore",1,0))</f>
        <v/>
      </c>
      <c r="N4898" s="59">
        <f>IF(OR(tblMovement[[#This Row],[Tonnes_t]]="",tblMovement[[#This Row],[Grade_gpt]]=""),0,tblMovement[[#This Row],[Tonnes_t]]*tblMovement[[#This Row],[Grade_gpt]]/cfg_TroyOz)</f>
        <v/>
      </c>
      <c r="O4898" s="59">
        <f>IF(tblMovement[[#This Row],[Is_Ore]]=1,tblMovement[[#This Row],[Contained_oz]],0)</f>
        <v/>
      </c>
    </row>
    <row r="4899">
      <c r="A4899" s="54" t="n"/>
      <c r="B4899" s="61" t="n"/>
      <c r="C4899" s="61" t="n"/>
      <c r="D4899" s="61" t="n"/>
      <c r="E4899" s="61" t="n"/>
      <c r="F4899" s="55" t="n"/>
      <c r="G4899" s="56" t="n"/>
      <c r="H4899" s="55" t="n"/>
      <c r="I4899" s="62" t="n"/>
      <c r="J4899" s="58" t="n"/>
      <c r="K4899" s="63">
        <f>IF(tblMovement[[#This Row],[Source]]="","",IFERROR(INDEX(tblSources[Type],MATCH(tblMovement[[#This Row],[Source]],tblSources[Source],0)),"?"))</f>
        <v/>
      </c>
      <c r="L4899" s="63">
        <f>IF(tblMovement[[#This Row],[Destination]]="","",IFERROR(INDEX(tblDestinations[Type],MATCH(tblMovement[[#This Row],[Destination]],tblDestinations[Destination],0)),"?"))</f>
        <v/>
      </c>
      <c r="M4899" s="64">
        <f>IF(tblMovement[[#This Row],[Material]]="","",IF(LEFT(tblMovement[[#This Row],[Material]],3)="Ore",1,0))</f>
        <v/>
      </c>
      <c r="N4899" s="59">
        <f>IF(OR(tblMovement[[#This Row],[Tonnes_t]]="",tblMovement[[#This Row],[Grade_gpt]]=""),0,tblMovement[[#This Row],[Tonnes_t]]*tblMovement[[#This Row],[Grade_gpt]]/cfg_TroyOz)</f>
        <v/>
      </c>
      <c r="O4899" s="59">
        <f>IF(tblMovement[[#This Row],[Is_Ore]]=1,tblMovement[[#This Row],[Contained_oz]],0)</f>
        <v/>
      </c>
    </row>
    <row r="4900">
      <c r="A4900" s="54" t="n"/>
      <c r="B4900" s="61" t="n"/>
      <c r="C4900" s="61" t="n"/>
      <c r="D4900" s="61" t="n"/>
      <c r="E4900" s="61" t="n"/>
      <c r="F4900" s="55" t="n"/>
      <c r="G4900" s="56" t="n"/>
      <c r="H4900" s="55" t="n"/>
      <c r="I4900" s="62" t="n"/>
      <c r="J4900" s="58" t="n"/>
      <c r="K4900" s="63">
        <f>IF(tblMovement[[#This Row],[Source]]="","",IFERROR(INDEX(tblSources[Type],MATCH(tblMovement[[#This Row],[Source]],tblSources[Source],0)),"?"))</f>
        <v/>
      </c>
      <c r="L4900" s="63">
        <f>IF(tblMovement[[#This Row],[Destination]]="","",IFERROR(INDEX(tblDestinations[Type],MATCH(tblMovement[[#This Row],[Destination]],tblDestinations[Destination],0)),"?"))</f>
        <v/>
      </c>
      <c r="M4900" s="64">
        <f>IF(tblMovement[[#This Row],[Material]]="","",IF(LEFT(tblMovement[[#This Row],[Material]],3)="Ore",1,0))</f>
        <v/>
      </c>
      <c r="N4900" s="59">
        <f>IF(OR(tblMovement[[#This Row],[Tonnes_t]]="",tblMovement[[#This Row],[Grade_gpt]]=""),0,tblMovement[[#This Row],[Tonnes_t]]*tblMovement[[#This Row],[Grade_gpt]]/cfg_TroyOz)</f>
        <v/>
      </c>
      <c r="O4900" s="59">
        <f>IF(tblMovement[[#This Row],[Is_Ore]]=1,tblMovement[[#This Row],[Contained_oz]],0)</f>
        <v/>
      </c>
    </row>
    <row r="4901">
      <c r="A4901" s="54" t="n"/>
      <c r="B4901" s="61" t="n"/>
      <c r="C4901" s="61" t="n"/>
      <c r="D4901" s="61" t="n"/>
      <c r="E4901" s="61" t="n"/>
      <c r="F4901" s="55" t="n"/>
      <c r="G4901" s="56" t="n"/>
      <c r="H4901" s="55" t="n"/>
      <c r="I4901" s="62" t="n"/>
      <c r="J4901" s="58" t="n"/>
      <c r="K4901" s="63">
        <f>IF(tblMovement[[#This Row],[Source]]="","",IFERROR(INDEX(tblSources[Type],MATCH(tblMovement[[#This Row],[Source]],tblSources[Source],0)),"?"))</f>
        <v/>
      </c>
      <c r="L4901" s="63">
        <f>IF(tblMovement[[#This Row],[Destination]]="","",IFERROR(INDEX(tblDestinations[Type],MATCH(tblMovement[[#This Row],[Destination]],tblDestinations[Destination],0)),"?"))</f>
        <v/>
      </c>
      <c r="M4901" s="64">
        <f>IF(tblMovement[[#This Row],[Material]]="","",IF(LEFT(tblMovement[[#This Row],[Material]],3)="Ore",1,0))</f>
        <v/>
      </c>
      <c r="N4901" s="59">
        <f>IF(OR(tblMovement[[#This Row],[Tonnes_t]]="",tblMovement[[#This Row],[Grade_gpt]]=""),0,tblMovement[[#This Row],[Tonnes_t]]*tblMovement[[#This Row],[Grade_gpt]]/cfg_TroyOz)</f>
        <v/>
      </c>
      <c r="O4901" s="59">
        <f>IF(tblMovement[[#This Row],[Is_Ore]]=1,tblMovement[[#This Row],[Contained_oz]],0)</f>
        <v/>
      </c>
    </row>
    <row r="4902">
      <c r="A4902" s="54" t="n"/>
      <c r="B4902" s="61" t="n"/>
      <c r="C4902" s="61" t="n"/>
      <c r="D4902" s="61" t="n"/>
      <c r="E4902" s="61" t="n"/>
      <c r="F4902" s="55" t="n"/>
      <c r="G4902" s="56" t="n"/>
      <c r="H4902" s="55" t="n"/>
      <c r="I4902" s="62" t="n"/>
      <c r="J4902" s="58" t="n"/>
      <c r="K4902" s="63">
        <f>IF(tblMovement[[#This Row],[Source]]="","",IFERROR(INDEX(tblSources[Type],MATCH(tblMovement[[#This Row],[Source]],tblSources[Source],0)),"?"))</f>
        <v/>
      </c>
      <c r="L4902" s="63">
        <f>IF(tblMovement[[#This Row],[Destination]]="","",IFERROR(INDEX(tblDestinations[Type],MATCH(tblMovement[[#This Row],[Destination]],tblDestinations[Destination],0)),"?"))</f>
        <v/>
      </c>
      <c r="M4902" s="64">
        <f>IF(tblMovement[[#This Row],[Material]]="","",IF(LEFT(tblMovement[[#This Row],[Material]],3)="Ore",1,0))</f>
        <v/>
      </c>
      <c r="N4902" s="59">
        <f>IF(OR(tblMovement[[#This Row],[Tonnes_t]]="",tblMovement[[#This Row],[Grade_gpt]]=""),0,tblMovement[[#This Row],[Tonnes_t]]*tblMovement[[#This Row],[Grade_gpt]]/cfg_TroyOz)</f>
        <v/>
      </c>
      <c r="O4902" s="59">
        <f>IF(tblMovement[[#This Row],[Is_Ore]]=1,tblMovement[[#This Row],[Contained_oz]],0)</f>
        <v/>
      </c>
    </row>
    <row r="4903">
      <c r="A4903" s="54" t="n"/>
      <c r="B4903" s="61" t="n"/>
      <c r="C4903" s="61" t="n"/>
      <c r="D4903" s="61" t="n"/>
      <c r="E4903" s="61" t="n"/>
      <c r="F4903" s="55" t="n"/>
      <c r="G4903" s="56" t="n"/>
      <c r="H4903" s="55" t="n"/>
      <c r="I4903" s="62" t="n"/>
      <c r="J4903" s="58" t="n"/>
      <c r="K4903" s="63">
        <f>IF(tblMovement[[#This Row],[Source]]="","",IFERROR(INDEX(tblSources[Type],MATCH(tblMovement[[#This Row],[Source]],tblSources[Source],0)),"?"))</f>
        <v/>
      </c>
      <c r="L4903" s="63">
        <f>IF(tblMovement[[#This Row],[Destination]]="","",IFERROR(INDEX(tblDestinations[Type],MATCH(tblMovement[[#This Row],[Destination]],tblDestinations[Destination],0)),"?"))</f>
        <v/>
      </c>
      <c r="M4903" s="64">
        <f>IF(tblMovement[[#This Row],[Material]]="","",IF(LEFT(tblMovement[[#This Row],[Material]],3)="Ore",1,0))</f>
        <v/>
      </c>
      <c r="N4903" s="59">
        <f>IF(OR(tblMovement[[#This Row],[Tonnes_t]]="",tblMovement[[#This Row],[Grade_gpt]]=""),0,tblMovement[[#This Row],[Tonnes_t]]*tblMovement[[#This Row],[Grade_gpt]]/cfg_TroyOz)</f>
        <v/>
      </c>
      <c r="O4903" s="59">
        <f>IF(tblMovement[[#This Row],[Is_Ore]]=1,tblMovement[[#This Row],[Contained_oz]],0)</f>
        <v/>
      </c>
    </row>
    <row r="4904">
      <c r="A4904" s="54" t="n"/>
      <c r="B4904" s="61" t="n"/>
      <c r="C4904" s="61" t="n"/>
      <c r="D4904" s="61" t="n"/>
      <c r="E4904" s="61" t="n"/>
      <c r="F4904" s="55" t="n"/>
      <c r="G4904" s="56" t="n"/>
      <c r="H4904" s="55" t="n"/>
      <c r="I4904" s="62" t="n"/>
      <c r="J4904" s="58" t="n"/>
      <c r="K4904" s="63">
        <f>IF(tblMovement[[#This Row],[Source]]="","",IFERROR(INDEX(tblSources[Type],MATCH(tblMovement[[#This Row],[Source]],tblSources[Source],0)),"?"))</f>
        <v/>
      </c>
      <c r="L4904" s="63">
        <f>IF(tblMovement[[#This Row],[Destination]]="","",IFERROR(INDEX(tblDestinations[Type],MATCH(tblMovement[[#This Row],[Destination]],tblDestinations[Destination],0)),"?"))</f>
        <v/>
      </c>
      <c r="M4904" s="64">
        <f>IF(tblMovement[[#This Row],[Material]]="","",IF(LEFT(tblMovement[[#This Row],[Material]],3)="Ore",1,0))</f>
        <v/>
      </c>
      <c r="N4904" s="59">
        <f>IF(OR(tblMovement[[#This Row],[Tonnes_t]]="",tblMovement[[#This Row],[Grade_gpt]]=""),0,tblMovement[[#This Row],[Tonnes_t]]*tblMovement[[#This Row],[Grade_gpt]]/cfg_TroyOz)</f>
        <v/>
      </c>
      <c r="O4904" s="59">
        <f>IF(tblMovement[[#This Row],[Is_Ore]]=1,tblMovement[[#This Row],[Contained_oz]],0)</f>
        <v/>
      </c>
    </row>
    <row r="4905">
      <c r="A4905" s="54" t="n"/>
      <c r="B4905" s="61" t="n"/>
      <c r="C4905" s="61" t="n"/>
      <c r="D4905" s="61" t="n"/>
      <c r="E4905" s="61" t="n"/>
      <c r="F4905" s="55" t="n"/>
      <c r="G4905" s="56" t="n"/>
      <c r="H4905" s="55" t="n"/>
      <c r="I4905" s="62" t="n"/>
      <c r="J4905" s="58" t="n"/>
      <c r="K4905" s="63">
        <f>IF(tblMovement[[#This Row],[Source]]="","",IFERROR(INDEX(tblSources[Type],MATCH(tblMovement[[#This Row],[Source]],tblSources[Source],0)),"?"))</f>
        <v/>
      </c>
      <c r="L4905" s="63">
        <f>IF(tblMovement[[#This Row],[Destination]]="","",IFERROR(INDEX(tblDestinations[Type],MATCH(tblMovement[[#This Row],[Destination]],tblDestinations[Destination],0)),"?"))</f>
        <v/>
      </c>
      <c r="M4905" s="64">
        <f>IF(tblMovement[[#This Row],[Material]]="","",IF(LEFT(tblMovement[[#This Row],[Material]],3)="Ore",1,0))</f>
        <v/>
      </c>
      <c r="N4905" s="59">
        <f>IF(OR(tblMovement[[#This Row],[Tonnes_t]]="",tblMovement[[#This Row],[Grade_gpt]]=""),0,tblMovement[[#This Row],[Tonnes_t]]*tblMovement[[#This Row],[Grade_gpt]]/cfg_TroyOz)</f>
        <v/>
      </c>
      <c r="O4905" s="59">
        <f>IF(tblMovement[[#This Row],[Is_Ore]]=1,tblMovement[[#This Row],[Contained_oz]],0)</f>
        <v/>
      </c>
    </row>
    <row r="4906">
      <c r="A4906" s="54" t="n"/>
      <c r="B4906" s="61" t="n"/>
      <c r="C4906" s="61" t="n"/>
      <c r="D4906" s="61" t="n"/>
      <c r="E4906" s="61" t="n"/>
      <c r="F4906" s="55" t="n"/>
      <c r="G4906" s="56" t="n"/>
      <c r="H4906" s="55" t="n"/>
      <c r="I4906" s="62" t="n"/>
      <c r="J4906" s="58" t="n"/>
      <c r="K4906" s="63">
        <f>IF(tblMovement[[#This Row],[Source]]="","",IFERROR(INDEX(tblSources[Type],MATCH(tblMovement[[#This Row],[Source]],tblSources[Source],0)),"?"))</f>
        <v/>
      </c>
      <c r="L4906" s="63">
        <f>IF(tblMovement[[#This Row],[Destination]]="","",IFERROR(INDEX(tblDestinations[Type],MATCH(tblMovement[[#This Row],[Destination]],tblDestinations[Destination],0)),"?"))</f>
        <v/>
      </c>
      <c r="M4906" s="64">
        <f>IF(tblMovement[[#This Row],[Material]]="","",IF(LEFT(tblMovement[[#This Row],[Material]],3)="Ore",1,0))</f>
        <v/>
      </c>
      <c r="N4906" s="59">
        <f>IF(OR(tblMovement[[#This Row],[Tonnes_t]]="",tblMovement[[#This Row],[Grade_gpt]]=""),0,tblMovement[[#This Row],[Tonnes_t]]*tblMovement[[#This Row],[Grade_gpt]]/cfg_TroyOz)</f>
        <v/>
      </c>
      <c r="O4906" s="59">
        <f>IF(tblMovement[[#This Row],[Is_Ore]]=1,tblMovement[[#This Row],[Contained_oz]],0)</f>
        <v/>
      </c>
    </row>
    <row r="4907">
      <c r="A4907" s="54" t="n"/>
      <c r="B4907" s="61" t="n"/>
      <c r="C4907" s="61" t="n"/>
      <c r="D4907" s="61" t="n"/>
      <c r="E4907" s="61" t="n"/>
      <c r="F4907" s="55" t="n"/>
      <c r="G4907" s="56" t="n"/>
      <c r="H4907" s="55" t="n"/>
      <c r="I4907" s="62" t="n"/>
      <c r="J4907" s="58" t="n"/>
      <c r="K4907" s="63">
        <f>IF(tblMovement[[#This Row],[Source]]="","",IFERROR(INDEX(tblSources[Type],MATCH(tblMovement[[#This Row],[Source]],tblSources[Source],0)),"?"))</f>
        <v/>
      </c>
      <c r="L4907" s="63">
        <f>IF(tblMovement[[#This Row],[Destination]]="","",IFERROR(INDEX(tblDestinations[Type],MATCH(tblMovement[[#This Row],[Destination]],tblDestinations[Destination],0)),"?"))</f>
        <v/>
      </c>
      <c r="M4907" s="64">
        <f>IF(tblMovement[[#This Row],[Material]]="","",IF(LEFT(tblMovement[[#This Row],[Material]],3)="Ore",1,0))</f>
        <v/>
      </c>
      <c r="N4907" s="59">
        <f>IF(OR(tblMovement[[#This Row],[Tonnes_t]]="",tblMovement[[#This Row],[Grade_gpt]]=""),0,tblMovement[[#This Row],[Tonnes_t]]*tblMovement[[#This Row],[Grade_gpt]]/cfg_TroyOz)</f>
        <v/>
      </c>
      <c r="O4907" s="59">
        <f>IF(tblMovement[[#This Row],[Is_Ore]]=1,tblMovement[[#This Row],[Contained_oz]],0)</f>
        <v/>
      </c>
    </row>
    <row r="4908">
      <c r="A4908" s="54" t="n"/>
      <c r="B4908" s="61" t="n"/>
      <c r="C4908" s="61" t="n"/>
      <c r="D4908" s="61" t="n"/>
      <c r="E4908" s="61" t="n"/>
      <c r="F4908" s="55" t="n"/>
      <c r="G4908" s="56" t="n"/>
      <c r="H4908" s="55" t="n"/>
      <c r="I4908" s="62" t="n"/>
      <c r="J4908" s="58" t="n"/>
      <c r="K4908" s="63">
        <f>IF(tblMovement[[#This Row],[Source]]="","",IFERROR(INDEX(tblSources[Type],MATCH(tblMovement[[#This Row],[Source]],tblSources[Source],0)),"?"))</f>
        <v/>
      </c>
      <c r="L4908" s="63">
        <f>IF(tblMovement[[#This Row],[Destination]]="","",IFERROR(INDEX(tblDestinations[Type],MATCH(tblMovement[[#This Row],[Destination]],tblDestinations[Destination],0)),"?"))</f>
        <v/>
      </c>
      <c r="M4908" s="64">
        <f>IF(tblMovement[[#This Row],[Material]]="","",IF(LEFT(tblMovement[[#This Row],[Material]],3)="Ore",1,0))</f>
        <v/>
      </c>
      <c r="N4908" s="59">
        <f>IF(OR(tblMovement[[#This Row],[Tonnes_t]]="",tblMovement[[#This Row],[Grade_gpt]]=""),0,tblMovement[[#This Row],[Tonnes_t]]*tblMovement[[#This Row],[Grade_gpt]]/cfg_TroyOz)</f>
        <v/>
      </c>
      <c r="O4908" s="59">
        <f>IF(tblMovement[[#This Row],[Is_Ore]]=1,tblMovement[[#This Row],[Contained_oz]],0)</f>
        <v/>
      </c>
    </row>
    <row r="4909">
      <c r="A4909" s="54" t="n"/>
      <c r="B4909" s="61" t="n"/>
      <c r="C4909" s="61" t="n"/>
      <c r="D4909" s="61" t="n"/>
      <c r="E4909" s="61" t="n"/>
      <c r="F4909" s="55" t="n"/>
      <c r="G4909" s="56" t="n"/>
      <c r="H4909" s="55" t="n"/>
      <c r="I4909" s="62" t="n"/>
      <c r="J4909" s="58" t="n"/>
      <c r="K4909" s="63">
        <f>IF(tblMovement[[#This Row],[Source]]="","",IFERROR(INDEX(tblSources[Type],MATCH(tblMovement[[#This Row],[Source]],tblSources[Source],0)),"?"))</f>
        <v/>
      </c>
      <c r="L4909" s="63">
        <f>IF(tblMovement[[#This Row],[Destination]]="","",IFERROR(INDEX(tblDestinations[Type],MATCH(tblMovement[[#This Row],[Destination]],tblDestinations[Destination],0)),"?"))</f>
        <v/>
      </c>
      <c r="M4909" s="64">
        <f>IF(tblMovement[[#This Row],[Material]]="","",IF(LEFT(tblMovement[[#This Row],[Material]],3)="Ore",1,0))</f>
        <v/>
      </c>
      <c r="N4909" s="59">
        <f>IF(OR(tblMovement[[#This Row],[Tonnes_t]]="",tblMovement[[#This Row],[Grade_gpt]]=""),0,tblMovement[[#This Row],[Tonnes_t]]*tblMovement[[#This Row],[Grade_gpt]]/cfg_TroyOz)</f>
        <v/>
      </c>
      <c r="O4909" s="59">
        <f>IF(tblMovement[[#This Row],[Is_Ore]]=1,tblMovement[[#This Row],[Contained_oz]],0)</f>
        <v/>
      </c>
    </row>
    <row r="4910">
      <c r="A4910" s="54" t="n"/>
      <c r="B4910" s="61" t="n"/>
      <c r="C4910" s="61" t="n"/>
      <c r="D4910" s="61" t="n"/>
      <c r="E4910" s="61" t="n"/>
      <c r="F4910" s="55" t="n"/>
      <c r="G4910" s="56" t="n"/>
      <c r="H4910" s="55" t="n"/>
      <c r="I4910" s="62" t="n"/>
      <c r="J4910" s="58" t="n"/>
      <c r="K4910" s="63">
        <f>IF(tblMovement[[#This Row],[Source]]="","",IFERROR(INDEX(tblSources[Type],MATCH(tblMovement[[#This Row],[Source]],tblSources[Source],0)),"?"))</f>
        <v/>
      </c>
      <c r="L4910" s="63">
        <f>IF(tblMovement[[#This Row],[Destination]]="","",IFERROR(INDEX(tblDestinations[Type],MATCH(tblMovement[[#This Row],[Destination]],tblDestinations[Destination],0)),"?"))</f>
        <v/>
      </c>
      <c r="M4910" s="64">
        <f>IF(tblMovement[[#This Row],[Material]]="","",IF(LEFT(tblMovement[[#This Row],[Material]],3)="Ore",1,0))</f>
        <v/>
      </c>
      <c r="N4910" s="59">
        <f>IF(OR(tblMovement[[#This Row],[Tonnes_t]]="",tblMovement[[#This Row],[Grade_gpt]]=""),0,tblMovement[[#This Row],[Tonnes_t]]*tblMovement[[#This Row],[Grade_gpt]]/cfg_TroyOz)</f>
        <v/>
      </c>
      <c r="O4910" s="59">
        <f>IF(tblMovement[[#This Row],[Is_Ore]]=1,tblMovement[[#This Row],[Contained_oz]],0)</f>
        <v/>
      </c>
    </row>
    <row r="4911">
      <c r="A4911" s="54" t="n"/>
      <c r="B4911" s="61" t="n"/>
      <c r="C4911" s="61" t="n"/>
      <c r="D4911" s="61" t="n"/>
      <c r="E4911" s="61" t="n"/>
      <c r="F4911" s="55" t="n"/>
      <c r="G4911" s="56" t="n"/>
      <c r="H4911" s="55" t="n"/>
      <c r="I4911" s="62" t="n"/>
      <c r="J4911" s="58" t="n"/>
      <c r="K4911" s="63">
        <f>IF(tblMovement[[#This Row],[Source]]="","",IFERROR(INDEX(tblSources[Type],MATCH(tblMovement[[#This Row],[Source]],tblSources[Source],0)),"?"))</f>
        <v/>
      </c>
      <c r="L4911" s="63">
        <f>IF(tblMovement[[#This Row],[Destination]]="","",IFERROR(INDEX(tblDestinations[Type],MATCH(tblMovement[[#This Row],[Destination]],tblDestinations[Destination],0)),"?"))</f>
        <v/>
      </c>
      <c r="M4911" s="64">
        <f>IF(tblMovement[[#This Row],[Material]]="","",IF(LEFT(tblMovement[[#This Row],[Material]],3)="Ore",1,0))</f>
        <v/>
      </c>
      <c r="N4911" s="59">
        <f>IF(OR(tblMovement[[#This Row],[Tonnes_t]]="",tblMovement[[#This Row],[Grade_gpt]]=""),0,tblMovement[[#This Row],[Tonnes_t]]*tblMovement[[#This Row],[Grade_gpt]]/cfg_TroyOz)</f>
        <v/>
      </c>
      <c r="O4911" s="59">
        <f>IF(tblMovement[[#This Row],[Is_Ore]]=1,tblMovement[[#This Row],[Contained_oz]],0)</f>
        <v/>
      </c>
    </row>
    <row r="4912">
      <c r="A4912" s="54" t="n"/>
      <c r="B4912" s="61" t="n"/>
      <c r="C4912" s="61" t="n"/>
      <c r="D4912" s="61" t="n"/>
      <c r="E4912" s="61" t="n"/>
      <c r="F4912" s="55" t="n"/>
      <c r="G4912" s="56" t="n"/>
      <c r="H4912" s="55" t="n"/>
      <c r="I4912" s="62" t="n"/>
      <c r="J4912" s="58" t="n"/>
      <c r="K4912" s="63">
        <f>IF(tblMovement[[#This Row],[Source]]="","",IFERROR(INDEX(tblSources[Type],MATCH(tblMovement[[#This Row],[Source]],tblSources[Source],0)),"?"))</f>
        <v/>
      </c>
      <c r="L4912" s="63">
        <f>IF(tblMovement[[#This Row],[Destination]]="","",IFERROR(INDEX(tblDestinations[Type],MATCH(tblMovement[[#This Row],[Destination]],tblDestinations[Destination],0)),"?"))</f>
        <v/>
      </c>
      <c r="M4912" s="64">
        <f>IF(tblMovement[[#This Row],[Material]]="","",IF(LEFT(tblMovement[[#This Row],[Material]],3)="Ore",1,0))</f>
        <v/>
      </c>
      <c r="N4912" s="59">
        <f>IF(OR(tblMovement[[#This Row],[Tonnes_t]]="",tblMovement[[#This Row],[Grade_gpt]]=""),0,tblMovement[[#This Row],[Tonnes_t]]*tblMovement[[#This Row],[Grade_gpt]]/cfg_TroyOz)</f>
        <v/>
      </c>
      <c r="O4912" s="59">
        <f>IF(tblMovement[[#This Row],[Is_Ore]]=1,tblMovement[[#This Row],[Contained_oz]],0)</f>
        <v/>
      </c>
    </row>
    <row r="4913">
      <c r="A4913" s="54" t="n"/>
      <c r="B4913" s="61" t="n"/>
      <c r="C4913" s="61" t="n"/>
      <c r="D4913" s="61" t="n"/>
      <c r="E4913" s="61" t="n"/>
      <c r="F4913" s="55" t="n"/>
      <c r="G4913" s="56" t="n"/>
      <c r="H4913" s="55" t="n"/>
      <c r="I4913" s="62" t="n"/>
      <c r="J4913" s="58" t="n"/>
      <c r="K4913" s="63">
        <f>IF(tblMovement[[#This Row],[Source]]="","",IFERROR(INDEX(tblSources[Type],MATCH(tblMovement[[#This Row],[Source]],tblSources[Source],0)),"?"))</f>
        <v/>
      </c>
      <c r="L4913" s="63">
        <f>IF(tblMovement[[#This Row],[Destination]]="","",IFERROR(INDEX(tblDestinations[Type],MATCH(tblMovement[[#This Row],[Destination]],tblDestinations[Destination],0)),"?"))</f>
        <v/>
      </c>
      <c r="M4913" s="64">
        <f>IF(tblMovement[[#This Row],[Material]]="","",IF(LEFT(tblMovement[[#This Row],[Material]],3)="Ore",1,0))</f>
        <v/>
      </c>
      <c r="N4913" s="59">
        <f>IF(OR(tblMovement[[#This Row],[Tonnes_t]]="",tblMovement[[#This Row],[Grade_gpt]]=""),0,tblMovement[[#This Row],[Tonnes_t]]*tblMovement[[#This Row],[Grade_gpt]]/cfg_TroyOz)</f>
        <v/>
      </c>
      <c r="O4913" s="59">
        <f>IF(tblMovement[[#This Row],[Is_Ore]]=1,tblMovement[[#This Row],[Contained_oz]],0)</f>
        <v/>
      </c>
    </row>
    <row r="4914">
      <c r="A4914" s="54" t="n"/>
      <c r="B4914" s="61" t="n"/>
      <c r="C4914" s="61" t="n"/>
      <c r="D4914" s="61" t="n"/>
      <c r="E4914" s="61" t="n"/>
      <c r="F4914" s="55" t="n"/>
      <c r="G4914" s="56" t="n"/>
      <c r="H4914" s="55" t="n"/>
      <c r="I4914" s="62" t="n"/>
      <c r="J4914" s="58" t="n"/>
      <c r="K4914" s="63">
        <f>IF(tblMovement[[#This Row],[Source]]="","",IFERROR(INDEX(tblSources[Type],MATCH(tblMovement[[#This Row],[Source]],tblSources[Source],0)),"?"))</f>
        <v/>
      </c>
      <c r="L4914" s="63">
        <f>IF(tblMovement[[#This Row],[Destination]]="","",IFERROR(INDEX(tblDestinations[Type],MATCH(tblMovement[[#This Row],[Destination]],tblDestinations[Destination],0)),"?"))</f>
        <v/>
      </c>
      <c r="M4914" s="64">
        <f>IF(tblMovement[[#This Row],[Material]]="","",IF(LEFT(tblMovement[[#This Row],[Material]],3)="Ore",1,0))</f>
        <v/>
      </c>
      <c r="N4914" s="59">
        <f>IF(OR(tblMovement[[#This Row],[Tonnes_t]]="",tblMovement[[#This Row],[Grade_gpt]]=""),0,tblMovement[[#This Row],[Tonnes_t]]*tblMovement[[#This Row],[Grade_gpt]]/cfg_TroyOz)</f>
        <v/>
      </c>
      <c r="O4914" s="59">
        <f>IF(tblMovement[[#This Row],[Is_Ore]]=1,tblMovement[[#This Row],[Contained_oz]],0)</f>
        <v/>
      </c>
    </row>
    <row r="4915">
      <c r="A4915" s="54" t="n"/>
      <c r="B4915" s="61" t="n"/>
      <c r="C4915" s="61" t="n"/>
      <c r="D4915" s="61" t="n"/>
      <c r="E4915" s="61" t="n"/>
      <c r="F4915" s="55" t="n"/>
      <c r="G4915" s="56" t="n"/>
      <c r="H4915" s="55" t="n"/>
      <c r="I4915" s="62" t="n"/>
      <c r="J4915" s="58" t="n"/>
      <c r="K4915" s="63">
        <f>IF(tblMovement[[#This Row],[Source]]="","",IFERROR(INDEX(tblSources[Type],MATCH(tblMovement[[#This Row],[Source]],tblSources[Source],0)),"?"))</f>
        <v/>
      </c>
      <c r="L4915" s="63">
        <f>IF(tblMovement[[#This Row],[Destination]]="","",IFERROR(INDEX(tblDestinations[Type],MATCH(tblMovement[[#This Row],[Destination]],tblDestinations[Destination],0)),"?"))</f>
        <v/>
      </c>
      <c r="M4915" s="64">
        <f>IF(tblMovement[[#This Row],[Material]]="","",IF(LEFT(tblMovement[[#This Row],[Material]],3)="Ore",1,0))</f>
        <v/>
      </c>
      <c r="N4915" s="59">
        <f>IF(OR(tblMovement[[#This Row],[Tonnes_t]]="",tblMovement[[#This Row],[Grade_gpt]]=""),0,tblMovement[[#This Row],[Tonnes_t]]*tblMovement[[#This Row],[Grade_gpt]]/cfg_TroyOz)</f>
        <v/>
      </c>
      <c r="O4915" s="59">
        <f>IF(tblMovement[[#This Row],[Is_Ore]]=1,tblMovement[[#This Row],[Contained_oz]],0)</f>
        <v/>
      </c>
    </row>
    <row r="4916">
      <c r="A4916" s="54" t="n"/>
      <c r="B4916" s="61" t="n"/>
      <c r="C4916" s="61" t="n"/>
      <c r="D4916" s="61" t="n"/>
      <c r="E4916" s="61" t="n"/>
      <c r="F4916" s="55" t="n"/>
      <c r="G4916" s="56" t="n"/>
      <c r="H4916" s="55" t="n"/>
      <c r="I4916" s="62" t="n"/>
      <c r="J4916" s="58" t="n"/>
      <c r="K4916" s="63">
        <f>IF(tblMovement[[#This Row],[Source]]="","",IFERROR(INDEX(tblSources[Type],MATCH(tblMovement[[#This Row],[Source]],tblSources[Source],0)),"?"))</f>
        <v/>
      </c>
      <c r="L4916" s="63">
        <f>IF(tblMovement[[#This Row],[Destination]]="","",IFERROR(INDEX(tblDestinations[Type],MATCH(tblMovement[[#This Row],[Destination]],tblDestinations[Destination],0)),"?"))</f>
        <v/>
      </c>
      <c r="M4916" s="64">
        <f>IF(tblMovement[[#This Row],[Material]]="","",IF(LEFT(tblMovement[[#This Row],[Material]],3)="Ore",1,0))</f>
        <v/>
      </c>
      <c r="N4916" s="59">
        <f>IF(OR(tblMovement[[#This Row],[Tonnes_t]]="",tblMovement[[#This Row],[Grade_gpt]]=""),0,tblMovement[[#This Row],[Tonnes_t]]*tblMovement[[#This Row],[Grade_gpt]]/cfg_TroyOz)</f>
        <v/>
      </c>
      <c r="O4916" s="59">
        <f>IF(tblMovement[[#This Row],[Is_Ore]]=1,tblMovement[[#This Row],[Contained_oz]],0)</f>
        <v/>
      </c>
    </row>
    <row r="4917">
      <c r="A4917" s="54" t="n"/>
      <c r="B4917" s="61" t="n"/>
      <c r="C4917" s="61" t="n"/>
      <c r="D4917" s="61" t="n"/>
      <c r="E4917" s="61" t="n"/>
      <c r="F4917" s="55" t="n"/>
      <c r="G4917" s="56" t="n"/>
      <c r="H4917" s="55" t="n"/>
      <c r="I4917" s="62" t="n"/>
      <c r="J4917" s="58" t="n"/>
      <c r="K4917" s="63">
        <f>IF(tblMovement[[#This Row],[Source]]="","",IFERROR(INDEX(tblSources[Type],MATCH(tblMovement[[#This Row],[Source]],tblSources[Source],0)),"?"))</f>
        <v/>
      </c>
      <c r="L4917" s="63">
        <f>IF(tblMovement[[#This Row],[Destination]]="","",IFERROR(INDEX(tblDestinations[Type],MATCH(tblMovement[[#This Row],[Destination]],tblDestinations[Destination],0)),"?"))</f>
        <v/>
      </c>
      <c r="M4917" s="64">
        <f>IF(tblMovement[[#This Row],[Material]]="","",IF(LEFT(tblMovement[[#This Row],[Material]],3)="Ore",1,0))</f>
        <v/>
      </c>
      <c r="N4917" s="59">
        <f>IF(OR(tblMovement[[#This Row],[Tonnes_t]]="",tblMovement[[#This Row],[Grade_gpt]]=""),0,tblMovement[[#This Row],[Tonnes_t]]*tblMovement[[#This Row],[Grade_gpt]]/cfg_TroyOz)</f>
        <v/>
      </c>
      <c r="O4917" s="59">
        <f>IF(tblMovement[[#This Row],[Is_Ore]]=1,tblMovement[[#This Row],[Contained_oz]],0)</f>
        <v/>
      </c>
    </row>
    <row r="4918">
      <c r="A4918" s="54" t="n"/>
      <c r="B4918" s="61" t="n"/>
      <c r="C4918" s="61" t="n"/>
      <c r="D4918" s="61" t="n"/>
      <c r="E4918" s="61" t="n"/>
      <c r="F4918" s="55" t="n"/>
      <c r="G4918" s="56" t="n"/>
      <c r="H4918" s="55" t="n"/>
      <c r="I4918" s="62" t="n"/>
      <c r="J4918" s="58" t="n"/>
      <c r="K4918" s="63">
        <f>IF(tblMovement[[#This Row],[Source]]="","",IFERROR(INDEX(tblSources[Type],MATCH(tblMovement[[#This Row],[Source]],tblSources[Source],0)),"?"))</f>
        <v/>
      </c>
      <c r="L4918" s="63">
        <f>IF(tblMovement[[#This Row],[Destination]]="","",IFERROR(INDEX(tblDestinations[Type],MATCH(tblMovement[[#This Row],[Destination]],tblDestinations[Destination],0)),"?"))</f>
        <v/>
      </c>
      <c r="M4918" s="64">
        <f>IF(tblMovement[[#This Row],[Material]]="","",IF(LEFT(tblMovement[[#This Row],[Material]],3)="Ore",1,0))</f>
        <v/>
      </c>
      <c r="N4918" s="59">
        <f>IF(OR(tblMovement[[#This Row],[Tonnes_t]]="",tblMovement[[#This Row],[Grade_gpt]]=""),0,tblMovement[[#This Row],[Tonnes_t]]*tblMovement[[#This Row],[Grade_gpt]]/cfg_TroyOz)</f>
        <v/>
      </c>
      <c r="O4918" s="59">
        <f>IF(tblMovement[[#This Row],[Is_Ore]]=1,tblMovement[[#This Row],[Contained_oz]],0)</f>
        <v/>
      </c>
    </row>
    <row r="4919">
      <c r="A4919" s="54" t="n"/>
      <c r="B4919" s="61" t="n"/>
      <c r="C4919" s="61" t="n"/>
      <c r="D4919" s="61" t="n"/>
      <c r="E4919" s="61" t="n"/>
      <c r="F4919" s="55" t="n"/>
      <c r="G4919" s="56" t="n"/>
      <c r="H4919" s="55" t="n"/>
      <c r="I4919" s="62" t="n"/>
      <c r="J4919" s="58" t="n"/>
      <c r="K4919" s="63">
        <f>IF(tblMovement[[#This Row],[Source]]="","",IFERROR(INDEX(tblSources[Type],MATCH(tblMovement[[#This Row],[Source]],tblSources[Source],0)),"?"))</f>
        <v/>
      </c>
      <c r="L4919" s="63">
        <f>IF(tblMovement[[#This Row],[Destination]]="","",IFERROR(INDEX(tblDestinations[Type],MATCH(tblMovement[[#This Row],[Destination]],tblDestinations[Destination],0)),"?"))</f>
        <v/>
      </c>
      <c r="M4919" s="64">
        <f>IF(tblMovement[[#This Row],[Material]]="","",IF(LEFT(tblMovement[[#This Row],[Material]],3)="Ore",1,0))</f>
        <v/>
      </c>
      <c r="N4919" s="59">
        <f>IF(OR(tblMovement[[#This Row],[Tonnes_t]]="",tblMovement[[#This Row],[Grade_gpt]]=""),0,tblMovement[[#This Row],[Tonnes_t]]*tblMovement[[#This Row],[Grade_gpt]]/cfg_TroyOz)</f>
        <v/>
      </c>
      <c r="O4919" s="59">
        <f>IF(tblMovement[[#This Row],[Is_Ore]]=1,tblMovement[[#This Row],[Contained_oz]],0)</f>
        <v/>
      </c>
    </row>
    <row r="4920">
      <c r="A4920" s="54" t="n"/>
      <c r="B4920" s="61" t="n"/>
      <c r="C4920" s="61" t="n"/>
      <c r="D4920" s="61" t="n"/>
      <c r="E4920" s="61" t="n"/>
      <c r="F4920" s="55" t="n"/>
      <c r="G4920" s="56" t="n"/>
      <c r="H4920" s="55" t="n"/>
      <c r="I4920" s="62" t="n"/>
      <c r="J4920" s="58" t="n"/>
      <c r="K4920" s="63">
        <f>IF(tblMovement[[#This Row],[Source]]="","",IFERROR(INDEX(tblSources[Type],MATCH(tblMovement[[#This Row],[Source]],tblSources[Source],0)),"?"))</f>
        <v/>
      </c>
      <c r="L4920" s="63">
        <f>IF(tblMovement[[#This Row],[Destination]]="","",IFERROR(INDEX(tblDestinations[Type],MATCH(tblMovement[[#This Row],[Destination]],tblDestinations[Destination],0)),"?"))</f>
        <v/>
      </c>
      <c r="M4920" s="64">
        <f>IF(tblMovement[[#This Row],[Material]]="","",IF(LEFT(tblMovement[[#This Row],[Material]],3)="Ore",1,0))</f>
        <v/>
      </c>
      <c r="N4920" s="59">
        <f>IF(OR(tblMovement[[#This Row],[Tonnes_t]]="",tblMovement[[#This Row],[Grade_gpt]]=""),0,tblMovement[[#This Row],[Tonnes_t]]*tblMovement[[#This Row],[Grade_gpt]]/cfg_TroyOz)</f>
        <v/>
      </c>
      <c r="O4920" s="59">
        <f>IF(tblMovement[[#This Row],[Is_Ore]]=1,tblMovement[[#This Row],[Contained_oz]],0)</f>
        <v/>
      </c>
    </row>
    <row r="4921">
      <c r="A4921" s="54" t="n"/>
      <c r="B4921" s="61" t="n"/>
      <c r="C4921" s="61" t="n"/>
      <c r="D4921" s="61" t="n"/>
      <c r="E4921" s="61" t="n"/>
      <c r="F4921" s="55" t="n"/>
      <c r="G4921" s="56" t="n"/>
      <c r="H4921" s="55" t="n"/>
      <c r="I4921" s="62" t="n"/>
      <c r="J4921" s="58" t="n"/>
      <c r="K4921" s="63">
        <f>IF(tblMovement[[#This Row],[Source]]="","",IFERROR(INDEX(tblSources[Type],MATCH(tblMovement[[#This Row],[Source]],tblSources[Source],0)),"?"))</f>
        <v/>
      </c>
      <c r="L4921" s="63">
        <f>IF(tblMovement[[#This Row],[Destination]]="","",IFERROR(INDEX(tblDestinations[Type],MATCH(tblMovement[[#This Row],[Destination]],tblDestinations[Destination],0)),"?"))</f>
        <v/>
      </c>
      <c r="M4921" s="64">
        <f>IF(tblMovement[[#This Row],[Material]]="","",IF(LEFT(tblMovement[[#This Row],[Material]],3)="Ore",1,0))</f>
        <v/>
      </c>
      <c r="N4921" s="59">
        <f>IF(OR(tblMovement[[#This Row],[Tonnes_t]]="",tblMovement[[#This Row],[Grade_gpt]]=""),0,tblMovement[[#This Row],[Tonnes_t]]*tblMovement[[#This Row],[Grade_gpt]]/cfg_TroyOz)</f>
        <v/>
      </c>
      <c r="O4921" s="59">
        <f>IF(tblMovement[[#This Row],[Is_Ore]]=1,tblMovement[[#This Row],[Contained_oz]],0)</f>
        <v/>
      </c>
    </row>
    <row r="4922">
      <c r="A4922" s="54" t="n"/>
      <c r="B4922" s="61" t="n"/>
      <c r="C4922" s="61" t="n"/>
      <c r="D4922" s="61" t="n"/>
      <c r="E4922" s="61" t="n"/>
      <c r="F4922" s="55" t="n"/>
      <c r="G4922" s="56" t="n"/>
      <c r="H4922" s="55" t="n"/>
      <c r="I4922" s="62" t="n"/>
      <c r="J4922" s="58" t="n"/>
      <c r="K4922" s="63">
        <f>IF(tblMovement[[#This Row],[Source]]="","",IFERROR(INDEX(tblSources[Type],MATCH(tblMovement[[#This Row],[Source]],tblSources[Source],0)),"?"))</f>
        <v/>
      </c>
      <c r="L4922" s="63">
        <f>IF(tblMovement[[#This Row],[Destination]]="","",IFERROR(INDEX(tblDestinations[Type],MATCH(tblMovement[[#This Row],[Destination]],tblDestinations[Destination],0)),"?"))</f>
        <v/>
      </c>
      <c r="M4922" s="64">
        <f>IF(tblMovement[[#This Row],[Material]]="","",IF(LEFT(tblMovement[[#This Row],[Material]],3)="Ore",1,0))</f>
        <v/>
      </c>
      <c r="N4922" s="59">
        <f>IF(OR(tblMovement[[#This Row],[Tonnes_t]]="",tblMovement[[#This Row],[Grade_gpt]]=""),0,tblMovement[[#This Row],[Tonnes_t]]*tblMovement[[#This Row],[Grade_gpt]]/cfg_TroyOz)</f>
        <v/>
      </c>
      <c r="O4922" s="59">
        <f>IF(tblMovement[[#This Row],[Is_Ore]]=1,tblMovement[[#This Row],[Contained_oz]],0)</f>
        <v/>
      </c>
    </row>
    <row r="4923">
      <c r="A4923" s="54" t="n"/>
      <c r="B4923" s="61" t="n"/>
      <c r="C4923" s="61" t="n"/>
      <c r="D4923" s="61" t="n"/>
      <c r="E4923" s="61" t="n"/>
      <c r="F4923" s="55" t="n"/>
      <c r="G4923" s="56" t="n"/>
      <c r="H4923" s="55" t="n"/>
      <c r="I4923" s="62" t="n"/>
      <c r="J4923" s="58" t="n"/>
      <c r="K4923" s="63">
        <f>IF(tblMovement[[#This Row],[Source]]="","",IFERROR(INDEX(tblSources[Type],MATCH(tblMovement[[#This Row],[Source]],tblSources[Source],0)),"?"))</f>
        <v/>
      </c>
      <c r="L4923" s="63">
        <f>IF(tblMovement[[#This Row],[Destination]]="","",IFERROR(INDEX(tblDestinations[Type],MATCH(tblMovement[[#This Row],[Destination]],tblDestinations[Destination],0)),"?"))</f>
        <v/>
      </c>
      <c r="M4923" s="64">
        <f>IF(tblMovement[[#This Row],[Material]]="","",IF(LEFT(tblMovement[[#This Row],[Material]],3)="Ore",1,0))</f>
        <v/>
      </c>
      <c r="N4923" s="59">
        <f>IF(OR(tblMovement[[#This Row],[Tonnes_t]]="",tblMovement[[#This Row],[Grade_gpt]]=""),0,tblMovement[[#This Row],[Tonnes_t]]*tblMovement[[#This Row],[Grade_gpt]]/cfg_TroyOz)</f>
        <v/>
      </c>
      <c r="O4923" s="59">
        <f>IF(tblMovement[[#This Row],[Is_Ore]]=1,tblMovement[[#This Row],[Contained_oz]],0)</f>
        <v/>
      </c>
    </row>
    <row r="4924">
      <c r="A4924" s="54" t="n"/>
      <c r="B4924" s="61" t="n"/>
      <c r="C4924" s="61" t="n"/>
      <c r="D4924" s="61" t="n"/>
      <c r="E4924" s="61" t="n"/>
      <c r="F4924" s="55" t="n"/>
      <c r="G4924" s="56" t="n"/>
      <c r="H4924" s="55" t="n"/>
      <c r="I4924" s="62" t="n"/>
      <c r="J4924" s="58" t="n"/>
      <c r="K4924" s="63">
        <f>IF(tblMovement[[#This Row],[Source]]="","",IFERROR(INDEX(tblSources[Type],MATCH(tblMovement[[#This Row],[Source]],tblSources[Source],0)),"?"))</f>
        <v/>
      </c>
      <c r="L4924" s="63">
        <f>IF(tblMovement[[#This Row],[Destination]]="","",IFERROR(INDEX(tblDestinations[Type],MATCH(tblMovement[[#This Row],[Destination]],tblDestinations[Destination],0)),"?"))</f>
        <v/>
      </c>
      <c r="M4924" s="64">
        <f>IF(tblMovement[[#This Row],[Material]]="","",IF(LEFT(tblMovement[[#This Row],[Material]],3)="Ore",1,0))</f>
        <v/>
      </c>
      <c r="N4924" s="59">
        <f>IF(OR(tblMovement[[#This Row],[Tonnes_t]]="",tblMovement[[#This Row],[Grade_gpt]]=""),0,tblMovement[[#This Row],[Tonnes_t]]*tblMovement[[#This Row],[Grade_gpt]]/cfg_TroyOz)</f>
        <v/>
      </c>
      <c r="O4924" s="59">
        <f>IF(tblMovement[[#This Row],[Is_Ore]]=1,tblMovement[[#This Row],[Contained_oz]],0)</f>
        <v/>
      </c>
    </row>
    <row r="4925">
      <c r="A4925" s="54" t="n"/>
      <c r="B4925" s="61" t="n"/>
      <c r="C4925" s="61" t="n"/>
      <c r="D4925" s="61" t="n"/>
      <c r="E4925" s="61" t="n"/>
      <c r="F4925" s="55" t="n"/>
      <c r="G4925" s="56" t="n"/>
      <c r="H4925" s="55" t="n"/>
      <c r="I4925" s="62" t="n"/>
      <c r="J4925" s="58" t="n"/>
      <c r="K4925" s="63">
        <f>IF(tblMovement[[#This Row],[Source]]="","",IFERROR(INDEX(tblSources[Type],MATCH(tblMovement[[#This Row],[Source]],tblSources[Source],0)),"?"))</f>
        <v/>
      </c>
      <c r="L4925" s="63">
        <f>IF(tblMovement[[#This Row],[Destination]]="","",IFERROR(INDEX(tblDestinations[Type],MATCH(tblMovement[[#This Row],[Destination]],tblDestinations[Destination],0)),"?"))</f>
        <v/>
      </c>
      <c r="M4925" s="64">
        <f>IF(tblMovement[[#This Row],[Material]]="","",IF(LEFT(tblMovement[[#This Row],[Material]],3)="Ore",1,0))</f>
        <v/>
      </c>
      <c r="N4925" s="59">
        <f>IF(OR(tblMovement[[#This Row],[Tonnes_t]]="",tblMovement[[#This Row],[Grade_gpt]]=""),0,tblMovement[[#This Row],[Tonnes_t]]*tblMovement[[#This Row],[Grade_gpt]]/cfg_TroyOz)</f>
        <v/>
      </c>
      <c r="O4925" s="59">
        <f>IF(tblMovement[[#This Row],[Is_Ore]]=1,tblMovement[[#This Row],[Contained_oz]],0)</f>
        <v/>
      </c>
    </row>
    <row r="4926">
      <c r="A4926" s="54" t="n"/>
      <c r="B4926" s="61" t="n"/>
      <c r="C4926" s="61" t="n"/>
      <c r="D4926" s="61" t="n"/>
      <c r="E4926" s="61" t="n"/>
      <c r="F4926" s="55" t="n"/>
      <c r="G4926" s="56" t="n"/>
      <c r="H4926" s="55" t="n"/>
      <c r="I4926" s="62" t="n"/>
      <c r="J4926" s="58" t="n"/>
      <c r="K4926" s="63">
        <f>IF(tblMovement[[#This Row],[Source]]="","",IFERROR(INDEX(tblSources[Type],MATCH(tblMovement[[#This Row],[Source]],tblSources[Source],0)),"?"))</f>
        <v/>
      </c>
      <c r="L4926" s="63">
        <f>IF(tblMovement[[#This Row],[Destination]]="","",IFERROR(INDEX(tblDestinations[Type],MATCH(tblMovement[[#This Row],[Destination]],tblDestinations[Destination],0)),"?"))</f>
        <v/>
      </c>
      <c r="M4926" s="64">
        <f>IF(tblMovement[[#This Row],[Material]]="","",IF(LEFT(tblMovement[[#This Row],[Material]],3)="Ore",1,0))</f>
        <v/>
      </c>
      <c r="N4926" s="59">
        <f>IF(OR(tblMovement[[#This Row],[Tonnes_t]]="",tblMovement[[#This Row],[Grade_gpt]]=""),0,tblMovement[[#This Row],[Tonnes_t]]*tblMovement[[#This Row],[Grade_gpt]]/cfg_TroyOz)</f>
        <v/>
      </c>
      <c r="O4926" s="59">
        <f>IF(tblMovement[[#This Row],[Is_Ore]]=1,tblMovement[[#This Row],[Contained_oz]],0)</f>
        <v/>
      </c>
    </row>
    <row r="4927">
      <c r="A4927" s="54" t="n"/>
      <c r="B4927" s="61" t="n"/>
      <c r="C4927" s="61" t="n"/>
      <c r="D4927" s="61" t="n"/>
      <c r="E4927" s="61" t="n"/>
      <c r="F4927" s="55" t="n"/>
      <c r="G4927" s="56" t="n"/>
      <c r="H4927" s="55" t="n"/>
      <c r="I4927" s="62" t="n"/>
      <c r="J4927" s="58" t="n"/>
      <c r="K4927" s="63">
        <f>IF(tblMovement[[#This Row],[Source]]="","",IFERROR(INDEX(tblSources[Type],MATCH(tblMovement[[#This Row],[Source]],tblSources[Source],0)),"?"))</f>
        <v/>
      </c>
      <c r="L4927" s="63">
        <f>IF(tblMovement[[#This Row],[Destination]]="","",IFERROR(INDEX(tblDestinations[Type],MATCH(tblMovement[[#This Row],[Destination]],tblDestinations[Destination],0)),"?"))</f>
        <v/>
      </c>
      <c r="M4927" s="64">
        <f>IF(tblMovement[[#This Row],[Material]]="","",IF(LEFT(tblMovement[[#This Row],[Material]],3)="Ore",1,0))</f>
        <v/>
      </c>
      <c r="N4927" s="59">
        <f>IF(OR(tblMovement[[#This Row],[Tonnes_t]]="",tblMovement[[#This Row],[Grade_gpt]]=""),0,tblMovement[[#This Row],[Tonnes_t]]*tblMovement[[#This Row],[Grade_gpt]]/cfg_TroyOz)</f>
        <v/>
      </c>
      <c r="O4927" s="59">
        <f>IF(tblMovement[[#This Row],[Is_Ore]]=1,tblMovement[[#This Row],[Contained_oz]],0)</f>
        <v/>
      </c>
    </row>
    <row r="4928">
      <c r="A4928" s="54" t="n"/>
      <c r="B4928" s="61" t="n"/>
      <c r="C4928" s="61" t="n"/>
      <c r="D4928" s="61" t="n"/>
      <c r="E4928" s="61" t="n"/>
      <c r="F4928" s="55" t="n"/>
      <c r="G4928" s="56" t="n"/>
      <c r="H4928" s="55" t="n"/>
      <c r="I4928" s="62" t="n"/>
      <c r="J4928" s="58" t="n"/>
      <c r="K4928" s="63">
        <f>IF(tblMovement[[#This Row],[Source]]="","",IFERROR(INDEX(tblSources[Type],MATCH(tblMovement[[#This Row],[Source]],tblSources[Source],0)),"?"))</f>
        <v/>
      </c>
      <c r="L4928" s="63">
        <f>IF(tblMovement[[#This Row],[Destination]]="","",IFERROR(INDEX(tblDestinations[Type],MATCH(tblMovement[[#This Row],[Destination]],tblDestinations[Destination],0)),"?"))</f>
        <v/>
      </c>
      <c r="M4928" s="64">
        <f>IF(tblMovement[[#This Row],[Material]]="","",IF(LEFT(tblMovement[[#This Row],[Material]],3)="Ore",1,0))</f>
        <v/>
      </c>
      <c r="N4928" s="59">
        <f>IF(OR(tblMovement[[#This Row],[Tonnes_t]]="",tblMovement[[#This Row],[Grade_gpt]]=""),0,tblMovement[[#This Row],[Tonnes_t]]*tblMovement[[#This Row],[Grade_gpt]]/cfg_TroyOz)</f>
        <v/>
      </c>
      <c r="O4928" s="59">
        <f>IF(tblMovement[[#This Row],[Is_Ore]]=1,tblMovement[[#This Row],[Contained_oz]],0)</f>
        <v/>
      </c>
    </row>
    <row r="4929">
      <c r="A4929" s="54" t="n"/>
      <c r="B4929" s="61" t="n"/>
      <c r="C4929" s="61" t="n"/>
      <c r="D4929" s="61" t="n"/>
      <c r="E4929" s="61" t="n"/>
      <c r="F4929" s="55" t="n"/>
      <c r="G4929" s="56" t="n"/>
      <c r="H4929" s="55" t="n"/>
      <c r="I4929" s="62" t="n"/>
      <c r="J4929" s="58" t="n"/>
      <c r="K4929" s="63">
        <f>IF(tblMovement[[#This Row],[Source]]="","",IFERROR(INDEX(tblSources[Type],MATCH(tblMovement[[#This Row],[Source]],tblSources[Source],0)),"?"))</f>
        <v/>
      </c>
      <c r="L4929" s="63">
        <f>IF(tblMovement[[#This Row],[Destination]]="","",IFERROR(INDEX(tblDestinations[Type],MATCH(tblMovement[[#This Row],[Destination]],tblDestinations[Destination],0)),"?"))</f>
        <v/>
      </c>
      <c r="M4929" s="64">
        <f>IF(tblMovement[[#This Row],[Material]]="","",IF(LEFT(tblMovement[[#This Row],[Material]],3)="Ore",1,0))</f>
        <v/>
      </c>
      <c r="N4929" s="59">
        <f>IF(OR(tblMovement[[#This Row],[Tonnes_t]]="",tblMovement[[#This Row],[Grade_gpt]]=""),0,tblMovement[[#This Row],[Tonnes_t]]*tblMovement[[#This Row],[Grade_gpt]]/cfg_TroyOz)</f>
        <v/>
      </c>
      <c r="O4929" s="59">
        <f>IF(tblMovement[[#This Row],[Is_Ore]]=1,tblMovement[[#This Row],[Contained_oz]],0)</f>
        <v/>
      </c>
    </row>
    <row r="4930">
      <c r="A4930" s="54" t="n"/>
      <c r="B4930" s="61" t="n"/>
      <c r="C4930" s="61" t="n"/>
      <c r="D4930" s="61" t="n"/>
      <c r="E4930" s="61" t="n"/>
      <c r="F4930" s="55" t="n"/>
      <c r="G4930" s="56" t="n"/>
      <c r="H4930" s="55" t="n"/>
      <c r="I4930" s="62" t="n"/>
      <c r="J4930" s="58" t="n"/>
      <c r="K4930" s="63">
        <f>IF(tblMovement[[#This Row],[Source]]="","",IFERROR(INDEX(tblSources[Type],MATCH(tblMovement[[#This Row],[Source]],tblSources[Source],0)),"?"))</f>
        <v/>
      </c>
      <c r="L4930" s="63">
        <f>IF(tblMovement[[#This Row],[Destination]]="","",IFERROR(INDEX(tblDestinations[Type],MATCH(tblMovement[[#This Row],[Destination]],tblDestinations[Destination],0)),"?"))</f>
        <v/>
      </c>
      <c r="M4930" s="64">
        <f>IF(tblMovement[[#This Row],[Material]]="","",IF(LEFT(tblMovement[[#This Row],[Material]],3)="Ore",1,0))</f>
        <v/>
      </c>
      <c r="N4930" s="59">
        <f>IF(OR(tblMovement[[#This Row],[Tonnes_t]]="",tblMovement[[#This Row],[Grade_gpt]]=""),0,tblMovement[[#This Row],[Tonnes_t]]*tblMovement[[#This Row],[Grade_gpt]]/cfg_TroyOz)</f>
        <v/>
      </c>
      <c r="O4930" s="59">
        <f>IF(tblMovement[[#This Row],[Is_Ore]]=1,tblMovement[[#This Row],[Contained_oz]],0)</f>
        <v/>
      </c>
    </row>
    <row r="4931">
      <c r="A4931" s="54" t="n"/>
      <c r="B4931" s="61" t="n"/>
      <c r="C4931" s="61" t="n"/>
      <c r="D4931" s="61" t="n"/>
      <c r="E4931" s="61" t="n"/>
      <c r="F4931" s="55" t="n"/>
      <c r="G4931" s="56" t="n"/>
      <c r="H4931" s="55" t="n"/>
      <c r="I4931" s="62" t="n"/>
      <c r="J4931" s="58" t="n"/>
      <c r="K4931" s="63">
        <f>IF(tblMovement[[#This Row],[Source]]="","",IFERROR(INDEX(tblSources[Type],MATCH(tblMovement[[#This Row],[Source]],tblSources[Source],0)),"?"))</f>
        <v/>
      </c>
      <c r="L4931" s="63">
        <f>IF(tblMovement[[#This Row],[Destination]]="","",IFERROR(INDEX(tblDestinations[Type],MATCH(tblMovement[[#This Row],[Destination]],tblDestinations[Destination],0)),"?"))</f>
        <v/>
      </c>
      <c r="M4931" s="64">
        <f>IF(tblMovement[[#This Row],[Material]]="","",IF(LEFT(tblMovement[[#This Row],[Material]],3)="Ore",1,0))</f>
        <v/>
      </c>
      <c r="N4931" s="59">
        <f>IF(OR(tblMovement[[#This Row],[Tonnes_t]]="",tblMovement[[#This Row],[Grade_gpt]]=""),0,tblMovement[[#This Row],[Tonnes_t]]*tblMovement[[#This Row],[Grade_gpt]]/cfg_TroyOz)</f>
        <v/>
      </c>
      <c r="O4931" s="59">
        <f>IF(tblMovement[[#This Row],[Is_Ore]]=1,tblMovement[[#This Row],[Contained_oz]],0)</f>
        <v/>
      </c>
    </row>
    <row r="4932">
      <c r="A4932" s="54" t="n"/>
      <c r="B4932" s="61" t="n"/>
      <c r="C4932" s="61" t="n"/>
      <c r="D4932" s="61" t="n"/>
      <c r="E4932" s="61" t="n"/>
      <c r="F4932" s="55" t="n"/>
      <c r="G4932" s="56" t="n"/>
      <c r="H4932" s="55" t="n"/>
      <c r="I4932" s="62" t="n"/>
      <c r="J4932" s="58" t="n"/>
      <c r="K4932" s="63">
        <f>IF(tblMovement[[#This Row],[Source]]="","",IFERROR(INDEX(tblSources[Type],MATCH(tblMovement[[#This Row],[Source]],tblSources[Source],0)),"?"))</f>
        <v/>
      </c>
      <c r="L4932" s="63">
        <f>IF(tblMovement[[#This Row],[Destination]]="","",IFERROR(INDEX(tblDestinations[Type],MATCH(tblMovement[[#This Row],[Destination]],tblDestinations[Destination],0)),"?"))</f>
        <v/>
      </c>
      <c r="M4932" s="64">
        <f>IF(tblMovement[[#This Row],[Material]]="","",IF(LEFT(tblMovement[[#This Row],[Material]],3)="Ore",1,0))</f>
        <v/>
      </c>
      <c r="N4932" s="59">
        <f>IF(OR(tblMovement[[#This Row],[Tonnes_t]]="",tblMovement[[#This Row],[Grade_gpt]]=""),0,tblMovement[[#This Row],[Tonnes_t]]*tblMovement[[#This Row],[Grade_gpt]]/cfg_TroyOz)</f>
        <v/>
      </c>
      <c r="O4932" s="59">
        <f>IF(tblMovement[[#This Row],[Is_Ore]]=1,tblMovement[[#This Row],[Contained_oz]],0)</f>
        <v/>
      </c>
    </row>
    <row r="4933">
      <c r="A4933" s="54" t="n"/>
      <c r="B4933" s="61" t="n"/>
      <c r="C4933" s="61" t="n"/>
      <c r="D4933" s="61" t="n"/>
      <c r="E4933" s="61" t="n"/>
      <c r="F4933" s="55" t="n"/>
      <c r="G4933" s="56" t="n"/>
      <c r="H4933" s="55" t="n"/>
      <c r="I4933" s="62" t="n"/>
      <c r="J4933" s="58" t="n"/>
      <c r="K4933" s="63">
        <f>IF(tblMovement[[#This Row],[Source]]="","",IFERROR(INDEX(tblSources[Type],MATCH(tblMovement[[#This Row],[Source]],tblSources[Source],0)),"?"))</f>
        <v/>
      </c>
      <c r="L4933" s="63">
        <f>IF(tblMovement[[#This Row],[Destination]]="","",IFERROR(INDEX(tblDestinations[Type],MATCH(tblMovement[[#This Row],[Destination]],tblDestinations[Destination],0)),"?"))</f>
        <v/>
      </c>
      <c r="M4933" s="64">
        <f>IF(tblMovement[[#This Row],[Material]]="","",IF(LEFT(tblMovement[[#This Row],[Material]],3)="Ore",1,0))</f>
        <v/>
      </c>
      <c r="N4933" s="59">
        <f>IF(OR(tblMovement[[#This Row],[Tonnes_t]]="",tblMovement[[#This Row],[Grade_gpt]]=""),0,tblMovement[[#This Row],[Tonnes_t]]*tblMovement[[#This Row],[Grade_gpt]]/cfg_TroyOz)</f>
        <v/>
      </c>
      <c r="O4933" s="59">
        <f>IF(tblMovement[[#This Row],[Is_Ore]]=1,tblMovement[[#This Row],[Contained_oz]],0)</f>
        <v/>
      </c>
    </row>
    <row r="4934">
      <c r="A4934" s="54" t="n"/>
      <c r="B4934" s="61" t="n"/>
      <c r="C4934" s="61" t="n"/>
      <c r="D4934" s="61" t="n"/>
      <c r="E4934" s="61" t="n"/>
      <c r="F4934" s="55" t="n"/>
      <c r="G4934" s="56" t="n"/>
      <c r="H4934" s="55" t="n"/>
      <c r="I4934" s="62" t="n"/>
      <c r="J4934" s="58" t="n"/>
      <c r="K4934" s="63">
        <f>IF(tblMovement[[#This Row],[Source]]="","",IFERROR(INDEX(tblSources[Type],MATCH(tblMovement[[#This Row],[Source]],tblSources[Source],0)),"?"))</f>
        <v/>
      </c>
      <c r="L4934" s="63">
        <f>IF(tblMovement[[#This Row],[Destination]]="","",IFERROR(INDEX(tblDestinations[Type],MATCH(tblMovement[[#This Row],[Destination]],tblDestinations[Destination],0)),"?"))</f>
        <v/>
      </c>
      <c r="M4934" s="64">
        <f>IF(tblMovement[[#This Row],[Material]]="","",IF(LEFT(tblMovement[[#This Row],[Material]],3)="Ore",1,0))</f>
        <v/>
      </c>
      <c r="N4934" s="59">
        <f>IF(OR(tblMovement[[#This Row],[Tonnes_t]]="",tblMovement[[#This Row],[Grade_gpt]]=""),0,tblMovement[[#This Row],[Tonnes_t]]*tblMovement[[#This Row],[Grade_gpt]]/cfg_TroyOz)</f>
        <v/>
      </c>
      <c r="O4934" s="59">
        <f>IF(tblMovement[[#This Row],[Is_Ore]]=1,tblMovement[[#This Row],[Contained_oz]],0)</f>
        <v/>
      </c>
    </row>
    <row r="4935">
      <c r="A4935" s="54" t="n"/>
      <c r="B4935" s="61" t="n"/>
      <c r="C4935" s="61" t="n"/>
      <c r="D4935" s="61" t="n"/>
      <c r="E4935" s="61" t="n"/>
      <c r="F4935" s="55" t="n"/>
      <c r="G4935" s="56" t="n"/>
      <c r="H4935" s="55" t="n"/>
      <c r="I4935" s="62" t="n"/>
      <c r="J4935" s="58" t="n"/>
      <c r="K4935" s="63">
        <f>IF(tblMovement[[#This Row],[Source]]="","",IFERROR(INDEX(tblSources[Type],MATCH(tblMovement[[#This Row],[Source]],tblSources[Source],0)),"?"))</f>
        <v/>
      </c>
      <c r="L4935" s="63">
        <f>IF(tblMovement[[#This Row],[Destination]]="","",IFERROR(INDEX(tblDestinations[Type],MATCH(tblMovement[[#This Row],[Destination]],tblDestinations[Destination],0)),"?"))</f>
        <v/>
      </c>
      <c r="M4935" s="64">
        <f>IF(tblMovement[[#This Row],[Material]]="","",IF(LEFT(tblMovement[[#This Row],[Material]],3)="Ore",1,0))</f>
        <v/>
      </c>
      <c r="N4935" s="59">
        <f>IF(OR(tblMovement[[#This Row],[Tonnes_t]]="",tblMovement[[#This Row],[Grade_gpt]]=""),0,tblMovement[[#This Row],[Tonnes_t]]*tblMovement[[#This Row],[Grade_gpt]]/cfg_TroyOz)</f>
        <v/>
      </c>
      <c r="O4935" s="59">
        <f>IF(tblMovement[[#This Row],[Is_Ore]]=1,tblMovement[[#This Row],[Contained_oz]],0)</f>
        <v/>
      </c>
    </row>
    <row r="4936">
      <c r="A4936" s="54" t="n"/>
      <c r="B4936" s="61" t="n"/>
      <c r="C4936" s="61" t="n"/>
      <c r="D4936" s="61" t="n"/>
      <c r="E4936" s="61" t="n"/>
      <c r="F4936" s="55" t="n"/>
      <c r="G4936" s="56" t="n"/>
      <c r="H4936" s="55" t="n"/>
      <c r="I4936" s="62" t="n"/>
      <c r="J4936" s="58" t="n"/>
      <c r="K4936" s="63">
        <f>IF(tblMovement[[#This Row],[Source]]="","",IFERROR(INDEX(tblSources[Type],MATCH(tblMovement[[#This Row],[Source]],tblSources[Source],0)),"?"))</f>
        <v/>
      </c>
      <c r="L4936" s="63">
        <f>IF(tblMovement[[#This Row],[Destination]]="","",IFERROR(INDEX(tblDestinations[Type],MATCH(tblMovement[[#This Row],[Destination]],tblDestinations[Destination],0)),"?"))</f>
        <v/>
      </c>
      <c r="M4936" s="64">
        <f>IF(tblMovement[[#This Row],[Material]]="","",IF(LEFT(tblMovement[[#This Row],[Material]],3)="Ore",1,0))</f>
        <v/>
      </c>
      <c r="N4936" s="59">
        <f>IF(OR(tblMovement[[#This Row],[Tonnes_t]]="",tblMovement[[#This Row],[Grade_gpt]]=""),0,tblMovement[[#This Row],[Tonnes_t]]*tblMovement[[#This Row],[Grade_gpt]]/cfg_TroyOz)</f>
        <v/>
      </c>
      <c r="O4936" s="59">
        <f>IF(tblMovement[[#This Row],[Is_Ore]]=1,tblMovement[[#This Row],[Contained_oz]],0)</f>
        <v/>
      </c>
    </row>
    <row r="4937">
      <c r="A4937" s="54" t="n"/>
      <c r="B4937" s="61" t="n"/>
      <c r="C4937" s="61" t="n"/>
      <c r="D4937" s="61" t="n"/>
      <c r="E4937" s="61" t="n"/>
      <c r="F4937" s="55" t="n"/>
      <c r="G4937" s="56" t="n"/>
      <c r="H4937" s="55" t="n"/>
      <c r="I4937" s="62" t="n"/>
      <c r="J4937" s="58" t="n"/>
      <c r="K4937" s="63">
        <f>IF(tblMovement[[#This Row],[Source]]="","",IFERROR(INDEX(tblSources[Type],MATCH(tblMovement[[#This Row],[Source]],tblSources[Source],0)),"?"))</f>
        <v/>
      </c>
      <c r="L4937" s="63">
        <f>IF(tblMovement[[#This Row],[Destination]]="","",IFERROR(INDEX(tblDestinations[Type],MATCH(tblMovement[[#This Row],[Destination]],tblDestinations[Destination],0)),"?"))</f>
        <v/>
      </c>
      <c r="M4937" s="64">
        <f>IF(tblMovement[[#This Row],[Material]]="","",IF(LEFT(tblMovement[[#This Row],[Material]],3)="Ore",1,0))</f>
        <v/>
      </c>
      <c r="N4937" s="59">
        <f>IF(OR(tblMovement[[#This Row],[Tonnes_t]]="",tblMovement[[#This Row],[Grade_gpt]]=""),0,tblMovement[[#This Row],[Tonnes_t]]*tblMovement[[#This Row],[Grade_gpt]]/cfg_TroyOz)</f>
        <v/>
      </c>
      <c r="O4937" s="59">
        <f>IF(tblMovement[[#This Row],[Is_Ore]]=1,tblMovement[[#This Row],[Contained_oz]],0)</f>
        <v/>
      </c>
    </row>
    <row r="4938">
      <c r="A4938" s="54" t="n"/>
      <c r="B4938" s="61" t="n"/>
      <c r="C4938" s="61" t="n"/>
      <c r="D4938" s="61" t="n"/>
      <c r="E4938" s="61" t="n"/>
      <c r="F4938" s="55" t="n"/>
      <c r="G4938" s="56" t="n"/>
      <c r="H4938" s="55" t="n"/>
      <c r="I4938" s="62" t="n"/>
      <c r="J4938" s="58" t="n"/>
      <c r="K4938" s="63">
        <f>IF(tblMovement[[#This Row],[Source]]="","",IFERROR(INDEX(tblSources[Type],MATCH(tblMovement[[#This Row],[Source]],tblSources[Source],0)),"?"))</f>
        <v/>
      </c>
      <c r="L4938" s="63">
        <f>IF(tblMovement[[#This Row],[Destination]]="","",IFERROR(INDEX(tblDestinations[Type],MATCH(tblMovement[[#This Row],[Destination]],tblDestinations[Destination],0)),"?"))</f>
        <v/>
      </c>
      <c r="M4938" s="64">
        <f>IF(tblMovement[[#This Row],[Material]]="","",IF(LEFT(tblMovement[[#This Row],[Material]],3)="Ore",1,0))</f>
        <v/>
      </c>
      <c r="N4938" s="59">
        <f>IF(OR(tblMovement[[#This Row],[Tonnes_t]]="",tblMovement[[#This Row],[Grade_gpt]]=""),0,tblMovement[[#This Row],[Tonnes_t]]*tblMovement[[#This Row],[Grade_gpt]]/cfg_TroyOz)</f>
        <v/>
      </c>
      <c r="O4938" s="59">
        <f>IF(tblMovement[[#This Row],[Is_Ore]]=1,tblMovement[[#This Row],[Contained_oz]],0)</f>
        <v/>
      </c>
    </row>
    <row r="4939">
      <c r="A4939" s="54" t="n"/>
      <c r="B4939" s="61" t="n"/>
      <c r="C4939" s="61" t="n"/>
      <c r="D4939" s="61" t="n"/>
      <c r="E4939" s="61" t="n"/>
      <c r="F4939" s="55" t="n"/>
      <c r="G4939" s="56" t="n"/>
      <c r="H4939" s="55" t="n"/>
      <c r="I4939" s="62" t="n"/>
      <c r="J4939" s="58" t="n"/>
      <c r="K4939" s="63">
        <f>IF(tblMovement[[#This Row],[Source]]="","",IFERROR(INDEX(tblSources[Type],MATCH(tblMovement[[#This Row],[Source]],tblSources[Source],0)),"?"))</f>
        <v/>
      </c>
      <c r="L4939" s="63">
        <f>IF(tblMovement[[#This Row],[Destination]]="","",IFERROR(INDEX(tblDestinations[Type],MATCH(tblMovement[[#This Row],[Destination]],tblDestinations[Destination],0)),"?"))</f>
        <v/>
      </c>
      <c r="M4939" s="64">
        <f>IF(tblMovement[[#This Row],[Material]]="","",IF(LEFT(tblMovement[[#This Row],[Material]],3)="Ore",1,0))</f>
        <v/>
      </c>
      <c r="N4939" s="59">
        <f>IF(OR(tblMovement[[#This Row],[Tonnes_t]]="",tblMovement[[#This Row],[Grade_gpt]]=""),0,tblMovement[[#This Row],[Tonnes_t]]*tblMovement[[#This Row],[Grade_gpt]]/cfg_TroyOz)</f>
        <v/>
      </c>
      <c r="O4939" s="59">
        <f>IF(tblMovement[[#This Row],[Is_Ore]]=1,tblMovement[[#This Row],[Contained_oz]],0)</f>
        <v/>
      </c>
    </row>
    <row r="4940">
      <c r="A4940" s="54" t="n"/>
      <c r="B4940" s="61" t="n"/>
      <c r="C4940" s="61" t="n"/>
      <c r="D4940" s="61" t="n"/>
      <c r="E4940" s="61" t="n"/>
      <c r="F4940" s="55" t="n"/>
      <c r="G4940" s="56" t="n"/>
      <c r="H4940" s="55" t="n"/>
      <c r="I4940" s="62" t="n"/>
      <c r="J4940" s="58" t="n"/>
      <c r="K4940" s="63">
        <f>IF(tblMovement[[#This Row],[Source]]="","",IFERROR(INDEX(tblSources[Type],MATCH(tblMovement[[#This Row],[Source]],tblSources[Source],0)),"?"))</f>
        <v/>
      </c>
      <c r="L4940" s="63">
        <f>IF(tblMovement[[#This Row],[Destination]]="","",IFERROR(INDEX(tblDestinations[Type],MATCH(tblMovement[[#This Row],[Destination]],tblDestinations[Destination],0)),"?"))</f>
        <v/>
      </c>
      <c r="M4940" s="64">
        <f>IF(tblMovement[[#This Row],[Material]]="","",IF(LEFT(tblMovement[[#This Row],[Material]],3)="Ore",1,0))</f>
        <v/>
      </c>
      <c r="N4940" s="59">
        <f>IF(OR(tblMovement[[#This Row],[Tonnes_t]]="",tblMovement[[#This Row],[Grade_gpt]]=""),0,tblMovement[[#This Row],[Tonnes_t]]*tblMovement[[#This Row],[Grade_gpt]]/cfg_TroyOz)</f>
        <v/>
      </c>
      <c r="O4940" s="59">
        <f>IF(tblMovement[[#This Row],[Is_Ore]]=1,tblMovement[[#This Row],[Contained_oz]],0)</f>
        <v/>
      </c>
    </row>
    <row r="4941">
      <c r="A4941" s="54" t="n"/>
      <c r="B4941" s="61" t="n"/>
      <c r="C4941" s="61" t="n"/>
      <c r="D4941" s="61" t="n"/>
      <c r="E4941" s="61" t="n"/>
      <c r="F4941" s="55" t="n"/>
      <c r="G4941" s="56" t="n"/>
      <c r="H4941" s="55" t="n"/>
      <c r="I4941" s="62" t="n"/>
      <c r="J4941" s="58" t="n"/>
      <c r="K4941" s="63">
        <f>IF(tblMovement[[#This Row],[Source]]="","",IFERROR(INDEX(tblSources[Type],MATCH(tblMovement[[#This Row],[Source]],tblSources[Source],0)),"?"))</f>
        <v/>
      </c>
      <c r="L4941" s="63">
        <f>IF(tblMovement[[#This Row],[Destination]]="","",IFERROR(INDEX(tblDestinations[Type],MATCH(tblMovement[[#This Row],[Destination]],tblDestinations[Destination],0)),"?"))</f>
        <v/>
      </c>
      <c r="M4941" s="64">
        <f>IF(tblMovement[[#This Row],[Material]]="","",IF(LEFT(tblMovement[[#This Row],[Material]],3)="Ore",1,0))</f>
        <v/>
      </c>
      <c r="N4941" s="59">
        <f>IF(OR(tblMovement[[#This Row],[Tonnes_t]]="",tblMovement[[#This Row],[Grade_gpt]]=""),0,tblMovement[[#This Row],[Tonnes_t]]*tblMovement[[#This Row],[Grade_gpt]]/cfg_TroyOz)</f>
        <v/>
      </c>
      <c r="O4941" s="59">
        <f>IF(tblMovement[[#This Row],[Is_Ore]]=1,tblMovement[[#This Row],[Contained_oz]],0)</f>
        <v/>
      </c>
    </row>
    <row r="4942">
      <c r="A4942" s="54" t="n"/>
      <c r="B4942" s="61" t="n"/>
      <c r="C4942" s="61" t="n"/>
      <c r="D4942" s="61" t="n"/>
      <c r="E4942" s="61" t="n"/>
      <c r="F4942" s="55" t="n"/>
      <c r="G4942" s="56" t="n"/>
      <c r="H4942" s="55" t="n"/>
      <c r="I4942" s="62" t="n"/>
      <c r="J4942" s="58" t="n"/>
      <c r="K4942" s="63">
        <f>IF(tblMovement[[#This Row],[Source]]="","",IFERROR(INDEX(tblSources[Type],MATCH(tblMovement[[#This Row],[Source]],tblSources[Source],0)),"?"))</f>
        <v/>
      </c>
      <c r="L4942" s="63">
        <f>IF(tblMovement[[#This Row],[Destination]]="","",IFERROR(INDEX(tblDestinations[Type],MATCH(tblMovement[[#This Row],[Destination]],tblDestinations[Destination],0)),"?"))</f>
        <v/>
      </c>
      <c r="M4942" s="64">
        <f>IF(tblMovement[[#This Row],[Material]]="","",IF(LEFT(tblMovement[[#This Row],[Material]],3)="Ore",1,0))</f>
        <v/>
      </c>
      <c r="N4942" s="59">
        <f>IF(OR(tblMovement[[#This Row],[Tonnes_t]]="",tblMovement[[#This Row],[Grade_gpt]]=""),0,tblMovement[[#This Row],[Tonnes_t]]*tblMovement[[#This Row],[Grade_gpt]]/cfg_TroyOz)</f>
        <v/>
      </c>
      <c r="O4942" s="59">
        <f>IF(tblMovement[[#This Row],[Is_Ore]]=1,tblMovement[[#This Row],[Contained_oz]],0)</f>
        <v/>
      </c>
    </row>
    <row r="4943">
      <c r="A4943" s="54" t="n"/>
      <c r="B4943" s="61" t="n"/>
      <c r="C4943" s="61" t="n"/>
      <c r="D4943" s="61" t="n"/>
      <c r="E4943" s="61" t="n"/>
      <c r="F4943" s="55" t="n"/>
      <c r="G4943" s="56" t="n"/>
      <c r="H4943" s="55" t="n"/>
      <c r="I4943" s="62" t="n"/>
      <c r="J4943" s="58" t="n"/>
      <c r="K4943" s="63">
        <f>IF(tblMovement[[#This Row],[Source]]="","",IFERROR(INDEX(tblSources[Type],MATCH(tblMovement[[#This Row],[Source]],tblSources[Source],0)),"?"))</f>
        <v/>
      </c>
      <c r="L4943" s="63">
        <f>IF(tblMovement[[#This Row],[Destination]]="","",IFERROR(INDEX(tblDestinations[Type],MATCH(tblMovement[[#This Row],[Destination]],tblDestinations[Destination],0)),"?"))</f>
        <v/>
      </c>
      <c r="M4943" s="64">
        <f>IF(tblMovement[[#This Row],[Material]]="","",IF(LEFT(tblMovement[[#This Row],[Material]],3)="Ore",1,0))</f>
        <v/>
      </c>
      <c r="N4943" s="59">
        <f>IF(OR(tblMovement[[#This Row],[Tonnes_t]]="",tblMovement[[#This Row],[Grade_gpt]]=""),0,tblMovement[[#This Row],[Tonnes_t]]*tblMovement[[#This Row],[Grade_gpt]]/cfg_TroyOz)</f>
        <v/>
      </c>
      <c r="O4943" s="59">
        <f>IF(tblMovement[[#This Row],[Is_Ore]]=1,tblMovement[[#This Row],[Contained_oz]],0)</f>
        <v/>
      </c>
    </row>
    <row r="4944">
      <c r="A4944" s="54" t="n"/>
      <c r="B4944" s="61" t="n"/>
      <c r="C4944" s="61" t="n"/>
      <c r="D4944" s="61" t="n"/>
      <c r="E4944" s="61" t="n"/>
      <c r="F4944" s="55" t="n"/>
      <c r="G4944" s="56" t="n"/>
      <c r="H4944" s="55" t="n"/>
      <c r="I4944" s="62" t="n"/>
      <c r="J4944" s="58" t="n"/>
      <c r="K4944" s="63">
        <f>IF(tblMovement[[#This Row],[Source]]="","",IFERROR(INDEX(tblSources[Type],MATCH(tblMovement[[#This Row],[Source]],tblSources[Source],0)),"?"))</f>
        <v/>
      </c>
      <c r="L4944" s="63">
        <f>IF(tblMovement[[#This Row],[Destination]]="","",IFERROR(INDEX(tblDestinations[Type],MATCH(tblMovement[[#This Row],[Destination]],tblDestinations[Destination],0)),"?"))</f>
        <v/>
      </c>
      <c r="M4944" s="64">
        <f>IF(tblMovement[[#This Row],[Material]]="","",IF(LEFT(tblMovement[[#This Row],[Material]],3)="Ore",1,0))</f>
        <v/>
      </c>
      <c r="N4944" s="59">
        <f>IF(OR(tblMovement[[#This Row],[Tonnes_t]]="",tblMovement[[#This Row],[Grade_gpt]]=""),0,tblMovement[[#This Row],[Tonnes_t]]*tblMovement[[#This Row],[Grade_gpt]]/cfg_TroyOz)</f>
        <v/>
      </c>
      <c r="O4944" s="59">
        <f>IF(tblMovement[[#This Row],[Is_Ore]]=1,tblMovement[[#This Row],[Contained_oz]],0)</f>
        <v/>
      </c>
    </row>
    <row r="4945">
      <c r="A4945" s="54" t="n"/>
      <c r="B4945" s="61" t="n"/>
      <c r="C4945" s="61" t="n"/>
      <c r="D4945" s="61" t="n"/>
      <c r="E4945" s="61" t="n"/>
      <c r="F4945" s="55" t="n"/>
      <c r="G4945" s="56" t="n"/>
      <c r="H4945" s="55" t="n"/>
      <c r="I4945" s="62" t="n"/>
      <c r="J4945" s="58" t="n"/>
      <c r="K4945" s="63">
        <f>IF(tblMovement[[#This Row],[Source]]="","",IFERROR(INDEX(tblSources[Type],MATCH(tblMovement[[#This Row],[Source]],tblSources[Source],0)),"?"))</f>
        <v/>
      </c>
      <c r="L4945" s="63">
        <f>IF(tblMovement[[#This Row],[Destination]]="","",IFERROR(INDEX(tblDestinations[Type],MATCH(tblMovement[[#This Row],[Destination]],tblDestinations[Destination],0)),"?"))</f>
        <v/>
      </c>
      <c r="M4945" s="64">
        <f>IF(tblMovement[[#This Row],[Material]]="","",IF(LEFT(tblMovement[[#This Row],[Material]],3)="Ore",1,0))</f>
        <v/>
      </c>
      <c r="N4945" s="59">
        <f>IF(OR(tblMovement[[#This Row],[Tonnes_t]]="",tblMovement[[#This Row],[Grade_gpt]]=""),0,tblMovement[[#This Row],[Tonnes_t]]*tblMovement[[#This Row],[Grade_gpt]]/cfg_TroyOz)</f>
        <v/>
      </c>
      <c r="O4945" s="59">
        <f>IF(tblMovement[[#This Row],[Is_Ore]]=1,tblMovement[[#This Row],[Contained_oz]],0)</f>
        <v/>
      </c>
    </row>
    <row r="4946">
      <c r="A4946" s="54" t="n"/>
      <c r="B4946" s="61" t="n"/>
      <c r="C4946" s="61" t="n"/>
      <c r="D4946" s="61" t="n"/>
      <c r="E4946" s="61" t="n"/>
      <c r="F4946" s="55" t="n"/>
      <c r="G4946" s="56" t="n"/>
      <c r="H4946" s="55" t="n"/>
      <c r="I4946" s="62" t="n"/>
      <c r="J4946" s="58" t="n"/>
      <c r="K4946" s="63">
        <f>IF(tblMovement[[#This Row],[Source]]="","",IFERROR(INDEX(tblSources[Type],MATCH(tblMovement[[#This Row],[Source]],tblSources[Source],0)),"?"))</f>
        <v/>
      </c>
      <c r="L4946" s="63">
        <f>IF(tblMovement[[#This Row],[Destination]]="","",IFERROR(INDEX(tblDestinations[Type],MATCH(tblMovement[[#This Row],[Destination]],tblDestinations[Destination],0)),"?"))</f>
        <v/>
      </c>
      <c r="M4946" s="64">
        <f>IF(tblMovement[[#This Row],[Material]]="","",IF(LEFT(tblMovement[[#This Row],[Material]],3)="Ore",1,0))</f>
        <v/>
      </c>
      <c r="N4946" s="59">
        <f>IF(OR(tblMovement[[#This Row],[Tonnes_t]]="",tblMovement[[#This Row],[Grade_gpt]]=""),0,tblMovement[[#This Row],[Tonnes_t]]*tblMovement[[#This Row],[Grade_gpt]]/cfg_TroyOz)</f>
        <v/>
      </c>
      <c r="O4946" s="59">
        <f>IF(tblMovement[[#This Row],[Is_Ore]]=1,tblMovement[[#This Row],[Contained_oz]],0)</f>
        <v/>
      </c>
    </row>
    <row r="4947">
      <c r="A4947" s="54" t="n"/>
      <c r="B4947" s="61" t="n"/>
      <c r="C4947" s="61" t="n"/>
      <c r="D4947" s="61" t="n"/>
      <c r="E4947" s="61" t="n"/>
      <c r="F4947" s="55" t="n"/>
      <c r="G4947" s="56" t="n"/>
      <c r="H4947" s="55" t="n"/>
      <c r="I4947" s="62" t="n"/>
      <c r="J4947" s="58" t="n"/>
      <c r="K4947" s="63">
        <f>IF(tblMovement[[#This Row],[Source]]="","",IFERROR(INDEX(tblSources[Type],MATCH(tblMovement[[#This Row],[Source]],tblSources[Source],0)),"?"))</f>
        <v/>
      </c>
      <c r="L4947" s="63">
        <f>IF(tblMovement[[#This Row],[Destination]]="","",IFERROR(INDEX(tblDestinations[Type],MATCH(tblMovement[[#This Row],[Destination]],tblDestinations[Destination],0)),"?"))</f>
        <v/>
      </c>
      <c r="M4947" s="64">
        <f>IF(tblMovement[[#This Row],[Material]]="","",IF(LEFT(tblMovement[[#This Row],[Material]],3)="Ore",1,0))</f>
        <v/>
      </c>
      <c r="N4947" s="59">
        <f>IF(OR(tblMovement[[#This Row],[Tonnes_t]]="",tblMovement[[#This Row],[Grade_gpt]]=""),0,tblMovement[[#This Row],[Tonnes_t]]*tblMovement[[#This Row],[Grade_gpt]]/cfg_TroyOz)</f>
        <v/>
      </c>
      <c r="O4947" s="59">
        <f>IF(tblMovement[[#This Row],[Is_Ore]]=1,tblMovement[[#This Row],[Contained_oz]],0)</f>
        <v/>
      </c>
    </row>
    <row r="4948">
      <c r="A4948" s="54" t="n"/>
      <c r="B4948" s="61" t="n"/>
      <c r="C4948" s="61" t="n"/>
      <c r="D4948" s="61" t="n"/>
      <c r="E4948" s="61" t="n"/>
      <c r="F4948" s="55" t="n"/>
      <c r="G4948" s="56" t="n"/>
      <c r="H4948" s="55" t="n"/>
      <c r="I4948" s="62" t="n"/>
      <c r="J4948" s="58" t="n"/>
      <c r="K4948" s="63">
        <f>IF(tblMovement[[#This Row],[Source]]="","",IFERROR(INDEX(tblSources[Type],MATCH(tblMovement[[#This Row],[Source]],tblSources[Source],0)),"?"))</f>
        <v/>
      </c>
      <c r="L4948" s="63">
        <f>IF(tblMovement[[#This Row],[Destination]]="","",IFERROR(INDEX(tblDestinations[Type],MATCH(tblMovement[[#This Row],[Destination]],tblDestinations[Destination],0)),"?"))</f>
        <v/>
      </c>
      <c r="M4948" s="64">
        <f>IF(tblMovement[[#This Row],[Material]]="","",IF(LEFT(tblMovement[[#This Row],[Material]],3)="Ore",1,0))</f>
        <v/>
      </c>
      <c r="N4948" s="59">
        <f>IF(OR(tblMovement[[#This Row],[Tonnes_t]]="",tblMovement[[#This Row],[Grade_gpt]]=""),0,tblMovement[[#This Row],[Tonnes_t]]*tblMovement[[#This Row],[Grade_gpt]]/cfg_TroyOz)</f>
        <v/>
      </c>
      <c r="O4948" s="59">
        <f>IF(tblMovement[[#This Row],[Is_Ore]]=1,tblMovement[[#This Row],[Contained_oz]],0)</f>
        <v/>
      </c>
    </row>
    <row r="4949">
      <c r="A4949" s="54" t="n"/>
      <c r="B4949" s="61" t="n"/>
      <c r="C4949" s="61" t="n"/>
      <c r="D4949" s="61" t="n"/>
      <c r="E4949" s="61" t="n"/>
      <c r="F4949" s="55" t="n"/>
      <c r="G4949" s="56" t="n"/>
      <c r="H4949" s="55" t="n"/>
      <c r="I4949" s="62" t="n"/>
      <c r="J4949" s="58" t="n"/>
      <c r="K4949" s="63">
        <f>IF(tblMovement[[#This Row],[Source]]="","",IFERROR(INDEX(tblSources[Type],MATCH(tblMovement[[#This Row],[Source]],tblSources[Source],0)),"?"))</f>
        <v/>
      </c>
      <c r="L4949" s="63">
        <f>IF(tblMovement[[#This Row],[Destination]]="","",IFERROR(INDEX(tblDestinations[Type],MATCH(tblMovement[[#This Row],[Destination]],tblDestinations[Destination],0)),"?"))</f>
        <v/>
      </c>
      <c r="M4949" s="64">
        <f>IF(tblMovement[[#This Row],[Material]]="","",IF(LEFT(tblMovement[[#This Row],[Material]],3)="Ore",1,0))</f>
        <v/>
      </c>
      <c r="N4949" s="59">
        <f>IF(OR(tblMovement[[#This Row],[Tonnes_t]]="",tblMovement[[#This Row],[Grade_gpt]]=""),0,tblMovement[[#This Row],[Tonnes_t]]*tblMovement[[#This Row],[Grade_gpt]]/cfg_TroyOz)</f>
        <v/>
      </c>
      <c r="O4949" s="59">
        <f>IF(tblMovement[[#This Row],[Is_Ore]]=1,tblMovement[[#This Row],[Contained_oz]],0)</f>
        <v/>
      </c>
    </row>
    <row r="4950">
      <c r="A4950" s="54" t="n"/>
      <c r="B4950" s="61" t="n"/>
      <c r="C4950" s="61" t="n"/>
      <c r="D4950" s="61" t="n"/>
      <c r="E4950" s="61" t="n"/>
      <c r="F4950" s="55" t="n"/>
      <c r="G4950" s="56" t="n"/>
      <c r="H4950" s="55" t="n"/>
      <c r="I4950" s="62" t="n"/>
      <c r="J4950" s="58" t="n"/>
      <c r="K4950" s="63">
        <f>IF(tblMovement[[#This Row],[Source]]="","",IFERROR(INDEX(tblSources[Type],MATCH(tblMovement[[#This Row],[Source]],tblSources[Source],0)),"?"))</f>
        <v/>
      </c>
      <c r="L4950" s="63">
        <f>IF(tblMovement[[#This Row],[Destination]]="","",IFERROR(INDEX(tblDestinations[Type],MATCH(tblMovement[[#This Row],[Destination]],tblDestinations[Destination],0)),"?"))</f>
        <v/>
      </c>
      <c r="M4950" s="64">
        <f>IF(tblMovement[[#This Row],[Material]]="","",IF(LEFT(tblMovement[[#This Row],[Material]],3)="Ore",1,0))</f>
        <v/>
      </c>
      <c r="N4950" s="59">
        <f>IF(OR(tblMovement[[#This Row],[Tonnes_t]]="",tblMovement[[#This Row],[Grade_gpt]]=""),0,tblMovement[[#This Row],[Tonnes_t]]*tblMovement[[#This Row],[Grade_gpt]]/cfg_TroyOz)</f>
        <v/>
      </c>
      <c r="O4950" s="59">
        <f>IF(tblMovement[[#This Row],[Is_Ore]]=1,tblMovement[[#This Row],[Contained_oz]],0)</f>
        <v/>
      </c>
    </row>
    <row r="4951">
      <c r="A4951" s="54" t="n"/>
      <c r="B4951" s="61" t="n"/>
      <c r="C4951" s="61" t="n"/>
      <c r="D4951" s="61" t="n"/>
      <c r="E4951" s="61" t="n"/>
      <c r="F4951" s="55" t="n"/>
      <c r="G4951" s="56" t="n"/>
      <c r="H4951" s="55" t="n"/>
      <c r="I4951" s="62" t="n"/>
      <c r="J4951" s="58" t="n"/>
      <c r="K4951" s="63">
        <f>IF(tblMovement[[#This Row],[Source]]="","",IFERROR(INDEX(tblSources[Type],MATCH(tblMovement[[#This Row],[Source]],tblSources[Source],0)),"?"))</f>
        <v/>
      </c>
      <c r="L4951" s="63">
        <f>IF(tblMovement[[#This Row],[Destination]]="","",IFERROR(INDEX(tblDestinations[Type],MATCH(tblMovement[[#This Row],[Destination]],tblDestinations[Destination],0)),"?"))</f>
        <v/>
      </c>
      <c r="M4951" s="64">
        <f>IF(tblMovement[[#This Row],[Material]]="","",IF(LEFT(tblMovement[[#This Row],[Material]],3)="Ore",1,0))</f>
        <v/>
      </c>
      <c r="N4951" s="59">
        <f>IF(OR(tblMovement[[#This Row],[Tonnes_t]]="",tblMovement[[#This Row],[Grade_gpt]]=""),0,tblMovement[[#This Row],[Tonnes_t]]*tblMovement[[#This Row],[Grade_gpt]]/cfg_TroyOz)</f>
        <v/>
      </c>
      <c r="O4951" s="59">
        <f>IF(tblMovement[[#This Row],[Is_Ore]]=1,tblMovement[[#This Row],[Contained_oz]],0)</f>
        <v/>
      </c>
    </row>
    <row r="4952">
      <c r="A4952" s="54" t="n"/>
      <c r="B4952" s="61" t="n"/>
      <c r="C4952" s="61" t="n"/>
      <c r="D4952" s="61" t="n"/>
      <c r="E4952" s="61" t="n"/>
      <c r="F4952" s="55" t="n"/>
      <c r="G4952" s="56" t="n"/>
      <c r="H4952" s="55" t="n"/>
      <c r="I4952" s="62" t="n"/>
      <c r="J4952" s="58" t="n"/>
      <c r="K4952" s="63">
        <f>IF(tblMovement[[#This Row],[Source]]="","",IFERROR(INDEX(tblSources[Type],MATCH(tblMovement[[#This Row],[Source]],tblSources[Source],0)),"?"))</f>
        <v/>
      </c>
      <c r="L4952" s="63">
        <f>IF(tblMovement[[#This Row],[Destination]]="","",IFERROR(INDEX(tblDestinations[Type],MATCH(tblMovement[[#This Row],[Destination]],tblDestinations[Destination],0)),"?"))</f>
        <v/>
      </c>
      <c r="M4952" s="64">
        <f>IF(tblMovement[[#This Row],[Material]]="","",IF(LEFT(tblMovement[[#This Row],[Material]],3)="Ore",1,0))</f>
        <v/>
      </c>
      <c r="N4952" s="59">
        <f>IF(OR(tblMovement[[#This Row],[Tonnes_t]]="",tblMovement[[#This Row],[Grade_gpt]]=""),0,tblMovement[[#This Row],[Tonnes_t]]*tblMovement[[#This Row],[Grade_gpt]]/cfg_TroyOz)</f>
        <v/>
      </c>
      <c r="O4952" s="59">
        <f>IF(tblMovement[[#This Row],[Is_Ore]]=1,tblMovement[[#This Row],[Contained_oz]],0)</f>
        <v/>
      </c>
    </row>
    <row r="4953">
      <c r="A4953" s="54" t="n"/>
      <c r="B4953" s="61" t="n"/>
      <c r="C4953" s="61" t="n"/>
      <c r="D4953" s="61" t="n"/>
      <c r="E4953" s="61" t="n"/>
      <c r="F4953" s="55" t="n"/>
      <c r="G4953" s="56" t="n"/>
      <c r="H4953" s="55" t="n"/>
      <c r="I4953" s="62" t="n"/>
      <c r="J4953" s="58" t="n"/>
      <c r="K4953" s="63">
        <f>IF(tblMovement[[#This Row],[Source]]="","",IFERROR(INDEX(tblSources[Type],MATCH(tblMovement[[#This Row],[Source]],tblSources[Source],0)),"?"))</f>
        <v/>
      </c>
      <c r="L4953" s="63">
        <f>IF(tblMovement[[#This Row],[Destination]]="","",IFERROR(INDEX(tblDestinations[Type],MATCH(tblMovement[[#This Row],[Destination]],tblDestinations[Destination],0)),"?"))</f>
        <v/>
      </c>
      <c r="M4953" s="64">
        <f>IF(tblMovement[[#This Row],[Material]]="","",IF(LEFT(tblMovement[[#This Row],[Material]],3)="Ore",1,0))</f>
        <v/>
      </c>
      <c r="N4953" s="59">
        <f>IF(OR(tblMovement[[#This Row],[Tonnes_t]]="",tblMovement[[#This Row],[Grade_gpt]]=""),0,tblMovement[[#This Row],[Tonnes_t]]*tblMovement[[#This Row],[Grade_gpt]]/cfg_TroyOz)</f>
        <v/>
      </c>
      <c r="O4953" s="59">
        <f>IF(tblMovement[[#This Row],[Is_Ore]]=1,tblMovement[[#This Row],[Contained_oz]],0)</f>
        <v/>
      </c>
    </row>
    <row r="4954">
      <c r="A4954" s="54" t="n"/>
      <c r="B4954" s="61" t="n"/>
      <c r="C4954" s="61" t="n"/>
      <c r="D4954" s="61" t="n"/>
      <c r="E4954" s="61" t="n"/>
      <c r="F4954" s="55" t="n"/>
      <c r="G4954" s="56" t="n"/>
      <c r="H4954" s="55" t="n"/>
      <c r="I4954" s="62" t="n"/>
      <c r="J4954" s="58" t="n"/>
      <c r="K4954" s="63">
        <f>IF(tblMovement[[#This Row],[Source]]="","",IFERROR(INDEX(tblSources[Type],MATCH(tblMovement[[#This Row],[Source]],tblSources[Source],0)),"?"))</f>
        <v/>
      </c>
      <c r="L4954" s="63">
        <f>IF(tblMovement[[#This Row],[Destination]]="","",IFERROR(INDEX(tblDestinations[Type],MATCH(tblMovement[[#This Row],[Destination]],tblDestinations[Destination],0)),"?"))</f>
        <v/>
      </c>
      <c r="M4954" s="64">
        <f>IF(tblMovement[[#This Row],[Material]]="","",IF(LEFT(tblMovement[[#This Row],[Material]],3)="Ore",1,0))</f>
        <v/>
      </c>
      <c r="N4954" s="59">
        <f>IF(OR(tblMovement[[#This Row],[Tonnes_t]]="",tblMovement[[#This Row],[Grade_gpt]]=""),0,tblMovement[[#This Row],[Tonnes_t]]*tblMovement[[#This Row],[Grade_gpt]]/cfg_TroyOz)</f>
        <v/>
      </c>
      <c r="O4954" s="59">
        <f>IF(tblMovement[[#This Row],[Is_Ore]]=1,tblMovement[[#This Row],[Contained_oz]],0)</f>
        <v/>
      </c>
    </row>
    <row r="4955">
      <c r="A4955" s="54" t="n"/>
      <c r="B4955" s="61" t="n"/>
      <c r="C4955" s="61" t="n"/>
      <c r="D4955" s="61" t="n"/>
      <c r="E4955" s="61" t="n"/>
      <c r="F4955" s="55" t="n"/>
      <c r="G4955" s="56" t="n"/>
      <c r="H4955" s="55" t="n"/>
      <c r="I4955" s="62" t="n"/>
      <c r="J4955" s="58" t="n"/>
      <c r="K4955" s="63">
        <f>IF(tblMovement[[#This Row],[Source]]="","",IFERROR(INDEX(tblSources[Type],MATCH(tblMovement[[#This Row],[Source]],tblSources[Source],0)),"?"))</f>
        <v/>
      </c>
      <c r="L4955" s="63">
        <f>IF(tblMovement[[#This Row],[Destination]]="","",IFERROR(INDEX(tblDestinations[Type],MATCH(tblMovement[[#This Row],[Destination]],tblDestinations[Destination],0)),"?"))</f>
        <v/>
      </c>
      <c r="M4955" s="64">
        <f>IF(tblMovement[[#This Row],[Material]]="","",IF(LEFT(tblMovement[[#This Row],[Material]],3)="Ore",1,0))</f>
        <v/>
      </c>
      <c r="N4955" s="59">
        <f>IF(OR(tblMovement[[#This Row],[Tonnes_t]]="",tblMovement[[#This Row],[Grade_gpt]]=""),0,tblMovement[[#This Row],[Tonnes_t]]*tblMovement[[#This Row],[Grade_gpt]]/cfg_TroyOz)</f>
        <v/>
      </c>
      <c r="O4955" s="59">
        <f>IF(tblMovement[[#This Row],[Is_Ore]]=1,tblMovement[[#This Row],[Contained_oz]],0)</f>
        <v/>
      </c>
    </row>
    <row r="4956">
      <c r="A4956" s="54" t="n"/>
      <c r="B4956" s="61" t="n"/>
      <c r="C4956" s="61" t="n"/>
      <c r="D4956" s="61" t="n"/>
      <c r="E4956" s="61" t="n"/>
      <c r="F4956" s="55" t="n"/>
      <c r="G4956" s="56" t="n"/>
      <c r="H4956" s="55" t="n"/>
      <c r="I4956" s="62" t="n"/>
      <c r="J4956" s="58" t="n"/>
      <c r="K4956" s="63">
        <f>IF(tblMovement[[#This Row],[Source]]="","",IFERROR(INDEX(tblSources[Type],MATCH(tblMovement[[#This Row],[Source]],tblSources[Source],0)),"?"))</f>
        <v/>
      </c>
      <c r="L4956" s="63">
        <f>IF(tblMovement[[#This Row],[Destination]]="","",IFERROR(INDEX(tblDestinations[Type],MATCH(tblMovement[[#This Row],[Destination]],tblDestinations[Destination],0)),"?"))</f>
        <v/>
      </c>
      <c r="M4956" s="64">
        <f>IF(tblMovement[[#This Row],[Material]]="","",IF(LEFT(tblMovement[[#This Row],[Material]],3)="Ore",1,0))</f>
        <v/>
      </c>
      <c r="N4956" s="59">
        <f>IF(OR(tblMovement[[#This Row],[Tonnes_t]]="",tblMovement[[#This Row],[Grade_gpt]]=""),0,tblMovement[[#This Row],[Tonnes_t]]*tblMovement[[#This Row],[Grade_gpt]]/cfg_TroyOz)</f>
        <v/>
      </c>
      <c r="O4956" s="59">
        <f>IF(tblMovement[[#This Row],[Is_Ore]]=1,tblMovement[[#This Row],[Contained_oz]],0)</f>
        <v/>
      </c>
    </row>
    <row r="4957">
      <c r="A4957" s="54" t="n"/>
      <c r="B4957" s="61" t="n"/>
      <c r="C4957" s="61" t="n"/>
      <c r="D4957" s="61" t="n"/>
      <c r="E4957" s="61" t="n"/>
      <c r="F4957" s="55" t="n"/>
      <c r="G4957" s="56" t="n"/>
      <c r="H4957" s="55" t="n"/>
      <c r="I4957" s="62" t="n"/>
      <c r="J4957" s="58" t="n"/>
      <c r="K4957" s="63">
        <f>IF(tblMovement[[#This Row],[Source]]="","",IFERROR(INDEX(tblSources[Type],MATCH(tblMovement[[#This Row],[Source]],tblSources[Source],0)),"?"))</f>
        <v/>
      </c>
      <c r="L4957" s="63">
        <f>IF(tblMovement[[#This Row],[Destination]]="","",IFERROR(INDEX(tblDestinations[Type],MATCH(tblMovement[[#This Row],[Destination]],tblDestinations[Destination],0)),"?"))</f>
        <v/>
      </c>
      <c r="M4957" s="64">
        <f>IF(tblMovement[[#This Row],[Material]]="","",IF(LEFT(tblMovement[[#This Row],[Material]],3)="Ore",1,0))</f>
        <v/>
      </c>
      <c r="N4957" s="59">
        <f>IF(OR(tblMovement[[#This Row],[Tonnes_t]]="",tblMovement[[#This Row],[Grade_gpt]]=""),0,tblMovement[[#This Row],[Tonnes_t]]*tblMovement[[#This Row],[Grade_gpt]]/cfg_TroyOz)</f>
        <v/>
      </c>
      <c r="O4957" s="59">
        <f>IF(tblMovement[[#This Row],[Is_Ore]]=1,tblMovement[[#This Row],[Contained_oz]],0)</f>
        <v/>
      </c>
    </row>
    <row r="4958">
      <c r="A4958" s="54" t="n"/>
      <c r="B4958" s="61" t="n"/>
      <c r="C4958" s="61" t="n"/>
      <c r="D4958" s="61" t="n"/>
      <c r="E4958" s="61" t="n"/>
      <c r="F4958" s="55" t="n"/>
      <c r="G4958" s="56" t="n"/>
      <c r="H4958" s="55" t="n"/>
      <c r="I4958" s="62" t="n"/>
      <c r="J4958" s="58" t="n"/>
      <c r="K4958" s="63">
        <f>IF(tblMovement[[#This Row],[Source]]="","",IFERROR(INDEX(tblSources[Type],MATCH(tblMovement[[#This Row],[Source]],tblSources[Source],0)),"?"))</f>
        <v/>
      </c>
      <c r="L4958" s="63">
        <f>IF(tblMovement[[#This Row],[Destination]]="","",IFERROR(INDEX(tblDestinations[Type],MATCH(tblMovement[[#This Row],[Destination]],tblDestinations[Destination],0)),"?"))</f>
        <v/>
      </c>
      <c r="M4958" s="64">
        <f>IF(tblMovement[[#This Row],[Material]]="","",IF(LEFT(tblMovement[[#This Row],[Material]],3)="Ore",1,0))</f>
        <v/>
      </c>
      <c r="N4958" s="59">
        <f>IF(OR(tblMovement[[#This Row],[Tonnes_t]]="",tblMovement[[#This Row],[Grade_gpt]]=""),0,tblMovement[[#This Row],[Tonnes_t]]*tblMovement[[#This Row],[Grade_gpt]]/cfg_TroyOz)</f>
        <v/>
      </c>
      <c r="O4958" s="59">
        <f>IF(tblMovement[[#This Row],[Is_Ore]]=1,tblMovement[[#This Row],[Contained_oz]],0)</f>
        <v/>
      </c>
    </row>
    <row r="4959">
      <c r="A4959" s="54" t="n"/>
      <c r="B4959" s="61" t="n"/>
      <c r="C4959" s="61" t="n"/>
      <c r="D4959" s="61" t="n"/>
      <c r="E4959" s="61" t="n"/>
      <c r="F4959" s="55" t="n"/>
      <c r="G4959" s="56" t="n"/>
      <c r="H4959" s="55" t="n"/>
      <c r="I4959" s="62" t="n"/>
      <c r="J4959" s="58" t="n"/>
      <c r="K4959" s="63">
        <f>IF(tblMovement[[#This Row],[Source]]="","",IFERROR(INDEX(tblSources[Type],MATCH(tblMovement[[#This Row],[Source]],tblSources[Source],0)),"?"))</f>
        <v/>
      </c>
      <c r="L4959" s="63">
        <f>IF(tblMovement[[#This Row],[Destination]]="","",IFERROR(INDEX(tblDestinations[Type],MATCH(tblMovement[[#This Row],[Destination]],tblDestinations[Destination],0)),"?"))</f>
        <v/>
      </c>
      <c r="M4959" s="64">
        <f>IF(tblMovement[[#This Row],[Material]]="","",IF(LEFT(tblMovement[[#This Row],[Material]],3)="Ore",1,0))</f>
        <v/>
      </c>
      <c r="N4959" s="59">
        <f>IF(OR(tblMovement[[#This Row],[Tonnes_t]]="",tblMovement[[#This Row],[Grade_gpt]]=""),0,tblMovement[[#This Row],[Tonnes_t]]*tblMovement[[#This Row],[Grade_gpt]]/cfg_TroyOz)</f>
        <v/>
      </c>
      <c r="O4959" s="59">
        <f>IF(tblMovement[[#This Row],[Is_Ore]]=1,tblMovement[[#This Row],[Contained_oz]],0)</f>
        <v/>
      </c>
    </row>
    <row r="4960">
      <c r="A4960" s="54" t="n"/>
      <c r="B4960" s="61" t="n"/>
      <c r="C4960" s="61" t="n"/>
      <c r="D4960" s="61" t="n"/>
      <c r="E4960" s="61" t="n"/>
      <c r="F4960" s="55" t="n"/>
      <c r="G4960" s="56" t="n"/>
      <c r="H4960" s="55" t="n"/>
      <c r="I4960" s="62" t="n"/>
      <c r="J4960" s="58" t="n"/>
      <c r="K4960" s="63">
        <f>IF(tblMovement[[#This Row],[Source]]="","",IFERROR(INDEX(tblSources[Type],MATCH(tblMovement[[#This Row],[Source]],tblSources[Source],0)),"?"))</f>
        <v/>
      </c>
      <c r="L4960" s="63">
        <f>IF(tblMovement[[#This Row],[Destination]]="","",IFERROR(INDEX(tblDestinations[Type],MATCH(tblMovement[[#This Row],[Destination]],tblDestinations[Destination],0)),"?"))</f>
        <v/>
      </c>
      <c r="M4960" s="64">
        <f>IF(tblMovement[[#This Row],[Material]]="","",IF(LEFT(tblMovement[[#This Row],[Material]],3)="Ore",1,0))</f>
        <v/>
      </c>
      <c r="N4960" s="59">
        <f>IF(OR(tblMovement[[#This Row],[Tonnes_t]]="",tblMovement[[#This Row],[Grade_gpt]]=""),0,tblMovement[[#This Row],[Tonnes_t]]*tblMovement[[#This Row],[Grade_gpt]]/cfg_TroyOz)</f>
        <v/>
      </c>
      <c r="O4960" s="59">
        <f>IF(tblMovement[[#This Row],[Is_Ore]]=1,tblMovement[[#This Row],[Contained_oz]],0)</f>
        <v/>
      </c>
    </row>
    <row r="4961">
      <c r="A4961" s="54" t="n"/>
      <c r="B4961" s="61" t="n"/>
      <c r="C4961" s="61" t="n"/>
      <c r="D4961" s="61" t="n"/>
      <c r="E4961" s="61" t="n"/>
      <c r="F4961" s="55" t="n"/>
      <c r="G4961" s="56" t="n"/>
      <c r="H4961" s="55" t="n"/>
      <c r="I4961" s="62" t="n"/>
      <c r="J4961" s="58" t="n"/>
      <c r="K4961" s="63">
        <f>IF(tblMovement[[#This Row],[Source]]="","",IFERROR(INDEX(tblSources[Type],MATCH(tblMovement[[#This Row],[Source]],tblSources[Source],0)),"?"))</f>
        <v/>
      </c>
      <c r="L4961" s="63">
        <f>IF(tblMovement[[#This Row],[Destination]]="","",IFERROR(INDEX(tblDestinations[Type],MATCH(tblMovement[[#This Row],[Destination]],tblDestinations[Destination],0)),"?"))</f>
        <v/>
      </c>
      <c r="M4961" s="64">
        <f>IF(tblMovement[[#This Row],[Material]]="","",IF(LEFT(tblMovement[[#This Row],[Material]],3)="Ore",1,0))</f>
        <v/>
      </c>
      <c r="N4961" s="59">
        <f>IF(OR(tblMovement[[#This Row],[Tonnes_t]]="",tblMovement[[#This Row],[Grade_gpt]]=""),0,tblMovement[[#This Row],[Tonnes_t]]*tblMovement[[#This Row],[Grade_gpt]]/cfg_TroyOz)</f>
        <v/>
      </c>
      <c r="O4961" s="59">
        <f>IF(tblMovement[[#This Row],[Is_Ore]]=1,tblMovement[[#This Row],[Contained_oz]],0)</f>
        <v/>
      </c>
    </row>
    <row r="4962">
      <c r="A4962" s="54" t="n"/>
      <c r="B4962" s="61" t="n"/>
      <c r="C4962" s="61" t="n"/>
      <c r="D4962" s="61" t="n"/>
      <c r="E4962" s="61" t="n"/>
      <c r="F4962" s="55" t="n"/>
      <c r="G4962" s="56" t="n"/>
      <c r="H4962" s="55" t="n"/>
      <c r="I4962" s="62" t="n"/>
      <c r="J4962" s="58" t="n"/>
      <c r="K4962" s="63">
        <f>IF(tblMovement[[#This Row],[Source]]="","",IFERROR(INDEX(tblSources[Type],MATCH(tblMovement[[#This Row],[Source]],tblSources[Source],0)),"?"))</f>
        <v/>
      </c>
      <c r="L4962" s="63">
        <f>IF(tblMovement[[#This Row],[Destination]]="","",IFERROR(INDEX(tblDestinations[Type],MATCH(tblMovement[[#This Row],[Destination]],tblDestinations[Destination],0)),"?"))</f>
        <v/>
      </c>
      <c r="M4962" s="64">
        <f>IF(tblMovement[[#This Row],[Material]]="","",IF(LEFT(tblMovement[[#This Row],[Material]],3)="Ore",1,0))</f>
        <v/>
      </c>
      <c r="N4962" s="59">
        <f>IF(OR(tblMovement[[#This Row],[Tonnes_t]]="",tblMovement[[#This Row],[Grade_gpt]]=""),0,tblMovement[[#This Row],[Tonnes_t]]*tblMovement[[#This Row],[Grade_gpt]]/cfg_TroyOz)</f>
        <v/>
      </c>
      <c r="O4962" s="59">
        <f>IF(tblMovement[[#This Row],[Is_Ore]]=1,tblMovement[[#This Row],[Contained_oz]],0)</f>
        <v/>
      </c>
    </row>
    <row r="4963">
      <c r="A4963" s="54" t="n"/>
      <c r="B4963" s="61" t="n"/>
      <c r="C4963" s="61" t="n"/>
      <c r="D4963" s="61" t="n"/>
      <c r="E4963" s="61" t="n"/>
      <c r="F4963" s="55" t="n"/>
      <c r="G4963" s="56" t="n"/>
      <c r="H4963" s="55" t="n"/>
      <c r="I4963" s="62" t="n"/>
      <c r="J4963" s="58" t="n"/>
      <c r="K4963" s="63">
        <f>IF(tblMovement[[#This Row],[Source]]="","",IFERROR(INDEX(tblSources[Type],MATCH(tblMovement[[#This Row],[Source]],tblSources[Source],0)),"?"))</f>
        <v/>
      </c>
      <c r="L4963" s="63">
        <f>IF(tblMovement[[#This Row],[Destination]]="","",IFERROR(INDEX(tblDestinations[Type],MATCH(tblMovement[[#This Row],[Destination]],tblDestinations[Destination],0)),"?"))</f>
        <v/>
      </c>
      <c r="M4963" s="64">
        <f>IF(tblMovement[[#This Row],[Material]]="","",IF(LEFT(tblMovement[[#This Row],[Material]],3)="Ore",1,0))</f>
        <v/>
      </c>
      <c r="N4963" s="59">
        <f>IF(OR(tblMovement[[#This Row],[Tonnes_t]]="",tblMovement[[#This Row],[Grade_gpt]]=""),0,tblMovement[[#This Row],[Tonnes_t]]*tblMovement[[#This Row],[Grade_gpt]]/cfg_TroyOz)</f>
        <v/>
      </c>
      <c r="O4963" s="59">
        <f>IF(tblMovement[[#This Row],[Is_Ore]]=1,tblMovement[[#This Row],[Contained_oz]],0)</f>
        <v/>
      </c>
    </row>
    <row r="4964">
      <c r="A4964" s="54" t="n"/>
      <c r="B4964" s="61" t="n"/>
      <c r="C4964" s="61" t="n"/>
      <c r="D4964" s="61" t="n"/>
      <c r="E4964" s="61" t="n"/>
      <c r="F4964" s="55" t="n"/>
      <c r="G4964" s="56" t="n"/>
      <c r="H4964" s="55" t="n"/>
      <c r="I4964" s="62" t="n"/>
      <c r="J4964" s="58" t="n"/>
      <c r="K4964" s="63">
        <f>IF(tblMovement[[#This Row],[Source]]="","",IFERROR(INDEX(tblSources[Type],MATCH(tblMovement[[#This Row],[Source]],tblSources[Source],0)),"?"))</f>
        <v/>
      </c>
      <c r="L4964" s="63">
        <f>IF(tblMovement[[#This Row],[Destination]]="","",IFERROR(INDEX(tblDestinations[Type],MATCH(tblMovement[[#This Row],[Destination]],tblDestinations[Destination],0)),"?"))</f>
        <v/>
      </c>
      <c r="M4964" s="64">
        <f>IF(tblMovement[[#This Row],[Material]]="","",IF(LEFT(tblMovement[[#This Row],[Material]],3)="Ore",1,0))</f>
        <v/>
      </c>
      <c r="N4964" s="59">
        <f>IF(OR(tblMovement[[#This Row],[Tonnes_t]]="",tblMovement[[#This Row],[Grade_gpt]]=""),0,tblMovement[[#This Row],[Tonnes_t]]*tblMovement[[#This Row],[Grade_gpt]]/cfg_TroyOz)</f>
        <v/>
      </c>
      <c r="O4964" s="59">
        <f>IF(tblMovement[[#This Row],[Is_Ore]]=1,tblMovement[[#This Row],[Contained_oz]],0)</f>
        <v/>
      </c>
    </row>
    <row r="4965">
      <c r="A4965" s="54" t="n"/>
      <c r="B4965" s="61" t="n"/>
      <c r="C4965" s="61" t="n"/>
      <c r="D4965" s="61" t="n"/>
      <c r="E4965" s="61" t="n"/>
      <c r="F4965" s="55" t="n"/>
      <c r="G4965" s="56" t="n"/>
      <c r="H4965" s="55" t="n"/>
      <c r="I4965" s="62" t="n"/>
      <c r="J4965" s="58" t="n"/>
      <c r="K4965" s="63">
        <f>IF(tblMovement[[#This Row],[Source]]="","",IFERROR(INDEX(tblSources[Type],MATCH(tblMovement[[#This Row],[Source]],tblSources[Source],0)),"?"))</f>
        <v/>
      </c>
      <c r="L4965" s="63">
        <f>IF(tblMovement[[#This Row],[Destination]]="","",IFERROR(INDEX(tblDestinations[Type],MATCH(tblMovement[[#This Row],[Destination]],tblDestinations[Destination],0)),"?"))</f>
        <v/>
      </c>
      <c r="M4965" s="64">
        <f>IF(tblMovement[[#This Row],[Material]]="","",IF(LEFT(tblMovement[[#This Row],[Material]],3)="Ore",1,0))</f>
        <v/>
      </c>
      <c r="N4965" s="59">
        <f>IF(OR(tblMovement[[#This Row],[Tonnes_t]]="",tblMovement[[#This Row],[Grade_gpt]]=""),0,tblMovement[[#This Row],[Tonnes_t]]*tblMovement[[#This Row],[Grade_gpt]]/cfg_TroyOz)</f>
        <v/>
      </c>
      <c r="O4965" s="59">
        <f>IF(tblMovement[[#This Row],[Is_Ore]]=1,tblMovement[[#This Row],[Contained_oz]],0)</f>
        <v/>
      </c>
    </row>
    <row r="4966">
      <c r="A4966" s="54" t="n"/>
      <c r="B4966" s="61" t="n"/>
      <c r="C4966" s="61" t="n"/>
      <c r="D4966" s="61" t="n"/>
      <c r="E4966" s="61" t="n"/>
      <c r="F4966" s="55" t="n"/>
      <c r="G4966" s="56" t="n"/>
      <c r="H4966" s="55" t="n"/>
      <c r="I4966" s="62" t="n"/>
      <c r="J4966" s="58" t="n"/>
      <c r="K4966" s="63">
        <f>IF(tblMovement[[#This Row],[Source]]="","",IFERROR(INDEX(tblSources[Type],MATCH(tblMovement[[#This Row],[Source]],tblSources[Source],0)),"?"))</f>
        <v/>
      </c>
      <c r="L4966" s="63">
        <f>IF(tblMovement[[#This Row],[Destination]]="","",IFERROR(INDEX(tblDestinations[Type],MATCH(tblMovement[[#This Row],[Destination]],tblDestinations[Destination],0)),"?"))</f>
        <v/>
      </c>
      <c r="M4966" s="64">
        <f>IF(tblMovement[[#This Row],[Material]]="","",IF(LEFT(tblMovement[[#This Row],[Material]],3)="Ore",1,0))</f>
        <v/>
      </c>
      <c r="N4966" s="59">
        <f>IF(OR(tblMovement[[#This Row],[Tonnes_t]]="",tblMovement[[#This Row],[Grade_gpt]]=""),0,tblMovement[[#This Row],[Tonnes_t]]*tblMovement[[#This Row],[Grade_gpt]]/cfg_TroyOz)</f>
        <v/>
      </c>
      <c r="O4966" s="59">
        <f>IF(tblMovement[[#This Row],[Is_Ore]]=1,tblMovement[[#This Row],[Contained_oz]],0)</f>
        <v/>
      </c>
    </row>
    <row r="4967">
      <c r="A4967" s="54" t="n"/>
      <c r="B4967" s="61" t="n"/>
      <c r="C4967" s="61" t="n"/>
      <c r="D4967" s="61" t="n"/>
      <c r="E4967" s="61" t="n"/>
      <c r="F4967" s="55" t="n"/>
      <c r="G4967" s="56" t="n"/>
      <c r="H4967" s="55" t="n"/>
      <c r="I4967" s="62" t="n"/>
      <c r="J4967" s="58" t="n"/>
      <c r="K4967" s="63">
        <f>IF(tblMovement[[#This Row],[Source]]="","",IFERROR(INDEX(tblSources[Type],MATCH(tblMovement[[#This Row],[Source]],tblSources[Source],0)),"?"))</f>
        <v/>
      </c>
      <c r="L4967" s="63">
        <f>IF(tblMovement[[#This Row],[Destination]]="","",IFERROR(INDEX(tblDestinations[Type],MATCH(tblMovement[[#This Row],[Destination]],tblDestinations[Destination],0)),"?"))</f>
        <v/>
      </c>
      <c r="M4967" s="64">
        <f>IF(tblMovement[[#This Row],[Material]]="","",IF(LEFT(tblMovement[[#This Row],[Material]],3)="Ore",1,0))</f>
        <v/>
      </c>
      <c r="N4967" s="59">
        <f>IF(OR(tblMovement[[#This Row],[Tonnes_t]]="",tblMovement[[#This Row],[Grade_gpt]]=""),0,tblMovement[[#This Row],[Tonnes_t]]*tblMovement[[#This Row],[Grade_gpt]]/cfg_TroyOz)</f>
        <v/>
      </c>
      <c r="O4967" s="59">
        <f>IF(tblMovement[[#This Row],[Is_Ore]]=1,tblMovement[[#This Row],[Contained_oz]],0)</f>
        <v/>
      </c>
    </row>
    <row r="4968">
      <c r="A4968" s="54" t="n"/>
      <c r="B4968" s="61" t="n"/>
      <c r="C4968" s="61" t="n"/>
      <c r="D4968" s="61" t="n"/>
      <c r="E4968" s="61" t="n"/>
      <c r="F4968" s="55" t="n"/>
      <c r="G4968" s="56" t="n"/>
      <c r="H4968" s="55" t="n"/>
      <c r="I4968" s="62" t="n"/>
      <c r="J4968" s="58" t="n"/>
      <c r="K4968" s="63">
        <f>IF(tblMovement[[#This Row],[Source]]="","",IFERROR(INDEX(tblSources[Type],MATCH(tblMovement[[#This Row],[Source]],tblSources[Source],0)),"?"))</f>
        <v/>
      </c>
      <c r="L4968" s="63">
        <f>IF(tblMovement[[#This Row],[Destination]]="","",IFERROR(INDEX(tblDestinations[Type],MATCH(tblMovement[[#This Row],[Destination]],tblDestinations[Destination],0)),"?"))</f>
        <v/>
      </c>
      <c r="M4968" s="64">
        <f>IF(tblMovement[[#This Row],[Material]]="","",IF(LEFT(tblMovement[[#This Row],[Material]],3)="Ore",1,0))</f>
        <v/>
      </c>
      <c r="N4968" s="59">
        <f>IF(OR(tblMovement[[#This Row],[Tonnes_t]]="",tblMovement[[#This Row],[Grade_gpt]]=""),0,tblMovement[[#This Row],[Tonnes_t]]*tblMovement[[#This Row],[Grade_gpt]]/cfg_TroyOz)</f>
        <v/>
      </c>
      <c r="O4968" s="59">
        <f>IF(tblMovement[[#This Row],[Is_Ore]]=1,tblMovement[[#This Row],[Contained_oz]],0)</f>
        <v/>
      </c>
    </row>
    <row r="4969">
      <c r="A4969" s="54" t="n"/>
      <c r="B4969" s="61" t="n"/>
      <c r="C4969" s="61" t="n"/>
      <c r="D4969" s="61" t="n"/>
      <c r="E4969" s="61" t="n"/>
      <c r="F4969" s="55" t="n"/>
      <c r="G4969" s="56" t="n"/>
      <c r="H4969" s="55" t="n"/>
      <c r="I4969" s="62" t="n"/>
      <c r="J4969" s="58" t="n"/>
      <c r="K4969" s="63">
        <f>IF(tblMovement[[#This Row],[Source]]="","",IFERROR(INDEX(tblSources[Type],MATCH(tblMovement[[#This Row],[Source]],tblSources[Source],0)),"?"))</f>
        <v/>
      </c>
      <c r="L4969" s="63">
        <f>IF(tblMovement[[#This Row],[Destination]]="","",IFERROR(INDEX(tblDestinations[Type],MATCH(tblMovement[[#This Row],[Destination]],tblDestinations[Destination],0)),"?"))</f>
        <v/>
      </c>
      <c r="M4969" s="64">
        <f>IF(tblMovement[[#This Row],[Material]]="","",IF(LEFT(tblMovement[[#This Row],[Material]],3)="Ore",1,0))</f>
        <v/>
      </c>
      <c r="N4969" s="59">
        <f>IF(OR(tblMovement[[#This Row],[Tonnes_t]]="",tblMovement[[#This Row],[Grade_gpt]]=""),0,tblMovement[[#This Row],[Tonnes_t]]*tblMovement[[#This Row],[Grade_gpt]]/cfg_TroyOz)</f>
        <v/>
      </c>
      <c r="O4969" s="59">
        <f>IF(tblMovement[[#This Row],[Is_Ore]]=1,tblMovement[[#This Row],[Contained_oz]],0)</f>
        <v/>
      </c>
    </row>
    <row r="4970">
      <c r="A4970" s="54" t="n"/>
      <c r="B4970" s="61" t="n"/>
      <c r="C4970" s="61" t="n"/>
      <c r="D4970" s="61" t="n"/>
      <c r="E4970" s="61" t="n"/>
      <c r="F4970" s="55" t="n"/>
      <c r="G4970" s="56" t="n"/>
      <c r="H4970" s="55" t="n"/>
      <c r="I4970" s="62" t="n"/>
      <c r="J4970" s="58" t="n"/>
      <c r="K4970" s="63">
        <f>IF(tblMovement[[#This Row],[Source]]="","",IFERROR(INDEX(tblSources[Type],MATCH(tblMovement[[#This Row],[Source]],tblSources[Source],0)),"?"))</f>
        <v/>
      </c>
      <c r="L4970" s="63">
        <f>IF(tblMovement[[#This Row],[Destination]]="","",IFERROR(INDEX(tblDestinations[Type],MATCH(tblMovement[[#This Row],[Destination]],tblDestinations[Destination],0)),"?"))</f>
        <v/>
      </c>
      <c r="M4970" s="64">
        <f>IF(tblMovement[[#This Row],[Material]]="","",IF(LEFT(tblMovement[[#This Row],[Material]],3)="Ore",1,0))</f>
        <v/>
      </c>
      <c r="N4970" s="59">
        <f>IF(OR(tblMovement[[#This Row],[Tonnes_t]]="",tblMovement[[#This Row],[Grade_gpt]]=""),0,tblMovement[[#This Row],[Tonnes_t]]*tblMovement[[#This Row],[Grade_gpt]]/cfg_TroyOz)</f>
        <v/>
      </c>
      <c r="O4970" s="59">
        <f>IF(tblMovement[[#This Row],[Is_Ore]]=1,tblMovement[[#This Row],[Contained_oz]],0)</f>
        <v/>
      </c>
    </row>
    <row r="4971">
      <c r="A4971" s="54" t="n"/>
      <c r="B4971" s="61" t="n"/>
      <c r="C4971" s="61" t="n"/>
      <c r="D4971" s="61" t="n"/>
      <c r="E4971" s="61" t="n"/>
      <c r="F4971" s="55" t="n"/>
      <c r="G4971" s="56" t="n"/>
      <c r="H4971" s="55" t="n"/>
      <c r="I4971" s="62" t="n"/>
      <c r="J4971" s="58" t="n"/>
      <c r="K4971" s="63">
        <f>IF(tblMovement[[#This Row],[Source]]="","",IFERROR(INDEX(tblSources[Type],MATCH(tblMovement[[#This Row],[Source]],tblSources[Source],0)),"?"))</f>
        <v/>
      </c>
      <c r="L4971" s="63">
        <f>IF(tblMovement[[#This Row],[Destination]]="","",IFERROR(INDEX(tblDestinations[Type],MATCH(tblMovement[[#This Row],[Destination]],tblDestinations[Destination],0)),"?"))</f>
        <v/>
      </c>
      <c r="M4971" s="64">
        <f>IF(tblMovement[[#This Row],[Material]]="","",IF(LEFT(tblMovement[[#This Row],[Material]],3)="Ore",1,0))</f>
        <v/>
      </c>
      <c r="N4971" s="59">
        <f>IF(OR(tblMovement[[#This Row],[Tonnes_t]]="",tblMovement[[#This Row],[Grade_gpt]]=""),0,tblMovement[[#This Row],[Tonnes_t]]*tblMovement[[#This Row],[Grade_gpt]]/cfg_TroyOz)</f>
        <v/>
      </c>
      <c r="O4971" s="59">
        <f>IF(tblMovement[[#This Row],[Is_Ore]]=1,tblMovement[[#This Row],[Contained_oz]],0)</f>
        <v/>
      </c>
    </row>
    <row r="4972">
      <c r="A4972" s="54" t="n"/>
      <c r="B4972" s="61" t="n"/>
      <c r="C4972" s="61" t="n"/>
      <c r="D4972" s="61" t="n"/>
      <c r="E4972" s="61" t="n"/>
      <c r="F4972" s="55" t="n"/>
      <c r="G4972" s="56" t="n"/>
      <c r="H4972" s="55" t="n"/>
      <c r="I4972" s="62" t="n"/>
      <c r="J4972" s="58" t="n"/>
      <c r="K4972" s="63">
        <f>IF(tblMovement[[#This Row],[Source]]="","",IFERROR(INDEX(tblSources[Type],MATCH(tblMovement[[#This Row],[Source]],tblSources[Source],0)),"?"))</f>
        <v/>
      </c>
      <c r="L4972" s="63">
        <f>IF(tblMovement[[#This Row],[Destination]]="","",IFERROR(INDEX(tblDestinations[Type],MATCH(tblMovement[[#This Row],[Destination]],tblDestinations[Destination],0)),"?"))</f>
        <v/>
      </c>
      <c r="M4972" s="64">
        <f>IF(tblMovement[[#This Row],[Material]]="","",IF(LEFT(tblMovement[[#This Row],[Material]],3)="Ore",1,0))</f>
        <v/>
      </c>
      <c r="N4972" s="59">
        <f>IF(OR(tblMovement[[#This Row],[Tonnes_t]]="",tblMovement[[#This Row],[Grade_gpt]]=""),0,tblMovement[[#This Row],[Tonnes_t]]*tblMovement[[#This Row],[Grade_gpt]]/cfg_TroyOz)</f>
        <v/>
      </c>
      <c r="O4972" s="59">
        <f>IF(tblMovement[[#This Row],[Is_Ore]]=1,tblMovement[[#This Row],[Contained_oz]],0)</f>
        <v/>
      </c>
    </row>
    <row r="4973">
      <c r="A4973" s="54" t="n"/>
      <c r="B4973" s="61" t="n"/>
      <c r="C4973" s="61" t="n"/>
      <c r="D4973" s="61" t="n"/>
      <c r="E4973" s="61" t="n"/>
      <c r="F4973" s="55" t="n"/>
      <c r="G4973" s="56" t="n"/>
      <c r="H4973" s="55" t="n"/>
      <c r="I4973" s="62" t="n"/>
      <c r="J4973" s="58" t="n"/>
      <c r="K4973" s="63">
        <f>IF(tblMovement[[#This Row],[Source]]="","",IFERROR(INDEX(tblSources[Type],MATCH(tblMovement[[#This Row],[Source]],tblSources[Source],0)),"?"))</f>
        <v/>
      </c>
      <c r="L4973" s="63">
        <f>IF(tblMovement[[#This Row],[Destination]]="","",IFERROR(INDEX(tblDestinations[Type],MATCH(tblMovement[[#This Row],[Destination]],tblDestinations[Destination],0)),"?"))</f>
        <v/>
      </c>
      <c r="M4973" s="64">
        <f>IF(tblMovement[[#This Row],[Material]]="","",IF(LEFT(tblMovement[[#This Row],[Material]],3)="Ore",1,0))</f>
        <v/>
      </c>
      <c r="N4973" s="59">
        <f>IF(OR(tblMovement[[#This Row],[Tonnes_t]]="",tblMovement[[#This Row],[Grade_gpt]]=""),0,tblMovement[[#This Row],[Tonnes_t]]*tblMovement[[#This Row],[Grade_gpt]]/cfg_TroyOz)</f>
        <v/>
      </c>
      <c r="O4973" s="59">
        <f>IF(tblMovement[[#This Row],[Is_Ore]]=1,tblMovement[[#This Row],[Contained_oz]],0)</f>
        <v/>
      </c>
    </row>
    <row r="4974">
      <c r="A4974" s="54" t="n"/>
      <c r="B4974" s="61" t="n"/>
      <c r="C4974" s="61" t="n"/>
      <c r="D4974" s="61" t="n"/>
      <c r="E4974" s="61" t="n"/>
      <c r="F4974" s="55" t="n"/>
      <c r="G4974" s="56" t="n"/>
      <c r="H4974" s="55" t="n"/>
      <c r="I4974" s="62" t="n"/>
      <c r="J4974" s="58" t="n"/>
      <c r="K4974" s="63">
        <f>IF(tblMovement[[#This Row],[Source]]="","",IFERROR(INDEX(tblSources[Type],MATCH(tblMovement[[#This Row],[Source]],tblSources[Source],0)),"?"))</f>
        <v/>
      </c>
      <c r="L4974" s="63">
        <f>IF(tblMovement[[#This Row],[Destination]]="","",IFERROR(INDEX(tblDestinations[Type],MATCH(tblMovement[[#This Row],[Destination]],tblDestinations[Destination],0)),"?"))</f>
        <v/>
      </c>
      <c r="M4974" s="64">
        <f>IF(tblMovement[[#This Row],[Material]]="","",IF(LEFT(tblMovement[[#This Row],[Material]],3)="Ore",1,0))</f>
        <v/>
      </c>
      <c r="N4974" s="59">
        <f>IF(OR(tblMovement[[#This Row],[Tonnes_t]]="",tblMovement[[#This Row],[Grade_gpt]]=""),0,tblMovement[[#This Row],[Tonnes_t]]*tblMovement[[#This Row],[Grade_gpt]]/cfg_TroyOz)</f>
        <v/>
      </c>
      <c r="O4974" s="59">
        <f>IF(tblMovement[[#This Row],[Is_Ore]]=1,tblMovement[[#This Row],[Contained_oz]],0)</f>
        <v/>
      </c>
    </row>
    <row r="4975">
      <c r="A4975" s="54" t="n"/>
      <c r="B4975" s="61" t="n"/>
      <c r="C4975" s="61" t="n"/>
      <c r="D4975" s="61" t="n"/>
      <c r="E4975" s="61" t="n"/>
      <c r="F4975" s="55" t="n"/>
      <c r="G4975" s="56" t="n"/>
      <c r="H4975" s="55" t="n"/>
      <c r="I4975" s="62" t="n"/>
      <c r="J4975" s="58" t="n"/>
      <c r="K4975" s="63">
        <f>IF(tblMovement[[#This Row],[Source]]="","",IFERROR(INDEX(tblSources[Type],MATCH(tblMovement[[#This Row],[Source]],tblSources[Source],0)),"?"))</f>
        <v/>
      </c>
      <c r="L4975" s="63">
        <f>IF(tblMovement[[#This Row],[Destination]]="","",IFERROR(INDEX(tblDestinations[Type],MATCH(tblMovement[[#This Row],[Destination]],tblDestinations[Destination],0)),"?"))</f>
        <v/>
      </c>
      <c r="M4975" s="64">
        <f>IF(tblMovement[[#This Row],[Material]]="","",IF(LEFT(tblMovement[[#This Row],[Material]],3)="Ore",1,0))</f>
        <v/>
      </c>
      <c r="N4975" s="59">
        <f>IF(OR(tblMovement[[#This Row],[Tonnes_t]]="",tblMovement[[#This Row],[Grade_gpt]]=""),0,tblMovement[[#This Row],[Tonnes_t]]*tblMovement[[#This Row],[Grade_gpt]]/cfg_TroyOz)</f>
        <v/>
      </c>
      <c r="O4975" s="59">
        <f>IF(tblMovement[[#This Row],[Is_Ore]]=1,tblMovement[[#This Row],[Contained_oz]],0)</f>
        <v/>
      </c>
    </row>
    <row r="4976">
      <c r="A4976" s="54" t="n"/>
      <c r="B4976" s="61" t="n"/>
      <c r="C4976" s="61" t="n"/>
      <c r="D4976" s="61" t="n"/>
      <c r="E4976" s="61" t="n"/>
      <c r="F4976" s="55" t="n"/>
      <c r="G4976" s="56" t="n"/>
      <c r="H4976" s="55" t="n"/>
      <c r="I4976" s="62" t="n"/>
      <c r="J4976" s="58" t="n"/>
      <c r="K4976" s="63">
        <f>IF(tblMovement[[#This Row],[Source]]="","",IFERROR(INDEX(tblSources[Type],MATCH(tblMovement[[#This Row],[Source]],tblSources[Source],0)),"?"))</f>
        <v/>
      </c>
      <c r="L4976" s="63">
        <f>IF(tblMovement[[#This Row],[Destination]]="","",IFERROR(INDEX(tblDestinations[Type],MATCH(tblMovement[[#This Row],[Destination]],tblDestinations[Destination],0)),"?"))</f>
        <v/>
      </c>
      <c r="M4976" s="64">
        <f>IF(tblMovement[[#This Row],[Material]]="","",IF(LEFT(tblMovement[[#This Row],[Material]],3)="Ore",1,0))</f>
        <v/>
      </c>
      <c r="N4976" s="59">
        <f>IF(OR(tblMovement[[#This Row],[Tonnes_t]]="",tblMovement[[#This Row],[Grade_gpt]]=""),0,tblMovement[[#This Row],[Tonnes_t]]*tblMovement[[#This Row],[Grade_gpt]]/cfg_TroyOz)</f>
        <v/>
      </c>
      <c r="O4976" s="59">
        <f>IF(tblMovement[[#This Row],[Is_Ore]]=1,tblMovement[[#This Row],[Contained_oz]],0)</f>
        <v/>
      </c>
    </row>
    <row r="4977">
      <c r="A4977" s="54" t="n"/>
      <c r="B4977" s="61" t="n"/>
      <c r="C4977" s="61" t="n"/>
      <c r="D4977" s="61" t="n"/>
      <c r="E4977" s="61" t="n"/>
      <c r="F4977" s="55" t="n"/>
      <c r="G4977" s="56" t="n"/>
      <c r="H4977" s="55" t="n"/>
      <c r="I4977" s="62" t="n"/>
      <c r="J4977" s="58" t="n"/>
      <c r="K4977" s="63">
        <f>IF(tblMovement[[#This Row],[Source]]="","",IFERROR(INDEX(tblSources[Type],MATCH(tblMovement[[#This Row],[Source]],tblSources[Source],0)),"?"))</f>
        <v/>
      </c>
      <c r="L4977" s="63">
        <f>IF(tblMovement[[#This Row],[Destination]]="","",IFERROR(INDEX(tblDestinations[Type],MATCH(tblMovement[[#This Row],[Destination]],tblDestinations[Destination],0)),"?"))</f>
        <v/>
      </c>
      <c r="M4977" s="64">
        <f>IF(tblMovement[[#This Row],[Material]]="","",IF(LEFT(tblMovement[[#This Row],[Material]],3)="Ore",1,0))</f>
        <v/>
      </c>
      <c r="N4977" s="59">
        <f>IF(OR(tblMovement[[#This Row],[Tonnes_t]]="",tblMovement[[#This Row],[Grade_gpt]]=""),0,tblMovement[[#This Row],[Tonnes_t]]*tblMovement[[#This Row],[Grade_gpt]]/cfg_TroyOz)</f>
        <v/>
      </c>
      <c r="O4977" s="59">
        <f>IF(tblMovement[[#This Row],[Is_Ore]]=1,tblMovement[[#This Row],[Contained_oz]],0)</f>
        <v/>
      </c>
    </row>
    <row r="4978">
      <c r="A4978" s="54" t="n"/>
      <c r="B4978" s="61" t="n"/>
      <c r="C4978" s="61" t="n"/>
      <c r="D4978" s="61" t="n"/>
      <c r="E4978" s="61" t="n"/>
      <c r="F4978" s="55" t="n"/>
      <c r="G4978" s="56" t="n"/>
      <c r="H4978" s="55" t="n"/>
      <c r="I4978" s="62" t="n"/>
      <c r="J4978" s="58" t="n"/>
      <c r="K4978" s="63">
        <f>IF(tblMovement[[#This Row],[Source]]="","",IFERROR(INDEX(tblSources[Type],MATCH(tblMovement[[#This Row],[Source]],tblSources[Source],0)),"?"))</f>
        <v/>
      </c>
      <c r="L4978" s="63">
        <f>IF(tblMovement[[#This Row],[Destination]]="","",IFERROR(INDEX(tblDestinations[Type],MATCH(tblMovement[[#This Row],[Destination]],tblDestinations[Destination],0)),"?"))</f>
        <v/>
      </c>
      <c r="M4978" s="64">
        <f>IF(tblMovement[[#This Row],[Material]]="","",IF(LEFT(tblMovement[[#This Row],[Material]],3)="Ore",1,0))</f>
        <v/>
      </c>
      <c r="N4978" s="59">
        <f>IF(OR(tblMovement[[#This Row],[Tonnes_t]]="",tblMovement[[#This Row],[Grade_gpt]]=""),0,tblMovement[[#This Row],[Tonnes_t]]*tblMovement[[#This Row],[Grade_gpt]]/cfg_TroyOz)</f>
        <v/>
      </c>
      <c r="O4978" s="59">
        <f>IF(tblMovement[[#This Row],[Is_Ore]]=1,tblMovement[[#This Row],[Contained_oz]],0)</f>
        <v/>
      </c>
    </row>
    <row r="4979">
      <c r="A4979" s="54" t="n"/>
      <c r="B4979" s="61" t="n"/>
      <c r="C4979" s="61" t="n"/>
      <c r="D4979" s="61" t="n"/>
      <c r="E4979" s="61" t="n"/>
      <c r="F4979" s="55" t="n"/>
      <c r="G4979" s="56" t="n"/>
      <c r="H4979" s="55" t="n"/>
      <c r="I4979" s="62" t="n"/>
      <c r="J4979" s="58" t="n"/>
      <c r="K4979" s="63">
        <f>IF(tblMovement[[#This Row],[Source]]="","",IFERROR(INDEX(tblSources[Type],MATCH(tblMovement[[#This Row],[Source]],tblSources[Source],0)),"?"))</f>
        <v/>
      </c>
      <c r="L4979" s="63">
        <f>IF(tblMovement[[#This Row],[Destination]]="","",IFERROR(INDEX(tblDestinations[Type],MATCH(tblMovement[[#This Row],[Destination]],tblDestinations[Destination],0)),"?"))</f>
        <v/>
      </c>
      <c r="M4979" s="64">
        <f>IF(tblMovement[[#This Row],[Material]]="","",IF(LEFT(tblMovement[[#This Row],[Material]],3)="Ore",1,0))</f>
        <v/>
      </c>
      <c r="N4979" s="59">
        <f>IF(OR(tblMovement[[#This Row],[Tonnes_t]]="",tblMovement[[#This Row],[Grade_gpt]]=""),0,tblMovement[[#This Row],[Tonnes_t]]*tblMovement[[#This Row],[Grade_gpt]]/cfg_TroyOz)</f>
        <v/>
      </c>
      <c r="O4979" s="59">
        <f>IF(tblMovement[[#This Row],[Is_Ore]]=1,tblMovement[[#This Row],[Contained_oz]],0)</f>
        <v/>
      </c>
    </row>
    <row r="4980">
      <c r="A4980" s="54" t="n"/>
      <c r="B4980" s="61" t="n"/>
      <c r="C4980" s="61" t="n"/>
      <c r="D4980" s="61" t="n"/>
      <c r="E4980" s="61" t="n"/>
      <c r="F4980" s="55" t="n"/>
      <c r="G4980" s="56" t="n"/>
      <c r="H4980" s="55" t="n"/>
      <c r="I4980" s="62" t="n"/>
      <c r="J4980" s="58" t="n"/>
      <c r="K4980" s="63">
        <f>IF(tblMovement[[#This Row],[Source]]="","",IFERROR(INDEX(tblSources[Type],MATCH(tblMovement[[#This Row],[Source]],tblSources[Source],0)),"?"))</f>
        <v/>
      </c>
      <c r="L4980" s="63">
        <f>IF(tblMovement[[#This Row],[Destination]]="","",IFERROR(INDEX(tblDestinations[Type],MATCH(tblMovement[[#This Row],[Destination]],tblDestinations[Destination],0)),"?"))</f>
        <v/>
      </c>
      <c r="M4980" s="64">
        <f>IF(tblMovement[[#This Row],[Material]]="","",IF(LEFT(tblMovement[[#This Row],[Material]],3)="Ore",1,0))</f>
        <v/>
      </c>
      <c r="N4980" s="59">
        <f>IF(OR(tblMovement[[#This Row],[Tonnes_t]]="",tblMovement[[#This Row],[Grade_gpt]]=""),0,tblMovement[[#This Row],[Tonnes_t]]*tblMovement[[#This Row],[Grade_gpt]]/cfg_TroyOz)</f>
        <v/>
      </c>
      <c r="O4980" s="59">
        <f>IF(tblMovement[[#This Row],[Is_Ore]]=1,tblMovement[[#This Row],[Contained_oz]],0)</f>
        <v/>
      </c>
    </row>
    <row r="4981">
      <c r="A4981" s="54" t="n"/>
      <c r="B4981" s="61" t="n"/>
      <c r="C4981" s="61" t="n"/>
      <c r="D4981" s="61" t="n"/>
      <c r="E4981" s="61" t="n"/>
      <c r="F4981" s="55" t="n"/>
      <c r="G4981" s="56" t="n"/>
      <c r="H4981" s="55" t="n"/>
      <c r="I4981" s="62" t="n"/>
      <c r="J4981" s="58" t="n"/>
      <c r="K4981" s="63">
        <f>IF(tblMovement[[#This Row],[Source]]="","",IFERROR(INDEX(tblSources[Type],MATCH(tblMovement[[#This Row],[Source]],tblSources[Source],0)),"?"))</f>
        <v/>
      </c>
      <c r="L4981" s="63">
        <f>IF(tblMovement[[#This Row],[Destination]]="","",IFERROR(INDEX(tblDestinations[Type],MATCH(tblMovement[[#This Row],[Destination]],tblDestinations[Destination],0)),"?"))</f>
        <v/>
      </c>
      <c r="M4981" s="64">
        <f>IF(tblMovement[[#This Row],[Material]]="","",IF(LEFT(tblMovement[[#This Row],[Material]],3)="Ore",1,0))</f>
        <v/>
      </c>
      <c r="N4981" s="59">
        <f>IF(OR(tblMovement[[#This Row],[Tonnes_t]]="",tblMovement[[#This Row],[Grade_gpt]]=""),0,tblMovement[[#This Row],[Tonnes_t]]*tblMovement[[#This Row],[Grade_gpt]]/cfg_TroyOz)</f>
        <v/>
      </c>
      <c r="O4981" s="59">
        <f>IF(tblMovement[[#This Row],[Is_Ore]]=1,tblMovement[[#This Row],[Contained_oz]],0)</f>
        <v/>
      </c>
    </row>
    <row r="4982">
      <c r="A4982" s="54" t="n"/>
      <c r="B4982" s="61" t="n"/>
      <c r="C4982" s="61" t="n"/>
      <c r="D4982" s="61" t="n"/>
      <c r="E4982" s="61" t="n"/>
      <c r="F4982" s="55" t="n"/>
      <c r="G4982" s="56" t="n"/>
      <c r="H4982" s="55" t="n"/>
      <c r="I4982" s="62" t="n"/>
      <c r="J4982" s="58" t="n"/>
      <c r="K4982" s="63">
        <f>IF(tblMovement[[#This Row],[Source]]="","",IFERROR(INDEX(tblSources[Type],MATCH(tblMovement[[#This Row],[Source]],tblSources[Source],0)),"?"))</f>
        <v/>
      </c>
      <c r="L4982" s="63">
        <f>IF(tblMovement[[#This Row],[Destination]]="","",IFERROR(INDEX(tblDestinations[Type],MATCH(tblMovement[[#This Row],[Destination]],tblDestinations[Destination],0)),"?"))</f>
        <v/>
      </c>
      <c r="M4982" s="64">
        <f>IF(tblMovement[[#This Row],[Material]]="","",IF(LEFT(tblMovement[[#This Row],[Material]],3)="Ore",1,0))</f>
        <v/>
      </c>
      <c r="N4982" s="59">
        <f>IF(OR(tblMovement[[#This Row],[Tonnes_t]]="",tblMovement[[#This Row],[Grade_gpt]]=""),0,tblMovement[[#This Row],[Tonnes_t]]*tblMovement[[#This Row],[Grade_gpt]]/cfg_TroyOz)</f>
        <v/>
      </c>
      <c r="O4982" s="59">
        <f>IF(tblMovement[[#This Row],[Is_Ore]]=1,tblMovement[[#This Row],[Contained_oz]],0)</f>
        <v/>
      </c>
    </row>
    <row r="4983">
      <c r="A4983" s="54" t="n"/>
      <c r="B4983" s="61" t="n"/>
      <c r="C4983" s="61" t="n"/>
      <c r="D4983" s="61" t="n"/>
      <c r="E4983" s="61" t="n"/>
      <c r="F4983" s="55" t="n"/>
      <c r="G4983" s="56" t="n"/>
      <c r="H4983" s="55" t="n"/>
      <c r="I4983" s="62" t="n"/>
      <c r="J4983" s="58" t="n"/>
      <c r="K4983" s="63">
        <f>IF(tblMovement[[#This Row],[Source]]="","",IFERROR(INDEX(tblSources[Type],MATCH(tblMovement[[#This Row],[Source]],tblSources[Source],0)),"?"))</f>
        <v/>
      </c>
      <c r="L4983" s="63">
        <f>IF(tblMovement[[#This Row],[Destination]]="","",IFERROR(INDEX(tblDestinations[Type],MATCH(tblMovement[[#This Row],[Destination]],tblDestinations[Destination],0)),"?"))</f>
        <v/>
      </c>
      <c r="M4983" s="64">
        <f>IF(tblMovement[[#This Row],[Material]]="","",IF(LEFT(tblMovement[[#This Row],[Material]],3)="Ore",1,0))</f>
        <v/>
      </c>
      <c r="N4983" s="59">
        <f>IF(OR(tblMovement[[#This Row],[Tonnes_t]]="",tblMovement[[#This Row],[Grade_gpt]]=""),0,tblMovement[[#This Row],[Tonnes_t]]*tblMovement[[#This Row],[Grade_gpt]]/cfg_TroyOz)</f>
        <v/>
      </c>
      <c r="O4983" s="59">
        <f>IF(tblMovement[[#This Row],[Is_Ore]]=1,tblMovement[[#This Row],[Contained_oz]],0)</f>
        <v/>
      </c>
    </row>
    <row r="4984">
      <c r="A4984" s="54" t="n"/>
      <c r="B4984" s="61" t="n"/>
      <c r="C4984" s="61" t="n"/>
      <c r="D4984" s="61" t="n"/>
      <c r="E4984" s="61" t="n"/>
      <c r="F4984" s="55" t="n"/>
      <c r="G4984" s="56" t="n"/>
      <c r="H4984" s="55" t="n"/>
      <c r="I4984" s="62" t="n"/>
      <c r="J4984" s="58" t="n"/>
      <c r="K4984" s="63">
        <f>IF(tblMovement[[#This Row],[Source]]="","",IFERROR(INDEX(tblSources[Type],MATCH(tblMovement[[#This Row],[Source]],tblSources[Source],0)),"?"))</f>
        <v/>
      </c>
      <c r="L4984" s="63">
        <f>IF(tblMovement[[#This Row],[Destination]]="","",IFERROR(INDEX(tblDestinations[Type],MATCH(tblMovement[[#This Row],[Destination]],tblDestinations[Destination],0)),"?"))</f>
        <v/>
      </c>
      <c r="M4984" s="64">
        <f>IF(tblMovement[[#This Row],[Material]]="","",IF(LEFT(tblMovement[[#This Row],[Material]],3)="Ore",1,0))</f>
        <v/>
      </c>
      <c r="N4984" s="59">
        <f>IF(OR(tblMovement[[#This Row],[Tonnes_t]]="",tblMovement[[#This Row],[Grade_gpt]]=""),0,tblMovement[[#This Row],[Tonnes_t]]*tblMovement[[#This Row],[Grade_gpt]]/cfg_TroyOz)</f>
        <v/>
      </c>
      <c r="O4984" s="59">
        <f>IF(tblMovement[[#This Row],[Is_Ore]]=1,tblMovement[[#This Row],[Contained_oz]],0)</f>
        <v/>
      </c>
    </row>
    <row r="4985">
      <c r="A4985" s="54" t="n"/>
      <c r="B4985" s="61" t="n"/>
      <c r="C4985" s="61" t="n"/>
      <c r="D4985" s="61" t="n"/>
      <c r="E4985" s="61" t="n"/>
      <c r="F4985" s="55" t="n"/>
      <c r="G4985" s="56" t="n"/>
      <c r="H4985" s="55" t="n"/>
      <c r="I4985" s="62" t="n"/>
      <c r="J4985" s="58" t="n"/>
      <c r="K4985" s="63">
        <f>IF(tblMovement[[#This Row],[Source]]="","",IFERROR(INDEX(tblSources[Type],MATCH(tblMovement[[#This Row],[Source]],tblSources[Source],0)),"?"))</f>
        <v/>
      </c>
      <c r="L4985" s="63">
        <f>IF(tblMovement[[#This Row],[Destination]]="","",IFERROR(INDEX(tblDestinations[Type],MATCH(tblMovement[[#This Row],[Destination]],tblDestinations[Destination],0)),"?"))</f>
        <v/>
      </c>
      <c r="M4985" s="64">
        <f>IF(tblMovement[[#This Row],[Material]]="","",IF(LEFT(tblMovement[[#This Row],[Material]],3)="Ore",1,0))</f>
        <v/>
      </c>
      <c r="N4985" s="59">
        <f>IF(OR(tblMovement[[#This Row],[Tonnes_t]]="",tblMovement[[#This Row],[Grade_gpt]]=""),0,tblMovement[[#This Row],[Tonnes_t]]*tblMovement[[#This Row],[Grade_gpt]]/cfg_TroyOz)</f>
        <v/>
      </c>
      <c r="O4985" s="59">
        <f>IF(tblMovement[[#This Row],[Is_Ore]]=1,tblMovement[[#This Row],[Contained_oz]],0)</f>
        <v/>
      </c>
    </row>
    <row r="4986">
      <c r="A4986" s="54" t="n"/>
      <c r="B4986" s="61" t="n"/>
      <c r="C4986" s="61" t="n"/>
      <c r="D4986" s="61" t="n"/>
      <c r="E4986" s="61" t="n"/>
      <c r="F4986" s="55" t="n"/>
      <c r="G4986" s="56" t="n"/>
      <c r="H4986" s="55" t="n"/>
      <c r="I4986" s="62" t="n"/>
      <c r="J4986" s="58" t="n"/>
      <c r="K4986" s="63">
        <f>IF(tblMovement[[#This Row],[Source]]="","",IFERROR(INDEX(tblSources[Type],MATCH(tblMovement[[#This Row],[Source]],tblSources[Source],0)),"?"))</f>
        <v/>
      </c>
      <c r="L4986" s="63">
        <f>IF(tblMovement[[#This Row],[Destination]]="","",IFERROR(INDEX(tblDestinations[Type],MATCH(tblMovement[[#This Row],[Destination]],tblDestinations[Destination],0)),"?"))</f>
        <v/>
      </c>
      <c r="M4986" s="64">
        <f>IF(tblMovement[[#This Row],[Material]]="","",IF(LEFT(tblMovement[[#This Row],[Material]],3)="Ore",1,0))</f>
        <v/>
      </c>
      <c r="N4986" s="59">
        <f>IF(OR(tblMovement[[#This Row],[Tonnes_t]]="",tblMovement[[#This Row],[Grade_gpt]]=""),0,tblMovement[[#This Row],[Tonnes_t]]*tblMovement[[#This Row],[Grade_gpt]]/cfg_TroyOz)</f>
        <v/>
      </c>
      <c r="O4986" s="59">
        <f>IF(tblMovement[[#This Row],[Is_Ore]]=1,tblMovement[[#This Row],[Contained_oz]],0)</f>
        <v/>
      </c>
    </row>
    <row r="4987">
      <c r="A4987" s="54" t="n"/>
      <c r="B4987" s="61" t="n"/>
      <c r="C4987" s="61" t="n"/>
      <c r="D4987" s="61" t="n"/>
      <c r="E4987" s="61" t="n"/>
      <c r="F4987" s="55" t="n"/>
      <c r="G4987" s="56" t="n"/>
      <c r="H4987" s="55" t="n"/>
      <c r="I4987" s="62" t="n"/>
      <c r="J4987" s="58" t="n"/>
      <c r="K4987" s="63">
        <f>IF(tblMovement[[#This Row],[Source]]="","",IFERROR(INDEX(tblSources[Type],MATCH(tblMovement[[#This Row],[Source]],tblSources[Source],0)),"?"))</f>
        <v/>
      </c>
      <c r="L4987" s="63">
        <f>IF(tblMovement[[#This Row],[Destination]]="","",IFERROR(INDEX(tblDestinations[Type],MATCH(tblMovement[[#This Row],[Destination]],tblDestinations[Destination],0)),"?"))</f>
        <v/>
      </c>
      <c r="M4987" s="64">
        <f>IF(tblMovement[[#This Row],[Material]]="","",IF(LEFT(tblMovement[[#This Row],[Material]],3)="Ore",1,0))</f>
        <v/>
      </c>
      <c r="N4987" s="59">
        <f>IF(OR(tblMovement[[#This Row],[Tonnes_t]]="",tblMovement[[#This Row],[Grade_gpt]]=""),0,tblMovement[[#This Row],[Tonnes_t]]*tblMovement[[#This Row],[Grade_gpt]]/cfg_TroyOz)</f>
        <v/>
      </c>
      <c r="O4987" s="59">
        <f>IF(tblMovement[[#This Row],[Is_Ore]]=1,tblMovement[[#This Row],[Contained_oz]],0)</f>
        <v/>
      </c>
    </row>
    <row r="4988">
      <c r="A4988" s="54" t="n"/>
      <c r="B4988" s="61" t="n"/>
      <c r="C4988" s="61" t="n"/>
      <c r="D4988" s="61" t="n"/>
      <c r="E4988" s="61" t="n"/>
      <c r="F4988" s="55" t="n"/>
      <c r="G4988" s="56" t="n"/>
      <c r="H4988" s="55" t="n"/>
      <c r="I4988" s="62" t="n"/>
      <c r="J4988" s="58" t="n"/>
      <c r="K4988" s="63">
        <f>IF(tblMovement[[#This Row],[Source]]="","",IFERROR(INDEX(tblSources[Type],MATCH(tblMovement[[#This Row],[Source]],tblSources[Source],0)),"?"))</f>
        <v/>
      </c>
      <c r="L4988" s="63">
        <f>IF(tblMovement[[#This Row],[Destination]]="","",IFERROR(INDEX(tblDestinations[Type],MATCH(tblMovement[[#This Row],[Destination]],tblDestinations[Destination],0)),"?"))</f>
        <v/>
      </c>
      <c r="M4988" s="64">
        <f>IF(tblMovement[[#This Row],[Material]]="","",IF(LEFT(tblMovement[[#This Row],[Material]],3)="Ore",1,0))</f>
        <v/>
      </c>
      <c r="N4988" s="59">
        <f>IF(OR(tblMovement[[#This Row],[Tonnes_t]]="",tblMovement[[#This Row],[Grade_gpt]]=""),0,tblMovement[[#This Row],[Tonnes_t]]*tblMovement[[#This Row],[Grade_gpt]]/cfg_TroyOz)</f>
        <v/>
      </c>
      <c r="O4988" s="59">
        <f>IF(tblMovement[[#This Row],[Is_Ore]]=1,tblMovement[[#This Row],[Contained_oz]],0)</f>
        <v/>
      </c>
    </row>
    <row r="4989">
      <c r="A4989" s="54" t="n"/>
      <c r="B4989" s="61" t="n"/>
      <c r="C4989" s="61" t="n"/>
      <c r="D4989" s="61" t="n"/>
      <c r="E4989" s="61" t="n"/>
      <c r="F4989" s="55" t="n"/>
      <c r="G4989" s="56" t="n"/>
      <c r="H4989" s="55" t="n"/>
      <c r="I4989" s="62" t="n"/>
      <c r="J4989" s="58" t="n"/>
      <c r="K4989" s="63">
        <f>IF(tblMovement[[#This Row],[Source]]="","",IFERROR(INDEX(tblSources[Type],MATCH(tblMovement[[#This Row],[Source]],tblSources[Source],0)),"?"))</f>
        <v/>
      </c>
      <c r="L4989" s="63">
        <f>IF(tblMovement[[#This Row],[Destination]]="","",IFERROR(INDEX(tblDestinations[Type],MATCH(tblMovement[[#This Row],[Destination]],tblDestinations[Destination],0)),"?"))</f>
        <v/>
      </c>
      <c r="M4989" s="64">
        <f>IF(tblMovement[[#This Row],[Material]]="","",IF(LEFT(tblMovement[[#This Row],[Material]],3)="Ore",1,0))</f>
        <v/>
      </c>
      <c r="N4989" s="59">
        <f>IF(OR(tblMovement[[#This Row],[Tonnes_t]]="",tblMovement[[#This Row],[Grade_gpt]]=""),0,tblMovement[[#This Row],[Tonnes_t]]*tblMovement[[#This Row],[Grade_gpt]]/cfg_TroyOz)</f>
        <v/>
      </c>
      <c r="O4989" s="59">
        <f>IF(tblMovement[[#This Row],[Is_Ore]]=1,tblMovement[[#This Row],[Contained_oz]],0)</f>
        <v/>
      </c>
    </row>
    <row r="4990">
      <c r="A4990" s="54" t="n"/>
      <c r="B4990" s="61" t="n"/>
      <c r="C4990" s="61" t="n"/>
      <c r="D4990" s="61" t="n"/>
      <c r="E4990" s="61" t="n"/>
      <c r="F4990" s="55" t="n"/>
      <c r="G4990" s="56" t="n"/>
      <c r="H4990" s="55" t="n"/>
      <c r="I4990" s="62" t="n"/>
      <c r="J4990" s="58" t="n"/>
      <c r="K4990" s="63">
        <f>IF(tblMovement[[#This Row],[Source]]="","",IFERROR(INDEX(tblSources[Type],MATCH(tblMovement[[#This Row],[Source]],tblSources[Source],0)),"?"))</f>
        <v/>
      </c>
      <c r="L4990" s="63">
        <f>IF(tblMovement[[#This Row],[Destination]]="","",IFERROR(INDEX(tblDestinations[Type],MATCH(tblMovement[[#This Row],[Destination]],tblDestinations[Destination],0)),"?"))</f>
        <v/>
      </c>
      <c r="M4990" s="64">
        <f>IF(tblMovement[[#This Row],[Material]]="","",IF(LEFT(tblMovement[[#This Row],[Material]],3)="Ore",1,0))</f>
        <v/>
      </c>
      <c r="N4990" s="59">
        <f>IF(OR(tblMovement[[#This Row],[Tonnes_t]]="",tblMovement[[#This Row],[Grade_gpt]]=""),0,tblMovement[[#This Row],[Tonnes_t]]*tblMovement[[#This Row],[Grade_gpt]]/cfg_TroyOz)</f>
        <v/>
      </c>
      <c r="O4990" s="59">
        <f>IF(tblMovement[[#This Row],[Is_Ore]]=1,tblMovement[[#This Row],[Contained_oz]],0)</f>
        <v/>
      </c>
    </row>
    <row r="4991">
      <c r="A4991" s="54" t="n"/>
      <c r="B4991" s="61" t="n"/>
      <c r="C4991" s="61" t="n"/>
      <c r="D4991" s="61" t="n"/>
      <c r="E4991" s="61" t="n"/>
      <c r="F4991" s="55" t="n"/>
      <c r="G4991" s="56" t="n"/>
      <c r="H4991" s="55" t="n"/>
      <c r="I4991" s="62" t="n"/>
      <c r="J4991" s="58" t="n"/>
      <c r="K4991" s="63">
        <f>IF(tblMovement[[#This Row],[Source]]="","",IFERROR(INDEX(tblSources[Type],MATCH(tblMovement[[#This Row],[Source]],tblSources[Source],0)),"?"))</f>
        <v/>
      </c>
      <c r="L4991" s="63">
        <f>IF(tblMovement[[#This Row],[Destination]]="","",IFERROR(INDEX(tblDestinations[Type],MATCH(tblMovement[[#This Row],[Destination]],tblDestinations[Destination],0)),"?"))</f>
        <v/>
      </c>
      <c r="M4991" s="64">
        <f>IF(tblMovement[[#This Row],[Material]]="","",IF(LEFT(tblMovement[[#This Row],[Material]],3)="Ore",1,0))</f>
        <v/>
      </c>
      <c r="N4991" s="59">
        <f>IF(OR(tblMovement[[#This Row],[Tonnes_t]]="",tblMovement[[#This Row],[Grade_gpt]]=""),0,tblMovement[[#This Row],[Tonnes_t]]*tblMovement[[#This Row],[Grade_gpt]]/cfg_TroyOz)</f>
        <v/>
      </c>
      <c r="O4991" s="59">
        <f>IF(tblMovement[[#This Row],[Is_Ore]]=1,tblMovement[[#This Row],[Contained_oz]],0)</f>
        <v/>
      </c>
    </row>
    <row r="4992">
      <c r="A4992" s="54" t="n"/>
      <c r="B4992" s="61" t="n"/>
      <c r="C4992" s="61" t="n"/>
      <c r="D4992" s="61" t="n"/>
      <c r="E4992" s="61" t="n"/>
      <c r="F4992" s="55" t="n"/>
      <c r="G4992" s="56" t="n"/>
      <c r="H4992" s="55" t="n"/>
      <c r="I4992" s="62" t="n"/>
      <c r="J4992" s="58" t="n"/>
      <c r="K4992" s="63">
        <f>IF(tblMovement[[#This Row],[Source]]="","",IFERROR(INDEX(tblSources[Type],MATCH(tblMovement[[#This Row],[Source]],tblSources[Source],0)),"?"))</f>
        <v/>
      </c>
      <c r="L4992" s="63">
        <f>IF(tblMovement[[#This Row],[Destination]]="","",IFERROR(INDEX(tblDestinations[Type],MATCH(tblMovement[[#This Row],[Destination]],tblDestinations[Destination],0)),"?"))</f>
        <v/>
      </c>
      <c r="M4992" s="64">
        <f>IF(tblMovement[[#This Row],[Material]]="","",IF(LEFT(tblMovement[[#This Row],[Material]],3)="Ore",1,0))</f>
        <v/>
      </c>
      <c r="N4992" s="59">
        <f>IF(OR(tblMovement[[#This Row],[Tonnes_t]]="",tblMovement[[#This Row],[Grade_gpt]]=""),0,tblMovement[[#This Row],[Tonnes_t]]*tblMovement[[#This Row],[Grade_gpt]]/cfg_TroyOz)</f>
        <v/>
      </c>
      <c r="O4992" s="59">
        <f>IF(tblMovement[[#This Row],[Is_Ore]]=1,tblMovement[[#This Row],[Contained_oz]],0)</f>
        <v/>
      </c>
    </row>
    <row r="4993">
      <c r="A4993" s="54" t="n"/>
      <c r="B4993" s="61" t="n"/>
      <c r="C4993" s="61" t="n"/>
      <c r="D4993" s="61" t="n"/>
      <c r="E4993" s="61" t="n"/>
      <c r="F4993" s="55" t="n"/>
      <c r="G4993" s="56" t="n"/>
      <c r="H4993" s="55" t="n"/>
      <c r="I4993" s="62" t="n"/>
      <c r="J4993" s="58" t="n"/>
      <c r="K4993" s="63">
        <f>IF(tblMovement[[#This Row],[Source]]="","",IFERROR(INDEX(tblSources[Type],MATCH(tblMovement[[#This Row],[Source]],tblSources[Source],0)),"?"))</f>
        <v/>
      </c>
      <c r="L4993" s="63">
        <f>IF(tblMovement[[#This Row],[Destination]]="","",IFERROR(INDEX(tblDestinations[Type],MATCH(tblMovement[[#This Row],[Destination]],tblDestinations[Destination],0)),"?"))</f>
        <v/>
      </c>
      <c r="M4993" s="64">
        <f>IF(tblMovement[[#This Row],[Material]]="","",IF(LEFT(tblMovement[[#This Row],[Material]],3)="Ore",1,0))</f>
        <v/>
      </c>
      <c r="N4993" s="59">
        <f>IF(OR(tblMovement[[#This Row],[Tonnes_t]]="",tblMovement[[#This Row],[Grade_gpt]]=""),0,tblMovement[[#This Row],[Tonnes_t]]*tblMovement[[#This Row],[Grade_gpt]]/cfg_TroyOz)</f>
        <v/>
      </c>
      <c r="O4993" s="59">
        <f>IF(tblMovement[[#This Row],[Is_Ore]]=1,tblMovement[[#This Row],[Contained_oz]],0)</f>
        <v/>
      </c>
    </row>
    <row r="4994">
      <c r="A4994" s="54" t="n"/>
      <c r="B4994" s="61" t="n"/>
      <c r="C4994" s="61" t="n"/>
      <c r="D4994" s="61" t="n"/>
      <c r="E4994" s="61" t="n"/>
      <c r="F4994" s="55" t="n"/>
      <c r="G4994" s="56" t="n"/>
      <c r="H4994" s="55" t="n"/>
      <c r="I4994" s="62" t="n"/>
      <c r="J4994" s="58" t="n"/>
      <c r="K4994" s="63">
        <f>IF(tblMovement[[#This Row],[Source]]="","",IFERROR(INDEX(tblSources[Type],MATCH(tblMovement[[#This Row],[Source]],tblSources[Source],0)),"?"))</f>
        <v/>
      </c>
      <c r="L4994" s="63">
        <f>IF(tblMovement[[#This Row],[Destination]]="","",IFERROR(INDEX(tblDestinations[Type],MATCH(tblMovement[[#This Row],[Destination]],tblDestinations[Destination],0)),"?"))</f>
        <v/>
      </c>
      <c r="M4994" s="64">
        <f>IF(tblMovement[[#This Row],[Material]]="","",IF(LEFT(tblMovement[[#This Row],[Material]],3)="Ore",1,0))</f>
        <v/>
      </c>
      <c r="N4994" s="59">
        <f>IF(OR(tblMovement[[#This Row],[Tonnes_t]]="",tblMovement[[#This Row],[Grade_gpt]]=""),0,tblMovement[[#This Row],[Tonnes_t]]*tblMovement[[#This Row],[Grade_gpt]]/cfg_TroyOz)</f>
        <v/>
      </c>
      <c r="O4994" s="59">
        <f>IF(tblMovement[[#This Row],[Is_Ore]]=1,tblMovement[[#This Row],[Contained_oz]],0)</f>
        <v/>
      </c>
    </row>
    <row r="4995">
      <c r="A4995" s="54" t="n"/>
      <c r="B4995" s="61" t="n"/>
      <c r="C4995" s="61" t="n"/>
      <c r="D4995" s="61" t="n"/>
      <c r="E4995" s="61" t="n"/>
      <c r="F4995" s="55" t="n"/>
      <c r="G4995" s="56" t="n"/>
      <c r="H4995" s="55" t="n"/>
      <c r="I4995" s="62" t="n"/>
      <c r="J4995" s="58" t="n"/>
      <c r="K4995" s="63">
        <f>IF(tblMovement[[#This Row],[Source]]="","",IFERROR(INDEX(tblSources[Type],MATCH(tblMovement[[#This Row],[Source]],tblSources[Source],0)),"?"))</f>
        <v/>
      </c>
      <c r="L4995" s="63">
        <f>IF(tblMovement[[#This Row],[Destination]]="","",IFERROR(INDEX(tblDestinations[Type],MATCH(tblMovement[[#This Row],[Destination]],tblDestinations[Destination],0)),"?"))</f>
        <v/>
      </c>
      <c r="M4995" s="64">
        <f>IF(tblMovement[[#This Row],[Material]]="","",IF(LEFT(tblMovement[[#This Row],[Material]],3)="Ore",1,0))</f>
        <v/>
      </c>
      <c r="N4995" s="59">
        <f>IF(OR(tblMovement[[#This Row],[Tonnes_t]]="",tblMovement[[#This Row],[Grade_gpt]]=""),0,tblMovement[[#This Row],[Tonnes_t]]*tblMovement[[#This Row],[Grade_gpt]]/cfg_TroyOz)</f>
        <v/>
      </c>
      <c r="O4995" s="59">
        <f>IF(tblMovement[[#This Row],[Is_Ore]]=1,tblMovement[[#This Row],[Contained_oz]],0)</f>
        <v/>
      </c>
    </row>
    <row r="4996">
      <c r="A4996" s="54" t="n"/>
      <c r="B4996" s="61" t="n"/>
      <c r="C4996" s="61" t="n"/>
      <c r="D4996" s="61" t="n"/>
      <c r="E4996" s="61" t="n"/>
      <c r="F4996" s="55" t="n"/>
      <c r="G4996" s="56" t="n"/>
      <c r="H4996" s="55" t="n"/>
      <c r="I4996" s="62" t="n"/>
      <c r="J4996" s="58" t="n"/>
      <c r="K4996" s="63">
        <f>IF(tblMovement[[#This Row],[Source]]="","",IFERROR(INDEX(tblSources[Type],MATCH(tblMovement[[#This Row],[Source]],tblSources[Source],0)),"?"))</f>
        <v/>
      </c>
      <c r="L4996" s="63">
        <f>IF(tblMovement[[#This Row],[Destination]]="","",IFERROR(INDEX(tblDestinations[Type],MATCH(tblMovement[[#This Row],[Destination]],tblDestinations[Destination],0)),"?"))</f>
        <v/>
      </c>
      <c r="M4996" s="64">
        <f>IF(tblMovement[[#This Row],[Material]]="","",IF(LEFT(tblMovement[[#This Row],[Material]],3)="Ore",1,0))</f>
        <v/>
      </c>
      <c r="N4996" s="59">
        <f>IF(OR(tblMovement[[#This Row],[Tonnes_t]]="",tblMovement[[#This Row],[Grade_gpt]]=""),0,tblMovement[[#This Row],[Tonnes_t]]*tblMovement[[#This Row],[Grade_gpt]]/cfg_TroyOz)</f>
        <v/>
      </c>
      <c r="O4996" s="59">
        <f>IF(tblMovement[[#This Row],[Is_Ore]]=1,tblMovement[[#This Row],[Contained_oz]],0)</f>
        <v/>
      </c>
    </row>
    <row r="4997">
      <c r="A4997" s="54" t="n"/>
      <c r="B4997" s="61" t="n"/>
      <c r="C4997" s="61" t="n"/>
      <c r="D4997" s="61" t="n"/>
      <c r="E4997" s="61" t="n"/>
      <c r="F4997" s="55" t="n"/>
      <c r="G4997" s="56" t="n"/>
      <c r="H4997" s="55" t="n"/>
      <c r="I4997" s="62" t="n"/>
      <c r="J4997" s="58" t="n"/>
      <c r="K4997" s="63">
        <f>IF(tblMovement[[#This Row],[Source]]="","",IFERROR(INDEX(tblSources[Type],MATCH(tblMovement[[#This Row],[Source]],tblSources[Source],0)),"?"))</f>
        <v/>
      </c>
      <c r="L4997" s="63">
        <f>IF(tblMovement[[#This Row],[Destination]]="","",IFERROR(INDEX(tblDestinations[Type],MATCH(tblMovement[[#This Row],[Destination]],tblDestinations[Destination],0)),"?"))</f>
        <v/>
      </c>
      <c r="M4997" s="64">
        <f>IF(tblMovement[[#This Row],[Material]]="","",IF(LEFT(tblMovement[[#This Row],[Material]],3)="Ore",1,0))</f>
        <v/>
      </c>
      <c r="N4997" s="59">
        <f>IF(OR(tblMovement[[#This Row],[Tonnes_t]]="",tblMovement[[#This Row],[Grade_gpt]]=""),0,tblMovement[[#This Row],[Tonnes_t]]*tblMovement[[#This Row],[Grade_gpt]]/cfg_TroyOz)</f>
        <v/>
      </c>
      <c r="O4997" s="59">
        <f>IF(tblMovement[[#This Row],[Is_Ore]]=1,tblMovement[[#This Row],[Contained_oz]],0)</f>
        <v/>
      </c>
    </row>
    <row r="4998">
      <c r="A4998" s="54" t="n"/>
      <c r="B4998" s="61" t="n"/>
      <c r="C4998" s="61" t="n"/>
      <c r="D4998" s="61" t="n"/>
      <c r="E4998" s="61" t="n"/>
      <c r="F4998" s="55" t="n"/>
      <c r="G4998" s="56" t="n"/>
      <c r="H4998" s="55" t="n"/>
      <c r="I4998" s="62" t="n"/>
      <c r="J4998" s="58" t="n"/>
      <c r="K4998" s="63">
        <f>IF(tblMovement[[#This Row],[Source]]="","",IFERROR(INDEX(tblSources[Type],MATCH(tblMovement[[#This Row],[Source]],tblSources[Source],0)),"?"))</f>
        <v/>
      </c>
      <c r="L4998" s="63">
        <f>IF(tblMovement[[#This Row],[Destination]]="","",IFERROR(INDEX(tblDestinations[Type],MATCH(tblMovement[[#This Row],[Destination]],tblDestinations[Destination],0)),"?"))</f>
        <v/>
      </c>
      <c r="M4998" s="64">
        <f>IF(tblMovement[[#This Row],[Material]]="","",IF(LEFT(tblMovement[[#This Row],[Material]],3)="Ore",1,0))</f>
        <v/>
      </c>
      <c r="N4998" s="59">
        <f>IF(OR(tblMovement[[#This Row],[Tonnes_t]]="",tblMovement[[#This Row],[Grade_gpt]]=""),0,tblMovement[[#This Row],[Tonnes_t]]*tblMovement[[#This Row],[Grade_gpt]]/cfg_TroyOz)</f>
        <v/>
      </c>
      <c r="O4998" s="59">
        <f>IF(tblMovement[[#This Row],[Is_Ore]]=1,tblMovement[[#This Row],[Contained_oz]],0)</f>
        <v/>
      </c>
    </row>
    <row r="4999">
      <c r="A4999" s="54" t="n"/>
      <c r="B4999" s="61" t="n"/>
      <c r="C4999" s="61" t="n"/>
      <c r="D4999" s="61" t="n"/>
      <c r="E4999" s="61" t="n"/>
      <c r="F4999" s="55" t="n"/>
      <c r="G4999" s="56" t="n"/>
      <c r="H4999" s="55" t="n"/>
      <c r="I4999" s="62" t="n"/>
      <c r="J4999" s="58" t="n"/>
      <c r="K4999" s="63">
        <f>IF(tblMovement[[#This Row],[Source]]="","",IFERROR(INDEX(tblSources[Type],MATCH(tblMovement[[#This Row],[Source]],tblSources[Source],0)),"?"))</f>
        <v/>
      </c>
      <c r="L4999" s="63">
        <f>IF(tblMovement[[#This Row],[Destination]]="","",IFERROR(INDEX(tblDestinations[Type],MATCH(tblMovement[[#This Row],[Destination]],tblDestinations[Destination],0)),"?"))</f>
        <v/>
      </c>
      <c r="M4999" s="64">
        <f>IF(tblMovement[[#This Row],[Material]]="","",IF(LEFT(tblMovement[[#This Row],[Material]],3)="Ore",1,0))</f>
        <v/>
      </c>
      <c r="N4999" s="59">
        <f>IF(OR(tblMovement[[#This Row],[Tonnes_t]]="",tblMovement[[#This Row],[Grade_gpt]]=""),0,tblMovement[[#This Row],[Tonnes_t]]*tblMovement[[#This Row],[Grade_gpt]]/cfg_TroyOz)</f>
        <v/>
      </c>
      <c r="O4999" s="59">
        <f>IF(tblMovement[[#This Row],[Is_Ore]]=1,tblMovement[[#This Row],[Contained_oz]],0)</f>
        <v/>
      </c>
    </row>
    <row r="5000">
      <c r="A5000" s="54" t="n"/>
      <c r="B5000" s="61" t="n"/>
      <c r="C5000" s="61" t="n"/>
      <c r="D5000" s="61" t="n"/>
      <c r="E5000" s="61" t="n"/>
      <c r="F5000" s="55" t="n"/>
      <c r="G5000" s="56" t="n"/>
      <c r="H5000" s="55" t="n"/>
      <c r="I5000" s="62" t="n"/>
      <c r="J5000" s="58" t="n"/>
      <c r="K5000" s="63">
        <f>IF(tblMovement[[#This Row],[Source]]="","",IFERROR(INDEX(tblSources[Type],MATCH(tblMovement[[#This Row],[Source]],tblSources[Source],0)),"?"))</f>
        <v/>
      </c>
      <c r="L5000" s="63">
        <f>IF(tblMovement[[#This Row],[Destination]]="","",IFERROR(INDEX(tblDestinations[Type],MATCH(tblMovement[[#This Row],[Destination]],tblDestinations[Destination],0)),"?"))</f>
        <v/>
      </c>
      <c r="M5000" s="64">
        <f>IF(tblMovement[[#This Row],[Material]]="","",IF(LEFT(tblMovement[[#This Row],[Material]],3)="Ore",1,0))</f>
        <v/>
      </c>
      <c r="N5000" s="59">
        <f>IF(OR(tblMovement[[#This Row],[Tonnes_t]]="",tblMovement[[#This Row],[Grade_gpt]]=""),0,tblMovement[[#This Row],[Tonnes_t]]*tblMovement[[#This Row],[Grade_gpt]]/cfg_TroyOz)</f>
        <v/>
      </c>
      <c r="O5000" s="59">
        <f>IF(tblMovement[[#This Row],[Is_Ore]]=1,tblMovement[[#This Row],[Contained_oz]],0)</f>
        <v/>
      </c>
    </row>
    <row r="5001">
      <c r="A5001" s="54" t="n"/>
      <c r="B5001" s="61" t="n"/>
      <c r="C5001" s="61" t="n"/>
      <c r="D5001" s="61" t="n"/>
      <c r="E5001" s="61" t="n"/>
      <c r="F5001" s="55" t="n"/>
      <c r="G5001" s="56" t="n"/>
      <c r="H5001" s="55" t="n"/>
      <c r="I5001" s="62" t="n"/>
      <c r="J5001" s="58" t="n"/>
      <c r="K5001" s="63">
        <f>IF(tblMovement[[#This Row],[Source]]="","",IFERROR(INDEX(tblSources[Type],MATCH(tblMovement[[#This Row],[Source]],tblSources[Source],0)),"?"))</f>
        <v/>
      </c>
      <c r="L5001" s="63">
        <f>IF(tblMovement[[#This Row],[Destination]]="","",IFERROR(INDEX(tblDestinations[Type],MATCH(tblMovement[[#This Row],[Destination]],tblDestinations[Destination],0)),"?"))</f>
        <v/>
      </c>
      <c r="M5001" s="64">
        <f>IF(tblMovement[[#This Row],[Material]]="","",IF(LEFT(tblMovement[[#This Row],[Material]],3)="Ore",1,0))</f>
        <v/>
      </c>
      <c r="N5001" s="59">
        <f>IF(OR(tblMovement[[#This Row],[Tonnes_t]]="",tblMovement[[#This Row],[Grade_gpt]]=""),0,tblMovement[[#This Row],[Tonnes_t]]*tblMovement[[#This Row],[Grade_gpt]]/cfg_TroyOz)</f>
        <v/>
      </c>
      <c r="O5001" s="59">
        <f>IF(tblMovement[[#This Row],[Is_Ore]]=1,tblMovement[[#This Row],[Contained_oz]],0)</f>
        <v/>
      </c>
    </row>
    <row r="5002">
      <c r="A5002" s="54" t="n"/>
      <c r="B5002" s="61" t="n"/>
      <c r="C5002" s="61" t="n"/>
      <c r="D5002" s="61" t="n"/>
      <c r="E5002" s="61" t="n"/>
      <c r="F5002" s="55" t="n"/>
      <c r="G5002" s="56" t="n"/>
      <c r="H5002" s="55" t="n"/>
      <c r="I5002" s="62" t="n"/>
      <c r="J5002" s="58" t="n"/>
      <c r="K5002" s="63">
        <f>IF(tblMovement[[#This Row],[Source]]="","",IFERROR(INDEX(tblSources[Type],MATCH(tblMovement[[#This Row],[Source]],tblSources[Source],0)),"?"))</f>
        <v/>
      </c>
      <c r="L5002" s="63">
        <f>IF(tblMovement[[#This Row],[Destination]]="","",IFERROR(INDEX(tblDestinations[Type],MATCH(tblMovement[[#This Row],[Destination]],tblDestinations[Destination],0)),"?"))</f>
        <v/>
      </c>
      <c r="M5002" s="64">
        <f>IF(tblMovement[[#This Row],[Material]]="","",IF(LEFT(tblMovement[[#This Row],[Material]],3)="Ore",1,0))</f>
        <v/>
      </c>
      <c r="N5002" s="59">
        <f>IF(OR(tblMovement[[#This Row],[Tonnes_t]]="",tblMovement[[#This Row],[Grade_gpt]]=""),0,tblMovement[[#This Row],[Tonnes_t]]*tblMovement[[#This Row],[Grade_gpt]]/cfg_TroyOz)</f>
        <v/>
      </c>
      <c r="O5002" s="59">
        <f>IF(tblMovement[[#This Row],[Is_Ore]]=1,tblMovement[[#This Row],[Contained_oz]],0)</f>
        <v/>
      </c>
    </row>
    <row r="5003">
      <c r="A5003" s="54" t="n"/>
      <c r="B5003" s="61" t="n"/>
      <c r="C5003" s="61" t="n"/>
      <c r="D5003" s="61" t="n"/>
      <c r="E5003" s="61" t="n"/>
      <c r="F5003" s="55" t="n"/>
      <c r="G5003" s="56" t="n"/>
      <c r="H5003" s="55" t="n"/>
      <c r="I5003" s="62" t="n"/>
      <c r="J5003" s="58" t="n"/>
      <c r="K5003" s="63">
        <f>IF(tblMovement[[#This Row],[Source]]="","",IFERROR(INDEX(tblSources[Type],MATCH(tblMovement[[#This Row],[Source]],tblSources[Source],0)),"?"))</f>
        <v/>
      </c>
      <c r="L5003" s="63">
        <f>IF(tblMovement[[#This Row],[Destination]]="","",IFERROR(INDEX(tblDestinations[Type],MATCH(tblMovement[[#This Row],[Destination]],tblDestinations[Destination],0)),"?"))</f>
        <v/>
      </c>
      <c r="M5003" s="64">
        <f>IF(tblMovement[[#This Row],[Material]]="","",IF(LEFT(tblMovement[[#This Row],[Material]],3)="Ore",1,0))</f>
        <v/>
      </c>
      <c r="N5003" s="59">
        <f>IF(OR(tblMovement[[#This Row],[Tonnes_t]]="",tblMovement[[#This Row],[Grade_gpt]]=""),0,tblMovement[[#This Row],[Tonnes_t]]*tblMovement[[#This Row],[Grade_gpt]]/cfg_TroyOz)</f>
        <v/>
      </c>
      <c r="O5003" s="59">
        <f>IF(tblMovement[[#This Row],[Is_Ore]]=1,tblMovement[[#This Row],[Contained_oz]],0)</f>
        <v/>
      </c>
    </row>
    <row r="5004">
      <c r="A5004" s="54" t="n"/>
      <c r="B5004" s="61" t="n"/>
      <c r="C5004" s="61" t="n"/>
      <c r="D5004" s="61" t="n"/>
      <c r="E5004" s="61" t="n"/>
      <c r="F5004" s="55" t="n"/>
      <c r="G5004" s="56" t="n"/>
      <c r="H5004" s="55" t="n"/>
      <c r="I5004" s="62" t="n"/>
      <c r="J5004" s="58" t="n"/>
      <c r="K5004" s="63">
        <f>IF(tblMovement[[#This Row],[Source]]="","",IFERROR(INDEX(tblSources[Type],MATCH(tblMovement[[#This Row],[Source]],tblSources[Source],0)),"?"))</f>
        <v/>
      </c>
      <c r="L5004" s="63">
        <f>IF(tblMovement[[#This Row],[Destination]]="","",IFERROR(INDEX(tblDestinations[Type],MATCH(tblMovement[[#This Row],[Destination]],tblDestinations[Destination],0)),"?"))</f>
        <v/>
      </c>
      <c r="M5004" s="64">
        <f>IF(tblMovement[[#This Row],[Material]]="","",IF(LEFT(tblMovement[[#This Row],[Material]],3)="Ore",1,0))</f>
        <v/>
      </c>
      <c r="N5004" s="59">
        <f>IF(OR(tblMovement[[#This Row],[Tonnes_t]]="",tblMovement[[#This Row],[Grade_gpt]]=""),0,tblMovement[[#This Row],[Tonnes_t]]*tblMovement[[#This Row],[Grade_gpt]]/cfg_TroyOz)</f>
        <v/>
      </c>
      <c r="O5004" s="59">
        <f>IF(tblMovement[[#This Row],[Is_Ore]]=1,tblMovement[[#This Row],[Contained_oz]],0)</f>
        <v/>
      </c>
    </row>
    <row r="5005">
      <c r="A5005" s="54" t="n"/>
      <c r="B5005" s="61" t="n"/>
      <c r="C5005" s="61" t="n"/>
      <c r="D5005" s="61" t="n"/>
      <c r="E5005" s="61" t="n"/>
      <c r="F5005" s="55" t="n"/>
      <c r="G5005" s="56" t="n"/>
      <c r="H5005" s="55" t="n"/>
      <c r="I5005" s="62" t="n"/>
      <c r="J5005" s="58" t="n"/>
      <c r="K5005" s="63">
        <f>IF(tblMovement[[#This Row],[Source]]="","",IFERROR(INDEX(tblSources[Type],MATCH(tblMovement[[#This Row],[Source]],tblSources[Source],0)),"?"))</f>
        <v/>
      </c>
      <c r="L5005" s="63">
        <f>IF(tblMovement[[#This Row],[Destination]]="","",IFERROR(INDEX(tblDestinations[Type],MATCH(tblMovement[[#This Row],[Destination]],tblDestinations[Destination],0)),"?"))</f>
        <v/>
      </c>
      <c r="M5005" s="64">
        <f>IF(tblMovement[[#This Row],[Material]]="","",IF(LEFT(tblMovement[[#This Row],[Material]],3)="Ore",1,0))</f>
        <v/>
      </c>
      <c r="N5005" s="59">
        <f>IF(OR(tblMovement[[#This Row],[Tonnes_t]]="",tblMovement[[#This Row],[Grade_gpt]]=""),0,tblMovement[[#This Row],[Tonnes_t]]*tblMovement[[#This Row],[Grade_gpt]]/cfg_TroyOz)</f>
        <v/>
      </c>
      <c r="O5005" s="59">
        <f>IF(tblMovement[[#This Row],[Is_Ore]]=1,tblMovement[[#This Row],[Contained_oz]],0)</f>
        <v/>
      </c>
    </row>
  </sheetData>
  <conditionalFormatting sqref="G6:G5005">
    <cfRule type="expression" priority="1" dxfId="0">
      <formula>AND($M6=1,$G6="")</formula>
    </cfRule>
  </conditionalFormatting>
  <conditionalFormatting sqref="K6:K5005">
    <cfRule type="expression" priority="2" dxfId="0">
      <formula>$K6="?"</formula>
    </cfRule>
  </conditionalFormatting>
  <conditionalFormatting sqref="L6:L5005">
    <cfRule type="expression" priority="3" dxfId="0">
      <formula>$L6="?"</formula>
    </cfRule>
  </conditionalFormatting>
  <dataValidations count="9">
    <dataValidation sqref="A6:A5005" showDropDown="0" showInputMessage="1" showErrorMessage="1" allowBlank="1" errorTitle="Date outside the reporting year" error="Dates must fall in the reporting year: rows outside it are not counted in any KPI. Click No and correct the date." promptTitle="Date" prompt="Production day" type="date" errorStyle="warning" operator="between">
      <formula1>=cfg_YearStart</formula1>
      <formula2>=cfg_YearEnd</formula2>
    </dataValidation>
    <dataValidation sqref="B6:B5005" showDropDown="0" showInputMessage="1" showErrorMessage="1" allowBlank="1" errorTitle="Not in list" error="Choose a value from the list (edit the Lists sheet to add one)." promptTitle="Shift" prompt="Optional; leave blank for a daily total" type="list">
      <formula1>=lst_Shift</formula1>
    </dataValidation>
    <dataValidation sqref="C6:C5005" showDropDown="0" showInputMessage="1" showErrorMessage="1" allowBlank="1" errorTitle="Not in list" error="Choose a value from the list (edit the Lists sheet to add one)." promptTitle="Source" prompt="Pit or stockpile the material came from (Lists sheet)" type="list">
      <formula1>=lst_Source</formula1>
    </dataValidation>
    <dataValidation sqref="D6:D5005" showDropDown="0" showInputMessage="1" showErrorMessage="1" allowBlank="1" errorTitle="Not in list" error="Choose a value from the list (edit the Lists sheet to add one)." promptTitle="Material" prompt="Ore grade class or waste type" type="list">
      <formula1>=lst_Material</formula1>
    </dataValidation>
    <dataValidation sqref="E6:E5005" showDropDown="0" showInputMessage="1" showErrorMessage="1" allowBlank="1" errorTitle="Not in list" error="Choose a value from the list (edit the Lists sheet to add one)." promptTitle="Destination" prompt="Where the material went (Lists sheet)" type="list">
      <formula1>=lst_Destination</formula1>
    </dataValidation>
    <dataValidation sqref="F6:F5005" showDropDown="0" showInputMessage="1" showErrorMessage="1" allowBlank="1" errorTitle="Outside expected range" error="Expected between 0 and 200,000. Click Yes to keep the value if it is correct." promptTitle="Tonnes" prompt="Dry tonnes moved (truck factor or weightometer)" type="decimal" errorStyle="warning" operator="between">
      <formula1>0</formula1>
      <formula2>200000</formula2>
    </dataValidation>
    <dataValidation sqref="G6:G5005" showDropDown="0" showInputMessage="1" showErrorMessage="1" allowBlank="1" errorTitle="Outside expected range" error="Expected between 0 and 100. Click Yes to keep the value if it is correct." promptTitle="Grade" prompt="Grade control grade; required for ore (an ore row without a grade is highlighted and reported as ungraded tonnes), recommended for mineralised waste" type="decimal" errorStyle="warning" operator="between">
      <formula1>0</formula1>
      <formula2>100</formula2>
    </dataValidation>
    <dataValidation sqref="H6:H5005" showDropDown="0" showInputMessage="1" showErrorMessage="1" allowBlank="1" errorTitle="Outside expected range" error="Expected between 0 and 100,000. Click Yes to keep the value if it is correct." promptTitle="Volume" prompt="Optional bank cubic metres" type="decimal" errorStyle="warning" operator="between">
      <formula1>0</formula1>
      <formula2>100000</formula2>
    </dataValidation>
    <dataValidation sqref="I6:I5005" showDropDown="0" showInputMessage="1" showErrorMessage="1" allowBlank="1" errorTitle="Outside expected range" error="Expected between 0 and 5,000. Click Yes to keep the value if it is correct." promptTitle="Truck loads" prompt="Optional truck count" type="whole" errorStyle="warning" operator="between">
      <formula1>0</formula1>
      <formula2>5000</formula2>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48235"/>
    <outlinePr summaryBelow="1" summaryRight="1"/>
    <pageSetUpPr/>
  </sheetPr>
  <dimension ref="A1:I37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9" customWidth="1" min="2" max="2"/>
    <col width="24.5" customWidth="1" min="3" max="3"/>
    <col width="11.9" customWidth="1" min="4" max="4"/>
    <col width="15.5" customWidth="1" min="5" max="5"/>
    <col width="11" customWidth="1" min="6" max="6"/>
    <col width="15.5" customWidth="1" min="7" max="7"/>
    <col width="32" customWidth="1" min="8" max="8"/>
    <col width="20" customWidth="1" min="9" max="9"/>
  </cols>
  <sheetData>
    <row r="1">
      <c r="A1" s="50" t="inlineStr">
        <is>
          <t>Mining daily totals, one row per day</t>
        </is>
      </c>
    </row>
    <row r="2">
      <c r="A2" s="6" t="inlineStr">
        <is>
          <t>Owner: Mining (production engineer).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Drilled (m)</t>
        </is>
      </c>
      <c r="C4" s="51" t="inlineStr">
        <is>
          <t>Grade control drilled (m)</t>
        </is>
      </c>
      <c r="D4" s="51" t="inlineStr">
        <is>
          <t>Blasted (t)</t>
        </is>
      </c>
      <c r="E4" s="51" t="inlineStr">
        <is>
          <t>Explosives (kg)</t>
        </is>
      </c>
      <c r="F4" s="51" t="inlineStr">
        <is>
          <t>Diesel (L)</t>
        </is>
      </c>
      <c r="G4" s="51" t="inlineStr">
        <is>
          <t>Dewatering (m3)</t>
        </is>
      </c>
      <c r="H4" s="51" t="inlineStr">
        <is>
          <t>Comments</t>
        </is>
      </c>
      <c r="I4" s="51" t="inlineStr">
        <is>
          <t>Powder factor (kg/t)</t>
        </is>
      </c>
    </row>
    <row r="5">
      <c r="A5" s="52" t="inlineStr">
        <is>
          <t>Date</t>
        </is>
      </c>
      <c r="B5" s="52" t="inlineStr">
        <is>
          <t>Drill_m</t>
        </is>
      </c>
      <c r="C5" s="52" t="inlineStr">
        <is>
          <t>GC_Drill_m</t>
        </is>
      </c>
      <c r="D5" s="52" t="inlineStr">
        <is>
          <t>Blast_t</t>
        </is>
      </c>
      <c r="E5" s="52" t="inlineStr">
        <is>
          <t>Explosives_kg</t>
        </is>
      </c>
      <c r="F5" s="52" t="inlineStr">
        <is>
          <t>Diesel_L</t>
        </is>
      </c>
      <c r="G5" s="52" t="inlineStr">
        <is>
          <t>Dewatering_m3</t>
        </is>
      </c>
      <c r="H5" s="52" t="inlineStr">
        <is>
          <t>Comments</t>
        </is>
      </c>
      <c r="I5" s="53" t="inlineStr">
        <is>
          <t>Powder_Factor_kgpt</t>
        </is>
      </c>
    </row>
    <row r="6">
      <c r="A6" s="54" t="n">
        <v>46023</v>
      </c>
      <c r="B6" s="55" t="n"/>
      <c r="C6" s="55" t="n"/>
      <c r="D6" s="55" t="n"/>
      <c r="E6" s="55" t="n"/>
      <c r="F6" s="55" t="n"/>
      <c r="G6" s="55" t="n"/>
      <c r="H6" s="58" t="n"/>
      <c r="I6" s="65">
        <f>IF(AND(tblMiningDaily[[#This Row],[Blast_t]]&lt;&gt;"",tblMiningDaily[[#This Row],[Blast_t]]&gt;0),tblMiningDaily[[#This Row],[Explosives_kg]]/tblMiningDaily[[#This Row],[Blast_t]],"")</f>
        <v/>
      </c>
    </row>
    <row r="7">
      <c r="A7" s="54" t="n">
        <v>46024</v>
      </c>
      <c r="B7" s="55" t="n"/>
      <c r="C7" s="55" t="n"/>
      <c r="D7" s="55" t="n"/>
      <c r="E7" s="55" t="n"/>
      <c r="F7" s="55" t="n"/>
      <c r="G7" s="55" t="n"/>
      <c r="H7" s="58" t="n"/>
      <c r="I7" s="65">
        <f>IF(AND(tblMiningDaily[[#This Row],[Blast_t]]&lt;&gt;"",tblMiningDaily[[#This Row],[Blast_t]]&gt;0),tblMiningDaily[[#This Row],[Explosives_kg]]/tblMiningDaily[[#This Row],[Blast_t]],"")</f>
        <v/>
      </c>
    </row>
    <row r="8">
      <c r="A8" s="54" t="n">
        <v>46025</v>
      </c>
      <c r="B8" s="55" t="n"/>
      <c r="C8" s="55" t="n"/>
      <c r="D8" s="55" t="n"/>
      <c r="E8" s="55" t="n"/>
      <c r="F8" s="55" t="n"/>
      <c r="G8" s="55" t="n"/>
      <c r="H8" s="58" t="n"/>
      <c r="I8" s="65">
        <f>IF(AND(tblMiningDaily[[#This Row],[Blast_t]]&lt;&gt;"",tblMiningDaily[[#This Row],[Blast_t]]&gt;0),tblMiningDaily[[#This Row],[Explosives_kg]]/tblMiningDaily[[#This Row],[Blast_t]],"")</f>
        <v/>
      </c>
    </row>
    <row r="9">
      <c r="A9" s="54" t="n">
        <v>46026</v>
      </c>
      <c r="B9" s="55" t="n"/>
      <c r="C9" s="55" t="n"/>
      <c r="D9" s="55" t="n"/>
      <c r="E9" s="55" t="n"/>
      <c r="F9" s="55" t="n"/>
      <c r="G9" s="55" t="n"/>
      <c r="H9" s="58" t="n"/>
      <c r="I9" s="65">
        <f>IF(AND(tblMiningDaily[[#This Row],[Blast_t]]&lt;&gt;"",tblMiningDaily[[#This Row],[Blast_t]]&gt;0),tblMiningDaily[[#This Row],[Explosives_kg]]/tblMiningDaily[[#This Row],[Blast_t]],"")</f>
        <v/>
      </c>
    </row>
    <row r="10">
      <c r="A10" s="54" t="n">
        <v>46027</v>
      </c>
      <c r="B10" s="55" t="n"/>
      <c r="C10" s="55" t="n"/>
      <c r="D10" s="55" t="n"/>
      <c r="E10" s="55" t="n"/>
      <c r="F10" s="55" t="n"/>
      <c r="G10" s="55" t="n"/>
      <c r="H10" s="58" t="n"/>
      <c r="I10" s="65">
        <f>IF(AND(tblMiningDaily[[#This Row],[Blast_t]]&lt;&gt;"",tblMiningDaily[[#This Row],[Blast_t]]&gt;0),tblMiningDaily[[#This Row],[Explosives_kg]]/tblMiningDaily[[#This Row],[Blast_t]],"")</f>
        <v/>
      </c>
    </row>
    <row r="11">
      <c r="A11" s="54" t="n">
        <v>46028</v>
      </c>
      <c r="B11" s="55" t="n"/>
      <c r="C11" s="55" t="n"/>
      <c r="D11" s="55" t="n"/>
      <c r="E11" s="55" t="n"/>
      <c r="F11" s="55" t="n"/>
      <c r="G11" s="55" t="n"/>
      <c r="H11" s="58" t="n"/>
      <c r="I11" s="65">
        <f>IF(AND(tblMiningDaily[[#This Row],[Blast_t]]&lt;&gt;"",tblMiningDaily[[#This Row],[Blast_t]]&gt;0),tblMiningDaily[[#This Row],[Explosives_kg]]/tblMiningDaily[[#This Row],[Blast_t]],"")</f>
        <v/>
      </c>
    </row>
    <row r="12">
      <c r="A12" s="54" t="n">
        <v>46029</v>
      </c>
      <c r="B12" s="55" t="n"/>
      <c r="C12" s="55" t="n"/>
      <c r="D12" s="55" t="n"/>
      <c r="E12" s="55" t="n"/>
      <c r="F12" s="55" t="n"/>
      <c r="G12" s="55" t="n"/>
      <c r="H12" s="58" t="n"/>
      <c r="I12" s="65">
        <f>IF(AND(tblMiningDaily[[#This Row],[Blast_t]]&lt;&gt;"",tblMiningDaily[[#This Row],[Blast_t]]&gt;0),tblMiningDaily[[#This Row],[Explosives_kg]]/tblMiningDaily[[#This Row],[Blast_t]],"")</f>
        <v/>
      </c>
    </row>
    <row r="13">
      <c r="A13" s="54" t="n">
        <v>46030</v>
      </c>
      <c r="B13" s="55" t="n"/>
      <c r="C13" s="55" t="n"/>
      <c r="D13" s="55" t="n"/>
      <c r="E13" s="55" t="n"/>
      <c r="F13" s="55" t="n"/>
      <c r="G13" s="55" t="n"/>
      <c r="H13" s="58" t="n"/>
      <c r="I13" s="65">
        <f>IF(AND(tblMiningDaily[[#This Row],[Blast_t]]&lt;&gt;"",tblMiningDaily[[#This Row],[Blast_t]]&gt;0),tblMiningDaily[[#This Row],[Explosives_kg]]/tblMiningDaily[[#This Row],[Blast_t]],"")</f>
        <v/>
      </c>
    </row>
    <row r="14">
      <c r="A14" s="54" t="n">
        <v>46031</v>
      </c>
      <c r="B14" s="55" t="n"/>
      <c r="C14" s="55" t="n"/>
      <c r="D14" s="55" t="n"/>
      <c r="E14" s="55" t="n"/>
      <c r="F14" s="55" t="n"/>
      <c r="G14" s="55" t="n"/>
      <c r="H14" s="58" t="n"/>
      <c r="I14" s="65">
        <f>IF(AND(tblMiningDaily[[#This Row],[Blast_t]]&lt;&gt;"",tblMiningDaily[[#This Row],[Blast_t]]&gt;0),tblMiningDaily[[#This Row],[Explosives_kg]]/tblMiningDaily[[#This Row],[Blast_t]],"")</f>
        <v/>
      </c>
    </row>
    <row r="15">
      <c r="A15" s="54" t="n">
        <v>46032</v>
      </c>
      <c r="B15" s="55" t="n"/>
      <c r="C15" s="55" t="n"/>
      <c r="D15" s="55" t="n"/>
      <c r="E15" s="55" t="n"/>
      <c r="F15" s="55" t="n"/>
      <c r="G15" s="55" t="n"/>
      <c r="H15" s="58" t="n"/>
      <c r="I15" s="65">
        <f>IF(AND(tblMiningDaily[[#This Row],[Blast_t]]&lt;&gt;"",tblMiningDaily[[#This Row],[Blast_t]]&gt;0),tblMiningDaily[[#This Row],[Explosives_kg]]/tblMiningDaily[[#This Row],[Blast_t]],"")</f>
        <v/>
      </c>
    </row>
    <row r="16">
      <c r="A16" s="54" t="n">
        <v>46033</v>
      </c>
      <c r="B16" s="55" t="n"/>
      <c r="C16" s="55" t="n"/>
      <c r="D16" s="55" t="n"/>
      <c r="E16" s="55" t="n"/>
      <c r="F16" s="55" t="n"/>
      <c r="G16" s="55" t="n"/>
      <c r="H16" s="58" t="n"/>
      <c r="I16" s="65">
        <f>IF(AND(tblMiningDaily[[#This Row],[Blast_t]]&lt;&gt;"",tblMiningDaily[[#This Row],[Blast_t]]&gt;0),tblMiningDaily[[#This Row],[Explosives_kg]]/tblMiningDaily[[#This Row],[Blast_t]],"")</f>
        <v/>
      </c>
    </row>
    <row r="17">
      <c r="A17" s="54" t="n">
        <v>46034</v>
      </c>
      <c r="B17" s="55" t="n"/>
      <c r="C17" s="55" t="n"/>
      <c r="D17" s="55" t="n"/>
      <c r="E17" s="55" t="n"/>
      <c r="F17" s="55" t="n"/>
      <c r="G17" s="55" t="n"/>
      <c r="H17" s="58" t="n"/>
      <c r="I17" s="65">
        <f>IF(AND(tblMiningDaily[[#This Row],[Blast_t]]&lt;&gt;"",tblMiningDaily[[#This Row],[Blast_t]]&gt;0),tblMiningDaily[[#This Row],[Explosives_kg]]/tblMiningDaily[[#This Row],[Blast_t]],"")</f>
        <v/>
      </c>
    </row>
    <row r="18">
      <c r="A18" s="54" t="n">
        <v>46035</v>
      </c>
      <c r="B18" s="55" t="n"/>
      <c r="C18" s="55" t="n"/>
      <c r="D18" s="55" t="n"/>
      <c r="E18" s="55" t="n"/>
      <c r="F18" s="55" t="n"/>
      <c r="G18" s="55" t="n"/>
      <c r="H18" s="58" t="n"/>
      <c r="I18" s="65">
        <f>IF(AND(tblMiningDaily[[#This Row],[Blast_t]]&lt;&gt;"",tblMiningDaily[[#This Row],[Blast_t]]&gt;0),tblMiningDaily[[#This Row],[Explosives_kg]]/tblMiningDaily[[#This Row],[Blast_t]],"")</f>
        <v/>
      </c>
    </row>
    <row r="19">
      <c r="A19" s="54" t="n">
        <v>46036</v>
      </c>
      <c r="B19" s="55" t="n"/>
      <c r="C19" s="55" t="n"/>
      <c r="D19" s="55" t="n"/>
      <c r="E19" s="55" t="n"/>
      <c r="F19" s="55" t="n"/>
      <c r="G19" s="55" t="n"/>
      <c r="H19" s="58" t="n"/>
      <c r="I19" s="65">
        <f>IF(AND(tblMiningDaily[[#This Row],[Blast_t]]&lt;&gt;"",tblMiningDaily[[#This Row],[Blast_t]]&gt;0),tblMiningDaily[[#This Row],[Explosives_kg]]/tblMiningDaily[[#This Row],[Blast_t]],"")</f>
        <v/>
      </c>
    </row>
    <row r="20">
      <c r="A20" s="54" t="n">
        <v>46037</v>
      </c>
      <c r="B20" s="55" t="n"/>
      <c r="C20" s="55" t="n"/>
      <c r="D20" s="55" t="n"/>
      <c r="E20" s="55" t="n"/>
      <c r="F20" s="55" t="n"/>
      <c r="G20" s="55" t="n"/>
      <c r="H20" s="58" t="n"/>
      <c r="I20" s="65">
        <f>IF(AND(tblMiningDaily[[#This Row],[Blast_t]]&lt;&gt;"",tblMiningDaily[[#This Row],[Blast_t]]&gt;0),tblMiningDaily[[#This Row],[Explosives_kg]]/tblMiningDaily[[#This Row],[Blast_t]],"")</f>
        <v/>
      </c>
    </row>
    <row r="21">
      <c r="A21" s="54" t="n">
        <v>46038</v>
      </c>
      <c r="B21" s="55" t="n"/>
      <c r="C21" s="55" t="n"/>
      <c r="D21" s="55" t="n"/>
      <c r="E21" s="55" t="n"/>
      <c r="F21" s="55" t="n"/>
      <c r="G21" s="55" t="n"/>
      <c r="H21" s="58" t="n"/>
      <c r="I21" s="65">
        <f>IF(AND(tblMiningDaily[[#This Row],[Blast_t]]&lt;&gt;"",tblMiningDaily[[#This Row],[Blast_t]]&gt;0),tblMiningDaily[[#This Row],[Explosives_kg]]/tblMiningDaily[[#This Row],[Blast_t]],"")</f>
        <v/>
      </c>
    </row>
    <row r="22">
      <c r="A22" s="54" t="n">
        <v>46039</v>
      </c>
      <c r="B22" s="55" t="n"/>
      <c r="C22" s="55" t="n"/>
      <c r="D22" s="55" t="n"/>
      <c r="E22" s="55" t="n"/>
      <c r="F22" s="55" t="n"/>
      <c r="G22" s="55" t="n"/>
      <c r="H22" s="58" t="n"/>
      <c r="I22" s="65">
        <f>IF(AND(tblMiningDaily[[#This Row],[Blast_t]]&lt;&gt;"",tblMiningDaily[[#This Row],[Blast_t]]&gt;0),tblMiningDaily[[#This Row],[Explosives_kg]]/tblMiningDaily[[#This Row],[Blast_t]],"")</f>
        <v/>
      </c>
    </row>
    <row r="23">
      <c r="A23" s="54" t="n">
        <v>46040</v>
      </c>
      <c r="B23" s="55" t="n"/>
      <c r="C23" s="55" t="n"/>
      <c r="D23" s="55" t="n"/>
      <c r="E23" s="55" t="n"/>
      <c r="F23" s="55" t="n"/>
      <c r="G23" s="55" t="n"/>
      <c r="H23" s="58" t="n"/>
      <c r="I23" s="65">
        <f>IF(AND(tblMiningDaily[[#This Row],[Blast_t]]&lt;&gt;"",tblMiningDaily[[#This Row],[Blast_t]]&gt;0),tblMiningDaily[[#This Row],[Explosives_kg]]/tblMiningDaily[[#This Row],[Blast_t]],"")</f>
        <v/>
      </c>
    </row>
    <row r="24">
      <c r="A24" s="54" t="n">
        <v>46041</v>
      </c>
      <c r="B24" s="55" t="n"/>
      <c r="C24" s="55" t="n"/>
      <c r="D24" s="55" t="n"/>
      <c r="E24" s="55" t="n"/>
      <c r="F24" s="55" t="n"/>
      <c r="G24" s="55" t="n"/>
      <c r="H24" s="58" t="n"/>
      <c r="I24" s="65">
        <f>IF(AND(tblMiningDaily[[#This Row],[Blast_t]]&lt;&gt;"",tblMiningDaily[[#This Row],[Blast_t]]&gt;0),tblMiningDaily[[#This Row],[Explosives_kg]]/tblMiningDaily[[#This Row],[Blast_t]],"")</f>
        <v/>
      </c>
    </row>
    <row r="25">
      <c r="A25" s="54" t="n">
        <v>46042</v>
      </c>
      <c r="B25" s="55" t="n"/>
      <c r="C25" s="55" t="n"/>
      <c r="D25" s="55" t="n"/>
      <c r="E25" s="55" t="n"/>
      <c r="F25" s="55" t="n"/>
      <c r="G25" s="55" t="n"/>
      <c r="H25" s="58" t="n"/>
      <c r="I25" s="65">
        <f>IF(AND(tblMiningDaily[[#This Row],[Blast_t]]&lt;&gt;"",tblMiningDaily[[#This Row],[Blast_t]]&gt;0),tblMiningDaily[[#This Row],[Explosives_kg]]/tblMiningDaily[[#This Row],[Blast_t]],"")</f>
        <v/>
      </c>
    </row>
    <row r="26">
      <c r="A26" s="54" t="n">
        <v>46043</v>
      </c>
      <c r="B26" s="55" t="n"/>
      <c r="C26" s="55" t="n"/>
      <c r="D26" s="55" t="n"/>
      <c r="E26" s="55" t="n"/>
      <c r="F26" s="55" t="n"/>
      <c r="G26" s="55" t="n"/>
      <c r="H26" s="58" t="n"/>
      <c r="I26" s="65">
        <f>IF(AND(tblMiningDaily[[#This Row],[Blast_t]]&lt;&gt;"",tblMiningDaily[[#This Row],[Blast_t]]&gt;0),tblMiningDaily[[#This Row],[Explosives_kg]]/tblMiningDaily[[#This Row],[Blast_t]],"")</f>
        <v/>
      </c>
    </row>
    <row r="27">
      <c r="A27" s="54" t="n">
        <v>46044</v>
      </c>
      <c r="B27" s="55" t="n"/>
      <c r="C27" s="55" t="n"/>
      <c r="D27" s="55" t="n"/>
      <c r="E27" s="55" t="n"/>
      <c r="F27" s="55" t="n"/>
      <c r="G27" s="55" t="n"/>
      <c r="H27" s="58" t="n"/>
      <c r="I27" s="65">
        <f>IF(AND(tblMiningDaily[[#This Row],[Blast_t]]&lt;&gt;"",tblMiningDaily[[#This Row],[Blast_t]]&gt;0),tblMiningDaily[[#This Row],[Explosives_kg]]/tblMiningDaily[[#This Row],[Blast_t]],"")</f>
        <v/>
      </c>
    </row>
    <row r="28">
      <c r="A28" s="54" t="n">
        <v>46045</v>
      </c>
      <c r="B28" s="55" t="n"/>
      <c r="C28" s="55" t="n"/>
      <c r="D28" s="55" t="n"/>
      <c r="E28" s="55" t="n"/>
      <c r="F28" s="55" t="n"/>
      <c r="G28" s="55" t="n"/>
      <c r="H28" s="58" t="n"/>
      <c r="I28" s="65">
        <f>IF(AND(tblMiningDaily[[#This Row],[Blast_t]]&lt;&gt;"",tblMiningDaily[[#This Row],[Blast_t]]&gt;0),tblMiningDaily[[#This Row],[Explosives_kg]]/tblMiningDaily[[#This Row],[Blast_t]],"")</f>
        <v/>
      </c>
    </row>
    <row r="29">
      <c r="A29" s="54" t="n">
        <v>46046</v>
      </c>
      <c r="B29" s="55" t="n"/>
      <c r="C29" s="55" t="n"/>
      <c r="D29" s="55" t="n"/>
      <c r="E29" s="55" t="n"/>
      <c r="F29" s="55" t="n"/>
      <c r="G29" s="55" t="n"/>
      <c r="H29" s="58" t="n"/>
      <c r="I29" s="65">
        <f>IF(AND(tblMiningDaily[[#This Row],[Blast_t]]&lt;&gt;"",tblMiningDaily[[#This Row],[Blast_t]]&gt;0),tblMiningDaily[[#This Row],[Explosives_kg]]/tblMiningDaily[[#This Row],[Blast_t]],"")</f>
        <v/>
      </c>
    </row>
    <row r="30">
      <c r="A30" s="54" t="n">
        <v>46047</v>
      </c>
      <c r="B30" s="55" t="n"/>
      <c r="C30" s="55" t="n"/>
      <c r="D30" s="55" t="n"/>
      <c r="E30" s="55" t="n"/>
      <c r="F30" s="55" t="n"/>
      <c r="G30" s="55" t="n"/>
      <c r="H30" s="58" t="n"/>
      <c r="I30" s="65">
        <f>IF(AND(tblMiningDaily[[#This Row],[Blast_t]]&lt;&gt;"",tblMiningDaily[[#This Row],[Blast_t]]&gt;0),tblMiningDaily[[#This Row],[Explosives_kg]]/tblMiningDaily[[#This Row],[Blast_t]],"")</f>
        <v/>
      </c>
    </row>
    <row r="31">
      <c r="A31" s="54" t="n">
        <v>46048</v>
      </c>
      <c r="B31" s="55" t="n"/>
      <c r="C31" s="55" t="n"/>
      <c r="D31" s="55" t="n"/>
      <c r="E31" s="55" t="n"/>
      <c r="F31" s="55" t="n"/>
      <c r="G31" s="55" t="n"/>
      <c r="H31" s="58" t="n"/>
      <c r="I31" s="65">
        <f>IF(AND(tblMiningDaily[[#This Row],[Blast_t]]&lt;&gt;"",tblMiningDaily[[#This Row],[Blast_t]]&gt;0),tblMiningDaily[[#This Row],[Explosives_kg]]/tblMiningDaily[[#This Row],[Blast_t]],"")</f>
        <v/>
      </c>
    </row>
    <row r="32">
      <c r="A32" s="54" t="n">
        <v>46049</v>
      </c>
      <c r="B32" s="55" t="n"/>
      <c r="C32" s="55" t="n"/>
      <c r="D32" s="55" t="n"/>
      <c r="E32" s="55" t="n"/>
      <c r="F32" s="55" t="n"/>
      <c r="G32" s="55" t="n"/>
      <c r="H32" s="58" t="n"/>
      <c r="I32" s="65">
        <f>IF(AND(tblMiningDaily[[#This Row],[Blast_t]]&lt;&gt;"",tblMiningDaily[[#This Row],[Blast_t]]&gt;0),tblMiningDaily[[#This Row],[Explosives_kg]]/tblMiningDaily[[#This Row],[Blast_t]],"")</f>
        <v/>
      </c>
    </row>
    <row r="33">
      <c r="A33" s="54" t="n">
        <v>46050</v>
      </c>
      <c r="B33" s="55" t="n"/>
      <c r="C33" s="55" t="n"/>
      <c r="D33" s="55" t="n"/>
      <c r="E33" s="55" t="n"/>
      <c r="F33" s="55" t="n"/>
      <c r="G33" s="55" t="n"/>
      <c r="H33" s="58" t="n"/>
      <c r="I33" s="65">
        <f>IF(AND(tblMiningDaily[[#This Row],[Blast_t]]&lt;&gt;"",tblMiningDaily[[#This Row],[Blast_t]]&gt;0),tblMiningDaily[[#This Row],[Explosives_kg]]/tblMiningDaily[[#This Row],[Blast_t]],"")</f>
        <v/>
      </c>
    </row>
    <row r="34">
      <c r="A34" s="54" t="n">
        <v>46051</v>
      </c>
      <c r="B34" s="55" t="n"/>
      <c r="C34" s="55" t="n"/>
      <c r="D34" s="55" t="n"/>
      <c r="E34" s="55" t="n"/>
      <c r="F34" s="55" t="n"/>
      <c r="G34" s="55" t="n"/>
      <c r="H34" s="58" t="n"/>
      <c r="I34" s="65">
        <f>IF(AND(tblMiningDaily[[#This Row],[Blast_t]]&lt;&gt;"",tblMiningDaily[[#This Row],[Blast_t]]&gt;0),tblMiningDaily[[#This Row],[Explosives_kg]]/tblMiningDaily[[#This Row],[Blast_t]],"")</f>
        <v/>
      </c>
    </row>
    <row r="35">
      <c r="A35" s="54" t="n">
        <v>46052</v>
      </c>
      <c r="B35" s="55" t="n"/>
      <c r="C35" s="55" t="n"/>
      <c r="D35" s="55" t="n"/>
      <c r="E35" s="55" t="n"/>
      <c r="F35" s="55" t="n"/>
      <c r="G35" s="55" t="n"/>
      <c r="H35" s="58" t="n"/>
      <c r="I35" s="65">
        <f>IF(AND(tblMiningDaily[[#This Row],[Blast_t]]&lt;&gt;"",tblMiningDaily[[#This Row],[Blast_t]]&gt;0),tblMiningDaily[[#This Row],[Explosives_kg]]/tblMiningDaily[[#This Row],[Blast_t]],"")</f>
        <v/>
      </c>
    </row>
    <row r="36">
      <c r="A36" s="54" t="n">
        <v>46053</v>
      </c>
      <c r="B36" s="55" t="n"/>
      <c r="C36" s="55" t="n"/>
      <c r="D36" s="55" t="n"/>
      <c r="E36" s="55" t="n"/>
      <c r="F36" s="55" t="n"/>
      <c r="G36" s="55" t="n"/>
      <c r="H36" s="58" t="n"/>
      <c r="I36" s="65">
        <f>IF(AND(tblMiningDaily[[#This Row],[Blast_t]]&lt;&gt;"",tblMiningDaily[[#This Row],[Blast_t]]&gt;0),tblMiningDaily[[#This Row],[Explosives_kg]]/tblMiningDaily[[#This Row],[Blast_t]],"")</f>
        <v/>
      </c>
    </row>
    <row r="37">
      <c r="A37" s="54" t="n">
        <v>46054</v>
      </c>
      <c r="B37" s="55" t="n"/>
      <c r="C37" s="55" t="n"/>
      <c r="D37" s="55" t="n"/>
      <c r="E37" s="55" t="n"/>
      <c r="F37" s="55" t="n"/>
      <c r="G37" s="55" t="n"/>
      <c r="H37" s="58" t="n"/>
      <c r="I37" s="65">
        <f>IF(AND(tblMiningDaily[[#This Row],[Blast_t]]&lt;&gt;"",tblMiningDaily[[#This Row],[Blast_t]]&gt;0),tblMiningDaily[[#This Row],[Explosives_kg]]/tblMiningDaily[[#This Row],[Blast_t]],"")</f>
        <v/>
      </c>
    </row>
    <row r="38">
      <c r="A38" s="54" t="n">
        <v>46055</v>
      </c>
      <c r="B38" s="55" t="n"/>
      <c r="C38" s="55" t="n"/>
      <c r="D38" s="55" t="n"/>
      <c r="E38" s="55" t="n"/>
      <c r="F38" s="55" t="n"/>
      <c r="G38" s="55" t="n"/>
      <c r="H38" s="58" t="n"/>
      <c r="I38" s="65">
        <f>IF(AND(tblMiningDaily[[#This Row],[Blast_t]]&lt;&gt;"",tblMiningDaily[[#This Row],[Blast_t]]&gt;0),tblMiningDaily[[#This Row],[Explosives_kg]]/tblMiningDaily[[#This Row],[Blast_t]],"")</f>
        <v/>
      </c>
    </row>
    <row r="39">
      <c r="A39" s="54" t="n">
        <v>46056</v>
      </c>
      <c r="B39" s="55" t="n"/>
      <c r="C39" s="55" t="n"/>
      <c r="D39" s="55" t="n"/>
      <c r="E39" s="55" t="n"/>
      <c r="F39" s="55" t="n"/>
      <c r="G39" s="55" t="n"/>
      <c r="H39" s="58" t="n"/>
      <c r="I39" s="65">
        <f>IF(AND(tblMiningDaily[[#This Row],[Blast_t]]&lt;&gt;"",tblMiningDaily[[#This Row],[Blast_t]]&gt;0),tblMiningDaily[[#This Row],[Explosives_kg]]/tblMiningDaily[[#This Row],[Blast_t]],"")</f>
        <v/>
      </c>
    </row>
    <row r="40">
      <c r="A40" s="54" t="n">
        <v>46057</v>
      </c>
      <c r="B40" s="55" t="n"/>
      <c r="C40" s="55" t="n"/>
      <c r="D40" s="55" t="n"/>
      <c r="E40" s="55" t="n"/>
      <c r="F40" s="55" t="n"/>
      <c r="G40" s="55" t="n"/>
      <c r="H40" s="58" t="n"/>
      <c r="I40" s="65">
        <f>IF(AND(tblMiningDaily[[#This Row],[Blast_t]]&lt;&gt;"",tblMiningDaily[[#This Row],[Blast_t]]&gt;0),tblMiningDaily[[#This Row],[Explosives_kg]]/tblMiningDaily[[#This Row],[Blast_t]],"")</f>
        <v/>
      </c>
    </row>
    <row r="41">
      <c r="A41" s="54" t="n">
        <v>46058</v>
      </c>
      <c r="B41" s="55" t="n"/>
      <c r="C41" s="55" t="n"/>
      <c r="D41" s="55" t="n"/>
      <c r="E41" s="55" t="n"/>
      <c r="F41" s="55" t="n"/>
      <c r="G41" s="55" t="n"/>
      <c r="H41" s="58" t="n"/>
      <c r="I41" s="65">
        <f>IF(AND(tblMiningDaily[[#This Row],[Blast_t]]&lt;&gt;"",tblMiningDaily[[#This Row],[Blast_t]]&gt;0),tblMiningDaily[[#This Row],[Explosives_kg]]/tblMiningDaily[[#This Row],[Blast_t]],"")</f>
        <v/>
      </c>
    </row>
    <row r="42">
      <c r="A42" s="54" t="n">
        <v>46059</v>
      </c>
      <c r="B42" s="55" t="n"/>
      <c r="C42" s="55" t="n"/>
      <c r="D42" s="55" t="n"/>
      <c r="E42" s="55" t="n"/>
      <c r="F42" s="55" t="n"/>
      <c r="G42" s="55" t="n"/>
      <c r="H42" s="58" t="n"/>
      <c r="I42" s="65">
        <f>IF(AND(tblMiningDaily[[#This Row],[Blast_t]]&lt;&gt;"",tblMiningDaily[[#This Row],[Blast_t]]&gt;0),tblMiningDaily[[#This Row],[Explosives_kg]]/tblMiningDaily[[#This Row],[Blast_t]],"")</f>
        <v/>
      </c>
    </row>
    <row r="43">
      <c r="A43" s="54" t="n">
        <v>46060</v>
      </c>
      <c r="B43" s="55" t="n"/>
      <c r="C43" s="55" t="n"/>
      <c r="D43" s="55" t="n"/>
      <c r="E43" s="55" t="n"/>
      <c r="F43" s="55" t="n"/>
      <c r="G43" s="55" t="n"/>
      <c r="H43" s="58" t="n"/>
      <c r="I43" s="65">
        <f>IF(AND(tblMiningDaily[[#This Row],[Blast_t]]&lt;&gt;"",tblMiningDaily[[#This Row],[Blast_t]]&gt;0),tblMiningDaily[[#This Row],[Explosives_kg]]/tblMiningDaily[[#This Row],[Blast_t]],"")</f>
        <v/>
      </c>
    </row>
    <row r="44">
      <c r="A44" s="54" t="n">
        <v>46061</v>
      </c>
      <c r="B44" s="55" t="n"/>
      <c r="C44" s="55" t="n"/>
      <c r="D44" s="55" t="n"/>
      <c r="E44" s="55" t="n"/>
      <c r="F44" s="55" t="n"/>
      <c r="G44" s="55" t="n"/>
      <c r="H44" s="58" t="n"/>
      <c r="I44" s="65">
        <f>IF(AND(tblMiningDaily[[#This Row],[Blast_t]]&lt;&gt;"",tblMiningDaily[[#This Row],[Blast_t]]&gt;0),tblMiningDaily[[#This Row],[Explosives_kg]]/tblMiningDaily[[#This Row],[Blast_t]],"")</f>
        <v/>
      </c>
    </row>
    <row r="45">
      <c r="A45" s="54" t="n">
        <v>46062</v>
      </c>
      <c r="B45" s="55" t="n"/>
      <c r="C45" s="55" t="n"/>
      <c r="D45" s="55" t="n"/>
      <c r="E45" s="55" t="n"/>
      <c r="F45" s="55" t="n"/>
      <c r="G45" s="55" t="n"/>
      <c r="H45" s="58" t="n"/>
      <c r="I45" s="65">
        <f>IF(AND(tblMiningDaily[[#This Row],[Blast_t]]&lt;&gt;"",tblMiningDaily[[#This Row],[Blast_t]]&gt;0),tblMiningDaily[[#This Row],[Explosives_kg]]/tblMiningDaily[[#This Row],[Blast_t]],"")</f>
        <v/>
      </c>
    </row>
    <row r="46">
      <c r="A46" s="54" t="n">
        <v>46063</v>
      </c>
      <c r="B46" s="55" t="n"/>
      <c r="C46" s="55" t="n"/>
      <c r="D46" s="55" t="n"/>
      <c r="E46" s="55" t="n"/>
      <c r="F46" s="55" t="n"/>
      <c r="G46" s="55" t="n"/>
      <c r="H46" s="58" t="n"/>
      <c r="I46" s="65">
        <f>IF(AND(tblMiningDaily[[#This Row],[Blast_t]]&lt;&gt;"",tblMiningDaily[[#This Row],[Blast_t]]&gt;0),tblMiningDaily[[#This Row],[Explosives_kg]]/tblMiningDaily[[#This Row],[Blast_t]],"")</f>
        <v/>
      </c>
    </row>
    <row r="47">
      <c r="A47" s="54" t="n">
        <v>46064</v>
      </c>
      <c r="B47" s="55" t="n"/>
      <c r="C47" s="55" t="n"/>
      <c r="D47" s="55" t="n"/>
      <c r="E47" s="55" t="n"/>
      <c r="F47" s="55" t="n"/>
      <c r="G47" s="55" t="n"/>
      <c r="H47" s="58" t="n"/>
      <c r="I47" s="65">
        <f>IF(AND(tblMiningDaily[[#This Row],[Blast_t]]&lt;&gt;"",tblMiningDaily[[#This Row],[Blast_t]]&gt;0),tblMiningDaily[[#This Row],[Explosives_kg]]/tblMiningDaily[[#This Row],[Blast_t]],"")</f>
        <v/>
      </c>
    </row>
    <row r="48">
      <c r="A48" s="54" t="n">
        <v>46065</v>
      </c>
      <c r="B48" s="55" t="n"/>
      <c r="C48" s="55" t="n"/>
      <c r="D48" s="55" t="n"/>
      <c r="E48" s="55" t="n"/>
      <c r="F48" s="55" t="n"/>
      <c r="G48" s="55" t="n"/>
      <c r="H48" s="58" t="n"/>
      <c r="I48" s="65">
        <f>IF(AND(tblMiningDaily[[#This Row],[Blast_t]]&lt;&gt;"",tblMiningDaily[[#This Row],[Blast_t]]&gt;0),tblMiningDaily[[#This Row],[Explosives_kg]]/tblMiningDaily[[#This Row],[Blast_t]],"")</f>
        <v/>
      </c>
    </row>
    <row r="49">
      <c r="A49" s="54" t="n">
        <v>46066</v>
      </c>
      <c r="B49" s="55" t="n"/>
      <c r="C49" s="55" t="n"/>
      <c r="D49" s="55" t="n"/>
      <c r="E49" s="55" t="n"/>
      <c r="F49" s="55" t="n"/>
      <c r="G49" s="55" t="n"/>
      <c r="H49" s="58" t="n"/>
      <c r="I49" s="65">
        <f>IF(AND(tblMiningDaily[[#This Row],[Blast_t]]&lt;&gt;"",tblMiningDaily[[#This Row],[Blast_t]]&gt;0),tblMiningDaily[[#This Row],[Explosives_kg]]/tblMiningDaily[[#This Row],[Blast_t]],"")</f>
        <v/>
      </c>
    </row>
    <row r="50">
      <c r="A50" s="54" t="n">
        <v>46067</v>
      </c>
      <c r="B50" s="55" t="n"/>
      <c r="C50" s="55" t="n"/>
      <c r="D50" s="55" t="n"/>
      <c r="E50" s="55" t="n"/>
      <c r="F50" s="55" t="n"/>
      <c r="G50" s="55" t="n"/>
      <c r="H50" s="58" t="n"/>
      <c r="I50" s="65">
        <f>IF(AND(tblMiningDaily[[#This Row],[Blast_t]]&lt;&gt;"",tblMiningDaily[[#This Row],[Blast_t]]&gt;0),tblMiningDaily[[#This Row],[Explosives_kg]]/tblMiningDaily[[#This Row],[Blast_t]],"")</f>
        <v/>
      </c>
    </row>
    <row r="51">
      <c r="A51" s="54" t="n">
        <v>46068</v>
      </c>
      <c r="B51" s="55" t="n"/>
      <c r="C51" s="55" t="n"/>
      <c r="D51" s="55" t="n"/>
      <c r="E51" s="55" t="n"/>
      <c r="F51" s="55" t="n"/>
      <c r="G51" s="55" t="n"/>
      <c r="H51" s="58" t="n"/>
      <c r="I51" s="65">
        <f>IF(AND(tblMiningDaily[[#This Row],[Blast_t]]&lt;&gt;"",tblMiningDaily[[#This Row],[Blast_t]]&gt;0),tblMiningDaily[[#This Row],[Explosives_kg]]/tblMiningDaily[[#This Row],[Blast_t]],"")</f>
        <v/>
      </c>
    </row>
    <row r="52">
      <c r="A52" s="54" t="n">
        <v>46069</v>
      </c>
      <c r="B52" s="55" t="n"/>
      <c r="C52" s="55" t="n"/>
      <c r="D52" s="55" t="n"/>
      <c r="E52" s="55" t="n"/>
      <c r="F52" s="55" t="n"/>
      <c r="G52" s="55" t="n"/>
      <c r="H52" s="58" t="n"/>
      <c r="I52" s="65">
        <f>IF(AND(tblMiningDaily[[#This Row],[Blast_t]]&lt;&gt;"",tblMiningDaily[[#This Row],[Blast_t]]&gt;0),tblMiningDaily[[#This Row],[Explosives_kg]]/tblMiningDaily[[#This Row],[Blast_t]],"")</f>
        <v/>
      </c>
    </row>
    <row r="53">
      <c r="A53" s="54" t="n">
        <v>46070</v>
      </c>
      <c r="B53" s="55" t="n"/>
      <c r="C53" s="55" t="n"/>
      <c r="D53" s="55" t="n"/>
      <c r="E53" s="55" t="n"/>
      <c r="F53" s="55" t="n"/>
      <c r="G53" s="55" t="n"/>
      <c r="H53" s="58" t="n"/>
      <c r="I53" s="65">
        <f>IF(AND(tblMiningDaily[[#This Row],[Blast_t]]&lt;&gt;"",tblMiningDaily[[#This Row],[Blast_t]]&gt;0),tblMiningDaily[[#This Row],[Explosives_kg]]/tblMiningDaily[[#This Row],[Blast_t]],"")</f>
        <v/>
      </c>
    </row>
    <row r="54">
      <c r="A54" s="54" t="n">
        <v>46071</v>
      </c>
      <c r="B54" s="55" t="n"/>
      <c r="C54" s="55" t="n"/>
      <c r="D54" s="55" t="n"/>
      <c r="E54" s="55" t="n"/>
      <c r="F54" s="55" t="n"/>
      <c r="G54" s="55" t="n"/>
      <c r="H54" s="58" t="n"/>
      <c r="I54" s="65">
        <f>IF(AND(tblMiningDaily[[#This Row],[Blast_t]]&lt;&gt;"",tblMiningDaily[[#This Row],[Blast_t]]&gt;0),tblMiningDaily[[#This Row],[Explosives_kg]]/tblMiningDaily[[#This Row],[Blast_t]],"")</f>
        <v/>
      </c>
    </row>
    <row r="55">
      <c r="A55" s="54" t="n">
        <v>46072</v>
      </c>
      <c r="B55" s="55" t="n"/>
      <c r="C55" s="55" t="n"/>
      <c r="D55" s="55" t="n"/>
      <c r="E55" s="55" t="n"/>
      <c r="F55" s="55" t="n"/>
      <c r="G55" s="55" t="n"/>
      <c r="H55" s="58" t="n"/>
      <c r="I55" s="65">
        <f>IF(AND(tblMiningDaily[[#This Row],[Blast_t]]&lt;&gt;"",tblMiningDaily[[#This Row],[Blast_t]]&gt;0),tblMiningDaily[[#This Row],[Explosives_kg]]/tblMiningDaily[[#This Row],[Blast_t]],"")</f>
        <v/>
      </c>
    </row>
    <row r="56">
      <c r="A56" s="54" t="n">
        <v>46073</v>
      </c>
      <c r="B56" s="55" t="n"/>
      <c r="C56" s="55" t="n"/>
      <c r="D56" s="55" t="n"/>
      <c r="E56" s="55" t="n"/>
      <c r="F56" s="55" t="n"/>
      <c r="G56" s="55" t="n"/>
      <c r="H56" s="58" t="n"/>
      <c r="I56" s="65">
        <f>IF(AND(tblMiningDaily[[#This Row],[Blast_t]]&lt;&gt;"",tblMiningDaily[[#This Row],[Blast_t]]&gt;0),tblMiningDaily[[#This Row],[Explosives_kg]]/tblMiningDaily[[#This Row],[Blast_t]],"")</f>
        <v/>
      </c>
    </row>
    <row r="57">
      <c r="A57" s="54" t="n">
        <v>46074</v>
      </c>
      <c r="B57" s="55" t="n"/>
      <c r="C57" s="55" t="n"/>
      <c r="D57" s="55" t="n"/>
      <c r="E57" s="55" t="n"/>
      <c r="F57" s="55" t="n"/>
      <c r="G57" s="55" t="n"/>
      <c r="H57" s="58" t="n"/>
      <c r="I57" s="65">
        <f>IF(AND(tblMiningDaily[[#This Row],[Blast_t]]&lt;&gt;"",tblMiningDaily[[#This Row],[Blast_t]]&gt;0),tblMiningDaily[[#This Row],[Explosives_kg]]/tblMiningDaily[[#This Row],[Blast_t]],"")</f>
        <v/>
      </c>
    </row>
    <row r="58">
      <c r="A58" s="54" t="n">
        <v>46075</v>
      </c>
      <c r="B58" s="55" t="n"/>
      <c r="C58" s="55" t="n"/>
      <c r="D58" s="55" t="n"/>
      <c r="E58" s="55" t="n"/>
      <c r="F58" s="55" t="n"/>
      <c r="G58" s="55" t="n"/>
      <c r="H58" s="58" t="n"/>
      <c r="I58" s="65">
        <f>IF(AND(tblMiningDaily[[#This Row],[Blast_t]]&lt;&gt;"",tblMiningDaily[[#This Row],[Blast_t]]&gt;0),tblMiningDaily[[#This Row],[Explosives_kg]]/tblMiningDaily[[#This Row],[Blast_t]],"")</f>
        <v/>
      </c>
    </row>
    <row r="59">
      <c r="A59" s="54" t="n">
        <v>46076</v>
      </c>
      <c r="B59" s="55" t="n"/>
      <c r="C59" s="55" t="n"/>
      <c r="D59" s="55" t="n"/>
      <c r="E59" s="55" t="n"/>
      <c r="F59" s="55" t="n"/>
      <c r="G59" s="55" t="n"/>
      <c r="H59" s="58" t="n"/>
      <c r="I59" s="65">
        <f>IF(AND(tblMiningDaily[[#This Row],[Blast_t]]&lt;&gt;"",tblMiningDaily[[#This Row],[Blast_t]]&gt;0),tblMiningDaily[[#This Row],[Explosives_kg]]/tblMiningDaily[[#This Row],[Blast_t]],"")</f>
        <v/>
      </c>
    </row>
    <row r="60">
      <c r="A60" s="54" t="n">
        <v>46077</v>
      </c>
      <c r="B60" s="55" t="n"/>
      <c r="C60" s="55" t="n"/>
      <c r="D60" s="55" t="n"/>
      <c r="E60" s="55" t="n"/>
      <c r="F60" s="55" t="n"/>
      <c r="G60" s="55" t="n"/>
      <c r="H60" s="58" t="n"/>
      <c r="I60" s="65">
        <f>IF(AND(tblMiningDaily[[#This Row],[Blast_t]]&lt;&gt;"",tblMiningDaily[[#This Row],[Blast_t]]&gt;0),tblMiningDaily[[#This Row],[Explosives_kg]]/tblMiningDaily[[#This Row],[Blast_t]],"")</f>
        <v/>
      </c>
    </row>
    <row r="61">
      <c r="A61" s="54" t="n">
        <v>46078</v>
      </c>
      <c r="B61" s="55" t="n"/>
      <c r="C61" s="55" t="n"/>
      <c r="D61" s="55" t="n"/>
      <c r="E61" s="55" t="n"/>
      <c r="F61" s="55" t="n"/>
      <c r="G61" s="55" t="n"/>
      <c r="H61" s="58" t="n"/>
      <c r="I61" s="65">
        <f>IF(AND(tblMiningDaily[[#This Row],[Blast_t]]&lt;&gt;"",tblMiningDaily[[#This Row],[Blast_t]]&gt;0),tblMiningDaily[[#This Row],[Explosives_kg]]/tblMiningDaily[[#This Row],[Blast_t]],"")</f>
        <v/>
      </c>
    </row>
    <row r="62">
      <c r="A62" s="54" t="n">
        <v>46079</v>
      </c>
      <c r="B62" s="55" t="n"/>
      <c r="C62" s="55" t="n"/>
      <c r="D62" s="55" t="n"/>
      <c r="E62" s="55" t="n"/>
      <c r="F62" s="55" t="n"/>
      <c r="G62" s="55" t="n"/>
      <c r="H62" s="58" t="n"/>
      <c r="I62" s="65">
        <f>IF(AND(tblMiningDaily[[#This Row],[Blast_t]]&lt;&gt;"",tblMiningDaily[[#This Row],[Blast_t]]&gt;0),tblMiningDaily[[#This Row],[Explosives_kg]]/tblMiningDaily[[#This Row],[Blast_t]],"")</f>
        <v/>
      </c>
    </row>
    <row r="63">
      <c r="A63" s="54" t="n">
        <v>46080</v>
      </c>
      <c r="B63" s="55" t="n"/>
      <c r="C63" s="55" t="n"/>
      <c r="D63" s="55" t="n"/>
      <c r="E63" s="55" t="n"/>
      <c r="F63" s="55" t="n"/>
      <c r="G63" s="55" t="n"/>
      <c r="H63" s="58" t="n"/>
      <c r="I63" s="65">
        <f>IF(AND(tblMiningDaily[[#This Row],[Blast_t]]&lt;&gt;"",tblMiningDaily[[#This Row],[Blast_t]]&gt;0),tblMiningDaily[[#This Row],[Explosives_kg]]/tblMiningDaily[[#This Row],[Blast_t]],"")</f>
        <v/>
      </c>
    </row>
    <row r="64">
      <c r="A64" s="54" t="n">
        <v>46081</v>
      </c>
      <c r="B64" s="55" t="n"/>
      <c r="C64" s="55" t="n"/>
      <c r="D64" s="55" t="n"/>
      <c r="E64" s="55" t="n"/>
      <c r="F64" s="55" t="n"/>
      <c r="G64" s="55" t="n"/>
      <c r="H64" s="58" t="n"/>
      <c r="I64" s="65">
        <f>IF(AND(tblMiningDaily[[#This Row],[Blast_t]]&lt;&gt;"",tblMiningDaily[[#This Row],[Blast_t]]&gt;0),tblMiningDaily[[#This Row],[Explosives_kg]]/tblMiningDaily[[#This Row],[Blast_t]],"")</f>
        <v/>
      </c>
    </row>
    <row r="65">
      <c r="A65" s="54" t="n">
        <v>46082</v>
      </c>
      <c r="B65" s="55" t="n"/>
      <c r="C65" s="55" t="n"/>
      <c r="D65" s="55" t="n"/>
      <c r="E65" s="55" t="n"/>
      <c r="F65" s="55" t="n"/>
      <c r="G65" s="55" t="n"/>
      <c r="H65" s="58" t="n"/>
      <c r="I65" s="65">
        <f>IF(AND(tblMiningDaily[[#This Row],[Blast_t]]&lt;&gt;"",tblMiningDaily[[#This Row],[Blast_t]]&gt;0),tblMiningDaily[[#This Row],[Explosives_kg]]/tblMiningDaily[[#This Row],[Blast_t]],"")</f>
        <v/>
      </c>
    </row>
    <row r="66">
      <c r="A66" s="54" t="n">
        <v>46083</v>
      </c>
      <c r="B66" s="55" t="n"/>
      <c r="C66" s="55" t="n"/>
      <c r="D66" s="55" t="n"/>
      <c r="E66" s="55" t="n"/>
      <c r="F66" s="55" t="n"/>
      <c r="G66" s="55" t="n"/>
      <c r="H66" s="58" t="n"/>
      <c r="I66" s="65">
        <f>IF(AND(tblMiningDaily[[#This Row],[Blast_t]]&lt;&gt;"",tblMiningDaily[[#This Row],[Blast_t]]&gt;0),tblMiningDaily[[#This Row],[Explosives_kg]]/tblMiningDaily[[#This Row],[Blast_t]],"")</f>
        <v/>
      </c>
    </row>
    <row r="67">
      <c r="A67" s="54" t="n">
        <v>46084</v>
      </c>
      <c r="B67" s="55" t="n"/>
      <c r="C67" s="55" t="n"/>
      <c r="D67" s="55" t="n"/>
      <c r="E67" s="55" t="n"/>
      <c r="F67" s="55" t="n"/>
      <c r="G67" s="55" t="n"/>
      <c r="H67" s="58" t="n"/>
      <c r="I67" s="65">
        <f>IF(AND(tblMiningDaily[[#This Row],[Blast_t]]&lt;&gt;"",tblMiningDaily[[#This Row],[Blast_t]]&gt;0),tblMiningDaily[[#This Row],[Explosives_kg]]/tblMiningDaily[[#This Row],[Blast_t]],"")</f>
        <v/>
      </c>
    </row>
    <row r="68">
      <c r="A68" s="54" t="n">
        <v>46085</v>
      </c>
      <c r="B68" s="55" t="n"/>
      <c r="C68" s="55" t="n"/>
      <c r="D68" s="55" t="n"/>
      <c r="E68" s="55" t="n"/>
      <c r="F68" s="55" t="n"/>
      <c r="G68" s="55" t="n"/>
      <c r="H68" s="58" t="n"/>
      <c r="I68" s="65">
        <f>IF(AND(tblMiningDaily[[#This Row],[Blast_t]]&lt;&gt;"",tblMiningDaily[[#This Row],[Blast_t]]&gt;0),tblMiningDaily[[#This Row],[Explosives_kg]]/tblMiningDaily[[#This Row],[Blast_t]],"")</f>
        <v/>
      </c>
    </row>
    <row r="69">
      <c r="A69" s="54" t="n">
        <v>46086</v>
      </c>
      <c r="B69" s="55" t="n"/>
      <c r="C69" s="55" t="n"/>
      <c r="D69" s="55" t="n"/>
      <c r="E69" s="55" t="n"/>
      <c r="F69" s="55" t="n"/>
      <c r="G69" s="55" t="n"/>
      <c r="H69" s="58" t="n"/>
      <c r="I69" s="65">
        <f>IF(AND(tblMiningDaily[[#This Row],[Blast_t]]&lt;&gt;"",tblMiningDaily[[#This Row],[Blast_t]]&gt;0),tblMiningDaily[[#This Row],[Explosives_kg]]/tblMiningDaily[[#This Row],[Blast_t]],"")</f>
        <v/>
      </c>
    </row>
    <row r="70">
      <c r="A70" s="54" t="n">
        <v>46087</v>
      </c>
      <c r="B70" s="55" t="n"/>
      <c r="C70" s="55" t="n"/>
      <c r="D70" s="55" t="n"/>
      <c r="E70" s="55" t="n"/>
      <c r="F70" s="55" t="n"/>
      <c r="G70" s="55" t="n"/>
      <c r="H70" s="58" t="n"/>
      <c r="I70" s="65">
        <f>IF(AND(tblMiningDaily[[#This Row],[Blast_t]]&lt;&gt;"",tblMiningDaily[[#This Row],[Blast_t]]&gt;0),tblMiningDaily[[#This Row],[Explosives_kg]]/tblMiningDaily[[#This Row],[Blast_t]],"")</f>
        <v/>
      </c>
    </row>
    <row r="71">
      <c r="A71" s="54" t="n">
        <v>46088</v>
      </c>
      <c r="B71" s="55" t="n"/>
      <c r="C71" s="55" t="n"/>
      <c r="D71" s="55" t="n"/>
      <c r="E71" s="55" t="n"/>
      <c r="F71" s="55" t="n"/>
      <c r="G71" s="55" t="n"/>
      <c r="H71" s="58" t="n"/>
      <c r="I71" s="65">
        <f>IF(AND(tblMiningDaily[[#This Row],[Blast_t]]&lt;&gt;"",tblMiningDaily[[#This Row],[Blast_t]]&gt;0),tblMiningDaily[[#This Row],[Explosives_kg]]/tblMiningDaily[[#This Row],[Blast_t]],"")</f>
        <v/>
      </c>
    </row>
    <row r="72">
      <c r="A72" s="54" t="n">
        <v>46089</v>
      </c>
      <c r="B72" s="55" t="n"/>
      <c r="C72" s="55" t="n"/>
      <c r="D72" s="55" t="n"/>
      <c r="E72" s="55" t="n"/>
      <c r="F72" s="55" t="n"/>
      <c r="G72" s="55" t="n"/>
      <c r="H72" s="58" t="n"/>
      <c r="I72" s="65">
        <f>IF(AND(tblMiningDaily[[#This Row],[Blast_t]]&lt;&gt;"",tblMiningDaily[[#This Row],[Blast_t]]&gt;0),tblMiningDaily[[#This Row],[Explosives_kg]]/tblMiningDaily[[#This Row],[Blast_t]],"")</f>
        <v/>
      </c>
    </row>
    <row r="73">
      <c r="A73" s="54" t="n">
        <v>46090</v>
      </c>
      <c r="B73" s="55" t="n"/>
      <c r="C73" s="55" t="n"/>
      <c r="D73" s="55" t="n"/>
      <c r="E73" s="55" t="n"/>
      <c r="F73" s="55" t="n"/>
      <c r="G73" s="55" t="n"/>
      <c r="H73" s="58" t="n"/>
      <c r="I73" s="65">
        <f>IF(AND(tblMiningDaily[[#This Row],[Blast_t]]&lt;&gt;"",tblMiningDaily[[#This Row],[Blast_t]]&gt;0),tblMiningDaily[[#This Row],[Explosives_kg]]/tblMiningDaily[[#This Row],[Blast_t]],"")</f>
        <v/>
      </c>
    </row>
    <row r="74">
      <c r="A74" s="54" t="n">
        <v>46091</v>
      </c>
      <c r="B74" s="55" t="n"/>
      <c r="C74" s="55" t="n"/>
      <c r="D74" s="55" t="n"/>
      <c r="E74" s="55" t="n"/>
      <c r="F74" s="55" t="n"/>
      <c r="G74" s="55" t="n"/>
      <c r="H74" s="58" t="n"/>
      <c r="I74" s="65">
        <f>IF(AND(tblMiningDaily[[#This Row],[Blast_t]]&lt;&gt;"",tblMiningDaily[[#This Row],[Blast_t]]&gt;0),tblMiningDaily[[#This Row],[Explosives_kg]]/tblMiningDaily[[#This Row],[Blast_t]],"")</f>
        <v/>
      </c>
    </row>
    <row r="75">
      <c r="A75" s="54" t="n">
        <v>46092</v>
      </c>
      <c r="B75" s="55" t="n"/>
      <c r="C75" s="55" t="n"/>
      <c r="D75" s="55" t="n"/>
      <c r="E75" s="55" t="n"/>
      <c r="F75" s="55" t="n"/>
      <c r="G75" s="55" t="n"/>
      <c r="H75" s="58" t="n"/>
      <c r="I75" s="65">
        <f>IF(AND(tblMiningDaily[[#This Row],[Blast_t]]&lt;&gt;"",tblMiningDaily[[#This Row],[Blast_t]]&gt;0),tblMiningDaily[[#This Row],[Explosives_kg]]/tblMiningDaily[[#This Row],[Blast_t]],"")</f>
        <v/>
      </c>
    </row>
    <row r="76">
      <c r="A76" s="54" t="n">
        <v>46093</v>
      </c>
      <c r="B76" s="55" t="n"/>
      <c r="C76" s="55" t="n"/>
      <c r="D76" s="55" t="n"/>
      <c r="E76" s="55" t="n"/>
      <c r="F76" s="55" t="n"/>
      <c r="G76" s="55" t="n"/>
      <c r="H76" s="58" t="n"/>
      <c r="I76" s="65">
        <f>IF(AND(tblMiningDaily[[#This Row],[Blast_t]]&lt;&gt;"",tblMiningDaily[[#This Row],[Blast_t]]&gt;0),tblMiningDaily[[#This Row],[Explosives_kg]]/tblMiningDaily[[#This Row],[Blast_t]],"")</f>
        <v/>
      </c>
    </row>
    <row r="77">
      <c r="A77" s="54" t="n">
        <v>46094</v>
      </c>
      <c r="B77" s="55" t="n"/>
      <c r="C77" s="55" t="n"/>
      <c r="D77" s="55" t="n"/>
      <c r="E77" s="55" t="n"/>
      <c r="F77" s="55" t="n"/>
      <c r="G77" s="55" t="n"/>
      <c r="H77" s="58" t="n"/>
      <c r="I77" s="65">
        <f>IF(AND(tblMiningDaily[[#This Row],[Blast_t]]&lt;&gt;"",tblMiningDaily[[#This Row],[Blast_t]]&gt;0),tblMiningDaily[[#This Row],[Explosives_kg]]/tblMiningDaily[[#This Row],[Blast_t]],"")</f>
        <v/>
      </c>
    </row>
    <row r="78">
      <c r="A78" s="54" t="n">
        <v>46095</v>
      </c>
      <c r="B78" s="55" t="n"/>
      <c r="C78" s="55" t="n"/>
      <c r="D78" s="55" t="n"/>
      <c r="E78" s="55" t="n"/>
      <c r="F78" s="55" t="n"/>
      <c r="G78" s="55" t="n"/>
      <c r="H78" s="58" t="n"/>
      <c r="I78" s="65">
        <f>IF(AND(tblMiningDaily[[#This Row],[Blast_t]]&lt;&gt;"",tblMiningDaily[[#This Row],[Blast_t]]&gt;0),tblMiningDaily[[#This Row],[Explosives_kg]]/tblMiningDaily[[#This Row],[Blast_t]],"")</f>
        <v/>
      </c>
    </row>
    <row r="79">
      <c r="A79" s="54" t="n">
        <v>46096</v>
      </c>
      <c r="B79" s="55" t="n"/>
      <c r="C79" s="55" t="n"/>
      <c r="D79" s="55" t="n"/>
      <c r="E79" s="55" t="n"/>
      <c r="F79" s="55" t="n"/>
      <c r="G79" s="55" t="n"/>
      <c r="H79" s="58" t="n"/>
      <c r="I79" s="65">
        <f>IF(AND(tblMiningDaily[[#This Row],[Blast_t]]&lt;&gt;"",tblMiningDaily[[#This Row],[Blast_t]]&gt;0),tblMiningDaily[[#This Row],[Explosives_kg]]/tblMiningDaily[[#This Row],[Blast_t]],"")</f>
        <v/>
      </c>
    </row>
    <row r="80">
      <c r="A80" s="54" t="n">
        <v>46097</v>
      </c>
      <c r="B80" s="55" t="n"/>
      <c r="C80" s="55" t="n"/>
      <c r="D80" s="55" t="n"/>
      <c r="E80" s="55" t="n"/>
      <c r="F80" s="55" t="n"/>
      <c r="G80" s="55" t="n"/>
      <c r="H80" s="58" t="n"/>
      <c r="I80" s="65">
        <f>IF(AND(tblMiningDaily[[#This Row],[Blast_t]]&lt;&gt;"",tblMiningDaily[[#This Row],[Blast_t]]&gt;0),tblMiningDaily[[#This Row],[Explosives_kg]]/tblMiningDaily[[#This Row],[Blast_t]],"")</f>
        <v/>
      </c>
    </row>
    <row r="81">
      <c r="A81" s="54" t="n">
        <v>46098</v>
      </c>
      <c r="B81" s="55" t="n"/>
      <c r="C81" s="55" t="n"/>
      <c r="D81" s="55" t="n"/>
      <c r="E81" s="55" t="n"/>
      <c r="F81" s="55" t="n"/>
      <c r="G81" s="55" t="n"/>
      <c r="H81" s="58" t="n"/>
      <c r="I81" s="65">
        <f>IF(AND(tblMiningDaily[[#This Row],[Blast_t]]&lt;&gt;"",tblMiningDaily[[#This Row],[Blast_t]]&gt;0),tblMiningDaily[[#This Row],[Explosives_kg]]/tblMiningDaily[[#This Row],[Blast_t]],"")</f>
        <v/>
      </c>
    </row>
    <row r="82">
      <c r="A82" s="54" t="n">
        <v>46099</v>
      </c>
      <c r="B82" s="55" t="n"/>
      <c r="C82" s="55" t="n"/>
      <c r="D82" s="55" t="n"/>
      <c r="E82" s="55" t="n"/>
      <c r="F82" s="55" t="n"/>
      <c r="G82" s="55" t="n"/>
      <c r="H82" s="58" t="n"/>
      <c r="I82" s="65">
        <f>IF(AND(tblMiningDaily[[#This Row],[Blast_t]]&lt;&gt;"",tblMiningDaily[[#This Row],[Blast_t]]&gt;0),tblMiningDaily[[#This Row],[Explosives_kg]]/tblMiningDaily[[#This Row],[Blast_t]],"")</f>
        <v/>
      </c>
    </row>
    <row r="83">
      <c r="A83" s="54" t="n">
        <v>46100</v>
      </c>
      <c r="B83" s="55" t="n"/>
      <c r="C83" s="55" t="n"/>
      <c r="D83" s="55" t="n"/>
      <c r="E83" s="55" t="n"/>
      <c r="F83" s="55" t="n"/>
      <c r="G83" s="55" t="n"/>
      <c r="H83" s="58" t="n"/>
      <c r="I83" s="65">
        <f>IF(AND(tblMiningDaily[[#This Row],[Blast_t]]&lt;&gt;"",tblMiningDaily[[#This Row],[Blast_t]]&gt;0),tblMiningDaily[[#This Row],[Explosives_kg]]/tblMiningDaily[[#This Row],[Blast_t]],"")</f>
        <v/>
      </c>
    </row>
    <row r="84">
      <c r="A84" s="54" t="n">
        <v>46101</v>
      </c>
      <c r="B84" s="55" t="n"/>
      <c r="C84" s="55" t="n"/>
      <c r="D84" s="55" t="n"/>
      <c r="E84" s="55" t="n"/>
      <c r="F84" s="55" t="n"/>
      <c r="G84" s="55" t="n"/>
      <c r="H84" s="58" t="n"/>
      <c r="I84" s="65">
        <f>IF(AND(tblMiningDaily[[#This Row],[Blast_t]]&lt;&gt;"",tblMiningDaily[[#This Row],[Blast_t]]&gt;0),tblMiningDaily[[#This Row],[Explosives_kg]]/tblMiningDaily[[#This Row],[Blast_t]],"")</f>
        <v/>
      </c>
    </row>
    <row r="85">
      <c r="A85" s="54" t="n">
        <v>46102</v>
      </c>
      <c r="B85" s="55" t="n"/>
      <c r="C85" s="55" t="n"/>
      <c r="D85" s="55" t="n"/>
      <c r="E85" s="55" t="n"/>
      <c r="F85" s="55" t="n"/>
      <c r="G85" s="55" t="n"/>
      <c r="H85" s="58" t="n"/>
      <c r="I85" s="65">
        <f>IF(AND(tblMiningDaily[[#This Row],[Blast_t]]&lt;&gt;"",tblMiningDaily[[#This Row],[Blast_t]]&gt;0),tblMiningDaily[[#This Row],[Explosives_kg]]/tblMiningDaily[[#This Row],[Blast_t]],"")</f>
        <v/>
      </c>
    </row>
    <row r="86">
      <c r="A86" s="54" t="n">
        <v>46103</v>
      </c>
      <c r="B86" s="55" t="n"/>
      <c r="C86" s="55" t="n"/>
      <c r="D86" s="55" t="n"/>
      <c r="E86" s="55" t="n"/>
      <c r="F86" s="55" t="n"/>
      <c r="G86" s="55" t="n"/>
      <c r="H86" s="58" t="n"/>
      <c r="I86" s="65">
        <f>IF(AND(tblMiningDaily[[#This Row],[Blast_t]]&lt;&gt;"",tblMiningDaily[[#This Row],[Blast_t]]&gt;0),tblMiningDaily[[#This Row],[Explosives_kg]]/tblMiningDaily[[#This Row],[Blast_t]],"")</f>
        <v/>
      </c>
    </row>
    <row r="87">
      <c r="A87" s="54" t="n">
        <v>46104</v>
      </c>
      <c r="B87" s="55" t="n"/>
      <c r="C87" s="55" t="n"/>
      <c r="D87" s="55" t="n"/>
      <c r="E87" s="55" t="n"/>
      <c r="F87" s="55" t="n"/>
      <c r="G87" s="55" t="n"/>
      <c r="H87" s="58" t="n"/>
      <c r="I87" s="65">
        <f>IF(AND(tblMiningDaily[[#This Row],[Blast_t]]&lt;&gt;"",tblMiningDaily[[#This Row],[Blast_t]]&gt;0),tblMiningDaily[[#This Row],[Explosives_kg]]/tblMiningDaily[[#This Row],[Blast_t]],"")</f>
        <v/>
      </c>
    </row>
    <row r="88">
      <c r="A88" s="54" t="n">
        <v>46105</v>
      </c>
      <c r="B88" s="55" t="n"/>
      <c r="C88" s="55" t="n"/>
      <c r="D88" s="55" t="n"/>
      <c r="E88" s="55" t="n"/>
      <c r="F88" s="55" t="n"/>
      <c r="G88" s="55" t="n"/>
      <c r="H88" s="58" t="n"/>
      <c r="I88" s="65">
        <f>IF(AND(tblMiningDaily[[#This Row],[Blast_t]]&lt;&gt;"",tblMiningDaily[[#This Row],[Blast_t]]&gt;0),tblMiningDaily[[#This Row],[Explosives_kg]]/tblMiningDaily[[#This Row],[Blast_t]],"")</f>
        <v/>
      </c>
    </row>
    <row r="89">
      <c r="A89" s="54" t="n">
        <v>46106</v>
      </c>
      <c r="B89" s="55" t="n"/>
      <c r="C89" s="55" t="n"/>
      <c r="D89" s="55" t="n"/>
      <c r="E89" s="55" t="n"/>
      <c r="F89" s="55" t="n"/>
      <c r="G89" s="55" t="n"/>
      <c r="H89" s="58" t="n"/>
      <c r="I89" s="65">
        <f>IF(AND(tblMiningDaily[[#This Row],[Blast_t]]&lt;&gt;"",tblMiningDaily[[#This Row],[Blast_t]]&gt;0),tblMiningDaily[[#This Row],[Explosives_kg]]/tblMiningDaily[[#This Row],[Blast_t]],"")</f>
        <v/>
      </c>
    </row>
    <row r="90">
      <c r="A90" s="54" t="n">
        <v>46107</v>
      </c>
      <c r="B90" s="55" t="n"/>
      <c r="C90" s="55" t="n"/>
      <c r="D90" s="55" t="n"/>
      <c r="E90" s="55" t="n"/>
      <c r="F90" s="55" t="n"/>
      <c r="G90" s="55" t="n"/>
      <c r="H90" s="58" t="n"/>
      <c r="I90" s="65">
        <f>IF(AND(tblMiningDaily[[#This Row],[Blast_t]]&lt;&gt;"",tblMiningDaily[[#This Row],[Blast_t]]&gt;0),tblMiningDaily[[#This Row],[Explosives_kg]]/tblMiningDaily[[#This Row],[Blast_t]],"")</f>
        <v/>
      </c>
    </row>
    <row r="91">
      <c r="A91" s="54" t="n">
        <v>46108</v>
      </c>
      <c r="B91" s="55" t="n"/>
      <c r="C91" s="55" t="n"/>
      <c r="D91" s="55" t="n"/>
      <c r="E91" s="55" t="n"/>
      <c r="F91" s="55" t="n"/>
      <c r="G91" s="55" t="n"/>
      <c r="H91" s="58" t="n"/>
      <c r="I91" s="65">
        <f>IF(AND(tblMiningDaily[[#This Row],[Blast_t]]&lt;&gt;"",tblMiningDaily[[#This Row],[Blast_t]]&gt;0),tblMiningDaily[[#This Row],[Explosives_kg]]/tblMiningDaily[[#This Row],[Blast_t]],"")</f>
        <v/>
      </c>
    </row>
    <row r="92">
      <c r="A92" s="54" t="n">
        <v>46109</v>
      </c>
      <c r="B92" s="55" t="n"/>
      <c r="C92" s="55" t="n"/>
      <c r="D92" s="55" t="n"/>
      <c r="E92" s="55" t="n"/>
      <c r="F92" s="55" t="n"/>
      <c r="G92" s="55" t="n"/>
      <c r="H92" s="58" t="n"/>
      <c r="I92" s="65">
        <f>IF(AND(tblMiningDaily[[#This Row],[Blast_t]]&lt;&gt;"",tblMiningDaily[[#This Row],[Blast_t]]&gt;0),tblMiningDaily[[#This Row],[Explosives_kg]]/tblMiningDaily[[#This Row],[Blast_t]],"")</f>
        <v/>
      </c>
    </row>
    <row r="93">
      <c r="A93" s="54" t="n">
        <v>46110</v>
      </c>
      <c r="B93" s="55" t="n"/>
      <c r="C93" s="55" t="n"/>
      <c r="D93" s="55" t="n"/>
      <c r="E93" s="55" t="n"/>
      <c r="F93" s="55" t="n"/>
      <c r="G93" s="55" t="n"/>
      <c r="H93" s="58" t="n"/>
      <c r="I93" s="65">
        <f>IF(AND(tblMiningDaily[[#This Row],[Blast_t]]&lt;&gt;"",tblMiningDaily[[#This Row],[Blast_t]]&gt;0),tblMiningDaily[[#This Row],[Explosives_kg]]/tblMiningDaily[[#This Row],[Blast_t]],"")</f>
        <v/>
      </c>
    </row>
    <row r="94">
      <c r="A94" s="54" t="n">
        <v>46111</v>
      </c>
      <c r="B94" s="55" t="n"/>
      <c r="C94" s="55" t="n"/>
      <c r="D94" s="55" t="n"/>
      <c r="E94" s="55" t="n"/>
      <c r="F94" s="55" t="n"/>
      <c r="G94" s="55" t="n"/>
      <c r="H94" s="58" t="n"/>
      <c r="I94" s="65">
        <f>IF(AND(tblMiningDaily[[#This Row],[Blast_t]]&lt;&gt;"",tblMiningDaily[[#This Row],[Blast_t]]&gt;0),tblMiningDaily[[#This Row],[Explosives_kg]]/tblMiningDaily[[#This Row],[Blast_t]],"")</f>
        <v/>
      </c>
    </row>
    <row r="95">
      <c r="A95" s="54" t="n">
        <v>46112</v>
      </c>
      <c r="B95" s="55" t="n"/>
      <c r="C95" s="55" t="n"/>
      <c r="D95" s="55" t="n"/>
      <c r="E95" s="55" t="n"/>
      <c r="F95" s="55" t="n"/>
      <c r="G95" s="55" t="n"/>
      <c r="H95" s="58" t="n"/>
      <c r="I95" s="65">
        <f>IF(AND(tblMiningDaily[[#This Row],[Blast_t]]&lt;&gt;"",tblMiningDaily[[#This Row],[Blast_t]]&gt;0),tblMiningDaily[[#This Row],[Explosives_kg]]/tblMiningDaily[[#This Row],[Blast_t]],"")</f>
        <v/>
      </c>
    </row>
    <row r="96">
      <c r="A96" s="54" t="n">
        <v>46113</v>
      </c>
      <c r="B96" s="55" t="n"/>
      <c r="C96" s="55" t="n"/>
      <c r="D96" s="55" t="n"/>
      <c r="E96" s="55" t="n"/>
      <c r="F96" s="55" t="n"/>
      <c r="G96" s="55" t="n"/>
      <c r="H96" s="58" t="n"/>
      <c r="I96" s="65">
        <f>IF(AND(tblMiningDaily[[#This Row],[Blast_t]]&lt;&gt;"",tblMiningDaily[[#This Row],[Blast_t]]&gt;0),tblMiningDaily[[#This Row],[Explosives_kg]]/tblMiningDaily[[#This Row],[Blast_t]],"")</f>
        <v/>
      </c>
    </row>
    <row r="97">
      <c r="A97" s="54" t="n">
        <v>46114</v>
      </c>
      <c r="B97" s="55" t="n"/>
      <c r="C97" s="55" t="n"/>
      <c r="D97" s="55" t="n"/>
      <c r="E97" s="55" t="n"/>
      <c r="F97" s="55" t="n"/>
      <c r="G97" s="55" t="n"/>
      <c r="H97" s="58" t="n"/>
      <c r="I97" s="65">
        <f>IF(AND(tblMiningDaily[[#This Row],[Blast_t]]&lt;&gt;"",tblMiningDaily[[#This Row],[Blast_t]]&gt;0),tblMiningDaily[[#This Row],[Explosives_kg]]/tblMiningDaily[[#This Row],[Blast_t]],"")</f>
        <v/>
      </c>
    </row>
    <row r="98">
      <c r="A98" s="54" t="n">
        <v>46115</v>
      </c>
      <c r="B98" s="55" t="n"/>
      <c r="C98" s="55" t="n"/>
      <c r="D98" s="55" t="n"/>
      <c r="E98" s="55" t="n"/>
      <c r="F98" s="55" t="n"/>
      <c r="G98" s="55" t="n"/>
      <c r="H98" s="58" t="n"/>
      <c r="I98" s="65">
        <f>IF(AND(tblMiningDaily[[#This Row],[Blast_t]]&lt;&gt;"",tblMiningDaily[[#This Row],[Blast_t]]&gt;0),tblMiningDaily[[#This Row],[Explosives_kg]]/tblMiningDaily[[#This Row],[Blast_t]],"")</f>
        <v/>
      </c>
    </row>
    <row r="99">
      <c r="A99" s="54" t="n">
        <v>46116</v>
      </c>
      <c r="B99" s="55" t="n"/>
      <c r="C99" s="55" t="n"/>
      <c r="D99" s="55" t="n"/>
      <c r="E99" s="55" t="n"/>
      <c r="F99" s="55" t="n"/>
      <c r="G99" s="55" t="n"/>
      <c r="H99" s="58" t="n"/>
      <c r="I99" s="65">
        <f>IF(AND(tblMiningDaily[[#This Row],[Blast_t]]&lt;&gt;"",tblMiningDaily[[#This Row],[Blast_t]]&gt;0),tblMiningDaily[[#This Row],[Explosives_kg]]/tblMiningDaily[[#This Row],[Blast_t]],"")</f>
        <v/>
      </c>
    </row>
    <row r="100">
      <c r="A100" s="54" t="n">
        <v>46117</v>
      </c>
      <c r="B100" s="55" t="n"/>
      <c r="C100" s="55" t="n"/>
      <c r="D100" s="55" t="n"/>
      <c r="E100" s="55" t="n"/>
      <c r="F100" s="55" t="n"/>
      <c r="G100" s="55" t="n"/>
      <c r="H100" s="58" t="n"/>
      <c r="I100" s="65">
        <f>IF(AND(tblMiningDaily[[#This Row],[Blast_t]]&lt;&gt;"",tblMiningDaily[[#This Row],[Blast_t]]&gt;0),tblMiningDaily[[#This Row],[Explosives_kg]]/tblMiningDaily[[#This Row],[Blast_t]],"")</f>
        <v/>
      </c>
    </row>
    <row r="101">
      <c r="A101" s="54" t="n">
        <v>46118</v>
      </c>
      <c r="B101" s="55" t="n"/>
      <c r="C101" s="55" t="n"/>
      <c r="D101" s="55" t="n"/>
      <c r="E101" s="55" t="n"/>
      <c r="F101" s="55" t="n"/>
      <c r="G101" s="55" t="n"/>
      <c r="H101" s="58" t="n"/>
      <c r="I101" s="65">
        <f>IF(AND(tblMiningDaily[[#This Row],[Blast_t]]&lt;&gt;"",tblMiningDaily[[#This Row],[Blast_t]]&gt;0),tblMiningDaily[[#This Row],[Explosives_kg]]/tblMiningDaily[[#This Row],[Blast_t]],"")</f>
        <v/>
      </c>
    </row>
    <row r="102">
      <c r="A102" s="54" t="n">
        <v>46119</v>
      </c>
      <c r="B102" s="55" t="n"/>
      <c r="C102" s="55" t="n"/>
      <c r="D102" s="55" t="n"/>
      <c r="E102" s="55" t="n"/>
      <c r="F102" s="55" t="n"/>
      <c r="G102" s="55" t="n"/>
      <c r="H102" s="58" t="n"/>
      <c r="I102" s="65">
        <f>IF(AND(tblMiningDaily[[#This Row],[Blast_t]]&lt;&gt;"",tblMiningDaily[[#This Row],[Blast_t]]&gt;0),tblMiningDaily[[#This Row],[Explosives_kg]]/tblMiningDaily[[#This Row],[Blast_t]],"")</f>
        <v/>
      </c>
    </row>
    <row r="103">
      <c r="A103" s="54" t="n">
        <v>46120</v>
      </c>
      <c r="B103" s="55" t="n"/>
      <c r="C103" s="55" t="n"/>
      <c r="D103" s="55" t="n"/>
      <c r="E103" s="55" t="n"/>
      <c r="F103" s="55" t="n"/>
      <c r="G103" s="55" t="n"/>
      <c r="H103" s="58" t="n"/>
      <c r="I103" s="65">
        <f>IF(AND(tblMiningDaily[[#This Row],[Blast_t]]&lt;&gt;"",tblMiningDaily[[#This Row],[Blast_t]]&gt;0),tblMiningDaily[[#This Row],[Explosives_kg]]/tblMiningDaily[[#This Row],[Blast_t]],"")</f>
        <v/>
      </c>
    </row>
    <row r="104">
      <c r="A104" s="54" t="n">
        <v>46121</v>
      </c>
      <c r="B104" s="55" t="n"/>
      <c r="C104" s="55" t="n"/>
      <c r="D104" s="55" t="n"/>
      <c r="E104" s="55" t="n"/>
      <c r="F104" s="55" t="n"/>
      <c r="G104" s="55" t="n"/>
      <c r="H104" s="58" t="n"/>
      <c r="I104" s="65">
        <f>IF(AND(tblMiningDaily[[#This Row],[Blast_t]]&lt;&gt;"",tblMiningDaily[[#This Row],[Blast_t]]&gt;0),tblMiningDaily[[#This Row],[Explosives_kg]]/tblMiningDaily[[#This Row],[Blast_t]],"")</f>
        <v/>
      </c>
    </row>
    <row r="105">
      <c r="A105" s="54" t="n">
        <v>46122</v>
      </c>
      <c r="B105" s="55" t="n"/>
      <c r="C105" s="55" t="n"/>
      <c r="D105" s="55" t="n"/>
      <c r="E105" s="55" t="n"/>
      <c r="F105" s="55" t="n"/>
      <c r="G105" s="55" t="n"/>
      <c r="H105" s="58" t="n"/>
      <c r="I105" s="65">
        <f>IF(AND(tblMiningDaily[[#This Row],[Blast_t]]&lt;&gt;"",tblMiningDaily[[#This Row],[Blast_t]]&gt;0),tblMiningDaily[[#This Row],[Explosives_kg]]/tblMiningDaily[[#This Row],[Blast_t]],"")</f>
        <v/>
      </c>
    </row>
    <row r="106">
      <c r="A106" s="54" t="n">
        <v>46123</v>
      </c>
      <c r="B106" s="55" t="n"/>
      <c r="C106" s="55" t="n"/>
      <c r="D106" s="55" t="n"/>
      <c r="E106" s="55" t="n"/>
      <c r="F106" s="55" t="n"/>
      <c r="G106" s="55" t="n"/>
      <c r="H106" s="58" t="n"/>
      <c r="I106" s="65">
        <f>IF(AND(tblMiningDaily[[#This Row],[Blast_t]]&lt;&gt;"",tblMiningDaily[[#This Row],[Blast_t]]&gt;0),tblMiningDaily[[#This Row],[Explosives_kg]]/tblMiningDaily[[#This Row],[Blast_t]],"")</f>
        <v/>
      </c>
    </row>
    <row r="107">
      <c r="A107" s="54" t="n">
        <v>46124</v>
      </c>
      <c r="B107" s="55" t="n"/>
      <c r="C107" s="55" t="n"/>
      <c r="D107" s="55" t="n"/>
      <c r="E107" s="55" t="n"/>
      <c r="F107" s="55" t="n"/>
      <c r="G107" s="55" t="n"/>
      <c r="H107" s="58" t="n"/>
      <c r="I107" s="65">
        <f>IF(AND(tblMiningDaily[[#This Row],[Blast_t]]&lt;&gt;"",tblMiningDaily[[#This Row],[Blast_t]]&gt;0),tblMiningDaily[[#This Row],[Explosives_kg]]/tblMiningDaily[[#This Row],[Blast_t]],"")</f>
        <v/>
      </c>
    </row>
    <row r="108">
      <c r="A108" s="54" t="n">
        <v>46125</v>
      </c>
      <c r="B108" s="55" t="n"/>
      <c r="C108" s="55" t="n"/>
      <c r="D108" s="55" t="n"/>
      <c r="E108" s="55" t="n"/>
      <c r="F108" s="55" t="n"/>
      <c r="G108" s="55" t="n"/>
      <c r="H108" s="58" t="n"/>
      <c r="I108" s="65">
        <f>IF(AND(tblMiningDaily[[#This Row],[Blast_t]]&lt;&gt;"",tblMiningDaily[[#This Row],[Blast_t]]&gt;0),tblMiningDaily[[#This Row],[Explosives_kg]]/tblMiningDaily[[#This Row],[Blast_t]],"")</f>
        <v/>
      </c>
    </row>
    <row r="109">
      <c r="A109" s="54" t="n">
        <v>46126</v>
      </c>
      <c r="B109" s="55" t="n"/>
      <c r="C109" s="55" t="n"/>
      <c r="D109" s="55" t="n"/>
      <c r="E109" s="55" t="n"/>
      <c r="F109" s="55" t="n"/>
      <c r="G109" s="55" t="n"/>
      <c r="H109" s="58" t="n"/>
      <c r="I109" s="65">
        <f>IF(AND(tblMiningDaily[[#This Row],[Blast_t]]&lt;&gt;"",tblMiningDaily[[#This Row],[Blast_t]]&gt;0),tblMiningDaily[[#This Row],[Explosives_kg]]/tblMiningDaily[[#This Row],[Blast_t]],"")</f>
        <v/>
      </c>
    </row>
    <row r="110">
      <c r="A110" s="54" t="n">
        <v>46127</v>
      </c>
      <c r="B110" s="55" t="n"/>
      <c r="C110" s="55" t="n"/>
      <c r="D110" s="55" t="n"/>
      <c r="E110" s="55" t="n"/>
      <c r="F110" s="55" t="n"/>
      <c r="G110" s="55" t="n"/>
      <c r="H110" s="58" t="n"/>
      <c r="I110" s="65">
        <f>IF(AND(tblMiningDaily[[#This Row],[Blast_t]]&lt;&gt;"",tblMiningDaily[[#This Row],[Blast_t]]&gt;0),tblMiningDaily[[#This Row],[Explosives_kg]]/tblMiningDaily[[#This Row],[Blast_t]],"")</f>
        <v/>
      </c>
    </row>
    <row r="111">
      <c r="A111" s="54" t="n">
        <v>46128</v>
      </c>
      <c r="B111" s="55" t="n"/>
      <c r="C111" s="55" t="n"/>
      <c r="D111" s="55" t="n"/>
      <c r="E111" s="55" t="n"/>
      <c r="F111" s="55" t="n"/>
      <c r="G111" s="55" t="n"/>
      <c r="H111" s="58" t="n"/>
      <c r="I111" s="65">
        <f>IF(AND(tblMiningDaily[[#This Row],[Blast_t]]&lt;&gt;"",tblMiningDaily[[#This Row],[Blast_t]]&gt;0),tblMiningDaily[[#This Row],[Explosives_kg]]/tblMiningDaily[[#This Row],[Blast_t]],"")</f>
        <v/>
      </c>
    </row>
    <row r="112">
      <c r="A112" s="54" t="n">
        <v>46129</v>
      </c>
      <c r="B112" s="55" t="n"/>
      <c r="C112" s="55" t="n"/>
      <c r="D112" s="55" t="n"/>
      <c r="E112" s="55" t="n"/>
      <c r="F112" s="55" t="n"/>
      <c r="G112" s="55" t="n"/>
      <c r="H112" s="58" t="n"/>
      <c r="I112" s="65">
        <f>IF(AND(tblMiningDaily[[#This Row],[Blast_t]]&lt;&gt;"",tblMiningDaily[[#This Row],[Blast_t]]&gt;0),tblMiningDaily[[#This Row],[Explosives_kg]]/tblMiningDaily[[#This Row],[Blast_t]],"")</f>
        <v/>
      </c>
    </row>
    <row r="113">
      <c r="A113" s="54" t="n">
        <v>46130</v>
      </c>
      <c r="B113" s="55" t="n"/>
      <c r="C113" s="55" t="n"/>
      <c r="D113" s="55" t="n"/>
      <c r="E113" s="55" t="n"/>
      <c r="F113" s="55" t="n"/>
      <c r="G113" s="55" t="n"/>
      <c r="H113" s="58" t="n"/>
      <c r="I113" s="65">
        <f>IF(AND(tblMiningDaily[[#This Row],[Blast_t]]&lt;&gt;"",tblMiningDaily[[#This Row],[Blast_t]]&gt;0),tblMiningDaily[[#This Row],[Explosives_kg]]/tblMiningDaily[[#This Row],[Blast_t]],"")</f>
        <v/>
      </c>
    </row>
    <row r="114">
      <c r="A114" s="54" t="n">
        <v>46131</v>
      </c>
      <c r="B114" s="55" t="n"/>
      <c r="C114" s="55" t="n"/>
      <c r="D114" s="55" t="n"/>
      <c r="E114" s="55" t="n"/>
      <c r="F114" s="55" t="n"/>
      <c r="G114" s="55" t="n"/>
      <c r="H114" s="58" t="n"/>
      <c r="I114" s="65">
        <f>IF(AND(tblMiningDaily[[#This Row],[Blast_t]]&lt;&gt;"",tblMiningDaily[[#This Row],[Blast_t]]&gt;0),tblMiningDaily[[#This Row],[Explosives_kg]]/tblMiningDaily[[#This Row],[Blast_t]],"")</f>
        <v/>
      </c>
    </row>
    <row r="115">
      <c r="A115" s="54" t="n">
        <v>46132</v>
      </c>
      <c r="B115" s="55" t="n"/>
      <c r="C115" s="55" t="n"/>
      <c r="D115" s="55" t="n"/>
      <c r="E115" s="55" t="n"/>
      <c r="F115" s="55" t="n"/>
      <c r="G115" s="55" t="n"/>
      <c r="H115" s="58" t="n"/>
      <c r="I115" s="65">
        <f>IF(AND(tblMiningDaily[[#This Row],[Blast_t]]&lt;&gt;"",tblMiningDaily[[#This Row],[Blast_t]]&gt;0),tblMiningDaily[[#This Row],[Explosives_kg]]/tblMiningDaily[[#This Row],[Blast_t]],"")</f>
        <v/>
      </c>
    </row>
    <row r="116">
      <c r="A116" s="54" t="n">
        <v>46133</v>
      </c>
      <c r="B116" s="55" t="n"/>
      <c r="C116" s="55" t="n"/>
      <c r="D116" s="55" t="n"/>
      <c r="E116" s="55" t="n"/>
      <c r="F116" s="55" t="n"/>
      <c r="G116" s="55" t="n"/>
      <c r="H116" s="58" t="n"/>
      <c r="I116" s="65">
        <f>IF(AND(tblMiningDaily[[#This Row],[Blast_t]]&lt;&gt;"",tblMiningDaily[[#This Row],[Blast_t]]&gt;0),tblMiningDaily[[#This Row],[Explosives_kg]]/tblMiningDaily[[#This Row],[Blast_t]],"")</f>
        <v/>
      </c>
    </row>
    <row r="117">
      <c r="A117" s="54" t="n">
        <v>46134</v>
      </c>
      <c r="B117" s="55" t="n"/>
      <c r="C117" s="55" t="n"/>
      <c r="D117" s="55" t="n"/>
      <c r="E117" s="55" t="n"/>
      <c r="F117" s="55" t="n"/>
      <c r="G117" s="55" t="n"/>
      <c r="H117" s="58" t="n"/>
      <c r="I117" s="65">
        <f>IF(AND(tblMiningDaily[[#This Row],[Blast_t]]&lt;&gt;"",tblMiningDaily[[#This Row],[Blast_t]]&gt;0),tblMiningDaily[[#This Row],[Explosives_kg]]/tblMiningDaily[[#This Row],[Blast_t]],"")</f>
        <v/>
      </c>
    </row>
    <row r="118">
      <c r="A118" s="54" t="n">
        <v>46135</v>
      </c>
      <c r="B118" s="55" t="n"/>
      <c r="C118" s="55" t="n"/>
      <c r="D118" s="55" t="n"/>
      <c r="E118" s="55" t="n"/>
      <c r="F118" s="55" t="n"/>
      <c r="G118" s="55" t="n"/>
      <c r="H118" s="58" t="n"/>
      <c r="I118" s="65">
        <f>IF(AND(tblMiningDaily[[#This Row],[Blast_t]]&lt;&gt;"",tblMiningDaily[[#This Row],[Blast_t]]&gt;0),tblMiningDaily[[#This Row],[Explosives_kg]]/tblMiningDaily[[#This Row],[Blast_t]],"")</f>
        <v/>
      </c>
    </row>
    <row r="119">
      <c r="A119" s="54" t="n">
        <v>46136</v>
      </c>
      <c r="B119" s="55" t="n"/>
      <c r="C119" s="55" t="n"/>
      <c r="D119" s="55" t="n"/>
      <c r="E119" s="55" t="n"/>
      <c r="F119" s="55" t="n"/>
      <c r="G119" s="55" t="n"/>
      <c r="H119" s="58" t="n"/>
      <c r="I119" s="65">
        <f>IF(AND(tblMiningDaily[[#This Row],[Blast_t]]&lt;&gt;"",tblMiningDaily[[#This Row],[Blast_t]]&gt;0),tblMiningDaily[[#This Row],[Explosives_kg]]/tblMiningDaily[[#This Row],[Blast_t]],"")</f>
        <v/>
      </c>
    </row>
    <row r="120">
      <c r="A120" s="54" t="n">
        <v>46137</v>
      </c>
      <c r="B120" s="55" t="n"/>
      <c r="C120" s="55" t="n"/>
      <c r="D120" s="55" t="n"/>
      <c r="E120" s="55" t="n"/>
      <c r="F120" s="55" t="n"/>
      <c r="G120" s="55" t="n"/>
      <c r="H120" s="58" t="n"/>
      <c r="I120" s="65">
        <f>IF(AND(tblMiningDaily[[#This Row],[Blast_t]]&lt;&gt;"",tblMiningDaily[[#This Row],[Blast_t]]&gt;0),tblMiningDaily[[#This Row],[Explosives_kg]]/tblMiningDaily[[#This Row],[Blast_t]],"")</f>
        <v/>
      </c>
    </row>
    <row r="121">
      <c r="A121" s="54" t="n">
        <v>46138</v>
      </c>
      <c r="B121" s="55" t="n"/>
      <c r="C121" s="55" t="n"/>
      <c r="D121" s="55" t="n"/>
      <c r="E121" s="55" t="n"/>
      <c r="F121" s="55" t="n"/>
      <c r="G121" s="55" t="n"/>
      <c r="H121" s="58" t="n"/>
      <c r="I121" s="65">
        <f>IF(AND(tblMiningDaily[[#This Row],[Blast_t]]&lt;&gt;"",tblMiningDaily[[#This Row],[Blast_t]]&gt;0),tblMiningDaily[[#This Row],[Explosives_kg]]/tblMiningDaily[[#This Row],[Blast_t]],"")</f>
        <v/>
      </c>
    </row>
    <row r="122">
      <c r="A122" s="54" t="n">
        <v>46139</v>
      </c>
      <c r="B122" s="55" t="n"/>
      <c r="C122" s="55" t="n"/>
      <c r="D122" s="55" t="n"/>
      <c r="E122" s="55" t="n"/>
      <c r="F122" s="55" t="n"/>
      <c r="G122" s="55" t="n"/>
      <c r="H122" s="58" t="n"/>
      <c r="I122" s="65">
        <f>IF(AND(tblMiningDaily[[#This Row],[Blast_t]]&lt;&gt;"",tblMiningDaily[[#This Row],[Blast_t]]&gt;0),tblMiningDaily[[#This Row],[Explosives_kg]]/tblMiningDaily[[#This Row],[Blast_t]],"")</f>
        <v/>
      </c>
    </row>
    <row r="123">
      <c r="A123" s="54" t="n">
        <v>46140</v>
      </c>
      <c r="B123" s="55" t="n"/>
      <c r="C123" s="55" t="n"/>
      <c r="D123" s="55" t="n"/>
      <c r="E123" s="55" t="n"/>
      <c r="F123" s="55" t="n"/>
      <c r="G123" s="55" t="n"/>
      <c r="H123" s="58" t="n"/>
      <c r="I123" s="65">
        <f>IF(AND(tblMiningDaily[[#This Row],[Blast_t]]&lt;&gt;"",tblMiningDaily[[#This Row],[Blast_t]]&gt;0),tblMiningDaily[[#This Row],[Explosives_kg]]/tblMiningDaily[[#This Row],[Blast_t]],"")</f>
        <v/>
      </c>
    </row>
    <row r="124">
      <c r="A124" s="54" t="n">
        <v>46141</v>
      </c>
      <c r="B124" s="55" t="n"/>
      <c r="C124" s="55" t="n"/>
      <c r="D124" s="55" t="n"/>
      <c r="E124" s="55" t="n"/>
      <c r="F124" s="55" t="n"/>
      <c r="G124" s="55" t="n"/>
      <c r="H124" s="58" t="n"/>
      <c r="I124" s="65">
        <f>IF(AND(tblMiningDaily[[#This Row],[Blast_t]]&lt;&gt;"",tblMiningDaily[[#This Row],[Blast_t]]&gt;0),tblMiningDaily[[#This Row],[Explosives_kg]]/tblMiningDaily[[#This Row],[Blast_t]],"")</f>
        <v/>
      </c>
    </row>
    <row r="125">
      <c r="A125" s="54" t="n">
        <v>46142</v>
      </c>
      <c r="B125" s="55" t="n"/>
      <c r="C125" s="55" t="n"/>
      <c r="D125" s="55" t="n"/>
      <c r="E125" s="55" t="n"/>
      <c r="F125" s="55" t="n"/>
      <c r="G125" s="55" t="n"/>
      <c r="H125" s="58" t="n"/>
      <c r="I125" s="65">
        <f>IF(AND(tblMiningDaily[[#This Row],[Blast_t]]&lt;&gt;"",tblMiningDaily[[#This Row],[Blast_t]]&gt;0),tblMiningDaily[[#This Row],[Explosives_kg]]/tblMiningDaily[[#This Row],[Blast_t]],"")</f>
        <v/>
      </c>
    </row>
    <row r="126">
      <c r="A126" s="54" t="n">
        <v>46143</v>
      </c>
      <c r="B126" s="55" t="n"/>
      <c r="C126" s="55" t="n"/>
      <c r="D126" s="55" t="n"/>
      <c r="E126" s="55" t="n"/>
      <c r="F126" s="55" t="n"/>
      <c r="G126" s="55" t="n"/>
      <c r="H126" s="58" t="n"/>
      <c r="I126" s="65">
        <f>IF(AND(tblMiningDaily[[#This Row],[Blast_t]]&lt;&gt;"",tblMiningDaily[[#This Row],[Blast_t]]&gt;0),tblMiningDaily[[#This Row],[Explosives_kg]]/tblMiningDaily[[#This Row],[Blast_t]],"")</f>
        <v/>
      </c>
    </row>
    <row r="127">
      <c r="A127" s="54" t="n">
        <v>46144</v>
      </c>
      <c r="B127" s="55" t="n"/>
      <c r="C127" s="55" t="n"/>
      <c r="D127" s="55" t="n"/>
      <c r="E127" s="55" t="n"/>
      <c r="F127" s="55" t="n"/>
      <c r="G127" s="55" t="n"/>
      <c r="H127" s="58" t="n"/>
      <c r="I127" s="65">
        <f>IF(AND(tblMiningDaily[[#This Row],[Blast_t]]&lt;&gt;"",tblMiningDaily[[#This Row],[Blast_t]]&gt;0),tblMiningDaily[[#This Row],[Explosives_kg]]/tblMiningDaily[[#This Row],[Blast_t]],"")</f>
        <v/>
      </c>
    </row>
    <row r="128">
      <c r="A128" s="54" t="n">
        <v>46145</v>
      </c>
      <c r="B128" s="55" t="n"/>
      <c r="C128" s="55" t="n"/>
      <c r="D128" s="55" t="n"/>
      <c r="E128" s="55" t="n"/>
      <c r="F128" s="55" t="n"/>
      <c r="G128" s="55" t="n"/>
      <c r="H128" s="58" t="n"/>
      <c r="I128" s="65">
        <f>IF(AND(tblMiningDaily[[#This Row],[Blast_t]]&lt;&gt;"",tblMiningDaily[[#This Row],[Blast_t]]&gt;0),tblMiningDaily[[#This Row],[Explosives_kg]]/tblMiningDaily[[#This Row],[Blast_t]],"")</f>
        <v/>
      </c>
    </row>
    <row r="129">
      <c r="A129" s="54" t="n">
        <v>46146</v>
      </c>
      <c r="B129" s="55" t="n"/>
      <c r="C129" s="55" t="n"/>
      <c r="D129" s="55" t="n"/>
      <c r="E129" s="55" t="n"/>
      <c r="F129" s="55" t="n"/>
      <c r="G129" s="55" t="n"/>
      <c r="H129" s="58" t="n"/>
      <c r="I129" s="65">
        <f>IF(AND(tblMiningDaily[[#This Row],[Blast_t]]&lt;&gt;"",tblMiningDaily[[#This Row],[Blast_t]]&gt;0),tblMiningDaily[[#This Row],[Explosives_kg]]/tblMiningDaily[[#This Row],[Blast_t]],"")</f>
        <v/>
      </c>
    </row>
    <row r="130">
      <c r="A130" s="54" t="n">
        <v>46147</v>
      </c>
      <c r="B130" s="55" t="n"/>
      <c r="C130" s="55" t="n"/>
      <c r="D130" s="55" t="n"/>
      <c r="E130" s="55" t="n"/>
      <c r="F130" s="55" t="n"/>
      <c r="G130" s="55" t="n"/>
      <c r="H130" s="58" t="n"/>
      <c r="I130" s="65">
        <f>IF(AND(tblMiningDaily[[#This Row],[Blast_t]]&lt;&gt;"",tblMiningDaily[[#This Row],[Blast_t]]&gt;0),tblMiningDaily[[#This Row],[Explosives_kg]]/tblMiningDaily[[#This Row],[Blast_t]],"")</f>
        <v/>
      </c>
    </row>
    <row r="131">
      <c r="A131" s="54" t="n">
        <v>46148</v>
      </c>
      <c r="B131" s="55" t="n"/>
      <c r="C131" s="55" t="n"/>
      <c r="D131" s="55" t="n"/>
      <c r="E131" s="55" t="n"/>
      <c r="F131" s="55" t="n"/>
      <c r="G131" s="55" t="n"/>
      <c r="H131" s="58" t="n"/>
      <c r="I131" s="65">
        <f>IF(AND(tblMiningDaily[[#This Row],[Blast_t]]&lt;&gt;"",tblMiningDaily[[#This Row],[Blast_t]]&gt;0),tblMiningDaily[[#This Row],[Explosives_kg]]/tblMiningDaily[[#This Row],[Blast_t]],"")</f>
        <v/>
      </c>
    </row>
    <row r="132">
      <c r="A132" s="54" t="n">
        <v>46149</v>
      </c>
      <c r="B132" s="55" t="n"/>
      <c r="C132" s="55" t="n"/>
      <c r="D132" s="55" t="n"/>
      <c r="E132" s="55" t="n"/>
      <c r="F132" s="55" t="n"/>
      <c r="G132" s="55" t="n"/>
      <c r="H132" s="58" t="n"/>
      <c r="I132" s="65">
        <f>IF(AND(tblMiningDaily[[#This Row],[Blast_t]]&lt;&gt;"",tblMiningDaily[[#This Row],[Blast_t]]&gt;0),tblMiningDaily[[#This Row],[Explosives_kg]]/tblMiningDaily[[#This Row],[Blast_t]],"")</f>
        <v/>
      </c>
    </row>
    <row r="133">
      <c r="A133" s="54" t="n">
        <v>46150</v>
      </c>
      <c r="B133" s="55" t="n"/>
      <c r="C133" s="55" t="n"/>
      <c r="D133" s="55" t="n"/>
      <c r="E133" s="55" t="n"/>
      <c r="F133" s="55" t="n"/>
      <c r="G133" s="55" t="n"/>
      <c r="H133" s="58" t="n"/>
      <c r="I133" s="65">
        <f>IF(AND(tblMiningDaily[[#This Row],[Blast_t]]&lt;&gt;"",tblMiningDaily[[#This Row],[Blast_t]]&gt;0),tblMiningDaily[[#This Row],[Explosives_kg]]/tblMiningDaily[[#This Row],[Blast_t]],"")</f>
        <v/>
      </c>
    </row>
    <row r="134">
      <c r="A134" s="54" t="n">
        <v>46151</v>
      </c>
      <c r="B134" s="55" t="n"/>
      <c r="C134" s="55" t="n"/>
      <c r="D134" s="55" t="n"/>
      <c r="E134" s="55" t="n"/>
      <c r="F134" s="55" t="n"/>
      <c r="G134" s="55" t="n"/>
      <c r="H134" s="58" t="n"/>
      <c r="I134" s="65">
        <f>IF(AND(tblMiningDaily[[#This Row],[Blast_t]]&lt;&gt;"",tblMiningDaily[[#This Row],[Blast_t]]&gt;0),tblMiningDaily[[#This Row],[Explosives_kg]]/tblMiningDaily[[#This Row],[Blast_t]],"")</f>
        <v/>
      </c>
    </row>
    <row r="135">
      <c r="A135" s="54" t="n">
        <v>46152</v>
      </c>
      <c r="B135" s="55" t="n"/>
      <c r="C135" s="55" t="n"/>
      <c r="D135" s="55" t="n"/>
      <c r="E135" s="55" t="n"/>
      <c r="F135" s="55" t="n"/>
      <c r="G135" s="55" t="n"/>
      <c r="H135" s="58" t="n"/>
      <c r="I135" s="65">
        <f>IF(AND(tblMiningDaily[[#This Row],[Blast_t]]&lt;&gt;"",tblMiningDaily[[#This Row],[Blast_t]]&gt;0),tblMiningDaily[[#This Row],[Explosives_kg]]/tblMiningDaily[[#This Row],[Blast_t]],"")</f>
        <v/>
      </c>
    </row>
    <row r="136">
      <c r="A136" s="54" t="n">
        <v>46153</v>
      </c>
      <c r="B136" s="55" t="n"/>
      <c r="C136" s="55" t="n"/>
      <c r="D136" s="55" t="n"/>
      <c r="E136" s="55" t="n"/>
      <c r="F136" s="55" t="n"/>
      <c r="G136" s="55" t="n"/>
      <c r="H136" s="58" t="n"/>
      <c r="I136" s="65">
        <f>IF(AND(tblMiningDaily[[#This Row],[Blast_t]]&lt;&gt;"",tblMiningDaily[[#This Row],[Blast_t]]&gt;0),tblMiningDaily[[#This Row],[Explosives_kg]]/tblMiningDaily[[#This Row],[Blast_t]],"")</f>
        <v/>
      </c>
    </row>
    <row r="137">
      <c r="A137" s="54" t="n">
        <v>46154</v>
      </c>
      <c r="B137" s="55" t="n"/>
      <c r="C137" s="55" t="n"/>
      <c r="D137" s="55" t="n"/>
      <c r="E137" s="55" t="n"/>
      <c r="F137" s="55" t="n"/>
      <c r="G137" s="55" t="n"/>
      <c r="H137" s="58" t="n"/>
      <c r="I137" s="65">
        <f>IF(AND(tblMiningDaily[[#This Row],[Blast_t]]&lt;&gt;"",tblMiningDaily[[#This Row],[Blast_t]]&gt;0),tblMiningDaily[[#This Row],[Explosives_kg]]/tblMiningDaily[[#This Row],[Blast_t]],"")</f>
        <v/>
      </c>
    </row>
    <row r="138">
      <c r="A138" s="54" t="n">
        <v>46155</v>
      </c>
      <c r="B138" s="55" t="n"/>
      <c r="C138" s="55" t="n"/>
      <c r="D138" s="55" t="n"/>
      <c r="E138" s="55" t="n"/>
      <c r="F138" s="55" t="n"/>
      <c r="G138" s="55" t="n"/>
      <c r="H138" s="58" t="n"/>
      <c r="I138" s="65">
        <f>IF(AND(tblMiningDaily[[#This Row],[Blast_t]]&lt;&gt;"",tblMiningDaily[[#This Row],[Blast_t]]&gt;0),tblMiningDaily[[#This Row],[Explosives_kg]]/tblMiningDaily[[#This Row],[Blast_t]],"")</f>
        <v/>
      </c>
    </row>
    <row r="139">
      <c r="A139" s="54" t="n">
        <v>46156</v>
      </c>
      <c r="B139" s="55" t="n"/>
      <c r="C139" s="55" t="n"/>
      <c r="D139" s="55" t="n"/>
      <c r="E139" s="55" t="n"/>
      <c r="F139" s="55" t="n"/>
      <c r="G139" s="55" t="n"/>
      <c r="H139" s="58" t="n"/>
      <c r="I139" s="65">
        <f>IF(AND(tblMiningDaily[[#This Row],[Blast_t]]&lt;&gt;"",tblMiningDaily[[#This Row],[Blast_t]]&gt;0),tblMiningDaily[[#This Row],[Explosives_kg]]/tblMiningDaily[[#This Row],[Blast_t]],"")</f>
        <v/>
      </c>
    </row>
    <row r="140">
      <c r="A140" s="54" t="n">
        <v>46157</v>
      </c>
      <c r="B140" s="55" t="n"/>
      <c r="C140" s="55" t="n"/>
      <c r="D140" s="55" t="n"/>
      <c r="E140" s="55" t="n"/>
      <c r="F140" s="55" t="n"/>
      <c r="G140" s="55" t="n"/>
      <c r="H140" s="58" t="n"/>
      <c r="I140" s="65">
        <f>IF(AND(tblMiningDaily[[#This Row],[Blast_t]]&lt;&gt;"",tblMiningDaily[[#This Row],[Blast_t]]&gt;0),tblMiningDaily[[#This Row],[Explosives_kg]]/tblMiningDaily[[#This Row],[Blast_t]],"")</f>
        <v/>
      </c>
    </row>
    <row r="141">
      <c r="A141" s="54" t="n">
        <v>46158</v>
      </c>
      <c r="B141" s="55" t="n"/>
      <c r="C141" s="55" t="n"/>
      <c r="D141" s="55" t="n"/>
      <c r="E141" s="55" t="n"/>
      <c r="F141" s="55" t="n"/>
      <c r="G141" s="55" t="n"/>
      <c r="H141" s="58" t="n"/>
      <c r="I141" s="65">
        <f>IF(AND(tblMiningDaily[[#This Row],[Blast_t]]&lt;&gt;"",tblMiningDaily[[#This Row],[Blast_t]]&gt;0),tblMiningDaily[[#This Row],[Explosives_kg]]/tblMiningDaily[[#This Row],[Blast_t]],"")</f>
        <v/>
      </c>
    </row>
    <row r="142">
      <c r="A142" s="54" t="n">
        <v>46159</v>
      </c>
      <c r="B142" s="55" t="n"/>
      <c r="C142" s="55" t="n"/>
      <c r="D142" s="55" t="n"/>
      <c r="E142" s="55" t="n"/>
      <c r="F142" s="55" t="n"/>
      <c r="G142" s="55" t="n"/>
      <c r="H142" s="58" t="n"/>
      <c r="I142" s="65">
        <f>IF(AND(tblMiningDaily[[#This Row],[Blast_t]]&lt;&gt;"",tblMiningDaily[[#This Row],[Blast_t]]&gt;0),tblMiningDaily[[#This Row],[Explosives_kg]]/tblMiningDaily[[#This Row],[Blast_t]],"")</f>
        <v/>
      </c>
    </row>
    <row r="143">
      <c r="A143" s="54" t="n">
        <v>46160</v>
      </c>
      <c r="B143" s="55" t="n"/>
      <c r="C143" s="55" t="n"/>
      <c r="D143" s="55" t="n"/>
      <c r="E143" s="55" t="n"/>
      <c r="F143" s="55" t="n"/>
      <c r="G143" s="55" t="n"/>
      <c r="H143" s="58" t="n"/>
      <c r="I143" s="65">
        <f>IF(AND(tblMiningDaily[[#This Row],[Blast_t]]&lt;&gt;"",tblMiningDaily[[#This Row],[Blast_t]]&gt;0),tblMiningDaily[[#This Row],[Explosives_kg]]/tblMiningDaily[[#This Row],[Blast_t]],"")</f>
        <v/>
      </c>
    </row>
    <row r="144">
      <c r="A144" s="54" t="n">
        <v>46161</v>
      </c>
      <c r="B144" s="55" t="n"/>
      <c r="C144" s="55" t="n"/>
      <c r="D144" s="55" t="n"/>
      <c r="E144" s="55" t="n"/>
      <c r="F144" s="55" t="n"/>
      <c r="G144" s="55" t="n"/>
      <c r="H144" s="58" t="n"/>
      <c r="I144" s="65">
        <f>IF(AND(tblMiningDaily[[#This Row],[Blast_t]]&lt;&gt;"",tblMiningDaily[[#This Row],[Blast_t]]&gt;0),tblMiningDaily[[#This Row],[Explosives_kg]]/tblMiningDaily[[#This Row],[Blast_t]],"")</f>
        <v/>
      </c>
    </row>
    <row r="145">
      <c r="A145" s="54" t="n">
        <v>46162</v>
      </c>
      <c r="B145" s="55" t="n"/>
      <c r="C145" s="55" t="n"/>
      <c r="D145" s="55" t="n"/>
      <c r="E145" s="55" t="n"/>
      <c r="F145" s="55" t="n"/>
      <c r="G145" s="55" t="n"/>
      <c r="H145" s="58" t="n"/>
      <c r="I145" s="65">
        <f>IF(AND(tblMiningDaily[[#This Row],[Blast_t]]&lt;&gt;"",tblMiningDaily[[#This Row],[Blast_t]]&gt;0),tblMiningDaily[[#This Row],[Explosives_kg]]/tblMiningDaily[[#This Row],[Blast_t]],"")</f>
        <v/>
      </c>
    </row>
    <row r="146">
      <c r="A146" s="54" t="n">
        <v>46163</v>
      </c>
      <c r="B146" s="55" t="n"/>
      <c r="C146" s="55" t="n"/>
      <c r="D146" s="55" t="n"/>
      <c r="E146" s="55" t="n"/>
      <c r="F146" s="55" t="n"/>
      <c r="G146" s="55" t="n"/>
      <c r="H146" s="58" t="n"/>
      <c r="I146" s="65">
        <f>IF(AND(tblMiningDaily[[#This Row],[Blast_t]]&lt;&gt;"",tblMiningDaily[[#This Row],[Blast_t]]&gt;0),tblMiningDaily[[#This Row],[Explosives_kg]]/tblMiningDaily[[#This Row],[Blast_t]],"")</f>
        <v/>
      </c>
    </row>
    <row r="147">
      <c r="A147" s="54" t="n">
        <v>46164</v>
      </c>
      <c r="B147" s="55" t="n"/>
      <c r="C147" s="55" t="n"/>
      <c r="D147" s="55" t="n"/>
      <c r="E147" s="55" t="n"/>
      <c r="F147" s="55" t="n"/>
      <c r="G147" s="55" t="n"/>
      <c r="H147" s="58" t="n"/>
      <c r="I147" s="65">
        <f>IF(AND(tblMiningDaily[[#This Row],[Blast_t]]&lt;&gt;"",tblMiningDaily[[#This Row],[Blast_t]]&gt;0),tblMiningDaily[[#This Row],[Explosives_kg]]/tblMiningDaily[[#This Row],[Blast_t]],"")</f>
        <v/>
      </c>
    </row>
    <row r="148">
      <c r="A148" s="54" t="n">
        <v>46165</v>
      </c>
      <c r="B148" s="55" t="n"/>
      <c r="C148" s="55" t="n"/>
      <c r="D148" s="55" t="n"/>
      <c r="E148" s="55" t="n"/>
      <c r="F148" s="55" t="n"/>
      <c r="G148" s="55" t="n"/>
      <c r="H148" s="58" t="n"/>
      <c r="I148" s="65">
        <f>IF(AND(tblMiningDaily[[#This Row],[Blast_t]]&lt;&gt;"",tblMiningDaily[[#This Row],[Blast_t]]&gt;0),tblMiningDaily[[#This Row],[Explosives_kg]]/tblMiningDaily[[#This Row],[Blast_t]],"")</f>
        <v/>
      </c>
    </row>
    <row r="149">
      <c r="A149" s="54" t="n">
        <v>46166</v>
      </c>
      <c r="B149" s="55" t="n"/>
      <c r="C149" s="55" t="n"/>
      <c r="D149" s="55" t="n"/>
      <c r="E149" s="55" t="n"/>
      <c r="F149" s="55" t="n"/>
      <c r="G149" s="55" t="n"/>
      <c r="H149" s="58" t="n"/>
      <c r="I149" s="65">
        <f>IF(AND(tblMiningDaily[[#This Row],[Blast_t]]&lt;&gt;"",tblMiningDaily[[#This Row],[Blast_t]]&gt;0),tblMiningDaily[[#This Row],[Explosives_kg]]/tblMiningDaily[[#This Row],[Blast_t]],"")</f>
        <v/>
      </c>
    </row>
    <row r="150">
      <c r="A150" s="54" t="n">
        <v>46167</v>
      </c>
      <c r="B150" s="55" t="n"/>
      <c r="C150" s="55" t="n"/>
      <c r="D150" s="55" t="n"/>
      <c r="E150" s="55" t="n"/>
      <c r="F150" s="55" t="n"/>
      <c r="G150" s="55" t="n"/>
      <c r="H150" s="58" t="n"/>
      <c r="I150" s="65">
        <f>IF(AND(tblMiningDaily[[#This Row],[Blast_t]]&lt;&gt;"",tblMiningDaily[[#This Row],[Blast_t]]&gt;0),tblMiningDaily[[#This Row],[Explosives_kg]]/tblMiningDaily[[#This Row],[Blast_t]],"")</f>
        <v/>
      </c>
    </row>
    <row r="151">
      <c r="A151" s="54" t="n">
        <v>46168</v>
      </c>
      <c r="B151" s="55" t="n"/>
      <c r="C151" s="55" t="n"/>
      <c r="D151" s="55" t="n"/>
      <c r="E151" s="55" t="n"/>
      <c r="F151" s="55" t="n"/>
      <c r="G151" s="55" t="n"/>
      <c r="H151" s="58" t="n"/>
      <c r="I151" s="65">
        <f>IF(AND(tblMiningDaily[[#This Row],[Blast_t]]&lt;&gt;"",tblMiningDaily[[#This Row],[Blast_t]]&gt;0),tblMiningDaily[[#This Row],[Explosives_kg]]/tblMiningDaily[[#This Row],[Blast_t]],"")</f>
        <v/>
      </c>
    </row>
    <row r="152">
      <c r="A152" s="54" t="n">
        <v>46169</v>
      </c>
      <c r="B152" s="55" t="n"/>
      <c r="C152" s="55" t="n"/>
      <c r="D152" s="55" t="n"/>
      <c r="E152" s="55" t="n"/>
      <c r="F152" s="55" t="n"/>
      <c r="G152" s="55" t="n"/>
      <c r="H152" s="58" t="n"/>
      <c r="I152" s="65">
        <f>IF(AND(tblMiningDaily[[#This Row],[Blast_t]]&lt;&gt;"",tblMiningDaily[[#This Row],[Blast_t]]&gt;0),tblMiningDaily[[#This Row],[Explosives_kg]]/tblMiningDaily[[#This Row],[Blast_t]],"")</f>
        <v/>
      </c>
    </row>
    <row r="153">
      <c r="A153" s="54" t="n">
        <v>46170</v>
      </c>
      <c r="B153" s="55" t="n"/>
      <c r="C153" s="55" t="n"/>
      <c r="D153" s="55" t="n"/>
      <c r="E153" s="55" t="n"/>
      <c r="F153" s="55" t="n"/>
      <c r="G153" s="55" t="n"/>
      <c r="H153" s="58" t="n"/>
      <c r="I153" s="65">
        <f>IF(AND(tblMiningDaily[[#This Row],[Blast_t]]&lt;&gt;"",tblMiningDaily[[#This Row],[Blast_t]]&gt;0),tblMiningDaily[[#This Row],[Explosives_kg]]/tblMiningDaily[[#This Row],[Blast_t]],"")</f>
        <v/>
      </c>
    </row>
    <row r="154">
      <c r="A154" s="54" t="n">
        <v>46171</v>
      </c>
      <c r="B154" s="55" t="n"/>
      <c r="C154" s="55" t="n"/>
      <c r="D154" s="55" t="n"/>
      <c r="E154" s="55" t="n"/>
      <c r="F154" s="55" t="n"/>
      <c r="G154" s="55" t="n"/>
      <c r="H154" s="58" t="n"/>
      <c r="I154" s="65">
        <f>IF(AND(tblMiningDaily[[#This Row],[Blast_t]]&lt;&gt;"",tblMiningDaily[[#This Row],[Blast_t]]&gt;0),tblMiningDaily[[#This Row],[Explosives_kg]]/tblMiningDaily[[#This Row],[Blast_t]],"")</f>
        <v/>
      </c>
    </row>
    <row r="155">
      <c r="A155" s="54" t="n">
        <v>46172</v>
      </c>
      <c r="B155" s="55" t="n"/>
      <c r="C155" s="55" t="n"/>
      <c r="D155" s="55" t="n"/>
      <c r="E155" s="55" t="n"/>
      <c r="F155" s="55" t="n"/>
      <c r="G155" s="55" t="n"/>
      <c r="H155" s="58" t="n"/>
      <c r="I155" s="65">
        <f>IF(AND(tblMiningDaily[[#This Row],[Blast_t]]&lt;&gt;"",tblMiningDaily[[#This Row],[Blast_t]]&gt;0),tblMiningDaily[[#This Row],[Explosives_kg]]/tblMiningDaily[[#This Row],[Blast_t]],"")</f>
        <v/>
      </c>
    </row>
    <row r="156">
      <c r="A156" s="54" t="n">
        <v>46173</v>
      </c>
      <c r="B156" s="55" t="n"/>
      <c r="C156" s="55" t="n"/>
      <c r="D156" s="55" t="n"/>
      <c r="E156" s="55" t="n"/>
      <c r="F156" s="55" t="n"/>
      <c r="G156" s="55" t="n"/>
      <c r="H156" s="58" t="n"/>
      <c r="I156" s="65">
        <f>IF(AND(tblMiningDaily[[#This Row],[Blast_t]]&lt;&gt;"",tblMiningDaily[[#This Row],[Blast_t]]&gt;0),tblMiningDaily[[#This Row],[Explosives_kg]]/tblMiningDaily[[#This Row],[Blast_t]],"")</f>
        <v/>
      </c>
    </row>
    <row r="157">
      <c r="A157" s="54" t="n">
        <v>46174</v>
      </c>
      <c r="B157" s="55" t="n"/>
      <c r="C157" s="55" t="n"/>
      <c r="D157" s="55" t="n"/>
      <c r="E157" s="55" t="n"/>
      <c r="F157" s="55" t="n"/>
      <c r="G157" s="55" t="n"/>
      <c r="H157" s="58" t="n"/>
      <c r="I157" s="65">
        <f>IF(AND(tblMiningDaily[[#This Row],[Blast_t]]&lt;&gt;"",tblMiningDaily[[#This Row],[Blast_t]]&gt;0),tblMiningDaily[[#This Row],[Explosives_kg]]/tblMiningDaily[[#This Row],[Blast_t]],"")</f>
        <v/>
      </c>
    </row>
    <row r="158">
      <c r="A158" s="54" t="n">
        <v>46175</v>
      </c>
      <c r="B158" s="55" t="n"/>
      <c r="C158" s="55" t="n"/>
      <c r="D158" s="55" t="n"/>
      <c r="E158" s="55" t="n"/>
      <c r="F158" s="55" t="n"/>
      <c r="G158" s="55" t="n"/>
      <c r="H158" s="58" t="n"/>
      <c r="I158" s="65">
        <f>IF(AND(tblMiningDaily[[#This Row],[Blast_t]]&lt;&gt;"",tblMiningDaily[[#This Row],[Blast_t]]&gt;0),tblMiningDaily[[#This Row],[Explosives_kg]]/tblMiningDaily[[#This Row],[Blast_t]],"")</f>
        <v/>
      </c>
    </row>
    <row r="159">
      <c r="A159" s="54" t="n">
        <v>46176</v>
      </c>
      <c r="B159" s="55" t="n"/>
      <c r="C159" s="55" t="n"/>
      <c r="D159" s="55" t="n"/>
      <c r="E159" s="55" t="n"/>
      <c r="F159" s="55" t="n"/>
      <c r="G159" s="55" t="n"/>
      <c r="H159" s="58" t="n"/>
      <c r="I159" s="65">
        <f>IF(AND(tblMiningDaily[[#This Row],[Blast_t]]&lt;&gt;"",tblMiningDaily[[#This Row],[Blast_t]]&gt;0),tblMiningDaily[[#This Row],[Explosives_kg]]/tblMiningDaily[[#This Row],[Blast_t]],"")</f>
        <v/>
      </c>
    </row>
    <row r="160">
      <c r="A160" s="54" t="n">
        <v>46177</v>
      </c>
      <c r="B160" s="55" t="n"/>
      <c r="C160" s="55" t="n"/>
      <c r="D160" s="55" t="n"/>
      <c r="E160" s="55" t="n"/>
      <c r="F160" s="55" t="n"/>
      <c r="G160" s="55" t="n"/>
      <c r="H160" s="58" t="n"/>
      <c r="I160" s="65">
        <f>IF(AND(tblMiningDaily[[#This Row],[Blast_t]]&lt;&gt;"",tblMiningDaily[[#This Row],[Blast_t]]&gt;0),tblMiningDaily[[#This Row],[Explosives_kg]]/tblMiningDaily[[#This Row],[Blast_t]],"")</f>
        <v/>
      </c>
    </row>
    <row r="161">
      <c r="A161" s="54" t="n">
        <v>46178</v>
      </c>
      <c r="B161" s="55" t="n"/>
      <c r="C161" s="55" t="n"/>
      <c r="D161" s="55" t="n"/>
      <c r="E161" s="55" t="n"/>
      <c r="F161" s="55" t="n"/>
      <c r="G161" s="55" t="n"/>
      <c r="H161" s="58" t="n"/>
      <c r="I161" s="65">
        <f>IF(AND(tblMiningDaily[[#This Row],[Blast_t]]&lt;&gt;"",tblMiningDaily[[#This Row],[Blast_t]]&gt;0),tblMiningDaily[[#This Row],[Explosives_kg]]/tblMiningDaily[[#This Row],[Blast_t]],"")</f>
        <v/>
      </c>
    </row>
    <row r="162">
      <c r="A162" s="54" t="n">
        <v>46179</v>
      </c>
      <c r="B162" s="55" t="n"/>
      <c r="C162" s="55" t="n"/>
      <c r="D162" s="55" t="n"/>
      <c r="E162" s="55" t="n"/>
      <c r="F162" s="55" t="n"/>
      <c r="G162" s="55" t="n"/>
      <c r="H162" s="58" t="n"/>
      <c r="I162" s="65">
        <f>IF(AND(tblMiningDaily[[#This Row],[Blast_t]]&lt;&gt;"",tblMiningDaily[[#This Row],[Blast_t]]&gt;0),tblMiningDaily[[#This Row],[Explosives_kg]]/tblMiningDaily[[#This Row],[Blast_t]],"")</f>
        <v/>
      </c>
    </row>
    <row r="163">
      <c r="A163" s="54" t="n">
        <v>46180</v>
      </c>
      <c r="B163" s="55" t="n"/>
      <c r="C163" s="55" t="n"/>
      <c r="D163" s="55" t="n"/>
      <c r="E163" s="55" t="n"/>
      <c r="F163" s="55" t="n"/>
      <c r="G163" s="55" t="n"/>
      <c r="H163" s="58" t="n"/>
      <c r="I163" s="65">
        <f>IF(AND(tblMiningDaily[[#This Row],[Blast_t]]&lt;&gt;"",tblMiningDaily[[#This Row],[Blast_t]]&gt;0),tblMiningDaily[[#This Row],[Explosives_kg]]/tblMiningDaily[[#This Row],[Blast_t]],"")</f>
        <v/>
      </c>
    </row>
    <row r="164">
      <c r="A164" s="54" t="n">
        <v>46181</v>
      </c>
      <c r="B164" s="55" t="n"/>
      <c r="C164" s="55" t="n"/>
      <c r="D164" s="55" t="n"/>
      <c r="E164" s="55" t="n"/>
      <c r="F164" s="55" t="n"/>
      <c r="G164" s="55" t="n"/>
      <c r="H164" s="58" t="n"/>
      <c r="I164" s="65">
        <f>IF(AND(tblMiningDaily[[#This Row],[Blast_t]]&lt;&gt;"",tblMiningDaily[[#This Row],[Blast_t]]&gt;0),tblMiningDaily[[#This Row],[Explosives_kg]]/tblMiningDaily[[#This Row],[Blast_t]],"")</f>
        <v/>
      </c>
    </row>
    <row r="165">
      <c r="A165" s="54" t="n">
        <v>46182</v>
      </c>
      <c r="B165" s="55" t="n"/>
      <c r="C165" s="55" t="n"/>
      <c r="D165" s="55" t="n"/>
      <c r="E165" s="55" t="n"/>
      <c r="F165" s="55" t="n"/>
      <c r="G165" s="55" t="n"/>
      <c r="H165" s="58" t="n"/>
      <c r="I165" s="65">
        <f>IF(AND(tblMiningDaily[[#This Row],[Blast_t]]&lt;&gt;"",tblMiningDaily[[#This Row],[Blast_t]]&gt;0),tblMiningDaily[[#This Row],[Explosives_kg]]/tblMiningDaily[[#This Row],[Blast_t]],"")</f>
        <v/>
      </c>
    </row>
    <row r="166">
      <c r="A166" s="54" t="n">
        <v>46183</v>
      </c>
      <c r="B166" s="55" t="n"/>
      <c r="C166" s="55" t="n"/>
      <c r="D166" s="55" t="n"/>
      <c r="E166" s="55" t="n"/>
      <c r="F166" s="55" t="n"/>
      <c r="G166" s="55" t="n"/>
      <c r="H166" s="58" t="n"/>
      <c r="I166" s="65">
        <f>IF(AND(tblMiningDaily[[#This Row],[Blast_t]]&lt;&gt;"",tblMiningDaily[[#This Row],[Blast_t]]&gt;0),tblMiningDaily[[#This Row],[Explosives_kg]]/tblMiningDaily[[#This Row],[Blast_t]],"")</f>
        <v/>
      </c>
    </row>
    <row r="167">
      <c r="A167" s="54" t="n">
        <v>46184</v>
      </c>
      <c r="B167" s="55" t="n"/>
      <c r="C167" s="55" t="n"/>
      <c r="D167" s="55" t="n"/>
      <c r="E167" s="55" t="n"/>
      <c r="F167" s="55" t="n"/>
      <c r="G167" s="55" t="n"/>
      <c r="H167" s="58" t="n"/>
      <c r="I167" s="65">
        <f>IF(AND(tblMiningDaily[[#This Row],[Blast_t]]&lt;&gt;"",tblMiningDaily[[#This Row],[Blast_t]]&gt;0),tblMiningDaily[[#This Row],[Explosives_kg]]/tblMiningDaily[[#This Row],[Blast_t]],"")</f>
        <v/>
      </c>
    </row>
    <row r="168">
      <c r="A168" s="54" t="n">
        <v>46185</v>
      </c>
      <c r="B168" s="55" t="n"/>
      <c r="C168" s="55" t="n"/>
      <c r="D168" s="55" t="n"/>
      <c r="E168" s="55" t="n"/>
      <c r="F168" s="55" t="n"/>
      <c r="G168" s="55" t="n"/>
      <c r="H168" s="58" t="n"/>
      <c r="I168" s="65">
        <f>IF(AND(tblMiningDaily[[#This Row],[Blast_t]]&lt;&gt;"",tblMiningDaily[[#This Row],[Blast_t]]&gt;0),tblMiningDaily[[#This Row],[Explosives_kg]]/tblMiningDaily[[#This Row],[Blast_t]],"")</f>
        <v/>
      </c>
    </row>
    <row r="169">
      <c r="A169" s="54" t="n">
        <v>46186</v>
      </c>
      <c r="B169" s="55" t="n"/>
      <c r="C169" s="55" t="n"/>
      <c r="D169" s="55" t="n"/>
      <c r="E169" s="55" t="n"/>
      <c r="F169" s="55" t="n"/>
      <c r="G169" s="55" t="n"/>
      <c r="H169" s="58" t="n"/>
      <c r="I169" s="65">
        <f>IF(AND(tblMiningDaily[[#This Row],[Blast_t]]&lt;&gt;"",tblMiningDaily[[#This Row],[Blast_t]]&gt;0),tblMiningDaily[[#This Row],[Explosives_kg]]/tblMiningDaily[[#This Row],[Blast_t]],"")</f>
        <v/>
      </c>
    </row>
    <row r="170">
      <c r="A170" s="54" t="n">
        <v>46187</v>
      </c>
      <c r="B170" s="55" t="n"/>
      <c r="C170" s="55" t="n"/>
      <c r="D170" s="55" t="n"/>
      <c r="E170" s="55" t="n"/>
      <c r="F170" s="55" t="n"/>
      <c r="G170" s="55" t="n"/>
      <c r="H170" s="58" t="n"/>
      <c r="I170" s="65">
        <f>IF(AND(tblMiningDaily[[#This Row],[Blast_t]]&lt;&gt;"",tblMiningDaily[[#This Row],[Blast_t]]&gt;0),tblMiningDaily[[#This Row],[Explosives_kg]]/tblMiningDaily[[#This Row],[Blast_t]],"")</f>
        <v/>
      </c>
    </row>
    <row r="171">
      <c r="A171" s="54" t="n">
        <v>46188</v>
      </c>
      <c r="B171" s="55" t="n"/>
      <c r="C171" s="55" t="n"/>
      <c r="D171" s="55" t="n"/>
      <c r="E171" s="55" t="n"/>
      <c r="F171" s="55" t="n"/>
      <c r="G171" s="55" t="n"/>
      <c r="H171" s="58" t="n"/>
      <c r="I171" s="65">
        <f>IF(AND(tblMiningDaily[[#This Row],[Blast_t]]&lt;&gt;"",tblMiningDaily[[#This Row],[Blast_t]]&gt;0),tblMiningDaily[[#This Row],[Explosives_kg]]/tblMiningDaily[[#This Row],[Blast_t]],"")</f>
        <v/>
      </c>
    </row>
    <row r="172">
      <c r="A172" s="54" t="n">
        <v>46189</v>
      </c>
      <c r="B172" s="55" t="n"/>
      <c r="C172" s="55" t="n"/>
      <c r="D172" s="55" t="n"/>
      <c r="E172" s="55" t="n"/>
      <c r="F172" s="55" t="n"/>
      <c r="G172" s="55" t="n"/>
      <c r="H172" s="58" t="n"/>
      <c r="I172" s="65">
        <f>IF(AND(tblMiningDaily[[#This Row],[Blast_t]]&lt;&gt;"",tblMiningDaily[[#This Row],[Blast_t]]&gt;0),tblMiningDaily[[#This Row],[Explosives_kg]]/tblMiningDaily[[#This Row],[Blast_t]],"")</f>
        <v/>
      </c>
    </row>
    <row r="173">
      <c r="A173" s="54" t="n">
        <v>46190</v>
      </c>
      <c r="B173" s="55" t="n"/>
      <c r="C173" s="55" t="n"/>
      <c r="D173" s="55" t="n"/>
      <c r="E173" s="55" t="n"/>
      <c r="F173" s="55" t="n"/>
      <c r="G173" s="55" t="n"/>
      <c r="H173" s="58" t="n"/>
      <c r="I173" s="65">
        <f>IF(AND(tblMiningDaily[[#This Row],[Blast_t]]&lt;&gt;"",tblMiningDaily[[#This Row],[Blast_t]]&gt;0),tblMiningDaily[[#This Row],[Explosives_kg]]/tblMiningDaily[[#This Row],[Blast_t]],"")</f>
        <v/>
      </c>
    </row>
    <row r="174">
      <c r="A174" s="54" t="n">
        <v>46191</v>
      </c>
      <c r="B174" s="55" t="n"/>
      <c r="C174" s="55" t="n"/>
      <c r="D174" s="55" t="n"/>
      <c r="E174" s="55" t="n"/>
      <c r="F174" s="55" t="n"/>
      <c r="G174" s="55" t="n"/>
      <c r="H174" s="58" t="n"/>
      <c r="I174" s="65">
        <f>IF(AND(tblMiningDaily[[#This Row],[Blast_t]]&lt;&gt;"",tblMiningDaily[[#This Row],[Blast_t]]&gt;0),tblMiningDaily[[#This Row],[Explosives_kg]]/tblMiningDaily[[#This Row],[Blast_t]],"")</f>
        <v/>
      </c>
    </row>
    <row r="175">
      <c r="A175" s="54" t="n">
        <v>46192</v>
      </c>
      <c r="B175" s="55" t="n"/>
      <c r="C175" s="55" t="n"/>
      <c r="D175" s="55" t="n"/>
      <c r="E175" s="55" t="n"/>
      <c r="F175" s="55" t="n"/>
      <c r="G175" s="55" t="n"/>
      <c r="H175" s="58" t="n"/>
      <c r="I175" s="65">
        <f>IF(AND(tblMiningDaily[[#This Row],[Blast_t]]&lt;&gt;"",tblMiningDaily[[#This Row],[Blast_t]]&gt;0),tblMiningDaily[[#This Row],[Explosives_kg]]/tblMiningDaily[[#This Row],[Blast_t]],"")</f>
        <v/>
      </c>
    </row>
    <row r="176">
      <c r="A176" s="54" t="n">
        <v>46193</v>
      </c>
      <c r="B176" s="55" t="n"/>
      <c r="C176" s="55" t="n"/>
      <c r="D176" s="55" t="n"/>
      <c r="E176" s="55" t="n"/>
      <c r="F176" s="55" t="n"/>
      <c r="G176" s="55" t="n"/>
      <c r="H176" s="58" t="n"/>
      <c r="I176" s="65">
        <f>IF(AND(tblMiningDaily[[#This Row],[Blast_t]]&lt;&gt;"",tblMiningDaily[[#This Row],[Blast_t]]&gt;0),tblMiningDaily[[#This Row],[Explosives_kg]]/tblMiningDaily[[#This Row],[Blast_t]],"")</f>
        <v/>
      </c>
    </row>
    <row r="177">
      <c r="A177" s="54" t="n">
        <v>46194</v>
      </c>
      <c r="B177" s="55" t="n"/>
      <c r="C177" s="55" t="n"/>
      <c r="D177" s="55" t="n"/>
      <c r="E177" s="55" t="n"/>
      <c r="F177" s="55" t="n"/>
      <c r="G177" s="55" t="n"/>
      <c r="H177" s="58" t="n"/>
      <c r="I177" s="65">
        <f>IF(AND(tblMiningDaily[[#This Row],[Blast_t]]&lt;&gt;"",tblMiningDaily[[#This Row],[Blast_t]]&gt;0),tblMiningDaily[[#This Row],[Explosives_kg]]/tblMiningDaily[[#This Row],[Blast_t]],"")</f>
        <v/>
      </c>
    </row>
    <row r="178">
      <c r="A178" s="54" t="n">
        <v>46195</v>
      </c>
      <c r="B178" s="55" t="n"/>
      <c r="C178" s="55" t="n"/>
      <c r="D178" s="55" t="n"/>
      <c r="E178" s="55" t="n"/>
      <c r="F178" s="55" t="n"/>
      <c r="G178" s="55" t="n"/>
      <c r="H178" s="58" t="n"/>
      <c r="I178" s="65">
        <f>IF(AND(tblMiningDaily[[#This Row],[Blast_t]]&lt;&gt;"",tblMiningDaily[[#This Row],[Blast_t]]&gt;0),tblMiningDaily[[#This Row],[Explosives_kg]]/tblMiningDaily[[#This Row],[Blast_t]],"")</f>
        <v/>
      </c>
    </row>
    <row r="179">
      <c r="A179" s="54" t="n">
        <v>46196</v>
      </c>
      <c r="B179" s="55" t="n"/>
      <c r="C179" s="55" t="n"/>
      <c r="D179" s="55" t="n"/>
      <c r="E179" s="55" t="n"/>
      <c r="F179" s="55" t="n"/>
      <c r="G179" s="55" t="n"/>
      <c r="H179" s="58" t="n"/>
      <c r="I179" s="65">
        <f>IF(AND(tblMiningDaily[[#This Row],[Blast_t]]&lt;&gt;"",tblMiningDaily[[#This Row],[Blast_t]]&gt;0),tblMiningDaily[[#This Row],[Explosives_kg]]/tblMiningDaily[[#This Row],[Blast_t]],"")</f>
        <v/>
      </c>
    </row>
    <row r="180">
      <c r="A180" s="54" t="n">
        <v>46197</v>
      </c>
      <c r="B180" s="55" t="n"/>
      <c r="C180" s="55" t="n"/>
      <c r="D180" s="55" t="n"/>
      <c r="E180" s="55" t="n"/>
      <c r="F180" s="55" t="n"/>
      <c r="G180" s="55" t="n"/>
      <c r="H180" s="58" t="n"/>
      <c r="I180" s="65">
        <f>IF(AND(tblMiningDaily[[#This Row],[Blast_t]]&lt;&gt;"",tblMiningDaily[[#This Row],[Blast_t]]&gt;0),tblMiningDaily[[#This Row],[Explosives_kg]]/tblMiningDaily[[#This Row],[Blast_t]],"")</f>
        <v/>
      </c>
    </row>
    <row r="181">
      <c r="A181" s="54" t="n">
        <v>46198</v>
      </c>
      <c r="B181" s="55" t="n"/>
      <c r="C181" s="55" t="n"/>
      <c r="D181" s="55" t="n"/>
      <c r="E181" s="55" t="n"/>
      <c r="F181" s="55" t="n"/>
      <c r="G181" s="55" t="n"/>
      <c r="H181" s="58" t="n"/>
      <c r="I181" s="65">
        <f>IF(AND(tblMiningDaily[[#This Row],[Blast_t]]&lt;&gt;"",tblMiningDaily[[#This Row],[Blast_t]]&gt;0),tblMiningDaily[[#This Row],[Explosives_kg]]/tblMiningDaily[[#This Row],[Blast_t]],"")</f>
        <v/>
      </c>
    </row>
    <row r="182">
      <c r="A182" s="54" t="n">
        <v>46199</v>
      </c>
      <c r="B182" s="55" t="n"/>
      <c r="C182" s="55" t="n"/>
      <c r="D182" s="55" t="n"/>
      <c r="E182" s="55" t="n"/>
      <c r="F182" s="55" t="n"/>
      <c r="G182" s="55" t="n"/>
      <c r="H182" s="58" t="n"/>
      <c r="I182" s="65">
        <f>IF(AND(tblMiningDaily[[#This Row],[Blast_t]]&lt;&gt;"",tblMiningDaily[[#This Row],[Blast_t]]&gt;0),tblMiningDaily[[#This Row],[Explosives_kg]]/tblMiningDaily[[#This Row],[Blast_t]],"")</f>
        <v/>
      </c>
    </row>
    <row r="183">
      <c r="A183" s="54" t="n">
        <v>46200</v>
      </c>
      <c r="B183" s="55" t="n"/>
      <c r="C183" s="55" t="n"/>
      <c r="D183" s="55" t="n"/>
      <c r="E183" s="55" t="n"/>
      <c r="F183" s="55" t="n"/>
      <c r="G183" s="55" t="n"/>
      <c r="H183" s="58" t="n"/>
      <c r="I183" s="65">
        <f>IF(AND(tblMiningDaily[[#This Row],[Blast_t]]&lt;&gt;"",tblMiningDaily[[#This Row],[Blast_t]]&gt;0),tblMiningDaily[[#This Row],[Explosives_kg]]/tblMiningDaily[[#This Row],[Blast_t]],"")</f>
        <v/>
      </c>
    </row>
    <row r="184">
      <c r="A184" s="54" t="n">
        <v>46201</v>
      </c>
      <c r="B184" s="55" t="n"/>
      <c r="C184" s="55" t="n"/>
      <c r="D184" s="55" t="n"/>
      <c r="E184" s="55" t="n"/>
      <c r="F184" s="55" t="n"/>
      <c r="G184" s="55" t="n"/>
      <c r="H184" s="58" t="n"/>
      <c r="I184" s="65">
        <f>IF(AND(tblMiningDaily[[#This Row],[Blast_t]]&lt;&gt;"",tblMiningDaily[[#This Row],[Blast_t]]&gt;0),tblMiningDaily[[#This Row],[Explosives_kg]]/tblMiningDaily[[#This Row],[Blast_t]],"")</f>
        <v/>
      </c>
    </row>
    <row r="185">
      <c r="A185" s="54" t="n">
        <v>46202</v>
      </c>
      <c r="B185" s="55" t="n"/>
      <c r="C185" s="55" t="n"/>
      <c r="D185" s="55" t="n"/>
      <c r="E185" s="55" t="n"/>
      <c r="F185" s="55" t="n"/>
      <c r="G185" s="55" t="n"/>
      <c r="H185" s="58" t="n"/>
      <c r="I185" s="65">
        <f>IF(AND(tblMiningDaily[[#This Row],[Blast_t]]&lt;&gt;"",tblMiningDaily[[#This Row],[Blast_t]]&gt;0),tblMiningDaily[[#This Row],[Explosives_kg]]/tblMiningDaily[[#This Row],[Blast_t]],"")</f>
        <v/>
      </c>
    </row>
    <row r="186">
      <c r="A186" s="54" t="n">
        <v>46203</v>
      </c>
      <c r="B186" s="55" t="n"/>
      <c r="C186" s="55" t="n"/>
      <c r="D186" s="55" t="n"/>
      <c r="E186" s="55" t="n"/>
      <c r="F186" s="55" t="n"/>
      <c r="G186" s="55" t="n"/>
      <c r="H186" s="58" t="n"/>
      <c r="I186" s="65">
        <f>IF(AND(tblMiningDaily[[#This Row],[Blast_t]]&lt;&gt;"",tblMiningDaily[[#This Row],[Blast_t]]&gt;0),tblMiningDaily[[#This Row],[Explosives_kg]]/tblMiningDaily[[#This Row],[Blast_t]],"")</f>
        <v/>
      </c>
    </row>
    <row r="187">
      <c r="A187" s="54" t="n">
        <v>46204</v>
      </c>
      <c r="B187" s="55" t="n"/>
      <c r="C187" s="55" t="n"/>
      <c r="D187" s="55" t="n"/>
      <c r="E187" s="55" t="n"/>
      <c r="F187" s="55" t="n"/>
      <c r="G187" s="55" t="n"/>
      <c r="H187" s="58" t="n"/>
      <c r="I187" s="65">
        <f>IF(AND(tblMiningDaily[[#This Row],[Blast_t]]&lt;&gt;"",tblMiningDaily[[#This Row],[Blast_t]]&gt;0),tblMiningDaily[[#This Row],[Explosives_kg]]/tblMiningDaily[[#This Row],[Blast_t]],"")</f>
        <v/>
      </c>
    </row>
    <row r="188">
      <c r="A188" s="54" t="n">
        <v>46205</v>
      </c>
      <c r="B188" s="55" t="n"/>
      <c r="C188" s="55" t="n"/>
      <c r="D188" s="55" t="n"/>
      <c r="E188" s="55" t="n"/>
      <c r="F188" s="55" t="n"/>
      <c r="G188" s="55" t="n"/>
      <c r="H188" s="58" t="n"/>
      <c r="I188" s="65">
        <f>IF(AND(tblMiningDaily[[#This Row],[Blast_t]]&lt;&gt;"",tblMiningDaily[[#This Row],[Blast_t]]&gt;0),tblMiningDaily[[#This Row],[Explosives_kg]]/tblMiningDaily[[#This Row],[Blast_t]],"")</f>
        <v/>
      </c>
    </row>
    <row r="189">
      <c r="A189" s="54" t="n">
        <v>46206</v>
      </c>
      <c r="B189" s="55" t="n"/>
      <c r="C189" s="55" t="n"/>
      <c r="D189" s="55" t="n"/>
      <c r="E189" s="55" t="n"/>
      <c r="F189" s="55" t="n"/>
      <c r="G189" s="55" t="n"/>
      <c r="H189" s="58" t="n"/>
      <c r="I189" s="65">
        <f>IF(AND(tblMiningDaily[[#This Row],[Blast_t]]&lt;&gt;"",tblMiningDaily[[#This Row],[Blast_t]]&gt;0),tblMiningDaily[[#This Row],[Explosives_kg]]/tblMiningDaily[[#This Row],[Blast_t]],"")</f>
        <v/>
      </c>
    </row>
    <row r="190">
      <c r="A190" s="54" t="n">
        <v>46207</v>
      </c>
      <c r="B190" s="55" t="n"/>
      <c r="C190" s="55" t="n"/>
      <c r="D190" s="55" t="n"/>
      <c r="E190" s="55" t="n"/>
      <c r="F190" s="55" t="n"/>
      <c r="G190" s="55" t="n"/>
      <c r="H190" s="58" t="n"/>
      <c r="I190" s="65">
        <f>IF(AND(tblMiningDaily[[#This Row],[Blast_t]]&lt;&gt;"",tblMiningDaily[[#This Row],[Blast_t]]&gt;0),tblMiningDaily[[#This Row],[Explosives_kg]]/tblMiningDaily[[#This Row],[Blast_t]],"")</f>
        <v/>
      </c>
    </row>
    <row r="191">
      <c r="A191" s="54" t="n">
        <v>46208</v>
      </c>
      <c r="B191" s="55" t="n"/>
      <c r="C191" s="55" t="n"/>
      <c r="D191" s="55" t="n"/>
      <c r="E191" s="55" t="n"/>
      <c r="F191" s="55" t="n"/>
      <c r="G191" s="55" t="n"/>
      <c r="H191" s="58" t="n"/>
      <c r="I191" s="65">
        <f>IF(AND(tblMiningDaily[[#This Row],[Blast_t]]&lt;&gt;"",tblMiningDaily[[#This Row],[Blast_t]]&gt;0),tblMiningDaily[[#This Row],[Explosives_kg]]/tblMiningDaily[[#This Row],[Blast_t]],"")</f>
        <v/>
      </c>
    </row>
    <row r="192">
      <c r="A192" s="54" t="n">
        <v>46209</v>
      </c>
      <c r="B192" s="55" t="n"/>
      <c r="C192" s="55" t="n"/>
      <c r="D192" s="55" t="n"/>
      <c r="E192" s="55" t="n"/>
      <c r="F192" s="55" t="n"/>
      <c r="G192" s="55" t="n"/>
      <c r="H192" s="58" t="n"/>
      <c r="I192" s="65">
        <f>IF(AND(tblMiningDaily[[#This Row],[Blast_t]]&lt;&gt;"",tblMiningDaily[[#This Row],[Blast_t]]&gt;0),tblMiningDaily[[#This Row],[Explosives_kg]]/tblMiningDaily[[#This Row],[Blast_t]],"")</f>
        <v/>
      </c>
    </row>
    <row r="193">
      <c r="A193" s="54" t="n">
        <v>46210</v>
      </c>
      <c r="B193" s="55" t="n"/>
      <c r="C193" s="55" t="n"/>
      <c r="D193" s="55" t="n"/>
      <c r="E193" s="55" t="n"/>
      <c r="F193" s="55" t="n"/>
      <c r="G193" s="55" t="n"/>
      <c r="H193" s="58" t="n"/>
      <c r="I193" s="65">
        <f>IF(AND(tblMiningDaily[[#This Row],[Blast_t]]&lt;&gt;"",tblMiningDaily[[#This Row],[Blast_t]]&gt;0),tblMiningDaily[[#This Row],[Explosives_kg]]/tblMiningDaily[[#This Row],[Blast_t]],"")</f>
        <v/>
      </c>
    </row>
    <row r="194">
      <c r="A194" s="54" t="n">
        <v>46211</v>
      </c>
      <c r="B194" s="55" t="n"/>
      <c r="C194" s="55" t="n"/>
      <c r="D194" s="55" t="n"/>
      <c r="E194" s="55" t="n"/>
      <c r="F194" s="55" t="n"/>
      <c r="G194" s="55" t="n"/>
      <c r="H194" s="58" t="n"/>
      <c r="I194" s="65">
        <f>IF(AND(tblMiningDaily[[#This Row],[Blast_t]]&lt;&gt;"",tblMiningDaily[[#This Row],[Blast_t]]&gt;0),tblMiningDaily[[#This Row],[Explosives_kg]]/tblMiningDaily[[#This Row],[Blast_t]],"")</f>
        <v/>
      </c>
    </row>
    <row r="195">
      <c r="A195" s="54" t="n">
        <v>46212</v>
      </c>
      <c r="B195" s="55" t="n"/>
      <c r="C195" s="55" t="n"/>
      <c r="D195" s="55" t="n"/>
      <c r="E195" s="55" t="n"/>
      <c r="F195" s="55" t="n"/>
      <c r="G195" s="55" t="n"/>
      <c r="H195" s="58" t="n"/>
      <c r="I195" s="65">
        <f>IF(AND(tblMiningDaily[[#This Row],[Blast_t]]&lt;&gt;"",tblMiningDaily[[#This Row],[Blast_t]]&gt;0),tblMiningDaily[[#This Row],[Explosives_kg]]/tblMiningDaily[[#This Row],[Blast_t]],"")</f>
        <v/>
      </c>
    </row>
    <row r="196">
      <c r="A196" s="54" t="n">
        <v>46213</v>
      </c>
      <c r="B196" s="55" t="n"/>
      <c r="C196" s="55" t="n"/>
      <c r="D196" s="55" t="n"/>
      <c r="E196" s="55" t="n"/>
      <c r="F196" s="55" t="n"/>
      <c r="G196" s="55" t="n"/>
      <c r="H196" s="58" t="n"/>
      <c r="I196" s="65">
        <f>IF(AND(tblMiningDaily[[#This Row],[Blast_t]]&lt;&gt;"",tblMiningDaily[[#This Row],[Blast_t]]&gt;0),tblMiningDaily[[#This Row],[Explosives_kg]]/tblMiningDaily[[#This Row],[Blast_t]],"")</f>
        <v/>
      </c>
    </row>
    <row r="197">
      <c r="A197" s="54" t="n">
        <v>46214</v>
      </c>
      <c r="B197" s="55" t="n"/>
      <c r="C197" s="55" t="n"/>
      <c r="D197" s="55" t="n"/>
      <c r="E197" s="55" t="n"/>
      <c r="F197" s="55" t="n"/>
      <c r="G197" s="55" t="n"/>
      <c r="H197" s="58" t="n"/>
      <c r="I197" s="65">
        <f>IF(AND(tblMiningDaily[[#This Row],[Blast_t]]&lt;&gt;"",tblMiningDaily[[#This Row],[Blast_t]]&gt;0),tblMiningDaily[[#This Row],[Explosives_kg]]/tblMiningDaily[[#This Row],[Blast_t]],"")</f>
        <v/>
      </c>
    </row>
    <row r="198">
      <c r="A198" s="54" t="n">
        <v>46215</v>
      </c>
      <c r="B198" s="55" t="n"/>
      <c r="C198" s="55" t="n"/>
      <c r="D198" s="55" t="n"/>
      <c r="E198" s="55" t="n"/>
      <c r="F198" s="55" t="n"/>
      <c r="G198" s="55" t="n"/>
      <c r="H198" s="58" t="n"/>
      <c r="I198" s="65">
        <f>IF(AND(tblMiningDaily[[#This Row],[Blast_t]]&lt;&gt;"",tblMiningDaily[[#This Row],[Blast_t]]&gt;0),tblMiningDaily[[#This Row],[Explosives_kg]]/tblMiningDaily[[#This Row],[Blast_t]],"")</f>
        <v/>
      </c>
    </row>
    <row r="199">
      <c r="A199" s="54" t="n">
        <v>46216</v>
      </c>
      <c r="B199" s="55" t="n"/>
      <c r="C199" s="55" t="n"/>
      <c r="D199" s="55" t="n"/>
      <c r="E199" s="55" t="n"/>
      <c r="F199" s="55" t="n"/>
      <c r="G199" s="55" t="n"/>
      <c r="H199" s="58" t="n"/>
      <c r="I199" s="65">
        <f>IF(AND(tblMiningDaily[[#This Row],[Blast_t]]&lt;&gt;"",tblMiningDaily[[#This Row],[Blast_t]]&gt;0),tblMiningDaily[[#This Row],[Explosives_kg]]/tblMiningDaily[[#This Row],[Blast_t]],"")</f>
        <v/>
      </c>
    </row>
    <row r="200">
      <c r="A200" s="54" t="n">
        <v>46217</v>
      </c>
      <c r="B200" s="55" t="n"/>
      <c r="C200" s="55" t="n"/>
      <c r="D200" s="55" t="n"/>
      <c r="E200" s="55" t="n"/>
      <c r="F200" s="55" t="n"/>
      <c r="G200" s="55" t="n"/>
      <c r="H200" s="58" t="n"/>
      <c r="I200" s="65">
        <f>IF(AND(tblMiningDaily[[#This Row],[Blast_t]]&lt;&gt;"",tblMiningDaily[[#This Row],[Blast_t]]&gt;0),tblMiningDaily[[#This Row],[Explosives_kg]]/tblMiningDaily[[#This Row],[Blast_t]],"")</f>
        <v/>
      </c>
    </row>
    <row r="201">
      <c r="A201" s="54" t="n">
        <v>46218</v>
      </c>
      <c r="B201" s="55" t="n"/>
      <c r="C201" s="55" t="n"/>
      <c r="D201" s="55" t="n"/>
      <c r="E201" s="55" t="n"/>
      <c r="F201" s="55" t="n"/>
      <c r="G201" s="55" t="n"/>
      <c r="H201" s="58" t="n"/>
      <c r="I201" s="65">
        <f>IF(AND(tblMiningDaily[[#This Row],[Blast_t]]&lt;&gt;"",tblMiningDaily[[#This Row],[Blast_t]]&gt;0),tblMiningDaily[[#This Row],[Explosives_kg]]/tblMiningDaily[[#This Row],[Blast_t]],"")</f>
        <v/>
      </c>
    </row>
    <row r="202">
      <c r="A202" s="54" t="n">
        <v>46219</v>
      </c>
      <c r="B202" s="55" t="n"/>
      <c r="C202" s="55" t="n"/>
      <c r="D202" s="55" t="n"/>
      <c r="E202" s="55" t="n"/>
      <c r="F202" s="55" t="n"/>
      <c r="G202" s="55" t="n"/>
      <c r="H202" s="58" t="n"/>
      <c r="I202" s="65">
        <f>IF(AND(tblMiningDaily[[#This Row],[Blast_t]]&lt;&gt;"",tblMiningDaily[[#This Row],[Blast_t]]&gt;0),tblMiningDaily[[#This Row],[Explosives_kg]]/tblMiningDaily[[#This Row],[Blast_t]],"")</f>
        <v/>
      </c>
    </row>
    <row r="203">
      <c r="A203" s="54" t="n">
        <v>46220</v>
      </c>
      <c r="B203" s="55" t="n"/>
      <c r="C203" s="55" t="n"/>
      <c r="D203" s="55" t="n"/>
      <c r="E203" s="55" t="n"/>
      <c r="F203" s="55" t="n"/>
      <c r="G203" s="55" t="n"/>
      <c r="H203" s="58" t="n"/>
      <c r="I203" s="65">
        <f>IF(AND(tblMiningDaily[[#This Row],[Blast_t]]&lt;&gt;"",tblMiningDaily[[#This Row],[Blast_t]]&gt;0),tblMiningDaily[[#This Row],[Explosives_kg]]/tblMiningDaily[[#This Row],[Blast_t]],"")</f>
        <v/>
      </c>
    </row>
    <row r="204">
      <c r="A204" s="54" t="n">
        <v>46221</v>
      </c>
      <c r="B204" s="55" t="n"/>
      <c r="C204" s="55" t="n"/>
      <c r="D204" s="55" t="n"/>
      <c r="E204" s="55" t="n"/>
      <c r="F204" s="55" t="n"/>
      <c r="G204" s="55" t="n"/>
      <c r="H204" s="58" t="n"/>
      <c r="I204" s="65">
        <f>IF(AND(tblMiningDaily[[#This Row],[Blast_t]]&lt;&gt;"",tblMiningDaily[[#This Row],[Blast_t]]&gt;0),tblMiningDaily[[#This Row],[Explosives_kg]]/tblMiningDaily[[#This Row],[Blast_t]],"")</f>
        <v/>
      </c>
    </row>
    <row r="205">
      <c r="A205" s="54" t="n">
        <v>46222</v>
      </c>
      <c r="B205" s="55" t="n"/>
      <c r="C205" s="55" t="n"/>
      <c r="D205" s="55" t="n"/>
      <c r="E205" s="55" t="n"/>
      <c r="F205" s="55" t="n"/>
      <c r="G205" s="55" t="n"/>
      <c r="H205" s="58" t="n"/>
      <c r="I205" s="65">
        <f>IF(AND(tblMiningDaily[[#This Row],[Blast_t]]&lt;&gt;"",tblMiningDaily[[#This Row],[Blast_t]]&gt;0),tblMiningDaily[[#This Row],[Explosives_kg]]/tblMiningDaily[[#This Row],[Blast_t]],"")</f>
        <v/>
      </c>
    </row>
    <row r="206">
      <c r="A206" s="54" t="n">
        <v>46223</v>
      </c>
      <c r="B206" s="55" t="n"/>
      <c r="C206" s="55" t="n"/>
      <c r="D206" s="55" t="n"/>
      <c r="E206" s="55" t="n"/>
      <c r="F206" s="55" t="n"/>
      <c r="G206" s="55" t="n"/>
      <c r="H206" s="58" t="n"/>
      <c r="I206" s="65">
        <f>IF(AND(tblMiningDaily[[#This Row],[Blast_t]]&lt;&gt;"",tblMiningDaily[[#This Row],[Blast_t]]&gt;0),tblMiningDaily[[#This Row],[Explosives_kg]]/tblMiningDaily[[#This Row],[Blast_t]],"")</f>
        <v/>
      </c>
    </row>
    <row r="207">
      <c r="A207" s="54" t="n">
        <v>46224</v>
      </c>
      <c r="B207" s="55" t="n"/>
      <c r="C207" s="55" t="n"/>
      <c r="D207" s="55" t="n"/>
      <c r="E207" s="55" t="n"/>
      <c r="F207" s="55" t="n"/>
      <c r="G207" s="55" t="n"/>
      <c r="H207" s="58" t="n"/>
      <c r="I207" s="65">
        <f>IF(AND(tblMiningDaily[[#This Row],[Blast_t]]&lt;&gt;"",tblMiningDaily[[#This Row],[Blast_t]]&gt;0),tblMiningDaily[[#This Row],[Explosives_kg]]/tblMiningDaily[[#This Row],[Blast_t]],"")</f>
        <v/>
      </c>
    </row>
    <row r="208">
      <c r="A208" s="54" t="n">
        <v>46225</v>
      </c>
      <c r="B208" s="55" t="n"/>
      <c r="C208" s="55" t="n"/>
      <c r="D208" s="55" t="n"/>
      <c r="E208" s="55" t="n"/>
      <c r="F208" s="55" t="n"/>
      <c r="G208" s="55" t="n"/>
      <c r="H208" s="58" t="n"/>
      <c r="I208" s="65">
        <f>IF(AND(tblMiningDaily[[#This Row],[Blast_t]]&lt;&gt;"",tblMiningDaily[[#This Row],[Blast_t]]&gt;0),tblMiningDaily[[#This Row],[Explosives_kg]]/tblMiningDaily[[#This Row],[Blast_t]],"")</f>
        <v/>
      </c>
    </row>
    <row r="209">
      <c r="A209" s="54" t="n">
        <v>46226</v>
      </c>
      <c r="B209" s="55" t="n"/>
      <c r="C209" s="55" t="n"/>
      <c r="D209" s="55" t="n"/>
      <c r="E209" s="55" t="n"/>
      <c r="F209" s="55" t="n"/>
      <c r="G209" s="55" t="n"/>
      <c r="H209" s="58" t="n"/>
      <c r="I209" s="65">
        <f>IF(AND(tblMiningDaily[[#This Row],[Blast_t]]&lt;&gt;"",tblMiningDaily[[#This Row],[Blast_t]]&gt;0),tblMiningDaily[[#This Row],[Explosives_kg]]/tblMiningDaily[[#This Row],[Blast_t]],"")</f>
        <v/>
      </c>
    </row>
    <row r="210">
      <c r="A210" s="54" t="n">
        <v>46227</v>
      </c>
      <c r="B210" s="55" t="n"/>
      <c r="C210" s="55" t="n"/>
      <c r="D210" s="55" t="n"/>
      <c r="E210" s="55" t="n"/>
      <c r="F210" s="55" t="n"/>
      <c r="G210" s="55" t="n"/>
      <c r="H210" s="58" t="n"/>
      <c r="I210" s="65">
        <f>IF(AND(tblMiningDaily[[#This Row],[Blast_t]]&lt;&gt;"",tblMiningDaily[[#This Row],[Blast_t]]&gt;0),tblMiningDaily[[#This Row],[Explosives_kg]]/tblMiningDaily[[#This Row],[Blast_t]],"")</f>
        <v/>
      </c>
    </row>
    <row r="211">
      <c r="A211" s="54" t="n">
        <v>46228</v>
      </c>
      <c r="B211" s="55" t="n"/>
      <c r="C211" s="55" t="n"/>
      <c r="D211" s="55" t="n"/>
      <c r="E211" s="55" t="n"/>
      <c r="F211" s="55" t="n"/>
      <c r="G211" s="55" t="n"/>
      <c r="H211" s="58" t="n"/>
      <c r="I211" s="65">
        <f>IF(AND(tblMiningDaily[[#This Row],[Blast_t]]&lt;&gt;"",tblMiningDaily[[#This Row],[Blast_t]]&gt;0),tblMiningDaily[[#This Row],[Explosives_kg]]/tblMiningDaily[[#This Row],[Blast_t]],"")</f>
        <v/>
      </c>
    </row>
    <row r="212">
      <c r="A212" s="54" t="n">
        <v>46229</v>
      </c>
      <c r="B212" s="55" t="n"/>
      <c r="C212" s="55" t="n"/>
      <c r="D212" s="55" t="n"/>
      <c r="E212" s="55" t="n"/>
      <c r="F212" s="55" t="n"/>
      <c r="G212" s="55" t="n"/>
      <c r="H212" s="58" t="n"/>
      <c r="I212" s="65">
        <f>IF(AND(tblMiningDaily[[#This Row],[Blast_t]]&lt;&gt;"",tblMiningDaily[[#This Row],[Blast_t]]&gt;0),tblMiningDaily[[#This Row],[Explosives_kg]]/tblMiningDaily[[#This Row],[Blast_t]],"")</f>
        <v/>
      </c>
    </row>
    <row r="213">
      <c r="A213" s="54" t="n">
        <v>46230</v>
      </c>
      <c r="B213" s="55" t="n"/>
      <c r="C213" s="55" t="n"/>
      <c r="D213" s="55" t="n"/>
      <c r="E213" s="55" t="n"/>
      <c r="F213" s="55" t="n"/>
      <c r="G213" s="55" t="n"/>
      <c r="H213" s="58" t="n"/>
      <c r="I213" s="65">
        <f>IF(AND(tblMiningDaily[[#This Row],[Blast_t]]&lt;&gt;"",tblMiningDaily[[#This Row],[Blast_t]]&gt;0),tblMiningDaily[[#This Row],[Explosives_kg]]/tblMiningDaily[[#This Row],[Blast_t]],"")</f>
        <v/>
      </c>
    </row>
    <row r="214">
      <c r="A214" s="54" t="n">
        <v>46231</v>
      </c>
      <c r="B214" s="55" t="n"/>
      <c r="C214" s="55" t="n"/>
      <c r="D214" s="55" t="n"/>
      <c r="E214" s="55" t="n"/>
      <c r="F214" s="55" t="n"/>
      <c r="G214" s="55" t="n"/>
      <c r="H214" s="58" t="n"/>
      <c r="I214" s="65">
        <f>IF(AND(tblMiningDaily[[#This Row],[Blast_t]]&lt;&gt;"",tblMiningDaily[[#This Row],[Blast_t]]&gt;0),tblMiningDaily[[#This Row],[Explosives_kg]]/tblMiningDaily[[#This Row],[Blast_t]],"")</f>
        <v/>
      </c>
    </row>
    <row r="215">
      <c r="A215" s="54" t="n">
        <v>46232</v>
      </c>
      <c r="B215" s="55" t="n"/>
      <c r="C215" s="55" t="n"/>
      <c r="D215" s="55" t="n"/>
      <c r="E215" s="55" t="n"/>
      <c r="F215" s="55" t="n"/>
      <c r="G215" s="55" t="n"/>
      <c r="H215" s="58" t="n"/>
      <c r="I215" s="65">
        <f>IF(AND(tblMiningDaily[[#This Row],[Blast_t]]&lt;&gt;"",tblMiningDaily[[#This Row],[Blast_t]]&gt;0),tblMiningDaily[[#This Row],[Explosives_kg]]/tblMiningDaily[[#This Row],[Blast_t]],"")</f>
        <v/>
      </c>
    </row>
    <row r="216">
      <c r="A216" s="54" t="n">
        <v>46233</v>
      </c>
      <c r="B216" s="55" t="n"/>
      <c r="C216" s="55" t="n"/>
      <c r="D216" s="55" t="n"/>
      <c r="E216" s="55" t="n"/>
      <c r="F216" s="55" t="n"/>
      <c r="G216" s="55" t="n"/>
      <c r="H216" s="58" t="n"/>
      <c r="I216" s="65">
        <f>IF(AND(tblMiningDaily[[#This Row],[Blast_t]]&lt;&gt;"",tblMiningDaily[[#This Row],[Blast_t]]&gt;0),tblMiningDaily[[#This Row],[Explosives_kg]]/tblMiningDaily[[#This Row],[Blast_t]],"")</f>
        <v/>
      </c>
    </row>
    <row r="217">
      <c r="A217" s="54" t="n">
        <v>46234</v>
      </c>
      <c r="B217" s="55" t="n"/>
      <c r="C217" s="55" t="n"/>
      <c r="D217" s="55" t="n"/>
      <c r="E217" s="55" t="n"/>
      <c r="F217" s="55" t="n"/>
      <c r="G217" s="55" t="n"/>
      <c r="H217" s="58" t="n"/>
      <c r="I217" s="65">
        <f>IF(AND(tblMiningDaily[[#This Row],[Blast_t]]&lt;&gt;"",tblMiningDaily[[#This Row],[Blast_t]]&gt;0),tblMiningDaily[[#This Row],[Explosives_kg]]/tblMiningDaily[[#This Row],[Blast_t]],"")</f>
        <v/>
      </c>
    </row>
    <row r="218">
      <c r="A218" s="54" t="n">
        <v>46235</v>
      </c>
      <c r="B218" s="55" t="n"/>
      <c r="C218" s="55" t="n"/>
      <c r="D218" s="55" t="n"/>
      <c r="E218" s="55" t="n"/>
      <c r="F218" s="55" t="n"/>
      <c r="G218" s="55" t="n"/>
      <c r="H218" s="58" t="n"/>
      <c r="I218" s="65">
        <f>IF(AND(tblMiningDaily[[#This Row],[Blast_t]]&lt;&gt;"",tblMiningDaily[[#This Row],[Blast_t]]&gt;0),tblMiningDaily[[#This Row],[Explosives_kg]]/tblMiningDaily[[#This Row],[Blast_t]],"")</f>
        <v/>
      </c>
    </row>
    <row r="219">
      <c r="A219" s="54" t="n">
        <v>46236</v>
      </c>
      <c r="B219" s="55" t="n"/>
      <c r="C219" s="55" t="n"/>
      <c r="D219" s="55" t="n"/>
      <c r="E219" s="55" t="n"/>
      <c r="F219" s="55" t="n"/>
      <c r="G219" s="55" t="n"/>
      <c r="H219" s="58" t="n"/>
      <c r="I219" s="65">
        <f>IF(AND(tblMiningDaily[[#This Row],[Blast_t]]&lt;&gt;"",tblMiningDaily[[#This Row],[Blast_t]]&gt;0),tblMiningDaily[[#This Row],[Explosives_kg]]/tblMiningDaily[[#This Row],[Blast_t]],"")</f>
        <v/>
      </c>
    </row>
    <row r="220">
      <c r="A220" s="54" t="n">
        <v>46237</v>
      </c>
      <c r="B220" s="55" t="n"/>
      <c r="C220" s="55" t="n"/>
      <c r="D220" s="55" t="n"/>
      <c r="E220" s="55" t="n"/>
      <c r="F220" s="55" t="n"/>
      <c r="G220" s="55" t="n"/>
      <c r="H220" s="58" t="n"/>
      <c r="I220" s="65">
        <f>IF(AND(tblMiningDaily[[#This Row],[Blast_t]]&lt;&gt;"",tblMiningDaily[[#This Row],[Blast_t]]&gt;0),tblMiningDaily[[#This Row],[Explosives_kg]]/tblMiningDaily[[#This Row],[Blast_t]],"")</f>
        <v/>
      </c>
    </row>
    <row r="221">
      <c r="A221" s="54" t="n">
        <v>46238</v>
      </c>
      <c r="B221" s="55" t="n"/>
      <c r="C221" s="55" t="n"/>
      <c r="D221" s="55" t="n"/>
      <c r="E221" s="55" t="n"/>
      <c r="F221" s="55" t="n"/>
      <c r="G221" s="55" t="n"/>
      <c r="H221" s="58" t="n"/>
      <c r="I221" s="65">
        <f>IF(AND(tblMiningDaily[[#This Row],[Blast_t]]&lt;&gt;"",tblMiningDaily[[#This Row],[Blast_t]]&gt;0),tblMiningDaily[[#This Row],[Explosives_kg]]/tblMiningDaily[[#This Row],[Blast_t]],"")</f>
        <v/>
      </c>
    </row>
    <row r="222">
      <c r="A222" s="54" t="n">
        <v>46239</v>
      </c>
      <c r="B222" s="55" t="n"/>
      <c r="C222" s="55" t="n"/>
      <c r="D222" s="55" t="n"/>
      <c r="E222" s="55" t="n"/>
      <c r="F222" s="55" t="n"/>
      <c r="G222" s="55" t="n"/>
      <c r="H222" s="58" t="n"/>
      <c r="I222" s="65">
        <f>IF(AND(tblMiningDaily[[#This Row],[Blast_t]]&lt;&gt;"",tblMiningDaily[[#This Row],[Blast_t]]&gt;0),tblMiningDaily[[#This Row],[Explosives_kg]]/tblMiningDaily[[#This Row],[Blast_t]],"")</f>
        <v/>
      </c>
    </row>
    <row r="223">
      <c r="A223" s="54" t="n">
        <v>46240</v>
      </c>
      <c r="B223" s="55" t="n"/>
      <c r="C223" s="55" t="n"/>
      <c r="D223" s="55" t="n"/>
      <c r="E223" s="55" t="n"/>
      <c r="F223" s="55" t="n"/>
      <c r="G223" s="55" t="n"/>
      <c r="H223" s="58" t="n"/>
      <c r="I223" s="65">
        <f>IF(AND(tblMiningDaily[[#This Row],[Blast_t]]&lt;&gt;"",tblMiningDaily[[#This Row],[Blast_t]]&gt;0),tblMiningDaily[[#This Row],[Explosives_kg]]/tblMiningDaily[[#This Row],[Blast_t]],"")</f>
        <v/>
      </c>
    </row>
    <row r="224">
      <c r="A224" s="54" t="n">
        <v>46241</v>
      </c>
      <c r="B224" s="55" t="n"/>
      <c r="C224" s="55" t="n"/>
      <c r="D224" s="55" t="n"/>
      <c r="E224" s="55" t="n"/>
      <c r="F224" s="55" t="n"/>
      <c r="G224" s="55" t="n"/>
      <c r="H224" s="58" t="n"/>
      <c r="I224" s="65">
        <f>IF(AND(tblMiningDaily[[#This Row],[Blast_t]]&lt;&gt;"",tblMiningDaily[[#This Row],[Blast_t]]&gt;0),tblMiningDaily[[#This Row],[Explosives_kg]]/tblMiningDaily[[#This Row],[Blast_t]],"")</f>
        <v/>
      </c>
    </row>
    <row r="225">
      <c r="A225" s="54" t="n">
        <v>46242</v>
      </c>
      <c r="B225" s="55" t="n"/>
      <c r="C225" s="55" t="n"/>
      <c r="D225" s="55" t="n"/>
      <c r="E225" s="55" t="n"/>
      <c r="F225" s="55" t="n"/>
      <c r="G225" s="55" t="n"/>
      <c r="H225" s="58" t="n"/>
      <c r="I225" s="65">
        <f>IF(AND(tblMiningDaily[[#This Row],[Blast_t]]&lt;&gt;"",tblMiningDaily[[#This Row],[Blast_t]]&gt;0),tblMiningDaily[[#This Row],[Explosives_kg]]/tblMiningDaily[[#This Row],[Blast_t]],"")</f>
        <v/>
      </c>
    </row>
    <row r="226">
      <c r="A226" s="54" t="n">
        <v>46243</v>
      </c>
      <c r="B226" s="55" t="n"/>
      <c r="C226" s="55" t="n"/>
      <c r="D226" s="55" t="n"/>
      <c r="E226" s="55" t="n"/>
      <c r="F226" s="55" t="n"/>
      <c r="G226" s="55" t="n"/>
      <c r="H226" s="58" t="n"/>
      <c r="I226" s="65">
        <f>IF(AND(tblMiningDaily[[#This Row],[Blast_t]]&lt;&gt;"",tblMiningDaily[[#This Row],[Blast_t]]&gt;0),tblMiningDaily[[#This Row],[Explosives_kg]]/tblMiningDaily[[#This Row],[Blast_t]],"")</f>
        <v/>
      </c>
    </row>
    <row r="227">
      <c r="A227" s="54" t="n">
        <v>46244</v>
      </c>
      <c r="B227" s="55" t="n"/>
      <c r="C227" s="55" t="n"/>
      <c r="D227" s="55" t="n"/>
      <c r="E227" s="55" t="n"/>
      <c r="F227" s="55" t="n"/>
      <c r="G227" s="55" t="n"/>
      <c r="H227" s="58" t="n"/>
      <c r="I227" s="65">
        <f>IF(AND(tblMiningDaily[[#This Row],[Blast_t]]&lt;&gt;"",tblMiningDaily[[#This Row],[Blast_t]]&gt;0),tblMiningDaily[[#This Row],[Explosives_kg]]/tblMiningDaily[[#This Row],[Blast_t]],"")</f>
        <v/>
      </c>
    </row>
    <row r="228">
      <c r="A228" s="54" t="n">
        <v>46245</v>
      </c>
      <c r="B228" s="55" t="n"/>
      <c r="C228" s="55" t="n"/>
      <c r="D228" s="55" t="n"/>
      <c r="E228" s="55" t="n"/>
      <c r="F228" s="55" t="n"/>
      <c r="G228" s="55" t="n"/>
      <c r="H228" s="58" t="n"/>
      <c r="I228" s="65">
        <f>IF(AND(tblMiningDaily[[#This Row],[Blast_t]]&lt;&gt;"",tblMiningDaily[[#This Row],[Blast_t]]&gt;0),tblMiningDaily[[#This Row],[Explosives_kg]]/tblMiningDaily[[#This Row],[Blast_t]],"")</f>
        <v/>
      </c>
    </row>
    <row r="229">
      <c r="A229" s="54" t="n">
        <v>46246</v>
      </c>
      <c r="B229" s="55" t="n"/>
      <c r="C229" s="55" t="n"/>
      <c r="D229" s="55" t="n"/>
      <c r="E229" s="55" t="n"/>
      <c r="F229" s="55" t="n"/>
      <c r="G229" s="55" t="n"/>
      <c r="H229" s="58" t="n"/>
      <c r="I229" s="65">
        <f>IF(AND(tblMiningDaily[[#This Row],[Blast_t]]&lt;&gt;"",tblMiningDaily[[#This Row],[Blast_t]]&gt;0),tblMiningDaily[[#This Row],[Explosives_kg]]/tblMiningDaily[[#This Row],[Blast_t]],"")</f>
        <v/>
      </c>
    </row>
    <row r="230">
      <c r="A230" s="54" t="n">
        <v>46247</v>
      </c>
      <c r="B230" s="55" t="n"/>
      <c r="C230" s="55" t="n"/>
      <c r="D230" s="55" t="n"/>
      <c r="E230" s="55" t="n"/>
      <c r="F230" s="55" t="n"/>
      <c r="G230" s="55" t="n"/>
      <c r="H230" s="58" t="n"/>
      <c r="I230" s="65">
        <f>IF(AND(tblMiningDaily[[#This Row],[Blast_t]]&lt;&gt;"",tblMiningDaily[[#This Row],[Blast_t]]&gt;0),tblMiningDaily[[#This Row],[Explosives_kg]]/tblMiningDaily[[#This Row],[Blast_t]],"")</f>
        <v/>
      </c>
    </row>
    <row r="231">
      <c r="A231" s="54" t="n">
        <v>46248</v>
      </c>
      <c r="B231" s="55" t="n"/>
      <c r="C231" s="55" t="n"/>
      <c r="D231" s="55" t="n"/>
      <c r="E231" s="55" t="n"/>
      <c r="F231" s="55" t="n"/>
      <c r="G231" s="55" t="n"/>
      <c r="H231" s="58" t="n"/>
      <c r="I231" s="65">
        <f>IF(AND(tblMiningDaily[[#This Row],[Blast_t]]&lt;&gt;"",tblMiningDaily[[#This Row],[Blast_t]]&gt;0),tblMiningDaily[[#This Row],[Explosives_kg]]/tblMiningDaily[[#This Row],[Blast_t]],"")</f>
        <v/>
      </c>
    </row>
    <row r="232">
      <c r="A232" s="54" t="n">
        <v>46249</v>
      </c>
      <c r="B232" s="55" t="n"/>
      <c r="C232" s="55" t="n"/>
      <c r="D232" s="55" t="n"/>
      <c r="E232" s="55" t="n"/>
      <c r="F232" s="55" t="n"/>
      <c r="G232" s="55" t="n"/>
      <c r="H232" s="58" t="n"/>
      <c r="I232" s="65">
        <f>IF(AND(tblMiningDaily[[#This Row],[Blast_t]]&lt;&gt;"",tblMiningDaily[[#This Row],[Blast_t]]&gt;0),tblMiningDaily[[#This Row],[Explosives_kg]]/tblMiningDaily[[#This Row],[Blast_t]],"")</f>
        <v/>
      </c>
    </row>
    <row r="233">
      <c r="A233" s="54" t="n">
        <v>46250</v>
      </c>
      <c r="B233" s="55" t="n"/>
      <c r="C233" s="55" t="n"/>
      <c r="D233" s="55" t="n"/>
      <c r="E233" s="55" t="n"/>
      <c r="F233" s="55" t="n"/>
      <c r="G233" s="55" t="n"/>
      <c r="H233" s="58" t="n"/>
      <c r="I233" s="65">
        <f>IF(AND(tblMiningDaily[[#This Row],[Blast_t]]&lt;&gt;"",tblMiningDaily[[#This Row],[Blast_t]]&gt;0),tblMiningDaily[[#This Row],[Explosives_kg]]/tblMiningDaily[[#This Row],[Blast_t]],"")</f>
        <v/>
      </c>
    </row>
    <row r="234">
      <c r="A234" s="54" t="n">
        <v>46251</v>
      </c>
      <c r="B234" s="55" t="n"/>
      <c r="C234" s="55" t="n"/>
      <c r="D234" s="55" t="n"/>
      <c r="E234" s="55" t="n"/>
      <c r="F234" s="55" t="n"/>
      <c r="G234" s="55" t="n"/>
      <c r="H234" s="58" t="n"/>
      <c r="I234" s="65">
        <f>IF(AND(tblMiningDaily[[#This Row],[Blast_t]]&lt;&gt;"",tblMiningDaily[[#This Row],[Blast_t]]&gt;0),tblMiningDaily[[#This Row],[Explosives_kg]]/tblMiningDaily[[#This Row],[Blast_t]],"")</f>
        <v/>
      </c>
    </row>
    <row r="235">
      <c r="A235" s="54" t="n">
        <v>46252</v>
      </c>
      <c r="B235" s="55" t="n"/>
      <c r="C235" s="55" t="n"/>
      <c r="D235" s="55" t="n"/>
      <c r="E235" s="55" t="n"/>
      <c r="F235" s="55" t="n"/>
      <c r="G235" s="55" t="n"/>
      <c r="H235" s="58" t="n"/>
      <c r="I235" s="65">
        <f>IF(AND(tblMiningDaily[[#This Row],[Blast_t]]&lt;&gt;"",tblMiningDaily[[#This Row],[Blast_t]]&gt;0),tblMiningDaily[[#This Row],[Explosives_kg]]/tblMiningDaily[[#This Row],[Blast_t]],"")</f>
        <v/>
      </c>
    </row>
    <row r="236">
      <c r="A236" s="54" t="n">
        <v>46253</v>
      </c>
      <c r="B236" s="55" t="n"/>
      <c r="C236" s="55" t="n"/>
      <c r="D236" s="55" t="n"/>
      <c r="E236" s="55" t="n"/>
      <c r="F236" s="55" t="n"/>
      <c r="G236" s="55" t="n"/>
      <c r="H236" s="58" t="n"/>
      <c r="I236" s="65">
        <f>IF(AND(tblMiningDaily[[#This Row],[Blast_t]]&lt;&gt;"",tblMiningDaily[[#This Row],[Blast_t]]&gt;0),tblMiningDaily[[#This Row],[Explosives_kg]]/tblMiningDaily[[#This Row],[Blast_t]],"")</f>
        <v/>
      </c>
    </row>
    <row r="237">
      <c r="A237" s="54" t="n">
        <v>46254</v>
      </c>
      <c r="B237" s="55" t="n"/>
      <c r="C237" s="55" t="n"/>
      <c r="D237" s="55" t="n"/>
      <c r="E237" s="55" t="n"/>
      <c r="F237" s="55" t="n"/>
      <c r="G237" s="55" t="n"/>
      <c r="H237" s="58" t="n"/>
      <c r="I237" s="65">
        <f>IF(AND(tblMiningDaily[[#This Row],[Blast_t]]&lt;&gt;"",tblMiningDaily[[#This Row],[Blast_t]]&gt;0),tblMiningDaily[[#This Row],[Explosives_kg]]/tblMiningDaily[[#This Row],[Blast_t]],"")</f>
        <v/>
      </c>
    </row>
    <row r="238">
      <c r="A238" s="54" t="n">
        <v>46255</v>
      </c>
      <c r="B238" s="55" t="n"/>
      <c r="C238" s="55" t="n"/>
      <c r="D238" s="55" t="n"/>
      <c r="E238" s="55" t="n"/>
      <c r="F238" s="55" t="n"/>
      <c r="G238" s="55" t="n"/>
      <c r="H238" s="58" t="n"/>
      <c r="I238" s="65">
        <f>IF(AND(tblMiningDaily[[#This Row],[Blast_t]]&lt;&gt;"",tblMiningDaily[[#This Row],[Blast_t]]&gt;0),tblMiningDaily[[#This Row],[Explosives_kg]]/tblMiningDaily[[#This Row],[Blast_t]],"")</f>
        <v/>
      </c>
    </row>
    <row r="239">
      <c r="A239" s="54" t="n">
        <v>46256</v>
      </c>
      <c r="B239" s="55" t="n"/>
      <c r="C239" s="55" t="n"/>
      <c r="D239" s="55" t="n"/>
      <c r="E239" s="55" t="n"/>
      <c r="F239" s="55" t="n"/>
      <c r="G239" s="55" t="n"/>
      <c r="H239" s="58" t="n"/>
      <c r="I239" s="65">
        <f>IF(AND(tblMiningDaily[[#This Row],[Blast_t]]&lt;&gt;"",tblMiningDaily[[#This Row],[Blast_t]]&gt;0),tblMiningDaily[[#This Row],[Explosives_kg]]/tblMiningDaily[[#This Row],[Blast_t]],"")</f>
        <v/>
      </c>
    </row>
    <row r="240">
      <c r="A240" s="54" t="n">
        <v>46257</v>
      </c>
      <c r="B240" s="55" t="n"/>
      <c r="C240" s="55" t="n"/>
      <c r="D240" s="55" t="n"/>
      <c r="E240" s="55" t="n"/>
      <c r="F240" s="55" t="n"/>
      <c r="G240" s="55" t="n"/>
      <c r="H240" s="58" t="n"/>
      <c r="I240" s="65">
        <f>IF(AND(tblMiningDaily[[#This Row],[Blast_t]]&lt;&gt;"",tblMiningDaily[[#This Row],[Blast_t]]&gt;0),tblMiningDaily[[#This Row],[Explosives_kg]]/tblMiningDaily[[#This Row],[Blast_t]],"")</f>
        <v/>
      </c>
    </row>
    <row r="241">
      <c r="A241" s="54" t="n">
        <v>46258</v>
      </c>
      <c r="B241" s="55" t="n"/>
      <c r="C241" s="55" t="n"/>
      <c r="D241" s="55" t="n"/>
      <c r="E241" s="55" t="n"/>
      <c r="F241" s="55" t="n"/>
      <c r="G241" s="55" t="n"/>
      <c r="H241" s="58" t="n"/>
      <c r="I241" s="65">
        <f>IF(AND(tblMiningDaily[[#This Row],[Blast_t]]&lt;&gt;"",tblMiningDaily[[#This Row],[Blast_t]]&gt;0),tblMiningDaily[[#This Row],[Explosives_kg]]/tblMiningDaily[[#This Row],[Blast_t]],"")</f>
        <v/>
      </c>
    </row>
    <row r="242">
      <c r="A242" s="54" t="n">
        <v>46259</v>
      </c>
      <c r="B242" s="55" t="n"/>
      <c r="C242" s="55" t="n"/>
      <c r="D242" s="55" t="n"/>
      <c r="E242" s="55" t="n"/>
      <c r="F242" s="55" t="n"/>
      <c r="G242" s="55" t="n"/>
      <c r="H242" s="58" t="n"/>
      <c r="I242" s="65">
        <f>IF(AND(tblMiningDaily[[#This Row],[Blast_t]]&lt;&gt;"",tblMiningDaily[[#This Row],[Blast_t]]&gt;0),tblMiningDaily[[#This Row],[Explosives_kg]]/tblMiningDaily[[#This Row],[Blast_t]],"")</f>
        <v/>
      </c>
    </row>
    <row r="243">
      <c r="A243" s="54" t="n">
        <v>46260</v>
      </c>
      <c r="B243" s="55" t="n"/>
      <c r="C243" s="55" t="n"/>
      <c r="D243" s="55" t="n"/>
      <c r="E243" s="55" t="n"/>
      <c r="F243" s="55" t="n"/>
      <c r="G243" s="55" t="n"/>
      <c r="H243" s="58" t="n"/>
      <c r="I243" s="65">
        <f>IF(AND(tblMiningDaily[[#This Row],[Blast_t]]&lt;&gt;"",tblMiningDaily[[#This Row],[Blast_t]]&gt;0),tblMiningDaily[[#This Row],[Explosives_kg]]/tblMiningDaily[[#This Row],[Blast_t]],"")</f>
        <v/>
      </c>
    </row>
    <row r="244">
      <c r="A244" s="54" t="n">
        <v>46261</v>
      </c>
      <c r="B244" s="55" t="n"/>
      <c r="C244" s="55" t="n"/>
      <c r="D244" s="55" t="n"/>
      <c r="E244" s="55" t="n"/>
      <c r="F244" s="55" t="n"/>
      <c r="G244" s="55" t="n"/>
      <c r="H244" s="58" t="n"/>
      <c r="I244" s="65">
        <f>IF(AND(tblMiningDaily[[#This Row],[Blast_t]]&lt;&gt;"",tblMiningDaily[[#This Row],[Blast_t]]&gt;0),tblMiningDaily[[#This Row],[Explosives_kg]]/tblMiningDaily[[#This Row],[Blast_t]],"")</f>
        <v/>
      </c>
    </row>
    <row r="245">
      <c r="A245" s="54" t="n">
        <v>46262</v>
      </c>
      <c r="B245" s="55" t="n"/>
      <c r="C245" s="55" t="n"/>
      <c r="D245" s="55" t="n"/>
      <c r="E245" s="55" t="n"/>
      <c r="F245" s="55" t="n"/>
      <c r="G245" s="55" t="n"/>
      <c r="H245" s="58" t="n"/>
      <c r="I245" s="65">
        <f>IF(AND(tblMiningDaily[[#This Row],[Blast_t]]&lt;&gt;"",tblMiningDaily[[#This Row],[Blast_t]]&gt;0),tblMiningDaily[[#This Row],[Explosives_kg]]/tblMiningDaily[[#This Row],[Blast_t]],"")</f>
        <v/>
      </c>
    </row>
    <row r="246">
      <c r="A246" s="54" t="n">
        <v>46263</v>
      </c>
      <c r="B246" s="55" t="n"/>
      <c r="C246" s="55" t="n"/>
      <c r="D246" s="55" t="n"/>
      <c r="E246" s="55" t="n"/>
      <c r="F246" s="55" t="n"/>
      <c r="G246" s="55" t="n"/>
      <c r="H246" s="58" t="n"/>
      <c r="I246" s="65">
        <f>IF(AND(tblMiningDaily[[#This Row],[Blast_t]]&lt;&gt;"",tblMiningDaily[[#This Row],[Blast_t]]&gt;0),tblMiningDaily[[#This Row],[Explosives_kg]]/tblMiningDaily[[#This Row],[Blast_t]],"")</f>
        <v/>
      </c>
    </row>
    <row r="247">
      <c r="A247" s="54" t="n">
        <v>46264</v>
      </c>
      <c r="B247" s="55" t="n"/>
      <c r="C247" s="55" t="n"/>
      <c r="D247" s="55" t="n"/>
      <c r="E247" s="55" t="n"/>
      <c r="F247" s="55" t="n"/>
      <c r="G247" s="55" t="n"/>
      <c r="H247" s="58" t="n"/>
      <c r="I247" s="65">
        <f>IF(AND(tblMiningDaily[[#This Row],[Blast_t]]&lt;&gt;"",tblMiningDaily[[#This Row],[Blast_t]]&gt;0),tblMiningDaily[[#This Row],[Explosives_kg]]/tblMiningDaily[[#This Row],[Blast_t]],"")</f>
        <v/>
      </c>
    </row>
    <row r="248">
      <c r="A248" s="54" t="n">
        <v>46265</v>
      </c>
      <c r="B248" s="55" t="n"/>
      <c r="C248" s="55" t="n"/>
      <c r="D248" s="55" t="n"/>
      <c r="E248" s="55" t="n"/>
      <c r="F248" s="55" t="n"/>
      <c r="G248" s="55" t="n"/>
      <c r="H248" s="58" t="n"/>
      <c r="I248" s="65">
        <f>IF(AND(tblMiningDaily[[#This Row],[Blast_t]]&lt;&gt;"",tblMiningDaily[[#This Row],[Blast_t]]&gt;0),tblMiningDaily[[#This Row],[Explosives_kg]]/tblMiningDaily[[#This Row],[Blast_t]],"")</f>
        <v/>
      </c>
    </row>
    <row r="249">
      <c r="A249" s="54" t="n">
        <v>46266</v>
      </c>
      <c r="B249" s="55" t="n"/>
      <c r="C249" s="55" t="n"/>
      <c r="D249" s="55" t="n"/>
      <c r="E249" s="55" t="n"/>
      <c r="F249" s="55" t="n"/>
      <c r="G249" s="55" t="n"/>
      <c r="H249" s="58" t="n"/>
      <c r="I249" s="65">
        <f>IF(AND(tblMiningDaily[[#This Row],[Blast_t]]&lt;&gt;"",tblMiningDaily[[#This Row],[Blast_t]]&gt;0),tblMiningDaily[[#This Row],[Explosives_kg]]/tblMiningDaily[[#This Row],[Blast_t]],"")</f>
        <v/>
      </c>
    </row>
    <row r="250">
      <c r="A250" s="54" t="n">
        <v>46267</v>
      </c>
      <c r="B250" s="55" t="n"/>
      <c r="C250" s="55" t="n"/>
      <c r="D250" s="55" t="n"/>
      <c r="E250" s="55" t="n"/>
      <c r="F250" s="55" t="n"/>
      <c r="G250" s="55" t="n"/>
      <c r="H250" s="58" t="n"/>
      <c r="I250" s="65">
        <f>IF(AND(tblMiningDaily[[#This Row],[Blast_t]]&lt;&gt;"",tblMiningDaily[[#This Row],[Blast_t]]&gt;0),tblMiningDaily[[#This Row],[Explosives_kg]]/tblMiningDaily[[#This Row],[Blast_t]],"")</f>
        <v/>
      </c>
    </row>
    <row r="251">
      <c r="A251" s="54" t="n">
        <v>46268</v>
      </c>
      <c r="B251" s="55" t="n"/>
      <c r="C251" s="55" t="n"/>
      <c r="D251" s="55" t="n"/>
      <c r="E251" s="55" t="n"/>
      <c r="F251" s="55" t="n"/>
      <c r="G251" s="55" t="n"/>
      <c r="H251" s="58" t="n"/>
      <c r="I251" s="65">
        <f>IF(AND(tblMiningDaily[[#This Row],[Blast_t]]&lt;&gt;"",tblMiningDaily[[#This Row],[Blast_t]]&gt;0),tblMiningDaily[[#This Row],[Explosives_kg]]/tblMiningDaily[[#This Row],[Blast_t]],"")</f>
        <v/>
      </c>
    </row>
    <row r="252">
      <c r="A252" s="54" t="n">
        <v>46269</v>
      </c>
      <c r="B252" s="55" t="n"/>
      <c r="C252" s="55" t="n"/>
      <c r="D252" s="55" t="n"/>
      <c r="E252" s="55" t="n"/>
      <c r="F252" s="55" t="n"/>
      <c r="G252" s="55" t="n"/>
      <c r="H252" s="58" t="n"/>
      <c r="I252" s="65">
        <f>IF(AND(tblMiningDaily[[#This Row],[Blast_t]]&lt;&gt;"",tblMiningDaily[[#This Row],[Blast_t]]&gt;0),tblMiningDaily[[#This Row],[Explosives_kg]]/tblMiningDaily[[#This Row],[Blast_t]],"")</f>
        <v/>
      </c>
    </row>
    <row r="253">
      <c r="A253" s="54" t="n">
        <v>46270</v>
      </c>
      <c r="B253" s="55" t="n"/>
      <c r="C253" s="55" t="n"/>
      <c r="D253" s="55" t="n"/>
      <c r="E253" s="55" t="n"/>
      <c r="F253" s="55" t="n"/>
      <c r="G253" s="55" t="n"/>
      <c r="H253" s="58" t="n"/>
      <c r="I253" s="65">
        <f>IF(AND(tblMiningDaily[[#This Row],[Blast_t]]&lt;&gt;"",tblMiningDaily[[#This Row],[Blast_t]]&gt;0),tblMiningDaily[[#This Row],[Explosives_kg]]/tblMiningDaily[[#This Row],[Blast_t]],"")</f>
        <v/>
      </c>
    </row>
    <row r="254">
      <c r="A254" s="54" t="n">
        <v>46271</v>
      </c>
      <c r="B254" s="55" t="n"/>
      <c r="C254" s="55" t="n"/>
      <c r="D254" s="55" t="n"/>
      <c r="E254" s="55" t="n"/>
      <c r="F254" s="55" t="n"/>
      <c r="G254" s="55" t="n"/>
      <c r="H254" s="58" t="n"/>
      <c r="I254" s="65">
        <f>IF(AND(tblMiningDaily[[#This Row],[Blast_t]]&lt;&gt;"",tblMiningDaily[[#This Row],[Blast_t]]&gt;0),tblMiningDaily[[#This Row],[Explosives_kg]]/tblMiningDaily[[#This Row],[Blast_t]],"")</f>
        <v/>
      </c>
    </row>
    <row r="255">
      <c r="A255" s="54" t="n">
        <v>46272</v>
      </c>
      <c r="B255" s="55" t="n"/>
      <c r="C255" s="55" t="n"/>
      <c r="D255" s="55" t="n"/>
      <c r="E255" s="55" t="n"/>
      <c r="F255" s="55" t="n"/>
      <c r="G255" s="55" t="n"/>
      <c r="H255" s="58" t="n"/>
      <c r="I255" s="65">
        <f>IF(AND(tblMiningDaily[[#This Row],[Blast_t]]&lt;&gt;"",tblMiningDaily[[#This Row],[Blast_t]]&gt;0),tblMiningDaily[[#This Row],[Explosives_kg]]/tblMiningDaily[[#This Row],[Blast_t]],"")</f>
        <v/>
      </c>
    </row>
    <row r="256">
      <c r="A256" s="54" t="n">
        <v>46273</v>
      </c>
      <c r="B256" s="55" t="n"/>
      <c r="C256" s="55" t="n"/>
      <c r="D256" s="55" t="n"/>
      <c r="E256" s="55" t="n"/>
      <c r="F256" s="55" t="n"/>
      <c r="G256" s="55" t="n"/>
      <c r="H256" s="58" t="n"/>
      <c r="I256" s="65">
        <f>IF(AND(tblMiningDaily[[#This Row],[Blast_t]]&lt;&gt;"",tblMiningDaily[[#This Row],[Blast_t]]&gt;0),tblMiningDaily[[#This Row],[Explosives_kg]]/tblMiningDaily[[#This Row],[Blast_t]],"")</f>
        <v/>
      </c>
    </row>
    <row r="257">
      <c r="A257" s="54" t="n">
        <v>46274</v>
      </c>
      <c r="B257" s="55" t="n"/>
      <c r="C257" s="55" t="n"/>
      <c r="D257" s="55" t="n"/>
      <c r="E257" s="55" t="n"/>
      <c r="F257" s="55" t="n"/>
      <c r="G257" s="55" t="n"/>
      <c r="H257" s="58" t="n"/>
      <c r="I257" s="65">
        <f>IF(AND(tblMiningDaily[[#This Row],[Blast_t]]&lt;&gt;"",tblMiningDaily[[#This Row],[Blast_t]]&gt;0),tblMiningDaily[[#This Row],[Explosives_kg]]/tblMiningDaily[[#This Row],[Blast_t]],"")</f>
        <v/>
      </c>
    </row>
    <row r="258">
      <c r="A258" s="54" t="n">
        <v>46275</v>
      </c>
      <c r="B258" s="55" t="n"/>
      <c r="C258" s="55" t="n"/>
      <c r="D258" s="55" t="n"/>
      <c r="E258" s="55" t="n"/>
      <c r="F258" s="55" t="n"/>
      <c r="G258" s="55" t="n"/>
      <c r="H258" s="58" t="n"/>
      <c r="I258" s="65">
        <f>IF(AND(tblMiningDaily[[#This Row],[Blast_t]]&lt;&gt;"",tblMiningDaily[[#This Row],[Blast_t]]&gt;0),tblMiningDaily[[#This Row],[Explosives_kg]]/tblMiningDaily[[#This Row],[Blast_t]],"")</f>
        <v/>
      </c>
    </row>
    <row r="259">
      <c r="A259" s="54" t="n">
        <v>46276</v>
      </c>
      <c r="B259" s="55" t="n"/>
      <c r="C259" s="55" t="n"/>
      <c r="D259" s="55" t="n"/>
      <c r="E259" s="55" t="n"/>
      <c r="F259" s="55" t="n"/>
      <c r="G259" s="55" t="n"/>
      <c r="H259" s="58" t="n"/>
      <c r="I259" s="65">
        <f>IF(AND(tblMiningDaily[[#This Row],[Blast_t]]&lt;&gt;"",tblMiningDaily[[#This Row],[Blast_t]]&gt;0),tblMiningDaily[[#This Row],[Explosives_kg]]/tblMiningDaily[[#This Row],[Blast_t]],"")</f>
        <v/>
      </c>
    </row>
    <row r="260">
      <c r="A260" s="54" t="n">
        <v>46277</v>
      </c>
      <c r="B260" s="55" t="n"/>
      <c r="C260" s="55" t="n"/>
      <c r="D260" s="55" t="n"/>
      <c r="E260" s="55" t="n"/>
      <c r="F260" s="55" t="n"/>
      <c r="G260" s="55" t="n"/>
      <c r="H260" s="58" t="n"/>
      <c r="I260" s="65">
        <f>IF(AND(tblMiningDaily[[#This Row],[Blast_t]]&lt;&gt;"",tblMiningDaily[[#This Row],[Blast_t]]&gt;0),tblMiningDaily[[#This Row],[Explosives_kg]]/tblMiningDaily[[#This Row],[Blast_t]],"")</f>
        <v/>
      </c>
    </row>
    <row r="261">
      <c r="A261" s="54" t="n">
        <v>46278</v>
      </c>
      <c r="B261" s="55" t="n"/>
      <c r="C261" s="55" t="n"/>
      <c r="D261" s="55" t="n"/>
      <c r="E261" s="55" t="n"/>
      <c r="F261" s="55" t="n"/>
      <c r="G261" s="55" t="n"/>
      <c r="H261" s="58" t="n"/>
      <c r="I261" s="65">
        <f>IF(AND(tblMiningDaily[[#This Row],[Blast_t]]&lt;&gt;"",tblMiningDaily[[#This Row],[Blast_t]]&gt;0),tblMiningDaily[[#This Row],[Explosives_kg]]/tblMiningDaily[[#This Row],[Blast_t]],"")</f>
        <v/>
      </c>
    </row>
    <row r="262">
      <c r="A262" s="54" t="n">
        <v>46279</v>
      </c>
      <c r="B262" s="55" t="n"/>
      <c r="C262" s="55" t="n"/>
      <c r="D262" s="55" t="n"/>
      <c r="E262" s="55" t="n"/>
      <c r="F262" s="55" t="n"/>
      <c r="G262" s="55" t="n"/>
      <c r="H262" s="58" t="n"/>
      <c r="I262" s="65">
        <f>IF(AND(tblMiningDaily[[#This Row],[Blast_t]]&lt;&gt;"",tblMiningDaily[[#This Row],[Blast_t]]&gt;0),tblMiningDaily[[#This Row],[Explosives_kg]]/tblMiningDaily[[#This Row],[Blast_t]],"")</f>
        <v/>
      </c>
    </row>
    <row r="263">
      <c r="A263" s="54" t="n">
        <v>46280</v>
      </c>
      <c r="B263" s="55" t="n"/>
      <c r="C263" s="55" t="n"/>
      <c r="D263" s="55" t="n"/>
      <c r="E263" s="55" t="n"/>
      <c r="F263" s="55" t="n"/>
      <c r="G263" s="55" t="n"/>
      <c r="H263" s="58" t="n"/>
      <c r="I263" s="65">
        <f>IF(AND(tblMiningDaily[[#This Row],[Blast_t]]&lt;&gt;"",tblMiningDaily[[#This Row],[Blast_t]]&gt;0),tblMiningDaily[[#This Row],[Explosives_kg]]/tblMiningDaily[[#This Row],[Blast_t]],"")</f>
        <v/>
      </c>
    </row>
    <row r="264">
      <c r="A264" s="54" t="n">
        <v>46281</v>
      </c>
      <c r="B264" s="55" t="n"/>
      <c r="C264" s="55" t="n"/>
      <c r="D264" s="55" t="n"/>
      <c r="E264" s="55" t="n"/>
      <c r="F264" s="55" t="n"/>
      <c r="G264" s="55" t="n"/>
      <c r="H264" s="58" t="n"/>
      <c r="I264" s="65">
        <f>IF(AND(tblMiningDaily[[#This Row],[Blast_t]]&lt;&gt;"",tblMiningDaily[[#This Row],[Blast_t]]&gt;0),tblMiningDaily[[#This Row],[Explosives_kg]]/tblMiningDaily[[#This Row],[Blast_t]],"")</f>
        <v/>
      </c>
    </row>
    <row r="265">
      <c r="A265" s="54" t="n">
        <v>46282</v>
      </c>
      <c r="B265" s="55" t="n"/>
      <c r="C265" s="55" t="n"/>
      <c r="D265" s="55" t="n"/>
      <c r="E265" s="55" t="n"/>
      <c r="F265" s="55" t="n"/>
      <c r="G265" s="55" t="n"/>
      <c r="H265" s="58" t="n"/>
      <c r="I265" s="65">
        <f>IF(AND(tblMiningDaily[[#This Row],[Blast_t]]&lt;&gt;"",tblMiningDaily[[#This Row],[Blast_t]]&gt;0),tblMiningDaily[[#This Row],[Explosives_kg]]/tblMiningDaily[[#This Row],[Blast_t]],"")</f>
        <v/>
      </c>
    </row>
    <row r="266">
      <c r="A266" s="54" t="n">
        <v>46283</v>
      </c>
      <c r="B266" s="55" t="n"/>
      <c r="C266" s="55" t="n"/>
      <c r="D266" s="55" t="n"/>
      <c r="E266" s="55" t="n"/>
      <c r="F266" s="55" t="n"/>
      <c r="G266" s="55" t="n"/>
      <c r="H266" s="58" t="n"/>
      <c r="I266" s="65">
        <f>IF(AND(tblMiningDaily[[#This Row],[Blast_t]]&lt;&gt;"",tblMiningDaily[[#This Row],[Blast_t]]&gt;0),tblMiningDaily[[#This Row],[Explosives_kg]]/tblMiningDaily[[#This Row],[Blast_t]],"")</f>
        <v/>
      </c>
    </row>
    <row r="267">
      <c r="A267" s="54" t="n">
        <v>46284</v>
      </c>
      <c r="B267" s="55" t="n"/>
      <c r="C267" s="55" t="n"/>
      <c r="D267" s="55" t="n"/>
      <c r="E267" s="55" t="n"/>
      <c r="F267" s="55" t="n"/>
      <c r="G267" s="55" t="n"/>
      <c r="H267" s="58" t="n"/>
      <c r="I267" s="65">
        <f>IF(AND(tblMiningDaily[[#This Row],[Blast_t]]&lt;&gt;"",tblMiningDaily[[#This Row],[Blast_t]]&gt;0),tblMiningDaily[[#This Row],[Explosives_kg]]/tblMiningDaily[[#This Row],[Blast_t]],"")</f>
        <v/>
      </c>
    </row>
    <row r="268">
      <c r="A268" s="54" t="n">
        <v>46285</v>
      </c>
      <c r="B268" s="55" t="n"/>
      <c r="C268" s="55" t="n"/>
      <c r="D268" s="55" t="n"/>
      <c r="E268" s="55" t="n"/>
      <c r="F268" s="55" t="n"/>
      <c r="G268" s="55" t="n"/>
      <c r="H268" s="58" t="n"/>
      <c r="I268" s="65">
        <f>IF(AND(tblMiningDaily[[#This Row],[Blast_t]]&lt;&gt;"",tblMiningDaily[[#This Row],[Blast_t]]&gt;0),tblMiningDaily[[#This Row],[Explosives_kg]]/tblMiningDaily[[#This Row],[Blast_t]],"")</f>
        <v/>
      </c>
    </row>
    <row r="269">
      <c r="A269" s="54" t="n">
        <v>46286</v>
      </c>
      <c r="B269" s="55" t="n"/>
      <c r="C269" s="55" t="n"/>
      <c r="D269" s="55" t="n"/>
      <c r="E269" s="55" t="n"/>
      <c r="F269" s="55" t="n"/>
      <c r="G269" s="55" t="n"/>
      <c r="H269" s="58" t="n"/>
      <c r="I269" s="65">
        <f>IF(AND(tblMiningDaily[[#This Row],[Blast_t]]&lt;&gt;"",tblMiningDaily[[#This Row],[Blast_t]]&gt;0),tblMiningDaily[[#This Row],[Explosives_kg]]/tblMiningDaily[[#This Row],[Blast_t]],"")</f>
        <v/>
      </c>
    </row>
    <row r="270">
      <c r="A270" s="54" t="n">
        <v>46287</v>
      </c>
      <c r="B270" s="55" t="n"/>
      <c r="C270" s="55" t="n"/>
      <c r="D270" s="55" t="n"/>
      <c r="E270" s="55" t="n"/>
      <c r="F270" s="55" t="n"/>
      <c r="G270" s="55" t="n"/>
      <c r="H270" s="58" t="n"/>
      <c r="I270" s="65">
        <f>IF(AND(tblMiningDaily[[#This Row],[Blast_t]]&lt;&gt;"",tblMiningDaily[[#This Row],[Blast_t]]&gt;0),tblMiningDaily[[#This Row],[Explosives_kg]]/tblMiningDaily[[#This Row],[Blast_t]],"")</f>
        <v/>
      </c>
    </row>
    <row r="271">
      <c r="A271" s="54" t="n">
        <v>46288</v>
      </c>
      <c r="B271" s="55" t="n"/>
      <c r="C271" s="55" t="n"/>
      <c r="D271" s="55" t="n"/>
      <c r="E271" s="55" t="n"/>
      <c r="F271" s="55" t="n"/>
      <c r="G271" s="55" t="n"/>
      <c r="H271" s="58" t="n"/>
      <c r="I271" s="65">
        <f>IF(AND(tblMiningDaily[[#This Row],[Blast_t]]&lt;&gt;"",tblMiningDaily[[#This Row],[Blast_t]]&gt;0),tblMiningDaily[[#This Row],[Explosives_kg]]/tblMiningDaily[[#This Row],[Blast_t]],"")</f>
        <v/>
      </c>
    </row>
    <row r="272">
      <c r="A272" s="54" t="n">
        <v>46289</v>
      </c>
      <c r="B272" s="55" t="n"/>
      <c r="C272" s="55" t="n"/>
      <c r="D272" s="55" t="n"/>
      <c r="E272" s="55" t="n"/>
      <c r="F272" s="55" t="n"/>
      <c r="G272" s="55" t="n"/>
      <c r="H272" s="58" t="n"/>
      <c r="I272" s="65">
        <f>IF(AND(tblMiningDaily[[#This Row],[Blast_t]]&lt;&gt;"",tblMiningDaily[[#This Row],[Blast_t]]&gt;0),tblMiningDaily[[#This Row],[Explosives_kg]]/tblMiningDaily[[#This Row],[Blast_t]],"")</f>
        <v/>
      </c>
    </row>
    <row r="273">
      <c r="A273" s="54" t="n">
        <v>46290</v>
      </c>
      <c r="B273" s="55" t="n"/>
      <c r="C273" s="55" t="n"/>
      <c r="D273" s="55" t="n"/>
      <c r="E273" s="55" t="n"/>
      <c r="F273" s="55" t="n"/>
      <c r="G273" s="55" t="n"/>
      <c r="H273" s="58" t="n"/>
      <c r="I273" s="65">
        <f>IF(AND(tblMiningDaily[[#This Row],[Blast_t]]&lt;&gt;"",tblMiningDaily[[#This Row],[Blast_t]]&gt;0),tblMiningDaily[[#This Row],[Explosives_kg]]/tblMiningDaily[[#This Row],[Blast_t]],"")</f>
        <v/>
      </c>
    </row>
    <row r="274">
      <c r="A274" s="54" t="n">
        <v>46291</v>
      </c>
      <c r="B274" s="55" t="n"/>
      <c r="C274" s="55" t="n"/>
      <c r="D274" s="55" t="n"/>
      <c r="E274" s="55" t="n"/>
      <c r="F274" s="55" t="n"/>
      <c r="G274" s="55" t="n"/>
      <c r="H274" s="58" t="n"/>
      <c r="I274" s="65">
        <f>IF(AND(tblMiningDaily[[#This Row],[Blast_t]]&lt;&gt;"",tblMiningDaily[[#This Row],[Blast_t]]&gt;0),tblMiningDaily[[#This Row],[Explosives_kg]]/tblMiningDaily[[#This Row],[Blast_t]],"")</f>
        <v/>
      </c>
    </row>
    <row r="275">
      <c r="A275" s="54" t="n">
        <v>46292</v>
      </c>
      <c r="B275" s="55" t="n"/>
      <c r="C275" s="55" t="n"/>
      <c r="D275" s="55" t="n"/>
      <c r="E275" s="55" t="n"/>
      <c r="F275" s="55" t="n"/>
      <c r="G275" s="55" t="n"/>
      <c r="H275" s="58" t="n"/>
      <c r="I275" s="65">
        <f>IF(AND(tblMiningDaily[[#This Row],[Blast_t]]&lt;&gt;"",tblMiningDaily[[#This Row],[Blast_t]]&gt;0),tblMiningDaily[[#This Row],[Explosives_kg]]/tblMiningDaily[[#This Row],[Blast_t]],"")</f>
        <v/>
      </c>
    </row>
    <row r="276">
      <c r="A276" s="54" t="n">
        <v>46293</v>
      </c>
      <c r="B276" s="55" t="n"/>
      <c r="C276" s="55" t="n"/>
      <c r="D276" s="55" t="n"/>
      <c r="E276" s="55" t="n"/>
      <c r="F276" s="55" t="n"/>
      <c r="G276" s="55" t="n"/>
      <c r="H276" s="58" t="n"/>
      <c r="I276" s="65">
        <f>IF(AND(tblMiningDaily[[#This Row],[Blast_t]]&lt;&gt;"",tblMiningDaily[[#This Row],[Blast_t]]&gt;0),tblMiningDaily[[#This Row],[Explosives_kg]]/tblMiningDaily[[#This Row],[Blast_t]],"")</f>
        <v/>
      </c>
    </row>
    <row r="277">
      <c r="A277" s="54" t="n">
        <v>46294</v>
      </c>
      <c r="B277" s="55" t="n"/>
      <c r="C277" s="55" t="n"/>
      <c r="D277" s="55" t="n"/>
      <c r="E277" s="55" t="n"/>
      <c r="F277" s="55" t="n"/>
      <c r="G277" s="55" t="n"/>
      <c r="H277" s="58" t="n"/>
      <c r="I277" s="65">
        <f>IF(AND(tblMiningDaily[[#This Row],[Blast_t]]&lt;&gt;"",tblMiningDaily[[#This Row],[Blast_t]]&gt;0),tblMiningDaily[[#This Row],[Explosives_kg]]/tblMiningDaily[[#This Row],[Blast_t]],"")</f>
        <v/>
      </c>
    </row>
    <row r="278">
      <c r="A278" s="54" t="n">
        <v>46295</v>
      </c>
      <c r="B278" s="55" t="n"/>
      <c r="C278" s="55" t="n"/>
      <c r="D278" s="55" t="n"/>
      <c r="E278" s="55" t="n"/>
      <c r="F278" s="55" t="n"/>
      <c r="G278" s="55" t="n"/>
      <c r="H278" s="58" t="n"/>
      <c r="I278" s="65">
        <f>IF(AND(tblMiningDaily[[#This Row],[Blast_t]]&lt;&gt;"",tblMiningDaily[[#This Row],[Blast_t]]&gt;0),tblMiningDaily[[#This Row],[Explosives_kg]]/tblMiningDaily[[#This Row],[Blast_t]],"")</f>
        <v/>
      </c>
    </row>
    <row r="279">
      <c r="A279" s="54" t="n">
        <v>46296</v>
      </c>
      <c r="B279" s="55" t="n"/>
      <c r="C279" s="55" t="n"/>
      <c r="D279" s="55" t="n"/>
      <c r="E279" s="55" t="n"/>
      <c r="F279" s="55" t="n"/>
      <c r="G279" s="55" t="n"/>
      <c r="H279" s="58" t="n"/>
      <c r="I279" s="65">
        <f>IF(AND(tblMiningDaily[[#This Row],[Blast_t]]&lt;&gt;"",tblMiningDaily[[#This Row],[Blast_t]]&gt;0),tblMiningDaily[[#This Row],[Explosives_kg]]/tblMiningDaily[[#This Row],[Blast_t]],"")</f>
        <v/>
      </c>
    </row>
    <row r="280">
      <c r="A280" s="54" t="n">
        <v>46297</v>
      </c>
      <c r="B280" s="55" t="n"/>
      <c r="C280" s="55" t="n"/>
      <c r="D280" s="55" t="n"/>
      <c r="E280" s="55" t="n"/>
      <c r="F280" s="55" t="n"/>
      <c r="G280" s="55" t="n"/>
      <c r="H280" s="58" t="n"/>
      <c r="I280" s="65">
        <f>IF(AND(tblMiningDaily[[#This Row],[Blast_t]]&lt;&gt;"",tblMiningDaily[[#This Row],[Blast_t]]&gt;0),tblMiningDaily[[#This Row],[Explosives_kg]]/tblMiningDaily[[#This Row],[Blast_t]],"")</f>
        <v/>
      </c>
    </row>
    <row r="281">
      <c r="A281" s="54" t="n">
        <v>46298</v>
      </c>
      <c r="B281" s="55" t="n"/>
      <c r="C281" s="55" t="n"/>
      <c r="D281" s="55" t="n"/>
      <c r="E281" s="55" t="n"/>
      <c r="F281" s="55" t="n"/>
      <c r="G281" s="55" t="n"/>
      <c r="H281" s="58" t="n"/>
      <c r="I281" s="65">
        <f>IF(AND(tblMiningDaily[[#This Row],[Blast_t]]&lt;&gt;"",tblMiningDaily[[#This Row],[Blast_t]]&gt;0),tblMiningDaily[[#This Row],[Explosives_kg]]/tblMiningDaily[[#This Row],[Blast_t]],"")</f>
        <v/>
      </c>
    </row>
    <row r="282">
      <c r="A282" s="54" t="n">
        <v>46299</v>
      </c>
      <c r="B282" s="55" t="n"/>
      <c r="C282" s="55" t="n"/>
      <c r="D282" s="55" t="n"/>
      <c r="E282" s="55" t="n"/>
      <c r="F282" s="55" t="n"/>
      <c r="G282" s="55" t="n"/>
      <c r="H282" s="58" t="n"/>
      <c r="I282" s="65">
        <f>IF(AND(tblMiningDaily[[#This Row],[Blast_t]]&lt;&gt;"",tblMiningDaily[[#This Row],[Blast_t]]&gt;0),tblMiningDaily[[#This Row],[Explosives_kg]]/tblMiningDaily[[#This Row],[Blast_t]],"")</f>
        <v/>
      </c>
    </row>
    <row r="283">
      <c r="A283" s="54" t="n">
        <v>46300</v>
      </c>
      <c r="B283" s="55" t="n"/>
      <c r="C283" s="55" t="n"/>
      <c r="D283" s="55" t="n"/>
      <c r="E283" s="55" t="n"/>
      <c r="F283" s="55" t="n"/>
      <c r="G283" s="55" t="n"/>
      <c r="H283" s="58" t="n"/>
      <c r="I283" s="65">
        <f>IF(AND(tblMiningDaily[[#This Row],[Blast_t]]&lt;&gt;"",tblMiningDaily[[#This Row],[Blast_t]]&gt;0),tblMiningDaily[[#This Row],[Explosives_kg]]/tblMiningDaily[[#This Row],[Blast_t]],"")</f>
        <v/>
      </c>
    </row>
    <row r="284">
      <c r="A284" s="54" t="n">
        <v>46301</v>
      </c>
      <c r="B284" s="55" t="n"/>
      <c r="C284" s="55" t="n"/>
      <c r="D284" s="55" t="n"/>
      <c r="E284" s="55" t="n"/>
      <c r="F284" s="55" t="n"/>
      <c r="G284" s="55" t="n"/>
      <c r="H284" s="58" t="n"/>
      <c r="I284" s="65">
        <f>IF(AND(tblMiningDaily[[#This Row],[Blast_t]]&lt;&gt;"",tblMiningDaily[[#This Row],[Blast_t]]&gt;0),tblMiningDaily[[#This Row],[Explosives_kg]]/tblMiningDaily[[#This Row],[Blast_t]],"")</f>
        <v/>
      </c>
    </row>
    <row r="285">
      <c r="A285" s="54" t="n">
        <v>46302</v>
      </c>
      <c r="B285" s="55" t="n"/>
      <c r="C285" s="55" t="n"/>
      <c r="D285" s="55" t="n"/>
      <c r="E285" s="55" t="n"/>
      <c r="F285" s="55" t="n"/>
      <c r="G285" s="55" t="n"/>
      <c r="H285" s="58" t="n"/>
      <c r="I285" s="65">
        <f>IF(AND(tblMiningDaily[[#This Row],[Blast_t]]&lt;&gt;"",tblMiningDaily[[#This Row],[Blast_t]]&gt;0),tblMiningDaily[[#This Row],[Explosives_kg]]/tblMiningDaily[[#This Row],[Blast_t]],"")</f>
        <v/>
      </c>
    </row>
    <row r="286">
      <c r="A286" s="54" t="n">
        <v>46303</v>
      </c>
      <c r="B286" s="55" t="n"/>
      <c r="C286" s="55" t="n"/>
      <c r="D286" s="55" t="n"/>
      <c r="E286" s="55" t="n"/>
      <c r="F286" s="55" t="n"/>
      <c r="G286" s="55" t="n"/>
      <c r="H286" s="58" t="n"/>
      <c r="I286" s="65">
        <f>IF(AND(tblMiningDaily[[#This Row],[Blast_t]]&lt;&gt;"",tblMiningDaily[[#This Row],[Blast_t]]&gt;0),tblMiningDaily[[#This Row],[Explosives_kg]]/tblMiningDaily[[#This Row],[Blast_t]],"")</f>
        <v/>
      </c>
    </row>
    <row r="287">
      <c r="A287" s="54" t="n">
        <v>46304</v>
      </c>
      <c r="B287" s="55" t="n"/>
      <c r="C287" s="55" t="n"/>
      <c r="D287" s="55" t="n"/>
      <c r="E287" s="55" t="n"/>
      <c r="F287" s="55" t="n"/>
      <c r="G287" s="55" t="n"/>
      <c r="H287" s="58" t="n"/>
      <c r="I287" s="65">
        <f>IF(AND(tblMiningDaily[[#This Row],[Blast_t]]&lt;&gt;"",tblMiningDaily[[#This Row],[Blast_t]]&gt;0),tblMiningDaily[[#This Row],[Explosives_kg]]/tblMiningDaily[[#This Row],[Blast_t]],"")</f>
        <v/>
      </c>
    </row>
    <row r="288">
      <c r="A288" s="54" t="n">
        <v>46305</v>
      </c>
      <c r="B288" s="55" t="n"/>
      <c r="C288" s="55" t="n"/>
      <c r="D288" s="55" t="n"/>
      <c r="E288" s="55" t="n"/>
      <c r="F288" s="55" t="n"/>
      <c r="G288" s="55" t="n"/>
      <c r="H288" s="58" t="n"/>
      <c r="I288" s="65">
        <f>IF(AND(tblMiningDaily[[#This Row],[Blast_t]]&lt;&gt;"",tblMiningDaily[[#This Row],[Blast_t]]&gt;0),tblMiningDaily[[#This Row],[Explosives_kg]]/tblMiningDaily[[#This Row],[Blast_t]],"")</f>
        <v/>
      </c>
    </row>
    <row r="289">
      <c r="A289" s="54" t="n">
        <v>46306</v>
      </c>
      <c r="B289" s="55" t="n"/>
      <c r="C289" s="55" t="n"/>
      <c r="D289" s="55" t="n"/>
      <c r="E289" s="55" t="n"/>
      <c r="F289" s="55" t="n"/>
      <c r="G289" s="55" t="n"/>
      <c r="H289" s="58" t="n"/>
      <c r="I289" s="65">
        <f>IF(AND(tblMiningDaily[[#This Row],[Blast_t]]&lt;&gt;"",tblMiningDaily[[#This Row],[Blast_t]]&gt;0),tblMiningDaily[[#This Row],[Explosives_kg]]/tblMiningDaily[[#This Row],[Blast_t]],"")</f>
        <v/>
      </c>
    </row>
    <row r="290">
      <c r="A290" s="54" t="n">
        <v>46307</v>
      </c>
      <c r="B290" s="55" t="n"/>
      <c r="C290" s="55" t="n"/>
      <c r="D290" s="55" t="n"/>
      <c r="E290" s="55" t="n"/>
      <c r="F290" s="55" t="n"/>
      <c r="G290" s="55" t="n"/>
      <c r="H290" s="58" t="n"/>
      <c r="I290" s="65">
        <f>IF(AND(tblMiningDaily[[#This Row],[Blast_t]]&lt;&gt;"",tblMiningDaily[[#This Row],[Blast_t]]&gt;0),tblMiningDaily[[#This Row],[Explosives_kg]]/tblMiningDaily[[#This Row],[Blast_t]],"")</f>
        <v/>
      </c>
    </row>
    <row r="291">
      <c r="A291" s="54" t="n">
        <v>46308</v>
      </c>
      <c r="B291" s="55" t="n"/>
      <c r="C291" s="55" t="n"/>
      <c r="D291" s="55" t="n"/>
      <c r="E291" s="55" t="n"/>
      <c r="F291" s="55" t="n"/>
      <c r="G291" s="55" t="n"/>
      <c r="H291" s="58" t="n"/>
      <c r="I291" s="65">
        <f>IF(AND(tblMiningDaily[[#This Row],[Blast_t]]&lt;&gt;"",tblMiningDaily[[#This Row],[Blast_t]]&gt;0),tblMiningDaily[[#This Row],[Explosives_kg]]/tblMiningDaily[[#This Row],[Blast_t]],"")</f>
        <v/>
      </c>
    </row>
    <row r="292">
      <c r="A292" s="54" t="n">
        <v>46309</v>
      </c>
      <c r="B292" s="55" t="n"/>
      <c r="C292" s="55" t="n"/>
      <c r="D292" s="55" t="n"/>
      <c r="E292" s="55" t="n"/>
      <c r="F292" s="55" t="n"/>
      <c r="G292" s="55" t="n"/>
      <c r="H292" s="58" t="n"/>
      <c r="I292" s="65">
        <f>IF(AND(tblMiningDaily[[#This Row],[Blast_t]]&lt;&gt;"",tblMiningDaily[[#This Row],[Blast_t]]&gt;0),tblMiningDaily[[#This Row],[Explosives_kg]]/tblMiningDaily[[#This Row],[Blast_t]],"")</f>
        <v/>
      </c>
    </row>
    <row r="293">
      <c r="A293" s="54" t="n">
        <v>46310</v>
      </c>
      <c r="B293" s="55" t="n"/>
      <c r="C293" s="55" t="n"/>
      <c r="D293" s="55" t="n"/>
      <c r="E293" s="55" t="n"/>
      <c r="F293" s="55" t="n"/>
      <c r="G293" s="55" t="n"/>
      <c r="H293" s="58" t="n"/>
      <c r="I293" s="65">
        <f>IF(AND(tblMiningDaily[[#This Row],[Blast_t]]&lt;&gt;"",tblMiningDaily[[#This Row],[Blast_t]]&gt;0),tblMiningDaily[[#This Row],[Explosives_kg]]/tblMiningDaily[[#This Row],[Blast_t]],"")</f>
        <v/>
      </c>
    </row>
    <row r="294">
      <c r="A294" s="54" t="n">
        <v>46311</v>
      </c>
      <c r="B294" s="55" t="n"/>
      <c r="C294" s="55" t="n"/>
      <c r="D294" s="55" t="n"/>
      <c r="E294" s="55" t="n"/>
      <c r="F294" s="55" t="n"/>
      <c r="G294" s="55" t="n"/>
      <c r="H294" s="58" t="n"/>
      <c r="I294" s="65">
        <f>IF(AND(tblMiningDaily[[#This Row],[Blast_t]]&lt;&gt;"",tblMiningDaily[[#This Row],[Blast_t]]&gt;0),tblMiningDaily[[#This Row],[Explosives_kg]]/tblMiningDaily[[#This Row],[Blast_t]],"")</f>
        <v/>
      </c>
    </row>
    <row r="295">
      <c r="A295" s="54" t="n">
        <v>46312</v>
      </c>
      <c r="B295" s="55" t="n"/>
      <c r="C295" s="55" t="n"/>
      <c r="D295" s="55" t="n"/>
      <c r="E295" s="55" t="n"/>
      <c r="F295" s="55" t="n"/>
      <c r="G295" s="55" t="n"/>
      <c r="H295" s="58" t="n"/>
      <c r="I295" s="65">
        <f>IF(AND(tblMiningDaily[[#This Row],[Blast_t]]&lt;&gt;"",tblMiningDaily[[#This Row],[Blast_t]]&gt;0),tblMiningDaily[[#This Row],[Explosives_kg]]/tblMiningDaily[[#This Row],[Blast_t]],"")</f>
        <v/>
      </c>
    </row>
    <row r="296">
      <c r="A296" s="54" t="n">
        <v>46313</v>
      </c>
      <c r="B296" s="55" t="n"/>
      <c r="C296" s="55" t="n"/>
      <c r="D296" s="55" t="n"/>
      <c r="E296" s="55" t="n"/>
      <c r="F296" s="55" t="n"/>
      <c r="G296" s="55" t="n"/>
      <c r="H296" s="58" t="n"/>
      <c r="I296" s="65">
        <f>IF(AND(tblMiningDaily[[#This Row],[Blast_t]]&lt;&gt;"",tblMiningDaily[[#This Row],[Blast_t]]&gt;0),tblMiningDaily[[#This Row],[Explosives_kg]]/tblMiningDaily[[#This Row],[Blast_t]],"")</f>
        <v/>
      </c>
    </row>
    <row r="297">
      <c r="A297" s="54" t="n">
        <v>46314</v>
      </c>
      <c r="B297" s="55" t="n"/>
      <c r="C297" s="55" t="n"/>
      <c r="D297" s="55" t="n"/>
      <c r="E297" s="55" t="n"/>
      <c r="F297" s="55" t="n"/>
      <c r="G297" s="55" t="n"/>
      <c r="H297" s="58" t="n"/>
      <c r="I297" s="65">
        <f>IF(AND(tblMiningDaily[[#This Row],[Blast_t]]&lt;&gt;"",tblMiningDaily[[#This Row],[Blast_t]]&gt;0),tblMiningDaily[[#This Row],[Explosives_kg]]/tblMiningDaily[[#This Row],[Blast_t]],"")</f>
        <v/>
      </c>
    </row>
    <row r="298">
      <c r="A298" s="54" t="n">
        <v>46315</v>
      </c>
      <c r="B298" s="55" t="n"/>
      <c r="C298" s="55" t="n"/>
      <c r="D298" s="55" t="n"/>
      <c r="E298" s="55" t="n"/>
      <c r="F298" s="55" t="n"/>
      <c r="G298" s="55" t="n"/>
      <c r="H298" s="58" t="n"/>
      <c r="I298" s="65">
        <f>IF(AND(tblMiningDaily[[#This Row],[Blast_t]]&lt;&gt;"",tblMiningDaily[[#This Row],[Blast_t]]&gt;0),tblMiningDaily[[#This Row],[Explosives_kg]]/tblMiningDaily[[#This Row],[Blast_t]],"")</f>
        <v/>
      </c>
    </row>
    <row r="299">
      <c r="A299" s="54" t="n">
        <v>46316</v>
      </c>
      <c r="B299" s="55" t="n"/>
      <c r="C299" s="55" t="n"/>
      <c r="D299" s="55" t="n"/>
      <c r="E299" s="55" t="n"/>
      <c r="F299" s="55" t="n"/>
      <c r="G299" s="55" t="n"/>
      <c r="H299" s="58" t="n"/>
      <c r="I299" s="65">
        <f>IF(AND(tblMiningDaily[[#This Row],[Blast_t]]&lt;&gt;"",tblMiningDaily[[#This Row],[Blast_t]]&gt;0),tblMiningDaily[[#This Row],[Explosives_kg]]/tblMiningDaily[[#This Row],[Blast_t]],"")</f>
        <v/>
      </c>
    </row>
    <row r="300">
      <c r="A300" s="54" t="n">
        <v>46317</v>
      </c>
      <c r="B300" s="55" t="n"/>
      <c r="C300" s="55" t="n"/>
      <c r="D300" s="55" t="n"/>
      <c r="E300" s="55" t="n"/>
      <c r="F300" s="55" t="n"/>
      <c r="G300" s="55" t="n"/>
      <c r="H300" s="58" t="n"/>
      <c r="I300" s="65">
        <f>IF(AND(tblMiningDaily[[#This Row],[Blast_t]]&lt;&gt;"",tblMiningDaily[[#This Row],[Blast_t]]&gt;0),tblMiningDaily[[#This Row],[Explosives_kg]]/tblMiningDaily[[#This Row],[Blast_t]],"")</f>
        <v/>
      </c>
    </row>
    <row r="301">
      <c r="A301" s="54" t="n">
        <v>46318</v>
      </c>
      <c r="B301" s="55" t="n"/>
      <c r="C301" s="55" t="n"/>
      <c r="D301" s="55" t="n"/>
      <c r="E301" s="55" t="n"/>
      <c r="F301" s="55" t="n"/>
      <c r="G301" s="55" t="n"/>
      <c r="H301" s="58" t="n"/>
      <c r="I301" s="65">
        <f>IF(AND(tblMiningDaily[[#This Row],[Blast_t]]&lt;&gt;"",tblMiningDaily[[#This Row],[Blast_t]]&gt;0),tblMiningDaily[[#This Row],[Explosives_kg]]/tblMiningDaily[[#This Row],[Blast_t]],"")</f>
        <v/>
      </c>
    </row>
    <row r="302">
      <c r="A302" s="54" t="n">
        <v>46319</v>
      </c>
      <c r="B302" s="55" t="n"/>
      <c r="C302" s="55" t="n"/>
      <c r="D302" s="55" t="n"/>
      <c r="E302" s="55" t="n"/>
      <c r="F302" s="55" t="n"/>
      <c r="G302" s="55" t="n"/>
      <c r="H302" s="58" t="n"/>
      <c r="I302" s="65">
        <f>IF(AND(tblMiningDaily[[#This Row],[Blast_t]]&lt;&gt;"",tblMiningDaily[[#This Row],[Blast_t]]&gt;0),tblMiningDaily[[#This Row],[Explosives_kg]]/tblMiningDaily[[#This Row],[Blast_t]],"")</f>
        <v/>
      </c>
    </row>
    <row r="303">
      <c r="A303" s="54" t="n">
        <v>46320</v>
      </c>
      <c r="B303" s="55" t="n"/>
      <c r="C303" s="55" t="n"/>
      <c r="D303" s="55" t="n"/>
      <c r="E303" s="55" t="n"/>
      <c r="F303" s="55" t="n"/>
      <c r="G303" s="55" t="n"/>
      <c r="H303" s="58" t="n"/>
      <c r="I303" s="65">
        <f>IF(AND(tblMiningDaily[[#This Row],[Blast_t]]&lt;&gt;"",tblMiningDaily[[#This Row],[Blast_t]]&gt;0),tblMiningDaily[[#This Row],[Explosives_kg]]/tblMiningDaily[[#This Row],[Blast_t]],"")</f>
        <v/>
      </c>
    </row>
    <row r="304">
      <c r="A304" s="54" t="n">
        <v>46321</v>
      </c>
      <c r="B304" s="55" t="n"/>
      <c r="C304" s="55" t="n"/>
      <c r="D304" s="55" t="n"/>
      <c r="E304" s="55" t="n"/>
      <c r="F304" s="55" t="n"/>
      <c r="G304" s="55" t="n"/>
      <c r="H304" s="58" t="n"/>
      <c r="I304" s="65">
        <f>IF(AND(tblMiningDaily[[#This Row],[Blast_t]]&lt;&gt;"",tblMiningDaily[[#This Row],[Blast_t]]&gt;0),tblMiningDaily[[#This Row],[Explosives_kg]]/tblMiningDaily[[#This Row],[Blast_t]],"")</f>
        <v/>
      </c>
    </row>
    <row r="305">
      <c r="A305" s="54" t="n">
        <v>46322</v>
      </c>
      <c r="B305" s="55" t="n"/>
      <c r="C305" s="55" t="n"/>
      <c r="D305" s="55" t="n"/>
      <c r="E305" s="55" t="n"/>
      <c r="F305" s="55" t="n"/>
      <c r="G305" s="55" t="n"/>
      <c r="H305" s="58" t="n"/>
      <c r="I305" s="65">
        <f>IF(AND(tblMiningDaily[[#This Row],[Blast_t]]&lt;&gt;"",tblMiningDaily[[#This Row],[Blast_t]]&gt;0),tblMiningDaily[[#This Row],[Explosives_kg]]/tblMiningDaily[[#This Row],[Blast_t]],"")</f>
        <v/>
      </c>
    </row>
    <row r="306">
      <c r="A306" s="54" t="n">
        <v>46323</v>
      </c>
      <c r="B306" s="55" t="n"/>
      <c r="C306" s="55" t="n"/>
      <c r="D306" s="55" t="n"/>
      <c r="E306" s="55" t="n"/>
      <c r="F306" s="55" t="n"/>
      <c r="G306" s="55" t="n"/>
      <c r="H306" s="58" t="n"/>
      <c r="I306" s="65">
        <f>IF(AND(tblMiningDaily[[#This Row],[Blast_t]]&lt;&gt;"",tblMiningDaily[[#This Row],[Blast_t]]&gt;0),tblMiningDaily[[#This Row],[Explosives_kg]]/tblMiningDaily[[#This Row],[Blast_t]],"")</f>
        <v/>
      </c>
    </row>
    <row r="307">
      <c r="A307" s="54" t="n">
        <v>46324</v>
      </c>
      <c r="B307" s="55" t="n"/>
      <c r="C307" s="55" t="n"/>
      <c r="D307" s="55" t="n"/>
      <c r="E307" s="55" t="n"/>
      <c r="F307" s="55" t="n"/>
      <c r="G307" s="55" t="n"/>
      <c r="H307" s="58" t="n"/>
      <c r="I307" s="65">
        <f>IF(AND(tblMiningDaily[[#This Row],[Blast_t]]&lt;&gt;"",tblMiningDaily[[#This Row],[Blast_t]]&gt;0),tblMiningDaily[[#This Row],[Explosives_kg]]/tblMiningDaily[[#This Row],[Blast_t]],"")</f>
        <v/>
      </c>
    </row>
    <row r="308">
      <c r="A308" s="54" t="n">
        <v>46325</v>
      </c>
      <c r="B308" s="55" t="n"/>
      <c r="C308" s="55" t="n"/>
      <c r="D308" s="55" t="n"/>
      <c r="E308" s="55" t="n"/>
      <c r="F308" s="55" t="n"/>
      <c r="G308" s="55" t="n"/>
      <c r="H308" s="58" t="n"/>
      <c r="I308" s="65">
        <f>IF(AND(tblMiningDaily[[#This Row],[Blast_t]]&lt;&gt;"",tblMiningDaily[[#This Row],[Blast_t]]&gt;0),tblMiningDaily[[#This Row],[Explosives_kg]]/tblMiningDaily[[#This Row],[Blast_t]],"")</f>
        <v/>
      </c>
    </row>
    <row r="309">
      <c r="A309" s="54" t="n">
        <v>46326</v>
      </c>
      <c r="B309" s="55" t="n"/>
      <c r="C309" s="55" t="n"/>
      <c r="D309" s="55" t="n"/>
      <c r="E309" s="55" t="n"/>
      <c r="F309" s="55" t="n"/>
      <c r="G309" s="55" t="n"/>
      <c r="H309" s="58" t="n"/>
      <c r="I309" s="65">
        <f>IF(AND(tblMiningDaily[[#This Row],[Blast_t]]&lt;&gt;"",tblMiningDaily[[#This Row],[Blast_t]]&gt;0),tblMiningDaily[[#This Row],[Explosives_kg]]/tblMiningDaily[[#This Row],[Blast_t]],"")</f>
        <v/>
      </c>
    </row>
    <row r="310">
      <c r="A310" s="54" t="n">
        <v>46327</v>
      </c>
      <c r="B310" s="55" t="n"/>
      <c r="C310" s="55" t="n"/>
      <c r="D310" s="55" t="n"/>
      <c r="E310" s="55" t="n"/>
      <c r="F310" s="55" t="n"/>
      <c r="G310" s="55" t="n"/>
      <c r="H310" s="58" t="n"/>
      <c r="I310" s="65">
        <f>IF(AND(tblMiningDaily[[#This Row],[Blast_t]]&lt;&gt;"",tblMiningDaily[[#This Row],[Blast_t]]&gt;0),tblMiningDaily[[#This Row],[Explosives_kg]]/tblMiningDaily[[#This Row],[Blast_t]],"")</f>
        <v/>
      </c>
    </row>
    <row r="311">
      <c r="A311" s="54" t="n">
        <v>46328</v>
      </c>
      <c r="B311" s="55" t="n"/>
      <c r="C311" s="55" t="n"/>
      <c r="D311" s="55" t="n"/>
      <c r="E311" s="55" t="n"/>
      <c r="F311" s="55" t="n"/>
      <c r="G311" s="55" t="n"/>
      <c r="H311" s="58" t="n"/>
      <c r="I311" s="65">
        <f>IF(AND(tblMiningDaily[[#This Row],[Blast_t]]&lt;&gt;"",tblMiningDaily[[#This Row],[Blast_t]]&gt;0),tblMiningDaily[[#This Row],[Explosives_kg]]/tblMiningDaily[[#This Row],[Blast_t]],"")</f>
        <v/>
      </c>
    </row>
    <row r="312">
      <c r="A312" s="54" t="n">
        <v>46329</v>
      </c>
      <c r="B312" s="55" t="n"/>
      <c r="C312" s="55" t="n"/>
      <c r="D312" s="55" t="n"/>
      <c r="E312" s="55" t="n"/>
      <c r="F312" s="55" t="n"/>
      <c r="G312" s="55" t="n"/>
      <c r="H312" s="58" t="n"/>
      <c r="I312" s="65">
        <f>IF(AND(tblMiningDaily[[#This Row],[Blast_t]]&lt;&gt;"",tblMiningDaily[[#This Row],[Blast_t]]&gt;0),tblMiningDaily[[#This Row],[Explosives_kg]]/tblMiningDaily[[#This Row],[Blast_t]],"")</f>
        <v/>
      </c>
    </row>
    <row r="313">
      <c r="A313" s="54" t="n">
        <v>46330</v>
      </c>
      <c r="B313" s="55" t="n"/>
      <c r="C313" s="55" t="n"/>
      <c r="D313" s="55" t="n"/>
      <c r="E313" s="55" t="n"/>
      <c r="F313" s="55" t="n"/>
      <c r="G313" s="55" t="n"/>
      <c r="H313" s="58" t="n"/>
      <c r="I313" s="65">
        <f>IF(AND(tblMiningDaily[[#This Row],[Blast_t]]&lt;&gt;"",tblMiningDaily[[#This Row],[Blast_t]]&gt;0),tblMiningDaily[[#This Row],[Explosives_kg]]/tblMiningDaily[[#This Row],[Blast_t]],"")</f>
        <v/>
      </c>
    </row>
    <row r="314">
      <c r="A314" s="54" t="n">
        <v>46331</v>
      </c>
      <c r="B314" s="55" t="n"/>
      <c r="C314" s="55" t="n"/>
      <c r="D314" s="55" t="n"/>
      <c r="E314" s="55" t="n"/>
      <c r="F314" s="55" t="n"/>
      <c r="G314" s="55" t="n"/>
      <c r="H314" s="58" t="n"/>
      <c r="I314" s="65">
        <f>IF(AND(tblMiningDaily[[#This Row],[Blast_t]]&lt;&gt;"",tblMiningDaily[[#This Row],[Blast_t]]&gt;0),tblMiningDaily[[#This Row],[Explosives_kg]]/tblMiningDaily[[#This Row],[Blast_t]],"")</f>
        <v/>
      </c>
    </row>
    <row r="315">
      <c r="A315" s="54" t="n">
        <v>46332</v>
      </c>
      <c r="B315" s="55" t="n"/>
      <c r="C315" s="55" t="n"/>
      <c r="D315" s="55" t="n"/>
      <c r="E315" s="55" t="n"/>
      <c r="F315" s="55" t="n"/>
      <c r="G315" s="55" t="n"/>
      <c r="H315" s="58" t="n"/>
      <c r="I315" s="65">
        <f>IF(AND(tblMiningDaily[[#This Row],[Blast_t]]&lt;&gt;"",tblMiningDaily[[#This Row],[Blast_t]]&gt;0),tblMiningDaily[[#This Row],[Explosives_kg]]/tblMiningDaily[[#This Row],[Blast_t]],"")</f>
        <v/>
      </c>
    </row>
    <row r="316">
      <c r="A316" s="54" t="n">
        <v>46333</v>
      </c>
      <c r="B316" s="55" t="n"/>
      <c r="C316" s="55" t="n"/>
      <c r="D316" s="55" t="n"/>
      <c r="E316" s="55" t="n"/>
      <c r="F316" s="55" t="n"/>
      <c r="G316" s="55" t="n"/>
      <c r="H316" s="58" t="n"/>
      <c r="I316" s="65">
        <f>IF(AND(tblMiningDaily[[#This Row],[Blast_t]]&lt;&gt;"",tblMiningDaily[[#This Row],[Blast_t]]&gt;0),tblMiningDaily[[#This Row],[Explosives_kg]]/tblMiningDaily[[#This Row],[Blast_t]],"")</f>
        <v/>
      </c>
    </row>
    <row r="317">
      <c r="A317" s="54" t="n">
        <v>46334</v>
      </c>
      <c r="B317" s="55" t="n"/>
      <c r="C317" s="55" t="n"/>
      <c r="D317" s="55" t="n"/>
      <c r="E317" s="55" t="n"/>
      <c r="F317" s="55" t="n"/>
      <c r="G317" s="55" t="n"/>
      <c r="H317" s="58" t="n"/>
      <c r="I317" s="65">
        <f>IF(AND(tblMiningDaily[[#This Row],[Blast_t]]&lt;&gt;"",tblMiningDaily[[#This Row],[Blast_t]]&gt;0),tblMiningDaily[[#This Row],[Explosives_kg]]/tblMiningDaily[[#This Row],[Blast_t]],"")</f>
        <v/>
      </c>
    </row>
    <row r="318">
      <c r="A318" s="54" t="n">
        <v>46335</v>
      </c>
      <c r="B318" s="55" t="n"/>
      <c r="C318" s="55" t="n"/>
      <c r="D318" s="55" t="n"/>
      <c r="E318" s="55" t="n"/>
      <c r="F318" s="55" t="n"/>
      <c r="G318" s="55" t="n"/>
      <c r="H318" s="58" t="n"/>
      <c r="I318" s="65">
        <f>IF(AND(tblMiningDaily[[#This Row],[Blast_t]]&lt;&gt;"",tblMiningDaily[[#This Row],[Blast_t]]&gt;0),tblMiningDaily[[#This Row],[Explosives_kg]]/tblMiningDaily[[#This Row],[Blast_t]],"")</f>
        <v/>
      </c>
    </row>
    <row r="319">
      <c r="A319" s="54" t="n">
        <v>46336</v>
      </c>
      <c r="B319" s="55" t="n"/>
      <c r="C319" s="55" t="n"/>
      <c r="D319" s="55" t="n"/>
      <c r="E319" s="55" t="n"/>
      <c r="F319" s="55" t="n"/>
      <c r="G319" s="55" t="n"/>
      <c r="H319" s="58" t="n"/>
      <c r="I319" s="65">
        <f>IF(AND(tblMiningDaily[[#This Row],[Blast_t]]&lt;&gt;"",tblMiningDaily[[#This Row],[Blast_t]]&gt;0),tblMiningDaily[[#This Row],[Explosives_kg]]/tblMiningDaily[[#This Row],[Blast_t]],"")</f>
        <v/>
      </c>
    </row>
    <row r="320">
      <c r="A320" s="54" t="n">
        <v>46337</v>
      </c>
      <c r="B320" s="55" t="n"/>
      <c r="C320" s="55" t="n"/>
      <c r="D320" s="55" t="n"/>
      <c r="E320" s="55" t="n"/>
      <c r="F320" s="55" t="n"/>
      <c r="G320" s="55" t="n"/>
      <c r="H320" s="58" t="n"/>
      <c r="I320" s="65">
        <f>IF(AND(tblMiningDaily[[#This Row],[Blast_t]]&lt;&gt;"",tblMiningDaily[[#This Row],[Blast_t]]&gt;0),tblMiningDaily[[#This Row],[Explosives_kg]]/tblMiningDaily[[#This Row],[Blast_t]],"")</f>
        <v/>
      </c>
    </row>
    <row r="321">
      <c r="A321" s="54" t="n">
        <v>46338</v>
      </c>
      <c r="B321" s="55" t="n"/>
      <c r="C321" s="55" t="n"/>
      <c r="D321" s="55" t="n"/>
      <c r="E321" s="55" t="n"/>
      <c r="F321" s="55" t="n"/>
      <c r="G321" s="55" t="n"/>
      <c r="H321" s="58" t="n"/>
      <c r="I321" s="65">
        <f>IF(AND(tblMiningDaily[[#This Row],[Blast_t]]&lt;&gt;"",tblMiningDaily[[#This Row],[Blast_t]]&gt;0),tblMiningDaily[[#This Row],[Explosives_kg]]/tblMiningDaily[[#This Row],[Blast_t]],"")</f>
        <v/>
      </c>
    </row>
    <row r="322">
      <c r="A322" s="54" t="n">
        <v>46339</v>
      </c>
      <c r="B322" s="55" t="n"/>
      <c r="C322" s="55" t="n"/>
      <c r="D322" s="55" t="n"/>
      <c r="E322" s="55" t="n"/>
      <c r="F322" s="55" t="n"/>
      <c r="G322" s="55" t="n"/>
      <c r="H322" s="58" t="n"/>
      <c r="I322" s="65">
        <f>IF(AND(tblMiningDaily[[#This Row],[Blast_t]]&lt;&gt;"",tblMiningDaily[[#This Row],[Blast_t]]&gt;0),tblMiningDaily[[#This Row],[Explosives_kg]]/tblMiningDaily[[#This Row],[Blast_t]],"")</f>
        <v/>
      </c>
    </row>
    <row r="323">
      <c r="A323" s="54" t="n">
        <v>46340</v>
      </c>
      <c r="B323" s="55" t="n"/>
      <c r="C323" s="55" t="n"/>
      <c r="D323" s="55" t="n"/>
      <c r="E323" s="55" t="n"/>
      <c r="F323" s="55" t="n"/>
      <c r="G323" s="55" t="n"/>
      <c r="H323" s="58" t="n"/>
      <c r="I323" s="65">
        <f>IF(AND(tblMiningDaily[[#This Row],[Blast_t]]&lt;&gt;"",tblMiningDaily[[#This Row],[Blast_t]]&gt;0),tblMiningDaily[[#This Row],[Explosives_kg]]/tblMiningDaily[[#This Row],[Blast_t]],"")</f>
        <v/>
      </c>
    </row>
    <row r="324">
      <c r="A324" s="54" t="n">
        <v>46341</v>
      </c>
      <c r="B324" s="55" t="n"/>
      <c r="C324" s="55" t="n"/>
      <c r="D324" s="55" t="n"/>
      <c r="E324" s="55" t="n"/>
      <c r="F324" s="55" t="n"/>
      <c r="G324" s="55" t="n"/>
      <c r="H324" s="58" t="n"/>
      <c r="I324" s="65">
        <f>IF(AND(tblMiningDaily[[#This Row],[Blast_t]]&lt;&gt;"",tblMiningDaily[[#This Row],[Blast_t]]&gt;0),tblMiningDaily[[#This Row],[Explosives_kg]]/tblMiningDaily[[#This Row],[Blast_t]],"")</f>
        <v/>
      </c>
    </row>
    <row r="325">
      <c r="A325" s="54" t="n">
        <v>46342</v>
      </c>
      <c r="B325" s="55" t="n"/>
      <c r="C325" s="55" t="n"/>
      <c r="D325" s="55" t="n"/>
      <c r="E325" s="55" t="n"/>
      <c r="F325" s="55" t="n"/>
      <c r="G325" s="55" t="n"/>
      <c r="H325" s="58" t="n"/>
      <c r="I325" s="65">
        <f>IF(AND(tblMiningDaily[[#This Row],[Blast_t]]&lt;&gt;"",tblMiningDaily[[#This Row],[Blast_t]]&gt;0),tblMiningDaily[[#This Row],[Explosives_kg]]/tblMiningDaily[[#This Row],[Blast_t]],"")</f>
        <v/>
      </c>
    </row>
    <row r="326">
      <c r="A326" s="54" t="n">
        <v>46343</v>
      </c>
      <c r="B326" s="55" t="n"/>
      <c r="C326" s="55" t="n"/>
      <c r="D326" s="55" t="n"/>
      <c r="E326" s="55" t="n"/>
      <c r="F326" s="55" t="n"/>
      <c r="G326" s="55" t="n"/>
      <c r="H326" s="58" t="n"/>
      <c r="I326" s="65">
        <f>IF(AND(tblMiningDaily[[#This Row],[Blast_t]]&lt;&gt;"",tblMiningDaily[[#This Row],[Blast_t]]&gt;0),tblMiningDaily[[#This Row],[Explosives_kg]]/tblMiningDaily[[#This Row],[Blast_t]],"")</f>
        <v/>
      </c>
    </row>
    <row r="327">
      <c r="A327" s="54" t="n">
        <v>46344</v>
      </c>
      <c r="B327" s="55" t="n"/>
      <c r="C327" s="55" t="n"/>
      <c r="D327" s="55" t="n"/>
      <c r="E327" s="55" t="n"/>
      <c r="F327" s="55" t="n"/>
      <c r="G327" s="55" t="n"/>
      <c r="H327" s="58" t="n"/>
      <c r="I327" s="65">
        <f>IF(AND(tblMiningDaily[[#This Row],[Blast_t]]&lt;&gt;"",tblMiningDaily[[#This Row],[Blast_t]]&gt;0),tblMiningDaily[[#This Row],[Explosives_kg]]/tblMiningDaily[[#This Row],[Blast_t]],"")</f>
        <v/>
      </c>
    </row>
    <row r="328">
      <c r="A328" s="54" t="n">
        <v>46345</v>
      </c>
      <c r="B328" s="55" t="n"/>
      <c r="C328" s="55" t="n"/>
      <c r="D328" s="55" t="n"/>
      <c r="E328" s="55" t="n"/>
      <c r="F328" s="55" t="n"/>
      <c r="G328" s="55" t="n"/>
      <c r="H328" s="58" t="n"/>
      <c r="I328" s="65">
        <f>IF(AND(tblMiningDaily[[#This Row],[Blast_t]]&lt;&gt;"",tblMiningDaily[[#This Row],[Blast_t]]&gt;0),tblMiningDaily[[#This Row],[Explosives_kg]]/tblMiningDaily[[#This Row],[Blast_t]],"")</f>
        <v/>
      </c>
    </row>
    <row r="329">
      <c r="A329" s="54" t="n">
        <v>46346</v>
      </c>
      <c r="B329" s="55" t="n"/>
      <c r="C329" s="55" t="n"/>
      <c r="D329" s="55" t="n"/>
      <c r="E329" s="55" t="n"/>
      <c r="F329" s="55" t="n"/>
      <c r="G329" s="55" t="n"/>
      <c r="H329" s="58" t="n"/>
      <c r="I329" s="65">
        <f>IF(AND(tblMiningDaily[[#This Row],[Blast_t]]&lt;&gt;"",tblMiningDaily[[#This Row],[Blast_t]]&gt;0),tblMiningDaily[[#This Row],[Explosives_kg]]/tblMiningDaily[[#This Row],[Blast_t]],"")</f>
        <v/>
      </c>
    </row>
    <row r="330">
      <c r="A330" s="54" t="n">
        <v>46347</v>
      </c>
      <c r="B330" s="55" t="n"/>
      <c r="C330" s="55" t="n"/>
      <c r="D330" s="55" t="n"/>
      <c r="E330" s="55" t="n"/>
      <c r="F330" s="55" t="n"/>
      <c r="G330" s="55" t="n"/>
      <c r="H330" s="58" t="n"/>
      <c r="I330" s="65">
        <f>IF(AND(tblMiningDaily[[#This Row],[Blast_t]]&lt;&gt;"",tblMiningDaily[[#This Row],[Blast_t]]&gt;0),tblMiningDaily[[#This Row],[Explosives_kg]]/tblMiningDaily[[#This Row],[Blast_t]],"")</f>
        <v/>
      </c>
    </row>
    <row r="331">
      <c r="A331" s="54" t="n">
        <v>46348</v>
      </c>
      <c r="B331" s="55" t="n"/>
      <c r="C331" s="55" t="n"/>
      <c r="D331" s="55" t="n"/>
      <c r="E331" s="55" t="n"/>
      <c r="F331" s="55" t="n"/>
      <c r="G331" s="55" t="n"/>
      <c r="H331" s="58" t="n"/>
      <c r="I331" s="65">
        <f>IF(AND(tblMiningDaily[[#This Row],[Blast_t]]&lt;&gt;"",tblMiningDaily[[#This Row],[Blast_t]]&gt;0),tblMiningDaily[[#This Row],[Explosives_kg]]/tblMiningDaily[[#This Row],[Blast_t]],"")</f>
        <v/>
      </c>
    </row>
    <row r="332">
      <c r="A332" s="54" t="n">
        <v>46349</v>
      </c>
      <c r="B332" s="55" t="n"/>
      <c r="C332" s="55" t="n"/>
      <c r="D332" s="55" t="n"/>
      <c r="E332" s="55" t="n"/>
      <c r="F332" s="55" t="n"/>
      <c r="G332" s="55" t="n"/>
      <c r="H332" s="58" t="n"/>
      <c r="I332" s="65">
        <f>IF(AND(tblMiningDaily[[#This Row],[Blast_t]]&lt;&gt;"",tblMiningDaily[[#This Row],[Blast_t]]&gt;0),tblMiningDaily[[#This Row],[Explosives_kg]]/tblMiningDaily[[#This Row],[Blast_t]],"")</f>
        <v/>
      </c>
    </row>
    <row r="333">
      <c r="A333" s="54" t="n">
        <v>46350</v>
      </c>
      <c r="B333" s="55" t="n"/>
      <c r="C333" s="55" t="n"/>
      <c r="D333" s="55" t="n"/>
      <c r="E333" s="55" t="n"/>
      <c r="F333" s="55" t="n"/>
      <c r="G333" s="55" t="n"/>
      <c r="H333" s="58" t="n"/>
      <c r="I333" s="65">
        <f>IF(AND(tblMiningDaily[[#This Row],[Blast_t]]&lt;&gt;"",tblMiningDaily[[#This Row],[Blast_t]]&gt;0),tblMiningDaily[[#This Row],[Explosives_kg]]/tblMiningDaily[[#This Row],[Blast_t]],"")</f>
        <v/>
      </c>
    </row>
    <row r="334">
      <c r="A334" s="54" t="n">
        <v>46351</v>
      </c>
      <c r="B334" s="55" t="n"/>
      <c r="C334" s="55" t="n"/>
      <c r="D334" s="55" t="n"/>
      <c r="E334" s="55" t="n"/>
      <c r="F334" s="55" t="n"/>
      <c r="G334" s="55" t="n"/>
      <c r="H334" s="58" t="n"/>
      <c r="I334" s="65">
        <f>IF(AND(tblMiningDaily[[#This Row],[Blast_t]]&lt;&gt;"",tblMiningDaily[[#This Row],[Blast_t]]&gt;0),tblMiningDaily[[#This Row],[Explosives_kg]]/tblMiningDaily[[#This Row],[Blast_t]],"")</f>
        <v/>
      </c>
    </row>
    <row r="335">
      <c r="A335" s="54" t="n">
        <v>46352</v>
      </c>
      <c r="B335" s="55" t="n"/>
      <c r="C335" s="55" t="n"/>
      <c r="D335" s="55" t="n"/>
      <c r="E335" s="55" t="n"/>
      <c r="F335" s="55" t="n"/>
      <c r="G335" s="55" t="n"/>
      <c r="H335" s="58" t="n"/>
      <c r="I335" s="65">
        <f>IF(AND(tblMiningDaily[[#This Row],[Blast_t]]&lt;&gt;"",tblMiningDaily[[#This Row],[Blast_t]]&gt;0),tblMiningDaily[[#This Row],[Explosives_kg]]/tblMiningDaily[[#This Row],[Blast_t]],"")</f>
        <v/>
      </c>
    </row>
    <row r="336">
      <c r="A336" s="54" t="n">
        <v>46353</v>
      </c>
      <c r="B336" s="55" t="n"/>
      <c r="C336" s="55" t="n"/>
      <c r="D336" s="55" t="n"/>
      <c r="E336" s="55" t="n"/>
      <c r="F336" s="55" t="n"/>
      <c r="G336" s="55" t="n"/>
      <c r="H336" s="58" t="n"/>
      <c r="I336" s="65">
        <f>IF(AND(tblMiningDaily[[#This Row],[Blast_t]]&lt;&gt;"",tblMiningDaily[[#This Row],[Blast_t]]&gt;0),tblMiningDaily[[#This Row],[Explosives_kg]]/tblMiningDaily[[#This Row],[Blast_t]],"")</f>
        <v/>
      </c>
    </row>
    <row r="337">
      <c r="A337" s="54" t="n">
        <v>46354</v>
      </c>
      <c r="B337" s="55" t="n"/>
      <c r="C337" s="55" t="n"/>
      <c r="D337" s="55" t="n"/>
      <c r="E337" s="55" t="n"/>
      <c r="F337" s="55" t="n"/>
      <c r="G337" s="55" t="n"/>
      <c r="H337" s="58" t="n"/>
      <c r="I337" s="65">
        <f>IF(AND(tblMiningDaily[[#This Row],[Blast_t]]&lt;&gt;"",tblMiningDaily[[#This Row],[Blast_t]]&gt;0),tblMiningDaily[[#This Row],[Explosives_kg]]/tblMiningDaily[[#This Row],[Blast_t]],"")</f>
        <v/>
      </c>
    </row>
    <row r="338">
      <c r="A338" s="54" t="n">
        <v>46355</v>
      </c>
      <c r="B338" s="55" t="n"/>
      <c r="C338" s="55" t="n"/>
      <c r="D338" s="55" t="n"/>
      <c r="E338" s="55" t="n"/>
      <c r="F338" s="55" t="n"/>
      <c r="G338" s="55" t="n"/>
      <c r="H338" s="58" t="n"/>
      <c r="I338" s="65">
        <f>IF(AND(tblMiningDaily[[#This Row],[Blast_t]]&lt;&gt;"",tblMiningDaily[[#This Row],[Blast_t]]&gt;0),tblMiningDaily[[#This Row],[Explosives_kg]]/tblMiningDaily[[#This Row],[Blast_t]],"")</f>
        <v/>
      </c>
    </row>
    <row r="339">
      <c r="A339" s="54" t="n">
        <v>46356</v>
      </c>
      <c r="B339" s="55" t="n"/>
      <c r="C339" s="55" t="n"/>
      <c r="D339" s="55" t="n"/>
      <c r="E339" s="55" t="n"/>
      <c r="F339" s="55" t="n"/>
      <c r="G339" s="55" t="n"/>
      <c r="H339" s="58" t="n"/>
      <c r="I339" s="65">
        <f>IF(AND(tblMiningDaily[[#This Row],[Blast_t]]&lt;&gt;"",tblMiningDaily[[#This Row],[Blast_t]]&gt;0),tblMiningDaily[[#This Row],[Explosives_kg]]/tblMiningDaily[[#This Row],[Blast_t]],"")</f>
        <v/>
      </c>
    </row>
    <row r="340">
      <c r="A340" s="54" t="n">
        <v>46357</v>
      </c>
      <c r="B340" s="55" t="n"/>
      <c r="C340" s="55" t="n"/>
      <c r="D340" s="55" t="n"/>
      <c r="E340" s="55" t="n"/>
      <c r="F340" s="55" t="n"/>
      <c r="G340" s="55" t="n"/>
      <c r="H340" s="58" t="n"/>
      <c r="I340" s="65">
        <f>IF(AND(tblMiningDaily[[#This Row],[Blast_t]]&lt;&gt;"",tblMiningDaily[[#This Row],[Blast_t]]&gt;0),tblMiningDaily[[#This Row],[Explosives_kg]]/tblMiningDaily[[#This Row],[Blast_t]],"")</f>
        <v/>
      </c>
    </row>
    <row r="341">
      <c r="A341" s="54" t="n">
        <v>46358</v>
      </c>
      <c r="B341" s="55" t="n"/>
      <c r="C341" s="55" t="n"/>
      <c r="D341" s="55" t="n"/>
      <c r="E341" s="55" t="n"/>
      <c r="F341" s="55" t="n"/>
      <c r="G341" s="55" t="n"/>
      <c r="H341" s="58" t="n"/>
      <c r="I341" s="65">
        <f>IF(AND(tblMiningDaily[[#This Row],[Blast_t]]&lt;&gt;"",tblMiningDaily[[#This Row],[Blast_t]]&gt;0),tblMiningDaily[[#This Row],[Explosives_kg]]/tblMiningDaily[[#This Row],[Blast_t]],"")</f>
        <v/>
      </c>
    </row>
    <row r="342">
      <c r="A342" s="54" t="n">
        <v>46359</v>
      </c>
      <c r="B342" s="55" t="n"/>
      <c r="C342" s="55" t="n"/>
      <c r="D342" s="55" t="n"/>
      <c r="E342" s="55" t="n"/>
      <c r="F342" s="55" t="n"/>
      <c r="G342" s="55" t="n"/>
      <c r="H342" s="58" t="n"/>
      <c r="I342" s="65">
        <f>IF(AND(tblMiningDaily[[#This Row],[Blast_t]]&lt;&gt;"",tblMiningDaily[[#This Row],[Blast_t]]&gt;0),tblMiningDaily[[#This Row],[Explosives_kg]]/tblMiningDaily[[#This Row],[Blast_t]],"")</f>
        <v/>
      </c>
    </row>
    <row r="343">
      <c r="A343" s="54" t="n">
        <v>46360</v>
      </c>
      <c r="B343" s="55" t="n"/>
      <c r="C343" s="55" t="n"/>
      <c r="D343" s="55" t="n"/>
      <c r="E343" s="55" t="n"/>
      <c r="F343" s="55" t="n"/>
      <c r="G343" s="55" t="n"/>
      <c r="H343" s="58" t="n"/>
      <c r="I343" s="65">
        <f>IF(AND(tblMiningDaily[[#This Row],[Blast_t]]&lt;&gt;"",tblMiningDaily[[#This Row],[Blast_t]]&gt;0),tblMiningDaily[[#This Row],[Explosives_kg]]/tblMiningDaily[[#This Row],[Blast_t]],"")</f>
        <v/>
      </c>
    </row>
    <row r="344">
      <c r="A344" s="54" t="n">
        <v>46361</v>
      </c>
      <c r="B344" s="55" t="n"/>
      <c r="C344" s="55" t="n"/>
      <c r="D344" s="55" t="n"/>
      <c r="E344" s="55" t="n"/>
      <c r="F344" s="55" t="n"/>
      <c r="G344" s="55" t="n"/>
      <c r="H344" s="58" t="n"/>
      <c r="I344" s="65">
        <f>IF(AND(tblMiningDaily[[#This Row],[Blast_t]]&lt;&gt;"",tblMiningDaily[[#This Row],[Blast_t]]&gt;0),tblMiningDaily[[#This Row],[Explosives_kg]]/tblMiningDaily[[#This Row],[Blast_t]],"")</f>
        <v/>
      </c>
    </row>
    <row r="345">
      <c r="A345" s="54" t="n">
        <v>46362</v>
      </c>
      <c r="B345" s="55" t="n"/>
      <c r="C345" s="55" t="n"/>
      <c r="D345" s="55" t="n"/>
      <c r="E345" s="55" t="n"/>
      <c r="F345" s="55" t="n"/>
      <c r="G345" s="55" t="n"/>
      <c r="H345" s="58" t="n"/>
      <c r="I345" s="65">
        <f>IF(AND(tblMiningDaily[[#This Row],[Blast_t]]&lt;&gt;"",tblMiningDaily[[#This Row],[Blast_t]]&gt;0),tblMiningDaily[[#This Row],[Explosives_kg]]/tblMiningDaily[[#This Row],[Blast_t]],"")</f>
        <v/>
      </c>
    </row>
    <row r="346">
      <c r="A346" s="54" t="n">
        <v>46363</v>
      </c>
      <c r="B346" s="55" t="n"/>
      <c r="C346" s="55" t="n"/>
      <c r="D346" s="55" t="n"/>
      <c r="E346" s="55" t="n"/>
      <c r="F346" s="55" t="n"/>
      <c r="G346" s="55" t="n"/>
      <c r="H346" s="58" t="n"/>
      <c r="I346" s="65">
        <f>IF(AND(tblMiningDaily[[#This Row],[Blast_t]]&lt;&gt;"",tblMiningDaily[[#This Row],[Blast_t]]&gt;0),tblMiningDaily[[#This Row],[Explosives_kg]]/tblMiningDaily[[#This Row],[Blast_t]],"")</f>
        <v/>
      </c>
    </row>
    <row r="347">
      <c r="A347" s="54" t="n">
        <v>46364</v>
      </c>
      <c r="B347" s="55" t="n"/>
      <c r="C347" s="55" t="n"/>
      <c r="D347" s="55" t="n"/>
      <c r="E347" s="55" t="n"/>
      <c r="F347" s="55" t="n"/>
      <c r="G347" s="55" t="n"/>
      <c r="H347" s="58" t="n"/>
      <c r="I347" s="65">
        <f>IF(AND(tblMiningDaily[[#This Row],[Blast_t]]&lt;&gt;"",tblMiningDaily[[#This Row],[Blast_t]]&gt;0),tblMiningDaily[[#This Row],[Explosives_kg]]/tblMiningDaily[[#This Row],[Blast_t]],"")</f>
        <v/>
      </c>
    </row>
    <row r="348">
      <c r="A348" s="54" t="n">
        <v>46365</v>
      </c>
      <c r="B348" s="55" t="n"/>
      <c r="C348" s="55" t="n"/>
      <c r="D348" s="55" t="n"/>
      <c r="E348" s="55" t="n"/>
      <c r="F348" s="55" t="n"/>
      <c r="G348" s="55" t="n"/>
      <c r="H348" s="58" t="n"/>
      <c r="I348" s="65">
        <f>IF(AND(tblMiningDaily[[#This Row],[Blast_t]]&lt;&gt;"",tblMiningDaily[[#This Row],[Blast_t]]&gt;0),tblMiningDaily[[#This Row],[Explosives_kg]]/tblMiningDaily[[#This Row],[Blast_t]],"")</f>
        <v/>
      </c>
    </row>
    <row r="349">
      <c r="A349" s="54" t="n">
        <v>46366</v>
      </c>
      <c r="B349" s="55" t="n"/>
      <c r="C349" s="55" t="n"/>
      <c r="D349" s="55" t="n"/>
      <c r="E349" s="55" t="n"/>
      <c r="F349" s="55" t="n"/>
      <c r="G349" s="55" t="n"/>
      <c r="H349" s="58" t="n"/>
      <c r="I349" s="65">
        <f>IF(AND(tblMiningDaily[[#This Row],[Blast_t]]&lt;&gt;"",tblMiningDaily[[#This Row],[Blast_t]]&gt;0),tblMiningDaily[[#This Row],[Explosives_kg]]/tblMiningDaily[[#This Row],[Blast_t]],"")</f>
        <v/>
      </c>
    </row>
    <row r="350">
      <c r="A350" s="54" t="n">
        <v>46367</v>
      </c>
      <c r="B350" s="55" t="n"/>
      <c r="C350" s="55" t="n"/>
      <c r="D350" s="55" t="n"/>
      <c r="E350" s="55" t="n"/>
      <c r="F350" s="55" t="n"/>
      <c r="G350" s="55" t="n"/>
      <c r="H350" s="58" t="n"/>
      <c r="I350" s="65">
        <f>IF(AND(tblMiningDaily[[#This Row],[Blast_t]]&lt;&gt;"",tblMiningDaily[[#This Row],[Blast_t]]&gt;0),tblMiningDaily[[#This Row],[Explosives_kg]]/tblMiningDaily[[#This Row],[Blast_t]],"")</f>
        <v/>
      </c>
    </row>
    <row r="351">
      <c r="A351" s="54" t="n">
        <v>46368</v>
      </c>
      <c r="B351" s="55" t="n"/>
      <c r="C351" s="55" t="n"/>
      <c r="D351" s="55" t="n"/>
      <c r="E351" s="55" t="n"/>
      <c r="F351" s="55" t="n"/>
      <c r="G351" s="55" t="n"/>
      <c r="H351" s="58" t="n"/>
      <c r="I351" s="65">
        <f>IF(AND(tblMiningDaily[[#This Row],[Blast_t]]&lt;&gt;"",tblMiningDaily[[#This Row],[Blast_t]]&gt;0),tblMiningDaily[[#This Row],[Explosives_kg]]/tblMiningDaily[[#This Row],[Blast_t]],"")</f>
        <v/>
      </c>
    </row>
    <row r="352">
      <c r="A352" s="54" t="n">
        <v>46369</v>
      </c>
      <c r="B352" s="55" t="n"/>
      <c r="C352" s="55" t="n"/>
      <c r="D352" s="55" t="n"/>
      <c r="E352" s="55" t="n"/>
      <c r="F352" s="55" t="n"/>
      <c r="G352" s="55" t="n"/>
      <c r="H352" s="58" t="n"/>
      <c r="I352" s="65">
        <f>IF(AND(tblMiningDaily[[#This Row],[Blast_t]]&lt;&gt;"",tblMiningDaily[[#This Row],[Blast_t]]&gt;0),tblMiningDaily[[#This Row],[Explosives_kg]]/tblMiningDaily[[#This Row],[Blast_t]],"")</f>
        <v/>
      </c>
    </row>
    <row r="353">
      <c r="A353" s="54" t="n">
        <v>46370</v>
      </c>
      <c r="B353" s="55" t="n"/>
      <c r="C353" s="55" t="n"/>
      <c r="D353" s="55" t="n"/>
      <c r="E353" s="55" t="n"/>
      <c r="F353" s="55" t="n"/>
      <c r="G353" s="55" t="n"/>
      <c r="H353" s="58" t="n"/>
      <c r="I353" s="65">
        <f>IF(AND(tblMiningDaily[[#This Row],[Blast_t]]&lt;&gt;"",tblMiningDaily[[#This Row],[Blast_t]]&gt;0),tblMiningDaily[[#This Row],[Explosives_kg]]/tblMiningDaily[[#This Row],[Blast_t]],"")</f>
        <v/>
      </c>
    </row>
    <row r="354">
      <c r="A354" s="54" t="n">
        <v>46371</v>
      </c>
      <c r="B354" s="55" t="n"/>
      <c r="C354" s="55" t="n"/>
      <c r="D354" s="55" t="n"/>
      <c r="E354" s="55" t="n"/>
      <c r="F354" s="55" t="n"/>
      <c r="G354" s="55" t="n"/>
      <c r="H354" s="58" t="n"/>
      <c r="I354" s="65">
        <f>IF(AND(tblMiningDaily[[#This Row],[Blast_t]]&lt;&gt;"",tblMiningDaily[[#This Row],[Blast_t]]&gt;0),tblMiningDaily[[#This Row],[Explosives_kg]]/tblMiningDaily[[#This Row],[Blast_t]],"")</f>
        <v/>
      </c>
    </row>
    <row r="355">
      <c r="A355" s="54" t="n">
        <v>46372</v>
      </c>
      <c r="B355" s="55" t="n"/>
      <c r="C355" s="55" t="n"/>
      <c r="D355" s="55" t="n"/>
      <c r="E355" s="55" t="n"/>
      <c r="F355" s="55" t="n"/>
      <c r="G355" s="55" t="n"/>
      <c r="H355" s="58" t="n"/>
      <c r="I355" s="65">
        <f>IF(AND(tblMiningDaily[[#This Row],[Blast_t]]&lt;&gt;"",tblMiningDaily[[#This Row],[Blast_t]]&gt;0),tblMiningDaily[[#This Row],[Explosives_kg]]/tblMiningDaily[[#This Row],[Blast_t]],"")</f>
        <v/>
      </c>
    </row>
    <row r="356">
      <c r="A356" s="54" t="n">
        <v>46373</v>
      </c>
      <c r="B356" s="55" t="n"/>
      <c r="C356" s="55" t="n"/>
      <c r="D356" s="55" t="n"/>
      <c r="E356" s="55" t="n"/>
      <c r="F356" s="55" t="n"/>
      <c r="G356" s="55" t="n"/>
      <c r="H356" s="58" t="n"/>
      <c r="I356" s="65">
        <f>IF(AND(tblMiningDaily[[#This Row],[Blast_t]]&lt;&gt;"",tblMiningDaily[[#This Row],[Blast_t]]&gt;0),tblMiningDaily[[#This Row],[Explosives_kg]]/tblMiningDaily[[#This Row],[Blast_t]],"")</f>
        <v/>
      </c>
    </row>
    <row r="357">
      <c r="A357" s="54" t="n">
        <v>46374</v>
      </c>
      <c r="B357" s="55" t="n"/>
      <c r="C357" s="55" t="n"/>
      <c r="D357" s="55" t="n"/>
      <c r="E357" s="55" t="n"/>
      <c r="F357" s="55" t="n"/>
      <c r="G357" s="55" t="n"/>
      <c r="H357" s="58" t="n"/>
      <c r="I357" s="65">
        <f>IF(AND(tblMiningDaily[[#This Row],[Blast_t]]&lt;&gt;"",tblMiningDaily[[#This Row],[Blast_t]]&gt;0),tblMiningDaily[[#This Row],[Explosives_kg]]/tblMiningDaily[[#This Row],[Blast_t]],"")</f>
        <v/>
      </c>
    </row>
    <row r="358">
      <c r="A358" s="54" t="n">
        <v>46375</v>
      </c>
      <c r="B358" s="55" t="n"/>
      <c r="C358" s="55" t="n"/>
      <c r="D358" s="55" t="n"/>
      <c r="E358" s="55" t="n"/>
      <c r="F358" s="55" t="n"/>
      <c r="G358" s="55" t="n"/>
      <c r="H358" s="58" t="n"/>
      <c r="I358" s="65">
        <f>IF(AND(tblMiningDaily[[#This Row],[Blast_t]]&lt;&gt;"",tblMiningDaily[[#This Row],[Blast_t]]&gt;0),tblMiningDaily[[#This Row],[Explosives_kg]]/tblMiningDaily[[#This Row],[Blast_t]],"")</f>
        <v/>
      </c>
    </row>
    <row r="359">
      <c r="A359" s="54" t="n">
        <v>46376</v>
      </c>
      <c r="B359" s="55" t="n"/>
      <c r="C359" s="55" t="n"/>
      <c r="D359" s="55" t="n"/>
      <c r="E359" s="55" t="n"/>
      <c r="F359" s="55" t="n"/>
      <c r="G359" s="55" t="n"/>
      <c r="H359" s="58" t="n"/>
      <c r="I359" s="65">
        <f>IF(AND(tblMiningDaily[[#This Row],[Blast_t]]&lt;&gt;"",tblMiningDaily[[#This Row],[Blast_t]]&gt;0),tblMiningDaily[[#This Row],[Explosives_kg]]/tblMiningDaily[[#This Row],[Blast_t]],"")</f>
        <v/>
      </c>
    </row>
    <row r="360">
      <c r="A360" s="54" t="n">
        <v>46377</v>
      </c>
      <c r="B360" s="55" t="n"/>
      <c r="C360" s="55" t="n"/>
      <c r="D360" s="55" t="n"/>
      <c r="E360" s="55" t="n"/>
      <c r="F360" s="55" t="n"/>
      <c r="G360" s="55" t="n"/>
      <c r="H360" s="58" t="n"/>
      <c r="I360" s="65">
        <f>IF(AND(tblMiningDaily[[#This Row],[Blast_t]]&lt;&gt;"",tblMiningDaily[[#This Row],[Blast_t]]&gt;0),tblMiningDaily[[#This Row],[Explosives_kg]]/tblMiningDaily[[#This Row],[Blast_t]],"")</f>
        <v/>
      </c>
    </row>
    <row r="361">
      <c r="A361" s="54" t="n">
        <v>46378</v>
      </c>
      <c r="B361" s="55" t="n"/>
      <c r="C361" s="55" t="n"/>
      <c r="D361" s="55" t="n"/>
      <c r="E361" s="55" t="n"/>
      <c r="F361" s="55" t="n"/>
      <c r="G361" s="55" t="n"/>
      <c r="H361" s="58" t="n"/>
      <c r="I361" s="65">
        <f>IF(AND(tblMiningDaily[[#This Row],[Blast_t]]&lt;&gt;"",tblMiningDaily[[#This Row],[Blast_t]]&gt;0),tblMiningDaily[[#This Row],[Explosives_kg]]/tblMiningDaily[[#This Row],[Blast_t]],"")</f>
        <v/>
      </c>
    </row>
    <row r="362">
      <c r="A362" s="54" t="n">
        <v>46379</v>
      </c>
      <c r="B362" s="55" t="n"/>
      <c r="C362" s="55" t="n"/>
      <c r="D362" s="55" t="n"/>
      <c r="E362" s="55" t="n"/>
      <c r="F362" s="55" t="n"/>
      <c r="G362" s="55" t="n"/>
      <c r="H362" s="58" t="n"/>
      <c r="I362" s="65">
        <f>IF(AND(tblMiningDaily[[#This Row],[Blast_t]]&lt;&gt;"",tblMiningDaily[[#This Row],[Blast_t]]&gt;0),tblMiningDaily[[#This Row],[Explosives_kg]]/tblMiningDaily[[#This Row],[Blast_t]],"")</f>
        <v/>
      </c>
    </row>
    <row r="363">
      <c r="A363" s="54" t="n">
        <v>46380</v>
      </c>
      <c r="B363" s="55" t="n"/>
      <c r="C363" s="55" t="n"/>
      <c r="D363" s="55" t="n"/>
      <c r="E363" s="55" t="n"/>
      <c r="F363" s="55" t="n"/>
      <c r="G363" s="55" t="n"/>
      <c r="H363" s="58" t="n"/>
      <c r="I363" s="65">
        <f>IF(AND(tblMiningDaily[[#This Row],[Blast_t]]&lt;&gt;"",tblMiningDaily[[#This Row],[Blast_t]]&gt;0),tblMiningDaily[[#This Row],[Explosives_kg]]/tblMiningDaily[[#This Row],[Blast_t]],"")</f>
        <v/>
      </c>
    </row>
    <row r="364">
      <c r="A364" s="54" t="n">
        <v>46381</v>
      </c>
      <c r="B364" s="55" t="n"/>
      <c r="C364" s="55" t="n"/>
      <c r="D364" s="55" t="n"/>
      <c r="E364" s="55" t="n"/>
      <c r="F364" s="55" t="n"/>
      <c r="G364" s="55" t="n"/>
      <c r="H364" s="58" t="n"/>
      <c r="I364" s="65">
        <f>IF(AND(tblMiningDaily[[#This Row],[Blast_t]]&lt;&gt;"",tblMiningDaily[[#This Row],[Blast_t]]&gt;0),tblMiningDaily[[#This Row],[Explosives_kg]]/tblMiningDaily[[#This Row],[Blast_t]],"")</f>
        <v/>
      </c>
    </row>
    <row r="365">
      <c r="A365" s="54" t="n">
        <v>46382</v>
      </c>
      <c r="B365" s="55" t="n"/>
      <c r="C365" s="55" t="n"/>
      <c r="D365" s="55" t="n"/>
      <c r="E365" s="55" t="n"/>
      <c r="F365" s="55" t="n"/>
      <c r="G365" s="55" t="n"/>
      <c r="H365" s="58" t="n"/>
      <c r="I365" s="65">
        <f>IF(AND(tblMiningDaily[[#This Row],[Blast_t]]&lt;&gt;"",tblMiningDaily[[#This Row],[Blast_t]]&gt;0),tblMiningDaily[[#This Row],[Explosives_kg]]/tblMiningDaily[[#This Row],[Blast_t]],"")</f>
        <v/>
      </c>
    </row>
    <row r="366">
      <c r="A366" s="54" t="n">
        <v>46383</v>
      </c>
      <c r="B366" s="55" t="n"/>
      <c r="C366" s="55" t="n"/>
      <c r="D366" s="55" t="n"/>
      <c r="E366" s="55" t="n"/>
      <c r="F366" s="55" t="n"/>
      <c r="G366" s="55" t="n"/>
      <c r="H366" s="58" t="n"/>
      <c r="I366" s="65">
        <f>IF(AND(tblMiningDaily[[#This Row],[Blast_t]]&lt;&gt;"",tblMiningDaily[[#This Row],[Blast_t]]&gt;0),tblMiningDaily[[#This Row],[Explosives_kg]]/tblMiningDaily[[#This Row],[Blast_t]],"")</f>
        <v/>
      </c>
    </row>
    <row r="367">
      <c r="A367" s="54" t="n">
        <v>46384</v>
      </c>
      <c r="B367" s="55" t="n"/>
      <c r="C367" s="55" t="n"/>
      <c r="D367" s="55" t="n"/>
      <c r="E367" s="55" t="n"/>
      <c r="F367" s="55" t="n"/>
      <c r="G367" s="55" t="n"/>
      <c r="H367" s="58" t="n"/>
      <c r="I367" s="65">
        <f>IF(AND(tblMiningDaily[[#This Row],[Blast_t]]&lt;&gt;"",tblMiningDaily[[#This Row],[Blast_t]]&gt;0),tblMiningDaily[[#This Row],[Explosives_kg]]/tblMiningDaily[[#This Row],[Blast_t]],"")</f>
        <v/>
      </c>
    </row>
    <row r="368">
      <c r="A368" s="54" t="n">
        <v>46385</v>
      </c>
      <c r="B368" s="55" t="n"/>
      <c r="C368" s="55" t="n"/>
      <c r="D368" s="55" t="n"/>
      <c r="E368" s="55" t="n"/>
      <c r="F368" s="55" t="n"/>
      <c r="G368" s="55" t="n"/>
      <c r="H368" s="58" t="n"/>
      <c r="I368" s="65">
        <f>IF(AND(tblMiningDaily[[#This Row],[Blast_t]]&lt;&gt;"",tblMiningDaily[[#This Row],[Blast_t]]&gt;0),tblMiningDaily[[#This Row],[Explosives_kg]]/tblMiningDaily[[#This Row],[Blast_t]],"")</f>
        <v/>
      </c>
    </row>
    <row r="369">
      <c r="A369" s="54" t="n">
        <v>46386</v>
      </c>
      <c r="B369" s="55" t="n"/>
      <c r="C369" s="55" t="n"/>
      <c r="D369" s="55" t="n"/>
      <c r="E369" s="55" t="n"/>
      <c r="F369" s="55" t="n"/>
      <c r="G369" s="55" t="n"/>
      <c r="H369" s="58" t="n"/>
      <c r="I369" s="65">
        <f>IF(AND(tblMiningDaily[[#This Row],[Blast_t]]&lt;&gt;"",tblMiningDaily[[#This Row],[Blast_t]]&gt;0),tblMiningDaily[[#This Row],[Explosives_kg]]/tblMiningDaily[[#This Row],[Blast_t]],"")</f>
        <v/>
      </c>
    </row>
    <row r="370">
      <c r="A370" s="54" t="n">
        <v>46387</v>
      </c>
      <c r="B370" s="55" t="n"/>
      <c r="C370" s="55" t="n"/>
      <c r="D370" s="55" t="n"/>
      <c r="E370" s="55" t="n"/>
      <c r="F370" s="55" t="n"/>
      <c r="G370" s="55" t="n"/>
      <c r="H370" s="58" t="n"/>
      <c r="I370" s="65">
        <f>IF(AND(tblMiningDaily[[#This Row],[Blast_t]]&lt;&gt;"",tblMiningDaily[[#This Row],[Blast_t]]&gt;0),tblMiningDaily[[#This Row],[Explosives_kg]]/tblMiningDaily[[#This Row],[Blast_t]],"")</f>
        <v/>
      </c>
    </row>
  </sheetData>
  <conditionalFormatting sqref="A6:A370">
    <cfRule type="expression" priority="1" dxfId="0">
      <formula>COUNTIF($A$6:$A$370,$A6)&gt;1</formula>
    </cfRule>
  </conditionalFormatting>
  <dataValidations count="7">
    <dataValidation sqref="A6:A370" showDropDown="0" showInputMessage="0" showErrorMessage="1" allowBlank="1" errorTitle="Duplicate date" error="This date already has a row in the table. Enter the values on the existing row." type="custom" errorStyle="stop">
      <formula1>COUNTIF($A$6:$A$370,A6)=1</formula1>
    </dataValidation>
    <dataValidation sqref="B6:B370" showDropDown="0" showInputMessage="1" showErrorMessage="1" allowBlank="1" errorTitle="Outside expected range" error="Expected between 0 and 20,000. Click Yes to keep the value if it is correct." promptTitle="Drilled" prompt="Production drill metres" type="decimal" errorStyle="warning" operator="between">
      <formula1>0</formula1>
      <formula2>20000</formula2>
    </dataValidation>
    <dataValidation sqref="C6:C370" showDropDown="0" showInputMessage="1" showErrorMessage="1" allowBlank="1" errorTitle="Outside expected range" error="Expected between 0 and 5,000. Click Yes to keep the value if it is correct." promptTitle="Grade control drilled" prompt="Grade control RC drill metres" type="decimal" errorStyle="warning" operator="between">
      <formula1>0</formula1>
      <formula2>5000</formula2>
    </dataValidation>
    <dataValidation sqref="D6:D370" showDropDown="0" showInputMessage="1" showErrorMessage="1" allowBlank="1" errorTitle="Outside expected range" error="Expected between 0 and 500,000. Click Yes to keep the value if it is correct." promptTitle="Blasted" prompt="Tonnes blasted" type="decimal" errorStyle="warning" operator="between">
      <formula1>0</formula1>
      <formula2>500000</formula2>
    </dataValidation>
    <dataValidation sqref="E6:E370" showDropDown="0" showInputMessage="1" showErrorMessage="1" allowBlank="1" errorTitle="Outside expected range" error="Expected between 0 and 200,000. Click Yes to keep the value if it is correct." promptTitle="Explosives" prompt="Explosives consumed" type="decimal" errorStyle="warning" operator="between">
      <formula1>0</formula1>
      <formula2>200000</formula2>
    </dataValidation>
    <dataValidation sqref="F6:F370" showDropDown="0" showInputMessage="1" showErrorMessage="1" allowBlank="1" errorTitle="Outside expected range" error="Expected between 0 and 200,000. Click Yes to keep the value if it is correct." promptTitle="Diesel" prompt="Mining fleet diesel" type="decimal" errorStyle="warning" operator="between">
      <formula1>0</formula1>
      <formula2>200000</formula2>
    </dataValidation>
    <dataValidation sqref="G6:G370" showDropDown="0" showInputMessage="1" showErrorMessage="1" allowBlank="1" errorTitle="Outside expected range" error="Expected between 0 and 500,000. Click Yes to keep the value if it is correct." promptTitle="Dewatering" prompt="Pit water pumped" type="decimal" errorStyle="warning" operator="between">
      <formula1>0</formula1>
      <formula2>500000</formula2>
    </dataValidation>
  </dataValidation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548235"/>
    <outlinePr summaryBelow="1" summaryRight="1"/>
    <pageSetUpPr/>
  </sheetPr>
  <dimension ref="A1:J30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5.5" customWidth="1" min="2" max="2"/>
    <col width="14.6" customWidth="1" min="3" max="3"/>
    <col width="14.6" customWidth="1" min="4" max="4"/>
    <col width="19.1" customWidth="1" min="5" max="5"/>
    <col width="32" customWidth="1" min="6" max="6"/>
    <col width="18.2" customWidth="1" min="7" max="7"/>
    <col width="19.1" customWidth="1" min="8" max="8"/>
    <col width="16.4" customWidth="1" min="9" max="9"/>
    <col width="15.5" customWidth="1" min="10" max="10"/>
  </cols>
  <sheetData>
    <row r="1">
      <c r="A1" s="50" t="inlineStr">
        <is>
          <t>Mining fleet time model, one row per equipment class per day</t>
        </is>
      </c>
    </row>
    <row r="2">
      <c r="A2" s="6" t="inlineStr">
        <is>
          <t>Owner: Mining (dispatch / maintenance planner).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Equipment class</t>
        </is>
      </c>
      <c r="C4" s="51" t="inlineStr">
        <is>
          <t>Units in fleet</t>
        </is>
      </c>
      <c r="D4" s="51" t="inlineStr">
        <is>
          <t>Down hours (h)</t>
        </is>
      </c>
      <c r="E4" s="51" t="inlineStr">
        <is>
          <t>Operating hours (h)</t>
        </is>
      </c>
      <c r="F4" s="51" t="inlineStr">
        <is>
          <t>Comments</t>
        </is>
      </c>
      <c r="G4" s="51" t="inlineStr">
        <is>
          <t>Calendar hours (h)</t>
        </is>
      </c>
      <c r="H4" s="51" t="inlineStr">
        <is>
          <t>Available hours (h)</t>
        </is>
      </c>
      <c r="I4" s="51" t="inlineStr">
        <is>
          <t>Availability (%)</t>
        </is>
      </c>
      <c r="J4" s="51" t="inlineStr">
        <is>
          <t>Utilisation (%)</t>
        </is>
      </c>
    </row>
    <row r="5">
      <c r="A5" s="52" t="inlineStr">
        <is>
          <t>Date</t>
        </is>
      </c>
      <c r="B5" s="52" t="inlineStr">
        <is>
          <t>Equipment_Class</t>
        </is>
      </c>
      <c r="C5" s="52" t="inlineStr">
        <is>
          <t>Units</t>
        </is>
      </c>
      <c r="D5" s="52" t="inlineStr">
        <is>
          <t>Down_h</t>
        </is>
      </c>
      <c r="E5" s="52" t="inlineStr">
        <is>
          <t>Operating_h</t>
        </is>
      </c>
      <c r="F5" s="52" t="inlineStr">
        <is>
          <t>Comments</t>
        </is>
      </c>
      <c r="G5" s="53" t="inlineStr">
        <is>
          <t>Calendar_h</t>
        </is>
      </c>
      <c r="H5" s="53" t="inlineStr">
        <is>
          <t>Available_h</t>
        </is>
      </c>
      <c r="I5" s="53" t="inlineStr">
        <is>
          <t>Availability_pct</t>
        </is>
      </c>
      <c r="J5" s="53" t="inlineStr">
        <is>
          <t>Utilisation_pct</t>
        </is>
      </c>
    </row>
    <row r="6">
      <c r="A6" s="54" t="n"/>
      <c r="B6" s="61" t="n"/>
      <c r="C6" s="62" t="n"/>
      <c r="D6" s="57" t="n"/>
      <c r="E6" s="57" t="n"/>
      <c r="F6" s="58" t="n"/>
      <c r="G6" s="66">
        <f>IF(tblFleet[[#This Row],[Units]]="","",tblFleet[[#This Row],[Units]]*cfg_HoursPerDay)</f>
        <v/>
      </c>
      <c r="H6" s="66">
        <f>IF(tblFleet[[#This Row],[Units]]="","",tblFleet[[#This Row],[Calendar_h]]-tblFleet[[#This Row],[Down_h]])</f>
        <v/>
      </c>
      <c r="I6" s="60">
        <f>IF(AND(tblFleet[[#This Row],[Units]]&lt;&gt;"",tblFleet[[#This Row],[Calendar_h]]&gt;0),tblFleet[[#This Row],[Available_h]]/tblFleet[[#This Row],[Calendar_h]],"")</f>
        <v/>
      </c>
      <c r="J6" s="60">
        <f>IF(AND(tblFleet[[#This Row],[Units]]&lt;&gt;"",tblFleet[[#This Row],[Available_h]]&gt;0),tblFleet[[#This Row],[Operating_h]]/tblFleet[[#This Row],[Available_h]],"")</f>
        <v/>
      </c>
    </row>
    <row r="7">
      <c r="A7" s="54" t="n"/>
      <c r="B7" s="61" t="n"/>
      <c r="C7" s="62" t="n"/>
      <c r="D7" s="57" t="n"/>
      <c r="E7" s="57" t="n"/>
      <c r="F7" s="58" t="n"/>
      <c r="G7" s="66">
        <f>IF(tblFleet[[#This Row],[Units]]="","",tblFleet[[#This Row],[Units]]*cfg_HoursPerDay)</f>
        <v/>
      </c>
      <c r="H7" s="66">
        <f>IF(tblFleet[[#This Row],[Units]]="","",tblFleet[[#This Row],[Calendar_h]]-tblFleet[[#This Row],[Down_h]])</f>
        <v/>
      </c>
      <c r="I7" s="60">
        <f>IF(AND(tblFleet[[#This Row],[Units]]&lt;&gt;"",tblFleet[[#This Row],[Calendar_h]]&gt;0),tblFleet[[#This Row],[Available_h]]/tblFleet[[#This Row],[Calendar_h]],"")</f>
        <v/>
      </c>
      <c r="J7" s="60">
        <f>IF(AND(tblFleet[[#This Row],[Units]]&lt;&gt;"",tblFleet[[#This Row],[Available_h]]&gt;0),tblFleet[[#This Row],[Operating_h]]/tblFleet[[#This Row],[Available_h]],"")</f>
        <v/>
      </c>
    </row>
    <row r="8">
      <c r="A8" s="54" t="n"/>
      <c r="B8" s="61" t="n"/>
      <c r="C8" s="62" t="n"/>
      <c r="D8" s="57" t="n"/>
      <c r="E8" s="57" t="n"/>
      <c r="F8" s="58" t="n"/>
      <c r="G8" s="66">
        <f>IF(tblFleet[[#This Row],[Units]]="","",tblFleet[[#This Row],[Units]]*cfg_HoursPerDay)</f>
        <v/>
      </c>
      <c r="H8" s="66">
        <f>IF(tblFleet[[#This Row],[Units]]="","",tblFleet[[#This Row],[Calendar_h]]-tblFleet[[#This Row],[Down_h]])</f>
        <v/>
      </c>
      <c r="I8" s="60">
        <f>IF(AND(tblFleet[[#This Row],[Units]]&lt;&gt;"",tblFleet[[#This Row],[Calendar_h]]&gt;0),tblFleet[[#This Row],[Available_h]]/tblFleet[[#This Row],[Calendar_h]],"")</f>
        <v/>
      </c>
      <c r="J8" s="60">
        <f>IF(AND(tblFleet[[#This Row],[Units]]&lt;&gt;"",tblFleet[[#This Row],[Available_h]]&gt;0),tblFleet[[#This Row],[Operating_h]]/tblFleet[[#This Row],[Available_h]],"")</f>
        <v/>
      </c>
    </row>
    <row r="9">
      <c r="A9" s="54" t="n"/>
      <c r="B9" s="61" t="n"/>
      <c r="C9" s="62" t="n"/>
      <c r="D9" s="57" t="n"/>
      <c r="E9" s="57" t="n"/>
      <c r="F9" s="58" t="n"/>
      <c r="G9" s="66">
        <f>IF(tblFleet[[#This Row],[Units]]="","",tblFleet[[#This Row],[Units]]*cfg_HoursPerDay)</f>
        <v/>
      </c>
      <c r="H9" s="66">
        <f>IF(tblFleet[[#This Row],[Units]]="","",tblFleet[[#This Row],[Calendar_h]]-tblFleet[[#This Row],[Down_h]])</f>
        <v/>
      </c>
      <c r="I9" s="60">
        <f>IF(AND(tblFleet[[#This Row],[Units]]&lt;&gt;"",tblFleet[[#This Row],[Calendar_h]]&gt;0),tblFleet[[#This Row],[Available_h]]/tblFleet[[#This Row],[Calendar_h]],"")</f>
        <v/>
      </c>
      <c r="J9" s="60">
        <f>IF(AND(tblFleet[[#This Row],[Units]]&lt;&gt;"",tblFleet[[#This Row],[Available_h]]&gt;0),tblFleet[[#This Row],[Operating_h]]/tblFleet[[#This Row],[Available_h]],"")</f>
        <v/>
      </c>
    </row>
    <row r="10">
      <c r="A10" s="54" t="n"/>
      <c r="B10" s="61" t="n"/>
      <c r="C10" s="62" t="n"/>
      <c r="D10" s="57" t="n"/>
      <c r="E10" s="57" t="n"/>
      <c r="F10" s="58" t="n"/>
      <c r="G10" s="66">
        <f>IF(tblFleet[[#This Row],[Units]]="","",tblFleet[[#This Row],[Units]]*cfg_HoursPerDay)</f>
        <v/>
      </c>
      <c r="H10" s="66">
        <f>IF(tblFleet[[#This Row],[Units]]="","",tblFleet[[#This Row],[Calendar_h]]-tblFleet[[#This Row],[Down_h]])</f>
        <v/>
      </c>
      <c r="I10" s="60">
        <f>IF(AND(tblFleet[[#This Row],[Units]]&lt;&gt;"",tblFleet[[#This Row],[Calendar_h]]&gt;0),tblFleet[[#This Row],[Available_h]]/tblFleet[[#This Row],[Calendar_h]],"")</f>
        <v/>
      </c>
      <c r="J10" s="60">
        <f>IF(AND(tblFleet[[#This Row],[Units]]&lt;&gt;"",tblFleet[[#This Row],[Available_h]]&gt;0),tblFleet[[#This Row],[Operating_h]]/tblFleet[[#This Row],[Available_h]],"")</f>
        <v/>
      </c>
    </row>
    <row r="11">
      <c r="A11" s="54" t="n"/>
      <c r="B11" s="61" t="n"/>
      <c r="C11" s="62" t="n"/>
      <c r="D11" s="57" t="n"/>
      <c r="E11" s="57" t="n"/>
      <c r="F11" s="58" t="n"/>
      <c r="G11" s="66">
        <f>IF(tblFleet[[#This Row],[Units]]="","",tblFleet[[#This Row],[Units]]*cfg_HoursPerDay)</f>
        <v/>
      </c>
      <c r="H11" s="66">
        <f>IF(tblFleet[[#This Row],[Units]]="","",tblFleet[[#This Row],[Calendar_h]]-tblFleet[[#This Row],[Down_h]])</f>
        <v/>
      </c>
      <c r="I11" s="60">
        <f>IF(AND(tblFleet[[#This Row],[Units]]&lt;&gt;"",tblFleet[[#This Row],[Calendar_h]]&gt;0),tblFleet[[#This Row],[Available_h]]/tblFleet[[#This Row],[Calendar_h]],"")</f>
        <v/>
      </c>
      <c r="J11" s="60">
        <f>IF(AND(tblFleet[[#This Row],[Units]]&lt;&gt;"",tblFleet[[#This Row],[Available_h]]&gt;0),tblFleet[[#This Row],[Operating_h]]/tblFleet[[#This Row],[Available_h]],"")</f>
        <v/>
      </c>
    </row>
    <row r="12">
      <c r="A12" s="54" t="n"/>
      <c r="B12" s="61" t="n"/>
      <c r="C12" s="62" t="n"/>
      <c r="D12" s="57" t="n"/>
      <c r="E12" s="57" t="n"/>
      <c r="F12" s="58" t="n"/>
      <c r="G12" s="66">
        <f>IF(tblFleet[[#This Row],[Units]]="","",tblFleet[[#This Row],[Units]]*cfg_HoursPerDay)</f>
        <v/>
      </c>
      <c r="H12" s="66">
        <f>IF(tblFleet[[#This Row],[Units]]="","",tblFleet[[#This Row],[Calendar_h]]-tblFleet[[#This Row],[Down_h]])</f>
        <v/>
      </c>
      <c r="I12" s="60">
        <f>IF(AND(tblFleet[[#This Row],[Units]]&lt;&gt;"",tblFleet[[#This Row],[Calendar_h]]&gt;0),tblFleet[[#This Row],[Available_h]]/tblFleet[[#This Row],[Calendar_h]],"")</f>
        <v/>
      </c>
      <c r="J12" s="60">
        <f>IF(AND(tblFleet[[#This Row],[Units]]&lt;&gt;"",tblFleet[[#This Row],[Available_h]]&gt;0),tblFleet[[#This Row],[Operating_h]]/tblFleet[[#This Row],[Available_h]],"")</f>
        <v/>
      </c>
    </row>
    <row r="13">
      <c r="A13" s="54" t="n"/>
      <c r="B13" s="61" t="n"/>
      <c r="C13" s="62" t="n"/>
      <c r="D13" s="57" t="n"/>
      <c r="E13" s="57" t="n"/>
      <c r="F13" s="58" t="n"/>
      <c r="G13" s="66">
        <f>IF(tblFleet[[#This Row],[Units]]="","",tblFleet[[#This Row],[Units]]*cfg_HoursPerDay)</f>
        <v/>
      </c>
      <c r="H13" s="66">
        <f>IF(tblFleet[[#This Row],[Units]]="","",tblFleet[[#This Row],[Calendar_h]]-tblFleet[[#This Row],[Down_h]])</f>
        <v/>
      </c>
      <c r="I13" s="60">
        <f>IF(AND(tblFleet[[#This Row],[Units]]&lt;&gt;"",tblFleet[[#This Row],[Calendar_h]]&gt;0),tblFleet[[#This Row],[Available_h]]/tblFleet[[#This Row],[Calendar_h]],"")</f>
        <v/>
      </c>
      <c r="J13" s="60">
        <f>IF(AND(tblFleet[[#This Row],[Units]]&lt;&gt;"",tblFleet[[#This Row],[Available_h]]&gt;0),tblFleet[[#This Row],[Operating_h]]/tblFleet[[#This Row],[Available_h]],"")</f>
        <v/>
      </c>
    </row>
    <row r="14">
      <c r="A14" s="54" t="n"/>
      <c r="B14" s="61" t="n"/>
      <c r="C14" s="62" t="n"/>
      <c r="D14" s="57" t="n"/>
      <c r="E14" s="57" t="n"/>
      <c r="F14" s="58" t="n"/>
      <c r="G14" s="66">
        <f>IF(tblFleet[[#This Row],[Units]]="","",tblFleet[[#This Row],[Units]]*cfg_HoursPerDay)</f>
        <v/>
      </c>
      <c r="H14" s="66">
        <f>IF(tblFleet[[#This Row],[Units]]="","",tblFleet[[#This Row],[Calendar_h]]-tblFleet[[#This Row],[Down_h]])</f>
        <v/>
      </c>
      <c r="I14" s="60">
        <f>IF(AND(tblFleet[[#This Row],[Units]]&lt;&gt;"",tblFleet[[#This Row],[Calendar_h]]&gt;0),tblFleet[[#This Row],[Available_h]]/tblFleet[[#This Row],[Calendar_h]],"")</f>
        <v/>
      </c>
      <c r="J14" s="60">
        <f>IF(AND(tblFleet[[#This Row],[Units]]&lt;&gt;"",tblFleet[[#This Row],[Available_h]]&gt;0),tblFleet[[#This Row],[Operating_h]]/tblFleet[[#This Row],[Available_h]],"")</f>
        <v/>
      </c>
    </row>
    <row r="15">
      <c r="A15" s="54" t="n"/>
      <c r="B15" s="61" t="n"/>
      <c r="C15" s="62" t="n"/>
      <c r="D15" s="57" t="n"/>
      <c r="E15" s="57" t="n"/>
      <c r="F15" s="58" t="n"/>
      <c r="G15" s="66">
        <f>IF(tblFleet[[#This Row],[Units]]="","",tblFleet[[#This Row],[Units]]*cfg_HoursPerDay)</f>
        <v/>
      </c>
      <c r="H15" s="66">
        <f>IF(tblFleet[[#This Row],[Units]]="","",tblFleet[[#This Row],[Calendar_h]]-tblFleet[[#This Row],[Down_h]])</f>
        <v/>
      </c>
      <c r="I15" s="60">
        <f>IF(AND(tblFleet[[#This Row],[Units]]&lt;&gt;"",tblFleet[[#This Row],[Calendar_h]]&gt;0),tblFleet[[#This Row],[Available_h]]/tblFleet[[#This Row],[Calendar_h]],"")</f>
        <v/>
      </c>
      <c r="J15" s="60">
        <f>IF(AND(tblFleet[[#This Row],[Units]]&lt;&gt;"",tblFleet[[#This Row],[Available_h]]&gt;0),tblFleet[[#This Row],[Operating_h]]/tblFleet[[#This Row],[Available_h]],"")</f>
        <v/>
      </c>
    </row>
    <row r="16">
      <c r="A16" s="54" t="n"/>
      <c r="B16" s="61" t="n"/>
      <c r="C16" s="62" t="n"/>
      <c r="D16" s="57" t="n"/>
      <c r="E16" s="57" t="n"/>
      <c r="F16" s="58" t="n"/>
      <c r="G16" s="66">
        <f>IF(tblFleet[[#This Row],[Units]]="","",tblFleet[[#This Row],[Units]]*cfg_HoursPerDay)</f>
        <v/>
      </c>
      <c r="H16" s="66">
        <f>IF(tblFleet[[#This Row],[Units]]="","",tblFleet[[#This Row],[Calendar_h]]-tblFleet[[#This Row],[Down_h]])</f>
        <v/>
      </c>
      <c r="I16" s="60">
        <f>IF(AND(tblFleet[[#This Row],[Units]]&lt;&gt;"",tblFleet[[#This Row],[Calendar_h]]&gt;0),tblFleet[[#This Row],[Available_h]]/tblFleet[[#This Row],[Calendar_h]],"")</f>
        <v/>
      </c>
      <c r="J16" s="60">
        <f>IF(AND(tblFleet[[#This Row],[Units]]&lt;&gt;"",tblFleet[[#This Row],[Available_h]]&gt;0),tblFleet[[#This Row],[Operating_h]]/tblFleet[[#This Row],[Available_h]],"")</f>
        <v/>
      </c>
    </row>
    <row r="17">
      <c r="A17" s="54" t="n"/>
      <c r="B17" s="61" t="n"/>
      <c r="C17" s="62" t="n"/>
      <c r="D17" s="57" t="n"/>
      <c r="E17" s="57" t="n"/>
      <c r="F17" s="58" t="n"/>
      <c r="G17" s="66">
        <f>IF(tblFleet[[#This Row],[Units]]="","",tblFleet[[#This Row],[Units]]*cfg_HoursPerDay)</f>
        <v/>
      </c>
      <c r="H17" s="66">
        <f>IF(tblFleet[[#This Row],[Units]]="","",tblFleet[[#This Row],[Calendar_h]]-tblFleet[[#This Row],[Down_h]])</f>
        <v/>
      </c>
      <c r="I17" s="60">
        <f>IF(AND(tblFleet[[#This Row],[Units]]&lt;&gt;"",tblFleet[[#This Row],[Calendar_h]]&gt;0),tblFleet[[#This Row],[Available_h]]/tblFleet[[#This Row],[Calendar_h]],"")</f>
        <v/>
      </c>
      <c r="J17" s="60">
        <f>IF(AND(tblFleet[[#This Row],[Units]]&lt;&gt;"",tblFleet[[#This Row],[Available_h]]&gt;0),tblFleet[[#This Row],[Operating_h]]/tblFleet[[#This Row],[Available_h]],"")</f>
        <v/>
      </c>
    </row>
    <row r="18">
      <c r="A18" s="54" t="n"/>
      <c r="B18" s="61" t="n"/>
      <c r="C18" s="62" t="n"/>
      <c r="D18" s="57" t="n"/>
      <c r="E18" s="57" t="n"/>
      <c r="F18" s="58" t="n"/>
      <c r="G18" s="66">
        <f>IF(tblFleet[[#This Row],[Units]]="","",tblFleet[[#This Row],[Units]]*cfg_HoursPerDay)</f>
        <v/>
      </c>
      <c r="H18" s="66">
        <f>IF(tblFleet[[#This Row],[Units]]="","",tblFleet[[#This Row],[Calendar_h]]-tblFleet[[#This Row],[Down_h]])</f>
        <v/>
      </c>
      <c r="I18" s="60">
        <f>IF(AND(tblFleet[[#This Row],[Units]]&lt;&gt;"",tblFleet[[#This Row],[Calendar_h]]&gt;0),tblFleet[[#This Row],[Available_h]]/tblFleet[[#This Row],[Calendar_h]],"")</f>
        <v/>
      </c>
      <c r="J18" s="60">
        <f>IF(AND(tblFleet[[#This Row],[Units]]&lt;&gt;"",tblFleet[[#This Row],[Available_h]]&gt;0),tblFleet[[#This Row],[Operating_h]]/tblFleet[[#This Row],[Available_h]],"")</f>
        <v/>
      </c>
    </row>
    <row r="19">
      <c r="A19" s="54" t="n"/>
      <c r="B19" s="61" t="n"/>
      <c r="C19" s="62" t="n"/>
      <c r="D19" s="57" t="n"/>
      <c r="E19" s="57" t="n"/>
      <c r="F19" s="58" t="n"/>
      <c r="G19" s="66">
        <f>IF(tblFleet[[#This Row],[Units]]="","",tblFleet[[#This Row],[Units]]*cfg_HoursPerDay)</f>
        <v/>
      </c>
      <c r="H19" s="66">
        <f>IF(tblFleet[[#This Row],[Units]]="","",tblFleet[[#This Row],[Calendar_h]]-tblFleet[[#This Row],[Down_h]])</f>
        <v/>
      </c>
      <c r="I19" s="60">
        <f>IF(AND(tblFleet[[#This Row],[Units]]&lt;&gt;"",tblFleet[[#This Row],[Calendar_h]]&gt;0),tblFleet[[#This Row],[Available_h]]/tblFleet[[#This Row],[Calendar_h]],"")</f>
        <v/>
      </c>
      <c r="J19" s="60">
        <f>IF(AND(tblFleet[[#This Row],[Units]]&lt;&gt;"",tblFleet[[#This Row],[Available_h]]&gt;0),tblFleet[[#This Row],[Operating_h]]/tblFleet[[#This Row],[Available_h]],"")</f>
        <v/>
      </c>
    </row>
    <row r="20">
      <c r="A20" s="54" t="n"/>
      <c r="B20" s="61" t="n"/>
      <c r="C20" s="62" t="n"/>
      <c r="D20" s="57" t="n"/>
      <c r="E20" s="57" t="n"/>
      <c r="F20" s="58" t="n"/>
      <c r="G20" s="66">
        <f>IF(tblFleet[[#This Row],[Units]]="","",tblFleet[[#This Row],[Units]]*cfg_HoursPerDay)</f>
        <v/>
      </c>
      <c r="H20" s="66">
        <f>IF(tblFleet[[#This Row],[Units]]="","",tblFleet[[#This Row],[Calendar_h]]-tblFleet[[#This Row],[Down_h]])</f>
        <v/>
      </c>
      <c r="I20" s="60">
        <f>IF(AND(tblFleet[[#This Row],[Units]]&lt;&gt;"",tblFleet[[#This Row],[Calendar_h]]&gt;0),tblFleet[[#This Row],[Available_h]]/tblFleet[[#This Row],[Calendar_h]],"")</f>
        <v/>
      </c>
      <c r="J20" s="60">
        <f>IF(AND(tblFleet[[#This Row],[Units]]&lt;&gt;"",tblFleet[[#This Row],[Available_h]]&gt;0),tblFleet[[#This Row],[Operating_h]]/tblFleet[[#This Row],[Available_h]],"")</f>
        <v/>
      </c>
    </row>
    <row r="21">
      <c r="A21" s="54" t="n"/>
      <c r="B21" s="61" t="n"/>
      <c r="C21" s="62" t="n"/>
      <c r="D21" s="57" t="n"/>
      <c r="E21" s="57" t="n"/>
      <c r="F21" s="58" t="n"/>
      <c r="G21" s="66">
        <f>IF(tblFleet[[#This Row],[Units]]="","",tblFleet[[#This Row],[Units]]*cfg_HoursPerDay)</f>
        <v/>
      </c>
      <c r="H21" s="66">
        <f>IF(tblFleet[[#This Row],[Units]]="","",tblFleet[[#This Row],[Calendar_h]]-tblFleet[[#This Row],[Down_h]])</f>
        <v/>
      </c>
      <c r="I21" s="60">
        <f>IF(AND(tblFleet[[#This Row],[Units]]&lt;&gt;"",tblFleet[[#This Row],[Calendar_h]]&gt;0),tblFleet[[#This Row],[Available_h]]/tblFleet[[#This Row],[Calendar_h]],"")</f>
        <v/>
      </c>
      <c r="J21" s="60">
        <f>IF(AND(tblFleet[[#This Row],[Units]]&lt;&gt;"",tblFleet[[#This Row],[Available_h]]&gt;0),tblFleet[[#This Row],[Operating_h]]/tblFleet[[#This Row],[Available_h]],"")</f>
        <v/>
      </c>
    </row>
    <row r="22">
      <c r="A22" s="54" t="n"/>
      <c r="B22" s="61" t="n"/>
      <c r="C22" s="62" t="n"/>
      <c r="D22" s="57" t="n"/>
      <c r="E22" s="57" t="n"/>
      <c r="F22" s="58" t="n"/>
      <c r="G22" s="66">
        <f>IF(tblFleet[[#This Row],[Units]]="","",tblFleet[[#This Row],[Units]]*cfg_HoursPerDay)</f>
        <v/>
      </c>
      <c r="H22" s="66">
        <f>IF(tblFleet[[#This Row],[Units]]="","",tblFleet[[#This Row],[Calendar_h]]-tblFleet[[#This Row],[Down_h]])</f>
        <v/>
      </c>
      <c r="I22" s="60">
        <f>IF(AND(tblFleet[[#This Row],[Units]]&lt;&gt;"",tblFleet[[#This Row],[Calendar_h]]&gt;0),tblFleet[[#This Row],[Available_h]]/tblFleet[[#This Row],[Calendar_h]],"")</f>
        <v/>
      </c>
      <c r="J22" s="60">
        <f>IF(AND(tblFleet[[#This Row],[Units]]&lt;&gt;"",tblFleet[[#This Row],[Available_h]]&gt;0),tblFleet[[#This Row],[Operating_h]]/tblFleet[[#This Row],[Available_h]],"")</f>
        <v/>
      </c>
    </row>
    <row r="23">
      <c r="A23" s="54" t="n"/>
      <c r="B23" s="61" t="n"/>
      <c r="C23" s="62" t="n"/>
      <c r="D23" s="57" t="n"/>
      <c r="E23" s="57" t="n"/>
      <c r="F23" s="58" t="n"/>
      <c r="G23" s="66">
        <f>IF(tblFleet[[#This Row],[Units]]="","",tblFleet[[#This Row],[Units]]*cfg_HoursPerDay)</f>
        <v/>
      </c>
      <c r="H23" s="66">
        <f>IF(tblFleet[[#This Row],[Units]]="","",tblFleet[[#This Row],[Calendar_h]]-tblFleet[[#This Row],[Down_h]])</f>
        <v/>
      </c>
      <c r="I23" s="60">
        <f>IF(AND(tblFleet[[#This Row],[Units]]&lt;&gt;"",tblFleet[[#This Row],[Calendar_h]]&gt;0),tblFleet[[#This Row],[Available_h]]/tblFleet[[#This Row],[Calendar_h]],"")</f>
        <v/>
      </c>
      <c r="J23" s="60">
        <f>IF(AND(tblFleet[[#This Row],[Units]]&lt;&gt;"",tblFleet[[#This Row],[Available_h]]&gt;0),tblFleet[[#This Row],[Operating_h]]/tblFleet[[#This Row],[Available_h]],"")</f>
        <v/>
      </c>
    </row>
    <row r="24">
      <c r="A24" s="54" t="n"/>
      <c r="B24" s="61" t="n"/>
      <c r="C24" s="62" t="n"/>
      <c r="D24" s="57" t="n"/>
      <c r="E24" s="57" t="n"/>
      <c r="F24" s="58" t="n"/>
      <c r="G24" s="66">
        <f>IF(tblFleet[[#This Row],[Units]]="","",tblFleet[[#This Row],[Units]]*cfg_HoursPerDay)</f>
        <v/>
      </c>
      <c r="H24" s="66">
        <f>IF(tblFleet[[#This Row],[Units]]="","",tblFleet[[#This Row],[Calendar_h]]-tblFleet[[#This Row],[Down_h]])</f>
        <v/>
      </c>
      <c r="I24" s="60">
        <f>IF(AND(tblFleet[[#This Row],[Units]]&lt;&gt;"",tblFleet[[#This Row],[Calendar_h]]&gt;0),tblFleet[[#This Row],[Available_h]]/tblFleet[[#This Row],[Calendar_h]],"")</f>
        <v/>
      </c>
      <c r="J24" s="60">
        <f>IF(AND(tblFleet[[#This Row],[Units]]&lt;&gt;"",tblFleet[[#This Row],[Available_h]]&gt;0),tblFleet[[#This Row],[Operating_h]]/tblFleet[[#This Row],[Available_h]],"")</f>
        <v/>
      </c>
    </row>
    <row r="25">
      <c r="A25" s="54" t="n"/>
      <c r="B25" s="61" t="n"/>
      <c r="C25" s="62" t="n"/>
      <c r="D25" s="57" t="n"/>
      <c r="E25" s="57" t="n"/>
      <c r="F25" s="58" t="n"/>
      <c r="G25" s="66">
        <f>IF(tblFleet[[#This Row],[Units]]="","",tblFleet[[#This Row],[Units]]*cfg_HoursPerDay)</f>
        <v/>
      </c>
      <c r="H25" s="66">
        <f>IF(tblFleet[[#This Row],[Units]]="","",tblFleet[[#This Row],[Calendar_h]]-tblFleet[[#This Row],[Down_h]])</f>
        <v/>
      </c>
      <c r="I25" s="60">
        <f>IF(AND(tblFleet[[#This Row],[Units]]&lt;&gt;"",tblFleet[[#This Row],[Calendar_h]]&gt;0),tblFleet[[#This Row],[Available_h]]/tblFleet[[#This Row],[Calendar_h]],"")</f>
        <v/>
      </c>
      <c r="J25" s="60">
        <f>IF(AND(tblFleet[[#This Row],[Units]]&lt;&gt;"",tblFleet[[#This Row],[Available_h]]&gt;0),tblFleet[[#This Row],[Operating_h]]/tblFleet[[#This Row],[Available_h]],"")</f>
        <v/>
      </c>
    </row>
    <row r="26">
      <c r="A26" s="54" t="n"/>
      <c r="B26" s="61" t="n"/>
      <c r="C26" s="62" t="n"/>
      <c r="D26" s="57" t="n"/>
      <c r="E26" s="57" t="n"/>
      <c r="F26" s="58" t="n"/>
      <c r="G26" s="66">
        <f>IF(tblFleet[[#This Row],[Units]]="","",tblFleet[[#This Row],[Units]]*cfg_HoursPerDay)</f>
        <v/>
      </c>
      <c r="H26" s="66">
        <f>IF(tblFleet[[#This Row],[Units]]="","",tblFleet[[#This Row],[Calendar_h]]-tblFleet[[#This Row],[Down_h]])</f>
        <v/>
      </c>
      <c r="I26" s="60">
        <f>IF(AND(tblFleet[[#This Row],[Units]]&lt;&gt;"",tblFleet[[#This Row],[Calendar_h]]&gt;0),tblFleet[[#This Row],[Available_h]]/tblFleet[[#This Row],[Calendar_h]],"")</f>
        <v/>
      </c>
      <c r="J26" s="60">
        <f>IF(AND(tblFleet[[#This Row],[Units]]&lt;&gt;"",tblFleet[[#This Row],[Available_h]]&gt;0),tblFleet[[#This Row],[Operating_h]]/tblFleet[[#This Row],[Available_h]],"")</f>
        <v/>
      </c>
    </row>
    <row r="27">
      <c r="A27" s="54" t="n"/>
      <c r="B27" s="61" t="n"/>
      <c r="C27" s="62" t="n"/>
      <c r="D27" s="57" t="n"/>
      <c r="E27" s="57" t="n"/>
      <c r="F27" s="58" t="n"/>
      <c r="G27" s="66">
        <f>IF(tblFleet[[#This Row],[Units]]="","",tblFleet[[#This Row],[Units]]*cfg_HoursPerDay)</f>
        <v/>
      </c>
      <c r="H27" s="66">
        <f>IF(tblFleet[[#This Row],[Units]]="","",tblFleet[[#This Row],[Calendar_h]]-tblFleet[[#This Row],[Down_h]])</f>
        <v/>
      </c>
      <c r="I27" s="60">
        <f>IF(AND(tblFleet[[#This Row],[Units]]&lt;&gt;"",tblFleet[[#This Row],[Calendar_h]]&gt;0),tblFleet[[#This Row],[Available_h]]/tblFleet[[#This Row],[Calendar_h]],"")</f>
        <v/>
      </c>
      <c r="J27" s="60">
        <f>IF(AND(tblFleet[[#This Row],[Units]]&lt;&gt;"",tblFleet[[#This Row],[Available_h]]&gt;0),tblFleet[[#This Row],[Operating_h]]/tblFleet[[#This Row],[Available_h]],"")</f>
        <v/>
      </c>
    </row>
    <row r="28">
      <c r="A28" s="54" t="n"/>
      <c r="B28" s="61" t="n"/>
      <c r="C28" s="62" t="n"/>
      <c r="D28" s="57" t="n"/>
      <c r="E28" s="57" t="n"/>
      <c r="F28" s="58" t="n"/>
      <c r="G28" s="66">
        <f>IF(tblFleet[[#This Row],[Units]]="","",tblFleet[[#This Row],[Units]]*cfg_HoursPerDay)</f>
        <v/>
      </c>
      <c r="H28" s="66">
        <f>IF(tblFleet[[#This Row],[Units]]="","",tblFleet[[#This Row],[Calendar_h]]-tblFleet[[#This Row],[Down_h]])</f>
        <v/>
      </c>
      <c r="I28" s="60">
        <f>IF(AND(tblFleet[[#This Row],[Units]]&lt;&gt;"",tblFleet[[#This Row],[Calendar_h]]&gt;0),tblFleet[[#This Row],[Available_h]]/tblFleet[[#This Row],[Calendar_h]],"")</f>
        <v/>
      </c>
      <c r="J28" s="60">
        <f>IF(AND(tblFleet[[#This Row],[Units]]&lt;&gt;"",tblFleet[[#This Row],[Available_h]]&gt;0),tblFleet[[#This Row],[Operating_h]]/tblFleet[[#This Row],[Available_h]],"")</f>
        <v/>
      </c>
    </row>
    <row r="29">
      <c r="A29" s="54" t="n"/>
      <c r="B29" s="61" t="n"/>
      <c r="C29" s="62" t="n"/>
      <c r="D29" s="57" t="n"/>
      <c r="E29" s="57" t="n"/>
      <c r="F29" s="58" t="n"/>
      <c r="G29" s="66">
        <f>IF(tblFleet[[#This Row],[Units]]="","",tblFleet[[#This Row],[Units]]*cfg_HoursPerDay)</f>
        <v/>
      </c>
      <c r="H29" s="66">
        <f>IF(tblFleet[[#This Row],[Units]]="","",tblFleet[[#This Row],[Calendar_h]]-tblFleet[[#This Row],[Down_h]])</f>
        <v/>
      </c>
      <c r="I29" s="60">
        <f>IF(AND(tblFleet[[#This Row],[Units]]&lt;&gt;"",tblFleet[[#This Row],[Calendar_h]]&gt;0),tblFleet[[#This Row],[Available_h]]/tblFleet[[#This Row],[Calendar_h]],"")</f>
        <v/>
      </c>
      <c r="J29" s="60">
        <f>IF(AND(tblFleet[[#This Row],[Units]]&lt;&gt;"",tblFleet[[#This Row],[Available_h]]&gt;0),tblFleet[[#This Row],[Operating_h]]/tblFleet[[#This Row],[Available_h]],"")</f>
        <v/>
      </c>
    </row>
    <row r="30">
      <c r="A30" s="54" t="n"/>
      <c r="B30" s="61" t="n"/>
      <c r="C30" s="62" t="n"/>
      <c r="D30" s="57" t="n"/>
      <c r="E30" s="57" t="n"/>
      <c r="F30" s="58" t="n"/>
      <c r="G30" s="66">
        <f>IF(tblFleet[[#This Row],[Units]]="","",tblFleet[[#This Row],[Units]]*cfg_HoursPerDay)</f>
        <v/>
      </c>
      <c r="H30" s="66">
        <f>IF(tblFleet[[#This Row],[Units]]="","",tblFleet[[#This Row],[Calendar_h]]-tblFleet[[#This Row],[Down_h]])</f>
        <v/>
      </c>
      <c r="I30" s="60">
        <f>IF(AND(tblFleet[[#This Row],[Units]]&lt;&gt;"",tblFleet[[#This Row],[Calendar_h]]&gt;0),tblFleet[[#This Row],[Available_h]]/tblFleet[[#This Row],[Calendar_h]],"")</f>
        <v/>
      </c>
      <c r="J30" s="60">
        <f>IF(AND(tblFleet[[#This Row],[Units]]&lt;&gt;"",tblFleet[[#This Row],[Available_h]]&gt;0),tblFleet[[#This Row],[Operating_h]]/tblFleet[[#This Row],[Available_h]],"")</f>
        <v/>
      </c>
    </row>
    <row r="31">
      <c r="A31" s="54" t="n"/>
      <c r="B31" s="61" t="n"/>
      <c r="C31" s="62" t="n"/>
      <c r="D31" s="57" t="n"/>
      <c r="E31" s="57" t="n"/>
      <c r="F31" s="58" t="n"/>
      <c r="G31" s="66">
        <f>IF(tblFleet[[#This Row],[Units]]="","",tblFleet[[#This Row],[Units]]*cfg_HoursPerDay)</f>
        <v/>
      </c>
      <c r="H31" s="66">
        <f>IF(tblFleet[[#This Row],[Units]]="","",tblFleet[[#This Row],[Calendar_h]]-tblFleet[[#This Row],[Down_h]])</f>
        <v/>
      </c>
      <c r="I31" s="60">
        <f>IF(AND(tblFleet[[#This Row],[Units]]&lt;&gt;"",tblFleet[[#This Row],[Calendar_h]]&gt;0),tblFleet[[#This Row],[Available_h]]/tblFleet[[#This Row],[Calendar_h]],"")</f>
        <v/>
      </c>
      <c r="J31" s="60">
        <f>IF(AND(tblFleet[[#This Row],[Units]]&lt;&gt;"",tblFleet[[#This Row],[Available_h]]&gt;0),tblFleet[[#This Row],[Operating_h]]/tblFleet[[#This Row],[Available_h]],"")</f>
        <v/>
      </c>
    </row>
    <row r="32">
      <c r="A32" s="54" t="n"/>
      <c r="B32" s="61" t="n"/>
      <c r="C32" s="62" t="n"/>
      <c r="D32" s="57" t="n"/>
      <c r="E32" s="57" t="n"/>
      <c r="F32" s="58" t="n"/>
      <c r="G32" s="66">
        <f>IF(tblFleet[[#This Row],[Units]]="","",tblFleet[[#This Row],[Units]]*cfg_HoursPerDay)</f>
        <v/>
      </c>
      <c r="H32" s="66">
        <f>IF(tblFleet[[#This Row],[Units]]="","",tblFleet[[#This Row],[Calendar_h]]-tblFleet[[#This Row],[Down_h]])</f>
        <v/>
      </c>
      <c r="I32" s="60">
        <f>IF(AND(tblFleet[[#This Row],[Units]]&lt;&gt;"",tblFleet[[#This Row],[Calendar_h]]&gt;0),tblFleet[[#This Row],[Available_h]]/tblFleet[[#This Row],[Calendar_h]],"")</f>
        <v/>
      </c>
      <c r="J32" s="60">
        <f>IF(AND(tblFleet[[#This Row],[Units]]&lt;&gt;"",tblFleet[[#This Row],[Available_h]]&gt;0),tblFleet[[#This Row],[Operating_h]]/tblFleet[[#This Row],[Available_h]],"")</f>
        <v/>
      </c>
    </row>
    <row r="33">
      <c r="A33" s="54" t="n"/>
      <c r="B33" s="61" t="n"/>
      <c r="C33" s="62" t="n"/>
      <c r="D33" s="57" t="n"/>
      <c r="E33" s="57" t="n"/>
      <c r="F33" s="58" t="n"/>
      <c r="G33" s="66">
        <f>IF(tblFleet[[#This Row],[Units]]="","",tblFleet[[#This Row],[Units]]*cfg_HoursPerDay)</f>
        <v/>
      </c>
      <c r="H33" s="66">
        <f>IF(tblFleet[[#This Row],[Units]]="","",tblFleet[[#This Row],[Calendar_h]]-tblFleet[[#This Row],[Down_h]])</f>
        <v/>
      </c>
      <c r="I33" s="60">
        <f>IF(AND(tblFleet[[#This Row],[Units]]&lt;&gt;"",tblFleet[[#This Row],[Calendar_h]]&gt;0),tblFleet[[#This Row],[Available_h]]/tblFleet[[#This Row],[Calendar_h]],"")</f>
        <v/>
      </c>
      <c r="J33" s="60">
        <f>IF(AND(tblFleet[[#This Row],[Units]]&lt;&gt;"",tblFleet[[#This Row],[Available_h]]&gt;0),tblFleet[[#This Row],[Operating_h]]/tblFleet[[#This Row],[Available_h]],"")</f>
        <v/>
      </c>
    </row>
    <row r="34">
      <c r="A34" s="54" t="n"/>
      <c r="B34" s="61" t="n"/>
      <c r="C34" s="62" t="n"/>
      <c r="D34" s="57" t="n"/>
      <c r="E34" s="57" t="n"/>
      <c r="F34" s="58" t="n"/>
      <c r="G34" s="66">
        <f>IF(tblFleet[[#This Row],[Units]]="","",tblFleet[[#This Row],[Units]]*cfg_HoursPerDay)</f>
        <v/>
      </c>
      <c r="H34" s="66">
        <f>IF(tblFleet[[#This Row],[Units]]="","",tblFleet[[#This Row],[Calendar_h]]-tblFleet[[#This Row],[Down_h]])</f>
        <v/>
      </c>
      <c r="I34" s="60">
        <f>IF(AND(tblFleet[[#This Row],[Units]]&lt;&gt;"",tblFleet[[#This Row],[Calendar_h]]&gt;0),tblFleet[[#This Row],[Available_h]]/tblFleet[[#This Row],[Calendar_h]],"")</f>
        <v/>
      </c>
      <c r="J34" s="60">
        <f>IF(AND(tblFleet[[#This Row],[Units]]&lt;&gt;"",tblFleet[[#This Row],[Available_h]]&gt;0),tblFleet[[#This Row],[Operating_h]]/tblFleet[[#This Row],[Available_h]],"")</f>
        <v/>
      </c>
    </row>
    <row r="35">
      <c r="A35" s="54" t="n"/>
      <c r="B35" s="61" t="n"/>
      <c r="C35" s="62" t="n"/>
      <c r="D35" s="57" t="n"/>
      <c r="E35" s="57" t="n"/>
      <c r="F35" s="58" t="n"/>
      <c r="G35" s="66">
        <f>IF(tblFleet[[#This Row],[Units]]="","",tblFleet[[#This Row],[Units]]*cfg_HoursPerDay)</f>
        <v/>
      </c>
      <c r="H35" s="66">
        <f>IF(tblFleet[[#This Row],[Units]]="","",tblFleet[[#This Row],[Calendar_h]]-tblFleet[[#This Row],[Down_h]])</f>
        <v/>
      </c>
      <c r="I35" s="60">
        <f>IF(AND(tblFleet[[#This Row],[Units]]&lt;&gt;"",tblFleet[[#This Row],[Calendar_h]]&gt;0),tblFleet[[#This Row],[Available_h]]/tblFleet[[#This Row],[Calendar_h]],"")</f>
        <v/>
      </c>
      <c r="J35" s="60">
        <f>IF(AND(tblFleet[[#This Row],[Units]]&lt;&gt;"",tblFleet[[#This Row],[Available_h]]&gt;0),tblFleet[[#This Row],[Operating_h]]/tblFleet[[#This Row],[Available_h]],"")</f>
        <v/>
      </c>
    </row>
    <row r="36">
      <c r="A36" s="54" t="n"/>
      <c r="B36" s="61" t="n"/>
      <c r="C36" s="62" t="n"/>
      <c r="D36" s="57" t="n"/>
      <c r="E36" s="57" t="n"/>
      <c r="F36" s="58" t="n"/>
      <c r="G36" s="66">
        <f>IF(tblFleet[[#This Row],[Units]]="","",tblFleet[[#This Row],[Units]]*cfg_HoursPerDay)</f>
        <v/>
      </c>
      <c r="H36" s="66">
        <f>IF(tblFleet[[#This Row],[Units]]="","",tblFleet[[#This Row],[Calendar_h]]-tblFleet[[#This Row],[Down_h]])</f>
        <v/>
      </c>
      <c r="I36" s="60">
        <f>IF(AND(tblFleet[[#This Row],[Units]]&lt;&gt;"",tblFleet[[#This Row],[Calendar_h]]&gt;0),tblFleet[[#This Row],[Available_h]]/tblFleet[[#This Row],[Calendar_h]],"")</f>
        <v/>
      </c>
      <c r="J36" s="60">
        <f>IF(AND(tblFleet[[#This Row],[Units]]&lt;&gt;"",tblFleet[[#This Row],[Available_h]]&gt;0),tblFleet[[#This Row],[Operating_h]]/tblFleet[[#This Row],[Available_h]],"")</f>
        <v/>
      </c>
    </row>
    <row r="37">
      <c r="A37" s="54" t="n"/>
      <c r="B37" s="61" t="n"/>
      <c r="C37" s="62" t="n"/>
      <c r="D37" s="57" t="n"/>
      <c r="E37" s="57" t="n"/>
      <c r="F37" s="58" t="n"/>
      <c r="G37" s="66">
        <f>IF(tblFleet[[#This Row],[Units]]="","",tblFleet[[#This Row],[Units]]*cfg_HoursPerDay)</f>
        <v/>
      </c>
      <c r="H37" s="66">
        <f>IF(tblFleet[[#This Row],[Units]]="","",tblFleet[[#This Row],[Calendar_h]]-tblFleet[[#This Row],[Down_h]])</f>
        <v/>
      </c>
      <c r="I37" s="60">
        <f>IF(AND(tblFleet[[#This Row],[Units]]&lt;&gt;"",tblFleet[[#This Row],[Calendar_h]]&gt;0),tblFleet[[#This Row],[Available_h]]/tblFleet[[#This Row],[Calendar_h]],"")</f>
        <v/>
      </c>
      <c r="J37" s="60">
        <f>IF(AND(tblFleet[[#This Row],[Units]]&lt;&gt;"",tblFleet[[#This Row],[Available_h]]&gt;0),tblFleet[[#This Row],[Operating_h]]/tblFleet[[#This Row],[Available_h]],"")</f>
        <v/>
      </c>
    </row>
    <row r="38">
      <c r="A38" s="54" t="n"/>
      <c r="B38" s="61" t="n"/>
      <c r="C38" s="62" t="n"/>
      <c r="D38" s="57" t="n"/>
      <c r="E38" s="57" t="n"/>
      <c r="F38" s="58" t="n"/>
      <c r="G38" s="66">
        <f>IF(tblFleet[[#This Row],[Units]]="","",tblFleet[[#This Row],[Units]]*cfg_HoursPerDay)</f>
        <v/>
      </c>
      <c r="H38" s="66">
        <f>IF(tblFleet[[#This Row],[Units]]="","",tblFleet[[#This Row],[Calendar_h]]-tblFleet[[#This Row],[Down_h]])</f>
        <v/>
      </c>
      <c r="I38" s="60">
        <f>IF(AND(tblFleet[[#This Row],[Units]]&lt;&gt;"",tblFleet[[#This Row],[Calendar_h]]&gt;0),tblFleet[[#This Row],[Available_h]]/tblFleet[[#This Row],[Calendar_h]],"")</f>
        <v/>
      </c>
      <c r="J38" s="60">
        <f>IF(AND(tblFleet[[#This Row],[Units]]&lt;&gt;"",tblFleet[[#This Row],[Available_h]]&gt;0),tblFleet[[#This Row],[Operating_h]]/tblFleet[[#This Row],[Available_h]],"")</f>
        <v/>
      </c>
    </row>
    <row r="39">
      <c r="A39" s="54" t="n"/>
      <c r="B39" s="61" t="n"/>
      <c r="C39" s="62" t="n"/>
      <c r="D39" s="57" t="n"/>
      <c r="E39" s="57" t="n"/>
      <c r="F39" s="58" t="n"/>
      <c r="G39" s="66">
        <f>IF(tblFleet[[#This Row],[Units]]="","",tblFleet[[#This Row],[Units]]*cfg_HoursPerDay)</f>
        <v/>
      </c>
      <c r="H39" s="66">
        <f>IF(tblFleet[[#This Row],[Units]]="","",tblFleet[[#This Row],[Calendar_h]]-tblFleet[[#This Row],[Down_h]])</f>
        <v/>
      </c>
      <c r="I39" s="60">
        <f>IF(AND(tblFleet[[#This Row],[Units]]&lt;&gt;"",tblFleet[[#This Row],[Calendar_h]]&gt;0),tblFleet[[#This Row],[Available_h]]/tblFleet[[#This Row],[Calendar_h]],"")</f>
        <v/>
      </c>
      <c r="J39" s="60">
        <f>IF(AND(tblFleet[[#This Row],[Units]]&lt;&gt;"",tblFleet[[#This Row],[Available_h]]&gt;0),tblFleet[[#This Row],[Operating_h]]/tblFleet[[#This Row],[Available_h]],"")</f>
        <v/>
      </c>
    </row>
    <row r="40">
      <c r="A40" s="54" t="n"/>
      <c r="B40" s="61" t="n"/>
      <c r="C40" s="62" t="n"/>
      <c r="D40" s="57" t="n"/>
      <c r="E40" s="57" t="n"/>
      <c r="F40" s="58" t="n"/>
      <c r="G40" s="66">
        <f>IF(tblFleet[[#This Row],[Units]]="","",tblFleet[[#This Row],[Units]]*cfg_HoursPerDay)</f>
        <v/>
      </c>
      <c r="H40" s="66">
        <f>IF(tblFleet[[#This Row],[Units]]="","",tblFleet[[#This Row],[Calendar_h]]-tblFleet[[#This Row],[Down_h]])</f>
        <v/>
      </c>
      <c r="I40" s="60">
        <f>IF(AND(tblFleet[[#This Row],[Units]]&lt;&gt;"",tblFleet[[#This Row],[Calendar_h]]&gt;0),tblFleet[[#This Row],[Available_h]]/tblFleet[[#This Row],[Calendar_h]],"")</f>
        <v/>
      </c>
      <c r="J40" s="60">
        <f>IF(AND(tblFleet[[#This Row],[Units]]&lt;&gt;"",tblFleet[[#This Row],[Available_h]]&gt;0),tblFleet[[#This Row],[Operating_h]]/tblFleet[[#This Row],[Available_h]],"")</f>
        <v/>
      </c>
    </row>
    <row r="41">
      <c r="A41" s="54" t="n"/>
      <c r="B41" s="61" t="n"/>
      <c r="C41" s="62" t="n"/>
      <c r="D41" s="57" t="n"/>
      <c r="E41" s="57" t="n"/>
      <c r="F41" s="58" t="n"/>
      <c r="G41" s="66">
        <f>IF(tblFleet[[#This Row],[Units]]="","",tblFleet[[#This Row],[Units]]*cfg_HoursPerDay)</f>
        <v/>
      </c>
      <c r="H41" s="66">
        <f>IF(tblFleet[[#This Row],[Units]]="","",tblFleet[[#This Row],[Calendar_h]]-tblFleet[[#This Row],[Down_h]])</f>
        <v/>
      </c>
      <c r="I41" s="60">
        <f>IF(AND(tblFleet[[#This Row],[Units]]&lt;&gt;"",tblFleet[[#This Row],[Calendar_h]]&gt;0),tblFleet[[#This Row],[Available_h]]/tblFleet[[#This Row],[Calendar_h]],"")</f>
        <v/>
      </c>
      <c r="J41" s="60">
        <f>IF(AND(tblFleet[[#This Row],[Units]]&lt;&gt;"",tblFleet[[#This Row],[Available_h]]&gt;0),tblFleet[[#This Row],[Operating_h]]/tblFleet[[#This Row],[Available_h]],"")</f>
        <v/>
      </c>
    </row>
    <row r="42">
      <c r="A42" s="54" t="n"/>
      <c r="B42" s="61" t="n"/>
      <c r="C42" s="62" t="n"/>
      <c r="D42" s="57" t="n"/>
      <c r="E42" s="57" t="n"/>
      <c r="F42" s="58" t="n"/>
      <c r="G42" s="66">
        <f>IF(tblFleet[[#This Row],[Units]]="","",tblFleet[[#This Row],[Units]]*cfg_HoursPerDay)</f>
        <v/>
      </c>
      <c r="H42" s="66">
        <f>IF(tblFleet[[#This Row],[Units]]="","",tblFleet[[#This Row],[Calendar_h]]-tblFleet[[#This Row],[Down_h]])</f>
        <v/>
      </c>
      <c r="I42" s="60">
        <f>IF(AND(tblFleet[[#This Row],[Units]]&lt;&gt;"",tblFleet[[#This Row],[Calendar_h]]&gt;0),tblFleet[[#This Row],[Available_h]]/tblFleet[[#This Row],[Calendar_h]],"")</f>
        <v/>
      </c>
      <c r="J42" s="60">
        <f>IF(AND(tblFleet[[#This Row],[Units]]&lt;&gt;"",tblFleet[[#This Row],[Available_h]]&gt;0),tblFleet[[#This Row],[Operating_h]]/tblFleet[[#This Row],[Available_h]],"")</f>
        <v/>
      </c>
    </row>
    <row r="43">
      <c r="A43" s="54" t="n"/>
      <c r="B43" s="61" t="n"/>
      <c r="C43" s="62" t="n"/>
      <c r="D43" s="57" t="n"/>
      <c r="E43" s="57" t="n"/>
      <c r="F43" s="58" t="n"/>
      <c r="G43" s="66">
        <f>IF(tblFleet[[#This Row],[Units]]="","",tblFleet[[#This Row],[Units]]*cfg_HoursPerDay)</f>
        <v/>
      </c>
      <c r="H43" s="66">
        <f>IF(tblFleet[[#This Row],[Units]]="","",tblFleet[[#This Row],[Calendar_h]]-tblFleet[[#This Row],[Down_h]])</f>
        <v/>
      </c>
      <c r="I43" s="60">
        <f>IF(AND(tblFleet[[#This Row],[Units]]&lt;&gt;"",tblFleet[[#This Row],[Calendar_h]]&gt;0),tblFleet[[#This Row],[Available_h]]/tblFleet[[#This Row],[Calendar_h]],"")</f>
        <v/>
      </c>
      <c r="J43" s="60">
        <f>IF(AND(tblFleet[[#This Row],[Units]]&lt;&gt;"",tblFleet[[#This Row],[Available_h]]&gt;0),tblFleet[[#This Row],[Operating_h]]/tblFleet[[#This Row],[Available_h]],"")</f>
        <v/>
      </c>
    </row>
    <row r="44">
      <c r="A44" s="54" t="n"/>
      <c r="B44" s="61" t="n"/>
      <c r="C44" s="62" t="n"/>
      <c r="D44" s="57" t="n"/>
      <c r="E44" s="57" t="n"/>
      <c r="F44" s="58" t="n"/>
      <c r="G44" s="66">
        <f>IF(tblFleet[[#This Row],[Units]]="","",tblFleet[[#This Row],[Units]]*cfg_HoursPerDay)</f>
        <v/>
      </c>
      <c r="H44" s="66">
        <f>IF(tblFleet[[#This Row],[Units]]="","",tblFleet[[#This Row],[Calendar_h]]-tblFleet[[#This Row],[Down_h]])</f>
        <v/>
      </c>
      <c r="I44" s="60">
        <f>IF(AND(tblFleet[[#This Row],[Units]]&lt;&gt;"",tblFleet[[#This Row],[Calendar_h]]&gt;0),tblFleet[[#This Row],[Available_h]]/tblFleet[[#This Row],[Calendar_h]],"")</f>
        <v/>
      </c>
      <c r="J44" s="60">
        <f>IF(AND(tblFleet[[#This Row],[Units]]&lt;&gt;"",tblFleet[[#This Row],[Available_h]]&gt;0),tblFleet[[#This Row],[Operating_h]]/tblFleet[[#This Row],[Available_h]],"")</f>
        <v/>
      </c>
    </row>
    <row r="45">
      <c r="A45" s="54" t="n"/>
      <c r="B45" s="61" t="n"/>
      <c r="C45" s="62" t="n"/>
      <c r="D45" s="57" t="n"/>
      <c r="E45" s="57" t="n"/>
      <c r="F45" s="58" t="n"/>
      <c r="G45" s="66">
        <f>IF(tblFleet[[#This Row],[Units]]="","",tblFleet[[#This Row],[Units]]*cfg_HoursPerDay)</f>
        <v/>
      </c>
      <c r="H45" s="66">
        <f>IF(tblFleet[[#This Row],[Units]]="","",tblFleet[[#This Row],[Calendar_h]]-tblFleet[[#This Row],[Down_h]])</f>
        <v/>
      </c>
      <c r="I45" s="60">
        <f>IF(AND(tblFleet[[#This Row],[Units]]&lt;&gt;"",tblFleet[[#This Row],[Calendar_h]]&gt;0),tblFleet[[#This Row],[Available_h]]/tblFleet[[#This Row],[Calendar_h]],"")</f>
        <v/>
      </c>
      <c r="J45" s="60">
        <f>IF(AND(tblFleet[[#This Row],[Units]]&lt;&gt;"",tblFleet[[#This Row],[Available_h]]&gt;0),tblFleet[[#This Row],[Operating_h]]/tblFleet[[#This Row],[Available_h]],"")</f>
        <v/>
      </c>
    </row>
    <row r="46">
      <c r="A46" s="54" t="n"/>
      <c r="B46" s="61" t="n"/>
      <c r="C46" s="62" t="n"/>
      <c r="D46" s="57" t="n"/>
      <c r="E46" s="57" t="n"/>
      <c r="F46" s="58" t="n"/>
      <c r="G46" s="66">
        <f>IF(tblFleet[[#This Row],[Units]]="","",tblFleet[[#This Row],[Units]]*cfg_HoursPerDay)</f>
        <v/>
      </c>
      <c r="H46" s="66">
        <f>IF(tblFleet[[#This Row],[Units]]="","",tblFleet[[#This Row],[Calendar_h]]-tblFleet[[#This Row],[Down_h]])</f>
        <v/>
      </c>
      <c r="I46" s="60">
        <f>IF(AND(tblFleet[[#This Row],[Units]]&lt;&gt;"",tblFleet[[#This Row],[Calendar_h]]&gt;0),tblFleet[[#This Row],[Available_h]]/tblFleet[[#This Row],[Calendar_h]],"")</f>
        <v/>
      </c>
      <c r="J46" s="60">
        <f>IF(AND(tblFleet[[#This Row],[Units]]&lt;&gt;"",tblFleet[[#This Row],[Available_h]]&gt;0),tblFleet[[#This Row],[Operating_h]]/tblFleet[[#This Row],[Available_h]],"")</f>
        <v/>
      </c>
    </row>
    <row r="47">
      <c r="A47" s="54" t="n"/>
      <c r="B47" s="61" t="n"/>
      <c r="C47" s="62" t="n"/>
      <c r="D47" s="57" t="n"/>
      <c r="E47" s="57" t="n"/>
      <c r="F47" s="58" t="n"/>
      <c r="G47" s="66">
        <f>IF(tblFleet[[#This Row],[Units]]="","",tblFleet[[#This Row],[Units]]*cfg_HoursPerDay)</f>
        <v/>
      </c>
      <c r="H47" s="66">
        <f>IF(tblFleet[[#This Row],[Units]]="","",tblFleet[[#This Row],[Calendar_h]]-tblFleet[[#This Row],[Down_h]])</f>
        <v/>
      </c>
      <c r="I47" s="60">
        <f>IF(AND(tblFleet[[#This Row],[Units]]&lt;&gt;"",tblFleet[[#This Row],[Calendar_h]]&gt;0),tblFleet[[#This Row],[Available_h]]/tblFleet[[#This Row],[Calendar_h]],"")</f>
        <v/>
      </c>
      <c r="J47" s="60">
        <f>IF(AND(tblFleet[[#This Row],[Units]]&lt;&gt;"",tblFleet[[#This Row],[Available_h]]&gt;0),tblFleet[[#This Row],[Operating_h]]/tblFleet[[#This Row],[Available_h]],"")</f>
        <v/>
      </c>
    </row>
    <row r="48">
      <c r="A48" s="54" t="n"/>
      <c r="B48" s="61" t="n"/>
      <c r="C48" s="62" t="n"/>
      <c r="D48" s="57" t="n"/>
      <c r="E48" s="57" t="n"/>
      <c r="F48" s="58" t="n"/>
      <c r="G48" s="66">
        <f>IF(tblFleet[[#This Row],[Units]]="","",tblFleet[[#This Row],[Units]]*cfg_HoursPerDay)</f>
        <v/>
      </c>
      <c r="H48" s="66">
        <f>IF(tblFleet[[#This Row],[Units]]="","",tblFleet[[#This Row],[Calendar_h]]-tblFleet[[#This Row],[Down_h]])</f>
        <v/>
      </c>
      <c r="I48" s="60">
        <f>IF(AND(tblFleet[[#This Row],[Units]]&lt;&gt;"",tblFleet[[#This Row],[Calendar_h]]&gt;0),tblFleet[[#This Row],[Available_h]]/tblFleet[[#This Row],[Calendar_h]],"")</f>
        <v/>
      </c>
      <c r="J48" s="60">
        <f>IF(AND(tblFleet[[#This Row],[Units]]&lt;&gt;"",tblFleet[[#This Row],[Available_h]]&gt;0),tblFleet[[#This Row],[Operating_h]]/tblFleet[[#This Row],[Available_h]],"")</f>
        <v/>
      </c>
    </row>
    <row r="49">
      <c r="A49" s="54" t="n"/>
      <c r="B49" s="61" t="n"/>
      <c r="C49" s="62" t="n"/>
      <c r="D49" s="57" t="n"/>
      <c r="E49" s="57" t="n"/>
      <c r="F49" s="58" t="n"/>
      <c r="G49" s="66">
        <f>IF(tblFleet[[#This Row],[Units]]="","",tblFleet[[#This Row],[Units]]*cfg_HoursPerDay)</f>
        <v/>
      </c>
      <c r="H49" s="66">
        <f>IF(tblFleet[[#This Row],[Units]]="","",tblFleet[[#This Row],[Calendar_h]]-tblFleet[[#This Row],[Down_h]])</f>
        <v/>
      </c>
      <c r="I49" s="60">
        <f>IF(AND(tblFleet[[#This Row],[Units]]&lt;&gt;"",tblFleet[[#This Row],[Calendar_h]]&gt;0),tblFleet[[#This Row],[Available_h]]/tblFleet[[#This Row],[Calendar_h]],"")</f>
        <v/>
      </c>
      <c r="J49" s="60">
        <f>IF(AND(tblFleet[[#This Row],[Units]]&lt;&gt;"",tblFleet[[#This Row],[Available_h]]&gt;0),tblFleet[[#This Row],[Operating_h]]/tblFleet[[#This Row],[Available_h]],"")</f>
        <v/>
      </c>
    </row>
    <row r="50">
      <c r="A50" s="54" t="n"/>
      <c r="B50" s="61" t="n"/>
      <c r="C50" s="62" t="n"/>
      <c r="D50" s="57" t="n"/>
      <c r="E50" s="57" t="n"/>
      <c r="F50" s="58" t="n"/>
      <c r="G50" s="66">
        <f>IF(tblFleet[[#This Row],[Units]]="","",tblFleet[[#This Row],[Units]]*cfg_HoursPerDay)</f>
        <v/>
      </c>
      <c r="H50" s="66">
        <f>IF(tblFleet[[#This Row],[Units]]="","",tblFleet[[#This Row],[Calendar_h]]-tblFleet[[#This Row],[Down_h]])</f>
        <v/>
      </c>
      <c r="I50" s="60">
        <f>IF(AND(tblFleet[[#This Row],[Units]]&lt;&gt;"",tblFleet[[#This Row],[Calendar_h]]&gt;0),tblFleet[[#This Row],[Available_h]]/tblFleet[[#This Row],[Calendar_h]],"")</f>
        <v/>
      </c>
      <c r="J50" s="60">
        <f>IF(AND(tblFleet[[#This Row],[Units]]&lt;&gt;"",tblFleet[[#This Row],[Available_h]]&gt;0),tblFleet[[#This Row],[Operating_h]]/tblFleet[[#This Row],[Available_h]],"")</f>
        <v/>
      </c>
    </row>
    <row r="51">
      <c r="A51" s="54" t="n"/>
      <c r="B51" s="61" t="n"/>
      <c r="C51" s="62" t="n"/>
      <c r="D51" s="57" t="n"/>
      <c r="E51" s="57" t="n"/>
      <c r="F51" s="58" t="n"/>
      <c r="G51" s="66">
        <f>IF(tblFleet[[#This Row],[Units]]="","",tblFleet[[#This Row],[Units]]*cfg_HoursPerDay)</f>
        <v/>
      </c>
      <c r="H51" s="66">
        <f>IF(tblFleet[[#This Row],[Units]]="","",tblFleet[[#This Row],[Calendar_h]]-tblFleet[[#This Row],[Down_h]])</f>
        <v/>
      </c>
      <c r="I51" s="60">
        <f>IF(AND(tblFleet[[#This Row],[Units]]&lt;&gt;"",tblFleet[[#This Row],[Calendar_h]]&gt;0),tblFleet[[#This Row],[Available_h]]/tblFleet[[#This Row],[Calendar_h]],"")</f>
        <v/>
      </c>
      <c r="J51" s="60">
        <f>IF(AND(tblFleet[[#This Row],[Units]]&lt;&gt;"",tblFleet[[#This Row],[Available_h]]&gt;0),tblFleet[[#This Row],[Operating_h]]/tblFleet[[#This Row],[Available_h]],"")</f>
        <v/>
      </c>
    </row>
    <row r="52">
      <c r="A52" s="54" t="n"/>
      <c r="B52" s="61" t="n"/>
      <c r="C52" s="62" t="n"/>
      <c r="D52" s="57" t="n"/>
      <c r="E52" s="57" t="n"/>
      <c r="F52" s="58" t="n"/>
      <c r="G52" s="66">
        <f>IF(tblFleet[[#This Row],[Units]]="","",tblFleet[[#This Row],[Units]]*cfg_HoursPerDay)</f>
        <v/>
      </c>
      <c r="H52" s="66">
        <f>IF(tblFleet[[#This Row],[Units]]="","",tblFleet[[#This Row],[Calendar_h]]-tblFleet[[#This Row],[Down_h]])</f>
        <v/>
      </c>
      <c r="I52" s="60">
        <f>IF(AND(tblFleet[[#This Row],[Units]]&lt;&gt;"",tblFleet[[#This Row],[Calendar_h]]&gt;0),tblFleet[[#This Row],[Available_h]]/tblFleet[[#This Row],[Calendar_h]],"")</f>
        <v/>
      </c>
      <c r="J52" s="60">
        <f>IF(AND(tblFleet[[#This Row],[Units]]&lt;&gt;"",tblFleet[[#This Row],[Available_h]]&gt;0),tblFleet[[#This Row],[Operating_h]]/tblFleet[[#This Row],[Available_h]],"")</f>
        <v/>
      </c>
    </row>
    <row r="53">
      <c r="A53" s="54" t="n"/>
      <c r="B53" s="61" t="n"/>
      <c r="C53" s="62" t="n"/>
      <c r="D53" s="57" t="n"/>
      <c r="E53" s="57" t="n"/>
      <c r="F53" s="58" t="n"/>
      <c r="G53" s="66">
        <f>IF(tblFleet[[#This Row],[Units]]="","",tblFleet[[#This Row],[Units]]*cfg_HoursPerDay)</f>
        <v/>
      </c>
      <c r="H53" s="66">
        <f>IF(tblFleet[[#This Row],[Units]]="","",tblFleet[[#This Row],[Calendar_h]]-tblFleet[[#This Row],[Down_h]])</f>
        <v/>
      </c>
      <c r="I53" s="60">
        <f>IF(AND(tblFleet[[#This Row],[Units]]&lt;&gt;"",tblFleet[[#This Row],[Calendar_h]]&gt;0),tblFleet[[#This Row],[Available_h]]/tblFleet[[#This Row],[Calendar_h]],"")</f>
        <v/>
      </c>
      <c r="J53" s="60">
        <f>IF(AND(tblFleet[[#This Row],[Units]]&lt;&gt;"",tblFleet[[#This Row],[Available_h]]&gt;0),tblFleet[[#This Row],[Operating_h]]/tblFleet[[#This Row],[Available_h]],"")</f>
        <v/>
      </c>
    </row>
    <row r="54">
      <c r="A54" s="54" t="n"/>
      <c r="B54" s="61" t="n"/>
      <c r="C54" s="62" t="n"/>
      <c r="D54" s="57" t="n"/>
      <c r="E54" s="57" t="n"/>
      <c r="F54" s="58" t="n"/>
      <c r="G54" s="66">
        <f>IF(tblFleet[[#This Row],[Units]]="","",tblFleet[[#This Row],[Units]]*cfg_HoursPerDay)</f>
        <v/>
      </c>
      <c r="H54" s="66">
        <f>IF(tblFleet[[#This Row],[Units]]="","",tblFleet[[#This Row],[Calendar_h]]-tblFleet[[#This Row],[Down_h]])</f>
        <v/>
      </c>
      <c r="I54" s="60">
        <f>IF(AND(tblFleet[[#This Row],[Units]]&lt;&gt;"",tblFleet[[#This Row],[Calendar_h]]&gt;0),tblFleet[[#This Row],[Available_h]]/tblFleet[[#This Row],[Calendar_h]],"")</f>
        <v/>
      </c>
      <c r="J54" s="60">
        <f>IF(AND(tblFleet[[#This Row],[Units]]&lt;&gt;"",tblFleet[[#This Row],[Available_h]]&gt;0),tblFleet[[#This Row],[Operating_h]]/tblFleet[[#This Row],[Available_h]],"")</f>
        <v/>
      </c>
    </row>
    <row r="55">
      <c r="A55" s="54" t="n"/>
      <c r="B55" s="61" t="n"/>
      <c r="C55" s="62" t="n"/>
      <c r="D55" s="57" t="n"/>
      <c r="E55" s="57" t="n"/>
      <c r="F55" s="58" t="n"/>
      <c r="G55" s="66">
        <f>IF(tblFleet[[#This Row],[Units]]="","",tblFleet[[#This Row],[Units]]*cfg_HoursPerDay)</f>
        <v/>
      </c>
      <c r="H55" s="66">
        <f>IF(tblFleet[[#This Row],[Units]]="","",tblFleet[[#This Row],[Calendar_h]]-tblFleet[[#This Row],[Down_h]])</f>
        <v/>
      </c>
      <c r="I55" s="60">
        <f>IF(AND(tblFleet[[#This Row],[Units]]&lt;&gt;"",tblFleet[[#This Row],[Calendar_h]]&gt;0),tblFleet[[#This Row],[Available_h]]/tblFleet[[#This Row],[Calendar_h]],"")</f>
        <v/>
      </c>
      <c r="J55" s="60">
        <f>IF(AND(tblFleet[[#This Row],[Units]]&lt;&gt;"",tblFleet[[#This Row],[Available_h]]&gt;0),tblFleet[[#This Row],[Operating_h]]/tblFleet[[#This Row],[Available_h]],"")</f>
        <v/>
      </c>
    </row>
    <row r="56">
      <c r="A56" s="54" t="n"/>
      <c r="B56" s="61" t="n"/>
      <c r="C56" s="62" t="n"/>
      <c r="D56" s="57" t="n"/>
      <c r="E56" s="57" t="n"/>
      <c r="F56" s="58" t="n"/>
      <c r="G56" s="66">
        <f>IF(tblFleet[[#This Row],[Units]]="","",tblFleet[[#This Row],[Units]]*cfg_HoursPerDay)</f>
        <v/>
      </c>
      <c r="H56" s="66">
        <f>IF(tblFleet[[#This Row],[Units]]="","",tblFleet[[#This Row],[Calendar_h]]-tblFleet[[#This Row],[Down_h]])</f>
        <v/>
      </c>
      <c r="I56" s="60">
        <f>IF(AND(tblFleet[[#This Row],[Units]]&lt;&gt;"",tblFleet[[#This Row],[Calendar_h]]&gt;0),tblFleet[[#This Row],[Available_h]]/tblFleet[[#This Row],[Calendar_h]],"")</f>
        <v/>
      </c>
      <c r="J56" s="60">
        <f>IF(AND(tblFleet[[#This Row],[Units]]&lt;&gt;"",tblFleet[[#This Row],[Available_h]]&gt;0),tblFleet[[#This Row],[Operating_h]]/tblFleet[[#This Row],[Available_h]],"")</f>
        <v/>
      </c>
    </row>
    <row r="57">
      <c r="A57" s="54" t="n"/>
      <c r="B57" s="61" t="n"/>
      <c r="C57" s="62" t="n"/>
      <c r="D57" s="57" t="n"/>
      <c r="E57" s="57" t="n"/>
      <c r="F57" s="58" t="n"/>
      <c r="G57" s="66">
        <f>IF(tblFleet[[#This Row],[Units]]="","",tblFleet[[#This Row],[Units]]*cfg_HoursPerDay)</f>
        <v/>
      </c>
      <c r="H57" s="66">
        <f>IF(tblFleet[[#This Row],[Units]]="","",tblFleet[[#This Row],[Calendar_h]]-tblFleet[[#This Row],[Down_h]])</f>
        <v/>
      </c>
      <c r="I57" s="60">
        <f>IF(AND(tblFleet[[#This Row],[Units]]&lt;&gt;"",tblFleet[[#This Row],[Calendar_h]]&gt;0),tblFleet[[#This Row],[Available_h]]/tblFleet[[#This Row],[Calendar_h]],"")</f>
        <v/>
      </c>
      <c r="J57" s="60">
        <f>IF(AND(tblFleet[[#This Row],[Units]]&lt;&gt;"",tblFleet[[#This Row],[Available_h]]&gt;0),tblFleet[[#This Row],[Operating_h]]/tblFleet[[#This Row],[Available_h]],"")</f>
        <v/>
      </c>
    </row>
    <row r="58">
      <c r="A58" s="54" t="n"/>
      <c r="B58" s="61" t="n"/>
      <c r="C58" s="62" t="n"/>
      <c r="D58" s="57" t="n"/>
      <c r="E58" s="57" t="n"/>
      <c r="F58" s="58" t="n"/>
      <c r="G58" s="66">
        <f>IF(tblFleet[[#This Row],[Units]]="","",tblFleet[[#This Row],[Units]]*cfg_HoursPerDay)</f>
        <v/>
      </c>
      <c r="H58" s="66">
        <f>IF(tblFleet[[#This Row],[Units]]="","",tblFleet[[#This Row],[Calendar_h]]-tblFleet[[#This Row],[Down_h]])</f>
        <v/>
      </c>
      <c r="I58" s="60">
        <f>IF(AND(tblFleet[[#This Row],[Units]]&lt;&gt;"",tblFleet[[#This Row],[Calendar_h]]&gt;0),tblFleet[[#This Row],[Available_h]]/tblFleet[[#This Row],[Calendar_h]],"")</f>
        <v/>
      </c>
      <c r="J58" s="60">
        <f>IF(AND(tblFleet[[#This Row],[Units]]&lt;&gt;"",tblFleet[[#This Row],[Available_h]]&gt;0),tblFleet[[#This Row],[Operating_h]]/tblFleet[[#This Row],[Available_h]],"")</f>
        <v/>
      </c>
    </row>
    <row r="59">
      <c r="A59" s="54" t="n"/>
      <c r="B59" s="61" t="n"/>
      <c r="C59" s="62" t="n"/>
      <c r="D59" s="57" t="n"/>
      <c r="E59" s="57" t="n"/>
      <c r="F59" s="58" t="n"/>
      <c r="G59" s="66">
        <f>IF(tblFleet[[#This Row],[Units]]="","",tblFleet[[#This Row],[Units]]*cfg_HoursPerDay)</f>
        <v/>
      </c>
      <c r="H59" s="66">
        <f>IF(tblFleet[[#This Row],[Units]]="","",tblFleet[[#This Row],[Calendar_h]]-tblFleet[[#This Row],[Down_h]])</f>
        <v/>
      </c>
      <c r="I59" s="60">
        <f>IF(AND(tblFleet[[#This Row],[Units]]&lt;&gt;"",tblFleet[[#This Row],[Calendar_h]]&gt;0),tblFleet[[#This Row],[Available_h]]/tblFleet[[#This Row],[Calendar_h]],"")</f>
        <v/>
      </c>
      <c r="J59" s="60">
        <f>IF(AND(tblFleet[[#This Row],[Units]]&lt;&gt;"",tblFleet[[#This Row],[Available_h]]&gt;0),tblFleet[[#This Row],[Operating_h]]/tblFleet[[#This Row],[Available_h]],"")</f>
        <v/>
      </c>
    </row>
    <row r="60">
      <c r="A60" s="54" t="n"/>
      <c r="B60" s="61" t="n"/>
      <c r="C60" s="62" t="n"/>
      <c r="D60" s="57" t="n"/>
      <c r="E60" s="57" t="n"/>
      <c r="F60" s="58" t="n"/>
      <c r="G60" s="66">
        <f>IF(tblFleet[[#This Row],[Units]]="","",tblFleet[[#This Row],[Units]]*cfg_HoursPerDay)</f>
        <v/>
      </c>
      <c r="H60" s="66">
        <f>IF(tblFleet[[#This Row],[Units]]="","",tblFleet[[#This Row],[Calendar_h]]-tblFleet[[#This Row],[Down_h]])</f>
        <v/>
      </c>
      <c r="I60" s="60">
        <f>IF(AND(tblFleet[[#This Row],[Units]]&lt;&gt;"",tblFleet[[#This Row],[Calendar_h]]&gt;0),tblFleet[[#This Row],[Available_h]]/tblFleet[[#This Row],[Calendar_h]],"")</f>
        <v/>
      </c>
      <c r="J60" s="60">
        <f>IF(AND(tblFleet[[#This Row],[Units]]&lt;&gt;"",tblFleet[[#This Row],[Available_h]]&gt;0),tblFleet[[#This Row],[Operating_h]]/tblFleet[[#This Row],[Available_h]],"")</f>
        <v/>
      </c>
    </row>
    <row r="61">
      <c r="A61" s="54" t="n"/>
      <c r="B61" s="61" t="n"/>
      <c r="C61" s="62" t="n"/>
      <c r="D61" s="57" t="n"/>
      <c r="E61" s="57" t="n"/>
      <c r="F61" s="58" t="n"/>
      <c r="G61" s="66">
        <f>IF(tblFleet[[#This Row],[Units]]="","",tblFleet[[#This Row],[Units]]*cfg_HoursPerDay)</f>
        <v/>
      </c>
      <c r="H61" s="66">
        <f>IF(tblFleet[[#This Row],[Units]]="","",tblFleet[[#This Row],[Calendar_h]]-tblFleet[[#This Row],[Down_h]])</f>
        <v/>
      </c>
      <c r="I61" s="60">
        <f>IF(AND(tblFleet[[#This Row],[Units]]&lt;&gt;"",tblFleet[[#This Row],[Calendar_h]]&gt;0),tblFleet[[#This Row],[Available_h]]/tblFleet[[#This Row],[Calendar_h]],"")</f>
        <v/>
      </c>
      <c r="J61" s="60">
        <f>IF(AND(tblFleet[[#This Row],[Units]]&lt;&gt;"",tblFleet[[#This Row],[Available_h]]&gt;0),tblFleet[[#This Row],[Operating_h]]/tblFleet[[#This Row],[Available_h]],"")</f>
        <v/>
      </c>
    </row>
    <row r="62">
      <c r="A62" s="54" t="n"/>
      <c r="B62" s="61" t="n"/>
      <c r="C62" s="62" t="n"/>
      <c r="D62" s="57" t="n"/>
      <c r="E62" s="57" t="n"/>
      <c r="F62" s="58" t="n"/>
      <c r="G62" s="66">
        <f>IF(tblFleet[[#This Row],[Units]]="","",tblFleet[[#This Row],[Units]]*cfg_HoursPerDay)</f>
        <v/>
      </c>
      <c r="H62" s="66">
        <f>IF(tblFleet[[#This Row],[Units]]="","",tblFleet[[#This Row],[Calendar_h]]-tblFleet[[#This Row],[Down_h]])</f>
        <v/>
      </c>
      <c r="I62" s="60">
        <f>IF(AND(tblFleet[[#This Row],[Units]]&lt;&gt;"",tblFleet[[#This Row],[Calendar_h]]&gt;0),tblFleet[[#This Row],[Available_h]]/tblFleet[[#This Row],[Calendar_h]],"")</f>
        <v/>
      </c>
      <c r="J62" s="60">
        <f>IF(AND(tblFleet[[#This Row],[Units]]&lt;&gt;"",tblFleet[[#This Row],[Available_h]]&gt;0),tblFleet[[#This Row],[Operating_h]]/tblFleet[[#This Row],[Available_h]],"")</f>
        <v/>
      </c>
    </row>
    <row r="63">
      <c r="A63" s="54" t="n"/>
      <c r="B63" s="61" t="n"/>
      <c r="C63" s="62" t="n"/>
      <c r="D63" s="57" t="n"/>
      <c r="E63" s="57" t="n"/>
      <c r="F63" s="58" t="n"/>
      <c r="G63" s="66">
        <f>IF(tblFleet[[#This Row],[Units]]="","",tblFleet[[#This Row],[Units]]*cfg_HoursPerDay)</f>
        <v/>
      </c>
      <c r="H63" s="66">
        <f>IF(tblFleet[[#This Row],[Units]]="","",tblFleet[[#This Row],[Calendar_h]]-tblFleet[[#This Row],[Down_h]])</f>
        <v/>
      </c>
      <c r="I63" s="60">
        <f>IF(AND(tblFleet[[#This Row],[Units]]&lt;&gt;"",tblFleet[[#This Row],[Calendar_h]]&gt;0),tblFleet[[#This Row],[Available_h]]/tblFleet[[#This Row],[Calendar_h]],"")</f>
        <v/>
      </c>
      <c r="J63" s="60">
        <f>IF(AND(tblFleet[[#This Row],[Units]]&lt;&gt;"",tblFleet[[#This Row],[Available_h]]&gt;0),tblFleet[[#This Row],[Operating_h]]/tblFleet[[#This Row],[Available_h]],"")</f>
        <v/>
      </c>
    </row>
    <row r="64">
      <c r="A64" s="54" t="n"/>
      <c r="B64" s="61" t="n"/>
      <c r="C64" s="62" t="n"/>
      <c r="D64" s="57" t="n"/>
      <c r="E64" s="57" t="n"/>
      <c r="F64" s="58" t="n"/>
      <c r="G64" s="66">
        <f>IF(tblFleet[[#This Row],[Units]]="","",tblFleet[[#This Row],[Units]]*cfg_HoursPerDay)</f>
        <v/>
      </c>
      <c r="H64" s="66">
        <f>IF(tblFleet[[#This Row],[Units]]="","",tblFleet[[#This Row],[Calendar_h]]-tblFleet[[#This Row],[Down_h]])</f>
        <v/>
      </c>
      <c r="I64" s="60">
        <f>IF(AND(tblFleet[[#This Row],[Units]]&lt;&gt;"",tblFleet[[#This Row],[Calendar_h]]&gt;0),tblFleet[[#This Row],[Available_h]]/tblFleet[[#This Row],[Calendar_h]],"")</f>
        <v/>
      </c>
      <c r="J64" s="60">
        <f>IF(AND(tblFleet[[#This Row],[Units]]&lt;&gt;"",tblFleet[[#This Row],[Available_h]]&gt;0),tblFleet[[#This Row],[Operating_h]]/tblFleet[[#This Row],[Available_h]],"")</f>
        <v/>
      </c>
    </row>
    <row r="65">
      <c r="A65" s="54" t="n"/>
      <c r="B65" s="61" t="n"/>
      <c r="C65" s="62" t="n"/>
      <c r="D65" s="57" t="n"/>
      <c r="E65" s="57" t="n"/>
      <c r="F65" s="58" t="n"/>
      <c r="G65" s="66">
        <f>IF(tblFleet[[#This Row],[Units]]="","",tblFleet[[#This Row],[Units]]*cfg_HoursPerDay)</f>
        <v/>
      </c>
      <c r="H65" s="66">
        <f>IF(tblFleet[[#This Row],[Units]]="","",tblFleet[[#This Row],[Calendar_h]]-tblFleet[[#This Row],[Down_h]])</f>
        <v/>
      </c>
      <c r="I65" s="60">
        <f>IF(AND(tblFleet[[#This Row],[Units]]&lt;&gt;"",tblFleet[[#This Row],[Calendar_h]]&gt;0),tblFleet[[#This Row],[Available_h]]/tblFleet[[#This Row],[Calendar_h]],"")</f>
        <v/>
      </c>
      <c r="J65" s="60">
        <f>IF(AND(tblFleet[[#This Row],[Units]]&lt;&gt;"",tblFleet[[#This Row],[Available_h]]&gt;0),tblFleet[[#This Row],[Operating_h]]/tblFleet[[#This Row],[Available_h]],"")</f>
        <v/>
      </c>
    </row>
    <row r="66">
      <c r="A66" s="54" t="n"/>
      <c r="B66" s="61" t="n"/>
      <c r="C66" s="62" t="n"/>
      <c r="D66" s="57" t="n"/>
      <c r="E66" s="57" t="n"/>
      <c r="F66" s="58" t="n"/>
      <c r="G66" s="66">
        <f>IF(tblFleet[[#This Row],[Units]]="","",tblFleet[[#This Row],[Units]]*cfg_HoursPerDay)</f>
        <v/>
      </c>
      <c r="H66" s="66">
        <f>IF(tblFleet[[#This Row],[Units]]="","",tblFleet[[#This Row],[Calendar_h]]-tblFleet[[#This Row],[Down_h]])</f>
        <v/>
      </c>
      <c r="I66" s="60">
        <f>IF(AND(tblFleet[[#This Row],[Units]]&lt;&gt;"",tblFleet[[#This Row],[Calendar_h]]&gt;0),tblFleet[[#This Row],[Available_h]]/tblFleet[[#This Row],[Calendar_h]],"")</f>
        <v/>
      </c>
      <c r="J66" s="60">
        <f>IF(AND(tblFleet[[#This Row],[Units]]&lt;&gt;"",tblFleet[[#This Row],[Available_h]]&gt;0),tblFleet[[#This Row],[Operating_h]]/tblFleet[[#This Row],[Available_h]],"")</f>
        <v/>
      </c>
    </row>
    <row r="67">
      <c r="A67" s="54" t="n"/>
      <c r="B67" s="61" t="n"/>
      <c r="C67" s="62" t="n"/>
      <c r="D67" s="57" t="n"/>
      <c r="E67" s="57" t="n"/>
      <c r="F67" s="58" t="n"/>
      <c r="G67" s="66">
        <f>IF(tblFleet[[#This Row],[Units]]="","",tblFleet[[#This Row],[Units]]*cfg_HoursPerDay)</f>
        <v/>
      </c>
      <c r="H67" s="66">
        <f>IF(tblFleet[[#This Row],[Units]]="","",tblFleet[[#This Row],[Calendar_h]]-tblFleet[[#This Row],[Down_h]])</f>
        <v/>
      </c>
      <c r="I67" s="60">
        <f>IF(AND(tblFleet[[#This Row],[Units]]&lt;&gt;"",tblFleet[[#This Row],[Calendar_h]]&gt;0),tblFleet[[#This Row],[Available_h]]/tblFleet[[#This Row],[Calendar_h]],"")</f>
        <v/>
      </c>
      <c r="J67" s="60">
        <f>IF(AND(tblFleet[[#This Row],[Units]]&lt;&gt;"",tblFleet[[#This Row],[Available_h]]&gt;0),tblFleet[[#This Row],[Operating_h]]/tblFleet[[#This Row],[Available_h]],"")</f>
        <v/>
      </c>
    </row>
    <row r="68">
      <c r="A68" s="54" t="n"/>
      <c r="B68" s="61" t="n"/>
      <c r="C68" s="62" t="n"/>
      <c r="D68" s="57" t="n"/>
      <c r="E68" s="57" t="n"/>
      <c r="F68" s="58" t="n"/>
      <c r="G68" s="66">
        <f>IF(tblFleet[[#This Row],[Units]]="","",tblFleet[[#This Row],[Units]]*cfg_HoursPerDay)</f>
        <v/>
      </c>
      <c r="H68" s="66">
        <f>IF(tblFleet[[#This Row],[Units]]="","",tblFleet[[#This Row],[Calendar_h]]-tblFleet[[#This Row],[Down_h]])</f>
        <v/>
      </c>
      <c r="I68" s="60">
        <f>IF(AND(tblFleet[[#This Row],[Units]]&lt;&gt;"",tblFleet[[#This Row],[Calendar_h]]&gt;0),tblFleet[[#This Row],[Available_h]]/tblFleet[[#This Row],[Calendar_h]],"")</f>
        <v/>
      </c>
      <c r="J68" s="60">
        <f>IF(AND(tblFleet[[#This Row],[Units]]&lt;&gt;"",tblFleet[[#This Row],[Available_h]]&gt;0),tblFleet[[#This Row],[Operating_h]]/tblFleet[[#This Row],[Available_h]],"")</f>
        <v/>
      </c>
    </row>
    <row r="69">
      <c r="A69" s="54" t="n"/>
      <c r="B69" s="61" t="n"/>
      <c r="C69" s="62" t="n"/>
      <c r="D69" s="57" t="n"/>
      <c r="E69" s="57" t="n"/>
      <c r="F69" s="58" t="n"/>
      <c r="G69" s="66">
        <f>IF(tblFleet[[#This Row],[Units]]="","",tblFleet[[#This Row],[Units]]*cfg_HoursPerDay)</f>
        <v/>
      </c>
      <c r="H69" s="66">
        <f>IF(tblFleet[[#This Row],[Units]]="","",tblFleet[[#This Row],[Calendar_h]]-tblFleet[[#This Row],[Down_h]])</f>
        <v/>
      </c>
      <c r="I69" s="60">
        <f>IF(AND(tblFleet[[#This Row],[Units]]&lt;&gt;"",tblFleet[[#This Row],[Calendar_h]]&gt;0),tblFleet[[#This Row],[Available_h]]/tblFleet[[#This Row],[Calendar_h]],"")</f>
        <v/>
      </c>
      <c r="J69" s="60">
        <f>IF(AND(tblFleet[[#This Row],[Units]]&lt;&gt;"",tblFleet[[#This Row],[Available_h]]&gt;0),tblFleet[[#This Row],[Operating_h]]/tblFleet[[#This Row],[Available_h]],"")</f>
        <v/>
      </c>
    </row>
    <row r="70">
      <c r="A70" s="54" t="n"/>
      <c r="B70" s="61" t="n"/>
      <c r="C70" s="62" t="n"/>
      <c r="D70" s="57" t="n"/>
      <c r="E70" s="57" t="n"/>
      <c r="F70" s="58" t="n"/>
      <c r="G70" s="66">
        <f>IF(tblFleet[[#This Row],[Units]]="","",tblFleet[[#This Row],[Units]]*cfg_HoursPerDay)</f>
        <v/>
      </c>
      <c r="H70" s="66">
        <f>IF(tblFleet[[#This Row],[Units]]="","",tblFleet[[#This Row],[Calendar_h]]-tblFleet[[#This Row],[Down_h]])</f>
        <v/>
      </c>
      <c r="I70" s="60">
        <f>IF(AND(tblFleet[[#This Row],[Units]]&lt;&gt;"",tblFleet[[#This Row],[Calendar_h]]&gt;0),tblFleet[[#This Row],[Available_h]]/tblFleet[[#This Row],[Calendar_h]],"")</f>
        <v/>
      </c>
      <c r="J70" s="60">
        <f>IF(AND(tblFleet[[#This Row],[Units]]&lt;&gt;"",tblFleet[[#This Row],[Available_h]]&gt;0),tblFleet[[#This Row],[Operating_h]]/tblFleet[[#This Row],[Available_h]],"")</f>
        <v/>
      </c>
    </row>
    <row r="71">
      <c r="A71" s="54" t="n"/>
      <c r="B71" s="61" t="n"/>
      <c r="C71" s="62" t="n"/>
      <c r="D71" s="57" t="n"/>
      <c r="E71" s="57" t="n"/>
      <c r="F71" s="58" t="n"/>
      <c r="G71" s="66">
        <f>IF(tblFleet[[#This Row],[Units]]="","",tblFleet[[#This Row],[Units]]*cfg_HoursPerDay)</f>
        <v/>
      </c>
      <c r="H71" s="66">
        <f>IF(tblFleet[[#This Row],[Units]]="","",tblFleet[[#This Row],[Calendar_h]]-tblFleet[[#This Row],[Down_h]])</f>
        <v/>
      </c>
      <c r="I71" s="60">
        <f>IF(AND(tblFleet[[#This Row],[Units]]&lt;&gt;"",tblFleet[[#This Row],[Calendar_h]]&gt;0),tblFleet[[#This Row],[Available_h]]/tblFleet[[#This Row],[Calendar_h]],"")</f>
        <v/>
      </c>
      <c r="J71" s="60">
        <f>IF(AND(tblFleet[[#This Row],[Units]]&lt;&gt;"",tblFleet[[#This Row],[Available_h]]&gt;0),tblFleet[[#This Row],[Operating_h]]/tblFleet[[#This Row],[Available_h]],"")</f>
        <v/>
      </c>
    </row>
    <row r="72">
      <c r="A72" s="54" t="n"/>
      <c r="B72" s="61" t="n"/>
      <c r="C72" s="62" t="n"/>
      <c r="D72" s="57" t="n"/>
      <c r="E72" s="57" t="n"/>
      <c r="F72" s="58" t="n"/>
      <c r="G72" s="66">
        <f>IF(tblFleet[[#This Row],[Units]]="","",tblFleet[[#This Row],[Units]]*cfg_HoursPerDay)</f>
        <v/>
      </c>
      <c r="H72" s="66">
        <f>IF(tblFleet[[#This Row],[Units]]="","",tblFleet[[#This Row],[Calendar_h]]-tblFleet[[#This Row],[Down_h]])</f>
        <v/>
      </c>
      <c r="I72" s="60">
        <f>IF(AND(tblFleet[[#This Row],[Units]]&lt;&gt;"",tblFleet[[#This Row],[Calendar_h]]&gt;0),tblFleet[[#This Row],[Available_h]]/tblFleet[[#This Row],[Calendar_h]],"")</f>
        <v/>
      </c>
      <c r="J72" s="60">
        <f>IF(AND(tblFleet[[#This Row],[Units]]&lt;&gt;"",tblFleet[[#This Row],[Available_h]]&gt;0),tblFleet[[#This Row],[Operating_h]]/tblFleet[[#This Row],[Available_h]],"")</f>
        <v/>
      </c>
    </row>
    <row r="73">
      <c r="A73" s="54" t="n"/>
      <c r="B73" s="61" t="n"/>
      <c r="C73" s="62" t="n"/>
      <c r="D73" s="57" t="n"/>
      <c r="E73" s="57" t="n"/>
      <c r="F73" s="58" t="n"/>
      <c r="G73" s="66">
        <f>IF(tblFleet[[#This Row],[Units]]="","",tblFleet[[#This Row],[Units]]*cfg_HoursPerDay)</f>
        <v/>
      </c>
      <c r="H73" s="66">
        <f>IF(tblFleet[[#This Row],[Units]]="","",tblFleet[[#This Row],[Calendar_h]]-tblFleet[[#This Row],[Down_h]])</f>
        <v/>
      </c>
      <c r="I73" s="60">
        <f>IF(AND(tblFleet[[#This Row],[Units]]&lt;&gt;"",tblFleet[[#This Row],[Calendar_h]]&gt;0),tblFleet[[#This Row],[Available_h]]/tblFleet[[#This Row],[Calendar_h]],"")</f>
        <v/>
      </c>
      <c r="J73" s="60">
        <f>IF(AND(tblFleet[[#This Row],[Units]]&lt;&gt;"",tblFleet[[#This Row],[Available_h]]&gt;0),tblFleet[[#This Row],[Operating_h]]/tblFleet[[#This Row],[Available_h]],"")</f>
        <v/>
      </c>
    </row>
    <row r="74">
      <c r="A74" s="54" t="n"/>
      <c r="B74" s="61" t="n"/>
      <c r="C74" s="62" t="n"/>
      <c r="D74" s="57" t="n"/>
      <c r="E74" s="57" t="n"/>
      <c r="F74" s="58" t="n"/>
      <c r="G74" s="66">
        <f>IF(tblFleet[[#This Row],[Units]]="","",tblFleet[[#This Row],[Units]]*cfg_HoursPerDay)</f>
        <v/>
      </c>
      <c r="H74" s="66">
        <f>IF(tblFleet[[#This Row],[Units]]="","",tblFleet[[#This Row],[Calendar_h]]-tblFleet[[#This Row],[Down_h]])</f>
        <v/>
      </c>
      <c r="I74" s="60">
        <f>IF(AND(tblFleet[[#This Row],[Units]]&lt;&gt;"",tblFleet[[#This Row],[Calendar_h]]&gt;0),tblFleet[[#This Row],[Available_h]]/tblFleet[[#This Row],[Calendar_h]],"")</f>
        <v/>
      </c>
      <c r="J74" s="60">
        <f>IF(AND(tblFleet[[#This Row],[Units]]&lt;&gt;"",tblFleet[[#This Row],[Available_h]]&gt;0),tblFleet[[#This Row],[Operating_h]]/tblFleet[[#This Row],[Available_h]],"")</f>
        <v/>
      </c>
    </row>
    <row r="75">
      <c r="A75" s="54" t="n"/>
      <c r="B75" s="61" t="n"/>
      <c r="C75" s="62" t="n"/>
      <c r="D75" s="57" t="n"/>
      <c r="E75" s="57" t="n"/>
      <c r="F75" s="58" t="n"/>
      <c r="G75" s="66">
        <f>IF(tblFleet[[#This Row],[Units]]="","",tblFleet[[#This Row],[Units]]*cfg_HoursPerDay)</f>
        <v/>
      </c>
      <c r="H75" s="66">
        <f>IF(tblFleet[[#This Row],[Units]]="","",tblFleet[[#This Row],[Calendar_h]]-tblFleet[[#This Row],[Down_h]])</f>
        <v/>
      </c>
      <c r="I75" s="60">
        <f>IF(AND(tblFleet[[#This Row],[Units]]&lt;&gt;"",tblFleet[[#This Row],[Calendar_h]]&gt;0),tblFleet[[#This Row],[Available_h]]/tblFleet[[#This Row],[Calendar_h]],"")</f>
        <v/>
      </c>
      <c r="J75" s="60">
        <f>IF(AND(tblFleet[[#This Row],[Units]]&lt;&gt;"",tblFleet[[#This Row],[Available_h]]&gt;0),tblFleet[[#This Row],[Operating_h]]/tblFleet[[#This Row],[Available_h]],"")</f>
        <v/>
      </c>
    </row>
    <row r="76">
      <c r="A76" s="54" t="n"/>
      <c r="B76" s="61" t="n"/>
      <c r="C76" s="62" t="n"/>
      <c r="D76" s="57" t="n"/>
      <c r="E76" s="57" t="n"/>
      <c r="F76" s="58" t="n"/>
      <c r="G76" s="66">
        <f>IF(tblFleet[[#This Row],[Units]]="","",tblFleet[[#This Row],[Units]]*cfg_HoursPerDay)</f>
        <v/>
      </c>
      <c r="H76" s="66">
        <f>IF(tblFleet[[#This Row],[Units]]="","",tblFleet[[#This Row],[Calendar_h]]-tblFleet[[#This Row],[Down_h]])</f>
        <v/>
      </c>
      <c r="I76" s="60">
        <f>IF(AND(tblFleet[[#This Row],[Units]]&lt;&gt;"",tblFleet[[#This Row],[Calendar_h]]&gt;0),tblFleet[[#This Row],[Available_h]]/tblFleet[[#This Row],[Calendar_h]],"")</f>
        <v/>
      </c>
      <c r="J76" s="60">
        <f>IF(AND(tblFleet[[#This Row],[Units]]&lt;&gt;"",tblFleet[[#This Row],[Available_h]]&gt;0),tblFleet[[#This Row],[Operating_h]]/tblFleet[[#This Row],[Available_h]],"")</f>
        <v/>
      </c>
    </row>
    <row r="77">
      <c r="A77" s="54" t="n"/>
      <c r="B77" s="61" t="n"/>
      <c r="C77" s="62" t="n"/>
      <c r="D77" s="57" t="n"/>
      <c r="E77" s="57" t="n"/>
      <c r="F77" s="58" t="n"/>
      <c r="G77" s="66">
        <f>IF(tblFleet[[#This Row],[Units]]="","",tblFleet[[#This Row],[Units]]*cfg_HoursPerDay)</f>
        <v/>
      </c>
      <c r="H77" s="66">
        <f>IF(tblFleet[[#This Row],[Units]]="","",tblFleet[[#This Row],[Calendar_h]]-tblFleet[[#This Row],[Down_h]])</f>
        <v/>
      </c>
      <c r="I77" s="60">
        <f>IF(AND(tblFleet[[#This Row],[Units]]&lt;&gt;"",tblFleet[[#This Row],[Calendar_h]]&gt;0),tblFleet[[#This Row],[Available_h]]/tblFleet[[#This Row],[Calendar_h]],"")</f>
        <v/>
      </c>
      <c r="J77" s="60">
        <f>IF(AND(tblFleet[[#This Row],[Units]]&lt;&gt;"",tblFleet[[#This Row],[Available_h]]&gt;0),tblFleet[[#This Row],[Operating_h]]/tblFleet[[#This Row],[Available_h]],"")</f>
        <v/>
      </c>
    </row>
    <row r="78">
      <c r="A78" s="54" t="n"/>
      <c r="B78" s="61" t="n"/>
      <c r="C78" s="62" t="n"/>
      <c r="D78" s="57" t="n"/>
      <c r="E78" s="57" t="n"/>
      <c r="F78" s="58" t="n"/>
      <c r="G78" s="66">
        <f>IF(tblFleet[[#This Row],[Units]]="","",tblFleet[[#This Row],[Units]]*cfg_HoursPerDay)</f>
        <v/>
      </c>
      <c r="H78" s="66">
        <f>IF(tblFleet[[#This Row],[Units]]="","",tblFleet[[#This Row],[Calendar_h]]-tblFleet[[#This Row],[Down_h]])</f>
        <v/>
      </c>
      <c r="I78" s="60">
        <f>IF(AND(tblFleet[[#This Row],[Units]]&lt;&gt;"",tblFleet[[#This Row],[Calendar_h]]&gt;0),tblFleet[[#This Row],[Available_h]]/tblFleet[[#This Row],[Calendar_h]],"")</f>
        <v/>
      </c>
      <c r="J78" s="60">
        <f>IF(AND(tblFleet[[#This Row],[Units]]&lt;&gt;"",tblFleet[[#This Row],[Available_h]]&gt;0),tblFleet[[#This Row],[Operating_h]]/tblFleet[[#This Row],[Available_h]],"")</f>
        <v/>
      </c>
    </row>
    <row r="79">
      <c r="A79" s="54" t="n"/>
      <c r="B79" s="61" t="n"/>
      <c r="C79" s="62" t="n"/>
      <c r="D79" s="57" t="n"/>
      <c r="E79" s="57" t="n"/>
      <c r="F79" s="58" t="n"/>
      <c r="G79" s="66">
        <f>IF(tblFleet[[#This Row],[Units]]="","",tblFleet[[#This Row],[Units]]*cfg_HoursPerDay)</f>
        <v/>
      </c>
      <c r="H79" s="66">
        <f>IF(tblFleet[[#This Row],[Units]]="","",tblFleet[[#This Row],[Calendar_h]]-tblFleet[[#This Row],[Down_h]])</f>
        <v/>
      </c>
      <c r="I79" s="60">
        <f>IF(AND(tblFleet[[#This Row],[Units]]&lt;&gt;"",tblFleet[[#This Row],[Calendar_h]]&gt;0),tblFleet[[#This Row],[Available_h]]/tblFleet[[#This Row],[Calendar_h]],"")</f>
        <v/>
      </c>
      <c r="J79" s="60">
        <f>IF(AND(tblFleet[[#This Row],[Units]]&lt;&gt;"",tblFleet[[#This Row],[Available_h]]&gt;0),tblFleet[[#This Row],[Operating_h]]/tblFleet[[#This Row],[Available_h]],"")</f>
        <v/>
      </c>
    </row>
    <row r="80">
      <c r="A80" s="54" t="n"/>
      <c r="B80" s="61" t="n"/>
      <c r="C80" s="62" t="n"/>
      <c r="D80" s="57" t="n"/>
      <c r="E80" s="57" t="n"/>
      <c r="F80" s="58" t="n"/>
      <c r="G80" s="66">
        <f>IF(tblFleet[[#This Row],[Units]]="","",tblFleet[[#This Row],[Units]]*cfg_HoursPerDay)</f>
        <v/>
      </c>
      <c r="H80" s="66">
        <f>IF(tblFleet[[#This Row],[Units]]="","",tblFleet[[#This Row],[Calendar_h]]-tblFleet[[#This Row],[Down_h]])</f>
        <v/>
      </c>
      <c r="I80" s="60">
        <f>IF(AND(tblFleet[[#This Row],[Units]]&lt;&gt;"",tblFleet[[#This Row],[Calendar_h]]&gt;0),tblFleet[[#This Row],[Available_h]]/tblFleet[[#This Row],[Calendar_h]],"")</f>
        <v/>
      </c>
      <c r="J80" s="60">
        <f>IF(AND(tblFleet[[#This Row],[Units]]&lt;&gt;"",tblFleet[[#This Row],[Available_h]]&gt;0),tblFleet[[#This Row],[Operating_h]]/tblFleet[[#This Row],[Available_h]],"")</f>
        <v/>
      </c>
    </row>
    <row r="81">
      <c r="A81" s="54" t="n"/>
      <c r="B81" s="61" t="n"/>
      <c r="C81" s="62" t="n"/>
      <c r="D81" s="57" t="n"/>
      <c r="E81" s="57" t="n"/>
      <c r="F81" s="58" t="n"/>
      <c r="G81" s="66">
        <f>IF(tblFleet[[#This Row],[Units]]="","",tblFleet[[#This Row],[Units]]*cfg_HoursPerDay)</f>
        <v/>
      </c>
      <c r="H81" s="66">
        <f>IF(tblFleet[[#This Row],[Units]]="","",tblFleet[[#This Row],[Calendar_h]]-tblFleet[[#This Row],[Down_h]])</f>
        <v/>
      </c>
      <c r="I81" s="60">
        <f>IF(AND(tblFleet[[#This Row],[Units]]&lt;&gt;"",tblFleet[[#This Row],[Calendar_h]]&gt;0),tblFleet[[#This Row],[Available_h]]/tblFleet[[#This Row],[Calendar_h]],"")</f>
        <v/>
      </c>
      <c r="J81" s="60">
        <f>IF(AND(tblFleet[[#This Row],[Units]]&lt;&gt;"",tblFleet[[#This Row],[Available_h]]&gt;0),tblFleet[[#This Row],[Operating_h]]/tblFleet[[#This Row],[Available_h]],"")</f>
        <v/>
      </c>
    </row>
    <row r="82">
      <c r="A82" s="54" t="n"/>
      <c r="B82" s="61" t="n"/>
      <c r="C82" s="62" t="n"/>
      <c r="D82" s="57" t="n"/>
      <c r="E82" s="57" t="n"/>
      <c r="F82" s="58" t="n"/>
      <c r="G82" s="66">
        <f>IF(tblFleet[[#This Row],[Units]]="","",tblFleet[[#This Row],[Units]]*cfg_HoursPerDay)</f>
        <v/>
      </c>
      <c r="H82" s="66">
        <f>IF(tblFleet[[#This Row],[Units]]="","",tblFleet[[#This Row],[Calendar_h]]-tblFleet[[#This Row],[Down_h]])</f>
        <v/>
      </c>
      <c r="I82" s="60">
        <f>IF(AND(tblFleet[[#This Row],[Units]]&lt;&gt;"",tblFleet[[#This Row],[Calendar_h]]&gt;0),tblFleet[[#This Row],[Available_h]]/tblFleet[[#This Row],[Calendar_h]],"")</f>
        <v/>
      </c>
      <c r="J82" s="60">
        <f>IF(AND(tblFleet[[#This Row],[Units]]&lt;&gt;"",tblFleet[[#This Row],[Available_h]]&gt;0),tblFleet[[#This Row],[Operating_h]]/tblFleet[[#This Row],[Available_h]],"")</f>
        <v/>
      </c>
    </row>
    <row r="83">
      <c r="A83" s="54" t="n"/>
      <c r="B83" s="61" t="n"/>
      <c r="C83" s="62" t="n"/>
      <c r="D83" s="57" t="n"/>
      <c r="E83" s="57" t="n"/>
      <c r="F83" s="58" t="n"/>
      <c r="G83" s="66">
        <f>IF(tblFleet[[#This Row],[Units]]="","",tblFleet[[#This Row],[Units]]*cfg_HoursPerDay)</f>
        <v/>
      </c>
      <c r="H83" s="66">
        <f>IF(tblFleet[[#This Row],[Units]]="","",tblFleet[[#This Row],[Calendar_h]]-tblFleet[[#This Row],[Down_h]])</f>
        <v/>
      </c>
      <c r="I83" s="60">
        <f>IF(AND(tblFleet[[#This Row],[Units]]&lt;&gt;"",tblFleet[[#This Row],[Calendar_h]]&gt;0),tblFleet[[#This Row],[Available_h]]/tblFleet[[#This Row],[Calendar_h]],"")</f>
        <v/>
      </c>
      <c r="J83" s="60">
        <f>IF(AND(tblFleet[[#This Row],[Units]]&lt;&gt;"",tblFleet[[#This Row],[Available_h]]&gt;0),tblFleet[[#This Row],[Operating_h]]/tblFleet[[#This Row],[Available_h]],"")</f>
        <v/>
      </c>
    </row>
    <row r="84">
      <c r="A84" s="54" t="n"/>
      <c r="B84" s="61" t="n"/>
      <c r="C84" s="62" t="n"/>
      <c r="D84" s="57" t="n"/>
      <c r="E84" s="57" t="n"/>
      <c r="F84" s="58" t="n"/>
      <c r="G84" s="66">
        <f>IF(tblFleet[[#This Row],[Units]]="","",tblFleet[[#This Row],[Units]]*cfg_HoursPerDay)</f>
        <v/>
      </c>
      <c r="H84" s="66">
        <f>IF(tblFleet[[#This Row],[Units]]="","",tblFleet[[#This Row],[Calendar_h]]-tblFleet[[#This Row],[Down_h]])</f>
        <v/>
      </c>
      <c r="I84" s="60">
        <f>IF(AND(tblFleet[[#This Row],[Units]]&lt;&gt;"",tblFleet[[#This Row],[Calendar_h]]&gt;0),tblFleet[[#This Row],[Available_h]]/tblFleet[[#This Row],[Calendar_h]],"")</f>
        <v/>
      </c>
      <c r="J84" s="60">
        <f>IF(AND(tblFleet[[#This Row],[Units]]&lt;&gt;"",tblFleet[[#This Row],[Available_h]]&gt;0),tblFleet[[#This Row],[Operating_h]]/tblFleet[[#This Row],[Available_h]],"")</f>
        <v/>
      </c>
    </row>
    <row r="85">
      <c r="A85" s="54" t="n"/>
      <c r="B85" s="61" t="n"/>
      <c r="C85" s="62" t="n"/>
      <c r="D85" s="57" t="n"/>
      <c r="E85" s="57" t="n"/>
      <c r="F85" s="58" t="n"/>
      <c r="G85" s="66">
        <f>IF(tblFleet[[#This Row],[Units]]="","",tblFleet[[#This Row],[Units]]*cfg_HoursPerDay)</f>
        <v/>
      </c>
      <c r="H85" s="66">
        <f>IF(tblFleet[[#This Row],[Units]]="","",tblFleet[[#This Row],[Calendar_h]]-tblFleet[[#This Row],[Down_h]])</f>
        <v/>
      </c>
      <c r="I85" s="60">
        <f>IF(AND(tblFleet[[#This Row],[Units]]&lt;&gt;"",tblFleet[[#This Row],[Calendar_h]]&gt;0),tblFleet[[#This Row],[Available_h]]/tblFleet[[#This Row],[Calendar_h]],"")</f>
        <v/>
      </c>
      <c r="J85" s="60">
        <f>IF(AND(tblFleet[[#This Row],[Units]]&lt;&gt;"",tblFleet[[#This Row],[Available_h]]&gt;0),tblFleet[[#This Row],[Operating_h]]/tblFleet[[#This Row],[Available_h]],"")</f>
        <v/>
      </c>
    </row>
    <row r="86">
      <c r="A86" s="54" t="n"/>
      <c r="B86" s="61" t="n"/>
      <c r="C86" s="62" t="n"/>
      <c r="D86" s="57" t="n"/>
      <c r="E86" s="57" t="n"/>
      <c r="F86" s="58" t="n"/>
      <c r="G86" s="66">
        <f>IF(tblFleet[[#This Row],[Units]]="","",tblFleet[[#This Row],[Units]]*cfg_HoursPerDay)</f>
        <v/>
      </c>
      <c r="H86" s="66">
        <f>IF(tblFleet[[#This Row],[Units]]="","",tblFleet[[#This Row],[Calendar_h]]-tblFleet[[#This Row],[Down_h]])</f>
        <v/>
      </c>
      <c r="I86" s="60">
        <f>IF(AND(tblFleet[[#This Row],[Units]]&lt;&gt;"",tblFleet[[#This Row],[Calendar_h]]&gt;0),tblFleet[[#This Row],[Available_h]]/tblFleet[[#This Row],[Calendar_h]],"")</f>
        <v/>
      </c>
      <c r="J86" s="60">
        <f>IF(AND(tblFleet[[#This Row],[Units]]&lt;&gt;"",tblFleet[[#This Row],[Available_h]]&gt;0),tblFleet[[#This Row],[Operating_h]]/tblFleet[[#This Row],[Available_h]],"")</f>
        <v/>
      </c>
    </row>
    <row r="87">
      <c r="A87" s="54" t="n"/>
      <c r="B87" s="61" t="n"/>
      <c r="C87" s="62" t="n"/>
      <c r="D87" s="57" t="n"/>
      <c r="E87" s="57" t="n"/>
      <c r="F87" s="58" t="n"/>
      <c r="G87" s="66">
        <f>IF(tblFleet[[#This Row],[Units]]="","",tblFleet[[#This Row],[Units]]*cfg_HoursPerDay)</f>
        <v/>
      </c>
      <c r="H87" s="66">
        <f>IF(tblFleet[[#This Row],[Units]]="","",tblFleet[[#This Row],[Calendar_h]]-tblFleet[[#This Row],[Down_h]])</f>
        <v/>
      </c>
      <c r="I87" s="60">
        <f>IF(AND(tblFleet[[#This Row],[Units]]&lt;&gt;"",tblFleet[[#This Row],[Calendar_h]]&gt;0),tblFleet[[#This Row],[Available_h]]/tblFleet[[#This Row],[Calendar_h]],"")</f>
        <v/>
      </c>
      <c r="J87" s="60">
        <f>IF(AND(tblFleet[[#This Row],[Units]]&lt;&gt;"",tblFleet[[#This Row],[Available_h]]&gt;0),tblFleet[[#This Row],[Operating_h]]/tblFleet[[#This Row],[Available_h]],"")</f>
        <v/>
      </c>
    </row>
    <row r="88">
      <c r="A88" s="54" t="n"/>
      <c r="B88" s="61" t="n"/>
      <c r="C88" s="62" t="n"/>
      <c r="D88" s="57" t="n"/>
      <c r="E88" s="57" t="n"/>
      <c r="F88" s="58" t="n"/>
      <c r="G88" s="66">
        <f>IF(tblFleet[[#This Row],[Units]]="","",tblFleet[[#This Row],[Units]]*cfg_HoursPerDay)</f>
        <v/>
      </c>
      <c r="H88" s="66">
        <f>IF(tblFleet[[#This Row],[Units]]="","",tblFleet[[#This Row],[Calendar_h]]-tblFleet[[#This Row],[Down_h]])</f>
        <v/>
      </c>
      <c r="I88" s="60">
        <f>IF(AND(tblFleet[[#This Row],[Units]]&lt;&gt;"",tblFleet[[#This Row],[Calendar_h]]&gt;0),tblFleet[[#This Row],[Available_h]]/tblFleet[[#This Row],[Calendar_h]],"")</f>
        <v/>
      </c>
      <c r="J88" s="60">
        <f>IF(AND(tblFleet[[#This Row],[Units]]&lt;&gt;"",tblFleet[[#This Row],[Available_h]]&gt;0),tblFleet[[#This Row],[Operating_h]]/tblFleet[[#This Row],[Available_h]],"")</f>
        <v/>
      </c>
    </row>
    <row r="89">
      <c r="A89" s="54" t="n"/>
      <c r="B89" s="61" t="n"/>
      <c r="C89" s="62" t="n"/>
      <c r="D89" s="57" t="n"/>
      <c r="E89" s="57" t="n"/>
      <c r="F89" s="58" t="n"/>
      <c r="G89" s="66">
        <f>IF(tblFleet[[#This Row],[Units]]="","",tblFleet[[#This Row],[Units]]*cfg_HoursPerDay)</f>
        <v/>
      </c>
      <c r="H89" s="66">
        <f>IF(tblFleet[[#This Row],[Units]]="","",tblFleet[[#This Row],[Calendar_h]]-tblFleet[[#This Row],[Down_h]])</f>
        <v/>
      </c>
      <c r="I89" s="60">
        <f>IF(AND(tblFleet[[#This Row],[Units]]&lt;&gt;"",tblFleet[[#This Row],[Calendar_h]]&gt;0),tblFleet[[#This Row],[Available_h]]/tblFleet[[#This Row],[Calendar_h]],"")</f>
        <v/>
      </c>
      <c r="J89" s="60">
        <f>IF(AND(tblFleet[[#This Row],[Units]]&lt;&gt;"",tblFleet[[#This Row],[Available_h]]&gt;0),tblFleet[[#This Row],[Operating_h]]/tblFleet[[#This Row],[Available_h]],"")</f>
        <v/>
      </c>
    </row>
    <row r="90">
      <c r="A90" s="54" t="n"/>
      <c r="B90" s="61" t="n"/>
      <c r="C90" s="62" t="n"/>
      <c r="D90" s="57" t="n"/>
      <c r="E90" s="57" t="n"/>
      <c r="F90" s="58" t="n"/>
      <c r="G90" s="66">
        <f>IF(tblFleet[[#This Row],[Units]]="","",tblFleet[[#This Row],[Units]]*cfg_HoursPerDay)</f>
        <v/>
      </c>
      <c r="H90" s="66">
        <f>IF(tblFleet[[#This Row],[Units]]="","",tblFleet[[#This Row],[Calendar_h]]-tblFleet[[#This Row],[Down_h]])</f>
        <v/>
      </c>
      <c r="I90" s="60">
        <f>IF(AND(tblFleet[[#This Row],[Units]]&lt;&gt;"",tblFleet[[#This Row],[Calendar_h]]&gt;0),tblFleet[[#This Row],[Available_h]]/tblFleet[[#This Row],[Calendar_h]],"")</f>
        <v/>
      </c>
      <c r="J90" s="60">
        <f>IF(AND(tblFleet[[#This Row],[Units]]&lt;&gt;"",tblFleet[[#This Row],[Available_h]]&gt;0),tblFleet[[#This Row],[Operating_h]]/tblFleet[[#This Row],[Available_h]],"")</f>
        <v/>
      </c>
    </row>
    <row r="91">
      <c r="A91" s="54" t="n"/>
      <c r="B91" s="61" t="n"/>
      <c r="C91" s="62" t="n"/>
      <c r="D91" s="57" t="n"/>
      <c r="E91" s="57" t="n"/>
      <c r="F91" s="58" t="n"/>
      <c r="G91" s="66">
        <f>IF(tblFleet[[#This Row],[Units]]="","",tblFleet[[#This Row],[Units]]*cfg_HoursPerDay)</f>
        <v/>
      </c>
      <c r="H91" s="66">
        <f>IF(tblFleet[[#This Row],[Units]]="","",tblFleet[[#This Row],[Calendar_h]]-tblFleet[[#This Row],[Down_h]])</f>
        <v/>
      </c>
      <c r="I91" s="60">
        <f>IF(AND(tblFleet[[#This Row],[Units]]&lt;&gt;"",tblFleet[[#This Row],[Calendar_h]]&gt;0),tblFleet[[#This Row],[Available_h]]/tblFleet[[#This Row],[Calendar_h]],"")</f>
        <v/>
      </c>
      <c r="J91" s="60">
        <f>IF(AND(tblFleet[[#This Row],[Units]]&lt;&gt;"",tblFleet[[#This Row],[Available_h]]&gt;0),tblFleet[[#This Row],[Operating_h]]/tblFleet[[#This Row],[Available_h]],"")</f>
        <v/>
      </c>
    </row>
    <row r="92">
      <c r="A92" s="54" t="n"/>
      <c r="B92" s="61" t="n"/>
      <c r="C92" s="62" t="n"/>
      <c r="D92" s="57" t="n"/>
      <c r="E92" s="57" t="n"/>
      <c r="F92" s="58" t="n"/>
      <c r="G92" s="66">
        <f>IF(tblFleet[[#This Row],[Units]]="","",tblFleet[[#This Row],[Units]]*cfg_HoursPerDay)</f>
        <v/>
      </c>
      <c r="H92" s="66">
        <f>IF(tblFleet[[#This Row],[Units]]="","",tblFleet[[#This Row],[Calendar_h]]-tblFleet[[#This Row],[Down_h]])</f>
        <v/>
      </c>
      <c r="I92" s="60">
        <f>IF(AND(tblFleet[[#This Row],[Units]]&lt;&gt;"",tblFleet[[#This Row],[Calendar_h]]&gt;0),tblFleet[[#This Row],[Available_h]]/tblFleet[[#This Row],[Calendar_h]],"")</f>
        <v/>
      </c>
      <c r="J92" s="60">
        <f>IF(AND(tblFleet[[#This Row],[Units]]&lt;&gt;"",tblFleet[[#This Row],[Available_h]]&gt;0),tblFleet[[#This Row],[Operating_h]]/tblFleet[[#This Row],[Available_h]],"")</f>
        <v/>
      </c>
    </row>
    <row r="93">
      <c r="A93" s="54" t="n"/>
      <c r="B93" s="61" t="n"/>
      <c r="C93" s="62" t="n"/>
      <c r="D93" s="57" t="n"/>
      <c r="E93" s="57" t="n"/>
      <c r="F93" s="58" t="n"/>
      <c r="G93" s="66">
        <f>IF(tblFleet[[#This Row],[Units]]="","",tblFleet[[#This Row],[Units]]*cfg_HoursPerDay)</f>
        <v/>
      </c>
      <c r="H93" s="66">
        <f>IF(tblFleet[[#This Row],[Units]]="","",tblFleet[[#This Row],[Calendar_h]]-tblFleet[[#This Row],[Down_h]])</f>
        <v/>
      </c>
      <c r="I93" s="60">
        <f>IF(AND(tblFleet[[#This Row],[Units]]&lt;&gt;"",tblFleet[[#This Row],[Calendar_h]]&gt;0),tblFleet[[#This Row],[Available_h]]/tblFleet[[#This Row],[Calendar_h]],"")</f>
        <v/>
      </c>
      <c r="J93" s="60">
        <f>IF(AND(tblFleet[[#This Row],[Units]]&lt;&gt;"",tblFleet[[#This Row],[Available_h]]&gt;0),tblFleet[[#This Row],[Operating_h]]/tblFleet[[#This Row],[Available_h]],"")</f>
        <v/>
      </c>
    </row>
    <row r="94">
      <c r="A94" s="54" t="n"/>
      <c r="B94" s="61" t="n"/>
      <c r="C94" s="62" t="n"/>
      <c r="D94" s="57" t="n"/>
      <c r="E94" s="57" t="n"/>
      <c r="F94" s="58" t="n"/>
      <c r="G94" s="66">
        <f>IF(tblFleet[[#This Row],[Units]]="","",tblFleet[[#This Row],[Units]]*cfg_HoursPerDay)</f>
        <v/>
      </c>
      <c r="H94" s="66">
        <f>IF(tblFleet[[#This Row],[Units]]="","",tblFleet[[#This Row],[Calendar_h]]-tblFleet[[#This Row],[Down_h]])</f>
        <v/>
      </c>
      <c r="I94" s="60">
        <f>IF(AND(tblFleet[[#This Row],[Units]]&lt;&gt;"",tblFleet[[#This Row],[Calendar_h]]&gt;0),tblFleet[[#This Row],[Available_h]]/tblFleet[[#This Row],[Calendar_h]],"")</f>
        <v/>
      </c>
      <c r="J94" s="60">
        <f>IF(AND(tblFleet[[#This Row],[Units]]&lt;&gt;"",tblFleet[[#This Row],[Available_h]]&gt;0),tblFleet[[#This Row],[Operating_h]]/tblFleet[[#This Row],[Available_h]],"")</f>
        <v/>
      </c>
    </row>
    <row r="95">
      <c r="A95" s="54" t="n"/>
      <c r="B95" s="61" t="n"/>
      <c r="C95" s="62" t="n"/>
      <c r="D95" s="57" t="n"/>
      <c r="E95" s="57" t="n"/>
      <c r="F95" s="58" t="n"/>
      <c r="G95" s="66">
        <f>IF(tblFleet[[#This Row],[Units]]="","",tblFleet[[#This Row],[Units]]*cfg_HoursPerDay)</f>
        <v/>
      </c>
      <c r="H95" s="66">
        <f>IF(tblFleet[[#This Row],[Units]]="","",tblFleet[[#This Row],[Calendar_h]]-tblFleet[[#This Row],[Down_h]])</f>
        <v/>
      </c>
      <c r="I95" s="60">
        <f>IF(AND(tblFleet[[#This Row],[Units]]&lt;&gt;"",tblFleet[[#This Row],[Calendar_h]]&gt;0),tblFleet[[#This Row],[Available_h]]/tblFleet[[#This Row],[Calendar_h]],"")</f>
        <v/>
      </c>
      <c r="J95" s="60">
        <f>IF(AND(tblFleet[[#This Row],[Units]]&lt;&gt;"",tblFleet[[#This Row],[Available_h]]&gt;0),tblFleet[[#This Row],[Operating_h]]/tblFleet[[#This Row],[Available_h]],"")</f>
        <v/>
      </c>
    </row>
    <row r="96">
      <c r="A96" s="54" t="n"/>
      <c r="B96" s="61" t="n"/>
      <c r="C96" s="62" t="n"/>
      <c r="D96" s="57" t="n"/>
      <c r="E96" s="57" t="n"/>
      <c r="F96" s="58" t="n"/>
      <c r="G96" s="66">
        <f>IF(tblFleet[[#This Row],[Units]]="","",tblFleet[[#This Row],[Units]]*cfg_HoursPerDay)</f>
        <v/>
      </c>
      <c r="H96" s="66">
        <f>IF(tblFleet[[#This Row],[Units]]="","",tblFleet[[#This Row],[Calendar_h]]-tblFleet[[#This Row],[Down_h]])</f>
        <v/>
      </c>
      <c r="I96" s="60">
        <f>IF(AND(tblFleet[[#This Row],[Units]]&lt;&gt;"",tblFleet[[#This Row],[Calendar_h]]&gt;0),tblFleet[[#This Row],[Available_h]]/tblFleet[[#This Row],[Calendar_h]],"")</f>
        <v/>
      </c>
      <c r="J96" s="60">
        <f>IF(AND(tblFleet[[#This Row],[Units]]&lt;&gt;"",tblFleet[[#This Row],[Available_h]]&gt;0),tblFleet[[#This Row],[Operating_h]]/tblFleet[[#This Row],[Available_h]],"")</f>
        <v/>
      </c>
    </row>
    <row r="97">
      <c r="A97" s="54" t="n"/>
      <c r="B97" s="61" t="n"/>
      <c r="C97" s="62" t="n"/>
      <c r="D97" s="57" t="n"/>
      <c r="E97" s="57" t="n"/>
      <c r="F97" s="58" t="n"/>
      <c r="G97" s="66">
        <f>IF(tblFleet[[#This Row],[Units]]="","",tblFleet[[#This Row],[Units]]*cfg_HoursPerDay)</f>
        <v/>
      </c>
      <c r="H97" s="66">
        <f>IF(tblFleet[[#This Row],[Units]]="","",tblFleet[[#This Row],[Calendar_h]]-tblFleet[[#This Row],[Down_h]])</f>
        <v/>
      </c>
      <c r="I97" s="60">
        <f>IF(AND(tblFleet[[#This Row],[Units]]&lt;&gt;"",tblFleet[[#This Row],[Calendar_h]]&gt;0),tblFleet[[#This Row],[Available_h]]/tblFleet[[#This Row],[Calendar_h]],"")</f>
        <v/>
      </c>
      <c r="J97" s="60">
        <f>IF(AND(tblFleet[[#This Row],[Units]]&lt;&gt;"",tblFleet[[#This Row],[Available_h]]&gt;0),tblFleet[[#This Row],[Operating_h]]/tblFleet[[#This Row],[Available_h]],"")</f>
        <v/>
      </c>
    </row>
    <row r="98">
      <c r="A98" s="54" t="n"/>
      <c r="B98" s="61" t="n"/>
      <c r="C98" s="62" t="n"/>
      <c r="D98" s="57" t="n"/>
      <c r="E98" s="57" t="n"/>
      <c r="F98" s="58" t="n"/>
      <c r="G98" s="66">
        <f>IF(tblFleet[[#This Row],[Units]]="","",tblFleet[[#This Row],[Units]]*cfg_HoursPerDay)</f>
        <v/>
      </c>
      <c r="H98" s="66">
        <f>IF(tblFleet[[#This Row],[Units]]="","",tblFleet[[#This Row],[Calendar_h]]-tblFleet[[#This Row],[Down_h]])</f>
        <v/>
      </c>
      <c r="I98" s="60">
        <f>IF(AND(tblFleet[[#This Row],[Units]]&lt;&gt;"",tblFleet[[#This Row],[Calendar_h]]&gt;0),tblFleet[[#This Row],[Available_h]]/tblFleet[[#This Row],[Calendar_h]],"")</f>
        <v/>
      </c>
      <c r="J98" s="60">
        <f>IF(AND(tblFleet[[#This Row],[Units]]&lt;&gt;"",tblFleet[[#This Row],[Available_h]]&gt;0),tblFleet[[#This Row],[Operating_h]]/tblFleet[[#This Row],[Available_h]],"")</f>
        <v/>
      </c>
    </row>
    <row r="99">
      <c r="A99" s="54" t="n"/>
      <c r="B99" s="61" t="n"/>
      <c r="C99" s="62" t="n"/>
      <c r="D99" s="57" t="n"/>
      <c r="E99" s="57" t="n"/>
      <c r="F99" s="58" t="n"/>
      <c r="G99" s="66">
        <f>IF(tblFleet[[#This Row],[Units]]="","",tblFleet[[#This Row],[Units]]*cfg_HoursPerDay)</f>
        <v/>
      </c>
      <c r="H99" s="66">
        <f>IF(tblFleet[[#This Row],[Units]]="","",tblFleet[[#This Row],[Calendar_h]]-tblFleet[[#This Row],[Down_h]])</f>
        <v/>
      </c>
      <c r="I99" s="60">
        <f>IF(AND(tblFleet[[#This Row],[Units]]&lt;&gt;"",tblFleet[[#This Row],[Calendar_h]]&gt;0),tblFleet[[#This Row],[Available_h]]/tblFleet[[#This Row],[Calendar_h]],"")</f>
        <v/>
      </c>
      <c r="J99" s="60">
        <f>IF(AND(tblFleet[[#This Row],[Units]]&lt;&gt;"",tblFleet[[#This Row],[Available_h]]&gt;0),tblFleet[[#This Row],[Operating_h]]/tblFleet[[#This Row],[Available_h]],"")</f>
        <v/>
      </c>
    </row>
    <row r="100">
      <c r="A100" s="54" t="n"/>
      <c r="B100" s="61" t="n"/>
      <c r="C100" s="62" t="n"/>
      <c r="D100" s="57" t="n"/>
      <c r="E100" s="57" t="n"/>
      <c r="F100" s="58" t="n"/>
      <c r="G100" s="66">
        <f>IF(tblFleet[[#This Row],[Units]]="","",tblFleet[[#This Row],[Units]]*cfg_HoursPerDay)</f>
        <v/>
      </c>
      <c r="H100" s="66">
        <f>IF(tblFleet[[#This Row],[Units]]="","",tblFleet[[#This Row],[Calendar_h]]-tblFleet[[#This Row],[Down_h]])</f>
        <v/>
      </c>
      <c r="I100" s="60">
        <f>IF(AND(tblFleet[[#This Row],[Units]]&lt;&gt;"",tblFleet[[#This Row],[Calendar_h]]&gt;0),tblFleet[[#This Row],[Available_h]]/tblFleet[[#This Row],[Calendar_h]],"")</f>
        <v/>
      </c>
      <c r="J100" s="60">
        <f>IF(AND(tblFleet[[#This Row],[Units]]&lt;&gt;"",tblFleet[[#This Row],[Available_h]]&gt;0),tblFleet[[#This Row],[Operating_h]]/tblFleet[[#This Row],[Available_h]],"")</f>
        <v/>
      </c>
    </row>
    <row r="101">
      <c r="A101" s="54" t="n"/>
      <c r="B101" s="61" t="n"/>
      <c r="C101" s="62" t="n"/>
      <c r="D101" s="57" t="n"/>
      <c r="E101" s="57" t="n"/>
      <c r="F101" s="58" t="n"/>
      <c r="G101" s="66">
        <f>IF(tblFleet[[#This Row],[Units]]="","",tblFleet[[#This Row],[Units]]*cfg_HoursPerDay)</f>
        <v/>
      </c>
      <c r="H101" s="66">
        <f>IF(tblFleet[[#This Row],[Units]]="","",tblFleet[[#This Row],[Calendar_h]]-tblFleet[[#This Row],[Down_h]])</f>
        <v/>
      </c>
      <c r="I101" s="60">
        <f>IF(AND(tblFleet[[#This Row],[Units]]&lt;&gt;"",tblFleet[[#This Row],[Calendar_h]]&gt;0),tblFleet[[#This Row],[Available_h]]/tblFleet[[#This Row],[Calendar_h]],"")</f>
        <v/>
      </c>
      <c r="J101" s="60">
        <f>IF(AND(tblFleet[[#This Row],[Units]]&lt;&gt;"",tblFleet[[#This Row],[Available_h]]&gt;0),tblFleet[[#This Row],[Operating_h]]/tblFleet[[#This Row],[Available_h]],"")</f>
        <v/>
      </c>
    </row>
    <row r="102">
      <c r="A102" s="54" t="n"/>
      <c r="B102" s="61" t="n"/>
      <c r="C102" s="62" t="n"/>
      <c r="D102" s="57" t="n"/>
      <c r="E102" s="57" t="n"/>
      <c r="F102" s="58" t="n"/>
      <c r="G102" s="66">
        <f>IF(tblFleet[[#This Row],[Units]]="","",tblFleet[[#This Row],[Units]]*cfg_HoursPerDay)</f>
        <v/>
      </c>
      <c r="H102" s="66">
        <f>IF(tblFleet[[#This Row],[Units]]="","",tblFleet[[#This Row],[Calendar_h]]-tblFleet[[#This Row],[Down_h]])</f>
        <v/>
      </c>
      <c r="I102" s="60">
        <f>IF(AND(tblFleet[[#This Row],[Units]]&lt;&gt;"",tblFleet[[#This Row],[Calendar_h]]&gt;0),tblFleet[[#This Row],[Available_h]]/tblFleet[[#This Row],[Calendar_h]],"")</f>
        <v/>
      </c>
      <c r="J102" s="60">
        <f>IF(AND(tblFleet[[#This Row],[Units]]&lt;&gt;"",tblFleet[[#This Row],[Available_h]]&gt;0),tblFleet[[#This Row],[Operating_h]]/tblFleet[[#This Row],[Available_h]],"")</f>
        <v/>
      </c>
    </row>
    <row r="103">
      <c r="A103" s="54" t="n"/>
      <c r="B103" s="61" t="n"/>
      <c r="C103" s="62" t="n"/>
      <c r="D103" s="57" t="n"/>
      <c r="E103" s="57" t="n"/>
      <c r="F103" s="58" t="n"/>
      <c r="G103" s="66">
        <f>IF(tblFleet[[#This Row],[Units]]="","",tblFleet[[#This Row],[Units]]*cfg_HoursPerDay)</f>
        <v/>
      </c>
      <c r="H103" s="66">
        <f>IF(tblFleet[[#This Row],[Units]]="","",tblFleet[[#This Row],[Calendar_h]]-tblFleet[[#This Row],[Down_h]])</f>
        <v/>
      </c>
      <c r="I103" s="60">
        <f>IF(AND(tblFleet[[#This Row],[Units]]&lt;&gt;"",tblFleet[[#This Row],[Calendar_h]]&gt;0),tblFleet[[#This Row],[Available_h]]/tblFleet[[#This Row],[Calendar_h]],"")</f>
        <v/>
      </c>
      <c r="J103" s="60">
        <f>IF(AND(tblFleet[[#This Row],[Units]]&lt;&gt;"",tblFleet[[#This Row],[Available_h]]&gt;0),tblFleet[[#This Row],[Operating_h]]/tblFleet[[#This Row],[Available_h]],"")</f>
        <v/>
      </c>
    </row>
    <row r="104">
      <c r="A104" s="54" t="n"/>
      <c r="B104" s="61" t="n"/>
      <c r="C104" s="62" t="n"/>
      <c r="D104" s="57" t="n"/>
      <c r="E104" s="57" t="n"/>
      <c r="F104" s="58" t="n"/>
      <c r="G104" s="66">
        <f>IF(tblFleet[[#This Row],[Units]]="","",tblFleet[[#This Row],[Units]]*cfg_HoursPerDay)</f>
        <v/>
      </c>
      <c r="H104" s="66">
        <f>IF(tblFleet[[#This Row],[Units]]="","",tblFleet[[#This Row],[Calendar_h]]-tblFleet[[#This Row],[Down_h]])</f>
        <v/>
      </c>
      <c r="I104" s="60">
        <f>IF(AND(tblFleet[[#This Row],[Units]]&lt;&gt;"",tblFleet[[#This Row],[Calendar_h]]&gt;0),tblFleet[[#This Row],[Available_h]]/tblFleet[[#This Row],[Calendar_h]],"")</f>
        <v/>
      </c>
      <c r="J104" s="60">
        <f>IF(AND(tblFleet[[#This Row],[Units]]&lt;&gt;"",tblFleet[[#This Row],[Available_h]]&gt;0),tblFleet[[#This Row],[Operating_h]]/tblFleet[[#This Row],[Available_h]],"")</f>
        <v/>
      </c>
    </row>
    <row r="105">
      <c r="A105" s="54" t="n"/>
      <c r="B105" s="61" t="n"/>
      <c r="C105" s="62" t="n"/>
      <c r="D105" s="57" t="n"/>
      <c r="E105" s="57" t="n"/>
      <c r="F105" s="58" t="n"/>
      <c r="G105" s="66">
        <f>IF(tblFleet[[#This Row],[Units]]="","",tblFleet[[#This Row],[Units]]*cfg_HoursPerDay)</f>
        <v/>
      </c>
      <c r="H105" s="66">
        <f>IF(tblFleet[[#This Row],[Units]]="","",tblFleet[[#This Row],[Calendar_h]]-tblFleet[[#This Row],[Down_h]])</f>
        <v/>
      </c>
      <c r="I105" s="60">
        <f>IF(AND(tblFleet[[#This Row],[Units]]&lt;&gt;"",tblFleet[[#This Row],[Calendar_h]]&gt;0),tblFleet[[#This Row],[Available_h]]/tblFleet[[#This Row],[Calendar_h]],"")</f>
        <v/>
      </c>
      <c r="J105" s="60">
        <f>IF(AND(tblFleet[[#This Row],[Units]]&lt;&gt;"",tblFleet[[#This Row],[Available_h]]&gt;0),tblFleet[[#This Row],[Operating_h]]/tblFleet[[#This Row],[Available_h]],"")</f>
        <v/>
      </c>
    </row>
    <row r="106">
      <c r="A106" s="54" t="n"/>
      <c r="B106" s="61" t="n"/>
      <c r="C106" s="62" t="n"/>
      <c r="D106" s="57" t="n"/>
      <c r="E106" s="57" t="n"/>
      <c r="F106" s="58" t="n"/>
      <c r="G106" s="66">
        <f>IF(tblFleet[[#This Row],[Units]]="","",tblFleet[[#This Row],[Units]]*cfg_HoursPerDay)</f>
        <v/>
      </c>
      <c r="H106" s="66">
        <f>IF(tblFleet[[#This Row],[Units]]="","",tblFleet[[#This Row],[Calendar_h]]-tblFleet[[#This Row],[Down_h]])</f>
        <v/>
      </c>
      <c r="I106" s="60">
        <f>IF(AND(tblFleet[[#This Row],[Units]]&lt;&gt;"",tblFleet[[#This Row],[Calendar_h]]&gt;0),tblFleet[[#This Row],[Available_h]]/tblFleet[[#This Row],[Calendar_h]],"")</f>
        <v/>
      </c>
      <c r="J106" s="60">
        <f>IF(AND(tblFleet[[#This Row],[Units]]&lt;&gt;"",tblFleet[[#This Row],[Available_h]]&gt;0),tblFleet[[#This Row],[Operating_h]]/tblFleet[[#This Row],[Available_h]],"")</f>
        <v/>
      </c>
    </row>
    <row r="107">
      <c r="A107" s="54" t="n"/>
      <c r="B107" s="61" t="n"/>
      <c r="C107" s="62" t="n"/>
      <c r="D107" s="57" t="n"/>
      <c r="E107" s="57" t="n"/>
      <c r="F107" s="58" t="n"/>
      <c r="G107" s="66">
        <f>IF(tblFleet[[#This Row],[Units]]="","",tblFleet[[#This Row],[Units]]*cfg_HoursPerDay)</f>
        <v/>
      </c>
      <c r="H107" s="66">
        <f>IF(tblFleet[[#This Row],[Units]]="","",tblFleet[[#This Row],[Calendar_h]]-tblFleet[[#This Row],[Down_h]])</f>
        <v/>
      </c>
      <c r="I107" s="60">
        <f>IF(AND(tblFleet[[#This Row],[Units]]&lt;&gt;"",tblFleet[[#This Row],[Calendar_h]]&gt;0),tblFleet[[#This Row],[Available_h]]/tblFleet[[#This Row],[Calendar_h]],"")</f>
        <v/>
      </c>
      <c r="J107" s="60">
        <f>IF(AND(tblFleet[[#This Row],[Units]]&lt;&gt;"",tblFleet[[#This Row],[Available_h]]&gt;0),tblFleet[[#This Row],[Operating_h]]/tblFleet[[#This Row],[Available_h]],"")</f>
        <v/>
      </c>
    </row>
    <row r="108">
      <c r="A108" s="54" t="n"/>
      <c r="B108" s="61" t="n"/>
      <c r="C108" s="62" t="n"/>
      <c r="D108" s="57" t="n"/>
      <c r="E108" s="57" t="n"/>
      <c r="F108" s="58" t="n"/>
      <c r="G108" s="66">
        <f>IF(tblFleet[[#This Row],[Units]]="","",tblFleet[[#This Row],[Units]]*cfg_HoursPerDay)</f>
        <v/>
      </c>
      <c r="H108" s="66">
        <f>IF(tblFleet[[#This Row],[Units]]="","",tblFleet[[#This Row],[Calendar_h]]-tblFleet[[#This Row],[Down_h]])</f>
        <v/>
      </c>
      <c r="I108" s="60">
        <f>IF(AND(tblFleet[[#This Row],[Units]]&lt;&gt;"",tblFleet[[#This Row],[Calendar_h]]&gt;0),tblFleet[[#This Row],[Available_h]]/tblFleet[[#This Row],[Calendar_h]],"")</f>
        <v/>
      </c>
      <c r="J108" s="60">
        <f>IF(AND(tblFleet[[#This Row],[Units]]&lt;&gt;"",tblFleet[[#This Row],[Available_h]]&gt;0),tblFleet[[#This Row],[Operating_h]]/tblFleet[[#This Row],[Available_h]],"")</f>
        <v/>
      </c>
    </row>
    <row r="109">
      <c r="A109" s="54" t="n"/>
      <c r="B109" s="61" t="n"/>
      <c r="C109" s="62" t="n"/>
      <c r="D109" s="57" t="n"/>
      <c r="E109" s="57" t="n"/>
      <c r="F109" s="58" t="n"/>
      <c r="G109" s="66">
        <f>IF(tblFleet[[#This Row],[Units]]="","",tblFleet[[#This Row],[Units]]*cfg_HoursPerDay)</f>
        <v/>
      </c>
      <c r="H109" s="66">
        <f>IF(tblFleet[[#This Row],[Units]]="","",tblFleet[[#This Row],[Calendar_h]]-tblFleet[[#This Row],[Down_h]])</f>
        <v/>
      </c>
      <c r="I109" s="60">
        <f>IF(AND(tblFleet[[#This Row],[Units]]&lt;&gt;"",tblFleet[[#This Row],[Calendar_h]]&gt;0),tblFleet[[#This Row],[Available_h]]/tblFleet[[#This Row],[Calendar_h]],"")</f>
        <v/>
      </c>
      <c r="J109" s="60">
        <f>IF(AND(tblFleet[[#This Row],[Units]]&lt;&gt;"",tblFleet[[#This Row],[Available_h]]&gt;0),tblFleet[[#This Row],[Operating_h]]/tblFleet[[#This Row],[Available_h]],"")</f>
        <v/>
      </c>
    </row>
    <row r="110">
      <c r="A110" s="54" t="n"/>
      <c r="B110" s="61" t="n"/>
      <c r="C110" s="62" t="n"/>
      <c r="D110" s="57" t="n"/>
      <c r="E110" s="57" t="n"/>
      <c r="F110" s="58" t="n"/>
      <c r="G110" s="66">
        <f>IF(tblFleet[[#This Row],[Units]]="","",tblFleet[[#This Row],[Units]]*cfg_HoursPerDay)</f>
        <v/>
      </c>
      <c r="H110" s="66">
        <f>IF(tblFleet[[#This Row],[Units]]="","",tblFleet[[#This Row],[Calendar_h]]-tblFleet[[#This Row],[Down_h]])</f>
        <v/>
      </c>
      <c r="I110" s="60">
        <f>IF(AND(tblFleet[[#This Row],[Units]]&lt;&gt;"",tblFleet[[#This Row],[Calendar_h]]&gt;0),tblFleet[[#This Row],[Available_h]]/tblFleet[[#This Row],[Calendar_h]],"")</f>
        <v/>
      </c>
      <c r="J110" s="60">
        <f>IF(AND(tblFleet[[#This Row],[Units]]&lt;&gt;"",tblFleet[[#This Row],[Available_h]]&gt;0),tblFleet[[#This Row],[Operating_h]]/tblFleet[[#This Row],[Available_h]],"")</f>
        <v/>
      </c>
    </row>
    <row r="111">
      <c r="A111" s="54" t="n"/>
      <c r="B111" s="61" t="n"/>
      <c r="C111" s="62" t="n"/>
      <c r="D111" s="57" t="n"/>
      <c r="E111" s="57" t="n"/>
      <c r="F111" s="58" t="n"/>
      <c r="G111" s="66">
        <f>IF(tblFleet[[#This Row],[Units]]="","",tblFleet[[#This Row],[Units]]*cfg_HoursPerDay)</f>
        <v/>
      </c>
      <c r="H111" s="66">
        <f>IF(tblFleet[[#This Row],[Units]]="","",tblFleet[[#This Row],[Calendar_h]]-tblFleet[[#This Row],[Down_h]])</f>
        <v/>
      </c>
      <c r="I111" s="60">
        <f>IF(AND(tblFleet[[#This Row],[Units]]&lt;&gt;"",tblFleet[[#This Row],[Calendar_h]]&gt;0),tblFleet[[#This Row],[Available_h]]/tblFleet[[#This Row],[Calendar_h]],"")</f>
        <v/>
      </c>
      <c r="J111" s="60">
        <f>IF(AND(tblFleet[[#This Row],[Units]]&lt;&gt;"",tblFleet[[#This Row],[Available_h]]&gt;0),tblFleet[[#This Row],[Operating_h]]/tblFleet[[#This Row],[Available_h]],"")</f>
        <v/>
      </c>
    </row>
    <row r="112">
      <c r="A112" s="54" t="n"/>
      <c r="B112" s="61" t="n"/>
      <c r="C112" s="62" t="n"/>
      <c r="D112" s="57" t="n"/>
      <c r="E112" s="57" t="n"/>
      <c r="F112" s="58" t="n"/>
      <c r="G112" s="66">
        <f>IF(tblFleet[[#This Row],[Units]]="","",tblFleet[[#This Row],[Units]]*cfg_HoursPerDay)</f>
        <v/>
      </c>
      <c r="H112" s="66">
        <f>IF(tblFleet[[#This Row],[Units]]="","",tblFleet[[#This Row],[Calendar_h]]-tblFleet[[#This Row],[Down_h]])</f>
        <v/>
      </c>
      <c r="I112" s="60">
        <f>IF(AND(tblFleet[[#This Row],[Units]]&lt;&gt;"",tblFleet[[#This Row],[Calendar_h]]&gt;0),tblFleet[[#This Row],[Available_h]]/tblFleet[[#This Row],[Calendar_h]],"")</f>
        <v/>
      </c>
      <c r="J112" s="60">
        <f>IF(AND(tblFleet[[#This Row],[Units]]&lt;&gt;"",tblFleet[[#This Row],[Available_h]]&gt;0),tblFleet[[#This Row],[Operating_h]]/tblFleet[[#This Row],[Available_h]],"")</f>
        <v/>
      </c>
    </row>
    <row r="113">
      <c r="A113" s="54" t="n"/>
      <c r="B113" s="61" t="n"/>
      <c r="C113" s="62" t="n"/>
      <c r="D113" s="57" t="n"/>
      <c r="E113" s="57" t="n"/>
      <c r="F113" s="58" t="n"/>
      <c r="G113" s="66">
        <f>IF(tblFleet[[#This Row],[Units]]="","",tblFleet[[#This Row],[Units]]*cfg_HoursPerDay)</f>
        <v/>
      </c>
      <c r="H113" s="66">
        <f>IF(tblFleet[[#This Row],[Units]]="","",tblFleet[[#This Row],[Calendar_h]]-tblFleet[[#This Row],[Down_h]])</f>
        <v/>
      </c>
      <c r="I113" s="60">
        <f>IF(AND(tblFleet[[#This Row],[Units]]&lt;&gt;"",tblFleet[[#This Row],[Calendar_h]]&gt;0),tblFleet[[#This Row],[Available_h]]/tblFleet[[#This Row],[Calendar_h]],"")</f>
        <v/>
      </c>
      <c r="J113" s="60">
        <f>IF(AND(tblFleet[[#This Row],[Units]]&lt;&gt;"",tblFleet[[#This Row],[Available_h]]&gt;0),tblFleet[[#This Row],[Operating_h]]/tblFleet[[#This Row],[Available_h]],"")</f>
        <v/>
      </c>
    </row>
    <row r="114">
      <c r="A114" s="54" t="n"/>
      <c r="B114" s="61" t="n"/>
      <c r="C114" s="62" t="n"/>
      <c r="D114" s="57" t="n"/>
      <c r="E114" s="57" t="n"/>
      <c r="F114" s="58" t="n"/>
      <c r="G114" s="66">
        <f>IF(tblFleet[[#This Row],[Units]]="","",tblFleet[[#This Row],[Units]]*cfg_HoursPerDay)</f>
        <v/>
      </c>
      <c r="H114" s="66">
        <f>IF(tblFleet[[#This Row],[Units]]="","",tblFleet[[#This Row],[Calendar_h]]-tblFleet[[#This Row],[Down_h]])</f>
        <v/>
      </c>
      <c r="I114" s="60">
        <f>IF(AND(tblFleet[[#This Row],[Units]]&lt;&gt;"",tblFleet[[#This Row],[Calendar_h]]&gt;0),tblFleet[[#This Row],[Available_h]]/tblFleet[[#This Row],[Calendar_h]],"")</f>
        <v/>
      </c>
      <c r="J114" s="60">
        <f>IF(AND(tblFleet[[#This Row],[Units]]&lt;&gt;"",tblFleet[[#This Row],[Available_h]]&gt;0),tblFleet[[#This Row],[Operating_h]]/tblFleet[[#This Row],[Available_h]],"")</f>
        <v/>
      </c>
    </row>
    <row r="115">
      <c r="A115" s="54" t="n"/>
      <c r="B115" s="61" t="n"/>
      <c r="C115" s="62" t="n"/>
      <c r="D115" s="57" t="n"/>
      <c r="E115" s="57" t="n"/>
      <c r="F115" s="58" t="n"/>
      <c r="G115" s="66">
        <f>IF(tblFleet[[#This Row],[Units]]="","",tblFleet[[#This Row],[Units]]*cfg_HoursPerDay)</f>
        <v/>
      </c>
      <c r="H115" s="66">
        <f>IF(tblFleet[[#This Row],[Units]]="","",tblFleet[[#This Row],[Calendar_h]]-tblFleet[[#This Row],[Down_h]])</f>
        <v/>
      </c>
      <c r="I115" s="60">
        <f>IF(AND(tblFleet[[#This Row],[Units]]&lt;&gt;"",tblFleet[[#This Row],[Calendar_h]]&gt;0),tblFleet[[#This Row],[Available_h]]/tblFleet[[#This Row],[Calendar_h]],"")</f>
        <v/>
      </c>
      <c r="J115" s="60">
        <f>IF(AND(tblFleet[[#This Row],[Units]]&lt;&gt;"",tblFleet[[#This Row],[Available_h]]&gt;0),tblFleet[[#This Row],[Operating_h]]/tblFleet[[#This Row],[Available_h]],"")</f>
        <v/>
      </c>
    </row>
    <row r="116">
      <c r="A116" s="54" t="n"/>
      <c r="B116" s="61" t="n"/>
      <c r="C116" s="62" t="n"/>
      <c r="D116" s="57" t="n"/>
      <c r="E116" s="57" t="n"/>
      <c r="F116" s="58" t="n"/>
      <c r="G116" s="66">
        <f>IF(tblFleet[[#This Row],[Units]]="","",tblFleet[[#This Row],[Units]]*cfg_HoursPerDay)</f>
        <v/>
      </c>
      <c r="H116" s="66">
        <f>IF(tblFleet[[#This Row],[Units]]="","",tblFleet[[#This Row],[Calendar_h]]-tblFleet[[#This Row],[Down_h]])</f>
        <v/>
      </c>
      <c r="I116" s="60">
        <f>IF(AND(tblFleet[[#This Row],[Units]]&lt;&gt;"",tblFleet[[#This Row],[Calendar_h]]&gt;0),tblFleet[[#This Row],[Available_h]]/tblFleet[[#This Row],[Calendar_h]],"")</f>
        <v/>
      </c>
      <c r="J116" s="60">
        <f>IF(AND(tblFleet[[#This Row],[Units]]&lt;&gt;"",tblFleet[[#This Row],[Available_h]]&gt;0),tblFleet[[#This Row],[Operating_h]]/tblFleet[[#This Row],[Available_h]],"")</f>
        <v/>
      </c>
    </row>
    <row r="117">
      <c r="A117" s="54" t="n"/>
      <c r="B117" s="61" t="n"/>
      <c r="C117" s="62" t="n"/>
      <c r="D117" s="57" t="n"/>
      <c r="E117" s="57" t="n"/>
      <c r="F117" s="58" t="n"/>
      <c r="G117" s="66">
        <f>IF(tblFleet[[#This Row],[Units]]="","",tblFleet[[#This Row],[Units]]*cfg_HoursPerDay)</f>
        <v/>
      </c>
      <c r="H117" s="66">
        <f>IF(tblFleet[[#This Row],[Units]]="","",tblFleet[[#This Row],[Calendar_h]]-tblFleet[[#This Row],[Down_h]])</f>
        <v/>
      </c>
      <c r="I117" s="60">
        <f>IF(AND(tblFleet[[#This Row],[Units]]&lt;&gt;"",tblFleet[[#This Row],[Calendar_h]]&gt;0),tblFleet[[#This Row],[Available_h]]/tblFleet[[#This Row],[Calendar_h]],"")</f>
        <v/>
      </c>
      <c r="J117" s="60">
        <f>IF(AND(tblFleet[[#This Row],[Units]]&lt;&gt;"",tblFleet[[#This Row],[Available_h]]&gt;0),tblFleet[[#This Row],[Operating_h]]/tblFleet[[#This Row],[Available_h]],"")</f>
        <v/>
      </c>
    </row>
    <row r="118">
      <c r="A118" s="54" t="n"/>
      <c r="B118" s="61" t="n"/>
      <c r="C118" s="62" t="n"/>
      <c r="D118" s="57" t="n"/>
      <c r="E118" s="57" t="n"/>
      <c r="F118" s="58" t="n"/>
      <c r="G118" s="66">
        <f>IF(tblFleet[[#This Row],[Units]]="","",tblFleet[[#This Row],[Units]]*cfg_HoursPerDay)</f>
        <v/>
      </c>
      <c r="H118" s="66">
        <f>IF(tblFleet[[#This Row],[Units]]="","",tblFleet[[#This Row],[Calendar_h]]-tblFleet[[#This Row],[Down_h]])</f>
        <v/>
      </c>
      <c r="I118" s="60">
        <f>IF(AND(tblFleet[[#This Row],[Units]]&lt;&gt;"",tblFleet[[#This Row],[Calendar_h]]&gt;0),tblFleet[[#This Row],[Available_h]]/tblFleet[[#This Row],[Calendar_h]],"")</f>
        <v/>
      </c>
      <c r="J118" s="60">
        <f>IF(AND(tblFleet[[#This Row],[Units]]&lt;&gt;"",tblFleet[[#This Row],[Available_h]]&gt;0),tblFleet[[#This Row],[Operating_h]]/tblFleet[[#This Row],[Available_h]],"")</f>
        <v/>
      </c>
    </row>
    <row r="119">
      <c r="A119" s="54" t="n"/>
      <c r="B119" s="61" t="n"/>
      <c r="C119" s="62" t="n"/>
      <c r="D119" s="57" t="n"/>
      <c r="E119" s="57" t="n"/>
      <c r="F119" s="58" t="n"/>
      <c r="G119" s="66">
        <f>IF(tblFleet[[#This Row],[Units]]="","",tblFleet[[#This Row],[Units]]*cfg_HoursPerDay)</f>
        <v/>
      </c>
      <c r="H119" s="66">
        <f>IF(tblFleet[[#This Row],[Units]]="","",tblFleet[[#This Row],[Calendar_h]]-tblFleet[[#This Row],[Down_h]])</f>
        <v/>
      </c>
      <c r="I119" s="60">
        <f>IF(AND(tblFleet[[#This Row],[Units]]&lt;&gt;"",tblFleet[[#This Row],[Calendar_h]]&gt;0),tblFleet[[#This Row],[Available_h]]/tblFleet[[#This Row],[Calendar_h]],"")</f>
        <v/>
      </c>
      <c r="J119" s="60">
        <f>IF(AND(tblFleet[[#This Row],[Units]]&lt;&gt;"",tblFleet[[#This Row],[Available_h]]&gt;0),tblFleet[[#This Row],[Operating_h]]/tblFleet[[#This Row],[Available_h]],"")</f>
        <v/>
      </c>
    </row>
    <row r="120">
      <c r="A120" s="54" t="n"/>
      <c r="B120" s="61" t="n"/>
      <c r="C120" s="62" t="n"/>
      <c r="D120" s="57" t="n"/>
      <c r="E120" s="57" t="n"/>
      <c r="F120" s="58" t="n"/>
      <c r="G120" s="66">
        <f>IF(tblFleet[[#This Row],[Units]]="","",tblFleet[[#This Row],[Units]]*cfg_HoursPerDay)</f>
        <v/>
      </c>
      <c r="H120" s="66">
        <f>IF(tblFleet[[#This Row],[Units]]="","",tblFleet[[#This Row],[Calendar_h]]-tblFleet[[#This Row],[Down_h]])</f>
        <v/>
      </c>
      <c r="I120" s="60">
        <f>IF(AND(tblFleet[[#This Row],[Units]]&lt;&gt;"",tblFleet[[#This Row],[Calendar_h]]&gt;0),tblFleet[[#This Row],[Available_h]]/tblFleet[[#This Row],[Calendar_h]],"")</f>
        <v/>
      </c>
      <c r="J120" s="60">
        <f>IF(AND(tblFleet[[#This Row],[Units]]&lt;&gt;"",tblFleet[[#This Row],[Available_h]]&gt;0),tblFleet[[#This Row],[Operating_h]]/tblFleet[[#This Row],[Available_h]],"")</f>
        <v/>
      </c>
    </row>
    <row r="121">
      <c r="A121" s="54" t="n"/>
      <c r="B121" s="61" t="n"/>
      <c r="C121" s="62" t="n"/>
      <c r="D121" s="57" t="n"/>
      <c r="E121" s="57" t="n"/>
      <c r="F121" s="58" t="n"/>
      <c r="G121" s="66">
        <f>IF(tblFleet[[#This Row],[Units]]="","",tblFleet[[#This Row],[Units]]*cfg_HoursPerDay)</f>
        <v/>
      </c>
      <c r="H121" s="66">
        <f>IF(tblFleet[[#This Row],[Units]]="","",tblFleet[[#This Row],[Calendar_h]]-tblFleet[[#This Row],[Down_h]])</f>
        <v/>
      </c>
      <c r="I121" s="60">
        <f>IF(AND(tblFleet[[#This Row],[Units]]&lt;&gt;"",tblFleet[[#This Row],[Calendar_h]]&gt;0),tblFleet[[#This Row],[Available_h]]/tblFleet[[#This Row],[Calendar_h]],"")</f>
        <v/>
      </c>
      <c r="J121" s="60">
        <f>IF(AND(tblFleet[[#This Row],[Units]]&lt;&gt;"",tblFleet[[#This Row],[Available_h]]&gt;0),tblFleet[[#This Row],[Operating_h]]/tblFleet[[#This Row],[Available_h]],"")</f>
        <v/>
      </c>
    </row>
    <row r="122">
      <c r="A122" s="54" t="n"/>
      <c r="B122" s="61" t="n"/>
      <c r="C122" s="62" t="n"/>
      <c r="D122" s="57" t="n"/>
      <c r="E122" s="57" t="n"/>
      <c r="F122" s="58" t="n"/>
      <c r="G122" s="66">
        <f>IF(tblFleet[[#This Row],[Units]]="","",tblFleet[[#This Row],[Units]]*cfg_HoursPerDay)</f>
        <v/>
      </c>
      <c r="H122" s="66">
        <f>IF(tblFleet[[#This Row],[Units]]="","",tblFleet[[#This Row],[Calendar_h]]-tblFleet[[#This Row],[Down_h]])</f>
        <v/>
      </c>
      <c r="I122" s="60">
        <f>IF(AND(tblFleet[[#This Row],[Units]]&lt;&gt;"",tblFleet[[#This Row],[Calendar_h]]&gt;0),tblFleet[[#This Row],[Available_h]]/tblFleet[[#This Row],[Calendar_h]],"")</f>
        <v/>
      </c>
      <c r="J122" s="60">
        <f>IF(AND(tblFleet[[#This Row],[Units]]&lt;&gt;"",tblFleet[[#This Row],[Available_h]]&gt;0),tblFleet[[#This Row],[Operating_h]]/tblFleet[[#This Row],[Available_h]],"")</f>
        <v/>
      </c>
    </row>
    <row r="123">
      <c r="A123" s="54" t="n"/>
      <c r="B123" s="61" t="n"/>
      <c r="C123" s="62" t="n"/>
      <c r="D123" s="57" t="n"/>
      <c r="E123" s="57" t="n"/>
      <c r="F123" s="58" t="n"/>
      <c r="G123" s="66">
        <f>IF(tblFleet[[#This Row],[Units]]="","",tblFleet[[#This Row],[Units]]*cfg_HoursPerDay)</f>
        <v/>
      </c>
      <c r="H123" s="66">
        <f>IF(tblFleet[[#This Row],[Units]]="","",tblFleet[[#This Row],[Calendar_h]]-tblFleet[[#This Row],[Down_h]])</f>
        <v/>
      </c>
      <c r="I123" s="60">
        <f>IF(AND(tblFleet[[#This Row],[Units]]&lt;&gt;"",tblFleet[[#This Row],[Calendar_h]]&gt;0),tblFleet[[#This Row],[Available_h]]/tblFleet[[#This Row],[Calendar_h]],"")</f>
        <v/>
      </c>
      <c r="J123" s="60">
        <f>IF(AND(tblFleet[[#This Row],[Units]]&lt;&gt;"",tblFleet[[#This Row],[Available_h]]&gt;0),tblFleet[[#This Row],[Operating_h]]/tblFleet[[#This Row],[Available_h]],"")</f>
        <v/>
      </c>
    </row>
    <row r="124">
      <c r="A124" s="54" t="n"/>
      <c r="B124" s="61" t="n"/>
      <c r="C124" s="62" t="n"/>
      <c r="D124" s="57" t="n"/>
      <c r="E124" s="57" t="n"/>
      <c r="F124" s="58" t="n"/>
      <c r="G124" s="66">
        <f>IF(tblFleet[[#This Row],[Units]]="","",tblFleet[[#This Row],[Units]]*cfg_HoursPerDay)</f>
        <v/>
      </c>
      <c r="H124" s="66">
        <f>IF(tblFleet[[#This Row],[Units]]="","",tblFleet[[#This Row],[Calendar_h]]-tblFleet[[#This Row],[Down_h]])</f>
        <v/>
      </c>
      <c r="I124" s="60">
        <f>IF(AND(tblFleet[[#This Row],[Units]]&lt;&gt;"",tblFleet[[#This Row],[Calendar_h]]&gt;0),tblFleet[[#This Row],[Available_h]]/tblFleet[[#This Row],[Calendar_h]],"")</f>
        <v/>
      </c>
      <c r="J124" s="60">
        <f>IF(AND(tblFleet[[#This Row],[Units]]&lt;&gt;"",tblFleet[[#This Row],[Available_h]]&gt;0),tblFleet[[#This Row],[Operating_h]]/tblFleet[[#This Row],[Available_h]],"")</f>
        <v/>
      </c>
    </row>
    <row r="125">
      <c r="A125" s="54" t="n"/>
      <c r="B125" s="61" t="n"/>
      <c r="C125" s="62" t="n"/>
      <c r="D125" s="57" t="n"/>
      <c r="E125" s="57" t="n"/>
      <c r="F125" s="58" t="n"/>
      <c r="G125" s="66">
        <f>IF(tblFleet[[#This Row],[Units]]="","",tblFleet[[#This Row],[Units]]*cfg_HoursPerDay)</f>
        <v/>
      </c>
      <c r="H125" s="66">
        <f>IF(tblFleet[[#This Row],[Units]]="","",tblFleet[[#This Row],[Calendar_h]]-tblFleet[[#This Row],[Down_h]])</f>
        <v/>
      </c>
      <c r="I125" s="60">
        <f>IF(AND(tblFleet[[#This Row],[Units]]&lt;&gt;"",tblFleet[[#This Row],[Calendar_h]]&gt;0),tblFleet[[#This Row],[Available_h]]/tblFleet[[#This Row],[Calendar_h]],"")</f>
        <v/>
      </c>
      <c r="J125" s="60">
        <f>IF(AND(tblFleet[[#This Row],[Units]]&lt;&gt;"",tblFleet[[#This Row],[Available_h]]&gt;0),tblFleet[[#This Row],[Operating_h]]/tblFleet[[#This Row],[Available_h]],"")</f>
        <v/>
      </c>
    </row>
    <row r="126">
      <c r="A126" s="54" t="n"/>
      <c r="B126" s="61" t="n"/>
      <c r="C126" s="62" t="n"/>
      <c r="D126" s="57" t="n"/>
      <c r="E126" s="57" t="n"/>
      <c r="F126" s="58" t="n"/>
      <c r="G126" s="66">
        <f>IF(tblFleet[[#This Row],[Units]]="","",tblFleet[[#This Row],[Units]]*cfg_HoursPerDay)</f>
        <v/>
      </c>
      <c r="H126" s="66">
        <f>IF(tblFleet[[#This Row],[Units]]="","",tblFleet[[#This Row],[Calendar_h]]-tblFleet[[#This Row],[Down_h]])</f>
        <v/>
      </c>
      <c r="I126" s="60">
        <f>IF(AND(tblFleet[[#This Row],[Units]]&lt;&gt;"",tblFleet[[#This Row],[Calendar_h]]&gt;0),tblFleet[[#This Row],[Available_h]]/tblFleet[[#This Row],[Calendar_h]],"")</f>
        <v/>
      </c>
      <c r="J126" s="60">
        <f>IF(AND(tblFleet[[#This Row],[Units]]&lt;&gt;"",tblFleet[[#This Row],[Available_h]]&gt;0),tblFleet[[#This Row],[Operating_h]]/tblFleet[[#This Row],[Available_h]],"")</f>
        <v/>
      </c>
    </row>
    <row r="127">
      <c r="A127" s="54" t="n"/>
      <c r="B127" s="61" t="n"/>
      <c r="C127" s="62" t="n"/>
      <c r="D127" s="57" t="n"/>
      <c r="E127" s="57" t="n"/>
      <c r="F127" s="58" t="n"/>
      <c r="G127" s="66">
        <f>IF(tblFleet[[#This Row],[Units]]="","",tblFleet[[#This Row],[Units]]*cfg_HoursPerDay)</f>
        <v/>
      </c>
      <c r="H127" s="66">
        <f>IF(tblFleet[[#This Row],[Units]]="","",tblFleet[[#This Row],[Calendar_h]]-tblFleet[[#This Row],[Down_h]])</f>
        <v/>
      </c>
      <c r="I127" s="60">
        <f>IF(AND(tblFleet[[#This Row],[Units]]&lt;&gt;"",tblFleet[[#This Row],[Calendar_h]]&gt;0),tblFleet[[#This Row],[Available_h]]/tblFleet[[#This Row],[Calendar_h]],"")</f>
        <v/>
      </c>
      <c r="J127" s="60">
        <f>IF(AND(tblFleet[[#This Row],[Units]]&lt;&gt;"",tblFleet[[#This Row],[Available_h]]&gt;0),tblFleet[[#This Row],[Operating_h]]/tblFleet[[#This Row],[Available_h]],"")</f>
        <v/>
      </c>
    </row>
    <row r="128">
      <c r="A128" s="54" t="n"/>
      <c r="B128" s="61" t="n"/>
      <c r="C128" s="62" t="n"/>
      <c r="D128" s="57" t="n"/>
      <c r="E128" s="57" t="n"/>
      <c r="F128" s="58" t="n"/>
      <c r="G128" s="66">
        <f>IF(tblFleet[[#This Row],[Units]]="","",tblFleet[[#This Row],[Units]]*cfg_HoursPerDay)</f>
        <v/>
      </c>
      <c r="H128" s="66">
        <f>IF(tblFleet[[#This Row],[Units]]="","",tblFleet[[#This Row],[Calendar_h]]-tblFleet[[#This Row],[Down_h]])</f>
        <v/>
      </c>
      <c r="I128" s="60">
        <f>IF(AND(tblFleet[[#This Row],[Units]]&lt;&gt;"",tblFleet[[#This Row],[Calendar_h]]&gt;0),tblFleet[[#This Row],[Available_h]]/tblFleet[[#This Row],[Calendar_h]],"")</f>
        <v/>
      </c>
      <c r="J128" s="60">
        <f>IF(AND(tblFleet[[#This Row],[Units]]&lt;&gt;"",tblFleet[[#This Row],[Available_h]]&gt;0),tblFleet[[#This Row],[Operating_h]]/tblFleet[[#This Row],[Available_h]],"")</f>
        <v/>
      </c>
    </row>
    <row r="129">
      <c r="A129" s="54" t="n"/>
      <c r="B129" s="61" t="n"/>
      <c r="C129" s="62" t="n"/>
      <c r="D129" s="57" t="n"/>
      <c r="E129" s="57" t="n"/>
      <c r="F129" s="58" t="n"/>
      <c r="G129" s="66">
        <f>IF(tblFleet[[#This Row],[Units]]="","",tblFleet[[#This Row],[Units]]*cfg_HoursPerDay)</f>
        <v/>
      </c>
      <c r="H129" s="66">
        <f>IF(tblFleet[[#This Row],[Units]]="","",tblFleet[[#This Row],[Calendar_h]]-tblFleet[[#This Row],[Down_h]])</f>
        <v/>
      </c>
      <c r="I129" s="60">
        <f>IF(AND(tblFleet[[#This Row],[Units]]&lt;&gt;"",tblFleet[[#This Row],[Calendar_h]]&gt;0),tblFleet[[#This Row],[Available_h]]/tblFleet[[#This Row],[Calendar_h]],"")</f>
        <v/>
      </c>
      <c r="J129" s="60">
        <f>IF(AND(tblFleet[[#This Row],[Units]]&lt;&gt;"",tblFleet[[#This Row],[Available_h]]&gt;0),tblFleet[[#This Row],[Operating_h]]/tblFleet[[#This Row],[Available_h]],"")</f>
        <v/>
      </c>
    </row>
    <row r="130">
      <c r="A130" s="54" t="n"/>
      <c r="B130" s="61" t="n"/>
      <c r="C130" s="62" t="n"/>
      <c r="D130" s="57" t="n"/>
      <c r="E130" s="57" t="n"/>
      <c r="F130" s="58" t="n"/>
      <c r="G130" s="66">
        <f>IF(tblFleet[[#This Row],[Units]]="","",tblFleet[[#This Row],[Units]]*cfg_HoursPerDay)</f>
        <v/>
      </c>
      <c r="H130" s="66">
        <f>IF(tblFleet[[#This Row],[Units]]="","",tblFleet[[#This Row],[Calendar_h]]-tblFleet[[#This Row],[Down_h]])</f>
        <v/>
      </c>
      <c r="I130" s="60">
        <f>IF(AND(tblFleet[[#This Row],[Units]]&lt;&gt;"",tblFleet[[#This Row],[Calendar_h]]&gt;0),tblFleet[[#This Row],[Available_h]]/tblFleet[[#This Row],[Calendar_h]],"")</f>
        <v/>
      </c>
      <c r="J130" s="60">
        <f>IF(AND(tblFleet[[#This Row],[Units]]&lt;&gt;"",tblFleet[[#This Row],[Available_h]]&gt;0),tblFleet[[#This Row],[Operating_h]]/tblFleet[[#This Row],[Available_h]],"")</f>
        <v/>
      </c>
    </row>
    <row r="131">
      <c r="A131" s="54" t="n"/>
      <c r="B131" s="61" t="n"/>
      <c r="C131" s="62" t="n"/>
      <c r="D131" s="57" t="n"/>
      <c r="E131" s="57" t="n"/>
      <c r="F131" s="58" t="n"/>
      <c r="G131" s="66">
        <f>IF(tblFleet[[#This Row],[Units]]="","",tblFleet[[#This Row],[Units]]*cfg_HoursPerDay)</f>
        <v/>
      </c>
      <c r="H131" s="66">
        <f>IF(tblFleet[[#This Row],[Units]]="","",tblFleet[[#This Row],[Calendar_h]]-tblFleet[[#This Row],[Down_h]])</f>
        <v/>
      </c>
      <c r="I131" s="60">
        <f>IF(AND(tblFleet[[#This Row],[Units]]&lt;&gt;"",tblFleet[[#This Row],[Calendar_h]]&gt;0),tblFleet[[#This Row],[Available_h]]/tblFleet[[#This Row],[Calendar_h]],"")</f>
        <v/>
      </c>
      <c r="J131" s="60">
        <f>IF(AND(tblFleet[[#This Row],[Units]]&lt;&gt;"",tblFleet[[#This Row],[Available_h]]&gt;0),tblFleet[[#This Row],[Operating_h]]/tblFleet[[#This Row],[Available_h]],"")</f>
        <v/>
      </c>
    </row>
    <row r="132">
      <c r="A132" s="54" t="n"/>
      <c r="B132" s="61" t="n"/>
      <c r="C132" s="62" t="n"/>
      <c r="D132" s="57" t="n"/>
      <c r="E132" s="57" t="n"/>
      <c r="F132" s="58" t="n"/>
      <c r="G132" s="66">
        <f>IF(tblFleet[[#This Row],[Units]]="","",tblFleet[[#This Row],[Units]]*cfg_HoursPerDay)</f>
        <v/>
      </c>
      <c r="H132" s="66">
        <f>IF(tblFleet[[#This Row],[Units]]="","",tblFleet[[#This Row],[Calendar_h]]-tblFleet[[#This Row],[Down_h]])</f>
        <v/>
      </c>
      <c r="I132" s="60">
        <f>IF(AND(tblFleet[[#This Row],[Units]]&lt;&gt;"",tblFleet[[#This Row],[Calendar_h]]&gt;0),tblFleet[[#This Row],[Available_h]]/tblFleet[[#This Row],[Calendar_h]],"")</f>
        <v/>
      </c>
      <c r="J132" s="60">
        <f>IF(AND(tblFleet[[#This Row],[Units]]&lt;&gt;"",tblFleet[[#This Row],[Available_h]]&gt;0),tblFleet[[#This Row],[Operating_h]]/tblFleet[[#This Row],[Available_h]],"")</f>
        <v/>
      </c>
    </row>
    <row r="133">
      <c r="A133" s="54" t="n"/>
      <c r="B133" s="61" t="n"/>
      <c r="C133" s="62" t="n"/>
      <c r="D133" s="57" t="n"/>
      <c r="E133" s="57" t="n"/>
      <c r="F133" s="58" t="n"/>
      <c r="G133" s="66">
        <f>IF(tblFleet[[#This Row],[Units]]="","",tblFleet[[#This Row],[Units]]*cfg_HoursPerDay)</f>
        <v/>
      </c>
      <c r="H133" s="66">
        <f>IF(tblFleet[[#This Row],[Units]]="","",tblFleet[[#This Row],[Calendar_h]]-tblFleet[[#This Row],[Down_h]])</f>
        <v/>
      </c>
      <c r="I133" s="60">
        <f>IF(AND(tblFleet[[#This Row],[Units]]&lt;&gt;"",tblFleet[[#This Row],[Calendar_h]]&gt;0),tblFleet[[#This Row],[Available_h]]/tblFleet[[#This Row],[Calendar_h]],"")</f>
        <v/>
      </c>
      <c r="J133" s="60">
        <f>IF(AND(tblFleet[[#This Row],[Units]]&lt;&gt;"",tblFleet[[#This Row],[Available_h]]&gt;0),tblFleet[[#This Row],[Operating_h]]/tblFleet[[#This Row],[Available_h]],"")</f>
        <v/>
      </c>
    </row>
    <row r="134">
      <c r="A134" s="54" t="n"/>
      <c r="B134" s="61" t="n"/>
      <c r="C134" s="62" t="n"/>
      <c r="D134" s="57" t="n"/>
      <c r="E134" s="57" t="n"/>
      <c r="F134" s="58" t="n"/>
      <c r="G134" s="66">
        <f>IF(tblFleet[[#This Row],[Units]]="","",tblFleet[[#This Row],[Units]]*cfg_HoursPerDay)</f>
        <v/>
      </c>
      <c r="H134" s="66">
        <f>IF(tblFleet[[#This Row],[Units]]="","",tblFleet[[#This Row],[Calendar_h]]-tblFleet[[#This Row],[Down_h]])</f>
        <v/>
      </c>
      <c r="I134" s="60">
        <f>IF(AND(tblFleet[[#This Row],[Units]]&lt;&gt;"",tblFleet[[#This Row],[Calendar_h]]&gt;0),tblFleet[[#This Row],[Available_h]]/tblFleet[[#This Row],[Calendar_h]],"")</f>
        <v/>
      </c>
      <c r="J134" s="60">
        <f>IF(AND(tblFleet[[#This Row],[Units]]&lt;&gt;"",tblFleet[[#This Row],[Available_h]]&gt;0),tblFleet[[#This Row],[Operating_h]]/tblFleet[[#This Row],[Available_h]],"")</f>
        <v/>
      </c>
    </row>
    <row r="135">
      <c r="A135" s="54" t="n"/>
      <c r="B135" s="61" t="n"/>
      <c r="C135" s="62" t="n"/>
      <c r="D135" s="57" t="n"/>
      <c r="E135" s="57" t="n"/>
      <c r="F135" s="58" t="n"/>
      <c r="G135" s="66">
        <f>IF(tblFleet[[#This Row],[Units]]="","",tblFleet[[#This Row],[Units]]*cfg_HoursPerDay)</f>
        <v/>
      </c>
      <c r="H135" s="66">
        <f>IF(tblFleet[[#This Row],[Units]]="","",tblFleet[[#This Row],[Calendar_h]]-tblFleet[[#This Row],[Down_h]])</f>
        <v/>
      </c>
      <c r="I135" s="60">
        <f>IF(AND(tblFleet[[#This Row],[Units]]&lt;&gt;"",tblFleet[[#This Row],[Calendar_h]]&gt;0),tblFleet[[#This Row],[Available_h]]/tblFleet[[#This Row],[Calendar_h]],"")</f>
        <v/>
      </c>
      <c r="J135" s="60">
        <f>IF(AND(tblFleet[[#This Row],[Units]]&lt;&gt;"",tblFleet[[#This Row],[Available_h]]&gt;0),tblFleet[[#This Row],[Operating_h]]/tblFleet[[#This Row],[Available_h]],"")</f>
        <v/>
      </c>
    </row>
    <row r="136">
      <c r="A136" s="54" t="n"/>
      <c r="B136" s="61" t="n"/>
      <c r="C136" s="62" t="n"/>
      <c r="D136" s="57" t="n"/>
      <c r="E136" s="57" t="n"/>
      <c r="F136" s="58" t="n"/>
      <c r="G136" s="66">
        <f>IF(tblFleet[[#This Row],[Units]]="","",tblFleet[[#This Row],[Units]]*cfg_HoursPerDay)</f>
        <v/>
      </c>
      <c r="H136" s="66">
        <f>IF(tblFleet[[#This Row],[Units]]="","",tblFleet[[#This Row],[Calendar_h]]-tblFleet[[#This Row],[Down_h]])</f>
        <v/>
      </c>
      <c r="I136" s="60">
        <f>IF(AND(tblFleet[[#This Row],[Units]]&lt;&gt;"",tblFleet[[#This Row],[Calendar_h]]&gt;0),tblFleet[[#This Row],[Available_h]]/tblFleet[[#This Row],[Calendar_h]],"")</f>
        <v/>
      </c>
      <c r="J136" s="60">
        <f>IF(AND(tblFleet[[#This Row],[Units]]&lt;&gt;"",tblFleet[[#This Row],[Available_h]]&gt;0),tblFleet[[#This Row],[Operating_h]]/tblFleet[[#This Row],[Available_h]],"")</f>
        <v/>
      </c>
    </row>
    <row r="137">
      <c r="A137" s="54" t="n"/>
      <c r="B137" s="61" t="n"/>
      <c r="C137" s="62" t="n"/>
      <c r="D137" s="57" t="n"/>
      <c r="E137" s="57" t="n"/>
      <c r="F137" s="58" t="n"/>
      <c r="G137" s="66">
        <f>IF(tblFleet[[#This Row],[Units]]="","",tblFleet[[#This Row],[Units]]*cfg_HoursPerDay)</f>
        <v/>
      </c>
      <c r="H137" s="66">
        <f>IF(tblFleet[[#This Row],[Units]]="","",tblFleet[[#This Row],[Calendar_h]]-tblFleet[[#This Row],[Down_h]])</f>
        <v/>
      </c>
      <c r="I137" s="60">
        <f>IF(AND(tblFleet[[#This Row],[Units]]&lt;&gt;"",tblFleet[[#This Row],[Calendar_h]]&gt;0),tblFleet[[#This Row],[Available_h]]/tblFleet[[#This Row],[Calendar_h]],"")</f>
        <v/>
      </c>
      <c r="J137" s="60">
        <f>IF(AND(tblFleet[[#This Row],[Units]]&lt;&gt;"",tblFleet[[#This Row],[Available_h]]&gt;0),tblFleet[[#This Row],[Operating_h]]/tblFleet[[#This Row],[Available_h]],"")</f>
        <v/>
      </c>
    </row>
    <row r="138">
      <c r="A138" s="54" t="n"/>
      <c r="B138" s="61" t="n"/>
      <c r="C138" s="62" t="n"/>
      <c r="D138" s="57" t="n"/>
      <c r="E138" s="57" t="n"/>
      <c r="F138" s="58" t="n"/>
      <c r="G138" s="66">
        <f>IF(tblFleet[[#This Row],[Units]]="","",tblFleet[[#This Row],[Units]]*cfg_HoursPerDay)</f>
        <v/>
      </c>
      <c r="H138" s="66">
        <f>IF(tblFleet[[#This Row],[Units]]="","",tblFleet[[#This Row],[Calendar_h]]-tblFleet[[#This Row],[Down_h]])</f>
        <v/>
      </c>
      <c r="I138" s="60">
        <f>IF(AND(tblFleet[[#This Row],[Units]]&lt;&gt;"",tblFleet[[#This Row],[Calendar_h]]&gt;0),tblFleet[[#This Row],[Available_h]]/tblFleet[[#This Row],[Calendar_h]],"")</f>
        <v/>
      </c>
      <c r="J138" s="60">
        <f>IF(AND(tblFleet[[#This Row],[Units]]&lt;&gt;"",tblFleet[[#This Row],[Available_h]]&gt;0),tblFleet[[#This Row],[Operating_h]]/tblFleet[[#This Row],[Available_h]],"")</f>
        <v/>
      </c>
    </row>
    <row r="139">
      <c r="A139" s="54" t="n"/>
      <c r="B139" s="61" t="n"/>
      <c r="C139" s="62" t="n"/>
      <c r="D139" s="57" t="n"/>
      <c r="E139" s="57" t="n"/>
      <c r="F139" s="58" t="n"/>
      <c r="G139" s="66">
        <f>IF(tblFleet[[#This Row],[Units]]="","",tblFleet[[#This Row],[Units]]*cfg_HoursPerDay)</f>
        <v/>
      </c>
      <c r="H139" s="66">
        <f>IF(tblFleet[[#This Row],[Units]]="","",tblFleet[[#This Row],[Calendar_h]]-tblFleet[[#This Row],[Down_h]])</f>
        <v/>
      </c>
      <c r="I139" s="60">
        <f>IF(AND(tblFleet[[#This Row],[Units]]&lt;&gt;"",tblFleet[[#This Row],[Calendar_h]]&gt;0),tblFleet[[#This Row],[Available_h]]/tblFleet[[#This Row],[Calendar_h]],"")</f>
        <v/>
      </c>
      <c r="J139" s="60">
        <f>IF(AND(tblFleet[[#This Row],[Units]]&lt;&gt;"",tblFleet[[#This Row],[Available_h]]&gt;0),tblFleet[[#This Row],[Operating_h]]/tblFleet[[#This Row],[Available_h]],"")</f>
        <v/>
      </c>
    </row>
    <row r="140">
      <c r="A140" s="54" t="n"/>
      <c r="B140" s="61" t="n"/>
      <c r="C140" s="62" t="n"/>
      <c r="D140" s="57" t="n"/>
      <c r="E140" s="57" t="n"/>
      <c r="F140" s="58" t="n"/>
      <c r="G140" s="66">
        <f>IF(tblFleet[[#This Row],[Units]]="","",tblFleet[[#This Row],[Units]]*cfg_HoursPerDay)</f>
        <v/>
      </c>
      <c r="H140" s="66">
        <f>IF(tblFleet[[#This Row],[Units]]="","",tblFleet[[#This Row],[Calendar_h]]-tblFleet[[#This Row],[Down_h]])</f>
        <v/>
      </c>
      <c r="I140" s="60">
        <f>IF(AND(tblFleet[[#This Row],[Units]]&lt;&gt;"",tblFleet[[#This Row],[Calendar_h]]&gt;0),tblFleet[[#This Row],[Available_h]]/tblFleet[[#This Row],[Calendar_h]],"")</f>
        <v/>
      </c>
      <c r="J140" s="60">
        <f>IF(AND(tblFleet[[#This Row],[Units]]&lt;&gt;"",tblFleet[[#This Row],[Available_h]]&gt;0),tblFleet[[#This Row],[Operating_h]]/tblFleet[[#This Row],[Available_h]],"")</f>
        <v/>
      </c>
    </row>
    <row r="141">
      <c r="A141" s="54" t="n"/>
      <c r="B141" s="61" t="n"/>
      <c r="C141" s="62" t="n"/>
      <c r="D141" s="57" t="n"/>
      <c r="E141" s="57" t="n"/>
      <c r="F141" s="58" t="n"/>
      <c r="G141" s="66">
        <f>IF(tblFleet[[#This Row],[Units]]="","",tblFleet[[#This Row],[Units]]*cfg_HoursPerDay)</f>
        <v/>
      </c>
      <c r="H141" s="66">
        <f>IF(tblFleet[[#This Row],[Units]]="","",tblFleet[[#This Row],[Calendar_h]]-tblFleet[[#This Row],[Down_h]])</f>
        <v/>
      </c>
      <c r="I141" s="60">
        <f>IF(AND(tblFleet[[#This Row],[Units]]&lt;&gt;"",tblFleet[[#This Row],[Calendar_h]]&gt;0),tblFleet[[#This Row],[Available_h]]/tblFleet[[#This Row],[Calendar_h]],"")</f>
        <v/>
      </c>
      <c r="J141" s="60">
        <f>IF(AND(tblFleet[[#This Row],[Units]]&lt;&gt;"",tblFleet[[#This Row],[Available_h]]&gt;0),tblFleet[[#This Row],[Operating_h]]/tblFleet[[#This Row],[Available_h]],"")</f>
        <v/>
      </c>
    </row>
    <row r="142">
      <c r="A142" s="54" t="n"/>
      <c r="B142" s="61" t="n"/>
      <c r="C142" s="62" t="n"/>
      <c r="D142" s="57" t="n"/>
      <c r="E142" s="57" t="n"/>
      <c r="F142" s="58" t="n"/>
      <c r="G142" s="66">
        <f>IF(tblFleet[[#This Row],[Units]]="","",tblFleet[[#This Row],[Units]]*cfg_HoursPerDay)</f>
        <v/>
      </c>
      <c r="H142" s="66">
        <f>IF(tblFleet[[#This Row],[Units]]="","",tblFleet[[#This Row],[Calendar_h]]-tblFleet[[#This Row],[Down_h]])</f>
        <v/>
      </c>
      <c r="I142" s="60">
        <f>IF(AND(tblFleet[[#This Row],[Units]]&lt;&gt;"",tblFleet[[#This Row],[Calendar_h]]&gt;0),tblFleet[[#This Row],[Available_h]]/tblFleet[[#This Row],[Calendar_h]],"")</f>
        <v/>
      </c>
      <c r="J142" s="60">
        <f>IF(AND(tblFleet[[#This Row],[Units]]&lt;&gt;"",tblFleet[[#This Row],[Available_h]]&gt;0),tblFleet[[#This Row],[Operating_h]]/tblFleet[[#This Row],[Available_h]],"")</f>
        <v/>
      </c>
    </row>
    <row r="143">
      <c r="A143" s="54" t="n"/>
      <c r="B143" s="61" t="n"/>
      <c r="C143" s="62" t="n"/>
      <c r="D143" s="57" t="n"/>
      <c r="E143" s="57" t="n"/>
      <c r="F143" s="58" t="n"/>
      <c r="G143" s="66">
        <f>IF(tblFleet[[#This Row],[Units]]="","",tblFleet[[#This Row],[Units]]*cfg_HoursPerDay)</f>
        <v/>
      </c>
      <c r="H143" s="66">
        <f>IF(tblFleet[[#This Row],[Units]]="","",tblFleet[[#This Row],[Calendar_h]]-tblFleet[[#This Row],[Down_h]])</f>
        <v/>
      </c>
      <c r="I143" s="60">
        <f>IF(AND(tblFleet[[#This Row],[Units]]&lt;&gt;"",tblFleet[[#This Row],[Calendar_h]]&gt;0),tblFleet[[#This Row],[Available_h]]/tblFleet[[#This Row],[Calendar_h]],"")</f>
        <v/>
      </c>
      <c r="J143" s="60">
        <f>IF(AND(tblFleet[[#This Row],[Units]]&lt;&gt;"",tblFleet[[#This Row],[Available_h]]&gt;0),tblFleet[[#This Row],[Operating_h]]/tblFleet[[#This Row],[Available_h]],"")</f>
        <v/>
      </c>
    </row>
    <row r="144">
      <c r="A144" s="54" t="n"/>
      <c r="B144" s="61" t="n"/>
      <c r="C144" s="62" t="n"/>
      <c r="D144" s="57" t="n"/>
      <c r="E144" s="57" t="n"/>
      <c r="F144" s="58" t="n"/>
      <c r="G144" s="66">
        <f>IF(tblFleet[[#This Row],[Units]]="","",tblFleet[[#This Row],[Units]]*cfg_HoursPerDay)</f>
        <v/>
      </c>
      <c r="H144" s="66">
        <f>IF(tblFleet[[#This Row],[Units]]="","",tblFleet[[#This Row],[Calendar_h]]-tblFleet[[#This Row],[Down_h]])</f>
        <v/>
      </c>
      <c r="I144" s="60">
        <f>IF(AND(tblFleet[[#This Row],[Units]]&lt;&gt;"",tblFleet[[#This Row],[Calendar_h]]&gt;0),tblFleet[[#This Row],[Available_h]]/tblFleet[[#This Row],[Calendar_h]],"")</f>
        <v/>
      </c>
      <c r="J144" s="60">
        <f>IF(AND(tblFleet[[#This Row],[Units]]&lt;&gt;"",tblFleet[[#This Row],[Available_h]]&gt;0),tblFleet[[#This Row],[Operating_h]]/tblFleet[[#This Row],[Available_h]],"")</f>
        <v/>
      </c>
    </row>
    <row r="145">
      <c r="A145" s="54" t="n"/>
      <c r="B145" s="61" t="n"/>
      <c r="C145" s="62" t="n"/>
      <c r="D145" s="57" t="n"/>
      <c r="E145" s="57" t="n"/>
      <c r="F145" s="58" t="n"/>
      <c r="G145" s="66">
        <f>IF(tblFleet[[#This Row],[Units]]="","",tblFleet[[#This Row],[Units]]*cfg_HoursPerDay)</f>
        <v/>
      </c>
      <c r="H145" s="66">
        <f>IF(tblFleet[[#This Row],[Units]]="","",tblFleet[[#This Row],[Calendar_h]]-tblFleet[[#This Row],[Down_h]])</f>
        <v/>
      </c>
      <c r="I145" s="60">
        <f>IF(AND(tblFleet[[#This Row],[Units]]&lt;&gt;"",tblFleet[[#This Row],[Calendar_h]]&gt;0),tblFleet[[#This Row],[Available_h]]/tblFleet[[#This Row],[Calendar_h]],"")</f>
        <v/>
      </c>
      <c r="J145" s="60">
        <f>IF(AND(tblFleet[[#This Row],[Units]]&lt;&gt;"",tblFleet[[#This Row],[Available_h]]&gt;0),tblFleet[[#This Row],[Operating_h]]/tblFleet[[#This Row],[Available_h]],"")</f>
        <v/>
      </c>
    </row>
    <row r="146">
      <c r="A146" s="54" t="n"/>
      <c r="B146" s="61" t="n"/>
      <c r="C146" s="62" t="n"/>
      <c r="D146" s="57" t="n"/>
      <c r="E146" s="57" t="n"/>
      <c r="F146" s="58" t="n"/>
      <c r="G146" s="66">
        <f>IF(tblFleet[[#This Row],[Units]]="","",tblFleet[[#This Row],[Units]]*cfg_HoursPerDay)</f>
        <v/>
      </c>
      <c r="H146" s="66">
        <f>IF(tblFleet[[#This Row],[Units]]="","",tblFleet[[#This Row],[Calendar_h]]-tblFleet[[#This Row],[Down_h]])</f>
        <v/>
      </c>
      <c r="I146" s="60">
        <f>IF(AND(tblFleet[[#This Row],[Units]]&lt;&gt;"",tblFleet[[#This Row],[Calendar_h]]&gt;0),tblFleet[[#This Row],[Available_h]]/tblFleet[[#This Row],[Calendar_h]],"")</f>
        <v/>
      </c>
      <c r="J146" s="60">
        <f>IF(AND(tblFleet[[#This Row],[Units]]&lt;&gt;"",tblFleet[[#This Row],[Available_h]]&gt;0),tblFleet[[#This Row],[Operating_h]]/tblFleet[[#This Row],[Available_h]],"")</f>
        <v/>
      </c>
    </row>
    <row r="147">
      <c r="A147" s="54" t="n"/>
      <c r="B147" s="61" t="n"/>
      <c r="C147" s="62" t="n"/>
      <c r="D147" s="57" t="n"/>
      <c r="E147" s="57" t="n"/>
      <c r="F147" s="58" t="n"/>
      <c r="G147" s="66">
        <f>IF(tblFleet[[#This Row],[Units]]="","",tblFleet[[#This Row],[Units]]*cfg_HoursPerDay)</f>
        <v/>
      </c>
      <c r="H147" s="66">
        <f>IF(tblFleet[[#This Row],[Units]]="","",tblFleet[[#This Row],[Calendar_h]]-tblFleet[[#This Row],[Down_h]])</f>
        <v/>
      </c>
      <c r="I147" s="60">
        <f>IF(AND(tblFleet[[#This Row],[Units]]&lt;&gt;"",tblFleet[[#This Row],[Calendar_h]]&gt;0),tblFleet[[#This Row],[Available_h]]/tblFleet[[#This Row],[Calendar_h]],"")</f>
        <v/>
      </c>
      <c r="J147" s="60">
        <f>IF(AND(tblFleet[[#This Row],[Units]]&lt;&gt;"",tblFleet[[#This Row],[Available_h]]&gt;0),tblFleet[[#This Row],[Operating_h]]/tblFleet[[#This Row],[Available_h]],"")</f>
        <v/>
      </c>
    </row>
    <row r="148">
      <c r="A148" s="54" t="n"/>
      <c r="B148" s="61" t="n"/>
      <c r="C148" s="62" t="n"/>
      <c r="D148" s="57" t="n"/>
      <c r="E148" s="57" t="n"/>
      <c r="F148" s="58" t="n"/>
      <c r="G148" s="66">
        <f>IF(tblFleet[[#This Row],[Units]]="","",tblFleet[[#This Row],[Units]]*cfg_HoursPerDay)</f>
        <v/>
      </c>
      <c r="H148" s="66">
        <f>IF(tblFleet[[#This Row],[Units]]="","",tblFleet[[#This Row],[Calendar_h]]-tblFleet[[#This Row],[Down_h]])</f>
        <v/>
      </c>
      <c r="I148" s="60">
        <f>IF(AND(tblFleet[[#This Row],[Units]]&lt;&gt;"",tblFleet[[#This Row],[Calendar_h]]&gt;0),tblFleet[[#This Row],[Available_h]]/tblFleet[[#This Row],[Calendar_h]],"")</f>
        <v/>
      </c>
      <c r="J148" s="60">
        <f>IF(AND(tblFleet[[#This Row],[Units]]&lt;&gt;"",tblFleet[[#This Row],[Available_h]]&gt;0),tblFleet[[#This Row],[Operating_h]]/tblFleet[[#This Row],[Available_h]],"")</f>
        <v/>
      </c>
    </row>
    <row r="149">
      <c r="A149" s="54" t="n"/>
      <c r="B149" s="61" t="n"/>
      <c r="C149" s="62" t="n"/>
      <c r="D149" s="57" t="n"/>
      <c r="E149" s="57" t="n"/>
      <c r="F149" s="58" t="n"/>
      <c r="G149" s="66">
        <f>IF(tblFleet[[#This Row],[Units]]="","",tblFleet[[#This Row],[Units]]*cfg_HoursPerDay)</f>
        <v/>
      </c>
      <c r="H149" s="66">
        <f>IF(tblFleet[[#This Row],[Units]]="","",tblFleet[[#This Row],[Calendar_h]]-tblFleet[[#This Row],[Down_h]])</f>
        <v/>
      </c>
      <c r="I149" s="60">
        <f>IF(AND(tblFleet[[#This Row],[Units]]&lt;&gt;"",tblFleet[[#This Row],[Calendar_h]]&gt;0),tblFleet[[#This Row],[Available_h]]/tblFleet[[#This Row],[Calendar_h]],"")</f>
        <v/>
      </c>
      <c r="J149" s="60">
        <f>IF(AND(tblFleet[[#This Row],[Units]]&lt;&gt;"",tblFleet[[#This Row],[Available_h]]&gt;0),tblFleet[[#This Row],[Operating_h]]/tblFleet[[#This Row],[Available_h]],"")</f>
        <v/>
      </c>
    </row>
    <row r="150">
      <c r="A150" s="54" t="n"/>
      <c r="B150" s="61" t="n"/>
      <c r="C150" s="62" t="n"/>
      <c r="D150" s="57" t="n"/>
      <c r="E150" s="57" t="n"/>
      <c r="F150" s="58" t="n"/>
      <c r="G150" s="66">
        <f>IF(tblFleet[[#This Row],[Units]]="","",tblFleet[[#This Row],[Units]]*cfg_HoursPerDay)</f>
        <v/>
      </c>
      <c r="H150" s="66">
        <f>IF(tblFleet[[#This Row],[Units]]="","",tblFleet[[#This Row],[Calendar_h]]-tblFleet[[#This Row],[Down_h]])</f>
        <v/>
      </c>
      <c r="I150" s="60">
        <f>IF(AND(tblFleet[[#This Row],[Units]]&lt;&gt;"",tblFleet[[#This Row],[Calendar_h]]&gt;0),tblFleet[[#This Row],[Available_h]]/tblFleet[[#This Row],[Calendar_h]],"")</f>
        <v/>
      </c>
      <c r="J150" s="60">
        <f>IF(AND(tblFleet[[#This Row],[Units]]&lt;&gt;"",tblFleet[[#This Row],[Available_h]]&gt;0),tblFleet[[#This Row],[Operating_h]]/tblFleet[[#This Row],[Available_h]],"")</f>
        <v/>
      </c>
    </row>
    <row r="151">
      <c r="A151" s="54" t="n"/>
      <c r="B151" s="61" t="n"/>
      <c r="C151" s="62" t="n"/>
      <c r="D151" s="57" t="n"/>
      <c r="E151" s="57" t="n"/>
      <c r="F151" s="58" t="n"/>
      <c r="G151" s="66">
        <f>IF(tblFleet[[#This Row],[Units]]="","",tblFleet[[#This Row],[Units]]*cfg_HoursPerDay)</f>
        <v/>
      </c>
      <c r="H151" s="66">
        <f>IF(tblFleet[[#This Row],[Units]]="","",tblFleet[[#This Row],[Calendar_h]]-tblFleet[[#This Row],[Down_h]])</f>
        <v/>
      </c>
      <c r="I151" s="60">
        <f>IF(AND(tblFleet[[#This Row],[Units]]&lt;&gt;"",tblFleet[[#This Row],[Calendar_h]]&gt;0),tblFleet[[#This Row],[Available_h]]/tblFleet[[#This Row],[Calendar_h]],"")</f>
        <v/>
      </c>
      <c r="J151" s="60">
        <f>IF(AND(tblFleet[[#This Row],[Units]]&lt;&gt;"",tblFleet[[#This Row],[Available_h]]&gt;0),tblFleet[[#This Row],[Operating_h]]/tblFleet[[#This Row],[Available_h]],"")</f>
        <v/>
      </c>
    </row>
    <row r="152">
      <c r="A152" s="54" t="n"/>
      <c r="B152" s="61" t="n"/>
      <c r="C152" s="62" t="n"/>
      <c r="D152" s="57" t="n"/>
      <c r="E152" s="57" t="n"/>
      <c r="F152" s="58" t="n"/>
      <c r="G152" s="66">
        <f>IF(tblFleet[[#This Row],[Units]]="","",tblFleet[[#This Row],[Units]]*cfg_HoursPerDay)</f>
        <v/>
      </c>
      <c r="H152" s="66">
        <f>IF(tblFleet[[#This Row],[Units]]="","",tblFleet[[#This Row],[Calendar_h]]-tblFleet[[#This Row],[Down_h]])</f>
        <v/>
      </c>
      <c r="I152" s="60">
        <f>IF(AND(tblFleet[[#This Row],[Units]]&lt;&gt;"",tblFleet[[#This Row],[Calendar_h]]&gt;0),tblFleet[[#This Row],[Available_h]]/tblFleet[[#This Row],[Calendar_h]],"")</f>
        <v/>
      </c>
      <c r="J152" s="60">
        <f>IF(AND(tblFleet[[#This Row],[Units]]&lt;&gt;"",tblFleet[[#This Row],[Available_h]]&gt;0),tblFleet[[#This Row],[Operating_h]]/tblFleet[[#This Row],[Available_h]],"")</f>
        <v/>
      </c>
    </row>
    <row r="153">
      <c r="A153" s="54" t="n"/>
      <c r="B153" s="61" t="n"/>
      <c r="C153" s="62" t="n"/>
      <c r="D153" s="57" t="n"/>
      <c r="E153" s="57" t="n"/>
      <c r="F153" s="58" t="n"/>
      <c r="G153" s="66">
        <f>IF(tblFleet[[#This Row],[Units]]="","",tblFleet[[#This Row],[Units]]*cfg_HoursPerDay)</f>
        <v/>
      </c>
      <c r="H153" s="66">
        <f>IF(tblFleet[[#This Row],[Units]]="","",tblFleet[[#This Row],[Calendar_h]]-tblFleet[[#This Row],[Down_h]])</f>
        <v/>
      </c>
      <c r="I153" s="60">
        <f>IF(AND(tblFleet[[#This Row],[Units]]&lt;&gt;"",tblFleet[[#This Row],[Calendar_h]]&gt;0),tblFleet[[#This Row],[Available_h]]/tblFleet[[#This Row],[Calendar_h]],"")</f>
        <v/>
      </c>
      <c r="J153" s="60">
        <f>IF(AND(tblFleet[[#This Row],[Units]]&lt;&gt;"",tblFleet[[#This Row],[Available_h]]&gt;0),tblFleet[[#This Row],[Operating_h]]/tblFleet[[#This Row],[Available_h]],"")</f>
        <v/>
      </c>
    </row>
    <row r="154">
      <c r="A154" s="54" t="n"/>
      <c r="B154" s="61" t="n"/>
      <c r="C154" s="62" t="n"/>
      <c r="D154" s="57" t="n"/>
      <c r="E154" s="57" t="n"/>
      <c r="F154" s="58" t="n"/>
      <c r="G154" s="66">
        <f>IF(tblFleet[[#This Row],[Units]]="","",tblFleet[[#This Row],[Units]]*cfg_HoursPerDay)</f>
        <v/>
      </c>
      <c r="H154" s="66">
        <f>IF(tblFleet[[#This Row],[Units]]="","",tblFleet[[#This Row],[Calendar_h]]-tblFleet[[#This Row],[Down_h]])</f>
        <v/>
      </c>
      <c r="I154" s="60">
        <f>IF(AND(tblFleet[[#This Row],[Units]]&lt;&gt;"",tblFleet[[#This Row],[Calendar_h]]&gt;0),tblFleet[[#This Row],[Available_h]]/tblFleet[[#This Row],[Calendar_h]],"")</f>
        <v/>
      </c>
      <c r="J154" s="60">
        <f>IF(AND(tblFleet[[#This Row],[Units]]&lt;&gt;"",tblFleet[[#This Row],[Available_h]]&gt;0),tblFleet[[#This Row],[Operating_h]]/tblFleet[[#This Row],[Available_h]],"")</f>
        <v/>
      </c>
    </row>
    <row r="155">
      <c r="A155" s="54" t="n"/>
      <c r="B155" s="61" t="n"/>
      <c r="C155" s="62" t="n"/>
      <c r="D155" s="57" t="n"/>
      <c r="E155" s="57" t="n"/>
      <c r="F155" s="58" t="n"/>
      <c r="G155" s="66">
        <f>IF(tblFleet[[#This Row],[Units]]="","",tblFleet[[#This Row],[Units]]*cfg_HoursPerDay)</f>
        <v/>
      </c>
      <c r="H155" s="66">
        <f>IF(tblFleet[[#This Row],[Units]]="","",tblFleet[[#This Row],[Calendar_h]]-tblFleet[[#This Row],[Down_h]])</f>
        <v/>
      </c>
      <c r="I155" s="60">
        <f>IF(AND(tblFleet[[#This Row],[Units]]&lt;&gt;"",tblFleet[[#This Row],[Calendar_h]]&gt;0),tblFleet[[#This Row],[Available_h]]/tblFleet[[#This Row],[Calendar_h]],"")</f>
        <v/>
      </c>
      <c r="J155" s="60">
        <f>IF(AND(tblFleet[[#This Row],[Units]]&lt;&gt;"",tblFleet[[#This Row],[Available_h]]&gt;0),tblFleet[[#This Row],[Operating_h]]/tblFleet[[#This Row],[Available_h]],"")</f>
        <v/>
      </c>
    </row>
    <row r="156">
      <c r="A156" s="54" t="n"/>
      <c r="B156" s="61" t="n"/>
      <c r="C156" s="62" t="n"/>
      <c r="D156" s="57" t="n"/>
      <c r="E156" s="57" t="n"/>
      <c r="F156" s="58" t="n"/>
      <c r="G156" s="66">
        <f>IF(tblFleet[[#This Row],[Units]]="","",tblFleet[[#This Row],[Units]]*cfg_HoursPerDay)</f>
        <v/>
      </c>
      <c r="H156" s="66">
        <f>IF(tblFleet[[#This Row],[Units]]="","",tblFleet[[#This Row],[Calendar_h]]-tblFleet[[#This Row],[Down_h]])</f>
        <v/>
      </c>
      <c r="I156" s="60">
        <f>IF(AND(tblFleet[[#This Row],[Units]]&lt;&gt;"",tblFleet[[#This Row],[Calendar_h]]&gt;0),tblFleet[[#This Row],[Available_h]]/tblFleet[[#This Row],[Calendar_h]],"")</f>
        <v/>
      </c>
      <c r="J156" s="60">
        <f>IF(AND(tblFleet[[#This Row],[Units]]&lt;&gt;"",tblFleet[[#This Row],[Available_h]]&gt;0),tblFleet[[#This Row],[Operating_h]]/tblFleet[[#This Row],[Available_h]],"")</f>
        <v/>
      </c>
    </row>
    <row r="157">
      <c r="A157" s="54" t="n"/>
      <c r="B157" s="61" t="n"/>
      <c r="C157" s="62" t="n"/>
      <c r="D157" s="57" t="n"/>
      <c r="E157" s="57" t="n"/>
      <c r="F157" s="58" t="n"/>
      <c r="G157" s="66">
        <f>IF(tblFleet[[#This Row],[Units]]="","",tblFleet[[#This Row],[Units]]*cfg_HoursPerDay)</f>
        <v/>
      </c>
      <c r="H157" s="66">
        <f>IF(tblFleet[[#This Row],[Units]]="","",tblFleet[[#This Row],[Calendar_h]]-tblFleet[[#This Row],[Down_h]])</f>
        <v/>
      </c>
      <c r="I157" s="60">
        <f>IF(AND(tblFleet[[#This Row],[Units]]&lt;&gt;"",tblFleet[[#This Row],[Calendar_h]]&gt;0),tblFleet[[#This Row],[Available_h]]/tblFleet[[#This Row],[Calendar_h]],"")</f>
        <v/>
      </c>
      <c r="J157" s="60">
        <f>IF(AND(tblFleet[[#This Row],[Units]]&lt;&gt;"",tblFleet[[#This Row],[Available_h]]&gt;0),tblFleet[[#This Row],[Operating_h]]/tblFleet[[#This Row],[Available_h]],"")</f>
        <v/>
      </c>
    </row>
    <row r="158">
      <c r="A158" s="54" t="n"/>
      <c r="B158" s="61" t="n"/>
      <c r="C158" s="62" t="n"/>
      <c r="D158" s="57" t="n"/>
      <c r="E158" s="57" t="n"/>
      <c r="F158" s="58" t="n"/>
      <c r="G158" s="66">
        <f>IF(tblFleet[[#This Row],[Units]]="","",tblFleet[[#This Row],[Units]]*cfg_HoursPerDay)</f>
        <v/>
      </c>
      <c r="H158" s="66">
        <f>IF(tblFleet[[#This Row],[Units]]="","",tblFleet[[#This Row],[Calendar_h]]-tblFleet[[#This Row],[Down_h]])</f>
        <v/>
      </c>
      <c r="I158" s="60">
        <f>IF(AND(tblFleet[[#This Row],[Units]]&lt;&gt;"",tblFleet[[#This Row],[Calendar_h]]&gt;0),tblFleet[[#This Row],[Available_h]]/tblFleet[[#This Row],[Calendar_h]],"")</f>
        <v/>
      </c>
      <c r="J158" s="60">
        <f>IF(AND(tblFleet[[#This Row],[Units]]&lt;&gt;"",tblFleet[[#This Row],[Available_h]]&gt;0),tblFleet[[#This Row],[Operating_h]]/tblFleet[[#This Row],[Available_h]],"")</f>
        <v/>
      </c>
    </row>
    <row r="159">
      <c r="A159" s="54" t="n"/>
      <c r="B159" s="61" t="n"/>
      <c r="C159" s="62" t="n"/>
      <c r="D159" s="57" t="n"/>
      <c r="E159" s="57" t="n"/>
      <c r="F159" s="58" t="n"/>
      <c r="G159" s="66">
        <f>IF(tblFleet[[#This Row],[Units]]="","",tblFleet[[#This Row],[Units]]*cfg_HoursPerDay)</f>
        <v/>
      </c>
      <c r="H159" s="66">
        <f>IF(tblFleet[[#This Row],[Units]]="","",tblFleet[[#This Row],[Calendar_h]]-tblFleet[[#This Row],[Down_h]])</f>
        <v/>
      </c>
      <c r="I159" s="60">
        <f>IF(AND(tblFleet[[#This Row],[Units]]&lt;&gt;"",tblFleet[[#This Row],[Calendar_h]]&gt;0),tblFleet[[#This Row],[Available_h]]/tblFleet[[#This Row],[Calendar_h]],"")</f>
        <v/>
      </c>
      <c r="J159" s="60">
        <f>IF(AND(tblFleet[[#This Row],[Units]]&lt;&gt;"",tblFleet[[#This Row],[Available_h]]&gt;0),tblFleet[[#This Row],[Operating_h]]/tblFleet[[#This Row],[Available_h]],"")</f>
        <v/>
      </c>
    </row>
    <row r="160">
      <c r="A160" s="54" t="n"/>
      <c r="B160" s="61" t="n"/>
      <c r="C160" s="62" t="n"/>
      <c r="D160" s="57" t="n"/>
      <c r="E160" s="57" t="n"/>
      <c r="F160" s="58" t="n"/>
      <c r="G160" s="66">
        <f>IF(tblFleet[[#This Row],[Units]]="","",tblFleet[[#This Row],[Units]]*cfg_HoursPerDay)</f>
        <v/>
      </c>
      <c r="H160" s="66">
        <f>IF(tblFleet[[#This Row],[Units]]="","",tblFleet[[#This Row],[Calendar_h]]-tblFleet[[#This Row],[Down_h]])</f>
        <v/>
      </c>
      <c r="I160" s="60">
        <f>IF(AND(tblFleet[[#This Row],[Units]]&lt;&gt;"",tblFleet[[#This Row],[Calendar_h]]&gt;0),tblFleet[[#This Row],[Available_h]]/tblFleet[[#This Row],[Calendar_h]],"")</f>
        <v/>
      </c>
      <c r="J160" s="60">
        <f>IF(AND(tblFleet[[#This Row],[Units]]&lt;&gt;"",tblFleet[[#This Row],[Available_h]]&gt;0),tblFleet[[#This Row],[Operating_h]]/tblFleet[[#This Row],[Available_h]],"")</f>
        <v/>
      </c>
    </row>
    <row r="161">
      <c r="A161" s="54" t="n"/>
      <c r="B161" s="61" t="n"/>
      <c r="C161" s="62" t="n"/>
      <c r="D161" s="57" t="n"/>
      <c r="E161" s="57" t="n"/>
      <c r="F161" s="58" t="n"/>
      <c r="G161" s="66">
        <f>IF(tblFleet[[#This Row],[Units]]="","",tblFleet[[#This Row],[Units]]*cfg_HoursPerDay)</f>
        <v/>
      </c>
      <c r="H161" s="66">
        <f>IF(tblFleet[[#This Row],[Units]]="","",tblFleet[[#This Row],[Calendar_h]]-tblFleet[[#This Row],[Down_h]])</f>
        <v/>
      </c>
      <c r="I161" s="60">
        <f>IF(AND(tblFleet[[#This Row],[Units]]&lt;&gt;"",tblFleet[[#This Row],[Calendar_h]]&gt;0),tblFleet[[#This Row],[Available_h]]/tblFleet[[#This Row],[Calendar_h]],"")</f>
        <v/>
      </c>
      <c r="J161" s="60">
        <f>IF(AND(tblFleet[[#This Row],[Units]]&lt;&gt;"",tblFleet[[#This Row],[Available_h]]&gt;0),tblFleet[[#This Row],[Operating_h]]/tblFleet[[#This Row],[Available_h]],"")</f>
        <v/>
      </c>
    </row>
    <row r="162">
      <c r="A162" s="54" t="n"/>
      <c r="B162" s="61" t="n"/>
      <c r="C162" s="62" t="n"/>
      <c r="D162" s="57" t="n"/>
      <c r="E162" s="57" t="n"/>
      <c r="F162" s="58" t="n"/>
      <c r="G162" s="66">
        <f>IF(tblFleet[[#This Row],[Units]]="","",tblFleet[[#This Row],[Units]]*cfg_HoursPerDay)</f>
        <v/>
      </c>
      <c r="H162" s="66">
        <f>IF(tblFleet[[#This Row],[Units]]="","",tblFleet[[#This Row],[Calendar_h]]-tblFleet[[#This Row],[Down_h]])</f>
        <v/>
      </c>
      <c r="I162" s="60">
        <f>IF(AND(tblFleet[[#This Row],[Units]]&lt;&gt;"",tblFleet[[#This Row],[Calendar_h]]&gt;0),tblFleet[[#This Row],[Available_h]]/tblFleet[[#This Row],[Calendar_h]],"")</f>
        <v/>
      </c>
      <c r="J162" s="60">
        <f>IF(AND(tblFleet[[#This Row],[Units]]&lt;&gt;"",tblFleet[[#This Row],[Available_h]]&gt;0),tblFleet[[#This Row],[Operating_h]]/tblFleet[[#This Row],[Available_h]],"")</f>
        <v/>
      </c>
    </row>
    <row r="163">
      <c r="A163" s="54" t="n"/>
      <c r="B163" s="61" t="n"/>
      <c r="C163" s="62" t="n"/>
      <c r="D163" s="57" t="n"/>
      <c r="E163" s="57" t="n"/>
      <c r="F163" s="58" t="n"/>
      <c r="G163" s="66">
        <f>IF(tblFleet[[#This Row],[Units]]="","",tblFleet[[#This Row],[Units]]*cfg_HoursPerDay)</f>
        <v/>
      </c>
      <c r="H163" s="66">
        <f>IF(tblFleet[[#This Row],[Units]]="","",tblFleet[[#This Row],[Calendar_h]]-tblFleet[[#This Row],[Down_h]])</f>
        <v/>
      </c>
      <c r="I163" s="60">
        <f>IF(AND(tblFleet[[#This Row],[Units]]&lt;&gt;"",tblFleet[[#This Row],[Calendar_h]]&gt;0),tblFleet[[#This Row],[Available_h]]/tblFleet[[#This Row],[Calendar_h]],"")</f>
        <v/>
      </c>
      <c r="J163" s="60">
        <f>IF(AND(tblFleet[[#This Row],[Units]]&lt;&gt;"",tblFleet[[#This Row],[Available_h]]&gt;0),tblFleet[[#This Row],[Operating_h]]/tblFleet[[#This Row],[Available_h]],"")</f>
        <v/>
      </c>
    </row>
    <row r="164">
      <c r="A164" s="54" t="n"/>
      <c r="B164" s="61" t="n"/>
      <c r="C164" s="62" t="n"/>
      <c r="D164" s="57" t="n"/>
      <c r="E164" s="57" t="n"/>
      <c r="F164" s="58" t="n"/>
      <c r="G164" s="66">
        <f>IF(tblFleet[[#This Row],[Units]]="","",tblFleet[[#This Row],[Units]]*cfg_HoursPerDay)</f>
        <v/>
      </c>
      <c r="H164" s="66">
        <f>IF(tblFleet[[#This Row],[Units]]="","",tblFleet[[#This Row],[Calendar_h]]-tblFleet[[#This Row],[Down_h]])</f>
        <v/>
      </c>
      <c r="I164" s="60">
        <f>IF(AND(tblFleet[[#This Row],[Units]]&lt;&gt;"",tblFleet[[#This Row],[Calendar_h]]&gt;0),tblFleet[[#This Row],[Available_h]]/tblFleet[[#This Row],[Calendar_h]],"")</f>
        <v/>
      </c>
      <c r="J164" s="60">
        <f>IF(AND(tblFleet[[#This Row],[Units]]&lt;&gt;"",tblFleet[[#This Row],[Available_h]]&gt;0),tblFleet[[#This Row],[Operating_h]]/tblFleet[[#This Row],[Available_h]],"")</f>
        <v/>
      </c>
    </row>
    <row r="165">
      <c r="A165" s="54" t="n"/>
      <c r="B165" s="61" t="n"/>
      <c r="C165" s="62" t="n"/>
      <c r="D165" s="57" t="n"/>
      <c r="E165" s="57" t="n"/>
      <c r="F165" s="58" t="n"/>
      <c r="G165" s="66">
        <f>IF(tblFleet[[#This Row],[Units]]="","",tblFleet[[#This Row],[Units]]*cfg_HoursPerDay)</f>
        <v/>
      </c>
      <c r="H165" s="66">
        <f>IF(tblFleet[[#This Row],[Units]]="","",tblFleet[[#This Row],[Calendar_h]]-tblFleet[[#This Row],[Down_h]])</f>
        <v/>
      </c>
      <c r="I165" s="60">
        <f>IF(AND(tblFleet[[#This Row],[Units]]&lt;&gt;"",tblFleet[[#This Row],[Calendar_h]]&gt;0),tblFleet[[#This Row],[Available_h]]/tblFleet[[#This Row],[Calendar_h]],"")</f>
        <v/>
      </c>
      <c r="J165" s="60">
        <f>IF(AND(tblFleet[[#This Row],[Units]]&lt;&gt;"",tblFleet[[#This Row],[Available_h]]&gt;0),tblFleet[[#This Row],[Operating_h]]/tblFleet[[#This Row],[Available_h]],"")</f>
        <v/>
      </c>
    </row>
    <row r="166">
      <c r="A166" s="54" t="n"/>
      <c r="B166" s="61" t="n"/>
      <c r="C166" s="62" t="n"/>
      <c r="D166" s="57" t="n"/>
      <c r="E166" s="57" t="n"/>
      <c r="F166" s="58" t="n"/>
      <c r="G166" s="66">
        <f>IF(tblFleet[[#This Row],[Units]]="","",tblFleet[[#This Row],[Units]]*cfg_HoursPerDay)</f>
        <v/>
      </c>
      <c r="H166" s="66">
        <f>IF(tblFleet[[#This Row],[Units]]="","",tblFleet[[#This Row],[Calendar_h]]-tblFleet[[#This Row],[Down_h]])</f>
        <v/>
      </c>
      <c r="I166" s="60">
        <f>IF(AND(tblFleet[[#This Row],[Units]]&lt;&gt;"",tblFleet[[#This Row],[Calendar_h]]&gt;0),tblFleet[[#This Row],[Available_h]]/tblFleet[[#This Row],[Calendar_h]],"")</f>
        <v/>
      </c>
      <c r="J166" s="60">
        <f>IF(AND(tblFleet[[#This Row],[Units]]&lt;&gt;"",tblFleet[[#This Row],[Available_h]]&gt;0),tblFleet[[#This Row],[Operating_h]]/tblFleet[[#This Row],[Available_h]],"")</f>
        <v/>
      </c>
    </row>
    <row r="167">
      <c r="A167" s="54" t="n"/>
      <c r="B167" s="61" t="n"/>
      <c r="C167" s="62" t="n"/>
      <c r="D167" s="57" t="n"/>
      <c r="E167" s="57" t="n"/>
      <c r="F167" s="58" t="n"/>
      <c r="G167" s="66">
        <f>IF(tblFleet[[#This Row],[Units]]="","",tblFleet[[#This Row],[Units]]*cfg_HoursPerDay)</f>
        <v/>
      </c>
      <c r="H167" s="66">
        <f>IF(tblFleet[[#This Row],[Units]]="","",tblFleet[[#This Row],[Calendar_h]]-tblFleet[[#This Row],[Down_h]])</f>
        <v/>
      </c>
      <c r="I167" s="60">
        <f>IF(AND(tblFleet[[#This Row],[Units]]&lt;&gt;"",tblFleet[[#This Row],[Calendar_h]]&gt;0),tblFleet[[#This Row],[Available_h]]/tblFleet[[#This Row],[Calendar_h]],"")</f>
        <v/>
      </c>
      <c r="J167" s="60">
        <f>IF(AND(tblFleet[[#This Row],[Units]]&lt;&gt;"",tblFleet[[#This Row],[Available_h]]&gt;0),tblFleet[[#This Row],[Operating_h]]/tblFleet[[#This Row],[Available_h]],"")</f>
        <v/>
      </c>
    </row>
    <row r="168">
      <c r="A168" s="54" t="n"/>
      <c r="B168" s="61" t="n"/>
      <c r="C168" s="62" t="n"/>
      <c r="D168" s="57" t="n"/>
      <c r="E168" s="57" t="n"/>
      <c r="F168" s="58" t="n"/>
      <c r="G168" s="66">
        <f>IF(tblFleet[[#This Row],[Units]]="","",tblFleet[[#This Row],[Units]]*cfg_HoursPerDay)</f>
        <v/>
      </c>
      <c r="H168" s="66">
        <f>IF(tblFleet[[#This Row],[Units]]="","",tblFleet[[#This Row],[Calendar_h]]-tblFleet[[#This Row],[Down_h]])</f>
        <v/>
      </c>
      <c r="I168" s="60">
        <f>IF(AND(tblFleet[[#This Row],[Units]]&lt;&gt;"",tblFleet[[#This Row],[Calendar_h]]&gt;0),tblFleet[[#This Row],[Available_h]]/tblFleet[[#This Row],[Calendar_h]],"")</f>
        <v/>
      </c>
      <c r="J168" s="60">
        <f>IF(AND(tblFleet[[#This Row],[Units]]&lt;&gt;"",tblFleet[[#This Row],[Available_h]]&gt;0),tblFleet[[#This Row],[Operating_h]]/tblFleet[[#This Row],[Available_h]],"")</f>
        <v/>
      </c>
    </row>
    <row r="169">
      <c r="A169" s="54" t="n"/>
      <c r="B169" s="61" t="n"/>
      <c r="C169" s="62" t="n"/>
      <c r="D169" s="57" t="n"/>
      <c r="E169" s="57" t="n"/>
      <c r="F169" s="58" t="n"/>
      <c r="G169" s="66">
        <f>IF(tblFleet[[#This Row],[Units]]="","",tblFleet[[#This Row],[Units]]*cfg_HoursPerDay)</f>
        <v/>
      </c>
      <c r="H169" s="66">
        <f>IF(tblFleet[[#This Row],[Units]]="","",tblFleet[[#This Row],[Calendar_h]]-tblFleet[[#This Row],[Down_h]])</f>
        <v/>
      </c>
      <c r="I169" s="60">
        <f>IF(AND(tblFleet[[#This Row],[Units]]&lt;&gt;"",tblFleet[[#This Row],[Calendar_h]]&gt;0),tblFleet[[#This Row],[Available_h]]/tblFleet[[#This Row],[Calendar_h]],"")</f>
        <v/>
      </c>
      <c r="J169" s="60">
        <f>IF(AND(tblFleet[[#This Row],[Units]]&lt;&gt;"",tblFleet[[#This Row],[Available_h]]&gt;0),tblFleet[[#This Row],[Operating_h]]/tblFleet[[#This Row],[Available_h]],"")</f>
        <v/>
      </c>
    </row>
    <row r="170">
      <c r="A170" s="54" t="n"/>
      <c r="B170" s="61" t="n"/>
      <c r="C170" s="62" t="n"/>
      <c r="D170" s="57" t="n"/>
      <c r="E170" s="57" t="n"/>
      <c r="F170" s="58" t="n"/>
      <c r="G170" s="66">
        <f>IF(tblFleet[[#This Row],[Units]]="","",tblFleet[[#This Row],[Units]]*cfg_HoursPerDay)</f>
        <v/>
      </c>
      <c r="H170" s="66">
        <f>IF(tblFleet[[#This Row],[Units]]="","",tblFleet[[#This Row],[Calendar_h]]-tblFleet[[#This Row],[Down_h]])</f>
        <v/>
      </c>
      <c r="I170" s="60">
        <f>IF(AND(tblFleet[[#This Row],[Units]]&lt;&gt;"",tblFleet[[#This Row],[Calendar_h]]&gt;0),tblFleet[[#This Row],[Available_h]]/tblFleet[[#This Row],[Calendar_h]],"")</f>
        <v/>
      </c>
      <c r="J170" s="60">
        <f>IF(AND(tblFleet[[#This Row],[Units]]&lt;&gt;"",tblFleet[[#This Row],[Available_h]]&gt;0),tblFleet[[#This Row],[Operating_h]]/tblFleet[[#This Row],[Available_h]],"")</f>
        <v/>
      </c>
    </row>
    <row r="171">
      <c r="A171" s="54" t="n"/>
      <c r="B171" s="61" t="n"/>
      <c r="C171" s="62" t="n"/>
      <c r="D171" s="57" t="n"/>
      <c r="E171" s="57" t="n"/>
      <c r="F171" s="58" t="n"/>
      <c r="G171" s="66">
        <f>IF(tblFleet[[#This Row],[Units]]="","",tblFleet[[#This Row],[Units]]*cfg_HoursPerDay)</f>
        <v/>
      </c>
      <c r="H171" s="66">
        <f>IF(tblFleet[[#This Row],[Units]]="","",tblFleet[[#This Row],[Calendar_h]]-tblFleet[[#This Row],[Down_h]])</f>
        <v/>
      </c>
      <c r="I171" s="60">
        <f>IF(AND(tblFleet[[#This Row],[Units]]&lt;&gt;"",tblFleet[[#This Row],[Calendar_h]]&gt;0),tblFleet[[#This Row],[Available_h]]/tblFleet[[#This Row],[Calendar_h]],"")</f>
        <v/>
      </c>
      <c r="J171" s="60">
        <f>IF(AND(tblFleet[[#This Row],[Units]]&lt;&gt;"",tblFleet[[#This Row],[Available_h]]&gt;0),tblFleet[[#This Row],[Operating_h]]/tblFleet[[#This Row],[Available_h]],"")</f>
        <v/>
      </c>
    </row>
    <row r="172">
      <c r="A172" s="54" t="n"/>
      <c r="B172" s="61" t="n"/>
      <c r="C172" s="62" t="n"/>
      <c r="D172" s="57" t="n"/>
      <c r="E172" s="57" t="n"/>
      <c r="F172" s="58" t="n"/>
      <c r="G172" s="66">
        <f>IF(tblFleet[[#This Row],[Units]]="","",tblFleet[[#This Row],[Units]]*cfg_HoursPerDay)</f>
        <v/>
      </c>
      <c r="H172" s="66">
        <f>IF(tblFleet[[#This Row],[Units]]="","",tblFleet[[#This Row],[Calendar_h]]-tblFleet[[#This Row],[Down_h]])</f>
        <v/>
      </c>
      <c r="I172" s="60">
        <f>IF(AND(tblFleet[[#This Row],[Units]]&lt;&gt;"",tblFleet[[#This Row],[Calendar_h]]&gt;0),tblFleet[[#This Row],[Available_h]]/tblFleet[[#This Row],[Calendar_h]],"")</f>
        <v/>
      </c>
      <c r="J172" s="60">
        <f>IF(AND(tblFleet[[#This Row],[Units]]&lt;&gt;"",tblFleet[[#This Row],[Available_h]]&gt;0),tblFleet[[#This Row],[Operating_h]]/tblFleet[[#This Row],[Available_h]],"")</f>
        <v/>
      </c>
    </row>
    <row r="173">
      <c r="A173" s="54" t="n"/>
      <c r="B173" s="61" t="n"/>
      <c r="C173" s="62" t="n"/>
      <c r="D173" s="57" t="n"/>
      <c r="E173" s="57" t="n"/>
      <c r="F173" s="58" t="n"/>
      <c r="G173" s="66">
        <f>IF(tblFleet[[#This Row],[Units]]="","",tblFleet[[#This Row],[Units]]*cfg_HoursPerDay)</f>
        <v/>
      </c>
      <c r="H173" s="66">
        <f>IF(tblFleet[[#This Row],[Units]]="","",tblFleet[[#This Row],[Calendar_h]]-tblFleet[[#This Row],[Down_h]])</f>
        <v/>
      </c>
      <c r="I173" s="60">
        <f>IF(AND(tblFleet[[#This Row],[Units]]&lt;&gt;"",tblFleet[[#This Row],[Calendar_h]]&gt;0),tblFleet[[#This Row],[Available_h]]/tblFleet[[#This Row],[Calendar_h]],"")</f>
        <v/>
      </c>
      <c r="J173" s="60">
        <f>IF(AND(tblFleet[[#This Row],[Units]]&lt;&gt;"",tblFleet[[#This Row],[Available_h]]&gt;0),tblFleet[[#This Row],[Operating_h]]/tblFleet[[#This Row],[Available_h]],"")</f>
        <v/>
      </c>
    </row>
    <row r="174">
      <c r="A174" s="54" t="n"/>
      <c r="B174" s="61" t="n"/>
      <c r="C174" s="62" t="n"/>
      <c r="D174" s="57" t="n"/>
      <c r="E174" s="57" t="n"/>
      <c r="F174" s="58" t="n"/>
      <c r="G174" s="66">
        <f>IF(tblFleet[[#This Row],[Units]]="","",tblFleet[[#This Row],[Units]]*cfg_HoursPerDay)</f>
        <v/>
      </c>
      <c r="H174" s="66">
        <f>IF(tblFleet[[#This Row],[Units]]="","",tblFleet[[#This Row],[Calendar_h]]-tblFleet[[#This Row],[Down_h]])</f>
        <v/>
      </c>
      <c r="I174" s="60">
        <f>IF(AND(tblFleet[[#This Row],[Units]]&lt;&gt;"",tblFleet[[#This Row],[Calendar_h]]&gt;0),tblFleet[[#This Row],[Available_h]]/tblFleet[[#This Row],[Calendar_h]],"")</f>
        <v/>
      </c>
      <c r="J174" s="60">
        <f>IF(AND(tblFleet[[#This Row],[Units]]&lt;&gt;"",tblFleet[[#This Row],[Available_h]]&gt;0),tblFleet[[#This Row],[Operating_h]]/tblFleet[[#This Row],[Available_h]],"")</f>
        <v/>
      </c>
    </row>
    <row r="175">
      <c r="A175" s="54" t="n"/>
      <c r="B175" s="61" t="n"/>
      <c r="C175" s="62" t="n"/>
      <c r="D175" s="57" t="n"/>
      <c r="E175" s="57" t="n"/>
      <c r="F175" s="58" t="n"/>
      <c r="G175" s="66">
        <f>IF(tblFleet[[#This Row],[Units]]="","",tblFleet[[#This Row],[Units]]*cfg_HoursPerDay)</f>
        <v/>
      </c>
      <c r="H175" s="66">
        <f>IF(tblFleet[[#This Row],[Units]]="","",tblFleet[[#This Row],[Calendar_h]]-tblFleet[[#This Row],[Down_h]])</f>
        <v/>
      </c>
      <c r="I175" s="60">
        <f>IF(AND(tblFleet[[#This Row],[Units]]&lt;&gt;"",tblFleet[[#This Row],[Calendar_h]]&gt;0),tblFleet[[#This Row],[Available_h]]/tblFleet[[#This Row],[Calendar_h]],"")</f>
        <v/>
      </c>
      <c r="J175" s="60">
        <f>IF(AND(tblFleet[[#This Row],[Units]]&lt;&gt;"",tblFleet[[#This Row],[Available_h]]&gt;0),tblFleet[[#This Row],[Operating_h]]/tblFleet[[#This Row],[Available_h]],"")</f>
        <v/>
      </c>
    </row>
    <row r="176">
      <c r="A176" s="54" t="n"/>
      <c r="B176" s="61" t="n"/>
      <c r="C176" s="62" t="n"/>
      <c r="D176" s="57" t="n"/>
      <c r="E176" s="57" t="n"/>
      <c r="F176" s="58" t="n"/>
      <c r="G176" s="66">
        <f>IF(tblFleet[[#This Row],[Units]]="","",tblFleet[[#This Row],[Units]]*cfg_HoursPerDay)</f>
        <v/>
      </c>
      <c r="H176" s="66">
        <f>IF(tblFleet[[#This Row],[Units]]="","",tblFleet[[#This Row],[Calendar_h]]-tblFleet[[#This Row],[Down_h]])</f>
        <v/>
      </c>
      <c r="I176" s="60">
        <f>IF(AND(tblFleet[[#This Row],[Units]]&lt;&gt;"",tblFleet[[#This Row],[Calendar_h]]&gt;0),tblFleet[[#This Row],[Available_h]]/tblFleet[[#This Row],[Calendar_h]],"")</f>
        <v/>
      </c>
      <c r="J176" s="60">
        <f>IF(AND(tblFleet[[#This Row],[Units]]&lt;&gt;"",tblFleet[[#This Row],[Available_h]]&gt;0),tblFleet[[#This Row],[Operating_h]]/tblFleet[[#This Row],[Available_h]],"")</f>
        <v/>
      </c>
    </row>
    <row r="177">
      <c r="A177" s="54" t="n"/>
      <c r="B177" s="61" t="n"/>
      <c r="C177" s="62" t="n"/>
      <c r="D177" s="57" t="n"/>
      <c r="E177" s="57" t="n"/>
      <c r="F177" s="58" t="n"/>
      <c r="G177" s="66">
        <f>IF(tblFleet[[#This Row],[Units]]="","",tblFleet[[#This Row],[Units]]*cfg_HoursPerDay)</f>
        <v/>
      </c>
      <c r="H177" s="66">
        <f>IF(tblFleet[[#This Row],[Units]]="","",tblFleet[[#This Row],[Calendar_h]]-tblFleet[[#This Row],[Down_h]])</f>
        <v/>
      </c>
      <c r="I177" s="60">
        <f>IF(AND(tblFleet[[#This Row],[Units]]&lt;&gt;"",tblFleet[[#This Row],[Calendar_h]]&gt;0),tblFleet[[#This Row],[Available_h]]/tblFleet[[#This Row],[Calendar_h]],"")</f>
        <v/>
      </c>
      <c r="J177" s="60">
        <f>IF(AND(tblFleet[[#This Row],[Units]]&lt;&gt;"",tblFleet[[#This Row],[Available_h]]&gt;0),tblFleet[[#This Row],[Operating_h]]/tblFleet[[#This Row],[Available_h]],"")</f>
        <v/>
      </c>
    </row>
    <row r="178">
      <c r="A178" s="54" t="n"/>
      <c r="B178" s="61" t="n"/>
      <c r="C178" s="62" t="n"/>
      <c r="D178" s="57" t="n"/>
      <c r="E178" s="57" t="n"/>
      <c r="F178" s="58" t="n"/>
      <c r="G178" s="66">
        <f>IF(tblFleet[[#This Row],[Units]]="","",tblFleet[[#This Row],[Units]]*cfg_HoursPerDay)</f>
        <v/>
      </c>
      <c r="H178" s="66">
        <f>IF(tblFleet[[#This Row],[Units]]="","",tblFleet[[#This Row],[Calendar_h]]-tblFleet[[#This Row],[Down_h]])</f>
        <v/>
      </c>
      <c r="I178" s="60">
        <f>IF(AND(tblFleet[[#This Row],[Units]]&lt;&gt;"",tblFleet[[#This Row],[Calendar_h]]&gt;0),tblFleet[[#This Row],[Available_h]]/tblFleet[[#This Row],[Calendar_h]],"")</f>
        <v/>
      </c>
      <c r="J178" s="60">
        <f>IF(AND(tblFleet[[#This Row],[Units]]&lt;&gt;"",tblFleet[[#This Row],[Available_h]]&gt;0),tblFleet[[#This Row],[Operating_h]]/tblFleet[[#This Row],[Available_h]],"")</f>
        <v/>
      </c>
    </row>
    <row r="179">
      <c r="A179" s="54" t="n"/>
      <c r="B179" s="61" t="n"/>
      <c r="C179" s="62" t="n"/>
      <c r="D179" s="57" t="n"/>
      <c r="E179" s="57" t="n"/>
      <c r="F179" s="58" t="n"/>
      <c r="G179" s="66">
        <f>IF(tblFleet[[#This Row],[Units]]="","",tblFleet[[#This Row],[Units]]*cfg_HoursPerDay)</f>
        <v/>
      </c>
      <c r="H179" s="66">
        <f>IF(tblFleet[[#This Row],[Units]]="","",tblFleet[[#This Row],[Calendar_h]]-tblFleet[[#This Row],[Down_h]])</f>
        <v/>
      </c>
      <c r="I179" s="60">
        <f>IF(AND(tblFleet[[#This Row],[Units]]&lt;&gt;"",tblFleet[[#This Row],[Calendar_h]]&gt;0),tblFleet[[#This Row],[Available_h]]/tblFleet[[#This Row],[Calendar_h]],"")</f>
        <v/>
      </c>
      <c r="J179" s="60">
        <f>IF(AND(tblFleet[[#This Row],[Units]]&lt;&gt;"",tblFleet[[#This Row],[Available_h]]&gt;0),tblFleet[[#This Row],[Operating_h]]/tblFleet[[#This Row],[Available_h]],"")</f>
        <v/>
      </c>
    </row>
    <row r="180">
      <c r="A180" s="54" t="n"/>
      <c r="B180" s="61" t="n"/>
      <c r="C180" s="62" t="n"/>
      <c r="D180" s="57" t="n"/>
      <c r="E180" s="57" t="n"/>
      <c r="F180" s="58" t="n"/>
      <c r="G180" s="66">
        <f>IF(tblFleet[[#This Row],[Units]]="","",tblFleet[[#This Row],[Units]]*cfg_HoursPerDay)</f>
        <v/>
      </c>
      <c r="H180" s="66">
        <f>IF(tblFleet[[#This Row],[Units]]="","",tblFleet[[#This Row],[Calendar_h]]-tblFleet[[#This Row],[Down_h]])</f>
        <v/>
      </c>
      <c r="I180" s="60">
        <f>IF(AND(tblFleet[[#This Row],[Units]]&lt;&gt;"",tblFleet[[#This Row],[Calendar_h]]&gt;0),tblFleet[[#This Row],[Available_h]]/tblFleet[[#This Row],[Calendar_h]],"")</f>
        <v/>
      </c>
      <c r="J180" s="60">
        <f>IF(AND(tblFleet[[#This Row],[Units]]&lt;&gt;"",tblFleet[[#This Row],[Available_h]]&gt;0),tblFleet[[#This Row],[Operating_h]]/tblFleet[[#This Row],[Available_h]],"")</f>
        <v/>
      </c>
    </row>
    <row r="181">
      <c r="A181" s="54" t="n"/>
      <c r="B181" s="61" t="n"/>
      <c r="C181" s="62" t="n"/>
      <c r="D181" s="57" t="n"/>
      <c r="E181" s="57" t="n"/>
      <c r="F181" s="58" t="n"/>
      <c r="G181" s="66">
        <f>IF(tblFleet[[#This Row],[Units]]="","",tblFleet[[#This Row],[Units]]*cfg_HoursPerDay)</f>
        <v/>
      </c>
      <c r="H181" s="66">
        <f>IF(tblFleet[[#This Row],[Units]]="","",tblFleet[[#This Row],[Calendar_h]]-tblFleet[[#This Row],[Down_h]])</f>
        <v/>
      </c>
      <c r="I181" s="60">
        <f>IF(AND(tblFleet[[#This Row],[Units]]&lt;&gt;"",tblFleet[[#This Row],[Calendar_h]]&gt;0),tblFleet[[#This Row],[Available_h]]/tblFleet[[#This Row],[Calendar_h]],"")</f>
        <v/>
      </c>
      <c r="J181" s="60">
        <f>IF(AND(tblFleet[[#This Row],[Units]]&lt;&gt;"",tblFleet[[#This Row],[Available_h]]&gt;0),tblFleet[[#This Row],[Operating_h]]/tblFleet[[#This Row],[Available_h]],"")</f>
        <v/>
      </c>
    </row>
    <row r="182">
      <c r="A182" s="54" t="n"/>
      <c r="B182" s="61" t="n"/>
      <c r="C182" s="62" t="n"/>
      <c r="D182" s="57" t="n"/>
      <c r="E182" s="57" t="n"/>
      <c r="F182" s="58" t="n"/>
      <c r="G182" s="66">
        <f>IF(tblFleet[[#This Row],[Units]]="","",tblFleet[[#This Row],[Units]]*cfg_HoursPerDay)</f>
        <v/>
      </c>
      <c r="H182" s="66">
        <f>IF(tblFleet[[#This Row],[Units]]="","",tblFleet[[#This Row],[Calendar_h]]-tblFleet[[#This Row],[Down_h]])</f>
        <v/>
      </c>
      <c r="I182" s="60">
        <f>IF(AND(tblFleet[[#This Row],[Units]]&lt;&gt;"",tblFleet[[#This Row],[Calendar_h]]&gt;0),tblFleet[[#This Row],[Available_h]]/tblFleet[[#This Row],[Calendar_h]],"")</f>
        <v/>
      </c>
      <c r="J182" s="60">
        <f>IF(AND(tblFleet[[#This Row],[Units]]&lt;&gt;"",tblFleet[[#This Row],[Available_h]]&gt;0),tblFleet[[#This Row],[Operating_h]]/tblFleet[[#This Row],[Available_h]],"")</f>
        <v/>
      </c>
    </row>
    <row r="183">
      <c r="A183" s="54" t="n"/>
      <c r="B183" s="61" t="n"/>
      <c r="C183" s="62" t="n"/>
      <c r="D183" s="57" t="n"/>
      <c r="E183" s="57" t="n"/>
      <c r="F183" s="58" t="n"/>
      <c r="G183" s="66">
        <f>IF(tblFleet[[#This Row],[Units]]="","",tblFleet[[#This Row],[Units]]*cfg_HoursPerDay)</f>
        <v/>
      </c>
      <c r="H183" s="66">
        <f>IF(tblFleet[[#This Row],[Units]]="","",tblFleet[[#This Row],[Calendar_h]]-tblFleet[[#This Row],[Down_h]])</f>
        <v/>
      </c>
      <c r="I183" s="60">
        <f>IF(AND(tblFleet[[#This Row],[Units]]&lt;&gt;"",tblFleet[[#This Row],[Calendar_h]]&gt;0),tblFleet[[#This Row],[Available_h]]/tblFleet[[#This Row],[Calendar_h]],"")</f>
        <v/>
      </c>
      <c r="J183" s="60">
        <f>IF(AND(tblFleet[[#This Row],[Units]]&lt;&gt;"",tblFleet[[#This Row],[Available_h]]&gt;0),tblFleet[[#This Row],[Operating_h]]/tblFleet[[#This Row],[Available_h]],"")</f>
        <v/>
      </c>
    </row>
    <row r="184">
      <c r="A184" s="54" t="n"/>
      <c r="B184" s="61" t="n"/>
      <c r="C184" s="62" t="n"/>
      <c r="D184" s="57" t="n"/>
      <c r="E184" s="57" t="n"/>
      <c r="F184" s="58" t="n"/>
      <c r="G184" s="66">
        <f>IF(tblFleet[[#This Row],[Units]]="","",tblFleet[[#This Row],[Units]]*cfg_HoursPerDay)</f>
        <v/>
      </c>
      <c r="H184" s="66">
        <f>IF(tblFleet[[#This Row],[Units]]="","",tblFleet[[#This Row],[Calendar_h]]-tblFleet[[#This Row],[Down_h]])</f>
        <v/>
      </c>
      <c r="I184" s="60">
        <f>IF(AND(tblFleet[[#This Row],[Units]]&lt;&gt;"",tblFleet[[#This Row],[Calendar_h]]&gt;0),tblFleet[[#This Row],[Available_h]]/tblFleet[[#This Row],[Calendar_h]],"")</f>
        <v/>
      </c>
      <c r="J184" s="60">
        <f>IF(AND(tblFleet[[#This Row],[Units]]&lt;&gt;"",tblFleet[[#This Row],[Available_h]]&gt;0),tblFleet[[#This Row],[Operating_h]]/tblFleet[[#This Row],[Available_h]],"")</f>
        <v/>
      </c>
    </row>
    <row r="185">
      <c r="A185" s="54" t="n"/>
      <c r="B185" s="61" t="n"/>
      <c r="C185" s="62" t="n"/>
      <c r="D185" s="57" t="n"/>
      <c r="E185" s="57" t="n"/>
      <c r="F185" s="58" t="n"/>
      <c r="G185" s="66">
        <f>IF(tblFleet[[#This Row],[Units]]="","",tblFleet[[#This Row],[Units]]*cfg_HoursPerDay)</f>
        <v/>
      </c>
      <c r="H185" s="66">
        <f>IF(tblFleet[[#This Row],[Units]]="","",tblFleet[[#This Row],[Calendar_h]]-tblFleet[[#This Row],[Down_h]])</f>
        <v/>
      </c>
      <c r="I185" s="60">
        <f>IF(AND(tblFleet[[#This Row],[Units]]&lt;&gt;"",tblFleet[[#This Row],[Calendar_h]]&gt;0),tblFleet[[#This Row],[Available_h]]/tblFleet[[#This Row],[Calendar_h]],"")</f>
        <v/>
      </c>
      <c r="J185" s="60">
        <f>IF(AND(tblFleet[[#This Row],[Units]]&lt;&gt;"",tblFleet[[#This Row],[Available_h]]&gt;0),tblFleet[[#This Row],[Operating_h]]/tblFleet[[#This Row],[Available_h]],"")</f>
        <v/>
      </c>
    </row>
    <row r="186">
      <c r="A186" s="54" t="n"/>
      <c r="B186" s="61" t="n"/>
      <c r="C186" s="62" t="n"/>
      <c r="D186" s="57" t="n"/>
      <c r="E186" s="57" t="n"/>
      <c r="F186" s="58" t="n"/>
      <c r="G186" s="66">
        <f>IF(tblFleet[[#This Row],[Units]]="","",tblFleet[[#This Row],[Units]]*cfg_HoursPerDay)</f>
        <v/>
      </c>
      <c r="H186" s="66">
        <f>IF(tblFleet[[#This Row],[Units]]="","",tblFleet[[#This Row],[Calendar_h]]-tblFleet[[#This Row],[Down_h]])</f>
        <v/>
      </c>
      <c r="I186" s="60">
        <f>IF(AND(tblFleet[[#This Row],[Units]]&lt;&gt;"",tblFleet[[#This Row],[Calendar_h]]&gt;0),tblFleet[[#This Row],[Available_h]]/tblFleet[[#This Row],[Calendar_h]],"")</f>
        <v/>
      </c>
      <c r="J186" s="60">
        <f>IF(AND(tblFleet[[#This Row],[Units]]&lt;&gt;"",tblFleet[[#This Row],[Available_h]]&gt;0),tblFleet[[#This Row],[Operating_h]]/tblFleet[[#This Row],[Available_h]],"")</f>
        <v/>
      </c>
    </row>
    <row r="187">
      <c r="A187" s="54" t="n"/>
      <c r="B187" s="61" t="n"/>
      <c r="C187" s="62" t="n"/>
      <c r="D187" s="57" t="n"/>
      <c r="E187" s="57" t="n"/>
      <c r="F187" s="58" t="n"/>
      <c r="G187" s="66">
        <f>IF(tblFleet[[#This Row],[Units]]="","",tblFleet[[#This Row],[Units]]*cfg_HoursPerDay)</f>
        <v/>
      </c>
      <c r="H187" s="66">
        <f>IF(tblFleet[[#This Row],[Units]]="","",tblFleet[[#This Row],[Calendar_h]]-tblFleet[[#This Row],[Down_h]])</f>
        <v/>
      </c>
      <c r="I187" s="60">
        <f>IF(AND(tblFleet[[#This Row],[Units]]&lt;&gt;"",tblFleet[[#This Row],[Calendar_h]]&gt;0),tblFleet[[#This Row],[Available_h]]/tblFleet[[#This Row],[Calendar_h]],"")</f>
        <v/>
      </c>
      <c r="J187" s="60">
        <f>IF(AND(tblFleet[[#This Row],[Units]]&lt;&gt;"",tblFleet[[#This Row],[Available_h]]&gt;0),tblFleet[[#This Row],[Operating_h]]/tblFleet[[#This Row],[Available_h]],"")</f>
        <v/>
      </c>
    </row>
    <row r="188">
      <c r="A188" s="54" t="n"/>
      <c r="B188" s="61" t="n"/>
      <c r="C188" s="62" t="n"/>
      <c r="D188" s="57" t="n"/>
      <c r="E188" s="57" t="n"/>
      <c r="F188" s="58" t="n"/>
      <c r="G188" s="66">
        <f>IF(tblFleet[[#This Row],[Units]]="","",tblFleet[[#This Row],[Units]]*cfg_HoursPerDay)</f>
        <v/>
      </c>
      <c r="H188" s="66">
        <f>IF(tblFleet[[#This Row],[Units]]="","",tblFleet[[#This Row],[Calendar_h]]-tblFleet[[#This Row],[Down_h]])</f>
        <v/>
      </c>
      <c r="I188" s="60">
        <f>IF(AND(tblFleet[[#This Row],[Units]]&lt;&gt;"",tblFleet[[#This Row],[Calendar_h]]&gt;0),tblFleet[[#This Row],[Available_h]]/tblFleet[[#This Row],[Calendar_h]],"")</f>
        <v/>
      </c>
      <c r="J188" s="60">
        <f>IF(AND(tblFleet[[#This Row],[Units]]&lt;&gt;"",tblFleet[[#This Row],[Available_h]]&gt;0),tblFleet[[#This Row],[Operating_h]]/tblFleet[[#This Row],[Available_h]],"")</f>
        <v/>
      </c>
    </row>
    <row r="189">
      <c r="A189" s="54" t="n"/>
      <c r="B189" s="61" t="n"/>
      <c r="C189" s="62" t="n"/>
      <c r="D189" s="57" t="n"/>
      <c r="E189" s="57" t="n"/>
      <c r="F189" s="58" t="n"/>
      <c r="G189" s="66">
        <f>IF(tblFleet[[#This Row],[Units]]="","",tblFleet[[#This Row],[Units]]*cfg_HoursPerDay)</f>
        <v/>
      </c>
      <c r="H189" s="66">
        <f>IF(tblFleet[[#This Row],[Units]]="","",tblFleet[[#This Row],[Calendar_h]]-tblFleet[[#This Row],[Down_h]])</f>
        <v/>
      </c>
      <c r="I189" s="60">
        <f>IF(AND(tblFleet[[#This Row],[Units]]&lt;&gt;"",tblFleet[[#This Row],[Calendar_h]]&gt;0),tblFleet[[#This Row],[Available_h]]/tblFleet[[#This Row],[Calendar_h]],"")</f>
        <v/>
      </c>
      <c r="J189" s="60">
        <f>IF(AND(tblFleet[[#This Row],[Units]]&lt;&gt;"",tblFleet[[#This Row],[Available_h]]&gt;0),tblFleet[[#This Row],[Operating_h]]/tblFleet[[#This Row],[Available_h]],"")</f>
        <v/>
      </c>
    </row>
    <row r="190">
      <c r="A190" s="54" t="n"/>
      <c r="B190" s="61" t="n"/>
      <c r="C190" s="62" t="n"/>
      <c r="D190" s="57" t="n"/>
      <c r="E190" s="57" t="n"/>
      <c r="F190" s="58" t="n"/>
      <c r="G190" s="66">
        <f>IF(tblFleet[[#This Row],[Units]]="","",tblFleet[[#This Row],[Units]]*cfg_HoursPerDay)</f>
        <v/>
      </c>
      <c r="H190" s="66">
        <f>IF(tblFleet[[#This Row],[Units]]="","",tblFleet[[#This Row],[Calendar_h]]-tblFleet[[#This Row],[Down_h]])</f>
        <v/>
      </c>
      <c r="I190" s="60">
        <f>IF(AND(tblFleet[[#This Row],[Units]]&lt;&gt;"",tblFleet[[#This Row],[Calendar_h]]&gt;0),tblFleet[[#This Row],[Available_h]]/tblFleet[[#This Row],[Calendar_h]],"")</f>
        <v/>
      </c>
      <c r="J190" s="60">
        <f>IF(AND(tblFleet[[#This Row],[Units]]&lt;&gt;"",tblFleet[[#This Row],[Available_h]]&gt;0),tblFleet[[#This Row],[Operating_h]]/tblFleet[[#This Row],[Available_h]],"")</f>
        <v/>
      </c>
    </row>
    <row r="191">
      <c r="A191" s="54" t="n"/>
      <c r="B191" s="61" t="n"/>
      <c r="C191" s="62" t="n"/>
      <c r="D191" s="57" t="n"/>
      <c r="E191" s="57" t="n"/>
      <c r="F191" s="58" t="n"/>
      <c r="G191" s="66">
        <f>IF(tblFleet[[#This Row],[Units]]="","",tblFleet[[#This Row],[Units]]*cfg_HoursPerDay)</f>
        <v/>
      </c>
      <c r="H191" s="66">
        <f>IF(tblFleet[[#This Row],[Units]]="","",tblFleet[[#This Row],[Calendar_h]]-tblFleet[[#This Row],[Down_h]])</f>
        <v/>
      </c>
      <c r="I191" s="60">
        <f>IF(AND(tblFleet[[#This Row],[Units]]&lt;&gt;"",tblFleet[[#This Row],[Calendar_h]]&gt;0),tblFleet[[#This Row],[Available_h]]/tblFleet[[#This Row],[Calendar_h]],"")</f>
        <v/>
      </c>
      <c r="J191" s="60">
        <f>IF(AND(tblFleet[[#This Row],[Units]]&lt;&gt;"",tblFleet[[#This Row],[Available_h]]&gt;0),tblFleet[[#This Row],[Operating_h]]/tblFleet[[#This Row],[Available_h]],"")</f>
        <v/>
      </c>
    </row>
    <row r="192">
      <c r="A192" s="54" t="n"/>
      <c r="B192" s="61" t="n"/>
      <c r="C192" s="62" t="n"/>
      <c r="D192" s="57" t="n"/>
      <c r="E192" s="57" t="n"/>
      <c r="F192" s="58" t="n"/>
      <c r="G192" s="66">
        <f>IF(tblFleet[[#This Row],[Units]]="","",tblFleet[[#This Row],[Units]]*cfg_HoursPerDay)</f>
        <v/>
      </c>
      <c r="H192" s="66">
        <f>IF(tblFleet[[#This Row],[Units]]="","",tblFleet[[#This Row],[Calendar_h]]-tblFleet[[#This Row],[Down_h]])</f>
        <v/>
      </c>
      <c r="I192" s="60">
        <f>IF(AND(tblFleet[[#This Row],[Units]]&lt;&gt;"",tblFleet[[#This Row],[Calendar_h]]&gt;0),tblFleet[[#This Row],[Available_h]]/tblFleet[[#This Row],[Calendar_h]],"")</f>
        <v/>
      </c>
      <c r="J192" s="60">
        <f>IF(AND(tblFleet[[#This Row],[Units]]&lt;&gt;"",tblFleet[[#This Row],[Available_h]]&gt;0),tblFleet[[#This Row],[Operating_h]]/tblFleet[[#This Row],[Available_h]],"")</f>
        <v/>
      </c>
    </row>
    <row r="193">
      <c r="A193" s="54" t="n"/>
      <c r="B193" s="61" t="n"/>
      <c r="C193" s="62" t="n"/>
      <c r="D193" s="57" t="n"/>
      <c r="E193" s="57" t="n"/>
      <c r="F193" s="58" t="n"/>
      <c r="G193" s="66">
        <f>IF(tblFleet[[#This Row],[Units]]="","",tblFleet[[#This Row],[Units]]*cfg_HoursPerDay)</f>
        <v/>
      </c>
      <c r="H193" s="66">
        <f>IF(tblFleet[[#This Row],[Units]]="","",tblFleet[[#This Row],[Calendar_h]]-tblFleet[[#This Row],[Down_h]])</f>
        <v/>
      </c>
      <c r="I193" s="60">
        <f>IF(AND(tblFleet[[#This Row],[Units]]&lt;&gt;"",tblFleet[[#This Row],[Calendar_h]]&gt;0),tblFleet[[#This Row],[Available_h]]/tblFleet[[#This Row],[Calendar_h]],"")</f>
        <v/>
      </c>
      <c r="J193" s="60">
        <f>IF(AND(tblFleet[[#This Row],[Units]]&lt;&gt;"",tblFleet[[#This Row],[Available_h]]&gt;0),tblFleet[[#This Row],[Operating_h]]/tblFleet[[#This Row],[Available_h]],"")</f>
        <v/>
      </c>
    </row>
    <row r="194">
      <c r="A194" s="54" t="n"/>
      <c r="B194" s="61" t="n"/>
      <c r="C194" s="62" t="n"/>
      <c r="D194" s="57" t="n"/>
      <c r="E194" s="57" t="n"/>
      <c r="F194" s="58" t="n"/>
      <c r="G194" s="66">
        <f>IF(tblFleet[[#This Row],[Units]]="","",tblFleet[[#This Row],[Units]]*cfg_HoursPerDay)</f>
        <v/>
      </c>
      <c r="H194" s="66">
        <f>IF(tblFleet[[#This Row],[Units]]="","",tblFleet[[#This Row],[Calendar_h]]-tblFleet[[#This Row],[Down_h]])</f>
        <v/>
      </c>
      <c r="I194" s="60">
        <f>IF(AND(tblFleet[[#This Row],[Units]]&lt;&gt;"",tblFleet[[#This Row],[Calendar_h]]&gt;0),tblFleet[[#This Row],[Available_h]]/tblFleet[[#This Row],[Calendar_h]],"")</f>
        <v/>
      </c>
      <c r="J194" s="60">
        <f>IF(AND(tblFleet[[#This Row],[Units]]&lt;&gt;"",tblFleet[[#This Row],[Available_h]]&gt;0),tblFleet[[#This Row],[Operating_h]]/tblFleet[[#This Row],[Available_h]],"")</f>
        <v/>
      </c>
    </row>
    <row r="195">
      <c r="A195" s="54" t="n"/>
      <c r="B195" s="61" t="n"/>
      <c r="C195" s="62" t="n"/>
      <c r="D195" s="57" t="n"/>
      <c r="E195" s="57" t="n"/>
      <c r="F195" s="58" t="n"/>
      <c r="G195" s="66">
        <f>IF(tblFleet[[#This Row],[Units]]="","",tblFleet[[#This Row],[Units]]*cfg_HoursPerDay)</f>
        <v/>
      </c>
      <c r="H195" s="66">
        <f>IF(tblFleet[[#This Row],[Units]]="","",tblFleet[[#This Row],[Calendar_h]]-tblFleet[[#This Row],[Down_h]])</f>
        <v/>
      </c>
      <c r="I195" s="60">
        <f>IF(AND(tblFleet[[#This Row],[Units]]&lt;&gt;"",tblFleet[[#This Row],[Calendar_h]]&gt;0),tblFleet[[#This Row],[Available_h]]/tblFleet[[#This Row],[Calendar_h]],"")</f>
        <v/>
      </c>
      <c r="J195" s="60">
        <f>IF(AND(tblFleet[[#This Row],[Units]]&lt;&gt;"",tblFleet[[#This Row],[Available_h]]&gt;0),tblFleet[[#This Row],[Operating_h]]/tblFleet[[#This Row],[Available_h]],"")</f>
        <v/>
      </c>
    </row>
    <row r="196">
      <c r="A196" s="54" t="n"/>
      <c r="B196" s="61" t="n"/>
      <c r="C196" s="62" t="n"/>
      <c r="D196" s="57" t="n"/>
      <c r="E196" s="57" t="n"/>
      <c r="F196" s="58" t="n"/>
      <c r="G196" s="66">
        <f>IF(tblFleet[[#This Row],[Units]]="","",tblFleet[[#This Row],[Units]]*cfg_HoursPerDay)</f>
        <v/>
      </c>
      <c r="H196" s="66">
        <f>IF(tblFleet[[#This Row],[Units]]="","",tblFleet[[#This Row],[Calendar_h]]-tblFleet[[#This Row],[Down_h]])</f>
        <v/>
      </c>
      <c r="I196" s="60">
        <f>IF(AND(tblFleet[[#This Row],[Units]]&lt;&gt;"",tblFleet[[#This Row],[Calendar_h]]&gt;0),tblFleet[[#This Row],[Available_h]]/tblFleet[[#This Row],[Calendar_h]],"")</f>
        <v/>
      </c>
      <c r="J196" s="60">
        <f>IF(AND(tblFleet[[#This Row],[Units]]&lt;&gt;"",tblFleet[[#This Row],[Available_h]]&gt;0),tblFleet[[#This Row],[Operating_h]]/tblFleet[[#This Row],[Available_h]],"")</f>
        <v/>
      </c>
    </row>
    <row r="197">
      <c r="A197" s="54" t="n"/>
      <c r="B197" s="61" t="n"/>
      <c r="C197" s="62" t="n"/>
      <c r="D197" s="57" t="n"/>
      <c r="E197" s="57" t="n"/>
      <c r="F197" s="58" t="n"/>
      <c r="G197" s="66">
        <f>IF(tblFleet[[#This Row],[Units]]="","",tblFleet[[#This Row],[Units]]*cfg_HoursPerDay)</f>
        <v/>
      </c>
      <c r="H197" s="66">
        <f>IF(tblFleet[[#This Row],[Units]]="","",tblFleet[[#This Row],[Calendar_h]]-tblFleet[[#This Row],[Down_h]])</f>
        <v/>
      </c>
      <c r="I197" s="60">
        <f>IF(AND(tblFleet[[#This Row],[Units]]&lt;&gt;"",tblFleet[[#This Row],[Calendar_h]]&gt;0),tblFleet[[#This Row],[Available_h]]/tblFleet[[#This Row],[Calendar_h]],"")</f>
        <v/>
      </c>
      <c r="J197" s="60">
        <f>IF(AND(tblFleet[[#This Row],[Units]]&lt;&gt;"",tblFleet[[#This Row],[Available_h]]&gt;0),tblFleet[[#This Row],[Operating_h]]/tblFleet[[#This Row],[Available_h]],"")</f>
        <v/>
      </c>
    </row>
    <row r="198">
      <c r="A198" s="54" t="n"/>
      <c r="B198" s="61" t="n"/>
      <c r="C198" s="62" t="n"/>
      <c r="D198" s="57" t="n"/>
      <c r="E198" s="57" t="n"/>
      <c r="F198" s="58" t="n"/>
      <c r="G198" s="66">
        <f>IF(tblFleet[[#This Row],[Units]]="","",tblFleet[[#This Row],[Units]]*cfg_HoursPerDay)</f>
        <v/>
      </c>
      <c r="H198" s="66">
        <f>IF(tblFleet[[#This Row],[Units]]="","",tblFleet[[#This Row],[Calendar_h]]-tblFleet[[#This Row],[Down_h]])</f>
        <v/>
      </c>
      <c r="I198" s="60">
        <f>IF(AND(tblFleet[[#This Row],[Units]]&lt;&gt;"",tblFleet[[#This Row],[Calendar_h]]&gt;0),tblFleet[[#This Row],[Available_h]]/tblFleet[[#This Row],[Calendar_h]],"")</f>
        <v/>
      </c>
      <c r="J198" s="60">
        <f>IF(AND(tblFleet[[#This Row],[Units]]&lt;&gt;"",tblFleet[[#This Row],[Available_h]]&gt;0),tblFleet[[#This Row],[Operating_h]]/tblFleet[[#This Row],[Available_h]],"")</f>
        <v/>
      </c>
    </row>
    <row r="199">
      <c r="A199" s="54" t="n"/>
      <c r="B199" s="61" t="n"/>
      <c r="C199" s="62" t="n"/>
      <c r="D199" s="57" t="n"/>
      <c r="E199" s="57" t="n"/>
      <c r="F199" s="58" t="n"/>
      <c r="G199" s="66">
        <f>IF(tblFleet[[#This Row],[Units]]="","",tblFleet[[#This Row],[Units]]*cfg_HoursPerDay)</f>
        <v/>
      </c>
      <c r="H199" s="66">
        <f>IF(tblFleet[[#This Row],[Units]]="","",tblFleet[[#This Row],[Calendar_h]]-tblFleet[[#This Row],[Down_h]])</f>
        <v/>
      </c>
      <c r="I199" s="60">
        <f>IF(AND(tblFleet[[#This Row],[Units]]&lt;&gt;"",tblFleet[[#This Row],[Calendar_h]]&gt;0),tblFleet[[#This Row],[Available_h]]/tblFleet[[#This Row],[Calendar_h]],"")</f>
        <v/>
      </c>
      <c r="J199" s="60">
        <f>IF(AND(tblFleet[[#This Row],[Units]]&lt;&gt;"",tblFleet[[#This Row],[Available_h]]&gt;0),tblFleet[[#This Row],[Operating_h]]/tblFleet[[#This Row],[Available_h]],"")</f>
        <v/>
      </c>
    </row>
    <row r="200">
      <c r="A200" s="54" t="n"/>
      <c r="B200" s="61" t="n"/>
      <c r="C200" s="62" t="n"/>
      <c r="D200" s="57" t="n"/>
      <c r="E200" s="57" t="n"/>
      <c r="F200" s="58" t="n"/>
      <c r="G200" s="66">
        <f>IF(tblFleet[[#This Row],[Units]]="","",tblFleet[[#This Row],[Units]]*cfg_HoursPerDay)</f>
        <v/>
      </c>
      <c r="H200" s="66">
        <f>IF(tblFleet[[#This Row],[Units]]="","",tblFleet[[#This Row],[Calendar_h]]-tblFleet[[#This Row],[Down_h]])</f>
        <v/>
      </c>
      <c r="I200" s="60">
        <f>IF(AND(tblFleet[[#This Row],[Units]]&lt;&gt;"",tblFleet[[#This Row],[Calendar_h]]&gt;0),tblFleet[[#This Row],[Available_h]]/tblFleet[[#This Row],[Calendar_h]],"")</f>
        <v/>
      </c>
      <c r="J200" s="60">
        <f>IF(AND(tblFleet[[#This Row],[Units]]&lt;&gt;"",tblFleet[[#This Row],[Available_h]]&gt;0),tblFleet[[#This Row],[Operating_h]]/tblFleet[[#This Row],[Available_h]],"")</f>
        <v/>
      </c>
    </row>
    <row r="201">
      <c r="A201" s="54" t="n"/>
      <c r="B201" s="61" t="n"/>
      <c r="C201" s="62" t="n"/>
      <c r="D201" s="57" t="n"/>
      <c r="E201" s="57" t="n"/>
      <c r="F201" s="58" t="n"/>
      <c r="G201" s="66">
        <f>IF(tblFleet[[#This Row],[Units]]="","",tblFleet[[#This Row],[Units]]*cfg_HoursPerDay)</f>
        <v/>
      </c>
      <c r="H201" s="66">
        <f>IF(tblFleet[[#This Row],[Units]]="","",tblFleet[[#This Row],[Calendar_h]]-tblFleet[[#This Row],[Down_h]])</f>
        <v/>
      </c>
      <c r="I201" s="60">
        <f>IF(AND(tblFleet[[#This Row],[Units]]&lt;&gt;"",tblFleet[[#This Row],[Calendar_h]]&gt;0),tblFleet[[#This Row],[Available_h]]/tblFleet[[#This Row],[Calendar_h]],"")</f>
        <v/>
      </c>
      <c r="J201" s="60">
        <f>IF(AND(tblFleet[[#This Row],[Units]]&lt;&gt;"",tblFleet[[#This Row],[Available_h]]&gt;0),tblFleet[[#This Row],[Operating_h]]/tblFleet[[#This Row],[Available_h]],"")</f>
        <v/>
      </c>
    </row>
    <row r="202">
      <c r="A202" s="54" t="n"/>
      <c r="B202" s="61" t="n"/>
      <c r="C202" s="62" t="n"/>
      <c r="D202" s="57" t="n"/>
      <c r="E202" s="57" t="n"/>
      <c r="F202" s="58" t="n"/>
      <c r="G202" s="66">
        <f>IF(tblFleet[[#This Row],[Units]]="","",tblFleet[[#This Row],[Units]]*cfg_HoursPerDay)</f>
        <v/>
      </c>
      <c r="H202" s="66">
        <f>IF(tblFleet[[#This Row],[Units]]="","",tblFleet[[#This Row],[Calendar_h]]-tblFleet[[#This Row],[Down_h]])</f>
        <v/>
      </c>
      <c r="I202" s="60">
        <f>IF(AND(tblFleet[[#This Row],[Units]]&lt;&gt;"",tblFleet[[#This Row],[Calendar_h]]&gt;0),tblFleet[[#This Row],[Available_h]]/tblFleet[[#This Row],[Calendar_h]],"")</f>
        <v/>
      </c>
      <c r="J202" s="60">
        <f>IF(AND(tblFleet[[#This Row],[Units]]&lt;&gt;"",tblFleet[[#This Row],[Available_h]]&gt;0),tblFleet[[#This Row],[Operating_h]]/tblFleet[[#This Row],[Available_h]],"")</f>
        <v/>
      </c>
    </row>
    <row r="203">
      <c r="A203" s="54" t="n"/>
      <c r="B203" s="61" t="n"/>
      <c r="C203" s="62" t="n"/>
      <c r="D203" s="57" t="n"/>
      <c r="E203" s="57" t="n"/>
      <c r="F203" s="58" t="n"/>
      <c r="G203" s="66">
        <f>IF(tblFleet[[#This Row],[Units]]="","",tblFleet[[#This Row],[Units]]*cfg_HoursPerDay)</f>
        <v/>
      </c>
      <c r="H203" s="66">
        <f>IF(tblFleet[[#This Row],[Units]]="","",tblFleet[[#This Row],[Calendar_h]]-tblFleet[[#This Row],[Down_h]])</f>
        <v/>
      </c>
      <c r="I203" s="60">
        <f>IF(AND(tblFleet[[#This Row],[Units]]&lt;&gt;"",tblFleet[[#This Row],[Calendar_h]]&gt;0),tblFleet[[#This Row],[Available_h]]/tblFleet[[#This Row],[Calendar_h]],"")</f>
        <v/>
      </c>
      <c r="J203" s="60">
        <f>IF(AND(tblFleet[[#This Row],[Units]]&lt;&gt;"",tblFleet[[#This Row],[Available_h]]&gt;0),tblFleet[[#This Row],[Operating_h]]/tblFleet[[#This Row],[Available_h]],"")</f>
        <v/>
      </c>
    </row>
    <row r="204">
      <c r="A204" s="54" t="n"/>
      <c r="B204" s="61" t="n"/>
      <c r="C204" s="62" t="n"/>
      <c r="D204" s="57" t="n"/>
      <c r="E204" s="57" t="n"/>
      <c r="F204" s="58" t="n"/>
      <c r="G204" s="66">
        <f>IF(tblFleet[[#This Row],[Units]]="","",tblFleet[[#This Row],[Units]]*cfg_HoursPerDay)</f>
        <v/>
      </c>
      <c r="H204" s="66">
        <f>IF(tblFleet[[#This Row],[Units]]="","",tblFleet[[#This Row],[Calendar_h]]-tblFleet[[#This Row],[Down_h]])</f>
        <v/>
      </c>
      <c r="I204" s="60">
        <f>IF(AND(tblFleet[[#This Row],[Units]]&lt;&gt;"",tblFleet[[#This Row],[Calendar_h]]&gt;0),tblFleet[[#This Row],[Available_h]]/tblFleet[[#This Row],[Calendar_h]],"")</f>
        <v/>
      </c>
      <c r="J204" s="60">
        <f>IF(AND(tblFleet[[#This Row],[Units]]&lt;&gt;"",tblFleet[[#This Row],[Available_h]]&gt;0),tblFleet[[#This Row],[Operating_h]]/tblFleet[[#This Row],[Available_h]],"")</f>
        <v/>
      </c>
    </row>
    <row r="205">
      <c r="A205" s="54" t="n"/>
      <c r="B205" s="61" t="n"/>
      <c r="C205" s="62" t="n"/>
      <c r="D205" s="57" t="n"/>
      <c r="E205" s="57" t="n"/>
      <c r="F205" s="58" t="n"/>
      <c r="G205" s="66">
        <f>IF(tblFleet[[#This Row],[Units]]="","",tblFleet[[#This Row],[Units]]*cfg_HoursPerDay)</f>
        <v/>
      </c>
      <c r="H205" s="66">
        <f>IF(tblFleet[[#This Row],[Units]]="","",tblFleet[[#This Row],[Calendar_h]]-tblFleet[[#This Row],[Down_h]])</f>
        <v/>
      </c>
      <c r="I205" s="60">
        <f>IF(AND(tblFleet[[#This Row],[Units]]&lt;&gt;"",tblFleet[[#This Row],[Calendar_h]]&gt;0),tblFleet[[#This Row],[Available_h]]/tblFleet[[#This Row],[Calendar_h]],"")</f>
        <v/>
      </c>
      <c r="J205" s="60">
        <f>IF(AND(tblFleet[[#This Row],[Units]]&lt;&gt;"",tblFleet[[#This Row],[Available_h]]&gt;0),tblFleet[[#This Row],[Operating_h]]/tblFleet[[#This Row],[Available_h]],"")</f>
        <v/>
      </c>
    </row>
    <row r="206">
      <c r="A206" s="54" t="n"/>
      <c r="B206" s="61" t="n"/>
      <c r="C206" s="62" t="n"/>
      <c r="D206" s="57" t="n"/>
      <c r="E206" s="57" t="n"/>
      <c r="F206" s="58" t="n"/>
      <c r="G206" s="66">
        <f>IF(tblFleet[[#This Row],[Units]]="","",tblFleet[[#This Row],[Units]]*cfg_HoursPerDay)</f>
        <v/>
      </c>
      <c r="H206" s="66">
        <f>IF(tblFleet[[#This Row],[Units]]="","",tblFleet[[#This Row],[Calendar_h]]-tblFleet[[#This Row],[Down_h]])</f>
        <v/>
      </c>
      <c r="I206" s="60">
        <f>IF(AND(tblFleet[[#This Row],[Units]]&lt;&gt;"",tblFleet[[#This Row],[Calendar_h]]&gt;0),tblFleet[[#This Row],[Available_h]]/tblFleet[[#This Row],[Calendar_h]],"")</f>
        <v/>
      </c>
      <c r="J206" s="60">
        <f>IF(AND(tblFleet[[#This Row],[Units]]&lt;&gt;"",tblFleet[[#This Row],[Available_h]]&gt;0),tblFleet[[#This Row],[Operating_h]]/tblFleet[[#This Row],[Available_h]],"")</f>
        <v/>
      </c>
    </row>
    <row r="207">
      <c r="A207" s="54" t="n"/>
      <c r="B207" s="61" t="n"/>
      <c r="C207" s="62" t="n"/>
      <c r="D207" s="57" t="n"/>
      <c r="E207" s="57" t="n"/>
      <c r="F207" s="58" t="n"/>
      <c r="G207" s="66">
        <f>IF(tblFleet[[#This Row],[Units]]="","",tblFleet[[#This Row],[Units]]*cfg_HoursPerDay)</f>
        <v/>
      </c>
      <c r="H207" s="66">
        <f>IF(tblFleet[[#This Row],[Units]]="","",tblFleet[[#This Row],[Calendar_h]]-tblFleet[[#This Row],[Down_h]])</f>
        <v/>
      </c>
      <c r="I207" s="60">
        <f>IF(AND(tblFleet[[#This Row],[Units]]&lt;&gt;"",tblFleet[[#This Row],[Calendar_h]]&gt;0),tblFleet[[#This Row],[Available_h]]/tblFleet[[#This Row],[Calendar_h]],"")</f>
        <v/>
      </c>
      <c r="J207" s="60">
        <f>IF(AND(tblFleet[[#This Row],[Units]]&lt;&gt;"",tblFleet[[#This Row],[Available_h]]&gt;0),tblFleet[[#This Row],[Operating_h]]/tblFleet[[#This Row],[Available_h]],"")</f>
        <v/>
      </c>
    </row>
    <row r="208">
      <c r="A208" s="54" t="n"/>
      <c r="B208" s="61" t="n"/>
      <c r="C208" s="62" t="n"/>
      <c r="D208" s="57" t="n"/>
      <c r="E208" s="57" t="n"/>
      <c r="F208" s="58" t="n"/>
      <c r="G208" s="66">
        <f>IF(tblFleet[[#This Row],[Units]]="","",tblFleet[[#This Row],[Units]]*cfg_HoursPerDay)</f>
        <v/>
      </c>
      <c r="H208" s="66">
        <f>IF(tblFleet[[#This Row],[Units]]="","",tblFleet[[#This Row],[Calendar_h]]-tblFleet[[#This Row],[Down_h]])</f>
        <v/>
      </c>
      <c r="I208" s="60">
        <f>IF(AND(tblFleet[[#This Row],[Units]]&lt;&gt;"",tblFleet[[#This Row],[Calendar_h]]&gt;0),tblFleet[[#This Row],[Available_h]]/tblFleet[[#This Row],[Calendar_h]],"")</f>
        <v/>
      </c>
      <c r="J208" s="60">
        <f>IF(AND(tblFleet[[#This Row],[Units]]&lt;&gt;"",tblFleet[[#This Row],[Available_h]]&gt;0),tblFleet[[#This Row],[Operating_h]]/tblFleet[[#This Row],[Available_h]],"")</f>
        <v/>
      </c>
    </row>
    <row r="209">
      <c r="A209" s="54" t="n"/>
      <c r="B209" s="61" t="n"/>
      <c r="C209" s="62" t="n"/>
      <c r="D209" s="57" t="n"/>
      <c r="E209" s="57" t="n"/>
      <c r="F209" s="58" t="n"/>
      <c r="G209" s="66">
        <f>IF(tblFleet[[#This Row],[Units]]="","",tblFleet[[#This Row],[Units]]*cfg_HoursPerDay)</f>
        <v/>
      </c>
      <c r="H209" s="66">
        <f>IF(tblFleet[[#This Row],[Units]]="","",tblFleet[[#This Row],[Calendar_h]]-tblFleet[[#This Row],[Down_h]])</f>
        <v/>
      </c>
      <c r="I209" s="60">
        <f>IF(AND(tblFleet[[#This Row],[Units]]&lt;&gt;"",tblFleet[[#This Row],[Calendar_h]]&gt;0),tblFleet[[#This Row],[Available_h]]/tblFleet[[#This Row],[Calendar_h]],"")</f>
        <v/>
      </c>
      <c r="J209" s="60">
        <f>IF(AND(tblFleet[[#This Row],[Units]]&lt;&gt;"",tblFleet[[#This Row],[Available_h]]&gt;0),tblFleet[[#This Row],[Operating_h]]/tblFleet[[#This Row],[Available_h]],"")</f>
        <v/>
      </c>
    </row>
    <row r="210">
      <c r="A210" s="54" t="n"/>
      <c r="B210" s="61" t="n"/>
      <c r="C210" s="62" t="n"/>
      <c r="D210" s="57" t="n"/>
      <c r="E210" s="57" t="n"/>
      <c r="F210" s="58" t="n"/>
      <c r="G210" s="66">
        <f>IF(tblFleet[[#This Row],[Units]]="","",tblFleet[[#This Row],[Units]]*cfg_HoursPerDay)</f>
        <v/>
      </c>
      <c r="H210" s="66">
        <f>IF(tblFleet[[#This Row],[Units]]="","",tblFleet[[#This Row],[Calendar_h]]-tblFleet[[#This Row],[Down_h]])</f>
        <v/>
      </c>
      <c r="I210" s="60">
        <f>IF(AND(tblFleet[[#This Row],[Units]]&lt;&gt;"",tblFleet[[#This Row],[Calendar_h]]&gt;0),tblFleet[[#This Row],[Available_h]]/tblFleet[[#This Row],[Calendar_h]],"")</f>
        <v/>
      </c>
      <c r="J210" s="60">
        <f>IF(AND(tblFleet[[#This Row],[Units]]&lt;&gt;"",tblFleet[[#This Row],[Available_h]]&gt;0),tblFleet[[#This Row],[Operating_h]]/tblFleet[[#This Row],[Available_h]],"")</f>
        <v/>
      </c>
    </row>
    <row r="211">
      <c r="A211" s="54" t="n"/>
      <c r="B211" s="61" t="n"/>
      <c r="C211" s="62" t="n"/>
      <c r="D211" s="57" t="n"/>
      <c r="E211" s="57" t="n"/>
      <c r="F211" s="58" t="n"/>
      <c r="G211" s="66">
        <f>IF(tblFleet[[#This Row],[Units]]="","",tblFleet[[#This Row],[Units]]*cfg_HoursPerDay)</f>
        <v/>
      </c>
      <c r="H211" s="66">
        <f>IF(tblFleet[[#This Row],[Units]]="","",tblFleet[[#This Row],[Calendar_h]]-tblFleet[[#This Row],[Down_h]])</f>
        <v/>
      </c>
      <c r="I211" s="60">
        <f>IF(AND(tblFleet[[#This Row],[Units]]&lt;&gt;"",tblFleet[[#This Row],[Calendar_h]]&gt;0),tblFleet[[#This Row],[Available_h]]/tblFleet[[#This Row],[Calendar_h]],"")</f>
        <v/>
      </c>
      <c r="J211" s="60">
        <f>IF(AND(tblFleet[[#This Row],[Units]]&lt;&gt;"",tblFleet[[#This Row],[Available_h]]&gt;0),tblFleet[[#This Row],[Operating_h]]/tblFleet[[#This Row],[Available_h]],"")</f>
        <v/>
      </c>
    </row>
    <row r="212">
      <c r="A212" s="54" t="n"/>
      <c r="B212" s="61" t="n"/>
      <c r="C212" s="62" t="n"/>
      <c r="D212" s="57" t="n"/>
      <c r="E212" s="57" t="n"/>
      <c r="F212" s="58" t="n"/>
      <c r="G212" s="66">
        <f>IF(tblFleet[[#This Row],[Units]]="","",tblFleet[[#This Row],[Units]]*cfg_HoursPerDay)</f>
        <v/>
      </c>
      <c r="H212" s="66">
        <f>IF(tblFleet[[#This Row],[Units]]="","",tblFleet[[#This Row],[Calendar_h]]-tblFleet[[#This Row],[Down_h]])</f>
        <v/>
      </c>
      <c r="I212" s="60">
        <f>IF(AND(tblFleet[[#This Row],[Units]]&lt;&gt;"",tblFleet[[#This Row],[Calendar_h]]&gt;0),tblFleet[[#This Row],[Available_h]]/tblFleet[[#This Row],[Calendar_h]],"")</f>
        <v/>
      </c>
      <c r="J212" s="60">
        <f>IF(AND(tblFleet[[#This Row],[Units]]&lt;&gt;"",tblFleet[[#This Row],[Available_h]]&gt;0),tblFleet[[#This Row],[Operating_h]]/tblFleet[[#This Row],[Available_h]],"")</f>
        <v/>
      </c>
    </row>
    <row r="213">
      <c r="A213" s="54" t="n"/>
      <c r="B213" s="61" t="n"/>
      <c r="C213" s="62" t="n"/>
      <c r="D213" s="57" t="n"/>
      <c r="E213" s="57" t="n"/>
      <c r="F213" s="58" t="n"/>
      <c r="G213" s="66">
        <f>IF(tblFleet[[#This Row],[Units]]="","",tblFleet[[#This Row],[Units]]*cfg_HoursPerDay)</f>
        <v/>
      </c>
      <c r="H213" s="66">
        <f>IF(tblFleet[[#This Row],[Units]]="","",tblFleet[[#This Row],[Calendar_h]]-tblFleet[[#This Row],[Down_h]])</f>
        <v/>
      </c>
      <c r="I213" s="60">
        <f>IF(AND(tblFleet[[#This Row],[Units]]&lt;&gt;"",tblFleet[[#This Row],[Calendar_h]]&gt;0),tblFleet[[#This Row],[Available_h]]/tblFleet[[#This Row],[Calendar_h]],"")</f>
        <v/>
      </c>
      <c r="J213" s="60">
        <f>IF(AND(tblFleet[[#This Row],[Units]]&lt;&gt;"",tblFleet[[#This Row],[Available_h]]&gt;0),tblFleet[[#This Row],[Operating_h]]/tblFleet[[#This Row],[Available_h]],"")</f>
        <v/>
      </c>
    </row>
    <row r="214">
      <c r="A214" s="54" t="n"/>
      <c r="B214" s="61" t="n"/>
      <c r="C214" s="62" t="n"/>
      <c r="D214" s="57" t="n"/>
      <c r="E214" s="57" t="n"/>
      <c r="F214" s="58" t="n"/>
      <c r="G214" s="66">
        <f>IF(tblFleet[[#This Row],[Units]]="","",tblFleet[[#This Row],[Units]]*cfg_HoursPerDay)</f>
        <v/>
      </c>
      <c r="H214" s="66">
        <f>IF(tblFleet[[#This Row],[Units]]="","",tblFleet[[#This Row],[Calendar_h]]-tblFleet[[#This Row],[Down_h]])</f>
        <v/>
      </c>
      <c r="I214" s="60">
        <f>IF(AND(tblFleet[[#This Row],[Units]]&lt;&gt;"",tblFleet[[#This Row],[Calendar_h]]&gt;0),tblFleet[[#This Row],[Available_h]]/tblFleet[[#This Row],[Calendar_h]],"")</f>
        <v/>
      </c>
      <c r="J214" s="60">
        <f>IF(AND(tblFleet[[#This Row],[Units]]&lt;&gt;"",tblFleet[[#This Row],[Available_h]]&gt;0),tblFleet[[#This Row],[Operating_h]]/tblFleet[[#This Row],[Available_h]],"")</f>
        <v/>
      </c>
    </row>
    <row r="215">
      <c r="A215" s="54" t="n"/>
      <c r="B215" s="61" t="n"/>
      <c r="C215" s="62" t="n"/>
      <c r="D215" s="57" t="n"/>
      <c r="E215" s="57" t="n"/>
      <c r="F215" s="58" t="n"/>
      <c r="G215" s="66">
        <f>IF(tblFleet[[#This Row],[Units]]="","",tblFleet[[#This Row],[Units]]*cfg_HoursPerDay)</f>
        <v/>
      </c>
      <c r="H215" s="66">
        <f>IF(tblFleet[[#This Row],[Units]]="","",tblFleet[[#This Row],[Calendar_h]]-tblFleet[[#This Row],[Down_h]])</f>
        <v/>
      </c>
      <c r="I215" s="60">
        <f>IF(AND(tblFleet[[#This Row],[Units]]&lt;&gt;"",tblFleet[[#This Row],[Calendar_h]]&gt;0),tblFleet[[#This Row],[Available_h]]/tblFleet[[#This Row],[Calendar_h]],"")</f>
        <v/>
      </c>
      <c r="J215" s="60">
        <f>IF(AND(tblFleet[[#This Row],[Units]]&lt;&gt;"",tblFleet[[#This Row],[Available_h]]&gt;0),tblFleet[[#This Row],[Operating_h]]/tblFleet[[#This Row],[Available_h]],"")</f>
        <v/>
      </c>
    </row>
    <row r="216">
      <c r="A216" s="54" t="n"/>
      <c r="B216" s="61" t="n"/>
      <c r="C216" s="62" t="n"/>
      <c r="D216" s="57" t="n"/>
      <c r="E216" s="57" t="n"/>
      <c r="F216" s="58" t="n"/>
      <c r="G216" s="66">
        <f>IF(tblFleet[[#This Row],[Units]]="","",tblFleet[[#This Row],[Units]]*cfg_HoursPerDay)</f>
        <v/>
      </c>
      <c r="H216" s="66">
        <f>IF(tblFleet[[#This Row],[Units]]="","",tblFleet[[#This Row],[Calendar_h]]-tblFleet[[#This Row],[Down_h]])</f>
        <v/>
      </c>
      <c r="I216" s="60">
        <f>IF(AND(tblFleet[[#This Row],[Units]]&lt;&gt;"",tblFleet[[#This Row],[Calendar_h]]&gt;0),tblFleet[[#This Row],[Available_h]]/tblFleet[[#This Row],[Calendar_h]],"")</f>
        <v/>
      </c>
      <c r="J216" s="60">
        <f>IF(AND(tblFleet[[#This Row],[Units]]&lt;&gt;"",tblFleet[[#This Row],[Available_h]]&gt;0),tblFleet[[#This Row],[Operating_h]]/tblFleet[[#This Row],[Available_h]],"")</f>
        <v/>
      </c>
    </row>
    <row r="217">
      <c r="A217" s="54" t="n"/>
      <c r="B217" s="61" t="n"/>
      <c r="C217" s="62" t="n"/>
      <c r="D217" s="57" t="n"/>
      <c r="E217" s="57" t="n"/>
      <c r="F217" s="58" t="n"/>
      <c r="G217" s="66">
        <f>IF(tblFleet[[#This Row],[Units]]="","",tblFleet[[#This Row],[Units]]*cfg_HoursPerDay)</f>
        <v/>
      </c>
      <c r="H217" s="66">
        <f>IF(tblFleet[[#This Row],[Units]]="","",tblFleet[[#This Row],[Calendar_h]]-tblFleet[[#This Row],[Down_h]])</f>
        <v/>
      </c>
      <c r="I217" s="60">
        <f>IF(AND(tblFleet[[#This Row],[Units]]&lt;&gt;"",tblFleet[[#This Row],[Calendar_h]]&gt;0),tblFleet[[#This Row],[Available_h]]/tblFleet[[#This Row],[Calendar_h]],"")</f>
        <v/>
      </c>
      <c r="J217" s="60">
        <f>IF(AND(tblFleet[[#This Row],[Units]]&lt;&gt;"",tblFleet[[#This Row],[Available_h]]&gt;0),tblFleet[[#This Row],[Operating_h]]/tblFleet[[#This Row],[Available_h]],"")</f>
        <v/>
      </c>
    </row>
    <row r="218">
      <c r="A218" s="54" t="n"/>
      <c r="B218" s="61" t="n"/>
      <c r="C218" s="62" t="n"/>
      <c r="D218" s="57" t="n"/>
      <c r="E218" s="57" t="n"/>
      <c r="F218" s="58" t="n"/>
      <c r="G218" s="66">
        <f>IF(tblFleet[[#This Row],[Units]]="","",tblFleet[[#This Row],[Units]]*cfg_HoursPerDay)</f>
        <v/>
      </c>
      <c r="H218" s="66">
        <f>IF(tblFleet[[#This Row],[Units]]="","",tblFleet[[#This Row],[Calendar_h]]-tblFleet[[#This Row],[Down_h]])</f>
        <v/>
      </c>
      <c r="I218" s="60">
        <f>IF(AND(tblFleet[[#This Row],[Units]]&lt;&gt;"",tblFleet[[#This Row],[Calendar_h]]&gt;0),tblFleet[[#This Row],[Available_h]]/tblFleet[[#This Row],[Calendar_h]],"")</f>
        <v/>
      </c>
      <c r="J218" s="60">
        <f>IF(AND(tblFleet[[#This Row],[Units]]&lt;&gt;"",tblFleet[[#This Row],[Available_h]]&gt;0),tblFleet[[#This Row],[Operating_h]]/tblFleet[[#This Row],[Available_h]],"")</f>
        <v/>
      </c>
    </row>
    <row r="219">
      <c r="A219" s="54" t="n"/>
      <c r="B219" s="61" t="n"/>
      <c r="C219" s="62" t="n"/>
      <c r="D219" s="57" t="n"/>
      <c r="E219" s="57" t="n"/>
      <c r="F219" s="58" t="n"/>
      <c r="G219" s="66">
        <f>IF(tblFleet[[#This Row],[Units]]="","",tblFleet[[#This Row],[Units]]*cfg_HoursPerDay)</f>
        <v/>
      </c>
      <c r="H219" s="66">
        <f>IF(tblFleet[[#This Row],[Units]]="","",tblFleet[[#This Row],[Calendar_h]]-tblFleet[[#This Row],[Down_h]])</f>
        <v/>
      </c>
      <c r="I219" s="60">
        <f>IF(AND(tblFleet[[#This Row],[Units]]&lt;&gt;"",tblFleet[[#This Row],[Calendar_h]]&gt;0),tblFleet[[#This Row],[Available_h]]/tblFleet[[#This Row],[Calendar_h]],"")</f>
        <v/>
      </c>
      <c r="J219" s="60">
        <f>IF(AND(tblFleet[[#This Row],[Units]]&lt;&gt;"",tblFleet[[#This Row],[Available_h]]&gt;0),tblFleet[[#This Row],[Operating_h]]/tblFleet[[#This Row],[Available_h]],"")</f>
        <v/>
      </c>
    </row>
    <row r="220">
      <c r="A220" s="54" t="n"/>
      <c r="B220" s="61" t="n"/>
      <c r="C220" s="62" t="n"/>
      <c r="D220" s="57" t="n"/>
      <c r="E220" s="57" t="n"/>
      <c r="F220" s="58" t="n"/>
      <c r="G220" s="66">
        <f>IF(tblFleet[[#This Row],[Units]]="","",tblFleet[[#This Row],[Units]]*cfg_HoursPerDay)</f>
        <v/>
      </c>
      <c r="H220" s="66">
        <f>IF(tblFleet[[#This Row],[Units]]="","",tblFleet[[#This Row],[Calendar_h]]-tblFleet[[#This Row],[Down_h]])</f>
        <v/>
      </c>
      <c r="I220" s="60">
        <f>IF(AND(tblFleet[[#This Row],[Units]]&lt;&gt;"",tblFleet[[#This Row],[Calendar_h]]&gt;0),tblFleet[[#This Row],[Available_h]]/tblFleet[[#This Row],[Calendar_h]],"")</f>
        <v/>
      </c>
      <c r="J220" s="60">
        <f>IF(AND(tblFleet[[#This Row],[Units]]&lt;&gt;"",tblFleet[[#This Row],[Available_h]]&gt;0),tblFleet[[#This Row],[Operating_h]]/tblFleet[[#This Row],[Available_h]],"")</f>
        <v/>
      </c>
    </row>
    <row r="221">
      <c r="A221" s="54" t="n"/>
      <c r="B221" s="61" t="n"/>
      <c r="C221" s="62" t="n"/>
      <c r="D221" s="57" t="n"/>
      <c r="E221" s="57" t="n"/>
      <c r="F221" s="58" t="n"/>
      <c r="G221" s="66">
        <f>IF(tblFleet[[#This Row],[Units]]="","",tblFleet[[#This Row],[Units]]*cfg_HoursPerDay)</f>
        <v/>
      </c>
      <c r="H221" s="66">
        <f>IF(tblFleet[[#This Row],[Units]]="","",tblFleet[[#This Row],[Calendar_h]]-tblFleet[[#This Row],[Down_h]])</f>
        <v/>
      </c>
      <c r="I221" s="60">
        <f>IF(AND(tblFleet[[#This Row],[Units]]&lt;&gt;"",tblFleet[[#This Row],[Calendar_h]]&gt;0),tblFleet[[#This Row],[Available_h]]/tblFleet[[#This Row],[Calendar_h]],"")</f>
        <v/>
      </c>
      <c r="J221" s="60">
        <f>IF(AND(tblFleet[[#This Row],[Units]]&lt;&gt;"",tblFleet[[#This Row],[Available_h]]&gt;0),tblFleet[[#This Row],[Operating_h]]/tblFleet[[#This Row],[Available_h]],"")</f>
        <v/>
      </c>
    </row>
    <row r="222">
      <c r="A222" s="54" t="n"/>
      <c r="B222" s="61" t="n"/>
      <c r="C222" s="62" t="n"/>
      <c r="D222" s="57" t="n"/>
      <c r="E222" s="57" t="n"/>
      <c r="F222" s="58" t="n"/>
      <c r="G222" s="66">
        <f>IF(tblFleet[[#This Row],[Units]]="","",tblFleet[[#This Row],[Units]]*cfg_HoursPerDay)</f>
        <v/>
      </c>
      <c r="H222" s="66">
        <f>IF(tblFleet[[#This Row],[Units]]="","",tblFleet[[#This Row],[Calendar_h]]-tblFleet[[#This Row],[Down_h]])</f>
        <v/>
      </c>
      <c r="I222" s="60">
        <f>IF(AND(tblFleet[[#This Row],[Units]]&lt;&gt;"",tblFleet[[#This Row],[Calendar_h]]&gt;0),tblFleet[[#This Row],[Available_h]]/tblFleet[[#This Row],[Calendar_h]],"")</f>
        <v/>
      </c>
      <c r="J222" s="60">
        <f>IF(AND(tblFleet[[#This Row],[Units]]&lt;&gt;"",tblFleet[[#This Row],[Available_h]]&gt;0),tblFleet[[#This Row],[Operating_h]]/tblFleet[[#This Row],[Available_h]],"")</f>
        <v/>
      </c>
    </row>
    <row r="223">
      <c r="A223" s="54" t="n"/>
      <c r="B223" s="61" t="n"/>
      <c r="C223" s="62" t="n"/>
      <c r="D223" s="57" t="n"/>
      <c r="E223" s="57" t="n"/>
      <c r="F223" s="58" t="n"/>
      <c r="G223" s="66">
        <f>IF(tblFleet[[#This Row],[Units]]="","",tblFleet[[#This Row],[Units]]*cfg_HoursPerDay)</f>
        <v/>
      </c>
      <c r="H223" s="66">
        <f>IF(tblFleet[[#This Row],[Units]]="","",tblFleet[[#This Row],[Calendar_h]]-tblFleet[[#This Row],[Down_h]])</f>
        <v/>
      </c>
      <c r="I223" s="60">
        <f>IF(AND(tblFleet[[#This Row],[Units]]&lt;&gt;"",tblFleet[[#This Row],[Calendar_h]]&gt;0),tblFleet[[#This Row],[Available_h]]/tblFleet[[#This Row],[Calendar_h]],"")</f>
        <v/>
      </c>
      <c r="J223" s="60">
        <f>IF(AND(tblFleet[[#This Row],[Units]]&lt;&gt;"",tblFleet[[#This Row],[Available_h]]&gt;0),tblFleet[[#This Row],[Operating_h]]/tblFleet[[#This Row],[Available_h]],"")</f>
        <v/>
      </c>
    </row>
    <row r="224">
      <c r="A224" s="54" t="n"/>
      <c r="B224" s="61" t="n"/>
      <c r="C224" s="62" t="n"/>
      <c r="D224" s="57" t="n"/>
      <c r="E224" s="57" t="n"/>
      <c r="F224" s="58" t="n"/>
      <c r="G224" s="66">
        <f>IF(tblFleet[[#This Row],[Units]]="","",tblFleet[[#This Row],[Units]]*cfg_HoursPerDay)</f>
        <v/>
      </c>
      <c r="H224" s="66">
        <f>IF(tblFleet[[#This Row],[Units]]="","",tblFleet[[#This Row],[Calendar_h]]-tblFleet[[#This Row],[Down_h]])</f>
        <v/>
      </c>
      <c r="I224" s="60">
        <f>IF(AND(tblFleet[[#This Row],[Units]]&lt;&gt;"",tblFleet[[#This Row],[Calendar_h]]&gt;0),tblFleet[[#This Row],[Available_h]]/tblFleet[[#This Row],[Calendar_h]],"")</f>
        <v/>
      </c>
      <c r="J224" s="60">
        <f>IF(AND(tblFleet[[#This Row],[Units]]&lt;&gt;"",tblFleet[[#This Row],[Available_h]]&gt;0),tblFleet[[#This Row],[Operating_h]]/tblFleet[[#This Row],[Available_h]],"")</f>
        <v/>
      </c>
    </row>
    <row r="225">
      <c r="A225" s="54" t="n"/>
      <c r="B225" s="61" t="n"/>
      <c r="C225" s="62" t="n"/>
      <c r="D225" s="57" t="n"/>
      <c r="E225" s="57" t="n"/>
      <c r="F225" s="58" t="n"/>
      <c r="G225" s="66">
        <f>IF(tblFleet[[#This Row],[Units]]="","",tblFleet[[#This Row],[Units]]*cfg_HoursPerDay)</f>
        <v/>
      </c>
      <c r="H225" s="66">
        <f>IF(tblFleet[[#This Row],[Units]]="","",tblFleet[[#This Row],[Calendar_h]]-tblFleet[[#This Row],[Down_h]])</f>
        <v/>
      </c>
      <c r="I225" s="60">
        <f>IF(AND(tblFleet[[#This Row],[Units]]&lt;&gt;"",tblFleet[[#This Row],[Calendar_h]]&gt;0),tblFleet[[#This Row],[Available_h]]/tblFleet[[#This Row],[Calendar_h]],"")</f>
        <v/>
      </c>
      <c r="J225" s="60">
        <f>IF(AND(tblFleet[[#This Row],[Units]]&lt;&gt;"",tblFleet[[#This Row],[Available_h]]&gt;0),tblFleet[[#This Row],[Operating_h]]/tblFleet[[#This Row],[Available_h]],"")</f>
        <v/>
      </c>
    </row>
    <row r="226">
      <c r="A226" s="54" t="n"/>
      <c r="B226" s="61" t="n"/>
      <c r="C226" s="62" t="n"/>
      <c r="D226" s="57" t="n"/>
      <c r="E226" s="57" t="n"/>
      <c r="F226" s="58" t="n"/>
      <c r="G226" s="66">
        <f>IF(tblFleet[[#This Row],[Units]]="","",tblFleet[[#This Row],[Units]]*cfg_HoursPerDay)</f>
        <v/>
      </c>
      <c r="H226" s="66">
        <f>IF(tblFleet[[#This Row],[Units]]="","",tblFleet[[#This Row],[Calendar_h]]-tblFleet[[#This Row],[Down_h]])</f>
        <v/>
      </c>
      <c r="I226" s="60">
        <f>IF(AND(tblFleet[[#This Row],[Units]]&lt;&gt;"",tblFleet[[#This Row],[Calendar_h]]&gt;0),tblFleet[[#This Row],[Available_h]]/tblFleet[[#This Row],[Calendar_h]],"")</f>
        <v/>
      </c>
      <c r="J226" s="60">
        <f>IF(AND(tblFleet[[#This Row],[Units]]&lt;&gt;"",tblFleet[[#This Row],[Available_h]]&gt;0),tblFleet[[#This Row],[Operating_h]]/tblFleet[[#This Row],[Available_h]],"")</f>
        <v/>
      </c>
    </row>
    <row r="227">
      <c r="A227" s="54" t="n"/>
      <c r="B227" s="61" t="n"/>
      <c r="C227" s="62" t="n"/>
      <c r="D227" s="57" t="n"/>
      <c r="E227" s="57" t="n"/>
      <c r="F227" s="58" t="n"/>
      <c r="G227" s="66">
        <f>IF(tblFleet[[#This Row],[Units]]="","",tblFleet[[#This Row],[Units]]*cfg_HoursPerDay)</f>
        <v/>
      </c>
      <c r="H227" s="66">
        <f>IF(tblFleet[[#This Row],[Units]]="","",tblFleet[[#This Row],[Calendar_h]]-tblFleet[[#This Row],[Down_h]])</f>
        <v/>
      </c>
      <c r="I227" s="60">
        <f>IF(AND(tblFleet[[#This Row],[Units]]&lt;&gt;"",tblFleet[[#This Row],[Calendar_h]]&gt;0),tblFleet[[#This Row],[Available_h]]/tblFleet[[#This Row],[Calendar_h]],"")</f>
        <v/>
      </c>
      <c r="J227" s="60">
        <f>IF(AND(tblFleet[[#This Row],[Units]]&lt;&gt;"",tblFleet[[#This Row],[Available_h]]&gt;0),tblFleet[[#This Row],[Operating_h]]/tblFleet[[#This Row],[Available_h]],"")</f>
        <v/>
      </c>
    </row>
    <row r="228">
      <c r="A228" s="54" t="n"/>
      <c r="B228" s="61" t="n"/>
      <c r="C228" s="62" t="n"/>
      <c r="D228" s="57" t="n"/>
      <c r="E228" s="57" t="n"/>
      <c r="F228" s="58" t="n"/>
      <c r="G228" s="66">
        <f>IF(tblFleet[[#This Row],[Units]]="","",tblFleet[[#This Row],[Units]]*cfg_HoursPerDay)</f>
        <v/>
      </c>
      <c r="H228" s="66">
        <f>IF(tblFleet[[#This Row],[Units]]="","",tblFleet[[#This Row],[Calendar_h]]-tblFleet[[#This Row],[Down_h]])</f>
        <v/>
      </c>
      <c r="I228" s="60">
        <f>IF(AND(tblFleet[[#This Row],[Units]]&lt;&gt;"",tblFleet[[#This Row],[Calendar_h]]&gt;0),tblFleet[[#This Row],[Available_h]]/tblFleet[[#This Row],[Calendar_h]],"")</f>
        <v/>
      </c>
      <c r="J228" s="60">
        <f>IF(AND(tblFleet[[#This Row],[Units]]&lt;&gt;"",tblFleet[[#This Row],[Available_h]]&gt;0),tblFleet[[#This Row],[Operating_h]]/tblFleet[[#This Row],[Available_h]],"")</f>
        <v/>
      </c>
    </row>
    <row r="229">
      <c r="A229" s="54" t="n"/>
      <c r="B229" s="61" t="n"/>
      <c r="C229" s="62" t="n"/>
      <c r="D229" s="57" t="n"/>
      <c r="E229" s="57" t="n"/>
      <c r="F229" s="58" t="n"/>
      <c r="G229" s="66">
        <f>IF(tblFleet[[#This Row],[Units]]="","",tblFleet[[#This Row],[Units]]*cfg_HoursPerDay)</f>
        <v/>
      </c>
      <c r="H229" s="66">
        <f>IF(tblFleet[[#This Row],[Units]]="","",tblFleet[[#This Row],[Calendar_h]]-tblFleet[[#This Row],[Down_h]])</f>
        <v/>
      </c>
      <c r="I229" s="60">
        <f>IF(AND(tblFleet[[#This Row],[Units]]&lt;&gt;"",tblFleet[[#This Row],[Calendar_h]]&gt;0),tblFleet[[#This Row],[Available_h]]/tblFleet[[#This Row],[Calendar_h]],"")</f>
        <v/>
      </c>
      <c r="J229" s="60">
        <f>IF(AND(tblFleet[[#This Row],[Units]]&lt;&gt;"",tblFleet[[#This Row],[Available_h]]&gt;0),tblFleet[[#This Row],[Operating_h]]/tblFleet[[#This Row],[Available_h]],"")</f>
        <v/>
      </c>
    </row>
    <row r="230">
      <c r="A230" s="54" t="n"/>
      <c r="B230" s="61" t="n"/>
      <c r="C230" s="62" t="n"/>
      <c r="D230" s="57" t="n"/>
      <c r="E230" s="57" t="n"/>
      <c r="F230" s="58" t="n"/>
      <c r="G230" s="66">
        <f>IF(tblFleet[[#This Row],[Units]]="","",tblFleet[[#This Row],[Units]]*cfg_HoursPerDay)</f>
        <v/>
      </c>
      <c r="H230" s="66">
        <f>IF(tblFleet[[#This Row],[Units]]="","",tblFleet[[#This Row],[Calendar_h]]-tblFleet[[#This Row],[Down_h]])</f>
        <v/>
      </c>
      <c r="I230" s="60">
        <f>IF(AND(tblFleet[[#This Row],[Units]]&lt;&gt;"",tblFleet[[#This Row],[Calendar_h]]&gt;0),tblFleet[[#This Row],[Available_h]]/tblFleet[[#This Row],[Calendar_h]],"")</f>
        <v/>
      </c>
      <c r="J230" s="60">
        <f>IF(AND(tblFleet[[#This Row],[Units]]&lt;&gt;"",tblFleet[[#This Row],[Available_h]]&gt;0),tblFleet[[#This Row],[Operating_h]]/tblFleet[[#This Row],[Available_h]],"")</f>
        <v/>
      </c>
    </row>
    <row r="231">
      <c r="A231" s="54" t="n"/>
      <c r="B231" s="61" t="n"/>
      <c r="C231" s="62" t="n"/>
      <c r="D231" s="57" t="n"/>
      <c r="E231" s="57" t="n"/>
      <c r="F231" s="58" t="n"/>
      <c r="G231" s="66">
        <f>IF(tblFleet[[#This Row],[Units]]="","",tblFleet[[#This Row],[Units]]*cfg_HoursPerDay)</f>
        <v/>
      </c>
      <c r="H231" s="66">
        <f>IF(tblFleet[[#This Row],[Units]]="","",tblFleet[[#This Row],[Calendar_h]]-tblFleet[[#This Row],[Down_h]])</f>
        <v/>
      </c>
      <c r="I231" s="60">
        <f>IF(AND(tblFleet[[#This Row],[Units]]&lt;&gt;"",tblFleet[[#This Row],[Calendar_h]]&gt;0),tblFleet[[#This Row],[Available_h]]/tblFleet[[#This Row],[Calendar_h]],"")</f>
        <v/>
      </c>
      <c r="J231" s="60">
        <f>IF(AND(tblFleet[[#This Row],[Units]]&lt;&gt;"",tblFleet[[#This Row],[Available_h]]&gt;0),tblFleet[[#This Row],[Operating_h]]/tblFleet[[#This Row],[Available_h]],"")</f>
        <v/>
      </c>
    </row>
    <row r="232">
      <c r="A232" s="54" t="n"/>
      <c r="B232" s="61" t="n"/>
      <c r="C232" s="62" t="n"/>
      <c r="D232" s="57" t="n"/>
      <c r="E232" s="57" t="n"/>
      <c r="F232" s="58" t="n"/>
      <c r="G232" s="66">
        <f>IF(tblFleet[[#This Row],[Units]]="","",tblFleet[[#This Row],[Units]]*cfg_HoursPerDay)</f>
        <v/>
      </c>
      <c r="H232" s="66">
        <f>IF(tblFleet[[#This Row],[Units]]="","",tblFleet[[#This Row],[Calendar_h]]-tblFleet[[#This Row],[Down_h]])</f>
        <v/>
      </c>
      <c r="I232" s="60">
        <f>IF(AND(tblFleet[[#This Row],[Units]]&lt;&gt;"",tblFleet[[#This Row],[Calendar_h]]&gt;0),tblFleet[[#This Row],[Available_h]]/tblFleet[[#This Row],[Calendar_h]],"")</f>
        <v/>
      </c>
      <c r="J232" s="60">
        <f>IF(AND(tblFleet[[#This Row],[Units]]&lt;&gt;"",tblFleet[[#This Row],[Available_h]]&gt;0),tblFleet[[#This Row],[Operating_h]]/tblFleet[[#This Row],[Available_h]],"")</f>
        <v/>
      </c>
    </row>
    <row r="233">
      <c r="A233" s="54" t="n"/>
      <c r="B233" s="61" t="n"/>
      <c r="C233" s="62" t="n"/>
      <c r="D233" s="57" t="n"/>
      <c r="E233" s="57" t="n"/>
      <c r="F233" s="58" t="n"/>
      <c r="G233" s="66">
        <f>IF(tblFleet[[#This Row],[Units]]="","",tblFleet[[#This Row],[Units]]*cfg_HoursPerDay)</f>
        <v/>
      </c>
      <c r="H233" s="66">
        <f>IF(tblFleet[[#This Row],[Units]]="","",tblFleet[[#This Row],[Calendar_h]]-tblFleet[[#This Row],[Down_h]])</f>
        <v/>
      </c>
      <c r="I233" s="60">
        <f>IF(AND(tblFleet[[#This Row],[Units]]&lt;&gt;"",tblFleet[[#This Row],[Calendar_h]]&gt;0),tblFleet[[#This Row],[Available_h]]/tblFleet[[#This Row],[Calendar_h]],"")</f>
        <v/>
      </c>
      <c r="J233" s="60">
        <f>IF(AND(tblFleet[[#This Row],[Units]]&lt;&gt;"",tblFleet[[#This Row],[Available_h]]&gt;0),tblFleet[[#This Row],[Operating_h]]/tblFleet[[#This Row],[Available_h]],"")</f>
        <v/>
      </c>
    </row>
    <row r="234">
      <c r="A234" s="54" t="n"/>
      <c r="B234" s="61" t="n"/>
      <c r="C234" s="62" t="n"/>
      <c r="D234" s="57" t="n"/>
      <c r="E234" s="57" t="n"/>
      <c r="F234" s="58" t="n"/>
      <c r="G234" s="66">
        <f>IF(tblFleet[[#This Row],[Units]]="","",tblFleet[[#This Row],[Units]]*cfg_HoursPerDay)</f>
        <v/>
      </c>
      <c r="H234" s="66">
        <f>IF(tblFleet[[#This Row],[Units]]="","",tblFleet[[#This Row],[Calendar_h]]-tblFleet[[#This Row],[Down_h]])</f>
        <v/>
      </c>
      <c r="I234" s="60">
        <f>IF(AND(tblFleet[[#This Row],[Units]]&lt;&gt;"",tblFleet[[#This Row],[Calendar_h]]&gt;0),tblFleet[[#This Row],[Available_h]]/tblFleet[[#This Row],[Calendar_h]],"")</f>
        <v/>
      </c>
      <c r="J234" s="60">
        <f>IF(AND(tblFleet[[#This Row],[Units]]&lt;&gt;"",tblFleet[[#This Row],[Available_h]]&gt;0),tblFleet[[#This Row],[Operating_h]]/tblFleet[[#This Row],[Available_h]],"")</f>
        <v/>
      </c>
    </row>
    <row r="235">
      <c r="A235" s="54" t="n"/>
      <c r="B235" s="61" t="n"/>
      <c r="C235" s="62" t="n"/>
      <c r="D235" s="57" t="n"/>
      <c r="E235" s="57" t="n"/>
      <c r="F235" s="58" t="n"/>
      <c r="G235" s="66">
        <f>IF(tblFleet[[#This Row],[Units]]="","",tblFleet[[#This Row],[Units]]*cfg_HoursPerDay)</f>
        <v/>
      </c>
      <c r="H235" s="66">
        <f>IF(tblFleet[[#This Row],[Units]]="","",tblFleet[[#This Row],[Calendar_h]]-tblFleet[[#This Row],[Down_h]])</f>
        <v/>
      </c>
      <c r="I235" s="60">
        <f>IF(AND(tblFleet[[#This Row],[Units]]&lt;&gt;"",tblFleet[[#This Row],[Calendar_h]]&gt;0),tblFleet[[#This Row],[Available_h]]/tblFleet[[#This Row],[Calendar_h]],"")</f>
        <v/>
      </c>
      <c r="J235" s="60">
        <f>IF(AND(tblFleet[[#This Row],[Units]]&lt;&gt;"",tblFleet[[#This Row],[Available_h]]&gt;0),tblFleet[[#This Row],[Operating_h]]/tblFleet[[#This Row],[Available_h]],"")</f>
        <v/>
      </c>
    </row>
    <row r="236">
      <c r="A236" s="54" t="n"/>
      <c r="B236" s="61" t="n"/>
      <c r="C236" s="62" t="n"/>
      <c r="D236" s="57" t="n"/>
      <c r="E236" s="57" t="n"/>
      <c r="F236" s="58" t="n"/>
      <c r="G236" s="66">
        <f>IF(tblFleet[[#This Row],[Units]]="","",tblFleet[[#This Row],[Units]]*cfg_HoursPerDay)</f>
        <v/>
      </c>
      <c r="H236" s="66">
        <f>IF(tblFleet[[#This Row],[Units]]="","",tblFleet[[#This Row],[Calendar_h]]-tblFleet[[#This Row],[Down_h]])</f>
        <v/>
      </c>
      <c r="I236" s="60">
        <f>IF(AND(tblFleet[[#This Row],[Units]]&lt;&gt;"",tblFleet[[#This Row],[Calendar_h]]&gt;0),tblFleet[[#This Row],[Available_h]]/tblFleet[[#This Row],[Calendar_h]],"")</f>
        <v/>
      </c>
      <c r="J236" s="60">
        <f>IF(AND(tblFleet[[#This Row],[Units]]&lt;&gt;"",tblFleet[[#This Row],[Available_h]]&gt;0),tblFleet[[#This Row],[Operating_h]]/tblFleet[[#This Row],[Available_h]],"")</f>
        <v/>
      </c>
    </row>
    <row r="237">
      <c r="A237" s="54" t="n"/>
      <c r="B237" s="61" t="n"/>
      <c r="C237" s="62" t="n"/>
      <c r="D237" s="57" t="n"/>
      <c r="E237" s="57" t="n"/>
      <c r="F237" s="58" t="n"/>
      <c r="G237" s="66">
        <f>IF(tblFleet[[#This Row],[Units]]="","",tblFleet[[#This Row],[Units]]*cfg_HoursPerDay)</f>
        <v/>
      </c>
      <c r="H237" s="66">
        <f>IF(tblFleet[[#This Row],[Units]]="","",tblFleet[[#This Row],[Calendar_h]]-tblFleet[[#This Row],[Down_h]])</f>
        <v/>
      </c>
      <c r="I237" s="60">
        <f>IF(AND(tblFleet[[#This Row],[Units]]&lt;&gt;"",tblFleet[[#This Row],[Calendar_h]]&gt;0),tblFleet[[#This Row],[Available_h]]/tblFleet[[#This Row],[Calendar_h]],"")</f>
        <v/>
      </c>
      <c r="J237" s="60">
        <f>IF(AND(tblFleet[[#This Row],[Units]]&lt;&gt;"",tblFleet[[#This Row],[Available_h]]&gt;0),tblFleet[[#This Row],[Operating_h]]/tblFleet[[#This Row],[Available_h]],"")</f>
        <v/>
      </c>
    </row>
    <row r="238">
      <c r="A238" s="54" t="n"/>
      <c r="B238" s="61" t="n"/>
      <c r="C238" s="62" t="n"/>
      <c r="D238" s="57" t="n"/>
      <c r="E238" s="57" t="n"/>
      <c r="F238" s="58" t="n"/>
      <c r="G238" s="66">
        <f>IF(tblFleet[[#This Row],[Units]]="","",tblFleet[[#This Row],[Units]]*cfg_HoursPerDay)</f>
        <v/>
      </c>
      <c r="H238" s="66">
        <f>IF(tblFleet[[#This Row],[Units]]="","",tblFleet[[#This Row],[Calendar_h]]-tblFleet[[#This Row],[Down_h]])</f>
        <v/>
      </c>
      <c r="I238" s="60">
        <f>IF(AND(tblFleet[[#This Row],[Units]]&lt;&gt;"",tblFleet[[#This Row],[Calendar_h]]&gt;0),tblFleet[[#This Row],[Available_h]]/tblFleet[[#This Row],[Calendar_h]],"")</f>
        <v/>
      </c>
      <c r="J238" s="60">
        <f>IF(AND(tblFleet[[#This Row],[Units]]&lt;&gt;"",tblFleet[[#This Row],[Available_h]]&gt;0),tblFleet[[#This Row],[Operating_h]]/tblFleet[[#This Row],[Available_h]],"")</f>
        <v/>
      </c>
    </row>
    <row r="239">
      <c r="A239" s="54" t="n"/>
      <c r="B239" s="61" t="n"/>
      <c r="C239" s="62" t="n"/>
      <c r="D239" s="57" t="n"/>
      <c r="E239" s="57" t="n"/>
      <c r="F239" s="58" t="n"/>
      <c r="G239" s="66">
        <f>IF(tblFleet[[#This Row],[Units]]="","",tblFleet[[#This Row],[Units]]*cfg_HoursPerDay)</f>
        <v/>
      </c>
      <c r="H239" s="66">
        <f>IF(tblFleet[[#This Row],[Units]]="","",tblFleet[[#This Row],[Calendar_h]]-tblFleet[[#This Row],[Down_h]])</f>
        <v/>
      </c>
      <c r="I239" s="60">
        <f>IF(AND(tblFleet[[#This Row],[Units]]&lt;&gt;"",tblFleet[[#This Row],[Calendar_h]]&gt;0),tblFleet[[#This Row],[Available_h]]/tblFleet[[#This Row],[Calendar_h]],"")</f>
        <v/>
      </c>
      <c r="J239" s="60">
        <f>IF(AND(tblFleet[[#This Row],[Units]]&lt;&gt;"",tblFleet[[#This Row],[Available_h]]&gt;0),tblFleet[[#This Row],[Operating_h]]/tblFleet[[#This Row],[Available_h]],"")</f>
        <v/>
      </c>
    </row>
    <row r="240">
      <c r="A240" s="54" t="n"/>
      <c r="B240" s="61" t="n"/>
      <c r="C240" s="62" t="n"/>
      <c r="D240" s="57" t="n"/>
      <c r="E240" s="57" t="n"/>
      <c r="F240" s="58" t="n"/>
      <c r="G240" s="66">
        <f>IF(tblFleet[[#This Row],[Units]]="","",tblFleet[[#This Row],[Units]]*cfg_HoursPerDay)</f>
        <v/>
      </c>
      <c r="H240" s="66">
        <f>IF(tblFleet[[#This Row],[Units]]="","",tblFleet[[#This Row],[Calendar_h]]-tblFleet[[#This Row],[Down_h]])</f>
        <v/>
      </c>
      <c r="I240" s="60">
        <f>IF(AND(tblFleet[[#This Row],[Units]]&lt;&gt;"",tblFleet[[#This Row],[Calendar_h]]&gt;0),tblFleet[[#This Row],[Available_h]]/tblFleet[[#This Row],[Calendar_h]],"")</f>
        <v/>
      </c>
      <c r="J240" s="60">
        <f>IF(AND(tblFleet[[#This Row],[Units]]&lt;&gt;"",tblFleet[[#This Row],[Available_h]]&gt;0),tblFleet[[#This Row],[Operating_h]]/tblFleet[[#This Row],[Available_h]],"")</f>
        <v/>
      </c>
    </row>
    <row r="241">
      <c r="A241" s="54" t="n"/>
      <c r="B241" s="61" t="n"/>
      <c r="C241" s="62" t="n"/>
      <c r="D241" s="57" t="n"/>
      <c r="E241" s="57" t="n"/>
      <c r="F241" s="58" t="n"/>
      <c r="G241" s="66">
        <f>IF(tblFleet[[#This Row],[Units]]="","",tblFleet[[#This Row],[Units]]*cfg_HoursPerDay)</f>
        <v/>
      </c>
      <c r="H241" s="66">
        <f>IF(tblFleet[[#This Row],[Units]]="","",tblFleet[[#This Row],[Calendar_h]]-tblFleet[[#This Row],[Down_h]])</f>
        <v/>
      </c>
      <c r="I241" s="60">
        <f>IF(AND(tblFleet[[#This Row],[Units]]&lt;&gt;"",tblFleet[[#This Row],[Calendar_h]]&gt;0),tblFleet[[#This Row],[Available_h]]/tblFleet[[#This Row],[Calendar_h]],"")</f>
        <v/>
      </c>
      <c r="J241" s="60">
        <f>IF(AND(tblFleet[[#This Row],[Units]]&lt;&gt;"",tblFleet[[#This Row],[Available_h]]&gt;0),tblFleet[[#This Row],[Operating_h]]/tblFleet[[#This Row],[Available_h]],"")</f>
        <v/>
      </c>
    </row>
    <row r="242">
      <c r="A242" s="54" t="n"/>
      <c r="B242" s="61" t="n"/>
      <c r="C242" s="62" t="n"/>
      <c r="D242" s="57" t="n"/>
      <c r="E242" s="57" t="n"/>
      <c r="F242" s="58" t="n"/>
      <c r="G242" s="66">
        <f>IF(tblFleet[[#This Row],[Units]]="","",tblFleet[[#This Row],[Units]]*cfg_HoursPerDay)</f>
        <v/>
      </c>
      <c r="H242" s="66">
        <f>IF(tblFleet[[#This Row],[Units]]="","",tblFleet[[#This Row],[Calendar_h]]-tblFleet[[#This Row],[Down_h]])</f>
        <v/>
      </c>
      <c r="I242" s="60">
        <f>IF(AND(tblFleet[[#This Row],[Units]]&lt;&gt;"",tblFleet[[#This Row],[Calendar_h]]&gt;0),tblFleet[[#This Row],[Available_h]]/tblFleet[[#This Row],[Calendar_h]],"")</f>
        <v/>
      </c>
      <c r="J242" s="60">
        <f>IF(AND(tblFleet[[#This Row],[Units]]&lt;&gt;"",tblFleet[[#This Row],[Available_h]]&gt;0),tblFleet[[#This Row],[Operating_h]]/tblFleet[[#This Row],[Available_h]],"")</f>
        <v/>
      </c>
    </row>
    <row r="243">
      <c r="A243" s="54" t="n"/>
      <c r="B243" s="61" t="n"/>
      <c r="C243" s="62" t="n"/>
      <c r="D243" s="57" t="n"/>
      <c r="E243" s="57" t="n"/>
      <c r="F243" s="58" t="n"/>
      <c r="G243" s="66">
        <f>IF(tblFleet[[#This Row],[Units]]="","",tblFleet[[#This Row],[Units]]*cfg_HoursPerDay)</f>
        <v/>
      </c>
      <c r="H243" s="66">
        <f>IF(tblFleet[[#This Row],[Units]]="","",tblFleet[[#This Row],[Calendar_h]]-tblFleet[[#This Row],[Down_h]])</f>
        <v/>
      </c>
      <c r="I243" s="60">
        <f>IF(AND(tblFleet[[#This Row],[Units]]&lt;&gt;"",tblFleet[[#This Row],[Calendar_h]]&gt;0),tblFleet[[#This Row],[Available_h]]/tblFleet[[#This Row],[Calendar_h]],"")</f>
        <v/>
      </c>
      <c r="J243" s="60">
        <f>IF(AND(tblFleet[[#This Row],[Units]]&lt;&gt;"",tblFleet[[#This Row],[Available_h]]&gt;0),tblFleet[[#This Row],[Operating_h]]/tblFleet[[#This Row],[Available_h]],"")</f>
        <v/>
      </c>
    </row>
    <row r="244">
      <c r="A244" s="54" t="n"/>
      <c r="B244" s="61" t="n"/>
      <c r="C244" s="62" t="n"/>
      <c r="D244" s="57" t="n"/>
      <c r="E244" s="57" t="n"/>
      <c r="F244" s="58" t="n"/>
      <c r="G244" s="66">
        <f>IF(tblFleet[[#This Row],[Units]]="","",tblFleet[[#This Row],[Units]]*cfg_HoursPerDay)</f>
        <v/>
      </c>
      <c r="H244" s="66">
        <f>IF(tblFleet[[#This Row],[Units]]="","",tblFleet[[#This Row],[Calendar_h]]-tblFleet[[#This Row],[Down_h]])</f>
        <v/>
      </c>
      <c r="I244" s="60">
        <f>IF(AND(tblFleet[[#This Row],[Units]]&lt;&gt;"",tblFleet[[#This Row],[Calendar_h]]&gt;0),tblFleet[[#This Row],[Available_h]]/tblFleet[[#This Row],[Calendar_h]],"")</f>
        <v/>
      </c>
      <c r="J244" s="60">
        <f>IF(AND(tblFleet[[#This Row],[Units]]&lt;&gt;"",tblFleet[[#This Row],[Available_h]]&gt;0),tblFleet[[#This Row],[Operating_h]]/tblFleet[[#This Row],[Available_h]],"")</f>
        <v/>
      </c>
    </row>
    <row r="245">
      <c r="A245" s="54" t="n"/>
      <c r="B245" s="61" t="n"/>
      <c r="C245" s="62" t="n"/>
      <c r="D245" s="57" t="n"/>
      <c r="E245" s="57" t="n"/>
      <c r="F245" s="58" t="n"/>
      <c r="G245" s="66">
        <f>IF(tblFleet[[#This Row],[Units]]="","",tblFleet[[#This Row],[Units]]*cfg_HoursPerDay)</f>
        <v/>
      </c>
      <c r="H245" s="66">
        <f>IF(tblFleet[[#This Row],[Units]]="","",tblFleet[[#This Row],[Calendar_h]]-tblFleet[[#This Row],[Down_h]])</f>
        <v/>
      </c>
      <c r="I245" s="60">
        <f>IF(AND(tblFleet[[#This Row],[Units]]&lt;&gt;"",tblFleet[[#This Row],[Calendar_h]]&gt;0),tblFleet[[#This Row],[Available_h]]/tblFleet[[#This Row],[Calendar_h]],"")</f>
        <v/>
      </c>
      <c r="J245" s="60">
        <f>IF(AND(tblFleet[[#This Row],[Units]]&lt;&gt;"",tblFleet[[#This Row],[Available_h]]&gt;0),tblFleet[[#This Row],[Operating_h]]/tblFleet[[#This Row],[Available_h]],"")</f>
        <v/>
      </c>
    </row>
    <row r="246">
      <c r="A246" s="54" t="n"/>
      <c r="B246" s="61" t="n"/>
      <c r="C246" s="62" t="n"/>
      <c r="D246" s="57" t="n"/>
      <c r="E246" s="57" t="n"/>
      <c r="F246" s="58" t="n"/>
      <c r="G246" s="66">
        <f>IF(tblFleet[[#This Row],[Units]]="","",tblFleet[[#This Row],[Units]]*cfg_HoursPerDay)</f>
        <v/>
      </c>
      <c r="H246" s="66">
        <f>IF(tblFleet[[#This Row],[Units]]="","",tblFleet[[#This Row],[Calendar_h]]-tblFleet[[#This Row],[Down_h]])</f>
        <v/>
      </c>
      <c r="I246" s="60">
        <f>IF(AND(tblFleet[[#This Row],[Units]]&lt;&gt;"",tblFleet[[#This Row],[Calendar_h]]&gt;0),tblFleet[[#This Row],[Available_h]]/tblFleet[[#This Row],[Calendar_h]],"")</f>
        <v/>
      </c>
      <c r="J246" s="60">
        <f>IF(AND(tblFleet[[#This Row],[Units]]&lt;&gt;"",tblFleet[[#This Row],[Available_h]]&gt;0),tblFleet[[#This Row],[Operating_h]]/tblFleet[[#This Row],[Available_h]],"")</f>
        <v/>
      </c>
    </row>
    <row r="247">
      <c r="A247" s="54" t="n"/>
      <c r="B247" s="61" t="n"/>
      <c r="C247" s="62" t="n"/>
      <c r="D247" s="57" t="n"/>
      <c r="E247" s="57" t="n"/>
      <c r="F247" s="58" t="n"/>
      <c r="G247" s="66">
        <f>IF(tblFleet[[#This Row],[Units]]="","",tblFleet[[#This Row],[Units]]*cfg_HoursPerDay)</f>
        <v/>
      </c>
      <c r="H247" s="66">
        <f>IF(tblFleet[[#This Row],[Units]]="","",tblFleet[[#This Row],[Calendar_h]]-tblFleet[[#This Row],[Down_h]])</f>
        <v/>
      </c>
      <c r="I247" s="60">
        <f>IF(AND(tblFleet[[#This Row],[Units]]&lt;&gt;"",tblFleet[[#This Row],[Calendar_h]]&gt;0),tblFleet[[#This Row],[Available_h]]/tblFleet[[#This Row],[Calendar_h]],"")</f>
        <v/>
      </c>
      <c r="J247" s="60">
        <f>IF(AND(tblFleet[[#This Row],[Units]]&lt;&gt;"",tblFleet[[#This Row],[Available_h]]&gt;0),tblFleet[[#This Row],[Operating_h]]/tblFleet[[#This Row],[Available_h]],"")</f>
        <v/>
      </c>
    </row>
    <row r="248">
      <c r="A248" s="54" t="n"/>
      <c r="B248" s="61" t="n"/>
      <c r="C248" s="62" t="n"/>
      <c r="D248" s="57" t="n"/>
      <c r="E248" s="57" t="n"/>
      <c r="F248" s="58" t="n"/>
      <c r="G248" s="66">
        <f>IF(tblFleet[[#This Row],[Units]]="","",tblFleet[[#This Row],[Units]]*cfg_HoursPerDay)</f>
        <v/>
      </c>
      <c r="H248" s="66">
        <f>IF(tblFleet[[#This Row],[Units]]="","",tblFleet[[#This Row],[Calendar_h]]-tblFleet[[#This Row],[Down_h]])</f>
        <v/>
      </c>
      <c r="I248" s="60">
        <f>IF(AND(tblFleet[[#This Row],[Units]]&lt;&gt;"",tblFleet[[#This Row],[Calendar_h]]&gt;0),tblFleet[[#This Row],[Available_h]]/tblFleet[[#This Row],[Calendar_h]],"")</f>
        <v/>
      </c>
      <c r="J248" s="60">
        <f>IF(AND(tblFleet[[#This Row],[Units]]&lt;&gt;"",tblFleet[[#This Row],[Available_h]]&gt;0),tblFleet[[#This Row],[Operating_h]]/tblFleet[[#This Row],[Available_h]],"")</f>
        <v/>
      </c>
    </row>
    <row r="249">
      <c r="A249" s="54" t="n"/>
      <c r="B249" s="61" t="n"/>
      <c r="C249" s="62" t="n"/>
      <c r="D249" s="57" t="n"/>
      <c r="E249" s="57" t="n"/>
      <c r="F249" s="58" t="n"/>
      <c r="G249" s="66">
        <f>IF(tblFleet[[#This Row],[Units]]="","",tblFleet[[#This Row],[Units]]*cfg_HoursPerDay)</f>
        <v/>
      </c>
      <c r="H249" s="66">
        <f>IF(tblFleet[[#This Row],[Units]]="","",tblFleet[[#This Row],[Calendar_h]]-tblFleet[[#This Row],[Down_h]])</f>
        <v/>
      </c>
      <c r="I249" s="60">
        <f>IF(AND(tblFleet[[#This Row],[Units]]&lt;&gt;"",tblFleet[[#This Row],[Calendar_h]]&gt;0),tblFleet[[#This Row],[Available_h]]/tblFleet[[#This Row],[Calendar_h]],"")</f>
        <v/>
      </c>
      <c r="J249" s="60">
        <f>IF(AND(tblFleet[[#This Row],[Units]]&lt;&gt;"",tblFleet[[#This Row],[Available_h]]&gt;0),tblFleet[[#This Row],[Operating_h]]/tblFleet[[#This Row],[Available_h]],"")</f>
        <v/>
      </c>
    </row>
    <row r="250">
      <c r="A250" s="54" t="n"/>
      <c r="B250" s="61" t="n"/>
      <c r="C250" s="62" t="n"/>
      <c r="D250" s="57" t="n"/>
      <c r="E250" s="57" t="n"/>
      <c r="F250" s="58" t="n"/>
      <c r="G250" s="66">
        <f>IF(tblFleet[[#This Row],[Units]]="","",tblFleet[[#This Row],[Units]]*cfg_HoursPerDay)</f>
        <v/>
      </c>
      <c r="H250" s="66">
        <f>IF(tblFleet[[#This Row],[Units]]="","",tblFleet[[#This Row],[Calendar_h]]-tblFleet[[#This Row],[Down_h]])</f>
        <v/>
      </c>
      <c r="I250" s="60">
        <f>IF(AND(tblFleet[[#This Row],[Units]]&lt;&gt;"",tblFleet[[#This Row],[Calendar_h]]&gt;0),tblFleet[[#This Row],[Available_h]]/tblFleet[[#This Row],[Calendar_h]],"")</f>
        <v/>
      </c>
      <c r="J250" s="60">
        <f>IF(AND(tblFleet[[#This Row],[Units]]&lt;&gt;"",tblFleet[[#This Row],[Available_h]]&gt;0),tblFleet[[#This Row],[Operating_h]]/tblFleet[[#This Row],[Available_h]],"")</f>
        <v/>
      </c>
    </row>
    <row r="251">
      <c r="A251" s="54" t="n"/>
      <c r="B251" s="61" t="n"/>
      <c r="C251" s="62" t="n"/>
      <c r="D251" s="57" t="n"/>
      <c r="E251" s="57" t="n"/>
      <c r="F251" s="58" t="n"/>
      <c r="G251" s="66">
        <f>IF(tblFleet[[#This Row],[Units]]="","",tblFleet[[#This Row],[Units]]*cfg_HoursPerDay)</f>
        <v/>
      </c>
      <c r="H251" s="66">
        <f>IF(tblFleet[[#This Row],[Units]]="","",tblFleet[[#This Row],[Calendar_h]]-tblFleet[[#This Row],[Down_h]])</f>
        <v/>
      </c>
      <c r="I251" s="60">
        <f>IF(AND(tblFleet[[#This Row],[Units]]&lt;&gt;"",tblFleet[[#This Row],[Calendar_h]]&gt;0),tblFleet[[#This Row],[Available_h]]/tblFleet[[#This Row],[Calendar_h]],"")</f>
        <v/>
      </c>
      <c r="J251" s="60">
        <f>IF(AND(tblFleet[[#This Row],[Units]]&lt;&gt;"",tblFleet[[#This Row],[Available_h]]&gt;0),tblFleet[[#This Row],[Operating_h]]/tblFleet[[#This Row],[Available_h]],"")</f>
        <v/>
      </c>
    </row>
    <row r="252">
      <c r="A252" s="54" t="n"/>
      <c r="B252" s="61" t="n"/>
      <c r="C252" s="62" t="n"/>
      <c r="D252" s="57" t="n"/>
      <c r="E252" s="57" t="n"/>
      <c r="F252" s="58" t="n"/>
      <c r="G252" s="66">
        <f>IF(tblFleet[[#This Row],[Units]]="","",tblFleet[[#This Row],[Units]]*cfg_HoursPerDay)</f>
        <v/>
      </c>
      <c r="H252" s="66">
        <f>IF(tblFleet[[#This Row],[Units]]="","",tblFleet[[#This Row],[Calendar_h]]-tblFleet[[#This Row],[Down_h]])</f>
        <v/>
      </c>
      <c r="I252" s="60">
        <f>IF(AND(tblFleet[[#This Row],[Units]]&lt;&gt;"",tblFleet[[#This Row],[Calendar_h]]&gt;0),tblFleet[[#This Row],[Available_h]]/tblFleet[[#This Row],[Calendar_h]],"")</f>
        <v/>
      </c>
      <c r="J252" s="60">
        <f>IF(AND(tblFleet[[#This Row],[Units]]&lt;&gt;"",tblFleet[[#This Row],[Available_h]]&gt;0),tblFleet[[#This Row],[Operating_h]]/tblFleet[[#This Row],[Available_h]],"")</f>
        <v/>
      </c>
    </row>
    <row r="253">
      <c r="A253" s="54" t="n"/>
      <c r="B253" s="61" t="n"/>
      <c r="C253" s="62" t="n"/>
      <c r="D253" s="57" t="n"/>
      <c r="E253" s="57" t="n"/>
      <c r="F253" s="58" t="n"/>
      <c r="G253" s="66">
        <f>IF(tblFleet[[#This Row],[Units]]="","",tblFleet[[#This Row],[Units]]*cfg_HoursPerDay)</f>
        <v/>
      </c>
      <c r="H253" s="66">
        <f>IF(tblFleet[[#This Row],[Units]]="","",tblFleet[[#This Row],[Calendar_h]]-tblFleet[[#This Row],[Down_h]])</f>
        <v/>
      </c>
      <c r="I253" s="60">
        <f>IF(AND(tblFleet[[#This Row],[Units]]&lt;&gt;"",tblFleet[[#This Row],[Calendar_h]]&gt;0),tblFleet[[#This Row],[Available_h]]/tblFleet[[#This Row],[Calendar_h]],"")</f>
        <v/>
      </c>
      <c r="J253" s="60">
        <f>IF(AND(tblFleet[[#This Row],[Units]]&lt;&gt;"",tblFleet[[#This Row],[Available_h]]&gt;0),tblFleet[[#This Row],[Operating_h]]/tblFleet[[#This Row],[Available_h]],"")</f>
        <v/>
      </c>
    </row>
    <row r="254">
      <c r="A254" s="54" t="n"/>
      <c r="B254" s="61" t="n"/>
      <c r="C254" s="62" t="n"/>
      <c r="D254" s="57" t="n"/>
      <c r="E254" s="57" t="n"/>
      <c r="F254" s="58" t="n"/>
      <c r="G254" s="66">
        <f>IF(tblFleet[[#This Row],[Units]]="","",tblFleet[[#This Row],[Units]]*cfg_HoursPerDay)</f>
        <v/>
      </c>
      <c r="H254" s="66">
        <f>IF(tblFleet[[#This Row],[Units]]="","",tblFleet[[#This Row],[Calendar_h]]-tblFleet[[#This Row],[Down_h]])</f>
        <v/>
      </c>
      <c r="I254" s="60">
        <f>IF(AND(tblFleet[[#This Row],[Units]]&lt;&gt;"",tblFleet[[#This Row],[Calendar_h]]&gt;0),tblFleet[[#This Row],[Available_h]]/tblFleet[[#This Row],[Calendar_h]],"")</f>
        <v/>
      </c>
      <c r="J254" s="60">
        <f>IF(AND(tblFleet[[#This Row],[Units]]&lt;&gt;"",tblFleet[[#This Row],[Available_h]]&gt;0),tblFleet[[#This Row],[Operating_h]]/tblFleet[[#This Row],[Available_h]],"")</f>
        <v/>
      </c>
    </row>
    <row r="255">
      <c r="A255" s="54" t="n"/>
      <c r="B255" s="61" t="n"/>
      <c r="C255" s="62" t="n"/>
      <c r="D255" s="57" t="n"/>
      <c r="E255" s="57" t="n"/>
      <c r="F255" s="58" t="n"/>
      <c r="G255" s="66">
        <f>IF(tblFleet[[#This Row],[Units]]="","",tblFleet[[#This Row],[Units]]*cfg_HoursPerDay)</f>
        <v/>
      </c>
      <c r="H255" s="66">
        <f>IF(tblFleet[[#This Row],[Units]]="","",tblFleet[[#This Row],[Calendar_h]]-tblFleet[[#This Row],[Down_h]])</f>
        <v/>
      </c>
      <c r="I255" s="60">
        <f>IF(AND(tblFleet[[#This Row],[Units]]&lt;&gt;"",tblFleet[[#This Row],[Calendar_h]]&gt;0),tblFleet[[#This Row],[Available_h]]/tblFleet[[#This Row],[Calendar_h]],"")</f>
        <v/>
      </c>
      <c r="J255" s="60">
        <f>IF(AND(tblFleet[[#This Row],[Units]]&lt;&gt;"",tblFleet[[#This Row],[Available_h]]&gt;0),tblFleet[[#This Row],[Operating_h]]/tblFleet[[#This Row],[Available_h]],"")</f>
        <v/>
      </c>
    </row>
    <row r="256">
      <c r="A256" s="54" t="n"/>
      <c r="B256" s="61" t="n"/>
      <c r="C256" s="62" t="n"/>
      <c r="D256" s="57" t="n"/>
      <c r="E256" s="57" t="n"/>
      <c r="F256" s="58" t="n"/>
      <c r="G256" s="66">
        <f>IF(tblFleet[[#This Row],[Units]]="","",tblFleet[[#This Row],[Units]]*cfg_HoursPerDay)</f>
        <v/>
      </c>
      <c r="H256" s="66">
        <f>IF(tblFleet[[#This Row],[Units]]="","",tblFleet[[#This Row],[Calendar_h]]-tblFleet[[#This Row],[Down_h]])</f>
        <v/>
      </c>
      <c r="I256" s="60">
        <f>IF(AND(tblFleet[[#This Row],[Units]]&lt;&gt;"",tblFleet[[#This Row],[Calendar_h]]&gt;0),tblFleet[[#This Row],[Available_h]]/tblFleet[[#This Row],[Calendar_h]],"")</f>
        <v/>
      </c>
      <c r="J256" s="60">
        <f>IF(AND(tblFleet[[#This Row],[Units]]&lt;&gt;"",tblFleet[[#This Row],[Available_h]]&gt;0),tblFleet[[#This Row],[Operating_h]]/tblFleet[[#This Row],[Available_h]],"")</f>
        <v/>
      </c>
    </row>
    <row r="257">
      <c r="A257" s="54" t="n"/>
      <c r="B257" s="61" t="n"/>
      <c r="C257" s="62" t="n"/>
      <c r="D257" s="57" t="n"/>
      <c r="E257" s="57" t="n"/>
      <c r="F257" s="58" t="n"/>
      <c r="G257" s="66">
        <f>IF(tblFleet[[#This Row],[Units]]="","",tblFleet[[#This Row],[Units]]*cfg_HoursPerDay)</f>
        <v/>
      </c>
      <c r="H257" s="66">
        <f>IF(tblFleet[[#This Row],[Units]]="","",tblFleet[[#This Row],[Calendar_h]]-tblFleet[[#This Row],[Down_h]])</f>
        <v/>
      </c>
      <c r="I257" s="60">
        <f>IF(AND(tblFleet[[#This Row],[Units]]&lt;&gt;"",tblFleet[[#This Row],[Calendar_h]]&gt;0),tblFleet[[#This Row],[Available_h]]/tblFleet[[#This Row],[Calendar_h]],"")</f>
        <v/>
      </c>
      <c r="J257" s="60">
        <f>IF(AND(tblFleet[[#This Row],[Units]]&lt;&gt;"",tblFleet[[#This Row],[Available_h]]&gt;0),tblFleet[[#This Row],[Operating_h]]/tblFleet[[#This Row],[Available_h]],"")</f>
        <v/>
      </c>
    </row>
    <row r="258">
      <c r="A258" s="54" t="n"/>
      <c r="B258" s="61" t="n"/>
      <c r="C258" s="62" t="n"/>
      <c r="D258" s="57" t="n"/>
      <c r="E258" s="57" t="n"/>
      <c r="F258" s="58" t="n"/>
      <c r="G258" s="66">
        <f>IF(tblFleet[[#This Row],[Units]]="","",tblFleet[[#This Row],[Units]]*cfg_HoursPerDay)</f>
        <v/>
      </c>
      <c r="H258" s="66">
        <f>IF(tblFleet[[#This Row],[Units]]="","",tblFleet[[#This Row],[Calendar_h]]-tblFleet[[#This Row],[Down_h]])</f>
        <v/>
      </c>
      <c r="I258" s="60">
        <f>IF(AND(tblFleet[[#This Row],[Units]]&lt;&gt;"",tblFleet[[#This Row],[Calendar_h]]&gt;0),tblFleet[[#This Row],[Available_h]]/tblFleet[[#This Row],[Calendar_h]],"")</f>
        <v/>
      </c>
      <c r="J258" s="60">
        <f>IF(AND(tblFleet[[#This Row],[Units]]&lt;&gt;"",tblFleet[[#This Row],[Available_h]]&gt;0),tblFleet[[#This Row],[Operating_h]]/tblFleet[[#This Row],[Available_h]],"")</f>
        <v/>
      </c>
    </row>
    <row r="259">
      <c r="A259" s="54" t="n"/>
      <c r="B259" s="61" t="n"/>
      <c r="C259" s="62" t="n"/>
      <c r="D259" s="57" t="n"/>
      <c r="E259" s="57" t="n"/>
      <c r="F259" s="58" t="n"/>
      <c r="G259" s="66">
        <f>IF(tblFleet[[#This Row],[Units]]="","",tblFleet[[#This Row],[Units]]*cfg_HoursPerDay)</f>
        <v/>
      </c>
      <c r="H259" s="66">
        <f>IF(tblFleet[[#This Row],[Units]]="","",tblFleet[[#This Row],[Calendar_h]]-tblFleet[[#This Row],[Down_h]])</f>
        <v/>
      </c>
      <c r="I259" s="60">
        <f>IF(AND(tblFleet[[#This Row],[Units]]&lt;&gt;"",tblFleet[[#This Row],[Calendar_h]]&gt;0),tblFleet[[#This Row],[Available_h]]/tblFleet[[#This Row],[Calendar_h]],"")</f>
        <v/>
      </c>
      <c r="J259" s="60">
        <f>IF(AND(tblFleet[[#This Row],[Units]]&lt;&gt;"",tblFleet[[#This Row],[Available_h]]&gt;0),tblFleet[[#This Row],[Operating_h]]/tblFleet[[#This Row],[Available_h]],"")</f>
        <v/>
      </c>
    </row>
    <row r="260">
      <c r="A260" s="54" t="n"/>
      <c r="B260" s="61" t="n"/>
      <c r="C260" s="62" t="n"/>
      <c r="D260" s="57" t="n"/>
      <c r="E260" s="57" t="n"/>
      <c r="F260" s="58" t="n"/>
      <c r="G260" s="66">
        <f>IF(tblFleet[[#This Row],[Units]]="","",tblFleet[[#This Row],[Units]]*cfg_HoursPerDay)</f>
        <v/>
      </c>
      <c r="H260" s="66">
        <f>IF(tblFleet[[#This Row],[Units]]="","",tblFleet[[#This Row],[Calendar_h]]-tblFleet[[#This Row],[Down_h]])</f>
        <v/>
      </c>
      <c r="I260" s="60">
        <f>IF(AND(tblFleet[[#This Row],[Units]]&lt;&gt;"",tblFleet[[#This Row],[Calendar_h]]&gt;0),tblFleet[[#This Row],[Available_h]]/tblFleet[[#This Row],[Calendar_h]],"")</f>
        <v/>
      </c>
      <c r="J260" s="60">
        <f>IF(AND(tblFleet[[#This Row],[Units]]&lt;&gt;"",tblFleet[[#This Row],[Available_h]]&gt;0),tblFleet[[#This Row],[Operating_h]]/tblFleet[[#This Row],[Available_h]],"")</f>
        <v/>
      </c>
    </row>
    <row r="261">
      <c r="A261" s="54" t="n"/>
      <c r="B261" s="61" t="n"/>
      <c r="C261" s="62" t="n"/>
      <c r="D261" s="57" t="n"/>
      <c r="E261" s="57" t="n"/>
      <c r="F261" s="58" t="n"/>
      <c r="G261" s="66">
        <f>IF(tblFleet[[#This Row],[Units]]="","",tblFleet[[#This Row],[Units]]*cfg_HoursPerDay)</f>
        <v/>
      </c>
      <c r="H261" s="66">
        <f>IF(tblFleet[[#This Row],[Units]]="","",tblFleet[[#This Row],[Calendar_h]]-tblFleet[[#This Row],[Down_h]])</f>
        <v/>
      </c>
      <c r="I261" s="60">
        <f>IF(AND(tblFleet[[#This Row],[Units]]&lt;&gt;"",tblFleet[[#This Row],[Calendar_h]]&gt;0),tblFleet[[#This Row],[Available_h]]/tblFleet[[#This Row],[Calendar_h]],"")</f>
        <v/>
      </c>
      <c r="J261" s="60">
        <f>IF(AND(tblFleet[[#This Row],[Units]]&lt;&gt;"",tblFleet[[#This Row],[Available_h]]&gt;0),tblFleet[[#This Row],[Operating_h]]/tblFleet[[#This Row],[Available_h]],"")</f>
        <v/>
      </c>
    </row>
    <row r="262">
      <c r="A262" s="54" t="n"/>
      <c r="B262" s="61" t="n"/>
      <c r="C262" s="62" t="n"/>
      <c r="D262" s="57" t="n"/>
      <c r="E262" s="57" t="n"/>
      <c r="F262" s="58" t="n"/>
      <c r="G262" s="66">
        <f>IF(tblFleet[[#This Row],[Units]]="","",tblFleet[[#This Row],[Units]]*cfg_HoursPerDay)</f>
        <v/>
      </c>
      <c r="H262" s="66">
        <f>IF(tblFleet[[#This Row],[Units]]="","",tblFleet[[#This Row],[Calendar_h]]-tblFleet[[#This Row],[Down_h]])</f>
        <v/>
      </c>
      <c r="I262" s="60">
        <f>IF(AND(tblFleet[[#This Row],[Units]]&lt;&gt;"",tblFleet[[#This Row],[Calendar_h]]&gt;0),tblFleet[[#This Row],[Available_h]]/tblFleet[[#This Row],[Calendar_h]],"")</f>
        <v/>
      </c>
      <c r="J262" s="60">
        <f>IF(AND(tblFleet[[#This Row],[Units]]&lt;&gt;"",tblFleet[[#This Row],[Available_h]]&gt;0),tblFleet[[#This Row],[Operating_h]]/tblFleet[[#This Row],[Available_h]],"")</f>
        <v/>
      </c>
    </row>
    <row r="263">
      <c r="A263" s="54" t="n"/>
      <c r="B263" s="61" t="n"/>
      <c r="C263" s="62" t="n"/>
      <c r="D263" s="57" t="n"/>
      <c r="E263" s="57" t="n"/>
      <c r="F263" s="58" t="n"/>
      <c r="G263" s="66">
        <f>IF(tblFleet[[#This Row],[Units]]="","",tblFleet[[#This Row],[Units]]*cfg_HoursPerDay)</f>
        <v/>
      </c>
      <c r="H263" s="66">
        <f>IF(tblFleet[[#This Row],[Units]]="","",tblFleet[[#This Row],[Calendar_h]]-tblFleet[[#This Row],[Down_h]])</f>
        <v/>
      </c>
      <c r="I263" s="60">
        <f>IF(AND(tblFleet[[#This Row],[Units]]&lt;&gt;"",tblFleet[[#This Row],[Calendar_h]]&gt;0),tblFleet[[#This Row],[Available_h]]/tblFleet[[#This Row],[Calendar_h]],"")</f>
        <v/>
      </c>
      <c r="J263" s="60">
        <f>IF(AND(tblFleet[[#This Row],[Units]]&lt;&gt;"",tblFleet[[#This Row],[Available_h]]&gt;0),tblFleet[[#This Row],[Operating_h]]/tblFleet[[#This Row],[Available_h]],"")</f>
        <v/>
      </c>
    </row>
    <row r="264">
      <c r="A264" s="54" t="n"/>
      <c r="B264" s="61" t="n"/>
      <c r="C264" s="62" t="n"/>
      <c r="D264" s="57" t="n"/>
      <c r="E264" s="57" t="n"/>
      <c r="F264" s="58" t="n"/>
      <c r="G264" s="66">
        <f>IF(tblFleet[[#This Row],[Units]]="","",tblFleet[[#This Row],[Units]]*cfg_HoursPerDay)</f>
        <v/>
      </c>
      <c r="H264" s="66">
        <f>IF(tblFleet[[#This Row],[Units]]="","",tblFleet[[#This Row],[Calendar_h]]-tblFleet[[#This Row],[Down_h]])</f>
        <v/>
      </c>
      <c r="I264" s="60">
        <f>IF(AND(tblFleet[[#This Row],[Units]]&lt;&gt;"",tblFleet[[#This Row],[Calendar_h]]&gt;0),tblFleet[[#This Row],[Available_h]]/tblFleet[[#This Row],[Calendar_h]],"")</f>
        <v/>
      </c>
      <c r="J264" s="60">
        <f>IF(AND(tblFleet[[#This Row],[Units]]&lt;&gt;"",tblFleet[[#This Row],[Available_h]]&gt;0),tblFleet[[#This Row],[Operating_h]]/tblFleet[[#This Row],[Available_h]],"")</f>
        <v/>
      </c>
    </row>
    <row r="265">
      <c r="A265" s="54" t="n"/>
      <c r="B265" s="61" t="n"/>
      <c r="C265" s="62" t="n"/>
      <c r="D265" s="57" t="n"/>
      <c r="E265" s="57" t="n"/>
      <c r="F265" s="58" t="n"/>
      <c r="G265" s="66">
        <f>IF(tblFleet[[#This Row],[Units]]="","",tblFleet[[#This Row],[Units]]*cfg_HoursPerDay)</f>
        <v/>
      </c>
      <c r="H265" s="66">
        <f>IF(tblFleet[[#This Row],[Units]]="","",tblFleet[[#This Row],[Calendar_h]]-tblFleet[[#This Row],[Down_h]])</f>
        <v/>
      </c>
      <c r="I265" s="60">
        <f>IF(AND(tblFleet[[#This Row],[Units]]&lt;&gt;"",tblFleet[[#This Row],[Calendar_h]]&gt;0),tblFleet[[#This Row],[Available_h]]/tblFleet[[#This Row],[Calendar_h]],"")</f>
        <v/>
      </c>
      <c r="J265" s="60">
        <f>IF(AND(tblFleet[[#This Row],[Units]]&lt;&gt;"",tblFleet[[#This Row],[Available_h]]&gt;0),tblFleet[[#This Row],[Operating_h]]/tblFleet[[#This Row],[Available_h]],"")</f>
        <v/>
      </c>
    </row>
    <row r="266">
      <c r="A266" s="54" t="n"/>
      <c r="B266" s="61" t="n"/>
      <c r="C266" s="62" t="n"/>
      <c r="D266" s="57" t="n"/>
      <c r="E266" s="57" t="n"/>
      <c r="F266" s="58" t="n"/>
      <c r="G266" s="66">
        <f>IF(tblFleet[[#This Row],[Units]]="","",tblFleet[[#This Row],[Units]]*cfg_HoursPerDay)</f>
        <v/>
      </c>
      <c r="H266" s="66">
        <f>IF(tblFleet[[#This Row],[Units]]="","",tblFleet[[#This Row],[Calendar_h]]-tblFleet[[#This Row],[Down_h]])</f>
        <v/>
      </c>
      <c r="I266" s="60">
        <f>IF(AND(tblFleet[[#This Row],[Units]]&lt;&gt;"",tblFleet[[#This Row],[Calendar_h]]&gt;0),tblFleet[[#This Row],[Available_h]]/tblFleet[[#This Row],[Calendar_h]],"")</f>
        <v/>
      </c>
      <c r="J266" s="60">
        <f>IF(AND(tblFleet[[#This Row],[Units]]&lt;&gt;"",tblFleet[[#This Row],[Available_h]]&gt;0),tblFleet[[#This Row],[Operating_h]]/tblFleet[[#This Row],[Available_h]],"")</f>
        <v/>
      </c>
    </row>
    <row r="267">
      <c r="A267" s="54" t="n"/>
      <c r="B267" s="61" t="n"/>
      <c r="C267" s="62" t="n"/>
      <c r="D267" s="57" t="n"/>
      <c r="E267" s="57" t="n"/>
      <c r="F267" s="58" t="n"/>
      <c r="G267" s="66">
        <f>IF(tblFleet[[#This Row],[Units]]="","",tblFleet[[#This Row],[Units]]*cfg_HoursPerDay)</f>
        <v/>
      </c>
      <c r="H267" s="66">
        <f>IF(tblFleet[[#This Row],[Units]]="","",tblFleet[[#This Row],[Calendar_h]]-tblFleet[[#This Row],[Down_h]])</f>
        <v/>
      </c>
      <c r="I267" s="60">
        <f>IF(AND(tblFleet[[#This Row],[Units]]&lt;&gt;"",tblFleet[[#This Row],[Calendar_h]]&gt;0),tblFleet[[#This Row],[Available_h]]/tblFleet[[#This Row],[Calendar_h]],"")</f>
        <v/>
      </c>
      <c r="J267" s="60">
        <f>IF(AND(tblFleet[[#This Row],[Units]]&lt;&gt;"",tblFleet[[#This Row],[Available_h]]&gt;0),tblFleet[[#This Row],[Operating_h]]/tblFleet[[#This Row],[Available_h]],"")</f>
        <v/>
      </c>
    </row>
    <row r="268">
      <c r="A268" s="54" t="n"/>
      <c r="B268" s="61" t="n"/>
      <c r="C268" s="62" t="n"/>
      <c r="D268" s="57" t="n"/>
      <c r="E268" s="57" t="n"/>
      <c r="F268" s="58" t="n"/>
      <c r="G268" s="66">
        <f>IF(tblFleet[[#This Row],[Units]]="","",tblFleet[[#This Row],[Units]]*cfg_HoursPerDay)</f>
        <v/>
      </c>
      <c r="H268" s="66">
        <f>IF(tblFleet[[#This Row],[Units]]="","",tblFleet[[#This Row],[Calendar_h]]-tblFleet[[#This Row],[Down_h]])</f>
        <v/>
      </c>
      <c r="I268" s="60">
        <f>IF(AND(tblFleet[[#This Row],[Units]]&lt;&gt;"",tblFleet[[#This Row],[Calendar_h]]&gt;0),tblFleet[[#This Row],[Available_h]]/tblFleet[[#This Row],[Calendar_h]],"")</f>
        <v/>
      </c>
      <c r="J268" s="60">
        <f>IF(AND(tblFleet[[#This Row],[Units]]&lt;&gt;"",tblFleet[[#This Row],[Available_h]]&gt;0),tblFleet[[#This Row],[Operating_h]]/tblFleet[[#This Row],[Available_h]],"")</f>
        <v/>
      </c>
    </row>
    <row r="269">
      <c r="A269" s="54" t="n"/>
      <c r="B269" s="61" t="n"/>
      <c r="C269" s="62" t="n"/>
      <c r="D269" s="57" t="n"/>
      <c r="E269" s="57" t="n"/>
      <c r="F269" s="58" t="n"/>
      <c r="G269" s="66">
        <f>IF(tblFleet[[#This Row],[Units]]="","",tblFleet[[#This Row],[Units]]*cfg_HoursPerDay)</f>
        <v/>
      </c>
      <c r="H269" s="66">
        <f>IF(tblFleet[[#This Row],[Units]]="","",tblFleet[[#This Row],[Calendar_h]]-tblFleet[[#This Row],[Down_h]])</f>
        <v/>
      </c>
      <c r="I269" s="60">
        <f>IF(AND(tblFleet[[#This Row],[Units]]&lt;&gt;"",tblFleet[[#This Row],[Calendar_h]]&gt;0),tblFleet[[#This Row],[Available_h]]/tblFleet[[#This Row],[Calendar_h]],"")</f>
        <v/>
      </c>
      <c r="J269" s="60">
        <f>IF(AND(tblFleet[[#This Row],[Units]]&lt;&gt;"",tblFleet[[#This Row],[Available_h]]&gt;0),tblFleet[[#This Row],[Operating_h]]/tblFleet[[#This Row],[Available_h]],"")</f>
        <v/>
      </c>
    </row>
    <row r="270">
      <c r="A270" s="54" t="n"/>
      <c r="B270" s="61" t="n"/>
      <c r="C270" s="62" t="n"/>
      <c r="D270" s="57" t="n"/>
      <c r="E270" s="57" t="n"/>
      <c r="F270" s="58" t="n"/>
      <c r="G270" s="66">
        <f>IF(tblFleet[[#This Row],[Units]]="","",tblFleet[[#This Row],[Units]]*cfg_HoursPerDay)</f>
        <v/>
      </c>
      <c r="H270" s="66">
        <f>IF(tblFleet[[#This Row],[Units]]="","",tblFleet[[#This Row],[Calendar_h]]-tblFleet[[#This Row],[Down_h]])</f>
        <v/>
      </c>
      <c r="I270" s="60">
        <f>IF(AND(tblFleet[[#This Row],[Units]]&lt;&gt;"",tblFleet[[#This Row],[Calendar_h]]&gt;0),tblFleet[[#This Row],[Available_h]]/tblFleet[[#This Row],[Calendar_h]],"")</f>
        <v/>
      </c>
      <c r="J270" s="60">
        <f>IF(AND(tblFleet[[#This Row],[Units]]&lt;&gt;"",tblFleet[[#This Row],[Available_h]]&gt;0),tblFleet[[#This Row],[Operating_h]]/tblFleet[[#This Row],[Available_h]],"")</f>
        <v/>
      </c>
    </row>
    <row r="271">
      <c r="A271" s="54" t="n"/>
      <c r="B271" s="61" t="n"/>
      <c r="C271" s="62" t="n"/>
      <c r="D271" s="57" t="n"/>
      <c r="E271" s="57" t="n"/>
      <c r="F271" s="58" t="n"/>
      <c r="G271" s="66">
        <f>IF(tblFleet[[#This Row],[Units]]="","",tblFleet[[#This Row],[Units]]*cfg_HoursPerDay)</f>
        <v/>
      </c>
      <c r="H271" s="66">
        <f>IF(tblFleet[[#This Row],[Units]]="","",tblFleet[[#This Row],[Calendar_h]]-tblFleet[[#This Row],[Down_h]])</f>
        <v/>
      </c>
      <c r="I271" s="60">
        <f>IF(AND(tblFleet[[#This Row],[Units]]&lt;&gt;"",tblFleet[[#This Row],[Calendar_h]]&gt;0),tblFleet[[#This Row],[Available_h]]/tblFleet[[#This Row],[Calendar_h]],"")</f>
        <v/>
      </c>
      <c r="J271" s="60">
        <f>IF(AND(tblFleet[[#This Row],[Units]]&lt;&gt;"",tblFleet[[#This Row],[Available_h]]&gt;0),tblFleet[[#This Row],[Operating_h]]/tblFleet[[#This Row],[Available_h]],"")</f>
        <v/>
      </c>
    </row>
    <row r="272">
      <c r="A272" s="54" t="n"/>
      <c r="B272" s="61" t="n"/>
      <c r="C272" s="62" t="n"/>
      <c r="D272" s="57" t="n"/>
      <c r="E272" s="57" t="n"/>
      <c r="F272" s="58" t="n"/>
      <c r="G272" s="66">
        <f>IF(tblFleet[[#This Row],[Units]]="","",tblFleet[[#This Row],[Units]]*cfg_HoursPerDay)</f>
        <v/>
      </c>
      <c r="H272" s="66">
        <f>IF(tblFleet[[#This Row],[Units]]="","",tblFleet[[#This Row],[Calendar_h]]-tblFleet[[#This Row],[Down_h]])</f>
        <v/>
      </c>
      <c r="I272" s="60">
        <f>IF(AND(tblFleet[[#This Row],[Units]]&lt;&gt;"",tblFleet[[#This Row],[Calendar_h]]&gt;0),tblFleet[[#This Row],[Available_h]]/tblFleet[[#This Row],[Calendar_h]],"")</f>
        <v/>
      </c>
      <c r="J272" s="60">
        <f>IF(AND(tblFleet[[#This Row],[Units]]&lt;&gt;"",tblFleet[[#This Row],[Available_h]]&gt;0),tblFleet[[#This Row],[Operating_h]]/tblFleet[[#This Row],[Available_h]],"")</f>
        <v/>
      </c>
    </row>
    <row r="273">
      <c r="A273" s="54" t="n"/>
      <c r="B273" s="61" t="n"/>
      <c r="C273" s="62" t="n"/>
      <c r="D273" s="57" t="n"/>
      <c r="E273" s="57" t="n"/>
      <c r="F273" s="58" t="n"/>
      <c r="G273" s="66">
        <f>IF(tblFleet[[#This Row],[Units]]="","",tblFleet[[#This Row],[Units]]*cfg_HoursPerDay)</f>
        <v/>
      </c>
      <c r="H273" s="66">
        <f>IF(tblFleet[[#This Row],[Units]]="","",tblFleet[[#This Row],[Calendar_h]]-tblFleet[[#This Row],[Down_h]])</f>
        <v/>
      </c>
      <c r="I273" s="60">
        <f>IF(AND(tblFleet[[#This Row],[Units]]&lt;&gt;"",tblFleet[[#This Row],[Calendar_h]]&gt;0),tblFleet[[#This Row],[Available_h]]/tblFleet[[#This Row],[Calendar_h]],"")</f>
        <v/>
      </c>
      <c r="J273" s="60">
        <f>IF(AND(tblFleet[[#This Row],[Units]]&lt;&gt;"",tblFleet[[#This Row],[Available_h]]&gt;0),tblFleet[[#This Row],[Operating_h]]/tblFleet[[#This Row],[Available_h]],"")</f>
        <v/>
      </c>
    </row>
    <row r="274">
      <c r="A274" s="54" t="n"/>
      <c r="B274" s="61" t="n"/>
      <c r="C274" s="62" t="n"/>
      <c r="D274" s="57" t="n"/>
      <c r="E274" s="57" t="n"/>
      <c r="F274" s="58" t="n"/>
      <c r="G274" s="66">
        <f>IF(tblFleet[[#This Row],[Units]]="","",tblFleet[[#This Row],[Units]]*cfg_HoursPerDay)</f>
        <v/>
      </c>
      <c r="H274" s="66">
        <f>IF(tblFleet[[#This Row],[Units]]="","",tblFleet[[#This Row],[Calendar_h]]-tblFleet[[#This Row],[Down_h]])</f>
        <v/>
      </c>
      <c r="I274" s="60">
        <f>IF(AND(tblFleet[[#This Row],[Units]]&lt;&gt;"",tblFleet[[#This Row],[Calendar_h]]&gt;0),tblFleet[[#This Row],[Available_h]]/tblFleet[[#This Row],[Calendar_h]],"")</f>
        <v/>
      </c>
      <c r="J274" s="60">
        <f>IF(AND(tblFleet[[#This Row],[Units]]&lt;&gt;"",tblFleet[[#This Row],[Available_h]]&gt;0),tblFleet[[#This Row],[Operating_h]]/tblFleet[[#This Row],[Available_h]],"")</f>
        <v/>
      </c>
    </row>
    <row r="275">
      <c r="A275" s="54" t="n"/>
      <c r="B275" s="61" t="n"/>
      <c r="C275" s="62" t="n"/>
      <c r="D275" s="57" t="n"/>
      <c r="E275" s="57" t="n"/>
      <c r="F275" s="58" t="n"/>
      <c r="G275" s="66">
        <f>IF(tblFleet[[#This Row],[Units]]="","",tblFleet[[#This Row],[Units]]*cfg_HoursPerDay)</f>
        <v/>
      </c>
      <c r="H275" s="66">
        <f>IF(tblFleet[[#This Row],[Units]]="","",tblFleet[[#This Row],[Calendar_h]]-tblFleet[[#This Row],[Down_h]])</f>
        <v/>
      </c>
      <c r="I275" s="60">
        <f>IF(AND(tblFleet[[#This Row],[Units]]&lt;&gt;"",tblFleet[[#This Row],[Calendar_h]]&gt;0),tblFleet[[#This Row],[Available_h]]/tblFleet[[#This Row],[Calendar_h]],"")</f>
        <v/>
      </c>
      <c r="J275" s="60">
        <f>IF(AND(tblFleet[[#This Row],[Units]]&lt;&gt;"",tblFleet[[#This Row],[Available_h]]&gt;0),tblFleet[[#This Row],[Operating_h]]/tblFleet[[#This Row],[Available_h]],"")</f>
        <v/>
      </c>
    </row>
    <row r="276">
      <c r="A276" s="54" t="n"/>
      <c r="B276" s="61" t="n"/>
      <c r="C276" s="62" t="n"/>
      <c r="D276" s="57" t="n"/>
      <c r="E276" s="57" t="n"/>
      <c r="F276" s="58" t="n"/>
      <c r="G276" s="66">
        <f>IF(tblFleet[[#This Row],[Units]]="","",tblFleet[[#This Row],[Units]]*cfg_HoursPerDay)</f>
        <v/>
      </c>
      <c r="H276" s="66">
        <f>IF(tblFleet[[#This Row],[Units]]="","",tblFleet[[#This Row],[Calendar_h]]-tblFleet[[#This Row],[Down_h]])</f>
        <v/>
      </c>
      <c r="I276" s="60">
        <f>IF(AND(tblFleet[[#This Row],[Units]]&lt;&gt;"",tblFleet[[#This Row],[Calendar_h]]&gt;0),tblFleet[[#This Row],[Available_h]]/tblFleet[[#This Row],[Calendar_h]],"")</f>
        <v/>
      </c>
      <c r="J276" s="60">
        <f>IF(AND(tblFleet[[#This Row],[Units]]&lt;&gt;"",tblFleet[[#This Row],[Available_h]]&gt;0),tblFleet[[#This Row],[Operating_h]]/tblFleet[[#This Row],[Available_h]],"")</f>
        <v/>
      </c>
    </row>
    <row r="277">
      <c r="A277" s="54" t="n"/>
      <c r="B277" s="61" t="n"/>
      <c r="C277" s="62" t="n"/>
      <c r="D277" s="57" t="n"/>
      <c r="E277" s="57" t="n"/>
      <c r="F277" s="58" t="n"/>
      <c r="G277" s="66">
        <f>IF(tblFleet[[#This Row],[Units]]="","",tblFleet[[#This Row],[Units]]*cfg_HoursPerDay)</f>
        <v/>
      </c>
      <c r="H277" s="66">
        <f>IF(tblFleet[[#This Row],[Units]]="","",tblFleet[[#This Row],[Calendar_h]]-tblFleet[[#This Row],[Down_h]])</f>
        <v/>
      </c>
      <c r="I277" s="60">
        <f>IF(AND(tblFleet[[#This Row],[Units]]&lt;&gt;"",tblFleet[[#This Row],[Calendar_h]]&gt;0),tblFleet[[#This Row],[Available_h]]/tblFleet[[#This Row],[Calendar_h]],"")</f>
        <v/>
      </c>
      <c r="J277" s="60">
        <f>IF(AND(tblFleet[[#This Row],[Units]]&lt;&gt;"",tblFleet[[#This Row],[Available_h]]&gt;0),tblFleet[[#This Row],[Operating_h]]/tblFleet[[#This Row],[Available_h]],"")</f>
        <v/>
      </c>
    </row>
    <row r="278">
      <c r="A278" s="54" t="n"/>
      <c r="B278" s="61" t="n"/>
      <c r="C278" s="62" t="n"/>
      <c r="D278" s="57" t="n"/>
      <c r="E278" s="57" t="n"/>
      <c r="F278" s="58" t="n"/>
      <c r="G278" s="66">
        <f>IF(tblFleet[[#This Row],[Units]]="","",tblFleet[[#This Row],[Units]]*cfg_HoursPerDay)</f>
        <v/>
      </c>
      <c r="H278" s="66">
        <f>IF(tblFleet[[#This Row],[Units]]="","",tblFleet[[#This Row],[Calendar_h]]-tblFleet[[#This Row],[Down_h]])</f>
        <v/>
      </c>
      <c r="I278" s="60">
        <f>IF(AND(tblFleet[[#This Row],[Units]]&lt;&gt;"",tblFleet[[#This Row],[Calendar_h]]&gt;0),tblFleet[[#This Row],[Available_h]]/tblFleet[[#This Row],[Calendar_h]],"")</f>
        <v/>
      </c>
      <c r="J278" s="60">
        <f>IF(AND(tblFleet[[#This Row],[Units]]&lt;&gt;"",tblFleet[[#This Row],[Available_h]]&gt;0),tblFleet[[#This Row],[Operating_h]]/tblFleet[[#This Row],[Available_h]],"")</f>
        <v/>
      </c>
    </row>
    <row r="279">
      <c r="A279" s="54" t="n"/>
      <c r="B279" s="61" t="n"/>
      <c r="C279" s="62" t="n"/>
      <c r="D279" s="57" t="n"/>
      <c r="E279" s="57" t="n"/>
      <c r="F279" s="58" t="n"/>
      <c r="G279" s="66">
        <f>IF(tblFleet[[#This Row],[Units]]="","",tblFleet[[#This Row],[Units]]*cfg_HoursPerDay)</f>
        <v/>
      </c>
      <c r="H279" s="66">
        <f>IF(tblFleet[[#This Row],[Units]]="","",tblFleet[[#This Row],[Calendar_h]]-tblFleet[[#This Row],[Down_h]])</f>
        <v/>
      </c>
      <c r="I279" s="60">
        <f>IF(AND(tblFleet[[#This Row],[Units]]&lt;&gt;"",tblFleet[[#This Row],[Calendar_h]]&gt;0),tblFleet[[#This Row],[Available_h]]/tblFleet[[#This Row],[Calendar_h]],"")</f>
        <v/>
      </c>
      <c r="J279" s="60">
        <f>IF(AND(tblFleet[[#This Row],[Units]]&lt;&gt;"",tblFleet[[#This Row],[Available_h]]&gt;0),tblFleet[[#This Row],[Operating_h]]/tblFleet[[#This Row],[Available_h]],"")</f>
        <v/>
      </c>
    </row>
    <row r="280">
      <c r="A280" s="54" t="n"/>
      <c r="B280" s="61" t="n"/>
      <c r="C280" s="62" t="n"/>
      <c r="D280" s="57" t="n"/>
      <c r="E280" s="57" t="n"/>
      <c r="F280" s="58" t="n"/>
      <c r="G280" s="66">
        <f>IF(tblFleet[[#This Row],[Units]]="","",tblFleet[[#This Row],[Units]]*cfg_HoursPerDay)</f>
        <v/>
      </c>
      <c r="H280" s="66">
        <f>IF(tblFleet[[#This Row],[Units]]="","",tblFleet[[#This Row],[Calendar_h]]-tblFleet[[#This Row],[Down_h]])</f>
        <v/>
      </c>
      <c r="I280" s="60">
        <f>IF(AND(tblFleet[[#This Row],[Units]]&lt;&gt;"",tblFleet[[#This Row],[Calendar_h]]&gt;0),tblFleet[[#This Row],[Available_h]]/tblFleet[[#This Row],[Calendar_h]],"")</f>
        <v/>
      </c>
      <c r="J280" s="60">
        <f>IF(AND(tblFleet[[#This Row],[Units]]&lt;&gt;"",tblFleet[[#This Row],[Available_h]]&gt;0),tblFleet[[#This Row],[Operating_h]]/tblFleet[[#This Row],[Available_h]],"")</f>
        <v/>
      </c>
    </row>
    <row r="281">
      <c r="A281" s="54" t="n"/>
      <c r="B281" s="61" t="n"/>
      <c r="C281" s="62" t="n"/>
      <c r="D281" s="57" t="n"/>
      <c r="E281" s="57" t="n"/>
      <c r="F281" s="58" t="n"/>
      <c r="G281" s="66">
        <f>IF(tblFleet[[#This Row],[Units]]="","",tblFleet[[#This Row],[Units]]*cfg_HoursPerDay)</f>
        <v/>
      </c>
      <c r="H281" s="66">
        <f>IF(tblFleet[[#This Row],[Units]]="","",tblFleet[[#This Row],[Calendar_h]]-tblFleet[[#This Row],[Down_h]])</f>
        <v/>
      </c>
      <c r="I281" s="60">
        <f>IF(AND(tblFleet[[#This Row],[Units]]&lt;&gt;"",tblFleet[[#This Row],[Calendar_h]]&gt;0),tblFleet[[#This Row],[Available_h]]/tblFleet[[#This Row],[Calendar_h]],"")</f>
        <v/>
      </c>
      <c r="J281" s="60">
        <f>IF(AND(tblFleet[[#This Row],[Units]]&lt;&gt;"",tblFleet[[#This Row],[Available_h]]&gt;0),tblFleet[[#This Row],[Operating_h]]/tblFleet[[#This Row],[Available_h]],"")</f>
        <v/>
      </c>
    </row>
    <row r="282">
      <c r="A282" s="54" t="n"/>
      <c r="B282" s="61" t="n"/>
      <c r="C282" s="62" t="n"/>
      <c r="D282" s="57" t="n"/>
      <c r="E282" s="57" t="n"/>
      <c r="F282" s="58" t="n"/>
      <c r="G282" s="66">
        <f>IF(tblFleet[[#This Row],[Units]]="","",tblFleet[[#This Row],[Units]]*cfg_HoursPerDay)</f>
        <v/>
      </c>
      <c r="H282" s="66">
        <f>IF(tblFleet[[#This Row],[Units]]="","",tblFleet[[#This Row],[Calendar_h]]-tblFleet[[#This Row],[Down_h]])</f>
        <v/>
      </c>
      <c r="I282" s="60">
        <f>IF(AND(tblFleet[[#This Row],[Units]]&lt;&gt;"",tblFleet[[#This Row],[Calendar_h]]&gt;0),tblFleet[[#This Row],[Available_h]]/tblFleet[[#This Row],[Calendar_h]],"")</f>
        <v/>
      </c>
      <c r="J282" s="60">
        <f>IF(AND(tblFleet[[#This Row],[Units]]&lt;&gt;"",tblFleet[[#This Row],[Available_h]]&gt;0),tblFleet[[#This Row],[Operating_h]]/tblFleet[[#This Row],[Available_h]],"")</f>
        <v/>
      </c>
    </row>
    <row r="283">
      <c r="A283" s="54" t="n"/>
      <c r="B283" s="61" t="n"/>
      <c r="C283" s="62" t="n"/>
      <c r="D283" s="57" t="n"/>
      <c r="E283" s="57" t="n"/>
      <c r="F283" s="58" t="n"/>
      <c r="G283" s="66">
        <f>IF(tblFleet[[#This Row],[Units]]="","",tblFleet[[#This Row],[Units]]*cfg_HoursPerDay)</f>
        <v/>
      </c>
      <c r="H283" s="66">
        <f>IF(tblFleet[[#This Row],[Units]]="","",tblFleet[[#This Row],[Calendar_h]]-tblFleet[[#This Row],[Down_h]])</f>
        <v/>
      </c>
      <c r="I283" s="60">
        <f>IF(AND(tblFleet[[#This Row],[Units]]&lt;&gt;"",tblFleet[[#This Row],[Calendar_h]]&gt;0),tblFleet[[#This Row],[Available_h]]/tblFleet[[#This Row],[Calendar_h]],"")</f>
        <v/>
      </c>
      <c r="J283" s="60">
        <f>IF(AND(tblFleet[[#This Row],[Units]]&lt;&gt;"",tblFleet[[#This Row],[Available_h]]&gt;0),tblFleet[[#This Row],[Operating_h]]/tblFleet[[#This Row],[Available_h]],"")</f>
        <v/>
      </c>
    </row>
    <row r="284">
      <c r="A284" s="54" t="n"/>
      <c r="B284" s="61" t="n"/>
      <c r="C284" s="62" t="n"/>
      <c r="D284" s="57" t="n"/>
      <c r="E284" s="57" t="n"/>
      <c r="F284" s="58" t="n"/>
      <c r="G284" s="66">
        <f>IF(tblFleet[[#This Row],[Units]]="","",tblFleet[[#This Row],[Units]]*cfg_HoursPerDay)</f>
        <v/>
      </c>
      <c r="H284" s="66">
        <f>IF(tblFleet[[#This Row],[Units]]="","",tblFleet[[#This Row],[Calendar_h]]-tblFleet[[#This Row],[Down_h]])</f>
        <v/>
      </c>
      <c r="I284" s="60">
        <f>IF(AND(tblFleet[[#This Row],[Units]]&lt;&gt;"",tblFleet[[#This Row],[Calendar_h]]&gt;0),tblFleet[[#This Row],[Available_h]]/tblFleet[[#This Row],[Calendar_h]],"")</f>
        <v/>
      </c>
      <c r="J284" s="60">
        <f>IF(AND(tblFleet[[#This Row],[Units]]&lt;&gt;"",tblFleet[[#This Row],[Available_h]]&gt;0),tblFleet[[#This Row],[Operating_h]]/tblFleet[[#This Row],[Available_h]],"")</f>
        <v/>
      </c>
    </row>
    <row r="285">
      <c r="A285" s="54" t="n"/>
      <c r="B285" s="61" t="n"/>
      <c r="C285" s="62" t="n"/>
      <c r="D285" s="57" t="n"/>
      <c r="E285" s="57" t="n"/>
      <c r="F285" s="58" t="n"/>
      <c r="G285" s="66">
        <f>IF(tblFleet[[#This Row],[Units]]="","",tblFleet[[#This Row],[Units]]*cfg_HoursPerDay)</f>
        <v/>
      </c>
      <c r="H285" s="66">
        <f>IF(tblFleet[[#This Row],[Units]]="","",tblFleet[[#This Row],[Calendar_h]]-tblFleet[[#This Row],[Down_h]])</f>
        <v/>
      </c>
      <c r="I285" s="60">
        <f>IF(AND(tblFleet[[#This Row],[Units]]&lt;&gt;"",tblFleet[[#This Row],[Calendar_h]]&gt;0),tblFleet[[#This Row],[Available_h]]/tblFleet[[#This Row],[Calendar_h]],"")</f>
        <v/>
      </c>
      <c r="J285" s="60">
        <f>IF(AND(tblFleet[[#This Row],[Units]]&lt;&gt;"",tblFleet[[#This Row],[Available_h]]&gt;0),tblFleet[[#This Row],[Operating_h]]/tblFleet[[#This Row],[Available_h]],"")</f>
        <v/>
      </c>
    </row>
    <row r="286">
      <c r="A286" s="54" t="n"/>
      <c r="B286" s="61" t="n"/>
      <c r="C286" s="62" t="n"/>
      <c r="D286" s="57" t="n"/>
      <c r="E286" s="57" t="n"/>
      <c r="F286" s="58" t="n"/>
      <c r="G286" s="66">
        <f>IF(tblFleet[[#This Row],[Units]]="","",tblFleet[[#This Row],[Units]]*cfg_HoursPerDay)</f>
        <v/>
      </c>
      <c r="H286" s="66">
        <f>IF(tblFleet[[#This Row],[Units]]="","",tblFleet[[#This Row],[Calendar_h]]-tblFleet[[#This Row],[Down_h]])</f>
        <v/>
      </c>
      <c r="I286" s="60">
        <f>IF(AND(tblFleet[[#This Row],[Units]]&lt;&gt;"",tblFleet[[#This Row],[Calendar_h]]&gt;0),tblFleet[[#This Row],[Available_h]]/tblFleet[[#This Row],[Calendar_h]],"")</f>
        <v/>
      </c>
      <c r="J286" s="60">
        <f>IF(AND(tblFleet[[#This Row],[Units]]&lt;&gt;"",tblFleet[[#This Row],[Available_h]]&gt;0),tblFleet[[#This Row],[Operating_h]]/tblFleet[[#This Row],[Available_h]],"")</f>
        <v/>
      </c>
    </row>
    <row r="287">
      <c r="A287" s="54" t="n"/>
      <c r="B287" s="61" t="n"/>
      <c r="C287" s="62" t="n"/>
      <c r="D287" s="57" t="n"/>
      <c r="E287" s="57" t="n"/>
      <c r="F287" s="58" t="n"/>
      <c r="G287" s="66">
        <f>IF(tblFleet[[#This Row],[Units]]="","",tblFleet[[#This Row],[Units]]*cfg_HoursPerDay)</f>
        <v/>
      </c>
      <c r="H287" s="66">
        <f>IF(tblFleet[[#This Row],[Units]]="","",tblFleet[[#This Row],[Calendar_h]]-tblFleet[[#This Row],[Down_h]])</f>
        <v/>
      </c>
      <c r="I287" s="60">
        <f>IF(AND(tblFleet[[#This Row],[Units]]&lt;&gt;"",tblFleet[[#This Row],[Calendar_h]]&gt;0),tblFleet[[#This Row],[Available_h]]/tblFleet[[#This Row],[Calendar_h]],"")</f>
        <v/>
      </c>
      <c r="J287" s="60">
        <f>IF(AND(tblFleet[[#This Row],[Units]]&lt;&gt;"",tblFleet[[#This Row],[Available_h]]&gt;0),tblFleet[[#This Row],[Operating_h]]/tblFleet[[#This Row],[Available_h]],"")</f>
        <v/>
      </c>
    </row>
    <row r="288">
      <c r="A288" s="54" t="n"/>
      <c r="B288" s="61" t="n"/>
      <c r="C288" s="62" t="n"/>
      <c r="D288" s="57" t="n"/>
      <c r="E288" s="57" t="n"/>
      <c r="F288" s="58" t="n"/>
      <c r="G288" s="66">
        <f>IF(tblFleet[[#This Row],[Units]]="","",tblFleet[[#This Row],[Units]]*cfg_HoursPerDay)</f>
        <v/>
      </c>
      <c r="H288" s="66">
        <f>IF(tblFleet[[#This Row],[Units]]="","",tblFleet[[#This Row],[Calendar_h]]-tblFleet[[#This Row],[Down_h]])</f>
        <v/>
      </c>
      <c r="I288" s="60">
        <f>IF(AND(tblFleet[[#This Row],[Units]]&lt;&gt;"",tblFleet[[#This Row],[Calendar_h]]&gt;0),tblFleet[[#This Row],[Available_h]]/tblFleet[[#This Row],[Calendar_h]],"")</f>
        <v/>
      </c>
      <c r="J288" s="60">
        <f>IF(AND(tblFleet[[#This Row],[Units]]&lt;&gt;"",tblFleet[[#This Row],[Available_h]]&gt;0),tblFleet[[#This Row],[Operating_h]]/tblFleet[[#This Row],[Available_h]],"")</f>
        <v/>
      </c>
    </row>
    <row r="289">
      <c r="A289" s="54" t="n"/>
      <c r="B289" s="61" t="n"/>
      <c r="C289" s="62" t="n"/>
      <c r="D289" s="57" t="n"/>
      <c r="E289" s="57" t="n"/>
      <c r="F289" s="58" t="n"/>
      <c r="G289" s="66">
        <f>IF(tblFleet[[#This Row],[Units]]="","",tblFleet[[#This Row],[Units]]*cfg_HoursPerDay)</f>
        <v/>
      </c>
      <c r="H289" s="66">
        <f>IF(tblFleet[[#This Row],[Units]]="","",tblFleet[[#This Row],[Calendar_h]]-tblFleet[[#This Row],[Down_h]])</f>
        <v/>
      </c>
      <c r="I289" s="60">
        <f>IF(AND(tblFleet[[#This Row],[Units]]&lt;&gt;"",tblFleet[[#This Row],[Calendar_h]]&gt;0),tblFleet[[#This Row],[Available_h]]/tblFleet[[#This Row],[Calendar_h]],"")</f>
        <v/>
      </c>
      <c r="J289" s="60">
        <f>IF(AND(tblFleet[[#This Row],[Units]]&lt;&gt;"",tblFleet[[#This Row],[Available_h]]&gt;0),tblFleet[[#This Row],[Operating_h]]/tblFleet[[#This Row],[Available_h]],"")</f>
        <v/>
      </c>
    </row>
    <row r="290">
      <c r="A290" s="54" t="n"/>
      <c r="B290" s="61" t="n"/>
      <c r="C290" s="62" t="n"/>
      <c r="D290" s="57" t="n"/>
      <c r="E290" s="57" t="n"/>
      <c r="F290" s="58" t="n"/>
      <c r="G290" s="66">
        <f>IF(tblFleet[[#This Row],[Units]]="","",tblFleet[[#This Row],[Units]]*cfg_HoursPerDay)</f>
        <v/>
      </c>
      <c r="H290" s="66">
        <f>IF(tblFleet[[#This Row],[Units]]="","",tblFleet[[#This Row],[Calendar_h]]-tblFleet[[#This Row],[Down_h]])</f>
        <v/>
      </c>
      <c r="I290" s="60">
        <f>IF(AND(tblFleet[[#This Row],[Units]]&lt;&gt;"",tblFleet[[#This Row],[Calendar_h]]&gt;0),tblFleet[[#This Row],[Available_h]]/tblFleet[[#This Row],[Calendar_h]],"")</f>
        <v/>
      </c>
      <c r="J290" s="60">
        <f>IF(AND(tblFleet[[#This Row],[Units]]&lt;&gt;"",tblFleet[[#This Row],[Available_h]]&gt;0),tblFleet[[#This Row],[Operating_h]]/tblFleet[[#This Row],[Available_h]],"")</f>
        <v/>
      </c>
    </row>
    <row r="291">
      <c r="A291" s="54" t="n"/>
      <c r="B291" s="61" t="n"/>
      <c r="C291" s="62" t="n"/>
      <c r="D291" s="57" t="n"/>
      <c r="E291" s="57" t="n"/>
      <c r="F291" s="58" t="n"/>
      <c r="G291" s="66">
        <f>IF(tblFleet[[#This Row],[Units]]="","",tblFleet[[#This Row],[Units]]*cfg_HoursPerDay)</f>
        <v/>
      </c>
      <c r="H291" s="66">
        <f>IF(tblFleet[[#This Row],[Units]]="","",tblFleet[[#This Row],[Calendar_h]]-tblFleet[[#This Row],[Down_h]])</f>
        <v/>
      </c>
      <c r="I291" s="60">
        <f>IF(AND(tblFleet[[#This Row],[Units]]&lt;&gt;"",tblFleet[[#This Row],[Calendar_h]]&gt;0),tblFleet[[#This Row],[Available_h]]/tblFleet[[#This Row],[Calendar_h]],"")</f>
        <v/>
      </c>
      <c r="J291" s="60">
        <f>IF(AND(tblFleet[[#This Row],[Units]]&lt;&gt;"",tblFleet[[#This Row],[Available_h]]&gt;0),tblFleet[[#This Row],[Operating_h]]/tblFleet[[#This Row],[Available_h]],"")</f>
        <v/>
      </c>
    </row>
    <row r="292">
      <c r="A292" s="54" t="n"/>
      <c r="B292" s="61" t="n"/>
      <c r="C292" s="62" t="n"/>
      <c r="D292" s="57" t="n"/>
      <c r="E292" s="57" t="n"/>
      <c r="F292" s="58" t="n"/>
      <c r="G292" s="66">
        <f>IF(tblFleet[[#This Row],[Units]]="","",tblFleet[[#This Row],[Units]]*cfg_HoursPerDay)</f>
        <v/>
      </c>
      <c r="H292" s="66">
        <f>IF(tblFleet[[#This Row],[Units]]="","",tblFleet[[#This Row],[Calendar_h]]-tblFleet[[#This Row],[Down_h]])</f>
        <v/>
      </c>
      <c r="I292" s="60">
        <f>IF(AND(tblFleet[[#This Row],[Units]]&lt;&gt;"",tblFleet[[#This Row],[Calendar_h]]&gt;0),tblFleet[[#This Row],[Available_h]]/tblFleet[[#This Row],[Calendar_h]],"")</f>
        <v/>
      </c>
      <c r="J292" s="60">
        <f>IF(AND(tblFleet[[#This Row],[Units]]&lt;&gt;"",tblFleet[[#This Row],[Available_h]]&gt;0),tblFleet[[#This Row],[Operating_h]]/tblFleet[[#This Row],[Available_h]],"")</f>
        <v/>
      </c>
    </row>
    <row r="293">
      <c r="A293" s="54" t="n"/>
      <c r="B293" s="61" t="n"/>
      <c r="C293" s="62" t="n"/>
      <c r="D293" s="57" t="n"/>
      <c r="E293" s="57" t="n"/>
      <c r="F293" s="58" t="n"/>
      <c r="G293" s="66">
        <f>IF(tblFleet[[#This Row],[Units]]="","",tblFleet[[#This Row],[Units]]*cfg_HoursPerDay)</f>
        <v/>
      </c>
      <c r="H293" s="66">
        <f>IF(tblFleet[[#This Row],[Units]]="","",tblFleet[[#This Row],[Calendar_h]]-tblFleet[[#This Row],[Down_h]])</f>
        <v/>
      </c>
      <c r="I293" s="60">
        <f>IF(AND(tblFleet[[#This Row],[Units]]&lt;&gt;"",tblFleet[[#This Row],[Calendar_h]]&gt;0),tblFleet[[#This Row],[Available_h]]/tblFleet[[#This Row],[Calendar_h]],"")</f>
        <v/>
      </c>
      <c r="J293" s="60">
        <f>IF(AND(tblFleet[[#This Row],[Units]]&lt;&gt;"",tblFleet[[#This Row],[Available_h]]&gt;0),tblFleet[[#This Row],[Operating_h]]/tblFleet[[#This Row],[Available_h]],"")</f>
        <v/>
      </c>
    </row>
    <row r="294">
      <c r="A294" s="54" t="n"/>
      <c r="B294" s="61" t="n"/>
      <c r="C294" s="62" t="n"/>
      <c r="D294" s="57" t="n"/>
      <c r="E294" s="57" t="n"/>
      <c r="F294" s="58" t="n"/>
      <c r="G294" s="66">
        <f>IF(tblFleet[[#This Row],[Units]]="","",tblFleet[[#This Row],[Units]]*cfg_HoursPerDay)</f>
        <v/>
      </c>
      <c r="H294" s="66">
        <f>IF(tblFleet[[#This Row],[Units]]="","",tblFleet[[#This Row],[Calendar_h]]-tblFleet[[#This Row],[Down_h]])</f>
        <v/>
      </c>
      <c r="I294" s="60">
        <f>IF(AND(tblFleet[[#This Row],[Units]]&lt;&gt;"",tblFleet[[#This Row],[Calendar_h]]&gt;0),tblFleet[[#This Row],[Available_h]]/tblFleet[[#This Row],[Calendar_h]],"")</f>
        <v/>
      </c>
      <c r="J294" s="60">
        <f>IF(AND(tblFleet[[#This Row],[Units]]&lt;&gt;"",tblFleet[[#This Row],[Available_h]]&gt;0),tblFleet[[#This Row],[Operating_h]]/tblFleet[[#This Row],[Available_h]],"")</f>
        <v/>
      </c>
    </row>
    <row r="295">
      <c r="A295" s="54" t="n"/>
      <c r="B295" s="61" t="n"/>
      <c r="C295" s="62" t="n"/>
      <c r="D295" s="57" t="n"/>
      <c r="E295" s="57" t="n"/>
      <c r="F295" s="58" t="n"/>
      <c r="G295" s="66">
        <f>IF(tblFleet[[#This Row],[Units]]="","",tblFleet[[#This Row],[Units]]*cfg_HoursPerDay)</f>
        <v/>
      </c>
      <c r="H295" s="66">
        <f>IF(tblFleet[[#This Row],[Units]]="","",tblFleet[[#This Row],[Calendar_h]]-tblFleet[[#This Row],[Down_h]])</f>
        <v/>
      </c>
      <c r="I295" s="60">
        <f>IF(AND(tblFleet[[#This Row],[Units]]&lt;&gt;"",tblFleet[[#This Row],[Calendar_h]]&gt;0),tblFleet[[#This Row],[Available_h]]/tblFleet[[#This Row],[Calendar_h]],"")</f>
        <v/>
      </c>
      <c r="J295" s="60">
        <f>IF(AND(tblFleet[[#This Row],[Units]]&lt;&gt;"",tblFleet[[#This Row],[Available_h]]&gt;0),tblFleet[[#This Row],[Operating_h]]/tblFleet[[#This Row],[Available_h]],"")</f>
        <v/>
      </c>
    </row>
    <row r="296">
      <c r="A296" s="54" t="n"/>
      <c r="B296" s="61" t="n"/>
      <c r="C296" s="62" t="n"/>
      <c r="D296" s="57" t="n"/>
      <c r="E296" s="57" t="n"/>
      <c r="F296" s="58" t="n"/>
      <c r="G296" s="66">
        <f>IF(tblFleet[[#This Row],[Units]]="","",tblFleet[[#This Row],[Units]]*cfg_HoursPerDay)</f>
        <v/>
      </c>
      <c r="H296" s="66">
        <f>IF(tblFleet[[#This Row],[Units]]="","",tblFleet[[#This Row],[Calendar_h]]-tblFleet[[#This Row],[Down_h]])</f>
        <v/>
      </c>
      <c r="I296" s="60">
        <f>IF(AND(tblFleet[[#This Row],[Units]]&lt;&gt;"",tblFleet[[#This Row],[Calendar_h]]&gt;0),tblFleet[[#This Row],[Available_h]]/tblFleet[[#This Row],[Calendar_h]],"")</f>
        <v/>
      </c>
      <c r="J296" s="60">
        <f>IF(AND(tblFleet[[#This Row],[Units]]&lt;&gt;"",tblFleet[[#This Row],[Available_h]]&gt;0),tblFleet[[#This Row],[Operating_h]]/tblFleet[[#This Row],[Available_h]],"")</f>
        <v/>
      </c>
    </row>
    <row r="297">
      <c r="A297" s="54" t="n"/>
      <c r="B297" s="61" t="n"/>
      <c r="C297" s="62" t="n"/>
      <c r="D297" s="57" t="n"/>
      <c r="E297" s="57" t="n"/>
      <c r="F297" s="58" t="n"/>
      <c r="G297" s="66">
        <f>IF(tblFleet[[#This Row],[Units]]="","",tblFleet[[#This Row],[Units]]*cfg_HoursPerDay)</f>
        <v/>
      </c>
      <c r="H297" s="66">
        <f>IF(tblFleet[[#This Row],[Units]]="","",tblFleet[[#This Row],[Calendar_h]]-tblFleet[[#This Row],[Down_h]])</f>
        <v/>
      </c>
      <c r="I297" s="60">
        <f>IF(AND(tblFleet[[#This Row],[Units]]&lt;&gt;"",tblFleet[[#This Row],[Calendar_h]]&gt;0),tblFleet[[#This Row],[Available_h]]/tblFleet[[#This Row],[Calendar_h]],"")</f>
        <v/>
      </c>
      <c r="J297" s="60">
        <f>IF(AND(tblFleet[[#This Row],[Units]]&lt;&gt;"",tblFleet[[#This Row],[Available_h]]&gt;0),tblFleet[[#This Row],[Operating_h]]/tblFleet[[#This Row],[Available_h]],"")</f>
        <v/>
      </c>
    </row>
    <row r="298">
      <c r="A298" s="54" t="n"/>
      <c r="B298" s="61" t="n"/>
      <c r="C298" s="62" t="n"/>
      <c r="D298" s="57" t="n"/>
      <c r="E298" s="57" t="n"/>
      <c r="F298" s="58" t="n"/>
      <c r="G298" s="66">
        <f>IF(tblFleet[[#This Row],[Units]]="","",tblFleet[[#This Row],[Units]]*cfg_HoursPerDay)</f>
        <v/>
      </c>
      <c r="H298" s="66">
        <f>IF(tblFleet[[#This Row],[Units]]="","",tblFleet[[#This Row],[Calendar_h]]-tblFleet[[#This Row],[Down_h]])</f>
        <v/>
      </c>
      <c r="I298" s="60">
        <f>IF(AND(tblFleet[[#This Row],[Units]]&lt;&gt;"",tblFleet[[#This Row],[Calendar_h]]&gt;0),tblFleet[[#This Row],[Available_h]]/tblFleet[[#This Row],[Calendar_h]],"")</f>
        <v/>
      </c>
      <c r="J298" s="60">
        <f>IF(AND(tblFleet[[#This Row],[Units]]&lt;&gt;"",tblFleet[[#This Row],[Available_h]]&gt;0),tblFleet[[#This Row],[Operating_h]]/tblFleet[[#This Row],[Available_h]],"")</f>
        <v/>
      </c>
    </row>
    <row r="299">
      <c r="A299" s="54" t="n"/>
      <c r="B299" s="61" t="n"/>
      <c r="C299" s="62" t="n"/>
      <c r="D299" s="57" t="n"/>
      <c r="E299" s="57" t="n"/>
      <c r="F299" s="58" t="n"/>
      <c r="G299" s="66">
        <f>IF(tblFleet[[#This Row],[Units]]="","",tblFleet[[#This Row],[Units]]*cfg_HoursPerDay)</f>
        <v/>
      </c>
      <c r="H299" s="66">
        <f>IF(tblFleet[[#This Row],[Units]]="","",tblFleet[[#This Row],[Calendar_h]]-tblFleet[[#This Row],[Down_h]])</f>
        <v/>
      </c>
      <c r="I299" s="60">
        <f>IF(AND(tblFleet[[#This Row],[Units]]&lt;&gt;"",tblFleet[[#This Row],[Calendar_h]]&gt;0),tblFleet[[#This Row],[Available_h]]/tblFleet[[#This Row],[Calendar_h]],"")</f>
        <v/>
      </c>
      <c r="J299" s="60">
        <f>IF(AND(tblFleet[[#This Row],[Units]]&lt;&gt;"",tblFleet[[#This Row],[Available_h]]&gt;0),tblFleet[[#This Row],[Operating_h]]/tblFleet[[#This Row],[Available_h]],"")</f>
        <v/>
      </c>
    </row>
    <row r="300">
      <c r="A300" s="54" t="n"/>
      <c r="B300" s="61" t="n"/>
      <c r="C300" s="62" t="n"/>
      <c r="D300" s="57" t="n"/>
      <c r="E300" s="57" t="n"/>
      <c r="F300" s="58" t="n"/>
      <c r="G300" s="66">
        <f>IF(tblFleet[[#This Row],[Units]]="","",tblFleet[[#This Row],[Units]]*cfg_HoursPerDay)</f>
        <v/>
      </c>
      <c r="H300" s="66">
        <f>IF(tblFleet[[#This Row],[Units]]="","",tblFleet[[#This Row],[Calendar_h]]-tblFleet[[#This Row],[Down_h]])</f>
        <v/>
      </c>
      <c r="I300" s="60">
        <f>IF(AND(tblFleet[[#This Row],[Units]]&lt;&gt;"",tblFleet[[#This Row],[Calendar_h]]&gt;0),tblFleet[[#This Row],[Available_h]]/tblFleet[[#This Row],[Calendar_h]],"")</f>
        <v/>
      </c>
      <c r="J300" s="60">
        <f>IF(AND(tblFleet[[#This Row],[Units]]&lt;&gt;"",tblFleet[[#This Row],[Available_h]]&gt;0),tblFleet[[#This Row],[Operating_h]]/tblFleet[[#This Row],[Available_h]],"")</f>
        <v/>
      </c>
    </row>
    <row r="301">
      <c r="A301" s="54" t="n"/>
      <c r="B301" s="61" t="n"/>
      <c r="C301" s="62" t="n"/>
      <c r="D301" s="57" t="n"/>
      <c r="E301" s="57" t="n"/>
      <c r="F301" s="58" t="n"/>
      <c r="G301" s="66">
        <f>IF(tblFleet[[#This Row],[Units]]="","",tblFleet[[#This Row],[Units]]*cfg_HoursPerDay)</f>
        <v/>
      </c>
      <c r="H301" s="66">
        <f>IF(tblFleet[[#This Row],[Units]]="","",tblFleet[[#This Row],[Calendar_h]]-tblFleet[[#This Row],[Down_h]])</f>
        <v/>
      </c>
      <c r="I301" s="60">
        <f>IF(AND(tblFleet[[#This Row],[Units]]&lt;&gt;"",tblFleet[[#This Row],[Calendar_h]]&gt;0),tblFleet[[#This Row],[Available_h]]/tblFleet[[#This Row],[Calendar_h]],"")</f>
        <v/>
      </c>
      <c r="J301" s="60">
        <f>IF(AND(tblFleet[[#This Row],[Units]]&lt;&gt;"",tblFleet[[#This Row],[Available_h]]&gt;0),tblFleet[[#This Row],[Operating_h]]/tblFleet[[#This Row],[Available_h]],"")</f>
        <v/>
      </c>
    </row>
    <row r="302">
      <c r="A302" s="54" t="n"/>
      <c r="B302" s="61" t="n"/>
      <c r="C302" s="62" t="n"/>
      <c r="D302" s="57" t="n"/>
      <c r="E302" s="57" t="n"/>
      <c r="F302" s="58" t="n"/>
      <c r="G302" s="66">
        <f>IF(tblFleet[[#This Row],[Units]]="","",tblFleet[[#This Row],[Units]]*cfg_HoursPerDay)</f>
        <v/>
      </c>
      <c r="H302" s="66">
        <f>IF(tblFleet[[#This Row],[Units]]="","",tblFleet[[#This Row],[Calendar_h]]-tblFleet[[#This Row],[Down_h]])</f>
        <v/>
      </c>
      <c r="I302" s="60">
        <f>IF(AND(tblFleet[[#This Row],[Units]]&lt;&gt;"",tblFleet[[#This Row],[Calendar_h]]&gt;0),tblFleet[[#This Row],[Available_h]]/tblFleet[[#This Row],[Calendar_h]],"")</f>
        <v/>
      </c>
      <c r="J302" s="60">
        <f>IF(AND(tblFleet[[#This Row],[Units]]&lt;&gt;"",tblFleet[[#This Row],[Available_h]]&gt;0),tblFleet[[#This Row],[Operating_h]]/tblFleet[[#This Row],[Available_h]],"")</f>
        <v/>
      </c>
    </row>
    <row r="303">
      <c r="A303" s="54" t="n"/>
      <c r="B303" s="61" t="n"/>
      <c r="C303" s="62" t="n"/>
      <c r="D303" s="57" t="n"/>
      <c r="E303" s="57" t="n"/>
      <c r="F303" s="58" t="n"/>
      <c r="G303" s="66">
        <f>IF(tblFleet[[#This Row],[Units]]="","",tblFleet[[#This Row],[Units]]*cfg_HoursPerDay)</f>
        <v/>
      </c>
      <c r="H303" s="66">
        <f>IF(tblFleet[[#This Row],[Units]]="","",tblFleet[[#This Row],[Calendar_h]]-tblFleet[[#This Row],[Down_h]])</f>
        <v/>
      </c>
      <c r="I303" s="60">
        <f>IF(AND(tblFleet[[#This Row],[Units]]&lt;&gt;"",tblFleet[[#This Row],[Calendar_h]]&gt;0),tblFleet[[#This Row],[Available_h]]/tblFleet[[#This Row],[Calendar_h]],"")</f>
        <v/>
      </c>
      <c r="J303" s="60">
        <f>IF(AND(tblFleet[[#This Row],[Units]]&lt;&gt;"",tblFleet[[#This Row],[Available_h]]&gt;0),tblFleet[[#This Row],[Operating_h]]/tblFleet[[#This Row],[Available_h]],"")</f>
        <v/>
      </c>
    </row>
    <row r="304">
      <c r="A304" s="54" t="n"/>
      <c r="B304" s="61" t="n"/>
      <c r="C304" s="62" t="n"/>
      <c r="D304" s="57" t="n"/>
      <c r="E304" s="57" t="n"/>
      <c r="F304" s="58" t="n"/>
      <c r="G304" s="66">
        <f>IF(tblFleet[[#This Row],[Units]]="","",tblFleet[[#This Row],[Units]]*cfg_HoursPerDay)</f>
        <v/>
      </c>
      <c r="H304" s="66">
        <f>IF(tblFleet[[#This Row],[Units]]="","",tblFleet[[#This Row],[Calendar_h]]-tblFleet[[#This Row],[Down_h]])</f>
        <v/>
      </c>
      <c r="I304" s="60">
        <f>IF(AND(tblFleet[[#This Row],[Units]]&lt;&gt;"",tblFleet[[#This Row],[Calendar_h]]&gt;0),tblFleet[[#This Row],[Available_h]]/tblFleet[[#This Row],[Calendar_h]],"")</f>
        <v/>
      </c>
      <c r="J304" s="60">
        <f>IF(AND(tblFleet[[#This Row],[Units]]&lt;&gt;"",tblFleet[[#This Row],[Available_h]]&gt;0),tblFleet[[#This Row],[Operating_h]]/tblFleet[[#This Row],[Available_h]],"")</f>
        <v/>
      </c>
    </row>
    <row r="305">
      <c r="A305" s="54" t="n"/>
      <c r="B305" s="61" t="n"/>
      <c r="C305" s="62" t="n"/>
      <c r="D305" s="57" t="n"/>
      <c r="E305" s="57" t="n"/>
      <c r="F305" s="58" t="n"/>
      <c r="G305" s="66">
        <f>IF(tblFleet[[#This Row],[Units]]="","",tblFleet[[#This Row],[Units]]*cfg_HoursPerDay)</f>
        <v/>
      </c>
      <c r="H305" s="66">
        <f>IF(tblFleet[[#This Row],[Units]]="","",tblFleet[[#This Row],[Calendar_h]]-tblFleet[[#This Row],[Down_h]])</f>
        <v/>
      </c>
      <c r="I305" s="60">
        <f>IF(AND(tblFleet[[#This Row],[Units]]&lt;&gt;"",tblFleet[[#This Row],[Calendar_h]]&gt;0),tblFleet[[#This Row],[Available_h]]/tblFleet[[#This Row],[Calendar_h]],"")</f>
        <v/>
      </c>
      <c r="J305" s="60">
        <f>IF(AND(tblFleet[[#This Row],[Units]]&lt;&gt;"",tblFleet[[#This Row],[Available_h]]&gt;0),tblFleet[[#This Row],[Operating_h]]/tblFleet[[#This Row],[Available_h]],"")</f>
        <v/>
      </c>
    </row>
    <row r="306">
      <c r="A306" s="54" t="n"/>
      <c r="B306" s="61" t="n"/>
      <c r="C306" s="62" t="n"/>
      <c r="D306" s="57" t="n"/>
      <c r="E306" s="57" t="n"/>
      <c r="F306" s="58" t="n"/>
      <c r="G306" s="66">
        <f>IF(tblFleet[[#This Row],[Units]]="","",tblFleet[[#This Row],[Units]]*cfg_HoursPerDay)</f>
        <v/>
      </c>
      <c r="H306" s="66">
        <f>IF(tblFleet[[#This Row],[Units]]="","",tblFleet[[#This Row],[Calendar_h]]-tblFleet[[#This Row],[Down_h]])</f>
        <v/>
      </c>
      <c r="I306" s="60">
        <f>IF(AND(tblFleet[[#This Row],[Units]]&lt;&gt;"",tblFleet[[#This Row],[Calendar_h]]&gt;0),tblFleet[[#This Row],[Available_h]]/tblFleet[[#This Row],[Calendar_h]],"")</f>
        <v/>
      </c>
      <c r="J306" s="60">
        <f>IF(AND(tblFleet[[#This Row],[Units]]&lt;&gt;"",tblFleet[[#This Row],[Available_h]]&gt;0),tblFleet[[#This Row],[Operating_h]]/tblFleet[[#This Row],[Available_h]],"")</f>
        <v/>
      </c>
    </row>
    <row r="307">
      <c r="A307" s="54" t="n"/>
      <c r="B307" s="61" t="n"/>
      <c r="C307" s="62" t="n"/>
      <c r="D307" s="57" t="n"/>
      <c r="E307" s="57" t="n"/>
      <c r="F307" s="58" t="n"/>
      <c r="G307" s="66">
        <f>IF(tblFleet[[#This Row],[Units]]="","",tblFleet[[#This Row],[Units]]*cfg_HoursPerDay)</f>
        <v/>
      </c>
      <c r="H307" s="66">
        <f>IF(tblFleet[[#This Row],[Units]]="","",tblFleet[[#This Row],[Calendar_h]]-tblFleet[[#This Row],[Down_h]])</f>
        <v/>
      </c>
      <c r="I307" s="60">
        <f>IF(AND(tblFleet[[#This Row],[Units]]&lt;&gt;"",tblFleet[[#This Row],[Calendar_h]]&gt;0),tblFleet[[#This Row],[Available_h]]/tblFleet[[#This Row],[Calendar_h]],"")</f>
        <v/>
      </c>
      <c r="J307" s="60">
        <f>IF(AND(tblFleet[[#This Row],[Units]]&lt;&gt;"",tblFleet[[#This Row],[Available_h]]&gt;0),tblFleet[[#This Row],[Operating_h]]/tblFleet[[#This Row],[Available_h]],"")</f>
        <v/>
      </c>
    </row>
    <row r="308">
      <c r="A308" s="54" t="n"/>
      <c r="B308" s="61" t="n"/>
      <c r="C308" s="62" t="n"/>
      <c r="D308" s="57" t="n"/>
      <c r="E308" s="57" t="n"/>
      <c r="F308" s="58" t="n"/>
      <c r="G308" s="66">
        <f>IF(tblFleet[[#This Row],[Units]]="","",tblFleet[[#This Row],[Units]]*cfg_HoursPerDay)</f>
        <v/>
      </c>
      <c r="H308" s="66">
        <f>IF(tblFleet[[#This Row],[Units]]="","",tblFleet[[#This Row],[Calendar_h]]-tblFleet[[#This Row],[Down_h]])</f>
        <v/>
      </c>
      <c r="I308" s="60">
        <f>IF(AND(tblFleet[[#This Row],[Units]]&lt;&gt;"",tblFleet[[#This Row],[Calendar_h]]&gt;0),tblFleet[[#This Row],[Available_h]]/tblFleet[[#This Row],[Calendar_h]],"")</f>
        <v/>
      </c>
      <c r="J308" s="60">
        <f>IF(AND(tblFleet[[#This Row],[Units]]&lt;&gt;"",tblFleet[[#This Row],[Available_h]]&gt;0),tblFleet[[#This Row],[Operating_h]]/tblFleet[[#This Row],[Available_h]],"")</f>
        <v/>
      </c>
    </row>
    <row r="309">
      <c r="A309" s="54" t="n"/>
      <c r="B309" s="61" t="n"/>
      <c r="C309" s="62" t="n"/>
      <c r="D309" s="57" t="n"/>
      <c r="E309" s="57" t="n"/>
      <c r="F309" s="58" t="n"/>
      <c r="G309" s="66">
        <f>IF(tblFleet[[#This Row],[Units]]="","",tblFleet[[#This Row],[Units]]*cfg_HoursPerDay)</f>
        <v/>
      </c>
      <c r="H309" s="66">
        <f>IF(tblFleet[[#This Row],[Units]]="","",tblFleet[[#This Row],[Calendar_h]]-tblFleet[[#This Row],[Down_h]])</f>
        <v/>
      </c>
      <c r="I309" s="60">
        <f>IF(AND(tblFleet[[#This Row],[Units]]&lt;&gt;"",tblFleet[[#This Row],[Calendar_h]]&gt;0),tblFleet[[#This Row],[Available_h]]/tblFleet[[#This Row],[Calendar_h]],"")</f>
        <v/>
      </c>
      <c r="J309" s="60">
        <f>IF(AND(tblFleet[[#This Row],[Units]]&lt;&gt;"",tblFleet[[#This Row],[Available_h]]&gt;0),tblFleet[[#This Row],[Operating_h]]/tblFleet[[#This Row],[Available_h]],"")</f>
        <v/>
      </c>
    </row>
    <row r="310">
      <c r="A310" s="54" t="n"/>
      <c r="B310" s="61" t="n"/>
      <c r="C310" s="62" t="n"/>
      <c r="D310" s="57" t="n"/>
      <c r="E310" s="57" t="n"/>
      <c r="F310" s="58" t="n"/>
      <c r="G310" s="66">
        <f>IF(tblFleet[[#This Row],[Units]]="","",tblFleet[[#This Row],[Units]]*cfg_HoursPerDay)</f>
        <v/>
      </c>
      <c r="H310" s="66">
        <f>IF(tblFleet[[#This Row],[Units]]="","",tblFleet[[#This Row],[Calendar_h]]-tblFleet[[#This Row],[Down_h]])</f>
        <v/>
      </c>
      <c r="I310" s="60">
        <f>IF(AND(tblFleet[[#This Row],[Units]]&lt;&gt;"",tblFleet[[#This Row],[Calendar_h]]&gt;0),tblFleet[[#This Row],[Available_h]]/tblFleet[[#This Row],[Calendar_h]],"")</f>
        <v/>
      </c>
      <c r="J310" s="60">
        <f>IF(AND(tblFleet[[#This Row],[Units]]&lt;&gt;"",tblFleet[[#This Row],[Available_h]]&gt;0),tblFleet[[#This Row],[Operating_h]]/tblFleet[[#This Row],[Available_h]],"")</f>
        <v/>
      </c>
    </row>
    <row r="311">
      <c r="A311" s="54" t="n"/>
      <c r="B311" s="61" t="n"/>
      <c r="C311" s="62" t="n"/>
      <c r="D311" s="57" t="n"/>
      <c r="E311" s="57" t="n"/>
      <c r="F311" s="58" t="n"/>
      <c r="G311" s="66">
        <f>IF(tblFleet[[#This Row],[Units]]="","",tblFleet[[#This Row],[Units]]*cfg_HoursPerDay)</f>
        <v/>
      </c>
      <c r="H311" s="66">
        <f>IF(tblFleet[[#This Row],[Units]]="","",tblFleet[[#This Row],[Calendar_h]]-tblFleet[[#This Row],[Down_h]])</f>
        <v/>
      </c>
      <c r="I311" s="60">
        <f>IF(AND(tblFleet[[#This Row],[Units]]&lt;&gt;"",tblFleet[[#This Row],[Calendar_h]]&gt;0),tblFleet[[#This Row],[Available_h]]/tblFleet[[#This Row],[Calendar_h]],"")</f>
        <v/>
      </c>
      <c r="J311" s="60">
        <f>IF(AND(tblFleet[[#This Row],[Units]]&lt;&gt;"",tblFleet[[#This Row],[Available_h]]&gt;0),tblFleet[[#This Row],[Operating_h]]/tblFleet[[#This Row],[Available_h]],"")</f>
        <v/>
      </c>
    </row>
    <row r="312">
      <c r="A312" s="54" t="n"/>
      <c r="B312" s="61" t="n"/>
      <c r="C312" s="62" t="n"/>
      <c r="D312" s="57" t="n"/>
      <c r="E312" s="57" t="n"/>
      <c r="F312" s="58" t="n"/>
      <c r="G312" s="66">
        <f>IF(tblFleet[[#This Row],[Units]]="","",tblFleet[[#This Row],[Units]]*cfg_HoursPerDay)</f>
        <v/>
      </c>
      <c r="H312" s="66">
        <f>IF(tblFleet[[#This Row],[Units]]="","",tblFleet[[#This Row],[Calendar_h]]-tblFleet[[#This Row],[Down_h]])</f>
        <v/>
      </c>
      <c r="I312" s="60">
        <f>IF(AND(tblFleet[[#This Row],[Units]]&lt;&gt;"",tblFleet[[#This Row],[Calendar_h]]&gt;0),tblFleet[[#This Row],[Available_h]]/tblFleet[[#This Row],[Calendar_h]],"")</f>
        <v/>
      </c>
      <c r="J312" s="60">
        <f>IF(AND(tblFleet[[#This Row],[Units]]&lt;&gt;"",tblFleet[[#This Row],[Available_h]]&gt;0),tblFleet[[#This Row],[Operating_h]]/tblFleet[[#This Row],[Available_h]],"")</f>
        <v/>
      </c>
    </row>
    <row r="313">
      <c r="A313" s="54" t="n"/>
      <c r="B313" s="61" t="n"/>
      <c r="C313" s="62" t="n"/>
      <c r="D313" s="57" t="n"/>
      <c r="E313" s="57" t="n"/>
      <c r="F313" s="58" t="n"/>
      <c r="G313" s="66">
        <f>IF(tblFleet[[#This Row],[Units]]="","",tblFleet[[#This Row],[Units]]*cfg_HoursPerDay)</f>
        <v/>
      </c>
      <c r="H313" s="66">
        <f>IF(tblFleet[[#This Row],[Units]]="","",tblFleet[[#This Row],[Calendar_h]]-tblFleet[[#This Row],[Down_h]])</f>
        <v/>
      </c>
      <c r="I313" s="60">
        <f>IF(AND(tblFleet[[#This Row],[Units]]&lt;&gt;"",tblFleet[[#This Row],[Calendar_h]]&gt;0),tblFleet[[#This Row],[Available_h]]/tblFleet[[#This Row],[Calendar_h]],"")</f>
        <v/>
      </c>
      <c r="J313" s="60">
        <f>IF(AND(tblFleet[[#This Row],[Units]]&lt;&gt;"",tblFleet[[#This Row],[Available_h]]&gt;0),tblFleet[[#This Row],[Operating_h]]/tblFleet[[#This Row],[Available_h]],"")</f>
        <v/>
      </c>
    </row>
    <row r="314">
      <c r="A314" s="54" t="n"/>
      <c r="B314" s="61" t="n"/>
      <c r="C314" s="62" t="n"/>
      <c r="D314" s="57" t="n"/>
      <c r="E314" s="57" t="n"/>
      <c r="F314" s="58" t="n"/>
      <c r="G314" s="66">
        <f>IF(tblFleet[[#This Row],[Units]]="","",tblFleet[[#This Row],[Units]]*cfg_HoursPerDay)</f>
        <v/>
      </c>
      <c r="H314" s="66">
        <f>IF(tblFleet[[#This Row],[Units]]="","",tblFleet[[#This Row],[Calendar_h]]-tblFleet[[#This Row],[Down_h]])</f>
        <v/>
      </c>
      <c r="I314" s="60">
        <f>IF(AND(tblFleet[[#This Row],[Units]]&lt;&gt;"",tblFleet[[#This Row],[Calendar_h]]&gt;0),tblFleet[[#This Row],[Available_h]]/tblFleet[[#This Row],[Calendar_h]],"")</f>
        <v/>
      </c>
      <c r="J314" s="60">
        <f>IF(AND(tblFleet[[#This Row],[Units]]&lt;&gt;"",tblFleet[[#This Row],[Available_h]]&gt;0),tblFleet[[#This Row],[Operating_h]]/tblFleet[[#This Row],[Available_h]],"")</f>
        <v/>
      </c>
    </row>
    <row r="315">
      <c r="A315" s="54" t="n"/>
      <c r="B315" s="61" t="n"/>
      <c r="C315" s="62" t="n"/>
      <c r="D315" s="57" t="n"/>
      <c r="E315" s="57" t="n"/>
      <c r="F315" s="58" t="n"/>
      <c r="G315" s="66">
        <f>IF(tblFleet[[#This Row],[Units]]="","",tblFleet[[#This Row],[Units]]*cfg_HoursPerDay)</f>
        <v/>
      </c>
      <c r="H315" s="66">
        <f>IF(tblFleet[[#This Row],[Units]]="","",tblFleet[[#This Row],[Calendar_h]]-tblFleet[[#This Row],[Down_h]])</f>
        <v/>
      </c>
      <c r="I315" s="60">
        <f>IF(AND(tblFleet[[#This Row],[Units]]&lt;&gt;"",tblFleet[[#This Row],[Calendar_h]]&gt;0),tblFleet[[#This Row],[Available_h]]/tblFleet[[#This Row],[Calendar_h]],"")</f>
        <v/>
      </c>
      <c r="J315" s="60">
        <f>IF(AND(tblFleet[[#This Row],[Units]]&lt;&gt;"",tblFleet[[#This Row],[Available_h]]&gt;0),tblFleet[[#This Row],[Operating_h]]/tblFleet[[#This Row],[Available_h]],"")</f>
        <v/>
      </c>
    </row>
    <row r="316">
      <c r="A316" s="54" t="n"/>
      <c r="B316" s="61" t="n"/>
      <c r="C316" s="62" t="n"/>
      <c r="D316" s="57" t="n"/>
      <c r="E316" s="57" t="n"/>
      <c r="F316" s="58" t="n"/>
      <c r="G316" s="66">
        <f>IF(tblFleet[[#This Row],[Units]]="","",tblFleet[[#This Row],[Units]]*cfg_HoursPerDay)</f>
        <v/>
      </c>
      <c r="H316" s="66">
        <f>IF(tblFleet[[#This Row],[Units]]="","",tblFleet[[#This Row],[Calendar_h]]-tblFleet[[#This Row],[Down_h]])</f>
        <v/>
      </c>
      <c r="I316" s="60">
        <f>IF(AND(tblFleet[[#This Row],[Units]]&lt;&gt;"",tblFleet[[#This Row],[Calendar_h]]&gt;0),tblFleet[[#This Row],[Available_h]]/tblFleet[[#This Row],[Calendar_h]],"")</f>
        <v/>
      </c>
      <c r="J316" s="60">
        <f>IF(AND(tblFleet[[#This Row],[Units]]&lt;&gt;"",tblFleet[[#This Row],[Available_h]]&gt;0),tblFleet[[#This Row],[Operating_h]]/tblFleet[[#This Row],[Available_h]],"")</f>
        <v/>
      </c>
    </row>
    <row r="317">
      <c r="A317" s="54" t="n"/>
      <c r="B317" s="61" t="n"/>
      <c r="C317" s="62" t="n"/>
      <c r="D317" s="57" t="n"/>
      <c r="E317" s="57" t="n"/>
      <c r="F317" s="58" t="n"/>
      <c r="G317" s="66">
        <f>IF(tblFleet[[#This Row],[Units]]="","",tblFleet[[#This Row],[Units]]*cfg_HoursPerDay)</f>
        <v/>
      </c>
      <c r="H317" s="66">
        <f>IF(tblFleet[[#This Row],[Units]]="","",tblFleet[[#This Row],[Calendar_h]]-tblFleet[[#This Row],[Down_h]])</f>
        <v/>
      </c>
      <c r="I317" s="60">
        <f>IF(AND(tblFleet[[#This Row],[Units]]&lt;&gt;"",tblFleet[[#This Row],[Calendar_h]]&gt;0),tblFleet[[#This Row],[Available_h]]/tblFleet[[#This Row],[Calendar_h]],"")</f>
        <v/>
      </c>
      <c r="J317" s="60">
        <f>IF(AND(tblFleet[[#This Row],[Units]]&lt;&gt;"",tblFleet[[#This Row],[Available_h]]&gt;0),tblFleet[[#This Row],[Operating_h]]/tblFleet[[#This Row],[Available_h]],"")</f>
        <v/>
      </c>
    </row>
    <row r="318">
      <c r="A318" s="54" t="n"/>
      <c r="B318" s="61" t="n"/>
      <c r="C318" s="62" t="n"/>
      <c r="D318" s="57" t="n"/>
      <c r="E318" s="57" t="n"/>
      <c r="F318" s="58" t="n"/>
      <c r="G318" s="66">
        <f>IF(tblFleet[[#This Row],[Units]]="","",tblFleet[[#This Row],[Units]]*cfg_HoursPerDay)</f>
        <v/>
      </c>
      <c r="H318" s="66">
        <f>IF(tblFleet[[#This Row],[Units]]="","",tblFleet[[#This Row],[Calendar_h]]-tblFleet[[#This Row],[Down_h]])</f>
        <v/>
      </c>
      <c r="I318" s="60">
        <f>IF(AND(tblFleet[[#This Row],[Units]]&lt;&gt;"",tblFleet[[#This Row],[Calendar_h]]&gt;0),tblFleet[[#This Row],[Available_h]]/tblFleet[[#This Row],[Calendar_h]],"")</f>
        <v/>
      </c>
      <c r="J318" s="60">
        <f>IF(AND(tblFleet[[#This Row],[Units]]&lt;&gt;"",tblFleet[[#This Row],[Available_h]]&gt;0),tblFleet[[#This Row],[Operating_h]]/tblFleet[[#This Row],[Available_h]],"")</f>
        <v/>
      </c>
    </row>
    <row r="319">
      <c r="A319" s="54" t="n"/>
      <c r="B319" s="61" t="n"/>
      <c r="C319" s="62" t="n"/>
      <c r="D319" s="57" t="n"/>
      <c r="E319" s="57" t="n"/>
      <c r="F319" s="58" t="n"/>
      <c r="G319" s="66">
        <f>IF(tblFleet[[#This Row],[Units]]="","",tblFleet[[#This Row],[Units]]*cfg_HoursPerDay)</f>
        <v/>
      </c>
      <c r="H319" s="66">
        <f>IF(tblFleet[[#This Row],[Units]]="","",tblFleet[[#This Row],[Calendar_h]]-tblFleet[[#This Row],[Down_h]])</f>
        <v/>
      </c>
      <c r="I319" s="60">
        <f>IF(AND(tblFleet[[#This Row],[Units]]&lt;&gt;"",tblFleet[[#This Row],[Calendar_h]]&gt;0),tblFleet[[#This Row],[Available_h]]/tblFleet[[#This Row],[Calendar_h]],"")</f>
        <v/>
      </c>
      <c r="J319" s="60">
        <f>IF(AND(tblFleet[[#This Row],[Units]]&lt;&gt;"",tblFleet[[#This Row],[Available_h]]&gt;0),tblFleet[[#This Row],[Operating_h]]/tblFleet[[#This Row],[Available_h]],"")</f>
        <v/>
      </c>
    </row>
    <row r="320">
      <c r="A320" s="54" t="n"/>
      <c r="B320" s="61" t="n"/>
      <c r="C320" s="62" t="n"/>
      <c r="D320" s="57" t="n"/>
      <c r="E320" s="57" t="n"/>
      <c r="F320" s="58" t="n"/>
      <c r="G320" s="66">
        <f>IF(tblFleet[[#This Row],[Units]]="","",tblFleet[[#This Row],[Units]]*cfg_HoursPerDay)</f>
        <v/>
      </c>
      <c r="H320" s="66">
        <f>IF(tblFleet[[#This Row],[Units]]="","",tblFleet[[#This Row],[Calendar_h]]-tblFleet[[#This Row],[Down_h]])</f>
        <v/>
      </c>
      <c r="I320" s="60">
        <f>IF(AND(tblFleet[[#This Row],[Units]]&lt;&gt;"",tblFleet[[#This Row],[Calendar_h]]&gt;0),tblFleet[[#This Row],[Available_h]]/tblFleet[[#This Row],[Calendar_h]],"")</f>
        <v/>
      </c>
      <c r="J320" s="60">
        <f>IF(AND(tblFleet[[#This Row],[Units]]&lt;&gt;"",tblFleet[[#This Row],[Available_h]]&gt;0),tblFleet[[#This Row],[Operating_h]]/tblFleet[[#This Row],[Available_h]],"")</f>
        <v/>
      </c>
    </row>
    <row r="321">
      <c r="A321" s="54" t="n"/>
      <c r="B321" s="61" t="n"/>
      <c r="C321" s="62" t="n"/>
      <c r="D321" s="57" t="n"/>
      <c r="E321" s="57" t="n"/>
      <c r="F321" s="58" t="n"/>
      <c r="G321" s="66">
        <f>IF(tblFleet[[#This Row],[Units]]="","",tblFleet[[#This Row],[Units]]*cfg_HoursPerDay)</f>
        <v/>
      </c>
      <c r="H321" s="66">
        <f>IF(tblFleet[[#This Row],[Units]]="","",tblFleet[[#This Row],[Calendar_h]]-tblFleet[[#This Row],[Down_h]])</f>
        <v/>
      </c>
      <c r="I321" s="60">
        <f>IF(AND(tblFleet[[#This Row],[Units]]&lt;&gt;"",tblFleet[[#This Row],[Calendar_h]]&gt;0),tblFleet[[#This Row],[Available_h]]/tblFleet[[#This Row],[Calendar_h]],"")</f>
        <v/>
      </c>
      <c r="J321" s="60">
        <f>IF(AND(tblFleet[[#This Row],[Units]]&lt;&gt;"",tblFleet[[#This Row],[Available_h]]&gt;0),tblFleet[[#This Row],[Operating_h]]/tblFleet[[#This Row],[Available_h]],"")</f>
        <v/>
      </c>
    </row>
    <row r="322">
      <c r="A322" s="54" t="n"/>
      <c r="B322" s="61" t="n"/>
      <c r="C322" s="62" t="n"/>
      <c r="D322" s="57" t="n"/>
      <c r="E322" s="57" t="n"/>
      <c r="F322" s="58" t="n"/>
      <c r="G322" s="66">
        <f>IF(tblFleet[[#This Row],[Units]]="","",tblFleet[[#This Row],[Units]]*cfg_HoursPerDay)</f>
        <v/>
      </c>
      <c r="H322" s="66">
        <f>IF(tblFleet[[#This Row],[Units]]="","",tblFleet[[#This Row],[Calendar_h]]-tblFleet[[#This Row],[Down_h]])</f>
        <v/>
      </c>
      <c r="I322" s="60">
        <f>IF(AND(tblFleet[[#This Row],[Units]]&lt;&gt;"",tblFleet[[#This Row],[Calendar_h]]&gt;0),tblFleet[[#This Row],[Available_h]]/tblFleet[[#This Row],[Calendar_h]],"")</f>
        <v/>
      </c>
      <c r="J322" s="60">
        <f>IF(AND(tblFleet[[#This Row],[Units]]&lt;&gt;"",tblFleet[[#This Row],[Available_h]]&gt;0),tblFleet[[#This Row],[Operating_h]]/tblFleet[[#This Row],[Available_h]],"")</f>
        <v/>
      </c>
    </row>
    <row r="323">
      <c r="A323" s="54" t="n"/>
      <c r="B323" s="61" t="n"/>
      <c r="C323" s="62" t="n"/>
      <c r="D323" s="57" t="n"/>
      <c r="E323" s="57" t="n"/>
      <c r="F323" s="58" t="n"/>
      <c r="G323" s="66">
        <f>IF(tblFleet[[#This Row],[Units]]="","",tblFleet[[#This Row],[Units]]*cfg_HoursPerDay)</f>
        <v/>
      </c>
      <c r="H323" s="66">
        <f>IF(tblFleet[[#This Row],[Units]]="","",tblFleet[[#This Row],[Calendar_h]]-tblFleet[[#This Row],[Down_h]])</f>
        <v/>
      </c>
      <c r="I323" s="60">
        <f>IF(AND(tblFleet[[#This Row],[Units]]&lt;&gt;"",tblFleet[[#This Row],[Calendar_h]]&gt;0),tblFleet[[#This Row],[Available_h]]/tblFleet[[#This Row],[Calendar_h]],"")</f>
        <v/>
      </c>
      <c r="J323" s="60">
        <f>IF(AND(tblFleet[[#This Row],[Units]]&lt;&gt;"",tblFleet[[#This Row],[Available_h]]&gt;0),tblFleet[[#This Row],[Operating_h]]/tblFleet[[#This Row],[Available_h]],"")</f>
        <v/>
      </c>
    </row>
    <row r="324">
      <c r="A324" s="54" t="n"/>
      <c r="B324" s="61" t="n"/>
      <c r="C324" s="62" t="n"/>
      <c r="D324" s="57" t="n"/>
      <c r="E324" s="57" t="n"/>
      <c r="F324" s="58" t="n"/>
      <c r="G324" s="66">
        <f>IF(tblFleet[[#This Row],[Units]]="","",tblFleet[[#This Row],[Units]]*cfg_HoursPerDay)</f>
        <v/>
      </c>
      <c r="H324" s="66">
        <f>IF(tblFleet[[#This Row],[Units]]="","",tblFleet[[#This Row],[Calendar_h]]-tblFleet[[#This Row],[Down_h]])</f>
        <v/>
      </c>
      <c r="I324" s="60">
        <f>IF(AND(tblFleet[[#This Row],[Units]]&lt;&gt;"",tblFleet[[#This Row],[Calendar_h]]&gt;0),tblFleet[[#This Row],[Available_h]]/tblFleet[[#This Row],[Calendar_h]],"")</f>
        <v/>
      </c>
      <c r="J324" s="60">
        <f>IF(AND(tblFleet[[#This Row],[Units]]&lt;&gt;"",tblFleet[[#This Row],[Available_h]]&gt;0),tblFleet[[#This Row],[Operating_h]]/tblFleet[[#This Row],[Available_h]],"")</f>
        <v/>
      </c>
    </row>
    <row r="325">
      <c r="A325" s="54" t="n"/>
      <c r="B325" s="61" t="n"/>
      <c r="C325" s="62" t="n"/>
      <c r="D325" s="57" t="n"/>
      <c r="E325" s="57" t="n"/>
      <c r="F325" s="58" t="n"/>
      <c r="G325" s="66">
        <f>IF(tblFleet[[#This Row],[Units]]="","",tblFleet[[#This Row],[Units]]*cfg_HoursPerDay)</f>
        <v/>
      </c>
      <c r="H325" s="66">
        <f>IF(tblFleet[[#This Row],[Units]]="","",tblFleet[[#This Row],[Calendar_h]]-tblFleet[[#This Row],[Down_h]])</f>
        <v/>
      </c>
      <c r="I325" s="60">
        <f>IF(AND(tblFleet[[#This Row],[Units]]&lt;&gt;"",tblFleet[[#This Row],[Calendar_h]]&gt;0),tblFleet[[#This Row],[Available_h]]/tblFleet[[#This Row],[Calendar_h]],"")</f>
        <v/>
      </c>
      <c r="J325" s="60">
        <f>IF(AND(tblFleet[[#This Row],[Units]]&lt;&gt;"",tblFleet[[#This Row],[Available_h]]&gt;0),tblFleet[[#This Row],[Operating_h]]/tblFleet[[#This Row],[Available_h]],"")</f>
        <v/>
      </c>
    </row>
    <row r="326">
      <c r="A326" s="54" t="n"/>
      <c r="B326" s="61" t="n"/>
      <c r="C326" s="62" t="n"/>
      <c r="D326" s="57" t="n"/>
      <c r="E326" s="57" t="n"/>
      <c r="F326" s="58" t="n"/>
      <c r="G326" s="66">
        <f>IF(tblFleet[[#This Row],[Units]]="","",tblFleet[[#This Row],[Units]]*cfg_HoursPerDay)</f>
        <v/>
      </c>
      <c r="H326" s="66">
        <f>IF(tblFleet[[#This Row],[Units]]="","",tblFleet[[#This Row],[Calendar_h]]-tblFleet[[#This Row],[Down_h]])</f>
        <v/>
      </c>
      <c r="I326" s="60">
        <f>IF(AND(tblFleet[[#This Row],[Units]]&lt;&gt;"",tblFleet[[#This Row],[Calendar_h]]&gt;0),tblFleet[[#This Row],[Available_h]]/tblFleet[[#This Row],[Calendar_h]],"")</f>
        <v/>
      </c>
      <c r="J326" s="60">
        <f>IF(AND(tblFleet[[#This Row],[Units]]&lt;&gt;"",tblFleet[[#This Row],[Available_h]]&gt;0),tblFleet[[#This Row],[Operating_h]]/tblFleet[[#This Row],[Available_h]],"")</f>
        <v/>
      </c>
    </row>
    <row r="327">
      <c r="A327" s="54" t="n"/>
      <c r="B327" s="61" t="n"/>
      <c r="C327" s="62" t="n"/>
      <c r="D327" s="57" t="n"/>
      <c r="E327" s="57" t="n"/>
      <c r="F327" s="58" t="n"/>
      <c r="G327" s="66">
        <f>IF(tblFleet[[#This Row],[Units]]="","",tblFleet[[#This Row],[Units]]*cfg_HoursPerDay)</f>
        <v/>
      </c>
      <c r="H327" s="66">
        <f>IF(tblFleet[[#This Row],[Units]]="","",tblFleet[[#This Row],[Calendar_h]]-tblFleet[[#This Row],[Down_h]])</f>
        <v/>
      </c>
      <c r="I327" s="60">
        <f>IF(AND(tblFleet[[#This Row],[Units]]&lt;&gt;"",tblFleet[[#This Row],[Calendar_h]]&gt;0),tblFleet[[#This Row],[Available_h]]/tblFleet[[#This Row],[Calendar_h]],"")</f>
        <v/>
      </c>
      <c r="J327" s="60">
        <f>IF(AND(tblFleet[[#This Row],[Units]]&lt;&gt;"",tblFleet[[#This Row],[Available_h]]&gt;0),tblFleet[[#This Row],[Operating_h]]/tblFleet[[#This Row],[Available_h]],"")</f>
        <v/>
      </c>
    </row>
    <row r="328">
      <c r="A328" s="54" t="n"/>
      <c r="B328" s="61" t="n"/>
      <c r="C328" s="62" t="n"/>
      <c r="D328" s="57" t="n"/>
      <c r="E328" s="57" t="n"/>
      <c r="F328" s="58" t="n"/>
      <c r="G328" s="66">
        <f>IF(tblFleet[[#This Row],[Units]]="","",tblFleet[[#This Row],[Units]]*cfg_HoursPerDay)</f>
        <v/>
      </c>
      <c r="H328" s="66">
        <f>IF(tblFleet[[#This Row],[Units]]="","",tblFleet[[#This Row],[Calendar_h]]-tblFleet[[#This Row],[Down_h]])</f>
        <v/>
      </c>
      <c r="I328" s="60">
        <f>IF(AND(tblFleet[[#This Row],[Units]]&lt;&gt;"",tblFleet[[#This Row],[Calendar_h]]&gt;0),tblFleet[[#This Row],[Available_h]]/tblFleet[[#This Row],[Calendar_h]],"")</f>
        <v/>
      </c>
      <c r="J328" s="60">
        <f>IF(AND(tblFleet[[#This Row],[Units]]&lt;&gt;"",tblFleet[[#This Row],[Available_h]]&gt;0),tblFleet[[#This Row],[Operating_h]]/tblFleet[[#This Row],[Available_h]],"")</f>
        <v/>
      </c>
    </row>
    <row r="329">
      <c r="A329" s="54" t="n"/>
      <c r="B329" s="61" t="n"/>
      <c r="C329" s="62" t="n"/>
      <c r="D329" s="57" t="n"/>
      <c r="E329" s="57" t="n"/>
      <c r="F329" s="58" t="n"/>
      <c r="G329" s="66">
        <f>IF(tblFleet[[#This Row],[Units]]="","",tblFleet[[#This Row],[Units]]*cfg_HoursPerDay)</f>
        <v/>
      </c>
      <c r="H329" s="66">
        <f>IF(tblFleet[[#This Row],[Units]]="","",tblFleet[[#This Row],[Calendar_h]]-tblFleet[[#This Row],[Down_h]])</f>
        <v/>
      </c>
      <c r="I329" s="60">
        <f>IF(AND(tblFleet[[#This Row],[Units]]&lt;&gt;"",tblFleet[[#This Row],[Calendar_h]]&gt;0),tblFleet[[#This Row],[Available_h]]/tblFleet[[#This Row],[Calendar_h]],"")</f>
        <v/>
      </c>
      <c r="J329" s="60">
        <f>IF(AND(tblFleet[[#This Row],[Units]]&lt;&gt;"",tblFleet[[#This Row],[Available_h]]&gt;0),tblFleet[[#This Row],[Operating_h]]/tblFleet[[#This Row],[Available_h]],"")</f>
        <v/>
      </c>
    </row>
    <row r="330">
      <c r="A330" s="54" t="n"/>
      <c r="B330" s="61" t="n"/>
      <c r="C330" s="62" t="n"/>
      <c r="D330" s="57" t="n"/>
      <c r="E330" s="57" t="n"/>
      <c r="F330" s="58" t="n"/>
      <c r="G330" s="66">
        <f>IF(tblFleet[[#This Row],[Units]]="","",tblFleet[[#This Row],[Units]]*cfg_HoursPerDay)</f>
        <v/>
      </c>
      <c r="H330" s="66">
        <f>IF(tblFleet[[#This Row],[Units]]="","",tblFleet[[#This Row],[Calendar_h]]-tblFleet[[#This Row],[Down_h]])</f>
        <v/>
      </c>
      <c r="I330" s="60">
        <f>IF(AND(tblFleet[[#This Row],[Units]]&lt;&gt;"",tblFleet[[#This Row],[Calendar_h]]&gt;0),tblFleet[[#This Row],[Available_h]]/tblFleet[[#This Row],[Calendar_h]],"")</f>
        <v/>
      </c>
      <c r="J330" s="60">
        <f>IF(AND(tblFleet[[#This Row],[Units]]&lt;&gt;"",tblFleet[[#This Row],[Available_h]]&gt;0),tblFleet[[#This Row],[Operating_h]]/tblFleet[[#This Row],[Available_h]],"")</f>
        <v/>
      </c>
    </row>
    <row r="331">
      <c r="A331" s="54" t="n"/>
      <c r="B331" s="61" t="n"/>
      <c r="C331" s="62" t="n"/>
      <c r="D331" s="57" t="n"/>
      <c r="E331" s="57" t="n"/>
      <c r="F331" s="58" t="n"/>
      <c r="G331" s="66">
        <f>IF(tblFleet[[#This Row],[Units]]="","",tblFleet[[#This Row],[Units]]*cfg_HoursPerDay)</f>
        <v/>
      </c>
      <c r="H331" s="66">
        <f>IF(tblFleet[[#This Row],[Units]]="","",tblFleet[[#This Row],[Calendar_h]]-tblFleet[[#This Row],[Down_h]])</f>
        <v/>
      </c>
      <c r="I331" s="60">
        <f>IF(AND(tblFleet[[#This Row],[Units]]&lt;&gt;"",tblFleet[[#This Row],[Calendar_h]]&gt;0),tblFleet[[#This Row],[Available_h]]/tblFleet[[#This Row],[Calendar_h]],"")</f>
        <v/>
      </c>
      <c r="J331" s="60">
        <f>IF(AND(tblFleet[[#This Row],[Units]]&lt;&gt;"",tblFleet[[#This Row],[Available_h]]&gt;0),tblFleet[[#This Row],[Operating_h]]/tblFleet[[#This Row],[Available_h]],"")</f>
        <v/>
      </c>
    </row>
    <row r="332">
      <c r="A332" s="54" t="n"/>
      <c r="B332" s="61" t="n"/>
      <c r="C332" s="62" t="n"/>
      <c r="D332" s="57" t="n"/>
      <c r="E332" s="57" t="n"/>
      <c r="F332" s="58" t="n"/>
      <c r="G332" s="66">
        <f>IF(tblFleet[[#This Row],[Units]]="","",tblFleet[[#This Row],[Units]]*cfg_HoursPerDay)</f>
        <v/>
      </c>
      <c r="H332" s="66">
        <f>IF(tblFleet[[#This Row],[Units]]="","",tblFleet[[#This Row],[Calendar_h]]-tblFleet[[#This Row],[Down_h]])</f>
        <v/>
      </c>
      <c r="I332" s="60">
        <f>IF(AND(tblFleet[[#This Row],[Units]]&lt;&gt;"",tblFleet[[#This Row],[Calendar_h]]&gt;0),tblFleet[[#This Row],[Available_h]]/tblFleet[[#This Row],[Calendar_h]],"")</f>
        <v/>
      </c>
      <c r="J332" s="60">
        <f>IF(AND(tblFleet[[#This Row],[Units]]&lt;&gt;"",tblFleet[[#This Row],[Available_h]]&gt;0),tblFleet[[#This Row],[Operating_h]]/tblFleet[[#This Row],[Available_h]],"")</f>
        <v/>
      </c>
    </row>
    <row r="333">
      <c r="A333" s="54" t="n"/>
      <c r="B333" s="61" t="n"/>
      <c r="C333" s="62" t="n"/>
      <c r="D333" s="57" t="n"/>
      <c r="E333" s="57" t="n"/>
      <c r="F333" s="58" t="n"/>
      <c r="G333" s="66">
        <f>IF(tblFleet[[#This Row],[Units]]="","",tblFleet[[#This Row],[Units]]*cfg_HoursPerDay)</f>
        <v/>
      </c>
      <c r="H333" s="66">
        <f>IF(tblFleet[[#This Row],[Units]]="","",tblFleet[[#This Row],[Calendar_h]]-tblFleet[[#This Row],[Down_h]])</f>
        <v/>
      </c>
      <c r="I333" s="60">
        <f>IF(AND(tblFleet[[#This Row],[Units]]&lt;&gt;"",tblFleet[[#This Row],[Calendar_h]]&gt;0),tblFleet[[#This Row],[Available_h]]/tblFleet[[#This Row],[Calendar_h]],"")</f>
        <v/>
      </c>
      <c r="J333" s="60">
        <f>IF(AND(tblFleet[[#This Row],[Units]]&lt;&gt;"",tblFleet[[#This Row],[Available_h]]&gt;0),tblFleet[[#This Row],[Operating_h]]/tblFleet[[#This Row],[Available_h]],"")</f>
        <v/>
      </c>
    </row>
    <row r="334">
      <c r="A334" s="54" t="n"/>
      <c r="B334" s="61" t="n"/>
      <c r="C334" s="62" t="n"/>
      <c r="D334" s="57" t="n"/>
      <c r="E334" s="57" t="n"/>
      <c r="F334" s="58" t="n"/>
      <c r="G334" s="66">
        <f>IF(tblFleet[[#This Row],[Units]]="","",tblFleet[[#This Row],[Units]]*cfg_HoursPerDay)</f>
        <v/>
      </c>
      <c r="H334" s="66">
        <f>IF(tblFleet[[#This Row],[Units]]="","",tblFleet[[#This Row],[Calendar_h]]-tblFleet[[#This Row],[Down_h]])</f>
        <v/>
      </c>
      <c r="I334" s="60">
        <f>IF(AND(tblFleet[[#This Row],[Units]]&lt;&gt;"",tblFleet[[#This Row],[Calendar_h]]&gt;0),tblFleet[[#This Row],[Available_h]]/tblFleet[[#This Row],[Calendar_h]],"")</f>
        <v/>
      </c>
      <c r="J334" s="60">
        <f>IF(AND(tblFleet[[#This Row],[Units]]&lt;&gt;"",tblFleet[[#This Row],[Available_h]]&gt;0),tblFleet[[#This Row],[Operating_h]]/tblFleet[[#This Row],[Available_h]],"")</f>
        <v/>
      </c>
    </row>
    <row r="335">
      <c r="A335" s="54" t="n"/>
      <c r="B335" s="61" t="n"/>
      <c r="C335" s="62" t="n"/>
      <c r="D335" s="57" t="n"/>
      <c r="E335" s="57" t="n"/>
      <c r="F335" s="58" t="n"/>
      <c r="G335" s="66">
        <f>IF(tblFleet[[#This Row],[Units]]="","",tblFleet[[#This Row],[Units]]*cfg_HoursPerDay)</f>
        <v/>
      </c>
      <c r="H335" s="66">
        <f>IF(tblFleet[[#This Row],[Units]]="","",tblFleet[[#This Row],[Calendar_h]]-tblFleet[[#This Row],[Down_h]])</f>
        <v/>
      </c>
      <c r="I335" s="60">
        <f>IF(AND(tblFleet[[#This Row],[Units]]&lt;&gt;"",tblFleet[[#This Row],[Calendar_h]]&gt;0),tblFleet[[#This Row],[Available_h]]/tblFleet[[#This Row],[Calendar_h]],"")</f>
        <v/>
      </c>
      <c r="J335" s="60">
        <f>IF(AND(tblFleet[[#This Row],[Units]]&lt;&gt;"",tblFleet[[#This Row],[Available_h]]&gt;0),tblFleet[[#This Row],[Operating_h]]/tblFleet[[#This Row],[Available_h]],"")</f>
        <v/>
      </c>
    </row>
    <row r="336">
      <c r="A336" s="54" t="n"/>
      <c r="B336" s="61" t="n"/>
      <c r="C336" s="62" t="n"/>
      <c r="D336" s="57" t="n"/>
      <c r="E336" s="57" t="n"/>
      <c r="F336" s="58" t="n"/>
      <c r="G336" s="66">
        <f>IF(tblFleet[[#This Row],[Units]]="","",tblFleet[[#This Row],[Units]]*cfg_HoursPerDay)</f>
        <v/>
      </c>
      <c r="H336" s="66">
        <f>IF(tblFleet[[#This Row],[Units]]="","",tblFleet[[#This Row],[Calendar_h]]-tblFleet[[#This Row],[Down_h]])</f>
        <v/>
      </c>
      <c r="I336" s="60">
        <f>IF(AND(tblFleet[[#This Row],[Units]]&lt;&gt;"",tblFleet[[#This Row],[Calendar_h]]&gt;0),tblFleet[[#This Row],[Available_h]]/tblFleet[[#This Row],[Calendar_h]],"")</f>
        <v/>
      </c>
      <c r="J336" s="60">
        <f>IF(AND(tblFleet[[#This Row],[Units]]&lt;&gt;"",tblFleet[[#This Row],[Available_h]]&gt;0),tblFleet[[#This Row],[Operating_h]]/tblFleet[[#This Row],[Available_h]],"")</f>
        <v/>
      </c>
    </row>
    <row r="337">
      <c r="A337" s="54" t="n"/>
      <c r="B337" s="61" t="n"/>
      <c r="C337" s="62" t="n"/>
      <c r="D337" s="57" t="n"/>
      <c r="E337" s="57" t="n"/>
      <c r="F337" s="58" t="n"/>
      <c r="G337" s="66">
        <f>IF(tblFleet[[#This Row],[Units]]="","",tblFleet[[#This Row],[Units]]*cfg_HoursPerDay)</f>
        <v/>
      </c>
      <c r="H337" s="66">
        <f>IF(tblFleet[[#This Row],[Units]]="","",tblFleet[[#This Row],[Calendar_h]]-tblFleet[[#This Row],[Down_h]])</f>
        <v/>
      </c>
      <c r="I337" s="60">
        <f>IF(AND(tblFleet[[#This Row],[Units]]&lt;&gt;"",tblFleet[[#This Row],[Calendar_h]]&gt;0),tblFleet[[#This Row],[Available_h]]/tblFleet[[#This Row],[Calendar_h]],"")</f>
        <v/>
      </c>
      <c r="J337" s="60">
        <f>IF(AND(tblFleet[[#This Row],[Units]]&lt;&gt;"",tblFleet[[#This Row],[Available_h]]&gt;0),tblFleet[[#This Row],[Operating_h]]/tblFleet[[#This Row],[Available_h]],"")</f>
        <v/>
      </c>
    </row>
    <row r="338">
      <c r="A338" s="54" t="n"/>
      <c r="B338" s="61" t="n"/>
      <c r="C338" s="62" t="n"/>
      <c r="D338" s="57" t="n"/>
      <c r="E338" s="57" t="n"/>
      <c r="F338" s="58" t="n"/>
      <c r="G338" s="66">
        <f>IF(tblFleet[[#This Row],[Units]]="","",tblFleet[[#This Row],[Units]]*cfg_HoursPerDay)</f>
        <v/>
      </c>
      <c r="H338" s="66">
        <f>IF(tblFleet[[#This Row],[Units]]="","",tblFleet[[#This Row],[Calendar_h]]-tblFleet[[#This Row],[Down_h]])</f>
        <v/>
      </c>
      <c r="I338" s="60">
        <f>IF(AND(tblFleet[[#This Row],[Units]]&lt;&gt;"",tblFleet[[#This Row],[Calendar_h]]&gt;0),tblFleet[[#This Row],[Available_h]]/tblFleet[[#This Row],[Calendar_h]],"")</f>
        <v/>
      </c>
      <c r="J338" s="60">
        <f>IF(AND(tblFleet[[#This Row],[Units]]&lt;&gt;"",tblFleet[[#This Row],[Available_h]]&gt;0),tblFleet[[#This Row],[Operating_h]]/tblFleet[[#This Row],[Available_h]],"")</f>
        <v/>
      </c>
    </row>
    <row r="339">
      <c r="A339" s="54" t="n"/>
      <c r="B339" s="61" t="n"/>
      <c r="C339" s="62" t="n"/>
      <c r="D339" s="57" t="n"/>
      <c r="E339" s="57" t="n"/>
      <c r="F339" s="58" t="n"/>
      <c r="G339" s="66">
        <f>IF(tblFleet[[#This Row],[Units]]="","",tblFleet[[#This Row],[Units]]*cfg_HoursPerDay)</f>
        <v/>
      </c>
      <c r="H339" s="66">
        <f>IF(tblFleet[[#This Row],[Units]]="","",tblFleet[[#This Row],[Calendar_h]]-tblFleet[[#This Row],[Down_h]])</f>
        <v/>
      </c>
      <c r="I339" s="60">
        <f>IF(AND(tblFleet[[#This Row],[Units]]&lt;&gt;"",tblFleet[[#This Row],[Calendar_h]]&gt;0),tblFleet[[#This Row],[Available_h]]/tblFleet[[#This Row],[Calendar_h]],"")</f>
        <v/>
      </c>
      <c r="J339" s="60">
        <f>IF(AND(tblFleet[[#This Row],[Units]]&lt;&gt;"",tblFleet[[#This Row],[Available_h]]&gt;0),tblFleet[[#This Row],[Operating_h]]/tblFleet[[#This Row],[Available_h]],"")</f>
        <v/>
      </c>
    </row>
    <row r="340">
      <c r="A340" s="54" t="n"/>
      <c r="B340" s="61" t="n"/>
      <c r="C340" s="62" t="n"/>
      <c r="D340" s="57" t="n"/>
      <c r="E340" s="57" t="n"/>
      <c r="F340" s="58" t="n"/>
      <c r="G340" s="66">
        <f>IF(tblFleet[[#This Row],[Units]]="","",tblFleet[[#This Row],[Units]]*cfg_HoursPerDay)</f>
        <v/>
      </c>
      <c r="H340" s="66">
        <f>IF(tblFleet[[#This Row],[Units]]="","",tblFleet[[#This Row],[Calendar_h]]-tblFleet[[#This Row],[Down_h]])</f>
        <v/>
      </c>
      <c r="I340" s="60">
        <f>IF(AND(tblFleet[[#This Row],[Units]]&lt;&gt;"",tblFleet[[#This Row],[Calendar_h]]&gt;0),tblFleet[[#This Row],[Available_h]]/tblFleet[[#This Row],[Calendar_h]],"")</f>
        <v/>
      </c>
      <c r="J340" s="60">
        <f>IF(AND(tblFleet[[#This Row],[Units]]&lt;&gt;"",tblFleet[[#This Row],[Available_h]]&gt;0),tblFleet[[#This Row],[Operating_h]]/tblFleet[[#This Row],[Available_h]],"")</f>
        <v/>
      </c>
    </row>
    <row r="341">
      <c r="A341" s="54" t="n"/>
      <c r="B341" s="61" t="n"/>
      <c r="C341" s="62" t="n"/>
      <c r="D341" s="57" t="n"/>
      <c r="E341" s="57" t="n"/>
      <c r="F341" s="58" t="n"/>
      <c r="G341" s="66">
        <f>IF(tblFleet[[#This Row],[Units]]="","",tblFleet[[#This Row],[Units]]*cfg_HoursPerDay)</f>
        <v/>
      </c>
      <c r="H341" s="66">
        <f>IF(tblFleet[[#This Row],[Units]]="","",tblFleet[[#This Row],[Calendar_h]]-tblFleet[[#This Row],[Down_h]])</f>
        <v/>
      </c>
      <c r="I341" s="60">
        <f>IF(AND(tblFleet[[#This Row],[Units]]&lt;&gt;"",tblFleet[[#This Row],[Calendar_h]]&gt;0),tblFleet[[#This Row],[Available_h]]/tblFleet[[#This Row],[Calendar_h]],"")</f>
        <v/>
      </c>
      <c r="J341" s="60">
        <f>IF(AND(tblFleet[[#This Row],[Units]]&lt;&gt;"",tblFleet[[#This Row],[Available_h]]&gt;0),tblFleet[[#This Row],[Operating_h]]/tblFleet[[#This Row],[Available_h]],"")</f>
        <v/>
      </c>
    </row>
    <row r="342">
      <c r="A342" s="54" t="n"/>
      <c r="B342" s="61" t="n"/>
      <c r="C342" s="62" t="n"/>
      <c r="D342" s="57" t="n"/>
      <c r="E342" s="57" t="n"/>
      <c r="F342" s="58" t="n"/>
      <c r="G342" s="66">
        <f>IF(tblFleet[[#This Row],[Units]]="","",tblFleet[[#This Row],[Units]]*cfg_HoursPerDay)</f>
        <v/>
      </c>
      <c r="H342" s="66">
        <f>IF(tblFleet[[#This Row],[Units]]="","",tblFleet[[#This Row],[Calendar_h]]-tblFleet[[#This Row],[Down_h]])</f>
        <v/>
      </c>
      <c r="I342" s="60">
        <f>IF(AND(tblFleet[[#This Row],[Units]]&lt;&gt;"",tblFleet[[#This Row],[Calendar_h]]&gt;0),tblFleet[[#This Row],[Available_h]]/tblFleet[[#This Row],[Calendar_h]],"")</f>
        <v/>
      </c>
      <c r="J342" s="60">
        <f>IF(AND(tblFleet[[#This Row],[Units]]&lt;&gt;"",tblFleet[[#This Row],[Available_h]]&gt;0),tblFleet[[#This Row],[Operating_h]]/tblFleet[[#This Row],[Available_h]],"")</f>
        <v/>
      </c>
    </row>
    <row r="343">
      <c r="A343" s="54" t="n"/>
      <c r="B343" s="61" t="n"/>
      <c r="C343" s="62" t="n"/>
      <c r="D343" s="57" t="n"/>
      <c r="E343" s="57" t="n"/>
      <c r="F343" s="58" t="n"/>
      <c r="G343" s="66">
        <f>IF(tblFleet[[#This Row],[Units]]="","",tblFleet[[#This Row],[Units]]*cfg_HoursPerDay)</f>
        <v/>
      </c>
      <c r="H343" s="66">
        <f>IF(tblFleet[[#This Row],[Units]]="","",tblFleet[[#This Row],[Calendar_h]]-tblFleet[[#This Row],[Down_h]])</f>
        <v/>
      </c>
      <c r="I343" s="60">
        <f>IF(AND(tblFleet[[#This Row],[Units]]&lt;&gt;"",tblFleet[[#This Row],[Calendar_h]]&gt;0),tblFleet[[#This Row],[Available_h]]/tblFleet[[#This Row],[Calendar_h]],"")</f>
        <v/>
      </c>
      <c r="J343" s="60">
        <f>IF(AND(tblFleet[[#This Row],[Units]]&lt;&gt;"",tblFleet[[#This Row],[Available_h]]&gt;0),tblFleet[[#This Row],[Operating_h]]/tblFleet[[#This Row],[Available_h]],"")</f>
        <v/>
      </c>
    </row>
    <row r="344">
      <c r="A344" s="54" t="n"/>
      <c r="B344" s="61" t="n"/>
      <c r="C344" s="62" t="n"/>
      <c r="D344" s="57" t="n"/>
      <c r="E344" s="57" t="n"/>
      <c r="F344" s="58" t="n"/>
      <c r="G344" s="66">
        <f>IF(tblFleet[[#This Row],[Units]]="","",tblFleet[[#This Row],[Units]]*cfg_HoursPerDay)</f>
        <v/>
      </c>
      <c r="H344" s="66">
        <f>IF(tblFleet[[#This Row],[Units]]="","",tblFleet[[#This Row],[Calendar_h]]-tblFleet[[#This Row],[Down_h]])</f>
        <v/>
      </c>
      <c r="I344" s="60">
        <f>IF(AND(tblFleet[[#This Row],[Units]]&lt;&gt;"",tblFleet[[#This Row],[Calendar_h]]&gt;0),tblFleet[[#This Row],[Available_h]]/tblFleet[[#This Row],[Calendar_h]],"")</f>
        <v/>
      </c>
      <c r="J344" s="60">
        <f>IF(AND(tblFleet[[#This Row],[Units]]&lt;&gt;"",tblFleet[[#This Row],[Available_h]]&gt;0),tblFleet[[#This Row],[Operating_h]]/tblFleet[[#This Row],[Available_h]],"")</f>
        <v/>
      </c>
    </row>
    <row r="345">
      <c r="A345" s="54" t="n"/>
      <c r="B345" s="61" t="n"/>
      <c r="C345" s="62" t="n"/>
      <c r="D345" s="57" t="n"/>
      <c r="E345" s="57" t="n"/>
      <c r="F345" s="58" t="n"/>
      <c r="G345" s="66">
        <f>IF(tblFleet[[#This Row],[Units]]="","",tblFleet[[#This Row],[Units]]*cfg_HoursPerDay)</f>
        <v/>
      </c>
      <c r="H345" s="66">
        <f>IF(tblFleet[[#This Row],[Units]]="","",tblFleet[[#This Row],[Calendar_h]]-tblFleet[[#This Row],[Down_h]])</f>
        <v/>
      </c>
      <c r="I345" s="60">
        <f>IF(AND(tblFleet[[#This Row],[Units]]&lt;&gt;"",tblFleet[[#This Row],[Calendar_h]]&gt;0),tblFleet[[#This Row],[Available_h]]/tblFleet[[#This Row],[Calendar_h]],"")</f>
        <v/>
      </c>
      <c r="J345" s="60">
        <f>IF(AND(tblFleet[[#This Row],[Units]]&lt;&gt;"",tblFleet[[#This Row],[Available_h]]&gt;0),tblFleet[[#This Row],[Operating_h]]/tblFleet[[#This Row],[Available_h]],"")</f>
        <v/>
      </c>
    </row>
    <row r="346">
      <c r="A346" s="54" t="n"/>
      <c r="B346" s="61" t="n"/>
      <c r="C346" s="62" t="n"/>
      <c r="D346" s="57" t="n"/>
      <c r="E346" s="57" t="n"/>
      <c r="F346" s="58" t="n"/>
      <c r="G346" s="66">
        <f>IF(tblFleet[[#This Row],[Units]]="","",tblFleet[[#This Row],[Units]]*cfg_HoursPerDay)</f>
        <v/>
      </c>
      <c r="H346" s="66">
        <f>IF(tblFleet[[#This Row],[Units]]="","",tblFleet[[#This Row],[Calendar_h]]-tblFleet[[#This Row],[Down_h]])</f>
        <v/>
      </c>
      <c r="I346" s="60">
        <f>IF(AND(tblFleet[[#This Row],[Units]]&lt;&gt;"",tblFleet[[#This Row],[Calendar_h]]&gt;0),tblFleet[[#This Row],[Available_h]]/tblFleet[[#This Row],[Calendar_h]],"")</f>
        <v/>
      </c>
      <c r="J346" s="60">
        <f>IF(AND(tblFleet[[#This Row],[Units]]&lt;&gt;"",tblFleet[[#This Row],[Available_h]]&gt;0),tblFleet[[#This Row],[Operating_h]]/tblFleet[[#This Row],[Available_h]],"")</f>
        <v/>
      </c>
    </row>
    <row r="347">
      <c r="A347" s="54" t="n"/>
      <c r="B347" s="61" t="n"/>
      <c r="C347" s="62" t="n"/>
      <c r="D347" s="57" t="n"/>
      <c r="E347" s="57" t="n"/>
      <c r="F347" s="58" t="n"/>
      <c r="G347" s="66">
        <f>IF(tblFleet[[#This Row],[Units]]="","",tblFleet[[#This Row],[Units]]*cfg_HoursPerDay)</f>
        <v/>
      </c>
      <c r="H347" s="66">
        <f>IF(tblFleet[[#This Row],[Units]]="","",tblFleet[[#This Row],[Calendar_h]]-tblFleet[[#This Row],[Down_h]])</f>
        <v/>
      </c>
      <c r="I347" s="60">
        <f>IF(AND(tblFleet[[#This Row],[Units]]&lt;&gt;"",tblFleet[[#This Row],[Calendar_h]]&gt;0),tblFleet[[#This Row],[Available_h]]/tblFleet[[#This Row],[Calendar_h]],"")</f>
        <v/>
      </c>
      <c r="J347" s="60">
        <f>IF(AND(tblFleet[[#This Row],[Units]]&lt;&gt;"",tblFleet[[#This Row],[Available_h]]&gt;0),tblFleet[[#This Row],[Operating_h]]/tblFleet[[#This Row],[Available_h]],"")</f>
        <v/>
      </c>
    </row>
    <row r="348">
      <c r="A348" s="54" t="n"/>
      <c r="B348" s="61" t="n"/>
      <c r="C348" s="62" t="n"/>
      <c r="D348" s="57" t="n"/>
      <c r="E348" s="57" t="n"/>
      <c r="F348" s="58" t="n"/>
      <c r="G348" s="66">
        <f>IF(tblFleet[[#This Row],[Units]]="","",tblFleet[[#This Row],[Units]]*cfg_HoursPerDay)</f>
        <v/>
      </c>
      <c r="H348" s="66">
        <f>IF(tblFleet[[#This Row],[Units]]="","",tblFleet[[#This Row],[Calendar_h]]-tblFleet[[#This Row],[Down_h]])</f>
        <v/>
      </c>
      <c r="I348" s="60">
        <f>IF(AND(tblFleet[[#This Row],[Units]]&lt;&gt;"",tblFleet[[#This Row],[Calendar_h]]&gt;0),tblFleet[[#This Row],[Available_h]]/tblFleet[[#This Row],[Calendar_h]],"")</f>
        <v/>
      </c>
      <c r="J348" s="60">
        <f>IF(AND(tblFleet[[#This Row],[Units]]&lt;&gt;"",tblFleet[[#This Row],[Available_h]]&gt;0),tblFleet[[#This Row],[Operating_h]]/tblFleet[[#This Row],[Available_h]],"")</f>
        <v/>
      </c>
    </row>
    <row r="349">
      <c r="A349" s="54" t="n"/>
      <c r="B349" s="61" t="n"/>
      <c r="C349" s="62" t="n"/>
      <c r="D349" s="57" t="n"/>
      <c r="E349" s="57" t="n"/>
      <c r="F349" s="58" t="n"/>
      <c r="G349" s="66">
        <f>IF(tblFleet[[#This Row],[Units]]="","",tblFleet[[#This Row],[Units]]*cfg_HoursPerDay)</f>
        <v/>
      </c>
      <c r="H349" s="66">
        <f>IF(tblFleet[[#This Row],[Units]]="","",tblFleet[[#This Row],[Calendar_h]]-tblFleet[[#This Row],[Down_h]])</f>
        <v/>
      </c>
      <c r="I349" s="60">
        <f>IF(AND(tblFleet[[#This Row],[Units]]&lt;&gt;"",tblFleet[[#This Row],[Calendar_h]]&gt;0),tblFleet[[#This Row],[Available_h]]/tblFleet[[#This Row],[Calendar_h]],"")</f>
        <v/>
      </c>
      <c r="J349" s="60">
        <f>IF(AND(tblFleet[[#This Row],[Units]]&lt;&gt;"",tblFleet[[#This Row],[Available_h]]&gt;0),tblFleet[[#This Row],[Operating_h]]/tblFleet[[#This Row],[Available_h]],"")</f>
        <v/>
      </c>
    </row>
    <row r="350">
      <c r="A350" s="54" t="n"/>
      <c r="B350" s="61" t="n"/>
      <c r="C350" s="62" t="n"/>
      <c r="D350" s="57" t="n"/>
      <c r="E350" s="57" t="n"/>
      <c r="F350" s="58" t="n"/>
      <c r="G350" s="66">
        <f>IF(tblFleet[[#This Row],[Units]]="","",tblFleet[[#This Row],[Units]]*cfg_HoursPerDay)</f>
        <v/>
      </c>
      <c r="H350" s="66">
        <f>IF(tblFleet[[#This Row],[Units]]="","",tblFleet[[#This Row],[Calendar_h]]-tblFleet[[#This Row],[Down_h]])</f>
        <v/>
      </c>
      <c r="I350" s="60">
        <f>IF(AND(tblFleet[[#This Row],[Units]]&lt;&gt;"",tblFleet[[#This Row],[Calendar_h]]&gt;0),tblFleet[[#This Row],[Available_h]]/tblFleet[[#This Row],[Calendar_h]],"")</f>
        <v/>
      </c>
      <c r="J350" s="60">
        <f>IF(AND(tblFleet[[#This Row],[Units]]&lt;&gt;"",tblFleet[[#This Row],[Available_h]]&gt;0),tblFleet[[#This Row],[Operating_h]]/tblFleet[[#This Row],[Available_h]],"")</f>
        <v/>
      </c>
    </row>
    <row r="351">
      <c r="A351" s="54" t="n"/>
      <c r="B351" s="61" t="n"/>
      <c r="C351" s="62" t="n"/>
      <c r="D351" s="57" t="n"/>
      <c r="E351" s="57" t="n"/>
      <c r="F351" s="58" t="n"/>
      <c r="G351" s="66">
        <f>IF(tblFleet[[#This Row],[Units]]="","",tblFleet[[#This Row],[Units]]*cfg_HoursPerDay)</f>
        <v/>
      </c>
      <c r="H351" s="66">
        <f>IF(tblFleet[[#This Row],[Units]]="","",tblFleet[[#This Row],[Calendar_h]]-tblFleet[[#This Row],[Down_h]])</f>
        <v/>
      </c>
      <c r="I351" s="60">
        <f>IF(AND(tblFleet[[#This Row],[Units]]&lt;&gt;"",tblFleet[[#This Row],[Calendar_h]]&gt;0),tblFleet[[#This Row],[Available_h]]/tblFleet[[#This Row],[Calendar_h]],"")</f>
        <v/>
      </c>
      <c r="J351" s="60">
        <f>IF(AND(tblFleet[[#This Row],[Units]]&lt;&gt;"",tblFleet[[#This Row],[Available_h]]&gt;0),tblFleet[[#This Row],[Operating_h]]/tblFleet[[#This Row],[Available_h]],"")</f>
        <v/>
      </c>
    </row>
    <row r="352">
      <c r="A352" s="54" t="n"/>
      <c r="B352" s="61" t="n"/>
      <c r="C352" s="62" t="n"/>
      <c r="D352" s="57" t="n"/>
      <c r="E352" s="57" t="n"/>
      <c r="F352" s="58" t="n"/>
      <c r="G352" s="66">
        <f>IF(tblFleet[[#This Row],[Units]]="","",tblFleet[[#This Row],[Units]]*cfg_HoursPerDay)</f>
        <v/>
      </c>
      <c r="H352" s="66">
        <f>IF(tblFleet[[#This Row],[Units]]="","",tblFleet[[#This Row],[Calendar_h]]-tblFleet[[#This Row],[Down_h]])</f>
        <v/>
      </c>
      <c r="I352" s="60">
        <f>IF(AND(tblFleet[[#This Row],[Units]]&lt;&gt;"",tblFleet[[#This Row],[Calendar_h]]&gt;0),tblFleet[[#This Row],[Available_h]]/tblFleet[[#This Row],[Calendar_h]],"")</f>
        <v/>
      </c>
      <c r="J352" s="60">
        <f>IF(AND(tblFleet[[#This Row],[Units]]&lt;&gt;"",tblFleet[[#This Row],[Available_h]]&gt;0),tblFleet[[#This Row],[Operating_h]]/tblFleet[[#This Row],[Available_h]],"")</f>
        <v/>
      </c>
    </row>
    <row r="353">
      <c r="A353" s="54" t="n"/>
      <c r="B353" s="61" t="n"/>
      <c r="C353" s="62" t="n"/>
      <c r="D353" s="57" t="n"/>
      <c r="E353" s="57" t="n"/>
      <c r="F353" s="58" t="n"/>
      <c r="G353" s="66">
        <f>IF(tblFleet[[#This Row],[Units]]="","",tblFleet[[#This Row],[Units]]*cfg_HoursPerDay)</f>
        <v/>
      </c>
      <c r="H353" s="66">
        <f>IF(tblFleet[[#This Row],[Units]]="","",tblFleet[[#This Row],[Calendar_h]]-tblFleet[[#This Row],[Down_h]])</f>
        <v/>
      </c>
      <c r="I353" s="60">
        <f>IF(AND(tblFleet[[#This Row],[Units]]&lt;&gt;"",tblFleet[[#This Row],[Calendar_h]]&gt;0),tblFleet[[#This Row],[Available_h]]/tblFleet[[#This Row],[Calendar_h]],"")</f>
        <v/>
      </c>
      <c r="J353" s="60">
        <f>IF(AND(tblFleet[[#This Row],[Units]]&lt;&gt;"",tblFleet[[#This Row],[Available_h]]&gt;0),tblFleet[[#This Row],[Operating_h]]/tblFleet[[#This Row],[Available_h]],"")</f>
        <v/>
      </c>
    </row>
    <row r="354">
      <c r="A354" s="54" t="n"/>
      <c r="B354" s="61" t="n"/>
      <c r="C354" s="62" t="n"/>
      <c r="D354" s="57" t="n"/>
      <c r="E354" s="57" t="n"/>
      <c r="F354" s="58" t="n"/>
      <c r="G354" s="66">
        <f>IF(tblFleet[[#This Row],[Units]]="","",tblFleet[[#This Row],[Units]]*cfg_HoursPerDay)</f>
        <v/>
      </c>
      <c r="H354" s="66">
        <f>IF(tblFleet[[#This Row],[Units]]="","",tblFleet[[#This Row],[Calendar_h]]-tblFleet[[#This Row],[Down_h]])</f>
        <v/>
      </c>
      <c r="I354" s="60">
        <f>IF(AND(tblFleet[[#This Row],[Units]]&lt;&gt;"",tblFleet[[#This Row],[Calendar_h]]&gt;0),tblFleet[[#This Row],[Available_h]]/tblFleet[[#This Row],[Calendar_h]],"")</f>
        <v/>
      </c>
      <c r="J354" s="60">
        <f>IF(AND(tblFleet[[#This Row],[Units]]&lt;&gt;"",tblFleet[[#This Row],[Available_h]]&gt;0),tblFleet[[#This Row],[Operating_h]]/tblFleet[[#This Row],[Available_h]],"")</f>
        <v/>
      </c>
    </row>
    <row r="355">
      <c r="A355" s="54" t="n"/>
      <c r="B355" s="61" t="n"/>
      <c r="C355" s="62" t="n"/>
      <c r="D355" s="57" t="n"/>
      <c r="E355" s="57" t="n"/>
      <c r="F355" s="58" t="n"/>
      <c r="G355" s="66">
        <f>IF(tblFleet[[#This Row],[Units]]="","",tblFleet[[#This Row],[Units]]*cfg_HoursPerDay)</f>
        <v/>
      </c>
      <c r="H355" s="66">
        <f>IF(tblFleet[[#This Row],[Units]]="","",tblFleet[[#This Row],[Calendar_h]]-tblFleet[[#This Row],[Down_h]])</f>
        <v/>
      </c>
      <c r="I355" s="60">
        <f>IF(AND(tblFleet[[#This Row],[Units]]&lt;&gt;"",tblFleet[[#This Row],[Calendar_h]]&gt;0),tblFleet[[#This Row],[Available_h]]/tblFleet[[#This Row],[Calendar_h]],"")</f>
        <v/>
      </c>
      <c r="J355" s="60">
        <f>IF(AND(tblFleet[[#This Row],[Units]]&lt;&gt;"",tblFleet[[#This Row],[Available_h]]&gt;0),tblFleet[[#This Row],[Operating_h]]/tblFleet[[#This Row],[Available_h]],"")</f>
        <v/>
      </c>
    </row>
    <row r="356">
      <c r="A356" s="54" t="n"/>
      <c r="B356" s="61" t="n"/>
      <c r="C356" s="62" t="n"/>
      <c r="D356" s="57" t="n"/>
      <c r="E356" s="57" t="n"/>
      <c r="F356" s="58" t="n"/>
      <c r="G356" s="66">
        <f>IF(tblFleet[[#This Row],[Units]]="","",tblFleet[[#This Row],[Units]]*cfg_HoursPerDay)</f>
        <v/>
      </c>
      <c r="H356" s="66">
        <f>IF(tblFleet[[#This Row],[Units]]="","",tblFleet[[#This Row],[Calendar_h]]-tblFleet[[#This Row],[Down_h]])</f>
        <v/>
      </c>
      <c r="I356" s="60">
        <f>IF(AND(tblFleet[[#This Row],[Units]]&lt;&gt;"",tblFleet[[#This Row],[Calendar_h]]&gt;0),tblFleet[[#This Row],[Available_h]]/tblFleet[[#This Row],[Calendar_h]],"")</f>
        <v/>
      </c>
      <c r="J356" s="60">
        <f>IF(AND(tblFleet[[#This Row],[Units]]&lt;&gt;"",tblFleet[[#This Row],[Available_h]]&gt;0),tblFleet[[#This Row],[Operating_h]]/tblFleet[[#This Row],[Available_h]],"")</f>
        <v/>
      </c>
    </row>
    <row r="357">
      <c r="A357" s="54" t="n"/>
      <c r="B357" s="61" t="n"/>
      <c r="C357" s="62" t="n"/>
      <c r="D357" s="57" t="n"/>
      <c r="E357" s="57" t="n"/>
      <c r="F357" s="58" t="n"/>
      <c r="G357" s="66">
        <f>IF(tblFleet[[#This Row],[Units]]="","",tblFleet[[#This Row],[Units]]*cfg_HoursPerDay)</f>
        <v/>
      </c>
      <c r="H357" s="66">
        <f>IF(tblFleet[[#This Row],[Units]]="","",tblFleet[[#This Row],[Calendar_h]]-tblFleet[[#This Row],[Down_h]])</f>
        <v/>
      </c>
      <c r="I357" s="60">
        <f>IF(AND(tblFleet[[#This Row],[Units]]&lt;&gt;"",tblFleet[[#This Row],[Calendar_h]]&gt;0),tblFleet[[#This Row],[Available_h]]/tblFleet[[#This Row],[Calendar_h]],"")</f>
        <v/>
      </c>
      <c r="J357" s="60">
        <f>IF(AND(tblFleet[[#This Row],[Units]]&lt;&gt;"",tblFleet[[#This Row],[Available_h]]&gt;0),tblFleet[[#This Row],[Operating_h]]/tblFleet[[#This Row],[Available_h]],"")</f>
        <v/>
      </c>
    </row>
    <row r="358">
      <c r="A358" s="54" t="n"/>
      <c r="B358" s="61" t="n"/>
      <c r="C358" s="62" t="n"/>
      <c r="D358" s="57" t="n"/>
      <c r="E358" s="57" t="n"/>
      <c r="F358" s="58" t="n"/>
      <c r="G358" s="66">
        <f>IF(tblFleet[[#This Row],[Units]]="","",tblFleet[[#This Row],[Units]]*cfg_HoursPerDay)</f>
        <v/>
      </c>
      <c r="H358" s="66">
        <f>IF(tblFleet[[#This Row],[Units]]="","",tblFleet[[#This Row],[Calendar_h]]-tblFleet[[#This Row],[Down_h]])</f>
        <v/>
      </c>
      <c r="I358" s="60">
        <f>IF(AND(tblFleet[[#This Row],[Units]]&lt;&gt;"",tblFleet[[#This Row],[Calendar_h]]&gt;0),tblFleet[[#This Row],[Available_h]]/tblFleet[[#This Row],[Calendar_h]],"")</f>
        <v/>
      </c>
      <c r="J358" s="60">
        <f>IF(AND(tblFleet[[#This Row],[Units]]&lt;&gt;"",tblFleet[[#This Row],[Available_h]]&gt;0),tblFleet[[#This Row],[Operating_h]]/tblFleet[[#This Row],[Available_h]],"")</f>
        <v/>
      </c>
    </row>
    <row r="359">
      <c r="A359" s="54" t="n"/>
      <c r="B359" s="61" t="n"/>
      <c r="C359" s="62" t="n"/>
      <c r="D359" s="57" t="n"/>
      <c r="E359" s="57" t="n"/>
      <c r="F359" s="58" t="n"/>
      <c r="G359" s="66">
        <f>IF(tblFleet[[#This Row],[Units]]="","",tblFleet[[#This Row],[Units]]*cfg_HoursPerDay)</f>
        <v/>
      </c>
      <c r="H359" s="66">
        <f>IF(tblFleet[[#This Row],[Units]]="","",tblFleet[[#This Row],[Calendar_h]]-tblFleet[[#This Row],[Down_h]])</f>
        <v/>
      </c>
      <c r="I359" s="60">
        <f>IF(AND(tblFleet[[#This Row],[Units]]&lt;&gt;"",tblFleet[[#This Row],[Calendar_h]]&gt;0),tblFleet[[#This Row],[Available_h]]/tblFleet[[#This Row],[Calendar_h]],"")</f>
        <v/>
      </c>
      <c r="J359" s="60">
        <f>IF(AND(tblFleet[[#This Row],[Units]]&lt;&gt;"",tblFleet[[#This Row],[Available_h]]&gt;0),tblFleet[[#This Row],[Operating_h]]/tblFleet[[#This Row],[Available_h]],"")</f>
        <v/>
      </c>
    </row>
    <row r="360">
      <c r="A360" s="54" t="n"/>
      <c r="B360" s="61" t="n"/>
      <c r="C360" s="62" t="n"/>
      <c r="D360" s="57" t="n"/>
      <c r="E360" s="57" t="n"/>
      <c r="F360" s="58" t="n"/>
      <c r="G360" s="66">
        <f>IF(tblFleet[[#This Row],[Units]]="","",tblFleet[[#This Row],[Units]]*cfg_HoursPerDay)</f>
        <v/>
      </c>
      <c r="H360" s="66">
        <f>IF(tblFleet[[#This Row],[Units]]="","",tblFleet[[#This Row],[Calendar_h]]-tblFleet[[#This Row],[Down_h]])</f>
        <v/>
      </c>
      <c r="I360" s="60">
        <f>IF(AND(tblFleet[[#This Row],[Units]]&lt;&gt;"",tblFleet[[#This Row],[Calendar_h]]&gt;0),tblFleet[[#This Row],[Available_h]]/tblFleet[[#This Row],[Calendar_h]],"")</f>
        <v/>
      </c>
      <c r="J360" s="60">
        <f>IF(AND(tblFleet[[#This Row],[Units]]&lt;&gt;"",tblFleet[[#This Row],[Available_h]]&gt;0),tblFleet[[#This Row],[Operating_h]]/tblFleet[[#This Row],[Available_h]],"")</f>
        <v/>
      </c>
    </row>
    <row r="361">
      <c r="A361" s="54" t="n"/>
      <c r="B361" s="61" t="n"/>
      <c r="C361" s="62" t="n"/>
      <c r="D361" s="57" t="n"/>
      <c r="E361" s="57" t="n"/>
      <c r="F361" s="58" t="n"/>
      <c r="G361" s="66">
        <f>IF(tblFleet[[#This Row],[Units]]="","",tblFleet[[#This Row],[Units]]*cfg_HoursPerDay)</f>
        <v/>
      </c>
      <c r="H361" s="66">
        <f>IF(tblFleet[[#This Row],[Units]]="","",tblFleet[[#This Row],[Calendar_h]]-tblFleet[[#This Row],[Down_h]])</f>
        <v/>
      </c>
      <c r="I361" s="60">
        <f>IF(AND(tblFleet[[#This Row],[Units]]&lt;&gt;"",tblFleet[[#This Row],[Calendar_h]]&gt;0),tblFleet[[#This Row],[Available_h]]/tblFleet[[#This Row],[Calendar_h]],"")</f>
        <v/>
      </c>
      <c r="J361" s="60">
        <f>IF(AND(tblFleet[[#This Row],[Units]]&lt;&gt;"",tblFleet[[#This Row],[Available_h]]&gt;0),tblFleet[[#This Row],[Operating_h]]/tblFleet[[#This Row],[Available_h]],"")</f>
        <v/>
      </c>
    </row>
    <row r="362">
      <c r="A362" s="54" t="n"/>
      <c r="B362" s="61" t="n"/>
      <c r="C362" s="62" t="n"/>
      <c r="D362" s="57" t="n"/>
      <c r="E362" s="57" t="n"/>
      <c r="F362" s="58" t="n"/>
      <c r="G362" s="66">
        <f>IF(tblFleet[[#This Row],[Units]]="","",tblFleet[[#This Row],[Units]]*cfg_HoursPerDay)</f>
        <v/>
      </c>
      <c r="H362" s="66">
        <f>IF(tblFleet[[#This Row],[Units]]="","",tblFleet[[#This Row],[Calendar_h]]-tblFleet[[#This Row],[Down_h]])</f>
        <v/>
      </c>
      <c r="I362" s="60">
        <f>IF(AND(tblFleet[[#This Row],[Units]]&lt;&gt;"",tblFleet[[#This Row],[Calendar_h]]&gt;0),tblFleet[[#This Row],[Available_h]]/tblFleet[[#This Row],[Calendar_h]],"")</f>
        <v/>
      </c>
      <c r="J362" s="60">
        <f>IF(AND(tblFleet[[#This Row],[Units]]&lt;&gt;"",tblFleet[[#This Row],[Available_h]]&gt;0),tblFleet[[#This Row],[Operating_h]]/tblFleet[[#This Row],[Available_h]],"")</f>
        <v/>
      </c>
    </row>
    <row r="363">
      <c r="A363" s="54" t="n"/>
      <c r="B363" s="61" t="n"/>
      <c r="C363" s="62" t="n"/>
      <c r="D363" s="57" t="n"/>
      <c r="E363" s="57" t="n"/>
      <c r="F363" s="58" t="n"/>
      <c r="G363" s="66">
        <f>IF(tblFleet[[#This Row],[Units]]="","",tblFleet[[#This Row],[Units]]*cfg_HoursPerDay)</f>
        <v/>
      </c>
      <c r="H363" s="66">
        <f>IF(tblFleet[[#This Row],[Units]]="","",tblFleet[[#This Row],[Calendar_h]]-tblFleet[[#This Row],[Down_h]])</f>
        <v/>
      </c>
      <c r="I363" s="60">
        <f>IF(AND(tblFleet[[#This Row],[Units]]&lt;&gt;"",tblFleet[[#This Row],[Calendar_h]]&gt;0),tblFleet[[#This Row],[Available_h]]/tblFleet[[#This Row],[Calendar_h]],"")</f>
        <v/>
      </c>
      <c r="J363" s="60">
        <f>IF(AND(tblFleet[[#This Row],[Units]]&lt;&gt;"",tblFleet[[#This Row],[Available_h]]&gt;0),tblFleet[[#This Row],[Operating_h]]/tblFleet[[#This Row],[Available_h]],"")</f>
        <v/>
      </c>
    </row>
    <row r="364">
      <c r="A364" s="54" t="n"/>
      <c r="B364" s="61" t="n"/>
      <c r="C364" s="62" t="n"/>
      <c r="D364" s="57" t="n"/>
      <c r="E364" s="57" t="n"/>
      <c r="F364" s="58" t="n"/>
      <c r="G364" s="66">
        <f>IF(tblFleet[[#This Row],[Units]]="","",tblFleet[[#This Row],[Units]]*cfg_HoursPerDay)</f>
        <v/>
      </c>
      <c r="H364" s="66">
        <f>IF(tblFleet[[#This Row],[Units]]="","",tblFleet[[#This Row],[Calendar_h]]-tblFleet[[#This Row],[Down_h]])</f>
        <v/>
      </c>
      <c r="I364" s="60">
        <f>IF(AND(tblFleet[[#This Row],[Units]]&lt;&gt;"",tblFleet[[#This Row],[Calendar_h]]&gt;0),tblFleet[[#This Row],[Available_h]]/tblFleet[[#This Row],[Calendar_h]],"")</f>
        <v/>
      </c>
      <c r="J364" s="60">
        <f>IF(AND(tblFleet[[#This Row],[Units]]&lt;&gt;"",tblFleet[[#This Row],[Available_h]]&gt;0),tblFleet[[#This Row],[Operating_h]]/tblFleet[[#This Row],[Available_h]],"")</f>
        <v/>
      </c>
    </row>
    <row r="365">
      <c r="A365" s="54" t="n"/>
      <c r="B365" s="61" t="n"/>
      <c r="C365" s="62" t="n"/>
      <c r="D365" s="57" t="n"/>
      <c r="E365" s="57" t="n"/>
      <c r="F365" s="58" t="n"/>
      <c r="G365" s="66">
        <f>IF(tblFleet[[#This Row],[Units]]="","",tblFleet[[#This Row],[Units]]*cfg_HoursPerDay)</f>
        <v/>
      </c>
      <c r="H365" s="66">
        <f>IF(tblFleet[[#This Row],[Units]]="","",tblFleet[[#This Row],[Calendar_h]]-tblFleet[[#This Row],[Down_h]])</f>
        <v/>
      </c>
      <c r="I365" s="60">
        <f>IF(AND(tblFleet[[#This Row],[Units]]&lt;&gt;"",tblFleet[[#This Row],[Calendar_h]]&gt;0),tblFleet[[#This Row],[Available_h]]/tblFleet[[#This Row],[Calendar_h]],"")</f>
        <v/>
      </c>
      <c r="J365" s="60">
        <f>IF(AND(tblFleet[[#This Row],[Units]]&lt;&gt;"",tblFleet[[#This Row],[Available_h]]&gt;0),tblFleet[[#This Row],[Operating_h]]/tblFleet[[#This Row],[Available_h]],"")</f>
        <v/>
      </c>
    </row>
    <row r="366">
      <c r="A366" s="54" t="n"/>
      <c r="B366" s="61" t="n"/>
      <c r="C366" s="62" t="n"/>
      <c r="D366" s="57" t="n"/>
      <c r="E366" s="57" t="n"/>
      <c r="F366" s="58" t="n"/>
      <c r="G366" s="66">
        <f>IF(tblFleet[[#This Row],[Units]]="","",tblFleet[[#This Row],[Units]]*cfg_HoursPerDay)</f>
        <v/>
      </c>
      <c r="H366" s="66">
        <f>IF(tblFleet[[#This Row],[Units]]="","",tblFleet[[#This Row],[Calendar_h]]-tblFleet[[#This Row],[Down_h]])</f>
        <v/>
      </c>
      <c r="I366" s="60">
        <f>IF(AND(tblFleet[[#This Row],[Units]]&lt;&gt;"",tblFleet[[#This Row],[Calendar_h]]&gt;0),tblFleet[[#This Row],[Available_h]]/tblFleet[[#This Row],[Calendar_h]],"")</f>
        <v/>
      </c>
      <c r="J366" s="60">
        <f>IF(AND(tblFleet[[#This Row],[Units]]&lt;&gt;"",tblFleet[[#This Row],[Available_h]]&gt;0),tblFleet[[#This Row],[Operating_h]]/tblFleet[[#This Row],[Available_h]],"")</f>
        <v/>
      </c>
    </row>
    <row r="367">
      <c r="A367" s="54" t="n"/>
      <c r="B367" s="61" t="n"/>
      <c r="C367" s="62" t="n"/>
      <c r="D367" s="57" t="n"/>
      <c r="E367" s="57" t="n"/>
      <c r="F367" s="58" t="n"/>
      <c r="G367" s="66">
        <f>IF(tblFleet[[#This Row],[Units]]="","",tblFleet[[#This Row],[Units]]*cfg_HoursPerDay)</f>
        <v/>
      </c>
      <c r="H367" s="66">
        <f>IF(tblFleet[[#This Row],[Units]]="","",tblFleet[[#This Row],[Calendar_h]]-tblFleet[[#This Row],[Down_h]])</f>
        <v/>
      </c>
      <c r="I367" s="60">
        <f>IF(AND(tblFleet[[#This Row],[Units]]&lt;&gt;"",tblFleet[[#This Row],[Calendar_h]]&gt;0),tblFleet[[#This Row],[Available_h]]/tblFleet[[#This Row],[Calendar_h]],"")</f>
        <v/>
      </c>
      <c r="J367" s="60">
        <f>IF(AND(tblFleet[[#This Row],[Units]]&lt;&gt;"",tblFleet[[#This Row],[Available_h]]&gt;0),tblFleet[[#This Row],[Operating_h]]/tblFleet[[#This Row],[Available_h]],"")</f>
        <v/>
      </c>
    </row>
    <row r="368">
      <c r="A368" s="54" t="n"/>
      <c r="B368" s="61" t="n"/>
      <c r="C368" s="62" t="n"/>
      <c r="D368" s="57" t="n"/>
      <c r="E368" s="57" t="n"/>
      <c r="F368" s="58" t="n"/>
      <c r="G368" s="66">
        <f>IF(tblFleet[[#This Row],[Units]]="","",tblFleet[[#This Row],[Units]]*cfg_HoursPerDay)</f>
        <v/>
      </c>
      <c r="H368" s="66">
        <f>IF(tblFleet[[#This Row],[Units]]="","",tblFleet[[#This Row],[Calendar_h]]-tblFleet[[#This Row],[Down_h]])</f>
        <v/>
      </c>
      <c r="I368" s="60">
        <f>IF(AND(tblFleet[[#This Row],[Units]]&lt;&gt;"",tblFleet[[#This Row],[Calendar_h]]&gt;0),tblFleet[[#This Row],[Available_h]]/tblFleet[[#This Row],[Calendar_h]],"")</f>
        <v/>
      </c>
      <c r="J368" s="60">
        <f>IF(AND(tblFleet[[#This Row],[Units]]&lt;&gt;"",tblFleet[[#This Row],[Available_h]]&gt;0),tblFleet[[#This Row],[Operating_h]]/tblFleet[[#This Row],[Available_h]],"")</f>
        <v/>
      </c>
    </row>
    <row r="369">
      <c r="A369" s="54" t="n"/>
      <c r="B369" s="61" t="n"/>
      <c r="C369" s="62" t="n"/>
      <c r="D369" s="57" t="n"/>
      <c r="E369" s="57" t="n"/>
      <c r="F369" s="58" t="n"/>
      <c r="G369" s="66">
        <f>IF(tblFleet[[#This Row],[Units]]="","",tblFleet[[#This Row],[Units]]*cfg_HoursPerDay)</f>
        <v/>
      </c>
      <c r="H369" s="66">
        <f>IF(tblFleet[[#This Row],[Units]]="","",tblFleet[[#This Row],[Calendar_h]]-tblFleet[[#This Row],[Down_h]])</f>
        <v/>
      </c>
      <c r="I369" s="60">
        <f>IF(AND(tblFleet[[#This Row],[Units]]&lt;&gt;"",tblFleet[[#This Row],[Calendar_h]]&gt;0),tblFleet[[#This Row],[Available_h]]/tblFleet[[#This Row],[Calendar_h]],"")</f>
        <v/>
      </c>
      <c r="J369" s="60">
        <f>IF(AND(tblFleet[[#This Row],[Units]]&lt;&gt;"",tblFleet[[#This Row],[Available_h]]&gt;0),tblFleet[[#This Row],[Operating_h]]/tblFleet[[#This Row],[Available_h]],"")</f>
        <v/>
      </c>
    </row>
    <row r="370">
      <c r="A370" s="54" t="n"/>
      <c r="B370" s="61" t="n"/>
      <c r="C370" s="62" t="n"/>
      <c r="D370" s="57" t="n"/>
      <c r="E370" s="57" t="n"/>
      <c r="F370" s="58" t="n"/>
      <c r="G370" s="66">
        <f>IF(tblFleet[[#This Row],[Units]]="","",tblFleet[[#This Row],[Units]]*cfg_HoursPerDay)</f>
        <v/>
      </c>
      <c r="H370" s="66">
        <f>IF(tblFleet[[#This Row],[Units]]="","",tblFleet[[#This Row],[Calendar_h]]-tblFleet[[#This Row],[Down_h]])</f>
        <v/>
      </c>
      <c r="I370" s="60">
        <f>IF(AND(tblFleet[[#This Row],[Units]]&lt;&gt;"",tblFleet[[#This Row],[Calendar_h]]&gt;0),tblFleet[[#This Row],[Available_h]]/tblFleet[[#This Row],[Calendar_h]],"")</f>
        <v/>
      </c>
      <c r="J370" s="60">
        <f>IF(AND(tblFleet[[#This Row],[Units]]&lt;&gt;"",tblFleet[[#This Row],[Available_h]]&gt;0),tblFleet[[#This Row],[Operating_h]]/tblFleet[[#This Row],[Available_h]],"")</f>
        <v/>
      </c>
    </row>
    <row r="371">
      <c r="A371" s="54" t="n"/>
      <c r="B371" s="61" t="n"/>
      <c r="C371" s="62" t="n"/>
      <c r="D371" s="57" t="n"/>
      <c r="E371" s="57" t="n"/>
      <c r="F371" s="58" t="n"/>
      <c r="G371" s="66">
        <f>IF(tblFleet[[#This Row],[Units]]="","",tblFleet[[#This Row],[Units]]*cfg_HoursPerDay)</f>
        <v/>
      </c>
      <c r="H371" s="66">
        <f>IF(tblFleet[[#This Row],[Units]]="","",tblFleet[[#This Row],[Calendar_h]]-tblFleet[[#This Row],[Down_h]])</f>
        <v/>
      </c>
      <c r="I371" s="60">
        <f>IF(AND(tblFleet[[#This Row],[Units]]&lt;&gt;"",tblFleet[[#This Row],[Calendar_h]]&gt;0),tblFleet[[#This Row],[Available_h]]/tblFleet[[#This Row],[Calendar_h]],"")</f>
        <v/>
      </c>
      <c r="J371" s="60">
        <f>IF(AND(tblFleet[[#This Row],[Units]]&lt;&gt;"",tblFleet[[#This Row],[Available_h]]&gt;0),tblFleet[[#This Row],[Operating_h]]/tblFleet[[#This Row],[Available_h]],"")</f>
        <v/>
      </c>
    </row>
    <row r="372">
      <c r="A372" s="54" t="n"/>
      <c r="B372" s="61" t="n"/>
      <c r="C372" s="62" t="n"/>
      <c r="D372" s="57" t="n"/>
      <c r="E372" s="57" t="n"/>
      <c r="F372" s="58" t="n"/>
      <c r="G372" s="66">
        <f>IF(tblFleet[[#This Row],[Units]]="","",tblFleet[[#This Row],[Units]]*cfg_HoursPerDay)</f>
        <v/>
      </c>
      <c r="H372" s="66">
        <f>IF(tblFleet[[#This Row],[Units]]="","",tblFleet[[#This Row],[Calendar_h]]-tblFleet[[#This Row],[Down_h]])</f>
        <v/>
      </c>
      <c r="I372" s="60">
        <f>IF(AND(tblFleet[[#This Row],[Units]]&lt;&gt;"",tblFleet[[#This Row],[Calendar_h]]&gt;0),tblFleet[[#This Row],[Available_h]]/tblFleet[[#This Row],[Calendar_h]],"")</f>
        <v/>
      </c>
      <c r="J372" s="60">
        <f>IF(AND(tblFleet[[#This Row],[Units]]&lt;&gt;"",tblFleet[[#This Row],[Available_h]]&gt;0),tblFleet[[#This Row],[Operating_h]]/tblFleet[[#This Row],[Available_h]],"")</f>
        <v/>
      </c>
    </row>
    <row r="373">
      <c r="A373" s="54" t="n"/>
      <c r="B373" s="61" t="n"/>
      <c r="C373" s="62" t="n"/>
      <c r="D373" s="57" t="n"/>
      <c r="E373" s="57" t="n"/>
      <c r="F373" s="58" t="n"/>
      <c r="G373" s="66">
        <f>IF(tblFleet[[#This Row],[Units]]="","",tblFleet[[#This Row],[Units]]*cfg_HoursPerDay)</f>
        <v/>
      </c>
      <c r="H373" s="66">
        <f>IF(tblFleet[[#This Row],[Units]]="","",tblFleet[[#This Row],[Calendar_h]]-tblFleet[[#This Row],[Down_h]])</f>
        <v/>
      </c>
      <c r="I373" s="60">
        <f>IF(AND(tblFleet[[#This Row],[Units]]&lt;&gt;"",tblFleet[[#This Row],[Calendar_h]]&gt;0),tblFleet[[#This Row],[Available_h]]/tblFleet[[#This Row],[Calendar_h]],"")</f>
        <v/>
      </c>
      <c r="J373" s="60">
        <f>IF(AND(tblFleet[[#This Row],[Units]]&lt;&gt;"",tblFleet[[#This Row],[Available_h]]&gt;0),tblFleet[[#This Row],[Operating_h]]/tblFleet[[#This Row],[Available_h]],"")</f>
        <v/>
      </c>
    </row>
    <row r="374">
      <c r="A374" s="54" t="n"/>
      <c r="B374" s="61" t="n"/>
      <c r="C374" s="62" t="n"/>
      <c r="D374" s="57" t="n"/>
      <c r="E374" s="57" t="n"/>
      <c r="F374" s="58" t="n"/>
      <c r="G374" s="66">
        <f>IF(tblFleet[[#This Row],[Units]]="","",tblFleet[[#This Row],[Units]]*cfg_HoursPerDay)</f>
        <v/>
      </c>
      <c r="H374" s="66">
        <f>IF(tblFleet[[#This Row],[Units]]="","",tblFleet[[#This Row],[Calendar_h]]-tblFleet[[#This Row],[Down_h]])</f>
        <v/>
      </c>
      <c r="I374" s="60">
        <f>IF(AND(tblFleet[[#This Row],[Units]]&lt;&gt;"",tblFleet[[#This Row],[Calendar_h]]&gt;0),tblFleet[[#This Row],[Available_h]]/tblFleet[[#This Row],[Calendar_h]],"")</f>
        <v/>
      </c>
      <c r="J374" s="60">
        <f>IF(AND(tblFleet[[#This Row],[Units]]&lt;&gt;"",tblFleet[[#This Row],[Available_h]]&gt;0),tblFleet[[#This Row],[Operating_h]]/tblFleet[[#This Row],[Available_h]],"")</f>
        <v/>
      </c>
    </row>
    <row r="375">
      <c r="A375" s="54" t="n"/>
      <c r="B375" s="61" t="n"/>
      <c r="C375" s="62" t="n"/>
      <c r="D375" s="57" t="n"/>
      <c r="E375" s="57" t="n"/>
      <c r="F375" s="58" t="n"/>
      <c r="G375" s="66">
        <f>IF(tblFleet[[#This Row],[Units]]="","",tblFleet[[#This Row],[Units]]*cfg_HoursPerDay)</f>
        <v/>
      </c>
      <c r="H375" s="66">
        <f>IF(tblFleet[[#This Row],[Units]]="","",tblFleet[[#This Row],[Calendar_h]]-tblFleet[[#This Row],[Down_h]])</f>
        <v/>
      </c>
      <c r="I375" s="60">
        <f>IF(AND(tblFleet[[#This Row],[Units]]&lt;&gt;"",tblFleet[[#This Row],[Calendar_h]]&gt;0),tblFleet[[#This Row],[Available_h]]/tblFleet[[#This Row],[Calendar_h]],"")</f>
        <v/>
      </c>
      <c r="J375" s="60">
        <f>IF(AND(tblFleet[[#This Row],[Units]]&lt;&gt;"",tblFleet[[#This Row],[Available_h]]&gt;0),tblFleet[[#This Row],[Operating_h]]/tblFleet[[#This Row],[Available_h]],"")</f>
        <v/>
      </c>
    </row>
    <row r="376">
      <c r="A376" s="54" t="n"/>
      <c r="B376" s="61" t="n"/>
      <c r="C376" s="62" t="n"/>
      <c r="D376" s="57" t="n"/>
      <c r="E376" s="57" t="n"/>
      <c r="F376" s="58" t="n"/>
      <c r="G376" s="66">
        <f>IF(tblFleet[[#This Row],[Units]]="","",tblFleet[[#This Row],[Units]]*cfg_HoursPerDay)</f>
        <v/>
      </c>
      <c r="H376" s="66">
        <f>IF(tblFleet[[#This Row],[Units]]="","",tblFleet[[#This Row],[Calendar_h]]-tblFleet[[#This Row],[Down_h]])</f>
        <v/>
      </c>
      <c r="I376" s="60">
        <f>IF(AND(tblFleet[[#This Row],[Units]]&lt;&gt;"",tblFleet[[#This Row],[Calendar_h]]&gt;0),tblFleet[[#This Row],[Available_h]]/tblFleet[[#This Row],[Calendar_h]],"")</f>
        <v/>
      </c>
      <c r="J376" s="60">
        <f>IF(AND(tblFleet[[#This Row],[Units]]&lt;&gt;"",tblFleet[[#This Row],[Available_h]]&gt;0),tblFleet[[#This Row],[Operating_h]]/tblFleet[[#This Row],[Available_h]],"")</f>
        <v/>
      </c>
    </row>
    <row r="377">
      <c r="A377" s="54" t="n"/>
      <c r="B377" s="61" t="n"/>
      <c r="C377" s="62" t="n"/>
      <c r="D377" s="57" t="n"/>
      <c r="E377" s="57" t="n"/>
      <c r="F377" s="58" t="n"/>
      <c r="G377" s="66">
        <f>IF(tblFleet[[#This Row],[Units]]="","",tblFleet[[#This Row],[Units]]*cfg_HoursPerDay)</f>
        <v/>
      </c>
      <c r="H377" s="66">
        <f>IF(tblFleet[[#This Row],[Units]]="","",tblFleet[[#This Row],[Calendar_h]]-tblFleet[[#This Row],[Down_h]])</f>
        <v/>
      </c>
      <c r="I377" s="60">
        <f>IF(AND(tblFleet[[#This Row],[Units]]&lt;&gt;"",tblFleet[[#This Row],[Calendar_h]]&gt;0),tblFleet[[#This Row],[Available_h]]/tblFleet[[#This Row],[Calendar_h]],"")</f>
        <v/>
      </c>
      <c r="J377" s="60">
        <f>IF(AND(tblFleet[[#This Row],[Units]]&lt;&gt;"",tblFleet[[#This Row],[Available_h]]&gt;0),tblFleet[[#This Row],[Operating_h]]/tblFleet[[#This Row],[Available_h]],"")</f>
        <v/>
      </c>
    </row>
    <row r="378">
      <c r="A378" s="54" t="n"/>
      <c r="B378" s="61" t="n"/>
      <c r="C378" s="62" t="n"/>
      <c r="D378" s="57" t="n"/>
      <c r="E378" s="57" t="n"/>
      <c r="F378" s="58" t="n"/>
      <c r="G378" s="66">
        <f>IF(tblFleet[[#This Row],[Units]]="","",tblFleet[[#This Row],[Units]]*cfg_HoursPerDay)</f>
        <v/>
      </c>
      <c r="H378" s="66">
        <f>IF(tblFleet[[#This Row],[Units]]="","",tblFleet[[#This Row],[Calendar_h]]-tblFleet[[#This Row],[Down_h]])</f>
        <v/>
      </c>
      <c r="I378" s="60">
        <f>IF(AND(tblFleet[[#This Row],[Units]]&lt;&gt;"",tblFleet[[#This Row],[Calendar_h]]&gt;0),tblFleet[[#This Row],[Available_h]]/tblFleet[[#This Row],[Calendar_h]],"")</f>
        <v/>
      </c>
      <c r="J378" s="60">
        <f>IF(AND(tblFleet[[#This Row],[Units]]&lt;&gt;"",tblFleet[[#This Row],[Available_h]]&gt;0),tblFleet[[#This Row],[Operating_h]]/tblFleet[[#This Row],[Available_h]],"")</f>
        <v/>
      </c>
    </row>
    <row r="379">
      <c r="A379" s="54" t="n"/>
      <c r="B379" s="61" t="n"/>
      <c r="C379" s="62" t="n"/>
      <c r="D379" s="57" t="n"/>
      <c r="E379" s="57" t="n"/>
      <c r="F379" s="58" t="n"/>
      <c r="G379" s="66">
        <f>IF(tblFleet[[#This Row],[Units]]="","",tblFleet[[#This Row],[Units]]*cfg_HoursPerDay)</f>
        <v/>
      </c>
      <c r="H379" s="66">
        <f>IF(tblFleet[[#This Row],[Units]]="","",tblFleet[[#This Row],[Calendar_h]]-tblFleet[[#This Row],[Down_h]])</f>
        <v/>
      </c>
      <c r="I379" s="60">
        <f>IF(AND(tblFleet[[#This Row],[Units]]&lt;&gt;"",tblFleet[[#This Row],[Calendar_h]]&gt;0),tblFleet[[#This Row],[Available_h]]/tblFleet[[#This Row],[Calendar_h]],"")</f>
        <v/>
      </c>
      <c r="J379" s="60">
        <f>IF(AND(tblFleet[[#This Row],[Units]]&lt;&gt;"",tblFleet[[#This Row],[Available_h]]&gt;0),tblFleet[[#This Row],[Operating_h]]/tblFleet[[#This Row],[Available_h]],"")</f>
        <v/>
      </c>
    </row>
    <row r="380">
      <c r="A380" s="54" t="n"/>
      <c r="B380" s="61" t="n"/>
      <c r="C380" s="62" t="n"/>
      <c r="D380" s="57" t="n"/>
      <c r="E380" s="57" t="n"/>
      <c r="F380" s="58" t="n"/>
      <c r="G380" s="66">
        <f>IF(tblFleet[[#This Row],[Units]]="","",tblFleet[[#This Row],[Units]]*cfg_HoursPerDay)</f>
        <v/>
      </c>
      <c r="H380" s="66">
        <f>IF(tblFleet[[#This Row],[Units]]="","",tblFleet[[#This Row],[Calendar_h]]-tblFleet[[#This Row],[Down_h]])</f>
        <v/>
      </c>
      <c r="I380" s="60">
        <f>IF(AND(tblFleet[[#This Row],[Units]]&lt;&gt;"",tblFleet[[#This Row],[Calendar_h]]&gt;0),tblFleet[[#This Row],[Available_h]]/tblFleet[[#This Row],[Calendar_h]],"")</f>
        <v/>
      </c>
      <c r="J380" s="60">
        <f>IF(AND(tblFleet[[#This Row],[Units]]&lt;&gt;"",tblFleet[[#This Row],[Available_h]]&gt;0),tblFleet[[#This Row],[Operating_h]]/tblFleet[[#This Row],[Available_h]],"")</f>
        <v/>
      </c>
    </row>
    <row r="381">
      <c r="A381" s="54" t="n"/>
      <c r="B381" s="61" t="n"/>
      <c r="C381" s="62" t="n"/>
      <c r="D381" s="57" t="n"/>
      <c r="E381" s="57" t="n"/>
      <c r="F381" s="58" t="n"/>
      <c r="G381" s="66">
        <f>IF(tblFleet[[#This Row],[Units]]="","",tblFleet[[#This Row],[Units]]*cfg_HoursPerDay)</f>
        <v/>
      </c>
      <c r="H381" s="66">
        <f>IF(tblFleet[[#This Row],[Units]]="","",tblFleet[[#This Row],[Calendar_h]]-tblFleet[[#This Row],[Down_h]])</f>
        <v/>
      </c>
      <c r="I381" s="60">
        <f>IF(AND(tblFleet[[#This Row],[Units]]&lt;&gt;"",tblFleet[[#This Row],[Calendar_h]]&gt;0),tblFleet[[#This Row],[Available_h]]/tblFleet[[#This Row],[Calendar_h]],"")</f>
        <v/>
      </c>
      <c r="J381" s="60">
        <f>IF(AND(tblFleet[[#This Row],[Units]]&lt;&gt;"",tblFleet[[#This Row],[Available_h]]&gt;0),tblFleet[[#This Row],[Operating_h]]/tblFleet[[#This Row],[Available_h]],"")</f>
        <v/>
      </c>
    </row>
    <row r="382">
      <c r="A382" s="54" t="n"/>
      <c r="B382" s="61" t="n"/>
      <c r="C382" s="62" t="n"/>
      <c r="D382" s="57" t="n"/>
      <c r="E382" s="57" t="n"/>
      <c r="F382" s="58" t="n"/>
      <c r="G382" s="66">
        <f>IF(tblFleet[[#This Row],[Units]]="","",tblFleet[[#This Row],[Units]]*cfg_HoursPerDay)</f>
        <v/>
      </c>
      <c r="H382" s="66">
        <f>IF(tblFleet[[#This Row],[Units]]="","",tblFleet[[#This Row],[Calendar_h]]-tblFleet[[#This Row],[Down_h]])</f>
        <v/>
      </c>
      <c r="I382" s="60">
        <f>IF(AND(tblFleet[[#This Row],[Units]]&lt;&gt;"",tblFleet[[#This Row],[Calendar_h]]&gt;0),tblFleet[[#This Row],[Available_h]]/tblFleet[[#This Row],[Calendar_h]],"")</f>
        <v/>
      </c>
      <c r="J382" s="60">
        <f>IF(AND(tblFleet[[#This Row],[Units]]&lt;&gt;"",tblFleet[[#This Row],[Available_h]]&gt;0),tblFleet[[#This Row],[Operating_h]]/tblFleet[[#This Row],[Available_h]],"")</f>
        <v/>
      </c>
    </row>
    <row r="383">
      <c r="A383" s="54" t="n"/>
      <c r="B383" s="61" t="n"/>
      <c r="C383" s="62" t="n"/>
      <c r="D383" s="57" t="n"/>
      <c r="E383" s="57" t="n"/>
      <c r="F383" s="58" t="n"/>
      <c r="G383" s="66">
        <f>IF(tblFleet[[#This Row],[Units]]="","",tblFleet[[#This Row],[Units]]*cfg_HoursPerDay)</f>
        <v/>
      </c>
      <c r="H383" s="66">
        <f>IF(tblFleet[[#This Row],[Units]]="","",tblFleet[[#This Row],[Calendar_h]]-tblFleet[[#This Row],[Down_h]])</f>
        <v/>
      </c>
      <c r="I383" s="60">
        <f>IF(AND(tblFleet[[#This Row],[Units]]&lt;&gt;"",tblFleet[[#This Row],[Calendar_h]]&gt;0),tblFleet[[#This Row],[Available_h]]/tblFleet[[#This Row],[Calendar_h]],"")</f>
        <v/>
      </c>
      <c r="J383" s="60">
        <f>IF(AND(tblFleet[[#This Row],[Units]]&lt;&gt;"",tblFleet[[#This Row],[Available_h]]&gt;0),tblFleet[[#This Row],[Operating_h]]/tblFleet[[#This Row],[Available_h]],"")</f>
        <v/>
      </c>
    </row>
    <row r="384">
      <c r="A384" s="54" t="n"/>
      <c r="B384" s="61" t="n"/>
      <c r="C384" s="62" t="n"/>
      <c r="D384" s="57" t="n"/>
      <c r="E384" s="57" t="n"/>
      <c r="F384" s="58" t="n"/>
      <c r="G384" s="66">
        <f>IF(tblFleet[[#This Row],[Units]]="","",tblFleet[[#This Row],[Units]]*cfg_HoursPerDay)</f>
        <v/>
      </c>
      <c r="H384" s="66">
        <f>IF(tblFleet[[#This Row],[Units]]="","",tblFleet[[#This Row],[Calendar_h]]-tblFleet[[#This Row],[Down_h]])</f>
        <v/>
      </c>
      <c r="I384" s="60">
        <f>IF(AND(tblFleet[[#This Row],[Units]]&lt;&gt;"",tblFleet[[#This Row],[Calendar_h]]&gt;0),tblFleet[[#This Row],[Available_h]]/tblFleet[[#This Row],[Calendar_h]],"")</f>
        <v/>
      </c>
      <c r="J384" s="60">
        <f>IF(AND(tblFleet[[#This Row],[Units]]&lt;&gt;"",tblFleet[[#This Row],[Available_h]]&gt;0),tblFleet[[#This Row],[Operating_h]]/tblFleet[[#This Row],[Available_h]],"")</f>
        <v/>
      </c>
    </row>
    <row r="385">
      <c r="A385" s="54" t="n"/>
      <c r="B385" s="61" t="n"/>
      <c r="C385" s="62" t="n"/>
      <c r="D385" s="57" t="n"/>
      <c r="E385" s="57" t="n"/>
      <c r="F385" s="58" t="n"/>
      <c r="G385" s="66">
        <f>IF(tblFleet[[#This Row],[Units]]="","",tblFleet[[#This Row],[Units]]*cfg_HoursPerDay)</f>
        <v/>
      </c>
      <c r="H385" s="66">
        <f>IF(tblFleet[[#This Row],[Units]]="","",tblFleet[[#This Row],[Calendar_h]]-tblFleet[[#This Row],[Down_h]])</f>
        <v/>
      </c>
      <c r="I385" s="60">
        <f>IF(AND(tblFleet[[#This Row],[Units]]&lt;&gt;"",tblFleet[[#This Row],[Calendar_h]]&gt;0),tblFleet[[#This Row],[Available_h]]/tblFleet[[#This Row],[Calendar_h]],"")</f>
        <v/>
      </c>
      <c r="J385" s="60">
        <f>IF(AND(tblFleet[[#This Row],[Units]]&lt;&gt;"",tblFleet[[#This Row],[Available_h]]&gt;0),tblFleet[[#This Row],[Operating_h]]/tblFleet[[#This Row],[Available_h]],"")</f>
        <v/>
      </c>
    </row>
    <row r="386">
      <c r="A386" s="54" t="n"/>
      <c r="B386" s="61" t="n"/>
      <c r="C386" s="62" t="n"/>
      <c r="D386" s="57" t="n"/>
      <c r="E386" s="57" t="n"/>
      <c r="F386" s="58" t="n"/>
      <c r="G386" s="66">
        <f>IF(tblFleet[[#This Row],[Units]]="","",tblFleet[[#This Row],[Units]]*cfg_HoursPerDay)</f>
        <v/>
      </c>
      <c r="H386" s="66">
        <f>IF(tblFleet[[#This Row],[Units]]="","",tblFleet[[#This Row],[Calendar_h]]-tblFleet[[#This Row],[Down_h]])</f>
        <v/>
      </c>
      <c r="I386" s="60">
        <f>IF(AND(tblFleet[[#This Row],[Units]]&lt;&gt;"",tblFleet[[#This Row],[Calendar_h]]&gt;0),tblFleet[[#This Row],[Available_h]]/tblFleet[[#This Row],[Calendar_h]],"")</f>
        <v/>
      </c>
      <c r="J386" s="60">
        <f>IF(AND(tblFleet[[#This Row],[Units]]&lt;&gt;"",tblFleet[[#This Row],[Available_h]]&gt;0),tblFleet[[#This Row],[Operating_h]]/tblFleet[[#This Row],[Available_h]],"")</f>
        <v/>
      </c>
    </row>
    <row r="387">
      <c r="A387" s="54" t="n"/>
      <c r="B387" s="61" t="n"/>
      <c r="C387" s="62" t="n"/>
      <c r="D387" s="57" t="n"/>
      <c r="E387" s="57" t="n"/>
      <c r="F387" s="58" t="n"/>
      <c r="G387" s="66">
        <f>IF(tblFleet[[#This Row],[Units]]="","",tblFleet[[#This Row],[Units]]*cfg_HoursPerDay)</f>
        <v/>
      </c>
      <c r="H387" s="66">
        <f>IF(tblFleet[[#This Row],[Units]]="","",tblFleet[[#This Row],[Calendar_h]]-tblFleet[[#This Row],[Down_h]])</f>
        <v/>
      </c>
      <c r="I387" s="60">
        <f>IF(AND(tblFleet[[#This Row],[Units]]&lt;&gt;"",tblFleet[[#This Row],[Calendar_h]]&gt;0),tblFleet[[#This Row],[Available_h]]/tblFleet[[#This Row],[Calendar_h]],"")</f>
        <v/>
      </c>
      <c r="J387" s="60">
        <f>IF(AND(tblFleet[[#This Row],[Units]]&lt;&gt;"",tblFleet[[#This Row],[Available_h]]&gt;0),tblFleet[[#This Row],[Operating_h]]/tblFleet[[#This Row],[Available_h]],"")</f>
        <v/>
      </c>
    </row>
    <row r="388">
      <c r="A388" s="54" t="n"/>
      <c r="B388" s="61" t="n"/>
      <c r="C388" s="62" t="n"/>
      <c r="D388" s="57" t="n"/>
      <c r="E388" s="57" t="n"/>
      <c r="F388" s="58" t="n"/>
      <c r="G388" s="66">
        <f>IF(tblFleet[[#This Row],[Units]]="","",tblFleet[[#This Row],[Units]]*cfg_HoursPerDay)</f>
        <v/>
      </c>
      <c r="H388" s="66">
        <f>IF(tblFleet[[#This Row],[Units]]="","",tblFleet[[#This Row],[Calendar_h]]-tblFleet[[#This Row],[Down_h]])</f>
        <v/>
      </c>
      <c r="I388" s="60">
        <f>IF(AND(tblFleet[[#This Row],[Units]]&lt;&gt;"",tblFleet[[#This Row],[Calendar_h]]&gt;0),tblFleet[[#This Row],[Available_h]]/tblFleet[[#This Row],[Calendar_h]],"")</f>
        <v/>
      </c>
      <c r="J388" s="60">
        <f>IF(AND(tblFleet[[#This Row],[Units]]&lt;&gt;"",tblFleet[[#This Row],[Available_h]]&gt;0),tblFleet[[#This Row],[Operating_h]]/tblFleet[[#This Row],[Available_h]],"")</f>
        <v/>
      </c>
    </row>
    <row r="389">
      <c r="A389" s="54" t="n"/>
      <c r="B389" s="61" t="n"/>
      <c r="C389" s="62" t="n"/>
      <c r="D389" s="57" t="n"/>
      <c r="E389" s="57" t="n"/>
      <c r="F389" s="58" t="n"/>
      <c r="G389" s="66">
        <f>IF(tblFleet[[#This Row],[Units]]="","",tblFleet[[#This Row],[Units]]*cfg_HoursPerDay)</f>
        <v/>
      </c>
      <c r="H389" s="66">
        <f>IF(tblFleet[[#This Row],[Units]]="","",tblFleet[[#This Row],[Calendar_h]]-tblFleet[[#This Row],[Down_h]])</f>
        <v/>
      </c>
      <c r="I389" s="60">
        <f>IF(AND(tblFleet[[#This Row],[Units]]&lt;&gt;"",tblFleet[[#This Row],[Calendar_h]]&gt;0),tblFleet[[#This Row],[Available_h]]/tblFleet[[#This Row],[Calendar_h]],"")</f>
        <v/>
      </c>
      <c r="J389" s="60">
        <f>IF(AND(tblFleet[[#This Row],[Units]]&lt;&gt;"",tblFleet[[#This Row],[Available_h]]&gt;0),tblFleet[[#This Row],[Operating_h]]/tblFleet[[#This Row],[Available_h]],"")</f>
        <v/>
      </c>
    </row>
    <row r="390">
      <c r="A390" s="54" t="n"/>
      <c r="B390" s="61" t="n"/>
      <c r="C390" s="62" t="n"/>
      <c r="D390" s="57" t="n"/>
      <c r="E390" s="57" t="n"/>
      <c r="F390" s="58" t="n"/>
      <c r="G390" s="66">
        <f>IF(tblFleet[[#This Row],[Units]]="","",tblFleet[[#This Row],[Units]]*cfg_HoursPerDay)</f>
        <v/>
      </c>
      <c r="H390" s="66">
        <f>IF(tblFleet[[#This Row],[Units]]="","",tblFleet[[#This Row],[Calendar_h]]-tblFleet[[#This Row],[Down_h]])</f>
        <v/>
      </c>
      <c r="I390" s="60">
        <f>IF(AND(tblFleet[[#This Row],[Units]]&lt;&gt;"",tblFleet[[#This Row],[Calendar_h]]&gt;0),tblFleet[[#This Row],[Available_h]]/tblFleet[[#This Row],[Calendar_h]],"")</f>
        <v/>
      </c>
      <c r="J390" s="60">
        <f>IF(AND(tblFleet[[#This Row],[Units]]&lt;&gt;"",tblFleet[[#This Row],[Available_h]]&gt;0),tblFleet[[#This Row],[Operating_h]]/tblFleet[[#This Row],[Available_h]],"")</f>
        <v/>
      </c>
    </row>
    <row r="391">
      <c r="A391" s="54" t="n"/>
      <c r="B391" s="61" t="n"/>
      <c r="C391" s="62" t="n"/>
      <c r="D391" s="57" t="n"/>
      <c r="E391" s="57" t="n"/>
      <c r="F391" s="58" t="n"/>
      <c r="G391" s="66">
        <f>IF(tblFleet[[#This Row],[Units]]="","",tblFleet[[#This Row],[Units]]*cfg_HoursPerDay)</f>
        <v/>
      </c>
      <c r="H391" s="66">
        <f>IF(tblFleet[[#This Row],[Units]]="","",tblFleet[[#This Row],[Calendar_h]]-tblFleet[[#This Row],[Down_h]])</f>
        <v/>
      </c>
      <c r="I391" s="60">
        <f>IF(AND(tblFleet[[#This Row],[Units]]&lt;&gt;"",tblFleet[[#This Row],[Calendar_h]]&gt;0),tblFleet[[#This Row],[Available_h]]/tblFleet[[#This Row],[Calendar_h]],"")</f>
        <v/>
      </c>
      <c r="J391" s="60">
        <f>IF(AND(tblFleet[[#This Row],[Units]]&lt;&gt;"",tblFleet[[#This Row],[Available_h]]&gt;0),tblFleet[[#This Row],[Operating_h]]/tblFleet[[#This Row],[Available_h]],"")</f>
        <v/>
      </c>
    </row>
    <row r="392">
      <c r="A392" s="54" t="n"/>
      <c r="B392" s="61" t="n"/>
      <c r="C392" s="62" t="n"/>
      <c r="D392" s="57" t="n"/>
      <c r="E392" s="57" t="n"/>
      <c r="F392" s="58" t="n"/>
      <c r="G392" s="66">
        <f>IF(tblFleet[[#This Row],[Units]]="","",tblFleet[[#This Row],[Units]]*cfg_HoursPerDay)</f>
        <v/>
      </c>
      <c r="H392" s="66">
        <f>IF(tblFleet[[#This Row],[Units]]="","",tblFleet[[#This Row],[Calendar_h]]-tblFleet[[#This Row],[Down_h]])</f>
        <v/>
      </c>
      <c r="I392" s="60">
        <f>IF(AND(tblFleet[[#This Row],[Units]]&lt;&gt;"",tblFleet[[#This Row],[Calendar_h]]&gt;0),tblFleet[[#This Row],[Available_h]]/tblFleet[[#This Row],[Calendar_h]],"")</f>
        <v/>
      </c>
      <c r="J392" s="60">
        <f>IF(AND(tblFleet[[#This Row],[Units]]&lt;&gt;"",tblFleet[[#This Row],[Available_h]]&gt;0),tblFleet[[#This Row],[Operating_h]]/tblFleet[[#This Row],[Available_h]],"")</f>
        <v/>
      </c>
    </row>
    <row r="393">
      <c r="A393" s="54" t="n"/>
      <c r="B393" s="61" t="n"/>
      <c r="C393" s="62" t="n"/>
      <c r="D393" s="57" t="n"/>
      <c r="E393" s="57" t="n"/>
      <c r="F393" s="58" t="n"/>
      <c r="G393" s="66">
        <f>IF(tblFleet[[#This Row],[Units]]="","",tblFleet[[#This Row],[Units]]*cfg_HoursPerDay)</f>
        <v/>
      </c>
      <c r="H393" s="66">
        <f>IF(tblFleet[[#This Row],[Units]]="","",tblFleet[[#This Row],[Calendar_h]]-tblFleet[[#This Row],[Down_h]])</f>
        <v/>
      </c>
      <c r="I393" s="60">
        <f>IF(AND(tblFleet[[#This Row],[Units]]&lt;&gt;"",tblFleet[[#This Row],[Calendar_h]]&gt;0),tblFleet[[#This Row],[Available_h]]/tblFleet[[#This Row],[Calendar_h]],"")</f>
        <v/>
      </c>
      <c r="J393" s="60">
        <f>IF(AND(tblFleet[[#This Row],[Units]]&lt;&gt;"",tblFleet[[#This Row],[Available_h]]&gt;0),tblFleet[[#This Row],[Operating_h]]/tblFleet[[#This Row],[Available_h]],"")</f>
        <v/>
      </c>
    </row>
    <row r="394">
      <c r="A394" s="54" t="n"/>
      <c r="B394" s="61" t="n"/>
      <c r="C394" s="62" t="n"/>
      <c r="D394" s="57" t="n"/>
      <c r="E394" s="57" t="n"/>
      <c r="F394" s="58" t="n"/>
      <c r="G394" s="66">
        <f>IF(tblFleet[[#This Row],[Units]]="","",tblFleet[[#This Row],[Units]]*cfg_HoursPerDay)</f>
        <v/>
      </c>
      <c r="H394" s="66">
        <f>IF(tblFleet[[#This Row],[Units]]="","",tblFleet[[#This Row],[Calendar_h]]-tblFleet[[#This Row],[Down_h]])</f>
        <v/>
      </c>
      <c r="I394" s="60">
        <f>IF(AND(tblFleet[[#This Row],[Units]]&lt;&gt;"",tblFleet[[#This Row],[Calendar_h]]&gt;0),tblFleet[[#This Row],[Available_h]]/tblFleet[[#This Row],[Calendar_h]],"")</f>
        <v/>
      </c>
      <c r="J394" s="60">
        <f>IF(AND(tblFleet[[#This Row],[Units]]&lt;&gt;"",tblFleet[[#This Row],[Available_h]]&gt;0),tblFleet[[#This Row],[Operating_h]]/tblFleet[[#This Row],[Available_h]],"")</f>
        <v/>
      </c>
    </row>
    <row r="395">
      <c r="A395" s="54" t="n"/>
      <c r="B395" s="61" t="n"/>
      <c r="C395" s="62" t="n"/>
      <c r="D395" s="57" t="n"/>
      <c r="E395" s="57" t="n"/>
      <c r="F395" s="58" t="n"/>
      <c r="G395" s="66">
        <f>IF(tblFleet[[#This Row],[Units]]="","",tblFleet[[#This Row],[Units]]*cfg_HoursPerDay)</f>
        <v/>
      </c>
      <c r="H395" s="66">
        <f>IF(tblFleet[[#This Row],[Units]]="","",tblFleet[[#This Row],[Calendar_h]]-tblFleet[[#This Row],[Down_h]])</f>
        <v/>
      </c>
      <c r="I395" s="60">
        <f>IF(AND(tblFleet[[#This Row],[Units]]&lt;&gt;"",tblFleet[[#This Row],[Calendar_h]]&gt;0),tblFleet[[#This Row],[Available_h]]/tblFleet[[#This Row],[Calendar_h]],"")</f>
        <v/>
      </c>
      <c r="J395" s="60">
        <f>IF(AND(tblFleet[[#This Row],[Units]]&lt;&gt;"",tblFleet[[#This Row],[Available_h]]&gt;0),tblFleet[[#This Row],[Operating_h]]/tblFleet[[#This Row],[Available_h]],"")</f>
        <v/>
      </c>
    </row>
    <row r="396">
      <c r="A396" s="54" t="n"/>
      <c r="B396" s="61" t="n"/>
      <c r="C396" s="62" t="n"/>
      <c r="D396" s="57" t="n"/>
      <c r="E396" s="57" t="n"/>
      <c r="F396" s="58" t="n"/>
      <c r="G396" s="66">
        <f>IF(tblFleet[[#This Row],[Units]]="","",tblFleet[[#This Row],[Units]]*cfg_HoursPerDay)</f>
        <v/>
      </c>
      <c r="H396" s="66">
        <f>IF(tblFleet[[#This Row],[Units]]="","",tblFleet[[#This Row],[Calendar_h]]-tblFleet[[#This Row],[Down_h]])</f>
        <v/>
      </c>
      <c r="I396" s="60">
        <f>IF(AND(tblFleet[[#This Row],[Units]]&lt;&gt;"",tblFleet[[#This Row],[Calendar_h]]&gt;0),tblFleet[[#This Row],[Available_h]]/tblFleet[[#This Row],[Calendar_h]],"")</f>
        <v/>
      </c>
      <c r="J396" s="60">
        <f>IF(AND(tblFleet[[#This Row],[Units]]&lt;&gt;"",tblFleet[[#This Row],[Available_h]]&gt;0),tblFleet[[#This Row],[Operating_h]]/tblFleet[[#This Row],[Available_h]],"")</f>
        <v/>
      </c>
    </row>
    <row r="397">
      <c r="A397" s="54" t="n"/>
      <c r="B397" s="61" t="n"/>
      <c r="C397" s="62" t="n"/>
      <c r="D397" s="57" t="n"/>
      <c r="E397" s="57" t="n"/>
      <c r="F397" s="58" t="n"/>
      <c r="G397" s="66">
        <f>IF(tblFleet[[#This Row],[Units]]="","",tblFleet[[#This Row],[Units]]*cfg_HoursPerDay)</f>
        <v/>
      </c>
      <c r="H397" s="66">
        <f>IF(tblFleet[[#This Row],[Units]]="","",tblFleet[[#This Row],[Calendar_h]]-tblFleet[[#This Row],[Down_h]])</f>
        <v/>
      </c>
      <c r="I397" s="60">
        <f>IF(AND(tblFleet[[#This Row],[Units]]&lt;&gt;"",tblFleet[[#This Row],[Calendar_h]]&gt;0),tblFleet[[#This Row],[Available_h]]/tblFleet[[#This Row],[Calendar_h]],"")</f>
        <v/>
      </c>
      <c r="J397" s="60">
        <f>IF(AND(tblFleet[[#This Row],[Units]]&lt;&gt;"",tblFleet[[#This Row],[Available_h]]&gt;0),tblFleet[[#This Row],[Operating_h]]/tblFleet[[#This Row],[Available_h]],"")</f>
        <v/>
      </c>
    </row>
    <row r="398">
      <c r="A398" s="54" t="n"/>
      <c r="B398" s="61" t="n"/>
      <c r="C398" s="62" t="n"/>
      <c r="D398" s="57" t="n"/>
      <c r="E398" s="57" t="n"/>
      <c r="F398" s="58" t="n"/>
      <c r="G398" s="66">
        <f>IF(tblFleet[[#This Row],[Units]]="","",tblFleet[[#This Row],[Units]]*cfg_HoursPerDay)</f>
        <v/>
      </c>
      <c r="H398" s="66">
        <f>IF(tblFleet[[#This Row],[Units]]="","",tblFleet[[#This Row],[Calendar_h]]-tblFleet[[#This Row],[Down_h]])</f>
        <v/>
      </c>
      <c r="I398" s="60">
        <f>IF(AND(tblFleet[[#This Row],[Units]]&lt;&gt;"",tblFleet[[#This Row],[Calendar_h]]&gt;0),tblFleet[[#This Row],[Available_h]]/tblFleet[[#This Row],[Calendar_h]],"")</f>
        <v/>
      </c>
      <c r="J398" s="60">
        <f>IF(AND(tblFleet[[#This Row],[Units]]&lt;&gt;"",tblFleet[[#This Row],[Available_h]]&gt;0),tblFleet[[#This Row],[Operating_h]]/tblFleet[[#This Row],[Available_h]],"")</f>
        <v/>
      </c>
    </row>
    <row r="399">
      <c r="A399" s="54" t="n"/>
      <c r="B399" s="61" t="n"/>
      <c r="C399" s="62" t="n"/>
      <c r="D399" s="57" t="n"/>
      <c r="E399" s="57" t="n"/>
      <c r="F399" s="58" t="n"/>
      <c r="G399" s="66">
        <f>IF(tblFleet[[#This Row],[Units]]="","",tblFleet[[#This Row],[Units]]*cfg_HoursPerDay)</f>
        <v/>
      </c>
      <c r="H399" s="66">
        <f>IF(tblFleet[[#This Row],[Units]]="","",tblFleet[[#This Row],[Calendar_h]]-tblFleet[[#This Row],[Down_h]])</f>
        <v/>
      </c>
      <c r="I399" s="60">
        <f>IF(AND(tblFleet[[#This Row],[Units]]&lt;&gt;"",tblFleet[[#This Row],[Calendar_h]]&gt;0),tblFleet[[#This Row],[Available_h]]/tblFleet[[#This Row],[Calendar_h]],"")</f>
        <v/>
      </c>
      <c r="J399" s="60">
        <f>IF(AND(tblFleet[[#This Row],[Units]]&lt;&gt;"",tblFleet[[#This Row],[Available_h]]&gt;0),tblFleet[[#This Row],[Operating_h]]/tblFleet[[#This Row],[Available_h]],"")</f>
        <v/>
      </c>
    </row>
    <row r="400">
      <c r="A400" s="54" t="n"/>
      <c r="B400" s="61" t="n"/>
      <c r="C400" s="62" t="n"/>
      <c r="D400" s="57" t="n"/>
      <c r="E400" s="57" t="n"/>
      <c r="F400" s="58" t="n"/>
      <c r="G400" s="66">
        <f>IF(tblFleet[[#This Row],[Units]]="","",tblFleet[[#This Row],[Units]]*cfg_HoursPerDay)</f>
        <v/>
      </c>
      <c r="H400" s="66">
        <f>IF(tblFleet[[#This Row],[Units]]="","",tblFleet[[#This Row],[Calendar_h]]-tblFleet[[#This Row],[Down_h]])</f>
        <v/>
      </c>
      <c r="I400" s="60">
        <f>IF(AND(tblFleet[[#This Row],[Units]]&lt;&gt;"",tblFleet[[#This Row],[Calendar_h]]&gt;0),tblFleet[[#This Row],[Available_h]]/tblFleet[[#This Row],[Calendar_h]],"")</f>
        <v/>
      </c>
      <c r="J400" s="60">
        <f>IF(AND(tblFleet[[#This Row],[Units]]&lt;&gt;"",tblFleet[[#This Row],[Available_h]]&gt;0),tblFleet[[#This Row],[Operating_h]]/tblFleet[[#This Row],[Available_h]],"")</f>
        <v/>
      </c>
    </row>
    <row r="401">
      <c r="A401" s="54" t="n"/>
      <c r="B401" s="61" t="n"/>
      <c r="C401" s="62" t="n"/>
      <c r="D401" s="57" t="n"/>
      <c r="E401" s="57" t="n"/>
      <c r="F401" s="58" t="n"/>
      <c r="G401" s="66">
        <f>IF(tblFleet[[#This Row],[Units]]="","",tblFleet[[#This Row],[Units]]*cfg_HoursPerDay)</f>
        <v/>
      </c>
      <c r="H401" s="66">
        <f>IF(tblFleet[[#This Row],[Units]]="","",tblFleet[[#This Row],[Calendar_h]]-tblFleet[[#This Row],[Down_h]])</f>
        <v/>
      </c>
      <c r="I401" s="60">
        <f>IF(AND(tblFleet[[#This Row],[Units]]&lt;&gt;"",tblFleet[[#This Row],[Calendar_h]]&gt;0),tblFleet[[#This Row],[Available_h]]/tblFleet[[#This Row],[Calendar_h]],"")</f>
        <v/>
      </c>
      <c r="J401" s="60">
        <f>IF(AND(tblFleet[[#This Row],[Units]]&lt;&gt;"",tblFleet[[#This Row],[Available_h]]&gt;0),tblFleet[[#This Row],[Operating_h]]/tblFleet[[#This Row],[Available_h]],"")</f>
        <v/>
      </c>
    </row>
    <row r="402">
      <c r="A402" s="54" t="n"/>
      <c r="B402" s="61" t="n"/>
      <c r="C402" s="62" t="n"/>
      <c r="D402" s="57" t="n"/>
      <c r="E402" s="57" t="n"/>
      <c r="F402" s="58" t="n"/>
      <c r="G402" s="66">
        <f>IF(tblFleet[[#This Row],[Units]]="","",tblFleet[[#This Row],[Units]]*cfg_HoursPerDay)</f>
        <v/>
      </c>
      <c r="H402" s="66">
        <f>IF(tblFleet[[#This Row],[Units]]="","",tblFleet[[#This Row],[Calendar_h]]-tblFleet[[#This Row],[Down_h]])</f>
        <v/>
      </c>
      <c r="I402" s="60">
        <f>IF(AND(tblFleet[[#This Row],[Units]]&lt;&gt;"",tblFleet[[#This Row],[Calendar_h]]&gt;0),tblFleet[[#This Row],[Available_h]]/tblFleet[[#This Row],[Calendar_h]],"")</f>
        <v/>
      </c>
      <c r="J402" s="60">
        <f>IF(AND(tblFleet[[#This Row],[Units]]&lt;&gt;"",tblFleet[[#This Row],[Available_h]]&gt;0),tblFleet[[#This Row],[Operating_h]]/tblFleet[[#This Row],[Available_h]],"")</f>
        <v/>
      </c>
    </row>
    <row r="403">
      <c r="A403" s="54" t="n"/>
      <c r="B403" s="61" t="n"/>
      <c r="C403" s="62" t="n"/>
      <c r="D403" s="57" t="n"/>
      <c r="E403" s="57" t="n"/>
      <c r="F403" s="58" t="n"/>
      <c r="G403" s="66">
        <f>IF(tblFleet[[#This Row],[Units]]="","",tblFleet[[#This Row],[Units]]*cfg_HoursPerDay)</f>
        <v/>
      </c>
      <c r="H403" s="66">
        <f>IF(tblFleet[[#This Row],[Units]]="","",tblFleet[[#This Row],[Calendar_h]]-tblFleet[[#This Row],[Down_h]])</f>
        <v/>
      </c>
      <c r="I403" s="60">
        <f>IF(AND(tblFleet[[#This Row],[Units]]&lt;&gt;"",tblFleet[[#This Row],[Calendar_h]]&gt;0),tblFleet[[#This Row],[Available_h]]/tblFleet[[#This Row],[Calendar_h]],"")</f>
        <v/>
      </c>
      <c r="J403" s="60">
        <f>IF(AND(tblFleet[[#This Row],[Units]]&lt;&gt;"",tblFleet[[#This Row],[Available_h]]&gt;0),tblFleet[[#This Row],[Operating_h]]/tblFleet[[#This Row],[Available_h]],"")</f>
        <v/>
      </c>
    </row>
    <row r="404">
      <c r="A404" s="54" t="n"/>
      <c r="B404" s="61" t="n"/>
      <c r="C404" s="62" t="n"/>
      <c r="D404" s="57" t="n"/>
      <c r="E404" s="57" t="n"/>
      <c r="F404" s="58" t="n"/>
      <c r="G404" s="66">
        <f>IF(tblFleet[[#This Row],[Units]]="","",tblFleet[[#This Row],[Units]]*cfg_HoursPerDay)</f>
        <v/>
      </c>
      <c r="H404" s="66">
        <f>IF(tblFleet[[#This Row],[Units]]="","",tblFleet[[#This Row],[Calendar_h]]-tblFleet[[#This Row],[Down_h]])</f>
        <v/>
      </c>
      <c r="I404" s="60">
        <f>IF(AND(tblFleet[[#This Row],[Units]]&lt;&gt;"",tblFleet[[#This Row],[Calendar_h]]&gt;0),tblFleet[[#This Row],[Available_h]]/tblFleet[[#This Row],[Calendar_h]],"")</f>
        <v/>
      </c>
      <c r="J404" s="60">
        <f>IF(AND(tblFleet[[#This Row],[Units]]&lt;&gt;"",tblFleet[[#This Row],[Available_h]]&gt;0),tblFleet[[#This Row],[Operating_h]]/tblFleet[[#This Row],[Available_h]],"")</f>
        <v/>
      </c>
    </row>
    <row r="405">
      <c r="A405" s="54" t="n"/>
      <c r="B405" s="61" t="n"/>
      <c r="C405" s="62" t="n"/>
      <c r="D405" s="57" t="n"/>
      <c r="E405" s="57" t="n"/>
      <c r="F405" s="58" t="n"/>
      <c r="G405" s="66">
        <f>IF(tblFleet[[#This Row],[Units]]="","",tblFleet[[#This Row],[Units]]*cfg_HoursPerDay)</f>
        <v/>
      </c>
      <c r="H405" s="66">
        <f>IF(tblFleet[[#This Row],[Units]]="","",tblFleet[[#This Row],[Calendar_h]]-tblFleet[[#This Row],[Down_h]])</f>
        <v/>
      </c>
      <c r="I405" s="60">
        <f>IF(AND(tblFleet[[#This Row],[Units]]&lt;&gt;"",tblFleet[[#This Row],[Calendar_h]]&gt;0),tblFleet[[#This Row],[Available_h]]/tblFleet[[#This Row],[Calendar_h]],"")</f>
        <v/>
      </c>
      <c r="J405" s="60">
        <f>IF(AND(tblFleet[[#This Row],[Units]]&lt;&gt;"",tblFleet[[#This Row],[Available_h]]&gt;0),tblFleet[[#This Row],[Operating_h]]/tblFleet[[#This Row],[Available_h]],"")</f>
        <v/>
      </c>
    </row>
    <row r="406">
      <c r="A406" s="54" t="n"/>
      <c r="B406" s="61" t="n"/>
      <c r="C406" s="62" t="n"/>
      <c r="D406" s="57" t="n"/>
      <c r="E406" s="57" t="n"/>
      <c r="F406" s="58" t="n"/>
      <c r="G406" s="66">
        <f>IF(tblFleet[[#This Row],[Units]]="","",tblFleet[[#This Row],[Units]]*cfg_HoursPerDay)</f>
        <v/>
      </c>
      <c r="H406" s="66">
        <f>IF(tblFleet[[#This Row],[Units]]="","",tblFleet[[#This Row],[Calendar_h]]-tblFleet[[#This Row],[Down_h]])</f>
        <v/>
      </c>
      <c r="I406" s="60">
        <f>IF(AND(tblFleet[[#This Row],[Units]]&lt;&gt;"",tblFleet[[#This Row],[Calendar_h]]&gt;0),tblFleet[[#This Row],[Available_h]]/tblFleet[[#This Row],[Calendar_h]],"")</f>
        <v/>
      </c>
      <c r="J406" s="60">
        <f>IF(AND(tblFleet[[#This Row],[Units]]&lt;&gt;"",tblFleet[[#This Row],[Available_h]]&gt;0),tblFleet[[#This Row],[Operating_h]]/tblFleet[[#This Row],[Available_h]],"")</f>
        <v/>
      </c>
    </row>
    <row r="407">
      <c r="A407" s="54" t="n"/>
      <c r="B407" s="61" t="n"/>
      <c r="C407" s="62" t="n"/>
      <c r="D407" s="57" t="n"/>
      <c r="E407" s="57" t="n"/>
      <c r="F407" s="58" t="n"/>
      <c r="G407" s="66">
        <f>IF(tblFleet[[#This Row],[Units]]="","",tblFleet[[#This Row],[Units]]*cfg_HoursPerDay)</f>
        <v/>
      </c>
      <c r="H407" s="66">
        <f>IF(tblFleet[[#This Row],[Units]]="","",tblFleet[[#This Row],[Calendar_h]]-tblFleet[[#This Row],[Down_h]])</f>
        <v/>
      </c>
      <c r="I407" s="60">
        <f>IF(AND(tblFleet[[#This Row],[Units]]&lt;&gt;"",tblFleet[[#This Row],[Calendar_h]]&gt;0),tblFleet[[#This Row],[Available_h]]/tblFleet[[#This Row],[Calendar_h]],"")</f>
        <v/>
      </c>
      <c r="J407" s="60">
        <f>IF(AND(tblFleet[[#This Row],[Units]]&lt;&gt;"",tblFleet[[#This Row],[Available_h]]&gt;0),tblFleet[[#This Row],[Operating_h]]/tblFleet[[#This Row],[Available_h]],"")</f>
        <v/>
      </c>
    </row>
    <row r="408">
      <c r="A408" s="54" t="n"/>
      <c r="B408" s="61" t="n"/>
      <c r="C408" s="62" t="n"/>
      <c r="D408" s="57" t="n"/>
      <c r="E408" s="57" t="n"/>
      <c r="F408" s="58" t="n"/>
      <c r="G408" s="66">
        <f>IF(tblFleet[[#This Row],[Units]]="","",tblFleet[[#This Row],[Units]]*cfg_HoursPerDay)</f>
        <v/>
      </c>
      <c r="H408" s="66">
        <f>IF(tblFleet[[#This Row],[Units]]="","",tblFleet[[#This Row],[Calendar_h]]-tblFleet[[#This Row],[Down_h]])</f>
        <v/>
      </c>
      <c r="I408" s="60">
        <f>IF(AND(tblFleet[[#This Row],[Units]]&lt;&gt;"",tblFleet[[#This Row],[Calendar_h]]&gt;0),tblFleet[[#This Row],[Available_h]]/tblFleet[[#This Row],[Calendar_h]],"")</f>
        <v/>
      </c>
      <c r="J408" s="60">
        <f>IF(AND(tblFleet[[#This Row],[Units]]&lt;&gt;"",tblFleet[[#This Row],[Available_h]]&gt;0),tblFleet[[#This Row],[Operating_h]]/tblFleet[[#This Row],[Available_h]],"")</f>
        <v/>
      </c>
    </row>
    <row r="409">
      <c r="A409" s="54" t="n"/>
      <c r="B409" s="61" t="n"/>
      <c r="C409" s="62" t="n"/>
      <c r="D409" s="57" t="n"/>
      <c r="E409" s="57" t="n"/>
      <c r="F409" s="58" t="n"/>
      <c r="G409" s="66">
        <f>IF(tblFleet[[#This Row],[Units]]="","",tblFleet[[#This Row],[Units]]*cfg_HoursPerDay)</f>
        <v/>
      </c>
      <c r="H409" s="66">
        <f>IF(tblFleet[[#This Row],[Units]]="","",tblFleet[[#This Row],[Calendar_h]]-tblFleet[[#This Row],[Down_h]])</f>
        <v/>
      </c>
      <c r="I409" s="60">
        <f>IF(AND(tblFleet[[#This Row],[Units]]&lt;&gt;"",tblFleet[[#This Row],[Calendar_h]]&gt;0),tblFleet[[#This Row],[Available_h]]/tblFleet[[#This Row],[Calendar_h]],"")</f>
        <v/>
      </c>
      <c r="J409" s="60">
        <f>IF(AND(tblFleet[[#This Row],[Units]]&lt;&gt;"",tblFleet[[#This Row],[Available_h]]&gt;0),tblFleet[[#This Row],[Operating_h]]/tblFleet[[#This Row],[Available_h]],"")</f>
        <v/>
      </c>
    </row>
    <row r="410">
      <c r="A410" s="54" t="n"/>
      <c r="B410" s="61" t="n"/>
      <c r="C410" s="62" t="n"/>
      <c r="D410" s="57" t="n"/>
      <c r="E410" s="57" t="n"/>
      <c r="F410" s="58" t="n"/>
      <c r="G410" s="66">
        <f>IF(tblFleet[[#This Row],[Units]]="","",tblFleet[[#This Row],[Units]]*cfg_HoursPerDay)</f>
        <v/>
      </c>
      <c r="H410" s="66">
        <f>IF(tblFleet[[#This Row],[Units]]="","",tblFleet[[#This Row],[Calendar_h]]-tblFleet[[#This Row],[Down_h]])</f>
        <v/>
      </c>
      <c r="I410" s="60">
        <f>IF(AND(tblFleet[[#This Row],[Units]]&lt;&gt;"",tblFleet[[#This Row],[Calendar_h]]&gt;0),tblFleet[[#This Row],[Available_h]]/tblFleet[[#This Row],[Calendar_h]],"")</f>
        <v/>
      </c>
      <c r="J410" s="60">
        <f>IF(AND(tblFleet[[#This Row],[Units]]&lt;&gt;"",tblFleet[[#This Row],[Available_h]]&gt;0),tblFleet[[#This Row],[Operating_h]]/tblFleet[[#This Row],[Available_h]],"")</f>
        <v/>
      </c>
    </row>
    <row r="411">
      <c r="A411" s="54" t="n"/>
      <c r="B411" s="61" t="n"/>
      <c r="C411" s="62" t="n"/>
      <c r="D411" s="57" t="n"/>
      <c r="E411" s="57" t="n"/>
      <c r="F411" s="58" t="n"/>
      <c r="G411" s="66">
        <f>IF(tblFleet[[#This Row],[Units]]="","",tblFleet[[#This Row],[Units]]*cfg_HoursPerDay)</f>
        <v/>
      </c>
      <c r="H411" s="66">
        <f>IF(tblFleet[[#This Row],[Units]]="","",tblFleet[[#This Row],[Calendar_h]]-tblFleet[[#This Row],[Down_h]])</f>
        <v/>
      </c>
      <c r="I411" s="60">
        <f>IF(AND(tblFleet[[#This Row],[Units]]&lt;&gt;"",tblFleet[[#This Row],[Calendar_h]]&gt;0),tblFleet[[#This Row],[Available_h]]/tblFleet[[#This Row],[Calendar_h]],"")</f>
        <v/>
      </c>
      <c r="J411" s="60">
        <f>IF(AND(tblFleet[[#This Row],[Units]]&lt;&gt;"",tblFleet[[#This Row],[Available_h]]&gt;0),tblFleet[[#This Row],[Operating_h]]/tblFleet[[#This Row],[Available_h]],"")</f>
        <v/>
      </c>
    </row>
    <row r="412">
      <c r="A412" s="54" t="n"/>
      <c r="B412" s="61" t="n"/>
      <c r="C412" s="62" t="n"/>
      <c r="D412" s="57" t="n"/>
      <c r="E412" s="57" t="n"/>
      <c r="F412" s="58" t="n"/>
      <c r="G412" s="66">
        <f>IF(tblFleet[[#This Row],[Units]]="","",tblFleet[[#This Row],[Units]]*cfg_HoursPerDay)</f>
        <v/>
      </c>
      <c r="H412" s="66">
        <f>IF(tblFleet[[#This Row],[Units]]="","",tblFleet[[#This Row],[Calendar_h]]-tblFleet[[#This Row],[Down_h]])</f>
        <v/>
      </c>
      <c r="I412" s="60">
        <f>IF(AND(tblFleet[[#This Row],[Units]]&lt;&gt;"",tblFleet[[#This Row],[Calendar_h]]&gt;0),tblFleet[[#This Row],[Available_h]]/tblFleet[[#This Row],[Calendar_h]],"")</f>
        <v/>
      </c>
      <c r="J412" s="60">
        <f>IF(AND(tblFleet[[#This Row],[Units]]&lt;&gt;"",tblFleet[[#This Row],[Available_h]]&gt;0),tblFleet[[#This Row],[Operating_h]]/tblFleet[[#This Row],[Available_h]],"")</f>
        <v/>
      </c>
    </row>
    <row r="413">
      <c r="A413" s="54" t="n"/>
      <c r="B413" s="61" t="n"/>
      <c r="C413" s="62" t="n"/>
      <c r="D413" s="57" t="n"/>
      <c r="E413" s="57" t="n"/>
      <c r="F413" s="58" t="n"/>
      <c r="G413" s="66">
        <f>IF(tblFleet[[#This Row],[Units]]="","",tblFleet[[#This Row],[Units]]*cfg_HoursPerDay)</f>
        <v/>
      </c>
      <c r="H413" s="66">
        <f>IF(tblFleet[[#This Row],[Units]]="","",tblFleet[[#This Row],[Calendar_h]]-tblFleet[[#This Row],[Down_h]])</f>
        <v/>
      </c>
      <c r="I413" s="60">
        <f>IF(AND(tblFleet[[#This Row],[Units]]&lt;&gt;"",tblFleet[[#This Row],[Calendar_h]]&gt;0),tblFleet[[#This Row],[Available_h]]/tblFleet[[#This Row],[Calendar_h]],"")</f>
        <v/>
      </c>
      <c r="J413" s="60">
        <f>IF(AND(tblFleet[[#This Row],[Units]]&lt;&gt;"",tblFleet[[#This Row],[Available_h]]&gt;0),tblFleet[[#This Row],[Operating_h]]/tblFleet[[#This Row],[Available_h]],"")</f>
        <v/>
      </c>
    </row>
    <row r="414">
      <c r="A414" s="54" t="n"/>
      <c r="B414" s="61" t="n"/>
      <c r="C414" s="62" t="n"/>
      <c r="D414" s="57" t="n"/>
      <c r="E414" s="57" t="n"/>
      <c r="F414" s="58" t="n"/>
      <c r="G414" s="66">
        <f>IF(tblFleet[[#This Row],[Units]]="","",tblFleet[[#This Row],[Units]]*cfg_HoursPerDay)</f>
        <v/>
      </c>
      <c r="H414" s="66">
        <f>IF(tblFleet[[#This Row],[Units]]="","",tblFleet[[#This Row],[Calendar_h]]-tblFleet[[#This Row],[Down_h]])</f>
        <v/>
      </c>
      <c r="I414" s="60">
        <f>IF(AND(tblFleet[[#This Row],[Units]]&lt;&gt;"",tblFleet[[#This Row],[Calendar_h]]&gt;0),tblFleet[[#This Row],[Available_h]]/tblFleet[[#This Row],[Calendar_h]],"")</f>
        <v/>
      </c>
      <c r="J414" s="60">
        <f>IF(AND(tblFleet[[#This Row],[Units]]&lt;&gt;"",tblFleet[[#This Row],[Available_h]]&gt;0),tblFleet[[#This Row],[Operating_h]]/tblFleet[[#This Row],[Available_h]],"")</f>
        <v/>
      </c>
    </row>
    <row r="415">
      <c r="A415" s="54" t="n"/>
      <c r="B415" s="61" t="n"/>
      <c r="C415" s="62" t="n"/>
      <c r="D415" s="57" t="n"/>
      <c r="E415" s="57" t="n"/>
      <c r="F415" s="58" t="n"/>
      <c r="G415" s="66">
        <f>IF(tblFleet[[#This Row],[Units]]="","",tblFleet[[#This Row],[Units]]*cfg_HoursPerDay)</f>
        <v/>
      </c>
      <c r="H415" s="66">
        <f>IF(tblFleet[[#This Row],[Units]]="","",tblFleet[[#This Row],[Calendar_h]]-tblFleet[[#This Row],[Down_h]])</f>
        <v/>
      </c>
      <c r="I415" s="60">
        <f>IF(AND(tblFleet[[#This Row],[Units]]&lt;&gt;"",tblFleet[[#This Row],[Calendar_h]]&gt;0),tblFleet[[#This Row],[Available_h]]/tblFleet[[#This Row],[Calendar_h]],"")</f>
        <v/>
      </c>
      <c r="J415" s="60">
        <f>IF(AND(tblFleet[[#This Row],[Units]]&lt;&gt;"",tblFleet[[#This Row],[Available_h]]&gt;0),tblFleet[[#This Row],[Operating_h]]/tblFleet[[#This Row],[Available_h]],"")</f>
        <v/>
      </c>
    </row>
    <row r="416">
      <c r="A416" s="54" t="n"/>
      <c r="B416" s="61" t="n"/>
      <c r="C416" s="62" t="n"/>
      <c r="D416" s="57" t="n"/>
      <c r="E416" s="57" t="n"/>
      <c r="F416" s="58" t="n"/>
      <c r="G416" s="66">
        <f>IF(tblFleet[[#This Row],[Units]]="","",tblFleet[[#This Row],[Units]]*cfg_HoursPerDay)</f>
        <v/>
      </c>
      <c r="H416" s="66">
        <f>IF(tblFleet[[#This Row],[Units]]="","",tblFleet[[#This Row],[Calendar_h]]-tblFleet[[#This Row],[Down_h]])</f>
        <v/>
      </c>
      <c r="I416" s="60">
        <f>IF(AND(tblFleet[[#This Row],[Units]]&lt;&gt;"",tblFleet[[#This Row],[Calendar_h]]&gt;0),tblFleet[[#This Row],[Available_h]]/tblFleet[[#This Row],[Calendar_h]],"")</f>
        <v/>
      </c>
      <c r="J416" s="60">
        <f>IF(AND(tblFleet[[#This Row],[Units]]&lt;&gt;"",tblFleet[[#This Row],[Available_h]]&gt;0),tblFleet[[#This Row],[Operating_h]]/tblFleet[[#This Row],[Available_h]],"")</f>
        <v/>
      </c>
    </row>
    <row r="417">
      <c r="A417" s="54" t="n"/>
      <c r="B417" s="61" t="n"/>
      <c r="C417" s="62" t="n"/>
      <c r="D417" s="57" t="n"/>
      <c r="E417" s="57" t="n"/>
      <c r="F417" s="58" t="n"/>
      <c r="G417" s="66">
        <f>IF(tblFleet[[#This Row],[Units]]="","",tblFleet[[#This Row],[Units]]*cfg_HoursPerDay)</f>
        <v/>
      </c>
      <c r="H417" s="66">
        <f>IF(tblFleet[[#This Row],[Units]]="","",tblFleet[[#This Row],[Calendar_h]]-tblFleet[[#This Row],[Down_h]])</f>
        <v/>
      </c>
      <c r="I417" s="60">
        <f>IF(AND(tblFleet[[#This Row],[Units]]&lt;&gt;"",tblFleet[[#This Row],[Calendar_h]]&gt;0),tblFleet[[#This Row],[Available_h]]/tblFleet[[#This Row],[Calendar_h]],"")</f>
        <v/>
      </c>
      <c r="J417" s="60">
        <f>IF(AND(tblFleet[[#This Row],[Units]]&lt;&gt;"",tblFleet[[#This Row],[Available_h]]&gt;0),tblFleet[[#This Row],[Operating_h]]/tblFleet[[#This Row],[Available_h]],"")</f>
        <v/>
      </c>
    </row>
    <row r="418">
      <c r="A418" s="54" t="n"/>
      <c r="B418" s="61" t="n"/>
      <c r="C418" s="62" t="n"/>
      <c r="D418" s="57" t="n"/>
      <c r="E418" s="57" t="n"/>
      <c r="F418" s="58" t="n"/>
      <c r="G418" s="66">
        <f>IF(tblFleet[[#This Row],[Units]]="","",tblFleet[[#This Row],[Units]]*cfg_HoursPerDay)</f>
        <v/>
      </c>
      <c r="H418" s="66">
        <f>IF(tblFleet[[#This Row],[Units]]="","",tblFleet[[#This Row],[Calendar_h]]-tblFleet[[#This Row],[Down_h]])</f>
        <v/>
      </c>
      <c r="I418" s="60">
        <f>IF(AND(tblFleet[[#This Row],[Units]]&lt;&gt;"",tblFleet[[#This Row],[Calendar_h]]&gt;0),tblFleet[[#This Row],[Available_h]]/tblFleet[[#This Row],[Calendar_h]],"")</f>
        <v/>
      </c>
      <c r="J418" s="60">
        <f>IF(AND(tblFleet[[#This Row],[Units]]&lt;&gt;"",tblFleet[[#This Row],[Available_h]]&gt;0),tblFleet[[#This Row],[Operating_h]]/tblFleet[[#This Row],[Available_h]],"")</f>
        <v/>
      </c>
    </row>
    <row r="419">
      <c r="A419" s="54" t="n"/>
      <c r="B419" s="61" t="n"/>
      <c r="C419" s="62" t="n"/>
      <c r="D419" s="57" t="n"/>
      <c r="E419" s="57" t="n"/>
      <c r="F419" s="58" t="n"/>
      <c r="G419" s="66">
        <f>IF(tblFleet[[#This Row],[Units]]="","",tblFleet[[#This Row],[Units]]*cfg_HoursPerDay)</f>
        <v/>
      </c>
      <c r="H419" s="66">
        <f>IF(tblFleet[[#This Row],[Units]]="","",tblFleet[[#This Row],[Calendar_h]]-tblFleet[[#This Row],[Down_h]])</f>
        <v/>
      </c>
      <c r="I419" s="60">
        <f>IF(AND(tblFleet[[#This Row],[Units]]&lt;&gt;"",tblFleet[[#This Row],[Calendar_h]]&gt;0),tblFleet[[#This Row],[Available_h]]/tblFleet[[#This Row],[Calendar_h]],"")</f>
        <v/>
      </c>
      <c r="J419" s="60">
        <f>IF(AND(tblFleet[[#This Row],[Units]]&lt;&gt;"",tblFleet[[#This Row],[Available_h]]&gt;0),tblFleet[[#This Row],[Operating_h]]/tblFleet[[#This Row],[Available_h]],"")</f>
        <v/>
      </c>
    </row>
    <row r="420">
      <c r="A420" s="54" t="n"/>
      <c r="B420" s="61" t="n"/>
      <c r="C420" s="62" t="n"/>
      <c r="D420" s="57" t="n"/>
      <c r="E420" s="57" t="n"/>
      <c r="F420" s="58" t="n"/>
      <c r="G420" s="66">
        <f>IF(tblFleet[[#This Row],[Units]]="","",tblFleet[[#This Row],[Units]]*cfg_HoursPerDay)</f>
        <v/>
      </c>
      <c r="H420" s="66">
        <f>IF(tblFleet[[#This Row],[Units]]="","",tblFleet[[#This Row],[Calendar_h]]-tblFleet[[#This Row],[Down_h]])</f>
        <v/>
      </c>
      <c r="I420" s="60">
        <f>IF(AND(tblFleet[[#This Row],[Units]]&lt;&gt;"",tblFleet[[#This Row],[Calendar_h]]&gt;0),tblFleet[[#This Row],[Available_h]]/tblFleet[[#This Row],[Calendar_h]],"")</f>
        <v/>
      </c>
      <c r="J420" s="60">
        <f>IF(AND(tblFleet[[#This Row],[Units]]&lt;&gt;"",tblFleet[[#This Row],[Available_h]]&gt;0),tblFleet[[#This Row],[Operating_h]]/tblFleet[[#This Row],[Available_h]],"")</f>
        <v/>
      </c>
    </row>
    <row r="421">
      <c r="A421" s="54" t="n"/>
      <c r="B421" s="61" t="n"/>
      <c r="C421" s="62" t="n"/>
      <c r="D421" s="57" t="n"/>
      <c r="E421" s="57" t="n"/>
      <c r="F421" s="58" t="n"/>
      <c r="G421" s="66">
        <f>IF(tblFleet[[#This Row],[Units]]="","",tblFleet[[#This Row],[Units]]*cfg_HoursPerDay)</f>
        <v/>
      </c>
      <c r="H421" s="66">
        <f>IF(tblFleet[[#This Row],[Units]]="","",tblFleet[[#This Row],[Calendar_h]]-tblFleet[[#This Row],[Down_h]])</f>
        <v/>
      </c>
      <c r="I421" s="60">
        <f>IF(AND(tblFleet[[#This Row],[Units]]&lt;&gt;"",tblFleet[[#This Row],[Calendar_h]]&gt;0),tblFleet[[#This Row],[Available_h]]/tblFleet[[#This Row],[Calendar_h]],"")</f>
        <v/>
      </c>
      <c r="J421" s="60">
        <f>IF(AND(tblFleet[[#This Row],[Units]]&lt;&gt;"",tblFleet[[#This Row],[Available_h]]&gt;0),tblFleet[[#This Row],[Operating_h]]/tblFleet[[#This Row],[Available_h]],"")</f>
        <v/>
      </c>
    </row>
    <row r="422">
      <c r="A422" s="54" t="n"/>
      <c r="B422" s="61" t="n"/>
      <c r="C422" s="62" t="n"/>
      <c r="D422" s="57" t="n"/>
      <c r="E422" s="57" t="n"/>
      <c r="F422" s="58" t="n"/>
      <c r="G422" s="66">
        <f>IF(tblFleet[[#This Row],[Units]]="","",tblFleet[[#This Row],[Units]]*cfg_HoursPerDay)</f>
        <v/>
      </c>
      <c r="H422" s="66">
        <f>IF(tblFleet[[#This Row],[Units]]="","",tblFleet[[#This Row],[Calendar_h]]-tblFleet[[#This Row],[Down_h]])</f>
        <v/>
      </c>
      <c r="I422" s="60">
        <f>IF(AND(tblFleet[[#This Row],[Units]]&lt;&gt;"",tblFleet[[#This Row],[Calendar_h]]&gt;0),tblFleet[[#This Row],[Available_h]]/tblFleet[[#This Row],[Calendar_h]],"")</f>
        <v/>
      </c>
      <c r="J422" s="60">
        <f>IF(AND(tblFleet[[#This Row],[Units]]&lt;&gt;"",tblFleet[[#This Row],[Available_h]]&gt;0),tblFleet[[#This Row],[Operating_h]]/tblFleet[[#This Row],[Available_h]],"")</f>
        <v/>
      </c>
    </row>
    <row r="423">
      <c r="A423" s="54" t="n"/>
      <c r="B423" s="61" t="n"/>
      <c r="C423" s="62" t="n"/>
      <c r="D423" s="57" t="n"/>
      <c r="E423" s="57" t="n"/>
      <c r="F423" s="58" t="n"/>
      <c r="G423" s="66">
        <f>IF(tblFleet[[#This Row],[Units]]="","",tblFleet[[#This Row],[Units]]*cfg_HoursPerDay)</f>
        <v/>
      </c>
      <c r="H423" s="66">
        <f>IF(tblFleet[[#This Row],[Units]]="","",tblFleet[[#This Row],[Calendar_h]]-tblFleet[[#This Row],[Down_h]])</f>
        <v/>
      </c>
      <c r="I423" s="60">
        <f>IF(AND(tblFleet[[#This Row],[Units]]&lt;&gt;"",tblFleet[[#This Row],[Calendar_h]]&gt;0),tblFleet[[#This Row],[Available_h]]/tblFleet[[#This Row],[Calendar_h]],"")</f>
        <v/>
      </c>
      <c r="J423" s="60">
        <f>IF(AND(tblFleet[[#This Row],[Units]]&lt;&gt;"",tblFleet[[#This Row],[Available_h]]&gt;0),tblFleet[[#This Row],[Operating_h]]/tblFleet[[#This Row],[Available_h]],"")</f>
        <v/>
      </c>
    </row>
    <row r="424">
      <c r="A424" s="54" t="n"/>
      <c r="B424" s="61" t="n"/>
      <c r="C424" s="62" t="n"/>
      <c r="D424" s="57" t="n"/>
      <c r="E424" s="57" t="n"/>
      <c r="F424" s="58" t="n"/>
      <c r="G424" s="66">
        <f>IF(tblFleet[[#This Row],[Units]]="","",tblFleet[[#This Row],[Units]]*cfg_HoursPerDay)</f>
        <v/>
      </c>
      <c r="H424" s="66">
        <f>IF(tblFleet[[#This Row],[Units]]="","",tblFleet[[#This Row],[Calendar_h]]-tblFleet[[#This Row],[Down_h]])</f>
        <v/>
      </c>
      <c r="I424" s="60">
        <f>IF(AND(tblFleet[[#This Row],[Units]]&lt;&gt;"",tblFleet[[#This Row],[Calendar_h]]&gt;0),tblFleet[[#This Row],[Available_h]]/tblFleet[[#This Row],[Calendar_h]],"")</f>
        <v/>
      </c>
      <c r="J424" s="60">
        <f>IF(AND(tblFleet[[#This Row],[Units]]&lt;&gt;"",tblFleet[[#This Row],[Available_h]]&gt;0),tblFleet[[#This Row],[Operating_h]]/tblFleet[[#This Row],[Available_h]],"")</f>
        <v/>
      </c>
    </row>
    <row r="425">
      <c r="A425" s="54" t="n"/>
      <c r="B425" s="61" t="n"/>
      <c r="C425" s="62" t="n"/>
      <c r="D425" s="57" t="n"/>
      <c r="E425" s="57" t="n"/>
      <c r="F425" s="58" t="n"/>
      <c r="G425" s="66">
        <f>IF(tblFleet[[#This Row],[Units]]="","",tblFleet[[#This Row],[Units]]*cfg_HoursPerDay)</f>
        <v/>
      </c>
      <c r="H425" s="66">
        <f>IF(tblFleet[[#This Row],[Units]]="","",tblFleet[[#This Row],[Calendar_h]]-tblFleet[[#This Row],[Down_h]])</f>
        <v/>
      </c>
      <c r="I425" s="60">
        <f>IF(AND(tblFleet[[#This Row],[Units]]&lt;&gt;"",tblFleet[[#This Row],[Calendar_h]]&gt;0),tblFleet[[#This Row],[Available_h]]/tblFleet[[#This Row],[Calendar_h]],"")</f>
        <v/>
      </c>
      <c r="J425" s="60">
        <f>IF(AND(tblFleet[[#This Row],[Units]]&lt;&gt;"",tblFleet[[#This Row],[Available_h]]&gt;0),tblFleet[[#This Row],[Operating_h]]/tblFleet[[#This Row],[Available_h]],"")</f>
        <v/>
      </c>
    </row>
    <row r="426">
      <c r="A426" s="54" t="n"/>
      <c r="B426" s="61" t="n"/>
      <c r="C426" s="62" t="n"/>
      <c r="D426" s="57" t="n"/>
      <c r="E426" s="57" t="n"/>
      <c r="F426" s="58" t="n"/>
      <c r="G426" s="66">
        <f>IF(tblFleet[[#This Row],[Units]]="","",tblFleet[[#This Row],[Units]]*cfg_HoursPerDay)</f>
        <v/>
      </c>
      <c r="H426" s="66">
        <f>IF(tblFleet[[#This Row],[Units]]="","",tblFleet[[#This Row],[Calendar_h]]-tblFleet[[#This Row],[Down_h]])</f>
        <v/>
      </c>
      <c r="I426" s="60">
        <f>IF(AND(tblFleet[[#This Row],[Units]]&lt;&gt;"",tblFleet[[#This Row],[Calendar_h]]&gt;0),tblFleet[[#This Row],[Available_h]]/tblFleet[[#This Row],[Calendar_h]],"")</f>
        <v/>
      </c>
      <c r="J426" s="60">
        <f>IF(AND(tblFleet[[#This Row],[Units]]&lt;&gt;"",tblFleet[[#This Row],[Available_h]]&gt;0),tblFleet[[#This Row],[Operating_h]]/tblFleet[[#This Row],[Available_h]],"")</f>
        <v/>
      </c>
    </row>
    <row r="427">
      <c r="A427" s="54" t="n"/>
      <c r="B427" s="61" t="n"/>
      <c r="C427" s="62" t="n"/>
      <c r="D427" s="57" t="n"/>
      <c r="E427" s="57" t="n"/>
      <c r="F427" s="58" t="n"/>
      <c r="G427" s="66">
        <f>IF(tblFleet[[#This Row],[Units]]="","",tblFleet[[#This Row],[Units]]*cfg_HoursPerDay)</f>
        <v/>
      </c>
      <c r="H427" s="66">
        <f>IF(tblFleet[[#This Row],[Units]]="","",tblFleet[[#This Row],[Calendar_h]]-tblFleet[[#This Row],[Down_h]])</f>
        <v/>
      </c>
      <c r="I427" s="60">
        <f>IF(AND(tblFleet[[#This Row],[Units]]&lt;&gt;"",tblFleet[[#This Row],[Calendar_h]]&gt;0),tblFleet[[#This Row],[Available_h]]/tblFleet[[#This Row],[Calendar_h]],"")</f>
        <v/>
      </c>
      <c r="J427" s="60">
        <f>IF(AND(tblFleet[[#This Row],[Units]]&lt;&gt;"",tblFleet[[#This Row],[Available_h]]&gt;0),tblFleet[[#This Row],[Operating_h]]/tblFleet[[#This Row],[Available_h]],"")</f>
        <v/>
      </c>
    </row>
    <row r="428">
      <c r="A428" s="54" t="n"/>
      <c r="B428" s="61" t="n"/>
      <c r="C428" s="62" t="n"/>
      <c r="D428" s="57" t="n"/>
      <c r="E428" s="57" t="n"/>
      <c r="F428" s="58" t="n"/>
      <c r="G428" s="66">
        <f>IF(tblFleet[[#This Row],[Units]]="","",tblFleet[[#This Row],[Units]]*cfg_HoursPerDay)</f>
        <v/>
      </c>
      <c r="H428" s="66">
        <f>IF(tblFleet[[#This Row],[Units]]="","",tblFleet[[#This Row],[Calendar_h]]-tblFleet[[#This Row],[Down_h]])</f>
        <v/>
      </c>
      <c r="I428" s="60">
        <f>IF(AND(tblFleet[[#This Row],[Units]]&lt;&gt;"",tblFleet[[#This Row],[Calendar_h]]&gt;0),tblFleet[[#This Row],[Available_h]]/tblFleet[[#This Row],[Calendar_h]],"")</f>
        <v/>
      </c>
      <c r="J428" s="60">
        <f>IF(AND(tblFleet[[#This Row],[Units]]&lt;&gt;"",tblFleet[[#This Row],[Available_h]]&gt;0),tblFleet[[#This Row],[Operating_h]]/tblFleet[[#This Row],[Available_h]],"")</f>
        <v/>
      </c>
    </row>
    <row r="429">
      <c r="A429" s="54" t="n"/>
      <c r="B429" s="61" t="n"/>
      <c r="C429" s="62" t="n"/>
      <c r="D429" s="57" t="n"/>
      <c r="E429" s="57" t="n"/>
      <c r="F429" s="58" t="n"/>
      <c r="G429" s="66">
        <f>IF(tblFleet[[#This Row],[Units]]="","",tblFleet[[#This Row],[Units]]*cfg_HoursPerDay)</f>
        <v/>
      </c>
      <c r="H429" s="66">
        <f>IF(tblFleet[[#This Row],[Units]]="","",tblFleet[[#This Row],[Calendar_h]]-tblFleet[[#This Row],[Down_h]])</f>
        <v/>
      </c>
      <c r="I429" s="60">
        <f>IF(AND(tblFleet[[#This Row],[Units]]&lt;&gt;"",tblFleet[[#This Row],[Calendar_h]]&gt;0),tblFleet[[#This Row],[Available_h]]/tblFleet[[#This Row],[Calendar_h]],"")</f>
        <v/>
      </c>
      <c r="J429" s="60">
        <f>IF(AND(tblFleet[[#This Row],[Units]]&lt;&gt;"",tblFleet[[#This Row],[Available_h]]&gt;0),tblFleet[[#This Row],[Operating_h]]/tblFleet[[#This Row],[Available_h]],"")</f>
        <v/>
      </c>
    </row>
    <row r="430">
      <c r="A430" s="54" t="n"/>
      <c r="B430" s="61" t="n"/>
      <c r="C430" s="62" t="n"/>
      <c r="D430" s="57" t="n"/>
      <c r="E430" s="57" t="n"/>
      <c r="F430" s="58" t="n"/>
      <c r="G430" s="66">
        <f>IF(tblFleet[[#This Row],[Units]]="","",tblFleet[[#This Row],[Units]]*cfg_HoursPerDay)</f>
        <v/>
      </c>
      <c r="H430" s="66">
        <f>IF(tblFleet[[#This Row],[Units]]="","",tblFleet[[#This Row],[Calendar_h]]-tblFleet[[#This Row],[Down_h]])</f>
        <v/>
      </c>
      <c r="I430" s="60">
        <f>IF(AND(tblFleet[[#This Row],[Units]]&lt;&gt;"",tblFleet[[#This Row],[Calendar_h]]&gt;0),tblFleet[[#This Row],[Available_h]]/tblFleet[[#This Row],[Calendar_h]],"")</f>
        <v/>
      </c>
      <c r="J430" s="60">
        <f>IF(AND(tblFleet[[#This Row],[Units]]&lt;&gt;"",tblFleet[[#This Row],[Available_h]]&gt;0),tblFleet[[#This Row],[Operating_h]]/tblFleet[[#This Row],[Available_h]],"")</f>
        <v/>
      </c>
    </row>
    <row r="431">
      <c r="A431" s="54" t="n"/>
      <c r="B431" s="61" t="n"/>
      <c r="C431" s="62" t="n"/>
      <c r="D431" s="57" t="n"/>
      <c r="E431" s="57" t="n"/>
      <c r="F431" s="58" t="n"/>
      <c r="G431" s="66">
        <f>IF(tblFleet[[#This Row],[Units]]="","",tblFleet[[#This Row],[Units]]*cfg_HoursPerDay)</f>
        <v/>
      </c>
      <c r="H431" s="66">
        <f>IF(tblFleet[[#This Row],[Units]]="","",tblFleet[[#This Row],[Calendar_h]]-tblFleet[[#This Row],[Down_h]])</f>
        <v/>
      </c>
      <c r="I431" s="60">
        <f>IF(AND(tblFleet[[#This Row],[Units]]&lt;&gt;"",tblFleet[[#This Row],[Calendar_h]]&gt;0),tblFleet[[#This Row],[Available_h]]/tblFleet[[#This Row],[Calendar_h]],"")</f>
        <v/>
      </c>
      <c r="J431" s="60">
        <f>IF(AND(tblFleet[[#This Row],[Units]]&lt;&gt;"",tblFleet[[#This Row],[Available_h]]&gt;0),tblFleet[[#This Row],[Operating_h]]/tblFleet[[#This Row],[Available_h]],"")</f>
        <v/>
      </c>
    </row>
    <row r="432">
      <c r="A432" s="54" t="n"/>
      <c r="B432" s="61" t="n"/>
      <c r="C432" s="62" t="n"/>
      <c r="D432" s="57" t="n"/>
      <c r="E432" s="57" t="n"/>
      <c r="F432" s="58" t="n"/>
      <c r="G432" s="66">
        <f>IF(tblFleet[[#This Row],[Units]]="","",tblFleet[[#This Row],[Units]]*cfg_HoursPerDay)</f>
        <v/>
      </c>
      <c r="H432" s="66">
        <f>IF(tblFleet[[#This Row],[Units]]="","",tblFleet[[#This Row],[Calendar_h]]-tblFleet[[#This Row],[Down_h]])</f>
        <v/>
      </c>
      <c r="I432" s="60">
        <f>IF(AND(tblFleet[[#This Row],[Units]]&lt;&gt;"",tblFleet[[#This Row],[Calendar_h]]&gt;0),tblFleet[[#This Row],[Available_h]]/tblFleet[[#This Row],[Calendar_h]],"")</f>
        <v/>
      </c>
      <c r="J432" s="60">
        <f>IF(AND(tblFleet[[#This Row],[Units]]&lt;&gt;"",tblFleet[[#This Row],[Available_h]]&gt;0),tblFleet[[#This Row],[Operating_h]]/tblFleet[[#This Row],[Available_h]],"")</f>
        <v/>
      </c>
    </row>
    <row r="433">
      <c r="A433" s="54" t="n"/>
      <c r="B433" s="61" t="n"/>
      <c r="C433" s="62" t="n"/>
      <c r="D433" s="57" t="n"/>
      <c r="E433" s="57" t="n"/>
      <c r="F433" s="58" t="n"/>
      <c r="G433" s="66">
        <f>IF(tblFleet[[#This Row],[Units]]="","",tblFleet[[#This Row],[Units]]*cfg_HoursPerDay)</f>
        <v/>
      </c>
      <c r="H433" s="66">
        <f>IF(tblFleet[[#This Row],[Units]]="","",tblFleet[[#This Row],[Calendar_h]]-tblFleet[[#This Row],[Down_h]])</f>
        <v/>
      </c>
      <c r="I433" s="60">
        <f>IF(AND(tblFleet[[#This Row],[Units]]&lt;&gt;"",tblFleet[[#This Row],[Calendar_h]]&gt;0),tblFleet[[#This Row],[Available_h]]/tblFleet[[#This Row],[Calendar_h]],"")</f>
        <v/>
      </c>
      <c r="J433" s="60">
        <f>IF(AND(tblFleet[[#This Row],[Units]]&lt;&gt;"",tblFleet[[#This Row],[Available_h]]&gt;0),tblFleet[[#This Row],[Operating_h]]/tblFleet[[#This Row],[Available_h]],"")</f>
        <v/>
      </c>
    </row>
    <row r="434">
      <c r="A434" s="54" t="n"/>
      <c r="B434" s="61" t="n"/>
      <c r="C434" s="62" t="n"/>
      <c r="D434" s="57" t="n"/>
      <c r="E434" s="57" t="n"/>
      <c r="F434" s="58" t="n"/>
      <c r="G434" s="66">
        <f>IF(tblFleet[[#This Row],[Units]]="","",tblFleet[[#This Row],[Units]]*cfg_HoursPerDay)</f>
        <v/>
      </c>
      <c r="H434" s="66">
        <f>IF(tblFleet[[#This Row],[Units]]="","",tblFleet[[#This Row],[Calendar_h]]-tblFleet[[#This Row],[Down_h]])</f>
        <v/>
      </c>
      <c r="I434" s="60">
        <f>IF(AND(tblFleet[[#This Row],[Units]]&lt;&gt;"",tblFleet[[#This Row],[Calendar_h]]&gt;0),tblFleet[[#This Row],[Available_h]]/tblFleet[[#This Row],[Calendar_h]],"")</f>
        <v/>
      </c>
      <c r="J434" s="60">
        <f>IF(AND(tblFleet[[#This Row],[Units]]&lt;&gt;"",tblFleet[[#This Row],[Available_h]]&gt;0),tblFleet[[#This Row],[Operating_h]]/tblFleet[[#This Row],[Available_h]],"")</f>
        <v/>
      </c>
    </row>
    <row r="435">
      <c r="A435" s="54" t="n"/>
      <c r="B435" s="61" t="n"/>
      <c r="C435" s="62" t="n"/>
      <c r="D435" s="57" t="n"/>
      <c r="E435" s="57" t="n"/>
      <c r="F435" s="58" t="n"/>
      <c r="G435" s="66">
        <f>IF(tblFleet[[#This Row],[Units]]="","",tblFleet[[#This Row],[Units]]*cfg_HoursPerDay)</f>
        <v/>
      </c>
      <c r="H435" s="66">
        <f>IF(tblFleet[[#This Row],[Units]]="","",tblFleet[[#This Row],[Calendar_h]]-tblFleet[[#This Row],[Down_h]])</f>
        <v/>
      </c>
      <c r="I435" s="60">
        <f>IF(AND(tblFleet[[#This Row],[Units]]&lt;&gt;"",tblFleet[[#This Row],[Calendar_h]]&gt;0),tblFleet[[#This Row],[Available_h]]/tblFleet[[#This Row],[Calendar_h]],"")</f>
        <v/>
      </c>
      <c r="J435" s="60">
        <f>IF(AND(tblFleet[[#This Row],[Units]]&lt;&gt;"",tblFleet[[#This Row],[Available_h]]&gt;0),tblFleet[[#This Row],[Operating_h]]/tblFleet[[#This Row],[Available_h]],"")</f>
        <v/>
      </c>
    </row>
    <row r="436">
      <c r="A436" s="54" t="n"/>
      <c r="B436" s="61" t="n"/>
      <c r="C436" s="62" t="n"/>
      <c r="D436" s="57" t="n"/>
      <c r="E436" s="57" t="n"/>
      <c r="F436" s="58" t="n"/>
      <c r="G436" s="66">
        <f>IF(tblFleet[[#This Row],[Units]]="","",tblFleet[[#This Row],[Units]]*cfg_HoursPerDay)</f>
        <v/>
      </c>
      <c r="H436" s="66">
        <f>IF(tblFleet[[#This Row],[Units]]="","",tblFleet[[#This Row],[Calendar_h]]-tblFleet[[#This Row],[Down_h]])</f>
        <v/>
      </c>
      <c r="I436" s="60">
        <f>IF(AND(tblFleet[[#This Row],[Units]]&lt;&gt;"",tblFleet[[#This Row],[Calendar_h]]&gt;0),tblFleet[[#This Row],[Available_h]]/tblFleet[[#This Row],[Calendar_h]],"")</f>
        <v/>
      </c>
      <c r="J436" s="60">
        <f>IF(AND(tblFleet[[#This Row],[Units]]&lt;&gt;"",tblFleet[[#This Row],[Available_h]]&gt;0),tblFleet[[#This Row],[Operating_h]]/tblFleet[[#This Row],[Available_h]],"")</f>
        <v/>
      </c>
    </row>
    <row r="437">
      <c r="A437" s="54" t="n"/>
      <c r="B437" s="61" t="n"/>
      <c r="C437" s="62" t="n"/>
      <c r="D437" s="57" t="n"/>
      <c r="E437" s="57" t="n"/>
      <c r="F437" s="58" t="n"/>
      <c r="G437" s="66">
        <f>IF(tblFleet[[#This Row],[Units]]="","",tblFleet[[#This Row],[Units]]*cfg_HoursPerDay)</f>
        <v/>
      </c>
      <c r="H437" s="66">
        <f>IF(tblFleet[[#This Row],[Units]]="","",tblFleet[[#This Row],[Calendar_h]]-tblFleet[[#This Row],[Down_h]])</f>
        <v/>
      </c>
      <c r="I437" s="60">
        <f>IF(AND(tblFleet[[#This Row],[Units]]&lt;&gt;"",tblFleet[[#This Row],[Calendar_h]]&gt;0),tblFleet[[#This Row],[Available_h]]/tblFleet[[#This Row],[Calendar_h]],"")</f>
        <v/>
      </c>
      <c r="J437" s="60">
        <f>IF(AND(tblFleet[[#This Row],[Units]]&lt;&gt;"",tblFleet[[#This Row],[Available_h]]&gt;0),tblFleet[[#This Row],[Operating_h]]/tblFleet[[#This Row],[Available_h]],"")</f>
        <v/>
      </c>
    </row>
    <row r="438">
      <c r="A438" s="54" t="n"/>
      <c r="B438" s="61" t="n"/>
      <c r="C438" s="62" t="n"/>
      <c r="D438" s="57" t="n"/>
      <c r="E438" s="57" t="n"/>
      <c r="F438" s="58" t="n"/>
      <c r="G438" s="66">
        <f>IF(tblFleet[[#This Row],[Units]]="","",tblFleet[[#This Row],[Units]]*cfg_HoursPerDay)</f>
        <v/>
      </c>
      <c r="H438" s="66">
        <f>IF(tblFleet[[#This Row],[Units]]="","",tblFleet[[#This Row],[Calendar_h]]-tblFleet[[#This Row],[Down_h]])</f>
        <v/>
      </c>
      <c r="I438" s="60">
        <f>IF(AND(tblFleet[[#This Row],[Units]]&lt;&gt;"",tblFleet[[#This Row],[Calendar_h]]&gt;0),tblFleet[[#This Row],[Available_h]]/tblFleet[[#This Row],[Calendar_h]],"")</f>
        <v/>
      </c>
      <c r="J438" s="60">
        <f>IF(AND(tblFleet[[#This Row],[Units]]&lt;&gt;"",tblFleet[[#This Row],[Available_h]]&gt;0),tblFleet[[#This Row],[Operating_h]]/tblFleet[[#This Row],[Available_h]],"")</f>
        <v/>
      </c>
    </row>
    <row r="439">
      <c r="A439" s="54" t="n"/>
      <c r="B439" s="61" t="n"/>
      <c r="C439" s="62" t="n"/>
      <c r="D439" s="57" t="n"/>
      <c r="E439" s="57" t="n"/>
      <c r="F439" s="58" t="n"/>
      <c r="G439" s="66">
        <f>IF(tblFleet[[#This Row],[Units]]="","",tblFleet[[#This Row],[Units]]*cfg_HoursPerDay)</f>
        <v/>
      </c>
      <c r="H439" s="66">
        <f>IF(tblFleet[[#This Row],[Units]]="","",tblFleet[[#This Row],[Calendar_h]]-tblFleet[[#This Row],[Down_h]])</f>
        <v/>
      </c>
      <c r="I439" s="60">
        <f>IF(AND(tblFleet[[#This Row],[Units]]&lt;&gt;"",tblFleet[[#This Row],[Calendar_h]]&gt;0),tblFleet[[#This Row],[Available_h]]/tblFleet[[#This Row],[Calendar_h]],"")</f>
        <v/>
      </c>
      <c r="J439" s="60">
        <f>IF(AND(tblFleet[[#This Row],[Units]]&lt;&gt;"",tblFleet[[#This Row],[Available_h]]&gt;0),tblFleet[[#This Row],[Operating_h]]/tblFleet[[#This Row],[Available_h]],"")</f>
        <v/>
      </c>
    </row>
    <row r="440">
      <c r="A440" s="54" t="n"/>
      <c r="B440" s="61" t="n"/>
      <c r="C440" s="62" t="n"/>
      <c r="D440" s="57" t="n"/>
      <c r="E440" s="57" t="n"/>
      <c r="F440" s="58" t="n"/>
      <c r="G440" s="66">
        <f>IF(tblFleet[[#This Row],[Units]]="","",tblFleet[[#This Row],[Units]]*cfg_HoursPerDay)</f>
        <v/>
      </c>
      <c r="H440" s="66">
        <f>IF(tblFleet[[#This Row],[Units]]="","",tblFleet[[#This Row],[Calendar_h]]-tblFleet[[#This Row],[Down_h]])</f>
        <v/>
      </c>
      <c r="I440" s="60">
        <f>IF(AND(tblFleet[[#This Row],[Units]]&lt;&gt;"",tblFleet[[#This Row],[Calendar_h]]&gt;0),tblFleet[[#This Row],[Available_h]]/tblFleet[[#This Row],[Calendar_h]],"")</f>
        <v/>
      </c>
      <c r="J440" s="60">
        <f>IF(AND(tblFleet[[#This Row],[Units]]&lt;&gt;"",tblFleet[[#This Row],[Available_h]]&gt;0),tblFleet[[#This Row],[Operating_h]]/tblFleet[[#This Row],[Available_h]],"")</f>
        <v/>
      </c>
    </row>
    <row r="441">
      <c r="A441" s="54" t="n"/>
      <c r="B441" s="61" t="n"/>
      <c r="C441" s="62" t="n"/>
      <c r="D441" s="57" t="n"/>
      <c r="E441" s="57" t="n"/>
      <c r="F441" s="58" t="n"/>
      <c r="G441" s="66">
        <f>IF(tblFleet[[#This Row],[Units]]="","",tblFleet[[#This Row],[Units]]*cfg_HoursPerDay)</f>
        <v/>
      </c>
      <c r="H441" s="66">
        <f>IF(tblFleet[[#This Row],[Units]]="","",tblFleet[[#This Row],[Calendar_h]]-tblFleet[[#This Row],[Down_h]])</f>
        <v/>
      </c>
      <c r="I441" s="60">
        <f>IF(AND(tblFleet[[#This Row],[Units]]&lt;&gt;"",tblFleet[[#This Row],[Calendar_h]]&gt;0),tblFleet[[#This Row],[Available_h]]/tblFleet[[#This Row],[Calendar_h]],"")</f>
        <v/>
      </c>
      <c r="J441" s="60">
        <f>IF(AND(tblFleet[[#This Row],[Units]]&lt;&gt;"",tblFleet[[#This Row],[Available_h]]&gt;0),tblFleet[[#This Row],[Operating_h]]/tblFleet[[#This Row],[Available_h]],"")</f>
        <v/>
      </c>
    </row>
    <row r="442">
      <c r="A442" s="54" t="n"/>
      <c r="B442" s="61" t="n"/>
      <c r="C442" s="62" t="n"/>
      <c r="D442" s="57" t="n"/>
      <c r="E442" s="57" t="n"/>
      <c r="F442" s="58" t="n"/>
      <c r="G442" s="66">
        <f>IF(tblFleet[[#This Row],[Units]]="","",tblFleet[[#This Row],[Units]]*cfg_HoursPerDay)</f>
        <v/>
      </c>
      <c r="H442" s="66">
        <f>IF(tblFleet[[#This Row],[Units]]="","",tblFleet[[#This Row],[Calendar_h]]-tblFleet[[#This Row],[Down_h]])</f>
        <v/>
      </c>
      <c r="I442" s="60">
        <f>IF(AND(tblFleet[[#This Row],[Units]]&lt;&gt;"",tblFleet[[#This Row],[Calendar_h]]&gt;0),tblFleet[[#This Row],[Available_h]]/tblFleet[[#This Row],[Calendar_h]],"")</f>
        <v/>
      </c>
      <c r="J442" s="60">
        <f>IF(AND(tblFleet[[#This Row],[Units]]&lt;&gt;"",tblFleet[[#This Row],[Available_h]]&gt;0),tblFleet[[#This Row],[Operating_h]]/tblFleet[[#This Row],[Available_h]],"")</f>
        <v/>
      </c>
    </row>
    <row r="443">
      <c r="A443" s="54" t="n"/>
      <c r="B443" s="61" t="n"/>
      <c r="C443" s="62" t="n"/>
      <c r="D443" s="57" t="n"/>
      <c r="E443" s="57" t="n"/>
      <c r="F443" s="58" t="n"/>
      <c r="G443" s="66">
        <f>IF(tblFleet[[#This Row],[Units]]="","",tblFleet[[#This Row],[Units]]*cfg_HoursPerDay)</f>
        <v/>
      </c>
      <c r="H443" s="66">
        <f>IF(tblFleet[[#This Row],[Units]]="","",tblFleet[[#This Row],[Calendar_h]]-tblFleet[[#This Row],[Down_h]])</f>
        <v/>
      </c>
      <c r="I443" s="60">
        <f>IF(AND(tblFleet[[#This Row],[Units]]&lt;&gt;"",tblFleet[[#This Row],[Calendar_h]]&gt;0),tblFleet[[#This Row],[Available_h]]/tblFleet[[#This Row],[Calendar_h]],"")</f>
        <v/>
      </c>
      <c r="J443" s="60">
        <f>IF(AND(tblFleet[[#This Row],[Units]]&lt;&gt;"",tblFleet[[#This Row],[Available_h]]&gt;0),tblFleet[[#This Row],[Operating_h]]/tblFleet[[#This Row],[Available_h]],"")</f>
        <v/>
      </c>
    </row>
    <row r="444">
      <c r="A444" s="54" t="n"/>
      <c r="B444" s="61" t="n"/>
      <c r="C444" s="62" t="n"/>
      <c r="D444" s="57" t="n"/>
      <c r="E444" s="57" t="n"/>
      <c r="F444" s="58" t="n"/>
      <c r="G444" s="66">
        <f>IF(tblFleet[[#This Row],[Units]]="","",tblFleet[[#This Row],[Units]]*cfg_HoursPerDay)</f>
        <v/>
      </c>
      <c r="H444" s="66">
        <f>IF(tblFleet[[#This Row],[Units]]="","",tblFleet[[#This Row],[Calendar_h]]-tblFleet[[#This Row],[Down_h]])</f>
        <v/>
      </c>
      <c r="I444" s="60">
        <f>IF(AND(tblFleet[[#This Row],[Units]]&lt;&gt;"",tblFleet[[#This Row],[Calendar_h]]&gt;0),tblFleet[[#This Row],[Available_h]]/tblFleet[[#This Row],[Calendar_h]],"")</f>
        <v/>
      </c>
      <c r="J444" s="60">
        <f>IF(AND(tblFleet[[#This Row],[Units]]&lt;&gt;"",tblFleet[[#This Row],[Available_h]]&gt;0),tblFleet[[#This Row],[Operating_h]]/tblFleet[[#This Row],[Available_h]],"")</f>
        <v/>
      </c>
    </row>
    <row r="445">
      <c r="A445" s="54" t="n"/>
      <c r="B445" s="61" t="n"/>
      <c r="C445" s="62" t="n"/>
      <c r="D445" s="57" t="n"/>
      <c r="E445" s="57" t="n"/>
      <c r="F445" s="58" t="n"/>
      <c r="G445" s="66">
        <f>IF(tblFleet[[#This Row],[Units]]="","",tblFleet[[#This Row],[Units]]*cfg_HoursPerDay)</f>
        <v/>
      </c>
      <c r="H445" s="66">
        <f>IF(tblFleet[[#This Row],[Units]]="","",tblFleet[[#This Row],[Calendar_h]]-tblFleet[[#This Row],[Down_h]])</f>
        <v/>
      </c>
      <c r="I445" s="60">
        <f>IF(AND(tblFleet[[#This Row],[Units]]&lt;&gt;"",tblFleet[[#This Row],[Calendar_h]]&gt;0),tblFleet[[#This Row],[Available_h]]/tblFleet[[#This Row],[Calendar_h]],"")</f>
        <v/>
      </c>
      <c r="J445" s="60">
        <f>IF(AND(tblFleet[[#This Row],[Units]]&lt;&gt;"",tblFleet[[#This Row],[Available_h]]&gt;0),tblFleet[[#This Row],[Operating_h]]/tblFleet[[#This Row],[Available_h]],"")</f>
        <v/>
      </c>
    </row>
    <row r="446">
      <c r="A446" s="54" t="n"/>
      <c r="B446" s="61" t="n"/>
      <c r="C446" s="62" t="n"/>
      <c r="D446" s="57" t="n"/>
      <c r="E446" s="57" t="n"/>
      <c r="F446" s="58" t="n"/>
      <c r="G446" s="66">
        <f>IF(tblFleet[[#This Row],[Units]]="","",tblFleet[[#This Row],[Units]]*cfg_HoursPerDay)</f>
        <v/>
      </c>
      <c r="H446" s="66">
        <f>IF(tblFleet[[#This Row],[Units]]="","",tblFleet[[#This Row],[Calendar_h]]-tblFleet[[#This Row],[Down_h]])</f>
        <v/>
      </c>
      <c r="I446" s="60">
        <f>IF(AND(tblFleet[[#This Row],[Units]]&lt;&gt;"",tblFleet[[#This Row],[Calendar_h]]&gt;0),tblFleet[[#This Row],[Available_h]]/tblFleet[[#This Row],[Calendar_h]],"")</f>
        <v/>
      </c>
      <c r="J446" s="60">
        <f>IF(AND(tblFleet[[#This Row],[Units]]&lt;&gt;"",tblFleet[[#This Row],[Available_h]]&gt;0),tblFleet[[#This Row],[Operating_h]]/tblFleet[[#This Row],[Available_h]],"")</f>
        <v/>
      </c>
    </row>
    <row r="447">
      <c r="A447" s="54" t="n"/>
      <c r="B447" s="61" t="n"/>
      <c r="C447" s="62" t="n"/>
      <c r="D447" s="57" t="n"/>
      <c r="E447" s="57" t="n"/>
      <c r="F447" s="58" t="n"/>
      <c r="G447" s="66">
        <f>IF(tblFleet[[#This Row],[Units]]="","",tblFleet[[#This Row],[Units]]*cfg_HoursPerDay)</f>
        <v/>
      </c>
      <c r="H447" s="66">
        <f>IF(tblFleet[[#This Row],[Units]]="","",tblFleet[[#This Row],[Calendar_h]]-tblFleet[[#This Row],[Down_h]])</f>
        <v/>
      </c>
      <c r="I447" s="60">
        <f>IF(AND(tblFleet[[#This Row],[Units]]&lt;&gt;"",tblFleet[[#This Row],[Calendar_h]]&gt;0),tblFleet[[#This Row],[Available_h]]/tblFleet[[#This Row],[Calendar_h]],"")</f>
        <v/>
      </c>
      <c r="J447" s="60">
        <f>IF(AND(tblFleet[[#This Row],[Units]]&lt;&gt;"",tblFleet[[#This Row],[Available_h]]&gt;0),tblFleet[[#This Row],[Operating_h]]/tblFleet[[#This Row],[Available_h]],"")</f>
        <v/>
      </c>
    </row>
    <row r="448">
      <c r="A448" s="54" t="n"/>
      <c r="B448" s="61" t="n"/>
      <c r="C448" s="62" t="n"/>
      <c r="D448" s="57" t="n"/>
      <c r="E448" s="57" t="n"/>
      <c r="F448" s="58" t="n"/>
      <c r="G448" s="66">
        <f>IF(tblFleet[[#This Row],[Units]]="","",tblFleet[[#This Row],[Units]]*cfg_HoursPerDay)</f>
        <v/>
      </c>
      <c r="H448" s="66">
        <f>IF(tblFleet[[#This Row],[Units]]="","",tblFleet[[#This Row],[Calendar_h]]-tblFleet[[#This Row],[Down_h]])</f>
        <v/>
      </c>
      <c r="I448" s="60">
        <f>IF(AND(tblFleet[[#This Row],[Units]]&lt;&gt;"",tblFleet[[#This Row],[Calendar_h]]&gt;0),tblFleet[[#This Row],[Available_h]]/tblFleet[[#This Row],[Calendar_h]],"")</f>
        <v/>
      </c>
      <c r="J448" s="60">
        <f>IF(AND(tblFleet[[#This Row],[Units]]&lt;&gt;"",tblFleet[[#This Row],[Available_h]]&gt;0),tblFleet[[#This Row],[Operating_h]]/tblFleet[[#This Row],[Available_h]],"")</f>
        <v/>
      </c>
    </row>
    <row r="449">
      <c r="A449" s="54" t="n"/>
      <c r="B449" s="61" t="n"/>
      <c r="C449" s="62" t="n"/>
      <c r="D449" s="57" t="n"/>
      <c r="E449" s="57" t="n"/>
      <c r="F449" s="58" t="n"/>
      <c r="G449" s="66">
        <f>IF(tblFleet[[#This Row],[Units]]="","",tblFleet[[#This Row],[Units]]*cfg_HoursPerDay)</f>
        <v/>
      </c>
      <c r="H449" s="66">
        <f>IF(tblFleet[[#This Row],[Units]]="","",tblFleet[[#This Row],[Calendar_h]]-tblFleet[[#This Row],[Down_h]])</f>
        <v/>
      </c>
      <c r="I449" s="60">
        <f>IF(AND(tblFleet[[#This Row],[Units]]&lt;&gt;"",tblFleet[[#This Row],[Calendar_h]]&gt;0),tblFleet[[#This Row],[Available_h]]/tblFleet[[#This Row],[Calendar_h]],"")</f>
        <v/>
      </c>
      <c r="J449" s="60">
        <f>IF(AND(tblFleet[[#This Row],[Units]]&lt;&gt;"",tblFleet[[#This Row],[Available_h]]&gt;0),tblFleet[[#This Row],[Operating_h]]/tblFleet[[#This Row],[Available_h]],"")</f>
        <v/>
      </c>
    </row>
    <row r="450">
      <c r="A450" s="54" t="n"/>
      <c r="B450" s="61" t="n"/>
      <c r="C450" s="62" t="n"/>
      <c r="D450" s="57" t="n"/>
      <c r="E450" s="57" t="n"/>
      <c r="F450" s="58" t="n"/>
      <c r="G450" s="66">
        <f>IF(tblFleet[[#This Row],[Units]]="","",tblFleet[[#This Row],[Units]]*cfg_HoursPerDay)</f>
        <v/>
      </c>
      <c r="H450" s="66">
        <f>IF(tblFleet[[#This Row],[Units]]="","",tblFleet[[#This Row],[Calendar_h]]-tblFleet[[#This Row],[Down_h]])</f>
        <v/>
      </c>
      <c r="I450" s="60">
        <f>IF(AND(tblFleet[[#This Row],[Units]]&lt;&gt;"",tblFleet[[#This Row],[Calendar_h]]&gt;0),tblFleet[[#This Row],[Available_h]]/tblFleet[[#This Row],[Calendar_h]],"")</f>
        <v/>
      </c>
      <c r="J450" s="60">
        <f>IF(AND(tblFleet[[#This Row],[Units]]&lt;&gt;"",tblFleet[[#This Row],[Available_h]]&gt;0),tblFleet[[#This Row],[Operating_h]]/tblFleet[[#This Row],[Available_h]],"")</f>
        <v/>
      </c>
    </row>
    <row r="451">
      <c r="A451" s="54" t="n"/>
      <c r="B451" s="61" t="n"/>
      <c r="C451" s="62" t="n"/>
      <c r="D451" s="57" t="n"/>
      <c r="E451" s="57" t="n"/>
      <c r="F451" s="58" t="n"/>
      <c r="G451" s="66">
        <f>IF(tblFleet[[#This Row],[Units]]="","",tblFleet[[#This Row],[Units]]*cfg_HoursPerDay)</f>
        <v/>
      </c>
      <c r="H451" s="66">
        <f>IF(tblFleet[[#This Row],[Units]]="","",tblFleet[[#This Row],[Calendar_h]]-tblFleet[[#This Row],[Down_h]])</f>
        <v/>
      </c>
      <c r="I451" s="60">
        <f>IF(AND(tblFleet[[#This Row],[Units]]&lt;&gt;"",tblFleet[[#This Row],[Calendar_h]]&gt;0),tblFleet[[#This Row],[Available_h]]/tblFleet[[#This Row],[Calendar_h]],"")</f>
        <v/>
      </c>
      <c r="J451" s="60">
        <f>IF(AND(tblFleet[[#This Row],[Units]]&lt;&gt;"",tblFleet[[#This Row],[Available_h]]&gt;0),tblFleet[[#This Row],[Operating_h]]/tblFleet[[#This Row],[Available_h]],"")</f>
        <v/>
      </c>
    </row>
    <row r="452">
      <c r="A452" s="54" t="n"/>
      <c r="B452" s="61" t="n"/>
      <c r="C452" s="62" t="n"/>
      <c r="D452" s="57" t="n"/>
      <c r="E452" s="57" t="n"/>
      <c r="F452" s="58" t="n"/>
      <c r="G452" s="66">
        <f>IF(tblFleet[[#This Row],[Units]]="","",tblFleet[[#This Row],[Units]]*cfg_HoursPerDay)</f>
        <v/>
      </c>
      <c r="H452" s="66">
        <f>IF(tblFleet[[#This Row],[Units]]="","",tblFleet[[#This Row],[Calendar_h]]-tblFleet[[#This Row],[Down_h]])</f>
        <v/>
      </c>
      <c r="I452" s="60">
        <f>IF(AND(tblFleet[[#This Row],[Units]]&lt;&gt;"",tblFleet[[#This Row],[Calendar_h]]&gt;0),tblFleet[[#This Row],[Available_h]]/tblFleet[[#This Row],[Calendar_h]],"")</f>
        <v/>
      </c>
      <c r="J452" s="60">
        <f>IF(AND(tblFleet[[#This Row],[Units]]&lt;&gt;"",tblFleet[[#This Row],[Available_h]]&gt;0),tblFleet[[#This Row],[Operating_h]]/tblFleet[[#This Row],[Available_h]],"")</f>
        <v/>
      </c>
    </row>
    <row r="453">
      <c r="A453" s="54" t="n"/>
      <c r="B453" s="61" t="n"/>
      <c r="C453" s="62" t="n"/>
      <c r="D453" s="57" t="n"/>
      <c r="E453" s="57" t="n"/>
      <c r="F453" s="58" t="n"/>
      <c r="G453" s="66">
        <f>IF(tblFleet[[#This Row],[Units]]="","",tblFleet[[#This Row],[Units]]*cfg_HoursPerDay)</f>
        <v/>
      </c>
      <c r="H453" s="66">
        <f>IF(tblFleet[[#This Row],[Units]]="","",tblFleet[[#This Row],[Calendar_h]]-tblFleet[[#This Row],[Down_h]])</f>
        <v/>
      </c>
      <c r="I453" s="60">
        <f>IF(AND(tblFleet[[#This Row],[Units]]&lt;&gt;"",tblFleet[[#This Row],[Calendar_h]]&gt;0),tblFleet[[#This Row],[Available_h]]/tblFleet[[#This Row],[Calendar_h]],"")</f>
        <v/>
      </c>
      <c r="J453" s="60">
        <f>IF(AND(tblFleet[[#This Row],[Units]]&lt;&gt;"",tblFleet[[#This Row],[Available_h]]&gt;0),tblFleet[[#This Row],[Operating_h]]/tblFleet[[#This Row],[Available_h]],"")</f>
        <v/>
      </c>
    </row>
    <row r="454">
      <c r="A454" s="54" t="n"/>
      <c r="B454" s="61" t="n"/>
      <c r="C454" s="62" t="n"/>
      <c r="D454" s="57" t="n"/>
      <c r="E454" s="57" t="n"/>
      <c r="F454" s="58" t="n"/>
      <c r="G454" s="66">
        <f>IF(tblFleet[[#This Row],[Units]]="","",tblFleet[[#This Row],[Units]]*cfg_HoursPerDay)</f>
        <v/>
      </c>
      <c r="H454" s="66">
        <f>IF(tblFleet[[#This Row],[Units]]="","",tblFleet[[#This Row],[Calendar_h]]-tblFleet[[#This Row],[Down_h]])</f>
        <v/>
      </c>
      <c r="I454" s="60">
        <f>IF(AND(tblFleet[[#This Row],[Units]]&lt;&gt;"",tblFleet[[#This Row],[Calendar_h]]&gt;0),tblFleet[[#This Row],[Available_h]]/tblFleet[[#This Row],[Calendar_h]],"")</f>
        <v/>
      </c>
      <c r="J454" s="60">
        <f>IF(AND(tblFleet[[#This Row],[Units]]&lt;&gt;"",tblFleet[[#This Row],[Available_h]]&gt;0),tblFleet[[#This Row],[Operating_h]]/tblFleet[[#This Row],[Available_h]],"")</f>
        <v/>
      </c>
    </row>
    <row r="455">
      <c r="A455" s="54" t="n"/>
      <c r="B455" s="61" t="n"/>
      <c r="C455" s="62" t="n"/>
      <c r="D455" s="57" t="n"/>
      <c r="E455" s="57" t="n"/>
      <c r="F455" s="58" t="n"/>
      <c r="G455" s="66">
        <f>IF(tblFleet[[#This Row],[Units]]="","",tblFleet[[#This Row],[Units]]*cfg_HoursPerDay)</f>
        <v/>
      </c>
      <c r="H455" s="66">
        <f>IF(tblFleet[[#This Row],[Units]]="","",tblFleet[[#This Row],[Calendar_h]]-tblFleet[[#This Row],[Down_h]])</f>
        <v/>
      </c>
      <c r="I455" s="60">
        <f>IF(AND(tblFleet[[#This Row],[Units]]&lt;&gt;"",tblFleet[[#This Row],[Calendar_h]]&gt;0),tblFleet[[#This Row],[Available_h]]/tblFleet[[#This Row],[Calendar_h]],"")</f>
        <v/>
      </c>
      <c r="J455" s="60">
        <f>IF(AND(tblFleet[[#This Row],[Units]]&lt;&gt;"",tblFleet[[#This Row],[Available_h]]&gt;0),tblFleet[[#This Row],[Operating_h]]/tblFleet[[#This Row],[Available_h]],"")</f>
        <v/>
      </c>
    </row>
    <row r="456">
      <c r="A456" s="54" t="n"/>
      <c r="B456" s="61" t="n"/>
      <c r="C456" s="62" t="n"/>
      <c r="D456" s="57" t="n"/>
      <c r="E456" s="57" t="n"/>
      <c r="F456" s="58" t="n"/>
      <c r="G456" s="66">
        <f>IF(tblFleet[[#This Row],[Units]]="","",tblFleet[[#This Row],[Units]]*cfg_HoursPerDay)</f>
        <v/>
      </c>
      <c r="H456" s="66">
        <f>IF(tblFleet[[#This Row],[Units]]="","",tblFleet[[#This Row],[Calendar_h]]-tblFleet[[#This Row],[Down_h]])</f>
        <v/>
      </c>
      <c r="I456" s="60">
        <f>IF(AND(tblFleet[[#This Row],[Units]]&lt;&gt;"",tblFleet[[#This Row],[Calendar_h]]&gt;0),tblFleet[[#This Row],[Available_h]]/tblFleet[[#This Row],[Calendar_h]],"")</f>
        <v/>
      </c>
      <c r="J456" s="60">
        <f>IF(AND(tblFleet[[#This Row],[Units]]&lt;&gt;"",tblFleet[[#This Row],[Available_h]]&gt;0),tblFleet[[#This Row],[Operating_h]]/tblFleet[[#This Row],[Available_h]],"")</f>
        <v/>
      </c>
    </row>
    <row r="457">
      <c r="A457" s="54" t="n"/>
      <c r="B457" s="61" t="n"/>
      <c r="C457" s="62" t="n"/>
      <c r="D457" s="57" t="n"/>
      <c r="E457" s="57" t="n"/>
      <c r="F457" s="58" t="n"/>
      <c r="G457" s="66">
        <f>IF(tblFleet[[#This Row],[Units]]="","",tblFleet[[#This Row],[Units]]*cfg_HoursPerDay)</f>
        <v/>
      </c>
      <c r="H457" s="66">
        <f>IF(tblFleet[[#This Row],[Units]]="","",tblFleet[[#This Row],[Calendar_h]]-tblFleet[[#This Row],[Down_h]])</f>
        <v/>
      </c>
      <c r="I457" s="60">
        <f>IF(AND(tblFleet[[#This Row],[Units]]&lt;&gt;"",tblFleet[[#This Row],[Calendar_h]]&gt;0),tblFleet[[#This Row],[Available_h]]/tblFleet[[#This Row],[Calendar_h]],"")</f>
        <v/>
      </c>
      <c r="J457" s="60">
        <f>IF(AND(tblFleet[[#This Row],[Units]]&lt;&gt;"",tblFleet[[#This Row],[Available_h]]&gt;0),tblFleet[[#This Row],[Operating_h]]/tblFleet[[#This Row],[Available_h]],"")</f>
        <v/>
      </c>
    </row>
    <row r="458">
      <c r="A458" s="54" t="n"/>
      <c r="B458" s="61" t="n"/>
      <c r="C458" s="62" t="n"/>
      <c r="D458" s="57" t="n"/>
      <c r="E458" s="57" t="n"/>
      <c r="F458" s="58" t="n"/>
      <c r="G458" s="66">
        <f>IF(tblFleet[[#This Row],[Units]]="","",tblFleet[[#This Row],[Units]]*cfg_HoursPerDay)</f>
        <v/>
      </c>
      <c r="H458" s="66">
        <f>IF(tblFleet[[#This Row],[Units]]="","",tblFleet[[#This Row],[Calendar_h]]-tblFleet[[#This Row],[Down_h]])</f>
        <v/>
      </c>
      <c r="I458" s="60">
        <f>IF(AND(tblFleet[[#This Row],[Units]]&lt;&gt;"",tblFleet[[#This Row],[Calendar_h]]&gt;0),tblFleet[[#This Row],[Available_h]]/tblFleet[[#This Row],[Calendar_h]],"")</f>
        <v/>
      </c>
      <c r="J458" s="60">
        <f>IF(AND(tblFleet[[#This Row],[Units]]&lt;&gt;"",tblFleet[[#This Row],[Available_h]]&gt;0),tblFleet[[#This Row],[Operating_h]]/tblFleet[[#This Row],[Available_h]],"")</f>
        <v/>
      </c>
    </row>
    <row r="459">
      <c r="A459" s="54" t="n"/>
      <c r="B459" s="61" t="n"/>
      <c r="C459" s="62" t="n"/>
      <c r="D459" s="57" t="n"/>
      <c r="E459" s="57" t="n"/>
      <c r="F459" s="58" t="n"/>
      <c r="G459" s="66">
        <f>IF(tblFleet[[#This Row],[Units]]="","",tblFleet[[#This Row],[Units]]*cfg_HoursPerDay)</f>
        <v/>
      </c>
      <c r="H459" s="66">
        <f>IF(tblFleet[[#This Row],[Units]]="","",tblFleet[[#This Row],[Calendar_h]]-tblFleet[[#This Row],[Down_h]])</f>
        <v/>
      </c>
      <c r="I459" s="60">
        <f>IF(AND(tblFleet[[#This Row],[Units]]&lt;&gt;"",tblFleet[[#This Row],[Calendar_h]]&gt;0),tblFleet[[#This Row],[Available_h]]/tblFleet[[#This Row],[Calendar_h]],"")</f>
        <v/>
      </c>
      <c r="J459" s="60">
        <f>IF(AND(tblFleet[[#This Row],[Units]]&lt;&gt;"",tblFleet[[#This Row],[Available_h]]&gt;0),tblFleet[[#This Row],[Operating_h]]/tblFleet[[#This Row],[Available_h]],"")</f>
        <v/>
      </c>
    </row>
    <row r="460">
      <c r="A460" s="54" t="n"/>
      <c r="B460" s="61" t="n"/>
      <c r="C460" s="62" t="n"/>
      <c r="D460" s="57" t="n"/>
      <c r="E460" s="57" t="n"/>
      <c r="F460" s="58" t="n"/>
      <c r="G460" s="66">
        <f>IF(tblFleet[[#This Row],[Units]]="","",tblFleet[[#This Row],[Units]]*cfg_HoursPerDay)</f>
        <v/>
      </c>
      <c r="H460" s="66">
        <f>IF(tblFleet[[#This Row],[Units]]="","",tblFleet[[#This Row],[Calendar_h]]-tblFleet[[#This Row],[Down_h]])</f>
        <v/>
      </c>
      <c r="I460" s="60">
        <f>IF(AND(tblFleet[[#This Row],[Units]]&lt;&gt;"",tblFleet[[#This Row],[Calendar_h]]&gt;0),tblFleet[[#This Row],[Available_h]]/tblFleet[[#This Row],[Calendar_h]],"")</f>
        <v/>
      </c>
      <c r="J460" s="60">
        <f>IF(AND(tblFleet[[#This Row],[Units]]&lt;&gt;"",tblFleet[[#This Row],[Available_h]]&gt;0),tblFleet[[#This Row],[Operating_h]]/tblFleet[[#This Row],[Available_h]],"")</f>
        <v/>
      </c>
    </row>
    <row r="461">
      <c r="A461" s="54" t="n"/>
      <c r="B461" s="61" t="n"/>
      <c r="C461" s="62" t="n"/>
      <c r="D461" s="57" t="n"/>
      <c r="E461" s="57" t="n"/>
      <c r="F461" s="58" t="n"/>
      <c r="G461" s="66">
        <f>IF(tblFleet[[#This Row],[Units]]="","",tblFleet[[#This Row],[Units]]*cfg_HoursPerDay)</f>
        <v/>
      </c>
      <c r="H461" s="66">
        <f>IF(tblFleet[[#This Row],[Units]]="","",tblFleet[[#This Row],[Calendar_h]]-tblFleet[[#This Row],[Down_h]])</f>
        <v/>
      </c>
      <c r="I461" s="60">
        <f>IF(AND(tblFleet[[#This Row],[Units]]&lt;&gt;"",tblFleet[[#This Row],[Calendar_h]]&gt;0),tblFleet[[#This Row],[Available_h]]/tblFleet[[#This Row],[Calendar_h]],"")</f>
        <v/>
      </c>
      <c r="J461" s="60">
        <f>IF(AND(tblFleet[[#This Row],[Units]]&lt;&gt;"",tblFleet[[#This Row],[Available_h]]&gt;0),tblFleet[[#This Row],[Operating_h]]/tblFleet[[#This Row],[Available_h]],"")</f>
        <v/>
      </c>
    </row>
    <row r="462">
      <c r="A462" s="54" t="n"/>
      <c r="B462" s="61" t="n"/>
      <c r="C462" s="62" t="n"/>
      <c r="D462" s="57" t="n"/>
      <c r="E462" s="57" t="n"/>
      <c r="F462" s="58" t="n"/>
      <c r="G462" s="66">
        <f>IF(tblFleet[[#This Row],[Units]]="","",tblFleet[[#This Row],[Units]]*cfg_HoursPerDay)</f>
        <v/>
      </c>
      <c r="H462" s="66">
        <f>IF(tblFleet[[#This Row],[Units]]="","",tblFleet[[#This Row],[Calendar_h]]-tblFleet[[#This Row],[Down_h]])</f>
        <v/>
      </c>
      <c r="I462" s="60">
        <f>IF(AND(tblFleet[[#This Row],[Units]]&lt;&gt;"",tblFleet[[#This Row],[Calendar_h]]&gt;0),tblFleet[[#This Row],[Available_h]]/tblFleet[[#This Row],[Calendar_h]],"")</f>
        <v/>
      </c>
      <c r="J462" s="60">
        <f>IF(AND(tblFleet[[#This Row],[Units]]&lt;&gt;"",tblFleet[[#This Row],[Available_h]]&gt;0),tblFleet[[#This Row],[Operating_h]]/tblFleet[[#This Row],[Available_h]],"")</f>
        <v/>
      </c>
    </row>
    <row r="463">
      <c r="A463" s="54" t="n"/>
      <c r="B463" s="61" t="n"/>
      <c r="C463" s="62" t="n"/>
      <c r="D463" s="57" t="n"/>
      <c r="E463" s="57" t="n"/>
      <c r="F463" s="58" t="n"/>
      <c r="G463" s="66">
        <f>IF(tblFleet[[#This Row],[Units]]="","",tblFleet[[#This Row],[Units]]*cfg_HoursPerDay)</f>
        <v/>
      </c>
      <c r="H463" s="66">
        <f>IF(tblFleet[[#This Row],[Units]]="","",tblFleet[[#This Row],[Calendar_h]]-tblFleet[[#This Row],[Down_h]])</f>
        <v/>
      </c>
      <c r="I463" s="60">
        <f>IF(AND(tblFleet[[#This Row],[Units]]&lt;&gt;"",tblFleet[[#This Row],[Calendar_h]]&gt;0),tblFleet[[#This Row],[Available_h]]/tblFleet[[#This Row],[Calendar_h]],"")</f>
        <v/>
      </c>
      <c r="J463" s="60">
        <f>IF(AND(tblFleet[[#This Row],[Units]]&lt;&gt;"",tblFleet[[#This Row],[Available_h]]&gt;0),tblFleet[[#This Row],[Operating_h]]/tblFleet[[#This Row],[Available_h]],"")</f>
        <v/>
      </c>
    </row>
    <row r="464">
      <c r="A464" s="54" t="n"/>
      <c r="B464" s="61" t="n"/>
      <c r="C464" s="62" t="n"/>
      <c r="D464" s="57" t="n"/>
      <c r="E464" s="57" t="n"/>
      <c r="F464" s="58" t="n"/>
      <c r="G464" s="66">
        <f>IF(tblFleet[[#This Row],[Units]]="","",tblFleet[[#This Row],[Units]]*cfg_HoursPerDay)</f>
        <v/>
      </c>
      <c r="H464" s="66">
        <f>IF(tblFleet[[#This Row],[Units]]="","",tblFleet[[#This Row],[Calendar_h]]-tblFleet[[#This Row],[Down_h]])</f>
        <v/>
      </c>
      <c r="I464" s="60">
        <f>IF(AND(tblFleet[[#This Row],[Units]]&lt;&gt;"",tblFleet[[#This Row],[Calendar_h]]&gt;0),tblFleet[[#This Row],[Available_h]]/tblFleet[[#This Row],[Calendar_h]],"")</f>
        <v/>
      </c>
      <c r="J464" s="60">
        <f>IF(AND(tblFleet[[#This Row],[Units]]&lt;&gt;"",tblFleet[[#This Row],[Available_h]]&gt;0),tblFleet[[#This Row],[Operating_h]]/tblFleet[[#This Row],[Available_h]],"")</f>
        <v/>
      </c>
    </row>
    <row r="465">
      <c r="A465" s="54" t="n"/>
      <c r="B465" s="61" t="n"/>
      <c r="C465" s="62" t="n"/>
      <c r="D465" s="57" t="n"/>
      <c r="E465" s="57" t="n"/>
      <c r="F465" s="58" t="n"/>
      <c r="G465" s="66">
        <f>IF(tblFleet[[#This Row],[Units]]="","",tblFleet[[#This Row],[Units]]*cfg_HoursPerDay)</f>
        <v/>
      </c>
      <c r="H465" s="66">
        <f>IF(tblFleet[[#This Row],[Units]]="","",tblFleet[[#This Row],[Calendar_h]]-tblFleet[[#This Row],[Down_h]])</f>
        <v/>
      </c>
      <c r="I465" s="60">
        <f>IF(AND(tblFleet[[#This Row],[Units]]&lt;&gt;"",tblFleet[[#This Row],[Calendar_h]]&gt;0),tblFleet[[#This Row],[Available_h]]/tblFleet[[#This Row],[Calendar_h]],"")</f>
        <v/>
      </c>
      <c r="J465" s="60">
        <f>IF(AND(tblFleet[[#This Row],[Units]]&lt;&gt;"",tblFleet[[#This Row],[Available_h]]&gt;0),tblFleet[[#This Row],[Operating_h]]/tblFleet[[#This Row],[Available_h]],"")</f>
        <v/>
      </c>
    </row>
    <row r="466">
      <c r="A466" s="54" t="n"/>
      <c r="B466" s="61" t="n"/>
      <c r="C466" s="62" t="n"/>
      <c r="D466" s="57" t="n"/>
      <c r="E466" s="57" t="n"/>
      <c r="F466" s="58" t="n"/>
      <c r="G466" s="66">
        <f>IF(tblFleet[[#This Row],[Units]]="","",tblFleet[[#This Row],[Units]]*cfg_HoursPerDay)</f>
        <v/>
      </c>
      <c r="H466" s="66">
        <f>IF(tblFleet[[#This Row],[Units]]="","",tblFleet[[#This Row],[Calendar_h]]-tblFleet[[#This Row],[Down_h]])</f>
        <v/>
      </c>
      <c r="I466" s="60">
        <f>IF(AND(tblFleet[[#This Row],[Units]]&lt;&gt;"",tblFleet[[#This Row],[Calendar_h]]&gt;0),tblFleet[[#This Row],[Available_h]]/tblFleet[[#This Row],[Calendar_h]],"")</f>
        <v/>
      </c>
      <c r="J466" s="60">
        <f>IF(AND(tblFleet[[#This Row],[Units]]&lt;&gt;"",tblFleet[[#This Row],[Available_h]]&gt;0),tblFleet[[#This Row],[Operating_h]]/tblFleet[[#This Row],[Available_h]],"")</f>
        <v/>
      </c>
    </row>
    <row r="467">
      <c r="A467" s="54" t="n"/>
      <c r="B467" s="61" t="n"/>
      <c r="C467" s="62" t="n"/>
      <c r="D467" s="57" t="n"/>
      <c r="E467" s="57" t="n"/>
      <c r="F467" s="58" t="n"/>
      <c r="G467" s="66">
        <f>IF(tblFleet[[#This Row],[Units]]="","",tblFleet[[#This Row],[Units]]*cfg_HoursPerDay)</f>
        <v/>
      </c>
      <c r="H467" s="66">
        <f>IF(tblFleet[[#This Row],[Units]]="","",tblFleet[[#This Row],[Calendar_h]]-tblFleet[[#This Row],[Down_h]])</f>
        <v/>
      </c>
      <c r="I467" s="60">
        <f>IF(AND(tblFleet[[#This Row],[Units]]&lt;&gt;"",tblFleet[[#This Row],[Calendar_h]]&gt;0),tblFleet[[#This Row],[Available_h]]/tblFleet[[#This Row],[Calendar_h]],"")</f>
        <v/>
      </c>
      <c r="J467" s="60">
        <f>IF(AND(tblFleet[[#This Row],[Units]]&lt;&gt;"",tblFleet[[#This Row],[Available_h]]&gt;0),tblFleet[[#This Row],[Operating_h]]/tblFleet[[#This Row],[Available_h]],"")</f>
        <v/>
      </c>
    </row>
    <row r="468">
      <c r="A468" s="54" t="n"/>
      <c r="B468" s="61" t="n"/>
      <c r="C468" s="62" t="n"/>
      <c r="D468" s="57" t="n"/>
      <c r="E468" s="57" t="n"/>
      <c r="F468" s="58" t="n"/>
      <c r="G468" s="66">
        <f>IF(tblFleet[[#This Row],[Units]]="","",tblFleet[[#This Row],[Units]]*cfg_HoursPerDay)</f>
        <v/>
      </c>
      <c r="H468" s="66">
        <f>IF(tblFleet[[#This Row],[Units]]="","",tblFleet[[#This Row],[Calendar_h]]-tblFleet[[#This Row],[Down_h]])</f>
        <v/>
      </c>
      <c r="I468" s="60">
        <f>IF(AND(tblFleet[[#This Row],[Units]]&lt;&gt;"",tblFleet[[#This Row],[Calendar_h]]&gt;0),tblFleet[[#This Row],[Available_h]]/tblFleet[[#This Row],[Calendar_h]],"")</f>
        <v/>
      </c>
      <c r="J468" s="60">
        <f>IF(AND(tblFleet[[#This Row],[Units]]&lt;&gt;"",tblFleet[[#This Row],[Available_h]]&gt;0),tblFleet[[#This Row],[Operating_h]]/tblFleet[[#This Row],[Available_h]],"")</f>
        <v/>
      </c>
    </row>
    <row r="469">
      <c r="A469" s="54" t="n"/>
      <c r="B469" s="61" t="n"/>
      <c r="C469" s="62" t="n"/>
      <c r="D469" s="57" t="n"/>
      <c r="E469" s="57" t="n"/>
      <c r="F469" s="58" t="n"/>
      <c r="G469" s="66">
        <f>IF(tblFleet[[#This Row],[Units]]="","",tblFleet[[#This Row],[Units]]*cfg_HoursPerDay)</f>
        <v/>
      </c>
      <c r="H469" s="66">
        <f>IF(tblFleet[[#This Row],[Units]]="","",tblFleet[[#This Row],[Calendar_h]]-tblFleet[[#This Row],[Down_h]])</f>
        <v/>
      </c>
      <c r="I469" s="60">
        <f>IF(AND(tblFleet[[#This Row],[Units]]&lt;&gt;"",tblFleet[[#This Row],[Calendar_h]]&gt;0),tblFleet[[#This Row],[Available_h]]/tblFleet[[#This Row],[Calendar_h]],"")</f>
        <v/>
      </c>
      <c r="J469" s="60">
        <f>IF(AND(tblFleet[[#This Row],[Units]]&lt;&gt;"",tblFleet[[#This Row],[Available_h]]&gt;0),tblFleet[[#This Row],[Operating_h]]/tblFleet[[#This Row],[Available_h]],"")</f>
        <v/>
      </c>
    </row>
    <row r="470">
      <c r="A470" s="54" t="n"/>
      <c r="B470" s="61" t="n"/>
      <c r="C470" s="62" t="n"/>
      <c r="D470" s="57" t="n"/>
      <c r="E470" s="57" t="n"/>
      <c r="F470" s="58" t="n"/>
      <c r="G470" s="66">
        <f>IF(tblFleet[[#This Row],[Units]]="","",tblFleet[[#This Row],[Units]]*cfg_HoursPerDay)</f>
        <v/>
      </c>
      <c r="H470" s="66">
        <f>IF(tblFleet[[#This Row],[Units]]="","",tblFleet[[#This Row],[Calendar_h]]-tblFleet[[#This Row],[Down_h]])</f>
        <v/>
      </c>
      <c r="I470" s="60">
        <f>IF(AND(tblFleet[[#This Row],[Units]]&lt;&gt;"",tblFleet[[#This Row],[Calendar_h]]&gt;0),tblFleet[[#This Row],[Available_h]]/tblFleet[[#This Row],[Calendar_h]],"")</f>
        <v/>
      </c>
      <c r="J470" s="60">
        <f>IF(AND(tblFleet[[#This Row],[Units]]&lt;&gt;"",tblFleet[[#This Row],[Available_h]]&gt;0),tblFleet[[#This Row],[Operating_h]]/tblFleet[[#This Row],[Available_h]],"")</f>
        <v/>
      </c>
    </row>
    <row r="471">
      <c r="A471" s="54" t="n"/>
      <c r="B471" s="61" t="n"/>
      <c r="C471" s="62" t="n"/>
      <c r="D471" s="57" t="n"/>
      <c r="E471" s="57" t="n"/>
      <c r="F471" s="58" t="n"/>
      <c r="G471" s="66">
        <f>IF(tblFleet[[#This Row],[Units]]="","",tblFleet[[#This Row],[Units]]*cfg_HoursPerDay)</f>
        <v/>
      </c>
      <c r="H471" s="66">
        <f>IF(tblFleet[[#This Row],[Units]]="","",tblFleet[[#This Row],[Calendar_h]]-tblFleet[[#This Row],[Down_h]])</f>
        <v/>
      </c>
      <c r="I471" s="60">
        <f>IF(AND(tblFleet[[#This Row],[Units]]&lt;&gt;"",tblFleet[[#This Row],[Calendar_h]]&gt;0),tblFleet[[#This Row],[Available_h]]/tblFleet[[#This Row],[Calendar_h]],"")</f>
        <v/>
      </c>
      <c r="J471" s="60">
        <f>IF(AND(tblFleet[[#This Row],[Units]]&lt;&gt;"",tblFleet[[#This Row],[Available_h]]&gt;0),tblFleet[[#This Row],[Operating_h]]/tblFleet[[#This Row],[Available_h]],"")</f>
        <v/>
      </c>
    </row>
    <row r="472">
      <c r="A472" s="54" t="n"/>
      <c r="B472" s="61" t="n"/>
      <c r="C472" s="62" t="n"/>
      <c r="D472" s="57" t="n"/>
      <c r="E472" s="57" t="n"/>
      <c r="F472" s="58" t="n"/>
      <c r="G472" s="66">
        <f>IF(tblFleet[[#This Row],[Units]]="","",tblFleet[[#This Row],[Units]]*cfg_HoursPerDay)</f>
        <v/>
      </c>
      <c r="H472" s="66">
        <f>IF(tblFleet[[#This Row],[Units]]="","",tblFleet[[#This Row],[Calendar_h]]-tblFleet[[#This Row],[Down_h]])</f>
        <v/>
      </c>
      <c r="I472" s="60">
        <f>IF(AND(tblFleet[[#This Row],[Units]]&lt;&gt;"",tblFleet[[#This Row],[Calendar_h]]&gt;0),tblFleet[[#This Row],[Available_h]]/tblFleet[[#This Row],[Calendar_h]],"")</f>
        <v/>
      </c>
      <c r="J472" s="60">
        <f>IF(AND(tblFleet[[#This Row],[Units]]&lt;&gt;"",tblFleet[[#This Row],[Available_h]]&gt;0),tblFleet[[#This Row],[Operating_h]]/tblFleet[[#This Row],[Available_h]],"")</f>
        <v/>
      </c>
    </row>
    <row r="473">
      <c r="A473" s="54" t="n"/>
      <c r="B473" s="61" t="n"/>
      <c r="C473" s="62" t="n"/>
      <c r="D473" s="57" t="n"/>
      <c r="E473" s="57" t="n"/>
      <c r="F473" s="58" t="n"/>
      <c r="G473" s="66">
        <f>IF(tblFleet[[#This Row],[Units]]="","",tblFleet[[#This Row],[Units]]*cfg_HoursPerDay)</f>
        <v/>
      </c>
      <c r="H473" s="66">
        <f>IF(tblFleet[[#This Row],[Units]]="","",tblFleet[[#This Row],[Calendar_h]]-tblFleet[[#This Row],[Down_h]])</f>
        <v/>
      </c>
      <c r="I473" s="60">
        <f>IF(AND(tblFleet[[#This Row],[Units]]&lt;&gt;"",tblFleet[[#This Row],[Calendar_h]]&gt;0),tblFleet[[#This Row],[Available_h]]/tblFleet[[#This Row],[Calendar_h]],"")</f>
        <v/>
      </c>
      <c r="J473" s="60">
        <f>IF(AND(tblFleet[[#This Row],[Units]]&lt;&gt;"",tblFleet[[#This Row],[Available_h]]&gt;0),tblFleet[[#This Row],[Operating_h]]/tblFleet[[#This Row],[Available_h]],"")</f>
        <v/>
      </c>
    </row>
    <row r="474">
      <c r="A474" s="54" t="n"/>
      <c r="B474" s="61" t="n"/>
      <c r="C474" s="62" t="n"/>
      <c r="D474" s="57" t="n"/>
      <c r="E474" s="57" t="n"/>
      <c r="F474" s="58" t="n"/>
      <c r="G474" s="66">
        <f>IF(tblFleet[[#This Row],[Units]]="","",tblFleet[[#This Row],[Units]]*cfg_HoursPerDay)</f>
        <v/>
      </c>
      <c r="H474" s="66">
        <f>IF(tblFleet[[#This Row],[Units]]="","",tblFleet[[#This Row],[Calendar_h]]-tblFleet[[#This Row],[Down_h]])</f>
        <v/>
      </c>
      <c r="I474" s="60">
        <f>IF(AND(tblFleet[[#This Row],[Units]]&lt;&gt;"",tblFleet[[#This Row],[Calendar_h]]&gt;0),tblFleet[[#This Row],[Available_h]]/tblFleet[[#This Row],[Calendar_h]],"")</f>
        <v/>
      </c>
      <c r="J474" s="60">
        <f>IF(AND(tblFleet[[#This Row],[Units]]&lt;&gt;"",tblFleet[[#This Row],[Available_h]]&gt;0),tblFleet[[#This Row],[Operating_h]]/tblFleet[[#This Row],[Available_h]],"")</f>
        <v/>
      </c>
    </row>
    <row r="475">
      <c r="A475" s="54" t="n"/>
      <c r="B475" s="61" t="n"/>
      <c r="C475" s="62" t="n"/>
      <c r="D475" s="57" t="n"/>
      <c r="E475" s="57" t="n"/>
      <c r="F475" s="58" t="n"/>
      <c r="G475" s="66">
        <f>IF(tblFleet[[#This Row],[Units]]="","",tblFleet[[#This Row],[Units]]*cfg_HoursPerDay)</f>
        <v/>
      </c>
      <c r="H475" s="66">
        <f>IF(tblFleet[[#This Row],[Units]]="","",tblFleet[[#This Row],[Calendar_h]]-tblFleet[[#This Row],[Down_h]])</f>
        <v/>
      </c>
      <c r="I475" s="60">
        <f>IF(AND(tblFleet[[#This Row],[Units]]&lt;&gt;"",tblFleet[[#This Row],[Calendar_h]]&gt;0),tblFleet[[#This Row],[Available_h]]/tblFleet[[#This Row],[Calendar_h]],"")</f>
        <v/>
      </c>
      <c r="J475" s="60">
        <f>IF(AND(tblFleet[[#This Row],[Units]]&lt;&gt;"",tblFleet[[#This Row],[Available_h]]&gt;0),tblFleet[[#This Row],[Operating_h]]/tblFleet[[#This Row],[Available_h]],"")</f>
        <v/>
      </c>
    </row>
    <row r="476">
      <c r="A476" s="54" t="n"/>
      <c r="B476" s="61" t="n"/>
      <c r="C476" s="62" t="n"/>
      <c r="D476" s="57" t="n"/>
      <c r="E476" s="57" t="n"/>
      <c r="F476" s="58" t="n"/>
      <c r="G476" s="66">
        <f>IF(tblFleet[[#This Row],[Units]]="","",tblFleet[[#This Row],[Units]]*cfg_HoursPerDay)</f>
        <v/>
      </c>
      <c r="H476" s="66">
        <f>IF(tblFleet[[#This Row],[Units]]="","",tblFleet[[#This Row],[Calendar_h]]-tblFleet[[#This Row],[Down_h]])</f>
        <v/>
      </c>
      <c r="I476" s="60">
        <f>IF(AND(tblFleet[[#This Row],[Units]]&lt;&gt;"",tblFleet[[#This Row],[Calendar_h]]&gt;0),tblFleet[[#This Row],[Available_h]]/tblFleet[[#This Row],[Calendar_h]],"")</f>
        <v/>
      </c>
      <c r="J476" s="60">
        <f>IF(AND(tblFleet[[#This Row],[Units]]&lt;&gt;"",tblFleet[[#This Row],[Available_h]]&gt;0),tblFleet[[#This Row],[Operating_h]]/tblFleet[[#This Row],[Available_h]],"")</f>
        <v/>
      </c>
    </row>
    <row r="477">
      <c r="A477" s="54" t="n"/>
      <c r="B477" s="61" t="n"/>
      <c r="C477" s="62" t="n"/>
      <c r="D477" s="57" t="n"/>
      <c r="E477" s="57" t="n"/>
      <c r="F477" s="58" t="n"/>
      <c r="G477" s="66">
        <f>IF(tblFleet[[#This Row],[Units]]="","",tblFleet[[#This Row],[Units]]*cfg_HoursPerDay)</f>
        <v/>
      </c>
      <c r="H477" s="66">
        <f>IF(tblFleet[[#This Row],[Units]]="","",tblFleet[[#This Row],[Calendar_h]]-tblFleet[[#This Row],[Down_h]])</f>
        <v/>
      </c>
      <c r="I477" s="60">
        <f>IF(AND(tblFleet[[#This Row],[Units]]&lt;&gt;"",tblFleet[[#This Row],[Calendar_h]]&gt;0),tblFleet[[#This Row],[Available_h]]/tblFleet[[#This Row],[Calendar_h]],"")</f>
        <v/>
      </c>
      <c r="J477" s="60">
        <f>IF(AND(tblFleet[[#This Row],[Units]]&lt;&gt;"",tblFleet[[#This Row],[Available_h]]&gt;0),tblFleet[[#This Row],[Operating_h]]/tblFleet[[#This Row],[Available_h]],"")</f>
        <v/>
      </c>
    </row>
    <row r="478">
      <c r="A478" s="54" t="n"/>
      <c r="B478" s="61" t="n"/>
      <c r="C478" s="62" t="n"/>
      <c r="D478" s="57" t="n"/>
      <c r="E478" s="57" t="n"/>
      <c r="F478" s="58" t="n"/>
      <c r="G478" s="66">
        <f>IF(tblFleet[[#This Row],[Units]]="","",tblFleet[[#This Row],[Units]]*cfg_HoursPerDay)</f>
        <v/>
      </c>
      <c r="H478" s="66">
        <f>IF(tblFleet[[#This Row],[Units]]="","",tblFleet[[#This Row],[Calendar_h]]-tblFleet[[#This Row],[Down_h]])</f>
        <v/>
      </c>
      <c r="I478" s="60">
        <f>IF(AND(tblFleet[[#This Row],[Units]]&lt;&gt;"",tblFleet[[#This Row],[Calendar_h]]&gt;0),tblFleet[[#This Row],[Available_h]]/tblFleet[[#This Row],[Calendar_h]],"")</f>
        <v/>
      </c>
      <c r="J478" s="60">
        <f>IF(AND(tblFleet[[#This Row],[Units]]&lt;&gt;"",tblFleet[[#This Row],[Available_h]]&gt;0),tblFleet[[#This Row],[Operating_h]]/tblFleet[[#This Row],[Available_h]],"")</f>
        <v/>
      </c>
    </row>
    <row r="479">
      <c r="A479" s="54" t="n"/>
      <c r="B479" s="61" t="n"/>
      <c r="C479" s="62" t="n"/>
      <c r="D479" s="57" t="n"/>
      <c r="E479" s="57" t="n"/>
      <c r="F479" s="58" t="n"/>
      <c r="G479" s="66">
        <f>IF(tblFleet[[#This Row],[Units]]="","",tblFleet[[#This Row],[Units]]*cfg_HoursPerDay)</f>
        <v/>
      </c>
      <c r="H479" s="66">
        <f>IF(tblFleet[[#This Row],[Units]]="","",tblFleet[[#This Row],[Calendar_h]]-tblFleet[[#This Row],[Down_h]])</f>
        <v/>
      </c>
      <c r="I479" s="60">
        <f>IF(AND(tblFleet[[#This Row],[Units]]&lt;&gt;"",tblFleet[[#This Row],[Calendar_h]]&gt;0),tblFleet[[#This Row],[Available_h]]/tblFleet[[#This Row],[Calendar_h]],"")</f>
        <v/>
      </c>
      <c r="J479" s="60">
        <f>IF(AND(tblFleet[[#This Row],[Units]]&lt;&gt;"",tblFleet[[#This Row],[Available_h]]&gt;0),tblFleet[[#This Row],[Operating_h]]/tblFleet[[#This Row],[Available_h]],"")</f>
        <v/>
      </c>
    </row>
    <row r="480">
      <c r="A480" s="54" t="n"/>
      <c r="B480" s="61" t="n"/>
      <c r="C480" s="62" t="n"/>
      <c r="D480" s="57" t="n"/>
      <c r="E480" s="57" t="n"/>
      <c r="F480" s="58" t="n"/>
      <c r="G480" s="66">
        <f>IF(tblFleet[[#This Row],[Units]]="","",tblFleet[[#This Row],[Units]]*cfg_HoursPerDay)</f>
        <v/>
      </c>
      <c r="H480" s="66">
        <f>IF(tblFleet[[#This Row],[Units]]="","",tblFleet[[#This Row],[Calendar_h]]-tblFleet[[#This Row],[Down_h]])</f>
        <v/>
      </c>
      <c r="I480" s="60">
        <f>IF(AND(tblFleet[[#This Row],[Units]]&lt;&gt;"",tblFleet[[#This Row],[Calendar_h]]&gt;0),tblFleet[[#This Row],[Available_h]]/tblFleet[[#This Row],[Calendar_h]],"")</f>
        <v/>
      </c>
      <c r="J480" s="60">
        <f>IF(AND(tblFleet[[#This Row],[Units]]&lt;&gt;"",tblFleet[[#This Row],[Available_h]]&gt;0),tblFleet[[#This Row],[Operating_h]]/tblFleet[[#This Row],[Available_h]],"")</f>
        <v/>
      </c>
    </row>
    <row r="481">
      <c r="A481" s="54" t="n"/>
      <c r="B481" s="61" t="n"/>
      <c r="C481" s="62" t="n"/>
      <c r="D481" s="57" t="n"/>
      <c r="E481" s="57" t="n"/>
      <c r="F481" s="58" t="n"/>
      <c r="G481" s="66">
        <f>IF(tblFleet[[#This Row],[Units]]="","",tblFleet[[#This Row],[Units]]*cfg_HoursPerDay)</f>
        <v/>
      </c>
      <c r="H481" s="66">
        <f>IF(tblFleet[[#This Row],[Units]]="","",tblFleet[[#This Row],[Calendar_h]]-tblFleet[[#This Row],[Down_h]])</f>
        <v/>
      </c>
      <c r="I481" s="60">
        <f>IF(AND(tblFleet[[#This Row],[Units]]&lt;&gt;"",tblFleet[[#This Row],[Calendar_h]]&gt;0),tblFleet[[#This Row],[Available_h]]/tblFleet[[#This Row],[Calendar_h]],"")</f>
        <v/>
      </c>
      <c r="J481" s="60">
        <f>IF(AND(tblFleet[[#This Row],[Units]]&lt;&gt;"",tblFleet[[#This Row],[Available_h]]&gt;0),tblFleet[[#This Row],[Operating_h]]/tblFleet[[#This Row],[Available_h]],"")</f>
        <v/>
      </c>
    </row>
    <row r="482">
      <c r="A482" s="54" t="n"/>
      <c r="B482" s="61" t="n"/>
      <c r="C482" s="62" t="n"/>
      <c r="D482" s="57" t="n"/>
      <c r="E482" s="57" t="n"/>
      <c r="F482" s="58" t="n"/>
      <c r="G482" s="66">
        <f>IF(tblFleet[[#This Row],[Units]]="","",tblFleet[[#This Row],[Units]]*cfg_HoursPerDay)</f>
        <v/>
      </c>
      <c r="H482" s="66">
        <f>IF(tblFleet[[#This Row],[Units]]="","",tblFleet[[#This Row],[Calendar_h]]-tblFleet[[#This Row],[Down_h]])</f>
        <v/>
      </c>
      <c r="I482" s="60">
        <f>IF(AND(tblFleet[[#This Row],[Units]]&lt;&gt;"",tblFleet[[#This Row],[Calendar_h]]&gt;0),tblFleet[[#This Row],[Available_h]]/tblFleet[[#This Row],[Calendar_h]],"")</f>
        <v/>
      </c>
      <c r="J482" s="60">
        <f>IF(AND(tblFleet[[#This Row],[Units]]&lt;&gt;"",tblFleet[[#This Row],[Available_h]]&gt;0),tblFleet[[#This Row],[Operating_h]]/tblFleet[[#This Row],[Available_h]],"")</f>
        <v/>
      </c>
    </row>
    <row r="483">
      <c r="A483" s="54" t="n"/>
      <c r="B483" s="61" t="n"/>
      <c r="C483" s="62" t="n"/>
      <c r="D483" s="57" t="n"/>
      <c r="E483" s="57" t="n"/>
      <c r="F483" s="58" t="n"/>
      <c r="G483" s="66">
        <f>IF(tblFleet[[#This Row],[Units]]="","",tblFleet[[#This Row],[Units]]*cfg_HoursPerDay)</f>
        <v/>
      </c>
      <c r="H483" s="66">
        <f>IF(tblFleet[[#This Row],[Units]]="","",tblFleet[[#This Row],[Calendar_h]]-tblFleet[[#This Row],[Down_h]])</f>
        <v/>
      </c>
      <c r="I483" s="60">
        <f>IF(AND(tblFleet[[#This Row],[Units]]&lt;&gt;"",tblFleet[[#This Row],[Calendar_h]]&gt;0),tblFleet[[#This Row],[Available_h]]/tblFleet[[#This Row],[Calendar_h]],"")</f>
        <v/>
      </c>
      <c r="J483" s="60">
        <f>IF(AND(tblFleet[[#This Row],[Units]]&lt;&gt;"",tblFleet[[#This Row],[Available_h]]&gt;0),tblFleet[[#This Row],[Operating_h]]/tblFleet[[#This Row],[Available_h]],"")</f>
        <v/>
      </c>
    </row>
    <row r="484">
      <c r="A484" s="54" t="n"/>
      <c r="B484" s="61" t="n"/>
      <c r="C484" s="62" t="n"/>
      <c r="D484" s="57" t="n"/>
      <c r="E484" s="57" t="n"/>
      <c r="F484" s="58" t="n"/>
      <c r="G484" s="66">
        <f>IF(tblFleet[[#This Row],[Units]]="","",tblFleet[[#This Row],[Units]]*cfg_HoursPerDay)</f>
        <v/>
      </c>
      <c r="H484" s="66">
        <f>IF(tblFleet[[#This Row],[Units]]="","",tblFleet[[#This Row],[Calendar_h]]-tblFleet[[#This Row],[Down_h]])</f>
        <v/>
      </c>
      <c r="I484" s="60">
        <f>IF(AND(tblFleet[[#This Row],[Units]]&lt;&gt;"",tblFleet[[#This Row],[Calendar_h]]&gt;0),tblFleet[[#This Row],[Available_h]]/tblFleet[[#This Row],[Calendar_h]],"")</f>
        <v/>
      </c>
      <c r="J484" s="60">
        <f>IF(AND(tblFleet[[#This Row],[Units]]&lt;&gt;"",tblFleet[[#This Row],[Available_h]]&gt;0),tblFleet[[#This Row],[Operating_h]]/tblFleet[[#This Row],[Available_h]],"")</f>
        <v/>
      </c>
    </row>
    <row r="485">
      <c r="A485" s="54" t="n"/>
      <c r="B485" s="61" t="n"/>
      <c r="C485" s="62" t="n"/>
      <c r="D485" s="57" t="n"/>
      <c r="E485" s="57" t="n"/>
      <c r="F485" s="58" t="n"/>
      <c r="G485" s="66">
        <f>IF(tblFleet[[#This Row],[Units]]="","",tblFleet[[#This Row],[Units]]*cfg_HoursPerDay)</f>
        <v/>
      </c>
      <c r="H485" s="66">
        <f>IF(tblFleet[[#This Row],[Units]]="","",tblFleet[[#This Row],[Calendar_h]]-tblFleet[[#This Row],[Down_h]])</f>
        <v/>
      </c>
      <c r="I485" s="60">
        <f>IF(AND(tblFleet[[#This Row],[Units]]&lt;&gt;"",tblFleet[[#This Row],[Calendar_h]]&gt;0),tblFleet[[#This Row],[Available_h]]/tblFleet[[#This Row],[Calendar_h]],"")</f>
        <v/>
      </c>
      <c r="J485" s="60">
        <f>IF(AND(tblFleet[[#This Row],[Units]]&lt;&gt;"",tblFleet[[#This Row],[Available_h]]&gt;0),tblFleet[[#This Row],[Operating_h]]/tblFleet[[#This Row],[Available_h]],"")</f>
        <v/>
      </c>
    </row>
    <row r="486">
      <c r="A486" s="54" t="n"/>
      <c r="B486" s="61" t="n"/>
      <c r="C486" s="62" t="n"/>
      <c r="D486" s="57" t="n"/>
      <c r="E486" s="57" t="n"/>
      <c r="F486" s="58" t="n"/>
      <c r="G486" s="66">
        <f>IF(tblFleet[[#This Row],[Units]]="","",tblFleet[[#This Row],[Units]]*cfg_HoursPerDay)</f>
        <v/>
      </c>
      <c r="H486" s="66">
        <f>IF(tblFleet[[#This Row],[Units]]="","",tblFleet[[#This Row],[Calendar_h]]-tblFleet[[#This Row],[Down_h]])</f>
        <v/>
      </c>
      <c r="I486" s="60">
        <f>IF(AND(tblFleet[[#This Row],[Units]]&lt;&gt;"",tblFleet[[#This Row],[Calendar_h]]&gt;0),tblFleet[[#This Row],[Available_h]]/tblFleet[[#This Row],[Calendar_h]],"")</f>
        <v/>
      </c>
      <c r="J486" s="60">
        <f>IF(AND(tblFleet[[#This Row],[Units]]&lt;&gt;"",tblFleet[[#This Row],[Available_h]]&gt;0),tblFleet[[#This Row],[Operating_h]]/tblFleet[[#This Row],[Available_h]],"")</f>
        <v/>
      </c>
    </row>
    <row r="487">
      <c r="A487" s="54" t="n"/>
      <c r="B487" s="61" t="n"/>
      <c r="C487" s="62" t="n"/>
      <c r="D487" s="57" t="n"/>
      <c r="E487" s="57" t="n"/>
      <c r="F487" s="58" t="n"/>
      <c r="G487" s="66">
        <f>IF(tblFleet[[#This Row],[Units]]="","",tblFleet[[#This Row],[Units]]*cfg_HoursPerDay)</f>
        <v/>
      </c>
      <c r="H487" s="66">
        <f>IF(tblFleet[[#This Row],[Units]]="","",tblFleet[[#This Row],[Calendar_h]]-tblFleet[[#This Row],[Down_h]])</f>
        <v/>
      </c>
      <c r="I487" s="60">
        <f>IF(AND(tblFleet[[#This Row],[Units]]&lt;&gt;"",tblFleet[[#This Row],[Calendar_h]]&gt;0),tblFleet[[#This Row],[Available_h]]/tblFleet[[#This Row],[Calendar_h]],"")</f>
        <v/>
      </c>
      <c r="J487" s="60">
        <f>IF(AND(tblFleet[[#This Row],[Units]]&lt;&gt;"",tblFleet[[#This Row],[Available_h]]&gt;0),tblFleet[[#This Row],[Operating_h]]/tblFleet[[#This Row],[Available_h]],"")</f>
        <v/>
      </c>
    </row>
    <row r="488">
      <c r="A488" s="54" t="n"/>
      <c r="B488" s="61" t="n"/>
      <c r="C488" s="62" t="n"/>
      <c r="D488" s="57" t="n"/>
      <c r="E488" s="57" t="n"/>
      <c r="F488" s="58" t="n"/>
      <c r="G488" s="66">
        <f>IF(tblFleet[[#This Row],[Units]]="","",tblFleet[[#This Row],[Units]]*cfg_HoursPerDay)</f>
        <v/>
      </c>
      <c r="H488" s="66">
        <f>IF(tblFleet[[#This Row],[Units]]="","",tblFleet[[#This Row],[Calendar_h]]-tblFleet[[#This Row],[Down_h]])</f>
        <v/>
      </c>
      <c r="I488" s="60">
        <f>IF(AND(tblFleet[[#This Row],[Units]]&lt;&gt;"",tblFleet[[#This Row],[Calendar_h]]&gt;0),tblFleet[[#This Row],[Available_h]]/tblFleet[[#This Row],[Calendar_h]],"")</f>
        <v/>
      </c>
      <c r="J488" s="60">
        <f>IF(AND(tblFleet[[#This Row],[Units]]&lt;&gt;"",tblFleet[[#This Row],[Available_h]]&gt;0),tblFleet[[#This Row],[Operating_h]]/tblFleet[[#This Row],[Available_h]],"")</f>
        <v/>
      </c>
    </row>
    <row r="489">
      <c r="A489" s="54" t="n"/>
      <c r="B489" s="61" t="n"/>
      <c r="C489" s="62" t="n"/>
      <c r="D489" s="57" t="n"/>
      <c r="E489" s="57" t="n"/>
      <c r="F489" s="58" t="n"/>
      <c r="G489" s="66">
        <f>IF(tblFleet[[#This Row],[Units]]="","",tblFleet[[#This Row],[Units]]*cfg_HoursPerDay)</f>
        <v/>
      </c>
      <c r="H489" s="66">
        <f>IF(tblFleet[[#This Row],[Units]]="","",tblFleet[[#This Row],[Calendar_h]]-tblFleet[[#This Row],[Down_h]])</f>
        <v/>
      </c>
      <c r="I489" s="60">
        <f>IF(AND(tblFleet[[#This Row],[Units]]&lt;&gt;"",tblFleet[[#This Row],[Calendar_h]]&gt;0),tblFleet[[#This Row],[Available_h]]/tblFleet[[#This Row],[Calendar_h]],"")</f>
        <v/>
      </c>
      <c r="J489" s="60">
        <f>IF(AND(tblFleet[[#This Row],[Units]]&lt;&gt;"",tblFleet[[#This Row],[Available_h]]&gt;0),tblFleet[[#This Row],[Operating_h]]/tblFleet[[#This Row],[Available_h]],"")</f>
        <v/>
      </c>
    </row>
    <row r="490">
      <c r="A490" s="54" t="n"/>
      <c r="B490" s="61" t="n"/>
      <c r="C490" s="62" t="n"/>
      <c r="D490" s="57" t="n"/>
      <c r="E490" s="57" t="n"/>
      <c r="F490" s="58" t="n"/>
      <c r="G490" s="66">
        <f>IF(tblFleet[[#This Row],[Units]]="","",tblFleet[[#This Row],[Units]]*cfg_HoursPerDay)</f>
        <v/>
      </c>
      <c r="H490" s="66">
        <f>IF(tblFleet[[#This Row],[Units]]="","",tblFleet[[#This Row],[Calendar_h]]-tblFleet[[#This Row],[Down_h]])</f>
        <v/>
      </c>
      <c r="I490" s="60">
        <f>IF(AND(tblFleet[[#This Row],[Units]]&lt;&gt;"",tblFleet[[#This Row],[Calendar_h]]&gt;0),tblFleet[[#This Row],[Available_h]]/tblFleet[[#This Row],[Calendar_h]],"")</f>
        <v/>
      </c>
      <c r="J490" s="60">
        <f>IF(AND(tblFleet[[#This Row],[Units]]&lt;&gt;"",tblFleet[[#This Row],[Available_h]]&gt;0),tblFleet[[#This Row],[Operating_h]]/tblFleet[[#This Row],[Available_h]],"")</f>
        <v/>
      </c>
    </row>
    <row r="491">
      <c r="A491" s="54" t="n"/>
      <c r="B491" s="61" t="n"/>
      <c r="C491" s="62" t="n"/>
      <c r="D491" s="57" t="n"/>
      <c r="E491" s="57" t="n"/>
      <c r="F491" s="58" t="n"/>
      <c r="G491" s="66">
        <f>IF(tblFleet[[#This Row],[Units]]="","",tblFleet[[#This Row],[Units]]*cfg_HoursPerDay)</f>
        <v/>
      </c>
      <c r="H491" s="66">
        <f>IF(tblFleet[[#This Row],[Units]]="","",tblFleet[[#This Row],[Calendar_h]]-tblFleet[[#This Row],[Down_h]])</f>
        <v/>
      </c>
      <c r="I491" s="60">
        <f>IF(AND(tblFleet[[#This Row],[Units]]&lt;&gt;"",tblFleet[[#This Row],[Calendar_h]]&gt;0),tblFleet[[#This Row],[Available_h]]/tblFleet[[#This Row],[Calendar_h]],"")</f>
        <v/>
      </c>
      <c r="J491" s="60">
        <f>IF(AND(tblFleet[[#This Row],[Units]]&lt;&gt;"",tblFleet[[#This Row],[Available_h]]&gt;0),tblFleet[[#This Row],[Operating_h]]/tblFleet[[#This Row],[Available_h]],"")</f>
        <v/>
      </c>
    </row>
    <row r="492">
      <c r="A492" s="54" t="n"/>
      <c r="B492" s="61" t="n"/>
      <c r="C492" s="62" t="n"/>
      <c r="D492" s="57" t="n"/>
      <c r="E492" s="57" t="n"/>
      <c r="F492" s="58" t="n"/>
      <c r="G492" s="66">
        <f>IF(tblFleet[[#This Row],[Units]]="","",tblFleet[[#This Row],[Units]]*cfg_HoursPerDay)</f>
        <v/>
      </c>
      <c r="H492" s="66">
        <f>IF(tblFleet[[#This Row],[Units]]="","",tblFleet[[#This Row],[Calendar_h]]-tblFleet[[#This Row],[Down_h]])</f>
        <v/>
      </c>
      <c r="I492" s="60">
        <f>IF(AND(tblFleet[[#This Row],[Units]]&lt;&gt;"",tblFleet[[#This Row],[Calendar_h]]&gt;0),tblFleet[[#This Row],[Available_h]]/tblFleet[[#This Row],[Calendar_h]],"")</f>
        <v/>
      </c>
      <c r="J492" s="60">
        <f>IF(AND(tblFleet[[#This Row],[Units]]&lt;&gt;"",tblFleet[[#This Row],[Available_h]]&gt;0),tblFleet[[#This Row],[Operating_h]]/tblFleet[[#This Row],[Available_h]],"")</f>
        <v/>
      </c>
    </row>
    <row r="493">
      <c r="A493" s="54" t="n"/>
      <c r="B493" s="61" t="n"/>
      <c r="C493" s="62" t="n"/>
      <c r="D493" s="57" t="n"/>
      <c r="E493" s="57" t="n"/>
      <c r="F493" s="58" t="n"/>
      <c r="G493" s="66">
        <f>IF(tblFleet[[#This Row],[Units]]="","",tblFleet[[#This Row],[Units]]*cfg_HoursPerDay)</f>
        <v/>
      </c>
      <c r="H493" s="66">
        <f>IF(tblFleet[[#This Row],[Units]]="","",tblFleet[[#This Row],[Calendar_h]]-tblFleet[[#This Row],[Down_h]])</f>
        <v/>
      </c>
      <c r="I493" s="60">
        <f>IF(AND(tblFleet[[#This Row],[Units]]&lt;&gt;"",tblFleet[[#This Row],[Calendar_h]]&gt;0),tblFleet[[#This Row],[Available_h]]/tblFleet[[#This Row],[Calendar_h]],"")</f>
        <v/>
      </c>
      <c r="J493" s="60">
        <f>IF(AND(tblFleet[[#This Row],[Units]]&lt;&gt;"",tblFleet[[#This Row],[Available_h]]&gt;0),tblFleet[[#This Row],[Operating_h]]/tblFleet[[#This Row],[Available_h]],"")</f>
        <v/>
      </c>
    </row>
    <row r="494">
      <c r="A494" s="54" t="n"/>
      <c r="B494" s="61" t="n"/>
      <c r="C494" s="62" t="n"/>
      <c r="D494" s="57" t="n"/>
      <c r="E494" s="57" t="n"/>
      <c r="F494" s="58" t="n"/>
      <c r="G494" s="66">
        <f>IF(tblFleet[[#This Row],[Units]]="","",tblFleet[[#This Row],[Units]]*cfg_HoursPerDay)</f>
        <v/>
      </c>
      <c r="H494" s="66">
        <f>IF(tblFleet[[#This Row],[Units]]="","",tblFleet[[#This Row],[Calendar_h]]-tblFleet[[#This Row],[Down_h]])</f>
        <v/>
      </c>
      <c r="I494" s="60">
        <f>IF(AND(tblFleet[[#This Row],[Units]]&lt;&gt;"",tblFleet[[#This Row],[Calendar_h]]&gt;0),tblFleet[[#This Row],[Available_h]]/tblFleet[[#This Row],[Calendar_h]],"")</f>
        <v/>
      </c>
      <c r="J494" s="60">
        <f>IF(AND(tblFleet[[#This Row],[Units]]&lt;&gt;"",tblFleet[[#This Row],[Available_h]]&gt;0),tblFleet[[#This Row],[Operating_h]]/tblFleet[[#This Row],[Available_h]],"")</f>
        <v/>
      </c>
    </row>
    <row r="495">
      <c r="A495" s="54" t="n"/>
      <c r="B495" s="61" t="n"/>
      <c r="C495" s="62" t="n"/>
      <c r="D495" s="57" t="n"/>
      <c r="E495" s="57" t="n"/>
      <c r="F495" s="58" t="n"/>
      <c r="G495" s="66">
        <f>IF(tblFleet[[#This Row],[Units]]="","",tblFleet[[#This Row],[Units]]*cfg_HoursPerDay)</f>
        <v/>
      </c>
      <c r="H495" s="66">
        <f>IF(tblFleet[[#This Row],[Units]]="","",tblFleet[[#This Row],[Calendar_h]]-tblFleet[[#This Row],[Down_h]])</f>
        <v/>
      </c>
      <c r="I495" s="60">
        <f>IF(AND(tblFleet[[#This Row],[Units]]&lt;&gt;"",tblFleet[[#This Row],[Calendar_h]]&gt;0),tblFleet[[#This Row],[Available_h]]/tblFleet[[#This Row],[Calendar_h]],"")</f>
        <v/>
      </c>
      <c r="J495" s="60">
        <f>IF(AND(tblFleet[[#This Row],[Units]]&lt;&gt;"",tblFleet[[#This Row],[Available_h]]&gt;0),tblFleet[[#This Row],[Operating_h]]/tblFleet[[#This Row],[Available_h]],"")</f>
        <v/>
      </c>
    </row>
    <row r="496">
      <c r="A496" s="54" t="n"/>
      <c r="B496" s="61" t="n"/>
      <c r="C496" s="62" t="n"/>
      <c r="D496" s="57" t="n"/>
      <c r="E496" s="57" t="n"/>
      <c r="F496" s="58" t="n"/>
      <c r="G496" s="66">
        <f>IF(tblFleet[[#This Row],[Units]]="","",tblFleet[[#This Row],[Units]]*cfg_HoursPerDay)</f>
        <v/>
      </c>
      <c r="H496" s="66">
        <f>IF(tblFleet[[#This Row],[Units]]="","",tblFleet[[#This Row],[Calendar_h]]-tblFleet[[#This Row],[Down_h]])</f>
        <v/>
      </c>
      <c r="I496" s="60">
        <f>IF(AND(tblFleet[[#This Row],[Units]]&lt;&gt;"",tblFleet[[#This Row],[Calendar_h]]&gt;0),tblFleet[[#This Row],[Available_h]]/tblFleet[[#This Row],[Calendar_h]],"")</f>
        <v/>
      </c>
      <c r="J496" s="60">
        <f>IF(AND(tblFleet[[#This Row],[Units]]&lt;&gt;"",tblFleet[[#This Row],[Available_h]]&gt;0),tblFleet[[#This Row],[Operating_h]]/tblFleet[[#This Row],[Available_h]],"")</f>
        <v/>
      </c>
    </row>
    <row r="497">
      <c r="A497" s="54" t="n"/>
      <c r="B497" s="61" t="n"/>
      <c r="C497" s="62" t="n"/>
      <c r="D497" s="57" t="n"/>
      <c r="E497" s="57" t="n"/>
      <c r="F497" s="58" t="n"/>
      <c r="G497" s="66">
        <f>IF(tblFleet[[#This Row],[Units]]="","",tblFleet[[#This Row],[Units]]*cfg_HoursPerDay)</f>
        <v/>
      </c>
      <c r="H497" s="66">
        <f>IF(tblFleet[[#This Row],[Units]]="","",tblFleet[[#This Row],[Calendar_h]]-tblFleet[[#This Row],[Down_h]])</f>
        <v/>
      </c>
      <c r="I497" s="60">
        <f>IF(AND(tblFleet[[#This Row],[Units]]&lt;&gt;"",tblFleet[[#This Row],[Calendar_h]]&gt;0),tblFleet[[#This Row],[Available_h]]/tblFleet[[#This Row],[Calendar_h]],"")</f>
        <v/>
      </c>
      <c r="J497" s="60">
        <f>IF(AND(tblFleet[[#This Row],[Units]]&lt;&gt;"",tblFleet[[#This Row],[Available_h]]&gt;0),tblFleet[[#This Row],[Operating_h]]/tblFleet[[#This Row],[Available_h]],"")</f>
        <v/>
      </c>
    </row>
    <row r="498">
      <c r="A498" s="54" t="n"/>
      <c r="B498" s="61" t="n"/>
      <c r="C498" s="62" t="n"/>
      <c r="D498" s="57" t="n"/>
      <c r="E498" s="57" t="n"/>
      <c r="F498" s="58" t="n"/>
      <c r="G498" s="66">
        <f>IF(tblFleet[[#This Row],[Units]]="","",tblFleet[[#This Row],[Units]]*cfg_HoursPerDay)</f>
        <v/>
      </c>
      <c r="H498" s="66">
        <f>IF(tblFleet[[#This Row],[Units]]="","",tblFleet[[#This Row],[Calendar_h]]-tblFleet[[#This Row],[Down_h]])</f>
        <v/>
      </c>
      <c r="I498" s="60">
        <f>IF(AND(tblFleet[[#This Row],[Units]]&lt;&gt;"",tblFleet[[#This Row],[Calendar_h]]&gt;0),tblFleet[[#This Row],[Available_h]]/tblFleet[[#This Row],[Calendar_h]],"")</f>
        <v/>
      </c>
      <c r="J498" s="60">
        <f>IF(AND(tblFleet[[#This Row],[Units]]&lt;&gt;"",tblFleet[[#This Row],[Available_h]]&gt;0),tblFleet[[#This Row],[Operating_h]]/tblFleet[[#This Row],[Available_h]],"")</f>
        <v/>
      </c>
    </row>
    <row r="499">
      <c r="A499" s="54" t="n"/>
      <c r="B499" s="61" t="n"/>
      <c r="C499" s="62" t="n"/>
      <c r="D499" s="57" t="n"/>
      <c r="E499" s="57" t="n"/>
      <c r="F499" s="58" t="n"/>
      <c r="G499" s="66">
        <f>IF(tblFleet[[#This Row],[Units]]="","",tblFleet[[#This Row],[Units]]*cfg_HoursPerDay)</f>
        <v/>
      </c>
      <c r="H499" s="66">
        <f>IF(tblFleet[[#This Row],[Units]]="","",tblFleet[[#This Row],[Calendar_h]]-tblFleet[[#This Row],[Down_h]])</f>
        <v/>
      </c>
      <c r="I499" s="60">
        <f>IF(AND(tblFleet[[#This Row],[Units]]&lt;&gt;"",tblFleet[[#This Row],[Calendar_h]]&gt;0),tblFleet[[#This Row],[Available_h]]/tblFleet[[#This Row],[Calendar_h]],"")</f>
        <v/>
      </c>
      <c r="J499" s="60">
        <f>IF(AND(tblFleet[[#This Row],[Units]]&lt;&gt;"",tblFleet[[#This Row],[Available_h]]&gt;0),tblFleet[[#This Row],[Operating_h]]/tblFleet[[#This Row],[Available_h]],"")</f>
        <v/>
      </c>
    </row>
    <row r="500">
      <c r="A500" s="54" t="n"/>
      <c r="B500" s="61" t="n"/>
      <c r="C500" s="62" t="n"/>
      <c r="D500" s="57" t="n"/>
      <c r="E500" s="57" t="n"/>
      <c r="F500" s="58" t="n"/>
      <c r="G500" s="66">
        <f>IF(tblFleet[[#This Row],[Units]]="","",tblFleet[[#This Row],[Units]]*cfg_HoursPerDay)</f>
        <v/>
      </c>
      <c r="H500" s="66">
        <f>IF(tblFleet[[#This Row],[Units]]="","",tblFleet[[#This Row],[Calendar_h]]-tblFleet[[#This Row],[Down_h]])</f>
        <v/>
      </c>
      <c r="I500" s="60">
        <f>IF(AND(tblFleet[[#This Row],[Units]]&lt;&gt;"",tblFleet[[#This Row],[Calendar_h]]&gt;0),tblFleet[[#This Row],[Available_h]]/tblFleet[[#This Row],[Calendar_h]],"")</f>
        <v/>
      </c>
      <c r="J500" s="60">
        <f>IF(AND(tblFleet[[#This Row],[Units]]&lt;&gt;"",tblFleet[[#This Row],[Available_h]]&gt;0),tblFleet[[#This Row],[Operating_h]]/tblFleet[[#This Row],[Available_h]],"")</f>
        <v/>
      </c>
    </row>
    <row r="501">
      <c r="A501" s="54" t="n"/>
      <c r="B501" s="61" t="n"/>
      <c r="C501" s="62" t="n"/>
      <c r="D501" s="57" t="n"/>
      <c r="E501" s="57" t="n"/>
      <c r="F501" s="58" t="n"/>
      <c r="G501" s="66">
        <f>IF(tblFleet[[#This Row],[Units]]="","",tblFleet[[#This Row],[Units]]*cfg_HoursPerDay)</f>
        <v/>
      </c>
      <c r="H501" s="66">
        <f>IF(tblFleet[[#This Row],[Units]]="","",tblFleet[[#This Row],[Calendar_h]]-tblFleet[[#This Row],[Down_h]])</f>
        <v/>
      </c>
      <c r="I501" s="60">
        <f>IF(AND(tblFleet[[#This Row],[Units]]&lt;&gt;"",tblFleet[[#This Row],[Calendar_h]]&gt;0),tblFleet[[#This Row],[Available_h]]/tblFleet[[#This Row],[Calendar_h]],"")</f>
        <v/>
      </c>
      <c r="J501" s="60">
        <f>IF(AND(tblFleet[[#This Row],[Units]]&lt;&gt;"",tblFleet[[#This Row],[Available_h]]&gt;0),tblFleet[[#This Row],[Operating_h]]/tblFleet[[#This Row],[Available_h]],"")</f>
        <v/>
      </c>
    </row>
    <row r="502">
      <c r="A502" s="54" t="n"/>
      <c r="B502" s="61" t="n"/>
      <c r="C502" s="62" t="n"/>
      <c r="D502" s="57" t="n"/>
      <c r="E502" s="57" t="n"/>
      <c r="F502" s="58" t="n"/>
      <c r="G502" s="66">
        <f>IF(tblFleet[[#This Row],[Units]]="","",tblFleet[[#This Row],[Units]]*cfg_HoursPerDay)</f>
        <v/>
      </c>
      <c r="H502" s="66">
        <f>IF(tblFleet[[#This Row],[Units]]="","",tblFleet[[#This Row],[Calendar_h]]-tblFleet[[#This Row],[Down_h]])</f>
        <v/>
      </c>
      <c r="I502" s="60">
        <f>IF(AND(tblFleet[[#This Row],[Units]]&lt;&gt;"",tblFleet[[#This Row],[Calendar_h]]&gt;0),tblFleet[[#This Row],[Available_h]]/tblFleet[[#This Row],[Calendar_h]],"")</f>
        <v/>
      </c>
      <c r="J502" s="60">
        <f>IF(AND(tblFleet[[#This Row],[Units]]&lt;&gt;"",tblFleet[[#This Row],[Available_h]]&gt;0),tblFleet[[#This Row],[Operating_h]]/tblFleet[[#This Row],[Available_h]],"")</f>
        <v/>
      </c>
    </row>
    <row r="503">
      <c r="A503" s="54" t="n"/>
      <c r="B503" s="61" t="n"/>
      <c r="C503" s="62" t="n"/>
      <c r="D503" s="57" t="n"/>
      <c r="E503" s="57" t="n"/>
      <c r="F503" s="58" t="n"/>
      <c r="G503" s="66">
        <f>IF(tblFleet[[#This Row],[Units]]="","",tblFleet[[#This Row],[Units]]*cfg_HoursPerDay)</f>
        <v/>
      </c>
      <c r="H503" s="66">
        <f>IF(tblFleet[[#This Row],[Units]]="","",tblFleet[[#This Row],[Calendar_h]]-tblFleet[[#This Row],[Down_h]])</f>
        <v/>
      </c>
      <c r="I503" s="60">
        <f>IF(AND(tblFleet[[#This Row],[Units]]&lt;&gt;"",tblFleet[[#This Row],[Calendar_h]]&gt;0),tblFleet[[#This Row],[Available_h]]/tblFleet[[#This Row],[Calendar_h]],"")</f>
        <v/>
      </c>
      <c r="J503" s="60">
        <f>IF(AND(tblFleet[[#This Row],[Units]]&lt;&gt;"",tblFleet[[#This Row],[Available_h]]&gt;0),tblFleet[[#This Row],[Operating_h]]/tblFleet[[#This Row],[Available_h]],"")</f>
        <v/>
      </c>
    </row>
    <row r="504">
      <c r="A504" s="54" t="n"/>
      <c r="B504" s="61" t="n"/>
      <c r="C504" s="62" t="n"/>
      <c r="D504" s="57" t="n"/>
      <c r="E504" s="57" t="n"/>
      <c r="F504" s="58" t="n"/>
      <c r="G504" s="66">
        <f>IF(tblFleet[[#This Row],[Units]]="","",tblFleet[[#This Row],[Units]]*cfg_HoursPerDay)</f>
        <v/>
      </c>
      <c r="H504" s="66">
        <f>IF(tblFleet[[#This Row],[Units]]="","",tblFleet[[#This Row],[Calendar_h]]-tblFleet[[#This Row],[Down_h]])</f>
        <v/>
      </c>
      <c r="I504" s="60">
        <f>IF(AND(tblFleet[[#This Row],[Units]]&lt;&gt;"",tblFleet[[#This Row],[Calendar_h]]&gt;0),tblFleet[[#This Row],[Available_h]]/tblFleet[[#This Row],[Calendar_h]],"")</f>
        <v/>
      </c>
      <c r="J504" s="60">
        <f>IF(AND(tblFleet[[#This Row],[Units]]&lt;&gt;"",tblFleet[[#This Row],[Available_h]]&gt;0),tblFleet[[#This Row],[Operating_h]]/tblFleet[[#This Row],[Available_h]],"")</f>
        <v/>
      </c>
    </row>
    <row r="505">
      <c r="A505" s="54" t="n"/>
      <c r="B505" s="61" t="n"/>
      <c r="C505" s="62" t="n"/>
      <c r="D505" s="57" t="n"/>
      <c r="E505" s="57" t="n"/>
      <c r="F505" s="58" t="n"/>
      <c r="G505" s="66">
        <f>IF(tblFleet[[#This Row],[Units]]="","",tblFleet[[#This Row],[Units]]*cfg_HoursPerDay)</f>
        <v/>
      </c>
      <c r="H505" s="66">
        <f>IF(tblFleet[[#This Row],[Units]]="","",tblFleet[[#This Row],[Calendar_h]]-tblFleet[[#This Row],[Down_h]])</f>
        <v/>
      </c>
      <c r="I505" s="60">
        <f>IF(AND(tblFleet[[#This Row],[Units]]&lt;&gt;"",tblFleet[[#This Row],[Calendar_h]]&gt;0),tblFleet[[#This Row],[Available_h]]/tblFleet[[#This Row],[Calendar_h]],"")</f>
        <v/>
      </c>
      <c r="J505" s="60">
        <f>IF(AND(tblFleet[[#This Row],[Units]]&lt;&gt;"",tblFleet[[#This Row],[Available_h]]&gt;0),tblFleet[[#This Row],[Operating_h]]/tblFleet[[#This Row],[Available_h]],"")</f>
        <v/>
      </c>
    </row>
    <row r="506">
      <c r="A506" s="54" t="n"/>
      <c r="B506" s="61" t="n"/>
      <c r="C506" s="62" t="n"/>
      <c r="D506" s="57" t="n"/>
      <c r="E506" s="57" t="n"/>
      <c r="F506" s="58" t="n"/>
      <c r="G506" s="66">
        <f>IF(tblFleet[[#This Row],[Units]]="","",tblFleet[[#This Row],[Units]]*cfg_HoursPerDay)</f>
        <v/>
      </c>
      <c r="H506" s="66">
        <f>IF(tblFleet[[#This Row],[Units]]="","",tblFleet[[#This Row],[Calendar_h]]-tblFleet[[#This Row],[Down_h]])</f>
        <v/>
      </c>
      <c r="I506" s="60">
        <f>IF(AND(tblFleet[[#This Row],[Units]]&lt;&gt;"",tblFleet[[#This Row],[Calendar_h]]&gt;0),tblFleet[[#This Row],[Available_h]]/tblFleet[[#This Row],[Calendar_h]],"")</f>
        <v/>
      </c>
      <c r="J506" s="60">
        <f>IF(AND(tblFleet[[#This Row],[Units]]&lt;&gt;"",tblFleet[[#This Row],[Available_h]]&gt;0),tblFleet[[#This Row],[Operating_h]]/tblFleet[[#This Row],[Available_h]],"")</f>
        <v/>
      </c>
    </row>
    <row r="507">
      <c r="A507" s="54" t="n"/>
      <c r="B507" s="61" t="n"/>
      <c r="C507" s="62" t="n"/>
      <c r="D507" s="57" t="n"/>
      <c r="E507" s="57" t="n"/>
      <c r="F507" s="58" t="n"/>
      <c r="G507" s="66">
        <f>IF(tblFleet[[#This Row],[Units]]="","",tblFleet[[#This Row],[Units]]*cfg_HoursPerDay)</f>
        <v/>
      </c>
      <c r="H507" s="66">
        <f>IF(tblFleet[[#This Row],[Units]]="","",tblFleet[[#This Row],[Calendar_h]]-tblFleet[[#This Row],[Down_h]])</f>
        <v/>
      </c>
      <c r="I507" s="60">
        <f>IF(AND(tblFleet[[#This Row],[Units]]&lt;&gt;"",tblFleet[[#This Row],[Calendar_h]]&gt;0),tblFleet[[#This Row],[Available_h]]/tblFleet[[#This Row],[Calendar_h]],"")</f>
        <v/>
      </c>
      <c r="J507" s="60">
        <f>IF(AND(tblFleet[[#This Row],[Units]]&lt;&gt;"",tblFleet[[#This Row],[Available_h]]&gt;0),tblFleet[[#This Row],[Operating_h]]/tblFleet[[#This Row],[Available_h]],"")</f>
        <v/>
      </c>
    </row>
    <row r="508">
      <c r="A508" s="54" t="n"/>
      <c r="B508" s="61" t="n"/>
      <c r="C508" s="62" t="n"/>
      <c r="D508" s="57" t="n"/>
      <c r="E508" s="57" t="n"/>
      <c r="F508" s="58" t="n"/>
      <c r="G508" s="66">
        <f>IF(tblFleet[[#This Row],[Units]]="","",tblFleet[[#This Row],[Units]]*cfg_HoursPerDay)</f>
        <v/>
      </c>
      <c r="H508" s="66">
        <f>IF(tblFleet[[#This Row],[Units]]="","",tblFleet[[#This Row],[Calendar_h]]-tblFleet[[#This Row],[Down_h]])</f>
        <v/>
      </c>
      <c r="I508" s="60">
        <f>IF(AND(tblFleet[[#This Row],[Units]]&lt;&gt;"",tblFleet[[#This Row],[Calendar_h]]&gt;0),tblFleet[[#This Row],[Available_h]]/tblFleet[[#This Row],[Calendar_h]],"")</f>
        <v/>
      </c>
      <c r="J508" s="60">
        <f>IF(AND(tblFleet[[#This Row],[Units]]&lt;&gt;"",tblFleet[[#This Row],[Available_h]]&gt;0),tblFleet[[#This Row],[Operating_h]]/tblFleet[[#This Row],[Available_h]],"")</f>
        <v/>
      </c>
    </row>
    <row r="509">
      <c r="A509" s="54" t="n"/>
      <c r="B509" s="61" t="n"/>
      <c r="C509" s="62" t="n"/>
      <c r="D509" s="57" t="n"/>
      <c r="E509" s="57" t="n"/>
      <c r="F509" s="58" t="n"/>
      <c r="G509" s="66">
        <f>IF(tblFleet[[#This Row],[Units]]="","",tblFleet[[#This Row],[Units]]*cfg_HoursPerDay)</f>
        <v/>
      </c>
      <c r="H509" s="66">
        <f>IF(tblFleet[[#This Row],[Units]]="","",tblFleet[[#This Row],[Calendar_h]]-tblFleet[[#This Row],[Down_h]])</f>
        <v/>
      </c>
      <c r="I509" s="60">
        <f>IF(AND(tblFleet[[#This Row],[Units]]&lt;&gt;"",tblFleet[[#This Row],[Calendar_h]]&gt;0),tblFleet[[#This Row],[Available_h]]/tblFleet[[#This Row],[Calendar_h]],"")</f>
        <v/>
      </c>
      <c r="J509" s="60">
        <f>IF(AND(tblFleet[[#This Row],[Units]]&lt;&gt;"",tblFleet[[#This Row],[Available_h]]&gt;0),tblFleet[[#This Row],[Operating_h]]/tblFleet[[#This Row],[Available_h]],"")</f>
        <v/>
      </c>
    </row>
    <row r="510">
      <c r="A510" s="54" t="n"/>
      <c r="B510" s="61" t="n"/>
      <c r="C510" s="62" t="n"/>
      <c r="D510" s="57" t="n"/>
      <c r="E510" s="57" t="n"/>
      <c r="F510" s="58" t="n"/>
      <c r="G510" s="66">
        <f>IF(tblFleet[[#This Row],[Units]]="","",tblFleet[[#This Row],[Units]]*cfg_HoursPerDay)</f>
        <v/>
      </c>
      <c r="H510" s="66">
        <f>IF(tblFleet[[#This Row],[Units]]="","",tblFleet[[#This Row],[Calendar_h]]-tblFleet[[#This Row],[Down_h]])</f>
        <v/>
      </c>
      <c r="I510" s="60">
        <f>IF(AND(tblFleet[[#This Row],[Units]]&lt;&gt;"",tblFleet[[#This Row],[Calendar_h]]&gt;0),tblFleet[[#This Row],[Available_h]]/tblFleet[[#This Row],[Calendar_h]],"")</f>
        <v/>
      </c>
      <c r="J510" s="60">
        <f>IF(AND(tblFleet[[#This Row],[Units]]&lt;&gt;"",tblFleet[[#This Row],[Available_h]]&gt;0),tblFleet[[#This Row],[Operating_h]]/tblFleet[[#This Row],[Available_h]],"")</f>
        <v/>
      </c>
    </row>
    <row r="511">
      <c r="A511" s="54" t="n"/>
      <c r="B511" s="61" t="n"/>
      <c r="C511" s="62" t="n"/>
      <c r="D511" s="57" t="n"/>
      <c r="E511" s="57" t="n"/>
      <c r="F511" s="58" t="n"/>
      <c r="G511" s="66">
        <f>IF(tblFleet[[#This Row],[Units]]="","",tblFleet[[#This Row],[Units]]*cfg_HoursPerDay)</f>
        <v/>
      </c>
      <c r="H511" s="66">
        <f>IF(tblFleet[[#This Row],[Units]]="","",tblFleet[[#This Row],[Calendar_h]]-tblFleet[[#This Row],[Down_h]])</f>
        <v/>
      </c>
      <c r="I511" s="60">
        <f>IF(AND(tblFleet[[#This Row],[Units]]&lt;&gt;"",tblFleet[[#This Row],[Calendar_h]]&gt;0),tblFleet[[#This Row],[Available_h]]/tblFleet[[#This Row],[Calendar_h]],"")</f>
        <v/>
      </c>
      <c r="J511" s="60">
        <f>IF(AND(tblFleet[[#This Row],[Units]]&lt;&gt;"",tblFleet[[#This Row],[Available_h]]&gt;0),tblFleet[[#This Row],[Operating_h]]/tblFleet[[#This Row],[Available_h]],"")</f>
        <v/>
      </c>
    </row>
    <row r="512">
      <c r="A512" s="54" t="n"/>
      <c r="B512" s="61" t="n"/>
      <c r="C512" s="62" t="n"/>
      <c r="D512" s="57" t="n"/>
      <c r="E512" s="57" t="n"/>
      <c r="F512" s="58" t="n"/>
      <c r="G512" s="66">
        <f>IF(tblFleet[[#This Row],[Units]]="","",tblFleet[[#This Row],[Units]]*cfg_HoursPerDay)</f>
        <v/>
      </c>
      <c r="H512" s="66">
        <f>IF(tblFleet[[#This Row],[Units]]="","",tblFleet[[#This Row],[Calendar_h]]-tblFleet[[#This Row],[Down_h]])</f>
        <v/>
      </c>
      <c r="I512" s="60">
        <f>IF(AND(tblFleet[[#This Row],[Units]]&lt;&gt;"",tblFleet[[#This Row],[Calendar_h]]&gt;0),tblFleet[[#This Row],[Available_h]]/tblFleet[[#This Row],[Calendar_h]],"")</f>
        <v/>
      </c>
      <c r="J512" s="60">
        <f>IF(AND(tblFleet[[#This Row],[Units]]&lt;&gt;"",tblFleet[[#This Row],[Available_h]]&gt;0),tblFleet[[#This Row],[Operating_h]]/tblFleet[[#This Row],[Available_h]],"")</f>
        <v/>
      </c>
    </row>
    <row r="513">
      <c r="A513" s="54" t="n"/>
      <c r="B513" s="61" t="n"/>
      <c r="C513" s="62" t="n"/>
      <c r="D513" s="57" t="n"/>
      <c r="E513" s="57" t="n"/>
      <c r="F513" s="58" t="n"/>
      <c r="G513" s="66">
        <f>IF(tblFleet[[#This Row],[Units]]="","",tblFleet[[#This Row],[Units]]*cfg_HoursPerDay)</f>
        <v/>
      </c>
      <c r="H513" s="66">
        <f>IF(tblFleet[[#This Row],[Units]]="","",tblFleet[[#This Row],[Calendar_h]]-tblFleet[[#This Row],[Down_h]])</f>
        <v/>
      </c>
      <c r="I513" s="60">
        <f>IF(AND(tblFleet[[#This Row],[Units]]&lt;&gt;"",tblFleet[[#This Row],[Calendar_h]]&gt;0),tblFleet[[#This Row],[Available_h]]/tblFleet[[#This Row],[Calendar_h]],"")</f>
        <v/>
      </c>
      <c r="J513" s="60">
        <f>IF(AND(tblFleet[[#This Row],[Units]]&lt;&gt;"",tblFleet[[#This Row],[Available_h]]&gt;0),tblFleet[[#This Row],[Operating_h]]/tblFleet[[#This Row],[Available_h]],"")</f>
        <v/>
      </c>
    </row>
    <row r="514">
      <c r="A514" s="54" t="n"/>
      <c r="B514" s="61" t="n"/>
      <c r="C514" s="62" t="n"/>
      <c r="D514" s="57" t="n"/>
      <c r="E514" s="57" t="n"/>
      <c r="F514" s="58" t="n"/>
      <c r="G514" s="66">
        <f>IF(tblFleet[[#This Row],[Units]]="","",tblFleet[[#This Row],[Units]]*cfg_HoursPerDay)</f>
        <v/>
      </c>
      <c r="H514" s="66">
        <f>IF(tblFleet[[#This Row],[Units]]="","",tblFleet[[#This Row],[Calendar_h]]-tblFleet[[#This Row],[Down_h]])</f>
        <v/>
      </c>
      <c r="I514" s="60">
        <f>IF(AND(tblFleet[[#This Row],[Units]]&lt;&gt;"",tblFleet[[#This Row],[Calendar_h]]&gt;0),tblFleet[[#This Row],[Available_h]]/tblFleet[[#This Row],[Calendar_h]],"")</f>
        <v/>
      </c>
      <c r="J514" s="60">
        <f>IF(AND(tblFleet[[#This Row],[Units]]&lt;&gt;"",tblFleet[[#This Row],[Available_h]]&gt;0),tblFleet[[#This Row],[Operating_h]]/tblFleet[[#This Row],[Available_h]],"")</f>
        <v/>
      </c>
    </row>
    <row r="515">
      <c r="A515" s="54" t="n"/>
      <c r="B515" s="61" t="n"/>
      <c r="C515" s="62" t="n"/>
      <c r="D515" s="57" t="n"/>
      <c r="E515" s="57" t="n"/>
      <c r="F515" s="58" t="n"/>
      <c r="G515" s="66">
        <f>IF(tblFleet[[#This Row],[Units]]="","",tblFleet[[#This Row],[Units]]*cfg_HoursPerDay)</f>
        <v/>
      </c>
      <c r="H515" s="66">
        <f>IF(tblFleet[[#This Row],[Units]]="","",tblFleet[[#This Row],[Calendar_h]]-tblFleet[[#This Row],[Down_h]])</f>
        <v/>
      </c>
      <c r="I515" s="60">
        <f>IF(AND(tblFleet[[#This Row],[Units]]&lt;&gt;"",tblFleet[[#This Row],[Calendar_h]]&gt;0),tblFleet[[#This Row],[Available_h]]/tblFleet[[#This Row],[Calendar_h]],"")</f>
        <v/>
      </c>
      <c r="J515" s="60">
        <f>IF(AND(tblFleet[[#This Row],[Units]]&lt;&gt;"",tblFleet[[#This Row],[Available_h]]&gt;0),tblFleet[[#This Row],[Operating_h]]/tblFleet[[#This Row],[Available_h]],"")</f>
        <v/>
      </c>
    </row>
    <row r="516">
      <c r="A516" s="54" t="n"/>
      <c r="B516" s="61" t="n"/>
      <c r="C516" s="62" t="n"/>
      <c r="D516" s="57" t="n"/>
      <c r="E516" s="57" t="n"/>
      <c r="F516" s="58" t="n"/>
      <c r="G516" s="66">
        <f>IF(tblFleet[[#This Row],[Units]]="","",tblFleet[[#This Row],[Units]]*cfg_HoursPerDay)</f>
        <v/>
      </c>
      <c r="H516" s="66">
        <f>IF(tblFleet[[#This Row],[Units]]="","",tblFleet[[#This Row],[Calendar_h]]-tblFleet[[#This Row],[Down_h]])</f>
        <v/>
      </c>
      <c r="I516" s="60">
        <f>IF(AND(tblFleet[[#This Row],[Units]]&lt;&gt;"",tblFleet[[#This Row],[Calendar_h]]&gt;0),tblFleet[[#This Row],[Available_h]]/tblFleet[[#This Row],[Calendar_h]],"")</f>
        <v/>
      </c>
      <c r="J516" s="60">
        <f>IF(AND(tblFleet[[#This Row],[Units]]&lt;&gt;"",tblFleet[[#This Row],[Available_h]]&gt;0),tblFleet[[#This Row],[Operating_h]]/tblFleet[[#This Row],[Available_h]],"")</f>
        <v/>
      </c>
    </row>
    <row r="517">
      <c r="A517" s="54" t="n"/>
      <c r="B517" s="61" t="n"/>
      <c r="C517" s="62" t="n"/>
      <c r="D517" s="57" t="n"/>
      <c r="E517" s="57" t="n"/>
      <c r="F517" s="58" t="n"/>
      <c r="G517" s="66">
        <f>IF(tblFleet[[#This Row],[Units]]="","",tblFleet[[#This Row],[Units]]*cfg_HoursPerDay)</f>
        <v/>
      </c>
      <c r="H517" s="66">
        <f>IF(tblFleet[[#This Row],[Units]]="","",tblFleet[[#This Row],[Calendar_h]]-tblFleet[[#This Row],[Down_h]])</f>
        <v/>
      </c>
      <c r="I517" s="60">
        <f>IF(AND(tblFleet[[#This Row],[Units]]&lt;&gt;"",tblFleet[[#This Row],[Calendar_h]]&gt;0),tblFleet[[#This Row],[Available_h]]/tblFleet[[#This Row],[Calendar_h]],"")</f>
        <v/>
      </c>
      <c r="J517" s="60">
        <f>IF(AND(tblFleet[[#This Row],[Units]]&lt;&gt;"",tblFleet[[#This Row],[Available_h]]&gt;0),tblFleet[[#This Row],[Operating_h]]/tblFleet[[#This Row],[Available_h]],"")</f>
        <v/>
      </c>
    </row>
    <row r="518">
      <c r="A518" s="54" t="n"/>
      <c r="B518" s="61" t="n"/>
      <c r="C518" s="62" t="n"/>
      <c r="D518" s="57" t="n"/>
      <c r="E518" s="57" t="n"/>
      <c r="F518" s="58" t="n"/>
      <c r="G518" s="66">
        <f>IF(tblFleet[[#This Row],[Units]]="","",tblFleet[[#This Row],[Units]]*cfg_HoursPerDay)</f>
        <v/>
      </c>
      <c r="H518" s="66">
        <f>IF(tblFleet[[#This Row],[Units]]="","",tblFleet[[#This Row],[Calendar_h]]-tblFleet[[#This Row],[Down_h]])</f>
        <v/>
      </c>
      <c r="I518" s="60">
        <f>IF(AND(tblFleet[[#This Row],[Units]]&lt;&gt;"",tblFleet[[#This Row],[Calendar_h]]&gt;0),tblFleet[[#This Row],[Available_h]]/tblFleet[[#This Row],[Calendar_h]],"")</f>
        <v/>
      </c>
      <c r="J518" s="60">
        <f>IF(AND(tblFleet[[#This Row],[Units]]&lt;&gt;"",tblFleet[[#This Row],[Available_h]]&gt;0),tblFleet[[#This Row],[Operating_h]]/tblFleet[[#This Row],[Available_h]],"")</f>
        <v/>
      </c>
    </row>
    <row r="519">
      <c r="A519" s="54" t="n"/>
      <c r="B519" s="61" t="n"/>
      <c r="C519" s="62" t="n"/>
      <c r="D519" s="57" t="n"/>
      <c r="E519" s="57" t="n"/>
      <c r="F519" s="58" t="n"/>
      <c r="G519" s="66">
        <f>IF(tblFleet[[#This Row],[Units]]="","",tblFleet[[#This Row],[Units]]*cfg_HoursPerDay)</f>
        <v/>
      </c>
      <c r="H519" s="66">
        <f>IF(tblFleet[[#This Row],[Units]]="","",tblFleet[[#This Row],[Calendar_h]]-tblFleet[[#This Row],[Down_h]])</f>
        <v/>
      </c>
      <c r="I519" s="60">
        <f>IF(AND(tblFleet[[#This Row],[Units]]&lt;&gt;"",tblFleet[[#This Row],[Calendar_h]]&gt;0),tblFleet[[#This Row],[Available_h]]/tblFleet[[#This Row],[Calendar_h]],"")</f>
        <v/>
      </c>
      <c r="J519" s="60">
        <f>IF(AND(tblFleet[[#This Row],[Units]]&lt;&gt;"",tblFleet[[#This Row],[Available_h]]&gt;0),tblFleet[[#This Row],[Operating_h]]/tblFleet[[#This Row],[Available_h]],"")</f>
        <v/>
      </c>
    </row>
    <row r="520">
      <c r="A520" s="54" t="n"/>
      <c r="B520" s="61" t="n"/>
      <c r="C520" s="62" t="n"/>
      <c r="D520" s="57" t="n"/>
      <c r="E520" s="57" t="n"/>
      <c r="F520" s="58" t="n"/>
      <c r="G520" s="66">
        <f>IF(tblFleet[[#This Row],[Units]]="","",tblFleet[[#This Row],[Units]]*cfg_HoursPerDay)</f>
        <v/>
      </c>
      <c r="H520" s="66">
        <f>IF(tblFleet[[#This Row],[Units]]="","",tblFleet[[#This Row],[Calendar_h]]-tblFleet[[#This Row],[Down_h]])</f>
        <v/>
      </c>
      <c r="I520" s="60">
        <f>IF(AND(tblFleet[[#This Row],[Units]]&lt;&gt;"",tblFleet[[#This Row],[Calendar_h]]&gt;0),tblFleet[[#This Row],[Available_h]]/tblFleet[[#This Row],[Calendar_h]],"")</f>
        <v/>
      </c>
      <c r="J520" s="60">
        <f>IF(AND(tblFleet[[#This Row],[Units]]&lt;&gt;"",tblFleet[[#This Row],[Available_h]]&gt;0),tblFleet[[#This Row],[Operating_h]]/tblFleet[[#This Row],[Available_h]],"")</f>
        <v/>
      </c>
    </row>
    <row r="521">
      <c r="A521" s="54" t="n"/>
      <c r="B521" s="61" t="n"/>
      <c r="C521" s="62" t="n"/>
      <c r="D521" s="57" t="n"/>
      <c r="E521" s="57" t="n"/>
      <c r="F521" s="58" t="n"/>
      <c r="G521" s="66">
        <f>IF(tblFleet[[#This Row],[Units]]="","",tblFleet[[#This Row],[Units]]*cfg_HoursPerDay)</f>
        <v/>
      </c>
      <c r="H521" s="66">
        <f>IF(tblFleet[[#This Row],[Units]]="","",tblFleet[[#This Row],[Calendar_h]]-tblFleet[[#This Row],[Down_h]])</f>
        <v/>
      </c>
      <c r="I521" s="60">
        <f>IF(AND(tblFleet[[#This Row],[Units]]&lt;&gt;"",tblFleet[[#This Row],[Calendar_h]]&gt;0),tblFleet[[#This Row],[Available_h]]/tblFleet[[#This Row],[Calendar_h]],"")</f>
        <v/>
      </c>
      <c r="J521" s="60">
        <f>IF(AND(tblFleet[[#This Row],[Units]]&lt;&gt;"",tblFleet[[#This Row],[Available_h]]&gt;0),tblFleet[[#This Row],[Operating_h]]/tblFleet[[#This Row],[Available_h]],"")</f>
        <v/>
      </c>
    </row>
    <row r="522">
      <c r="A522" s="54" t="n"/>
      <c r="B522" s="61" t="n"/>
      <c r="C522" s="62" t="n"/>
      <c r="D522" s="57" t="n"/>
      <c r="E522" s="57" t="n"/>
      <c r="F522" s="58" t="n"/>
      <c r="G522" s="66">
        <f>IF(tblFleet[[#This Row],[Units]]="","",tblFleet[[#This Row],[Units]]*cfg_HoursPerDay)</f>
        <v/>
      </c>
      <c r="H522" s="66">
        <f>IF(tblFleet[[#This Row],[Units]]="","",tblFleet[[#This Row],[Calendar_h]]-tblFleet[[#This Row],[Down_h]])</f>
        <v/>
      </c>
      <c r="I522" s="60">
        <f>IF(AND(tblFleet[[#This Row],[Units]]&lt;&gt;"",tblFleet[[#This Row],[Calendar_h]]&gt;0),tblFleet[[#This Row],[Available_h]]/tblFleet[[#This Row],[Calendar_h]],"")</f>
        <v/>
      </c>
      <c r="J522" s="60">
        <f>IF(AND(tblFleet[[#This Row],[Units]]&lt;&gt;"",tblFleet[[#This Row],[Available_h]]&gt;0),tblFleet[[#This Row],[Operating_h]]/tblFleet[[#This Row],[Available_h]],"")</f>
        <v/>
      </c>
    </row>
    <row r="523">
      <c r="A523" s="54" t="n"/>
      <c r="B523" s="61" t="n"/>
      <c r="C523" s="62" t="n"/>
      <c r="D523" s="57" t="n"/>
      <c r="E523" s="57" t="n"/>
      <c r="F523" s="58" t="n"/>
      <c r="G523" s="66">
        <f>IF(tblFleet[[#This Row],[Units]]="","",tblFleet[[#This Row],[Units]]*cfg_HoursPerDay)</f>
        <v/>
      </c>
      <c r="H523" s="66">
        <f>IF(tblFleet[[#This Row],[Units]]="","",tblFleet[[#This Row],[Calendar_h]]-tblFleet[[#This Row],[Down_h]])</f>
        <v/>
      </c>
      <c r="I523" s="60">
        <f>IF(AND(tblFleet[[#This Row],[Units]]&lt;&gt;"",tblFleet[[#This Row],[Calendar_h]]&gt;0),tblFleet[[#This Row],[Available_h]]/tblFleet[[#This Row],[Calendar_h]],"")</f>
        <v/>
      </c>
      <c r="J523" s="60">
        <f>IF(AND(tblFleet[[#This Row],[Units]]&lt;&gt;"",tblFleet[[#This Row],[Available_h]]&gt;0),tblFleet[[#This Row],[Operating_h]]/tblFleet[[#This Row],[Available_h]],"")</f>
        <v/>
      </c>
    </row>
    <row r="524">
      <c r="A524" s="54" t="n"/>
      <c r="B524" s="61" t="n"/>
      <c r="C524" s="62" t="n"/>
      <c r="D524" s="57" t="n"/>
      <c r="E524" s="57" t="n"/>
      <c r="F524" s="58" t="n"/>
      <c r="G524" s="66">
        <f>IF(tblFleet[[#This Row],[Units]]="","",tblFleet[[#This Row],[Units]]*cfg_HoursPerDay)</f>
        <v/>
      </c>
      <c r="H524" s="66">
        <f>IF(tblFleet[[#This Row],[Units]]="","",tblFleet[[#This Row],[Calendar_h]]-tblFleet[[#This Row],[Down_h]])</f>
        <v/>
      </c>
      <c r="I524" s="60">
        <f>IF(AND(tblFleet[[#This Row],[Units]]&lt;&gt;"",tblFleet[[#This Row],[Calendar_h]]&gt;0),tblFleet[[#This Row],[Available_h]]/tblFleet[[#This Row],[Calendar_h]],"")</f>
        <v/>
      </c>
      <c r="J524" s="60">
        <f>IF(AND(tblFleet[[#This Row],[Units]]&lt;&gt;"",tblFleet[[#This Row],[Available_h]]&gt;0),tblFleet[[#This Row],[Operating_h]]/tblFleet[[#This Row],[Available_h]],"")</f>
        <v/>
      </c>
    </row>
    <row r="525">
      <c r="A525" s="54" t="n"/>
      <c r="B525" s="61" t="n"/>
      <c r="C525" s="62" t="n"/>
      <c r="D525" s="57" t="n"/>
      <c r="E525" s="57" t="n"/>
      <c r="F525" s="58" t="n"/>
      <c r="G525" s="66">
        <f>IF(tblFleet[[#This Row],[Units]]="","",tblFleet[[#This Row],[Units]]*cfg_HoursPerDay)</f>
        <v/>
      </c>
      <c r="H525" s="66">
        <f>IF(tblFleet[[#This Row],[Units]]="","",tblFleet[[#This Row],[Calendar_h]]-tblFleet[[#This Row],[Down_h]])</f>
        <v/>
      </c>
      <c r="I525" s="60">
        <f>IF(AND(tblFleet[[#This Row],[Units]]&lt;&gt;"",tblFleet[[#This Row],[Calendar_h]]&gt;0),tblFleet[[#This Row],[Available_h]]/tblFleet[[#This Row],[Calendar_h]],"")</f>
        <v/>
      </c>
      <c r="J525" s="60">
        <f>IF(AND(tblFleet[[#This Row],[Units]]&lt;&gt;"",tblFleet[[#This Row],[Available_h]]&gt;0),tblFleet[[#This Row],[Operating_h]]/tblFleet[[#This Row],[Available_h]],"")</f>
        <v/>
      </c>
    </row>
    <row r="526">
      <c r="A526" s="54" t="n"/>
      <c r="B526" s="61" t="n"/>
      <c r="C526" s="62" t="n"/>
      <c r="D526" s="57" t="n"/>
      <c r="E526" s="57" t="n"/>
      <c r="F526" s="58" t="n"/>
      <c r="G526" s="66">
        <f>IF(tblFleet[[#This Row],[Units]]="","",tblFleet[[#This Row],[Units]]*cfg_HoursPerDay)</f>
        <v/>
      </c>
      <c r="H526" s="66">
        <f>IF(tblFleet[[#This Row],[Units]]="","",tblFleet[[#This Row],[Calendar_h]]-tblFleet[[#This Row],[Down_h]])</f>
        <v/>
      </c>
      <c r="I526" s="60">
        <f>IF(AND(tblFleet[[#This Row],[Units]]&lt;&gt;"",tblFleet[[#This Row],[Calendar_h]]&gt;0),tblFleet[[#This Row],[Available_h]]/tblFleet[[#This Row],[Calendar_h]],"")</f>
        <v/>
      </c>
      <c r="J526" s="60">
        <f>IF(AND(tblFleet[[#This Row],[Units]]&lt;&gt;"",tblFleet[[#This Row],[Available_h]]&gt;0),tblFleet[[#This Row],[Operating_h]]/tblFleet[[#This Row],[Available_h]],"")</f>
        <v/>
      </c>
    </row>
    <row r="527">
      <c r="A527" s="54" t="n"/>
      <c r="B527" s="61" t="n"/>
      <c r="C527" s="62" t="n"/>
      <c r="D527" s="57" t="n"/>
      <c r="E527" s="57" t="n"/>
      <c r="F527" s="58" t="n"/>
      <c r="G527" s="66">
        <f>IF(tblFleet[[#This Row],[Units]]="","",tblFleet[[#This Row],[Units]]*cfg_HoursPerDay)</f>
        <v/>
      </c>
      <c r="H527" s="66">
        <f>IF(tblFleet[[#This Row],[Units]]="","",tblFleet[[#This Row],[Calendar_h]]-tblFleet[[#This Row],[Down_h]])</f>
        <v/>
      </c>
      <c r="I527" s="60">
        <f>IF(AND(tblFleet[[#This Row],[Units]]&lt;&gt;"",tblFleet[[#This Row],[Calendar_h]]&gt;0),tblFleet[[#This Row],[Available_h]]/tblFleet[[#This Row],[Calendar_h]],"")</f>
        <v/>
      </c>
      <c r="J527" s="60">
        <f>IF(AND(tblFleet[[#This Row],[Units]]&lt;&gt;"",tblFleet[[#This Row],[Available_h]]&gt;0),tblFleet[[#This Row],[Operating_h]]/tblFleet[[#This Row],[Available_h]],"")</f>
        <v/>
      </c>
    </row>
    <row r="528">
      <c r="A528" s="54" t="n"/>
      <c r="B528" s="61" t="n"/>
      <c r="C528" s="62" t="n"/>
      <c r="D528" s="57" t="n"/>
      <c r="E528" s="57" t="n"/>
      <c r="F528" s="58" t="n"/>
      <c r="G528" s="66">
        <f>IF(tblFleet[[#This Row],[Units]]="","",tblFleet[[#This Row],[Units]]*cfg_HoursPerDay)</f>
        <v/>
      </c>
      <c r="H528" s="66">
        <f>IF(tblFleet[[#This Row],[Units]]="","",tblFleet[[#This Row],[Calendar_h]]-tblFleet[[#This Row],[Down_h]])</f>
        <v/>
      </c>
      <c r="I528" s="60">
        <f>IF(AND(tblFleet[[#This Row],[Units]]&lt;&gt;"",tblFleet[[#This Row],[Calendar_h]]&gt;0),tblFleet[[#This Row],[Available_h]]/tblFleet[[#This Row],[Calendar_h]],"")</f>
        <v/>
      </c>
      <c r="J528" s="60">
        <f>IF(AND(tblFleet[[#This Row],[Units]]&lt;&gt;"",tblFleet[[#This Row],[Available_h]]&gt;0),tblFleet[[#This Row],[Operating_h]]/tblFleet[[#This Row],[Available_h]],"")</f>
        <v/>
      </c>
    </row>
    <row r="529">
      <c r="A529" s="54" t="n"/>
      <c r="B529" s="61" t="n"/>
      <c r="C529" s="62" t="n"/>
      <c r="D529" s="57" t="n"/>
      <c r="E529" s="57" t="n"/>
      <c r="F529" s="58" t="n"/>
      <c r="G529" s="66">
        <f>IF(tblFleet[[#This Row],[Units]]="","",tblFleet[[#This Row],[Units]]*cfg_HoursPerDay)</f>
        <v/>
      </c>
      <c r="H529" s="66">
        <f>IF(tblFleet[[#This Row],[Units]]="","",tblFleet[[#This Row],[Calendar_h]]-tblFleet[[#This Row],[Down_h]])</f>
        <v/>
      </c>
      <c r="I529" s="60">
        <f>IF(AND(tblFleet[[#This Row],[Units]]&lt;&gt;"",tblFleet[[#This Row],[Calendar_h]]&gt;0),tblFleet[[#This Row],[Available_h]]/tblFleet[[#This Row],[Calendar_h]],"")</f>
        <v/>
      </c>
      <c r="J529" s="60">
        <f>IF(AND(tblFleet[[#This Row],[Units]]&lt;&gt;"",tblFleet[[#This Row],[Available_h]]&gt;0),tblFleet[[#This Row],[Operating_h]]/tblFleet[[#This Row],[Available_h]],"")</f>
        <v/>
      </c>
    </row>
    <row r="530">
      <c r="A530" s="54" t="n"/>
      <c r="B530" s="61" t="n"/>
      <c r="C530" s="62" t="n"/>
      <c r="D530" s="57" t="n"/>
      <c r="E530" s="57" t="n"/>
      <c r="F530" s="58" t="n"/>
      <c r="G530" s="66">
        <f>IF(tblFleet[[#This Row],[Units]]="","",tblFleet[[#This Row],[Units]]*cfg_HoursPerDay)</f>
        <v/>
      </c>
      <c r="H530" s="66">
        <f>IF(tblFleet[[#This Row],[Units]]="","",tblFleet[[#This Row],[Calendar_h]]-tblFleet[[#This Row],[Down_h]])</f>
        <v/>
      </c>
      <c r="I530" s="60">
        <f>IF(AND(tblFleet[[#This Row],[Units]]&lt;&gt;"",tblFleet[[#This Row],[Calendar_h]]&gt;0),tblFleet[[#This Row],[Available_h]]/tblFleet[[#This Row],[Calendar_h]],"")</f>
        <v/>
      </c>
      <c r="J530" s="60">
        <f>IF(AND(tblFleet[[#This Row],[Units]]&lt;&gt;"",tblFleet[[#This Row],[Available_h]]&gt;0),tblFleet[[#This Row],[Operating_h]]/tblFleet[[#This Row],[Available_h]],"")</f>
        <v/>
      </c>
    </row>
    <row r="531">
      <c r="A531" s="54" t="n"/>
      <c r="B531" s="61" t="n"/>
      <c r="C531" s="62" t="n"/>
      <c r="D531" s="57" t="n"/>
      <c r="E531" s="57" t="n"/>
      <c r="F531" s="58" t="n"/>
      <c r="G531" s="66">
        <f>IF(tblFleet[[#This Row],[Units]]="","",tblFleet[[#This Row],[Units]]*cfg_HoursPerDay)</f>
        <v/>
      </c>
      <c r="H531" s="66">
        <f>IF(tblFleet[[#This Row],[Units]]="","",tblFleet[[#This Row],[Calendar_h]]-tblFleet[[#This Row],[Down_h]])</f>
        <v/>
      </c>
      <c r="I531" s="60">
        <f>IF(AND(tblFleet[[#This Row],[Units]]&lt;&gt;"",tblFleet[[#This Row],[Calendar_h]]&gt;0),tblFleet[[#This Row],[Available_h]]/tblFleet[[#This Row],[Calendar_h]],"")</f>
        <v/>
      </c>
      <c r="J531" s="60">
        <f>IF(AND(tblFleet[[#This Row],[Units]]&lt;&gt;"",tblFleet[[#This Row],[Available_h]]&gt;0),tblFleet[[#This Row],[Operating_h]]/tblFleet[[#This Row],[Available_h]],"")</f>
        <v/>
      </c>
    </row>
    <row r="532">
      <c r="A532" s="54" t="n"/>
      <c r="B532" s="61" t="n"/>
      <c r="C532" s="62" t="n"/>
      <c r="D532" s="57" t="n"/>
      <c r="E532" s="57" t="n"/>
      <c r="F532" s="58" t="n"/>
      <c r="G532" s="66">
        <f>IF(tblFleet[[#This Row],[Units]]="","",tblFleet[[#This Row],[Units]]*cfg_HoursPerDay)</f>
        <v/>
      </c>
      <c r="H532" s="66">
        <f>IF(tblFleet[[#This Row],[Units]]="","",tblFleet[[#This Row],[Calendar_h]]-tblFleet[[#This Row],[Down_h]])</f>
        <v/>
      </c>
      <c r="I532" s="60">
        <f>IF(AND(tblFleet[[#This Row],[Units]]&lt;&gt;"",tblFleet[[#This Row],[Calendar_h]]&gt;0),tblFleet[[#This Row],[Available_h]]/tblFleet[[#This Row],[Calendar_h]],"")</f>
        <v/>
      </c>
      <c r="J532" s="60">
        <f>IF(AND(tblFleet[[#This Row],[Units]]&lt;&gt;"",tblFleet[[#This Row],[Available_h]]&gt;0),tblFleet[[#This Row],[Operating_h]]/tblFleet[[#This Row],[Available_h]],"")</f>
        <v/>
      </c>
    </row>
    <row r="533">
      <c r="A533" s="54" t="n"/>
      <c r="B533" s="61" t="n"/>
      <c r="C533" s="62" t="n"/>
      <c r="D533" s="57" t="n"/>
      <c r="E533" s="57" t="n"/>
      <c r="F533" s="58" t="n"/>
      <c r="G533" s="66">
        <f>IF(tblFleet[[#This Row],[Units]]="","",tblFleet[[#This Row],[Units]]*cfg_HoursPerDay)</f>
        <v/>
      </c>
      <c r="H533" s="66">
        <f>IF(tblFleet[[#This Row],[Units]]="","",tblFleet[[#This Row],[Calendar_h]]-tblFleet[[#This Row],[Down_h]])</f>
        <v/>
      </c>
      <c r="I533" s="60">
        <f>IF(AND(tblFleet[[#This Row],[Units]]&lt;&gt;"",tblFleet[[#This Row],[Calendar_h]]&gt;0),tblFleet[[#This Row],[Available_h]]/tblFleet[[#This Row],[Calendar_h]],"")</f>
        <v/>
      </c>
      <c r="J533" s="60">
        <f>IF(AND(tblFleet[[#This Row],[Units]]&lt;&gt;"",tblFleet[[#This Row],[Available_h]]&gt;0),tblFleet[[#This Row],[Operating_h]]/tblFleet[[#This Row],[Available_h]],"")</f>
        <v/>
      </c>
    </row>
    <row r="534">
      <c r="A534" s="54" t="n"/>
      <c r="B534" s="61" t="n"/>
      <c r="C534" s="62" t="n"/>
      <c r="D534" s="57" t="n"/>
      <c r="E534" s="57" t="n"/>
      <c r="F534" s="58" t="n"/>
      <c r="G534" s="66">
        <f>IF(tblFleet[[#This Row],[Units]]="","",tblFleet[[#This Row],[Units]]*cfg_HoursPerDay)</f>
        <v/>
      </c>
      <c r="H534" s="66">
        <f>IF(tblFleet[[#This Row],[Units]]="","",tblFleet[[#This Row],[Calendar_h]]-tblFleet[[#This Row],[Down_h]])</f>
        <v/>
      </c>
      <c r="I534" s="60">
        <f>IF(AND(tblFleet[[#This Row],[Units]]&lt;&gt;"",tblFleet[[#This Row],[Calendar_h]]&gt;0),tblFleet[[#This Row],[Available_h]]/tblFleet[[#This Row],[Calendar_h]],"")</f>
        <v/>
      </c>
      <c r="J534" s="60">
        <f>IF(AND(tblFleet[[#This Row],[Units]]&lt;&gt;"",tblFleet[[#This Row],[Available_h]]&gt;0),tblFleet[[#This Row],[Operating_h]]/tblFleet[[#This Row],[Available_h]],"")</f>
        <v/>
      </c>
    </row>
    <row r="535">
      <c r="A535" s="54" t="n"/>
      <c r="B535" s="61" t="n"/>
      <c r="C535" s="62" t="n"/>
      <c r="D535" s="57" t="n"/>
      <c r="E535" s="57" t="n"/>
      <c r="F535" s="58" t="n"/>
      <c r="G535" s="66">
        <f>IF(tblFleet[[#This Row],[Units]]="","",tblFleet[[#This Row],[Units]]*cfg_HoursPerDay)</f>
        <v/>
      </c>
      <c r="H535" s="66">
        <f>IF(tblFleet[[#This Row],[Units]]="","",tblFleet[[#This Row],[Calendar_h]]-tblFleet[[#This Row],[Down_h]])</f>
        <v/>
      </c>
      <c r="I535" s="60">
        <f>IF(AND(tblFleet[[#This Row],[Units]]&lt;&gt;"",tblFleet[[#This Row],[Calendar_h]]&gt;0),tblFleet[[#This Row],[Available_h]]/tblFleet[[#This Row],[Calendar_h]],"")</f>
        <v/>
      </c>
      <c r="J535" s="60">
        <f>IF(AND(tblFleet[[#This Row],[Units]]&lt;&gt;"",tblFleet[[#This Row],[Available_h]]&gt;0),tblFleet[[#This Row],[Operating_h]]/tblFleet[[#This Row],[Available_h]],"")</f>
        <v/>
      </c>
    </row>
    <row r="536">
      <c r="A536" s="54" t="n"/>
      <c r="B536" s="61" t="n"/>
      <c r="C536" s="62" t="n"/>
      <c r="D536" s="57" t="n"/>
      <c r="E536" s="57" t="n"/>
      <c r="F536" s="58" t="n"/>
      <c r="G536" s="66">
        <f>IF(tblFleet[[#This Row],[Units]]="","",tblFleet[[#This Row],[Units]]*cfg_HoursPerDay)</f>
        <v/>
      </c>
      <c r="H536" s="66">
        <f>IF(tblFleet[[#This Row],[Units]]="","",tblFleet[[#This Row],[Calendar_h]]-tblFleet[[#This Row],[Down_h]])</f>
        <v/>
      </c>
      <c r="I536" s="60">
        <f>IF(AND(tblFleet[[#This Row],[Units]]&lt;&gt;"",tblFleet[[#This Row],[Calendar_h]]&gt;0),tblFleet[[#This Row],[Available_h]]/tblFleet[[#This Row],[Calendar_h]],"")</f>
        <v/>
      </c>
      <c r="J536" s="60">
        <f>IF(AND(tblFleet[[#This Row],[Units]]&lt;&gt;"",tblFleet[[#This Row],[Available_h]]&gt;0),tblFleet[[#This Row],[Operating_h]]/tblFleet[[#This Row],[Available_h]],"")</f>
        <v/>
      </c>
    </row>
    <row r="537">
      <c r="A537" s="54" t="n"/>
      <c r="B537" s="61" t="n"/>
      <c r="C537" s="62" t="n"/>
      <c r="D537" s="57" t="n"/>
      <c r="E537" s="57" t="n"/>
      <c r="F537" s="58" t="n"/>
      <c r="G537" s="66">
        <f>IF(tblFleet[[#This Row],[Units]]="","",tblFleet[[#This Row],[Units]]*cfg_HoursPerDay)</f>
        <v/>
      </c>
      <c r="H537" s="66">
        <f>IF(tblFleet[[#This Row],[Units]]="","",tblFleet[[#This Row],[Calendar_h]]-tblFleet[[#This Row],[Down_h]])</f>
        <v/>
      </c>
      <c r="I537" s="60">
        <f>IF(AND(tblFleet[[#This Row],[Units]]&lt;&gt;"",tblFleet[[#This Row],[Calendar_h]]&gt;0),tblFleet[[#This Row],[Available_h]]/tblFleet[[#This Row],[Calendar_h]],"")</f>
        <v/>
      </c>
      <c r="J537" s="60">
        <f>IF(AND(tblFleet[[#This Row],[Units]]&lt;&gt;"",tblFleet[[#This Row],[Available_h]]&gt;0),tblFleet[[#This Row],[Operating_h]]/tblFleet[[#This Row],[Available_h]],"")</f>
        <v/>
      </c>
    </row>
    <row r="538">
      <c r="A538" s="54" t="n"/>
      <c r="B538" s="61" t="n"/>
      <c r="C538" s="62" t="n"/>
      <c r="D538" s="57" t="n"/>
      <c r="E538" s="57" t="n"/>
      <c r="F538" s="58" t="n"/>
      <c r="G538" s="66">
        <f>IF(tblFleet[[#This Row],[Units]]="","",tblFleet[[#This Row],[Units]]*cfg_HoursPerDay)</f>
        <v/>
      </c>
      <c r="H538" s="66">
        <f>IF(tblFleet[[#This Row],[Units]]="","",tblFleet[[#This Row],[Calendar_h]]-tblFleet[[#This Row],[Down_h]])</f>
        <v/>
      </c>
      <c r="I538" s="60">
        <f>IF(AND(tblFleet[[#This Row],[Units]]&lt;&gt;"",tblFleet[[#This Row],[Calendar_h]]&gt;0),tblFleet[[#This Row],[Available_h]]/tblFleet[[#This Row],[Calendar_h]],"")</f>
        <v/>
      </c>
      <c r="J538" s="60">
        <f>IF(AND(tblFleet[[#This Row],[Units]]&lt;&gt;"",tblFleet[[#This Row],[Available_h]]&gt;0),tblFleet[[#This Row],[Operating_h]]/tblFleet[[#This Row],[Available_h]],"")</f>
        <v/>
      </c>
    </row>
    <row r="539">
      <c r="A539" s="54" t="n"/>
      <c r="B539" s="61" t="n"/>
      <c r="C539" s="62" t="n"/>
      <c r="D539" s="57" t="n"/>
      <c r="E539" s="57" t="n"/>
      <c r="F539" s="58" t="n"/>
      <c r="G539" s="66">
        <f>IF(tblFleet[[#This Row],[Units]]="","",tblFleet[[#This Row],[Units]]*cfg_HoursPerDay)</f>
        <v/>
      </c>
      <c r="H539" s="66">
        <f>IF(tblFleet[[#This Row],[Units]]="","",tblFleet[[#This Row],[Calendar_h]]-tblFleet[[#This Row],[Down_h]])</f>
        <v/>
      </c>
      <c r="I539" s="60">
        <f>IF(AND(tblFleet[[#This Row],[Units]]&lt;&gt;"",tblFleet[[#This Row],[Calendar_h]]&gt;0),tblFleet[[#This Row],[Available_h]]/tblFleet[[#This Row],[Calendar_h]],"")</f>
        <v/>
      </c>
      <c r="J539" s="60">
        <f>IF(AND(tblFleet[[#This Row],[Units]]&lt;&gt;"",tblFleet[[#This Row],[Available_h]]&gt;0),tblFleet[[#This Row],[Operating_h]]/tblFleet[[#This Row],[Available_h]],"")</f>
        <v/>
      </c>
    </row>
    <row r="540">
      <c r="A540" s="54" t="n"/>
      <c r="B540" s="61" t="n"/>
      <c r="C540" s="62" t="n"/>
      <c r="D540" s="57" t="n"/>
      <c r="E540" s="57" t="n"/>
      <c r="F540" s="58" t="n"/>
      <c r="G540" s="66">
        <f>IF(tblFleet[[#This Row],[Units]]="","",tblFleet[[#This Row],[Units]]*cfg_HoursPerDay)</f>
        <v/>
      </c>
      <c r="H540" s="66">
        <f>IF(tblFleet[[#This Row],[Units]]="","",tblFleet[[#This Row],[Calendar_h]]-tblFleet[[#This Row],[Down_h]])</f>
        <v/>
      </c>
      <c r="I540" s="60">
        <f>IF(AND(tblFleet[[#This Row],[Units]]&lt;&gt;"",tblFleet[[#This Row],[Calendar_h]]&gt;0),tblFleet[[#This Row],[Available_h]]/tblFleet[[#This Row],[Calendar_h]],"")</f>
        <v/>
      </c>
      <c r="J540" s="60">
        <f>IF(AND(tblFleet[[#This Row],[Units]]&lt;&gt;"",tblFleet[[#This Row],[Available_h]]&gt;0),tblFleet[[#This Row],[Operating_h]]/tblFleet[[#This Row],[Available_h]],"")</f>
        <v/>
      </c>
    </row>
    <row r="541">
      <c r="A541" s="54" t="n"/>
      <c r="B541" s="61" t="n"/>
      <c r="C541" s="62" t="n"/>
      <c r="D541" s="57" t="n"/>
      <c r="E541" s="57" t="n"/>
      <c r="F541" s="58" t="n"/>
      <c r="G541" s="66">
        <f>IF(tblFleet[[#This Row],[Units]]="","",tblFleet[[#This Row],[Units]]*cfg_HoursPerDay)</f>
        <v/>
      </c>
      <c r="H541" s="66">
        <f>IF(tblFleet[[#This Row],[Units]]="","",tblFleet[[#This Row],[Calendar_h]]-tblFleet[[#This Row],[Down_h]])</f>
        <v/>
      </c>
      <c r="I541" s="60">
        <f>IF(AND(tblFleet[[#This Row],[Units]]&lt;&gt;"",tblFleet[[#This Row],[Calendar_h]]&gt;0),tblFleet[[#This Row],[Available_h]]/tblFleet[[#This Row],[Calendar_h]],"")</f>
        <v/>
      </c>
      <c r="J541" s="60">
        <f>IF(AND(tblFleet[[#This Row],[Units]]&lt;&gt;"",tblFleet[[#This Row],[Available_h]]&gt;0),tblFleet[[#This Row],[Operating_h]]/tblFleet[[#This Row],[Available_h]],"")</f>
        <v/>
      </c>
    </row>
    <row r="542">
      <c r="A542" s="54" t="n"/>
      <c r="B542" s="61" t="n"/>
      <c r="C542" s="62" t="n"/>
      <c r="D542" s="57" t="n"/>
      <c r="E542" s="57" t="n"/>
      <c r="F542" s="58" t="n"/>
      <c r="G542" s="66">
        <f>IF(tblFleet[[#This Row],[Units]]="","",tblFleet[[#This Row],[Units]]*cfg_HoursPerDay)</f>
        <v/>
      </c>
      <c r="H542" s="66">
        <f>IF(tblFleet[[#This Row],[Units]]="","",tblFleet[[#This Row],[Calendar_h]]-tblFleet[[#This Row],[Down_h]])</f>
        <v/>
      </c>
      <c r="I542" s="60">
        <f>IF(AND(tblFleet[[#This Row],[Units]]&lt;&gt;"",tblFleet[[#This Row],[Calendar_h]]&gt;0),tblFleet[[#This Row],[Available_h]]/tblFleet[[#This Row],[Calendar_h]],"")</f>
        <v/>
      </c>
      <c r="J542" s="60">
        <f>IF(AND(tblFleet[[#This Row],[Units]]&lt;&gt;"",tblFleet[[#This Row],[Available_h]]&gt;0),tblFleet[[#This Row],[Operating_h]]/tblFleet[[#This Row],[Available_h]],"")</f>
        <v/>
      </c>
    </row>
    <row r="543">
      <c r="A543" s="54" t="n"/>
      <c r="B543" s="61" t="n"/>
      <c r="C543" s="62" t="n"/>
      <c r="D543" s="57" t="n"/>
      <c r="E543" s="57" t="n"/>
      <c r="F543" s="58" t="n"/>
      <c r="G543" s="66">
        <f>IF(tblFleet[[#This Row],[Units]]="","",tblFleet[[#This Row],[Units]]*cfg_HoursPerDay)</f>
        <v/>
      </c>
      <c r="H543" s="66">
        <f>IF(tblFleet[[#This Row],[Units]]="","",tblFleet[[#This Row],[Calendar_h]]-tblFleet[[#This Row],[Down_h]])</f>
        <v/>
      </c>
      <c r="I543" s="60">
        <f>IF(AND(tblFleet[[#This Row],[Units]]&lt;&gt;"",tblFleet[[#This Row],[Calendar_h]]&gt;0),tblFleet[[#This Row],[Available_h]]/tblFleet[[#This Row],[Calendar_h]],"")</f>
        <v/>
      </c>
      <c r="J543" s="60">
        <f>IF(AND(tblFleet[[#This Row],[Units]]&lt;&gt;"",tblFleet[[#This Row],[Available_h]]&gt;0),tblFleet[[#This Row],[Operating_h]]/tblFleet[[#This Row],[Available_h]],"")</f>
        <v/>
      </c>
    </row>
    <row r="544">
      <c r="A544" s="54" t="n"/>
      <c r="B544" s="61" t="n"/>
      <c r="C544" s="62" t="n"/>
      <c r="D544" s="57" t="n"/>
      <c r="E544" s="57" t="n"/>
      <c r="F544" s="58" t="n"/>
      <c r="G544" s="66">
        <f>IF(tblFleet[[#This Row],[Units]]="","",tblFleet[[#This Row],[Units]]*cfg_HoursPerDay)</f>
        <v/>
      </c>
      <c r="H544" s="66">
        <f>IF(tblFleet[[#This Row],[Units]]="","",tblFleet[[#This Row],[Calendar_h]]-tblFleet[[#This Row],[Down_h]])</f>
        <v/>
      </c>
      <c r="I544" s="60">
        <f>IF(AND(tblFleet[[#This Row],[Units]]&lt;&gt;"",tblFleet[[#This Row],[Calendar_h]]&gt;0),tblFleet[[#This Row],[Available_h]]/tblFleet[[#This Row],[Calendar_h]],"")</f>
        <v/>
      </c>
      <c r="J544" s="60">
        <f>IF(AND(tblFleet[[#This Row],[Units]]&lt;&gt;"",tblFleet[[#This Row],[Available_h]]&gt;0),tblFleet[[#This Row],[Operating_h]]/tblFleet[[#This Row],[Available_h]],"")</f>
        <v/>
      </c>
    </row>
    <row r="545">
      <c r="A545" s="54" t="n"/>
      <c r="B545" s="61" t="n"/>
      <c r="C545" s="62" t="n"/>
      <c r="D545" s="57" t="n"/>
      <c r="E545" s="57" t="n"/>
      <c r="F545" s="58" t="n"/>
      <c r="G545" s="66">
        <f>IF(tblFleet[[#This Row],[Units]]="","",tblFleet[[#This Row],[Units]]*cfg_HoursPerDay)</f>
        <v/>
      </c>
      <c r="H545" s="66">
        <f>IF(tblFleet[[#This Row],[Units]]="","",tblFleet[[#This Row],[Calendar_h]]-tblFleet[[#This Row],[Down_h]])</f>
        <v/>
      </c>
      <c r="I545" s="60">
        <f>IF(AND(tblFleet[[#This Row],[Units]]&lt;&gt;"",tblFleet[[#This Row],[Calendar_h]]&gt;0),tblFleet[[#This Row],[Available_h]]/tblFleet[[#This Row],[Calendar_h]],"")</f>
        <v/>
      </c>
      <c r="J545" s="60">
        <f>IF(AND(tblFleet[[#This Row],[Units]]&lt;&gt;"",tblFleet[[#This Row],[Available_h]]&gt;0),tblFleet[[#This Row],[Operating_h]]/tblFleet[[#This Row],[Available_h]],"")</f>
        <v/>
      </c>
    </row>
    <row r="546">
      <c r="A546" s="54" t="n"/>
      <c r="B546" s="61" t="n"/>
      <c r="C546" s="62" t="n"/>
      <c r="D546" s="57" t="n"/>
      <c r="E546" s="57" t="n"/>
      <c r="F546" s="58" t="n"/>
      <c r="G546" s="66">
        <f>IF(tblFleet[[#This Row],[Units]]="","",tblFleet[[#This Row],[Units]]*cfg_HoursPerDay)</f>
        <v/>
      </c>
      <c r="H546" s="66">
        <f>IF(tblFleet[[#This Row],[Units]]="","",tblFleet[[#This Row],[Calendar_h]]-tblFleet[[#This Row],[Down_h]])</f>
        <v/>
      </c>
      <c r="I546" s="60">
        <f>IF(AND(tblFleet[[#This Row],[Units]]&lt;&gt;"",tblFleet[[#This Row],[Calendar_h]]&gt;0),tblFleet[[#This Row],[Available_h]]/tblFleet[[#This Row],[Calendar_h]],"")</f>
        <v/>
      </c>
      <c r="J546" s="60">
        <f>IF(AND(tblFleet[[#This Row],[Units]]&lt;&gt;"",tblFleet[[#This Row],[Available_h]]&gt;0),tblFleet[[#This Row],[Operating_h]]/tblFleet[[#This Row],[Available_h]],"")</f>
        <v/>
      </c>
    </row>
    <row r="547">
      <c r="A547" s="54" t="n"/>
      <c r="B547" s="61" t="n"/>
      <c r="C547" s="62" t="n"/>
      <c r="D547" s="57" t="n"/>
      <c r="E547" s="57" t="n"/>
      <c r="F547" s="58" t="n"/>
      <c r="G547" s="66">
        <f>IF(tblFleet[[#This Row],[Units]]="","",tblFleet[[#This Row],[Units]]*cfg_HoursPerDay)</f>
        <v/>
      </c>
      <c r="H547" s="66">
        <f>IF(tblFleet[[#This Row],[Units]]="","",tblFleet[[#This Row],[Calendar_h]]-tblFleet[[#This Row],[Down_h]])</f>
        <v/>
      </c>
      <c r="I547" s="60">
        <f>IF(AND(tblFleet[[#This Row],[Units]]&lt;&gt;"",tblFleet[[#This Row],[Calendar_h]]&gt;0),tblFleet[[#This Row],[Available_h]]/tblFleet[[#This Row],[Calendar_h]],"")</f>
        <v/>
      </c>
      <c r="J547" s="60">
        <f>IF(AND(tblFleet[[#This Row],[Units]]&lt;&gt;"",tblFleet[[#This Row],[Available_h]]&gt;0),tblFleet[[#This Row],[Operating_h]]/tblFleet[[#This Row],[Available_h]],"")</f>
        <v/>
      </c>
    </row>
    <row r="548">
      <c r="A548" s="54" t="n"/>
      <c r="B548" s="61" t="n"/>
      <c r="C548" s="62" t="n"/>
      <c r="D548" s="57" t="n"/>
      <c r="E548" s="57" t="n"/>
      <c r="F548" s="58" t="n"/>
      <c r="G548" s="66">
        <f>IF(tblFleet[[#This Row],[Units]]="","",tblFleet[[#This Row],[Units]]*cfg_HoursPerDay)</f>
        <v/>
      </c>
      <c r="H548" s="66">
        <f>IF(tblFleet[[#This Row],[Units]]="","",tblFleet[[#This Row],[Calendar_h]]-tblFleet[[#This Row],[Down_h]])</f>
        <v/>
      </c>
      <c r="I548" s="60">
        <f>IF(AND(tblFleet[[#This Row],[Units]]&lt;&gt;"",tblFleet[[#This Row],[Calendar_h]]&gt;0),tblFleet[[#This Row],[Available_h]]/tblFleet[[#This Row],[Calendar_h]],"")</f>
        <v/>
      </c>
      <c r="J548" s="60">
        <f>IF(AND(tblFleet[[#This Row],[Units]]&lt;&gt;"",tblFleet[[#This Row],[Available_h]]&gt;0),tblFleet[[#This Row],[Operating_h]]/tblFleet[[#This Row],[Available_h]],"")</f>
        <v/>
      </c>
    </row>
    <row r="549">
      <c r="A549" s="54" t="n"/>
      <c r="B549" s="61" t="n"/>
      <c r="C549" s="62" t="n"/>
      <c r="D549" s="57" t="n"/>
      <c r="E549" s="57" t="n"/>
      <c r="F549" s="58" t="n"/>
      <c r="G549" s="66">
        <f>IF(tblFleet[[#This Row],[Units]]="","",tblFleet[[#This Row],[Units]]*cfg_HoursPerDay)</f>
        <v/>
      </c>
      <c r="H549" s="66">
        <f>IF(tblFleet[[#This Row],[Units]]="","",tblFleet[[#This Row],[Calendar_h]]-tblFleet[[#This Row],[Down_h]])</f>
        <v/>
      </c>
      <c r="I549" s="60">
        <f>IF(AND(tblFleet[[#This Row],[Units]]&lt;&gt;"",tblFleet[[#This Row],[Calendar_h]]&gt;0),tblFleet[[#This Row],[Available_h]]/tblFleet[[#This Row],[Calendar_h]],"")</f>
        <v/>
      </c>
      <c r="J549" s="60">
        <f>IF(AND(tblFleet[[#This Row],[Units]]&lt;&gt;"",tblFleet[[#This Row],[Available_h]]&gt;0),tblFleet[[#This Row],[Operating_h]]/tblFleet[[#This Row],[Available_h]],"")</f>
        <v/>
      </c>
    </row>
    <row r="550">
      <c r="A550" s="54" t="n"/>
      <c r="B550" s="61" t="n"/>
      <c r="C550" s="62" t="n"/>
      <c r="D550" s="57" t="n"/>
      <c r="E550" s="57" t="n"/>
      <c r="F550" s="58" t="n"/>
      <c r="G550" s="66">
        <f>IF(tblFleet[[#This Row],[Units]]="","",tblFleet[[#This Row],[Units]]*cfg_HoursPerDay)</f>
        <v/>
      </c>
      <c r="H550" s="66">
        <f>IF(tblFleet[[#This Row],[Units]]="","",tblFleet[[#This Row],[Calendar_h]]-tblFleet[[#This Row],[Down_h]])</f>
        <v/>
      </c>
      <c r="I550" s="60">
        <f>IF(AND(tblFleet[[#This Row],[Units]]&lt;&gt;"",tblFleet[[#This Row],[Calendar_h]]&gt;0),tblFleet[[#This Row],[Available_h]]/tblFleet[[#This Row],[Calendar_h]],"")</f>
        <v/>
      </c>
      <c r="J550" s="60">
        <f>IF(AND(tblFleet[[#This Row],[Units]]&lt;&gt;"",tblFleet[[#This Row],[Available_h]]&gt;0),tblFleet[[#This Row],[Operating_h]]/tblFleet[[#This Row],[Available_h]],"")</f>
        <v/>
      </c>
    </row>
    <row r="551">
      <c r="A551" s="54" t="n"/>
      <c r="B551" s="61" t="n"/>
      <c r="C551" s="62" t="n"/>
      <c r="D551" s="57" t="n"/>
      <c r="E551" s="57" t="n"/>
      <c r="F551" s="58" t="n"/>
      <c r="G551" s="66">
        <f>IF(tblFleet[[#This Row],[Units]]="","",tblFleet[[#This Row],[Units]]*cfg_HoursPerDay)</f>
        <v/>
      </c>
      <c r="H551" s="66">
        <f>IF(tblFleet[[#This Row],[Units]]="","",tblFleet[[#This Row],[Calendar_h]]-tblFleet[[#This Row],[Down_h]])</f>
        <v/>
      </c>
      <c r="I551" s="60">
        <f>IF(AND(tblFleet[[#This Row],[Units]]&lt;&gt;"",tblFleet[[#This Row],[Calendar_h]]&gt;0),tblFleet[[#This Row],[Available_h]]/tblFleet[[#This Row],[Calendar_h]],"")</f>
        <v/>
      </c>
      <c r="J551" s="60">
        <f>IF(AND(tblFleet[[#This Row],[Units]]&lt;&gt;"",tblFleet[[#This Row],[Available_h]]&gt;0),tblFleet[[#This Row],[Operating_h]]/tblFleet[[#This Row],[Available_h]],"")</f>
        <v/>
      </c>
    </row>
    <row r="552">
      <c r="A552" s="54" t="n"/>
      <c r="B552" s="61" t="n"/>
      <c r="C552" s="62" t="n"/>
      <c r="D552" s="57" t="n"/>
      <c r="E552" s="57" t="n"/>
      <c r="F552" s="58" t="n"/>
      <c r="G552" s="66">
        <f>IF(tblFleet[[#This Row],[Units]]="","",tblFleet[[#This Row],[Units]]*cfg_HoursPerDay)</f>
        <v/>
      </c>
      <c r="H552" s="66">
        <f>IF(tblFleet[[#This Row],[Units]]="","",tblFleet[[#This Row],[Calendar_h]]-tblFleet[[#This Row],[Down_h]])</f>
        <v/>
      </c>
      <c r="I552" s="60">
        <f>IF(AND(tblFleet[[#This Row],[Units]]&lt;&gt;"",tblFleet[[#This Row],[Calendar_h]]&gt;0),tblFleet[[#This Row],[Available_h]]/tblFleet[[#This Row],[Calendar_h]],"")</f>
        <v/>
      </c>
      <c r="J552" s="60">
        <f>IF(AND(tblFleet[[#This Row],[Units]]&lt;&gt;"",tblFleet[[#This Row],[Available_h]]&gt;0),tblFleet[[#This Row],[Operating_h]]/tblFleet[[#This Row],[Available_h]],"")</f>
        <v/>
      </c>
    </row>
    <row r="553">
      <c r="A553" s="54" t="n"/>
      <c r="B553" s="61" t="n"/>
      <c r="C553" s="62" t="n"/>
      <c r="D553" s="57" t="n"/>
      <c r="E553" s="57" t="n"/>
      <c r="F553" s="58" t="n"/>
      <c r="G553" s="66">
        <f>IF(tblFleet[[#This Row],[Units]]="","",tblFleet[[#This Row],[Units]]*cfg_HoursPerDay)</f>
        <v/>
      </c>
      <c r="H553" s="66">
        <f>IF(tblFleet[[#This Row],[Units]]="","",tblFleet[[#This Row],[Calendar_h]]-tblFleet[[#This Row],[Down_h]])</f>
        <v/>
      </c>
      <c r="I553" s="60">
        <f>IF(AND(tblFleet[[#This Row],[Units]]&lt;&gt;"",tblFleet[[#This Row],[Calendar_h]]&gt;0),tblFleet[[#This Row],[Available_h]]/tblFleet[[#This Row],[Calendar_h]],"")</f>
        <v/>
      </c>
      <c r="J553" s="60">
        <f>IF(AND(tblFleet[[#This Row],[Units]]&lt;&gt;"",tblFleet[[#This Row],[Available_h]]&gt;0),tblFleet[[#This Row],[Operating_h]]/tblFleet[[#This Row],[Available_h]],"")</f>
        <v/>
      </c>
    </row>
    <row r="554">
      <c r="A554" s="54" t="n"/>
      <c r="B554" s="61" t="n"/>
      <c r="C554" s="62" t="n"/>
      <c r="D554" s="57" t="n"/>
      <c r="E554" s="57" t="n"/>
      <c r="F554" s="58" t="n"/>
      <c r="G554" s="66">
        <f>IF(tblFleet[[#This Row],[Units]]="","",tblFleet[[#This Row],[Units]]*cfg_HoursPerDay)</f>
        <v/>
      </c>
      <c r="H554" s="66">
        <f>IF(tblFleet[[#This Row],[Units]]="","",tblFleet[[#This Row],[Calendar_h]]-tblFleet[[#This Row],[Down_h]])</f>
        <v/>
      </c>
      <c r="I554" s="60">
        <f>IF(AND(tblFleet[[#This Row],[Units]]&lt;&gt;"",tblFleet[[#This Row],[Calendar_h]]&gt;0),tblFleet[[#This Row],[Available_h]]/tblFleet[[#This Row],[Calendar_h]],"")</f>
        <v/>
      </c>
      <c r="J554" s="60">
        <f>IF(AND(tblFleet[[#This Row],[Units]]&lt;&gt;"",tblFleet[[#This Row],[Available_h]]&gt;0),tblFleet[[#This Row],[Operating_h]]/tblFleet[[#This Row],[Available_h]],"")</f>
        <v/>
      </c>
    </row>
    <row r="555">
      <c r="A555" s="54" t="n"/>
      <c r="B555" s="61" t="n"/>
      <c r="C555" s="62" t="n"/>
      <c r="D555" s="57" t="n"/>
      <c r="E555" s="57" t="n"/>
      <c r="F555" s="58" t="n"/>
      <c r="G555" s="66">
        <f>IF(tblFleet[[#This Row],[Units]]="","",tblFleet[[#This Row],[Units]]*cfg_HoursPerDay)</f>
        <v/>
      </c>
      <c r="H555" s="66">
        <f>IF(tblFleet[[#This Row],[Units]]="","",tblFleet[[#This Row],[Calendar_h]]-tblFleet[[#This Row],[Down_h]])</f>
        <v/>
      </c>
      <c r="I555" s="60">
        <f>IF(AND(tblFleet[[#This Row],[Units]]&lt;&gt;"",tblFleet[[#This Row],[Calendar_h]]&gt;0),tblFleet[[#This Row],[Available_h]]/tblFleet[[#This Row],[Calendar_h]],"")</f>
        <v/>
      </c>
      <c r="J555" s="60">
        <f>IF(AND(tblFleet[[#This Row],[Units]]&lt;&gt;"",tblFleet[[#This Row],[Available_h]]&gt;0),tblFleet[[#This Row],[Operating_h]]/tblFleet[[#This Row],[Available_h]],"")</f>
        <v/>
      </c>
    </row>
    <row r="556">
      <c r="A556" s="54" t="n"/>
      <c r="B556" s="61" t="n"/>
      <c r="C556" s="62" t="n"/>
      <c r="D556" s="57" t="n"/>
      <c r="E556" s="57" t="n"/>
      <c r="F556" s="58" t="n"/>
      <c r="G556" s="66">
        <f>IF(tblFleet[[#This Row],[Units]]="","",tblFleet[[#This Row],[Units]]*cfg_HoursPerDay)</f>
        <v/>
      </c>
      <c r="H556" s="66">
        <f>IF(tblFleet[[#This Row],[Units]]="","",tblFleet[[#This Row],[Calendar_h]]-tblFleet[[#This Row],[Down_h]])</f>
        <v/>
      </c>
      <c r="I556" s="60">
        <f>IF(AND(tblFleet[[#This Row],[Units]]&lt;&gt;"",tblFleet[[#This Row],[Calendar_h]]&gt;0),tblFleet[[#This Row],[Available_h]]/tblFleet[[#This Row],[Calendar_h]],"")</f>
        <v/>
      </c>
      <c r="J556" s="60">
        <f>IF(AND(tblFleet[[#This Row],[Units]]&lt;&gt;"",tblFleet[[#This Row],[Available_h]]&gt;0),tblFleet[[#This Row],[Operating_h]]/tblFleet[[#This Row],[Available_h]],"")</f>
        <v/>
      </c>
    </row>
    <row r="557">
      <c r="A557" s="54" t="n"/>
      <c r="B557" s="61" t="n"/>
      <c r="C557" s="62" t="n"/>
      <c r="D557" s="57" t="n"/>
      <c r="E557" s="57" t="n"/>
      <c r="F557" s="58" t="n"/>
      <c r="G557" s="66">
        <f>IF(tblFleet[[#This Row],[Units]]="","",tblFleet[[#This Row],[Units]]*cfg_HoursPerDay)</f>
        <v/>
      </c>
      <c r="H557" s="66">
        <f>IF(tblFleet[[#This Row],[Units]]="","",tblFleet[[#This Row],[Calendar_h]]-tblFleet[[#This Row],[Down_h]])</f>
        <v/>
      </c>
      <c r="I557" s="60">
        <f>IF(AND(tblFleet[[#This Row],[Units]]&lt;&gt;"",tblFleet[[#This Row],[Calendar_h]]&gt;0),tblFleet[[#This Row],[Available_h]]/tblFleet[[#This Row],[Calendar_h]],"")</f>
        <v/>
      </c>
      <c r="J557" s="60">
        <f>IF(AND(tblFleet[[#This Row],[Units]]&lt;&gt;"",tblFleet[[#This Row],[Available_h]]&gt;0),tblFleet[[#This Row],[Operating_h]]/tblFleet[[#This Row],[Available_h]],"")</f>
        <v/>
      </c>
    </row>
    <row r="558">
      <c r="A558" s="54" t="n"/>
      <c r="B558" s="61" t="n"/>
      <c r="C558" s="62" t="n"/>
      <c r="D558" s="57" t="n"/>
      <c r="E558" s="57" t="n"/>
      <c r="F558" s="58" t="n"/>
      <c r="G558" s="66">
        <f>IF(tblFleet[[#This Row],[Units]]="","",tblFleet[[#This Row],[Units]]*cfg_HoursPerDay)</f>
        <v/>
      </c>
      <c r="H558" s="66">
        <f>IF(tblFleet[[#This Row],[Units]]="","",tblFleet[[#This Row],[Calendar_h]]-tblFleet[[#This Row],[Down_h]])</f>
        <v/>
      </c>
      <c r="I558" s="60">
        <f>IF(AND(tblFleet[[#This Row],[Units]]&lt;&gt;"",tblFleet[[#This Row],[Calendar_h]]&gt;0),tblFleet[[#This Row],[Available_h]]/tblFleet[[#This Row],[Calendar_h]],"")</f>
        <v/>
      </c>
      <c r="J558" s="60">
        <f>IF(AND(tblFleet[[#This Row],[Units]]&lt;&gt;"",tblFleet[[#This Row],[Available_h]]&gt;0),tblFleet[[#This Row],[Operating_h]]/tblFleet[[#This Row],[Available_h]],"")</f>
        <v/>
      </c>
    </row>
    <row r="559">
      <c r="A559" s="54" t="n"/>
      <c r="B559" s="61" t="n"/>
      <c r="C559" s="62" t="n"/>
      <c r="D559" s="57" t="n"/>
      <c r="E559" s="57" t="n"/>
      <c r="F559" s="58" t="n"/>
      <c r="G559" s="66">
        <f>IF(tblFleet[[#This Row],[Units]]="","",tblFleet[[#This Row],[Units]]*cfg_HoursPerDay)</f>
        <v/>
      </c>
      <c r="H559" s="66">
        <f>IF(tblFleet[[#This Row],[Units]]="","",tblFleet[[#This Row],[Calendar_h]]-tblFleet[[#This Row],[Down_h]])</f>
        <v/>
      </c>
      <c r="I559" s="60">
        <f>IF(AND(tblFleet[[#This Row],[Units]]&lt;&gt;"",tblFleet[[#This Row],[Calendar_h]]&gt;0),tblFleet[[#This Row],[Available_h]]/tblFleet[[#This Row],[Calendar_h]],"")</f>
        <v/>
      </c>
      <c r="J559" s="60">
        <f>IF(AND(tblFleet[[#This Row],[Units]]&lt;&gt;"",tblFleet[[#This Row],[Available_h]]&gt;0),tblFleet[[#This Row],[Operating_h]]/tblFleet[[#This Row],[Available_h]],"")</f>
        <v/>
      </c>
    </row>
    <row r="560">
      <c r="A560" s="54" t="n"/>
      <c r="B560" s="61" t="n"/>
      <c r="C560" s="62" t="n"/>
      <c r="D560" s="57" t="n"/>
      <c r="E560" s="57" t="n"/>
      <c r="F560" s="58" t="n"/>
      <c r="G560" s="66">
        <f>IF(tblFleet[[#This Row],[Units]]="","",tblFleet[[#This Row],[Units]]*cfg_HoursPerDay)</f>
        <v/>
      </c>
      <c r="H560" s="66">
        <f>IF(tblFleet[[#This Row],[Units]]="","",tblFleet[[#This Row],[Calendar_h]]-tblFleet[[#This Row],[Down_h]])</f>
        <v/>
      </c>
      <c r="I560" s="60">
        <f>IF(AND(tblFleet[[#This Row],[Units]]&lt;&gt;"",tblFleet[[#This Row],[Calendar_h]]&gt;0),tblFleet[[#This Row],[Available_h]]/tblFleet[[#This Row],[Calendar_h]],"")</f>
        <v/>
      </c>
      <c r="J560" s="60">
        <f>IF(AND(tblFleet[[#This Row],[Units]]&lt;&gt;"",tblFleet[[#This Row],[Available_h]]&gt;0),tblFleet[[#This Row],[Operating_h]]/tblFleet[[#This Row],[Available_h]],"")</f>
        <v/>
      </c>
    </row>
    <row r="561">
      <c r="A561" s="54" t="n"/>
      <c r="B561" s="61" t="n"/>
      <c r="C561" s="62" t="n"/>
      <c r="D561" s="57" t="n"/>
      <c r="E561" s="57" t="n"/>
      <c r="F561" s="58" t="n"/>
      <c r="G561" s="66">
        <f>IF(tblFleet[[#This Row],[Units]]="","",tblFleet[[#This Row],[Units]]*cfg_HoursPerDay)</f>
        <v/>
      </c>
      <c r="H561" s="66">
        <f>IF(tblFleet[[#This Row],[Units]]="","",tblFleet[[#This Row],[Calendar_h]]-tblFleet[[#This Row],[Down_h]])</f>
        <v/>
      </c>
      <c r="I561" s="60">
        <f>IF(AND(tblFleet[[#This Row],[Units]]&lt;&gt;"",tblFleet[[#This Row],[Calendar_h]]&gt;0),tblFleet[[#This Row],[Available_h]]/tblFleet[[#This Row],[Calendar_h]],"")</f>
        <v/>
      </c>
      <c r="J561" s="60">
        <f>IF(AND(tblFleet[[#This Row],[Units]]&lt;&gt;"",tblFleet[[#This Row],[Available_h]]&gt;0),tblFleet[[#This Row],[Operating_h]]/tblFleet[[#This Row],[Available_h]],"")</f>
        <v/>
      </c>
    </row>
    <row r="562">
      <c r="A562" s="54" t="n"/>
      <c r="B562" s="61" t="n"/>
      <c r="C562" s="62" t="n"/>
      <c r="D562" s="57" t="n"/>
      <c r="E562" s="57" t="n"/>
      <c r="F562" s="58" t="n"/>
      <c r="G562" s="66">
        <f>IF(tblFleet[[#This Row],[Units]]="","",tblFleet[[#This Row],[Units]]*cfg_HoursPerDay)</f>
        <v/>
      </c>
      <c r="H562" s="66">
        <f>IF(tblFleet[[#This Row],[Units]]="","",tblFleet[[#This Row],[Calendar_h]]-tblFleet[[#This Row],[Down_h]])</f>
        <v/>
      </c>
      <c r="I562" s="60">
        <f>IF(AND(tblFleet[[#This Row],[Units]]&lt;&gt;"",tblFleet[[#This Row],[Calendar_h]]&gt;0),tblFleet[[#This Row],[Available_h]]/tblFleet[[#This Row],[Calendar_h]],"")</f>
        <v/>
      </c>
      <c r="J562" s="60">
        <f>IF(AND(tblFleet[[#This Row],[Units]]&lt;&gt;"",tblFleet[[#This Row],[Available_h]]&gt;0),tblFleet[[#This Row],[Operating_h]]/tblFleet[[#This Row],[Available_h]],"")</f>
        <v/>
      </c>
    </row>
    <row r="563">
      <c r="A563" s="54" t="n"/>
      <c r="B563" s="61" t="n"/>
      <c r="C563" s="62" t="n"/>
      <c r="D563" s="57" t="n"/>
      <c r="E563" s="57" t="n"/>
      <c r="F563" s="58" t="n"/>
      <c r="G563" s="66">
        <f>IF(tblFleet[[#This Row],[Units]]="","",tblFleet[[#This Row],[Units]]*cfg_HoursPerDay)</f>
        <v/>
      </c>
      <c r="H563" s="66">
        <f>IF(tblFleet[[#This Row],[Units]]="","",tblFleet[[#This Row],[Calendar_h]]-tblFleet[[#This Row],[Down_h]])</f>
        <v/>
      </c>
      <c r="I563" s="60">
        <f>IF(AND(tblFleet[[#This Row],[Units]]&lt;&gt;"",tblFleet[[#This Row],[Calendar_h]]&gt;0),tblFleet[[#This Row],[Available_h]]/tblFleet[[#This Row],[Calendar_h]],"")</f>
        <v/>
      </c>
      <c r="J563" s="60">
        <f>IF(AND(tblFleet[[#This Row],[Units]]&lt;&gt;"",tblFleet[[#This Row],[Available_h]]&gt;0),tblFleet[[#This Row],[Operating_h]]/tblFleet[[#This Row],[Available_h]],"")</f>
        <v/>
      </c>
    </row>
    <row r="564">
      <c r="A564" s="54" t="n"/>
      <c r="B564" s="61" t="n"/>
      <c r="C564" s="62" t="n"/>
      <c r="D564" s="57" t="n"/>
      <c r="E564" s="57" t="n"/>
      <c r="F564" s="58" t="n"/>
      <c r="G564" s="66">
        <f>IF(tblFleet[[#This Row],[Units]]="","",tblFleet[[#This Row],[Units]]*cfg_HoursPerDay)</f>
        <v/>
      </c>
      <c r="H564" s="66">
        <f>IF(tblFleet[[#This Row],[Units]]="","",tblFleet[[#This Row],[Calendar_h]]-tblFleet[[#This Row],[Down_h]])</f>
        <v/>
      </c>
      <c r="I564" s="60">
        <f>IF(AND(tblFleet[[#This Row],[Units]]&lt;&gt;"",tblFleet[[#This Row],[Calendar_h]]&gt;0),tblFleet[[#This Row],[Available_h]]/tblFleet[[#This Row],[Calendar_h]],"")</f>
        <v/>
      </c>
      <c r="J564" s="60">
        <f>IF(AND(tblFleet[[#This Row],[Units]]&lt;&gt;"",tblFleet[[#This Row],[Available_h]]&gt;0),tblFleet[[#This Row],[Operating_h]]/tblFleet[[#This Row],[Available_h]],"")</f>
        <v/>
      </c>
    </row>
    <row r="565">
      <c r="A565" s="54" t="n"/>
      <c r="B565" s="61" t="n"/>
      <c r="C565" s="62" t="n"/>
      <c r="D565" s="57" t="n"/>
      <c r="E565" s="57" t="n"/>
      <c r="F565" s="58" t="n"/>
      <c r="G565" s="66">
        <f>IF(tblFleet[[#This Row],[Units]]="","",tblFleet[[#This Row],[Units]]*cfg_HoursPerDay)</f>
        <v/>
      </c>
      <c r="H565" s="66">
        <f>IF(tblFleet[[#This Row],[Units]]="","",tblFleet[[#This Row],[Calendar_h]]-tblFleet[[#This Row],[Down_h]])</f>
        <v/>
      </c>
      <c r="I565" s="60">
        <f>IF(AND(tblFleet[[#This Row],[Units]]&lt;&gt;"",tblFleet[[#This Row],[Calendar_h]]&gt;0),tblFleet[[#This Row],[Available_h]]/tblFleet[[#This Row],[Calendar_h]],"")</f>
        <v/>
      </c>
      <c r="J565" s="60">
        <f>IF(AND(tblFleet[[#This Row],[Units]]&lt;&gt;"",tblFleet[[#This Row],[Available_h]]&gt;0),tblFleet[[#This Row],[Operating_h]]/tblFleet[[#This Row],[Available_h]],"")</f>
        <v/>
      </c>
    </row>
    <row r="566">
      <c r="A566" s="54" t="n"/>
      <c r="B566" s="61" t="n"/>
      <c r="C566" s="62" t="n"/>
      <c r="D566" s="57" t="n"/>
      <c r="E566" s="57" t="n"/>
      <c r="F566" s="58" t="n"/>
      <c r="G566" s="66">
        <f>IF(tblFleet[[#This Row],[Units]]="","",tblFleet[[#This Row],[Units]]*cfg_HoursPerDay)</f>
        <v/>
      </c>
      <c r="H566" s="66">
        <f>IF(tblFleet[[#This Row],[Units]]="","",tblFleet[[#This Row],[Calendar_h]]-tblFleet[[#This Row],[Down_h]])</f>
        <v/>
      </c>
      <c r="I566" s="60">
        <f>IF(AND(tblFleet[[#This Row],[Units]]&lt;&gt;"",tblFleet[[#This Row],[Calendar_h]]&gt;0),tblFleet[[#This Row],[Available_h]]/tblFleet[[#This Row],[Calendar_h]],"")</f>
        <v/>
      </c>
      <c r="J566" s="60">
        <f>IF(AND(tblFleet[[#This Row],[Units]]&lt;&gt;"",tblFleet[[#This Row],[Available_h]]&gt;0),tblFleet[[#This Row],[Operating_h]]/tblFleet[[#This Row],[Available_h]],"")</f>
        <v/>
      </c>
    </row>
    <row r="567">
      <c r="A567" s="54" t="n"/>
      <c r="B567" s="61" t="n"/>
      <c r="C567" s="62" t="n"/>
      <c r="D567" s="57" t="n"/>
      <c r="E567" s="57" t="n"/>
      <c r="F567" s="58" t="n"/>
      <c r="G567" s="66">
        <f>IF(tblFleet[[#This Row],[Units]]="","",tblFleet[[#This Row],[Units]]*cfg_HoursPerDay)</f>
        <v/>
      </c>
      <c r="H567" s="66">
        <f>IF(tblFleet[[#This Row],[Units]]="","",tblFleet[[#This Row],[Calendar_h]]-tblFleet[[#This Row],[Down_h]])</f>
        <v/>
      </c>
      <c r="I567" s="60">
        <f>IF(AND(tblFleet[[#This Row],[Units]]&lt;&gt;"",tblFleet[[#This Row],[Calendar_h]]&gt;0),tblFleet[[#This Row],[Available_h]]/tblFleet[[#This Row],[Calendar_h]],"")</f>
        <v/>
      </c>
      <c r="J567" s="60">
        <f>IF(AND(tblFleet[[#This Row],[Units]]&lt;&gt;"",tblFleet[[#This Row],[Available_h]]&gt;0),tblFleet[[#This Row],[Operating_h]]/tblFleet[[#This Row],[Available_h]],"")</f>
        <v/>
      </c>
    </row>
    <row r="568">
      <c r="A568" s="54" t="n"/>
      <c r="B568" s="61" t="n"/>
      <c r="C568" s="62" t="n"/>
      <c r="D568" s="57" t="n"/>
      <c r="E568" s="57" t="n"/>
      <c r="F568" s="58" t="n"/>
      <c r="G568" s="66">
        <f>IF(tblFleet[[#This Row],[Units]]="","",tblFleet[[#This Row],[Units]]*cfg_HoursPerDay)</f>
        <v/>
      </c>
      <c r="H568" s="66">
        <f>IF(tblFleet[[#This Row],[Units]]="","",tblFleet[[#This Row],[Calendar_h]]-tblFleet[[#This Row],[Down_h]])</f>
        <v/>
      </c>
      <c r="I568" s="60">
        <f>IF(AND(tblFleet[[#This Row],[Units]]&lt;&gt;"",tblFleet[[#This Row],[Calendar_h]]&gt;0),tblFleet[[#This Row],[Available_h]]/tblFleet[[#This Row],[Calendar_h]],"")</f>
        <v/>
      </c>
      <c r="J568" s="60">
        <f>IF(AND(tblFleet[[#This Row],[Units]]&lt;&gt;"",tblFleet[[#This Row],[Available_h]]&gt;0),tblFleet[[#This Row],[Operating_h]]/tblFleet[[#This Row],[Available_h]],"")</f>
        <v/>
      </c>
    </row>
    <row r="569">
      <c r="A569" s="54" t="n"/>
      <c r="B569" s="61" t="n"/>
      <c r="C569" s="62" t="n"/>
      <c r="D569" s="57" t="n"/>
      <c r="E569" s="57" t="n"/>
      <c r="F569" s="58" t="n"/>
      <c r="G569" s="66">
        <f>IF(tblFleet[[#This Row],[Units]]="","",tblFleet[[#This Row],[Units]]*cfg_HoursPerDay)</f>
        <v/>
      </c>
      <c r="H569" s="66">
        <f>IF(tblFleet[[#This Row],[Units]]="","",tblFleet[[#This Row],[Calendar_h]]-tblFleet[[#This Row],[Down_h]])</f>
        <v/>
      </c>
      <c r="I569" s="60">
        <f>IF(AND(tblFleet[[#This Row],[Units]]&lt;&gt;"",tblFleet[[#This Row],[Calendar_h]]&gt;0),tblFleet[[#This Row],[Available_h]]/tblFleet[[#This Row],[Calendar_h]],"")</f>
        <v/>
      </c>
      <c r="J569" s="60">
        <f>IF(AND(tblFleet[[#This Row],[Units]]&lt;&gt;"",tblFleet[[#This Row],[Available_h]]&gt;0),tblFleet[[#This Row],[Operating_h]]/tblFleet[[#This Row],[Available_h]],"")</f>
        <v/>
      </c>
    </row>
    <row r="570">
      <c r="A570" s="54" t="n"/>
      <c r="B570" s="61" t="n"/>
      <c r="C570" s="62" t="n"/>
      <c r="D570" s="57" t="n"/>
      <c r="E570" s="57" t="n"/>
      <c r="F570" s="58" t="n"/>
      <c r="G570" s="66">
        <f>IF(tblFleet[[#This Row],[Units]]="","",tblFleet[[#This Row],[Units]]*cfg_HoursPerDay)</f>
        <v/>
      </c>
      <c r="H570" s="66">
        <f>IF(tblFleet[[#This Row],[Units]]="","",tblFleet[[#This Row],[Calendar_h]]-tblFleet[[#This Row],[Down_h]])</f>
        <v/>
      </c>
      <c r="I570" s="60">
        <f>IF(AND(tblFleet[[#This Row],[Units]]&lt;&gt;"",tblFleet[[#This Row],[Calendar_h]]&gt;0),tblFleet[[#This Row],[Available_h]]/tblFleet[[#This Row],[Calendar_h]],"")</f>
        <v/>
      </c>
      <c r="J570" s="60">
        <f>IF(AND(tblFleet[[#This Row],[Units]]&lt;&gt;"",tblFleet[[#This Row],[Available_h]]&gt;0),tblFleet[[#This Row],[Operating_h]]/tblFleet[[#This Row],[Available_h]],"")</f>
        <v/>
      </c>
    </row>
    <row r="571">
      <c r="A571" s="54" t="n"/>
      <c r="B571" s="61" t="n"/>
      <c r="C571" s="62" t="n"/>
      <c r="D571" s="57" t="n"/>
      <c r="E571" s="57" t="n"/>
      <c r="F571" s="58" t="n"/>
      <c r="G571" s="66">
        <f>IF(tblFleet[[#This Row],[Units]]="","",tblFleet[[#This Row],[Units]]*cfg_HoursPerDay)</f>
        <v/>
      </c>
      <c r="H571" s="66">
        <f>IF(tblFleet[[#This Row],[Units]]="","",tblFleet[[#This Row],[Calendar_h]]-tblFleet[[#This Row],[Down_h]])</f>
        <v/>
      </c>
      <c r="I571" s="60">
        <f>IF(AND(tblFleet[[#This Row],[Units]]&lt;&gt;"",tblFleet[[#This Row],[Calendar_h]]&gt;0),tblFleet[[#This Row],[Available_h]]/tblFleet[[#This Row],[Calendar_h]],"")</f>
        <v/>
      </c>
      <c r="J571" s="60">
        <f>IF(AND(tblFleet[[#This Row],[Units]]&lt;&gt;"",tblFleet[[#This Row],[Available_h]]&gt;0),tblFleet[[#This Row],[Operating_h]]/tblFleet[[#This Row],[Available_h]],"")</f>
        <v/>
      </c>
    </row>
    <row r="572">
      <c r="A572" s="54" t="n"/>
      <c r="B572" s="61" t="n"/>
      <c r="C572" s="62" t="n"/>
      <c r="D572" s="57" t="n"/>
      <c r="E572" s="57" t="n"/>
      <c r="F572" s="58" t="n"/>
      <c r="G572" s="66">
        <f>IF(tblFleet[[#This Row],[Units]]="","",tblFleet[[#This Row],[Units]]*cfg_HoursPerDay)</f>
        <v/>
      </c>
      <c r="H572" s="66">
        <f>IF(tblFleet[[#This Row],[Units]]="","",tblFleet[[#This Row],[Calendar_h]]-tblFleet[[#This Row],[Down_h]])</f>
        <v/>
      </c>
      <c r="I572" s="60">
        <f>IF(AND(tblFleet[[#This Row],[Units]]&lt;&gt;"",tblFleet[[#This Row],[Calendar_h]]&gt;0),tblFleet[[#This Row],[Available_h]]/tblFleet[[#This Row],[Calendar_h]],"")</f>
        <v/>
      </c>
      <c r="J572" s="60">
        <f>IF(AND(tblFleet[[#This Row],[Units]]&lt;&gt;"",tblFleet[[#This Row],[Available_h]]&gt;0),tblFleet[[#This Row],[Operating_h]]/tblFleet[[#This Row],[Available_h]],"")</f>
        <v/>
      </c>
    </row>
    <row r="573">
      <c r="A573" s="54" t="n"/>
      <c r="B573" s="61" t="n"/>
      <c r="C573" s="62" t="n"/>
      <c r="D573" s="57" t="n"/>
      <c r="E573" s="57" t="n"/>
      <c r="F573" s="58" t="n"/>
      <c r="G573" s="66">
        <f>IF(tblFleet[[#This Row],[Units]]="","",tblFleet[[#This Row],[Units]]*cfg_HoursPerDay)</f>
        <v/>
      </c>
      <c r="H573" s="66">
        <f>IF(tblFleet[[#This Row],[Units]]="","",tblFleet[[#This Row],[Calendar_h]]-tblFleet[[#This Row],[Down_h]])</f>
        <v/>
      </c>
      <c r="I573" s="60">
        <f>IF(AND(tblFleet[[#This Row],[Units]]&lt;&gt;"",tblFleet[[#This Row],[Calendar_h]]&gt;0),tblFleet[[#This Row],[Available_h]]/tblFleet[[#This Row],[Calendar_h]],"")</f>
        <v/>
      </c>
      <c r="J573" s="60">
        <f>IF(AND(tblFleet[[#This Row],[Units]]&lt;&gt;"",tblFleet[[#This Row],[Available_h]]&gt;0),tblFleet[[#This Row],[Operating_h]]/tblFleet[[#This Row],[Available_h]],"")</f>
        <v/>
      </c>
    </row>
    <row r="574">
      <c r="A574" s="54" t="n"/>
      <c r="B574" s="61" t="n"/>
      <c r="C574" s="62" t="n"/>
      <c r="D574" s="57" t="n"/>
      <c r="E574" s="57" t="n"/>
      <c r="F574" s="58" t="n"/>
      <c r="G574" s="66">
        <f>IF(tblFleet[[#This Row],[Units]]="","",tblFleet[[#This Row],[Units]]*cfg_HoursPerDay)</f>
        <v/>
      </c>
      <c r="H574" s="66">
        <f>IF(tblFleet[[#This Row],[Units]]="","",tblFleet[[#This Row],[Calendar_h]]-tblFleet[[#This Row],[Down_h]])</f>
        <v/>
      </c>
      <c r="I574" s="60">
        <f>IF(AND(tblFleet[[#This Row],[Units]]&lt;&gt;"",tblFleet[[#This Row],[Calendar_h]]&gt;0),tblFleet[[#This Row],[Available_h]]/tblFleet[[#This Row],[Calendar_h]],"")</f>
        <v/>
      </c>
      <c r="J574" s="60">
        <f>IF(AND(tblFleet[[#This Row],[Units]]&lt;&gt;"",tblFleet[[#This Row],[Available_h]]&gt;0),tblFleet[[#This Row],[Operating_h]]/tblFleet[[#This Row],[Available_h]],"")</f>
        <v/>
      </c>
    </row>
    <row r="575">
      <c r="A575" s="54" t="n"/>
      <c r="B575" s="61" t="n"/>
      <c r="C575" s="62" t="n"/>
      <c r="D575" s="57" t="n"/>
      <c r="E575" s="57" t="n"/>
      <c r="F575" s="58" t="n"/>
      <c r="G575" s="66">
        <f>IF(tblFleet[[#This Row],[Units]]="","",tblFleet[[#This Row],[Units]]*cfg_HoursPerDay)</f>
        <v/>
      </c>
      <c r="H575" s="66">
        <f>IF(tblFleet[[#This Row],[Units]]="","",tblFleet[[#This Row],[Calendar_h]]-tblFleet[[#This Row],[Down_h]])</f>
        <v/>
      </c>
      <c r="I575" s="60">
        <f>IF(AND(tblFleet[[#This Row],[Units]]&lt;&gt;"",tblFleet[[#This Row],[Calendar_h]]&gt;0),tblFleet[[#This Row],[Available_h]]/tblFleet[[#This Row],[Calendar_h]],"")</f>
        <v/>
      </c>
      <c r="J575" s="60">
        <f>IF(AND(tblFleet[[#This Row],[Units]]&lt;&gt;"",tblFleet[[#This Row],[Available_h]]&gt;0),tblFleet[[#This Row],[Operating_h]]/tblFleet[[#This Row],[Available_h]],"")</f>
        <v/>
      </c>
    </row>
    <row r="576">
      <c r="A576" s="54" t="n"/>
      <c r="B576" s="61" t="n"/>
      <c r="C576" s="62" t="n"/>
      <c r="D576" s="57" t="n"/>
      <c r="E576" s="57" t="n"/>
      <c r="F576" s="58" t="n"/>
      <c r="G576" s="66">
        <f>IF(tblFleet[[#This Row],[Units]]="","",tblFleet[[#This Row],[Units]]*cfg_HoursPerDay)</f>
        <v/>
      </c>
      <c r="H576" s="66">
        <f>IF(tblFleet[[#This Row],[Units]]="","",tblFleet[[#This Row],[Calendar_h]]-tblFleet[[#This Row],[Down_h]])</f>
        <v/>
      </c>
      <c r="I576" s="60">
        <f>IF(AND(tblFleet[[#This Row],[Units]]&lt;&gt;"",tblFleet[[#This Row],[Calendar_h]]&gt;0),tblFleet[[#This Row],[Available_h]]/tblFleet[[#This Row],[Calendar_h]],"")</f>
        <v/>
      </c>
      <c r="J576" s="60">
        <f>IF(AND(tblFleet[[#This Row],[Units]]&lt;&gt;"",tblFleet[[#This Row],[Available_h]]&gt;0),tblFleet[[#This Row],[Operating_h]]/tblFleet[[#This Row],[Available_h]],"")</f>
        <v/>
      </c>
    </row>
    <row r="577">
      <c r="A577" s="54" t="n"/>
      <c r="B577" s="61" t="n"/>
      <c r="C577" s="62" t="n"/>
      <c r="D577" s="57" t="n"/>
      <c r="E577" s="57" t="n"/>
      <c r="F577" s="58" t="n"/>
      <c r="G577" s="66">
        <f>IF(tblFleet[[#This Row],[Units]]="","",tblFleet[[#This Row],[Units]]*cfg_HoursPerDay)</f>
        <v/>
      </c>
      <c r="H577" s="66">
        <f>IF(tblFleet[[#This Row],[Units]]="","",tblFleet[[#This Row],[Calendar_h]]-tblFleet[[#This Row],[Down_h]])</f>
        <v/>
      </c>
      <c r="I577" s="60">
        <f>IF(AND(tblFleet[[#This Row],[Units]]&lt;&gt;"",tblFleet[[#This Row],[Calendar_h]]&gt;0),tblFleet[[#This Row],[Available_h]]/tblFleet[[#This Row],[Calendar_h]],"")</f>
        <v/>
      </c>
      <c r="J577" s="60">
        <f>IF(AND(tblFleet[[#This Row],[Units]]&lt;&gt;"",tblFleet[[#This Row],[Available_h]]&gt;0),tblFleet[[#This Row],[Operating_h]]/tblFleet[[#This Row],[Available_h]],"")</f>
        <v/>
      </c>
    </row>
    <row r="578">
      <c r="A578" s="54" t="n"/>
      <c r="B578" s="61" t="n"/>
      <c r="C578" s="62" t="n"/>
      <c r="D578" s="57" t="n"/>
      <c r="E578" s="57" t="n"/>
      <c r="F578" s="58" t="n"/>
      <c r="G578" s="66">
        <f>IF(tblFleet[[#This Row],[Units]]="","",tblFleet[[#This Row],[Units]]*cfg_HoursPerDay)</f>
        <v/>
      </c>
      <c r="H578" s="66">
        <f>IF(tblFleet[[#This Row],[Units]]="","",tblFleet[[#This Row],[Calendar_h]]-tblFleet[[#This Row],[Down_h]])</f>
        <v/>
      </c>
      <c r="I578" s="60">
        <f>IF(AND(tblFleet[[#This Row],[Units]]&lt;&gt;"",tblFleet[[#This Row],[Calendar_h]]&gt;0),tblFleet[[#This Row],[Available_h]]/tblFleet[[#This Row],[Calendar_h]],"")</f>
        <v/>
      </c>
      <c r="J578" s="60">
        <f>IF(AND(tblFleet[[#This Row],[Units]]&lt;&gt;"",tblFleet[[#This Row],[Available_h]]&gt;0),tblFleet[[#This Row],[Operating_h]]/tblFleet[[#This Row],[Available_h]],"")</f>
        <v/>
      </c>
    </row>
    <row r="579">
      <c r="A579" s="54" t="n"/>
      <c r="B579" s="61" t="n"/>
      <c r="C579" s="62" t="n"/>
      <c r="D579" s="57" t="n"/>
      <c r="E579" s="57" t="n"/>
      <c r="F579" s="58" t="n"/>
      <c r="G579" s="66">
        <f>IF(tblFleet[[#This Row],[Units]]="","",tblFleet[[#This Row],[Units]]*cfg_HoursPerDay)</f>
        <v/>
      </c>
      <c r="H579" s="66">
        <f>IF(tblFleet[[#This Row],[Units]]="","",tblFleet[[#This Row],[Calendar_h]]-tblFleet[[#This Row],[Down_h]])</f>
        <v/>
      </c>
      <c r="I579" s="60">
        <f>IF(AND(tblFleet[[#This Row],[Units]]&lt;&gt;"",tblFleet[[#This Row],[Calendar_h]]&gt;0),tblFleet[[#This Row],[Available_h]]/tblFleet[[#This Row],[Calendar_h]],"")</f>
        <v/>
      </c>
      <c r="J579" s="60">
        <f>IF(AND(tblFleet[[#This Row],[Units]]&lt;&gt;"",tblFleet[[#This Row],[Available_h]]&gt;0),tblFleet[[#This Row],[Operating_h]]/tblFleet[[#This Row],[Available_h]],"")</f>
        <v/>
      </c>
    </row>
    <row r="580">
      <c r="A580" s="54" t="n"/>
      <c r="B580" s="61" t="n"/>
      <c r="C580" s="62" t="n"/>
      <c r="D580" s="57" t="n"/>
      <c r="E580" s="57" t="n"/>
      <c r="F580" s="58" t="n"/>
      <c r="G580" s="66">
        <f>IF(tblFleet[[#This Row],[Units]]="","",tblFleet[[#This Row],[Units]]*cfg_HoursPerDay)</f>
        <v/>
      </c>
      <c r="H580" s="66">
        <f>IF(tblFleet[[#This Row],[Units]]="","",tblFleet[[#This Row],[Calendar_h]]-tblFleet[[#This Row],[Down_h]])</f>
        <v/>
      </c>
      <c r="I580" s="60">
        <f>IF(AND(tblFleet[[#This Row],[Units]]&lt;&gt;"",tblFleet[[#This Row],[Calendar_h]]&gt;0),tblFleet[[#This Row],[Available_h]]/tblFleet[[#This Row],[Calendar_h]],"")</f>
        <v/>
      </c>
      <c r="J580" s="60">
        <f>IF(AND(tblFleet[[#This Row],[Units]]&lt;&gt;"",tblFleet[[#This Row],[Available_h]]&gt;0),tblFleet[[#This Row],[Operating_h]]/tblFleet[[#This Row],[Available_h]],"")</f>
        <v/>
      </c>
    </row>
    <row r="581">
      <c r="A581" s="54" t="n"/>
      <c r="B581" s="61" t="n"/>
      <c r="C581" s="62" t="n"/>
      <c r="D581" s="57" t="n"/>
      <c r="E581" s="57" t="n"/>
      <c r="F581" s="58" t="n"/>
      <c r="G581" s="66">
        <f>IF(tblFleet[[#This Row],[Units]]="","",tblFleet[[#This Row],[Units]]*cfg_HoursPerDay)</f>
        <v/>
      </c>
      <c r="H581" s="66">
        <f>IF(tblFleet[[#This Row],[Units]]="","",tblFleet[[#This Row],[Calendar_h]]-tblFleet[[#This Row],[Down_h]])</f>
        <v/>
      </c>
      <c r="I581" s="60">
        <f>IF(AND(tblFleet[[#This Row],[Units]]&lt;&gt;"",tblFleet[[#This Row],[Calendar_h]]&gt;0),tblFleet[[#This Row],[Available_h]]/tblFleet[[#This Row],[Calendar_h]],"")</f>
        <v/>
      </c>
      <c r="J581" s="60">
        <f>IF(AND(tblFleet[[#This Row],[Units]]&lt;&gt;"",tblFleet[[#This Row],[Available_h]]&gt;0),tblFleet[[#This Row],[Operating_h]]/tblFleet[[#This Row],[Available_h]],"")</f>
        <v/>
      </c>
    </row>
    <row r="582">
      <c r="A582" s="54" t="n"/>
      <c r="B582" s="61" t="n"/>
      <c r="C582" s="62" t="n"/>
      <c r="D582" s="57" t="n"/>
      <c r="E582" s="57" t="n"/>
      <c r="F582" s="58" t="n"/>
      <c r="G582" s="66">
        <f>IF(tblFleet[[#This Row],[Units]]="","",tblFleet[[#This Row],[Units]]*cfg_HoursPerDay)</f>
        <v/>
      </c>
      <c r="H582" s="66">
        <f>IF(tblFleet[[#This Row],[Units]]="","",tblFleet[[#This Row],[Calendar_h]]-tblFleet[[#This Row],[Down_h]])</f>
        <v/>
      </c>
      <c r="I582" s="60">
        <f>IF(AND(tblFleet[[#This Row],[Units]]&lt;&gt;"",tblFleet[[#This Row],[Calendar_h]]&gt;0),tblFleet[[#This Row],[Available_h]]/tblFleet[[#This Row],[Calendar_h]],"")</f>
        <v/>
      </c>
      <c r="J582" s="60">
        <f>IF(AND(tblFleet[[#This Row],[Units]]&lt;&gt;"",tblFleet[[#This Row],[Available_h]]&gt;0),tblFleet[[#This Row],[Operating_h]]/tblFleet[[#This Row],[Available_h]],"")</f>
        <v/>
      </c>
    </row>
    <row r="583">
      <c r="A583" s="54" t="n"/>
      <c r="B583" s="61" t="n"/>
      <c r="C583" s="62" t="n"/>
      <c r="D583" s="57" t="n"/>
      <c r="E583" s="57" t="n"/>
      <c r="F583" s="58" t="n"/>
      <c r="G583" s="66">
        <f>IF(tblFleet[[#This Row],[Units]]="","",tblFleet[[#This Row],[Units]]*cfg_HoursPerDay)</f>
        <v/>
      </c>
      <c r="H583" s="66">
        <f>IF(tblFleet[[#This Row],[Units]]="","",tblFleet[[#This Row],[Calendar_h]]-tblFleet[[#This Row],[Down_h]])</f>
        <v/>
      </c>
      <c r="I583" s="60">
        <f>IF(AND(tblFleet[[#This Row],[Units]]&lt;&gt;"",tblFleet[[#This Row],[Calendar_h]]&gt;0),tblFleet[[#This Row],[Available_h]]/tblFleet[[#This Row],[Calendar_h]],"")</f>
        <v/>
      </c>
      <c r="J583" s="60">
        <f>IF(AND(tblFleet[[#This Row],[Units]]&lt;&gt;"",tblFleet[[#This Row],[Available_h]]&gt;0),tblFleet[[#This Row],[Operating_h]]/tblFleet[[#This Row],[Available_h]],"")</f>
        <v/>
      </c>
    </row>
    <row r="584">
      <c r="A584" s="54" t="n"/>
      <c r="B584" s="61" t="n"/>
      <c r="C584" s="62" t="n"/>
      <c r="D584" s="57" t="n"/>
      <c r="E584" s="57" t="n"/>
      <c r="F584" s="58" t="n"/>
      <c r="G584" s="66">
        <f>IF(tblFleet[[#This Row],[Units]]="","",tblFleet[[#This Row],[Units]]*cfg_HoursPerDay)</f>
        <v/>
      </c>
      <c r="H584" s="66">
        <f>IF(tblFleet[[#This Row],[Units]]="","",tblFleet[[#This Row],[Calendar_h]]-tblFleet[[#This Row],[Down_h]])</f>
        <v/>
      </c>
      <c r="I584" s="60">
        <f>IF(AND(tblFleet[[#This Row],[Units]]&lt;&gt;"",tblFleet[[#This Row],[Calendar_h]]&gt;0),tblFleet[[#This Row],[Available_h]]/tblFleet[[#This Row],[Calendar_h]],"")</f>
        <v/>
      </c>
      <c r="J584" s="60">
        <f>IF(AND(tblFleet[[#This Row],[Units]]&lt;&gt;"",tblFleet[[#This Row],[Available_h]]&gt;0),tblFleet[[#This Row],[Operating_h]]/tblFleet[[#This Row],[Available_h]],"")</f>
        <v/>
      </c>
    </row>
    <row r="585">
      <c r="A585" s="54" t="n"/>
      <c r="B585" s="61" t="n"/>
      <c r="C585" s="62" t="n"/>
      <c r="D585" s="57" t="n"/>
      <c r="E585" s="57" t="n"/>
      <c r="F585" s="58" t="n"/>
      <c r="G585" s="66">
        <f>IF(tblFleet[[#This Row],[Units]]="","",tblFleet[[#This Row],[Units]]*cfg_HoursPerDay)</f>
        <v/>
      </c>
      <c r="H585" s="66">
        <f>IF(tblFleet[[#This Row],[Units]]="","",tblFleet[[#This Row],[Calendar_h]]-tblFleet[[#This Row],[Down_h]])</f>
        <v/>
      </c>
      <c r="I585" s="60">
        <f>IF(AND(tblFleet[[#This Row],[Units]]&lt;&gt;"",tblFleet[[#This Row],[Calendar_h]]&gt;0),tblFleet[[#This Row],[Available_h]]/tblFleet[[#This Row],[Calendar_h]],"")</f>
        <v/>
      </c>
      <c r="J585" s="60">
        <f>IF(AND(tblFleet[[#This Row],[Units]]&lt;&gt;"",tblFleet[[#This Row],[Available_h]]&gt;0),tblFleet[[#This Row],[Operating_h]]/tblFleet[[#This Row],[Available_h]],"")</f>
        <v/>
      </c>
    </row>
    <row r="586">
      <c r="A586" s="54" t="n"/>
      <c r="B586" s="61" t="n"/>
      <c r="C586" s="62" t="n"/>
      <c r="D586" s="57" t="n"/>
      <c r="E586" s="57" t="n"/>
      <c r="F586" s="58" t="n"/>
      <c r="G586" s="66">
        <f>IF(tblFleet[[#This Row],[Units]]="","",tblFleet[[#This Row],[Units]]*cfg_HoursPerDay)</f>
        <v/>
      </c>
      <c r="H586" s="66">
        <f>IF(tblFleet[[#This Row],[Units]]="","",tblFleet[[#This Row],[Calendar_h]]-tblFleet[[#This Row],[Down_h]])</f>
        <v/>
      </c>
      <c r="I586" s="60">
        <f>IF(AND(tblFleet[[#This Row],[Units]]&lt;&gt;"",tblFleet[[#This Row],[Calendar_h]]&gt;0),tblFleet[[#This Row],[Available_h]]/tblFleet[[#This Row],[Calendar_h]],"")</f>
        <v/>
      </c>
      <c r="J586" s="60">
        <f>IF(AND(tblFleet[[#This Row],[Units]]&lt;&gt;"",tblFleet[[#This Row],[Available_h]]&gt;0),tblFleet[[#This Row],[Operating_h]]/tblFleet[[#This Row],[Available_h]],"")</f>
        <v/>
      </c>
    </row>
    <row r="587">
      <c r="A587" s="54" t="n"/>
      <c r="B587" s="61" t="n"/>
      <c r="C587" s="62" t="n"/>
      <c r="D587" s="57" t="n"/>
      <c r="E587" s="57" t="n"/>
      <c r="F587" s="58" t="n"/>
      <c r="G587" s="66">
        <f>IF(tblFleet[[#This Row],[Units]]="","",tblFleet[[#This Row],[Units]]*cfg_HoursPerDay)</f>
        <v/>
      </c>
      <c r="H587" s="66">
        <f>IF(tblFleet[[#This Row],[Units]]="","",tblFleet[[#This Row],[Calendar_h]]-tblFleet[[#This Row],[Down_h]])</f>
        <v/>
      </c>
      <c r="I587" s="60">
        <f>IF(AND(tblFleet[[#This Row],[Units]]&lt;&gt;"",tblFleet[[#This Row],[Calendar_h]]&gt;0),tblFleet[[#This Row],[Available_h]]/tblFleet[[#This Row],[Calendar_h]],"")</f>
        <v/>
      </c>
      <c r="J587" s="60">
        <f>IF(AND(tblFleet[[#This Row],[Units]]&lt;&gt;"",tblFleet[[#This Row],[Available_h]]&gt;0),tblFleet[[#This Row],[Operating_h]]/tblFleet[[#This Row],[Available_h]],"")</f>
        <v/>
      </c>
    </row>
    <row r="588">
      <c r="A588" s="54" t="n"/>
      <c r="B588" s="61" t="n"/>
      <c r="C588" s="62" t="n"/>
      <c r="D588" s="57" t="n"/>
      <c r="E588" s="57" t="n"/>
      <c r="F588" s="58" t="n"/>
      <c r="G588" s="66">
        <f>IF(tblFleet[[#This Row],[Units]]="","",tblFleet[[#This Row],[Units]]*cfg_HoursPerDay)</f>
        <v/>
      </c>
      <c r="H588" s="66">
        <f>IF(tblFleet[[#This Row],[Units]]="","",tblFleet[[#This Row],[Calendar_h]]-tblFleet[[#This Row],[Down_h]])</f>
        <v/>
      </c>
      <c r="I588" s="60">
        <f>IF(AND(tblFleet[[#This Row],[Units]]&lt;&gt;"",tblFleet[[#This Row],[Calendar_h]]&gt;0),tblFleet[[#This Row],[Available_h]]/tblFleet[[#This Row],[Calendar_h]],"")</f>
        <v/>
      </c>
      <c r="J588" s="60">
        <f>IF(AND(tblFleet[[#This Row],[Units]]&lt;&gt;"",tblFleet[[#This Row],[Available_h]]&gt;0),tblFleet[[#This Row],[Operating_h]]/tblFleet[[#This Row],[Available_h]],"")</f>
        <v/>
      </c>
    </row>
    <row r="589">
      <c r="A589" s="54" t="n"/>
      <c r="B589" s="61" t="n"/>
      <c r="C589" s="62" t="n"/>
      <c r="D589" s="57" t="n"/>
      <c r="E589" s="57" t="n"/>
      <c r="F589" s="58" t="n"/>
      <c r="G589" s="66">
        <f>IF(tblFleet[[#This Row],[Units]]="","",tblFleet[[#This Row],[Units]]*cfg_HoursPerDay)</f>
        <v/>
      </c>
      <c r="H589" s="66">
        <f>IF(tblFleet[[#This Row],[Units]]="","",tblFleet[[#This Row],[Calendar_h]]-tblFleet[[#This Row],[Down_h]])</f>
        <v/>
      </c>
      <c r="I589" s="60">
        <f>IF(AND(tblFleet[[#This Row],[Units]]&lt;&gt;"",tblFleet[[#This Row],[Calendar_h]]&gt;0),tblFleet[[#This Row],[Available_h]]/tblFleet[[#This Row],[Calendar_h]],"")</f>
        <v/>
      </c>
      <c r="J589" s="60">
        <f>IF(AND(tblFleet[[#This Row],[Units]]&lt;&gt;"",tblFleet[[#This Row],[Available_h]]&gt;0),tblFleet[[#This Row],[Operating_h]]/tblFleet[[#This Row],[Available_h]],"")</f>
        <v/>
      </c>
    </row>
    <row r="590">
      <c r="A590" s="54" t="n"/>
      <c r="B590" s="61" t="n"/>
      <c r="C590" s="62" t="n"/>
      <c r="D590" s="57" t="n"/>
      <c r="E590" s="57" t="n"/>
      <c r="F590" s="58" t="n"/>
      <c r="G590" s="66">
        <f>IF(tblFleet[[#This Row],[Units]]="","",tblFleet[[#This Row],[Units]]*cfg_HoursPerDay)</f>
        <v/>
      </c>
      <c r="H590" s="66">
        <f>IF(tblFleet[[#This Row],[Units]]="","",tblFleet[[#This Row],[Calendar_h]]-tblFleet[[#This Row],[Down_h]])</f>
        <v/>
      </c>
      <c r="I590" s="60">
        <f>IF(AND(tblFleet[[#This Row],[Units]]&lt;&gt;"",tblFleet[[#This Row],[Calendar_h]]&gt;0),tblFleet[[#This Row],[Available_h]]/tblFleet[[#This Row],[Calendar_h]],"")</f>
        <v/>
      </c>
      <c r="J590" s="60">
        <f>IF(AND(tblFleet[[#This Row],[Units]]&lt;&gt;"",tblFleet[[#This Row],[Available_h]]&gt;0),tblFleet[[#This Row],[Operating_h]]/tblFleet[[#This Row],[Available_h]],"")</f>
        <v/>
      </c>
    </row>
    <row r="591">
      <c r="A591" s="54" t="n"/>
      <c r="B591" s="61" t="n"/>
      <c r="C591" s="62" t="n"/>
      <c r="D591" s="57" t="n"/>
      <c r="E591" s="57" t="n"/>
      <c r="F591" s="58" t="n"/>
      <c r="G591" s="66">
        <f>IF(tblFleet[[#This Row],[Units]]="","",tblFleet[[#This Row],[Units]]*cfg_HoursPerDay)</f>
        <v/>
      </c>
      <c r="H591" s="66">
        <f>IF(tblFleet[[#This Row],[Units]]="","",tblFleet[[#This Row],[Calendar_h]]-tblFleet[[#This Row],[Down_h]])</f>
        <v/>
      </c>
      <c r="I591" s="60">
        <f>IF(AND(tblFleet[[#This Row],[Units]]&lt;&gt;"",tblFleet[[#This Row],[Calendar_h]]&gt;0),tblFleet[[#This Row],[Available_h]]/tblFleet[[#This Row],[Calendar_h]],"")</f>
        <v/>
      </c>
      <c r="J591" s="60">
        <f>IF(AND(tblFleet[[#This Row],[Units]]&lt;&gt;"",tblFleet[[#This Row],[Available_h]]&gt;0),tblFleet[[#This Row],[Operating_h]]/tblFleet[[#This Row],[Available_h]],"")</f>
        <v/>
      </c>
    </row>
    <row r="592">
      <c r="A592" s="54" t="n"/>
      <c r="B592" s="61" t="n"/>
      <c r="C592" s="62" t="n"/>
      <c r="D592" s="57" t="n"/>
      <c r="E592" s="57" t="n"/>
      <c r="F592" s="58" t="n"/>
      <c r="G592" s="66">
        <f>IF(tblFleet[[#This Row],[Units]]="","",tblFleet[[#This Row],[Units]]*cfg_HoursPerDay)</f>
        <v/>
      </c>
      <c r="H592" s="66">
        <f>IF(tblFleet[[#This Row],[Units]]="","",tblFleet[[#This Row],[Calendar_h]]-tblFleet[[#This Row],[Down_h]])</f>
        <v/>
      </c>
      <c r="I592" s="60">
        <f>IF(AND(tblFleet[[#This Row],[Units]]&lt;&gt;"",tblFleet[[#This Row],[Calendar_h]]&gt;0),tblFleet[[#This Row],[Available_h]]/tblFleet[[#This Row],[Calendar_h]],"")</f>
        <v/>
      </c>
      <c r="J592" s="60">
        <f>IF(AND(tblFleet[[#This Row],[Units]]&lt;&gt;"",tblFleet[[#This Row],[Available_h]]&gt;0),tblFleet[[#This Row],[Operating_h]]/tblFleet[[#This Row],[Available_h]],"")</f>
        <v/>
      </c>
    </row>
    <row r="593">
      <c r="A593" s="54" t="n"/>
      <c r="B593" s="61" t="n"/>
      <c r="C593" s="62" t="n"/>
      <c r="D593" s="57" t="n"/>
      <c r="E593" s="57" t="n"/>
      <c r="F593" s="58" t="n"/>
      <c r="G593" s="66">
        <f>IF(tblFleet[[#This Row],[Units]]="","",tblFleet[[#This Row],[Units]]*cfg_HoursPerDay)</f>
        <v/>
      </c>
      <c r="H593" s="66">
        <f>IF(tblFleet[[#This Row],[Units]]="","",tblFleet[[#This Row],[Calendar_h]]-tblFleet[[#This Row],[Down_h]])</f>
        <v/>
      </c>
      <c r="I593" s="60">
        <f>IF(AND(tblFleet[[#This Row],[Units]]&lt;&gt;"",tblFleet[[#This Row],[Calendar_h]]&gt;0),tblFleet[[#This Row],[Available_h]]/tblFleet[[#This Row],[Calendar_h]],"")</f>
        <v/>
      </c>
      <c r="J593" s="60">
        <f>IF(AND(tblFleet[[#This Row],[Units]]&lt;&gt;"",tblFleet[[#This Row],[Available_h]]&gt;0),tblFleet[[#This Row],[Operating_h]]/tblFleet[[#This Row],[Available_h]],"")</f>
        <v/>
      </c>
    </row>
    <row r="594">
      <c r="A594" s="54" t="n"/>
      <c r="B594" s="61" t="n"/>
      <c r="C594" s="62" t="n"/>
      <c r="D594" s="57" t="n"/>
      <c r="E594" s="57" t="n"/>
      <c r="F594" s="58" t="n"/>
      <c r="G594" s="66">
        <f>IF(tblFleet[[#This Row],[Units]]="","",tblFleet[[#This Row],[Units]]*cfg_HoursPerDay)</f>
        <v/>
      </c>
      <c r="H594" s="66">
        <f>IF(tblFleet[[#This Row],[Units]]="","",tblFleet[[#This Row],[Calendar_h]]-tblFleet[[#This Row],[Down_h]])</f>
        <v/>
      </c>
      <c r="I594" s="60">
        <f>IF(AND(tblFleet[[#This Row],[Units]]&lt;&gt;"",tblFleet[[#This Row],[Calendar_h]]&gt;0),tblFleet[[#This Row],[Available_h]]/tblFleet[[#This Row],[Calendar_h]],"")</f>
        <v/>
      </c>
      <c r="J594" s="60">
        <f>IF(AND(tblFleet[[#This Row],[Units]]&lt;&gt;"",tblFleet[[#This Row],[Available_h]]&gt;0),tblFleet[[#This Row],[Operating_h]]/tblFleet[[#This Row],[Available_h]],"")</f>
        <v/>
      </c>
    </row>
    <row r="595">
      <c r="A595" s="54" t="n"/>
      <c r="B595" s="61" t="n"/>
      <c r="C595" s="62" t="n"/>
      <c r="D595" s="57" t="n"/>
      <c r="E595" s="57" t="n"/>
      <c r="F595" s="58" t="n"/>
      <c r="G595" s="66">
        <f>IF(tblFleet[[#This Row],[Units]]="","",tblFleet[[#This Row],[Units]]*cfg_HoursPerDay)</f>
        <v/>
      </c>
      <c r="H595" s="66">
        <f>IF(tblFleet[[#This Row],[Units]]="","",tblFleet[[#This Row],[Calendar_h]]-tblFleet[[#This Row],[Down_h]])</f>
        <v/>
      </c>
      <c r="I595" s="60">
        <f>IF(AND(tblFleet[[#This Row],[Units]]&lt;&gt;"",tblFleet[[#This Row],[Calendar_h]]&gt;0),tblFleet[[#This Row],[Available_h]]/tblFleet[[#This Row],[Calendar_h]],"")</f>
        <v/>
      </c>
      <c r="J595" s="60">
        <f>IF(AND(tblFleet[[#This Row],[Units]]&lt;&gt;"",tblFleet[[#This Row],[Available_h]]&gt;0),tblFleet[[#This Row],[Operating_h]]/tblFleet[[#This Row],[Available_h]],"")</f>
        <v/>
      </c>
    </row>
    <row r="596">
      <c r="A596" s="54" t="n"/>
      <c r="B596" s="61" t="n"/>
      <c r="C596" s="62" t="n"/>
      <c r="D596" s="57" t="n"/>
      <c r="E596" s="57" t="n"/>
      <c r="F596" s="58" t="n"/>
      <c r="G596" s="66">
        <f>IF(tblFleet[[#This Row],[Units]]="","",tblFleet[[#This Row],[Units]]*cfg_HoursPerDay)</f>
        <v/>
      </c>
      <c r="H596" s="66">
        <f>IF(tblFleet[[#This Row],[Units]]="","",tblFleet[[#This Row],[Calendar_h]]-tblFleet[[#This Row],[Down_h]])</f>
        <v/>
      </c>
      <c r="I596" s="60">
        <f>IF(AND(tblFleet[[#This Row],[Units]]&lt;&gt;"",tblFleet[[#This Row],[Calendar_h]]&gt;0),tblFleet[[#This Row],[Available_h]]/tblFleet[[#This Row],[Calendar_h]],"")</f>
        <v/>
      </c>
      <c r="J596" s="60">
        <f>IF(AND(tblFleet[[#This Row],[Units]]&lt;&gt;"",tblFleet[[#This Row],[Available_h]]&gt;0),tblFleet[[#This Row],[Operating_h]]/tblFleet[[#This Row],[Available_h]],"")</f>
        <v/>
      </c>
    </row>
    <row r="597">
      <c r="A597" s="54" t="n"/>
      <c r="B597" s="61" t="n"/>
      <c r="C597" s="62" t="n"/>
      <c r="D597" s="57" t="n"/>
      <c r="E597" s="57" t="n"/>
      <c r="F597" s="58" t="n"/>
      <c r="G597" s="66">
        <f>IF(tblFleet[[#This Row],[Units]]="","",tblFleet[[#This Row],[Units]]*cfg_HoursPerDay)</f>
        <v/>
      </c>
      <c r="H597" s="66">
        <f>IF(tblFleet[[#This Row],[Units]]="","",tblFleet[[#This Row],[Calendar_h]]-tblFleet[[#This Row],[Down_h]])</f>
        <v/>
      </c>
      <c r="I597" s="60">
        <f>IF(AND(tblFleet[[#This Row],[Units]]&lt;&gt;"",tblFleet[[#This Row],[Calendar_h]]&gt;0),tblFleet[[#This Row],[Available_h]]/tblFleet[[#This Row],[Calendar_h]],"")</f>
        <v/>
      </c>
      <c r="J597" s="60">
        <f>IF(AND(tblFleet[[#This Row],[Units]]&lt;&gt;"",tblFleet[[#This Row],[Available_h]]&gt;0),tblFleet[[#This Row],[Operating_h]]/tblFleet[[#This Row],[Available_h]],"")</f>
        <v/>
      </c>
    </row>
    <row r="598">
      <c r="A598" s="54" t="n"/>
      <c r="B598" s="61" t="n"/>
      <c r="C598" s="62" t="n"/>
      <c r="D598" s="57" t="n"/>
      <c r="E598" s="57" t="n"/>
      <c r="F598" s="58" t="n"/>
      <c r="G598" s="66">
        <f>IF(tblFleet[[#This Row],[Units]]="","",tblFleet[[#This Row],[Units]]*cfg_HoursPerDay)</f>
        <v/>
      </c>
      <c r="H598" s="66">
        <f>IF(tblFleet[[#This Row],[Units]]="","",tblFleet[[#This Row],[Calendar_h]]-tblFleet[[#This Row],[Down_h]])</f>
        <v/>
      </c>
      <c r="I598" s="60">
        <f>IF(AND(tblFleet[[#This Row],[Units]]&lt;&gt;"",tblFleet[[#This Row],[Calendar_h]]&gt;0),tblFleet[[#This Row],[Available_h]]/tblFleet[[#This Row],[Calendar_h]],"")</f>
        <v/>
      </c>
      <c r="J598" s="60">
        <f>IF(AND(tblFleet[[#This Row],[Units]]&lt;&gt;"",tblFleet[[#This Row],[Available_h]]&gt;0),tblFleet[[#This Row],[Operating_h]]/tblFleet[[#This Row],[Available_h]],"")</f>
        <v/>
      </c>
    </row>
    <row r="599">
      <c r="A599" s="54" t="n"/>
      <c r="B599" s="61" t="n"/>
      <c r="C599" s="62" t="n"/>
      <c r="D599" s="57" t="n"/>
      <c r="E599" s="57" t="n"/>
      <c r="F599" s="58" t="n"/>
      <c r="G599" s="66">
        <f>IF(tblFleet[[#This Row],[Units]]="","",tblFleet[[#This Row],[Units]]*cfg_HoursPerDay)</f>
        <v/>
      </c>
      <c r="H599" s="66">
        <f>IF(tblFleet[[#This Row],[Units]]="","",tblFleet[[#This Row],[Calendar_h]]-tblFleet[[#This Row],[Down_h]])</f>
        <v/>
      </c>
      <c r="I599" s="60">
        <f>IF(AND(tblFleet[[#This Row],[Units]]&lt;&gt;"",tblFleet[[#This Row],[Calendar_h]]&gt;0),tblFleet[[#This Row],[Available_h]]/tblFleet[[#This Row],[Calendar_h]],"")</f>
        <v/>
      </c>
      <c r="J599" s="60">
        <f>IF(AND(tblFleet[[#This Row],[Units]]&lt;&gt;"",tblFleet[[#This Row],[Available_h]]&gt;0),tblFleet[[#This Row],[Operating_h]]/tblFleet[[#This Row],[Available_h]],"")</f>
        <v/>
      </c>
    </row>
    <row r="600">
      <c r="A600" s="54" t="n"/>
      <c r="B600" s="61" t="n"/>
      <c r="C600" s="62" t="n"/>
      <c r="D600" s="57" t="n"/>
      <c r="E600" s="57" t="n"/>
      <c r="F600" s="58" t="n"/>
      <c r="G600" s="66">
        <f>IF(tblFleet[[#This Row],[Units]]="","",tblFleet[[#This Row],[Units]]*cfg_HoursPerDay)</f>
        <v/>
      </c>
      <c r="H600" s="66">
        <f>IF(tblFleet[[#This Row],[Units]]="","",tblFleet[[#This Row],[Calendar_h]]-tblFleet[[#This Row],[Down_h]])</f>
        <v/>
      </c>
      <c r="I600" s="60">
        <f>IF(AND(tblFleet[[#This Row],[Units]]&lt;&gt;"",tblFleet[[#This Row],[Calendar_h]]&gt;0),tblFleet[[#This Row],[Available_h]]/tblFleet[[#This Row],[Calendar_h]],"")</f>
        <v/>
      </c>
      <c r="J600" s="60">
        <f>IF(AND(tblFleet[[#This Row],[Units]]&lt;&gt;"",tblFleet[[#This Row],[Available_h]]&gt;0),tblFleet[[#This Row],[Operating_h]]/tblFleet[[#This Row],[Available_h]],"")</f>
        <v/>
      </c>
    </row>
    <row r="601">
      <c r="A601" s="54" t="n"/>
      <c r="B601" s="61" t="n"/>
      <c r="C601" s="62" t="n"/>
      <c r="D601" s="57" t="n"/>
      <c r="E601" s="57" t="n"/>
      <c r="F601" s="58" t="n"/>
      <c r="G601" s="66">
        <f>IF(tblFleet[[#This Row],[Units]]="","",tblFleet[[#This Row],[Units]]*cfg_HoursPerDay)</f>
        <v/>
      </c>
      <c r="H601" s="66">
        <f>IF(tblFleet[[#This Row],[Units]]="","",tblFleet[[#This Row],[Calendar_h]]-tblFleet[[#This Row],[Down_h]])</f>
        <v/>
      </c>
      <c r="I601" s="60">
        <f>IF(AND(tblFleet[[#This Row],[Units]]&lt;&gt;"",tblFleet[[#This Row],[Calendar_h]]&gt;0),tblFleet[[#This Row],[Available_h]]/tblFleet[[#This Row],[Calendar_h]],"")</f>
        <v/>
      </c>
      <c r="J601" s="60">
        <f>IF(AND(tblFleet[[#This Row],[Units]]&lt;&gt;"",tblFleet[[#This Row],[Available_h]]&gt;0),tblFleet[[#This Row],[Operating_h]]/tblFleet[[#This Row],[Available_h]],"")</f>
        <v/>
      </c>
    </row>
    <row r="602">
      <c r="A602" s="54" t="n"/>
      <c r="B602" s="61" t="n"/>
      <c r="C602" s="62" t="n"/>
      <c r="D602" s="57" t="n"/>
      <c r="E602" s="57" t="n"/>
      <c r="F602" s="58" t="n"/>
      <c r="G602" s="66">
        <f>IF(tblFleet[[#This Row],[Units]]="","",tblFleet[[#This Row],[Units]]*cfg_HoursPerDay)</f>
        <v/>
      </c>
      <c r="H602" s="66">
        <f>IF(tblFleet[[#This Row],[Units]]="","",tblFleet[[#This Row],[Calendar_h]]-tblFleet[[#This Row],[Down_h]])</f>
        <v/>
      </c>
      <c r="I602" s="60">
        <f>IF(AND(tblFleet[[#This Row],[Units]]&lt;&gt;"",tblFleet[[#This Row],[Calendar_h]]&gt;0),tblFleet[[#This Row],[Available_h]]/tblFleet[[#This Row],[Calendar_h]],"")</f>
        <v/>
      </c>
      <c r="J602" s="60">
        <f>IF(AND(tblFleet[[#This Row],[Units]]&lt;&gt;"",tblFleet[[#This Row],[Available_h]]&gt;0),tblFleet[[#This Row],[Operating_h]]/tblFleet[[#This Row],[Available_h]],"")</f>
        <v/>
      </c>
    </row>
    <row r="603">
      <c r="A603" s="54" t="n"/>
      <c r="B603" s="61" t="n"/>
      <c r="C603" s="62" t="n"/>
      <c r="D603" s="57" t="n"/>
      <c r="E603" s="57" t="n"/>
      <c r="F603" s="58" t="n"/>
      <c r="G603" s="66">
        <f>IF(tblFleet[[#This Row],[Units]]="","",tblFleet[[#This Row],[Units]]*cfg_HoursPerDay)</f>
        <v/>
      </c>
      <c r="H603" s="66">
        <f>IF(tblFleet[[#This Row],[Units]]="","",tblFleet[[#This Row],[Calendar_h]]-tblFleet[[#This Row],[Down_h]])</f>
        <v/>
      </c>
      <c r="I603" s="60">
        <f>IF(AND(tblFleet[[#This Row],[Units]]&lt;&gt;"",tblFleet[[#This Row],[Calendar_h]]&gt;0),tblFleet[[#This Row],[Available_h]]/tblFleet[[#This Row],[Calendar_h]],"")</f>
        <v/>
      </c>
      <c r="J603" s="60">
        <f>IF(AND(tblFleet[[#This Row],[Units]]&lt;&gt;"",tblFleet[[#This Row],[Available_h]]&gt;0),tblFleet[[#This Row],[Operating_h]]/tblFleet[[#This Row],[Available_h]],"")</f>
        <v/>
      </c>
    </row>
    <row r="604">
      <c r="A604" s="54" t="n"/>
      <c r="B604" s="61" t="n"/>
      <c r="C604" s="62" t="n"/>
      <c r="D604" s="57" t="n"/>
      <c r="E604" s="57" t="n"/>
      <c r="F604" s="58" t="n"/>
      <c r="G604" s="66">
        <f>IF(tblFleet[[#This Row],[Units]]="","",tblFleet[[#This Row],[Units]]*cfg_HoursPerDay)</f>
        <v/>
      </c>
      <c r="H604" s="66">
        <f>IF(tblFleet[[#This Row],[Units]]="","",tblFleet[[#This Row],[Calendar_h]]-tblFleet[[#This Row],[Down_h]])</f>
        <v/>
      </c>
      <c r="I604" s="60">
        <f>IF(AND(tblFleet[[#This Row],[Units]]&lt;&gt;"",tblFleet[[#This Row],[Calendar_h]]&gt;0),tblFleet[[#This Row],[Available_h]]/tblFleet[[#This Row],[Calendar_h]],"")</f>
        <v/>
      </c>
      <c r="J604" s="60">
        <f>IF(AND(tblFleet[[#This Row],[Units]]&lt;&gt;"",tblFleet[[#This Row],[Available_h]]&gt;0),tblFleet[[#This Row],[Operating_h]]/tblFleet[[#This Row],[Available_h]],"")</f>
        <v/>
      </c>
    </row>
    <row r="605">
      <c r="A605" s="54" t="n"/>
      <c r="B605" s="61" t="n"/>
      <c r="C605" s="62" t="n"/>
      <c r="D605" s="57" t="n"/>
      <c r="E605" s="57" t="n"/>
      <c r="F605" s="58" t="n"/>
      <c r="G605" s="66">
        <f>IF(tblFleet[[#This Row],[Units]]="","",tblFleet[[#This Row],[Units]]*cfg_HoursPerDay)</f>
        <v/>
      </c>
      <c r="H605" s="66">
        <f>IF(tblFleet[[#This Row],[Units]]="","",tblFleet[[#This Row],[Calendar_h]]-tblFleet[[#This Row],[Down_h]])</f>
        <v/>
      </c>
      <c r="I605" s="60">
        <f>IF(AND(tblFleet[[#This Row],[Units]]&lt;&gt;"",tblFleet[[#This Row],[Calendar_h]]&gt;0),tblFleet[[#This Row],[Available_h]]/tblFleet[[#This Row],[Calendar_h]],"")</f>
        <v/>
      </c>
      <c r="J605" s="60">
        <f>IF(AND(tblFleet[[#This Row],[Units]]&lt;&gt;"",tblFleet[[#This Row],[Available_h]]&gt;0),tblFleet[[#This Row],[Operating_h]]/tblFleet[[#This Row],[Available_h]],"")</f>
        <v/>
      </c>
    </row>
    <row r="606">
      <c r="A606" s="54" t="n"/>
      <c r="B606" s="61" t="n"/>
      <c r="C606" s="62" t="n"/>
      <c r="D606" s="57" t="n"/>
      <c r="E606" s="57" t="n"/>
      <c r="F606" s="58" t="n"/>
      <c r="G606" s="66">
        <f>IF(tblFleet[[#This Row],[Units]]="","",tblFleet[[#This Row],[Units]]*cfg_HoursPerDay)</f>
        <v/>
      </c>
      <c r="H606" s="66">
        <f>IF(tblFleet[[#This Row],[Units]]="","",tblFleet[[#This Row],[Calendar_h]]-tblFleet[[#This Row],[Down_h]])</f>
        <v/>
      </c>
      <c r="I606" s="60">
        <f>IF(AND(tblFleet[[#This Row],[Units]]&lt;&gt;"",tblFleet[[#This Row],[Calendar_h]]&gt;0),tblFleet[[#This Row],[Available_h]]/tblFleet[[#This Row],[Calendar_h]],"")</f>
        <v/>
      </c>
      <c r="J606" s="60">
        <f>IF(AND(tblFleet[[#This Row],[Units]]&lt;&gt;"",tblFleet[[#This Row],[Available_h]]&gt;0),tblFleet[[#This Row],[Operating_h]]/tblFleet[[#This Row],[Available_h]],"")</f>
        <v/>
      </c>
    </row>
    <row r="607">
      <c r="A607" s="54" t="n"/>
      <c r="B607" s="61" t="n"/>
      <c r="C607" s="62" t="n"/>
      <c r="D607" s="57" t="n"/>
      <c r="E607" s="57" t="n"/>
      <c r="F607" s="58" t="n"/>
      <c r="G607" s="66">
        <f>IF(tblFleet[[#This Row],[Units]]="","",tblFleet[[#This Row],[Units]]*cfg_HoursPerDay)</f>
        <v/>
      </c>
      <c r="H607" s="66">
        <f>IF(tblFleet[[#This Row],[Units]]="","",tblFleet[[#This Row],[Calendar_h]]-tblFleet[[#This Row],[Down_h]])</f>
        <v/>
      </c>
      <c r="I607" s="60">
        <f>IF(AND(tblFleet[[#This Row],[Units]]&lt;&gt;"",tblFleet[[#This Row],[Calendar_h]]&gt;0),tblFleet[[#This Row],[Available_h]]/tblFleet[[#This Row],[Calendar_h]],"")</f>
        <v/>
      </c>
      <c r="J607" s="60">
        <f>IF(AND(tblFleet[[#This Row],[Units]]&lt;&gt;"",tblFleet[[#This Row],[Available_h]]&gt;0),tblFleet[[#This Row],[Operating_h]]/tblFleet[[#This Row],[Available_h]],"")</f>
        <v/>
      </c>
    </row>
    <row r="608">
      <c r="A608" s="54" t="n"/>
      <c r="B608" s="61" t="n"/>
      <c r="C608" s="62" t="n"/>
      <c r="D608" s="57" t="n"/>
      <c r="E608" s="57" t="n"/>
      <c r="F608" s="58" t="n"/>
      <c r="G608" s="66">
        <f>IF(tblFleet[[#This Row],[Units]]="","",tblFleet[[#This Row],[Units]]*cfg_HoursPerDay)</f>
        <v/>
      </c>
      <c r="H608" s="66">
        <f>IF(tblFleet[[#This Row],[Units]]="","",tblFleet[[#This Row],[Calendar_h]]-tblFleet[[#This Row],[Down_h]])</f>
        <v/>
      </c>
      <c r="I608" s="60">
        <f>IF(AND(tblFleet[[#This Row],[Units]]&lt;&gt;"",tblFleet[[#This Row],[Calendar_h]]&gt;0),tblFleet[[#This Row],[Available_h]]/tblFleet[[#This Row],[Calendar_h]],"")</f>
        <v/>
      </c>
      <c r="J608" s="60">
        <f>IF(AND(tblFleet[[#This Row],[Units]]&lt;&gt;"",tblFleet[[#This Row],[Available_h]]&gt;0),tblFleet[[#This Row],[Operating_h]]/tblFleet[[#This Row],[Available_h]],"")</f>
        <v/>
      </c>
    </row>
    <row r="609">
      <c r="A609" s="54" t="n"/>
      <c r="B609" s="61" t="n"/>
      <c r="C609" s="62" t="n"/>
      <c r="D609" s="57" t="n"/>
      <c r="E609" s="57" t="n"/>
      <c r="F609" s="58" t="n"/>
      <c r="G609" s="66">
        <f>IF(tblFleet[[#This Row],[Units]]="","",tblFleet[[#This Row],[Units]]*cfg_HoursPerDay)</f>
        <v/>
      </c>
      <c r="H609" s="66">
        <f>IF(tblFleet[[#This Row],[Units]]="","",tblFleet[[#This Row],[Calendar_h]]-tblFleet[[#This Row],[Down_h]])</f>
        <v/>
      </c>
      <c r="I609" s="60">
        <f>IF(AND(tblFleet[[#This Row],[Units]]&lt;&gt;"",tblFleet[[#This Row],[Calendar_h]]&gt;0),tblFleet[[#This Row],[Available_h]]/tblFleet[[#This Row],[Calendar_h]],"")</f>
        <v/>
      </c>
      <c r="J609" s="60">
        <f>IF(AND(tblFleet[[#This Row],[Units]]&lt;&gt;"",tblFleet[[#This Row],[Available_h]]&gt;0),tblFleet[[#This Row],[Operating_h]]/tblFleet[[#This Row],[Available_h]],"")</f>
        <v/>
      </c>
    </row>
    <row r="610">
      <c r="A610" s="54" t="n"/>
      <c r="B610" s="61" t="n"/>
      <c r="C610" s="62" t="n"/>
      <c r="D610" s="57" t="n"/>
      <c r="E610" s="57" t="n"/>
      <c r="F610" s="58" t="n"/>
      <c r="G610" s="66">
        <f>IF(tblFleet[[#This Row],[Units]]="","",tblFleet[[#This Row],[Units]]*cfg_HoursPerDay)</f>
        <v/>
      </c>
      <c r="H610" s="66">
        <f>IF(tblFleet[[#This Row],[Units]]="","",tblFleet[[#This Row],[Calendar_h]]-tblFleet[[#This Row],[Down_h]])</f>
        <v/>
      </c>
      <c r="I610" s="60">
        <f>IF(AND(tblFleet[[#This Row],[Units]]&lt;&gt;"",tblFleet[[#This Row],[Calendar_h]]&gt;0),tblFleet[[#This Row],[Available_h]]/tblFleet[[#This Row],[Calendar_h]],"")</f>
        <v/>
      </c>
      <c r="J610" s="60">
        <f>IF(AND(tblFleet[[#This Row],[Units]]&lt;&gt;"",tblFleet[[#This Row],[Available_h]]&gt;0),tblFleet[[#This Row],[Operating_h]]/tblFleet[[#This Row],[Available_h]],"")</f>
        <v/>
      </c>
    </row>
    <row r="611">
      <c r="A611" s="54" t="n"/>
      <c r="B611" s="61" t="n"/>
      <c r="C611" s="62" t="n"/>
      <c r="D611" s="57" t="n"/>
      <c r="E611" s="57" t="n"/>
      <c r="F611" s="58" t="n"/>
      <c r="G611" s="66">
        <f>IF(tblFleet[[#This Row],[Units]]="","",tblFleet[[#This Row],[Units]]*cfg_HoursPerDay)</f>
        <v/>
      </c>
      <c r="H611" s="66">
        <f>IF(tblFleet[[#This Row],[Units]]="","",tblFleet[[#This Row],[Calendar_h]]-tblFleet[[#This Row],[Down_h]])</f>
        <v/>
      </c>
      <c r="I611" s="60">
        <f>IF(AND(tblFleet[[#This Row],[Units]]&lt;&gt;"",tblFleet[[#This Row],[Calendar_h]]&gt;0),tblFleet[[#This Row],[Available_h]]/tblFleet[[#This Row],[Calendar_h]],"")</f>
        <v/>
      </c>
      <c r="J611" s="60">
        <f>IF(AND(tblFleet[[#This Row],[Units]]&lt;&gt;"",tblFleet[[#This Row],[Available_h]]&gt;0),tblFleet[[#This Row],[Operating_h]]/tblFleet[[#This Row],[Available_h]],"")</f>
        <v/>
      </c>
    </row>
    <row r="612">
      <c r="A612" s="54" t="n"/>
      <c r="B612" s="61" t="n"/>
      <c r="C612" s="62" t="n"/>
      <c r="D612" s="57" t="n"/>
      <c r="E612" s="57" t="n"/>
      <c r="F612" s="58" t="n"/>
      <c r="G612" s="66">
        <f>IF(tblFleet[[#This Row],[Units]]="","",tblFleet[[#This Row],[Units]]*cfg_HoursPerDay)</f>
        <v/>
      </c>
      <c r="H612" s="66">
        <f>IF(tblFleet[[#This Row],[Units]]="","",tblFleet[[#This Row],[Calendar_h]]-tblFleet[[#This Row],[Down_h]])</f>
        <v/>
      </c>
      <c r="I612" s="60">
        <f>IF(AND(tblFleet[[#This Row],[Units]]&lt;&gt;"",tblFleet[[#This Row],[Calendar_h]]&gt;0),tblFleet[[#This Row],[Available_h]]/tblFleet[[#This Row],[Calendar_h]],"")</f>
        <v/>
      </c>
      <c r="J612" s="60">
        <f>IF(AND(tblFleet[[#This Row],[Units]]&lt;&gt;"",tblFleet[[#This Row],[Available_h]]&gt;0),tblFleet[[#This Row],[Operating_h]]/tblFleet[[#This Row],[Available_h]],"")</f>
        <v/>
      </c>
    </row>
    <row r="613">
      <c r="A613" s="54" t="n"/>
      <c r="B613" s="61" t="n"/>
      <c r="C613" s="62" t="n"/>
      <c r="D613" s="57" t="n"/>
      <c r="E613" s="57" t="n"/>
      <c r="F613" s="58" t="n"/>
      <c r="G613" s="66">
        <f>IF(tblFleet[[#This Row],[Units]]="","",tblFleet[[#This Row],[Units]]*cfg_HoursPerDay)</f>
        <v/>
      </c>
      <c r="H613" s="66">
        <f>IF(tblFleet[[#This Row],[Units]]="","",tblFleet[[#This Row],[Calendar_h]]-tblFleet[[#This Row],[Down_h]])</f>
        <v/>
      </c>
      <c r="I613" s="60">
        <f>IF(AND(tblFleet[[#This Row],[Units]]&lt;&gt;"",tblFleet[[#This Row],[Calendar_h]]&gt;0),tblFleet[[#This Row],[Available_h]]/tblFleet[[#This Row],[Calendar_h]],"")</f>
        <v/>
      </c>
      <c r="J613" s="60">
        <f>IF(AND(tblFleet[[#This Row],[Units]]&lt;&gt;"",tblFleet[[#This Row],[Available_h]]&gt;0),tblFleet[[#This Row],[Operating_h]]/tblFleet[[#This Row],[Available_h]],"")</f>
        <v/>
      </c>
    </row>
    <row r="614">
      <c r="A614" s="54" t="n"/>
      <c r="B614" s="61" t="n"/>
      <c r="C614" s="62" t="n"/>
      <c r="D614" s="57" t="n"/>
      <c r="E614" s="57" t="n"/>
      <c r="F614" s="58" t="n"/>
      <c r="G614" s="66">
        <f>IF(tblFleet[[#This Row],[Units]]="","",tblFleet[[#This Row],[Units]]*cfg_HoursPerDay)</f>
        <v/>
      </c>
      <c r="H614" s="66">
        <f>IF(tblFleet[[#This Row],[Units]]="","",tblFleet[[#This Row],[Calendar_h]]-tblFleet[[#This Row],[Down_h]])</f>
        <v/>
      </c>
      <c r="I614" s="60">
        <f>IF(AND(tblFleet[[#This Row],[Units]]&lt;&gt;"",tblFleet[[#This Row],[Calendar_h]]&gt;0),tblFleet[[#This Row],[Available_h]]/tblFleet[[#This Row],[Calendar_h]],"")</f>
        <v/>
      </c>
      <c r="J614" s="60">
        <f>IF(AND(tblFleet[[#This Row],[Units]]&lt;&gt;"",tblFleet[[#This Row],[Available_h]]&gt;0),tblFleet[[#This Row],[Operating_h]]/tblFleet[[#This Row],[Available_h]],"")</f>
        <v/>
      </c>
    </row>
    <row r="615">
      <c r="A615" s="54" t="n"/>
      <c r="B615" s="61" t="n"/>
      <c r="C615" s="62" t="n"/>
      <c r="D615" s="57" t="n"/>
      <c r="E615" s="57" t="n"/>
      <c r="F615" s="58" t="n"/>
      <c r="G615" s="66">
        <f>IF(tblFleet[[#This Row],[Units]]="","",tblFleet[[#This Row],[Units]]*cfg_HoursPerDay)</f>
        <v/>
      </c>
      <c r="H615" s="66">
        <f>IF(tblFleet[[#This Row],[Units]]="","",tblFleet[[#This Row],[Calendar_h]]-tblFleet[[#This Row],[Down_h]])</f>
        <v/>
      </c>
      <c r="I615" s="60">
        <f>IF(AND(tblFleet[[#This Row],[Units]]&lt;&gt;"",tblFleet[[#This Row],[Calendar_h]]&gt;0),tblFleet[[#This Row],[Available_h]]/tblFleet[[#This Row],[Calendar_h]],"")</f>
        <v/>
      </c>
      <c r="J615" s="60">
        <f>IF(AND(tblFleet[[#This Row],[Units]]&lt;&gt;"",tblFleet[[#This Row],[Available_h]]&gt;0),tblFleet[[#This Row],[Operating_h]]/tblFleet[[#This Row],[Available_h]],"")</f>
        <v/>
      </c>
    </row>
    <row r="616">
      <c r="A616" s="54" t="n"/>
      <c r="B616" s="61" t="n"/>
      <c r="C616" s="62" t="n"/>
      <c r="D616" s="57" t="n"/>
      <c r="E616" s="57" t="n"/>
      <c r="F616" s="58" t="n"/>
      <c r="G616" s="66">
        <f>IF(tblFleet[[#This Row],[Units]]="","",tblFleet[[#This Row],[Units]]*cfg_HoursPerDay)</f>
        <v/>
      </c>
      <c r="H616" s="66">
        <f>IF(tblFleet[[#This Row],[Units]]="","",tblFleet[[#This Row],[Calendar_h]]-tblFleet[[#This Row],[Down_h]])</f>
        <v/>
      </c>
      <c r="I616" s="60">
        <f>IF(AND(tblFleet[[#This Row],[Units]]&lt;&gt;"",tblFleet[[#This Row],[Calendar_h]]&gt;0),tblFleet[[#This Row],[Available_h]]/tblFleet[[#This Row],[Calendar_h]],"")</f>
        <v/>
      </c>
      <c r="J616" s="60">
        <f>IF(AND(tblFleet[[#This Row],[Units]]&lt;&gt;"",tblFleet[[#This Row],[Available_h]]&gt;0),tblFleet[[#This Row],[Operating_h]]/tblFleet[[#This Row],[Available_h]],"")</f>
        <v/>
      </c>
    </row>
    <row r="617">
      <c r="A617" s="54" t="n"/>
      <c r="B617" s="61" t="n"/>
      <c r="C617" s="62" t="n"/>
      <c r="D617" s="57" t="n"/>
      <c r="E617" s="57" t="n"/>
      <c r="F617" s="58" t="n"/>
      <c r="G617" s="66">
        <f>IF(tblFleet[[#This Row],[Units]]="","",tblFleet[[#This Row],[Units]]*cfg_HoursPerDay)</f>
        <v/>
      </c>
      <c r="H617" s="66">
        <f>IF(tblFleet[[#This Row],[Units]]="","",tblFleet[[#This Row],[Calendar_h]]-tblFleet[[#This Row],[Down_h]])</f>
        <v/>
      </c>
      <c r="I617" s="60">
        <f>IF(AND(tblFleet[[#This Row],[Units]]&lt;&gt;"",tblFleet[[#This Row],[Calendar_h]]&gt;0),tblFleet[[#This Row],[Available_h]]/tblFleet[[#This Row],[Calendar_h]],"")</f>
        <v/>
      </c>
      <c r="J617" s="60">
        <f>IF(AND(tblFleet[[#This Row],[Units]]&lt;&gt;"",tblFleet[[#This Row],[Available_h]]&gt;0),tblFleet[[#This Row],[Operating_h]]/tblFleet[[#This Row],[Available_h]],"")</f>
        <v/>
      </c>
    </row>
    <row r="618">
      <c r="A618" s="54" t="n"/>
      <c r="B618" s="61" t="n"/>
      <c r="C618" s="62" t="n"/>
      <c r="D618" s="57" t="n"/>
      <c r="E618" s="57" t="n"/>
      <c r="F618" s="58" t="n"/>
      <c r="G618" s="66">
        <f>IF(tblFleet[[#This Row],[Units]]="","",tblFleet[[#This Row],[Units]]*cfg_HoursPerDay)</f>
        <v/>
      </c>
      <c r="H618" s="66">
        <f>IF(tblFleet[[#This Row],[Units]]="","",tblFleet[[#This Row],[Calendar_h]]-tblFleet[[#This Row],[Down_h]])</f>
        <v/>
      </c>
      <c r="I618" s="60">
        <f>IF(AND(tblFleet[[#This Row],[Units]]&lt;&gt;"",tblFleet[[#This Row],[Calendar_h]]&gt;0),tblFleet[[#This Row],[Available_h]]/tblFleet[[#This Row],[Calendar_h]],"")</f>
        <v/>
      </c>
      <c r="J618" s="60">
        <f>IF(AND(tblFleet[[#This Row],[Units]]&lt;&gt;"",tblFleet[[#This Row],[Available_h]]&gt;0),tblFleet[[#This Row],[Operating_h]]/tblFleet[[#This Row],[Available_h]],"")</f>
        <v/>
      </c>
    </row>
    <row r="619">
      <c r="A619" s="54" t="n"/>
      <c r="B619" s="61" t="n"/>
      <c r="C619" s="62" t="n"/>
      <c r="D619" s="57" t="n"/>
      <c r="E619" s="57" t="n"/>
      <c r="F619" s="58" t="n"/>
      <c r="G619" s="66">
        <f>IF(tblFleet[[#This Row],[Units]]="","",tblFleet[[#This Row],[Units]]*cfg_HoursPerDay)</f>
        <v/>
      </c>
      <c r="H619" s="66">
        <f>IF(tblFleet[[#This Row],[Units]]="","",tblFleet[[#This Row],[Calendar_h]]-tblFleet[[#This Row],[Down_h]])</f>
        <v/>
      </c>
      <c r="I619" s="60">
        <f>IF(AND(tblFleet[[#This Row],[Units]]&lt;&gt;"",tblFleet[[#This Row],[Calendar_h]]&gt;0),tblFleet[[#This Row],[Available_h]]/tblFleet[[#This Row],[Calendar_h]],"")</f>
        <v/>
      </c>
      <c r="J619" s="60">
        <f>IF(AND(tblFleet[[#This Row],[Units]]&lt;&gt;"",tblFleet[[#This Row],[Available_h]]&gt;0),tblFleet[[#This Row],[Operating_h]]/tblFleet[[#This Row],[Available_h]],"")</f>
        <v/>
      </c>
    </row>
    <row r="620">
      <c r="A620" s="54" t="n"/>
      <c r="B620" s="61" t="n"/>
      <c r="C620" s="62" t="n"/>
      <c r="D620" s="57" t="n"/>
      <c r="E620" s="57" t="n"/>
      <c r="F620" s="58" t="n"/>
      <c r="G620" s="66">
        <f>IF(tblFleet[[#This Row],[Units]]="","",tblFleet[[#This Row],[Units]]*cfg_HoursPerDay)</f>
        <v/>
      </c>
      <c r="H620" s="66">
        <f>IF(tblFleet[[#This Row],[Units]]="","",tblFleet[[#This Row],[Calendar_h]]-tblFleet[[#This Row],[Down_h]])</f>
        <v/>
      </c>
      <c r="I620" s="60">
        <f>IF(AND(tblFleet[[#This Row],[Units]]&lt;&gt;"",tblFleet[[#This Row],[Calendar_h]]&gt;0),tblFleet[[#This Row],[Available_h]]/tblFleet[[#This Row],[Calendar_h]],"")</f>
        <v/>
      </c>
      <c r="J620" s="60">
        <f>IF(AND(tblFleet[[#This Row],[Units]]&lt;&gt;"",tblFleet[[#This Row],[Available_h]]&gt;0),tblFleet[[#This Row],[Operating_h]]/tblFleet[[#This Row],[Available_h]],"")</f>
        <v/>
      </c>
    </row>
    <row r="621">
      <c r="A621" s="54" t="n"/>
      <c r="B621" s="61" t="n"/>
      <c r="C621" s="62" t="n"/>
      <c r="D621" s="57" t="n"/>
      <c r="E621" s="57" t="n"/>
      <c r="F621" s="58" t="n"/>
      <c r="G621" s="66">
        <f>IF(tblFleet[[#This Row],[Units]]="","",tblFleet[[#This Row],[Units]]*cfg_HoursPerDay)</f>
        <v/>
      </c>
      <c r="H621" s="66">
        <f>IF(tblFleet[[#This Row],[Units]]="","",tblFleet[[#This Row],[Calendar_h]]-tblFleet[[#This Row],[Down_h]])</f>
        <v/>
      </c>
      <c r="I621" s="60">
        <f>IF(AND(tblFleet[[#This Row],[Units]]&lt;&gt;"",tblFleet[[#This Row],[Calendar_h]]&gt;0),tblFleet[[#This Row],[Available_h]]/tblFleet[[#This Row],[Calendar_h]],"")</f>
        <v/>
      </c>
      <c r="J621" s="60">
        <f>IF(AND(tblFleet[[#This Row],[Units]]&lt;&gt;"",tblFleet[[#This Row],[Available_h]]&gt;0),tblFleet[[#This Row],[Operating_h]]/tblFleet[[#This Row],[Available_h]],"")</f>
        <v/>
      </c>
    </row>
    <row r="622">
      <c r="A622" s="54" t="n"/>
      <c r="B622" s="61" t="n"/>
      <c r="C622" s="62" t="n"/>
      <c r="D622" s="57" t="n"/>
      <c r="E622" s="57" t="n"/>
      <c r="F622" s="58" t="n"/>
      <c r="G622" s="66">
        <f>IF(tblFleet[[#This Row],[Units]]="","",tblFleet[[#This Row],[Units]]*cfg_HoursPerDay)</f>
        <v/>
      </c>
      <c r="H622" s="66">
        <f>IF(tblFleet[[#This Row],[Units]]="","",tblFleet[[#This Row],[Calendar_h]]-tblFleet[[#This Row],[Down_h]])</f>
        <v/>
      </c>
      <c r="I622" s="60">
        <f>IF(AND(tblFleet[[#This Row],[Units]]&lt;&gt;"",tblFleet[[#This Row],[Calendar_h]]&gt;0),tblFleet[[#This Row],[Available_h]]/tblFleet[[#This Row],[Calendar_h]],"")</f>
        <v/>
      </c>
      <c r="J622" s="60">
        <f>IF(AND(tblFleet[[#This Row],[Units]]&lt;&gt;"",tblFleet[[#This Row],[Available_h]]&gt;0),tblFleet[[#This Row],[Operating_h]]/tblFleet[[#This Row],[Available_h]],"")</f>
        <v/>
      </c>
    </row>
    <row r="623">
      <c r="A623" s="54" t="n"/>
      <c r="B623" s="61" t="n"/>
      <c r="C623" s="62" t="n"/>
      <c r="D623" s="57" t="n"/>
      <c r="E623" s="57" t="n"/>
      <c r="F623" s="58" t="n"/>
      <c r="G623" s="66">
        <f>IF(tblFleet[[#This Row],[Units]]="","",tblFleet[[#This Row],[Units]]*cfg_HoursPerDay)</f>
        <v/>
      </c>
      <c r="H623" s="66">
        <f>IF(tblFleet[[#This Row],[Units]]="","",tblFleet[[#This Row],[Calendar_h]]-tblFleet[[#This Row],[Down_h]])</f>
        <v/>
      </c>
      <c r="I623" s="60">
        <f>IF(AND(tblFleet[[#This Row],[Units]]&lt;&gt;"",tblFleet[[#This Row],[Calendar_h]]&gt;0),tblFleet[[#This Row],[Available_h]]/tblFleet[[#This Row],[Calendar_h]],"")</f>
        <v/>
      </c>
      <c r="J623" s="60">
        <f>IF(AND(tblFleet[[#This Row],[Units]]&lt;&gt;"",tblFleet[[#This Row],[Available_h]]&gt;0),tblFleet[[#This Row],[Operating_h]]/tblFleet[[#This Row],[Available_h]],"")</f>
        <v/>
      </c>
    </row>
    <row r="624">
      <c r="A624" s="54" t="n"/>
      <c r="B624" s="61" t="n"/>
      <c r="C624" s="62" t="n"/>
      <c r="D624" s="57" t="n"/>
      <c r="E624" s="57" t="n"/>
      <c r="F624" s="58" t="n"/>
      <c r="G624" s="66">
        <f>IF(tblFleet[[#This Row],[Units]]="","",tblFleet[[#This Row],[Units]]*cfg_HoursPerDay)</f>
        <v/>
      </c>
      <c r="H624" s="66">
        <f>IF(tblFleet[[#This Row],[Units]]="","",tblFleet[[#This Row],[Calendar_h]]-tblFleet[[#This Row],[Down_h]])</f>
        <v/>
      </c>
      <c r="I624" s="60">
        <f>IF(AND(tblFleet[[#This Row],[Units]]&lt;&gt;"",tblFleet[[#This Row],[Calendar_h]]&gt;0),tblFleet[[#This Row],[Available_h]]/tblFleet[[#This Row],[Calendar_h]],"")</f>
        <v/>
      </c>
      <c r="J624" s="60">
        <f>IF(AND(tblFleet[[#This Row],[Units]]&lt;&gt;"",tblFleet[[#This Row],[Available_h]]&gt;0),tblFleet[[#This Row],[Operating_h]]/tblFleet[[#This Row],[Available_h]],"")</f>
        <v/>
      </c>
    </row>
    <row r="625">
      <c r="A625" s="54" t="n"/>
      <c r="B625" s="61" t="n"/>
      <c r="C625" s="62" t="n"/>
      <c r="D625" s="57" t="n"/>
      <c r="E625" s="57" t="n"/>
      <c r="F625" s="58" t="n"/>
      <c r="G625" s="66">
        <f>IF(tblFleet[[#This Row],[Units]]="","",tblFleet[[#This Row],[Units]]*cfg_HoursPerDay)</f>
        <v/>
      </c>
      <c r="H625" s="66">
        <f>IF(tblFleet[[#This Row],[Units]]="","",tblFleet[[#This Row],[Calendar_h]]-tblFleet[[#This Row],[Down_h]])</f>
        <v/>
      </c>
      <c r="I625" s="60">
        <f>IF(AND(tblFleet[[#This Row],[Units]]&lt;&gt;"",tblFleet[[#This Row],[Calendar_h]]&gt;0),tblFleet[[#This Row],[Available_h]]/tblFleet[[#This Row],[Calendar_h]],"")</f>
        <v/>
      </c>
      <c r="J625" s="60">
        <f>IF(AND(tblFleet[[#This Row],[Units]]&lt;&gt;"",tblFleet[[#This Row],[Available_h]]&gt;0),tblFleet[[#This Row],[Operating_h]]/tblFleet[[#This Row],[Available_h]],"")</f>
        <v/>
      </c>
    </row>
    <row r="626">
      <c r="A626" s="54" t="n"/>
      <c r="B626" s="61" t="n"/>
      <c r="C626" s="62" t="n"/>
      <c r="D626" s="57" t="n"/>
      <c r="E626" s="57" t="n"/>
      <c r="F626" s="58" t="n"/>
      <c r="G626" s="66">
        <f>IF(tblFleet[[#This Row],[Units]]="","",tblFleet[[#This Row],[Units]]*cfg_HoursPerDay)</f>
        <v/>
      </c>
      <c r="H626" s="66">
        <f>IF(tblFleet[[#This Row],[Units]]="","",tblFleet[[#This Row],[Calendar_h]]-tblFleet[[#This Row],[Down_h]])</f>
        <v/>
      </c>
      <c r="I626" s="60">
        <f>IF(AND(tblFleet[[#This Row],[Units]]&lt;&gt;"",tblFleet[[#This Row],[Calendar_h]]&gt;0),tblFleet[[#This Row],[Available_h]]/tblFleet[[#This Row],[Calendar_h]],"")</f>
        <v/>
      </c>
      <c r="J626" s="60">
        <f>IF(AND(tblFleet[[#This Row],[Units]]&lt;&gt;"",tblFleet[[#This Row],[Available_h]]&gt;0),tblFleet[[#This Row],[Operating_h]]/tblFleet[[#This Row],[Available_h]],"")</f>
        <v/>
      </c>
    </row>
    <row r="627">
      <c r="A627" s="54" t="n"/>
      <c r="B627" s="61" t="n"/>
      <c r="C627" s="62" t="n"/>
      <c r="D627" s="57" t="n"/>
      <c r="E627" s="57" t="n"/>
      <c r="F627" s="58" t="n"/>
      <c r="G627" s="66">
        <f>IF(tblFleet[[#This Row],[Units]]="","",tblFleet[[#This Row],[Units]]*cfg_HoursPerDay)</f>
        <v/>
      </c>
      <c r="H627" s="66">
        <f>IF(tblFleet[[#This Row],[Units]]="","",tblFleet[[#This Row],[Calendar_h]]-tblFleet[[#This Row],[Down_h]])</f>
        <v/>
      </c>
      <c r="I627" s="60">
        <f>IF(AND(tblFleet[[#This Row],[Units]]&lt;&gt;"",tblFleet[[#This Row],[Calendar_h]]&gt;0),tblFleet[[#This Row],[Available_h]]/tblFleet[[#This Row],[Calendar_h]],"")</f>
        <v/>
      </c>
      <c r="J627" s="60">
        <f>IF(AND(tblFleet[[#This Row],[Units]]&lt;&gt;"",tblFleet[[#This Row],[Available_h]]&gt;0),tblFleet[[#This Row],[Operating_h]]/tblFleet[[#This Row],[Available_h]],"")</f>
        <v/>
      </c>
    </row>
    <row r="628">
      <c r="A628" s="54" t="n"/>
      <c r="B628" s="61" t="n"/>
      <c r="C628" s="62" t="n"/>
      <c r="D628" s="57" t="n"/>
      <c r="E628" s="57" t="n"/>
      <c r="F628" s="58" t="n"/>
      <c r="G628" s="66">
        <f>IF(tblFleet[[#This Row],[Units]]="","",tblFleet[[#This Row],[Units]]*cfg_HoursPerDay)</f>
        <v/>
      </c>
      <c r="H628" s="66">
        <f>IF(tblFleet[[#This Row],[Units]]="","",tblFleet[[#This Row],[Calendar_h]]-tblFleet[[#This Row],[Down_h]])</f>
        <v/>
      </c>
      <c r="I628" s="60">
        <f>IF(AND(tblFleet[[#This Row],[Units]]&lt;&gt;"",tblFleet[[#This Row],[Calendar_h]]&gt;0),tblFleet[[#This Row],[Available_h]]/tblFleet[[#This Row],[Calendar_h]],"")</f>
        <v/>
      </c>
      <c r="J628" s="60">
        <f>IF(AND(tblFleet[[#This Row],[Units]]&lt;&gt;"",tblFleet[[#This Row],[Available_h]]&gt;0),tblFleet[[#This Row],[Operating_h]]/tblFleet[[#This Row],[Available_h]],"")</f>
        <v/>
      </c>
    </row>
    <row r="629">
      <c r="A629" s="54" t="n"/>
      <c r="B629" s="61" t="n"/>
      <c r="C629" s="62" t="n"/>
      <c r="D629" s="57" t="n"/>
      <c r="E629" s="57" t="n"/>
      <c r="F629" s="58" t="n"/>
      <c r="G629" s="66">
        <f>IF(tblFleet[[#This Row],[Units]]="","",tblFleet[[#This Row],[Units]]*cfg_HoursPerDay)</f>
        <v/>
      </c>
      <c r="H629" s="66">
        <f>IF(tblFleet[[#This Row],[Units]]="","",tblFleet[[#This Row],[Calendar_h]]-tblFleet[[#This Row],[Down_h]])</f>
        <v/>
      </c>
      <c r="I629" s="60">
        <f>IF(AND(tblFleet[[#This Row],[Units]]&lt;&gt;"",tblFleet[[#This Row],[Calendar_h]]&gt;0),tblFleet[[#This Row],[Available_h]]/tblFleet[[#This Row],[Calendar_h]],"")</f>
        <v/>
      </c>
      <c r="J629" s="60">
        <f>IF(AND(tblFleet[[#This Row],[Units]]&lt;&gt;"",tblFleet[[#This Row],[Available_h]]&gt;0),tblFleet[[#This Row],[Operating_h]]/tblFleet[[#This Row],[Available_h]],"")</f>
        <v/>
      </c>
    </row>
    <row r="630">
      <c r="A630" s="54" t="n"/>
      <c r="B630" s="61" t="n"/>
      <c r="C630" s="62" t="n"/>
      <c r="D630" s="57" t="n"/>
      <c r="E630" s="57" t="n"/>
      <c r="F630" s="58" t="n"/>
      <c r="G630" s="66">
        <f>IF(tblFleet[[#This Row],[Units]]="","",tblFleet[[#This Row],[Units]]*cfg_HoursPerDay)</f>
        <v/>
      </c>
      <c r="H630" s="66">
        <f>IF(tblFleet[[#This Row],[Units]]="","",tblFleet[[#This Row],[Calendar_h]]-tblFleet[[#This Row],[Down_h]])</f>
        <v/>
      </c>
      <c r="I630" s="60">
        <f>IF(AND(tblFleet[[#This Row],[Units]]&lt;&gt;"",tblFleet[[#This Row],[Calendar_h]]&gt;0),tblFleet[[#This Row],[Available_h]]/tblFleet[[#This Row],[Calendar_h]],"")</f>
        <v/>
      </c>
      <c r="J630" s="60">
        <f>IF(AND(tblFleet[[#This Row],[Units]]&lt;&gt;"",tblFleet[[#This Row],[Available_h]]&gt;0),tblFleet[[#This Row],[Operating_h]]/tblFleet[[#This Row],[Available_h]],"")</f>
        <v/>
      </c>
    </row>
    <row r="631">
      <c r="A631" s="54" t="n"/>
      <c r="B631" s="61" t="n"/>
      <c r="C631" s="62" t="n"/>
      <c r="D631" s="57" t="n"/>
      <c r="E631" s="57" t="n"/>
      <c r="F631" s="58" t="n"/>
      <c r="G631" s="66">
        <f>IF(tblFleet[[#This Row],[Units]]="","",tblFleet[[#This Row],[Units]]*cfg_HoursPerDay)</f>
        <v/>
      </c>
      <c r="H631" s="66">
        <f>IF(tblFleet[[#This Row],[Units]]="","",tblFleet[[#This Row],[Calendar_h]]-tblFleet[[#This Row],[Down_h]])</f>
        <v/>
      </c>
      <c r="I631" s="60">
        <f>IF(AND(tblFleet[[#This Row],[Units]]&lt;&gt;"",tblFleet[[#This Row],[Calendar_h]]&gt;0),tblFleet[[#This Row],[Available_h]]/tblFleet[[#This Row],[Calendar_h]],"")</f>
        <v/>
      </c>
      <c r="J631" s="60">
        <f>IF(AND(tblFleet[[#This Row],[Units]]&lt;&gt;"",tblFleet[[#This Row],[Available_h]]&gt;0),tblFleet[[#This Row],[Operating_h]]/tblFleet[[#This Row],[Available_h]],"")</f>
        <v/>
      </c>
    </row>
    <row r="632">
      <c r="A632" s="54" t="n"/>
      <c r="B632" s="61" t="n"/>
      <c r="C632" s="62" t="n"/>
      <c r="D632" s="57" t="n"/>
      <c r="E632" s="57" t="n"/>
      <c r="F632" s="58" t="n"/>
      <c r="G632" s="66">
        <f>IF(tblFleet[[#This Row],[Units]]="","",tblFleet[[#This Row],[Units]]*cfg_HoursPerDay)</f>
        <v/>
      </c>
      <c r="H632" s="66">
        <f>IF(tblFleet[[#This Row],[Units]]="","",tblFleet[[#This Row],[Calendar_h]]-tblFleet[[#This Row],[Down_h]])</f>
        <v/>
      </c>
      <c r="I632" s="60">
        <f>IF(AND(tblFleet[[#This Row],[Units]]&lt;&gt;"",tblFleet[[#This Row],[Calendar_h]]&gt;0),tblFleet[[#This Row],[Available_h]]/tblFleet[[#This Row],[Calendar_h]],"")</f>
        <v/>
      </c>
      <c r="J632" s="60">
        <f>IF(AND(tblFleet[[#This Row],[Units]]&lt;&gt;"",tblFleet[[#This Row],[Available_h]]&gt;0),tblFleet[[#This Row],[Operating_h]]/tblFleet[[#This Row],[Available_h]],"")</f>
        <v/>
      </c>
    </row>
    <row r="633">
      <c r="A633" s="54" t="n"/>
      <c r="B633" s="61" t="n"/>
      <c r="C633" s="62" t="n"/>
      <c r="D633" s="57" t="n"/>
      <c r="E633" s="57" t="n"/>
      <c r="F633" s="58" t="n"/>
      <c r="G633" s="66">
        <f>IF(tblFleet[[#This Row],[Units]]="","",tblFleet[[#This Row],[Units]]*cfg_HoursPerDay)</f>
        <v/>
      </c>
      <c r="H633" s="66">
        <f>IF(tblFleet[[#This Row],[Units]]="","",tblFleet[[#This Row],[Calendar_h]]-tblFleet[[#This Row],[Down_h]])</f>
        <v/>
      </c>
      <c r="I633" s="60">
        <f>IF(AND(tblFleet[[#This Row],[Units]]&lt;&gt;"",tblFleet[[#This Row],[Calendar_h]]&gt;0),tblFleet[[#This Row],[Available_h]]/tblFleet[[#This Row],[Calendar_h]],"")</f>
        <v/>
      </c>
      <c r="J633" s="60">
        <f>IF(AND(tblFleet[[#This Row],[Units]]&lt;&gt;"",tblFleet[[#This Row],[Available_h]]&gt;0),tblFleet[[#This Row],[Operating_h]]/tblFleet[[#This Row],[Available_h]],"")</f>
        <v/>
      </c>
    </row>
    <row r="634">
      <c r="A634" s="54" t="n"/>
      <c r="B634" s="61" t="n"/>
      <c r="C634" s="62" t="n"/>
      <c r="D634" s="57" t="n"/>
      <c r="E634" s="57" t="n"/>
      <c r="F634" s="58" t="n"/>
      <c r="G634" s="66">
        <f>IF(tblFleet[[#This Row],[Units]]="","",tblFleet[[#This Row],[Units]]*cfg_HoursPerDay)</f>
        <v/>
      </c>
      <c r="H634" s="66">
        <f>IF(tblFleet[[#This Row],[Units]]="","",tblFleet[[#This Row],[Calendar_h]]-tblFleet[[#This Row],[Down_h]])</f>
        <v/>
      </c>
      <c r="I634" s="60">
        <f>IF(AND(tblFleet[[#This Row],[Units]]&lt;&gt;"",tblFleet[[#This Row],[Calendar_h]]&gt;0),tblFleet[[#This Row],[Available_h]]/tblFleet[[#This Row],[Calendar_h]],"")</f>
        <v/>
      </c>
      <c r="J634" s="60">
        <f>IF(AND(tblFleet[[#This Row],[Units]]&lt;&gt;"",tblFleet[[#This Row],[Available_h]]&gt;0),tblFleet[[#This Row],[Operating_h]]/tblFleet[[#This Row],[Available_h]],"")</f>
        <v/>
      </c>
    </row>
    <row r="635">
      <c r="A635" s="54" t="n"/>
      <c r="B635" s="61" t="n"/>
      <c r="C635" s="62" t="n"/>
      <c r="D635" s="57" t="n"/>
      <c r="E635" s="57" t="n"/>
      <c r="F635" s="58" t="n"/>
      <c r="G635" s="66">
        <f>IF(tblFleet[[#This Row],[Units]]="","",tblFleet[[#This Row],[Units]]*cfg_HoursPerDay)</f>
        <v/>
      </c>
      <c r="H635" s="66">
        <f>IF(tblFleet[[#This Row],[Units]]="","",tblFleet[[#This Row],[Calendar_h]]-tblFleet[[#This Row],[Down_h]])</f>
        <v/>
      </c>
      <c r="I635" s="60">
        <f>IF(AND(tblFleet[[#This Row],[Units]]&lt;&gt;"",tblFleet[[#This Row],[Calendar_h]]&gt;0),tblFleet[[#This Row],[Available_h]]/tblFleet[[#This Row],[Calendar_h]],"")</f>
        <v/>
      </c>
      <c r="J635" s="60">
        <f>IF(AND(tblFleet[[#This Row],[Units]]&lt;&gt;"",tblFleet[[#This Row],[Available_h]]&gt;0),tblFleet[[#This Row],[Operating_h]]/tblFleet[[#This Row],[Available_h]],"")</f>
        <v/>
      </c>
    </row>
    <row r="636">
      <c r="A636" s="54" t="n"/>
      <c r="B636" s="61" t="n"/>
      <c r="C636" s="62" t="n"/>
      <c r="D636" s="57" t="n"/>
      <c r="E636" s="57" t="n"/>
      <c r="F636" s="58" t="n"/>
      <c r="G636" s="66">
        <f>IF(tblFleet[[#This Row],[Units]]="","",tblFleet[[#This Row],[Units]]*cfg_HoursPerDay)</f>
        <v/>
      </c>
      <c r="H636" s="66">
        <f>IF(tblFleet[[#This Row],[Units]]="","",tblFleet[[#This Row],[Calendar_h]]-tblFleet[[#This Row],[Down_h]])</f>
        <v/>
      </c>
      <c r="I636" s="60">
        <f>IF(AND(tblFleet[[#This Row],[Units]]&lt;&gt;"",tblFleet[[#This Row],[Calendar_h]]&gt;0),tblFleet[[#This Row],[Available_h]]/tblFleet[[#This Row],[Calendar_h]],"")</f>
        <v/>
      </c>
      <c r="J636" s="60">
        <f>IF(AND(tblFleet[[#This Row],[Units]]&lt;&gt;"",tblFleet[[#This Row],[Available_h]]&gt;0),tblFleet[[#This Row],[Operating_h]]/tblFleet[[#This Row],[Available_h]],"")</f>
        <v/>
      </c>
    </row>
    <row r="637">
      <c r="A637" s="54" t="n"/>
      <c r="B637" s="61" t="n"/>
      <c r="C637" s="62" t="n"/>
      <c r="D637" s="57" t="n"/>
      <c r="E637" s="57" t="n"/>
      <c r="F637" s="58" t="n"/>
      <c r="G637" s="66">
        <f>IF(tblFleet[[#This Row],[Units]]="","",tblFleet[[#This Row],[Units]]*cfg_HoursPerDay)</f>
        <v/>
      </c>
      <c r="H637" s="66">
        <f>IF(tblFleet[[#This Row],[Units]]="","",tblFleet[[#This Row],[Calendar_h]]-tblFleet[[#This Row],[Down_h]])</f>
        <v/>
      </c>
      <c r="I637" s="60">
        <f>IF(AND(tblFleet[[#This Row],[Units]]&lt;&gt;"",tblFleet[[#This Row],[Calendar_h]]&gt;0),tblFleet[[#This Row],[Available_h]]/tblFleet[[#This Row],[Calendar_h]],"")</f>
        <v/>
      </c>
      <c r="J637" s="60">
        <f>IF(AND(tblFleet[[#This Row],[Units]]&lt;&gt;"",tblFleet[[#This Row],[Available_h]]&gt;0),tblFleet[[#This Row],[Operating_h]]/tblFleet[[#This Row],[Available_h]],"")</f>
        <v/>
      </c>
    </row>
    <row r="638">
      <c r="A638" s="54" t="n"/>
      <c r="B638" s="61" t="n"/>
      <c r="C638" s="62" t="n"/>
      <c r="D638" s="57" t="n"/>
      <c r="E638" s="57" t="n"/>
      <c r="F638" s="58" t="n"/>
      <c r="G638" s="66">
        <f>IF(tblFleet[[#This Row],[Units]]="","",tblFleet[[#This Row],[Units]]*cfg_HoursPerDay)</f>
        <v/>
      </c>
      <c r="H638" s="66">
        <f>IF(tblFleet[[#This Row],[Units]]="","",tblFleet[[#This Row],[Calendar_h]]-tblFleet[[#This Row],[Down_h]])</f>
        <v/>
      </c>
      <c r="I638" s="60">
        <f>IF(AND(tblFleet[[#This Row],[Units]]&lt;&gt;"",tblFleet[[#This Row],[Calendar_h]]&gt;0),tblFleet[[#This Row],[Available_h]]/tblFleet[[#This Row],[Calendar_h]],"")</f>
        <v/>
      </c>
      <c r="J638" s="60">
        <f>IF(AND(tblFleet[[#This Row],[Units]]&lt;&gt;"",tblFleet[[#This Row],[Available_h]]&gt;0),tblFleet[[#This Row],[Operating_h]]/tblFleet[[#This Row],[Available_h]],"")</f>
        <v/>
      </c>
    </row>
    <row r="639">
      <c r="A639" s="54" t="n"/>
      <c r="B639" s="61" t="n"/>
      <c r="C639" s="62" t="n"/>
      <c r="D639" s="57" t="n"/>
      <c r="E639" s="57" t="n"/>
      <c r="F639" s="58" t="n"/>
      <c r="G639" s="66">
        <f>IF(tblFleet[[#This Row],[Units]]="","",tblFleet[[#This Row],[Units]]*cfg_HoursPerDay)</f>
        <v/>
      </c>
      <c r="H639" s="66">
        <f>IF(tblFleet[[#This Row],[Units]]="","",tblFleet[[#This Row],[Calendar_h]]-tblFleet[[#This Row],[Down_h]])</f>
        <v/>
      </c>
      <c r="I639" s="60">
        <f>IF(AND(tblFleet[[#This Row],[Units]]&lt;&gt;"",tblFleet[[#This Row],[Calendar_h]]&gt;0),tblFleet[[#This Row],[Available_h]]/tblFleet[[#This Row],[Calendar_h]],"")</f>
        <v/>
      </c>
      <c r="J639" s="60">
        <f>IF(AND(tblFleet[[#This Row],[Units]]&lt;&gt;"",tblFleet[[#This Row],[Available_h]]&gt;0),tblFleet[[#This Row],[Operating_h]]/tblFleet[[#This Row],[Available_h]],"")</f>
        <v/>
      </c>
    </row>
    <row r="640">
      <c r="A640" s="54" t="n"/>
      <c r="B640" s="61" t="n"/>
      <c r="C640" s="62" t="n"/>
      <c r="D640" s="57" t="n"/>
      <c r="E640" s="57" t="n"/>
      <c r="F640" s="58" t="n"/>
      <c r="G640" s="66">
        <f>IF(tblFleet[[#This Row],[Units]]="","",tblFleet[[#This Row],[Units]]*cfg_HoursPerDay)</f>
        <v/>
      </c>
      <c r="H640" s="66">
        <f>IF(tblFleet[[#This Row],[Units]]="","",tblFleet[[#This Row],[Calendar_h]]-tblFleet[[#This Row],[Down_h]])</f>
        <v/>
      </c>
      <c r="I640" s="60">
        <f>IF(AND(tblFleet[[#This Row],[Units]]&lt;&gt;"",tblFleet[[#This Row],[Calendar_h]]&gt;0),tblFleet[[#This Row],[Available_h]]/tblFleet[[#This Row],[Calendar_h]],"")</f>
        <v/>
      </c>
      <c r="J640" s="60">
        <f>IF(AND(tblFleet[[#This Row],[Units]]&lt;&gt;"",tblFleet[[#This Row],[Available_h]]&gt;0),tblFleet[[#This Row],[Operating_h]]/tblFleet[[#This Row],[Available_h]],"")</f>
        <v/>
      </c>
    </row>
    <row r="641">
      <c r="A641" s="54" t="n"/>
      <c r="B641" s="61" t="n"/>
      <c r="C641" s="62" t="n"/>
      <c r="D641" s="57" t="n"/>
      <c r="E641" s="57" t="n"/>
      <c r="F641" s="58" t="n"/>
      <c r="G641" s="66">
        <f>IF(tblFleet[[#This Row],[Units]]="","",tblFleet[[#This Row],[Units]]*cfg_HoursPerDay)</f>
        <v/>
      </c>
      <c r="H641" s="66">
        <f>IF(tblFleet[[#This Row],[Units]]="","",tblFleet[[#This Row],[Calendar_h]]-tblFleet[[#This Row],[Down_h]])</f>
        <v/>
      </c>
      <c r="I641" s="60">
        <f>IF(AND(tblFleet[[#This Row],[Units]]&lt;&gt;"",tblFleet[[#This Row],[Calendar_h]]&gt;0),tblFleet[[#This Row],[Available_h]]/tblFleet[[#This Row],[Calendar_h]],"")</f>
        <v/>
      </c>
      <c r="J641" s="60">
        <f>IF(AND(tblFleet[[#This Row],[Units]]&lt;&gt;"",tblFleet[[#This Row],[Available_h]]&gt;0),tblFleet[[#This Row],[Operating_h]]/tblFleet[[#This Row],[Available_h]],"")</f>
        <v/>
      </c>
    </row>
    <row r="642">
      <c r="A642" s="54" t="n"/>
      <c r="B642" s="61" t="n"/>
      <c r="C642" s="62" t="n"/>
      <c r="D642" s="57" t="n"/>
      <c r="E642" s="57" t="n"/>
      <c r="F642" s="58" t="n"/>
      <c r="G642" s="66">
        <f>IF(tblFleet[[#This Row],[Units]]="","",tblFleet[[#This Row],[Units]]*cfg_HoursPerDay)</f>
        <v/>
      </c>
      <c r="H642" s="66">
        <f>IF(tblFleet[[#This Row],[Units]]="","",tblFleet[[#This Row],[Calendar_h]]-tblFleet[[#This Row],[Down_h]])</f>
        <v/>
      </c>
      <c r="I642" s="60">
        <f>IF(AND(tblFleet[[#This Row],[Units]]&lt;&gt;"",tblFleet[[#This Row],[Calendar_h]]&gt;0),tblFleet[[#This Row],[Available_h]]/tblFleet[[#This Row],[Calendar_h]],"")</f>
        <v/>
      </c>
      <c r="J642" s="60">
        <f>IF(AND(tblFleet[[#This Row],[Units]]&lt;&gt;"",tblFleet[[#This Row],[Available_h]]&gt;0),tblFleet[[#This Row],[Operating_h]]/tblFleet[[#This Row],[Available_h]],"")</f>
        <v/>
      </c>
    </row>
    <row r="643">
      <c r="A643" s="54" t="n"/>
      <c r="B643" s="61" t="n"/>
      <c r="C643" s="62" t="n"/>
      <c r="D643" s="57" t="n"/>
      <c r="E643" s="57" t="n"/>
      <c r="F643" s="58" t="n"/>
      <c r="G643" s="66">
        <f>IF(tblFleet[[#This Row],[Units]]="","",tblFleet[[#This Row],[Units]]*cfg_HoursPerDay)</f>
        <v/>
      </c>
      <c r="H643" s="66">
        <f>IF(tblFleet[[#This Row],[Units]]="","",tblFleet[[#This Row],[Calendar_h]]-tblFleet[[#This Row],[Down_h]])</f>
        <v/>
      </c>
      <c r="I643" s="60">
        <f>IF(AND(tblFleet[[#This Row],[Units]]&lt;&gt;"",tblFleet[[#This Row],[Calendar_h]]&gt;0),tblFleet[[#This Row],[Available_h]]/tblFleet[[#This Row],[Calendar_h]],"")</f>
        <v/>
      </c>
      <c r="J643" s="60">
        <f>IF(AND(tblFleet[[#This Row],[Units]]&lt;&gt;"",tblFleet[[#This Row],[Available_h]]&gt;0),tblFleet[[#This Row],[Operating_h]]/tblFleet[[#This Row],[Available_h]],"")</f>
        <v/>
      </c>
    </row>
    <row r="644">
      <c r="A644" s="54" t="n"/>
      <c r="B644" s="61" t="n"/>
      <c r="C644" s="62" t="n"/>
      <c r="D644" s="57" t="n"/>
      <c r="E644" s="57" t="n"/>
      <c r="F644" s="58" t="n"/>
      <c r="G644" s="66">
        <f>IF(tblFleet[[#This Row],[Units]]="","",tblFleet[[#This Row],[Units]]*cfg_HoursPerDay)</f>
        <v/>
      </c>
      <c r="H644" s="66">
        <f>IF(tblFleet[[#This Row],[Units]]="","",tblFleet[[#This Row],[Calendar_h]]-tblFleet[[#This Row],[Down_h]])</f>
        <v/>
      </c>
      <c r="I644" s="60">
        <f>IF(AND(tblFleet[[#This Row],[Units]]&lt;&gt;"",tblFleet[[#This Row],[Calendar_h]]&gt;0),tblFleet[[#This Row],[Available_h]]/tblFleet[[#This Row],[Calendar_h]],"")</f>
        <v/>
      </c>
      <c r="J644" s="60">
        <f>IF(AND(tblFleet[[#This Row],[Units]]&lt;&gt;"",tblFleet[[#This Row],[Available_h]]&gt;0),tblFleet[[#This Row],[Operating_h]]/tblFleet[[#This Row],[Available_h]],"")</f>
        <v/>
      </c>
    </row>
    <row r="645">
      <c r="A645" s="54" t="n"/>
      <c r="B645" s="61" t="n"/>
      <c r="C645" s="62" t="n"/>
      <c r="D645" s="57" t="n"/>
      <c r="E645" s="57" t="n"/>
      <c r="F645" s="58" t="n"/>
      <c r="G645" s="66">
        <f>IF(tblFleet[[#This Row],[Units]]="","",tblFleet[[#This Row],[Units]]*cfg_HoursPerDay)</f>
        <v/>
      </c>
      <c r="H645" s="66">
        <f>IF(tblFleet[[#This Row],[Units]]="","",tblFleet[[#This Row],[Calendar_h]]-tblFleet[[#This Row],[Down_h]])</f>
        <v/>
      </c>
      <c r="I645" s="60">
        <f>IF(AND(tblFleet[[#This Row],[Units]]&lt;&gt;"",tblFleet[[#This Row],[Calendar_h]]&gt;0),tblFleet[[#This Row],[Available_h]]/tblFleet[[#This Row],[Calendar_h]],"")</f>
        <v/>
      </c>
      <c r="J645" s="60">
        <f>IF(AND(tblFleet[[#This Row],[Units]]&lt;&gt;"",tblFleet[[#This Row],[Available_h]]&gt;0),tblFleet[[#This Row],[Operating_h]]/tblFleet[[#This Row],[Available_h]],"")</f>
        <v/>
      </c>
    </row>
    <row r="646">
      <c r="A646" s="54" t="n"/>
      <c r="B646" s="61" t="n"/>
      <c r="C646" s="62" t="n"/>
      <c r="D646" s="57" t="n"/>
      <c r="E646" s="57" t="n"/>
      <c r="F646" s="58" t="n"/>
      <c r="G646" s="66">
        <f>IF(tblFleet[[#This Row],[Units]]="","",tblFleet[[#This Row],[Units]]*cfg_HoursPerDay)</f>
        <v/>
      </c>
      <c r="H646" s="66">
        <f>IF(tblFleet[[#This Row],[Units]]="","",tblFleet[[#This Row],[Calendar_h]]-tblFleet[[#This Row],[Down_h]])</f>
        <v/>
      </c>
      <c r="I646" s="60">
        <f>IF(AND(tblFleet[[#This Row],[Units]]&lt;&gt;"",tblFleet[[#This Row],[Calendar_h]]&gt;0),tblFleet[[#This Row],[Available_h]]/tblFleet[[#This Row],[Calendar_h]],"")</f>
        <v/>
      </c>
      <c r="J646" s="60">
        <f>IF(AND(tblFleet[[#This Row],[Units]]&lt;&gt;"",tblFleet[[#This Row],[Available_h]]&gt;0),tblFleet[[#This Row],[Operating_h]]/tblFleet[[#This Row],[Available_h]],"")</f>
        <v/>
      </c>
    </row>
    <row r="647">
      <c r="A647" s="54" t="n"/>
      <c r="B647" s="61" t="n"/>
      <c r="C647" s="62" t="n"/>
      <c r="D647" s="57" t="n"/>
      <c r="E647" s="57" t="n"/>
      <c r="F647" s="58" t="n"/>
      <c r="G647" s="66">
        <f>IF(tblFleet[[#This Row],[Units]]="","",tblFleet[[#This Row],[Units]]*cfg_HoursPerDay)</f>
        <v/>
      </c>
      <c r="H647" s="66">
        <f>IF(tblFleet[[#This Row],[Units]]="","",tblFleet[[#This Row],[Calendar_h]]-tblFleet[[#This Row],[Down_h]])</f>
        <v/>
      </c>
      <c r="I647" s="60">
        <f>IF(AND(tblFleet[[#This Row],[Units]]&lt;&gt;"",tblFleet[[#This Row],[Calendar_h]]&gt;0),tblFleet[[#This Row],[Available_h]]/tblFleet[[#This Row],[Calendar_h]],"")</f>
        <v/>
      </c>
      <c r="J647" s="60">
        <f>IF(AND(tblFleet[[#This Row],[Units]]&lt;&gt;"",tblFleet[[#This Row],[Available_h]]&gt;0),tblFleet[[#This Row],[Operating_h]]/tblFleet[[#This Row],[Available_h]],"")</f>
        <v/>
      </c>
    </row>
    <row r="648">
      <c r="A648" s="54" t="n"/>
      <c r="B648" s="61" t="n"/>
      <c r="C648" s="62" t="n"/>
      <c r="D648" s="57" t="n"/>
      <c r="E648" s="57" t="n"/>
      <c r="F648" s="58" t="n"/>
      <c r="G648" s="66">
        <f>IF(tblFleet[[#This Row],[Units]]="","",tblFleet[[#This Row],[Units]]*cfg_HoursPerDay)</f>
        <v/>
      </c>
      <c r="H648" s="66">
        <f>IF(tblFleet[[#This Row],[Units]]="","",tblFleet[[#This Row],[Calendar_h]]-tblFleet[[#This Row],[Down_h]])</f>
        <v/>
      </c>
      <c r="I648" s="60">
        <f>IF(AND(tblFleet[[#This Row],[Units]]&lt;&gt;"",tblFleet[[#This Row],[Calendar_h]]&gt;0),tblFleet[[#This Row],[Available_h]]/tblFleet[[#This Row],[Calendar_h]],"")</f>
        <v/>
      </c>
      <c r="J648" s="60">
        <f>IF(AND(tblFleet[[#This Row],[Units]]&lt;&gt;"",tblFleet[[#This Row],[Available_h]]&gt;0),tblFleet[[#This Row],[Operating_h]]/tblFleet[[#This Row],[Available_h]],"")</f>
        <v/>
      </c>
    </row>
    <row r="649">
      <c r="A649" s="54" t="n"/>
      <c r="B649" s="61" t="n"/>
      <c r="C649" s="62" t="n"/>
      <c r="D649" s="57" t="n"/>
      <c r="E649" s="57" t="n"/>
      <c r="F649" s="58" t="n"/>
      <c r="G649" s="66">
        <f>IF(tblFleet[[#This Row],[Units]]="","",tblFleet[[#This Row],[Units]]*cfg_HoursPerDay)</f>
        <v/>
      </c>
      <c r="H649" s="66">
        <f>IF(tblFleet[[#This Row],[Units]]="","",tblFleet[[#This Row],[Calendar_h]]-tblFleet[[#This Row],[Down_h]])</f>
        <v/>
      </c>
      <c r="I649" s="60">
        <f>IF(AND(tblFleet[[#This Row],[Units]]&lt;&gt;"",tblFleet[[#This Row],[Calendar_h]]&gt;0),tblFleet[[#This Row],[Available_h]]/tblFleet[[#This Row],[Calendar_h]],"")</f>
        <v/>
      </c>
      <c r="J649" s="60">
        <f>IF(AND(tblFleet[[#This Row],[Units]]&lt;&gt;"",tblFleet[[#This Row],[Available_h]]&gt;0),tblFleet[[#This Row],[Operating_h]]/tblFleet[[#This Row],[Available_h]],"")</f>
        <v/>
      </c>
    </row>
    <row r="650">
      <c r="A650" s="54" t="n"/>
      <c r="B650" s="61" t="n"/>
      <c r="C650" s="62" t="n"/>
      <c r="D650" s="57" t="n"/>
      <c r="E650" s="57" t="n"/>
      <c r="F650" s="58" t="n"/>
      <c r="G650" s="66">
        <f>IF(tblFleet[[#This Row],[Units]]="","",tblFleet[[#This Row],[Units]]*cfg_HoursPerDay)</f>
        <v/>
      </c>
      <c r="H650" s="66">
        <f>IF(tblFleet[[#This Row],[Units]]="","",tblFleet[[#This Row],[Calendar_h]]-tblFleet[[#This Row],[Down_h]])</f>
        <v/>
      </c>
      <c r="I650" s="60">
        <f>IF(AND(tblFleet[[#This Row],[Units]]&lt;&gt;"",tblFleet[[#This Row],[Calendar_h]]&gt;0),tblFleet[[#This Row],[Available_h]]/tblFleet[[#This Row],[Calendar_h]],"")</f>
        <v/>
      </c>
      <c r="J650" s="60">
        <f>IF(AND(tblFleet[[#This Row],[Units]]&lt;&gt;"",tblFleet[[#This Row],[Available_h]]&gt;0),tblFleet[[#This Row],[Operating_h]]/tblFleet[[#This Row],[Available_h]],"")</f>
        <v/>
      </c>
    </row>
    <row r="651">
      <c r="A651" s="54" t="n"/>
      <c r="B651" s="61" t="n"/>
      <c r="C651" s="62" t="n"/>
      <c r="D651" s="57" t="n"/>
      <c r="E651" s="57" t="n"/>
      <c r="F651" s="58" t="n"/>
      <c r="G651" s="66">
        <f>IF(tblFleet[[#This Row],[Units]]="","",tblFleet[[#This Row],[Units]]*cfg_HoursPerDay)</f>
        <v/>
      </c>
      <c r="H651" s="66">
        <f>IF(tblFleet[[#This Row],[Units]]="","",tblFleet[[#This Row],[Calendar_h]]-tblFleet[[#This Row],[Down_h]])</f>
        <v/>
      </c>
      <c r="I651" s="60">
        <f>IF(AND(tblFleet[[#This Row],[Units]]&lt;&gt;"",tblFleet[[#This Row],[Calendar_h]]&gt;0),tblFleet[[#This Row],[Available_h]]/tblFleet[[#This Row],[Calendar_h]],"")</f>
        <v/>
      </c>
      <c r="J651" s="60">
        <f>IF(AND(tblFleet[[#This Row],[Units]]&lt;&gt;"",tblFleet[[#This Row],[Available_h]]&gt;0),tblFleet[[#This Row],[Operating_h]]/tblFleet[[#This Row],[Available_h]],"")</f>
        <v/>
      </c>
    </row>
    <row r="652">
      <c r="A652" s="54" t="n"/>
      <c r="B652" s="61" t="n"/>
      <c r="C652" s="62" t="n"/>
      <c r="D652" s="57" t="n"/>
      <c r="E652" s="57" t="n"/>
      <c r="F652" s="58" t="n"/>
      <c r="G652" s="66">
        <f>IF(tblFleet[[#This Row],[Units]]="","",tblFleet[[#This Row],[Units]]*cfg_HoursPerDay)</f>
        <v/>
      </c>
      <c r="H652" s="66">
        <f>IF(tblFleet[[#This Row],[Units]]="","",tblFleet[[#This Row],[Calendar_h]]-tblFleet[[#This Row],[Down_h]])</f>
        <v/>
      </c>
      <c r="I652" s="60">
        <f>IF(AND(tblFleet[[#This Row],[Units]]&lt;&gt;"",tblFleet[[#This Row],[Calendar_h]]&gt;0),tblFleet[[#This Row],[Available_h]]/tblFleet[[#This Row],[Calendar_h]],"")</f>
        <v/>
      </c>
      <c r="J652" s="60">
        <f>IF(AND(tblFleet[[#This Row],[Units]]&lt;&gt;"",tblFleet[[#This Row],[Available_h]]&gt;0),tblFleet[[#This Row],[Operating_h]]/tblFleet[[#This Row],[Available_h]],"")</f>
        <v/>
      </c>
    </row>
    <row r="653">
      <c r="A653" s="54" t="n"/>
      <c r="B653" s="61" t="n"/>
      <c r="C653" s="62" t="n"/>
      <c r="D653" s="57" t="n"/>
      <c r="E653" s="57" t="n"/>
      <c r="F653" s="58" t="n"/>
      <c r="G653" s="66">
        <f>IF(tblFleet[[#This Row],[Units]]="","",tblFleet[[#This Row],[Units]]*cfg_HoursPerDay)</f>
        <v/>
      </c>
      <c r="H653" s="66">
        <f>IF(tblFleet[[#This Row],[Units]]="","",tblFleet[[#This Row],[Calendar_h]]-tblFleet[[#This Row],[Down_h]])</f>
        <v/>
      </c>
      <c r="I653" s="60">
        <f>IF(AND(tblFleet[[#This Row],[Units]]&lt;&gt;"",tblFleet[[#This Row],[Calendar_h]]&gt;0),tblFleet[[#This Row],[Available_h]]/tblFleet[[#This Row],[Calendar_h]],"")</f>
        <v/>
      </c>
      <c r="J653" s="60">
        <f>IF(AND(tblFleet[[#This Row],[Units]]&lt;&gt;"",tblFleet[[#This Row],[Available_h]]&gt;0),tblFleet[[#This Row],[Operating_h]]/tblFleet[[#This Row],[Available_h]],"")</f>
        <v/>
      </c>
    </row>
    <row r="654">
      <c r="A654" s="54" t="n"/>
      <c r="B654" s="61" t="n"/>
      <c r="C654" s="62" t="n"/>
      <c r="D654" s="57" t="n"/>
      <c r="E654" s="57" t="n"/>
      <c r="F654" s="58" t="n"/>
      <c r="G654" s="66">
        <f>IF(tblFleet[[#This Row],[Units]]="","",tblFleet[[#This Row],[Units]]*cfg_HoursPerDay)</f>
        <v/>
      </c>
      <c r="H654" s="66">
        <f>IF(tblFleet[[#This Row],[Units]]="","",tblFleet[[#This Row],[Calendar_h]]-tblFleet[[#This Row],[Down_h]])</f>
        <v/>
      </c>
      <c r="I654" s="60">
        <f>IF(AND(tblFleet[[#This Row],[Units]]&lt;&gt;"",tblFleet[[#This Row],[Calendar_h]]&gt;0),tblFleet[[#This Row],[Available_h]]/tblFleet[[#This Row],[Calendar_h]],"")</f>
        <v/>
      </c>
      <c r="J654" s="60">
        <f>IF(AND(tblFleet[[#This Row],[Units]]&lt;&gt;"",tblFleet[[#This Row],[Available_h]]&gt;0),tblFleet[[#This Row],[Operating_h]]/tblFleet[[#This Row],[Available_h]],"")</f>
        <v/>
      </c>
    </row>
    <row r="655">
      <c r="A655" s="54" t="n"/>
      <c r="B655" s="61" t="n"/>
      <c r="C655" s="62" t="n"/>
      <c r="D655" s="57" t="n"/>
      <c r="E655" s="57" t="n"/>
      <c r="F655" s="58" t="n"/>
      <c r="G655" s="66">
        <f>IF(tblFleet[[#This Row],[Units]]="","",tblFleet[[#This Row],[Units]]*cfg_HoursPerDay)</f>
        <v/>
      </c>
      <c r="H655" s="66">
        <f>IF(tblFleet[[#This Row],[Units]]="","",tblFleet[[#This Row],[Calendar_h]]-tblFleet[[#This Row],[Down_h]])</f>
        <v/>
      </c>
      <c r="I655" s="60">
        <f>IF(AND(tblFleet[[#This Row],[Units]]&lt;&gt;"",tblFleet[[#This Row],[Calendar_h]]&gt;0),tblFleet[[#This Row],[Available_h]]/tblFleet[[#This Row],[Calendar_h]],"")</f>
        <v/>
      </c>
      <c r="J655" s="60">
        <f>IF(AND(tblFleet[[#This Row],[Units]]&lt;&gt;"",tblFleet[[#This Row],[Available_h]]&gt;0),tblFleet[[#This Row],[Operating_h]]/tblFleet[[#This Row],[Available_h]],"")</f>
        <v/>
      </c>
    </row>
    <row r="656">
      <c r="A656" s="54" t="n"/>
      <c r="B656" s="61" t="n"/>
      <c r="C656" s="62" t="n"/>
      <c r="D656" s="57" t="n"/>
      <c r="E656" s="57" t="n"/>
      <c r="F656" s="58" t="n"/>
      <c r="G656" s="66">
        <f>IF(tblFleet[[#This Row],[Units]]="","",tblFleet[[#This Row],[Units]]*cfg_HoursPerDay)</f>
        <v/>
      </c>
      <c r="H656" s="66">
        <f>IF(tblFleet[[#This Row],[Units]]="","",tblFleet[[#This Row],[Calendar_h]]-tblFleet[[#This Row],[Down_h]])</f>
        <v/>
      </c>
      <c r="I656" s="60">
        <f>IF(AND(tblFleet[[#This Row],[Units]]&lt;&gt;"",tblFleet[[#This Row],[Calendar_h]]&gt;0),tblFleet[[#This Row],[Available_h]]/tblFleet[[#This Row],[Calendar_h]],"")</f>
        <v/>
      </c>
      <c r="J656" s="60">
        <f>IF(AND(tblFleet[[#This Row],[Units]]&lt;&gt;"",tblFleet[[#This Row],[Available_h]]&gt;0),tblFleet[[#This Row],[Operating_h]]/tblFleet[[#This Row],[Available_h]],"")</f>
        <v/>
      </c>
    </row>
    <row r="657">
      <c r="A657" s="54" t="n"/>
      <c r="B657" s="61" t="n"/>
      <c r="C657" s="62" t="n"/>
      <c r="D657" s="57" t="n"/>
      <c r="E657" s="57" t="n"/>
      <c r="F657" s="58" t="n"/>
      <c r="G657" s="66">
        <f>IF(tblFleet[[#This Row],[Units]]="","",tblFleet[[#This Row],[Units]]*cfg_HoursPerDay)</f>
        <v/>
      </c>
      <c r="H657" s="66">
        <f>IF(tblFleet[[#This Row],[Units]]="","",tblFleet[[#This Row],[Calendar_h]]-tblFleet[[#This Row],[Down_h]])</f>
        <v/>
      </c>
      <c r="I657" s="60">
        <f>IF(AND(tblFleet[[#This Row],[Units]]&lt;&gt;"",tblFleet[[#This Row],[Calendar_h]]&gt;0),tblFleet[[#This Row],[Available_h]]/tblFleet[[#This Row],[Calendar_h]],"")</f>
        <v/>
      </c>
      <c r="J657" s="60">
        <f>IF(AND(tblFleet[[#This Row],[Units]]&lt;&gt;"",tblFleet[[#This Row],[Available_h]]&gt;0),tblFleet[[#This Row],[Operating_h]]/tblFleet[[#This Row],[Available_h]],"")</f>
        <v/>
      </c>
    </row>
    <row r="658">
      <c r="A658" s="54" t="n"/>
      <c r="B658" s="61" t="n"/>
      <c r="C658" s="62" t="n"/>
      <c r="D658" s="57" t="n"/>
      <c r="E658" s="57" t="n"/>
      <c r="F658" s="58" t="n"/>
      <c r="G658" s="66">
        <f>IF(tblFleet[[#This Row],[Units]]="","",tblFleet[[#This Row],[Units]]*cfg_HoursPerDay)</f>
        <v/>
      </c>
      <c r="H658" s="66">
        <f>IF(tblFleet[[#This Row],[Units]]="","",tblFleet[[#This Row],[Calendar_h]]-tblFleet[[#This Row],[Down_h]])</f>
        <v/>
      </c>
      <c r="I658" s="60">
        <f>IF(AND(tblFleet[[#This Row],[Units]]&lt;&gt;"",tblFleet[[#This Row],[Calendar_h]]&gt;0),tblFleet[[#This Row],[Available_h]]/tblFleet[[#This Row],[Calendar_h]],"")</f>
        <v/>
      </c>
      <c r="J658" s="60">
        <f>IF(AND(tblFleet[[#This Row],[Units]]&lt;&gt;"",tblFleet[[#This Row],[Available_h]]&gt;0),tblFleet[[#This Row],[Operating_h]]/tblFleet[[#This Row],[Available_h]],"")</f>
        <v/>
      </c>
    </row>
    <row r="659">
      <c r="A659" s="54" t="n"/>
      <c r="B659" s="61" t="n"/>
      <c r="C659" s="62" t="n"/>
      <c r="D659" s="57" t="n"/>
      <c r="E659" s="57" t="n"/>
      <c r="F659" s="58" t="n"/>
      <c r="G659" s="66">
        <f>IF(tblFleet[[#This Row],[Units]]="","",tblFleet[[#This Row],[Units]]*cfg_HoursPerDay)</f>
        <v/>
      </c>
      <c r="H659" s="66">
        <f>IF(tblFleet[[#This Row],[Units]]="","",tblFleet[[#This Row],[Calendar_h]]-tblFleet[[#This Row],[Down_h]])</f>
        <v/>
      </c>
      <c r="I659" s="60">
        <f>IF(AND(tblFleet[[#This Row],[Units]]&lt;&gt;"",tblFleet[[#This Row],[Calendar_h]]&gt;0),tblFleet[[#This Row],[Available_h]]/tblFleet[[#This Row],[Calendar_h]],"")</f>
        <v/>
      </c>
      <c r="J659" s="60">
        <f>IF(AND(tblFleet[[#This Row],[Units]]&lt;&gt;"",tblFleet[[#This Row],[Available_h]]&gt;0),tblFleet[[#This Row],[Operating_h]]/tblFleet[[#This Row],[Available_h]],"")</f>
        <v/>
      </c>
    </row>
    <row r="660">
      <c r="A660" s="54" t="n"/>
      <c r="B660" s="61" t="n"/>
      <c r="C660" s="62" t="n"/>
      <c r="D660" s="57" t="n"/>
      <c r="E660" s="57" t="n"/>
      <c r="F660" s="58" t="n"/>
      <c r="G660" s="66">
        <f>IF(tblFleet[[#This Row],[Units]]="","",tblFleet[[#This Row],[Units]]*cfg_HoursPerDay)</f>
        <v/>
      </c>
      <c r="H660" s="66">
        <f>IF(tblFleet[[#This Row],[Units]]="","",tblFleet[[#This Row],[Calendar_h]]-tblFleet[[#This Row],[Down_h]])</f>
        <v/>
      </c>
      <c r="I660" s="60">
        <f>IF(AND(tblFleet[[#This Row],[Units]]&lt;&gt;"",tblFleet[[#This Row],[Calendar_h]]&gt;0),tblFleet[[#This Row],[Available_h]]/tblFleet[[#This Row],[Calendar_h]],"")</f>
        <v/>
      </c>
      <c r="J660" s="60">
        <f>IF(AND(tblFleet[[#This Row],[Units]]&lt;&gt;"",tblFleet[[#This Row],[Available_h]]&gt;0),tblFleet[[#This Row],[Operating_h]]/tblFleet[[#This Row],[Available_h]],"")</f>
        <v/>
      </c>
    </row>
    <row r="661">
      <c r="A661" s="54" t="n"/>
      <c r="B661" s="61" t="n"/>
      <c r="C661" s="62" t="n"/>
      <c r="D661" s="57" t="n"/>
      <c r="E661" s="57" t="n"/>
      <c r="F661" s="58" t="n"/>
      <c r="G661" s="66">
        <f>IF(tblFleet[[#This Row],[Units]]="","",tblFleet[[#This Row],[Units]]*cfg_HoursPerDay)</f>
        <v/>
      </c>
      <c r="H661" s="66">
        <f>IF(tblFleet[[#This Row],[Units]]="","",tblFleet[[#This Row],[Calendar_h]]-tblFleet[[#This Row],[Down_h]])</f>
        <v/>
      </c>
      <c r="I661" s="60">
        <f>IF(AND(tblFleet[[#This Row],[Units]]&lt;&gt;"",tblFleet[[#This Row],[Calendar_h]]&gt;0),tblFleet[[#This Row],[Available_h]]/tblFleet[[#This Row],[Calendar_h]],"")</f>
        <v/>
      </c>
      <c r="J661" s="60">
        <f>IF(AND(tblFleet[[#This Row],[Units]]&lt;&gt;"",tblFleet[[#This Row],[Available_h]]&gt;0),tblFleet[[#This Row],[Operating_h]]/tblFleet[[#This Row],[Available_h]],"")</f>
        <v/>
      </c>
    </row>
    <row r="662">
      <c r="A662" s="54" t="n"/>
      <c r="B662" s="61" t="n"/>
      <c r="C662" s="62" t="n"/>
      <c r="D662" s="57" t="n"/>
      <c r="E662" s="57" t="n"/>
      <c r="F662" s="58" t="n"/>
      <c r="G662" s="66">
        <f>IF(tblFleet[[#This Row],[Units]]="","",tblFleet[[#This Row],[Units]]*cfg_HoursPerDay)</f>
        <v/>
      </c>
      <c r="H662" s="66">
        <f>IF(tblFleet[[#This Row],[Units]]="","",tblFleet[[#This Row],[Calendar_h]]-tblFleet[[#This Row],[Down_h]])</f>
        <v/>
      </c>
      <c r="I662" s="60">
        <f>IF(AND(tblFleet[[#This Row],[Units]]&lt;&gt;"",tblFleet[[#This Row],[Calendar_h]]&gt;0),tblFleet[[#This Row],[Available_h]]/tblFleet[[#This Row],[Calendar_h]],"")</f>
        <v/>
      </c>
      <c r="J662" s="60">
        <f>IF(AND(tblFleet[[#This Row],[Units]]&lt;&gt;"",tblFleet[[#This Row],[Available_h]]&gt;0),tblFleet[[#This Row],[Operating_h]]/tblFleet[[#This Row],[Available_h]],"")</f>
        <v/>
      </c>
    </row>
    <row r="663">
      <c r="A663" s="54" t="n"/>
      <c r="B663" s="61" t="n"/>
      <c r="C663" s="62" t="n"/>
      <c r="D663" s="57" t="n"/>
      <c r="E663" s="57" t="n"/>
      <c r="F663" s="58" t="n"/>
      <c r="G663" s="66">
        <f>IF(tblFleet[[#This Row],[Units]]="","",tblFleet[[#This Row],[Units]]*cfg_HoursPerDay)</f>
        <v/>
      </c>
      <c r="H663" s="66">
        <f>IF(tblFleet[[#This Row],[Units]]="","",tblFleet[[#This Row],[Calendar_h]]-tblFleet[[#This Row],[Down_h]])</f>
        <v/>
      </c>
      <c r="I663" s="60">
        <f>IF(AND(tblFleet[[#This Row],[Units]]&lt;&gt;"",tblFleet[[#This Row],[Calendar_h]]&gt;0),tblFleet[[#This Row],[Available_h]]/tblFleet[[#This Row],[Calendar_h]],"")</f>
        <v/>
      </c>
      <c r="J663" s="60">
        <f>IF(AND(tblFleet[[#This Row],[Units]]&lt;&gt;"",tblFleet[[#This Row],[Available_h]]&gt;0),tblFleet[[#This Row],[Operating_h]]/tblFleet[[#This Row],[Available_h]],"")</f>
        <v/>
      </c>
    </row>
    <row r="664">
      <c r="A664" s="54" t="n"/>
      <c r="B664" s="61" t="n"/>
      <c r="C664" s="62" t="n"/>
      <c r="D664" s="57" t="n"/>
      <c r="E664" s="57" t="n"/>
      <c r="F664" s="58" t="n"/>
      <c r="G664" s="66">
        <f>IF(tblFleet[[#This Row],[Units]]="","",tblFleet[[#This Row],[Units]]*cfg_HoursPerDay)</f>
        <v/>
      </c>
      <c r="H664" s="66">
        <f>IF(tblFleet[[#This Row],[Units]]="","",tblFleet[[#This Row],[Calendar_h]]-tblFleet[[#This Row],[Down_h]])</f>
        <v/>
      </c>
      <c r="I664" s="60">
        <f>IF(AND(tblFleet[[#This Row],[Units]]&lt;&gt;"",tblFleet[[#This Row],[Calendar_h]]&gt;0),tblFleet[[#This Row],[Available_h]]/tblFleet[[#This Row],[Calendar_h]],"")</f>
        <v/>
      </c>
      <c r="J664" s="60">
        <f>IF(AND(tblFleet[[#This Row],[Units]]&lt;&gt;"",tblFleet[[#This Row],[Available_h]]&gt;0),tblFleet[[#This Row],[Operating_h]]/tblFleet[[#This Row],[Available_h]],"")</f>
        <v/>
      </c>
    </row>
    <row r="665">
      <c r="A665" s="54" t="n"/>
      <c r="B665" s="61" t="n"/>
      <c r="C665" s="62" t="n"/>
      <c r="D665" s="57" t="n"/>
      <c r="E665" s="57" t="n"/>
      <c r="F665" s="58" t="n"/>
      <c r="G665" s="66">
        <f>IF(tblFleet[[#This Row],[Units]]="","",tblFleet[[#This Row],[Units]]*cfg_HoursPerDay)</f>
        <v/>
      </c>
      <c r="H665" s="66">
        <f>IF(tblFleet[[#This Row],[Units]]="","",tblFleet[[#This Row],[Calendar_h]]-tblFleet[[#This Row],[Down_h]])</f>
        <v/>
      </c>
      <c r="I665" s="60">
        <f>IF(AND(tblFleet[[#This Row],[Units]]&lt;&gt;"",tblFleet[[#This Row],[Calendar_h]]&gt;0),tblFleet[[#This Row],[Available_h]]/tblFleet[[#This Row],[Calendar_h]],"")</f>
        <v/>
      </c>
      <c r="J665" s="60">
        <f>IF(AND(tblFleet[[#This Row],[Units]]&lt;&gt;"",tblFleet[[#This Row],[Available_h]]&gt;0),tblFleet[[#This Row],[Operating_h]]/tblFleet[[#This Row],[Available_h]],"")</f>
        <v/>
      </c>
    </row>
    <row r="666">
      <c r="A666" s="54" t="n"/>
      <c r="B666" s="61" t="n"/>
      <c r="C666" s="62" t="n"/>
      <c r="D666" s="57" t="n"/>
      <c r="E666" s="57" t="n"/>
      <c r="F666" s="58" t="n"/>
      <c r="G666" s="66">
        <f>IF(tblFleet[[#This Row],[Units]]="","",tblFleet[[#This Row],[Units]]*cfg_HoursPerDay)</f>
        <v/>
      </c>
      <c r="H666" s="66">
        <f>IF(tblFleet[[#This Row],[Units]]="","",tblFleet[[#This Row],[Calendar_h]]-tblFleet[[#This Row],[Down_h]])</f>
        <v/>
      </c>
      <c r="I666" s="60">
        <f>IF(AND(tblFleet[[#This Row],[Units]]&lt;&gt;"",tblFleet[[#This Row],[Calendar_h]]&gt;0),tblFleet[[#This Row],[Available_h]]/tblFleet[[#This Row],[Calendar_h]],"")</f>
        <v/>
      </c>
      <c r="J666" s="60">
        <f>IF(AND(tblFleet[[#This Row],[Units]]&lt;&gt;"",tblFleet[[#This Row],[Available_h]]&gt;0),tblFleet[[#This Row],[Operating_h]]/tblFleet[[#This Row],[Available_h]],"")</f>
        <v/>
      </c>
    </row>
    <row r="667">
      <c r="A667" s="54" t="n"/>
      <c r="B667" s="61" t="n"/>
      <c r="C667" s="62" t="n"/>
      <c r="D667" s="57" t="n"/>
      <c r="E667" s="57" t="n"/>
      <c r="F667" s="58" t="n"/>
      <c r="G667" s="66">
        <f>IF(tblFleet[[#This Row],[Units]]="","",tblFleet[[#This Row],[Units]]*cfg_HoursPerDay)</f>
        <v/>
      </c>
      <c r="H667" s="66">
        <f>IF(tblFleet[[#This Row],[Units]]="","",tblFleet[[#This Row],[Calendar_h]]-tblFleet[[#This Row],[Down_h]])</f>
        <v/>
      </c>
      <c r="I667" s="60">
        <f>IF(AND(tblFleet[[#This Row],[Units]]&lt;&gt;"",tblFleet[[#This Row],[Calendar_h]]&gt;0),tblFleet[[#This Row],[Available_h]]/tblFleet[[#This Row],[Calendar_h]],"")</f>
        <v/>
      </c>
      <c r="J667" s="60">
        <f>IF(AND(tblFleet[[#This Row],[Units]]&lt;&gt;"",tblFleet[[#This Row],[Available_h]]&gt;0),tblFleet[[#This Row],[Operating_h]]/tblFleet[[#This Row],[Available_h]],"")</f>
        <v/>
      </c>
    </row>
    <row r="668">
      <c r="A668" s="54" t="n"/>
      <c r="B668" s="61" t="n"/>
      <c r="C668" s="62" t="n"/>
      <c r="D668" s="57" t="n"/>
      <c r="E668" s="57" t="n"/>
      <c r="F668" s="58" t="n"/>
      <c r="G668" s="66">
        <f>IF(tblFleet[[#This Row],[Units]]="","",tblFleet[[#This Row],[Units]]*cfg_HoursPerDay)</f>
        <v/>
      </c>
      <c r="H668" s="66">
        <f>IF(tblFleet[[#This Row],[Units]]="","",tblFleet[[#This Row],[Calendar_h]]-tblFleet[[#This Row],[Down_h]])</f>
        <v/>
      </c>
      <c r="I668" s="60">
        <f>IF(AND(tblFleet[[#This Row],[Units]]&lt;&gt;"",tblFleet[[#This Row],[Calendar_h]]&gt;0),tblFleet[[#This Row],[Available_h]]/tblFleet[[#This Row],[Calendar_h]],"")</f>
        <v/>
      </c>
      <c r="J668" s="60">
        <f>IF(AND(tblFleet[[#This Row],[Units]]&lt;&gt;"",tblFleet[[#This Row],[Available_h]]&gt;0),tblFleet[[#This Row],[Operating_h]]/tblFleet[[#This Row],[Available_h]],"")</f>
        <v/>
      </c>
    </row>
    <row r="669">
      <c r="A669" s="54" t="n"/>
      <c r="B669" s="61" t="n"/>
      <c r="C669" s="62" t="n"/>
      <c r="D669" s="57" t="n"/>
      <c r="E669" s="57" t="n"/>
      <c r="F669" s="58" t="n"/>
      <c r="G669" s="66">
        <f>IF(tblFleet[[#This Row],[Units]]="","",tblFleet[[#This Row],[Units]]*cfg_HoursPerDay)</f>
        <v/>
      </c>
      <c r="H669" s="66">
        <f>IF(tblFleet[[#This Row],[Units]]="","",tblFleet[[#This Row],[Calendar_h]]-tblFleet[[#This Row],[Down_h]])</f>
        <v/>
      </c>
      <c r="I669" s="60">
        <f>IF(AND(tblFleet[[#This Row],[Units]]&lt;&gt;"",tblFleet[[#This Row],[Calendar_h]]&gt;0),tblFleet[[#This Row],[Available_h]]/tblFleet[[#This Row],[Calendar_h]],"")</f>
        <v/>
      </c>
      <c r="J669" s="60">
        <f>IF(AND(tblFleet[[#This Row],[Units]]&lt;&gt;"",tblFleet[[#This Row],[Available_h]]&gt;0),tblFleet[[#This Row],[Operating_h]]/tblFleet[[#This Row],[Available_h]],"")</f>
        <v/>
      </c>
    </row>
    <row r="670">
      <c r="A670" s="54" t="n"/>
      <c r="B670" s="61" t="n"/>
      <c r="C670" s="62" t="n"/>
      <c r="D670" s="57" t="n"/>
      <c r="E670" s="57" t="n"/>
      <c r="F670" s="58" t="n"/>
      <c r="G670" s="66">
        <f>IF(tblFleet[[#This Row],[Units]]="","",tblFleet[[#This Row],[Units]]*cfg_HoursPerDay)</f>
        <v/>
      </c>
      <c r="H670" s="66">
        <f>IF(tblFleet[[#This Row],[Units]]="","",tblFleet[[#This Row],[Calendar_h]]-tblFleet[[#This Row],[Down_h]])</f>
        <v/>
      </c>
      <c r="I670" s="60">
        <f>IF(AND(tblFleet[[#This Row],[Units]]&lt;&gt;"",tblFleet[[#This Row],[Calendar_h]]&gt;0),tblFleet[[#This Row],[Available_h]]/tblFleet[[#This Row],[Calendar_h]],"")</f>
        <v/>
      </c>
      <c r="J670" s="60">
        <f>IF(AND(tblFleet[[#This Row],[Units]]&lt;&gt;"",tblFleet[[#This Row],[Available_h]]&gt;0),tblFleet[[#This Row],[Operating_h]]/tblFleet[[#This Row],[Available_h]],"")</f>
        <v/>
      </c>
    </row>
    <row r="671">
      <c r="A671" s="54" t="n"/>
      <c r="B671" s="61" t="n"/>
      <c r="C671" s="62" t="n"/>
      <c r="D671" s="57" t="n"/>
      <c r="E671" s="57" t="n"/>
      <c r="F671" s="58" t="n"/>
      <c r="G671" s="66">
        <f>IF(tblFleet[[#This Row],[Units]]="","",tblFleet[[#This Row],[Units]]*cfg_HoursPerDay)</f>
        <v/>
      </c>
      <c r="H671" s="66">
        <f>IF(tblFleet[[#This Row],[Units]]="","",tblFleet[[#This Row],[Calendar_h]]-tblFleet[[#This Row],[Down_h]])</f>
        <v/>
      </c>
      <c r="I671" s="60">
        <f>IF(AND(tblFleet[[#This Row],[Units]]&lt;&gt;"",tblFleet[[#This Row],[Calendar_h]]&gt;0),tblFleet[[#This Row],[Available_h]]/tblFleet[[#This Row],[Calendar_h]],"")</f>
        <v/>
      </c>
      <c r="J671" s="60">
        <f>IF(AND(tblFleet[[#This Row],[Units]]&lt;&gt;"",tblFleet[[#This Row],[Available_h]]&gt;0),tblFleet[[#This Row],[Operating_h]]/tblFleet[[#This Row],[Available_h]],"")</f>
        <v/>
      </c>
    </row>
    <row r="672">
      <c r="A672" s="54" t="n"/>
      <c r="B672" s="61" t="n"/>
      <c r="C672" s="62" t="n"/>
      <c r="D672" s="57" t="n"/>
      <c r="E672" s="57" t="n"/>
      <c r="F672" s="58" t="n"/>
      <c r="G672" s="66">
        <f>IF(tblFleet[[#This Row],[Units]]="","",tblFleet[[#This Row],[Units]]*cfg_HoursPerDay)</f>
        <v/>
      </c>
      <c r="H672" s="66">
        <f>IF(tblFleet[[#This Row],[Units]]="","",tblFleet[[#This Row],[Calendar_h]]-tblFleet[[#This Row],[Down_h]])</f>
        <v/>
      </c>
      <c r="I672" s="60">
        <f>IF(AND(tblFleet[[#This Row],[Units]]&lt;&gt;"",tblFleet[[#This Row],[Calendar_h]]&gt;0),tblFleet[[#This Row],[Available_h]]/tblFleet[[#This Row],[Calendar_h]],"")</f>
        <v/>
      </c>
      <c r="J672" s="60">
        <f>IF(AND(tblFleet[[#This Row],[Units]]&lt;&gt;"",tblFleet[[#This Row],[Available_h]]&gt;0),tblFleet[[#This Row],[Operating_h]]/tblFleet[[#This Row],[Available_h]],"")</f>
        <v/>
      </c>
    </row>
    <row r="673">
      <c r="A673" s="54" t="n"/>
      <c r="B673" s="61" t="n"/>
      <c r="C673" s="62" t="n"/>
      <c r="D673" s="57" t="n"/>
      <c r="E673" s="57" t="n"/>
      <c r="F673" s="58" t="n"/>
      <c r="G673" s="66">
        <f>IF(tblFleet[[#This Row],[Units]]="","",tblFleet[[#This Row],[Units]]*cfg_HoursPerDay)</f>
        <v/>
      </c>
      <c r="H673" s="66">
        <f>IF(tblFleet[[#This Row],[Units]]="","",tblFleet[[#This Row],[Calendar_h]]-tblFleet[[#This Row],[Down_h]])</f>
        <v/>
      </c>
      <c r="I673" s="60">
        <f>IF(AND(tblFleet[[#This Row],[Units]]&lt;&gt;"",tblFleet[[#This Row],[Calendar_h]]&gt;0),tblFleet[[#This Row],[Available_h]]/tblFleet[[#This Row],[Calendar_h]],"")</f>
        <v/>
      </c>
      <c r="J673" s="60">
        <f>IF(AND(tblFleet[[#This Row],[Units]]&lt;&gt;"",tblFleet[[#This Row],[Available_h]]&gt;0),tblFleet[[#This Row],[Operating_h]]/tblFleet[[#This Row],[Available_h]],"")</f>
        <v/>
      </c>
    </row>
    <row r="674">
      <c r="A674" s="54" t="n"/>
      <c r="B674" s="61" t="n"/>
      <c r="C674" s="62" t="n"/>
      <c r="D674" s="57" t="n"/>
      <c r="E674" s="57" t="n"/>
      <c r="F674" s="58" t="n"/>
      <c r="G674" s="66">
        <f>IF(tblFleet[[#This Row],[Units]]="","",tblFleet[[#This Row],[Units]]*cfg_HoursPerDay)</f>
        <v/>
      </c>
      <c r="H674" s="66">
        <f>IF(tblFleet[[#This Row],[Units]]="","",tblFleet[[#This Row],[Calendar_h]]-tblFleet[[#This Row],[Down_h]])</f>
        <v/>
      </c>
      <c r="I674" s="60">
        <f>IF(AND(tblFleet[[#This Row],[Units]]&lt;&gt;"",tblFleet[[#This Row],[Calendar_h]]&gt;0),tblFleet[[#This Row],[Available_h]]/tblFleet[[#This Row],[Calendar_h]],"")</f>
        <v/>
      </c>
      <c r="J674" s="60">
        <f>IF(AND(tblFleet[[#This Row],[Units]]&lt;&gt;"",tblFleet[[#This Row],[Available_h]]&gt;0),tblFleet[[#This Row],[Operating_h]]/tblFleet[[#This Row],[Available_h]],"")</f>
        <v/>
      </c>
    </row>
    <row r="675">
      <c r="A675" s="54" t="n"/>
      <c r="B675" s="61" t="n"/>
      <c r="C675" s="62" t="n"/>
      <c r="D675" s="57" t="n"/>
      <c r="E675" s="57" t="n"/>
      <c r="F675" s="58" t="n"/>
      <c r="G675" s="66">
        <f>IF(tblFleet[[#This Row],[Units]]="","",tblFleet[[#This Row],[Units]]*cfg_HoursPerDay)</f>
        <v/>
      </c>
      <c r="H675" s="66">
        <f>IF(tblFleet[[#This Row],[Units]]="","",tblFleet[[#This Row],[Calendar_h]]-tblFleet[[#This Row],[Down_h]])</f>
        <v/>
      </c>
      <c r="I675" s="60">
        <f>IF(AND(tblFleet[[#This Row],[Units]]&lt;&gt;"",tblFleet[[#This Row],[Calendar_h]]&gt;0),tblFleet[[#This Row],[Available_h]]/tblFleet[[#This Row],[Calendar_h]],"")</f>
        <v/>
      </c>
      <c r="J675" s="60">
        <f>IF(AND(tblFleet[[#This Row],[Units]]&lt;&gt;"",tblFleet[[#This Row],[Available_h]]&gt;0),tblFleet[[#This Row],[Operating_h]]/tblFleet[[#This Row],[Available_h]],"")</f>
        <v/>
      </c>
    </row>
    <row r="676">
      <c r="A676" s="54" t="n"/>
      <c r="B676" s="61" t="n"/>
      <c r="C676" s="62" t="n"/>
      <c r="D676" s="57" t="n"/>
      <c r="E676" s="57" t="n"/>
      <c r="F676" s="58" t="n"/>
      <c r="G676" s="66">
        <f>IF(tblFleet[[#This Row],[Units]]="","",tblFleet[[#This Row],[Units]]*cfg_HoursPerDay)</f>
        <v/>
      </c>
      <c r="H676" s="66">
        <f>IF(tblFleet[[#This Row],[Units]]="","",tblFleet[[#This Row],[Calendar_h]]-tblFleet[[#This Row],[Down_h]])</f>
        <v/>
      </c>
      <c r="I676" s="60">
        <f>IF(AND(tblFleet[[#This Row],[Units]]&lt;&gt;"",tblFleet[[#This Row],[Calendar_h]]&gt;0),tblFleet[[#This Row],[Available_h]]/tblFleet[[#This Row],[Calendar_h]],"")</f>
        <v/>
      </c>
      <c r="J676" s="60">
        <f>IF(AND(tblFleet[[#This Row],[Units]]&lt;&gt;"",tblFleet[[#This Row],[Available_h]]&gt;0),tblFleet[[#This Row],[Operating_h]]/tblFleet[[#This Row],[Available_h]],"")</f>
        <v/>
      </c>
    </row>
    <row r="677">
      <c r="A677" s="54" t="n"/>
      <c r="B677" s="61" t="n"/>
      <c r="C677" s="62" t="n"/>
      <c r="D677" s="57" t="n"/>
      <c r="E677" s="57" t="n"/>
      <c r="F677" s="58" t="n"/>
      <c r="G677" s="66">
        <f>IF(tblFleet[[#This Row],[Units]]="","",tblFleet[[#This Row],[Units]]*cfg_HoursPerDay)</f>
        <v/>
      </c>
      <c r="H677" s="66">
        <f>IF(tblFleet[[#This Row],[Units]]="","",tblFleet[[#This Row],[Calendar_h]]-tblFleet[[#This Row],[Down_h]])</f>
        <v/>
      </c>
      <c r="I677" s="60">
        <f>IF(AND(tblFleet[[#This Row],[Units]]&lt;&gt;"",tblFleet[[#This Row],[Calendar_h]]&gt;0),tblFleet[[#This Row],[Available_h]]/tblFleet[[#This Row],[Calendar_h]],"")</f>
        <v/>
      </c>
      <c r="J677" s="60">
        <f>IF(AND(tblFleet[[#This Row],[Units]]&lt;&gt;"",tblFleet[[#This Row],[Available_h]]&gt;0),tblFleet[[#This Row],[Operating_h]]/tblFleet[[#This Row],[Available_h]],"")</f>
        <v/>
      </c>
    </row>
    <row r="678">
      <c r="A678" s="54" t="n"/>
      <c r="B678" s="61" t="n"/>
      <c r="C678" s="62" t="n"/>
      <c r="D678" s="57" t="n"/>
      <c r="E678" s="57" t="n"/>
      <c r="F678" s="58" t="n"/>
      <c r="G678" s="66">
        <f>IF(tblFleet[[#This Row],[Units]]="","",tblFleet[[#This Row],[Units]]*cfg_HoursPerDay)</f>
        <v/>
      </c>
      <c r="H678" s="66">
        <f>IF(tblFleet[[#This Row],[Units]]="","",tblFleet[[#This Row],[Calendar_h]]-tblFleet[[#This Row],[Down_h]])</f>
        <v/>
      </c>
      <c r="I678" s="60">
        <f>IF(AND(tblFleet[[#This Row],[Units]]&lt;&gt;"",tblFleet[[#This Row],[Calendar_h]]&gt;0),tblFleet[[#This Row],[Available_h]]/tblFleet[[#This Row],[Calendar_h]],"")</f>
        <v/>
      </c>
      <c r="J678" s="60">
        <f>IF(AND(tblFleet[[#This Row],[Units]]&lt;&gt;"",tblFleet[[#This Row],[Available_h]]&gt;0),tblFleet[[#This Row],[Operating_h]]/tblFleet[[#This Row],[Available_h]],"")</f>
        <v/>
      </c>
    </row>
    <row r="679">
      <c r="A679" s="54" t="n"/>
      <c r="B679" s="61" t="n"/>
      <c r="C679" s="62" t="n"/>
      <c r="D679" s="57" t="n"/>
      <c r="E679" s="57" t="n"/>
      <c r="F679" s="58" t="n"/>
      <c r="G679" s="66">
        <f>IF(tblFleet[[#This Row],[Units]]="","",tblFleet[[#This Row],[Units]]*cfg_HoursPerDay)</f>
        <v/>
      </c>
      <c r="H679" s="66">
        <f>IF(tblFleet[[#This Row],[Units]]="","",tblFleet[[#This Row],[Calendar_h]]-tblFleet[[#This Row],[Down_h]])</f>
        <v/>
      </c>
      <c r="I679" s="60">
        <f>IF(AND(tblFleet[[#This Row],[Units]]&lt;&gt;"",tblFleet[[#This Row],[Calendar_h]]&gt;0),tblFleet[[#This Row],[Available_h]]/tblFleet[[#This Row],[Calendar_h]],"")</f>
        <v/>
      </c>
      <c r="J679" s="60">
        <f>IF(AND(tblFleet[[#This Row],[Units]]&lt;&gt;"",tblFleet[[#This Row],[Available_h]]&gt;0),tblFleet[[#This Row],[Operating_h]]/tblFleet[[#This Row],[Available_h]],"")</f>
        <v/>
      </c>
    </row>
    <row r="680">
      <c r="A680" s="54" t="n"/>
      <c r="B680" s="61" t="n"/>
      <c r="C680" s="62" t="n"/>
      <c r="D680" s="57" t="n"/>
      <c r="E680" s="57" t="n"/>
      <c r="F680" s="58" t="n"/>
      <c r="G680" s="66">
        <f>IF(tblFleet[[#This Row],[Units]]="","",tblFleet[[#This Row],[Units]]*cfg_HoursPerDay)</f>
        <v/>
      </c>
      <c r="H680" s="66">
        <f>IF(tblFleet[[#This Row],[Units]]="","",tblFleet[[#This Row],[Calendar_h]]-tblFleet[[#This Row],[Down_h]])</f>
        <v/>
      </c>
      <c r="I680" s="60">
        <f>IF(AND(tblFleet[[#This Row],[Units]]&lt;&gt;"",tblFleet[[#This Row],[Calendar_h]]&gt;0),tblFleet[[#This Row],[Available_h]]/tblFleet[[#This Row],[Calendar_h]],"")</f>
        <v/>
      </c>
      <c r="J680" s="60">
        <f>IF(AND(tblFleet[[#This Row],[Units]]&lt;&gt;"",tblFleet[[#This Row],[Available_h]]&gt;0),tblFleet[[#This Row],[Operating_h]]/tblFleet[[#This Row],[Available_h]],"")</f>
        <v/>
      </c>
    </row>
    <row r="681">
      <c r="A681" s="54" t="n"/>
      <c r="B681" s="61" t="n"/>
      <c r="C681" s="62" t="n"/>
      <c r="D681" s="57" t="n"/>
      <c r="E681" s="57" t="n"/>
      <c r="F681" s="58" t="n"/>
      <c r="G681" s="66">
        <f>IF(tblFleet[[#This Row],[Units]]="","",tblFleet[[#This Row],[Units]]*cfg_HoursPerDay)</f>
        <v/>
      </c>
      <c r="H681" s="66">
        <f>IF(tblFleet[[#This Row],[Units]]="","",tblFleet[[#This Row],[Calendar_h]]-tblFleet[[#This Row],[Down_h]])</f>
        <v/>
      </c>
      <c r="I681" s="60">
        <f>IF(AND(tblFleet[[#This Row],[Units]]&lt;&gt;"",tblFleet[[#This Row],[Calendar_h]]&gt;0),tblFleet[[#This Row],[Available_h]]/tblFleet[[#This Row],[Calendar_h]],"")</f>
        <v/>
      </c>
      <c r="J681" s="60">
        <f>IF(AND(tblFleet[[#This Row],[Units]]&lt;&gt;"",tblFleet[[#This Row],[Available_h]]&gt;0),tblFleet[[#This Row],[Operating_h]]/tblFleet[[#This Row],[Available_h]],"")</f>
        <v/>
      </c>
    </row>
    <row r="682">
      <c r="A682" s="54" t="n"/>
      <c r="B682" s="61" t="n"/>
      <c r="C682" s="62" t="n"/>
      <c r="D682" s="57" t="n"/>
      <c r="E682" s="57" t="n"/>
      <c r="F682" s="58" t="n"/>
      <c r="G682" s="66">
        <f>IF(tblFleet[[#This Row],[Units]]="","",tblFleet[[#This Row],[Units]]*cfg_HoursPerDay)</f>
        <v/>
      </c>
      <c r="H682" s="66">
        <f>IF(tblFleet[[#This Row],[Units]]="","",tblFleet[[#This Row],[Calendar_h]]-tblFleet[[#This Row],[Down_h]])</f>
        <v/>
      </c>
      <c r="I682" s="60">
        <f>IF(AND(tblFleet[[#This Row],[Units]]&lt;&gt;"",tblFleet[[#This Row],[Calendar_h]]&gt;0),tblFleet[[#This Row],[Available_h]]/tblFleet[[#This Row],[Calendar_h]],"")</f>
        <v/>
      </c>
      <c r="J682" s="60">
        <f>IF(AND(tblFleet[[#This Row],[Units]]&lt;&gt;"",tblFleet[[#This Row],[Available_h]]&gt;0),tblFleet[[#This Row],[Operating_h]]/tblFleet[[#This Row],[Available_h]],"")</f>
        <v/>
      </c>
    </row>
    <row r="683">
      <c r="A683" s="54" t="n"/>
      <c r="B683" s="61" t="n"/>
      <c r="C683" s="62" t="n"/>
      <c r="D683" s="57" t="n"/>
      <c r="E683" s="57" t="n"/>
      <c r="F683" s="58" t="n"/>
      <c r="G683" s="66">
        <f>IF(tblFleet[[#This Row],[Units]]="","",tblFleet[[#This Row],[Units]]*cfg_HoursPerDay)</f>
        <v/>
      </c>
      <c r="H683" s="66">
        <f>IF(tblFleet[[#This Row],[Units]]="","",tblFleet[[#This Row],[Calendar_h]]-tblFleet[[#This Row],[Down_h]])</f>
        <v/>
      </c>
      <c r="I683" s="60">
        <f>IF(AND(tblFleet[[#This Row],[Units]]&lt;&gt;"",tblFleet[[#This Row],[Calendar_h]]&gt;0),tblFleet[[#This Row],[Available_h]]/tblFleet[[#This Row],[Calendar_h]],"")</f>
        <v/>
      </c>
      <c r="J683" s="60">
        <f>IF(AND(tblFleet[[#This Row],[Units]]&lt;&gt;"",tblFleet[[#This Row],[Available_h]]&gt;0),tblFleet[[#This Row],[Operating_h]]/tblFleet[[#This Row],[Available_h]],"")</f>
        <v/>
      </c>
    </row>
    <row r="684">
      <c r="A684" s="54" t="n"/>
      <c r="B684" s="61" t="n"/>
      <c r="C684" s="62" t="n"/>
      <c r="D684" s="57" t="n"/>
      <c r="E684" s="57" t="n"/>
      <c r="F684" s="58" t="n"/>
      <c r="G684" s="66">
        <f>IF(tblFleet[[#This Row],[Units]]="","",tblFleet[[#This Row],[Units]]*cfg_HoursPerDay)</f>
        <v/>
      </c>
      <c r="H684" s="66">
        <f>IF(tblFleet[[#This Row],[Units]]="","",tblFleet[[#This Row],[Calendar_h]]-tblFleet[[#This Row],[Down_h]])</f>
        <v/>
      </c>
      <c r="I684" s="60">
        <f>IF(AND(tblFleet[[#This Row],[Units]]&lt;&gt;"",tblFleet[[#This Row],[Calendar_h]]&gt;0),tblFleet[[#This Row],[Available_h]]/tblFleet[[#This Row],[Calendar_h]],"")</f>
        <v/>
      </c>
      <c r="J684" s="60">
        <f>IF(AND(tblFleet[[#This Row],[Units]]&lt;&gt;"",tblFleet[[#This Row],[Available_h]]&gt;0),tblFleet[[#This Row],[Operating_h]]/tblFleet[[#This Row],[Available_h]],"")</f>
        <v/>
      </c>
    </row>
    <row r="685">
      <c r="A685" s="54" t="n"/>
      <c r="B685" s="61" t="n"/>
      <c r="C685" s="62" t="n"/>
      <c r="D685" s="57" t="n"/>
      <c r="E685" s="57" t="n"/>
      <c r="F685" s="58" t="n"/>
      <c r="G685" s="66">
        <f>IF(tblFleet[[#This Row],[Units]]="","",tblFleet[[#This Row],[Units]]*cfg_HoursPerDay)</f>
        <v/>
      </c>
      <c r="H685" s="66">
        <f>IF(tblFleet[[#This Row],[Units]]="","",tblFleet[[#This Row],[Calendar_h]]-tblFleet[[#This Row],[Down_h]])</f>
        <v/>
      </c>
      <c r="I685" s="60">
        <f>IF(AND(tblFleet[[#This Row],[Units]]&lt;&gt;"",tblFleet[[#This Row],[Calendar_h]]&gt;0),tblFleet[[#This Row],[Available_h]]/tblFleet[[#This Row],[Calendar_h]],"")</f>
        <v/>
      </c>
      <c r="J685" s="60">
        <f>IF(AND(tblFleet[[#This Row],[Units]]&lt;&gt;"",tblFleet[[#This Row],[Available_h]]&gt;0),tblFleet[[#This Row],[Operating_h]]/tblFleet[[#This Row],[Available_h]],"")</f>
        <v/>
      </c>
    </row>
    <row r="686">
      <c r="A686" s="54" t="n"/>
      <c r="B686" s="61" t="n"/>
      <c r="C686" s="62" t="n"/>
      <c r="D686" s="57" t="n"/>
      <c r="E686" s="57" t="n"/>
      <c r="F686" s="58" t="n"/>
      <c r="G686" s="66">
        <f>IF(tblFleet[[#This Row],[Units]]="","",tblFleet[[#This Row],[Units]]*cfg_HoursPerDay)</f>
        <v/>
      </c>
      <c r="H686" s="66">
        <f>IF(tblFleet[[#This Row],[Units]]="","",tblFleet[[#This Row],[Calendar_h]]-tblFleet[[#This Row],[Down_h]])</f>
        <v/>
      </c>
      <c r="I686" s="60">
        <f>IF(AND(tblFleet[[#This Row],[Units]]&lt;&gt;"",tblFleet[[#This Row],[Calendar_h]]&gt;0),tblFleet[[#This Row],[Available_h]]/tblFleet[[#This Row],[Calendar_h]],"")</f>
        <v/>
      </c>
      <c r="J686" s="60">
        <f>IF(AND(tblFleet[[#This Row],[Units]]&lt;&gt;"",tblFleet[[#This Row],[Available_h]]&gt;0),tblFleet[[#This Row],[Operating_h]]/tblFleet[[#This Row],[Available_h]],"")</f>
        <v/>
      </c>
    </row>
    <row r="687">
      <c r="A687" s="54" t="n"/>
      <c r="B687" s="61" t="n"/>
      <c r="C687" s="62" t="n"/>
      <c r="D687" s="57" t="n"/>
      <c r="E687" s="57" t="n"/>
      <c r="F687" s="58" t="n"/>
      <c r="G687" s="66">
        <f>IF(tblFleet[[#This Row],[Units]]="","",tblFleet[[#This Row],[Units]]*cfg_HoursPerDay)</f>
        <v/>
      </c>
      <c r="H687" s="66">
        <f>IF(tblFleet[[#This Row],[Units]]="","",tblFleet[[#This Row],[Calendar_h]]-tblFleet[[#This Row],[Down_h]])</f>
        <v/>
      </c>
      <c r="I687" s="60">
        <f>IF(AND(tblFleet[[#This Row],[Units]]&lt;&gt;"",tblFleet[[#This Row],[Calendar_h]]&gt;0),tblFleet[[#This Row],[Available_h]]/tblFleet[[#This Row],[Calendar_h]],"")</f>
        <v/>
      </c>
      <c r="J687" s="60">
        <f>IF(AND(tblFleet[[#This Row],[Units]]&lt;&gt;"",tblFleet[[#This Row],[Available_h]]&gt;0),tblFleet[[#This Row],[Operating_h]]/tblFleet[[#This Row],[Available_h]],"")</f>
        <v/>
      </c>
    </row>
    <row r="688">
      <c r="A688" s="54" t="n"/>
      <c r="B688" s="61" t="n"/>
      <c r="C688" s="62" t="n"/>
      <c r="D688" s="57" t="n"/>
      <c r="E688" s="57" t="n"/>
      <c r="F688" s="58" t="n"/>
      <c r="G688" s="66">
        <f>IF(tblFleet[[#This Row],[Units]]="","",tblFleet[[#This Row],[Units]]*cfg_HoursPerDay)</f>
        <v/>
      </c>
      <c r="H688" s="66">
        <f>IF(tblFleet[[#This Row],[Units]]="","",tblFleet[[#This Row],[Calendar_h]]-tblFleet[[#This Row],[Down_h]])</f>
        <v/>
      </c>
      <c r="I688" s="60">
        <f>IF(AND(tblFleet[[#This Row],[Units]]&lt;&gt;"",tblFleet[[#This Row],[Calendar_h]]&gt;0),tblFleet[[#This Row],[Available_h]]/tblFleet[[#This Row],[Calendar_h]],"")</f>
        <v/>
      </c>
      <c r="J688" s="60">
        <f>IF(AND(tblFleet[[#This Row],[Units]]&lt;&gt;"",tblFleet[[#This Row],[Available_h]]&gt;0),tblFleet[[#This Row],[Operating_h]]/tblFleet[[#This Row],[Available_h]],"")</f>
        <v/>
      </c>
    </row>
    <row r="689">
      <c r="A689" s="54" t="n"/>
      <c r="B689" s="61" t="n"/>
      <c r="C689" s="62" t="n"/>
      <c r="D689" s="57" t="n"/>
      <c r="E689" s="57" t="n"/>
      <c r="F689" s="58" t="n"/>
      <c r="G689" s="66">
        <f>IF(tblFleet[[#This Row],[Units]]="","",tblFleet[[#This Row],[Units]]*cfg_HoursPerDay)</f>
        <v/>
      </c>
      <c r="H689" s="66">
        <f>IF(tblFleet[[#This Row],[Units]]="","",tblFleet[[#This Row],[Calendar_h]]-tblFleet[[#This Row],[Down_h]])</f>
        <v/>
      </c>
      <c r="I689" s="60">
        <f>IF(AND(tblFleet[[#This Row],[Units]]&lt;&gt;"",tblFleet[[#This Row],[Calendar_h]]&gt;0),tblFleet[[#This Row],[Available_h]]/tblFleet[[#This Row],[Calendar_h]],"")</f>
        <v/>
      </c>
      <c r="J689" s="60">
        <f>IF(AND(tblFleet[[#This Row],[Units]]&lt;&gt;"",tblFleet[[#This Row],[Available_h]]&gt;0),tblFleet[[#This Row],[Operating_h]]/tblFleet[[#This Row],[Available_h]],"")</f>
        <v/>
      </c>
    </row>
    <row r="690">
      <c r="A690" s="54" t="n"/>
      <c r="B690" s="61" t="n"/>
      <c r="C690" s="62" t="n"/>
      <c r="D690" s="57" t="n"/>
      <c r="E690" s="57" t="n"/>
      <c r="F690" s="58" t="n"/>
      <c r="G690" s="66">
        <f>IF(tblFleet[[#This Row],[Units]]="","",tblFleet[[#This Row],[Units]]*cfg_HoursPerDay)</f>
        <v/>
      </c>
      <c r="H690" s="66">
        <f>IF(tblFleet[[#This Row],[Units]]="","",tblFleet[[#This Row],[Calendar_h]]-tblFleet[[#This Row],[Down_h]])</f>
        <v/>
      </c>
      <c r="I690" s="60">
        <f>IF(AND(tblFleet[[#This Row],[Units]]&lt;&gt;"",tblFleet[[#This Row],[Calendar_h]]&gt;0),tblFleet[[#This Row],[Available_h]]/tblFleet[[#This Row],[Calendar_h]],"")</f>
        <v/>
      </c>
      <c r="J690" s="60">
        <f>IF(AND(tblFleet[[#This Row],[Units]]&lt;&gt;"",tblFleet[[#This Row],[Available_h]]&gt;0),tblFleet[[#This Row],[Operating_h]]/tblFleet[[#This Row],[Available_h]],"")</f>
        <v/>
      </c>
    </row>
    <row r="691">
      <c r="A691" s="54" t="n"/>
      <c r="B691" s="61" t="n"/>
      <c r="C691" s="62" t="n"/>
      <c r="D691" s="57" t="n"/>
      <c r="E691" s="57" t="n"/>
      <c r="F691" s="58" t="n"/>
      <c r="G691" s="66">
        <f>IF(tblFleet[[#This Row],[Units]]="","",tblFleet[[#This Row],[Units]]*cfg_HoursPerDay)</f>
        <v/>
      </c>
      <c r="H691" s="66">
        <f>IF(tblFleet[[#This Row],[Units]]="","",tblFleet[[#This Row],[Calendar_h]]-tblFleet[[#This Row],[Down_h]])</f>
        <v/>
      </c>
      <c r="I691" s="60">
        <f>IF(AND(tblFleet[[#This Row],[Units]]&lt;&gt;"",tblFleet[[#This Row],[Calendar_h]]&gt;0),tblFleet[[#This Row],[Available_h]]/tblFleet[[#This Row],[Calendar_h]],"")</f>
        <v/>
      </c>
      <c r="J691" s="60">
        <f>IF(AND(tblFleet[[#This Row],[Units]]&lt;&gt;"",tblFleet[[#This Row],[Available_h]]&gt;0),tblFleet[[#This Row],[Operating_h]]/tblFleet[[#This Row],[Available_h]],"")</f>
        <v/>
      </c>
    </row>
    <row r="692">
      <c r="A692" s="54" t="n"/>
      <c r="B692" s="61" t="n"/>
      <c r="C692" s="62" t="n"/>
      <c r="D692" s="57" t="n"/>
      <c r="E692" s="57" t="n"/>
      <c r="F692" s="58" t="n"/>
      <c r="G692" s="66">
        <f>IF(tblFleet[[#This Row],[Units]]="","",tblFleet[[#This Row],[Units]]*cfg_HoursPerDay)</f>
        <v/>
      </c>
      <c r="H692" s="66">
        <f>IF(tblFleet[[#This Row],[Units]]="","",tblFleet[[#This Row],[Calendar_h]]-tblFleet[[#This Row],[Down_h]])</f>
        <v/>
      </c>
      <c r="I692" s="60">
        <f>IF(AND(tblFleet[[#This Row],[Units]]&lt;&gt;"",tblFleet[[#This Row],[Calendar_h]]&gt;0),tblFleet[[#This Row],[Available_h]]/tblFleet[[#This Row],[Calendar_h]],"")</f>
        <v/>
      </c>
      <c r="J692" s="60">
        <f>IF(AND(tblFleet[[#This Row],[Units]]&lt;&gt;"",tblFleet[[#This Row],[Available_h]]&gt;0),tblFleet[[#This Row],[Operating_h]]/tblFleet[[#This Row],[Available_h]],"")</f>
        <v/>
      </c>
    </row>
    <row r="693">
      <c r="A693" s="54" t="n"/>
      <c r="B693" s="61" t="n"/>
      <c r="C693" s="62" t="n"/>
      <c r="D693" s="57" t="n"/>
      <c r="E693" s="57" t="n"/>
      <c r="F693" s="58" t="n"/>
      <c r="G693" s="66">
        <f>IF(tblFleet[[#This Row],[Units]]="","",tblFleet[[#This Row],[Units]]*cfg_HoursPerDay)</f>
        <v/>
      </c>
      <c r="H693" s="66">
        <f>IF(tblFleet[[#This Row],[Units]]="","",tblFleet[[#This Row],[Calendar_h]]-tblFleet[[#This Row],[Down_h]])</f>
        <v/>
      </c>
      <c r="I693" s="60">
        <f>IF(AND(tblFleet[[#This Row],[Units]]&lt;&gt;"",tblFleet[[#This Row],[Calendar_h]]&gt;0),tblFleet[[#This Row],[Available_h]]/tblFleet[[#This Row],[Calendar_h]],"")</f>
        <v/>
      </c>
      <c r="J693" s="60">
        <f>IF(AND(tblFleet[[#This Row],[Units]]&lt;&gt;"",tblFleet[[#This Row],[Available_h]]&gt;0),tblFleet[[#This Row],[Operating_h]]/tblFleet[[#This Row],[Available_h]],"")</f>
        <v/>
      </c>
    </row>
    <row r="694">
      <c r="A694" s="54" t="n"/>
      <c r="B694" s="61" t="n"/>
      <c r="C694" s="62" t="n"/>
      <c r="D694" s="57" t="n"/>
      <c r="E694" s="57" t="n"/>
      <c r="F694" s="58" t="n"/>
      <c r="G694" s="66">
        <f>IF(tblFleet[[#This Row],[Units]]="","",tblFleet[[#This Row],[Units]]*cfg_HoursPerDay)</f>
        <v/>
      </c>
      <c r="H694" s="66">
        <f>IF(tblFleet[[#This Row],[Units]]="","",tblFleet[[#This Row],[Calendar_h]]-tblFleet[[#This Row],[Down_h]])</f>
        <v/>
      </c>
      <c r="I694" s="60">
        <f>IF(AND(tblFleet[[#This Row],[Units]]&lt;&gt;"",tblFleet[[#This Row],[Calendar_h]]&gt;0),tblFleet[[#This Row],[Available_h]]/tblFleet[[#This Row],[Calendar_h]],"")</f>
        <v/>
      </c>
      <c r="J694" s="60">
        <f>IF(AND(tblFleet[[#This Row],[Units]]&lt;&gt;"",tblFleet[[#This Row],[Available_h]]&gt;0),tblFleet[[#This Row],[Operating_h]]/tblFleet[[#This Row],[Available_h]],"")</f>
        <v/>
      </c>
    </row>
    <row r="695">
      <c r="A695" s="54" t="n"/>
      <c r="B695" s="61" t="n"/>
      <c r="C695" s="62" t="n"/>
      <c r="D695" s="57" t="n"/>
      <c r="E695" s="57" t="n"/>
      <c r="F695" s="58" t="n"/>
      <c r="G695" s="66">
        <f>IF(tblFleet[[#This Row],[Units]]="","",tblFleet[[#This Row],[Units]]*cfg_HoursPerDay)</f>
        <v/>
      </c>
      <c r="H695" s="66">
        <f>IF(tblFleet[[#This Row],[Units]]="","",tblFleet[[#This Row],[Calendar_h]]-tblFleet[[#This Row],[Down_h]])</f>
        <v/>
      </c>
      <c r="I695" s="60">
        <f>IF(AND(tblFleet[[#This Row],[Units]]&lt;&gt;"",tblFleet[[#This Row],[Calendar_h]]&gt;0),tblFleet[[#This Row],[Available_h]]/tblFleet[[#This Row],[Calendar_h]],"")</f>
        <v/>
      </c>
      <c r="J695" s="60">
        <f>IF(AND(tblFleet[[#This Row],[Units]]&lt;&gt;"",tblFleet[[#This Row],[Available_h]]&gt;0),tblFleet[[#This Row],[Operating_h]]/tblFleet[[#This Row],[Available_h]],"")</f>
        <v/>
      </c>
    </row>
    <row r="696">
      <c r="A696" s="54" t="n"/>
      <c r="B696" s="61" t="n"/>
      <c r="C696" s="62" t="n"/>
      <c r="D696" s="57" t="n"/>
      <c r="E696" s="57" t="n"/>
      <c r="F696" s="58" t="n"/>
      <c r="G696" s="66">
        <f>IF(tblFleet[[#This Row],[Units]]="","",tblFleet[[#This Row],[Units]]*cfg_HoursPerDay)</f>
        <v/>
      </c>
      <c r="H696" s="66">
        <f>IF(tblFleet[[#This Row],[Units]]="","",tblFleet[[#This Row],[Calendar_h]]-tblFleet[[#This Row],[Down_h]])</f>
        <v/>
      </c>
      <c r="I696" s="60">
        <f>IF(AND(tblFleet[[#This Row],[Units]]&lt;&gt;"",tblFleet[[#This Row],[Calendar_h]]&gt;0),tblFleet[[#This Row],[Available_h]]/tblFleet[[#This Row],[Calendar_h]],"")</f>
        <v/>
      </c>
      <c r="J696" s="60">
        <f>IF(AND(tblFleet[[#This Row],[Units]]&lt;&gt;"",tblFleet[[#This Row],[Available_h]]&gt;0),tblFleet[[#This Row],[Operating_h]]/tblFleet[[#This Row],[Available_h]],"")</f>
        <v/>
      </c>
    </row>
    <row r="697">
      <c r="A697" s="54" t="n"/>
      <c r="B697" s="61" t="n"/>
      <c r="C697" s="62" t="n"/>
      <c r="D697" s="57" t="n"/>
      <c r="E697" s="57" t="n"/>
      <c r="F697" s="58" t="n"/>
      <c r="G697" s="66">
        <f>IF(tblFleet[[#This Row],[Units]]="","",tblFleet[[#This Row],[Units]]*cfg_HoursPerDay)</f>
        <v/>
      </c>
      <c r="H697" s="66">
        <f>IF(tblFleet[[#This Row],[Units]]="","",tblFleet[[#This Row],[Calendar_h]]-tblFleet[[#This Row],[Down_h]])</f>
        <v/>
      </c>
      <c r="I697" s="60">
        <f>IF(AND(tblFleet[[#This Row],[Units]]&lt;&gt;"",tblFleet[[#This Row],[Calendar_h]]&gt;0),tblFleet[[#This Row],[Available_h]]/tblFleet[[#This Row],[Calendar_h]],"")</f>
        <v/>
      </c>
      <c r="J697" s="60">
        <f>IF(AND(tblFleet[[#This Row],[Units]]&lt;&gt;"",tblFleet[[#This Row],[Available_h]]&gt;0),tblFleet[[#This Row],[Operating_h]]/tblFleet[[#This Row],[Available_h]],"")</f>
        <v/>
      </c>
    </row>
    <row r="698">
      <c r="A698" s="54" t="n"/>
      <c r="B698" s="61" t="n"/>
      <c r="C698" s="62" t="n"/>
      <c r="D698" s="57" t="n"/>
      <c r="E698" s="57" t="n"/>
      <c r="F698" s="58" t="n"/>
      <c r="G698" s="66">
        <f>IF(tblFleet[[#This Row],[Units]]="","",tblFleet[[#This Row],[Units]]*cfg_HoursPerDay)</f>
        <v/>
      </c>
      <c r="H698" s="66">
        <f>IF(tblFleet[[#This Row],[Units]]="","",tblFleet[[#This Row],[Calendar_h]]-tblFleet[[#This Row],[Down_h]])</f>
        <v/>
      </c>
      <c r="I698" s="60">
        <f>IF(AND(tblFleet[[#This Row],[Units]]&lt;&gt;"",tblFleet[[#This Row],[Calendar_h]]&gt;0),tblFleet[[#This Row],[Available_h]]/tblFleet[[#This Row],[Calendar_h]],"")</f>
        <v/>
      </c>
      <c r="J698" s="60">
        <f>IF(AND(tblFleet[[#This Row],[Units]]&lt;&gt;"",tblFleet[[#This Row],[Available_h]]&gt;0),tblFleet[[#This Row],[Operating_h]]/tblFleet[[#This Row],[Available_h]],"")</f>
        <v/>
      </c>
    </row>
    <row r="699">
      <c r="A699" s="54" t="n"/>
      <c r="B699" s="61" t="n"/>
      <c r="C699" s="62" t="n"/>
      <c r="D699" s="57" t="n"/>
      <c r="E699" s="57" t="n"/>
      <c r="F699" s="58" t="n"/>
      <c r="G699" s="66">
        <f>IF(tblFleet[[#This Row],[Units]]="","",tblFleet[[#This Row],[Units]]*cfg_HoursPerDay)</f>
        <v/>
      </c>
      <c r="H699" s="66">
        <f>IF(tblFleet[[#This Row],[Units]]="","",tblFleet[[#This Row],[Calendar_h]]-tblFleet[[#This Row],[Down_h]])</f>
        <v/>
      </c>
      <c r="I699" s="60">
        <f>IF(AND(tblFleet[[#This Row],[Units]]&lt;&gt;"",tblFleet[[#This Row],[Calendar_h]]&gt;0),tblFleet[[#This Row],[Available_h]]/tblFleet[[#This Row],[Calendar_h]],"")</f>
        <v/>
      </c>
      <c r="J699" s="60">
        <f>IF(AND(tblFleet[[#This Row],[Units]]&lt;&gt;"",tblFleet[[#This Row],[Available_h]]&gt;0),tblFleet[[#This Row],[Operating_h]]/tblFleet[[#This Row],[Available_h]],"")</f>
        <v/>
      </c>
    </row>
    <row r="700">
      <c r="A700" s="54" t="n"/>
      <c r="B700" s="61" t="n"/>
      <c r="C700" s="62" t="n"/>
      <c r="D700" s="57" t="n"/>
      <c r="E700" s="57" t="n"/>
      <c r="F700" s="58" t="n"/>
      <c r="G700" s="66">
        <f>IF(tblFleet[[#This Row],[Units]]="","",tblFleet[[#This Row],[Units]]*cfg_HoursPerDay)</f>
        <v/>
      </c>
      <c r="H700" s="66">
        <f>IF(tblFleet[[#This Row],[Units]]="","",tblFleet[[#This Row],[Calendar_h]]-tblFleet[[#This Row],[Down_h]])</f>
        <v/>
      </c>
      <c r="I700" s="60">
        <f>IF(AND(tblFleet[[#This Row],[Units]]&lt;&gt;"",tblFleet[[#This Row],[Calendar_h]]&gt;0),tblFleet[[#This Row],[Available_h]]/tblFleet[[#This Row],[Calendar_h]],"")</f>
        <v/>
      </c>
      <c r="J700" s="60">
        <f>IF(AND(tblFleet[[#This Row],[Units]]&lt;&gt;"",tblFleet[[#This Row],[Available_h]]&gt;0),tblFleet[[#This Row],[Operating_h]]/tblFleet[[#This Row],[Available_h]],"")</f>
        <v/>
      </c>
    </row>
    <row r="701">
      <c r="A701" s="54" t="n"/>
      <c r="B701" s="61" t="n"/>
      <c r="C701" s="62" t="n"/>
      <c r="D701" s="57" t="n"/>
      <c r="E701" s="57" t="n"/>
      <c r="F701" s="58" t="n"/>
      <c r="G701" s="66">
        <f>IF(tblFleet[[#This Row],[Units]]="","",tblFleet[[#This Row],[Units]]*cfg_HoursPerDay)</f>
        <v/>
      </c>
      <c r="H701" s="66">
        <f>IF(tblFleet[[#This Row],[Units]]="","",tblFleet[[#This Row],[Calendar_h]]-tblFleet[[#This Row],[Down_h]])</f>
        <v/>
      </c>
      <c r="I701" s="60">
        <f>IF(AND(tblFleet[[#This Row],[Units]]&lt;&gt;"",tblFleet[[#This Row],[Calendar_h]]&gt;0),tblFleet[[#This Row],[Available_h]]/tblFleet[[#This Row],[Calendar_h]],"")</f>
        <v/>
      </c>
      <c r="J701" s="60">
        <f>IF(AND(tblFleet[[#This Row],[Units]]&lt;&gt;"",tblFleet[[#This Row],[Available_h]]&gt;0),tblFleet[[#This Row],[Operating_h]]/tblFleet[[#This Row],[Available_h]],"")</f>
        <v/>
      </c>
    </row>
    <row r="702">
      <c r="A702" s="54" t="n"/>
      <c r="B702" s="61" t="n"/>
      <c r="C702" s="62" t="n"/>
      <c r="D702" s="57" t="n"/>
      <c r="E702" s="57" t="n"/>
      <c r="F702" s="58" t="n"/>
      <c r="G702" s="66">
        <f>IF(tblFleet[[#This Row],[Units]]="","",tblFleet[[#This Row],[Units]]*cfg_HoursPerDay)</f>
        <v/>
      </c>
      <c r="H702" s="66">
        <f>IF(tblFleet[[#This Row],[Units]]="","",tblFleet[[#This Row],[Calendar_h]]-tblFleet[[#This Row],[Down_h]])</f>
        <v/>
      </c>
      <c r="I702" s="60">
        <f>IF(AND(tblFleet[[#This Row],[Units]]&lt;&gt;"",tblFleet[[#This Row],[Calendar_h]]&gt;0),tblFleet[[#This Row],[Available_h]]/tblFleet[[#This Row],[Calendar_h]],"")</f>
        <v/>
      </c>
      <c r="J702" s="60">
        <f>IF(AND(tblFleet[[#This Row],[Units]]&lt;&gt;"",tblFleet[[#This Row],[Available_h]]&gt;0),tblFleet[[#This Row],[Operating_h]]/tblFleet[[#This Row],[Available_h]],"")</f>
        <v/>
      </c>
    </row>
    <row r="703">
      <c r="A703" s="54" t="n"/>
      <c r="B703" s="61" t="n"/>
      <c r="C703" s="62" t="n"/>
      <c r="D703" s="57" t="n"/>
      <c r="E703" s="57" t="n"/>
      <c r="F703" s="58" t="n"/>
      <c r="G703" s="66">
        <f>IF(tblFleet[[#This Row],[Units]]="","",tblFleet[[#This Row],[Units]]*cfg_HoursPerDay)</f>
        <v/>
      </c>
      <c r="H703" s="66">
        <f>IF(tblFleet[[#This Row],[Units]]="","",tblFleet[[#This Row],[Calendar_h]]-tblFleet[[#This Row],[Down_h]])</f>
        <v/>
      </c>
      <c r="I703" s="60">
        <f>IF(AND(tblFleet[[#This Row],[Units]]&lt;&gt;"",tblFleet[[#This Row],[Calendar_h]]&gt;0),tblFleet[[#This Row],[Available_h]]/tblFleet[[#This Row],[Calendar_h]],"")</f>
        <v/>
      </c>
      <c r="J703" s="60">
        <f>IF(AND(tblFleet[[#This Row],[Units]]&lt;&gt;"",tblFleet[[#This Row],[Available_h]]&gt;0),tblFleet[[#This Row],[Operating_h]]/tblFleet[[#This Row],[Available_h]],"")</f>
        <v/>
      </c>
    </row>
    <row r="704">
      <c r="A704" s="54" t="n"/>
      <c r="B704" s="61" t="n"/>
      <c r="C704" s="62" t="n"/>
      <c r="D704" s="57" t="n"/>
      <c r="E704" s="57" t="n"/>
      <c r="F704" s="58" t="n"/>
      <c r="G704" s="66">
        <f>IF(tblFleet[[#This Row],[Units]]="","",tblFleet[[#This Row],[Units]]*cfg_HoursPerDay)</f>
        <v/>
      </c>
      <c r="H704" s="66">
        <f>IF(tblFleet[[#This Row],[Units]]="","",tblFleet[[#This Row],[Calendar_h]]-tblFleet[[#This Row],[Down_h]])</f>
        <v/>
      </c>
      <c r="I704" s="60">
        <f>IF(AND(tblFleet[[#This Row],[Units]]&lt;&gt;"",tblFleet[[#This Row],[Calendar_h]]&gt;0),tblFleet[[#This Row],[Available_h]]/tblFleet[[#This Row],[Calendar_h]],"")</f>
        <v/>
      </c>
      <c r="J704" s="60">
        <f>IF(AND(tblFleet[[#This Row],[Units]]&lt;&gt;"",tblFleet[[#This Row],[Available_h]]&gt;0),tblFleet[[#This Row],[Operating_h]]/tblFleet[[#This Row],[Available_h]],"")</f>
        <v/>
      </c>
    </row>
    <row r="705">
      <c r="A705" s="54" t="n"/>
      <c r="B705" s="61" t="n"/>
      <c r="C705" s="62" t="n"/>
      <c r="D705" s="57" t="n"/>
      <c r="E705" s="57" t="n"/>
      <c r="F705" s="58" t="n"/>
      <c r="G705" s="66">
        <f>IF(tblFleet[[#This Row],[Units]]="","",tblFleet[[#This Row],[Units]]*cfg_HoursPerDay)</f>
        <v/>
      </c>
      <c r="H705" s="66">
        <f>IF(tblFleet[[#This Row],[Units]]="","",tblFleet[[#This Row],[Calendar_h]]-tblFleet[[#This Row],[Down_h]])</f>
        <v/>
      </c>
      <c r="I705" s="60">
        <f>IF(AND(tblFleet[[#This Row],[Units]]&lt;&gt;"",tblFleet[[#This Row],[Calendar_h]]&gt;0),tblFleet[[#This Row],[Available_h]]/tblFleet[[#This Row],[Calendar_h]],"")</f>
        <v/>
      </c>
      <c r="J705" s="60">
        <f>IF(AND(tblFleet[[#This Row],[Units]]&lt;&gt;"",tblFleet[[#This Row],[Available_h]]&gt;0),tblFleet[[#This Row],[Operating_h]]/tblFleet[[#This Row],[Available_h]],"")</f>
        <v/>
      </c>
    </row>
    <row r="706">
      <c r="A706" s="54" t="n"/>
      <c r="B706" s="61" t="n"/>
      <c r="C706" s="62" t="n"/>
      <c r="D706" s="57" t="n"/>
      <c r="E706" s="57" t="n"/>
      <c r="F706" s="58" t="n"/>
      <c r="G706" s="66">
        <f>IF(tblFleet[[#This Row],[Units]]="","",tblFleet[[#This Row],[Units]]*cfg_HoursPerDay)</f>
        <v/>
      </c>
      <c r="H706" s="66">
        <f>IF(tblFleet[[#This Row],[Units]]="","",tblFleet[[#This Row],[Calendar_h]]-tblFleet[[#This Row],[Down_h]])</f>
        <v/>
      </c>
      <c r="I706" s="60">
        <f>IF(AND(tblFleet[[#This Row],[Units]]&lt;&gt;"",tblFleet[[#This Row],[Calendar_h]]&gt;0),tblFleet[[#This Row],[Available_h]]/tblFleet[[#This Row],[Calendar_h]],"")</f>
        <v/>
      </c>
      <c r="J706" s="60">
        <f>IF(AND(tblFleet[[#This Row],[Units]]&lt;&gt;"",tblFleet[[#This Row],[Available_h]]&gt;0),tblFleet[[#This Row],[Operating_h]]/tblFleet[[#This Row],[Available_h]],"")</f>
        <v/>
      </c>
    </row>
    <row r="707">
      <c r="A707" s="54" t="n"/>
      <c r="B707" s="61" t="n"/>
      <c r="C707" s="62" t="n"/>
      <c r="D707" s="57" t="n"/>
      <c r="E707" s="57" t="n"/>
      <c r="F707" s="58" t="n"/>
      <c r="G707" s="66">
        <f>IF(tblFleet[[#This Row],[Units]]="","",tblFleet[[#This Row],[Units]]*cfg_HoursPerDay)</f>
        <v/>
      </c>
      <c r="H707" s="66">
        <f>IF(tblFleet[[#This Row],[Units]]="","",tblFleet[[#This Row],[Calendar_h]]-tblFleet[[#This Row],[Down_h]])</f>
        <v/>
      </c>
      <c r="I707" s="60">
        <f>IF(AND(tblFleet[[#This Row],[Units]]&lt;&gt;"",tblFleet[[#This Row],[Calendar_h]]&gt;0),tblFleet[[#This Row],[Available_h]]/tblFleet[[#This Row],[Calendar_h]],"")</f>
        <v/>
      </c>
      <c r="J707" s="60">
        <f>IF(AND(tblFleet[[#This Row],[Units]]&lt;&gt;"",tblFleet[[#This Row],[Available_h]]&gt;0),tblFleet[[#This Row],[Operating_h]]/tblFleet[[#This Row],[Available_h]],"")</f>
        <v/>
      </c>
    </row>
    <row r="708">
      <c r="A708" s="54" t="n"/>
      <c r="B708" s="61" t="n"/>
      <c r="C708" s="62" t="n"/>
      <c r="D708" s="57" t="n"/>
      <c r="E708" s="57" t="n"/>
      <c r="F708" s="58" t="n"/>
      <c r="G708" s="66">
        <f>IF(tblFleet[[#This Row],[Units]]="","",tblFleet[[#This Row],[Units]]*cfg_HoursPerDay)</f>
        <v/>
      </c>
      <c r="H708" s="66">
        <f>IF(tblFleet[[#This Row],[Units]]="","",tblFleet[[#This Row],[Calendar_h]]-tblFleet[[#This Row],[Down_h]])</f>
        <v/>
      </c>
      <c r="I708" s="60">
        <f>IF(AND(tblFleet[[#This Row],[Units]]&lt;&gt;"",tblFleet[[#This Row],[Calendar_h]]&gt;0),tblFleet[[#This Row],[Available_h]]/tblFleet[[#This Row],[Calendar_h]],"")</f>
        <v/>
      </c>
      <c r="J708" s="60">
        <f>IF(AND(tblFleet[[#This Row],[Units]]&lt;&gt;"",tblFleet[[#This Row],[Available_h]]&gt;0),tblFleet[[#This Row],[Operating_h]]/tblFleet[[#This Row],[Available_h]],"")</f>
        <v/>
      </c>
    </row>
    <row r="709">
      <c r="A709" s="54" t="n"/>
      <c r="B709" s="61" t="n"/>
      <c r="C709" s="62" t="n"/>
      <c r="D709" s="57" t="n"/>
      <c r="E709" s="57" t="n"/>
      <c r="F709" s="58" t="n"/>
      <c r="G709" s="66">
        <f>IF(tblFleet[[#This Row],[Units]]="","",tblFleet[[#This Row],[Units]]*cfg_HoursPerDay)</f>
        <v/>
      </c>
      <c r="H709" s="66">
        <f>IF(tblFleet[[#This Row],[Units]]="","",tblFleet[[#This Row],[Calendar_h]]-tblFleet[[#This Row],[Down_h]])</f>
        <v/>
      </c>
      <c r="I709" s="60">
        <f>IF(AND(tblFleet[[#This Row],[Units]]&lt;&gt;"",tblFleet[[#This Row],[Calendar_h]]&gt;0),tblFleet[[#This Row],[Available_h]]/tblFleet[[#This Row],[Calendar_h]],"")</f>
        <v/>
      </c>
      <c r="J709" s="60">
        <f>IF(AND(tblFleet[[#This Row],[Units]]&lt;&gt;"",tblFleet[[#This Row],[Available_h]]&gt;0),tblFleet[[#This Row],[Operating_h]]/tblFleet[[#This Row],[Available_h]],"")</f>
        <v/>
      </c>
    </row>
    <row r="710">
      <c r="A710" s="54" t="n"/>
      <c r="B710" s="61" t="n"/>
      <c r="C710" s="62" t="n"/>
      <c r="D710" s="57" t="n"/>
      <c r="E710" s="57" t="n"/>
      <c r="F710" s="58" t="n"/>
      <c r="G710" s="66">
        <f>IF(tblFleet[[#This Row],[Units]]="","",tblFleet[[#This Row],[Units]]*cfg_HoursPerDay)</f>
        <v/>
      </c>
      <c r="H710" s="66">
        <f>IF(tblFleet[[#This Row],[Units]]="","",tblFleet[[#This Row],[Calendar_h]]-tblFleet[[#This Row],[Down_h]])</f>
        <v/>
      </c>
      <c r="I710" s="60">
        <f>IF(AND(tblFleet[[#This Row],[Units]]&lt;&gt;"",tblFleet[[#This Row],[Calendar_h]]&gt;0),tblFleet[[#This Row],[Available_h]]/tblFleet[[#This Row],[Calendar_h]],"")</f>
        <v/>
      </c>
      <c r="J710" s="60">
        <f>IF(AND(tblFleet[[#This Row],[Units]]&lt;&gt;"",tblFleet[[#This Row],[Available_h]]&gt;0),tblFleet[[#This Row],[Operating_h]]/tblFleet[[#This Row],[Available_h]],"")</f>
        <v/>
      </c>
    </row>
    <row r="711">
      <c r="A711" s="54" t="n"/>
      <c r="B711" s="61" t="n"/>
      <c r="C711" s="62" t="n"/>
      <c r="D711" s="57" t="n"/>
      <c r="E711" s="57" t="n"/>
      <c r="F711" s="58" t="n"/>
      <c r="G711" s="66">
        <f>IF(tblFleet[[#This Row],[Units]]="","",tblFleet[[#This Row],[Units]]*cfg_HoursPerDay)</f>
        <v/>
      </c>
      <c r="H711" s="66">
        <f>IF(tblFleet[[#This Row],[Units]]="","",tblFleet[[#This Row],[Calendar_h]]-tblFleet[[#This Row],[Down_h]])</f>
        <v/>
      </c>
      <c r="I711" s="60">
        <f>IF(AND(tblFleet[[#This Row],[Units]]&lt;&gt;"",tblFleet[[#This Row],[Calendar_h]]&gt;0),tblFleet[[#This Row],[Available_h]]/tblFleet[[#This Row],[Calendar_h]],"")</f>
        <v/>
      </c>
      <c r="J711" s="60">
        <f>IF(AND(tblFleet[[#This Row],[Units]]&lt;&gt;"",tblFleet[[#This Row],[Available_h]]&gt;0),tblFleet[[#This Row],[Operating_h]]/tblFleet[[#This Row],[Available_h]],"")</f>
        <v/>
      </c>
    </row>
    <row r="712">
      <c r="A712" s="54" t="n"/>
      <c r="B712" s="61" t="n"/>
      <c r="C712" s="62" t="n"/>
      <c r="D712" s="57" t="n"/>
      <c r="E712" s="57" t="n"/>
      <c r="F712" s="58" t="n"/>
      <c r="G712" s="66">
        <f>IF(tblFleet[[#This Row],[Units]]="","",tblFleet[[#This Row],[Units]]*cfg_HoursPerDay)</f>
        <v/>
      </c>
      <c r="H712" s="66">
        <f>IF(tblFleet[[#This Row],[Units]]="","",tblFleet[[#This Row],[Calendar_h]]-tblFleet[[#This Row],[Down_h]])</f>
        <v/>
      </c>
      <c r="I712" s="60">
        <f>IF(AND(tblFleet[[#This Row],[Units]]&lt;&gt;"",tblFleet[[#This Row],[Calendar_h]]&gt;0),tblFleet[[#This Row],[Available_h]]/tblFleet[[#This Row],[Calendar_h]],"")</f>
        <v/>
      </c>
      <c r="J712" s="60">
        <f>IF(AND(tblFleet[[#This Row],[Units]]&lt;&gt;"",tblFleet[[#This Row],[Available_h]]&gt;0),tblFleet[[#This Row],[Operating_h]]/tblFleet[[#This Row],[Available_h]],"")</f>
        <v/>
      </c>
    </row>
    <row r="713">
      <c r="A713" s="54" t="n"/>
      <c r="B713" s="61" t="n"/>
      <c r="C713" s="62" t="n"/>
      <c r="D713" s="57" t="n"/>
      <c r="E713" s="57" t="n"/>
      <c r="F713" s="58" t="n"/>
      <c r="G713" s="66">
        <f>IF(tblFleet[[#This Row],[Units]]="","",tblFleet[[#This Row],[Units]]*cfg_HoursPerDay)</f>
        <v/>
      </c>
      <c r="H713" s="66">
        <f>IF(tblFleet[[#This Row],[Units]]="","",tblFleet[[#This Row],[Calendar_h]]-tblFleet[[#This Row],[Down_h]])</f>
        <v/>
      </c>
      <c r="I713" s="60">
        <f>IF(AND(tblFleet[[#This Row],[Units]]&lt;&gt;"",tblFleet[[#This Row],[Calendar_h]]&gt;0),tblFleet[[#This Row],[Available_h]]/tblFleet[[#This Row],[Calendar_h]],"")</f>
        <v/>
      </c>
      <c r="J713" s="60">
        <f>IF(AND(tblFleet[[#This Row],[Units]]&lt;&gt;"",tblFleet[[#This Row],[Available_h]]&gt;0),tblFleet[[#This Row],[Operating_h]]/tblFleet[[#This Row],[Available_h]],"")</f>
        <v/>
      </c>
    </row>
    <row r="714">
      <c r="A714" s="54" t="n"/>
      <c r="B714" s="61" t="n"/>
      <c r="C714" s="62" t="n"/>
      <c r="D714" s="57" t="n"/>
      <c r="E714" s="57" t="n"/>
      <c r="F714" s="58" t="n"/>
      <c r="G714" s="66">
        <f>IF(tblFleet[[#This Row],[Units]]="","",tblFleet[[#This Row],[Units]]*cfg_HoursPerDay)</f>
        <v/>
      </c>
      <c r="H714" s="66">
        <f>IF(tblFleet[[#This Row],[Units]]="","",tblFleet[[#This Row],[Calendar_h]]-tblFleet[[#This Row],[Down_h]])</f>
        <v/>
      </c>
      <c r="I714" s="60">
        <f>IF(AND(tblFleet[[#This Row],[Units]]&lt;&gt;"",tblFleet[[#This Row],[Calendar_h]]&gt;0),tblFleet[[#This Row],[Available_h]]/tblFleet[[#This Row],[Calendar_h]],"")</f>
        <v/>
      </c>
      <c r="J714" s="60">
        <f>IF(AND(tblFleet[[#This Row],[Units]]&lt;&gt;"",tblFleet[[#This Row],[Available_h]]&gt;0),tblFleet[[#This Row],[Operating_h]]/tblFleet[[#This Row],[Available_h]],"")</f>
        <v/>
      </c>
    </row>
    <row r="715">
      <c r="A715" s="54" t="n"/>
      <c r="B715" s="61" t="n"/>
      <c r="C715" s="62" t="n"/>
      <c r="D715" s="57" t="n"/>
      <c r="E715" s="57" t="n"/>
      <c r="F715" s="58" t="n"/>
      <c r="G715" s="66">
        <f>IF(tblFleet[[#This Row],[Units]]="","",tblFleet[[#This Row],[Units]]*cfg_HoursPerDay)</f>
        <v/>
      </c>
      <c r="H715" s="66">
        <f>IF(tblFleet[[#This Row],[Units]]="","",tblFleet[[#This Row],[Calendar_h]]-tblFleet[[#This Row],[Down_h]])</f>
        <v/>
      </c>
      <c r="I715" s="60">
        <f>IF(AND(tblFleet[[#This Row],[Units]]&lt;&gt;"",tblFleet[[#This Row],[Calendar_h]]&gt;0),tblFleet[[#This Row],[Available_h]]/tblFleet[[#This Row],[Calendar_h]],"")</f>
        <v/>
      </c>
      <c r="J715" s="60">
        <f>IF(AND(tblFleet[[#This Row],[Units]]&lt;&gt;"",tblFleet[[#This Row],[Available_h]]&gt;0),tblFleet[[#This Row],[Operating_h]]/tblFleet[[#This Row],[Available_h]],"")</f>
        <v/>
      </c>
    </row>
    <row r="716">
      <c r="A716" s="54" t="n"/>
      <c r="B716" s="61" t="n"/>
      <c r="C716" s="62" t="n"/>
      <c r="D716" s="57" t="n"/>
      <c r="E716" s="57" t="n"/>
      <c r="F716" s="58" t="n"/>
      <c r="G716" s="66">
        <f>IF(tblFleet[[#This Row],[Units]]="","",tblFleet[[#This Row],[Units]]*cfg_HoursPerDay)</f>
        <v/>
      </c>
      <c r="H716" s="66">
        <f>IF(tblFleet[[#This Row],[Units]]="","",tblFleet[[#This Row],[Calendar_h]]-tblFleet[[#This Row],[Down_h]])</f>
        <v/>
      </c>
      <c r="I716" s="60">
        <f>IF(AND(tblFleet[[#This Row],[Units]]&lt;&gt;"",tblFleet[[#This Row],[Calendar_h]]&gt;0),tblFleet[[#This Row],[Available_h]]/tblFleet[[#This Row],[Calendar_h]],"")</f>
        <v/>
      </c>
      <c r="J716" s="60">
        <f>IF(AND(tblFleet[[#This Row],[Units]]&lt;&gt;"",tblFleet[[#This Row],[Available_h]]&gt;0),tblFleet[[#This Row],[Operating_h]]/tblFleet[[#This Row],[Available_h]],"")</f>
        <v/>
      </c>
    </row>
    <row r="717">
      <c r="A717" s="54" t="n"/>
      <c r="B717" s="61" t="n"/>
      <c r="C717" s="62" t="n"/>
      <c r="D717" s="57" t="n"/>
      <c r="E717" s="57" t="n"/>
      <c r="F717" s="58" t="n"/>
      <c r="G717" s="66">
        <f>IF(tblFleet[[#This Row],[Units]]="","",tblFleet[[#This Row],[Units]]*cfg_HoursPerDay)</f>
        <v/>
      </c>
      <c r="H717" s="66">
        <f>IF(tblFleet[[#This Row],[Units]]="","",tblFleet[[#This Row],[Calendar_h]]-tblFleet[[#This Row],[Down_h]])</f>
        <v/>
      </c>
      <c r="I717" s="60">
        <f>IF(AND(tblFleet[[#This Row],[Units]]&lt;&gt;"",tblFleet[[#This Row],[Calendar_h]]&gt;0),tblFleet[[#This Row],[Available_h]]/tblFleet[[#This Row],[Calendar_h]],"")</f>
        <v/>
      </c>
      <c r="J717" s="60">
        <f>IF(AND(tblFleet[[#This Row],[Units]]&lt;&gt;"",tblFleet[[#This Row],[Available_h]]&gt;0),tblFleet[[#This Row],[Operating_h]]/tblFleet[[#This Row],[Available_h]],"")</f>
        <v/>
      </c>
    </row>
    <row r="718">
      <c r="A718" s="54" t="n"/>
      <c r="B718" s="61" t="n"/>
      <c r="C718" s="62" t="n"/>
      <c r="D718" s="57" t="n"/>
      <c r="E718" s="57" t="n"/>
      <c r="F718" s="58" t="n"/>
      <c r="G718" s="66">
        <f>IF(tblFleet[[#This Row],[Units]]="","",tblFleet[[#This Row],[Units]]*cfg_HoursPerDay)</f>
        <v/>
      </c>
      <c r="H718" s="66">
        <f>IF(tblFleet[[#This Row],[Units]]="","",tblFleet[[#This Row],[Calendar_h]]-tblFleet[[#This Row],[Down_h]])</f>
        <v/>
      </c>
      <c r="I718" s="60">
        <f>IF(AND(tblFleet[[#This Row],[Units]]&lt;&gt;"",tblFleet[[#This Row],[Calendar_h]]&gt;0),tblFleet[[#This Row],[Available_h]]/tblFleet[[#This Row],[Calendar_h]],"")</f>
        <v/>
      </c>
      <c r="J718" s="60">
        <f>IF(AND(tblFleet[[#This Row],[Units]]&lt;&gt;"",tblFleet[[#This Row],[Available_h]]&gt;0),tblFleet[[#This Row],[Operating_h]]/tblFleet[[#This Row],[Available_h]],"")</f>
        <v/>
      </c>
    </row>
    <row r="719">
      <c r="A719" s="54" t="n"/>
      <c r="B719" s="61" t="n"/>
      <c r="C719" s="62" t="n"/>
      <c r="D719" s="57" t="n"/>
      <c r="E719" s="57" t="n"/>
      <c r="F719" s="58" t="n"/>
      <c r="G719" s="66">
        <f>IF(tblFleet[[#This Row],[Units]]="","",tblFleet[[#This Row],[Units]]*cfg_HoursPerDay)</f>
        <v/>
      </c>
      <c r="H719" s="66">
        <f>IF(tblFleet[[#This Row],[Units]]="","",tblFleet[[#This Row],[Calendar_h]]-tblFleet[[#This Row],[Down_h]])</f>
        <v/>
      </c>
      <c r="I719" s="60">
        <f>IF(AND(tblFleet[[#This Row],[Units]]&lt;&gt;"",tblFleet[[#This Row],[Calendar_h]]&gt;0),tblFleet[[#This Row],[Available_h]]/tblFleet[[#This Row],[Calendar_h]],"")</f>
        <v/>
      </c>
      <c r="J719" s="60">
        <f>IF(AND(tblFleet[[#This Row],[Units]]&lt;&gt;"",tblFleet[[#This Row],[Available_h]]&gt;0),tblFleet[[#This Row],[Operating_h]]/tblFleet[[#This Row],[Available_h]],"")</f>
        <v/>
      </c>
    </row>
    <row r="720">
      <c r="A720" s="54" t="n"/>
      <c r="B720" s="61" t="n"/>
      <c r="C720" s="62" t="n"/>
      <c r="D720" s="57" t="n"/>
      <c r="E720" s="57" t="n"/>
      <c r="F720" s="58" t="n"/>
      <c r="G720" s="66">
        <f>IF(tblFleet[[#This Row],[Units]]="","",tblFleet[[#This Row],[Units]]*cfg_HoursPerDay)</f>
        <v/>
      </c>
      <c r="H720" s="66">
        <f>IF(tblFleet[[#This Row],[Units]]="","",tblFleet[[#This Row],[Calendar_h]]-tblFleet[[#This Row],[Down_h]])</f>
        <v/>
      </c>
      <c r="I720" s="60">
        <f>IF(AND(tblFleet[[#This Row],[Units]]&lt;&gt;"",tblFleet[[#This Row],[Calendar_h]]&gt;0),tblFleet[[#This Row],[Available_h]]/tblFleet[[#This Row],[Calendar_h]],"")</f>
        <v/>
      </c>
      <c r="J720" s="60">
        <f>IF(AND(tblFleet[[#This Row],[Units]]&lt;&gt;"",tblFleet[[#This Row],[Available_h]]&gt;0),tblFleet[[#This Row],[Operating_h]]/tblFleet[[#This Row],[Available_h]],"")</f>
        <v/>
      </c>
    </row>
    <row r="721">
      <c r="A721" s="54" t="n"/>
      <c r="B721" s="61" t="n"/>
      <c r="C721" s="62" t="n"/>
      <c r="D721" s="57" t="n"/>
      <c r="E721" s="57" t="n"/>
      <c r="F721" s="58" t="n"/>
      <c r="G721" s="66">
        <f>IF(tblFleet[[#This Row],[Units]]="","",tblFleet[[#This Row],[Units]]*cfg_HoursPerDay)</f>
        <v/>
      </c>
      <c r="H721" s="66">
        <f>IF(tblFleet[[#This Row],[Units]]="","",tblFleet[[#This Row],[Calendar_h]]-tblFleet[[#This Row],[Down_h]])</f>
        <v/>
      </c>
      <c r="I721" s="60">
        <f>IF(AND(tblFleet[[#This Row],[Units]]&lt;&gt;"",tblFleet[[#This Row],[Calendar_h]]&gt;0),tblFleet[[#This Row],[Available_h]]/tblFleet[[#This Row],[Calendar_h]],"")</f>
        <v/>
      </c>
      <c r="J721" s="60">
        <f>IF(AND(tblFleet[[#This Row],[Units]]&lt;&gt;"",tblFleet[[#This Row],[Available_h]]&gt;0),tblFleet[[#This Row],[Operating_h]]/tblFleet[[#This Row],[Available_h]],"")</f>
        <v/>
      </c>
    </row>
    <row r="722">
      <c r="A722" s="54" t="n"/>
      <c r="B722" s="61" t="n"/>
      <c r="C722" s="62" t="n"/>
      <c r="D722" s="57" t="n"/>
      <c r="E722" s="57" t="n"/>
      <c r="F722" s="58" t="n"/>
      <c r="G722" s="66">
        <f>IF(tblFleet[[#This Row],[Units]]="","",tblFleet[[#This Row],[Units]]*cfg_HoursPerDay)</f>
        <v/>
      </c>
      <c r="H722" s="66">
        <f>IF(tblFleet[[#This Row],[Units]]="","",tblFleet[[#This Row],[Calendar_h]]-tblFleet[[#This Row],[Down_h]])</f>
        <v/>
      </c>
      <c r="I722" s="60">
        <f>IF(AND(tblFleet[[#This Row],[Units]]&lt;&gt;"",tblFleet[[#This Row],[Calendar_h]]&gt;0),tblFleet[[#This Row],[Available_h]]/tblFleet[[#This Row],[Calendar_h]],"")</f>
        <v/>
      </c>
      <c r="J722" s="60">
        <f>IF(AND(tblFleet[[#This Row],[Units]]&lt;&gt;"",tblFleet[[#This Row],[Available_h]]&gt;0),tblFleet[[#This Row],[Operating_h]]/tblFleet[[#This Row],[Available_h]],"")</f>
        <v/>
      </c>
    </row>
    <row r="723">
      <c r="A723" s="54" t="n"/>
      <c r="B723" s="61" t="n"/>
      <c r="C723" s="62" t="n"/>
      <c r="D723" s="57" t="n"/>
      <c r="E723" s="57" t="n"/>
      <c r="F723" s="58" t="n"/>
      <c r="G723" s="66">
        <f>IF(tblFleet[[#This Row],[Units]]="","",tblFleet[[#This Row],[Units]]*cfg_HoursPerDay)</f>
        <v/>
      </c>
      <c r="H723" s="66">
        <f>IF(tblFleet[[#This Row],[Units]]="","",tblFleet[[#This Row],[Calendar_h]]-tblFleet[[#This Row],[Down_h]])</f>
        <v/>
      </c>
      <c r="I723" s="60">
        <f>IF(AND(tblFleet[[#This Row],[Units]]&lt;&gt;"",tblFleet[[#This Row],[Calendar_h]]&gt;0),tblFleet[[#This Row],[Available_h]]/tblFleet[[#This Row],[Calendar_h]],"")</f>
        <v/>
      </c>
      <c r="J723" s="60">
        <f>IF(AND(tblFleet[[#This Row],[Units]]&lt;&gt;"",tblFleet[[#This Row],[Available_h]]&gt;0),tblFleet[[#This Row],[Operating_h]]/tblFleet[[#This Row],[Available_h]],"")</f>
        <v/>
      </c>
    </row>
    <row r="724">
      <c r="A724" s="54" t="n"/>
      <c r="B724" s="61" t="n"/>
      <c r="C724" s="62" t="n"/>
      <c r="D724" s="57" t="n"/>
      <c r="E724" s="57" t="n"/>
      <c r="F724" s="58" t="n"/>
      <c r="G724" s="66">
        <f>IF(tblFleet[[#This Row],[Units]]="","",tblFleet[[#This Row],[Units]]*cfg_HoursPerDay)</f>
        <v/>
      </c>
      <c r="H724" s="66">
        <f>IF(tblFleet[[#This Row],[Units]]="","",tblFleet[[#This Row],[Calendar_h]]-tblFleet[[#This Row],[Down_h]])</f>
        <v/>
      </c>
      <c r="I724" s="60">
        <f>IF(AND(tblFleet[[#This Row],[Units]]&lt;&gt;"",tblFleet[[#This Row],[Calendar_h]]&gt;0),tblFleet[[#This Row],[Available_h]]/tblFleet[[#This Row],[Calendar_h]],"")</f>
        <v/>
      </c>
      <c r="J724" s="60">
        <f>IF(AND(tblFleet[[#This Row],[Units]]&lt;&gt;"",tblFleet[[#This Row],[Available_h]]&gt;0),tblFleet[[#This Row],[Operating_h]]/tblFleet[[#This Row],[Available_h]],"")</f>
        <v/>
      </c>
    </row>
    <row r="725">
      <c r="A725" s="54" t="n"/>
      <c r="B725" s="61" t="n"/>
      <c r="C725" s="62" t="n"/>
      <c r="D725" s="57" t="n"/>
      <c r="E725" s="57" t="n"/>
      <c r="F725" s="58" t="n"/>
      <c r="G725" s="66">
        <f>IF(tblFleet[[#This Row],[Units]]="","",tblFleet[[#This Row],[Units]]*cfg_HoursPerDay)</f>
        <v/>
      </c>
      <c r="H725" s="66">
        <f>IF(tblFleet[[#This Row],[Units]]="","",tblFleet[[#This Row],[Calendar_h]]-tblFleet[[#This Row],[Down_h]])</f>
        <v/>
      </c>
      <c r="I725" s="60">
        <f>IF(AND(tblFleet[[#This Row],[Units]]&lt;&gt;"",tblFleet[[#This Row],[Calendar_h]]&gt;0),tblFleet[[#This Row],[Available_h]]/tblFleet[[#This Row],[Calendar_h]],"")</f>
        <v/>
      </c>
      <c r="J725" s="60">
        <f>IF(AND(tblFleet[[#This Row],[Units]]&lt;&gt;"",tblFleet[[#This Row],[Available_h]]&gt;0),tblFleet[[#This Row],[Operating_h]]/tblFleet[[#This Row],[Available_h]],"")</f>
        <v/>
      </c>
    </row>
    <row r="726">
      <c r="A726" s="54" t="n"/>
      <c r="B726" s="61" t="n"/>
      <c r="C726" s="62" t="n"/>
      <c r="D726" s="57" t="n"/>
      <c r="E726" s="57" t="n"/>
      <c r="F726" s="58" t="n"/>
      <c r="G726" s="66">
        <f>IF(tblFleet[[#This Row],[Units]]="","",tblFleet[[#This Row],[Units]]*cfg_HoursPerDay)</f>
        <v/>
      </c>
      <c r="H726" s="66">
        <f>IF(tblFleet[[#This Row],[Units]]="","",tblFleet[[#This Row],[Calendar_h]]-tblFleet[[#This Row],[Down_h]])</f>
        <v/>
      </c>
      <c r="I726" s="60">
        <f>IF(AND(tblFleet[[#This Row],[Units]]&lt;&gt;"",tblFleet[[#This Row],[Calendar_h]]&gt;0),tblFleet[[#This Row],[Available_h]]/tblFleet[[#This Row],[Calendar_h]],"")</f>
        <v/>
      </c>
      <c r="J726" s="60">
        <f>IF(AND(tblFleet[[#This Row],[Units]]&lt;&gt;"",tblFleet[[#This Row],[Available_h]]&gt;0),tblFleet[[#This Row],[Operating_h]]/tblFleet[[#This Row],[Available_h]],"")</f>
        <v/>
      </c>
    </row>
    <row r="727">
      <c r="A727" s="54" t="n"/>
      <c r="B727" s="61" t="n"/>
      <c r="C727" s="62" t="n"/>
      <c r="D727" s="57" t="n"/>
      <c r="E727" s="57" t="n"/>
      <c r="F727" s="58" t="n"/>
      <c r="G727" s="66">
        <f>IF(tblFleet[[#This Row],[Units]]="","",tblFleet[[#This Row],[Units]]*cfg_HoursPerDay)</f>
        <v/>
      </c>
      <c r="H727" s="66">
        <f>IF(tblFleet[[#This Row],[Units]]="","",tblFleet[[#This Row],[Calendar_h]]-tblFleet[[#This Row],[Down_h]])</f>
        <v/>
      </c>
      <c r="I727" s="60">
        <f>IF(AND(tblFleet[[#This Row],[Units]]&lt;&gt;"",tblFleet[[#This Row],[Calendar_h]]&gt;0),tblFleet[[#This Row],[Available_h]]/tblFleet[[#This Row],[Calendar_h]],"")</f>
        <v/>
      </c>
      <c r="J727" s="60">
        <f>IF(AND(tblFleet[[#This Row],[Units]]&lt;&gt;"",tblFleet[[#This Row],[Available_h]]&gt;0),tblFleet[[#This Row],[Operating_h]]/tblFleet[[#This Row],[Available_h]],"")</f>
        <v/>
      </c>
    </row>
    <row r="728">
      <c r="A728" s="54" t="n"/>
      <c r="B728" s="61" t="n"/>
      <c r="C728" s="62" t="n"/>
      <c r="D728" s="57" t="n"/>
      <c r="E728" s="57" t="n"/>
      <c r="F728" s="58" t="n"/>
      <c r="G728" s="66">
        <f>IF(tblFleet[[#This Row],[Units]]="","",tblFleet[[#This Row],[Units]]*cfg_HoursPerDay)</f>
        <v/>
      </c>
      <c r="H728" s="66">
        <f>IF(tblFleet[[#This Row],[Units]]="","",tblFleet[[#This Row],[Calendar_h]]-tblFleet[[#This Row],[Down_h]])</f>
        <v/>
      </c>
      <c r="I728" s="60">
        <f>IF(AND(tblFleet[[#This Row],[Units]]&lt;&gt;"",tblFleet[[#This Row],[Calendar_h]]&gt;0),tblFleet[[#This Row],[Available_h]]/tblFleet[[#This Row],[Calendar_h]],"")</f>
        <v/>
      </c>
      <c r="J728" s="60">
        <f>IF(AND(tblFleet[[#This Row],[Units]]&lt;&gt;"",tblFleet[[#This Row],[Available_h]]&gt;0),tblFleet[[#This Row],[Operating_h]]/tblFleet[[#This Row],[Available_h]],"")</f>
        <v/>
      </c>
    </row>
    <row r="729">
      <c r="A729" s="54" t="n"/>
      <c r="B729" s="61" t="n"/>
      <c r="C729" s="62" t="n"/>
      <c r="D729" s="57" t="n"/>
      <c r="E729" s="57" t="n"/>
      <c r="F729" s="58" t="n"/>
      <c r="G729" s="66">
        <f>IF(tblFleet[[#This Row],[Units]]="","",tblFleet[[#This Row],[Units]]*cfg_HoursPerDay)</f>
        <v/>
      </c>
      <c r="H729" s="66">
        <f>IF(tblFleet[[#This Row],[Units]]="","",tblFleet[[#This Row],[Calendar_h]]-tblFleet[[#This Row],[Down_h]])</f>
        <v/>
      </c>
      <c r="I729" s="60">
        <f>IF(AND(tblFleet[[#This Row],[Units]]&lt;&gt;"",tblFleet[[#This Row],[Calendar_h]]&gt;0),tblFleet[[#This Row],[Available_h]]/tblFleet[[#This Row],[Calendar_h]],"")</f>
        <v/>
      </c>
      <c r="J729" s="60">
        <f>IF(AND(tblFleet[[#This Row],[Units]]&lt;&gt;"",tblFleet[[#This Row],[Available_h]]&gt;0),tblFleet[[#This Row],[Operating_h]]/tblFleet[[#This Row],[Available_h]],"")</f>
        <v/>
      </c>
    </row>
    <row r="730">
      <c r="A730" s="54" t="n"/>
      <c r="B730" s="61" t="n"/>
      <c r="C730" s="62" t="n"/>
      <c r="D730" s="57" t="n"/>
      <c r="E730" s="57" t="n"/>
      <c r="F730" s="58" t="n"/>
      <c r="G730" s="66">
        <f>IF(tblFleet[[#This Row],[Units]]="","",tblFleet[[#This Row],[Units]]*cfg_HoursPerDay)</f>
        <v/>
      </c>
      <c r="H730" s="66">
        <f>IF(tblFleet[[#This Row],[Units]]="","",tblFleet[[#This Row],[Calendar_h]]-tblFleet[[#This Row],[Down_h]])</f>
        <v/>
      </c>
      <c r="I730" s="60">
        <f>IF(AND(tblFleet[[#This Row],[Units]]&lt;&gt;"",tblFleet[[#This Row],[Calendar_h]]&gt;0),tblFleet[[#This Row],[Available_h]]/tblFleet[[#This Row],[Calendar_h]],"")</f>
        <v/>
      </c>
      <c r="J730" s="60">
        <f>IF(AND(tblFleet[[#This Row],[Units]]&lt;&gt;"",tblFleet[[#This Row],[Available_h]]&gt;0),tblFleet[[#This Row],[Operating_h]]/tblFleet[[#This Row],[Available_h]],"")</f>
        <v/>
      </c>
    </row>
    <row r="731">
      <c r="A731" s="54" t="n"/>
      <c r="B731" s="61" t="n"/>
      <c r="C731" s="62" t="n"/>
      <c r="D731" s="57" t="n"/>
      <c r="E731" s="57" t="n"/>
      <c r="F731" s="58" t="n"/>
      <c r="G731" s="66">
        <f>IF(tblFleet[[#This Row],[Units]]="","",tblFleet[[#This Row],[Units]]*cfg_HoursPerDay)</f>
        <v/>
      </c>
      <c r="H731" s="66">
        <f>IF(tblFleet[[#This Row],[Units]]="","",tblFleet[[#This Row],[Calendar_h]]-tblFleet[[#This Row],[Down_h]])</f>
        <v/>
      </c>
      <c r="I731" s="60">
        <f>IF(AND(tblFleet[[#This Row],[Units]]&lt;&gt;"",tblFleet[[#This Row],[Calendar_h]]&gt;0),tblFleet[[#This Row],[Available_h]]/tblFleet[[#This Row],[Calendar_h]],"")</f>
        <v/>
      </c>
      <c r="J731" s="60">
        <f>IF(AND(tblFleet[[#This Row],[Units]]&lt;&gt;"",tblFleet[[#This Row],[Available_h]]&gt;0),tblFleet[[#This Row],[Operating_h]]/tblFleet[[#This Row],[Available_h]],"")</f>
        <v/>
      </c>
    </row>
    <row r="732">
      <c r="A732" s="54" t="n"/>
      <c r="B732" s="61" t="n"/>
      <c r="C732" s="62" t="n"/>
      <c r="D732" s="57" t="n"/>
      <c r="E732" s="57" t="n"/>
      <c r="F732" s="58" t="n"/>
      <c r="G732" s="66">
        <f>IF(tblFleet[[#This Row],[Units]]="","",tblFleet[[#This Row],[Units]]*cfg_HoursPerDay)</f>
        <v/>
      </c>
      <c r="H732" s="66">
        <f>IF(tblFleet[[#This Row],[Units]]="","",tblFleet[[#This Row],[Calendar_h]]-tblFleet[[#This Row],[Down_h]])</f>
        <v/>
      </c>
      <c r="I732" s="60">
        <f>IF(AND(tblFleet[[#This Row],[Units]]&lt;&gt;"",tblFleet[[#This Row],[Calendar_h]]&gt;0),tblFleet[[#This Row],[Available_h]]/tblFleet[[#This Row],[Calendar_h]],"")</f>
        <v/>
      </c>
      <c r="J732" s="60">
        <f>IF(AND(tblFleet[[#This Row],[Units]]&lt;&gt;"",tblFleet[[#This Row],[Available_h]]&gt;0),tblFleet[[#This Row],[Operating_h]]/tblFleet[[#This Row],[Available_h]],"")</f>
        <v/>
      </c>
    </row>
    <row r="733">
      <c r="A733" s="54" t="n"/>
      <c r="B733" s="61" t="n"/>
      <c r="C733" s="62" t="n"/>
      <c r="D733" s="57" t="n"/>
      <c r="E733" s="57" t="n"/>
      <c r="F733" s="58" t="n"/>
      <c r="G733" s="66">
        <f>IF(tblFleet[[#This Row],[Units]]="","",tblFleet[[#This Row],[Units]]*cfg_HoursPerDay)</f>
        <v/>
      </c>
      <c r="H733" s="66">
        <f>IF(tblFleet[[#This Row],[Units]]="","",tblFleet[[#This Row],[Calendar_h]]-tblFleet[[#This Row],[Down_h]])</f>
        <v/>
      </c>
      <c r="I733" s="60">
        <f>IF(AND(tblFleet[[#This Row],[Units]]&lt;&gt;"",tblFleet[[#This Row],[Calendar_h]]&gt;0),tblFleet[[#This Row],[Available_h]]/tblFleet[[#This Row],[Calendar_h]],"")</f>
        <v/>
      </c>
      <c r="J733" s="60">
        <f>IF(AND(tblFleet[[#This Row],[Units]]&lt;&gt;"",tblFleet[[#This Row],[Available_h]]&gt;0),tblFleet[[#This Row],[Operating_h]]/tblFleet[[#This Row],[Available_h]],"")</f>
        <v/>
      </c>
    </row>
    <row r="734">
      <c r="A734" s="54" t="n"/>
      <c r="B734" s="61" t="n"/>
      <c r="C734" s="62" t="n"/>
      <c r="D734" s="57" t="n"/>
      <c r="E734" s="57" t="n"/>
      <c r="F734" s="58" t="n"/>
      <c r="G734" s="66">
        <f>IF(tblFleet[[#This Row],[Units]]="","",tblFleet[[#This Row],[Units]]*cfg_HoursPerDay)</f>
        <v/>
      </c>
      <c r="H734" s="66">
        <f>IF(tblFleet[[#This Row],[Units]]="","",tblFleet[[#This Row],[Calendar_h]]-tblFleet[[#This Row],[Down_h]])</f>
        <v/>
      </c>
      <c r="I734" s="60">
        <f>IF(AND(tblFleet[[#This Row],[Units]]&lt;&gt;"",tblFleet[[#This Row],[Calendar_h]]&gt;0),tblFleet[[#This Row],[Available_h]]/tblFleet[[#This Row],[Calendar_h]],"")</f>
        <v/>
      </c>
      <c r="J734" s="60">
        <f>IF(AND(tblFleet[[#This Row],[Units]]&lt;&gt;"",tblFleet[[#This Row],[Available_h]]&gt;0),tblFleet[[#This Row],[Operating_h]]/tblFleet[[#This Row],[Available_h]],"")</f>
        <v/>
      </c>
    </row>
    <row r="735">
      <c r="A735" s="54" t="n"/>
      <c r="B735" s="61" t="n"/>
      <c r="C735" s="62" t="n"/>
      <c r="D735" s="57" t="n"/>
      <c r="E735" s="57" t="n"/>
      <c r="F735" s="58" t="n"/>
      <c r="G735" s="66">
        <f>IF(tblFleet[[#This Row],[Units]]="","",tblFleet[[#This Row],[Units]]*cfg_HoursPerDay)</f>
        <v/>
      </c>
      <c r="H735" s="66">
        <f>IF(tblFleet[[#This Row],[Units]]="","",tblFleet[[#This Row],[Calendar_h]]-tblFleet[[#This Row],[Down_h]])</f>
        <v/>
      </c>
      <c r="I735" s="60">
        <f>IF(AND(tblFleet[[#This Row],[Units]]&lt;&gt;"",tblFleet[[#This Row],[Calendar_h]]&gt;0),tblFleet[[#This Row],[Available_h]]/tblFleet[[#This Row],[Calendar_h]],"")</f>
        <v/>
      </c>
      <c r="J735" s="60">
        <f>IF(AND(tblFleet[[#This Row],[Units]]&lt;&gt;"",tblFleet[[#This Row],[Available_h]]&gt;0),tblFleet[[#This Row],[Operating_h]]/tblFleet[[#This Row],[Available_h]],"")</f>
        <v/>
      </c>
    </row>
    <row r="736">
      <c r="A736" s="54" t="n"/>
      <c r="B736" s="61" t="n"/>
      <c r="C736" s="62" t="n"/>
      <c r="D736" s="57" t="n"/>
      <c r="E736" s="57" t="n"/>
      <c r="F736" s="58" t="n"/>
      <c r="G736" s="66">
        <f>IF(tblFleet[[#This Row],[Units]]="","",tblFleet[[#This Row],[Units]]*cfg_HoursPerDay)</f>
        <v/>
      </c>
      <c r="H736" s="66">
        <f>IF(tblFleet[[#This Row],[Units]]="","",tblFleet[[#This Row],[Calendar_h]]-tblFleet[[#This Row],[Down_h]])</f>
        <v/>
      </c>
      <c r="I736" s="60">
        <f>IF(AND(tblFleet[[#This Row],[Units]]&lt;&gt;"",tblFleet[[#This Row],[Calendar_h]]&gt;0),tblFleet[[#This Row],[Available_h]]/tblFleet[[#This Row],[Calendar_h]],"")</f>
        <v/>
      </c>
      <c r="J736" s="60">
        <f>IF(AND(tblFleet[[#This Row],[Units]]&lt;&gt;"",tblFleet[[#This Row],[Available_h]]&gt;0),tblFleet[[#This Row],[Operating_h]]/tblFleet[[#This Row],[Available_h]],"")</f>
        <v/>
      </c>
    </row>
    <row r="737">
      <c r="A737" s="54" t="n"/>
      <c r="B737" s="61" t="n"/>
      <c r="C737" s="62" t="n"/>
      <c r="D737" s="57" t="n"/>
      <c r="E737" s="57" t="n"/>
      <c r="F737" s="58" t="n"/>
      <c r="G737" s="66">
        <f>IF(tblFleet[[#This Row],[Units]]="","",tblFleet[[#This Row],[Units]]*cfg_HoursPerDay)</f>
        <v/>
      </c>
      <c r="H737" s="66">
        <f>IF(tblFleet[[#This Row],[Units]]="","",tblFleet[[#This Row],[Calendar_h]]-tblFleet[[#This Row],[Down_h]])</f>
        <v/>
      </c>
      <c r="I737" s="60">
        <f>IF(AND(tblFleet[[#This Row],[Units]]&lt;&gt;"",tblFleet[[#This Row],[Calendar_h]]&gt;0),tblFleet[[#This Row],[Available_h]]/tblFleet[[#This Row],[Calendar_h]],"")</f>
        <v/>
      </c>
      <c r="J737" s="60">
        <f>IF(AND(tblFleet[[#This Row],[Units]]&lt;&gt;"",tblFleet[[#This Row],[Available_h]]&gt;0),tblFleet[[#This Row],[Operating_h]]/tblFleet[[#This Row],[Available_h]],"")</f>
        <v/>
      </c>
    </row>
    <row r="738">
      <c r="A738" s="54" t="n"/>
      <c r="B738" s="61" t="n"/>
      <c r="C738" s="62" t="n"/>
      <c r="D738" s="57" t="n"/>
      <c r="E738" s="57" t="n"/>
      <c r="F738" s="58" t="n"/>
      <c r="G738" s="66">
        <f>IF(tblFleet[[#This Row],[Units]]="","",tblFleet[[#This Row],[Units]]*cfg_HoursPerDay)</f>
        <v/>
      </c>
      <c r="H738" s="66">
        <f>IF(tblFleet[[#This Row],[Units]]="","",tblFleet[[#This Row],[Calendar_h]]-tblFleet[[#This Row],[Down_h]])</f>
        <v/>
      </c>
      <c r="I738" s="60">
        <f>IF(AND(tblFleet[[#This Row],[Units]]&lt;&gt;"",tblFleet[[#This Row],[Calendar_h]]&gt;0),tblFleet[[#This Row],[Available_h]]/tblFleet[[#This Row],[Calendar_h]],"")</f>
        <v/>
      </c>
      <c r="J738" s="60">
        <f>IF(AND(tblFleet[[#This Row],[Units]]&lt;&gt;"",tblFleet[[#This Row],[Available_h]]&gt;0),tblFleet[[#This Row],[Operating_h]]/tblFleet[[#This Row],[Available_h]],"")</f>
        <v/>
      </c>
    </row>
    <row r="739">
      <c r="A739" s="54" t="n"/>
      <c r="B739" s="61" t="n"/>
      <c r="C739" s="62" t="n"/>
      <c r="D739" s="57" t="n"/>
      <c r="E739" s="57" t="n"/>
      <c r="F739" s="58" t="n"/>
      <c r="G739" s="66">
        <f>IF(tblFleet[[#This Row],[Units]]="","",tblFleet[[#This Row],[Units]]*cfg_HoursPerDay)</f>
        <v/>
      </c>
      <c r="H739" s="66">
        <f>IF(tblFleet[[#This Row],[Units]]="","",tblFleet[[#This Row],[Calendar_h]]-tblFleet[[#This Row],[Down_h]])</f>
        <v/>
      </c>
      <c r="I739" s="60">
        <f>IF(AND(tblFleet[[#This Row],[Units]]&lt;&gt;"",tblFleet[[#This Row],[Calendar_h]]&gt;0),tblFleet[[#This Row],[Available_h]]/tblFleet[[#This Row],[Calendar_h]],"")</f>
        <v/>
      </c>
      <c r="J739" s="60">
        <f>IF(AND(tblFleet[[#This Row],[Units]]&lt;&gt;"",tblFleet[[#This Row],[Available_h]]&gt;0),tblFleet[[#This Row],[Operating_h]]/tblFleet[[#This Row],[Available_h]],"")</f>
        <v/>
      </c>
    </row>
    <row r="740">
      <c r="A740" s="54" t="n"/>
      <c r="B740" s="61" t="n"/>
      <c r="C740" s="62" t="n"/>
      <c r="D740" s="57" t="n"/>
      <c r="E740" s="57" t="n"/>
      <c r="F740" s="58" t="n"/>
      <c r="G740" s="66">
        <f>IF(tblFleet[[#This Row],[Units]]="","",tblFleet[[#This Row],[Units]]*cfg_HoursPerDay)</f>
        <v/>
      </c>
      <c r="H740" s="66">
        <f>IF(tblFleet[[#This Row],[Units]]="","",tblFleet[[#This Row],[Calendar_h]]-tblFleet[[#This Row],[Down_h]])</f>
        <v/>
      </c>
      <c r="I740" s="60">
        <f>IF(AND(tblFleet[[#This Row],[Units]]&lt;&gt;"",tblFleet[[#This Row],[Calendar_h]]&gt;0),tblFleet[[#This Row],[Available_h]]/tblFleet[[#This Row],[Calendar_h]],"")</f>
        <v/>
      </c>
      <c r="J740" s="60">
        <f>IF(AND(tblFleet[[#This Row],[Units]]&lt;&gt;"",tblFleet[[#This Row],[Available_h]]&gt;0),tblFleet[[#This Row],[Operating_h]]/tblFleet[[#This Row],[Available_h]],"")</f>
        <v/>
      </c>
    </row>
    <row r="741">
      <c r="A741" s="54" t="n"/>
      <c r="B741" s="61" t="n"/>
      <c r="C741" s="62" t="n"/>
      <c r="D741" s="57" t="n"/>
      <c r="E741" s="57" t="n"/>
      <c r="F741" s="58" t="n"/>
      <c r="G741" s="66">
        <f>IF(tblFleet[[#This Row],[Units]]="","",tblFleet[[#This Row],[Units]]*cfg_HoursPerDay)</f>
        <v/>
      </c>
      <c r="H741" s="66">
        <f>IF(tblFleet[[#This Row],[Units]]="","",tblFleet[[#This Row],[Calendar_h]]-tblFleet[[#This Row],[Down_h]])</f>
        <v/>
      </c>
      <c r="I741" s="60">
        <f>IF(AND(tblFleet[[#This Row],[Units]]&lt;&gt;"",tblFleet[[#This Row],[Calendar_h]]&gt;0),tblFleet[[#This Row],[Available_h]]/tblFleet[[#This Row],[Calendar_h]],"")</f>
        <v/>
      </c>
      <c r="J741" s="60">
        <f>IF(AND(tblFleet[[#This Row],[Units]]&lt;&gt;"",tblFleet[[#This Row],[Available_h]]&gt;0),tblFleet[[#This Row],[Operating_h]]/tblFleet[[#This Row],[Available_h]],"")</f>
        <v/>
      </c>
    </row>
    <row r="742">
      <c r="A742" s="54" t="n"/>
      <c r="B742" s="61" t="n"/>
      <c r="C742" s="62" t="n"/>
      <c r="D742" s="57" t="n"/>
      <c r="E742" s="57" t="n"/>
      <c r="F742" s="58" t="n"/>
      <c r="G742" s="66">
        <f>IF(tblFleet[[#This Row],[Units]]="","",tblFleet[[#This Row],[Units]]*cfg_HoursPerDay)</f>
        <v/>
      </c>
      <c r="H742" s="66">
        <f>IF(tblFleet[[#This Row],[Units]]="","",tblFleet[[#This Row],[Calendar_h]]-tblFleet[[#This Row],[Down_h]])</f>
        <v/>
      </c>
      <c r="I742" s="60">
        <f>IF(AND(tblFleet[[#This Row],[Units]]&lt;&gt;"",tblFleet[[#This Row],[Calendar_h]]&gt;0),tblFleet[[#This Row],[Available_h]]/tblFleet[[#This Row],[Calendar_h]],"")</f>
        <v/>
      </c>
      <c r="J742" s="60">
        <f>IF(AND(tblFleet[[#This Row],[Units]]&lt;&gt;"",tblFleet[[#This Row],[Available_h]]&gt;0),tblFleet[[#This Row],[Operating_h]]/tblFleet[[#This Row],[Available_h]],"")</f>
        <v/>
      </c>
    </row>
    <row r="743">
      <c r="A743" s="54" t="n"/>
      <c r="B743" s="61" t="n"/>
      <c r="C743" s="62" t="n"/>
      <c r="D743" s="57" t="n"/>
      <c r="E743" s="57" t="n"/>
      <c r="F743" s="58" t="n"/>
      <c r="G743" s="66">
        <f>IF(tblFleet[[#This Row],[Units]]="","",tblFleet[[#This Row],[Units]]*cfg_HoursPerDay)</f>
        <v/>
      </c>
      <c r="H743" s="66">
        <f>IF(tblFleet[[#This Row],[Units]]="","",tblFleet[[#This Row],[Calendar_h]]-tblFleet[[#This Row],[Down_h]])</f>
        <v/>
      </c>
      <c r="I743" s="60">
        <f>IF(AND(tblFleet[[#This Row],[Units]]&lt;&gt;"",tblFleet[[#This Row],[Calendar_h]]&gt;0),tblFleet[[#This Row],[Available_h]]/tblFleet[[#This Row],[Calendar_h]],"")</f>
        <v/>
      </c>
      <c r="J743" s="60">
        <f>IF(AND(tblFleet[[#This Row],[Units]]&lt;&gt;"",tblFleet[[#This Row],[Available_h]]&gt;0),tblFleet[[#This Row],[Operating_h]]/tblFleet[[#This Row],[Available_h]],"")</f>
        <v/>
      </c>
    </row>
    <row r="744">
      <c r="A744" s="54" t="n"/>
      <c r="B744" s="61" t="n"/>
      <c r="C744" s="62" t="n"/>
      <c r="D744" s="57" t="n"/>
      <c r="E744" s="57" t="n"/>
      <c r="F744" s="58" t="n"/>
      <c r="G744" s="66">
        <f>IF(tblFleet[[#This Row],[Units]]="","",tblFleet[[#This Row],[Units]]*cfg_HoursPerDay)</f>
        <v/>
      </c>
      <c r="H744" s="66">
        <f>IF(tblFleet[[#This Row],[Units]]="","",tblFleet[[#This Row],[Calendar_h]]-tblFleet[[#This Row],[Down_h]])</f>
        <v/>
      </c>
      <c r="I744" s="60">
        <f>IF(AND(tblFleet[[#This Row],[Units]]&lt;&gt;"",tblFleet[[#This Row],[Calendar_h]]&gt;0),tblFleet[[#This Row],[Available_h]]/tblFleet[[#This Row],[Calendar_h]],"")</f>
        <v/>
      </c>
      <c r="J744" s="60">
        <f>IF(AND(tblFleet[[#This Row],[Units]]&lt;&gt;"",tblFleet[[#This Row],[Available_h]]&gt;0),tblFleet[[#This Row],[Operating_h]]/tblFleet[[#This Row],[Available_h]],"")</f>
        <v/>
      </c>
    </row>
    <row r="745">
      <c r="A745" s="54" t="n"/>
      <c r="B745" s="61" t="n"/>
      <c r="C745" s="62" t="n"/>
      <c r="D745" s="57" t="n"/>
      <c r="E745" s="57" t="n"/>
      <c r="F745" s="58" t="n"/>
      <c r="G745" s="66">
        <f>IF(tblFleet[[#This Row],[Units]]="","",tblFleet[[#This Row],[Units]]*cfg_HoursPerDay)</f>
        <v/>
      </c>
      <c r="H745" s="66">
        <f>IF(tblFleet[[#This Row],[Units]]="","",tblFleet[[#This Row],[Calendar_h]]-tblFleet[[#This Row],[Down_h]])</f>
        <v/>
      </c>
      <c r="I745" s="60">
        <f>IF(AND(tblFleet[[#This Row],[Units]]&lt;&gt;"",tblFleet[[#This Row],[Calendar_h]]&gt;0),tblFleet[[#This Row],[Available_h]]/tblFleet[[#This Row],[Calendar_h]],"")</f>
        <v/>
      </c>
      <c r="J745" s="60">
        <f>IF(AND(tblFleet[[#This Row],[Units]]&lt;&gt;"",tblFleet[[#This Row],[Available_h]]&gt;0),tblFleet[[#This Row],[Operating_h]]/tblFleet[[#This Row],[Available_h]],"")</f>
        <v/>
      </c>
    </row>
    <row r="746">
      <c r="A746" s="54" t="n"/>
      <c r="B746" s="61" t="n"/>
      <c r="C746" s="62" t="n"/>
      <c r="D746" s="57" t="n"/>
      <c r="E746" s="57" t="n"/>
      <c r="F746" s="58" t="n"/>
      <c r="G746" s="66">
        <f>IF(tblFleet[[#This Row],[Units]]="","",tblFleet[[#This Row],[Units]]*cfg_HoursPerDay)</f>
        <v/>
      </c>
      <c r="H746" s="66">
        <f>IF(tblFleet[[#This Row],[Units]]="","",tblFleet[[#This Row],[Calendar_h]]-tblFleet[[#This Row],[Down_h]])</f>
        <v/>
      </c>
      <c r="I746" s="60">
        <f>IF(AND(tblFleet[[#This Row],[Units]]&lt;&gt;"",tblFleet[[#This Row],[Calendar_h]]&gt;0),tblFleet[[#This Row],[Available_h]]/tblFleet[[#This Row],[Calendar_h]],"")</f>
        <v/>
      </c>
      <c r="J746" s="60">
        <f>IF(AND(tblFleet[[#This Row],[Units]]&lt;&gt;"",tblFleet[[#This Row],[Available_h]]&gt;0),tblFleet[[#This Row],[Operating_h]]/tblFleet[[#This Row],[Available_h]],"")</f>
        <v/>
      </c>
    </row>
    <row r="747">
      <c r="A747" s="54" t="n"/>
      <c r="B747" s="61" t="n"/>
      <c r="C747" s="62" t="n"/>
      <c r="D747" s="57" t="n"/>
      <c r="E747" s="57" t="n"/>
      <c r="F747" s="58" t="n"/>
      <c r="G747" s="66">
        <f>IF(tblFleet[[#This Row],[Units]]="","",tblFleet[[#This Row],[Units]]*cfg_HoursPerDay)</f>
        <v/>
      </c>
      <c r="H747" s="66">
        <f>IF(tblFleet[[#This Row],[Units]]="","",tblFleet[[#This Row],[Calendar_h]]-tblFleet[[#This Row],[Down_h]])</f>
        <v/>
      </c>
      <c r="I747" s="60">
        <f>IF(AND(tblFleet[[#This Row],[Units]]&lt;&gt;"",tblFleet[[#This Row],[Calendar_h]]&gt;0),tblFleet[[#This Row],[Available_h]]/tblFleet[[#This Row],[Calendar_h]],"")</f>
        <v/>
      </c>
      <c r="J747" s="60">
        <f>IF(AND(tblFleet[[#This Row],[Units]]&lt;&gt;"",tblFleet[[#This Row],[Available_h]]&gt;0),tblFleet[[#This Row],[Operating_h]]/tblFleet[[#This Row],[Available_h]],"")</f>
        <v/>
      </c>
    </row>
    <row r="748">
      <c r="A748" s="54" t="n"/>
      <c r="B748" s="61" t="n"/>
      <c r="C748" s="62" t="n"/>
      <c r="D748" s="57" t="n"/>
      <c r="E748" s="57" t="n"/>
      <c r="F748" s="58" t="n"/>
      <c r="G748" s="66">
        <f>IF(tblFleet[[#This Row],[Units]]="","",tblFleet[[#This Row],[Units]]*cfg_HoursPerDay)</f>
        <v/>
      </c>
      <c r="H748" s="66">
        <f>IF(tblFleet[[#This Row],[Units]]="","",tblFleet[[#This Row],[Calendar_h]]-tblFleet[[#This Row],[Down_h]])</f>
        <v/>
      </c>
      <c r="I748" s="60">
        <f>IF(AND(tblFleet[[#This Row],[Units]]&lt;&gt;"",tblFleet[[#This Row],[Calendar_h]]&gt;0),tblFleet[[#This Row],[Available_h]]/tblFleet[[#This Row],[Calendar_h]],"")</f>
        <v/>
      </c>
      <c r="J748" s="60">
        <f>IF(AND(tblFleet[[#This Row],[Units]]&lt;&gt;"",tblFleet[[#This Row],[Available_h]]&gt;0),tblFleet[[#This Row],[Operating_h]]/tblFleet[[#This Row],[Available_h]],"")</f>
        <v/>
      </c>
    </row>
    <row r="749">
      <c r="A749" s="54" t="n"/>
      <c r="B749" s="61" t="n"/>
      <c r="C749" s="62" t="n"/>
      <c r="D749" s="57" t="n"/>
      <c r="E749" s="57" t="n"/>
      <c r="F749" s="58" t="n"/>
      <c r="G749" s="66">
        <f>IF(tblFleet[[#This Row],[Units]]="","",tblFleet[[#This Row],[Units]]*cfg_HoursPerDay)</f>
        <v/>
      </c>
      <c r="H749" s="66">
        <f>IF(tblFleet[[#This Row],[Units]]="","",tblFleet[[#This Row],[Calendar_h]]-tblFleet[[#This Row],[Down_h]])</f>
        <v/>
      </c>
      <c r="I749" s="60">
        <f>IF(AND(tblFleet[[#This Row],[Units]]&lt;&gt;"",tblFleet[[#This Row],[Calendar_h]]&gt;0),tblFleet[[#This Row],[Available_h]]/tblFleet[[#This Row],[Calendar_h]],"")</f>
        <v/>
      </c>
      <c r="J749" s="60">
        <f>IF(AND(tblFleet[[#This Row],[Units]]&lt;&gt;"",tblFleet[[#This Row],[Available_h]]&gt;0),tblFleet[[#This Row],[Operating_h]]/tblFleet[[#This Row],[Available_h]],"")</f>
        <v/>
      </c>
    </row>
    <row r="750">
      <c r="A750" s="54" t="n"/>
      <c r="B750" s="61" t="n"/>
      <c r="C750" s="62" t="n"/>
      <c r="D750" s="57" t="n"/>
      <c r="E750" s="57" t="n"/>
      <c r="F750" s="58" t="n"/>
      <c r="G750" s="66">
        <f>IF(tblFleet[[#This Row],[Units]]="","",tblFleet[[#This Row],[Units]]*cfg_HoursPerDay)</f>
        <v/>
      </c>
      <c r="H750" s="66">
        <f>IF(tblFleet[[#This Row],[Units]]="","",tblFleet[[#This Row],[Calendar_h]]-tblFleet[[#This Row],[Down_h]])</f>
        <v/>
      </c>
      <c r="I750" s="60">
        <f>IF(AND(tblFleet[[#This Row],[Units]]&lt;&gt;"",tblFleet[[#This Row],[Calendar_h]]&gt;0),tblFleet[[#This Row],[Available_h]]/tblFleet[[#This Row],[Calendar_h]],"")</f>
        <v/>
      </c>
      <c r="J750" s="60">
        <f>IF(AND(tblFleet[[#This Row],[Units]]&lt;&gt;"",tblFleet[[#This Row],[Available_h]]&gt;0),tblFleet[[#This Row],[Operating_h]]/tblFleet[[#This Row],[Available_h]],"")</f>
        <v/>
      </c>
    </row>
    <row r="751">
      <c r="A751" s="54" t="n"/>
      <c r="B751" s="61" t="n"/>
      <c r="C751" s="62" t="n"/>
      <c r="D751" s="57" t="n"/>
      <c r="E751" s="57" t="n"/>
      <c r="F751" s="58" t="n"/>
      <c r="G751" s="66">
        <f>IF(tblFleet[[#This Row],[Units]]="","",tblFleet[[#This Row],[Units]]*cfg_HoursPerDay)</f>
        <v/>
      </c>
      <c r="H751" s="66">
        <f>IF(tblFleet[[#This Row],[Units]]="","",tblFleet[[#This Row],[Calendar_h]]-tblFleet[[#This Row],[Down_h]])</f>
        <v/>
      </c>
      <c r="I751" s="60">
        <f>IF(AND(tblFleet[[#This Row],[Units]]&lt;&gt;"",tblFleet[[#This Row],[Calendar_h]]&gt;0),tblFleet[[#This Row],[Available_h]]/tblFleet[[#This Row],[Calendar_h]],"")</f>
        <v/>
      </c>
      <c r="J751" s="60">
        <f>IF(AND(tblFleet[[#This Row],[Units]]&lt;&gt;"",tblFleet[[#This Row],[Available_h]]&gt;0),tblFleet[[#This Row],[Operating_h]]/tblFleet[[#This Row],[Available_h]],"")</f>
        <v/>
      </c>
    </row>
    <row r="752">
      <c r="A752" s="54" t="n"/>
      <c r="B752" s="61" t="n"/>
      <c r="C752" s="62" t="n"/>
      <c r="D752" s="57" t="n"/>
      <c r="E752" s="57" t="n"/>
      <c r="F752" s="58" t="n"/>
      <c r="G752" s="66">
        <f>IF(tblFleet[[#This Row],[Units]]="","",tblFleet[[#This Row],[Units]]*cfg_HoursPerDay)</f>
        <v/>
      </c>
      <c r="H752" s="66">
        <f>IF(tblFleet[[#This Row],[Units]]="","",tblFleet[[#This Row],[Calendar_h]]-tblFleet[[#This Row],[Down_h]])</f>
        <v/>
      </c>
      <c r="I752" s="60">
        <f>IF(AND(tblFleet[[#This Row],[Units]]&lt;&gt;"",tblFleet[[#This Row],[Calendar_h]]&gt;0),tblFleet[[#This Row],[Available_h]]/tblFleet[[#This Row],[Calendar_h]],"")</f>
        <v/>
      </c>
      <c r="J752" s="60">
        <f>IF(AND(tblFleet[[#This Row],[Units]]&lt;&gt;"",tblFleet[[#This Row],[Available_h]]&gt;0),tblFleet[[#This Row],[Operating_h]]/tblFleet[[#This Row],[Available_h]],"")</f>
        <v/>
      </c>
    </row>
    <row r="753">
      <c r="A753" s="54" t="n"/>
      <c r="B753" s="61" t="n"/>
      <c r="C753" s="62" t="n"/>
      <c r="D753" s="57" t="n"/>
      <c r="E753" s="57" t="n"/>
      <c r="F753" s="58" t="n"/>
      <c r="G753" s="66">
        <f>IF(tblFleet[[#This Row],[Units]]="","",tblFleet[[#This Row],[Units]]*cfg_HoursPerDay)</f>
        <v/>
      </c>
      <c r="H753" s="66">
        <f>IF(tblFleet[[#This Row],[Units]]="","",tblFleet[[#This Row],[Calendar_h]]-tblFleet[[#This Row],[Down_h]])</f>
        <v/>
      </c>
      <c r="I753" s="60">
        <f>IF(AND(tblFleet[[#This Row],[Units]]&lt;&gt;"",tblFleet[[#This Row],[Calendar_h]]&gt;0),tblFleet[[#This Row],[Available_h]]/tblFleet[[#This Row],[Calendar_h]],"")</f>
        <v/>
      </c>
      <c r="J753" s="60">
        <f>IF(AND(tblFleet[[#This Row],[Units]]&lt;&gt;"",tblFleet[[#This Row],[Available_h]]&gt;0),tblFleet[[#This Row],[Operating_h]]/tblFleet[[#This Row],[Available_h]],"")</f>
        <v/>
      </c>
    </row>
    <row r="754">
      <c r="A754" s="54" t="n"/>
      <c r="B754" s="61" t="n"/>
      <c r="C754" s="62" t="n"/>
      <c r="D754" s="57" t="n"/>
      <c r="E754" s="57" t="n"/>
      <c r="F754" s="58" t="n"/>
      <c r="G754" s="66">
        <f>IF(tblFleet[[#This Row],[Units]]="","",tblFleet[[#This Row],[Units]]*cfg_HoursPerDay)</f>
        <v/>
      </c>
      <c r="H754" s="66">
        <f>IF(tblFleet[[#This Row],[Units]]="","",tblFleet[[#This Row],[Calendar_h]]-tblFleet[[#This Row],[Down_h]])</f>
        <v/>
      </c>
      <c r="I754" s="60">
        <f>IF(AND(tblFleet[[#This Row],[Units]]&lt;&gt;"",tblFleet[[#This Row],[Calendar_h]]&gt;0),tblFleet[[#This Row],[Available_h]]/tblFleet[[#This Row],[Calendar_h]],"")</f>
        <v/>
      </c>
      <c r="J754" s="60">
        <f>IF(AND(tblFleet[[#This Row],[Units]]&lt;&gt;"",tblFleet[[#This Row],[Available_h]]&gt;0),tblFleet[[#This Row],[Operating_h]]/tblFleet[[#This Row],[Available_h]],"")</f>
        <v/>
      </c>
    </row>
    <row r="755">
      <c r="A755" s="54" t="n"/>
      <c r="B755" s="61" t="n"/>
      <c r="C755" s="62" t="n"/>
      <c r="D755" s="57" t="n"/>
      <c r="E755" s="57" t="n"/>
      <c r="F755" s="58" t="n"/>
      <c r="G755" s="66">
        <f>IF(tblFleet[[#This Row],[Units]]="","",tblFleet[[#This Row],[Units]]*cfg_HoursPerDay)</f>
        <v/>
      </c>
      <c r="H755" s="66">
        <f>IF(tblFleet[[#This Row],[Units]]="","",tblFleet[[#This Row],[Calendar_h]]-tblFleet[[#This Row],[Down_h]])</f>
        <v/>
      </c>
      <c r="I755" s="60">
        <f>IF(AND(tblFleet[[#This Row],[Units]]&lt;&gt;"",tblFleet[[#This Row],[Calendar_h]]&gt;0),tblFleet[[#This Row],[Available_h]]/tblFleet[[#This Row],[Calendar_h]],"")</f>
        <v/>
      </c>
      <c r="J755" s="60">
        <f>IF(AND(tblFleet[[#This Row],[Units]]&lt;&gt;"",tblFleet[[#This Row],[Available_h]]&gt;0),tblFleet[[#This Row],[Operating_h]]/tblFleet[[#This Row],[Available_h]],"")</f>
        <v/>
      </c>
    </row>
    <row r="756">
      <c r="A756" s="54" t="n"/>
      <c r="B756" s="61" t="n"/>
      <c r="C756" s="62" t="n"/>
      <c r="D756" s="57" t="n"/>
      <c r="E756" s="57" t="n"/>
      <c r="F756" s="58" t="n"/>
      <c r="G756" s="66">
        <f>IF(tblFleet[[#This Row],[Units]]="","",tblFleet[[#This Row],[Units]]*cfg_HoursPerDay)</f>
        <v/>
      </c>
      <c r="H756" s="66">
        <f>IF(tblFleet[[#This Row],[Units]]="","",tblFleet[[#This Row],[Calendar_h]]-tblFleet[[#This Row],[Down_h]])</f>
        <v/>
      </c>
      <c r="I756" s="60">
        <f>IF(AND(tblFleet[[#This Row],[Units]]&lt;&gt;"",tblFleet[[#This Row],[Calendar_h]]&gt;0),tblFleet[[#This Row],[Available_h]]/tblFleet[[#This Row],[Calendar_h]],"")</f>
        <v/>
      </c>
      <c r="J756" s="60">
        <f>IF(AND(tblFleet[[#This Row],[Units]]&lt;&gt;"",tblFleet[[#This Row],[Available_h]]&gt;0),tblFleet[[#This Row],[Operating_h]]/tblFleet[[#This Row],[Available_h]],"")</f>
        <v/>
      </c>
    </row>
    <row r="757">
      <c r="A757" s="54" t="n"/>
      <c r="B757" s="61" t="n"/>
      <c r="C757" s="62" t="n"/>
      <c r="D757" s="57" t="n"/>
      <c r="E757" s="57" t="n"/>
      <c r="F757" s="58" t="n"/>
      <c r="G757" s="66">
        <f>IF(tblFleet[[#This Row],[Units]]="","",tblFleet[[#This Row],[Units]]*cfg_HoursPerDay)</f>
        <v/>
      </c>
      <c r="H757" s="66">
        <f>IF(tblFleet[[#This Row],[Units]]="","",tblFleet[[#This Row],[Calendar_h]]-tblFleet[[#This Row],[Down_h]])</f>
        <v/>
      </c>
      <c r="I757" s="60">
        <f>IF(AND(tblFleet[[#This Row],[Units]]&lt;&gt;"",tblFleet[[#This Row],[Calendar_h]]&gt;0),tblFleet[[#This Row],[Available_h]]/tblFleet[[#This Row],[Calendar_h]],"")</f>
        <v/>
      </c>
      <c r="J757" s="60">
        <f>IF(AND(tblFleet[[#This Row],[Units]]&lt;&gt;"",tblFleet[[#This Row],[Available_h]]&gt;0),tblFleet[[#This Row],[Operating_h]]/tblFleet[[#This Row],[Available_h]],"")</f>
        <v/>
      </c>
    </row>
    <row r="758">
      <c r="A758" s="54" t="n"/>
      <c r="B758" s="61" t="n"/>
      <c r="C758" s="62" t="n"/>
      <c r="D758" s="57" t="n"/>
      <c r="E758" s="57" t="n"/>
      <c r="F758" s="58" t="n"/>
      <c r="G758" s="66">
        <f>IF(tblFleet[[#This Row],[Units]]="","",tblFleet[[#This Row],[Units]]*cfg_HoursPerDay)</f>
        <v/>
      </c>
      <c r="H758" s="66">
        <f>IF(tblFleet[[#This Row],[Units]]="","",tblFleet[[#This Row],[Calendar_h]]-tblFleet[[#This Row],[Down_h]])</f>
        <v/>
      </c>
      <c r="I758" s="60">
        <f>IF(AND(tblFleet[[#This Row],[Units]]&lt;&gt;"",tblFleet[[#This Row],[Calendar_h]]&gt;0),tblFleet[[#This Row],[Available_h]]/tblFleet[[#This Row],[Calendar_h]],"")</f>
        <v/>
      </c>
      <c r="J758" s="60">
        <f>IF(AND(tblFleet[[#This Row],[Units]]&lt;&gt;"",tblFleet[[#This Row],[Available_h]]&gt;0),tblFleet[[#This Row],[Operating_h]]/tblFleet[[#This Row],[Available_h]],"")</f>
        <v/>
      </c>
    </row>
    <row r="759">
      <c r="A759" s="54" t="n"/>
      <c r="B759" s="61" t="n"/>
      <c r="C759" s="62" t="n"/>
      <c r="D759" s="57" t="n"/>
      <c r="E759" s="57" t="n"/>
      <c r="F759" s="58" t="n"/>
      <c r="G759" s="66">
        <f>IF(tblFleet[[#This Row],[Units]]="","",tblFleet[[#This Row],[Units]]*cfg_HoursPerDay)</f>
        <v/>
      </c>
      <c r="H759" s="66">
        <f>IF(tblFleet[[#This Row],[Units]]="","",tblFleet[[#This Row],[Calendar_h]]-tblFleet[[#This Row],[Down_h]])</f>
        <v/>
      </c>
      <c r="I759" s="60">
        <f>IF(AND(tblFleet[[#This Row],[Units]]&lt;&gt;"",tblFleet[[#This Row],[Calendar_h]]&gt;0),tblFleet[[#This Row],[Available_h]]/tblFleet[[#This Row],[Calendar_h]],"")</f>
        <v/>
      </c>
      <c r="J759" s="60">
        <f>IF(AND(tblFleet[[#This Row],[Units]]&lt;&gt;"",tblFleet[[#This Row],[Available_h]]&gt;0),tblFleet[[#This Row],[Operating_h]]/tblFleet[[#This Row],[Available_h]],"")</f>
        <v/>
      </c>
    </row>
    <row r="760">
      <c r="A760" s="54" t="n"/>
      <c r="B760" s="61" t="n"/>
      <c r="C760" s="62" t="n"/>
      <c r="D760" s="57" t="n"/>
      <c r="E760" s="57" t="n"/>
      <c r="F760" s="58" t="n"/>
      <c r="G760" s="66">
        <f>IF(tblFleet[[#This Row],[Units]]="","",tblFleet[[#This Row],[Units]]*cfg_HoursPerDay)</f>
        <v/>
      </c>
      <c r="H760" s="66">
        <f>IF(tblFleet[[#This Row],[Units]]="","",tblFleet[[#This Row],[Calendar_h]]-tblFleet[[#This Row],[Down_h]])</f>
        <v/>
      </c>
      <c r="I760" s="60">
        <f>IF(AND(tblFleet[[#This Row],[Units]]&lt;&gt;"",tblFleet[[#This Row],[Calendar_h]]&gt;0),tblFleet[[#This Row],[Available_h]]/tblFleet[[#This Row],[Calendar_h]],"")</f>
        <v/>
      </c>
      <c r="J760" s="60">
        <f>IF(AND(tblFleet[[#This Row],[Units]]&lt;&gt;"",tblFleet[[#This Row],[Available_h]]&gt;0),tblFleet[[#This Row],[Operating_h]]/tblFleet[[#This Row],[Available_h]],"")</f>
        <v/>
      </c>
    </row>
    <row r="761">
      <c r="A761" s="54" t="n"/>
      <c r="B761" s="61" t="n"/>
      <c r="C761" s="62" t="n"/>
      <c r="D761" s="57" t="n"/>
      <c r="E761" s="57" t="n"/>
      <c r="F761" s="58" t="n"/>
      <c r="G761" s="66">
        <f>IF(tblFleet[[#This Row],[Units]]="","",tblFleet[[#This Row],[Units]]*cfg_HoursPerDay)</f>
        <v/>
      </c>
      <c r="H761" s="66">
        <f>IF(tblFleet[[#This Row],[Units]]="","",tblFleet[[#This Row],[Calendar_h]]-tblFleet[[#This Row],[Down_h]])</f>
        <v/>
      </c>
      <c r="I761" s="60">
        <f>IF(AND(tblFleet[[#This Row],[Units]]&lt;&gt;"",tblFleet[[#This Row],[Calendar_h]]&gt;0),tblFleet[[#This Row],[Available_h]]/tblFleet[[#This Row],[Calendar_h]],"")</f>
        <v/>
      </c>
      <c r="J761" s="60">
        <f>IF(AND(tblFleet[[#This Row],[Units]]&lt;&gt;"",tblFleet[[#This Row],[Available_h]]&gt;0),tblFleet[[#This Row],[Operating_h]]/tblFleet[[#This Row],[Available_h]],"")</f>
        <v/>
      </c>
    </row>
    <row r="762">
      <c r="A762" s="54" t="n"/>
      <c r="B762" s="61" t="n"/>
      <c r="C762" s="62" t="n"/>
      <c r="D762" s="57" t="n"/>
      <c r="E762" s="57" t="n"/>
      <c r="F762" s="58" t="n"/>
      <c r="G762" s="66">
        <f>IF(tblFleet[[#This Row],[Units]]="","",tblFleet[[#This Row],[Units]]*cfg_HoursPerDay)</f>
        <v/>
      </c>
      <c r="H762" s="66">
        <f>IF(tblFleet[[#This Row],[Units]]="","",tblFleet[[#This Row],[Calendar_h]]-tblFleet[[#This Row],[Down_h]])</f>
        <v/>
      </c>
      <c r="I762" s="60">
        <f>IF(AND(tblFleet[[#This Row],[Units]]&lt;&gt;"",tblFleet[[#This Row],[Calendar_h]]&gt;0),tblFleet[[#This Row],[Available_h]]/tblFleet[[#This Row],[Calendar_h]],"")</f>
        <v/>
      </c>
      <c r="J762" s="60">
        <f>IF(AND(tblFleet[[#This Row],[Units]]&lt;&gt;"",tblFleet[[#This Row],[Available_h]]&gt;0),tblFleet[[#This Row],[Operating_h]]/tblFleet[[#This Row],[Available_h]],"")</f>
        <v/>
      </c>
    </row>
    <row r="763">
      <c r="A763" s="54" t="n"/>
      <c r="B763" s="61" t="n"/>
      <c r="C763" s="62" t="n"/>
      <c r="D763" s="57" t="n"/>
      <c r="E763" s="57" t="n"/>
      <c r="F763" s="58" t="n"/>
      <c r="G763" s="66">
        <f>IF(tblFleet[[#This Row],[Units]]="","",tblFleet[[#This Row],[Units]]*cfg_HoursPerDay)</f>
        <v/>
      </c>
      <c r="H763" s="66">
        <f>IF(tblFleet[[#This Row],[Units]]="","",tblFleet[[#This Row],[Calendar_h]]-tblFleet[[#This Row],[Down_h]])</f>
        <v/>
      </c>
      <c r="I763" s="60">
        <f>IF(AND(tblFleet[[#This Row],[Units]]&lt;&gt;"",tblFleet[[#This Row],[Calendar_h]]&gt;0),tblFleet[[#This Row],[Available_h]]/tblFleet[[#This Row],[Calendar_h]],"")</f>
        <v/>
      </c>
      <c r="J763" s="60">
        <f>IF(AND(tblFleet[[#This Row],[Units]]&lt;&gt;"",tblFleet[[#This Row],[Available_h]]&gt;0),tblFleet[[#This Row],[Operating_h]]/tblFleet[[#This Row],[Available_h]],"")</f>
        <v/>
      </c>
    </row>
    <row r="764">
      <c r="A764" s="54" t="n"/>
      <c r="B764" s="61" t="n"/>
      <c r="C764" s="62" t="n"/>
      <c r="D764" s="57" t="n"/>
      <c r="E764" s="57" t="n"/>
      <c r="F764" s="58" t="n"/>
      <c r="G764" s="66">
        <f>IF(tblFleet[[#This Row],[Units]]="","",tblFleet[[#This Row],[Units]]*cfg_HoursPerDay)</f>
        <v/>
      </c>
      <c r="H764" s="66">
        <f>IF(tblFleet[[#This Row],[Units]]="","",tblFleet[[#This Row],[Calendar_h]]-tblFleet[[#This Row],[Down_h]])</f>
        <v/>
      </c>
      <c r="I764" s="60">
        <f>IF(AND(tblFleet[[#This Row],[Units]]&lt;&gt;"",tblFleet[[#This Row],[Calendar_h]]&gt;0),tblFleet[[#This Row],[Available_h]]/tblFleet[[#This Row],[Calendar_h]],"")</f>
        <v/>
      </c>
      <c r="J764" s="60">
        <f>IF(AND(tblFleet[[#This Row],[Units]]&lt;&gt;"",tblFleet[[#This Row],[Available_h]]&gt;0),tblFleet[[#This Row],[Operating_h]]/tblFleet[[#This Row],[Available_h]],"")</f>
        <v/>
      </c>
    </row>
    <row r="765">
      <c r="A765" s="54" t="n"/>
      <c r="B765" s="61" t="n"/>
      <c r="C765" s="62" t="n"/>
      <c r="D765" s="57" t="n"/>
      <c r="E765" s="57" t="n"/>
      <c r="F765" s="58" t="n"/>
      <c r="G765" s="66">
        <f>IF(tblFleet[[#This Row],[Units]]="","",tblFleet[[#This Row],[Units]]*cfg_HoursPerDay)</f>
        <v/>
      </c>
      <c r="H765" s="66">
        <f>IF(tblFleet[[#This Row],[Units]]="","",tblFleet[[#This Row],[Calendar_h]]-tblFleet[[#This Row],[Down_h]])</f>
        <v/>
      </c>
      <c r="I765" s="60">
        <f>IF(AND(tblFleet[[#This Row],[Units]]&lt;&gt;"",tblFleet[[#This Row],[Calendar_h]]&gt;0),tblFleet[[#This Row],[Available_h]]/tblFleet[[#This Row],[Calendar_h]],"")</f>
        <v/>
      </c>
      <c r="J765" s="60">
        <f>IF(AND(tblFleet[[#This Row],[Units]]&lt;&gt;"",tblFleet[[#This Row],[Available_h]]&gt;0),tblFleet[[#This Row],[Operating_h]]/tblFleet[[#This Row],[Available_h]],"")</f>
        <v/>
      </c>
    </row>
    <row r="766">
      <c r="A766" s="54" t="n"/>
      <c r="B766" s="61" t="n"/>
      <c r="C766" s="62" t="n"/>
      <c r="D766" s="57" t="n"/>
      <c r="E766" s="57" t="n"/>
      <c r="F766" s="58" t="n"/>
      <c r="G766" s="66">
        <f>IF(tblFleet[[#This Row],[Units]]="","",tblFleet[[#This Row],[Units]]*cfg_HoursPerDay)</f>
        <v/>
      </c>
      <c r="H766" s="66">
        <f>IF(tblFleet[[#This Row],[Units]]="","",tblFleet[[#This Row],[Calendar_h]]-tblFleet[[#This Row],[Down_h]])</f>
        <v/>
      </c>
      <c r="I766" s="60">
        <f>IF(AND(tblFleet[[#This Row],[Units]]&lt;&gt;"",tblFleet[[#This Row],[Calendar_h]]&gt;0),tblFleet[[#This Row],[Available_h]]/tblFleet[[#This Row],[Calendar_h]],"")</f>
        <v/>
      </c>
      <c r="J766" s="60">
        <f>IF(AND(tblFleet[[#This Row],[Units]]&lt;&gt;"",tblFleet[[#This Row],[Available_h]]&gt;0),tblFleet[[#This Row],[Operating_h]]/tblFleet[[#This Row],[Available_h]],"")</f>
        <v/>
      </c>
    </row>
    <row r="767">
      <c r="A767" s="54" t="n"/>
      <c r="B767" s="61" t="n"/>
      <c r="C767" s="62" t="n"/>
      <c r="D767" s="57" t="n"/>
      <c r="E767" s="57" t="n"/>
      <c r="F767" s="58" t="n"/>
      <c r="G767" s="66">
        <f>IF(tblFleet[[#This Row],[Units]]="","",tblFleet[[#This Row],[Units]]*cfg_HoursPerDay)</f>
        <v/>
      </c>
      <c r="H767" s="66">
        <f>IF(tblFleet[[#This Row],[Units]]="","",tblFleet[[#This Row],[Calendar_h]]-tblFleet[[#This Row],[Down_h]])</f>
        <v/>
      </c>
      <c r="I767" s="60">
        <f>IF(AND(tblFleet[[#This Row],[Units]]&lt;&gt;"",tblFleet[[#This Row],[Calendar_h]]&gt;0),tblFleet[[#This Row],[Available_h]]/tblFleet[[#This Row],[Calendar_h]],"")</f>
        <v/>
      </c>
      <c r="J767" s="60">
        <f>IF(AND(tblFleet[[#This Row],[Units]]&lt;&gt;"",tblFleet[[#This Row],[Available_h]]&gt;0),tblFleet[[#This Row],[Operating_h]]/tblFleet[[#This Row],[Available_h]],"")</f>
        <v/>
      </c>
    </row>
    <row r="768">
      <c r="A768" s="54" t="n"/>
      <c r="B768" s="61" t="n"/>
      <c r="C768" s="62" t="n"/>
      <c r="D768" s="57" t="n"/>
      <c r="E768" s="57" t="n"/>
      <c r="F768" s="58" t="n"/>
      <c r="G768" s="66">
        <f>IF(tblFleet[[#This Row],[Units]]="","",tblFleet[[#This Row],[Units]]*cfg_HoursPerDay)</f>
        <v/>
      </c>
      <c r="H768" s="66">
        <f>IF(tblFleet[[#This Row],[Units]]="","",tblFleet[[#This Row],[Calendar_h]]-tblFleet[[#This Row],[Down_h]])</f>
        <v/>
      </c>
      <c r="I768" s="60">
        <f>IF(AND(tblFleet[[#This Row],[Units]]&lt;&gt;"",tblFleet[[#This Row],[Calendar_h]]&gt;0),tblFleet[[#This Row],[Available_h]]/tblFleet[[#This Row],[Calendar_h]],"")</f>
        <v/>
      </c>
      <c r="J768" s="60">
        <f>IF(AND(tblFleet[[#This Row],[Units]]&lt;&gt;"",tblFleet[[#This Row],[Available_h]]&gt;0),tblFleet[[#This Row],[Operating_h]]/tblFleet[[#This Row],[Available_h]],"")</f>
        <v/>
      </c>
    </row>
    <row r="769">
      <c r="A769" s="54" t="n"/>
      <c r="B769" s="61" t="n"/>
      <c r="C769" s="62" t="n"/>
      <c r="D769" s="57" t="n"/>
      <c r="E769" s="57" t="n"/>
      <c r="F769" s="58" t="n"/>
      <c r="G769" s="66">
        <f>IF(tblFleet[[#This Row],[Units]]="","",tblFleet[[#This Row],[Units]]*cfg_HoursPerDay)</f>
        <v/>
      </c>
      <c r="H769" s="66">
        <f>IF(tblFleet[[#This Row],[Units]]="","",tblFleet[[#This Row],[Calendar_h]]-tblFleet[[#This Row],[Down_h]])</f>
        <v/>
      </c>
      <c r="I769" s="60">
        <f>IF(AND(tblFleet[[#This Row],[Units]]&lt;&gt;"",tblFleet[[#This Row],[Calendar_h]]&gt;0),tblFleet[[#This Row],[Available_h]]/tblFleet[[#This Row],[Calendar_h]],"")</f>
        <v/>
      </c>
      <c r="J769" s="60">
        <f>IF(AND(tblFleet[[#This Row],[Units]]&lt;&gt;"",tblFleet[[#This Row],[Available_h]]&gt;0),tblFleet[[#This Row],[Operating_h]]/tblFleet[[#This Row],[Available_h]],"")</f>
        <v/>
      </c>
    </row>
    <row r="770">
      <c r="A770" s="54" t="n"/>
      <c r="B770" s="61" t="n"/>
      <c r="C770" s="62" t="n"/>
      <c r="D770" s="57" t="n"/>
      <c r="E770" s="57" t="n"/>
      <c r="F770" s="58" t="n"/>
      <c r="G770" s="66">
        <f>IF(tblFleet[[#This Row],[Units]]="","",tblFleet[[#This Row],[Units]]*cfg_HoursPerDay)</f>
        <v/>
      </c>
      <c r="H770" s="66">
        <f>IF(tblFleet[[#This Row],[Units]]="","",tblFleet[[#This Row],[Calendar_h]]-tblFleet[[#This Row],[Down_h]])</f>
        <v/>
      </c>
      <c r="I770" s="60">
        <f>IF(AND(tblFleet[[#This Row],[Units]]&lt;&gt;"",tblFleet[[#This Row],[Calendar_h]]&gt;0),tblFleet[[#This Row],[Available_h]]/tblFleet[[#This Row],[Calendar_h]],"")</f>
        <v/>
      </c>
      <c r="J770" s="60">
        <f>IF(AND(tblFleet[[#This Row],[Units]]&lt;&gt;"",tblFleet[[#This Row],[Available_h]]&gt;0),tblFleet[[#This Row],[Operating_h]]/tblFleet[[#This Row],[Available_h]],"")</f>
        <v/>
      </c>
    </row>
    <row r="771">
      <c r="A771" s="54" t="n"/>
      <c r="B771" s="61" t="n"/>
      <c r="C771" s="62" t="n"/>
      <c r="D771" s="57" t="n"/>
      <c r="E771" s="57" t="n"/>
      <c r="F771" s="58" t="n"/>
      <c r="G771" s="66">
        <f>IF(tblFleet[[#This Row],[Units]]="","",tblFleet[[#This Row],[Units]]*cfg_HoursPerDay)</f>
        <v/>
      </c>
      <c r="H771" s="66">
        <f>IF(tblFleet[[#This Row],[Units]]="","",tblFleet[[#This Row],[Calendar_h]]-tblFleet[[#This Row],[Down_h]])</f>
        <v/>
      </c>
      <c r="I771" s="60">
        <f>IF(AND(tblFleet[[#This Row],[Units]]&lt;&gt;"",tblFleet[[#This Row],[Calendar_h]]&gt;0),tblFleet[[#This Row],[Available_h]]/tblFleet[[#This Row],[Calendar_h]],"")</f>
        <v/>
      </c>
      <c r="J771" s="60">
        <f>IF(AND(tblFleet[[#This Row],[Units]]&lt;&gt;"",tblFleet[[#This Row],[Available_h]]&gt;0),tblFleet[[#This Row],[Operating_h]]/tblFleet[[#This Row],[Available_h]],"")</f>
        <v/>
      </c>
    </row>
    <row r="772">
      <c r="A772" s="54" t="n"/>
      <c r="B772" s="61" t="n"/>
      <c r="C772" s="62" t="n"/>
      <c r="D772" s="57" t="n"/>
      <c r="E772" s="57" t="n"/>
      <c r="F772" s="58" t="n"/>
      <c r="G772" s="66">
        <f>IF(tblFleet[[#This Row],[Units]]="","",tblFleet[[#This Row],[Units]]*cfg_HoursPerDay)</f>
        <v/>
      </c>
      <c r="H772" s="66">
        <f>IF(tblFleet[[#This Row],[Units]]="","",tblFleet[[#This Row],[Calendar_h]]-tblFleet[[#This Row],[Down_h]])</f>
        <v/>
      </c>
      <c r="I772" s="60">
        <f>IF(AND(tblFleet[[#This Row],[Units]]&lt;&gt;"",tblFleet[[#This Row],[Calendar_h]]&gt;0),tblFleet[[#This Row],[Available_h]]/tblFleet[[#This Row],[Calendar_h]],"")</f>
        <v/>
      </c>
      <c r="J772" s="60">
        <f>IF(AND(tblFleet[[#This Row],[Units]]&lt;&gt;"",tblFleet[[#This Row],[Available_h]]&gt;0),tblFleet[[#This Row],[Operating_h]]/tblFleet[[#This Row],[Available_h]],"")</f>
        <v/>
      </c>
    </row>
    <row r="773">
      <c r="A773" s="54" t="n"/>
      <c r="B773" s="61" t="n"/>
      <c r="C773" s="62" t="n"/>
      <c r="D773" s="57" t="n"/>
      <c r="E773" s="57" t="n"/>
      <c r="F773" s="58" t="n"/>
      <c r="G773" s="66">
        <f>IF(tblFleet[[#This Row],[Units]]="","",tblFleet[[#This Row],[Units]]*cfg_HoursPerDay)</f>
        <v/>
      </c>
      <c r="H773" s="66">
        <f>IF(tblFleet[[#This Row],[Units]]="","",tblFleet[[#This Row],[Calendar_h]]-tblFleet[[#This Row],[Down_h]])</f>
        <v/>
      </c>
      <c r="I773" s="60">
        <f>IF(AND(tblFleet[[#This Row],[Units]]&lt;&gt;"",tblFleet[[#This Row],[Calendar_h]]&gt;0),tblFleet[[#This Row],[Available_h]]/tblFleet[[#This Row],[Calendar_h]],"")</f>
        <v/>
      </c>
      <c r="J773" s="60">
        <f>IF(AND(tblFleet[[#This Row],[Units]]&lt;&gt;"",tblFleet[[#This Row],[Available_h]]&gt;0),tblFleet[[#This Row],[Operating_h]]/tblFleet[[#This Row],[Available_h]],"")</f>
        <v/>
      </c>
    </row>
    <row r="774">
      <c r="A774" s="54" t="n"/>
      <c r="B774" s="61" t="n"/>
      <c r="C774" s="62" t="n"/>
      <c r="D774" s="57" t="n"/>
      <c r="E774" s="57" t="n"/>
      <c r="F774" s="58" t="n"/>
      <c r="G774" s="66">
        <f>IF(tblFleet[[#This Row],[Units]]="","",tblFleet[[#This Row],[Units]]*cfg_HoursPerDay)</f>
        <v/>
      </c>
      <c r="H774" s="66">
        <f>IF(tblFleet[[#This Row],[Units]]="","",tblFleet[[#This Row],[Calendar_h]]-tblFleet[[#This Row],[Down_h]])</f>
        <v/>
      </c>
      <c r="I774" s="60">
        <f>IF(AND(tblFleet[[#This Row],[Units]]&lt;&gt;"",tblFleet[[#This Row],[Calendar_h]]&gt;0),tblFleet[[#This Row],[Available_h]]/tblFleet[[#This Row],[Calendar_h]],"")</f>
        <v/>
      </c>
      <c r="J774" s="60">
        <f>IF(AND(tblFleet[[#This Row],[Units]]&lt;&gt;"",tblFleet[[#This Row],[Available_h]]&gt;0),tblFleet[[#This Row],[Operating_h]]/tblFleet[[#This Row],[Available_h]],"")</f>
        <v/>
      </c>
    </row>
    <row r="775">
      <c r="A775" s="54" t="n"/>
      <c r="B775" s="61" t="n"/>
      <c r="C775" s="62" t="n"/>
      <c r="D775" s="57" t="n"/>
      <c r="E775" s="57" t="n"/>
      <c r="F775" s="58" t="n"/>
      <c r="G775" s="66">
        <f>IF(tblFleet[[#This Row],[Units]]="","",tblFleet[[#This Row],[Units]]*cfg_HoursPerDay)</f>
        <v/>
      </c>
      <c r="H775" s="66">
        <f>IF(tblFleet[[#This Row],[Units]]="","",tblFleet[[#This Row],[Calendar_h]]-tblFleet[[#This Row],[Down_h]])</f>
        <v/>
      </c>
      <c r="I775" s="60">
        <f>IF(AND(tblFleet[[#This Row],[Units]]&lt;&gt;"",tblFleet[[#This Row],[Calendar_h]]&gt;0),tblFleet[[#This Row],[Available_h]]/tblFleet[[#This Row],[Calendar_h]],"")</f>
        <v/>
      </c>
      <c r="J775" s="60">
        <f>IF(AND(tblFleet[[#This Row],[Units]]&lt;&gt;"",tblFleet[[#This Row],[Available_h]]&gt;0),tblFleet[[#This Row],[Operating_h]]/tblFleet[[#This Row],[Available_h]],"")</f>
        <v/>
      </c>
    </row>
    <row r="776">
      <c r="A776" s="54" t="n"/>
      <c r="B776" s="61" t="n"/>
      <c r="C776" s="62" t="n"/>
      <c r="D776" s="57" t="n"/>
      <c r="E776" s="57" t="n"/>
      <c r="F776" s="58" t="n"/>
      <c r="G776" s="66">
        <f>IF(tblFleet[[#This Row],[Units]]="","",tblFleet[[#This Row],[Units]]*cfg_HoursPerDay)</f>
        <v/>
      </c>
      <c r="H776" s="66">
        <f>IF(tblFleet[[#This Row],[Units]]="","",tblFleet[[#This Row],[Calendar_h]]-tblFleet[[#This Row],[Down_h]])</f>
        <v/>
      </c>
      <c r="I776" s="60">
        <f>IF(AND(tblFleet[[#This Row],[Units]]&lt;&gt;"",tblFleet[[#This Row],[Calendar_h]]&gt;0),tblFleet[[#This Row],[Available_h]]/tblFleet[[#This Row],[Calendar_h]],"")</f>
        <v/>
      </c>
      <c r="J776" s="60">
        <f>IF(AND(tblFleet[[#This Row],[Units]]&lt;&gt;"",tblFleet[[#This Row],[Available_h]]&gt;0),tblFleet[[#This Row],[Operating_h]]/tblFleet[[#This Row],[Available_h]],"")</f>
        <v/>
      </c>
    </row>
    <row r="777">
      <c r="A777" s="54" t="n"/>
      <c r="B777" s="61" t="n"/>
      <c r="C777" s="62" t="n"/>
      <c r="D777" s="57" t="n"/>
      <c r="E777" s="57" t="n"/>
      <c r="F777" s="58" t="n"/>
      <c r="G777" s="66">
        <f>IF(tblFleet[[#This Row],[Units]]="","",tblFleet[[#This Row],[Units]]*cfg_HoursPerDay)</f>
        <v/>
      </c>
      <c r="H777" s="66">
        <f>IF(tblFleet[[#This Row],[Units]]="","",tblFleet[[#This Row],[Calendar_h]]-tblFleet[[#This Row],[Down_h]])</f>
        <v/>
      </c>
      <c r="I777" s="60">
        <f>IF(AND(tblFleet[[#This Row],[Units]]&lt;&gt;"",tblFleet[[#This Row],[Calendar_h]]&gt;0),tblFleet[[#This Row],[Available_h]]/tblFleet[[#This Row],[Calendar_h]],"")</f>
        <v/>
      </c>
      <c r="J777" s="60">
        <f>IF(AND(tblFleet[[#This Row],[Units]]&lt;&gt;"",tblFleet[[#This Row],[Available_h]]&gt;0),tblFleet[[#This Row],[Operating_h]]/tblFleet[[#This Row],[Available_h]],"")</f>
        <v/>
      </c>
    </row>
    <row r="778">
      <c r="A778" s="54" t="n"/>
      <c r="B778" s="61" t="n"/>
      <c r="C778" s="62" t="n"/>
      <c r="D778" s="57" t="n"/>
      <c r="E778" s="57" t="n"/>
      <c r="F778" s="58" t="n"/>
      <c r="G778" s="66">
        <f>IF(tblFleet[[#This Row],[Units]]="","",tblFleet[[#This Row],[Units]]*cfg_HoursPerDay)</f>
        <v/>
      </c>
      <c r="H778" s="66">
        <f>IF(tblFleet[[#This Row],[Units]]="","",tblFleet[[#This Row],[Calendar_h]]-tblFleet[[#This Row],[Down_h]])</f>
        <v/>
      </c>
      <c r="I778" s="60">
        <f>IF(AND(tblFleet[[#This Row],[Units]]&lt;&gt;"",tblFleet[[#This Row],[Calendar_h]]&gt;0),tblFleet[[#This Row],[Available_h]]/tblFleet[[#This Row],[Calendar_h]],"")</f>
        <v/>
      </c>
      <c r="J778" s="60">
        <f>IF(AND(tblFleet[[#This Row],[Units]]&lt;&gt;"",tblFleet[[#This Row],[Available_h]]&gt;0),tblFleet[[#This Row],[Operating_h]]/tblFleet[[#This Row],[Available_h]],"")</f>
        <v/>
      </c>
    </row>
    <row r="779">
      <c r="A779" s="54" t="n"/>
      <c r="B779" s="61" t="n"/>
      <c r="C779" s="62" t="n"/>
      <c r="D779" s="57" t="n"/>
      <c r="E779" s="57" t="n"/>
      <c r="F779" s="58" t="n"/>
      <c r="G779" s="66">
        <f>IF(tblFleet[[#This Row],[Units]]="","",tblFleet[[#This Row],[Units]]*cfg_HoursPerDay)</f>
        <v/>
      </c>
      <c r="H779" s="66">
        <f>IF(tblFleet[[#This Row],[Units]]="","",tblFleet[[#This Row],[Calendar_h]]-tblFleet[[#This Row],[Down_h]])</f>
        <v/>
      </c>
      <c r="I779" s="60">
        <f>IF(AND(tblFleet[[#This Row],[Units]]&lt;&gt;"",tblFleet[[#This Row],[Calendar_h]]&gt;0),tblFleet[[#This Row],[Available_h]]/tblFleet[[#This Row],[Calendar_h]],"")</f>
        <v/>
      </c>
      <c r="J779" s="60">
        <f>IF(AND(tblFleet[[#This Row],[Units]]&lt;&gt;"",tblFleet[[#This Row],[Available_h]]&gt;0),tblFleet[[#This Row],[Operating_h]]/tblFleet[[#This Row],[Available_h]],"")</f>
        <v/>
      </c>
    </row>
    <row r="780">
      <c r="A780" s="54" t="n"/>
      <c r="B780" s="61" t="n"/>
      <c r="C780" s="62" t="n"/>
      <c r="D780" s="57" t="n"/>
      <c r="E780" s="57" t="n"/>
      <c r="F780" s="58" t="n"/>
      <c r="G780" s="66">
        <f>IF(tblFleet[[#This Row],[Units]]="","",tblFleet[[#This Row],[Units]]*cfg_HoursPerDay)</f>
        <v/>
      </c>
      <c r="H780" s="66">
        <f>IF(tblFleet[[#This Row],[Units]]="","",tblFleet[[#This Row],[Calendar_h]]-tblFleet[[#This Row],[Down_h]])</f>
        <v/>
      </c>
      <c r="I780" s="60">
        <f>IF(AND(tblFleet[[#This Row],[Units]]&lt;&gt;"",tblFleet[[#This Row],[Calendar_h]]&gt;0),tblFleet[[#This Row],[Available_h]]/tblFleet[[#This Row],[Calendar_h]],"")</f>
        <v/>
      </c>
      <c r="J780" s="60">
        <f>IF(AND(tblFleet[[#This Row],[Units]]&lt;&gt;"",tblFleet[[#This Row],[Available_h]]&gt;0),tblFleet[[#This Row],[Operating_h]]/tblFleet[[#This Row],[Available_h]],"")</f>
        <v/>
      </c>
    </row>
    <row r="781">
      <c r="A781" s="54" t="n"/>
      <c r="B781" s="61" t="n"/>
      <c r="C781" s="62" t="n"/>
      <c r="D781" s="57" t="n"/>
      <c r="E781" s="57" t="n"/>
      <c r="F781" s="58" t="n"/>
      <c r="G781" s="66">
        <f>IF(tblFleet[[#This Row],[Units]]="","",tblFleet[[#This Row],[Units]]*cfg_HoursPerDay)</f>
        <v/>
      </c>
      <c r="H781" s="66">
        <f>IF(tblFleet[[#This Row],[Units]]="","",tblFleet[[#This Row],[Calendar_h]]-tblFleet[[#This Row],[Down_h]])</f>
        <v/>
      </c>
      <c r="I781" s="60">
        <f>IF(AND(tblFleet[[#This Row],[Units]]&lt;&gt;"",tblFleet[[#This Row],[Calendar_h]]&gt;0),tblFleet[[#This Row],[Available_h]]/tblFleet[[#This Row],[Calendar_h]],"")</f>
        <v/>
      </c>
      <c r="J781" s="60">
        <f>IF(AND(tblFleet[[#This Row],[Units]]&lt;&gt;"",tblFleet[[#This Row],[Available_h]]&gt;0),tblFleet[[#This Row],[Operating_h]]/tblFleet[[#This Row],[Available_h]],"")</f>
        <v/>
      </c>
    </row>
    <row r="782">
      <c r="A782" s="54" t="n"/>
      <c r="B782" s="61" t="n"/>
      <c r="C782" s="62" t="n"/>
      <c r="D782" s="57" t="n"/>
      <c r="E782" s="57" t="n"/>
      <c r="F782" s="58" t="n"/>
      <c r="G782" s="66">
        <f>IF(tblFleet[[#This Row],[Units]]="","",tblFleet[[#This Row],[Units]]*cfg_HoursPerDay)</f>
        <v/>
      </c>
      <c r="H782" s="66">
        <f>IF(tblFleet[[#This Row],[Units]]="","",tblFleet[[#This Row],[Calendar_h]]-tblFleet[[#This Row],[Down_h]])</f>
        <v/>
      </c>
      <c r="I782" s="60">
        <f>IF(AND(tblFleet[[#This Row],[Units]]&lt;&gt;"",tblFleet[[#This Row],[Calendar_h]]&gt;0),tblFleet[[#This Row],[Available_h]]/tblFleet[[#This Row],[Calendar_h]],"")</f>
        <v/>
      </c>
      <c r="J782" s="60">
        <f>IF(AND(tblFleet[[#This Row],[Units]]&lt;&gt;"",tblFleet[[#This Row],[Available_h]]&gt;0),tblFleet[[#This Row],[Operating_h]]/tblFleet[[#This Row],[Available_h]],"")</f>
        <v/>
      </c>
    </row>
    <row r="783">
      <c r="A783" s="54" t="n"/>
      <c r="B783" s="61" t="n"/>
      <c r="C783" s="62" t="n"/>
      <c r="D783" s="57" t="n"/>
      <c r="E783" s="57" t="n"/>
      <c r="F783" s="58" t="n"/>
      <c r="G783" s="66">
        <f>IF(tblFleet[[#This Row],[Units]]="","",tblFleet[[#This Row],[Units]]*cfg_HoursPerDay)</f>
        <v/>
      </c>
      <c r="H783" s="66">
        <f>IF(tblFleet[[#This Row],[Units]]="","",tblFleet[[#This Row],[Calendar_h]]-tblFleet[[#This Row],[Down_h]])</f>
        <v/>
      </c>
      <c r="I783" s="60">
        <f>IF(AND(tblFleet[[#This Row],[Units]]&lt;&gt;"",tblFleet[[#This Row],[Calendar_h]]&gt;0),tblFleet[[#This Row],[Available_h]]/tblFleet[[#This Row],[Calendar_h]],"")</f>
        <v/>
      </c>
      <c r="J783" s="60">
        <f>IF(AND(tblFleet[[#This Row],[Units]]&lt;&gt;"",tblFleet[[#This Row],[Available_h]]&gt;0),tblFleet[[#This Row],[Operating_h]]/tblFleet[[#This Row],[Available_h]],"")</f>
        <v/>
      </c>
    </row>
    <row r="784">
      <c r="A784" s="54" t="n"/>
      <c r="B784" s="61" t="n"/>
      <c r="C784" s="62" t="n"/>
      <c r="D784" s="57" t="n"/>
      <c r="E784" s="57" t="n"/>
      <c r="F784" s="58" t="n"/>
      <c r="G784" s="66">
        <f>IF(tblFleet[[#This Row],[Units]]="","",tblFleet[[#This Row],[Units]]*cfg_HoursPerDay)</f>
        <v/>
      </c>
      <c r="H784" s="66">
        <f>IF(tblFleet[[#This Row],[Units]]="","",tblFleet[[#This Row],[Calendar_h]]-tblFleet[[#This Row],[Down_h]])</f>
        <v/>
      </c>
      <c r="I784" s="60">
        <f>IF(AND(tblFleet[[#This Row],[Units]]&lt;&gt;"",tblFleet[[#This Row],[Calendar_h]]&gt;0),tblFleet[[#This Row],[Available_h]]/tblFleet[[#This Row],[Calendar_h]],"")</f>
        <v/>
      </c>
      <c r="J784" s="60">
        <f>IF(AND(tblFleet[[#This Row],[Units]]&lt;&gt;"",tblFleet[[#This Row],[Available_h]]&gt;0),tblFleet[[#This Row],[Operating_h]]/tblFleet[[#This Row],[Available_h]],"")</f>
        <v/>
      </c>
    </row>
    <row r="785">
      <c r="A785" s="54" t="n"/>
      <c r="B785" s="61" t="n"/>
      <c r="C785" s="62" t="n"/>
      <c r="D785" s="57" t="n"/>
      <c r="E785" s="57" t="n"/>
      <c r="F785" s="58" t="n"/>
      <c r="G785" s="66">
        <f>IF(tblFleet[[#This Row],[Units]]="","",tblFleet[[#This Row],[Units]]*cfg_HoursPerDay)</f>
        <v/>
      </c>
      <c r="H785" s="66">
        <f>IF(tblFleet[[#This Row],[Units]]="","",tblFleet[[#This Row],[Calendar_h]]-tblFleet[[#This Row],[Down_h]])</f>
        <v/>
      </c>
      <c r="I785" s="60">
        <f>IF(AND(tblFleet[[#This Row],[Units]]&lt;&gt;"",tblFleet[[#This Row],[Calendar_h]]&gt;0),tblFleet[[#This Row],[Available_h]]/tblFleet[[#This Row],[Calendar_h]],"")</f>
        <v/>
      </c>
      <c r="J785" s="60">
        <f>IF(AND(tblFleet[[#This Row],[Units]]&lt;&gt;"",tblFleet[[#This Row],[Available_h]]&gt;0),tblFleet[[#This Row],[Operating_h]]/tblFleet[[#This Row],[Available_h]],"")</f>
        <v/>
      </c>
    </row>
    <row r="786">
      <c r="A786" s="54" t="n"/>
      <c r="B786" s="61" t="n"/>
      <c r="C786" s="62" t="n"/>
      <c r="D786" s="57" t="n"/>
      <c r="E786" s="57" t="n"/>
      <c r="F786" s="58" t="n"/>
      <c r="G786" s="66">
        <f>IF(tblFleet[[#This Row],[Units]]="","",tblFleet[[#This Row],[Units]]*cfg_HoursPerDay)</f>
        <v/>
      </c>
      <c r="H786" s="66">
        <f>IF(tblFleet[[#This Row],[Units]]="","",tblFleet[[#This Row],[Calendar_h]]-tblFleet[[#This Row],[Down_h]])</f>
        <v/>
      </c>
      <c r="I786" s="60">
        <f>IF(AND(tblFleet[[#This Row],[Units]]&lt;&gt;"",tblFleet[[#This Row],[Calendar_h]]&gt;0),tblFleet[[#This Row],[Available_h]]/tblFleet[[#This Row],[Calendar_h]],"")</f>
        <v/>
      </c>
      <c r="J786" s="60">
        <f>IF(AND(tblFleet[[#This Row],[Units]]&lt;&gt;"",tblFleet[[#This Row],[Available_h]]&gt;0),tblFleet[[#This Row],[Operating_h]]/tblFleet[[#This Row],[Available_h]],"")</f>
        <v/>
      </c>
    </row>
    <row r="787">
      <c r="A787" s="54" t="n"/>
      <c r="B787" s="61" t="n"/>
      <c r="C787" s="62" t="n"/>
      <c r="D787" s="57" t="n"/>
      <c r="E787" s="57" t="n"/>
      <c r="F787" s="58" t="n"/>
      <c r="G787" s="66">
        <f>IF(tblFleet[[#This Row],[Units]]="","",tblFleet[[#This Row],[Units]]*cfg_HoursPerDay)</f>
        <v/>
      </c>
      <c r="H787" s="66">
        <f>IF(tblFleet[[#This Row],[Units]]="","",tblFleet[[#This Row],[Calendar_h]]-tblFleet[[#This Row],[Down_h]])</f>
        <v/>
      </c>
      <c r="I787" s="60">
        <f>IF(AND(tblFleet[[#This Row],[Units]]&lt;&gt;"",tblFleet[[#This Row],[Calendar_h]]&gt;0),tblFleet[[#This Row],[Available_h]]/tblFleet[[#This Row],[Calendar_h]],"")</f>
        <v/>
      </c>
      <c r="J787" s="60">
        <f>IF(AND(tblFleet[[#This Row],[Units]]&lt;&gt;"",tblFleet[[#This Row],[Available_h]]&gt;0),tblFleet[[#This Row],[Operating_h]]/tblFleet[[#This Row],[Available_h]],"")</f>
        <v/>
      </c>
    </row>
    <row r="788">
      <c r="A788" s="54" t="n"/>
      <c r="B788" s="61" t="n"/>
      <c r="C788" s="62" t="n"/>
      <c r="D788" s="57" t="n"/>
      <c r="E788" s="57" t="n"/>
      <c r="F788" s="58" t="n"/>
      <c r="G788" s="66">
        <f>IF(tblFleet[[#This Row],[Units]]="","",tblFleet[[#This Row],[Units]]*cfg_HoursPerDay)</f>
        <v/>
      </c>
      <c r="H788" s="66">
        <f>IF(tblFleet[[#This Row],[Units]]="","",tblFleet[[#This Row],[Calendar_h]]-tblFleet[[#This Row],[Down_h]])</f>
        <v/>
      </c>
      <c r="I788" s="60">
        <f>IF(AND(tblFleet[[#This Row],[Units]]&lt;&gt;"",tblFleet[[#This Row],[Calendar_h]]&gt;0),tblFleet[[#This Row],[Available_h]]/tblFleet[[#This Row],[Calendar_h]],"")</f>
        <v/>
      </c>
      <c r="J788" s="60">
        <f>IF(AND(tblFleet[[#This Row],[Units]]&lt;&gt;"",tblFleet[[#This Row],[Available_h]]&gt;0),tblFleet[[#This Row],[Operating_h]]/tblFleet[[#This Row],[Available_h]],"")</f>
        <v/>
      </c>
    </row>
    <row r="789">
      <c r="A789" s="54" t="n"/>
      <c r="B789" s="61" t="n"/>
      <c r="C789" s="62" t="n"/>
      <c r="D789" s="57" t="n"/>
      <c r="E789" s="57" t="n"/>
      <c r="F789" s="58" t="n"/>
      <c r="G789" s="66">
        <f>IF(tblFleet[[#This Row],[Units]]="","",tblFleet[[#This Row],[Units]]*cfg_HoursPerDay)</f>
        <v/>
      </c>
      <c r="H789" s="66">
        <f>IF(tblFleet[[#This Row],[Units]]="","",tblFleet[[#This Row],[Calendar_h]]-tblFleet[[#This Row],[Down_h]])</f>
        <v/>
      </c>
      <c r="I789" s="60">
        <f>IF(AND(tblFleet[[#This Row],[Units]]&lt;&gt;"",tblFleet[[#This Row],[Calendar_h]]&gt;0),tblFleet[[#This Row],[Available_h]]/tblFleet[[#This Row],[Calendar_h]],"")</f>
        <v/>
      </c>
      <c r="J789" s="60">
        <f>IF(AND(tblFleet[[#This Row],[Units]]&lt;&gt;"",tblFleet[[#This Row],[Available_h]]&gt;0),tblFleet[[#This Row],[Operating_h]]/tblFleet[[#This Row],[Available_h]],"")</f>
        <v/>
      </c>
    </row>
    <row r="790">
      <c r="A790" s="54" t="n"/>
      <c r="B790" s="61" t="n"/>
      <c r="C790" s="62" t="n"/>
      <c r="D790" s="57" t="n"/>
      <c r="E790" s="57" t="n"/>
      <c r="F790" s="58" t="n"/>
      <c r="G790" s="66">
        <f>IF(tblFleet[[#This Row],[Units]]="","",tblFleet[[#This Row],[Units]]*cfg_HoursPerDay)</f>
        <v/>
      </c>
      <c r="H790" s="66">
        <f>IF(tblFleet[[#This Row],[Units]]="","",tblFleet[[#This Row],[Calendar_h]]-tblFleet[[#This Row],[Down_h]])</f>
        <v/>
      </c>
      <c r="I790" s="60">
        <f>IF(AND(tblFleet[[#This Row],[Units]]&lt;&gt;"",tblFleet[[#This Row],[Calendar_h]]&gt;0),tblFleet[[#This Row],[Available_h]]/tblFleet[[#This Row],[Calendar_h]],"")</f>
        <v/>
      </c>
      <c r="J790" s="60">
        <f>IF(AND(tblFleet[[#This Row],[Units]]&lt;&gt;"",tblFleet[[#This Row],[Available_h]]&gt;0),tblFleet[[#This Row],[Operating_h]]/tblFleet[[#This Row],[Available_h]],"")</f>
        <v/>
      </c>
    </row>
    <row r="791">
      <c r="A791" s="54" t="n"/>
      <c r="B791" s="61" t="n"/>
      <c r="C791" s="62" t="n"/>
      <c r="D791" s="57" t="n"/>
      <c r="E791" s="57" t="n"/>
      <c r="F791" s="58" t="n"/>
      <c r="G791" s="66">
        <f>IF(tblFleet[[#This Row],[Units]]="","",tblFleet[[#This Row],[Units]]*cfg_HoursPerDay)</f>
        <v/>
      </c>
      <c r="H791" s="66">
        <f>IF(tblFleet[[#This Row],[Units]]="","",tblFleet[[#This Row],[Calendar_h]]-tblFleet[[#This Row],[Down_h]])</f>
        <v/>
      </c>
      <c r="I791" s="60">
        <f>IF(AND(tblFleet[[#This Row],[Units]]&lt;&gt;"",tblFleet[[#This Row],[Calendar_h]]&gt;0),tblFleet[[#This Row],[Available_h]]/tblFleet[[#This Row],[Calendar_h]],"")</f>
        <v/>
      </c>
      <c r="J791" s="60">
        <f>IF(AND(tblFleet[[#This Row],[Units]]&lt;&gt;"",tblFleet[[#This Row],[Available_h]]&gt;0),tblFleet[[#This Row],[Operating_h]]/tblFleet[[#This Row],[Available_h]],"")</f>
        <v/>
      </c>
    </row>
    <row r="792">
      <c r="A792" s="54" t="n"/>
      <c r="B792" s="61" t="n"/>
      <c r="C792" s="62" t="n"/>
      <c r="D792" s="57" t="n"/>
      <c r="E792" s="57" t="n"/>
      <c r="F792" s="58" t="n"/>
      <c r="G792" s="66">
        <f>IF(tblFleet[[#This Row],[Units]]="","",tblFleet[[#This Row],[Units]]*cfg_HoursPerDay)</f>
        <v/>
      </c>
      <c r="H792" s="66">
        <f>IF(tblFleet[[#This Row],[Units]]="","",tblFleet[[#This Row],[Calendar_h]]-tblFleet[[#This Row],[Down_h]])</f>
        <v/>
      </c>
      <c r="I792" s="60">
        <f>IF(AND(tblFleet[[#This Row],[Units]]&lt;&gt;"",tblFleet[[#This Row],[Calendar_h]]&gt;0),tblFleet[[#This Row],[Available_h]]/tblFleet[[#This Row],[Calendar_h]],"")</f>
        <v/>
      </c>
      <c r="J792" s="60">
        <f>IF(AND(tblFleet[[#This Row],[Units]]&lt;&gt;"",tblFleet[[#This Row],[Available_h]]&gt;0),tblFleet[[#This Row],[Operating_h]]/tblFleet[[#This Row],[Available_h]],"")</f>
        <v/>
      </c>
    </row>
    <row r="793">
      <c r="A793" s="54" t="n"/>
      <c r="B793" s="61" t="n"/>
      <c r="C793" s="62" t="n"/>
      <c r="D793" s="57" t="n"/>
      <c r="E793" s="57" t="n"/>
      <c r="F793" s="58" t="n"/>
      <c r="G793" s="66">
        <f>IF(tblFleet[[#This Row],[Units]]="","",tblFleet[[#This Row],[Units]]*cfg_HoursPerDay)</f>
        <v/>
      </c>
      <c r="H793" s="66">
        <f>IF(tblFleet[[#This Row],[Units]]="","",tblFleet[[#This Row],[Calendar_h]]-tblFleet[[#This Row],[Down_h]])</f>
        <v/>
      </c>
      <c r="I793" s="60">
        <f>IF(AND(tblFleet[[#This Row],[Units]]&lt;&gt;"",tblFleet[[#This Row],[Calendar_h]]&gt;0),tblFleet[[#This Row],[Available_h]]/tblFleet[[#This Row],[Calendar_h]],"")</f>
        <v/>
      </c>
      <c r="J793" s="60">
        <f>IF(AND(tblFleet[[#This Row],[Units]]&lt;&gt;"",tblFleet[[#This Row],[Available_h]]&gt;0),tblFleet[[#This Row],[Operating_h]]/tblFleet[[#This Row],[Available_h]],"")</f>
        <v/>
      </c>
    </row>
    <row r="794">
      <c r="A794" s="54" t="n"/>
      <c r="B794" s="61" t="n"/>
      <c r="C794" s="62" t="n"/>
      <c r="D794" s="57" t="n"/>
      <c r="E794" s="57" t="n"/>
      <c r="F794" s="58" t="n"/>
      <c r="G794" s="66">
        <f>IF(tblFleet[[#This Row],[Units]]="","",tblFleet[[#This Row],[Units]]*cfg_HoursPerDay)</f>
        <v/>
      </c>
      <c r="H794" s="66">
        <f>IF(tblFleet[[#This Row],[Units]]="","",tblFleet[[#This Row],[Calendar_h]]-tblFleet[[#This Row],[Down_h]])</f>
        <v/>
      </c>
      <c r="I794" s="60">
        <f>IF(AND(tblFleet[[#This Row],[Units]]&lt;&gt;"",tblFleet[[#This Row],[Calendar_h]]&gt;0),tblFleet[[#This Row],[Available_h]]/tblFleet[[#This Row],[Calendar_h]],"")</f>
        <v/>
      </c>
      <c r="J794" s="60">
        <f>IF(AND(tblFleet[[#This Row],[Units]]&lt;&gt;"",tblFleet[[#This Row],[Available_h]]&gt;0),tblFleet[[#This Row],[Operating_h]]/tblFleet[[#This Row],[Available_h]],"")</f>
        <v/>
      </c>
    </row>
    <row r="795">
      <c r="A795" s="54" t="n"/>
      <c r="B795" s="61" t="n"/>
      <c r="C795" s="62" t="n"/>
      <c r="D795" s="57" t="n"/>
      <c r="E795" s="57" t="n"/>
      <c r="F795" s="58" t="n"/>
      <c r="G795" s="66">
        <f>IF(tblFleet[[#This Row],[Units]]="","",tblFleet[[#This Row],[Units]]*cfg_HoursPerDay)</f>
        <v/>
      </c>
      <c r="H795" s="66">
        <f>IF(tblFleet[[#This Row],[Units]]="","",tblFleet[[#This Row],[Calendar_h]]-tblFleet[[#This Row],[Down_h]])</f>
        <v/>
      </c>
      <c r="I795" s="60">
        <f>IF(AND(tblFleet[[#This Row],[Units]]&lt;&gt;"",tblFleet[[#This Row],[Calendar_h]]&gt;0),tblFleet[[#This Row],[Available_h]]/tblFleet[[#This Row],[Calendar_h]],"")</f>
        <v/>
      </c>
      <c r="J795" s="60">
        <f>IF(AND(tblFleet[[#This Row],[Units]]&lt;&gt;"",tblFleet[[#This Row],[Available_h]]&gt;0),tblFleet[[#This Row],[Operating_h]]/tblFleet[[#This Row],[Available_h]],"")</f>
        <v/>
      </c>
    </row>
    <row r="796">
      <c r="A796" s="54" t="n"/>
      <c r="B796" s="61" t="n"/>
      <c r="C796" s="62" t="n"/>
      <c r="D796" s="57" t="n"/>
      <c r="E796" s="57" t="n"/>
      <c r="F796" s="58" t="n"/>
      <c r="G796" s="66">
        <f>IF(tblFleet[[#This Row],[Units]]="","",tblFleet[[#This Row],[Units]]*cfg_HoursPerDay)</f>
        <v/>
      </c>
      <c r="H796" s="66">
        <f>IF(tblFleet[[#This Row],[Units]]="","",tblFleet[[#This Row],[Calendar_h]]-tblFleet[[#This Row],[Down_h]])</f>
        <v/>
      </c>
      <c r="I796" s="60">
        <f>IF(AND(tblFleet[[#This Row],[Units]]&lt;&gt;"",tblFleet[[#This Row],[Calendar_h]]&gt;0),tblFleet[[#This Row],[Available_h]]/tblFleet[[#This Row],[Calendar_h]],"")</f>
        <v/>
      </c>
      <c r="J796" s="60">
        <f>IF(AND(tblFleet[[#This Row],[Units]]&lt;&gt;"",tblFleet[[#This Row],[Available_h]]&gt;0),tblFleet[[#This Row],[Operating_h]]/tblFleet[[#This Row],[Available_h]],"")</f>
        <v/>
      </c>
    </row>
    <row r="797">
      <c r="A797" s="54" t="n"/>
      <c r="B797" s="61" t="n"/>
      <c r="C797" s="62" t="n"/>
      <c r="D797" s="57" t="n"/>
      <c r="E797" s="57" t="n"/>
      <c r="F797" s="58" t="n"/>
      <c r="G797" s="66">
        <f>IF(tblFleet[[#This Row],[Units]]="","",tblFleet[[#This Row],[Units]]*cfg_HoursPerDay)</f>
        <v/>
      </c>
      <c r="H797" s="66">
        <f>IF(tblFleet[[#This Row],[Units]]="","",tblFleet[[#This Row],[Calendar_h]]-tblFleet[[#This Row],[Down_h]])</f>
        <v/>
      </c>
      <c r="I797" s="60">
        <f>IF(AND(tblFleet[[#This Row],[Units]]&lt;&gt;"",tblFleet[[#This Row],[Calendar_h]]&gt;0),tblFleet[[#This Row],[Available_h]]/tblFleet[[#This Row],[Calendar_h]],"")</f>
        <v/>
      </c>
      <c r="J797" s="60">
        <f>IF(AND(tblFleet[[#This Row],[Units]]&lt;&gt;"",tblFleet[[#This Row],[Available_h]]&gt;0),tblFleet[[#This Row],[Operating_h]]/tblFleet[[#This Row],[Available_h]],"")</f>
        <v/>
      </c>
    </row>
    <row r="798">
      <c r="A798" s="54" t="n"/>
      <c r="B798" s="61" t="n"/>
      <c r="C798" s="62" t="n"/>
      <c r="D798" s="57" t="n"/>
      <c r="E798" s="57" t="n"/>
      <c r="F798" s="58" t="n"/>
      <c r="G798" s="66">
        <f>IF(tblFleet[[#This Row],[Units]]="","",tblFleet[[#This Row],[Units]]*cfg_HoursPerDay)</f>
        <v/>
      </c>
      <c r="H798" s="66">
        <f>IF(tblFleet[[#This Row],[Units]]="","",tblFleet[[#This Row],[Calendar_h]]-tblFleet[[#This Row],[Down_h]])</f>
        <v/>
      </c>
      <c r="I798" s="60">
        <f>IF(AND(tblFleet[[#This Row],[Units]]&lt;&gt;"",tblFleet[[#This Row],[Calendar_h]]&gt;0),tblFleet[[#This Row],[Available_h]]/tblFleet[[#This Row],[Calendar_h]],"")</f>
        <v/>
      </c>
      <c r="J798" s="60">
        <f>IF(AND(tblFleet[[#This Row],[Units]]&lt;&gt;"",tblFleet[[#This Row],[Available_h]]&gt;0),tblFleet[[#This Row],[Operating_h]]/tblFleet[[#This Row],[Available_h]],"")</f>
        <v/>
      </c>
    </row>
    <row r="799">
      <c r="A799" s="54" t="n"/>
      <c r="B799" s="61" t="n"/>
      <c r="C799" s="62" t="n"/>
      <c r="D799" s="57" t="n"/>
      <c r="E799" s="57" t="n"/>
      <c r="F799" s="58" t="n"/>
      <c r="G799" s="66">
        <f>IF(tblFleet[[#This Row],[Units]]="","",tblFleet[[#This Row],[Units]]*cfg_HoursPerDay)</f>
        <v/>
      </c>
      <c r="H799" s="66">
        <f>IF(tblFleet[[#This Row],[Units]]="","",tblFleet[[#This Row],[Calendar_h]]-tblFleet[[#This Row],[Down_h]])</f>
        <v/>
      </c>
      <c r="I799" s="60">
        <f>IF(AND(tblFleet[[#This Row],[Units]]&lt;&gt;"",tblFleet[[#This Row],[Calendar_h]]&gt;0),tblFleet[[#This Row],[Available_h]]/tblFleet[[#This Row],[Calendar_h]],"")</f>
        <v/>
      </c>
      <c r="J799" s="60">
        <f>IF(AND(tblFleet[[#This Row],[Units]]&lt;&gt;"",tblFleet[[#This Row],[Available_h]]&gt;0),tblFleet[[#This Row],[Operating_h]]/tblFleet[[#This Row],[Available_h]],"")</f>
        <v/>
      </c>
    </row>
    <row r="800">
      <c r="A800" s="54" t="n"/>
      <c r="B800" s="61" t="n"/>
      <c r="C800" s="62" t="n"/>
      <c r="D800" s="57" t="n"/>
      <c r="E800" s="57" t="n"/>
      <c r="F800" s="58" t="n"/>
      <c r="G800" s="66">
        <f>IF(tblFleet[[#This Row],[Units]]="","",tblFleet[[#This Row],[Units]]*cfg_HoursPerDay)</f>
        <v/>
      </c>
      <c r="H800" s="66">
        <f>IF(tblFleet[[#This Row],[Units]]="","",tblFleet[[#This Row],[Calendar_h]]-tblFleet[[#This Row],[Down_h]])</f>
        <v/>
      </c>
      <c r="I800" s="60">
        <f>IF(AND(tblFleet[[#This Row],[Units]]&lt;&gt;"",tblFleet[[#This Row],[Calendar_h]]&gt;0),tblFleet[[#This Row],[Available_h]]/tblFleet[[#This Row],[Calendar_h]],"")</f>
        <v/>
      </c>
      <c r="J800" s="60">
        <f>IF(AND(tblFleet[[#This Row],[Units]]&lt;&gt;"",tblFleet[[#This Row],[Available_h]]&gt;0),tblFleet[[#This Row],[Operating_h]]/tblFleet[[#This Row],[Available_h]],"")</f>
        <v/>
      </c>
    </row>
    <row r="801">
      <c r="A801" s="54" t="n"/>
      <c r="B801" s="61" t="n"/>
      <c r="C801" s="62" t="n"/>
      <c r="D801" s="57" t="n"/>
      <c r="E801" s="57" t="n"/>
      <c r="F801" s="58" t="n"/>
      <c r="G801" s="66">
        <f>IF(tblFleet[[#This Row],[Units]]="","",tblFleet[[#This Row],[Units]]*cfg_HoursPerDay)</f>
        <v/>
      </c>
      <c r="H801" s="66">
        <f>IF(tblFleet[[#This Row],[Units]]="","",tblFleet[[#This Row],[Calendar_h]]-tblFleet[[#This Row],[Down_h]])</f>
        <v/>
      </c>
      <c r="I801" s="60">
        <f>IF(AND(tblFleet[[#This Row],[Units]]&lt;&gt;"",tblFleet[[#This Row],[Calendar_h]]&gt;0),tblFleet[[#This Row],[Available_h]]/tblFleet[[#This Row],[Calendar_h]],"")</f>
        <v/>
      </c>
      <c r="J801" s="60">
        <f>IF(AND(tblFleet[[#This Row],[Units]]&lt;&gt;"",tblFleet[[#This Row],[Available_h]]&gt;0),tblFleet[[#This Row],[Operating_h]]/tblFleet[[#This Row],[Available_h]],"")</f>
        <v/>
      </c>
    </row>
    <row r="802">
      <c r="A802" s="54" t="n"/>
      <c r="B802" s="61" t="n"/>
      <c r="C802" s="62" t="n"/>
      <c r="D802" s="57" t="n"/>
      <c r="E802" s="57" t="n"/>
      <c r="F802" s="58" t="n"/>
      <c r="G802" s="66">
        <f>IF(tblFleet[[#This Row],[Units]]="","",tblFleet[[#This Row],[Units]]*cfg_HoursPerDay)</f>
        <v/>
      </c>
      <c r="H802" s="66">
        <f>IF(tblFleet[[#This Row],[Units]]="","",tblFleet[[#This Row],[Calendar_h]]-tblFleet[[#This Row],[Down_h]])</f>
        <v/>
      </c>
      <c r="I802" s="60">
        <f>IF(AND(tblFleet[[#This Row],[Units]]&lt;&gt;"",tblFleet[[#This Row],[Calendar_h]]&gt;0),tblFleet[[#This Row],[Available_h]]/tblFleet[[#This Row],[Calendar_h]],"")</f>
        <v/>
      </c>
      <c r="J802" s="60">
        <f>IF(AND(tblFleet[[#This Row],[Units]]&lt;&gt;"",tblFleet[[#This Row],[Available_h]]&gt;0),tblFleet[[#This Row],[Operating_h]]/tblFleet[[#This Row],[Available_h]],"")</f>
        <v/>
      </c>
    </row>
    <row r="803">
      <c r="A803" s="54" t="n"/>
      <c r="B803" s="61" t="n"/>
      <c r="C803" s="62" t="n"/>
      <c r="D803" s="57" t="n"/>
      <c r="E803" s="57" t="n"/>
      <c r="F803" s="58" t="n"/>
      <c r="G803" s="66">
        <f>IF(tblFleet[[#This Row],[Units]]="","",tblFleet[[#This Row],[Units]]*cfg_HoursPerDay)</f>
        <v/>
      </c>
      <c r="H803" s="66">
        <f>IF(tblFleet[[#This Row],[Units]]="","",tblFleet[[#This Row],[Calendar_h]]-tblFleet[[#This Row],[Down_h]])</f>
        <v/>
      </c>
      <c r="I803" s="60">
        <f>IF(AND(tblFleet[[#This Row],[Units]]&lt;&gt;"",tblFleet[[#This Row],[Calendar_h]]&gt;0),tblFleet[[#This Row],[Available_h]]/tblFleet[[#This Row],[Calendar_h]],"")</f>
        <v/>
      </c>
      <c r="J803" s="60">
        <f>IF(AND(tblFleet[[#This Row],[Units]]&lt;&gt;"",tblFleet[[#This Row],[Available_h]]&gt;0),tblFleet[[#This Row],[Operating_h]]/tblFleet[[#This Row],[Available_h]],"")</f>
        <v/>
      </c>
    </row>
    <row r="804">
      <c r="A804" s="54" t="n"/>
      <c r="B804" s="61" t="n"/>
      <c r="C804" s="62" t="n"/>
      <c r="D804" s="57" t="n"/>
      <c r="E804" s="57" t="n"/>
      <c r="F804" s="58" t="n"/>
      <c r="G804" s="66">
        <f>IF(tblFleet[[#This Row],[Units]]="","",tblFleet[[#This Row],[Units]]*cfg_HoursPerDay)</f>
        <v/>
      </c>
      <c r="H804" s="66">
        <f>IF(tblFleet[[#This Row],[Units]]="","",tblFleet[[#This Row],[Calendar_h]]-tblFleet[[#This Row],[Down_h]])</f>
        <v/>
      </c>
      <c r="I804" s="60">
        <f>IF(AND(tblFleet[[#This Row],[Units]]&lt;&gt;"",tblFleet[[#This Row],[Calendar_h]]&gt;0),tblFleet[[#This Row],[Available_h]]/tblFleet[[#This Row],[Calendar_h]],"")</f>
        <v/>
      </c>
      <c r="J804" s="60">
        <f>IF(AND(tblFleet[[#This Row],[Units]]&lt;&gt;"",tblFleet[[#This Row],[Available_h]]&gt;0),tblFleet[[#This Row],[Operating_h]]/tblFleet[[#This Row],[Available_h]],"")</f>
        <v/>
      </c>
    </row>
    <row r="805">
      <c r="A805" s="54" t="n"/>
      <c r="B805" s="61" t="n"/>
      <c r="C805" s="62" t="n"/>
      <c r="D805" s="57" t="n"/>
      <c r="E805" s="57" t="n"/>
      <c r="F805" s="58" t="n"/>
      <c r="G805" s="66">
        <f>IF(tblFleet[[#This Row],[Units]]="","",tblFleet[[#This Row],[Units]]*cfg_HoursPerDay)</f>
        <v/>
      </c>
      <c r="H805" s="66">
        <f>IF(tblFleet[[#This Row],[Units]]="","",tblFleet[[#This Row],[Calendar_h]]-tblFleet[[#This Row],[Down_h]])</f>
        <v/>
      </c>
      <c r="I805" s="60">
        <f>IF(AND(tblFleet[[#This Row],[Units]]&lt;&gt;"",tblFleet[[#This Row],[Calendar_h]]&gt;0),tblFleet[[#This Row],[Available_h]]/tblFleet[[#This Row],[Calendar_h]],"")</f>
        <v/>
      </c>
      <c r="J805" s="60">
        <f>IF(AND(tblFleet[[#This Row],[Units]]&lt;&gt;"",tblFleet[[#This Row],[Available_h]]&gt;0),tblFleet[[#This Row],[Operating_h]]/tblFleet[[#This Row],[Available_h]],"")</f>
        <v/>
      </c>
    </row>
    <row r="806">
      <c r="A806" s="54" t="n"/>
      <c r="B806" s="61" t="n"/>
      <c r="C806" s="62" t="n"/>
      <c r="D806" s="57" t="n"/>
      <c r="E806" s="57" t="n"/>
      <c r="F806" s="58" t="n"/>
      <c r="G806" s="66">
        <f>IF(tblFleet[[#This Row],[Units]]="","",tblFleet[[#This Row],[Units]]*cfg_HoursPerDay)</f>
        <v/>
      </c>
      <c r="H806" s="66">
        <f>IF(tblFleet[[#This Row],[Units]]="","",tblFleet[[#This Row],[Calendar_h]]-tblFleet[[#This Row],[Down_h]])</f>
        <v/>
      </c>
      <c r="I806" s="60">
        <f>IF(AND(tblFleet[[#This Row],[Units]]&lt;&gt;"",tblFleet[[#This Row],[Calendar_h]]&gt;0),tblFleet[[#This Row],[Available_h]]/tblFleet[[#This Row],[Calendar_h]],"")</f>
        <v/>
      </c>
      <c r="J806" s="60">
        <f>IF(AND(tblFleet[[#This Row],[Units]]&lt;&gt;"",tblFleet[[#This Row],[Available_h]]&gt;0),tblFleet[[#This Row],[Operating_h]]/tblFleet[[#This Row],[Available_h]],"")</f>
        <v/>
      </c>
    </row>
    <row r="807">
      <c r="A807" s="54" t="n"/>
      <c r="B807" s="61" t="n"/>
      <c r="C807" s="62" t="n"/>
      <c r="D807" s="57" t="n"/>
      <c r="E807" s="57" t="n"/>
      <c r="F807" s="58" t="n"/>
      <c r="G807" s="66">
        <f>IF(tblFleet[[#This Row],[Units]]="","",tblFleet[[#This Row],[Units]]*cfg_HoursPerDay)</f>
        <v/>
      </c>
      <c r="H807" s="66">
        <f>IF(tblFleet[[#This Row],[Units]]="","",tblFleet[[#This Row],[Calendar_h]]-tblFleet[[#This Row],[Down_h]])</f>
        <v/>
      </c>
      <c r="I807" s="60">
        <f>IF(AND(tblFleet[[#This Row],[Units]]&lt;&gt;"",tblFleet[[#This Row],[Calendar_h]]&gt;0),tblFleet[[#This Row],[Available_h]]/tblFleet[[#This Row],[Calendar_h]],"")</f>
        <v/>
      </c>
      <c r="J807" s="60">
        <f>IF(AND(tblFleet[[#This Row],[Units]]&lt;&gt;"",tblFleet[[#This Row],[Available_h]]&gt;0),tblFleet[[#This Row],[Operating_h]]/tblFleet[[#This Row],[Available_h]],"")</f>
        <v/>
      </c>
    </row>
    <row r="808">
      <c r="A808" s="54" t="n"/>
      <c r="B808" s="61" t="n"/>
      <c r="C808" s="62" t="n"/>
      <c r="D808" s="57" t="n"/>
      <c r="E808" s="57" t="n"/>
      <c r="F808" s="58" t="n"/>
      <c r="G808" s="66">
        <f>IF(tblFleet[[#This Row],[Units]]="","",tblFleet[[#This Row],[Units]]*cfg_HoursPerDay)</f>
        <v/>
      </c>
      <c r="H808" s="66">
        <f>IF(tblFleet[[#This Row],[Units]]="","",tblFleet[[#This Row],[Calendar_h]]-tblFleet[[#This Row],[Down_h]])</f>
        <v/>
      </c>
      <c r="I808" s="60">
        <f>IF(AND(tblFleet[[#This Row],[Units]]&lt;&gt;"",tblFleet[[#This Row],[Calendar_h]]&gt;0),tblFleet[[#This Row],[Available_h]]/tblFleet[[#This Row],[Calendar_h]],"")</f>
        <v/>
      </c>
      <c r="J808" s="60">
        <f>IF(AND(tblFleet[[#This Row],[Units]]&lt;&gt;"",tblFleet[[#This Row],[Available_h]]&gt;0),tblFleet[[#This Row],[Operating_h]]/tblFleet[[#This Row],[Available_h]],"")</f>
        <v/>
      </c>
    </row>
    <row r="809">
      <c r="A809" s="54" t="n"/>
      <c r="B809" s="61" t="n"/>
      <c r="C809" s="62" t="n"/>
      <c r="D809" s="57" t="n"/>
      <c r="E809" s="57" t="n"/>
      <c r="F809" s="58" t="n"/>
      <c r="G809" s="66">
        <f>IF(tblFleet[[#This Row],[Units]]="","",tblFleet[[#This Row],[Units]]*cfg_HoursPerDay)</f>
        <v/>
      </c>
      <c r="H809" s="66">
        <f>IF(tblFleet[[#This Row],[Units]]="","",tblFleet[[#This Row],[Calendar_h]]-tblFleet[[#This Row],[Down_h]])</f>
        <v/>
      </c>
      <c r="I809" s="60">
        <f>IF(AND(tblFleet[[#This Row],[Units]]&lt;&gt;"",tblFleet[[#This Row],[Calendar_h]]&gt;0),tblFleet[[#This Row],[Available_h]]/tblFleet[[#This Row],[Calendar_h]],"")</f>
        <v/>
      </c>
      <c r="J809" s="60">
        <f>IF(AND(tblFleet[[#This Row],[Units]]&lt;&gt;"",tblFleet[[#This Row],[Available_h]]&gt;0),tblFleet[[#This Row],[Operating_h]]/tblFleet[[#This Row],[Available_h]],"")</f>
        <v/>
      </c>
    </row>
    <row r="810">
      <c r="A810" s="54" t="n"/>
      <c r="B810" s="61" t="n"/>
      <c r="C810" s="62" t="n"/>
      <c r="D810" s="57" t="n"/>
      <c r="E810" s="57" t="n"/>
      <c r="F810" s="58" t="n"/>
      <c r="G810" s="66">
        <f>IF(tblFleet[[#This Row],[Units]]="","",tblFleet[[#This Row],[Units]]*cfg_HoursPerDay)</f>
        <v/>
      </c>
      <c r="H810" s="66">
        <f>IF(tblFleet[[#This Row],[Units]]="","",tblFleet[[#This Row],[Calendar_h]]-tblFleet[[#This Row],[Down_h]])</f>
        <v/>
      </c>
      <c r="I810" s="60">
        <f>IF(AND(tblFleet[[#This Row],[Units]]&lt;&gt;"",tblFleet[[#This Row],[Calendar_h]]&gt;0),tblFleet[[#This Row],[Available_h]]/tblFleet[[#This Row],[Calendar_h]],"")</f>
        <v/>
      </c>
      <c r="J810" s="60">
        <f>IF(AND(tblFleet[[#This Row],[Units]]&lt;&gt;"",tblFleet[[#This Row],[Available_h]]&gt;0),tblFleet[[#This Row],[Operating_h]]/tblFleet[[#This Row],[Available_h]],"")</f>
        <v/>
      </c>
    </row>
    <row r="811">
      <c r="A811" s="54" t="n"/>
      <c r="B811" s="61" t="n"/>
      <c r="C811" s="62" t="n"/>
      <c r="D811" s="57" t="n"/>
      <c r="E811" s="57" t="n"/>
      <c r="F811" s="58" t="n"/>
      <c r="G811" s="66">
        <f>IF(tblFleet[[#This Row],[Units]]="","",tblFleet[[#This Row],[Units]]*cfg_HoursPerDay)</f>
        <v/>
      </c>
      <c r="H811" s="66">
        <f>IF(tblFleet[[#This Row],[Units]]="","",tblFleet[[#This Row],[Calendar_h]]-tblFleet[[#This Row],[Down_h]])</f>
        <v/>
      </c>
      <c r="I811" s="60">
        <f>IF(AND(tblFleet[[#This Row],[Units]]&lt;&gt;"",tblFleet[[#This Row],[Calendar_h]]&gt;0),tblFleet[[#This Row],[Available_h]]/tblFleet[[#This Row],[Calendar_h]],"")</f>
        <v/>
      </c>
      <c r="J811" s="60">
        <f>IF(AND(tblFleet[[#This Row],[Units]]&lt;&gt;"",tblFleet[[#This Row],[Available_h]]&gt;0),tblFleet[[#This Row],[Operating_h]]/tblFleet[[#This Row],[Available_h]],"")</f>
        <v/>
      </c>
    </row>
    <row r="812">
      <c r="A812" s="54" t="n"/>
      <c r="B812" s="61" t="n"/>
      <c r="C812" s="62" t="n"/>
      <c r="D812" s="57" t="n"/>
      <c r="E812" s="57" t="n"/>
      <c r="F812" s="58" t="n"/>
      <c r="G812" s="66">
        <f>IF(tblFleet[[#This Row],[Units]]="","",tblFleet[[#This Row],[Units]]*cfg_HoursPerDay)</f>
        <v/>
      </c>
      <c r="H812" s="66">
        <f>IF(tblFleet[[#This Row],[Units]]="","",tblFleet[[#This Row],[Calendar_h]]-tblFleet[[#This Row],[Down_h]])</f>
        <v/>
      </c>
      <c r="I812" s="60">
        <f>IF(AND(tblFleet[[#This Row],[Units]]&lt;&gt;"",tblFleet[[#This Row],[Calendar_h]]&gt;0),tblFleet[[#This Row],[Available_h]]/tblFleet[[#This Row],[Calendar_h]],"")</f>
        <v/>
      </c>
      <c r="J812" s="60">
        <f>IF(AND(tblFleet[[#This Row],[Units]]&lt;&gt;"",tblFleet[[#This Row],[Available_h]]&gt;0),tblFleet[[#This Row],[Operating_h]]/tblFleet[[#This Row],[Available_h]],"")</f>
        <v/>
      </c>
    </row>
    <row r="813">
      <c r="A813" s="54" t="n"/>
      <c r="B813" s="61" t="n"/>
      <c r="C813" s="62" t="n"/>
      <c r="D813" s="57" t="n"/>
      <c r="E813" s="57" t="n"/>
      <c r="F813" s="58" t="n"/>
      <c r="G813" s="66">
        <f>IF(tblFleet[[#This Row],[Units]]="","",tblFleet[[#This Row],[Units]]*cfg_HoursPerDay)</f>
        <v/>
      </c>
      <c r="H813" s="66">
        <f>IF(tblFleet[[#This Row],[Units]]="","",tblFleet[[#This Row],[Calendar_h]]-tblFleet[[#This Row],[Down_h]])</f>
        <v/>
      </c>
      <c r="I813" s="60">
        <f>IF(AND(tblFleet[[#This Row],[Units]]&lt;&gt;"",tblFleet[[#This Row],[Calendar_h]]&gt;0),tblFleet[[#This Row],[Available_h]]/tblFleet[[#This Row],[Calendar_h]],"")</f>
        <v/>
      </c>
      <c r="J813" s="60">
        <f>IF(AND(tblFleet[[#This Row],[Units]]&lt;&gt;"",tblFleet[[#This Row],[Available_h]]&gt;0),tblFleet[[#This Row],[Operating_h]]/tblFleet[[#This Row],[Available_h]],"")</f>
        <v/>
      </c>
    </row>
    <row r="814">
      <c r="A814" s="54" t="n"/>
      <c r="B814" s="61" t="n"/>
      <c r="C814" s="62" t="n"/>
      <c r="D814" s="57" t="n"/>
      <c r="E814" s="57" t="n"/>
      <c r="F814" s="58" t="n"/>
      <c r="G814" s="66">
        <f>IF(tblFleet[[#This Row],[Units]]="","",tblFleet[[#This Row],[Units]]*cfg_HoursPerDay)</f>
        <v/>
      </c>
      <c r="H814" s="66">
        <f>IF(tblFleet[[#This Row],[Units]]="","",tblFleet[[#This Row],[Calendar_h]]-tblFleet[[#This Row],[Down_h]])</f>
        <v/>
      </c>
      <c r="I814" s="60">
        <f>IF(AND(tblFleet[[#This Row],[Units]]&lt;&gt;"",tblFleet[[#This Row],[Calendar_h]]&gt;0),tblFleet[[#This Row],[Available_h]]/tblFleet[[#This Row],[Calendar_h]],"")</f>
        <v/>
      </c>
      <c r="J814" s="60">
        <f>IF(AND(tblFleet[[#This Row],[Units]]&lt;&gt;"",tblFleet[[#This Row],[Available_h]]&gt;0),tblFleet[[#This Row],[Operating_h]]/tblFleet[[#This Row],[Available_h]],"")</f>
        <v/>
      </c>
    </row>
    <row r="815">
      <c r="A815" s="54" t="n"/>
      <c r="B815" s="61" t="n"/>
      <c r="C815" s="62" t="n"/>
      <c r="D815" s="57" t="n"/>
      <c r="E815" s="57" t="n"/>
      <c r="F815" s="58" t="n"/>
      <c r="G815" s="66">
        <f>IF(tblFleet[[#This Row],[Units]]="","",tblFleet[[#This Row],[Units]]*cfg_HoursPerDay)</f>
        <v/>
      </c>
      <c r="H815" s="66">
        <f>IF(tblFleet[[#This Row],[Units]]="","",tblFleet[[#This Row],[Calendar_h]]-tblFleet[[#This Row],[Down_h]])</f>
        <v/>
      </c>
      <c r="I815" s="60">
        <f>IF(AND(tblFleet[[#This Row],[Units]]&lt;&gt;"",tblFleet[[#This Row],[Calendar_h]]&gt;0),tblFleet[[#This Row],[Available_h]]/tblFleet[[#This Row],[Calendar_h]],"")</f>
        <v/>
      </c>
      <c r="J815" s="60">
        <f>IF(AND(tblFleet[[#This Row],[Units]]&lt;&gt;"",tblFleet[[#This Row],[Available_h]]&gt;0),tblFleet[[#This Row],[Operating_h]]/tblFleet[[#This Row],[Available_h]],"")</f>
        <v/>
      </c>
    </row>
    <row r="816">
      <c r="A816" s="54" t="n"/>
      <c r="B816" s="61" t="n"/>
      <c r="C816" s="62" t="n"/>
      <c r="D816" s="57" t="n"/>
      <c r="E816" s="57" t="n"/>
      <c r="F816" s="58" t="n"/>
      <c r="G816" s="66">
        <f>IF(tblFleet[[#This Row],[Units]]="","",tblFleet[[#This Row],[Units]]*cfg_HoursPerDay)</f>
        <v/>
      </c>
      <c r="H816" s="66">
        <f>IF(tblFleet[[#This Row],[Units]]="","",tblFleet[[#This Row],[Calendar_h]]-tblFleet[[#This Row],[Down_h]])</f>
        <v/>
      </c>
      <c r="I816" s="60">
        <f>IF(AND(tblFleet[[#This Row],[Units]]&lt;&gt;"",tblFleet[[#This Row],[Calendar_h]]&gt;0),tblFleet[[#This Row],[Available_h]]/tblFleet[[#This Row],[Calendar_h]],"")</f>
        <v/>
      </c>
      <c r="J816" s="60">
        <f>IF(AND(tblFleet[[#This Row],[Units]]&lt;&gt;"",tblFleet[[#This Row],[Available_h]]&gt;0),tblFleet[[#This Row],[Operating_h]]/tblFleet[[#This Row],[Available_h]],"")</f>
        <v/>
      </c>
    </row>
    <row r="817">
      <c r="A817" s="54" t="n"/>
      <c r="B817" s="61" t="n"/>
      <c r="C817" s="62" t="n"/>
      <c r="D817" s="57" t="n"/>
      <c r="E817" s="57" t="n"/>
      <c r="F817" s="58" t="n"/>
      <c r="G817" s="66">
        <f>IF(tblFleet[[#This Row],[Units]]="","",tblFleet[[#This Row],[Units]]*cfg_HoursPerDay)</f>
        <v/>
      </c>
      <c r="H817" s="66">
        <f>IF(tblFleet[[#This Row],[Units]]="","",tblFleet[[#This Row],[Calendar_h]]-tblFleet[[#This Row],[Down_h]])</f>
        <v/>
      </c>
      <c r="I817" s="60">
        <f>IF(AND(tblFleet[[#This Row],[Units]]&lt;&gt;"",tblFleet[[#This Row],[Calendar_h]]&gt;0),tblFleet[[#This Row],[Available_h]]/tblFleet[[#This Row],[Calendar_h]],"")</f>
        <v/>
      </c>
      <c r="J817" s="60">
        <f>IF(AND(tblFleet[[#This Row],[Units]]&lt;&gt;"",tblFleet[[#This Row],[Available_h]]&gt;0),tblFleet[[#This Row],[Operating_h]]/tblFleet[[#This Row],[Available_h]],"")</f>
        <v/>
      </c>
    </row>
    <row r="818">
      <c r="A818" s="54" t="n"/>
      <c r="B818" s="61" t="n"/>
      <c r="C818" s="62" t="n"/>
      <c r="D818" s="57" t="n"/>
      <c r="E818" s="57" t="n"/>
      <c r="F818" s="58" t="n"/>
      <c r="G818" s="66">
        <f>IF(tblFleet[[#This Row],[Units]]="","",tblFleet[[#This Row],[Units]]*cfg_HoursPerDay)</f>
        <v/>
      </c>
      <c r="H818" s="66">
        <f>IF(tblFleet[[#This Row],[Units]]="","",tblFleet[[#This Row],[Calendar_h]]-tblFleet[[#This Row],[Down_h]])</f>
        <v/>
      </c>
      <c r="I818" s="60">
        <f>IF(AND(tblFleet[[#This Row],[Units]]&lt;&gt;"",tblFleet[[#This Row],[Calendar_h]]&gt;0),tblFleet[[#This Row],[Available_h]]/tblFleet[[#This Row],[Calendar_h]],"")</f>
        <v/>
      </c>
      <c r="J818" s="60">
        <f>IF(AND(tblFleet[[#This Row],[Units]]&lt;&gt;"",tblFleet[[#This Row],[Available_h]]&gt;0),tblFleet[[#This Row],[Operating_h]]/tblFleet[[#This Row],[Available_h]],"")</f>
        <v/>
      </c>
    </row>
    <row r="819">
      <c r="A819" s="54" t="n"/>
      <c r="B819" s="61" t="n"/>
      <c r="C819" s="62" t="n"/>
      <c r="D819" s="57" t="n"/>
      <c r="E819" s="57" t="n"/>
      <c r="F819" s="58" t="n"/>
      <c r="G819" s="66">
        <f>IF(tblFleet[[#This Row],[Units]]="","",tblFleet[[#This Row],[Units]]*cfg_HoursPerDay)</f>
        <v/>
      </c>
      <c r="H819" s="66">
        <f>IF(tblFleet[[#This Row],[Units]]="","",tblFleet[[#This Row],[Calendar_h]]-tblFleet[[#This Row],[Down_h]])</f>
        <v/>
      </c>
      <c r="I819" s="60">
        <f>IF(AND(tblFleet[[#This Row],[Units]]&lt;&gt;"",tblFleet[[#This Row],[Calendar_h]]&gt;0),tblFleet[[#This Row],[Available_h]]/tblFleet[[#This Row],[Calendar_h]],"")</f>
        <v/>
      </c>
      <c r="J819" s="60">
        <f>IF(AND(tblFleet[[#This Row],[Units]]&lt;&gt;"",tblFleet[[#This Row],[Available_h]]&gt;0),tblFleet[[#This Row],[Operating_h]]/tblFleet[[#This Row],[Available_h]],"")</f>
        <v/>
      </c>
    </row>
    <row r="820">
      <c r="A820" s="54" t="n"/>
      <c r="B820" s="61" t="n"/>
      <c r="C820" s="62" t="n"/>
      <c r="D820" s="57" t="n"/>
      <c r="E820" s="57" t="n"/>
      <c r="F820" s="58" t="n"/>
      <c r="G820" s="66">
        <f>IF(tblFleet[[#This Row],[Units]]="","",tblFleet[[#This Row],[Units]]*cfg_HoursPerDay)</f>
        <v/>
      </c>
      <c r="H820" s="66">
        <f>IF(tblFleet[[#This Row],[Units]]="","",tblFleet[[#This Row],[Calendar_h]]-tblFleet[[#This Row],[Down_h]])</f>
        <v/>
      </c>
      <c r="I820" s="60">
        <f>IF(AND(tblFleet[[#This Row],[Units]]&lt;&gt;"",tblFleet[[#This Row],[Calendar_h]]&gt;0),tblFleet[[#This Row],[Available_h]]/tblFleet[[#This Row],[Calendar_h]],"")</f>
        <v/>
      </c>
      <c r="J820" s="60">
        <f>IF(AND(tblFleet[[#This Row],[Units]]&lt;&gt;"",tblFleet[[#This Row],[Available_h]]&gt;0),tblFleet[[#This Row],[Operating_h]]/tblFleet[[#This Row],[Available_h]],"")</f>
        <v/>
      </c>
    </row>
    <row r="821">
      <c r="A821" s="54" t="n"/>
      <c r="B821" s="61" t="n"/>
      <c r="C821" s="62" t="n"/>
      <c r="D821" s="57" t="n"/>
      <c r="E821" s="57" t="n"/>
      <c r="F821" s="58" t="n"/>
      <c r="G821" s="66">
        <f>IF(tblFleet[[#This Row],[Units]]="","",tblFleet[[#This Row],[Units]]*cfg_HoursPerDay)</f>
        <v/>
      </c>
      <c r="H821" s="66">
        <f>IF(tblFleet[[#This Row],[Units]]="","",tblFleet[[#This Row],[Calendar_h]]-tblFleet[[#This Row],[Down_h]])</f>
        <v/>
      </c>
      <c r="I821" s="60">
        <f>IF(AND(tblFleet[[#This Row],[Units]]&lt;&gt;"",tblFleet[[#This Row],[Calendar_h]]&gt;0),tblFleet[[#This Row],[Available_h]]/tblFleet[[#This Row],[Calendar_h]],"")</f>
        <v/>
      </c>
      <c r="J821" s="60">
        <f>IF(AND(tblFleet[[#This Row],[Units]]&lt;&gt;"",tblFleet[[#This Row],[Available_h]]&gt;0),tblFleet[[#This Row],[Operating_h]]/tblFleet[[#This Row],[Available_h]],"")</f>
        <v/>
      </c>
    </row>
    <row r="822">
      <c r="A822" s="54" t="n"/>
      <c r="B822" s="61" t="n"/>
      <c r="C822" s="62" t="n"/>
      <c r="D822" s="57" t="n"/>
      <c r="E822" s="57" t="n"/>
      <c r="F822" s="58" t="n"/>
      <c r="G822" s="66">
        <f>IF(tblFleet[[#This Row],[Units]]="","",tblFleet[[#This Row],[Units]]*cfg_HoursPerDay)</f>
        <v/>
      </c>
      <c r="H822" s="66">
        <f>IF(tblFleet[[#This Row],[Units]]="","",tblFleet[[#This Row],[Calendar_h]]-tblFleet[[#This Row],[Down_h]])</f>
        <v/>
      </c>
      <c r="I822" s="60">
        <f>IF(AND(tblFleet[[#This Row],[Units]]&lt;&gt;"",tblFleet[[#This Row],[Calendar_h]]&gt;0),tblFleet[[#This Row],[Available_h]]/tblFleet[[#This Row],[Calendar_h]],"")</f>
        <v/>
      </c>
      <c r="J822" s="60">
        <f>IF(AND(tblFleet[[#This Row],[Units]]&lt;&gt;"",tblFleet[[#This Row],[Available_h]]&gt;0),tblFleet[[#This Row],[Operating_h]]/tblFleet[[#This Row],[Available_h]],"")</f>
        <v/>
      </c>
    </row>
    <row r="823">
      <c r="A823" s="54" t="n"/>
      <c r="B823" s="61" t="n"/>
      <c r="C823" s="62" t="n"/>
      <c r="D823" s="57" t="n"/>
      <c r="E823" s="57" t="n"/>
      <c r="F823" s="58" t="n"/>
      <c r="G823" s="66">
        <f>IF(tblFleet[[#This Row],[Units]]="","",tblFleet[[#This Row],[Units]]*cfg_HoursPerDay)</f>
        <v/>
      </c>
      <c r="H823" s="66">
        <f>IF(tblFleet[[#This Row],[Units]]="","",tblFleet[[#This Row],[Calendar_h]]-tblFleet[[#This Row],[Down_h]])</f>
        <v/>
      </c>
      <c r="I823" s="60">
        <f>IF(AND(tblFleet[[#This Row],[Units]]&lt;&gt;"",tblFleet[[#This Row],[Calendar_h]]&gt;0),tblFleet[[#This Row],[Available_h]]/tblFleet[[#This Row],[Calendar_h]],"")</f>
        <v/>
      </c>
      <c r="J823" s="60">
        <f>IF(AND(tblFleet[[#This Row],[Units]]&lt;&gt;"",tblFleet[[#This Row],[Available_h]]&gt;0),tblFleet[[#This Row],[Operating_h]]/tblFleet[[#This Row],[Available_h]],"")</f>
        <v/>
      </c>
    </row>
    <row r="824">
      <c r="A824" s="54" t="n"/>
      <c r="B824" s="61" t="n"/>
      <c r="C824" s="62" t="n"/>
      <c r="D824" s="57" t="n"/>
      <c r="E824" s="57" t="n"/>
      <c r="F824" s="58" t="n"/>
      <c r="G824" s="66">
        <f>IF(tblFleet[[#This Row],[Units]]="","",tblFleet[[#This Row],[Units]]*cfg_HoursPerDay)</f>
        <v/>
      </c>
      <c r="H824" s="66">
        <f>IF(tblFleet[[#This Row],[Units]]="","",tblFleet[[#This Row],[Calendar_h]]-tblFleet[[#This Row],[Down_h]])</f>
        <v/>
      </c>
      <c r="I824" s="60">
        <f>IF(AND(tblFleet[[#This Row],[Units]]&lt;&gt;"",tblFleet[[#This Row],[Calendar_h]]&gt;0),tblFleet[[#This Row],[Available_h]]/tblFleet[[#This Row],[Calendar_h]],"")</f>
        <v/>
      </c>
      <c r="J824" s="60">
        <f>IF(AND(tblFleet[[#This Row],[Units]]&lt;&gt;"",tblFleet[[#This Row],[Available_h]]&gt;0),tblFleet[[#This Row],[Operating_h]]/tblFleet[[#This Row],[Available_h]],"")</f>
        <v/>
      </c>
    </row>
    <row r="825">
      <c r="A825" s="54" t="n"/>
      <c r="B825" s="61" t="n"/>
      <c r="C825" s="62" t="n"/>
      <c r="D825" s="57" t="n"/>
      <c r="E825" s="57" t="n"/>
      <c r="F825" s="58" t="n"/>
      <c r="G825" s="66">
        <f>IF(tblFleet[[#This Row],[Units]]="","",tblFleet[[#This Row],[Units]]*cfg_HoursPerDay)</f>
        <v/>
      </c>
      <c r="H825" s="66">
        <f>IF(tblFleet[[#This Row],[Units]]="","",tblFleet[[#This Row],[Calendar_h]]-tblFleet[[#This Row],[Down_h]])</f>
        <v/>
      </c>
      <c r="I825" s="60">
        <f>IF(AND(tblFleet[[#This Row],[Units]]&lt;&gt;"",tblFleet[[#This Row],[Calendar_h]]&gt;0),tblFleet[[#This Row],[Available_h]]/tblFleet[[#This Row],[Calendar_h]],"")</f>
        <v/>
      </c>
      <c r="J825" s="60">
        <f>IF(AND(tblFleet[[#This Row],[Units]]&lt;&gt;"",tblFleet[[#This Row],[Available_h]]&gt;0),tblFleet[[#This Row],[Operating_h]]/tblFleet[[#This Row],[Available_h]],"")</f>
        <v/>
      </c>
    </row>
    <row r="826">
      <c r="A826" s="54" t="n"/>
      <c r="B826" s="61" t="n"/>
      <c r="C826" s="62" t="n"/>
      <c r="D826" s="57" t="n"/>
      <c r="E826" s="57" t="n"/>
      <c r="F826" s="58" t="n"/>
      <c r="G826" s="66">
        <f>IF(tblFleet[[#This Row],[Units]]="","",tblFleet[[#This Row],[Units]]*cfg_HoursPerDay)</f>
        <v/>
      </c>
      <c r="H826" s="66">
        <f>IF(tblFleet[[#This Row],[Units]]="","",tblFleet[[#This Row],[Calendar_h]]-tblFleet[[#This Row],[Down_h]])</f>
        <v/>
      </c>
      <c r="I826" s="60">
        <f>IF(AND(tblFleet[[#This Row],[Units]]&lt;&gt;"",tblFleet[[#This Row],[Calendar_h]]&gt;0),tblFleet[[#This Row],[Available_h]]/tblFleet[[#This Row],[Calendar_h]],"")</f>
        <v/>
      </c>
      <c r="J826" s="60">
        <f>IF(AND(tblFleet[[#This Row],[Units]]&lt;&gt;"",tblFleet[[#This Row],[Available_h]]&gt;0),tblFleet[[#This Row],[Operating_h]]/tblFleet[[#This Row],[Available_h]],"")</f>
        <v/>
      </c>
    </row>
    <row r="827">
      <c r="A827" s="54" t="n"/>
      <c r="B827" s="61" t="n"/>
      <c r="C827" s="62" t="n"/>
      <c r="D827" s="57" t="n"/>
      <c r="E827" s="57" t="n"/>
      <c r="F827" s="58" t="n"/>
      <c r="G827" s="66">
        <f>IF(tblFleet[[#This Row],[Units]]="","",tblFleet[[#This Row],[Units]]*cfg_HoursPerDay)</f>
        <v/>
      </c>
      <c r="H827" s="66">
        <f>IF(tblFleet[[#This Row],[Units]]="","",tblFleet[[#This Row],[Calendar_h]]-tblFleet[[#This Row],[Down_h]])</f>
        <v/>
      </c>
      <c r="I827" s="60">
        <f>IF(AND(tblFleet[[#This Row],[Units]]&lt;&gt;"",tblFleet[[#This Row],[Calendar_h]]&gt;0),tblFleet[[#This Row],[Available_h]]/tblFleet[[#This Row],[Calendar_h]],"")</f>
        <v/>
      </c>
      <c r="J827" s="60">
        <f>IF(AND(tblFleet[[#This Row],[Units]]&lt;&gt;"",tblFleet[[#This Row],[Available_h]]&gt;0),tblFleet[[#This Row],[Operating_h]]/tblFleet[[#This Row],[Available_h]],"")</f>
        <v/>
      </c>
    </row>
    <row r="828">
      <c r="A828" s="54" t="n"/>
      <c r="B828" s="61" t="n"/>
      <c r="C828" s="62" t="n"/>
      <c r="D828" s="57" t="n"/>
      <c r="E828" s="57" t="n"/>
      <c r="F828" s="58" t="n"/>
      <c r="G828" s="66">
        <f>IF(tblFleet[[#This Row],[Units]]="","",tblFleet[[#This Row],[Units]]*cfg_HoursPerDay)</f>
        <v/>
      </c>
      <c r="H828" s="66">
        <f>IF(tblFleet[[#This Row],[Units]]="","",tblFleet[[#This Row],[Calendar_h]]-tblFleet[[#This Row],[Down_h]])</f>
        <v/>
      </c>
      <c r="I828" s="60">
        <f>IF(AND(tblFleet[[#This Row],[Units]]&lt;&gt;"",tblFleet[[#This Row],[Calendar_h]]&gt;0),tblFleet[[#This Row],[Available_h]]/tblFleet[[#This Row],[Calendar_h]],"")</f>
        <v/>
      </c>
      <c r="J828" s="60">
        <f>IF(AND(tblFleet[[#This Row],[Units]]&lt;&gt;"",tblFleet[[#This Row],[Available_h]]&gt;0),tblFleet[[#This Row],[Operating_h]]/tblFleet[[#This Row],[Available_h]],"")</f>
        <v/>
      </c>
    </row>
    <row r="829">
      <c r="A829" s="54" t="n"/>
      <c r="B829" s="61" t="n"/>
      <c r="C829" s="62" t="n"/>
      <c r="D829" s="57" t="n"/>
      <c r="E829" s="57" t="n"/>
      <c r="F829" s="58" t="n"/>
      <c r="G829" s="66">
        <f>IF(tblFleet[[#This Row],[Units]]="","",tblFleet[[#This Row],[Units]]*cfg_HoursPerDay)</f>
        <v/>
      </c>
      <c r="H829" s="66">
        <f>IF(tblFleet[[#This Row],[Units]]="","",tblFleet[[#This Row],[Calendar_h]]-tblFleet[[#This Row],[Down_h]])</f>
        <v/>
      </c>
      <c r="I829" s="60">
        <f>IF(AND(tblFleet[[#This Row],[Units]]&lt;&gt;"",tblFleet[[#This Row],[Calendar_h]]&gt;0),tblFleet[[#This Row],[Available_h]]/tblFleet[[#This Row],[Calendar_h]],"")</f>
        <v/>
      </c>
      <c r="J829" s="60">
        <f>IF(AND(tblFleet[[#This Row],[Units]]&lt;&gt;"",tblFleet[[#This Row],[Available_h]]&gt;0),tblFleet[[#This Row],[Operating_h]]/tblFleet[[#This Row],[Available_h]],"")</f>
        <v/>
      </c>
    </row>
    <row r="830">
      <c r="A830" s="54" t="n"/>
      <c r="B830" s="61" t="n"/>
      <c r="C830" s="62" t="n"/>
      <c r="D830" s="57" t="n"/>
      <c r="E830" s="57" t="n"/>
      <c r="F830" s="58" t="n"/>
      <c r="G830" s="66">
        <f>IF(tblFleet[[#This Row],[Units]]="","",tblFleet[[#This Row],[Units]]*cfg_HoursPerDay)</f>
        <v/>
      </c>
      <c r="H830" s="66">
        <f>IF(tblFleet[[#This Row],[Units]]="","",tblFleet[[#This Row],[Calendar_h]]-tblFleet[[#This Row],[Down_h]])</f>
        <v/>
      </c>
      <c r="I830" s="60">
        <f>IF(AND(tblFleet[[#This Row],[Units]]&lt;&gt;"",tblFleet[[#This Row],[Calendar_h]]&gt;0),tblFleet[[#This Row],[Available_h]]/tblFleet[[#This Row],[Calendar_h]],"")</f>
        <v/>
      </c>
      <c r="J830" s="60">
        <f>IF(AND(tblFleet[[#This Row],[Units]]&lt;&gt;"",tblFleet[[#This Row],[Available_h]]&gt;0),tblFleet[[#This Row],[Operating_h]]/tblFleet[[#This Row],[Available_h]],"")</f>
        <v/>
      </c>
    </row>
    <row r="831">
      <c r="A831" s="54" t="n"/>
      <c r="B831" s="61" t="n"/>
      <c r="C831" s="62" t="n"/>
      <c r="D831" s="57" t="n"/>
      <c r="E831" s="57" t="n"/>
      <c r="F831" s="58" t="n"/>
      <c r="G831" s="66">
        <f>IF(tblFleet[[#This Row],[Units]]="","",tblFleet[[#This Row],[Units]]*cfg_HoursPerDay)</f>
        <v/>
      </c>
      <c r="H831" s="66">
        <f>IF(tblFleet[[#This Row],[Units]]="","",tblFleet[[#This Row],[Calendar_h]]-tblFleet[[#This Row],[Down_h]])</f>
        <v/>
      </c>
      <c r="I831" s="60">
        <f>IF(AND(tblFleet[[#This Row],[Units]]&lt;&gt;"",tblFleet[[#This Row],[Calendar_h]]&gt;0),tblFleet[[#This Row],[Available_h]]/tblFleet[[#This Row],[Calendar_h]],"")</f>
        <v/>
      </c>
      <c r="J831" s="60">
        <f>IF(AND(tblFleet[[#This Row],[Units]]&lt;&gt;"",tblFleet[[#This Row],[Available_h]]&gt;0),tblFleet[[#This Row],[Operating_h]]/tblFleet[[#This Row],[Available_h]],"")</f>
        <v/>
      </c>
    </row>
    <row r="832">
      <c r="A832" s="54" t="n"/>
      <c r="B832" s="61" t="n"/>
      <c r="C832" s="62" t="n"/>
      <c r="D832" s="57" t="n"/>
      <c r="E832" s="57" t="n"/>
      <c r="F832" s="58" t="n"/>
      <c r="G832" s="66">
        <f>IF(tblFleet[[#This Row],[Units]]="","",tblFleet[[#This Row],[Units]]*cfg_HoursPerDay)</f>
        <v/>
      </c>
      <c r="H832" s="66">
        <f>IF(tblFleet[[#This Row],[Units]]="","",tblFleet[[#This Row],[Calendar_h]]-tblFleet[[#This Row],[Down_h]])</f>
        <v/>
      </c>
      <c r="I832" s="60">
        <f>IF(AND(tblFleet[[#This Row],[Units]]&lt;&gt;"",tblFleet[[#This Row],[Calendar_h]]&gt;0),tblFleet[[#This Row],[Available_h]]/tblFleet[[#This Row],[Calendar_h]],"")</f>
        <v/>
      </c>
      <c r="J832" s="60">
        <f>IF(AND(tblFleet[[#This Row],[Units]]&lt;&gt;"",tblFleet[[#This Row],[Available_h]]&gt;0),tblFleet[[#This Row],[Operating_h]]/tblFleet[[#This Row],[Available_h]],"")</f>
        <v/>
      </c>
    </row>
    <row r="833">
      <c r="A833" s="54" t="n"/>
      <c r="B833" s="61" t="n"/>
      <c r="C833" s="62" t="n"/>
      <c r="D833" s="57" t="n"/>
      <c r="E833" s="57" t="n"/>
      <c r="F833" s="58" t="n"/>
      <c r="G833" s="66">
        <f>IF(tblFleet[[#This Row],[Units]]="","",tblFleet[[#This Row],[Units]]*cfg_HoursPerDay)</f>
        <v/>
      </c>
      <c r="H833" s="66">
        <f>IF(tblFleet[[#This Row],[Units]]="","",tblFleet[[#This Row],[Calendar_h]]-tblFleet[[#This Row],[Down_h]])</f>
        <v/>
      </c>
      <c r="I833" s="60">
        <f>IF(AND(tblFleet[[#This Row],[Units]]&lt;&gt;"",tblFleet[[#This Row],[Calendar_h]]&gt;0),tblFleet[[#This Row],[Available_h]]/tblFleet[[#This Row],[Calendar_h]],"")</f>
        <v/>
      </c>
      <c r="J833" s="60">
        <f>IF(AND(tblFleet[[#This Row],[Units]]&lt;&gt;"",tblFleet[[#This Row],[Available_h]]&gt;0),tblFleet[[#This Row],[Operating_h]]/tblFleet[[#This Row],[Available_h]],"")</f>
        <v/>
      </c>
    </row>
    <row r="834">
      <c r="A834" s="54" t="n"/>
      <c r="B834" s="61" t="n"/>
      <c r="C834" s="62" t="n"/>
      <c r="D834" s="57" t="n"/>
      <c r="E834" s="57" t="n"/>
      <c r="F834" s="58" t="n"/>
      <c r="G834" s="66">
        <f>IF(tblFleet[[#This Row],[Units]]="","",tblFleet[[#This Row],[Units]]*cfg_HoursPerDay)</f>
        <v/>
      </c>
      <c r="H834" s="66">
        <f>IF(tblFleet[[#This Row],[Units]]="","",tblFleet[[#This Row],[Calendar_h]]-tblFleet[[#This Row],[Down_h]])</f>
        <v/>
      </c>
      <c r="I834" s="60">
        <f>IF(AND(tblFleet[[#This Row],[Units]]&lt;&gt;"",tblFleet[[#This Row],[Calendar_h]]&gt;0),tblFleet[[#This Row],[Available_h]]/tblFleet[[#This Row],[Calendar_h]],"")</f>
        <v/>
      </c>
      <c r="J834" s="60">
        <f>IF(AND(tblFleet[[#This Row],[Units]]&lt;&gt;"",tblFleet[[#This Row],[Available_h]]&gt;0),tblFleet[[#This Row],[Operating_h]]/tblFleet[[#This Row],[Available_h]],"")</f>
        <v/>
      </c>
    </row>
    <row r="835">
      <c r="A835" s="54" t="n"/>
      <c r="B835" s="61" t="n"/>
      <c r="C835" s="62" t="n"/>
      <c r="D835" s="57" t="n"/>
      <c r="E835" s="57" t="n"/>
      <c r="F835" s="58" t="n"/>
      <c r="G835" s="66">
        <f>IF(tblFleet[[#This Row],[Units]]="","",tblFleet[[#This Row],[Units]]*cfg_HoursPerDay)</f>
        <v/>
      </c>
      <c r="H835" s="66">
        <f>IF(tblFleet[[#This Row],[Units]]="","",tblFleet[[#This Row],[Calendar_h]]-tblFleet[[#This Row],[Down_h]])</f>
        <v/>
      </c>
      <c r="I835" s="60">
        <f>IF(AND(tblFleet[[#This Row],[Units]]&lt;&gt;"",tblFleet[[#This Row],[Calendar_h]]&gt;0),tblFleet[[#This Row],[Available_h]]/tblFleet[[#This Row],[Calendar_h]],"")</f>
        <v/>
      </c>
      <c r="J835" s="60">
        <f>IF(AND(tblFleet[[#This Row],[Units]]&lt;&gt;"",tblFleet[[#This Row],[Available_h]]&gt;0),tblFleet[[#This Row],[Operating_h]]/tblFleet[[#This Row],[Available_h]],"")</f>
        <v/>
      </c>
    </row>
    <row r="836">
      <c r="A836" s="54" t="n"/>
      <c r="B836" s="61" t="n"/>
      <c r="C836" s="62" t="n"/>
      <c r="D836" s="57" t="n"/>
      <c r="E836" s="57" t="n"/>
      <c r="F836" s="58" t="n"/>
      <c r="G836" s="66">
        <f>IF(tblFleet[[#This Row],[Units]]="","",tblFleet[[#This Row],[Units]]*cfg_HoursPerDay)</f>
        <v/>
      </c>
      <c r="H836" s="66">
        <f>IF(tblFleet[[#This Row],[Units]]="","",tblFleet[[#This Row],[Calendar_h]]-tblFleet[[#This Row],[Down_h]])</f>
        <v/>
      </c>
      <c r="I836" s="60">
        <f>IF(AND(tblFleet[[#This Row],[Units]]&lt;&gt;"",tblFleet[[#This Row],[Calendar_h]]&gt;0),tblFleet[[#This Row],[Available_h]]/tblFleet[[#This Row],[Calendar_h]],"")</f>
        <v/>
      </c>
      <c r="J836" s="60">
        <f>IF(AND(tblFleet[[#This Row],[Units]]&lt;&gt;"",tblFleet[[#This Row],[Available_h]]&gt;0),tblFleet[[#This Row],[Operating_h]]/tblFleet[[#This Row],[Available_h]],"")</f>
        <v/>
      </c>
    </row>
    <row r="837">
      <c r="A837" s="54" t="n"/>
      <c r="B837" s="61" t="n"/>
      <c r="C837" s="62" t="n"/>
      <c r="D837" s="57" t="n"/>
      <c r="E837" s="57" t="n"/>
      <c r="F837" s="58" t="n"/>
      <c r="G837" s="66">
        <f>IF(tblFleet[[#This Row],[Units]]="","",tblFleet[[#This Row],[Units]]*cfg_HoursPerDay)</f>
        <v/>
      </c>
      <c r="H837" s="66">
        <f>IF(tblFleet[[#This Row],[Units]]="","",tblFleet[[#This Row],[Calendar_h]]-tblFleet[[#This Row],[Down_h]])</f>
        <v/>
      </c>
      <c r="I837" s="60">
        <f>IF(AND(tblFleet[[#This Row],[Units]]&lt;&gt;"",tblFleet[[#This Row],[Calendar_h]]&gt;0),tblFleet[[#This Row],[Available_h]]/tblFleet[[#This Row],[Calendar_h]],"")</f>
        <v/>
      </c>
      <c r="J837" s="60">
        <f>IF(AND(tblFleet[[#This Row],[Units]]&lt;&gt;"",tblFleet[[#This Row],[Available_h]]&gt;0),tblFleet[[#This Row],[Operating_h]]/tblFleet[[#This Row],[Available_h]],"")</f>
        <v/>
      </c>
    </row>
    <row r="838">
      <c r="A838" s="54" t="n"/>
      <c r="B838" s="61" t="n"/>
      <c r="C838" s="62" t="n"/>
      <c r="D838" s="57" t="n"/>
      <c r="E838" s="57" t="n"/>
      <c r="F838" s="58" t="n"/>
      <c r="G838" s="66">
        <f>IF(tblFleet[[#This Row],[Units]]="","",tblFleet[[#This Row],[Units]]*cfg_HoursPerDay)</f>
        <v/>
      </c>
      <c r="H838" s="66">
        <f>IF(tblFleet[[#This Row],[Units]]="","",tblFleet[[#This Row],[Calendar_h]]-tblFleet[[#This Row],[Down_h]])</f>
        <v/>
      </c>
      <c r="I838" s="60">
        <f>IF(AND(tblFleet[[#This Row],[Units]]&lt;&gt;"",tblFleet[[#This Row],[Calendar_h]]&gt;0),tblFleet[[#This Row],[Available_h]]/tblFleet[[#This Row],[Calendar_h]],"")</f>
        <v/>
      </c>
      <c r="J838" s="60">
        <f>IF(AND(tblFleet[[#This Row],[Units]]&lt;&gt;"",tblFleet[[#This Row],[Available_h]]&gt;0),tblFleet[[#This Row],[Operating_h]]/tblFleet[[#This Row],[Available_h]],"")</f>
        <v/>
      </c>
    </row>
    <row r="839">
      <c r="A839" s="54" t="n"/>
      <c r="B839" s="61" t="n"/>
      <c r="C839" s="62" t="n"/>
      <c r="D839" s="57" t="n"/>
      <c r="E839" s="57" t="n"/>
      <c r="F839" s="58" t="n"/>
      <c r="G839" s="66">
        <f>IF(tblFleet[[#This Row],[Units]]="","",tblFleet[[#This Row],[Units]]*cfg_HoursPerDay)</f>
        <v/>
      </c>
      <c r="H839" s="66">
        <f>IF(tblFleet[[#This Row],[Units]]="","",tblFleet[[#This Row],[Calendar_h]]-tblFleet[[#This Row],[Down_h]])</f>
        <v/>
      </c>
      <c r="I839" s="60">
        <f>IF(AND(tblFleet[[#This Row],[Units]]&lt;&gt;"",tblFleet[[#This Row],[Calendar_h]]&gt;0),tblFleet[[#This Row],[Available_h]]/tblFleet[[#This Row],[Calendar_h]],"")</f>
        <v/>
      </c>
      <c r="J839" s="60">
        <f>IF(AND(tblFleet[[#This Row],[Units]]&lt;&gt;"",tblFleet[[#This Row],[Available_h]]&gt;0),tblFleet[[#This Row],[Operating_h]]/tblFleet[[#This Row],[Available_h]],"")</f>
        <v/>
      </c>
    </row>
    <row r="840">
      <c r="A840" s="54" t="n"/>
      <c r="B840" s="61" t="n"/>
      <c r="C840" s="62" t="n"/>
      <c r="D840" s="57" t="n"/>
      <c r="E840" s="57" t="n"/>
      <c r="F840" s="58" t="n"/>
      <c r="G840" s="66">
        <f>IF(tblFleet[[#This Row],[Units]]="","",tblFleet[[#This Row],[Units]]*cfg_HoursPerDay)</f>
        <v/>
      </c>
      <c r="H840" s="66">
        <f>IF(tblFleet[[#This Row],[Units]]="","",tblFleet[[#This Row],[Calendar_h]]-tblFleet[[#This Row],[Down_h]])</f>
        <v/>
      </c>
      <c r="I840" s="60">
        <f>IF(AND(tblFleet[[#This Row],[Units]]&lt;&gt;"",tblFleet[[#This Row],[Calendar_h]]&gt;0),tblFleet[[#This Row],[Available_h]]/tblFleet[[#This Row],[Calendar_h]],"")</f>
        <v/>
      </c>
      <c r="J840" s="60">
        <f>IF(AND(tblFleet[[#This Row],[Units]]&lt;&gt;"",tblFleet[[#This Row],[Available_h]]&gt;0),tblFleet[[#This Row],[Operating_h]]/tblFleet[[#This Row],[Available_h]],"")</f>
        <v/>
      </c>
    </row>
    <row r="841">
      <c r="A841" s="54" t="n"/>
      <c r="B841" s="61" t="n"/>
      <c r="C841" s="62" t="n"/>
      <c r="D841" s="57" t="n"/>
      <c r="E841" s="57" t="n"/>
      <c r="F841" s="58" t="n"/>
      <c r="G841" s="66">
        <f>IF(tblFleet[[#This Row],[Units]]="","",tblFleet[[#This Row],[Units]]*cfg_HoursPerDay)</f>
        <v/>
      </c>
      <c r="H841" s="66">
        <f>IF(tblFleet[[#This Row],[Units]]="","",tblFleet[[#This Row],[Calendar_h]]-tblFleet[[#This Row],[Down_h]])</f>
        <v/>
      </c>
      <c r="I841" s="60">
        <f>IF(AND(tblFleet[[#This Row],[Units]]&lt;&gt;"",tblFleet[[#This Row],[Calendar_h]]&gt;0),tblFleet[[#This Row],[Available_h]]/tblFleet[[#This Row],[Calendar_h]],"")</f>
        <v/>
      </c>
      <c r="J841" s="60">
        <f>IF(AND(tblFleet[[#This Row],[Units]]&lt;&gt;"",tblFleet[[#This Row],[Available_h]]&gt;0),tblFleet[[#This Row],[Operating_h]]/tblFleet[[#This Row],[Available_h]],"")</f>
        <v/>
      </c>
    </row>
    <row r="842">
      <c r="A842" s="54" t="n"/>
      <c r="B842" s="61" t="n"/>
      <c r="C842" s="62" t="n"/>
      <c r="D842" s="57" t="n"/>
      <c r="E842" s="57" t="n"/>
      <c r="F842" s="58" t="n"/>
      <c r="G842" s="66">
        <f>IF(tblFleet[[#This Row],[Units]]="","",tblFleet[[#This Row],[Units]]*cfg_HoursPerDay)</f>
        <v/>
      </c>
      <c r="H842" s="66">
        <f>IF(tblFleet[[#This Row],[Units]]="","",tblFleet[[#This Row],[Calendar_h]]-tblFleet[[#This Row],[Down_h]])</f>
        <v/>
      </c>
      <c r="I842" s="60">
        <f>IF(AND(tblFleet[[#This Row],[Units]]&lt;&gt;"",tblFleet[[#This Row],[Calendar_h]]&gt;0),tblFleet[[#This Row],[Available_h]]/tblFleet[[#This Row],[Calendar_h]],"")</f>
        <v/>
      </c>
      <c r="J842" s="60">
        <f>IF(AND(tblFleet[[#This Row],[Units]]&lt;&gt;"",tblFleet[[#This Row],[Available_h]]&gt;0),tblFleet[[#This Row],[Operating_h]]/tblFleet[[#This Row],[Available_h]],"")</f>
        <v/>
      </c>
    </row>
    <row r="843">
      <c r="A843" s="54" t="n"/>
      <c r="B843" s="61" t="n"/>
      <c r="C843" s="62" t="n"/>
      <c r="D843" s="57" t="n"/>
      <c r="E843" s="57" t="n"/>
      <c r="F843" s="58" t="n"/>
      <c r="G843" s="66">
        <f>IF(tblFleet[[#This Row],[Units]]="","",tblFleet[[#This Row],[Units]]*cfg_HoursPerDay)</f>
        <v/>
      </c>
      <c r="H843" s="66">
        <f>IF(tblFleet[[#This Row],[Units]]="","",tblFleet[[#This Row],[Calendar_h]]-tblFleet[[#This Row],[Down_h]])</f>
        <v/>
      </c>
      <c r="I843" s="60">
        <f>IF(AND(tblFleet[[#This Row],[Units]]&lt;&gt;"",tblFleet[[#This Row],[Calendar_h]]&gt;0),tblFleet[[#This Row],[Available_h]]/tblFleet[[#This Row],[Calendar_h]],"")</f>
        <v/>
      </c>
      <c r="J843" s="60">
        <f>IF(AND(tblFleet[[#This Row],[Units]]&lt;&gt;"",tblFleet[[#This Row],[Available_h]]&gt;0),tblFleet[[#This Row],[Operating_h]]/tblFleet[[#This Row],[Available_h]],"")</f>
        <v/>
      </c>
    </row>
    <row r="844">
      <c r="A844" s="54" t="n"/>
      <c r="B844" s="61" t="n"/>
      <c r="C844" s="62" t="n"/>
      <c r="D844" s="57" t="n"/>
      <c r="E844" s="57" t="n"/>
      <c r="F844" s="58" t="n"/>
      <c r="G844" s="66">
        <f>IF(tblFleet[[#This Row],[Units]]="","",tblFleet[[#This Row],[Units]]*cfg_HoursPerDay)</f>
        <v/>
      </c>
      <c r="H844" s="66">
        <f>IF(tblFleet[[#This Row],[Units]]="","",tblFleet[[#This Row],[Calendar_h]]-tblFleet[[#This Row],[Down_h]])</f>
        <v/>
      </c>
      <c r="I844" s="60">
        <f>IF(AND(tblFleet[[#This Row],[Units]]&lt;&gt;"",tblFleet[[#This Row],[Calendar_h]]&gt;0),tblFleet[[#This Row],[Available_h]]/tblFleet[[#This Row],[Calendar_h]],"")</f>
        <v/>
      </c>
      <c r="J844" s="60">
        <f>IF(AND(tblFleet[[#This Row],[Units]]&lt;&gt;"",tblFleet[[#This Row],[Available_h]]&gt;0),tblFleet[[#This Row],[Operating_h]]/tblFleet[[#This Row],[Available_h]],"")</f>
        <v/>
      </c>
    </row>
    <row r="845">
      <c r="A845" s="54" t="n"/>
      <c r="B845" s="61" t="n"/>
      <c r="C845" s="62" t="n"/>
      <c r="D845" s="57" t="n"/>
      <c r="E845" s="57" t="n"/>
      <c r="F845" s="58" t="n"/>
      <c r="G845" s="66">
        <f>IF(tblFleet[[#This Row],[Units]]="","",tblFleet[[#This Row],[Units]]*cfg_HoursPerDay)</f>
        <v/>
      </c>
      <c r="H845" s="66">
        <f>IF(tblFleet[[#This Row],[Units]]="","",tblFleet[[#This Row],[Calendar_h]]-tblFleet[[#This Row],[Down_h]])</f>
        <v/>
      </c>
      <c r="I845" s="60">
        <f>IF(AND(tblFleet[[#This Row],[Units]]&lt;&gt;"",tblFleet[[#This Row],[Calendar_h]]&gt;0),tblFleet[[#This Row],[Available_h]]/tblFleet[[#This Row],[Calendar_h]],"")</f>
        <v/>
      </c>
      <c r="J845" s="60">
        <f>IF(AND(tblFleet[[#This Row],[Units]]&lt;&gt;"",tblFleet[[#This Row],[Available_h]]&gt;0),tblFleet[[#This Row],[Operating_h]]/tblFleet[[#This Row],[Available_h]],"")</f>
        <v/>
      </c>
    </row>
    <row r="846">
      <c r="A846" s="54" t="n"/>
      <c r="B846" s="61" t="n"/>
      <c r="C846" s="62" t="n"/>
      <c r="D846" s="57" t="n"/>
      <c r="E846" s="57" t="n"/>
      <c r="F846" s="58" t="n"/>
      <c r="G846" s="66">
        <f>IF(tblFleet[[#This Row],[Units]]="","",tblFleet[[#This Row],[Units]]*cfg_HoursPerDay)</f>
        <v/>
      </c>
      <c r="H846" s="66">
        <f>IF(tblFleet[[#This Row],[Units]]="","",tblFleet[[#This Row],[Calendar_h]]-tblFleet[[#This Row],[Down_h]])</f>
        <v/>
      </c>
      <c r="I846" s="60">
        <f>IF(AND(tblFleet[[#This Row],[Units]]&lt;&gt;"",tblFleet[[#This Row],[Calendar_h]]&gt;0),tblFleet[[#This Row],[Available_h]]/tblFleet[[#This Row],[Calendar_h]],"")</f>
        <v/>
      </c>
      <c r="J846" s="60">
        <f>IF(AND(tblFleet[[#This Row],[Units]]&lt;&gt;"",tblFleet[[#This Row],[Available_h]]&gt;0),tblFleet[[#This Row],[Operating_h]]/tblFleet[[#This Row],[Available_h]],"")</f>
        <v/>
      </c>
    </row>
    <row r="847">
      <c r="A847" s="54" t="n"/>
      <c r="B847" s="61" t="n"/>
      <c r="C847" s="62" t="n"/>
      <c r="D847" s="57" t="n"/>
      <c r="E847" s="57" t="n"/>
      <c r="F847" s="58" t="n"/>
      <c r="G847" s="66">
        <f>IF(tblFleet[[#This Row],[Units]]="","",tblFleet[[#This Row],[Units]]*cfg_HoursPerDay)</f>
        <v/>
      </c>
      <c r="H847" s="66">
        <f>IF(tblFleet[[#This Row],[Units]]="","",tblFleet[[#This Row],[Calendar_h]]-tblFleet[[#This Row],[Down_h]])</f>
        <v/>
      </c>
      <c r="I847" s="60">
        <f>IF(AND(tblFleet[[#This Row],[Units]]&lt;&gt;"",tblFleet[[#This Row],[Calendar_h]]&gt;0),tblFleet[[#This Row],[Available_h]]/tblFleet[[#This Row],[Calendar_h]],"")</f>
        <v/>
      </c>
      <c r="J847" s="60">
        <f>IF(AND(tblFleet[[#This Row],[Units]]&lt;&gt;"",tblFleet[[#This Row],[Available_h]]&gt;0),tblFleet[[#This Row],[Operating_h]]/tblFleet[[#This Row],[Available_h]],"")</f>
        <v/>
      </c>
    </row>
    <row r="848">
      <c r="A848" s="54" t="n"/>
      <c r="B848" s="61" t="n"/>
      <c r="C848" s="62" t="n"/>
      <c r="D848" s="57" t="n"/>
      <c r="E848" s="57" t="n"/>
      <c r="F848" s="58" t="n"/>
      <c r="G848" s="66">
        <f>IF(tblFleet[[#This Row],[Units]]="","",tblFleet[[#This Row],[Units]]*cfg_HoursPerDay)</f>
        <v/>
      </c>
      <c r="H848" s="66">
        <f>IF(tblFleet[[#This Row],[Units]]="","",tblFleet[[#This Row],[Calendar_h]]-tblFleet[[#This Row],[Down_h]])</f>
        <v/>
      </c>
      <c r="I848" s="60">
        <f>IF(AND(tblFleet[[#This Row],[Units]]&lt;&gt;"",tblFleet[[#This Row],[Calendar_h]]&gt;0),tblFleet[[#This Row],[Available_h]]/tblFleet[[#This Row],[Calendar_h]],"")</f>
        <v/>
      </c>
      <c r="J848" s="60">
        <f>IF(AND(tblFleet[[#This Row],[Units]]&lt;&gt;"",tblFleet[[#This Row],[Available_h]]&gt;0),tblFleet[[#This Row],[Operating_h]]/tblFleet[[#This Row],[Available_h]],"")</f>
        <v/>
      </c>
    </row>
    <row r="849">
      <c r="A849" s="54" t="n"/>
      <c r="B849" s="61" t="n"/>
      <c r="C849" s="62" t="n"/>
      <c r="D849" s="57" t="n"/>
      <c r="E849" s="57" t="n"/>
      <c r="F849" s="58" t="n"/>
      <c r="G849" s="66">
        <f>IF(tblFleet[[#This Row],[Units]]="","",tblFleet[[#This Row],[Units]]*cfg_HoursPerDay)</f>
        <v/>
      </c>
      <c r="H849" s="66">
        <f>IF(tblFleet[[#This Row],[Units]]="","",tblFleet[[#This Row],[Calendar_h]]-tblFleet[[#This Row],[Down_h]])</f>
        <v/>
      </c>
      <c r="I849" s="60">
        <f>IF(AND(tblFleet[[#This Row],[Units]]&lt;&gt;"",tblFleet[[#This Row],[Calendar_h]]&gt;0),tblFleet[[#This Row],[Available_h]]/tblFleet[[#This Row],[Calendar_h]],"")</f>
        <v/>
      </c>
      <c r="J849" s="60">
        <f>IF(AND(tblFleet[[#This Row],[Units]]&lt;&gt;"",tblFleet[[#This Row],[Available_h]]&gt;0),tblFleet[[#This Row],[Operating_h]]/tblFleet[[#This Row],[Available_h]],"")</f>
        <v/>
      </c>
    </row>
    <row r="850">
      <c r="A850" s="54" t="n"/>
      <c r="B850" s="61" t="n"/>
      <c r="C850" s="62" t="n"/>
      <c r="D850" s="57" t="n"/>
      <c r="E850" s="57" t="n"/>
      <c r="F850" s="58" t="n"/>
      <c r="G850" s="66">
        <f>IF(tblFleet[[#This Row],[Units]]="","",tblFleet[[#This Row],[Units]]*cfg_HoursPerDay)</f>
        <v/>
      </c>
      <c r="H850" s="66">
        <f>IF(tblFleet[[#This Row],[Units]]="","",tblFleet[[#This Row],[Calendar_h]]-tblFleet[[#This Row],[Down_h]])</f>
        <v/>
      </c>
      <c r="I850" s="60">
        <f>IF(AND(tblFleet[[#This Row],[Units]]&lt;&gt;"",tblFleet[[#This Row],[Calendar_h]]&gt;0),tblFleet[[#This Row],[Available_h]]/tblFleet[[#This Row],[Calendar_h]],"")</f>
        <v/>
      </c>
      <c r="J850" s="60">
        <f>IF(AND(tblFleet[[#This Row],[Units]]&lt;&gt;"",tblFleet[[#This Row],[Available_h]]&gt;0),tblFleet[[#This Row],[Operating_h]]/tblFleet[[#This Row],[Available_h]],"")</f>
        <v/>
      </c>
    </row>
    <row r="851">
      <c r="A851" s="54" t="n"/>
      <c r="B851" s="61" t="n"/>
      <c r="C851" s="62" t="n"/>
      <c r="D851" s="57" t="n"/>
      <c r="E851" s="57" t="n"/>
      <c r="F851" s="58" t="n"/>
      <c r="G851" s="66">
        <f>IF(tblFleet[[#This Row],[Units]]="","",tblFleet[[#This Row],[Units]]*cfg_HoursPerDay)</f>
        <v/>
      </c>
      <c r="H851" s="66">
        <f>IF(tblFleet[[#This Row],[Units]]="","",tblFleet[[#This Row],[Calendar_h]]-tblFleet[[#This Row],[Down_h]])</f>
        <v/>
      </c>
      <c r="I851" s="60">
        <f>IF(AND(tblFleet[[#This Row],[Units]]&lt;&gt;"",tblFleet[[#This Row],[Calendar_h]]&gt;0),tblFleet[[#This Row],[Available_h]]/tblFleet[[#This Row],[Calendar_h]],"")</f>
        <v/>
      </c>
      <c r="J851" s="60">
        <f>IF(AND(tblFleet[[#This Row],[Units]]&lt;&gt;"",tblFleet[[#This Row],[Available_h]]&gt;0),tblFleet[[#This Row],[Operating_h]]/tblFleet[[#This Row],[Available_h]],"")</f>
        <v/>
      </c>
    </row>
    <row r="852">
      <c r="A852" s="54" t="n"/>
      <c r="B852" s="61" t="n"/>
      <c r="C852" s="62" t="n"/>
      <c r="D852" s="57" t="n"/>
      <c r="E852" s="57" t="n"/>
      <c r="F852" s="58" t="n"/>
      <c r="G852" s="66">
        <f>IF(tblFleet[[#This Row],[Units]]="","",tblFleet[[#This Row],[Units]]*cfg_HoursPerDay)</f>
        <v/>
      </c>
      <c r="H852" s="66">
        <f>IF(tblFleet[[#This Row],[Units]]="","",tblFleet[[#This Row],[Calendar_h]]-tblFleet[[#This Row],[Down_h]])</f>
        <v/>
      </c>
      <c r="I852" s="60">
        <f>IF(AND(tblFleet[[#This Row],[Units]]&lt;&gt;"",tblFleet[[#This Row],[Calendar_h]]&gt;0),tblFleet[[#This Row],[Available_h]]/tblFleet[[#This Row],[Calendar_h]],"")</f>
        <v/>
      </c>
      <c r="J852" s="60">
        <f>IF(AND(tblFleet[[#This Row],[Units]]&lt;&gt;"",tblFleet[[#This Row],[Available_h]]&gt;0),tblFleet[[#This Row],[Operating_h]]/tblFleet[[#This Row],[Available_h]],"")</f>
        <v/>
      </c>
    </row>
    <row r="853">
      <c r="A853" s="54" t="n"/>
      <c r="B853" s="61" t="n"/>
      <c r="C853" s="62" t="n"/>
      <c r="D853" s="57" t="n"/>
      <c r="E853" s="57" t="n"/>
      <c r="F853" s="58" t="n"/>
      <c r="G853" s="66">
        <f>IF(tblFleet[[#This Row],[Units]]="","",tblFleet[[#This Row],[Units]]*cfg_HoursPerDay)</f>
        <v/>
      </c>
      <c r="H853" s="66">
        <f>IF(tblFleet[[#This Row],[Units]]="","",tblFleet[[#This Row],[Calendar_h]]-tblFleet[[#This Row],[Down_h]])</f>
        <v/>
      </c>
      <c r="I853" s="60">
        <f>IF(AND(tblFleet[[#This Row],[Units]]&lt;&gt;"",tblFleet[[#This Row],[Calendar_h]]&gt;0),tblFleet[[#This Row],[Available_h]]/tblFleet[[#This Row],[Calendar_h]],"")</f>
        <v/>
      </c>
      <c r="J853" s="60">
        <f>IF(AND(tblFleet[[#This Row],[Units]]&lt;&gt;"",tblFleet[[#This Row],[Available_h]]&gt;0),tblFleet[[#This Row],[Operating_h]]/tblFleet[[#This Row],[Available_h]],"")</f>
        <v/>
      </c>
    </row>
    <row r="854">
      <c r="A854" s="54" t="n"/>
      <c r="B854" s="61" t="n"/>
      <c r="C854" s="62" t="n"/>
      <c r="D854" s="57" t="n"/>
      <c r="E854" s="57" t="n"/>
      <c r="F854" s="58" t="n"/>
      <c r="G854" s="66">
        <f>IF(tblFleet[[#This Row],[Units]]="","",tblFleet[[#This Row],[Units]]*cfg_HoursPerDay)</f>
        <v/>
      </c>
      <c r="H854" s="66">
        <f>IF(tblFleet[[#This Row],[Units]]="","",tblFleet[[#This Row],[Calendar_h]]-tblFleet[[#This Row],[Down_h]])</f>
        <v/>
      </c>
      <c r="I854" s="60">
        <f>IF(AND(tblFleet[[#This Row],[Units]]&lt;&gt;"",tblFleet[[#This Row],[Calendar_h]]&gt;0),tblFleet[[#This Row],[Available_h]]/tblFleet[[#This Row],[Calendar_h]],"")</f>
        <v/>
      </c>
      <c r="J854" s="60">
        <f>IF(AND(tblFleet[[#This Row],[Units]]&lt;&gt;"",tblFleet[[#This Row],[Available_h]]&gt;0),tblFleet[[#This Row],[Operating_h]]/tblFleet[[#This Row],[Available_h]],"")</f>
        <v/>
      </c>
    </row>
    <row r="855">
      <c r="A855" s="54" t="n"/>
      <c r="B855" s="61" t="n"/>
      <c r="C855" s="62" t="n"/>
      <c r="D855" s="57" t="n"/>
      <c r="E855" s="57" t="n"/>
      <c r="F855" s="58" t="n"/>
      <c r="G855" s="66">
        <f>IF(tblFleet[[#This Row],[Units]]="","",tblFleet[[#This Row],[Units]]*cfg_HoursPerDay)</f>
        <v/>
      </c>
      <c r="H855" s="66">
        <f>IF(tblFleet[[#This Row],[Units]]="","",tblFleet[[#This Row],[Calendar_h]]-tblFleet[[#This Row],[Down_h]])</f>
        <v/>
      </c>
      <c r="I855" s="60">
        <f>IF(AND(tblFleet[[#This Row],[Units]]&lt;&gt;"",tblFleet[[#This Row],[Calendar_h]]&gt;0),tblFleet[[#This Row],[Available_h]]/tblFleet[[#This Row],[Calendar_h]],"")</f>
        <v/>
      </c>
      <c r="J855" s="60">
        <f>IF(AND(tblFleet[[#This Row],[Units]]&lt;&gt;"",tblFleet[[#This Row],[Available_h]]&gt;0),tblFleet[[#This Row],[Operating_h]]/tblFleet[[#This Row],[Available_h]],"")</f>
        <v/>
      </c>
    </row>
    <row r="856">
      <c r="A856" s="54" t="n"/>
      <c r="B856" s="61" t="n"/>
      <c r="C856" s="62" t="n"/>
      <c r="D856" s="57" t="n"/>
      <c r="E856" s="57" t="n"/>
      <c r="F856" s="58" t="n"/>
      <c r="G856" s="66">
        <f>IF(tblFleet[[#This Row],[Units]]="","",tblFleet[[#This Row],[Units]]*cfg_HoursPerDay)</f>
        <v/>
      </c>
      <c r="H856" s="66">
        <f>IF(tblFleet[[#This Row],[Units]]="","",tblFleet[[#This Row],[Calendar_h]]-tblFleet[[#This Row],[Down_h]])</f>
        <v/>
      </c>
      <c r="I856" s="60">
        <f>IF(AND(tblFleet[[#This Row],[Units]]&lt;&gt;"",tblFleet[[#This Row],[Calendar_h]]&gt;0),tblFleet[[#This Row],[Available_h]]/tblFleet[[#This Row],[Calendar_h]],"")</f>
        <v/>
      </c>
      <c r="J856" s="60">
        <f>IF(AND(tblFleet[[#This Row],[Units]]&lt;&gt;"",tblFleet[[#This Row],[Available_h]]&gt;0),tblFleet[[#This Row],[Operating_h]]/tblFleet[[#This Row],[Available_h]],"")</f>
        <v/>
      </c>
    </row>
    <row r="857">
      <c r="A857" s="54" t="n"/>
      <c r="B857" s="61" t="n"/>
      <c r="C857" s="62" t="n"/>
      <c r="D857" s="57" t="n"/>
      <c r="E857" s="57" t="n"/>
      <c r="F857" s="58" t="n"/>
      <c r="G857" s="66">
        <f>IF(tblFleet[[#This Row],[Units]]="","",tblFleet[[#This Row],[Units]]*cfg_HoursPerDay)</f>
        <v/>
      </c>
      <c r="H857" s="66">
        <f>IF(tblFleet[[#This Row],[Units]]="","",tblFleet[[#This Row],[Calendar_h]]-tblFleet[[#This Row],[Down_h]])</f>
        <v/>
      </c>
      <c r="I857" s="60">
        <f>IF(AND(tblFleet[[#This Row],[Units]]&lt;&gt;"",tblFleet[[#This Row],[Calendar_h]]&gt;0),tblFleet[[#This Row],[Available_h]]/tblFleet[[#This Row],[Calendar_h]],"")</f>
        <v/>
      </c>
      <c r="J857" s="60">
        <f>IF(AND(tblFleet[[#This Row],[Units]]&lt;&gt;"",tblFleet[[#This Row],[Available_h]]&gt;0),tblFleet[[#This Row],[Operating_h]]/tblFleet[[#This Row],[Available_h]],"")</f>
        <v/>
      </c>
    </row>
    <row r="858">
      <c r="A858" s="54" t="n"/>
      <c r="B858" s="61" t="n"/>
      <c r="C858" s="62" t="n"/>
      <c r="D858" s="57" t="n"/>
      <c r="E858" s="57" t="n"/>
      <c r="F858" s="58" t="n"/>
      <c r="G858" s="66">
        <f>IF(tblFleet[[#This Row],[Units]]="","",tblFleet[[#This Row],[Units]]*cfg_HoursPerDay)</f>
        <v/>
      </c>
      <c r="H858" s="66">
        <f>IF(tblFleet[[#This Row],[Units]]="","",tblFleet[[#This Row],[Calendar_h]]-tblFleet[[#This Row],[Down_h]])</f>
        <v/>
      </c>
      <c r="I858" s="60">
        <f>IF(AND(tblFleet[[#This Row],[Units]]&lt;&gt;"",tblFleet[[#This Row],[Calendar_h]]&gt;0),tblFleet[[#This Row],[Available_h]]/tblFleet[[#This Row],[Calendar_h]],"")</f>
        <v/>
      </c>
      <c r="J858" s="60">
        <f>IF(AND(tblFleet[[#This Row],[Units]]&lt;&gt;"",tblFleet[[#This Row],[Available_h]]&gt;0),tblFleet[[#This Row],[Operating_h]]/tblFleet[[#This Row],[Available_h]],"")</f>
        <v/>
      </c>
    </row>
    <row r="859">
      <c r="A859" s="54" t="n"/>
      <c r="B859" s="61" t="n"/>
      <c r="C859" s="62" t="n"/>
      <c r="D859" s="57" t="n"/>
      <c r="E859" s="57" t="n"/>
      <c r="F859" s="58" t="n"/>
      <c r="G859" s="66">
        <f>IF(tblFleet[[#This Row],[Units]]="","",tblFleet[[#This Row],[Units]]*cfg_HoursPerDay)</f>
        <v/>
      </c>
      <c r="H859" s="66">
        <f>IF(tblFleet[[#This Row],[Units]]="","",tblFleet[[#This Row],[Calendar_h]]-tblFleet[[#This Row],[Down_h]])</f>
        <v/>
      </c>
      <c r="I859" s="60">
        <f>IF(AND(tblFleet[[#This Row],[Units]]&lt;&gt;"",tblFleet[[#This Row],[Calendar_h]]&gt;0),tblFleet[[#This Row],[Available_h]]/tblFleet[[#This Row],[Calendar_h]],"")</f>
        <v/>
      </c>
      <c r="J859" s="60">
        <f>IF(AND(tblFleet[[#This Row],[Units]]&lt;&gt;"",tblFleet[[#This Row],[Available_h]]&gt;0),tblFleet[[#This Row],[Operating_h]]/tblFleet[[#This Row],[Available_h]],"")</f>
        <v/>
      </c>
    </row>
    <row r="860">
      <c r="A860" s="54" t="n"/>
      <c r="B860" s="61" t="n"/>
      <c r="C860" s="62" t="n"/>
      <c r="D860" s="57" t="n"/>
      <c r="E860" s="57" t="n"/>
      <c r="F860" s="58" t="n"/>
      <c r="G860" s="66">
        <f>IF(tblFleet[[#This Row],[Units]]="","",tblFleet[[#This Row],[Units]]*cfg_HoursPerDay)</f>
        <v/>
      </c>
      <c r="H860" s="66">
        <f>IF(tblFleet[[#This Row],[Units]]="","",tblFleet[[#This Row],[Calendar_h]]-tblFleet[[#This Row],[Down_h]])</f>
        <v/>
      </c>
      <c r="I860" s="60">
        <f>IF(AND(tblFleet[[#This Row],[Units]]&lt;&gt;"",tblFleet[[#This Row],[Calendar_h]]&gt;0),tblFleet[[#This Row],[Available_h]]/tblFleet[[#This Row],[Calendar_h]],"")</f>
        <v/>
      </c>
      <c r="J860" s="60">
        <f>IF(AND(tblFleet[[#This Row],[Units]]&lt;&gt;"",tblFleet[[#This Row],[Available_h]]&gt;0),tblFleet[[#This Row],[Operating_h]]/tblFleet[[#This Row],[Available_h]],"")</f>
        <v/>
      </c>
    </row>
    <row r="861">
      <c r="A861" s="54" t="n"/>
      <c r="B861" s="61" t="n"/>
      <c r="C861" s="62" t="n"/>
      <c r="D861" s="57" t="n"/>
      <c r="E861" s="57" t="n"/>
      <c r="F861" s="58" t="n"/>
      <c r="G861" s="66">
        <f>IF(tblFleet[[#This Row],[Units]]="","",tblFleet[[#This Row],[Units]]*cfg_HoursPerDay)</f>
        <v/>
      </c>
      <c r="H861" s="66">
        <f>IF(tblFleet[[#This Row],[Units]]="","",tblFleet[[#This Row],[Calendar_h]]-tblFleet[[#This Row],[Down_h]])</f>
        <v/>
      </c>
      <c r="I861" s="60">
        <f>IF(AND(tblFleet[[#This Row],[Units]]&lt;&gt;"",tblFleet[[#This Row],[Calendar_h]]&gt;0),tblFleet[[#This Row],[Available_h]]/tblFleet[[#This Row],[Calendar_h]],"")</f>
        <v/>
      </c>
      <c r="J861" s="60">
        <f>IF(AND(tblFleet[[#This Row],[Units]]&lt;&gt;"",tblFleet[[#This Row],[Available_h]]&gt;0),tblFleet[[#This Row],[Operating_h]]/tblFleet[[#This Row],[Available_h]],"")</f>
        <v/>
      </c>
    </row>
    <row r="862">
      <c r="A862" s="54" t="n"/>
      <c r="B862" s="61" t="n"/>
      <c r="C862" s="62" t="n"/>
      <c r="D862" s="57" t="n"/>
      <c r="E862" s="57" t="n"/>
      <c r="F862" s="58" t="n"/>
      <c r="G862" s="66">
        <f>IF(tblFleet[[#This Row],[Units]]="","",tblFleet[[#This Row],[Units]]*cfg_HoursPerDay)</f>
        <v/>
      </c>
      <c r="H862" s="66">
        <f>IF(tblFleet[[#This Row],[Units]]="","",tblFleet[[#This Row],[Calendar_h]]-tblFleet[[#This Row],[Down_h]])</f>
        <v/>
      </c>
      <c r="I862" s="60">
        <f>IF(AND(tblFleet[[#This Row],[Units]]&lt;&gt;"",tblFleet[[#This Row],[Calendar_h]]&gt;0),tblFleet[[#This Row],[Available_h]]/tblFleet[[#This Row],[Calendar_h]],"")</f>
        <v/>
      </c>
      <c r="J862" s="60">
        <f>IF(AND(tblFleet[[#This Row],[Units]]&lt;&gt;"",tblFleet[[#This Row],[Available_h]]&gt;0),tblFleet[[#This Row],[Operating_h]]/tblFleet[[#This Row],[Available_h]],"")</f>
        <v/>
      </c>
    </row>
    <row r="863">
      <c r="A863" s="54" t="n"/>
      <c r="B863" s="61" t="n"/>
      <c r="C863" s="62" t="n"/>
      <c r="D863" s="57" t="n"/>
      <c r="E863" s="57" t="n"/>
      <c r="F863" s="58" t="n"/>
      <c r="G863" s="66">
        <f>IF(tblFleet[[#This Row],[Units]]="","",tblFleet[[#This Row],[Units]]*cfg_HoursPerDay)</f>
        <v/>
      </c>
      <c r="H863" s="66">
        <f>IF(tblFleet[[#This Row],[Units]]="","",tblFleet[[#This Row],[Calendar_h]]-tblFleet[[#This Row],[Down_h]])</f>
        <v/>
      </c>
      <c r="I863" s="60">
        <f>IF(AND(tblFleet[[#This Row],[Units]]&lt;&gt;"",tblFleet[[#This Row],[Calendar_h]]&gt;0),tblFleet[[#This Row],[Available_h]]/tblFleet[[#This Row],[Calendar_h]],"")</f>
        <v/>
      </c>
      <c r="J863" s="60">
        <f>IF(AND(tblFleet[[#This Row],[Units]]&lt;&gt;"",tblFleet[[#This Row],[Available_h]]&gt;0),tblFleet[[#This Row],[Operating_h]]/tblFleet[[#This Row],[Available_h]],"")</f>
        <v/>
      </c>
    </row>
    <row r="864">
      <c r="A864" s="54" t="n"/>
      <c r="B864" s="61" t="n"/>
      <c r="C864" s="62" t="n"/>
      <c r="D864" s="57" t="n"/>
      <c r="E864" s="57" t="n"/>
      <c r="F864" s="58" t="n"/>
      <c r="G864" s="66">
        <f>IF(tblFleet[[#This Row],[Units]]="","",tblFleet[[#This Row],[Units]]*cfg_HoursPerDay)</f>
        <v/>
      </c>
      <c r="H864" s="66">
        <f>IF(tblFleet[[#This Row],[Units]]="","",tblFleet[[#This Row],[Calendar_h]]-tblFleet[[#This Row],[Down_h]])</f>
        <v/>
      </c>
      <c r="I864" s="60">
        <f>IF(AND(tblFleet[[#This Row],[Units]]&lt;&gt;"",tblFleet[[#This Row],[Calendar_h]]&gt;0),tblFleet[[#This Row],[Available_h]]/tblFleet[[#This Row],[Calendar_h]],"")</f>
        <v/>
      </c>
      <c r="J864" s="60">
        <f>IF(AND(tblFleet[[#This Row],[Units]]&lt;&gt;"",tblFleet[[#This Row],[Available_h]]&gt;0),tblFleet[[#This Row],[Operating_h]]/tblFleet[[#This Row],[Available_h]],"")</f>
        <v/>
      </c>
    </row>
    <row r="865">
      <c r="A865" s="54" t="n"/>
      <c r="B865" s="61" t="n"/>
      <c r="C865" s="62" t="n"/>
      <c r="D865" s="57" t="n"/>
      <c r="E865" s="57" t="n"/>
      <c r="F865" s="58" t="n"/>
      <c r="G865" s="66">
        <f>IF(tblFleet[[#This Row],[Units]]="","",tblFleet[[#This Row],[Units]]*cfg_HoursPerDay)</f>
        <v/>
      </c>
      <c r="H865" s="66">
        <f>IF(tblFleet[[#This Row],[Units]]="","",tblFleet[[#This Row],[Calendar_h]]-tblFleet[[#This Row],[Down_h]])</f>
        <v/>
      </c>
      <c r="I865" s="60">
        <f>IF(AND(tblFleet[[#This Row],[Units]]&lt;&gt;"",tblFleet[[#This Row],[Calendar_h]]&gt;0),tblFleet[[#This Row],[Available_h]]/tblFleet[[#This Row],[Calendar_h]],"")</f>
        <v/>
      </c>
      <c r="J865" s="60">
        <f>IF(AND(tblFleet[[#This Row],[Units]]&lt;&gt;"",tblFleet[[#This Row],[Available_h]]&gt;0),tblFleet[[#This Row],[Operating_h]]/tblFleet[[#This Row],[Available_h]],"")</f>
        <v/>
      </c>
    </row>
    <row r="866">
      <c r="A866" s="54" t="n"/>
      <c r="B866" s="61" t="n"/>
      <c r="C866" s="62" t="n"/>
      <c r="D866" s="57" t="n"/>
      <c r="E866" s="57" t="n"/>
      <c r="F866" s="58" t="n"/>
      <c r="G866" s="66">
        <f>IF(tblFleet[[#This Row],[Units]]="","",tblFleet[[#This Row],[Units]]*cfg_HoursPerDay)</f>
        <v/>
      </c>
      <c r="H866" s="66">
        <f>IF(tblFleet[[#This Row],[Units]]="","",tblFleet[[#This Row],[Calendar_h]]-tblFleet[[#This Row],[Down_h]])</f>
        <v/>
      </c>
      <c r="I866" s="60">
        <f>IF(AND(tblFleet[[#This Row],[Units]]&lt;&gt;"",tblFleet[[#This Row],[Calendar_h]]&gt;0),tblFleet[[#This Row],[Available_h]]/tblFleet[[#This Row],[Calendar_h]],"")</f>
        <v/>
      </c>
      <c r="J866" s="60">
        <f>IF(AND(tblFleet[[#This Row],[Units]]&lt;&gt;"",tblFleet[[#This Row],[Available_h]]&gt;0),tblFleet[[#This Row],[Operating_h]]/tblFleet[[#This Row],[Available_h]],"")</f>
        <v/>
      </c>
    </row>
    <row r="867">
      <c r="A867" s="54" t="n"/>
      <c r="B867" s="61" t="n"/>
      <c r="C867" s="62" t="n"/>
      <c r="D867" s="57" t="n"/>
      <c r="E867" s="57" t="n"/>
      <c r="F867" s="58" t="n"/>
      <c r="G867" s="66">
        <f>IF(tblFleet[[#This Row],[Units]]="","",tblFleet[[#This Row],[Units]]*cfg_HoursPerDay)</f>
        <v/>
      </c>
      <c r="H867" s="66">
        <f>IF(tblFleet[[#This Row],[Units]]="","",tblFleet[[#This Row],[Calendar_h]]-tblFleet[[#This Row],[Down_h]])</f>
        <v/>
      </c>
      <c r="I867" s="60">
        <f>IF(AND(tblFleet[[#This Row],[Units]]&lt;&gt;"",tblFleet[[#This Row],[Calendar_h]]&gt;0),tblFleet[[#This Row],[Available_h]]/tblFleet[[#This Row],[Calendar_h]],"")</f>
        <v/>
      </c>
      <c r="J867" s="60">
        <f>IF(AND(tblFleet[[#This Row],[Units]]&lt;&gt;"",tblFleet[[#This Row],[Available_h]]&gt;0),tblFleet[[#This Row],[Operating_h]]/tblFleet[[#This Row],[Available_h]],"")</f>
        <v/>
      </c>
    </row>
    <row r="868">
      <c r="A868" s="54" t="n"/>
      <c r="B868" s="61" t="n"/>
      <c r="C868" s="62" t="n"/>
      <c r="D868" s="57" t="n"/>
      <c r="E868" s="57" t="n"/>
      <c r="F868" s="58" t="n"/>
      <c r="G868" s="66">
        <f>IF(tblFleet[[#This Row],[Units]]="","",tblFleet[[#This Row],[Units]]*cfg_HoursPerDay)</f>
        <v/>
      </c>
      <c r="H868" s="66">
        <f>IF(tblFleet[[#This Row],[Units]]="","",tblFleet[[#This Row],[Calendar_h]]-tblFleet[[#This Row],[Down_h]])</f>
        <v/>
      </c>
      <c r="I868" s="60">
        <f>IF(AND(tblFleet[[#This Row],[Units]]&lt;&gt;"",tblFleet[[#This Row],[Calendar_h]]&gt;0),tblFleet[[#This Row],[Available_h]]/tblFleet[[#This Row],[Calendar_h]],"")</f>
        <v/>
      </c>
      <c r="J868" s="60">
        <f>IF(AND(tblFleet[[#This Row],[Units]]&lt;&gt;"",tblFleet[[#This Row],[Available_h]]&gt;0),tblFleet[[#This Row],[Operating_h]]/tblFleet[[#This Row],[Available_h]],"")</f>
        <v/>
      </c>
    </row>
    <row r="869">
      <c r="A869" s="54" t="n"/>
      <c r="B869" s="61" t="n"/>
      <c r="C869" s="62" t="n"/>
      <c r="D869" s="57" t="n"/>
      <c r="E869" s="57" t="n"/>
      <c r="F869" s="58" t="n"/>
      <c r="G869" s="66">
        <f>IF(tblFleet[[#This Row],[Units]]="","",tblFleet[[#This Row],[Units]]*cfg_HoursPerDay)</f>
        <v/>
      </c>
      <c r="H869" s="66">
        <f>IF(tblFleet[[#This Row],[Units]]="","",tblFleet[[#This Row],[Calendar_h]]-tblFleet[[#This Row],[Down_h]])</f>
        <v/>
      </c>
      <c r="I869" s="60">
        <f>IF(AND(tblFleet[[#This Row],[Units]]&lt;&gt;"",tblFleet[[#This Row],[Calendar_h]]&gt;0),tblFleet[[#This Row],[Available_h]]/tblFleet[[#This Row],[Calendar_h]],"")</f>
        <v/>
      </c>
      <c r="J869" s="60">
        <f>IF(AND(tblFleet[[#This Row],[Units]]&lt;&gt;"",tblFleet[[#This Row],[Available_h]]&gt;0),tblFleet[[#This Row],[Operating_h]]/tblFleet[[#This Row],[Available_h]],"")</f>
        <v/>
      </c>
    </row>
    <row r="870">
      <c r="A870" s="54" t="n"/>
      <c r="B870" s="61" t="n"/>
      <c r="C870" s="62" t="n"/>
      <c r="D870" s="57" t="n"/>
      <c r="E870" s="57" t="n"/>
      <c r="F870" s="58" t="n"/>
      <c r="G870" s="66">
        <f>IF(tblFleet[[#This Row],[Units]]="","",tblFleet[[#This Row],[Units]]*cfg_HoursPerDay)</f>
        <v/>
      </c>
      <c r="H870" s="66">
        <f>IF(tblFleet[[#This Row],[Units]]="","",tblFleet[[#This Row],[Calendar_h]]-tblFleet[[#This Row],[Down_h]])</f>
        <v/>
      </c>
      <c r="I870" s="60">
        <f>IF(AND(tblFleet[[#This Row],[Units]]&lt;&gt;"",tblFleet[[#This Row],[Calendar_h]]&gt;0),tblFleet[[#This Row],[Available_h]]/tblFleet[[#This Row],[Calendar_h]],"")</f>
        <v/>
      </c>
      <c r="J870" s="60">
        <f>IF(AND(tblFleet[[#This Row],[Units]]&lt;&gt;"",tblFleet[[#This Row],[Available_h]]&gt;0),tblFleet[[#This Row],[Operating_h]]/tblFleet[[#This Row],[Available_h]],"")</f>
        <v/>
      </c>
    </row>
    <row r="871">
      <c r="A871" s="54" t="n"/>
      <c r="B871" s="61" t="n"/>
      <c r="C871" s="62" t="n"/>
      <c r="D871" s="57" t="n"/>
      <c r="E871" s="57" t="n"/>
      <c r="F871" s="58" t="n"/>
      <c r="G871" s="66">
        <f>IF(tblFleet[[#This Row],[Units]]="","",tblFleet[[#This Row],[Units]]*cfg_HoursPerDay)</f>
        <v/>
      </c>
      <c r="H871" s="66">
        <f>IF(tblFleet[[#This Row],[Units]]="","",tblFleet[[#This Row],[Calendar_h]]-tblFleet[[#This Row],[Down_h]])</f>
        <v/>
      </c>
      <c r="I871" s="60">
        <f>IF(AND(tblFleet[[#This Row],[Units]]&lt;&gt;"",tblFleet[[#This Row],[Calendar_h]]&gt;0),tblFleet[[#This Row],[Available_h]]/tblFleet[[#This Row],[Calendar_h]],"")</f>
        <v/>
      </c>
      <c r="J871" s="60">
        <f>IF(AND(tblFleet[[#This Row],[Units]]&lt;&gt;"",tblFleet[[#This Row],[Available_h]]&gt;0),tblFleet[[#This Row],[Operating_h]]/tblFleet[[#This Row],[Available_h]],"")</f>
        <v/>
      </c>
    </row>
    <row r="872">
      <c r="A872" s="54" t="n"/>
      <c r="B872" s="61" t="n"/>
      <c r="C872" s="62" t="n"/>
      <c r="D872" s="57" t="n"/>
      <c r="E872" s="57" t="n"/>
      <c r="F872" s="58" t="n"/>
      <c r="G872" s="66">
        <f>IF(tblFleet[[#This Row],[Units]]="","",tblFleet[[#This Row],[Units]]*cfg_HoursPerDay)</f>
        <v/>
      </c>
      <c r="H872" s="66">
        <f>IF(tblFleet[[#This Row],[Units]]="","",tblFleet[[#This Row],[Calendar_h]]-tblFleet[[#This Row],[Down_h]])</f>
        <v/>
      </c>
      <c r="I872" s="60">
        <f>IF(AND(tblFleet[[#This Row],[Units]]&lt;&gt;"",tblFleet[[#This Row],[Calendar_h]]&gt;0),tblFleet[[#This Row],[Available_h]]/tblFleet[[#This Row],[Calendar_h]],"")</f>
        <v/>
      </c>
      <c r="J872" s="60">
        <f>IF(AND(tblFleet[[#This Row],[Units]]&lt;&gt;"",tblFleet[[#This Row],[Available_h]]&gt;0),tblFleet[[#This Row],[Operating_h]]/tblFleet[[#This Row],[Available_h]],"")</f>
        <v/>
      </c>
    </row>
    <row r="873">
      <c r="A873" s="54" t="n"/>
      <c r="B873" s="61" t="n"/>
      <c r="C873" s="62" t="n"/>
      <c r="D873" s="57" t="n"/>
      <c r="E873" s="57" t="n"/>
      <c r="F873" s="58" t="n"/>
      <c r="G873" s="66">
        <f>IF(tblFleet[[#This Row],[Units]]="","",tblFleet[[#This Row],[Units]]*cfg_HoursPerDay)</f>
        <v/>
      </c>
      <c r="H873" s="66">
        <f>IF(tblFleet[[#This Row],[Units]]="","",tblFleet[[#This Row],[Calendar_h]]-tblFleet[[#This Row],[Down_h]])</f>
        <v/>
      </c>
      <c r="I873" s="60">
        <f>IF(AND(tblFleet[[#This Row],[Units]]&lt;&gt;"",tblFleet[[#This Row],[Calendar_h]]&gt;0),tblFleet[[#This Row],[Available_h]]/tblFleet[[#This Row],[Calendar_h]],"")</f>
        <v/>
      </c>
      <c r="J873" s="60">
        <f>IF(AND(tblFleet[[#This Row],[Units]]&lt;&gt;"",tblFleet[[#This Row],[Available_h]]&gt;0),tblFleet[[#This Row],[Operating_h]]/tblFleet[[#This Row],[Available_h]],"")</f>
        <v/>
      </c>
    </row>
    <row r="874">
      <c r="A874" s="54" t="n"/>
      <c r="B874" s="61" t="n"/>
      <c r="C874" s="62" t="n"/>
      <c r="D874" s="57" t="n"/>
      <c r="E874" s="57" t="n"/>
      <c r="F874" s="58" t="n"/>
      <c r="G874" s="66">
        <f>IF(tblFleet[[#This Row],[Units]]="","",tblFleet[[#This Row],[Units]]*cfg_HoursPerDay)</f>
        <v/>
      </c>
      <c r="H874" s="66">
        <f>IF(tblFleet[[#This Row],[Units]]="","",tblFleet[[#This Row],[Calendar_h]]-tblFleet[[#This Row],[Down_h]])</f>
        <v/>
      </c>
      <c r="I874" s="60">
        <f>IF(AND(tblFleet[[#This Row],[Units]]&lt;&gt;"",tblFleet[[#This Row],[Calendar_h]]&gt;0),tblFleet[[#This Row],[Available_h]]/tblFleet[[#This Row],[Calendar_h]],"")</f>
        <v/>
      </c>
      <c r="J874" s="60">
        <f>IF(AND(tblFleet[[#This Row],[Units]]&lt;&gt;"",tblFleet[[#This Row],[Available_h]]&gt;0),tblFleet[[#This Row],[Operating_h]]/tblFleet[[#This Row],[Available_h]],"")</f>
        <v/>
      </c>
    </row>
    <row r="875">
      <c r="A875" s="54" t="n"/>
      <c r="B875" s="61" t="n"/>
      <c r="C875" s="62" t="n"/>
      <c r="D875" s="57" t="n"/>
      <c r="E875" s="57" t="n"/>
      <c r="F875" s="58" t="n"/>
      <c r="G875" s="66">
        <f>IF(tblFleet[[#This Row],[Units]]="","",tblFleet[[#This Row],[Units]]*cfg_HoursPerDay)</f>
        <v/>
      </c>
      <c r="H875" s="66">
        <f>IF(tblFleet[[#This Row],[Units]]="","",tblFleet[[#This Row],[Calendar_h]]-tblFleet[[#This Row],[Down_h]])</f>
        <v/>
      </c>
      <c r="I875" s="60">
        <f>IF(AND(tblFleet[[#This Row],[Units]]&lt;&gt;"",tblFleet[[#This Row],[Calendar_h]]&gt;0),tblFleet[[#This Row],[Available_h]]/tblFleet[[#This Row],[Calendar_h]],"")</f>
        <v/>
      </c>
      <c r="J875" s="60">
        <f>IF(AND(tblFleet[[#This Row],[Units]]&lt;&gt;"",tblFleet[[#This Row],[Available_h]]&gt;0),tblFleet[[#This Row],[Operating_h]]/tblFleet[[#This Row],[Available_h]],"")</f>
        <v/>
      </c>
    </row>
    <row r="876">
      <c r="A876" s="54" t="n"/>
      <c r="B876" s="61" t="n"/>
      <c r="C876" s="62" t="n"/>
      <c r="D876" s="57" t="n"/>
      <c r="E876" s="57" t="n"/>
      <c r="F876" s="58" t="n"/>
      <c r="G876" s="66">
        <f>IF(tblFleet[[#This Row],[Units]]="","",tblFleet[[#This Row],[Units]]*cfg_HoursPerDay)</f>
        <v/>
      </c>
      <c r="H876" s="66">
        <f>IF(tblFleet[[#This Row],[Units]]="","",tblFleet[[#This Row],[Calendar_h]]-tblFleet[[#This Row],[Down_h]])</f>
        <v/>
      </c>
      <c r="I876" s="60">
        <f>IF(AND(tblFleet[[#This Row],[Units]]&lt;&gt;"",tblFleet[[#This Row],[Calendar_h]]&gt;0),tblFleet[[#This Row],[Available_h]]/tblFleet[[#This Row],[Calendar_h]],"")</f>
        <v/>
      </c>
      <c r="J876" s="60">
        <f>IF(AND(tblFleet[[#This Row],[Units]]&lt;&gt;"",tblFleet[[#This Row],[Available_h]]&gt;0),tblFleet[[#This Row],[Operating_h]]/tblFleet[[#This Row],[Available_h]],"")</f>
        <v/>
      </c>
    </row>
    <row r="877">
      <c r="A877" s="54" t="n"/>
      <c r="B877" s="61" t="n"/>
      <c r="C877" s="62" t="n"/>
      <c r="D877" s="57" t="n"/>
      <c r="E877" s="57" t="n"/>
      <c r="F877" s="58" t="n"/>
      <c r="G877" s="66">
        <f>IF(tblFleet[[#This Row],[Units]]="","",tblFleet[[#This Row],[Units]]*cfg_HoursPerDay)</f>
        <v/>
      </c>
      <c r="H877" s="66">
        <f>IF(tblFleet[[#This Row],[Units]]="","",tblFleet[[#This Row],[Calendar_h]]-tblFleet[[#This Row],[Down_h]])</f>
        <v/>
      </c>
      <c r="I877" s="60">
        <f>IF(AND(tblFleet[[#This Row],[Units]]&lt;&gt;"",tblFleet[[#This Row],[Calendar_h]]&gt;0),tblFleet[[#This Row],[Available_h]]/tblFleet[[#This Row],[Calendar_h]],"")</f>
        <v/>
      </c>
      <c r="J877" s="60">
        <f>IF(AND(tblFleet[[#This Row],[Units]]&lt;&gt;"",tblFleet[[#This Row],[Available_h]]&gt;0),tblFleet[[#This Row],[Operating_h]]/tblFleet[[#This Row],[Available_h]],"")</f>
        <v/>
      </c>
    </row>
    <row r="878">
      <c r="A878" s="54" t="n"/>
      <c r="B878" s="61" t="n"/>
      <c r="C878" s="62" t="n"/>
      <c r="D878" s="57" t="n"/>
      <c r="E878" s="57" t="n"/>
      <c r="F878" s="58" t="n"/>
      <c r="G878" s="66">
        <f>IF(tblFleet[[#This Row],[Units]]="","",tblFleet[[#This Row],[Units]]*cfg_HoursPerDay)</f>
        <v/>
      </c>
      <c r="H878" s="66">
        <f>IF(tblFleet[[#This Row],[Units]]="","",tblFleet[[#This Row],[Calendar_h]]-tblFleet[[#This Row],[Down_h]])</f>
        <v/>
      </c>
      <c r="I878" s="60">
        <f>IF(AND(tblFleet[[#This Row],[Units]]&lt;&gt;"",tblFleet[[#This Row],[Calendar_h]]&gt;0),tblFleet[[#This Row],[Available_h]]/tblFleet[[#This Row],[Calendar_h]],"")</f>
        <v/>
      </c>
      <c r="J878" s="60">
        <f>IF(AND(tblFleet[[#This Row],[Units]]&lt;&gt;"",tblFleet[[#This Row],[Available_h]]&gt;0),tblFleet[[#This Row],[Operating_h]]/tblFleet[[#This Row],[Available_h]],"")</f>
        <v/>
      </c>
    </row>
    <row r="879">
      <c r="A879" s="54" t="n"/>
      <c r="B879" s="61" t="n"/>
      <c r="C879" s="62" t="n"/>
      <c r="D879" s="57" t="n"/>
      <c r="E879" s="57" t="n"/>
      <c r="F879" s="58" t="n"/>
      <c r="G879" s="66">
        <f>IF(tblFleet[[#This Row],[Units]]="","",tblFleet[[#This Row],[Units]]*cfg_HoursPerDay)</f>
        <v/>
      </c>
      <c r="H879" s="66">
        <f>IF(tblFleet[[#This Row],[Units]]="","",tblFleet[[#This Row],[Calendar_h]]-tblFleet[[#This Row],[Down_h]])</f>
        <v/>
      </c>
      <c r="I879" s="60">
        <f>IF(AND(tblFleet[[#This Row],[Units]]&lt;&gt;"",tblFleet[[#This Row],[Calendar_h]]&gt;0),tblFleet[[#This Row],[Available_h]]/tblFleet[[#This Row],[Calendar_h]],"")</f>
        <v/>
      </c>
      <c r="J879" s="60">
        <f>IF(AND(tblFleet[[#This Row],[Units]]&lt;&gt;"",tblFleet[[#This Row],[Available_h]]&gt;0),tblFleet[[#This Row],[Operating_h]]/tblFleet[[#This Row],[Available_h]],"")</f>
        <v/>
      </c>
    </row>
    <row r="880">
      <c r="A880" s="54" t="n"/>
      <c r="B880" s="61" t="n"/>
      <c r="C880" s="62" t="n"/>
      <c r="D880" s="57" t="n"/>
      <c r="E880" s="57" t="n"/>
      <c r="F880" s="58" t="n"/>
      <c r="G880" s="66">
        <f>IF(tblFleet[[#This Row],[Units]]="","",tblFleet[[#This Row],[Units]]*cfg_HoursPerDay)</f>
        <v/>
      </c>
      <c r="H880" s="66">
        <f>IF(tblFleet[[#This Row],[Units]]="","",tblFleet[[#This Row],[Calendar_h]]-tblFleet[[#This Row],[Down_h]])</f>
        <v/>
      </c>
      <c r="I880" s="60">
        <f>IF(AND(tblFleet[[#This Row],[Units]]&lt;&gt;"",tblFleet[[#This Row],[Calendar_h]]&gt;0),tblFleet[[#This Row],[Available_h]]/tblFleet[[#This Row],[Calendar_h]],"")</f>
        <v/>
      </c>
      <c r="J880" s="60">
        <f>IF(AND(tblFleet[[#This Row],[Units]]&lt;&gt;"",tblFleet[[#This Row],[Available_h]]&gt;0),tblFleet[[#This Row],[Operating_h]]/tblFleet[[#This Row],[Available_h]],"")</f>
        <v/>
      </c>
    </row>
    <row r="881">
      <c r="A881" s="54" t="n"/>
      <c r="B881" s="61" t="n"/>
      <c r="C881" s="62" t="n"/>
      <c r="D881" s="57" t="n"/>
      <c r="E881" s="57" t="n"/>
      <c r="F881" s="58" t="n"/>
      <c r="G881" s="66">
        <f>IF(tblFleet[[#This Row],[Units]]="","",tblFleet[[#This Row],[Units]]*cfg_HoursPerDay)</f>
        <v/>
      </c>
      <c r="H881" s="66">
        <f>IF(tblFleet[[#This Row],[Units]]="","",tblFleet[[#This Row],[Calendar_h]]-tblFleet[[#This Row],[Down_h]])</f>
        <v/>
      </c>
      <c r="I881" s="60">
        <f>IF(AND(tblFleet[[#This Row],[Units]]&lt;&gt;"",tblFleet[[#This Row],[Calendar_h]]&gt;0),tblFleet[[#This Row],[Available_h]]/tblFleet[[#This Row],[Calendar_h]],"")</f>
        <v/>
      </c>
      <c r="J881" s="60">
        <f>IF(AND(tblFleet[[#This Row],[Units]]&lt;&gt;"",tblFleet[[#This Row],[Available_h]]&gt;0),tblFleet[[#This Row],[Operating_h]]/tblFleet[[#This Row],[Available_h]],"")</f>
        <v/>
      </c>
    </row>
    <row r="882">
      <c r="A882" s="54" t="n"/>
      <c r="B882" s="61" t="n"/>
      <c r="C882" s="62" t="n"/>
      <c r="D882" s="57" t="n"/>
      <c r="E882" s="57" t="n"/>
      <c r="F882" s="58" t="n"/>
      <c r="G882" s="66">
        <f>IF(tblFleet[[#This Row],[Units]]="","",tblFleet[[#This Row],[Units]]*cfg_HoursPerDay)</f>
        <v/>
      </c>
      <c r="H882" s="66">
        <f>IF(tblFleet[[#This Row],[Units]]="","",tblFleet[[#This Row],[Calendar_h]]-tblFleet[[#This Row],[Down_h]])</f>
        <v/>
      </c>
      <c r="I882" s="60">
        <f>IF(AND(tblFleet[[#This Row],[Units]]&lt;&gt;"",tblFleet[[#This Row],[Calendar_h]]&gt;0),tblFleet[[#This Row],[Available_h]]/tblFleet[[#This Row],[Calendar_h]],"")</f>
        <v/>
      </c>
      <c r="J882" s="60">
        <f>IF(AND(tblFleet[[#This Row],[Units]]&lt;&gt;"",tblFleet[[#This Row],[Available_h]]&gt;0),tblFleet[[#This Row],[Operating_h]]/tblFleet[[#This Row],[Available_h]],"")</f>
        <v/>
      </c>
    </row>
    <row r="883">
      <c r="A883" s="54" t="n"/>
      <c r="B883" s="61" t="n"/>
      <c r="C883" s="62" t="n"/>
      <c r="D883" s="57" t="n"/>
      <c r="E883" s="57" t="n"/>
      <c r="F883" s="58" t="n"/>
      <c r="G883" s="66">
        <f>IF(tblFleet[[#This Row],[Units]]="","",tblFleet[[#This Row],[Units]]*cfg_HoursPerDay)</f>
        <v/>
      </c>
      <c r="H883" s="66">
        <f>IF(tblFleet[[#This Row],[Units]]="","",tblFleet[[#This Row],[Calendar_h]]-tblFleet[[#This Row],[Down_h]])</f>
        <v/>
      </c>
      <c r="I883" s="60">
        <f>IF(AND(tblFleet[[#This Row],[Units]]&lt;&gt;"",tblFleet[[#This Row],[Calendar_h]]&gt;0),tblFleet[[#This Row],[Available_h]]/tblFleet[[#This Row],[Calendar_h]],"")</f>
        <v/>
      </c>
      <c r="J883" s="60">
        <f>IF(AND(tblFleet[[#This Row],[Units]]&lt;&gt;"",tblFleet[[#This Row],[Available_h]]&gt;0),tblFleet[[#This Row],[Operating_h]]/tblFleet[[#This Row],[Available_h]],"")</f>
        <v/>
      </c>
    </row>
    <row r="884">
      <c r="A884" s="54" t="n"/>
      <c r="B884" s="61" t="n"/>
      <c r="C884" s="62" t="n"/>
      <c r="D884" s="57" t="n"/>
      <c r="E884" s="57" t="n"/>
      <c r="F884" s="58" t="n"/>
      <c r="G884" s="66">
        <f>IF(tblFleet[[#This Row],[Units]]="","",tblFleet[[#This Row],[Units]]*cfg_HoursPerDay)</f>
        <v/>
      </c>
      <c r="H884" s="66">
        <f>IF(tblFleet[[#This Row],[Units]]="","",tblFleet[[#This Row],[Calendar_h]]-tblFleet[[#This Row],[Down_h]])</f>
        <v/>
      </c>
      <c r="I884" s="60">
        <f>IF(AND(tblFleet[[#This Row],[Units]]&lt;&gt;"",tblFleet[[#This Row],[Calendar_h]]&gt;0),tblFleet[[#This Row],[Available_h]]/tblFleet[[#This Row],[Calendar_h]],"")</f>
        <v/>
      </c>
      <c r="J884" s="60">
        <f>IF(AND(tblFleet[[#This Row],[Units]]&lt;&gt;"",tblFleet[[#This Row],[Available_h]]&gt;0),tblFleet[[#This Row],[Operating_h]]/tblFleet[[#This Row],[Available_h]],"")</f>
        <v/>
      </c>
    </row>
    <row r="885">
      <c r="A885" s="54" t="n"/>
      <c r="B885" s="61" t="n"/>
      <c r="C885" s="62" t="n"/>
      <c r="D885" s="57" t="n"/>
      <c r="E885" s="57" t="n"/>
      <c r="F885" s="58" t="n"/>
      <c r="G885" s="66">
        <f>IF(tblFleet[[#This Row],[Units]]="","",tblFleet[[#This Row],[Units]]*cfg_HoursPerDay)</f>
        <v/>
      </c>
      <c r="H885" s="66">
        <f>IF(tblFleet[[#This Row],[Units]]="","",tblFleet[[#This Row],[Calendar_h]]-tblFleet[[#This Row],[Down_h]])</f>
        <v/>
      </c>
      <c r="I885" s="60">
        <f>IF(AND(tblFleet[[#This Row],[Units]]&lt;&gt;"",tblFleet[[#This Row],[Calendar_h]]&gt;0),tblFleet[[#This Row],[Available_h]]/tblFleet[[#This Row],[Calendar_h]],"")</f>
        <v/>
      </c>
      <c r="J885" s="60">
        <f>IF(AND(tblFleet[[#This Row],[Units]]&lt;&gt;"",tblFleet[[#This Row],[Available_h]]&gt;0),tblFleet[[#This Row],[Operating_h]]/tblFleet[[#This Row],[Available_h]],"")</f>
        <v/>
      </c>
    </row>
    <row r="886">
      <c r="A886" s="54" t="n"/>
      <c r="B886" s="61" t="n"/>
      <c r="C886" s="62" t="n"/>
      <c r="D886" s="57" t="n"/>
      <c r="E886" s="57" t="n"/>
      <c r="F886" s="58" t="n"/>
      <c r="G886" s="66">
        <f>IF(tblFleet[[#This Row],[Units]]="","",tblFleet[[#This Row],[Units]]*cfg_HoursPerDay)</f>
        <v/>
      </c>
      <c r="H886" s="66">
        <f>IF(tblFleet[[#This Row],[Units]]="","",tblFleet[[#This Row],[Calendar_h]]-tblFleet[[#This Row],[Down_h]])</f>
        <v/>
      </c>
      <c r="I886" s="60">
        <f>IF(AND(tblFleet[[#This Row],[Units]]&lt;&gt;"",tblFleet[[#This Row],[Calendar_h]]&gt;0),tblFleet[[#This Row],[Available_h]]/tblFleet[[#This Row],[Calendar_h]],"")</f>
        <v/>
      </c>
      <c r="J886" s="60">
        <f>IF(AND(tblFleet[[#This Row],[Units]]&lt;&gt;"",tblFleet[[#This Row],[Available_h]]&gt;0),tblFleet[[#This Row],[Operating_h]]/tblFleet[[#This Row],[Available_h]],"")</f>
        <v/>
      </c>
    </row>
    <row r="887">
      <c r="A887" s="54" t="n"/>
      <c r="B887" s="61" t="n"/>
      <c r="C887" s="62" t="n"/>
      <c r="D887" s="57" t="n"/>
      <c r="E887" s="57" t="n"/>
      <c r="F887" s="58" t="n"/>
      <c r="G887" s="66">
        <f>IF(tblFleet[[#This Row],[Units]]="","",tblFleet[[#This Row],[Units]]*cfg_HoursPerDay)</f>
        <v/>
      </c>
      <c r="H887" s="66">
        <f>IF(tblFleet[[#This Row],[Units]]="","",tblFleet[[#This Row],[Calendar_h]]-tblFleet[[#This Row],[Down_h]])</f>
        <v/>
      </c>
      <c r="I887" s="60">
        <f>IF(AND(tblFleet[[#This Row],[Units]]&lt;&gt;"",tblFleet[[#This Row],[Calendar_h]]&gt;0),tblFleet[[#This Row],[Available_h]]/tblFleet[[#This Row],[Calendar_h]],"")</f>
        <v/>
      </c>
      <c r="J887" s="60">
        <f>IF(AND(tblFleet[[#This Row],[Units]]&lt;&gt;"",tblFleet[[#This Row],[Available_h]]&gt;0),tblFleet[[#This Row],[Operating_h]]/tblFleet[[#This Row],[Available_h]],"")</f>
        <v/>
      </c>
    </row>
    <row r="888">
      <c r="A888" s="54" t="n"/>
      <c r="B888" s="61" t="n"/>
      <c r="C888" s="62" t="n"/>
      <c r="D888" s="57" t="n"/>
      <c r="E888" s="57" t="n"/>
      <c r="F888" s="58" t="n"/>
      <c r="G888" s="66">
        <f>IF(tblFleet[[#This Row],[Units]]="","",tblFleet[[#This Row],[Units]]*cfg_HoursPerDay)</f>
        <v/>
      </c>
      <c r="H888" s="66">
        <f>IF(tblFleet[[#This Row],[Units]]="","",tblFleet[[#This Row],[Calendar_h]]-tblFleet[[#This Row],[Down_h]])</f>
        <v/>
      </c>
      <c r="I888" s="60">
        <f>IF(AND(tblFleet[[#This Row],[Units]]&lt;&gt;"",tblFleet[[#This Row],[Calendar_h]]&gt;0),tblFleet[[#This Row],[Available_h]]/tblFleet[[#This Row],[Calendar_h]],"")</f>
        <v/>
      </c>
      <c r="J888" s="60">
        <f>IF(AND(tblFleet[[#This Row],[Units]]&lt;&gt;"",tblFleet[[#This Row],[Available_h]]&gt;0),tblFleet[[#This Row],[Operating_h]]/tblFleet[[#This Row],[Available_h]],"")</f>
        <v/>
      </c>
    </row>
    <row r="889">
      <c r="A889" s="54" t="n"/>
      <c r="B889" s="61" t="n"/>
      <c r="C889" s="62" t="n"/>
      <c r="D889" s="57" t="n"/>
      <c r="E889" s="57" t="n"/>
      <c r="F889" s="58" t="n"/>
      <c r="G889" s="66">
        <f>IF(tblFleet[[#This Row],[Units]]="","",tblFleet[[#This Row],[Units]]*cfg_HoursPerDay)</f>
        <v/>
      </c>
      <c r="H889" s="66">
        <f>IF(tblFleet[[#This Row],[Units]]="","",tblFleet[[#This Row],[Calendar_h]]-tblFleet[[#This Row],[Down_h]])</f>
        <v/>
      </c>
      <c r="I889" s="60">
        <f>IF(AND(tblFleet[[#This Row],[Units]]&lt;&gt;"",tblFleet[[#This Row],[Calendar_h]]&gt;0),tblFleet[[#This Row],[Available_h]]/tblFleet[[#This Row],[Calendar_h]],"")</f>
        <v/>
      </c>
      <c r="J889" s="60">
        <f>IF(AND(tblFleet[[#This Row],[Units]]&lt;&gt;"",tblFleet[[#This Row],[Available_h]]&gt;0),tblFleet[[#This Row],[Operating_h]]/tblFleet[[#This Row],[Available_h]],"")</f>
        <v/>
      </c>
    </row>
    <row r="890">
      <c r="A890" s="54" t="n"/>
      <c r="B890" s="61" t="n"/>
      <c r="C890" s="62" t="n"/>
      <c r="D890" s="57" t="n"/>
      <c r="E890" s="57" t="n"/>
      <c r="F890" s="58" t="n"/>
      <c r="G890" s="66">
        <f>IF(tblFleet[[#This Row],[Units]]="","",tblFleet[[#This Row],[Units]]*cfg_HoursPerDay)</f>
        <v/>
      </c>
      <c r="H890" s="66">
        <f>IF(tblFleet[[#This Row],[Units]]="","",tblFleet[[#This Row],[Calendar_h]]-tblFleet[[#This Row],[Down_h]])</f>
        <v/>
      </c>
      <c r="I890" s="60">
        <f>IF(AND(tblFleet[[#This Row],[Units]]&lt;&gt;"",tblFleet[[#This Row],[Calendar_h]]&gt;0),tblFleet[[#This Row],[Available_h]]/tblFleet[[#This Row],[Calendar_h]],"")</f>
        <v/>
      </c>
      <c r="J890" s="60">
        <f>IF(AND(tblFleet[[#This Row],[Units]]&lt;&gt;"",tblFleet[[#This Row],[Available_h]]&gt;0),tblFleet[[#This Row],[Operating_h]]/tblFleet[[#This Row],[Available_h]],"")</f>
        <v/>
      </c>
    </row>
    <row r="891">
      <c r="A891" s="54" t="n"/>
      <c r="B891" s="61" t="n"/>
      <c r="C891" s="62" t="n"/>
      <c r="D891" s="57" t="n"/>
      <c r="E891" s="57" t="n"/>
      <c r="F891" s="58" t="n"/>
      <c r="G891" s="66">
        <f>IF(tblFleet[[#This Row],[Units]]="","",tblFleet[[#This Row],[Units]]*cfg_HoursPerDay)</f>
        <v/>
      </c>
      <c r="H891" s="66">
        <f>IF(tblFleet[[#This Row],[Units]]="","",tblFleet[[#This Row],[Calendar_h]]-tblFleet[[#This Row],[Down_h]])</f>
        <v/>
      </c>
      <c r="I891" s="60">
        <f>IF(AND(tblFleet[[#This Row],[Units]]&lt;&gt;"",tblFleet[[#This Row],[Calendar_h]]&gt;0),tblFleet[[#This Row],[Available_h]]/tblFleet[[#This Row],[Calendar_h]],"")</f>
        <v/>
      </c>
      <c r="J891" s="60">
        <f>IF(AND(tblFleet[[#This Row],[Units]]&lt;&gt;"",tblFleet[[#This Row],[Available_h]]&gt;0),tblFleet[[#This Row],[Operating_h]]/tblFleet[[#This Row],[Available_h]],"")</f>
        <v/>
      </c>
    </row>
    <row r="892">
      <c r="A892" s="54" t="n"/>
      <c r="B892" s="61" t="n"/>
      <c r="C892" s="62" t="n"/>
      <c r="D892" s="57" t="n"/>
      <c r="E892" s="57" t="n"/>
      <c r="F892" s="58" t="n"/>
      <c r="G892" s="66">
        <f>IF(tblFleet[[#This Row],[Units]]="","",tblFleet[[#This Row],[Units]]*cfg_HoursPerDay)</f>
        <v/>
      </c>
      <c r="H892" s="66">
        <f>IF(tblFleet[[#This Row],[Units]]="","",tblFleet[[#This Row],[Calendar_h]]-tblFleet[[#This Row],[Down_h]])</f>
        <v/>
      </c>
      <c r="I892" s="60">
        <f>IF(AND(tblFleet[[#This Row],[Units]]&lt;&gt;"",tblFleet[[#This Row],[Calendar_h]]&gt;0),tblFleet[[#This Row],[Available_h]]/tblFleet[[#This Row],[Calendar_h]],"")</f>
        <v/>
      </c>
      <c r="J892" s="60">
        <f>IF(AND(tblFleet[[#This Row],[Units]]&lt;&gt;"",tblFleet[[#This Row],[Available_h]]&gt;0),tblFleet[[#This Row],[Operating_h]]/tblFleet[[#This Row],[Available_h]],"")</f>
        <v/>
      </c>
    </row>
    <row r="893">
      <c r="A893" s="54" t="n"/>
      <c r="B893" s="61" t="n"/>
      <c r="C893" s="62" t="n"/>
      <c r="D893" s="57" t="n"/>
      <c r="E893" s="57" t="n"/>
      <c r="F893" s="58" t="n"/>
      <c r="G893" s="66">
        <f>IF(tblFleet[[#This Row],[Units]]="","",tblFleet[[#This Row],[Units]]*cfg_HoursPerDay)</f>
        <v/>
      </c>
      <c r="H893" s="66">
        <f>IF(tblFleet[[#This Row],[Units]]="","",tblFleet[[#This Row],[Calendar_h]]-tblFleet[[#This Row],[Down_h]])</f>
        <v/>
      </c>
      <c r="I893" s="60">
        <f>IF(AND(tblFleet[[#This Row],[Units]]&lt;&gt;"",tblFleet[[#This Row],[Calendar_h]]&gt;0),tblFleet[[#This Row],[Available_h]]/tblFleet[[#This Row],[Calendar_h]],"")</f>
        <v/>
      </c>
      <c r="J893" s="60">
        <f>IF(AND(tblFleet[[#This Row],[Units]]&lt;&gt;"",tblFleet[[#This Row],[Available_h]]&gt;0),tblFleet[[#This Row],[Operating_h]]/tblFleet[[#This Row],[Available_h]],"")</f>
        <v/>
      </c>
    </row>
    <row r="894">
      <c r="A894" s="54" t="n"/>
      <c r="B894" s="61" t="n"/>
      <c r="C894" s="62" t="n"/>
      <c r="D894" s="57" t="n"/>
      <c r="E894" s="57" t="n"/>
      <c r="F894" s="58" t="n"/>
      <c r="G894" s="66">
        <f>IF(tblFleet[[#This Row],[Units]]="","",tblFleet[[#This Row],[Units]]*cfg_HoursPerDay)</f>
        <v/>
      </c>
      <c r="H894" s="66">
        <f>IF(tblFleet[[#This Row],[Units]]="","",tblFleet[[#This Row],[Calendar_h]]-tblFleet[[#This Row],[Down_h]])</f>
        <v/>
      </c>
      <c r="I894" s="60">
        <f>IF(AND(tblFleet[[#This Row],[Units]]&lt;&gt;"",tblFleet[[#This Row],[Calendar_h]]&gt;0),tblFleet[[#This Row],[Available_h]]/tblFleet[[#This Row],[Calendar_h]],"")</f>
        <v/>
      </c>
      <c r="J894" s="60">
        <f>IF(AND(tblFleet[[#This Row],[Units]]&lt;&gt;"",tblFleet[[#This Row],[Available_h]]&gt;0),tblFleet[[#This Row],[Operating_h]]/tblFleet[[#This Row],[Available_h]],"")</f>
        <v/>
      </c>
    </row>
    <row r="895">
      <c r="A895" s="54" t="n"/>
      <c r="B895" s="61" t="n"/>
      <c r="C895" s="62" t="n"/>
      <c r="D895" s="57" t="n"/>
      <c r="E895" s="57" t="n"/>
      <c r="F895" s="58" t="n"/>
      <c r="G895" s="66">
        <f>IF(tblFleet[[#This Row],[Units]]="","",tblFleet[[#This Row],[Units]]*cfg_HoursPerDay)</f>
        <v/>
      </c>
      <c r="H895" s="66">
        <f>IF(tblFleet[[#This Row],[Units]]="","",tblFleet[[#This Row],[Calendar_h]]-tblFleet[[#This Row],[Down_h]])</f>
        <v/>
      </c>
      <c r="I895" s="60">
        <f>IF(AND(tblFleet[[#This Row],[Units]]&lt;&gt;"",tblFleet[[#This Row],[Calendar_h]]&gt;0),tblFleet[[#This Row],[Available_h]]/tblFleet[[#This Row],[Calendar_h]],"")</f>
        <v/>
      </c>
      <c r="J895" s="60">
        <f>IF(AND(tblFleet[[#This Row],[Units]]&lt;&gt;"",tblFleet[[#This Row],[Available_h]]&gt;0),tblFleet[[#This Row],[Operating_h]]/tblFleet[[#This Row],[Available_h]],"")</f>
        <v/>
      </c>
    </row>
    <row r="896">
      <c r="A896" s="54" t="n"/>
      <c r="B896" s="61" t="n"/>
      <c r="C896" s="62" t="n"/>
      <c r="D896" s="57" t="n"/>
      <c r="E896" s="57" t="n"/>
      <c r="F896" s="58" t="n"/>
      <c r="G896" s="66">
        <f>IF(tblFleet[[#This Row],[Units]]="","",tblFleet[[#This Row],[Units]]*cfg_HoursPerDay)</f>
        <v/>
      </c>
      <c r="H896" s="66">
        <f>IF(tblFleet[[#This Row],[Units]]="","",tblFleet[[#This Row],[Calendar_h]]-tblFleet[[#This Row],[Down_h]])</f>
        <v/>
      </c>
      <c r="I896" s="60">
        <f>IF(AND(tblFleet[[#This Row],[Units]]&lt;&gt;"",tblFleet[[#This Row],[Calendar_h]]&gt;0),tblFleet[[#This Row],[Available_h]]/tblFleet[[#This Row],[Calendar_h]],"")</f>
        <v/>
      </c>
      <c r="J896" s="60">
        <f>IF(AND(tblFleet[[#This Row],[Units]]&lt;&gt;"",tblFleet[[#This Row],[Available_h]]&gt;0),tblFleet[[#This Row],[Operating_h]]/tblFleet[[#This Row],[Available_h]],"")</f>
        <v/>
      </c>
    </row>
    <row r="897">
      <c r="A897" s="54" t="n"/>
      <c r="B897" s="61" t="n"/>
      <c r="C897" s="62" t="n"/>
      <c r="D897" s="57" t="n"/>
      <c r="E897" s="57" t="n"/>
      <c r="F897" s="58" t="n"/>
      <c r="G897" s="66">
        <f>IF(tblFleet[[#This Row],[Units]]="","",tblFleet[[#This Row],[Units]]*cfg_HoursPerDay)</f>
        <v/>
      </c>
      <c r="H897" s="66">
        <f>IF(tblFleet[[#This Row],[Units]]="","",tblFleet[[#This Row],[Calendar_h]]-tblFleet[[#This Row],[Down_h]])</f>
        <v/>
      </c>
      <c r="I897" s="60">
        <f>IF(AND(tblFleet[[#This Row],[Units]]&lt;&gt;"",tblFleet[[#This Row],[Calendar_h]]&gt;0),tblFleet[[#This Row],[Available_h]]/tblFleet[[#This Row],[Calendar_h]],"")</f>
        <v/>
      </c>
      <c r="J897" s="60">
        <f>IF(AND(tblFleet[[#This Row],[Units]]&lt;&gt;"",tblFleet[[#This Row],[Available_h]]&gt;0),tblFleet[[#This Row],[Operating_h]]/tblFleet[[#This Row],[Available_h]],"")</f>
        <v/>
      </c>
    </row>
    <row r="898">
      <c r="A898" s="54" t="n"/>
      <c r="B898" s="61" t="n"/>
      <c r="C898" s="62" t="n"/>
      <c r="D898" s="57" t="n"/>
      <c r="E898" s="57" t="n"/>
      <c r="F898" s="58" t="n"/>
      <c r="G898" s="66">
        <f>IF(tblFleet[[#This Row],[Units]]="","",tblFleet[[#This Row],[Units]]*cfg_HoursPerDay)</f>
        <v/>
      </c>
      <c r="H898" s="66">
        <f>IF(tblFleet[[#This Row],[Units]]="","",tblFleet[[#This Row],[Calendar_h]]-tblFleet[[#This Row],[Down_h]])</f>
        <v/>
      </c>
      <c r="I898" s="60">
        <f>IF(AND(tblFleet[[#This Row],[Units]]&lt;&gt;"",tblFleet[[#This Row],[Calendar_h]]&gt;0),tblFleet[[#This Row],[Available_h]]/tblFleet[[#This Row],[Calendar_h]],"")</f>
        <v/>
      </c>
      <c r="J898" s="60">
        <f>IF(AND(tblFleet[[#This Row],[Units]]&lt;&gt;"",tblFleet[[#This Row],[Available_h]]&gt;0),tblFleet[[#This Row],[Operating_h]]/tblFleet[[#This Row],[Available_h]],"")</f>
        <v/>
      </c>
    </row>
    <row r="899">
      <c r="A899" s="54" t="n"/>
      <c r="B899" s="61" t="n"/>
      <c r="C899" s="62" t="n"/>
      <c r="D899" s="57" t="n"/>
      <c r="E899" s="57" t="n"/>
      <c r="F899" s="58" t="n"/>
      <c r="G899" s="66">
        <f>IF(tblFleet[[#This Row],[Units]]="","",tblFleet[[#This Row],[Units]]*cfg_HoursPerDay)</f>
        <v/>
      </c>
      <c r="H899" s="66">
        <f>IF(tblFleet[[#This Row],[Units]]="","",tblFleet[[#This Row],[Calendar_h]]-tblFleet[[#This Row],[Down_h]])</f>
        <v/>
      </c>
      <c r="I899" s="60">
        <f>IF(AND(tblFleet[[#This Row],[Units]]&lt;&gt;"",tblFleet[[#This Row],[Calendar_h]]&gt;0),tblFleet[[#This Row],[Available_h]]/tblFleet[[#This Row],[Calendar_h]],"")</f>
        <v/>
      </c>
      <c r="J899" s="60">
        <f>IF(AND(tblFleet[[#This Row],[Units]]&lt;&gt;"",tblFleet[[#This Row],[Available_h]]&gt;0),tblFleet[[#This Row],[Operating_h]]/tblFleet[[#This Row],[Available_h]],"")</f>
        <v/>
      </c>
    </row>
    <row r="900">
      <c r="A900" s="54" t="n"/>
      <c r="B900" s="61" t="n"/>
      <c r="C900" s="62" t="n"/>
      <c r="D900" s="57" t="n"/>
      <c r="E900" s="57" t="n"/>
      <c r="F900" s="58" t="n"/>
      <c r="G900" s="66">
        <f>IF(tblFleet[[#This Row],[Units]]="","",tblFleet[[#This Row],[Units]]*cfg_HoursPerDay)</f>
        <v/>
      </c>
      <c r="H900" s="66">
        <f>IF(tblFleet[[#This Row],[Units]]="","",tblFleet[[#This Row],[Calendar_h]]-tblFleet[[#This Row],[Down_h]])</f>
        <v/>
      </c>
      <c r="I900" s="60">
        <f>IF(AND(tblFleet[[#This Row],[Units]]&lt;&gt;"",tblFleet[[#This Row],[Calendar_h]]&gt;0),tblFleet[[#This Row],[Available_h]]/tblFleet[[#This Row],[Calendar_h]],"")</f>
        <v/>
      </c>
      <c r="J900" s="60">
        <f>IF(AND(tblFleet[[#This Row],[Units]]&lt;&gt;"",tblFleet[[#This Row],[Available_h]]&gt;0),tblFleet[[#This Row],[Operating_h]]/tblFleet[[#This Row],[Available_h]],"")</f>
        <v/>
      </c>
    </row>
    <row r="901">
      <c r="A901" s="54" t="n"/>
      <c r="B901" s="61" t="n"/>
      <c r="C901" s="62" t="n"/>
      <c r="D901" s="57" t="n"/>
      <c r="E901" s="57" t="n"/>
      <c r="F901" s="58" t="n"/>
      <c r="G901" s="66">
        <f>IF(tblFleet[[#This Row],[Units]]="","",tblFleet[[#This Row],[Units]]*cfg_HoursPerDay)</f>
        <v/>
      </c>
      <c r="H901" s="66">
        <f>IF(tblFleet[[#This Row],[Units]]="","",tblFleet[[#This Row],[Calendar_h]]-tblFleet[[#This Row],[Down_h]])</f>
        <v/>
      </c>
      <c r="I901" s="60">
        <f>IF(AND(tblFleet[[#This Row],[Units]]&lt;&gt;"",tblFleet[[#This Row],[Calendar_h]]&gt;0),tblFleet[[#This Row],[Available_h]]/tblFleet[[#This Row],[Calendar_h]],"")</f>
        <v/>
      </c>
      <c r="J901" s="60">
        <f>IF(AND(tblFleet[[#This Row],[Units]]&lt;&gt;"",tblFleet[[#This Row],[Available_h]]&gt;0),tblFleet[[#This Row],[Operating_h]]/tblFleet[[#This Row],[Available_h]],"")</f>
        <v/>
      </c>
    </row>
    <row r="902">
      <c r="A902" s="54" t="n"/>
      <c r="B902" s="61" t="n"/>
      <c r="C902" s="62" t="n"/>
      <c r="D902" s="57" t="n"/>
      <c r="E902" s="57" t="n"/>
      <c r="F902" s="58" t="n"/>
      <c r="G902" s="66">
        <f>IF(tblFleet[[#This Row],[Units]]="","",tblFleet[[#This Row],[Units]]*cfg_HoursPerDay)</f>
        <v/>
      </c>
      <c r="H902" s="66">
        <f>IF(tblFleet[[#This Row],[Units]]="","",tblFleet[[#This Row],[Calendar_h]]-tblFleet[[#This Row],[Down_h]])</f>
        <v/>
      </c>
      <c r="I902" s="60">
        <f>IF(AND(tblFleet[[#This Row],[Units]]&lt;&gt;"",tblFleet[[#This Row],[Calendar_h]]&gt;0),tblFleet[[#This Row],[Available_h]]/tblFleet[[#This Row],[Calendar_h]],"")</f>
        <v/>
      </c>
      <c r="J902" s="60">
        <f>IF(AND(tblFleet[[#This Row],[Units]]&lt;&gt;"",tblFleet[[#This Row],[Available_h]]&gt;0),tblFleet[[#This Row],[Operating_h]]/tblFleet[[#This Row],[Available_h]],"")</f>
        <v/>
      </c>
    </row>
    <row r="903">
      <c r="A903" s="54" t="n"/>
      <c r="B903" s="61" t="n"/>
      <c r="C903" s="62" t="n"/>
      <c r="D903" s="57" t="n"/>
      <c r="E903" s="57" t="n"/>
      <c r="F903" s="58" t="n"/>
      <c r="G903" s="66">
        <f>IF(tblFleet[[#This Row],[Units]]="","",tblFleet[[#This Row],[Units]]*cfg_HoursPerDay)</f>
        <v/>
      </c>
      <c r="H903" s="66">
        <f>IF(tblFleet[[#This Row],[Units]]="","",tblFleet[[#This Row],[Calendar_h]]-tblFleet[[#This Row],[Down_h]])</f>
        <v/>
      </c>
      <c r="I903" s="60">
        <f>IF(AND(tblFleet[[#This Row],[Units]]&lt;&gt;"",tblFleet[[#This Row],[Calendar_h]]&gt;0),tblFleet[[#This Row],[Available_h]]/tblFleet[[#This Row],[Calendar_h]],"")</f>
        <v/>
      </c>
      <c r="J903" s="60">
        <f>IF(AND(tblFleet[[#This Row],[Units]]&lt;&gt;"",tblFleet[[#This Row],[Available_h]]&gt;0),tblFleet[[#This Row],[Operating_h]]/tblFleet[[#This Row],[Available_h]],"")</f>
        <v/>
      </c>
    </row>
    <row r="904">
      <c r="A904" s="54" t="n"/>
      <c r="B904" s="61" t="n"/>
      <c r="C904" s="62" t="n"/>
      <c r="D904" s="57" t="n"/>
      <c r="E904" s="57" t="n"/>
      <c r="F904" s="58" t="n"/>
      <c r="G904" s="66">
        <f>IF(tblFleet[[#This Row],[Units]]="","",tblFleet[[#This Row],[Units]]*cfg_HoursPerDay)</f>
        <v/>
      </c>
      <c r="H904" s="66">
        <f>IF(tblFleet[[#This Row],[Units]]="","",tblFleet[[#This Row],[Calendar_h]]-tblFleet[[#This Row],[Down_h]])</f>
        <v/>
      </c>
      <c r="I904" s="60">
        <f>IF(AND(tblFleet[[#This Row],[Units]]&lt;&gt;"",tblFleet[[#This Row],[Calendar_h]]&gt;0),tblFleet[[#This Row],[Available_h]]/tblFleet[[#This Row],[Calendar_h]],"")</f>
        <v/>
      </c>
      <c r="J904" s="60">
        <f>IF(AND(tblFleet[[#This Row],[Units]]&lt;&gt;"",tblFleet[[#This Row],[Available_h]]&gt;0),tblFleet[[#This Row],[Operating_h]]/tblFleet[[#This Row],[Available_h]],"")</f>
        <v/>
      </c>
    </row>
    <row r="905">
      <c r="A905" s="54" t="n"/>
      <c r="B905" s="61" t="n"/>
      <c r="C905" s="62" t="n"/>
      <c r="D905" s="57" t="n"/>
      <c r="E905" s="57" t="n"/>
      <c r="F905" s="58" t="n"/>
      <c r="G905" s="66">
        <f>IF(tblFleet[[#This Row],[Units]]="","",tblFleet[[#This Row],[Units]]*cfg_HoursPerDay)</f>
        <v/>
      </c>
      <c r="H905" s="66">
        <f>IF(tblFleet[[#This Row],[Units]]="","",tblFleet[[#This Row],[Calendar_h]]-tblFleet[[#This Row],[Down_h]])</f>
        <v/>
      </c>
      <c r="I905" s="60">
        <f>IF(AND(tblFleet[[#This Row],[Units]]&lt;&gt;"",tblFleet[[#This Row],[Calendar_h]]&gt;0),tblFleet[[#This Row],[Available_h]]/tblFleet[[#This Row],[Calendar_h]],"")</f>
        <v/>
      </c>
      <c r="J905" s="60">
        <f>IF(AND(tblFleet[[#This Row],[Units]]&lt;&gt;"",tblFleet[[#This Row],[Available_h]]&gt;0),tblFleet[[#This Row],[Operating_h]]/tblFleet[[#This Row],[Available_h]],"")</f>
        <v/>
      </c>
    </row>
    <row r="906">
      <c r="A906" s="54" t="n"/>
      <c r="B906" s="61" t="n"/>
      <c r="C906" s="62" t="n"/>
      <c r="D906" s="57" t="n"/>
      <c r="E906" s="57" t="n"/>
      <c r="F906" s="58" t="n"/>
      <c r="G906" s="66">
        <f>IF(tblFleet[[#This Row],[Units]]="","",tblFleet[[#This Row],[Units]]*cfg_HoursPerDay)</f>
        <v/>
      </c>
      <c r="H906" s="66">
        <f>IF(tblFleet[[#This Row],[Units]]="","",tblFleet[[#This Row],[Calendar_h]]-tblFleet[[#This Row],[Down_h]])</f>
        <v/>
      </c>
      <c r="I906" s="60">
        <f>IF(AND(tblFleet[[#This Row],[Units]]&lt;&gt;"",tblFleet[[#This Row],[Calendar_h]]&gt;0),tblFleet[[#This Row],[Available_h]]/tblFleet[[#This Row],[Calendar_h]],"")</f>
        <v/>
      </c>
      <c r="J906" s="60">
        <f>IF(AND(tblFleet[[#This Row],[Units]]&lt;&gt;"",tblFleet[[#This Row],[Available_h]]&gt;0),tblFleet[[#This Row],[Operating_h]]/tblFleet[[#This Row],[Available_h]],"")</f>
        <v/>
      </c>
    </row>
    <row r="907">
      <c r="A907" s="54" t="n"/>
      <c r="B907" s="61" t="n"/>
      <c r="C907" s="62" t="n"/>
      <c r="D907" s="57" t="n"/>
      <c r="E907" s="57" t="n"/>
      <c r="F907" s="58" t="n"/>
      <c r="G907" s="66">
        <f>IF(tblFleet[[#This Row],[Units]]="","",tblFleet[[#This Row],[Units]]*cfg_HoursPerDay)</f>
        <v/>
      </c>
      <c r="H907" s="66">
        <f>IF(tblFleet[[#This Row],[Units]]="","",tblFleet[[#This Row],[Calendar_h]]-tblFleet[[#This Row],[Down_h]])</f>
        <v/>
      </c>
      <c r="I907" s="60">
        <f>IF(AND(tblFleet[[#This Row],[Units]]&lt;&gt;"",tblFleet[[#This Row],[Calendar_h]]&gt;0),tblFleet[[#This Row],[Available_h]]/tblFleet[[#This Row],[Calendar_h]],"")</f>
        <v/>
      </c>
      <c r="J907" s="60">
        <f>IF(AND(tblFleet[[#This Row],[Units]]&lt;&gt;"",tblFleet[[#This Row],[Available_h]]&gt;0),tblFleet[[#This Row],[Operating_h]]/tblFleet[[#This Row],[Available_h]],"")</f>
        <v/>
      </c>
    </row>
    <row r="908">
      <c r="A908" s="54" t="n"/>
      <c r="B908" s="61" t="n"/>
      <c r="C908" s="62" t="n"/>
      <c r="D908" s="57" t="n"/>
      <c r="E908" s="57" t="n"/>
      <c r="F908" s="58" t="n"/>
      <c r="G908" s="66">
        <f>IF(tblFleet[[#This Row],[Units]]="","",tblFleet[[#This Row],[Units]]*cfg_HoursPerDay)</f>
        <v/>
      </c>
      <c r="H908" s="66">
        <f>IF(tblFleet[[#This Row],[Units]]="","",tblFleet[[#This Row],[Calendar_h]]-tblFleet[[#This Row],[Down_h]])</f>
        <v/>
      </c>
      <c r="I908" s="60">
        <f>IF(AND(tblFleet[[#This Row],[Units]]&lt;&gt;"",tblFleet[[#This Row],[Calendar_h]]&gt;0),tblFleet[[#This Row],[Available_h]]/tblFleet[[#This Row],[Calendar_h]],"")</f>
        <v/>
      </c>
      <c r="J908" s="60">
        <f>IF(AND(tblFleet[[#This Row],[Units]]&lt;&gt;"",tblFleet[[#This Row],[Available_h]]&gt;0),tblFleet[[#This Row],[Operating_h]]/tblFleet[[#This Row],[Available_h]],"")</f>
        <v/>
      </c>
    </row>
    <row r="909">
      <c r="A909" s="54" t="n"/>
      <c r="B909" s="61" t="n"/>
      <c r="C909" s="62" t="n"/>
      <c r="D909" s="57" t="n"/>
      <c r="E909" s="57" t="n"/>
      <c r="F909" s="58" t="n"/>
      <c r="G909" s="66">
        <f>IF(tblFleet[[#This Row],[Units]]="","",tblFleet[[#This Row],[Units]]*cfg_HoursPerDay)</f>
        <v/>
      </c>
      <c r="H909" s="66">
        <f>IF(tblFleet[[#This Row],[Units]]="","",tblFleet[[#This Row],[Calendar_h]]-tblFleet[[#This Row],[Down_h]])</f>
        <v/>
      </c>
      <c r="I909" s="60">
        <f>IF(AND(tblFleet[[#This Row],[Units]]&lt;&gt;"",tblFleet[[#This Row],[Calendar_h]]&gt;0),tblFleet[[#This Row],[Available_h]]/tblFleet[[#This Row],[Calendar_h]],"")</f>
        <v/>
      </c>
      <c r="J909" s="60">
        <f>IF(AND(tblFleet[[#This Row],[Units]]&lt;&gt;"",tblFleet[[#This Row],[Available_h]]&gt;0),tblFleet[[#This Row],[Operating_h]]/tblFleet[[#This Row],[Available_h]],"")</f>
        <v/>
      </c>
    </row>
    <row r="910">
      <c r="A910" s="54" t="n"/>
      <c r="B910" s="61" t="n"/>
      <c r="C910" s="62" t="n"/>
      <c r="D910" s="57" t="n"/>
      <c r="E910" s="57" t="n"/>
      <c r="F910" s="58" t="n"/>
      <c r="G910" s="66">
        <f>IF(tblFleet[[#This Row],[Units]]="","",tblFleet[[#This Row],[Units]]*cfg_HoursPerDay)</f>
        <v/>
      </c>
      <c r="H910" s="66">
        <f>IF(tblFleet[[#This Row],[Units]]="","",tblFleet[[#This Row],[Calendar_h]]-tblFleet[[#This Row],[Down_h]])</f>
        <v/>
      </c>
      <c r="I910" s="60">
        <f>IF(AND(tblFleet[[#This Row],[Units]]&lt;&gt;"",tblFleet[[#This Row],[Calendar_h]]&gt;0),tblFleet[[#This Row],[Available_h]]/tblFleet[[#This Row],[Calendar_h]],"")</f>
        <v/>
      </c>
      <c r="J910" s="60">
        <f>IF(AND(tblFleet[[#This Row],[Units]]&lt;&gt;"",tblFleet[[#This Row],[Available_h]]&gt;0),tblFleet[[#This Row],[Operating_h]]/tblFleet[[#This Row],[Available_h]],"")</f>
        <v/>
      </c>
    </row>
    <row r="911">
      <c r="A911" s="54" t="n"/>
      <c r="B911" s="61" t="n"/>
      <c r="C911" s="62" t="n"/>
      <c r="D911" s="57" t="n"/>
      <c r="E911" s="57" t="n"/>
      <c r="F911" s="58" t="n"/>
      <c r="G911" s="66">
        <f>IF(tblFleet[[#This Row],[Units]]="","",tblFleet[[#This Row],[Units]]*cfg_HoursPerDay)</f>
        <v/>
      </c>
      <c r="H911" s="66">
        <f>IF(tblFleet[[#This Row],[Units]]="","",tblFleet[[#This Row],[Calendar_h]]-tblFleet[[#This Row],[Down_h]])</f>
        <v/>
      </c>
      <c r="I911" s="60">
        <f>IF(AND(tblFleet[[#This Row],[Units]]&lt;&gt;"",tblFleet[[#This Row],[Calendar_h]]&gt;0),tblFleet[[#This Row],[Available_h]]/tblFleet[[#This Row],[Calendar_h]],"")</f>
        <v/>
      </c>
      <c r="J911" s="60">
        <f>IF(AND(tblFleet[[#This Row],[Units]]&lt;&gt;"",tblFleet[[#This Row],[Available_h]]&gt;0),tblFleet[[#This Row],[Operating_h]]/tblFleet[[#This Row],[Available_h]],"")</f>
        <v/>
      </c>
    </row>
    <row r="912">
      <c r="A912" s="54" t="n"/>
      <c r="B912" s="61" t="n"/>
      <c r="C912" s="62" t="n"/>
      <c r="D912" s="57" t="n"/>
      <c r="E912" s="57" t="n"/>
      <c r="F912" s="58" t="n"/>
      <c r="G912" s="66">
        <f>IF(tblFleet[[#This Row],[Units]]="","",tblFleet[[#This Row],[Units]]*cfg_HoursPerDay)</f>
        <v/>
      </c>
      <c r="H912" s="66">
        <f>IF(tblFleet[[#This Row],[Units]]="","",tblFleet[[#This Row],[Calendar_h]]-tblFleet[[#This Row],[Down_h]])</f>
        <v/>
      </c>
      <c r="I912" s="60">
        <f>IF(AND(tblFleet[[#This Row],[Units]]&lt;&gt;"",tblFleet[[#This Row],[Calendar_h]]&gt;0),tblFleet[[#This Row],[Available_h]]/tblFleet[[#This Row],[Calendar_h]],"")</f>
        <v/>
      </c>
      <c r="J912" s="60">
        <f>IF(AND(tblFleet[[#This Row],[Units]]&lt;&gt;"",tblFleet[[#This Row],[Available_h]]&gt;0),tblFleet[[#This Row],[Operating_h]]/tblFleet[[#This Row],[Available_h]],"")</f>
        <v/>
      </c>
    </row>
    <row r="913">
      <c r="A913" s="54" t="n"/>
      <c r="B913" s="61" t="n"/>
      <c r="C913" s="62" t="n"/>
      <c r="D913" s="57" t="n"/>
      <c r="E913" s="57" t="n"/>
      <c r="F913" s="58" t="n"/>
      <c r="G913" s="66">
        <f>IF(tblFleet[[#This Row],[Units]]="","",tblFleet[[#This Row],[Units]]*cfg_HoursPerDay)</f>
        <v/>
      </c>
      <c r="H913" s="66">
        <f>IF(tblFleet[[#This Row],[Units]]="","",tblFleet[[#This Row],[Calendar_h]]-tblFleet[[#This Row],[Down_h]])</f>
        <v/>
      </c>
      <c r="I913" s="60">
        <f>IF(AND(tblFleet[[#This Row],[Units]]&lt;&gt;"",tblFleet[[#This Row],[Calendar_h]]&gt;0),tblFleet[[#This Row],[Available_h]]/tblFleet[[#This Row],[Calendar_h]],"")</f>
        <v/>
      </c>
      <c r="J913" s="60">
        <f>IF(AND(tblFleet[[#This Row],[Units]]&lt;&gt;"",tblFleet[[#This Row],[Available_h]]&gt;0),tblFleet[[#This Row],[Operating_h]]/tblFleet[[#This Row],[Available_h]],"")</f>
        <v/>
      </c>
    </row>
    <row r="914">
      <c r="A914" s="54" t="n"/>
      <c r="B914" s="61" t="n"/>
      <c r="C914" s="62" t="n"/>
      <c r="D914" s="57" t="n"/>
      <c r="E914" s="57" t="n"/>
      <c r="F914" s="58" t="n"/>
      <c r="G914" s="66">
        <f>IF(tblFleet[[#This Row],[Units]]="","",tblFleet[[#This Row],[Units]]*cfg_HoursPerDay)</f>
        <v/>
      </c>
      <c r="H914" s="66">
        <f>IF(tblFleet[[#This Row],[Units]]="","",tblFleet[[#This Row],[Calendar_h]]-tblFleet[[#This Row],[Down_h]])</f>
        <v/>
      </c>
      <c r="I914" s="60">
        <f>IF(AND(tblFleet[[#This Row],[Units]]&lt;&gt;"",tblFleet[[#This Row],[Calendar_h]]&gt;0),tblFleet[[#This Row],[Available_h]]/tblFleet[[#This Row],[Calendar_h]],"")</f>
        <v/>
      </c>
      <c r="J914" s="60">
        <f>IF(AND(tblFleet[[#This Row],[Units]]&lt;&gt;"",tblFleet[[#This Row],[Available_h]]&gt;0),tblFleet[[#This Row],[Operating_h]]/tblFleet[[#This Row],[Available_h]],"")</f>
        <v/>
      </c>
    </row>
    <row r="915">
      <c r="A915" s="54" t="n"/>
      <c r="B915" s="61" t="n"/>
      <c r="C915" s="62" t="n"/>
      <c r="D915" s="57" t="n"/>
      <c r="E915" s="57" t="n"/>
      <c r="F915" s="58" t="n"/>
      <c r="G915" s="66">
        <f>IF(tblFleet[[#This Row],[Units]]="","",tblFleet[[#This Row],[Units]]*cfg_HoursPerDay)</f>
        <v/>
      </c>
      <c r="H915" s="66">
        <f>IF(tblFleet[[#This Row],[Units]]="","",tblFleet[[#This Row],[Calendar_h]]-tblFleet[[#This Row],[Down_h]])</f>
        <v/>
      </c>
      <c r="I915" s="60">
        <f>IF(AND(tblFleet[[#This Row],[Units]]&lt;&gt;"",tblFleet[[#This Row],[Calendar_h]]&gt;0),tblFleet[[#This Row],[Available_h]]/tblFleet[[#This Row],[Calendar_h]],"")</f>
        <v/>
      </c>
      <c r="J915" s="60">
        <f>IF(AND(tblFleet[[#This Row],[Units]]&lt;&gt;"",tblFleet[[#This Row],[Available_h]]&gt;0),tblFleet[[#This Row],[Operating_h]]/tblFleet[[#This Row],[Available_h]],"")</f>
        <v/>
      </c>
    </row>
    <row r="916">
      <c r="A916" s="54" t="n"/>
      <c r="B916" s="61" t="n"/>
      <c r="C916" s="62" t="n"/>
      <c r="D916" s="57" t="n"/>
      <c r="E916" s="57" t="n"/>
      <c r="F916" s="58" t="n"/>
      <c r="G916" s="66">
        <f>IF(tblFleet[[#This Row],[Units]]="","",tblFleet[[#This Row],[Units]]*cfg_HoursPerDay)</f>
        <v/>
      </c>
      <c r="H916" s="66">
        <f>IF(tblFleet[[#This Row],[Units]]="","",tblFleet[[#This Row],[Calendar_h]]-tblFleet[[#This Row],[Down_h]])</f>
        <v/>
      </c>
      <c r="I916" s="60">
        <f>IF(AND(tblFleet[[#This Row],[Units]]&lt;&gt;"",tblFleet[[#This Row],[Calendar_h]]&gt;0),tblFleet[[#This Row],[Available_h]]/tblFleet[[#This Row],[Calendar_h]],"")</f>
        <v/>
      </c>
      <c r="J916" s="60">
        <f>IF(AND(tblFleet[[#This Row],[Units]]&lt;&gt;"",tblFleet[[#This Row],[Available_h]]&gt;0),tblFleet[[#This Row],[Operating_h]]/tblFleet[[#This Row],[Available_h]],"")</f>
        <v/>
      </c>
    </row>
    <row r="917">
      <c r="A917" s="54" t="n"/>
      <c r="B917" s="61" t="n"/>
      <c r="C917" s="62" t="n"/>
      <c r="D917" s="57" t="n"/>
      <c r="E917" s="57" t="n"/>
      <c r="F917" s="58" t="n"/>
      <c r="G917" s="66">
        <f>IF(tblFleet[[#This Row],[Units]]="","",tblFleet[[#This Row],[Units]]*cfg_HoursPerDay)</f>
        <v/>
      </c>
      <c r="H917" s="66">
        <f>IF(tblFleet[[#This Row],[Units]]="","",tblFleet[[#This Row],[Calendar_h]]-tblFleet[[#This Row],[Down_h]])</f>
        <v/>
      </c>
      <c r="I917" s="60">
        <f>IF(AND(tblFleet[[#This Row],[Units]]&lt;&gt;"",tblFleet[[#This Row],[Calendar_h]]&gt;0),tblFleet[[#This Row],[Available_h]]/tblFleet[[#This Row],[Calendar_h]],"")</f>
        <v/>
      </c>
      <c r="J917" s="60">
        <f>IF(AND(tblFleet[[#This Row],[Units]]&lt;&gt;"",tblFleet[[#This Row],[Available_h]]&gt;0),tblFleet[[#This Row],[Operating_h]]/tblFleet[[#This Row],[Available_h]],"")</f>
        <v/>
      </c>
    </row>
    <row r="918">
      <c r="A918" s="54" t="n"/>
      <c r="B918" s="61" t="n"/>
      <c r="C918" s="62" t="n"/>
      <c r="D918" s="57" t="n"/>
      <c r="E918" s="57" t="n"/>
      <c r="F918" s="58" t="n"/>
      <c r="G918" s="66">
        <f>IF(tblFleet[[#This Row],[Units]]="","",tblFleet[[#This Row],[Units]]*cfg_HoursPerDay)</f>
        <v/>
      </c>
      <c r="H918" s="66">
        <f>IF(tblFleet[[#This Row],[Units]]="","",tblFleet[[#This Row],[Calendar_h]]-tblFleet[[#This Row],[Down_h]])</f>
        <v/>
      </c>
      <c r="I918" s="60">
        <f>IF(AND(tblFleet[[#This Row],[Units]]&lt;&gt;"",tblFleet[[#This Row],[Calendar_h]]&gt;0),tblFleet[[#This Row],[Available_h]]/tblFleet[[#This Row],[Calendar_h]],"")</f>
        <v/>
      </c>
      <c r="J918" s="60">
        <f>IF(AND(tblFleet[[#This Row],[Units]]&lt;&gt;"",tblFleet[[#This Row],[Available_h]]&gt;0),tblFleet[[#This Row],[Operating_h]]/tblFleet[[#This Row],[Available_h]],"")</f>
        <v/>
      </c>
    </row>
    <row r="919">
      <c r="A919" s="54" t="n"/>
      <c r="B919" s="61" t="n"/>
      <c r="C919" s="62" t="n"/>
      <c r="D919" s="57" t="n"/>
      <c r="E919" s="57" t="n"/>
      <c r="F919" s="58" t="n"/>
      <c r="G919" s="66">
        <f>IF(tblFleet[[#This Row],[Units]]="","",tblFleet[[#This Row],[Units]]*cfg_HoursPerDay)</f>
        <v/>
      </c>
      <c r="H919" s="66">
        <f>IF(tblFleet[[#This Row],[Units]]="","",tblFleet[[#This Row],[Calendar_h]]-tblFleet[[#This Row],[Down_h]])</f>
        <v/>
      </c>
      <c r="I919" s="60">
        <f>IF(AND(tblFleet[[#This Row],[Units]]&lt;&gt;"",tblFleet[[#This Row],[Calendar_h]]&gt;0),tblFleet[[#This Row],[Available_h]]/tblFleet[[#This Row],[Calendar_h]],"")</f>
        <v/>
      </c>
      <c r="J919" s="60">
        <f>IF(AND(tblFleet[[#This Row],[Units]]&lt;&gt;"",tblFleet[[#This Row],[Available_h]]&gt;0),tblFleet[[#This Row],[Operating_h]]/tblFleet[[#This Row],[Available_h]],"")</f>
        <v/>
      </c>
    </row>
    <row r="920">
      <c r="A920" s="54" t="n"/>
      <c r="B920" s="61" t="n"/>
      <c r="C920" s="62" t="n"/>
      <c r="D920" s="57" t="n"/>
      <c r="E920" s="57" t="n"/>
      <c r="F920" s="58" t="n"/>
      <c r="G920" s="66">
        <f>IF(tblFleet[[#This Row],[Units]]="","",tblFleet[[#This Row],[Units]]*cfg_HoursPerDay)</f>
        <v/>
      </c>
      <c r="H920" s="66">
        <f>IF(tblFleet[[#This Row],[Units]]="","",tblFleet[[#This Row],[Calendar_h]]-tblFleet[[#This Row],[Down_h]])</f>
        <v/>
      </c>
      <c r="I920" s="60">
        <f>IF(AND(tblFleet[[#This Row],[Units]]&lt;&gt;"",tblFleet[[#This Row],[Calendar_h]]&gt;0),tblFleet[[#This Row],[Available_h]]/tblFleet[[#This Row],[Calendar_h]],"")</f>
        <v/>
      </c>
      <c r="J920" s="60">
        <f>IF(AND(tblFleet[[#This Row],[Units]]&lt;&gt;"",tblFleet[[#This Row],[Available_h]]&gt;0),tblFleet[[#This Row],[Operating_h]]/tblFleet[[#This Row],[Available_h]],"")</f>
        <v/>
      </c>
    </row>
    <row r="921">
      <c r="A921" s="54" t="n"/>
      <c r="B921" s="61" t="n"/>
      <c r="C921" s="62" t="n"/>
      <c r="D921" s="57" t="n"/>
      <c r="E921" s="57" t="n"/>
      <c r="F921" s="58" t="n"/>
      <c r="G921" s="66">
        <f>IF(tblFleet[[#This Row],[Units]]="","",tblFleet[[#This Row],[Units]]*cfg_HoursPerDay)</f>
        <v/>
      </c>
      <c r="H921" s="66">
        <f>IF(tblFleet[[#This Row],[Units]]="","",tblFleet[[#This Row],[Calendar_h]]-tblFleet[[#This Row],[Down_h]])</f>
        <v/>
      </c>
      <c r="I921" s="60">
        <f>IF(AND(tblFleet[[#This Row],[Units]]&lt;&gt;"",tblFleet[[#This Row],[Calendar_h]]&gt;0),tblFleet[[#This Row],[Available_h]]/tblFleet[[#This Row],[Calendar_h]],"")</f>
        <v/>
      </c>
      <c r="J921" s="60">
        <f>IF(AND(tblFleet[[#This Row],[Units]]&lt;&gt;"",tblFleet[[#This Row],[Available_h]]&gt;0),tblFleet[[#This Row],[Operating_h]]/tblFleet[[#This Row],[Available_h]],"")</f>
        <v/>
      </c>
    </row>
    <row r="922">
      <c r="A922" s="54" t="n"/>
      <c r="B922" s="61" t="n"/>
      <c r="C922" s="62" t="n"/>
      <c r="D922" s="57" t="n"/>
      <c r="E922" s="57" t="n"/>
      <c r="F922" s="58" t="n"/>
      <c r="G922" s="66">
        <f>IF(tblFleet[[#This Row],[Units]]="","",tblFleet[[#This Row],[Units]]*cfg_HoursPerDay)</f>
        <v/>
      </c>
      <c r="H922" s="66">
        <f>IF(tblFleet[[#This Row],[Units]]="","",tblFleet[[#This Row],[Calendar_h]]-tblFleet[[#This Row],[Down_h]])</f>
        <v/>
      </c>
      <c r="I922" s="60">
        <f>IF(AND(tblFleet[[#This Row],[Units]]&lt;&gt;"",tblFleet[[#This Row],[Calendar_h]]&gt;0),tblFleet[[#This Row],[Available_h]]/tblFleet[[#This Row],[Calendar_h]],"")</f>
        <v/>
      </c>
      <c r="J922" s="60">
        <f>IF(AND(tblFleet[[#This Row],[Units]]&lt;&gt;"",tblFleet[[#This Row],[Available_h]]&gt;0),tblFleet[[#This Row],[Operating_h]]/tblFleet[[#This Row],[Available_h]],"")</f>
        <v/>
      </c>
    </row>
    <row r="923">
      <c r="A923" s="54" t="n"/>
      <c r="B923" s="61" t="n"/>
      <c r="C923" s="62" t="n"/>
      <c r="D923" s="57" t="n"/>
      <c r="E923" s="57" t="n"/>
      <c r="F923" s="58" t="n"/>
      <c r="G923" s="66">
        <f>IF(tblFleet[[#This Row],[Units]]="","",tblFleet[[#This Row],[Units]]*cfg_HoursPerDay)</f>
        <v/>
      </c>
      <c r="H923" s="66">
        <f>IF(tblFleet[[#This Row],[Units]]="","",tblFleet[[#This Row],[Calendar_h]]-tblFleet[[#This Row],[Down_h]])</f>
        <v/>
      </c>
      <c r="I923" s="60">
        <f>IF(AND(tblFleet[[#This Row],[Units]]&lt;&gt;"",tblFleet[[#This Row],[Calendar_h]]&gt;0),tblFleet[[#This Row],[Available_h]]/tblFleet[[#This Row],[Calendar_h]],"")</f>
        <v/>
      </c>
      <c r="J923" s="60">
        <f>IF(AND(tblFleet[[#This Row],[Units]]&lt;&gt;"",tblFleet[[#This Row],[Available_h]]&gt;0),tblFleet[[#This Row],[Operating_h]]/tblFleet[[#This Row],[Available_h]],"")</f>
        <v/>
      </c>
    </row>
    <row r="924">
      <c r="A924" s="54" t="n"/>
      <c r="B924" s="61" t="n"/>
      <c r="C924" s="62" t="n"/>
      <c r="D924" s="57" t="n"/>
      <c r="E924" s="57" t="n"/>
      <c r="F924" s="58" t="n"/>
      <c r="G924" s="66">
        <f>IF(tblFleet[[#This Row],[Units]]="","",tblFleet[[#This Row],[Units]]*cfg_HoursPerDay)</f>
        <v/>
      </c>
      <c r="H924" s="66">
        <f>IF(tblFleet[[#This Row],[Units]]="","",tblFleet[[#This Row],[Calendar_h]]-tblFleet[[#This Row],[Down_h]])</f>
        <v/>
      </c>
      <c r="I924" s="60">
        <f>IF(AND(tblFleet[[#This Row],[Units]]&lt;&gt;"",tblFleet[[#This Row],[Calendar_h]]&gt;0),tblFleet[[#This Row],[Available_h]]/tblFleet[[#This Row],[Calendar_h]],"")</f>
        <v/>
      </c>
      <c r="J924" s="60">
        <f>IF(AND(tblFleet[[#This Row],[Units]]&lt;&gt;"",tblFleet[[#This Row],[Available_h]]&gt;0),tblFleet[[#This Row],[Operating_h]]/tblFleet[[#This Row],[Available_h]],"")</f>
        <v/>
      </c>
    </row>
    <row r="925">
      <c r="A925" s="54" t="n"/>
      <c r="B925" s="61" t="n"/>
      <c r="C925" s="62" t="n"/>
      <c r="D925" s="57" t="n"/>
      <c r="E925" s="57" t="n"/>
      <c r="F925" s="58" t="n"/>
      <c r="G925" s="66">
        <f>IF(tblFleet[[#This Row],[Units]]="","",tblFleet[[#This Row],[Units]]*cfg_HoursPerDay)</f>
        <v/>
      </c>
      <c r="H925" s="66">
        <f>IF(tblFleet[[#This Row],[Units]]="","",tblFleet[[#This Row],[Calendar_h]]-tblFleet[[#This Row],[Down_h]])</f>
        <v/>
      </c>
      <c r="I925" s="60">
        <f>IF(AND(tblFleet[[#This Row],[Units]]&lt;&gt;"",tblFleet[[#This Row],[Calendar_h]]&gt;0),tblFleet[[#This Row],[Available_h]]/tblFleet[[#This Row],[Calendar_h]],"")</f>
        <v/>
      </c>
      <c r="J925" s="60">
        <f>IF(AND(tblFleet[[#This Row],[Units]]&lt;&gt;"",tblFleet[[#This Row],[Available_h]]&gt;0),tblFleet[[#This Row],[Operating_h]]/tblFleet[[#This Row],[Available_h]],"")</f>
        <v/>
      </c>
    </row>
    <row r="926">
      <c r="A926" s="54" t="n"/>
      <c r="B926" s="61" t="n"/>
      <c r="C926" s="62" t="n"/>
      <c r="D926" s="57" t="n"/>
      <c r="E926" s="57" t="n"/>
      <c r="F926" s="58" t="n"/>
      <c r="G926" s="66">
        <f>IF(tblFleet[[#This Row],[Units]]="","",tblFleet[[#This Row],[Units]]*cfg_HoursPerDay)</f>
        <v/>
      </c>
      <c r="H926" s="66">
        <f>IF(tblFleet[[#This Row],[Units]]="","",tblFleet[[#This Row],[Calendar_h]]-tblFleet[[#This Row],[Down_h]])</f>
        <v/>
      </c>
      <c r="I926" s="60">
        <f>IF(AND(tblFleet[[#This Row],[Units]]&lt;&gt;"",tblFleet[[#This Row],[Calendar_h]]&gt;0),tblFleet[[#This Row],[Available_h]]/tblFleet[[#This Row],[Calendar_h]],"")</f>
        <v/>
      </c>
      <c r="J926" s="60">
        <f>IF(AND(tblFleet[[#This Row],[Units]]&lt;&gt;"",tblFleet[[#This Row],[Available_h]]&gt;0),tblFleet[[#This Row],[Operating_h]]/tblFleet[[#This Row],[Available_h]],"")</f>
        <v/>
      </c>
    </row>
    <row r="927">
      <c r="A927" s="54" t="n"/>
      <c r="B927" s="61" t="n"/>
      <c r="C927" s="62" t="n"/>
      <c r="D927" s="57" t="n"/>
      <c r="E927" s="57" t="n"/>
      <c r="F927" s="58" t="n"/>
      <c r="G927" s="66">
        <f>IF(tblFleet[[#This Row],[Units]]="","",tblFleet[[#This Row],[Units]]*cfg_HoursPerDay)</f>
        <v/>
      </c>
      <c r="H927" s="66">
        <f>IF(tblFleet[[#This Row],[Units]]="","",tblFleet[[#This Row],[Calendar_h]]-tblFleet[[#This Row],[Down_h]])</f>
        <v/>
      </c>
      <c r="I927" s="60">
        <f>IF(AND(tblFleet[[#This Row],[Units]]&lt;&gt;"",tblFleet[[#This Row],[Calendar_h]]&gt;0),tblFleet[[#This Row],[Available_h]]/tblFleet[[#This Row],[Calendar_h]],"")</f>
        <v/>
      </c>
      <c r="J927" s="60">
        <f>IF(AND(tblFleet[[#This Row],[Units]]&lt;&gt;"",tblFleet[[#This Row],[Available_h]]&gt;0),tblFleet[[#This Row],[Operating_h]]/tblFleet[[#This Row],[Available_h]],"")</f>
        <v/>
      </c>
    </row>
    <row r="928">
      <c r="A928" s="54" t="n"/>
      <c r="B928" s="61" t="n"/>
      <c r="C928" s="62" t="n"/>
      <c r="D928" s="57" t="n"/>
      <c r="E928" s="57" t="n"/>
      <c r="F928" s="58" t="n"/>
      <c r="G928" s="66">
        <f>IF(tblFleet[[#This Row],[Units]]="","",tblFleet[[#This Row],[Units]]*cfg_HoursPerDay)</f>
        <v/>
      </c>
      <c r="H928" s="66">
        <f>IF(tblFleet[[#This Row],[Units]]="","",tblFleet[[#This Row],[Calendar_h]]-tblFleet[[#This Row],[Down_h]])</f>
        <v/>
      </c>
      <c r="I928" s="60">
        <f>IF(AND(tblFleet[[#This Row],[Units]]&lt;&gt;"",tblFleet[[#This Row],[Calendar_h]]&gt;0),tblFleet[[#This Row],[Available_h]]/tblFleet[[#This Row],[Calendar_h]],"")</f>
        <v/>
      </c>
      <c r="J928" s="60">
        <f>IF(AND(tblFleet[[#This Row],[Units]]&lt;&gt;"",tblFleet[[#This Row],[Available_h]]&gt;0),tblFleet[[#This Row],[Operating_h]]/tblFleet[[#This Row],[Available_h]],"")</f>
        <v/>
      </c>
    </row>
    <row r="929">
      <c r="A929" s="54" t="n"/>
      <c r="B929" s="61" t="n"/>
      <c r="C929" s="62" t="n"/>
      <c r="D929" s="57" t="n"/>
      <c r="E929" s="57" t="n"/>
      <c r="F929" s="58" t="n"/>
      <c r="G929" s="66">
        <f>IF(tblFleet[[#This Row],[Units]]="","",tblFleet[[#This Row],[Units]]*cfg_HoursPerDay)</f>
        <v/>
      </c>
      <c r="H929" s="66">
        <f>IF(tblFleet[[#This Row],[Units]]="","",tblFleet[[#This Row],[Calendar_h]]-tblFleet[[#This Row],[Down_h]])</f>
        <v/>
      </c>
      <c r="I929" s="60">
        <f>IF(AND(tblFleet[[#This Row],[Units]]&lt;&gt;"",tblFleet[[#This Row],[Calendar_h]]&gt;0),tblFleet[[#This Row],[Available_h]]/tblFleet[[#This Row],[Calendar_h]],"")</f>
        <v/>
      </c>
      <c r="J929" s="60">
        <f>IF(AND(tblFleet[[#This Row],[Units]]&lt;&gt;"",tblFleet[[#This Row],[Available_h]]&gt;0),tblFleet[[#This Row],[Operating_h]]/tblFleet[[#This Row],[Available_h]],"")</f>
        <v/>
      </c>
    </row>
    <row r="930">
      <c r="A930" s="54" t="n"/>
      <c r="B930" s="61" t="n"/>
      <c r="C930" s="62" t="n"/>
      <c r="D930" s="57" t="n"/>
      <c r="E930" s="57" t="n"/>
      <c r="F930" s="58" t="n"/>
      <c r="G930" s="66">
        <f>IF(tblFleet[[#This Row],[Units]]="","",tblFleet[[#This Row],[Units]]*cfg_HoursPerDay)</f>
        <v/>
      </c>
      <c r="H930" s="66">
        <f>IF(tblFleet[[#This Row],[Units]]="","",tblFleet[[#This Row],[Calendar_h]]-tblFleet[[#This Row],[Down_h]])</f>
        <v/>
      </c>
      <c r="I930" s="60">
        <f>IF(AND(tblFleet[[#This Row],[Units]]&lt;&gt;"",tblFleet[[#This Row],[Calendar_h]]&gt;0),tblFleet[[#This Row],[Available_h]]/tblFleet[[#This Row],[Calendar_h]],"")</f>
        <v/>
      </c>
      <c r="J930" s="60">
        <f>IF(AND(tblFleet[[#This Row],[Units]]&lt;&gt;"",tblFleet[[#This Row],[Available_h]]&gt;0),tblFleet[[#This Row],[Operating_h]]/tblFleet[[#This Row],[Available_h]],"")</f>
        <v/>
      </c>
    </row>
    <row r="931">
      <c r="A931" s="54" t="n"/>
      <c r="B931" s="61" t="n"/>
      <c r="C931" s="62" t="n"/>
      <c r="D931" s="57" t="n"/>
      <c r="E931" s="57" t="n"/>
      <c r="F931" s="58" t="n"/>
      <c r="G931" s="66">
        <f>IF(tblFleet[[#This Row],[Units]]="","",tblFleet[[#This Row],[Units]]*cfg_HoursPerDay)</f>
        <v/>
      </c>
      <c r="H931" s="66">
        <f>IF(tblFleet[[#This Row],[Units]]="","",tblFleet[[#This Row],[Calendar_h]]-tblFleet[[#This Row],[Down_h]])</f>
        <v/>
      </c>
      <c r="I931" s="60">
        <f>IF(AND(tblFleet[[#This Row],[Units]]&lt;&gt;"",tblFleet[[#This Row],[Calendar_h]]&gt;0),tblFleet[[#This Row],[Available_h]]/tblFleet[[#This Row],[Calendar_h]],"")</f>
        <v/>
      </c>
      <c r="J931" s="60">
        <f>IF(AND(tblFleet[[#This Row],[Units]]&lt;&gt;"",tblFleet[[#This Row],[Available_h]]&gt;0),tblFleet[[#This Row],[Operating_h]]/tblFleet[[#This Row],[Available_h]],"")</f>
        <v/>
      </c>
    </row>
    <row r="932">
      <c r="A932" s="54" t="n"/>
      <c r="B932" s="61" t="n"/>
      <c r="C932" s="62" t="n"/>
      <c r="D932" s="57" t="n"/>
      <c r="E932" s="57" t="n"/>
      <c r="F932" s="58" t="n"/>
      <c r="G932" s="66">
        <f>IF(tblFleet[[#This Row],[Units]]="","",tblFleet[[#This Row],[Units]]*cfg_HoursPerDay)</f>
        <v/>
      </c>
      <c r="H932" s="66">
        <f>IF(tblFleet[[#This Row],[Units]]="","",tblFleet[[#This Row],[Calendar_h]]-tblFleet[[#This Row],[Down_h]])</f>
        <v/>
      </c>
      <c r="I932" s="60">
        <f>IF(AND(tblFleet[[#This Row],[Units]]&lt;&gt;"",tblFleet[[#This Row],[Calendar_h]]&gt;0),tblFleet[[#This Row],[Available_h]]/tblFleet[[#This Row],[Calendar_h]],"")</f>
        <v/>
      </c>
      <c r="J932" s="60">
        <f>IF(AND(tblFleet[[#This Row],[Units]]&lt;&gt;"",tblFleet[[#This Row],[Available_h]]&gt;0),tblFleet[[#This Row],[Operating_h]]/tblFleet[[#This Row],[Available_h]],"")</f>
        <v/>
      </c>
    </row>
    <row r="933">
      <c r="A933" s="54" t="n"/>
      <c r="B933" s="61" t="n"/>
      <c r="C933" s="62" t="n"/>
      <c r="D933" s="57" t="n"/>
      <c r="E933" s="57" t="n"/>
      <c r="F933" s="58" t="n"/>
      <c r="G933" s="66">
        <f>IF(tblFleet[[#This Row],[Units]]="","",tblFleet[[#This Row],[Units]]*cfg_HoursPerDay)</f>
        <v/>
      </c>
      <c r="H933" s="66">
        <f>IF(tblFleet[[#This Row],[Units]]="","",tblFleet[[#This Row],[Calendar_h]]-tblFleet[[#This Row],[Down_h]])</f>
        <v/>
      </c>
      <c r="I933" s="60">
        <f>IF(AND(tblFleet[[#This Row],[Units]]&lt;&gt;"",tblFleet[[#This Row],[Calendar_h]]&gt;0),tblFleet[[#This Row],[Available_h]]/tblFleet[[#This Row],[Calendar_h]],"")</f>
        <v/>
      </c>
      <c r="J933" s="60">
        <f>IF(AND(tblFleet[[#This Row],[Units]]&lt;&gt;"",tblFleet[[#This Row],[Available_h]]&gt;0),tblFleet[[#This Row],[Operating_h]]/tblFleet[[#This Row],[Available_h]],"")</f>
        <v/>
      </c>
    </row>
    <row r="934">
      <c r="A934" s="54" t="n"/>
      <c r="B934" s="61" t="n"/>
      <c r="C934" s="62" t="n"/>
      <c r="D934" s="57" t="n"/>
      <c r="E934" s="57" t="n"/>
      <c r="F934" s="58" t="n"/>
      <c r="G934" s="66">
        <f>IF(tblFleet[[#This Row],[Units]]="","",tblFleet[[#This Row],[Units]]*cfg_HoursPerDay)</f>
        <v/>
      </c>
      <c r="H934" s="66">
        <f>IF(tblFleet[[#This Row],[Units]]="","",tblFleet[[#This Row],[Calendar_h]]-tblFleet[[#This Row],[Down_h]])</f>
        <v/>
      </c>
      <c r="I934" s="60">
        <f>IF(AND(tblFleet[[#This Row],[Units]]&lt;&gt;"",tblFleet[[#This Row],[Calendar_h]]&gt;0),tblFleet[[#This Row],[Available_h]]/tblFleet[[#This Row],[Calendar_h]],"")</f>
        <v/>
      </c>
      <c r="J934" s="60">
        <f>IF(AND(tblFleet[[#This Row],[Units]]&lt;&gt;"",tblFleet[[#This Row],[Available_h]]&gt;0),tblFleet[[#This Row],[Operating_h]]/tblFleet[[#This Row],[Available_h]],"")</f>
        <v/>
      </c>
    </row>
    <row r="935">
      <c r="A935" s="54" t="n"/>
      <c r="B935" s="61" t="n"/>
      <c r="C935" s="62" t="n"/>
      <c r="D935" s="57" t="n"/>
      <c r="E935" s="57" t="n"/>
      <c r="F935" s="58" t="n"/>
      <c r="G935" s="66">
        <f>IF(tblFleet[[#This Row],[Units]]="","",tblFleet[[#This Row],[Units]]*cfg_HoursPerDay)</f>
        <v/>
      </c>
      <c r="H935" s="66">
        <f>IF(tblFleet[[#This Row],[Units]]="","",tblFleet[[#This Row],[Calendar_h]]-tblFleet[[#This Row],[Down_h]])</f>
        <v/>
      </c>
      <c r="I935" s="60">
        <f>IF(AND(tblFleet[[#This Row],[Units]]&lt;&gt;"",tblFleet[[#This Row],[Calendar_h]]&gt;0),tblFleet[[#This Row],[Available_h]]/tblFleet[[#This Row],[Calendar_h]],"")</f>
        <v/>
      </c>
      <c r="J935" s="60">
        <f>IF(AND(tblFleet[[#This Row],[Units]]&lt;&gt;"",tblFleet[[#This Row],[Available_h]]&gt;0),tblFleet[[#This Row],[Operating_h]]/tblFleet[[#This Row],[Available_h]],"")</f>
        <v/>
      </c>
    </row>
    <row r="936">
      <c r="A936" s="54" t="n"/>
      <c r="B936" s="61" t="n"/>
      <c r="C936" s="62" t="n"/>
      <c r="D936" s="57" t="n"/>
      <c r="E936" s="57" t="n"/>
      <c r="F936" s="58" t="n"/>
      <c r="G936" s="66">
        <f>IF(tblFleet[[#This Row],[Units]]="","",tblFleet[[#This Row],[Units]]*cfg_HoursPerDay)</f>
        <v/>
      </c>
      <c r="H936" s="66">
        <f>IF(tblFleet[[#This Row],[Units]]="","",tblFleet[[#This Row],[Calendar_h]]-tblFleet[[#This Row],[Down_h]])</f>
        <v/>
      </c>
      <c r="I936" s="60">
        <f>IF(AND(tblFleet[[#This Row],[Units]]&lt;&gt;"",tblFleet[[#This Row],[Calendar_h]]&gt;0),tblFleet[[#This Row],[Available_h]]/tblFleet[[#This Row],[Calendar_h]],"")</f>
        <v/>
      </c>
      <c r="J936" s="60">
        <f>IF(AND(tblFleet[[#This Row],[Units]]&lt;&gt;"",tblFleet[[#This Row],[Available_h]]&gt;0),tblFleet[[#This Row],[Operating_h]]/tblFleet[[#This Row],[Available_h]],"")</f>
        <v/>
      </c>
    </row>
    <row r="937">
      <c r="A937" s="54" t="n"/>
      <c r="B937" s="61" t="n"/>
      <c r="C937" s="62" t="n"/>
      <c r="D937" s="57" t="n"/>
      <c r="E937" s="57" t="n"/>
      <c r="F937" s="58" t="n"/>
      <c r="G937" s="66">
        <f>IF(tblFleet[[#This Row],[Units]]="","",tblFleet[[#This Row],[Units]]*cfg_HoursPerDay)</f>
        <v/>
      </c>
      <c r="H937" s="66">
        <f>IF(tblFleet[[#This Row],[Units]]="","",tblFleet[[#This Row],[Calendar_h]]-tblFleet[[#This Row],[Down_h]])</f>
        <v/>
      </c>
      <c r="I937" s="60">
        <f>IF(AND(tblFleet[[#This Row],[Units]]&lt;&gt;"",tblFleet[[#This Row],[Calendar_h]]&gt;0),tblFleet[[#This Row],[Available_h]]/tblFleet[[#This Row],[Calendar_h]],"")</f>
        <v/>
      </c>
      <c r="J937" s="60">
        <f>IF(AND(tblFleet[[#This Row],[Units]]&lt;&gt;"",tblFleet[[#This Row],[Available_h]]&gt;0),tblFleet[[#This Row],[Operating_h]]/tblFleet[[#This Row],[Available_h]],"")</f>
        <v/>
      </c>
    </row>
    <row r="938">
      <c r="A938" s="54" t="n"/>
      <c r="B938" s="61" t="n"/>
      <c r="C938" s="62" t="n"/>
      <c r="D938" s="57" t="n"/>
      <c r="E938" s="57" t="n"/>
      <c r="F938" s="58" t="n"/>
      <c r="G938" s="66">
        <f>IF(tblFleet[[#This Row],[Units]]="","",tblFleet[[#This Row],[Units]]*cfg_HoursPerDay)</f>
        <v/>
      </c>
      <c r="H938" s="66">
        <f>IF(tblFleet[[#This Row],[Units]]="","",tblFleet[[#This Row],[Calendar_h]]-tblFleet[[#This Row],[Down_h]])</f>
        <v/>
      </c>
      <c r="I938" s="60">
        <f>IF(AND(tblFleet[[#This Row],[Units]]&lt;&gt;"",tblFleet[[#This Row],[Calendar_h]]&gt;0),tblFleet[[#This Row],[Available_h]]/tblFleet[[#This Row],[Calendar_h]],"")</f>
        <v/>
      </c>
      <c r="J938" s="60">
        <f>IF(AND(tblFleet[[#This Row],[Units]]&lt;&gt;"",tblFleet[[#This Row],[Available_h]]&gt;0),tblFleet[[#This Row],[Operating_h]]/tblFleet[[#This Row],[Available_h]],"")</f>
        <v/>
      </c>
    </row>
    <row r="939">
      <c r="A939" s="54" t="n"/>
      <c r="B939" s="61" t="n"/>
      <c r="C939" s="62" t="n"/>
      <c r="D939" s="57" t="n"/>
      <c r="E939" s="57" t="n"/>
      <c r="F939" s="58" t="n"/>
      <c r="G939" s="66">
        <f>IF(tblFleet[[#This Row],[Units]]="","",tblFleet[[#This Row],[Units]]*cfg_HoursPerDay)</f>
        <v/>
      </c>
      <c r="H939" s="66">
        <f>IF(tblFleet[[#This Row],[Units]]="","",tblFleet[[#This Row],[Calendar_h]]-tblFleet[[#This Row],[Down_h]])</f>
        <v/>
      </c>
      <c r="I939" s="60">
        <f>IF(AND(tblFleet[[#This Row],[Units]]&lt;&gt;"",tblFleet[[#This Row],[Calendar_h]]&gt;0),tblFleet[[#This Row],[Available_h]]/tblFleet[[#This Row],[Calendar_h]],"")</f>
        <v/>
      </c>
      <c r="J939" s="60">
        <f>IF(AND(tblFleet[[#This Row],[Units]]&lt;&gt;"",tblFleet[[#This Row],[Available_h]]&gt;0),tblFleet[[#This Row],[Operating_h]]/tblFleet[[#This Row],[Available_h]],"")</f>
        <v/>
      </c>
    </row>
    <row r="940">
      <c r="A940" s="54" t="n"/>
      <c r="B940" s="61" t="n"/>
      <c r="C940" s="62" t="n"/>
      <c r="D940" s="57" t="n"/>
      <c r="E940" s="57" t="n"/>
      <c r="F940" s="58" t="n"/>
      <c r="G940" s="66">
        <f>IF(tblFleet[[#This Row],[Units]]="","",tblFleet[[#This Row],[Units]]*cfg_HoursPerDay)</f>
        <v/>
      </c>
      <c r="H940" s="66">
        <f>IF(tblFleet[[#This Row],[Units]]="","",tblFleet[[#This Row],[Calendar_h]]-tblFleet[[#This Row],[Down_h]])</f>
        <v/>
      </c>
      <c r="I940" s="60">
        <f>IF(AND(tblFleet[[#This Row],[Units]]&lt;&gt;"",tblFleet[[#This Row],[Calendar_h]]&gt;0),tblFleet[[#This Row],[Available_h]]/tblFleet[[#This Row],[Calendar_h]],"")</f>
        <v/>
      </c>
      <c r="J940" s="60">
        <f>IF(AND(tblFleet[[#This Row],[Units]]&lt;&gt;"",tblFleet[[#This Row],[Available_h]]&gt;0),tblFleet[[#This Row],[Operating_h]]/tblFleet[[#This Row],[Available_h]],"")</f>
        <v/>
      </c>
    </row>
    <row r="941">
      <c r="A941" s="54" t="n"/>
      <c r="B941" s="61" t="n"/>
      <c r="C941" s="62" t="n"/>
      <c r="D941" s="57" t="n"/>
      <c r="E941" s="57" t="n"/>
      <c r="F941" s="58" t="n"/>
      <c r="G941" s="66">
        <f>IF(tblFleet[[#This Row],[Units]]="","",tblFleet[[#This Row],[Units]]*cfg_HoursPerDay)</f>
        <v/>
      </c>
      <c r="H941" s="66">
        <f>IF(tblFleet[[#This Row],[Units]]="","",tblFleet[[#This Row],[Calendar_h]]-tblFleet[[#This Row],[Down_h]])</f>
        <v/>
      </c>
      <c r="I941" s="60">
        <f>IF(AND(tblFleet[[#This Row],[Units]]&lt;&gt;"",tblFleet[[#This Row],[Calendar_h]]&gt;0),tblFleet[[#This Row],[Available_h]]/tblFleet[[#This Row],[Calendar_h]],"")</f>
        <v/>
      </c>
      <c r="J941" s="60">
        <f>IF(AND(tblFleet[[#This Row],[Units]]&lt;&gt;"",tblFleet[[#This Row],[Available_h]]&gt;0),tblFleet[[#This Row],[Operating_h]]/tblFleet[[#This Row],[Available_h]],"")</f>
        <v/>
      </c>
    </row>
    <row r="942">
      <c r="A942" s="54" t="n"/>
      <c r="B942" s="61" t="n"/>
      <c r="C942" s="62" t="n"/>
      <c r="D942" s="57" t="n"/>
      <c r="E942" s="57" t="n"/>
      <c r="F942" s="58" t="n"/>
      <c r="G942" s="66">
        <f>IF(tblFleet[[#This Row],[Units]]="","",tblFleet[[#This Row],[Units]]*cfg_HoursPerDay)</f>
        <v/>
      </c>
      <c r="H942" s="66">
        <f>IF(tblFleet[[#This Row],[Units]]="","",tblFleet[[#This Row],[Calendar_h]]-tblFleet[[#This Row],[Down_h]])</f>
        <v/>
      </c>
      <c r="I942" s="60">
        <f>IF(AND(tblFleet[[#This Row],[Units]]&lt;&gt;"",tblFleet[[#This Row],[Calendar_h]]&gt;0),tblFleet[[#This Row],[Available_h]]/tblFleet[[#This Row],[Calendar_h]],"")</f>
        <v/>
      </c>
      <c r="J942" s="60">
        <f>IF(AND(tblFleet[[#This Row],[Units]]&lt;&gt;"",tblFleet[[#This Row],[Available_h]]&gt;0),tblFleet[[#This Row],[Operating_h]]/tblFleet[[#This Row],[Available_h]],"")</f>
        <v/>
      </c>
    </row>
    <row r="943">
      <c r="A943" s="54" t="n"/>
      <c r="B943" s="61" t="n"/>
      <c r="C943" s="62" t="n"/>
      <c r="D943" s="57" t="n"/>
      <c r="E943" s="57" t="n"/>
      <c r="F943" s="58" t="n"/>
      <c r="G943" s="66">
        <f>IF(tblFleet[[#This Row],[Units]]="","",tblFleet[[#This Row],[Units]]*cfg_HoursPerDay)</f>
        <v/>
      </c>
      <c r="H943" s="66">
        <f>IF(tblFleet[[#This Row],[Units]]="","",tblFleet[[#This Row],[Calendar_h]]-tblFleet[[#This Row],[Down_h]])</f>
        <v/>
      </c>
      <c r="I943" s="60">
        <f>IF(AND(tblFleet[[#This Row],[Units]]&lt;&gt;"",tblFleet[[#This Row],[Calendar_h]]&gt;0),tblFleet[[#This Row],[Available_h]]/tblFleet[[#This Row],[Calendar_h]],"")</f>
        <v/>
      </c>
      <c r="J943" s="60">
        <f>IF(AND(tblFleet[[#This Row],[Units]]&lt;&gt;"",tblFleet[[#This Row],[Available_h]]&gt;0),tblFleet[[#This Row],[Operating_h]]/tblFleet[[#This Row],[Available_h]],"")</f>
        <v/>
      </c>
    </row>
    <row r="944">
      <c r="A944" s="54" t="n"/>
      <c r="B944" s="61" t="n"/>
      <c r="C944" s="62" t="n"/>
      <c r="D944" s="57" t="n"/>
      <c r="E944" s="57" t="n"/>
      <c r="F944" s="58" t="n"/>
      <c r="G944" s="66">
        <f>IF(tblFleet[[#This Row],[Units]]="","",tblFleet[[#This Row],[Units]]*cfg_HoursPerDay)</f>
        <v/>
      </c>
      <c r="H944" s="66">
        <f>IF(tblFleet[[#This Row],[Units]]="","",tblFleet[[#This Row],[Calendar_h]]-tblFleet[[#This Row],[Down_h]])</f>
        <v/>
      </c>
      <c r="I944" s="60">
        <f>IF(AND(tblFleet[[#This Row],[Units]]&lt;&gt;"",tblFleet[[#This Row],[Calendar_h]]&gt;0),tblFleet[[#This Row],[Available_h]]/tblFleet[[#This Row],[Calendar_h]],"")</f>
        <v/>
      </c>
      <c r="J944" s="60">
        <f>IF(AND(tblFleet[[#This Row],[Units]]&lt;&gt;"",tblFleet[[#This Row],[Available_h]]&gt;0),tblFleet[[#This Row],[Operating_h]]/tblFleet[[#This Row],[Available_h]],"")</f>
        <v/>
      </c>
    </row>
    <row r="945">
      <c r="A945" s="54" t="n"/>
      <c r="B945" s="61" t="n"/>
      <c r="C945" s="62" t="n"/>
      <c r="D945" s="57" t="n"/>
      <c r="E945" s="57" t="n"/>
      <c r="F945" s="58" t="n"/>
      <c r="G945" s="66">
        <f>IF(tblFleet[[#This Row],[Units]]="","",tblFleet[[#This Row],[Units]]*cfg_HoursPerDay)</f>
        <v/>
      </c>
      <c r="H945" s="66">
        <f>IF(tblFleet[[#This Row],[Units]]="","",tblFleet[[#This Row],[Calendar_h]]-tblFleet[[#This Row],[Down_h]])</f>
        <v/>
      </c>
      <c r="I945" s="60">
        <f>IF(AND(tblFleet[[#This Row],[Units]]&lt;&gt;"",tblFleet[[#This Row],[Calendar_h]]&gt;0),tblFleet[[#This Row],[Available_h]]/tblFleet[[#This Row],[Calendar_h]],"")</f>
        <v/>
      </c>
      <c r="J945" s="60">
        <f>IF(AND(tblFleet[[#This Row],[Units]]&lt;&gt;"",tblFleet[[#This Row],[Available_h]]&gt;0),tblFleet[[#This Row],[Operating_h]]/tblFleet[[#This Row],[Available_h]],"")</f>
        <v/>
      </c>
    </row>
    <row r="946">
      <c r="A946" s="54" t="n"/>
      <c r="B946" s="61" t="n"/>
      <c r="C946" s="62" t="n"/>
      <c r="D946" s="57" t="n"/>
      <c r="E946" s="57" t="n"/>
      <c r="F946" s="58" t="n"/>
      <c r="G946" s="66">
        <f>IF(tblFleet[[#This Row],[Units]]="","",tblFleet[[#This Row],[Units]]*cfg_HoursPerDay)</f>
        <v/>
      </c>
      <c r="H946" s="66">
        <f>IF(tblFleet[[#This Row],[Units]]="","",tblFleet[[#This Row],[Calendar_h]]-tblFleet[[#This Row],[Down_h]])</f>
        <v/>
      </c>
      <c r="I946" s="60">
        <f>IF(AND(tblFleet[[#This Row],[Units]]&lt;&gt;"",tblFleet[[#This Row],[Calendar_h]]&gt;0),tblFleet[[#This Row],[Available_h]]/tblFleet[[#This Row],[Calendar_h]],"")</f>
        <v/>
      </c>
      <c r="J946" s="60">
        <f>IF(AND(tblFleet[[#This Row],[Units]]&lt;&gt;"",tblFleet[[#This Row],[Available_h]]&gt;0),tblFleet[[#This Row],[Operating_h]]/tblFleet[[#This Row],[Available_h]],"")</f>
        <v/>
      </c>
    </row>
    <row r="947">
      <c r="A947" s="54" t="n"/>
      <c r="B947" s="61" t="n"/>
      <c r="C947" s="62" t="n"/>
      <c r="D947" s="57" t="n"/>
      <c r="E947" s="57" t="n"/>
      <c r="F947" s="58" t="n"/>
      <c r="G947" s="66">
        <f>IF(tblFleet[[#This Row],[Units]]="","",tblFleet[[#This Row],[Units]]*cfg_HoursPerDay)</f>
        <v/>
      </c>
      <c r="H947" s="66">
        <f>IF(tblFleet[[#This Row],[Units]]="","",tblFleet[[#This Row],[Calendar_h]]-tblFleet[[#This Row],[Down_h]])</f>
        <v/>
      </c>
      <c r="I947" s="60">
        <f>IF(AND(tblFleet[[#This Row],[Units]]&lt;&gt;"",tblFleet[[#This Row],[Calendar_h]]&gt;0),tblFleet[[#This Row],[Available_h]]/tblFleet[[#This Row],[Calendar_h]],"")</f>
        <v/>
      </c>
      <c r="J947" s="60">
        <f>IF(AND(tblFleet[[#This Row],[Units]]&lt;&gt;"",tblFleet[[#This Row],[Available_h]]&gt;0),tblFleet[[#This Row],[Operating_h]]/tblFleet[[#This Row],[Available_h]],"")</f>
        <v/>
      </c>
    </row>
    <row r="948">
      <c r="A948" s="54" t="n"/>
      <c r="B948" s="61" t="n"/>
      <c r="C948" s="62" t="n"/>
      <c r="D948" s="57" t="n"/>
      <c r="E948" s="57" t="n"/>
      <c r="F948" s="58" t="n"/>
      <c r="G948" s="66">
        <f>IF(tblFleet[[#This Row],[Units]]="","",tblFleet[[#This Row],[Units]]*cfg_HoursPerDay)</f>
        <v/>
      </c>
      <c r="H948" s="66">
        <f>IF(tblFleet[[#This Row],[Units]]="","",tblFleet[[#This Row],[Calendar_h]]-tblFleet[[#This Row],[Down_h]])</f>
        <v/>
      </c>
      <c r="I948" s="60">
        <f>IF(AND(tblFleet[[#This Row],[Units]]&lt;&gt;"",tblFleet[[#This Row],[Calendar_h]]&gt;0),tblFleet[[#This Row],[Available_h]]/tblFleet[[#This Row],[Calendar_h]],"")</f>
        <v/>
      </c>
      <c r="J948" s="60">
        <f>IF(AND(tblFleet[[#This Row],[Units]]&lt;&gt;"",tblFleet[[#This Row],[Available_h]]&gt;0),tblFleet[[#This Row],[Operating_h]]/tblFleet[[#This Row],[Available_h]],"")</f>
        <v/>
      </c>
    </row>
    <row r="949">
      <c r="A949" s="54" t="n"/>
      <c r="B949" s="61" t="n"/>
      <c r="C949" s="62" t="n"/>
      <c r="D949" s="57" t="n"/>
      <c r="E949" s="57" t="n"/>
      <c r="F949" s="58" t="n"/>
      <c r="G949" s="66">
        <f>IF(tblFleet[[#This Row],[Units]]="","",tblFleet[[#This Row],[Units]]*cfg_HoursPerDay)</f>
        <v/>
      </c>
      <c r="H949" s="66">
        <f>IF(tblFleet[[#This Row],[Units]]="","",tblFleet[[#This Row],[Calendar_h]]-tblFleet[[#This Row],[Down_h]])</f>
        <v/>
      </c>
      <c r="I949" s="60">
        <f>IF(AND(tblFleet[[#This Row],[Units]]&lt;&gt;"",tblFleet[[#This Row],[Calendar_h]]&gt;0),tblFleet[[#This Row],[Available_h]]/tblFleet[[#This Row],[Calendar_h]],"")</f>
        <v/>
      </c>
      <c r="J949" s="60">
        <f>IF(AND(tblFleet[[#This Row],[Units]]&lt;&gt;"",tblFleet[[#This Row],[Available_h]]&gt;0),tblFleet[[#This Row],[Operating_h]]/tblFleet[[#This Row],[Available_h]],"")</f>
        <v/>
      </c>
    </row>
    <row r="950">
      <c r="A950" s="54" t="n"/>
      <c r="B950" s="61" t="n"/>
      <c r="C950" s="62" t="n"/>
      <c r="D950" s="57" t="n"/>
      <c r="E950" s="57" t="n"/>
      <c r="F950" s="58" t="n"/>
      <c r="G950" s="66">
        <f>IF(tblFleet[[#This Row],[Units]]="","",tblFleet[[#This Row],[Units]]*cfg_HoursPerDay)</f>
        <v/>
      </c>
      <c r="H950" s="66">
        <f>IF(tblFleet[[#This Row],[Units]]="","",tblFleet[[#This Row],[Calendar_h]]-tblFleet[[#This Row],[Down_h]])</f>
        <v/>
      </c>
      <c r="I950" s="60">
        <f>IF(AND(tblFleet[[#This Row],[Units]]&lt;&gt;"",tblFleet[[#This Row],[Calendar_h]]&gt;0),tblFleet[[#This Row],[Available_h]]/tblFleet[[#This Row],[Calendar_h]],"")</f>
        <v/>
      </c>
      <c r="J950" s="60">
        <f>IF(AND(tblFleet[[#This Row],[Units]]&lt;&gt;"",tblFleet[[#This Row],[Available_h]]&gt;0),tblFleet[[#This Row],[Operating_h]]/tblFleet[[#This Row],[Available_h]],"")</f>
        <v/>
      </c>
    </row>
    <row r="951">
      <c r="A951" s="54" t="n"/>
      <c r="B951" s="61" t="n"/>
      <c r="C951" s="62" t="n"/>
      <c r="D951" s="57" t="n"/>
      <c r="E951" s="57" t="n"/>
      <c r="F951" s="58" t="n"/>
      <c r="G951" s="66">
        <f>IF(tblFleet[[#This Row],[Units]]="","",tblFleet[[#This Row],[Units]]*cfg_HoursPerDay)</f>
        <v/>
      </c>
      <c r="H951" s="66">
        <f>IF(tblFleet[[#This Row],[Units]]="","",tblFleet[[#This Row],[Calendar_h]]-tblFleet[[#This Row],[Down_h]])</f>
        <v/>
      </c>
      <c r="I951" s="60">
        <f>IF(AND(tblFleet[[#This Row],[Units]]&lt;&gt;"",tblFleet[[#This Row],[Calendar_h]]&gt;0),tblFleet[[#This Row],[Available_h]]/tblFleet[[#This Row],[Calendar_h]],"")</f>
        <v/>
      </c>
      <c r="J951" s="60">
        <f>IF(AND(tblFleet[[#This Row],[Units]]&lt;&gt;"",tblFleet[[#This Row],[Available_h]]&gt;0),tblFleet[[#This Row],[Operating_h]]/tblFleet[[#This Row],[Available_h]],"")</f>
        <v/>
      </c>
    </row>
    <row r="952">
      <c r="A952" s="54" t="n"/>
      <c r="B952" s="61" t="n"/>
      <c r="C952" s="62" t="n"/>
      <c r="D952" s="57" t="n"/>
      <c r="E952" s="57" t="n"/>
      <c r="F952" s="58" t="n"/>
      <c r="G952" s="66">
        <f>IF(tblFleet[[#This Row],[Units]]="","",tblFleet[[#This Row],[Units]]*cfg_HoursPerDay)</f>
        <v/>
      </c>
      <c r="H952" s="66">
        <f>IF(tblFleet[[#This Row],[Units]]="","",tblFleet[[#This Row],[Calendar_h]]-tblFleet[[#This Row],[Down_h]])</f>
        <v/>
      </c>
      <c r="I952" s="60">
        <f>IF(AND(tblFleet[[#This Row],[Units]]&lt;&gt;"",tblFleet[[#This Row],[Calendar_h]]&gt;0),tblFleet[[#This Row],[Available_h]]/tblFleet[[#This Row],[Calendar_h]],"")</f>
        <v/>
      </c>
      <c r="J952" s="60">
        <f>IF(AND(tblFleet[[#This Row],[Units]]&lt;&gt;"",tblFleet[[#This Row],[Available_h]]&gt;0),tblFleet[[#This Row],[Operating_h]]/tblFleet[[#This Row],[Available_h]],"")</f>
        <v/>
      </c>
    </row>
    <row r="953">
      <c r="A953" s="54" t="n"/>
      <c r="B953" s="61" t="n"/>
      <c r="C953" s="62" t="n"/>
      <c r="D953" s="57" t="n"/>
      <c r="E953" s="57" t="n"/>
      <c r="F953" s="58" t="n"/>
      <c r="G953" s="66">
        <f>IF(tblFleet[[#This Row],[Units]]="","",tblFleet[[#This Row],[Units]]*cfg_HoursPerDay)</f>
        <v/>
      </c>
      <c r="H953" s="66">
        <f>IF(tblFleet[[#This Row],[Units]]="","",tblFleet[[#This Row],[Calendar_h]]-tblFleet[[#This Row],[Down_h]])</f>
        <v/>
      </c>
      <c r="I953" s="60">
        <f>IF(AND(tblFleet[[#This Row],[Units]]&lt;&gt;"",tblFleet[[#This Row],[Calendar_h]]&gt;0),tblFleet[[#This Row],[Available_h]]/tblFleet[[#This Row],[Calendar_h]],"")</f>
        <v/>
      </c>
      <c r="J953" s="60">
        <f>IF(AND(tblFleet[[#This Row],[Units]]&lt;&gt;"",tblFleet[[#This Row],[Available_h]]&gt;0),tblFleet[[#This Row],[Operating_h]]/tblFleet[[#This Row],[Available_h]],"")</f>
        <v/>
      </c>
    </row>
    <row r="954">
      <c r="A954" s="54" t="n"/>
      <c r="B954" s="61" t="n"/>
      <c r="C954" s="62" t="n"/>
      <c r="D954" s="57" t="n"/>
      <c r="E954" s="57" t="n"/>
      <c r="F954" s="58" t="n"/>
      <c r="G954" s="66">
        <f>IF(tblFleet[[#This Row],[Units]]="","",tblFleet[[#This Row],[Units]]*cfg_HoursPerDay)</f>
        <v/>
      </c>
      <c r="H954" s="66">
        <f>IF(tblFleet[[#This Row],[Units]]="","",tblFleet[[#This Row],[Calendar_h]]-tblFleet[[#This Row],[Down_h]])</f>
        <v/>
      </c>
      <c r="I954" s="60">
        <f>IF(AND(tblFleet[[#This Row],[Units]]&lt;&gt;"",tblFleet[[#This Row],[Calendar_h]]&gt;0),tblFleet[[#This Row],[Available_h]]/tblFleet[[#This Row],[Calendar_h]],"")</f>
        <v/>
      </c>
      <c r="J954" s="60">
        <f>IF(AND(tblFleet[[#This Row],[Units]]&lt;&gt;"",tblFleet[[#This Row],[Available_h]]&gt;0),tblFleet[[#This Row],[Operating_h]]/tblFleet[[#This Row],[Available_h]],"")</f>
        <v/>
      </c>
    </row>
    <row r="955">
      <c r="A955" s="54" t="n"/>
      <c r="B955" s="61" t="n"/>
      <c r="C955" s="62" t="n"/>
      <c r="D955" s="57" t="n"/>
      <c r="E955" s="57" t="n"/>
      <c r="F955" s="58" t="n"/>
      <c r="G955" s="66">
        <f>IF(tblFleet[[#This Row],[Units]]="","",tblFleet[[#This Row],[Units]]*cfg_HoursPerDay)</f>
        <v/>
      </c>
      <c r="H955" s="66">
        <f>IF(tblFleet[[#This Row],[Units]]="","",tblFleet[[#This Row],[Calendar_h]]-tblFleet[[#This Row],[Down_h]])</f>
        <v/>
      </c>
      <c r="I955" s="60">
        <f>IF(AND(tblFleet[[#This Row],[Units]]&lt;&gt;"",tblFleet[[#This Row],[Calendar_h]]&gt;0),tblFleet[[#This Row],[Available_h]]/tblFleet[[#This Row],[Calendar_h]],"")</f>
        <v/>
      </c>
      <c r="J955" s="60">
        <f>IF(AND(tblFleet[[#This Row],[Units]]&lt;&gt;"",tblFleet[[#This Row],[Available_h]]&gt;0),tblFleet[[#This Row],[Operating_h]]/tblFleet[[#This Row],[Available_h]],"")</f>
        <v/>
      </c>
    </row>
    <row r="956">
      <c r="A956" s="54" t="n"/>
      <c r="B956" s="61" t="n"/>
      <c r="C956" s="62" t="n"/>
      <c r="D956" s="57" t="n"/>
      <c r="E956" s="57" t="n"/>
      <c r="F956" s="58" t="n"/>
      <c r="G956" s="66">
        <f>IF(tblFleet[[#This Row],[Units]]="","",tblFleet[[#This Row],[Units]]*cfg_HoursPerDay)</f>
        <v/>
      </c>
      <c r="H956" s="66">
        <f>IF(tblFleet[[#This Row],[Units]]="","",tblFleet[[#This Row],[Calendar_h]]-tblFleet[[#This Row],[Down_h]])</f>
        <v/>
      </c>
      <c r="I956" s="60">
        <f>IF(AND(tblFleet[[#This Row],[Units]]&lt;&gt;"",tblFleet[[#This Row],[Calendar_h]]&gt;0),tblFleet[[#This Row],[Available_h]]/tblFleet[[#This Row],[Calendar_h]],"")</f>
        <v/>
      </c>
      <c r="J956" s="60">
        <f>IF(AND(tblFleet[[#This Row],[Units]]&lt;&gt;"",tblFleet[[#This Row],[Available_h]]&gt;0),tblFleet[[#This Row],[Operating_h]]/tblFleet[[#This Row],[Available_h]],"")</f>
        <v/>
      </c>
    </row>
    <row r="957">
      <c r="A957" s="54" t="n"/>
      <c r="B957" s="61" t="n"/>
      <c r="C957" s="62" t="n"/>
      <c r="D957" s="57" t="n"/>
      <c r="E957" s="57" t="n"/>
      <c r="F957" s="58" t="n"/>
      <c r="G957" s="66">
        <f>IF(tblFleet[[#This Row],[Units]]="","",tblFleet[[#This Row],[Units]]*cfg_HoursPerDay)</f>
        <v/>
      </c>
      <c r="H957" s="66">
        <f>IF(tblFleet[[#This Row],[Units]]="","",tblFleet[[#This Row],[Calendar_h]]-tblFleet[[#This Row],[Down_h]])</f>
        <v/>
      </c>
      <c r="I957" s="60">
        <f>IF(AND(tblFleet[[#This Row],[Units]]&lt;&gt;"",tblFleet[[#This Row],[Calendar_h]]&gt;0),tblFleet[[#This Row],[Available_h]]/tblFleet[[#This Row],[Calendar_h]],"")</f>
        <v/>
      </c>
      <c r="J957" s="60">
        <f>IF(AND(tblFleet[[#This Row],[Units]]&lt;&gt;"",tblFleet[[#This Row],[Available_h]]&gt;0),tblFleet[[#This Row],[Operating_h]]/tblFleet[[#This Row],[Available_h]],"")</f>
        <v/>
      </c>
    </row>
    <row r="958">
      <c r="A958" s="54" t="n"/>
      <c r="B958" s="61" t="n"/>
      <c r="C958" s="62" t="n"/>
      <c r="D958" s="57" t="n"/>
      <c r="E958" s="57" t="n"/>
      <c r="F958" s="58" t="n"/>
      <c r="G958" s="66">
        <f>IF(tblFleet[[#This Row],[Units]]="","",tblFleet[[#This Row],[Units]]*cfg_HoursPerDay)</f>
        <v/>
      </c>
      <c r="H958" s="66">
        <f>IF(tblFleet[[#This Row],[Units]]="","",tblFleet[[#This Row],[Calendar_h]]-tblFleet[[#This Row],[Down_h]])</f>
        <v/>
      </c>
      <c r="I958" s="60">
        <f>IF(AND(tblFleet[[#This Row],[Units]]&lt;&gt;"",tblFleet[[#This Row],[Calendar_h]]&gt;0),tblFleet[[#This Row],[Available_h]]/tblFleet[[#This Row],[Calendar_h]],"")</f>
        <v/>
      </c>
      <c r="J958" s="60">
        <f>IF(AND(tblFleet[[#This Row],[Units]]&lt;&gt;"",tblFleet[[#This Row],[Available_h]]&gt;0),tblFleet[[#This Row],[Operating_h]]/tblFleet[[#This Row],[Available_h]],"")</f>
        <v/>
      </c>
    </row>
    <row r="959">
      <c r="A959" s="54" t="n"/>
      <c r="B959" s="61" t="n"/>
      <c r="C959" s="62" t="n"/>
      <c r="D959" s="57" t="n"/>
      <c r="E959" s="57" t="n"/>
      <c r="F959" s="58" t="n"/>
      <c r="G959" s="66">
        <f>IF(tblFleet[[#This Row],[Units]]="","",tblFleet[[#This Row],[Units]]*cfg_HoursPerDay)</f>
        <v/>
      </c>
      <c r="H959" s="66">
        <f>IF(tblFleet[[#This Row],[Units]]="","",tblFleet[[#This Row],[Calendar_h]]-tblFleet[[#This Row],[Down_h]])</f>
        <v/>
      </c>
      <c r="I959" s="60">
        <f>IF(AND(tblFleet[[#This Row],[Units]]&lt;&gt;"",tblFleet[[#This Row],[Calendar_h]]&gt;0),tblFleet[[#This Row],[Available_h]]/tblFleet[[#This Row],[Calendar_h]],"")</f>
        <v/>
      </c>
      <c r="J959" s="60">
        <f>IF(AND(tblFleet[[#This Row],[Units]]&lt;&gt;"",tblFleet[[#This Row],[Available_h]]&gt;0),tblFleet[[#This Row],[Operating_h]]/tblFleet[[#This Row],[Available_h]],"")</f>
        <v/>
      </c>
    </row>
    <row r="960">
      <c r="A960" s="54" t="n"/>
      <c r="B960" s="61" t="n"/>
      <c r="C960" s="62" t="n"/>
      <c r="D960" s="57" t="n"/>
      <c r="E960" s="57" t="n"/>
      <c r="F960" s="58" t="n"/>
      <c r="G960" s="66">
        <f>IF(tblFleet[[#This Row],[Units]]="","",tblFleet[[#This Row],[Units]]*cfg_HoursPerDay)</f>
        <v/>
      </c>
      <c r="H960" s="66">
        <f>IF(tblFleet[[#This Row],[Units]]="","",tblFleet[[#This Row],[Calendar_h]]-tblFleet[[#This Row],[Down_h]])</f>
        <v/>
      </c>
      <c r="I960" s="60">
        <f>IF(AND(tblFleet[[#This Row],[Units]]&lt;&gt;"",tblFleet[[#This Row],[Calendar_h]]&gt;0),tblFleet[[#This Row],[Available_h]]/tblFleet[[#This Row],[Calendar_h]],"")</f>
        <v/>
      </c>
      <c r="J960" s="60">
        <f>IF(AND(tblFleet[[#This Row],[Units]]&lt;&gt;"",tblFleet[[#This Row],[Available_h]]&gt;0),tblFleet[[#This Row],[Operating_h]]/tblFleet[[#This Row],[Available_h]],"")</f>
        <v/>
      </c>
    </row>
    <row r="961">
      <c r="A961" s="54" t="n"/>
      <c r="B961" s="61" t="n"/>
      <c r="C961" s="62" t="n"/>
      <c r="D961" s="57" t="n"/>
      <c r="E961" s="57" t="n"/>
      <c r="F961" s="58" t="n"/>
      <c r="G961" s="66">
        <f>IF(tblFleet[[#This Row],[Units]]="","",tblFleet[[#This Row],[Units]]*cfg_HoursPerDay)</f>
        <v/>
      </c>
      <c r="H961" s="66">
        <f>IF(tblFleet[[#This Row],[Units]]="","",tblFleet[[#This Row],[Calendar_h]]-tblFleet[[#This Row],[Down_h]])</f>
        <v/>
      </c>
      <c r="I961" s="60">
        <f>IF(AND(tblFleet[[#This Row],[Units]]&lt;&gt;"",tblFleet[[#This Row],[Calendar_h]]&gt;0),tblFleet[[#This Row],[Available_h]]/tblFleet[[#This Row],[Calendar_h]],"")</f>
        <v/>
      </c>
      <c r="J961" s="60">
        <f>IF(AND(tblFleet[[#This Row],[Units]]&lt;&gt;"",tblFleet[[#This Row],[Available_h]]&gt;0),tblFleet[[#This Row],[Operating_h]]/tblFleet[[#This Row],[Available_h]],"")</f>
        <v/>
      </c>
    </row>
    <row r="962">
      <c r="A962" s="54" t="n"/>
      <c r="B962" s="61" t="n"/>
      <c r="C962" s="62" t="n"/>
      <c r="D962" s="57" t="n"/>
      <c r="E962" s="57" t="n"/>
      <c r="F962" s="58" t="n"/>
      <c r="G962" s="66">
        <f>IF(tblFleet[[#This Row],[Units]]="","",tblFleet[[#This Row],[Units]]*cfg_HoursPerDay)</f>
        <v/>
      </c>
      <c r="H962" s="66">
        <f>IF(tblFleet[[#This Row],[Units]]="","",tblFleet[[#This Row],[Calendar_h]]-tblFleet[[#This Row],[Down_h]])</f>
        <v/>
      </c>
      <c r="I962" s="60">
        <f>IF(AND(tblFleet[[#This Row],[Units]]&lt;&gt;"",tblFleet[[#This Row],[Calendar_h]]&gt;0),tblFleet[[#This Row],[Available_h]]/tblFleet[[#This Row],[Calendar_h]],"")</f>
        <v/>
      </c>
      <c r="J962" s="60">
        <f>IF(AND(tblFleet[[#This Row],[Units]]&lt;&gt;"",tblFleet[[#This Row],[Available_h]]&gt;0),tblFleet[[#This Row],[Operating_h]]/tblFleet[[#This Row],[Available_h]],"")</f>
        <v/>
      </c>
    </row>
    <row r="963">
      <c r="A963" s="54" t="n"/>
      <c r="B963" s="61" t="n"/>
      <c r="C963" s="62" t="n"/>
      <c r="D963" s="57" t="n"/>
      <c r="E963" s="57" t="n"/>
      <c r="F963" s="58" t="n"/>
      <c r="G963" s="66">
        <f>IF(tblFleet[[#This Row],[Units]]="","",tblFleet[[#This Row],[Units]]*cfg_HoursPerDay)</f>
        <v/>
      </c>
      <c r="H963" s="66">
        <f>IF(tblFleet[[#This Row],[Units]]="","",tblFleet[[#This Row],[Calendar_h]]-tblFleet[[#This Row],[Down_h]])</f>
        <v/>
      </c>
      <c r="I963" s="60">
        <f>IF(AND(tblFleet[[#This Row],[Units]]&lt;&gt;"",tblFleet[[#This Row],[Calendar_h]]&gt;0),tblFleet[[#This Row],[Available_h]]/tblFleet[[#This Row],[Calendar_h]],"")</f>
        <v/>
      </c>
      <c r="J963" s="60">
        <f>IF(AND(tblFleet[[#This Row],[Units]]&lt;&gt;"",tblFleet[[#This Row],[Available_h]]&gt;0),tblFleet[[#This Row],[Operating_h]]/tblFleet[[#This Row],[Available_h]],"")</f>
        <v/>
      </c>
    </row>
    <row r="964">
      <c r="A964" s="54" t="n"/>
      <c r="B964" s="61" t="n"/>
      <c r="C964" s="62" t="n"/>
      <c r="D964" s="57" t="n"/>
      <c r="E964" s="57" t="n"/>
      <c r="F964" s="58" t="n"/>
      <c r="G964" s="66">
        <f>IF(tblFleet[[#This Row],[Units]]="","",tblFleet[[#This Row],[Units]]*cfg_HoursPerDay)</f>
        <v/>
      </c>
      <c r="H964" s="66">
        <f>IF(tblFleet[[#This Row],[Units]]="","",tblFleet[[#This Row],[Calendar_h]]-tblFleet[[#This Row],[Down_h]])</f>
        <v/>
      </c>
      <c r="I964" s="60">
        <f>IF(AND(tblFleet[[#This Row],[Units]]&lt;&gt;"",tblFleet[[#This Row],[Calendar_h]]&gt;0),tblFleet[[#This Row],[Available_h]]/tblFleet[[#This Row],[Calendar_h]],"")</f>
        <v/>
      </c>
      <c r="J964" s="60">
        <f>IF(AND(tblFleet[[#This Row],[Units]]&lt;&gt;"",tblFleet[[#This Row],[Available_h]]&gt;0),tblFleet[[#This Row],[Operating_h]]/tblFleet[[#This Row],[Available_h]],"")</f>
        <v/>
      </c>
    </row>
    <row r="965">
      <c r="A965" s="54" t="n"/>
      <c r="B965" s="61" t="n"/>
      <c r="C965" s="62" t="n"/>
      <c r="D965" s="57" t="n"/>
      <c r="E965" s="57" t="n"/>
      <c r="F965" s="58" t="n"/>
      <c r="G965" s="66">
        <f>IF(tblFleet[[#This Row],[Units]]="","",tblFleet[[#This Row],[Units]]*cfg_HoursPerDay)</f>
        <v/>
      </c>
      <c r="H965" s="66">
        <f>IF(tblFleet[[#This Row],[Units]]="","",tblFleet[[#This Row],[Calendar_h]]-tblFleet[[#This Row],[Down_h]])</f>
        <v/>
      </c>
      <c r="I965" s="60">
        <f>IF(AND(tblFleet[[#This Row],[Units]]&lt;&gt;"",tblFleet[[#This Row],[Calendar_h]]&gt;0),tblFleet[[#This Row],[Available_h]]/tblFleet[[#This Row],[Calendar_h]],"")</f>
        <v/>
      </c>
      <c r="J965" s="60">
        <f>IF(AND(tblFleet[[#This Row],[Units]]&lt;&gt;"",tblFleet[[#This Row],[Available_h]]&gt;0),tblFleet[[#This Row],[Operating_h]]/tblFleet[[#This Row],[Available_h]],"")</f>
        <v/>
      </c>
    </row>
    <row r="966">
      <c r="A966" s="54" t="n"/>
      <c r="B966" s="61" t="n"/>
      <c r="C966" s="62" t="n"/>
      <c r="D966" s="57" t="n"/>
      <c r="E966" s="57" t="n"/>
      <c r="F966" s="58" t="n"/>
      <c r="G966" s="66">
        <f>IF(tblFleet[[#This Row],[Units]]="","",tblFleet[[#This Row],[Units]]*cfg_HoursPerDay)</f>
        <v/>
      </c>
      <c r="H966" s="66">
        <f>IF(tblFleet[[#This Row],[Units]]="","",tblFleet[[#This Row],[Calendar_h]]-tblFleet[[#This Row],[Down_h]])</f>
        <v/>
      </c>
      <c r="I966" s="60">
        <f>IF(AND(tblFleet[[#This Row],[Units]]&lt;&gt;"",tblFleet[[#This Row],[Calendar_h]]&gt;0),tblFleet[[#This Row],[Available_h]]/tblFleet[[#This Row],[Calendar_h]],"")</f>
        <v/>
      </c>
      <c r="J966" s="60">
        <f>IF(AND(tblFleet[[#This Row],[Units]]&lt;&gt;"",tblFleet[[#This Row],[Available_h]]&gt;0),tblFleet[[#This Row],[Operating_h]]/tblFleet[[#This Row],[Available_h]],"")</f>
        <v/>
      </c>
    </row>
    <row r="967">
      <c r="A967" s="54" t="n"/>
      <c r="B967" s="61" t="n"/>
      <c r="C967" s="62" t="n"/>
      <c r="D967" s="57" t="n"/>
      <c r="E967" s="57" t="n"/>
      <c r="F967" s="58" t="n"/>
      <c r="G967" s="66">
        <f>IF(tblFleet[[#This Row],[Units]]="","",tblFleet[[#This Row],[Units]]*cfg_HoursPerDay)</f>
        <v/>
      </c>
      <c r="H967" s="66">
        <f>IF(tblFleet[[#This Row],[Units]]="","",tblFleet[[#This Row],[Calendar_h]]-tblFleet[[#This Row],[Down_h]])</f>
        <v/>
      </c>
      <c r="I967" s="60">
        <f>IF(AND(tblFleet[[#This Row],[Units]]&lt;&gt;"",tblFleet[[#This Row],[Calendar_h]]&gt;0),tblFleet[[#This Row],[Available_h]]/tblFleet[[#This Row],[Calendar_h]],"")</f>
        <v/>
      </c>
      <c r="J967" s="60">
        <f>IF(AND(tblFleet[[#This Row],[Units]]&lt;&gt;"",tblFleet[[#This Row],[Available_h]]&gt;0),tblFleet[[#This Row],[Operating_h]]/tblFleet[[#This Row],[Available_h]],"")</f>
        <v/>
      </c>
    </row>
    <row r="968">
      <c r="A968" s="54" t="n"/>
      <c r="B968" s="61" t="n"/>
      <c r="C968" s="62" t="n"/>
      <c r="D968" s="57" t="n"/>
      <c r="E968" s="57" t="n"/>
      <c r="F968" s="58" t="n"/>
      <c r="G968" s="66">
        <f>IF(tblFleet[[#This Row],[Units]]="","",tblFleet[[#This Row],[Units]]*cfg_HoursPerDay)</f>
        <v/>
      </c>
      <c r="H968" s="66">
        <f>IF(tblFleet[[#This Row],[Units]]="","",tblFleet[[#This Row],[Calendar_h]]-tblFleet[[#This Row],[Down_h]])</f>
        <v/>
      </c>
      <c r="I968" s="60">
        <f>IF(AND(tblFleet[[#This Row],[Units]]&lt;&gt;"",tblFleet[[#This Row],[Calendar_h]]&gt;0),tblFleet[[#This Row],[Available_h]]/tblFleet[[#This Row],[Calendar_h]],"")</f>
        <v/>
      </c>
      <c r="J968" s="60">
        <f>IF(AND(tblFleet[[#This Row],[Units]]&lt;&gt;"",tblFleet[[#This Row],[Available_h]]&gt;0),tblFleet[[#This Row],[Operating_h]]/tblFleet[[#This Row],[Available_h]],"")</f>
        <v/>
      </c>
    </row>
    <row r="969">
      <c r="A969" s="54" t="n"/>
      <c r="B969" s="61" t="n"/>
      <c r="C969" s="62" t="n"/>
      <c r="D969" s="57" t="n"/>
      <c r="E969" s="57" t="n"/>
      <c r="F969" s="58" t="n"/>
      <c r="G969" s="66">
        <f>IF(tblFleet[[#This Row],[Units]]="","",tblFleet[[#This Row],[Units]]*cfg_HoursPerDay)</f>
        <v/>
      </c>
      <c r="H969" s="66">
        <f>IF(tblFleet[[#This Row],[Units]]="","",tblFleet[[#This Row],[Calendar_h]]-tblFleet[[#This Row],[Down_h]])</f>
        <v/>
      </c>
      <c r="I969" s="60">
        <f>IF(AND(tblFleet[[#This Row],[Units]]&lt;&gt;"",tblFleet[[#This Row],[Calendar_h]]&gt;0),tblFleet[[#This Row],[Available_h]]/tblFleet[[#This Row],[Calendar_h]],"")</f>
        <v/>
      </c>
      <c r="J969" s="60">
        <f>IF(AND(tblFleet[[#This Row],[Units]]&lt;&gt;"",tblFleet[[#This Row],[Available_h]]&gt;0),tblFleet[[#This Row],[Operating_h]]/tblFleet[[#This Row],[Available_h]],"")</f>
        <v/>
      </c>
    </row>
    <row r="970">
      <c r="A970" s="54" t="n"/>
      <c r="B970" s="61" t="n"/>
      <c r="C970" s="62" t="n"/>
      <c r="D970" s="57" t="n"/>
      <c r="E970" s="57" t="n"/>
      <c r="F970" s="58" t="n"/>
      <c r="G970" s="66">
        <f>IF(tblFleet[[#This Row],[Units]]="","",tblFleet[[#This Row],[Units]]*cfg_HoursPerDay)</f>
        <v/>
      </c>
      <c r="H970" s="66">
        <f>IF(tblFleet[[#This Row],[Units]]="","",tblFleet[[#This Row],[Calendar_h]]-tblFleet[[#This Row],[Down_h]])</f>
        <v/>
      </c>
      <c r="I970" s="60">
        <f>IF(AND(tblFleet[[#This Row],[Units]]&lt;&gt;"",tblFleet[[#This Row],[Calendar_h]]&gt;0),tblFleet[[#This Row],[Available_h]]/tblFleet[[#This Row],[Calendar_h]],"")</f>
        <v/>
      </c>
      <c r="J970" s="60">
        <f>IF(AND(tblFleet[[#This Row],[Units]]&lt;&gt;"",tblFleet[[#This Row],[Available_h]]&gt;0),tblFleet[[#This Row],[Operating_h]]/tblFleet[[#This Row],[Available_h]],"")</f>
        <v/>
      </c>
    </row>
    <row r="971">
      <c r="A971" s="54" t="n"/>
      <c r="B971" s="61" t="n"/>
      <c r="C971" s="62" t="n"/>
      <c r="D971" s="57" t="n"/>
      <c r="E971" s="57" t="n"/>
      <c r="F971" s="58" t="n"/>
      <c r="G971" s="66">
        <f>IF(tblFleet[[#This Row],[Units]]="","",tblFleet[[#This Row],[Units]]*cfg_HoursPerDay)</f>
        <v/>
      </c>
      <c r="H971" s="66">
        <f>IF(tblFleet[[#This Row],[Units]]="","",tblFleet[[#This Row],[Calendar_h]]-tblFleet[[#This Row],[Down_h]])</f>
        <v/>
      </c>
      <c r="I971" s="60">
        <f>IF(AND(tblFleet[[#This Row],[Units]]&lt;&gt;"",tblFleet[[#This Row],[Calendar_h]]&gt;0),tblFleet[[#This Row],[Available_h]]/tblFleet[[#This Row],[Calendar_h]],"")</f>
        <v/>
      </c>
      <c r="J971" s="60">
        <f>IF(AND(tblFleet[[#This Row],[Units]]&lt;&gt;"",tblFleet[[#This Row],[Available_h]]&gt;0),tblFleet[[#This Row],[Operating_h]]/tblFleet[[#This Row],[Available_h]],"")</f>
        <v/>
      </c>
    </row>
    <row r="972">
      <c r="A972" s="54" t="n"/>
      <c r="B972" s="61" t="n"/>
      <c r="C972" s="62" t="n"/>
      <c r="D972" s="57" t="n"/>
      <c r="E972" s="57" t="n"/>
      <c r="F972" s="58" t="n"/>
      <c r="G972" s="66">
        <f>IF(tblFleet[[#This Row],[Units]]="","",tblFleet[[#This Row],[Units]]*cfg_HoursPerDay)</f>
        <v/>
      </c>
      <c r="H972" s="66">
        <f>IF(tblFleet[[#This Row],[Units]]="","",tblFleet[[#This Row],[Calendar_h]]-tblFleet[[#This Row],[Down_h]])</f>
        <v/>
      </c>
      <c r="I972" s="60">
        <f>IF(AND(tblFleet[[#This Row],[Units]]&lt;&gt;"",tblFleet[[#This Row],[Calendar_h]]&gt;0),tblFleet[[#This Row],[Available_h]]/tblFleet[[#This Row],[Calendar_h]],"")</f>
        <v/>
      </c>
      <c r="J972" s="60">
        <f>IF(AND(tblFleet[[#This Row],[Units]]&lt;&gt;"",tblFleet[[#This Row],[Available_h]]&gt;0),tblFleet[[#This Row],[Operating_h]]/tblFleet[[#This Row],[Available_h]],"")</f>
        <v/>
      </c>
    </row>
    <row r="973">
      <c r="A973" s="54" t="n"/>
      <c r="B973" s="61" t="n"/>
      <c r="C973" s="62" t="n"/>
      <c r="D973" s="57" t="n"/>
      <c r="E973" s="57" t="n"/>
      <c r="F973" s="58" t="n"/>
      <c r="G973" s="66">
        <f>IF(tblFleet[[#This Row],[Units]]="","",tblFleet[[#This Row],[Units]]*cfg_HoursPerDay)</f>
        <v/>
      </c>
      <c r="H973" s="66">
        <f>IF(tblFleet[[#This Row],[Units]]="","",tblFleet[[#This Row],[Calendar_h]]-tblFleet[[#This Row],[Down_h]])</f>
        <v/>
      </c>
      <c r="I973" s="60">
        <f>IF(AND(tblFleet[[#This Row],[Units]]&lt;&gt;"",tblFleet[[#This Row],[Calendar_h]]&gt;0),tblFleet[[#This Row],[Available_h]]/tblFleet[[#This Row],[Calendar_h]],"")</f>
        <v/>
      </c>
      <c r="J973" s="60">
        <f>IF(AND(tblFleet[[#This Row],[Units]]&lt;&gt;"",tblFleet[[#This Row],[Available_h]]&gt;0),tblFleet[[#This Row],[Operating_h]]/tblFleet[[#This Row],[Available_h]],"")</f>
        <v/>
      </c>
    </row>
    <row r="974">
      <c r="A974" s="54" t="n"/>
      <c r="B974" s="61" t="n"/>
      <c r="C974" s="62" t="n"/>
      <c r="D974" s="57" t="n"/>
      <c r="E974" s="57" t="n"/>
      <c r="F974" s="58" t="n"/>
      <c r="G974" s="66">
        <f>IF(tblFleet[[#This Row],[Units]]="","",tblFleet[[#This Row],[Units]]*cfg_HoursPerDay)</f>
        <v/>
      </c>
      <c r="H974" s="66">
        <f>IF(tblFleet[[#This Row],[Units]]="","",tblFleet[[#This Row],[Calendar_h]]-tblFleet[[#This Row],[Down_h]])</f>
        <v/>
      </c>
      <c r="I974" s="60">
        <f>IF(AND(tblFleet[[#This Row],[Units]]&lt;&gt;"",tblFleet[[#This Row],[Calendar_h]]&gt;0),tblFleet[[#This Row],[Available_h]]/tblFleet[[#This Row],[Calendar_h]],"")</f>
        <v/>
      </c>
      <c r="J974" s="60">
        <f>IF(AND(tblFleet[[#This Row],[Units]]&lt;&gt;"",tblFleet[[#This Row],[Available_h]]&gt;0),tblFleet[[#This Row],[Operating_h]]/tblFleet[[#This Row],[Available_h]],"")</f>
        <v/>
      </c>
    </row>
    <row r="975">
      <c r="A975" s="54" t="n"/>
      <c r="B975" s="61" t="n"/>
      <c r="C975" s="62" t="n"/>
      <c r="D975" s="57" t="n"/>
      <c r="E975" s="57" t="n"/>
      <c r="F975" s="58" t="n"/>
      <c r="G975" s="66">
        <f>IF(tblFleet[[#This Row],[Units]]="","",tblFleet[[#This Row],[Units]]*cfg_HoursPerDay)</f>
        <v/>
      </c>
      <c r="H975" s="66">
        <f>IF(tblFleet[[#This Row],[Units]]="","",tblFleet[[#This Row],[Calendar_h]]-tblFleet[[#This Row],[Down_h]])</f>
        <v/>
      </c>
      <c r="I975" s="60">
        <f>IF(AND(tblFleet[[#This Row],[Units]]&lt;&gt;"",tblFleet[[#This Row],[Calendar_h]]&gt;0),tblFleet[[#This Row],[Available_h]]/tblFleet[[#This Row],[Calendar_h]],"")</f>
        <v/>
      </c>
      <c r="J975" s="60">
        <f>IF(AND(tblFleet[[#This Row],[Units]]&lt;&gt;"",tblFleet[[#This Row],[Available_h]]&gt;0),tblFleet[[#This Row],[Operating_h]]/tblFleet[[#This Row],[Available_h]],"")</f>
        <v/>
      </c>
    </row>
    <row r="976">
      <c r="A976" s="54" t="n"/>
      <c r="B976" s="61" t="n"/>
      <c r="C976" s="62" t="n"/>
      <c r="D976" s="57" t="n"/>
      <c r="E976" s="57" t="n"/>
      <c r="F976" s="58" t="n"/>
      <c r="G976" s="66">
        <f>IF(tblFleet[[#This Row],[Units]]="","",tblFleet[[#This Row],[Units]]*cfg_HoursPerDay)</f>
        <v/>
      </c>
      <c r="H976" s="66">
        <f>IF(tblFleet[[#This Row],[Units]]="","",tblFleet[[#This Row],[Calendar_h]]-tblFleet[[#This Row],[Down_h]])</f>
        <v/>
      </c>
      <c r="I976" s="60">
        <f>IF(AND(tblFleet[[#This Row],[Units]]&lt;&gt;"",tblFleet[[#This Row],[Calendar_h]]&gt;0),tblFleet[[#This Row],[Available_h]]/tblFleet[[#This Row],[Calendar_h]],"")</f>
        <v/>
      </c>
      <c r="J976" s="60">
        <f>IF(AND(tblFleet[[#This Row],[Units]]&lt;&gt;"",tblFleet[[#This Row],[Available_h]]&gt;0),tblFleet[[#This Row],[Operating_h]]/tblFleet[[#This Row],[Available_h]],"")</f>
        <v/>
      </c>
    </row>
    <row r="977">
      <c r="A977" s="54" t="n"/>
      <c r="B977" s="61" t="n"/>
      <c r="C977" s="62" t="n"/>
      <c r="D977" s="57" t="n"/>
      <c r="E977" s="57" t="n"/>
      <c r="F977" s="58" t="n"/>
      <c r="G977" s="66">
        <f>IF(tblFleet[[#This Row],[Units]]="","",tblFleet[[#This Row],[Units]]*cfg_HoursPerDay)</f>
        <v/>
      </c>
      <c r="H977" s="66">
        <f>IF(tblFleet[[#This Row],[Units]]="","",tblFleet[[#This Row],[Calendar_h]]-tblFleet[[#This Row],[Down_h]])</f>
        <v/>
      </c>
      <c r="I977" s="60">
        <f>IF(AND(tblFleet[[#This Row],[Units]]&lt;&gt;"",tblFleet[[#This Row],[Calendar_h]]&gt;0),tblFleet[[#This Row],[Available_h]]/tblFleet[[#This Row],[Calendar_h]],"")</f>
        <v/>
      </c>
      <c r="J977" s="60">
        <f>IF(AND(tblFleet[[#This Row],[Units]]&lt;&gt;"",tblFleet[[#This Row],[Available_h]]&gt;0),tblFleet[[#This Row],[Operating_h]]/tblFleet[[#This Row],[Available_h]],"")</f>
        <v/>
      </c>
    </row>
    <row r="978">
      <c r="A978" s="54" t="n"/>
      <c r="B978" s="61" t="n"/>
      <c r="C978" s="62" t="n"/>
      <c r="D978" s="57" t="n"/>
      <c r="E978" s="57" t="n"/>
      <c r="F978" s="58" t="n"/>
      <c r="G978" s="66">
        <f>IF(tblFleet[[#This Row],[Units]]="","",tblFleet[[#This Row],[Units]]*cfg_HoursPerDay)</f>
        <v/>
      </c>
      <c r="H978" s="66">
        <f>IF(tblFleet[[#This Row],[Units]]="","",tblFleet[[#This Row],[Calendar_h]]-tblFleet[[#This Row],[Down_h]])</f>
        <v/>
      </c>
      <c r="I978" s="60">
        <f>IF(AND(tblFleet[[#This Row],[Units]]&lt;&gt;"",tblFleet[[#This Row],[Calendar_h]]&gt;0),tblFleet[[#This Row],[Available_h]]/tblFleet[[#This Row],[Calendar_h]],"")</f>
        <v/>
      </c>
      <c r="J978" s="60">
        <f>IF(AND(tblFleet[[#This Row],[Units]]&lt;&gt;"",tblFleet[[#This Row],[Available_h]]&gt;0),tblFleet[[#This Row],[Operating_h]]/tblFleet[[#This Row],[Available_h]],"")</f>
        <v/>
      </c>
    </row>
    <row r="979">
      <c r="A979" s="54" t="n"/>
      <c r="B979" s="61" t="n"/>
      <c r="C979" s="62" t="n"/>
      <c r="D979" s="57" t="n"/>
      <c r="E979" s="57" t="n"/>
      <c r="F979" s="58" t="n"/>
      <c r="G979" s="66">
        <f>IF(tblFleet[[#This Row],[Units]]="","",tblFleet[[#This Row],[Units]]*cfg_HoursPerDay)</f>
        <v/>
      </c>
      <c r="H979" s="66">
        <f>IF(tblFleet[[#This Row],[Units]]="","",tblFleet[[#This Row],[Calendar_h]]-tblFleet[[#This Row],[Down_h]])</f>
        <v/>
      </c>
      <c r="I979" s="60">
        <f>IF(AND(tblFleet[[#This Row],[Units]]&lt;&gt;"",tblFleet[[#This Row],[Calendar_h]]&gt;0),tblFleet[[#This Row],[Available_h]]/tblFleet[[#This Row],[Calendar_h]],"")</f>
        <v/>
      </c>
      <c r="J979" s="60">
        <f>IF(AND(tblFleet[[#This Row],[Units]]&lt;&gt;"",tblFleet[[#This Row],[Available_h]]&gt;0),tblFleet[[#This Row],[Operating_h]]/tblFleet[[#This Row],[Available_h]],"")</f>
        <v/>
      </c>
    </row>
    <row r="980">
      <c r="A980" s="54" t="n"/>
      <c r="B980" s="61" t="n"/>
      <c r="C980" s="62" t="n"/>
      <c r="D980" s="57" t="n"/>
      <c r="E980" s="57" t="n"/>
      <c r="F980" s="58" t="n"/>
      <c r="G980" s="66">
        <f>IF(tblFleet[[#This Row],[Units]]="","",tblFleet[[#This Row],[Units]]*cfg_HoursPerDay)</f>
        <v/>
      </c>
      <c r="H980" s="66">
        <f>IF(tblFleet[[#This Row],[Units]]="","",tblFleet[[#This Row],[Calendar_h]]-tblFleet[[#This Row],[Down_h]])</f>
        <v/>
      </c>
      <c r="I980" s="60">
        <f>IF(AND(tblFleet[[#This Row],[Units]]&lt;&gt;"",tblFleet[[#This Row],[Calendar_h]]&gt;0),tblFleet[[#This Row],[Available_h]]/tblFleet[[#This Row],[Calendar_h]],"")</f>
        <v/>
      </c>
      <c r="J980" s="60">
        <f>IF(AND(tblFleet[[#This Row],[Units]]&lt;&gt;"",tblFleet[[#This Row],[Available_h]]&gt;0),tblFleet[[#This Row],[Operating_h]]/tblFleet[[#This Row],[Available_h]],"")</f>
        <v/>
      </c>
    </row>
    <row r="981">
      <c r="A981" s="54" t="n"/>
      <c r="B981" s="61" t="n"/>
      <c r="C981" s="62" t="n"/>
      <c r="D981" s="57" t="n"/>
      <c r="E981" s="57" t="n"/>
      <c r="F981" s="58" t="n"/>
      <c r="G981" s="66">
        <f>IF(tblFleet[[#This Row],[Units]]="","",tblFleet[[#This Row],[Units]]*cfg_HoursPerDay)</f>
        <v/>
      </c>
      <c r="H981" s="66">
        <f>IF(tblFleet[[#This Row],[Units]]="","",tblFleet[[#This Row],[Calendar_h]]-tblFleet[[#This Row],[Down_h]])</f>
        <v/>
      </c>
      <c r="I981" s="60">
        <f>IF(AND(tblFleet[[#This Row],[Units]]&lt;&gt;"",tblFleet[[#This Row],[Calendar_h]]&gt;0),tblFleet[[#This Row],[Available_h]]/tblFleet[[#This Row],[Calendar_h]],"")</f>
        <v/>
      </c>
      <c r="J981" s="60">
        <f>IF(AND(tblFleet[[#This Row],[Units]]&lt;&gt;"",tblFleet[[#This Row],[Available_h]]&gt;0),tblFleet[[#This Row],[Operating_h]]/tblFleet[[#This Row],[Available_h]],"")</f>
        <v/>
      </c>
    </row>
    <row r="982">
      <c r="A982" s="54" t="n"/>
      <c r="B982" s="61" t="n"/>
      <c r="C982" s="62" t="n"/>
      <c r="D982" s="57" t="n"/>
      <c r="E982" s="57" t="n"/>
      <c r="F982" s="58" t="n"/>
      <c r="G982" s="66">
        <f>IF(tblFleet[[#This Row],[Units]]="","",tblFleet[[#This Row],[Units]]*cfg_HoursPerDay)</f>
        <v/>
      </c>
      <c r="H982" s="66">
        <f>IF(tblFleet[[#This Row],[Units]]="","",tblFleet[[#This Row],[Calendar_h]]-tblFleet[[#This Row],[Down_h]])</f>
        <v/>
      </c>
      <c r="I982" s="60">
        <f>IF(AND(tblFleet[[#This Row],[Units]]&lt;&gt;"",tblFleet[[#This Row],[Calendar_h]]&gt;0),tblFleet[[#This Row],[Available_h]]/tblFleet[[#This Row],[Calendar_h]],"")</f>
        <v/>
      </c>
      <c r="J982" s="60">
        <f>IF(AND(tblFleet[[#This Row],[Units]]&lt;&gt;"",tblFleet[[#This Row],[Available_h]]&gt;0),tblFleet[[#This Row],[Operating_h]]/tblFleet[[#This Row],[Available_h]],"")</f>
        <v/>
      </c>
    </row>
    <row r="983">
      <c r="A983" s="54" t="n"/>
      <c r="B983" s="61" t="n"/>
      <c r="C983" s="62" t="n"/>
      <c r="D983" s="57" t="n"/>
      <c r="E983" s="57" t="n"/>
      <c r="F983" s="58" t="n"/>
      <c r="G983" s="66">
        <f>IF(tblFleet[[#This Row],[Units]]="","",tblFleet[[#This Row],[Units]]*cfg_HoursPerDay)</f>
        <v/>
      </c>
      <c r="H983" s="66">
        <f>IF(tblFleet[[#This Row],[Units]]="","",tblFleet[[#This Row],[Calendar_h]]-tblFleet[[#This Row],[Down_h]])</f>
        <v/>
      </c>
      <c r="I983" s="60">
        <f>IF(AND(tblFleet[[#This Row],[Units]]&lt;&gt;"",tblFleet[[#This Row],[Calendar_h]]&gt;0),tblFleet[[#This Row],[Available_h]]/tblFleet[[#This Row],[Calendar_h]],"")</f>
        <v/>
      </c>
      <c r="J983" s="60">
        <f>IF(AND(tblFleet[[#This Row],[Units]]&lt;&gt;"",tblFleet[[#This Row],[Available_h]]&gt;0),tblFleet[[#This Row],[Operating_h]]/tblFleet[[#This Row],[Available_h]],"")</f>
        <v/>
      </c>
    </row>
    <row r="984">
      <c r="A984" s="54" t="n"/>
      <c r="B984" s="61" t="n"/>
      <c r="C984" s="62" t="n"/>
      <c r="D984" s="57" t="n"/>
      <c r="E984" s="57" t="n"/>
      <c r="F984" s="58" t="n"/>
      <c r="G984" s="66">
        <f>IF(tblFleet[[#This Row],[Units]]="","",tblFleet[[#This Row],[Units]]*cfg_HoursPerDay)</f>
        <v/>
      </c>
      <c r="H984" s="66">
        <f>IF(tblFleet[[#This Row],[Units]]="","",tblFleet[[#This Row],[Calendar_h]]-tblFleet[[#This Row],[Down_h]])</f>
        <v/>
      </c>
      <c r="I984" s="60">
        <f>IF(AND(tblFleet[[#This Row],[Units]]&lt;&gt;"",tblFleet[[#This Row],[Calendar_h]]&gt;0),tblFleet[[#This Row],[Available_h]]/tblFleet[[#This Row],[Calendar_h]],"")</f>
        <v/>
      </c>
      <c r="J984" s="60">
        <f>IF(AND(tblFleet[[#This Row],[Units]]&lt;&gt;"",tblFleet[[#This Row],[Available_h]]&gt;0),tblFleet[[#This Row],[Operating_h]]/tblFleet[[#This Row],[Available_h]],"")</f>
        <v/>
      </c>
    </row>
    <row r="985">
      <c r="A985" s="54" t="n"/>
      <c r="B985" s="61" t="n"/>
      <c r="C985" s="62" t="n"/>
      <c r="D985" s="57" t="n"/>
      <c r="E985" s="57" t="n"/>
      <c r="F985" s="58" t="n"/>
      <c r="G985" s="66">
        <f>IF(tblFleet[[#This Row],[Units]]="","",tblFleet[[#This Row],[Units]]*cfg_HoursPerDay)</f>
        <v/>
      </c>
      <c r="H985" s="66">
        <f>IF(tblFleet[[#This Row],[Units]]="","",tblFleet[[#This Row],[Calendar_h]]-tblFleet[[#This Row],[Down_h]])</f>
        <v/>
      </c>
      <c r="I985" s="60">
        <f>IF(AND(tblFleet[[#This Row],[Units]]&lt;&gt;"",tblFleet[[#This Row],[Calendar_h]]&gt;0),tblFleet[[#This Row],[Available_h]]/tblFleet[[#This Row],[Calendar_h]],"")</f>
        <v/>
      </c>
      <c r="J985" s="60">
        <f>IF(AND(tblFleet[[#This Row],[Units]]&lt;&gt;"",tblFleet[[#This Row],[Available_h]]&gt;0),tblFleet[[#This Row],[Operating_h]]/tblFleet[[#This Row],[Available_h]],"")</f>
        <v/>
      </c>
    </row>
    <row r="986">
      <c r="A986" s="54" t="n"/>
      <c r="B986" s="61" t="n"/>
      <c r="C986" s="62" t="n"/>
      <c r="D986" s="57" t="n"/>
      <c r="E986" s="57" t="n"/>
      <c r="F986" s="58" t="n"/>
      <c r="G986" s="66">
        <f>IF(tblFleet[[#This Row],[Units]]="","",tblFleet[[#This Row],[Units]]*cfg_HoursPerDay)</f>
        <v/>
      </c>
      <c r="H986" s="66">
        <f>IF(tblFleet[[#This Row],[Units]]="","",tblFleet[[#This Row],[Calendar_h]]-tblFleet[[#This Row],[Down_h]])</f>
        <v/>
      </c>
      <c r="I986" s="60">
        <f>IF(AND(tblFleet[[#This Row],[Units]]&lt;&gt;"",tblFleet[[#This Row],[Calendar_h]]&gt;0),tblFleet[[#This Row],[Available_h]]/tblFleet[[#This Row],[Calendar_h]],"")</f>
        <v/>
      </c>
      <c r="J986" s="60">
        <f>IF(AND(tblFleet[[#This Row],[Units]]&lt;&gt;"",tblFleet[[#This Row],[Available_h]]&gt;0),tblFleet[[#This Row],[Operating_h]]/tblFleet[[#This Row],[Available_h]],"")</f>
        <v/>
      </c>
    </row>
    <row r="987">
      <c r="A987" s="54" t="n"/>
      <c r="B987" s="61" t="n"/>
      <c r="C987" s="62" t="n"/>
      <c r="D987" s="57" t="n"/>
      <c r="E987" s="57" t="n"/>
      <c r="F987" s="58" t="n"/>
      <c r="G987" s="66">
        <f>IF(tblFleet[[#This Row],[Units]]="","",tblFleet[[#This Row],[Units]]*cfg_HoursPerDay)</f>
        <v/>
      </c>
      <c r="H987" s="66">
        <f>IF(tblFleet[[#This Row],[Units]]="","",tblFleet[[#This Row],[Calendar_h]]-tblFleet[[#This Row],[Down_h]])</f>
        <v/>
      </c>
      <c r="I987" s="60">
        <f>IF(AND(tblFleet[[#This Row],[Units]]&lt;&gt;"",tblFleet[[#This Row],[Calendar_h]]&gt;0),tblFleet[[#This Row],[Available_h]]/tblFleet[[#This Row],[Calendar_h]],"")</f>
        <v/>
      </c>
      <c r="J987" s="60">
        <f>IF(AND(tblFleet[[#This Row],[Units]]&lt;&gt;"",tblFleet[[#This Row],[Available_h]]&gt;0),tblFleet[[#This Row],[Operating_h]]/tblFleet[[#This Row],[Available_h]],"")</f>
        <v/>
      </c>
    </row>
    <row r="988">
      <c r="A988" s="54" t="n"/>
      <c r="B988" s="61" t="n"/>
      <c r="C988" s="62" t="n"/>
      <c r="D988" s="57" t="n"/>
      <c r="E988" s="57" t="n"/>
      <c r="F988" s="58" t="n"/>
      <c r="G988" s="66">
        <f>IF(tblFleet[[#This Row],[Units]]="","",tblFleet[[#This Row],[Units]]*cfg_HoursPerDay)</f>
        <v/>
      </c>
      <c r="H988" s="66">
        <f>IF(tblFleet[[#This Row],[Units]]="","",tblFleet[[#This Row],[Calendar_h]]-tblFleet[[#This Row],[Down_h]])</f>
        <v/>
      </c>
      <c r="I988" s="60">
        <f>IF(AND(tblFleet[[#This Row],[Units]]&lt;&gt;"",tblFleet[[#This Row],[Calendar_h]]&gt;0),tblFleet[[#This Row],[Available_h]]/tblFleet[[#This Row],[Calendar_h]],"")</f>
        <v/>
      </c>
      <c r="J988" s="60">
        <f>IF(AND(tblFleet[[#This Row],[Units]]&lt;&gt;"",tblFleet[[#This Row],[Available_h]]&gt;0),tblFleet[[#This Row],[Operating_h]]/tblFleet[[#This Row],[Available_h]],"")</f>
        <v/>
      </c>
    </row>
    <row r="989">
      <c r="A989" s="54" t="n"/>
      <c r="B989" s="61" t="n"/>
      <c r="C989" s="62" t="n"/>
      <c r="D989" s="57" t="n"/>
      <c r="E989" s="57" t="n"/>
      <c r="F989" s="58" t="n"/>
      <c r="G989" s="66">
        <f>IF(tblFleet[[#This Row],[Units]]="","",tblFleet[[#This Row],[Units]]*cfg_HoursPerDay)</f>
        <v/>
      </c>
      <c r="H989" s="66">
        <f>IF(tblFleet[[#This Row],[Units]]="","",tblFleet[[#This Row],[Calendar_h]]-tblFleet[[#This Row],[Down_h]])</f>
        <v/>
      </c>
      <c r="I989" s="60">
        <f>IF(AND(tblFleet[[#This Row],[Units]]&lt;&gt;"",tblFleet[[#This Row],[Calendar_h]]&gt;0),tblFleet[[#This Row],[Available_h]]/tblFleet[[#This Row],[Calendar_h]],"")</f>
        <v/>
      </c>
      <c r="J989" s="60">
        <f>IF(AND(tblFleet[[#This Row],[Units]]&lt;&gt;"",tblFleet[[#This Row],[Available_h]]&gt;0),tblFleet[[#This Row],[Operating_h]]/tblFleet[[#This Row],[Available_h]],"")</f>
        <v/>
      </c>
    </row>
    <row r="990">
      <c r="A990" s="54" t="n"/>
      <c r="B990" s="61" t="n"/>
      <c r="C990" s="62" t="n"/>
      <c r="D990" s="57" t="n"/>
      <c r="E990" s="57" t="n"/>
      <c r="F990" s="58" t="n"/>
      <c r="G990" s="66">
        <f>IF(tblFleet[[#This Row],[Units]]="","",tblFleet[[#This Row],[Units]]*cfg_HoursPerDay)</f>
        <v/>
      </c>
      <c r="H990" s="66">
        <f>IF(tblFleet[[#This Row],[Units]]="","",tblFleet[[#This Row],[Calendar_h]]-tblFleet[[#This Row],[Down_h]])</f>
        <v/>
      </c>
      <c r="I990" s="60">
        <f>IF(AND(tblFleet[[#This Row],[Units]]&lt;&gt;"",tblFleet[[#This Row],[Calendar_h]]&gt;0),tblFleet[[#This Row],[Available_h]]/tblFleet[[#This Row],[Calendar_h]],"")</f>
        <v/>
      </c>
      <c r="J990" s="60">
        <f>IF(AND(tblFleet[[#This Row],[Units]]&lt;&gt;"",tblFleet[[#This Row],[Available_h]]&gt;0),tblFleet[[#This Row],[Operating_h]]/tblFleet[[#This Row],[Available_h]],"")</f>
        <v/>
      </c>
    </row>
    <row r="991">
      <c r="A991" s="54" t="n"/>
      <c r="B991" s="61" t="n"/>
      <c r="C991" s="62" t="n"/>
      <c r="D991" s="57" t="n"/>
      <c r="E991" s="57" t="n"/>
      <c r="F991" s="58" t="n"/>
      <c r="G991" s="66">
        <f>IF(tblFleet[[#This Row],[Units]]="","",tblFleet[[#This Row],[Units]]*cfg_HoursPerDay)</f>
        <v/>
      </c>
      <c r="H991" s="66">
        <f>IF(tblFleet[[#This Row],[Units]]="","",tblFleet[[#This Row],[Calendar_h]]-tblFleet[[#This Row],[Down_h]])</f>
        <v/>
      </c>
      <c r="I991" s="60">
        <f>IF(AND(tblFleet[[#This Row],[Units]]&lt;&gt;"",tblFleet[[#This Row],[Calendar_h]]&gt;0),tblFleet[[#This Row],[Available_h]]/tblFleet[[#This Row],[Calendar_h]],"")</f>
        <v/>
      </c>
      <c r="J991" s="60">
        <f>IF(AND(tblFleet[[#This Row],[Units]]&lt;&gt;"",tblFleet[[#This Row],[Available_h]]&gt;0),tblFleet[[#This Row],[Operating_h]]/tblFleet[[#This Row],[Available_h]],"")</f>
        <v/>
      </c>
    </row>
    <row r="992">
      <c r="A992" s="54" t="n"/>
      <c r="B992" s="61" t="n"/>
      <c r="C992" s="62" t="n"/>
      <c r="D992" s="57" t="n"/>
      <c r="E992" s="57" t="n"/>
      <c r="F992" s="58" t="n"/>
      <c r="G992" s="66">
        <f>IF(tblFleet[[#This Row],[Units]]="","",tblFleet[[#This Row],[Units]]*cfg_HoursPerDay)</f>
        <v/>
      </c>
      <c r="H992" s="66">
        <f>IF(tblFleet[[#This Row],[Units]]="","",tblFleet[[#This Row],[Calendar_h]]-tblFleet[[#This Row],[Down_h]])</f>
        <v/>
      </c>
      <c r="I992" s="60">
        <f>IF(AND(tblFleet[[#This Row],[Units]]&lt;&gt;"",tblFleet[[#This Row],[Calendar_h]]&gt;0),tblFleet[[#This Row],[Available_h]]/tblFleet[[#This Row],[Calendar_h]],"")</f>
        <v/>
      </c>
      <c r="J992" s="60">
        <f>IF(AND(tblFleet[[#This Row],[Units]]&lt;&gt;"",tblFleet[[#This Row],[Available_h]]&gt;0),tblFleet[[#This Row],[Operating_h]]/tblFleet[[#This Row],[Available_h]],"")</f>
        <v/>
      </c>
    </row>
    <row r="993">
      <c r="A993" s="54" t="n"/>
      <c r="B993" s="61" t="n"/>
      <c r="C993" s="62" t="n"/>
      <c r="D993" s="57" t="n"/>
      <c r="E993" s="57" t="n"/>
      <c r="F993" s="58" t="n"/>
      <c r="G993" s="66">
        <f>IF(tblFleet[[#This Row],[Units]]="","",tblFleet[[#This Row],[Units]]*cfg_HoursPerDay)</f>
        <v/>
      </c>
      <c r="H993" s="66">
        <f>IF(tblFleet[[#This Row],[Units]]="","",tblFleet[[#This Row],[Calendar_h]]-tblFleet[[#This Row],[Down_h]])</f>
        <v/>
      </c>
      <c r="I993" s="60">
        <f>IF(AND(tblFleet[[#This Row],[Units]]&lt;&gt;"",tblFleet[[#This Row],[Calendar_h]]&gt;0),tblFleet[[#This Row],[Available_h]]/tblFleet[[#This Row],[Calendar_h]],"")</f>
        <v/>
      </c>
      <c r="J993" s="60">
        <f>IF(AND(tblFleet[[#This Row],[Units]]&lt;&gt;"",tblFleet[[#This Row],[Available_h]]&gt;0),tblFleet[[#This Row],[Operating_h]]/tblFleet[[#This Row],[Available_h]],"")</f>
        <v/>
      </c>
    </row>
    <row r="994">
      <c r="A994" s="54" t="n"/>
      <c r="B994" s="61" t="n"/>
      <c r="C994" s="62" t="n"/>
      <c r="D994" s="57" t="n"/>
      <c r="E994" s="57" t="n"/>
      <c r="F994" s="58" t="n"/>
      <c r="G994" s="66">
        <f>IF(tblFleet[[#This Row],[Units]]="","",tblFleet[[#This Row],[Units]]*cfg_HoursPerDay)</f>
        <v/>
      </c>
      <c r="H994" s="66">
        <f>IF(tblFleet[[#This Row],[Units]]="","",tblFleet[[#This Row],[Calendar_h]]-tblFleet[[#This Row],[Down_h]])</f>
        <v/>
      </c>
      <c r="I994" s="60">
        <f>IF(AND(tblFleet[[#This Row],[Units]]&lt;&gt;"",tblFleet[[#This Row],[Calendar_h]]&gt;0),tblFleet[[#This Row],[Available_h]]/tblFleet[[#This Row],[Calendar_h]],"")</f>
        <v/>
      </c>
      <c r="J994" s="60">
        <f>IF(AND(tblFleet[[#This Row],[Units]]&lt;&gt;"",tblFleet[[#This Row],[Available_h]]&gt;0),tblFleet[[#This Row],[Operating_h]]/tblFleet[[#This Row],[Available_h]],"")</f>
        <v/>
      </c>
    </row>
    <row r="995">
      <c r="A995" s="54" t="n"/>
      <c r="B995" s="61" t="n"/>
      <c r="C995" s="62" t="n"/>
      <c r="D995" s="57" t="n"/>
      <c r="E995" s="57" t="n"/>
      <c r="F995" s="58" t="n"/>
      <c r="G995" s="66">
        <f>IF(tblFleet[[#This Row],[Units]]="","",tblFleet[[#This Row],[Units]]*cfg_HoursPerDay)</f>
        <v/>
      </c>
      <c r="H995" s="66">
        <f>IF(tblFleet[[#This Row],[Units]]="","",tblFleet[[#This Row],[Calendar_h]]-tblFleet[[#This Row],[Down_h]])</f>
        <v/>
      </c>
      <c r="I995" s="60">
        <f>IF(AND(tblFleet[[#This Row],[Units]]&lt;&gt;"",tblFleet[[#This Row],[Calendar_h]]&gt;0),tblFleet[[#This Row],[Available_h]]/tblFleet[[#This Row],[Calendar_h]],"")</f>
        <v/>
      </c>
      <c r="J995" s="60">
        <f>IF(AND(tblFleet[[#This Row],[Units]]&lt;&gt;"",tblFleet[[#This Row],[Available_h]]&gt;0),tblFleet[[#This Row],[Operating_h]]/tblFleet[[#This Row],[Available_h]],"")</f>
        <v/>
      </c>
    </row>
    <row r="996">
      <c r="A996" s="54" t="n"/>
      <c r="B996" s="61" t="n"/>
      <c r="C996" s="62" t="n"/>
      <c r="D996" s="57" t="n"/>
      <c r="E996" s="57" t="n"/>
      <c r="F996" s="58" t="n"/>
      <c r="G996" s="66">
        <f>IF(tblFleet[[#This Row],[Units]]="","",tblFleet[[#This Row],[Units]]*cfg_HoursPerDay)</f>
        <v/>
      </c>
      <c r="H996" s="66">
        <f>IF(tblFleet[[#This Row],[Units]]="","",tblFleet[[#This Row],[Calendar_h]]-tblFleet[[#This Row],[Down_h]])</f>
        <v/>
      </c>
      <c r="I996" s="60">
        <f>IF(AND(tblFleet[[#This Row],[Units]]&lt;&gt;"",tblFleet[[#This Row],[Calendar_h]]&gt;0),tblFleet[[#This Row],[Available_h]]/tblFleet[[#This Row],[Calendar_h]],"")</f>
        <v/>
      </c>
      <c r="J996" s="60">
        <f>IF(AND(tblFleet[[#This Row],[Units]]&lt;&gt;"",tblFleet[[#This Row],[Available_h]]&gt;0),tblFleet[[#This Row],[Operating_h]]/tblFleet[[#This Row],[Available_h]],"")</f>
        <v/>
      </c>
    </row>
    <row r="997">
      <c r="A997" s="54" t="n"/>
      <c r="B997" s="61" t="n"/>
      <c r="C997" s="62" t="n"/>
      <c r="D997" s="57" t="n"/>
      <c r="E997" s="57" t="n"/>
      <c r="F997" s="58" t="n"/>
      <c r="G997" s="66">
        <f>IF(tblFleet[[#This Row],[Units]]="","",tblFleet[[#This Row],[Units]]*cfg_HoursPerDay)</f>
        <v/>
      </c>
      <c r="H997" s="66">
        <f>IF(tblFleet[[#This Row],[Units]]="","",tblFleet[[#This Row],[Calendar_h]]-tblFleet[[#This Row],[Down_h]])</f>
        <v/>
      </c>
      <c r="I997" s="60">
        <f>IF(AND(tblFleet[[#This Row],[Units]]&lt;&gt;"",tblFleet[[#This Row],[Calendar_h]]&gt;0),tblFleet[[#This Row],[Available_h]]/tblFleet[[#This Row],[Calendar_h]],"")</f>
        <v/>
      </c>
      <c r="J997" s="60">
        <f>IF(AND(tblFleet[[#This Row],[Units]]&lt;&gt;"",tblFleet[[#This Row],[Available_h]]&gt;0),tblFleet[[#This Row],[Operating_h]]/tblFleet[[#This Row],[Available_h]],"")</f>
        <v/>
      </c>
    </row>
    <row r="998">
      <c r="A998" s="54" t="n"/>
      <c r="B998" s="61" t="n"/>
      <c r="C998" s="62" t="n"/>
      <c r="D998" s="57" t="n"/>
      <c r="E998" s="57" t="n"/>
      <c r="F998" s="58" t="n"/>
      <c r="G998" s="66">
        <f>IF(tblFleet[[#This Row],[Units]]="","",tblFleet[[#This Row],[Units]]*cfg_HoursPerDay)</f>
        <v/>
      </c>
      <c r="H998" s="66">
        <f>IF(tblFleet[[#This Row],[Units]]="","",tblFleet[[#This Row],[Calendar_h]]-tblFleet[[#This Row],[Down_h]])</f>
        <v/>
      </c>
      <c r="I998" s="60">
        <f>IF(AND(tblFleet[[#This Row],[Units]]&lt;&gt;"",tblFleet[[#This Row],[Calendar_h]]&gt;0),tblFleet[[#This Row],[Available_h]]/tblFleet[[#This Row],[Calendar_h]],"")</f>
        <v/>
      </c>
      <c r="J998" s="60">
        <f>IF(AND(tblFleet[[#This Row],[Units]]&lt;&gt;"",tblFleet[[#This Row],[Available_h]]&gt;0),tblFleet[[#This Row],[Operating_h]]/tblFleet[[#This Row],[Available_h]],"")</f>
        <v/>
      </c>
    </row>
    <row r="999">
      <c r="A999" s="54" t="n"/>
      <c r="B999" s="61" t="n"/>
      <c r="C999" s="62" t="n"/>
      <c r="D999" s="57" t="n"/>
      <c r="E999" s="57" t="n"/>
      <c r="F999" s="58" t="n"/>
      <c r="G999" s="66">
        <f>IF(tblFleet[[#This Row],[Units]]="","",tblFleet[[#This Row],[Units]]*cfg_HoursPerDay)</f>
        <v/>
      </c>
      <c r="H999" s="66">
        <f>IF(tblFleet[[#This Row],[Units]]="","",tblFleet[[#This Row],[Calendar_h]]-tblFleet[[#This Row],[Down_h]])</f>
        <v/>
      </c>
      <c r="I999" s="60">
        <f>IF(AND(tblFleet[[#This Row],[Units]]&lt;&gt;"",tblFleet[[#This Row],[Calendar_h]]&gt;0),tblFleet[[#This Row],[Available_h]]/tblFleet[[#This Row],[Calendar_h]],"")</f>
        <v/>
      </c>
      <c r="J999" s="60">
        <f>IF(AND(tblFleet[[#This Row],[Units]]&lt;&gt;"",tblFleet[[#This Row],[Available_h]]&gt;0),tblFleet[[#This Row],[Operating_h]]/tblFleet[[#This Row],[Available_h]],"")</f>
        <v/>
      </c>
    </row>
    <row r="1000">
      <c r="A1000" s="54" t="n"/>
      <c r="B1000" s="61" t="n"/>
      <c r="C1000" s="62" t="n"/>
      <c r="D1000" s="57" t="n"/>
      <c r="E1000" s="57" t="n"/>
      <c r="F1000" s="58" t="n"/>
      <c r="G1000" s="66">
        <f>IF(tblFleet[[#This Row],[Units]]="","",tblFleet[[#This Row],[Units]]*cfg_HoursPerDay)</f>
        <v/>
      </c>
      <c r="H1000" s="66">
        <f>IF(tblFleet[[#This Row],[Units]]="","",tblFleet[[#This Row],[Calendar_h]]-tblFleet[[#This Row],[Down_h]])</f>
        <v/>
      </c>
      <c r="I1000" s="60">
        <f>IF(AND(tblFleet[[#This Row],[Units]]&lt;&gt;"",tblFleet[[#This Row],[Calendar_h]]&gt;0),tblFleet[[#This Row],[Available_h]]/tblFleet[[#This Row],[Calendar_h]],"")</f>
        <v/>
      </c>
      <c r="J1000" s="60">
        <f>IF(AND(tblFleet[[#This Row],[Units]]&lt;&gt;"",tblFleet[[#This Row],[Available_h]]&gt;0),tblFleet[[#This Row],[Operating_h]]/tblFleet[[#This Row],[Available_h]],"")</f>
        <v/>
      </c>
    </row>
    <row r="1001">
      <c r="A1001" s="54" t="n"/>
      <c r="B1001" s="61" t="n"/>
      <c r="C1001" s="62" t="n"/>
      <c r="D1001" s="57" t="n"/>
      <c r="E1001" s="57" t="n"/>
      <c r="F1001" s="58" t="n"/>
      <c r="G1001" s="66">
        <f>IF(tblFleet[[#This Row],[Units]]="","",tblFleet[[#This Row],[Units]]*cfg_HoursPerDay)</f>
        <v/>
      </c>
      <c r="H1001" s="66">
        <f>IF(tblFleet[[#This Row],[Units]]="","",tblFleet[[#This Row],[Calendar_h]]-tblFleet[[#This Row],[Down_h]])</f>
        <v/>
      </c>
      <c r="I1001" s="60">
        <f>IF(AND(tblFleet[[#This Row],[Units]]&lt;&gt;"",tblFleet[[#This Row],[Calendar_h]]&gt;0),tblFleet[[#This Row],[Available_h]]/tblFleet[[#This Row],[Calendar_h]],"")</f>
        <v/>
      </c>
      <c r="J1001" s="60">
        <f>IF(AND(tblFleet[[#This Row],[Units]]&lt;&gt;"",tblFleet[[#This Row],[Available_h]]&gt;0),tblFleet[[#This Row],[Operating_h]]/tblFleet[[#This Row],[Available_h]],"")</f>
        <v/>
      </c>
    </row>
    <row r="1002">
      <c r="A1002" s="54" t="n"/>
      <c r="B1002" s="61" t="n"/>
      <c r="C1002" s="62" t="n"/>
      <c r="D1002" s="57" t="n"/>
      <c r="E1002" s="57" t="n"/>
      <c r="F1002" s="58" t="n"/>
      <c r="G1002" s="66">
        <f>IF(tblFleet[[#This Row],[Units]]="","",tblFleet[[#This Row],[Units]]*cfg_HoursPerDay)</f>
        <v/>
      </c>
      <c r="H1002" s="66">
        <f>IF(tblFleet[[#This Row],[Units]]="","",tblFleet[[#This Row],[Calendar_h]]-tblFleet[[#This Row],[Down_h]])</f>
        <v/>
      </c>
      <c r="I1002" s="60">
        <f>IF(AND(tblFleet[[#This Row],[Units]]&lt;&gt;"",tblFleet[[#This Row],[Calendar_h]]&gt;0),tblFleet[[#This Row],[Available_h]]/tblFleet[[#This Row],[Calendar_h]],"")</f>
        <v/>
      </c>
      <c r="J1002" s="60">
        <f>IF(AND(tblFleet[[#This Row],[Units]]&lt;&gt;"",tblFleet[[#This Row],[Available_h]]&gt;0),tblFleet[[#This Row],[Operating_h]]/tblFleet[[#This Row],[Available_h]],"")</f>
        <v/>
      </c>
    </row>
    <row r="1003">
      <c r="A1003" s="54" t="n"/>
      <c r="B1003" s="61" t="n"/>
      <c r="C1003" s="62" t="n"/>
      <c r="D1003" s="57" t="n"/>
      <c r="E1003" s="57" t="n"/>
      <c r="F1003" s="58" t="n"/>
      <c r="G1003" s="66">
        <f>IF(tblFleet[[#This Row],[Units]]="","",tblFleet[[#This Row],[Units]]*cfg_HoursPerDay)</f>
        <v/>
      </c>
      <c r="H1003" s="66">
        <f>IF(tblFleet[[#This Row],[Units]]="","",tblFleet[[#This Row],[Calendar_h]]-tblFleet[[#This Row],[Down_h]])</f>
        <v/>
      </c>
      <c r="I1003" s="60">
        <f>IF(AND(tblFleet[[#This Row],[Units]]&lt;&gt;"",tblFleet[[#This Row],[Calendar_h]]&gt;0),tblFleet[[#This Row],[Available_h]]/tblFleet[[#This Row],[Calendar_h]],"")</f>
        <v/>
      </c>
      <c r="J1003" s="60">
        <f>IF(AND(tblFleet[[#This Row],[Units]]&lt;&gt;"",tblFleet[[#This Row],[Available_h]]&gt;0),tblFleet[[#This Row],[Operating_h]]/tblFleet[[#This Row],[Available_h]],"")</f>
        <v/>
      </c>
    </row>
    <row r="1004">
      <c r="A1004" s="54" t="n"/>
      <c r="B1004" s="61" t="n"/>
      <c r="C1004" s="62" t="n"/>
      <c r="D1004" s="57" t="n"/>
      <c r="E1004" s="57" t="n"/>
      <c r="F1004" s="58" t="n"/>
      <c r="G1004" s="66">
        <f>IF(tblFleet[[#This Row],[Units]]="","",tblFleet[[#This Row],[Units]]*cfg_HoursPerDay)</f>
        <v/>
      </c>
      <c r="H1004" s="66">
        <f>IF(tblFleet[[#This Row],[Units]]="","",tblFleet[[#This Row],[Calendar_h]]-tblFleet[[#This Row],[Down_h]])</f>
        <v/>
      </c>
      <c r="I1004" s="60">
        <f>IF(AND(tblFleet[[#This Row],[Units]]&lt;&gt;"",tblFleet[[#This Row],[Calendar_h]]&gt;0),tblFleet[[#This Row],[Available_h]]/tblFleet[[#This Row],[Calendar_h]],"")</f>
        <v/>
      </c>
      <c r="J1004" s="60">
        <f>IF(AND(tblFleet[[#This Row],[Units]]&lt;&gt;"",tblFleet[[#This Row],[Available_h]]&gt;0),tblFleet[[#This Row],[Operating_h]]/tblFleet[[#This Row],[Available_h]],"")</f>
        <v/>
      </c>
    </row>
    <row r="1005">
      <c r="A1005" s="54" t="n"/>
      <c r="B1005" s="61" t="n"/>
      <c r="C1005" s="62" t="n"/>
      <c r="D1005" s="57" t="n"/>
      <c r="E1005" s="57" t="n"/>
      <c r="F1005" s="58" t="n"/>
      <c r="G1005" s="66">
        <f>IF(tblFleet[[#This Row],[Units]]="","",tblFleet[[#This Row],[Units]]*cfg_HoursPerDay)</f>
        <v/>
      </c>
      <c r="H1005" s="66">
        <f>IF(tblFleet[[#This Row],[Units]]="","",tblFleet[[#This Row],[Calendar_h]]-tblFleet[[#This Row],[Down_h]])</f>
        <v/>
      </c>
      <c r="I1005" s="60">
        <f>IF(AND(tblFleet[[#This Row],[Units]]&lt;&gt;"",tblFleet[[#This Row],[Calendar_h]]&gt;0),tblFleet[[#This Row],[Available_h]]/tblFleet[[#This Row],[Calendar_h]],"")</f>
        <v/>
      </c>
      <c r="J1005" s="60">
        <f>IF(AND(tblFleet[[#This Row],[Units]]&lt;&gt;"",tblFleet[[#This Row],[Available_h]]&gt;0),tblFleet[[#This Row],[Operating_h]]/tblFleet[[#This Row],[Available_h]],"")</f>
        <v/>
      </c>
    </row>
    <row r="1006">
      <c r="A1006" s="54" t="n"/>
      <c r="B1006" s="61" t="n"/>
      <c r="C1006" s="62" t="n"/>
      <c r="D1006" s="57" t="n"/>
      <c r="E1006" s="57" t="n"/>
      <c r="F1006" s="58" t="n"/>
      <c r="G1006" s="66">
        <f>IF(tblFleet[[#This Row],[Units]]="","",tblFleet[[#This Row],[Units]]*cfg_HoursPerDay)</f>
        <v/>
      </c>
      <c r="H1006" s="66">
        <f>IF(tblFleet[[#This Row],[Units]]="","",tblFleet[[#This Row],[Calendar_h]]-tblFleet[[#This Row],[Down_h]])</f>
        <v/>
      </c>
      <c r="I1006" s="60">
        <f>IF(AND(tblFleet[[#This Row],[Units]]&lt;&gt;"",tblFleet[[#This Row],[Calendar_h]]&gt;0),tblFleet[[#This Row],[Available_h]]/tblFleet[[#This Row],[Calendar_h]],"")</f>
        <v/>
      </c>
      <c r="J1006" s="60">
        <f>IF(AND(tblFleet[[#This Row],[Units]]&lt;&gt;"",tblFleet[[#This Row],[Available_h]]&gt;0),tblFleet[[#This Row],[Operating_h]]/tblFleet[[#This Row],[Available_h]],"")</f>
        <v/>
      </c>
    </row>
    <row r="1007">
      <c r="A1007" s="54" t="n"/>
      <c r="B1007" s="61" t="n"/>
      <c r="C1007" s="62" t="n"/>
      <c r="D1007" s="57" t="n"/>
      <c r="E1007" s="57" t="n"/>
      <c r="F1007" s="58" t="n"/>
      <c r="G1007" s="66">
        <f>IF(tblFleet[[#This Row],[Units]]="","",tblFleet[[#This Row],[Units]]*cfg_HoursPerDay)</f>
        <v/>
      </c>
      <c r="H1007" s="66">
        <f>IF(tblFleet[[#This Row],[Units]]="","",tblFleet[[#This Row],[Calendar_h]]-tblFleet[[#This Row],[Down_h]])</f>
        <v/>
      </c>
      <c r="I1007" s="60">
        <f>IF(AND(tblFleet[[#This Row],[Units]]&lt;&gt;"",tblFleet[[#This Row],[Calendar_h]]&gt;0),tblFleet[[#This Row],[Available_h]]/tblFleet[[#This Row],[Calendar_h]],"")</f>
        <v/>
      </c>
      <c r="J1007" s="60">
        <f>IF(AND(tblFleet[[#This Row],[Units]]&lt;&gt;"",tblFleet[[#This Row],[Available_h]]&gt;0),tblFleet[[#This Row],[Operating_h]]/tblFleet[[#This Row],[Available_h]],"")</f>
        <v/>
      </c>
    </row>
    <row r="1008">
      <c r="A1008" s="54" t="n"/>
      <c r="B1008" s="61" t="n"/>
      <c r="C1008" s="62" t="n"/>
      <c r="D1008" s="57" t="n"/>
      <c r="E1008" s="57" t="n"/>
      <c r="F1008" s="58" t="n"/>
      <c r="G1008" s="66">
        <f>IF(tblFleet[[#This Row],[Units]]="","",tblFleet[[#This Row],[Units]]*cfg_HoursPerDay)</f>
        <v/>
      </c>
      <c r="H1008" s="66">
        <f>IF(tblFleet[[#This Row],[Units]]="","",tblFleet[[#This Row],[Calendar_h]]-tblFleet[[#This Row],[Down_h]])</f>
        <v/>
      </c>
      <c r="I1008" s="60">
        <f>IF(AND(tblFleet[[#This Row],[Units]]&lt;&gt;"",tblFleet[[#This Row],[Calendar_h]]&gt;0),tblFleet[[#This Row],[Available_h]]/tblFleet[[#This Row],[Calendar_h]],"")</f>
        <v/>
      </c>
      <c r="J1008" s="60">
        <f>IF(AND(tblFleet[[#This Row],[Units]]&lt;&gt;"",tblFleet[[#This Row],[Available_h]]&gt;0),tblFleet[[#This Row],[Operating_h]]/tblFleet[[#This Row],[Available_h]],"")</f>
        <v/>
      </c>
    </row>
    <row r="1009">
      <c r="A1009" s="54" t="n"/>
      <c r="B1009" s="61" t="n"/>
      <c r="C1009" s="62" t="n"/>
      <c r="D1009" s="57" t="n"/>
      <c r="E1009" s="57" t="n"/>
      <c r="F1009" s="58" t="n"/>
      <c r="G1009" s="66">
        <f>IF(tblFleet[[#This Row],[Units]]="","",tblFleet[[#This Row],[Units]]*cfg_HoursPerDay)</f>
        <v/>
      </c>
      <c r="H1009" s="66">
        <f>IF(tblFleet[[#This Row],[Units]]="","",tblFleet[[#This Row],[Calendar_h]]-tblFleet[[#This Row],[Down_h]])</f>
        <v/>
      </c>
      <c r="I1009" s="60">
        <f>IF(AND(tblFleet[[#This Row],[Units]]&lt;&gt;"",tblFleet[[#This Row],[Calendar_h]]&gt;0),tblFleet[[#This Row],[Available_h]]/tblFleet[[#This Row],[Calendar_h]],"")</f>
        <v/>
      </c>
      <c r="J1009" s="60">
        <f>IF(AND(tblFleet[[#This Row],[Units]]&lt;&gt;"",tblFleet[[#This Row],[Available_h]]&gt;0),tblFleet[[#This Row],[Operating_h]]/tblFleet[[#This Row],[Available_h]],"")</f>
        <v/>
      </c>
    </row>
    <row r="1010">
      <c r="A1010" s="54" t="n"/>
      <c r="B1010" s="61" t="n"/>
      <c r="C1010" s="62" t="n"/>
      <c r="D1010" s="57" t="n"/>
      <c r="E1010" s="57" t="n"/>
      <c r="F1010" s="58" t="n"/>
      <c r="G1010" s="66">
        <f>IF(tblFleet[[#This Row],[Units]]="","",tblFleet[[#This Row],[Units]]*cfg_HoursPerDay)</f>
        <v/>
      </c>
      <c r="H1010" s="66">
        <f>IF(tblFleet[[#This Row],[Units]]="","",tblFleet[[#This Row],[Calendar_h]]-tblFleet[[#This Row],[Down_h]])</f>
        <v/>
      </c>
      <c r="I1010" s="60">
        <f>IF(AND(tblFleet[[#This Row],[Units]]&lt;&gt;"",tblFleet[[#This Row],[Calendar_h]]&gt;0),tblFleet[[#This Row],[Available_h]]/tblFleet[[#This Row],[Calendar_h]],"")</f>
        <v/>
      </c>
      <c r="J1010" s="60">
        <f>IF(AND(tblFleet[[#This Row],[Units]]&lt;&gt;"",tblFleet[[#This Row],[Available_h]]&gt;0),tblFleet[[#This Row],[Operating_h]]/tblFleet[[#This Row],[Available_h]],"")</f>
        <v/>
      </c>
    </row>
    <row r="1011">
      <c r="A1011" s="54" t="n"/>
      <c r="B1011" s="61" t="n"/>
      <c r="C1011" s="62" t="n"/>
      <c r="D1011" s="57" t="n"/>
      <c r="E1011" s="57" t="n"/>
      <c r="F1011" s="58" t="n"/>
      <c r="G1011" s="66">
        <f>IF(tblFleet[[#This Row],[Units]]="","",tblFleet[[#This Row],[Units]]*cfg_HoursPerDay)</f>
        <v/>
      </c>
      <c r="H1011" s="66">
        <f>IF(tblFleet[[#This Row],[Units]]="","",tblFleet[[#This Row],[Calendar_h]]-tblFleet[[#This Row],[Down_h]])</f>
        <v/>
      </c>
      <c r="I1011" s="60">
        <f>IF(AND(tblFleet[[#This Row],[Units]]&lt;&gt;"",tblFleet[[#This Row],[Calendar_h]]&gt;0),tblFleet[[#This Row],[Available_h]]/tblFleet[[#This Row],[Calendar_h]],"")</f>
        <v/>
      </c>
      <c r="J1011" s="60">
        <f>IF(AND(tblFleet[[#This Row],[Units]]&lt;&gt;"",tblFleet[[#This Row],[Available_h]]&gt;0),tblFleet[[#This Row],[Operating_h]]/tblFleet[[#This Row],[Available_h]],"")</f>
        <v/>
      </c>
    </row>
    <row r="1012">
      <c r="A1012" s="54" t="n"/>
      <c r="B1012" s="61" t="n"/>
      <c r="C1012" s="62" t="n"/>
      <c r="D1012" s="57" t="n"/>
      <c r="E1012" s="57" t="n"/>
      <c r="F1012" s="58" t="n"/>
      <c r="G1012" s="66">
        <f>IF(tblFleet[[#This Row],[Units]]="","",tblFleet[[#This Row],[Units]]*cfg_HoursPerDay)</f>
        <v/>
      </c>
      <c r="H1012" s="66">
        <f>IF(tblFleet[[#This Row],[Units]]="","",tblFleet[[#This Row],[Calendar_h]]-tblFleet[[#This Row],[Down_h]])</f>
        <v/>
      </c>
      <c r="I1012" s="60">
        <f>IF(AND(tblFleet[[#This Row],[Units]]&lt;&gt;"",tblFleet[[#This Row],[Calendar_h]]&gt;0),tblFleet[[#This Row],[Available_h]]/tblFleet[[#This Row],[Calendar_h]],"")</f>
        <v/>
      </c>
      <c r="J1012" s="60">
        <f>IF(AND(tblFleet[[#This Row],[Units]]&lt;&gt;"",tblFleet[[#This Row],[Available_h]]&gt;0),tblFleet[[#This Row],[Operating_h]]/tblFleet[[#This Row],[Available_h]],"")</f>
        <v/>
      </c>
    </row>
    <row r="1013">
      <c r="A1013" s="54" t="n"/>
      <c r="B1013" s="61" t="n"/>
      <c r="C1013" s="62" t="n"/>
      <c r="D1013" s="57" t="n"/>
      <c r="E1013" s="57" t="n"/>
      <c r="F1013" s="58" t="n"/>
      <c r="G1013" s="66">
        <f>IF(tblFleet[[#This Row],[Units]]="","",tblFleet[[#This Row],[Units]]*cfg_HoursPerDay)</f>
        <v/>
      </c>
      <c r="H1013" s="66">
        <f>IF(tblFleet[[#This Row],[Units]]="","",tblFleet[[#This Row],[Calendar_h]]-tblFleet[[#This Row],[Down_h]])</f>
        <v/>
      </c>
      <c r="I1013" s="60">
        <f>IF(AND(tblFleet[[#This Row],[Units]]&lt;&gt;"",tblFleet[[#This Row],[Calendar_h]]&gt;0),tblFleet[[#This Row],[Available_h]]/tblFleet[[#This Row],[Calendar_h]],"")</f>
        <v/>
      </c>
      <c r="J1013" s="60">
        <f>IF(AND(tblFleet[[#This Row],[Units]]&lt;&gt;"",tblFleet[[#This Row],[Available_h]]&gt;0),tblFleet[[#This Row],[Operating_h]]/tblFleet[[#This Row],[Available_h]],"")</f>
        <v/>
      </c>
    </row>
    <row r="1014">
      <c r="A1014" s="54" t="n"/>
      <c r="B1014" s="61" t="n"/>
      <c r="C1014" s="62" t="n"/>
      <c r="D1014" s="57" t="n"/>
      <c r="E1014" s="57" t="n"/>
      <c r="F1014" s="58" t="n"/>
      <c r="G1014" s="66">
        <f>IF(tblFleet[[#This Row],[Units]]="","",tblFleet[[#This Row],[Units]]*cfg_HoursPerDay)</f>
        <v/>
      </c>
      <c r="H1014" s="66">
        <f>IF(tblFleet[[#This Row],[Units]]="","",tblFleet[[#This Row],[Calendar_h]]-tblFleet[[#This Row],[Down_h]])</f>
        <v/>
      </c>
      <c r="I1014" s="60">
        <f>IF(AND(tblFleet[[#This Row],[Units]]&lt;&gt;"",tblFleet[[#This Row],[Calendar_h]]&gt;0),tblFleet[[#This Row],[Available_h]]/tblFleet[[#This Row],[Calendar_h]],"")</f>
        <v/>
      </c>
      <c r="J1014" s="60">
        <f>IF(AND(tblFleet[[#This Row],[Units]]&lt;&gt;"",tblFleet[[#This Row],[Available_h]]&gt;0),tblFleet[[#This Row],[Operating_h]]/tblFleet[[#This Row],[Available_h]],"")</f>
        <v/>
      </c>
    </row>
    <row r="1015">
      <c r="A1015" s="54" t="n"/>
      <c r="B1015" s="61" t="n"/>
      <c r="C1015" s="62" t="n"/>
      <c r="D1015" s="57" t="n"/>
      <c r="E1015" s="57" t="n"/>
      <c r="F1015" s="58" t="n"/>
      <c r="G1015" s="66">
        <f>IF(tblFleet[[#This Row],[Units]]="","",tblFleet[[#This Row],[Units]]*cfg_HoursPerDay)</f>
        <v/>
      </c>
      <c r="H1015" s="66">
        <f>IF(tblFleet[[#This Row],[Units]]="","",tblFleet[[#This Row],[Calendar_h]]-tblFleet[[#This Row],[Down_h]])</f>
        <v/>
      </c>
      <c r="I1015" s="60">
        <f>IF(AND(tblFleet[[#This Row],[Units]]&lt;&gt;"",tblFleet[[#This Row],[Calendar_h]]&gt;0),tblFleet[[#This Row],[Available_h]]/tblFleet[[#This Row],[Calendar_h]],"")</f>
        <v/>
      </c>
      <c r="J1015" s="60">
        <f>IF(AND(tblFleet[[#This Row],[Units]]&lt;&gt;"",tblFleet[[#This Row],[Available_h]]&gt;0),tblFleet[[#This Row],[Operating_h]]/tblFleet[[#This Row],[Available_h]],"")</f>
        <v/>
      </c>
    </row>
    <row r="1016">
      <c r="A1016" s="54" t="n"/>
      <c r="B1016" s="61" t="n"/>
      <c r="C1016" s="62" t="n"/>
      <c r="D1016" s="57" t="n"/>
      <c r="E1016" s="57" t="n"/>
      <c r="F1016" s="58" t="n"/>
      <c r="G1016" s="66">
        <f>IF(tblFleet[[#This Row],[Units]]="","",tblFleet[[#This Row],[Units]]*cfg_HoursPerDay)</f>
        <v/>
      </c>
      <c r="H1016" s="66">
        <f>IF(tblFleet[[#This Row],[Units]]="","",tblFleet[[#This Row],[Calendar_h]]-tblFleet[[#This Row],[Down_h]])</f>
        <v/>
      </c>
      <c r="I1016" s="60">
        <f>IF(AND(tblFleet[[#This Row],[Units]]&lt;&gt;"",tblFleet[[#This Row],[Calendar_h]]&gt;0),tblFleet[[#This Row],[Available_h]]/tblFleet[[#This Row],[Calendar_h]],"")</f>
        <v/>
      </c>
      <c r="J1016" s="60">
        <f>IF(AND(tblFleet[[#This Row],[Units]]&lt;&gt;"",tblFleet[[#This Row],[Available_h]]&gt;0),tblFleet[[#This Row],[Operating_h]]/tblFleet[[#This Row],[Available_h]],"")</f>
        <v/>
      </c>
    </row>
    <row r="1017">
      <c r="A1017" s="54" t="n"/>
      <c r="B1017" s="61" t="n"/>
      <c r="C1017" s="62" t="n"/>
      <c r="D1017" s="57" t="n"/>
      <c r="E1017" s="57" t="n"/>
      <c r="F1017" s="58" t="n"/>
      <c r="G1017" s="66">
        <f>IF(tblFleet[[#This Row],[Units]]="","",tblFleet[[#This Row],[Units]]*cfg_HoursPerDay)</f>
        <v/>
      </c>
      <c r="H1017" s="66">
        <f>IF(tblFleet[[#This Row],[Units]]="","",tblFleet[[#This Row],[Calendar_h]]-tblFleet[[#This Row],[Down_h]])</f>
        <v/>
      </c>
      <c r="I1017" s="60">
        <f>IF(AND(tblFleet[[#This Row],[Units]]&lt;&gt;"",tblFleet[[#This Row],[Calendar_h]]&gt;0),tblFleet[[#This Row],[Available_h]]/tblFleet[[#This Row],[Calendar_h]],"")</f>
        <v/>
      </c>
      <c r="J1017" s="60">
        <f>IF(AND(tblFleet[[#This Row],[Units]]&lt;&gt;"",tblFleet[[#This Row],[Available_h]]&gt;0),tblFleet[[#This Row],[Operating_h]]/tblFleet[[#This Row],[Available_h]],"")</f>
        <v/>
      </c>
    </row>
    <row r="1018">
      <c r="A1018" s="54" t="n"/>
      <c r="B1018" s="61" t="n"/>
      <c r="C1018" s="62" t="n"/>
      <c r="D1018" s="57" t="n"/>
      <c r="E1018" s="57" t="n"/>
      <c r="F1018" s="58" t="n"/>
      <c r="G1018" s="66">
        <f>IF(tblFleet[[#This Row],[Units]]="","",tblFleet[[#This Row],[Units]]*cfg_HoursPerDay)</f>
        <v/>
      </c>
      <c r="H1018" s="66">
        <f>IF(tblFleet[[#This Row],[Units]]="","",tblFleet[[#This Row],[Calendar_h]]-tblFleet[[#This Row],[Down_h]])</f>
        <v/>
      </c>
      <c r="I1018" s="60">
        <f>IF(AND(tblFleet[[#This Row],[Units]]&lt;&gt;"",tblFleet[[#This Row],[Calendar_h]]&gt;0),tblFleet[[#This Row],[Available_h]]/tblFleet[[#This Row],[Calendar_h]],"")</f>
        <v/>
      </c>
      <c r="J1018" s="60">
        <f>IF(AND(tblFleet[[#This Row],[Units]]&lt;&gt;"",tblFleet[[#This Row],[Available_h]]&gt;0),tblFleet[[#This Row],[Operating_h]]/tblFleet[[#This Row],[Available_h]],"")</f>
        <v/>
      </c>
    </row>
    <row r="1019">
      <c r="A1019" s="54" t="n"/>
      <c r="B1019" s="61" t="n"/>
      <c r="C1019" s="62" t="n"/>
      <c r="D1019" s="57" t="n"/>
      <c r="E1019" s="57" t="n"/>
      <c r="F1019" s="58" t="n"/>
      <c r="G1019" s="66">
        <f>IF(tblFleet[[#This Row],[Units]]="","",tblFleet[[#This Row],[Units]]*cfg_HoursPerDay)</f>
        <v/>
      </c>
      <c r="H1019" s="66">
        <f>IF(tblFleet[[#This Row],[Units]]="","",tblFleet[[#This Row],[Calendar_h]]-tblFleet[[#This Row],[Down_h]])</f>
        <v/>
      </c>
      <c r="I1019" s="60">
        <f>IF(AND(tblFleet[[#This Row],[Units]]&lt;&gt;"",tblFleet[[#This Row],[Calendar_h]]&gt;0),tblFleet[[#This Row],[Available_h]]/tblFleet[[#This Row],[Calendar_h]],"")</f>
        <v/>
      </c>
      <c r="J1019" s="60">
        <f>IF(AND(tblFleet[[#This Row],[Units]]&lt;&gt;"",tblFleet[[#This Row],[Available_h]]&gt;0),tblFleet[[#This Row],[Operating_h]]/tblFleet[[#This Row],[Available_h]],"")</f>
        <v/>
      </c>
    </row>
    <row r="1020">
      <c r="A1020" s="54" t="n"/>
      <c r="B1020" s="61" t="n"/>
      <c r="C1020" s="62" t="n"/>
      <c r="D1020" s="57" t="n"/>
      <c r="E1020" s="57" t="n"/>
      <c r="F1020" s="58" t="n"/>
      <c r="G1020" s="66">
        <f>IF(tblFleet[[#This Row],[Units]]="","",tblFleet[[#This Row],[Units]]*cfg_HoursPerDay)</f>
        <v/>
      </c>
      <c r="H1020" s="66">
        <f>IF(tblFleet[[#This Row],[Units]]="","",tblFleet[[#This Row],[Calendar_h]]-tblFleet[[#This Row],[Down_h]])</f>
        <v/>
      </c>
      <c r="I1020" s="60">
        <f>IF(AND(tblFleet[[#This Row],[Units]]&lt;&gt;"",tblFleet[[#This Row],[Calendar_h]]&gt;0),tblFleet[[#This Row],[Available_h]]/tblFleet[[#This Row],[Calendar_h]],"")</f>
        <v/>
      </c>
      <c r="J1020" s="60">
        <f>IF(AND(tblFleet[[#This Row],[Units]]&lt;&gt;"",tblFleet[[#This Row],[Available_h]]&gt;0),tblFleet[[#This Row],[Operating_h]]/tblFleet[[#This Row],[Available_h]],"")</f>
        <v/>
      </c>
    </row>
    <row r="1021">
      <c r="A1021" s="54" t="n"/>
      <c r="B1021" s="61" t="n"/>
      <c r="C1021" s="62" t="n"/>
      <c r="D1021" s="57" t="n"/>
      <c r="E1021" s="57" t="n"/>
      <c r="F1021" s="58" t="n"/>
      <c r="G1021" s="66">
        <f>IF(tblFleet[[#This Row],[Units]]="","",tblFleet[[#This Row],[Units]]*cfg_HoursPerDay)</f>
        <v/>
      </c>
      <c r="H1021" s="66">
        <f>IF(tblFleet[[#This Row],[Units]]="","",tblFleet[[#This Row],[Calendar_h]]-tblFleet[[#This Row],[Down_h]])</f>
        <v/>
      </c>
      <c r="I1021" s="60">
        <f>IF(AND(tblFleet[[#This Row],[Units]]&lt;&gt;"",tblFleet[[#This Row],[Calendar_h]]&gt;0),tblFleet[[#This Row],[Available_h]]/tblFleet[[#This Row],[Calendar_h]],"")</f>
        <v/>
      </c>
      <c r="J1021" s="60">
        <f>IF(AND(tblFleet[[#This Row],[Units]]&lt;&gt;"",tblFleet[[#This Row],[Available_h]]&gt;0),tblFleet[[#This Row],[Operating_h]]/tblFleet[[#This Row],[Available_h]],"")</f>
        <v/>
      </c>
    </row>
    <row r="1022">
      <c r="A1022" s="54" t="n"/>
      <c r="B1022" s="61" t="n"/>
      <c r="C1022" s="62" t="n"/>
      <c r="D1022" s="57" t="n"/>
      <c r="E1022" s="57" t="n"/>
      <c r="F1022" s="58" t="n"/>
      <c r="G1022" s="66">
        <f>IF(tblFleet[[#This Row],[Units]]="","",tblFleet[[#This Row],[Units]]*cfg_HoursPerDay)</f>
        <v/>
      </c>
      <c r="H1022" s="66">
        <f>IF(tblFleet[[#This Row],[Units]]="","",tblFleet[[#This Row],[Calendar_h]]-tblFleet[[#This Row],[Down_h]])</f>
        <v/>
      </c>
      <c r="I1022" s="60">
        <f>IF(AND(tblFleet[[#This Row],[Units]]&lt;&gt;"",tblFleet[[#This Row],[Calendar_h]]&gt;0),tblFleet[[#This Row],[Available_h]]/tblFleet[[#This Row],[Calendar_h]],"")</f>
        <v/>
      </c>
      <c r="J1022" s="60">
        <f>IF(AND(tblFleet[[#This Row],[Units]]&lt;&gt;"",tblFleet[[#This Row],[Available_h]]&gt;0),tblFleet[[#This Row],[Operating_h]]/tblFleet[[#This Row],[Available_h]],"")</f>
        <v/>
      </c>
    </row>
    <row r="1023">
      <c r="A1023" s="54" t="n"/>
      <c r="B1023" s="61" t="n"/>
      <c r="C1023" s="62" t="n"/>
      <c r="D1023" s="57" t="n"/>
      <c r="E1023" s="57" t="n"/>
      <c r="F1023" s="58" t="n"/>
      <c r="G1023" s="66">
        <f>IF(tblFleet[[#This Row],[Units]]="","",tblFleet[[#This Row],[Units]]*cfg_HoursPerDay)</f>
        <v/>
      </c>
      <c r="H1023" s="66">
        <f>IF(tblFleet[[#This Row],[Units]]="","",tblFleet[[#This Row],[Calendar_h]]-tblFleet[[#This Row],[Down_h]])</f>
        <v/>
      </c>
      <c r="I1023" s="60">
        <f>IF(AND(tblFleet[[#This Row],[Units]]&lt;&gt;"",tblFleet[[#This Row],[Calendar_h]]&gt;0),tblFleet[[#This Row],[Available_h]]/tblFleet[[#This Row],[Calendar_h]],"")</f>
        <v/>
      </c>
      <c r="J1023" s="60">
        <f>IF(AND(tblFleet[[#This Row],[Units]]&lt;&gt;"",tblFleet[[#This Row],[Available_h]]&gt;0),tblFleet[[#This Row],[Operating_h]]/tblFleet[[#This Row],[Available_h]],"")</f>
        <v/>
      </c>
    </row>
    <row r="1024">
      <c r="A1024" s="54" t="n"/>
      <c r="B1024" s="61" t="n"/>
      <c r="C1024" s="62" t="n"/>
      <c r="D1024" s="57" t="n"/>
      <c r="E1024" s="57" t="n"/>
      <c r="F1024" s="58" t="n"/>
      <c r="G1024" s="66">
        <f>IF(tblFleet[[#This Row],[Units]]="","",tblFleet[[#This Row],[Units]]*cfg_HoursPerDay)</f>
        <v/>
      </c>
      <c r="H1024" s="66">
        <f>IF(tblFleet[[#This Row],[Units]]="","",tblFleet[[#This Row],[Calendar_h]]-tblFleet[[#This Row],[Down_h]])</f>
        <v/>
      </c>
      <c r="I1024" s="60">
        <f>IF(AND(tblFleet[[#This Row],[Units]]&lt;&gt;"",tblFleet[[#This Row],[Calendar_h]]&gt;0),tblFleet[[#This Row],[Available_h]]/tblFleet[[#This Row],[Calendar_h]],"")</f>
        <v/>
      </c>
      <c r="J1024" s="60">
        <f>IF(AND(tblFleet[[#This Row],[Units]]&lt;&gt;"",tblFleet[[#This Row],[Available_h]]&gt;0),tblFleet[[#This Row],[Operating_h]]/tblFleet[[#This Row],[Available_h]],"")</f>
        <v/>
      </c>
    </row>
    <row r="1025">
      <c r="A1025" s="54" t="n"/>
      <c r="B1025" s="61" t="n"/>
      <c r="C1025" s="62" t="n"/>
      <c r="D1025" s="57" t="n"/>
      <c r="E1025" s="57" t="n"/>
      <c r="F1025" s="58" t="n"/>
      <c r="G1025" s="66">
        <f>IF(tblFleet[[#This Row],[Units]]="","",tblFleet[[#This Row],[Units]]*cfg_HoursPerDay)</f>
        <v/>
      </c>
      <c r="H1025" s="66">
        <f>IF(tblFleet[[#This Row],[Units]]="","",tblFleet[[#This Row],[Calendar_h]]-tblFleet[[#This Row],[Down_h]])</f>
        <v/>
      </c>
      <c r="I1025" s="60">
        <f>IF(AND(tblFleet[[#This Row],[Units]]&lt;&gt;"",tblFleet[[#This Row],[Calendar_h]]&gt;0),tblFleet[[#This Row],[Available_h]]/tblFleet[[#This Row],[Calendar_h]],"")</f>
        <v/>
      </c>
      <c r="J1025" s="60">
        <f>IF(AND(tblFleet[[#This Row],[Units]]&lt;&gt;"",tblFleet[[#This Row],[Available_h]]&gt;0),tblFleet[[#This Row],[Operating_h]]/tblFleet[[#This Row],[Available_h]],"")</f>
        <v/>
      </c>
    </row>
    <row r="1026">
      <c r="A1026" s="54" t="n"/>
      <c r="B1026" s="61" t="n"/>
      <c r="C1026" s="62" t="n"/>
      <c r="D1026" s="57" t="n"/>
      <c r="E1026" s="57" t="n"/>
      <c r="F1026" s="58" t="n"/>
      <c r="G1026" s="66">
        <f>IF(tblFleet[[#This Row],[Units]]="","",tblFleet[[#This Row],[Units]]*cfg_HoursPerDay)</f>
        <v/>
      </c>
      <c r="H1026" s="66">
        <f>IF(tblFleet[[#This Row],[Units]]="","",tblFleet[[#This Row],[Calendar_h]]-tblFleet[[#This Row],[Down_h]])</f>
        <v/>
      </c>
      <c r="I1026" s="60">
        <f>IF(AND(tblFleet[[#This Row],[Units]]&lt;&gt;"",tblFleet[[#This Row],[Calendar_h]]&gt;0),tblFleet[[#This Row],[Available_h]]/tblFleet[[#This Row],[Calendar_h]],"")</f>
        <v/>
      </c>
      <c r="J1026" s="60">
        <f>IF(AND(tblFleet[[#This Row],[Units]]&lt;&gt;"",tblFleet[[#This Row],[Available_h]]&gt;0),tblFleet[[#This Row],[Operating_h]]/tblFleet[[#This Row],[Available_h]],"")</f>
        <v/>
      </c>
    </row>
    <row r="1027">
      <c r="A1027" s="54" t="n"/>
      <c r="B1027" s="61" t="n"/>
      <c r="C1027" s="62" t="n"/>
      <c r="D1027" s="57" t="n"/>
      <c r="E1027" s="57" t="n"/>
      <c r="F1027" s="58" t="n"/>
      <c r="G1027" s="66">
        <f>IF(tblFleet[[#This Row],[Units]]="","",tblFleet[[#This Row],[Units]]*cfg_HoursPerDay)</f>
        <v/>
      </c>
      <c r="H1027" s="66">
        <f>IF(tblFleet[[#This Row],[Units]]="","",tblFleet[[#This Row],[Calendar_h]]-tblFleet[[#This Row],[Down_h]])</f>
        <v/>
      </c>
      <c r="I1027" s="60">
        <f>IF(AND(tblFleet[[#This Row],[Units]]&lt;&gt;"",tblFleet[[#This Row],[Calendar_h]]&gt;0),tblFleet[[#This Row],[Available_h]]/tblFleet[[#This Row],[Calendar_h]],"")</f>
        <v/>
      </c>
      <c r="J1027" s="60">
        <f>IF(AND(tblFleet[[#This Row],[Units]]&lt;&gt;"",tblFleet[[#This Row],[Available_h]]&gt;0),tblFleet[[#This Row],[Operating_h]]/tblFleet[[#This Row],[Available_h]],"")</f>
        <v/>
      </c>
    </row>
    <row r="1028">
      <c r="A1028" s="54" t="n"/>
      <c r="B1028" s="61" t="n"/>
      <c r="C1028" s="62" t="n"/>
      <c r="D1028" s="57" t="n"/>
      <c r="E1028" s="57" t="n"/>
      <c r="F1028" s="58" t="n"/>
      <c r="G1028" s="66">
        <f>IF(tblFleet[[#This Row],[Units]]="","",tblFleet[[#This Row],[Units]]*cfg_HoursPerDay)</f>
        <v/>
      </c>
      <c r="H1028" s="66">
        <f>IF(tblFleet[[#This Row],[Units]]="","",tblFleet[[#This Row],[Calendar_h]]-tblFleet[[#This Row],[Down_h]])</f>
        <v/>
      </c>
      <c r="I1028" s="60">
        <f>IF(AND(tblFleet[[#This Row],[Units]]&lt;&gt;"",tblFleet[[#This Row],[Calendar_h]]&gt;0),tblFleet[[#This Row],[Available_h]]/tblFleet[[#This Row],[Calendar_h]],"")</f>
        <v/>
      </c>
      <c r="J1028" s="60">
        <f>IF(AND(tblFleet[[#This Row],[Units]]&lt;&gt;"",tblFleet[[#This Row],[Available_h]]&gt;0),tblFleet[[#This Row],[Operating_h]]/tblFleet[[#This Row],[Available_h]],"")</f>
        <v/>
      </c>
    </row>
    <row r="1029">
      <c r="A1029" s="54" t="n"/>
      <c r="B1029" s="61" t="n"/>
      <c r="C1029" s="62" t="n"/>
      <c r="D1029" s="57" t="n"/>
      <c r="E1029" s="57" t="n"/>
      <c r="F1029" s="58" t="n"/>
      <c r="G1029" s="66">
        <f>IF(tblFleet[[#This Row],[Units]]="","",tblFleet[[#This Row],[Units]]*cfg_HoursPerDay)</f>
        <v/>
      </c>
      <c r="H1029" s="66">
        <f>IF(tblFleet[[#This Row],[Units]]="","",tblFleet[[#This Row],[Calendar_h]]-tblFleet[[#This Row],[Down_h]])</f>
        <v/>
      </c>
      <c r="I1029" s="60">
        <f>IF(AND(tblFleet[[#This Row],[Units]]&lt;&gt;"",tblFleet[[#This Row],[Calendar_h]]&gt;0),tblFleet[[#This Row],[Available_h]]/tblFleet[[#This Row],[Calendar_h]],"")</f>
        <v/>
      </c>
      <c r="J1029" s="60">
        <f>IF(AND(tblFleet[[#This Row],[Units]]&lt;&gt;"",tblFleet[[#This Row],[Available_h]]&gt;0),tblFleet[[#This Row],[Operating_h]]/tblFleet[[#This Row],[Available_h]],"")</f>
        <v/>
      </c>
    </row>
    <row r="1030">
      <c r="A1030" s="54" t="n"/>
      <c r="B1030" s="61" t="n"/>
      <c r="C1030" s="62" t="n"/>
      <c r="D1030" s="57" t="n"/>
      <c r="E1030" s="57" t="n"/>
      <c r="F1030" s="58" t="n"/>
      <c r="G1030" s="66">
        <f>IF(tblFleet[[#This Row],[Units]]="","",tblFleet[[#This Row],[Units]]*cfg_HoursPerDay)</f>
        <v/>
      </c>
      <c r="H1030" s="66">
        <f>IF(tblFleet[[#This Row],[Units]]="","",tblFleet[[#This Row],[Calendar_h]]-tblFleet[[#This Row],[Down_h]])</f>
        <v/>
      </c>
      <c r="I1030" s="60">
        <f>IF(AND(tblFleet[[#This Row],[Units]]&lt;&gt;"",tblFleet[[#This Row],[Calendar_h]]&gt;0),tblFleet[[#This Row],[Available_h]]/tblFleet[[#This Row],[Calendar_h]],"")</f>
        <v/>
      </c>
      <c r="J1030" s="60">
        <f>IF(AND(tblFleet[[#This Row],[Units]]&lt;&gt;"",tblFleet[[#This Row],[Available_h]]&gt;0),tblFleet[[#This Row],[Operating_h]]/tblFleet[[#This Row],[Available_h]],"")</f>
        <v/>
      </c>
    </row>
    <row r="1031">
      <c r="A1031" s="54" t="n"/>
      <c r="B1031" s="61" t="n"/>
      <c r="C1031" s="62" t="n"/>
      <c r="D1031" s="57" t="n"/>
      <c r="E1031" s="57" t="n"/>
      <c r="F1031" s="58" t="n"/>
      <c r="G1031" s="66">
        <f>IF(tblFleet[[#This Row],[Units]]="","",tblFleet[[#This Row],[Units]]*cfg_HoursPerDay)</f>
        <v/>
      </c>
      <c r="H1031" s="66">
        <f>IF(tblFleet[[#This Row],[Units]]="","",tblFleet[[#This Row],[Calendar_h]]-tblFleet[[#This Row],[Down_h]])</f>
        <v/>
      </c>
      <c r="I1031" s="60">
        <f>IF(AND(tblFleet[[#This Row],[Units]]&lt;&gt;"",tblFleet[[#This Row],[Calendar_h]]&gt;0),tblFleet[[#This Row],[Available_h]]/tblFleet[[#This Row],[Calendar_h]],"")</f>
        <v/>
      </c>
      <c r="J1031" s="60">
        <f>IF(AND(tblFleet[[#This Row],[Units]]&lt;&gt;"",tblFleet[[#This Row],[Available_h]]&gt;0),tblFleet[[#This Row],[Operating_h]]/tblFleet[[#This Row],[Available_h]],"")</f>
        <v/>
      </c>
    </row>
    <row r="1032">
      <c r="A1032" s="54" t="n"/>
      <c r="B1032" s="61" t="n"/>
      <c r="C1032" s="62" t="n"/>
      <c r="D1032" s="57" t="n"/>
      <c r="E1032" s="57" t="n"/>
      <c r="F1032" s="58" t="n"/>
      <c r="G1032" s="66">
        <f>IF(tblFleet[[#This Row],[Units]]="","",tblFleet[[#This Row],[Units]]*cfg_HoursPerDay)</f>
        <v/>
      </c>
      <c r="H1032" s="66">
        <f>IF(tblFleet[[#This Row],[Units]]="","",tblFleet[[#This Row],[Calendar_h]]-tblFleet[[#This Row],[Down_h]])</f>
        <v/>
      </c>
      <c r="I1032" s="60">
        <f>IF(AND(tblFleet[[#This Row],[Units]]&lt;&gt;"",tblFleet[[#This Row],[Calendar_h]]&gt;0),tblFleet[[#This Row],[Available_h]]/tblFleet[[#This Row],[Calendar_h]],"")</f>
        <v/>
      </c>
      <c r="J1032" s="60">
        <f>IF(AND(tblFleet[[#This Row],[Units]]&lt;&gt;"",tblFleet[[#This Row],[Available_h]]&gt;0),tblFleet[[#This Row],[Operating_h]]/tblFleet[[#This Row],[Available_h]],"")</f>
        <v/>
      </c>
    </row>
    <row r="1033">
      <c r="A1033" s="54" t="n"/>
      <c r="B1033" s="61" t="n"/>
      <c r="C1033" s="62" t="n"/>
      <c r="D1033" s="57" t="n"/>
      <c r="E1033" s="57" t="n"/>
      <c r="F1033" s="58" t="n"/>
      <c r="G1033" s="66">
        <f>IF(tblFleet[[#This Row],[Units]]="","",tblFleet[[#This Row],[Units]]*cfg_HoursPerDay)</f>
        <v/>
      </c>
      <c r="H1033" s="66">
        <f>IF(tblFleet[[#This Row],[Units]]="","",tblFleet[[#This Row],[Calendar_h]]-tblFleet[[#This Row],[Down_h]])</f>
        <v/>
      </c>
      <c r="I1033" s="60">
        <f>IF(AND(tblFleet[[#This Row],[Units]]&lt;&gt;"",tblFleet[[#This Row],[Calendar_h]]&gt;0),tblFleet[[#This Row],[Available_h]]/tblFleet[[#This Row],[Calendar_h]],"")</f>
        <v/>
      </c>
      <c r="J1033" s="60">
        <f>IF(AND(tblFleet[[#This Row],[Units]]&lt;&gt;"",tblFleet[[#This Row],[Available_h]]&gt;0),tblFleet[[#This Row],[Operating_h]]/tblFleet[[#This Row],[Available_h]],"")</f>
        <v/>
      </c>
    </row>
    <row r="1034">
      <c r="A1034" s="54" t="n"/>
      <c r="B1034" s="61" t="n"/>
      <c r="C1034" s="62" t="n"/>
      <c r="D1034" s="57" t="n"/>
      <c r="E1034" s="57" t="n"/>
      <c r="F1034" s="58" t="n"/>
      <c r="G1034" s="66">
        <f>IF(tblFleet[[#This Row],[Units]]="","",tblFleet[[#This Row],[Units]]*cfg_HoursPerDay)</f>
        <v/>
      </c>
      <c r="H1034" s="66">
        <f>IF(tblFleet[[#This Row],[Units]]="","",tblFleet[[#This Row],[Calendar_h]]-tblFleet[[#This Row],[Down_h]])</f>
        <v/>
      </c>
      <c r="I1034" s="60">
        <f>IF(AND(tblFleet[[#This Row],[Units]]&lt;&gt;"",tblFleet[[#This Row],[Calendar_h]]&gt;0),tblFleet[[#This Row],[Available_h]]/tblFleet[[#This Row],[Calendar_h]],"")</f>
        <v/>
      </c>
      <c r="J1034" s="60">
        <f>IF(AND(tblFleet[[#This Row],[Units]]&lt;&gt;"",tblFleet[[#This Row],[Available_h]]&gt;0),tblFleet[[#This Row],[Operating_h]]/tblFleet[[#This Row],[Available_h]],"")</f>
        <v/>
      </c>
    </row>
    <row r="1035">
      <c r="A1035" s="54" t="n"/>
      <c r="B1035" s="61" t="n"/>
      <c r="C1035" s="62" t="n"/>
      <c r="D1035" s="57" t="n"/>
      <c r="E1035" s="57" t="n"/>
      <c r="F1035" s="58" t="n"/>
      <c r="G1035" s="66">
        <f>IF(tblFleet[[#This Row],[Units]]="","",tblFleet[[#This Row],[Units]]*cfg_HoursPerDay)</f>
        <v/>
      </c>
      <c r="H1035" s="66">
        <f>IF(tblFleet[[#This Row],[Units]]="","",tblFleet[[#This Row],[Calendar_h]]-tblFleet[[#This Row],[Down_h]])</f>
        <v/>
      </c>
      <c r="I1035" s="60">
        <f>IF(AND(tblFleet[[#This Row],[Units]]&lt;&gt;"",tblFleet[[#This Row],[Calendar_h]]&gt;0),tblFleet[[#This Row],[Available_h]]/tblFleet[[#This Row],[Calendar_h]],"")</f>
        <v/>
      </c>
      <c r="J1035" s="60">
        <f>IF(AND(tblFleet[[#This Row],[Units]]&lt;&gt;"",tblFleet[[#This Row],[Available_h]]&gt;0),tblFleet[[#This Row],[Operating_h]]/tblFleet[[#This Row],[Available_h]],"")</f>
        <v/>
      </c>
    </row>
    <row r="1036">
      <c r="A1036" s="54" t="n"/>
      <c r="B1036" s="61" t="n"/>
      <c r="C1036" s="62" t="n"/>
      <c r="D1036" s="57" t="n"/>
      <c r="E1036" s="57" t="n"/>
      <c r="F1036" s="58" t="n"/>
      <c r="G1036" s="66">
        <f>IF(tblFleet[[#This Row],[Units]]="","",tblFleet[[#This Row],[Units]]*cfg_HoursPerDay)</f>
        <v/>
      </c>
      <c r="H1036" s="66">
        <f>IF(tblFleet[[#This Row],[Units]]="","",tblFleet[[#This Row],[Calendar_h]]-tblFleet[[#This Row],[Down_h]])</f>
        <v/>
      </c>
      <c r="I1036" s="60">
        <f>IF(AND(tblFleet[[#This Row],[Units]]&lt;&gt;"",tblFleet[[#This Row],[Calendar_h]]&gt;0),tblFleet[[#This Row],[Available_h]]/tblFleet[[#This Row],[Calendar_h]],"")</f>
        <v/>
      </c>
      <c r="J1036" s="60">
        <f>IF(AND(tblFleet[[#This Row],[Units]]&lt;&gt;"",tblFleet[[#This Row],[Available_h]]&gt;0),tblFleet[[#This Row],[Operating_h]]/tblFleet[[#This Row],[Available_h]],"")</f>
        <v/>
      </c>
    </row>
    <row r="1037">
      <c r="A1037" s="54" t="n"/>
      <c r="B1037" s="61" t="n"/>
      <c r="C1037" s="62" t="n"/>
      <c r="D1037" s="57" t="n"/>
      <c r="E1037" s="57" t="n"/>
      <c r="F1037" s="58" t="n"/>
      <c r="G1037" s="66">
        <f>IF(tblFleet[[#This Row],[Units]]="","",tblFleet[[#This Row],[Units]]*cfg_HoursPerDay)</f>
        <v/>
      </c>
      <c r="H1037" s="66">
        <f>IF(tblFleet[[#This Row],[Units]]="","",tblFleet[[#This Row],[Calendar_h]]-tblFleet[[#This Row],[Down_h]])</f>
        <v/>
      </c>
      <c r="I1037" s="60">
        <f>IF(AND(tblFleet[[#This Row],[Units]]&lt;&gt;"",tblFleet[[#This Row],[Calendar_h]]&gt;0),tblFleet[[#This Row],[Available_h]]/tblFleet[[#This Row],[Calendar_h]],"")</f>
        <v/>
      </c>
      <c r="J1037" s="60">
        <f>IF(AND(tblFleet[[#This Row],[Units]]&lt;&gt;"",tblFleet[[#This Row],[Available_h]]&gt;0),tblFleet[[#This Row],[Operating_h]]/tblFleet[[#This Row],[Available_h]],"")</f>
        <v/>
      </c>
    </row>
    <row r="1038">
      <c r="A1038" s="54" t="n"/>
      <c r="B1038" s="61" t="n"/>
      <c r="C1038" s="62" t="n"/>
      <c r="D1038" s="57" t="n"/>
      <c r="E1038" s="57" t="n"/>
      <c r="F1038" s="58" t="n"/>
      <c r="G1038" s="66">
        <f>IF(tblFleet[[#This Row],[Units]]="","",tblFleet[[#This Row],[Units]]*cfg_HoursPerDay)</f>
        <v/>
      </c>
      <c r="H1038" s="66">
        <f>IF(tblFleet[[#This Row],[Units]]="","",tblFleet[[#This Row],[Calendar_h]]-tblFleet[[#This Row],[Down_h]])</f>
        <v/>
      </c>
      <c r="I1038" s="60">
        <f>IF(AND(tblFleet[[#This Row],[Units]]&lt;&gt;"",tblFleet[[#This Row],[Calendar_h]]&gt;0),tblFleet[[#This Row],[Available_h]]/tblFleet[[#This Row],[Calendar_h]],"")</f>
        <v/>
      </c>
      <c r="J1038" s="60">
        <f>IF(AND(tblFleet[[#This Row],[Units]]&lt;&gt;"",tblFleet[[#This Row],[Available_h]]&gt;0),tblFleet[[#This Row],[Operating_h]]/tblFleet[[#This Row],[Available_h]],"")</f>
        <v/>
      </c>
    </row>
    <row r="1039">
      <c r="A1039" s="54" t="n"/>
      <c r="B1039" s="61" t="n"/>
      <c r="C1039" s="62" t="n"/>
      <c r="D1039" s="57" t="n"/>
      <c r="E1039" s="57" t="n"/>
      <c r="F1039" s="58" t="n"/>
      <c r="G1039" s="66">
        <f>IF(tblFleet[[#This Row],[Units]]="","",tblFleet[[#This Row],[Units]]*cfg_HoursPerDay)</f>
        <v/>
      </c>
      <c r="H1039" s="66">
        <f>IF(tblFleet[[#This Row],[Units]]="","",tblFleet[[#This Row],[Calendar_h]]-tblFleet[[#This Row],[Down_h]])</f>
        <v/>
      </c>
      <c r="I1039" s="60">
        <f>IF(AND(tblFleet[[#This Row],[Units]]&lt;&gt;"",tblFleet[[#This Row],[Calendar_h]]&gt;0),tblFleet[[#This Row],[Available_h]]/tblFleet[[#This Row],[Calendar_h]],"")</f>
        <v/>
      </c>
      <c r="J1039" s="60">
        <f>IF(AND(tblFleet[[#This Row],[Units]]&lt;&gt;"",tblFleet[[#This Row],[Available_h]]&gt;0),tblFleet[[#This Row],[Operating_h]]/tblFleet[[#This Row],[Available_h]],"")</f>
        <v/>
      </c>
    </row>
    <row r="1040">
      <c r="A1040" s="54" t="n"/>
      <c r="B1040" s="61" t="n"/>
      <c r="C1040" s="62" t="n"/>
      <c r="D1040" s="57" t="n"/>
      <c r="E1040" s="57" t="n"/>
      <c r="F1040" s="58" t="n"/>
      <c r="G1040" s="66">
        <f>IF(tblFleet[[#This Row],[Units]]="","",tblFleet[[#This Row],[Units]]*cfg_HoursPerDay)</f>
        <v/>
      </c>
      <c r="H1040" s="66">
        <f>IF(tblFleet[[#This Row],[Units]]="","",tblFleet[[#This Row],[Calendar_h]]-tblFleet[[#This Row],[Down_h]])</f>
        <v/>
      </c>
      <c r="I1040" s="60">
        <f>IF(AND(tblFleet[[#This Row],[Units]]&lt;&gt;"",tblFleet[[#This Row],[Calendar_h]]&gt;0),tblFleet[[#This Row],[Available_h]]/tblFleet[[#This Row],[Calendar_h]],"")</f>
        <v/>
      </c>
      <c r="J1040" s="60">
        <f>IF(AND(tblFleet[[#This Row],[Units]]&lt;&gt;"",tblFleet[[#This Row],[Available_h]]&gt;0),tblFleet[[#This Row],[Operating_h]]/tblFleet[[#This Row],[Available_h]],"")</f>
        <v/>
      </c>
    </row>
    <row r="1041">
      <c r="A1041" s="54" t="n"/>
      <c r="B1041" s="61" t="n"/>
      <c r="C1041" s="62" t="n"/>
      <c r="D1041" s="57" t="n"/>
      <c r="E1041" s="57" t="n"/>
      <c r="F1041" s="58" t="n"/>
      <c r="G1041" s="66">
        <f>IF(tblFleet[[#This Row],[Units]]="","",tblFleet[[#This Row],[Units]]*cfg_HoursPerDay)</f>
        <v/>
      </c>
      <c r="H1041" s="66">
        <f>IF(tblFleet[[#This Row],[Units]]="","",tblFleet[[#This Row],[Calendar_h]]-tblFleet[[#This Row],[Down_h]])</f>
        <v/>
      </c>
      <c r="I1041" s="60">
        <f>IF(AND(tblFleet[[#This Row],[Units]]&lt;&gt;"",tblFleet[[#This Row],[Calendar_h]]&gt;0),tblFleet[[#This Row],[Available_h]]/tblFleet[[#This Row],[Calendar_h]],"")</f>
        <v/>
      </c>
      <c r="J1041" s="60">
        <f>IF(AND(tblFleet[[#This Row],[Units]]&lt;&gt;"",tblFleet[[#This Row],[Available_h]]&gt;0),tblFleet[[#This Row],[Operating_h]]/tblFleet[[#This Row],[Available_h]],"")</f>
        <v/>
      </c>
    </row>
    <row r="1042">
      <c r="A1042" s="54" t="n"/>
      <c r="B1042" s="61" t="n"/>
      <c r="C1042" s="62" t="n"/>
      <c r="D1042" s="57" t="n"/>
      <c r="E1042" s="57" t="n"/>
      <c r="F1042" s="58" t="n"/>
      <c r="G1042" s="66">
        <f>IF(tblFleet[[#This Row],[Units]]="","",tblFleet[[#This Row],[Units]]*cfg_HoursPerDay)</f>
        <v/>
      </c>
      <c r="H1042" s="66">
        <f>IF(tblFleet[[#This Row],[Units]]="","",tblFleet[[#This Row],[Calendar_h]]-tblFleet[[#This Row],[Down_h]])</f>
        <v/>
      </c>
      <c r="I1042" s="60">
        <f>IF(AND(tblFleet[[#This Row],[Units]]&lt;&gt;"",tblFleet[[#This Row],[Calendar_h]]&gt;0),tblFleet[[#This Row],[Available_h]]/tblFleet[[#This Row],[Calendar_h]],"")</f>
        <v/>
      </c>
      <c r="J1042" s="60">
        <f>IF(AND(tblFleet[[#This Row],[Units]]&lt;&gt;"",tblFleet[[#This Row],[Available_h]]&gt;0),tblFleet[[#This Row],[Operating_h]]/tblFleet[[#This Row],[Available_h]],"")</f>
        <v/>
      </c>
    </row>
    <row r="1043">
      <c r="A1043" s="54" t="n"/>
      <c r="B1043" s="61" t="n"/>
      <c r="C1043" s="62" t="n"/>
      <c r="D1043" s="57" t="n"/>
      <c r="E1043" s="57" t="n"/>
      <c r="F1043" s="58" t="n"/>
      <c r="G1043" s="66">
        <f>IF(tblFleet[[#This Row],[Units]]="","",tblFleet[[#This Row],[Units]]*cfg_HoursPerDay)</f>
        <v/>
      </c>
      <c r="H1043" s="66">
        <f>IF(tblFleet[[#This Row],[Units]]="","",tblFleet[[#This Row],[Calendar_h]]-tblFleet[[#This Row],[Down_h]])</f>
        <v/>
      </c>
      <c r="I1043" s="60">
        <f>IF(AND(tblFleet[[#This Row],[Units]]&lt;&gt;"",tblFleet[[#This Row],[Calendar_h]]&gt;0),tblFleet[[#This Row],[Available_h]]/tblFleet[[#This Row],[Calendar_h]],"")</f>
        <v/>
      </c>
      <c r="J1043" s="60">
        <f>IF(AND(tblFleet[[#This Row],[Units]]&lt;&gt;"",tblFleet[[#This Row],[Available_h]]&gt;0),tblFleet[[#This Row],[Operating_h]]/tblFleet[[#This Row],[Available_h]],"")</f>
        <v/>
      </c>
    </row>
    <row r="1044">
      <c r="A1044" s="54" t="n"/>
      <c r="B1044" s="61" t="n"/>
      <c r="C1044" s="62" t="n"/>
      <c r="D1044" s="57" t="n"/>
      <c r="E1044" s="57" t="n"/>
      <c r="F1044" s="58" t="n"/>
      <c r="G1044" s="66">
        <f>IF(tblFleet[[#This Row],[Units]]="","",tblFleet[[#This Row],[Units]]*cfg_HoursPerDay)</f>
        <v/>
      </c>
      <c r="H1044" s="66">
        <f>IF(tblFleet[[#This Row],[Units]]="","",tblFleet[[#This Row],[Calendar_h]]-tblFleet[[#This Row],[Down_h]])</f>
        <v/>
      </c>
      <c r="I1044" s="60">
        <f>IF(AND(tblFleet[[#This Row],[Units]]&lt;&gt;"",tblFleet[[#This Row],[Calendar_h]]&gt;0),tblFleet[[#This Row],[Available_h]]/tblFleet[[#This Row],[Calendar_h]],"")</f>
        <v/>
      </c>
      <c r="J1044" s="60">
        <f>IF(AND(tblFleet[[#This Row],[Units]]&lt;&gt;"",tblFleet[[#This Row],[Available_h]]&gt;0),tblFleet[[#This Row],[Operating_h]]/tblFleet[[#This Row],[Available_h]],"")</f>
        <v/>
      </c>
    </row>
    <row r="1045">
      <c r="A1045" s="54" t="n"/>
      <c r="B1045" s="61" t="n"/>
      <c r="C1045" s="62" t="n"/>
      <c r="D1045" s="57" t="n"/>
      <c r="E1045" s="57" t="n"/>
      <c r="F1045" s="58" t="n"/>
      <c r="G1045" s="66">
        <f>IF(tblFleet[[#This Row],[Units]]="","",tblFleet[[#This Row],[Units]]*cfg_HoursPerDay)</f>
        <v/>
      </c>
      <c r="H1045" s="66">
        <f>IF(tblFleet[[#This Row],[Units]]="","",tblFleet[[#This Row],[Calendar_h]]-tblFleet[[#This Row],[Down_h]])</f>
        <v/>
      </c>
      <c r="I1045" s="60">
        <f>IF(AND(tblFleet[[#This Row],[Units]]&lt;&gt;"",tblFleet[[#This Row],[Calendar_h]]&gt;0),tblFleet[[#This Row],[Available_h]]/tblFleet[[#This Row],[Calendar_h]],"")</f>
        <v/>
      </c>
      <c r="J1045" s="60">
        <f>IF(AND(tblFleet[[#This Row],[Units]]&lt;&gt;"",tblFleet[[#This Row],[Available_h]]&gt;0),tblFleet[[#This Row],[Operating_h]]/tblFleet[[#This Row],[Available_h]],"")</f>
        <v/>
      </c>
    </row>
    <row r="1046">
      <c r="A1046" s="54" t="n"/>
      <c r="B1046" s="61" t="n"/>
      <c r="C1046" s="62" t="n"/>
      <c r="D1046" s="57" t="n"/>
      <c r="E1046" s="57" t="n"/>
      <c r="F1046" s="58" t="n"/>
      <c r="G1046" s="66">
        <f>IF(tblFleet[[#This Row],[Units]]="","",tblFleet[[#This Row],[Units]]*cfg_HoursPerDay)</f>
        <v/>
      </c>
      <c r="H1046" s="66">
        <f>IF(tblFleet[[#This Row],[Units]]="","",tblFleet[[#This Row],[Calendar_h]]-tblFleet[[#This Row],[Down_h]])</f>
        <v/>
      </c>
      <c r="I1046" s="60">
        <f>IF(AND(tblFleet[[#This Row],[Units]]&lt;&gt;"",tblFleet[[#This Row],[Calendar_h]]&gt;0),tblFleet[[#This Row],[Available_h]]/tblFleet[[#This Row],[Calendar_h]],"")</f>
        <v/>
      </c>
      <c r="J1046" s="60">
        <f>IF(AND(tblFleet[[#This Row],[Units]]&lt;&gt;"",tblFleet[[#This Row],[Available_h]]&gt;0),tblFleet[[#This Row],[Operating_h]]/tblFleet[[#This Row],[Available_h]],"")</f>
        <v/>
      </c>
    </row>
    <row r="1047">
      <c r="A1047" s="54" t="n"/>
      <c r="B1047" s="61" t="n"/>
      <c r="C1047" s="62" t="n"/>
      <c r="D1047" s="57" t="n"/>
      <c r="E1047" s="57" t="n"/>
      <c r="F1047" s="58" t="n"/>
      <c r="G1047" s="66">
        <f>IF(tblFleet[[#This Row],[Units]]="","",tblFleet[[#This Row],[Units]]*cfg_HoursPerDay)</f>
        <v/>
      </c>
      <c r="H1047" s="66">
        <f>IF(tblFleet[[#This Row],[Units]]="","",tblFleet[[#This Row],[Calendar_h]]-tblFleet[[#This Row],[Down_h]])</f>
        <v/>
      </c>
      <c r="I1047" s="60">
        <f>IF(AND(tblFleet[[#This Row],[Units]]&lt;&gt;"",tblFleet[[#This Row],[Calendar_h]]&gt;0),tblFleet[[#This Row],[Available_h]]/tblFleet[[#This Row],[Calendar_h]],"")</f>
        <v/>
      </c>
      <c r="J1047" s="60">
        <f>IF(AND(tblFleet[[#This Row],[Units]]&lt;&gt;"",tblFleet[[#This Row],[Available_h]]&gt;0),tblFleet[[#This Row],[Operating_h]]/tblFleet[[#This Row],[Available_h]],"")</f>
        <v/>
      </c>
    </row>
    <row r="1048">
      <c r="A1048" s="54" t="n"/>
      <c r="B1048" s="61" t="n"/>
      <c r="C1048" s="62" t="n"/>
      <c r="D1048" s="57" t="n"/>
      <c r="E1048" s="57" t="n"/>
      <c r="F1048" s="58" t="n"/>
      <c r="G1048" s="66">
        <f>IF(tblFleet[[#This Row],[Units]]="","",tblFleet[[#This Row],[Units]]*cfg_HoursPerDay)</f>
        <v/>
      </c>
      <c r="H1048" s="66">
        <f>IF(tblFleet[[#This Row],[Units]]="","",tblFleet[[#This Row],[Calendar_h]]-tblFleet[[#This Row],[Down_h]])</f>
        <v/>
      </c>
      <c r="I1048" s="60">
        <f>IF(AND(tblFleet[[#This Row],[Units]]&lt;&gt;"",tblFleet[[#This Row],[Calendar_h]]&gt;0),tblFleet[[#This Row],[Available_h]]/tblFleet[[#This Row],[Calendar_h]],"")</f>
        <v/>
      </c>
      <c r="J1048" s="60">
        <f>IF(AND(tblFleet[[#This Row],[Units]]&lt;&gt;"",tblFleet[[#This Row],[Available_h]]&gt;0),tblFleet[[#This Row],[Operating_h]]/tblFleet[[#This Row],[Available_h]],"")</f>
        <v/>
      </c>
    </row>
    <row r="1049">
      <c r="A1049" s="54" t="n"/>
      <c r="B1049" s="61" t="n"/>
      <c r="C1049" s="62" t="n"/>
      <c r="D1049" s="57" t="n"/>
      <c r="E1049" s="57" t="n"/>
      <c r="F1049" s="58" t="n"/>
      <c r="G1049" s="66">
        <f>IF(tblFleet[[#This Row],[Units]]="","",tblFleet[[#This Row],[Units]]*cfg_HoursPerDay)</f>
        <v/>
      </c>
      <c r="H1049" s="66">
        <f>IF(tblFleet[[#This Row],[Units]]="","",tblFleet[[#This Row],[Calendar_h]]-tblFleet[[#This Row],[Down_h]])</f>
        <v/>
      </c>
      <c r="I1049" s="60">
        <f>IF(AND(tblFleet[[#This Row],[Units]]&lt;&gt;"",tblFleet[[#This Row],[Calendar_h]]&gt;0),tblFleet[[#This Row],[Available_h]]/tblFleet[[#This Row],[Calendar_h]],"")</f>
        <v/>
      </c>
      <c r="J1049" s="60">
        <f>IF(AND(tblFleet[[#This Row],[Units]]&lt;&gt;"",tblFleet[[#This Row],[Available_h]]&gt;0),tblFleet[[#This Row],[Operating_h]]/tblFleet[[#This Row],[Available_h]],"")</f>
        <v/>
      </c>
    </row>
    <row r="1050">
      <c r="A1050" s="54" t="n"/>
      <c r="B1050" s="61" t="n"/>
      <c r="C1050" s="62" t="n"/>
      <c r="D1050" s="57" t="n"/>
      <c r="E1050" s="57" t="n"/>
      <c r="F1050" s="58" t="n"/>
      <c r="G1050" s="66">
        <f>IF(tblFleet[[#This Row],[Units]]="","",tblFleet[[#This Row],[Units]]*cfg_HoursPerDay)</f>
        <v/>
      </c>
      <c r="H1050" s="66">
        <f>IF(tblFleet[[#This Row],[Units]]="","",tblFleet[[#This Row],[Calendar_h]]-tblFleet[[#This Row],[Down_h]])</f>
        <v/>
      </c>
      <c r="I1050" s="60">
        <f>IF(AND(tblFleet[[#This Row],[Units]]&lt;&gt;"",tblFleet[[#This Row],[Calendar_h]]&gt;0),tblFleet[[#This Row],[Available_h]]/tblFleet[[#This Row],[Calendar_h]],"")</f>
        <v/>
      </c>
      <c r="J1050" s="60">
        <f>IF(AND(tblFleet[[#This Row],[Units]]&lt;&gt;"",tblFleet[[#This Row],[Available_h]]&gt;0),tblFleet[[#This Row],[Operating_h]]/tblFleet[[#This Row],[Available_h]],"")</f>
        <v/>
      </c>
    </row>
    <row r="1051">
      <c r="A1051" s="54" t="n"/>
      <c r="B1051" s="61" t="n"/>
      <c r="C1051" s="62" t="n"/>
      <c r="D1051" s="57" t="n"/>
      <c r="E1051" s="57" t="n"/>
      <c r="F1051" s="58" t="n"/>
      <c r="G1051" s="66">
        <f>IF(tblFleet[[#This Row],[Units]]="","",tblFleet[[#This Row],[Units]]*cfg_HoursPerDay)</f>
        <v/>
      </c>
      <c r="H1051" s="66">
        <f>IF(tblFleet[[#This Row],[Units]]="","",tblFleet[[#This Row],[Calendar_h]]-tblFleet[[#This Row],[Down_h]])</f>
        <v/>
      </c>
      <c r="I1051" s="60">
        <f>IF(AND(tblFleet[[#This Row],[Units]]&lt;&gt;"",tblFleet[[#This Row],[Calendar_h]]&gt;0),tblFleet[[#This Row],[Available_h]]/tblFleet[[#This Row],[Calendar_h]],"")</f>
        <v/>
      </c>
      <c r="J1051" s="60">
        <f>IF(AND(tblFleet[[#This Row],[Units]]&lt;&gt;"",tblFleet[[#This Row],[Available_h]]&gt;0),tblFleet[[#This Row],[Operating_h]]/tblFleet[[#This Row],[Available_h]],"")</f>
        <v/>
      </c>
    </row>
    <row r="1052">
      <c r="A1052" s="54" t="n"/>
      <c r="B1052" s="61" t="n"/>
      <c r="C1052" s="62" t="n"/>
      <c r="D1052" s="57" t="n"/>
      <c r="E1052" s="57" t="n"/>
      <c r="F1052" s="58" t="n"/>
      <c r="G1052" s="66">
        <f>IF(tblFleet[[#This Row],[Units]]="","",tblFleet[[#This Row],[Units]]*cfg_HoursPerDay)</f>
        <v/>
      </c>
      <c r="H1052" s="66">
        <f>IF(tblFleet[[#This Row],[Units]]="","",tblFleet[[#This Row],[Calendar_h]]-tblFleet[[#This Row],[Down_h]])</f>
        <v/>
      </c>
      <c r="I1052" s="60">
        <f>IF(AND(tblFleet[[#This Row],[Units]]&lt;&gt;"",tblFleet[[#This Row],[Calendar_h]]&gt;0),tblFleet[[#This Row],[Available_h]]/tblFleet[[#This Row],[Calendar_h]],"")</f>
        <v/>
      </c>
      <c r="J1052" s="60">
        <f>IF(AND(tblFleet[[#This Row],[Units]]&lt;&gt;"",tblFleet[[#This Row],[Available_h]]&gt;0),tblFleet[[#This Row],[Operating_h]]/tblFleet[[#This Row],[Available_h]],"")</f>
        <v/>
      </c>
    </row>
    <row r="1053">
      <c r="A1053" s="54" t="n"/>
      <c r="B1053" s="61" t="n"/>
      <c r="C1053" s="62" t="n"/>
      <c r="D1053" s="57" t="n"/>
      <c r="E1053" s="57" t="n"/>
      <c r="F1053" s="58" t="n"/>
      <c r="G1053" s="66">
        <f>IF(tblFleet[[#This Row],[Units]]="","",tblFleet[[#This Row],[Units]]*cfg_HoursPerDay)</f>
        <v/>
      </c>
      <c r="H1053" s="66">
        <f>IF(tblFleet[[#This Row],[Units]]="","",tblFleet[[#This Row],[Calendar_h]]-tblFleet[[#This Row],[Down_h]])</f>
        <v/>
      </c>
      <c r="I1053" s="60">
        <f>IF(AND(tblFleet[[#This Row],[Units]]&lt;&gt;"",tblFleet[[#This Row],[Calendar_h]]&gt;0),tblFleet[[#This Row],[Available_h]]/tblFleet[[#This Row],[Calendar_h]],"")</f>
        <v/>
      </c>
      <c r="J1053" s="60">
        <f>IF(AND(tblFleet[[#This Row],[Units]]&lt;&gt;"",tblFleet[[#This Row],[Available_h]]&gt;0),tblFleet[[#This Row],[Operating_h]]/tblFleet[[#This Row],[Available_h]],"")</f>
        <v/>
      </c>
    </row>
    <row r="1054">
      <c r="A1054" s="54" t="n"/>
      <c r="B1054" s="61" t="n"/>
      <c r="C1054" s="62" t="n"/>
      <c r="D1054" s="57" t="n"/>
      <c r="E1054" s="57" t="n"/>
      <c r="F1054" s="58" t="n"/>
      <c r="G1054" s="66">
        <f>IF(tblFleet[[#This Row],[Units]]="","",tblFleet[[#This Row],[Units]]*cfg_HoursPerDay)</f>
        <v/>
      </c>
      <c r="H1054" s="66">
        <f>IF(tblFleet[[#This Row],[Units]]="","",tblFleet[[#This Row],[Calendar_h]]-tblFleet[[#This Row],[Down_h]])</f>
        <v/>
      </c>
      <c r="I1054" s="60">
        <f>IF(AND(tblFleet[[#This Row],[Units]]&lt;&gt;"",tblFleet[[#This Row],[Calendar_h]]&gt;0),tblFleet[[#This Row],[Available_h]]/tblFleet[[#This Row],[Calendar_h]],"")</f>
        <v/>
      </c>
      <c r="J1054" s="60">
        <f>IF(AND(tblFleet[[#This Row],[Units]]&lt;&gt;"",tblFleet[[#This Row],[Available_h]]&gt;0),tblFleet[[#This Row],[Operating_h]]/tblFleet[[#This Row],[Available_h]],"")</f>
        <v/>
      </c>
    </row>
    <row r="1055">
      <c r="A1055" s="54" t="n"/>
      <c r="B1055" s="61" t="n"/>
      <c r="C1055" s="62" t="n"/>
      <c r="D1055" s="57" t="n"/>
      <c r="E1055" s="57" t="n"/>
      <c r="F1055" s="58" t="n"/>
      <c r="G1055" s="66">
        <f>IF(tblFleet[[#This Row],[Units]]="","",tblFleet[[#This Row],[Units]]*cfg_HoursPerDay)</f>
        <v/>
      </c>
      <c r="H1055" s="66">
        <f>IF(tblFleet[[#This Row],[Units]]="","",tblFleet[[#This Row],[Calendar_h]]-tblFleet[[#This Row],[Down_h]])</f>
        <v/>
      </c>
      <c r="I1055" s="60">
        <f>IF(AND(tblFleet[[#This Row],[Units]]&lt;&gt;"",tblFleet[[#This Row],[Calendar_h]]&gt;0),tblFleet[[#This Row],[Available_h]]/tblFleet[[#This Row],[Calendar_h]],"")</f>
        <v/>
      </c>
      <c r="J1055" s="60">
        <f>IF(AND(tblFleet[[#This Row],[Units]]&lt;&gt;"",tblFleet[[#This Row],[Available_h]]&gt;0),tblFleet[[#This Row],[Operating_h]]/tblFleet[[#This Row],[Available_h]],"")</f>
        <v/>
      </c>
    </row>
    <row r="1056">
      <c r="A1056" s="54" t="n"/>
      <c r="B1056" s="61" t="n"/>
      <c r="C1056" s="62" t="n"/>
      <c r="D1056" s="57" t="n"/>
      <c r="E1056" s="57" t="n"/>
      <c r="F1056" s="58" t="n"/>
      <c r="G1056" s="66">
        <f>IF(tblFleet[[#This Row],[Units]]="","",tblFleet[[#This Row],[Units]]*cfg_HoursPerDay)</f>
        <v/>
      </c>
      <c r="H1056" s="66">
        <f>IF(tblFleet[[#This Row],[Units]]="","",tblFleet[[#This Row],[Calendar_h]]-tblFleet[[#This Row],[Down_h]])</f>
        <v/>
      </c>
      <c r="I1056" s="60">
        <f>IF(AND(tblFleet[[#This Row],[Units]]&lt;&gt;"",tblFleet[[#This Row],[Calendar_h]]&gt;0),tblFleet[[#This Row],[Available_h]]/tblFleet[[#This Row],[Calendar_h]],"")</f>
        <v/>
      </c>
      <c r="J1056" s="60">
        <f>IF(AND(tblFleet[[#This Row],[Units]]&lt;&gt;"",tblFleet[[#This Row],[Available_h]]&gt;0),tblFleet[[#This Row],[Operating_h]]/tblFleet[[#This Row],[Available_h]],"")</f>
        <v/>
      </c>
    </row>
    <row r="1057">
      <c r="A1057" s="54" t="n"/>
      <c r="B1057" s="61" t="n"/>
      <c r="C1057" s="62" t="n"/>
      <c r="D1057" s="57" t="n"/>
      <c r="E1057" s="57" t="n"/>
      <c r="F1057" s="58" t="n"/>
      <c r="G1057" s="66">
        <f>IF(tblFleet[[#This Row],[Units]]="","",tblFleet[[#This Row],[Units]]*cfg_HoursPerDay)</f>
        <v/>
      </c>
      <c r="H1057" s="66">
        <f>IF(tblFleet[[#This Row],[Units]]="","",tblFleet[[#This Row],[Calendar_h]]-tblFleet[[#This Row],[Down_h]])</f>
        <v/>
      </c>
      <c r="I1057" s="60">
        <f>IF(AND(tblFleet[[#This Row],[Units]]&lt;&gt;"",tblFleet[[#This Row],[Calendar_h]]&gt;0),tblFleet[[#This Row],[Available_h]]/tblFleet[[#This Row],[Calendar_h]],"")</f>
        <v/>
      </c>
      <c r="J1057" s="60">
        <f>IF(AND(tblFleet[[#This Row],[Units]]&lt;&gt;"",tblFleet[[#This Row],[Available_h]]&gt;0),tblFleet[[#This Row],[Operating_h]]/tblFleet[[#This Row],[Available_h]],"")</f>
        <v/>
      </c>
    </row>
    <row r="1058">
      <c r="A1058" s="54" t="n"/>
      <c r="B1058" s="61" t="n"/>
      <c r="C1058" s="62" t="n"/>
      <c r="D1058" s="57" t="n"/>
      <c r="E1058" s="57" t="n"/>
      <c r="F1058" s="58" t="n"/>
      <c r="G1058" s="66">
        <f>IF(tblFleet[[#This Row],[Units]]="","",tblFleet[[#This Row],[Units]]*cfg_HoursPerDay)</f>
        <v/>
      </c>
      <c r="H1058" s="66">
        <f>IF(tblFleet[[#This Row],[Units]]="","",tblFleet[[#This Row],[Calendar_h]]-tblFleet[[#This Row],[Down_h]])</f>
        <v/>
      </c>
      <c r="I1058" s="60">
        <f>IF(AND(tblFleet[[#This Row],[Units]]&lt;&gt;"",tblFleet[[#This Row],[Calendar_h]]&gt;0),tblFleet[[#This Row],[Available_h]]/tblFleet[[#This Row],[Calendar_h]],"")</f>
        <v/>
      </c>
      <c r="J1058" s="60">
        <f>IF(AND(tblFleet[[#This Row],[Units]]&lt;&gt;"",tblFleet[[#This Row],[Available_h]]&gt;0),tblFleet[[#This Row],[Operating_h]]/tblFleet[[#This Row],[Available_h]],"")</f>
        <v/>
      </c>
    </row>
    <row r="1059">
      <c r="A1059" s="54" t="n"/>
      <c r="B1059" s="61" t="n"/>
      <c r="C1059" s="62" t="n"/>
      <c r="D1059" s="57" t="n"/>
      <c r="E1059" s="57" t="n"/>
      <c r="F1059" s="58" t="n"/>
      <c r="G1059" s="66">
        <f>IF(tblFleet[[#This Row],[Units]]="","",tblFleet[[#This Row],[Units]]*cfg_HoursPerDay)</f>
        <v/>
      </c>
      <c r="H1059" s="66">
        <f>IF(tblFleet[[#This Row],[Units]]="","",tblFleet[[#This Row],[Calendar_h]]-tblFleet[[#This Row],[Down_h]])</f>
        <v/>
      </c>
      <c r="I1059" s="60">
        <f>IF(AND(tblFleet[[#This Row],[Units]]&lt;&gt;"",tblFleet[[#This Row],[Calendar_h]]&gt;0),tblFleet[[#This Row],[Available_h]]/tblFleet[[#This Row],[Calendar_h]],"")</f>
        <v/>
      </c>
      <c r="J1059" s="60">
        <f>IF(AND(tblFleet[[#This Row],[Units]]&lt;&gt;"",tblFleet[[#This Row],[Available_h]]&gt;0),tblFleet[[#This Row],[Operating_h]]/tblFleet[[#This Row],[Available_h]],"")</f>
        <v/>
      </c>
    </row>
    <row r="1060">
      <c r="A1060" s="54" t="n"/>
      <c r="B1060" s="61" t="n"/>
      <c r="C1060" s="62" t="n"/>
      <c r="D1060" s="57" t="n"/>
      <c r="E1060" s="57" t="n"/>
      <c r="F1060" s="58" t="n"/>
      <c r="G1060" s="66">
        <f>IF(tblFleet[[#This Row],[Units]]="","",tblFleet[[#This Row],[Units]]*cfg_HoursPerDay)</f>
        <v/>
      </c>
      <c r="H1060" s="66">
        <f>IF(tblFleet[[#This Row],[Units]]="","",tblFleet[[#This Row],[Calendar_h]]-tblFleet[[#This Row],[Down_h]])</f>
        <v/>
      </c>
      <c r="I1060" s="60">
        <f>IF(AND(tblFleet[[#This Row],[Units]]&lt;&gt;"",tblFleet[[#This Row],[Calendar_h]]&gt;0),tblFleet[[#This Row],[Available_h]]/tblFleet[[#This Row],[Calendar_h]],"")</f>
        <v/>
      </c>
      <c r="J1060" s="60">
        <f>IF(AND(tblFleet[[#This Row],[Units]]&lt;&gt;"",tblFleet[[#This Row],[Available_h]]&gt;0),tblFleet[[#This Row],[Operating_h]]/tblFleet[[#This Row],[Available_h]],"")</f>
        <v/>
      </c>
    </row>
    <row r="1061">
      <c r="A1061" s="54" t="n"/>
      <c r="B1061" s="61" t="n"/>
      <c r="C1061" s="62" t="n"/>
      <c r="D1061" s="57" t="n"/>
      <c r="E1061" s="57" t="n"/>
      <c r="F1061" s="58" t="n"/>
      <c r="G1061" s="66">
        <f>IF(tblFleet[[#This Row],[Units]]="","",tblFleet[[#This Row],[Units]]*cfg_HoursPerDay)</f>
        <v/>
      </c>
      <c r="H1061" s="66">
        <f>IF(tblFleet[[#This Row],[Units]]="","",tblFleet[[#This Row],[Calendar_h]]-tblFleet[[#This Row],[Down_h]])</f>
        <v/>
      </c>
      <c r="I1061" s="60">
        <f>IF(AND(tblFleet[[#This Row],[Units]]&lt;&gt;"",tblFleet[[#This Row],[Calendar_h]]&gt;0),tblFleet[[#This Row],[Available_h]]/tblFleet[[#This Row],[Calendar_h]],"")</f>
        <v/>
      </c>
      <c r="J1061" s="60">
        <f>IF(AND(tblFleet[[#This Row],[Units]]&lt;&gt;"",tblFleet[[#This Row],[Available_h]]&gt;0),tblFleet[[#This Row],[Operating_h]]/tblFleet[[#This Row],[Available_h]],"")</f>
        <v/>
      </c>
    </row>
    <row r="1062">
      <c r="A1062" s="54" t="n"/>
      <c r="B1062" s="61" t="n"/>
      <c r="C1062" s="62" t="n"/>
      <c r="D1062" s="57" t="n"/>
      <c r="E1062" s="57" t="n"/>
      <c r="F1062" s="58" t="n"/>
      <c r="G1062" s="66">
        <f>IF(tblFleet[[#This Row],[Units]]="","",tblFleet[[#This Row],[Units]]*cfg_HoursPerDay)</f>
        <v/>
      </c>
      <c r="H1062" s="66">
        <f>IF(tblFleet[[#This Row],[Units]]="","",tblFleet[[#This Row],[Calendar_h]]-tblFleet[[#This Row],[Down_h]])</f>
        <v/>
      </c>
      <c r="I1062" s="60">
        <f>IF(AND(tblFleet[[#This Row],[Units]]&lt;&gt;"",tblFleet[[#This Row],[Calendar_h]]&gt;0),tblFleet[[#This Row],[Available_h]]/tblFleet[[#This Row],[Calendar_h]],"")</f>
        <v/>
      </c>
      <c r="J1062" s="60">
        <f>IF(AND(tblFleet[[#This Row],[Units]]&lt;&gt;"",tblFleet[[#This Row],[Available_h]]&gt;0),tblFleet[[#This Row],[Operating_h]]/tblFleet[[#This Row],[Available_h]],"")</f>
        <v/>
      </c>
    </row>
    <row r="1063">
      <c r="A1063" s="54" t="n"/>
      <c r="B1063" s="61" t="n"/>
      <c r="C1063" s="62" t="n"/>
      <c r="D1063" s="57" t="n"/>
      <c r="E1063" s="57" t="n"/>
      <c r="F1063" s="58" t="n"/>
      <c r="G1063" s="66">
        <f>IF(tblFleet[[#This Row],[Units]]="","",tblFleet[[#This Row],[Units]]*cfg_HoursPerDay)</f>
        <v/>
      </c>
      <c r="H1063" s="66">
        <f>IF(tblFleet[[#This Row],[Units]]="","",tblFleet[[#This Row],[Calendar_h]]-tblFleet[[#This Row],[Down_h]])</f>
        <v/>
      </c>
      <c r="I1063" s="60">
        <f>IF(AND(tblFleet[[#This Row],[Units]]&lt;&gt;"",tblFleet[[#This Row],[Calendar_h]]&gt;0),tblFleet[[#This Row],[Available_h]]/tblFleet[[#This Row],[Calendar_h]],"")</f>
        <v/>
      </c>
      <c r="J1063" s="60">
        <f>IF(AND(tblFleet[[#This Row],[Units]]&lt;&gt;"",tblFleet[[#This Row],[Available_h]]&gt;0),tblFleet[[#This Row],[Operating_h]]/tblFleet[[#This Row],[Available_h]],"")</f>
        <v/>
      </c>
    </row>
    <row r="1064">
      <c r="A1064" s="54" t="n"/>
      <c r="B1064" s="61" t="n"/>
      <c r="C1064" s="62" t="n"/>
      <c r="D1064" s="57" t="n"/>
      <c r="E1064" s="57" t="n"/>
      <c r="F1064" s="58" t="n"/>
      <c r="G1064" s="66">
        <f>IF(tblFleet[[#This Row],[Units]]="","",tblFleet[[#This Row],[Units]]*cfg_HoursPerDay)</f>
        <v/>
      </c>
      <c r="H1064" s="66">
        <f>IF(tblFleet[[#This Row],[Units]]="","",tblFleet[[#This Row],[Calendar_h]]-tblFleet[[#This Row],[Down_h]])</f>
        <v/>
      </c>
      <c r="I1064" s="60">
        <f>IF(AND(tblFleet[[#This Row],[Units]]&lt;&gt;"",tblFleet[[#This Row],[Calendar_h]]&gt;0),tblFleet[[#This Row],[Available_h]]/tblFleet[[#This Row],[Calendar_h]],"")</f>
        <v/>
      </c>
      <c r="J1064" s="60">
        <f>IF(AND(tblFleet[[#This Row],[Units]]&lt;&gt;"",tblFleet[[#This Row],[Available_h]]&gt;0),tblFleet[[#This Row],[Operating_h]]/tblFleet[[#This Row],[Available_h]],"")</f>
        <v/>
      </c>
    </row>
    <row r="1065">
      <c r="A1065" s="54" t="n"/>
      <c r="B1065" s="61" t="n"/>
      <c r="C1065" s="62" t="n"/>
      <c r="D1065" s="57" t="n"/>
      <c r="E1065" s="57" t="n"/>
      <c r="F1065" s="58" t="n"/>
      <c r="G1065" s="66">
        <f>IF(tblFleet[[#This Row],[Units]]="","",tblFleet[[#This Row],[Units]]*cfg_HoursPerDay)</f>
        <v/>
      </c>
      <c r="H1065" s="66">
        <f>IF(tblFleet[[#This Row],[Units]]="","",tblFleet[[#This Row],[Calendar_h]]-tblFleet[[#This Row],[Down_h]])</f>
        <v/>
      </c>
      <c r="I1065" s="60">
        <f>IF(AND(tblFleet[[#This Row],[Units]]&lt;&gt;"",tblFleet[[#This Row],[Calendar_h]]&gt;0),tblFleet[[#This Row],[Available_h]]/tblFleet[[#This Row],[Calendar_h]],"")</f>
        <v/>
      </c>
      <c r="J1065" s="60">
        <f>IF(AND(tblFleet[[#This Row],[Units]]&lt;&gt;"",tblFleet[[#This Row],[Available_h]]&gt;0),tblFleet[[#This Row],[Operating_h]]/tblFleet[[#This Row],[Available_h]],"")</f>
        <v/>
      </c>
    </row>
    <row r="1066">
      <c r="A1066" s="54" t="n"/>
      <c r="B1066" s="61" t="n"/>
      <c r="C1066" s="62" t="n"/>
      <c r="D1066" s="57" t="n"/>
      <c r="E1066" s="57" t="n"/>
      <c r="F1066" s="58" t="n"/>
      <c r="G1066" s="66">
        <f>IF(tblFleet[[#This Row],[Units]]="","",tblFleet[[#This Row],[Units]]*cfg_HoursPerDay)</f>
        <v/>
      </c>
      <c r="H1066" s="66">
        <f>IF(tblFleet[[#This Row],[Units]]="","",tblFleet[[#This Row],[Calendar_h]]-tblFleet[[#This Row],[Down_h]])</f>
        <v/>
      </c>
      <c r="I1066" s="60">
        <f>IF(AND(tblFleet[[#This Row],[Units]]&lt;&gt;"",tblFleet[[#This Row],[Calendar_h]]&gt;0),tblFleet[[#This Row],[Available_h]]/tblFleet[[#This Row],[Calendar_h]],"")</f>
        <v/>
      </c>
      <c r="J1066" s="60">
        <f>IF(AND(tblFleet[[#This Row],[Units]]&lt;&gt;"",tblFleet[[#This Row],[Available_h]]&gt;0),tblFleet[[#This Row],[Operating_h]]/tblFleet[[#This Row],[Available_h]],"")</f>
        <v/>
      </c>
    </row>
    <row r="1067">
      <c r="A1067" s="54" t="n"/>
      <c r="B1067" s="61" t="n"/>
      <c r="C1067" s="62" t="n"/>
      <c r="D1067" s="57" t="n"/>
      <c r="E1067" s="57" t="n"/>
      <c r="F1067" s="58" t="n"/>
      <c r="G1067" s="66">
        <f>IF(tblFleet[[#This Row],[Units]]="","",tblFleet[[#This Row],[Units]]*cfg_HoursPerDay)</f>
        <v/>
      </c>
      <c r="H1067" s="66">
        <f>IF(tblFleet[[#This Row],[Units]]="","",tblFleet[[#This Row],[Calendar_h]]-tblFleet[[#This Row],[Down_h]])</f>
        <v/>
      </c>
      <c r="I1067" s="60">
        <f>IF(AND(tblFleet[[#This Row],[Units]]&lt;&gt;"",tblFleet[[#This Row],[Calendar_h]]&gt;0),tblFleet[[#This Row],[Available_h]]/tblFleet[[#This Row],[Calendar_h]],"")</f>
        <v/>
      </c>
      <c r="J1067" s="60">
        <f>IF(AND(tblFleet[[#This Row],[Units]]&lt;&gt;"",tblFleet[[#This Row],[Available_h]]&gt;0),tblFleet[[#This Row],[Operating_h]]/tblFleet[[#This Row],[Available_h]],"")</f>
        <v/>
      </c>
    </row>
    <row r="1068">
      <c r="A1068" s="54" t="n"/>
      <c r="B1068" s="61" t="n"/>
      <c r="C1068" s="62" t="n"/>
      <c r="D1068" s="57" t="n"/>
      <c r="E1068" s="57" t="n"/>
      <c r="F1068" s="58" t="n"/>
      <c r="G1068" s="66">
        <f>IF(tblFleet[[#This Row],[Units]]="","",tblFleet[[#This Row],[Units]]*cfg_HoursPerDay)</f>
        <v/>
      </c>
      <c r="H1068" s="66">
        <f>IF(tblFleet[[#This Row],[Units]]="","",tblFleet[[#This Row],[Calendar_h]]-tblFleet[[#This Row],[Down_h]])</f>
        <v/>
      </c>
      <c r="I1068" s="60">
        <f>IF(AND(tblFleet[[#This Row],[Units]]&lt;&gt;"",tblFleet[[#This Row],[Calendar_h]]&gt;0),tblFleet[[#This Row],[Available_h]]/tblFleet[[#This Row],[Calendar_h]],"")</f>
        <v/>
      </c>
      <c r="J1068" s="60">
        <f>IF(AND(tblFleet[[#This Row],[Units]]&lt;&gt;"",tblFleet[[#This Row],[Available_h]]&gt;0),tblFleet[[#This Row],[Operating_h]]/tblFleet[[#This Row],[Available_h]],"")</f>
        <v/>
      </c>
    </row>
    <row r="1069">
      <c r="A1069" s="54" t="n"/>
      <c r="B1069" s="61" t="n"/>
      <c r="C1069" s="62" t="n"/>
      <c r="D1069" s="57" t="n"/>
      <c r="E1069" s="57" t="n"/>
      <c r="F1069" s="58" t="n"/>
      <c r="G1069" s="66">
        <f>IF(tblFleet[[#This Row],[Units]]="","",tblFleet[[#This Row],[Units]]*cfg_HoursPerDay)</f>
        <v/>
      </c>
      <c r="H1069" s="66">
        <f>IF(tblFleet[[#This Row],[Units]]="","",tblFleet[[#This Row],[Calendar_h]]-tblFleet[[#This Row],[Down_h]])</f>
        <v/>
      </c>
      <c r="I1069" s="60">
        <f>IF(AND(tblFleet[[#This Row],[Units]]&lt;&gt;"",tblFleet[[#This Row],[Calendar_h]]&gt;0),tblFleet[[#This Row],[Available_h]]/tblFleet[[#This Row],[Calendar_h]],"")</f>
        <v/>
      </c>
      <c r="J1069" s="60">
        <f>IF(AND(tblFleet[[#This Row],[Units]]&lt;&gt;"",tblFleet[[#This Row],[Available_h]]&gt;0),tblFleet[[#This Row],[Operating_h]]/tblFleet[[#This Row],[Available_h]],"")</f>
        <v/>
      </c>
    </row>
    <row r="1070">
      <c r="A1070" s="54" t="n"/>
      <c r="B1070" s="61" t="n"/>
      <c r="C1070" s="62" t="n"/>
      <c r="D1070" s="57" t="n"/>
      <c r="E1070" s="57" t="n"/>
      <c r="F1070" s="58" t="n"/>
      <c r="G1070" s="66">
        <f>IF(tblFleet[[#This Row],[Units]]="","",tblFleet[[#This Row],[Units]]*cfg_HoursPerDay)</f>
        <v/>
      </c>
      <c r="H1070" s="66">
        <f>IF(tblFleet[[#This Row],[Units]]="","",tblFleet[[#This Row],[Calendar_h]]-tblFleet[[#This Row],[Down_h]])</f>
        <v/>
      </c>
      <c r="I1070" s="60">
        <f>IF(AND(tblFleet[[#This Row],[Units]]&lt;&gt;"",tblFleet[[#This Row],[Calendar_h]]&gt;0),tblFleet[[#This Row],[Available_h]]/tblFleet[[#This Row],[Calendar_h]],"")</f>
        <v/>
      </c>
      <c r="J1070" s="60">
        <f>IF(AND(tblFleet[[#This Row],[Units]]&lt;&gt;"",tblFleet[[#This Row],[Available_h]]&gt;0),tblFleet[[#This Row],[Operating_h]]/tblFleet[[#This Row],[Available_h]],"")</f>
        <v/>
      </c>
    </row>
    <row r="1071">
      <c r="A1071" s="54" t="n"/>
      <c r="B1071" s="61" t="n"/>
      <c r="C1071" s="62" t="n"/>
      <c r="D1071" s="57" t="n"/>
      <c r="E1071" s="57" t="n"/>
      <c r="F1071" s="58" t="n"/>
      <c r="G1071" s="66">
        <f>IF(tblFleet[[#This Row],[Units]]="","",tblFleet[[#This Row],[Units]]*cfg_HoursPerDay)</f>
        <v/>
      </c>
      <c r="H1071" s="66">
        <f>IF(tblFleet[[#This Row],[Units]]="","",tblFleet[[#This Row],[Calendar_h]]-tblFleet[[#This Row],[Down_h]])</f>
        <v/>
      </c>
      <c r="I1071" s="60">
        <f>IF(AND(tblFleet[[#This Row],[Units]]&lt;&gt;"",tblFleet[[#This Row],[Calendar_h]]&gt;0),tblFleet[[#This Row],[Available_h]]/tblFleet[[#This Row],[Calendar_h]],"")</f>
        <v/>
      </c>
      <c r="J1071" s="60">
        <f>IF(AND(tblFleet[[#This Row],[Units]]&lt;&gt;"",tblFleet[[#This Row],[Available_h]]&gt;0),tblFleet[[#This Row],[Operating_h]]/tblFleet[[#This Row],[Available_h]],"")</f>
        <v/>
      </c>
    </row>
    <row r="1072">
      <c r="A1072" s="54" t="n"/>
      <c r="B1072" s="61" t="n"/>
      <c r="C1072" s="62" t="n"/>
      <c r="D1072" s="57" t="n"/>
      <c r="E1072" s="57" t="n"/>
      <c r="F1072" s="58" t="n"/>
      <c r="G1072" s="66">
        <f>IF(tblFleet[[#This Row],[Units]]="","",tblFleet[[#This Row],[Units]]*cfg_HoursPerDay)</f>
        <v/>
      </c>
      <c r="H1072" s="66">
        <f>IF(tblFleet[[#This Row],[Units]]="","",tblFleet[[#This Row],[Calendar_h]]-tblFleet[[#This Row],[Down_h]])</f>
        <v/>
      </c>
      <c r="I1072" s="60">
        <f>IF(AND(tblFleet[[#This Row],[Units]]&lt;&gt;"",tblFleet[[#This Row],[Calendar_h]]&gt;0),tblFleet[[#This Row],[Available_h]]/tblFleet[[#This Row],[Calendar_h]],"")</f>
        <v/>
      </c>
      <c r="J1072" s="60">
        <f>IF(AND(tblFleet[[#This Row],[Units]]&lt;&gt;"",tblFleet[[#This Row],[Available_h]]&gt;0),tblFleet[[#This Row],[Operating_h]]/tblFleet[[#This Row],[Available_h]],"")</f>
        <v/>
      </c>
    </row>
    <row r="1073">
      <c r="A1073" s="54" t="n"/>
      <c r="B1073" s="61" t="n"/>
      <c r="C1073" s="62" t="n"/>
      <c r="D1073" s="57" t="n"/>
      <c r="E1073" s="57" t="n"/>
      <c r="F1073" s="58" t="n"/>
      <c r="G1073" s="66">
        <f>IF(tblFleet[[#This Row],[Units]]="","",tblFleet[[#This Row],[Units]]*cfg_HoursPerDay)</f>
        <v/>
      </c>
      <c r="H1073" s="66">
        <f>IF(tblFleet[[#This Row],[Units]]="","",tblFleet[[#This Row],[Calendar_h]]-tblFleet[[#This Row],[Down_h]])</f>
        <v/>
      </c>
      <c r="I1073" s="60">
        <f>IF(AND(tblFleet[[#This Row],[Units]]&lt;&gt;"",tblFleet[[#This Row],[Calendar_h]]&gt;0),tblFleet[[#This Row],[Available_h]]/tblFleet[[#This Row],[Calendar_h]],"")</f>
        <v/>
      </c>
      <c r="J1073" s="60">
        <f>IF(AND(tblFleet[[#This Row],[Units]]&lt;&gt;"",tblFleet[[#This Row],[Available_h]]&gt;0),tblFleet[[#This Row],[Operating_h]]/tblFleet[[#This Row],[Available_h]],"")</f>
        <v/>
      </c>
    </row>
    <row r="1074">
      <c r="A1074" s="54" t="n"/>
      <c r="B1074" s="61" t="n"/>
      <c r="C1074" s="62" t="n"/>
      <c r="D1074" s="57" t="n"/>
      <c r="E1074" s="57" t="n"/>
      <c r="F1074" s="58" t="n"/>
      <c r="G1074" s="66">
        <f>IF(tblFleet[[#This Row],[Units]]="","",tblFleet[[#This Row],[Units]]*cfg_HoursPerDay)</f>
        <v/>
      </c>
      <c r="H1074" s="66">
        <f>IF(tblFleet[[#This Row],[Units]]="","",tblFleet[[#This Row],[Calendar_h]]-tblFleet[[#This Row],[Down_h]])</f>
        <v/>
      </c>
      <c r="I1074" s="60">
        <f>IF(AND(tblFleet[[#This Row],[Units]]&lt;&gt;"",tblFleet[[#This Row],[Calendar_h]]&gt;0),tblFleet[[#This Row],[Available_h]]/tblFleet[[#This Row],[Calendar_h]],"")</f>
        <v/>
      </c>
      <c r="J1074" s="60">
        <f>IF(AND(tblFleet[[#This Row],[Units]]&lt;&gt;"",tblFleet[[#This Row],[Available_h]]&gt;0),tblFleet[[#This Row],[Operating_h]]/tblFleet[[#This Row],[Available_h]],"")</f>
        <v/>
      </c>
    </row>
    <row r="1075">
      <c r="A1075" s="54" t="n"/>
      <c r="B1075" s="61" t="n"/>
      <c r="C1075" s="62" t="n"/>
      <c r="D1075" s="57" t="n"/>
      <c r="E1075" s="57" t="n"/>
      <c r="F1075" s="58" t="n"/>
      <c r="G1075" s="66">
        <f>IF(tblFleet[[#This Row],[Units]]="","",tblFleet[[#This Row],[Units]]*cfg_HoursPerDay)</f>
        <v/>
      </c>
      <c r="H1075" s="66">
        <f>IF(tblFleet[[#This Row],[Units]]="","",tblFleet[[#This Row],[Calendar_h]]-tblFleet[[#This Row],[Down_h]])</f>
        <v/>
      </c>
      <c r="I1075" s="60">
        <f>IF(AND(tblFleet[[#This Row],[Units]]&lt;&gt;"",tblFleet[[#This Row],[Calendar_h]]&gt;0),tblFleet[[#This Row],[Available_h]]/tblFleet[[#This Row],[Calendar_h]],"")</f>
        <v/>
      </c>
      <c r="J1075" s="60">
        <f>IF(AND(tblFleet[[#This Row],[Units]]&lt;&gt;"",tblFleet[[#This Row],[Available_h]]&gt;0),tblFleet[[#This Row],[Operating_h]]/tblFleet[[#This Row],[Available_h]],"")</f>
        <v/>
      </c>
    </row>
    <row r="1076">
      <c r="A1076" s="54" t="n"/>
      <c r="B1076" s="61" t="n"/>
      <c r="C1076" s="62" t="n"/>
      <c r="D1076" s="57" t="n"/>
      <c r="E1076" s="57" t="n"/>
      <c r="F1076" s="58" t="n"/>
      <c r="G1076" s="66">
        <f>IF(tblFleet[[#This Row],[Units]]="","",tblFleet[[#This Row],[Units]]*cfg_HoursPerDay)</f>
        <v/>
      </c>
      <c r="H1076" s="66">
        <f>IF(tblFleet[[#This Row],[Units]]="","",tblFleet[[#This Row],[Calendar_h]]-tblFleet[[#This Row],[Down_h]])</f>
        <v/>
      </c>
      <c r="I1076" s="60">
        <f>IF(AND(tblFleet[[#This Row],[Units]]&lt;&gt;"",tblFleet[[#This Row],[Calendar_h]]&gt;0),tblFleet[[#This Row],[Available_h]]/tblFleet[[#This Row],[Calendar_h]],"")</f>
        <v/>
      </c>
      <c r="J1076" s="60">
        <f>IF(AND(tblFleet[[#This Row],[Units]]&lt;&gt;"",tblFleet[[#This Row],[Available_h]]&gt;0),tblFleet[[#This Row],[Operating_h]]/tblFleet[[#This Row],[Available_h]],"")</f>
        <v/>
      </c>
    </row>
    <row r="1077">
      <c r="A1077" s="54" t="n"/>
      <c r="B1077" s="61" t="n"/>
      <c r="C1077" s="62" t="n"/>
      <c r="D1077" s="57" t="n"/>
      <c r="E1077" s="57" t="n"/>
      <c r="F1077" s="58" t="n"/>
      <c r="G1077" s="66">
        <f>IF(tblFleet[[#This Row],[Units]]="","",tblFleet[[#This Row],[Units]]*cfg_HoursPerDay)</f>
        <v/>
      </c>
      <c r="H1077" s="66">
        <f>IF(tblFleet[[#This Row],[Units]]="","",tblFleet[[#This Row],[Calendar_h]]-tblFleet[[#This Row],[Down_h]])</f>
        <v/>
      </c>
      <c r="I1077" s="60">
        <f>IF(AND(tblFleet[[#This Row],[Units]]&lt;&gt;"",tblFleet[[#This Row],[Calendar_h]]&gt;0),tblFleet[[#This Row],[Available_h]]/tblFleet[[#This Row],[Calendar_h]],"")</f>
        <v/>
      </c>
      <c r="J1077" s="60">
        <f>IF(AND(tblFleet[[#This Row],[Units]]&lt;&gt;"",tblFleet[[#This Row],[Available_h]]&gt;0),tblFleet[[#This Row],[Operating_h]]/tblFleet[[#This Row],[Available_h]],"")</f>
        <v/>
      </c>
    </row>
    <row r="1078">
      <c r="A1078" s="54" t="n"/>
      <c r="B1078" s="61" t="n"/>
      <c r="C1078" s="62" t="n"/>
      <c r="D1078" s="57" t="n"/>
      <c r="E1078" s="57" t="n"/>
      <c r="F1078" s="58" t="n"/>
      <c r="G1078" s="66">
        <f>IF(tblFleet[[#This Row],[Units]]="","",tblFleet[[#This Row],[Units]]*cfg_HoursPerDay)</f>
        <v/>
      </c>
      <c r="H1078" s="66">
        <f>IF(tblFleet[[#This Row],[Units]]="","",tblFleet[[#This Row],[Calendar_h]]-tblFleet[[#This Row],[Down_h]])</f>
        <v/>
      </c>
      <c r="I1078" s="60">
        <f>IF(AND(tblFleet[[#This Row],[Units]]&lt;&gt;"",tblFleet[[#This Row],[Calendar_h]]&gt;0),tblFleet[[#This Row],[Available_h]]/tblFleet[[#This Row],[Calendar_h]],"")</f>
        <v/>
      </c>
      <c r="J1078" s="60">
        <f>IF(AND(tblFleet[[#This Row],[Units]]&lt;&gt;"",tblFleet[[#This Row],[Available_h]]&gt;0),tblFleet[[#This Row],[Operating_h]]/tblFleet[[#This Row],[Available_h]],"")</f>
        <v/>
      </c>
    </row>
    <row r="1079">
      <c r="A1079" s="54" t="n"/>
      <c r="B1079" s="61" t="n"/>
      <c r="C1079" s="62" t="n"/>
      <c r="D1079" s="57" t="n"/>
      <c r="E1079" s="57" t="n"/>
      <c r="F1079" s="58" t="n"/>
      <c r="G1079" s="66">
        <f>IF(tblFleet[[#This Row],[Units]]="","",tblFleet[[#This Row],[Units]]*cfg_HoursPerDay)</f>
        <v/>
      </c>
      <c r="H1079" s="66">
        <f>IF(tblFleet[[#This Row],[Units]]="","",tblFleet[[#This Row],[Calendar_h]]-tblFleet[[#This Row],[Down_h]])</f>
        <v/>
      </c>
      <c r="I1079" s="60">
        <f>IF(AND(tblFleet[[#This Row],[Units]]&lt;&gt;"",tblFleet[[#This Row],[Calendar_h]]&gt;0),tblFleet[[#This Row],[Available_h]]/tblFleet[[#This Row],[Calendar_h]],"")</f>
        <v/>
      </c>
      <c r="J1079" s="60">
        <f>IF(AND(tblFleet[[#This Row],[Units]]&lt;&gt;"",tblFleet[[#This Row],[Available_h]]&gt;0),tblFleet[[#This Row],[Operating_h]]/tblFleet[[#This Row],[Available_h]],"")</f>
        <v/>
      </c>
    </row>
    <row r="1080">
      <c r="A1080" s="54" t="n"/>
      <c r="B1080" s="61" t="n"/>
      <c r="C1080" s="62" t="n"/>
      <c r="D1080" s="57" t="n"/>
      <c r="E1080" s="57" t="n"/>
      <c r="F1080" s="58" t="n"/>
      <c r="G1080" s="66">
        <f>IF(tblFleet[[#This Row],[Units]]="","",tblFleet[[#This Row],[Units]]*cfg_HoursPerDay)</f>
        <v/>
      </c>
      <c r="H1080" s="66">
        <f>IF(tblFleet[[#This Row],[Units]]="","",tblFleet[[#This Row],[Calendar_h]]-tblFleet[[#This Row],[Down_h]])</f>
        <v/>
      </c>
      <c r="I1080" s="60">
        <f>IF(AND(tblFleet[[#This Row],[Units]]&lt;&gt;"",tblFleet[[#This Row],[Calendar_h]]&gt;0),tblFleet[[#This Row],[Available_h]]/tblFleet[[#This Row],[Calendar_h]],"")</f>
        <v/>
      </c>
      <c r="J1080" s="60">
        <f>IF(AND(tblFleet[[#This Row],[Units]]&lt;&gt;"",tblFleet[[#This Row],[Available_h]]&gt;0),tblFleet[[#This Row],[Operating_h]]/tblFleet[[#This Row],[Available_h]],"")</f>
        <v/>
      </c>
    </row>
    <row r="1081">
      <c r="A1081" s="54" t="n"/>
      <c r="B1081" s="61" t="n"/>
      <c r="C1081" s="62" t="n"/>
      <c r="D1081" s="57" t="n"/>
      <c r="E1081" s="57" t="n"/>
      <c r="F1081" s="58" t="n"/>
      <c r="G1081" s="66">
        <f>IF(tblFleet[[#This Row],[Units]]="","",tblFleet[[#This Row],[Units]]*cfg_HoursPerDay)</f>
        <v/>
      </c>
      <c r="H1081" s="66">
        <f>IF(tblFleet[[#This Row],[Units]]="","",tblFleet[[#This Row],[Calendar_h]]-tblFleet[[#This Row],[Down_h]])</f>
        <v/>
      </c>
      <c r="I1081" s="60">
        <f>IF(AND(tblFleet[[#This Row],[Units]]&lt;&gt;"",tblFleet[[#This Row],[Calendar_h]]&gt;0),tblFleet[[#This Row],[Available_h]]/tblFleet[[#This Row],[Calendar_h]],"")</f>
        <v/>
      </c>
      <c r="J1081" s="60">
        <f>IF(AND(tblFleet[[#This Row],[Units]]&lt;&gt;"",tblFleet[[#This Row],[Available_h]]&gt;0),tblFleet[[#This Row],[Operating_h]]/tblFleet[[#This Row],[Available_h]],"")</f>
        <v/>
      </c>
    </row>
    <row r="1082">
      <c r="A1082" s="54" t="n"/>
      <c r="B1082" s="61" t="n"/>
      <c r="C1082" s="62" t="n"/>
      <c r="D1082" s="57" t="n"/>
      <c r="E1082" s="57" t="n"/>
      <c r="F1082" s="58" t="n"/>
      <c r="G1082" s="66">
        <f>IF(tblFleet[[#This Row],[Units]]="","",tblFleet[[#This Row],[Units]]*cfg_HoursPerDay)</f>
        <v/>
      </c>
      <c r="H1082" s="66">
        <f>IF(tblFleet[[#This Row],[Units]]="","",tblFleet[[#This Row],[Calendar_h]]-tblFleet[[#This Row],[Down_h]])</f>
        <v/>
      </c>
      <c r="I1082" s="60">
        <f>IF(AND(tblFleet[[#This Row],[Units]]&lt;&gt;"",tblFleet[[#This Row],[Calendar_h]]&gt;0),tblFleet[[#This Row],[Available_h]]/tblFleet[[#This Row],[Calendar_h]],"")</f>
        <v/>
      </c>
      <c r="J1082" s="60">
        <f>IF(AND(tblFleet[[#This Row],[Units]]&lt;&gt;"",tblFleet[[#This Row],[Available_h]]&gt;0),tblFleet[[#This Row],[Operating_h]]/tblFleet[[#This Row],[Available_h]],"")</f>
        <v/>
      </c>
    </row>
    <row r="1083">
      <c r="A1083" s="54" t="n"/>
      <c r="B1083" s="61" t="n"/>
      <c r="C1083" s="62" t="n"/>
      <c r="D1083" s="57" t="n"/>
      <c r="E1083" s="57" t="n"/>
      <c r="F1083" s="58" t="n"/>
      <c r="G1083" s="66">
        <f>IF(tblFleet[[#This Row],[Units]]="","",tblFleet[[#This Row],[Units]]*cfg_HoursPerDay)</f>
        <v/>
      </c>
      <c r="H1083" s="66">
        <f>IF(tblFleet[[#This Row],[Units]]="","",tblFleet[[#This Row],[Calendar_h]]-tblFleet[[#This Row],[Down_h]])</f>
        <v/>
      </c>
      <c r="I1083" s="60">
        <f>IF(AND(tblFleet[[#This Row],[Units]]&lt;&gt;"",tblFleet[[#This Row],[Calendar_h]]&gt;0),tblFleet[[#This Row],[Available_h]]/tblFleet[[#This Row],[Calendar_h]],"")</f>
        <v/>
      </c>
      <c r="J1083" s="60">
        <f>IF(AND(tblFleet[[#This Row],[Units]]&lt;&gt;"",tblFleet[[#This Row],[Available_h]]&gt;0),tblFleet[[#This Row],[Operating_h]]/tblFleet[[#This Row],[Available_h]],"")</f>
        <v/>
      </c>
    </row>
    <row r="1084">
      <c r="A1084" s="54" t="n"/>
      <c r="B1084" s="61" t="n"/>
      <c r="C1084" s="62" t="n"/>
      <c r="D1084" s="57" t="n"/>
      <c r="E1084" s="57" t="n"/>
      <c r="F1084" s="58" t="n"/>
      <c r="G1084" s="66">
        <f>IF(tblFleet[[#This Row],[Units]]="","",tblFleet[[#This Row],[Units]]*cfg_HoursPerDay)</f>
        <v/>
      </c>
      <c r="H1084" s="66">
        <f>IF(tblFleet[[#This Row],[Units]]="","",tblFleet[[#This Row],[Calendar_h]]-tblFleet[[#This Row],[Down_h]])</f>
        <v/>
      </c>
      <c r="I1084" s="60">
        <f>IF(AND(tblFleet[[#This Row],[Units]]&lt;&gt;"",tblFleet[[#This Row],[Calendar_h]]&gt;0),tblFleet[[#This Row],[Available_h]]/tblFleet[[#This Row],[Calendar_h]],"")</f>
        <v/>
      </c>
      <c r="J1084" s="60">
        <f>IF(AND(tblFleet[[#This Row],[Units]]&lt;&gt;"",tblFleet[[#This Row],[Available_h]]&gt;0),tblFleet[[#This Row],[Operating_h]]/tblFleet[[#This Row],[Available_h]],"")</f>
        <v/>
      </c>
    </row>
    <row r="1085">
      <c r="A1085" s="54" t="n"/>
      <c r="B1085" s="61" t="n"/>
      <c r="C1085" s="62" t="n"/>
      <c r="D1085" s="57" t="n"/>
      <c r="E1085" s="57" t="n"/>
      <c r="F1085" s="58" t="n"/>
      <c r="G1085" s="66">
        <f>IF(tblFleet[[#This Row],[Units]]="","",tblFleet[[#This Row],[Units]]*cfg_HoursPerDay)</f>
        <v/>
      </c>
      <c r="H1085" s="66">
        <f>IF(tblFleet[[#This Row],[Units]]="","",tblFleet[[#This Row],[Calendar_h]]-tblFleet[[#This Row],[Down_h]])</f>
        <v/>
      </c>
      <c r="I1085" s="60">
        <f>IF(AND(tblFleet[[#This Row],[Units]]&lt;&gt;"",tblFleet[[#This Row],[Calendar_h]]&gt;0),tblFleet[[#This Row],[Available_h]]/tblFleet[[#This Row],[Calendar_h]],"")</f>
        <v/>
      </c>
      <c r="J1085" s="60">
        <f>IF(AND(tblFleet[[#This Row],[Units]]&lt;&gt;"",tblFleet[[#This Row],[Available_h]]&gt;0),tblFleet[[#This Row],[Operating_h]]/tblFleet[[#This Row],[Available_h]],"")</f>
        <v/>
      </c>
    </row>
    <row r="1086">
      <c r="A1086" s="54" t="n"/>
      <c r="B1086" s="61" t="n"/>
      <c r="C1086" s="62" t="n"/>
      <c r="D1086" s="57" t="n"/>
      <c r="E1086" s="57" t="n"/>
      <c r="F1086" s="58" t="n"/>
      <c r="G1086" s="66">
        <f>IF(tblFleet[[#This Row],[Units]]="","",tblFleet[[#This Row],[Units]]*cfg_HoursPerDay)</f>
        <v/>
      </c>
      <c r="H1086" s="66">
        <f>IF(tblFleet[[#This Row],[Units]]="","",tblFleet[[#This Row],[Calendar_h]]-tblFleet[[#This Row],[Down_h]])</f>
        <v/>
      </c>
      <c r="I1086" s="60">
        <f>IF(AND(tblFleet[[#This Row],[Units]]&lt;&gt;"",tblFleet[[#This Row],[Calendar_h]]&gt;0),tblFleet[[#This Row],[Available_h]]/tblFleet[[#This Row],[Calendar_h]],"")</f>
        <v/>
      </c>
      <c r="J1086" s="60">
        <f>IF(AND(tblFleet[[#This Row],[Units]]&lt;&gt;"",tblFleet[[#This Row],[Available_h]]&gt;0),tblFleet[[#This Row],[Operating_h]]/tblFleet[[#This Row],[Available_h]],"")</f>
        <v/>
      </c>
    </row>
    <row r="1087">
      <c r="A1087" s="54" t="n"/>
      <c r="B1087" s="61" t="n"/>
      <c r="C1087" s="62" t="n"/>
      <c r="D1087" s="57" t="n"/>
      <c r="E1087" s="57" t="n"/>
      <c r="F1087" s="58" t="n"/>
      <c r="G1087" s="66">
        <f>IF(tblFleet[[#This Row],[Units]]="","",tblFleet[[#This Row],[Units]]*cfg_HoursPerDay)</f>
        <v/>
      </c>
      <c r="H1087" s="66">
        <f>IF(tblFleet[[#This Row],[Units]]="","",tblFleet[[#This Row],[Calendar_h]]-tblFleet[[#This Row],[Down_h]])</f>
        <v/>
      </c>
      <c r="I1087" s="60">
        <f>IF(AND(tblFleet[[#This Row],[Units]]&lt;&gt;"",tblFleet[[#This Row],[Calendar_h]]&gt;0),tblFleet[[#This Row],[Available_h]]/tblFleet[[#This Row],[Calendar_h]],"")</f>
        <v/>
      </c>
      <c r="J1087" s="60">
        <f>IF(AND(tblFleet[[#This Row],[Units]]&lt;&gt;"",tblFleet[[#This Row],[Available_h]]&gt;0),tblFleet[[#This Row],[Operating_h]]/tblFleet[[#This Row],[Available_h]],"")</f>
        <v/>
      </c>
    </row>
    <row r="1088">
      <c r="A1088" s="54" t="n"/>
      <c r="B1088" s="61" t="n"/>
      <c r="C1088" s="62" t="n"/>
      <c r="D1088" s="57" t="n"/>
      <c r="E1088" s="57" t="n"/>
      <c r="F1088" s="58" t="n"/>
      <c r="G1088" s="66">
        <f>IF(tblFleet[[#This Row],[Units]]="","",tblFleet[[#This Row],[Units]]*cfg_HoursPerDay)</f>
        <v/>
      </c>
      <c r="H1088" s="66">
        <f>IF(tblFleet[[#This Row],[Units]]="","",tblFleet[[#This Row],[Calendar_h]]-tblFleet[[#This Row],[Down_h]])</f>
        <v/>
      </c>
      <c r="I1088" s="60">
        <f>IF(AND(tblFleet[[#This Row],[Units]]&lt;&gt;"",tblFleet[[#This Row],[Calendar_h]]&gt;0),tblFleet[[#This Row],[Available_h]]/tblFleet[[#This Row],[Calendar_h]],"")</f>
        <v/>
      </c>
      <c r="J1088" s="60">
        <f>IF(AND(tblFleet[[#This Row],[Units]]&lt;&gt;"",tblFleet[[#This Row],[Available_h]]&gt;0),tblFleet[[#This Row],[Operating_h]]/tblFleet[[#This Row],[Available_h]],"")</f>
        <v/>
      </c>
    </row>
    <row r="1089">
      <c r="A1089" s="54" t="n"/>
      <c r="B1089" s="61" t="n"/>
      <c r="C1089" s="62" t="n"/>
      <c r="D1089" s="57" t="n"/>
      <c r="E1089" s="57" t="n"/>
      <c r="F1089" s="58" t="n"/>
      <c r="G1089" s="66">
        <f>IF(tblFleet[[#This Row],[Units]]="","",tblFleet[[#This Row],[Units]]*cfg_HoursPerDay)</f>
        <v/>
      </c>
      <c r="H1089" s="66">
        <f>IF(tblFleet[[#This Row],[Units]]="","",tblFleet[[#This Row],[Calendar_h]]-tblFleet[[#This Row],[Down_h]])</f>
        <v/>
      </c>
      <c r="I1089" s="60">
        <f>IF(AND(tblFleet[[#This Row],[Units]]&lt;&gt;"",tblFleet[[#This Row],[Calendar_h]]&gt;0),tblFleet[[#This Row],[Available_h]]/tblFleet[[#This Row],[Calendar_h]],"")</f>
        <v/>
      </c>
      <c r="J1089" s="60">
        <f>IF(AND(tblFleet[[#This Row],[Units]]&lt;&gt;"",tblFleet[[#This Row],[Available_h]]&gt;0),tblFleet[[#This Row],[Operating_h]]/tblFleet[[#This Row],[Available_h]],"")</f>
        <v/>
      </c>
    </row>
    <row r="1090">
      <c r="A1090" s="54" t="n"/>
      <c r="B1090" s="61" t="n"/>
      <c r="C1090" s="62" t="n"/>
      <c r="D1090" s="57" t="n"/>
      <c r="E1090" s="57" t="n"/>
      <c r="F1090" s="58" t="n"/>
      <c r="G1090" s="66">
        <f>IF(tblFleet[[#This Row],[Units]]="","",tblFleet[[#This Row],[Units]]*cfg_HoursPerDay)</f>
        <v/>
      </c>
      <c r="H1090" s="66">
        <f>IF(tblFleet[[#This Row],[Units]]="","",tblFleet[[#This Row],[Calendar_h]]-tblFleet[[#This Row],[Down_h]])</f>
        <v/>
      </c>
      <c r="I1090" s="60">
        <f>IF(AND(tblFleet[[#This Row],[Units]]&lt;&gt;"",tblFleet[[#This Row],[Calendar_h]]&gt;0),tblFleet[[#This Row],[Available_h]]/tblFleet[[#This Row],[Calendar_h]],"")</f>
        <v/>
      </c>
      <c r="J1090" s="60">
        <f>IF(AND(tblFleet[[#This Row],[Units]]&lt;&gt;"",tblFleet[[#This Row],[Available_h]]&gt;0),tblFleet[[#This Row],[Operating_h]]/tblFleet[[#This Row],[Available_h]],"")</f>
        <v/>
      </c>
    </row>
    <row r="1091">
      <c r="A1091" s="54" t="n"/>
      <c r="B1091" s="61" t="n"/>
      <c r="C1091" s="62" t="n"/>
      <c r="D1091" s="57" t="n"/>
      <c r="E1091" s="57" t="n"/>
      <c r="F1091" s="58" t="n"/>
      <c r="G1091" s="66">
        <f>IF(tblFleet[[#This Row],[Units]]="","",tblFleet[[#This Row],[Units]]*cfg_HoursPerDay)</f>
        <v/>
      </c>
      <c r="H1091" s="66">
        <f>IF(tblFleet[[#This Row],[Units]]="","",tblFleet[[#This Row],[Calendar_h]]-tblFleet[[#This Row],[Down_h]])</f>
        <v/>
      </c>
      <c r="I1091" s="60">
        <f>IF(AND(tblFleet[[#This Row],[Units]]&lt;&gt;"",tblFleet[[#This Row],[Calendar_h]]&gt;0),tblFleet[[#This Row],[Available_h]]/tblFleet[[#This Row],[Calendar_h]],"")</f>
        <v/>
      </c>
      <c r="J1091" s="60">
        <f>IF(AND(tblFleet[[#This Row],[Units]]&lt;&gt;"",tblFleet[[#This Row],[Available_h]]&gt;0),tblFleet[[#This Row],[Operating_h]]/tblFleet[[#This Row],[Available_h]],"")</f>
        <v/>
      </c>
    </row>
    <row r="1092">
      <c r="A1092" s="54" t="n"/>
      <c r="B1092" s="61" t="n"/>
      <c r="C1092" s="62" t="n"/>
      <c r="D1092" s="57" t="n"/>
      <c r="E1092" s="57" t="n"/>
      <c r="F1092" s="58" t="n"/>
      <c r="G1092" s="66">
        <f>IF(tblFleet[[#This Row],[Units]]="","",tblFleet[[#This Row],[Units]]*cfg_HoursPerDay)</f>
        <v/>
      </c>
      <c r="H1092" s="66">
        <f>IF(tblFleet[[#This Row],[Units]]="","",tblFleet[[#This Row],[Calendar_h]]-tblFleet[[#This Row],[Down_h]])</f>
        <v/>
      </c>
      <c r="I1092" s="60">
        <f>IF(AND(tblFleet[[#This Row],[Units]]&lt;&gt;"",tblFleet[[#This Row],[Calendar_h]]&gt;0),tblFleet[[#This Row],[Available_h]]/tblFleet[[#This Row],[Calendar_h]],"")</f>
        <v/>
      </c>
      <c r="J1092" s="60">
        <f>IF(AND(tblFleet[[#This Row],[Units]]&lt;&gt;"",tblFleet[[#This Row],[Available_h]]&gt;0),tblFleet[[#This Row],[Operating_h]]/tblFleet[[#This Row],[Available_h]],"")</f>
        <v/>
      </c>
    </row>
    <row r="1093">
      <c r="A1093" s="54" t="n"/>
      <c r="B1093" s="61" t="n"/>
      <c r="C1093" s="62" t="n"/>
      <c r="D1093" s="57" t="n"/>
      <c r="E1093" s="57" t="n"/>
      <c r="F1093" s="58" t="n"/>
      <c r="G1093" s="66">
        <f>IF(tblFleet[[#This Row],[Units]]="","",tblFleet[[#This Row],[Units]]*cfg_HoursPerDay)</f>
        <v/>
      </c>
      <c r="H1093" s="66">
        <f>IF(tblFleet[[#This Row],[Units]]="","",tblFleet[[#This Row],[Calendar_h]]-tblFleet[[#This Row],[Down_h]])</f>
        <v/>
      </c>
      <c r="I1093" s="60">
        <f>IF(AND(tblFleet[[#This Row],[Units]]&lt;&gt;"",tblFleet[[#This Row],[Calendar_h]]&gt;0),tblFleet[[#This Row],[Available_h]]/tblFleet[[#This Row],[Calendar_h]],"")</f>
        <v/>
      </c>
      <c r="J1093" s="60">
        <f>IF(AND(tblFleet[[#This Row],[Units]]&lt;&gt;"",tblFleet[[#This Row],[Available_h]]&gt;0),tblFleet[[#This Row],[Operating_h]]/tblFleet[[#This Row],[Available_h]],"")</f>
        <v/>
      </c>
    </row>
    <row r="1094">
      <c r="A1094" s="54" t="n"/>
      <c r="B1094" s="61" t="n"/>
      <c r="C1094" s="62" t="n"/>
      <c r="D1094" s="57" t="n"/>
      <c r="E1094" s="57" t="n"/>
      <c r="F1094" s="58" t="n"/>
      <c r="G1094" s="66">
        <f>IF(tblFleet[[#This Row],[Units]]="","",tblFleet[[#This Row],[Units]]*cfg_HoursPerDay)</f>
        <v/>
      </c>
      <c r="H1094" s="66">
        <f>IF(tblFleet[[#This Row],[Units]]="","",tblFleet[[#This Row],[Calendar_h]]-tblFleet[[#This Row],[Down_h]])</f>
        <v/>
      </c>
      <c r="I1094" s="60">
        <f>IF(AND(tblFleet[[#This Row],[Units]]&lt;&gt;"",tblFleet[[#This Row],[Calendar_h]]&gt;0),tblFleet[[#This Row],[Available_h]]/tblFleet[[#This Row],[Calendar_h]],"")</f>
        <v/>
      </c>
      <c r="J1094" s="60">
        <f>IF(AND(tblFleet[[#This Row],[Units]]&lt;&gt;"",tblFleet[[#This Row],[Available_h]]&gt;0),tblFleet[[#This Row],[Operating_h]]/tblFleet[[#This Row],[Available_h]],"")</f>
        <v/>
      </c>
    </row>
    <row r="1095">
      <c r="A1095" s="54" t="n"/>
      <c r="B1095" s="61" t="n"/>
      <c r="C1095" s="62" t="n"/>
      <c r="D1095" s="57" t="n"/>
      <c r="E1095" s="57" t="n"/>
      <c r="F1095" s="58" t="n"/>
      <c r="G1095" s="66">
        <f>IF(tblFleet[[#This Row],[Units]]="","",tblFleet[[#This Row],[Units]]*cfg_HoursPerDay)</f>
        <v/>
      </c>
      <c r="H1095" s="66">
        <f>IF(tblFleet[[#This Row],[Units]]="","",tblFleet[[#This Row],[Calendar_h]]-tblFleet[[#This Row],[Down_h]])</f>
        <v/>
      </c>
      <c r="I1095" s="60">
        <f>IF(AND(tblFleet[[#This Row],[Units]]&lt;&gt;"",tblFleet[[#This Row],[Calendar_h]]&gt;0),tblFleet[[#This Row],[Available_h]]/tblFleet[[#This Row],[Calendar_h]],"")</f>
        <v/>
      </c>
      <c r="J1095" s="60">
        <f>IF(AND(tblFleet[[#This Row],[Units]]&lt;&gt;"",tblFleet[[#This Row],[Available_h]]&gt;0),tblFleet[[#This Row],[Operating_h]]/tblFleet[[#This Row],[Available_h]],"")</f>
        <v/>
      </c>
    </row>
    <row r="1096">
      <c r="A1096" s="54" t="n"/>
      <c r="B1096" s="61" t="n"/>
      <c r="C1096" s="62" t="n"/>
      <c r="D1096" s="57" t="n"/>
      <c r="E1096" s="57" t="n"/>
      <c r="F1096" s="58" t="n"/>
      <c r="G1096" s="66">
        <f>IF(tblFleet[[#This Row],[Units]]="","",tblFleet[[#This Row],[Units]]*cfg_HoursPerDay)</f>
        <v/>
      </c>
      <c r="H1096" s="66">
        <f>IF(tblFleet[[#This Row],[Units]]="","",tblFleet[[#This Row],[Calendar_h]]-tblFleet[[#This Row],[Down_h]])</f>
        <v/>
      </c>
      <c r="I1096" s="60">
        <f>IF(AND(tblFleet[[#This Row],[Units]]&lt;&gt;"",tblFleet[[#This Row],[Calendar_h]]&gt;0),tblFleet[[#This Row],[Available_h]]/tblFleet[[#This Row],[Calendar_h]],"")</f>
        <v/>
      </c>
      <c r="J1096" s="60">
        <f>IF(AND(tblFleet[[#This Row],[Units]]&lt;&gt;"",tblFleet[[#This Row],[Available_h]]&gt;0),tblFleet[[#This Row],[Operating_h]]/tblFleet[[#This Row],[Available_h]],"")</f>
        <v/>
      </c>
    </row>
    <row r="1097">
      <c r="A1097" s="54" t="n"/>
      <c r="B1097" s="61" t="n"/>
      <c r="C1097" s="62" t="n"/>
      <c r="D1097" s="57" t="n"/>
      <c r="E1097" s="57" t="n"/>
      <c r="F1097" s="58" t="n"/>
      <c r="G1097" s="66">
        <f>IF(tblFleet[[#This Row],[Units]]="","",tblFleet[[#This Row],[Units]]*cfg_HoursPerDay)</f>
        <v/>
      </c>
      <c r="H1097" s="66">
        <f>IF(tblFleet[[#This Row],[Units]]="","",tblFleet[[#This Row],[Calendar_h]]-tblFleet[[#This Row],[Down_h]])</f>
        <v/>
      </c>
      <c r="I1097" s="60">
        <f>IF(AND(tblFleet[[#This Row],[Units]]&lt;&gt;"",tblFleet[[#This Row],[Calendar_h]]&gt;0),tblFleet[[#This Row],[Available_h]]/tblFleet[[#This Row],[Calendar_h]],"")</f>
        <v/>
      </c>
      <c r="J1097" s="60">
        <f>IF(AND(tblFleet[[#This Row],[Units]]&lt;&gt;"",tblFleet[[#This Row],[Available_h]]&gt;0),tblFleet[[#This Row],[Operating_h]]/tblFleet[[#This Row],[Available_h]],"")</f>
        <v/>
      </c>
    </row>
    <row r="1098">
      <c r="A1098" s="54" t="n"/>
      <c r="B1098" s="61" t="n"/>
      <c r="C1098" s="62" t="n"/>
      <c r="D1098" s="57" t="n"/>
      <c r="E1098" s="57" t="n"/>
      <c r="F1098" s="58" t="n"/>
      <c r="G1098" s="66">
        <f>IF(tblFleet[[#This Row],[Units]]="","",tblFleet[[#This Row],[Units]]*cfg_HoursPerDay)</f>
        <v/>
      </c>
      <c r="H1098" s="66">
        <f>IF(tblFleet[[#This Row],[Units]]="","",tblFleet[[#This Row],[Calendar_h]]-tblFleet[[#This Row],[Down_h]])</f>
        <v/>
      </c>
      <c r="I1098" s="60">
        <f>IF(AND(tblFleet[[#This Row],[Units]]&lt;&gt;"",tblFleet[[#This Row],[Calendar_h]]&gt;0),tblFleet[[#This Row],[Available_h]]/tblFleet[[#This Row],[Calendar_h]],"")</f>
        <v/>
      </c>
      <c r="J1098" s="60">
        <f>IF(AND(tblFleet[[#This Row],[Units]]&lt;&gt;"",tblFleet[[#This Row],[Available_h]]&gt;0),tblFleet[[#This Row],[Operating_h]]/tblFleet[[#This Row],[Available_h]],"")</f>
        <v/>
      </c>
    </row>
    <row r="1099">
      <c r="A1099" s="54" t="n"/>
      <c r="B1099" s="61" t="n"/>
      <c r="C1099" s="62" t="n"/>
      <c r="D1099" s="57" t="n"/>
      <c r="E1099" s="57" t="n"/>
      <c r="F1099" s="58" t="n"/>
      <c r="G1099" s="66">
        <f>IF(tblFleet[[#This Row],[Units]]="","",tblFleet[[#This Row],[Units]]*cfg_HoursPerDay)</f>
        <v/>
      </c>
      <c r="H1099" s="66">
        <f>IF(tblFleet[[#This Row],[Units]]="","",tblFleet[[#This Row],[Calendar_h]]-tblFleet[[#This Row],[Down_h]])</f>
        <v/>
      </c>
      <c r="I1099" s="60">
        <f>IF(AND(tblFleet[[#This Row],[Units]]&lt;&gt;"",tblFleet[[#This Row],[Calendar_h]]&gt;0),tblFleet[[#This Row],[Available_h]]/tblFleet[[#This Row],[Calendar_h]],"")</f>
        <v/>
      </c>
      <c r="J1099" s="60">
        <f>IF(AND(tblFleet[[#This Row],[Units]]&lt;&gt;"",tblFleet[[#This Row],[Available_h]]&gt;0),tblFleet[[#This Row],[Operating_h]]/tblFleet[[#This Row],[Available_h]],"")</f>
        <v/>
      </c>
    </row>
    <row r="1100">
      <c r="A1100" s="54" t="n"/>
      <c r="B1100" s="61" t="n"/>
      <c r="C1100" s="62" t="n"/>
      <c r="D1100" s="57" t="n"/>
      <c r="E1100" s="57" t="n"/>
      <c r="F1100" s="58" t="n"/>
      <c r="G1100" s="66">
        <f>IF(tblFleet[[#This Row],[Units]]="","",tblFleet[[#This Row],[Units]]*cfg_HoursPerDay)</f>
        <v/>
      </c>
      <c r="H1100" s="66">
        <f>IF(tblFleet[[#This Row],[Units]]="","",tblFleet[[#This Row],[Calendar_h]]-tblFleet[[#This Row],[Down_h]])</f>
        <v/>
      </c>
      <c r="I1100" s="60">
        <f>IF(AND(tblFleet[[#This Row],[Units]]&lt;&gt;"",tblFleet[[#This Row],[Calendar_h]]&gt;0),tblFleet[[#This Row],[Available_h]]/tblFleet[[#This Row],[Calendar_h]],"")</f>
        <v/>
      </c>
      <c r="J1100" s="60">
        <f>IF(AND(tblFleet[[#This Row],[Units]]&lt;&gt;"",tblFleet[[#This Row],[Available_h]]&gt;0),tblFleet[[#This Row],[Operating_h]]/tblFleet[[#This Row],[Available_h]],"")</f>
        <v/>
      </c>
    </row>
    <row r="1101">
      <c r="A1101" s="54" t="n"/>
      <c r="B1101" s="61" t="n"/>
      <c r="C1101" s="62" t="n"/>
      <c r="D1101" s="57" t="n"/>
      <c r="E1101" s="57" t="n"/>
      <c r="F1101" s="58" t="n"/>
      <c r="G1101" s="66">
        <f>IF(tblFleet[[#This Row],[Units]]="","",tblFleet[[#This Row],[Units]]*cfg_HoursPerDay)</f>
        <v/>
      </c>
      <c r="H1101" s="66">
        <f>IF(tblFleet[[#This Row],[Units]]="","",tblFleet[[#This Row],[Calendar_h]]-tblFleet[[#This Row],[Down_h]])</f>
        <v/>
      </c>
      <c r="I1101" s="60">
        <f>IF(AND(tblFleet[[#This Row],[Units]]&lt;&gt;"",tblFleet[[#This Row],[Calendar_h]]&gt;0),tblFleet[[#This Row],[Available_h]]/tblFleet[[#This Row],[Calendar_h]],"")</f>
        <v/>
      </c>
      <c r="J1101" s="60">
        <f>IF(AND(tblFleet[[#This Row],[Units]]&lt;&gt;"",tblFleet[[#This Row],[Available_h]]&gt;0),tblFleet[[#This Row],[Operating_h]]/tblFleet[[#This Row],[Available_h]],"")</f>
        <v/>
      </c>
    </row>
    <row r="1102">
      <c r="A1102" s="54" t="n"/>
      <c r="B1102" s="61" t="n"/>
      <c r="C1102" s="62" t="n"/>
      <c r="D1102" s="57" t="n"/>
      <c r="E1102" s="57" t="n"/>
      <c r="F1102" s="58" t="n"/>
      <c r="G1102" s="66">
        <f>IF(tblFleet[[#This Row],[Units]]="","",tblFleet[[#This Row],[Units]]*cfg_HoursPerDay)</f>
        <v/>
      </c>
      <c r="H1102" s="66">
        <f>IF(tblFleet[[#This Row],[Units]]="","",tblFleet[[#This Row],[Calendar_h]]-tblFleet[[#This Row],[Down_h]])</f>
        <v/>
      </c>
      <c r="I1102" s="60">
        <f>IF(AND(tblFleet[[#This Row],[Units]]&lt;&gt;"",tblFleet[[#This Row],[Calendar_h]]&gt;0),tblFleet[[#This Row],[Available_h]]/tblFleet[[#This Row],[Calendar_h]],"")</f>
        <v/>
      </c>
      <c r="J1102" s="60">
        <f>IF(AND(tblFleet[[#This Row],[Units]]&lt;&gt;"",tblFleet[[#This Row],[Available_h]]&gt;0),tblFleet[[#This Row],[Operating_h]]/tblFleet[[#This Row],[Available_h]],"")</f>
        <v/>
      </c>
    </row>
    <row r="1103">
      <c r="A1103" s="54" t="n"/>
      <c r="B1103" s="61" t="n"/>
      <c r="C1103" s="62" t="n"/>
      <c r="D1103" s="57" t="n"/>
      <c r="E1103" s="57" t="n"/>
      <c r="F1103" s="58" t="n"/>
      <c r="G1103" s="66">
        <f>IF(tblFleet[[#This Row],[Units]]="","",tblFleet[[#This Row],[Units]]*cfg_HoursPerDay)</f>
        <v/>
      </c>
      <c r="H1103" s="66">
        <f>IF(tblFleet[[#This Row],[Units]]="","",tblFleet[[#This Row],[Calendar_h]]-tblFleet[[#This Row],[Down_h]])</f>
        <v/>
      </c>
      <c r="I1103" s="60">
        <f>IF(AND(tblFleet[[#This Row],[Units]]&lt;&gt;"",tblFleet[[#This Row],[Calendar_h]]&gt;0),tblFleet[[#This Row],[Available_h]]/tblFleet[[#This Row],[Calendar_h]],"")</f>
        <v/>
      </c>
      <c r="J1103" s="60">
        <f>IF(AND(tblFleet[[#This Row],[Units]]&lt;&gt;"",tblFleet[[#This Row],[Available_h]]&gt;0),tblFleet[[#This Row],[Operating_h]]/tblFleet[[#This Row],[Available_h]],"")</f>
        <v/>
      </c>
    </row>
    <row r="1104">
      <c r="A1104" s="54" t="n"/>
      <c r="B1104" s="61" t="n"/>
      <c r="C1104" s="62" t="n"/>
      <c r="D1104" s="57" t="n"/>
      <c r="E1104" s="57" t="n"/>
      <c r="F1104" s="58" t="n"/>
      <c r="G1104" s="66">
        <f>IF(tblFleet[[#This Row],[Units]]="","",tblFleet[[#This Row],[Units]]*cfg_HoursPerDay)</f>
        <v/>
      </c>
      <c r="H1104" s="66">
        <f>IF(tblFleet[[#This Row],[Units]]="","",tblFleet[[#This Row],[Calendar_h]]-tblFleet[[#This Row],[Down_h]])</f>
        <v/>
      </c>
      <c r="I1104" s="60">
        <f>IF(AND(tblFleet[[#This Row],[Units]]&lt;&gt;"",tblFleet[[#This Row],[Calendar_h]]&gt;0),tblFleet[[#This Row],[Available_h]]/tblFleet[[#This Row],[Calendar_h]],"")</f>
        <v/>
      </c>
      <c r="J1104" s="60">
        <f>IF(AND(tblFleet[[#This Row],[Units]]&lt;&gt;"",tblFleet[[#This Row],[Available_h]]&gt;0),tblFleet[[#This Row],[Operating_h]]/tblFleet[[#This Row],[Available_h]],"")</f>
        <v/>
      </c>
    </row>
    <row r="1105">
      <c r="A1105" s="54" t="n"/>
      <c r="B1105" s="61" t="n"/>
      <c r="C1105" s="62" t="n"/>
      <c r="D1105" s="57" t="n"/>
      <c r="E1105" s="57" t="n"/>
      <c r="F1105" s="58" t="n"/>
      <c r="G1105" s="66">
        <f>IF(tblFleet[[#This Row],[Units]]="","",tblFleet[[#This Row],[Units]]*cfg_HoursPerDay)</f>
        <v/>
      </c>
      <c r="H1105" s="66">
        <f>IF(tblFleet[[#This Row],[Units]]="","",tblFleet[[#This Row],[Calendar_h]]-tblFleet[[#This Row],[Down_h]])</f>
        <v/>
      </c>
      <c r="I1105" s="60">
        <f>IF(AND(tblFleet[[#This Row],[Units]]&lt;&gt;"",tblFleet[[#This Row],[Calendar_h]]&gt;0),tblFleet[[#This Row],[Available_h]]/tblFleet[[#This Row],[Calendar_h]],"")</f>
        <v/>
      </c>
      <c r="J1105" s="60">
        <f>IF(AND(tblFleet[[#This Row],[Units]]&lt;&gt;"",tblFleet[[#This Row],[Available_h]]&gt;0),tblFleet[[#This Row],[Operating_h]]/tblFleet[[#This Row],[Available_h]],"")</f>
        <v/>
      </c>
    </row>
    <row r="1106">
      <c r="A1106" s="54" t="n"/>
      <c r="B1106" s="61" t="n"/>
      <c r="C1106" s="62" t="n"/>
      <c r="D1106" s="57" t="n"/>
      <c r="E1106" s="57" t="n"/>
      <c r="F1106" s="58" t="n"/>
      <c r="G1106" s="66">
        <f>IF(tblFleet[[#This Row],[Units]]="","",tblFleet[[#This Row],[Units]]*cfg_HoursPerDay)</f>
        <v/>
      </c>
      <c r="H1106" s="66">
        <f>IF(tblFleet[[#This Row],[Units]]="","",tblFleet[[#This Row],[Calendar_h]]-tblFleet[[#This Row],[Down_h]])</f>
        <v/>
      </c>
      <c r="I1106" s="60">
        <f>IF(AND(tblFleet[[#This Row],[Units]]&lt;&gt;"",tblFleet[[#This Row],[Calendar_h]]&gt;0),tblFleet[[#This Row],[Available_h]]/tblFleet[[#This Row],[Calendar_h]],"")</f>
        <v/>
      </c>
      <c r="J1106" s="60">
        <f>IF(AND(tblFleet[[#This Row],[Units]]&lt;&gt;"",tblFleet[[#This Row],[Available_h]]&gt;0),tblFleet[[#This Row],[Operating_h]]/tblFleet[[#This Row],[Available_h]],"")</f>
        <v/>
      </c>
    </row>
    <row r="1107">
      <c r="A1107" s="54" t="n"/>
      <c r="B1107" s="61" t="n"/>
      <c r="C1107" s="62" t="n"/>
      <c r="D1107" s="57" t="n"/>
      <c r="E1107" s="57" t="n"/>
      <c r="F1107" s="58" t="n"/>
      <c r="G1107" s="66">
        <f>IF(tblFleet[[#This Row],[Units]]="","",tblFleet[[#This Row],[Units]]*cfg_HoursPerDay)</f>
        <v/>
      </c>
      <c r="H1107" s="66">
        <f>IF(tblFleet[[#This Row],[Units]]="","",tblFleet[[#This Row],[Calendar_h]]-tblFleet[[#This Row],[Down_h]])</f>
        <v/>
      </c>
      <c r="I1107" s="60">
        <f>IF(AND(tblFleet[[#This Row],[Units]]&lt;&gt;"",tblFleet[[#This Row],[Calendar_h]]&gt;0),tblFleet[[#This Row],[Available_h]]/tblFleet[[#This Row],[Calendar_h]],"")</f>
        <v/>
      </c>
      <c r="J1107" s="60">
        <f>IF(AND(tblFleet[[#This Row],[Units]]&lt;&gt;"",tblFleet[[#This Row],[Available_h]]&gt;0),tblFleet[[#This Row],[Operating_h]]/tblFleet[[#This Row],[Available_h]],"")</f>
        <v/>
      </c>
    </row>
    <row r="1108">
      <c r="A1108" s="54" t="n"/>
      <c r="B1108" s="61" t="n"/>
      <c r="C1108" s="62" t="n"/>
      <c r="D1108" s="57" t="n"/>
      <c r="E1108" s="57" t="n"/>
      <c r="F1108" s="58" t="n"/>
      <c r="G1108" s="66">
        <f>IF(tblFleet[[#This Row],[Units]]="","",tblFleet[[#This Row],[Units]]*cfg_HoursPerDay)</f>
        <v/>
      </c>
      <c r="H1108" s="66">
        <f>IF(tblFleet[[#This Row],[Units]]="","",tblFleet[[#This Row],[Calendar_h]]-tblFleet[[#This Row],[Down_h]])</f>
        <v/>
      </c>
      <c r="I1108" s="60">
        <f>IF(AND(tblFleet[[#This Row],[Units]]&lt;&gt;"",tblFleet[[#This Row],[Calendar_h]]&gt;0),tblFleet[[#This Row],[Available_h]]/tblFleet[[#This Row],[Calendar_h]],"")</f>
        <v/>
      </c>
      <c r="J1108" s="60">
        <f>IF(AND(tblFleet[[#This Row],[Units]]&lt;&gt;"",tblFleet[[#This Row],[Available_h]]&gt;0),tblFleet[[#This Row],[Operating_h]]/tblFleet[[#This Row],[Available_h]],"")</f>
        <v/>
      </c>
    </row>
    <row r="1109">
      <c r="A1109" s="54" t="n"/>
      <c r="B1109" s="61" t="n"/>
      <c r="C1109" s="62" t="n"/>
      <c r="D1109" s="57" t="n"/>
      <c r="E1109" s="57" t="n"/>
      <c r="F1109" s="58" t="n"/>
      <c r="G1109" s="66">
        <f>IF(tblFleet[[#This Row],[Units]]="","",tblFleet[[#This Row],[Units]]*cfg_HoursPerDay)</f>
        <v/>
      </c>
      <c r="H1109" s="66">
        <f>IF(tblFleet[[#This Row],[Units]]="","",tblFleet[[#This Row],[Calendar_h]]-tblFleet[[#This Row],[Down_h]])</f>
        <v/>
      </c>
      <c r="I1109" s="60">
        <f>IF(AND(tblFleet[[#This Row],[Units]]&lt;&gt;"",tblFleet[[#This Row],[Calendar_h]]&gt;0),tblFleet[[#This Row],[Available_h]]/tblFleet[[#This Row],[Calendar_h]],"")</f>
        <v/>
      </c>
      <c r="J1109" s="60">
        <f>IF(AND(tblFleet[[#This Row],[Units]]&lt;&gt;"",tblFleet[[#This Row],[Available_h]]&gt;0),tblFleet[[#This Row],[Operating_h]]/tblFleet[[#This Row],[Available_h]],"")</f>
        <v/>
      </c>
    </row>
    <row r="1110">
      <c r="A1110" s="54" t="n"/>
      <c r="B1110" s="61" t="n"/>
      <c r="C1110" s="62" t="n"/>
      <c r="D1110" s="57" t="n"/>
      <c r="E1110" s="57" t="n"/>
      <c r="F1110" s="58" t="n"/>
      <c r="G1110" s="66">
        <f>IF(tblFleet[[#This Row],[Units]]="","",tblFleet[[#This Row],[Units]]*cfg_HoursPerDay)</f>
        <v/>
      </c>
      <c r="H1110" s="66">
        <f>IF(tblFleet[[#This Row],[Units]]="","",tblFleet[[#This Row],[Calendar_h]]-tblFleet[[#This Row],[Down_h]])</f>
        <v/>
      </c>
      <c r="I1110" s="60">
        <f>IF(AND(tblFleet[[#This Row],[Units]]&lt;&gt;"",tblFleet[[#This Row],[Calendar_h]]&gt;0),tblFleet[[#This Row],[Available_h]]/tblFleet[[#This Row],[Calendar_h]],"")</f>
        <v/>
      </c>
      <c r="J1110" s="60">
        <f>IF(AND(tblFleet[[#This Row],[Units]]&lt;&gt;"",tblFleet[[#This Row],[Available_h]]&gt;0),tblFleet[[#This Row],[Operating_h]]/tblFleet[[#This Row],[Available_h]],"")</f>
        <v/>
      </c>
    </row>
    <row r="1111">
      <c r="A1111" s="54" t="n"/>
      <c r="B1111" s="61" t="n"/>
      <c r="C1111" s="62" t="n"/>
      <c r="D1111" s="57" t="n"/>
      <c r="E1111" s="57" t="n"/>
      <c r="F1111" s="58" t="n"/>
      <c r="G1111" s="66">
        <f>IF(tblFleet[[#This Row],[Units]]="","",tblFleet[[#This Row],[Units]]*cfg_HoursPerDay)</f>
        <v/>
      </c>
      <c r="H1111" s="66">
        <f>IF(tblFleet[[#This Row],[Units]]="","",tblFleet[[#This Row],[Calendar_h]]-tblFleet[[#This Row],[Down_h]])</f>
        <v/>
      </c>
      <c r="I1111" s="60">
        <f>IF(AND(tblFleet[[#This Row],[Units]]&lt;&gt;"",tblFleet[[#This Row],[Calendar_h]]&gt;0),tblFleet[[#This Row],[Available_h]]/tblFleet[[#This Row],[Calendar_h]],"")</f>
        <v/>
      </c>
      <c r="J1111" s="60">
        <f>IF(AND(tblFleet[[#This Row],[Units]]&lt;&gt;"",tblFleet[[#This Row],[Available_h]]&gt;0),tblFleet[[#This Row],[Operating_h]]/tblFleet[[#This Row],[Available_h]],"")</f>
        <v/>
      </c>
    </row>
    <row r="1112">
      <c r="A1112" s="54" t="n"/>
      <c r="B1112" s="61" t="n"/>
      <c r="C1112" s="62" t="n"/>
      <c r="D1112" s="57" t="n"/>
      <c r="E1112" s="57" t="n"/>
      <c r="F1112" s="58" t="n"/>
      <c r="G1112" s="66">
        <f>IF(tblFleet[[#This Row],[Units]]="","",tblFleet[[#This Row],[Units]]*cfg_HoursPerDay)</f>
        <v/>
      </c>
      <c r="H1112" s="66">
        <f>IF(tblFleet[[#This Row],[Units]]="","",tblFleet[[#This Row],[Calendar_h]]-tblFleet[[#This Row],[Down_h]])</f>
        <v/>
      </c>
      <c r="I1112" s="60">
        <f>IF(AND(tblFleet[[#This Row],[Units]]&lt;&gt;"",tblFleet[[#This Row],[Calendar_h]]&gt;0),tblFleet[[#This Row],[Available_h]]/tblFleet[[#This Row],[Calendar_h]],"")</f>
        <v/>
      </c>
      <c r="J1112" s="60">
        <f>IF(AND(tblFleet[[#This Row],[Units]]&lt;&gt;"",tblFleet[[#This Row],[Available_h]]&gt;0),tblFleet[[#This Row],[Operating_h]]/tblFleet[[#This Row],[Available_h]],"")</f>
        <v/>
      </c>
    </row>
    <row r="1113">
      <c r="A1113" s="54" t="n"/>
      <c r="B1113" s="61" t="n"/>
      <c r="C1113" s="62" t="n"/>
      <c r="D1113" s="57" t="n"/>
      <c r="E1113" s="57" t="n"/>
      <c r="F1113" s="58" t="n"/>
      <c r="G1113" s="66">
        <f>IF(tblFleet[[#This Row],[Units]]="","",tblFleet[[#This Row],[Units]]*cfg_HoursPerDay)</f>
        <v/>
      </c>
      <c r="H1113" s="66">
        <f>IF(tblFleet[[#This Row],[Units]]="","",tblFleet[[#This Row],[Calendar_h]]-tblFleet[[#This Row],[Down_h]])</f>
        <v/>
      </c>
      <c r="I1113" s="60">
        <f>IF(AND(tblFleet[[#This Row],[Units]]&lt;&gt;"",tblFleet[[#This Row],[Calendar_h]]&gt;0),tblFleet[[#This Row],[Available_h]]/tblFleet[[#This Row],[Calendar_h]],"")</f>
        <v/>
      </c>
      <c r="J1113" s="60">
        <f>IF(AND(tblFleet[[#This Row],[Units]]&lt;&gt;"",tblFleet[[#This Row],[Available_h]]&gt;0),tblFleet[[#This Row],[Operating_h]]/tblFleet[[#This Row],[Available_h]],"")</f>
        <v/>
      </c>
    </row>
    <row r="1114">
      <c r="A1114" s="54" t="n"/>
      <c r="B1114" s="61" t="n"/>
      <c r="C1114" s="62" t="n"/>
      <c r="D1114" s="57" t="n"/>
      <c r="E1114" s="57" t="n"/>
      <c r="F1114" s="58" t="n"/>
      <c r="G1114" s="66">
        <f>IF(tblFleet[[#This Row],[Units]]="","",tblFleet[[#This Row],[Units]]*cfg_HoursPerDay)</f>
        <v/>
      </c>
      <c r="H1114" s="66">
        <f>IF(tblFleet[[#This Row],[Units]]="","",tblFleet[[#This Row],[Calendar_h]]-tblFleet[[#This Row],[Down_h]])</f>
        <v/>
      </c>
      <c r="I1114" s="60">
        <f>IF(AND(tblFleet[[#This Row],[Units]]&lt;&gt;"",tblFleet[[#This Row],[Calendar_h]]&gt;0),tblFleet[[#This Row],[Available_h]]/tblFleet[[#This Row],[Calendar_h]],"")</f>
        <v/>
      </c>
      <c r="J1114" s="60">
        <f>IF(AND(tblFleet[[#This Row],[Units]]&lt;&gt;"",tblFleet[[#This Row],[Available_h]]&gt;0),tblFleet[[#This Row],[Operating_h]]/tblFleet[[#This Row],[Available_h]],"")</f>
        <v/>
      </c>
    </row>
    <row r="1115">
      <c r="A1115" s="54" t="n"/>
      <c r="B1115" s="61" t="n"/>
      <c r="C1115" s="62" t="n"/>
      <c r="D1115" s="57" t="n"/>
      <c r="E1115" s="57" t="n"/>
      <c r="F1115" s="58" t="n"/>
      <c r="G1115" s="66">
        <f>IF(tblFleet[[#This Row],[Units]]="","",tblFleet[[#This Row],[Units]]*cfg_HoursPerDay)</f>
        <v/>
      </c>
      <c r="H1115" s="66">
        <f>IF(tblFleet[[#This Row],[Units]]="","",tblFleet[[#This Row],[Calendar_h]]-tblFleet[[#This Row],[Down_h]])</f>
        <v/>
      </c>
      <c r="I1115" s="60">
        <f>IF(AND(tblFleet[[#This Row],[Units]]&lt;&gt;"",tblFleet[[#This Row],[Calendar_h]]&gt;0),tblFleet[[#This Row],[Available_h]]/tblFleet[[#This Row],[Calendar_h]],"")</f>
        <v/>
      </c>
      <c r="J1115" s="60">
        <f>IF(AND(tblFleet[[#This Row],[Units]]&lt;&gt;"",tblFleet[[#This Row],[Available_h]]&gt;0),tblFleet[[#This Row],[Operating_h]]/tblFleet[[#This Row],[Available_h]],"")</f>
        <v/>
      </c>
    </row>
    <row r="1116">
      <c r="A1116" s="54" t="n"/>
      <c r="B1116" s="61" t="n"/>
      <c r="C1116" s="62" t="n"/>
      <c r="D1116" s="57" t="n"/>
      <c r="E1116" s="57" t="n"/>
      <c r="F1116" s="58" t="n"/>
      <c r="G1116" s="66">
        <f>IF(tblFleet[[#This Row],[Units]]="","",tblFleet[[#This Row],[Units]]*cfg_HoursPerDay)</f>
        <v/>
      </c>
      <c r="H1116" s="66">
        <f>IF(tblFleet[[#This Row],[Units]]="","",tblFleet[[#This Row],[Calendar_h]]-tblFleet[[#This Row],[Down_h]])</f>
        <v/>
      </c>
      <c r="I1116" s="60">
        <f>IF(AND(tblFleet[[#This Row],[Units]]&lt;&gt;"",tblFleet[[#This Row],[Calendar_h]]&gt;0),tblFleet[[#This Row],[Available_h]]/tblFleet[[#This Row],[Calendar_h]],"")</f>
        <v/>
      </c>
      <c r="J1116" s="60">
        <f>IF(AND(tblFleet[[#This Row],[Units]]&lt;&gt;"",tblFleet[[#This Row],[Available_h]]&gt;0),tblFleet[[#This Row],[Operating_h]]/tblFleet[[#This Row],[Available_h]],"")</f>
        <v/>
      </c>
    </row>
    <row r="1117">
      <c r="A1117" s="54" t="n"/>
      <c r="B1117" s="61" t="n"/>
      <c r="C1117" s="62" t="n"/>
      <c r="D1117" s="57" t="n"/>
      <c r="E1117" s="57" t="n"/>
      <c r="F1117" s="58" t="n"/>
      <c r="G1117" s="66">
        <f>IF(tblFleet[[#This Row],[Units]]="","",tblFleet[[#This Row],[Units]]*cfg_HoursPerDay)</f>
        <v/>
      </c>
      <c r="H1117" s="66">
        <f>IF(tblFleet[[#This Row],[Units]]="","",tblFleet[[#This Row],[Calendar_h]]-tblFleet[[#This Row],[Down_h]])</f>
        <v/>
      </c>
      <c r="I1117" s="60">
        <f>IF(AND(tblFleet[[#This Row],[Units]]&lt;&gt;"",tblFleet[[#This Row],[Calendar_h]]&gt;0),tblFleet[[#This Row],[Available_h]]/tblFleet[[#This Row],[Calendar_h]],"")</f>
        <v/>
      </c>
      <c r="J1117" s="60">
        <f>IF(AND(tblFleet[[#This Row],[Units]]&lt;&gt;"",tblFleet[[#This Row],[Available_h]]&gt;0),tblFleet[[#This Row],[Operating_h]]/tblFleet[[#This Row],[Available_h]],"")</f>
        <v/>
      </c>
    </row>
    <row r="1118">
      <c r="A1118" s="54" t="n"/>
      <c r="B1118" s="61" t="n"/>
      <c r="C1118" s="62" t="n"/>
      <c r="D1118" s="57" t="n"/>
      <c r="E1118" s="57" t="n"/>
      <c r="F1118" s="58" t="n"/>
      <c r="G1118" s="66">
        <f>IF(tblFleet[[#This Row],[Units]]="","",tblFleet[[#This Row],[Units]]*cfg_HoursPerDay)</f>
        <v/>
      </c>
      <c r="H1118" s="66">
        <f>IF(tblFleet[[#This Row],[Units]]="","",tblFleet[[#This Row],[Calendar_h]]-tblFleet[[#This Row],[Down_h]])</f>
        <v/>
      </c>
      <c r="I1118" s="60">
        <f>IF(AND(tblFleet[[#This Row],[Units]]&lt;&gt;"",tblFleet[[#This Row],[Calendar_h]]&gt;0),tblFleet[[#This Row],[Available_h]]/tblFleet[[#This Row],[Calendar_h]],"")</f>
        <v/>
      </c>
      <c r="J1118" s="60">
        <f>IF(AND(tblFleet[[#This Row],[Units]]&lt;&gt;"",tblFleet[[#This Row],[Available_h]]&gt;0),tblFleet[[#This Row],[Operating_h]]/tblFleet[[#This Row],[Available_h]],"")</f>
        <v/>
      </c>
    </row>
    <row r="1119">
      <c r="A1119" s="54" t="n"/>
      <c r="B1119" s="61" t="n"/>
      <c r="C1119" s="62" t="n"/>
      <c r="D1119" s="57" t="n"/>
      <c r="E1119" s="57" t="n"/>
      <c r="F1119" s="58" t="n"/>
      <c r="G1119" s="66">
        <f>IF(tblFleet[[#This Row],[Units]]="","",tblFleet[[#This Row],[Units]]*cfg_HoursPerDay)</f>
        <v/>
      </c>
      <c r="H1119" s="66">
        <f>IF(tblFleet[[#This Row],[Units]]="","",tblFleet[[#This Row],[Calendar_h]]-tblFleet[[#This Row],[Down_h]])</f>
        <v/>
      </c>
      <c r="I1119" s="60">
        <f>IF(AND(tblFleet[[#This Row],[Units]]&lt;&gt;"",tblFleet[[#This Row],[Calendar_h]]&gt;0),tblFleet[[#This Row],[Available_h]]/tblFleet[[#This Row],[Calendar_h]],"")</f>
        <v/>
      </c>
      <c r="J1119" s="60">
        <f>IF(AND(tblFleet[[#This Row],[Units]]&lt;&gt;"",tblFleet[[#This Row],[Available_h]]&gt;0),tblFleet[[#This Row],[Operating_h]]/tblFleet[[#This Row],[Available_h]],"")</f>
        <v/>
      </c>
    </row>
    <row r="1120">
      <c r="A1120" s="54" t="n"/>
      <c r="B1120" s="61" t="n"/>
      <c r="C1120" s="62" t="n"/>
      <c r="D1120" s="57" t="n"/>
      <c r="E1120" s="57" t="n"/>
      <c r="F1120" s="58" t="n"/>
      <c r="G1120" s="66">
        <f>IF(tblFleet[[#This Row],[Units]]="","",tblFleet[[#This Row],[Units]]*cfg_HoursPerDay)</f>
        <v/>
      </c>
      <c r="H1120" s="66">
        <f>IF(tblFleet[[#This Row],[Units]]="","",tblFleet[[#This Row],[Calendar_h]]-tblFleet[[#This Row],[Down_h]])</f>
        <v/>
      </c>
      <c r="I1120" s="60">
        <f>IF(AND(tblFleet[[#This Row],[Units]]&lt;&gt;"",tblFleet[[#This Row],[Calendar_h]]&gt;0),tblFleet[[#This Row],[Available_h]]/tblFleet[[#This Row],[Calendar_h]],"")</f>
        <v/>
      </c>
      <c r="J1120" s="60">
        <f>IF(AND(tblFleet[[#This Row],[Units]]&lt;&gt;"",tblFleet[[#This Row],[Available_h]]&gt;0),tblFleet[[#This Row],[Operating_h]]/tblFleet[[#This Row],[Available_h]],"")</f>
        <v/>
      </c>
    </row>
    <row r="1121">
      <c r="A1121" s="54" t="n"/>
      <c r="B1121" s="61" t="n"/>
      <c r="C1121" s="62" t="n"/>
      <c r="D1121" s="57" t="n"/>
      <c r="E1121" s="57" t="n"/>
      <c r="F1121" s="58" t="n"/>
      <c r="G1121" s="66">
        <f>IF(tblFleet[[#This Row],[Units]]="","",tblFleet[[#This Row],[Units]]*cfg_HoursPerDay)</f>
        <v/>
      </c>
      <c r="H1121" s="66">
        <f>IF(tblFleet[[#This Row],[Units]]="","",tblFleet[[#This Row],[Calendar_h]]-tblFleet[[#This Row],[Down_h]])</f>
        <v/>
      </c>
      <c r="I1121" s="60">
        <f>IF(AND(tblFleet[[#This Row],[Units]]&lt;&gt;"",tblFleet[[#This Row],[Calendar_h]]&gt;0),tblFleet[[#This Row],[Available_h]]/tblFleet[[#This Row],[Calendar_h]],"")</f>
        <v/>
      </c>
      <c r="J1121" s="60">
        <f>IF(AND(tblFleet[[#This Row],[Units]]&lt;&gt;"",tblFleet[[#This Row],[Available_h]]&gt;0),tblFleet[[#This Row],[Operating_h]]/tblFleet[[#This Row],[Available_h]],"")</f>
        <v/>
      </c>
    </row>
    <row r="1122">
      <c r="A1122" s="54" t="n"/>
      <c r="B1122" s="61" t="n"/>
      <c r="C1122" s="62" t="n"/>
      <c r="D1122" s="57" t="n"/>
      <c r="E1122" s="57" t="n"/>
      <c r="F1122" s="58" t="n"/>
      <c r="G1122" s="66">
        <f>IF(tblFleet[[#This Row],[Units]]="","",tblFleet[[#This Row],[Units]]*cfg_HoursPerDay)</f>
        <v/>
      </c>
      <c r="H1122" s="66">
        <f>IF(tblFleet[[#This Row],[Units]]="","",tblFleet[[#This Row],[Calendar_h]]-tblFleet[[#This Row],[Down_h]])</f>
        <v/>
      </c>
      <c r="I1122" s="60">
        <f>IF(AND(tblFleet[[#This Row],[Units]]&lt;&gt;"",tblFleet[[#This Row],[Calendar_h]]&gt;0),tblFleet[[#This Row],[Available_h]]/tblFleet[[#This Row],[Calendar_h]],"")</f>
        <v/>
      </c>
      <c r="J1122" s="60">
        <f>IF(AND(tblFleet[[#This Row],[Units]]&lt;&gt;"",tblFleet[[#This Row],[Available_h]]&gt;0),tblFleet[[#This Row],[Operating_h]]/tblFleet[[#This Row],[Available_h]],"")</f>
        <v/>
      </c>
    </row>
    <row r="1123">
      <c r="A1123" s="54" t="n"/>
      <c r="B1123" s="61" t="n"/>
      <c r="C1123" s="62" t="n"/>
      <c r="D1123" s="57" t="n"/>
      <c r="E1123" s="57" t="n"/>
      <c r="F1123" s="58" t="n"/>
      <c r="G1123" s="66">
        <f>IF(tblFleet[[#This Row],[Units]]="","",tblFleet[[#This Row],[Units]]*cfg_HoursPerDay)</f>
        <v/>
      </c>
      <c r="H1123" s="66">
        <f>IF(tblFleet[[#This Row],[Units]]="","",tblFleet[[#This Row],[Calendar_h]]-tblFleet[[#This Row],[Down_h]])</f>
        <v/>
      </c>
      <c r="I1123" s="60">
        <f>IF(AND(tblFleet[[#This Row],[Units]]&lt;&gt;"",tblFleet[[#This Row],[Calendar_h]]&gt;0),tblFleet[[#This Row],[Available_h]]/tblFleet[[#This Row],[Calendar_h]],"")</f>
        <v/>
      </c>
      <c r="J1123" s="60">
        <f>IF(AND(tblFleet[[#This Row],[Units]]&lt;&gt;"",tblFleet[[#This Row],[Available_h]]&gt;0),tblFleet[[#This Row],[Operating_h]]/tblFleet[[#This Row],[Available_h]],"")</f>
        <v/>
      </c>
    </row>
    <row r="1124">
      <c r="A1124" s="54" t="n"/>
      <c r="B1124" s="61" t="n"/>
      <c r="C1124" s="62" t="n"/>
      <c r="D1124" s="57" t="n"/>
      <c r="E1124" s="57" t="n"/>
      <c r="F1124" s="58" t="n"/>
      <c r="G1124" s="66">
        <f>IF(tblFleet[[#This Row],[Units]]="","",tblFleet[[#This Row],[Units]]*cfg_HoursPerDay)</f>
        <v/>
      </c>
      <c r="H1124" s="66">
        <f>IF(tblFleet[[#This Row],[Units]]="","",tblFleet[[#This Row],[Calendar_h]]-tblFleet[[#This Row],[Down_h]])</f>
        <v/>
      </c>
      <c r="I1124" s="60">
        <f>IF(AND(tblFleet[[#This Row],[Units]]&lt;&gt;"",tblFleet[[#This Row],[Calendar_h]]&gt;0),tblFleet[[#This Row],[Available_h]]/tblFleet[[#This Row],[Calendar_h]],"")</f>
        <v/>
      </c>
      <c r="J1124" s="60">
        <f>IF(AND(tblFleet[[#This Row],[Units]]&lt;&gt;"",tblFleet[[#This Row],[Available_h]]&gt;0),tblFleet[[#This Row],[Operating_h]]/tblFleet[[#This Row],[Available_h]],"")</f>
        <v/>
      </c>
    </row>
    <row r="1125">
      <c r="A1125" s="54" t="n"/>
      <c r="B1125" s="61" t="n"/>
      <c r="C1125" s="62" t="n"/>
      <c r="D1125" s="57" t="n"/>
      <c r="E1125" s="57" t="n"/>
      <c r="F1125" s="58" t="n"/>
      <c r="G1125" s="66">
        <f>IF(tblFleet[[#This Row],[Units]]="","",tblFleet[[#This Row],[Units]]*cfg_HoursPerDay)</f>
        <v/>
      </c>
      <c r="H1125" s="66">
        <f>IF(tblFleet[[#This Row],[Units]]="","",tblFleet[[#This Row],[Calendar_h]]-tblFleet[[#This Row],[Down_h]])</f>
        <v/>
      </c>
      <c r="I1125" s="60">
        <f>IF(AND(tblFleet[[#This Row],[Units]]&lt;&gt;"",tblFleet[[#This Row],[Calendar_h]]&gt;0),tblFleet[[#This Row],[Available_h]]/tblFleet[[#This Row],[Calendar_h]],"")</f>
        <v/>
      </c>
      <c r="J1125" s="60">
        <f>IF(AND(tblFleet[[#This Row],[Units]]&lt;&gt;"",tblFleet[[#This Row],[Available_h]]&gt;0),tblFleet[[#This Row],[Operating_h]]/tblFleet[[#This Row],[Available_h]],"")</f>
        <v/>
      </c>
    </row>
    <row r="1126">
      <c r="A1126" s="54" t="n"/>
      <c r="B1126" s="61" t="n"/>
      <c r="C1126" s="62" t="n"/>
      <c r="D1126" s="57" t="n"/>
      <c r="E1126" s="57" t="n"/>
      <c r="F1126" s="58" t="n"/>
      <c r="G1126" s="66">
        <f>IF(tblFleet[[#This Row],[Units]]="","",tblFleet[[#This Row],[Units]]*cfg_HoursPerDay)</f>
        <v/>
      </c>
      <c r="H1126" s="66">
        <f>IF(tblFleet[[#This Row],[Units]]="","",tblFleet[[#This Row],[Calendar_h]]-tblFleet[[#This Row],[Down_h]])</f>
        <v/>
      </c>
      <c r="I1126" s="60">
        <f>IF(AND(tblFleet[[#This Row],[Units]]&lt;&gt;"",tblFleet[[#This Row],[Calendar_h]]&gt;0),tblFleet[[#This Row],[Available_h]]/tblFleet[[#This Row],[Calendar_h]],"")</f>
        <v/>
      </c>
      <c r="J1126" s="60">
        <f>IF(AND(tblFleet[[#This Row],[Units]]&lt;&gt;"",tblFleet[[#This Row],[Available_h]]&gt;0),tblFleet[[#This Row],[Operating_h]]/tblFleet[[#This Row],[Available_h]],"")</f>
        <v/>
      </c>
    </row>
    <row r="1127">
      <c r="A1127" s="54" t="n"/>
      <c r="B1127" s="61" t="n"/>
      <c r="C1127" s="62" t="n"/>
      <c r="D1127" s="57" t="n"/>
      <c r="E1127" s="57" t="n"/>
      <c r="F1127" s="58" t="n"/>
      <c r="G1127" s="66">
        <f>IF(tblFleet[[#This Row],[Units]]="","",tblFleet[[#This Row],[Units]]*cfg_HoursPerDay)</f>
        <v/>
      </c>
      <c r="H1127" s="66">
        <f>IF(tblFleet[[#This Row],[Units]]="","",tblFleet[[#This Row],[Calendar_h]]-tblFleet[[#This Row],[Down_h]])</f>
        <v/>
      </c>
      <c r="I1127" s="60">
        <f>IF(AND(tblFleet[[#This Row],[Units]]&lt;&gt;"",tblFleet[[#This Row],[Calendar_h]]&gt;0),tblFleet[[#This Row],[Available_h]]/tblFleet[[#This Row],[Calendar_h]],"")</f>
        <v/>
      </c>
      <c r="J1127" s="60">
        <f>IF(AND(tblFleet[[#This Row],[Units]]&lt;&gt;"",tblFleet[[#This Row],[Available_h]]&gt;0),tblFleet[[#This Row],[Operating_h]]/tblFleet[[#This Row],[Available_h]],"")</f>
        <v/>
      </c>
    </row>
    <row r="1128">
      <c r="A1128" s="54" t="n"/>
      <c r="B1128" s="61" t="n"/>
      <c r="C1128" s="62" t="n"/>
      <c r="D1128" s="57" t="n"/>
      <c r="E1128" s="57" t="n"/>
      <c r="F1128" s="58" t="n"/>
      <c r="G1128" s="66">
        <f>IF(tblFleet[[#This Row],[Units]]="","",tblFleet[[#This Row],[Units]]*cfg_HoursPerDay)</f>
        <v/>
      </c>
      <c r="H1128" s="66">
        <f>IF(tblFleet[[#This Row],[Units]]="","",tblFleet[[#This Row],[Calendar_h]]-tblFleet[[#This Row],[Down_h]])</f>
        <v/>
      </c>
      <c r="I1128" s="60">
        <f>IF(AND(tblFleet[[#This Row],[Units]]&lt;&gt;"",tblFleet[[#This Row],[Calendar_h]]&gt;0),tblFleet[[#This Row],[Available_h]]/tblFleet[[#This Row],[Calendar_h]],"")</f>
        <v/>
      </c>
      <c r="J1128" s="60">
        <f>IF(AND(tblFleet[[#This Row],[Units]]&lt;&gt;"",tblFleet[[#This Row],[Available_h]]&gt;0),tblFleet[[#This Row],[Operating_h]]/tblFleet[[#This Row],[Available_h]],"")</f>
        <v/>
      </c>
    </row>
    <row r="1129">
      <c r="A1129" s="54" t="n"/>
      <c r="B1129" s="61" t="n"/>
      <c r="C1129" s="62" t="n"/>
      <c r="D1129" s="57" t="n"/>
      <c r="E1129" s="57" t="n"/>
      <c r="F1129" s="58" t="n"/>
      <c r="G1129" s="66">
        <f>IF(tblFleet[[#This Row],[Units]]="","",tblFleet[[#This Row],[Units]]*cfg_HoursPerDay)</f>
        <v/>
      </c>
      <c r="H1129" s="66">
        <f>IF(tblFleet[[#This Row],[Units]]="","",tblFleet[[#This Row],[Calendar_h]]-tblFleet[[#This Row],[Down_h]])</f>
        <v/>
      </c>
      <c r="I1129" s="60">
        <f>IF(AND(tblFleet[[#This Row],[Units]]&lt;&gt;"",tblFleet[[#This Row],[Calendar_h]]&gt;0),tblFleet[[#This Row],[Available_h]]/tblFleet[[#This Row],[Calendar_h]],"")</f>
        <v/>
      </c>
      <c r="J1129" s="60">
        <f>IF(AND(tblFleet[[#This Row],[Units]]&lt;&gt;"",tblFleet[[#This Row],[Available_h]]&gt;0),tblFleet[[#This Row],[Operating_h]]/tblFleet[[#This Row],[Available_h]],"")</f>
        <v/>
      </c>
    </row>
    <row r="1130">
      <c r="A1130" s="54" t="n"/>
      <c r="B1130" s="61" t="n"/>
      <c r="C1130" s="62" t="n"/>
      <c r="D1130" s="57" t="n"/>
      <c r="E1130" s="57" t="n"/>
      <c r="F1130" s="58" t="n"/>
      <c r="G1130" s="66">
        <f>IF(tblFleet[[#This Row],[Units]]="","",tblFleet[[#This Row],[Units]]*cfg_HoursPerDay)</f>
        <v/>
      </c>
      <c r="H1130" s="66">
        <f>IF(tblFleet[[#This Row],[Units]]="","",tblFleet[[#This Row],[Calendar_h]]-tblFleet[[#This Row],[Down_h]])</f>
        <v/>
      </c>
      <c r="I1130" s="60">
        <f>IF(AND(tblFleet[[#This Row],[Units]]&lt;&gt;"",tblFleet[[#This Row],[Calendar_h]]&gt;0),tblFleet[[#This Row],[Available_h]]/tblFleet[[#This Row],[Calendar_h]],"")</f>
        <v/>
      </c>
      <c r="J1130" s="60">
        <f>IF(AND(tblFleet[[#This Row],[Units]]&lt;&gt;"",tblFleet[[#This Row],[Available_h]]&gt;0),tblFleet[[#This Row],[Operating_h]]/tblFleet[[#This Row],[Available_h]],"")</f>
        <v/>
      </c>
    </row>
    <row r="1131">
      <c r="A1131" s="54" t="n"/>
      <c r="B1131" s="61" t="n"/>
      <c r="C1131" s="62" t="n"/>
      <c r="D1131" s="57" t="n"/>
      <c r="E1131" s="57" t="n"/>
      <c r="F1131" s="58" t="n"/>
      <c r="G1131" s="66">
        <f>IF(tblFleet[[#This Row],[Units]]="","",tblFleet[[#This Row],[Units]]*cfg_HoursPerDay)</f>
        <v/>
      </c>
      <c r="H1131" s="66">
        <f>IF(tblFleet[[#This Row],[Units]]="","",tblFleet[[#This Row],[Calendar_h]]-tblFleet[[#This Row],[Down_h]])</f>
        <v/>
      </c>
      <c r="I1131" s="60">
        <f>IF(AND(tblFleet[[#This Row],[Units]]&lt;&gt;"",tblFleet[[#This Row],[Calendar_h]]&gt;0),tblFleet[[#This Row],[Available_h]]/tblFleet[[#This Row],[Calendar_h]],"")</f>
        <v/>
      </c>
      <c r="J1131" s="60">
        <f>IF(AND(tblFleet[[#This Row],[Units]]&lt;&gt;"",tblFleet[[#This Row],[Available_h]]&gt;0),tblFleet[[#This Row],[Operating_h]]/tblFleet[[#This Row],[Available_h]],"")</f>
        <v/>
      </c>
    </row>
    <row r="1132">
      <c r="A1132" s="54" t="n"/>
      <c r="B1132" s="61" t="n"/>
      <c r="C1132" s="62" t="n"/>
      <c r="D1132" s="57" t="n"/>
      <c r="E1132" s="57" t="n"/>
      <c r="F1132" s="58" t="n"/>
      <c r="G1132" s="66">
        <f>IF(tblFleet[[#This Row],[Units]]="","",tblFleet[[#This Row],[Units]]*cfg_HoursPerDay)</f>
        <v/>
      </c>
      <c r="H1132" s="66">
        <f>IF(tblFleet[[#This Row],[Units]]="","",tblFleet[[#This Row],[Calendar_h]]-tblFleet[[#This Row],[Down_h]])</f>
        <v/>
      </c>
      <c r="I1132" s="60">
        <f>IF(AND(tblFleet[[#This Row],[Units]]&lt;&gt;"",tblFleet[[#This Row],[Calendar_h]]&gt;0),tblFleet[[#This Row],[Available_h]]/tblFleet[[#This Row],[Calendar_h]],"")</f>
        <v/>
      </c>
      <c r="J1132" s="60">
        <f>IF(AND(tblFleet[[#This Row],[Units]]&lt;&gt;"",tblFleet[[#This Row],[Available_h]]&gt;0),tblFleet[[#This Row],[Operating_h]]/tblFleet[[#This Row],[Available_h]],"")</f>
        <v/>
      </c>
    </row>
    <row r="1133">
      <c r="A1133" s="54" t="n"/>
      <c r="B1133" s="61" t="n"/>
      <c r="C1133" s="62" t="n"/>
      <c r="D1133" s="57" t="n"/>
      <c r="E1133" s="57" t="n"/>
      <c r="F1133" s="58" t="n"/>
      <c r="G1133" s="66">
        <f>IF(tblFleet[[#This Row],[Units]]="","",tblFleet[[#This Row],[Units]]*cfg_HoursPerDay)</f>
        <v/>
      </c>
      <c r="H1133" s="66">
        <f>IF(tblFleet[[#This Row],[Units]]="","",tblFleet[[#This Row],[Calendar_h]]-tblFleet[[#This Row],[Down_h]])</f>
        <v/>
      </c>
      <c r="I1133" s="60">
        <f>IF(AND(tblFleet[[#This Row],[Units]]&lt;&gt;"",tblFleet[[#This Row],[Calendar_h]]&gt;0),tblFleet[[#This Row],[Available_h]]/tblFleet[[#This Row],[Calendar_h]],"")</f>
        <v/>
      </c>
      <c r="J1133" s="60">
        <f>IF(AND(tblFleet[[#This Row],[Units]]&lt;&gt;"",tblFleet[[#This Row],[Available_h]]&gt;0),tblFleet[[#This Row],[Operating_h]]/tblFleet[[#This Row],[Available_h]],"")</f>
        <v/>
      </c>
    </row>
    <row r="1134">
      <c r="A1134" s="54" t="n"/>
      <c r="B1134" s="61" t="n"/>
      <c r="C1134" s="62" t="n"/>
      <c r="D1134" s="57" t="n"/>
      <c r="E1134" s="57" t="n"/>
      <c r="F1134" s="58" t="n"/>
      <c r="G1134" s="66">
        <f>IF(tblFleet[[#This Row],[Units]]="","",tblFleet[[#This Row],[Units]]*cfg_HoursPerDay)</f>
        <v/>
      </c>
      <c r="H1134" s="66">
        <f>IF(tblFleet[[#This Row],[Units]]="","",tblFleet[[#This Row],[Calendar_h]]-tblFleet[[#This Row],[Down_h]])</f>
        <v/>
      </c>
      <c r="I1134" s="60">
        <f>IF(AND(tblFleet[[#This Row],[Units]]&lt;&gt;"",tblFleet[[#This Row],[Calendar_h]]&gt;0),tblFleet[[#This Row],[Available_h]]/tblFleet[[#This Row],[Calendar_h]],"")</f>
        <v/>
      </c>
      <c r="J1134" s="60">
        <f>IF(AND(tblFleet[[#This Row],[Units]]&lt;&gt;"",tblFleet[[#This Row],[Available_h]]&gt;0),tblFleet[[#This Row],[Operating_h]]/tblFleet[[#This Row],[Available_h]],"")</f>
        <v/>
      </c>
    </row>
    <row r="1135">
      <c r="A1135" s="54" t="n"/>
      <c r="B1135" s="61" t="n"/>
      <c r="C1135" s="62" t="n"/>
      <c r="D1135" s="57" t="n"/>
      <c r="E1135" s="57" t="n"/>
      <c r="F1135" s="58" t="n"/>
      <c r="G1135" s="66">
        <f>IF(tblFleet[[#This Row],[Units]]="","",tblFleet[[#This Row],[Units]]*cfg_HoursPerDay)</f>
        <v/>
      </c>
      <c r="H1135" s="66">
        <f>IF(tblFleet[[#This Row],[Units]]="","",tblFleet[[#This Row],[Calendar_h]]-tblFleet[[#This Row],[Down_h]])</f>
        <v/>
      </c>
      <c r="I1135" s="60">
        <f>IF(AND(tblFleet[[#This Row],[Units]]&lt;&gt;"",tblFleet[[#This Row],[Calendar_h]]&gt;0),tblFleet[[#This Row],[Available_h]]/tblFleet[[#This Row],[Calendar_h]],"")</f>
        <v/>
      </c>
      <c r="J1135" s="60">
        <f>IF(AND(tblFleet[[#This Row],[Units]]&lt;&gt;"",tblFleet[[#This Row],[Available_h]]&gt;0),tblFleet[[#This Row],[Operating_h]]/tblFleet[[#This Row],[Available_h]],"")</f>
        <v/>
      </c>
    </row>
    <row r="1136">
      <c r="A1136" s="54" t="n"/>
      <c r="B1136" s="61" t="n"/>
      <c r="C1136" s="62" t="n"/>
      <c r="D1136" s="57" t="n"/>
      <c r="E1136" s="57" t="n"/>
      <c r="F1136" s="58" t="n"/>
      <c r="G1136" s="66">
        <f>IF(tblFleet[[#This Row],[Units]]="","",tblFleet[[#This Row],[Units]]*cfg_HoursPerDay)</f>
        <v/>
      </c>
      <c r="H1136" s="66">
        <f>IF(tblFleet[[#This Row],[Units]]="","",tblFleet[[#This Row],[Calendar_h]]-tblFleet[[#This Row],[Down_h]])</f>
        <v/>
      </c>
      <c r="I1136" s="60">
        <f>IF(AND(tblFleet[[#This Row],[Units]]&lt;&gt;"",tblFleet[[#This Row],[Calendar_h]]&gt;0),tblFleet[[#This Row],[Available_h]]/tblFleet[[#This Row],[Calendar_h]],"")</f>
        <v/>
      </c>
      <c r="J1136" s="60">
        <f>IF(AND(tblFleet[[#This Row],[Units]]&lt;&gt;"",tblFleet[[#This Row],[Available_h]]&gt;0),tblFleet[[#This Row],[Operating_h]]/tblFleet[[#This Row],[Available_h]],"")</f>
        <v/>
      </c>
    </row>
    <row r="1137">
      <c r="A1137" s="54" t="n"/>
      <c r="B1137" s="61" t="n"/>
      <c r="C1137" s="62" t="n"/>
      <c r="D1137" s="57" t="n"/>
      <c r="E1137" s="57" t="n"/>
      <c r="F1137" s="58" t="n"/>
      <c r="G1137" s="66">
        <f>IF(tblFleet[[#This Row],[Units]]="","",tblFleet[[#This Row],[Units]]*cfg_HoursPerDay)</f>
        <v/>
      </c>
      <c r="H1137" s="66">
        <f>IF(tblFleet[[#This Row],[Units]]="","",tblFleet[[#This Row],[Calendar_h]]-tblFleet[[#This Row],[Down_h]])</f>
        <v/>
      </c>
      <c r="I1137" s="60">
        <f>IF(AND(tblFleet[[#This Row],[Units]]&lt;&gt;"",tblFleet[[#This Row],[Calendar_h]]&gt;0),tblFleet[[#This Row],[Available_h]]/tblFleet[[#This Row],[Calendar_h]],"")</f>
        <v/>
      </c>
      <c r="J1137" s="60">
        <f>IF(AND(tblFleet[[#This Row],[Units]]&lt;&gt;"",tblFleet[[#This Row],[Available_h]]&gt;0),tblFleet[[#This Row],[Operating_h]]/tblFleet[[#This Row],[Available_h]],"")</f>
        <v/>
      </c>
    </row>
    <row r="1138">
      <c r="A1138" s="54" t="n"/>
      <c r="B1138" s="61" t="n"/>
      <c r="C1138" s="62" t="n"/>
      <c r="D1138" s="57" t="n"/>
      <c r="E1138" s="57" t="n"/>
      <c r="F1138" s="58" t="n"/>
      <c r="G1138" s="66">
        <f>IF(tblFleet[[#This Row],[Units]]="","",tblFleet[[#This Row],[Units]]*cfg_HoursPerDay)</f>
        <v/>
      </c>
      <c r="H1138" s="66">
        <f>IF(tblFleet[[#This Row],[Units]]="","",tblFleet[[#This Row],[Calendar_h]]-tblFleet[[#This Row],[Down_h]])</f>
        <v/>
      </c>
      <c r="I1138" s="60">
        <f>IF(AND(tblFleet[[#This Row],[Units]]&lt;&gt;"",tblFleet[[#This Row],[Calendar_h]]&gt;0),tblFleet[[#This Row],[Available_h]]/tblFleet[[#This Row],[Calendar_h]],"")</f>
        <v/>
      </c>
      <c r="J1138" s="60">
        <f>IF(AND(tblFleet[[#This Row],[Units]]&lt;&gt;"",tblFleet[[#This Row],[Available_h]]&gt;0),tblFleet[[#This Row],[Operating_h]]/tblFleet[[#This Row],[Available_h]],"")</f>
        <v/>
      </c>
    </row>
    <row r="1139">
      <c r="A1139" s="54" t="n"/>
      <c r="B1139" s="61" t="n"/>
      <c r="C1139" s="62" t="n"/>
      <c r="D1139" s="57" t="n"/>
      <c r="E1139" s="57" t="n"/>
      <c r="F1139" s="58" t="n"/>
      <c r="G1139" s="66">
        <f>IF(tblFleet[[#This Row],[Units]]="","",tblFleet[[#This Row],[Units]]*cfg_HoursPerDay)</f>
        <v/>
      </c>
      <c r="H1139" s="66">
        <f>IF(tblFleet[[#This Row],[Units]]="","",tblFleet[[#This Row],[Calendar_h]]-tblFleet[[#This Row],[Down_h]])</f>
        <v/>
      </c>
      <c r="I1139" s="60">
        <f>IF(AND(tblFleet[[#This Row],[Units]]&lt;&gt;"",tblFleet[[#This Row],[Calendar_h]]&gt;0),tblFleet[[#This Row],[Available_h]]/tblFleet[[#This Row],[Calendar_h]],"")</f>
        <v/>
      </c>
      <c r="J1139" s="60">
        <f>IF(AND(tblFleet[[#This Row],[Units]]&lt;&gt;"",tblFleet[[#This Row],[Available_h]]&gt;0),tblFleet[[#This Row],[Operating_h]]/tblFleet[[#This Row],[Available_h]],"")</f>
        <v/>
      </c>
    </row>
    <row r="1140">
      <c r="A1140" s="54" t="n"/>
      <c r="B1140" s="61" t="n"/>
      <c r="C1140" s="62" t="n"/>
      <c r="D1140" s="57" t="n"/>
      <c r="E1140" s="57" t="n"/>
      <c r="F1140" s="58" t="n"/>
      <c r="G1140" s="66">
        <f>IF(tblFleet[[#This Row],[Units]]="","",tblFleet[[#This Row],[Units]]*cfg_HoursPerDay)</f>
        <v/>
      </c>
      <c r="H1140" s="66">
        <f>IF(tblFleet[[#This Row],[Units]]="","",tblFleet[[#This Row],[Calendar_h]]-tblFleet[[#This Row],[Down_h]])</f>
        <v/>
      </c>
      <c r="I1140" s="60">
        <f>IF(AND(tblFleet[[#This Row],[Units]]&lt;&gt;"",tblFleet[[#This Row],[Calendar_h]]&gt;0),tblFleet[[#This Row],[Available_h]]/tblFleet[[#This Row],[Calendar_h]],"")</f>
        <v/>
      </c>
      <c r="J1140" s="60">
        <f>IF(AND(tblFleet[[#This Row],[Units]]&lt;&gt;"",tblFleet[[#This Row],[Available_h]]&gt;0),tblFleet[[#This Row],[Operating_h]]/tblFleet[[#This Row],[Available_h]],"")</f>
        <v/>
      </c>
    </row>
    <row r="1141">
      <c r="A1141" s="54" t="n"/>
      <c r="B1141" s="61" t="n"/>
      <c r="C1141" s="62" t="n"/>
      <c r="D1141" s="57" t="n"/>
      <c r="E1141" s="57" t="n"/>
      <c r="F1141" s="58" t="n"/>
      <c r="G1141" s="66">
        <f>IF(tblFleet[[#This Row],[Units]]="","",tblFleet[[#This Row],[Units]]*cfg_HoursPerDay)</f>
        <v/>
      </c>
      <c r="H1141" s="66">
        <f>IF(tblFleet[[#This Row],[Units]]="","",tblFleet[[#This Row],[Calendar_h]]-tblFleet[[#This Row],[Down_h]])</f>
        <v/>
      </c>
      <c r="I1141" s="60">
        <f>IF(AND(tblFleet[[#This Row],[Units]]&lt;&gt;"",tblFleet[[#This Row],[Calendar_h]]&gt;0),tblFleet[[#This Row],[Available_h]]/tblFleet[[#This Row],[Calendar_h]],"")</f>
        <v/>
      </c>
      <c r="J1141" s="60">
        <f>IF(AND(tblFleet[[#This Row],[Units]]&lt;&gt;"",tblFleet[[#This Row],[Available_h]]&gt;0),tblFleet[[#This Row],[Operating_h]]/tblFleet[[#This Row],[Available_h]],"")</f>
        <v/>
      </c>
    </row>
    <row r="1142">
      <c r="A1142" s="54" t="n"/>
      <c r="B1142" s="61" t="n"/>
      <c r="C1142" s="62" t="n"/>
      <c r="D1142" s="57" t="n"/>
      <c r="E1142" s="57" t="n"/>
      <c r="F1142" s="58" t="n"/>
      <c r="G1142" s="66">
        <f>IF(tblFleet[[#This Row],[Units]]="","",tblFleet[[#This Row],[Units]]*cfg_HoursPerDay)</f>
        <v/>
      </c>
      <c r="H1142" s="66">
        <f>IF(tblFleet[[#This Row],[Units]]="","",tblFleet[[#This Row],[Calendar_h]]-tblFleet[[#This Row],[Down_h]])</f>
        <v/>
      </c>
      <c r="I1142" s="60">
        <f>IF(AND(tblFleet[[#This Row],[Units]]&lt;&gt;"",tblFleet[[#This Row],[Calendar_h]]&gt;0),tblFleet[[#This Row],[Available_h]]/tblFleet[[#This Row],[Calendar_h]],"")</f>
        <v/>
      </c>
      <c r="J1142" s="60">
        <f>IF(AND(tblFleet[[#This Row],[Units]]&lt;&gt;"",tblFleet[[#This Row],[Available_h]]&gt;0),tblFleet[[#This Row],[Operating_h]]/tblFleet[[#This Row],[Available_h]],"")</f>
        <v/>
      </c>
    </row>
    <row r="1143">
      <c r="A1143" s="54" t="n"/>
      <c r="B1143" s="61" t="n"/>
      <c r="C1143" s="62" t="n"/>
      <c r="D1143" s="57" t="n"/>
      <c r="E1143" s="57" t="n"/>
      <c r="F1143" s="58" t="n"/>
      <c r="G1143" s="66">
        <f>IF(tblFleet[[#This Row],[Units]]="","",tblFleet[[#This Row],[Units]]*cfg_HoursPerDay)</f>
        <v/>
      </c>
      <c r="H1143" s="66">
        <f>IF(tblFleet[[#This Row],[Units]]="","",tblFleet[[#This Row],[Calendar_h]]-tblFleet[[#This Row],[Down_h]])</f>
        <v/>
      </c>
      <c r="I1143" s="60">
        <f>IF(AND(tblFleet[[#This Row],[Units]]&lt;&gt;"",tblFleet[[#This Row],[Calendar_h]]&gt;0),tblFleet[[#This Row],[Available_h]]/tblFleet[[#This Row],[Calendar_h]],"")</f>
        <v/>
      </c>
      <c r="J1143" s="60">
        <f>IF(AND(tblFleet[[#This Row],[Units]]&lt;&gt;"",tblFleet[[#This Row],[Available_h]]&gt;0),tblFleet[[#This Row],[Operating_h]]/tblFleet[[#This Row],[Available_h]],"")</f>
        <v/>
      </c>
    </row>
    <row r="1144">
      <c r="A1144" s="54" t="n"/>
      <c r="B1144" s="61" t="n"/>
      <c r="C1144" s="62" t="n"/>
      <c r="D1144" s="57" t="n"/>
      <c r="E1144" s="57" t="n"/>
      <c r="F1144" s="58" t="n"/>
      <c r="G1144" s="66">
        <f>IF(tblFleet[[#This Row],[Units]]="","",tblFleet[[#This Row],[Units]]*cfg_HoursPerDay)</f>
        <v/>
      </c>
      <c r="H1144" s="66">
        <f>IF(tblFleet[[#This Row],[Units]]="","",tblFleet[[#This Row],[Calendar_h]]-tblFleet[[#This Row],[Down_h]])</f>
        <v/>
      </c>
      <c r="I1144" s="60">
        <f>IF(AND(tblFleet[[#This Row],[Units]]&lt;&gt;"",tblFleet[[#This Row],[Calendar_h]]&gt;0),tblFleet[[#This Row],[Available_h]]/tblFleet[[#This Row],[Calendar_h]],"")</f>
        <v/>
      </c>
      <c r="J1144" s="60">
        <f>IF(AND(tblFleet[[#This Row],[Units]]&lt;&gt;"",tblFleet[[#This Row],[Available_h]]&gt;0),tblFleet[[#This Row],[Operating_h]]/tblFleet[[#This Row],[Available_h]],"")</f>
        <v/>
      </c>
    </row>
    <row r="1145">
      <c r="A1145" s="54" t="n"/>
      <c r="B1145" s="61" t="n"/>
      <c r="C1145" s="62" t="n"/>
      <c r="D1145" s="57" t="n"/>
      <c r="E1145" s="57" t="n"/>
      <c r="F1145" s="58" t="n"/>
      <c r="G1145" s="66">
        <f>IF(tblFleet[[#This Row],[Units]]="","",tblFleet[[#This Row],[Units]]*cfg_HoursPerDay)</f>
        <v/>
      </c>
      <c r="H1145" s="66">
        <f>IF(tblFleet[[#This Row],[Units]]="","",tblFleet[[#This Row],[Calendar_h]]-tblFleet[[#This Row],[Down_h]])</f>
        <v/>
      </c>
      <c r="I1145" s="60">
        <f>IF(AND(tblFleet[[#This Row],[Units]]&lt;&gt;"",tblFleet[[#This Row],[Calendar_h]]&gt;0),tblFleet[[#This Row],[Available_h]]/tblFleet[[#This Row],[Calendar_h]],"")</f>
        <v/>
      </c>
      <c r="J1145" s="60">
        <f>IF(AND(tblFleet[[#This Row],[Units]]&lt;&gt;"",tblFleet[[#This Row],[Available_h]]&gt;0),tblFleet[[#This Row],[Operating_h]]/tblFleet[[#This Row],[Available_h]],"")</f>
        <v/>
      </c>
    </row>
    <row r="1146">
      <c r="A1146" s="54" t="n"/>
      <c r="B1146" s="61" t="n"/>
      <c r="C1146" s="62" t="n"/>
      <c r="D1146" s="57" t="n"/>
      <c r="E1146" s="57" t="n"/>
      <c r="F1146" s="58" t="n"/>
      <c r="G1146" s="66">
        <f>IF(tblFleet[[#This Row],[Units]]="","",tblFleet[[#This Row],[Units]]*cfg_HoursPerDay)</f>
        <v/>
      </c>
      <c r="H1146" s="66">
        <f>IF(tblFleet[[#This Row],[Units]]="","",tblFleet[[#This Row],[Calendar_h]]-tblFleet[[#This Row],[Down_h]])</f>
        <v/>
      </c>
      <c r="I1146" s="60">
        <f>IF(AND(tblFleet[[#This Row],[Units]]&lt;&gt;"",tblFleet[[#This Row],[Calendar_h]]&gt;0),tblFleet[[#This Row],[Available_h]]/tblFleet[[#This Row],[Calendar_h]],"")</f>
        <v/>
      </c>
      <c r="J1146" s="60">
        <f>IF(AND(tblFleet[[#This Row],[Units]]&lt;&gt;"",tblFleet[[#This Row],[Available_h]]&gt;0),tblFleet[[#This Row],[Operating_h]]/tblFleet[[#This Row],[Available_h]],"")</f>
        <v/>
      </c>
    </row>
    <row r="1147">
      <c r="A1147" s="54" t="n"/>
      <c r="B1147" s="61" t="n"/>
      <c r="C1147" s="62" t="n"/>
      <c r="D1147" s="57" t="n"/>
      <c r="E1147" s="57" t="n"/>
      <c r="F1147" s="58" t="n"/>
      <c r="G1147" s="66">
        <f>IF(tblFleet[[#This Row],[Units]]="","",tblFleet[[#This Row],[Units]]*cfg_HoursPerDay)</f>
        <v/>
      </c>
      <c r="H1147" s="66">
        <f>IF(tblFleet[[#This Row],[Units]]="","",tblFleet[[#This Row],[Calendar_h]]-tblFleet[[#This Row],[Down_h]])</f>
        <v/>
      </c>
      <c r="I1147" s="60">
        <f>IF(AND(tblFleet[[#This Row],[Units]]&lt;&gt;"",tblFleet[[#This Row],[Calendar_h]]&gt;0),tblFleet[[#This Row],[Available_h]]/tblFleet[[#This Row],[Calendar_h]],"")</f>
        <v/>
      </c>
      <c r="J1147" s="60">
        <f>IF(AND(tblFleet[[#This Row],[Units]]&lt;&gt;"",tblFleet[[#This Row],[Available_h]]&gt;0),tblFleet[[#This Row],[Operating_h]]/tblFleet[[#This Row],[Available_h]],"")</f>
        <v/>
      </c>
    </row>
    <row r="1148">
      <c r="A1148" s="54" t="n"/>
      <c r="B1148" s="61" t="n"/>
      <c r="C1148" s="62" t="n"/>
      <c r="D1148" s="57" t="n"/>
      <c r="E1148" s="57" t="n"/>
      <c r="F1148" s="58" t="n"/>
      <c r="G1148" s="66">
        <f>IF(tblFleet[[#This Row],[Units]]="","",tblFleet[[#This Row],[Units]]*cfg_HoursPerDay)</f>
        <v/>
      </c>
      <c r="H1148" s="66">
        <f>IF(tblFleet[[#This Row],[Units]]="","",tblFleet[[#This Row],[Calendar_h]]-tblFleet[[#This Row],[Down_h]])</f>
        <v/>
      </c>
      <c r="I1148" s="60">
        <f>IF(AND(tblFleet[[#This Row],[Units]]&lt;&gt;"",tblFleet[[#This Row],[Calendar_h]]&gt;0),tblFleet[[#This Row],[Available_h]]/tblFleet[[#This Row],[Calendar_h]],"")</f>
        <v/>
      </c>
      <c r="J1148" s="60">
        <f>IF(AND(tblFleet[[#This Row],[Units]]&lt;&gt;"",tblFleet[[#This Row],[Available_h]]&gt;0),tblFleet[[#This Row],[Operating_h]]/tblFleet[[#This Row],[Available_h]],"")</f>
        <v/>
      </c>
    </row>
    <row r="1149">
      <c r="A1149" s="54" t="n"/>
      <c r="B1149" s="61" t="n"/>
      <c r="C1149" s="62" t="n"/>
      <c r="D1149" s="57" t="n"/>
      <c r="E1149" s="57" t="n"/>
      <c r="F1149" s="58" t="n"/>
      <c r="G1149" s="66">
        <f>IF(tblFleet[[#This Row],[Units]]="","",tblFleet[[#This Row],[Units]]*cfg_HoursPerDay)</f>
        <v/>
      </c>
      <c r="H1149" s="66">
        <f>IF(tblFleet[[#This Row],[Units]]="","",tblFleet[[#This Row],[Calendar_h]]-tblFleet[[#This Row],[Down_h]])</f>
        <v/>
      </c>
      <c r="I1149" s="60">
        <f>IF(AND(tblFleet[[#This Row],[Units]]&lt;&gt;"",tblFleet[[#This Row],[Calendar_h]]&gt;0),tblFleet[[#This Row],[Available_h]]/tblFleet[[#This Row],[Calendar_h]],"")</f>
        <v/>
      </c>
      <c r="J1149" s="60">
        <f>IF(AND(tblFleet[[#This Row],[Units]]&lt;&gt;"",tblFleet[[#This Row],[Available_h]]&gt;0),tblFleet[[#This Row],[Operating_h]]/tblFleet[[#This Row],[Available_h]],"")</f>
        <v/>
      </c>
    </row>
    <row r="1150">
      <c r="A1150" s="54" t="n"/>
      <c r="B1150" s="61" t="n"/>
      <c r="C1150" s="62" t="n"/>
      <c r="D1150" s="57" t="n"/>
      <c r="E1150" s="57" t="n"/>
      <c r="F1150" s="58" t="n"/>
      <c r="G1150" s="66">
        <f>IF(tblFleet[[#This Row],[Units]]="","",tblFleet[[#This Row],[Units]]*cfg_HoursPerDay)</f>
        <v/>
      </c>
      <c r="H1150" s="66">
        <f>IF(tblFleet[[#This Row],[Units]]="","",tblFleet[[#This Row],[Calendar_h]]-tblFleet[[#This Row],[Down_h]])</f>
        <v/>
      </c>
      <c r="I1150" s="60">
        <f>IF(AND(tblFleet[[#This Row],[Units]]&lt;&gt;"",tblFleet[[#This Row],[Calendar_h]]&gt;0),tblFleet[[#This Row],[Available_h]]/tblFleet[[#This Row],[Calendar_h]],"")</f>
        <v/>
      </c>
      <c r="J1150" s="60">
        <f>IF(AND(tblFleet[[#This Row],[Units]]&lt;&gt;"",tblFleet[[#This Row],[Available_h]]&gt;0),tblFleet[[#This Row],[Operating_h]]/tblFleet[[#This Row],[Available_h]],"")</f>
        <v/>
      </c>
    </row>
    <row r="1151">
      <c r="A1151" s="54" t="n"/>
      <c r="B1151" s="61" t="n"/>
      <c r="C1151" s="62" t="n"/>
      <c r="D1151" s="57" t="n"/>
      <c r="E1151" s="57" t="n"/>
      <c r="F1151" s="58" t="n"/>
      <c r="G1151" s="66">
        <f>IF(tblFleet[[#This Row],[Units]]="","",tblFleet[[#This Row],[Units]]*cfg_HoursPerDay)</f>
        <v/>
      </c>
      <c r="H1151" s="66">
        <f>IF(tblFleet[[#This Row],[Units]]="","",tblFleet[[#This Row],[Calendar_h]]-tblFleet[[#This Row],[Down_h]])</f>
        <v/>
      </c>
      <c r="I1151" s="60">
        <f>IF(AND(tblFleet[[#This Row],[Units]]&lt;&gt;"",tblFleet[[#This Row],[Calendar_h]]&gt;0),tblFleet[[#This Row],[Available_h]]/tblFleet[[#This Row],[Calendar_h]],"")</f>
        <v/>
      </c>
      <c r="J1151" s="60">
        <f>IF(AND(tblFleet[[#This Row],[Units]]&lt;&gt;"",tblFleet[[#This Row],[Available_h]]&gt;0),tblFleet[[#This Row],[Operating_h]]/tblFleet[[#This Row],[Available_h]],"")</f>
        <v/>
      </c>
    </row>
    <row r="1152">
      <c r="A1152" s="54" t="n"/>
      <c r="B1152" s="61" t="n"/>
      <c r="C1152" s="62" t="n"/>
      <c r="D1152" s="57" t="n"/>
      <c r="E1152" s="57" t="n"/>
      <c r="F1152" s="58" t="n"/>
      <c r="G1152" s="66">
        <f>IF(tblFleet[[#This Row],[Units]]="","",tblFleet[[#This Row],[Units]]*cfg_HoursPerDay)</f>
        <v/>
      </c>
      <c r="H1152" s="66">
        <f>IF(tblFleet[[#This Row],[Units]]="","",tblFleet[[#This Row],[Calendar_h]]-tblFleet[[#This Row],[Down_h]])</f>
        <v/>
      </c>
      <c r="I1152" s="60">
        <f>IF(AND(tblFleet[[#This Row],[Units]]&lt;&gt;"",tblFleet[[#This Row],[Calendar_h]]&gt;0),tblFleet[[#This Row],[Available_h]]/tblFleet[[#This Row],[Calendar_h]],"")</f>
        <v/>
      </c>
      <c r="J1152" s="60">
        <f>IF(AND(tblFleet[[#This Row],[Units]]&lt;&gt;"",tblFleet[[#This Row],[Available_h]]&gt;0),tblFleet[[#This Row],[Operating_h]]/tblFleet[[#This Row],[Available_h]],"")</f>
        <v/>
      </c>
    </row>
    <row r="1153">
      <c r="A1153" s="54" t="n"/>
      <c r="B1153" s="61" t="n"/>
      <c r="C1153" s="62" t="n"/>
      <c r="D1153" s="57" t="n"/>
      <c r="E1153" s="57" t="n"/>
      <c r="F1153" s="58" t="n"/>
      <c r="G1153" s="66">
        <f>IF(tblFleet[[#This Row],[Units]]="","",tblFleet[[#This Row],[Units]]*cfg_HoursPerDay)</f>
        <v/>
      </c>
      <c r="H1153" s="66">
        <f>IF(tblFleet[[#This Row],[Units]]="","",tblFleet[[#This Row],[Calendar_h]]-tblFleet[[#This Row],[Down_h]])</f>
        <v/>
      </c>
      <c r="I1153" s="60">
        <f>IF(AND(tblFleet[[#This Row],[Units]]&lt;&gt;"",tblFleet[[#This Row],[Calendar_h]]&gt;0),tblFleet[[#This Row],[Available_h]]/tblFleet[[#This Row],[Calendar_h]],"")</f>
        <v/>
      </c>
      <c r="J1153" s="60">
        <f>IF(AND(tblFleet[[#This Row],[Units]]&lt;&gt;"",tblFleet[[#This Row],[Available_h]]&gt;0),tblFleet[[#This Row],[Operating_h]]/tblFleet[[#This Row],[Available_h]],"")</f>
        <v/>
      </c>
    </row>
    <row r="1154">
      <c r="A1154" s="54" t="n"/>
      <c r="B1154" s="61" t="n"/>
      <c r="C1154" s="62" t="n"/>
      <c r="D1154" s="57" t="n"/>
      <c r="E1154" s="57" t="n"/>
      <c r="F1154" s="58" t="n"/>
      <c r="G1154" s="66">
        <f>IF(tblFleet[[#This Row],[Units]]="","",tblFleet[[#This Row],[Units]]*cfg_HoursPerDay)</f>
        <v/>
      </c>
      <c r="H1154" s="66">
        <f>IF(tblFleet[[#This Row],[Units]]="","",tblFleet[[#This Row],[Calendar_h]]-tblFleet[[#This Row],[Down_h]])</f>
        <v/>
      </c>
      <c r="I1154" s="60">
        <f>IF(AND(tblFleet[[#This Row],[Units]]&lt;&gt;"",tblFleet[[#This Row],[Calendar_h]]&gt;0),tblFleet[[#This Row],[Available_h]]/tblFleet[[#This Row],[Calendar_h]],"")</f>
        <v/>
      </c>
      <c r="J1154" s="60">
        <f>IF(AND(tblFleet[[#This Row],[Units]]&lt;&gt;"",tblFleet[[#This Row],[Available_h]]&gt;0),tblFleet[[#This Row],[Operating_h]]/tblFleet[[#This Row],[Available_h]],"")</f>
        <v/>
      </c>
    </row>
    <row r="1155">
      <c r="A1155" s="54" t="n"/>
      <c r="B1155" s="61" t="n"/>
      <c r="C1155" s="62" t="n"/>
      <c r="D1155" s="57" t="n"/>
      <c r="E1155" s="57" t="n"/>
      <c r="F1155" s="58" t="n"/>
      <c r="G1155" s="66">
        <f>IF(tblFleet[[#This Row],[Units]]="","",tblFleet[[#This Row],[Units]]*cfg_HoursPerDay)</f>
        <v/>
      </c>
      <c r="H1155" s="66">
        <f>IF(tblFleet[[#This Row],[Units]]="","",tblFleet[[#This Row],[Calendar_h]]-tblFleet[[#This Row],[Down_h]])</f>
        <v/>
      </c>
      <c r="I1155" s="60">
        <f>IF(AND(tblFleet[[#This Row],[Units]]&lt;&gt;"",tblFleet[[#This Row],[Calendar_h]]&gt;0),tblFleet[[#This Row],[Available_h]]/tblFleet[[#This Row],[Calendar_h]],"")</f>
        <v/>
      </c>
      <c r="J1155" s="60">
        <f>IF(AND(tblFleet[[#This Row],[Units]]&lt;&gt;"",tblFleet[[#This Row],[Available_h]]&gt;0),tblFleet[[#This Row],[Operating_h]]/tblFleet[[#This Row],[Available_h]],"")</f>
        <v/>
      </c>
    </row>
    <row r="1156">
      <c r="A1156" s="54" t="n"/>
      <c r="B1156" s="61" t="n"/>
      <c r="C1156" s="62" t="n"/>
      <c r="D1156" s="57" t="n"/>
      <c r="E1156" s="57" t="n"/>
      <c r="F1156" s="58" t="n"/>
      <c r="G1156" s="66">
        <f>IF(tblFleet[[#This Row],[Units]]="","",tblFleet[[#This Row],[Units]]*cfg_HoursPerDay)</f>
        <v/>
      </c>
      <c r="H1156" s="66">
        <f>IF(tblFleet[[#This Row],[Units]]="","",tblFleet[[#This Row],[Calendar_h]]-tblFleet[[#This Row],[Down_h]])</f>
        <v/>
      </c>
      <c r="I1156" s="60">
        <f>IF(AND(tblFleet[[#This Row],[Units]]&lt;&gt;"",tblFleet[[#This Row],[Calendar_h]]&gt;0),tblFleet[[#This Row],[Available_h]]/tblFleet[[#This Row],[Calendar_h]],"")</f>
        <v/>
      </c>
      <c r="J1156" s="60">
        <f>IF(AND(tblFleet[[#This Row],[Units]]&lt;&gt;"",tblFleet[[#This Row],[Available_h]]&gt;0),tblFleet[[#This Row],[Operating_h]]/tblFleet[[#This Row],[Available_h]],"")</f>
        <v/>
      </c>
    </row>
    <row r="1157">
      <c r="A1157" s="54" t="n"/>
      <c r="B1157" s="61" t="n"/>
      <c r="C1157" s="62" t="n"/>
      <c r="D1157" s="57" t="n"/>
      <c r="E1157" s="57" t="n"/>
      <c r="F1157" s="58" t="n"/>
      <c r="G1157" s="66">
        <f>IF(tblFleet[[#This Row],[Units]]="","",tblFleet[[#This Row],[Units]]*cfg_HoursPerDay)</f>
        <v/>
      </c>
      <c r="H1157" s="66">
        <f>IF(tblFleet[[#This Row],[Units]]="","",tblFleet[[#This Row],[Calendar_h]]-tblFleet[[#This Row],[Down_h]])</f>
        <v/>
      </c>
      <c r="I1157" s="60">
        <f>IF(AND(tblFleet[[#This Row],[Units]]&lt;&gt;"",tblFleet[[#This Row],[Calendar_h]]&gt;0),tblFleet[[#This Row],[Available_h]]/tblFleet[[#This Row],[Calendar_h]],"")</f>
        <v/>
      </c>
      <c r="J1157" s="60">
        <f>IF(AND(tblFleet[[#This Row],[Units]]&lt;&gt;"",tblFleet[[#This Row],[Available_h]]&gt;0),tblFleet[[#This Row],[Operating_h]]/tblFleet[[#This Row],[Available_h]],"")</f>
        <v/>
      </c>
    </row>
    <row r="1158">
      <c r="A1158" s="54" t="n"/>
      <c r="B1158" s="61" t="n"/>
      <c r="C1158" s="62" t="n"/>
      <c r="D1158" s="57" t="n"/>
      <c r="E1158" s="57" t="n"/>
      <c r="F1158" s="58" t="n"/>
      <c r="G1158" s="66">
        <f>IF(tblFleet[[#This Row],[Units]]="","",tblFleet[[#This Row],[Units]]*cfg_HoursPerDay)</f>
        <v/>
      </c>
      <c r="H1158" s="66">
        <f>IF(tblFleet[[#This Row],[Units]]="","",tblFleet[[#This Row],[Calendar_h]]-tblFleet[[#This Row],[Down_h]])</f>
        <v/>
      </c>
      <c r="I1158" s="60">
        <f>IF(AND(tblFleet[[#This Row],[Units]]&lt;&gt;"",tblFleet[[#This Row],[Calendar_h]]&gt;0),tblFleet[[#This Row],[Available_h]]/tblFleet[[#This Row],[Calendar_h]],"")</f>
        <v/>
      </c>
      <c r="J1158" s="60">
        <f>IF(AND(tblFleet[[#This Row],[Units]]&lt;&gt;"",tblFleet[[#This Row],[Available_h]]&gt;0),tblFleet[[#This Row],[Operating_h]]/tblFleet[[#This Row],[Available_h]],"")</f>
        <v/>
      </c>
    </row>
    <row r="1159">
      <c r="A1159" s="54" t="n"/>
      <c r="B1159" s="61" t="n"/>
      <c r="C1159" s="62" t="n"/>
      <c r="D1159" s="57" t="n"/>
      <c r="E1159" s="57" t="n"/>
      <c r="F1159" s="58" t="n"/>
      <c r="G1159" s="66">
        <f>IF(tblFleet[[#This Row],[Units]]="","",tblFleet[[#This Row],[Units]]*cfg_HoursPerDay)</f>
        <v/>
      </c>
      <c r="H1159" s="66">
        <f>IF(tblFleet[[#This Row],[Units]]="","",tblFleet[[#This Row],[Calendar_h]]-tblFleet[[#This Row],[Down_h]])</f>
        <v/>
      </c>
      <c r="I1159" s="60">
        <f>IF(AND(tblFleet[[#This Row],[Units]]&lt;&gt;"",tblFleet[[#This Row],[Calendar_h]]&gt;0),tblFleet[[#This Row],[Available_h]]/tblFleet[[#This Row],[Calendar_h]],"")</f>
        <v/>
      </c>
      <c r="J1159" s="60">
        <f>IF(AND(tblFleet[[#This Row],[Units]]&lt;&gt;"",tblFleet[[#This Row],[Available_h]]&gt;0),tblFleet[[#This Row],[Operating_h]]/tblFleet[[#This Row],[Available_h]],"")</f>
        <v/>
      </c>
    </row>
    <row r="1160">
      <c r="A1160" s="54" t="n"/>
      <c r="B1160" s="61" t="n"/>
      <c r="C1160" s="62" t="n"/>
      <c r="D1160" s="57" t="n"/>
      <c r="E1160" s="57" t="n"/>
      <c r="F1160" s="58" t="n"/>
      <c r="G1160" s="66">
        <f>IF(tblFleet[[#This Row],[Units]]="","",tblFleet[[#This Row],[Units]]*cfg_HoursPerDay)</f>
        <v/>
      </c>
      <c r="H1160" s="66">
        <f>IF(tblFleet[[#This Row],[Units]]="","",tblFleet[[#This Row],[Calendar_h]]-tblFleet[[#This Row],[Down_h]])</f>
        <v/>
      </c>
      <c r="I1160" s="60">
        <f>IF(AND(tblFleet[[#This Row],[Units]]&lt;&gt;"",tblFleet[[#This Row],[Calendar_h]]&gt;0),tblFleet[[#This Row],[Available_h]]/tblFleet[[#This Row],[Calendar_h]],"")</f>
        <v/>
      </c>
      <c r="J1160" s="60">
        <f>IF(AND(tblFleet[[#This Row],[Units]]&lt;&gt;"",tblFleet[[#This Row],[Available_h]]&gt;0),tblFleet[[#This Row],[Operating_h]]/tblFleet[[#This Row],[Available_h]],"")</f>
        <v/>
      </c>
    </row>
    <row r="1161">
      <c r="A1161" s="54" t="n"/>
      <c r="B1161" s="61" t="n"/>
      <c r="C1161" s="62" t="n"/>
      <c r="D1161" s="57" t="n"/>
      <c r="E1161" s="57" t="n"/>
      <c r="F1161" s="58" t="n"/>
      <c r="G1161" s="66">
        <f>IF(tblFleet[[#This Row],[Units]]="","",tblFleet[[#This Row],[Units]]*cfg_HoursPerDay)</f>
        <v/>
      </c>
      <c r="H1161" s="66">
        <f>IF(tblFleet[[#This Row],[Units]]="","",tblFleet[[#This Row],[Calendar_h]]-tblFleet[[#This Row],[Down_h]])</f>
        <v/>
      </c>
      <c r="I1161" s="60">
        <f>IF(AND(tblFleet[[#This Row],[Units]]&lt;&gt;"",tblFleet[[#This Row],[Calendar_h]]&gt;0),tblFleet[[#This Row],[Available_h]]/tblFleet[[#This Row],[Calendar_h]],"")</f>
        <v/>
      </c>
      <c r="J1161" s="60">
        <f>IF(AND(tblFleet[[#This Row],[Units]]&lt;&gt;"",tblFleet[[#This Row],[Available_h]]&gt;0),tblFleet[[#This Row],[Operating_h]]/tblFleet[[#This Row],[Available_h]],"")</f>
        <v/>
      </c>
    </row>
    <row r="1162">
      <c r="A1162" s="54" t="n"/>
      <c r="B1162" s="61" t="n"/>
      <c r="C1162" s="62" t="n"/>
      <c r="D1162" s="57" t="n"/>
      <c r="E1162" s="57" t="n"/>
      <c r="F1162" s="58" t="n"/>
      <c r="G1162" s="66">
        <f>IF(tblFleet[[#This Row],[Units]]="","",tblFleet[[#This Row],[Units]]*cfg_HoursPerDay)</f>
        <v/>
      </c>
      <c r="H1162" s="66">
        <f>IF(tblFleet[[#This Row],[Units]]="","",tblFleet[[#This Row],[Calendar_h]]-tblFleet[[#This Row],[Down_h]])</f>
        <v/>
      </c>
      <c r="I1162" s="60">
        <f>IF(AND(tblFleet[[#This Row],[Units]]&lt;&gt;"",tblFleet[[#This Row],[Calendar_h]]&gt;0),tblFleet[[#This Row],[Available_h]]/tblFleet[[#This Row],[Calendar_h]],"")</f>
        <v/>
      </c>
      <c r="J1162" s="60">
        <f>IF(AND(tblFleet[[#This Row],[Units]]&lt;&gt;"",tblFleet[[#This Row],[Available_h]]&gt;0),tblFleet[[#This Row],[Operating_h]]/tblFleet[[#This Row],[Available_h]],"")</f>
        <v/>
      </c>
    </row>
    <row r="1163">
      <c r="A1163" s="54" t="n"/>
      <c r="B1163" s="61" t="n"/>
      <c r="C1163" s="62" t="n"/>
      <c r="D1163" s="57" t="n"/>
      <c r="E1163" s="57" t="n"/>
      <c r="F1163" s="58" t="n"/>
      <c r="G1163" s="66">
        <f>IF(tblFleet[[#This Row],[Units]]="","",tblFleet[[#This Row],[Units]]*cfg_HoursPerDay)</f>
        <v/>
      </c>
      <c r="H1163" s="66">
        <f>IF(tblFleet[[#This Row],[Units]]="","",tblFleet[[#This Row],[Calendar_h]]-tblFleet[[#This Row],[Down_h]])</f>
        <v/>
      </c>
      <c r="I1163" s="60">
        <f>IF(AND(tblFleet[[#This Row],[Units]]&lt;&gt;"",tblFleet[[#This Row],[Calendar_h]]&gt;0),tblFleet[[#This Row],[Available_h]]/tblFleet[[#This Row],[Calendar_h]],"")</f>
        <v/>
      </c>
      <c r="J1163" s="60">
        <f>IF(AND(tblFleet[[#This Row],[Units]]&lt;&gt;"",tblFleet[[#This Row],[Available_h]]&gt;0),tblFleet[[#This Row],[Operating_h]]/tblFleet[[#This Row],[Available_h]],"")</f>
        <v/>
      </c>
    </row>
    <row r="1164">
      <c r="A1164" s="54" t="n"/>
      <c r="B1164" s="61" t="n"/>
      <c r="C1164" s="62" t="n"/>
      <c r="D1164" s="57" t="n"/>
      <c r="E1164" s="57" t="n"/>
      <c r="F1164" s="58" t="n"/>
      <c r="G1164" s="66">
        <f>IF(tblFleet[[#This Row],[Units]]="","",tblFleet[[#This Row],[Units]]*cfg_HoursPerDay)</f>
        <v/>
      </c>
      <c r="H1164" s="66">
        <f>IF(tblFleet[[#This Row],[Units]]="","",tblFleet[[#This Row],[Calendar_h]]-tblFleet[[#This Row],[Down_h]])</f>
        <v/>
      </c>
      <c r="I1164" s="60">
        <f>IF(AND(tblFleet[[#This Row],[Units]]&lt;&gt;"",tblFleet[[#This Row],[Calendar_h]]&gt;0),tblFleet[[#This Row],[Available_h]]/tblFleet[[#This Row],[Calendar_h]],"")</f>
        <v/>
      </c>
      <c r="J1164" s="60">
        <f>IF(AND(tblFleet[[#This Row],[Units]]&lt;&gt;"",tblFleet[[#This Row],[Available_h]]&gt;0),tblFleet[[#This Row],[Operating_h]]/tblFleet[[#This Row],[Available_h]],"")</f>
        <v/>
      </c>
    </row>
    <row r="1165">
      <c r="A1165" s="54" t="n"/>
      <c r="B1165" s="61" t="n"/>
      <c r="C1165" s="62" t="n"/>
      <c r="D1165" s="57" t="n"/>
      <c r="E1165" s="57" t="n"/>
      <c r="F1165" s="58" t="n"/>
      <c r="G1165" s="66">
        <f>IF(tblFleet[[#This Row],[Units]]="","",tblFleet[[#This Row],[Units]]*cfg_HoursPerDay)</f>
        <v/>
      </c>
      <c r="H1165" s="66">
        <f>IF(tblFleet[[#This Row],[Units]]="","",tblFleet[[#This Row],[Calendar_h]]-tblFleet[[#This Row],[Down_h]])</f>
        <v/>
      </c>
      <c r="I1165" s="60">
        <f>IF(AND(tblFleet[[#This Row],[Units]]&lt;&gt;"",tblFleet[[#This Row],[Calendar_h]]&gt;0),tblFleet[[#This Row],[Available_h]]/tblFleet[[#This Row],[Calendar_h]],"")</f>
        <v/>
      </c>
      <c r="J1165" s="60">
        <f>IF(AND(tblFleet[[#This Row],[Units]]&lt;&gt;"",tblFleet[[#This Row],[Available_h]]&gt;0),tblFleet[[#This Row],[Operating_h]]/tblFleet[[#This Row],[Available_h]],"")</f>
        <v/>
      </c>
    </row>
    <row r="1166">
      <c r="A1166" s="54" t="n"/>
      <c r="B1166" s="61" t="n"/>
      <c r="C1166" s="62" t="n"/>
      <c r="D1166" s="57" t="n"/>
      <c r="E1166" s="57" t="n"/>
      <c r="F1166" s="58" t="n"/>
      <c r="G1166" s="66">
        <f>IF(tblFleet[[#This Row],[Units]]="","",tblFleet[[#This Row],[Units]]*cfg_HoursPerDay)</f>
        <v/>
      </c>
      <c r="H1166" s="66">
        <f>IF(tblFleet[[#This Row],[Units]]="","",tblFleet[[#This Row],[Calendar_h]]-tblFleet[[#This Row],[Down_h]])</f>
        <v/>
      </c>
      <c r="I1166" s="60">
        <f>IF(AND(tblFleet[[#This Row],[Units]]&lt;&gt;"",tblFleet[[#This Row],[Calendar_h]]&gt;0),tblFleet[[#This Row],[Available_h]]/tblFleet[[#This Row],[Calendar_h]],"")</f>
        <v/>
      </c>
      <c r="J1166" s="60">
        <f>IF(AND(tblFleet[[#This Row],[Units]]&lt;&gt;"",tblFleet[[#This Row],[Available_h]]&gt;0),tblFleet[[#This Row],[Operating_h]]/tblFleet[[#This Row],[Available_h]],"")</f>
        <v/>
      </c>
    </row>
    <row r="1167">
      <c r="A1167" s="54" t="n"/>
      <c r="B1167" s="61" t="n"/>
      <c r="C1167" s="62" t="n"/>
      <c r="D1167" s="57" t="n"/>
      <c r="E1167" s="57" t="n"/>
      <c r="F1167" s="58" t="n"/>
      <c r="G1167" s="66">
        <f>IF(tblFleet[[#This Row],[Units]]="","",tblFleet[[#This Row],[Units]]*cfg_HoursPerDay)</f>
        <v/>
      </c>
      <c r="H1167" s="66">
        <f>IF(tblFleet[[#This Row],[Units]]="","",tblFleet[[#This Row],[Calendar_h]]-tblFleet[[#This Row],[Down_h]])</f>
        <v/>
      </c>
      <c r="I1167" s="60">
        <f>IF(AND(tblFleet[[#This Row],[Units]]&lt;&gt;"",tblFleet[[#This Row],[Calendar_h]]&gt;0),tblFleet[[#This Row],[Available_h]]/tblFleet[[#This Row],[Calendar_h]],"")</f>
        <v/>
      </c>
      <c r="J1167" s="60">
        <f>IF(AND(tblFleet[[#This Row],[Units]]&lt;&gt;"",tblFleet[[#This Row],[Available_h]]&gt;0),tblFleet[[#This Row],[Operating_h]]/tblFleet[[#This Row],[Available_h]],"")</f>
        <v/>
      </c>
    </row>
    <row r="1168">
      <c r="A1168" s="54" t="n"/>
      <c r="B1168" s="61" t="n"/>
      <c r="C1168" s="62" t="n"/>
      <c r="D1168" s="57" t="n"/>
      <c r="E1168" s="57" t="n"/>
      <c r="F1168" s="58" t="n"/>
      <c r="G1168" s="66">
        <f>IF(tblFleet[[#This Row],[Units]]="","",tblFleet[[#This Row],[Units]]*cfg_HoursPerDay)</f>
        <v/>
      </c>
      <c r="H1168" s="66">
        <f>IF(tblFleet[[#This Row],[Units]]="","",tblFleet[[#This Row],[Calendar_h]]-tblFleet[[#This Row],[Down_h]])</f>
        <v/>
      </c>
      <c r="I1168" s="60">
        <f>IF(AND(tblFleet[[#This Row],[Units]]&lt;&gt;"",tblFleet[[#This Row],[Calendar_h]]&gt;0),tblFleet[[#This Row],[Available_h]]/tblFleet[[#This Row],[Calendar_h]],"")</f>
        <v/>
      </c>
      <c r="J1168" s="60">
        <f>IF(AND(tblFleet[[#This Row],[Units]]&lt;&gt;"",tblFleet[[#This Row],[Available_h]]&gt;0),tblFleet[[#This Row],[Operating_h]]/tblFleet[[#This Row],[Available_h]],"")</f>
        <v/>
      </c>
    </row>
    <row r="1169">
      <c r="A1169" s="54" t="n"/>
      <c r="B1169" s="61" t="n"/>
      <c r="C1169" s="62" t="n"/>
      <c r="D1169" s="57" t="n"/>
      <c r="E1169" s="57" t="n"/>
      <c r="F1169" s="58" t="n"/>
      <c r="G1169" s="66">
        <f>IF(tblFleet[[#This Row],[Units]]="","",tblFleet[[#This Row],[Units]]*cfg_HoursPerDay)</f>
        <v/>
      </c>
      <c r="H1169" s="66">
        <f>IF(tblFleet[[#This Row],[Units]]="","",tblFleet[[#This Row],[Calendar_h]]-tblFleet[[#This Row],[Down_h]])</f>
        <v/>
      </c>
      <c r="I1169" s="60">
        <f>IF(AND(tblFleet[[#This Row],[Units]]&lt;&gt;"",tblFleet[[#This Row],[Calendar_h]]&gt;0),tblFleet[[#This Row],[Available_h]]/tblFleet[[#This Row],[Calendar_h]],"")</f>
        <v/>
      </c>
      <c r="J1169" s="60">
        <f>IF(AND(tblFleet[[#This Row],[Units]]&lt;&gt;"",tblFleet[[#This Row],[Available_h]]&gt;0),tblFleet[[#This Row],[Operating_h]]/tblFleet[[#This Row],[Available_h]],"")</f>
        <v/>
      </c>
    </row>
    <row r="1170">
      <c r="A1170" s="54" t="n"/>
      <c r="B1170" s="61" t="n"/>
      <c r="C1170" s="62" t="n"/>
      <c r="D1170" s="57" t="n"/>
      <c r="E1170" s="57" t="n"/>
      <c r="F1170" s="58" t="n"/>
      <c r="G1170" s="66">
        <f>IF(tblFleet[[#This Row],[Units]]="","",tblFleet[[#This Row],[Units]]*cfg_HoursPerDay)</f>
        <v/>
      </c>
      <c r="H1170" s="66">
        <f>IF(tblFleet[[#This Row],[Units]]="","",tblFleet[[#This Row],[Calendar_h]]-tblFleet[[#This Row],[Down_h]])</f>
        <v/>
      </c>
      <c r="I1170" s="60">
        <f>IF(AND(tblFleet[[#This Row],[Units]]&lt;&gt;"",tblFleet[[#This Row],[Calendar_h]]&gt;0),tblFleet[[#This Row],[Available_h]]/tblFleet[[#This Row],[Calendar_h]],"")</f>
        <v/>
      </c>
      <c r="J1170" s="60">
        <f>IF(AND(tblFleet[[#This Row],[Units]]&lt;&gt;"",tblFleet[[#This Row],[Available_h]]&gt;0),tblFleet[[#This Row],[Operating_h]]/tblFleet[[#This Row],[Available_h]],"")</f>
        <v/>
      </c>
    </row>
    <row r="1171">
      <c r="A1171" s="54" t="n"/>
      <c r="B1171" s="61" t="n"/>
      <c r="C1171" s="62" t="n"/>
      <c r="D1171" s="57" t="n"/>
      <c r="E1171" s="57" t="n"/>
      <c r="F1171" s="58" t="n"/>
      <c r="G1171" s="66">
        <f>IF(tblFleet[[#This Row],[Units]]="","",tblFleet[[#This Row],[Units]]*cfg_HoursPerDay)</f>
        <v/>
      </c>
      <c r="H1171" s="66">
        <f>IF(tblFleet[[#This Row],[Units]]="","",tblFleet[[#This Row],[Calendar_h]]-tblFleet[[#This Row],[Down_h]])</f>
        <v/>
      </c>
      <c r="I1171" s="60">
        <f>IF(AND(tblFleet[[#This Row],[Units]]&lt;&gt;"",tblFleet[[#This Row],[Calendar_h]]&gt;0),tblFleet[[#This Row],[Available_h]]/tblFleet[[#This Row],[Calendar_h]],"")</f>
        <v/>
      </c>
      <c r="J1171" s="60">
        <f>IF(AND(tblFleet[[#This Row],[Units]]&lt;&gt;"",tblFleet[[#This Row],[Available_h]]&gt;0),tblFleet[[#This Row],[Operating_h]]/tblFleet[[#This Row],[Available_h]],"")</f>
        <v/>
      </c>
    </row>
    <row r="1172">
      <c r="A1172" s="54" t="n"/>
      <c r="B1172" s="61" t="n"/>
      <c r="C1172" s="62" t="n"/>
      <c r="D1172" s="57" t="n"/>
      <c r="E1172" s="57" t="n"/>
      <c r="F1172" s="58" t="n"/>
      <c r="G1172" s="66">
        <f>IF(tblFleet[[#This Row],[Units]]="","",tblFleet[[#This Row],[Units]]*cfg_HoursPerDay)</f>
        <v/>
      </c>
      <c r="H1172" s="66">
        <f>IF(tblFleet[[#This Row],[Units]]="","",tblFleet[[#This Row],[Calendar_h]]-tblFleet[[#This Row],[Down_h]])</f>
        <v/>
      </c>
      <c r="I1172" s="60">
        <f>IF(AND(tblFleet[[#This Row],[Units]]&lt;&gt;"",tblFleet[[#This Row],[Calendar_h]]&gt;0),tblFleet[[#This Row],[Available_h]]/tblFleet[[#This Row],[Calendar_h]],"")</f>
        <v/>
      </c>
      <c r="J1172" s="60">
        <f>IF(AND(tblFleet[[#This Row],[Units]]&lt;&gt;"",tblFleet[[#This Row],[Available_h]]&gt;0),tblFleet[[#This Row],[Operating_h]]/tblFleet[[#This Row],[Available_h]],"")</f>
        <v/>
      </c>
    </row>
    <row r="1173">
      <c r="A1173" s="54" t="n"/>
      <c r="B1173" s="61" t="n"/>
      <c r="C1173" s="62" t="n"/>
      <c r="D1173" s="57" t="n"/>
      <c r="E1173" s="57" t="n"/>
      <c r="F1173" s="58" t="n"/>
      <c r="G1173" s="66">
        <f>IF(tblFleet[[#This Row],[Units]]="","",tblFleet[[#This Row],[Units]]*cfg_HoursPerDay)</f>
        <v/>
      </c>
      <c r="H1173" s="66">
        <f>IF(tblFleet[[#This Row],[Units]]="","",tblFleet[[#This Row],[Calendar_h]]-tblFleet[[#This Row],[Down_h]])</f>
        <v/>
      </c>
      <c r="I1173" s="60">
        <f>IF(AND(tblFleet[[#This Row],[Units]]&lt;&gt;"",tblFleet[[#This Row],[Calendar_h]]&gt;0),tblFleet[[#This Row],[Available_h]]/tblFleet[[#This Row],[Calendar_h]],"")</f>
        <v/>
      </c>
      <c r="J1173" s="60">
        <f>IF(AND(tblFleet[[#This Row],[Units]]&lt;&gt;"",tblFleet[[#This Row],[Available_h]]&gt;0),tblFleet[[#This Row],[Operating_h]]/tblFleet[[#This Row],[Available_h]],"")</f>
        <v/>
      </c>
    </row>
    <row r="1174">
      <c r="A1174" s="54" t="n"/>
      <c r="B1174" s="61" t="n"/>
      <c r="C1174" s="62" t="n"/>
      <c r="D1174" s="57" t="n"/>
      <c r="E1174" s="57" t="n"/>
      <c r="F1174" s="58" t="n"/>
      <c r="G1174" s="66">
        <f>IF(tblFleet[[#This Row],[Units]]="","",tblFleet[[#This Row],[Units]]*cfg_HoursPerDay)</f>
        <v/>
      </c>
      <c r="H1174" s="66">
        <f>IF(tblFleet[[#This Row],[Units]]="","",tblFleet[[#This Row],[Calendar_h]]-tblFleet[[#This Row],[Down_h]])</f>
        <v/>
      </c>
      <c r="I1174" s="60">
        <f>IF(AND(tblFleet[[#This Row],[Units]]&lt;&gt;"",tblFleet[[#This Row],[Calendar_h]]&gt;0),tblFleet[[#This Row],[Available_h]]/tblFleet[[#This Row],[Calendar_h]],"")</f>
        <v/>
      </c>
      <c r="J1174" s="60">
        <f>IF(AND(tblFleet[[#This Row],[Units]]&lt;&gt;"",tblFleet[[#This Row],[Available_h]]&gt;0),tblFleet[[#This Row],[Operating_h]]/tblFleet[[#This Row],[Available_h]],"")</f>
        <v/>
      </c>
    </row>
    <row r="1175">
      <c r="A1175" s="54" t="n"/>
      <c r="B1175" s="61" t="n"/>
      <c r="C1175" s="62" t="n"/>
      <c r="D1175" s="57" t="n"/>
      <c r="E1175" s="57" t="n"/>
      <c r="F1175" s="58" t="n"/>
      <c r="G1175" s="66">
        <f>IF(tblFleet[[#This Row],[Units]]="","",tblFleet[[#This Row],[Units]]*cfg_HoursPerDay)</f>
        <v/>
      </c>
      <c r="H1175" s="66">
        <f>IF(tblFleet[[#This Row],[Units]]="","",tblFleet[[#This Row],[Calendar_h]]-tblFleet[[#This Row],[Down_h]])</f>
        <v/>
      </c>
      <c r="I1175" s="60">
        <f>IF(AND(tblFleet[[#This Row],[Units]]&lt;&gt;"",tblFleet[[#This Row],[Calendar_h]]&gt;0),tblFleet[[#This Row],[Available_h]]/tblFleet[[#This Row],[Calendar_h]],"")</f>
        <v/>
      </c>
      <c r="J1175" s="60">
        <f>IF(AND(tblFleet[[#This Row],[Units]]&lt;&gt;"",tblFleet[[#This Row],[Available_h]]&gt;0),tblFleet[[#This Row],[Operating_h]]/tblFleet[[#This Row],[Available_h]],"")</f>
        <v/>
      </c>
    </row>
    <row r="1176">
      <c r="A1176" s="54" t="n"/>
      <c r="B1176" s="61" t="n"/>
      <c r="C1176" s="62" t="n"/>
      <c r="D1176" s="57" t="n"/>
      <c r="E1176" s="57" t="n"/>
      <c r="F1176" s="58" t="n"/>
      <c r="G1176" s="66">
        <f>IF(tblFleet[[#This Row],[Units]]="","",tblFleet[[#This Row],[Units]]*cfg_HoursPerDay)</f>
        <v/>
      </c>
      <c r="H1176" s="66">
        <f>IF(tblFleet[[#This Row],[Units]]="","",tblFleet[[#This Row],[Calendar_h]]-tblFleet[[#This Row],[Down_h]])</f>
        <v/>
      </c>
      <c r="I1176" s="60">
        <f>IF(AND(tblFleet[[#This Row],[Units]]&lt;&gt;"",tblFleet[[#This Row],[Calendar_h]]&gt;0),tblFleet[[#This Row],[Available_h]]/tblFleet[[#This Row],[Calendar_h]],"")</f>
        <v/>
      </c>
      <c r="J1176" s="60">
        <f>IF(AND(tblFleet[[#This Row],[Units]]&lt;&gt;"",tblFleet[[#This Row],[Available_h]]&gt;0),tblFleet[[#This Row],[Operating_h]]/tblFleet[[#This Row],[Available_h]],"")</f>
        <v/>
      </c>
    </row>
    <row r="1177">
      <c r="A1177" s="54" t="n"/>
      <c r="B1177" s="61" t="n"/>
      <c r="C1177" s="62" t="n"/>
      <c r="D1177" s="57" t="n"/>
      <c r="E1177" s="57" t="n"/>
      <c r="F1177" s="58" t="n"/>
      <c r="G1177" s="66">
        <f>IF(tblFleet[[#This Row],[Units]]="","",tblFleet[[#This Row],[Units]]*cfg_HoursPerDay)</f>
        <v/>
      </c>
      <c r="H1177" s="66">
        <f>IF(tblFleet[[#This Row],[Units]]="","",tblFleet[[#This Row],[Calendar_h]]-tblFleet[[#This Row],[Down_h]])</f>
        <v/>
      </c>
      <c r="I1177" s="60">
        <f>IF(AND(tblFleet[[#This Row],[Units]]&lt;&gt;"",tblFleet[[#This Row],[Calendar_h]]&gt;0),tblFleet[[#This Row],[Available_h]]/tblFleet[[#This Row],[Calendar_h]],"")</f>
        <v/>
      </c>
      <c r="J1177" s="60">
        <f>IF(AND(tblFleet[[#This Row],[Units]]&lt;&gt;"",tblFleet[[#This Row],[Available_h]]&gt;0),tblFleet[[#This Row],[Operating_h]]/tblFleet[[#This Row],[Available_h]],"")</f>
        <v/>
      </c>
    </row>
    <row r="1178">
      <c r="A1178" s="54" t="n"/>
      <c r="B1178" s="61" t="n"/>
      <c r="C1178" s="62" t="n"/>
      <c r="D1178" s="57" t="n"/>
      <c r="E1178" s="57" t="n"/>
      <c r="F1178" s="58" t="n"/>
      <c r="G1178" s="66">
        <f>IF(tblFleet[[#This Row],[Units]]="","",tblFleet[[#This Row],[Units]]*cfg_HoursPerDay)</f>
        <v/>
      </c>
      <c r="H1178" s="66">
        <f>IF(tblFleet[[#This Row],[Units]]="","",tblFleet[[#This Row],[Calendar_h]]-tblFleet[[#This Row],[Down_h]])</f>
        <v/>
      </c>
      <c r="I1178" s="60">
        <f>IF(AND(tblFleet[[#This Row],[Units]]&lt;&gt;"",tblFleet[[#This Row],[Calendar_h]]&gt;0),tblFleet[[#This Row],[Available_h]]/tblFleet[[#This Row],[Calendar_h]],"")</f>
        <v/>
      </c>
      <c r="J1178" s="60">
        <f>IF(AND(tblFleet[[#This Row],[Units]]&lt;&gt;"",tblFleet[[#This Row],[Available_h]]&gt;0),tblFleet[[#This Row],[Operating_h]]/tblFleet[[#This Row],[Available_h]],"")</f>
        <v/>
      </c>
    </row>
    <row r="1179">
      <c r="A1179" s="54" t="n"/>
      <c r="B1179" s="61" t="n"/>
      <c r="C1179" s="62" t="n"/>
      <c r="D1179" s="57" t="n"/>
      <c r="E1179" s="57" t="n"/>
      <c r="F1179" s="58" t="n"/>
      <c r="G1179" s="66">
        <f>IF(tblFleet[[#This Row],[Units]]="","",tblFleet[[#This Row],[Units]]*cfg_HoursPerDay)</f>
        <v/>
      </c>
      <c r="H1179" s="66">
        <f>IF(tblFleet[[#This Row],[Units]]="","",tblFleet[[#This Row],[Calendar_h]]-tblFleet[[#This Row],[Down_h]])</f>
        <v/>
      </c>
      <c r="I1179" s="60">
        <f>IF(AND(tblFleet[[#This Row],[Units]]&lt;&gt;"",tblFleet[[#This Row],[Calendar_h]]&gt;0),tblFleet[[#This Row],[Available_h]]/tblFleet[[#This Row],[Calendar_h]],"")</f>
        <v/>
      </c>
      <c r="J1179" s="60">
        <f>IF(AND(tblFleet[[#This Row],[Units]]&lt;&gt;"",tblFleet[[#This Row],[Available_h]]&gt;0),tblFleet[[#This Row],[Operating_h]]/tblFleet[[#This Row],[Available_h]],"")</f>
        <v/>
      </c>
    </row>
    <row r="1180">
      <c r="A1180" s="54" t="n"/>
      <c r="B1180" s="61" t="n"/>
      <c r="C1180" s="62" t="n"/>
      <c r="D1180" s="57" t="n"/>
      <c r="E1180" s="57" t="n"/>
      <c r="F1180" s="58" t="n"/>
      <c r="G1180" s="66">
        <f>IF(tblFleet[[#This Row],[Units]]="","",tblFleet[[#This Row],[Units]]*cfg_HoursPerDay)</f>
        <v/>
      </c>
      <c r="H1180" s="66">
        <f>IF(tblFleet[[#This Row],[Units]]="","",tblFleet[[#This Row],[Calendar_h]]-tblFleet[[#This Row],[Down_h]])</f>
        <v/>
      </c>
      <c r="I1180" s="60">
        <f>IF(AND(tblFleet[[#This Row],[Units]]&lt;&gt;"",tblFleet[[#This Row],[Calendar_h]]&gt;0),tblFleet[[#This Row],[Available_h]]/tblFleet[[#This Row],[Calendar_h]],"")</f>
        <v/>
      </c>
      <c r="J1180" s="60">
        <f>IF(AND(tblFleet[[#This Row],[Units]]&lt;&gt;"",tblFleet[[#This Row],[Available_h]]&gt;0),tblFleet[[#This Row],[Operating_h]]/tblFleet[[#This Row],[Available_h]],"")</f>
        <v/>
      </c>
    </row>
    <row r="1181">
      <c r="A1181" s="54" t="n"/>
      <c r="B1181" s="61" t="n"/>
      <c r="C1181" s="62" t="n"/>
      <c r="D1181" s="57" t="n"/>
      <c r="E1181" s="57" t="n"/>
      <c r="F1181" s="58" t="n"/>
      <c r="G1181" s="66">
        <f>IF(tblFleet[[#This Row],[Units]]="","",tblFleet[[#This Row],[Units]]*cfg_HoursPerDay)</f>
        <v/>
      </c>
      <c r="H1181" s="66">
        <f>IF(tblFleet[[#This Row],[Units]]="","",tblFleet[[#This Row],[Calendar_h]]-tblFleet[[#This Row],[Down_h]])</f>
        <v/>
      </c>
      <c r="I1181" s="60">
        <f>IF(AND(tblFleet[[#This Row],[Units]]&lt;&gt;"",tblFleet[[#This Row],[Calendar_h]]&gt;0),tblFleet[[#This Row],[Available_h]]/tblFleet[[#This Row],[Calendar_h]],"")</f>
        <v/>
      </c>
      <c r="J1181" s="60">
        <f>IF(AND(tblFleet[[#This Row],[Units]]&lt;&gt;"",tblFleet[[#This Row],[Available_h]]&gt;0),tblFleet[[#This Row],[Operating_h]]/tblFleet[[#This Row],[Available_h]],"")</f>
        <v/>
      </c>
    </row>
    <row r="1182">
      <c r="A1182" s="54" t="n"/>
      <c r="B1182" s="61" t="n"/>
      <c r="C1182" s="62" t="n"/>
      <c r="D1182" s="57" t="n"/>
      <c r="E1182" s="57" t="n"/>
      <c r="F1182" s="58" t="n"/>
      <c r="G1182" s="66">
        <f>IF(tblFleet[[#This Row],[Units]]="","",tblFleet[[#This Row],[Units]]*cfg_HoursPerDay)</f>
        <v/>
      </c>
      <c r="H1182" s="66">
        <f>IF(tblFleet[[#This Row],[Units]]="","",tblFleet[[#This Row],[Calendar_h]]-tblFleet[[#This Row],[Down_h]])</f>
        <v/>
      </c>
      <c r="I1182" s="60">
        <f>IF(AND(tblFleet[[#This Row],[Units]]&lt;&gt;"",tblFleet[[#This Row],[Calendar_h]]&gt;0),tblFleet[[#This Row],[Available_h]]/tblFleet[[#This Row],[Calendar_h]],"")</f>
        <v/>
      </c>
      <c r="J1182" s="60">
        <f>IF(AND(tblFleet[[#This Row],[Units]]&lt;&gt;"",tblFleet[[#This Row],[Available_h]]&gt;0),tblFleet[[#This Row],[Operating_h]]/tblFleet[[#This Row],[Available_h]],"")</f>
        <v/>
      </c>
    </row>
    <row r="1183">
      <c r="A1183" s="54" t="n"/>
      <c r="B1183" s="61" t="n"/>
      <c r="C1183" s="62" t="n"/>
      <c r="D1183" s="57" t="n"/>
      <c r="E1183" s="57" t="n"/>
      <c r="F1183" s="58" t="n"/>
      <c r="G1183" s="66">
        <f>IF(tblFleet[[#This Row],[Units]]="","",tblFleet[[#This Row],[Units]]*cfg_HoursPerDay)</f>
        <v/>
      </c>
      <c r="H1183" s="66">
        <f>IF(tblFleet[[#This Row],[Units]]="","",tblFleet[[#This Row],[Calendar_h]]-tblFleet[[#This Row],[Down_h]])</f>
        <v/>
      </c>
      <c r="I1183" s="60">
        <f>IF(AND(tblFleet[[#This Row],[Units]]&lt;&gt;"",tblFleet[[#This Row],[Calendar_h]]&gt;0),tblFleet[[#This Row],[Available_h]]/tblFleet[[#This Row],[Calendar_h]],"")</f>
        <v/>
      </c>
      <c r="J1183" s="60">
        <f>IF(AND(tblFleet[[#This Row],[Units]]&lt;&gt;"",tblFleet[[#This Row],[Available_h]]&gt;0),tblFleet[[#This Row],[Operating_h]]/tblFleet[[#This Row],[Available_h]],"")</f>
        <v/>
      </c>
    </row>
    <row r="1184">
      <c r="A1184" s="54" t="n"/>
      <c r="B1184" s="61" t="n"/>
      <c r="C1184" s="62" t="n"/>
      <c r="D1184" s="57" t="n"/>
      <c r="E1184" s="57" t="n"/>
      <c r="F1184" s="58" t="n"/>
      <c r="G1184" s="66">
        <f>IF(tblFleet[[#This Row],[Units]]="","",tblFleet[[#This Row],[Units]]*cfg_HoursPerDay)</f>
        <v/>
      </c>
      <c r="H1184" s="66">
        <f>IF(tblFleet[[#This Row],[Units]]="","",tblFleet[[#This Row],[Calendar_h]]-tblFleet[[#This Row],[Down_h]])</f>
        <v/>
      </c>
      <c r="I1184" s="60">
        <f>IF(AND(tblFleet[[#This Row],[Units]]&lt;&gt;"",tblFleet[[#This Row],[Calendar_h]]&gt;0),tblFleet[[#This Row],[Available_h]]/tblFleet[[#This Row],[Calendar_h]],"")</f>
        <v/>
      </c>
      <c r="J1184" s="60">
        <f>IF(AND(tblFleet[[#This Row],[Units]]&lt;&gt;"",tblFleet[[#This Row],[Available_h]]&gt;0),tblFleet[[#This Row],[Operating_h]]/tblFleet[[#This Row],[Available_h]],"")</f>
        <v/>
      </c>
    </row>
    <row r="1185">
      <c r="A1185" s="54" t="n"/>
      <c r="B1185" s="61" t="n"/>
      <c r="C1185" s="62" t="n"/>
      <c r="D1185" s="57" t="n"/>
      <c r="E1185" s="57" t="n"/>
      <c r="F1185" s="58" t="n"/>
      <c r="G1185" s="66">
        <f>IF(tblFleet[[#This Row],[Units]]="","",tblFleet[[#This Row],[Units]]*cfg_HoursPerDay)</f>
        <v/>
      </c>
      <c r="H1185" s="66">
        <f>IF(tblFleet[[#This Row],[Units]]="","",tblFleet[[#This Row],[Calendar_h]]-tblFleet[[#This Row],[Down_h]])</f>
        <v/>
      </c>
      <c r="I1185" s="60">
        <f>IF(AND(tblFleet[[#This Row],[Units]]&lt;&gt;"",tblFleet[[#This Row],[Calendar_h]]&gt;0),tblFleet[[#This Row],[Available_h]]/tblFleet[[#This Row],[Calendar_h]],"")</f>
        <v/>
      </c>
      <c r="J1185" s="60">
        <f>IF(AND(tblFleet[[#This Row],[Units]]&lt;&gt;"",tblFleet[[#This Row],[Available_h]]&gt;0),tblFleet[[#This Row],[Operating_h]]/tblFleet[[#This Row],[Available_h]],"")</f>
        <v/>
      </c>
    </row>
    <row r="1186">
      <c r="A1186" s="54" t="n"/>
      <c r="B1186" s="61" t="n"/>
      <c r="C1186" s="62" t="n"/>
      <c r="D1186" s="57" t="n"/>
      <c r="E1186" s="57" t="n"/>
      <c r="F1186" s="58" t="n"/>
      <c r="G1186" s="66">
        <f>IF(tblFleet[[#This Row],[Units]]="","",tblFleet[[#This Row],[Units]]*cfg_HoursPerDay)</f>
        <v/>
      </c>
      <c r="H1186" s="66">
        <f>IF(tblFleet[[#This Row],[Units]]="","",tblFleet[[#This Row],[Calendar_h]]-tblFleet[[#This Row],[Down_h]])</f>
        <v/>
      </c>
      <c r="I1186" s="60">
        <f>IF(AND(tblFleet[[#This Row],[Units]]&lt;&gt;"",tblFleet[[#This Row],[Calendar_h]]&gt;0),tblFleet[[#This Row],[Available_h]]/tblFleet[[#This Row],[Calendar_h]],"")</f>
        <v/>
      </c>
      <c r="J1186" s="60">
        <f>IF(AND(tblFleet[[#This Row],[Units]]&lt;&gt;"",tblFleet[[#This Row],[Available_h]]&gt;0),tblFleet[[#This Row],[Operating_h]]/tblFleet[[#This Row],[Available_h]],"")</f>
        <v/>
      </c>
    </row>
    <row r="1187">
      <c r="A1187" s="54" t="n"/>
      <c r="B1187" s="61" t="n"/>
      <c r="C1187" s="62" t="n"/>
      <c r="D1187" s="57" t="n"/>
      <c r="E1187" s="57" t="n"/>
      <c r="F1187" s="58" t="n"/>
      <c r="G1187" s="66">
        <f>IF(tblFleet[[#This Row],[Units]]="","",tblFleet[[#This Row],[Units]]*cfg_HoursPerDay)</f>
        <v/>
      </c>
      <c r="H1187" s="66">
        <f>IF(tblFleet[[#This Row],[Units]]="","",tblFleet[[#This Row],[Calendar_h]]-tblFleet[[#This Row],[Down_h]])</f>
        <v/>
      </c>
      <c r="I1187" s="60">
        <f>IF(AND(tblFleet[[#This Row],[Units]]&lt;&gt;"",tblFleet[[#This Row],[Calendar_h]]&gt;0),tblFleet[[#This Row],[Available_h]]/tblFleet[[#This Row],[Calendar_h]],"")</f>
        <v/>
      </c>
      <c r="J1187" s="60">
        <f>IF(AND(tblFleet[[#This Row],[Units]]&lt;&gt;"",tblFleet[[#This Row],[Available_h]]&gt;0),tblFleet[[#This Row],[Operating_h]]/tblFleet[[#This Row],[Available_h]],"")</f>
        <v/>
      </c>
    </row>
    <row r="1188">
      <c r="A1188" s="54" t="n"/>
      <c r="B1188" s="61" t="n"/>
      <c r="C1188" s="62" t="n"/>
      <c r="D1188" s="57" t="n"/>
      <c r="E1188" s="57" t="n"/>
      <c r="F1188" s="58" t="n"/>
      <c r="G1188" s="66">
        <f>IF(tblFleet[[#This Row],[Units]]="","",tblFleet[[#This Row],[Units]]*cfg_HoursPerDay)</f>
        <v/>
      </c>
      <c r="H1188" s="66">
        <f>IF(tblFleet[[#This Row],[Units]]="","",tblFleet[[#This Row],[Calendar_h]]-tblFleet[[#This Row],[Down_h]])</f>
        <v/>
      </c>
      <c r="I1188" s="60">
        <f>IF(AND(tblFleet[[#This Row],[Units]]&lt;&gt;"",tblFleet[[#This Row],[Calendar_h]]&gt;0),tblFleet[[#This Row],[Available_h]]/tblFleet[[#This Row],[Calendar_h]],"")</f>
        <v/>
      </c>
      <c r="J1188" s="60">
        <f>IF(AND(tblFleet[[#This Row],[Units]]&lt;&gt;"",tblFleet[[#This Row],[Available_h]]&gt;0),tblFleet[[#This Row],[Operating_h]]/tblFleet[[#This Row],[Available_h]],"")</f>
        <v/>
      </c>
    </row>
    <row r="1189">
      <c r="A1189" s="54" t="n"/>
      <c r="B1189" s="61" t="n"/>
      <c r="C1189" s="62" t="n"/>
      <c r="D1189" s="57" t="n"/>
      <c r="E1189" s="57" t="n"/>
      <c r="F1189" s="58" t="n"/>
      <c r="G1189" s="66">
        <f>IF(tblFleet[[#This Row],[Units]]="","",tblFleet[[#This Row],[Units]]*cfg_HoursPerDay)</f>
        <v/>
      </c>
      <c r="H1189" s="66">
        <f>IF(tblFleet[[#This Row],[Units]]="","",tblFleet[[#This Row],[Calendar_h]]-tblFleet[[#This Row],[Down_h]])</f>
        <v/>
      </c>
      <c r="I1189" s="60">
        <f>IF(AND(tblFleet[[#This Row],[Units]]&lt;&gt;"",tblFleet[[#This Row],[Calendar_h]]&gt;0),tblFleet[[#This Row],[Available_h]]/tblFleet[[#This Row],[Calendar_h]],"")</f>
        <v/>
      </c>
      <c r="J1189" s="60">
        <f>IF(AND(tblFleet[[#This Row],[Units]]&lt;&gt;"",tblFleet[[#This Row],[Available_h]]&gt;0),tblFleet[[#This Row],[Operating_h]]/tblFleet[[#This Row],[Available_h]],"")</f>
        <v/>
      </c>
    </row>
    <row r="1190">
      <c r="A1190" s="54" t="n"/>
      <c r="B1190" s="61" t="n"/>
      <c r="C1190" s="62" t="n"/>
      <c r="D1190" s="57" t="n"/>
      <c r="E1190" s="57" t="n"/>
      <c r="F1190" s="58" t="n"/>
      <c r="G1190" s="66">
        <f>IF(tblFleet[[#This Row],[Units]]="","",tblFleet[[#This Row],[Units]]*cfg_HoursPerDay)</f>
        <v/>
      </c>
      <c r="H1190" s="66">
        <f>IF(tblFleet[[#This Row],[Units]]="","",tblFleet[[#This Row],[Calendar_h]]-tblFleet[[#This Row],[Down_h]])</f>
        <v/>
      </c>
      <c r="I1190" s="60">
        <f>IF(AND(tblFleet[[#This Row],[Units]]&lt;&gt;"",tblFleet[[#This Row],[Calendar_h]]&gt;0),tblFleet[[#This Row],[Available_h]]/tblFleet[[#This Row],[Calendar_h]],"")</f>
        <v/>
      </c>
      <c r="J1190" s="60">
        <f>IF(AND(tblFleet[[#This Row],[Units]]&lt;&gt;"",tblFleet[[#This Row],[Available_h]]&gt;0),tblFleet[[#This Row],[Operating_h]]/tblFleet[[#This Row],[Available_h]],"")</f>
        <v/>
      </c>
    </row>
    <row r="1191">
      <c r="A1191" s="54" t="n"/>
      <c r="B1191" s="61" t="n"/>
      <c r="C1191" s="62" t="n"/>
      <c r="D1191" s="57" t="n"/>
      <c r="E1191" s="57" t="n"/>
      <c r="F1191" s="58" t="n"/>
      <c r="G1191" s="66">
        <f>IF(tblFleet[[#This Row],[Units]]="","",tblFleet[[#This Row],[Units]]*cfg_HoursPerDay)</f>
        <v/>
      </c>
      <c r="H1191" s="66">
        <f>IF(tblFleet[[#This Row],[Units]]="","",tblFleet[[#This Row],[Calendar_h]]-tblFleet[[#This Row],[Down_h]])</f>
        <v/>
      </c>
      <c r="I1191" s="60">
        <f>IF(AND(tblFleet[[#This Row],[Units]]&lt;&gt;"",tblFleet[[#This Row],[Calendar_h]]&gt;0),tblFleet[[#This Row],[Available_h]]/tblFleet[[#This Row],[Calendar_h]],"")</f>
        <v/>
      </c>
      <c r="J1191" s="60">
        <f>IF(AND(tblFleet[[#This Row],[Units]]&lt;&gt;"",tblFleet[[#This Row],[Available_h]]&gt;0),tblFleet[[#This Row],[Operating_h]]/tblFleet[[#This Row],[Available_h]],"")</f>
        <v/>
      </c>
    </row>
    <row r="1192">
      <c r="A1192" s="54" t="n"/>
      <c r="B1192" s="61" t="n"/>
      <c r="C1192" s="62" t="n"/>
      <c r="D1192" s="57" t="n"/>
      <c r="E1192" s="57" t="n"/>
      <c r="F1192" s="58" t="n"/>
      <c r="G1192" s="66">
        <f>IF(tblFleet[[#This Row],[Units]]="","",tblFleet[[#This Row],[Units]]*cfg_HoursPerDay)</f>
        <v/>
      </c>
      <c r="H1192" s="66">
        <f>IF(tblFleet[[#This Row],[Units]]="","",tblFleet[[#This Row],[Calendar_h]]-tblFleet[[#This Row],[Down_h]])</f>
        <v/>
      </c>
      <c r="I1192" s="60">
        <f>IF(AND(tblFleet[[#This Row],[Units]]&lt;&gt;"",tblFleet[[#This Row],[Calendar_h]]&gt;0),tblFleet[[#This Row],[Available_h]]/tblFleet[[#This Row],[Calendar_h]],"")</f>
        <v/>
      </c>
      <c r="J1192" s="60">
        <f>IF(AND(tblFleet[[#This Row],[Units]]&lt;&gt;"",tblFleet[[#This Row],[Available_h]]&gt;0),tblFleet[[#This Row],[Operating_h]]/tblFleet[[#This Row],[Available_h]],"")</f>
        <v/>
      </c>
    </row>
    <row r="1193">
      <c r="A1193" s="54" t="n"/>
      <c r="B1193" s="61" t="n"/>
      <c r="C1193" s="62" t="n"/>
      <c r="D1193" s="57" t="n"/>
      <c r="E1193" s="57" t="n"/>
      <c r="F1193" s="58" t="n"/>
      <c r="G1193" s="66">
        <f>IF(tblFleet[[#This Row],[Units]]="","",tblFleet[[#This Row],[Units]]*cfg_HoursPerDay)</f>
        <v/>
      </c>
      <c r="H1193" s="66">
        <f>IF(tblFleet[[#This Row],[Units]]="","",tblFleet[[#This Row],[Calendar_h]]-tblFleet[[#This Row],[Down_h]])</f>
        <v/>
      </c>
      <c r="I1193" s="60">
        <f>IF(AND(tblFleet[[#This Row],[Units]]&lt;&gt;"",tblFleet[[#This Row],[Calendar_h]]&gt;0),tblFleet[[#This Row],[Available_h]]/tblFleet[[#This Row],[Calendar_h]],"")</f>
        <v/>
      </c>
      <c r="J1193" s="60">
        <f>IF(AND(tblFleet[[#This Row],[Units]]&lt;&gt;"",tblFleet[[#This Row],[Available_h]]&gt;0),tblFleet[[#This Row],[Operating_h]]/tblFleet[[#This Row],[Available_h]],"")</f>
        <v/>
      </c>
    </row>
    <row r="1194">
      <c r="A1194" s="54" t="n"/>
      <c r="B1194" s="61" t="n"/>
      <c r="C1194" s="62" t="n"/>
      <c r="D1194" s="57" t="n"/>
      <c r="E1194" s="57" t="n"/>
      <c r="F1194" s="58" t="n"/>
      <c r="G1194" s="66">
        <f>IF(tblFleet[[#This Row],[Units]]="","",tblFleet[[#This Row],[Units]]*cfg_HoursPerDay)</f>
        <v/>
      </c>
      <c r="H1194" s="66">
        <f>IF(tblFleet[[#This Row],[Units]]="","",tblFleet[[#This Row],[Calendar_h]]-tblFleet[[#This Row],[Down_h]])</f>
        <v/>
      </c>
      <c r="I1194" s="60">
        <f>IF(AND(tblFleet[[#This Row],[Units]]&lt;&gt;"",tblFleet[[#This Row],[Calendar_h]]&gt;0),tblFleet[[#This Row],[Available_h]]/tblFleet[[#This Row],[Calendar_h]],"")</f>
        <v/>
      </c>
      <c r="J1194" s="60">
        <f>IF(AND(tblFleet[[#This Row],[Units]]&lt;&gt;"",tblFleet[[#This Row],[Available_h]]&gt;0),tblFleet[[#This Row],[Operating_h]]/tblFleet[[#This Row],[Available_h]],"")</f>
        <v/>
      </c>
    </row>
    <row r="1195">
      <c r="A1195" s="54" t="n"/>
      <c r="B1195" s="61" t="n"/>
      <c r="C1195" s="62" t="n"/>
      <c r="D1195" s="57" t="n"/>
      <c r="E1195" s="57" t="n"/>
      <c r="F1195" s="58" t="n"/>
      <c r="G1195" s="66">
        <f>IF(tblFleet[[#This Row],[Units]]="","",tblFleet[[#This Row],[Units]]*cfg_HoursPerDay)</f>
        <v/>
      </c>
      <c r="H1195" s="66">
        <f>IF(tblFleet[[#This Row],[Units]]="","",tblFleet[[#This Row],[Calendar_h]]-tblFleet[[#This Row],[Down_h]])</f>
        <v/>
      </c>
      <c r="I1195" s="60">
        <f>IF(AND(tblFleet[[#This Row],[Units]]&lt;&gt;"",tblFleet[[#This Row],[Calendar_h]]&gt;0),tblFleet[[#This Row],[Available_h]]/tblFleet[[#This Row],[Calendar_h]],"")</f>
        <v/>
      </c>
      <c r="J1195" s="60">
        <f>IF(AND(tblFleet[[#This Row],[Units]]&lt;&gt;"",tblFleet[[#This Row],[Available_h]]&gt;0),tblFleet[[#This Row],[Operating_h]]/tblFleet[[#This Row],[Available_h]],"")</f>
        <v/>
      </c>
    </row>
    <row r="1196">
      <c r="A1196" s="54" t="n"/>
      <c r="B1196" s="61" t="n"/>
      <c r="C1196" s="62" t="n"/>
      <c r="D1196" s="57" t="n"/>
      <c r="E1196" s="57" t="n"/>
      <c r="F1196" s="58" t="n"/>
      <c r="G1196" s="66">
        <f>IF(tblFleet[[#This Row],[Units]]="","",tblFleet[[#This Row],[Units]]*cfg_HoursPerDay)</f>
        <v/>
      </c>
      <c r="H1196" s="66">
        <f>IF(tblFleet[[#This Row],[Units]]="","",tblFleet[[#This Row],[Calendar_h]]-tblFleet[[#This Row],[Down_h]])</f>
        <v/>
      </c>
      <c r="I1196" s="60">
        <f>IF(AND(tblFleet[[#This Row],[Units]]&lt;&gt;"",tblFleet[[#This Row],[Calendar_h]]&gt;0),tblFleet[[#This Row],[Available_h]]/tblFleet[[#This Row],[Calendar_h]],"")</f>
        <v/>
      </c>
      <c r="J1196" s="60">
        <f>IF(AND(tblFleet[[#This Row],[Units]]&lt;&gt;"",tblFleet[[#This Row],[Available_h]]&gt;0),tblFleet[[#This Row],[Operating_h]]/tblFleet[[#This Row],[Available_h]],"")</f>
        <v/>
      </c>
    </row>
    <row r="1197">
      <c r="A1197" s="54" t="n"/>
      <c r="B1197" s="61" t="n"/>
      <c r="C1197" s="62" t="n"/>
      <c r="D1197" s="57" t="n"/>
      <c r="E1197" s="57" t="n"/>
      <c r="F1197" s="58" t="n"/>
      <c r="G1197" s="66">
        <f>IF(tblFleet[[#This Row],[Units]]="","",tblFleet[[#This Row],[Units]]*cfg_HoursPerDay)</f>
        <v/>
      </c>
      <c r="H1197" s="66">
        <f>IF(tblFleet[[#This Row],[Units]]="","",tblFleet[[#This Row],[Calendar_h]]-tblFleet[[#This Row],[Down_h]])</f>
        <v/>
      </c>
      <c r="I1197" s="60">
        <f>IF(AND(tblFleet[[#This Row],[Units]]&lt;&gt;"",tblFleet[[#This Row],[Calendar_h]]&gt;0),tblFleet[[#This Row],[Available_h]]/tblFleet[[#This Row],[Calendar_h]],"")</f>
        <v/>
      </c>
      <c r="J1197" s="60">
        <f>IF(AND(tblFleet[[#This Row],[Units]]&lt;&gt;"",tblFleet[[#This Row],[Available_h]]&gt;0),tblFleet[[#This Row],[Operating_h]]/tblFleet[[#This Row],[Available_h]],"")</f>
        <v/>
      </c>
    </row>
    <row r="1198">
      <c r="A1198" s="54" t="n"/>
      <c r="B1198" s="61" t="n"/>
      <c r="C1198" s="62" t="n"/>
      <c r="D1198" s="57" t="n"/>
      <c r="E1198" s="57" t="n"/>
      <c r="F1198" s="58" t="n"/>
      <c r="G1198" s="66">
        <f>IF(tblFleet[[#This Row],[Units]]="","",tblFleet[[#This Row],[Units]]*cfg_HoursPerDay)</f>
        <v/>
      </c>
      <c r="H1198" s="66">
        <f>IF(tblFleet[[#This Row],[Units]]="","",tblFleet[[#This Row],[Calendar_h]]-tblFleet[[#This Row],[Down_h]])</f>
        <v/>
      </c>
      <c r="I1198" s="60">
        <f>IF(AND(tblFleet[[#This Row],[Units]]&lt;&gt;"",tblFleet[[#This Row],[Calendar_h]]&gt;0),tblFleet[[#This Row],[Available_h]]/tblFleet[[#This Row],[Calendar_h]],"")</f>
        <v/>
      </c>
      <c r="J1198" s="60">
        <f>IF(AND(tblFleet[[#This Row],[Units]]&lt;&gt;"",tblFleet[[#This Row],[Available_h]]&gt;0),tblFleet[[#This Row],[Operating_h]]/tblFleet[[#This Row],[Available_h]],"")</f>
        <v/>
      </c>
    </row>
    <row r="1199">
      <c r="A1199" s="54" t="n"/>
      <c r="B1199" s="61" t="n"/>
      <c r="C1199" s="62" t="n"/>
      <c r="D1199" s="57" t="n"/>
      <c r="E1199" s="57" t="n"/>
      <c r="F1199" s="58" t="n"/>
      <c r="G1199" s="66">
        <f>IF(tblFleet[[#This Row],[Units]]="","",tblFleet[[#This Row],[Units]]*cfg_HoursPerDay)</f>
        <v/>
      </c>
      <c r="H1199" s="66">
        <f>IF(tblFleet[[#This Row],[Units]]="","",tblFleet[[#This Row],[Calendar_h]]-tblFleet[[#This Row],[Down_h]])</f>
        <v/>
      </c>
      <c r="I1199" s="60">
        <f>IF(AND(tblFleet[[#This Row],[Units]]&lt;&gt;"",tblFleet[[#This Row],[Calendar_h]]&gt;0),tblFleet[[#This Row],[Available_h]]/tblFleet[[#This Row],[Calendar_h]],"")</f>
        <v/>
      </c>
      <c r="J1199" s="60">
        <f>IF(AND(tblFleet[[#This Row],[Units]]&lt;&gt;"",tblFleet[[#This Row],[Available_h]]&gt;0),tblFleet[[#This Row],[Operating_h]]/tblFleet[[#This Row],[Available_h]],"")</f>
        <v/>
      </c>
    </row>
    <row r="1200">
      <c r="A1200" s="54" t="n"/>
      <c r="B1200" s="61" t="n"/>
      <c r="C1200" s="62" t="n"/>
      <c r="D1200" s="57" t="n"/>
      <c r="E1200" s="57" t="n"/>
      <c r="F1200" s="58" t="n"/>
      <c r="G1200" s="66">
        <f>IF(tblFleet[[#This Row],[Units]]="","",tblFleet[[#This Row],[Units]]*cfg_HoursPerDay)</f>
        <v/>
      </c>
      <c r="H1200" s="66">
        <f>IF(tblFleet[[#This Row],[Units]]="","",tblFleet[[#This Row],[Calendar_h]]-tblFleet[[#This Row],[Down_h]])</f>
        <v/>
      </c>
      <c r="I1200" s="60">
        <f>IF(AND(tblFleet[[#This Row],[Units]]&lt;&gt;"",tblFleet[[#This Row],[Calendar_h]]&gt;0),tblFleet[[#This Row],[Available_h]]/tblFleet[[#This Row],[Calendar_h]],"")</f>
        <v/>
      </c>
      <c r="J1200" s="60">
        <f>IF(AND(tblFleet[[#This Row],[Units]]&lt;&gt;"",tblFleet[[#This Row],[Available_h]]&gt;0),tblFleet[[#This Row],[Operating_h]]/tblFleet[[#This Row],[Available_h]],"")</f>
        <v/>
      </c>
    </row>
    <row r="1201">
      <c r="A1201" s="54" t="n"/>
      <c r="B1201" s="61" t="n"/>
      <c r="C1201" s="62" t="n"/>
      <c r="D1201" s="57" t="n"/>
      <c r="E1201" s="57" t="n"/>
      <c r="F1201" s="58" t="n"/>
      <c r="G1201" s="66">
        <f>IF(tblFleet[[#This Row],[Units]]="","",tblFleet[[#This Row],[Units]]*cfg_HoursPerDay)</f>
        <v/>
      </c>
      <c r="H1201" s="66">
        <f>IF(tblFleet[[#This Row],[Units]]="","",tblFleet[[#This Row],[Calendar_h]]-tblFleet[[#This Row],[Down_h]])</f>
        <v/>
      </c>
      <c r="I1201" s="60">
        <f>IF(AND(tblFleet[[#This Row],[Units]]&lt;&gt;"",tblFleet[[#This Row],[Calendar_h]]&gt;0),tblFleet[[#This Row],[Available_h]]/tblFleet[[#This Row],[Calendar_h]],"")</f>
        <v/>
      </c>
      <c r="J1201" s="60">
        <f>IF(AND(tblFleet[[#This Row],[Units]]&lt;&gt;"",tblFleet[[#This Row],[Available_h]]&gt;0),tblFleet[[#This Row],[Operating_h]]/tblFleet[[#This Row],[Available_h]],"")</f>
        <v/>
      </c>
    </row>
    <row r="1202">
      <c r="A1202" s="54" t="n"/>
      <c r="B1202" s="61" t="n"/>
      <c r="C1202" s="62" t="n"/>
      <c r="D1202" s="57" t="n"/>
      <c r="E1202" s="57" t="n"/>
      <c r="F1202" s="58" t="n"/>
      <c r="G1202" s="66">
        <f>IF(tblFleet[[#This Row],[Units]]="","",tblFleet[[#This Row],[Units]]*cfg_HoursPerDay)</f>
        <v/>
      </c>
      <c r="H1202" s="66">
        <f>IF(tblFleet[[#This Row],[Units]]="","",tblFleet[[#This Row],[Calendar_h]]-tblFleet[[#This Row],[Down_h]])</f>
        <v/>
      </c>
      <c r="I1202" s="60">
        <f>IF(AND(tblFleet[[#This Row],[Units]]&lt;&gt;"",tblFleet[[#This Row],[Calendar_h]]&gt;0),tblFleet[[#This Row],[Available_h]]/tblFleet[[#This Row],[Calendar_h]],"")</f>
        <v/>
      </c>
      <c r="J1202" s="60">
        <f>IF(AND(tblFleet[[#This Row],[Units]]&lt;&gt;"",tblFleet[[#This Row],[Available_h]]&gt;0),tblFleet[[#This Row],[Operating_h]]/tblFleet[[#This Row],[Available_h]],"")</f>
        <v/>
      </c>
    </row>
    <row r="1203">
      <c r="A1203" s="54" t="n"/>
      <c r="B1203" s="61" t="n"/>
      <c r="C1203" s="62" t="n"/>
      <c r="D1203" s="57" t="n"/>
      <c r="E1203" s="57" t="n"/>
      <c r="F1203" s="58" t="n"/>
      <c r="G1203" s="66">
        <f>IF(tblFleet[[#This Row],[Units]]="","",tblFleet[[#This Row],[Units]]*cfg_HoursPerDay)</f>
        <v/>
      </c>
      <c r="H1203" s="66">
        <f>IF(tblFleet[[#This Row],[Units]]="","",tblFleet[[#This Row],[Calendar_h]]-tblFleet[[#This Row],[Down_h]])</f>
        <v/>
      </c>
      <c r="I1203" s="60">
        <f>IF(AND(tblFleet[[#This Row],[Units]]&lt;&gt;"",tblFleet[[#This Row],[Calendar_h]]&gt;0),tblFleet[[#This Row],[Available_h]]/tblFleet[[#This Row],[Calendar_h]],"")</f>
        <v/>
      </c>
      <c r="J1203" s="60">
        <f>IF(AND(tblFleet[[#This Row],[Units]]&lt;&gt;"",tblFleet[[#This Row],[Available_h]]&gt;0),tblFleet[[#This Row],[Operating_h]]/tblFleet[[#This Row],[Available_h]],"")</f>
        <v/>
      </c>
    </row>
    <row r="1204">
      <c r="A1204" s="54" t="n"/>
      <c r="B1204" s="61" t="n"/>
      <c r="C1204" s="62" t="n"/>
      <c r="D1204" s="57" t="n"/>
      <c r="E1204" s="57" t="n"/>
      <c r="F1204" s="58" t="n"/>
      <c r="G1204" s="66">
        <f>IF(tblFleet[[#This Row],[Units]]="","",tblFleet[[#This Row],[Units]]*cfg_HoursPerDay)</f>
        <v/>
      </c>
      <c r="H1204" s="66">
        <f>IF(tblFleet[[#This Row],[Units]]="","",tblFleet[[#This Row],[Calendar_h]]-tblFleet[[#This Row],[Down_h]])</f>
        <v/>
      </c>
      <c r="I1204" s="60">
        <f>IF(AND(tblFleet[[#This Row],[Units]]&lt;&gt;"",tblFleet[[#This Row],[Calendar_h]]&gt;0),tblFleet[[#This Row],[Available_h]]/tblFleet[[#This Row],[Calendar_h]],"")</f>
        <v/>
      </c>
      <c r="J1204" s="60">
        <f>IF(AND(tblFleet[[#This Row],[Units]]&lt;&gt;"",tblFleet[[#This Row],[Available_h]]&gt;0),tblFleet[[#This Row],[Operating_h]]/tblFleet[[#This Row],[Available_h]],"")</f>
        <v/>
      </c>
    </row>
    <row r="1205">
      <c r="A1205" s="54" t="n"/>
      <c r="B1205" s="61" t="n"/>
      <c r="C1205" s="62" t="n"/>
      <c r="D1205" s="57" t="n"/>
      <c r="E1205" s="57" t="n"/>
      <c r="F1205" s="58" t="n"/>
      <c r="G1205" s="66">
        <f>IF(tblFleet[[#This Row],[Units]]="","",tblFleet[[#This Row],[Units]]*cfg_HoursPerDay)</f>
        <v/>
      </c>
      <c r="H1205" s="66">
        <f>IF(tblFleet[[#This Row],[Units]]="","",tblFleet[[#This Row],[Calendar_h]]-tblFleet[[#This Row],[Down_h]])</f>
        <v/>
      </c>
      <c r="I1205" s="60">
        <f>IF(AND(tblFleet[[#This Row],[Units]]&lt;&gt;"",tblFleet[[#This Row],[Calendar_h]]&gt;0),tblFleet[[#This Row],[Available_h]]/tblFleet[[#This Row],[Calendar_h]],"")</f>
        <v/>
      </c>
      <c r="J1205" s="60">
        <f>IF(AND(tblFleet[[#This Row],[Units]]&lt;&gt;"",tblFleet[[#This Row],[Available_h]]&gt;0),tblFleet[[#This Row],[Operating_h]]/tblFleet[[#This Row],[Available_h]],"")</f>
        <v/>
      </c>
    </row>
    <row r="1206">
      <c r="A1206" s="54" t="n"/>
      <c r="B1206" s="61" t="n"/>
      <c r="C1206" s="62" t="n"/>
      <c r="D1206" s="57" t="n"/>
      <c r="E1206" s="57" t="n"/>
      <c r="F1206" s="58" t="n"/>
      <c r="G1206" s="66">
        <f>IF(tblFleet[[#This Row],[Units]]="","",tblFleet[[#This Row],[Units]]*cfg_HoursPerDay)</f>
        <v/>
      </c>
      <c r="H1206" s="66">
        <f>IF(tblFleet[[#This Row],[Units]]="","",tblFleet[[#This Row],[Calendar_h]]-tblFleet[[#This Row],[Down_h]])</f>
        <v/>
      </c>
      <c r="I1206" s="60">
        <f>IF(AND(tblFleet[[#This Row],[Units]]&lt;&gt;"",tblFleet[[#This Row],[Calendar_h]]&gt;0),tblFleet[[#This Row],[Available_h]]/tblFleet[[#This Row],[Calendar_h]],"")</f>
        <v/>
      </c>
      <c r="J1206" s="60">
        <f>IF(AND(tblFleet[[#This Row],[Units]]&lt;&gt;"",tblFleet[[#This Row],[Available_h]]&gt;0),tblFleet[[#This Row],[Operating_h]]/tblFleet[[#This Row],[Available_h]],"")</f>
        <v/>
      </c>
    </row>
    <row r="1207">
      <c r="A1207" s="54" t="n"/>
      <c r="B1207" s="61" t="n"/>
      <c r="C1207" s="62" t="n"/>
      <c r="D1207" s="57" t="n"/>
      <c r="E1207" s="57" t="n"/>
      <c r="F1207" s="58" t="n"/>
      <c r="G1207" s="66">
        <f>IF(tblFleet[[#This Row],[Units]]="","",tblFleet[[#This Row],[Units]]*cfg_HoursPerDay)</f>
        <v/>
      </c>
      <c r="H1207" s="66">
        <f>IF(tblFleet[[#This Row],[Units]]="","",tblFleet[[#This Row],[Calendar_h]]-tblFleet[[#This Row],[Down_h]])</f>
        <v/>
      </c>
      <c r="I1207" s="60">
        <f>IF(AND(tblFleet[[#This Row],[Units]]&lt;&gt;"",tblFleet[[#This Row],[Calendar_h]]&gt;0),tblFleet[[#This Row],[Available_h]]/tblFleet[[#This Row],[Calendar_h]],"")</f>
        <v/>
      </c>
      <c r="J1207" s="60">
        <f>IF(AND(tblFleet[[#This Row],[Units]]&lt;&gt;"",tblFleet[[#This Row],[Available_h]]&gt;0),tblFleet[[#This Row],[Operating_h]]/tblFleet[[#This Row],[Available_h]],"")</f>
        <v/>
      </c>
    </row>
    <row r="1208">
      <c r="A1208" s="54" t="n"/>
      <c r="B1208" s="61" t="n"/>
      <c r="C1208" s="62" t="n"/>
      <c r="D1208" s="57" t="n"/>
      <c r="E1208" s="57" t="n"/>
      <c r="F1208" s="58" t="n"/>
      <c r="G1208" s="66">
        <f>IF(tblFleet[[#This Row],[Units]]="","",tblFleet[[#This Row],[Units]]*cfg_HoursPerDay)</f>
        <v/>
      </c>
      <c r="H1208" s="66">
        <f>IF(tblFleet[[#This Row],[Units]]="","",tblFleet[[#This Row],[Calendar_h]]-tblFleet[[#This Row],[Down_h]])</f>
        <v/>
      </c>
      <c r="I1208" s="60">
        <f>IF(AND(tblFleet[[#This Row],[Units]]&lt;&gt;"",tblFleet[[#This Row],[Calendar_h]]&gt;0),tblFleet[[#This Row],[Available_h]]/tblFleet[[#This Row],[Calendar_h]],"")</f>
        <v/>
      </c>
      <c r="J1208" s="60">
        <f>IF(AND(tblFleet[[#This Row],[Units]]&lt;&gt;"",tblFleet[[#This Row],[Available_h]]&gt;0),tblFleet[[#This Row],[Operating_h]]/tblFleet[[#This Row],[Available_h]],"")</f>
        <v/>
      </c>
    </row>
    <row r="1209">
      <c r="A1209" s="54" t="n"/>
      <c r="B1209" s="61" t="n"/>
      <c r="C1209" s="62" t="n"/>
      <c r="D1209" s="57" t="n"/>
      <c r="E1209" s="57" t="n"/>
      <c r="F1209" s="58" t="n"/>
      <c r="G1209" s="66">
        <f>IF(tblFleet[[#This Row],[Units]]="","",tblFleet[[#This Row],[Units]]*cfg_HoursPerDay)</f>
        <v/>
      </c>
      <c r="H1209" s="66">
        <f>IF(tblFleet[[#This Row],[Units]]="","",tblFleet[[#This Row],[Calendar_h]]-tblFleet[[#This Row],[Down_h]])</f>
        <v/>
      </c>
      <c r="I1209" s="60">
        <f>IF(AND(tblFleet[[#This Row],[Units]]&lt;&gt;"",tblFleet[[#This Row],[Calendar_h]]&gt;0),tblFleet[[#This Row],[Available_h]]/tblFleet[[#This Row],[Calendar_h]],"")</f>
        <v/>
      </c>
      <c r="J1209" s="60">
        <f>IF(AND(tblFleet[[#This Row],[Units]]&lt;&gt;"",tblFleet[[#This Row],[Available_h]]&gt;0),tblFleet[[#This Row],[Operating_h]]/tblFleet[[#This Row],[Available_h]],"")</f>
        <v/>
      </c>
    </row>
    <row r="1210">
      <c r="A1210" s="54" t="n"/>
      <c r="B1210" s="61" t="n"/>
      <c r="C1210" s="62" t="n"/>
      <c r="D1210" s="57" t="n"/>
      <c r="E1210" s="57" t="n"/>
      <c r="F1210" s="58" t="n"/>
      <c r="G1210" s="66">
        <f>IF(tblFleet[[#This Row],[Units]]="","",tblFleet[[#This Row],[Units]]*cfg_HoursPerDay)</f>
        <v/>
      </c>
      <c r="H1210" s="66">
        <f>IF(tblFleet[[#This Row],[Units]]="","",tblFleet[[#This Row],[Calendar_h]]-tblFleet[[#This Row],[Down_h]])</f>
        <v/>
      </c>
      <c r="I1210" s="60">
        <f>IF(AND(tblFleet[[#This Row],[Units]]&lt;&gt;"",tblFleet[[#This Row],[Calendar_h]]&gt;0),tblFleet[[#This Row],[Available_h]]/tblFleet[[#This Row],[Calendar_h]],"")</f>
        <v/>
      </c>
      <c r="J1210" s="60">
        <f>IF(AND(tblFleet[[#This Row],[Units]]&lt;&gt;"",tblFleet[[#This Row],[Available_h]]&gt;0),tblFleet[[#This Row],[Operating_h]]/tblFleet[[#This Row],[Available_h]],"")</f>
        <v/>
      </c>
    </row>
    <row r="1211">
      <c r="A1211" s="54" t="n"/>
      <c r="B1211" s="61" t="n"/>
      <c r="C1211" s="62" t="n"/>
      <c r="D1211" s="57" t="n"/>
      <c r="E1211" s="57" t="n"/>
      <c r="F1211" s="58" t="n"/>
      <c r="G1211" s="66">
        <f>IF(tblFleet[[#This Row],[Units]]="","",tblFleet[[#This Row],[Units]]*cfg_HoursPerDay)</f>
        <v/>
      </c>
      <c r="H1211" s="66">
        <f>IF(tblFleet[[#This Row],[Units]]="","",tblFleet[[#This Row],[Calendar_h]]-tblFleet[[#This Row],[Down_h]])</f>
        <v/>
      </c>
      <c r="I1211" s="60">
        <f>IF(AND(tblFleet[[#This Row],[Units]]&lt;&gt;"",tblFleet[[#This Row],[Calendar_h]]&gt;0),tblFleet[[#This Row],[Available_h]]/tblFleet[[#This Row],[Calendar_h]],"")</f>
        <v/>
      </c>
      <c r="J1211" s="60">
        <f>IF(AND(tblFleet[[#This Row],[Units]]&lt;&gt;"",tblFleet[[#This Row],[Available_h]]&gt;0),tblFleet[[#This Row],[Operating_h]]/tblFleet[[#This Row],[Available_h]],"")</f>
        <v/>
      </c>
    </row>
    <row r="1212">
      <c r="A1212" s="54" t="n"/>
      <c r="B1212" s="61" t="n"/>
      <c r="C1212" s="62" t="n"/>
      <c r="D1212" s="57" t="n"/>
      <c r="E1212" s="57" t="n"/>
      <c r="F1212" s="58" t="n"/>
      <c r="G1212" s="66">
        <f>IF(tblFleet[[#This Row],[Units]]="","",tblFleet[[#This Row],[Units]]*cfg_HoursPerDay)</f>
        <v/>
      </c>
      <c r="H1212" s="66">
        <f>IF(tblFleet[[#This Row],[Units]]="","",tblFleet[[#This Row],[Calendar_h]]-tblFleet[[#This Row],[Down_h]])</f>
        <v/>
      </c>
      <c r="I1212" s="60">
        <f>IF(AND(tblFleet[[#This Row],[Units]]&lt;&gt;"",tblFleet[[#This Row],[Calendar_h]]&gt;0),tblFleet[[#This Row],[Available_h]]/tblFleet[[#This Row],[Calendar_h]],"")</f>
        <v/>
      </c>
      <c r="J1212" s="60">
        <f>IF(AND(tblFleet[[#This Row],[Units]]&lt;&gt;"",tblFleet[[#This Row],[Available_h]]&gt;0),tblFleet[[#This Row],[Operating_h]]/tblFleet[[#This Row],[Available_h]],"")</f>
        <v/>
      </c>
    </row>
    <row r="1213">
      <c r="A1213" s="54" t="n"/>
      <c r="B1213" s="61" t="n"/>
      <c r="C1213" s="62" t="n"/>
      <c r="D1213" s="57" t="n"/>
      <c r="E1213" s="57" t="n"/>
      <c r="F1213" s="58" t="n"/>
      <c r="G1213" s="66">
        <f>IF(tblFleet[[#This Row],[Units]]="","",tblFleet[[#This Row],[Units]]*cfg_HoursPerDay)</f>
        <v/>
      </c>
      <c r="H1213" s="66">
        <f>IF(tblFleet[[#This Row],[Units]]="","",tblFleet[[#This Row],[Calendar_h]]-tblFleet[[#This Row],[Down_h]])</f>
        <v/>
      </c>
      <c r="I1213" s="60">
        <f>IF(AND(tblFleet[[#This Row],[Units]]&lt;&gt;"",tblFleet[[#This Row],[Calendar_h]]&gt;0),tblFleet[[#This Row],[Available_h]]/tblFleet[[#This Row],[Calendar_h]],"")</f>
        <v/>
      </c>
      <c r="J1213" s="60">
        <f>IF(AND(tblFleet[[#This Row],[Units]]&lt;&gt;"",tblFleet[[#This Row],[Available_h]]&gt;0),tblFleet[[#This Row],[Operating_h]]/tblFleet[[#This Row],[Available_h]],"")</f>
        <v/>
      </c>
    </row>
    <row r="1214">
      <c r="A1214" s="54" t="n"/>
      <c r="B1214" s="61" t="n"/>
      <c r="C1214" s="62" t="n"/>
      <c r="D1214" s="57" t="n"/>
      <c r="E1214" s="57" t="n"/>
      <c r="F1214" s="58" t="n"/>
      <c r="G1214" s="66">
        <f>IF(tblFleet[[#This Row],[Units]]="","",tblFleet[[#This Row],[Units]]*cfg_HoursPerDay)</f>
        <v/>
      </c>
      <c r="H1214" s="66">
        <f>IF(tblFleet[[#This Row],[Units]]="","",tblFleet[[#This Row],[Calendar_h]]-tblFleet[[#This Row],[Down_h]])</f>
        <v/>
      </c>
      <c r="I1214" s="60">
        <f>IF(AND(tblFleet[[#This Row],[Units]]&lt;&gt;"",tblFleet[[#This Row],[Calendar_h]]&gt;0),tblFleet[[#This Row],[Available_h]]/tblFleet[[#This Row],[Calendar_h]],"")</f>
        <v/>
      </c>
      <c r="J1214" s="60">
        <f>IF(AND(tblFleet[[#This Row],[Units]]&lt;&gt;"",tblFleet[[#This Row],[Available_h]]&gt;0),tblFleet[[#This Row],[Operating_h]]/tblFleet[[#This Row],[Available_h]],"")</f>
        <v/>
      </c>
    </row>
    <row r="1215">
      <c r="A1215" s="54" t="n"/>
      <c r="B1215" s="61" t="n"/>
      <c r="C1215" s="62" t="n"/>
      <c r="D1215" s="57" t="n"/>
      <c r="E1215" s="57" t="n"/>
      <c r="F1215" s="58" t="n"/>
      <c r="G1215" s="66">
        <f>IF(tblFleet[[#This Row],[Units]]="","",tblFleet[[#This Row],[Units]]*cfg_HoursPerDay)</f>
        <v/>
      </c>
      <c r="H1215" s="66">
        <f>IF(tblFleet[[#This Row],[Units]]="","",tblFleet[[#This Row],[Calendar_h]]-tblFleet[[#This Row],[Down_h]])</f>
        <v/>
      </c>
      <c r="I1215" s="60">
        <f>IF(AND(tblFleet[[#This Row],[Units]]&lt;&gt;"",tblFleet[[#This Row],[Calendar_h]]&gt;0),tblFleet[[#This Row],[Available_h]]/tblFleet[[#This Row],[Calendar_h]],"")</f>
        <v/>
      </c>
      <c r="J1215" s="60">
        <f>IF(AND(tblFleet[[#This Row],[Units]]&lt;&gt;"",tblFleet[[#This Row],[Available_h]]&gt;0),tblFleet[[#This Row],[Operating_h]]/tblFleet[[#This Row],[Available_h]],"")</f>
        <v/>
      </c>
    </row>
    <row r="1216">
      <c r="A1216" s="54" t="n"/>
      <c r="B1216" s="61" t="n"/>
      <c r="C1216" s="62" t="n"/>
      <c r="D1216" s="57" t="n"/>
      <c r="E1216" s="57" t="n"/>
      <c r="F1216" s="58" t="n"/>
      <c r="G1216" s="66">
        <f>IF(tblFleet[[#This Row],[Units]]="","",tblFleet[[#This Row],[Units]]*cfg_HoursPerDay)</f>
        <v/>
      </c>
      <c r="H1216" s="66">
        <f>IF(tblFleet[[#This Row],[Units]]="","",tblFleet[[#This Row],[Calendar_h]]-tblFleet[[#This Row],[Down_h]])</f>
        <v/>
      </c>
      <c r="I1216" s="60">
        <f>IF(AND(tblFleet[[#This Row],[Units]]&lt;&gt;"",tblFleet[[#This Row],[Calendar_h]]&gt;0),tblFleet[[#This Row],[Available_h]]/tblFleet[[#This Row],[Calendar_h]],"")</f>
        <v/>
      </c>
      <c r="J1216" s="60">
        <f>IF(AND(tblFleet[[#This Row],[Units]]&lt;&gt;"",tblFleet[[#This Row],[Available_h]]&gt;0),tblFleet[[#This Row],[Operating_h]]/tblFleet[[#This Row],[Available_h]],"")</f>
        <v/>
      </c>
    </row>
    <row r="1217">
      <c r="A1217" s="54" t="n"/>
      <c r="B1217" s="61" t="n"/>
      <c r="C1217" s="62" t="n"/>
      <c r="D1217" s="57" t="n"/>
      <c r="E1217" s="57" t="n"/>
      <c r="F1217" s="58" t="n"/>
      <c r="G1217" s="66">
        <f>IF(tblFleet[[#This Row],[Units]]="","",tblFleet[[#This Row],[Units]]*cfg_HoursPerDay)</f>
        <v/>
      </c>
      <c r="H1217" s="66">
        <f>IF(tblFleet[[#This Row],[Units]]="","",tblFleet[[#This Row],[Calendar_h]]-tblFleet[[#This Row],[Down_h]])</f>
        <v/>
      </c>
      <c r="I1217" s="60">
        <f>IF(AND(tblFleet[[#This Row],[Units]]&lt;&gt;"",tblFleet[[#This Row],[Calendar_h]]&gt;0),tblFleet[[#This Row],[Available_h]]/tblFleet[[#This Row],[Calendar_h]],"")</f>
        <v/>
      </c>
      <c r="J1217" s="60">
        <f>IF(AND(tblFleet[[#This Row],[Units]]&lt;&gt;"",tblFleet[[#This Row],[Available_h]]&gt;0),tblFleet[[#This Row],[Operating_h]]/tblFleet[[#This Row],[Available_h]],"")</f>
        <v/>
      </c>
    </row>
    <row r="1218">
      <c r="A1218" s="54" t="n"/>
      <c r="B1218" s="61" t="n"/>
      <c r="C1218" s="62" t="n"/>
      <c r="D1218" s="57" t="n"/>
      <c r="E1218" s="57" t="n"/>
      <c r="F1218" s="58" t="n"/>
      <c r="G1218" s="66">
        <f>IF(tblFleet[[#This Row],[Units]]="","",tblFleet[[#This Row],[Units]]*cfg_HoursPerDay)</f>
        <v/>
      </c>
      <c r="H1218" s="66">
        <f>IF(tblFleet[[#This Row],[Units]]="","",tblFleet[[#This Row],[Calendar_h]]-tblFleet[[#This Row],[Down_h]])</f>
        <v/>
      </c>
      <c r="I1218" s="60">
        <f>IF(AND(tblFleet[[#This Row],[Units]]&lt;&gt;"",tblFleet[[#This Row],[Calendar_h]]&gt;0),tblFleet[[#This Row],[Available_h]]/tblFleet[[#This Row],[Calendar_h]],"")</f>
        <v/>
      </c>
      <c r="J1218" s="60">
        <f>IF(AND(tblFleet[[#This Row],[Units]]&lt;&gt;"",tblFleet[[#This Row],[Available_h]]&gt;0),tblFleet[[#This Row],[Operating_h]]/tblFleet[[#This Row],[Available_h]],"")</f>
        <v/>
      </c>
    </row>
    <row r="1219">
      <c r="A1219" s="54" t="n"/>
      <c r="B1219" s="61" t="n"/>
      <c r="C1219" s="62" t="n"/>
      <c r="D1219" s="57" t="n"/>
      <c r="E1219" s="57" t="n"/>
      <c r="F1219" s="58" t="n"/>
      <c r="G1219" s="66">
        <f>IF(tblFleet[[#This Row],[Units]]="","",tblFleet[[#This Row],[Units]]*cfg_HoursPerDay)</f>
        <v/>
      </c>
      <c r="H1219" s="66">
        <f>IF(tblFleet[[#This Row],[Units]]="","",tblFleet[[#This Row],[Calendar_h]]-tblFleet[[#This Row],[Down_h]])</f>
        <v/>
      </c>
      <c r="I1219" s="60">
        <f>IF(AND(tblFleet[[#This Row],[Units]]&lt;&gt;"",tblFleet[[#This Row],[Calendar_h]]&gt;0),tblFleet[[#This Row],[Available_h]]/tblFleet[[#This Row],[Calendar_h]],"")</f>
        <v/>
      </c>
      <c r="J1219" s="60">
        <f>IF(AND(tblFleet[[#This Row],[Units]]&lt;&gt;"",tblFleet[[#This Row],[Available_h]]&gt;0),tblFleet[[#This Row],[Operating_h]]/tblFleet[[#This Row],[Available_h]],"")</f>
        <v/>
      </c>
    </row>
    <row r="1220">
      <c r="A1220" s="54" t="n"/>
      <c r="B1220" s="61" t="n"/>
      <c r="C1220" s="62" t="n"/>
      <c r="D1220" s="57" t="n"/>
      <c r="E1220" s="57" t="n"/>
      <c r="F1220" s="58" t="n"/>
      <c r="G1220" s="66">
        <f>IF(tblFleet[[#This Row],[Units]]="","",tblFleet[[#This Row],[Units]]*cfg_HoursPerDay)</f>
        <v/>
      </c>
      <c r="H1220" s="66">
        <f>IF(tblFleet[[#This Row],[Units]]="","",tblFleet[[#This Row],[Calendar_h]]-tblFleet[[#This Row],[Down_h]])</f>
        <v/>
      </c>
      <c r="I1220" s="60">
        <f>IF(AND(tblFleet[[#This Row],[Units]]&lt;&gt;"",tblFleet[[#This Row],[Calendar_h]]&gt;0),tblFleet[[#This Row],[Available_h]]/tblFleet[[#This Row],[Calendar_h]],"")</f>
        <v/>
      </c>
      <c r="J1220" s="60">
        <f>IF(AND(tblFleet[[#This Row],[Units]]&lt;&gt;"",tblFleet[[#This Row],[Available_h]]&gt;0),tblFleet[[#This Row],[Operating_h]]/tblFleet[[#This Row],[Available_h]],"")</f>
        <v/>
      </c>
    </row>
    <row r="1221">
      <c r="A1221" s="54" t="n"/>
      <c r="B1221" s="61" t="n"/>
      <c r="C1221" s="62" t="n"/>
      <c r="D1221" s="57" t="n"/>
      <c r="E1221" s="57" t="n"/>
      <c r="F1221" s="58" t="n"/>
      <c r="G1221" s="66">
        <f>IF(tblFleet[[#This Row],[Units]]="","",tblFleet[[#This Row],[Units]]*cfg_HoursPerDay)</f>
        <v/>
      </c>
      <c r="H1221" s="66">
        <f>IF(tblFleet[[#This Row],[Units]]="","",tblFleet[[#This Row],[Calendar_h]]-tblFleet[[#This Row],[Down_h]])</f>
        <v/>
      </c>
      <c r="I1221" s="60">
        <f>IF(AND(tblFleet[[#This Row],[Units]]&lt;&gt;"",tblFleet[[#This Row],[Calendar_h]]&gt;0),tblFleet[[#This Row],[Available_h]]/tblFleet[[#This Row],[Calendar_h]],"")</f>
        <v/>
      </c>
      <c r="J1221" s="60">
        <f>IF(AND(tblFleet[[#This Row],[Units]]&lt;&gt;"",tblFleet[[#This Row],[Available_h]]&gt;0),tblFleet[[#This Row],[Operating_h]]/tblFleet[[#This Row],[Available_h]],"")</f>
        <v/>
      </c>
    </row>
    <row r="1222">
      <c r="A1222" s="54" t="n"/>
      <c r="B1222" s="61" t="n"/>
      <c r="C1222" s="62" t="n"/>
      <c r="D1222" s="57" t="n"/>
      <c r="E1222" s="57" t="n"/>
      <c r="F1222" s="58" t="n"/>
      <c r="G1222" s="66">
        <f>IF(tblFleet[[#This Row],[Units]]="","",tblFleet[[#This Row],[Units]]*cfg_HoursPerDay)</f>
        <v/>
      </c>
      <c r="H1222" s="66">
        <f>IF(tblFleet[[#This Row],[Units]]="","",tblFleet[[#This Row],[Calendar_h]]-tblFleet[[#This Row],[Down_h]])</f>
        <v/>
      </c>
      <c r="I1222" s="60">
        <f>IF(AND(tblFleet[[#This Row],[Units]]&lt;&gt;"",tblFleet[[#This Row],[Calendar_h]]&gt;0),tblFleet[[#This Row],[Available_h]]/tblFleet[[#This Row],[Calendar_h]],"")</f>
        <v/>
      </c>
      <c r="J1222" s="60">
        <f>IF(AND(tblFleet[[#This Row],[Units]]&lt;&gt;"",tblFleet[[#This Row],[Available_h]]&gt;0),tblFleet[[#This Row],[Operating_h]]/tblFleet[[#This Row],[Available_h]],"")</f>
        <v/>
      </c>
    </row>
    <row r="1223">
      <c r="A1223" s="54" t="n"/>
      <c r="B1223" s="61" t="n"/>
      <c r="C1223" s="62" t="n"/>
      <c r="D1223" s="57" t="n"/>
      <c r="E1223" s="57" t="n"/>
      <c r="F1223" s="58" t="n"/>
      <c r="G1223" s="66">
        <f>IF(tblFleet[[#This Row],[Units]]="","",tblFleet[[#This Row],[Units]]*cfg_HoursPerDay)</f>
        <v/>
      </c>
      <c r="H1223" s="66">
        <f>IF(tblFleet[[#This Row],[Units]]="","",tblFleet[[#This Row],[Calendar_h]]-tblFleet[[#This Row],[Down_h]])</f>
        <v/>
      </c>
      <c r="I1223" s="60">
        <f>IF(AND(tblFleet[[#This Row],[Units]]&lt;&gt;"",tblFleet[[#This Row],[Calendar_h]]&gt;0),tblFleet[[#This Row],[Available_h]]/tblFleet[[#This Row],[Calendar_h]],"")</f>
        <v/>
      </c>
      <c r="J1223" s="60">
        <f>IF(AND(tblFleet[[#This Row],[Units]]&lt;&gt;"",tblFleet[[#This Row],[Available_h]]&gt;0),tblFleet[[#This Row],[Operating_h]]/tblFleet[[#This Row],[Available_h]],"")</f>
        <v/>
      </c>
    </row>
    <row r="1224">
      <c r="A1224" s="54" t="n"/>
      <c r="B1224" s="61" t="n"/>
      <c r="C1224" s="62" t="n"/>
      <c r="D1224" s="57" t="n"/>
      <c r="E1224" s="57" t="n"/>
      <c r="F1224" s="58" t="n"/>
      <c r="G1224" s="66">
        <f>IF(tblFleet[[#This Row],[Units]]="","",tblFleet[[#This Row],[Units]]*cfg_HoursPerDay)</f>
        <v/>
      </c>
      <c r="H1224" s="66">
        <f>IF(tblFleet[[#This Row],[Units]]="","",tblFleet[[#This Row],[Calendar_h]]-tblFleet[[#This Row],[Down_h]])</f>
        <v/>
      </c>
      <c r="I1224" s="60">
        <f>IF(AND(tblFleet[[#This Row],[Units]]&lt;&gt;"",tblFleet[[#This Row],[Calendar_h]]&gt;0),tblFleet[[#This Row],[Available_h]]/tblFleet[[#This Row],[Calendar_h]],"")</f>
        <v/>
      </c>
      <c r="J1224" s="60">
        <f>IF(AND(tblFleet[[#This Row],[Units]]&lt;&gt;"",tblFleet[[#This Row],[Available_h]]&gt;0),tblFleet[[#This Row],[Operating_h]]/tblFleet[[#This Row],[Available_h]],"")</f>
        <v/>
      </c>
    </row>
    <row r="1225">
      <c r="A1225" s="54" t="n"/>
      <c r="B1225" s="61" t="n"/>
      <c r="C1225" s="62" t="n"/>
      <c r="D1225" s="57" t="n"/>
      <c r="E1225" s="57" t="n"/>
      <c r="F1225" s="58" t="n"/>
      <c r="G1225" s="66">
        <f>IF(tblFleet[[#This Row],[Units]]="","",tblFleet[[#This Row],[Units]]*cfg_HoursPerDay)</f>
        <v/>
      </c>
      <c r="H1225" s="66">
        <f>IF(tblFleet[[#This Row],[Units]]="","",tblFleet[[#This Row],[Calendar_h]]-tblFleet[[#This Row],[Down_h]])</f>
        <v/>
      </c>
      <c r="I1225" s="60">
        <f>IF(AND(tblFleet[[#This Row],[Units]]&lt;&gt;"",tblFleet[[#This Row],[Calendar_h]]&gt;0),tblFleet[[#This Row],[Available_h]]/tblFleet[[#This Row],[Calendar_h]],"")</f>
        <v/>
      </c>
      <c r="J1225" s="60">
        <f>IF(AND(tblFleet[[#This Row],[Units]]&lt;&gt;"",tblFleet[[#This Row],[Available_h]]&gt;0),tblFleet[[#This Row],[Operating_h]]/tblFleet[[#This Row],[Available_h]],"")</f>
        <v/>
      </c>
    </row>
    <row r="1226">
      <c r="A1226" s="54" t="n"/>
      <c r="B1226" s="61" t="n"/>
      <c r="C1226" s="62" t="n"/>
      <c r="D1226" s="57" t="n"/>
      <c r="E1226" s="57" t="n"/>
      <c r="F1226" s="58" t="n"/>
      <c r="G1226" s="66">
        <f>IF(tblFleet[[#This Row],[Units]]="","",tblFleet[[#This Row],[Units]]*cfg_HoursPerDay)</f>
        <v/>
      </c>
      <c r="H1226" s="66">
        <f>IF(tblFleet[[#This Row],[Units]]="","",tblFleet[[#This Row],[Calendar_h]]-tblFleet[[#This Row],[Down_h]])</f>
        <v/>
      </c>
      <c r="I1226" s="60">
        <f>IF(AND(tblFleet[[#This Row],[Units]]&lt;&gt;"",tblFleet[[#This Row],[Calendar_h]]&gt;0),tblFleet[[#This Row],[Available_h]]/tblFleet[[#This Row],[Calendar_h]],"")</f>
        <v/>
      </c>
      <c r="J1226" s="60">
        <f>IF(AND(tblFleet[[#This Row],[Units]]&lt;&gt;"",tblFleet[[#This Row],[Available_h]]&gt;0),tblFleet[[#This Row],[Operating_h]]/tblFleet[[#This Row],[Available_h]],"")</f>
        <v/>
      </c>
    </row>
    <row r="1227">
      <c r="A1227" s="54" t="n"/>
      <c r="B1227" s="61" t="n"/>
      <c r="C1227" s="62" t="n"/>
      <c r="D1227" s="57" t="n"/>
      <c r="E1227" s="57" t="n"/>
      <c r="F1227" s="58" t="n"/>
      <c r="G1227" s="66">
        <f>IF(tblFleet[[#This Row],[Units]]="","",tblFleet[[#This Row],[Units]]*cfg_HoursPerDay)</f>
        <v/>
      </c>
      <c r="H1227" s="66">
        <f>IF(tblFleet[[#This Row],[Units]]="","",tblFleet[[#This Row],[Calendar_h]]-tblFleet[[#This Row],[Down_h]])</f>
        <v/>
      </c>
      <c r="I1227" s="60">
        <f>IF(AND(tblFleet[[#This Row],[Units]]&lt;&gt;"",tblFleet[[#This Row],[Calendar_h]]&gt;0),tblFleet[[#This Row],[Available_h]]/tblFleet[[#This Row],[Calendar_h]],"")</f>
        <v/>
      </c>
      <c r="J1227" s="60">
        <f>IF(AND(tblFleet[[#This Row],[Units]]&lt;&gt;"",tblFleet[[#This Row],[Available_h]]&gt;0),tblFleet[[#This Row],[Operating_h]]/tblFleet[[#This Row],[Available_h]],"")</f>
        <v/>
      </c>
    </row>
    <row r="1228">
      <c r="A1228" s="54" t="n"/>
      <c r="B1228" s="61" t="n"/>
      <c r="C1228" s="62" t="n"/>
      <c r="D1228" s="57" t="n"/>
      <c r="E1228" s="57" t="n"/>
      <c r="F1228" s="58" t="n"/>
      <c r="G1228" s="66">
        <f>IF(tblFleet[[#This Row],[Units]]="","",tblFleet[[#This Row],[Units]]*cfg_HoursPerDay)</f>
        <v/>
      </c>
      <c r="H1228" s="66">
        <f>IF(tblFleet[[#This Row],[Units]]="","",tblFleet[[#This Row],[Calendar_h]]-tblFleet[[#This Row],[Down_h]])</f>
        <v/>
      </c>
      <c r="I1228" s="60">
        <f>IF(AND(tblFleet[[#This Row],[Units]]&lt;&gt;"",tblFleet[[#This Row],[Calendar_h]]&gt;0),tblFleet[[#This Row],[Available_h]]/tblFleet[[#This Row],[Calendar_h]],"")</f>
        <v/>
      </c>
      <c r="J1228" s="60">
        <f>IF(AND(tblFleet[[#This Row],[Units]]&lt;&gt;"",tblFleet[[#This Row],[Available_h]]&gt;0),tblFleet[[#This Row],[Operating_h]]/tblFleet[[#This Row],[Available_h]],"")</f>
        <v/>
      </c>
    </row>
    <row r="1229">
      <c r="A1229" s="54" t="n"/>
      <c r="B1229" s="61" t="n"/>
      <c r="C1229" s="62" t="n"/>
      <c r="D1229" s="57" t="n"/>
      <c r="E1229" s="57" t="n"/>
      <c r="F1229" s="58" t="n"/>
      <c r="G1229" s="66">
        <f>IF(tblFleet[[#This Row],[Units]]="","",tblFleet[[#This Row],[Units]]*cfg_HoursPerDay)</f>
        <v/>
      </c>
      <c r="H1229" s="66">
        <f>IF(tblFleet[[#This Row],[Units]]="","",tblFleet[[#This Row],[Calendar_h]]-tblFleet[[#This Row],[Down_h]])</f>
        <v/>
      </c>
      <c r="I1229" s="60">
        <f>IF(AND(tblFleet[[#This Row],[Units]]&lt;&gt;"",tblFleet[[#This Row],[Calendar_h]]&gt;0),tblFleet[[#This Row],[Available_h]]/tblFleet[[#This Row],[Calendar_h]],"")</f>
        <v/>
      </c>
      <c r="J1229" s="60">
        <f>IF(AND(tblFleet[[#This Row],[Units]]&lt;&gt;"",tblFleet[[#This Row],[Available_h]]&gt;0),tblFleet[[#This Row],[Operating_h]]/tblFleet[[#This Row],[Available_h]],"")</f>
        <v/>
      </c>
    </row>
    <row r="1230">
      <c r="A1230" s="54" t="n"/>
      <c r="B1230" s="61" t="n"/>
      <c r="C1230" s="62" t="n"/>
      <c r="D1230" s="57" t="n"/>
      <c r="E1230" s="57" t="n"/>
      <c r="F1230" s="58" t="n"/>
      <c r="G1230" s="66">
        <f>IF(tblFleet[[#This Row],[Units]]="","",tblFleet[[#This Row],[Units]]*cfg_HoursPerDay)</f>
        <v/>
      </c>
      <c r="H1230" s="66">
        <f>IF(tblFleet[[#This Row],[Units]]="","",tblFleet[[#This Row],[Calendar_h]]-tblFleet[[#This Row],[Down_h]])</f>
        <v/>
      </c>
      <c r="I1230" s="60">
        <f>IF(AND(tblFleet[[#This Row],[Units]]&lt;&gt;"",tblFleet[[#This Row],[Calendar_h]]&gt;0),tblFleet[[#This Row],[Available_h]]/tblFleet[[#This Row],[Calendar_h]],"")</f>
        <v/>
      </c>
      <c r="J1230" s="60">
        <f>IF(AND(tblFleet[[#This Row],[Units]]&lt;&gt;"",tblFleet[[#This Row],[Available_h]]&gt;0),tblFleet[[#This Row],[Operating_h]]/tblFleet[[#This Row],[Available_h]],"")</f>
        <v/>
      </c>
    </row>
    <row r="1231">
      <c r="A1231" s="54" t="n"/>
      <c r="B1231" s="61" t="n"/>
      <c r="C1231" s="62" t="n"/>
      <c r="D1231" s="57" t="n"/>
      <c r="E1231" s="57" t="n"/>
      <c r="F1231" s="58" t="n"/>
      <c r="G1231" s="66">
        <f>IF(tblFleet[[#This Row],[Units]]="","",tblFleet[[#This Row],[Units]]*cfg_HoursPerDay)</f>
        <v/>
      </c>
      <c r="H1231" s="66">
        <f>IF(tblFleet[[#This Row],[Units]]="","",tblFleet[[#This Row],[Calendar_h]]-tblFleet[[#This Row],[Down_h]])</f>
        <v/>
      </c>
      <c r="I1231" s="60">
        <f>IF(AND(tblFleet[[#This Row],[Units]]&lt;&gt;"",tblFleet[[#This Row],[Calendar_h]]&gt;0),tblFleet[[#This Row],[Available_h]]/tblFleet[[#This Row],[Calendar_h]],"")</f>
        <v/>
      </c>
      <c r="J1231" s="60">
        <f>IF(AND(tblFleet[[#This Row],[Units]]&lt;&gt;"",tblFleet[[#This Row],[Available_h]]&gt;0),tblFleet[[#This Row],[Operating_h]]/tblFleet[[#This Row],[Available_h]],"")</f>
        <v/>
      </c>
    </row>
    <row r="1232">
      <c r="A1232" s="54" t="n"/>
      <c r="B1232" s="61" t="n"/>
      <c r="C1232" s="62" t="n"/>
      <c r="D1232" s="57" t="n"/>
      <c r="E1232" s="57" t="n"/>
      <c r="F1232" s="58" t="n"/>
      <c r="G1232" s="66">
        <f>IF(tblFleet[[#This Row],[Units]]="","",tblFleet[[#This Row],[Units]]*cfg_HoursPerDay)</f>
        <v/>
      </c>
      <c r="H1232" s="66">
        <f>IF(tblFleet[[#This Row],[Units]]="","",tblFleet[[#This Row],[Calendar_h]]-tblFleet[[#This Row],[Down_h]])</f>
        <v/>
      </c>
      <c r="I1232" s="60">
        <f>IF(AND(tblFleet[[#This Row],[Units]]&lt;&gt;"",tblFleet[[#This Row],[Calendar_h]]&gt;0),tblFleet[[#This Row],[Available_h]]/tblFleet[[#This Row],[Calendar_h]],"")</f>
        <v/>
      </c>
      <c r="J1232" s="60">
        <f>IF(AND(tblFleet[[#This Row],[Units]]&lt;&gt;"",tblFleet[[#This Row],[Available_h]]&gt;0),tblFleet[[#This Row],[Operating_h]]/tblFleet[[#This Row],[Available_h]],"")</f>
        <v/>
      </c>
    </row>
    <row r="1233">
      <c r="A1233" s="54" t="n"/>
      <c r="B1233" s="61" t="n"/>
      <c r="C1233" s="62" t="n"/>
      <c r="D1233" s="57" t="n"/>
      <c r="E1233" s="57" t="n"/>
      <c r="F1233" s="58" t="n"/>
      <c r="G1233" s="66">
        <f>IF(tblFleet[[#This Row],[Units]]="","",tblFleet[[#This Row],[Units]]*cfg_HoursPerDay)</f>
        <v/>
      </c>
      <c r="H1233" s="66">
        <f>IF(tblFleet[[#This Row],[Units]]="","",tblFleet[[#This Row],[Calendar_h]]-tblFleet[[#This Row],[Down_h]])</f>
        <v/>
      </c>
      <c r="I1233" s="60">
        <f>IF(AND(tblFleet[[#This Row],[Units]]&lt;&gt;"",tblFleet[[#This Row],[Calendar_h]]&gt;0),tblFleet[[#This Row],[Available_h]]/tblFleet[[#This Row],[Calendar_h]],"")</f>
        <v/>
      </c>
      <c r="J1233" s="60">
        <f>IF(AND(tblFleet[[#This Row],[Units]]&lt;&gt;"",tblFleet[[#This Row],[Available_h]]&gt;0),tblFleet[[#This Row],[Operating_h]]/tblFleet[[#This Row],[Available_h]],"")</f>
        <v/>
      </c>
    </row>
    <row r="1234">
      <c r="A1234" s="54" t="n"/>
      <c r="B1234" s="61" t="n"/>
      <c r="C1234" s="62" t="n"/>
      <c r="D1234" s="57" t="n"/>
      <c r="E1234" s="57" t="n"/>
      <c r="F1234" s="58" t="n"/>
      <c r="G1234" s="66">
        <f>IF(tblFleet[[#This Row],[Units]]="","",tblFleet[[#This Row],[Units]]*cfg_HoursPerDay)</f>
        <v/>
      </c>
      <c r="H1234" s="66">
        <f>IF(tblFleet[[#This Row],[Units]]="","",tblFleet[[#This Row],[Calendar_h]]-tblFleet[[#This Row],[Down_h]])</f>
        <v/>
      </c>
      <c r="I1234" s="60">
        <f>IF(AND(tblFleet[[#This Row],[Units]]&lt;&gt;"",tblFleet[[#This Row],[Calendar_h]]&gt;0),tblFleet[[#This Row],[Available_h]]/tblFleet[[#This Row],[Calendar_h]],"")</f>
        <v/>
      </c>
      <c r="J1234" s="60">
        <f>IF(AND(tblFleet[[#This Row],[Units]]&lt;&gt;"",tblFleet[[#This Row],[Available_h]]&gt;0),tblFleet[[#This Row],[Operating_h]]/tblFleet[[#This Row],[Available_h]],"")</f>
        <v/>
      </c>
    </row>
    <row r="1235">
      <c r="A1235" s="54" t="n"/>
      <c r="B1235" s="61" t="n"/>
      <c r="C1235" s="62" t="n"/>
      <c r="D1235" s="57" t="n"/>
      <c r="E1235" s="57" t="n"/>
      <c r="F1235" s="58" t="n"/>
      <c r="G1235" s="66">
        <f>IF(tblFleet[[#This Row],[Units]]="","",tblFleet[[#This Row],[Units]]*cfg_HoursPerDay)</f>
        <v/>
      </c>
      <c r="H1235" s="66">
        <f>IF(tblFleet[[#This Row],[Units]]="","",tblFleet[[#This Row],[Calendar_h]]-tblFleet[[#This Row],[Down_h]])</f>
        <v/>
      </c>
      <c r="I1235" s="60">
        <f>IF(AND(tblFleet[[#This Row],[Units]]&lt;&gt;"",tblFleet[[#This Row],[Calendar_h]]&gt;0),tblFleet[[#This Row],[Available_h]]/tblFleet[[#This Row],[Calendar_h]],"")</f>
        <v/>
      </c>
      <c r="J1235" s="60">
        <f>IF(AND(tblFleet[[#This Row],[Units]]&lt;&gt;"",tblFleet[[#This Row],[Available_h]]&gt;0),tblFleet[[#This Row],[Operating_h]]/tblFleet[[#This Row],[Available_h]],"")</f>
        <v/>
      </c>
    </row>
    <row r="1236">
      <c r="A1236" s="54" t="n"/>
      <c r="B1236" s="61" t="n"/>
      <c r="C1236" s="62" t="n"/>
      <c r="D1236" s="57" t="n"/>
      <c r="E1236" s="57" t="n"/>
      <c r="F1236" s="58" t="n"/>
      <c r="G1236" s="66">
        <f>IF(tblFleet[[#This Row],[Units]]="","",tblFleet[[#This Row],[Units]]*cfg_HoursPerDay)</f>
        <v/>
      </c>
      <c r="H1236" s="66">
        <f>IF(tblFleet[[#This Row],[Units]]="","",tblFleet[[#This Row],[Calendar_h]]-tblFleet[[#This Row],[Down_h]])</f>
        <v/>
      </c>
      <c r="I1236" s="60">
        <f>IF(AND(tblFleet[[#This Row],[Units]]&lt;&gt;"",tblFleet[[#This Row],[Calendar_h]]&gt;0),tblFleet[[#This Row],[Available_h]]/tblFleet[[#This Row],[Calendar_h]],"")</f>
        <v/>
      </c>
      <c r="J1236" s="60">
        <f>IF(AND(tblFleet[[#This Row],[Units]]&lt;&gt;"",tblFleet[[#This Row],[Available_h]]&gt;0),tblFleet[[#This Row],[Operating_h]]/tblFleet[[#This Row],[Available_h]],"")</f>
        <v/>
      </c>
    </row>
    <row r="1237">
      <c r="A1237" s="54" t="n"/>
      <c r="B1237" s="61" t="n"/>
      <c r="C1237" s="62" t="n"/>
      <c r="D1237" s="57" t="n"/>
      <c r="E1237" s="57" t="n"/>
      <c r="F1237" s="58" t="n"/>
      <c r="G1237" s="66">
        <f>IF(tblFleet[[#This Row],[Units]]="","",tblFleet[[#This Row],[Units]]*cfg_HoursPerDay)</f>
        <v/>
      </c>
      <c r="H1237" s="66">
        <f>IF(tblFleet[[#This Row],[Units]]="","",tblFleet[[#This Row],[Calendar_h]]-tblFleet[[#This Row],[Down_h]])</f>
        <v/>
      </c>
      <c r="I1237" s="60">
        <f>IF(AND(tblFleet[[#This Row],[Units]]&lt;&gt;"",tblFleet[[#This Row],[Calendar_h]]&gt;0),tblFleet[[#This Row],[Available_h]]/tblFleet[[#This Row],[Calendar_h]],"")</f>
        <v/>
      </c>
      <c r="J1237" s="60">
        <f>IF(AND(tblFleet[[#This Row],[Units]]&lt;&gt;"",tblFleet[[#This Row],[Available_h]]&gt;0),tblFleet[[#This Row],[Operating_h]]/tblFleet[[#This Row],[Available_h]],"")</f>
        <v/>
      </c>
    </row>
    <row r="1238">
      <c r="A1238" s="54" t="n"/>
      <c r="B1238" s="61" t="n"/>
      <c r="C1238" s="62" t="n"/>
      <c r="D1238" s="57" t="n"/>
      <c r="E1238" s="57" t="n"/>
      <c r="F1238" s="58" t="n"/>
      <c r="G1238" s="66">
        <f>IF(tblFleet[[#This Row],[Units]]="","",tblFleet[[#This Row],[Units]]*cfg_HoursPerDay)</f>
        <v/>
      </c>
      <c r="H1238" s="66">
        <f>IF(tblFleet[[#This Row],[Units]]="","",tblFleet[[#This Row],[Calendar_h]]-tblFleet[[#This Row],[Down_h]])</f>
        <v/>
      </c>
      <c r="I1238" s="60">
        <f>IF(AND(tblFleet[[#This Row],[Units]]&lt;&gt;"",tblFleet[[#This Row],[Calendar_h]]&gt;0),tblFleet[[#This Row],[Available_h]]/tblFleet[[#This Row],[Calendar_h]],"")</f>
        <v/>
      </c>
      <c r="J1238" s="60">
        <f>IF(AND(tblFleet[[#This Row],[Units]]&lt;&gt;"",tblFleet[[#This Row],[Available_h]]&gt;0),tblFleet[[#This Row],[Operating_h]]/tblFleet[[#This Row],[Available_h]],"")</f>
        <v/>
      </c>
    </row>
    <row r="1239">
      <c r="A1239" s="54" t="n"/>
      <c r="B1239" s="61" t="n"/>
      <c r="C1239" s="62" t="n"/>
      <c r="D1239" s="57" t="n"/>
      <c r="E1239" s="57" t="n"/>
      <c r="F1239" s="58" t="n"/>
      <c r="G1239" s="66">
        <f>IF(tblFleet[[#This Row],[Units]]="","",tblFleet[[#This Row],[Units]]*cfg_HoursPerDay)</f>
        <v/>
      </c>
      <c r="H1239" s="66">
        <f>IF(tblFleet[[#This Row],[Units]]="","",tblFleet[[#This Row],[Calendar_h]]-tblFleet[[#This Row],[Down_h]])</f>
        <v/>
      </c>
      <c r="I1239" s="60">
        <f>IF(AND(tblFleet[[#This Row],[Units]]&lt;&gt;"",tblFleet[[#This Row],[Calendar_h]]&gt;0),tblFleet[[#This Row],[Available_h]]/tblFleet[[#This Row],[Calendar_h]],"")</f>
        <v/>
      </c>
      <c r="J1239" s="60">
        <f>IF(AND(tblFleet[[#This Row],[Units]]&lt;&gt;"",tblFleet[[#This Row],[Available_h]]&gt;0),tblFleet[[#This Row],[Operating_h]]/tblFleet[[#This Row],[Available_h]],"")</f>
        <v/>
      </c>
    </row>
    <row r="1240">
      <c r="A1240" s="54" t="n"/>
      <c r="B1240" s="61" t="n"/>
      <c r="C1240" s="62" t="n"/>
      <c r="D1240" s="57" t="n"/>
      <c r="E1240" s="57" t="n"/>
      <c r="F1240" s="58" t="n"/>
      <c r="G1240" s="66">
        <f>IF(tblFleet[[#This Row],[Units]]="","",tblFleet[[#This Row],[Units]]*cfg_HoursPerDay)</f>
        <v/>
      </c>
      <c r="H1240" s="66">
        <f>IF(tblFleet[[#This Row],[Units]]="","",tblFleet[[#This Row],[Calendar_h]]-tblFleet[[#This Row],[Down_h]])</f>
        <v/>
      </c>
      <c r="I1240" s="60">
        <f>IF(AND(tblFleet[[#This Row],[Units]]&lt;&gt;"",tblFleet[[#This Row],[Calendar_h]]&gt;0),tblFleet[[#This Row],[Available_h]]/tblFleet[[#This Row],[Calendar_h]],"")</f>
        <v/>
      </c>
      <c r="J1240" s="60">
        <f>IF(AND(tblFleet[[#This Row],[Units]]&lt;&gt;"",tblFleet[[#This Row],[Available_h]]&gt;0),tblFleet[[#This Row],[Operating_h]]/tblFleet[[#This Row],[Available_h]],"")</f>
        <v/>
      </c>
    </row>
    <row r="1241">
      <c r="A1241" s="54" t="n"/>
      <c r="B1241" s="61" t="n"/>
      <c r="C1241" s="62" t="n"/>
      <c r="D1241" s="57" t="n"/>
      <c r="E1241" s="57" t="n"/>
      <c r="F1241" s="58" t="n"/>
      <c r="G1241" s="66">
        <f>IF(tblFleet[[#This Row],[Units]]="","",tblFleet[[#This Row],[Units]]*cfg_HoursPerDay)</f>
        <v/>
      </c>
      <c r="H1241" s="66">
        <f>IF(tblFleet[[#This Row],[Units]]="","",tblFleet[[#This Row],[Calendar_h]]-tblFleet[[#This Row],[Down_h]])</f>
        <v/>
      </c>
      <c r="I1241" s="60">
        <f>IF(AND(tblFleet[[#This Row],[Units]]&lt;&gt;"",tblFleet[[#This Row],[Calendar_h]]&gt;0),tblFleet[[#This Row],[Available_h]]/tblFleet[[#This Row],[Calendar_h]],"")</f>
        <v/>
      </c>
      <c r="J1241" s="60">
        <f>IF(AND(tblFleet[[#This Row],[Units]]&lt;&gt;"",tblFleet[[#This Row],[Available_h]]&gt;0),tblFleet[[#This Row],[Operating_h]]/tblFleet[[#This Row],[Available_h]],"")</f>
        <v/>
      </c>
    </row>
    <row r="1242">
      <c r="A1242" s="54" t="n"/>
      <c r="B1242" s="61" t="n"/>
      <c r="C1242" s="62" t="n"/>
      <c r="D1242" s="57" t="n"/>
      <c r="E1242" s="57" t="n"/>
      <c r="F1242" s="58" t="n"/>
      <c r="G1242" s="66">
        <f>IF(tblFleet[[#This Row],[Units]]="","",tblFleet[[#This Row],[Units]]*cfg_HoursPerDay)</f>
        <v/>
      </c>
      <c r="H1242" s="66">
        <f>IF(tblFleet[[#This Row],[Units]]="","",tblFleet[[#This Row],[Calendar_h]]-tblFleet[[#This Row],[Down_h]])</f>
        <v/>
      </c>
      <c r="I1242" s="60">
        <f>IF(AND(tblFleet[[#This Row],[Units]]&lt;&gt;"",tblFleet[[#This Row],[Calendar_h]]&gt;0),tblFleet[[#This Row],[Available_h]]/tblFleet[[#This Row],[Calendar_h]],"")</f>
        <v/>
      </c>
      <c r="J1242" s="60">
        <f>IF(AND(tblFleet[[#This Row],[Units]]&lt;&gt;"",tblFleet[[#This Row],[Available_h]]&gt;0),tblFleet[[#This Row],[Operating_h]]/tblFleet[[#This Row],[Available_h]],"")</f>
        <v/>
      </c>
    </row>
    <row r="1243">
      <c r="A1243" s="54" t="n"/>
      <c r="B1243" s="61" t="n"/>
      <c r="C1243" s="62" t="n"/>
      <c r="D1243" s="57" t="n"/>
      <c r="E1243" s="57" t="n"/>
      <c r="F1243" s="58" t="n"/>
      <c r="G1243" s="66">
        <f>IF(tblFleet[[#This Row],[Units]]="","",tblFleet[[#This Row],[Units]]*cfg_HoursPerDay)</f>
        <v/>
      </c>
      <c r="H1243" s="66">
        <f>IF(tblFleet[[#This Row],[Units]]="","",tblFleet[[#This Row],[Calendar_h]]-tblFleet[[#This Row],[Down_h]])</f>
        <v/>
      </c>
      <c r="I1243" s="60">
        <f>IF(AND(tblFleet[[#This Row],[Units]]&lt;&gt;"",tblFleet[[#This Row],[Calendar_h]]&gt;0),tblFleet[[#This Row],[Available_h]]/tblFleet[[#This Row],[Calendar_h]],"")</f>
        <v/>
      </c>
      <c r="J1243" s="60">
        <f>IF(AND(tblFleet[[#This Row],[Units]]&lt;&gt;"",tblFleet[[#This Row],[Available_h]]&gt;0),tblFleet[[#This Row],[Operating_h]]/tblFleet[[#This Row],[Available_h]],"")</f>
        <v/>
      </c>
    </row>
    <row r="1244">
      <c r="A1244" s="54" t="n"/>
      <c r="B1244" s="61" t="n"/>
      <c r="C1244" s="62" t="n"/>
      <c r="D1244" s="57" t="n"/>
      <c r="E1244" s="57" t="n"/>
      <c r="F1244" s="58" t="n"/>
      <c r="G1244" s="66">
        <f>IF(tblFleet[[#This Row],[Units]]="","",tblFleet[[#This Row],[Units]]*cfg_HoursPerDay)</f>
        <v/>
      </c>
      <c r="H1244" s="66">
        <f>IF(tblFleet[[#This Row],[Units]]="","",tblFleet[[#This Row],[Calendar_h]]-tblFleet[[#This Row],[Down_h]])</f>
        <v/>
      </c>
      <c r="I1244" s="60">
        <f>IF(AND(tblFleet[[#This Row],[Units]]&lt;&gt;"",tblFleet[[#This Row],[Calendar_h]]&gt;0),tblFleet[[#This Row],[Available_h]]/tblFleet[[#This Row],[Calendar_h]],"")</f>
        <v/>
      </c>
      <c r="J1244" s="60">
        <f>IF(AND(tblFleet[[#This Row],[Units]]&lt;&gt;"",tblFleet[[#This Row],[Available_h]]&gt;0),tblFleet[[#This Row],[Operating_h]]/tblFleet[[#This Row],[Available_h]],"")</f>
        <v/>
      </c>
    </row>
    <row r="1245">
      <c r="A1245" s="54" t="n"/>
      <c r="B1245" s="61" t="n"/>
      <c r="C1245" s="62" t="n"/>
      <c r="D1245" s="57" t="n"/>
      <c r="E1245" s="57" t="n"/>
      <c r="F1245" s="58" t="n"/>
      <c r="G1245" s="66">
        <f>IF(tblFleet[[#This Row],[Units]]="","",tblFleet[[#This Row],[Units]]*cfg_HoursPerDay)</f>
        <v/>
      </c>
      <c r="H1245" s="66">
        <f>IF(tblFleet[[#This Row],[Units]]="","",tblFleet[[#This Row],[Calendar_h]]-tblFleet[[#This Row],[Down_h]])</f>
        <v/>
      </c>
      <c r="I1245" s="60">
        <f>IF(AND(tblFleet[[#This Row],[Units]]&lt;&gt;"",tblFleet[[#This Row],[Calendar_h]]&gt;0),tblFleet[[#This Row],[Available_h]]/tblFleet[[#This Row],[Calendar_h]],"")</f>
        <v/>
      </c>
      <c r="J1245" s="60">
        <f>IF(AND(tblFleet[[#This Row],[Units]]&lt;&gt;"",tblFleet[[#This Row],[Available_h]]&gt;0),tblFleet[[#This Row],[Operating_h]]/tblFleet[[#This Row],[Available_h]],"")</f>
        <v/>
      </c>
    </row>
    <row r="1246">
      <c r="A1246" s="54" t="n"/>
      <c r="B1246" s="61" t="n"/>
      <c r="C1246" s="62" t="n"/>
      <c r="D1246" s="57" t="n"/>
      <c r="E1246" s="57" t="n"/>
      <c r="F1246" s="58" t="n"/>
      <c r="G1246" s="66">
        <f>IF(tblFleet[[#This Row],[Units]]="","",tblFleet[[#This Row],[Units]]*cfg_HoursPerDay)</f>
        <v/>
      </c>
      <c r="H1246" s="66">
        <f>IF(tblFleet[[#This Row],[Units]]="","",tblFleet[[#This Row],[Calendar_h]]-tblFleet[[#This Row],[Down_h]])</f>
        <v/>
      </c>
      <c r="I1246" s="60">
        <f>IF(AND(tblFleet[[#This Row],[Units]]&lt;&gt;"",tblFleet[[#This Row],[Calendar_h]]&gt;0),tblFleet[[#This Row],[Available_h]]/tblFleet[[#This Row],[Calendar_h]],"")</f>
        <v/>
      </c>
      <c r="J1246" s="60">
        <f>IF(AND(tblFleet[[#This Row],[Units]]&lt;&gt;"",tblFleet[[#This Row],[Available_h]]&gt;0),tblFleet[[#This Row],[Operating_h]]/tblFleet[[#This Row],[Available_h]],"")</f>
        <v/>
      </c>
    </row>
    <row r="1247">
      <c r="A1247" s="54" t="n"/>
      <c r="B1247" s="61" t="n"/>
      <c r="C1247" s="62" t="n"/>
      <c r="D1247" s="57" t="n"/>
      <c r="E1247" s="57" t="n"/>
      <c r="F1247" s="58" t="n"/>
      <c r="G1247" s="66">
        <f>IF(tblFleet[[#This Row],[Units]]="","",tblFleet[[#This Row],[Units]]*cfg_HoursPerDay)</f>
        <v/>
      </c>
      <c r="H1247" s="66">
        <f>IF(tblFleet[[#This Row],[Units]]="","",tblFleet[[#This Row],[Calendar_h]]-tblFleet[[#This Row],[Down_h]])</f>
        <v/>
      </c>
      <c r="I1247" s="60">
        <f>IF(AND(tblFleet[[#This Row],[Units]]&lt;&gt;"",tblFleet[[#This Row],[Calendar_h]]&gt;0),tblFleet[[#This Row],[Available_h]]/tblFleet[[#This Row],[Calendar_h]],"")</f>
        <v/>
      </c>
      <c r="J1247" s="60">
        <f>IF(AND(tblFleet[[#This Row],[Units]]&lt;&gt;"",tblFleet[[#This Row],[Available_h]]&gt;0),tblFleet[[#This Row],[Operating_h]]/tblFleet[[#This Row],[Available_h]],"")</f>
        <v/>
      </c>
    </row>
    <row r="1248">
      <c r="A1248" s="54" t="n"/>
      <c r="B1248" s="61" t="n"/>
      <c r="C1248" s="62" t="n"/>
      <c r="D1248" s="57" t="n"/>
      <c r="E1248" s="57" t="n"/>
      <c r="F1248" s="58" t="n"/>
      <c r="G1248" s="66">
        <f>IF(tblFleet[[#This Row],[Units]]="","",tblFleet[[#This Row],[Units]]*cfg_HoursPerDay)</f>
        <v/>
      </c>
      <c r="H1248" s="66">
        <f>IF(tblFleet[[#This Row],[Units]]="","",tblFleet[[#This Row],[Calendar_h]]-tblFleet[[#This Row],[Down_h]])</f>
        <v/>
      </c>
      <c r="I1248" s="60">
        <f>IF(AND(tblFleet[[#This Row],[Units]]&lt;&gt;"",tblFleet[[#This Row],[Calendar_h]]&gt;0),tblFleet[[#This Row],[Available_h]]/tblFleet[[#This Row],[Calendar_h]],"")</f>
        <v/>
      </c>
      <c r="J1248" s="60">
        <f>IF(AND(tblFleet[[#This Row],[Units]]&lt;&gt;"",tblFleet[[#This Row],[Available_h]]&gt;0),tblFleet[[#This Row],[Operating_h]]/tblFleet[[#This Row],[Available_h]],"")</f>
        <v/>
      </c>
    </row>
    <row r="1249">
      <c r="A1249" s="54" t="n"/>
      <c r="B1249" s="61" t="n"/>
      <c r="C1249" s="62" t="n"/>
      <c r="D1249" s="57" t="n"/>
      <c r="E1249" s="57" t="n"/>
      <c r="F1249" s="58" t="n"/>
      <c r="G1249" s="66">
        <f>IF(tblFleet[[#This Row],[Units]]="","",tblFleet[[#This Row],[Units]]*cfg_HoursPerDay)</f>
        <v/>
      </c>
      <c r="H1249" s="66">
        <f>IF(tblFleet[[#This Row],[Units]]="","",tblFleet[[#This Row],[Calendar_h]]-tblFleet[[#This Row],[Down_h]])</f>
        <v/>
      </c>
      <c r="I1249" s="60">
        <f>IF(AND(tblFleet[[#This Row],[Units]]&lt;&gt;"",tblFleet[[#This Row],[Calendar_h]]&gt;0),tblFleet[[#This Row],[Available_h]]/tblFleet[[#This Row],[Calendar_h]],"")</f>
        <v/>
      </c>
      <c r="J1249" s="60">
        <f>IF(AND(tblFleet[[#This Row],[Units]]&lt;&gt;"",tblFleet[[#This Row],[Available_h]]&gt;0),tblFleet[[#This Row],[Operating_h]]/tblFleet[[#This Row],[Available_h]],"")</f>
        <v/>
      </c>
    </row>
    <row r="1250">
      <c r="A1250" s="54" t="n"/>
      <c r="B1250" s="61" t="n"/>
      <c r="C1250" s="62" t="n"/>
      <c r="D1250" s="57" t="n"/>
      <c r="E1250" s="57" t="n"/>
      <c r="F1250" s="58" t="n"/>
      <c r="G1250" s="66">
        <f>IF(tblFleet[[#This Row],[Units]]="","",tblFleet[[#This Row],[Units]]*cfg_HoursPerDay)</f>
        <v/>
      </c>
      <c r="H1250" s="66">
        <f>IF(tblFleet[[#This Row],[Units]]="","",tblFleet[[#This Row],[Calendar_h]]-tblFleet[[#This Row],[Down_h]])</f>
        <v/>
      </c>
      <c r="I1250" s="60">
        <f>IF(AND(tblFleet[[#This Row],[Units]]&lt;&gt;"",tblFleet[[#This Row],[Calendar_h]]&gt;0),tblFleet[[#This Row],[Available_h]]/tblFleet[[#This Row],[Calendar_h]],"")</f>
        <v/>
      </c>
      <c r="J1250" s="60">
        <f>IF(AND(tblFleet[[#This Row],[Units]]&lt;&gt;"",tblFleet[[#This Row],[Available_h]]&gt;0),tblFleet[[#This Row],[Operating_h]]/tblFleet[[#This Row],[Available_h]],"")</f>
        <v/>
      </c>
    </row>
    <row r="1251">
      <c r="A1251" s="54" t="n"/>
      <c r="B1251" s="61" t="n"/>
      <c r="C1251" s="62" t="n"/>
      <c r="D1251" s="57" t="n"/>
      <c r="E1251" s="57" t="n"/>
      <c r="F1251" s="58" t="n"/>
      <c r="G1251" s="66">
        <f>IF(tblFleet[[#This Row],[Units]]="","",tblFleet[[#This Row],[Units]]*cfg_HoursPerDay)</f>
        <v/>
      </c>
      <c r="H1251" s="66">
        <f>IF(tblFleet[[#This Row],[Units]]="","",tblFleet[[#This Row],[Calendar_h]]-tblFleet[[#This Row],[Down_h]])</f>
        <v/>
      </c>
      <c r="I1251" s="60">
        <f>IF(AND(tblFleet[[#This Row],[Units]]&lt;&gt;"",tblFleet[[#This Row],[Calendar_h]]&gt;0),tblFleet[[#This Row],[Available_h]]/tblFleet[[#This Row],[Calendar_h]],"")</f>
        <v/>
      </c>
      <c r="J1251" s="60">
        <f>IF(AND(tblFleet[[#This Row],[Units]]&lt;&gt;"",tblFleet[[#This Row],[Available_h]]&gt;0),tblFleet[[#This Row],[Operating_h]]/tblFleet[[#This Row],[Available_h]],"")</f>
        <v/>
      </c>
    </row>
    <row r="1252">
      <c r="A1252" s="54" t="n"/>
      <c r="B1252" s="61" t="n"/>
      <c r="C1252" s="62" t="n"/>
      <c r="D1252" s="57" t="n"/>
      <c r="E1252" s="57" t="n"/>
      <c r="F1252" s="58" t="n"/>
      <c r="G1252" s="66">
        <f>IF(tblFleet[[#This Row],[Units]]="","",tblFleet[[#This Row],[Units]]*cfg_HoursPerDay)</f>
        <v/>
      </c>
      <c r="H1252" s="66">
        <f>IF(tblFleet[[#This Row],[Units]]="","",tblFleet[[#This Row],[Calendar_h]]-tblFleet[[#This Row],[Down_h]])</f>
        <v/>
      </c>
      <c r="I1252" s="60">
        <f>IF(AND(tblFleet[[#This Row],[Units]]&lt;&gt;"",tblFleet[[#This Row],[Calendar_h]]&gt;0),tblFleet[[#This Row],[Available_h]]/tblFleet[[#This Row],[Calendar_h]],"")</f>
        <v/>
      </c>
      <c r="J1252" s="60">
        <f>IF(AND(tblFleet[[#This Row],[Units]]&lt;&gt;"",tblFleet[[#This Row],[Available_h]]&gt;0),tblFleet[[#This Row],[Operating_h]]/tblFleet[[#This Row],[Available_h]],"")</f>
        <v/>
      </c>
    </row>
    <row r="1253">
      <c r="A1253" s="54" t="n"/>
      <c r="B1253" s="61" t="n"/>
      <c r="C1253" s="62" t="n"/>
      <c r="D1253" s="57" t="n"/>
      <c r="E1253" s="57" t="n"/>
      <c r="F1253" s="58" t="n"/>
      <c r="G1253" s="66">
        <f>IF(tblFleet[[#This Row],[Units]]="","",tblFleet[[#This Row],[Units]]*cfg_HoursPerDay)</f>
        <v/>
      </c>
      <c r="H1253" s="66">
        <f>IF(tblFleet[[#This Row],[Units]]="","",tblFleet[[#This Row],[Calendar_h]]-tblFleet[[#This Row],[Down_h]])</f>
        <v/>
      </c>
      <c r="I1253" s="60">
        <f>IF(AND(tblFleet[[#This Row],[Units]]&lt;&gt;"",tblFleet[[#This Row],[Calendar_h]]&gt;0),tblFleet[[#This Row],[Available_h]]/tblFleet[[#This Row],[Calendar_h]],"")</f>
        <v/>
      </c>
      <c r="J1253" s="60">
        <f>IF(AND(tblFleet[[#This Row],[Units]]&lt;&gt;"",tblFleet[[#This Row],[Available_h]]&gt;0),tblFleet[[#This Row],[Operating_h]]/tblFleet[[#This Row],[Available_h]],"")</f>
        <v/>
      </c>
    </row>
    <row r="1254">
      <c r="A1254" s="54" t="n"/>
      <c r="B1254" s="61" t="n"/>
      <c r="C1254" s="62" t="n"/>
      <c r="D1254" s="57" t="n"/>
      <c r="E1254" s="57" t="n"/>
      <c r="F1254" s="58" t="n"/>
      <c r="G1254" s="66">
        <f>IF(tblFleet[[#This Row],[Units]]="","",tblFleet[[#This Row],[Units]]*cfg_HoursPerDay)</f>
        <v/>
      </c>
      <c r="H1254" s="66">
        <f>IF(tblFleet[[#This Row],[Units]]="","",tblFleet[[#This Row],[Calendar_h]]-tblFleet[[#This Row],[Down_h]])</f>
        <v/>
      </c>
      <c r="I1254" s="60">
        <f>IF(AND(tblFleet[[#This Row],[Units]]&lt;&gt;"",tblFleet[[#This Row],[Calendar_h]]&gt;0),tblFleet[[#This Row],[Available_h]]/tblFleet[[#This Row],[Calendar_h]],"")</f>
        <v/>
      </c>
      <c r="J1254" s="60">
        <f>IF(AND(tblFleet[[#This Row],[Units]]&lt;&gt;"",tblFleet[[#This Row],[Available_h]]&gt;0),tblFleet[[#This Row],[Operating_h]]/tblFleet[[#This Row],[Available_h]],"")</f>
        <v/>
      </c>
    </row>
    <row r="1255">
      <c r="A1255" s="54" t="n"/>
      <c r="B1255" s="61" t="n"/>
      <c r="C1255" s="62" t="n"/>
      <c r="D1255" s="57" t="n"/>
      <c r="E1255" s="57" t="n"/>
      <c r="F1255" s="58" t="n"/>
      <c r="G1255" s="66">
        <f>IF(tblFleet[[#This Row],[Units]]="","",tblFleet[[#This Row],[Units]]*cfg_HoursPerDay)</f>
        <v/>
      </c>
      <c r="H1255" s="66">
        <f>IF(tblFleet[[#This Row],[Units]]="","",tblFleet[[#This Row],[Calendar_h]]-tblFleet[[#This Row],[Down_h]])</f>
        <v/>
      </c>
      <c r="I1255" s="60">
        <f>IF(AND(tblFleet[[#This Row],[Units]]&lt;&gt;"",tblFleet[[#This Row],[Calendar_h]]&gt;0),tblFleet[[#This Row],[Available_h]]/tblFleet[[#This Row],[Calendar_h]],"")</f>
        <v/>
      </c>
      <c r="J1255" s="60">
        <f>IF(AND(tblFleet[[#This Row],[Units]]&lt;&gt;"",tblFleet[[#This Row],[Available_h]]&gt;0),tblFleet[[#This Row],[Operating_h]]/tblFleet[[#This Row],[Available_h]],"")</f>
        <v/>
      </c>
    </row>
    <row r="1256">
      <c r="A1256" s="54" t="n"/>
      <c r="B1256" s="61" t="n"/>
      <c r="C1256" s="62" t="n"/>
      <c r="D1256" s="57" t="n"/>
      <c r="E1256" s="57" t="n"/>
      <c r="F1256" s="58" t="n"/>
      <c r="G1256" s="66">
        <f>IF(tblFleet[[#This Row],[Units]]="","",tblFleet[[#This Row],[Units]]*cfg_HoursPerDay)</f>
        <v/>
      </c>
      <c r="H1256" s="66">
        <f>IF(tblFleet[[#This Row],[Units]]="","",tblFleet[[#This Row],[Calendar_h]]-tblFleet[[#This Row],[Down_h]])</f>
        <v/>
      </c>
      <c r="I1256" s="60">
        <f>IF(AND(tblFleet[[#This Row],[Units]]&lt;&gt;"",tblFleet[[#This Row],[Calendar_h]]&gt;0),tblFleet[[#This Row],[Available_h]]/tblFleet[[#This Row],[Calendar_h]],"")</f>
        <v/>
      </c>
      <c r="J1256" s="60">
        <f>IF(AND(tblFleet[[#This Row],[Units]]&lt;&gt;"",tblFleet[[#This Row],[Available_h]]&gt;0),tblFleet[[#This Row],[Operating_h]]/tblFleet[[#This Row],[Available_h]],"")</f>
        <v/>
      </c>
    </row>
    <row r="1257">
      <c r="A1257" s="54" t="n"/>
      <c r="B1257" s="61" t="n"/>
      <c r="C1257" s="62" t="n"/>
      <c r="D1257" s="57" t="n"/>
      <c r="E1257" s="57" t="n"/>
      <c r="F1257" s="58" t="n"/>
      <c r="G1257" s="66">
        <f>IF(tblFleet[[#This Row],[Units]]="","",tblFleet[[#This Row],[Units]]*cfg_HoursPerDay)</f>
        <v/>
      </c>
      <c r="H1257" s="66">
        <f>IF(tblFleet[[#This Row],[Units]]="","",tblFleet[[#This Row],[Calendar_h]]-tblFleet[[#This Row],[Down_h]])</f>
        <v/>
      </c>
      <c r="I1257" s="60">
        <f>IF(AND(tblFleet[[#This Row],[Units]]&lt;&gt;"",tblFleet[[#This Row],[Calendar_h]]&gt;0),tblFleet[[#This Row],[Available_h]]/tblFleet[[#This Row],[Calendar_h]],"")</f>
        <v/>
      </c>
      <c r="J1257" s="60">
        <f>IF(AND(tblFleet[[#This Row],[Units]]&lt;&gt;"",tblFleet[[#This Row],[Available_h]]&gt;0),tblFleet[[#This Row],[Operating_h]]/tblFleet[[#This Row],[Available_h]],"")</f>
        <v/>
      </c>
    </row>
    <row r="1258">
      <c r="A1258" s="54" t="n"/>
      <c r="B1258" s="61" t="n"/>
      <c r="C1258" s="62" t="n"/>
      <c r="D1258" s="57" t="n"/>
      <c r="E1258" s="57" t="n"/>
      <c r="F1258" s="58" t="n"/>
      <c r="G1258" s="66">
        <f>IF(tblFleet[[#This Row],[Units]]="","",tblFleet[[#This Row],[Units]]*cfg_HoursPerDay)</f>
        <v/>
      </c>
      <c r="H1258" s="66">
        <f>IF(tblFleet[[#This Row],[Units]]="","",tblFleet[[#This Row],[Calendar_h]]-tblFleet[[#This Row],[Down_h]])</f>
        <v/>
      </c>
      <c r="I1258" s="60">
        <f>IF(AND(tblFleet[[#This Row],[Units]]&lt;&gt;"",tblFleet[[#This Row],[Calendar_h]]&gt;0),tblFleet[[#This Row],[Available_h]]/tblFleet[[#This Row],[Calendar_h]],"")</f>
        <v/>
      </c>
      <c r="J1258" s="60">
        <f>IF(AND(tblFleet[[#This Row],[Units]]&lt;&gt;"",tblFleet[[#This Row],[Available_h]]&gt;0),tblFleet[[#This Row],[Operating_h]]/tblFleet[[#This Row],[Available_h]],"")</f>
        <v/>
      </c>
    </row>
    <row r="1259">
      <c r="A1259" s="54" t="n"/>
      <c r="B1259" s="61" t="n"/>
      <c r="C1259" s="62" t="n"/>
      <c r="D1259" s="57" t="n"/>
      <c r="E1259" s="57" t="n"/>
      <c r="F1259" s="58" t="n"/>
      <c r="G1259" s="66">
        <f>IF(tblFleet[[#This Row],[Units]]="","",tblFleet[[#This Row],[Units]]*cfg_HoursPerDay)</f>
        <v/>
      </c>
      <c r="H1259" s="66">
        <f>IF(tblFleet[[#This Row],[Units]]="","",tblFleet[[#This Row],[Calendar_h]]-tblFleet[[#This Row],[Down_h]])</f>
        <v/>
      </c>
      <c r="I1259" s="60">
        <f>IF(AND(tblFleet[[#This Row],[Units]]&lt;&gt;"",tblFleet[[#This Row],[Calendar_h]]&gt;0),tblFleet[[#This Row],[Available_h]]/tblFleet[[#This Row],[Calendar_h]],"")</f>
        <v/>
      </c>
      <c r="J1259" s="60">
        <f>IF(AND(tblFleet[[#This Row],[Units]]&lt;&gt;"",tblFleet[[#This Row],[Available_h]]&gt;0),tblFleet[[#This Row],[Operating_h]]/tblFleet[[#This Row],[Available_h]],"")</f>
        <v/>
      </c>
    </row>
    <row r="1260">
      <c r="A1260" s="54" t="n"/>
      <c r="B1260" s="61" t="n"/>
      <c r="C1260" s="62" t="n"/>
      <c r="D1260" s="57" t="n"/>
      <c r="E1260" s="57" t="n"/>
      <c r="F1260" s="58" t="n"/>
      <c r="G1260" s="66">
        <f>IF(tblFleet[[#This Row],[Units]]="","",tblFleet[[#This Row],[Units]]*cfg_HoursPerDay)</f>
        <v/>
      </c>
      <c r="H1260" s="66">
        <f>IF(tblFleet[[#This Row],[Units]]="","",tblFleet[[#This Row],[Calendar_h]]-tblFleet[[#This Row],[Down_h]])</f>
        <v/>
      </c>
      <c r="I1260" s="60">
        <f>IF(AND(tblFleet[[#This Row],[Units]]&lt;&gt;"",tblFleet[[#This Row],[Calendar_h]]&gt;0),tblFleet[[#This Row],[Available_h]]/tblFleet[[#This Row],[Calendar_h]],"")</f>
        <v/>
      </c>
      <c r="J1260" s="60">
        <f>IF(AND(tblFleet[[#This Row],[Units]]&lt;&gt;"",tblFleet[[#This Row],[Available_h]]&gt;0),tblFleet[[#This Row],[Operating_h]]/tblFleet[[#This Row],[Available_h]],"")</f>
        <v/>
      </c>
    </row>
    <row r="1261">
      <c r="A1261" s="54" t="n"/>
      <c r="B1261" s="61" t="n"/>
      <c r="C1261" s="62" t="n"/>
      <c r="D1261" s="57" t="n"/>
      <c r="E1261" s="57" t="n"/>
      <c r="F1261" s="58" t="n"/>
      <c r="G1261" s="66">
        <f>IF(tblFleet[[#This Row],[Units]]="","",tblFleet[[#This Row],[Units]]*cfg_HoursPerDay)</f>
        <v/>
      </c>
      <c r="H1261" s="66">
        <f>IF(tblFleet[[#This Row],[Units]]="","",tblFleet[[#This Row],[Calendar_h]]-tblFleet[[#This Row],[Down_h]])</f>
        <v/>
      </c>
      <c r="I1261" s="60">
        <f>IF(AND(tblFleet[[#This Row],[Units]]&lt;&gt;"",tblFleet[[#This Row],[Calendar_h]]&gt;0),tblFleet[[#This Row],[Available_h]]/tblFleet[[#This Row],[Calendar_h]],"")</f>
        <v/>
      </c>
      <c r="J1261" s="60">
        <f>IF(AND(tblFleet[[#This Row],[Units]]&lt;&gt;"",tblFleet[[#This Row],[Available_h]]&gt;0),tblFleet[[#This Row],[Operating_h]]/tblFleet[[#This Row],[Available_h]],"")</f>
        <v/>
      </c>
    </row>
    <row r="1262">
      <c r="A1262" s="54" t="n"/>
      <c r="B1262" s="61" t="n"/>
      <c r="C1262" s="62" t="n"/>
      <c r="D1262" s="57" t="n"/>
      <c r="E1262" s="57" t="n"/>
      <c r="F1262" s="58" t="n"/>
      <c r="G1262" s="66">
        <f>IF(tblFleet[[#This Row],[Units]]="","",tblFleet[[#This Row],[Units]]*cfg_HoursPerDay)</f>
        <v/>
      </c>
      <c r="H1262" s="66">
        <f>IF(tblFleet[[#This Row],[Units]]="","",tblFleet[[#This Row],[Calendar_h]]-tblFleet[[#This Row],[Down_h]])</f>
        <v/>
      </c>
      <c r="I1262" s="60">
        <f>IF(AND(tblFleet[[#This Row],[Units]]&lt;&gt;"",tblFleet[[#This Row],[Calendar_h]]&gt;0),tblFleet[[#This Row],[Available_h]]/tblFleet[[#This Row],[Calendar_h]],"")</f>
        <v/>
      </c>
      <c r="J1262" s="60">
        <f>IF(AND(tblFleet[[#This Row],[Units]]&lt;&gt;"",tblFleet[[#This Row],[Available_h]]&gt;0),tblFleet[[#This Row],[Operating_h]]/tblFleet[[#This Row],[Available_h]],"")</f>
        <v/>
      </c>
    </row>
    <row r="1263">
      <c r="A1263" s="54" t="n"/>
      <c r="B1263" s="61" t="n"/>
      <c r="C1263" s="62" t="n"/>
      <c r="D1263" s="57" t="n"/>
      <c r="E1263" s="57" t="n"/>
      <c r="F1263" s="58" t="n"/>
      <c r="G1263" s="66">
        <f>IF(tblFleet[[#This Row],[Units]]="","",tblFleet[[#This Row],[Units]]*cfg_HoursPerDay)</f>
        <v/>
      </c>
      <c r="H1263" s="66">
        <f>IF(tblFleet[[#This Row],[Units]]="","",tblFleet[[#This Row],[Calendar_h]]-tblFleet[[#This Row],[Down_h]])</f>
        <v/>
      </c>
      <c r="I1263" s="60">
        <f>IF(AND(tblFleet[[#This Row],[Units]]&lt;&gt;"",tblFleet[[#This Row],[Calendar_h]]&gt;0),tblFleet[[#This Row],[Available_h]]/tblFleet[[#This Row],[Calendar_h]],"")</f>
        <v/>
      </c>
      <c r="J1263" s="60">
        <f>IF(AND(tblFleet[[#This Row],[Units]]&lt;&gt;"",tblFleet[[#This Row],[Available_h]]&gt;0),tblFleet[[#This Row],[Operating_h]]/tblFleet[[#This Row],[Available_h]],"")</f>
        <v/>
      </c>
    </row>
    <row r="1264">
      <c r="A1264" s="54" t="n"/>
      <c r="B1264" s="61" t="n"/>
      <c r="C1264" s="62" t="n"/>
      <c r="D1264" s="57" t="n"/>
      <c r="E1264" s="57" t="n"/>
      <c r="F1264" s="58" t="n"/>
      <c r="G1264" s="66">
        <f>IF(tblFleet[[#This Row],[Units]]="","",tblFleet[[#This Row],[Units]]*cfg_HoursPerDay)</f>
        <v/>
      </c>
      <c r="H1264" s="66">
        <f>IF(tblFleet[[#This Row],[Units]]="","",tblFleet[[#This Row],[Calendar_h]]-tblFleet[[#This Row],[Down_h]])</f>
        <v/>
      </c>
      <c r="I1264" s="60">
        <f>IF(AND(tblFleet[[#This Row],[Units]]&lt;&gt;"",tblFleet[[#This Row],[Calendar_h]]&gt;0),tblFleet[[#This Row],[Available_h]]/tblFleet[[#This Row],[Calendar_h]],"")</f>
        <v/>
      </c>
      <c r="J1264" s="60">
        <f>IF(AND(tblFleet[[#This Row],[Units]]&lt;&gt;"",tblFleet[[#This Row],[Available_h]]&gt;0),tblFleet[[#This Row],[Operating_h]]/tblFleet[[#This Row],[Available_h]],"")</f>
        <v/>
      </c>
    </row>
    <row r="1265">
      <c r="A1265" s="54" t="n"/>
      <c r="B1265" s="61" t="n"/>
      <c r="C1265" s="62" t="n"/>
      <c r="D1265" s="57" t="n"/>
      <c r="E1265" s="57" t="n"/>
      <c r="F1265" s="58" t="n"/>
      <c r="G1265" s="66">
        <f>IF(tblFleet[[#This Row],[Units]]="","",tblFleet[[#This Row],[Units]]*cfg_HoursPerDay)</f>
        <v/>
      </c>
      <c r="H1265" s="66">
        <f>IF(tblFleet[[#This Row],[Units]]="","",tblFleet[[#This Row],[Calendar_h]]-tblFleet[[#This Row],[Down_h]])</f>
        <v/>
      </c>
      <c r="I1265" s="60">
        <f>IF(AND(tblFleet[[#This Row],[Units]]&lt;&gt;"",tblFleet[[#This Row],[Calendar_h]]&gt;0),tblFleet[[#This Row],[Available_h]]/tblFleet[[#This Row],[Calendar_h]],"")</f>
        <v/>
      </c>
      <c r="J1265" s="60">
        <f>IF(AND(tblFleet[[#This Row],[Units]]&lt;&gt;"",tblFleet[[#This Row],[Available_h]]&gt;0),tblFleet[[#This Row],[Operating_h]]/tblFleet[[#This Row],[Available_h]],"")</f>
        <v/>
      </c>
    </row>
    <row r="1266">
      <c r="A1266" s="54" t="n"/>
      <c r="B1266" s="61" t="n"/>
      <c r="C1266" s="62" t="n"/>
      <c r="D1266" s="57" t="n"/>
      <c r="E1266" s="57" t="n"/>
      <c r="F1266" s="58" t="n"/>
      <c r="G1266" s="66">
        <f>IF(tblFleet[[#This Row],[Units]]="","",tblFleet[[#This Row],[Units]]*cfg_HoursPerDay)</f>
        <v/>
      </c>
      <c r="H1266" s="66">
        <f>IF(tblFleet[[#This Row],[Units]]="","",tblFleet[[#This Row],[Calendar_h]]-tblFleet[[#This Row],[Down_h]])</f>
        <v/>
      </c>
      <c r="I1266" s="60">
        <f>IF(AND(tblFleet[[#This Row],[Units]]&lt;&gt;"",tblFleet[[#This Row],[Calendar_h]]&gt;0),tblFleet[[#This Row],[Available_h]]/tblFleet[[#This Row],[Calendar_h]],"")</f>
        <v/>
      </c>
      <c r="J1266" s="60">
        <f>IF(AND(tblFleet[[#This Row],[Units]]&lt;&gt;"",tblFleet[[#This Row],[Available_h]]&gt;0),tblFleet[[#This Row],[Operating_h]]/tblFleet[[#This Row],[Available_h]],"")</f>
        <v/>
      </c>
    </row>
    <row r="1267">
      <c r="A1267" s="54" t="n"/>
      <c r="B1267" s="61" t="n"/>
      <c r="C1267" s="62" t="n"/>
      <c r="D1267" s="57" t="n"/>
      <c r="E1267" s="57" t="n"/>
      <c r="F1267" s="58" t="n"/>
      <c r="G1267" s="66">
        <f>IF(tblFleet[[#This Row],[Units]]="","",tblFleet[[#This Row],[Units]]*cfg_HoursPerDay)</f>
        <v/>
      </c>
      <c r="H1267" s="66">
        <f>IF(tblFleet[[#This Row],[Units]]="","",tblFleet[[#This Row],[Calendar_h]]-tblFleet[[#This Row],[Down_h]])</f>
        <v/>
      </c>
      <c r="I1267" s="60">
        <f>IF(AND(tblFleet[[#This Row],[Units]]&lt;&gt;"",tblFleet[[#This Row],[Calendar_h]]&gt;0),tblFleet[[#This Row],[Available_h]]/tblFleet[[#This Row],[Calendar_h]],"")</f>
        <v/>
      </c>
      <c r="J1267" s="60">
        <f>IF(AND(tblFleet[[#This Row],[Units]]&lt;&gt;"",tblFleet[[#This Row],[Available_h]]&gt;0),tblFleet[[#This Row],[Operating_h]]/tblFleet[[#This Row],[Available_h]],"")</f>
        <v/>
      </c>
    </row>
    <row r="1268">
      <c r="A1268" s="54" t="n"/>
      <c r="B1268" s="61" t="n"/>
      <c r="C1268" s="62" t="n"/>
      <c r="D1268" s="57" t="n"/>
      <c r="E1268" s="57" t="n"/>
      <c r="F1268" s="58" t="n"/>
      <c r="G1268" s="66">
        <f>IF(tblFleet[[#This Row],[Units]]="","",tblFleet[[#This Row],[Units]]*cfg_HoursPerDay)</f>
        <v/>
      </c>
      <c r="H1268" s="66">
        <f>IF(tblFleet[[#This Row],[Units]]="","",tblFleet[[#This Row],[Calendar_h]]-tblFleet[[#This Row],[Down_h]])</f>
        <v/>
      </c>
      <c r="I1268" s="60">
        <f>IF(AND(tblFleet[[#This Row],[Units]]&lt;&gt;"",tblFleet[[#This Row],[Calendar_h]]&gt;0),tblFleet[[#This Row],[Available_h]]/tblFleet[[#This Row],[Calendar_h]],"")</f>
        <v/>
      </c>
      <c r="J1268" s="60">
        <f>IF(AND(tblFleet[[#This Row],[Units]]&lt;&gt;"",tblFleet[[#This Row],[Available_h]]&gt;0),tblFleet[[#This Row],[Operating_h]]/tblFleet[[#This Row],[Available_h]],"")</f>
        <v/>
      </c>
    </row>
    <row r="1269">
      <c r="A1269" s="54" t="n"/>
      <c r="B1269" s="61" t="n"/>
      <c r="C1269" s="62" t="n"/>
      <c r="D1269" s="57" t="n"/>
      <c r="E1269" s="57" t="n"/>
      <c r="F1269" s="58" t="n"/>
      <c r="G1269" s="66">
        <f>IF(tblFleet[[#This Row],[Units]]="","",tblFleet[[#This Row],[Units]]*cfg_HoursPerDay)</f>
        <v/>
      </c>
      <c r="H1269" s="66">
        <f>IF(tblFleet[[#This Row],[Units]]="","",tblFleet[[#This Row],[Calendar_h]]-tblFleet[[#This Row],[Down_h]])</f>
        <v/>
      </c>
      <c r="I1269" s="60">
        <f>IF(AND(tblFleet[[#This Row],[Units]]&lt;&gt;"",tblFleet[[#This Row],[Calendar_h]]&gt;0),tblFleet[[#This Row],[Available_h]]/tblFleet[[#This Row],[Calendar_h]],"")</f>
        <v/>
      </c>
      <c r="J1269" s="60">
        <f>IF(AND(tblFleet[[#This Row],[Units]]&lt;&gt;"",tblFleet[[#This Row],[Available_h]]&gt;0),tblFleet[[#This Row],[Operating_h]]/tblFleet[[#This Row],[Available_h]],"")</f>
        <v/>
      </c>
    </row>
    <row r="1270">
      <c r="A1270" s="54" t="n"/>
      <c r="B1270" s="61" t="n"/>
      <c r="C1270" s="62" t="n"/>
      <c r="D1270" s="57" t="n"/>
      <c r="E1270" s="57" t="n"/>
      <c r="F1270" s="58" t="n"/>
      <c r="G1270" s="66">
        <f>IF(tblFleet[[#This Row],[Units]]="","",tblFleet[[#This Row],[Units]]*cfg_HoursPerDay)</f>
        <v/>
      </c>
      <c r="H1270" s="66">
        <f>IF(tblFleet[[#This Row],[Units]]="","",tblFleet[[#This Row],[Calendar_h]]-tblFleet[[#This Row],[Down_h]])</f>
        <v/>
      </c>
      <c r="I1270" s="60">
        <f>IF(AND(tblFleet[[#This Row],[Units]]&lt;&gt;"",tblFleet[[#This Row],[Calendar_h]]&gt;0),tblFleet[[#This Row],[Available_h]]/tblFleet[[#This Row],[Calendar_h]],"")</f>
        <v/>
      </c>
      <c r="J1270" s="60">
        <f>IF(AND(tblFleet[[#This Row],[Units]]&lt;&gt;"",tblFleet[[#This Row],[Available_h]]&gt;0),tblFleet[[#This Row],[Operating_h]]/tblFleet[[#This Row],[Available_h]],"")</f>
        <v/>
      </c>
    </row>
    <row r="1271">
      <c r="A1271" s="54" t="n"/>
      <c r="B1271" s="61" t="n"/>
      <c r="C1271" s="62" t="n"/>
      <c r="D1271" s="57" t="n"/>
      <c r="E1271" s="57" t="n"/>
      <c r="F1271" s="58" t="n"/>
      <c r="G1271" s="66">
        <f>IF(tblFleet[[#This Row],[Units]]="","",tblFleet[[#This Row],[Units]]*cfg_HoursPerDay)</f>
        <v/>
      </c>
      <c r="H1271" s="66">
        <f>IF(tblFleet[[#This Row],[Units]]="","",tblFleet[[#This Row],[Calendar_h]]-tblFleet[[#This Row],[Down_h]])</f>
        <v/>
      </c>
      <c r="I1271" s="60">
        <f>IF(AND(tblFleet[[#This Row],[Units]]&lt;&gt;"",tblFleet[[#This Row],[Calendar_h]]&gt;0),tblFleet[[#This Row],[Available_h]]/tblFleet[[#This Row],[Calendar_h]],"")</f>
        <v/>
      </c>
      <c r="J1271" s="60">
        <f>IF(AND(tblFleet[[#This Row],[Units]]&lt;&gt;"",tblFleet[[#This Row],[Available_h]]&gt;0),tblFleet[[#This Row],[Operating_h]]/tblFleet[[#This Row],[Available_h]],"")</f>
        <v/>
      </c>
    </row>
    <row r="1272">
      <c r="A1272" s="54" t="n"/>
      <c r="B1272" s="61" t="n"/>
      <c r="C1272" s="62" t="n"/>
      <c r="D1272" s="57" t="n"/>
      <c r="E1272" s="57" t="n"/>
      <c r="F1272" s="58" t="n"/>
      <c r="G1272" s="66">
        <f>IF(tblFleet[[#This Row],[Units]]="","",tblFleet[[#This Row],[Units]]*cfg_HoursPerDay)</f>
        <v/>
      </c>
      <c r="H1272" s="66">
        <f>IF(tblFleet[[#This Row],[Units]]="","",tblFleet[[#This Row],[Calendar_h]]-tblFleet[[#This Row],[Down_h]])</f>
        <v/>
      </c>
      <c r="I1272" s="60">
        <f>IF(AND(tblFleet[[#This Row],[Units]]&lt;&gt;"",tblFleet[[#This Row],[Calendar_h]]&gt;0),tblFleet[[#This Row],[Available_h]]/tblFleet[[#This Row],[Calendar_h]],"")</f>
        <v/>
      </c>
      <c r="J1272" s="60">
        <f>IF(AND(tblFleet[[#This Row],[Units]]&lt;&gt;"",tblFleet[[#This Row],[Available_h]]&gt;0),tblFleet[[#This Row],[Operating_h]]/tblFleet[[#This Row],[Available_h]],"")</f>
        <v/>
      </c>
    </row>
    <row r="1273">
      <c r="A1273" s="54" t="n"/>
      <c r="B1273" s="61" t="n"/>
      <c r="C1273" s="62" t="n"/>
      <c r="D1273" s="57" t="n"/>
      <c r="E1273" s="57" t="n"/>
      <c r="F1273" s="58" t="n"/>
      <c r="G1273" s="66">
        <f>IF(tblFleet[[#This Row],[Units]]="","",tblFleet[[#This Row],[Units]]*cfg_HoursPerDay)</f>
        <v/>
      </c>
      <c r="H1273" s="66">
        <f>IF(tblFleet[[#This Row],[Units]]="","",tblFleet[[#This Row],[Calendar_h]]-tblFleet[[#This Row],[Down_h]])</f>
        <v/>
      </c>
      <c r="I1273" s="60">
        <f>IF(AND(tblFleet[[#This Row],[Units]]&lt;&gt;"",tblFleet[[#This Row],[Calendar_h]]&gt;0),tblFleet[[#This Row],[Available_h]]/tblFleet[[#This Row],[Calendar_h]],"")</f>
        <v/>
      </c>
      <c r="J1273" s="60">
        <f>IF(AND(tblFleet[[#This Row],[Units]]&lt;&gt;"",tblFleet[[#This Row],[Available_h]]&gt;0),tblFleet[[#This Row],[Operating_h]]/tblFleet[[#This Row],[Available_h]],"")</f>
        <v/>
      </c>
    </row>
    <row r="1274">
      <c r="A1274" s="54" t="n"/>
      <c r="B1274" s="61" t="n"/>
      <c r="C1274" s="62" t="n"/>
      <c r="D1274" s="57" t="n"/>
      <c r="E1274" s="57" t="n"/>
      <c r="F1274" s="58" t="n"/>
      <c r="G1274" s="66">
        <f>IF(tblFleet[[#This Row],[Units]]="","",tblFleet[[#This Row],[Units]]*cfg_HoursPerDay)</f>
        <v/>
      </c>
      <c r="H1274" s="66">
        <f>IF(tblFleet[[#This Row],[Units]]="","",tblFleet[[#This Row],[Calendar_h]]-tblFleet[[#This Row],[Down_h]])</f>
        <v/>
      </c>
      <c r="I1274" s="60">
        <f>IF(AND(tblFleet[[#This Row],[Units]]&lt;&gt;"",tblFleet[[#This Row],[Calendar_h]]&gt;0),tblFleet[[#This Row],[Available_h]]/tblFleet[[#This Row],[Calendar_h]],"")</f>
        <v/>
      </c>
      <c r="J1274" s="60">
        <f>IF(AND(tblFleet[[#This Row],[Units]]&lt;&gt;"",tblFleet[[#This Row],[Available_h]]&gt;0),tblFleet[[#This Row],[Operating_h]]/tblFleet[[#This Row],[Available_h]],"")</f>
        <v/>
      </c>
    </row>
    <row r="1275">
      <c r="A1275" s="54" t="n"/>
      <c r="B1275" s="61" t="n"/>
      <c r="C1275" s="62" t="n"/>
      <c r="D1275" s="57" t="n"/>
      <c r="E1275" s="57" t="n"/>
      <c r="F1275" s="58" t="n"/>
      <c r="G1275" s="66">
        <f>IF(tblFleet[[#This Row],[Units]]="","",tblFleet[[#This Row],[Units]]*cfg_HoursPerDay)</f>
        <v/>
      </c>
      <c r="H1275" s="66">
        <f>IF(tblFleet[[#This Row],[Units]]="","",tblFleet[[#This Row],[Calendar_h]]-tblFleet[[#This Row],[Down_h]])</f>
        <v/>
      </c>
      <c r="I1275" s="60">
        <f>IF(AND(tblFleet[[#This Row],[Units]]&lt;&gt;"",tblFleet[[#This Row],[Calendar_h]]&gt;0),tblFleet[[#This Row],[Available_h]]/tblFleet[[#This Row],[Calendar_h]],"")</f>
        <v/>
      </c>
      <c r="J1275" s="60">
        <f>IF(AND(tblFleet[[#This Row],[Units]]&lt;&gt;"",tblFleet[[#This Row],[Available_h]]&gt;0),tblFleet[[#This Row],[Operating_h]]/tblFleet[[#This Row],[Available_h]],"")</f>
        <v/>
      </c>
    </row>
    <row r="1276">
      <c r="A1276" s="54" t="n"/>
      <c r="B1276" s="61" t="n"/>
      <c r="C1276" s="62" t="n"/>
      <c r="D1276" s="57" t="n"/>
      <c r="E1276" s="57" t="n"/>
      <c r="F1276" s="58" t="n"/>
      <c r="G1276" s="66">
        <f>IF(tblFleet[[#This Row],[Units]]="","",tblFleet[[#This Row],[Units]]*cfg_HoursPerDay)</f>
        <v/>
      </c>
      <c r="H1276" s="66">
        <f>IF(tblFleet[[#This Row],[Units]]="","",tblFleet[[#This Row],[Calendar_h]]-tblFleet[[#This Row],[Down_h]])</f>
        <v/>
      </c>
      <c r="I1276" s="60">
        <f>IF(AND(tblFleet[[#This Row],[Units]]&lt;&gt;"",tblFleet[[#This Row],[Calendar_h]]&gt;0),tblFleet[[#This Row],[Available_h]]/tblFleet[[#This Row],[Calendar_h]],"")</f>
        <v/>
      </c>
      <c r="J1276" s="60">
        <f>IF(AND(tblFleet[[#This Row],[Units]]&lt;&gt;"",tblFleet[[#This Row],[Available_h]]&gt;0),tblFleet[[#This Row],[Operating_h]]/tblFleet[[#This Row],[Available_h]],"")</f>
        <v/>
      </c>
    </row>
    <row r="1277">
      <c r="A1277" s="54" t="n"/>
      <c r="B1277" s="61" t="n"/>
      <c r="C1277" s="62" t="n"/>
      <c r="D1277" s="57" t="n"/>
      <c r="E1277" s="57" t="n"/>
      <c r="F1277" s="58" t="n"/>
      <c r="G1277" s="66">
        <f>IF(tblFleet[[#This Row],[Units]]="","",tblFleet[[#This Row],[Units]]*cfg_HoursPerDay)</f>
        <v/>
      </c>
      <c r="H1277" s="66">
        <f>IF(tblFleet[[#This Row],[Units]]="","",tblFleet[[#This Row],[Calendar_h]]-tblFleet[[#This Row],[Down_h]])</f>
        <v/>
      </c>
      <c r="I1277" s="60">
        <f>IF(AND(tblFleet[[#This Row],[Units]]&lt;&gt;"",tblFleet[[#This Row],[Calendar_h]]&gt;0),tblFleet[[#This Row],[Available_h]]/tblFleet[[#This Row],[Calendar_h]],"")</f>
        <v/>
      </c>
      <c r="J1277" s="60">
        <f>IF(AND(tblFleet[[#This Row],[Units]]&lt;&gt;"",tblFleet[[#This Row],[Available_h]]&gt;0),tblFleet[[#This Row],[Operating_h]]/tblFleet[[#This Row],[Available_h]],"")</f>
        <v/>
      </c>
    </row>
    <row r="1278">
      <c r="A1278" s="54" t="n"/>
      <c r="B1278" s="61" t="n"/>
      <c r="C1278" s="62" t="n"/>
      <c r="D1278" s="57" t="n"/>
      <c r="E1278" s="57" t="n"/>
      <c r="F1278" s="58" t="n"/>
      <c r="G1278" s="66">
        <f>IF(tblFleet[[#This Row],[Units]]="","",tblFleet[[#This Row],[Units]]*cfg_HoursPerDay)</f>
        <v/>
      </c>
      <c r="H1278" s="66">
        <f>IF(tblFleet[[#This Row],[Units]]="","",tblFleet[[#This Row],[Calendar_h]]-tblFleet[[#This Row],[Down_h]])</f>
        <v/>
      </c>
      <c r="I1278" s="60">
        <f>IF(AND(tblFleet[[#This Row],[Units]]&lt;&gt;"",tblFleet[[#This Row],[Calendar_h]]&gt;0),tblFleet[[#This Row],[Available_h]]/tblFleet[[#This Row],[Calendar_h]],"")</f>
        <v/>
      </c>
      <c r="J1278" s="60">
        <f>IF(AND(tblFleet[[#This Row],[Units]]&lt;&gt;"",tblFleet[[#This Row],[Available_h]]&gt;0),tblFleet[[#This Row],[Operating_h]]/tblFleet[[#This Row],[Available_h]],"")</f>
        <v/>
      </c>
    </row>
    <row r="1279">
      <c r="A1279" s="54" t="n"/>
      <c r="B1279" s="61" t="n"/>
      <c r="C1279" s="62" t="n"/>
      <c r="D1279" s="57" t="n"/>
      <c r="E1279" s="57" t="n"/>
      <c r="F1279" s="58" t="n"/>
      <c r="G1279" s="66">
        <f>IF(tblFleet[[#This Row],[Units]]="","",tblFleet[[#This Row],[Units]]*cfg_HoursPerDay)</f>
        <v/>
      </c>
      <c r="H1279" s="66">
        <f>IF(tblFleet[[#This Row],[Units]]="","",tblFleet[[#This Row],[Calendar_h]]-tblFleet[[#This Row],[Down_h]])</f>
        <v/>
      </c>
      <c r="I1279" s="60">
        <f>IF(AND(tblFleet[[#This Row],[Units]]&lt;&gt;"",tblFleet[[#This Row],[Calendar_h]]&gt;0),tblFleet[[#This Row],[Available_h]]/tblFleet[[#This Row],[Calendar_h]],"")</f>
        <v/>
      </c>
      <c r="J1279" s="60">
        <f>IF(AND(tblFleet[[#This Row],[Units]]&lt;&gt;"",tblFleet[[#This Row],[Available_h]]&gt;0),tblFleet[[#This Row],[Operating_h]]/tblFleet[[#This Row],[Available_h]],"")</f>
        <v/>
      </c>
    </row>
    <row r="1280">
      <c r="A1280" s="54" t="n"/>
      <c r="B1280" s="61" t="n"/>
      <c r="C1280" s="62" t="n"/>
      <c r="D1280" s="57" t="n"/>
      <c r="E1280" s="57" t="n"/>
      <c r="F1280" s="58" t="n"/>
      <c r="G1280" s="66">
        <f>IF(tblFleet[[#This Row],[Units]]="","",tblFleet[[#This Row],[Units]]*cfg_HoursPerDay)</f>
        <v/>
      </c>
      <c r="H1280" s="66">
        <f>IF(tblFleet[[#This Row],[Units]]="","",tblFleet[[#This Row],[Calendar_h]]-tblFleet[[#This Row],[Down_h]])</f>
        <v/>
      </c>
      <c r="I1280" s="60">
        <f>IF(AND(tblFleet[[#This Row],[Units]]&lt;&gt;"",tblFleet[[#This Row],[Calendar_h]]&gt;0),tblFleet[[#This Row],[Available_h]]/tblFleet[[#This Row],[Calendar_h]],"")</f>
        <v/>
      </c>
      <c r="J1280" s="60">
        <f>IF(AND(tblFleet[[#This Row],[Units]]&lt;&gt;"",tblFleet[[#This Row],[Available_h]]&gt;0),tblFleet[[#This Row],[Operating_h]]/tblFleet[[#This Row],[Available_h]],"")</f>
        <v/>
      </c>
    </row>
    <row r="1281">
      <c r="A1281" s="54" t="n"/>
      <c r="B1281" s="61" t="n"/>
      <c r="C1281" s="62" t="n"/>
      <c r="D1281" s="57" t="n"/>
      <c r="E1281" s="57" t="n"/>
      <c r="F1281" s="58" t="n"/>
      <c r="G1281" s="66">
        <f>IF(tblFleet[[#This Row],[Units]]="","",tblFleet[[#This Row],[Units]]*cfg_HoursPerDay)</f>
        <v/>
      </c>
      <c r="H1281" s="66">
        <f>IF(tblFleet[[#This Row],[Units]]="","",tblFleet[[#This Row],[Calendar_h]]-tblFleet[[#This Row],[Down_h]])</f>
        <v/>
      </c>
      <c r="I1281" s="60">
        <f>IF(AND(tblFleet[[#This Row],[Units]]&lt;&gt;"",tblFleet[[#This Row],[Calendar_h]]&gt;0),tblFleet[[#This Row],[Available_h]]/tblFleet[[#This Row],[Calendar_h]],"")</f>
        <v/>
      </c>
      <c r="J1281" s="60">
        <f>IF(AND(tblFleet[[#This Row],[Units]]&lt;&gt;"",tblFleet[[#This Row],[Available_h]]&gt;0),tblFleet[[#This Row],[Operating_h]]/tblFleet[[#This Row],[Available_h]],"")</f>
        <v/>
      </c>
    </row>
    <row r="1282">
      <c r="A1282" s="54" t="n"/>
      <c r="B1282" s="61" t="n"/>
      <c r="C1282" s="62" t="n"/>
      <c r="D1282" s="57" t="n"/>
      <c r="E1282" s="57" t="n"/>
      <c r="F1282" s="58" t="n"/>
      <c r="G1282" s="66">
        <f>IF(tblFleet[[#This Row],[Units]]="","",tblFleet[[#This Row],[Units]]*cfg_HoursPerDay)</f>
        <v/>
      </c>
      <c r="H1282" s="66">
        <f>IF(tblFleet[[#This Row],[Units]]="","",tblFleet[[#This Row],[Calendar_h]]-tblFleet[[#This Row],[Down_h]])</f>
        <v/>
      </c>
      <c r="I1282" s="60">
        <f>IF(AND(tblFleet[[#This Row],[Units]]&lt;&gt;"",tblFleet[[#This Row],[Calendar_h]]&gt;0),tblFleet[[#This Row],[Available_h]]/tblFleet[[#This Row],[Calendar_h]],"")</f>
        <v/>
      </c>
      <c r="J1282" s="60">
        <f>IF(AND(tblFleet[[#This Row],[Units]]&lt;&gt;"",tblFleet[[#This Row],[Available_h]]&gt;0),tblFleet[[#This Row],[Operating_h]]/tblFleet[[#This Row],[Available_h]],"")</f>
        <v/>
      </c>
    </row>
    <row r="1283">
      <c r="A1283" s="54" t="n"/>
      <c r="B1283" s="61" t="n"/>
      <c r="C1283" s="62" t="n"/>
      <c r="D1283" s="57" t="n"/>
      <c r="E1283" s="57" t="n"/>
      <c r="F1283" s="58" t="n"/>
      <c r="G1283" s="66">
        <f>IF(tblFleet[[#This Row],[Units]]="","",tblFleet[[#This Row],[Units]]*cfg_HoursPerDay)</f>
        <v/>
      </c>
      <c r="H1283" s="66">
        <f>IF(tblFleet[[#This Row],[Units]]="","",tblFleet[[#This Row],[Calendar_h]]-tblFleet[[#This Row],[Down_h]])</f>
        <v/>
      </c>
      <c r="I1283" s="60">
        <f>IF(AND(tblFleet[[#This Row],[Units]]&lt;&gt;"",tblFleet[[#This Row],[Calendar_h]]&gt;0),tblFleet[[#This Row],[Available_h]]/tblFleet[[#This Row],[Calendar_h]],"")</f>
        <v/>
      </c>
      <c r="J1283" s="60">
        <f>IF(AND(tblFleet[[#This Row],[Units]]&lt;&gt;"",tblFleet[[#This Row],[Available_h]]&gt;0),tblFleet[[#This Row],[Operating_h]]/tblFleet[[#This Row],[Available_h]],"")</f>
        <v/>
      </c>
    </row>
    <row r="1284">
      <c r="A1284" s="54" t="n"/>
      <c r="B1284" s="61" t="n"/>
      <c r="C1284" s="62" t="n"/>
      <c r="D1284" s="57" t="n"/>
      <c r="E1284" s="57" t="n"/>
      <c r="F1284" s="58" t="n"/>
      <c r="G1284" s="66">
        <f>IF(tblFleet[[#This Row],[Units]]="","",tblFleet[[#This Row],[Units]]*cfg_HoursPerDay)</f>
        <v/>
      </c>
      <c r="H1284" s="66">
        <f>IF(tblFleet[[#This Row],[Units]]="","",tblFleet[[#This Row],[Calendar_h]]-tblFleet[[#This Row],[Down_h]])</f>
        <v/>
      </c>
      <c r="I1284" s="60">
        <f>IF(AND(tblFleet[[#This Row],[Units]]&lt;&gt;"",tblFleet[[#This Row],[Calendar_h]]&gt;0),tblFleet[[#This Row],[Available_h]]/tblFleet[[#This Row],[Calendar_h]],"")</f>
        <v/>
      </c>
      <c r="J1284" s="60">
        <f>IF(AND(tblFleet[[#This Row],[Units]]&lt;&gt;"",tblFleet[[#This Row],[Available_h]]&gt;0),tblFleet[[#This Row],[Operating_h]]/tblFleet[[#This Row],[Available_h]],"")</f>
        <v/>
      </c>
    </row>
    <row r="1285">
      <c r="A1285" s="54" t="n"/>
      <c r="B1285" s="61" t="n"/>
      <c r="C1285" s="62" t="n"/>
      <c r="D1285" s="57" t="n"/>
      <c r="E1285" s="57" t="n"/>
      <c r="F1285" s="58" t="n"/>
      <c r="G1285" s="66">
        <f>IF(tblFleet[[#This Row],[Units]]="","",tblFleet[[#This Row],[Units]]*cfg_HoursPerDay)</f>
        <v/>
      </c>
      <c r="H1285" s="66">
        <f>IF(tblFleet[[#This Row],[Units]]="","",tblFleet[[#This Row],[Calendar_h]]-tblFleet[[#This Row],[Down_h]])</f>
        <v/>
      </c>
      <c r="I1285" s="60">
        <f>IF(AND(tblFleet[[#This Row],[Units]]&lt;&gt;"",tblFleet[[#This Row],[Calendar_h]]&gt;0),tblFleet[[#This Row],[Available_h]]/tblFleet[[#This Row],[Calendar_h]],"")</f>
        <v/>
      </c>
      <c r="J1285" s="60">
        <f>IF(AND(tblFleet[[#This Row],[Units]]&lt;&gt;"",tblFleet[[#This Row],[Available_h]]&gt;0),tblFleet[[#This Row],[Operating_h]]/tblFleet[[#This Row],[Available_h]],"")</f>
        <v/>
      </c>
    </row>
    <row r="1286">
      <c r="A1286" s="54" t="n"/>
      <c r="B1286" s="61" t="n"/>
      <c r="C1286" s="62" t="n"/>
      <c r="D1286" s="57" t="n"/>
      <c r="E1286" s="57" t="n"/>
      <c r="F1286" s="58" t="n"/>
      <c r="G1286" s="66">
        <f>IF(tblFleet[[#This Row],[Units]]="","",tblFleet[[#This Row],[Units]]*cfg_HoursPerDay)</f>
        <v/>
      </c>
      <c r="H1286" s="66">
        <f>IF(tblFleet[[#This Row],[Units]]="","",tblFleet[[#This Row],[Calendar_h]]-tblFleet[[#This Row],[Down_h]])</f>
        <v/>
      </c>
      <c r="I1286" s="60">
        <f>IF(AND(tblFleet[[#This Row],[Units]]&lt;&gt;"",tblFleet[[#This Row],[Calendar_h]]&gt;0),tblFleet[[#This Row],[Available_h]]/tblFleet[[#This Row],[Calendar_h]],"")</f>
        <v/>
      </c>
      <c r="J1286" s="60">
        <f>IF(AND(tblFleet[[#This Row],[Units]]&lt;&gt;"",tblFleet[[#This Row],[Available_h]]&gt;0),tblFleet[[#This Row],[Operating_h]]/tblFleet[[#This Row],[Available_h]],"")</f>
        <v/>
      </c>
    </row>
    <row r="1287">
      <c r="A1287" s="54" t="n"/>
      <c r="B1287" s="61" t="n"/>
      <c r="C1287" s="62" t="n"/>
      <c r="D1287" s="57" t="n"/>
      <c r="E1287" s="57" t="n"/>
      <c r="F1287" s="58" t="n"/>
      <c r="G1287" s="66">
        <f>IF(tblFleet[[#This Row],[Units]]="","",tblFleet[[#This Row],[Units]]*cfg_HoursPerDay)</f>
        <v/>
      </c>
      <c r="H1287" s="66">
        <f>IF(tblFleet[[#This Row],[Units]]="","",tblFleet[[#This Row],[Calendar_h]]-tblFleet[[#This Row],[Down_h]])</f>
        <v/>
      </c>
      <c r="I1287" s="60">
        <f>IF(AND(tblFleet[[#This Row],[Units]]&lt;&gt;"",tblFleet[[#This Row],[Calendar_h]]&gt;0),tblFleet[[#This Row],[Available_h]]/tblFleet[[#This Row],[Calendar_h]],"")</f>
        <v/>
      </c>
      <c r="J1287" s="60">
        <f>IF(AND(tblFleet[[#This Row],[Units]]&lt;&gt;"",tblFleet[[#This Row],[Available_h]]&gt;0),tblFleet[[#This Row],[Operating_h]]/tblFleet[[#This Row],[Available_h]],"")</f>
        <v/>
      </c>
    </row>
    <row r="1288">
      <c r="A1288" s="54" t="n"/>
      <c r="B1288" s="61" t="n"/>
      <c r="C1288" s="62" t="n"/>
      <c r="D1288" s="57" t="n"/>
      <c r="E1288" s="57" t="n"/>
      <c r="F1288" s="58" t="n"/>
      <c r="G1288" s="66">
        <f>IF(tblFleet[[#This Row],[Units]]="","",tblFleet[[#This Row],[Units]]*cfg_HoursPerDay)</f>
        <v/>
      </c>
      <c r="H1288" s="66">
        <f>IF(tblFleet[[#This Row],[Units]]="","",tblFleet[[#This Row],[Calendar_h]]-tblFleet[[#This Row],[Down_h]])</f>
        <v/>
      </c>
      <c r="I1288" s="60">
        <f>IF(AND(tblFleet[[#This Row],[Units]]&lt;&gt;"",tblFleet[[#This Row],[Calendar_h]]&gt;0),tblFleet[[#This Row],[Available_h]]/tblFleet[[#This Row],[Calendar_h]],"")</f>
        <v/>
      </c>
      <c r="J1288" s="60">
        <f>IF(AND(tblFleet[[#This Row],[Units]]&lt;&gt;"",tblFleet[[#This Row],[Available_h]]&gt;0),tblFleet[[#This Row],[Operating_h]]/tblFleet[[#This Row],[Available_h]],"")</f>
        <v/>
      </c>
    </row>
    <row r="1289">
      <c r="A1289" s="54" t="n"/>
      <c r="B1289" s="61" t="n"/>
      <c r="C1289" s="62" t="n"/>
      <c r="D1289" s="57" t="n"/>
      <c r="E1289" s="57" t="n"/>
      <c r="F1289" s="58" t="n"/>
      <c r="G1289" s="66">
        <f>IF(tblFleet[[#This Row],[Units]]="","",tblFleet[[#This Row],[Units]]*cfg_HoursPerDay)</f>
        <v/>
      </c>
      <c r="H1289" s="66">
        <f>IF(tblFleet[[#This Row],[Units]]="","",tblFleet[[#This Row],[Calendar_h]]-tblFleet[[#This Row],[Down_h]])</f>
        <v/>
      </c>
      <c r="I1289" s="60">
        <f>IF(AND(tblFleet[[#This Row],[Units]]&lt;&gt;"",tblFleet[[#This Row],[Calendar_h]]&gt;0),tblFleet[[#This Row],[Available_h]]/tblFleet[[#This Row],[Calendar_h]],"")</f>
        <v/>
      </c>
      <c r="J1289" s="60">
        <f>IF(AND(tblFleet[[#This Row],[Units]]&lt;&gt;"",tblFleet[[#This Row],[Available_h]]&gt;0),tblFleet[[#This Row],[Operating_h]]/tblFleet[[#This Row],[Available_h]],"")</f>
        <v/>
      </c>
    </row>
    <row r="1290">
      <c r="A1290" s="54" t="n"/>
      <c r="B1290" s="61" t="n"/>
      <c r="C1290" s="62" t="n"/>
      <c r="D1290" s="57" t="n"/>
      <c r="E1290" s="57" t="n"/>
      <c r="F1290" s="58" t="n"/>
      <c r="G1290" s="66">
        <f>IF(tblFleet[[#This Row],[Units]]="","",tblFleet[[#This Row],[Units]]*cfg_HoursPerDay)</f>
        <v/>
      </c>
      <c r="H1290" s="66">
        <f>IF(tblFleet[[#This Row],[Units]]="","",tblFleet[[#This Row],[Calendar_h]]-tblFleet[[#This Row],[Down_h]])</f>
        <v/>
      </c>
      <c r="I1290" s="60">
        <f>IF(AND(tblFleet[[#This Row],[Units]]&lt;&gt;"",tblFleet[[#This Row],[Calendar_h]]&gt;0),tblFleet[[#This Row],[Available_h]]/tblFleet[[#This Row],[Calendar_h]],"")</f>
        <v/>
      </c>
      <c r="J1290" s="60">
        <f>IF(AND(tblFleet[[#This Row],[Units]]&lt;&gt;"",tblFleet[[#This Row],[Available_h]]&gt;0),tblFleet[[#This Row],[Operating_h]]/tblFleet[[#This Row],[Available_h]],"")</f>
        <v/>
      </c>
    </row>
    <row r="1291">
      <c r="A1291" s="54" t="n"/>
      <c r="B1291" s="61" t="n"/>
      <c r="C1291" s="62" t="n"/>
      <c r="D1291" s="57" t="n"/>
      <c r="E1291" s="57" t="n"/>
      <c r="F1291" s="58" t="n"/>
      <c r="G1291" s="66">
        <f>IF(tblFleet[[#This Row],[Units]]="","",tblFleet[[#This Row],[Units]]*cfg_HoursPerDay)</f>
        <v/>
      </c>
      <c r="H1291" s="66">
        <f>IF(tblFleet[[#This Row],[Units]]="","",tblFleet[[#This Row],[Calendar_h]]-tblFleet[[#This Row],[Down_h]])</f>
        <v/>
      </c>
      <c r="I1291" s="60">
        <f>IF(AND(tblFleet[[#This Row],[Units]]&lt;&gt;"",tblFleet[[#This Row],[Calendar_h]]&gt;0),tblFleet[[#This Row],[Available_h]]/tblFleet[[#This Row],[Calendar_h]],"")</f>
        <v/>
      </c>
      <c r="J1291" s="60">
        <f>IF(AND(tblFleet[[#This Row],[Units]]&lt;&gt;"",tblFleet[[#This Row],[Available_h]]&gt;0),tblFleet[[#This Row],[Operating_h]]/tblFleet[[#This Row],[Available_h]],"")</f>
        <v/>
      </c>
    </row>
    <row r="1292">
      <c r="A1292" s="54" t="n"/>
      <c r="B1292" s="61" t="n"/>
      <c r="C1292" s="62" t="n"/>
      <c r="D1292" s="57" t="n"/>
      <c r="E1292" s="57" t="n"/>
      <c r="F1292" s="58" t="n"/>
      <c r="G1292" s="66">
        <f>IF(tblFleet[[#This Row],[Units]]="","",tblFleet[[#This Row],[Units]]*cfg_HoursPerDay)</f>
        <v/>
      </c>
      <c r="H1292" s="66">
        <f>IF(tblFleet[[#This Row],[Units]]="","",tblFleet[[#This Row],[Calendar_h]]-tblFleet[[#This Row],[Down_h]])</f>
        <v/>
      </c>
      <c r="I1292" s="60">
        <f>IF(AND(tblFleet[[#This Row],[Units]]&lt;&gt;"",tblFleet[[#This Row],[Calendar_h]]&gt;0),tblFleet[[#This Row],[Available_h]]/tblFleet[[#This Row],[Calendar_h]],"")</f>
        <v/>
      </c>
      <c r="J1292" s="60">
        <f>IF(AND(tblFleet[[#This Row],[Units]]&lt;&gt;"",tblFleet[[#This Row],[Available_h]]&gt;0),tblFleet[[#This Row],[Operating_h]]/tblFleet[[#This Row],[Available_h]],"")</f>
        <v/>
      </c>
    </row>
    <row r="1293">
      <c r="A1293" s="54" t="n"/>
      <c r="B1293" s="61" t="n"/>
      <c r="C1293" s="62" t="n"/>
      <c r="D1293" s="57" t="n"/>
      <c r="E1293" s="57" t="n"/>
      <c r="F1293" s="58" t="n"/>
      <c r="G1293" s="66">
        <f>IF(tblFleet[[#This Row],[Units]]="","",tblFleet[[#This Row],[Units]]*cfg_HoursPerDay)</f>
        <v/>
      </c>
      <c r="H1293" s="66">
        <f>IF(tblFleet[[#This Row],[Units]]="","",tblFleet[[#This Row],[Calendar_h]]-tblFleet[[#This Row],[Down_h]])</f>
        <v/>
      </c>
      <c r="I1293" s="60">
        <f>IF(AND(tblFleet[[#This Row],[Units]]&lt;&gt;"",tblFleet[[#This Row],[Calendar_h]]&gt;0),tblFleet[[#This Row],[Available_h]]/tblFleet[[#This Row],[Calendar_h]],"")</f>
        <v/>
      </c>
      <c r="J1293" s="60">
        <f>IF(AND(tblFleet[[#This Row],[Units]]&lt;&gt;"",tblFleet[[#This Row],[Available_h]]&gt;0),tblFleet[[#This Row],[Operating_h]]/tblFleet[[#This Row],[Available_h]],"")</f>
        <v/>
      </c>
    </row>
    <row r="1294">
      <c r="A1294" s="54" t="n"/>
      <c r="B1294" s="61" t="n"/>
      <c r="C1294" s="62" t="n"/>
      <c r="D1294" s="57" t="n"/>
      <c r="E1294" s="57" t="n"/>
      <c r="F1294" s="58" t="n"/>
      <c r="G1294" s="66">
        <f>IF(tblFleet[[#This Row],[Units]]="","",tblFleet[[#This Row],[Units]]*cfg_HoursPerDay)</f>
        <v/>
      </c>
      <c r="H1294" s="66">
        <f>IF(tblFleet[[#This Row],[Units]]="","",tblFleet[[#This Row],[Calendar_h]]-tblFleet[[#This Row],[Down_h]])</f>
        <v/>
      </c>
      <c r="I1294" s="60">
        <f>IF(AND(tblFleet[[#This Row],[Units]]&lt;&gt;"",tblFleet[[#This Row],[Calendar_h]]&gt;0),tblFleet[[#This Row],[Available_h]]/tblFleet[[#This Row],[Calendar_h]],"")</f>
        <v/>
      </c>
      <c r="J1294" s="60">
        <f>IF(AND(tblFleet[[#This Row],[Units]]&lt;&gt;"",tblFleet[[#This Row],[Available_h]]&gt;0),tblFleet[[#This Row],[Operating_h]]/tblFleet[[#This Row],[Available_h]],"")</f>
        <v/>
      </c>
    </row>
    <row r="1295">
      <c r="A1295" s="54" t="n"/>
      <c r="B1295" s="61" t="n"/>
      <c r="C1295" s="62" t="n"/>
      <c r="D1295" s="57" t="n"/>
      <c r="E1295" s="57" t="n"/>
      <c r="F1295" s="58" t="n"/>
      <c r="G1295" s="66">
        <f>IF(tblFleet[[#This Row],[Units]]="","",tblFleet[[#This Row],[Units]]*cfg_HoursPerDay)</f>
        <v/>
      </c>
      <c r="H1295" s="66">
        <f>IF(tblFleet[[#This Row],[Units]]="","",tblFleet[[#This Row],[Calendar_h]]-tblFleet[[#This Row],[Down_h]])</f>
        <v/>
      </c>
      <c r="I1295" s="60">
        <f>IF(AND(tblFleet[[#This Row],[Units]]&lt;&gt;"",tblFleet[[#This Row],[Calendar_h]]&gt;0),tblFleet[[#This Row],[Available_h]]/tblFleet[[#This Row],[Calendar_h]],"")</f>
        <v/>
      </c>
      <c r="J1295" s="60">
        <f>IF(AND(tblFleet[[#This Row],[Units]]&lt;&gt;"",tblFleet[[#This Row],[Available_h]]&gt;0),tblFleet[[#This Row],[Operating_h]]/tblFleet[[#This Row],[Available_h]],"")</f>
        <v/>
      </c>
    </row>
    <row r="1296">
      <c r="A1296" s="54" t="n"/>
      <c r="B1296" s="61" t="n"/>
      <c r="C1296" s="62" t="n"/>
      <c r="D1296" s="57" t="n"/>
      <c r="E1296" s="57" t="n"/>
      <c r="F1296" s="58" t="n"/>
      <c r="G1296" s="66">
        <f>IF(tblFleet[[#This Row],[Units]]="","",tblFleet[[#This Row],[Units]]*cfg_HoursPerDay)</f>
        <v/>
      </c>
      <c r="H1296" s="66">
        <f>IF(tblFleet[[#This Row],[Units]]="","",tblFleet[[#This Row],[Calendar_h]]-tblFleet[[#This Row],[Down_h]])</f>
        <v/>
      </c>
      <c r="I1296" s="60">
        <f>IF(AND(tblFleet[[#This Row],[Units]]&lt;&gt;"",tblFleet[[#This Row],[Calendar_h]]&gt;0),tblFleet[[#This Row],[Available_h]]/tblFleet[[#This Row],[Calendar_h]],"")</f>
        <v/>
      </c>
      <c r="J1296" s="60">
        <f>IF(AND(tblFleet[[#This Row],[Units]]&lt;&gt;"",tblFleet[[#This Row],[Available_h]]&gt;0),tblFleet[[#This Row],[Operating_h]]/tblFleet[[#This Row],[Available_h]],"")</f>
        <v/>
      </c>
    </row>
    <row r="1297">
      <c r="A1297" s="54" t="n"/>
      <c r="B1297" s="61" t="n"/>
      <c r="C1297" s="62" t="n"/>
      <c r="D1297" s="57" t="n"/>
      <c r="E1297" s="57" t="n"/>
      <c r="F1297" s="58" t="n"/>
      <c r="G1297" s="66">
        <f>IF(tblFleet[[#This Row],[Units]]="","",tblFleet[[#This Row],[Units]]*cfg_HoursPerDay)</f>
        <v/>
      </c>
      <c r="H1297" s="66">
        <f>IF(tblFleet[[#This Row],[Units]]="","",tblFleet[[#This Row],[Calendar_h]]-tblFleet[[#This Row],[Down_h]])</f>
        <v/>
      </c>
      <c r="I1297" s="60">
        <f>IF(AND(tblFleet[[#This Row],[Units]]&lt;&gt;"",tblFleet[[#This Row],[Calendar_h]]&gt;0),tblFleet[[#This Row],[Available_h]]/tblFleet[[#This Row],[Calendar_h]],"")</f>
        <v/>
      </c>
      <c r="J1297" s="60">
        <f>IF(AND(tblFleet[[#This Row],[Units]]&lt;&gt;"",tblFleet[[#This Row],[Available_h]]&gt;0),tblFleet[[#This Row],[Operating_h]]/tblFleet[[#This Row],[Available_h]],"")</f>
        <v/>
      </c>
    </row>
    <row r="1298">
      <c r="A1298" s="54" t="n"/>
      <c r="B1298" s="61" t="n"/>
      <c r="C1298" s="62" t="n"/>
      <c r="D1298" s="57" t="n"/>
      <c r="E1298" s="57" t="n"/>
      <c r="F1298" s="58" t="n"/>
      <c r="G1298" s="66">
        <f>IF(tblFleet[[#This Row],[Units]]="","",tblFleet[[#This Row],[Units]]*cfg_HoursPerDay)</f>
        <v/>
      </c>
      <c r="H1298" s="66">
        <f>IF(tblFleet[[#This Row],[Units]]="","",tblFleet[[#This Row],[Calendar_h]]-tblFleet[[#This Row],[Down_h]])</f>
        <v/>
      </c>
      <c r="I1298" s="60">
        <f>IF(AND(tblFleet[[#This Row],[Units]]&lt;&gt;"",tblFleet[[#This Row],[Calendar_h]]&gt;0),tblFleet[[#This Row],[Available_h]]/tblFleet[[#This Row],[Calendar_h]],"")</f>
        <v/>
      </c>
      <c r="J1298" s="60">
        <f>IF(AND(tblFleet[[#This Row],[Units]]&lt;&gt;"",tblFleet[[#This Row],[Available_h]]&gt;0),tblFleet[[#This Row],[Operating_h]]/tblFleet[[#This Row],[Available_h]],"")</f>
        <v/>
      </c>
    </row>
    <row r="1299">
      <c r="A1299" s="54" t="n"/>
      <c r="B1299" s="61" t="n"/>
      <c r="C1299" s="62" t="n"/>
      <c r="D1299" s="57" t="n"/>
      <c r="E1299" s="57" t="n"/>
      <c r="F1299" s="58" t="n"/>
      <c r="G1299" s="66">
        <f>IF(tblFleet[[#This Row],[Units]]="","",tblFleet[[#This Row],[Units]]*cfg_HoursPerDay)</f>
        <v/>
      </c>
      <c r="H1299" s="66">
        <f>IF(tblFleet[[#This Row],[Units]]="","",tblFleet[[#This Row],[Calendar_h]]-tblFleet[[#This Row],[Down_h]])</f>
        <v/>
      </c>
      <c r="I1299" s="60">
        <f>IF(AND(tblFleet[[#This Row],[Units]]&lt;&gt;"",tblFleet[[#This Row],[Calendar_h]]&gt;0),tblFleet[[#This Row],[Available_h]]/tblFleet[[#This Row],[Calendar_h]],"")</f>
        <v/>
      </c>
      <c r="J1299" s="60">
        <f>IF(AND(tblFleet[[#This Row],[Units]]&lt;&gt;"",tblFleet[[#This Row],[Available_h]]&gt;0),tblFleet[[#This Row],[Operating_h]]/tblFleet[[#This Row],[Available_h]],"")</f>
        <v/>
      </c>
    </row>
    <row r="1300">
      <c r="A1300" s="54" t="n"/>
      <c r="B1300" s="61" t="n"/>
      <c r="C1300" s="62" t="n"/>
      <c r="D1300" s="57" t="n"/>
      <c r="E1300" s="57" t="n"/>
      <c r="F1300" s="58" t="n"/>
      <c r="G1300" s="66">
        <f>IF(tblFleet[[#This Row],[Units]]="","",tblFleet[[#This Row],[Units]]*cfg_HoursPerDay)</f>
        <v/>
      </c>
      <c r="H1300" s="66">
        <f>IF(tblFleet[[#This Row],[Units]]="","",tblFleet[[#This Row],[Calendar_h]]-tblFleet[[#This Row],[Down_h]])</f>
        <v/>
      </c>
      <c r="I1300" s="60">
        <f>IF(AND(tblFleet[[#This Row],[Units]]&lt;&gt;"",tblFleet[[#This Row],[Calendar_h]]&gt;0),tblFleet[[#This Row],[Available_h]]/tblFleet[[#This Row],[Calendar_h]],"")</f>
        <v/>
      </c>
      <c r="J1300" s="60">
        <f>IF(AND(tblFleet[[#This Row],[Units]]&lt;&gt;"",tblFleet[[#This Row],[Available_h]]&gt;0),tblFleet[[#This Row],[Operating_h]]/tblFleet[[#This Row],[Available_h]],"")</f>
        <v/>
      </c>
    </row>
    <row r="1301">
      <c r="A1301" s="54" t="n"/>
      <c r="B1301" s="61" t="n"/>
      <c r="C1301" s="62" t="n"/>
      <c r="D1301" s="57" t="n"/>
      <c r="E1301" s="57" t="n"/>
      <c r="F1301" s="58" t="n"/>
      <c r="G1301" s="66">
        <f>IF(tblFleet[[#This Row],[Units]]="","",tblFleet[[#This Row],[Units]]*cfg_HoursPerDay)</f>
        <v/>
      </c>
      <c r="H1301" s="66">
        <f>IF(tblFleet[[#This Row],[Units]]="","",tblFleet[[#This Row],[Calendar_h]]-tblFleet[[#This Row],[Down_h]])</f>
        <v/>
      </c>
      <c r="I1301" s="60">
        <f>IF(AND(tblFleet[[#This Row],[Units]]&lt;&gt;"",tblFleet[[#This Row],[Calendar_h]]&gt;0),tblFleet[[#This Row],[Available_h]]/tblFleet[[#This Row],[Calendar_h]],"")</f>
        <v/>
      </c>
      <c r="J1301" s="60">
        <f>IF(AND(tblFleet[[#This Row],[Units]]&lt;&gt;"",tblFleet[[#This Row],[Available_h]]&gt;0),tblFleet[[#This Row],[Operating_h]]/tblFleet[[#This Row],[Available_h]],"")</f>
        <v/>
      </c>
    </row>
    <row r="1302">
      <c r="A1302" s="54" t="n"/>
      <c r="B1302" s="61" t="n"/>
      <c r="C1302" s="62" t="n"/>
      <c r="D1302" s="57" t="n"/>
      <c r="E1302" s="57" t="n"/>
      <c r="F1302" s="58" t="n"/>
      <c r="G1302" s="66">
        <f>IF(tblFleet[[#This Row],[Units]]="","",tblFleet[[#This Row],[Units]]*cfg_HoursPerDay)</f>
        <v/>
      </c>
      <c r="H1302" s="66">
        <f>IF(tblFleet[[#This Row],[Units]]="","",tblFleet[[#This Row],[Calendar_h]]-tblFleet[[#This Row],[Down_h]])</f>
        <v/>
      </c>
      <c r="I1302" s="60">
        <f>IF(AND(tblFleet[[#This Row],[Units]]&lt;&gt;"",tblFleet[[#This Row],[Calendar_h]]&gt;0),tblFleet[[#This Row],[Available_h]]/tblFleet[[#This Row],[Calendar_h]],"")</f>
        <v/>
      </c>
      <c r="J1302" s="60">
        <f>IF(AND(tblFleet[[#This Row],[Units]]&lt;&gt;"",tblFleet[[#This Row],[Available_h]]&gt;0),tblFleet[[#This Row],[Operating_h]]/tblFleet[[#This Row],[Available_h]],"")</f>
        <v/>
      </c>
    </row>
    <row r="1303">
      <c r="A1303" s="54" t="n"/>
      <c r="B1303" s="61" t="n"/>
      <c r="C1303" s="62" t="n"/>
      <c r="D1303" s="57" t="n"/>
      <c r="E1303" s="57" t="n"/>
      <c r="F1303" s="58" t="n"/>
      <c r="G1303" s="66">
        <f>IF(tblFleet[[#This Row],[Units]]="","",tblFleet[[#This Row],[Units]]*cfg_HoursPerDay)</f>
        <v/>
      </c>
      <c r="H1303" s="66">
        <f>IF(tblFleet[[#This Row],[Units]]="","",tblFleet[[#This Row],[Calendar_h]]-tblFleet[[#This Row],[Down_h]])</f>
        <v/>
      </c>
      <c r="I1303" s="60">
        <f>IF(AND(tblFleet[[#This Row],[Units]]&lt;&gt;"",tblFleet[[#This Row],[Calendar_h]]&gt;0),tblFleet[[#This Row],[Available_h]]/tblFleet[[#This Row],[Calendar_h]],"")</f>
        <v/>
      </c>
      <c r="J1303" s="60">
        <f>IF(AND(tblFleet[[#This Row],[Units]]&lt;&gt;"",tblFleet[[#This Row],[Available_h]]&gt;0),tblFleet[[#This Row],[Operating_h]]/tblFleet[[#This Row],[Available_h]],"")</f>
        <v/>
      </c>
    </row>
    <row r="1304">
      <c r="A1304" s="54" t="n"/>
      <c r="B1304" s="61" t="n"/>
      <c r="C1304" s="62" t="n"/>
      <c r="D1304" s="57" t="n"/>
      <c r="E1304" s="57" t="n"/>
      <c r="F1304" s="58" t="n"/>
      <c r="G1304" s="66">
        <f>IF(tblFleet[[#This Row],[Units]]="","",tblFleet[[#This Row],[Units]]*cfg_HoursPerDay)</f>
        <v/>
      </c>
      <c r="H1304" s="66">
        <f>IF(tblFleet[[#This Row],[Units]]="","",tblFleet[[#This Row],[Calendar_h]]-tblFleet[[#This Row],[Down_h]])</f>
        <v/>
      </c>
      <c r="I1304" s="60">
        <f>IF(AND(tblFleet[[#This Row],[Units]]&lt;&gt;"",tblFleet[[#This Row],[Calendar_h]]&gt;0),tblFleet[[#This Row],[Available_h]]/tblFleet[[#This Row],[Calendar_h]],"")</f>
        <v/>
      </c>
      <c r="J1304" s="60">
        <f>IF(AND(tblFleet[[#This Row],[Units]]&lt;&gt;"",tblFleet[[#This Row],[Available_h]]&gt;0),tblFleet[[#This Row],[Operating_h]]/tblFleet[[#This Row],[Available_h]],"")</f>
        <v/>
      </c>
    </row>
    <row r="1305">
      <c r="A1305" s="54" t="n"/>
      <c r="B1305" s="61" t="n"/>
      <c r="C1305" s="62" t="n"/>
      <c r="D1305" s="57" t="n"/>
      <c r="E1305" s="57" t="n"/>
      <c r="F1305" s="58" t="n"/>
      <c r="G1305" s="66">
        <f>IF(tblFleet[[#This Row],[Units]]="","",tblFleet[[#This Row],[Units]]*cfg_HoursPerDay)</f>
        <v/>
      </c>
      <c r="H1305" s="66">
        <f>IF(tblFleet[[#This Row],[Units]]="","",tblFleet[[#This Row],[Calendar_h]]-tblFleet[[#This Row],[Down_h]])</f>
        <v/>
      </c>
      <c r="I1305" s="60">
        <f>IF(AND(tblFleet[[#This Row],[Units]]&lt;&gt;"",tblFleet[[#This Row],[Calendar_h]]&gt;0),tblFleet[[#This Row],[Available_h]]/tblFleet[[#This Row],[Calendar_h]],"")</f>
        <v/>
      </c>
      <c r="J1305" s="60">
        <f>IF(AND(tblFleet[[#This Row],[Units]]&lt;&gt;"",tblFleet[[#This Row],[Available_h]]&gt;0),tblFleet[[#This Row],[Operating_h]]/tblFleet[[#This Row],[Available_h]],"")</f>
        <v/>
      </c>
    </row>
    <row r="1306">
      <c r="A1306" s="54" t="n"/>
      <c r="B1306" s="61" t="n"/>
      <c r="C1306" s="62" t="n"/>
      <c r="D1306" s="57" t="n"/>
      <c r="E1306" s="57" t="n"/>
      <c r="F1306" s="58" t="n"/>
      <c r="G1306" s="66">
        <f>IF(tblFleet[[#This Row],[Units]]="","",tblFleet[[#This Row],[Units]]*cfg_HoursPerDay)</f>
        <v/>
      </c>
      <c r="H1306" s="66">
        <f>IF(tblFleet[[#This Row],[Units]]="","",tblFleet[[#This Row],[Calendar_h]]-tblFleet[[#This Row],[Down_h]])</f>
        <v/>
      </c>
      <c r="I1306" s="60">
        <f>IF(AND(tblFleet[[#This Row],[Units]]&lt;&gt;"",tblFleet[[#This Row],[Calendar_h]]&gt;0),tblFleet[[#This Row],[Available_h]]/tblFleet[[#This Row],[Calendar_h]],"")</f>
        <v/>
      </c>
      <c r="J1306" s="60">
        <f>IF(AND(tblFleet[[#This Row],[Units]]&lt;&gt;"",tblFleet[[#This Row],[Available_h]]&gt;0),tblFleet[[#This Row],[Operating_h]]/tblFleet[[#This Row],[Available_h]],"")</f>
        <v/>
      </c>
    </row>
    <row r="1307">
      <c r="A1307" s="54" t="n"/>
      <c r="B1307" s="61" t="n"/>
      <c r="C1307" s="62" t="n"/>
      <c r="D1307" s="57" t="n"/>
      <c r="E1307" s="57" t="n"/>
      <c r="F1307" s="58" t="n"/>
      <c r="G1307" s="66">
        <f>IF(tblFleet[[#This Row],[Units]]="","",tblFleet[[#This Row],[Units]]*cfg_HoursPerDay)</f>
        <v/>
      </c>
      <c r="H1307" s="66">
        <f>IF(tblFleet[[#This Row],[Units]]="","",tblFleet[[#This Row],[Calendar_h]]-tblFleet[[#This Row],[Down_h]])</f>
        <v/>
      </c>
      <c r="I1307" s="60">
        <f>IF(AND(tblFleet[[#This Row],[Units]]&lt;&gt;"",tblFleet[[#This Row],[Calendar_h]]&gt;0),tblFleet[[#This Row],[Available_h]]/tblFleet[[#This Row],[Calendar_h]],"")</f>
        <v/>
      </c>
      <c r="J1307" s="60">
        <f>IF(AND(tblFleet[[#This Row],[Units]]&lt;&gt;"",tblFleet[[#This Row],[Available_h]]&gt;0),tblFleet[[#This Row],[Operating_h]]/tblFleet[[#This Row],[Available_h]],"")</f>
        <v/>
      </c>
    </row>
    <row r="1308">
      <c r="A1308" s="54" t="n"/>
      <c r="B1308" s="61" t="n"/>
      <c r="C1308" s="62" t="n"/>
      <c r="D1308" s="57" t="n"/>
      <c r="E1308" s="57" t="n"/>
      <c r="F1308" s="58" t="n"/>
      <c r="G1308" s="66">
        <f>IF(tblFleet[[#This Row],[Units]]="","",tblFleet[[#This Row],[Units]]*cfg_HoursPerDay)</f>
        <v/>
      </c>
      <c r="H1308" s="66">
        <f>IF(tblFleet[[#This Row],[Units]]="","",tblFleet[[#This Row],[Calendar_h]]-tblFleet[[#This Row],[Down_h]])</f>
        <v/>
      </c>
      <c r="I1308" s="60">
        <f>IF(AND(tblFleet[[#This Row],[Units]]&lt;&gt;"",tblFleet[[#This Row],[Calendar_h]]&gt;0),tblFleet[[#This Row],[Available_h]]/tblFleet[[#This Row],[Calendar_h]],"")</f>
        <v/>
      </c>
      <c r="J1308" s="60">
        <f>IF(AND(tblFleet[[#This Row],[Units]]&lt;&gt;"",tblFleet[[#This Row],[Available_h]]&gt;0),tblFleet[[#This Row],[Operating_h]]/tblFleet[[#This Row],[Available_h]],"")</f>
        <v/>
      </c>
    </row>
    <row r="1309">
      <c r="A1309" s="54" t="n"/>
      <c r="B1309" s="61" t="n"/>
      <c r="C1309" s="62" t="n"/>
      <c r="D1309" s="57" t="n"/>
      <c r="E1309" s="57" t="n"/>
      <c r="F1309" s="58" t="n"/>
      <c r="G1309" s="66">
        <f>IF(tblFleet[[#This Row],[Units]]="","",tblFleet[[#This Row],[Units]]*cfg_HoursPerDay)</f>
        <v/>
      </c>
      <c r="H1309" s="66">
        <f>IF(tblFleet[[#This Row],[Units]]="","",tblFleet[[#This Row],[Calendar_h]]-tblFleet[[#This Row],[Down_h]])</f>
        <v/>
      </c>
      <c r="I1309" s="60">
        <f>IF(AND(tblFleet[[#This Row],[Units]]&lt;&gt;"",tblFleet[[#This Row],[Calendar_h]]&gt;0),tblFleet[[#This Row],[Available_h]]/tblFleet[[#This Row],[Calendar_h]],"")</f>
        <v/>
      </c>
      <c r="J1309" s="60">
        <f>IF(AND(tblFleet[[#This Row],[Units]]&lt;&gt;"",tblFleet[[#This Row],[Available_h]]&gt;0),tblFleet[[#This Row],[Operating_h]]/tblFleet[[#This Row],[Available_h]],"")</f>
        <v/>
      </c>
    </row>
    <row r="1310">
      <c r="A1310" s="54" t="n"/>
      <c r="B1310" s="61" t="n"/>
      <c r="C1310" s="62" t="n"/>
      <c r="D1310" s="57" t="n"/>
      <c r="E1310" s="57" t="n"/>
      <c r="F1310" s="58" t="n"/>
      <c r="G1310" s="66">
        <f>IF(tblFleet[[#This Row],[Units]]="","",tblFleet[[#This Row],[Units]]*cfg_HoursPerDay)</f>
        <v/>
      </c>
      <c r="H1310" s="66">
        <f>IF(tblFleet[[#This Row],[Units]]="","",tblFleet[[#This Row],[Calendar_h]]-tblFleet[[#This Row],[Down_h]])</f>
        <v/>
      </c>
      <c r="I1310" s="60">
        <f>IF(AND(tblFleet[[#This Row],[Units]]&lt;&gt;"",tblFleet[[#This Row],[Calendar_h]]&gt;0),tblFleet[[#This Row],[Available_h]]/tblFleet[[#This Row],[Calendar_h]],"")</f>
        <v/>
      </c>
      <c r="J1310" s="60">
        <f>IF(AND(tblFleet[[#This Row],[Units]]&lt;&gt;"",tblFleet[[#This Row],[Available_h]]&gt;0),tblFleet[[#This Row],[Operating_h]]/tblFleet[[#This Row],[Available_h]],"")</f>
        <v/>
      </c>
    </row>
    <row r="1311">
      <c r="A1311" s="54" t="n"/>
      <c r="B1311" s="61" t="n"/>
      <c r="C1311" s="62" t="n"/>
      <c r="D1311" s="57" t="n"/>
      <c r="E1311" s="57" t="n"/>
      <c r="F1311" s="58" t="n"/>
      <c r="G1311" s="66">
        <f>IF(tblFleet[[#This Row],[Units]]="","",tblFleet[[#This Row],[Units]]*cfg_HoursPerDay)</f>
        <v/>
      </c>
      <c r="H1311" s="66">
        <f>IF(tblFleet[[#This Row],[Units]]="","",tblFleet[[#This Row],[Calendar_h]]-tblFleet[[#This Row],[Down_h]])</f>
        <v/>
      </c>
      <c r="I1311" s="60">
        <f>IF(AND(tblFleet[[#This Row],[Units]]&lt;&gt;"",tblFleet[[#This Row],[Calendar_h]]&gt;0),tblFleet[[#This Row],[Available_h]]/tblFleet[[#This Row],[Calendar_h]],"")</f>
        <v/>
      </c>
      <c r="J1311" s="60">
        <f>IF(AND(tblFleet[[#This Row],[Units]]&lt;&gt;"",tblFleet[[#This Row],[Available_h]]&gt;0),tblFleet[[#This Row],[Operating_h]]/tblFleet[[#This Row],[Available_h]],"")</f>
        <v/>
      </c>
    </row>
    <row r="1312">
      <c r="A1312" s="54" t="n"/>
      <c r="B1312" s="61" t="n"/>
      <c r="C1312" s="62" t="n"/>
      <c r="D1312" s="57" t="n"/>
      <c r="E1312" s="57" t="n"/>
      <c r="F1312" s="58" t="n"/>
      <c r="G1312" s="66">
        <f>IF(tblFleet[[#This Row],[Units]]="","",tblFleet[[#This Row],[Units]]*cfg_HoursPerDay)</f>
        <v/>
      </c>
      <c r="H1312" s="66">
        <f>IF(tblFleet[[#This Row],[Units]]="","",tblFleet[[#This Row],[Calendar_h]]-tblFleet[[#This Row],[Down_h]])</f>
        <v/>
      </c>
      <c r="I1312" s="60">
        <f>IF(AND(tblFleet[[#This Row],[Units]]&lt;&gt;"",tblFleet[[#This Row],[Calendar_h]]&gt;0),tblFleet[[#This Row],[Available_h]]/tblFleet[[#This Row],[Calendar_h]],"")</f>
        <v/>
      </c>
      <c r="J1312" s="60">
        <f>IF(AND(tblFleet[[#This Row],[Units]]&lt;&gt;"",tblFleet[[#This Row],[Available_h]]&gt;0),tblFleet[[#This Row],[Operating_h]]/tblFleet[[#This Row],[Available_h]],"")</f>
        <v/>
      </c>
    </row>
    <row r="1313">
      <c r="A1313" s="54" t="n"/>
      <c r="B1313" s="61" t="n"/>
      <c r="C1313" s="62" t="n"/>
      <c r="D1313" s="57" t="n"/>
      <c r="E1313" s="57" t="n"/>
      <c r="F1313" s="58" t="n"/>
      <c r="G1313" s="66">
        <f>IF(tblFleet[[#This Row],[Units]]="","",tblFleet[[#This Row],[Units]]*cfg_HoursPerDay)</f>
        <v/>
      </c>
      <c r="H1313" s="66">
        <f>IF(tblFleet[[#This Row],[Units]]="","",tblFleet[[#This Row],[Calendar_h]]-tblFleet[[#This Row],[Down_h]])</f>
        <v/>
      </c>
      <c r="I1313" s="60">
        <f>IF(AND(tblFleet[[#This Row],[Units]]&lt;&gt;"",tblFleet[[#This Row],[Calendar_h]]&gt;0),tblFleet[[#This Row],[Available_h]]/tblFleet[[#This Row],[Calendar_h]],"")</f>
        <v/>
      </c>
      <c r="J1313" s="60">
        <f>IF(AND(tblFleet[[#This Row],[Units]]&lt;&gt;"",tblFleet[[#This Row],[Available_h]]&gt;0),tblFleet[[#This Row],[Operating_h]]/tblFleet[[#This Row],[Available_h]],"")</f>
        <v/>
      </c>
    </row>
    <row r="1314">
      <c r="A1314" s="54" t="n"/>
      <c r="B1314" s="61" t="n"/>
      <c r="C1314" s="62" t="n"/>
      <c r="D1314" s="57" t="n"/>
      <c r="E1314" s="57" t="n"/>
      <c r="F1314" s="58" t="n"/>
      <c r="G1314" s="66">
        <f>IF(tblFleet[[#This Row],[Units]]="","",tblFleet[[#This Row],[Units]]*cfg_HoursPerDay)</f>
        <v/>
      </c>
      <c r="H1314" s="66">
        <f>IF(tblFleet[[#This Row],[Units]]="","",tblFleet[[#This Row],[Calendar_h]]-tblFleet[[#This Row],[Down_h]])</f>
        <v/>
      </c>
      <c r="I1314" s="60">
        <f>IF(AND(tblFleet[[#This Row],[Units]]&lt;&gt;"",tblFleet[[#This Row],[Calendar_h]]&gt;0),tblFleet[[#This Row],[Available_h]]/tblFleet[[#This Row],[Calendar_h]],"")</f>
        <v/>
      </c>
      <c r="J1314" s="60">
        <f>IF(AND(tblFleet[[#This Row],[Units]]&lt;&gt;"",tblFleet[[#This Row],[Available_h]]&gt;0),tblFleet[[#This Row],[Operating_h]]/tblFleet[[#This Row],[Available_h]],"")</f>
        <v/>
      </c>
    </row>
    <row r="1315">
      <c r="A1315" s="54" t="n"/>
      <c r="B1315" s="61" t="n"/>
      <c r="C1315" s="62" t="n"/>
      <c r="D1315" s="57" t="n"/>
      <c r="E1315" s="57" t="n"/>
      <c r="F1315" s="58" t="n"/>
      <c r="G1315" s="66">
        <f>IF(tblFleet[[#This Row],[Units]]="","",tblFleet[[#This Row],[Units]]*cfg_HoursPerDay)</f>
        <v/>
      </c>
      <c r="H1315" s="66">
        <f>IF(tblFleet[[#This Row],[Units]]="","",tblFleet[[#This Row],[Calendar_h]]-tblFleet[[#This Row],[Down_h]])</f>
        <v/>
      </c>
      <c r="I1315" s="60">
        <f>IF(AND(tblFleet[[#This Row],[Units]]&lt;&gt;"",tblFleet[[#This Row],[Calendar_h]]&gt;0),tblFleet[[#This Row],[Available_h]]/tblFleet[[#This Row],[Calendar_h]],"")</f>
        <v/>
      </c>
      <c r="J1315" s="60">
        <f>IF(AND(tblFleet[[#This Row],[Units]]&lt;&gt;"",tblFleet[[#This Row],[Available_h]]&gt;0),tblFleet[[#This Row],[Operating_h]]/tblFleet[[#This Row],[Available_h]],"")</f>
        <v/>
      </c>
    </row>
    <row r="1316">
      <c r="A1316" s="54" t="n"/>
      <c r="B1316" s="61" t="n"/>
      <c r="C1316" s="62" t="n"/>
      <c r="D1316" s="57" t="n"/>
      <c r="E1316" s="57" t="n"/>
      <c r="F1316" s="58" t="n"/>
      <c r="G1316" s="66">
        <f>IF(tblFleet[[#This Row],[Units]]="","",tblFleet[[#This Row],[Units]]*cfg_HoursPerDay)</f>
        <v/>
      </c>
      <c r="H1316" s="66">
        <f>IF(tblFleet[[#This Row],[Units]]="","",tblFleet[[#This Row],[Calendar_h]]-tblFleet[[#This Row],[Down_h]])</f>
        <v/>
      </c>
      <c r="I1316" s="60">
        <f>IF(AND(tblFleet[[#This Row],[Units]]&lt;&gt;"",tblFleet[[#This Row],[Calendar_h]]&gt;0),tblFleet[[#This Row],[Available_h]]/tblFleet[[#This Row],[Calendar_h]],"")</f>
        <v/>
      </c>
      <c r="J1316" s="60">
        <f>IF(AND(tblFleet[[#This Row],[Units]]&lt;&gt;"",tblFleet[[#This Row],[Available_h]]&gt;0),tblFleet[[#This Row],[Operating_h]]/tblFleet[[#This Row],[Available_h]],"")</f>
        <v/>
      </c>
    </row>
    <row r="1317">
      <c r="A1317" s="54" t="n"/>
      <c r="B1317" s="61" t="n"/>
      <c r="C1317" s="62" t="n"/>
      <c r="D1317" s="57" t="n"/>
      <c r="E1317" s="57" t="n"/>
      <c r="F1317" s="58" t="n"/>
      <c r="G1317" s="66">
        <f>IF(tblFleet[[#This Row],[Units]]="","",tblFleet[[#This Row],[Units]]*cfg_HoursPerDay)</f>
        <v/>
      </c>
      <c r="H1317" s="66">
        <f>IF(tblFleet[[#This Row],[Units]]="","",tblFleet[[#This Row],[Calendar_h]]-tblFleet[[#This Row],[Down_h]])</f>
        <v/>
      </c>
      <c r="I1317" s="60">
        <f>IF(AND(tblFleet[[#This Row],[Units]]&lt;&gt;"",tblFleet[[#This Row],[Calendar_h]]&gt;0),tblFleet[[#This Row],[Available_h]]/tblFleet[[#This Row],[Calendar_h]],"")</f>
        <v/>
      </c>
      <c r="J1317" s="60">
        <f>IF(AND(tblFleet[[#This Row],[Units]]&lt;&gt;"",tblFleet[[#This Row],[Available_h]]&gt;0),tblFleet[[#This Row],[Operating_h]]/tblFleet[[#This Row],[Available_h]],"")</f>
        <v/>
      </c>
    </row>
    <row r="1318">
      <c r="A1318" s="54" t="n"/>
      <c r="B1318" s="61" t="n"/>
      <c r="C1318" s="62" t="n"/>
      <c r="D1318" s="57" t="n"/>
      <c r="E1318" s="57" t="n"/>
      <c r="F1318" s="58" t="n"/>
      <c r="G1318" s="66">
        <f>IF(tblFleet[[#This Row],[Units]]="","",tblFleet[[#This Row],[Units]]*cfg_HoursPerDay)</f>
        <v/>
      </c>
      <c r="H1318" s="66">
        <f>IF(tblFleet[[#This Row],[Units]]="","",tblFleet[[#This Row],[Calendar_h]]-tblFleet[[#This Row],[Down_h]])</f>
        <v/>
      </c>
      <c r="I1318" s="60">
        <f>IF(AND(tblFleet[[#This Row],[Units]]&lt;&gt;"",tblFleet[[#This Row],[Calendar_h]]&gt;0),tblFleet[[#This Row],[Available_h]]/tblFleet[[#This Row],[Calendar_h]],"")</f>
        <v/>
      </c>
      <c r="J1318" s="60">
        <f>IF(AND(tblFleet[[#This Row],[Units]]&lt;&gt;"",tblFleet[[#This Row],[Available_h]]&gt;0),tblFleet[[#This Row],[Operating_h]]/tblFleet[[#This Row],[Available_h]],"")</f>
        <v/>
      </c>
    </row>
    <row r="1319">
      <c r="A1319" s="54" t="n"/>
      <c r="B1319" s="61" t="n"/>
      <c r="C1319" s="62" t="n"/>
      <c r="D1319" s="57" t="n"/>
      <c r="E1319" s="57" t="n"/>
      <c r="F1319" s="58" t="n"/>
      <c r="G1319" s="66">
        <f>IF(tblFleet[[#This Row],[Units]]="","",tblFleet[[#This Row],[Units]]*cfg_HoursPerDay)</f>
        <v/>
      </c>
      <c r="H1319" s="66">
        <f>IF(tblFleet[[#This Row],[Units]]="","",tblFleet[[#This Row],[Calendar_h]]-tblFleet[[#This Row],[Down_h]])</f>
        <v/>
      </c>
      <c r="I1319" s="60">
        <f>IF(AND(tblFleet[[#This Row],[Units]]&lt;&gt;"",tblFleet[[#This Row],[Calendar_h]]&gt;0),tblFleet[[#This Row],[Available_h]]/tblFleet[[#This Row],[Calendar_h]],"")</f>
        <v/>
      </c>
      <c r="J1319" s="60">
        <f>IF(AND(tblFleet[[#This Row],[Units]]&lt;&gt;"",tblFleet[[#This Row],[Available_h]]&gt;0),tblFleet[[#This Row],[Operating_h]]/tblFleet[[#This Row],[Available_h]],"")</f>
        <v/>
      </c>
    </row>
    <row r="1320">
      <c r="A1320" s="54" t="n"/>
      <c r="B1320" s="61" t="n"/>
      <c r="C1320" s="62" t="n"/>
      <c r="D1320" s="57" t="n"/>
      <c r="E1320" s="57" t="n"/>
      <c r="F1320" s="58" t="n"/>
      <c r="G1320" s="66">
        <f>IF(tblFleet[[#This Row],[Units]]="","",tblFleet[[#This Row],[Units]]*cfg_HoursPerDay)</f>
        <v/>
      </c>
      <c r="H1320" s="66">
        <f>IF(tblFleet[[#This Row],[Units]]="","",tblFleet[[#This Row],[Calendar_h]]-tblFleet[[#This Row],[Down_h]])</f>
        <v/>
      </c>
      <c r="I1320" s="60">
        <f>IF(AND(tblFleet[[#This Row],[Units]]&lt;&gt;"",tblFleet[[#This Row],[Calendar_h]]&gt;0),tblFleet[[#This Row],[Available_h]]/tblFleet[[#This Row],[Calendar_h]],"")</f>
        <v/>
      </c>
      <c r="J1320" s="60">
        <f>IF(AND(tblFleet[[#This Row],[Units]]&lt;&gt;"",tblFleet[[#This Row],[Available_h]]&gt;0),tblFleet[[#This Row],[Operating_h]]/tblFleet[[#This Row],[Available_h]],"")</f>
        <v/>
      </c>
    </row>
    <row r="1321">
      <c r="A1321" s="54" t="n"/>
      <c r="B1321" s="61" t="n"/>
      <c r="C1321" s="62" t="n"/>
      <c r="D1321" s="57" t="n"/>
      <c r="E1321" s="57" t="n"/>
      <c r="F1321" s="58" t="n"/>
      <c r="G1321" s="66">
        <f>IF(tblFleet[[#This Row],[Units]]="","",tblFleet[[#This Row],[Units]]*cfg_HoursPerDay)</f>
        <v/>
      </c>
      <c r="H1321" s="66">
        <f>IF(tblFleet[[#This Row],[Units]]="","",tblFleet[[#This Row],[Calendar_h]]-tblFleet[[#This Row],[Down_h]])</f>
        <v/>
      </c>
      <c r="I1321" s="60">
        <f>IF(AND(tblFleet[[#This Row],[Units]]&lt;&gt;"",tblFleet[[#This Row],[Calendar_h]]&gt;0),tblFleet[[#This Row],[Available_h]]/tblFleet[[#This Row],[Calendar_h]],"")</f>
        <v/>
      </c>
      <c r="J1321" s="60">
        <f>IF(AND(tblFleet[[#This Row],[Units]]&lt;&gt;"",tblFleet[[#This Row],[Available_h]]&gt;0),tblFleet[[#This Row],[Operating_h]]/tblFleet[[#This Row],[Available_h]],"")</f>
        <v/>
      </c>
    </row>
    <row r="1322">
      <c r="A1322" s="54" t="n"/>
      <c r="B1322" s="61" t="n"/>
      <c r="C1322" s="62" t="n"/>
      <c r="D1322" s="57" t="n"/>
      <c r="E1322" s="57" t="n"/>
      <c r="F1322" s="58" t="n"/>
      <c r="G1322" s="66">
        <f>IF(tblFleet[[#This Row],[Units]]="","",tblFleet[[#This Row],[Units]]*cfg_HoursPerDay)</f>
        <v/>
      </c>
      <c r="H1322" s="66">
        <f>IF(tblFleet[[#This Row],[Units]]="","",tblFleet[[#This Row],[Calendar_h]]-tblFleet[[#This Row],[Down_h]])</f>
        <v/>
      </c>
      <c r="I1322" s="60">
        <f>IF(AND(tblFleet[[#This Row],[Units]]&lt;&gt;"",tblFleet[[#This Row],[Calendar_h]]&gt;0),tblFleet[[#This Row],[Available_h]]/tblFleet[[#This Row],[Calendar_h]],"")</f>
        <v/>
      </c>
      <c r="J1322" s="60">
        <f>IF(AND(tblFleet[[#This Row],[Units]]&lt;&gt;"",tblFleet[[#This Row],[Available_h]]&gt;0),tblFleet[[#This Row],[Operating_h]]/tblFleet[[#This Row],[Available_h]],"")</f>
        <v/>
      </c>
    </row>
    <row r="1323">
      <c r="A1323" s="54" t="n"/>
      <c r="B1323" s="61" t="n"/>
      <c r="C1323" s="62" t="n"/>
      <c r="D1323" s="57" t="n"/>
      <c r="E1323" s="57" t="n"/>
      <c r="F1323" s="58" t="n"/>
      <c r="G1323" s="66">
        <f>IF(tblFleet[[#This Row],[Units]]="","",tblFleet[[#This Row],[Units]]*cfg_HoursPerDay)</f>
        <v/>
      </c>
      <c r="H1323" s="66">
        <f>IF(tblFleet[[#This Row],[Units]]="","",tblFleet[[#This Row],[Calendar_h]]-tblFleet[[#This Row],[Down_h]])</f>
        <v/>
      </c>
      <c r="I1323" s="60">
        <f>IF(AND(tblFleet[[#This Row],[Units]]&lt;&gt;"",tblFleet[[#This Row],[Calendar_h]]&gt;0),tblFleet[[#This Row],[Available_h]]/tblFleet[[#This Row],[Calendar_h]],"")</f>
        <v/>
      </c>
      <c r="J1323" s="60">
        <f>IF(AND(tblFleet[[#This Row],[Units]]&lt;&gt;"",tblFleet[[#This Row],[Available_h]]&gt;0),tblFleet[[#This Row],[Operating_h]]/tblFleet[[#This Row],[Available_h]],"")</f>
        <v/>
      </c>
    </row>
    <row r="1324">
      <c r="A1324" s="54" t="n"/>
      <c r="B1324" s="61" t="n"/>
      <c r="C1324" s="62" t="n"/>
      <c r="D1324" s="57" t="n"/>
      <c r="E1324" s="57" t="n"/>
      <c r="F1324" s="58" t="n"/>
      <c r="G1324" s="66">
        <f>IF(tblFleet[[#This Row],[Units]]="","",tblFleet[[#This Row],[Units]]*cfg_HoursPerDay)</f>
        <v/>
      </c>
      <c r="H1324" s="66">
        <f>IF(tblFleet[[#This Row],[Units]]="","",tblFleet[[#This Row],[Calendar_h]]-tblFleet[[#This Row],[Down_h]])</f>
        <v/>
      </c>
      <c r="I1324" s="60">
        <f>IF(AND(tblFleet[[#This Row],[Units]]&lt;&gt;"",tblFleet[[#This Row],[Calendar_h]]&gt;0),tblFleet[[#This Row],[Available_h]]/tblFleet[[#This Row],[Calendar_h]],"")</f>
        <v/>
      </c>
      <c r="J1324" s="60">
        <f>IF(AND(tblFleet[[#This Row],[Units]]&lt;&gt;"",tblFleet[[#This Row],[Available_h]]&gt;0),tblFleet[[#This Row],[Operating_h]]/tblFleet[[#This Row],[Available_h]],"")</f>
        <v/>
      </c>
    </row>
    <row r="1325">
      <c r="A1325" s="54" t="n"/>
      <c r="B1325" s="61" t="n"/>
      <c r="C1325" s="62" t="n"/>
      <c r="D1325" s="57" t="n"/>
      <c r="E1325" s="57" t="n"/>
      <c r="F1325" s="58" t="n"/>
      <c r="G1325" s="66">
        <f>IF(tblFleet[[#This Row],[Units]]="","",tblFleet[[#This Row],[Units]]*cfg_HoursPerDay)</f>
        <v/>
      </c>
      <c r="H1325" s="66">
        <f>IF(tblFleet[[#This Row],[Units]]="","",tblFleet[[#This Row],[Calendar_h]]-tblFleet[[#This Row],[Down_h]])</f>
        <v/>
      </c>
      <c r="I1325" s="60">
        <f>IF(AND(tblFleet[[#This Row],[Units]]&lt;&gt;"",tblFleet[[#This Row],[Calendar_h]]&gt;0),tblFleet[[#This Row],[Available_h]]/tblFleet[[#This Row],[Calendar_h]],"")</f>
        <v/>
      </c>
      <c r="J1325" s="60">
        <f>IF(AND(tblFleet[[#This Row],[Units]]&lt;&gt;"",tblFleet[[#This Row],[Available_h]]&gt;0),tblFleet[[#This Row],[Operating_h]]/tblFleet[[#This Row],[Available_h]],"")</f>
        <v/>
      </c>
    </row>
    <row r="1326">
      <c r="A1326" s="54" t="n"/>
      <c r="B1326" s="61" t="n"/>
      <c r="C1326" s="62" t="n"/>
      <c r="D1326" s="57" t="n"/>
      <c r="E1326" s="57" t="n"/>
      <c r="F1326" s="58" t="n"/>
      <c r="G1326" s="66">
        <f>IF(tblFleet[[#This Row],[Units]]="","",tblFleet[[#This Row],[Units]]*cfg_HoursPerDay)</f>
        <v/>
      </c>
      <c r="H1326" s="66">
        <f>IF(tblFleet[[#This Row],[Units]]="","",tblFleet[[#This Row],[Calendar_h]]-tblFleet[[#This Row],[Down_h]])</f>
        <v/>
      </c>
      <c r="I1326" s="60">
        <f>IF(AND(tblFleet[[#This Row],[Units]]&lt;&gt;"",tblFleet[[#This Row],[Calendar_h]]&gt;0),tblFleet[[#This Row],[Available_h]]/tblFleet[[#This Row],[Calendar_h]],"")</f>
        <v/>
      </c>
      <c r="J1326" s="60">
        <f>IF(AND(tblFleet[[#This Row],[Units]]&lt;&gt;"",tblFleet[[#This Row],[Available_h]]&gt;0),tblFleet[[#This Row],[Operating_h]]/tblFleet[[#This Row],[Available_h]],"")</f>
        <v/>
      </c>
    </row>
    <row r="1327">
      <c r="A1327" s="54" t="n"/>
      <c r="B1327" s="61" t="n"/>
      <c r="C1327" s="62" t="n"/>
      <c r="D1327" s="57" t="n"/>
      <c r="E1327" s="57" t="n"/>
      <c r="F1327" s="58" t="n"/>
      <c r="G1327" s="66">
        <f>IF(tblFleet[[#This Row],[Units]]="","",tblFleet[[#This Row],[Units]]*cfg_HoursPerDay)</f>
        <v/>
      </c>
      <c r="H1327" s="66">
        <f>IF(tblFleet[[#This Row],[Units]]="","",tblFleet[[#This Row],[Calendar_h]]-tblFleet[[#This Row],[Down_h]])</f>
        <v/>
      </c>
      <c r="I1327" s="60">
        <f>IF(AND(tblFleet[[#This Row],[Units]]&lt;&gt;"",tblFleet[[#This Row],[Calendar_h]]&gt;0),tblFleet[[#This Row],[Available_h]]/tblFleet[[#This Row],[Calendar_h]],"")</f>
        <v/>
      </c>
      <c r="J1327" s="60">
        <f>IF(AND(tblFleet[[#This Row],[Units]]&lt;&gt;"",tblFleet[[#This Row],[Available_h]]&gt;0),tblFleet[[#This Row],[Operating_h]]/tblFleet[[#This Row],[Available_h]],"")</f>
        <v/>
      </c>
    </row>
    <row r="1328">
      <c r="A1328" s="54" t="n"/>
      <c r="B1328" s="61" t="n"/>
      <c r="C1328" s="62" t="n"/>
      <c r="D1328" s="57" t="n"/>
      <c r="E1328" s="57" t="n"/>
      <c r="F1328" s="58" t="n"/>
      <c r="G1328" s="66">
        <f>IF(tblFleet[[#This Row],[Units]]="","",tblFleet[[#This Row],[Units]]*cfg_HoursPerDay)</f>
        <v/>
      </c>
      <c r="H1328" s="66">
        <f>IF(tblFleet[[#This Row],[Units]]="","",tblFleet[[#This Row],[Calendar_h]]-tblFleet[[#This Row],[Down_h]])</f>
        <v/>
      </c>
      <c r="I1328" s="60">
        <f>IF(AND(tblFleet[[#This Row],[Units]]&lt;&gt;"",tblFleet[[#This Row],[Calendar_h]]&gt;0),tblFleet[[#This Row],[Available_h]]/tblFleet[[#This Row],[Calendar_h]],"")</f>
        <v/>
      </c>
      <c r="J1328" s="60">
        <f>IF(AND(tblFleet[[#This Row],[Units]]&lt;&gt;"",tblFleet[[#This Row],[Available_h]]&gt;0),tblFleet[[#This Row],[Operating_h]]/tblFleet[[#This Row],[Available_h]],"")</f>
        <v/>
      </c>
    </row>
    <row r="1329">
      <c r="A1329" s="54" t="n"/>
      <c r="B1329" s="61" t="n"/>
      <c r="C1329" s="62" t="n"/>
      <c r="D1329" s="57" t="n"/>
      <c r="E1329" s="57" t="n"/>
      <c r="F1329" s="58" t="n"/>
      <c r="G1329" s="66">
        <f>IF(tblFleet[[#This Row],[Units]]="","",tblFleet[[#This Row],[Units]]*cfg_HoursPerDay)</f>
        <v/>
      </c>
      <c r="H1329" s="66">
        <f>IF(tblFleet[[#This Row],[Units]]="","",tblFleet[[#This Row],[Calendar_h]]-tblFleet[[#This Row],[Down_h]])</f>
        <v/>
      </c>
      <c r="I1329" s="60">
        <f>IF(AND(tblFleet[[#This Row],[Units]]&lt;&gt;"",tblFleet[[#This Row],[Calendar_h]]&gt;0),tblFleet[[#This Row],[Available_h]]/tblFleet[[#This Row],[Calendar_h]],"")</f>
        <v/>
      </c>
      <c r="J1329" s="60">
        <f>IF(AND(tblFleet[[#This Row],[Units]]&lt;&gt;"",tblFleet[[#This Row],[Available_h]]&gt;0),tblFleet[[#This Row],[Operating_h]]/tblFleet[[#This Row],[Available_h]],"")</f>
        <v/>
      </c>
    </row>
    <row r="1330">
      <c r="A1330" s="54" t="n"/>
      <c r="B1330" s="61" t="n"/>
      <c r="C1330" s="62" t="n"/>
      <c r="D1330" s="57" t="n"/>
      <c r="E1330" s="57" t="n"/>
      <c r="F1330" s="58" t="n"/>
      <c r="G1330" s="66">
        <f>IF(tblFleet[[#This Row],[Units]]="","",tblFleet[[#This Row],[Units]]*cfg_HoursPerDay)</f>
        <v/>
      </c>
      <c r="H1330" s="66">
        <f>IF(tblFleet[[#This Row],[Units]]="","",tblFleet[[#This Row],[Calendar_h]]-tblFleet[[#This Row],[Down_h]])</f>
        <v/>
      </c>
      <c r="I1330" s="60">
        <f>IF(AND(tblFleet[[#This Row],[Units]]&lt;&gt;"",tblFleet[[#This Row],[Calendar_h]]&gt;0),tblFleet[[#This Row],[Available_h]]/tblFleet[[#This Row],[Calendar_h]],"")</f>
        <v/>
      </c>
      <c r="J1330" s="60">
        <f>IF(AND(tblFleet[[#This Row],[Units]]&lt;&gt;"",tblFleet[[#This Row],[Available_h]]&gt;0),tblFleet[[#This Row],[Operating_h]]/tblFleet[[#This Row],[Available_h]],"")</f>
        <v/>
      </c>
    </row>
    <row r="1331">
      <c r="A1331" s="54" t="n"/>
      <c r="B1331" s="61" t="n"/>
      <c r="C1331" s="62" t="n"/>
      <c r="D1331" s="57" t="n"/>
      <c r="E1331" s="57" t="n"/>
      <c r="F1331" s="58" t="n"/>
      <c r="G1331" s="66">
        <f>IF(tblFleet[[#This Row],[Units]]="","",tblFleet[[#This Row],[Units]]*cfg_HoursPerDay)</f>
        <v/>
      </c>
      <c r="H1331" s="66">
        <f>IF(tblFleet[[#This Row],[Units]]="","",tblFleet[[#This Row],[Calendar_h]]-tblFleet[[#This Row],[Down_h]])</f>
        <v/>
      </c>
      <c r="I1331" s="60">
        <f>IF(AND(tblFleet[[#This Row],[Units]]&lt;&gt;"",tblFleet[[#This Row],[Calendar_h]]&gt;0),tblFleet[[#This Row],[Available_h]]/tblFleet[[#This Row],[Calendar_h]],"")</f>
        <v/>
      </c>
      <c r="J1331" s="60">
        <f>IF(AND(tblFleet[[#This Row],[Units]]&lt;&gt;"",tblFleet[[#This Row],[Available_h]]&gt;0),tblFleet[[#This Row],[Operating_h]]/tblFleet[[#This Row],[Available_h]],"")</f>
        <v/>
      </c>
    </row>
    <row r="1332">
      <c r="A1332" s="54" t="n"/>
      <c r="B1332" s="61" t="n"/>
      <c r="C1332" s="62" t="n"/>
      <c r="D1332" s="57" t="n"/>
      <c r="E1332" s="57" t="n"/>
      <c r="F1332" s="58" t="n"/>
      <c r="G1332" s="66">
        <f>IF(tblFleet[[#This Row],[Units]]="","",tblFleet[[#This Row],[Units]]*cfg_HoursPerDay)</f>
        <v/>
      </c>
      <c r="H1332" s="66">
        <f>IF(tblFleet[[#This Row],[Units]]="","",tblFleet[[#This Row],[Calendar_h]]-tblFleet[[#This Row],[Down_h]])</f>
        <v/>
      </c>
      <c r="I1332" s="60">
        <f>IF(AND(tblFleet[[#This Row],[Units]]&lt;&gt;"",tblFleet[[#This Row],[Calendar_h]]&gt;0),tblFleet[[#This Row],[Available_h]]/tblFleet[[#This Row],[Calendar_h]],"")</f>
        <v/>
      </c>
      <c r="J1332" s="60">
        <f>IF(AND(tblFleet[[#This Row],[Units]]&lt;&gt;"",tblFleet[[#This Row],[Available_h]]&gt;0),tblFleet[[#This Row],[Operating_h]]/tblFleet[[#This Row],[Available_h]],"")</f>
        <v/>
      </c>
    </row>
    <row r="1333">
      <c r="A1333" s="54" t="n"/>
      <c r="B1333" s="61" t="n"/>
      <c r="C1333" s="62" t="n"/>
      <c r="D1333" s="57" t="n"/>
      <c r="E1333" s="57" t="n"/>
      <c r="F1333" s="58" t="n"/>
      <c r="G1333" s="66">
        <f>IF(tblFleet[[#This Row],[Units]]="","",tblFleet[[#This Row],[Units]]*cfg_HoursPerDay)</f>
        <v/>
      </c>
      <c r="H1333" s="66">
        <f>IF(tblFleet[[#This Row],[Units]]="","",tblFleet[[#This Row],[Calendar_h]]-tblFleet[[#This Row],[Down_h]])</f>
        <v/>
      </c>
      <c r="I1333" s="60">
        <f>IF(AND(tblFleet[[#This Row],[Units]]&lt;&gt;"",tblFleet[[#This Row],[Calendar_h]]&gt;0),tblFleet[[#This Row],[Available_h]]/tblFleet[[#This Row],[Calendar_h]],"")</f>
        <v/>
      </c>
      <c r="J1333" s="60">
        <f>IF(AND(tblFleet[[#This Row],[Units]]&lt;&gt;"",tblFleet[[#This Row],[Available_h]]&gt;0),tblFleet[[#This Row],[Operating_h]]/tblFleet[[#This Row],[Available_h]],"")</f>
        <v/>
      </c>
    </row>
    <row r="1334">
      <c r="A1334" s="54" t="n"/>
      <c r="B1334" s="61" t="n"/>
      <c r="C1334" s="62" t="n"/>
      <c r="D1334" s="57" t="n"/>
      <c r="E1334" s="57" t="n"/>
      <c r="F1334" s="58" t="n"/>
      <c r="G1334" s="66">
        <f>IF(tblFleet[[#This Row],[Units]]="","",tblFleet[[#This Row],[Units]]*cfg_HoursPerDay)</f>
        <v/>
      </c>
      <c r="H1334" s="66">
        <f>IF(tblFleet[[#This Row],[Units]]="","",tblFleet[[#This Row],[Calendar_h]]-tblFleet[[#This Row],[Down_h]])</f>
        <v/>
      </c>
      <c r="I1334" s="60">
        <f>IF(AND(tblFleet[[#This Row],[Units]]&lt;&gt;"",tblFleet[[#This Row],[Calendar_h]]&gt;0),tblFleet[[#This Row],[Available_h]]/tblFleet[[#This Row],[Calendar_h]],"")</f>
        <v/>
      </c>
      <c r="J1334" s="60">
        <f>IF(AND(tblFleet[[#This Row],[Units]]&lt;&gt;"",tblFleet[[#This Row],[Available_h]]&gt;0),tblFleet[[#This Row],[Operating_h]]/tblFleet[[#This Row],[Available_h]],"")</f>
        <v/>
      </c>
    </row>
    <row r="1335">
      <c r="A1335" s="54" t="n"/>
      <c r="B1335" s="61" t="n"/>
      <c r="C1335" s="62" t="n"/>
      <c r="D1335" s="57" t="n"/>
      <c r="E1335" s="57" t="n"/>
      <c r="F1335" s="58" t="n"/>
      <c r="G1335" s="66">
        <f>IF(tblFleet[[#This Row],[Units]]="","",tblFleet[[#This Row],[Units]]*cfg_HoursPerDay)</f>
        <v/>
      </c>
      <c r="H1335" s="66">
        <f>IF(tblFleet[[#This Row],[Units]]="","",tblFleet[[#This Row],[Calendar_h]]-tblFleet[[#This Row],[Down_h]])</f>
        <v/>
      </c>
      <c r="I1335" s="60">
        <f>IF(AND(tblFleet[[#This Row],[Units]]&lt;&gt;"",tblFleet[[#This Row],[Calendar_h]]&gt;0),tblFleet[[#This Row],[Available_h]]/tblFleet[[#This Row],[Calendar_h]],"")</f>
        <v/>
      </c>
      <c r="J1335" s="60">
        <f>IF(AND(tblFleet[[#This Row],[Units]]&lt;&gt;"",tblFleet[[#This Row],[Available_h]]&gt;0),tblFleet[[#This Row],[Operating_h]]/tblFleet[[#This Row],[Available_h]],"")</f>
        <v/>
      </c>
    </row>
    <row r="1336">
      <c r="A1336" s="54" t="n"/>
      <c r="B1336" s="61" t="n"/>
      <c r="C1336" s="62" t="n"/>
      <c r="D1336" s="57" t="n"/>
      <c r="E1336" s="57" t="n"/>
      <c r="F1336" s="58" t="n"/>
      <c r="G1336" s="66">
        <f>IF(tblFleet[[#This Row],[Units]]="","",tblFleet[[#This Row],[Units]]*cfg_HoursPerDay)</f>
        <v/>
      </c>
      <c r="H1336" s="66">
        <f>IF(tblFleet[[#This Row],[Units]]="","",tblFleet[[#This Row],[Calendar_h]]-tblFleet[[#This Row],[Down_h]])</f>
        <v/>
      </c>
      <c r="I1336" s="60">
        <f>IF(AND(tblFleet[[#This Row],[Units]]&lt;&gt;"",tblFleet[[#This Row],[Calendar_h]]&gt;0),tblFleet[[#This Row],[Available_h]]/tblFleet[[#This Row],[Calendar_h]],"")</f>
        <v/>
      </c>
      <c r="J1336" s="60">
        <f>IF(AND(tblFleet[[#This Row],[Units]]&lt;&gt;"",tblFleet[[#This Row],[Available_h]]&gt;0),tblFleet[[#This Row],[Operating_h]]/tblFleet[[#This Row],[Available_h]],"")</f>
        <v/>
      </c>
    </row>
    <row r="1337">
      <c r="A1337" s="54" t="n"/>
      <c r="B1337" s="61" t="n"/>
      <c r="C1337" s="62" t="n"/>
      <c r="D1337" s="57" t="n"/>
      <c r="E1337" s="57" t="n"/>
      <c r="F1337" s="58" t="n"/>
      <c r="G1337" s="66">
        <f>IF(tblFleet[[#This Row],[Units]]="","",tblFleet[[#This Row],[Units]]*cfg_HoursPerDay)</f>
        <v/>
      </c>
      <c r="H1337" s="66">
        <f>IF(tblFleet[[#This Row],[Units]]="","",tblFleet[[#This Row],[Calendar_h]]-tblFleet[[#This Row],[Down_h]])</f>
        <v/>
      </c>
      <c r="I1337" s="60">
        <f>IF(AND(tblFleet[[#This Row],[Units]]&lt;&gt;"",tblFleet[[#This Row],[Calendar_h]]&gt;0),tblFleet[[#This Row],[Available_h]]/tblFleet[[#This Row],[Calendar_h]],"")</f>
        <v/>
      </c>
      <c r="J1337" s="60">
        <f>IF(AND(tblFleet[[#This Row],[Units]]&lt;&gt;"",tblFleet[[#This Row],[Available_h]]&gt;0),tblFleet[[#This Row],[Operating_h]]/tblFleet[[#This Row],[Available_h]],"")</f>
        <v/>
      </c>
    </row>
    <row r="1338">
      <c r="A1338" s="54" t="n"/>
      <c r="B1338" s="61" t="n"/>
      <c r="C1338" s="62" t="n"/>
      <c r="D1338" s="57" t="n"/>
      <c r="E1338" s="57" t="n"/>
      <c r="F1338" s="58" t="n"/>
      <c r="G1338" s="66">
        <f>IF(tblFleet[[#This Row],[Units]]="","",tblFleet[[#This Row],[Units]]*cfg_HoursPerDay)</f>
        <v/>
      </c>
      <c r="H1338" s="66">
        <f>IF(tblFleet[[#This Row],[Units]]="","",tblFleet[[#This Row],[Calendar_h]]-tblFleet[[#This Row],[Down_h]])</f>
        <v/>
      </c>
      <c r="I1338" s="60">
        <f>IF(AND(tblFleet[[#This Row],[Units]]&lt;&gt;"",tblFleet[[#This Row],[Calendar_h]]&gt;0),tblFleet[[#This Row],[Available_h]]/tblFleet[[#This Row],[Calendar_h]],"")</f>
        <v/>
      </c>
      <c r="J1338" s="60">
        <f>IF(AND(tblFleet[[#This Row],[Units]]&lt;&gt;"",tblFleet[[#This Row],[Available_h]]&gt;0),tblFleet[[#This Row],[Operating_h]]/tblFleet[[#This Row],[Available_h]],"")</f>
        <v/>
      </c>
    </row>
    <row r="1339">
      <c r="A1339" s="54" t="n"/>
      <c r="B1339" s="61" t="n"/>
      <c r="C1339" s="62" t="n"/>
      <c r="D1339" s="57" t="n"/>
      <c r="E1339" s="57" t="n"/>
      <c r="F1339" s="58" t="n"/>
      <c r="G1339" s="66">
        <f>IF(tblFleet[[#This Row],[Units]]="","",tblFleet[[#This Row],[Units]]*cfg_HoursPerDay)</f>
        <v/>
      </c>
      <c r="H1339" s="66">
        <f>IF(tblFleet[[#This Row],[Units]]="","",tblFleet[[#This Row],[Calendar_h]]-tblFleet[[#This Row],[Down_h]])</f>
        <v/>
      </c>
      <c r="I1339" s="60">
        <f>IF(AND(tblFleet[[#This Row],[Units]]&lt;&gt;"",tblFleet[[#This Row],[Calendar_h]]&gt;0),tblFleet[[#This Row],[Available_h]]/tblFleet[[#This Row],[Calendar_h]],"")</f>
        <v/>
      </c>
      <c r="J1339" s="60">
        <f>IF(AND(tblFleet[[#This Row],[Units]]&lt;&gt;"",tblFleet[[#This Row],[Available_h]]&gt;0),tblFleet[[#This Row],[Operating_h]]/tblFleet[[#This Row],[Available_h]],"")</f>
        <v/>
      </c>
    </row>
    <row r="1340">
      <c r="A1340" s="54" t="n"/>
      <c r="B1340" s="61" t="n"/>
      <c r="C1340" s="62" t="n"/>
      <c r="D1340" s="57" t="n"/>
      <c r="E1340" s="57" t="n"/>
      <c r="F1340" s="58" t="n"/>
      <c r="G1340" s="66">
        <f>IF(tblFleet[[#This Row],[Units]]="","",tblFleet[[#This Row],[Units]]*cfg_HoursPerDay)</f>
        <v/>
      </c>
      <c r="H1340" s="66">
        <f>IF(tblFleet[[#This Row],[Units]]="","",tblFleet[[#This Row],[Calendar_h]]-tblFleet[[#This Row],[Down_h]])</f>
        <v/>
      </c>
      <c r="I1340" s="60">
        <f>IF(AND(tblFleet[[#This Row],[Units]]&lt;&gt;"",tblFleet[[#This Row],[Calendar_h]]&gt;0),tblFleet[[#This Row],[Available_h]]/tblFleet[[#This Row],[Calendar_h]],"")</f>
        <v/>
      </c>
      <c r="J1340" s="60">
        <f>IF(AND(tblFleet[[#This Row],[Units]]&lt;&gt;"",tblFleet[[#This Row],[Available_h]]&gt;0),tblFleet[[#This Row],[Operating_h]]/tblFleet[[#This Row],[Available_h]],"")</f>
        <v/>
      </c>
    </row>
    <row r="1341">
      <c r="A1341" s="54" t="n"/>
      <c r="B1341" s="61" t="n"/>
      <c r="C1341" s="62" t="n"/>
      <c r="D1341" s="57" t="n"/>
      <c r="E1341" s="57" t="n"/>
      <c r="F1341" s="58" t="n"/>
      <c r="G1341" s="66">
        <f>IF(tblFleet[[#This Row],[Units]]="","",tblFleet[[#This Row],[Units]]*cfg_HoursPerDay)</f>
        <v/>
      </c>
      <c r="H1341" s="66">
        <f>IF(tblFleet[[#This Row],[Units]]="","",tblFleet[[#This Row],[Calendar_h]]-tblFleet[[#This Row],[Down_h]])</f>
        <v/>
      </c>
      <c r="I1341" s="60">
        <f>IF(AND(tblFleet[[#This Row],[Units]]&lt;&gt;"",tblFleet[[#This Row],[Calendar_h]]&gt;0),tblFleet[[#This Row],[Available_h]]/tblFleet[[#This Row],[Calendar_h]],"")</f>
        <v/>
      </c>
      <c r="J1341" s="60">
        <f>IF(AND(tblFleet[[#This Row],[Units]]&lt;&gt;"",tblFleet[[#This Row],[Available_h]]&gt;0),tblFleet[[#This Row],[Operating_h]]/tblFleet[[#This Row],[Available_h]],"")</f>
        <v/>
      </c>
    </row>
    <row r="1342">
      <c r="A1342" s="54" t="n"/>
      <c r="B1342" s="61" t="n"/>
      <c r="C1342" s="62" t="n"/>
      <c r="D1342" s="57" t="n"/>
      <c r="E1342" s="57" t="n"/>
      <c r="F1342" s="58" t="n"/>
      <c r="G1342" s="66">
        <f>IF(tblFleet[[#This Row],[Units]]="","",tblFleet[[#This Row],[Units]]*cfg_HoursPerDay)</f>
        <v/>
      </c>
      <c r="H1342" s="66">
        <f>IF(tblFleet[[#This Row],[Units]]="","",tblFleet[[#This Row],[Calendar_h]]-tblFleet[[#This Row],[Down_h]])</f>
        <v/>
      </c>
      <c r="I1342" s="60">
        <f>IF(AND(tblFleet[[#This Row],[Units]]&lt;&gt;"",tblFleet[[#This Row],[Calendar_h]]&gt;0),tblFleet[[#This Row],[Available_h]]/tblFleet[[#This Row],[Calendar_h]],"")</f>
        <v/>
      </c>
      <c r="J1342" s="60">
        <f>IF(AND(tblFleet[[#This Row],[Units]]&lt;&gt;"",tblFleet[[#This Row],[Available_h]]&gt;0),tblFleet[[#This Row],[Operating_h]]/tblFleet[[#This Row],[Available_h]],"")</f>
        <v/>
      </c>
    </row>
    <row r="1343">
      <c r="A1343" s="54" t="n"/>
      <c r="B1343" s="61" t="n"/>
      <c r="C1343" s="62" t="n"/>
      <c r="D1343" s="57" t="n"/>
      <c r="E1343" s="57" t="n"/>
      <c r="F1343" s="58" t="n"/>
      <c r="G1343" s="66">
        <f>IF(tblFleet[[#This Row],[Units]]="","",tblFleet[[#This Row],[Units]]*cfg_HoursPerDay)</f>
        <v/>
      </c>
      <c r="H1343" s="66">
        <f>IF(tblFleet[[#This Row],[Units]]="","",tblFleet[[#This Row],[Calendar_h]]-tblFleet[[#This Row],[Down_h]])</f>
        <v/>
      </c>
      <c r="I1343" s="60">
        <f>IF(AND(tblFleet[[#This Row],[Units]]&lt;&gt;"",tblFleet[[#This Row],[Calendar_h]]&gt;0),tblFleet[[#This Row],[Available_h]]/tblFleet[[#This Row],[Calendar_h]],"")</f>
        <v/>
      </c>
      <c r="J1343" s="60">
        <f>IF(AND(tblFleet[[#This Row],[Units]]&lt;&gt;"",tblFleet[[#This Row],[Available_h]]&gt;0),tblFleet[[#This Row],[Operating_h]]/tblFleet[[#This Row],[Available_h]],"")</f>
        <v/>
      </c>
    </row>
    <row r="1344">
      <c r="A1344" s="54" t="n"/>
      <c r="B1344" s="61" t="n"/>
      <c r="C1344" s="62" t="n"/>
      <c r="D1344" s="57" t="n"/>
      <c r="E1344" s="57" t="n"/>
      <c r="F1344" s="58" t="n"/>
      <c r="G1344" s="66">
        <f>IF(tblFleet[[#This Row],[Units]]="","",tblFleet[[#This Row],[Units]]*cfg_HoursPerDay)</f>
        <v/>
      </c>
      <c r="H1344" s="66">
        <f>IF(tblFleet[[#This Row],[Units]]="","",tblFleet[[#This Row],[Calendar_h]]-tblFleet[[#This Row],[Down_h]])</f>
        <v/>
      </c>
      <c r="I1344" s="60">
        <f>IF(AND(tblFleet[[#This Row],[Units]]&lt;&gt;"",tblFleet[[#This Row],[Calendar_h]]&gt;0),tblFleet[[#This Row],[Available_h]]/tblFleet[[#This Row],[Calendar_h]],"")</f>
        <v/>
      </c>
      <c r="J1344" s="60">
        <f>IF(AND(tblFleet[[#This Row],[Units]]&lt;&gt;"",tblFleet[[#This Row],[Available_h]]&gt;0),tblFleet[[#This Row],[Operating_h]]/tblFleet[[#This Row],[Available_h]],"")</f>
        <v/>
      </c>
    </row>
    <row r="1345">
      <c r="A1345" s="54" t="n"/>
      <c r="B1345" s="61" t="n"/>
      <c r="C1345" s="62" t="n"/>
      <c r="D1345" s="57" t="n"/>
      <c r="E1345" s="57" t="n"/>
      <c r="F1345" s="58" t="n"/>
      <c r="G1345" s="66">
        <f>IF(tblFleet[[#This Row],[Units]]="","",tblFleet[[#This Row],[Units]]*cfg_HoursPerDay)</f>
        <v/>
      </c>
      <c r="H1345" s="66">
        <f>IF(tblFleet[[#This Row],[Units]]="","",tblFleet[[#This Row],[Calendar_h]]-tblFleet[[#This Row],[Down_h]])</f>
        <v/>
      </c>
      <c r="I1345" s="60">
        <f>IF(AND(tblFleet[[#This Row],[Units]]&lt;&gt;"",tblFleet[[#This Row],[Calendar_h]]&gt;0),tblFleet[[#This Row],[Available_h]]/tblFleet[[#This Row],[Calendar_h]],"")</f>
        <v/>
      </c>
      <c r="J1345" s="60">
        <f>IF(AND(tblFleet[[#This Row],[Units]]&lt;&gt;"",tblFleet[[#This Row],[Available_h]]&gt;0),tblFleet[[#This Row],[Operating_h]]/tblFleet[[#This Row],[Available_h]],"")</f>
        <v/>
      </c>
    </row>
    <row r="1346">
      <c r="A1346" s="54" t="n"/>
      <c r="B1346" s="61" t="n"/>
      <c r="C1346" s="62" t="n"/>
      <c r="D1346" s="57" t="n"/>
      <c r="E1346" s="57" t="n"/>
      <c r="F1346" s="58" t="n"/>
      <c r="G1346" s="66">
        <f>IF(tblFleet[[#This Row],[Units]]="","",tblFleet[[#This Row],[Units]]*cfg_HoursPerDay)</f>
        <v/>
      </c>
      <c r="H1346" s="66">
        <f>IF(tblFleet[[#This Row],[Units]]="","",tblFleet[[#This Row],[Calendar_h]]-tblFleet[[#This Row],[Down_h]])</f>
        <v/>
      </c>
      <c r="I1346" s="60">
        <f>IF(AND(tblFleet[[#This Row],[Units]]&lt;&gt;"",tblFleet[[#This Row],[Calendar_h]]&gt;0),tblFleet[[#This Row],[Available_h]]/tblFleet[[#This Row],[Calendar_h]],"")</f>
        <v/>
      </c>
      <c r="J1346" s="60">
        <f>IF(AND(tblFleet[[#This Row],[Units]]&lt;&gt;"",tblFleet[[#This Row],[Available_h]]&gt;0),tblFleet[[#This Row],[Operating_h]]/tblFleet[[#This Row],[Available_h]],"")</f>
        <v/>
      </c>
    </row>
    <row r="1347">
      <c r="A1347" s="54" t="n"/>
      <c r="B1347" s="61" t="n"/>
      <c r="C1347" s="62" t="n"/>
      <c r="D1347" s="57" t="n"/>
      <c r="E1347" s="57" t="n"/>
      <c r="F1347" s="58" t="n"/>
      <c r="G1347" s="66">
        <f>IF(tblFleet[[#This Row],[Units]]="","",tblFleet[[#This Row],[Units]]*cfg_HoursPerDay)</f>
        <v/>
      </c>
      <c r="H1347" s="66">
        <f>IF(tblFleet[[#This Row],[Units]]="","",tblFleet[[#This Row],[Calendar_h]]-tblFleet[[#This Row],[Down_h]])</f>
        <v/>
      </c>
      <c r="I1347" s="60">
        <f>IF(AND(tblFleet[[#This Row],[Units]]&lt;&gt;"",tblFleet[[#This Row],[Calendar_h]]&gt;0),tblFleet[[#This Row],[Available_h]]/tblFleet[[#This Row],[Calendar_h]],"")</f>
        <v/>
      </c>
      <c r="J1347" s="60">
        <f>IF(AND(tblFleet[[#This Row],[Units]]&lt;&gt;"",tblFleet[[#This Row],[Available_h]]&gt;0),tblFleet[[#This Row],[Operating_h]]/tblFleet[[#This Row],[Available_h]],"")</f>
        <v/>
      </c>
    </row>
    <row r="1348">
      <c r="A1348" s="54" t="n"/>
      <c r="B1348" s="61" t="n"/>
      <c r="C1348" s="62" t="n"/>
      <c r="D1348" s="57" t="n"/>
      <c r="E1348" s="57" t="n"/>
      <c r="F1348" s="58" t="n"/>
      <c r="G1348" s="66">
        <f>IF(tblFleet[[#This Row],[Units]]="","",tblFleet[[#This Row],[Units]]*cfg_HoursPerDay)</f>
        <v/>
      </c>
      <c r="H1348" s="66">
        <f>IF(tblFleet[[#This Row],[Units]]="","",tblFleet[[#This Row],[Calendar_h]]-tblFleet[[#This Row],[Down_h]])</f>
        <v/>
      </c>
      <c r="I1348" s="60">
        <f>IF(AND(tblFleet[[#This Row],[Units]]&lt;&gt;"",tblFleet[[#This Row],[Calendar_h]]&gt;0),tblFleet[[#This Row],[Available_h]]/tblFleet[[#This Row],[Calendar_h]],"")</f>
        <v/>
      </c>
      <c r="J1348" s="60">
        <f>IF(AND(tblFleet[[#This Row],[Units]]&lt;&gt;"",tblFleet[[#This Row],[Available_h]]&gt;0),tblFleet[[#This Row],[Operating_h]]/tblFleet[[#This Row],[Available_h]],"")</f>
        <v/>
      </c>
    </row>
    <row r="1349">
      <c r="A1349" s="54" t="n"/>
      <c r="B1349" s="61" t="n"/>
      <c r="C1349" s="62" t="n"/>
      <c r="D1349" s="57" t="n"/>
      <c r="E1349" s="57" t="n"/>
      <c r="F1349" s="58" t="n"/>
      <c r="G1349" s="66">
        <f>IF(tblFleet[[#This Row],[Units]]="","",tblFleet[[#This Row],[Units]]*cfg_HoursPerDay)</f>
        <v/>
      </c>
      <c r="H1349" s="66">
        <f>IF(tblFleet[[#This Row],[Units]]="","",tblFleet[[#This Row],[Calendar_h]]-tblFleet[[#This Row],[Down_h]])</f>
        <v/>
      </c>
      <c r="I1349" s="60">
        <f>IF(AND(tblFleet[[#This Row],[Units]]&lt;&gt;"",tblFleet[[#This Row],[Calendar_h]]&gt;0),tblFleet[[#This Row],[Available_h]]/tblFleet[[#This Row],[Calendar_h]],"")</f>
        <v/>
      </c>
      <c r="J1349" s="60">
        <f>IF(AND(tblFleet[[#This Row],[Units]]&lt;&gt;"",tblFleet[[#This Row],[Available_h]]&gt;0),tblFleet[[#This Row],[Operating_h]]/tblFleet[[#This Row],[Available_h]],"")</f>
        <v/>
      </c>
    </row>
    <row r="1350">
      <c r="A1350" s="54" t="n"/>
      <c r="B1350" s="61" t="n"/>
      <c r="C1350" s="62" t="n"/>
      <c r="D1350" s="57" t="n"/>
      <c r="E1350" s="57" t="n"/>
      <c r="F1350" s="58" t="n"/>
      <c r="G1350" s="66">
        <f>IF(tblFleet[[#This Row],[Units]]="","",tblFleet[[#This Row],[Units]]*cfg_HoursPerDay)</f>
        <v/>
      </c>
      <c r="H1350" s="66">
        <f>IF(tblFleet[[#This Row],[Units]]="","",tblFleet[[#This Row],[Calendar_h]]-tblFleet[[#This Row],[Down_h]])</f>
        <v/>
      </c>
      <c r="I1350" s="60">
        <f>IF(AND(tblFleet[[#This Row],[Units]]&lt;&gt;"",tblFleet[[#This Row],[Calendar_h]]&gt;0),tblFleet[[#This Row],[Available_h]]/tblFleet[[#This Row],[Calendar_h]],"")</f>
        <v/>
      </c>
      <c r="J1350" s="60">
        <f>IF(AND(tblFleet[[#This Row],[Units]]&lt;&gt;"",tblFleet[[#This Row],[Available_h]]&gt;0),tblFleet[[#This Row],[Operating_h]]/tblFleet[[#This Row],[Available_h]],"")</f>
        <v/>
      </c>
    </row>
    <row r="1351">
      <c r="A1351" s="54" t="n"/>
      <c r="B1351" s="61" t="n"/>
      <c r="C1351" s="62" t="n"/>
      <c r="D1351" s="57" t="n"/>
      <c r="E1351" s="57" t="n"/>
      <c r="F1351" s="58" t="n"/>
      <c r="G1351" s="66">
        <f>IF(tblFleet[[#This Row],[Units]]="","",tblFleet[[#This Row],[Units]]*cfg_HoursPerDay)</f>
        <v/>
      </c>
      <c r="H1351" s="66">
        <f>IF(tblFleet[[#This Row],[Units]]="","",tblFleet[[#This Row],[Calendar_h]]-tblFleet[[#This Row],[Down_h]])</f>
        <v/>
      </c>
      <c r="I1351" s="60">
        <f>IF(AND(tblFleet[[#This Row],[Units]]&lt;&gt;"",tblFleet[[#This Row],[Calendar_h]]&gt;0),tblFleet[[#This Row],[Available_h]]/tblFleet[[#This Row],[Calendar_h]],"")</f>
        <v/>
      </c>
      <c r="J1351" s="60">
        <f>IF(AND(tblFleet[[#This Row],[Units]]&lt;&gt;"",tblFleet[[#This Row],[Available_h]]&gt;0),tblFleet[[#This Row],[Operating_h]]/tblFleet[[#This Row],[Available_h]],"")</f>
        <v/>
      </c>
    </row>
    <row r="1352">
      <c r="A1352" s="54" t="n"/>
      <c r="B1352" s="61" t="n"/>
      <c r="C1352" s="62" t="n"/>
      <c r="D1352" s="57" t="n"/>
      <c r="E1352" s="57" t="n"/>
      <c r="F1352" s="58" t="n"/>
      <c r="G1352" s="66">
        <f>IF(tblFleet[[#This Row],[Units]]="","",tblFleet[[#This Row],[Units]]*cfg_HoursPerDay)</f>
        <v/>
      </c>
      <c r="H1352" s="66">
        <f>IF(tblFleet[[#This Row],[Units]]="","",tblFleet[[#This Row],[Calendar_h]]-tblFleet[[#This Row],[Down_h]])</f>
        <v/>
      </c>
      <c r="I1352" s="60">
        <f>IF(AND(tblFleet[[#This Row],[Units]]&lt;&gt;"",tblFleet[[#This Row],[Calendar_h]]&gt;0),tblFleet[[#This Row],[Available_h]]/tblFleet[[#This Row],[Calendar_h]],"")</f>
        <v/>
      </c>
      <c r="J1352" s="60">
        <f>IF(AND(tblFleet[[#This Row],[Units]]&lt;&gt;"",tblFleet[[#This Row],[Available_h]]&gt;0),tblFleet[[#This Row],[Operating_h]]/tblFleet[[#This Row],[Available_h]],"")</f>
        <v/>
      </c>
    </row>
    <row r="1353">
      <c r="A1353" s="54" t="n"/>
      <c r="B1353" s="61" t="n"/>
      <c r="C1353" s="62" t="n"/>
      <c r="D1353" s="57" t="n"/>
      <c r="E1353" s="57" t="n"/>
      <c r="F1353" s="58" t="n"/>
      <c r="G1353" s="66">
        <f>IF(tblFleet[[#This Row],[Units]]="","",tblFleet[[#This Row],[Units]]*cfg_HoursPerDay)</f>
        <v/>
      </c>
      <c r="H1353" s="66">
        <f>IF(tblFleet[[#This Row],[Units]]="","",tblFleet[[#This Row],[Calendar_h]]-tblFleet[[#This Row],[Down_h]])</f>
        <v/>
      </c>
      <c r="I1353" s="60">
        <f>IF(AND(tblFleet[[#This Row],[Units]]&lt;&gt;"",tblFleet[[#This Row],[Calendar_h]]&gt;0),tblFleet[[#This Row],[Available_h]]/tblFleet[[#This Row],[Calendar_h]],"")</f>
        <v/>
      </c>
      <c r="J1353" s="60">
        <f>IF(AND(tblFleet[[#This Row],[Units]]&lt;&gt;"",tblFleet[[#This Row],[Available_h]]&gt;0),tblFleet[[#This Row],[Operating_h]]/tblFleet[[#This Row],[Available_h]],"")</f>
        <v/>
      </c>
    </row>
    <row r="1354">
      <c r="A1354" s="54" t="n"/>
      <c r="B1354" s="61" t="n"/>
      <c r="C1354" s="62" t="n"/>
      <c r="D1354" s="57" t="n"/>
      <c r="E1354" s="57" t="n"/>
      <c r="F1354" s="58" t="n"/>
      <c r="G1354" s="66">
        <f>IF(tblFleet[[#This Row],[Units]]="","",tblFleet[[#This Row],[Units]]*cfg_HoursPerDay)</f>
        <v/>
      </c>
      <c r="H1354" s="66">
        <f>IF(tblFleet[[#This Row],[Units]]="","",tblFleet[[#This Row],[Calendar_h]]-tblFleet[[#This Row],[Down_h]])</f>
        <v/>
      </c>
      <c r="I1354" s="60">
        <f>IF(AND(tblFleet[[#This Row],[Units]]&lt;&gt;"",tblFleet[[#This Row],[Calendar_h]]&gt;0),tblFleet[[#This Row],[Available_h]]/tblFleet[[#This Row],[Calendar_h]],"")</f>
        <v/>
      </c>
      <c r="J1354" s="60">
        <f>IF(AND(tblFleet[[#This Row],[Units]]&lt;&gt;"",tblFleet[[#This Row],[Available_h]]&gt;0),tblFleet[[#This Row],[Operating_h]]/tblFleet[[#This Row],[Available_h]],"")</f>
        <v/>
      </c>
    </row>
    <row r="1355">
      <c r="A1355" s="54" t="n"/>
      <c r="B1355" s="61" t="n"/>
      <c r="C1355" s="62" t="n"/>
      <c r="D1355" s="57" t="n"/>
      <c r="E1355" s="57" t="n"/>
      <c r="F1355" s="58" t="n"/>
      <c r="G1355" s="66">
        <f>IF(tblFleet[[#This Row],[Units]]="","",tblFleet[[#This Row],[Units]]*cfg_HoursPerDay)</f>
        <v/>
      </c>
      <c r="H1355" s="66">
        <f>IF(tblFleet[[#This Row],[Units]]="","",tblFleet[[#This Row],[Calendar_h]]-tblFleet[[#This Row],[Down_h]])</f>
        <v/>
      </c>
      <c r="I1355" s="60">
        <f>IF(AND(tblFleet[[#This Row],[Units]]&lt;&gt;"",tblFleet[[#This Row],[Calendar_h]]&gt;0),tblFleet[[#This Row],[Available_h]]/tblFleet[[#This Row],[Calendar_h]],"")</f>
        <v/>
      </c>
      <c r="J1355" s="60">
        <f>IF(AND(tblFleet[[#This Row],[Units]]&lt;&gt;"",tblFleet[[#This Row],[Available_h]]&gt;0),tblFleet[[#This Row],[Operating_h]]/tblFleet[[#This Row],[Available_h]],"")</f>
        <v/>
      </c>
    </row>
    <row r="1356">
      <c r="A1356" s="54" t="n"/>
      <c r="B1356" s="61" t="n"/>
      <c r="C1356" s="62" t="n"/>
      <c r="D1356" s="57" t="n"/>
      <c r="E1356" s="57" t="n"/>
      <c r="F1356" s="58" t="n"/>
      <c r="G1356" s="66">
        <f>IF(tblFleet[[#This Row],[Units]]="","",tblFleet[[#This Row],[Units]]*cfg_HoursPerDay)</f>
        <v/>
      </c>
      <c r="H1356" s="66">
        <f>IF(tblFleet[[#This Row],[Units]]="","",tblFleet[[#This Row],[Calendar_h]]-tblFleet[[#This Row],[Down_h]])</f>
        <v/>
      </c>
      <c r="I1356" s="60">
        <f>IF(AND(tblFleet[[#This Row],[Units]]&lt;&gt;"",tblFleet[[#This Row],[Calendar_h]]&gt;0),tblFleet[[#This Row],[Available_h]]/tblFleet[[#This Row],[Calendar_h]],"")</f>
        <v/>
      </c>
      <c r="J1356" s="60">
        <f>IF(AND(tblFleet[[#This Row],[Units]]&lt;&gt;"",tblFleet[[#This Row],[Available_h]]&gt;0),tblFleet[[#This Row],[Operating_h]]/tblFleet[[#This Row],[Available_h]],"")</f>
        <v/>
      </c>
    </row>
    <row r="1357">
      <c r="A1357" s="54" t="n"/>
      <c r="B1357" s="61" t="n"/>
      <c r="C1357" s="62" t="n"/>
      <c r="D1357" s="57" t="n"/>
      <c r="E1357" s="57" t="n"/>
      <c r="F1357" s="58" t="n"/>
      <c r="G1357" s="66">
        <f>IF(tblFleet[[#This Row],[Units]]="","",tblFleet[[#This Row],[Units]]*cfg_HoursPerDay)</f>
        <v/>
      </c>
      <c r="H1357" s="66">
        <f>IF(tblFleet[[#This Row],[Units]]="","",tblFleet[[#This Row],[Calendar_h]]-tblFleet[[#This Row],[Down_h]])</f>
        <v/>
      </c>
      <c r="I1357" s="60">
        <f>IF(AND(tblFleet[[#This Row],[Units]]&lt;&gt;"",tblFleet[[#This Row],[Calendar_h]]&gt;0),tblFleet[[#This Row],[Available_h]]/tblFleet[[#This Row],[Calendar_h]],"")</f>
        <v/>
      </c>
      <c r="J1357" s="60">
        <f>IF(AND(tblFleet[[#This Row],[Units]]&lt;&gt;"",tblFleet[[#This Row],[Available_h]]&gt;0),tblFleet[[#This Row],[Operating_h]]/tblFleet[[#This Row],[Available_h]],"")</f>
        <v/>
      </c>
    </row>
    <row r="1358">
      <c r="A1358" s="54" t="n"/>
      <c r="B1358" s="61" t="n"/>
      <c r="C1358" s="62" t="n"/>
      <c r="D1358" s="57" t="n"/>
      <c r="E1358" s="57" t="n"/>
      <c r="F1358" s="58" t="n"/>
      <c r="G1358" s="66">
        <f>IF(tblFleet[[#This Row],[Units]]="","",tblFleet[[#This Row],[Units]]*cfg_HoursPerDay)</f>
        <v/>
      </c>
      <c r="H1358" s="66">
        <f>IF(tblFleet[[#This Row],[Units]]="","",tblFleet[[#This Row],[Calendar_h]]-tblFleet[[#This Row],[Down_h]])</f>
        <v/>
      </c>
      <c r="I1358" s="60">
        <f>IF(AND(tblFleet[[#This Row],[Units]]&lt;&gt;"",tblFleet[[#This Row],[Calendar_h]]&gt;0),tblFleet[[#This Row],[Available_h]]/tblFleet[[#This Row],[Calendar_h]],"")</f>
        <v/>
      </c>
      <c r="J1358" s="60">
        <f>IF(AND(tblFleet[[#This Row],[Units]]&lt;&gt;"",tblFleet[[#This Row],[Available_h]]&gt;0),tblFleet[[#This Row],[Operating_h]]/tblFleet[[#This Row],[Available_h]],"")</f>
        <v/>
      </c>
    </row>
    <row r="1359">
      <c r="A1359" s="54" t="n"/>
      <c r="B1359" s="61" t="n"/>
      <c r="C1359" s="62" t="n"/>
      <c r="D1359" s="57" t="n"/>
      <c r="E1359" s="57" t="n"/>
      <c r="F1359" s="58" t="n"/>
      <c r="G1359" s="66">
        <f>IF(tblFleet[[#This Row],[Units]]="","",tblFleet[[#This Row],[Units]]*cfg_HoursPerDay)</f>
        <v/>
      </c>
      <c r="H1359" s="66">
        <f>IF(tblFleet[[#This Row],[Units]]="","",tblFleet[[#This Row],[Calendar_h]]-tblFleet[[#This Row],[Down_h]])</f>
        <v/>
      </c>
      <c r="I1359" s="60">
        <f>IF(AND(tblFleet[[#This Row],[Units]]&lt;&gt;"",tblFleet[[#This Row],[Calendar_h]]&gt;0),tblFleet[[#This Row],[Available_h]]/tblFleet[[#This Row],[Calendar_h]],"")</f>
        <v/>
      </c>
      <c r="J1359" s="60">
        <f>IF(AND(tblFleet[[#This Row],[Units]]&lt;&gt;"",tblFleet[[#This Row],[Available_h]]&gt;0),tblFleet[[#This Row],[Operating_h]]/tblFleet[[#This Row],[Available_h]],"")</f>
        <v/>
      </c>
    </row>
    <row r="1360">
      <c r="A1360" s="54" t="n"/>
      <c r="B1360" s="61" t="n"/>
      <c r="C1360" s="62" t="n"/>
      <c r="D1360" s="57" t="n"/>
      <c r="E1360" s="57" t="n"/>
      <c r="F1360" s="58" t="n"/>
      <c r="G1360" s="66">
        <f>IF(tblFleet[[#This Row],[Units]]="","",tblFleet[[#This Row],[Units]]*cfg_HoursPerDay)</f>
        <v/>
      </c>
      <c r="H1360" s="66">
        <f>IF(tblFleet[[#This Row],[Units]]="","",tblFleet[[#This Row],[Calendar_h]]-tblFleet[[#This Row],[Down_h]])</f>
        <v/>
      </c>
      <c r="I1360" s="60">
        <f>IF(AND(tblFleet[[#This Row],[Units]]&lt;&gt;"",tblFleet[[#This Row],[Calendar_h]]&gt;0),tblFleet[[#This Row],[Available_h]]/tblFleet[[#This Row],[Calendar_h]],"")</f>
        <v/>
      </c>
      <c r="J1360" s="60">
        <f>IF(AND(tblFleet[[#This Row],[Units]]&lt;&gt;"",tblFleet[[#This Row],[Available_h]]&gt;0),tblFleet[[#This Row],[Operating_h]]/tblFleet[[#This Row],[Available_h]],"")</f>
        <v/>
      </c>
    </row>
    <row r="1361">
      <c r="A1361" s="54" t="n"/>
      <c r="B1361" s="61" t="n"/>
      <c r="C1361" s="62" t="n"/>
      <c r="D1361" s="57" t="n"/>
      <c r="E1361" s="57" t="n"/>
      <c r="F1361" s="58" t="n"/>
      <c r="G1361" s="66">
        <f>IF(tblFleet[[#This Row],[Units]]="","",tblFleet[[#This Row],[Units]]*cfg_HoursPerDay)</f>
        <v/>
      </c>
      <c r="H1361" s="66">
        <f>IF(tblFleet[[#This Row],[Units]]="","",tblFleet[[#This Row],[Calendar_h]]-tblFleet[[#This Row],[Down_h]])</f>
        <v/>
      </c>
      <c r="I1361" s="60">
        <f>IF(AND(tblFleet[[#This Row],[Units]]&lt;&gt;"",tblFleet[[#This Row],[Calendar_h]]&gt;0),tblFleet[[#This Row],[Available_h]]/tblFleet[[#This Row],[Calendar_h]],"")</f>
        <v/>
      </c>
      <c r="J1361" s="60">
        <f>IF(AND(tblFleet[[#This Row],[Units]]&lt;&gt;"",tblFleet[[#This Row],[Available_h]]&gt;0),tblFleet[[#This Row],[Operating_h]]/tblFleet[[#This Row],[Available_h]],"")</f>
        <v/>
      </c>
    </row>
    <row r="1362">
      <c r="A1362" s="54" t="n"/>
      <c r="B1362" s="61" t="n"/>
      <c r="C1362" s="62" t="n"/>
      <c r="D1362" s="57" t="n"/>
      <c r="E1362" s="57" t="n"/>
      <c r="F1362" s="58" t="n"/>
      <c r="G1362" s="66">
        <f>IF(tblFleet[[#This Row],[Units]]="","",tblFleet[[#This Row],[Units]]*cfg_HoursPerDay)</f>
        <v/>
      </c>
      <c r="H1362" s="66">
        <f>IF(tblFleet[[#This Row],[Units]]="","",tblFleet[[#This Row],[Calendar_h]]-tblFleet[[#This Row],[Down_h]])</f>
        <v/>
      </c>
      <c r="I1362" s="60">
        <f>IF(AND(tblFleet[[#This Row],[Units]]&lt;&gt;"",tblFleet[[#This Row],[Calendar_h]]&gt;0),tblFleet[[#This Row],[Available_h]]/tblFleet[[#This Row],[Calendar_h]],"")</f>
        <v/>
      </c>
      <c r="J1362" s="60">
        <f>IF(AND(tblFleet[[#This Row],[Units]]&lt;&gt;"",tblFleet[[#This Row],[Available_h]]&gt;0),tblFleet[[#This Row],[Operating_h]]/tblFleet[[#This Row],[Available_h]],"")</f>
        <v/>
      </c>
    </row>
    <row r="1363">
      <c r="A1363" s="54" t="n"/>
      <c r="B1363" s="61" t="n"/>
      <c r="C1363" s="62" t="n"/>
      <c r="D1363" s="57" t="n"/>
      <c r="E1363" s="57" t="n"/>
      <c r="F1363" s="58" t="n"/>
      <c r="G1363" s="66">
        <f>IF(tblFleet[[#This Row],[Units]]="","",tblFleet[[#This Row],[Units]]*cfg_HoursPerDay)</f>
        <v/>
      </c>
      <c r="H1363" s="66">
        <f>IF(tblFleet[[#This Row],[Units]]="","",tblFleet[[#This Row],[Calendar_h]]-tblFleet[[#This Row],[Down_h]])</f>
        <v/>
      </c>
      <c r="I1363" s="60">
        <f>IF(AND(tblFleet[[#This Row],[Units]]&lt;&gt;"",tblFleet[[#This Row],[Calendar_h]]&gt;0),tblFleet[[#This Row],[Available_h]]/tblFleet[[#This Row],[Calendar_h]],"")</f>
        <v/>
      </c>
      <c r="J1363" s="60">
        <f>IF(AND(tblFleet[[#This Row],[Units]]&lt;&gt;"",tblFleet[[#This Row],[Available_h]]&gt;0),tblFleet[[#This Row],[Operating_h]]/tblFleet[[#This Row],[Available_h]],"")</f>
        <v/>
      </c>
    </row>
    <row r="1364">
      <c r="A1364" s="54" t="n"/>
      <c r="B1364" s="61" t="n"/>
      <c r="C1364" s="62" t="n"/>
      <c r="D1364" s="57" t="n"/>
      <c r="E1364" s="57" t="n"/>
      <c r="F1364" s="58" t="n"/>
      <c r="G1364" s="66">
        <f>IF(tblFleet[[#This Row],[Units]]="","",tblFleet[[#This Row],[Units]]*cfg_HoursPerDay)</f>
        <v/>
      </c>
      <c r="H1364" s="66">
        <f>IF(tblFleet[[#This Row],[Units]]="","",tblFleet[[#This Row],[Calendar_h]]-tblFleet[[#This Row],[Down_h]])</f>
        <v/>
      </c>
      <c r="I1364" s="60">
        <f>IF(AND(tblFleet[[#This Row],[Units]]&lt;&gt;"",tblFleet[[#This Row],[Calendar_h]]&gt;0),tblFleet[[#This Row],[Available_h]]/tblFleet[[#This Row],[Calendar_h]],"")</f>
        <v/>
      </c>
      <c r="J1364" s="60">
        <f>IF(AND(tblFleet[[#This Row],[Units]]&lt;&gt;"",tblFleet[[#This Row],[Available_h]]&gt;0),tblFleet[[#This Row],[Operating_h]]/tblFleet[[#This Row],[Available_h]],"")</f>
        <v/>
      </c>
    </row>
    <row r="1365">
      <c r="A1365" s="54" t="n"/>
      <c r="B1365" s="61" t="n"/>
      <c r="C1365" s="62" t="n"/>
      <c r="D1365" s="57" t="n"/>
      <c r="E1365" s="57" t="n"/>
      <c r="F1365" s="58" t="n"/>
      <c r="G1365" s="66">
        <f>IF(tblFleet[[#This Row],[Units]]="","",tblFleet[[#This Row],[Units]]*cfg_HoursPerDay)</f>
        <v/>
      </c>
      <c r="H1365" s="66">
        <f>IF(tblFleet[[#This Row],[Units]]="","",tblFleet[[#This Row],[Calendar_h]]-tblFleet[[#This Row],[Down_h]])</f>
        <v/>
      </c>
      <c r="I1365" s="60">
        <f>IF(AND(tblFleet[[#This Row],[Units]]&lt;&gt;"",tblFleet[[#This Row],[Calendar_h]]&gt;0),tblFleet[[#This Row],[Available_h]]/tblFleet[[#This Row],[Calendar_h]],"")</f>
        <v/>
      </c>
      <c r="J1365" s="60">
        <f>IF(AND(tblFleet[[#This Row],[Units]]&lt;&gt;"",tblFleet[[#This Row],[Available_h]]&gt;0),tblFleet[[#This Row],[Operating_h]]/tblFleet[[#This Row],[Available_h]],"")</f>
        <v/>
      </c>
    </row>
    <row r="1366">
      <c r="A1366" s="54" t="n"/>
      <c r="B1366" s="61" t="n"/>
      <c r="C1366" s="62" t="n"/>
      <c r="D1366" s="57" t="n"/>
      <c r="E1366" s="57" t="n"/>
      <c r="F1366" s="58" t="n"/>
      <c r="G1366" s="66">
        <f>IF(tblFleet[[#This Row],[Units]]="","",tblFleet[[#This Row],[Units]]*cfg_HoursPerDay)</f>
        <v/>
      </c>
      <c r="H1366" s="66">
        <f>IF(tblFleet[[#This Row],[Units]]="","",tblFleet[[#This Row],[Calendar_h]]-tblFleet[[#This Row],[Down_h]])</f>
        <v/>
      </c>
      <c r="I1366" s="60">
        <f>IF(AND(tblFleet[[#This Row],[Units]]&lt;&gt;"",tblFleet[[#This Row],[Calendar_h]]&gt;0),tblFleet[[#This Row],[Available_h]]/tblFleet[[#This Row],[Calendar_h]],"")</f>
        <v/>
      </c>
      <c r="J1366" s="60">
        <f>IF(AND(tblFleet[[#This Row],[Units]]&lt;&gt;"",tblFleet[[#This Row],[Available_h]]&gt;0),tblFleet[[#This Row],[Operating_h]]/tblFleet[[#This Row],[Available_h]],"")</f>
        <v/>
      </c>
    </row>
    <row r="1367">
      <c r="A1367" s="54" t="n"/>
      <c r="B1367" s="61" t="n"/>
      <c r="C1367" s="62" t="n"/>
      <c r="D1367" s="57" t="n"/>
      <c r="E1367" s="57" t="n"/>
      <c r="F1367" s="58" t="n"/>
      <c r="G1367" s="66">
        <f>IF(tblFleet[[#This Row],[Units]]="","",tblFleet[[#This Row],[Units]]*cfg_HoursPerDay)</f>
        <v/>
      </c>
      <c r="H1367" s="66">
        <f>IF(tblFleet[[#This Row],[Units]]="","",tblFleet[[#This Row],[Calendar_h]]-tblFleet[[#This Row],[Down_h]])</f>
        <v/>
      </c>
      <c r="I1367" s="60">
        <f>IF(AND(tblFleet[[#This Row],[Units]]&lt;&gt;"",tblFleet[[#This Row],[Calendar_h]]&gt;0),tblFleet[[#This Row],[Available_h]]/tblFleet[[#This Row],[Calendar_h]],"")</f>
        <v/>
      </c>
      <c r="J1367" s="60">
        <f>IF(AND(tblFleet[[#This Row],[Units]]&lt;&gt;"",tblFleet[[#This Row],[Available_h]]&gt;0),tblFleet[[#This Row],[Operating_h]]/tblFleet[[#This Row],[Available_h]],"")</f>
        <v/>
      </c>
    </row>
    <row r="1368">
      <c r="A1368" s="54" t="n"/>
      <c r="B1368" s="61" t="n"/>
      <c r="C1368" s="62" t="n"/>
      <c r="D1368" s="57" t="n"/>
      <c r="E1368" s="57" t="n"/>
      <c r="F1368" s="58" t="n"/>
      <c r="G1368" s="66">
        <f>IF(tblFleet[[#This Row],[Units]]="","",tblFleet[[#This Row],[Units]]*cfg_HoursPerDay)</f>
        <v/>
      </c>
      <c r="H1368" s="66">
        <f>IF(tblFleet[[#This Row],[Units]]="","",tblFleet[[#This Row],[Calendar_h]]-tblFleet[[#This Row],[Down_h]])</f>
        <v/>
      </c>
      <c r="I1368" s="60">
        <f>IF(AND(tblFleet[[#This Row],[Units]]&lt;&gt;"",tblFleet[[#This Row],[Calendar_h]]&gt;0),tblFleet[[#This Row],[Available_h]]/tblFleet[[#This Row],[Calendar_h]],"")</f>
        <v/>
      </c>
      <c r="J1368" s="60">
        <f>IF(AND(tblFleet[[#This Row],[Units]]&lt;&gt;"",tblFleet[[#This Row],[Available_h]]&gt;0),tblFleet[[#This Row],[Operating_h]]/tblFleet[[#This Row],[Available_h]],"")</f>
        <v/>
      </c>
    </row>
    <row r="1369">
      <c r="A1369" s="54" t="n"/>
      <c r="B1369" s="61" t="n"/>
      <c r="C1369" s="62" t="n"/>
      <c r="D1369" s="57" t="n"/>
      <c r="E1369" s="57" t="n"/>
      <c r="F1369" s="58" t="n"/>
      <c r="G1369" s="66">
        <f>IF(tblFleet[[#This Row],[Units]]="","",tblFleet[[#This Row],[Units]]*cfg_HoursPerDay)</f>
        <v/>
      </c>
      <c r="H1369" s="66">
        <f>IF(tblFleet[[#This Row],[Units]]="","",tblFleet[[#This Row],[Calendar_h]]-tblFleet[[#This Row],[Down_h]])</f>
        <v/>
      </c>
      <c r="I1369" s="60">
        <f>IF(AND(tblFleet[[#This Row],[Units]]&lt;&gt;"",tblFleet[[#This Row],[Calendar_h]]&gt;0),tblFleet[[#This Row],[Available_h]]/tblFleet[[#This Row],[Calendar_h]],"")</f>
        <v/>
      </c>
      <c r="J1369" s="60">
        <f>IF(AND(tblFleet[[#This Row],[Units]]&lt;&gt;"",tblFleet[[#This Row],[Available_h]]&gt;0),tblFleet[[#This Row],[Operating_h]]/tblFleet[[#This Row],[Available_h]],"")</f>
        <v/>
      </c>
    </row>
    <row r="1370">
      <c r="A1370" s="54" t="n"/>
      <c r="B1370" s="61" t="n"/>
      <c r="C1370" s="62" t="n"/>
      <c r="D1370" s="57" t="n"/>
      <c r="E1370" s="57" t="n"/>
      <c r="F1370" s="58" t="n"/>
      <c r="G1370" s="66">
        <f>IF(tblFleet[[#This Row],[Units]]="","",tblFleet[[#This Row],[Units]]*cfg_HoursPerDay)</f>
        <v/>
      </c>
      <c r="H1370" s="66">
        <f>IF(tblFleet[[#This Row],[Units]]="","",tblFleet[[#This Row],[Calendar_h]]-tblFleet[[#This Row],[Down_h]])</f>
        <v/>
      </c>
      <c r="I1370" s="60">
        <f>IF(AND(tblFleet[[#This Row],[Units]]&lt;&gt;"",tblFleet[[#This Row],[Calendar_h]]&gt;0),tblFleet[[#This Row],[Available_h]]/tblFleet[[#This Row],[Calendar_h]],"")</f>
        <v/>
      </c>
      <c r="J1370" s="60">
        <f>IF(AND(tblFleet[[#This Row],[Units]]&lt;&gt;"",tblFleet[[#This Row],[Available_h]]&gt;0),tblFleet[[#This Row],[Operating_h]]/tblFleet[[#This Row],[Available_h]],"")</f>
        <v/>
      </c>
    </row>
    <row r="1371">
      <c r="A1371" s="54" t="n"/>
      <c r="B1371" s="61" t="n"/>
      <c r="C1371" s="62" t="n"/>
      <c r="D1371" s="57" t="n"/>
      <c r="E1371" s="57" t="n"/>
      <c r="F1371" s="58" t="n"/>
      <c r="G1371" s="66">
        <f>IF(tblFleet[[#This Row],[Units]]="","",tblFleet[[#This Row],[Units]]*cfg_HoursPerDay)</f>
        <v/>
      </c>
      <c r="H1371" s="66">
        <f>IF(tblFleet[[#This Row],[Units]]="","",tblFleet[[#This Row],[Calendar_h]]-tblFleet[[#This Row],[Down_h]])</f>
        <v/>
      </c>
      <c r="I1371" s="60">
        <f>IF(AND(tblFleet[[#This Row],[Units]]&lt;&gt;"",tblFleet[[#This Row],[Calendar_h]]&gt;0),tblFleet[[#This Row],[Available_h]]/tblFleet[[#This Row],[Calendar_h]],"")</f>
        <v/>
      </c>
      <c r="J1371" s="60">
        <f>IF(AND(tblFleet[[#This Row],[Units]]&lt;&gt;"",tblFleet[[#This Row],[Available_h]]&gt;0),tblFleet[[#This Row],[Operating_h]]/tblFleet[[#This Row],[Available_h]],"")</f>
        <v/>
      </c>
    </row>
    <row r="1372">
      <c r="A1372" s="54" t="n"/>
      <c r="B1372" s="61" t="n"/>
      <c r="C1372" s="62" t="n"/>
      <c r="D1372" s="57" t="n"/>
      <c r="E1372" s="57" t="n"/>
      <c r="F1372" s="58" t="n"/>
      <c r="G1372" s="66">
        <f>IF(tblFleet[[#This Row],[Units]]="","",tblFleet[[#This Row],[Units]]*cfg_HoursPerDay)</f>
        <v/>
      </c>
      <c r="H1372" s="66">
        <f>IF(tblFleet[[#This Row],[Units]]="","",tblFleet[[#This Row],[Calendar_h]]-tblFleet[[#This Row],[Down_h]])</f>
        <v/>
      </c>
      <c r="I1372" s="60">
        <f>IF(AND(tblFleet[[#This Row],[Units]]&lt;&gt;"",tblFleet[[#This Row],[Calendar_h]]&gt;0),tblFleet[[#This Row],[Available_h]]/tblFleet[[#This Row],[Calendar_h]],"")</f>
        <v/>
      </c>
      <c r="J1372" s="60">
        <f>IF(AND(tblFleet[[#This Row],[Units]]&lt;&gt;"",tblFleet[[#This Row],[Available_h]]&gt;0),tblFleet[[#This Row],[Operating_h]]/tblFleet[[#This Row],[Available_h]],"")</f>
        <v/>
      </c>
    </row>
    <row r="1373">
      <c r="A1373" s="54" t="n"/>
      <c r="B1373" s="61" t="n"/>
      <c r="C1373" s="62" t="n"/>
      <c r="D1373" s="57" t="n"/>
      <c r="E1373" s="57" t="n"/>
      <c r="F1373" s="58" t="n"/>
      <c r="G1373" s="66">
        <f>IF(tblFleet[[#This Row],[Units]]="","",tblFleet[[#This Row],[Units]]*cfg_HoursPerDay)</f>
        <v/>
      </c>
      <c r="H1373" s="66">
        <f>IF(tblFleet[[#This Row],[Units]]="","",tblFleet[[#This Row],[Calendar_h]]-tblFleet[[#This Row],[Down_h]])</f>
        <v/>
      </c>
      <c r="I1373" s="60">
        <f>IF(AND(tblFleet[[#This Row],[Units]]&lt;&gt;"",tblFleet[[#This Row],[Calendar_h]]&gt;0),tblFleet[[#This Row],[Available_h]]/tblFleet[[#This Row],[Calendar_h]],"")</f>
        <v/>
      </c>
      <c r="J1373" s="60">
        <f>IF(AND(tblFleet[[#This Row],[Units]]&lt;&gt;"",tblFleet[[#This Row],[Available_h]]&gt;0),tblFleet[[#This Row],[Operating_h]]/tblFleet[[#This Row],[Available_h]],"")</f>
        <v/>
      </c>
    </row>
    <row r="1374">
      <c r="A1374" s="54" t="n"/>
      <c r="B1374" s="61" t="n"/>
      <c r="C1374" s="62" t="n"/>
      <c r="D1374" s="57" t="n"/>
      <c r="E1374" s="57" t="n"/>
      <c r="F1374" s="58" t="n"/>
      <c r="G1374" s="66">
        <f>IF(tblFleet[[#This Row],[Units]]="","",tblFleet[[#This Row],[Units]]*cfg_HoursPerDay)</f>
        <v/>
      </c>
      <c r="H1374" s="66">
        <f>IF(tblFleet[[#This Row],[Units]]="","",tblFleet[[#This Row],[Calendar_h]]-tblFleet[[#This Row],[Down_h]])</f>
        <v/>
      </c>
      <c r="I1374" s="60">
        <f>IF(AND(tblFleet[[#This Row],[Units]]&lt;&gt;"",tblFleet[[#This Row],[Calendar_h]]&gt;0),tblFleet[[#This Row],[Available_h]]/tblFleet[[#This Row],[Calendar_h]],"")</f>
        <v/>
      </c>
      <c r="J1374" s="60">
        <f>IF(AND(tblFleet[[#This Row],[Units]]&lt;&gt;"",tblFleet[[#This Row],[Available_h]]&gt;0),tblFleet[[#This Row],[Operating_h]]/tblFleet[[#This Row],[Available_h]],"")</f>
        <v/>
      </c>
    </row>
    <row r="1375">
      <c r="A1375" s="54" t="n"/>
      <c r="B1375" s="61" t="n"/>
      <c r="C1375" s="62" t="n"/>
      <c r="D1375" s="57" t="n"/>
      <c r="E1375" s="57" t="n"/>
      <c r="F1375" s="58" t="n"/>
      <c r="G1375" s="66">
        <f>IF(tblFleet[[#This Row],[Units]]="","",tblFleet[[#This Row],[Units]]*cfg_HoursPerDay)</f>
        <v/>
      </c>
      <c r="H1375" s="66">
        <f>IF(tblFleet[[#This Row],[Units]]="","",tblFleet[[#This Row],[Calendar_h]]-tblFleet[[#This Row],[Down_h]])</f>
        <v/>
      </c>
      <c r="I1375" s="60">
        <f>IF(AND(tblFleet[[#This Row],[Units]]&lt;&gt;"",tblFleet[[#This Row],[Calendar_h]]&gt;0),tblFleet[[#This Row],[Available_h]]/tblFleet[[#This Row],[Calendar_h]],"")</f>
        <v/>
      </c>
      <c r="J1375" s="60">
        <f>IF(AND(tblFleet[[#This Row],[Units]]&lt;&gt;"",tblFleet[[#This Row],[Available_h]]&gt;0),tblFleet[[#This Row],[Operating_h]]/tblFleet[[#This Row],[Available_h]],"")</f>
        <v/>
      </c>
    </row>
    <row r="1376">
      <c r="A1376" s="54" t="n"/>
      <c r="B1376" s="61" t="n"/>
      <c r="C1376" s="62" t="n"/>
      <c r="D1376" s="57" t="n"/>
      <c r="E1376" s="57" t="n"/>
      <c r="F1376" s="58" t="n"/>
      <c r="G1376" s="66">
        <f>IF(tblFleet[[#This Row],[Units]]="","",tblFleet[[#This Row],[Units]]*cfg_HoursPerDay)</f>
        <v/>
      </c>
      <c r="H1376" s="66">
        <f>IF(tblFleet[[#This Row],[Units]]="","",tblFleet[[#This Row],[Calendar_h]]-tblFleet[[#This Row],[Down_h]])</f>
        <v/>
      </c>
      <c r="I1376" s="60">
        <f>IF(AND(tblFleet[[#This Row],[Units]]&lt;&gt;"",tblFleet[[#This Row],[Calendar_h]]&gt;0),tblFleet[[#This Row],[Available_h]]/tblFleet[[#This Row],[Calendar_h]],"")</f>
        <v/>
      </c>
      <c r="J1376" s="60">
        <f>IF(AND(tblFleet[[#This Row],[Units]]&lt;&gt;"",tblFleet[[#This Row],[Available_h]]&gt;0),tblFleet[[#This Row],[Operating_h]]/tblFleet[[#This Row],[Available_h]],"")</f>
        <v/>
      </c>
    </row>
    <row r="1377">
      <c r="A1377" s="54" t="n"/>
      <c r="B1377" s="61" t="n"/>
      <c r="C1377" s="62" t="n"/>
      <c r="D1377" s="57" t="n"/>
      <c r="E1377" s="57" t="n"/>
      <c r="F1377" s="58" t="n"/>
      <c r="G1377" s="66">
        <f>IF(tblFleet[[#This Row],[Units]]="","",tblFleet[[#This Row],[Units]]*cfg_HoursPerDay)</f>
        <v/>
      </c>
      <c r="H1377" s="66">
        <f>IF(tblFleet[[#This Row],[Units]]="","",tblFleet[[#This Row],[Calendar_h]]-tblFleet[[#This Row],[Down_h]])</f>
        <v/>
      </c>
      <c r="I1377" s="60">
        <f>IF(AND(tblFleet[[#This Row],[Units]]&lt;&gt;"",tblFleet[[#This Row],[Calendar_h]]&gt;0),tblFleet[[#This Row],[Available_h]]/tblFleet[[#This Row],[Calendar_h]],"")</f>
        <v/>
      </c>
      <c r="J1377" s="60">
        <f>IF(AND(tblFleet[[#This Row],[Units]]&lt;&gt;"",tblFleet[[#This Row],[Available_h]]&gt;0),tblFleet[[#This Row],[Operating_h]]/tblFleet[[#This Row],[Available_h]],"")</f>
        <v/>
      </c>
    </row>
    <row r="1378">
      <c r="A1378" s="54" t="n"/>
      <c r="B1378" s="61" t="n"/>
      <c r="C1378" s="62" t="n"/>
      <c r="D1378" s="57" t="n"/>
      <c r="E1378" s="57" t="n"/>
      <c r="F1378" s="58" t="n"/>
      <c r="G1378" s="66">
        <f>IF(tblFleet[[#This Row],[Units]]="","",tblFleet[[#This Row],[Units]]*cfg_HoursPerDay)</f>
        <v/>
      </c>
      <c r="H1378" s="66">
        <f>IF(tblFleet[[#This Row],[Units]]="","",tblFleet[[#This Row],[Calendar_h]]-tblFleet[[#This Row],[Down_h]])</f>
        <v/>
      </c>
      <c r="I1378" s="60">
        <f>IF(AND(tblFleet[[#This Row],[Units]]&lt;&gt;"",tblFleet[[#This Row],[Calendar_h]]&gt;0),tblFleet[[#This Row],[Available_h]]/tblFleet[[#This Row],[Calendar_h]],"")</f>
        <v/>
      </c>
      <c r="J1378" s="60">
        <f>IF(AND(tblFleet[[#This Row],[Units]]&lt;&gt;"",tblFleet[[#This Row],[Available_h]]&gt;0),tblFleet[[#This Row],[Operating_h]]/tblFleet[[#This Row],[Available_h]],"")</f>
        <v/>
      </c>
    </row>
    <row r="1379">
      <c r="A1379" s="54" t="n"/>
      <c r="B1379" s="61" t="n"/>
      <c r="C1379" s="62" t="n"/>
      <c r="D1379" s="57" t="n"/>
      <c r="E1379" s="57" t="n"/>
      <c r="F1379" s="58" t="n"/>
      <c r="G1379" s="66">
        <f>IF(tblFleet[[#This Row],[Units]]="","",tblFleet[[#This Row],[Units]]*cfg_HoursPerDay)</f>
        <v/>
      </c>
      <c r="H1379" s="66">
        <f>IF(tblFleet[[#This Row],[Units]]="","",tblFleet[[#This Row],[Calendar_h]]-tblFleet[[#This Row],[Down_h]])</f>
        <v/>
      </c>
      <c r="I1379" s="60">
        <f>IF(AND(tblFleet[[#This Row],[Units]]&lt;&gt;"",tblFleet[[#This Row],[Calendar_h]]&gt;0),tblFleet[[#This Row],[Available_h]]/tblFleet[[#This Row],[Calendar_h]],"")</f>
        <v/>
      </c>
      <c r="J1379" s="60">
        <f>IF(AND(tblFleet[[#This Row],[Units]]&lt;&gt;"",tblFleet[[#This Row],[Available_h]]&gt;0),tblFleet[[#This Row],[Operating_h]]/tblFleet[[#This Row],[Available_h]],"")</f>
        <v/>
      </c>
    </row>
    <row r="1380">
      <c r="A1380" s="54" t="n"/>
      <c r="B1380" s="61" t="n"/>
      <c r="C1380" s="62" t="n"/>
      <c r="D1380" s="57" t="n"/>
      <c r="E1380" s="57" t="n"/>
      <c r="F1380" s="58" t="n"/>
      <c r="G1380" s="66">
        <f>IF(tblFleet[[#This Row],[Units]]="","",tblFleet[[#This Row],[Units]]*cfg_HoursPerDay)</f>
        <v/>
      </c>
      <c r="H1380" s="66">
        <f>IF(tblFleet[[#This Row],[Units]]="","",tblFleet[[#This Row],[Calendar_h]]-tblFleet[[#This Row],[Down_h]])</f>
        <v/>
      </c>
      <c r="I1380" s="60">
        <f>IF(AND(tblFleet[[#This Row],[Units]]&lt;&gt;"",tblFleet[[#This Row],[Calendar_h]]&gt;0),tblFleet[[#This Row],[Available_h]]/tblFleet[[#This Row],[Calendar_h]],"")</f>
        <v/>
      </c>
      <c r="J1380" s="60">
        <f>IF(AND(tblFleet[[#This Row],[Units]]&lt;&gt;"",tblFleet[[#This Row],[Available_h]]&gt;0),tblFleet[[#This Row],[Operating_h]]/tblFleet[[#This Row],[Available_h]],"")</f>
        <v/>
      </c>
    </row>
    <row r="1381">
      <c r="A1381" s="54" t="n"/>
      <c r="B1381" s="61" t="n"/>
      <c r="C1381" s="62" t="n"/>
      <c r="D1381" s="57" t="n"/>
      <c r="E1381" s="57" t="n"/>
      <c r="F1381" s="58" t="n"/>
      <c r="G1381" s="66">
        <f>IF(tblFleet[[#This Row],[Units]]="","",tblFleet[[#This Row],[Units]]*cfg_HoursPerDay)</f>
        <v/>
      </c>
      <c r="H1381" s="66">
        <f>IF(tblFleet[[#This Row],[Units]]="","",tblFleet[[#This Row],[Calendar_h]]-tblFleet[[#This Row],[Down_h]])</f>
        <v/>
      </c>
      <c r="I1381" s="60">
        <f>IF(AND(tblFleet[[#This Row],[Units]]&lt;&gt;"",tblFleet[[#This Row],[Calendar_h]]&gt;0),tblFleet[[#This Row],[Available_h]]/tblFleet[[#This Row],[Calendar_h]],"")</f>
        <v/>
      </c>
      <c r="J1381" s="60">
        <f>IF(AND(tblFleet[[#This Row],[Units]]&lt;&gt;"",tblFleet[[#This Row],[Available_h]]&gt;0),tblFleet[[#This Row],[Operating_h]]/tblFleet[[#This Row],[Available_h]],"")</f>
        <v/>
      </c>
    </row>
    <row r="1382">
      <c r="A1382" s="54" t="n"/>
      <c r="B1382" s="61" t="n"/>
      <c r="C1382" s="62" t="n"/>
      <c r="D1382" s="57" t="n"/>
      <c r="E1382" s="57" t="n"/>
      <c r="F1382" s="58" t="n"/>
      <c r="G1382" s="66">
        <f>IF(tblFleet[[#This Row],[Units]]="","",tblFleet[[#This Row],[Units]]*cfg_HoursPerDay)</f>
        <v/>
      </c>
      <c r="H1382" s="66">
        <f>IF(tblFleet[[#This Row],[Units]]="","",tblFleet[[#This Row],[Calendar_h]]-tblFleet[[#This Row],[Down_h]])</f>
        <v/>
      </c>
      <c r="I1382" s="60">
        <f>IF(AND(tblFleet[[#This Row],[Units]]&lt;&gt;"",tblFleet[[#This Row],[Calendar_h]]&gt;0),tblFleet[[#This Row],[Available_h]]/tblFleet[[#This Row],[Calendar_h]],"")</f>
        <v/>
      </c>
      <c r="J1382" s="60">
        <f>IF(AND(tblFleet[[#This Row],[Units]]&lt;&gt;"",tblFleet[[#This Row],[Available_h]]&gt;0),tblFleet[[#This Row],[Operating_h]]/tblFleet[[#This Row],[Available_h]],"")</f>
        <v/>
      </c>
    </row>
    <row r="1383">
      <c r="A1383" s="54" t="n"/>
      <c r="B1383" s="61" t="n"/>
      <c r="C1383" s="62" t="n"/>
      <c r="D1383" s="57" t="n"/>
      <c r="E1383" s="57" t="n"/>
      <c r="F1383" s="58" t="n"/>
      <c r="G1383" s="66">
        <f>IF(tblFleet[[#This Row],[Units]]="","",tblFleet[[#This Row],[Units]]*cfg_HoursPerDay)</f>
        <v/>
      </c>
      <c r="H1383" s="66">
        <f>IF(tblFleet[[#This Row],[Units]]="","",tblFleet[[#This Row],[Calendar_h]]-tblFleet[[#This Row],[Down_h]])</f>
        <v/>
      </c>
      <c r="I1383" s="60">
        <f>IF(AND(tblFleet[[#This Row],[Units]]&lt;&gt;"",tblFleet[[#This Row],[Calendar_h]]&gt;0),tblFleet[[#This Row],[Available_h]]/tblFleet[[#This Row],[Calendar_h]],"")</f>
        <v/>
      </c>
      <c r="J1383" s="60">
        <f>IF(AND(tblFleet[[#This Row],[Units]]&lt;&gt;"",tblFleet[[#This Row],[Available_h]]&gt;0),tblFleet[[#This Row],[Operating_h]]/tblFleet[[#This Row],[Available_h]],"")</f>
        <v/>
      </c>
    </row>
    <row r="1384">
      <c r="A1384" s="54" t="n"/>
      <c r="B1384" s="61" t="n"/>
      <c r="C1384" s="62" t="n"/>
      <c r="D1384" s="57" t="n"/>
      <c r="E1384" s="57" t="n"/>
      <c r="F1384" s="58" t="n"/>
      <c r="G1384" s="66">
        <f>IF(tblFleet[[#This Row],[Units]]="","",tblFleet[[#This Row],[Units]]*cfg_HoursPerDay)</f>
        <v/>
      </c>
      <c r="H1384" s="66">
        <f>IF(tblFleet[[#This Row],[Units]]="","",tblFleet[[#This Row],[Calendar_h]]-tblFleet[[#This Row],[Down_h]])</f>
        <v/>
      </c>
      <c r="I1384" s="60">
        <f>IF(AND(tblFleet[[#This Row],[Units]]&lt;&gt;"",tblFleet[[#This Row],[Calendar_h]]&gt;0),tblFleet[[#This Row],[Available_h]]/tblFleet[[#This Row],[Calendar_h]],"")</f>
        <v/>
      </c>
      <c r="J1384" s="60">
        <f>IF(AND(tblFleet[[#This Row],[Units]]&lt;&gt;"",tblFleet[[#This Row],[Available_h]]&gt;0),tblFleet[[#This Row],[Operating_h]]/tblFleet[[#This Row],[Available_h]],"")</f>
        <v/>
      </c>
    </row>
    <row r="1385">
      <c r="A1385" s="54" t="n"/>
      <c r="B1385" s="61" t="n"/>
      <c r="C1385" s="62" t="n"/>
      <c r="D1385" s="57" t="n"/>
      <c r="E1385" s="57" t="n"/>
      <c r="F1385" s="58" t="n"/>
      <c r="G1385" s="66">
        <f>IF(tblFleet[[#This Row],[Units]]="","",tblFleet[[#This Row],[Units]]*cfg_HoursPerDay)</f>
        <v/>
      </c>
      <c r="H1385" s="66">
        <f>IF(tblFleet[[#This Row],[Units]]="","",tblFleet[[#This Row],[Calendar_h]]-tblFleet[[#This Row],[Down_h]])</f>
        <v/>
      </c>
      <c r="I1385" s="60">
        <f>IF(AND(tblFleet[[#This Row],[Units]]&lt;&gt;"",tblFleet[[#This Row],[Calendar_h]]&gt;0),tblFleet[[#This Row],[Available_h]]/tblFleet[[#This Row],[Calendar_h]],"")</f>
        <v/>
      </c>
      <c r="J1385" s="60">
        <f>IF(AND(tblFleet[[#This Row],[Units]]&lt;&gt;"",tblFleet[[#This Row],[Available_h]]&gt;0),tblFleet[[#This Row],[Operating_h]]/tblFleet[[#This Row],[Available_h]],"")</f>
        <v/>
      </c>
    </row>
    <row r="1386">
      <c r="A1386" s="54" t="n"/>
      <c r="B1386" s="61" t="n"/>
      <c r="C1386" s="62" t="n"/>
      <c r="D1386" s="57" t="n"/>
      <c r="E1386" s="57" t="n"/>
      <c r="F1386" s="58" t="n"/>
      <c r="G1386" s="66">
        <f>IF(tblFleet[[#This Row],[Units]]="","",tblFleet[[#This Row],[Units]]*cfg_HoursPerDay)</f>
        <v/>
      </c>
      <c r="H1386" s="66">
        <f>IF(tblFleet[[#This Row],[Units]]="","",tblFleet[[#This Row],[Calendar_h]]-tblFleet[[#This Row],[Down_h]])</f>
        <v/>
      </c>
      <c r="I1386" s="60">
        <f>IF(AND(tblFleet[[#This Row],[Units]]&lt;&gt;"",tblFleet[[#This Row],[Calendar_h]]&gt;0),tblFleet[[#This Row],[Available_h]]/tblFleet[[#This Row],[Calendar_h]],"")</f>
        <v/>
      </c>
      <c r="J1386" s="60">
        <f>IF(AND(tblFleet[[#This Row],[Units]]&lt;&gt;"",tblFleet[[#This Row],[Available_h]]&gt;0),tblFleet[[#This Row],[Operating_h]]/tblFleet[[#This Row],[Available_h]],"")</f>
        <v/>
      </c>
    </row>
    <row r="1387">
      <c r="A1387" s="54" t="n"/>
      <c r="B1387" s="61" t="n"/>
      <c r="C1387" s="62" t="n"/>
      <c r="D1387" s="57" t="n"/>
      <c r="E1387" s="57" t="n"/>
      <c r="F1387" s="58" t="n"/>
      <c r="G1387" s="66">
        <f>IF(tblFleet[[#This Row],[Units]]="","",tblFleet[[#This Row],[Units]]*cfg_HoursPerDay)</f>
        <v/>
      </c>
      <c r="H1387" s="66">
        <f>IF(tblFleet[[#This Row],[Units]]="","",tblFleet[[#This Row],[Calendar_h]]-tblFleet[[#This Row],[Down_h]])</f>
        <v/>
      </c>
      <c r="I1387" s="60">
        <f>IF(AND(tblFleet[[#This Row],[Units]]&lt;&gt;"",tblFleet[[#This Row],[Calendar_h]]&gt;0),tblFleet[[#This Row],[Available_h]]/tblFleet[[#This Row],[Calendar_h]],"")</f>
        <v/>
      </c>
      <c r="J1387" s="60">
        <f>IF(AND(tblFleet[[#This Row],[Units]]&lt;&gt;"",tblFleet[[#This Row],[Available_h]]&gt;0),tblFleet[[#This Row],[Operating_h]]/tblFleet[[#This Row],[Available_h]],"")</f>
        <v/>
      </c>
    </row>
    <row r="1388">
      <c r="A1388" s="54" t="n"/>
      <c r="B1388" s="61" t="n"/>
      <c r="C1388" s="62" t="n"/>
      <c r="D1388" s="57" t="n"/>
      <c r="E1388" s="57" t="n"/>
      <c r="F1388" s="58" t="n"/>
      <c r="G1388" s="66">
        <f>IF(tblFleet[[#This Row],[Units]]="","",tblFleet[[#This Row],[Units]]*cfg_HoursPerDay)</f>
        <v/>
      </c>
      <c r="H1388" s="66">
        <f>IF(tblFleet[[#This Row],[Units]]="","",tblFleet[[#This Row],[Calendar_h]]-tblFleet[[#This Row],[Down_h]])</f>
        <v/>
      </c>
      <c r="I1388" s="60">
        <f>IF(AND(tblFleet[[#This Row],[Units]]&lt;&gt;"",tblFleet[[#This Row],[Calendar_h]]&gt;0),tblFleet[[#This Row],[Available_h]]/tblFleet[[#This Row],[Calendar_h]],"")</f>
        <v/>
      </c>
      <c r="J1388" s="60">
        <f>IF(AND(tblFleet[[#This Row],[Units]]&lt;&gt;"",tblFleet[[#This Row],[Available_h]]&gt;0),tblFleet[[#This Row],[Operating_h]]/tblFleet[[#This Row],[Available_h]],"")</f>
        <v/>
      </c>
    </row>
    <row r="1389">
      <c r="A1389" s="54" t="n"/>
      <c r="B1389" s="61" t="n"/>
      <c r="C1389" s="62" t="n"/>
      <c r="D1389" s="57" t="n"/>
      <c r="E1389" s="57" t="n"/>
      <c r="F1389" s="58" t="n"/>
      <c r="G1389" s="66">
        <f>IF(tblFleet[[#This Row],[Units]]="","",tblFleet[[#This Row],[Units]]*cfg_HoursPerDay)</f>
        <v/>
      </c>
      <c r="H1389" s="66">
        <f>IF(tblFleet[[#This Row],[Units]]="","",tblFleet[[#This Row],[Calendar_h]]-tblFleet[[#This Row],[Down_h]])</f>
        <v/>
      </c>
      <c r="I1389" s="60">
        <f>IF(AND(tblFleet[[#This Row],[Units]]&lt;&gt;"",tblFleet[[#This Row],[Calendar_h]]&gt;0),tblFleet[[#This Row],[Available_h]]/tblFleet[[#This Row],[Calendar_h]],"")</f>
        <v/>
      </c>
      <c r="J1389" s="60">
        <f>IF(AND(tblFleet[[#This Row],[Units]]&lt;&gt;"",tblFleet[[#This Row],[Available_h]]&gt;0),tblFleet[[#This Row],[Operating_h]]/tblFleet[[#This Row],[Available_h]],"")</f>
        <v/>
      </c>
    </row>
    <row r="1390">
      <c r="A1390" s="54" t="n"/>
      <c r="B1390" s="61" t="n"/>
      <c r="C1390" s="62" t="n"/>
      <c r="D1390" s="57" t="n"/>
      <c r="E1390" s="57" t="n"/>
      <c r="F1390" s="58" t="n"/>
      <c r="G1390" s="66">
        <f>IF(tblFleet[[#This Row],[Units]]="","",tblFleet[[#This Row],[Units]]*cfg_HoursPerDay)</f>
        <v/>
      </c>
      <c r="H1390" s="66">
        <f>IF(tblFleet[[#This Row],[Units]]="","",tblFleet[[#This Row],[Calendar_h]]-tblFleet[[#This Row],[Down_h]])</f>
        <v/>
      </c>
      <c r="I1390" s="60">
        <f>IF(AND(tblFleet[[#This Row],[Units]]&lt;&gt;"",tblFleet[[#This Row],[Calendar_h]]&gt;0),tblFleet[[#This Row],[Available_h]]/tblFleet[[#This Row],[Calendar_h]],"")</f>
        <v/>
      </c>
      <c r="J1390" s="60">
        <f>IF(AND(tblFleet[[#This Row],[Units]]&lt;&gt;"",tblFleet[[#This Row],[Available_h]]&gt;0),tblFleet[[#This Row],[Operating_h]]/tblFleet[[#This Row],[Available_h]],"")</f>
        <v/>
      </c>
    </row>
    <row r="1391">
      <c r="A1391" s="54" t="n"/>
      <c r="B1391" s="61" t="n"/>
      <c r="C1391" s="62" t="n"/>
      <c r="D1391" s="57" t="n"/>
      <c r="E1391" s="57" t="n"/>
      <c r="F1391" s="58" t="n"/>
      <c r="G1391" s="66">
        <f>IF(tblFleet[[#This Row],[Units]]="","",tblFleet[[#This Row],[Units]]*cfg_HoursPerDay)</f>
        <v/>
      </c>
      <c r="H1391" s="66">
        <f>IF(tblFleet[[#This Row],[Units]]="","",tblFleet[[#This Row],[Calendar_h]]-tblFleet[[#This Row],[Down_h]])</f>
        <v/>
      </c>
      <c r="I1391" s="60">
        <f>IF(AND(tblFleet[[#This Row],[Units]]&lt;&gt;"",tblFleet[[#This Row],[Calendar_h]]&gt;0),tblFleet[[#This Row],[Available_h]]/tblFleet[[#This Row],[Calendar_h]],"")</f>
        <v/>
      </c>
      <c r="J1391" s="60">
        <f>IF(AND(tblFleet[[#This Row],[Units]]&lt;&gt;"",tblFleet[[#This Row],[Available_h]]&gt;0),tblFleet[[#This Row],[Operating_h]]/tblFleet[[#This Row],[Available_h]],"")</f>
        <v/>
      </c>
    </row>
    <row r="1392">
      <c r="A1392" s="54" t="n"/>
      <c r="B1392" s="61" t="n"/>
      <c r="C1392" s="62" t="n"/>
      <c r="D1392" s="57" t="n"/>
      <c r="E1392" s="57" t="n"/>
      <c r="F1392" s="58" t="n"/>
      <c r="G1392" s="66">
        <f>IF(tblFleet[[#This Row],[Units]]="","",tblFleet[[#This Row],[Units]]*cfg_HoursPerDay)</f>
        <v/>
      </c>
      <c r="H1392" s="66">
        <f>IF(tblFleet[[#This Row],[Units]]="","",tblFleet[[#This Row],[Calendar_h]]-tblFleet[[#This Row],[Down_h]])</f>
        <v/>
      </c>
      <c r="I1392" s="60">
        <f>IF(AND(tblFleet[[#This Row],[Units]]&lt;&gt;"",tblFleet[[#This Row],[Calendar_h]]&gt;0),tblFleet[[#This Row],[Available_h]]/tblFleet[[#This Row],[Calendar_h]],"")</f>
        <v/>
      </c>
      <c r="J1392" s="60">
        <f>IF(AND(tblFleet[[#This Row],[Units]]&lt;&gt;"",tblFleet[[#This Row],[Available_h]]&gt;0),tblFleet[[#This Row],[Operating_h]]/tblFleet[[#This Row],[Available_h]],"")</f>
        <v/>
      </c>
    </row>
    <row r="1393">
      <c r="A1393" s="54" t="n"/>
      <c r="B1393" s="61" t="n"/>
      <c r="C1393" s="62" t="n"/>
      <c r="D1393" s="57" t="n"/>
      <c r="E1393" s="57" t="n"/>
      <c r="F1393" s="58" t="n"/>
      <c r="G1393" s="66">
        <f>IF(tblFleet[[#This Row],[Units]]="","",tblFleet[[#This Row],[Units]]*cfg_HoursPerDay)</f>
        <v/>
      </c>
      <c r="H1393" s="66">
        <f>IF(tblFleet[[#This Row],[Units]]="","",tblFleet[[#This Row],[Calendar_h]]-tblFleet[[#This Row],[Down_h]])</f>
        <v/>
      </c>
      <c r="I1393" s="60">
        <f>IF(AND(tblFleet[[#This Row],[Units]]&lt;&gt;"",tblFleet[[#This Row],[Calendar_h]]&gt;0),tblFleet[[#This Row],[Available_h]]/tblFleet[[#This Row],[Calendar_h]],"")</f>
        <v/>
      </c>
      <c r="J1393" s="60">
        <f>IF(AND(tblFleet[[#This Row],[Units]]&lt;&gt;"",tblFleet[[#This Row],[Available_h]]&gt;0),tblFleet[[#This Row],[Operating_h]]/tblFleet[[#This Row],[Available_h]],"")</f>
        <v/>
      </c>
    </row>
    <row r="1394">
      <c r="A1394" s="54" t="n"/>
      <c r="B1394" s="61" t="n"/>
      <c r="C1394" s="62" t="n"/>
      <c r="D1394" s="57" t="n"/>
      <c r="E1394" s="57" t="n"/>
      <c r="F1394" s="58" t="n"/>
      <c r="G1394" s="66">
        <f>IF(tblFleet[[#This Row],[Units]]="","",tblFleet[[#This Row],[Units]]*cfg_HoursPerDay)</f>
        <v/>
      </c>
      <c r="H1394" s="66">
        <f>IF(tblFleet[[#This Row],[Units]]="","",tblFleet[[#This Row],[Calendar_h]]-tblFleet[[#This Row],[Down_h]])</f>
        <v/>
      </c>
      <c r="I1394" s="60">
        <f>IF(AND(tblFleet[[#This Row],[Units]]&lt;&gt;"",tblFleet[[#This Row],[Calendar_h]]&gt;0),tblFleet[[#This Row],[Available_h]]/tblFleet[[#This Row],[Calendar_h]],"")</f>
        <v/>
      </c>
      <c r="J1394" s="60">
        <f>IF(AND(tblFleet[[#This Row],[Units]]&lt;&gt;"",tblFleet[[#This Row],[Available_h]]&gt;0),tblFleet[[#This Row],[Operating_h]]/tblFleet[[#This Row],[Available_h]],"")</f>
        <v/>
      </c>
    </row>
    <row r="1395">
      <c r="A1395" s="54" t="n"/>
      <c r="B1395" s="61" t="n"/>
      <c r="C1395" s="62" t="n"/>
      <c r="D1395" s="57" t="n"/>
      <c r="E1395" s="57" t="n"/>
      <c r="F1395" s="58" t="n"/>
      <c r="G1395" s="66">
        <f>IF(tblFleet[[#This Row],[Units]]="","",tblFleet[[#This Row],[Units]]*cfg_HoursPerDay)</f>
        <v/>
      </c>
      <c r="H1395" s="66">
        <f>IF(tblFleet[[#This Row],[Units]]="","",tblFleet[[#This Row],[Calendar_h]]-tblFleet[[#This Row],[Down_h]])</f>
        <v/>
      </c>
      <c r="I1395" s="60">
        <f>IF(AND(tblFleet[[#This Row],[Units]]&lt;&gt;"",tblFleet[[#This Row],[Calendar_h]]&gt;0),tblFleet[[#This Row],[Available_h]]/tblFleet[[#This Row],[Calendar_h]],"")</f>
        <v/>
      </c>
      <c r="J1395" s="60">
        <f>IF(AND(tblFleet[[#This Row],[Units]]&lt;&gt;"",tblFleet[[#This Row],[Available_h]]&gt;0),tblFleet[[#This Row],[Operating_h]]/tblFleet[[#This Row],[Available_h]],"")</f>
        <v/>
      </c>
    </row>
    <row r="1396">
      <c r="A1396" s="54" t="n"/>
      <c r="B1396" s="61" t="n"/>
      <c r="C1396" s="62" t="n"/>
      <c r="D1396" s="57" t="n"/>
      <c r="E1396" s="57" t="n"/>
      <c r="F1396" s="58" t="n"/>
      <c r="G1396" s="66">
        <f>IF(tblFleet[[#This Row],[Units]]="","",tblFleet[[#This Row],[Units]]*cfg_HoursPerDay)</f>
        <v/>
      </c>
      <c r="H1396" s="66">
        <f>IF(tblFleet[[#This Row],[Units]]="","",tblFleet[[#This Row],[Calendar_h]]-tblFleet[[#This Row],[Down_h]])</f>
        <v/>
      </c>
      <c r="I1396" s="60">
        <f>IF(AND(tblFleet[[#This Row],[Units]]&lt;&gt;"",tblFleet[[#This Row],[Calendar_h]]&gt;0),tblFleet[[#This Row],[Available_h]]/tblFleet[[#This Row],[Calendar_h]],"")</f>
        <v/>
      </c>
      <c r="J1396" s="60">
        <f>IF(AND(tblFleet[[#This Row],[Units]]&lt;&gt;"",tblFleet[[#This Row],[Available_h]]&gt;0),tblFleet[[#This Row],[Operating_h]]/tblFleet[[#This Row],[Available_h]],"")</f>
        <v/>
      </c>
    </row>
    <row r="1397">
      <c r="A1397" s="54" t="n"/>
      <c r="B1397" s="61" t="n"/>
      <c r="C1397" s="62" t="n"/>
      <c r="D1397" s="57" t="n"/>
      <c r="E1397" s="57" t="n"/>
      <c r="F1397" s="58" t="n"/>
      <c r="G1397" s="66">
        <f>IF(tblFleet[[#This Row],[Units]]="","",tblFleet[[#This Row],[Units]]*cfg_HoursPerDay)</f>
        <v/>
      </c>
      <c r="H1397" s="66">
        <f>IF(tblFleet[[#This Row],[Units]]="","",tblFleet[[#This Row],[Calendar_h]]-tblFleet[[#This Row],[Down_h]])</f>
        <v/>
      </c>
      <c r="I1397" s="60">
        <f>IF(AND(tblFleet[[#This Row],[Units]]&lt;&gt;"",tblFleet[[#This Row],[Calendar_h]]&gt;0),tblFleet[[#This Row],[Available_h]]/tblFleet[[#This Row],[Calendar_h]],"")</f>
        <v/>
      </c>
      <c r="J1397" s="60">
        <f>IF(AND(tblFleet[[#This Row],[Units]]&lt;&gt;"",tblFleet[[#This Row],[Available_h]]&gt;0),tblFleet[[#This Row],[Operating_h]]/tblFleet[[#This Row],[Available_h]],"")</f>
        <v/>
      </c>
    </row>
    <row r="1398">
      <c r="A1398" s="54" t="n"/>
      <c r="B1398" s="61" t="n"/>
      <c r="C1398" s="62" t="n"/>
      <c r="D1398" s="57" t="n"/>
      <c r="E1398" s="57" t="n"/>
      <c r="F1398" s="58" t="n"/>
      <c r="G1398" s="66">
        <f>IF(tblFleet[[#This Row],[Units]]="","",tblFleet[[#This Row],[Units]]*cfg_HoursPerDay)</f>
        <v/>
      </c>
      <c r="H1398" s="66">
        <f>IF(tblFleet[[#This Row],[Units]]="","",tblFleet[[#This Row],[Calendar_h]]-tblFleet[[#This Row],[Down_h]])</f>
        <v/>
      </c>
      <c r="I1398" s="60">
        <f>IF(AND(tblFleet[[#This Row],[Units]]&lt;&gt;"",tblFleet[[#This Row],[Calendar_h]]&gt;0),tblFleet[[#This Row],[Available_h]]/tblFleet[[#This Row],[Calendar_h]],"")</f>
        <v/>
      </c>
      <c r="J1398" s="60">
        <f>IF(AND(tblFleet[[#This Row],[Units]]&lt;&gt;"",tblFleet[[#This Row],[Available_h]]&gt;0),tblFleet[[#This Row],[Operating_h]]/tblFleet[[#This Row],[Available_h]],"")</f>
        <v/>
      </c>
    </row>
    <row r="1399">
      <c r="A1399" s="54" t="n"/>
      <c r="B1399" s="61" t="n"/>
      <c r="C1399" s="62" t="n"/>
      <c r="D1399" s="57" t="n"/>
      <c r="E1399" s="57" t="n"/>
      <c r="F1399" s="58" t="n"/>
      <c r="G1399" s="66">
        <f>IF(tblFleet[[#This Row],[Units]]="","",tblFleet[[#This Row],[Units]]*cfg_HoursPerDay)</f>
        <v/>
      </c>
      <c r="H1399" s="66">
        <f>IF(tblFleet[[#This Row],[Units]]="","",tblFleet[[#This Row],[Calendar_h]]-tblFleet[[#This Row],[Down_h]])</f>
        <v/>
      </c>
      <c r="I1399" s="60">
        <f>IF(AND(tblFleet[[#This Row],[Units]]&lt;&gt;"",tblFleet[[#This Row],[Calendar_h]]&gt;0),tblFleet[[#This Row],[Available_h]]/tblFleet[[#This Row],[Calendar_h]],"")</f>
        <v/>
      </c>
      <c r="J1399" s="60">
        <f>IF(AND(tblFleet[[#This Row],[Units]]&lt;&gt;"",tblFleet[[#This Row],[Available_h]]&gt;0),tblFleet[[#This Row],[Operating_h]]/tblFleet[[#This Row],[Available_h]],"")</f>
        <v/>
      </c>
    </row>
    <row r="1400">
      <c r="A1400" s="54" t="n"/>
      <c r="B1400" s="61" t="n"/>
      <c r="C1400" s="62" t="n"/>
      <c r="D1400" s="57" t="n"/>
      <c r="E1400" s="57" t="n"/>
      <c r="F1400" s="58" t="n"/>
      <c r="G1400" s="66">
        <f>IF(tblFleet[[#This Row],[Units]]="","",tblFleet[[#This Row],[Units]]*cfg_HoursPerDay)</f>
        <v/>
      </c>
      <c r="H1400" s="66">
        <f>IF(tblFleet[[#This Row],[Units]]="","",tblFleet[[#This Row],[Calendar_h]]-tblFleet[[#This Row],[Down_h]])</f>
        <v/>
      </c>
      <c r="I1400" s="60">
        <f>IF(AND(tblFleet[[#This Row],[Units]]&lt;&gt;"",tblFleet[[#This Row],[Calendar_h]]&gt;0),tblFleet[[#This Row],[Available_h]]/tblFleet[[#This Row],[Calendar_h]],"")</f>
        <v/>
      </c>
      <c r="J1400" s="60">
        <f>IF(AND(tblFleet[[#This Row],[Units]]&lt;&gt;"",tblFleet[[#This Row],[Available_h]]&gt;0),tblFleet[[#This Row],[Operating_h]]/tblFleet[[#This Row],[Available_h]],"")</f>
        <v/>
      </c>
    </row>
    <row r="1401">
      <c r="A1401" s="54" t="n"/>
      <c r="B1401" s="61" t="n"/>
      <c r="C1401" s="62" t="n"/>
      <c r="D1401" s="57" t="n"/>
      <c r="E1401" s="57" t="n"/>
      <c r="F1401" s="58" t="n"/>
      <c r="G1401" s="66">
        <f>IF(tblFleet[[#This Row],[Units]]="","",tblFleet[[#This Row],[Units]]*cfg_HoursPerDay)</f>
        <v/>
      </c>
      <c r="H1401" s="66">
        <f>IF(tblFleet[[#This Row],[Units]]="","",tblFleet[[#This Row],[Calendar_h]]-tblFleet[[#This Row],[Down_h]])</f>
        <v/>
      </c>
      <c r="I1401" s="60">
        <f>IF(AND(tblFleet[[#This Row],[Units]]&lt;&gt;"",tblFleet[[#This Row],[Calendar_h]]&gt;0),tblFleet[[#This Row],[Available_h]]/tblFleet[[#This Row],[Calendar_h]],"")</f>
        <v/>
      </c>
      <c r="J1401" s="60">
        <f>IF(AND(tblFleet[[#This Row],[Units]]&lt;&gt;"",tblFleet[[#This Row],[Available_h]]&gt;0),tblFleet[[#This Row],[Operating_h]]/tblFleet[[#This Row],[Available_h]],"")</f>
        <v/>
      </c>
    </row>
    <row r="1402">
      <c r="A1402" s="54" t="n"/>
      <c r="B1402" s="61" t="n"/>
      <c r="C1402" s="62" t="n"/>
      <c r="D1402" s="57" t="n"/>
      <c r="E1402" s="57" t="n"/>
      <c r="F1402" s="58" t="n"/>
      <c r="G1402" s="66">
        <f>IF(tblFleet[[#This Row],[Units]]="","",tblFleet[[#This Row],[Units]]*cfg_HoursPerDay)</f>
        <v/>
      </c>
      <c r="H1402" s="66">
        <f>IF(tblFleet[[#This Row],[Units]]="","",tblFleet[[#This Row],[Calendar_h]]-tblFleet[[#This Row],[Down_h]])</f>
        <v/>
      </c>
      <c r="I1402" s="60">
        <f>IF(AND(tblFleet[[#This Row],[Units]]&lt;&gt;"",tblFleet[[#This Row],[Calendar_h]]&gt;0),tblFleet[[#This Row],[Available_h]]/tblFleet[[#This Row],[Calendar_h]],"")</f>
        <v/>
      </c>
      <c r="J1402" s="60">
        <f>IF(AND(tblFleet[[#This Row],[Units]]&lt;&gt;"",tblFleet[[#This Row],[Available_h]]&gt;0),tblFleet[[#This Row],[Operating_h]]/tblFleet[[#This Row],[Available_h]],"")</f>
        <v/>
      </c>
    </row>
    <row r="1403">
      <c r="A1403" s="54" t="n"/>
      <c r="B1403" s="61" t="n"/>
      <c r="C1403" s="62" t="n"/>
      <c r="D1403" s="57" t="n"/>
      <c r="E1403" s="57" t="n"/>
      <c r="F1403" s="58" t="n"/>
      <c r="G1403" s="66">
        <f>IF(tblFleet[[#This Row],[Units]]="","",tblFleet[[#This Row],[Units]]*cfg_HoursPerDay)</f>
        <v/>
      </c>
      <c r="H1403" s="66">
        <f>IF(tblFleet[[#This Row],[Units]]="","",tblFleet[[#This Row],[Calendar_h]]-tblFleet[[#This Row],[Down_h]])</f>
        <v/>
      </c>
      <c r="I1403" s="60">
        <f>IF(AND(tblFleet[[#This Row],[Units]]&lt;&gt;"",tblFleet[[#This Row],[Calendar_h]]&gt;0),tblFleet[[#This Row],[Available_h]]/tblFleet[[#This Row],[Calendar_h]],"")</f>
        <v/>
      </c>
      <c r="J1403" s="60">
        <f>IF(AND(tblFleet[[#This Row],[Units]]&lt;&gt;"",tblFleet[[#This Row],[Available_h]]&gt;0),tblFleet[[#This Row],[Operating_h]]/tblFleet[[#This Row],[Available_h]],"")</f>
        <v/>
      </c>
    </row>
    <row r="1404">
      <c r="A1404" s="54" t="n"/>
      <c r="B1404" s="61" t="n"/>
      <c r="C1404" s="62" t="n"/>
      <c r="D1404" s="57" t="n"/>
      <c r="E1404" s="57" t="n"/>
      <c r="F1404" s="58" t="n"/>
      <c r="G1404" s="66">
        <f>IF(tblFleet[[#This Row],[Units]]="","",tblFleet[[#This Row],[Units]]*cfg_HoursPerDay)</f>
        <v/>
      </c>
      <c r="H1404" s="66">
        <f>IF(tblFleet[[#This Row],[Units]]="","",tblFleet[[#This Row],[Calendar_h]]-tblFleet[[#This Row],[Down_h]])</f>
        <v/>
      </c>
      <c r="I1404" s="60">
        <f>IF(AND(tblFleet[[#This Row],[Units]]&lt;&gt;"",tblFleet[[#This Row],[Calendar_h]]&gt;0),tblFleet[[#This Row],[Available_h]]/tblFleet[[#This Row],[Calendar_h]],"")</f>
        <v/>
      </c>
      <c r="J1404" s="60">
        <f>IF(AND(tblFleet[[#This Row],[Units]]&lt;&gt;"",tblFleet[[#This Row],[Available_h]]&gt;0),tblFleet[[#This Row],[Operating_h]]/tblFleet[[#This Row],[Available_h]],"")</f>
        <v/>
      </c>
    </row>
    <row r="1405">
      <c r="A1405" s="54" t="n"/>
      <c r="B1405" s="61" t="n"/>
      <c r="C1405" s="62" t="n"/>
      <c r="D1405" s="57" t="n"/>
      <c r="E1405" s="57" t="n"/>
      <c r="F1405" s="58" t="n"/>
      <c r="G1405" s="66">
        <f>IF(tblFleet[[#This Row],[Units]]="","",tblFleet[[#This Row],[Units]]*cfg_HoursPerDay)</f>
        <v/>
      </c>
      <c r="H1405" s="66">
        <f>IF(tblFleet[[#This Row],[Units]]="","",tblFleet[[#This Row],[Calendar_h]]-tblFleet[[#This Row],[Down_h]])</f>
        <v/>
      </c>
      <c r="I1405" s="60">
        <f>IF(AND(tblFleet[[#This Row],[Units]]&lt;&gt;"",tblFleet[[#This Row],[Calendar_h]]&gt;0),tblFleet[[#This Row],[Available_h]]/tblFleet[[#This Row],[Calendar_h]],"")</f>
        <v/>
      </c>
      <c r="J1405" s="60">
        <f>IF(AND(tblFleet[[#This Row],[Units]]&lt;&gt;"",tblFleet[[#This Row],[Available_h]]&gt;0),tblFleet[[#This Row],[Operating_h]]/tblFleet[[#This Row],[Available_h]],"")</f>
        <v/>
      </c>
    </row>
    <row r="1406">
      <c r="A1406" s="54" t="n"/>
      <c r="B1406" s="61" t="n"/>
      <c r="C1406" s="62" t="n"/>
      <c r="D1406" s="57" t="n"/>
      <c r="E1406" s="57" t="n"/>
      <c r="F1406" s="58" t="n"/>
      <c r="G1406" s="66">
        <f>IF(tblFleet[[#This Row],[Units]]="","",tblFleet[[#This Row],[Units]]*cfg_HoursPerDay)</f>
        <v/>
      </c>
      <c r="H1406" s="66">
        <f>IF(tblFleet[[#This Row],[Units]]="","",tblFleet[[#This Row],[Calendar_h]]-tblFleet[[#This Row],[Down_h]])</f>
        <v/>
      </c>
      <c r="I1406" s="60">
        <f>IF(AND(tblFleet[[#This Row],[Units]]&lt;&gt;"",tblFleet[[#This Row],[Calendar_h]]&gt;0),tblFleet[[#This Row],[Available_h]]/tblFleet[[#This Row],[Calendar_h]],"")</f>
        <v/>
      </c>
      <c r="J1406" s="60">
        <f>IF(AND(tblFleet[[#This Row],[Units]]&lt;&gt;"",tblFleet[[#This Row],[Available_h]]&gt;0),tblFleet[[#This Row],[Operating_h]]/tblFleet[[#This Row],[Available_h]],"")</f>
        <v/>
      </c>
    </row>
    <row r="1407">
      <c r="A1407" s="54" t="n"/>
      <c r="B1407" s="61" t="n"/>
      <c r="C1407" s="62" t="n"/>
      <c r="D1407" s="57" t="n"/>
      <c r="E1407" s="57" t="n"/>
      <c r="F1407" s="58" t="n"/>
      <c r="G1407" s="66">
        <f>IF(tblFleet[[#This Row],[Units]]="","",tblFleet[[#This Row],[Units]]*cfg_HoursPerDay)</f>
        <v/>
      </c>
      <c r="H1407" s="66">
        <f>IF(tblFleet[[#This Row],[Units]]="","",tblFleet[[#This Row],[Calendar_h]]-tblFleet[[#This Row],[Down_h]])</f>
        <v/>
      </c>
      <c r="I1407" s="60">
        <f>IF(AND(tblFleet[[#This Row],[Units]]&lt;&gt;"",tblFleet[[#This Row],[Calendar_h]]&gt;0),tblFleet[[#This Row],[Available_h]]/tblFleet[[#This Row],[Calendar_h]],"")</f>
        <v/>
      </c>
      <c r="J1407" s="60">
        <f>IF(AND(tblFleet[[#This Row],[Units]]&lt;&gt;"",tblFleet[[#This Row],[Available_h]]&gt;0),tblFleet[[#This Row],[Operating_h]]/tblFleet[[#This Row],[Available_h]],"")</f>
        <v/>
      </c>
    </row>
    <row r="1408">
      <c r="A1408" s="54" t="n"/>
      <c r="B1408" s="61" t="n"/>
      <c r="C1408" s="62" t="n"/>
      <c r="D1408" s="57" t="n"/>
      <c r="E1408" s="57" t="n"/>
      <c r="F1408" s="58" t="n"/>
      <c r="G1408" s="66">
        <f>IF(tblFleet[[#This Row],[Units]]="","",tblFleet[[#This Row],[Units]]*cfg_HoursPerDay)</f>
        <v/>
      </c>
      <c r="H1408" s="66">
        <f>IF(tblFleet[[#This Row],[Units]]="","",tblFleet[[#This Row],[Calendar_h]]-tblFleet[[#This Row],[Down_h]])</f>
        <v/>
      </c>
      <c r="I1408" s="60">
        <f>IF(AND(tblFleet[[#This Row],[Units]]&lt;&gt;"",tblFleet[[#This Row],[Calendar_h]]&gt;0),tblFleet[[#This Row],[Available_h]]/tblFleet[[#This Row],[Calendar_h]],"")</f>
        <v/>
      </c>
      <c r="J1408" s="60">
        <f>IF(AND(tblFleet[[#This Row],[Units]]&lt;&gt;"",tblFleet[[#This Row],[Available_h]]&gt;0),tblFleet[[#This Row],[Operating_h]]/tblFleet[[#This Row],[Available_h]],"")</f>
        <v/>
      </c>
    </row>
    <row r="1409">
      <c r="A1409" s="54" t="n"/>
      <c r="B1409" s="61" t="n"/>
      <c r="C1409" s="62" t="n"/>
      <c r="D1409" s="57" t="n"/>
      <c r="E1409" s="57" t="n"/>
      <c r="F1409" s="58" t="n"/>
      <c r="G1409" s="66">
        <f>IF(tblFleet[[#This Row],[Units]]="","",tblFleet[[#This Row],[Units]]*cfg_HoursPerDay)</f>
        <v/>
      </c>
      <c r="H1409" s="66">
        <f>IF(tblFleet[[#This Row],[Units]]="","",tblFleet[[#This Row],[Calendar_h]]-tblFleet[[#This Row],[Down_h]])</f>
        <v/>
      </c>
      <c r="I1409" s="60">
        <f>IF(AND(tblFleet[[#This Row],[Units]]&lt;&gt;"",tblFleet[[#This Row],[Calendar_h]]&gt;0),tblFleet[[#This Row],[Available_h]]/tblFleet[[#This Row],[Calendar_h]],"")</f>
        <v/>
      </c>
      <c r="J1409" s="60">
        <f>IF(AND(tblFleet[[#This Row],[Units]]&lt;&gt;"",tblFleet[[#This Row],[Available_h]]&gt;0),tblFleet[[#This Row],[Operating_h]]/tblFleet[[#This Row],[Available_h]],"")</f>
        <v/>
      </c>
    </row>
    <row r="1410">
      <c r="A1410" s="54" t="n"/>
      <c r="B1410" s="61" t="n"/>
      <c r="C1410" s="62" t="n"/>
      <c r="D1410" s="57" t="n"/>
      <c r="E1410" s="57" t="n"/>
      <c r="F1410" s="58" t="n"/>
      <c r="G1410" s="66">
        <f>IF(tblFleet[[#This Row],[Units]]="","",tblFleet[[#This Row],[Units]]*cfg_HoursPerDay)</f>
        <v/>
      </c>
      <c r="H1410" s="66">
        <f>IF(tblFleet[[#This Row],[Units]]="","",tblFleet[[#This Row],[Calendar_h]]-tblFleet[[#This Row],[Down_h]])</f>
        <v/>
      </c>
      <c r="I1410" s="60">
        <f>IF(AND(tblFleet[[#This Row],[Units]]&lt;&gt;"",tblFleet[[#This Row],[Calendar_h]]&gt;0),tblFleet[[#This Row],[Available_h]]/tblFleet[[#This Row],[Calendar_h]],"")</f>
        <v/>
      </c>
      <c r="J1410" s="60">
        <f>IF(AND(tblFleet[[#This Row],[Units]]&lt;&gt;"",tblFleet[[#This Row],[Available_h]]&gt;0),tblFleet[[#This Row],[Operating_h]]/tblFleet[[#This Row],[Available_h]],"")</f>
        <v/>
      </c>
    </row>
    <row r="1411">
      <c r="A1411" s="54" t="n"/>
      <c r="B1411" s="61" t="n"/>
      <c r="C1411" s="62" t="n"/>
      <c r="D1411" s="57" t="n"/>
      <c r="E1411" s="57" t="n"/>
      <c r="F1411" s="58" t="n"/>
      <c r="G1411" s="66">
        <f>IF(tblFleet[[#This Row],[Units]]="","",tblFleet[[#This Row],[Units]]*cfg_HoursPerDay)</f>
        <v/>
      </c>
      <c r="H1411" s="66">
        <f>IF(tblFleet[[#This Row],[Units]]="","",tblFleet[[#This Row],[Calendar_h]]-tblFleet[[#This Row],[Down_h]])</f>
        <v/>
      </c>
      <c r="I1411" s="60">
        <f>IF(AND(tblFleet[[#This Row],[Units]]&lt;&gt;"",tblFleet[[#This Row],[Calendar_h]]&gt;0),tblFleet[[#This Row],[Available_h]]/tblFleet[[#This Row],[Calendar_h]],"")</f>
        <v/>
      </c>
      <c r="J1411" s="60">
        <f>IF(AND(tblFleet[[#This Row],[Units]]&lt;&gt;"",tblFleet[[#This Row],[Available_h]]&gt;0),tblFleet[[#This Row],[Operating_h]]/tblFleet[[#This Row],[Available_h]],"")</f>
        <v/>
      </c>
    </row>
    <row r="1412">
      <c r="A1412" s="54" t="n"/>
      <c r="B1412" s="61" t="n"/>
      <c r="C1412" s="62" t="n"/>
      <c r="D1412" s="57" t="n"/>
      <c r="E1412" s="57" t="n"/>
      <c r="F1412" s="58" t="n"/>
      <c r="G1412" s="66">
        <f>IF(tblFleet[[#This Row],[Units]]="","",tblFleet[[#This Row],[Units]]*cfg_HoursPerDay)</f>
        <v/>
      </c>
      <c r="H1412" s="66">
        <f>IF(tblFleet[[#This Row],[Units]]="","",tblFleet[[#This Row],[Calendar_h]]-tblFleet[[#This Row],[Down_h]])</f>
        <v/>
      </c>
      <c r="I1412" s="60">
        <f>IF(AND(tblFleet[[#This Row],[Units]]&lt;&gt;"",tblFleet[[#This Row],[Calendar_h]]&gt;0),tblFleet[[#This Row],[Available_h]]/tblFleet[[#This Row],[Calendar_h]],"")</f>
        <v/>
      </c>
      <c r="J1412" s="60">
        <f>IF(AND(tblFleet[[#This Row],[Units]]&lt;&gt;"",tblFleet[[#This Row],[Available_h]]&gt;0),tblFleet[[#This Row],[Operating_h]]/tblFleet[[#This Row],[Available_h]],"")</f>
        <v/>
      </c>
    </row>
    <row r="1413">
      <c r="A1413" s="54" t="n"/>
      <c r="B1413" s="61" t="n"/>
      <c r="C1413" s="62" t="n"/>
      <c r="D1413" s="57" t="n"/>
      <c r="E1413" s="57" t="n"/>
      <c r="F1413" s="58" t="n"/>
      <c r="G1413" s="66">
        <f>IF(tblFleet[[#This Row],[Units]]="","",tblFleet[[#This Row],[Units]]*cfg_HoursPerDay)</f>
        <v/>
      </c>
      <c r="H1413" s="66">
        <f>IF(tblFleet[[#This Row],[Units]]="","",tblFleet[[#This Row],[Calendar_h]]-tblFleet[[#This Row],[Down_h]])</f>
        <v/>
      </c>
      <c r="I1413" s="60">
        <f>IF(AND(tblFleet[[#This Row],[Units]]&lt;&gt;"",tblFleet[[#This Row],[Calendar_h]]&gt;0),tblFleet[[#This Row],[Available_h]]/tblFleet[[#This Row],[Calendar_h]],"")</f>
        <v/>
      </c>
      <c r="J1413" s="60">
        <f>IF(AND(tblFleet[[#This Row],[Units]]&lt;&gt;"",tblFleet[[#This Row],[Available_h]]&gt;0),tblFleet[[#This Row],[Operating_h]]/tblFleet[[#This Row],[Available_h]],"")</f>
        <v/>
      </c>
    </row>
    <row r="1414">
      <c r="A1414" s="54" t="n"/>
      <c r="B1414" s="61" t="n"/>
      <c r="C1414" s="62" t="n"/>
      <c r="D1414" s="57" t="n"/>
      <c r="E1414" s="57" t="n"/>
      <c r="F1414" s="58" t="n"/>
      <c r="G1414" s="66">
        <f>IF(tblFleet[[#This Row],[Units]]="","",tblFleet[[#This Row],[Units]]*cfg_HoursPerDay)</f>
        <v/>
      </c>
      <c r="H1414" s="66">
        <f>IF(tblFleet[[#This Row],[Units]]="","",tblFleet[[#This Row],[Calendar_h]]-tblFleet[[#This Row],[Down_h]])</f>
        <v/>
      </c>
      <c r="I1414" s="60">
        <f>IF(AND(tblFleet[[#This Row],[Units]]&lt;&gt;"",tblFleet[[#This Row],[Calendar_h]]&gt;0),tblFleet[[#This Row],[Available_h]]/tblFleet[[#This Row],[Calendar_h]],"")</f>
        <v/>
      </c>
      <c r="J1414" s="60">
        <f>IF(AND(tblFleet[[#This Row],[Units]]&lt;&gt;"",tblFleet[[#This Row],[Available_h]]&gt;0),tblFleet[[#This Row],[Operating_h]]/tblFleet[[#This Row],[Available_h]],"")</f>
        <v/>
      </c>
    </row>
    <row r="1415">
      <c r="A1415" s="54" t="n"/>
      <c r="B1415" s="61" t="n"/>
      <c r="C1415" s="62" t="n"/>
      <c r="D1415" s="57" t="n"/>
      <c r="E1415" s="57" t="n"/>
      <c r="F1415" s="58" t="n"/>
      <c r="G1415" s="66">
        <f>IF(tblFleet[[#This Row],[Units]]="","",tblFleet[[#This Row],[Units]]*cfg_HoursPerDay)</f>
        <v/>
      </c>
      <c r="H1415" s="66">
        <f>IF(tblFleet[[#This Row],[Units]]="","",tblFleet[[#This Row],[Calendar_h]]-tblFleet[[#This Row],[Down_h]])</f>
        <v/>
      </c>
      <c r="I1415" s="60">
        <f>IF(AND(tblFleet[[#This Row],[Units]]&lt;&gt;"",tblFleet[[#This Row],[Calendar_h]]&gt;0),tblFleet[[#This Row],[Available_h]]/tblFleet[[#This Row],[Calendar_h]],"")</f>
        <v/>
      </c>
      <c r="J1415" s="60">
        <f>IF(AND(tblFleet[[#This Row],[Units]]&lt;&gt;"",tblFleet[[#This Row],[Available_h]]&gt;0),tblFleet[[#This Row],[Operating_h]]/tblFleet[[#This Row],[Available_h]],"")</f>
        <v/>
      </c>
    </row>
    <row r="1416">
      <c r="A1416" s="54" t="n"/>
      <c r="B1416" s="61" t="n"/>
      <c r="C1416" s="62" t="n"/>
      <c r="D1416" s="57" t="n"/>
      <c r="E1416" s="57" t="n"/>
      <c r="F1416" s="58" t="n"/>
      <c r="G1416" s="66">
        <f>IF(tblFleet[[#This Row],[Units]]="","",tblFleet[[#This Row],[Units]]*cfg_HoursPerDay)</f>
        <v/>
      </c>
      <c r="H1416" s="66">
        <f>IF(tblFleet[[#This Row],[Units]]="","",tblFleet[[#This Row],[Calendar_h]]-tblFleet[[#This Row],[Down_h]])</f>
        <v/>
      </c>
      <c r="I1416" s="60">
        <f>IF(AND(tblFleet[[#This Row],[Units]]&lt;&gt;"",tblFleet[[#This Row],[Calendar_h]]&gt;0),tblFleet[[#This Row],[Available_h]]/tblFleet[[#This Row],[Calendar_h]],"")</f>
        <v/>
      </c>
      <c r="J1416" s="60">
        <f>IF(AND(tblFleet[[#This Row],[Units]]&lt;&gt;"",tblFleet[[#This Row],[Available_h]]&gt;0),tblFleet[[#This Row],[Operating_h]]/tblFleet[[#This Row],[Available_h]],"")</f>
        <v/>
      </c>
    </row>
    <row r="1417">
      <c r="A1417" s="54" t="n"/>
      <c r="B1417" s="61" t="n"/>
      <c r="C1417" s="62" t="n"/>
      <c r="D1417" s="57" t="n"/>
      <c r="E1417" s="57" t="n"/>
      <c r="F1417" s="58" t="n"/>
      <c r="G1417" s="66">
        <f>IF(tblFleet[[#This Row],[Units]]="","",tblFleet[[#This Row],[Units]]*cfg_HoursPerDay)</f>
        <v/>
      </c>
      <c r="H1417" s="66">
        <f>IF(tblFleet[[#This Row],[Units]]="","",tblFleet[[#This Row],[Calendar_h]]-tblFleet[[#This Row],[Down_h]])</f>
        <v/>
      </c>
      <c r="I1417" s="60">
        <f>IF(AND(tblFleet[[#This Row],[Units]]&lt;&gt;"",tblFleet[[#This Row],[Calendar_h]]&gt;0),tblFleet[[#This Row],[Available_h]]/tblFleet[[#This Row],[Calendar_h]],"")</f>
        <v/>
      </c>
      <c r="J1417" s="60">
        <f>IF(AND(tblFleet[[#This Row],[Units]]&lt;&gt;"",tblFleet[[#This Row],[Available_h]]&gt;0),tblFleet[[#This Row],[Operating_h]]/tblFleet[[#This Row],[Available_h]],"")</f>
        <v/>
      </c>
    </row>
    <row r="1418">
      <c r="A1418" s="54" t="n"/>
      <c r="B1418" s="61" t="n"/>
      <c r="C1418" s="62" t="n"/>
      <c r="D1418" s="57" t="n"/>
      <c r="E1418" s="57" t="n"/>
      <c r="F1418" s="58" t="n"/>
      <c r="G1418" s="66">
        <f>IF(tblFleet[[#This Row],[Units]]="","",tblFleet[[#This Row],[Units]]*cfg_HoursPerDay)</f>
        <v/>
      </c>
      <c r="H1418" s="66">
        <f>IF(tblFleet[[#This Row],[Units]]="","",tblFleet[[#This Row],[Calendar_h]]-tblFleet[[#This Row],[Down_h]])</f>
        <v/>
      </c>
      <c r="I1418" s="60">
        <f>IF(AND(tblFleet[[#This Row],[Units]]&lt;&gt;"",tblFleet[[#This Row],[Calendar_h]]&gt;0),tblFleet[[#This Row],[Available_h]]/tblFleet[[#This Row],[Calendar_h]],"")</f>
        <v/>
      </c>
      <c r="J1418" s="60">
        <f>IF(AND(tblFleet[[#This Row],[Units]]&lt;&gt;"",tblFleet[[#This Row],[Available_h]]&gt;0),tblFleet[[#This Row],[Operating_h]]/tblFleet[[#This Row],[Available_h]],"")</f>
        <v/>
      </c>
    </row>
    <row r="1419">
      <c r="A1419" s="54" t="n"/>
      <c r="B1419" s="61" t="n"/>
      <c r="C1419" s="62" t="n"/>
      <c r="D1419" s="57" t="n"/>
      <c r="E1419" s="57" t="n"/>
      <c r="F1419" s="58" t="n"/>
      <c r="G1419" s="66">
        <f>IF(tblFleet[[#This Row],[Units]]="","",tblFleet[[#This Row],[Units]]*cfg_HoursPerDay)</f>
        <v/>
      </c>
      <c r="H1419" s="66">
        <f>IF(tblFleet[[#This Row],[Units]]="","",tblFleet[[#This Row],[Calendar_h]]-tblFleet[[#This Row],[Down_h]])</f>
        <v/>
      </c>
      <c r="I1419" s="60">
        <f>IF(AND(tblFleet[[#This Row],[Units]]&lt;&gt;"",tblFleet[[#This Row],[Calendar_h]]&gt;0),tblFleet[[#This Row],[Available_h]]/tblFleet[[#This Row],[Calendar_h]],"")</f>
        <v/>
      </c>
      <c r="J1419" s="60">
        <f>IF(AND(tblFleet[[#This Row],[Units]]&lt;&gt;"",tblFleet[[#This Row],[Available_h]]&gt;0),tblFleet[[#This Row],[Operating_h]]/tblFleet[[#This Row],[Available_h]],"")</f>
        <v/>
      </c>
    </row>
    <row r="1420">
      <c r="A1420" s="54" t="n"/>
      <c r="B1420" s="61" t="n"/>
      <c r="C1420" s="62" t="n"/>
      <c r="D1420" s="57" t="n"/>
      <c r="E1420" s="57" t="n"/>
      <c r="F1420" s="58" t="n"/>
      <c r="G1420" s="66">
        <f>IF(tblFleet[[#This Row],[Units]]="","",tblFleet[[#This Row],[Units]]*cfg_HoursPerDay)</f>
        <v/>
      </c>
      <c r="H1420" s="66">
        <f>IF(tblFleet[[#This Row],[Units]]="","",tblFleet[[#This Row],[Calendar_h]]-tblFleet[[#This Row],[Down_h]])</f>
        <v/>
      </c>
      <c r="I1420" s="60">
        <f>IF(AND(tblFleet[[#This Row],[Units]]&lt;&gt;"",tblFleet[[#This Row],[Calendar_h]]&gt;0),tblFleet[[#This Row],[Available_h]]/tblFleet[[#This Row],[Calendar_h]],"")</f>
        <v/>
      </c>
      <c r="J1420" s="60">
        <f>IF(AND(tblFleet[[#This Row],[Units]]&lt;&gt;"",tblFleet[[#This Row],[Available_h]]&gt;0),tblFleet[[#This Row],[Operating_h]]/tblFleet[[#This Row],[Available_h]],"")</f>
        <v/>
      </c>
    </row>
    <row r="1421">
      <c r="A1421" s="54" t="n"/>
      <c r="B1421" s="61" t="n"/>
      <c r="C1421" s="62" t="n"/>
      <c r="D1421" s="57" t="n"/>
      <c r="E1421" s="57" t="n"/>
      <c r="F1421" s="58" t="n"/>
      <c r="G1421" s="66">
        <f>IF(tblFleet[[#This Row],[Units]]="","",tblFleet[[#This Row],[Units]]*cfg_HoursPerDay)</f>
        <v/>
      </c>
      <c r="H1421" s="66">
        <f>IF(tblFleet[[#This Row],[Units]]="","",tblFleet[[#This Row],[Calendar_h]]-tblFleet[[#This Row],[Down_h]])</f>
        <v/>
      </c>
      <c r="I1421" s="60">
        <f>IF(AND(tblFleet[[#This Row],[Units]]&lt;&gt;"",tblFleet[[#This Row],[Calendar_h]]&gt;0),tblFleet[[#This Row],[Available_h]]/tblFleet[[#This Row],[Calendar_h]],"")</f>
        <v/>
      </c>
      <c r="J1421" s="60">
        <f>IF(AND(tblFleet[[#This Row],[Units]]&lt;&gt;"",tblFleet[[#This Row],[Available_h]]&gt;0),tblFleet[[#This Row],[Operating_h]]/tblFleet[[#This Row],[Available_h]],"")</f>
        <v/>
      </c>
    </row>
    <row r="1422">
      <c r="A1422" s="54" t="n"/>
      <c r="B1422" s="61" t="n"/>
      <c r="C1422" s="62" t="n"/>
      <c r="D1422" s="57" t="n"/>
      <c r="E1422" s="57" t="n"/>
      <c r="F1422" s="58" t="n"/>
      <c r="G1422" s="66">
        <f>IF(tblFleet[[#This Row],[Units]]="","",tblFleet[[#This Row],[Units]]*cfg_HoursPerDay)</f>
        <v/>
      </c>
      <c r="H1422" s="66">
        <f>IF(tblFleet[[#This Row],[Units]]="","",tblFleet[[#This Row],[Calendar_h]]-tblFleet[[#This Row],[Down_h]])</f>
        <v/>
      </c>
      <c r="I1422" s="60">
        <f>IF(AND(tblFleet[[#This Row],[Units]]&lt;&gt;"",tblFleet[[#This Row],[Calendar_h]]&gt;0),tblFleet[[#This Row],[Available_h]]/tblFleet[[#This Row],[Calendar_h]],"")</f>
        <v/>
      </c>
      <c r="J1422" s="60">
        <f>IF(AND(tblFleet[[#This Row],[Units]]&lt;&gt;"",tblFleet[[#This Row],[Available_h]]&gt;0),tblFleet[[#This Row],[Operating_h]]/tblFleet[[#This Row],[Available_h]],"")</f>
        <v/>
      </c>
    </row>
    <row r="1423">
      <c r="A1423" s="54" t="n"/>
      <c r="B1423" s="61" t="n"/>
      <c r="C1423" s="62" t="n"/>
      <c r="D1423" s="57" t="n"/>
      <c r="E1423" s="57" t="n"/>
      <c r="F1423" s="58" t="n"/>
      <c r="G1423" s="66">
        <f>IF(tblFleet[[#This Row],[Units]]="","",tblFleet[[#This Row],[Units]]*cfg_HoursPerDay)</f>
        <v/>
      </c>
      <c r="H1423" s="66">
        <f>IF(tblFleet[[#This Row],[Units]]="","",tblFleet[[#This Row],[Calendar_h]]-tblFleet[[#This Row],[Down_h]])</f>
        <v/>
      </c>
      <c r="I1423" s="60">
        <f>IF(AND(tblFleet[[#This Row],[Units]]&lt;&gt;"",tblFleet[[#This Row],[Calendar_h]]&gt;0),tblFleet[[#This Row],[Available_h]]/tblFleet[[#This Row],[Calendar_h]],"")</f>
        <v/>
      </c>
      <c r="J1423" s="60">
        <f>IF(AND(tblFleet[[#This Row],[Units]]&lt;&gt;"",tblFleet[[#This Row],[Available_h]]&gt;0),tblFleet[[#This Row],[Operating_h]]/tblFleet[[#This Row],[Available_h]],"")</f>
        <v/>
      </c>
    </row>
    <row r="1424">
      <c r="A1424" s="54" t="n"/>
      <c r="B1424" s="61" t="n"/>
      <c r="C1424" s="62" t="n"/>
      <c r="D1424" s="57" t="n"/>
      <c r="E1424" s="57" t="n"/>
      <c r="F1424" s="58" t="n"/>
      <c r="G1424" s="66">
        <f>IF(tblFleet[[#This Row],[Units]]="","",tblFleet[[#This Row],[Units]]*cfg_HoursPerDay)</f>
        <v/>
      </c>
      <c r="H1424" s="66">
        <f>IF(tblFleet[[#This Row],[Units]]="","",tblFleet[[#This Row],[Calendar_h]]-tblFleet[[#This Row],[Down_h]])</f>
        <v/>
      </c>
      <c r="I1424" s="60">
        <f>IF(AND(tblFleet[[#This Row],[Units]]&lt;&gt;"",tblFleet[[#This Row],[Calendar_h]]&gt;0),tblFleet[[#This Row],[Available_h]]/tblFleet[[#This Row],[Calendar_h]],"")</f>
        <v/>
      </c>
      <c r="J1424" s="60">
        <f>IF(AND(tblFleet[[#This Row],[Units]]&lt;&gt;"",tblFleet[[#This Row],[Available_h]]&gt;0),tblFleet[[#This Row],[Operating_h]]/tblFleet[[#This Row],[Available_h]],"")</f>
        <v/>
      </c>
    </row>
    <row r="1425">
      <c r="A1425" s="54" t="n"/>
      <c r="B1425" s="61" t="n"/>
      <c r="C1425" s="62" t="n"/>
      <c r="D1425" s="57" t="n"/>
      <c r="E1425" s="57" t="n"/>
      <c r="F1425" s="58" t="n"/>
      <c r="G1425" s="66">
        <f>IF(tblFleet[[#This Row],[Units]]="","",tblFleet[[#This Row],[Units]]*cfg_HoursPerDay)</f>
        <v/>
      </c>
      <c r="H1425" s="66">
        <f>IF(tblFleet[[#This Row],[Units]]="","",tblFleet[[#This Row],[Calendar_h]]-tblFleet[[#This Row],[Down_h]])</f>
        <v/>
      </c>
      <c r="I1425" s="60">
        <f>IF(AND(tblFleet[[#This Row],[Units]]&lt;&gt;"",tblFleet[[#This Row],[Calendar_h]]&gt;0),tblFleet[[#This Row],[Available_h]]/tblFleet[[#This Row],[Calendar_h]],"")</f>
        <v/>
      </c>
      <c r="J1425" s="60">
        <f>IF(AND(tblFleet[[#This Row],[Units]]&lt;&gt;"",tblFleet[[#This Row],[Available_h]]&gt;0),tblFleet[[#This Row],[Operating_h]]/tblFleet[[#This Row],[Available_h]],"")</f>
        <v/>
      </c>
    </row>
    <row r="1426">
      <c r="A1426" s="54" t="n"/>
      <c r="B1426" s="61" t="n"/>
      <c r="C1426" s="62" t="n"/>
      <c r="D1426" s="57" t="n"/>
      <c r="E1426" s="57" t="n"/>
      <c r="F1426" s="58" t="n"/>
      <c r="G1426" s="66">
        <f>IF(tblFleet[[#This Row],[Units]]="","",tblFleet[[#This Row],[Units]]*cfg_HoursPerDay)</f>
        <v/>
      </c>
      <c r="H1426" s="66">
        <f>IF(tblFleet[[#This Row],[Units]]="","",tblFleet[[#This Row],[Calendar_h]]-tblFleet[[#This Row],[Down_h]])</f>
        <v/>
      </c>
      <c r="I1426" s="60">
        <f>IF(AND(tblFleet[[#This Row],[Units]]&lt;&gt;"",tblFleet[[#This Row],[Calendar_h]]&gt;0),tblFleet[[#This Row],[Available_h]]/tblFleet[[#This Row],[Calendar_h]],"")</f>
        <v/>
      </c>
      <c r="J1426" s="60">
        <f>IF(AND(tblFleet[[#This Row],[Units]]&lt;&gt;"",tblFleet[[#This Row],[Available_h]]&gt;0),tblFleet[[#This Row],[Operating_h]]/tblFleet[[#This Row],[Available_h]],"")</f>
        <v/>
      </c>
    </row>
    <row r="1427">
      <c r="A1427" s="54" t="n"/>
      <c r="B1427" s="61" t="n"/>
      <c r="C1427" s="62" t="n"/>
      <c r="D1427" s="57" t="n"/>
      <c r="E1427" s="57" t="n"/>
      <c r="F1427" s="58" t="n"/>
      <c r="G1427" s="66">
        <f>IF(tblFleet[[#This Row],[Units]]="","",tblFleet[[#This Row],[Units]]*cfg_HoursPerDay)</f>
        <v/>
      </c>
      <c r="H1427" s="66">
        <f>IF(tblFleet[[#This Row],[Units]]="","",tblFleet[[#This Row],[Calendar_h]]-tblFleet[[#This Row],[Down_h]])</f>
        <v/>
      </c>
      <c r="I1427" s="60">
        <f>IF(AND(tblFleet[[#This Row],[Units]]&lt;&gt;"",tblFleet[[#This Row],[Calendar_h]]&gt;0),tblFleet[[#This Row],[Available_h]]/tblFleet[[#This Row],[Calendar_h]],"")</f>
        <v/>
      </c>
      <c r="J1427" s="60">
        <f>IF(AND(tblFleet[[#This Row],[Units]]&lt;&gt;"",tblFleet[[#This Row],[Available_h]]&gt;0),tblFleet[[#This Row],[Operating_h]]/tblFleet[[#This Row],[Available_h]],"")</f>
        <v/>
      </c>
    </row>
    <row r="1428">
      <c r="A1428" s="54" t="n"/>
      <c r="B1428" s="61" t="n"/>
      <c r="C1428" s="62" t="n"/>
      <c r="D1428" s="57" t="n"/>
      <c r="E1428" s="57" t="n"/>
      <c r="F1428" s="58" t="n"/>
      <c r="G1428" s="66">
        <f>IF(tblFleet[[#This Row],[Units]]="","",tblFleet[[#This Row],[Units]]*cfg_HoursPerDay)</f>
        <v/>
      </c>
      <c r="H1428" s="66">
        <f>IF(tblFleet[[#This Row],[Units]]="","",tblFleet[[#This Row],[Calendar_h]]-tblFleet[[#This Row],[Down_h]])</f>
        <v/>
      </c>
      <c r="I1428" s="60">
        <f>IF(AND(tblFleet[[#This Row],[Units]]&lt;&gt;"",tblFleet[[#This Row],[Calendar_h]]&gt;0),tblFleet[[#This Row],[Available_h]]/tblFleet[[#This Row],[Calendar_h]],"")</f>
        <v/>
      </c>
      <c r="J1428" s="60">
        <f>IF(AND(tblFleet[[#This Row],[Units]]&lt;&gt;"",tblFleet[[#This Row],[Available_h]]&gt;0),tblFleet[[#This Row],[Operating_h]]/tblFleet[[#This Row],[Available_h]],"")</f>
        <v/>
      </c>
    </row>
    <row r="1429">
      <c r="A1429" s="54" t="n"/>
      <c r="B1429" s="61" t="n"/>
      <c r="C1429" s="62" t="n"/>
      <c r="D1429" s="57" t="n"/>
      <c r="E1429" s="57" t="n"/>
      <c r="F1429" s="58" t="n"/>
      <c r="G1429" s="66">
        <f>IF(tblFleet[[#This Row],[Units]]="","",tblFleet[[#This Row],[Units]]*cfg_HoursPerDay)</f>
        <v/>
      </c>
      <c r="H1429" s="66">
        <f>IF(tblFleet[[#This Row],[Units]]="","",tblFleet[[#This Row],[Calendar_h]]-tblFleet[[#This Row],[Down_h]])</f>
        <v/>
      </c>
      <c r="I1429" s="60">
        <f>IF(AND(tblFleet[[#This Row],[Units]]&lt;&gt;"",tblFleet[[#This Row],[Calendar_h]]&gt;0),tblFleet[[#This Row],[Available_h]]/tblFleet[[#This Row],[Calendar_h]],"")</f>
        <v/>
      </c>
      <c r="J1429" s="60">
        <f>IF(AND(tblFleet[[#This Row],[Units]]&lt;&gt;"",tblFleet[[#This Row],[Available_h]]&gt;0),tblFleet[[#This Row],[Operating_h]]/tblFleet[[#This Row],[Available_h]],"")</f>
        <v/>
      </c>
    </row>
    <row r="1430">
      <c r="A1430" s="54" t="n"/>
      <c r="B1430" s="61" t="n"/>
      <c r="C1430" s="62" t="n"/>
      <c r="D1430" s="57" t="n"/>
      <c r="E1430" s="57" t="n"/>
      <c r="F1430" s="58" t="n"/>
      <c r="G1430" s="66">
        <f>IF(tblFleet[[#This Row],[Units]]="","",tblFleet[[#This Row],[Units]]*cfg_HoursPerDay)</f>
        <v/>
      </c>
      <c r="H1430" s="66">
        <f>IF(tblFleet[[#This Row],[Units]]="","",tblFleet[[#This Row],[Calendar_h]]-tblFleet[[#This Row],[Down_h]])</f>
        <v/>
      </c>
      <c r="I1430" s="60">
        <f>IF(AND(tblFleet[[#This Row],[Units]]&lt;&gt;"",tblFleet[[#This Row],[Calendar_h]]&gt;0),tblFleet[[#This Row],[Available_h]]/tblFleet[[#This Row],[Calendar_h]],"")</f>
        <v/>
      </c>
      <c r="J1430" s="60">
        <f>IF(AND(tblFleet[[#This Row],[Units]]&lt;&gt;"",tblFleet[[#This Row],[Available_h]]&gt;0),tblFleet[[#This Row],[Operating_h]]/tblFleet[[#This Row],[Available_h]],"")</f>
        <v/>
      </c>
    </row>
    <row r="1431">
      <c r="A1431" s="54" t="n"/>
      <c r="B1431" s="61" t="n"/>
      <c r="C1431" s="62" t="n"/>
      <c r="D1431" s="57" t="n"/>
      <c r="E1431" s="57" t="n"/>
      <c r="F1431" s="58" t="n"/>
      <c r="G1431" s="66">
        <f>IF(tblFleet[[#This Row],[Units]]="","",tblFleet[[#This Row],[Units]]*cfg_HoursPerDay)</f>
        <v/>
      </c>
      <c r="H1431" s="66">
        <f>IF(tblFleet[[#This Row],[Units]]="","",tblFleet[[#This Row],[Calendar_h]]-tblFleet[[#This Row],[Down_h]])</f>
        <v/>
      </c>
      <c r="I1431" s="60">
        <f>IF(AND(tblFleet[[#This Row],[Units]]&lt;&gt;"",tblFleet[[#This Row],[Calendar_h]]&gt;0),tblFleet[[#This Row],[Available_h]]/tblFleet[[#This Row],[Calendar_h]],"")</f>
        <v/>
      </c>
      <c r="J1431" s="60">
        <f>IF(AND(tblFleet[[#This Row],[Units]]&lt;&gt;"",tblFleet[[#This Row],[Available_h]]&gt;0),tblFleet[[#This Row],[Operating_h]]/tblFleet[[#This Row],[Available_h]],"")</f>
        <v/>
      </c>
    </row>
    <row r="1432">
      <c r="A1432" s="54" t="n"/>
      <c r="B1432" s="61" t="n"/>
      <c r="C1432" s="62" t="n"/>
      <c r="D1432" s="57" t="n"/>
      <c r="E1432" s="57" t="n"/>
      <c r="F1432" s="58" t="n"/>
      <c r="G1432" s="66">
        <f>IF(tblFleet[[#This Row],[Units]]="","",tblFleet[[#This Row],[Units]]*cfg_HoursPerDay)</f>
        <v/>
      </c>
      <c r="H1432" s="66">
        <f>IF(tblFleet[[#This Row],[Units]]="","",tblFleet[[#This Row],[Calendar_h]]-tblFleet[[#This Row],[Down_h]])</f>
        <v/>
      </c>
      <c r="I1432" s="60">
        <f>IF(AND(tblFleet[[#This Row],[Units]]&lt;&gt;"",tblFleet[[#This Row],[Calendar_h]]&gt;0),tblFleet[[#This Row],[Available_h]]/tblFleet[[#This Row],[Calendar_h]],"")</f>
        <v/>
      </c>
      <c r="J1432" s="60">
        <f>IF(AND(tblFleet[[#This Row],[Units]]&lt;&gt;"",tblFleet[[#This Row],[Available_h]]&gt;0),tblFleet[[#This Row],[Operating_h]]/tblFleet[[#This Row],[Available_h]],"")</f>
        <v/>
      </c>
    </row>
    <row r="1433">
      <c r="A1433" s="54" t="n"/>
      <c r="B1433" s="61" t="n"/>
      <c r="C1433" s="62" t="n"/>
      <c r="D1433" s="57" t="n"/>
      <c r="E1433" s="57" t="n"/>
      <c r="F1433" s="58" t="n"/>
      <c r="G1433" s="66">
        <f>IF(tblFleet[[#This Row],[Units]]="","",tblFleet[[#This Row],[Units]]*cfg_HoursPerDay)</f>
        <v/>
      </c>
      <c r="H1433" s="66">
        <f>IF(tblFleet[[#This Row],[Units]]="","",tblFleet[[#This Row],[Calendar_h]]-tblFleet[[#This Row],[Down_h]])</f>
        <v/>
      </c>
      <c r="I1433" s="60">
        <f>IF(AND(tblFleet[[#This Row],[Units]]&lt;&gt;"",tblFleet[[#This Row],[Calendar_h]]&gt;0),tblFleet[[#This Row],[Available_h]]/tblFleet[[#This Row],[Calendar_h]],"")</f>
        <v/>
      </c>
      <c r="J1433" s="60">
        <f>IF(AND(tblFleet[[#This Row],[Units]]&lt;&gt;"",tblFleet[[#This Row],[Available_h]]&gt;0),tblFleet[[#This Row],[Operating_h]]/tblFleet[[#This Row],[Available_h]],"")</f>
        <v/>
      </c>
    </row>
    <row r="1434">
      <c r="A1434" s="54" t="n"/>
      <c r="B1434" s="61" t="n"/>
      <c r="C1434" s="62" t="n"/>
      <c r="D1434" s="57" t="n"/>
      <c r="E1434" s="57" t="n"/>
      <c r="F1434" s="58" t="n"/>
      <c r="G1434" s="66">
        <f>IF(tblFleet[[#This Row],[Units]]="","",tblFleet[[#This Row],[Units]]*cfg_HoursPerDay)</f>
        <v/>
      </c>
      <c r="H1434" s="66">
        <f>IF(tblFleet[[#This Row],[Units]]="","",tblFleet[[#This Row],[Calendar_h]]-tblFleet[[#This Row],[Down_h]])</f>
        <v/>
      </c>
      <c r="I1434" s="60">
        <f>IF(AND(tblFleet[[#This Row],[Units]]&lt;&gt;"",tblFleet[[#This Row],[Calendar_h]]&gt;0),tblFleet[[#This Row],[Available_h]]/tblFleet[[#This Row],[Calendar_h]],"")</f>
        <v/>
      </c>
      <c r="J1434" s="60">
        <f>IF(AND(tblFleet[[#This Row],[Units]]&lt;&gt;"",tblFleet[[#This Row],[Available_h]]&gt;0),tblFleet[[#This Row],[Operating_h]]/tblFleet[[#This Row],[Available_h]],"")</f>
        <v/>
      </c>
    </row>
    <row r="1435">
      <c r="A1435" s="54" t="n"/>
      <c r="B1435" s="61" t="n"/>
      <c r="C1435" s="62" t="n"/>
      <c r="D1435" s="57" t="n"/>
      <c r="E1435" s="57" t="n"/>
      <c r="F1435" s="58" t="n"/>
      <c r="G1435" s="66">
        <f>IF(tblFleet[[#This Row],[Units]]="","",tblFleet[[#This Row],[Units]]*cfg_HoursPerDay)</f>
        <v/>
      </c>
      <c r="H1435" s="66">
        <f>IF(tblFleet[[#This Row],[Units]]="","",tblFleet[[#This Row],[Calendar_h]]-tblFleet[[#This Row],[Down_h]])</f>
        <v/>
      </c>
      <c r="I1435" s="60">
        <f>IF(AND(tblFleet[[#This Row],[Units]]&lt;&gt;"",tblFleet[[#This Row],[Calendar_h]]&gt;0),tblFleet[[#This Row],[Available_h]]/tblFleet[[#This Row],[Calendar_h]],"")</f>
        <v/>
      </c>
      <c r="J1435" s="60">
        <f>IF(AND(tblFleet[[#This Row],[Units]]&lt;&gt;"",tblFleet[[#This Row],[Available_h]]&gt;0),tblFleet[[#This Row],[Operating_h]]/tblFleet[[#This Row],[Available_h]],"")</f>
        <v/>
      </c>
    </row>
    <row r="1436">
      <c r="A1436" s="54" t="n"/>
      <c r="B1436" s="61" t="n"/>
      <c r="C1436" s="62" t="n"/>
      <c r="D1436" s="57" t="n"/>
      <c r="E1436" s="57" t="n"/>
      <c r="F1436" s="58" t="n"/>
      <c r="G1436" s="66">
        <f>IF(tblFleet[[#This Row],[Units]]="","",tblFleet[[#This Row],[Units]]*cfg_HoursPerDay)</f>
        <v/>
      </c>
      <c r="H1436" s="66">
        <f>IF(tblFleet[[#This Row],[Units]]="","",tblFleet[[#This Row],[Calendar_h]]-tblFleet[[#This Row],[Down_h]])</f>
        <v/>
      </c>
      <c r="I1436" s="60">
        <f>IF(AND(tblFleet[[#This Row],[Units]]&lt;&gt;"",tblFleet[[#This Row],[Calendar_h]]&gt;0),tblFleet[[#This Row],[Available_h]]/tblFleet[[#This Row],[Calendar_h]],"")</f>
        <v/>
      </c>
      <c r="J1436" s="60">
        <f>IF(AND(tblFleet[[#This Row],[Units]]&lt;&gt;"",tblFleet[[#This Row],[Available_h]]&gt;0),tblFleet[[#This Row],[Operating_h]]/tblFleet[[#This Row],[Available_h]],"")</f>
        <v/>
      </c>
    </row>
    <row r="1437">
      <c r="A1437" s="54" t="n"/>
      <c r="B1437" s="61" t="n"/>
      <c r="C1437" s="62" t="n"/>
      <c r="D1437" s="57" t="n"/>
      <c r="E1437" s="57" t="n"/>
      <c r="F1437" s="58" t="n"/>
      <c r="G1437" s="66">
        <f>IF(tblFleet[[#This Row],[Units]]="","",tblFleet[[#This Row],[Units]]*cfg_HoursPerDay)</f>
        <v/>
      </c>
      <c r="H1437" s="66">
        <f>IF(tblFleet[[#This Row],[Units]]="","",tblFleet[[#This Row],[Calendar_h]]-tblFleet[[#This Row],[Down_h]])</f>
        <v/>
      </c>
      <c r="I1437" s="60">
        <f>IF(AND(tblFleet[[#This Row],[Units]]&lt;&gt;"",tblFleet[[#This Row],[Calendar_h]]&gt;0),tblFleet[[#This Row],[Available_h]]/tblFleet[[#This Row],[Calendar_h]],"")</f>
        <v/>
      </c>
      <c r="J1437" s="60">
        <f>IF(AND(tblFleet[[#This Row],[Units]]&lt;&gt;"",tblFleet[[#This Row],[Available_h]]&gt;0),tblFleet[[#This Row],[Operating_h]]/tblFleet[[#This Row],[Available_h]],"")</f>
        <v/>
      </c>
    </row>
    <row r="1438">
      <c r="A1438" s="54" t="n"/>
      <c r="B1438" s="61" t="n"/>
      <c r="C1438" s="62" t="n"/>
      <c r="D1438" s="57" t="n"/>
      <c r="E1438" s="57" t="n"/>
      <c r="F1438" s="58" t="n"/>
      <c r="G1438" s="66">
        <f>IF(tblFleet[[#This Row],[Units]]="","",tblFleet[[#This Row],[Units]]*cfg_HoursPerDay)</f>
        <v/>
      </c>
      <c r="H1438" s="66">
        <f>IF(tblFleet[[#This Row],[Units]]="","",tblFleet[[#This Row],[Calendar_h]]-tblFleet[[#This Row],[Down_h]])</f>
        <v/>
      </c>
      <c r="I1438" s="60">
        <f>IF(AND(tblFleet[[#This Row],[Units]]&lt;&gt;"",tblFleet[[#This Row],[Calendar_h]]&gt;0),tblFleet[[#This Row],[Available_h]]/tblFleet[[#This Row],[Calendar_h]],"")</f>
        <v/>
      </c>
      <c r="J1438" s="60">
        <f>IF(AND(tblFleet[[#This Row],[Units]]&lt;&gt;"",tblFleet[[#This Row],[Available_h]]&gt;0),tblFleet[[#This Row],[Operating_h]]/tblFleet[[#This Row],[Available_h]],"")</f>
        <v/>
      </c>
    </row>
    <row r="1439">
      <c r="A1439" s="54" t="n"/>
      <c r="B1439" s="61" t="n"/>
      <c r="C1439" s="62" t="n"/>
      <c r="D1439" s="57" t="n"/>
      <c r="E1439" s="57" t="n"/>
      <c r="F1439" s="58" t="n"/>
      <c r="G1439" s="66">
        <f>IF(tblFleet[[#This Row],[Units]]="","",tblFleet[[#This Row],[Units]]*cfg_HoursPerDay)</f>
        <v/>
      </c>
      <c r="H1439" s="66">
        <f>IF(tblFleet[[#This Row],[Units]]="","",tblFleet[[#This Row],[Calendar_h]]-tblFleet[[#This Row],[Down_h]])</f>
        <v/>
      </c>
      <c r="I1439" s="60">
        <f>IF(AND(tblFleet[[#This Row],[Units]]&lt;&gt;"",tblFleet[[#This Row],[Calendar_h]]&gt;0),tblFleet[[#This Row],[Available_h]]/tblFleet[[#This Row],[Calendar_h]],"")</f>
        <v/>
      </c>
      <c r="J1439" s="60">
        <f>IF(AND(tblFleet[[#This Row],[Units]]&lt;&gt;"",tblFleet[[#This Row],[Available_h]]&gt;0),tblFleet[[#This Row],[Operating_h]]/tblFleet[[#This Row],[Available_h]],"")</f>
        <v/>
      </c>
    </row>
    <row r="1440">
      <c r="A1440" s="54" t="n"/>
      <c r="B1440" s="61" t="n"/>
      <c r="C1440" s="62" t="n"/>
      <c r="D1440" s="57" t="n"/>
      <c r="E1440" s="57" t="n"/>
      <c r="F1440" s="58" t="n"/>
      <c r="G1440" s="66">
        <f>IF(tblFleet[[#This Row],[Units]]="","",tblFleet[[#This Row],[Units]]*cfg_HoursPerDay)</f>
        <v/>
      </c>
      <c r="H1440" s="66">
        <f>IF(tblFleet[[#This Row],[Units]]="","",tblFleet[[#This Row],[Calendar_h]]-tblFleet[[#This Row],[Down_h]])</f>
        <v/>
      </c>
      <c r="I1440" s="60">
        <f>IF(AND(tblFleet[[#This Row],[Units]]&lt;&gt;"",tblFleet[[#This Row],[Calendar_h]]&gt;0),tblFleet[[#This Row],[Available_h]]/tblFleet[[#This Row],[Calendar_h]],"")</f>
        <v/>
      </c>
      <c r="J1440" s="60">
        <f>IF(AND(tblFleet[[#This Row],[Units]]&lt;&gt;"",tblFleet[[#This Row],[Available_h]]&gt;0),tblFleet[[#This Row],[Operating_h]]/tblFleet[[#This Row],[Available_h]],"")</f>
        <v/>
      </c>
    </row>
    <row r="1441">
      <c r="A1441" s="54" t="n"/>
      <c r="B1441" s="61" t="n"/>
      <c r="C1441" s="62" t="n"/>
      <c r="D1441" s="57" t="n"/>
      <c r="E1441" s="57" t="n"/>
      <c r="F1441" s="58" t="n"/>
      <c r="G1441" s="66">
        <f>IF(tblFleet[[#This Row],[Units]]="","",tblFleet[[#This Row],[Units]]*cfg_HoursPerDay)</f>
        <v/>
      </c>
      <c r="H1441" s="66">
        <f>IF(tblFleet[[#This Row],[Units]]="","",tblFleet[[#This Row],[Calendar_h]]-tblFleet[[#This Row],[Down_h]])</f>
        <v/>
      </c>
      <c r="I1441" s="60">
        <f>IF(AND(tblFleet[[#This Row],[Units]]&lt;&gt;"",tblFleet[[#This Row],[Calendar_h]]&gt;0),tblFleet[[#This Row],[Available_h]]/tblFleet[[#This Row],[Calendar_h]],"")</f>
        <v/>
      </c>
      <c r="J1441" s="60">
        <f>IF(AND(tblFleet[[#This Row],[Units]]&lt;&gt;"",tblFleet[[#This Row],[Available_h]]&gt;0),tblFleet[[#This Row],[Operating_h]]/tblFleet[[#This Row],[Available_h]],"")</f>
        <v/>
      </c>
    </row>
    <row r="1442">
      <c r="A1442" s="54" t="n"/>
      <c r="B1442" s="61" t="n"/>
      <c r="C1442" s="62" t="n"/>
      <c r="D1442" s="57" t="n"/>
      <c r="E1442" s="57" t="n"/>
      <c r="F1442" s="58" t="n"/>
      <c r="G1442" s="66">
        <f>IF(tblFleet[[#This Row],[Units]]="","",tblFleet[[#This Row],[Units]]*cfg_HoursPerDay)</f>
        <v/>
      </c>
      <c r="H1442" s="66">
        <f>IF(tblFleet[[#This Row],[Units]]="","",tblFleet[[#This Row],[Calendar_h]]-tblFleet[[#This Row],[Down_h]])</f>
        <v/>
      </c>
      <c r="I1442" s="60">
        <f>IF(AND(tblFleet[[#This Row],[Units]]&lt;&gt;"",tblFleet[[#This Row],[Calendar_h]]&gt;0),tblFleet[[#This Row],[Available_h]]/tblFleet[[#This Row],[Calendar_h]],"")</f>
        <v/>
      </c>
      <c r="J1442" s="60">
        <f>IF(AND(tblFleet[[#This Row],[Units]]&lt;&gt;"",tblFleet[[#This Row],[Available_h]]&gt;0),tblFleet[[#This Row],[Operating_h]]/tblFleet[[#This Row],[Available_h]],"")</f>
        <v/>
      </c>
    </row>
    <row r="1443">
      <c r="A1443" s="54" t="n"/>
      <c r="B1443" s="61" t="n"/>
      <c r="C1443" s="62" t="n"/>
      <c r="D1443" s="57" t="n"/>
      <c r="E1443" s="57" t="n"/>
      <c r="F1443" s="58" t="n"/>
      <c r="G1443" s="66">
        <f>IF(tblFleet[[#This Row],[Units]]="","",tblFleet[[#This Row],[Units]]*cfg_HoursPerDay)</f>
        <v/>
      </c>
      <c r="H1443" s="66">
        <f>IF(tblFleet[[#This Row],[Units]]="","",tblFleet[[#This Row],[Calendar_h]]-tblFleet[[#This Row],[Down_h]])</f>
        <v/>
      </c>
      <c r="I1443" s="60">
        <f>IF(AND(tblFleet[[#This Row],[Units]]&lt;&gt;"",tblFleet[[#This Row],[Calendar_h]]&gt;0),tblFleet[[#This Row],[Available_h]]/tblFleet[[#This Row],[Calendar_h]],"")</f>
        <v/>
      </c>
      <c r="J1443" s="60">
        <f>IF(AND(tblFleet[[#This Row],[Units]]&lt;&gt;"",tblFleet[[#This Row],[Available_h]]&gt;0),tblFleet[[#This Row],[Operating_h]]/tblFleet[[#This Row],[Available_h]],"")</f>
        <v/>
      </c>
    </row>
    <row r="1444">
      <c r="A1444" s="54" t="n"/>
      <c r="B1444" s="61" t="n"/>
      <c r="C1444" s="62" t="n"/>
      <c r="D1444" s="57" t="n"/>
      <c r="E1444" s="57" t="n"/>
      <c r="F1444" s="58" t="n"/>
      <c r="G1444" s="66">
        <f>IF(tblFleet[[#This Row],[Units]]="","",tblFleet[[#This Row],[Units]]*cfg_HoursPerDay)</f>
        <v/>
      </c>
      <c r="H1444" s="66">
        <f>IF(tblFleet[[#This Row],[Units]]="","",tblFleet[[#This Row],[Calendar_h]]-tblFleet[[#This Row],[Down_h]])</f>
        <v/>
      </c>
      <c r="I1444" s="60">
        <f>IF(AND(tblFleet[[#This Row],[Units]]&lt;&gt;"",tblFleet[[#This Row],[Calendar_h]]&gt;0),tblFleet[[#This Row],[Available_h]]/tblFleet[[#This Row],[Calendar_h]],"")</f>
        <v/>
      </c>
      <c r="J1444" s="60">
        <f>IF(AND(tblFleet[[#This Row],[Units]]&lt;&gt;"",tblFleet[[#This Row],[Available_h]]&gt;0),tblFleet[[#This Row],[Operating_h]]/tblFleet[[#This Row],[Available_h]],"")</f>
        <v/>
      </c>
    </row>
    <row r="1445">
      <c r="A1445" s="54" t="n"/>
      <c r="B1445" s="61" t="n"/>
      <c r="C1445" s="62" t="n"/>
      <c r="D1445" s="57" t="n"/>
      <c r="E1445" s="57" t="n"/>
      <c r="F1445" s="58" t="n"/>
      <c r="G1445" s="66">
        <f>IF(tblFleet[[#This Row],[Units]]="","",tblFleet[[#This Row],[Units]]*cfg_HoursPerDay)</f>
        <v/>
      </c>
      <c r="H1445" s="66">
        <f>IF(tblFleet[[#This Row],[Units]]="","",tblFleet[[#This Row],[Calendar_h]]-tblFleet[[#This Row],[Down_h]])</f>
        <v/>
      </c>
      <c r="I1445" s="60">
        <f>IF(AND(tblFleet[[#This Row],[Units]]&lt;&gt;"",tblFleet[[#This Row],[Calendar_h]]&gt;0),tblFleet[[#This Row],[Available_h]]/tblFleet[[#This Row],[Calendar_h]],"")</f>
        <v/>
      </c>
      <c r="J1445" s="60">
        <f>IF(AND(tblFleet[[#This Row],[Units]]&lt;&gt;"",tblFleet[[#This Row],[Available_h]]&gt;0),tblFleet[[#This Row],[Operating_h]]/tblFleet[[#This Row],[Available_h]],"")</f>
        <v/>
      </c>
    </row>
    <row r="1446">
      <c r="A1446" s="54" t="n"/>
      <c r="B1446" s="61" t="n"/>
      <c r="C1446" s="62" t="n"/>
      <c r="D1446" s="57" t="n"/>
      <c r="E1446" s="57" t="n"/>
      <c r="F1446" s="58" t="n"/>
      <c r="G1446" s="66">
        <f>IF(tblFleet[[#This Row],[Units]]="","",tblFleet[[#This Row],[Units]]*cfg_HoursPerDay)</f>
        <v/>
      </c>
      <c r="H1446" s="66">
        <f>IF(tblFleet[[#This Row],[Units]]="","",tblFleet[[#This Row],[Calendar_h]]-tblFleet[[#This Row],[Down_h]])</f>
        <v/>
      </c>
      <c r="I1446" s="60">
        <f>IF(AND(tblFleet[[#This Row],[Units]]&lt;&gt;"",tblFleet[[#This Row],[Calendar_h]]&gt;0),tblFleet[[#This Row],[Available_h]]/tblFleet[[#This Row],[Calendar_h]],"")</f>
        <v/>
      </c>
      <c r="J1446" s="60">
        <f>IF(AND(tblFleet[[#This Row],[Units]]&lt;&gt;"",tblFleet[[#This Row],[Available_h]]&gt;0),tblFleet[[#This Row],[Operating_h]]/tblFleet[[#This Row],[Available_h]],"")</f>
        <v/>
      </c>
    </row>
    <row r="1447">
      <c r="A1447" s="54" t="n"/>
      <c r="B1447" s="61" t="n"/>
      <c r="C1447" s="62" t="n"/>
      <c r="D1447" s="57" t="n"/>
      <c r="E1447" s="57" t="n"/>
      <c r="F1447" s="58" t="n"/>
      <c r="G1447" s="66">
        <f>IF(tblFleet[[#This Row],[Units]]="","",tblFleet[[#This Row],[Units]]*cfg_HoursPerDay)</f>
        <v/>
      </c>
      <c r="H1447" s="66">
        <f>IF(tblFleet[[#This Row],[Units]]="","",tblFleet[[#This Row],[Calendar_h]]-tblFleet[[#This Row],[Down_h]])</f>
        <v/>
      </c>
      <c r="I1447" s="60">
        <f>IF(AND(tblFleet[[#This Row],[Units]]&lt;&gt;"",tblFleet[[#This Row],[Calendar_h]]&gt;0),tblFleet[[#This Row],[Available_h]]/tblFleet[[#This Row],[Calendar_h]],"")</f>
        <v/>
      </c>
      <c r="J1447" s="60">
        <f>IF(AND(tblFleet[[#This Row],[Units]]&lt;&gt;"",tblFleet[[#This Row],[Available_h]]&gt;0),tblFleet[[#This Row],[Operating_h]]/tblFleet[[#This Row],[Available_h]],"")</f>
        <v/>
      </c>
    </row>
    <row r="1448">
      <c r="A1448" s="54" t="n"/>
      <c r="B1448" s="61" t="n"/>
      <c r="C1448" s="62" t="n"/>
      <c r="D1448" s="57" t="n"/>
      <c r="E1448" s="57" t="n"/>
      <c r="F1448" s="58" t="n"/>
      <c r="G1448" s="66">
        <f>IF(tblFleet[[#This Row],[Units]]="","",tblFleet[[#This Row],[Units]]*cfg_HoursPerDay)</f>
        <v/>
      </c>
      <c r="H1448" s="66">
        <f>IF(tblFleet[[#This Row],[Units]]="","",tblFleet[[#This Row],[Calendar_h]]-tblFleet[[#This Row],[Down_h]])</f>
        <v/>
      </c>
      <c r="I1448" s="60">
        <f>IF(AND(tblFleet[[#This Row],[Units]]&lt;&gt;"",tblFleet[[#This Row],[Calendar_h]]&gt;0),tblFleet[[#This Row],[Available_h]]/tblFleet[[#This Row],[Calendar_h]],"")</f>
        <v/>
      </c>
      <c r="J1448" s="60">
        <f>IF(AND(tblFleet[[#This Row],[Units]]&lt;&gt;"",tblFleet[[#This Row],[Available_h]]&gt;0),tblFleet[[#This Row],[Operating_h]]/tblFleet[[#This Row],[Available_h]],"")</f>
        <v/>
      </c>
    </row>
    <row r="1449">
      <c r="A1449" s="54" t="n"/>
      <c r="B1449" s="61" t="n"/>
      <c r="C1449" s="62" t="n"/>
      <c r="D1449" s="57" t="n"/>
      <c r="E1449" s="57" t="n"/>
      <c r="F1449" s="58" t="n"/>
      <c r="G1449" s="66">
        <f>IF(tblFleet[[#This Row],[Units]]="","",tblFleet[[#This Row],[Units]]*cfg_HoursPerDay)</f>
        <v/>
      </c>
      <c r="H1449" s="66">
        <f>IF(tblFleet[[#This Row],[Units]]="","",tblFleet[[#This Row],[Calendar_h]]-tblFleet[[#This Row],[Down_h]])</f>
        <v/>
      </c>
      <c r="I1449" s="60">
        <f>IF(AND(tblFleet[[#This Row],[Units]]&lt;&gt;"",tblFleet[[#This Row],[Calendar_h]]&gt;0),tblFleet[[#This Row],[Available_h]]/tblFleet[[#This Row],[Calendar_h]],"")</f>
        <v/>
      </c>
      <c r="J1449" s="60">
        <f>IF(AND(tblFleet[[#This Row],[Units]]&lt;&gt;"",tblFleet[[#This Row],[Available_h]]&gt;0),tblFleet[[#This Row],[Operating_h]]/tblFleet[[#This Row],[Available_h]],"")</f>
        <v/>
      </c>
    </row>
    <row r="1450">
      <c r="A1450" s="54" t="n"/>
      <c r="B1450" s="61" t="n"/>
      <c r="C1450" s="62" t="n"/>
      <c r="D1450" s="57" t="n"/>
      <c r="E1450" s="57" t="n"/>
      <c r="F1450" s="58" t="n"/>
      <c r="G1450" s="66">
        <f>IF(tblFleet[[#This Row],[Units]]="","",tblFleet[[#This Row],[Units]]*cfg_HoursPerDay)</f>
        <v/>
      </c>
      <c r="H1450" s="66">
        <f>IF(tblFleet[[#This Row],[Units]]="","",tblFleet[[#This Row],[Calendar_h]]-tblFleet[[#This Row],[Down_h]])</f>
        <v/>
      </c>
      <c r="I1450" s="60">
        <f>IF(AND(tblFleet[[#This Row],[Units]]&lt;&gt;"",tblFleet[[#This Row],[Calendar_h]]&gt;0),tblFleet[[#This Row],[Available_h]]/tblFleet[[#This Row],[Calendar_h]],"")</f>
        <v/>
      </c>
      <c r="J1450" s="60">
        <f>IF(AND(tblFleet[[#This Row],[Units]]&lt;&gt;"",tblFleet[[#This Row],[Available_h]]&gt;0),tblFleet[[#This Row],[Operating_h]]/tblFleet[[#This Row],[Available_h]],"")</f>
        <v/>
      </c>
    </row>
    <row r="1451">
      <c r="A1451" s="54" t="n"/>
      <c r="B1451" s="61" t="n"/>
      <c r="C1451" s="62" t="n"/>
      <c r="D1451" s="57" t="n"/>
      <c r="E1451" s="57" t="n"/>
      <c r="F1451" s="58" t="n"/>
      <c r="G1451" s="66">
        <f>IF(tblFleet[[#This Row],[Units]]="","",tblFleet[[#This Row],[Units]]*cfg_HoursPerDay)</f>
        <v/>
      </c>
      <c r="H1451" s="66">
        <f>IF(tblFleet[[#This Row],[Units]]="","",tblFleet[[#This Row],[Calendar_h]]-tblFleet[[#This Row],[Down_h]])</f>
        <v/>
      </c>
      <c r="I1451" s="60">
        <f>IF(AND(tblFleet[[#This Row],[Units]]&lt;&gt;"",tblFleet[[#This Row],[Calendar_h]]&gt;0),tblFleet[[#This Row],[Available_h]]/tblFleet[[#This Row],[Calendar_h]],"")</f>
        <v/>
      </c>
      <c r="J1451" s="60">
        <f>IF(AND(tblFleet[[#This Row],[Units]]&lt;&gt;"",tblFleet[[#This Row],[Available_h]]&gt;0),tblFleet[[#This Row],[Operating_h]]/tblFleet[[#This Row],[Available_h]],"")</f>
        <v/>
      </c>
    </row>
    <row r="1452">
      <c r="A1452" s="54" t="n"/>
      <c r="B1452" s="61" t="n"/>
      <c r="C1452" s="62" t="n"/>
      <c r="D1452" s="57" t="n"/>
      <c r="E1452" s="57" t="n"/>
      <c r="F1452" s="58" t="n"/>
      <c r="G1452" s="66">
        <f>IF(tblFleet[[#This Row],[Units]]="","",tblFleet[[#This Row],[Units]]*cfg_HoursPerDay)</f>
        <v/>
      </c>
      <c r="H1452" s="66">
        <f>IF(tblFleet[[#This Row],[Units]]="","",tblFleet[[#This Row],[Calendar_h]]-tblFleet[[#This Row],[Down_h]])</f>
        <v/>
      </c>
      <c r="I1452" s="60">
        <f>IF(AND(tblFleet[[#This Row],[Units]]&lt;&gt;"",tblFleet[[#This Row],[Calendar_h]]&gt;0),tblFleet[[#This Row],[Available_h]]/tblFleet[[#This Row],[Calendar_h]],"")</f>
        <v/>
      </c>
      <c r="J1452" s="60">
        <f>IF(AND(tblFleet[[#This Row],[Units]]&lt;&gt;"",tblFleet[[#This Row],[Available_h]]&gt;0),tblFleet[[#This Row],[Operating_h]]/tblFleet[[#This Row],[Available_h]],"")</f>
        <v/>
      </c>
    </row>
    <row r="1453">
      <c r="A1453" s="54" t="n"/>
      <c r="B1453" s="61" t="n"/>
      <c r="C1453" s="62" t="n"/>
      <c r="D1453" s="57" t="n"/>
      <c r="E1453" s="57" t="n"/>
      <c r="F1453" s="58" t="n"/>
      <c r="G1453" s="66">
        <f>IF(tblFleet[[#This Row],[Units]]="","",tblFleet[[#This Row],[Units]]*cfg_HoursPerDay)</f>
        <v/>
      </c>
      <c r="H1453" s="66">
        <f>IF(tblFleet[[#This Row],[Units]]="","",tblFleet[[#This Row],[Calendar_h]]-tblFleet[[#This Row],[Down_h]])</f>
        <v/>
      </c>
      <c r="I1453" s="60">
        <f>IF(AND(tblFleet[[#This Row],[Units]]&lt;&gt;"",tblFleet[[#This Row],[Calendar_h]]&gt;0),tblFleet[[#This Row],[Available_h]]/tblFleet[[#This Row],[Calendar_h]],"")</f>
        <v/>
      </c>
      <c r="J1453" s="60">
        <f>IF(AND(tblFleet[[#This Row],[Units]]&lt;&gt;"",tblFleet[[#This Row],[Available_h]]&gt;0),tblFleet[[#This Row],[Operating_h]]/tblFleet[[#This Row],[Available_h]],"")</f>
        <v/>
      </c>
    </row>
    <row r="1454">
      <c r="A1454" s="54" t="n"/>
      <c r="B1454" s="61" t="n"/>
      <c r="C1454" s="62" t="n"/>
      <c r="D1454" s="57" t="n"/>
      <c r="E1454" s="57" t="n"/>
      <c r="F1454" s="58" t="n"/>
      <c r="G1454" s="66">
        <f>IF(tblFleet[[#This Row],[Units]]="","",tblFleet[[#This Row],[Units]]*cfg_HoursPerDay)</f>
        <v/>
      </c>
      <c r="H1454" s="66">
        <f>IF(tblFleet[[#This Row],[Units]]="","",tblFleet[[#This Row],[Calendar_h]]-tblFleet[[#This Row],[Down_h]])</f>
        <v/>
      </c>
      <c r="I1454" s="60">
        <f>IF(AND(tblFleet[[#This Row],[Units]]&lt;&gt;"",tblFleet[[#This Row],[Calendar_h]]&gt;0),tblFleet[[#This Row],[Available_h]]/tblFleet[[#This Row],[Calendar_h]],"")</f>
        <v/>
      </c>
      <c r="J1454" s="60">
        <f>IF(AND(tblFleet[[#This Row],[Units]]&lt;&gt;"",tblFleet[[#This Row],[Available_h]]&gt;0),tblFleet[[#This Row],[Operating_h]]/tblFleet[[#This Row],[Available_h]],"")</f>
        <v/>
      </c>
    </row>
    <row r="1455">
      <c r="A1455" s="54" t="n"/>
      <c r="B1455" s="61" t="n"/>
      <c r="C1455" s="62" t="n"/>
      <c r="D1455" s="57" t="n"/>
      <c r="E1455" s="57" t="n"/>
      <c r="F1455" s="58" t="n"/>
      <c r="G1455" s="66">
        <f>IF(tblFleet[[#This Row],[Units]]="","",tblFleet[[#This Row],[Units]]*cfg_HoursPerDay)</f>
        <v/>
      </c>
      <c r="H1455" s="66">
        <f>IF(tblFleet[[#This Row],[Units]]="","",tblFleet[[#This Row],[Calendar_h]]-tblFleet[[#This Row],[Down_h]])</f>
        <v/>
      </c>
      <c r="I1455" s="60">
        <f>IF(AND(tblFleet[[#This Row],[Units]]&lt;&gt;"",tblFleet[[#This Row],[Calendar_h]]&gt;0),tblFleet[[#This Row],[Available_h]]/tblFleet[[#This Row],[Calendar_h]],"")</f>
        <v/>
      </c>
      <c r="J1455" s="60">
        <f>IF(AND(tblFleet[[#This Row],[Units]]&lt;&gt;"",tblFleet[[#This Row],[Available_h]]&gt;0),tblFleet[[#This Row],[Operating_h]]/tblFleet[[#This Row],[Available_h]],"")</f>
        <v/>
      </c>
    </row>
    <row r="1456">
      <c r="A1456" s="54" t="n"/>
      <c r="B1456" s="61" t="n"/>
      <c r="C1456" s="62" t="n"/>
      <c r="D1456" s="57" t="n"/>
      <c r="E1456" s="57" t="n"/>
      <c r="F1456" s="58" t="n"/>
      <c r="G1456" s="66">
        <f>IF(tblFleet[[#This Row],[Units]]="","",tblFleet[[#This Row],[Units]]*cfg_HoursPerDay)</f>
        <v/>
      </c>
      <c r="H1456" s="66">
        <f>IF(tblFleet[[#This Row],[Units]]="","",tblFleet[[#This Row],[Calendar_h]]-tblFleet[[#This Row],[Down_h]])</f>
        <v/>
      </c>
      <c r="I1456" s="60">
        <f>IF(AND(tblFleet[[#This Row],[Units]]&lt;&gt;"",tblFleet[[#This Row],[Calendar_h]]&gt;0),tblFleet[[#This Row],[Available_h]]/tblFleet[[#This Row],[Calendar_h]],"")</f>
        <v/>
      </c>
      <c r="J1456" s="60">
        <f>IF(AND(tblFleet[[#This Row],[Units]]&lt;&gt;"",tblFleet[[#This Row],[Available_h]]&gt;0),tblFleet[[#This Row],[Operating_h]]/tblFleet[[#This Row],[Available_h]],"")</f>
        <v/>
      </c>
    </row>
    <row r="1457">
      <c r="A1457" s="54" t="n"/>
      <c r="B1457" s="61" t="n"/>
      <c r="C1457" s="62" t="n"/>
      <c r="D1457" s="57" t="n"/>
      <c r="E1457" s="57" t="n"/>
      <c r="F1457" s="58" t="n"/>
      <c r="G1457" s="66">
        <f>IF(tblFleet[[#This Row],[Units]]="","",tblFleet[[#This Row],[Units]]*cfg_HoursPerDay)</f>
        <v/>
      </c>
      <c r="H1457" s="66">
        <f>IF(tblFleet[[#This Row],[Units]]="","",tblFleet[[#This Row],[Calendar_h]]-tblFleet[[#This Row],[Down_h]])</f>
        <v/>
      </c>
      <c r="I1457" s="60">
        <f>IF(AND(tblFleet[[#This Row],[Units]]&lt;&gt;"",tblFleet[[#This Row],[Calendar_h]]&gt;0),tblFleet[[#This Row],[Available_h]]/tblFleet[[#This Row],[Calendar_h]],"")</f>
        <v/>
      </c>
      <c r="J1457" s="60">
        <f>IF(AND(tblFleet[[#This Row],[Units]]&lt;&gt;"",tblFleet[[#This Row],[Available_h]]&gt;0),tblFleet[[#This Row],[Operating_h]]/tblFleet[[#This Row],[Available_h]],"")</f>
        <v/>
      </c>
    </row>
    <row r="1458">
      <c r="A1458" s="54" t="n"/>
      <c r="B1458" s="61" t="n"/>
      <c r="C1458" s="62" t="n"/>
      <c r="D1458" s="57" t="n"/>
      <c r="E1458" s="57" t="n"/>
      <c r="F1458" s="58" t="n"/>
      <c r="G1458" s="66">
        <f>IF(tblFleet[[#This Row],[Units]]="","",tblFleet[[#This Row],[Units]]*cfg_HoursPerDay)</f>
        <v/>
      </c>
      <c r="H1458" s="66">
        <f>IF(tblFleet[[#This Row],[Units]]="","",tblFleet[[#This Row],[Calendar_h]]-tblFleet[[#This Row],[Down_h]])</f>
        <v/>
      </c>
      <c r="I1458" s="60">
        <f>IF(AND(tblFleet[[#This Row],[Units]]&lt;&gt;"",tblFleet[[#This Row],[Calendar_h]]&gt;0),tblFleet[[#This Row],[Available_h]]/tblFleet[[#This Row],[Calendar_h]],"")</f>
        <v/>
      </c>
      <c r="J1458" s="60">
        <f>IF(AND(tblFleet[[#This Row],[Units]]&lt;&gt;"",tblFleet[[#This Row],[Available_h]]&gt;0),tblFleet[[#This Row],[Operating_h]]/tblFleet[[#This Row],[Available_h]],"")</f>
        <v/>
      </c>
    </row>
    <row r="1459">
      <c r="A1459" s="54" t="n"/>
      <c r="B1459" s="61" t="n"/>
      <c r="C1459" s="62" t="n"/>
      <c r="D1459" s="57" t="n"/>
      <c r="E1459" s="57" t="n"/>
      <c r="F1459" s="58" t="n"/>
      <c r="G1459" s="66">
        <f>IF(tblFleet[[#This Row],[Units]]="","",tblFleet[[#This Row],[Units]]*cfg_HoursPerDay)</f>
        <v/>
      </c>
      <c r="H1459" s="66">
        <f>IF(tblFleet[[#This Row],[Units]]="","",tblFleet[[#This Row],[Calendar_h]]-tblFleet[[#This Row],[Down_h]])</f>
        <v/>
      </c>
      <c r="I1459" s="60">
        <f>IF(AND(tblFleet[[#This Row],[Units]]&lt;&gt;"",tblFleet[[#This Row],[Calendar_h]]&gt;0),tblFleet[[#This Row],[Available_h]]/tblFleet[[#This Row],[Calendar_h]],"")</f>
        <v/>
      </c>
      <c r="J1459" s="60">
        <f>IF(AND(tblFleet[[#This Row],[Units]]&lt;&gt;"",tblFleet[[#This Row],[Available_h]]&gt;0),tblFleet[[#This Row],[Operating_h]]/tblFleet[[#This Row],[Available_h]],"")</f>
        <v/>
      </c>
    </row>
    <row r="1460">
      <c r="A1460" s="54" t="n"/>
      <c r="B1460" s="61" t="n"/>
      <c r="C1460" s="62" t="n"/>
      <c r="D1460" s="57" t="n"/>
      <c r="E1460" s="57" t="n"/>
      <c r="F1460" s="58" t="n"/>
      <c r="G1460" s="66">
        <f>IF(tblFleet[[#This Row],[Units]]="","",tblFleet[[#This Row],[Units]]*cfg_HoursPerDay)</f>
        <v/>
      </c>
      <c r="H1460" s="66">
        <f>IF(tblFleet[[#This Row],[Units]]="","",tblFleet[[#This Row],[Calendar_h]]-tblFleet[[#This Row],[Down_h]])</f>
        <v/>
      </c>
      <c r="I1460" s="60">
        <f>IF(AND(tblFleet[[#This Row],[Units]]&lt;&gt;"",tblFleet[[#This Row],[Calendar_h]]&gt;0),tblFleet[[#This Row],[Available_h]]/tblFleet[[#This Row],[Calendar_h]],"")</f>
        <v/>
      </c>
      <c r="J1460" s="60">
        <f>IF(AND(tblFleet[[#This Row],[Units]]&lt;&gt;"",tblFleet[[#This Row],[Available_h]]&gt;0),tblFleet[[#This Row],[Operating_h]]/tblFleet[[#This Row],[Available_h]],"")</f>
        <v/>
      </c>
    </row>
    <row r="1461">
      <c r="A1461" s="54" t="n"/>
      <c r="B1461" s="61" t="n"/>
      <c r="C1461" s="62" t="n"/>
      <c r="D1461" s="57" t="n"/>
      <c r="E1461" s="57" t="n"/>
      <c r="F1461" s="58" t="n"/>
      <c r="G1461" s="66">
        <f>IF(tblFleet[[#This Row],[Units]]="","",tblFleet[[#This Row],[Units]]*cfg_HoursPerDay)</f>
        <v/>
      </c>
      <c r="H1461" s="66">
        <f>IF(tblFleet[[#This Row],[Units]]="","",tblFleet[[#This Row],[Calendar_h]]-tblFleet[[#This Row],[Down_h]])</f>
        <v/>
      </c>
      <c r="I1461" s="60">
        <f>IF(AND(tblFleet[[#This Row],[Units]]&lt;&gt;"",tblFleet[[#This Row],[Calendar_h]]&gt;0),tblFleet[[#This Row],[Available_h]]/tblFleet[[#This Row],[Calendar_h]],"")</f>
        <v/>
      </c>
      <c r="J1461" s="60">
        <f>IF(AND(tblFleet[[#This Row],[Units]]&lt;&gt;"",tblFleet[[#This Row],[Available_h]]&gt;0),tblFleet[[#This Row],[Operating_h]]/tblFleet[[#This Row],[Available_h]],"")</f>
        <v/>
      </c>
    </row>
    <row r="1462">
      <c r="A1462" s="54" t="n"/>
      <c r="B1462" s="61" t="n"/>
      <c r="C1462" s="62" t="n"/>
      <c r="D1462" s="57" t="n"/>
      <c r="E1462" s="57" t="n"/>
      <c r="F1462" s="58" t="n"/>
      <c r="G1462" s="66">
        <f>IF(tblFleet[[#This Row],[Units]]="","",tblFleet[[#This Row],[Units]]*cfg_HoursPerDay)</f>
        <v/>
      </c>
      <c r="H1462" s="66">
        <f>IF(tblFleet[[#This Row],[Units]]="","",tblFleet[[#This Row],[Calendar_h]]-tblFleet[[#This Row],[Down_h]])</f>
        <v/>
      </c>
      <c r="I1462" s="60">
        <f>IF(AND(tblFleet[[#This Row],[Units]]&lt;&gt;"",tblFleet[[#This Row],[Calendar_h]]&gt;0),tblFleet[[#This Row],[Available_h]]/tblFleet[[#This Row],[Calendar_h]],"")</f>
        <v/>
      </c>
      <c r="J1462" s="60">
        <f>IF(AND(tblFleet[[#This Row],[Units]]&lt;&gt;"",tblFleet[[#This Row],[Available_h]]&gt;0),tblFleet[[#This Row],[Operating_h]]/tblFleet[[#This Row],[Available_h]],"")</f>
        <v/>
      </c>
    </row>
    <row r="1463">
      <c r="A1463" s="54" t="n"/>
      <c r="B1463" s="61" t="n"/>
      <c r="C1463" s="62" t="n"/>
      <c r="D1463" s="57" t="n"/>
      <c r="E1463" s="57" t="n"/>
      <c r="F1463" s="58" t="n"/>
      <c r="G1463" s="66">
        <f>IF(tblFleet[[#This Row],[Units]]="","",tblFleet[[#This Row],[Units]]*cfg_HoursPerDay)</f>
        <v/>
      </c>
      <c r="H1463" s="66">
        <f>IF(tblFleet[[#This Row],[Units]]="","",tblFleet[[#This Row],[Calendar_h]]-tblFleet[[#This Row],[Down_h]])</f>
        <v/>
      </c>
      <c r="I1463" s="60">
        <f>IF(AND(tblFleet[[#This Row],[Units]]&lt;&gt;"",tblFleet[[#This Row],[Calendar_h]]&gt;0),tblFleet[[#This Row],[Available_h]]/tblFleet[[#This Row],[Calendar_h]],"")</f>
        <v/>
      </c>
      <c r="J1463" s="60">
        <f>IF(AND(tblFleet[[#This Row],[Units]]&lt;&gt;"",tblFleet[[#This Row],[Available_h]]&gt;0),tblFleet[[#This Row],[Operating_h]]/tblFleet[[#This Row],[Available_h]],"")</f>
        <v/>
      </c>
    </row>
    <row r="1464">
      <c r="A1464" s="54" t="n"/>
      <c r="B1464" s="61" t="n"/>
      <c r="C1464" s="62" t="n"/>
      <c r="D1464" s="57" t="n"/>
      <c r="E1464" s="57" t="n"/>
      <c r="F1464" s="58" t="n"/>
      <c r="G1464" s="66">
        <f>IF(tblFleet[[#This Row],[Units]]="","",tblFleet[[#This Row],[Units]]*cfg_HoursPerDay)</f>
        <v/>
      </c>
      <c r="H1464" s="66">
        <f>IF(tblFleet[[#This Row],[Units]]="","",tblFleet[[#This Row],[Calendar_h]]-tblFleet[[#This Row],[Down_h]])</f>
        <v/>
      </c>
      <c r="I1464" s="60">
        <f>IF(AND(tblFleet[[#This Row],[Units]]&lt;&gt;"",tblFleet[[#This Row],[Calendar_h]]&gt;0),tblFleet[[#This Row],[Available_h]]/tblFleet[[#This Row],[Calendar_h]],"")</f>
        <v/>
      </c>
      <c r="J1464" s="60">
        <f>IF(AND(tblFleet[[#This Row],[Units]]&lt;&gt;"",tblFleet[[#This Row],[Available_h]]&gt;0),tblFleet[[#This Row],[Operating_h]]/tblFleet[[#This Row],[Available_h]],"")</f>
        <v/>
      </c>
    </row>
    <row r="1465">
      <c r="A1465" s="54" t="n"/>
      <c r="B1465" s="61" t="n"/>
      <c r="C1465" s="62" t="n"/>
      <c r="D1465" s="57" t="n"/>
      <c r="E1465" s="57" t="n"/>
      <c r="F1465" s="58" t="n"/>
      <c r="G1465" s="66">
        <f>IF(tblFleet[[#This Row],[Units]]="","",tblFleet[[#This Row],[Units]]*cfg_HoursPerDay)</f>
        <v/>
      </c>
      <c r="H1465" s="66">
        <f>IF(tblFleet[[#This Row],[Units]]="","",tblFleet[[#This Row],[Calendar_h]]-tblFleet[[#This Row],[Down_h]])</f>
        <v/>
      </c>
      <c r="I1465" s="60">
        <f>IF(AND(tblFleet[[#This Row],[Units]]&lt;&gt;"",tblFleet[[#This Row],[Calendar_h]]&gt;0),tblFleet[[#This Row],[Available_h]]/tblFleet[[#This Row],[Calendar_h]],"")</f>
        <v/>
      </c>
      <c r="J1465" s="60">
        <f>IF(AND(tblFleet[[#This Row],[Units]]&lt;&gt;"",tblFleet[[#This Row],[Available_h]]&gt;0),tblFleet[[#This Row],[Operating_h]]/tblFleet[[#This Row],[Available_h]],"")</f>
        <v/>
      </c>
    </row>
    <row r="1466">
      <c r="A1466" s="54" t="n"/>
      <c r="B1466" s="61" t="n"/>
      <c r="C1466" s="62" t="n"/>
      <c r="D1466" s="57" t="n"/>
      <c r="E1466" s="57" t="n"/>
      <c r="F1466" s="58" t="n"/>
      <c r="G1466" s="66">
        <f>IF(tblFleet[[#This Row],[Units]]="","",tblFleet[[#This Row],[Units]]*cfg_HoursPerDay)</f>
        <v/>
      </c>
      <c r="H1466" s="66">
        <f>IF(tblFleet[[#This Row],[Units]]="","",tblFleet[[#This Row],[Calendar_h]]-tblFleet[[#This Row],[Down_h]])</f>
        <v/>
      </c>
      <c r="I1466" s="60">
        <f>IF(AND(tblFleet[[#This Row],[Units]]&lt;&gt;"",tblFleet[[#This Row],[Calendar_h]]&gt;0),tblFleet[[#This Row],[Available_h]]/tblFleet[[#This Row],[Calendar_h]],"")</f>
        <v/>
      </c>
      <c r="J1466" s="60">
        <f>IF(AND(tblFleet[[#This Row],[Units]]&lt;&gt;"",tblFleet[[#This Row],[Available_h]]&gt;0),tblFleet[[#This Row],[Operating_h]]/tblFleet[[#This Row],[Available_h]],"")</f>
        <v/>
      </c>
    </row>
    <row r="1467">
      <c r="A1467" s="54" t="n"/>
      <c r="B1467" s="61" t="n"/>
      <c r="C1467" s="62" t="n"/>
      <c r="D1467" s="57" t="n"/>
      <c r="E1467" s="57" t="n"/>
      <c r="F1467" s="58" t="n"/>
      <c r="G1467" s="66">
        <f>IF(tblFleet[[#This Row],[Units]]="","",tblFleet[[#This Row],[Units]]*cfg_HoursPerDay)</f>
        <v/>
      </c>
      <c r="H1467" s="66">
        <f>IF(tblFleet[[#This Row],[Units]]="","",tblFleet[[#This Row],[Calendar_h]]-tblFleet[[#This Row],[Down_h]])</f>
        <v/>
      </c>
      <c r="I1467" s="60">
        <f>IF(AND(tblFleet[[#This Row],[Units]]&lt;&gt;"",tblFleet[[#This Row],[Calendar_h]]&gt;0),tblFleet[[#This Row],[Available_h]]/tblFleet[[#This Row],[Calendar_h]],"")</f>
        <v/>
      </c>
      <c r="J1467" s="60">
        <f>IF(AND(tblFleet[[#This Row],[Units]]&lt;&gt;"",tblFleet[[#This Row],[Available_h]]&gt;0),tblFleet[[#This Row],[Operating_h]]/tblFleet[[#This Row],[Available_h]],"")</f>
        <v/>
      </c>
    </row>
    <row r="1468">
      <c r="A1468" s="54" t="n"/>
      <c r="B1468" s="61" t="n"/>
      <c r="C1468" s="62" t="n"/>
      <c r="D1468" s="57" t="n"/>
      <c r="E1468" s="57" t="n"/>
      <c r="F1468" s="58" t="n"/>
      <c r="G1468" s="66">
        <f>IF(tblFleet[[#This Row],[Units]]="","",tblFleet[[#This Row],[Units]]*cfg_HoursPerDay)</f>
        <v/>
      </c>
      <c r="H1468" s="66">
        <f>IF(tblFleet[[#This Row],[Units]]="","",tblFleet[[#This Row],[Calendar_h]]-tblFleet[[#This Row],[Down_h]])</f>
        <v/>
      </c>
      <c r="I1468" s="60">
        <f>IF(AND(tblFleet[[#This Row],[Units]]&lt;&gt;"",tblFleet[[#This Row],[Calendar_h]]&gt;0),tblFleet[[#This Row],[Available_h]]/tblFleet[[#This Row],[Calendar_h]],"")</f>
        <v/>
      </c>
      <c r="J1468" s="60">
        <f>IF(AND(tblFleet[[#This Row],[Units]]&lt;&gt;"",tblFleet[[#This Row],[Available_h]]&gt;0),tblFleet[[#This Row],[Operating_h]]/tblFleet[[#This Row],[Available_h]],"")</f>
        <v/>
      </c>
    </row>
    <row r="1469">
      <c r="A1469" s="54" t="n"/>
      <c r="B1469" s="61" t="n"/>
      <c r="C1469" s="62" t="n"/>
      <c r="D1469" s="57" t="n"/>
      <c r="E1469" s="57" t="n"/>
      <c r="F1469" s="58" t="n"/>
      <c r="G1469" s="66">
        <f>IF(tblFleet[[#This Row],[Units]]="","",tblFleet[[#This Row],[Units]]*cfg_HoursPerDay)</f>
        <v/>
      </c>
      <c r="H1469" s="66">
        <f>IF(tblFleet[[#This Row],[Units]]="","",tblFleet[[#This Row],[Calendar_h]]-tblFleet[[#This Row],[Down_h]])</f>
        <v/>
      </c>
      <c r="I1469" s="60">
        <f>IF(AND(tblFleet[[#This Row],[Units]]&lt;&gt;"",tblFleet[[#This Row],[Calendar_h]]&gt;0),tblFleet[[#This Row],[Available_h]]/tblFleet[[#This Row],[Calendar_h]],"")</f>
        <v/>
      </c>
      <c r="J1469" s="60">
        <f>IF(AND(tblFleet[[#This Row],[Units]]&lt;&gt;"",tblFleet[[#This Row],[Available_h]]&gt;0),tblFleet[[#This Row],[Operating_h]]/tblFleet[[#This Row],[Available_h]],"")</f>
        <v/>
      </c>
    </row>
    <row r="1470">
      <c r="A1470" s="54" t="n"/>
      <c r="B1470" s="61" t="n"/>
      <c r="C1470" s="62" t="n"/>
      <c r="D1470" s="57" t="n"/>
      <c r="E1470" s="57" t="n"/>
      <c r="F1470" s="58" t="n"/>
      <c r="G1470" s="66">
        <f>IF(tblFleet[[#This Row],[Units]]="","",tblFleet[[#This Row],[Units]]*cfg_HoursPerDay)</f>
        <v/>
      </c>
      <c r="H1470" s="66">
        <f>IF(tblFleet[[#This Row],[Units]]="","",tblFleet[[#This Row],[Calendar_h]]-tblFleet[[#This Row],[Down_h]])</f>
        <v/>
      </c>
      <c r="I1470" s="60">
        <f>IF(AND(tblFleet[[#This Row],[Units]]&lt;&gt;"",tblFleet[[#This Row],[Calendar_h]]&gt;0),tblFleet[[#This Row],[Available_h]]/tblFleet[[#This Row],[Calendar_h]],"")</f>
        <v/>
      </c>
      <c r="J1470" s="60">
        <f>IF(AND(tblFleet[[#This Row],[Units]]&lt;&gt;"",tblFleet[[#This Row],[Available_h]]&gt;0),tblFleet[[#This Row],[Operating_h]]/tblFleet[[#This Row],[Available_h]],"")</f>
        <v/>
      </c>
    </row>
    <row r="1471">
      <c r="A1471" s="54" t="n"/>
      <c r="B1471" s="61" t="n"/>
      <c r="C1471" s="62" t="n"/>
      <c r="D1471" s="57" t="n"/>
      <c r="E1471" s="57" t="n"/>
      <c r="F1471" s="58" t="n"/>
      <c r="G1471" s="66">
        <f>IF(tblFleet[[#This Row],[Units]]="","",tblFleet[[#This Row],[Units]]*cfg_HoursPerDay)</f>
        <v/>
      </c>
      <c r="H1471" s="66">
        <f>IF(tblFleet[[#This Row],[Units]]="","",tblFleet[[#This Row],[Calendar_h]]-tblFleet[[#This Row],[Down_h]])</f>
        <v/>
      </c>
      <c r="I1471" s="60">
        <f>IF(AND(tblFleet[[#This Row],[Units]]&lt;&gt;"",tblFleet[[#This Row],[Calendar_h]]&gt;0),tblFleet[[#This Row],[Available_h]]/tblFleet[[#This Row],[Calendar_h]],"")</f>
        <v/>
      </c>
      <c r="J1471" s="60">
        <f>IF(AND(tblFleet[[#This Row],[Units]]&lt;&gt;"",tblFleet[[#This Row],[Available_h]]&gt;0),tblFleet[[#This Row],[Operating_h]]/tblFleet[[#This Row],[Available_h]],"")</f>
        <v/>
      </c>
    </row>
    <row r="1472">
      <c r="A1472" s="54" t="n"/>
      <c r="B1472" s="61" t="n"/>
      <c r="C1472" s="62" t="n"/>
      <c r="D1472" s="57" t="n"/>
      <c r="E1472" s="57" t="n"/>
      <c r="F1472" s="58" t="n"/>
      <c r="G1472" s="66">
        <f>IF(tblFleet[[#This Row],[Units]]="","",tblFleet[[#This Row],[Units]]*cfg_HoursPerDay)</f>
        <v/>
      </c>
      <c r="H1472" s="66">
        <f>IF(tblFleet[[#This Row],[Units]]="","",tblFleet[[#This Row],[Calendar_h]]-tblFleet[[#This Row],[Down_h]])</f>
        <v/>
      </c>
      <c r="I1472" s="60">
        <f>IF(AND(tblFleet[[#This Row],[Units]]&lt;&gt;"",tblFleet[[#This Row],[Calendar_h]]&gt;0),tblFleet[[#This Row],[Available_h]]/tblFleet[[#This Row],[Calendar_h]],"")</f>
        <v/>
      </c>
      <c r="J1472" s="60">
        <f>IF(AND(tblFleet[[#This Row],[Units]]&lt;&gt;"",tblFleet[[#This Row],[Available_h]]&gt;0),tblFleet[[#This Row],[Operating_h]]/tblFleet[[#This Row],[Available_h]],"")</f>
        <v/>
      </c>
    </row>
    <row r="1473">
      <c r="A1473" s="54" t="n"/>
      <c r="B1473" s="61" t="n"/>
      <c r="C1473" s="62" t="n"/>
      <c r="D1473" s="57" t="n"/>
      <c r="E1473" s="57" t="n"/>
      <c r="F1473" s="58" t="n"/>
      <c r="G1473" s="66">
        <f>IF(tblFleet[[#This Row],[Units]]="","",tblFleet[[#This Row],[Units]]*cfg_HoursPerDay)</f>
        <v/>
      </c>
      <c r="H1473" s="66">
        <f>IF(tblFleet[[#This Row],[Units]]="","",tblFleet[[#This Row],[Calendar_h]]-tblFleet[[#This Row],[Down_h]])</f>
        <v/>
      </c>
      <c r="I1473" s="60">
        <f>IF(AND(tblFleet[[#This Row],[Units]]&lt;&gt;"",tblFleet[[#This Row],[Calendar_h]]&gt;0),tblFleet[[#This Row],[Available_h]]/tblFleet[[#This Row],[Calendar_h]],"")</f>
        <v/>
      </c>
      <c r="J1473" s="60">
        <f>IF(AND(tblFleet[[#This Row],[Units]]&lt;&gt;"",tblFleet[[#This Row],[Available_h]]&gt;0),tblFleet[[#This Row],[Operating_h]]/tblFleet[[#This Row],[Available_h]],"")</f>
        <v/>
      </c>
    </row>
    <row r="1474">
      <c r="A1474" s="54" t="n"/>
      <c r="B1474" s="61" t="n"/>
      <c r="C1474" s="62" t="n"/>
      <c r="D1474" s="57" t="n"/>
      <c r="E1474" s="57" t="n"/>
      <c r="F1474" s="58" t="n"/>
      <c r="G1474" s="66">
        <f>IF(tblFleet[[#This Row],[Units]]="","",tblFleet[[#This Row],[Units]]*cfg_HoursPerDay)</f>
        <v/>
      </c>
      <c r="H1474" s="66">
        <f>IF(tblFleet[[#This Row],[Units]]="","",tblFleet[[#This Row],[Calendar_h]]-tblFleet[[#This Row],[Down_h]])</f>
        <v/>
      </c>
      <c r="I1474" s="60">
        <f>IF(AND(tblFleet[[#This Row],[Units]]&lt;&gt;"",tblFleet[[#This Row],[Calendar_h]]&gt;0),tblFleet[[#This Row],[Available_h]]/tblFleet[[#This Row],[Calendar_h]],"")</f>
        <v/>
      </c>
      <c r="J1474" s="60">
        <f>IF(AND(tblFleet[[#This Row],[Units]]&lt;&gt;"",tblFleet[[#This Row],[Available_h]]&gt;0),tblFleet[[#This Row],[Operating_h]]/tblFleet[[#This Row],[Available_h]],"")</f>
        <v/>
      </c>
    </row>
    <row r="1475">
      <c r="A1475" s="54" t="n"/>
      <c r="B1475" s="61" t="n"/>
      <c r="C1475" s="62" t="n"/>
      <c r="D1475" s="57" t="n"/>
      <c r="E1475" s="57" t="n"/>
      <c r="F1475" s="58" t="n"/>
      <c r="G1475" s="66">
        <f>IF(tblFleet[[#This Row],[Units]]="","",tblFleet[[#This Row],[Units]]*cfg_HoursPerDay)</f>
        <v/>
      </c>
      <c r="H1475" s="66">
        <f>IF(tblFleet[[#This Row],[Units]]="","",tblFleet[[#This Row],[Calendar_h]]-tblFleet[[#This Row],[Down_h]])</f>
        <v/>
      </c>
      <c r="I1475" s="60">
        <f>IF(AND(tblFleet[[#This Row],[Units]]&lt;&gt;"",tblFleet[[#This Row],[Calendar_h]]&gt;0),tblFleet[[#This Row],[Available_h]]/tblFleet[[#This Row],[Calendar_h]],"")</f>
        <v/>
      </c>
      <c r="J1475" s="60">
        <f>IF(AND(tblFleet[[#This Row],[Units]]&lt;&gt;"",tblFleet[[#This Row],[Available_h]]&gt;0),tblFleet[[#This Row],[Operating_h]]/tblFleet[[#This Row],[Available_h]],"")</f>
        <v/>
      </c>
    </row>
    <row r="1476">
      <c r="A1476" s="54" t="n"/>
      <c r="B1476" s="61" t="n"/>
      <c r="C1476" s="62" t="n"/>
      <c r="D1476" s="57" t="n"/>
      <c r="E1476" s="57" t="n"/>
      <c r="F1476" s="58" t="n"/>
      <c r="G1476" s="66">
        <f>IF(tblFleet[[#This Row],[Units]]="","",tblFleet[[#This Row],[Units]]*cfg_HoursPerDay)</f>
        <v/>
      </c>
      <c r="H1476" s="66">
        <f>IF(tblFleet[[#This Row],[Units]]="","",tblFleet[[#This Row],[Calendar_h]]-tblFleet[[#This Row],[Down_h]])</f>
        <v/>
      </c>
      <c r="I1476" s="60">
        <f>IF(AND(tblFleet[[#This Row],[Units]]&lt;&gt;"",tblFleet[[#This Row],[Calendar_h]]&gt;0),tblFleet[[#This Row],[Available_h]]/tblFleet[[#This Row],[Calendar_h]],"")</f>
        <v/>
      </c>
      <c r="J1476" s="60">
        <f>IF(AND(tblFleet[[#This Row],[Units]]&lt;&gt;"",tblFleet[[#This Row],[Available_h]]&gt;0),tblFleet[[#This Row],[Operating_h]]/tblFleet[[#This Row],[Available_h]],"")</f>
        <v/>
      </c>
    </row>
    <row r="1477">
      <c r="A1477" s="54" t="n"/>
      <c r="B1477" s="61" t="n"/>
      <c r="C1477" s="62" t="n"/>
      <c r="D1477" s="57" t="n"/>
      <c r="E1477" s="57" t="n"/>
      <c r="F1477" s="58" t="n"/>
      <c r="G1477" s="66">
        <f>IF(tblFleet[[#This Row],[Units]]="","",tblFleet[[#This Row],[Units]]*cfg_HoursPerDay)</f>
        <v/>
      </c>
      <c r="H1477" s="66">
        <f>IF(tblFleet[[#This Row],[Units]]="","",tblFleet[[#This Row],[Calendar_h]]-tblFleet[[#This Row],[Down_h]])</f>
        <v/>
      </c>
      <c r="I1477" s="60">
        <f>IF(AND(tblFleet[[#This Row],[Units]]&lt;&gt;"",tblFleet[[#This Row],[Calendar_h]]&gt;0),tblFleet[[#This Row],[Available_h]]/tblFleet[[#This Row],[Calendar_h]],"")</f>
        <v/>
      </c>
      <c r="J1477" s="60">
        <f>IF(AND(tblFleet[[#This Row],[Units]]&lt;&gt;"",tblFleet[[#This Row],[Available_h]]&gt;0),tblFleet[[#This Row],[Operating_h]]/tblFleet[[#This Row],[Available_h]],"")</f>
        <v/>
      </c>
    </row>
    <row r="1478">
      <c r="A1478" s="54" t="n"/>
      <c r="B1478" s="61" t="n"/>
      <c r="C1478" s="62" t="n"/>
      <c r="D1478" s="57" t="n"/>
      <c r="E1478" s="57" t="n"/>
      <c r="F1478" s="58" t="n"/>
      <c r="G1478" s="66">
        <f>IF(tblFleet[[#This Row],[Units]]="","",tblFleet[[#This Row],[Units]]*cfg_HoursPerDay)</f>
        <v/>
      </c>
      <c r="H1478" s="66">
        <f>IF(tblFleet[[#This Row],[Units]]="","",tblFleet[[#This Row],[Calendar_h]]-tblFleet[[#This Row],[Down_h]])</f>
        <v/>
      </c>
      <c r="I1478" s="60">
        <f>IF(AND(tblFleet[[#This Row],[Units]]&lt;&gt;"",tblFleet[[#This Row],[Calendar_h]]&gt;0),tblFleet[[#This Row],[Available_h]]/tblFleet[[#This Row],[Calendar_h]],"")</f>
        <v/>
      </c>
      <c r="J1478" s="60">
        <f>IF(AND(tblFleet[[#This Row],[Units]]&lt;&gt;"",tblFleet[[#This Row],[Available_h]]&gt;0),tblFleet[[#This Row],[Operating_h]]/tblFleet[[#This Row],[Available_h]],"")</f>
        <v/>
      </c>
    </row>
    <row r="1479">
      <c r="A1479" s="54" t="n"/>
      <c r="B1479" s="61" t="n"/>
      <c r="C1479" s="62" t="n"/>
      <c r="D1479" s="57" t="n"/>
      <c r="E1479" s="57" t="n"/>
      <c r="F1479" s="58" t="n"/>
      <c r="G1479" s="66">
        <f>IF(tblFleet[[#This Row],[Units]]="","",tblFleet[[#This Row],[Units]]*cfg_HoursPerDay)</f>
        <v/>
      </c>
      <c r="H1479" s="66">
        <f>IF(tblFleet[[#This Row],[Units]]="","",tblFleet[[#This Row],[Calendar_h]]-tblFleet[[#This Row],[Down_h]])</f>
        <v/>
      </c>
      <c r="I1479" s="60">
        <f>IF(AND(tblFleet[[#This Row],[Units]]&lt;&gt;"",tblFleet[[#This Row],[Calendar_h]]&gt;0),tblFleet[[#This Row],[Available_h]]/tblFleet[[#This Row],[Calendar_h]],"")</f>
        <v/>
      </c>
      <c r="J1479" s="60">
        <f>IF(AND(tblFleet[[#This Row],[Units]]&lt;&gt;"",tblFleet[[#This Row],[Available_h]]&gt;0),tblFleet[[#This Row],[Operating_h]]/tblFleet[[#This Row],[Available_h]],"")</f>
        <v/>
      </c>
    </row>
    <row r="1480">
      <c r="A1480" s="54" t="n"/>
      <c r="B1480" s="61" t="n"/>
      <c r="C1480" s="62" t="n"/>
      <c r="D1480" s="57" t="n"/>
      <c r="E1480" s="57" t="n"/>
      <c r="F1480" s="58" t="n"/>
      <c r="G1480" s="66">
        <f>IF(tblFleet[[#This Row],[Units]]="","",tblFleet[[#This Row],[Units]]*cfg_HoursPerDay)</f>
        <v/>
      </c>
      <c r="H1480" s="66">
        <f>IF(tblFleet[[#This Row],[Units]]="","",tblFleet[[#This Row],[Calendar_h]]-tblFleet[[#This Row],[Down_h]])</f>
        <v/>
      </c>
      <c r="I1480" s="60">
        <f>IF(AND(tblFleet[[#This Row],[Units]]&lt;&gt;"",tblFleet[[#This Row],[Calendar_h]]&gt;0),tblFleet[[#This Row],[Available_h]]/tblFleet[[#This Row],[Calendar_h]],"")</f>
        <v/>
      </c>
      <c r="J1480" s="60">
        <f>IF(AND(tblFleet[[#This Row],[Units]]&lt;&gt;"",tblFleet[[#This Row],[Available_h]]&gt;0),tblFleet[[#This Row],[Operating_h]]/tblFleet[[#This Row],[Available_h]],"")</f>
        <v/>
      </c>
    </row>
    <row r="1481">
      <c r="A1481" s="54" t="n"/>
      <c r="B1481" s="61" t="n"/>
      <c r="C1481" s="62" t="n"/>
      <c r="D1481" s="57" t="n"/>
      <c r="E1481" s="57" t="n"/>
      <c r="F1481" s="58" t="n"/>
      <c r="G1481" s="66">
        <f>IF(tblFleet[[#This Row],[Units]]="","",tblFleet[[#This Row],[Units]]*cfg_HoursPerDay)</f>
        <v/>
      </c>
      <c r="H1481" s="66">
        <f>IF(tblFleet[[#This Row],[Units]]="","",tblFleet[[#This Row],[Calendar_h]]-tblFleet[[#This Row],[Down_h]])</f>
        <v/>
      </c>
      <c r="I1481" s="60">
        <f>IF(AND(tblFleet[[#This Row],[Units]]&lt;&gt;"",tblFleet[[#This Row],[Calendar_h]]&gt;0),tblFleet[[#This Row],[Available_h]]/tblFleet[[#This Row],[Calendar_h]],"")</f>
        <v/>
      </c>
      <c r="J1481" s="60">
        <f>IF(AND(tblFleet[[#This Row],[Units]]&lt;&gt;"",tblFleet[[#This Row],[Available_h]]&gt;0),tblFleet[[#This Row],[Operating_h]]/tblFleet[[#This Row],[Available_h]],"")</f>
        <v/>
      </c>
    </row>
    <row r="1482">
      <c r="A1482" s="54" t="n"/>
      <c r="B1482" s="61" t="n"/>
      <c r="C1482" s="62" t="n"/>
      <c r="D1482" s="57" t="n"/>
      <c r="E1482" s="57" t="n"/>
      <c r="F1482" s="58" t="n"/>
      <c r="G1482" s="66">
        <f>IF(tblFleet[[#This Row],[Units]]="","",tblFleet[[#This Row],[Units]]*cfg_HoursPerDay)</f>
        <v/>
      </c>
      <c r="H1482" s="66">
        <f>IF(tblFleet[[#This Row],[Units]]="","",tblFleet[[#This Row],[Calendar_h]]-tblFleet[[#This Row],[Down_h]])</f>
        <v/>
      </c>
      <c r="I1482" s="60">
        <f>IF(AND(tblFleet[[#This Row],[Units]]&lt;&gt;"",tblFleet[[#This Row],[Calendar_h]]&gt;0),tblFleet[[#This Row],[Available_h]]/tblFleet[[#This Row],[Calendar_h]],"")</f>
        <v/>
      </c>
      <c r="J1482" s="60">
        <f>IF(AND(tblFleet[[#This Row],[Units]]&lt;&gt;"",tblFleet[[#This Row],[Available_h]]&gt;0),tblFleet[[#This Row],[Operating_h]]/tblFleet[[#This Row],[Available_h]],"")</f>
        <v/>
      </c>
    </row>
    <row r="1483">
      <c r="A1483" s="54" t="n"/>
      <c r="B1483" s="61" t="n"/>
      <c r="C1483" s="62" t="n"/>
      <c r="D1483" s="57" t="n"/>
      <c r="E1483" s="57" t="n"/>
      <c r="F1483" s="58" t="n"/>
      <c r="G1483" s="66">
        <f>IF(tblFleet[[#This Row],[Units]]="","",tblFleet[[#This Row],[Units]]*cfg_HoursPerDay)</f>
        <v/>
      </c>
      <c r="H1483" s="66">
        <f>IF(tblFleet[[#This Row],[Units]]="","",tblFleet[[#This Row],[Calendar_h]]-tblFleet[[#This Row],[Down_h]])</f>
        <v/>
      </c>
      <c r="I1483" s="60">
        <f>IF(AND(tblFleet[[#This Row],[Units]]&lt;&gt;"",tblFleet[[#This Row],[Calendar_h]]&gt;0),tblFleet[[#This Row],[Available_h]]/tblFleet[[#This Row],[Calendar_h]],"")</f>
        <v/>
      </c>
      <c r="J1483" s="60">
        <f>IF(AND(tblFleet[[#This Row],[Units]]&lt;&gt;"",tblFleet[[#This Row],[Available_h]]&gt;0),tblFleet[[#This Row],[Operating_h]]/tblFleet[[#This Row],[Available_h]],"")</f>
        <v/>
      </c>
    </row>
    <row r="1484">
      <c r="A1484" s="54" t="n"/>
      <c r="B1484" s="61" t="n"/>
      <c r="C1484" s="62" t="n"/>
      <c r="D1484" s="57" t="n"/>
      <c r="E1484" s="57" t="n"/>
      <c r="F1484" s="58" t="n"/>
      <c r="G1484" s="66">
        <f>IF(tblFleet[[#This Row],[Units]]="","",tblFleet[[#This Row],[Units]]*cfg_HoursPerDay)</f>
        <v/>
      </c>
      <c r="H1484" s="66">
        <f>IF(tblFleet[[#This Row],[Units]]="","",tblFleet[[#This Row],[Calendar_h]]-tblFleet[[#This Row],[Down_h]])</f>
        <v/>
      </c>
      <c r="I1484" s="60">
        <f>IF(AND(tblFleet[[#This Row],[Units]]&lt;&gt;"",tblFleet[[#This Row],[Calendar_h]]&gt;0),tblFleet[[#This Row],[Available_h]]/tblFleet[[#This Row],[Calendar_h]],"")</f>
        <v/>
      </c>
      <c r="J1484" s="60">
        <f>IF(AND(tblFleet[[#This Row],[Units]]&lt;&gt;"",tblFleet[[#This Row],[Available_h]]&gt;0),tblFleet[[#This Row],[Operating_h]]/tblFleet[[#This Row],[Available_h]],"")</f>
        <v/>
      </c>
    </row>
    <row r="1485">
      <c r="A1485" s="54" t="n"/>
      <c r="B1485" s="61" t="n"/>
      <c r="C1485" s="62" t="n"/>
      <c r="D1485" s="57" t="n"/>
      <c r="E1485" s="57" t="n"/>
      <c r="F1485" s="58" t="n"/>
      <c r="G1485" s="66">
        <f>IF(tblFleet[[#This Row],[Units]]="","",tblFleet[[#This Row],[Units]]*cfg_HoursPerDay)</f>
        <v/>
      </c>
      <c r="H1485" s="66">
        <f>IF(tblFleet[[#This Row],[Units]]="","",tblFleet[[#This Row],[Calendar_h]]-tblFleet[[#This Row],[Down_h]])</f>
        <v/>
      </c>
      <c r="I1485" s="60">
        <f>IF(AND(tblFleet[[#This Row],[Units]]&lt;&gt;"",tblFleet[[#This Row],[Calendar_h]]&gt;0),tblFleet[[#This Row],[Available_h]]/tblFleet[[#This Row],[Calendar_h]],"")</f>
        <v/>
      </c>
      <c r="J1485" s="60">
        <f>IF(AND(tblFleet[[#This Row],[Units]]&lt;&gt;"",tblFleet[[#This Row],[Available_h]]&gt;0),tblFleet[[#This Row],[Operating_h]]/tblFleet[[#This Row],[Available_h]],"")</f>
        <v/>
      </c>
    </row>
    <row r="1486">
      <c r="A1486" s="54" t="n"/>
      <c r="B1486" s="61" t="n"/>
      <c r="C1486" s="62" t="n"/>
      <c r="D1486" s="57" t="n"/>
      <c r="E1486" s="57" t="n"/>
      <c r="F1486" s="58" t="n"/>
      <c r="G1486" s="66">
        <f>IF(tblFleet[[#This Row],[Units]]="","",tblFleet[[#This Row],[Units]]*cfg_HoursPerDay)</f>
        <v/>
      </c>
      <c r="H1486" s="66">
        <f>IF(tblFleet[[#This Row],[Units]]="","",tblFleet[[#This Row],[Calendar_h]]-tblFleet[[#This Row],[Down_h]])</f>
        <v/>
      </c>
      <c r="I1486" s="60">
        <f>IF(AND(tblFleet[[#This Row],[Units]]&lt;&gt;"",tblFleet[[#This Row],[Calendar_h]]&gt;0),tblFleet[[#This Row],[Available_h]]/tblFleet[[#This Row],[Calendar_h]],"")</f>
        <v/>
      </c>
      <c r="J1486" s="60">
        <f>IF(AND(tblFleet[[#This Row],[Units]]&lt;&gt;"",tblFleet[[#This Row],[Available_h]]&gt;0),tblFleet[[#This Row],[Operating_h]]/tblFleet[[#This Row],[Available_h]],"")</f>
        <v/>
      </c>
    </row>
    <row r="1487">
      <c r="A1487" s="54" t="n"/>
      <c r="B1487" s="61" t="n"/>
      <c r="C1487" s="62" t="n"/>
      <c r="D1487" s="57" t="n"/>
      <c r="E1487" s="57" t="n"/>
      <c r="F1487" s="58" t="n"/>
      <c r="G1487" s="66">
        <f>IF(tblFleet[[#This Row],[Units]]="","",tblFleet[[#This Row],[Units]]*cfg_HoursPerDay)</f>
        <v/>
      </c>
      <c r="H1487" s="66">
        <f>IF(tblFleet[[#This Row],[Units]]="","",tblFleet[[#This Row],[Calendar_h]]-tblFleet[[#This Row],[Down_h]])</f>
        <v/>
      </c>
      <c r="I1487" s="60">
        <f>IF(AND(tblFleet[[#This Row],[Units]]&lt;&gt;"",tblFleet[[#This Row],[Calendar_h]]&gt;0),tblFleet[[#This Row],[Available_h]]/tblFleet[[#This Row],[Calendar_h]],"")</f>
        <v/>
      </c>
      <c r="J1487" s="60">
        <f>IF(AND(tblFleet[[#This Row],[Units]]&lt;&gt;"",tblFleet[[#This Row],[Available_h]]&gt;0),tblFleet[[#This Row],[Operating_h]]/tblFleet[[#This Row],[Available_h]],"")</f>
        <v/>
      </c>
    </row>
    <row r="1488">
      <c r="A1488" s="54" t="n"/>
      <c r="B1488" s="61" t="n"/>
      <c r="C1488" s="62" t="n"/>
      <c r="D1488" s="57" t="n"/>
      <c r="E1488" s="57" t="n"/>
      <c r="F1488" s="58" t="n"/>
      <c r="G1488" s="66">
        <f>IF(tblFleet[[#This Row],[Units]]="","",tblFleet[[#This Row],[Units]]*cfg_HoursPerDay)</f>
        <v/>
      </c>
      <c r="H1488" s="66">
        <f>IF(tblFleet[[#This Row],[Units]]="","",tblFleet[[#This Row],[Calendar_h]]-tblFleet[[#This Row],[Down_h]])</f>
        <v/>
      </c>
      <c r="I1488" s="60">
        <f>IF(AND(tblFleet[[#This Row],[Units]]&lt;&gt;"",tblFleet[[#This Row],[Calendar_h]]&gt;0),tblFleet[[#This Row],[Available_h]]/tblFleet[[#This Row],[Calendar_h]],"")</f>
        <v/>
      </c>
      <c r="J1488" s="60">
        <f>IF(AND(tblFleet[[#This Row],[Units]]&lt;&gt;"",tblFleet[[#This Row],[Available_h]]&gt;0),tblFleet[[#This Row],[Operating_h]]/tblFleet[[#This Row],[Available_h]],"")</f>
        <v/>
      </c>
    </row>
    <row r="1489">
      <c r="A1489" s="54" t="n"/>
      <c r="B1489" s="61" t="n"/>
      <c r="C1489" s="62" t="n"/>
      <c r="D1489" s="57" t="n"/>
      <c r="E1489" s="57" t="n"/>
      <c r="F1489" s="58" t="n"/>
      <c r="G1489" s="66">
        <f>IF(tblFleet[[#This Row],[Units]]="","",tblFleet[[#This Row],[Units]]*cfg_HoursPerDay)</f>
        <v/>
      </c>
      <c r="H1489" s="66">
        <f>IF(tblFleet[[#This Row],[Units]]="","",tblFleet[[#This Row],[Calendar_h]]-tblFleet[[#This Row],[Down_h]])</f>
        <v/>
      </c>
      <c r="I1489" s="60">
        <f>IF(AND(tblFleet[[#This Row],[Units]]&lt;&gt;"",tblFleet[[#This Row],[Calendar_h]]&gt;0),tblFleet[[#This Row],[Available_h]]/tblFleet[[#This Row],[Calendar_h]],"")</f>
        <v/>
      </c>
      <c r="J1489" s="60">
        <f>IF(AND(tblFleet[[#This Row],[Units]]&lt;&gt;"",tblFleet[[#This Row],[Available_h]]&gt;0),tblFleet[[#This Row],[Operating_h]]/tblFleet[[#This Row],[Available_h]],"")</f>
        <v/>
      </c>
    </row>
    <row r="1490">
      <c r="A1490" s="54" t="n"/>
      <c r="B1490" s="61" t="n"/>
      <c r="C1490" s="62" t="n"/>
      <c r="D1490" s="57" t="n"/>
      <c r="E1490" s="57" t="n"/>
      <c r="F1490" s="58" t="n"/>
      <c r="G1490" s="66">
        <f>IF(tblFleet[[#This Row],[Units]]="","",tblFleet[[#This Row],[Units]]*cfg_HoursPerDay)</f>
        <v/>
      </c>
      <c r="H1490" s="66">
        <f>IF(tblFleet[[#This Row],[Units]]="","",tblFleet[[#This Row],[Calendar_h]]-tblFleet[[#This Row],[Down_h]])</f>
        <v/>
      </c>
      <c r="I1490" s="60">
        <f>IF(AND(tblFleet[[#This Row],[Units]]&lt;&gt;"",tblFleet[[#This Row],[Calendar_h]]&gt;0),tblFleet[[#This Row],[Available_h]]/tblFleet[[#This Row],[Calendar_h]],"")</f>
        <v/>
      </c>
      <c r="J1490" s="60">
        <f>IF(AND(tblFleet[[#This Row],[Units]]&lt;&gt;"",tblFleet[[#This Row],[Available_h]]&gt;0),tblFleet[[#This Row],[Operating_h]]/tblFleet[[#This Row],[Available_h]],"")</f>
        <v/>
      </c>
    </row>
    <row r="1491">
      <c r="A1491" s="54" t="n"/>
      <c r="B1491" s="61" t="n"/>
      <c r="C1491" s="62" t="n"/>
      <c r="D1491" s="57" t="n"/>
      <c r="E1491" s="57" t="n"/>
      <c r="F1491" s="58" t="n"/>
      <c r="G1491" s="66">
        <f>IF(tblFleet[[#This Row],[Units]]="","",tblFleet[[#This Row],[Units]]*cfg_HoursPerDay)</f>
        <v/>
      </c>
      <c r="H1491" s="66">
        <f>IF(tblFleet[[#This Row],[Units]]="","",tblFleet[[#This Row],[Calendar_h]]-tblFleet[[#This Row],[Down_h]])</f>
        <v/>
      </c>
      <c r="I1491" s="60">
        <f>IF(AND(tblFleet[[#This Row],[Units]]&lt;&gt;"",tblFleet[[#This Row],[Calendar_h]]&gt;0),tblFleet[[#This Row],[Available_h]]/tblFleet[[#This Row],[Calendar_h]],"")</f>
        <v/>
      </c>
      <c r="J1491" s="60">
        <f>IF(AND(tblFleet[[#This Row],[Units]]&lt;&gt;"",tblFleet[[#This Row],[Available_h]]&gt;0),tblFleet[[#This Row],[Operating_h]]/tblFleet[[#This Row],[Available_h]],"")</f>
        <v/>
      </c>
    </row>
    <row r="1492">
      <c r="A1492" s="54" t="n"/>
      <c r="B1492" s="61" t="n"/>
      <c r="C1492" s="62" t="n"/>
      <c r="D1492" s="57" t="n"/>
      <c r="E1492" s="57" t="n"/>
      <c r="F1492" s="58" t="n"/>
      <c r="G1492" s="66">
        <f>IF(tblFleet[[#This Row],[Units]]="","",tblFleet[[#This Row],[Units]]*cfg_HoursPerDay)</f>
        <v/>
      </c>
      <c r="H1492" s="66">
        <f>IF(tblFleet[[#This Row],[Units]]="","",tblFleet[[#This Row],[Calendar_h]]-tblFleet[[#This Row],[Down_h]])</f>
        <v/>
      </c>
      <c r="I1492" s="60">
        <f>IF(AND(tblFleet[[#This Row],[Units]]&lt;&gt;"",tblFleet[[#This Row],[Calendar_h]]&gt;0),tblFleet[[#This Row],[Available_h]]/tblFleet[[#This Row],[Calendar_h]],"")</f>
        <v/>
      </c>
      <c r="J1492" s="60">
        <f>IF(AND(tblFleet[[#This Row],[Units]]&lt;&gt;"",tblFleet[[#This Row],[Available_h]]&gt;0),tblFleet[[#This Row],[Operating_h]]/tblFleet[[#This Row],[Available_h]],"")</f>
        <v/>
      </c>
    </row>
    <row r="1493">
      <c r="A1493" s="54" t="n"/>
      <c r="B1493" s="61" t="n"/>
      <c r="C1493" s="62" t="n"/>
      <c r="D1493" s="57" t="n"/>
      <c r="E1493" s="57" t="n"/>
      <c r="F1493" s="58" t="n"/>
      <c r="G1493" s="66">
        <f>IF(tblFleet[[#This Row],[Units]]="","",tblFleet[[#This Row],[Units]]*cfg_HoursPerDay)</f>
        <v/>
      </c>
      <c r="H1493" s="66">
        <f>IF(tblFleet[[#This Row],[Units]]="","",tblFleet[[#This Row],[Calendar_h]]-tblFleet[[#This Row],[Down_h]])</f>
        <v/>
      </c>
      <c r="I1493" s="60">
        <f>IF(AND(tblFleet[[#This Row],[Units]]&lt;&gt;"",tblFleet[[#This Row],[Calendar_h]]&gt;0),tblFleet[[#This Row],[Available_h]]/tblFleet[[#This Row],[Calendar_h]],"")</f>
        <v/>
      </c>
      <c r="J1493" s="60">
        <f>IF(AND(tblFleet[[#This Row],[Units]]&lt;&gt;"",tblFleet[[#This Row],[Available_h]]&gt;0),tblFleet[[#This Row],[Operating_h]]/tblFleet[[#This Row],[Available_h]],"")</f>
        <v/>
      </c>
    </row>
    <row r="1494">
      <c r="A1494" s="54" t="n"/>
      <c r="B1494" s="61" t="n"/>
      <c r="C1494" s="62" t="n"/>
      <c r="D1494" s="57" t="n"/>
      <c r="E1494" s="57" t="n"/>
      <c r="F1494" s="58" t="n"/>
      <c r="G1494" s="66">
        <f>IF(tblFleet[[#This Row],[Units]]="","",tblFleet[[#This Row],[Units]]*cfg_HoursPerDay)</f>
        <v/>
      </c>
      <c r="H1494" s="66">
        <f>IF(tblFleet[[#This Row],[Units]]="","",tblFleet[[#This Row],[Calendar_h]]-tblFleet[[#This Row],[Down_h]])</f>
        <v/>
      </c>
      <c r="I1494" s="60">
        <f>IF(AND(tblFleet[[#This Row],[Units]]&lt;&gt;"",tblFleet[[#This Row],[Calendar_h]]&gt;0),tblFleet[[#This Row],[Available_h]]/tblFleet[[#This Row],[Calendar_h]],"")</f>
        <v/>
      </c>
      <c r="J1494" s="60">
        <f>IF(AND(tblFleet[[#This Row],[Units]]&lt;&gt;"",tblFleet[[#This Row],[Available_h]]&gt;0),tblFleet[[#This Row],[Operating_h]]/tblFleet[[#This Row],[Available_h]],"")</f>
        <v/>
      </c>
    </row>
    <row r="1495">
      <c r="A1495" s="54" t="n"/>
      <c r="B1495" s="61" t="n"/>
      <c r="C1495" s="62" t="n"/>
      <c r="D1495" s="57" t="n"/>
      <c r="E1495" s="57" t="n"/>
      <c r="F1495" s="58" t="n"/>
      <c r="G1495" s="66">
        <f>IF(tblFleet[[#This Row],[Units]]="","",tblFleet[[#This Row],[Units]]*cfg_HoursPerDay)</f>
        <v/>
      </c>
      <c r="H1495" s="66">
        <f>IF(tblFleet[[#This Row],[Units]]="","",tblFleet[[#This Row],[Calendar_h]]-tblFleet[[#This Row],[Down_h]])</f>
        <v/>
      </c>
      <c r="I1495" s="60">
        <f>IF(AND(tblFleet[[#This Row],[Units]]&lt;&gt;"",tblFleet[[#This Row],[Calendar_h]]&gt;0),tblFleet[[#This Row],[Available_h]]/tblFleet[[#This Row],[Calendar_h]],"")</f>
        <v/>
      </c>
      <c r="J1495" s="60">
        <f>IF(AND(tblFleet[[#This Row],[Units]]&lt;&gt;"",tblFleet[[#This Row],[Available_h]]&gt;0),tblFleet[[#This Row],[Operating_h]]/tblFleet[[#This Row],[Available_h]],"")</f>
        <v/>
      </c>
    </row>
    <row r="1496">
      <c r="A1496" s="54" t="n"/>
      <c r="B1496" s="61" t="n"/>
      <c r="C1496" s="62" t="n"/>
      <c r="D1496" s="57" t="n"/>
      <c r="E1496" s="57" t="n"/>
      <c r="F1496" s="58" t="n"/>
      <c r="G1496" s="66">
        <f>IF(tblFleet[[#This Row],[Units]]="","",tblFleet[[#This Row],[Units]]*cfg_HoursPerDay)</f>
        <v/>
      </c>
      <c r="H1496" s="66">
        <f>IF(tblFleet[[#This Row],[Units]]="","",tblFleet[[#This Row],[Calendar_h]]-tblFleet[[#This Row],[Down_h]])</f>
        <v/>
      </c>
      <c r="I1496" s="60">
        <f>IF(AND(tblFleet[[#This Row],[Units]]&lt;&gt;"",tblFleet[[#This Row],[Calendar_h]]&gt;0),tblFleet[[#This Row],[Available_h]]/tblFleet[[#This Row],[Calendar_h]],"")</f>
        <v/>
      </c>
      <c r="J1496" s="60">
        <f>IF(AND(tblFleet[[#This Row],[Units]]&lt;&gt;"",tblFleet[[#This Row],[Available_h]]&gt;0),tblFleet[[#This Row],[Operating_h]]/tblFleet[[#This Row],[Available_h]],"")</f>
        <v/>
      </c>
    </row>
    <row r="1497">
      <c r="A1497" s="54" t="n"/>
      <c r="B1497" s="61" t="n"/>
      <c r="C1497" s="62" t="n"/>
      <c r="D1497" s="57" t="n"/>
      <c r="E1497" s="57" t="n"/>
      <c r="F1497" s="58" t="n"/>
      <c r="G1497" s="66">
        <f>IF(tblFleet[[#This Row],[Units]]="","",tblFleet[[#This Row],[Units]]*cfg_HoursPerDay)</f>
        <v/>
      </c>
      <c r="H1497" s="66">
        <f>IF(tblFleet[[#This Row],[Units]]="","",tblFleet[[#This Row],[Calendar_h]]-tblFleet[[#This Row],[Down_h]])</f>
        <v/>
      </c>
      <c r="I1497" s="60">
        <f>IF(AND(tblFleet[[#This Row],[Units]]&lt;&gt;"",tblFleet[[#This Row],[Calendar_h]]&gt;0),tblFleet[[#This Row],[Available_h]]/tblFleet[[#This Row],[Calendar_h]],"")</f>
        <v/>
      </c>
      <c r="J1497" s="60">
        <f>IF(AND(tblFleet[[#This Row],[Units]]&lt;&gt;"",tblFleet[[#This Row],[Available_h]]&gt;0),tblFleet[[#This Row],[Operating_h]]/tblFleet[[#This Row],[Available_h]],"")</f>
        <v/>
      </c>
    </row>
    <row r="1498">
      <c r="A1498" s="54" t="n"/>
      <c r="B1498" s="61" t="n"/>
      <c r="C1498" s="62" t="n"/>
      <c r="D1498" s="57" t="n"/>
      <c r="E1498" s="57" t="n"/>
      <c r="F1498" s="58" t="n"/>
      <c r="G1498" s="66">
        <f>IF(tblFleet[[#This Row],[Units]]="","",tblFleet[[#This Row],[Units]]*cfg_HoursPerDay)</f>
        <v/>
      </c>
      <c r="H1498" s="66">
        <f>IF(tblFleet[[#This Row],[Units]]="","",tblFleet[[#This Row],[Calendar_h]]-tblFleet[[#This Row],[Down_h]])</f>
        <v/>
      </c>
      <c r="I1498" s="60">
        <f>IF(AND(tblFleet[[#This Row],[Units]]&lt;&gt;"",tblFleet[[#This Row],[Calendar_h]]&gt;0),tblFleet[[#This Row],[Available_h]]/tblFleet[[#This Row],[Calendar_h]],"")</f>
        <v/>
      </c>
      <c r="J1498" s="60">
        <f>IF(AND(tblFleet[[#This Row],[Units]]&lt;&gt;"",tblFleet[[#This Row],[Available_h]]&gt;0),tblFleet[[#This Row],[Operating_h]]/tblFleet[[#This Row],[Available_h]],"")</f>
        <v/>
      </c>
    </row>
    <row r="1499">
      <c r="A1499" s="54" t="n"/>
      <c r="B1499" s="61" t="n"/>
      <c r="C1499" s="62" t="n"/>
      <c r="D1499" s="57" t="n"/>
      <c r="E1499" s="57" t="n"/>
      <c r="F1499" s="58" t="n"/>
      <c r="G1499" s="66">
        <f>IF(tblFleet[[#This Row],[Units]]="","",tblFleet[[#This Row],[Units]]*cfg_HoursPerDay)</f>
        <v/>
      </c>
      <c r="H1499" s="66">
        <f>IF(tblFleet[[#This Row],[Units]]="","",tblFleet[[#This Row],[Calendar_h]]-tblFleet[[#This Row],[Down_h]])</f>
        <v/>
      </c>
      <c r="I1499" s="60">
        <f>IF(AND(tblFleet[[#This Row],[Units]]&lt;&gt;"",tblFleet[[#This Row],[Calendar_h]]&gt;0),tblFleet[[#This Row],[Available_h]]/tblFleet[[#This Row],[Calendar_h]],"")</f>
        <v/>
      </c>
      <c r="J1499" s="60">
        <f>IF(AND(tblFleet[[#This Row],[Units]]&lt;&gt;"",tblFleet[[#This Row],[Available_h]]&gt;0),tblFleet[[#This Row],[Operating_h]]/tblFleet[[#This Row],[Available_h]],"")</f>
        <v/>
      </c>
    </row>
    <row r="1500">
      <c r="A1500" s="54" t="n"/>
      <c r="B1500" s="61" t="n"/>
      <c r="C1500" s="62" t="n"/>
      <c r="D1500" s="57" t="n"/>
      <c r="E1500" s="57" t="n"/>
      <c r="F1500" s="58" t="n"/>
      <c r="G1500" s="66">
        <f>IF(tblFleet[[#This Row],[Units]]="","",tblFleet[[#This Row],[Units]]*cfg_HoursPerDay)</f>
        <v/>
      </c>
      <c r="H1500" s="66">
        <f>IF(tblFleet[[#This Row],[Units]]="","",tblFleet[[#This Row],[Calendar_h]]-tblFleet[[#This Row],[Down_h]])</f>
        <v/>
      </c>
      <c r="I1500" s="60">
        <f>IF(AND(tblFleet[[#This Row],[Units]]&lt;&gt;"",tblFleet[[#This Row],[Calendar_h]]&gt;0),tblFleet[[#This Row],[Available_h]]/tblFleet[[#This Row],[Calendar_h]],"")</f>
        <v/>
      </c>
      <c r="J1500" s="60">
        <f>IF(AND(tblFleet[[#This Row],[Units]]&lt;&gt;"",tblFleet[[#This Row],[Available_h]]&gt;0),tblFleet[[#This Row],[Operating_h]]/tblFleet[[#This Row],[Available_h]],"")</f>
        <v/>
      </c>
    </row>
    <row r="1501">
      <c r="A1501" s="54" t="n"/>
      <c r="B1501" s="61" t="n"/>
      <c r="C1501" s="62" t="n"/>
      <c r="D1501" s="57" t="n"/>
      <c r="E1501" s="57" t="n"/>
      <c r="F1501" s="58" t="n"/>
      <c r="G1501" s="66">
        <f>IF(tblFleet[[#This Row],[Units]]="","",tblFleet[[#This Row],[Units]]*cfg_HoursPerDay)</f>
        <v/>
      </c>
      <c r="H1501" s="66">
        <f>IF(tblFleet[[#This Row],[Units]]="","",tblFleet[[#This Row],[Calendar_h]]-tblFleet[[#This Row],[Down_h]])</f>
        <v/>
      </c>
      <c r="I1501" s="60">
        <f>IF(AND(tblFleet[[#This Row],[Units]]&lt;&gt;"",tblFleet[[#This Row],[Calendar_h]]&gt;0),tblFleet[[#This Row],[Available_h]]/tblFleet[[#This Row],[Calendar_h]],"")</f>
        <v/>
      </c>
      <c r="J1501" s="60">
        <f>IF(AND(tblFleet[[#This Row],[Units]]&lt;&gt;"",tblFleet[[#This Row],[Available_h]]&gt;0),tblFleet[[#This Row],[Operating_h]]/tblFleet[[#This Row],[Available_h]],"")</f>
        <v/>
      </c>
    </row>
    <row r="1502">
      <c r="A1502" s="54" t="n"/>
      <c r="B1502" s="61" t="n"/>
      <c r="C1502" s="62" t="n"/>
      <c r="D1502" s="57" t="n"/>
      <c r="E1502" s="57" t="n"/>
      <c r="F1502" s="58" t="n"/>
      <c r="G1502" s="66">
        <f>IF(tblFleet[[#This Row],[Units]]="","",tblFleet[[#This Row],[Units]]*cfg_HoursPerDay)</f>
        <v/>
      </c>
      <c r="H1502" s="66">
        <f>IF(tblFleet[[#This Row],[Units]]="","",tblFleet[[#This Row],[Calendar_h]]-tblFleet[[#This Row],[Down_h]])</f>
        <v/>
      </c>
      <c r="I1502" s="60">
        <f>IF(AND(tblFleet[[#This Row],[Units]]&lt;&gt;"",tblFleet[[#This Row],[Calendar_h]]&gt;0),tblFleet[[#This Row],[Available_h]]/tblFleet[[#This Row],[Calendar_h]],"")</f>
        <v/>
      </c>
      <c r="J1502" s="60">
        <f>IF(AND(tblFleet[[#This Row],[Units]]&lt;&gt;"",tblFleet[[#This Row],[Available_h]]&gt;0),tblFleet[[#This Row],[Operating_h]]/tblFleet[[#This Row],[Available_h]],"")</f>
        <v/>
      </c>
    </row>
    <row r="1503">
      <c r="A1503" s="54" t="n"/>
      <c r="B1503" s="61" t="n"/>
      <c r="C1503" s="62" t="n"/>
      <c r="D1503" s="57" t="n"/>
      <c r="E1503" s="57" t="n"/>
      <c r="F1503" s="58" t="n"/>
      <c r="G1503" s="66">
        <f>IF(tblFleet[[#This Row],[Units]]="","",tblFleet[[#This Row],[Units]]*cfg_HoursPerDay)</f>
        <v/>
      </c>
      <c r="H1503" s="66">
        <f>IF(tblFleet[[#This Row],[Units]]="","",tblFleet[[#This Row],[Calendar_h]]-tblFleet[[#This Row],[Down_h]])</f>
        <v/>
      </c>
      <c r="I1503" s="60">
        <f>IF(AND(tblFleet[[#This Row],[Units]]&lt;&gt;"",tblFleet[[#This Row],[Calendar_h]]&gt;0),tblFleet[[#This Row],[Available_h]]/tblFleet[[#This Row],[Calendar_h]],"")</f>
        <v/>
      </c>
      <c r="J1503" s="60">
        <f>IF(AND(tblFleet[[#This Row],[Units]]&lt;&gt;"",tblFleet[[#This Row],[Available_h]]&gt;0),tblFleet[[#This Row],[Operating_h]]/tblFleet[[#This Row],[Available_h]],"")</f>
        <v/>
      </c>
    </row>
    <row r="1504">
      <c r="A1504" s="54" t="n"/>
      <c r="B1504" s="61" t="n"/>
      <c r="C1504" s="62" t="n"/>
      <c r="D1504" s="57" t="n"/>
      <c r="E1504" s="57" t="n"/>
      <c r="F1504" s="58" t="n"/>
      <c r="G1504" s="66">
        <f>IF(tblFleet[[#This Row],[Units]]="","",tblFleet[[#This Row],[Units]]*cfg_HoursPerDay)</f>
        <v/>
      </c>
      <c r="H1504" s="66">
        <f>IF(tblFleet[[#This Row],[Units]]="","",tblFleet[[#This Row],[Calendar_h]]-tblFleet[[#This Row],[Down_h]])</f>
        <v/>
      </c>
      <c r="I1504" s="60">
        <f>IF(AND(tblFleet[[#This Row],[Units]]&lt;&gt;"",tblFleet[[#This Row],[Calendar_h]]&gt;0),tblFleet[[#This Row],[Available_h]]/tblFleet[[#This Row],[Calendar_h]],"")</f>
        <v/>
      </c>
      <c r="J1504" s="60">
        <f>IF(AND(tblFleet[[#This Row],[Units]]&lt;&gt;"",tblFleet[[#This Row],[Available_h]]&gt;0),tblFleet[[#This Row],[Operating_h]]/tblFleet[[#This Row],[Available_h]],"")</f>
        <v/>
      </c>
    </row>
    <row r="1505">
      <c r="A1505" s="54" t="n"/>
      <c r="B1505" s="61" t="n"/>
      <c r="C1505" s="62" t="n"/>
      <c r="D1505" s="57" t="n"/>
      <c r="E1505" s="57" t="n"/>
      <c r="F1505" s="58" t="n"/>
      <c r="G1505" s="66">
        <f>IF(tblFleet[[#This Row],[Units]]="","",tblFleet[[#This Row],[Units]]*cfg_HoursPerDay)</f>
        <v/>
      </c>
      <c r="H1505" s="66">
        <f>IF(tblFleet[[#This Row],[Units]]="","",tblFleet[[#This Row],[Calendar_h]]-tblFleet[[#This Row],[Down_h]])</f>
        <v/>
      </c>
      <c r="I1505" s="60">
        <f>IF(AND(tblFleet[[#This Row],[Units]]&lt;&gt;"",tblFleet[[#This Row],[Calendar_h]]&gt;0),tblFleet[[#This Row],[Available_h]]/tblFleet[[#This Row],[Calendar_h]],"")</f>
        <v/>
      </c>
      <c r="J1505" s="60">
        <f>IF(AND(tblFleet[[#This Row],[Units]]&lt;&gt;"",tblFleet[[#This Row],[Available_h]]&gt;0),tblFleet[[#This Row],[Operating_h]]/tblFleet[[#This Row],[Available_h]],"")</f>
        <v/>
      </c>
    </row>
    <row r="1506">
      <c r="A1506" s="54" t="n"/>
      <c r="B1506" s="61" t="n"/>
      <c r="C1506" s="62" t="n"/>
      <c r="D1506" s="57" t="n"/>
      <c r="E1506" s="57" t="n"/>
      <c r="F1506" s="58" t="n"/>
      <c r="G1506" s="66">
        <f>IF(tblFleet[[#This Row],[Units]]="","",tblFleet[[#This Row],[Units]]*cfg_HoursPerDay)</f>
        <v/>
      </c>
      <c r="H1506" s="66">
        <f>IF(tblFleet[[#This Row],[Units]]="","",tblFleet[[#This Row],[Calendar_h]]-tblFleet[[#This Row],[Down_h]])</f>
        <v/>
      </c>
      <c r="I1506" s="60">
        <f>IF(AND(tblFleet[[#This Row],[Units]]&lt;&gt;"",tblFleet[[#This Row],[Calendar_h]]&gt;0),tblFleet[[#This Row],[Available_h]]/tblFleet[[#This Row],[Calendar_h]],"")</f>
        <v/>
      </c>
      <c r="J1506" s="60">
        <f>IF(AND(tblFleet[[#This Row],[Units]]&lt;&gt;"",tblFleet[[#This Row],[Available_h]]&gt;0),tblFleet[[#This Row],[Operating_h]]/tblFleet[[#This Row],[Available_h]],"")</f>
        <v/>
      </c>
    </row>
    <row r="1507">
      <c r="A1507" s="54" t="n"/>
      <c r="B1507" s="61" t="n"/>
      <c r="C1507" s="62" t="n"/>
      <c r="D1507" s="57" t="n"/>
      <c r="E1507" s="57" t="n"/>
      <c r="F1507" s="58" t="n"/>
      <c r="G1507" s="66">
        <f>IF(tblFleet[[#This Row],[Units]]="","",tblFleet[[#This Row],[Units]]*cfg_HoursPerDay)</f>
        <v/>
      </c>
      <c r="H1507" s="66">
        <f>IF(tblFleet[[#This Row],[Units]]="","",tblFleet[[#This Row],[Calendar_h]]-tblFleet[[#This Row],[Down_h]])</f>
        <v/>
      </c>
      <c r="I1507" s="60">
        <f>IF(AND(tblFleet[[#This Row],[Units]]&lt;&gt;"",tblFleet[[#This Row],[Calendar_h]]&gt;0),tblFleet[[#This Row],[Available_h]]/tblFleet[[#This Row],[Calendar_h]],"")</f>
        <v/>
      </c>
      <c r="J1507" s="60">
        <f>IF(AND(tblFleet[[#This Row],[Units]]&lt;&gt;"",tblFleet[[#This Row],[Available_h]]&gt;0),tblFleet[[#This Row],[Operating_h]]/tblFleet[[#This Row],[Available_h]],"")</f>
        <v/>
      </c>
    </row>
    <row r="1508">
      <c r="A1508" s="54" t="n"/>
      <c r="B1508" s="61" t="n"/>
      <c r="C1508" s="62" t="n"/>
      <c r="D1508" s="57" t="n"/>
      <c r="E1508" s="57" t="n"/>
      <c r="F1508" s="58" t="n"/>
      <c r="G1508" s="66">
        <f>IF(tblFleet[[#This Row],[Units]]="","",tblFleet[[#This Row],[Units]]*cfg_HoursPerDay)</f>
        <v/>
      </c>
      <c r="H1508" s="66">
        <f>IF(tblFleet[[#This Row],[Units]]="","",tblFleet[[#This Row],[Calendar_h]]-tblFleet[[#This Row],[Down_h]])</f>
        <v/>
      </c>
      <c r="I1508" s="60">
        <f>IF(AND(tblFleet[[#This Row],[Units]]&lt;&gt;"",tblFleet[[#This Row],[Calendar_h]]&gt;0),tblFleet[[#This Row],[Available_h]]/tblFleet[[#This Row],[Calendar_h]],"")</f>
        <v/>
      </c>
      <c r="J1508" s="60">
        <f>IF(AND(tblFleet[[#This Row],[Units]]&lt;&gt;"",tblFleet[[#This Row],[Available_h]]&gt;0),tblFleet[[#This Row],[Operating_h]]/tblFleet[[#This Row],[Available_h]],"")</f>
        <v/>
      </c>
    </row>
    <row r="1509">
      <c r="A1509" s="54" t="n"/>
      <c r="B1509" s="61" t="n"/>
      <c r="C1509" s="62" t="n"/>
      <c r="D1509" s="57" t="n"/>
      <c r="E1509" s="57" t="n"/>
      <c r="F1509" s="58" t="n"/>
      <c r="G1509" s="66">
        <f>IF(tblFleet[[#This Row],[Units]]="","",tblFleet[[#This Row],[Units]]*cfg_HoursPerDay)</f>
        <v/>
      </c>
      <c r="H1509" s="66">
        <f>IF(tblFleet[[#This Row],[Units]]="","",tblFleet[[#This Row],[Calendar_h]]-tblFleet[[#This Row],[Down_h]])</f>
        <v/>
      </c>
      <c r="I1509" s="60">
        <f>IF(AND(tblFleet[[#This Row],[Units]]&lt;&gt;"",tblFleet[[#This Row],[Calendar_h]]&gt;0),tblFleet[[#This Row],[Available_h]]/tblFleet[[#This Row],[Calendar_h]],"")</f>
        <v/>
      </c>
      <c r="J1509" s="60">
        <f>IF(AND(tblFleet[[#This Row],[Units]]&lt;&gt;"",tblFleet[[#This Row],[Available_h]]&gt;0),tblFleet[[#This Row],[Operating_h]]/tblFleet[[#This Row],[Available_h]],"")</f>
        <v/>
      </c>
    </row>
    <row r="1510">
      <c r="A1510" s="54" t="n"/>
      <c r="B1510" s="61" t="n"/>
      <c r="C1510" s="62" t="n"/>
      <c r="D1510" s="57" t="n"/>
      <c r="E1510" s="57" t="n"/>
      <c r="F1510" s="58" t="n"/>
      <c r="G1510" s="66">
        <f>IF(tblFleet[[#This Row],[Units]]="","",tblFleet[[#This Row],[Units]]*cfg_HoursPerDay)</f>
        <v/>
      </c>
      <c r="H1510" s="66">
        <f>IF(tblFleet[[#This Row],[Units]]="","",tblFleet[[#This Row],[Calendar_h]]-tblFleet[[#This Row],[Down_h]])</f>
        <v/>
      </c>
      <c r="I1510" s="60">
        <f>IF(AND(tblFleet[[#This Row],[Units]]&lt;&gt;"",tblFleet[[#This Row],[Calendar_h]]&gt;0),tblFleet[[#This Row],[Available_h]]/tblFleet[[#This Row],[Calendar_h]],"")</f>
        <v/>
      </c>
      <c r="J1510" s="60">
        <f>IF(AND(tblFleet[[#This Row],[Units]]&lt;&gt;"",tblFleet[[#This Row],[Available_h]]&gt;0),tblFleet[[#This Row],[Operating_h]]/tblFleet[[#This Row],[Available_h]],"")</f>
        <v/>
      </c>
    </row>
    <row r="1511">
      <c r="A1511" s="54" t="n"/>
      <c r="B1511" s="61" t="n"/>
      <c r="C1511" s="62" t="n"/>
      <c r="D1511" s="57" t="n"/>
      <c r="E1511" s="57" t="n"/>
      <c r="F1511" s="58" t="n"/>
      <c r="G1511" s="66">
        <f>IF(tblFleet[[#This Row],[Units]]="","",tblFleet[[#This Row],[Units]]*cfg_HoursPerDay)</f>
        <v/>
      </c>
      <c r="H1511" s="66">
        <f>IF(tblFleet[[#This Row],[Units]]="","",tblFleet[[#This Row],[Calendar_h]]-tblFleet[[#This Row],[Down_h]])</f>
        <v/>
      </c>
      <c r="I1511" s="60">
        <f>IF(AND(tblFleet[[#This Row],[Units]]&lt;&gt;"",tblFleet[[#This Row],[Calendar_h]]&gt;0),tblFleet[[#This Row],[Available_h]]/tblFleet[[#This Row],[Calendar_h]],"")</f>
        <v/>
      </c>
      <c r="J1511" s="60">
        <f>IF(AND(tblFleet[[#This Row],[Units]]&lt;&gt;"",tblFleet[[#This Row],[Available_h]]&gt;0),tblFleet[[#This Row],[Operating_h]]/tblFleet[[#This Row],[Available_h]],"")</f>
        <v/>
      </c>
    </row>
    <row r="1512">
      <c r="A1512" s="54" t="n"/>
      <c r="B1512" s="61" t="n"/>
      <c r="C1512" s="62" t="n"/>
      <c r="D1512" s="57" t="n"/>
      <c r="E1512" s="57" t="n"/>
      <c r="F1512" s="58" t="n"/>
      <c r="G1512" s="66">
        <f>IF(tblFleet[[#This Row],[Units]]="","",tblFleet[[#This Row],[Units]]*cfg_HoursPerDay)</f>
        <v/>
      </c>
      <c r="H1512" s="66">
        <f>IF(tblFleet[[#This Row],[Units]]="","",tblFleet[[#This Row],[Calendar_h]]-tblFleet[[#This Row],[Down_h]])</f>
        <v/>
      </c>
      <c r="I1512" s="60">
        <f>IF(AND(tblFleet[[#This Row],[Units]]&lt;&gt;"",tblFleet[[#This Row],[Calendar_h]]&gt;0),tblFleet[[#This Row],[Available_h]]/tblFleet[[#This Row],[Calendar_h]],"")</f>
        <v/>
      </c>
      <c r="J1512" s="60">
        <f>IF(AND(tblFleet[[#This Row],[Units]]&lt;&gt;"",tblFleet[[#This Row],[Available_h]]&gt;0),tblFleet[[#This Row],[Operating_h]]/tblFleet[[#This Row],[Available_h]],"")</f>
        <v/>
      </c>
    </row>
    <row r="1513">
      <c r="A1513" s="54" t="n"/>
      <c r="B1513" s="61" t="n"/>
      <c r="C1513" s="62" t="n"/>
      <c r="D1513" s="57" t="n"/>
      <c r="E1513" s="57" t="n"/>
      <c r="F1513" s="58" t="n"/>
      <c r="G1513" s="66">
        <f>IF(tblFleet[[#This Row],[Units]]="","",tblFleet[[#This Row],[Units]]*cfg_HoursPerDay)</f>
        <v/>
      </c>
      <c r="H1513" s="66">
        <f>IF(tblFleet[[#This Row],[Units]]="","",tblFleet[[#This Row],[Calendar_h]]-tblFleet[[#This Row],[Down_h]])</f>
        <v/>
      </c>
      <c r="I1513" s="60">
        <f>IF(AND(tblFleet[[#This Row],[Units]]&lt;&gt;"",tblFleet[[#This Row],[Calendar_h]]&gt;0),tblFleet[[#This Row],[Available_h]]/tblFleet[[#This Row],[Calendar_h]],"")</f>
        <v/>
      </c>
      <c r="J1513" s="60">
        <f>IF(AND(tblFleet[[#This Row],[Units]]&lt;&gt;"",tblFleet[[#This Row],[Available_h]]&gt;0),tblFleet[[#This Row],[Operating_h]]/tblFleet[[#This Row],[Available_h]],"")</f>
        <v/>
      </c>
    </row>
    <row r="1514">
      <c r="A1514" s="54" t="n"/>
      <c r="B1514" s="61" t="n"/>
      <c r="C1514" s="62" t="n"/>
      <c r="D1514" s="57" t="n"/>
      <c r="E1514" s="57" t="n"/>
      <c r="F1514" s="58" t="n"/>
      <c r="G1514" s="66">
        <f>IF(tblFleet[[#This Row],[Units]]="","",tblFleet[[#This Row],[Units]]*cfg_HoursPerDay)</f>
        <v/>
      </c>
      <c r="H1514" s="66">
        <f>IF(tblFleet[[#This Row],[Units]]="","",tblFleet[[#This Row],[Calendar_h]]-tblFleet[[#This Row],[Down_h]])</f>
        <v/>
      </c>
      <c r="I1514" s="60">
        <f>IF(AND(tblFleet[[#This Row],[Units]]&lt;&gt;"",tblFleet[[#This Row],[Calendar_h]]&gt;0),tblFleet[[#This Row],[Available_h]]/tblFleet[[#This Row],[Calendar_h]],"")</f>
        <v/>
      </c>
      <c r="J1514" s="60">
        <f>IF(AND(tblFleet[[#This Row],[Units]]&lt;&gt;"",tblFleet[[#This Row],[Available_h]]&gt;0),tblFleet[[#This Row],[Operating_h]]/tblFleet[[#This Row],[Available_h]],"")</f>
        <v/>
      </c>
    </row>
    <row r="1515">
      <c r="A1515" s="54" t="n"/>
      <c r="B1515" s="61" t="n"/>
      <c r="C1515" s="62" t="n"/>
      <c r="D1515" s="57" t="n"/>
      <c r="E1515" s="57" t="n"/>
      <c r="F1515" s="58" t="n"/>
      <c r="G1515" s="66">
        <f>IF(tblFleet[[#This Row],[Units]]="","",tblFleet[[#This Row],[Units]]*cfg_HoursPerDay)</f>
        <v/>
      </c>
      <c r="H1515" s="66">
        <f>IF(tblFleet[[#This Row],[Units]]="","",tblFleet[[#This Row],[Calendar_h]]-tblFleet[[#This Row],[Down_h]])</f>
        <v/>
      </c>
      <c r="I1515" s="60">
        <f>IF(AND(tblFleet[[#This Row],[Units]]&lt;&gt;"",tblFleet[[#This Row],[Calendar_h]]&gt;0),tblFleet[[#This Row],[Available_h]]/tblFleet[[#This Row],[Calendar_h]],"")</f>
        <v/>
      </c>
      <c r="J1515" s="60">
        <f>IF(AND(tblFleet[[#This Row],[Units]]&lt;&gt;"",tblFleet[[#This Row],[Available_h]]&gt;0),tblFleet[[#This Row],[Operating_h]]/tblFleet[[#This Row],[Available_h]],"")</f>
        <v/>
      </c>
    </row>
    <row r="1516">
      <c r="A1516" s="54" t="n"/>
      <c r="B1516" s="61" t="n"/>
      <c r="C1516" s="62" t="n"/>
      <c r="D1516" s="57" t="n"/>
      <c r="E1516" s="57" t="n"/>
      <c r="F1516" s="58" t="n"/>
      <c r="G1516" s="66">
        <f>IF(tblFleet[[#This Row],[Units]]="","",tblFleet[[#This Row],[Units]]*cfg_HoursPerDay)</f>
        <v/>
      </c>
      <c r="H1516" s="66">
        <f>IF(tblFleet[[#This Row],[Units]]="","",tblFleet[[#This Row],[Calendar_h]]-tblFleet[[#This Row],[Down_h]])</f>
        <v/>
      </c>
      <c r="I1516" s="60">
        <f>IF(AND(tblFleet[[#This Row],[Units]]&lt;&gt;"",tblFleet[[#This Row],[Calendar_h]]&gt;0),tblFleet[[#This Row],[Available_h]]/tblFleet[[#This Row],[Calendar_h]],"")</f>
        <v/>
      </c>
      <c r="J1516" s="60">
        <f>IF(AND(tblFleet[[#This Row],[Units]]&lt;&gt;"",tblFleet[[#This Row],[Available_h]]&gt;0),tblFleet[[#This Row],[Operating_h]]/tblFleet[[#This Row],[Available_h]],"")</f>
        <v/>
      </c>
    </row>
    <row r="1517">
      <c r="A1517" s="54" t="n"/>
      <c r="B1517" s="61" t="n"/>
      <c r="C1517" s="62" t="n"/>
      <c r="D1517" s="57" t="n"/>
      <c r="E1517" s="57" t="n"/>
      <c r="F1517" s="58" t="n"/>
      <c r="G1517" s="66">
        <f>IF(tblFleet[[#This Row],[Units]]="","",tblFleet[[#This Row],[Units]]*cfg_HoursPerDay)</f>
        <v/>
      </c>
      <c r="H1517" s="66">
        <f>IF(tblFleet[[#This Row],[Units]]="","",tblFleet[[#This Row],[Calendar_h]]-tblFleet[[#This Row],[Down_h]])</f>
        <v/>
      </c>
      <c r="I1517" s="60">
        <f>IF(AND(tblFleet[[#This Row],[Units]]&lt;&gt;"",tblFleet[[#This Row],[Calendar_h]]&gt;0),tblFleet[[#This Row],[Available_h]]/tblFleet[[#This Row],[Calendar_h]],"")</f>
        <v/>
      </c>
      <c r="J1517" s="60">
        <f>IF(AND(tblFleet[[#This Row],[Units]]&lt;&gt;"",tblFleet[[#This Row],[Available_h]]&gt;0),tblFleet[[#This Row],[Operating_h]]/tblFleet[[#This Row],[Available_h]],"")</f>
        <v/>
      </c>
    </row>
    <row r="1518">
      <c r="A1518" s="54" t="n"/>
      <c r="B1518" s="61" t="n"/>
      <c r="C1518" s="62" t="n"/>
      <c r="D1518" s="57" t="n"/>
      <c r="E1518" s="57" t="n"/>
      <c r="F1518" s="58" t="n"/>
      <c r="G1518" s="66">
        <f>IF(tblFleet[[#This Row],[Units]]="","",tblFleet[[#This Row],[Units]]*cfg_HoursPerDay)</f>
        <v/>
      </c>
      <c r="H1518" s="66">
        <f>IF(tblFleet[[#This Row],[Units]]="","",tblFleet[[#This Row],[Calendar_h]]-tblFleet[[#This Row],[Down_h]])</f>
        <v/>
      </c>
      <c r="I1518" s="60">
        <f>IF(AND(tblFleet[[#This Row],[Units]]&lt;&gt;"",tblFleet[[#This Row],[Calendar_h]]&gt;0),tblFleet[[#This Row],[Available_h]]/tblFleet[[#This Row],[Calendar_h]],"")</f>
        <v/>
      </c>
      <c r="J1518" s="60">
        <f>IF(AND(tblFleet[[#This Row],[Units]]&lt;&gt;"",tblFleet[[#This Row],[Available_h]]&gt;0),tblFleet[[#This Row],[Operating_h]]/tblFleet[[#This Row],[Available_h]],"")</f>
        <v/>
      </c>
    </row>
    <row r="1519">
      <c r="A1519" s="54" t="n"/>
      <c r="B1519" s="61" t="n"/>
      <c r="C1519" s="62" t="n"/>
      <c r="D1519" s="57" t="n"/>
      <c r="E1519" s="57" t="n"/>
      <c r="F1519" s="58" t="n"/>
      <c r="G1519" s="66">
        <f>IF(tblFleet[[#This Row],[Units]]="","",tblFleet[[#This Row],[Units]]*cfg_HoursPerDay)</f>
        <v/>
      </c>
      <c r="H1519" s="66">
        <f>IF(tblFleet[[#This Row],[Units]]="","",tblFleet[[#This Row],[Calendar_h]]-tblFleet[[#This Row],[Down_h]])</f>
        <v/>
      </c>
      <c r="I1519" s="60">
        <f>IF(AND(tblFleet[[#This Row],[Units]]&lt;&gt;"",tblFleet[[#This Row],[Calendar_h]]&gt;0),tblFleet[[#This Row],[Available_h]]/tblFleet[[#This Row],[Calendar_h]],"")</f>
        <v/>
      </c>
      <c r="J1519" s="60">
        <f>IF(AND(tblFleet[[#This Row],[Units]]&lt;&gt;"",tblFleet[[#This Row],[Available_h]]&gt;0),tblFleet[[#This Row],[Operating_h]]/tblFleet[[#This Row],[Available_h]],"")</f>
        <v/>
      </c>
    </row>
    <row r="1520">
      <c r="A1520" s="54" t="n"/>
      <c r="B1520" s="61" t="n"/>
      <c r="C1520" s="62" t="n"/>
      <c r="D1520" s="57" t="n"/>
      <c r="E1520" s="57" t="n"/>
      <c r="F1520" s="58" t="n"/>
      <c r="G1520" s="66">
        <f>IF(tblFleet[[#This Row],[Units]]="","",tblFleet[[#This Row],[Units]]*cfg_HoursPerDay)</f>
        <v/>
      </c>
      <c r="H1520" s="66">
        <f>IF(tblFleet[[#This Row],[Units]]="","",tblFleet[[#This Row],[Calendar_h]]-tblFleet[[#This Row],[Down_h]])</f>
        <v/>
      </c>
      <c r="I1520" s="60">
        <f>IF(AND(tblFleet[[#This Row],[Units]]&lt;&gt;"",tblFleet[[#This Row],[Calendar_h]]&gt;0),tblFleet[[#This Row],[Available_h]]/tblFleet[[#This Row],[Calendar_h]],"")</f>
        <v/>
      </c>
      <c r="J1520" s="60">
        <f>IF(AND(tblFleet[[#This Row],[Units]]&lt;&gt;"",tblFleet[[#This Row],[Available_h]]&gt;0),tblFleet[[#This Row],[Operating_h]]/tblFleet[[#This Row],[Available_h]],"")</f>
        <v/>
      </c>
    </row>
    <row r="1521">
      <c r="A1521" s="54" t="n"/>
      <c r="B1521" s="61" t="n"/>
      <c r="C1521" s="62" t="n"/>
      <c r="D1521" s="57" t="n"/>
      <c r="E1521" s="57" t="n"/>
      <c r="F1521" s="58" t="n"/>
      <c r="G1521" s="66">
        <f>IF(tblFleet[[#This Row],[Units]]="","",tblFleet[[#This Row],[Units]]*cfg_HoursPerDay)</f>
        <v/>
      </c>
      <c r="H1521" s="66">
        <f>IF(tblFleet[[#This Row],[Units]]="","",tblFleet[[#This Row],[Calendar_h]]-tblFleet[[#This Row],[Down_h]])</f>
        <v/>
      </c>
      <c r="I1521" s="60">
        <f>IF(AND(tblFleet[[#This Row],[Units]]&lt;&gt;"",tblFleet[[#This Row],[Calendar_h]]&gt;0),tblFleet[[#This Row],[Available_h]]/tblFleet[[#This Row],[Calendar_h]],"")</f>
        <v/>
      </c>
      <c r="J1521" s="60">
        <f>IF(AND(tblFleet[[#This Row],[Units]]&lt;&gt;"",tblFleet[[#This Row],[Available_h]]&gt;0),tblFleet[[#This Row],[Operating_h]]/tblFleet[[#This Row],[Available_h]],"")</f>
        <v/>
      </c>
    </row>
    <row r="1522">
      <c r="A1522" s="54" t="n"/>
      <c r="B1522" s="61" t="n"/>
      <c r="C1522" s="62" t="n"/>
      <c r="D1522" s="57" t="n"/>
      <c r="E1522" s="57" t="n"/>
      <c r="F1522" s="58" t="n"/>
      <c r="G1522" s="66">
        <f>IF(tblFleet[[#This Row],[Units]]="","",tblFleet[[#This Row],[Units]]*cfg_HoursPerDay)</f>
        <v/>
      </c>
      <c r="H1522" s="66">
        <f>IF(tblFleet[[#This Row],[Units]]="","",tblFleet[[#This Row],[Calendar_h]]-tblFleet[[#This Row],[Down_h]])</f>
        <v/>
      </c>
      <c r="I1522" s="60">
        <f>IF(AND(tblFleet[[#This Row],[Units]]&lt;&gt;"",tblFleet[[#This Row],[Calendar_h]]&gt;0),tblFleet[[#This Row],[Available_h]]/tblFleet[[#This Row],[Calendar_h]],"")</f>
        <v/>
      </c>
      <c r="J1522" s="60">
        <f>IF(AND(tblFleet[[#This Row],[Units]]&lt;&gt;"",tblFleet[[#This Row],[Available_h]]&gt;0),tblFleet[[#This Row],[Operating_h]]/tblFleet[[#This Row],[Available_h]],"")</f>
        <v/>
      </c>
    </row>
    <row r="1523">
      <c r="A1523" s="54" t="n"/>
      <c r="B1523" s="61" t="n"/>
      <c r="C1523" s="62" t="n"/>
      <c r="D1523" s="57" t="n"/>
      <c r="E1523" s="57" t="n"/>
      <c r="F1523" s="58" t="n"/>
      <c r="G1523" s="66">
        <f>IF(tblFleet[[#This Row],[Units]]="","",tblFleet[[#This Row],[Units]]*cfg_HoursPerDay)</f>
        <v/>
      </c>
      <c r="H1523" s="66">
        <f>IF(tblFleet[[#This Row],[Units]]="","",tblFleet[[#This Row],[Calendar_h]]-tblFleet[[#This Row],[Down_h]])</f>
        <v/>
      </c>
      <c r="I1523" s="60">
        <f>IF(AND(tblFleet[[#This Row],[Units]]&lt;&gt;"",tblFleet[[#This Row],[Calendar_h]]&gt;0),tblFleet[[#This Row],[Available_h]]/tblFleet[[#This Row],[Calendar_h]],"")</f>
        <v/>
      </c>
      <c r="J1523" s="60">
        <f>IF(AND(tblFleet[[#This Row],[Units]]&lt;&gt;"",tblFleet[[#This Row],[Available_h]]&gt;0),tblFleet[[#This Row],[Operating_h]]/tblFleet[[#This Row],[Available_h]],"")</f>
        <v/>
      </c>
    </row>
    <row r="1524">
      <c r="A1524" s="54" t="n"/>
      <c r="B1524" s="61" t="n"/>
      <c r="C1524" s="62" t="n"/>
      <c r="D1524" s="57" t="n"/>
      <c r="E1524" s="57" t="n"/>
      <c r="F1524" s="58" t="n"/>
      <c r="G1524" s="66">
        <f>IF(tblFleet[[#This Row],[Units]]="","",tblFleet[[#This Row],[Units]]*cfg_HoursPerDay)</f>
        <v/>
      </c>
      <c r="H1524" s="66">
        <f>IF(tblFleet[[#This Row],[Units]]="","",tblFleet[[#This Row],[Calendar_h]]-tblFleet[[#This Row],[Down_h]])</f>
        <v/>
      </c>
      <c r="I1524" s="60">
        <f>IF(AND(tblFleet[[#This Row],[Units]]&lt;&gt;"",tblFleet[[#This Row],[Calendar_h]]&gt;0),tblFleet[[#This Row],[Available_h]]/tblFleet[[#This Row],[Calendar_h]],"")</f>
        <v/>
      </c>
      <c r="J1524" s="60">
        <f>IF(AND(tblFleet[[#This Row],[Units]]&lt;&gt;"",tblFleet[[#This Row],[Available_h]]&gt;0),tblFleet[[#This Row],[Operating_h]]/tblFleet[[#This Row],[Available_h]],"")</f>
        <v/>
      </c>
    </row>
    <row r="1525">
      <c r="A1525" s="54" t="n"/>
      <c r="B1525" s="61" t="n"/>
      <c r="C1525" s="62" t="n"/>
      <c r="D1525" s="57" t="n"/>
      <c r="E1525" s="57" t="n"/>
      <c r="F1525" s="58" t="n"/>
      <c r="G1525" s="66">
        <f>IF(tblFleet[[#This Row],[Units]]="","",tblFleet[[#This Row],[Units]]*cfg_HoursPerDay)</f>
        <v/>
      </c>
      <c r="H1525" s="66">
        <f>IF(tblFleet[[#This Row],[Units]]="","",tblFleet[[#This Row],[Calendar_h]]-tblFleet[[#This Row],[Down_h]])</f>
        <v/>
      </c>
      <c r="I1525" s="60">
        <f>IF(AND(tblFleet[[#This Row],[Units]]&lt;&gt;"",tblFleet[[#This Row],[Calendar_h]]&gt;0),tblFleet[[#This Row],[Available_h]]/tblFleet[[#This Row],[Calendar_h]],"")</f>
        <v/>
      </c>
      <c r="J1525" s="60">
        <f>IF(AND(tblFleet[[#This Row],[Units]]&lt;&gt;"",tblFleet[[#This Row],[Available_h]]&gt;0),tblFleet[[#This Row],[Operating_h]]/tblFleet[[#This Row],[Available_h]],"")</f>
        <v/>
      </c>
    </row>
    <row r="1526">
      <c r="A1526" s="54" t="n"/>
      <c r="B1526" s="61" t="n"/>
      <c r="C1526" s="62" t="n"/>
      <c r="D1526" s="57" t="n"/>
      <c r="E1526" s="57" t="n"/>
      <c r="F1526" s="58" t="n"/>
      <c r="G1526" s="66">
        <f>IF(tblFleet[[#This Row],[Units]]="","",tblFleet[[#This Row],[Units]]*cfg_HoursPerDay)</f>
        <v/>
      </c>
      <c r="H1526" s="66">
        <f>IF(tblFleet[[#This Row],[Units]]="","",tblFleet[[#This Row],[Calendar_h]]-tblFleet[[#This Row],[Down_h]])</f>
        <v/>
      </c>
      <c r="I1526" s="60">
        <f>IF(AND(tblFleet[[#This Row],[Units]]&lt;&gt;"",tblFleet[[#This Row],[Calendar_h]]&gt;0),tblFleet[[#This Row],[Available_h]]/tblFleet[[#This Row],[Calendar_h]],"")</f>
        <v/>
      </c>
      <c r="J1526" s="60">
        <f>IF(AND(tblFleet[[#This Row],[Units]]&lt;&gt;"",tblFleet[[#This Row],[Available_h]]&gt;0),tblFleet[[#This Row],[Operating_h]]/tblFleet[[#This Row],[Available_h]],"")</f>
        <v/>
      </c>
    </row>
    <row r="1527">
      <c r="A1527" s="54" t="n"/>
      <c r="B1527" s="61" t="n"/>
      <c r="C1527" s="62" t="n"/>
      <c r="D1527" s="57" t="n"/>
      <c r="E1527" s="57" t="n"/>
      <c r="F1527" s="58" t="n"/>
      <c r="G1527" s="66">
        <f>IF(tblFleet[[#This Row],[Units]]="","",tblFleet[[#This Row],[Units]]*cfg_HoursPerDay)</f>
        <v/>
      </c>
      <c r="H1527" s="66">
        <f>IF(tblFleet[[#This Row],[Units]]="","",tblFleet[[#This Row],[Calendar_h]]-tblFleet[[#This Row],[Down_h]])</f>
        <v/>
      </c>
      <c r="I1527" s="60">
        <f>IF(AND(tblFleet[[#This Row],[Units]]&lt;&gt;"",tblFleet[[#This Row],[Calendar_h]]&gt;0),tblFleet[[#This Row],[Available_h]]/tblFleet[[#This Row],[Calendar_h]],"")</f>
        <v/>
      </c>
      <c r="J1527" s="60">
        <f>IF(AND(tblFleet[[#This Row],[Units]]&lt;&gt;"",tblFleet[[#This Row],[Available_h]]&gt;0),tblFleet[[#This Row],[Operating_h]]/tblFleet[[#This Row],[Available_h]],"")</f>
        <v/>
      </c>
    </row>
    <row r="1528">
      <c r="A1528" s="54" t="n"/>
      <c r="B1528" s="61" t="n"/>
      <c r="C1528" s="62" t="n"/>
      <c r="D1528" s="57" t="n"/>
      <c r="E1528" s="57" t="n"/>
      <c r="F1528" s="58" t="n"/>
      <c r="G1528" s="66">
        <f>IF(tblFleet[[#This Row],[Units]]="","",tblFleet[[#This Row],[Units]]*cfg_HoursPerDay)</f>
        <v/>
      </c>
      <c r="H1528" s="66">
        <f>IF(tblFleet[[#This Row],[Units]]="","",tblFleet[[#This Row],[Calendar_h]]-tblFleet[[#This Row],[Down_h]])</f>
        <v/>
      </c>
      <c r="I1528" s="60">
        <f>IF(AND(tblFleet[[#This Row],[Units]]&lt;&gt;"",tblFleet[[#This Row],[Calendar_h]]&gt;0),tblFleet[[#This Row],[Available_h]]/tblFleet[[#This Row],[Calendar_h]],"")</f>
        <v/>
      </c>
      <c r="J1528" s="60">
        <f>IF(AND(tblFleet[[#This Row],[Units]]&lt;&gt;"",tblFleet[[#This Row],[Available_h]]&gt;0),tblFleet[[#This Row],[Operating_h]]/tblFleet[[#This Row],[Available_h]],"")</f>
        <v/>
      </c>
    </row>
    <row r="1529">
      <c r="A1529" s="54" t="n"/>
      <c r="B1529" s="61" t="n"/>
      <c r="C1529" s="62" t="n"/>
      <c r="D1529" s="57" t="n"/>
      <c r="E1529" s="57" t="n"/>
      <c r="F1529" s="58" t="n"/>
      <c r="G1529" s="66">
        <f>IF(tblFleet[[#This Row],[Units]]="","",tblFleet[[#This Row],[Units]]*cfg_HoursPerDay)</f>
        <v/>
      </c>
      <c r="H1529" s="66">
        <f>IF(tblFleet[[#This Row],[Units]]="","",tblFleet[[#This Row],[Calendar_h]]-tblFleet[[#This Row],[Down_h]])</f>
        <v/>
      </c>
      <c r="I1529" s="60">
        <f>IF(AND(tblFleet[[#This Row],[Units]]&lt;&gt;"",tblFleet[[#This Row],[Calendar_h]]&gt;0),tblFleet[[#This Row],[Available_h]]/tblFleet[[#This Row],[Calendar_h]],"")</f>
        <v/>
      </c>
      <c r="J1529" s="60">
        <f>IF(AND(tblFleet[[#This Row],[Units]]&lt;&gt;"",tblFleet[[#This Row],[Available_h]]&gt;0),tblFleet[[#This Row],[Operating_h]]/tblFleet[[#This Row],[Available_h]],"")</f>
        <v/>
      </c>
    </row>
    <row r="1530">
      <c r="A1530" s="54" t="n"/>
      <c r="B1530" s="61" t="n"/>
      <c r="C1530" s="62" t="n"/>
      <c r="D1530" s="57" t="n"/>
      <c r="E1530" s="57" t="n"/>
      <c r="F1530" s="58" t="n"/>
      <c r="G1530" s="66">
        <f>IF(tblFleet[[#This Row],[Units]]="","",tblFleet[[#This Row],[Units]]*cfg_HoursPerDay)</f>
        <v/>
      </c>
      <c r="H1530" s="66">
        <f>IF(tblFleet[[#This Row],[Units]]="","",tblFleet[[#This Row],[Calendar_h]]-tblFleet[[#This Row],[Down_h]])</f>
        <v/>
      </c>
      <c r="I1530" s="60">
        <f>IF(AND(tblFleet[[#This Row],[Units]]&lt;&gt;"",tblFleet[[#This Row],[Calendar_h]]&gt;0),tblFleet[[#This Row],[Available_h]]/tblFleet[[#This Row],[Calendar_h]],"")</f>
        <v/>
      </c>
      <c r="J1530" s="60">
        <f>IF(AND(tblFleet[[#This Row],[Units]]&lt;&gt;"",tblFleet[[#This Row],[Available_h]]&gt;0),tblFleet[[#This Row],[Operating_h]]/tblFleet[[#This Row],[Available_h]],"")</f>
        <v/>
      </c>
    </row>
    <row r="1531">
      <c r="A1531" s="54" t="n"/>
      <c r="B1531" s="61" t="n"/>
      <c r="C1531" s="62" t="n"/>
      <c r="D1531" s="57" t="n"/>
      <c r="E1531" s="57" t="n"/>
      <c r="F1531" s="58" t="n"/>
      <c r="G1531" s="66">
        <f>IF(tblFleet[[#This Row],[Units]]="","",tblFleet[[#This Row],[Units]]*cfg_HoursPerDay)</f>
        <v/>
      </c>
      <c r="H1531" s="66">
        <f>IF(tblFleet[[#This Row],[Units]]="","",tblFleet[[#This Row],[Calendar_h]]-tblFleet[[#This Row],[Down_h]])</f>
        <v/>
      </c>
      <c r="I1531" s="60">
        <f>IF(AND(tblFleet[[#This Row],[Units]]&lt;&gt;"",tblFleet[[#This Row],[Calendar_h]]&gt;0),tblFleet[[#This Row],[Available_h]]/tblFleet[[#This Row],[Calendar_h]],"")</f>
        <v/>
      </c>
      <c r="J1531" s="60">
        <f>IF(AND(tblFleet[[#This Row],[Units]]&lt;&gt;"",tblFleet[[#This Row],[Available_h]]&gt;0),tblFleet[[#This Row],[Operating_h]]/tblFleet[[#This Row],[Available_h]],"")</f>
        <v/>
      </c>
    </row>
    <row r="1532">
      <c r="A1532" s="54" t="n"/>
      <c r="B1532" s="61" t="n"/>
      <c r="C1532" s="62" t="n"/>
      <c r="D1532" s="57" t="n"/>
      <c r="E1532" s="57" t="n"/>
      <c r="F1532" s="58" t="n"/>
      <c r="G1532" s="66">
        <f>IF(tblFleet[[#This Row],[Units]]="","",tblFleet[[#This Row],[Units]]*cfg_HoursPerDay)</f>
        <v/>
      </c>
      <c r="H1532" s="66">
        <f>IF(tblFleet[[#This Row],[Units]]="","",tblFleet[[#This Row],[Calendar_h]]-tblFleet[[#This Row],[Down_h]])</f>
        <v/>
      </c>
      <c r="I1532" s="60">
        <f>IF(AND(tblFleet[[#This Row],[Units]]&lt;&gt;"",tblFleet[[#This Row],[Calendar_h]]&gt;0),tblFleet[[#This Row],[Available_h]]/tblFleet[[#This Row],[Calendar_h]],"")</f>
        <v/>
      </c>
      <c r="J1532" s="60">
        <f>IF(AND(tblFleet[[#This Row],[Units]]&lt;&gt;"",tblFleet[[#This Row],[Available_h]]&gt;0),tblFleet[[#This Row],[Operating_h]]/tblFleet[[#This Row],[Available_h]],"")</f>
        <v/>
      </c>
    </row>
    <row r="1533">
      <c r="A1533" s="54" t="n"/>
      <c r="B1533" s="61" t="n"/>
      <c r="C1533" s="62" t="n"/>
      <c r="D1533" s="57" t="n"/>
      <c r="E1533" s="57" t="n"/>
      <c r="F1533" s="58" t="n"/>
      <c r="G1533" s="66">
        <f>IF(tblFleet[[#This Row],[Units]]="","",tblFleet[[#This Row],[Units]]*cfg_HoursPerDay)</f>
        <v/>
      </c>
      <c r="H1533" s="66">
        <f>IF(tblFleet[[#This Row],[Units]]="","",tblFleet[[#This Row],[Calendar_h]]-tblFleet[[#This Row],[Down_h]])</f>
        <v/>
      </c>
      <c r="I1533" s="60">
        <f>IF(AND(tblFleet[[#This Row],[Units]]&lt;&gt;"",tblFleet[[#This Row],[Calendar_h]]&gt;0),tblFleet[[#This Row],[Available_h]]/tblFleet[[#This Row],[Calendar_h]],"")</f>
        <v/>
      </c>
      <c r="J1533" s="60">
        <f>IF(AND(tblFleet[[#This Row],[Units]]&lt;&gt;"",tblFleet[[#This Row],[Available_h]]&gt;0),tblFleet[[#This Row],[Operating_h]]/tblFleet[[#This Row],[Available_h]],"")</f>
        <v/>
      </c>
    </row>
    <row r="1534">
      <c r="A1534" s="54" t="n"/>
      <c r="B1534" s="61" t="n"/>
      <c r="C1534" s="62" t="n"/>
      <c r="D1534" s="57" t="n"/>
      <c r="E1534" s="57" t="n"/>
      <c r="F1534" s="58" t="n"/>
      <c r="G1534" s="66">
        <f>IF(tblFleet[[#This Row],[Units]]="","",tblFleet[[#This Row],[Units]]*cfg_HoursPerDay)</f>
        <v/>
      </c>
      <c r="H1534" s="66">
        <f>IF(tblFleet[[#This Row],[Units]]="","",tblFleet[[#This Row],[Calendar_h]]-tblFleet[[#This Row],[Down_h]])</f>
        <v/>
      </c>
      <c r="I1534" s="60">
        <f>IF(AND(tblFleet[[#This Row],[Units]]&lt;&gt;"",tblFleet[[#This Row],[Calendar_h]]&gt;0),tblFleet[[#This Row],[Available_h]]/tblFleet[[#This Row],[Calendar_h]],"")</f>
        <v/>
      </c>
      <c r="J1534" s="60">
        <f>IF(AND(tblFleet[[#This Row],[Units]]&lt;&gt;"",tblFleet[[#This Row],[Available_h]]&gt;0),tblFleet[[#This Row],[Operating_h]]/tblFleet[[#This Row],[Available_h]],"")</f>
        <v/>
      </c>
    </row>
    <row r="1535">
      <c r="A1535" s="54" t="n"/>
      <c r="B1535" s="61" t="n"/>
      <c r="C1535" s="62" t="n"/>
      <c r="D1535" s="57" t="n"/>
      <c r="E1535" s="57" t="n"/>
      <c r="F1535" s="58" t="n"/>
      <c r="G1535" s="66">
        <f>IF(tblFleet[[#This Row],[Units]]="","",tblFleet[[#This Row],[Units]]*cfg_HoursPerDay)</f>
        <v/>
      </c>
      <c r="H1535" s="66">
        <f>IF(tblFleet[[#This Row],[Units]]="","",tblFleet[[#This Row],[Calendar_h]]-tblFleet[[#This Row],[Down_h]])</f>
        <v/>
      </c>
      <c r="I1535" s="60">
        <f>IF(AND(tblFleet[[#This Row],[Units]]&lt;&gt;"",tblFleet[[#This Row],[Calendar_h]]&gt;0),tblFleet[[#This Row],[Available_h]]/tblFleet[[#This Row],[Calendar_h]],"")</f>
        <v/>
      </c>
      <c r="J1535" s="60">
        <f>IF(AND(tblFleet[[#This Row],[Units]]&lt;&gt;"",tblFleet[[#This Row],[Available_h]]&gt;0),tblFleet[[#This Row],[Operating_h]]/tblFleet[[#This Row],[Available_h]],"")</f>
        <v/>
      </c>
    </row>
    <row r="1536">
      <c r="A1536" s="54" t="n"/>
      <c r="B1536" s="61" t="n"/>
      <c r="C1536" s="62" t="n"/>
      <c r="D1536" s="57" t="n"/>
      <c r="E1536" s="57" t="n"/>
      <c r="F1536" s="58" t="n"/>
      <c r="G1536" s="66">
        <f>IF(tblFleet[[#This Row],[Units]]="","",tblFleet[[#This Row],[Units]]*cfg_HoursPerDay)</f>
        <v/>
      </c>
      <c r="H1536" s="66">
        <f>IF(tblFleet[[#This Row],[Units]]="","",tblFleet[[#This Row],[Calendar_h]]-tblFleet[[#This Row],[Down_h]])</f>
        <v/>
      </c>
      <c r="I1536" s="60">
        <f>IF(AND(tblFleet[[#This Row],[Units]]&lt;&gt;"",tblFleet[[#This Row],[Calendar_h]]&gt;0),tblFleet[[#This Row],[Available_h]]/tblFleet[[#This Row],[Calendar_h]],"")</f>
        <v/>
      </c>
      <c r="J1536" s="60">
        <f>IF(AND(tblFleet[[#This Row],[Units]]&lt;&gt;"",tblFleet[[#This Row],[Available_h]]&gt;0),tblFleet[[#This Row],[Operating_h]]/tblFleet[[#This Row],[Available_h]],"")</f>
        <v/>
      </c>
    </row>
    <row r="1537">
      <c r="A1537" s="54" t="n"/>
      <c r="B1537" s="61" t="n"/>
      <c r="C1537" s="62" t="n"/>
      <c r="D1537" s="57" t="n"/>
      <c r="E1537" s="57" t="n"/>
      <c r="F1537" s="58" t="n"/>
      <c r="G1537" s="66">
        <f>IF(tblFleet[[#This Row],[Units]]="","",tblFleet[[#This Row],[Units]]*cfg_HoursPerDay)</f>
        <v/>
      </c>
      <c r="H1537" s="66">
        <f>IF(tblFleet[[#This Row],[Units]]="","",tblFleet[[#This Row],[Calendar_h]]-tblFleet[[#This Row],[Down_h]])</f>
        <v/>
      </c>
      <c r="I1537" s="60">
        <f>IF(AND(tblFleet[[#This Row],[Units]]&lt;&gt;"",tblFleet[[#This Row],[Calendar_h]]&gt;0),tblFleet[[#This Row],[Available_h]]/tblFleet[[#This Row],[Calendar_h]],"")</f>
        <v/>
      </c>
      <c r="J1537" s="60">
        <f>IF(AND(tblFleet[[#This Row],[Units]]&lt;&gt;"",tblFleet[[#This Row],[Available_h]]&gt;0),tblFleet[[#This Row],[Operating_h]]/tblFleet[[#This Row],[Available_h]],"")</f>
        <v/>
      </c>
    </row>
    <row r="1538">
      <c r="A1538" s="54" t="n"/>
      <c r="B1538" s="61" t="n"/>
      <c r="C1538" s="62" t="n"/>
      <c r="D1538" s="57" t="n"/>
      <c r="E1538" s="57" t="n"/>
      <c r="F1538" s="58" t="n"/>
      <c r="G1538" s="66">
        <f>IF(tblFleet[[#This Row],[Units]]="","",tblFleet[[#This Row],[Units]]*cfg_HoursPerDay)</f>
        <v/>
      </c>
      <c r="H1538" s="66">
        <f>IF(tblFleet[[#This Row],[Units]]="","",tblFleet[[#This Row],[Calendar_h]]-tblFleet[[#This Row],[Down_h]])</f>
        <v/>
      </c>
      <c r="I1538" s="60">
        <f>IF(AND(tblFleet[[#This Row],[Units]]&lt;&gt;"",tblFleet[[#This Row],[Calendar_h]]&gt;0),tblFleet[[#This Row],[Available_h]]/tblFleet[[#This Row],[Calendar_h]],"")</f>
        <v/>
      </c>
      <c r="J1538" s="60">
        <f>IF(AND(tblFleet[[#This Row],[Units]]&lt;&gt;"",tblFleet[[#This Row],[Available_h]]&gt;0),tblFleet[[#This Row],[Operating_h]]/tblFleet[[#This Row],[Available_h]],"")</f>
        <v/>
      </c>
    </row>
    <row r="1539">
      <c r="A1539" s="54" t="n"/>
      <c r="B1539" s="61" t="n"/>
      <c r="C1539" s="62" t="n"/>
      <c r="D1539" s="57" t="n"/>
      <c r="E1539" s="57" t="n"/>
      <c r="F1539" s="58" t="n"/>
      <c r="G1539" s="66">
        <f>IF(tblFleet[[#This Row],[Units]]="","",tblFleet[[#This Row],[Units]]*cfg_HoursPerDay)</f>
        <v/>
      </c>
      <c r="H1539" s="66">
        <f>IF(tblFleet[[#This Row],[Units]]="","",tblFleet[[#This Row],[Calendar_h]]-tblFleet[[#This Row],[Down_h]])</f>
        <v/>
      </c>
      <c r="I1539" s="60">
        <f>IF(AND(tblFleet[[#This Row],[Units]]&lt;&gt;"",tblFleet[[#This Row],[Calendar_h]]&gt;0),tblFleet[[#This Row],[Available_h]]/tblFleet[[#This Row],[Calendar_h]],"")</f>
        <v/>
      </c>
      <c r="J1539" s="60">
        <f>IF(AND(tblFleet[[#This Row],[Units]]&lt;&gt;"",tblFleet[[#This Row],[Available_h]]&gt;0),tblFleet[[#This Row],[Operating_h]]/tblFleet[[#This Row],[Available_h]],"")</f>
        <v/>
      </c>
    </row>
    <row r="1540">
      <c r="A1540" s="54" t="n"/>
      <c r="B1540" s="61" t="n"/>
      <c r="C1540" s="62" t="n"/>
      <c r="D1540" s="57" t="n"/>
      <c r="E1540" s="57" t="n"/>
      <c r="F1540" s="58" t="n"/>
      <c r="G1540" s="66">
        <f>IF(tblFleet[[#This Row],[Units]]="","",tblFleet[[#This Row],[Units]]*cfg_HoursPerDay)</f>
        <v/>
      </c>
      <c r="H1540" s="66">
        <f>IF(tblFleet[[#This Row],[Units]]="","",tblFleet[[#This Row],[Calendar_h]]-tblFleet[[#This Row],[Down_h]])</f>
        <v/>
      </c>
      <c r="I1540" s="60">
        <f>IF(AND(tblFleet[[#This Row],[Units]]&lt;&gt;"",tblFleet[[#This Row],[Calendar_h]]&gt;0),tblFleet[[#This Row],[Available_h]]/tblFleet[[#This Row],[Calendar_h]],"")</f>
        <v/>
      </c>
      <c r="J1540" s="60">
        <f>IF(AND(tblFleet[[#This Row],[Units]]&lt;&gt;"",tblFleet[[#This Row],[Available_h]]&gt;0),tblFleet[[#This Row],[Operating_h]]/tblFleet[[#This Row],[Available_h]],"")</f>
        <v/>
      </c>
    </row>
    <row r="1541">
      <c r="A1541" s="54" t="n"/>
      <c r="B1541" s="61" t="n"/>
      <c r="C1541" s="62" t="n"/>
      <c r="D1541" s="57" t="n"/>
      <c r="E1541" s="57" t="n"/>
      <c r="F1541" s="58" t="n"/>
      <c r="G1541" s="66">
        <f>IF(tblFleet[[#This Row],[Units]]="","",tblFleet[[#This Row],[Units]]*cfg_HoursPerDay)</f>
        <v/>
      </c>
      <c r="H1541" s="66">
        <f>IF(tblFleet[[#This Row],[Units]]="","",tblFleet[[#This Row],[Calendar_h]]-tblFleet[[#This Row],[Down_h]])</f>
        <v/>
      </c>
      <c r="I1541" s="60">
        <f>IF(AND(tblFleet[[#This Row],[Units]]&lt;&gt;"",tblFleet[[#This Row],[Calendar_h]]&gt;0),tblFleet[[#This Row],[Available_h]]/tblFleet[[#This Row],[Calendar_h]],"")</f>
        <v/>
      </c>
      <c r="J1541" s="60">
        <f>IF(AND(tblFleet[[#This Row],[Units]]&lt;&gt;"",tblFleet[[#This Row],[Available_h]]&gt;0),tblFleet[[#This Row],[Operating_h]]/tblFleet[[#This Row],[Available_h]],"")</f>
        <v/>
      </c>
    </row>
    <row r="1542">
      <c r="A1542" s="54" t="n"/>
      <c r="B1542" s="61" t="n"/>
      <c r="C1542" s="62" t="n"/>
      <c r="D1542" s="57" t="n"/>
      <c r="E1542" s="57" t="n"/>
      <c r="F1542" s="58" t="n"/>
      <c r="G1542" s="66">
        <f>IF(tblFleet[[#This Row],[Units]]="","",tblFleet[[#This Row],[Units]]*cfg_HoursPerDay)</f>
        <v/>
      </c>
      <c r="H1542" s="66">
        <f>IF(tblFleet[[#This Row],[Units]]="","",tblFleet[[#This Row],[Calendar_h]]-tblFleet[[#This Row],[Down_h]])</f>
        <v/>
      </c>
      <c r="I1542" s="60">
        <f>IF(AND(tblFleet[[#This Row],[Units]]&lt;&gt;"",tblFleet[[#This Row],[Calendar_h]]&gt;0),tblFleet[[#This Row],[Available_h]]/tblFleet[[#This Row],[Calendar_h]],"")</f>
        <v/>
      </c>
      <c r="J1542" s="60">
        <f>IF(AND(tblFleet[[#This Row],[Units]]&lt;&gt;"",tblFleet[[#This Row],[Available_h]]&gt;0),tblFleet[[#This Row],[Operating_h]]/tblFleet[[#This Row],[Available_h]],"")</f>
        <v/>
      </c>
    </row>
    <row r="1543">
      <c r="A1543" s="54" t="n"/>
      <c r="B1543" s="61" t="n"/>
      <c r="C1543" s="62" t="n"/>
      <c r="D1543" s="57" t="n"/>
      <c r="E1543" s="57" t="n"/>
      <c r="F1543" s="58" t="n"/>
      <c r="G1543" s="66">
        <f>IF(tblFleet[[#This Row],[Units]]="","",tblFleet[[#This Row],[Units]]*cfg_HoursPerDay)</f>
        <v/>
      </c>
      <c r="H1543" s="66">
        <f>IF(tblFleet[[#This Row],[Units]]="","",tblFleet[[#This Row],[Calendar_h]]-tblFleet[[#This Row],[Down_h]])</f>
        <v/>
      </c>
      <c r="I1543" s="60">
        <f>IF(AND(tblFleet[[#This Row],[Units]]&lt;&gt;"",tblFleet[[#This Row],[Calendar_h]]&gt;0),tblFleet[[#This Row],[Available_h]]/tblFleet[[#This Row],[Calendar_h]],"")</f>
        <v/>
      </c>
      <c r="J1543" s="60">
        <f>IF(AND(tblFleet[[#This Row],[Units]]&lt;&gt;"",tblFleet[[#This Row],[Available_h]]&gt;0),tblFleet[[#This Row],[Operating_h]]/tblFleet[[#This Row],[Available_h]],"")</f>
        <v/>
      </c>
    </row>
    <row r="1544">
      <c r="A1544" s="54" t="n"/>
      <c r="B1544" s="61" t="n"/>
      <c r="C1544" s="62" t="n"/>
      <c r="D1544" s="57" t="n"/>
      <c r="E1544" s="57" t="n"/>
      <c r="F1544" s="58" t="n"/>
      <c r="G1544" s="66">
        <f>IF(tblFleet[[#This Row],[Units]]="","",tblFleet[[#This Row],[Units]]*cfg_HoursPerDay)</f>
        <v/>
      </c>
      <c r="H1544" s="66">
        <f>IF(tblFleet[[#This Row],[Units]]="","",tblFleet[[#This Row],[Calendar_h]]-tblFleet[[#This Row],[Down_h]])</f>
        <v/>
      </c>
      <c r="I1544" s="60">
        <f>IF(AND(tblFleet[[#This Row],[Units]]&lt;&gt;"",tblFleet[[#This Row],[Calendar_h]]&gt;0),tblFleet[[#This Row],[Available_h]]/tblFleet[[#This Row],[Calendar_h]],"")</f>
        <v/>
      </c>
      <c r="J1544" s="60">
        <f>IF(AND(tblFleet[[#This Row],[Units]]&lt;&gt;"",tblFleet[[#This Row],[Available_h]]&gt;0),tblFleet[[#This Row],[Operating_h]]/tblFleet[[#This Row],[Available_h]],"")</f>
        <v/>
      </c>
    </row>
    <row r="1545">
      <c r="A1545" s="54" t="n"/>
      <c r="B1545" s="61" t="n"/>
      <c r="C1545" s="62" t="n"/>
      <c r="D1545" s="57" t="n"/>
      <c r="E1545" s="57" t="n"/>
      <c r="F1545" s="58" t="n"/>
      <c r="G1545" s="66">
        <f>IF(tblFleet[[#This Row],[Units]]="","",tblFleet[[#This Row],[Units]]*cfg_HoursPerDay)</f>
        <v/>
      </c>
      <c r="H1545" s="66">
        <f>IF(tblFleet[[#This Row],[Units]]="","",tblFleet[[#This Row],[Calendar_h]]-tblFleet[[#This Row],[Down_h]])</f>
        <v/>
      </c>
      <c r="I1545" s="60">
        <f>IF(AND(tblFleet[[#This Row],[Units]]&lt;&gt;"",tblFleet[[#This Row],[Calendar_h]]&gt;0),tblFleet[[#This Row],[Available_h]]/tblFleet[[#This Row],[Calendar_h]],"")</f>
        <v/>
      </c>
      <c r="J1545" s="60">
        <f>IF(AND(tblFleet[[#This Row],[Units]]&lt;&gt;"",tblFleet[[#This Row],[Available_h]]&gt;0),tblFleet[[#This Row],[Operating_h]]/tblFleet[[#This Row],[Available_h]],"")</f>
        <v/>
      </c>
    </row>
    <row r="1546">
      <c r="A1546" s="54" t="n"/>
      <c r="B1546" s="61" t="n"/>
      <c r="C1546" s="62" t="n"/>
      <c r="D1546" s="57" t="n"/>
      <c r="E1546" s="57" t="n"/>
      <c r="F1546" s="58" t="n"/>
      <c r="G1546" s="66">
        <f>IF(tblFleet[[#This Row],[Units]]="","",tblFleet[[#This Row],[Units]]*cfg_HoursPerDay)</f>
        <v/>
      </c>
      <c r="H1546" s="66">
        <f>IF(tblFleet[[#This Row],[Units]]="","",tblFleet[[#This Row],[Calendar_h]]-tblFleet[[#This Row],[Down_h]])</f>
        <v/>
      </c>
      <c r="I1546" s="60">
        <f>IF(AND(tblFleet[[#This Row],[Units]]&lt;&gt;"",tblFleet[[#This Row],[Calendar_h]]&gt;0),tblFleet[[#This Row],[Available_h]]/tblFleet[[#This Row],[Calendar_h]],"")</f>
        <v/>
      </c>
      <c r="J1546" s="60">
        <f>IF(AND(tblFleet[[#This Row],[Units]]&lt;&gt;"",tblFleet[[#This Row],[Available_h]]&gt;0),tblFleet[[#This Row],[Operating_h]]/tblFleet[[#This Row],[Available_h]],"")</f>
        <v/>
      </c>
    </row>
    <row r="1547">
      <c r="A1547" s="54" t="n"/>
      <c r="B1547" s="61" t="n"/>
      <c r="C1547" s="62" t="n"/>
      <c r="D1547" s="57" t="n"/>
      <c r="E1547" s="57" t="n"/>
      <c r="F1547" s="58" t="n"/>
      <c r="G1547" s="66">
        <f>IF(tblFleet[[#This Row],[Units]]="","",tblFleet[[#This Row],[Units]]*cfg_HoursPerDay)</f>
        <v/>
      </c>
      <c r="H1547" s="66">
        <f>IF(tblFleet[[#This Row],[Units]]="","",tblFleet[[#This Row],[Calendar_h]]-tblFleet[[#This Row],[Down_h]])</f>
        <v/>
      </c>
      <c r="I1547" s="60">
        <f>IF(AND(tblFleet[[#This Row],[Units]]&lt;&gt;"",tblFleet[[#This Row],[Calendar_h]]&gt;0),tblFleet[[#This Row],[Available_h]]/tblFleet[[#This Row],[Calendar_h]],"")</f>
        <v/>
      </c>
      <c r="J1547" s="60">
        <f>IF(AND(tblFleet[[#This Row],[Units]]&lt;&gt;"",tblFleet[[#This Row],[Available_h]]&gt;0),tblFleet[[#This Row],[Operating_h]]/tblFleet[[#This Row],[Available_h]],"")</f>
        <v/>
      </c>
    </row>
    <row r="1548">
      <c r="A1548" s="54" t="n"/>
      <c r="B1548" s="61" t="n"/>
      <c r="C1548" s="62" t="n"/>
      <c r="D1548" s="57" t="n"/>
      <c r="E1548" s="57" t="n"/>
      <c r="F1548" s="58" t="n"/>
      <c r="G1548" s="66">
        <f>IF(tblFleet[[#This Row],[Units]]="","",tblFleet[[#This Row],[Units]]*cfg_HoursPerDay)</f>
        <v/>
      </c>
      <c r="H1548" s="66">
        <f>IF(tblFleet[[#This Row],[Units]]="","",tblFleet[[#This Row],[Calendar_h]]-tblFleet[[#This Row],[Down_h]])</f>
        <v/>
      </c>
      <c r="I1548" s="60">
        <f>IF(AND(tblFleet[[#This Row],[Units]]&lt;&gt;"",tblFleet[[#This Row],[Calendar_h]]&gt;0),tblFleet[[#This Row],[Available_h]]/tblFleet[[#This Row],[Calendar_h]],"")</f>
        <v/>
      </c>
      <c r="J1548" s="60">
        <f>IF(AND(tblFleet[[#This Row],[Units]]&lt;&gt;"",tblFleet[[#This Row],[Available_h]]&gt;0),tblFleet[[#This Row],[Operating_h]]/tblFleet[[#This Row],[Available_h]],"")</f>
        <v/>
      </c>
    </row>
    <row r="1549">
      <c r="A1549" s="54" t="n"/>
      <c r="B1549" s="61" t="n"/>
      <c r="C1549" s="62" t="n"/>
      <c r="D1549" s="57" t="n"/>
      <c r="E1549" s="57" t="n"/>
      <c r="F1549" s="58" t="n"/>
      <c r="G1549" s="66">
        <f>IF(tblFleet[[#This Row],[Units]]="","",tblFleet[[#This Row],[Units]]*cfg_HoursPerDay)</f>
        <v/>
      </c>
      <c r="H1549" s="66">
        <f>IF(tblFleet[[#This Row],[Units]]="","",tblFleet[[#This Row],[Calendar_h]]-tblFleet[[#This Row],[Down_h]])</f>
        <v/>
      </c>
      <c r="I1549" s="60">
        <f>IF(AND(tblFleet[[#This Row],[Units]]&lt;&gt;"",tblFleet[[#This Row],[Calendar_h]]&gt;0),tblFleet[[#This Row],[Available_h]]/tblFleet[[#This Row],[Calendar_h]],"")</f>
        <v/>
      </c>
      <c r="J1549" s="60">
        <f>IF(AND(tblFleet[[#This Row],[Units]]&lt;&gt;"",tblFleet[[#This Row],[Available_h]]&gt;0),tblFleet[[#This Row],[Operating_h]]/tblFleet[[#This Row],[Available_h]],"")</f>
        <v/>
      </c>
    </row>
    <row r="1550">
      <c r="A1550" s="54" t="n"/>
      <c r="B1550" s="61" t="n"/>
      <c r="C1550" s="62" t="n"/>
      <c r="D1550" s="57" t="n"/>
      <c r="E1550" s="57" t="n"/>
      <c r="F1550" s="58" t="n"/>
      <c r="G1550" s="66">
        <f>IF(tblFleet[[#This Row],[Units]]="","",tblFleet[[#This Row],[Units]]*cfg_HoursPerDay)</f>
        <v/>
      </c>
      <c r="H1550" s="66">
        <f>IF(tblFleet[[#This Row],[Units]]="","",tblFleet[[#This Row],[Calendar_h]]-tblFleet[[#This Row],[Down_h]])</f>
        <v/>
      </c>
      <c r="I1550" s="60">
        <f>IF(AND(tblFleet[[#This Row],[Units]]&lt;&gt;"",tblFleet[[#This Row],[Calendar_h]]&gt;0),tblFleet[[#This Row],[Available_h]]/tblFleet[[#This Row],[Calendar_h]],"")</f>
        <v/>
      </c>
      <c r="J1550" s="60">
        <f>IF(AND(tblFleet[[#This Row],[Units]]&lt;&gt;"",tblFleet[[#This Row],[Available_h]]&gt;0),tblFleet[[#This Row],[Operating_h]]/tblFleet[[#This Row],[Available_h]],"")</f>
        <v/>
      </c>
    </row>
    <row r="1551">
      <c r="A1551" s="54" t="n"/>
      <c r="B1551" s="61" t="n"/>
      <c r="C1551" s="62" t="n"/>
      <c r="D1551" s="57" t="n"/>
      <c r="E1551" s="57" t="n"/>
      <c r="F1551" s="58" t="n"/>
      <c r="G1551" s="66">
        <f>IF(tblFleet[[#This Row],[Units]]="","",tblFleet[[#This Row],[Units]]*cfg_HoursPerDay)</f>
        <v/>
      </c>
      <c r="H1551" s="66">
        <f>IF(tblFleet[[#This Row],[Units]]="","",tblFleet[[#This Row],[Calendar_h]]-tblFleet[[#This Row],[Down_h]])</f>
        <v/>
      </c>
      <c r="I1551" s="60">
        <f>IF(AND(tblFleet[[#This Row],[Units]]&lt;&gt;"",tblFleet[[#This Row],[Calendar_h]]&gt;0),tblFleet[[#This Row],[Available_h]]/tblFleet[[#This Row],[Calendar_h]],"")</f>
        <v/>
      </c>
      <c r="J1551" s="60">
        <f>IF(AND(tblFleet[[#This Row],[Units]]&lt;&gt;"",tblFleet[[#This Row],[Available_h]]&gt;0),tblFleet[[#This Row],[Operating_h]]/tblFleet[[#This Row],[Available_h]],"")</f>
        <v/>
      </c>
    </row>
    <row r="1552">
      <c r="A1552" s="54" t="n"/>
      <c r="B1552" s="61" t="n"/>
      <c r="C1552" s="62" t="n"/>
      <c r="D1552" s="57" t="n"/>
      <c r="E1552" s="57" t="n"/>
      <c r="F1552" s="58" t="n"/>
      <c r="G1552" s="66">
        <f>IF(tblFleet[[#This Row],[Units]]="","",tblFleet[[#This Row],[Units]]*cfg_HoursPerDay)</f>
        <v/>
      </c>
      <c r="H1552" s="66">
        <f>IF(tblFleet[[#This Row],[Units]]="","",tblFleet[[#This Row],[Calendar_h]]-tblFleet[[#This Row],[Down_h]])</f>
        <v/>
      </c>
      <c r="I1552" s="60">
        <f>IF(AND(tblFleet[[#This Row],[Units]]&lt;&gt;"",tblFleet[[#This Row],[Calendar_h]]&gt;0),tblFleet[[#This Row],[Available_h]]/tblFleet[[#This Row],[Calendar_h]],"")</f>
        <v/>
      </c>
      <c r="J1552" s="60">
        <f>IF(AND(tblFleet[[#This Row],[Units]]&lt;&gt;"",tblFleet[[#This Row],[Available_h]]&gt;0),tblFleet[[#This Row],[Operating_h]]/tblFleet[[#This Row],[Available_h]],"")</f>
        <v/>
      </c>
    </row>
    <row r="1553">
      <c r="A1553" s="54" t="n"/>
      <c r="B1553" s="61" t="n"/>
      <c r="C1553" s="62" t="n"/>
      <c r="D1553" s="57" t="n"/>
      <c r="E1553" s="57" t="n"/>
      <c r="F1553" s="58" t="n"/>
      <c r="G1553" s="66">
        <f>IF(tblFleet[[#This Row],[Units]]="","",tblFleet[[#This Row],[Units]]*cfg_HoursPerDay)</f>
        <v/>
      </c>
      <c r="H1553" s="66">
        <f>IF(tblFleet[[#This Row],[Units]]="","",tblFleet[[#This Row],[Calendar_h]]-tblFleet[[#This Row],[Down_h]])</f>
        <v/>
      </c>
      <c r="I1553" s="60">
        <f>IF(AND(tblFleet[[#This Row],[Units]]&lt;&gt;"",tblFleet[[#This Row],[Calendar_h]]&gt;0),tblFleet[[#This Row],[Available_h]]/tblFleet[[#This Row],[Calendar_h]],"")</f>
        <v/>
      </c>
      <c r="J1553" s="60">
        <f>IF(AND(tblFleet[[#This Row],[Units]]&lt;&gt;"",tblFleet[[#This Row],[Available_h]]&gt;0),tblFleet[[#This Row],[Operating_h]]/tblFleet[[#This Row],[Available_h]],"")</f>
        <v/>
      </c>
    </row>
    <row r="1554">
      <c r="A1554" s="54" t="n"/>
      <c r="B1554" s="61" t="n"/>
      <c r="C1554" s="62" t="n"/>
      <c r="D1554" s="57" t="n"/>
      <c r="E1554" s="57" t="n"/>
      <c r="F1554" s="58" t="n"/>
      <c r="G1554" s="66">
        <f>IF(tblFleet[[#This Row],[Units]]="","",tblFleet[[#This Row],[Units]]*cfg_HoursPerDay)</f>
        <v/>
      </c>
      <c r="H1554" s="66">
        <f>IF(tblFleet[[#This Row],[Units]]="","",tblFleet[[#This Row],[Calendar_h]]-tblFleet[[#This Row],[Down_h]])</f>
        <v/>
      </c>
      <c r="I1554" s="60">
        <f>IF(AND(tblFleet[[#This Row],[Units]]&lt;&gt;"",tblFleet[[#This Row],[Calendar_h]]&gt;0),tblFleet[[#This Row],[Available_h]]/tblFleet[[#This Row],[Calendar_h]],"")</f>
        <v/>
      </c>
      <c r="J1554" s="60">
        <f>IF(AND(tblFleet[[#This Row],[Units]]&lt;&gt;"",tblFleet[[#This Row],[Available_h]]&gt;0),tblFleet[[#This Row],[Operating_h]]/tblFleet[[#This Row],[Available_h]],"")</f>
        <v/>
      </c>
    </row>
    <row r="1555">
      <c r="A1555" s="54" t="n"/>
      <c r="B1555" s="61" t="n"/>
      <c r="C1555" s="62" t="n"/>
      <c r="D1555" s="57" t="n"/>
      <c r="E1555" s="57" t="n"/>
      <c r="F1555" s="58" t="n"/>
      <c r="G1555" s="66">
        <f>IF(tblFleet[[#This Row],[Units]]="","",tblFleet[[#This Row],[Units]]*cfg_HoursPerDay)</f>
        <v/>
      </c>
      <c r="H1555" s="66">
        <f>IF(tblFleet[[#This Row],[Units]]="","",tblFleet[[#This Row],[Calendar_h]]-tblFleet[[#This Row],[Down_h]])</f>
        <v/>
      </c>
      <c r="I1555" s="60">
        <f>IF(AND(tblFleet[[#This Row],[Units]]&lt;&gt;"",tblFleet[[#This Row],[Calendar_h]]&gt;0),tblFleet[[#This Row],[Available_h]]/tblFleet[[#This Row],[Calendar_h]],"")</f>
        <v/>
      </c>
      <c r="J1555" s="60">
        <f>IF(AND(tblFleet[[#This Row],[Units]]&lt;&gt;"",tblFleet[[#This Row],[Available_h]]&gt;0),tblFleet[[#This Row],[Operating_h]]/tblFleet[[#This Row],[Available_h]],"")</f>
        <v/>
      </c>
    </row>
    <row r="1556">
      <c r="A1556" s="54" t="n"/>
      <c r="B1556" s="61" t="n"/>
      <c r="C1556" s="62" t="n"/>
      <c r="D1556" s="57" t="n"/>
      <c r="E1556" s="57" t="n"/>
      <c r="F1556" s="58" t="n"/>
      <c r="G1556" s="66">
        <f>IF(tblFleet[[#This Row],[Units]]="","",tblFleet[[#This Row],[Units]]*cfg_HoursPerDay)</f>
        <v/>
      </c>
      <c r="H1556" s="66">
        <f>IF(tblFleet[[#This Row],[Units]]="","",tblFleet[[#This Row],[Calendar_h]]-tblFleet[[#This Row],[Down_h]])</f>
        <v/>
      </c>
      <c r="I1556" s="60">
        <f>IF(AND(tblFleet[[#This Row],[Units]]&lt;&gt;"",tblFleet[[#This Row],[Calendar_h]]&gt;0),tblFleet[[#This Row],[Available_h]]/tblFleet[[#This Row],[Calendar_h]],"")</f>
        <v/>
      </c>
      <c r="J1556" s="60">
        <f>IF(AND(tblFleet[[#This Row],[Units]]&lt;&gt;"",tblFleet[[#This Row],[Available_h]]&gt;0),tblFleet[[#This Row],[Operating_h]]/tblFleet[[#This Row],[Available_h]],"")</f>
        <v/>
      </c>
    </row>
    <row r="1557">
      <c r="A1557" s="54" t="n"/>
      <c r="B1557" s="61" t="n"/>
      <c r="C1557" s="62" t="n"/>
      <c r="D1557" s="57" t="n"/>
      <c r="E1557" s="57" t="n"/>
      <c r="F1557" s="58" t="n"/>
      <c r="G1557" s="66">
        <f>IF(tblFleet[[#This Row],[Units]]="","",tblFleet[[#This Row],[Units]]*cfg_HoursPerDay)</f>
        <v/>
      </c>
      <c r="H1557" s="66">
        <f>IF(tblFleet[[#This Row],[Units]]="","",tblFleet[[#This Row],[Calendar_h]]-tblFleet[[#This Row],[Down_h]])</f>
        <v/>
      </c>
      <c r="I1557" s="60">
        <f>IF(AND(tblFleet[[#This Row],[Units]]&lt;&gt;"",tblFleet[[#This Row],[Calendar_h]]&gt;0),tblFleet[[#This Row],[Available_h]]/tblFleet[[#This Row],[Calendar_h]],"")</f>
        <v/>
      </c>
      <c r="J1557" s="60">
        <f>IF(AND(tblFleet[[#This Row],[Units]]&lt;&gt;"",tblFleet[[#This Row],[Available_h]]&gt;0),tblFleet[[#This Row],[Operating_h]]/tblFleet[[#This Row],[Available_h]],"")</f>
        <v/>
      </c>
    </row>
    <row r="1558">
      <c r="A1558" s="54" t="n"/>
      <c r="B1558" s="61" t="n"/>
      <c r="C1558" s="62" t="n"/>
      <c r="D1558" s="57" t="n"/>
      <c r="E1558" s="57" t="n"/>
      <c r="F1558" s="58" t="n"/>
      <c r="G1558" s="66">
        <f>IF(tblFleet[[#This Row],[Units]]="","",tblFleet[[#This Row],[Units]]*cfg_HoursPerDay)</f>
        <v/>
      </c>
      <c r="H1558" s="66">
        <f>IF(tblFleet[[#This Row],[Units]]="","",tblFleet[[#This Row],[Calendar_h]]-tblFleet[[#This Row],[Down_h]])</f>
        <v/>
      </c>
      <c r="I1558" s="60">
        <f>IF(AND(tblFleet[[#This Row],[Units]]&lt;&gt;"",tblFleet[[#This Row],[Calendar_h]]&gt;0),tblFleet[[#This Row],[Available_h]]/tblFleet[[#This Row],[Calendar_h]],"")</f>
        <v/>
      </c>
      <c r="J1558" s="60">
        <f>IF(AND(tblFleet[[#This Row],[Units]]&lt;&gt;"",tblFleet[[#This Row],[Available_h]]&gt;0),tblFleet[[#This Row],[Operating_h]]/tblFleet[[#This Row],[Available_h]],"")</f>
        <v/>
      </c>
    </row>
    <row r="1559">
      <c r="A1559" s="54" t="n"/>
      <c r="B1559" s="61" t="n"/>
      <c r="C1559" s="62" t="n"/>
      <c r="D1559" s="57" t="n"/>
      <c r="E1559" s="57" t="n"/>
      <c r="F1559" s="58" t="n"/>
      <c r="G1559" s="66">
        <f>IF(tblFleet[[#This Row],[Units]]="","",tblFleet[[#This Row],[Units]]*cfg_HoursPerDay)</f>
        <v/>
      </c>
      <c r="H1559" s="66">
        <f>IF(tblFleet[[#This Row],[Units]]="","",tblFleet[[#This Row],[Calendar_h]]-tblFleet[[#This Row],[Down_h]])</f>
        <v/>
      </c>
      <c r="I1559" s="60">
        <f>IF(AND(tblFleet[[#This Row],[Units]]&lt;&gt;"",tblFleet[[#This Row],[Calendar_h]]&gt;0),tblFleet[[#This Row],[Available_h]]/tblFleet[[#This Row],[Calendar_h]],"")</f>
        <v/>
      </c>
      <c r="J1559" s="60">
        <f>IF(AND(tblFleet[[#This Row],[Units]]&lt;&gt;"",tblFleet[[#This Row],[Available_h]]&gt;0),tblFleet[[#This Row],[Operating_h]]/tblFleet[[#This Row],[Available_h]],"")</f>
        <v/>
      </c>
    </row>
    <row r="1560">
      <c r="A1560" s="54" t="n"/>
      <c r="B1560" s="61" t="n"/>
      <c r="C1560" s="62" t="n"/>
      <c r="D1560" s="57" t="n"/>
      <c r="E1560" s="57" t="n"/>
      <c r="F1560" s="58" t="n"/>
      <c r="G1560" s="66">
        <f>IF(tblFleet[[#This Row],[Units]]="","",tblFleet[[#This Row],[Units]]*cfg_HoursPerDay)</f>
        <v/>
      </c>
      <c r="H1560" s="66">
        <f>IF(tblFleet[[#This Row],[Units]]="","",tblFleet[[#This Row],[Calendar_h]]-tblFleet[[#This Row],[Down_h]])</f>
        <v/>
      </c>
      <c r="I1560" s="60">
        <f>IF(AND(tblFleet[[#This Row],[Units]]&lt;&gt;"",tblFleet[[#This Row],[Calendar_h]]&gt;0),tblFleet[[#This Row],[Available_h]]/tblFleet[[#This Row],[Calendar_h]],"")</f>
        <v/>
      </c>
      <c r="J1560" s="60">
        <f>IF(AND(tblFleet[[#This Row],[Units]]&lt;&gt;"",tblFleet[[#This Row],[Available_h]]&gt;0),tblFleet[[#This Row],[Operating_h]]/tblFleet[[#This Row],[Available_h]],"")</f>
        <v/>
      </c>
    </row>
    <row r="1561">
      <c r="A1561" s="54" t="n"/>
      <c r="B1561" s="61" t="n"/>
      <c r="C1561" s="62" t="n"/>
      <c r="D1561" s="57" t="n"/>
      <c r="E1561" s="57" t="n"/>
      <c r="F1561" s="58" t="n"/>
      <c r="G1561" s="66">
        <f>IF(tblFleet[[#This Row],[Units]]="","",tblFleet[[#This Row],[Units]]*cfg_HoursPerDay)</f>
        <v/>
      </c>
      <c r="H1561" s="66">
        <f>IF(tblFleet[[#This Row],[Units]]="","",tblFleet[[#This Row],[Calendar_h]]-tblFleet[[#This Row],[Down_h]])</f>
        <v/>
      </c>
      <c r="I1561" s="60">
        <f>IF(AND(tblFleet[[#This Row],[Units]]&lt;&gt;"",tblFleet[[#This Row],[Calendar_h]]&gt;0),tblFleet[[#This Row],[Available_h]]/tblFleet[[#This Row],[Calendar_h]],"")</f>
        <v/>
      </c>
      <c r="J1561" s="60">
        <f>IF(AND(tblFleet[[#This Row],[Units]]&lt;&gt;"",tblFleet[[#This Row],[Available_h]]&gt;0),tblFleet[[#This Row],[Operating_h]]/tblFleet[[#This Row],[Available_h]],"")</f>
        <v/>
      </c>
    </row>
    <row r="1562">
      <c r="A1562" s="54" t="n"/>
      <c r="B1562" s="61" t="n"/>
      <c r="C1562" s="62" t="n"/>
      <c r="D1562" s="57" t="n"/>
      <c r="E1562" s="57" t="n"/>
      <c r="F1562" s="58" t="n"/>
      <c r="G1562" s="66">
        <f>IF(tblFleet[[#This Row],[Units]]="","",tblFleet[[#This Row],[Units]]*cfg_HoursPerDay)</f>
        <v/>
      </c>
      <c r="H1562" s="66">
        <f>IF(tblFleet[[#This Row],[Units]]="","",tblFleet[[#This Row],[Calendar_h]]-tblFleet[[#This Row],[Down_h]])</f>
        <v/>
      </c>
      <c r="I1562" s="60">
        <f>IF(AND(tblFleet[[#This Row],[Units]]&lt;&gt;"",tblFleet[[#This Row],[Calendar_h]]&gt;0),tblFleet[[#This Row],[Available_h]]/tblFleet[[#This Row],[Calendar_h]],"")</f>
        <v/>
      </c>
      <c r="J1562" s="60">
        <f>IF(AND(tblFleet[[#This Row],[Units]]&lt;&gt;"",tblFleet[[#This Row],[Available_h]]&gt;0),tblFleet[[#This Row],[Operating_h]]/tblFleet[[#This Row],[Available_h]],"")</f>
        <v/>
      </c>
    </row>
    <row r="1563">
      <c r="A1563" s="54" t="n"/>
      <c r="B1563" s="61" t="n"/>
      <c r="C1563" s="62" t="n"/>
      <c r="D1563" s="57" t="n"/>
      <c r="E1563" s="57" t="n"/>
      <c r="F1563" s="58" t="n"/>
      <c r="G1563" s="66">
        <f>IF(tblFleet[[#This Row],[Units]]="","",tblFleet[[#This Row],[Units]]*cfg_HoursPerDay)</f>
        <v/>
      </c>
      <c r="H1563" s="66">
        <f>IF(tblFleet[[#This Row],[Units]]="","",tblFleet[[#This Row],[Calendar_h]]-tblFleet[[#This Row],[Down_h]])</f>
        <v/>
      </c>
      <c r="I1563" s="60">
        <f>IF(AND(tblFleet[[#This Row],[Units]]&lt;&gt;"",tblFleet[[#This Row],[Calendar_h]]&gt;0),tblFleet[[#This Row],[Available_h]]/tblFleet[[#This Row],[Calendar_h]],"")</f>
        <v/>
      </c>
      <c r="J1563" s="60">
        <f>IF(AND(tblFleet[[#This Row],[Units]]&lt;&gt;"",tblFleet[[#This Row],[Available_h]]&gt;0),tblFleet[[#This Row],[Operating_h]]/tblFleet[[#This Row],[Available_h]],"")</f>
        <v/>
      </c>
    </row>
    <row r="1564">
      <c r="A1564" s="54" t="n"/>
      <c r="B1564" s="61" t="n"/>
      <c r="C1564" s="62" t="n"/>
      <c r="D1564" s="57" t="n"/>
      <c r="E1564" s="57" t="n"/>
      <c r="F1564" s="58" t="n"/>
      <c r="G1564" s="66">
        <f>IF(tblFleet[[#This Row],[Units]]="","",tblFleet[[#This Row],[Units]]*cfg_HoursPerDay)</f>
        <v/>
      </c>
      <c r="H1564" s="66">
        <f>IF(tblFleet[[#This Row],[Units]]="","",tblFleet[[#This Row],[Calendar_h]]-tblFleet[[#This Row],[Down_h]])</f>
        <v/>
      </c>
      <c r="I1564" s="60">
        <f>IF(AND(tblFleet[[#This Row],[Units]]&lt;&gt;"",tblFleet[[#This Row],[Calendar_h]]&gt;0),tblFleet[[#This Row],[Available_h]]/tblFleet[[#This Row],[Calendar_h]],"")</f>
        <v/>
      </c>
      <c r="J1564" s="60">
        <f>IF(AND(tblFleet[[#This Row],[Units]]&lt;&gt;"",tblFleet[[#This Row],[Available_h]]&gt;0),tblFleet[[#This Row],[Operating_h]]/tblFleet[[#This Row],[Available_h]],"")</f>
        <v/>
      </c>
    </row>
    <row r="1565">
      <c r="A1565" s="54" t="n"/>
      <c r="B1565" s="61" t="n"/>
      <c r="C1565" s="62" t="n"/>
      <c r="D1565" s="57" t="n"/>
      <c r="E1565" s="57" t="n"/>
      <c r="F1565" s="58" t="n"/>
      <c r="G1565" s="66">
        <f>IF(tblFleet[[#This Row],[Units]]="","",tblFleet[[#This Row],[Units]]*cfg_HoursPerDay)</f>
        <v/>
      </c>
      <c r="H1565" s="66">
        <f>IF(tblFleet[[#This Row],[Units]]="","",tblFleet[[#This Row],[Calendar_h]]-tblFleet[[#This Row],[Down_h]])</f>
        <v/>
      </c>
      <c r="I1565" s="60">
        <f>IF(AND(tblFleet[[#This Row],[Units]]&lt;&gt;"",tblFleet[[#This Row],[Calendar_h]]&gt;0),tblFleet[[#This Row],[Available_h]]/tblFleet[[#This Row],[Calendar_h]],"")</f>
        <v/>
      </c>
      <c r="J1565" s="60">
        <f>IF(AND(tblFleet[[#This Row],[Units]]&lt;&gt;"",tblFleet[[#This Row],[Available_h]]&gt;0),tblFleet[[#This Row],[Operating_h]]/tblFleet[[#This Row],[Available_h]],"")</f>
        <v/>
      </c>
    </row>
    <row r="1566">
      <c r="A1566" s="54" t="n"/>
      <c r="B1566" s="61" t="n"/>
      <c r="C1566" s="62" t="n"/>
      <c r="D1566" s="57" t="n"/>
      <c r="E1566" s="57" t="n"/>
      <c r="F1566" s="58" t="n"/>
      <c r="G1566" s="66">
        <f>IF(tblFleet[[#This Row],[Units]]="","",tblFleet[[#This Row],[Units]]*cfg_HoursPerDay)</f>
        <v/>
      </c>
      <c r="H1566" s="66">
        <f>IF(tblFleet[[#This Row],[Units]]="","",tblFleet[[#This Row],[Calendar_h]]-tblFleet[[#This Row],[Down_h]])</f>
        <v/>
      </c>
      <c r="I1566" s="60">
        <f>IF(AND(tblFleet[[#This Row],[Units]]&lt;&gt;"",tblFleet[[#This Row],[Calendar_h]]&gt;0),tblFleet[[#This Row],[Available_h]]/tblFleet[[#This Row],[Calendar_h]],"")</f>
        <v/>
      </c>
      <c r="J1566" s="60">
        <f>IF(AND(tblFleet[[#This Row],[Units]]&lt;&gt;"",tblFleet[[#This Row],[Available_h]]&gt;0),tblFleet[[#This Row],[Operating_h]]/tblFleet[[#This Row],[Available_h]],"")</f>
        <v/>
      </c>
    </row>
    <row r="1567">
      <c r="A1567" s="54" t="n"/>
      <c r="B1567" s="61" t="n"/>
      <c r="C1567" s="62" t="n"/>
      <c r="D1567" s="57" t="n"/>
      <c r="E1567" s="57" t="n"/>
      <c r="F1567" s="58" t="n"/>
      <c r="G1567" s="66">
        <f>IF(tblFleet[[#This Row],[Units]]="","",tblFleet[[#This Row],[Units]]*cfg_HoursPerDay)</f>
        <v/>
      </c>
      <c r="H1567" s="66">
        <f>IF(tblFleet[[#This Row],[Units]]="","",tblFleet[[#This Row],[Calendar_h]]-tblFleet[[#This Row],[Down_h]])</f>
        <v/>
      </c>
      <c r="I1567" s="60">
        <f>IF(AND(tblFleet[[#This Row],[Units]]&lt;&gt;"",tblFleet[[#This Row],[Calendar_h]]&gt;0),tblFleet[[#This Row],[Available_h]]/tblFleet[[#This Row],[Calendar_h]],"")</f>
        <v/>
      </c>
      <c r="J1567" s="60">
        <f>IF(AND(tblFleet[[#This Row],[Units]]&lt;&gt;"",tblFleet[[#This Row],[Available_h]]&gt;0),tblFleet[[#This Row],[Operating_h]]/tblFleet[[#This Row],[Available_h]],"")</f>
        <v/>
      </c>
    </row>
    <row r="1568">
      <c r="A1568" s="54" t="n"/>
      <c r="B1568" s="61" t="n"/>
      <c r="C1568" s="62" t="n"/>
      <c r="D1568" s="57" t="n"/>
      <c r="E1568" s="57" t="n"/>
      <c r="F1568" s="58" t="n"/>
      <c r="G1568" s="66">
        <f>IF(tblFleet[[#This Row],[Units]]="","",tblFleet[[#This Row],[Units]]*cfg_HoursPerDay)</f>
        <v/>
      </c>
      <c r="H1568" s="66">
        <f>IF(tblFleet[[#This Row],[Units]]="","",tblFleet[[#This Row],[Calendar_h]]-tblFleet[[#This Row],[Down_h]])</f>
        <v/>
      </c>
      <c r="I1568" s="60">
        <f>IF(AND(tblFleet[[#This Row],[Units]]&lt;&gt;"",tblFleet[[#This Row],[Calendar_h]]&gt;0),tblFleet[[#This Row],[Available_h]]/tblFleet[[#This Row],[Calendar_h]],"")</f>
        <v/>
      </c>
      <c r="J1568" s="60">
        <f>IF(AND(tblFleet[[#This Row],[Units]]&lt;&gt;"",tblFleet[[#This Row],[Available_h]]&gt;0),tblFleet[[#This Row],[Operating_h]]/tblFleet[[#This Row],[Available_h]],"")</f>
        <v/>
      </c>
    </row>
    <row r="1569">
      <c r="A1569" s="54" t="n"/>
      <c r="B1569" s="61" t="n"/>
      <c r="C1569" s="62" t="n"/>
      <c r="D1569" s="57" t="n"/>
      <c r="E1569" s="57" t="n"/>
      <c r="F1569" s="58" t="n"/>
      <c r="G1569" s="66">
        <f>IF(tblFleet[[#This Row],[Units]]="","",tblFleet[[#This Row],[Units]]*cfg_HoursPerDay)</f>
        <v/>
      </c>
      <c r="H1569" s="66">
        <f>IF(tblFleet[[#This Row],[Units]]="","",tblFleet[[#This Row],[Calendar_h]]-tblFleet[[#This Row],[Down_h]])</f>
        <v/>
      </c>
      <c r="I1569" s="60">
        <f>IF(AND(tblFleet[[#This Row],[Units]]&lt;&gt;"",tblFleet[[#This Row],[Calendar_h]]&gt;0),tblFleet[[#This Row],[Available_h]]/tblFleet[[#This Row],[Calendar_h]],"")</f>
        <v/>
      </c>
      <c r="J1569" s="60">
        <f>IF(AND(tblFleet[[#This Row],[Units]]&lt;&gt;"",tblFleet[[#This Row],[Available_h]]&gt;0),tblFleet[[#This Row],[Operating_h]]/tblFleet[[#This Row],[Available_h]],"")</f>
        <v/>
      </c>
    </row>
    <row r="1570">
      <c r="A1570" s="54" t="n"/>
      <c r="B1570" s="61" t="n"/>
      <c r="C1570" s="62" t="n"/>
      <c r="D1570" s="57" t="n"/>
      <c r="E1570" s="57" t="n"/>
      <c r="F1570" s="58" t="n"/>
      <c r="G1570" s="66">
        <f>IF(tblFleet[[#This Row],[Units]]="","",tblFleet[[#This Row],[Units]]*cfg_HoursPerDay)</f>
        <v/>
      </c>
      <c r="H1570" s="66">
        <f>IF(tblFleet[[#This Row],[Units]]="","",tblFleet[[#This Row],[Calendar_h]]-tblFleet[[#This Row],[Down_h]])</f>
        <v/>
      </c>
      <c r="I1570" s="60">
        <f>IF(AND(tblFleet[[#This Row],[Units]]&lt;&gt;"",tblFleet[[#This Row],[Calendar_h]]&gt;0),tblFleet[[#This Row],[Available_h]]/tblFleet[[#This Row],[Calendar_h]],"")</f>
        <v/>
      </c>
      <c r="J1570" s="60">
        <f>IF(AND(tblFleet[[#This Row],[Units]]&lt;&gt;"",tblFleet[[#This Row],[Available_h]]&gt;0),tblFleet[[#This Row],[Operating_h]]/tblFleet[[#This Row],[Available_h]],"")</f>
        <v/>
      </c>
    </row>
    <row r="1571">
      <c r="A1571" s="54" t="n"/>
      <c r="B1571" s="61" t="n"/>
      <c r="C1571" s="62" t="n"/>
      <c r="D1571" s="57" t="n"/>
      <c r="E1571" s="57" t="n"/>
      <c r="F1571" s="58" t="n"/>
      <c r="G1571" s="66">
        <f>IF(tblFleet[[#This Row],[Units]]="","",tblFleet[[#This Row],[Units]]*cfg_HoursPerDay)</f>
        <v/>
      </c>
      <c r="H1571" s="66">
        <f>IF(tblFleet[[#This Row],[Units]]="","",tblFleet[[#This Row],[Calendar_h]]-tblFleet[[#This Row],[Down_h]])</f>
        <v/>
      </c>
      <c r="I1571" s="60">
        <f>IF(AND(tblFleet[[#This Row],[Units]]&lt;&gt;"",tblFleet[[#This Row],[Calendar_h]]&gt;0),tblFleet[[#This Row],[Available_h]]/tblFleet[[#This Row],[Calendar_h]],"")</f>
        <v/>
      </c>
      <c r="J1571" s="60">
        <f>IF(AND(tblFleet[[#This Row],[Units]]&lt;&gt;"",tblFleet[[#This Row],[Available_h]]&gt;0),tblFleet[[#This Row],[Operating_h]]/tblFleet[[#This Row],[Available_h]],"")</f>
        <v/>
      </c>
    </row>
    <row r="1572">
      <c r="A1572" s="54" t="n"/>
      <c r="B1572" s="61" t="n"/>
      <c r="C1572" s="62" t="n"/>
      <c r="D1572" s="57" t="n"/>
      <c r="E1572" s="57" t="n"/>
      <c r="F1572" s="58" t="n"/>
      <c r="G1572" s="66">
        <f>IF(tblFleet[[#This Row],[Units]]="","",tblFleet[[#This Row],[Units]]*cfg_HoursPerDay)</f>
        <v/>
      </c>
      <c r="H1572" s="66">
        <f>IF(tblFleet[[#This Row],[Units]]="","",tblFleet[[#This Row],[Calendar_h]]-tblFleet[[#This Row],[Down_h]])</f>
        <v/>
      </c>
      <c r="I1572" s="60">
        <f>IF(AND(tblFleet[[#This Row],[Units]]&lt;&gt;"",tblFleet[[#This Row],[Calendar_h]]&gt;0),tblFleet[[#This Row],[Available_h]]/tblFleet[[#This Row],[Calendar_h]],"")</f>
        <v/>
      </c>
      <c r="J1572" s="60">
        <f>IF(AND(tblFleet[[#This Row],[Units]]&lt;&gt;"",tblFleet[[#This Row],[Available_h]]&gt;0),tblFleet[[#This Row],[Operating_h]]/tblFleet[[#This Row],[Available_h]],"")</f>
        <v/>
      </c>
    </row>
    <row r="1573">
      <c r="A1573" s="54" t="n"/>
      <c r="B1573" s="61" t="n"/>
      <c r="C1573" s="62" t="n"/>
      <c r="D1573" s="57" t="n"/>
      <c r="E1573" s="57" t="n"/>
      <c r="F1573" s="58" t="n"/>
      <c r="G1573" s="66">
        <f>IF(tblFleet[[#This Row],[Units]]="","",tblFleet[[#This Row],[Units]]*cfg_HoursPerDay)</f>
        <v/>
      </c>
      <c r="H1573" s="66">
        <f>IF(tblFleet[[#This Row],[Units]]="","",tblFleet[[#This Row],[Calendar_h]]-tblFleet[[#This Row],[Down_h]])</f>
        <v/>
      </c>
      <c r="I1573" s="60">
        <f>IF(AND(tblFleet[[#This Row],[Units]]&lt;&gt;"",tblFleet[[#This Row],[Calendar_h]]&gt;0),tblFleet[[#This Row],[Available_h]]/tblFleet[[#This Row],[Calendar_h]],"")</f>
        <v/>
      </c>
      <c r="J1573" s="60">
        <f>IF(AND(tblFleet[[#This Row],[Units]]&lt;&gt;"",tblFleet[[#This Row],[Available_h]]&gt;0),tblFleet[[#This Row],[Operating_h]]/tblFleet[[#This Row],[Available_h]],"")</f>
        <v/>
      </c>
    </row>
    <row r="1574">
      <c r="A1574" s="54" t="n"/>
      <c r="B1574" s="61" t="n"/>
      <c r="C1574" s="62" t="n"/>
      <c r="D1574" s="57" t="n"/>
      <c r="E1574" s="57" t="n"/>
      <c r="F1574" s="58" t="n"/>
      <c r="G1574" s="66">
        <f>IF(tblFleet[[#This Row],[Units]]="","",tblFleet[[#This Row],[Units]]*cfg_HoursPerDay)</f>
        <v/>
      </c>
      <c r="H1574" s="66">
        <f>IF(tblFleet[[#This Row],[Units]]="","",tblFleet[[#This Row],[Calendar_h]]-tblFleet[[#This Row],[Down_h]])</f>
        <v/>
      </c>
      <c r="I1574" s="60">
        <f>IF(AND(tblFleet[[#This Row],[Units]]&lt;&gt;"",tblFleet[[#This Row],[Calendar_h]]&gt;0),tblFleet[[#This Row],[Available_h]]/tblFleet[[#This Row],[Calendar_h]],"")</f>
        <v/>
      </c>
      <c r="J1574" s="60">
        <f>IF(AND(tblFleet[[#This Row],[Units]]&lt;&gt;"",tblFleet[[#This Row],[Available_h]]&gt;0),tblFleet[[#This Row],[Operating_h]]/tblFleet[[#This Row],[Available_h]],"")</f>
        <v/>
      </c>
    </row>
    <row r="1575">
      <c r="A1575" s="54" t="n"/>
      <c r="B1575" s="61" t="n"/>
      <c r="C1575" s="62" t="n"/>
      <c r="D1575" s="57" t="n"/>
      <c r="E1575" s="57" t="n"/>
      <c r="F1575" s="58" t="n"/>
      <c r="G1575" s="66">
        <f>IF(tblFleet[[#This Row],[Units]]="","",tblFleet[[#This Row],[Units]]*cfg_HoursPerDay)</f>
        <v/>
      </c>
      <c r="H1575" s="66">
        <f>IF(tblFleet[[#This Row],[Units]]="","",tblFleet[[#This Row],[Calendar_h]]-tblFleet[[#This Row],[Down_h]])</f>
        <v/>
      </c>
      <c r="I1575" s="60">
        <f>IF(AND(tblFleet[[#This Row],[Units]]&lt;&gt;"",tblFleet[[#This Row],[Calendar_h]]&gt;0),tblFleet[[#This Row],[Available_h]]/tblFleet[[#This Row],[Calendar_h]],"")</f>
        <v/>
      </c>
      <c r="J1575" s="60">
        <f>IF(AND(tblFleet[[#This Row],[Units]]&lt;&gt;"",tblFleet[[#This Row],[Available_h]]&gt;0),tblFleet[[#This Row],[Operating_h]]/tblFleet[[#This Row],[Available_h]],"")</f>
        <v/>
      </c>
    </row>
    <row r="1576">
      <c r="A1576" s="54" t="n"/>
      <c r="B1576" s="61" t="n"/>
      <c r="C1576" s="62" t="n"/>
      <c r="D1576" s="57" t="n"/>
      <c r="E1576" s="57" t="n"/>
      <c r="F1576" s="58" t="n"/>
      <c r="G1576" s="66">
        <f>IF(tblFleet[[#This Row],[Units]]="","",tblFleet[[#This Row],[Units]]*cfg_HoursPerDay)</f>
        <v/>
      </c>
      <c r="H1576" s="66">
        <f>IF(tblFleet[[#This Row],[Units]]="","",tblFleet[[#This Row],[Calendar_h]]-tblFleet[[#This Row],[Down_h]])</f>
        <v/>
      </c>
      <c r="I1576" s="60">
        <f>IF(AND(tblFleet[[#This Row],[Units]]&lt;&gt;"",tblFleet[[#This Row],[Calendar_h]]&gt;0),tblFleet[[#This Row],[Available_h]]/tblFleet[[#This Row],[Calendar_h]],"")</f>
        <v/>
      </c>
      <c r="J1576" s="60">
        <f>IF(AND(tblFleet[[#This Row],[Units]]&lt;&gt;"",tblFleet[[#This Row],[Available_h]]&gt;0),tblFleet[[#This Row],[Operating_h]]/tblFleet[[#This Row],[Available_h]],"")</f>
        <v/>
      </c>
    </row>
    <row r="1577">
      <c r="A1577" s="54" t="n"/>
      <c r="B1577" s="61" t="n"/>
      <c r="C1577" s="62" t="n"/>
      <c r="D1577" s="57" t="n"/>
      <c r="E1577" s="57" t="n"/>
      <c r="F1577" s="58" t="n"/>
      <c r="G1577" s="66">
        <f>IF(tblFleet[[#This Row],[Units]]="","",tblFleet[[#This Row],[Units]]*cfg_HoursPerDay)</f>
        <v/>
      </c>
      <c r="H1577" s="66">
        <f>IF(tblFleet[[#This Row],[Units]]="","",tblFleet[[#This Row],[Calendar_h]]-tblFleet[[#This Row],[Down_h]])</f>
        <v/>
      </c>
      <c r="I1577" s="60">
        <f>IF(AND(tblFleet[[#This Row],[Units]]&lt;&gt;"",tblFleet[[#This Row],[Calendar_h]]&gt;0),tblFleet[[#This Row],[Available_h]]/tblFleet[[#This Row],[Calendar_h]],"")</f>
        <v/>
      </c>
      <c r="J1577" s="60">
        <f>IF(AND(tblFleet[[#This Row],[Units]]&lt;&gt;"",tblFleet[[#This Row],[Available_h]]&gt;0),tblFleet[[#This Row],[Operating_h]]/tblFleet[[#This Row],[Available_h]],"")</f>
        <v/>
      </c>
    </row>
    <row r="1578">
      <c r="A1578" s="54" t="n"/>
      <c r="B1578" s="61" t="n"/>
      <c r="C1578" s="62" t="n"/>
      <c r="D1578" s="57" t="n"/>
      <c r="E1578" s="57" t="n"/>
      <c r="F1578" s="58" t="n"/>
      <c r="G1578" s="66">
        <f>IF(tblFleet[[#This Row],[Units]]="","",tblFleet[[#This Row],[Units]]*cfg_HoursPerDay)</f>
        <v/>
      </c>
      <c r="H1578" s="66">
        <f>IF(tblFleet[[#This Row],[Units]]="","",tblFleet[[#This Row],[Calendar_h]]-tblFleet[[#This Row],[Down_h]])</f>
        <v/>
      </c>
      <c r="I1578" s="60">
        <f>IF(AND(tblFleet[[#This Row],[Units]]&lt;&gt;"",tblFleet[[#This Row],[Calendar_h]]&gt;0),tblFleet[[#This Row],[Available_h]]/tblFleet[[#This Row],[Calendar_h]],"")</f>
        <v/>
      </c>
      <c r="J1578" s="60">
        <f>IF(AND(tblFleet[[#This Row],[Units]]&lt;&gt;"",tblFleet[[#This Row],[Available_h]]&gt;0),tblFleet[[#This Row],[Operating_h]]/tblFleet[[#This Row],[Available_h]],"")</f>
        <v/>
      </c>
    </row>
    <row r="1579">
      <c r="A1579" s="54" t="n"/>
      <c r="B1579" s="61" t="n"/>
      <c r="C1579" s="62" t="n"/>
      <c r="D1579" s="57" t="n"/>
      <c r="E1579" s="57" t="n"/>
      <c r="F1579" s="58" t="n"/>
      <c r="G1579" s="66">
        <f>IF(tblFleet[[#This Row],[Units]]="","",tblFleet[[#This Row],[Units]]*cfg_HoursPerDay)</f>
        <v/>
      </c>
      <c r="H1579" s="66">
        <f>IF(tblFleet[[#This Row],[Units]]="","",tblFleet[[#This Row],[Calendar_h]]-tblFleet[[#This Row],[Down_h]])</f>
        <v/>
      </c>
      <c r="I1579" s="60">
        <f>IF(AND(tblFleet[[#This Row],[Units]]&lt;&gt;"",tblFleet[[#This Row],[Calendar_h]]&gt;0),tblFleet[[#This Row],[Available_h]]/tblFleet[[#This Row],[Calendar_h]],"")</f>
        <v/>
      </c>
      <c r="J1579" s="60">
        <f>IF(AND(tblFleet[[#This Row],[Units]]&lt;&gt;"",tblFleet[[#This Row],[Available_h]]&gt;0),tblFleet[[#This Row],[Operating_h]]/tblFleet[[#This Row],[Available_h]],"")</f>
        <v/>
      </c>
    </row>
    <row r="1580">
      <c r="A1580" s="54" t="n"/>
      <c r="B1580" s="61" t="n"/>
      <c r="C1580" s="62" t="n"/>
      <c r="D1580" s="57" t="n"/>
      <c r="E1580" s="57" t="n"/>
      <c r="F1580" s="58" t="n"/>
      <c r="G1580" s="66">
        <f>IF(tblFleet[[#This Row],[Units]]="","",tblFleet[[#This Row],[Units]]*cfg_HoursPerDay)</f>
        <v/>
      </c>
      <c r="H1580" s="66">
        <f>IF(tblFleet[[#This Row],[Units]]="","",tblFleet[[#This Row],[Calendar_h]]-tblFleet[[#This Row],[Down_h]])</f>
        <v/>
      </c>
      <c r="I1580" s="60">
        <f>IF(AND(tblFleet[[#This Row],[Units]]&lt;&gt;"",tblFleet[[#This Row],[Calendar_h]]&gt;0),tblFleet[[#This Row],[Available_h]]/tblFleet[[#This Row],[Calendar_h]],"")</f>
        <v/>
      </c>
      <c r="J1580" s="60">
        <f>IF(AND(tblFleet[[#This Row],[Units]]&lt;&gt;"",tblFleet[[#This Row],[Available_h]]&gt;0),tblFleet[[#This Row],[Operating_h]]/tblFleet[[#This Row],[Available_h]],"")</f>
        <v/>
      </c>
    </row>
    <row r="1581">
      <c r="A1581" s="54" t="n"/>
      <c r="B1581" s="61" t="n"/>
      <c r="C1581" s="62" t="n"/>
      <c r="D1581" s="57" t="n"/>
      <c r="E1581" s="57" t="n"/>
      <c r="F1581" s="58" t="n"/>
      <c r="G1581" s="66">
        <f>IF(tblFleet[[#This Row],[Units]]="","",tblFleet[[#This Row],[Units]]*cfg_HoursPerDay)</f>
        <v/>
      </c>
      <c r="H1581" s="66">
        <f>IF(tblFleet[[#This Row],[Units]]="","",tblFleet[[#This Row],[Calendar_h]]-tblFleet[[#This Row],[Down_h]])</f>
        <v/>
      </c>
      <c r="I1581" s="60">
        <f>IF(AND(tblFleet[[#This Row],[Units]]&lt;&gt;"",tblFleet[[#This Row],[Calendar_h]]&gt;0),tblFleet[[#This Row],[Available_h]]/tblFleet[[#This Row],[Calendar_h]],"")</f>
        <v/>
      </c>
      <c r="J1581" s="60">
        <f>IF(AND(tblFleet[[#This Row],[Units]]&lt;&gt;"",tblFleet[[#This Row],[Available_h]]&gt;0),tblFleet[[#This Row],[Operating_h]]/tblFleet[[#This Row],[Available_h]],"")</f>
        <v/>
      </c>
    </row>
    <row r="1582">
      <c r="A1582" s="54" t="n"/>
      <c r="B1582" s="61" t="n"/>
      <c r="C1582" s="62" t="n"/>
      <c r="D1582" s="57" t="n"/>
      <c r="E1582" s="57" t="n"/>
      <c r="F1582" s="58" t="n"/>
      <c r="G1582" s="66">
        <f>IF(tblFleet[[#This Row],[Units]]="","",tblFleet[[#This Row],[Units]]*cfg_HoursPerDay)</f>
        <v/>
      </c>
      <c r="H1582" s="66">
        <f>IF(tblFleet[[#This Row],[Units]]="","",tblFleet[[#This Row],[Calendar_h]]-tblFleet[[#This Row],[Down_h]])</f>
        <v/>
      </c>
      <c r="I1582" s="60">
        <f>IF(AND(tblFleet[[#This Row],[Units]]&lt;&gt;"",tblFleet[[#This Row],[Calendar_h]]&gt;0),tblFleet[[#This Row],[Available_h]]/tblFleet[[#This Row],[Calendar_h]],"")</f>
        <v/>
      </c>
      <c r="J1582" s="60">
        <f>IF(AND(tblFleet[[#This Row],[Units]]&lt;&gt;"",tblFleet[[#This Row],[Available_h]]&gt;0),tblFleet[[#This Row],[Operating_h]]/tblFleet[[#This Row],[Available_h]],"")</f>
        <v/>
      </c>
    </row>
    <row r="1583">
      <c r="A1583" s="54" t="n"/>
      <c r="B1583" s="61" t="n"/>
      <c r="C1583" s="62" t="n"/>
      <c r="D1583" s="57" t="n"/>
      <c r="E1583" s="57" t="n"/>
      <c r="F1583" s="58" t="n"/>
      <c r="G1583" s="66">
        <f>IF(tblFleet[[#This Row],[Units]]="","",tblFleet[[#This Row],[Units]]*cfg_HoursPerDay)</f>
        <v/>
      </c>
      <c r="H1583" s="66">
        <f>IF(tblFleet[[#This Row],[Units]]="","",tblFleet[[#This Row],[Calendar_h]]-tblFleet[[#This Row],[Down_h]])</f>
        <v/>
      </c>
      <c r="I1583" s="60">
        <f>IF(AND(tblFleet[[#This Row],[Units]]&lt;&gt;"",tblFleet[[#This Row],[Calendar_h]]&gt;0),tblFleet[[#This Row],[Available_h]]/tblFleet[[#This Row],[Calendar_h]],"")</f>
        <v/>
      </c>
      <c r="J1583" s="60">
        <f>IF(AND(tblFleet[[#This Row],[Units]]&lt;&gt;"",tblFleet[[#This Row],[Available_h]]&gt;0),tblFleet[[#This Row],[Operating_h]]/tblFleet[[#This Row],[Available_h]],"")</f>
        <v/>
      </c>
    </row>
    <row r="1584">
      <c r="A1584" s="54" t="n"/>
      <c r="B1584" s="61" t="n"/>
      <c r="C1584" s="62" t="n"/>
      <c r="D1584" s="57" t="n"/>
      <c r="E1584" s="57" t="n"/>
      <c r="F1584" s="58" t="n"/>
      <c r="G1584" s="66">
        <f>IF(tblFleet[[#This Row],[Units]]="","",tblFleet[[#This Row],[Units]]*cfg_HoursPerDay)</f>
        <v/>
      </c>
      <c r="H1584" s="66">
        <f>IF(tblFleet[[#This Row],[Units]]="","",tblFleet[[#This Row],[Calendar_h]]-tblFleet[[#This Row],[Down_h]])</f>
        <v/>
      </c>
      <c r="I1584" s="60">
        <f>IF(AND(tblFleet[[#This Row],[Units]]&lt;&gt;"",tblFleet[[#This Row],[Calendar_h]]&gt;0),tblFleet[[#This Row],[Available_h]]/tblFleet[[#This Row],[Calendar_h]],"")</f>
        <v/>
      </c>
      <c r="J1584" s="60">
        <f>IF(AND(tblFleet[[#This Row],[Units]]&lt;&gt;"",tblFleet[[#This Row],[Available_h]]&gt;0),tblFleet[[#This Row],[Operating_h]]/tblFleet[[#This Row],[Available_h]],"")</f>
        <v/>
      </c>
    </row>
    <row r="1585">
      <c r="A1585" s="54" t="n"/>
      <c r="B1585" s="61" t="n"/>
      <c r="C1585" s="62" t="n"/>
      <c r="D1585" s="57" t="n"/>
      <c r="E1585" s="57" t="n"/>
      <c r="F1585" s="58" t="n"/>
      <c r="G1585" s="66">
        <f>IF(tblFleet[[#This Row],[Units]]="","",tblFleet[[#This Row],[Units]]*cfg_HoursPerDay)</f>
        <v/>
      </c>
      <c r="H1585" s="66">
        <f>IF(tblFleet[[#This Row],[Units]]="","",tblFleet[[#This Row],[Calendar_h]]-tblFleet[[#This Row],[Down_h]])</f>
        <v/>
      </c>
      <c r="I1585" s="60">
        <f>IF(AND(tblFleet[[#This Row],[Units]]&lt;&gt;"",tblFleet[[#This Row],[Calendar_h]]&gt;0),tblFleet[[#This Row],[Available_h]]/tblFleet[[#This Row],[Calendar_h]],"")</f>
        <v/>
      </c>
      <c r="J1585" s="60">
        <f>IF(AND(tblFleet[[#This Row],[Units]]&lt;&gt;"",tblFleet[[#This Row],[Available_h]]&gt;0),tblFleet[[#This Row],[Operating_h]]/tblFleet[[#This Row],[Available_h]],"")</f>
        <v/>
      </c>
    </row>
    <row r="1586">
      <c r="A1586" s="54" t="n"/>
      <c r="B1586" s="61" t="n"/>
      <c r="C1586" s="62" t="n"/>
      <c r="D1586" s="57" t="n"/>
      <c r="E1586" s="57" t="n"/>
      <c r="F1586" s="58" t="n"/>
      <c r="G1586" s="66">
        <f>IF(tblFleet[[#This Row],[Units]]="","",tblFleet[[#This Row],[Units]]*cfg_HoursPerDay)</f>
        <v/>
      </c>
      <c r="H1586" s="66">
        <f>IF(tblFleet[[#This Row],[Units]]="","",tblFleet[[#This Row],[Calendar_h]]-tblFleet[[#This Row],[Down_h]])</f>
        <v/>
      </c>
      <c r="I1586" s="60">
        <f>IF(AND(tblFleet[[#This Row],[Units]]&lt;&gt;"",tblFleet[[#This Row],[Calendar_h]]&gt;0),tblFleet[[#This Row],[Available_h]]/tblFleet[[#This Row],[Calendar_h]],"")</f>
        <v/>
      </c>
      <c r="J1586" s="60">
        <f>IF(AND(tblFleet[[#This Row],[Units]]&lt;&gt;"",tblFleet[[#This Row],[Available_h]]&gt;0),tblFleet[[#This Row],[Operating_h]]/tblFleet[[#This Row],[Available_h]],"")</f>
        <v/>
      </c>
    </row>
    <row r="1587">
      <c r="A1587" s="54" t="n"/>
      <c r="B1587" s="61" t="n"/>
      <c r="C1587" s="62" t="n"/>
      <c r="D1587" s="57" t="n"/>
      <c r="E1587" s="57" t="n"/>
      <c r="F1587" s="58" t="n"/>
      <c r="G1587" s="66">
        <f>IF(tblFleet[[#This Row],[Units]]="","",tblFleet[[#This Row],[Units]]*cfg_HoursPerDay)</f>
        <v/>
      </c>
      <c r="H1587" s="66">
        <f>IF(tblFleet[[#This Row],[Units]]="","",tblFleet[[#This Row],[Calendar_h]]-tblFleet[[#This Row],[Down_h]])</f>
        <v/>
      </c>
      <c r="I1587" s="60">
        <f>IF(AND(tblFleet[[#This Row],[Units]]&lt;&gt;"",tblFleet[[#This Row],[Calendar_h]]&gt;0),tblFleet[[#This Row],[Available_h]]/tblFleet[[#This Row],[Calendar_h]],"")</f>
        <v/>
      </c>
      <c r="J1587" s="60">
        <f>IF(AND(tblFleet[[#This Row],[Units]]&lt;&gt;"",tblFleet[[#This Row],[Available_h]]&gt;0),tblFleet[[#This Row],[Operating_h]]/tblFleet[[#This Row],[Available_h]],"")</f>
        <v/>
      </c>
    </row>
    <row r="1588">
      <c r="A1588" s="54" t="n"/>
      <c r="B1588" s="61" t="n"/>
      <c r="C1588" s="62" t="n"/>
      <c r="D1588" s="57" t="n"/>
      <c r="E1588" s="57" t="n"/>
      <c r="F1588" s="58" t="n"/>
      <c r="G1588" s="66">
        <f>IF(tblFleet[[#This Row],[Units]]="","",tblFleet[[#This Row],[Units]]*cfg_HoursPerDay)</f>
        <v/>
      </c>
      <c r="H1588" s="66">
        <f>IF(tblFleet[[#This Row],[Units]]="","",tblFleet[[#This Row],[Calendar_h]]-tblFleet[[#This Row],[Down_h]])</f>
        <v/>
      </c>
      <c r="I1588" s="60">
        <f>IF(AND(tblFleet[[#This Row],[Units]]&lt;&gt;"",tblFleet[[#This Row],[Calendar_h]]&gt;0),tblFleet[[#This Row],[Available_h]]/tblFleet[[#This Row],[Calendar_h]],"")</f>
        <v/>
      </c>
      <c r="J1588" s="60">
        <f>IF(AND(tblFleet[[#This Row],[Units]]&lt;&gt;"",tblFleet[[#This Row],[Available_h]]&gt;0),tblFleet[[#This Row],[Operating_h]]/tblFleet[[#This Row],[Available_h]],"")</f>
        <v/>
      </c>
    </row>
    <row r="1589">
      <c r="A1589" s="54" t="n"/>
      <c r="B1589" s="61" t="n"/>
      <c r="C1589" s="62" t="n"/>
      <c r="D1589" s="57" t="n"/>
      <c r="E1589" s="57" t="n"/>
      <c r="F1589" s="58" t="n"/>
      <c r="G1589" s="66">
        <f>IF(tblFleet[[#This Row],[Units]]="","",tblFleet[[#This Row],[Units]]*cfg_HoursPerDay)</f>
        <v/>
      </c>
      <c r="H1589" s="66">
        <f>IF(tblFleet[[#This Row],[Units]]="","",tblFleet[[#This Row],[Calendar_h]]-tblFleet[[#This Row],[Down_h]])</f>
        <v/>
      </c>
      <c r="I1589" s="60">
        <f>IF(AND(tblFleet[[#This Row],[Units]]&lt;&gt;"",tblFleet[[#This Row],[Calendar_h]]&gt;0),tblFleet[[#This Row],[Available_h]]/tblFleet[[#This Row],[Calendar_h]],"")</f>
        <v/>
      </c>
      <c r="J1589" s="60">
        <f>IF(AND(tblFleet[[#This Row],[Units]]&lt;&gt;"",tblFleet[[#This Row],[Available_h]]&gt;0),tblFleet[[#This Row],[Operating_h]]/tblFleet[[#This Row],[Available_h]],"")</f>
        <v/>
      </c>
    </row>
    <row r="1590">
      <c r="A1590" s="54" t="n"/>
      <c r="B1590" s="61" t="n"/>
      <c r="C1590" s="62" t="n"/>
      <c r="D1590" s="57" t="n"/>
      <c r="E1590" s="57" t="n"/>
      <c r="F1590" s="58" t="n"/>
      <c r="G1590" s="66">
        <f>IF(tblFleet[[#This Row],[Units]]="","",tblFleet[[#This Row],[Units]]*cfg_HoursPerDay)</f>
        <v/>
      </c>
      <c r="H1590" s="66">
        <f>IF(tblFleet[[#This Row],[Units]]="","",tblFleet[[#This Row],[Calendar_h]]-tblFleet[[#This Row],[Down_h]])</f>
        <v/>
      </c>
      <c r="I1590" s="60">
        <f>IF(AND(tblFleet[[#This Row],[Units]]&lt;&gt;"",tblFleet[[#This Row],[Calendar_h]]&gt;0),tblFleet[[#This Row],[Available_h]]/tblFleet[[#This Row],[Calendar_h]],"")</f>
        <v/>
      </c>
      <c r="J1590" s="60">
        <f>IF(AND(tblFleet[[#This Row],[Units]]&lt;&gt;"",tblFleet[[#This Row],[Available_h]]&gt;0),tblFleet[[#This Row],[Operating_h]]/tblFleet[[#This Row],[Available_h]],"")</f>
        <v/>
      </c>
    </row>
    <row r="1591">
      <c r="A1591" s="54" t="n"/>
      <c r="B1591" s="61" t="n"/>
      <c r="C1591" s="62" t="n"/>
      <c r="D1591" s="57" t="n"/>
      <c r="E1591" s="57" t="n"/>
      <c r="F1591" s="58" t="n"/>
      <c r="G1591" s="66">
        <f>IF(tblFleet[[#This Row],[Units]]="","",tblFleet[[#This Row],[Units]]*cfg_HoursPerDay)</f>
        <v/>
      </c>
      <c r="H1591" s="66">
        <f>IF(tblFleet[[#This Row],[Units]]="","",tblFleet[[#This Row],[Calendar_h]]-tblFleet[[#This Row],[Down_h]])</f>
        <v/>
      </c>
      <c r="I1591" s="60">
        <f>IF(AND(tblFleet[[#This Row],[Units]]&lt;&gt;"",tblFleet[[#This Row],[Calendar_h]]&gt;0),tblFleet[[#This Row],[Available_h]]/tblFleet[[#This Row],[Calendar_h]],"")</f>
        <v/>
      </c>
      <c r="J1591" s="60">
        <f>IF(AND(tblFleet[[#This Row],[Units]]&lt;&gt;"",tblFleet[[#This Row],[Available_h]]&gt;0),tblFleet[[#This Row],[Operating_h]]/tblFleet[[#This Row],[Available_h]],"")</f>
        <v/>
      </c>
    </row>
    <row r="1592">
      <c r="A1592" s="54" t="n"/>
      <c r="B1592" s="61" t="n"/>
      <c r="C1592" s="62" t="n"/>
      <c r="D1592" s="57" t="n"/>
      <c r="E1592" s="57" t="n"/>
      <c r="F1592" s="58" t="n"/>
      <c r="G1592" s="66">
        <f>IF(tblFleet[[#This Row],[Units]]="","",tblFleet[[#This Row],[Units]]*cfg_HoursPerDay)</f>
        <v/>
      </c>
      <c r="H1592" s="66">
        <f>IF(tblFleet[[#This Row],[Units]]="","",tblFleet[[#This Row],[Calendar_h]]-tblFleet[[#This Row],[Down_h]])</f>
        <v/>
      </c>
      <c r="I1592" s="60">
        <f>IF(AND(tblFleet[[#This Row],[Units]]&lt;&gt;"",tblFleet[[#This Row],[Calendar_h]]&gt;0),tblFleet[[#This Row],[Available_h]]/tblFleet[[#This Row],[Calendar_h]],"")</f>
        <v/>
      </c>
      <c r="J1592" s="60">
        <f>IF(AND(tblFleet[[#This Row],[Units]]&lt;&gt;"",tblFleet[[#This Row],[Available_h]]&gt;0),tblFleet[[#This Row],[Operating_h]]/tblFleet[[#This Row],[Available_h]],"")</f>
        <v/>
      </c>
    </row>
    <row r="1593">
      <c r="A1593" s="54" t="n"/>
      <c r="B1593" s="61" t="n"/>
      <c r="C1593" s="62" t="n"/>
      <c r="D1593" s="57" t="n"/>
      <c r="E1593" s="57" t="n"/>
      <c r="F1593" s="58" t="n"/>
      <c r="G1593" s="66">
        <f>IF(tblFleet[[#This Row],[Units]]="","",tblFleet[[#This Row],[Units]]*cfg_HoursPerDay)</f>
        <v/>
      </c>
      <c r="H1593" s="66">
        <f>IF(tblFleet[[#This Row],[Units]]="","",tblFleet[[#This Row],[Calendar_h]]-tblFleet[[#This Row],[Down_h]])</f>
        <v/>
      </c>
      <c r="I1593" s="60">
        <f>IF(AND(tblFleet[[#This Row],[Units]]&lt;&gt;"",tblFleet[[#This Row],[Calendar_h]]&gt;0),tblFleet[[#This Row],[Available_h]]/tblFleet[[#This Row],[Calendar_h]],"")</f>
        <v/>
      </c>
      <c r="J1593" s="60">
        <f>IF(AND(tblFleet[[#This Row],[Units]]&lt;&gt;"",tblFleet[[#This Row],[Available_h]]&gt;0),tblFleet[[#This Row],[Operating_h]]/tblFleet[[#This Row],[Available_h]],"")</f>
        <v/>
      </c>
    </row>
    <row r="1594">
      <c r="A1594" s="54" t="n"/>
      <c r="B1594" s="61" t="n"/>
      <c r="C1594" s="62" t="n"/>
      <c r="D1594" s="57" t="n"/>
      <c r="E1594" s="57" t="n"/>
      <c r="F1594" s="58" t="n"/>
      <c r="G1594" s="66">
        <f>IF(tblFleet[[#This Row],[Units]]="","",tblFleet[[#This Row],[Units]]*cfg_HoursPerDay)</f>
        <v/>
      </c>
      <c r="H1594" s="66">
        <f>IF(tblFleet[[#This Row],[Units]]="","",tblFleet[[#This Row],[Calendar_h]]-tblFleet[[#This Row],[Down_h]])</f>
        <v/>
      </c>
      <c r="I1594" s="60">
        <f>IF(AND(tblFleet[[#This Row],[Units]]&lt;&gt;"",tblFleet[[#This Row],[Calendar_h]]&gt;0),tblFleet[[#This Row],[Available_h]]/tblFleet[[#This Row],[Calendar_h]],"")</f>
        <v/>
      </c>
      <c r="J1594" s="60">
        <f>IF(AND(tblFleet[[#This Row],[Units]]&lt;&gt;"",tblFleet[[#This Row],[Available_h]]&gt;0),tblFleet[[#This Row],[Operating_h]]/tblFleet[[#This Row],[Available_h]],"")</f>
        <v/>
      </c>
    </row>
    <row r="1595">
      <c r="A1595" s="54" t="n"/>
      <c r="B1595" s="61" t="n"/>
      <c r="C1595" s="62" t="n"/>
      <c r="D1595" s="57" t="n"/>
      <c r="E1595" s="57" t="n"/>
      <c r="F1595" s="58" t="n"/>
      <c r="G1595" s="66">
        <f>IF(tblFleet[[#This Row],[Units]]="","",tblFleet[[#This Row],[Units]]*cfg_HoursPerDay)</f>
        <v/>
      </c>
      <c r="H1595" s="66">
        <f>IF(tblFleet[[#This Row],[Units]]="","",tblFleet[[#This Row],[Calendar_h]]-tblFleet[[#This Row],[Down_h]])</f>
        <v/>
      </c>
      <c r="I1595" s="60">
        <f>IF(AND(tblFleet[[#This Row],[Units]]&lt;&gt;"",tblFleet[[#This Row],[Calendar_h]]&gt;0),tblFleet[[#This Row],[Available_h]]/tblFleet[[#This Row],[Calendar_h]],"")</f>
        <v/>
      </c>
      <c r="J1595" s="60">
        <f>IF(AND(tblFleet[[#This Row],[Units]]&lt;&gt;"",tblFleet[[#This Row],[Available_h]]&gt;0),tblFleet[[#This Row],[Operating_h]]/tblFleet[[#This Row],[Available_h]],"")</f>
        <v/>
      </c>
    </row>
    <row r="1596">
      <c r="A1596" s="54" t="n"/>
      <c r="B1596" s="61" t="n"/>
      <c r="C1596" s="62" t="n"/>
      <c r="D1596" s="57" t="n"/>
      <c r="E1596" s="57" t="n"/>
      <c r="F1596" s="58" t="n"/>
      <c r="G1596" s="66">
        <f>IF(tblFleet[[#This Row],[Units]]="","",tblFleet[[#This Row],[Units]]*cfg_HoursPerDay)</f>
        <v/>
      </c>
      <c r="H1596" s="66">
        <f>IF(tblFleet[[#This Row],[Units]]="","",tblFleet[[#This Row],[Calendar_h]]-tblFleet[[#This Row],[Down_h]])</f>
        <v/>
      </c>
      <c r="I1596" s="60">
        <f>IF(AND(tblFleet[[#This Row],[Units]]&lt;&gt;"",tblFleet[[#This Row],[Calendar_h]]&gt;0),tblFleet[[#This Row],[Available_h]]/tblFleet[[#This Row],[Calendar_h]],"")</f>
        <v/>
      </c>
      <c r="J1596" s="60">
        <f>IF(AND(tblFleet[[#This Row],[Units]]&lt;&gt;"",tblFleet[[#This Row],[Available_h]]&gt;0),tblFleet[[#This Row],[Operating_h]]/tblFleet[[#This Row],[Available_h]],"")</f>
        <v/>
      </c>
    </row>
    <row r="1597">
      <c r="A1597" s="54" t="n"/>
      <c r="B1597" s="61" t="n"/>
      <c r="C1597" s="62" t="n"/>
      <c r="D1597" s="57" t="n"/>
      <c r="E1597" s="57" t="n"/>
      <c r="F1597" s="58" t="n"/>
      <c r="G1597" s="66">
        <f>IF(tblFleet[[#This Row],[Units]]="","",tblFleet[[#This Row],[Units]]*cfg_HoursPerDay)</f>
        <v/>
      </c>
      <c r="H1597" s="66">
        <f>IF(tblFleet[[#This Row],[Units]]="","",tblFleet[[#This Row],[Calendar_h]]-tblFleet[[#This Row],[Down_h]])</f>
        <v/>
      </c>
      <c r="I1597" s="60">
        <f>IF(AND(tblFleet[[#This Row],[Units]]&lt;&gt;"",tblFleet[[#This Row],[Calendar_h]]&gt;0),tblFleet[[#This Row],[Available_h]]/tblFleet[[#This Row],[Calendar_h]],"")</f>
        <v/>
      </c>
      <c r="J1597" s="60">
        <f>IF(AND(tblFleet[[#This Row],[Units]]&lt;&gt;"",tblFleet[[#This Row],[Available_h]]&gt;0),tblFleet[[#This Row],[Operating_h]]/tblFleet[[#This Row],[Available_h]],"")</f>
        <v/>
      </c>
    </row>
    <row r="1598">
      <c r="A1598" s="54" t="n"/>
      <c r="B1598" s="61" t="n"/>
      <c r="C1598" s="62" t="n"/>
      <c r="D1598" s="57" t="n"/>
      <c r="E1598" s="57" t="n"/>
      <c r="F1598" s="58" t="n"/>
      <c r="G1598" s="66">
        <f>IF(tblFleet[[#This Row],[Units]]="","",tblFleet[[#This Row],[Units]]*cfg_HoursPerDay)</f>
        <v/>
      </c>
      <c r="H1598" s="66">
        <f>IF(tblFleet[[#This Row],[Units]]="","",tblFleet[[#This Row],[Calendar_h]]-tblFleet[[#This Row],[Down_h]])</f>
        <v/>
      </c>
      <c r="I1598" s="60">
        <f>IF(AND(tblFleet[[#This Row],[Units]]&lt;&gt;"",tblFleet[[#This Row],[Calendar_h]]&gt;0),tblFleet[[#This Row],[Available_h]]/tblFleet[[#This Row],[Calendar_h]],"")</f>
        <v/>
      </c>
      <c r="J1598" s="60">
        <f>IF(AND(tblFleet[[#This Row],[Units]]&lt;&gt;"",tblFleet[[#This Row],[Available_h]]&gt;0),tblFleet[[#This Row],[Operating_h]]/tblFleet[[#This Row],[Available_h]],"")</f>
        <v/>
      </c>
    </row>
    <row r="1599">
      <c r="A1599" s="54" t="n"/>
      <c r="B1599" s="61" t="n"/>
      <c r="C1599" s="62" t="n"/>
      <c r="D1599" s="57" t="n"/>
      <c r="E1599" s="57" t="n"/>
      <c r="F1599" s="58" t="n"/>
      <c r="G1599" s="66">
        <f>IF(tblFleet[[#This Row],[Units]]="","",tblFleet[[#This Row],[Units]]*cfg_HoursPerDay)</f>
        <v/>
      </c>
      <c r="H1599" s="66">
        <f>IF(tblFleet[[#This Row],[Units]]="","",tblFleet[[#This Row],[Calendar_h]]-tblFleet[[#This Row],[Down_h]])</f>
        <v/>
      </c>
      <c r="I1599" s="60">
        <f>IF(AND(tblFleet[[#This Row],[Units]]&lt;&gt;"",tblFleet[[#This Row],[Calendar_h]]&gt;0),tblFleet[[#This Row],[Available_h]]/tblFleet[[#This Row],[Calendar_h]],"")</f>
        <v/>
      </c>
      <c r="J1599" s="60">
        <f>IF(AND(tblFleet[[#This Row],[Units]]&lt;&gt;"",tblFleet[[#This Row],[Available_h]]&gt;0),tblFleet[[#This Row],[Operating_h]]/tblFleet[[#This Row],[Available_h]],"")</f>
        <v/>
      </c>
    </row>
    <row r="1600">
      <c r="A1600" s="54" t="n"/>
      <c r="B1600" s="61" t="n"/>
      <c r="C1600" s="62" t="n"/>
      <c r="D1600" s="57" t="n"/>
      <c r="E1600" s="57" t="n"/>
      <c r="F1600" s="58" t="n"/>
      <c r="G1600" s="66">
        <f>IF(tblFleet[[#This Row],[Units]]="","",tblFleet[[#This Row],[Units]]*cfg_HoursPerDay)</f>
        <v/>
      </c>
      <c r="H1600" s="66">
        <f>IF(tblFleet[[#This Row],[Units]]="","",tblFleet[[#This Row],[Calendar_h]]-tblFleet[[#This Row],[Down_h]])</f>
        <v/>
      </c>
      <c r="I1600" s="60">
        <f>IF(AND(tblFleet[[#This Row],[Units]]&lt;&gt;"",tblFleet[[#This Row],[Calendar_h]]&gt;0),tblFleet[[#This Row],[Available_h]]/tblFleet[[#This Row],[Calendar_h]],"")</f>
        <v/>
      </c>
      <c r="J1600" s="60">
        <f>IF(AND(tblFleet[[#This Row],[Units]]&lt;&gt;"",tblFleet[[#This Row],[Available_h]]&gt;0),tblFleet[[#This Row],[Operating_h]]/tblFleet[[#This Row],[Available_h]],"")</f>
        <v/>
      </c>
    </row>
    <row r="1601">
      <c r="A1601" s="54" t="n"/>
      <c r="B1601" s="61" t="n"/>
      <c r="C1601" s="62" t="n"/>
      <c r="D1601" s="57" t="n"/>
      <c r="E1601" s="57" t="n"/>
      <c r="F1601" s="58" t="n"/>
      <c r="G1601" s="66">
        <f>IF(tblFleet[[#This Row],[Units]]="","",tblFleet[[#This Row],[Units]]*cfg_HoursPerDay)</f>
        <v/>
      </c>
      <c r="H1601" s="66">
        <f>IF(tblFleet[[#This Row],[Units]]="","",tblFleet[[#This Row],[Calendar_h]]-tblFleet[[#This Row],[Down_h]])</f>
        <v/>
      </c>
      <c r="I1601" s="60">
        <f>IF(AND(tblFleet[[#This Row],[Units]]&lt;&gt;"",tblFleet[[#This Row],[Calendar_h]]&gt;0),tblFleet[[#This Row],[Available_h]]/tblFleet[[#This Row],[Calendar_h]],"")</f>
        <v/>
      </c>
      <c r="J1601" s="60">
        <f>IF(AND(tblFleet[[#This Row],[Units]]&lt;&gt;"",tblFleet[[#This Row],[Available_h]]&gt;0),tblFleet[[#This Row],[Operating_h]]/tblFleet[[#This Row],[Available_h]],"")</f>
        <v/>
      </c>
    </row>
    <row r="1602">
      <c r="A1602" s="54" t="n"/>
      <c r="B1602" s="61" t="n"/>
      <c r="C1602" s="62" t="n"/>
      <c r="D1602" s="57" t="n"/>
      <c r="E1602" s="57" t="n"/>
      <c r="F1602" s="58" t="n"/>
      <c r="G1602" s="66">
        <f>IF(tblFleet[[#This Row],[Units]]="","",tblFleet[[#This Row],[Units]]*cfg_HoursPerDay)</f>
        <v/>
      </c>
      <c r="H1602" s="66">
        <f>IF(tblFleet[[#This Row],[Units]]="","",tblFleet[[#This Row],[Calendar_h]]-tblFleet[[#This Row],[Down_h]])</f>
        <v/>
      </c>
      <c r="I1602" s="60">
        <f>IF(AND(tblFleet[[#This Row],[Units]]&lt;&gt;"",tblFleet[[#This Row],[Calendar_h]]&gt;0),tblFleet[[#This Row],[Available_h]]/tblFleet[[#This Row],[Calendar_h]],"")</f>
        <v/>
      </c>
      <c r="J1602" s="60">
        <f>IF(AND(tblFleet[[#This Row],[Units]]&lt;&gt;"",tblFleet[[#This Row],[Available_h]]&gt;0),tblFleet[[#This Row],[Operating_h]]/tblFleet[[#This Row],[Available_h]],"")</f>
        <v/>
      </c>
    </row>
    <row r="1603">
      <c r="A1603" s="54" t="n"/>
      <c r="B1603" s="61" t="n"/>
      <c r="C1603" s="62" t="n"/>
      <c r="D1603" s="57" t="n"/>
      <c r="E1603" s="57" t="n"/>
      <c r="F1603" s="58" t="n"/>
      <c r="G1603" s="66">
        <f>IF(tblFleet[[#This Row],[Units]]="","",tblFleet[[#This Row],[Units]]*cfg_HoursPerDay)</f>
        <v/>
      </c>
      <c r="H1603" s="66">
        <f>IF(tblFleet[[#This Row],[Units]]="","",tblFleet[[#This Row],[Calendar_h]]-tblFleet[[#This Row],[Down_h]])</f>
        <v/>
      </c>
      <c r="I1603" s="60">
        <f>IF(AND(tblFleet[[#This Row],[Units]]&lt;&gt;"",tblFleet[[#This Row],[Calendar_h]]&gt;0),tblFleet[[#This Row],[Available_h]]/tblFleet[[#This Row],[Calendar_h]],"")</f>
        <v/>
      </c>
      <c r="J1603" s="60">
        <f>IF(AND(tblFleet[[#This Row],[Units]]&lt;&gt;"",tblFleet[[#This Row],[Available_h]]&gt;0),tblFleet[[#This Row],[Operating_h]]/tblFleet[[#This Row],[Available_h]],"")</f>
        <v/>
      </c>
    </row>
    <row r="1604">
      <c r="A1604" s="54" t="n"/>
      <c r="B1604" s="61" t="n"/>
      <c r="C1604" s="62" t="n"/>
      <c r="D1604" s="57" t="n"/>
      <c r="E1604" s="57" t="n"/>
      <c r="F1604" s="58" t="n"/>
      <c r="G1604" s="66">
        <f>IF(tblFleet[[#This Row],[Units]]="","",tblFleet[[#This Row],[Units]]*cfg_HoursPerDay)</f>
        <v/>
      </c>
      <c r="H1604" s="66">
        <f>IF(tblFleet[[#This Row],[Units]]="","",tblFleet[[#This Row],[Calendar_h]]-tblFleet[[#This Row],[Down_h]])</f>
        <v/>
      </c>
      <c r="I1604" s="60">
        <f>IF(AND(tblFleet[[#This Row],[Units]]&lt;&gt;"",tblFleet[[#This Row],[Calendar_h]]&gt;0),tblFleet[[#This Row],[Available_h]]/tblFleet[[#This Row],[Calendar_h]],"")</f>
        <v/>
      </c>
      <c r="J1604" s="60">
        <f>IF(AND(tblFleet[[#This Row],[Units]]&lt;&gt;"",tblFleet[[#This Row],[Available_h]]&gt;0),tblFleet[[#This Row],[Operating_h]]/tblFleet[[#This Row],[Available_h]],"")</f>
        <v/>
      </c>
    </row>
    <row r="1605">
      <c r="A1605" s="54" t="n"/>
      <c r="B1605" s="61" t="n"/>
      <c r="C1605" s="62" t="n"/>
      <c r="D1605" s="57" t="n"/>
      <c r="E1605" s="57" t="n"/>
      <c r="F1605" s="58" t="n"/>
      <c r="G1605" s="66">
        <f>IF(tblFleet[[#This Row],[Units]]="","",tblFleet[[#This Row],[Units]]*cfg_HoursPerDay)</f>
        <v/>
      </c>
      <c r="H1605" s="66">
        <f>IF(tblFleet[[#This Row],[Units]]="","",tblFleet[[#This Row],[Calendar_h]]-tblFleet[[#This Row],[Down_h]])</f>
        <v/>
      </c>
      <c r="I1605" s="60">
        <f>IF(AND(tblFleet[[#This Row],[Units]]&lt;&gt;"",tblFleet[[#This Row],[Calendar_h]]&gt;0),tblFleet[[#This Row],[Available_h]]/tblFleet[[#This Row],[Calendar_h]],"")</f>
        <v/>
      </c>
      <c r="J1605" s="60">
        <f>IF(AND(tblFleet[[#This Row],[Units]]&lt;&gt;"",tblFleet[[#This Row],[Available_h]]&gt;0),tblFleet[[#This Row],[Operating_h]]/tblFleet[[#This Row],[Available_h]],"")</f>
        <v/>
      </c>
    </row>
    <row r="1606">
      <c r="A1606" s="54" t="n"/>
      <c r="B1606" s="61" t="n"/>
      <c r="C1606" s="62" t="n"/>
      <c r="D1606" s="57" t="n"/>
      <c r="E1606" s="57" t="n"/>
      <c r="F1606" s="58" t="n"/>
      <c r="G1606" s="66">
        <f>IF(tblFleet[[#This Row],[Units]]="","",tblFleet[[#This Row],[Units]]*cfg_HoursPerDay)</f>
        <v/>
      </c>
      <c r="H1606" s="66">
        <f>IF(tblFleet[[#This Row],[Units]]="","",tblFleet[[#This Row],[Calendar_h]]-tblFleet[[#This Row],[Down_h]])</f>
        <v/>
      </c>
      <c r="I1606" s="60">
        <f>IF(AND(tblFleet[[#This Row],[Units]]&lt;&gt;"",tblFleet[[#This Row],[Calendar_h]]&gt;0),tblFleet[[#This Row],[Available_h]]/tblFleet[[#This Row],[Calendar_h]],"")</f>
        <v/>
      </c>
      <c r="J1606" s="60">
        <f>IF(AND(tblFleet[[#This Row],[Units]]&lt;&gt;"",tblFleet[[#This Row],[Available_h]]&gt;0),tblFleet[[#This Row],[Operating_h]]/tblFleet[[#This Row],[Available_h]],"")</f>
        <v/>
      </c>
    </row>
    <row r="1607">
      <c r="A1607" s="54" t="n"/>
      <c r="B1607" s="61" t="n"/>
      <c r="C1607" s="62" t="n"/>
      <c r="D1607" s="57" t="n"/>
      <c r="E1607" s="57" t="n"/>
      <c r="F1607" s="58" t="n"/>
      <c r="G1607" s="66">
        <f>IF(tblFleet[[#This Row],[Units]]="","",tblFleet[[#This Row],[Units]]*cfg_HoursPerDay)</f>
        <v/>
      </c>
      <c r="H1607" s="66">
        <f>IF(tblFleet[[#This Row],[Units]]="","",tblFleet[[#This Row],[Calendar_h]]-tblFleet[[#This Row],[Down_h]])</f>
        <v/>
      </c>
      <c r="I1607" s="60">
        <f>IF(AND(tblFleet[[#This Row],[Units]]&lt;&gt;"",tblFleet[[#This Row],[Calendar_h]]&gt;0),tblFleet[[#This Row],[Available_h]]/tblFleet[[#This Row],[Calendar_h]],"")</f>
        <v/>
      </c>
      <c r="J1607" s="60">
        <f>IF(AND(tblFleet[[#This Row],[Units]]&lt;&gt;"",tblFleet[[#This Row],[Available_h]]&gt;0),tblFleet[[#This Row],[Operating_h]]/tblFleet[[#This Row],[Available_h]],"")</f>
        <v/>
      </c>
    </row>
    <row r="1608">
      <c r="A1608" s="54" t="n"/>
      <c r="B1608" s="61" t="n"/>
      <c r="C1608" s="62" t="n"/>
      <c r="D1608" s="57" t="n"/>
      <c r="E1608" s="57" t="n"/>
      <c r="F1608" s="58" t="n"/>
      <c r="G1608" s="66">
        <f>IF(tblFleet[[#This Row],[Units]]="","",tblFleet[[#This Row],[Units]]*cfg_HoursPerDay)</f>
        <v/>
      </c>
      <c r="H1608" s="66">
        <f>IF(tblFleet[[#This Row],[Units]]="","",tblFleet[[#This Row],[Calendar_h]]-tblFleet[[#This Row],[Down_h]])</f>
        <v/>
      </c>
      <c r="I1608" s="60">
        <f>IF(AND(tblFleet[[#This Row],[Units]]&lt;&gt;"",tblFleet[[#This Row],[Calendar_h]]&gt;0),tblFleet[[#This Row],[Available_h]]/tblFleet[[#This Row],[Calendar_h]],"")</f>
        <v/>
      </c>
      <c r="J1608" s="60">
        <f>IF(AND(tblFleet[[#This Row],[Units]]&lt;&gt;"",tblFleet[[#This Row],[Available_h]]&gt;0),tblFleet[[#This Row],[Operating_h]]/tblFleet[[#This Row],[Available_h]],"")</f>
        <v/>
      </c>
    </row>
    <row r="1609">
      <c r="A1609" s="54" t="n"/>
      <c r="B1609" s="61" t="n"/>
      <c r="C1609" s="62" t="n"/>
      <c r="D1609" s="57" t="n"/>
      <c r="E1609" s="57" t="n"/>
      <c r="F1609" s="58" t="n"/>
      <c r="G1609" s="66">
        <f>IF(tblFleet[[#This Row],[Units]]="","",tblFleet[[#This Row],[Units]]*cfg_HoursPerDay)</f>
        <v/>
      </c>
      <c r="H1609" s="66">
        <f>IF(tblFleet[[#This Row],[Units]]="","",tblFleet[[#This Row],[Calendar_h]]-tblFleet[[#This Row],[Down_h]])</f>
        <v/>
      </c>
      <c r="I1609" s="60">
        <f>IF(AND(tblFleet[[#This Row],[Units]]&lt;&gt;"",tblFleet[[#This Row],[Calendar_h]]&gt;0),tblFleet[[#This Row],[Available_h]]/tblFleet[[#This Row],[Calendar_h]],"")</f>
        <v/>
      </c>
      <c r="J1609" s="60">
        <f>IF(AND(tblFleet[[#This Row],[Units]]&lt;&gt;"",tblFleet[[#This Row],[Available_h]]&gt;0),tblFleet[[#This Row],[Operating_h]]/tblFleet[[#This Row],[Available_h]],"")</f>
        <v/>
      </c>
    </row>
    <row r="1610">
      <c r="A1610" s="54" t="n"/>
      <c r="B1610" s="61" t="n"/>
      <c r="C1610" s="62" t="n"/>
      <c r="D1610" s="57" t="n"/>
      <c r="E1610" s="57" t="n"/>
      <c r="F1610" s="58" t="n"/>
      <c r="G1610" s="66">
        <f>IF(tblFleet[[#This Row],[Units]]="","",tblFleet[[#This Row],[Units]]*cfg_HoursPerDay)</f>
        <v/>
      </c>
      <c r="H1610" s="66">
        <f>IF(tblFleet[[#This Row],[Units]]="","",tblFleet[[#This Row],[Calendar_h]]-tblFleet[[#This Row],[Down_h]])</f>
        <v/>
      </c>
      <c r="I1610" s="60">
        <f>IF(AND(tblFleet[[#This Row],[Units]]&lt;&gt;"",tblFleet[[#This Row],[Calendar_h]]&gt;0),tblFleet[[#This Row],[Available_h]]/tblFleet[[#This Row],[Calendar_h]],"")</f>
        <v/>
      </c>
      <c r="J1610" s="60">
        <f>IF(AND(tblFleet[[#This Row],[Units]]&lt;&gt;"",tblFleet[[#This Row],[Available_h]]&gt;0),tblFleet[[#This Row],[Operating_h]]/tblFleet[[#This Row],[Available_h]],"")</f>
        <v/>
      </c>
    </row>
    <row r="1611">
      <c r="A1611" s="54" t="n"/>
      <c r="B1611" s="61" t="n"/>
      <c r="C1611" s="62" t="n"/>
      <c r="D1611" s="57" t="n"/>
      <c r="E1611" s="57" t="n"/>
      <c r="F1611" s="58" t="n"/>
      <c r="G1611" s="66">
        <f>IF(tblFleet[[#This Row],[Units]]="","",tblFleet[[#This Row],[Units]]*cfg_HoursPerDay)</f>
        <v/>
      </c>
      <c r="H1611" s="66">
        <f>IF(tblFleet[[#This Row],[Units]]="","",tblFleet[[#This Row],[Calendar_h]]-tblFleet[[#This Row],[Down_h]])</f>
        <v/>
      </c>
      <c r="I1611" s="60">
        <f>IF(AND(tblFleet[[#This Row],[Units]]&lt;&gt;"",tblFleet[[#This Row],[Calendar_h]]&gt;0),tblFleet[[#This Row],[Available_h]]/tblFleet[[#This Row],[Calendar_h]],"")</f>
        <v/>
      </c>
      <c r="J1611" s="60">
        <f>IF(AND(tblFleet[[#This Row],[Units]]&lt;&gt;"",tblFleet[[#This Row],[Available_h]]&gt;0),tblFleet[[#This Row],[Operating_h]]/tblFleet[[#This Row],[Available_h]],"")</f>
        <v/>
      </c>
    </row>
    <row r="1612">
      <c r="A1612" s="54" t="n"/>
      <c r="B1612" s="61" t="n"/>
      <c r="C1612" s="62" t="n"/>
      <c r="D1612" s="57" t="n"/>
      <c r="E1612" s="57" t="n"/>
      <c r="F1612" s="58" t="n"/>
      <c r="G1612" s="66">
        <f>IF(tblFleet[[#This Row],[Units]]="","",tblFleet[[#This Row],[Units]]*cfg_HoursPerDay)</f>
        <v/>
      </c>
      <c r="H1612" s="66">
        <f>IF(tblFleet[[#This Row],[Units]]="","",tblFleet[[#This Row],[Calendar_h]]-tblFleet[[#This Row],[Down_h]])</f>
        <v/>
      </c>
      <c r="I1612" s="60">
        <f>IF(AND(tblFleet[[#This Row],[Units]]&lt;&gt;"",tblFleet[[#This Row],[Calendar_h]]&gt;0),tblFleet[[#This Row],[Available_h]]/tblFleet[[#This Row],[Calendar_h]],"")</f>
        <v/>
      </c>
      <c r="J1612" s="60">
        <f>IF(AND(tblFleet[[#This Row],[Units]]&lt;&gt;"",tblFleet[[#This Row],[Available_h]]&gt;0),tblFleet[[#This Row],[Operating_h]]/tblFleet[[#This Row],[Available_h]],"")</f>
        <v/>
      </c>
    </row>
    <row r="1613">
      <c r="A1613" s="54" t="n"/>
      <c r="B1613" s="61" t="n"/>
      <c r="C1613" s="62" t="n"/>
      <c r="D1613" s="57" t="n"/>
      <c r="E1613" s="57" t="n"/>
      <c r="F1613" s="58" t="n"/>
      <c r="G1613" s="66">
        <f>IF(tblFleet[[#This Row],[Units]]="","",tblFleet[[#This Row],[Units]]*cfg_HoursPerDay)</f>
        <v/>
      </c>
      <c r="H1613" s="66">
        <f>IF(tblFleet[[#This Row],[Units]]="","",tblFleet[[#This Row],[Calendar_h]]-tblFleet[[#This Row],[Down_h]])</f>
        <v/>
      </c>
      <c r="I1613" s="60">
        <f>IF(AND(tblFleet[[#This Row],[Units]]&lt;&gt;"",tblFleet[[#This Row],[Calendar_h]]&gt;0),tblFleet[[#This Row],[Available_h]]/tblFleet[[#This Row],[Calendar_h]],"")</f>
        <v/>
      </c>
      <c r="J1613" s="60">
        <f>IF(AND(tblFleet[[#This Row],[Units]]&lt;&gt;"",tblFleet[[#This Row],[Available_h]]&gt;0),tblFleet[[#This Row],[Operating_h]]/tblFleet[[#This Row],[Available_h]],"")</f>
        <v/>
      </c>
    </row>
    <row r="1614">
      <c r="A1614" s="54" t="n"/>
      <c r="B1614" s="61" t="n"/>
      <c r="C1614" s="62" t="n"/>
      <c r="D1614" s="57" t="n"/>
      <c r="E1614" s="57" t="n"/>
      <c r="F1614" s="58" t="n"/>
      <c r="G1614" s="66">
        <f>IF(tblFleet[[#This Row],[Units]]="","",tblFleet[[#This Row],[Units]]*cfg_HoursPerDay)</f>
        <v/>
      </c>
      <c r="H1614" s="66">
        <f>IF(tblFleet[[#This Row],[Units]]="","",tblFleet[[#This Row],[Calendar_h]]-tblFleet[[#This Row],[Down_h]])</f>
        <v/>
      </c>
      <c r="I1614" s="60">
        <f>IF(AND(tblFleet[[#This Row],[Units]]&lt;&gt;"",tblFleet[[#This Row],[Calendar_h]]&gt;0),tblFleet[[#This Row],[Available_h]]/tblFleet[[#This Row],[Calendar_h]],"")</f>
        <v/>
      </c>
      <c r="J1614" s="60">
        <f>IF(AND(tblFleet[[#This Row],[Units]]&lt;&gt;"",tblFleet[[#This Row],[Available_h]]&gt;0),tblFleet[[#This Row],[Operating_h]]/tblFleet[[#This Row],[Available_h]],"")</f>
        <v/>
      </c>
    </row>
    <row r="1615">
      <c r="A1615" s="54" t="n"/>
      <c r="B1615" s="61" t="n"/>
      <c r="C1615" s="62" t="n"/>
      <c r="D1615" s="57" t="n"/>
      <c r="E1615" s="57" t="n"/>
      <c r="F1615" s="58" t="n"/>
      <c r="G1615" s="66">
        <f>IF(tblFleet[[#This Row],[Units]]="","",tblFleet[[#This Row],[Units]]*cfg_HoursPerDay)</f>
        <v/>
      </c>
      <c r="H1615" s="66">
        <f>IF(tblFleet[[#This Row],[Units]]="","",tblFleet[[#This Row],[Calendar_h]]-tblFleet[[#This Row],[Down_h]])</f>
        <v/>
      </c>
      <c r="I1615" s="60">
        <f>IF(AND(tblFleet[[#This Row],[Units]]&lt;&gt;"",tblFleet[[#This Row],[Calendar_h]]&gt;0),tblFleet[[#This Row],[Available_h]]/tblFleet[[#This Row],[Calendar_h]],"")</f>
        <v/>
      </c>
      <c r="J1615" s="60">
        <f>IF(AND(tblFleet[[#This Row],[Units]]&lt;&gt;"",tblFleet[[#This Row],[Available_h]]&gt;0),tblFleet[[#This Row],[Operating_h]]/tblFleet[[#This Row],[Available_h]],"")</f>
        <v/>
      </c>
    </row>
    <row r="1616">
      <c r="A1616" s="54" t="n"/>
      <c r="B1616" s="61" t="n"/>
      <c r="C1616" s="62" t="n"/>
      <c r="D1616" s="57" t="n"/>
      <c r="E1616" s="57" t="n"/>
      <c r="F1616" s="58" t="n"/>
      <c r="G1616" s="66">
        <f>IF(tblFleet[[#This Row],[Units]]="","",tblFleet[[#This Row],[Units]]*cfg_HoursPerDay)</f>
        <v/>
      </c>
      <c r="H1616" s="66">
        <f>IF(tblFleet[[#This Row],[Units]]="","",tblFleet[[#This Row],[Calendar_h]]-tblFleet[[#This Row],[Down_h]])</f>
        <v/>
      </c>
      <c r="I1616" s="60">
        <f>IF(AND(tblFleet[[#This Row],[Units]]&lt;&gt;"",tblFleet[[#This Row],[Calendar_h]]&gt;0),tblFleet[[#This Row],[Available_h]]/tblFleet[[#This Row],[Calendar_h]],"")</f>
        <v/>
      </c>
      <c r="J1616" s="60">
        <f>IF(AND(tblFleet[[#This Row],[Units]]&lt;&gt;"",tblFleet[[#This Row],[Available_h]]&gt;0),tblFleet[[#This Row],[Operating_h]]/tblFleet[[#This Row],[Available_h]],"")</f>
        <v/>
      </c>
    </row>
    <row r="1617">
      <c r="A1617" s="54" t="n"/>
      <c r="B1617" s="61" t="n"/>
      <c r="C1617" s="62" t="n"/>
      <c r="D1617" s="57" t="n"/>
      <c r="E1617" s="57" t="n"/>
      <c r="F1617" s="58" t="n"/>
      <c r="G1617" s="66">
        <f>IF(tblFleet[[#This Row],[Units]]="","",tblFleet[[#This Row],[Units]]*cfg_HoursPerDay)</f>
        <v/>
      </c>
      <c r="H1617" s="66">
        <f>IF(tblFleet[[#This Row],[Units]]="","",tblFleet[[#This Row],[Calendar_h]]-tblFleet[[#This Row],[Down_h]])</f>
        <v/>
      </c>
      <c r="I1617" s="60">
        <f>IF(AND(tblFleet[[#This Row],[Units]]&lt;&gt;"",tblFleet[[#This Row],[Calendar_h]]&gt;0),tblFleet[[#This Row],[Available_h]]/tblFleet[[#This Row],[Calendar_h]],"")</f>
        <v/>
      </c>
      <c r="J1617" s="60">
        <f>IF(AND(tblFleet[[#This Row],[Units]]&lt;&gt;"",tblFleet[[#This Row],[Available_h]]&gt;0),tblFleet[[#This Row],[Operating_h]]/tblFleet[[#This Row],[Available_h]],"")</f>
        <v/>
      </c>
    </row>
    <row r="1618">
      <c r="A1618" s="54" t="n"/>
      <c r="B1618" s="61" t="n"/>
      <c r="C1618" s="62" t="n"/>
      <c r="D1618" s="57" t="n"/>
      <c r="E1618" s="57" t="n"/>
      <c r="F1618" s="58" t="n"/>
      <c r="G1618" s="66">
        <f>IF(tblFleet[[#This Row],[Units]]="","",tblFleet[[#This Row],[Units]]*cfg_HoursPerDay)</f>
        <v/>
      </c>
      <c r="H1618" s="66">
        <f>IF(tblFleet[[#This Row],[Units]]="","",tblFleet[[#This Row],[Calendar_h]]-tblFleet[[#This Row],[Down_h]])</f>
        <v/>
      </c>
      <c r="I1618" s="60">
        <f>IF(AND(tblFleet[[#This Row],[Units]]&lt;&gt;"",tblFleet[[#This Row],[Calendar_h]]&gt;0),tblFleet[[#This Row],[Available_h]]/tblFleet[[#This Row],[Calendar_h]],"")</f>
        <v/>
      </c>
      <c r="J1618" s="60">
        <f>IF(AND(tblFleet[[#This Row],[Units]]&lt;&gt;"",tblFleet[[#This Row],[Available_h]]&gt;0),tblFleet[[#This Row],[Operating_h]]/tblFleet[[#This Row],[Available_h]],"")</f>
        <v/>
      </c>
    </row>
    <row r="1619">
      <c r="A1619" s="54" t="n"/>
      <c r="B1619" s="61" t="n"/>
      <c r="C1619" s="62" t="n"/>
      <c r="D1619" s="57" t="n"/>
      <c r="E1619" s="57" t="n"/>
      <c r="F1619" s="58" t="n"/>
      <c r="G1619" s="66">
        <f>IF(tblFleet[[#This Row],[Units]]="","",tblFleet[[#This Row],[Units]]*cfg_HoursPerDay)</f>
        <v/>
      </c>
      <c r="H1619" s="66">
        <f>IF(tblFleet[[#This Row],[Units]]="","",tblFleet[[#This Row],[Calendar_h]]-tblFleet[[#This Row],[Down_h]])</f>
        <v/>
      </c>
      <c r="I1619" s="60">
        <f>IF(AND(tblFleet[[#This Row],[Units]]&lt;&gt;"",tblFleet[[#This Row],[Calendar_h]]&gt;0),tblFleet[[#This Row],[Available_h]]/tblFleet[[#This Row],[Calendar_h]],"")</f>
        <v/>
      </c>
      <c r="J1619" s="60">
        <f>IF(AND(tblFleet[[#This Row],[Units]]&lt;&gt;"",tblFleet[[#This Row],[Available_h]]&gt;0),tblFleet[[#This Row],[Operating_h]]/tblFleet[[#This Row],[Available_h]],"")</f>
        <v/>
      </c>
    </row>
    <row r="1620">
      <c r="A1620" s="54" t="n"/>
      <c r="B1620" s="61" t="n"/>
      <c r="C1620" s="62" t="n"/>
      <c r="D1620" s="57" t="n"/>
      <c r="E1620" s="57" t="n"/>
      <c r="F1620" s="58" t="n"/>
      <c r="G1620" s="66">
        <f>IF(tblFleet[[#This Row],[Units]]="","",tblFleet[[#This Row],[Units]]*cfg_HoursPerDay)</f>
        <v/>
      </c>
      <c r="H1620" s="66">
        <f>IF(tblFleet[[#This Row],[Units]]="","",tblFleet[[#This Row],[Calendar_h]]-tblFleet[[#This Row],[Down_h]])</f>
        <v/>
      </c>
      <c r="I1620" s="60">
        <f>IF(AND(tblFleet[[#This Row],[Units]]&lt;&gt;"",tblFleet[[#This Row],[Calendar_h]]&gt;0),tblFleet[[#This Row],[Available_h]]/tblFleet[[#This Row],[Calendar_h]],"")</f>
        <v/>
      </c>
      <c r="J1620" s="60">
        <f>IF(AND(tblFleet[[#This Row],[Units]]&lt;&gt;"",tblFleet[[#This Row],[Available_h]]&gt;0),tblFleet[[#This Row],[Operating_h]]/tblFleet[[#This Row],[Available_h]],"")</f>
        <v/>
      </c>
    </row>
    <row r="1621">
      <c r="A1621" s="54" t="n"/>
      <c r="B1621" s="61" t="n"/>
      <c r="C1621" s="62" t="n"/>
      <c r="D1621" s="57" t="n"/>
      <c r="E1621" s="57" t="n"/>
      <c r="F1621" s="58" t="n"/>
      <c r="G1621" s="66">
        <f>IF(tblFleet[[#This Row],[Units]]="","",tblFleet[[#This Row],[Units]]*cfg_HoursPerDay)</f>
        <v/>
      </c>
      <c r="H1621" s="66">
        <f>IF(tblFleet[[#This Row],[Units]]="","",tblFleet[[#This Row],[Calendar_h]]-tblFleet[[#This Row],[Down_h]])</f>
        <v/>
      </c>
      <c r="I1621" s="60">
        <f>IF(AND(tblFleet[[#This Row],[Units]]&lt;&gt;"",tblFleet[[#This Row],[Calendar_h]]&gt;0),tblFleet[[#This Row],[Available_h]]/tblFleet[[#This Row],[Calendar_h]],"")</f>
        <v/>
      </c>
      <c r="J1621" s="60">
        <f>IF(AND(tblFleet[[#This Row],[Units]]&lt;&gt;"",tblFleet[[#This Row],[Available_h]]&gt;0),tblFleet[[#This Row],[Operating_h]]/tblFleet[[#This Row],[Available_h]],"")</f>
        <v/>
      </c>
    </row>
    <row r="1622">
      <c r="A1622" s="54" t="n"/>
      <c r="B1622" s="61" t="n"/>
      <c r="C1622" s="62" t="n"/>
      <c r="D1622" s="57" t="n"/>
      <c r="E1622" s="57" t="n"/>
      <c r="F1622" s="58" t="n"/>
      <c r="G1622" s="66">
        <f>IF(tblFleet[[#This Row],[Units]]="","",tblFleet[[#This Row],[Units]]*cfg_HoursPerDay)</f>
        <v/>
      </c>
      <c r="H1622" s="66">
        <f>IF(tblFleet[[#This Row],[Units]]="","",tblFleet[[#This Row],[Calendar_h]]-tblFleet[[#This Row],[Down_h]])</f>
        <v/>
      </c>
      <c r="I1622" s="60">
        <f>IF(AND(tblFleet[[#This Row],[Units]]&lt;&gt;"",tblFleet[[#This Row],[Calendar_h]]&gt;0),tblFleet[[#This Row],[Available_h]]/tblFleet[[#This Row],[Calendar_h]],"")</f>
        <v/>
      </c>
      <c r="J1622" s="60">
        <f>IF(AND(tblFleet[[#This Row],[Units]]&lt;&gt;"",tblFleet[[#This Row],[Available_h]]&gt;0),tblFleet[[#This Row],[Operating_h]]/tblFleet[[#This Row],[Available_h]],"")</f>
        <v/>
      </c>
    </row>
    <row r="1623">
      <c r="A1623" s="54" t="n"/>
      <c r="B1623" s="61" t="n"/>
      <c r="C1623" s="62" t="n"/>
      <c r="D1623" s="57" t="n"/>
      <c r="E1623" s="57" t="n"/>
      <c r="F1623" s="58" t="n"/>
      <c r="G1623" s="66">
        <f>IF(tblFleet[[#This Row],[Units]]="","",tblFleet[[#This Row],[Units]]*cfg_HoursPerDay)</f>
        <v/>
      </c>
      <c r="H1623" s="66">
        <f>IF(tblFleet[[#This Row],[Units]]="","",tblFleet[[#This Row],[Calendar_h]]-tblFleet[[#This Row],[Down_h]])</f>
        <v/>
      </c>
      <c r="I1623" s="60">
        <f>IF(AND(tblFleet[[#This Row],[Units]]&lt;&gt;"",tblFleet[[#This Row],[Calendar_h]]&gt;0),tblFleet[[#This Row],[Available_h]]/tblFleet[[#This Row],[Calendar_h]],"")</f>
        <v/>
      </c>
      <c r="J1623" s="60">
        <f>IF(AND(tblFleet[[#This Row],[Units]]&lt;&gt;"",tblFleet[[#This Row],[Available_h]]&gt;0),tblFleet[[#This Row],[Operating_h]]/tblFleet[[#This Row],[Available_h]],"")</f>
        <v/>
      </c>
    </row>
    <row r="1624">
      <c r="A1624" s="54" t="n"/>
      <c r="B1624" s="61" t="n"/>
      <c r="C1624" s="62" t="n"/>
      <c r="D1624" s="57" t="n"/>
      <c r="E1624" s="57" t="n"/>
      <c r="F1624" s="58" t="n"/>
      <c r="G1624" s="66">
        <f>IF(tblFleet[[#This Row],[Units]]="","",tblFleet[[#This Row],[Units]]*cfg_HoursPerDay)</f>
        <v/>
      </c>
      <c r="H1624" s="66">
        <f>IF(tblFleet[[#This Row],[Units]]="","",tblFleet[[#This Row],[Calendar_h]]-tblFleet[[#This Row],[Down_h]])</f>
        <v/>
      </c>
      <c r="I1624" s="60">
        <f>IF(AND(tblFleet[[#This Row],[Units]]&lt;&gt;"",tblFleet[[#This Row],[Calendar_h]]&gt;0),tblFleet[[#This Row],[Available_h]]/tblFleet[[#This Row],[Calendar_h]],"")</f>
        <v/>
      </c>
      <c r="J1624" s="60">
        <f>IF(AND(tblFleet[[#This Row],[Units]]&lt;&gt;"",tblFleet[[#This Row],[Available_h]]&gt;0),tblFleet[[#This Row],[Operating_h]]/tblFleet[[#This Row],[Available_h]],"")</f>
        <v/>
      </c>
    </row>
    <row r="1625">
      <c r="A1625" s="54" t="n"/>
      <c r="B1625" s="61" t="n"/>
      <c r="C1625" s="62" t="n"/>
      <c r="D1625" s="57" t="n"/>
      <c r="E1625" s="57" t="n"/>
      <c r="F1625" s="58" t="n"/>
      <c r="G1625" s="66">
        <f>IF(tblFleet[[#This Row],[Units]]="","",tblFleet[[#This Row],[Units]]*cfg_HoursPerDay)</f>
        <v/>
      </c>
      <c r="H1625" s="66">
        <f>IF(tblFleet[[#This Row],[Units]]="","",tblFleet[[#This Row],[Calendar_h]]-tblFleet[[#This Row],[Down_h]])</f>
        <v/>
      </c>
      <c r="I1625" s="60">
        <f>IF(AND(tblFleet[[#This Row],[Units]]&lt;&gt;"",tblFleet[[#This Row],[Calendar_h]]&gt;0),tblFleet[[#This Row],[Available_h]]/tblFleet[[#This Row],[Calendar_h]],"")</f>
        <v/>
      </c>
      <c r="J1625" s="60">
        <f>IF(AND(tblFleet[[#This Row],[Units]]&lt;&gt;"",tblFleet[[#This Row],[Available_h]]&gt;0),tblFleet[[#This Row],[Operating_h]]/tblFleet[[#This Row],[Available_h]],"")</f>
        <v/>
      </c>
    </row>
    <row r="1626">
      <c r="A1626" s="54" t="n"/>
      <c r="B1626" s="61" t="n"/>
      <c r="C1626" s="62" t="n"/>
      <c r="D1626" s="57" t="n"/>
      <c r="E1626" s="57" t="n"/>
      <c r="F1626" s="58" t="n"/>
      <c r="G1626" s="66">
        <f>IF(tblFleet[[#This Row],[Units]]="","",tblFleet[[#This Row],[Units]]*cfg_HoursPerDay)</f>
        <v/>
      </c>
      <c r="H1626" s="66">
        <f>IF(tblFleet[[#This Row],[Units]]="","",tblFleet[[#This Row],[Calendar_h]]-tblFleet[[#This Row],[Down_h]])</f>
        <v/>
      </c>
      <c r="I1626" s="60">
        <f>IF(AND(tblFleet[[#This Row],[Units]]&lt;&gt;"",tblFleet[[#This Row],[Calendar_h]]&gt;0),tblFleet[[#This Row],[Available_h]]/tblFleet[[#This Row],[Calendar_h]],"")</f>
        <v/>
      </c>
      <c r="J1626" s="60">
        <f>IF(AND(tblFleet[[#This Row],[Units]]&lt;&gt;"",tblFleet[[#This Row],[Available_h]]&gt;0),tblFleet[[#This Row],[Operating_h]]/tblFleet[[#This Row],[Available_h]],"")</f>
        <v/>
      </c>
    </row>
    <row r="1627">
      <c r="A1627" s="54" t="n"/>
      <c r="B1627" s="61" t="n"/>
      <c r="C1627" s="62" t="n"/>
      <c r="D1627" s="57" t="n"/>
      <c r="E1627" s="57" t="n"/>
      <c r="F1627" s="58" t="n"/>
      <c r="G1627" s="66">
        <f>IF(tblFleet[[#This Row],[Units]]="","",tblFleet[[#This Row],[Units]]*cfg_HoursPerDay)</f>
        <v/>
      </c>
      <c r="H1627" s="66">
        <f>IF(tblFleet[[#This Row],[Units]]="","",tblFleet[[#This Row],[Calendar_h]]-tblFleet[[#This Row],[Down_h]])</f>
        <v/>
      </c>
      <c r="I1627" s="60">
        <f>IF(AND(tblFleet[[#This Row],[Units]]&lt;&gt;"",tblFleet[[#This Row],[Calendar_h]]&gt;0),tblFleet[[#This Row],[Available_h]]/tblFleet[[#This Row],[Calendar_h]],"")</f>
        <v/>
      </c>
      <c r="J1627" s="60">
        <f>IF(AND(tblFleet[[#This Row],[Units]]&lt;&gt;"",tblFleet[[#This Row],[Available_h]]&gt;0),tblFleet[[#This Row],[Operating_h]]/tblFleet[[#This Row],[Available_h]],"")</f>
        <v/>
      </c>
    </row>
    <row r="1628">
      <c r="A1628" s="54" t="n"/>
      <c r="B1628" s="61" t="n"/>
      <c r="C1628" s="62" t="n"/>
      <c r="D1628" s="57" t="n"/>
      <c r="E1628" s="57" t="n"/>
      <c r="F1628" s="58" t="n"/>
      <c r="G1628" s="66">
        <f>IF(tblFleet[[#This Row],[Units]]="","",tblFleet[[#This Row],[Units]]*cfg_HoursPerDay)</f>
        <v/>
      </c>
      <c r="H1628" s="66">
        <f>IF(tblFleet[[#This Row],[Units]]="","",tblFleet[[#This Row],[Calendar_h]]-tblFleet[[#This Row],[Down_h]])</f>
        <v/>
      </c>
      <c r="I1628" s="60">
        <f>IF(AND(tblFleet[[#This Row],[Units]]&lt;&gt;"",tblFleet[[#This Row],[Calendar_h]]&gt;0),tblFleet[[#This Row],[Available_h]]/tblFleet[[#This Row],[Calendar_h]],"")</f>
        <v/>
      </c>
      <c r="J1628" s="60">
        <f>IF(AND(tblFleet[[#This Row],[Units]]&lt;&gt;"",tblFleet[[#This Row],[Available_h]]&gt;0),tblFleet[[#This Row],[Operating_h]]/tblFleet[[#This Row],[Available_h]],"")</f>
        <v/>
      </c>
    </row>
    <row r="1629">
      <c r="A1629" s="54" t="n"/>
      <c r="B1629" s="61" t="n"/>
      <c r="C1629" s="62" t="n"/>
      <c r="D1629" s="57" t="n"/>
      <c r="E1629" s="57" t="n"/>
      <c r="F1629" s="58" t="n"/>
      <c r="G1629" s="66">
        <f>IF(tblFleet[[#This Row],[Units]]="","",tblFleet[[#This Row],[Units]]*cfg_HoursPerDay)</f>
        <v/>
      </c>
      <c r="H1629" s="66">
        <f>IF(tblFleet[[#This Row],[Units]]="","",tblFleet[[#This Row],[Calendar_h]]-tblFleet[[#This Row],[Down_h]])</f>
        <v/>
      </c>
      <c r="I1629" s="60">
        <f>IF(AND(tblFleet[[#This Row],[Units]]&lt;&gt;"",tblFleet[[#This Row],[Calendar_h]]&gt;0),tblFleet[[#This Row],[Available_h]]/tblFleet[[#This Row],[Calendar_h]],"")</f>
        <v/>
      </c>
      <c r="J1629" s="60">
        <f>IF(AND(tblFleet[[#This Row],[Units]]&lt;&gt;"",tblFleet[[#This Row],[Available_h]]&gt;0),tblFleet[[#This Row],[Operating_h]]/tblFleet[[#This Row],[Available_h]],"")</f>
        <v/>
      </c>
    </row>
    <row r="1630">
      <c r="A1630" s="54" t="n"/>
      <c r="B1630" s="61" t="n"/>
      <c r="C1630" s="62" t="n"/>
      <c r="D1630" s="57" t="n"/>
      <c r="E1630" s="57" t="n"/>
      <c r="F1630" s="58" t="n"/>
      <c r="G1630" s="66">
        <f>IF(tblFleet[[#This Row],[Units]]="","",tblFleet[[#This Row],[Units]]*cfg_HoursPerDay)</f>
        <v/>
      </c>
      <c r="H1630" s="66">
        <f>IF(tblFleet[[#This Row],[Units]]="","",tblFleet[[#This Row],[Calendar_h]]-tblFleet[[#This Row],[Down_h]])</f>
        <v/>
      </c>
      <c r="I1630" s="60">
        <f>IF(AND(tblFleet[[#This Row],[Units]]&lt;&gt;"",tblFleet[[#This Row],[Calendar_h]]&gt;0),tblFleet[[#This Row],[Available_h]]/tblFleet[[#This Row],[Calendar_h]],"")</f>
        <v/>
      </c>
      <c r="J1630" s="60">
        <f>IF(AND(tblFleet[[#This Row],[Units]]&lt;&gt;"",tblFleet[[#This Row],[Available_h]]&gt;0),tblFleet[[#This Row],[Operating_h]]/tblFleet[[#This Row],[Available_h]],"")</f>
        <v/>
      </c>
    </row>
    <row r="1631">
      <c r="A1631" s="54" t="n"/>
      <c r="B1631" s="61" t="n"/>
      <c r="C1631" s="62" t="n"/>
      <c r="D1631" s="57" t="n"/>
      <c r="E1631" s="57" t="n"/>
      <c r="F1631" s="58" t="n"/>
      <c r="G1631" s="66">
        <f>IF(tblFleet[[#This Row],[Units]]="","",tblFleet[[#This Row],[Units]]*cfg_HoursPerDay)</f>
        <v/>
      </c>
      <c r="H1631" s="66">
        <f>IF(tblFleet[[#This Row],[Units]]="","",tblFleet[[#This Row],[Calendar_h]]-tblFleet[[#This Row],[Down_h]])</f>
        <v/>
      </c>
      <c r="I1631" s="60">
        <f>IF(AND(tblFleet[[#This Row],[Units]]&lt;&gt;"",tblFleet[[#This Row],[Calendar_h]]&gt;0),tblFleet[[#This Row],[Available_h]]/tblFleet[[#This Row],[Calendar_h]],"")</f>
        <v/>
      </c>
      <c r="J1631" s="60">
        <f>IF(AND(tblFleet[[#This Row],[Units]]&lt;&gt;"",tblFleet[[#This Row],[Available_h]]&gt;0),tblFleet[[#This Row],[Operating_h]]/tblFleet[[#This Row],[Available_h]],"")</f>
        <v/>
      </c>
    </row>
    <row r="1632">
      <c r="A1632" s="54" t="n"/>
      <c r="B1632" s="61" t="n"/>
      <c r="C1632" s="62" t="n"/>
      <c r="D1632" s="57" t="n"/>
      <c r="E1632" s="57" t="n"/>
      <c r="F1632" s="58" t="n"/>
      <c r="G1632" s="66">
        <f>IF(tblFleet[[#This Row],[Units]]="","",tblFleet[[#This Row],[Units]]*cfg_HoursPerDay)</f>
        <v/>
      </c>
      <c r="H1632" s="66">
        <f>IF(tblFleet[[#This Row],[Units]]="","",tblFleet[[#This Row],[Calendar_h]]-tblFleet[[#This Row],[Down_h]])</f>
        <v/>
      </c>
      <c r="I1632" s="60">
        <f>IF(AND(tblFleet[[#This Row],[Units]]&lt;&gt;"",tblFleet[[#This Row],[Calendar_h]]&gt;0),tblFleet[[#This Row],[Available_h]]/tblFleet[[#This Row],[Calendar_h]],"")</f>
        <v/>
      </c>
      <c r="J1632" s="60">
        <f>IF(AND(tblFleet[[#This Row],[Units]]&lt;&gt;"",tblFleet[[#This Row],[Available_h]]&gt;0),tblFleet[[#This Row],[Operating_h]]/tblFleet[[#This Row],[Available_h]],"")</f>
        <v/>
      </c>
    </row>
    <row r="1633">
      <c r="A1633" s="54" t="n"/>
      <c r="B1633" s="61" t="n"/>
      <c r="C1633" s="62" t="n"/>
      <c r="D1633" s="57" t="n"/>
      <c r="E1633" s="57" t="n"/>
      <c r="F1633" s="58" t="n"/>
      <c r="G1633" s="66">
        <f>IF(tblFleet[[#This Row],[Units]]="","",tblFleet[[#This Row],[Units]]*cfg_HoursPerDay)</f>
        <v/>
      </c>
      <c r="H1633" s="66">
        <f>IF(tblFleet[[#This Row],[Units]]="","",tblFleet[[#This Row],[Calendar_h]]-tblFleet[[#This Row],[Down_h]])</f>
        <v/>
      </c>
      <c r="I1633" s="60">
        <f>IF(AND(tblFleet[[#This Row],[Units]]&lt;&gt;"",tblFleet[[#This Row],[Calendar_h]]&gt;0),tblFleet[[#This Row],[Available_h]]/tblFleet[[#This Row],[Calendar_h]],"")</f>
        <v/>
      </c>
      <c r="J1633" s="60">
        <f>IF(AND(tblFleet[[#This Row],[Units]]&lt;&gt;"",tblFleet[[#This Row],[Available_h]]&gt;0),tblFleet[[#This Row],[Operating_h]]/tblFleet[[#This Row],[Available_h]],"")</f>
        <v/>
      </c>
    </row>
    <row r="1634">
      <c r="A1634" s="54" t="n"/>
      <c r="B1634" s="61" t="n"/>
      <c r="C1634" s="62" t="n"/>
      <c r="D1634" s="57" t="n"/>
      <c r="E1634" s="57" t="n"/>
      <c r="F1634" s="58" t="n"/>
      <c r="G1634" s="66">
        <f>IF(tblFleet[[#This Row],[Units]]="","",tblFleet[[#This Row],[Units]]*cfg_HoursPerDay)</f>
        <v/>
      </c>
      <c r="H1634" s="66">
        <f>IF(tblFleet[[#This Row],[Units]]="","",tblFleet[[#This Row],[Calendar_h]]-tblFleet[[#This Row],[Down_h]])</f>
        <v/>
      </c>
      <c r="I1634" s="60">
        <f>IF(AND(tblFleet[[#This Row],[Units]]&lt;&gt;"",tblFleet[[#This Row],[Calendar_h]]&gt;0),tblFleet[[#This Row],[Available_h]]/tblFleet[[#This Row],[Calendar_h]],"")</f>
        <v/>
      </c>
      <c r="J1634" s="60">
        <f>IF(AND(tblFleet[[#This Row],[Units]]&lt;&gt;"",tblFleet[[#This Row],[Available_h]]&gt;0),tblFleet[[#This Row],[Operating_h]]/tblFleet[[#This Row],[Available_h]],"")</f>
        <v/>
      </c>
    </row>
    <row r="1635">
      <c r="A1635" s="54" t="n"/>
      <c r="B1635" s="61" t="n"/>
      <c r="C1635" s="62" t="n"/>
      <c r="D1635" s="57" t="n"/>
      <c r="E1635" s="57" t="n"/>
      <c r="F1635" s="58" t="n"/>
      <c r="G1635" s="66">
        <f>IF(tblFleet[[#This Row],[Units]]="","",tblFleet[[#This Row],[Units]]*cfg_HoursPerDay)</f>
        <v/>
      </c>
      <c r="H1635" s="66">
        <f>IF(tblFleet[[#This Row],[Units]]="","",tblFleet[[#This Row],[Calendar_h]]-tblFleet[[#This Row],[Down_h]])</f>
        <v/>
      </c>
      <c r="I1635" s="60">
        <f>IF(AND(tblFleet[[#This Row],[Units]]&lt;&gt;"",tblFleet[[#This Row],[Calendar_h]]&gt;0),tblFleet[[#This Row],[Available_h]]/tblFleet[[#This Row],[Calendar_h]],"")</f>
        <v/>
      </c>
      <c r="J1635" s="60">
        <f>IF(AND(tblFleet[[#This Row],[Units]]&lt;&gt;"",tblFleet[[#This Row],[Available_h]]&gt;0),tblFleet[[#This Row],[Operating_h]]/tblFleet[[#This Row],[Available_h]],"")</f>
        <v/>
      </c>
    </row>
    <row r="1636">
      <c r="A1636" s="54" t="n"/>
      <c r="B1636" s="61" t="n"/>
      <c r="C1636" s="62" t="n"/>
      <c r="D1636" s="57" t="n"/>
      <c r="E1636" s="57" t="n"/>
      <c r="F1636" s="58" t="n"/>
      <c r="G1636" s="66">
        <f>IF(tblFleet[[#This Row],[Units]]="","",tblFleet[[#This Row],[Units]]*cfg_HoursPerDay)</f>
        <v/>
      </c>
      <c r="H1636" s="66">
        <f>IF(tblFleet[[#This Row],[Units]]="","",tblFleet[[#This Row],[Calendar_h]]-tblFleet[[#This Row],[Down_h]])</f>
        <v/>
      </c>
      <c r="I1636" s="60">
        <f>IF(AND(tblFleet[[#This Row],[Units]]&lt;&gt;"",tblFleet[[#This Row],[Calendar_h]]&gt;0),tblFleet[[#This Row],[Available_h]]/tblFleet[[#This Row],[Calendar_h]],"")</f>
        <v/>
      </c>
      <c r="J1636" s="60">
        <f>IF(AND(tblFleet[[#This Row],[Units]]&lt;&gt;"",tblFleet[[#This Row],[Available_h]]&gt;0),tblFleet[[#This Row],[Operating_h]]/tblFleet[[#This Row],[Available_h]],"")</f>
        <v/>
      </c>
    </row>
    <row r="1637">
      <c r="A1637" s="54" t="n"/>
      <c r="B1637" s="61" t="n"/>
      <c r="C1637" s="62" t="n"/>
      <c r="D1637" s="57" t="n"/>
      <c r="E1637" s="57" t="n"/>
      <c r="F1637" s="58" t="n"/>
      <c r="G1637" s="66">
        <f>IF(tblFleet[[#This Row],[Units]]="","",tblFleet[[#This Row],[Units]]*cfg_HoursPerDay)</f>
        <v/>
      </c>
      <c r="H1637" s="66">
        <f>IF(tblFleet[[#This Row],[Units]]="","",tblFleet[[#This Row],[Calendar_h]]-tblFleet[[#This Row],[Down_h]])</f>
        <v/>
      </c>
      <c r="I1637" s="60">
        <f>IF(AND(tblFleet[[#This Row],[Units]]&lt;&gt;"",tblFleet[[#This Row],[Calendar_h]]&gt;0),tblFleet[[#This Row],[Available_h]]/tblFleet[[#This Row],[Calendar_h]],"")</f>
        <v/>
      </c>
      <c r="J1637" s="60">
        <f>IF(AND(tblFleet[[#This Row],[Units]]&lt;&gt;"",tblFleet[[#This Row],[Available_h]]&gt;0),tblFleet[[#This Row],[Operating_h]]/tblFleet[[#This Row],[Available_h]],"")</f>
        <v/>
      </c>
    </row>
    <row r="1638">
      <c r="A1638" s="54" t="n"/>
      <c r="B1638" s="61" t="n"/>
      <c r="C1638" s="62" t="n"/>
      <c r="D1638" s="57" t="n"/>
      <c r="E1638" s="57" t="n"/>
      <c r="F1638" s="58" t="n"/>
      <c r="G1638" s="66">
        <f>IF(tblFleet[[#This Row],[Units]]="","",tblFleet[[#This Row],[Units]]*cfg_HoursPerDay)</f>
        <v/>
      </c>
      <c r="H1638" s="66">
        <f>IF(tblFleet[[#This Row],[Units]]="","",tblFleet[[#This Row],[Calendar_h]]-tblFleet[[#This Row],[Down_h]])</f>
        <v/>
      </c>
      <c r="I1638" s="60">
        <f>IF(AND(tblFleet[[#This Row],[Units]]&lt;&gt;"",tblFleet[[#This Row],[Calendar_h]]&gt;0),tblFleet[[#This Row],[Available_h]]/tblFleet[[#This Row],[Calendar_h]],"")</f>
        <v/>
      </c>
      <c r="J1638" s="60">
        <f>IF(AND(tblFleet[[#This Row],[Units]]&lt;&gt;"",tblFleet[[#This Row],[Available_h]]&gt;0),tblFleet[[#This Row],[Operating_h]]/tblFleet[[#This Row],[Available_h]],"")</f>
        <v/>
      </c>
    </row>
    <row r="1639">
      <c r="A1639" s="54" t="n"/>
      <c r="B1639" s="61" t="n"/>
      <c r="C1639" s="62" t="n"/>
      <c r="D1639" s="57" t="n"/>
      <c r="E1639" s="57" t="n"/>
      <c r="F1639" s="58" t="n"/>
      <c r="G1639" s="66">
        <f>IF(tblFleet[[#This Row],[Units]]="","",tblFleet[[#This Row],[Units]]*cfg_HoursPerDay)</f>
        <v/>
      </c>
      <c r="H1639" s="66">
        <f>IF(tblFleet[[#This Row],[Units]]="","",tblFleet[[#This Row],[Calendar_h]]-tblFleet[[#This Row],[Down_h]])</f>
        <v/>
      </c>
      <c r="I1639" s="60">
        <f>IF(AND(tblFleet[[#This Row],[Units]]&lt;&gt;"",tblFleet[[#This Row],[Calendar_h]]&gt;0),tblFleet[[#This Row],[Available_h]]/tblFleet[[#This Row],[Calendar_h]],"")</f>
        <v/>
      </c>
      <c r="J1639" s="60">
        <f>IF(AND(tblFleet[[#This Row],[Units]]&lt;&gt;"",tblFleet[[#This Row],[Available_h]]&gt;0),tblFleet[[#This Row],[Operating_h]]/tblFleet[[#This Row],[Available_h]],"")</f>
        <v/>
      </c>
    </row>
    <row r="1640">
      <c r="A1640" s="54" t="n"/>
      <c r="B1640" s="61" t="n"/>
      <c r="C1640" s="62" t="n"/>
      <c r="D1640" s="57" t="n"/>
      <c r="E1640" s="57" t="n"/>
      <c r="F1640" s="58" t="n"/>
      <c r="G1640" s="66">
        <f>IF(tblFleet[[#This Row],[Units]]="","",tblFleet[[#This Row],[Units]]*cfg_HoursPerDay)</f>
        <v/>
      </c>
      <c r="H1640" s="66">
        <f>IF(tblFleet[[#This Row],[Units]]="","",tblFleet[[#This Row],[Calendar_h]]-tblFleet[[#This Row],[Down_h]])</f>
        <v/>
      </c>
      <c r="I1640" s="60">
        <f>IF(AND(tblFleet[[#This Row],[Units]]&lt;&gt;"",tblFleet[[#This Row],[Calendar_h]]&gt;0),tblFleet[[#This Row],[Available_h]]/tblFleet[[#This Row],[Calendar_h]],"")</f>
        <v/>
      </c>
      <c r="J1640" s="60">
        <f>IF(AND(tblFleet[[#This Row],[Units]]&lt;&gt;"",tblFleet[[#This Row],[Available_h]]&gt;0),tblFleet[[#This Row],[Operating_h]]/tblFleet[[#This Row],[Available_h]],"")</f>
        <v/>
      </c>
    </row>
    <row r="1641">
      <c r="A1641" s="54" t="n"/>
      <c r="B1641" s="61" t="n"/>
      <c r="C1641" s="62" t="n"/>
      <c r="D1641" s="57" t="n"/>
      <c r="E1641" s="57" t="n"/>
      <c r="F1641" s="58" t="n"/>
      <c r="G1641" s="66">
        <f>IF(tblFleet[[#This Row],[Units]]="","",tblFleet[[#This Row],[Units]]*cfg_HoursPerDay)</f>
        <v/>
      </c>
      <c r="H1641" s="66">
        <f>IF(tblFleet[[#This Row],[Units]]="","",tblFleet[[#This Row],[Calendar_h]]-tblFleet[[#This Row],[Down_h]])</f>
        <v/>
      </c>
      <c r="I1641" s="60">
        <f>IF(AND(tblFleet[[#This Row],[Units]]&lt;&gt;"",tblFleet[[#This Row],[Calendar_h]]&gt;0),tblFleet[[#This Row],[Available_h]]/tblFleet[[#This Row],[Calendar_h]],"")</f>
        <v/>
      </c>
      <c r="J1641" s="60">
        <f>IF(AND(tblFleet[[#This Row],[Units]]&lt;&gt;"",tblFleet[[#This Row],[Available_h]]&gt;0),tblFleet[[#This Row],[Operating_h]]/tblFleet[[#This Row],[Available_h]],"")</f>
        <v/>
      </c>
    </row>
    <row r="1642">
      <c r="A1642" s="54" t="n"/>
      <c r="B1642" s="61" t="n"/>
      <c r="C1642" s="62" t="n"/>
      <c r="D1642" s="57" t="n"/>
      <c r="E1642" s="57" t="n"/>
      <c r="F1642" s="58" t="n"/>
      <c r="G1642" s="66">
        <f>IF(tblFleet[[#This Row],[Units]]="","",tblFleet[[#This Row],[Units]]*cfg_HoursPerDay)</f>
        <v/>
      </c>
      <c r="H1642" s="66">
        <f>IF(tblFleet[[#This Row],[Units]]="","",tblFleet[[#This Row],[Calendar_h]]-tblFleet[[#This Row],[Down_h]])</f>
        <v/>
      </c>
      <c r="I1642" s="60">
        <f>IF(AND(tblFleet[[#This Row],[Units]]&lt;&gt;"",tblFleet[[#This Row],[Calendar_h]]&gt;0),tblFleet[[#This Row],[Available_h]]/tblFleet[[#This Row],[Calendar_h]],"")</f>
        <v/>
      </c>
      <c r="J1642" s="60">
        <f>IF(AND(tblFleet[[#This Row],[Units]]&lt;&gt;"",tblFleet[[#This Row],[Available_h]]&gt;0),tblFleet[[#This Row],[Operating_h]]/tblFleet[[#This Row],[Available_h]],"")</f>
        <v/>
      </c>
    </row>
    <row r="1643">
      <c r="A1643" s="54" t="n"/>
      <c r="B1643" s="61" t="n"/>
      <c r="C1643" s="62" t="n"/>
      <c r="D1643" s="57" t="n"/>
      <c r="E1643" s="57" t="n"/>
      <c r="F1643" s="58" t="n"/>
      <c r="G1643" s="66">
        <f>IF(tblFleet[[#This Row],[Units]]="","",tblFleet[[#This Row],[Units]]*cfg_HoursPerDay)</f>
        <v/>
      </c>
      <c r="H1643" s="66">
        <f>IF(tblFleet[[#This Row],[Units]]="","",tblFleet[[#This Row],[Calendar_h]]-tblFleet[[#This Row],[Down_h]])</f>
        <v/>
      </c>
      <c r="I1643" s="60">
        <f>IF(AND(tblFleet[[#This Row],[Units]]&lt;&gt;"",tblFleet[[#This Row],[Calendar_h]]&gt;0),tblFleet[[#This Row],[Available_h]]/tblFleet[[#This Row],[Calendar_h]],"")</f>
        <v/>
      </c>
      <c r="J1643" s="60">
        <f>IF(AND(tblFleet[[#This Row],[Units]]&lt;&gt;"",tblFleet[[#This Row],[Available_h]]&gt;0),tblFleet[[#This Row],[Operating_h]]/tblFleet[[#This Row],[Available_h]],"")</f>
        <v/>
      </c>
    </row>
    <row r="1644">
      <c r="A1644" s="54" t="n"/>
      <c r="B1644" s="61" t="n"/>
      <c r="C1644" s="62" t="n"/>
      <c r="D1644" s="57" t="n"/>
      <c r="E1644" s="57" t="n"/>
      <c r="F1644" s="58" t="n"/>
      <c r="G1644" s="66">
        <f>IF(tblFleet[[#This Row],[Units]]="","",tblFleet[[#This Row],[Units]]*cfg_HoursPerDay)</f>
        <v/>
      </c>
      <c r="H1644" s="66">
        <f>IF(tblFleet[[#This Row],[Units]]="","",tblFleet[[#This Row],[Calendar_h]]-tblFleet[[#This Row],[Down_h]])</f>
        <v/>
      </c>
      <c r="I1644" s="60">
        <f>IF(AND(tblFleet[[#This Row],[Units]]&lt;&gt;"",tblFleet[[#This Row],[Calendar_h]]&gt;0),tblFleet[[#This Row],[Available_h]]/tblFleet[[#This Row],[Calendar_h]],"")</f>
        <v/>
      </c>
      <c r="J1644" s="60">
        <f>IF(AND(tblFleet[[#This Row],[Units]]&lt;&gt;"",tblFleet[[#This Row],[Available_h]]&gt;0),tblFleet[[#This Row],[Operating_h]]/tblFleet[[#This Row],[Available_h]],"")</f>
        <v/>
      </c>
    </row>
    <row r="1645">
      <c r="A1645" s="54" t="n"/>
      <c r="B1645" s="61" t="n"/>
      <c r="C1645" s="62" t="n"/>
      <c r="D1645" s="57" t="n"/>
      <c r="E1645" s="57" t="n"/>
      <c r="F1645" s="58" t="n"/>
      <c r="G1645" s="66">
        <f>IF(tblFleet[[#This Row],[Units]]="","",tblFleet[[#This Row],[Units]]*cfg_HoursPerDay)</f>
        <v/>
      </c>
      <c r="H1645" s="66">
        <f>IF(tblFleet[[#This Row],[Units]]="","",tblFleet[[#This Row],[Calendar_h]]-tblFleet[[#This Row],[Down_h]])</f>
        <v/>
      </c>
      <c r="I1645" s="60">
        <f>IF(AND(tblFleet[[#This Row],[Units]]&lt;&gt;"",tblFleet[[#This Row],[Calendar_h]]&gt;0),tblFleet[[#This Row],[Available_h]]/tblFleet[[#This Row],[Calendar_h]],"")</f>
        <v/>
      </c>
      <c r="J1645" s="60">
        <f>IF(AND(tblFleet[[#This Row],[Units]]&lt;&gt;"",tblFleet[[#This Row],[Available_h]]&gt;0),tblFleet[[#This Row],[Operating_h]]/tblFleet[[#This Row],[Available_h]],"")</f>
        <v/>
      </c>
    </row>
    <row r="1646">
      <c r="A1646" s="54" t="n"/>
      <c r="B1646" s="61" t="n"/>
      <c r="C1646" s="62" t="n"/>
      <c r="D1646" s="57" t="n"/>
      <c r="E1646" s="57" t="n"/>
      <c r="F1646" s="58" t="n"/>
      <c r="G1646" s="66">
        <f>IF(tblFleet[[#This Row],[Units]]="","",tblFleet[[#This Row],[Units]]*cfg_HoursPerDay)</f>
        <v/>
      </c>
      <c r="H1646" s="66">
        <f>IF(tblFleet[[#This Row],[Units]]="","",tblFleet[[#This Row],[Calendar_h]]-tblFleet[[#This Row],[Down_h]])</f>
        <v/>
      </c>
      <c r="I1646" s="60">
        <f>IF(AND(tblFleet[[#This Row],[Units]]&lt;&gt;"",tblFleet[[#This Row],[Calendar_h]]&gt;0),tblFleet[[#This Row],[Available_h]]/tblFleet[[#This Row],[Calendar_h]],"")</f>
        <v/>
      </c>
      <c r="J1646" s="60">
        <f>IF(AND(tblFleet[[#This Row],[Units]]&lt;&gt;"",tblFleet[[#This Row],[Available_h]]&gt;0),tblFleet[[#This Row],[Operating_h]]/tblFleet[[#This Row],[Available_h]],"")</f>
        <v/>
      </c>
    </row>
    <row r="1647">
      <c r="A1647" s="54" t="n"/>
      <c r="B1647" s="61" t="n"/>
      <c r="C1647" s="62" t="n"/>
      <c r="D1647" s="57" t="n"/>
      <c r="E1647" s="57" t="n"/>
      <c r="F1647" s="58" t="n"/>
      <c r="G1647" s="66">
        <f>IF(tblFleet[[#This Row],[Units]]="","",tblFleet[[#This Row],[Units]]*cfg_HoursPerDay)</f>
        <v/>
      </c>
      <c r="H1647" s="66">
        <f>IF(tblFleet[[#This Row],[Units]]="","",tblFleet[[#This Row],[Calendar_h]]-tblFleet[[#This Row],[Down_h]])</f>
        <v/>
      </c>
      <c r="I1647" s="60">
        <f>IF(AND(tblFleet[[#This Row],[Units]]&lt;&gt;"",tblFleet[[#This Row],[Calendar_h]]&gt;0),tblFleet[[#This Row],[Available_h]]/tblFleet[[#This Row],[Calendar_h]],"")</f>
        <v/>
      </c>
      <c r="J1647" s="60">
        <f>IF(AND(tblFleet[[#This Row],[Units]]&lt;&gt;"",tblFleet[[#This Row],[Available_h]]&gt;0),tblFleet[[#This Row],[Operating_h]]/tblFleet[[#This Row],[Available_h]],"")</f>
        <v/>
      </c>
    </row>
    <row r="1648">
      <c r="A1648" s="54" t="n"/>
      <c r="B1648" s="61" t="n"/>
      <c r="C1648" s="62" t="n"/>
      <c r="D1648" s="57" t="n"/>
      <c r="E1648" s="57" t="n"/>
      <c r="F1648" s="58" t="n"/>
      <c r="G1648" s="66">
        <f>IF(tblFleet[[#This Row],[Units]]="","",tblFleet[[#This Row],[Units]]*cfg_HoursPerDay)</f>
        <v/>
      </c>
      <c r="H1648" s="66">
        <f>IF(tblFleet[[#This Row],[Units]]="","",tblFleet[[#This Row],[Calendar_h]]-tblFleet[[#This Row],[Down_h]])</f>
        <v/>
      </c>
      <c r="I1648" s="60">
        <f>IF(AND(tblFleet[[#This Row],[Units]]&lt;&gt;"",tblFleet[[#This Row],[Calendar_h]]&gt;0),tblFleet[[#This Row],[Available_h]]/tblFleet[[#This Row],[Calendar_h]],"")</f>
        <v/>
      </c>
      <c r="J1648" s="60">
        <f>IF(AND(tblFleet[[#This Row],[Units]]&lt;&gt;"",tblFleet[[#This Row],[Available_h]]&gt;0),tblFleet[[#This Row],[Operating_h]]/tblFleet[[#This Row],[Available_h]],"")</f>
        <v/>
      </c>
    </row>
    <row r="1649">
      <c r="A1649" s="54" t="n"/>
      <c r="B1649" s="61" t="n"/>
      <c r="C1649" s="62" t="n"/>
      <c r="D1649" s="57" t="n"/>
      <c r="E1649" s="57" t="n"/>
      <c r="F1649" s="58" t="n"/>
      <c r="G1649" s="66">
        <f>IF(tblFleet[[#This Row],[Units]]="","",tblFleet[[#This Row],[Units]]*cfg_HoursPerDay)</f>
        <v/>
      </c>
      <c r="H1649" s="66">
        <f>IF(tblFleet[[#This Row],[Units]]="","",tblFleet[[#This Row],[Calendar_h]]-tblFleet[[#This Row],[Down_h]])</f>
        <v/>
      </c>
      <c r="I1649" s="60">
        <f>IF(AND(tblFleet[[#This Row],[Units]]&lt;&gt;"",tblFleet[[#This Row],[Calendar_h]]&gt;0),tblFleet[[#This Row],[Available_h]]/tblFleet[[#This Row],[Calendar_h]],"")</f>
        <v/>
      </c>
      <c r="J1649" s="60">
        <f>IF(AND(tblFleet[[#This Row],[Units]]&lt;&gt;"",tblFleet[[#This Row],[Available_h]]&gt;0),tblFleet[[#This Row],[Operating_h]]/tblFleet[[#This Row],[Available_h]],"")</f>
        <v/>
      </c>
    </row>
    <row r="1650">
      <c r="A1650" s="54" t="n"/>
      <c r="B1650" s="61" t="n"/>
      <c r="C1650" s="62" t="n"/>
      <c r="D1650" s="57" t="n"/>
      <c r="E1650" s="57" t="n"/>
      <c r="F1650" s="58" t="n"/>
      <c r="G1650" s="66">
        <f>IF(tblFleet[[#This Row],[Units]]="","",tblFleet[[#This Row],[Units]]*cfg_HoursPerDay)</f>
        <v/>
      </c>
      <c r="H1650" s="66">
        <f>IF(tblFleet[[#This Row],[Units]]="","",tblFleet[[#This Row],[Calendar_h]]-tblFleet[[#This Row],[Down_h]])</f>
        <v/>
      </c>
      <c r="I1650" s="60">
        <f>IF(AND(tblFleet[[#This Row],[Units]]&lt;&gt;"",tblFleet[[#This Row],[Calendar_h]]&gt;0),tblFleet[[#This Row],[Available_h]]/tblFleet[[#This Row],[Calendar_h]],"")</f>
        <v/>
      </c>
      <c r="J1650" s="60">
        <f>IF(AND(tblFleet[[#This Row],[Units]]&lt;&gt;"",tblFleet[[#This Row],[Available_h]]&gt;0),tblFleet[[#This Row],[Operating_h]]/tblFleet[[#This Row],[Available_h]],"")</f>
        <v/>
      </c>
    </row>
    <row r="1651">
      <c r="A1651" s="54" t="n"/>
      <c r="B1651" s="61" t="n"/>
      <c r="C1651" s="62" t="n"/>
      <c r="D1651" s="57" t="n"/>
      <c r="E1651" s="57" t="n"/>
      <c r="F1651" s="58" t="n"/>
      <c r="G1651" s="66">
        <f>IF(tblFleet[[#This Row],[Units]]="","",tblFleet[[#This Row],[Units]]*cfg_HoursPerDay)</f>
        <v/>
      </c>
      <c r="H1651" s="66">
        <f>IF(tblFleet[[#This Row],[Units]]="","",tblFleet[[#This Row],[Calendar_h]]-tblFleet[[#This Row],[Down_h]])</f>
        <v/>
      </c>
      <c r="I1651" s="60">
        <f>IF(AND(tblFleet[[#This Row],[Units]]&lt;&gt;"",tblFleet[[#This Row],[Calendar_h]]&gt;0),tblFleet[[#This Row],[Available_h]]/tblFleet[[#This Row],[Calendar_h]],"")</f>
        <v/>
      </c>
      <c r="J1651" s="60">
        <f>IF(AND(tblFleet[[#This Row],[Units]]&lt;&gt;"",tblFleet[[#This Row],[Available_h]]&gt;0),tblFleet[[#This Row],[Operating_h]]/tblFleet[[#This Row],[Available_h]],"")</f>
        <v/>
      </c>
    </row>
    <row r="1652">
      <c r="A1652" s="54" t="n"/>
      <c r="B1652" s="61" t="n"/>
      <c r="C1652" s="62" t="n"/>
      <c r="D1652" s="57" t="n"/>
      <c r="E1652" s="57" t="n"/>
      <c r="F1652" s="58" t="n"/>
      <c r="G1652" s="66">
        <f>IF(tblFleet[[#This Row],[Units]]="","",tblFleet[[#This Row],[Units]]*cfg_HoursPerDay)</f>
        <v/>
      </c>
      <c r="H1652" s="66">
        <f>IF(tblFleet[[#This Row],[Units]]="","",tblFleet[[#This Row],[Calendar_h]]-tblFleet[[#This Row],[Down_h]])</f>
        <v/>
      </c>
      <c r="I1652" s="60">
        <f>IF(AND(tblFleet[[#This Row],[Units]]&lt;&gt;"",tblFleet[[#This Row],[Calendar_h]]&gt;0),tblFleet[[#This Row],[Available_h]]/tblFleet[[#This Row],[Calendar_h]],"")</f>
        <v/>
      </c>
      <c r="J1652" s="60">
        <f>IF(AND(tblFleet[[#This Row],[Units]]&lt;&gt;"",tblFleet[[#This Row],[Available_h]]&gt;0),tblFleet[[#This Row],[Operating_h]]/tblFleet[[#This Row],[Available_h]],"")</f>
        <v/>
      </c>
    </row>
    <row r="1653">
      <c r="A1653" s="54" t="n"/>
      <c r="B1653" s="61" t="n"/>
      <c r="C1653" s="62" t="n"/>
      <c r="D1653" s="57" t="n"/>
      <c r="E1653" s="57" t="n"/>
      <c r="F1653" s="58" t="n"/>
      <c r="G1653" s="66">
        <f>IF(tblFleet[[#This Row],[Units]]="","",tblFleet[[#This Row],[Units]]*cfg_HoursPerDay)</f>
        <v/>
      </c>
      <c r="H1653" s="66">
        <f>IF(tblFleet[[#This Row],[Units]]="","",tblFleet[[#This Row],[Calendar_h]]-tblFleet[[#This Row],[Down_h]])</f>
        <v/>
      </c>
      <c r="I1653" s="60">
        <f>IF(AND(tblFleet[[#This Row],[Units]]&lt;&gt;"",tblFleet[[#This Row],[Calendar_h]]&gt;0),tblFleet[[#This Row],[Available_h]]/tblFleet[[#This Row],[Calendar_h]],"")</f>
        <v/>
      </c>
      <c r="J1653" s="60">
        <f>IF(AND(tblFleet[[#This Row],[Units]]&lt;&gt;"",tblFleet[[#This Row],[Available_h]]&gt;0),tblFleet[[#This Row],[Operating_h]]/tblFleet[[#This Row],[Available_h]],"")</f>
        <v/>
      </c>
    </row>
    <row r="1654">
      <c r="A1654" s="54" t="n"/>
      <c r="B1654" s="61" t="n"/>
      <c r="C1654" s="62" t="n"/>
      <c r="D1654" s="57" t="n"/>
      <c r="E1654" s="57" t="n"/>
      <c r="F1654" s="58" t="n"/>
      <c r="G1654" s="66">
        <f>IF(tblFleet[[#This Row],[Units]]="","",tblFleet[[#This Row],[Units]]*cfg_HoursPerDay)</f>
        <v/>
      </c>
      <c r="H1654" s="66">
        <f>IF(tblFleet[[#This Row],[Units]]="","",tblFleet[[#This Row],[Calendar_h]]-tblFleet[[#This Row],[Down_h]])</f>
        <v/>
      </c>
      <c r="I1654" s="60">
        <f>IF(AND(tblFleet[[#This Row],[Units]]&lt;&gt;"",tblFleet[[#This Row],[Calendar_h]]&gt;0),tblFleet[[#This Row],[Available_h]]/tblFleet[[#This Row],[Calendar_h]],"")</f>
        <v/>
      </c>
      <c r="J1654" s="60">
        <f>IF(AND(tblFleet[[#This Row],[Units]]&lt;&gt;"",tblFleet[[#This Row],[Available_h]]&gt;0),tblFleet[[#This Row],[Operating_h]]/tblFleet[[#This Row],[Available_h]],"")</f>
        <v/>
      </c>
    </row>
    <row r="1655">
      <c r="A1655" s="54" t="n"/>
      <c r="B1655" s="61" t="n"/>
      <c r="C1655" s="62" t="n"/>
      <c r="D1655" s="57" t="n"/>
      <c r="E1655" s="57" t="n"/>
      <c r="F1655" s="58" t="n"/>
      <c r="G1655" s="66">
        <f>IF(tblFleet[[#This Row],[Units]]="","",tblFleet[[#This Row],[Units]]*cfg_HoursPerDay)</f>
        <v/>
      </c>
      <c r="H1655" s="66">
        <f>IF(tblFleet[[#This Row],[Units]]="","",tblFleet[[#This Row],[Calendar_h]]-tblFleet[[#This Row],[Down_h]])</f>
        <v/>
      </c>
      <c r="I1655" s="60">
        <f>IF(AND(tblFleet[[#This Row],[Units]]&lt;&gt;"",tblFleet[[#This Row],[Calendar_h]]&gt;0),tblFleet[[#This Row],[Available_h]]/tblFleet[[#This Row],[Calendar_h]],"")</f>
        <v/>
      </c>
      <c r="J1655" s="60">
        <f>IF(AND(tblFleet[[#This Row],[Units]]&lt;&gt;"",tblFleet[[#This Row],[Available_h]]&gt;0),tblFleet[[#This Row],[Operating_h]]/tblFleet[[#This Row],[Available_h]],"")</f>
        <v/>
      </c>
    </row>
    <row r="1656">
      <c r="A1656" s="54" t="n"/>
      <c r="B1656" s="61" t="n"/>
      <c r="C1656" s="62" t="n"/>
      <c r="D1656" s="57" t="n"/>
      <c r="E1656" s="57" t="n"/>
      <c r="F1656" s="58" t="n"/>
      <c r="G1656" s="66">
        <f>IF(tblFleet[[#This Row],[Units]]="","",tblFleet[[#This Row],[Units]]*cfg_HoursPerDay)</f>
        <v/>
      </c>
      <c r="H1656" s="66">
        <f>IF(tblFleet[[#This Row],[Units]]="","",tblFleet[[#This Row],[Calendar_h]]-tblFleet[[#This Row],[Down_h]])</f>
        <v/>
      </c>
      <c r="I1656" s="60">
        <f>IF(AND(tblFleet[[#This Row],[Units]]&lt;&gt;"",tblFleet[[#This Row],[Calendar_h]]&gt;0),tblFleet[[#This Row],[Available_h]]/tblFleet[[#This Row],[Calendar_h]],"")</f>
        <v/>
      </c>
      <c r="J1656" s="60">
        <f>IF(AND(tblFleet[[#This Row],[Units]]&lt;&gt;"",tblFleet[[#This Row],[Available_h]]&gt;0),tblFleet[[#This Row],[Operating_h]]/tblFleet[[#This Row],[Available_h]],"")</f>
        <v/>
      </c>
    </row>
    <row r="1657">
      <c r="A1657" s="54" t="n"/>
      <c r="B1657" s="61" t="n"/>
      <c r="C1657" s="62" t="n"/>
      <c r="D1657" s="57" t="n"/>
      <c r="E1657" s="57" t="n"/>
      <c r="F1657" s="58" t="n"/>
      <c r="G1657" s="66">
        <f>IF(tblFleet[[#This Row],[Units]]="","",tblFleet[[#This Row],[Units]]*cfg_HoursPerDay)</f>
        <v/>
      </c>
      <c r="H1657" s="66">
        <f>IF(tblFleet[[#This Row],[Units]]="","",tblFleet[[#This Row],[Calendar_h]]-tblFleet[[#This Row],[Down_h]])</f>
        <v/>
      </c>
      <c r="I1657" s="60">
        <f>IF(AND(tblFleet[[#This Row],[Units]]&lt;&gt;"",tblFleet[[#This Row],[Calendar_h]]&gt;0),tblFleet[[#This Row],[Available_h]]/tblFleet[[#This Row],[Calendar_h]],"")</f>
        <v/>
      </c>
      <c r="J1657" s="60">
        <f>IF(AND(tblFleet[[#This Row],[Units]]&lt;&gt;"",tblFleet[[#This Row],[Available_h]]&gt;0),tblFleet[[#This Row],[Operating_h]]/tblFleet[[#This Row],[Available_h]],"")</f>
        <v/>
      </c>
    </row>
    <row r="1658">
      <c r="A1658" s="54" t="n"/>
      <c r="B1658" s="61" t="n"/>
      <c r="C1658" s="62" t="n"/>
      <c r="D1658" s="57" t="n"/>
      <c r="E1658" s="57" t="n"/>
      <c r="F1658" s="58" t="n"/>
      <c r="G1658" s="66">
        <f>IF(tblFleet[[#This Row],[Units]]="","",tblFleet[[#This Row],[Units]]*cfg_HoursPerDay)</f>
        <v/>
      </c>
      <c r="H1658" s="66">
        <f>IF(tblFleet[[#This Row],[Units]]="","",tblFleet[[#This Row],[Calendar_h]]-tblFleet[[#This Row],[Down_h]])</f>
        <v/>
      </c>
      <c r="I1658" s="60">
        <f>IF(AND(tblFleet[[#This Row],[Units]]&lt;&gt;"",tblFleet[[#This Row],[Calendar_h]]&gt;0),tblFleet[[#This Row],[Available_h]]/tblFleet[[#This Row],[Calendar_h]],"")</f>
        <v/>
      </c>
      <c r="J1658" s="60">
        <f>IF(AND(tblFleet[[#This Row],[Units]]&lt;&gt;"",tblFleet[[#This Row],[Available_h]]&gt;0),tblFleet[[#This Row],[Operating_h]]/tblFleet[[#This Row],[Available_h]],"")</f>
        <v/>
      </c>
    </row>
    <row r="1659">
      <c r="A1659" s="54" t="n"/>
      <c r="B1659" s="61" t="n"/>
      <c r="C1659" s="62" t="n"/>
      <c r="D1659" s="57" t="n"/>
      <c r="E1659" s="57" t="n"/>
      <c r="F1659" s="58" t="n"/>
      <c r="G1659" s="66">
        <f>IF(tblFleet[[#This Row],[Units]]="","",tblFleet[[#This Row],[Units]]*cfg_HoursPerDay)</f>
        <v/>
      </c>
      <c r="H1659" s="66">
        <f>IF(tblFleet[[#This Row],[Units]]="","",tblFleet[[#This Row],[Calendar_h]]-tblFleet[[#This Row],[Down_h]])</f>
        <v/>
      </c>
      <c r="I1659" s="60">
        <f>IF(AND(tblFleet[[#This Row],[Units]]&lt;&gt;"",tblFleet[[#This Row],[Calendar_h]]&gt;0),tblFleet[[#This Row],[Available_h]]/tblFleet[[#This Row],[Calendar_h]],"")</f>
        <v/>
      </c>
      <c r="J1659" s="60">
        <f>IF(AND(tblFleet[[#This Row],[Units]]&lt;&gt;"",tblFleet[[#This Row],[Available_h]]&gt;0),tblFleet[[#This Row],[Operating_h]]/tblFleet[[#This Row],[Available_h]],"")</f>
        <v/>
      </c>
    </row>
    <row r="1660">
      <c r="A1660" s="54" t="n"/>
      <c r="B1660" s="61" t="n"/>
      <c r="C1660" s="62" t="n"/>
      <c r="D1660" s="57" t="n"/>
      <c r="E1660" s="57" t="n"/>
      <c r="F1660" s="58" t="n"/>
      <c r="G1660" s="66">
        <f>IF(tblFleet[[#This Row],[Units]]="","",tblFleet[[#This Row],[Units]]*cfg_HoursPerDay)</f>
        <v/>
      </c>
      <c r="H1660" s="66">
        <f>IF(tblFleet[[#This Row],[Units]]="","",tblFleet[[#This Row],[Calendar_h]]-tblFleet[[#This Row],[Down_h]])</f>
        <v/>
      </c>
      <c r="I1660" s="60">
        <f>IF(AND(tblFleet[[#This Row],[Units]]&lt;&gt;"",tblFleet[[#This Row],[Calendar_h]]&gt;0),tblFleet[[#This Row],[Available_h]]/tblFleet[[#This Row],[Calendar_h]],"")</f>
        <v/>
      </c>
      <c r="J1660" s="60">
        <f>IF(AND(tblFleet[[#This Row],[Units]]&lt;&gt;"",tblFleet[[#This Row],[Available_h]]&gt;0),tblFleet[[#This Row],[Operating_h]]/tblFleet[[#This Row],[Available_h]],"")</f>
        <v/>
      </c>
    </row>
    <row r="1661">
      <c r="A1661" s="54" t="n"/>
      <c r="B1661" s="61" t="n"/>
      <c r="C1661" s="62" t="n"/>
      <c r="D1661" s="57" t="n"/>
      <c r="E1661" s="57" t="n"/>
      <c r="F1661" s="58" t="n"/>
      <c r="G1661" s="66">
        <f>IF(tblFleet[[#This Row],[Units]]="","",tblFleet[[#This Row],[Units]]*cfg_HoursPerDay)</f>
        <v/>
      </c>
      <c r="H1661" s="66">
        <f>IF(tblFleet[[#This Row],[Units]]="","",tblFleet[[#This Row],[Calendar_h]]-tblFleet[[#This Row],[Down_h]])</f>
        <v/>
      </c>
      <c r="I1661" s="60">
        <f>IF(AND(tblFleet[[#This Row],[Units]]&lt;&gt;"",tblFleet[[#This Row],[Calendar_h]]&gt;0),tblFleet[[#This Row],[Available_h]]/tblFleet[[#This Row],[Calendar_h]],"")</f>
        <v/>
      </c>
      <c r="J1661" s="60">
        <f>IF(AND(tblFleet[[#This Row],[Units]]&lt;&gt;"",tblFleet[[#This Row],[Available_h]]&gt;0),tblFleet[[#This Row],[Operating_h]]/tblFleet[[#This Row],[Available_h]],"")</f>
        <v/>
      </c>
    </row>
    <row r="1662">
      <c r="A1662" s="54" t="n"/>
      <c r="B1662" s="61" t="n"/>
      <c r="C1662" s="62" t="n"/>
      <c r="D1662" s="57" t="n"/>
      <c r="E1662" s="57" t="n"/>
      <c r="F1662" s="58" t="n"/>
      <c r="G1662" s="66">
        <f>IF(tblFleet[[#This Row],[Units]]="","",tblFleet[[#This Row],[Units]]*cfg_HoursPerDay)</f>
        <v/>
      </c>
      <c r="H1662" s="66">
        <f>IF(tblFleet[[#This Row],[Units]]="","",tblFleet[[#This Row],[Calendar_h]]-tblFleet[[#This Row],[Down_h]])</f>
        <v/>
      </c>
      <c r="I1662" s="60">
        <f>IF(AND(tblFleet[[#This Row],[Units]]&lt;&gt;"",tblFleet[[#This Row],[Calendar_h]]&gt;0),tblFleet[[#This Row],[Available_h]]/tblFleet[[#This Row],[Calendar_h]],"")</f>
        <v/>
      </c>
      <c r="J1662" s="60">
        <f>IF(AND(tblFleet[[#This Row],[Units]]&lt;&gt;"",tblFleet[[#This Row],[Available_h]]&gt;0),tblFleet[[#This Row],[Operating_h]]/tblFleet[[#This Row],[Available_h]],"")</f>
        <v/>
      </c>
    </row>
    <row r="1663">
      <c r="A1663" s="54" t="n"/>
      <c r="B1663" s="61" t="n"/>
      <c r="C1663" s="62" t="n"/>
      <c r="D1663" s="57" t="n"/>
      <c r="E1663" s="57" t="n"/>
      <c r="F1663" s="58" t="n"/>
      <c r="G1663" s="66">
        <f>IF(tblFleet[[#This Row],[Units]]="","",tblFleet[[#This Row],[Units]]*cfg_HoursPerDay)</f>
        <v/>
      </c>
      <c r="H1663" s="66">
        <f>IF(tblFleet[[#This Row],[Units]]="","",tblFleet[[#This Row],[Calendar_h]]-tblFleet[[#This Row],[Down_h]])</f>
        <v/>
      </c>
      <c r="I1663" s="60">
        <f>IF(AND(tblFleet[[#This Row],[Units]]&lt;&gt;"",tblFleet[[#This Row],[Calendar_h]]&gt;0),tblFleet[[#This Row],[Available_h]]/tblFleet[[#This Row],[Calendar_h]],"")</f>
        <v/>
      </c>
      <c r="J1663" s="60">
        <f>IF(AND(tblFleet[[#This Row],[Units]]&lt;&gt;"",tblFleet[[#This Row],[Available_h]]&gt;0),tblFleet[[#This Row],[Operating_h]]/tblFleet[[#This Row],[Available_h]],"")</f>
        <v/>
      </c>
    </row>
    <row r="1664">
      <c r="A1664" s="54" t="n"/>
      <c r="B1664" s="61" t="n"/>
      <c r="C1664" s="62" t="n"/>
      <c r="D1664" s="57" t="n"/>
      <c r="E1664" s="57" t="n"/>
      <c r="F1664" s="58" t="n"/>
      <c r="G1664" s="66">
        <f>IF(tblFleet[[#This Row],[Units]]="","",tblFleet[[#This Row],[Units]]*cfg_HoursPerDay)</f>
        <v/>
      </c>
      <c r="H1664" s="66">
        <f>IF(tblFleet[[#This Row],[Units]]="","",tblFleet[[#This Row],[Calendar_h]]-tblFleet[[#This Row],[Down_h]])</f>
        <v/>
      </c>
      <c r="I1664" s="60">
        <f>IF(AND(tblFleet[[#This Row],[Units]]&lt;&gt;"",tblFleet[[#This Row],[Calendar_h]]&gt;0),tblFleet[[#This Row],[Available_h]]/tblFleet[[#This Row],[Calendar_h]],"")</f>
        <v/>
      </c>
      <c r="J1664" s="60">
        <f>IF(AND(tblFleet[[#This Row],[Units]]&lt;&gt;"",tblFleet[[#This Row],[Available_h]]&gt;0),tblFleet[[#This Row],[Operating_h]]/tblFleet[[#This Row],[Available_h]],"")</f>
        <v/>
      </c>
    </row>
    <row r="1665">
      <c r="A1665" s="54" t="n"/>
      <c r="B1665" s="61" t="n"/>
      <c r="C1665" s="62" t="n"/>
      <c r="D1665" s="57" t="n"/>
      <c r="E1665" s="57" t="n"/>
      <c r="F1665" s="58" t="n"/>
      <c r="G1665" s="66">
        <f>IF(tblFleet[[#This Row],[Units]]="","",tblFleet[[#This Row],[Units]]*cfg_HoursPerDay)</f>
        <v/>
      </c>
      <c r="H1665" s="66">
        <f>IF(tblFleet[[#This Row],[Units]]="","",tblFleet[[#This Row],[Calendar_h]]-tblFleet[[#This Row],[Down_h]])</f>
        <v/>
      </c>
      <c r="I1665" s="60">
        <f>IF(AND(tblFleet[[#This Row],[Units]]&lt;&gt;"",tblFleet[[#This Row],[Calendar_h]]&gt;0),tblFleet[[#This Row],[Available_h]]/tblFleet[[#This Row],[Calendar_h]],"")</f>
        <v/>
      </c>
      <c r="J1665" s="60">
        <f>IF(AND(tblFleet[[#This Row],[Units]]&lt;&gt;"",tblFleet[[#This Row],[Available_h]]&gt;0),tblFleet[[#This Row],[Operating_h]]/tblFleet[[#This Row],[Available_h]],"")</f>
        <v/>
      </c>
    </row>
    <row r="1666">
      <c r="A1666" s="54" t="n"/>
      <c r="B1666" s="61" t="n"/>
      <c r="C1666" s="62" t="n"/>
      <c r="D1666" s="57" t="n"/>
      <c r="E1666" s="57" t="n"/>
      <c r="F1666" s="58" t="n"/>
      <c r="G1666" s="66">
        <f>IF(tblFleet[[#This Row],[Units]]="","",tblFleet[[#This Row],[Units]]*cfg_HoursPerDay)</f>
        <v/>
      </c>
      <c r="H1666" s="66">
        <f>IF(tblFleet[[#This Row],[Units]]="","",tblFleet[[#This Row],[Calendar_h]]-tblFleet[[#This Row],[Down_h]])</f>
        <v/>
      </c>
      <c r="I1666" s="60">
        <f>IF(AND(tblFleet[[#This Row],[Units]]&lt;&gt;"",tblFleet[[#This Row],[Calendar_h]]&gt;0),tblFleet[[#This Row],[Available_h]]/tblFleet[[#This Row],[Calendar_h]],"")</f>
        <v/>
      </c>
      <c r="J1666" s="60">
        <f>IF(AND(tblFleet[[#This Row],[Units]]&lt;&gt;"",tblFleet[[#This Row],[Available_h]]&gt;0),tblFleet[[#This Row],[Operating_h]]/tblFleet[[#This Row],[Available_h]],"")</f>
        <v/>
      </c>
    </row>
    <row r="1667">
      <c r="A1667" s="54" t="n"/>
      <c r="B1667" s="61" t="n"/>
      <c r="C1667" s="62" t="n"/>
      <c r="D1667" s="57" t="n"/>
      <c r="E1667" s="57" t="n"/>
      <c r="F1667" s="58" t="n"/>
      <c r="G1667" s="66">
        <f>IF(tblFleet[[#This Row],[Units]]="","",tblFleet[[#This Row],[Units]]*cfg_HoursPerDay)</f>
        <v/>
      </c>
      <c r="H1667" s="66">
        <f>IF(tblFleet[[#This Row],[Units]]="","",tblFleet[[#This Row],[Calendar_h]]-tblFleet[[#This Row],[Down_h]])</f>
        <v/>
      </c>
      <c r="I1667" s="60">
        <f>IF(AND(tblFleet[[#This Row],[Units]]&lt;&gt;"",tblFleet[[#This Row],[Calendar_h]]&gt;0),tblFleet[[#This Row],[Available_h]]/tblFleet[[#This Row],[Calendar_h]],"")</f>
        <v/>
      </c>
      <c r="J1667" s="60">
        <f>IF(AND(tblFleet[[#This Row],[Units]]&lt;&gt;"",tblFleet[[#This Row],[Available_h]]&gt;0),tblFleet[[#This Row],[Operating_h]]/tblFleet[[#This Row],[Available_h]],"")</f>
        <v/>
      </c>
    </row>
    <row r="1668">
      <c r="A1668" s="54" t="n"/>
      <c r="B1668" s="61" t="n"/>
      <c r="C1668" s="62" t="n"/>
      <c r="D1668" s="57" t="n"/>
      <c r="E1668" s="57" t="n"/>
      <c r="F1668" s="58" t="n"/>
      <c r="G1668" s="66">
        <f>IF(tblFleet[[#This Row],[Units]]="","",tblFleet[[#This Row],[Units]]*cfg_HoursPerDay)</f>
        <v/>
      </c>
      <c r="H1668" s="66">
        <f>IF(tblFleet[[#This Row],[Units]]="","",tblFleet[[#This Row],[Calendar_h]]-tblFleet[[#This Row],[Down_h]])</f>
        <v/>
      </c>
      <c r="I1668" s="60">
        <f>IF(AND(tblFleet[[#This Row],[Units]]&lt;&gt;"",tblFleet[[#This Row],[Calendar_h]]&gt;0),tblFleet[[#This Row],[Available_h]]/tblFleet[[#This Row],[Calendar_h]],"")</f>
        <v/>
      </c>
      <c r="J1668" s="60">
        <f>IF(AND(tblFleet[[#This Row],[Units]]&lt;&gt;"",tblFleet[[#This Row],[Available_h]]&gt;0),tblFleet[[#This Row],[Operating_h]]/tblFleet[[#This Row],[Available_h]],"")</f>
        <v/>
      </c>
    </row>
    <row r="1669">
      <c r="A1669" s="54" t="n"/>
      <c r="B1669" s="61" t="n"/>
      <c r="C1669" s="62" t="n"/>
      <c r="D1669" s="57" t="n"/>
      <c r="E1669" s="57" t="n"/>
      <c r="F1669" s="58" t="n"/>
      <c r="G1669" s="66">
        <f>IF(tblFleet[[#This Row],[Units]]="","",tblFleet[[#This Row],[Units]]*cfg_HoursPerDay)</f>
        <v/>
      </c>
      <c r="H1669" s="66">
        <f>IF(tblFleet[[#This Row],[Units]]="","",tblFleet[[#This Row],[Calendar_h]]-tblFleet[[#This Row],[Down_h]])</f>
        <v/>
      </c>
      <c r="I1669" s="60">
        <f>IF(AND(tblFleet[[#This Row],[Units]]&lt;&gt;"",tblFleet[[#This Row],[Calendar_h]]&gt;0),tblFleet[[#This Row],[Available_h]]/tblFleet[[#This Row],[Calendar_h]],"")</f>
        <v/>
      </c>
      <c r="J1669" s="60">
        <f>IF(AND(tblFleet[[#This Row],[Units]]&lt;&gt;"",tblFleet[[#This Row],[Available_h]]&gt;0),tblFleet[[#This Row],[Operating_h]]/tblFleet[[#This Row],[Available_h]],"")</f>
        <v/>
      </c>
    </row>
    <row r="1670">
      <c r="A1670" s="54" t="n"/>
      <c r="B1670" s="61" t="n"/>
      <c r="C1670" s="62" t="n"/>
      <c r="D1670" s="57" t="n"/>
      <c r="E1670" s="57" t="n"/>
      <c r="F1670" s="58" t="n"/>
      <c r="G1670" s="66">
        <f>IF(tblFleet[[#This Row],[Units]]="","",tblFleet[[#This Row],[Units]]*cfg_HoursPerDay)</f>
        <v/>
      </c>
      <c r="H1670" s="66">
        <f>IF(tblFleet[[#This Row],[Units]]="","",tblFleet[[#This Row],[Calendar_h]]-tblFleet[[#This Row],[Down_h]])</f>
        <v/>
      </c>
      <c r="I1670" s="60">
        <f>IF(AND(tblFleet[[#This Row],[Units]]&lt;&gt;"",tblFleet[[#This Row],[Calendar_h]]&gt;0),tblFleet[[#This Row],[Available_h]]/tblFleet[[#This Row],[Calendar_h]],"")</f>
        <v/>
      </c>
      <c r="J1670" s="60">
        <f>IF(AND(tblFleet[[#This Row],[Units]]&lt;&gt;"",tblFleet[[#This Row],[Available_h]]&gt;0),tblFleet[[#This Row],[Operating_h]]/tblFleet[[#This Row],[Available_h]],"")</f>
        <v/>
      </c>
    </row>
    <row r="1671">
      <c r="A1671" s="54" t="n"/>
      <c r="B1671" s="61" t="n"/>
      <c r="C1671" s="62" t="n"/>
      <c r="D1671" s="57" t="n"/>
      <c r="E1671" s="57" t="n"/>
      <c r="F1671" s="58" t="n"/>
      <c r="G1671" s="66">
        <f>IF(tblFleet[[#This Row],[Units]]="","",tblFleet[[#This Row],[Units]]*cfg_HoursPerDay)</f>
        <v/>
      </c>
      <c r="H1671" s="66">
        <f>IF(tblFleet[[#This Row],[Units]]="","",tblFleet[[#This Row],[Calendar_h]]-tblFleet[[#This Row],[Down_h]])</f>
        <v/>
      </c>
      <c r="I1671" s="60">
        <f>IF(AND(tblFleet[[#This Row],[Units]]&lt;&gt;"",tblFleet[[#This Row],[Calendar_h]]&gt;0),tblFleet[[#This Row],[Available_h]]/tblFleet[[#This Row],[Calendar_h]],"")</f>
        <v/>
      </c>
      <c r="J1671" s="60">
        <f>IF(AND(tblFleet[[#This Row],[Units]]&lt;&gt;"",tblFleet[[#This Row],[Available_h]]&gt;0),tblFleet[[#This Row],[Operating_h]]/tblFleet[[#This Row],[Available_h]],"")</f>
        <v/>
      </c>
    </row>
    <row r="1672">
      <c r="A1672" s="54" t="n"/>
      <c r="B1672" s="61" t="n"/>
      <c r="C1672" s="62" t="n"/>
      <c r="D1672" s="57" t="n"/>
      <c r="E1672" s="57" t="n"/>
      <c r="F1672" s="58" t="n"/>
      <c r="G1672" s="66">
        <f>IF(tblFleet[[#This Row],[Units]]="","",tblFleet[[#This Row],[Units]]*cfg_HoursPerDay)</f>
        <v/>
      </c>
      <c r="H1672" s="66">
        <f>IF(tblFleet[[#This Row],[Units]]="","",tblFleet[[#This Row],[Calendar_h]]-tblFleet[[#This Row],[Down_h]])</f>
        <v/>
      </c>
      <c r="I1672" s="60">
        <f>IF(AND(tblFleet[[#This Row],[Units]]&lt;&gt;"",tblFleet[[#This Row],[Calendar_h]]&gt;0),tblFleet[[#This Row],[Available_h]]/tblFleet[[#This Row],[Calendar_h]],"")</f>
        <v/>
      </c>
      <c r="J1672" s="60">
        <f>IF(AND(tblFleet[[#This Row],[Units]]&lt;&gt;"",tblFleet[[#This Row],[Available_h]]&gt;0),tblFleet[[#This Row],[Operating_h]]/tblFleet[[#This Row],[Available_h]],"")</f>
        <v/>
      </c>
    </row>
    <row r="1673">
      <c r="A1673" s="54" t="n"/>
      <c r="B1673" s="61" t="n"/>
      <c r="C1673" s="62" t="n"/>
      <c r="D1673" s="57" t="n"/>
      <c r="E1673" s="57" t="n"/>
      <c r="F1673" s="58" t="n"/>
      <c r="G1673" s="66">
        <f>IF(tblFleet[[#This Row],[Units]]="","",tblFleet[[#This Row],[Units]]*cfg_HoursPerDay)</f>
        <v/>
      </c>
      <c r="H1673" s="66">
        <f>IF(tblFleet[[#This Row],[Units]]="","",tblFleet[[#This Row],[Calendar_h]]-tblFleet[[#This Row],[Down_h]])</f>
        <v/>
      </c>
      <c r="I1673" s="60">
        <f>IF(AND(tblFleet[[#This Row],[Units]]&lt;&gt;"",tblFleet[[#This Row],[Calendar_h]]&gt;0),tblFleet[[#This Row],[Available_h]]/tblFleet[[#This Row],[Calendar_h]],"")</f>
        <v/>
      </c>
      <c r="J1673" s="60">
        <f>IF(AND(tblFleet[[#This Row],[Units]]&lt;&gt;"",tblFleet[[#This Row],[Available_h]]&gt;0),tblFleet[[#This Row],[Operating_h]]/tblFleet[[#This Row],[Available_h]],"")</f>
        <v/>
      </c>
    </row>
    <row r="1674">
      <c r="A1674" s="54" t="n"/>
      <c r="B1674" s="61" t="n"/>
      <c r="C1674" s="62" t="n"/>
      <c r="D1674" s="57" t="n"/>
      <c r="E1674" s="57" t="n"/>
      <c r="F1674" s="58" t="n"/>
      <c r="G1674" s="66">
        <f>IF(tblFleet[[#This Row],[Units]]="","",tblFleet[[#This Row],[Units]]*cfg_HoursPerDay)</f>
        <v/>
      </c>
      <c r="H1674" s="66">
        <f>IF(tblFleet[[#This Row],[Units]]="","",tblFleet[[#This Row],[Calendar_h]]-tblFleet[[#This Row],[Down_h]])</f>
        <v/>
      </c>
      <c r="I1674" s="60">
        <f>IF(AND(tblFleet[[#This Row],[Units]]&lt;&gt;"",tblFleet[[#This Row],[Calendar_h]]&gt;0),tblFleet[[#This Row],[Available_h]]/tblFleet[[#This Row],[Calendar_h]],"")</f>
        <v/>
      </c>
      <c r="J1674" s="60">
        <f>IF(AND(tblFleet[[#This Row],[Units]]&lt;&gt;"",tblFleet[[#This Row],[Available_h]]&gt;0),tblFleet[[#This Row],[Operating_h]]/tblFleet[[#This Row],[Available_h]],"")</f>
        <v/>
      </c>
    </row>
    <row r="1675">
      <c r="A1675" s="54" t="n"/>
      <c r="B1675" s="61" t="n"/>
      <c r="C1675" s="62" t="n"/>
      <c r="D1675" s="57" t="n"/>
      <c r="E1675" s="57" t="n"/>
      <c r="F1675" s="58" t="n"/>
      <c r="G1675" s="66">
        <f>IF(tblFleet[[#This Row],[Units]]="","",tblFleet[[#This Row],[Units]]*cfg_HoursPerDay)</f>
        <v/>
      </c>
      <c r="H1675" s="66">
        <f>IF(tblFleet[[#This Row],[Units]]="","",tblFleet[[#This Row],[Calendar_h]]-tblFleet[[#This Row],[Down_h]])</f>
        <v/>
      </c>
      <c r="I1675" s="60">
        <f>IF(AND(tblFleet[[#This Row],[Units]]&lt;&gt;"",tblFleet[[#This Row],[Calendar_h]]&gt;0),tblFleet[[#This Row],[Available_h]]/tblFleet[[#This Row],[Calendar_h]],"")</f>
        <v/>
      </c>
      <c r="J1675" s="60">
        <f>IF(AND(tblFleet[[#This Row],[Units]]&lt;&gt;"",tblFleet[[#This Row],[Available_h]]&gt;0),tblFleet[[#This Row],[Operating_h]]/tblFleet[[#This Row],[Available_h]],"")</f>
        <v/>
      </c>
    </row>
    <row r="1676">
      <c r="A1676" s="54" t="n"/>
      <c r="B1676" s="61" t="n"/>
      <c r="C1676" s="62" t="n"/>
      <c r="D1676" s="57" t="n"/>
      <c r="E1676" s="57" t="n"/>
      <c r="F1676" s="58" t="n"/>
      <c r="G1676" s="66">
        <f>IF(tblFleet[[#This Row],[Units]]="","",tblFleet[[#This Row],[Units]]*cfg_HoursPerDay)</f>
        <v/>
      </c>
      <c r="H1676" s="66">
        <f>IF(tblFleet[[#This Row],[Units]]="","",tblFleet[[#This Row],[Calendar_h]]-tblFleet[[#This Row],[Down_h]])</f>
        <v/>
      </c>
      <c r="I1676" s="60">
        <f>IF(AND(tblFleet[[#This Row],[Units]]&lt;&gt;"",tblFleet[[#This Row],[Calendar_h]]&gt;0),tblFleet[[#This Row],[Available_h]]/tblFleet[[#This Row],[Calendar_h]],"")</f>
        <v/>
      </c>
      <c r="J1676" s="60">
        <f>IF(AND(tblFleet[[#This Row],[Units]]&lt;&gt;"",tblFleet[[#This Row],[Available_h]]&gt;0),tblFleet[[#This Row],[Operating_h]]/tblFleet[[#This Row],[Available_h]],"")</f>
        <v/>
      </c>
    </row>
    <row r="1677">
      <c r="A1677" s="54" t="n"/>
      <c r="B1677" s="61" t="n"/>
      <c r="C1677" s="62" t="n"/>
      <c r="D1677" s="57" t="n"/>
      <c r="E1677" s="57" t="n"/>
      <c r="F1677" s="58" t="n"/>
      <c r="G1677" s="66">
        <f>IF(tblFleet[[#This Row],[Units]]="","",tblFleet[[#This Row],[Units]]*cfg_HoursPerDay)</f>
        <v/>
      </c>
      <c r="H1677" s="66">
        <f>IF(tblFleet[[#This Row],[Units]]="","",tblFleet[[#This Row],[Calendar_h]]-tblFleet[[#This Row],[Down_h]])</f>
        <v/>
      </c>
      <c r="I1677" s="60">
        <f>IF(AND(tblFleet[[#This Row],[Units]]&lt;&gt;"",tblFleet[[#This Row],[Calendar_h]]&gt;0),tblFleet[[#This Row],[Available_h]]/tblFleet[[#This Row],[Calendar_h]],"")</f>
        <v/>
      </c>
      <c r="J1677" s="60">
        <f>IF(AND(tblFleet[[#This Row],[Units]]&lt;&gt;"",tblFleet[[#This Row],[Available_h]]&gt;0),tblFleet[[#This Row],[Operating_h]]/tblFleet[[#This Row],[Available_h]],"")</f>
        <v/>
      </c>
    </row>
    <row r="1678">
      <c r="A1678" s="54" t="n"/>
      <c r="B1678" s="61" t="n"/>
      <c r="C1678" s="62" t="n"/>
      <c r="D1678" s="57" t="n"/>
      <c r="E1678" s="57" t="n"/>
      <c r="F1678" s="58" t="n"/>
      <c r="G1678" s="66">
        <f>IF(tblFleet[[#This Row],[Units]]="","",tblFleet[[#This Row],[Units]]*cfg_HoursPerDay)</f>
        <v/>
      </c>
      <c r="H1678" s="66">
        <f>IF(tblFleet[[#This Row],[Units]]="","",tblFleet[[#This Row],[Calendar_h]]-tblFleet[[#This Row],[Down_h]])</f>
        <v/>
      </c>
      <c r="I1678" s="60">
        <f>IF(AND(tblFleet[[#This Row],[Units]]&lt;&gt;"",tblFleet[[#This Row],[Calendar_h]]&gt;0),tblFleet[[#This Row],[Available_h]]/tblFleet[[#This Row],[Calendar_h]],"")</f>
        <v/>
      </c>
      <c r="J1678" s="60">
        <f>IF(AND(tblFleet[[#This Row],[Units]]&lt;&gt;"",tblFleet[[#This Row],[Available_h]]&gt;0),tblFleet[[#This Row],[Operating_h]]/tblFleet[[#This Row],[Available_h]],"")</f>
        <v/>
      </c>
    </row>
    <row r="1679">
      <c r="A1679" s="54" t="n"/>
      <c r="B1679" s="61" t="n"/>
      <c r="C1679" s="62" t="n"/>
      <c r="D1679" s="57" t="n"/>
      <c r="E1679" s="57" t="n"/>
      <c r="F1679" s="58" t="n"/>
      <c r="G1679" s="66">
        <f>IF(tblFleet[[#This Row],[Units]]="","",tblFleet[[#This Row],[Units]]*cfg_HoursPerDay)</f>
        <v/>
      </c>
      <c r="H1679" s="66">
        <f>IF(tblFleet[[#This Row],[Units]]="","",tblFleet[[#This Row],[Calendar_h]]-tblFleet[[#This Row],[Down_h]])</f>
        <v/>
      </c>
      <c r="I1679" s="60">
        <f>IF(AND(tblFleet[[#This Row],[Units]]&lt;&gt;"",tblFleet[[#This Row],[Calendar_h]]&gt;0),tblFleet[[#This Row],[Available_h]]/tblFleet[[#This Row],[Calendar_h]],"")</f>
        <v/>
      </c>
      <c r="J1679" s="60">
        <f>IF(AND(tblFleet[[#This Row],[Units]]&lt;&gt;"",tblFleet[[#This Row],[Available_h]]&gt;0),tblFleet[[#This Row],[Operating_h]]/tblFleet[[#This Row],[Available_h]],"")</f>
        <v/>
      </c>
    </row>
    <row r="1680">
      <c r="A1680" s="54" t="n"/>
      <c r="B1680" s="61" t="n"/>
      <c r="C1680" s="62" t="n"/>
      <c r="D1680" s="57" t="n"/>
      <c r="E1680" s="57" t="n"/>
      <c r="F1680" s="58" t="n"/>
      <c r="G1680" s="66">
        <f>IF(tblFleet[[#This Row],[Units]]="","",tblFleet[[#This Row],[Units]]*cfg_HoursPerDay)</f>
        <v/>
      </c>
      <c r="H1680" s="66">
        <f>IF(tblFleet[[#This Row],[Units]]="","",tblFleet[[#This Row],[Calendar_h]]-tblFleet[[#This Row],[Down_h]])</f>
        <v/>
      </c>
      <c r="I1680" s="60">
        <f>IF(AND(tblFleet[[#This Row],[Units]]&lt;&gt;"",tblFleet[[#This Row],[Calendar_h]]&gt;0),tblFleet[[#This Row],[Available_h]]/tblFleet[[#This Row],[Calendar_h]],"")</f>
        <v/>
      </c>
      <c r="J1680" s="60">
        <f>IF(AND(tblFleet[[#This Row],[Units]]&lt;&gt;"",tblFleet[[#This Row],[Available_h]]&gt;0),tblFleet[[#This Row],[Operating_h]]/tblFleet[[#This Row],[Available_h]],"")</f>
        <v/>
      </c>
    </row>
    <row r="1681">
      <c r="A1681" s="54" t="n"/>
      <c r="B1681" s="61" t="n"/>
      <c r="C1681" s="62" t="n"/>
      <c r="D1681" s="57" t="n"/>
      <c r="E1681" s="57" t="n"/>
      <c r="F1681" s="58" t="n"/>
      <c r="G1681" s="66">
        <f>IF(tblFleet[[#This Row],[Units]]="","",tblFleet[[#This Row],[Units]]*cfg_HoursPerDay)</f>
        <v/>
      </c>
      <c r="H1681" s="66">
        <f>IF(tblFleet[[#This Row],[Units]]="","",tblFleet[[#This Row],[Calendar_h]]-tblFleet[[#This Row],[Down_h]])</f>
        <v/>
      </c>
      <c r="I1681" s="60">
        <f>IF(AND(tblFleet[[#This Row],[Units]]&lt;&gt;"",tblFleet[[#This Row],[Calendar_h]]&gt;0),tblFleet[[#This Row],[Available_h]]/tblFleet[[#This Row],[Calendar_h]],"")</f>
        <v/>
      </c>
      <c r="J1681" s="60">
        <f>IF(AND(tblFleet[[#This Row],[Units]]&lt;&gt;"",tblFleet[[#This Row],[Available_h]]&gt;0),tblFleet[[#This Row],[Operating_h]]/tblFleet[[#This Row],[Available_h]],"")</f>
        <v/>
      </c>
    </row>
    <row r="1682">
      <c r="A1682" s="54" t="n"/>
      <c r="B1682" s="61" t="n"/>
      <c r="C1682" s="62" t="n"/>
      <c r="D1682" s="57" t="n"/>
      <c r="E1682" s="57" t="n"/>
      <c r="F1682" s="58" t="n"/>
      <c r="G1682" s="66">
        <f>IF(tblFleet[[#This Row],[Units]]="","",tblFleet[[#This Row],[Units]]*cfg_HoursPerDay)</f>
        <v/>
      </c>
      <c r="H1682" s="66">
        <f>IF(tblFleet[[#This Row],[Units]]="","",tblFleet[[#This Row],[Calendar_h]]-tblFleet[[#This Row],[Down_h]])</f>
        <v/>
      </c>
      <c r="I1682" s="60">
        <f>IF(AND(tblFleet[[#This Row],[Units]]&lt;&gt;"",tblFleet[[#This Row],[Calendar_h]]&gt;0),tblFleet[[#This Row],[Available_h]]/tblFleet[[#This Row],[Calendar_h]],"")</f>
        <v/>
      </c>
      <c r="J1682" s="60">
        <f>IF(AND(tblFleet[[#This Row],[Units]]&lt;&gt;"",tblFleet[[#This Row],[Available_h]]&gt;0),tblFleet[[#This Row],[Operating_h]]/tblFleet[[#This Row],[Available_h]],"")</f>
        <v/>
      </c>
    </row>
    <row r="1683">
      <c r="A1683" s="54" t="n"/>
      <c r="B1683" s="61" t="n"/>
      <c r="C1683" s="62" t="n"/>
      <c r="D1683" s="57" t="n"/>
      <c r="E1683" s="57" t="n"/>
      <c r="F1683" s="58" t="n"/>
      <c r="G1683" s="66">
        <f>IF(tblFleet[[#This Row],[Units]]="","",tblFleet[[#This Row],[Units]]*cfg_HoursPerDay)</f>
        <v/>
      </c>
      <c r="H1683" s="66">
        <f>IF(tblFleet[[#This Row],[Units]]="","",tblFleet[[#This Row],[Calendar_h]]-tblFleet[[#This Row],[Down_h]])</f>
        <v/>
      </c>
      <c r="I1683" s="60">
        <f>IF(AND(tblFleet[[#This Row],[Units]]&lt;&gt;"",tblFleet[[#This Row],[Calendar_h]]&gt;0),tblFleet[[#This Row],[Available_h]]/tblFleet[[#This Row],[Calendar_h]],"")</f>
        <v/>
      </c>
      <c r="J1683" s="60">
        <f>IF(AND(tblFleet[[#This Row],[Units]]&lt;&gt;"",tblFleet[[#This Row],[Available_h]]&gt;0),tblFleet[[#This Row],[Operating_h]]/tblFleet[[#This Row],[Available_h]],"")</f>
        <v/>
      </c>
    </row>
    <row r="1684">
      <c r="A1684" s="54" t="n"/>
      <c r="B1684" s="61" t="n"/>
      <c r="C1684" s="62" t="n"/>
      <c r="D1684" s="57" t="n"/>
      <c r="E1684" s="57" t="n"/>
      <c r="F1684" s="58" t="n"/>
      <c r="G1684" s="66">
        <f>IF(tblFleet[[#This Row],[Units]]="","",tblFleet[[#This Row],[Units]]*cfg_HoursPerDay)</f>
        <v/>
      </c>
      <c r="H1684" s="66">
        <f>IF(tblFleet[[#This Row],[Units]]="","",tblFleet[[#This Row],[Calendar_h]]-tblFleet[[#This Row],[Down_h]])</f>
        <v/>
      </c>
      <c r="I1684" s="60">
        <f>IF(AND(tblFleet[[#This Row],[Units]]&lt;&gt;"",tblFleet[[#This Row],[Calendar_h]]&gt;0),tblFleet[[#This Row],[Available_h]]/tblFleet[[#This Row],[Calendar_h]],"")</f>
        <v/>
      </c>
      <c r="J1684" s="60">
        <f>IF(AND(tblFleet[[#This Row],[Units]]&lt;&gt;"",tblFleet[[#This Row],[Available_h]]&gt;0),tblFleet[[#This Row],[Operating_h]]/tblFleet[[#This Row],[Available_h]],"")</f>
        <v/>
      </c>
    </row>
    <row r="1685">
      <c r="A1685" s="54" t="n"/>
      <c r="B1685" s="61" t="n"/>
      <c r="C1685" s="62" t="n"/>
      <c r="D1685" s="57" t="n"/>
      <c r="E1685" s="57" t="n"/>
      <c r="F1685" s="58" t="n"/>
      <c r="G1685" s="66">
        <f>IF(tblFleet[[#This Row],[Units]]="","",tblFleet[[#This Row],[Units]]*cfg_HoursPerDay)</f>
        <v/>
      </c>
      <c r="H1685" s="66">
        <f>IF(tblFleet[[#This Row],[Units]]="","",tblFleet[[#This Row],[Calendar_h]]-tblFleet[[#This Row],[Down_h]])</f>
        <v/>
      </c>
      <c r="I1685" s="60">
        <f>IF(AND(tblFleet[[#This Row],[Units]]&lt;&gt;"",tblFleet[[#This Row],[Calendar_h]]&gt;0),tblFleet[[#This Row],[Available_h]]/tblFleet[[#This Row],[Calendar_h]],"")</f>
        <v/>
      </c>
      <c r="J1685" s="60">
        <f>IF(AND(tblFleet[[#This Row],[Units]]&lt;&gt;"",tblFleet[[#This Row],[Available_h]]&gt;0),tblFleet[[#This Row],[Operating_h]]/tblFleet[[#This Row],[Available_h]],"")</f>
        <v/>
      </c>
    </row>
    <row r="1686">
      <c r="A1686" s="54" t="n"/>
      <c r="B1686" s="61" t="n"/>
      <c r="C1686" s="62" t="n"/>
      <c r="D1686" s="57" t="n"/>
      <c r="E1686" s="57" t="n"/>
      <c r="F1686" s="58" t="n"/>
      <c r="G1686" s="66">
        <f>IF(tblFleet[[#This Row],[Units]]="","",tblFleet[[#This Row],[Units]]*cfg_HoursPerDay)</f>
        <v/>
      </c>
      <c r="H1686" s="66">
        <f>IF(tblFleet[[#This Row],[Units]]="","",tblFleet[[#This Row],[Calendar_h]]-tblFleet[[#This Row],[Down_h]])</f>
        <v/>
      </c>
      <c r="I1686" s="60">
        <f>IF(AND(tblFleet[[#This Row],[Units]]&lt;&gt;"",tblFleet[[#This Row],[Calendar_h]]&gt;0),tblFleet[[#This Row],[Available_h]]/tblFleet[[#This Row],[Calendar_h]],"")</f>
        <v/>
      </c>
      <c r="J1686" s="60">
        <f>IF(AND(tblFleet[[#This Row],[Units]]&lt;&gt;"",tblFleet[[#This Row],[Available_h]]&gt;0),tblFleet[[#This Row],[Operating_h]]/tblFleet[[#This Row],[Available_h]],"")</f>
        <v/>
      </c>
    </row>
    <row r="1687">
      <c r="A1687" s="54" t="n"/>
      <c r="B1687" s="61" t="n"/>
      <c r="C1687" s="62" t="n"/>
      <c r="D1687" s="57" t="n"/>
      <c r="E1687" s="57" t="n"/>
      <c r="F1687" s="58" t="n"/>
      <c r="G1687" s="66">
        <f>IF(tblFleet[[#This Row],[Units]]="","",tblFleet[[#This Row],[Units]]*cfg_HoursPerDay)</f>
        <v/>
      </c>
      <c r="H1687" s="66">
        <f>IF(tblFleet[[#This Row],[Units]]="","",tblFleet[[#This Row],[Calendar_h]]-tblFleet[[#This Row],[Down_h]])</f>
        <v/>
      </c>
      <c r="I1687" s="60">
        <f>IF(AND(tblFleet[[#This Row],[Units]]&lt;&gt;"",tblFleet[[#This Row],[Calendar_h]]&gt;0),tblFleet[[#This Row],[Available_h]]/tblFleet[[#This Row],[Calendar_h]],"")</f>
        <v/>
      </c>
      <c r="J1687" s="60">
        <f>IF(AND(tblFleet[[#This Row],[Units]]&lt;&gt;"",tblFleet[[#This Row],[Available_h]]&gt;0),tblFleet[[#This Row],[Operating_h]]/tblFleet[[#This Row],[Available_h]],"")</f>
        <v/>
      </c>
    </row>
    <row r="1688">
      <c r="A1688" s="54" t="n"/>
      <c r="B1688" s="61" t="n"/>
      <c r="C1688" s="62" t="n"/>
      <c r="D1688" s="57" t="n"/>
      <c r="E1688" s="57" t="n"/>
      <c r="F1688" s="58" t="n"/>
      <c r="G1688" s="66">
        <f>IF(tblFleet[[#This Row],[Units]]="","",tblFleet[[#This Row],[Units]]*cfg_HoursPerDay)</f>
        <v/>
      </c>
      <c r="H1688" s="66">
        <f>IF(tblFleet[[#This Row],[Units]]="","",tblFleet[[#This Row],[Calendar_h]]-tblFleet[[#This Row],[Down_h]])</f>
        <v/>
      </c>
      <c r="I1688" s="60">
        <f>IF(AND(tblFleet[[#This Row],[Units]]&lt;&gt;"",tblFleet[[#This Row],[Calendar_h]]&gt;0),tblFleet[[#This Row],[Available_h]]/tblFleet[[#This Row],[Calendar_h]],"")</f>
        <v/>
      </c>
      <c r="J1688" s="60">
        <f>IF(AND(tblFleet[[#This Row],[Units]]&lt;&gt;"",tblFleet[[#This Row],[Available_h]]&gt;0),tblFleet[[#This Row],[Operating_h]]/tblFleet[[#This Row],[Available_h]],"")</f>
        <v/>
      </c>
    </row>
    <row r="1689">
      <c r="A1689" s="54" t="n"/>
      <c r="B1689" s="61" t="n"/>
      <c r="C1689" s="62" t="n"/>
      <c r="D1689" s="57" t="n"/>
      <c r="E1689" s="57" t="n"/>
      <c r="F1689" s="58" t="n"/>
      <c r="G1689" s="66">
        <f>IF(tblFleet[[#This Row],[Units]]="","",tblFleet[[#This Row],[Units]]*cfg_HoursPerDay)</f>
        <v/>
      </c>
      <c r="H1689" s="66">
        <f>IF(tblFleet[[#This Row],[Units]]="","",tblFleet[[#This Row],[Calendar_h]]-tblFleet[[#This Row],[Down_h]])</f>
        <v/>
      </c>
      <c r="I1689" s="60">
        <f>IF(AND(tblFleet[[#This Row],[Units]]&lt;&gt;"",tblFleet[[#This Row],[Calendar_h]]&gt;0),tblFleet[[#This Row],[Available_h]]/tblFleet[[#This Row],[Calendar_h]],"")</f>
        <v/>
      </c>
      <c r="J1689" s="60">
        <f>IF(AND(tblFleet[[#This Row],[Units]]&lt;&gt;"",tblFleet[[#This Row],[Available_h]]&gt;0),tblFleet[[#This Row],[Operating_h]]/tblFleet[[#This Row],[Available_h]],"")</f>
        <v/>
      </c>
    </row>
    <row r="1690">
      <c r="A1690" s="54" t="n"/>
      <c r="B1690" s="61" t="n"/>
      <c r="C1690" s="62" t="n"/>
      <c r="D1690" s="57" t="n"/>
      <c r="E1690" s="57" t="n"/>
      <c r="F1690" s="58" t="n"/>
      <c r="G1690" s="66">
        <f>IF(tblFleet[[#This Row],[Units]]="","",tblFleet[[#This Row],[Units]]*cfg_HoursPerDay)</f>
        <v/>
      </c>
      <c r="H1690" s="66">
        <f>IF(tblFleet[[#This Row],[Units]]="","",tblFleet[[#This Row],[Calendar_h]]-tblFleet[[#This Row],[Down_h]])</f>
        <v/>
      </c>
      <c r="I1690" s="60">
        <f>IF(AND(tblFleet[[#This Row],[Units]]&lt;&gt;"",tblFleet[[#This Row],[Calendar_h]]&gt;0),tblFleet[[#This Row],[Available_h]]/tblFleet[[#This Row],[Calendar_h]],"")</f>
        <v/>
      </c>
      <c r="J1690" s="60">
        <f>IF(AND(tblFleet[[#This Row],[Units]]&lt;&gt;"",tblFleet[[#This Row],[Available_h]]&gt;0),tblFleet[[#This Row],[Operating_h]]/tblFleet[[#This Row],[Available_h]],"")</f>
        <v/>
      </c>
    </row>
    <row r="1691">
      <c r="A1691" s="54" t="n"/>
      <c r="B1691" s="61" t="n"/>
      <c r="C1691" s="62" t="n"/>
      <c r="D1691" s="57" t="n"/>
      <c r="E1691" s="57" t="n"/>
      <c r="F1691" s="58" t="n"/>
      <c r="G1691" s="66">
        <f>IF(tblFleet[[#This Row],[Units]]="","",tblFleet[[#This Row],[Units]]*cfg_HoursPerDay)</f>
        <v/>
      </c>
      <c r="H1691" s="66">
        <f>IF(tblFleet[[#This Row],[Units]]="","",tblFleet[[#This Row],[Calendar_h]]-tblFleet[[#This Row],[Down_h]])</f>
        <v/>
      </c>
      <c r="I1691" s="60">
        <f>IF(AND(tblFleet[[#This Row],[Units]]&lt;&gt;"",tblFleet[[#This Row],[Calendar_h]]&gt;0),tblFleet[[#This Row],[Available_h]]/tblFleet[[#This Row],[Calendar_h]],"")</f>
        <v/>
      </c>
      <c r="J1691" s="60">
        <f>IF(AND(tblFleet[[#This Row],[Units]]&lt;&gt;"",tblFleet[[#This Row],[Available_h]]&gt;0),tblFleet[[#This Row],[Operating_h]]/tblFleet[[#This Row],[Available_h]],"")</f>
        <v/>
      </c>
    </row>
    <row r="1692">
      <c r="A1692" s="54" t="n"/>
      <c r="B1692" s="61" t="n"/>
      <c r="C1692" s="62" t="n"/>
      <c r="D1692" s="57" t="n"/>
      <c r="E1692" s="57" t="n"/>
      <c r="F1692" s="58" t="n"/>
      <c r="G1692" s="66">
        <f>IF(tblFleet[[#This Row],[Units]]="","",tblFleet[[#This Row],[Units]]*cfg_HoursPerDay)</f>
        <v/>
      </c>
      <c r="H1692" s="66">
        <f>IF(tblFleet[[#This Row],[Units]]="","",tblFleet[[#This Row],[Calendar_h]]-tblFleet[[#This Row],[Down_h]])</f>
        <v/>
      </c>
      <c r="I1692" s="60">
        <f>IF(AND(tblFleet[[#This Row],[Units]]&lt;&gt;"",tblFleet[[#This Row],[Calendar_h]]&gt;0),tblFleet[[#This Row],[Available_h]]/tblFleet[[#This Row],[Calendar_h]],"")</f>
        <v/>
      </c>
      <c r="J1692" s="60">
        <f>IF(AND(tblFleet[[#This Row],[Units]]&lt;&gt;"",tblFleet[[#This Row],[Available_h]]&gt;0),tblFleet[[#This Row],[Operating_h]]/tblFleet[[#This Row],[Available_h]],"")</f>
        <v/>
      </c>
    </row>
    <row r="1693">
      <c r="A1693" s="54" t="n"/>
      <c r="B1693" s="61" t="n"/>
      <c r="C1693" s="62" t="n"/>
      <c r="D1693" s="57" t="n"/>
      <c r="E1693" s="57" t="n"/>
      <c r="F1693" s="58" t="n"/>
      <c r="G1693" s="66">
        <f>IF(tblFleet[[#This Row],[Units]]="","",tblFleet[[#This Row],[Units]]*cfg_HoursPerDay)</f>
        <v/>
      </c>
      <c r="H1693" s="66">
        <f>IF(tblFleet[[#This Row],[Units]]="","",tblFleet[[#This Row],[Calendar_h]]-tblFleet[[#This Row],[Down_h]])</f>
        <v/>
      </c>
      <c r="I1693" s="60">
        <f>IF(AND(tblFleet[[#This Row],[Units]]&lt;&gt;"",tblFleet[[#This Row],[Calendar_h]]&gt;0),tblFleet[[#This Row],[Available_h]]/tblFleet[[#This Row],[Calendar_h]],"")</f>
        <v/>
      </c>
      <c r="J1693" s="60">
        <f>IF(AND(tblFleet[[#This Row],[Units]]&lt;&gt;"",tblFleet[[#This Row],[Available_h]]&gt;0),tblFleet[[#This Row],[Operating_h]]/tblFleet[[#This Row],[Available_h]],"")</f>
        <v/>
      </c>
    </row>
    <row r="1694">
      <c r="A1694" s="54" t="n"/>
      <c r="B1694" s="61" t="n"/>
      <c r="C1694" s="62" t="n"/>
      <c r="D1694" s="57" t="n"/>
      <c r="E1694" s="57" t="n"/>
      <c r="F1694" s="58" t="n"/>
      <c r="G1694" s="66">
        <f>IF(tblFleet[[#This Row],[Units]]="","",tblFleet[[#This Row],[Units]]*cfg_HoursPerDay)</f>
        <v/>
      </c>
      <c r="H1694" s="66">
        <f>IF(tblFleet[[#This Row],[Units]]="","",tblFleet[[#This Row],[Calendar_h]]-tblFleet[[#This Row],[Down_h]])</f>
        <v/>
      </c>
      <c r="I1694" s="60">
        <f>IF(AND(tblFleet[[#This Row],[Units]]&lt;&gt;"",tblFleet[[#This Row],[Calendar_h]]&gt;0),tblFleet[[#This Row],[Available_h]]/tblFleet[[#This Row],[Calendar_h]],"")</f>
        <v/>
      </c>
      <c r="J1694" s="60">
        <f>IF(AND(tblFleet[[#This Row],[Units]]&lt;&gt;"",tblFleet[[#This Row],[Available_h]]&gt;0),tblFleet[[#This Row],[Operating_h]]/tblFleet[[#This Row],[Available_h]],"")</f>
        <v/>
      </c>
    </row>
    <row r="1695">
      <c r="A1695" s="54" t="n"/>
      <c r="B1695" s="61" t="n"/>
      <c r="C1695" s="62" t="n"/>
      <c r="D1695" s="57" t="n"/>
      <c r="E1695" s="57" t="n"/>
      <c r="F1695" s="58" t="n"/>
      <c r="G1695" s="66">
        <f>IF(tblFleet[[#This Row],[Units]]="","",tblFleet[[#This Row],[Units]]*cfg_HoursPerDay)</f>
        <v/>
      </c>
      <c r="H1695" s="66">
        <f>IF(tblFleet[[#This Row],[Units]]="","",tblFleet[[#This Row],[Calendar_h]]-tblFleet[[#This Row],[Down_h]])</f>
        <v/>
      </c>
      <c r="I1695" s="60">
        <f>IF(AND(tblFleet[[#This Row],[Units]]&lt;&gt;"",tblFleet[[#This Row],[Calendar_h]]&gt;0),tblFleet[[#This Row],[Available_h]]/tblFleet[[#This Row],[Calendar_h]],"")</f>
        <v/>
      </c>
      <c r="J1695" s="60">
        <f>IF(AND(tblFleet[[#This Row],[Units]]&lt;&gt;"",tblFleet[[#This Row],[Available_h]]&gt;0),tblFleet[[#This Row],[Operating_h]]/tblFleet[[#This Row],[Available_h]],"")</f>
        <v/>
      </c>
    </row>
    <row r="1696">
      <c r="A1696" s="54" t="n"/>
      <c r="B1696" s="61" t="n"/>
      <c r="C1696" s="62" t="n"/>
      <c r="D1696" s="57" t="n"/>
      <c r="E1696" s="57" t="n"/>
      <c r="F1696" s="58" t="n"/>
      <c r="G1696" s="66">
        <f>IF(tblFleet[[#This Row],[Units]]="","",tblFleet[[#This Row],[Units]]*cfg_HoursPerDay)</f>
        <v/>
      </c>
      <c r="H1696" s="66">
        <f>IF(tblFleet[[#This Row],[Units]]="","",tblFleet[[#This Row],[Calendar_h]]-tblFleet[[#This Row],[Down_h]])</f>
        <v/>
      </c>
      <c r="I1696" s="60">
        <f>IF(AND(tblFleet[[#This Row],[Units]]&lt;&gt;"",tblFleet[[#This Row],[Calendar_h]]&gt;0),tblFleet[[#This Row],[Available_h]]/tblFleet[[#This Row],[Calendar_h]],"")</f>
        <v/>
      </c>
      <c r="J1696" s="60">
        <f>IF(AND(tblFleet[[#This Row],[Units]]&lt;&gt;"",tblFleet[[#This Row],[Available_h]]&gt;0),tblFleet[[#This Row],[Operating_h]]/tblFleet[[#This Row],[Available_h]],"")</f>
        <v/>
      </c>
    </row>
    <row r="1697">
      <c r="A1697" s="54" t="n"/>
      <c r="B1697" s="61" t="n"/>
      <c r="C1697" s="62" t="n"/>
      <c r="D1697" s="57" t="n"/>
      <c r="E1697" s="57" t="n"/>
      <c r="F1697" s="58" t="n"/>
      <c r="G1697" s="66">
        <f>IF(tblFleet[[#This Row],[Units]]="","",tblFleet[[#This Row],[Units]]*cfg_HoursPerDay)</f>
        <v/>
      </c>
      <c r="H1697" s="66">
        <f>IF(tblFleet[[#This Row],[Units]]="","",tblFleet[[#This Row],[Calendar_h]]-tblFleet[[#This Row],[Down_h]])</f>
        <v/>
      </c>
      <c r="I1697" s="60">
        <f>IF(AND(tblFleet[[#This Row],[Units]]&lt;&gt;"",tblFleet[[#This Row],[Calendar_h]]&gt;0),tblFleet[[#This Row],[Available_h]]/tblFleet[[#This Row],[Calendar_h]],"")</f>
        <v/>
      </c>
      <c r="J1697" s="60">
        <f>IF(AND(tblFleet[[#This Row],[Units]]&lt;&gt;"",tblFleet[[#This Row],[Available_h]]&gt;0),tblFleet[[#This Row],[Operating_h]]/tblFleet[[#This Row],[Available_h]],"")</f>
        <v/>
      </c>
    </row>
    <row r="1698">
      <c r="A1698" s="54" t="n"/>
      <c r="B1698" s="61" t="n"/>
      <c r="C1698" s="62" t="n"/>
      <c r="D1698" s="57" t="n"/>
      <c r="E1698" s="57" t="n"/>
      <c r="F1698" s="58" t="n"/>
      <c r="G1698" s="66">
        <f>IF(tblFleet[[#This Row],[Units]]="","",tblFleet[[#This Row],[Units]]*cfg_HoursPerDay)</f>
        <v/>
      </c>
      <c r="H1698" s="66">
        <f>IF(tblFleet[[#This Row],[Units]]="","",tblFleet[[#This Row],[Calendar_h]]-tblFleet[[#This Row],[Down_h]])</f>
        <v/>
      </c>
      <c r="I1698" s="60">
        <f>IF(AND(tblFleet[[#This Row],[Units]]&lt;&gt;"",tblFleet[[#This Row],[Calendar_h]]&gt;0),tblFleet[[#This Row],[Available_h]]/tblFleet[[#This Row],[Calendar_h]],"")</f>
        <v/>
      </c>
      <c r="J1698" s="60">
        <f>IF(AND(tblFleet[[#This Row],[Units]]&lt;&gt;"",tblFleet[[#This Row],[Available_h]]&gt;0),tblFleet[[#This Row],[Operating_h]]/tblFleet[[#This Row],[Available_h]],"")</f>
        <v/>
      </c>
    </row>
    <row r="1699">
      <c r="A1699" s="54" t="n"/>
      <c r="B1699" s="61" t="n"/>
      <c r="C1699" s="62" t="n"/>
      <c r="D1699" s="57" t="n"/>
      <c r="E1699" s="57" t="n"/>
      <c r="F1699" s="58" t="n"/>
      <c r="G1699" s="66">
        <f>IF(tblFleet[[#This Row],[Units]]="","",tblFleet[[#This Row],[Units]]*cfg_HoursPerDay)</f>
        <v/>
      </c>
      <c r="H1699" s="66">
        <f>IF(tblFleet[[#This Row],[Units]]="","",tblFleet[[#This Row],[Calendar_h]]-tblFleet[[#This Row],[Down_h]])</f>
        <v/>
      </c>
      <c r="I1699" s="60">
        <f>IF(AND(tblFleet[[#This Row],[Units]]&lt;&gt;"",tblFleet[[#This Row],[Calendar_h]]&gt;0),tblFleet[[#This Row],[Available_h]]/tblFleet[[#This Row],[Calendar_h]],"")</f>
        <v/>
      </c>
      <c r="J1699" s="60">
        <f>IF(AND(tblFleet[[#This Row],[Units]]&lt;&gt;"",tblFleet[[#This Row],[Available_h]]&gt;0),tblFleet[[#This Row],[Operating_h]]/tblFleet[[#This Row],[Available_h]],"")</f>
        <v/>
      </c>
    </row>
    <row r="1700">
      <c r="A1700" s="54" t="n"/>
      <c r="B1700" s="61" t="n"/>
      <c r="C1700" s="62" t="n"/>
      <c r="D1700" s="57" t="n"/>
      <c r="E1700" s="57" t="n"/>
      <c r="F1700" s="58" t="n"/>
      <c r="G1700" s="66">
        <f>IF(tblFleet[[#This Row],[Units]]="","",tblFleet[[#This Row],[Units]]*cfg_HoursPerDay)</f>
        <v/>
      </c>
      <c r="H1700" s="66">
        <f>IF(tblFleet[[#This Row],[Units]]="","",tblFleet[[#This Row],[Calendar_h]]-tblFleet[[#This Row],[Down_h]])</f>
        <v/>
      </c>
      <c r="I1700" s="60">
        <f>IF(AND(tblFleet[[#This Row],[Units]]&lt;&gt;"",tblFleet[[#This Row],[Calendar_h]]&gt;0),tblFleet[[#This Row],[Available_h]]/tblFleet[[#This Row],[Calendar_h]],"")</f>
        <v/>
      </c>
      <c r="J1700" s="60">
        <f>IF(AND(tblFleet[[#This Row],[Units]]&lt;&gt;"",tblFleet[[#This Row],[Available_h]]&gt;0),tblFleet[[#This Row],[Operating_h]]/tblFleet[[#This Row],[Available_h]],"")</f>
        <v/>
      </c>
    </row>
    <row r="1701">
      <c r="A1701" s="54" t="n"/>
      <c r="B1701" s="61" t="n"/>
      <c r="C1701" s="62" t="n"/>
      <c r="D1701" s="57" t="n"/>
      <c r="E1701" s="57" t="n"/>
      <c r="F1701" s="58" t="n"/>
      <c r="G1701" s="66">
        <f>IF(tblFleet[[#This Row],[Units]]="","",tblFleet[[#This Row],[Units]]*cfg_HoursPerDay)</f>
        <v/>
      </c>
      <c r="H1701" s="66">
        <f>IF(tblFleet[[#This Row],[Units]]="","",tblFleet[[#This Row],[Calendar_h]]-tblFleet[[#This Row],[Down_h]])</f>
        <v/>
      </c>
      <c r="I1701" s="60">
        <f>IF(AND(tblFleet[[#This Row],[Units]]&lt;&gt;"",tblFleet[[#This Row],[Calendar_h]]&gt;0),tblFleet[[#This Row],[Available_h]]/tblFleet[[#This Row],[Calendar_h]],"")</f>
        <v/>
      </c>
      <c r="J1701" s="60">
        <f>IF(AND(tblFleet[[#This Row],[Units]]&lt;&gt;"",tblFleet[[#This Row],[Available_h]]&gt;0),tblFleet[[#This Row],[Operating_h]]/tblFleet[[#This Row],[Available_h]],"")</f>
        <v/>
      </c>
    </row>
    <row r="1702">
      <c r="A1702" s="54" t="n"/>
      <c r="B1702" s="61" t="n"/>
      <c r="C1702" s="62" t="n"/>
      <c r="D1702" s="57" t="n"/>
      <c r="E1702" s="57" t="n"/>
      <c r="F1702" s="58" t="n"/>
      <c r="G1702" s="66">
        <f>IF(tblFleet[[#This Row],[Units]]="","",tblFleet[[#This Row],[Units]]*cfg_HoursPerDay)</f>
        <v/>
      </c>
      <c r="H1702" s="66">
        <f>IF(tblFleet[[#This Row],[Units]]="","",tblFleet[[#This Row],[Calendar_h]]-tblFleet[[#This Row],[Down_h]])</f>
        <v/>
      </c>
      <c r="I1702" s="60">
        <f>IF(AND(tblFleet[[#This Row],[Units]]&lt;&gt;"",tblFleet[[#This Row],[Calendar_h]]&gt;0),tblFleet[[#This Row],[Available_h]]/tblFleet[[#This Row],[Calendar_h]],"")</f>
        <v/>
      </c>
      <c r="J1702" s="60">
        <f>IF(AND(tblFleet[[#This Row],[Units]]&lt;&gt;"",tblFleet[[#This Row],[Available_h]]&gt;0),tblFleet[[#This Row],[Operating_h]]/tblFleet[[#This Row],[Available_h]],"")</f>
        <v/>
      </c>
    </row>
    <row r="1703">
      <c r="A1703" s="54" t="n"/>
      <c r="B1703" s="61" t="n"/>
      <c r="C1703" s="62" t="n"/>
      <c r="D1703" s="57" t="n"/>
      <c r="E1703" s="57" t="n"/>
      <c r="F1703" s="58" t="n"/>
      <c r="G1703" s="66">
        <f>IF(tblFleet[[#This Row],[Units]]="","",tblFleet[[#This Row],[Units]]*cfg_HoursPerDay)</f>
        <v/>
      </c>
      <c r="H1703" s="66">
        <f>IF(tblFleet[[#This Row],[Units]]="","",tblFleet[[#This Row],[Calendar_h]]-tblFleet[[#This Row],[Down_h]])</f>
        <v/>
      </c>
      <c r="I1703" s="60">
        <f>IF(AND(tblFleet[[#This Row],[Units]]&lt;&gt;"",tblFleet[[#This Row],[Calendar_h]]&gt;0),tblFleet[[#This Row],[Available_h]]/tblFleet[[#This Row],[Calendar_h]],"")</f>
        <v/>
      </c>
      <c r="J1703" s="60">
        <f>IF(AND(tblFleet[[#This Row],[Units]]&lt;&gt;"",tblFleet[[#This Row],[Available_h]]&gt;0),tblFleet[[#This Row],[Operating_h]]/tblFleet[[#This Row],[Available_h]],"")</f>
        <v/>
      </c>
    </row>
    <row r="1704">
      <c r="A1704" s="54" t="n"/>
      <c r="B1704" s="61" t="n"/>
      <c r="C1704" s="62" t="n"/>
      <c r="D1704" s="57" t="n"/>
      <c r="E1704" s="57" t="n"/>
      <c r="F1704" s="58" t="n"/>
      <c r="G1704" s="66">
        <f>IF(tblFleet[[#This Row],[Units]]="","",tblFleet[[#This Row],[Units]]*cfg_HoursPerDay)</f>
        <v/>
      </c>
      <c r="H1704" s="66">
        <f>IF(tblFleet[[#This Row],[Units]]="","",tblFleet[[#This Row],[Calendar_h]]-tblFleet[[#This Row],[Down_h]])</f>
        <v/>
      </c>
      <c r="I1704" s="60">
        <f>IF(AND(tblFleet[[#This Row],[Units]]&lt;&gt;"",tblFleet[[#This Row],[Calendar_h]]&gt;0),tblFleet[[#This Row],[Available_h]]/tblFleet[[#This Row],[Calendar_h]],"")</f>
        <v/>
      </c>
      <c r="J1704" s="60">
        <f>IF(AND(tblFleet[[#This Row],[Units]]&lt;&gt;"",tblFleet[[#This Row],[Available_h]]&gt;0),tblFleet[[#This Row],[Operating_h]]/tblFleet[[#This Row],[Available_h]],"")</f>
        <v/>
      </c>
    </row>
    <row r="1705">
      <c r="A1705" s="54" t="n"/>
      <c r="B1705" s="61" t="n"/>
      <c r="C1705" s="62" t="n"/>
      <c r="D1705" s="57" t="n"/>
      <c r="E1705" s="57" t="n"/>
      <c r="F1705" s="58" t="n"/>
      <c r="G1705" s="66">
        <f>IF(tblFleet[[#This Row],[Units]]="","",tblFleet[[#This Row],[Units]]*cfg_HoursPerDay)</f>
        <v/>
      </c>
      <c r="H1705" s="66">
        <f>IF(tblFleet[[#This Row],[Units]]="","",tblFleet[[#This Row],[Calendar_h]]-tblFleet[[#This Row],[Down_h]])</f>
        <v/>
      </c>
      <c r="I1705" s="60">
        <f>IF(AND(tblFleet[[#This Row],[Units]]&lt;&gt;"",tblFleet[[#This Row],[Calendar_h]]&gt;0),tblFleet[[#This Row],[Available_h]]/tblFleet[[#This Row],[Calendar_h]],"")</f>
        <v/>
      </c>
      <c r="J1705" s="60">
        <f>IF(AND(tblFleet[[#This Row],[Units]]&lt;&gt;"",tblFleet[[#This Row],[Available_h]]&gt;0),tblFleet[[#This Row],[Operating_h]]/tblFleet[[#This Row],[Available_h]],"")</f>
        <v/>
      </c>
    </row>
    <row r="1706">
      <c r="A1706" s="54" t="n"/>
      <c r="B1706" s="61" t="n"/>
      <c r="C1706" s="62" t="n"/>
      <c r="D1706" s="57" t="n"/>
      <c r="E1706" s="57" t="n"/>
      <c r="F1706" s="58" t="n"/>
      <c r="G1706" s="66">
        <f>IF(tblFleet[[#This Row],[Units]]="","",tblFleet[[#This Row],[Units]]*cfg_HoursPerDay)</f>
        <v/>
      </c>
      <c r="H1706" s="66">
        <f>IF(tblFleet[[#This Row],[Units]]="","",tblFleet[[#This Row],[Calendar_h]]-tblFleet[[#This Row],[Down_h]])</f>
        <v/>
      </c>
      <c r="I1706" s="60">
        <f>IF(AND(tblFleet[[#This Row],[Units]]&lt;&gt;"",tblFleet[[#This Row],[Calendar_h]]&gt;0),tblFleet[[#This Row],[Available_h]]/tblFleet[[#This Row],[Calendar_h]],"")</f>
        <v/>
      </c>
      <c r="J1706" s="60">
        <f>IF(AND(tblFleet[[#This Row],[Units]]&lt;&gt;"",tblFleet[[#This Row],[Available_h]]&gt;0),tblFleet[[#This Row],[Operating_h]]/tblFleet[[#This Row],[Available_h]],"")</f>
        <v/>
      </c>
    </row>
    <row r="1707">
      <c r="A1707" s="54" t="n"/>
      <c r="B1707" s="61" t="n"/>
      <c r="C1707" s="62" t="n"/>
      <c r="D1707" s="57" t="n"/>
      <c r="E1707" s="57" t="n"/>
      <c r="F1707" s="58" t="n"/>
      <c r="G1707" s="66">
        <f>IF(tblFleet[[#This Row],[Units]]="","",tblFleet[[#This Row],[Units]]*cfg_HoursPerDay)</f>
        <v/>
      </c>
      <c r="H1707" s="66">
        <f>IF(tblFleet[[#This Row],[Units]]="","",tblFleet[[#This Row],[Calendar_h]]-tblFleet[[#This Row],[Down_h]])</f>
        <v/>
      </c>
      <c r="I1707" s="60">
        <f>IF(AND(tblFleet[[#This Row],[Units]]&lt;&gt;"",tblFleet[[#This Row],[Calendar_h]]&gt;0),tblFleet[[#This Row],[Available_h]]/tblFleet[[#This Row],[Calendar_h]],"")</f>
        <v/>
      </c>
      <c r="J1707" s="60">
        <f>IF(AND(tblFleet[[#This Row],[Units]]&lt;&gt;"",tblFleet[[#This Row],[Available_h]]&gt;0),tblFleet[[#This Row],[Operating_h]]/tblFleet[[#This Row],[Available_h]],"")</f>
        <v/>
      </c>
    </row>
    <row r="1708">
      <c r="A1708" s="54" t="n"/>
      <c r="B1708" s="61" t="n"/>
      <c r="C1708" s="62" t="n"/>
      <c r="D1708" s="57" t="n"/>
      <c r="E1708" s="57" t="n"/>
      <c r="F1708" s="58" t="n"/>
      <c r="G1708" s="66">
        <f>IF(tblFleet[[#This Row],[Units]]="","",tblFleet[[#This Row],[Units]]*cfg_HoursPerDay)</f>
        <v/>
      </c>
      <c r="H1708" s="66">
        <f>IF(tblFleet[[#This Row],[Units]]="","",tblFleet[[#This Row],[Calendar_h]]-tblFleet[[#This Row],[Down_h]])</f>
        <v/>
      </c>
      <c r="I1708" s="60">
        <f>IF(AND(tblFleet[[#This Row],[Units]]&lt;&gt;"",tblFleet[[#This Row],[Calendar_h]]&gt;0),tblFleet[[#This Row],[Available_h]]/tblFleet[[#This Row],[Calendar_h]],"")</f>
        <v/>
      </c>
      <c r="J1708" s="60">
        <f>IF(AND(tblFleet[[#This Row],[Units]]&lt;&gt;"",tblFleet[[#This Row],[Available_h]]&gt;0),tblFleet[[#This Row],[Operating_h]]/tblFleet[[#This Row],[Available_h]],"")</f>
        <v/>
      </c>
    </row>
    <row r="1709">
      <c r="A1709" s="54" t="n"/>
      <c r="B1709" s="61" t="n"/>
      <c r="C1709" s="62" t="n"/>
      <c r="D1709" s="57" t="n"/>
      <c r="E1709" s="57" t="n"/>
      <c r="F1709" s="58" t="n"/>
      <c r="G1709" s="66">
        <f>IF(tblFleet[[#This Row],[Units]]="","",tblFleet[[#This Row],[Units]]*cfg_HoursPerDay)</f>
        <v/>
      </c>
      <c r="H1709" s="66">
        <f>IF(tblFleet[[#This Row],[Units]]="","",tblFleet[[#This Row],[Calendar_h]]-tblFleet[[#This Row],[Down_h]])</f>
        <v/>
      </c>
      <c r="I1709" s="60">
        <f>IF(AND(tblFleet[[#This Row],[Units]]&lt;&gt;"",tblFleet[[#This Row],[Calendar_h]]&gt;0),tblFleet[[#This Row],[Available_h]]/tblFleet[[#This Row],[Calendar_h]],"")</f>
        <v/>
      </c>
      <c r="J1709" s="60">
        <f>IF(AND(tblFleet[[#This Row],[Units]]&lt;&gt;"",tblFleet[[#This Row],[Available_h]]&gt;0),tblFleet[[#This Row],[Operating_h]]/tblFleet[[#This Row],[Available_h]],"")</f>
        <v/>
      </c>
    </row>
    <row r="1710">
      <c r="A1710" s="54" t="n"/>
      <c r="B1710" s="61" t="n"/>
      <c r="C1710" s="62" t="n"/>
      <c r="D1710" s="57" t="n"/>
      <c r="E1710" s="57" t="n"/>
      <c r="F1710" s="58" t="n"/>
      <c r="G1710" s="66">
        <f>IF(tblFleet[[#This Row],[Units]]="","",tblFleet[[#This Row],[Units]]*cfg_HoursPerDay)</f>
        <v/>
      </c>
      <c r="H1710" s="66">
        <f>IF(tblFleet[[#This Row],[Units]]="","",tblFleet[[#This Row],[Calendar_h]]-tblFleet[[#This Row],[Down_h]])</f>
        <v/>
      </c>
      <c r="I1710" s="60">
        <f>IF(AND(tblFleet[[#This Row],[Units]]&lt;&gt;"",tblFleet[[#This Row],[Calendar_h]]&gt;0),tblFleet[[#This Row],[Available_h]]/tblFleet[[#This Row],[Calendar_h]],"")</f>
        <v/>
      </c>
      <c r="J1710" s="60">
        <f>IF(AND(tblFleet[[#This Row],[Units]]&lt;&gt;"",tblFleet[[#This Row],[Available_h]]&gt;0),tblFleet[[#This Row],[Operating_h]]/tblFleet[[#This Row],[Available_h]],"")</f>
        <v/>
      </c>
    </row>
    <row r="1711">
      <c r="A1711" s="54" t="n"/>
      <c r="B1711" s="61" t="n"/>
      <c r="C1711" s="62" t="n"/>
      <c r="D1711" s="57" t="n"/>
      <c r="E1711" s="57" t="n"/>
      <c r="F1711" s="58" t="n"/>
      <c r="G1711" s="66">
        <f>IF(tblFleet[[#This Row],[Units]]="","",tblFleet[[#This Row],[Units]]*cfg_HoursPerDay)</f>
        <v/>
      </c>
      <c r="H1711" s="66">
        <f>IF(tblFleet[[#This Row],[Units]]="","",tblFleet[[#This Row],[Calendar_h]]-tblFleet[[#This Row],[Down_h]])</f>
        <v/>
      </c>
      <c r="I1711" s="60">
        <f>IF(AND(tblFleet[[#This Row],[Units]]&lt;&gt;"",tblFleet[[#This Row],[Calendar_h]]&gt;0),tblFleet[[#This Row],[Available_h]]/tblFleet[[#This Row],[Calendar_h]],"")</f>
        <v/>
      </c>
      <c r="J1711" s="60">
        <f>IF(AND(tblFleet[[#This Row],[Units]]&lt;&gt;"",tblFleet[[#This Row],[Available_h]]&gt;0),tblFleet[[#This Row],[Operating_h]]/tblFleet[[#This Row],[Available_h]],"")</f>
        <v/>
      </c>
    </row>
    <row r="1712">
      <c r="A1712" s="54" t="n"/>
      <c r="B1712" s="61" t="n"/>
      <c r="C1712" s="62" t="n"/>
      <c r="D1712" s="57" t="n"/>
      <c r="E1712" s="57" t="n"/>
      <c r="F1712" s="58" t="n"/>
      <c r="G1712" s="66">
        <f>IF(tblFleet[[#This Row],[Units]]="","",tblFleet[[#This Row],[Units]]*cfg_HoursPerDay)</f>
        <v/>
      </c>
      <c r="H1712" s="66">
        <f>IF(tblFleet[[#This Row],[Units]]="","",tblFleet[[#This Row],[Calendar_h]]-tblFleet[[#This Row],[Down_h]])</f>
        <v/>
      </c>
      <c r="I1712" s="60">
        <f>IF(AND(tblFleet[[#This Row],[Units]]&lt;&gt;"",tblFleet[[#This Row],[Calendar_h]]&gt;0),tblFleet[[#This Row],[Available_h]]/tblFleet[[#This Row],[Calendar_h]],"")</f>
        <v/>
      </c>
      <c r="J1712" s="60">
        <f>IF(AND(tblFleet[[#This Row],[Units]]&lt;&gt;"",tblFleet[[#This Row],[Available_h]]&gt;0),tblFleet[[#This Row],[Operating_h]]/tblFleet[[#This Row],[Available_h]],"")</f>
        <v/>
      </c>
    </row>
    <row r="1713">
      <c r="A1713" s="54" t="n"/>
      <c r="B1713" s="61" t="n"/>
      <c r="C1713" s="62" t="n"/>
      <c r="D1713" s="57" t="n"/>
      <c r="E1713" s="57" t="n"/>
      <c r="F1713" s="58" t="n"/>
      <c r="G1713" s="66">
        <f>IF(tblFleet[[#This Row],[Units]]="","",tblFleet[[#This Row],[Units]]*cfg_HoursPerDay)</f>
        <v/>
      </c>
      <c r="H1713" s="66">
        <f>IF(tblFleet[[#This Row],[Units]]="","",tblFleet[[#This Row],[Calendar_h]]-tblFleet[[#This Row],[Down_h]])</f>
        <v/>
      </c>
      <c r="I1713" s="60">
        <f>IF(AND(tblFleet[[#This Row],[Units]]&lt;&gt;"",tblFleet[[#This Row],[Calendar_h]]&gt;0),tblFleet[[#This Row],[Available_h]]/tblFleet[[#This Row],[Calendar_h]],"")</f>
        <v/>
      </c>
      <c r="J1713" s="60">
        <f>IF(AND(tblFleet[[#This Row],[Units]]&lt;&gt;"",tblFleet[[#This Row],[Available_h]]&gt;0),tblFleet[[#This Row],[Operating_h]]/tblFleet[[#This Row],[Available_h]],"")</f>
        <v/>
      </c>
    </row>
    <row r="1714">
      <c r="A1714" s="54" t="n"/>
      <c r="B1714" s="61" t="n"/>
      <c r="C1714" s="62" t="n"/>
      <c r="D1714" s="57" t="n"/>
      <c r="E1714" s="57" t="n"/>
      <c r="F1714" s="58" t="n"/>
      <c r="G1714" s="66">
        <f>IF(tblFleet[[#This Row],[Units]]="","",tblFleet[[#This Row],[Units]]*cfg_HoursPerDay)</f>
        <v/>
      </c>
      <c r="H1714" s="66">
        <f>IF(tblFleet[[#This Row],[Units]]="","",tblFleet[[#This Row],[Calendar_h]]-tblFleet[[#This Row],[Down_h]])</f>
        <v/>
      </c>
      <c r="I1714" s="60">
        <f>IF(AND(tblFleet[[#This Row],[Units]]&lt;&gt;"",tblFleet[[#This Row],[Calendar_h]]&gt;0),tblFleet[[#This Row],[Available_h]]/tblFleet[[#This Row],[Calendar_h]],"")</f>
        <v/>
      </c>
      <c r="J1714" s="60">
        <f>IF(AND(tblFleet[[#This Row],[Units]]&lt;&gt;"",tblFleet[[#This Row],[Available_h]]&gt;0),tblFleet[[#This Row],[Operating_h]]/tblFleet[[#This Row],[Available_h]],"")</f>
        <v/>
      </c>
    </row>
    <row r="1715">
      <c r="A1715" s="54" t="n"/>
      <c r="B1715" s="61" t="n"/>
      <c r="C1715" s="62" t="n"/>
      <c r="D1715" s="57" t="n"/>
      <c r="E1715" s="57" t="n"/>
      <c r="F1715" s="58" t="n"/>
      <c r="G1715" s="66">
        <f>IF(tblFleet[[#This Row],[Units]]="","",tblFleet[[#This Row],[Units]]*cfg_HoursPerDay)</f>
        <v/>
      </c>
      <c r="H1715" s="66">
        <f>IF(tblFleet[[#This Row],[Units]]="","",tblFleet[[#This Row],[Calendar_h]]-tblFleet[[#This Row],[Down_h]])</f>
        <v/>
      </c>
      <c r="I1715" s="60">
        <f>IF(AND(tblFleet[[#This Row],[Units]]&lt;&gt;"",tblFleet[[#This Row],[Calendar_h]]&gt;0),tblFleet[[#This Row],[Available_h]]/tblFleet[[#This Row],[Calendar_h]],"")</f>
        <v/>
      </c>
      <c r="J1715" s="60">
        <f>IF(AND(tblFleet[[#This Row],[Units]]&lt;&gt;"",tblFleet[[#This Row],[Available_h]]&gt;0),tblFleet[[#This Row],[Operating_h]]/tblFleet[[#This Row],[Available_h]],"")</f>
        <v/>
      </c>
    </row>
    <row r="1716">
      <c r="A1716" s="54" t="n"/>
      <c r="B1716" s="61" t="n"/>
      <c r="C1716" s="62" t="n"/>
      <c r="D1716" s="57" t="n"/>
      <c r="E1716" s="57" t="n"/>
      <c r="F1716" s="58" t="n"/>
      <c r="G1716" s="66">
        <f>IF(tblFleet[[#This Row],[Units]]="","",tblFleet[[#This Row],[Units]]*cfg_HoursPerDay)</f>
        <v/>
      </c>
      <c r="H1716" s="66">
        <f>IF(tblFleet[[#This Row],[Units]]="","",tblFleet[[#This Row],[Calendar_h]]-tblFleet[[#This Row],[Down_h]])</f>
        <v/>
      </c>
      <c r="I1716" s="60">
        <f>IF(AND(tblFleet[[#This Row],[Units]]&lt;&gt;"",tblFleet[[#This Row],[Calendar_h]]&gt;0),tblFleet[[#This Row],[Available_h]]/tblFleet[[#This Row],[Calendar_h]],"")</f>
        <v/>
      </c>
      <c r="J1716" s="60">
        <f>IF(AND(tblFleet[[#This Row],[Units]]&lt;&gt;"",tblFleet[[#This Row],[Available_h]]&gt;0),tblFleet[[#This Row],[Operating_h]]/tblFleet[[#This Row],[Available_h]],"")</f>
        <v/>
      </c>
    </row>
    <row r="1717">
      <c r="A1717" s="54" t="n"/>
      <c r="B1717" s="61" t="n"/>
      <c r="C1717" s="62" t="n"/>
      <c r="D1717" s="57" t="n"/>
      <c r="E1717" s="57" t="n"/>
      <c r="F1717" s="58" t="n"/>
      <c r="G1717" s="66">
        <f>IF(tblFleet[[#This Row],[Units]]="","",tblFleet[[#This Row],[Units]]*cfg_HoursPerDay)</f>
        <v/>
      </c>
      <c r="H1717" s="66">
        <f>IF(tblFleet[[#This Row],[Units]]="","",tblFleet[[#This Row],[Calendar_h]]-tblFleet[[#This Row],[Down_h]])</f>
        <v/>
      </c>
      <c r="I1717" s="60">
        <f>IF(AND(tblFleet[[#This Row],[Units]]&lt;&gt;"",tblFleet[[#This Row],[Calendar_h]]&gt;0),tblFleet[[#This Row],[Available_h]]/tblFleet[[#This Row],[Calendar_h]],"")</f>
        <v/>
      </c>
      <c r="J1717" s="60">
        <f>IF(AND(tblFleet[[#This Row],[Units]]&lt;&gt;"",tblFleet[[#This Row],[Available_h]]&gt;0),tblFleet[[#This Row],[Operating_h]]/tblFleet[[#This Row],[Available_h]],"")</f>
        <v/>
      </c>
    </row>
    <row r="1718">
      <c r="A1718" s="54" t="n"/>
      <c r="B1718" s="61" t="n"/>
      <c r="C1718" s="62" t="n"/>
      <c r="D1718" s="57" t="n"/>
      <c r="E1718" s="57" t="n"/>
      <c r="F1718" s="58" t="n"/>
      <c r="G1718" s="66">
        <f>IF(tblFleet[[#This Row],[Units]]="","",tblFleet[[#This Row],[Units]]*cfg_HoursPerDay)</f>
        <v/>
      </c>
      <c r="H1718" s="66">
        <f>IF(tblFleet[[#This Row],[Units]]="","",tblFleet[[#This Row],[Calendar_h]]-tblFleet[[#This Row],[Down_h]])</f>
        <v/>
      </c>
      <c r="I1718" s="60">
        <f>IF(AND(tblFleet[[#This Row],[Units]]&lt;&gt;"",tblFleet[[#This Row],[Calendar_h]]&gt;0),tblFleet[[#This Row],[Available_h]]/tblFleet[[#This Row],[Calendar_h]],"")</f>
        <v/>
      </c>
      <c r="J1718" s="60">
        <f>IF(AND(tblFleet[[#This Row],[Units]]&lt;&gt;"",tblFleet[[#This Row],[Available_h]]&gt;0),tblFleet[[#This Row],[Operating_h]]/tblFleet[[#This Row],[Available_h]],"")</f>
        <v/>
      </c>
    </row>
    <row r="1719">
      <c r="A1719" s="54" t="n"/>
      <c r="B1719" s="61" t="n"/>
      <c r="C1719" s="62" t="n"/>
      <c r="D1719" s="57" t="n"/>
      <c r="E1719" s="57" t="n"/>
      <c r="F1719" s="58" t="n"/>
      <c r="G1719" s="66">
        <f>IF(tblFleet[[#This Row],[Units]]="","",tblFleet[[#This Row],[Units]]*cfg_HoursPerDay)</f>
        <v/>
      </c>
      <c r="H1719" s="66">
        <f>IF(tblFleet[[#This Row],[Units]]="","",tblFleet[[#This Row],[Calendar_h]]-tblFleet[[#This Row],[Down_h]])</f>
        <v/>
      </c>
      <c r="I1719" s="60">
        <f>IF(AND(tblFleet[[#This Row],[Units]]&lt;&gt;"",tblFleet[[#This Row],[Calendar_h]]&gt;0),tblFleet[[#This Row],[Available_h]]/tblFleet[[#This Row],[Calendar_h]],"")</f>
        <v/>
      </c>
      <c r="J1719" s="60">
        <f>IF(AND(tblFleet[[#This Row],[Units]]&lt;&gt;"",tblFleet[[#This Row],[Available_h]]&gt;0),tblFleet[[#This Row],[Operating_h]]/tblFleet[[#This Row],[Available_h]],"")</f>
        <v/>
      </c>
    </row>
    <row r="1720">
      <c r="A1720" s="54" t="n"/>
      <c r="B1720" s="61" t="n"/>
      <c r="C1720" s="62" t="n"/>
      <c r="D1720" s="57" t="n"/>
      <c r="E1720" s="57" t="n"/>
      <c r="F1720" s="58" t="n"/>
      <c r="G1720" s="66">
        <f>IF(tblFleet[[#This Row],[Units]]="","",tblFleet[[#This Row],[Units]]*cfg_HoursPerDay)</f>
        <v/>
      </c>
      <c r="H1720" s="66">
        <f>IF(tblFleet[[#This Row],[Units]]="","",tblFleet[[#This Row],[Calendar_h]]-tblFleet[[#This Row],[Down_h]])</f>
        <v/>
      </c>
      <c r="I1720" s="60">
        <f>IF(AND(tblFleet[[#This Row],[Units]]&lt;&gt;"",tblFleet[[#This Row],[Calendar_h]]&gt;0),tblFleet[[#This Row],[Available_h]]/tblFleet[[#This Row],[Calendar_h]],"")</f>
        <v/>
      </c>
      <c r="J1720" s="60">
        <f>IF(AND(tblFleet[[#This Row],[Units]]&lt;&gt;"",tblFleet[[#This Row],[Available_h]]&gt;0),tblFleet[[#This Row],[Operating_h]]/tblFleet[[#This Row],[Available_h]],"")</f>
        <v/>
      </c>
    </row>
    <row r="1721">
      <c r="A1721" s="54" t="n"/>
      <c r="B1721" s="61" t="n"/>
      <c r="C1721" s="62" t="n"/>
      <c r="D1721" s="57" t="n"/>
      <c r="E1721" s="57" t="n"/>
      <c r="F1721" s="58" t="n"/>
      <c r="G1721" s="66">
        <f>IF(tblFleet[[#This Row],[Units]]="","",tblFleet[[#This Row],[Units]]*cfg_HoursPerDay)</f>
        <v/>
      </c>
      <c r="H1721" s="66">
        <f>IF(tblFleet[[#This Row],[Units]]="","",tblFleet[[#This Row],[Calendar_h]]-tblFleet[[#This Row],[Down_h]])</f>
        <v/>
      </c>
      <c r="I1721" s="60">
        <f>IF(AND(tblFleet[[#This Row],[Units]]&lt;&gt;"",tblFleet[[#This Row],[Calendar_h]]&gt;0),tblFleet[[#This Row],[Available_h]]/tblFleet[[#This Row],[Calendar_h]],"")</f>
        <v/>
      </c>
      <c r="J1721" s="60">
        <f>IF(AND(tblFleet[[#This Row],[Units]]&lt;&gt;"",tblFleet[[#This Row],[Available_h]]&gt;0),tblFleet[[#This Row],[Operating_h]]/tblFleet[[#This Row],[Available_h]],"")</f>
        <v/>
      </c>
    </row>
    <row r="1722">
      <c r="A1722" s="54" t="n"/>
      <c r="B1722" s="61" t="n"/>
      <c r="C1722" s="62" t="n"/>
      <c r="D1722" s="57" t="n"/>
      <c r="E1722" s="57" t="n"/>
      <c r="F1722" s="58" t="n"/>
      <c r="G1722" s="66">
        <f>IF(tblFleet[[#This Row],[Units]]="","",tblFleet[[#This Row],[Units]]*cfg_HoursPerDay)</f>
        <v/>
      </c>
      <c r="H1722" s="66">
        <f>IF(tblFleet[[#This Row],[Units]]="","",tblFleet[[#This Row],[Calendar_h]]-tblFleet[[#This Row],[Down_h]])</f>
        <v/>
      </c>
      <c r="I1722" s="60">
        <f>IF(AND(tblFleet[[#This Row],[Units]]&lt;&gt;"",tblFleet[[#This Row],[Calendar_h]]&gt;0),tblFleet[[#This Row],[Available_h]]/tblFleet[[#This Row],[Calendar_h]],"")</f>
        <v/>
      </c>
      <c r="J1722" s="60">
        <f>IF(AND(tblFleet[[#This Row],[Units]]&lt;&gt;"",tblFleet[[#This Row],[Available_h]]&gt;0),tblFleet[[#This Row],[Operating_h]]/tblFleet[[#This Row],[Available_h]],"")</f>
        <v/>
      </c>
    </row>
    <row r="1723">
      <c r="A1723" s="54" t="n"/>
      <c r="B1723" s="61" t="n"/>
      <c r="C1723" s="62" t="n"/>
      <c r="D1723" s="57" t="n"/>
      <c r="E1723" s="57" t="n"/>
      <c r="F1723" s="58" t="n"/>
      <c r="G1723" s="66">
        <f>IF(tblFleet[[#This Row],[Units]]="","",tblFleet[[#This Row],[Units]]*cfg_HoursPerDay)</f>
        <v/>
      </c>
      <c r="H1723" s="66">
        <f>IF(tblFleet[[#This Row],[Units]]="","",tblFleet[[#This Row],[Calendar_h]]-tblFleet[[#This Row],[Down_h]])</f>
        <v/>
      </c>
      <c r="I1723" s="60">
        <f>IF(AND(tblFleet[[#This Row],[Units]]&lt;&gt;"",tblFleet[[#This Row],[Calendar_h]]&gt;0),tblFleet[[#This Row],[Available_h]]/tblFleet[[#This Row],[Calendar_h]],"")</f>
        <v/>
      </c>
      <c r="J1723" s="60">
        <f>IF(AND(tblFleet[[#This Row],[Units]]&lt;&gt;"",tblFleet[[#This Row],[Available_h]]&gt;0),tblFleet[[#This Row],[Operating_h]]/tblFleet[[#This Row],[Available_h]],"")</f>
        <v/>
      </c>
    </row>
    <row r="1724">
      <c r="A1724" s="54" t="n"/>
      <c r="B1724" s="61" t="n"/>
      <c r="C1724" s="62" t="n"/>
      <c r="D1724" s="57" t="n"/>
      <c r="E1724" s="57" t="n"/>
      <c r="F1724" s="58" t="n"/>
      <c r="G1724" s="66">
        <f>IF(tblFleet[[#This Row],[Units]]="","",tblFleet[[#This Row],[Units]]*cfg_HoursPerDay)</f>
        <v/>
      </c>
      <c r="H1724" s="66">
        <f>IF(tblFleet[[#This Row],[Units]]="","",tblFleet[[#This Row],[Calendar_h]]-tblFleet[[#This Row],[Down_h]])</f>
        <v/>
      </c>
      <c r="I1724" s="60">
        <f>IF(AND(tblFleet[[#This Row],[Units]]&lt;&gt;"",tblFleet[[#This Row],[Calendar_h]]&gt;0),tblFleet[[#This Row],[Available_h]]/tblFleet[[#This Row],[Calendar_h]],"")</f>
        <v/>
      </c>
      <c r="J1724" s="60">
        <f>IF(AND(tblFleet[[#This Row],[Units]]&lt;&gt;"",tblFleet[[#This Row],[Available_h]]&gt;0),tblFleet[[#This Row],[Operating_h]]/tblFleet[[#This Row],[Available_h]],"")</f>
        <v/>
      </c>
    </row>
    <row r="1725">
      <c r="A1725" s="54" t="n"/>
      <c r="B1725" s="61" t="n"/>
      <c r="C1725" s="62" t="n"/>
      <c r="D1725" s="57" t="n"/>
      <c r="E1725" s="57" t="n"/>
      <c r="F1725" s="58" t="n"/>
      <c r="G1725" s="66">
        <f>IF(tblFleet[[#This Row],[Units]]="","",tblFleet[[#This Row],[Units]]*cfg_HoursPerDay)</f>
        <v/>
      </c>
      <c r="H1725" s="66">
        <f>IF(tblFleet[[#This Row],[Units]]="","",tblFleet[[#This Row],[Calendar_h]]-tblFleet[[#This Row],[Down_h]])</f>
        <v/>
      </c>
      <c r="I1725" s="60">
        <f>IF(AND(tblFleet[[#This Row],[Units]]&lt;&gt;"",tblFleet[[#This Row],[Calendar_h]]&gt;0),tblFleet[[#This Row],[Available_h]]/tblFleet[[#This Row],[Calendar_h]],"")</f>
        <v/>
      </c>
      <c r="J1725" s="60">
        <f>IF(AND(tblFleet[[#This Row],[Units]]&lt;&gt;"",tblFleet[[#This Row],[Available_h]]&gt;0),tblFleet[[#This Row],[Operating_h]]/tblFleet[[#This Row],[Available_h]],"")</f>
        <v/>
      </c>
    </row>
    <row r="1726">
      <c r="A1726" s="54" t="n"/>
      <c r="B1726" s="61" t="n"/>
      <c r="C1726" s="62" t="n"/>
      <c r="D1726" s="57" t="n"/>
      <c r="E1726" s="57" t="n"/>
      <c r="F1726" s="58" t="n"/>
      <c r="G1726" s="66">
        <f>IF(tblFleet[[#This Row],[Units]]="","",tblFleet[[#This Row],[Units]]*cfg_HoursPerDay)</f>
        <v/>
      </c>
      <c r="H1726" s="66">
        <f>IF(tblFleet[[#This Row],[Units]]="","",tblFleet[[#This Row],[Calendar_h]]-tblFleet[[#This Row],[Down_h]])</f>
        <v/>
      </c>
      <c r="I1726" s="60">
        <f>IF(AND(tblFleet[[#This Row],[Units]]&lt;&gt;"",tblFleet[[#This Row],[Calendar_h]]&gt;0),tblFleet[[#This Row],[Available_h]]/tblFleet[[#This Row],[Calendar_h]],"")</f>
        <v/>
      </c>
      <c r="J1726" s="60">
        <f>IF(AND(tblFleet[[#This Row],[Units]]&lt;&gt;"",tblFleet[[#This Row],[Available_h]]&gt;0),tblFleet[[#This Row],[Operating_h]]/tblFleet[[#This Row],[Available_h]],"")</f>
        <v/>
      </c>
    </row>
    <row r="1727">
      <c r="A1727" s="54" t="n"/>
      <c r="B1727" s="61" t="n"/>
      <c r="C1727" s="62" t="n"/>
      <c r="D1727" s="57" t="n"/>
      <c r="E1727" s="57" t="n"/>
      <c r="F1727" s="58" t="n"/>
      <c r="G1727" s="66">
        <f>IF(tblFleet[[#This Row],[Units]]="","",tblFleet[[#This Row],[Units]]*cfg_HoursPerDay)</f>
        <v/>
      </c>
      <c r="H1727" s="66">
        <f>IF(tblFleet[[#This Row],[Units]]="","",tblFleet[[#This Row],[Calendar_h]]-tblFleet[[#This Row],[Down_h]])</f>
        <v/>
      </c>
      <c r="I1727" s="60">
        <f>IF(AND(tblFleet[[#This Row],[Units]]&lt;&gt;"",tblFleet[[#This Row],[Calendar_h]]&gt;0),tblFleet[[#This Row],[Available_h]]/tblFleet[[#This Row],[Calendar_h]],"")</f>
        <v/>
      </c>
      <c r="J1727" s="60">
        <f>IF(AND(tblFleet[[#This Row],[Units]]&lt;&gt;"",tblFleet[[#This Row],[Available_h]]&gt;0),tblFleet[[#This Row],[Operating_h]]/tblFleet[[#This Row],[Available_h]],"")</f>
        <v/>
      </c>
    </row>
    <row r="1728">
      <c r="A1728" s="54" t="n"/>
      <c r="B1728" s="61" t="n"/>
      <c r="C1728" s="62" t="n"/>
      <c r="D1728" s="57" t="n"/>
      <c r="E1728" s="57" t="n"/>
      <c r="F1728" s="58" t="n"/>
      <c r="G1728" s="66">
        <f>IF(tblFleet[[#This Row],[Units]]="","",tblFleet[[#This Row],[Units]]*cfg_HoursPerDay)</f>
        <v/>
      </c>
      <c r="H1728" s="66">
        <f>IF(tblFleet[[#This Row],[Units]]="","",tblFleet[[#This Row],[Calendar_h]]-tblFleet[[#This Row],[Down_h]])</f>
        <v/>
      </c>
      <c r="I1728" s="60">
        <f>IF(AND(tblFleet[[#This Row],[Units]]&lt;&gt;"",tblFleet[[#This Row],[Calendar_h]]&gt;0),tblFleet[[#This Row],[Available_h]]/tblFleet[[#This Row],[Calendar_h]],"")</f>
        <v/>
      </c>
      <c r="J1728" s="60">
        <f>IF(AND(tblFleet[[#This Row],[Units]]&lt;&gt;"",tblFleet[[#This Row],[Available_h]]&gt;0),tblFleet[[#This Row],[Operating_h]]/tblFleet[[#This Row],[Available_h]],"")</f>
        <v/>
      </c>
    </row>
    <row r="1729">
      <c r="A1729" s="54" t="n"/>
      <c r="B1729" s="61" t="n"/>
      <c r="C1729" s="62" t="n"/>
      <c r="D1729" s="57" t="n"/>
      <c r="E1729" s="57" t="n"/>
      <c r="F1729" s="58" t="n"/>
      <c r="G1729" s="66">
        <f>IF(tblFleet[[#This Row],[Units]]="","",tblFleet[[#This Row],[Units]]*cfg_HoursPerDay)</f>
        <v/>
      </c>
      <c r="H1729" s="66">
        <f>IF(tblFleet[[#This Row],[Units]]="","",tblFleet[[#This Row],[Calendar_h]]-tblFleet[[#This Row],[Down_h]])</f>
        <v/>
      </c>
      <c r="I1729" s="60">
        <f>IF(AND(tblFleet[[#This Row],[Units]]&lt;&gt;"",tblFleet[[#This Row],[Calendar_h]]&gt;0),tblFleet[[#This Row],[Available_h]]/tblFleet[[#This Row],[Calendar_h]],"")</f>
        <v/>
      </c>
      <c r="J1729" s="60">
        <f>IF(AND(tblFleet[[#This Row],[Units]]&lt;&gt;"",tblFleet[[#This Row],[Available_h]]&gt;0),tblFleet[[#This Row],[Operating_h]]/tblFleet[[#This Row],[Available_h]],"")</f>
        <v/>
      </c>
    </row>
    <row r="1730">
      <c r="A1730" s="54" t="n"/>
      <c r="B1730" s="61" t="n"/>
      <c r="C1730" s="62" t="n"/>
      <c r="D1730" s="57" t="n"/>
      <c r="E1730" s="57" t="n"/>
      <c r="F1730" s="58" t="n"/>
      <c r="G1730" s="66">
        <f>IF(tblFleet[[#This Row],[Units]]="","",tblFleet[[#This Row],[Units]]*cfg_HoursPerDay)</f>
        <v/>
      </c>
      <c r="H1730" s="66">
        <f>IF(tblFleet[[#This Row],[Units]]="","",tblFleet[[#This Row],[Calendar_h]]-tblFleet[[#This Row],[Down_h]])</f>
        <v/>
      </c>
      <c r="I1730" s="60">
        <f>IF(AND(tblFleet[[#This Row],[Units]]&lt;&gt;"",tblFleet[[#This Row],[Calendar_h]]&gt;0),tblFleet[[#This Row],[Available_h]]/tblFleet[[#This Row],[Calendar_h]],"")</f>
        <v/>
      </c>
      <c r="J1730" s="60">
        <f>IF(AND(tblFleet[[#This Row],[Units]]&lt;&gt;"",tblFleet[[#This Row],[Available_h]]&gt;0),tblFleet[[#This Row],[Operating_h]]/tblFleet[[#This Row],[Available_h]],"")</f>
        <v/>
      </c>
    </row>
    <row r="1731">
      <c r="A1731" s="54" t="n"/>
      <c r="B1731" s="61" t="n"/>
      <c r="C1731" s="62" t="n"/>
      <c r="D1731" s="57" t="n"/>
      <c r="E1731" s="57" t="n"/>
      <c r="F1731" s="58" t="n"/>
      <c r="G1731" s="66">
        <f>IF(tblFleet[[#This Row],[Units]]="","",tblFleet[[#This Row],[Units]]*cfg_HoursPerDay)</f>
        <v/>
      </c>
      <c r="H1731" s="66">
        <f>IF(tblFleet[[#This Row],[Units]]="","",tblFleet[[#This Row],[Calendar_h]]-tblFleet[[#This Row],[Down_h]])</f>
        <v/>
      </c>
      <c r="I1731" s="60">
        <f>IF(AND(tblFleet[[#This Row],[Units]]&lt;&gt;"",tblFleet[[#This Row],[Calendar_h]]&gt;0),tblFleet[[#This Row],[Available_h]]/tblFleet[[#This Row],[Calendar_h]],"")</f>
        <v/>
      </c>
      <c r="J1731" s="60">
        <f>IF(AND(tblFleet[[#This Row],[Units]]&lt;&gt;"",tblFleet[[#This Row],[Available_h]]&gt;0),tblFleet[[#This Row],[Operating_h]]/tblFleet[[#This Row],[Available_h]],"")</f>
        <v/>
      </c>
    </row>
    <row r="1732">
      <c r="A1732" s="54" t="n"/>
      <c r="B1732" s="61" t="n"/>
      <c r="C1732" s="62" t="n"/>
      <c r="D1732" s="57" t="n"/>
      <c r="E1732" s="57" t="n"/>
      <c r="F1732" s="58" t="n"/>
      <c r="G1732" s="66">
        <f>IF(tblFleet[[#This Row],[Units]]="","",tblFleet[[#This Row],[Units]]*cfg_HoursPerDay)</f>
        <v/>
      </c>
      <c r="H1732" s="66">
        <f>IF(tblFleet[[#This Row],[Units]]="","",tblFleet[[#This Row],[Calendar_h]]-tblFleet[[#This Row],[Down_h]])</f>
        <v/>
      </c>
      <c r="I1732" s="60">
        <f>IF(AND(tblFleet[[#This Row],[Units]]&lt;&gt;"",tblFleet[[#This Row],[Calendar_h]]&gt;0),tblFleet[[#This Row],[Available_h]]/tblFleet[[#This Row],[Calendar_h]],"")</f>
        <v/>
      </c>
      <c r="J1732" s="60">
        <f>IF(AND(tblFleet[[#This Row],[Units]]&lt;&gt;"",tblFleet[[#This Row],[Available_h]]&gt;0),tblFleet[[#This Row],[Operating_h]]/tblFleet[[#This Row],[Available_h]],"")</f>
        <v/>
      </c>
    </row>
    <row r="1733">
      <c r="A1733" s="54" t="n"/>
      <c r="B1733" s="61" t="n"/>
      <c r="C1733" s="62" t="n"/>
      <c r="D1733" s="57" t="n"/>
      <c r="E1733" s="57" t="n"/>
      <c r="F1733" s="58" t="n"/>
      <c r="G1733" s="66">
        <f>IF(tblFleet[[#This Row],[Units]]="","",tblFleet[[#This Row],[Units]]*cfg_HoursPerDay)</f>
        <v/>
      </c>
      <c r="H1733" s="66">
        <f>IF(tblFleet[[#This Row],[Units]]="","",tblFleet[[#This Row],[Calendar_h]]-tblFleet[[#This Row],[Down_h]])</f>
        <v/>
      </c>
      <c r="I1733" s="60">
        <f>IF(AND(tblFleet[[#This Row],[Units]]&lt;&gt;"",tblFleet[[#This Row],[Calendar_h]]&gt;0),tblFleet[[#This Row],[Available_h]]/tblFleet[[#This Row],[Calendar_h]],"")</f>
        <v/>
      </c>
      <c r="J1733" s="60">
        <f>IF(AND(tblFleet[[#This Row],[Units]]&lt;&gt;"",tblFleet[[#This Row],[Available_h]]&gt;0),tblFleet[[#This Row],[Operating_h]]/tblFleet[[#This Row],[Available_h]],"")</f>
        <v/>
      </c>
    </row>
    <row r="1734">
      <c r="A1734" s="54" t="n"/>
      <c r="B1734" s="61" t="n"/>
      <c r="C1734" s="62" t="n"/>
      <c r="D1734" s="57" t="n"/>
      <c r="E1734" s="57" t="n"/>
      <c r="F1734" s="58" t="n"/>
      <c r="G1734" s="66">
        <f>IF(tblFleet[[#This Row],[Units]]="","",tblFleet[[#This Row],[Units]]*cfg_HoursPerDay)</f>
        <v/>
      </c>
      <c r="H1734" s="66">
        <f>IF(tblFleet[[#This Row],[Units]]="","",tblFleet[[#This Row],[Calendar_h]]-tblFleet[[#This Row],[Down_h]])</f>
        <v/>
      </c>
      <c r="I1734" s="60">
        <f>IF(AND(tblFleet[[#This Row],[Units]]&lt;&gt;"",tblFleet[[#This Row],[Calendar_h]]&gt;0),tblFleet[[#This Row],[Available_h]]/tblFleet[[#This Row],[Calendar_h]],"")</f>
        <v/>
      </c>
      <c r="J1734" s="60">
        <f>IF(AND(tblFleet[[#This Row],[Units]]&lt;&gt;"",tblFleet[[#This Row],[Available_h]]&gt;0),tblFleet[[#This Row],[Operating_h]]/tblFleet[[#This Row],[Available_h]],"")</f>
        <v/>
      </c>
    </row>
    <row r="1735">
      <c r="A1735" s="54" t="n"/>
      <c r="B1735" s="61" t="n"/>
      <c r="C1735" s="62" t="n"/>
      <c r="D1735" s="57" t="n"/>
      <c r="E1735" s="57" t="n"/>
      <c r="F1735" s="58" t="n"/>
      <c r="G1735" s="66">
        <f>IF(tblFleet[[#This Row],[Units]]="","",tblFleet[[#This Row],[Units]]*cfg_HoursPerDay)</f>
        <v/>
      </c>
      <c r="H1735" s="66">
        <f>IF(tblFleet[[#This Row],[Units]]="","",tblFleet[[#This Row],[Calendar_h]]-tblFleet[[#This Row],[Down_h]])</f>
        <v/>
      </c>
      <c r="I1735" s="60">
        <f>IF(AND(tblFleet[[#This Row],[Units]]&lt;&gt;"",tblFleet[[#This Row],[Calendar_h]]&gt;0),tblFleet[[#This Row],[Available_h]]/tblFleet[[#This Row],[Calendar_h]],"")</f>
        <v/>
      </c>
      <c r="J1735" s="60">
        <f>IF(AND(tblFleet[[#This Row],[Units]]&lt;&gt;"",tblFleet[[#This Row],[Available_h]]&gt;0),tblFleet[[#This Row],[Operating_h]]/tblFleet[[#This Row],[Available_h]],"")</f>
        <v/>
      </c>
    </row>
    <row r="1736">
      <c r="A1736" s="54" t="n"/>
      <c r="B1736" s="61" t="n"/>
      <c r="C1736" s="62" t="n"/>
      <c r="D1736" s="57" t="n"/>
      <c r="E1736" s="57" t="n"/>
      <c r="F1736" s="58" t="n"/>
      <c r="G1736" s="66">
        <f>IF(tblFleet[[#This Row],[Units]]="","",tblFleet[[#This Row],[Units]]*cfg_HoursPerDay)</f>
        <v/>
      </c>
      <c r="H1736" s="66">
        <f>IF(tblFleet[[#This Row],[Units]]="","",tblFleet[[#This Row],[Calendar_h]]-tblFleet[[#This Row],[Down_h]])</f>
        <v/>
      </c>
      <c r="I1736" s="60">
        <f>IF(AND(tblFleet[[#This Row],[Units]]&lt;&gt;"",tblFleet[[#This Row],[Calendar_h]]&gt;0),tblFleet[[#This Row],[Available_h]]/tblFleet[[#This Row],[Calendar_h]],"")</f>
        <v/>
      </c>
      <c r="J1736" s="60">
        <f>IF(AND(tblFleet[[#This Row],[Units]]&lt;&gt;"",tblFleet[[#This Row],[Available_h]]&gt;0),tblFleet[[#This Row],[Operating_h]]/tblFleet[[#This Row],[Available_h]],"")</f>
        <v/>
      </c>
    </row>
    <row r="1737">
      <c r="A1737" s="54" t="n"/>
      <c r="B1737" s="61" t="n"/>
      <c r="C1737" s="62" t="n"/>
      <c r="D1737" s="57" t="n"/>
      <c r="E1737" s="57" t="n"/>
      <c r="F1737" s="58" t="n"/>
      <c r="G1737" s="66">
        <f>IF(tblFleet[[#This Row],[Units]]="","",tblFleet[[#This Row],[Units]]*cfg_HoursPerDay)</f>
        <v/>
      </c>
      <c r="H1737" s="66">
        <f>IF(tblFleet[[#This Row],[Units]]="","",tblFleet[[#This Row],[Calendar_h]]-tblFleet[[#This Row],[Down_h]])</f>
        <v/>
      </c>
      <c r="I1737" s="60">
        <f>IF(AND(tblFleet[[#This Row],[Units]]&lt;&gt;"",tblFleet[[#This Row],[Calendar_h]]&gt;0),tblFleet[[#This Row],[Available_h]]/tblFleet[[#This Row],[Calendar_h]],"")</f>
        <v/>
      </c>
      <c r="J1737" s="60">
        <f>IF(AND(tblFleet[[#This Row],[Units]]&lt;&gt;"",tblFleet[[#This Row],[Available_h]]&gt;0),tblFleet[[#This Row],[Operating_h]]/tblFleet[[#This Row],[Available_h]],"")</f>
        <v/>
      </c>
    </row>
    <row r="1738">
      <c r="A1738" s="54" t="n"/>
      <c r="B1738" s="61" t="n"/>
      <c r="C1738" s="62" t="n"/>
      <c r="D1738" s="57" t="n"/>
      <c r="E1738" s="57" t="n"/>
      <c r="F1738" s="58" t="n"/>
      <c r="G1738" s="66">
        <f>IF(tblFleet[[#This Row],[Units]]="","",tblFleet[[#This Row],[Units]]*cfg_HoursPerDay)</f>
        <v/>
      </c>
      <c r="H1738" s="66">
        <f>IF(tblFleet[[#This Row],[Units]]="","",tblFleet[[#This Row],[Calendar_h]]-tblFleet[[#This Row],[Down_h]])</f>
        <v/>
      </c>
      <c r="I1738" s="60">
        <f>IF(AND(tblFleet[[#This Row],[Units]]&lt;&gt;"",tblFleet[[#This Row],[Calendar_h]]&gt;0),tblFleet[[#This Row],[Available_h]]/tblFleet[[#This Row],[Calendar_h]],"")</f>
        <v/>
      </c>
      <c r="J1738" s="60">
        <f>IF(AND(tblFleet[[#This Row],[Units]]&lt;&gt;"",tblFleet[[#This Row],[Available_h]]&gt;0),tblFleet[[#This Row],[Operating_h]]/tblFleet[[#This Row],[Available_h]],"")</f>
        <v/>
      </c>
    </row>
    <row r="1739">
      <c r="A1739" s="54" t="n"/>
      <c r="B1739" s="61" t="n"/>
      <c r="C1739" s="62" t="n"/>
      <c r="D1739" s="57" t="n"/>
      <c r="E1739" s="57" t="n"/>
      <c r="F1739" s="58" t="n"/>
      <c r="G1739" s="66">
        <f>IF(tblFleet[[#This Row],[Units]]="","",tblFleet[[#This Row],[Units]]*cfg_HoursPerDay)</f>
        <v/>
      </c>
      <c r="H1739" s="66">
        <f>IF(tblFleet[[#This Row],[Units]]="","",tblFleet[[#This Row],[Calendar_h]]-tblFleet[[#This Row],[Down_h]])</f>
        <v/>
      </c>
      <c r="I1739" s="60">
        <f>IF(AND(tblFleet[[#This Row],[Units]]&lt;&gt;"",tblFleet[[#This Row],[Calendar_h]]&gt;0),tblFleet[[#This Row],[Available_h]]/tblFleet[[#This Row],[Calendar_h]],"")</f>
        <v/>
      </c>
      <c r="J1739" s="60">
        <f>IF(AND(tblFleet[[#This Row],[Units]]&lt;&gt;"",tblFleet[[#This Row],[Available_h]]&gt;0),tblFleet[[#This Row],[Operating_h]]/tblFleet[[#This Row],[Available_h]],"")</f>
        <v/>
      </c>
    </row>
    <row r="1740">
      <c r="A1740" s="54" t="n"/>
      <c r="B1740" s="61" t="n"/>
      <c r="C1740" s="62" t="n"/>
      <c r="D1740" s="57" t="n"/>
      <c r="E1740" s="57" t="n"/>
      <c r="F1740" s="58" t="n"/>
      <c r="G1740" s="66">
        <f>IF(tblFleet[[#This Row],[Units]]="","",tblFleet[[#This Row],[Units]]*cfg_HoursPerDay)</f>
        <v/>
      </c>
      <c r="H1740" s="66">
        <f>IF(tblFleet[[#This Row],[Units]]="","",tblFleet[[#This Row],[Calendar_h]]-tblFleet[[#This Row],[Down_h]])</f>
        <v/>
      </c>
      <c r="I1740" s="60">
        <f>IF(AND(tblFleet[[#This Row],[Units]]&lt;&gt;"",tblFleet[[#This Row],[Calendar_h]]&gt;0),tblFleet[[#This Row],[Available_h]]/tblFleet[[#This Row],[Calendar_h]],"")</f>
        <v/>
      </c>
      <c r="J1740" s="60">
        <f>IF(AND(tblFleet[[#This Row],[Units]]&lt;&gt;"",tblFleet[[#This Row],[Available_h]]&gt;0),tblFleet[[#This Row],[Operating_h]]/tblFleet[[#This Row],[Available_h]],"")</f>
        <v/>
      </c>
    </row>
    <row r="1741">
      <c r="A1741" s="54" t="n"/>
      <c r="B1741" s="61" t="n"/>
      <c r="C1741" s="62" t="n"/>
      <c r="D1741" s="57" t="n"/>
      <c r="E1741" s="57" t="n"/>
      <c r="F1741" s="58" t="n"/>
      <c r="G1741" s="66">
        <f>IF(tblFleet[[#This Row],[Units]]="","",tblFleet[[#This Row],[Units]]*cfg_HoursPerDay)</f>
        <v/>
      </c>
      <c r="H1741" s="66">
        <f>IF(tblFleet[[#This Row],[Units]]="","",tblFleet[[#This Row],[Calendar_h]]-tblFleet[[#This Row],[Down_h]])</f>
        <v/>
      </c>
      <c r="I1741" s="60">
        <f>IF(AND(tblFleet[[#This Row],[Units]]&lt;&gt;"",tblFleet[[#This Row],[Calendar_h]]&gt;0),tblFleet[[#This Row],[Available_h]]/tblFleet[[#This Row],[Calendar_h]],"")</f>
        <v/>
      </c>
      <c r="J1741" s="60">
        <f>IF(AND(tblFleet[[#This Row],[Units]]&lt;&gt;"",tblFleet[[#This Row],[Available_h]]&gt;0),tblFleet[[#This Row],[Operating_h]]/tblFleet[[#This Row],[Available_h]],"")</f>
        <v/>
      </c>
    </row>
    <row r="1742">
      <c r="A1742" s="54" t="n"/>
      <c r="B1742" s="61" t="n"/>
      <c r="C1742" s="62" t="n"/>
      <c r="D1742" s="57" t="n"/>
      <c r="E1742" s="57" t="n"/>
      <c r="F1742" s="58" t="n"/>
      <c r="G1742" s="66">
        <f>IF(tblFleet[[#This Row],[Units]]="","",tblFleet[[#This Row],[Units]]*cfg_HoursPerDay)</f>
        <v/>
      </c>
      <c r="H1742" s="66">
        <f>IF(tblFleet[[#This Row],[Units]]="","",tblFleet[[#This Row],[Calendar_h]]-tblFleet[[#This Row],[Down_h]])</f>
        <v/>
      </c>
      <c r="I1742" s="60">
        <f>IF(AND(tblFleet[[#This Row],[Units]]&lt;&gt;"",tblFleet[[#This Row],[Calendar_h]]&gt;0),tblFleet[[#This Row],[Available_h]]/tblFleet[[#This Row],[Calendar_h]],"")</f>
        <v/>
      </c>
      <c r="J1742" s="60">
        <f>IF(AND(tblFleet[[#This Row],[Units]]&lt;&gt;"",tblFleet[[#This Row],[Available_h]]&gt;0),tblFleet[[#This Row],[Operating_h]]/tblFleet[[#This Row],[Available_h]],"")</f>
        <v/>
      </c>
    </row>
    <row r="1743">
      <c r="A1743" s="54" t="n"/>
      <c r="B1743" s="61" t="n"/>
      <c r="C1743" s="62" t="n"/>
      <c r="D1743" s="57" t="n"/>
      <c r="E1743" s="57" t="n"/>
      <c r="F1743" s="58" t="n"/>
      <c r="G1743" s="66">
        <f>IF(tblFleet[[#This Row],[Units]]="","",tblFleet[[#This Row],[Units]]*cfg_HoursPerDay)</f>
        <v/>
      </c>
      <c r="H1743" s="66">
        <f>IF(tblFleet[[#This Row],[Units]]="","",tblFleet[[#This Row],[Calendar_h]]-tblFleet[[#This Row],[Down_h]])</f>
        <v/>
      </c>
      <c r="I1743" s="60">
        <f>IF(AND(tblFleet[[#This Row],[Units]]&lt;&gt;"",tblFleet[[#This Row],[Calendar_h]]&gt;0),tblFleet[[#This Row],[Available_h]]/tblFleet[[#This Row],[Calendar_h]],"")</f>
        <v/>
      </c>
      <c r="J1743" s="60">
        <f>IF(AND(tblFleet[[#This Row],[Units]]&lt;&gt;"",tblFleet[[#This Row],[Available_h]]&gt;0),tblFleet[[#This Row],[Operating_h]]/tblFleet[[#This Row],[Available_h]],"")</f>
        <v/>
      </c>
    </row>
    <row r="1744">
      <c r="A1744" s="54" t="n"/>
      <c r="B1744" s="61" t="n"/>
      <c r="C1744" s="62" t="n"/>
      <c r="D1744" s="57" t="n"/>
      <c r="E1744" s="57" t="n"/>
      <c r="F1744" s="58" t="n"/>
      <c r="G1744" s="66">
        <f>IF(tblFleet[[#This Row],[Units]]="","",tblFleet[[#This Row],[Units]]*cfg_HoursPerDay)</f>
        <v/>
      </c>
      <c r="H1744" s="66">
        <f>IF(tblFleet[[#This Row],[Units]]="","",tblFleet[[#This Row],[Calendar_h]]-tblFleet[[#This Row],[Down_h]])</f>
        <v/>
      </c>
      <c r="I1744" s="60">
        <f>IF(AND(tblFleet[[#This Row],[Units]]&lt;&gt;"",tblFleet[[#This Row],[Calendar_h]]&gt;0),tblFleet[[#This Row],[Available_h]]/tblFleet[[#This Row],[Calendar_h]],"")</f>
        <v/>
      </c>
      <c r="J1744" s="60">
        <f>IF(AND(tblFleet[[#This Row],[Units]]&lt;&gt;"",tblFleet[[#This Row],[Available_h]]&gt;0),tblFleet[[#This Row],[Operating_h]]/tblFleet[[#This Row],[Available_h]],"")</f>
        <v/>
      </c>
    </row>
    <row r="1745">
      <c r="A1745" s="54" t="n"/>
      <c r="B1745" s="61" t="n"/>
      <c r="C1745" s="62" t="n"/>
      <c r="D1745" s="57" t="n"/>
      <c r="E1745" s="57" t="n"/>
      <c r="F1745" s="58" t="n"/>
      <c r="G1745" s="66">
        <f>IF(tblFleet[[#This Row],[Units]]="","",tblFleet[[#This Row],[Units]]*cfg_HoursPerDay)</f>
        <v/>
      </c>
      <c r="H1745" s="66">
        <f>IF(tblFleet[[#This Row],[Units]]="","",tblFleet[[#This Row],[Calendar_h]]-tblFleet[[#This Row],[Down_h]])</f>
        <v/>
      </c>
      <c r="I1745" s="60">
        <f>IF(AND(tblFleet[[#This Row],[Units]]&lt;&gt;"",tblFleet[[#This Row],[Calendar_h]]&gt;0),tblFleet[[#This Row],[Available_h]]/tblFleet[[#This Row],[Calendar_h]],"")</f>
        <v/>
      </c>
      <c r="J1745" s="60">
        <f>IF(AND(tblFleet[[#This Row],[Units]]&lt;&gt;"",tblFleet[[#This Row],[Available_h]]&gt;0),tblFleet[[#This Row],[Operating_h]]/tblFleet[[#This Row],[Available_h]],"")</f>
        <v/>
      </c>
    </row>
    <row r="1746">
      <c r="A1746" s="54" t="n"/>
      <c r="B1746" s="61" t="n"/>
      <c r="C1746" s="62" t="n"/>
      <c r="D1746" s="57" t="n"/>
      <c r="E1746" s="57" t="n"/>
      <c r="F1746" s="58" t="n"/>
      <c r="G1746" s="66">
        <f>IF(tblFleet[[#This Row],[Units]]="","",tblFleet[[#This Row],[Units]]*cfg_HoursPerDay)</f>
        <v/>
      </c>
      <c r="H1746" s="66">
        <f>IF(tblFleet[[#This Row],[Units]]="","",tblFleet[[#This Row],[Calendar_h]]-tblFleet[[#This Row],[Down_h]])</f>
        <v/>
      </c>
      <c r="I1746" s="60">
        <f>IF(AND(tblFleet[[#This Row],[Units]]&lt;&gt;"",tblFleet[[#This Row],[Calendar_h]]&gt;0),tblFleet[[#This Row],[Available_h]]/tblFleet[[#This Row],[Calendar_h]],"")</f>
        <v/>
      </c>
      <c r="J1746" s="60">
        <f>IF(AND(tblFleet[[#This Row],[Units]]&lt;&gt;"",tblFleet[[#This Row],[Available_h]]&gt;0),tblFleet[[#This Row],[Operating_h]]/tblFleet[[#This Row],[Available_h]],"")</f>
        <v/>
      </c>
    </row>
    <row r="1747">
      <c r="A1747" s="54" t="n"/>
      <c r="B1747" s="61" t="n"/>
      <c r="C1747" s="62" t="n"/>
      <c r="D1747" s="57" t="n"/>
      <c r="E1747" s="57" t="n"/>
      <c r="F1747" s="58" t="n"/>
      <c r="G1747" s="66">
        <f>IF(tblFleet[[#This Row],[Units]]="","",tblFleet[[#This Row],[Units]]*cfg_HoursPerDay)</f>
        <v/>
      </c>
      <c r="H1747" s="66">
        <f>IF(tblFleet[[#This Row],[Units]]="","",tblFleet[[#This Row],[Calendar_h]]-tblFleet[[#This Row],[Down_h]])</f>
        <v/>
      </c>
      <c r="I1747" s="60">
        <f>IF(AND(tblFleet[[#This Row],[Units]]&lt;&gt;"",tblFleet[[#This Row],[Calendar_h]]&gt;0),tblFleet[[#This Row],[Available_h]]/tblFleet[[#This Row],[Calendar_h]],"")</f>
        <v/>
      </c>
      <c r="J1747" s="60">
        <f>IF(AND(tblFleet[[#This Row],[Units]]&lt;&gt;"",tblFleet[[#This Row],[Available_h]]&gt;0),tblFleet[[#This Row],[Operating_h]]/tblFleet[[#This Row],[Available_h]],"")</f>
        <v/>
      </c>
    </row>
    <row r="1748">
      <c r="A1748" s="54" t="n"/>
      <c r="B1748" s="61" t="n"/>
      <c r="C1748" s="62" t="n"/>
      <c r="D1748" s="57" t="n"/>
      <c r="E1748" s="57" t="n"/>
      <c r="F1748" s="58" t="n"/>
      <c r="G1748" s="66">
        <f>IF(tblFleet[[#This Row],[Units]]="","",tblFleet[[#This Row],[Units]]*cfg_HoursPerDay)</f>
        <v/>
      </c>
      <c r="H1748" s="66">
        <f>IF(tblFleet[[#This Row],[Units]]="","",tblFleet[[#This Row],[Calendar_h]]-tblFleet[[#This Row],[Down_h]])</f>
        <v/>
      </c>
      <c r="I1748" s="60">
        <f>IF(AND(tblFleet[[#This Row],[Units]]&lt;&gt;"",tblFleet[[#This Row],[Calendar_h]]&gt;0),tblFleet[[#This Row],[Available_h]]/tblFleet[[#This Row],[Calendar_h]],"")</f>
        <v/>
      </c>
      <c r="J1748" s="60">
        <f>IF(AND(tblFleet[[#This Row],[Units]]&lt;&gt;"",tblFleet[[#This Row],[Available_h]]&gt;0),tblFleet[[#This Row],[Operating_h]]/tblFleet[[#This Row],[Available_h]],"")</f>
        <v/>
      </c>
    </row>
    <row r="1749">
      <c r="A1749" s="54" t="n"/>
      <c r="B1749" s="61" t="n"/>
      <c r="C1749" s="62" t="n"/>
      <c r="D1749" s="57" t="n"/>
      <c r="E1749" s="57" t="n"/>
      <c r="F1749" s="58" t="n"/>
      <c r="G1749" s="66">
        <f>IF(tblFleet[[#This Row],[Units]]="","",tblFleet[[#This Row],[Units]]*cfg_HoursPerDay)</f>
        <v/>
      </c>
      <c r="H1749" s="66">
        <f>IF(tblFleet[[#This Row],[Units]]="","",tblFleet[[#This Row],[Calendar_h]]-tblFleet[[#This Row],[Down_h]])</f>
        <v/>
      </c>
      <c r="I1749" s="60">
        <f>IF(AND(tblFleet[[#This Row],[Units]]&lt;&gt;"",tblFleet[[#This Row],[Calendar_h]]&gt;0),tblFleet[[#This Row],[Available_h]]/tblFleet[[#This Row],[Calendar_h]],"")</f>
        <v/>
      </c>
      <c r="J1749" s="60">
        <f>IF(AND(tblFleet[[#This Row],[Units]]&lt;&gt;"",tblFleet[[#This Row],[Available_h]]&gt;0),tblFleet[[#This Row],[Operating_h]]/tblFleet[[#This Row],[Available_h]],"")</f>
        <v/>
      </c>
    </row>
    <row r="1750">
      <c r="A1750" s="54" t="n"/>
      <c r="B1750" s="61" t="n"/>
      <c r="C1750" s="62" t="n"/>
      <c r="D1750" s="57" t="n"/>
      <c r="E1750" s="57" t="n"/>
      <c r="F1750" s="58" t="n"/>
      <c r="G1750" s="66">
        <f>IF(tblFleet[[#This Row],[Units]]="","",tblFleet[[#This Row],[Units]]*cfg_HoursPerDay)</f>
        <v/>
      </c>
      <c r="H1750" s="66">
        <f>IF(tblFleet[[#This Row],[Units]]="","",tblFleet[[#This Row],[Calendar_h]]-tblFleet[[#This Row],[Down_h]])</f>
        <v/>
      </c>
      <c r="I1750" s="60">
        <f>IF(AND(tblFleet[[#This Row],[Units]]&lt;&gt;"",tblFleet[[#This Row],[Calendar_h]]&gt;0),tblFleet[[#This Row],[Available_h]]/tblFleet[[#This Row],[Calendar_h]],"")</f>
        <v/>
      </c>
      <c r="J1750" s="60">
        <f>IF(AND(tblFleet[[#This Row],[Units]]&lt;&gt;"",tblFleet[[#This Row],[Available_h]]&gt;0),tblFleet[[#This Row],[Operating_h]]/tblFleet[[#This Row],[Available_h]],"")</f>
        <v/>
      </c>
    </row>
    <row r="1751">
      <c r="A1751" s="54" t="n"/>
      <c r="B1751" s="61" t="n"/>
      <c r="C1751" s="62" t="n"/>
      <c r="D1751" s="57" t="n"/>
      <c r="E1751" s="57" t="n"/>
      <c r="F1751" s="58" t="n"/>
      <c r="G1751" s="66">
        <f>IF(tblFleet[[#This Row],[Units]]="","",tblFleet[[#This Row],[Units]]*cfg_HoursPerDay)</f>
        <v/>
      </c>
      <c r="H1751" s="66">
        <f>IF(tblFleet[[#This Row],[Units]]="","",tblFleet[[#This Row],[Calendar_h]]-tblFleet[[#This Row],[Down_h]])</f>
        <v/>
      </c>
      <c r="I1751" s="60">
        <f>IF(AND(tblFleet[[#This Row],[Units]]&lt;&gt;"",tblFleet[[#This Row],[Calendar_h]]&gt;0),tblFleet[[#This Row],[Available_h]]/tblFleet[[#This Row],[Calendar_h]],"")</f>
        <v/>
      </c>
      <c r="J1751" s="60">
        <f>IF(AND(tblFleet[[#This Row],[Units]]&lt;&gt;"",tblFleet[[#This Row],[Available_h]]&gt;0),tblFleet[[#This Row],[Operating_h]]/tblFleet[[#This Row],[Available_h]],"")</f>
        <v/>
      </c>
    </row>
    <row r="1752">
      <c r="A1752" s="54" t="n"/>
      <c r="B1752" s="61" t="n"/>
      <c r="C1752" s="62" t="n"/>
      <c r="D1752" s="57" t="n"/>
      <c r="E1752" s="57" t="n"/>
      <c r="F1752" s="58" t="n"/>
      <c r="G1752" s="66">
        <f>IF(tblFleet[[#This Row],[Units]]="","",tblFleet[[#This Row],[Units]]*cfg_HoursPerDay)</f>
        <v/>
      </c>
      <c r="H1752" s="66">
        <f>IF(tblFleet[[#This Row],[Units]]="","",tblFleet[[#This Row],[Calendar_h]]-tblFleet[[#This Row],[Down_h]])</f>
        <v/>
      </c>
      <c r="I1752" s="60">
        <f>IF(AND(tblFleet[[#This Row],[Units]]&lt;&gt;"",tblFleet[[#This Row],[Calendar_h]]&gt;0),tblFleet[[#This Row],[Available_h]]/tblFleet[[#This Row],[Calendar_h]],"")</f>
        <v/>
      </c>
      <c r="J1752" s="60">
        <f>IF(AND(tblFleet[[#This Row],[Units]]&lt;&gt;"",tblFleet[[#This Row],[Available_h]]&gt;0),tblFleet[[#This Row],[Operating_h]]/tblFleet[[#This Row],[Available_h]],"")</f>
        <v/>
      </c>
    </row>
    <row r="1753">
      <c r="A1753" s="54" t="n"/>
      <c r="B1753" s="61" t="n"/>
      <c r="C1753" s="62" t="n"/>
      <c r="D1753" s="57" t="n"/>
      <c r="E1753" s="57" t="n"/>
      <c r="F1753" s="58" t="n"/>
      <c r="G1753" s="66">
        <f>IF(tblFleet[[#This Row],[Units]]="","",tblFleet[[#This Row],[Units]]*cfg_HoursPerDay)</f>
        <v/>
      </c>
      <c r="H1753" s="66">
        <f>IF(tblFleet[[#This Row],[Units]]="","",tblFleet[[#This Row],[Calendar_h]]-tblFleet[[#This Row],[Down_h]])</f>
        <v/>
      </c>
      <c r="I1753" s="60">
        <f>IF(AND(tblFleet[[#This Row],[Units]]&lt;&gt;"",tblFleet[[#This Row],[Calendar_h]]&gt;0),tblFleet[[#This Row],[Available_h]]/tblFleet[[#This Row],[Calendar_h]],"")</f>
        <v/>
      </c>
      <c r="J1753" s="60">
        <f>IF(AND(tblFleet[[#This Row],[Units]]&lt;&gt;"",tblFleet[[#This Row],[Available_h]]&gt;0),tblFleet[[#This Row],[Operating_h]]/tblFleet[[#This Row],[Available_h]],"")</f>
        <v/>
      </c>
    </row>
    <row r="1754">
      <c r="A1754" s="54" t="n"/>
      <c r="B1754" s="61" t="n"/>
      <c r="C1754" s="62" t="n"/>
      <c r="D1754" s="57" t="n"/>
      <c r="E1754" s="57" t="n"/>
      <c r="F1754" s="58" t="n"/>
      <c r="G1754" s="66">
        <f>IF(tblFleet[[#This Row],[Units]]="","",tblFleet[[#This Row],[Units]]*cfg_HoursPerDay)</f>
        <v/>
      </c>
      <c r="H1754" s="66">
        <f>IF(tblFleet[[#This Row],[Units]]="","",tblFleet[[#This Row],[Calendar_h]]-tblFleet[[#This Row],[Down_h]])</f>
        <v/>
      </c>
      <c r="I1754" s="60">
        <f>IF(AND(tblFleet[[#This Row],[Units]]&lt;&gt;"",tblFleet[[#This Row],[Calendar_h]]&gt;0),tblFleet[[#This Row],[Available_h]]/tblFleet[[#This Row],[Calendar_h]],"")</f>
        <v/>
      </c>
      <c r="J1754" s="60">
        <f>IF(AND(tblFleet[[#This Row],[Units]]&lt;&gt;"",tblFleet[[#This Row],[Available_h]]&gt;0),tblFleet[[#This Row],[Operating_h]]/tblFleet[[#This Row],[Available_h]],"")</f>
        <v/>
      </c>
    </row>
    <row r="1755">
      <c r="A1755" s="54" t="n"/>
      <c r="B1755" s="61" t="n"/>
      <c r="C1755" s="62" t="n"/>
      <c r="D1755" s="57" t="n"/>
      <c r="E1755" s="57" t="n"/>
      <c r="F1755" s="58" t="n"/>
      <c r="G1755" s="66">
        <f>IF(tblFleet[[#This Row],[Units]]="","",tblFleet[[#This Row],[Units]]*cfg_HoursPerDay)</f>
        <v/>
      </c>
      <c r="H1755" s="66">
        <f>IF(tblFleet[[#This Row],[Units]]="","",tblFleet[[#This Row],[Calendar_h]]-tblFleet[[#This Row],[Down_h]])</f>
        <v/>
      </c>
      <c r="I1755" s="60">
        <f>IF(AND(tblFleet[[#This Row],[Units]]&lt;&gt;"",tblFleet[[#This Row],[Calendar_h]]&gt;0),tblFleet[[#This Row],[Available_h]]/tblFleet[[#This Row],[Calendar_h]],"")</f>
        <v/>
      </c>
      <c r="J1755" s="60">
        <f>IF(AND(tblFleet[[#This Row],[Units]]&lt;&gt;"",tblFleet[[#This Row],[Available_h]]&gt;0),tblFleet[[#This Row],[Operating_h]]/tblFleet[[#This Row],[Available_h]],"")</f>
        <v/>
      </c>
    </row>
    <row r="1756">
      <c r="A1756" s="54" t="n"/>
      <c r="B1756" s="61" t="n"/>
      <c r="C1756" s="62" t="n"/>
      <c r="D1756" s="57" t="n"/>
      <c r="E1756" s="57" t="n"/>
      <c r="F1756" s="58" t="n"/>
      <c r="G1756" s="66">
        <f>IF(tblFleet[[#This Row],[Units]]="","",tblFleet[[#This Row],[Units]]*cfg_HoursPerDay)</f>
        <v/>
      </c>
      <c r="H1756" s="66">
        <f>IF(tblFleet[[#This Row],[Units]]="","",tblFleet[[#This Row],[Calendar_h]]-tblFleet[[#This Row],[Down_h]])</f>
        <v/>
      </c>
      <c r="I1756" s="60">
        <f>IF(AND(tblFleet[[#This Row],[Units]]&lt;&gt;"",tblFleet[[#This Row],[Calendar_h]]&gt;0),tblFleet[[#This Row],[Available_h]]/tblFleet[[#This Row],[Calendar_h]],"")</f>
        <v/>
      </c>
      <c r="J1756" s="60">
        <f>IF(AND(tblFleet[[#This Row],[Units]]&lt;&gt;"",tblFleet[[#This Row],[Available_h]]&gt;0),tblFleet[[#This Row],[Operating_h]]/tblFleet[[#This Row],[Available_h]],"")</f>
        <v/>
      </c>
    </row>
    <row r="1757">
      <c r="A1757" s="54" t="n"/>
      <c r="B1757" s="61" t="n"/>
      <c r="C1757" s="62" t="n"/>
      <c r="D1757" s="57" t="n"/>
      <c r="E1757" s="57" t="n"/>
      <c r="F1757" s="58" t="n"/>
      <c r="G1757" s="66">
        <f>IF(tblFleet[[#This Row],[Units]]="","",tblFleet[[#This Row],[Units]]*cfg_HoursPerDay)</f>
        <v/>
      </c>
      <c r="H1757" s="66">
        <f>IF(tblFleet[[#This Row],[Units]]="","",tblFleet[[#This Row],[Calendar_h]]-tblFleet[[#This Row],[Down_h]])</f>
        <v/>
      </c>
      <c r="I1757" s="60">
        <f>IF(AND(tblFleet[[#This Row],[Units]]&lt;&gt;"",tblFleet[[#This Row],[Calendar_h]]&gt;0),tblFleet[[#This Row],[Available_h]]/tblFleet[[#This Row],[Calendar_h]],"")</f>
        <v/>
      </c>
      <c r="J1757" s="60">
        <f>IF(AND(tblFleet[[#This Row],[Units]]&lt;&gt;"",tblFleet[[#This Row],[Available_h]]&gt;0),tblFleet[[#This Row],[Operating_h]]/tblFleet[[#This Row],[Available_h]],"")</f>
        <v/>
      </c>
    </row>
    <row r="1758">
      <c r="A1758" s="54" t="n"/>
      <c r="B1758" s="61" t="n"/>
      <c r="C1758" s="62" t="n"/>
      <c r="D1758" s="57" t="n"/>
      <c r="E1758" s="57" t="n"/>
      <c r="F1758" s="58" t="n"/>
      <c r="G1758" s="66">
        <f>IF(tblFleet[[#This Row],[Units]]="","",tblFleet[[#This Row],[Units]]*cfg_HoursPerDay)</f>
        <v/>
      </c>
      <c r="H1758" s="66">
        <f>IF(tblFleet[[#This Row],[Units]]="","",tblFleet[[#This Row],[Calendar_h]]-tblFleet[[#This Row],[Down_h]])</f>
        <v/>
      </c>
      <c r="I1758" s="60">
        <f>IF(AND(tblFleet[[#This Row],[Units]]&lt;&gt;"",tblFleet[[#This Row],[Calendar_h]]&gt;0),tblFleet[[#This Row],[Available_h]]/tblFleet[[#This Row],[Calendar_h]],"")</f>
        <v/>
      </c>
      <c r="J1758" s="60">
        <f>IF(AND(tblFleet[[#This Row],[Units]]&lt;&gt;"",tblFleet[[#This Row],[Available_h]]&gt;0),tblFleet[[#This Row],[Operating_h]]/tblFleet[[#This Row],[Available_h]],"")</f>
        <v/>
      </c>
    </row>
    <row r="1759">
      <c r="A1759" s="54" t="n"/>
      <c r="B1759" s="61" t="n"/>
      <c r="C1759" s="62" t="n"/>
      <c r="D1759" s="57" t="n"/>
      <c r="E1759" s="57" t="n"/>
      <c r="F1759" s="58" t="n"/>
      <c r="G1759" s="66">
        <f>IF(tblFleet[[#This Row],[Units]]="","",tblFleet[[#This Row],[Units]]*cfg_HoursPerDay)</f>
        <v/>
      </c>
      <c r="H1759" s="66">
        <f>IF(tblFleet[[#This Row],[Units]]="","",tblFleet[[#This Row],[Calendar_h]]-tblFleet[[#This Row],[Down_h]])</f>
        <v/>
      </c>
      <c r="I1759" s="60">
        <f>IF(AND(tblFleet[[#This Row],[Units]]&lt;&gt;"",tblFleet[[#This Row],[Calendar_h]]&gt;0),tblFleet[[#This Row],[Available_h]]/tblFleet[[#This Row],[Calendar_h]],"")</f>
        <v/>
      </c>
      <c r="J1759" s="60">
        <f>IF(AND(tblFleet[[#This Row],[Units]]&lt;&gt;"",tblFleet[[#This Row],[Available_h]]&gt;0),tblFleet[[#This Row],[Operating_h]]/tblFleet[[#This Row],[Available_h]],"")</f>
        <v/>
      </c>
    </row>
    <row r="1760">
      <c r="A1760" s="54" t="n"/>
      <c r="B1760" s="61" t="n"/>
      <c r="C1760" s="62" t="n"/>
      <c r="D1760" s="57" t="n"/>
      <c r="E1760" s="57" t="n"/>
      <c r="F1760" s="58" t="n"/>
      <c r="G1760" s="66">
        <f>IF(tblFleet[[#This Row],[Units]]="","",tblFleet[[#This Row],[Units]]*cfg_HoursPerDay)</f>
        <v/>
      </c>
      <c r="H1760" s="66">
        <f>IF(tblFleet[[#This Row],[Units]]="","",tblFleet[[#This Row],[Calendar_h]]-tblFleet[[#This Row],[Down_h]])</f>
        <v/>
      </c>
      <c r="I1760" s="60">
        <f>IF(AND(tblFleet[[#This Row],[Units]]&lt;&gt;"",tblFleet[[#This Row],[Calendar_h]]&gt;0),tblFleet[[#This Row],[Available_h]]/tblFleet[[#This Row],[Calendar_h]],"")</f>
        <v/>
      </c>
      <c r="J1760" s="60">
        <f>IF(AND(tblFleet[[#This Row],[Units]]&lt;&gt;"",tblFleet[[#This Row],[Available_h]]&gt;0),tblFleet[[#This Row],[Operating_h]]/tblFleet[[#This Row],[Available_h]],"")</f>
        <v/>
      </c>
    </row>
    <row r="1761">
      <c r="A1761" s="54" t="n"/>
      <c r="B1761" s="61" t="n"/>
      <c r="C1761" s="62" t="n"/>
      <c r="D1761" s="57" t="n"/>
      <c r="E1761" s="57" t="n"/>
      <c r="F1761" s="58" t="n"/>
      <c r="G1761" s="66">
        <f>IF(tblFleet[[#This Row],[Units]]="","",tblFleet[[#This Row],[Units]]*cfg_HoursPerDay)</f>
        <v/>
      </c>
      <c r="H1761" s="66">
        <f>IF(tblFleet[[#This Row],[Units]]="","",tblFleet[[#This Row],[Calendar_h]]-tblFleet[[#This Row],[Down_h]])</f>
        <v/>
      </c>
      <c r="I1761" s="60">
        <f>IF(AND(tblFleet[[#This Row],[Units]]&lt;&gt;"",tblFleet[[#This Row],[Calendar_h]]&gt;0),tblFleet[[#This Row],[Available_h]]/tblFleet[[#This Row],[Calendar_h]],"")</f>
        <v/>
      </c>
      <c r="J1761" s="60">
        <f>IF(AND(tblFleet[[#This Row],[Units]]&lt;&gt;"",tblFleet[[#This Row],[Available_h]]&gt;0),tblFleet[[#This Row],[Operating_h]]/tblFleet[[#This Row],[Available_h]],"")</f>
        <v/>
      </c>
    </row>
    <row r="1762">
      <c r="A1762" s="54" t="n"/>
      <c r="B1762" s="61" t="n"/>
      <c r="C1762" s="62" t="n"/>
      <c r="D1762" s="57" t="n"/>
      <c r="E1762" s="57" t="n"/>
      <c r="F1762" s="58" t="n"/>
      <c r="G1762" s="66">
        <f>IF(tblFleet[[#This Row],[Units]]="","",tblFleet[[#This Row],[Units]]*cfg_HoursPerDay)</f>
        <v/>
      </c>
      <c r="H1762" s="66">
        <f>IF(tblFleet[[#This Row],[Units]]="","",tblFleet[[#This Row],[Calendar_h]]-tblFleet[[#This Row],[Down_h]])</f>
        <v/>
      </c>
      <c r="I1762" s="60">
        <f>IF(AND(tblFleet[[#This Row],[Units]]&lt;&gt;"",tblFleet[[#This Row],[Calendar_h]]&gt;0),tblFleet[[#This Row],[Available_h]]/tblFleet[[#This Row],[Calendar_h]],"")</f>
        <v/>
      </c>
      <c r="J1762" s="60">
        <f>IF(AND(tblFleet[[#This Row],[Units]]&lt;&gt;"",tblFleet[[#This Row],[Available_h]]&gt;0),tblFleet[[#This Row],[Operating_h]]/tblFleet[[#This Row],[Available_h]],"")</f>
        <v/>
      </c>
    </row>
    <row r="1763">
      <c r="A1763" s="54" t="n"/>
      <c r="B1763" s="61" t="n"/>
      <c r="C1763" s="62" t="n"/>
      <c r="D1763" s="57" t="n"/>
      <c r="E1763" s="57" t="n"/>
      <c r="F1763" s="58" t="n"/>
      <c r="G1763" s="66">
        <f>IF(tblFleet[[#This Row],[Units]]="","",tblFleet[[#This Row],[Units]]*cfg_HoursPerDay)</f>
        <v/>
      </c>
      <c r="H1763" s="66">
        <f>IF(tblFleet[[#This Row],[Units]]="","",tblFleet[[#This Row],[Calendar_h]]-tblFleet[[#This Row],[Down_h]])</f>
        <v/>
      </c>
      <c r="I1763" s="60">
        <f>IF(AND(tblFleet[[#This Row],[Units]]&lt;&gt;"",tblFleet[[#This Row],[Calendar_h]]&gt;0),tblFleet[[#This Row],[Available_h]]/tblFleet[[#This Row],[Calendar_h]],"")</f>
        <v/>
      </c>
      <c r="J1763" s="60">
        <f>IF(AND(tblFleet[[#This Row],[Units]]&lt;&gt;"",tblFleet[[#This Row],[Available_h]]&gt;0),tblFleet[[#This Row],[Operating_h]]/tblFleet[[#This Row],[Available_h]],"")</f>
        <v/>
      </c>
    </row>
    <row r="1764">
      <c r="A1764" s="54" t="n"/>
      <c r="B1764" s="61" t="n"/>
      <c r="C1764" s="62" t="n"/>
      <c r="D1764" s="57" t="n"/>
      <c r="E1764" s="57" t="n"/>
      <c r="F1764" s="58" t="n"/>
      <c r="G1764" s="66">
        <f>IF(tblFleet[[#This Row],[Units]]="","",tblFleet[[#This Row],[Units]]*cfg_HoursPerDay)</f>
        <v/>
      </c>
      <c r="H1764" s="66">
        <f>IF(tblFleet[[#This Row],[Units]]="","",tblFleet[[#This Row],[Calendar_h]]-tblFleet[[#This Row],[Down_h]])</f>
        <v/>
      </c>
      <c r="I1764" s="60">
        <f>IF(AND(tblFleet[[#This Row],[Units]]&lt;&gt;"",tblFleet[[#This Row],[Calendar_h]]&gt;0),tblFleet[[#This Row],[Available_h]]/tblFleet[[#This Row],[Calendar_h]],"")</f>
        <v/>
      </c>
      <c r="J1764" s="60">
        <f>IF(AND(tblFleet[[#This Row],[Units]]&lt;&gt;"",tblFleet[[#This Row],[Available_h]]&gt;0),tblFleet[[#This Row],[Operating_h]]/tblFleet[[#This Row],[Available_h]],"")</f>
        <v/>
      </c>
    </row>
    <row r="1765">
      <c r="A1765" s="54" t="n"/>
      <c r="B1765" s="61" t="n"/>
      <c r="C1765" s="62" t="n"/>
      <c r="D1765" s="57" t="n"/>
      <c r="E1765" s="57" t="n"/>
      <c r="F1765" s="58" t="n"/>
      <c r="G1765" s="66">
        <f>IF(tblFleet[[#This Row],[Units]]="","",tblFleet[[#This Row],[Units]]*cfg_HoursPerDay)</f>
        <v/>
      </c>
      <c r="H1765" s="66">
        <f>IF(tblFleet[[#This Row],[Units]]="","",tblFleet[[#This Row],[Calendar_h]]-tblFleet[[#This Row],[Down_h]])</f>
        <v/>
      </c>
      <c r="I1765" s="60">
        <f>IF(AND(tblFleet[[#This Row],[Units]]&lt;&gt;"",tblFleet[[#This Row],[Calendar_h]]&gt;0),tblFleet[[#This Row],[Available_h]]/tblFleet[[#This Row],[Calendar_h]],"")</f>
        <v/>
      </c>
      <c r="J1765" s="60">
        <f>IF(AND(tblFleet[[#This Row],[Units]]&lt;&gt;"",tblFleet[[#This Row],[Available_h]]&gt;0),tblFleet[[#This Row],[Operating_h]]/tblFleet[[#This Row],[Available_h]],"")</f>
        <v/>
      </c>
    </row>
    <row r="1766">
      <c r="A1766" s="54" t="n"/>
      <c r="B1766" s="61" t="n"/>
      <c r="C1766" s="62" t="n"/>
      <c r="D1766" s="57" t="n"/>
      <c r="E1766" s="57" t="n"/>
      <c r="F1766" s="58" t="n"/>
      <c r="G1766" s="66">
        <f>IF(tblFleet[[#This Row],[Units]]="","",tblFleet[[#This Row],[Units]]*cfg_HoursPerDay)</f>
        <v/>
      </c>
      <c r="H1766" s="66">
        <f>IF(tblFleet[[#This Row],[Units]]="","",tblFleet[[#This Row],[Calendar_h]]-tblFleet[[#This Row],[Down_h]])</f>
        <v/>
      </c>
      <c r="I1766" s="60">
        <f>IF(AND(tblFleet[[#This Row],[Units]]&lt;&gt;"",tblFleet[[#This Row],[Calendar_h]]&gt;0),tblFleet[[#This Row],[Available_h]]/tblFleet[[#This Row],[Calendar_h]],"")</f>
        <v/>
      </c>
      <c r="J1766" s="60">
        <f>IF(AND(tblFleet[[#This Row],[Units]]&lt;&gt;"",tblFleet[[#This Row],[Available_h]]&gt;0),tblFleet[[#This Row],[Operating_h]]/tblFleet[[#This Row],[Available_h]],"")</f>
        <v/>
      </c>
    </row>
    <row r="1767">
      <c r="A1767" s="54" t="n"/>
      <c r="B1767" s="61" t="n"/>
      <c r="C1767" s="62" t="n"/>
      <c r="D1767" s="57" t="n"/>
      <c r="E1767" s="57" t="n"/>
      <c r="F1767" s="58" t="n"/>
      <c r="G1767" s="66">
        <f>IF(tblFleet[[#This Row],[Units]]="","",tblFleet[[#This Row],[Units]]*cfg_HoursPerDay)</f>
        <v/>
      </c>
      <c r="H1767" s="66">
        <f>IF(tblFleet[[#This Row],[Units]]="","",tblFleet[[#This Row],[Calendar_h]]-tblFleet[[#This Row],[Down_h]])</f>
        <v/>
      </c>
      <c r="I1767" s="60">
        <f>IF(AND(tblFleet[[#This Row],[Units]]&lt;&gt;"",tblFleet[[#This Row],[Calendar_h]]&gt;0),tblFleet[[#This Row],[Available_h]]/tblFleet[[#This Row],[Calendar_h]],"")</f>
        <v/>
      </c>
      <c r="J1767" s="60">
        <f>IF(AND(tblFleet[[#This Row],[Units]]&lt;&gt;"",tblFleet[[#This Row],[Available_h]]&gt;0),tblFleet[[#This Row],[Operating_h]]/tblFleet[[#This Row],[Available_h]],"")</f>
        <v/>
      </c>
    </row>
    <row r="1768">
      <c r="A1768" s="54" t="n"/>
      <c r="B1768" s="61" t="n"/>
      <c r="C1768" s="62" t="n"/>
      <c r="D1768" s="57" t="n"/>
      <c r="E1768" s="57" t="n"/>
      <c r="F1768" s="58" t="n"/>
      <c r="G1768" s="66">
        <f>IF(tblFleet[[#This Row],[Units]]="","",tblFleet[[#This Row],[Units]]*cfg_HoursPerDay)</f>
        <v/>
      </c>
      <c r="H1768" s="66">
        <f>IF(tblFleet[[#This Row],[Units]]="","",tblFleet[[#This Row],[Calendar_h]]-tblFleet[[#This Row],[Down_h]])</f>
        <v/>
      </c>
      <c r="I1768" s="60">
        <f>IF(AND(tblFleet[[#This Row],[Units]]&lt;&gt;"",tblFleet[[#This Row],[Calendar_h]]&gt;0),tblFleet[[#This Row],[Available_h]]/tblFleet[[#This Row],[Calendar_h]],"")</f>
        <v/>
      </c>
      <c r="J1768" s="60">
        <f>IF(AND(tblFleet[[#This Row],[Units]]&lt;&gt;"",tblFleet[[#This Row],[Available_h]]&gt;0),tblFleet[[#This Row],[Operating_h]]/tblFleet[[#This Row],[Available_h]],"")</f>
        <v/>
      </c>
    </row>
    <row r="1769">
      <c r="A1769" s="54" t="n"/>
      <c r="B1769" s="61" t="n"/>
      <c r="C1769" s="62" t="n"/>
      <c r="D1769" s="57" t="n"/>
      <c r="E1769" s="57" t="n"/>
      <c r="F1769" s="58" t="n"/>
      <c r="G1769" s="66">
        <f>IF(tblFleet[[#This Row],[Units]]="","",tblFleet[[#This Row],[Units]]*cfg_HoursPerDay)</f>
        <v/>
      </c>
      <c r="H1769" s="66">
        <f>IF(tblFleet[[#This Row],[Units]]="","",tblFleet[[#This Row],[Calendar_h]]-tblFleet[[#This Row],[Down_h]])</f>
        <v/>
      </c>
      <c r="I1769" s="60">
        <f>IF(AND(tblFleet[[#This Row],[Units]]&lt;&gt;"",tblFleet[[#This Row],[Calendar_h]]&gt;0),tblFleet[[#This Row],[Available_h]]/tblFleet[[#This Row],[Calendar_h]],"")</f>
        <v/>
      </c>
      <c r="J1769" s="60">
        <f>IF(AND(tblFleet[[#This Row],[Units]]&lt;&gt;"",tblFleet[[#This Row],[Available_h]]&gt;0),tblFleet[[#This Row],[Operating_h]]/tblFleet[[#This Row],[Available_h]],"")</f>
        <v/>
      </c>
    </row>
    <row r="1770">
      <c r="A1770" s="54" t="n"/>
      <c r="B1770" s="61" t="n"/>
      <c r="C1770" s="62" t="n"/>
      <c r="D1770" s="57" t="n"/>
      <c r="E1770" s="57" t="n"/>
      <c r="F1770" s="58" t="n"/>
      <c r="G1770" s="66">
        <f>IF(tblFleet[[#This Row],[Units]]="","",tblFleet[[#This Row],[Units]]*cfg_HoursPerDay)</f>
        <v/>
      </c>
      <c r="H1770" s="66">
        <f>IF(tblFleet[[#This Row],[Units]]="","",tblFleet[[#This Row],[Calendar_h]]-tblFleet[[#This Row],[Down_h]])</f>
        <v/>
      </c>
      <c r="I1770" s="60">
        <f>IF(AND(tblFleet[[#This Row],[Units]]&lt;&gt;"",tblFleet[[#This Row],[Calendar_h]]&gt;0),tblFleet[[#This Row],[Available_h]]/tblFleet[[#This Row],[Calendar_h]],"")</f>
        <v/>
      </c>
      <c r="J1770" s="60">
        <f>IF(AND(tblFleet[[#This Row],[Units]]&lt;&gt;"",tblFleet[[#This Row],[Available_h]]&gt;0),tblFleet[[#This Row],[Operating_h]]/tblFleet[[#This Row],[Available_h]],"")</f>
        <v/>
      </c>
    </row>
    <row r="1771">
      <c r="A1771" s="54" t="n"/>
      <c r="B1771" s="61" t="n"/>
      <c r="C1771" s="62" t="n"/>
      <c r="D1771" s="57" t="n"/>
      <c r="E1771" s="57" t="n"/>
      <c r="F1771" s="58" t="n"/>
      <c r="G1771" s="66">
        <f>IF(tblFleet[[#This Row],[Units]]="","",tblFleet[[#This Row],[Units]]*cfg_HoursPerDay)</f>
        <v/>
      </c>
      <c r="H1771" s="66">
        <f>IF(tblFleet[[#This Row],[Units]]="","",tblFleet[[#This Row],[Calendar_h]]-tblFleet[[#This Row],[Down_h]])</f>
        <v/>
      </c>
      <c r="I1771" s="60">
        <f>IF(AND(tblFleet[[#This Row],[Units]]&lt;&gt;"",tblFleet[[#This Row],[Calendar_h]]&gt;0),tblFleet[[#This Row],[Available_h]]/tblFleet[[#This Row],[Calendar_h]],"")</f>
        <v/>
      </c>
      <c r="J1771" s="60">
        <f>IF(AND(tblFleet[[#This Row],[Units]]&lt;&gt;"",tblFleet[[#This Row],[Available_h]]&gt;0),tblFleet[[#This Row],[Operating_h]]/tblFleet[[#This Row],[Available_h]],"")</f>
        <v/>
      </c>
    </row>
    <row r="1772">
      <c r="A1772" s="54" t="n"/>
      <c r="B1772" s="61" t="n"/>
      <c r="C1772" s="62" t="n"/>
      <c r="D1772" s="57" t="n"/>
      <c r="E1772" s="57" t="n"/>
      <c r="F1772" s="58" t="n"/>
      <c r="G1772" s="66">
        <f>IF(tblFleet[[#This Row],[Units]]="","",tblFleet[[#This Row],[Units]]*cfg_HoursPerDay)</f>
        <v/>
      </c>
      <c r="H1772" s="66">
        <f>IF(tblFleet[[#This Row],[Units]]="","",tblFleet[[#This Row],[Calendar_h]]-tblFleet[[#This Row],[Down_h]])</f>
        <v/>
      </c>
      <c r="I1772" s="60">
        <f>IF(AND(tblFleet[[#This Row],[Units]]&lt;&gt;"",tblFleet[[#This Row],[Calendar_h]]&gt;0),tblFleet[[#This Row],[Available_h]]/tblFleet[[#This Row],[Calendar_h]],"")</f>
        <v/>
      </c>
      <c r="J1772" s="60">
        <f>IF(AND(tblFleet[[#This Row],[Units]]&lt;&gt;"",tblFleet[[#This Row],[Available_h]]&gt;0),tblFleet[[#This Row],[Operating_h]]/tblFleet[[#This Row],[Available_h]],"")</f>
        <v/>
      </c>
    </row>
    <row r="1773">
      <c r="A1773" s="54" t="n"/>
      <c r="B1773" s="61" t="n"/>
      <c r="C1773" s="62" t="n"/>
      <c r="D1773" s="57" t="n"/>
      <c r="E1773" s="57" t="n"/>
      <c r="F1773" s="58" t="n"/>
      <c r="G1773" s="66">
        <f>IF(tblFleet[[#This Row],[Units]]="","",tblFleet[[#This Row],[Units]]*cfg_HoursPerDay)</f>
        <v/>
      </c>
      <c r="H1773" s="66">
        <f>IF(tblFleet[[#This Row],[Units]]="","",tblFleet[[#This Row],[Calendar_h]]-tblFleet[[#This Row],[Down_h]])</f>
        <v/>
      </c>
      <c r="I1773" s="60">
        <f>IF(AND(tblFleet[[#This Row],[Units]]&lt;&gt;"",tblFleet[[#This Row],[Calendar_h]]&gt;0),tblFleet[[#This Row],[Available_h]]/tblFleet[[#This Row],[Calendar_h]],"")</f>
        <v/>
      </c>
      <c r="J1773" s="60">
        <f>IF(AND(tblFleet[[#This Row],[Units]]&lt;&gt;"",tblFleet[[#This Row],[Available_h]]&gt;0),tblFleet[[#This Row],[Operating_h]]/tblFleet[[#This Row],[Available_h]],"")</f>
        <v/>
      </c>
    </row>
    <row r="1774">
      <c r="A1774" s="54" t="n"/>
      <c r="B1774" s="61" t="n"/>
      <c r="C1774" s="62" t="n"/>
      <c r="D1774" s="57" t="n"/>
      <c r="E1774" s="57" t="n"/>
      <c r="F1774" s="58" t="n"/>
      <c r="G1774" s="66">
        <f>IF(tblFleet[[#This Row],[Units]]="","",tblFleet[[#This Row],[Units]]*cfg_HoursPerDay)</f>
        <v/>
      </c>
      <c r="H1774" s="66">
        <f>IF(tblFleet[[#This Row],[Units]]="","",tblFleet[[#This Row],[Calendar_h]]-tblFleet[[#This Row],[Down_h]])</f>
        <v/>
      </c>
      <c r="I1774" s="60">
        <f>IF(AND(tblFleet[[#This Row],[Units]]&lt;&gt;"",tblFleet[[#This Row],[Calendar_h]]&gt;0),tblFleet[[#This Row],[Available_h]]/tblFleet[[#This Row],[Calendar_h]],"")</f>
        <v/>
      </c>
      <c r="J1774" s="60">
        <f>IF(AND(tblFleet[[#This Row],[Units]]&lt;&gt;"",tblFleet[[#This Row],[Available_h]]&gt;0),tblFleet[[#This Row],[Operating_h]]/tblFleet[[#This Row],[Available_h]],"")</f>
        <v/>
      </c>
    </row>
    <row r="1775">
      <c r="A1775" s="54" t="n"/>
      <c r="B1775" s="61" t="n"/>
      <c r="C1775" s="62" t="n"/>
      <c r="D1775" s="57" t="n"/>
      <c r="E1775" s="57" t="n"/>
      <c r="F1775" s="58" t="n"/>
      <c r="G1775" s="66">
        <f>IF(tblFleet[[#This Row],[Units]]="","",tblFleet[[#This Row],[Units]]*cfg_HoursPerDay)</f>
        <v/>
      </c>
      <c r="H1775" s="66">
        <f>IF(tblFleet[[#This Row],[Units]]="","",tblFleet[[#This Row],[Calendar_h]]-tblFleet[[#This Row],[Down_h]])</f>
        <v/>
      </c>
      <c r="I1775" s="60">
        <f>IF(AND(tblFleet[[#This Row],[Units]]&lt;&gt;"",tblFleet[[#This Row],[Calendar_h]]&gt;0),tblFleet[[#This Row],[Available_h]]/tblFleet[[#This Row],[Calendar_h]],"")</f>
        <v/>
      </c>
      <c r="J1775" s="60">
        <f>IF(AND(tblFleet[[#This Row],[Units]]&lt;&gt;"",tblFleet[[#This Row],[Available_h]]&gt;0),tblFleet[[#This Row],[Operating_h]]/tblFleet[[#This Row],[Available_h]],"")</f>
        <v/>
      </c>
    </row>
    <row r="1776">
      <c r="A1776" s="54" t="n"/>
      <c r="B1776" s="61" t="n"/>
      <c r="C1776" s="62" t="n"/>
      <c r="D1776" s="57" t="n"/>
      <c r="E1776" s="57" t="n"/>
      <c r="F1776" s="58" t="n"/>
      <c r="G1776" s="66">
        <f>IF(tblFleet[[#This Row],[Units]]="","",tblFleet[[#This Row],[Units]]*cfg_HoursPerDay)</f>
        <v/>
      </c>
      <c r="H1776" s="66">
        <f>IF(tblFleet[[#This Row],[Units]]="","",tblFleet[[#This Row],[Calendar_h]]-tblFleet[[#This Row],[Down_h]])</f>
        <v/>
      </c>
      <c r="I1776" s="60">
        <f>IF(AND(tblFleet[[#This Row],[Units]]&lt;&gt;"",tblFleet[[#This Row],[Calendar_h]]&gt;0),tblFleet[[#This Row],[Available_h]]/tblFleet[[#This Row],[Calendar_h]],"")</f>
        <v/>
      </c>
      <c r="J1776" s="60">
        <f>IF(AND(tblFleet[[#This Row],[Units]]&lt;&gt;"",tblFleet[[#This Row],[Available_h]]&gt;0),tblFleet[[#This Row],[Operating_h]]/tblFleet[[#This Row],[Available_h]],"")</f>
        <v/>
      </c>
    </row>
    <row r="1777">
      <c r="A1777" s="54" t="n"/>
      <c r="B1777" s="61" t="n"/>
      <c r="C1777" s="62" t="n"/>
      <c r="D1777" s="57" t="n"/>
      <c r="E1777" s="57" t="n"/>
      <c r="F1777" s="58" t="n"/>
      <c r="G1777" s="66">
        <f>IF(tblFleet[[#This Row],[Units]]="","",tblFleet[[#This Row],[Units]]*cfg_HoursPerDay)</f>
        <v/>
      </c>
      <c r="H1777" s="66">
        <f>IF(tblFleet[[#This Row],[Units]]="","",tblFleet[[#This Row],[Calendar_h]]-tblFleet[[#This Row],[Down_h]])</f>
        <v/>
      </c>
      <c r="I1777" s="60">
        <f>IF(AND(tblFleet[[#This Row],[Units]]&lt;&gt;"",tblFleet[[#This Row],[Calendar_h]]&gt;0),tblFleet[[#This Row],[Available_h]]/tblFleet[[#This Row],[Calendar_h]],"")</f>
        <v/>
      </c>
      <c r="J1777" s="60">
        <f>IF(AND(tblFleet[[#This Row],[Units]]&lt;&gt;"",tblFleet[[#This Row],[Available_h]]&gt;0),tblFleet[[#This Row],[Operating_h]]/tblFleet[[#This Row],[Available_h]],"")</f>
        <v/>
      </c>
    </row>
    <row r="1778">
      <c r="A1778" s="54" t="n"/>
      <c r="B1778" s="61" t="n"/>
      <c r="C1778" s="62" t="n"/>
      <c r="D1778" s="57" t="n"/>
      <c r="E1778" s="57" t="n"/>
      <c r="F1778" s="58" t="n"/>
      <c r="G1778" s="66">
        <f>IF(tblFleet[[#This Row],[Units]]="","",tblFleet[[#This Row],[Units]]*cfg_HoursPerDay)</f>
        <v/>
      </c>
      <c r="H1778" s="66">
        <f>IF(tblFleet[[#This Row],[Units]]="","",tblFleet[[#This Row],[Calendar_h]]-tblFleet[[#This Row],[Down_h]])</f>
        <v/>
      </c>
      <c r="I1778" s="60">
        <f>IF(AND(tblFleet[[#This Row],[Units]]&lt;&gt;"",tblFleet[[#This Row],[Calendar_h]]&gt;0),tblFleet[[#This Row],[Available_h]]/tblFleet[[#This Row],[Calendar_h]],"")</f>
        <v/>
      </c>
      <c r="J1778" s="60">
        <f>IF(AND(tblFleet[[#This Row],[Units]]&lt;&gt;"",tblFleet[[#This Row],[Available_h]]&gt;0),tblFleet[[#This Row],[Operating_h]]/tblFleet[[#This Row],[Available_h]],"")</f>
        <v/>
      </c>
    </row>
    <row r="1779">
      <c r="A1779" s="54" t="n"/>
      <c r="B1779" s="61" t="n"/>
      <c r="C1779" s="62" t="n"/>
      <c r="D1779" s="57" t="n"/>
      <c r="E1779" s="57" t="n"/>
      <c r="F1779" s="58" t="n"/>
      <c r="G1779" s="66">
        <f>IF(tblFleet[[#This Row],[Units]]="","",tblFleet[[#This Row],[Units]]*cfg_HoursPerDay)</f>
        <v/>
      </c>
      <c r="H1779" s="66">
        <f>IF(tblFleet[[#This Row],[Units]]="","",tblFleet[[#This Row],[Calendar_h]]-tblFleet[[#This Row],[Down_h]])</f>
        <v/>
      </c>
      <c r="I1779" s="60">
        <f>IF(AND(tblFleet[[#This Row],[Units]]&lt;&gt;"",tblFleet[[#This Row],[Calendar_h]]&gt;0),tblFleet[[#This Row],[Available_h]]/tblFleet[[#This Row],[Calendar_h]],"")</f>
        <v/>
      </c>
      <c r="J1779" s="60">
        <f>IF(AND(tblFleet[[#This Row],[Units]]&lt;&gt;"",tblFleet[[#This Row],[Available_h]]&gt;0),tblFleet[[#This Row],[Operating_h]]/tblFleet[[#This Row],[Available_h]],"")</f>
        <v/>
      </c>
    </row>
    <row r="1780">
      <c r="A1780" s="54" t="n"/>
      <c r="B1780" s="61" t="n"/>
      <c r="C1780" s="62" t="n"/>
      <c r="D1780" s="57" t="n"/>
      <c r="E1780" s="57" t="n"/>
      <c r="F1780" s="58" t="n"/>
      <c r="G1780" s="66">
        <f>IF(tblFleet[[#This Row],[Units]]="","",tblFleet[[#This Row],[Units]]*cfg_HoursPerDay)</f>
        <v/>
      </c>
      <c r="H1780" s="66">
        <f>IF(tblFleet[[#This Row],[Units]]="","",tblFleet[[#This Row],[Calendar_h]]-tblFleet[[#This Row],[Down_h]])</f>
        <v/>
      </c>
      <c r="I1780" s="60">
        <f>IF(AND(tblFleet[[#This Row],[Units]]&lt;&gt;"",tblFleet[[#This Row],[Calendar_h]]&gt;0),tblFleet[[#This Row],[Available_h]]/tblFleet[[#This Row],[Calendar_h]],"")</f>
        <v/>
      </c>
      <c r="J1780" s="60">
        <f>IF(AND(tblFleet[[#This Row],[Units]]&lt;&gt;"",tblFleet[[#This Row],[Available_h]]&gt;0),tblFleet[[#This Row],[Operating_h]]/tblFleet[[#This Row],[Available_h]],"")</f>
        <v/>
      </c>
    </row>
    <row r="1781">
      <c r="A1781" s="54" t="n"/>
      <c r="B1781" s="61" t="n"/>
      <c r="C1781" s="62" t="n"/>
      <c r="D1781" s="57" t="n"/>
      <c r="E1781" s="57" t="n"/>
      <c r="F1781" s="58" t="n"/>
      <c r="G1781" s="66">
        <f>IF(tblFleet[[#This Row],[Units]]="","",tblFleet[[#This Row],[Units]]*cfg_HoursPerDay)</f>
        <v/>
      </c>
      <c r="H1781" s="66">
        <f>IF(tblFleet[[#This Row],[Units]]="","",tblFleet[[#This Row],[Calendar_h]]-tblFleet[[#This Row],[Down_h]])</f>
        <v/>
      </c>
      <c r="I1781" s="60">
        <f>IF(AND(tblFleet[[#This Row],[Units]]&lt;&gt;"",tblFleet[[#This Row],[Calendar_h]]&gt;0),tblFleet[[#This Row],[Available_h]]/tblFleet[[#This Row],[Calendar_h]],"")</f>
        <v/>
      </c>
      <c r="J1781" s="60">
        <f>IF(AND(tblFleet[[#This Row],[Units]]&lt;&gt;"",tblFleet[[#This Row],[Available_h]]&gt;0),tblFleet[[#This Row],[Operating_h]]/tblFleet[[#This Row],[Available_h]],"")</f>
        <v/>
      </c>
    </row>
    <row r="1782">
      <c r="A1782" s="54" t="n"/>
      <c r="B1782" s="61" t="n"/>
      <c r="C1782" s="62" t="n"/>
      <c r="D1782" s="57" t="n"/>
      <c r="E1782" s="57" t="n"/>
      <c r="F1782" s="58" t="n"/>
      <c r="G1782" s="66">
        <f>IF(tblFleet[[#This Row],[Units]]="","",tblFleet[[#This Row],[Units]]*cfg_HoursPerDay)</f>
        <v/>
      </c>
      <c r="H1782" s="66">
        <f>IF(tblFleet[[#This Row],[Units]]="","",tblFleet[[#This Row],[Calendar_h]]-tblFleet[[#This Row],[Down_h]])</f>
        <v/>
      </c>
      <c r="I1782" s="60">
        <f>IF(AND(tblFleet[[#This Row],[Units]]&lt;&gt;"",tblFleet[[#This Row],[Calendar_h]]&gt;0),tblFleet[[#This Row],[Available_h]]/tblFleet[[#This Row],[Calendar_h]],"")</f>
        <v/>
      </c>
      <c r="J1782" s="60">
        <f>IF(AND(tblFleet[[#This Row],[Units]]&lt;&gt;"",tblFleet[[#This Row],[Available_h]]&gt;0),tblFleet[[#This Row],[Operating_h]]/tblFleet[[#This Row],[Available_h]],"")</f>
        <v/>
      </c>
    </row>
    <row r="1783">
      <c r="A1783" s="54" t="n"/>
      <c r="B1783" s="61" t="n"/>
      <c r="C1783" s="62" t="n"/>
      <c r="D1783" s="57" t="n"/>
      <c r="E1783" s="57" t="n"/>
      <c r="F1783" s="58" t="n"/>
      <c r="G1783" s="66">
        <f>IF(tblFleet[[#This Row],[Units]]="","",tblFleet[[#This Row],[Units]]*cfg_HoursPerDay)</f>
        <v/>
      </c>
      <c r="H1783" s="66">
        <f>IF(tblFleet[[#This Row],[Units]]="","",tblFleet[[#This Row],[Calendar_h]]-tblFleet[[#This Row],[Down_h]])</f>
        <v/>
      </c>
      <c r="I1783" s="60">
        <f>IF(AND(tblFleet[[#This Row],[Units]]&lt;&gt;"",tblFleet[[#This Row],[Calendar_h]]&gt;0),tblFleet[[#This Row],[Available_h]]/tblFleet[[#This Row],[Calendar_h]],"")</f>
        <v/>
      </c>
      <c r="J1783" s="60">
        <f>IF(AND(tblFleet[[#This Row],[Units]]&lt;&gt;"",tblFleet[[#This Row],[Available_h]]&gt;0),tblFleet[[#This Row],[Operating_h]]/tblFleet[[#This Row],[Available_h]],"")</f>
        <v/>
      </c>
    </row>
    <row r="1784">
      <c r="A1784" s="54" t="n"/>
      <c r="B1784" s="61" t="n"/>
      <c r="C1784" s="62" t="n"/>
      <c r="D1784" s="57" t="n"/>
      <c r="E1784" s="57" t="n"/>
      <c r="F1784" s="58" t="n"/>
      <c r="G1784" s="66">
        <f>IF(tblFleet[[#This Row],[Units]]="","",tblFleet[[#This Row],[Units]]*cfg_HoursPerDay)</f>
        <v/>
      </c>
      <c r="H1784" s="66">
        <f>IF(tblFleet[[#This Row],[Units]]="","",tblFleet[[#This Row],[Calendar_h]]-tblFleet[[#This Row],[Down_h]])</f>
        <v/>
      </c>
      <c r="I1784" s="60">
        <f>IF(AND(tblFleet[[#This Row],[Units]]&lt;&gt;"",tblFleet[[#This Row],[Calendar_h]]&gt;0),tblFleet[[#This Row],[Available_h]]/tblFleet[[#This Row],[Calendar_h]],"")</f>
        <v/>
      </c>
      <c r="J1784" s="60">
        <f>IF(AND(tblFleet[[#This Row],[Units]]&lt;&gt;"",tblFleet[[#This Row],[Available_h]]&gt;0),tblFleet[[#This Row],[Operating_h]]/tblFleet[[#This Row],[Available_h]],"")</f>
        <v/>
      </c>
    </row>
    <row r="1785">
      <c r="A1785" s="54" t="n"/>
      <c r="B1785" s="61" t="n"/>
      <c r="C1785" s="62" t="n"/>
      <c r="D1785" s="57" t="n"/>
      <c r="E1785" s="57" t="n"/>
      <c r="F1785" s="58" t="n"/>
      <c r="G1785" s="66">
        <f>IF(tblFleet[[#This Row],[Units]]="","",tblFleet[[#This Row],[Units]]*cfg_HoursPerDay)</f>
        <v/>
      </c>
      <c r="H1785" s="66">
        <f>IF(tblFleet[[#This Row],[Units]]="","",tblFleet[[#This Row],[Calendar_h]]-tblFleet[[#This Row],[Down_h]])</f>
        <v/>
      </c>
      <c r="I1785" s="60">
        <f>IF(AND(tblFleet[[#This Row],[Units]]&lt;&gt;"",tblFleet[[#This Row],[Calendar_h]]&gt;0),tblFleet[[#This Row],[Available_h]]/tblFleet[[#This Row],[Calendar_h]],"")</f>
        <v/>
      </c>
      <c r="J1785" s="60">
        <f>IF(AND(tblFleet[[#This Row],[Units]]&lt;&gt;"",tblFleet[[#This Row],[Available_h]]&gt;0),tblFleet[[#This Row],[Operating_h]]/tblFleet[[#This Row],[Available_h]],"")</f>
        <v/>
      </c>
    </row>
    <row r="1786">
      <c r="A1786" s="54" t="n"/>
      <c r="B1786" s="61" t="n"/>
      <c r="C1786" s="62" t="n"/>
      <c r="D1786" s="57" t="n"/>
      <c r="E1786" s="57" t="n"/>
      <c r="F1786" s="58" t="n"/>
      <c r="G1786" s="66">
        <f>IF(tblFleet[[#This Row],[Units]]="","",tblFleet[[#This Row],[Units]]*cfg_HoursPerDay)</f>
        <v/>
      </c>
      <c r="H1786" s="66">
        <f>IF(tblFleet[[#This Row],[Units]]="","",tblFleet[[#This Row],[Calendar_h]]-tblFleet[[#This Row],[Down_h]])</f>
        <v/>
      </c>
      <c r="I1786" s="60">
        <f>IF(AND(tblFleet[[#This Row],[Units]]&lt;&gt;"",tblFleet[[#This Row],[Calendar_h]]&gt;0),tblFleet[[#This Row],[Available_h]]/tblFleet[[#This Row],[Calendar_h]],"")</f>
        <v/>
      </c>
      <c r="J1786" s="60">
        <f>IF(AND(tblFleet[[#This Row],[Units]]&lt;&gt;"",tblFleet[[#This Row],[Available_h]]&gt;0),tblFleet[[#This Row],[Operating_h]]/tblFleet[[#This Row],[Available_h]],"")</f>
        <v/>
      </c>
    </row>
    <row r="1787">
      <c r="A1787" s="54" t="n"/>
      <c r="B1787" s="61" t="n"/>
      <c r="C1787" s="62" t="n"/>
      <c r="D1787" s="57" t="n"/>
      <c r="E1787" s="57" t="n"/>
      <c r="F1787" s="58" t="n"/>
      <c r="G1787" s="66">
        <f>IF(tblFleet[[#This Row],[Units]]="","",tblFleet[[#This Row],[Units]]*cfg_HoursPerDay)</f>
        <v/>
      </c>
      <c r="H1787" s="66">
        <f>IF(tblFleet[[#This Row],[Units]]="","",tblFleet[[#This Row],[Calendar_h]]-tblFleet[[#This Row],[Down_h]])</f>
        <v/>
      </c>
      <c r="I1787" s="60">
        <f>IF(AND(tblFleet[[#This Row],[Units]]&lt;&gt;"",tblFleet[[#This Row],[Calendar_h]]&gt;0),tblFleet[[#This Row],[Available_h]]/tblFleet[[#This Row],[Calendar_h]],"")</f>
        <v/>
      </c>
      <c r="J1787" s="60">
        <f>IF(AND(tblFleet[[#This Row],[Units]]&lt;&gt;"",tblFleet[[#This Row],[Available_h]]&gt;0),tblFleet[[#This Row],[Operating_h]]/tblFleet[[#This Row],[Available_h]],"")</f>
        <v/>
      </c>
    </row>
    <row r="1788">
      <c r="A1788" s="54" t="n"/>
      <c r="B1788" s="61" t="n"/>
      <c r="C1788" s="62" t="n"/>
      <c r="D1788" s="57" t="n"/>
      <c r="E1788" s="57" t="n"/>
      <c r="F1788" s="58" t="n"/>
      <c r="G1788" s="66">
        <f>IF(tblFleet[[#This Row],[Units]]="","",tblFleet[[#This Row],[Units]]*cfg_HoursPerDay)</f>
        <v/>
      </c>
      <c r="H1788" s="66">
        <f>IF(tblFleet[[#This Row],[Units]]="","",tblFleet[[#This Row],[Calendar_h]]-tblFleet[[#This Row],[Down_h]])</f>
        <v/>
      </c>
      <c r="I1788" s="60">
        <f>IF(AND(tblFleet[[#This Row],[Units]]&lt;&gt;"",tblFleet[[#This Row],[Calendar_h]]&gt;0),tblFleet[[#This Row],[Available_h]]/tblFleet[[#This Row],[Calendar_h]],"")</f>
        <v/>
      </c>
      <c r="J1788" s="60">
        <f>IF(AND(tblFleet[[#This Row],[Units]]&lt;&gt;"",tblFleet[[#This Row],[Available_h]]&gt;0),tblFleet[[#This Row],[Operating_h]]/tblFleet[[#This Row],[Available_h]],"")</f>
        <v/>
      </c>
    </row>
    <row r="1789">
      <c r="A1789" s="54" t="n"/>
      <c r="B1789" s="61" t="n"/>
      <c r="C1789" s="62" t="n"/>
      <c r="D1789" s="57" t="n"/>
      <c r="E1789" s="57" t="n"/>
      <c r="F1789" s="58" t="n"/>
      <c r="G1789" s="66">
        <f>IF(tblFleet[[#This Row],[Units]]="","",tblFleet[[#This Row],[Units]]*cfg_HoursPerDay)</f>
        <v/>
      </c>
      <c r="H1789" s="66">
        <f>IF(tblFleet[[#This Row],[Units]]="","",tblFleet[[#This Row],[Calendar_h]]-tblFleet[[#This Row],[Down_h]])</f>
        <v/>
      </c>
      <c r="I1789" s="60">
        <f>IF(AND(tblFleet[[#This Row],[Units]]&lt;&gt;"",tblFleet[[#This Row],[Calendar_h]]&gt;0),tblFleet[[#This Row],[Available_h]]/tblFleet[[#This Row],[Calendar_h]],"")</f>
        <v/>
      </c>
      <c r="J1789" s="60">
        <f>IF(AND(tblFleet[[#This Row],[Units]]&lt;&gt;"",tblFleet[[#This Row],[Available_h]]&gt;0),tblFleet[[#This Row],[Operating_h]]/tblFleet[[#This Row],[Available_h]],"")</f>
        <v/>
      </c>
    </row>
    <row r="1790">
      <c r="A1790" s="54" t="n"/>
      <c r="B1790" s="61" t="n"/>
      <c r="C1790" s="62" t="n"/>
      <c r="D1790" s="57" t="n"/>
      <c r="E1790" s="57" t="n"/>
      <c r="F1790" s="58" t="n"/>
      <c r="G1790" s="66">
        <f>IF(tblFleet[[#This Row],[Units]]="","",tblFleet[[#This Row],[Units]]*cfg_HoursPerDay)</f>
        <v/>
      </c>
      <c r="H1790" s="66">
        <f>IF(tblFleet[[#This Row],[Units]]="","",tblFleet[[#This Row],[Calendar_h]]-tblFleet[[#This Row],[Down_h]])</f>
        <v/>
      </c>
      <c r="I1790" s="60">
        <f>IF(AND(tblFleet[[#This Row],[Units]]&lt;&gt;"",tblFleet[[#This Row],[Calendar_h]]&gt;0),tblFleet[[#This Row],[Available_h]]/tblFleet[[#This Row],[Calendar_h]],"")</f>
        <v/>
      </c>
      <c r="J1790" s="60">
        <f>IF(AND(tblFleet[[#This Row],[Units]]&lt;&gt;"",tblFleet[[#This Row],[Available_h]]&gt;0),tblFleet[[#This Row],[Operating_h]]/tblFleet[[#This Row],[Available_h]],"")</f>
        <v/>
      </c>
    </row>
    <row r="1791">
      <c r="A1791" s="54" t="n"/>
      <c r="B1791" s="61" t="n"/>
      <c r="C1791" s="62" t="n"/>
      <c r="D1791" s="57" t="n"/>
      <c r="E1791" s="57" t="n"/>
      <c r="F1791" s="58" t="n"/>
      <c r="G1791" s="66">
        <f>IF(tblFleet[[#This Row],[Units]]="","",tblFleet[[#This Row],[Units]]*cfg_HoursPerDay)</f>
        <v/>
      </c>
      <c r="H1791" s="66">
        <f>IF(tblFleet[[#This Row],[Units]]="","",tblFleet[[#This Row],[Calendar_h]]-tblFleet[[#This Row],[Down_h]])</f>
        <v/>
      </c>
      <c r="I1791" s="60">
        <f>IF(AND(tblFleet[[#This Row],[Units]]&lt;&gt;"",tblFleet[[#This Row],[Calendar_h]]&gt;0),tblFleet[[#This Row],[Available_h]]/tblFleet[[#This Row],[Calendar_h]],"")</f>
        <v/>
      </c>
      <c r="J1791" s="60">
        <f>IF(AND(tblFleet[[#This Row],[Units]]&lt;&gt;"",tblFleet[[#This Row],[Available_h]]&gt;0),tblFleet[[#This Row],[Operating_h]]/tblFleet[[#This Row],[Available_h]],"")</f>
        <v/>
      </c>
    </row>
    <row r="1792">
      <c r="A1792" s="54" t="n"/>
      <c r="B1792" s="61" t="n"/>
      <c r="C1792" s="62" t="n"/>
      <c r="D1792" s="57" t="n"/>
      <c r="E1792" s="57" t="n"/>
      <c r="F1792" s="58" t="n"/>
      <c r="G1792" s="66">
        <f>IF(tblFleet[[#This Row],[Units]]="","",tblFleet[[#This Row],[Units]]*cfg_HoursPerDay)</f>
        <v/>
      </c>
      <c r="H1792" s="66">
        <f>IF(tblFleet[[#This Row],[Units]]="","",tblFleet[[#This Row],[Calendar_h]]-tblFleet[[#This Row],[Down_h]])</f>
        <v/>
      </c>
      <c r="I1792" s="60">
        <f>IF(AND(tblFleet[[#This Row],[Units]]&lt;&gt;"",tblFleet[[#This Row],[Calendar_h]]&gt;0),tblFleet[[#This Row],[Available_h]]/tblFleet[[#This Row],[Calendar_h]],"")</f>
        <v/>
      </c>
      <c r="J1792" s="60">
        <f>IF(AND(tblFleet[[#This Row],[Units]]&lt;&gt;"",tblFleet[[#This Row],[Available_h]]&gt;0),tblFleet[[#This Row],[Operating_h]]/tblFleet[[#This Row],[Available_h]],"")</f>
        <v/>
      </c>
    </row>
    <row r="1793">
      <c r="A1793" s="54" t="n"/>
      <c r="B1793" s="61" t="n"/>
      <c r="C1793" s="62" t="n"/>
      <c r="D1793" s="57" t="n"/>
      <c r="E1793" s="57" t="n"/>
      <c r="F1793" s="58" t="n"/>
      <c r="G1793" s="66">
        <f>IF(tblFleet[[#This Row],[Units]]="","",tblFleet[[#This Row],[Units]]*cfg_HoursPerDay)</f>
        <v/>
      </c>
      <c r="H1793" s="66">
        <f>IF(tblFleet[[#This Row],[Units]]="","",tblFleet[[#This Row],[Calendar_h]]-tblFleet[[#This Row],[Down_h]])</f>
        <v/>
      </c>
      <c r="I1793" s="60">
        <f>IF(AND(tblFleet[[#This Row],[Units]]&lt;&gt;"",tblFleet[[#This Row],[Calendar_h]]&gt;0),tblFleet[[#This Row],[Available_h]]/tblFleet[[#This Row],[Calendar_h]],"")</f>
        <v/>
      </c>
      <c r="J1793" s="60">
        <f>IF(AND(tblFleet[[#This Row],[Units]]&lt;&gt;"",tblFleet[[#This Row],[Available_h]]&gt;0),tblFleet[[#This Row],[Operating_h]]/tblFleet[[#This Row],[Available_h]],"")</f>
        <v/>
      </c>
    </row>
    <row r="1794">
      <c r="A1794" s="54" t="n"/>
      <c r="B1794" s="61" t="n"/>
      <c r="C1794" s="62" t="n"/>
      <c r="D1794" s="57" t="n"/>
      <c r="E1794" s="57" t="n"/>
      <c r="F1794" s="58" t="n"/>
      <c r="G1794" s="66">
        <f>IF(tblFleet[[#This Row],[Units]]="","",tblFleet[[#This Row],[Units]]*cfg_HoursPerDay)</f>
        <v/>
      </c>
      <c r="H1794" s="66">
        <f>IF(tblFleet[[#This Row],[Units]]="","",tblFleet[[#This Row],[Calendar_h]]-tblFleet[[#This Row],[Down_h]])</f>
        <v/>
      </c>
      <c r="I1794" s="60">
        <f>IF(AND(tblFleet[[#This Row],[Units]]&lt;&gt;"",tblFleet[[#This Row],[Calendar_h]]&gt;0),tblFleet[[#This Row],[Available_h]]/tblFleet[[#This Row],[Calendar_h]],"")</f>
        <v/>
      </c>
      <c r="J1794" s="60">
        <f>IF(AND(tblFleet[[#This Row],[Units]]&lt;&gt;"",tblFleet[[#This Row],[Available_h]]&gt;0),tblFleet[[#This Row],[Operating_h]]/tblFleet[[#This Row],[Available_h]],"")</f>
        <v/>
      </c>
    </row>
    <row r="1795">
      <c r="A1795" s="54" t="n"/>
      <c r="B1795" s="61" t="n"/>
      <c r="C1795" s="62" t="n"/>
      <c r="D1795" s="57" t="n"/>
      <c r="E1795" s="57" t="n"/>
      <c r="F1795" s="58" t="n"/>
      <c r="G1795" s="66">
        <f>IF(tblFleet[[#This Row],[Units]]="","",tblFleet[[#This Row],[Units]]*cfg_HoursPerDay)</f>
        <v/>
      </c>
      <c r="H1795" s="66">
        <f>IF(tblFleet[[#This Row],[Units]]="","",tblFleet[[#This Row],[Calendar_h]]-tblFleet[[#This Row],[Down_h]])</f>
        <v/>
      </c>
      <c r="I1795" s="60">
        <f>IF(AND(tblFleet[[#This Row],[Units]]&lt;&gt;"",tblFleet[[#This Row],[Calendar_h]]&gt;0),tblFleet[[#This Row],[Available_h]]/tblFleet[[#This Row],[Calendar_h]],"")</f>
        <v/>
      </c>
      <c r="J1795" s="60">
        <f>IF(AND(tblFleet[[#This Row],[Units]]&lt;&gt;"",tblFleet[[#This Row],[Available_h]]&gt;0),tblFleet[[#This Row],[Operating_h]]/tblFleet[[#This Row],[Available_h]],"")</f>
        <v/>
      </c>
    </row>
    <row r="1796">
      <c r="A1796" s="54" t="n"/>
      <c r="B1796" s="61" t="n"/>
      <c r="C1796" s="62" t="n"/>
      <c r="D1796" s="57" t="n"/>
      <c r="E1796" s="57" t="n"/>
      <c r="F1796" s="58" t="n"/>
      <c r="G1796" s="66">
        <f>IF(tblFleet[[#This Row],[Units]]="","",tblFleet[[#This Row],[Units]]*cfg_HoursPerDay)</f>
        <v/>
      </c>
      <c r="H1796" s="66">
        <f>IF(tblFleet[[#This Row],[Units]]="","",tblFleet[[#This Row],[Calendar_h]]-tblFleet[[#This Row],[Down_h]])</f>
        <v/>
      </c>
      <c r="I1796" s="60">
        <f>IF(AND(tblFleet[[#This Row],[Units]]&lt;&gt;"",tblFleet[[#This Row],[Calendar_h]]&gt;0),tblFleet[[#This Row],[Available_h]]/tblFleet[[#This Row],[Calendar_h]],"")</f>
        <v/>
      </c>
      <c r="J1796" s="60">
        <f>IF(AND(tblFleet[[#This Row],[Units]]&lt;&gt;"",tblFleet[[#This Row],[Available_h]]&gt;0),tblFleet[[#This Row],[Operating_h]]/tblFleet[[#This Row],[Available_h]],"")</f>
        <v/>
      </c>
    </row>
    <row r="1797">
      <c r="A1797" s="54" t="n"/>
      <c r="B1797" s="61" t="n"/>
      <c r="C1797" s="62" t="n"/>
      <c r="D1797" s="57" t="n"/>
      <c r="E1797" s="57" t="n"/>
      <c r="F1797" s="58" t="n"/>
      <c r="G1797" s="66">
        <f>IF(tblFleet[[#This Row],[Units]]="","",tblFleet[[#This Row],[Units]]*cfg_HoursPerDay)</f>
        <v/>
      </c>
      <c r="H1797" s="66">
        <f>IF(tblFleet[[#This Row],[Units]]="","",tblFleet[[#This Row],[Calendar_h]]-tblFleet[[#This Row],[Down_h]])</f>
        <v/>
      </c>
      <c r="I1797" s="60">
        <f>IF(AND(tblFleet[[#This Row],[Units]]&lt;&gt;"",tblFleet[[#This Row],[Calendar_h]]&gt;0),tblFleet[[#This Row],[Available_h]]/tblFleet[[#This Row],[Calendar_h]],"")</f>
        <v/>
      </c>
      <c r="J1797" s="60">
        <f>IF(AND(tblFleet[[#This Row],[Units]]&lt;&gt;"",tblFleet[[#This Row],[Available_h]]&gt;0),tblFleet[[#This Row],[Operating_h]]/tblFleet[[#This Row],[Available_h]],"")</f>
        <v/>
      </c>
    </row>
    <row r="1798">
      <c r="A1798" s="54" t="n"/>
      <c r="B1798" s="61" t="n"/>
      <c r="C1798" s="62" t="n"/>
      <c r="D1798" s="57" t="n"/>
      <c r="E1798" s="57" t="n"/>
      <c r="F1798" s="58" t="n"/>
      <c r="G1798" s="66">
        <f>IF(tblFleet[[#This Row],[Units]]="","",tblFleet[[#This Row],[Units]]*cfg_HoursPerDay)</f>
        <v/>
      </c>
      <c r="H1798" s="66">
        <f>IF(tblFleet[[#This Row],[Units]]="","",tblFleet[[#This Row],[Calendar_h]]-tblFleet[[#This Row],[Down_h]])</f>
        <v/>
      </c>
      <c r="I1798" s="60">
        <f>IF(AND(tblFleet[[#This Row],[Units]]&lt;&gt;"",tblFleet[[#This Row],[Calendar_h]]&gt;0),tblFleet[[#This Row],[Available_h]]/tblFleet[[#This Row],[Calendar_h]],"")</f>
        <v/>
      </c>
      <c r="J1798" s="60">
        <f>IF(AND(tblFleet[[#This Row],[Units]]&lt;&gt;"",tblFleet[[#This Row],[Available_h]]&gt;0),tblFleet[[#This Row],[Operating_h]]/tblFleet[[#This Row],[Available_h]],"")</f>
        <v/>
      </c>
    </row>
    <row r="1799">
      <c r="A1799" s="54" t="n"/>
      <c r="B1799" s="61" t="n"/>
      <c r="C1799" s="62" t="n"/>
      <c r="D1799" s="57" t="n"/>
      <c r="E1799" s="57" t="n"/>
      <c r="F1799" s="58" t="n"/>
      <c r="G1799" s="66">
        <f>IF(tblFleet[[#This Row],[Units]]="","",tblFleet[[#This Row],[Units]]*cfg_HoursPerDay)</f>
        <v/>
      </c>
      <c r="H1799" s="66">
        <f>IF(tblFleet[[#This Row],[Units]]="","",tblFleet[[#This Row],[Calendar_h]]-tblFleet[[#This Row],[Down_h]])</f>
        <v/>
      </c>
      <c r="I1799" s="60">
        <f>IF(AND(tblFleet[[#This Row],[Units]]&lt;&gt;"",tblFleet[[#This Row],[Calendar_h]]&gt;0),tblFleet[[#This Row],[Available_h]]/tblFleet[[#This Row],[Calendar_h]],"")</f>
        <v/>
      </c>
      <c r="J1799" s="60">
        <f>IF(AND(tblFleet[[#This Row],[Units]]&lt;&gt;"",tblFleet[[#This Row],[Available_h]]&gt;0),tblFleet[[#This Row],[Operating_h]]/tblFleet[[#This Row],[Available_h]],"")</f>
        <v/>
      </c>
    </row>
    <row r="1800">
      <c r="A1800" s="54" t="n"/>
      <c r="B1800" s="61" t="n"/>
      <c r="C1800" s="62" t="n"/>
      <c r="D1800" s="57" t="n"/>
      <c r="E1800" s="57" t="n"/>
      <c r="F1800" s="58" t="n"/>
      <c r="G1800" s="66">
        <f>IF(tblFleet[[#This Row],[Units]]="","",tblFleet[[#This Row],[Units]]*cfg_HoursPerDay)</f>
        <v/>
      </c>
      <c r="H1800" s="66">
        <f>IF(tblFleet[[#This Row],[Units]]="","",tblFleet[[#This Row],[Calendar_h]]-tblFleet[[#This Row],[Down_h]])</f>
        <v/>
      </c>
      <c r="I1800" s="60">
        <f>IF(AND(tblFleet[[#This Row],[Units]]&lt;&gt;"",tblFleet[[#This Row],[Calendar_h]]&gt;0),tblFleet[[#This Row],[Available_h]]/tblFleet[[#This Row],[Calendar_h]],"")</f>
        <v/>
      </c>
      <c r="J1800" s="60">
        <f>IF(AND(tblFleet[[#This Row],[Units]]&lt;&gt;"",tblFleet[[#This Row],[Available_h]]&gt;0),tblFleet[[#This Row],[Operating_h]]/tblFleet[[#This Row],[Available_h]],"")</f>
        <v/>
      </c>
    </row>
    <row r="1801">
      <c r="A1801" s="54" t="n"/>
      <c r="B1801" s="61" t="n"/>
      <c r="C1801" s="62" t="n"/>
      <c r="D1801" s="57" t="n"/>
      <c r="E1801" s="57" t="n"/>
      <c r="F1801" s="58" t="n"/>
      <c r="G1801" s="66">
        <f>IF(tblFleet[[#This Row],[Units]]="","",tblFleet[[#This Row],[Units]]*cfg_HoursPerDay)</f>
        <v/>
      </c>
      <c r="H1801" s="66">
        <f>IF(tblFleet[[#This Row],[Units]]="","",tblFleet[[#This Row],[Calendar_h]]-tblFleet[[#This Row],[Down_h]])</f>
        <v/>
      </c>
      <c r="I1801" s="60">
        <f>IF(AND(tblFleet[[#This Row],[Units]]&lt;&gt;"",tblFleet[[#This Row],[Calendar_h]]&gt;0),tblFleet[[#This Row],[Available_h]]/tblFleet[[#This Row],[Calendar_h]],"")</f>
        <v/>
      </c>
      <c r="J1801" s="60">
        <f>IF(AND(tblFleet[[#This Row],[Units]]&lt;&gt;"",tblFleet[[#This Row],[Available_h]]&gt;0),tblFleet[[#This Row],[Operating_h]]/tblFleet[[#This Row],[Available_h]],"")</f>
        <v/>
      </c>
    </row>
    <row r="1802">
      <c r="A1802" s="54" t="n"/>
      <c r="B1802" s="61" t="n"/>
      <c r="C1802" s="62" t="n"/>
      <c r="D1802" s="57" t="n"/>
      <c r="E1802" s="57" t="n"/>
      <c r="F1802" s="58" t="n"/>
      <c r="G1802" s="66">
        <f>IF(tblFleet[[#This Row],[Units]]="","",tblFleet[[#This Row],[Units]]*cfg_HoursPerDay)</f>
        <v/>
      </c>
      <c r="H1802" s="66">
        <f>IF(tblFleet[[#This Row],[Units]]="","",tblFleet[[#This Row],[Calendar_h]]-tblFleet[[#This Row],[Down_h]])</f>
        <v/>
      </c>
      <c r="I1802" s="60">
        <f>IF(AND(tblFleet[[#This Row],[Units]]&lt;&gt;"",tblFleet[[#This Row],[Calendar_h]]&gt;0),tblFleet[[#This Row],[Available_h]]/tblFleet[[#This Row],[Calendar_h]],"")</f>
        <v/>
      </c>
      <c r="J1802" s="60">
        <f>IF(AND(tblFleet[[#This Row],[Units]]&lt;&gt;"",tblFleet[[#This Row],[Available_h]]&gt;0),tblFleet[[#This Row],[Operating_h]]/tblFleet[[#This Row],[Available_h]],"")</f>
        <v/>
      </c>
    </row>
    <row r="1803">
      <c r="A1803" s="54" t="n"/>
      <c r="B1803" s="61" t="n"/>
      <c r="C1803" s="62" t="n"/>
      <c r="D1803" s="57" t="n"/>
      <c r="E1803" s="57" t="n"/>
      <c r="F1803" s="58" t="n"/>
      <c r="G1803" s="66">
        <f>IF(tblFleet[[#This Row],[Units]]="","",tblFleet[[#This Row],[Units]]*cfg_HoursPerDay)</f>
        <v/>
      </c>
      <c r="H1803" s="66">
        <f>IF(tblFleet[[#This Row],[Units]]="","",tblFleet[[#This Row],[Calendar_h]]-tblFleet[[#This Row],[Down_h]])</f>
        <v/>
      </c>
      <c r="I1803" s="60">
        <f>IF(AND(tblFleet[[#This Row],[Units]]&lt;&gt;"",tblFleet[[#This Row],[Calendar_h]]&gt;0),tblFleet[[#This Row],[Available_h]]/tblFleet[[#This Row],[Calendar_h]],"")</f>
        <v/>
      </c>
      <c r="J1803" s="60">
        <f>IF(AND(tblFleet[[#This Row],[Units]]&lt;&gt;"",tblFleet[[#This Row],[Available_h]]&gt;0),tblFleet[[#This Row],[Operating_h]]/tblFleet[[#This Row],[Available_h]],"")</f>
        <v/>
      </c>
    </row>
    <row r="1804">
      <c r="A1804" s="54" t="n"/>
      <c r="B1804" s="61" t="n"/>
      <c r="C1804" s="62" t="n"/>
      <c r="D1804" s="57" t="n"/>
      <c r="E1804" s="57" t="n"/>
      <c r="F1804" s="58" t="n"/>
      <c r="G1804" s="66">
        <f>IF(tblFleet[[#This Row],[Units]]="","",tblFleet[[#This Row],[Units]]*cfg_HoursPerDay)</f>
        <v/>
      </c>
      <c r="H1804" s="66">
        <f>IF(tblFleet[[#This Row],[Units]]="","",tblFleet[[#This Row],[Calendar_h]]-tblFleet[[#This Row],[Down_h]])</f>
        <v/>
      </c>
      <c r="I1804" s="60">
        <f>IF(AND(tblFleet[[#This Row],[Units]]&lt;&gt;"",tblFleet[[#This Row],[Calendar_h]]&gt;0),tblFleet[[#This Row],[Available_h]]/tblFleet[[#This Row],[Calendar_h]],"")</f>
        <v/>
      </c>
      <c r="J1804" s="60">
        <f>IF(AND(tblFleet[[#This Row],[Units]]&lt;&gt;"",tblFleet[[#This Row],[Available_h]]&gt;0),tblFleet[[#This Row],[Operating_h]]/tblFleet[[#This Row],[Available_h]],"")</f>
        <v/>
      </c>
    </row>
    <row r="1805">
      <c r="A1805" s="54" t="n"/>
      <c r="B1805" s="61" t="n"/>
      <c r="C1805" s="62" t="n"/>
      <c r="D1805" s="57" t="n"/>
      <c r="E1805" s="57" t="n"/>
      <c r="F1805" s="58" t="n"/>
      <c r="G1805" s="66">
        <f>IF(tblFleet[[#This Row],[Units]]="","",tblFleet[[#This Row],[Units]]*cfg_HoursPerDay)</f>
        <v/>
      </c>
      <c r="H1805" s="66">
        <f>IF(tblFleet[[#This Row],[Units]]="","",tblFleet[[#This Row],[Calendar_h]]-tblFleet[[#This Row],[Down_h]])</f>
        <v/>
      </c>
      <c r="I1805" s="60">
        <f>IF(AND(tblFleet[[#This Row],[Units]]&lt;&gt;"",tblFleet[[#This Row],[Calendar_h]]&gt;0),tblFleet[[#This Row],[Available_h]]/tblFleet[[#This Row],[Calendar_h]],"")</f>
        <v/>
      </c>
      <c r="J1805" s="60">
        <f>IF(AND(tblFleet[[#This Row],[Units]]&lt;&gt;"",tblFleet[[#This Row],[Available_h]]&gt;0),tblFleet[[#This Row],[Operating_h]]/tblFleet[[#This Row],[Available_h]],"")</f>
        <v/>
      </c>
    </row>
    <row r="1806">
      <c r="A1806" s="54" t="n"/>
      <c r="B1806" s="61" t="n"/>
      <c r="C1806" s="62" t="n"/>
      <c r="D1806" s="57" t="n"/>
      <c r="E1806" s="57" t="n"/>
      <c r="F1806" s="58" t="n"/>
      <c r="G1806" s="66">
        <f>IF(tblFleet[[#This Row],[Units]]="","",tblFleet[[#This Row],[Units]]*cfg_HoursPerDay)</f>
        <v/>
      </c>
      <c r="H1806" s="66">
        <f>IF(tblFleet[[#This Row],[Units]]="","",tblFleet[[#This Row],[Calendar_h]]-tblFleet[[#This Row],[Down_h]])</f>
        <v/>
      </c>
      <c r="I1806" s="60">
        <f>IF(AND(tblFleet[[#This Row],[Units]]&lt;&gt;"",tblFleet[[#This Row],[Calendar_h]]&gt;0),tblFleet[[#This Row],[Available_h]]/tblFleet[[#This Row],[Calendar_h]],"")</f>
        <v/>
      </c>
      <c r="J1806" s="60">
        <f>IF(AND(tblFleet[[#This Row],[Units]]&lt;&gt;"",tblFleet[[#This Row],[Available_h]]&gt;0),tblFleet[[#This Row],[Operating_h]]/tblFleet[[#This Row],[Available_h]],"")</f>
        <v/>
      </c>
    </row>
    <row r="1807">
      <c r="A1807" s="54" t="n"/>
      <c r="B1807" s="61" t="n"/>
      <c r="C1807" s="62" t="n"/>
      <c r="D1807" s="57" t="n"/>
      <c r="E1807" s="57" t="n"/>
      <c r="F1807" s="58" t="n"/>
      <c r="G1807" s="66">
        <f>IF(tblFleet[[#This Row],[Units]]="","",tblFleet[[#This Row],[Units]]*cfg_HoursPerDay)</f>
        <v/>
      </c>
      <c r="H1807" s="66">
        <f>IF(tblFleet[[#This Row],[Units]]="","",tblFleet[[#This Row],[Calendar_h]]-tblFleet[[#This Row],[Down_h]])</f>
        <v/>
      </c>
      <c r="I1807" s="60">
        <f>IF(AND(tblFleet[[#This Row],[Units]]&lt;&gt;"",tblFleet[[#This Row],[Calendar_h]]&gt;0),tblFleet[[#This Row],[Available_h]]/tblFleet[[#This Row],[Calendar_h]],"")</f>
        <v/>
      </c>
      <c r="J1807" s="60">
        <f>IF(AND(tblFleet[[#This Row],[Units]]&lt;&gt;"",tblFleet[[#This Row],[Available_h]]&gt;0),tblFleet[[#This Row],[Operating_h]]/tblFleet[[#This Row],[Available_h]],"")</f>
        <v/>
      </c>
    </row>
    <row r="1808">
      <c r="A1808" s="54" t="n"/>
      <c r="B1808" s="61" t="n"/>
      <c r="C1808" s="62" t="n"/>
      <c r="D1808" s="57" t="n"/>
      <c r="E1808" s="57" t="n"/>
      <c r="F1808" s="58" t="n"/>
      <c r="G1808" s="66">
        <f>IF(tblFleet[[#This Row],[Units]]="","",tblFleet[[#This Row],[Units]]*cfg_HoursPerDay)</f>
        <v/>
      </c>
      <c r="H1808" s="66">
        <f>IF(tblFleet[[#This Row],[Units]]="","",tblFleet[[#This Row],[Calendar_h]]-tblFleet[[#This Row],[Down_h]])</f>
        <v/>
      </c>
      <c r="I1808" s="60">
        <f>IF(AND(tblFleet[[#This Row],[Units]]&lt;&gt;"",tblFleet[[#This Row],[Calendar_h]]&gt;0),tblFleet[[#This Row],[Available_h]]/tblFleet[[#This Row],[Calendar_h]],"")</f>
        <v/>
      </c>
      <c r="J1808" s="60">
        <f>IF(AND(tblFleet[[#This Row],[Units]]&lt;&gt;"",tblFleet[[#This Row],[Available_h]]&gt;0),tblFleet[[#This Row],[Operating_h]]/tblFleet[[#This Row],[Available_h]],"")</f>
        <v/>
      </c>
    </row>
    <row r="1809">
      <c r="A1809" s="54" t="n"/>
      <c r="B1809" s="61" t="n"/>
      <c r="C1809" s="62" t="n"/>
      <c r="D1809" s="57" t="n"/>
      <c r="E1809" s="57" t="n"/>
      <c r="F1809" s="58" t="n"/>
      <c r="G1809" s="66">
        <f>IF(tblFleet[[#This Row],[Units]]="","",tblFleet[[#This Row],[Units]]*cfg_HoursPerDay)</f>
        <v/>
      </c>
      <c r="H1809" s="66">
        <f>IF(tblFleet[[#This Row],[Units]]="","",tblFleet[[#This Row],[Calendar_h]]-tblFleet[[#This Row],[Down_h]])</f>
        <v/>
      </c>
      <c r="I1809" s="60">
        <f>IF(AND(tblFleet[[#This Row],[Units]]&lt;&gt;"",tblFleet[[#This Row],[Calendar_h]]&gt;0),tblFleet[[#This Row],[Available_h]]/tblFleet[[#This Row],[Calendar_h]],"")</f>
        <v/>
      </c>
      <c r="J1809" s="60">
        <f>IF(AND(tblFleet[[#This Row],[Units]]&lt;&gt;"",tblFleet[[#This Row],[Available_h]]&gt;0),tblFleet[[#This Row],[Operating_h]]/tblFleet[[#This Row],[Available_h]],"")</f>
        <v/>
      </c>
    </row>
    <row r="1810">
      <c r="A1810" s="54" t="n"/>
      <c r="B1810" s="61" t="n"/>
      <c r="C1810" s="62" t="n"/>
      <c r="D1810" s="57" t="n"/>
      <c r="E1810" s="57" t="n"/>
      <c r="F1810" s="58" t="n"/>
      <c r="G1810" s="66">
        <f>IF(tblFleet[[#This Row],[Units]]="","",tblFleet[[#This Row],[Units]]*cfg_HoursPerDay)</f>
        <v/>
      </c>
      <c r="H1810" s="66">
        <f>IF(tblFleet[[#This Row],[Units]]="","",tblFleet[[#This Row],[Calendar_h]]-tblFleet[[#This Row],[Down_h]])</f>
        <v/>
      </c>
      <c r="I1810" s="60">
        <f>IF(AND(tblFleet[[#This Row],[Units]]&lt;&gt;"",tblFleet[[#This Row],[Calendar_h]]&gt;0),tblFleet[[#This Row],[Available_h]]/tblFleet[[#This Row],[Calendar_h]],"")</f>
        <v/>
      </c>
      <c r="J1810" s="60">
        <f>IF(AND(tblFleet[[#This Row],[Units]]&lt;&gt;"",tblFleet[[#This Row],[Available_h]]&gt;0),tblFleet[[#This Row],[Operating_h]]/tblFleet[[#This Row],[Available_h]],"")</f>
        <v/>
      </c>
    </row>
    <row r="1811">
      <c r="A1811" s="54" t="n"/>
      <c r="B1811" s="61" t="n"/>
      <c r="C1811" s="62" t="n"/>
      <c r="D1811" s="57" t="n"/>
      <c r="E1811" s="57" t="n"/>
      <c r="F1811" s="58" t="n"/>
      <c r="G1811" s="66">
        <f>IF(tblFleet[[#This Row],[Units]]="","",tblFleet[[#This Row],[Units]]*cfg_HoursPerDay)</f>
        <v/>
      </c>
      <c r="H1811" s="66">
        <f>IF(tblFleet[[#This Row],[Units]]="","",tblFleet[[#This Row],[Calendar_h]]-tblFleet[[#This Row],[Down_h]])</f>
        <v/>
      </c>
      <c r="I1811" s="60">
        <f>IF(AND(tblFleet[[#This Row],[Units]]&lt;&gt;"",tblFleet[[#This Row],[Calendar_h]]&gt;0),tblFleet[[#This Row],[Available_h]]/tblFleet[[#This Row],[Calendar_h]],"")</f>
        <v/>
      </c>
      <c r="J1811" s="60">
        <f>IF(AND(tblFleet[[#This Row],[Units]]&lt;&gt;"",tblFleet[[#This Row],[Available_h]]&gt;0),tblFleet[[#This Row],[Operating_h]]/tblFleet[[#This Row],[Available_h]],"")</f>
        <v/>
      </c>
    </row>
    <row r="1812">
      <c r="A1812" s="54" t="n"/>
      <c r="B1812" s="61" t="n"/>
      <c r="C1812" s="62" t="n"/>
      <c r="D1812" s="57" t="n"/>
      <c r="E1812" s="57" t="n"/>
      <c r="F1812" s="58" t="n"/>
      <c r="G1812" s="66">
        <f>IF(tblFleet[[#This Row],[Units]]="","",tblFleet[[#This Row],[Units]]*cfg_HoursPerDay)</f>
        <v/>
      </c>
      <c r="H1812" s="66">
        <f>IF(tblFleet[[#This Row],[Units]]="","",tblFleet[[#This Row],[Calendar_h]]-tblFleet[[#This Row],[Down_h]])</f>
        <v/>
      </c>
      <c r="I1812" s="60">
        <f>IF(AND(tblFleet[[#This Row],[Units]]&lt;&gt;"",tblFleet[[#This Row],[Calendar_h]]&gt;0),tblFleet[[#This Row],[Available_h]]/tblFleet[[#This Row],[Calendar_h]],"")</f>
        <v/>
      </c>
      <c r="J1812" s="60">
        <f>IF(AND(tblFleet[[#This Row],[Units]]&lt;&gt;"",tblFleet[[#This Row],[Available_h]]&gt;0),tblFleet[[#This Row],[Operating_h]]/tblFleet[[#This Row],[Available_h]],"")</f>
        <v/>
      </c>
    </row>
    <row r="1813">
      <c r="A1813" s="54" t="n"/>
      <c r="B1813" s="61" t="n"/>
      <c r="C1813" s="62" t="n"/>
      <c r="D1813" s="57" t="n"/>
      <c r="E1813" s="57" t="n"/>
      <c r="F1813" s="58" t="n"/>
      <c r="G1813" s="66">
        <f>IF(tblFleet[[#This Row],[Units]]="","",tblFleet[[#This Row],[Units]]*cfg_HoursPerDay)</f>
        <v/>
      </c>
      <c r="H1813" s="66">
        <f>IF(tblFleet[[#This Row],[Units]]="","",tblFleet[[#This Row],[Calendar_h]]-tblFleet[[#This Row],[Down_h]])</f>
        <v/>
      </c>
      <c r="I1813" s="60">
        <f>IF(AND(tblFleet[[#This Row],[Units]]&lt;&gt;"",tblFleet[[#This Row],[Calendar_h]]&gt;0),tblFleet[[#This Row],[Available_h]]/tblFleet[[#This Row],[Calendar_h]],"")</f>
        <v/>
      </c>
      <c r="J1813" s="60">
        <f>IF(AND(tblFleet[[#This Row],[Units]]&lt;&gt;"",tblFleet[[#This Row],[Available_h]]&gt;0),tblFleet[[#This Row],[Operating_h]]/tblFleet[[#This Row],[Available_h]],"")</f>
        <v/>
      </c>
    </row>
    <row r="1814">
      <c r="A1814" s="54" t="n"/>
      <c r="B1814" s="61" t="n"/>
      <c r="C1814" s="62" t="n"/>
      <c r="D1814" s="57" t="n"/>
      <c r="E1814" s="57" t="n"/>
      <c r="F1814" s="58" t="n"/>
      <c r="G1814" s="66">
        <f>IF(tblFleet[[#This Row],[Units]]="","",tblFleet[[#This Row],[Units]]*cfg_HoursPerDay)</f>
        <v/>
      </c>
      <c r="H1814" s="66">
        <f>IF(tblFleet[[#This Row],[Units]]="","",tblFleet[[#This Row],[Calendar_h]]-tblFleet[[#This Row],[Down_h]])</f>
        <v/>
      </c>
      <c r="I1814" s="60">
        <f>IF(AND(tblFleet[[#This Row],[Units]]&lt;&gt;"",tblFleet[[#This Row],[Calendar_h]]&gt;0),tblFleet[[#This Row],[Available_h]]/tblFleet[[#This Row],[Calendar_h]],"")</f>
        <v/>
      </c>
      <c r="J1814" s="60">
        <f>IF(AND(tblFleet[[#This Row],[Units]]&lt;&gt;"",tblFleet[[#This Row],[Available_h]]&gt;0),tblFleet[[#This Row],[Operating_h]]/tblFleet[[#This Row],[Available_h]],"")</f>
        <v/>
      </c>
    </row>
    <row r="1815">
      <c r="A1815" s="54" t="n"/>
      <c r="B1815" s="61" t="n"/>
      <c r="C1815" s="62" t="n"/>
      <c r="D1815" s="57" t="n"/>
      <c r="E1815" s="57" t="n"/>
      <c r="F1815" s="58" t="n"/>
      <c r="G1815" s="66">
        <f>IF(tblFleet[[#This Row],[Units]]="","",tblFleet[[#This Row],[Units]]*cfg_HoursPerDay)</f>
        <v/>
      </c>
      <c r="H1815" s="66">
        <f>IF(tblFleet[[#This Row],[Units]]="","",tblFleet[[#This Row],[Calendar_h]]-tblFleet[[#This Row],[Down_h]])</f>
        <v/>
      </c>
      <c r="I1815" s="60">
        <f>IF(AND(tblFleet[[#This Row],[Units]]&lt;&gt;"",tblFleet[[#This Row],[Calendar_h]]&gt;0),tblFleet[[#This Row],[Available_h]]/tblFleet[[#This Row],[Calendar_h]],"")</f>
        <v/>
      </c>
      <c r="J1815" s="60">
        <f>IF(AND(tblFleet[[#This Row],[Units]]&lt;&gt;"",tblFleet[[#This Row],[Available_h]]&gt;0),tblFleet[[#This Row],[Operating_h]]/tblFleet[[#This Row],[Available_h]],"")</f>
        <v/>
      </c>
    </row>
    <row r="1816">
      <c r="A1816" s="54" t="n"/>
      <c r="B1816" s="61" t="n"/>
      <c r="C1816" s="62" t="n"/>
      <c r="D1816" s="57" t="n"/>
      <c r="E1816" s="57" t="n"/>
      <c r="F1816" s="58" t="n"/>
      <c r="G1816" s="66">
        <f>IF(tblFleet[[#This Row],[Units]]="","",tblFleet[[#This Row],[Units]]*cfg_HoursPerDay)</f>
        <v/>
      </c>
      <c r="H1816" s="66">
        <f>IF(tblFleet[[#This Row],[Units]]="","",tblFleet[[#This Row],[Calendar_h]]-tblFleet[[#This Row],[Down_h]])</f>
        <v/>
      </c>
      <c r="I1816" s="60">
        <f>IF(AND(tblFleet[[#This Row],[Units]]&lt;&gt;"",tblFleet[[#This Row],[Calendar_h]]&gt;0),tblFleet[[#This Row],[Available_h]]/tblFleet[[#This Row],[Calendar_h]],"")</f>
        <v/>
      </c>
      <c r="J1816" s="60">
        <f>IF(AND(tblFleet[[#This Row],[Units]]&lt;&gt;"",tblFleet[[#This Row],[Available_h]]&gt;0),tblFleet[[#This Row],[Operating_h]]/tblFleet[[#This Row],[Available_h]],"")</f>
        <v/>
      </c>
    </row>
    <row r="1817">
      <c r="A1817" s="54" t="n"/>
      <c r="B1817" s="61" t="n"/>
      <c r="C1817" s="62" t="n"/>
      <c r="D1817" s="57" t="n"/>
      <c r="E1817" s="57" t="n"/>
      <c r="F1817" s="58" t="n"/>
      <c r="G1817" s="66">
        <f>IF(tblFleet[[#This Row],[Units]]="","",tblFleet[[#This Row],[Units]]*cfg_HoursPerDay)</f>
        <v/>
      </c>
      <c r="H1817" s="66">
        <f>IF(tblFleet[[#This Row],[Units]]="","",tblFleet[[#This Row],[Calendar_h]]-tblFleet[[#This Row],[Down_h]])</f>
        <v/>
      </c>
      <c r="I1817" s="60">
        <f>IF(AND(tblFleet[[#This Row],[Units]]&lt;&gt;"",tblFleet[[#This Row],[Calendar_h]]&gt;0),tblFleet[[#This Row],[Available_h]]/tblFleet[[#This Row],[Calendar_h]],"")</f>
        <v/>
      </c>
      <c r="J1817" s="60">
        <f>IF(AND(tblFleet[[#This Row],[Units]]&lt;&gt;"",tblFleet[[#This Row],[Available_h]]&gt;0),tblFleet[[#This Row],[Operating_h]]/tblFleet[[#This Row],[Available_h]],"")</f>
        <v/>
      </c>
    </row>
    <row r="1818">
      <c r="A1818" s="54" t="n"/>
      <c r="B1818" s="61" t="n"/>
      <c r="C1818" s="62" t="n"/>
      <c r="D1818" s="57" t="n"/>
      <c r="E1818" s="57" t="n"/>
      <c r="F1818" s="58" t="n"/>
      <c r="G1818" s="66">
        <f>IF(tblFleet[[#This Row],[Units]]="","",tblFleet[[#This Row],[Units]]*cfg_HoursPerDay)</f>
        <v/>
      </c>
      <c r="H1818" s="66">
        <f>IF(tblFleet[[#This Row],[Units]]="","",tblFleet[[#This Row],[Calendar_h]]-tblFleet[[#This Row],[Down_h]])</f>
        <v/>
      </c>
      <c r="I1818" s="60">
        <f>IF(AND(tblFleet[[#This Row],[Units]]&lt;&gt;"",tblFleet[[#This Row],[Calendar_h]]&gt;0),tblFleet[[#This Row],[Available_h]]/tblFleet[[#This Row],[Calendar_h]],"")</f>
        <v/>
      </c>
      <c r="J1818" s="60">
        <f>IF(AND(tblFleet[[#This Row],[Units]]&lt;&gt;"",tblFleet[[#This Row],[Available_h]]&gt;0),tblFleet[[#This Row],[Operating_h]]/tblFleet[[#This Row],[Available_h]],"")</f>
        <v/>
      </c>
    </row>
    <row r="1819">
      <c r="A1819" s="54" t="n"/>
      <c r="B1819" s="61" t="n"/>
      <c r="C1819" s="62" t="n"/>
      <c r="D1819" s="57" t="n"/>
      <c r="E1819" s="57" t="n"/>
      <c r="F1819" s="58" t="n"/>
      <c r="G1819" s="66">
        <f>IF(tblFleet[[#This Row],[Units]]="","",tblFleet[[#This Row],[Units]]*cfg_HoursPerDay)</f>
        <v/>
      </c>
      <c r="H1819" s="66">
        <f>IF(tblFleet[[#This Row],[Units]]="","",tblFleet[[#This Row],[Calendar_h]]-tblFleet[[#This Row],[Down_h]])</f>
        <v/>
      </c>
      <c r="I1819" s="60">
        <f>IF(AND(tblFleet[[#This Row],[Units]]&lt;&gt;"",tblFleet[[#This Row],[Calendar_h]]&gt;0),tblFleet[[#This Row],[Available_h]]/tblFleet[[#This Row],[Calendar_h]],"")</f>
        <v/>
      </c>
      <c r="J1819" s="60">
        <f>IF(AND(tblFleet[[#This Row],[Units]]&lt;&gt;"",tblFleet[[#This Row],[Available_h]]&gt;0),tblFleet[[#This Row],[Operating_h]]/tblFleet[[#This Row],[Available_h]],"")</f>
        <v/>
      </c>
    </row>
    <row r="1820">
      <c r="A1820" s="54" t="n"/>
      <c r="B1820" s="61" t="n"/>
      <c r="C1820" s="62" t="n"/>
      <c r="D1820" s="57" t="n"/>
      <c r="E1820" s="57" t="n"/>
      <c r="F1820" s="58" t="n"/>
      <c r="G1820" s="66">
        <f>IF(tblFleet[[#This Row],[Units]]="","",tblFleet[[#This Row],[Units]]*cfg_HoursPerDay)</f>
        <v/>
      </c>
      <c r="H1820" s="66">
        <f>IF(tblFleet[[#This Row],[Units]]="","",tblFleet[[#This Row],[Calendar_h]]-tblFleet[[#This Row],[Down_h]])</f>
        <v/>
      </c>
      <c r="I1820" s="60">
        <f>IF(AND(tblFleet[[#This Row],[Units]]&lt;&gt;"",tblFleet[[#This Row],[Calendar_h]]&gt;0),tblFleet[[#This Row],[Available_h]]/tblFleet[[#This Row],[Calendar_h]],"")</f>
        <v/>
      </c>
      <c r="J1820" s="60">
        <f>IF(AND(tblFleet[[#This Row],[Units]]&lt;&gt;"",tblFleet[[#This Row],[Available_h]]&gt;0),tblFleet[[#This Row],[Operating_h]]/tblFleet[[#This Row],[Available_h]],"")</f>
        <v/>
      </c>
    </row>
    <row r="1821">
      <c r="A1821" s="54" t="n"/>
      <c r="B1821" s="61" t="n"/>
      <c r="C1821" s="62" t="n"/>
      <c r="D1821" s="57" t="n"/>
      <c r="E1821" s="57" t="n"/>
      <c r="F1821" s="58" t="n"/>
      <c r="G1821" s="66">
        <f>IF(tblFleet[[#This Row],[Units]]="","",tblFleet[[#This Row],[Units]]*cfg_HoursPerDay)</f>
        <v/>
      </c>
      <c r="H1821" s="66">
        <f>IF(tblFleet[[#This Row],[Units]]="","",tblFleet[[#This Row],[Calendar_h]]-tblFleet[[#This Row],[Down_h]])</f>
        <v/>
      </c>
      <c r="I1821" s="60">
        <f>IF(AND(tblFleet[[#This Row],[Units]]&lt;&gt;"",tblFleet[[#This Row],[Calendar_h]]&gt;0),tblFleet[[#This Row],[Available_h]]/tblFleet[[#This Row],[Calendar_h]],"")</f>
        <v/>
      </c>
      <c r="J1821" s="60">
        <f>IF(AND(tblFleet[[#This Row],[Units]]&lt;&gt;"",tblFleet[[#This Row],[Available_h]]&gt;0),tblFleet[[#This Row],[Operating_h]]/tblFleet[[#This Row],[Available_h]],"")</f>
        <v/>
      </c>
    </row>
    <row r="1822">
      <c r="A1822" s="54" t="n"/>
      <c r="B1822" s="61" t="n"/>
      <c r="C1822" s="62" t="n"/>
      <c r="D1822" s="57" t="n"/>
      <c r="E1822" s="57" t="n"/>
      <c r="F1822" s="58" t="n"/>
      <c r="G1822" s="66">
        <f>IF(tblFleet[[#This Row],[Units]]="","",tblFleet[[#This Row],[Units]]*cfg_HoursPerDay)</f>
        <v/>
      </c>
      <c r="H1822" s="66">
        <f>IF(tblFleet[[#This Row],[Units]]="","",tblFleet[[#This Row],[Calendar_h]]-tblFleet[[#This Row],[Down_h]])</f>
        <v/>
      </c>
      <c r="I1822" s="60">
        <f>IF(AND(tblFleet[[#This Row],[Units]]&lt;&gt;"",tblFleet[[#This Row],[Calendar_h]]&gt;0),tblFleet[[#This Row],[Available_h]]/tblFleet[[#This Row],[Calendar_h]],"")</f>
        <v/>
      </c>
      <c r="J1822" s="60">
        <f>IF(AND(tblFleet[[#This Row],[Units]]&lt;&gt;"",tblFleet[[#This Row],[Available_h]]&gt;0),tblFleet[[#This Row],[Operating_h]]/tblFleet[[#This Row],[Available_h]],"")</f>
        <v/>
      </c>
    </row>
    <row r="1823">
      <c r="A1823" s="54" t="n"/>
      <c r="B1823" s="61" t="n"/>
      <c r="C1823" s="62" t="n"/>
      <c r="D1823" s="57" t="n"/>
      <c r="E1823" s="57" t="n"/>
      <c r="F1823" s="58" t="n"/>
      <c r="G1823" s="66">
        <f>IF(tblFleet[[#This Row],[Units]]="","",tblFleet[[#This Row],[Units]]*cfg_HoursPerDay)</f>
        <v/>
      </c>
      <c r="H1823" s="66">
        <f>IF(tblFleet[[#This Row],[Units]]="","",tblFleet[[#This Row],[Calendar_h]]-tblFleet[[#This Row],[Down_h]])</f>
        <v/>
      </c>
      <c r="I1823" s="60">
        <f>IF(AND(tblFleet[[#This Row],[Units]]&lt;&gt;"",tblFleet[[#This Row],[Calendar_h]]&gt;0),tblFleet[[#This Row],[Available_h]]/tblFleet[[#This Row],[Calendar_h]],"")</f>
        <v/>
      </c>
      <c r="J1823" s="60">
        <f>IF(AND(tblFleet[[#This Row],[Units]]&lt;&gt;"",tblFleet[[#This Row],[Available_h]]&gt;0),tblFleet[[#This Row],[Operating_h]]/tblFleet[[#This Row],[Available_h]],"")</f>
        <v/>
      </c>
    </row>
    <row r="1824">
      <c r="A1824" s="54" t="n"/>
      <c r="B1824" s="61" t="n"/>
      <c r="C1824" s="62" t="n"/>
      <c r="D1824" s="57" t="n"/>
      <c r="E1824" s="57" t="n"/>
      <c r="F1824" s="58" t="n"/>
      <c r="G1824" s="66">
        <f>IF(tblFleet[[#This Row],[Units]]="","",tblFleet[[#This Row],[Units]]*cfg_HoursPerDay)</f>
        <v/>
      </c>
      <c r="H1824" s="66">
        <f>IF(tblFleet[[#This Row],[Units]]="","",tblFleet[[#This Row],[Calendar_h]]-tblFleet[[#This Row],[Down_h]])</f>
        <v/>
      </c>
      <c r="I1824" s="60">
        <f>IF(AND(tblFleet[[#This Row],[Units]]&lt;&gt;"",tblFleet[[#This Row],[Calendar_h]]&gt;0),tblFleet[[#This Row],[Available_h]]/tblFleet[[#This Row],[Calendar_h]],"")</f>
        <v/>
      </c>
      <c r="J1824" s="60">
        <f>IF(AND(tblFleet[[#This Row],[Units]]&lt;&gt;"",tblFleet[[#This Row],[Available_h]]&gt;0),tblFleet[[#This Row],[Operating_h]]/tblFleet[[#This Row],[Available_h]],"")</f>
        <v/>
      </c>
    </row>
    <row r="1825">
      <c r="A1825" s="54" t="n"/>
      <c r="B1825" s="61" t="n"/>
      <c r="C1825" s="62" t="n"/>
      <c r="D1825" s="57" t="n"/>
      <c r="E1825" s="57" t="n"/>
      <c r="F1825" s="58" t="n"/>
      <c r="G1825" s="66">
        <f>IF(tblFleet[[#This Row],[Units]]="","",tblFleet[[#This Row],[Units]]*cfg_HoursPerDay)</f>
        <v/>
      </c>
      <c r="H1825" s="66">
        <f>IF(tblFleet[[#This Row],[Units]]="","",tblFleet[[#This Row],[Calendar_h]]-tblFleet[[#This Row],[Down_h]])</f>
        <v/>
      </c>
      <c r="I1825" s="60">
        <f>IF(AND(tblFleet[[#This Row],[Units]]&lt;&gt;"",tblFleet[[#This Row],[Calendar_h]]&gt;0),tblFleet[[#This Row],[Available_h]]/tblFleet[[#This Row],[Calendar_h]],"")</f>
        <v/>
      </c>
      <c r="J1825" s="60">
        <f>IF(AND(tblFleet[[#This Row],[Units]]&lt;&gt;"",tblFleet[[#This Row],[Available_h]]&gt;0),tblFleet[[#This Row],[Operating_h]]/tblFleet[[#This Row],[Available_h]],"")</f>
        <v/>
      </c>
    </row>
    <row r="1826">
      <c r="A1826" s="54" t="n"/>
      <c r="B1826" s="61" t="n"/>
      <c r="C1826" s="62" t="n"/>
      <c r="D1826" s="57" t="n"/>
      <c r="E1826" s="57" t="n"/>
      <c r="F1826" s="58" t="n"/>
      <c r="G1826" s="66">
        <f>IF(tblFleet[[#This Row],[Units]]="","",tblFleet[[#This Row],[Units]]*cfg_HoursPerDay)</f>
        <v/>
      </c>
      <c r="H1826" s="66">
        <f>IF(tblFleet[[#This Row],[Units]]="","",tblFleet[[#This Row],[Calendar_h]]-tblFleet[[#This Row],[Down_h]])</f>
        <v/>
      </c>
      <c r="I1826" s="60">
        <f>IF(AND(tblFleet[[#This Row],[Units]]&lt;&gt;"",tblFleet[[#This Row],[Calendar_h]]&gt;0),tblFleet[[#This Row],[Available_h]]/tblFleet[[#This Row],[Calendar_h]],"")</f>
        <v/>
      </c>
      <c r="J1826" s="60">
        <f>IF(AND(tblFleet[[#This Row],[Units]]&lt;&gt;"",tblFleet[[#This Row],[Available_h]]&gt;0),tblFleet[[#This Row],[Operating_h]]/tblFleet[[#This Row],[Available_h]],"")</f>
        <v/>
      </c>
    </row>
    <row r="1827">
      <c r="A1827" s="54" t="n"/>
      <c r="B1827" s="61" t="n"/>
      <c r="C1827" s="62" t="n"/>
      <c r="D1827" s="57" t="n"/>
      <c r="E1827" s="57" t="n"/>
      <c r="F1827" s="58" t="n"/>
      <c r="G1827" s="66">
        <f>IF(tblFleet[[#This Row],[Units]]="","",tblFleet[[#This Row],[Units]]*cfg_HoursPerDay)</f>
        <v/>
      </c>
      <c r="H1827" s="66">
        <f>IF(tblFleet[[#This Row],[Units]]="","",tblFleet[[#This Row],[Calendar_h]]-tblFleet[[#This Row],[Down_h]])</f>
        <v/>
      </c>
      <c r="I1827" s="60">
        <f>IF(AND(tblFleet[[#This Row],[Units]]&lt;&gt;"",tblFleet[[#This Row],[Calendar_h]]&gt;0),tblFleet[[#This Row],[Available_h]]/tblFleet[[#This Row],[Calendar_h]],"")</f>
        <v/>
      </c>
      <c r="J1827" s="60">
        <f>IF(AND(tblFleet[[#This Row],[Units]]&lt;&gt;"",tblFleet[[#This Row],[Available_h]]&gt;0),tblFleet[[#This Row],[Operating_h]]/tblFleet[[#This Row],[Available_h]],"")</f>
        <v/>
      </c>
    </row>
    <row r="1828">
      <c r="A1828" s="54" t="n"/>
      <c r="B1828" s="61" t="n"/>
      <c r="C1828" s="62" t="n"/>
      <c r="D1828" s="57" t="n"/>
      <c r="E1828" s="57" t="n"/>
      <c r="F1828" s="58" t="n"/>
      <c r="G1828" s="66">
        <f>IF(tblFleet[[#This Row],[Units]]="","",tblFleet[[#This Row],[Units]]*cfg_HoursPerDay)</f>
        <v/>
      </c>
      <c r="H1828" s="66">
        <f>IF(tblFleet[[#This Row],[Units]]="","",tblFleet[[#This Row],[Calendar_h]]-tblFleet[[#This Row],[Down_h]])</f>
        <v/>
      </c>
      <c r="I1828" s="60">
        <f>IF(AND(tblFleet[[#This Row],[Units]]&lt;&gt;"",tblFleet[[#This Row],[Calendar_h]]&gt;0),tblFleet[[#This Row],[Available_h]]/tblFleet[[#This Row],[Calendar_h]],"")</f>
        <v/>
      </c>
      <c r="J1828" s="60">
        <f>IF(AND(tblFleet[[#This Row],[Units]]&lt;&gt;"",tblFleet[[#This Row],[Available_h]]&gt;0),tblFleet[[#This Row],[Operating_h]]/tblFleet[[#This Row],[Available_h]],"")</f>
        <v/>
      </c>
    </row>
    <row r="1829">
      <c r="A1829" s="54" t="n"/>
      <c r="B1829" s="61" t="n"/>
      <c r="C1829" s="62" t="n"/>
      <c r="D1829" s="57" t="n"/>
      <c r="E1829" s="57" t="n"/>
      <c r="F1829" s="58" t="n"/>
      <c r="G1829" s="66">
        <f>IF(tblFleet[[#This Row],[Units]]="","",tblFleet[[#This Row],[Units]]*cfg_HoursPerDay)</f>
        <v/>
      </c>
      <c r="H1829" s="66">
        <f>IF(tblFleet[[#This Row],[Units]]="","",tblFleet[[#This Row],[Calendar_h]]-tblFleet[[#This Row],[Down_h]])</f>
        <v/>
      </c>
      <c r="I1829" s="60">
        <f>IF(AND(tblFleet[[#This Row],[Units]]&lt;&gt;"",tblFleet[[#This Row],[Calendar_h]]&gt;0),tblFleet[[#This Row],[Available_h]]/tblFleet[[#This Row],[Calendar_h]],"")</f>
        <v/>
      </c>
      <c r="J1829" s="60">
        <f>IF(AND(tblFleet[[#This Row],[Units]]&lt;&gt;"",tblFleet[[#This Row],[Available_h]]&gt;0),tblFleet[[#This Row],[Operating_h]]/tblFleet[[#This Row],[Available_h]],"")</f>
        <v/>
      </c>
    </row>
    <row r="1830">
      <c r="A1830" s="54" t="n"/>
      <c r="B1830" s="61" t="n"/>
      <c r="C1830" s="62" t="n"/>
      <c r="D1830" s="57" t="n"/>
      <c r="E1830" s="57" t="n"/>
      <c r="F1830" s="58" t="n"/>
      <c r="G1830" s="66">
        <f>IF(tblFleet[[#This Row],[Units]]="","",tblFleet[[#This Row],[Units]]*cfg_HoursPerDay)</f>
        <v/>
      </c>
      <c r="H1830" s="66">
        <f>IF(tblFleet[[#This Row],[Units]]="","",tblFleet[[#This Row],[Calendar_h]]-tblFleet[[#This Row],[Down_h]])</f>
        <v/>
      </c>
      <c r="I1830" s="60">
        <f>IF(AND(tblFleet[[#This Row],[Units]]&lt;&gt;"",tblFleet[[#This Row],[Calendar_h]]&gt;0),tblFleet[[#This Row],[Available_h]]/tblFleet[[#This Row],[Calendar_h]],"")</f>
        <v/>
      </c>
      <c r="J1830" s="60">
        <f>IF(AND(tblFleet[[#This Row],[Units]]&lt;&gt;"",tblFleet[[#This Row],[Available_h]]&gt;0),tblFleet[[#This Row],[Operating_h]]/tblFleet[[#This Row],[Available_h]],"")</f>
        <v/>
      </c>
    </row>
    <row r="1831">
      <c r="A1831" s="54" t="n"/>
      <c r="B1831" s="61" t="n"/>
      <c r="C1831" s="62" t="n"/>
      <c r="D1831" s="57" t="n"/>
      <c r="E1831" s="57" t="n"/>
      <c r="F1831" s="58" t="n"/>
      <c r="G1831" s="66">
        <f>IF(tblFleet[[#This Row],[Units]]="","",tblFleet[[#This Row],[Units]]*cfg_HoursPerDay)</f>
        <v/>
      </c>
      <c r="H1831" s="66">
        <f>IF(tblFleet[[#This Row],[Units]]="","",tblFleet[[#This Row],[Calendar_h]]-tblFleet[[#This Row],[Down_h]])</f>
        <v/>
      </c>
      <c r="I1831" s="60">
        <f>IF(AND(tblFleet[[#This Row],[Units]]&lt;&gt;"",tblFleet[[#This Row],[Calendar_h]]&gt;0),tblFleet[[#This Row],[Available_h]]/tblFleet[[#This Row],[Calendar_h]],"")</f>
        <v/>
      </c>
      <c r="J1831" s="60">
        <f>IF(AND(tblFleet[[#This Row],[Units]]&lt;&gt;"",tblFleet[[#This Row],[Available_h]]&gt;0),tblFleet[[#This Row],[Operating_h]]/tblFleet[[#This Row],[Available_h]],"")</f>
        <v/>
      </c>
    </row>
    <row r="1832">
      <c r="A1832" s="54" t="n"/>
      <c r="B1832" s="61" t="n"/>
      <c r="C1832" s="62" t="n"/>
      <c r="D1832" s="57" t="n"/>
      <c r="E1832" s="57" t="n"/>
      <c r="F1832" s="58" t="n"/>
      <c r="G1832" s="66">
        <f>IF(tblFleet[[#This Row],[Units]]="","",tblFleet[[#This Row],[Units]]*cfg_HoursPerDay)</f>
        <v/>
      </c>
      <c r="H1832" s="66">
        <f>IF(tblFleet[[#This Row],[Units]]="","",tblFleet[[#This Row],[Calendar_h]]-tblFleet[[#This Row],[Down_h]])</f>
        <v/>
      </c>
      <c r="I1832" s="60">
        <f>IF(AND(tblFleet[[#This Row],[Units]]&lt;&gt;"",tblFleet[[#This Row],[Calendar_h]]&gt;0),tblFleet[[#This Row],[Available_h]]/tblFleet[[#This Row],[Calendar_h]],"")</f>
        <v/>
      </c>
      <c r="J1832" s="60">
        <f>IF(AND(tblFleet[[#This Row],[Units]]&lt;&gt;"",tblFleet[[#This Row],[Available_h]]&gt;0),tblFleet[[#This Row],[Operating_h]]/tblFleet[[#This Row],[Available_h]],"")</f>
        <v/>
      </c>
    </row>
    <row r="1833">
      <c r="A1833" s="54" t="n"/>
      <c r="B1833" s="61" t="n"/>
      <c r="C1833" s="62" t="n"/>
      <c r="D1833" s="57" t="n"/>
      <c r="E1833" s="57" t="n"/>
      <c r="F1833" s="58" t="n"/>
      <c r="G1833" s="66">
        <f>IF(tblFleet[[#This Row],[Units]]="","",tblFleet[[#This Row],[Units]]*cfg_HoursPerDay)</f>
        <v/>
      </c>
      <c r="H1833" s="66">
        <f>IF(tblFleet[[#This Row],[Units]]="","",tblFleet[[#This Row],[Calendar_h]]-tblFleet[[#This Row],[Down_h]])</f>
        <v/>
      </c>
      <c r="I1833" s="60">
        <f>IF(AND(tblFleet[[#This Row],[Units]]&lt;&gt;"",tblFleet[[#This Row],[Calendar_h]]&gt;0),tblFleet[[#This Row],[Available_h]]/tblFleet[[#This Row],[Calendar_h]],"")</f>
        <v/>
      </c>
      <c r="J1833" s="60">
        <f>IF(AND(tblFleet[[#This Row],[Units]]&lt;&gt;"",tblFleet[[#This Row],[Available_h]]&gt;0),tblFleet[[#This Row],[Operating_h]]/tblFleet[[#This Row],[Available_h]],"")</f>
        <v/>
      </c>
    </row>
    <row r="1834">
      <c r="A1834" s="54" t="n"/>
      <c r="B1834" s="61" t="n"/>
      <c r="C1834" s="62" t="n"/>
      <c r="D1834" s="57" t="n"/>
      <c r="E1834" s="57" t="n"/>
      <c r="F1834" s="58" t="n"/>
      <c r="G1834" s="66">
        <f>IF(tblFleet[[#This Row],[Units]]="","",tblFleet[[#This Row],[Units]]*cfg_HoursPerDay)</f>
        <v/>
      </c>
      <c r="H1834" s="66">
        <f>IF(tblFleet[[#This Row],[Units]]="","",tblFleet[[#This Row],[Calendar_h]]-tblFleet[[#This Row],[Down_h]])</f>
        <v/>
      </c>
      <c r="I1834" s="60">
        <f>IF(AND(tblFleet[[#This Row],[Units]]&lt;&gt;"",tblFleet[[#This Row],[Calendar_h]]&gt;0),tblFleet[[#This Row],[Available_h]]/tblFleet[[#This Row],[Calendar_h]],"")</f>
        <v/>
      </c>
      <c r="J1834" s="60">
        <f>IF(AND(tblFleet[[#This Row],[Units]]&lt;&gt;"",tblFleet[[#This Row],[Available_h]]&gt;0),tblFleet[[#This Row],[Operating_h]]/tblFleet[[#This Row],[Available_h]],"")</f>
        <v/>
      </c>
    </row>
    <row r="1835">
      <c r="A1835" s="54" t="n"/>
      <c r="B1835" s="61" t="n"/>
      <c r="C1835" s="62" t="n"/>
      <c r="D1835" s="57" t="n"/>
      <c r="E1835" s="57" t="n"/>
      <c r="F1835" s="58" t="n"/>
      <c r="G1835" s="66">
        <f>IF(tblFleet[[#This Row],[Units]]="","",tblFleet[[#This Row],[Units]]*cfg_HoursPerDay)</f>
        <v/>
      </c>
      <c r="H1835" s="66">
        <f>IF(tblFleet[[#This Row],[Units]]="","",tblFleet[[#This Row],[Calendar_h]]-tblFleet[[#This Row],[Down_h]])</f>
        <v/>
      </c>
      <c r="I1835" s="60">
        <f>IF(AND(tblFleet[[#This Row],[Units]]&lt;&gt;"",tblFleet[[#This Row],[Calendar_h]]&gt;0),tblFleet[[#This Row],[Available_h]]/tblFleet[[#This Row],[Calendar_h]],"")</f>
        <v/>
      </c>
      <c r="J1835" s="60">
        <f>IF(AND(tblFleet[[#This Row],[Units]]&lt;&gt;"",tblFleet[[#This Row],[Available_h]]&gt;0),tblFleet[[#This Row],[Operating_h]]/tblFleet[[#This Row],[Available_h]],"")</f>
        <v/>
      </c>
    </row>
    <row r="1836">
      <c r="A1836" s="54" t="n"/>
      <c r="B1836" s="61" t="n"/>
      <c r="C1836" s="62" t="n"/>
      <c r="D1836" s="57" t="n"/>
      <c r="E1836" s="57" t="n"/>
      <c r="F1836" s="58" t="n"/>
      <c r="G1836" s="66">
        <f>IF(tblFleet[[#This Row],[Units]]="","",tblFleet[[#This Row],[Units]]*cfg_HoursPerDay)</f>
        <v/>
      </c>
      <c r="H1836" s="66">
        <f>IF(tblFleet[[#This Row],[Units]]="","",tblFleet[[#This Row],[Calendar_h]]-tblFleet[[#This Row],[Down_h]])</f>
        <v/>
      </c>
      <c r="I1836" s="60">
        <f>IF(AND(tblFleet[[#This Row],[Units]]&lt;&gt;"",tblFleet[[#This Row],[Calendar_h]]&gt;0),tblFleet[[#This Row],[Available_h]]/tblFleet[[#This Row],[Calendar_h]],"")</f>
        <v/>
      </c>
      <c r="J1836" s="60">
        <f>IF(AND(tblFleet[[#This Row],[Units]]&lt;&gt;"",tblFleet[[#This Row],[Available_h]]&gt;0),tblFleet[[#This Row],[Operating_h]]/tblFleet[[#This Row],[Available_h]],"")</f>
        <v/>
      </c>
    </row>
    <row r="1837">
      <c r="A1837" s="54" t="n"/>
      <c r="B1837" s="61" t="n"/>
      <c r="C1837" s="62" t="n"/>
      <c r="D1837" s="57" t="n"/>
      <c r="E1837" s="57" t="n"/>
      <c r="F1837" s="58" t="n"/>
      <c r="G1837" s="66">
        <f>IF(tblFleet[[#This Row],[Units]]="","",tblFleet[[#This Row],[Units]]*cfg_HoursPerDay)</f>
        <v/>
      </c>
      <c r="H1837" s="66">
        <f>IF(tblFleet[[#This Row],[Units]]="","",tblFleet[[#This Row],[Calendar_h]]-tblFleet[[#This Row],[Down_h]])</f>
        <v/>
      </c>
      <c r="I1837" s="60">
        <f>IF(AND(tblFleet[[#This Row],[Units]]&lt;&gt;"",tblFleet[[#This Row],[Calendar_h]]&gt;0),tblFleet[[#This Row],[Available_h]]/tblFleet[[#This Row],[Calendar_h]],"")</f>
        <v/>
      </c>
      <c r="J1837" s="60">
        <f>IF(AND(tblFleet[[#This Row],[Units]]&lt;&gt;"",tblFleet[[#This Row],[Available_h]]&gt;0),tblFleet[[#This Row],[Operating_h]]/tblFleet[[#This Row],[Available_h]],"")</f>
        <v/>
      </c>
    </row>
    <row r="1838">
      <c r="A1838" s="54" t="n"/>
      <c r="B1838" s="61" t="n"/>
      <c r="C1838" s="62" t="n"/>
      <c r="D1838" s="57" t="n"/>
      <c r="E1838" s="57" t="n"/>
      <c r="F1838" s="58" t="n"/>
      <c r="G1838" s="66">
        <f>IF(tblFleet[[#This Row],[Units]]="","",tblFleet[[#This Row],[Units]]*cfg_HoursPerDay)</f>
        <v/>
      </c>
      <c r="H1838" s="66">
        <f>IF(tblFleet[[#This Row],[Units]]="","",tblFleet[[#This Row],[Calendar_h]]-tblFleet[[#This Row],[Down_h]])</f>
        <v/>
      </c>
      <c r="I1838" s="60">
        <f>IF(AND(tblFleet[[#This Row],[Units]]&lt;&gt;"",tblFleet[[#This Row],[Calendar_h]]&gt;0),tblFleet[[#This Row],[Available_h]]/tblFleet[[#This Row],[Calendar_h]],"")</f>
        <v/>
      </c>
      <c r="J1838" s="60">
        <f>IF(AND(tblFleet[[#This Row],[Units]]&lt;&gt;"",tblFleet[[#This Row],[Available_h]]&gt;0),tblFleet[[#This Row],[Operating_h]]/tblFleet[[#This Row],[Available_h]],"")</f>
        <v/>
      </c>
    </row>
    <row r="1839">
      <c r="A1839" s="54" t="n"/>
      <c r="B1839" s="61" t="n"/>
      <c r="C1839" s="62" t="n"/>
      <c r="D1839" s="57" t="n"/>
      <c r="E1839" s="57" t="n"/>
      <c r="F1839" s="58" t="n"/>
      <c r="G1839" s="66">
        <f>IF(tblFleet[[#This Row],[Units]]="","",tblFleet[[#This Row],[Units]]*cfg_HoursPerDay)</f>
        <v/>
      </c>
      <c r="H1839" s="66">
        <f>IF(tblFleet[[#This Row],[Units]]="","",tblFleet[[#This Row],[Calendar_h]]-tblFleet[[#This Row],[Down_h]])</f>
        <v/>
      </c>
      <c r="I1839" s="60">
        <f>IF(AND(tblFleet[[#This Row],[Units]]&lt;&gt;"",tblFleet[[#This Row],[Calendar_h]]&gt;0),tblFleet[[#This Row],[Available_h]]/tblFleet[[#This Row],[Calendar_h]],"")</f>
        <v/>
      </c>
      <c r="J1839" s="60">
        <f>IF(AND(tblFleet[[#This Row],[Units]]&lt;&gt;"",tblFleet[[#This Row],[Available_h]]&gt;0),tblFleet[[#This Row],[Operating_h]]/tblFleet[[#This Row],[Available_h]],"")</f>
        <v/>
      </c>
    </row>
    <row r="1840">
      <c r="A1840" s="54" t="n"/>
      <c r="B1840" s="61" t="n"/>
      <c r="C1840" s="62" t="n"/>
      <c r="D1840" s="57" t="n"/>
      <c r="E1840" s="57" t="n"/>
      <c r="F1840" s="58" t="n"/>
      <c r="G1840" s="66">
        <f>IF(tblFleet[[#This Row],[Units]]="","",tblFleet[[#This Row],[Units]]*cfg_HoursPerDay)</f>
        <v/>
      </c>
      <c r="H1840" s="66">
        <f>IF(tblFleet[[#This Row],[Units]]="","",tblFleet[[#This Row],[Calendar_h]]-tblFleet[[#This Row],[Down_h]])</f>
        <v/>
      </c>
      <c r="I1840" s="60">
        <f>IF(AND(tblFleet[[#This Row],[Units]]&lt;&gt;"",tblFleet[[#This Row],[Calendar_h]]&gt;0),tblFleet[[#This Row],[Available_h]]/tblFleet[[#This Row],[Calendar_h]],"")</f>
        <v/>
      </c>
      <c r="J1840" s="60">
        <f>IF(AND(tblFleet[[#This Row],[Units]]&lt;&gt;"",tblFleet[[#This Row],[Available_h]]&gt;0),tblFleet[[#This Row],[Operating_h]]/tblFleet[[#This Row],[Available_h]],"")</f>
        <v/>
      </c>
    </row>
    <row r="1841">
      <c r="A1841" s="54" t="n"/>
      <c r="B1841" s="61" t="n"/>
      <c r="C1841" s="62" t="n"/>
      <c r="D1841" s="57" t="n"/>
      <c r="E1841" s="57" t="n"/>
      <c r="F1841" s="58" t="n"/>
      <c r="G1841" s="66">
        <f>IF(tblFleet[[#This Row],[Units]]="","",tblFleet[[#This Row],[Units]]*cfg_HoursPerDay)</f>
        <v/>
      </c>
      <c r="H1841" s="66">
        <f>IF(tblFleet[[#This Row],[Units]]="","",tblFleet[[#This Row],[Calendar_h]]-tblFleet[[#This Row],[Down_h]])</f>
        <v/>
      </c>
      <c r="I1841" s="60">
        <f>IF(AND(tblFleet[[#This Row],[Units]]&lt;&gt;"",tblFleet[[#This Row],[Calendar_h]]&gt;0),tblFleet[[#This Row],[Available_h]]/tblFleet[[#This Row],[Calendar_h]],"")</f>
        <v/>
      </c>
      <c r="J1841" s="60">
        <f>IF(AND(tblFleet[[#This Row],[Units]]&lt;&gt;"",tblFleet[[#This Row],[Available_h]]&gt;0),tblFleet[[#This Row],[Operating_h]]/tblFleet[[#This Row],[Available_h]],"")</f>
        <v/>
      </c>
    </row>
    <row r="1842">
      <c r="A1842" s="54" t="n"/>
      <c r="B1842" s="61" t="n"/>
      <c r="C1842" s="62" t="n"/>
      <c r="D1842" s="57" t="n"/>
      <c r="E1842" s="57" t="n"/>
      <c r="F1842" s="58" t="n"/>
      <c r="G1842" s="66">
        <f>IF(tblFleet[[#This Row],[Units]]="","",tblFleet[[#This Row],[Units]]*cfg_HoursPerDay)</f>
        <v/>
      </c>
      <c r="H1842" s="66">
        <f>IF(tblFleet[[#This Row],[Units]]="","",tblFleet[[#This Row],[Calendar_h]]-tblFleet[[#This Row],[Down_h]])</f>
        <v/>
      </c>
      <c r="I1842" s="60">
        <f>IF(AND(tblFleet[[#This Row],[Units]]&lt;&gt;"",tblFleet[[#This Row],[Calendar_h]]&gt;0),tblFleet[[#This Row],[Available_h]]/tblFleet[[#This Row],[Calendar_h]],"")</f>
        <v/>
      </c>
      <c r="J1842" s="60">
        <f>IF(AND(tblFleet[[#This Row],[Units]]&lt;&gt;"",tblFleet[[#This Row],[Available_h]]&gt;0),tblFleet[[#This Row],[Operating_h]]/tblFleet[[#This Row],[Available_h]],"")</f>
        <v/>
      </c>
    </row>
    <row r="1843">
      <c r="A1843" s="54" t="n"/>
      <c r="B1843" s="61" t="n"/>
      <c r="C1843" s="62" t="n"/>
      <c r="D1843" s="57" t="n"/>
      <c r="E1843" s="57" t="n"/>
      <c r="F1843" s="58" t="n"/>
      <c r="G1843" s="66">
        <f>IF(tblFleet[[#This Row],[Units]]="","",tblFleet[[#This Row],[Units]]*cfg_HoursPerDay)</f>
        <v/>
      </c>
      <c r="H1843" s="66">
        <f>IF(tblFleet[[#This Row],[Units]]="","",tblFleet[[#This Row],[Calendar_h]]-tblFleet[[#This Row],[Down_h]])</f>
        <v/>
      </c>
      <c r="I1843" s="60">
        <f>IF(AND(tblFleet[[#This Row],[Units]]&lt;&gt;"",tblFleet[[#This Row],[Calendar_h]]&gt;0),tblFleet[[#This Row],[Available_h]]/tblFleet[[#This Row],[Calendar_h]],"")</f>
        <v/>
      </c>
      <c r="J1843" s="60">
        <f>IF(AND(tblFleet[[#This Row],[Units]]&lt;&gt;"",tblFleet[[#This Row],[Available_h]]&gt;0),tblFleet[[#This Row],[Operating_h]]/tblFleet[[#This Row],[Available_h]],"")</f>
        <v/>
      </c>
    </row>
    <row r="1844">
      <c r="A1844" s="54" t="n"/>
      <c r="B1844" s="61" t="n"/>
      <c r="C1844" s="62" t="n"/>
      <c r="D1844" s="57" t="n"/>
      <c r="E1844" s="57" t="n"/>
      <c r="F1844" s="58" t="n"/>
      <c r="G1844" s="66">
        <f>IF(tblFleet[[#This Row],[Units]]="","",tblFleet[[#This Row],[Units]]*cfg_HoursPerDay)</f>
        <v/>
      </c>
      <c r="H1844" s="66">
        <f>IF(tblFleet[[#This Row],[Units]]="","",tblFleet[[#This Row],[Calendar_h]]-tblFleet[[#This Row],[Down_h]])</f>
        <v/>
      </c>
      <c r="I1844" s="60">
        <f>IF(AND(tblFleet[[#This Row],[Units]]&lt;&gt;"",tblFleet[[#This Row],[Calendar_h]]&gt;0),tblFleet[[#This Row],[Available_h]]/tblFleet[[#This Row],[Calendar_h]],"")</f>
        <v/>
      </c>
      <c r="J1844" s="60">
        <f>IF(AND(tblFleet[[#This Row],[Units]]&lt;&gt;"",tblFleet[[#This Row],[Available_h]]&gt;0),tblFleet[[#This Row],[Operating_h]]/tblFleet[[#This Row],[Available_h]],"")</f>
        <v/>
      </c>
    </row>
    <row r="1845">
      <c r="A1845" s="54" t="n"/>
      <c r="B1845" s="61" t="n"/>
      <c r="C1845" s="62" t="n"/>
      <c r="D1845" s="57" t="n"/>
      <c r="E1845" s="57" t="n"/>
      <c r="F1845" s="58" t="n"/>
      <c r="G1845" s="66">
        <f>IF(tblFleet[[#This Row],[Units]]="","",tblFleet[[#This Row],[Units]]*cfg_HoursPerDay)</f>
        <v/>
      </c>
      <c r="H1845" s="66">
        <f>IF(tblFleet[[#This Row],[Units]]="","",tblFleet[[#This Row],[Calendar_h]]-tblFleet[[#This Row],[Down_h]])</f>
        <v/>
      </c>
      <c r="I1845" s="60">
        <f>IF(AND(tblFleet[[#This Row],[Units]]&lt;&gt;"",tblFleet[[#This Row],[Calendar_h]]&gt;0),tblFleet[[#This Row],[Available_h]]/tblFleet[[#This Row],[Calendar_h]],"")</f>
        <v/>
      </c>
      <c r="J1845" s="60">
        <f>IF(AND(tblFleet[[#This Row],[Units]]&lt;&gt;"",tblFleet[[#This Row],[Available_h]]&gt;0),tblFleet[[#This Row],[Operating_h]]/tblFleet[[#This Row],[Available_h]],"")</f>
        <v/>
      </c>
    </row>
    <row r="1846">
      <c r="A1846" s="54" t="n"/>
      <c r="B1846" s="61" t="n"/>
      <c r="C1846" s="62" t="n"/>
      <c r="D1846" s="57" t="n"/>
      <c r="E1846" s="57" t="n"/>
      <c r="F1846" s="58" t="n"/>
      <c r="G1846" s="66">
        <f>IF(tblFleet[[#This Row],[Units]]="","",tblFleet[[#This Row],[Units]]*cfg_HoursPerDay)</f>
        <v/>
      </c>
      <c r="H1846" s="66">
        <f>IF(tblFleet[[#This Row],[Units]]="","",tblFleet[[#This Row],[Calendar_h]]-tblFleet[[#This Row],[Down_h]])</f>
        <v/>
      </c>
      <c r="I1846" s="60">
        <f>IF(AND(tblFleet[[#This Row],[Units]]&lt;&gt;"",tblFleet[[#This Row],[Calendar_h]]&gt;0),tblFleet[[#This Row],[Available_h]]/tblFleet[[#This Row],[Calendar_h]],"")</f>
        <v/>
      </c>
      <c r="J1846" s="60">
        <f>IF(AND(tblFleet[[#This Row],[Units]]&lt;&gt;"",tblFleet[[#This Row],[Available_h]]&gt;0),tblFleet[[#This Row],[Operating_h]]/tblFleet[[#This Row],[Available_h]],"")</f>
        <v/>
      </c>
    </row>
    <row r="1847">
      <c r="A1847" s="54" t="n"/>
      <c r="B1847" s="61" t="n"/>
      <c r="C1847" s="62" t="n"/>
      <c r="D1847" s="57" t="n"/>
      <c r="E1847" s="57" t="n"/>
      <c r="F1847" s="58" t="n"/>
      <c r="G1847" s="66">
        <f>IF(tblFleet[[#This Row],[Units]]="","",tblFleet[[#This Row],[Units]]*cfg_HoursPerDay)</f>
        <v/>
      </c>
      <c r="H1847" s="66">
        <f>IF(tblFleet[[#This Row],[Units]]="","",tblFleet[[#This Row],[Calendar_h]]-tblFleet[[#This Row],[Down_h]])</f>
        <v/>
      </c>
      <c r="I1847" s="60">
        <f>IF(AND(tblFleet[[#This Row],[Units]]&lt;&gt;"",tblFleet[[#This Row],[Calendar_h]]&gt;0),tblFleet[[#This Row],[Available_h]]/tblFleet[[#This Row],[Calendar_h]],"")</f>
        <v/>
      </c>
      <c r="J1847" s="60">
        <f>IF(AND(tblFleet[[#This Row],[Units]]&lt;&gt;"",tblFleet[[#This Row],[Available_h]]&gt;0),tblFleet[[#This Row],[Operating_h]]/tblFleet[[#This Row],[Available_h]],"")</f>
        <v/>
      </c>
    </row>
    <row r="1848">
      <c r="A1848" s="54" t="n"/>
      <c r="B1848" s="61" t="n"/>
      <c r="C1848" s="62" t="n"/>
      <c r="D1848" s="57" t="n"/>
      <c r="E1848" s="57" t="n"/>
      <c r="F1848" s="58" t="n"/>
      <c r="G1848" s="66">
        <f>IF(tblFleet[[#This Row],[Units]]="","",tblFleet[[#This Row],[Units]]*cfg_HoursPerDay)</f>
        <v/>
      </c>
      <c r="H1848" s="66">
        <f>IF(tblFleet[[#This Row],[Units]]="","",tblFleet[[#This Row],[Calendar_h]]-tblFleet[[#This Row],[Down_h]])</f>
        <v/>
      </c>
      <c r="I1848" s="60">
        <f>IF(AND(tblFleet[[#This Row],[Units]]&lt;&gt;"",tblFleet[[#This Row],[Calendar_h]]&gt;0),tblFleet[[#This Row],[Available_h]]/tblFleet[[#This Row],[Calendar_h]],"")</f>
        <v/>
      </c>
      <c r="J1848" s="60">
        <f>IF(AND(tblFleet[[#This Row],[Units]]&lt;&gt;"",tblFleet[[#This Row],[Available_h]]&gt;0),tblFleet[[#This Row],[Operating_h]]/tblFleet[[#This Row],[Available_h]],"")</f>
        <v/>
      </c>
    </row>
    <row r="1849">
      <c r="A1849" s="54" t="n"/>
      <c r="B1849" s="61" t="n"/>
      <c r="C1849" s="62" t="n"/>
      <c r="D1849" s="57" t="n"/>
      <c r="E1849" s="57" t="n"/>
      <c r="F1849" s="58" t="n"/>
      <c r="G1849" s="66">
        <f>IF(tblFleet[[#This Row],[Units]]="","",tblFleet[[#This Row],[Units]]*cfg_HoursPerDay)</f>
        <v/>
      </c>
      <c r="H1849" s="66">
        <f>IF(tblFleet[[#This Row],[Units]]="","",tblFleet[[#This Row],[Calendar_h]]-tblFleet[[#This Row],[Down_h]])</f>
        <v/>
      </c>
      <c r="I1849" s="60">
        <f>IF(AND(tblFleet[[#This Row],[Units]]&lt;&gt;"",tblFleet[[#This Row],[Calendar_h]]&gt;0),tblFleet[[#This Row],[Available_h]]/tblFleet[[#This Row],[Calendar_h]],"")</f>
        <v/>
      </c>
      <c r="J1849" s="60">
        <f>IF(AND(tblFleet[[#This Row],[Units]]&lt;&gt;"",tblFleet[[#This Row],[Available_h]]&gt;0),tblFleet[[#This Row],[Operating_h]]/tblFleet[[#This Row],[Available_h]],"")</f>
        <v/>
      </c>
    </row>
    <row r="1850">
      <c r="A1850" s="54" t="n"/>
      <c r="B1850" s="61" t="n"/>
      <c r="C1850" s="62" t="n"/>
      <c r="D1850" s="57" t="n"/>
      <c r="E1850" s="57" t="n"/>
      <c r="F1850" s="58" t="n"/>
      <c r="G1850" s="66">
        <f>IF(tblFleet[[#This Row],[Units]]="","",tblFleet[[#This Row],[Units]]*cfg_HoursPerDay)</f>
        <v/>
      </c>
      <c r="H1850" s="66">
        <f>IF(tblFleet[[#This Row],[Units]]="","",tblFleet[[#This Row],[Calendar_h]]-tblFleet[[#This Row],[Down_h]])</f>
        <v/>
      </c>
      <c r="I1850" s="60">
        <f>IF(AND(tblFleet[[#This Row],[Units]]&lt;&gt;"",tblFleet[[#This Row],[Calendar_h]]&gt;0),tblFleet[[#This Row],[Available_h]]/tblFleet[[#This Row],[Calendar_h]],"")</f>
        <v/>
      </c>
      <c r="J1850" s="60">
        <f>IF(AND(tblFleet[[#This Row],[Units]]&lt;&gt;"",tblFleet[[#This Row],[Available_h]]&gt;0),tblFleet[[#This Row],[Operating_h]]/tblFleet[[#This Row],[Available_h]],"")</f>
        <v/>
      </c>
    </row>
    <row r="1851">
      <c r="A1851" s="54" t="n"/>
      <c r="B1851" s="61" t="n"/>
      <c r="C1851" s="62" t="n"/>
      <c r="D1851" s="57" t="n"/>
      <c r="E1851" s="57" t="n"/>
      <c r="F1851" s="58" t="n"/>
      <c r="G1851" s="66">
        <f>IF(tblFleet[[#This Row],[Units]]="","",tblFleet[[#This Row],[Units]]*cfg_HoursPerDay)</f>
        <v/>
      </c>
      <c r="H1851" s="66">
        <f>IF(tblFleet[[#This Row],[Units]]="","",tblFleet[[#This Row],[Calendar_h]]-tblFleet[[#This Row],[Down_h]])</f>
        <v/>
      </c>
      <c r="I1851" s="60">
        <f>IF(AND(tblFleet[[#This Row],[Units]]&lt;&gt;"",tblFleet[[#This Row],[Calendar_h]]&gt;0),tblFleet[[#This Row],[Available_h]]/tblFleet[[#This Row],[Calendar_h]],"")</f>
        <v/>
      </c>
      <c r="J1851" s="60">
        <f>IF(AND(tblFleet[[#This Row],[Units]]&lt;&gt;"",tblFleet[[#This Row],[Available_h]]&gt;0),tblFleet[[#This Row],[Operating_h]]/tblFleet[[#This Row],[Available_h]],"")</f>
        <v/>
      </c>
    </row>
    <row r="1852">
      <c r="A1852" s="54" t="n"/>
      <c r="B1852" s="61" t="n"/>
      <c r="C1852" s="62" t="n"/>
      <c r="D1852" s="57" t="n"/>
      <c r="E1852" s="57" t="n"/>
      <c r="F1852" s="58" t="n"/>
      <c r="G1852" s="66">
        <f>IF(tblFleet[[#This Row],[Units]]="","",tblFleet[[#This Row],[Units]]*cfg_HoursPerDay)</f>
        <v/>
      </c>
      <c r="H1852" s="66">
        <f>IF(tblFleet[[#This Row],[Units]]="","",tblFleet[[#This Row],[Calendar_h]]-tblFleet[[#This Row],[Down_h]])</f>
        <v/>
      </c>
      <c r="I1852" s="60">
        <f>IF(AND(tblFleet[[#This Row],[Units]]&lt;&gt;"",tblFleet[[#This Row],[Calendar_h]]&gt;0),tblFleet[[#This Row],[Available_h]]/tblFleet[[#This Row],[Calendar_h]],"")</f>
        <v/>
      </c>
      <c r="J1852" s="60">
        <f>IF(AND(tblFleet[[#This Row],[Units]]&lt;&gt;"",tblFleet[[#This Row],[Available_h]]&gt;0),tblFleet[[#This Row],[Operating_h]]/tblFleet[[#This Row],[Available_h]],"")</f>
        <v/>
      </c>
    </row>
    <row r="1853">
      <c r="A1853" s="54" t="n"/>
      <c r="B1853" s="61" t="n"/>
      <c r="C1853" s="62" t="n"/>
      <c r="D1853" s="57" t="n"/>
      <c r="E1853" s="57" t="n"/>
      <c r="F1853" s="58" t="n"/>
      <c r="G1853" s="66">
        <f>IF(tblFleet[[#This Row],[Units]]="","",tblFleet[[#This Row],[Units]]*cfg_HoursPerDay)</f>
        <v/>
      </c>
      <c r="H1853" s="66">
        <f>IF(tblFleet[[#This Row],[Units]]="","",tblFleet[[#This Row],[Calendar_h]]-tblFleet[[#This Row],[Down_h]])</f>
        <v/>
      </c>
      <c r="I1853" s="60">
        <f>IF(AND(tblFleet[[#This Row],[Units]]&lt;&gt;"",tblFleet[[#This Row],[Calendar_h]]&gt;0),tblFleet[[#This Row],[Available_h]]/tblFleet[[#This Row],[Calendar_h]],"")</f>
        <v/>
      </c>
      <c r="J1853" s="60">
        <f>IF(AND(tblFleet[[#This Row],[Units]]&lt;&gt;"",tblFleet[[#This Row],[Available_h]]&gt;0),tblFleet[[#This Row],[Operating_h]]/tblFleet[[#This Row],[Available_h]],"")</f>
        <v/>
      </c>
    </row>
    <row r="1854">
      <c r="A1854" s="54" t="n"/>
      <c r="B1854" s="61" t="n"/>
      <c r="C1854" s="62" t="n"/>
      <c r="D1854" s="57" t="n"/>
      <c r="E1854" s="57" t="n"/>
      <c r="F1854" s="58" t="n"/>
      <c r="G1854" s="66">
        <f>IF(tblFleet[[#This Row],[Units]]="","",tblFleet[[#This Row],[Units]]*cfg_HoursPerDay)</f>
        <v/>
      </c>
      <c r="H1854" s="66">
        <f>IF(tblFleet[[#This Row],[Units]]="","",tblFleet[[#This Row],[Calendar_h]]-tblFleet[[#This Row],[Down_h]])</f>
        <v/>
      </c>
      <c r="I1854" s="60">
        <f>IF(AND(tblFleet[[#This Row],[Units]]&lt;&gt;"",tblFleet[[#This Row],[Calendar_h]]&gt;0),tblFleet[[#This Row],[Available_h]]/tblFleet[[#This Row],[Calendar_h]],"")</f>
        <v/>
      </c>
      <c r="J1854" s="60">
        <f>IF(AND(tblFleet[[#This Row],[Units]]&lt;&gt;"",tblFleet[[#This Row],[Available_h]]&gt;0),tblFleet[[#This Row],[Operating_h]]/tblFleet[[#This Row],[Available_h]],"")</f>
        <v/>
      </c>
    </row>
    <row r="1855">
      <c r="A1855" s="54" t="n"/>
      <c r="B1855" s="61" t="n"/>
      <c r="C1855" s="62" t="n"/>
      <c r="D1855" s="57" t="n"/>
      <c r="E1855" s="57" t="n"/>
      <c r="F1855" s="58" t="n"/>
      <c r="G1855" s="66">
        <f>IF(tblFleet[[#This Row],[Units]]="","",tblFleet[[#This Row],[Units]]*cfg_HoursPerDay)</f>
        <v/>
      </c>
      <c r="H1855" s="66">
        <f>IF(tblFleet[[#This Row],[Units]]="","",tblFleet[[#This Row],[Calendar_h]]-tblFleet[[#This Row],[Down_h]])</f>
        <v/>
      </c>
      <c r="I1855" s="60">
        <f>IF(AND(tblFleet[[#This Row],[Units]]&lt;&gt;"",tblFleet[[#This Row],[Calendar_h]]&gt;0),tblFleet[[#This Row],[Available_h]]/tblFleet[[#This Row],[Calendar_h]],"")</f>
        <v/>
      </c>
      <c r="J1855" s="60">
        <f>IF(AND(tblFleet[[#This Row],[Units]]&lt;&gt;"",tblFleet[[#This Row],[Available_h]]&gt;0),tblFleet[[#This Row],[Operating_h]]/tblFleet[[#This Row],[Available_h]],"")</f>
        <v/>
      </c>
    </row>
    <row r="1856">
      <c r="A1856" s="54" t="n"/>
      <c r="B1856" s="61" t="n"/>
      <c r="C1856" s="62" t="n"/>
      <c r="D1856" s="57" t="n"/>
      <c r="E1856" s="57" t="n"/>
      <c r="F1856" s="58" t="n"/>
      <c r="G1856" s="66">
        <f>IF(tblFleet[[#This Row],[Units]]="","",tblFleet[[#This Row],[Units]]*cfg_HoursPerDay)</f>
        <v/>
      </c>
      <c r="H1856" s="66">
        <f>IF(tblFleet[[#This Row],[Units]]="","",tblFleet[[#This Row],[Calendar_h]]-tblFleet[[#This Row],[Down_h]])</f>
        <v/>
      </c>
      <c r="I1856" s="60">
        <f>IF(AND(tblFleet[[#This Row],[Units]]&lt;&gt;"",tblFleet[[#This Row],[Calendar_h]]&gt;0),tblFleet[[#This Row],[Available_h]]/tblFleet[[#This Row],[Calendar_h]],"")</f>
        <v/>
      </c>
      <c r="J1856" s="60">
        <f>IF(AND(tblFleet[[#This Row],[Units]]&lt;&gt;"",tblFleet[[#This Row],[Available_h]]&gt;0),tblFleet[[#This Row],[Operating_h]]/tblFleet[[#This Row],[Available_h]],"")</f>
        <v/>
      </c>
    </row>
    <row r="1857">
      <c r="A1857" s="54" t="n"/>
      <c r="B1857" s="61" t="n"/>
      <c r="C1857" s="62" t="n"/>
      <c r="D1857" s="57" t="n"/>
      <c r="E1857" s="57" t="n"/>
      <c r="F1857" s="58" t="n"/>
      <c r="G1857" s="66">
        <f>IF(tblFleet[[#This Row],[Units]]="","",tblFleet[[#This Row],[Units]]*cfg_HoursPerDay)</f>
        <v/>
      </c>
      <c r="H1857" s="66">
        <f>IF(tblFleet[[#This Row],[Units]]="","",tblFleet[[#This Row],[Calendar_h]]-tblFleet[[#This Row],[Down_h]])</f>
        <v/>
      </c>
      <c r="I1857" s="60">
        <f>IF(AND(tblFleet[[#This Row],[Units]]&lt;&gt;"",tblFleet[[#This Row],[Calendar_h]]&gt;0),tblFleet[[#This Row],[Available_h]]/tblFleet[[#This Row],[Calendar_h]],"")</f>
        <v/>
      </c>
      <c r="J1857" s="60">
        <f>IF(AND(tblFleet[[#This Row],[Units]]&lt;&gt;"",tblFleet[[#This Row],[Available_h]]&gt;0),tblFleet[[#This Row],[Operating_h]]/tblFleet[[#This Row],[Available_h]],"")</f>
        <v/>
      </c>
    </row>
    <row r="1858">
      <c r="A1858" s="54" t="n"/>
      <c r="B1858" s="61" t="n"/>
      <c r="C1858" s="62" t="n"/>
      <c r="D1858" s="57" t="n"/>
      <c r="E1858" s="57" t="n"/>
      <c r="F1858" s="58" t="n"/>
      <c r="G1858" s="66">
        <f>IF(tblFleet[[#This Row],[Units]]="","",tblFleet[[#This Row],[Units]]*cfg_HoursPerDay)</f>
        <v/>
      </c>
      <c r="H1858" s="66">
        <f>IF(tblFleet[[#This Row],[Units]]="","",tblFleet[[#This Row],[Calendar_h]]-tblFleet[[#This Row],[Down_h]])</f>
        <v/>
      </c>
      <c r="I1858" s="60">
        <f>IF(AND(tblFleet[[#This Row],[Units]]&lt;&gt;"",tblFleet[[#This Row],[Calendar_h]]&gt;0),tblFleet[[#This Row],[Available_h]]/tblFleet[[#This Row],[Calendar_h]],"")</f>
        <v/>
      </c>
      <c r="J1858" s="60">
        <f>IF(AND(tblFleet[[#This Row],[Units]]&lt;&gt;"",tblFleet[[#This Row],[Available_h]]&gt;0),tblFleet[[#This Row],[Operating_h]]/tblFleet[[#This Row],[Available_h]],"")</f>
        <v/>
      </c>
    </row>
    <row r="1859">
      <c r="A1859" s="54" t="n"/>
      <c r="B1859" s="61" t="n"/>
      <c r="C1859" s="62" t="n"/>
      <c r="D1859" s="57" t="n"/>
      <c r="E1859" s="57" t="n"/>
      <c r="F1859" s="58" t="n"/>
      <c r="G1859" s="66">
        <f>IF(tblFleet[[#This Row],[Units]]="","",tblFleet[[#This Row],[Units]]*cfg_HoursPerDay)</f>
        <v/>
      </c>
      <c r="H1859" s="66">
        <f>IF(tblFleet[[#This Row],[Units]]="","",tblFleet[[#This Row],[Calendar_h]]-tblFleet[[#This Row],[Down_h]])</f>
        <v/>
      </c>
      <c r="I1859" s="60">
        <f>IF(AND(tblFleet[[#This Row],[Units]]&lt;&gt;"",tblFleet[[#This Row],[Calendar_h]]&gt;0),tblFleet[[#This Row],[Available_h]]/tblFleet[[#This Row],[Calendar_h]],"")</f>
        <v/>
      </c>
      <c r="J1859" s="60">
        <f>IF(AND(tblFleet[[#This Row],[Units]]&lt;&gt;"",tblFleet[[#This Row],[Available_h]]&gt;0),tblFleet[[#This Row],[Operating_h]]/tblFleet[[#This Row],[Available_h]],"")</f>
        <v/>
      </c>
    </row>
    <row r="1860">
      <c r="A1860" s="54" t="n"/>
      <c r="B1860" s="61" t="n"/>
      <c r="C1860" s="62" t="n"/>
      <c r="D1860" s="57" t="n"/>
      <c r="E1860" s="57" t="n"/>
      <c r="F1860" s="58" t="n"/>
      <c r="G1860" s="66">
        <f>IF(tblFleet[[#This Row],[Units]]="","",tblFleet[[#This Row],[Units]]*cfg_HoursPerDay)</f>
        <v/>
      </c>
      <c r="H1860" s="66">
        <f>IF(tblFleet[[#This Row],[Units]]="","",tblFleet[[#This Row],[Calendar_h]]-tblFleet[[#This Row],[Down_h]])</f>
        <v/>
      </c>
      <c r="I1860" s="60">
        <f>IF(AND(tblFleet[[#This Row],[Units]]&lt;&gt;"",tblFleet[[#This Row],[Calendar_h]]&gt;0),tblFleet[[#This Row],[Available_h]]/tblFleet[[#This Row],[Calendar_h]],"")</f>
        <v/>
      </c>
      <c r="J1860" s="60">
        <f>IF(AND(tblFleet[[#This Row],[Units]]&lt;&gt;"",tblFleet[[#This Row],[Available_h]]&gt;0),tblFleet[[#This Row],[Operating_h]]/tblFleet[[#This Row],[Available_h]],"")</f>
        <v/>
      </c>
    </row>
    <row r="1861">
      <c r="A1861" s="54" t="n"/>
      <c r="B1861" s="61" t="n"/>
      <c r="C1861" s="62" t="n"/>
      <c r="D1861" s="57" t="n"/>
      <c r="E1861" s="57" t="n"/>
      <c r="F1861" s="58" t="n"/>
      <c r="G1861" s="66">
        <f>IF(tblFleet[[#This Row],[Units]]="","",tblFleet[[#This Row],[Units]]*cfg_HoursPerDay)</f>
        <v/>
      </c>
      <c r="H1861" s="66">
        <f>IF(tblFleet[[#This Row],[Units]]="","",tblFleet[[#This Row],[Calendar_h]]-tblFleet[[#This Row],[Down_h]])</f>
        <v/>
      </c>
      <c r="I1861" s="60">
        <f>IF(AND(tblFleet[[#This Row],[Units]]&lt;&gt;"",tblFleet[[#This Row],[Calendar_h]]&gt;0),tblFleet[[#This Row],[Available_h]]/tblFleet[[#This Row],[Calendar_h]],"")</f>
        <v/>
      </c>
      <c r="J1861" s="60">
        <f>IF(AND(tblFleet[[#This Row],[Units]]&lt;&gt;"",tblFleet[[#This Row],[Available_h]]&gt;0),tblFleet[[#This Row],[Operating_h]]/tblFleet[[#This Row],[Available_h]],"")</f>
        <v/>
      </c>
    </row>
    <row r="1862">
      <c r="A1862" s="54" t="n"/>
      <c r="B1862" s="61" t="n"/>
      <c r="C1862" s="62" t="n"/>
      <c r="D1862" s="57" t="n"/>
      <c r="E1862" s="57" t="n"/>
      <c r="F1862" s="58" t="n"/>
      <c r="G1862" s="66">
        <f>IF(tblFleet[[#This Row],[Units]]="","",tblFleet[[#This Row],[Units]]*cfg_HoursPerDay)</f>
        <v/>
      </c>
      <c r="H1862" s="66">
        <f>IF(tblFleet[[#This Row],[Units]]="","",tblFleet[[#This Row],[Calendar_h]]-tblFleet[[#This Row],[Down_h]])</f>
        <v/>
      </c>
      <c r="I1862" s="60">
        <f>IF(AND(tblFleet[[#This Row],[Units]]&lt;&gt;"",tblFleet[[#This Row],[Calendar_h]]&gt;0),tblFleet[[#This Row],[Available_h]]/tblFleet[[#This Row],[Calendar_h]],"")</f>
        <v/>
      </c>
      <c r="J1862" s="60">
        <f>IF(AND(tblFleet[[#This Row],[Units]]&lt;&gt;"",tblFleet[[#This Row],[Available_h]]&gt;0),tblFleet[[#This Row],[Operating_h]]/tblFleet[[#This Row],[Available_h]],"")</f>
        <v/>
      </c>
    </row>
    <row r="1863">
      <c r="A1863" s="54" t="n"/>
      <c r="B1863" s="61" t="n"/>
      <c r="C1863" s="62" t="n"/>
      <c r="D1863" s="57" t="n"/>
      <c r="E1863" s="57" t="n"/>
      <c r="F1863" s="58" t="n"/>
      <c r="G1863" s="66">
        <f>IF(tblFleet[[#This Row],[Units]]="","",tblFleet[[#This Row],[Units]]*cfg_HoursPerDay)</f>
        <v/>
      </c>
      <c r="H1863" s="66">
        <f>IF(tblFleet[[#This Row],[Units]]="","",tblFleet[[#This Row],[Calendar_h]]-tblFleet[[#This Row],[Down_h]])</f>
        <v/>
      </c>
      <c r="I1863" s="60">
        <f>IF(AND(tblFleet[[#This Row],[Units]]&lt;&gt;"",tblFleet[[#This Row],[Calendar_h]]&gt;0),tblFleet[[#This Row],[Available_h]]/tblFleet[[#This Row],[Calendar_h]],"")</f>
        <v/>
      </c>
      <c r="J1863" s="60">
        <f>IF(AND(tblFleet[[#This Row],[Units]]&lt;&gt;"",tblFleet[[#This Row],[Available_h]]&gt;0),tblFleet[[#This Row],[Operating_h]]/tblFleet[[#This Row],[Available_h]],"")</f>
        <v/>
      </c>
    </row>
    <row r="1864">
      <c r="A1864" s="54" t="n"/>
      <c r="B1864" s="61" t="n"/>
      <c r="C1864" s="62" t="n"/>
      <c r="D1864" s="57" t="n"/>
      <c r="E1864" s="57" t="n"/>
      <c r="F1864" s="58" t="n"/>
      <c r="G1864" s="66">
        <f>IF(tblFleet[[#This Row],[Units]]="","",tblFleet[[#This Row],[Units]]*cfg_HoursPerDay)</f>
        <v/>
      </c>
      <c r="H1864" s="66">
        <f>IF(tblFleet[[#This Row],[Units]]="","",tblFleet[[#This Row],[Calendar_h]]-tblFleet[[#This Row],[Down_h]])</f>
        <v/>
      </c>
      <c r="I1864" s="60">
        <f>IF(AND(tblFleet[[#This Row],[Units]]&lt;&gt;"",tblFleet[[#This Row],[Calendar_h]]&gt;0),tblFleet[[#This Row],[Available_h]]/tblFleet[[#This Row],[Calendar_h]],"")</f>
        <v/>
      </c>
      <c r="J1864" s="60">
        <f>IF(AND(tblFleet[[#This Row],[Units]]&lt;&gt;"",tblFleet[[#This Row],[Available_h]]&gt;0),tblFleet[[#This Row],[Operating_h]]/tblFleet[[#This Row],[Available_h]],"")</f>
        <v/>
      </c>
    </row>
    <row r="1865">
      <c r="A1865" s="54" t="n"/>
      <c r="B1865" s="61" t="n"/>
      <c r="C1865" s="62" t="n"/>
      <c r="D1865" s="57" t="n"/>
      <c r="E1865" s="57" t="n"/>
      <c r="F1865" s="58" t="n"/>
      <c r="G1865" s="66">
        <f>IF(tblFleet[[#This Row],[Units]]="","",tblFleet[[#This Row],[Units]]*cfg_HoursPerDay)</f>
        <v/>
      </c>
      <c r="H1865" s="66">
        <f>IF(tblFleet[[#This Row],[Units]]="","",tblFleet[[#This Row],[Calendar_h]]-tblFleet[[#This Row],[Down_h]])</f>
        <v/>
      </c>
      <c r="I1865" s="60">
        <f>IF(AND(tblFleet[[#This Row],[Units]]&lt;&gt;"",tblFleet[[#This Row],[Calendar_h]]&gt;0),tblFleet[[#This Row],[Available_h]]/tblFleet[[#This Row],[Calendar_h]],"")</f>
        <v/>
      </c>
      <c r="J1865" s="60">
        <f>IF(AND(tblFleet[[#This Row],[Units]]&lt;&gt;"",tblFleet[[#This Row],[Available_h]]&gt;0),tblFleet[[#This Row],[Operating_h]]/tblFleet[[#This Row],[Available_h]],"")</f>
        <v/>
      </c>
    </row>
    <row r="1866">
      <c r="A1866" s="54" t="n"/>
      <c r="B1866" s="61" t="n"/>
      <c r="C1866" s="62" t="n"/>
      <c r="D1866" s="57" t="n"/>
      <c r="E1866" s="57" t="n"/>
      <c r="F1866" s="58" t="n"/>
      <c r="G1866" s="66">
        <f>IF(tblFleet[[#This Row],[Units]]="","",tblFleet[[#This Row],[Units]]*cfg_HoursPerDay)</f>
        <v/>
      </c>
      <c r="H1866" s="66">
        <f>IF(tblFleet[[#This Row],[Units]]="","",tblFleet[[#This Row],[Calendar_h]]-tblFleet[[#This Row],[Down_h]])</f>
        <v/>
      </c>
      <c r="I1866" s="60">
        <f>IF(AND(tblFleet[[#This Row],[Units]]&lt;&gt;"",tblFleet[[#This Row],[Calendar_h]]&gt;0),tblFleet[[#This Row],[Available_h]]/tblFleet[[#This Row],[Calendar_h]],"")</f>
        <v/>
      </c>
      <c r="J1866" s="60">
        <f>IF(AND(tblFleet[[#This Row],[Units]]&lt;&gt;"",tblFleet[[#This Row],[Available_h]]&gt;0),tblFleet[[#This Row],[Operating_h]]/tblFleet[[#This Row],[Available_h]],"")</f>
        <v/>
      </c>
    </row>
    <row r="1867">
      <c r="A1867" s="54" t="n"/>
      <c r="B1867" s="61" t="n"/>
      <c r="C1867" s="62" t="n"/>
      <c r="D1867" s="57" t="n"/>
      <c r="E1867" s="57" t="n"/>
      <c r="F1867" s="58" t="n"/>
      <c r="G1867" s="66">
        <f>IF(tblFleet[[#This Row],[Units]]="","",tblFleet[[#This Row],[Units]]*cfg_HoursPerDay)</f>
        <v/>
      </c>
      <c r="H1867" s="66">
        <f>IF(tblFleet[[#This Row],[Units]]="","",tblFleet[[#This Row],[Calendar_h]]-tblFleet[[#This Row],[Down_h]])</f>
        <v/>
      </c>
      <c r="I1867" s="60">
        <f>IF(AND(tblFleet[[#This Row],[Units]]&lt;&gt;"",tblFleet[[#This Row],[Calendar_h]]&gt;0),tblFleet[[#This Row],[Available_h]]/tblFleet[[#This Row],[Calendar_h]],"")</f>
        <v/>
      </c>
      <c r="J1867" s="60">
        <f>IF(AND(tblFleet[[#This Row],[Units]]&lt;&gt;"",tblFleet[[#This Row],[Available_h]]&gt;0),tblFleet[[#This Row],[Operating_h]]/tblFleet[[#This Row],[Available_h]],"")</f>
        <v/>
      </c>
    </row>
    <row r="1868">
      <c r="A1868" s="54" t="n"/>
      <c r="B1868" s="61" t="n"/>
      <c r="C1868" s="62" t="n"/>
      <c r="D1868" s="57" t="n"/>
      <c r="E1868" s="57" t="n"/>
      <c r="F1868" s="58" t="n"/>
      <c r="G1868" s="66">
        <f>IF(tblFleet[[#This Row],[Units]]="","",tblFleet[[#This Row],[Units]]*cfg_HoursPerDay)</f>
        <v/>
      </c>
      <c r="H1868" s="66">
        <f>IF(tblFleet[[#This Row],[Units]]="","",tblFleet[[#This Row],[Calendar_h]]-tblFleet[[#This Row],[Down_h]])</f>
        <v/>
      </c>
      <c r="I1868" s="60">
        <f>IF(AND(tblFleet[[#This Row],[Units]]&lt;&gt;"",tblFleet[[#This Row],[Calendar_h]]&gt;0),tblFleet[[#This Row],[Available_h]]/tblFleet[[#This Row],[Calendar_h]],"")</f>
        <v/>
      </c>
      <c r="J1868" s="60">
        <f>IF(AND(tblFleet[[#This Row],[Units]]&lt;&gt;"",tblFleet[[#This Row],[Available_h]]&gt;0),tblFleet[[#This Row],[Operating_h]]/tblFleet[[#This Row],[Available_h]],"")</f>
        <v/>
      </c>
    </row>
    <row r="1869">
      <c r="A1869" s="54" t="n"/>
      <c r="B1869" s="61" t="n"/>
      <c r="C1869" s="62" t="n"/>
      <c r="D1869" s="57" t="n"/>
      <c r="E1869" s="57" t="n"/>
      <c r="F1869" s="58" t="n"/>
      <c r="G1869" s="66">
        <f>IF(tblFleet[[#This Row],[Units]]="","",tblFleet[[#This Row],[Units]]*cfg_HoursPerDay)</f>
        <v/>
      </c>
      <c r="H1869" s="66">
        <f>IF(tblFleet[[#This Row],[Units]]="","",tblFleet[[#This Row],[Calendar_h]]-tblFleet[[#This Row],[Down_h]])</f>
        <v/>
      </c>
      <c r="I1869" s="60">
        <f>IF(AND(tblFleet[[#This Row],[Units]]&lt;&gt;"",tblFleet[[#This Row],[Calendar_h]]&gt;0),tblFleet[[#This Row],[Available_h]]/tblFleet[[#This Row],[Calendar_h]],"")</f>
        <v/>
      </c>
      <c r="J1869" s="60">
        <f>IF(AND(tblFleet[[#This Row],[Units]]&lt;&gt;"",tblFleet[[#This Row],[Available_h]]&gt;0),tblFleet[[#This Row],[Operating_h]]/tblFleet[[#This Row],[Available_h]],"")</f>
        <v/>
      </c>
    </row>
    <row r="1870">
      <c r="A1870" s="54" t="n"/>
      <c r="B1870" s="61" t="n"/>
      <c r="C1870" s="62" t="n"/>
      <c r="D1870" s="57" t="n"/>
      <c r="E1870" s="57" t="n"/>
      <c r="F1870" s="58" t="n"/>
      <c r="G1870" s="66">
        <f>IF(tblFleet[[#This Row],[Units]]="","",tblFleet[[#This Row],[Units]]*cfg_HoursPerDay)</f>
        <v/>
      </c>
      <c r="H1870" s="66">
        <f>IF(tblFleet[[#This Row],[Units]]="","",tblFleet[[#This Row],[Calendar_h]]-tblFleet[[#This Row],[Down_h]])</f>
        <v/>
      </c>
      <c r="I1870" s="60">
        <f>IF(AND(tblFleet[[#This Row],[Units]]&lt;&gt;"",tblFleet[[#This Row],[Calendar_h]]&gt;0),tblFleet[[#This Row],[Available_h]]/tblFleet[[#This Row],[Calendar_h]],"")</f>
        <v/>
      </c>
      <c r="J1870" s="60">
        <f>IF(AND(tblFleet[[#This Row],[Units]]&lt;&gt;"",tblFleet[[#This Row],[Available_h]]&gt;0),tblFleet[[#This Row],[Operating_h]]/tblFleet[[#This Row],[Available_h]],"")</f>
        <v/>
      </c>
    </row>
    <row r="1871">
      <c r="A1871" s="54" t="n"/>
      <c r="B1871" s="61" t="n"/>
      <c r="C1871" s="62" t="n"/>
      <c r="D1871" s="57" t="n"/>
      <c r="E1871" s="57" t="n"/>
      <c r="F1871" s="58" t="n"/>
      <c r="G1871" s="66">
        <f>IF(tblFleet[[#This Row],[Units]]="","",tblFleet[[#This Row],[Units]]*cfg_HoursPerDay)</f>
        <v/>
      </c>
      <c r="H1871" s="66">
        <f>IF(tblFleet[[#This Row],[Units]]="","",tblFleet[[#This Row],[Calendar_h]]-tblFleet[[#This Row],[Down_h]])</f>
        <v/>
      </c>
      <c r="I1871" s="60">
        <f>IF(AND(tblFleet[[#This Row],[Units]]&lt;&gt;"",tblFleet[[#This Row],[Calendar_h]]&gt;0),tblFleet[[#This Row],[Available_h]]/tblFleet[[#This Row],[Calendar_h]],"")</f>
        <v/>
      </c>
      <c r="J1871" s="60">
        <f>IF(AND(tblFleet[[#This Row],[Units]]&lt;&gt;"",tblFleet[[#This Row],[Available_h]]&gt;0),tblFleet[[#This Row],[Operating_h]]/tblFleet[[#This Row],[Available_h]],"")</f>
        <v/>
      </c>
    </row>
    <row r="1872">
      <c r="A1872" s="54" t="n"/>
      <c r="B1872" s="61" t="n"/>
      <c r="C1872" s="62" t="n"/>
      <c r="D1872" s="57" t="n"/>
      <c r="E1872" s="57" t="n"/>
      <c r="F1872" s="58" t="n"/>
      <c r="G1872" s="66">
        <f>IF(tblFleet[[#This Row],[Units]]="","",tblFleet[[#This Row],[Units]]*cfg_HoursPerDay)</f>
        <v/>
      </c>
      <c r="H1872" s="66">
        <f>IF(tblFleet[[#This Row],[Units]]="","",tblFleet[[#This Row],[Calendar_h]]-tblFleet[[#This Row],[Down_h]])</f>
        <v/>
      </c>
      <c r="I1872" s="60">
        <f>IF(AND(tblFleet[[#This Row],[Units]]&lt;&gt;"",tblFleet[[#This Row],[Calendar_h]]&gt;0),tblFleet[[#This Row],[Available_h]]/tblFleet[[#This Row],[Calendar_h]],"")</f>
        <v/>
      </c>
      <c r="J1872" s="60">
        <f>IF(AND(tblFleet[[#This Row],[Units]]&lt;&gt;"",tblFleet[[#This Row],[Available_h]]&gt;0),tblFleet[[#This Row],[Operating_h]]/tblFleet[[#This Row],[Available_h]],"")</f>
        <v/>
      </c>
    </row>
    <row r="1873">
      <c r="A1873" s="54" t="n"/>
      <c r="B1873" s="61" t="n"/>
      <c r="C1873" s="62" t="n"/>
      <c r="D1873" s="57" t="n"/>
      <c r="E1873" s="57" t="n"/>
      <c r="F1873" s="58" t="n"/>
      <c r="G1873" s="66">
        <f>IF(tblFleet[[#This Row],[Units]]="","",tblFleet[[#This Row],[Units]]*cfg_HoursPerDay)</f>
        <v/>
      </c>
      <c r="H1873" s="66">
        <f>IF(tblFleet[[#This Row],[Units]]="","",tblFleet[[#This Row],[Calendar_h]]-tblFleet[[#This Row],[Down_h]])</f>
        <v/>
      </c>
      <c r="I1873" s="60">
        <f>IF(AND(tblFleet[[#This Row],[Units]]&lt;&gt;"",tblFleet[[#This Row],[Calendar_h]]&gt;0),tblFleet[[#This Row],[Available_h]]/tblFleet[[#This Row],[Calendar_h]],"")</f>
        <v/>
      </c>
      <c r="J1873" s="60">
        <f>IF(AND(tblFleet[[#This Row],[Units]]&lt;&gt;"",tblFleet[[#This Row],[Available_h]]&gt;0),tblFleet[[#This Row],[Operating_h]]/tblFleet[[#This Row],[Available_h]],"")</f>
        <v/>
      </c>
    </row>
    <row r="1874">
      <c r="A1874" s="54" t="n"/>
      <c r="B1874" s="61" t="n"/>
      <c r="C1874" s="62" t="n"/>
      <c r="D1874" s="57" t="n"/>
      <c r="E1874" s="57" t="n"/>
      <c r="F1874" s="58" t="n"/>
      <c r="G1874" s="66">
        <f>IF(tblFleet[[#This Row],[Units]]="","",tblFleet[[#This Row],[Units]]*cfg_HoursPerDay)</f>
        <v/>
      </c>
      <c r="H1874" s="66">
        <f>IF(tblFleet[[#This Row],[Units]]="","",tblFleet[[#This Row],[Calendar_h]]-tblFleet[[#This Row],[Down_h]])</f>
        <v/>
      </c>
      <c r="I1874" s="60">
        <f>IF(AND(tblFleet[[#This Row],[Units]]&lt;&gt;"",tblFleet[[#This Row],[Calendar_h]]&gt;0),tblFleet[[#This Row],[Available_h]]/tblFleet[[#This Row],[Calendar_h]],"")</f>
        <v/>
      </c>
      <c r="J1874" s="60">
        <f>IF(AND(tblFleet[[#This Row],[Units]]&lt;&gt;"",tblFleet[[#This Row],[Available_h]]&gt;0),tblFleet[[#This Row],[Operating_h]]/tblFleet[[#This Row],[Available_h]],"")</f>
        <v/>
      </c>
    </row>
    <row r="1875">
      <c r="A1875" s="54" t="n"/>
      <c r="B1875" s="61" t="n"/>
      <c r="C1875" s="62" t="n"/>
      <c r="D1875" s="57" t="n"/>
      <c r="E1875" s="57" t="n"/>
      <c r="F1875" s="58" t="n"/>
      <c r="G1875" s="66">
        <f>IF(tblFleet[[#This Row],[Units]]="","",tblFleet[[#This Row],[Units]]*cfg_HoursPerDay)</f>
        <v/>
      </c>
      <c r="H1875" s="66">
        <f>IF(tblFleet[[#This Row],[Units]]="","",tblFleet[[#This Row],[Calendar_h]]-tblFleet[[#This Row],[Down_h]])</f>
        <v/>
      </c>
      <c r="I1875" s="60">
        <f>IF(AND(tblFleet[[#This Row],[Units]]&lt;&gt;"",tblFleet[[#This Row],[Calendar_h]]&gt;0),tblFleet[[#This Row],[Available_h]]/tblFleet[[#This Row],[Calendar_h]],"")</f>
        <v/>
      </c>
      <c r="J1875" s="60">
        <f>IF(AND(tblFleet[[#This Row],[Units]]&lt;&gt;"",tblFleet[[#This Row],[Available_h]]&gt;0),tblFleet[[#This Row],[Operating_h]]/tblFleet[[#This Row],[Available_h]],"")</f>
        <v/>
      </c>
    </row>
    <row r="1876">
      <c r="A1876" s="54" t="n"/>
      <c r="B1876" s="61" t="n"/>
      <c r="C1876" s="62" t="n"/>
      <c r="D1876" s="57" t="n"/>
      <c r="E1876" s="57" t="n"/>
      <c r="F1876" s="58" t="n"/>
      <c r="G1876" s="66">
        <f>IF(tblFleet[[#This Row],[Units]]="","",tblFleet[[#This Row],[Units]]*cfg_HoursPerDay)</f>
        <v/>
      </c>
      <c r="H1876" s="66">
        <f>IF(tblFleet[[#This Row],[Units]]="","",tblFleet[[#This Row],[Calendar_h]]-tblFleet[[#This Row],[Down_h]])</f>
        <v/>
      </c>
      <c r="I1876" s="60">
        <f>IF(AND(tblFleet[[#This Row],[Units]]&lt;&gt;"",tblFleet[[#This Row],[Calendar_h]]&gt;0),tblFleet[[#This Row],[Available_h]]/tblFleet[[#This Row],[Calendar_h]],"")</f>
        <v/>
      </c>
      <c r="J1876" s="60">
        <f>IF(AND(tblFleet[[#This Row],[Units]]&lt;&gt;"",tblFleet[[#This Row],[Available_h]]&gt;0),tblFleet[[#This Row],[Operating_h]]/tblFleet[[#This Row],[Available_h]],"")</f>
        <v/>
      </c>
    </row>
    <row r="1877">
      <c r="A1877" s="54" t="n"/>
      <c r="B1877" s="61" t="n"/>
      <c r="C1877" s="62" t="n"/>
      <c r="D1877" s="57" t="n"/>
      <c r="E1877" s="57" t="n"/>
      <c r="F1877" s="58" t="n"/>
      <c r="G1877" s="66">
        <f>IF(tblFleet[[#This Row],[Units]]="","",tblFleet[[#This Row],[Units]]*cfg_HoursPerDay)</f>
        <v/>
      </c>
      <c r="H1877" s="66">
        <f>IF(tblFleet[[#This Row],[Units]]="","",tblFleet[[#This Row],[Calendar_h]]-tblFleet[[#This Row],[Down_h]])</f>
        <v/>
      </c>
      <c r="I1877" s="60">
        <f>IF(AND(tblFleet[[#This Row],[Units]]&lt;&gt;"",tblFleet[[#This Row],[Calendar_h]]&gt;0),tblFleet[[#This Row],[Available_h]]/tblFleet[[#This Row],[Calendar_h]],"")</f>
        <v/>
      </c>
      <c r="J1877" s="60">
        <f>IF(AND(tblFleet[[#This Row],[Units]]&lt;&gt;"",tblFleet[[#This Row],[Available_h]]&gt;0),tblFleet[[#This Row],[Operating_h]]/tblFleet[[#This Row],[Available_h]],"")</f>
        <v/>
      </c>
    </row>
    <row r="1878">
      <c r="A1878" s="54" t="n"/>
      <c r="B1878" s="61" t="n"/>
      <c r="C1878" s="62" t="n"/>
      <c r="D1878" s="57" t="n"/>
      <c r="E1878" s="57" t="n"/>
      <c r="F1878" s="58" t="n"/>
      <c r="G1878" s="66">
        <f>IF(tblFleet[[#This Row],[Units]]="","",tblFleet[[#This Row],[Units]]*cfg_HoursPerDay)</f>
        <v/>
      </c>
      <c r="H1878" s="66">
        <f>IF(tblFleet[[#This Row],[Units]]="","",tblFleet[[#This Row],[Calendar_h]]-tblFleet[[#This Row],[Down_h]])</f>
        <v/>
      </c>
      <c r="I1878" s="60">
        <f>IF(AND(tblFleet[[#This Row],[Units]]&lt;&gt;"",tblFleet[[#This Row],[Calendar_h]]&gt;0),tblFleet[[#This Row],[Available_h]]/tblFleet[[#This Row],[Calendar_h]],"")</f>
        <v/>
      </c>
      <c r="J1878" s="60">
        <f>IF(AND(tblFleet[[#This Row],[Units]]&lt;&gt;"",tblFleet[[#This Row],[Available_h]]&gt;0),tblFleet[[#This Row],[Operating_h]]/tblFleet[[#This Row],[Available_h]],"")</f>
        <v/>
      </c>
    </row>
    <row r="1879">
      <c r="A1879" s="54" t="n"/>
      <c r="B1879" s="61" t="n"/>
      <c r="C1879" s="62" t="n"/>
      <c r="D1879" s="57" t="n"/>
      <c r="E1879" s="57" t="n"/>
      <c r="F1879" s="58" t="n"/>
      <c r="G1879" s="66">
        <f>IF(tblFleet[[#This Row],[Units]]="","",tblFleet[[#This Row],[Units]]*cfg_HoursPerDay)</f>
        <v/>
      </c>
      <c r="H1879" s="66">
        <f>IF(tblFleet[[#This Row],[Units]]="","",tblFleet[[#This Row],[Calendar_h]]-tblFleet[[#This Row],[Down_h]])</f>
        <v/>
      </c>
      <c r="I1879" s="60">
        <f>IF(AND(tblFleet[[#This Row],[Units]]&lt;&gt;"",tblFleet[[#This Row],[Calendar_h]]&gt;0),tblFleet[[#This Row],[Available_h]]/tblFleet[[#This Row],[Calendar_h]],"")</f>
        <v/>
      </c>
      <c r="J1879" s="60">
        <f>IF(AND(tblFleet[[#This Row],[Units]]&lt;&gt;"",tblFleet[[#This Row],[Available_h]]&gt;0),tblFleet[[#This Row],[Operating_h]]/tblFleet[[#This Row],[Available_h]],"")</f>
        <v/>
      </c>
    </row>
    <row r="1880">
      <c r="A1880" s="54" t="n"/>
      <c r="B1880" s="61" t="n"/>
      <c r="C1880" s="62" t="n"/>
      <c r="D1880" s="57" t="n"/>
      <c r="E1880" s="57" t="n"/>
      <c r="F1880" s="58" t="n"/>
      <c r="G1880" s="66">
        <f>IF(tblFleet[[#This Row],[Units]]="","",tblFleet[[#This Row],[Units]]*cfg_HoursPerDay)</f>
        <v/>
      </c>
      <c r="H1880" s="66">
        <f>IF(tblFleet[[#This Row],[Units]]="","",tblFleet[[#This Row],[Calendar_h]]-tblFleet[[#This Row],[Down_h]])</f>
        <v/>
      </c>
      <c r="I1880" s="60">
        <f>IF(AND(tblFleet[[#This Row],[Units]]&lt;&gt;"",tblFleet[[#This Row],[Calendar_h]]&gt;0),tblFleet[[#This Row],[Available_h]]/tblFleet[[#This Row],[Calendar_h]],"")</f>
        <v/>
      </c>
      <c r="J1880" s="60">
        <f>IF(AND(tblFleet[[#This Row],[Units]]&lt;&gt;"",tblFleet[[#This Row],[Available_h]]&gt;0),tblFleet[[#This Row],[Operating_h]]/tblFleet[[#This Row],[Available_h]],"")</f>
        <v/>
      </c>
    </row>
    <row r="1881">
      <c r="A1881" s="54" t="n"/>
      <c r="B1881" s="61" t="n"/>
      <c r="C1881" s="62" t="n"/>
      <c r="D1881" s="57" t="n"/>
      <c r="E1881" s="57" t="n"/>
      <c r="F1881" s="58" t="n"/>
      <c r="G1881" s="66">
        <f>IF(tblFleet[[#This Row],[Units]]="","",tblFleet[[#This Row],[Units]]*cfg_HoursPerDay)</f>
        <v/>
      </c>
      <c r="H1881" s="66">
        <f>IF(tblFleet[[#This Row],[Units]]="","",tblFleet[[#This Row],[Calendar_h]]-tblFleet[[#This Row],[Down_h]])</f>
        <v/>
      </c>
      <c r="I1881" s="60">
        <f>IF(AND(tblFleet[[#This Row],[Units]]&lt;&gt;"",tblFleet[[#This Row],[Calendar_h]]&gt;0),tblFleet[[#This Row],[Available_h]]/tblFleet[[#This Row],[Calendar_h]],"")</f>
        <v/>
      </c>
      <c r="J1881" s="60">
        <f>IF(AND(tblFleet[[#This Row],[Units]]&lt;&gt;"",tblFleet[[#This Row],[Available_h]]&gt;0),tblFleet[[#This Row],[Operating_h]]/tblFleet[[#This Row],[Available_h]],"")</f>
        <v/>
      </c>
    </row>
    <row r="1882">
      <c r="A1882" s="54" t="n"/>
      <c r="B1882" s="61" t="n"/>
      <c r="C1882" s="62" t="n"/>
      <c r="D1882" s="57" t="n"/>
      <c r="E1882" s="57" t="n"/>
      <c r="F1882" s="58" t="n"/>
      <c r="G1882" s="66">
        <f>IF(tblFleet[[#This Row],[Units]]="","",tblFleet[[#This Row],[Units]]*cfg_HoursPerDay)</f>
        <v/>
      </c>
      <c r="H1882" s="66">
        <f>IF(tblFleet[[#This Row],[Units]]="","",tblFleet[[#This Row],[Calendar_h]]-tblFleet[[#This Row],[Down_h]])</f>
        <v/>
      </c>
      <c r="I1882" s="60">
        <f>IF(AND(tblFleet[[#This Row],[Units]]&lt;&gt;"",tblFleet[[#This Row],[Calendar_h]]&gt;0),tblFleet[[#This Row],[Available_h]]/tblFleet[[#This Row],[Calendar_h]],"")</f>
        <v/>
      </c>
      <c r="J1882" s="60">
        <f>IF(AND(tblFleet[[#This Row],[Units]]&lt;&gt;"",tblFleet[[#This Row],[Available_h]]&gt;0),tblFleet[[#This Row],[Operating_h]]/tblFleet[[#This Row],[Available_h]],"")</f>
        <v/>
      </c>
    </row>
    <row r="1883">
      <c r="A1883" s="54" t="n"/>
      <c r="B1883" s="61" t="n"/>
      <c r="C1883" s="62" t="n"/>
      <c r="D1883" s="57" t="n"/>
      <c r="E1883" s="57" t="n"/>
      <c r="F1883" s="58" t="n"/>
      <c r="G1883" s="66">
        <f>IF(tblFleet[[#This Row],[Units]]="","",tblFleet[[#This Row],[Units]]*cfg_HoursPerDay)</f>
        <v/>
      </c>
      <c r="H1883" s="66">
        <f>IF(tblFleet[[#This Row],[Units]]="","",tblFleet[[#This Row],[Calendar_h]]-tblFleet[[#This Row],[Down_h]])</f>
        <v/>
      </c>
      <c r="I1883" s="60">
        <f>IF(AND(tblFleet[[#This Row],[Units]]&lt;&gt;"",tblFleet[[#This Row],[Calendar_h]]&gt;0),tblFleet[[#This Row],[Available_h]]/tblFleet[[#This Row],[Calendar_h]],"")</f>
        <v/>
      </c>
      <c r="J1883" s="60">
        <f>IF(AND(tblFleet[[#This Row],[Units]]&lt;&gt;"",tblFleet[[#This Row],[Available_h]]&gt;0),tblFleet[[#This Row],[Operating_h]]/tblFleet[[#This Row],[Available_h]],"")</f>
        <v/>
      </c>
    </row>
    <row r="1884">
      <c r="A1884" s="54" t="n"/>
      <c r="B1884" s="61" t="n"/>
      <c r="C1884" s="62" t="n"/>
      <c r="D1884" s="57" t="n"/>
      <c r="E1884" s="57" t="n"/>
      <c r="F1884" s="58" t="n"/>
      <c r="G1884" s="66">
        <f>IF(tblFleet[[#This Row],[Units]]="","",tblFleet[[#This Row],[Units]]*cfg_HoursPerDay)</f>
        <v/>
      </c>
      <c r="H1884" s="66">
        <f>IF(tblFleet[[#This Row],[Units]]="","",tblFleet[[#This Row],[Calendar_h]]-tblFleet[[#This Row],[Down_h]])</f>
        <v/>
      </c>
      <c r="I1884" s="60">
        <f>IF(AND(tblFleet[[#This Row],[Units]]&lt;&gt;"",tblFleet[[#This Row],[Calendar_h]]&gt;0),tblFleet[[#This Row],[Available_h]]/tblFleet[[#This Row],[Calendar_h]],"")</f>
        <v/>
      </c>
      <c r="J1884" s="60">
        <f>IF(AND(tblFleet[[#This Row],[Units]]&lt;&gt;"",tblFleet[[#This Row],[Available_h]]&gt;0),tblFleet[[#This Row],[Operating_h]]/tblFleet[[#This Row],[Available_h]],"")</f>
        <v/>
      </c>
    </row>
    <row r="1885">
      <c r="A1885" s="54" t="n"/>
      <c r="B1885" s="61" t="n"/>
      <c r="C1885" s="62" t="n"/>
      <c r="D1885" s="57" t="n"/>
      <c r="E1885" s="57" t="n"/>
      <c r="F1885" s="58" t="n"/>
      <c r="G1885" s="66">
        <f>IF(tblFleet[[#This Row],[Units]]="","",tblFleet[[#This Row],[Units]]*cfg_HoursPerDay)</f>
        <v/>
      </c>
      <c r="H1885" s="66">
        <f>IF(tblFleet[[#This Row],[Units]]="","",tblFleet[[#This Row],[Calendar_h]]-tblFleet[[#This Row],[Down_h]])</f>
        <v/>
      </c>
      <c r="I1885" s="60">
        <f>IF(AND(tblFleet[[#This Row],[Units]]&lt;&gt;"",tblFleet[[#This Row],[Calendar_h]]&gt;0),tblFleet[[#This Row],[Available_h]]/tblFleet[[#This Row],[Calendar_h]],"")</f>
        <v/>
      </c>
      <c r="J1885" s="60">
        <f>IF(AND(tblFleet[[#This Row],[Units]]&lt;&gt;"",tblFleet[[#This Row],[Available_h]]&gt;0),tblFleet[[#This Row],[Operating_h]]/tblFleet[[#This Row],[Available_h]],"")</f>
        <v/>
      </c>
    </row>
    <row r="1886">
      <c r="A1886" s="54" t="n"/>
      <c r="B1886" s="61" t="n"/>
      <c r="C1886" s="62" t="n"/>
      <c r="D1886" s="57" t="n"/>
      <c r="E1886" s="57" t="n"/>
      <c r="F1886" s="58" t="n"/>
      <c r="G1886" s="66">
        <f>IF(tblFleet[[#This Row],[Units]]="","",tblFleet[[#This Row],[Units]]*cfg_HoursPerDay)</f>
        <v/>
      </c>
      <c r="H1886" s="66">
        <f>IF(tblFleet[[#This Row],[Units]]="","",tblFleet[[#This Row],[Calendar_h]]-tblFleet[[#This Row],[Down_h]])</f>
        <v/>
      </c>
      <c r="I1886" s="60">
        <f>IF(AND(tblFleet[[#This Row],[Units]]&lt;&gt;"",tblFleet[[#This Row],[Calendar_h]]&gt;0),tblFleet[[#This Row],[Available_h]]/tblFleet[[#This Row],[Calendar_h]],"")</f>
        <v/>
      </c>
      <c r="J1886" s="60">
        <f>IF(AND(tblFleet[[#This Row],[Units]]&lt;&gt;"",tblFleet[[#This Row],[Available_h]]&gt;0),tblFleet[[#This Row],[Operating_h]]/tblFleet[[#This Row],[Available_h]],"")</f>
        <v/>
      </c>
    </row>
    <row r="1887">
      <c r="A1887" s="54" t="n"/>
      <c r="B1887" s="61" t="n"/>
      <c r="C1887" s="62" t="n"/>
      <c r="D1887" s="57" t="n"/>
      <c r="E1887" s="57" t="n"/>
      <c r="F1887" s="58" t="n"/>
      <c r="G1887" s="66">
        <f>IF(tblFleet[[#This Row],[Units]]="","",tblFleet[[#This Row],[Units]]*cfg_HoursPerDay)</f>
        <v/>
      </c>
      <c r="H1887" s="66">
        <f>IF(tblFleet[[#This Row],[Units]]="","",tblFleet[[#This Row],[Calendar_h]]-tblFleet[[#This Row],[Down_h]])</f>
        <v/>
      </c>
      <c r="I1887" s="60">
        <f>IF(AND(tblFleet[[#This Row],[Units]]&lt;&gt;"",tblFleet[[#This Row],[Calendar_h]]&gt;0),tblFleet[[#This Row],[Available_h]]/tblFleet[[#This Row],[Calendar_h]],"")</f>
        <v/>
      </c>
      <c r="J1887" s="60">
        <f>IF(AND(tblFleet[[#This Row],[Units]]&lt;&gt;"",tblFleet[[#This Row],[Available_h]]&gt;0),tblFleet[[#This Row],[Operating_h]]/tblFleet[[#This Row],[Available_h]],"")</f>
        <v/>
      </c>
    </row>
    <row r="1888">
      <c r="A1888" s="54" t="n"/>
      <c r="B1888" s="61" t="n"/>
      <c r="C1888" s="62" t="n"/>
      <c r="D1888" s="57" t="n"/>
      <c r="E1888" s="57" t="n"/>
      <c r="F1888" s="58" t="n"/>
      <c r="G1888" s="66">
        <f>IF(tblFleet[[#This Row],[Units]]="","",tblFleet[[#This Row],[Units]]*cfg_HoursPerDay)</f>
        <v/>
      </c>
      <c r="H1888" s="66">
        <f>IF(tblFleet[[#This Row],[Units]]="","",tblFleet[[#This Row],[Calendar_h]]-tblFleet[[#This Row],[Down_h]])</f>
        <v/>
      </c>
      <c r="I1888" s="60">
        <f>IF(AND(tblFleet[[#This Row],[Units]]&lt;&gt;"",tblFleet[[#This Row],[Calendar_h]]&gt;0),tblFleet[[#This Row],[Available_h]]/tblFleet[[#This Row],[Calendar_h]],"")</f>
        <v/>
      </c>
      <c r="J1888" s="60">
        <f>IF(AND(tblFleet[[#This Row],[Units]]&lt;&gt;"",tblFleet[[#This Row],[Available_h]]&gt;0),tblFleet[[#This Row],[Operating_h]]/tblFleet[[#This Row],[Available_h]],"")</f>
        <v/>
      </c>
    </row>
    <row r="1889">
      <c r="A1889" s="54" t="n"/>
      <c r="B1889" s="61" t="n"/>
      <c r="C1889" s="62" t="n"/>
      <c r="D1889" s="57" t="n"/>
      <c r="E1889" s="57" t="n"/>
      <c r="F1889" s="58" t="n"/>
      <c r="G1889" s="66">
        <f>IF(tblFleet[[#This Row],[Units]]="","",tblFleet[[#This Row],[Units]]*cfg_HoursPerDay)</f>
        <v/>
      </c>
      <c r="H1889" s="66">
        <f>IF(tblFleet[[#This Row],[Units]]="","",tblFleet[[#This Row],[Calendar_h]]-tblFleet[[#This Row],[Down_h]])</f>
        <v/>
      </c>
      <c r="I1889" s="60">
        <f>IF(AND(tblFleet[[#This Row],[Units]]&lt;&gt;"",tblFleet[[#This Row],[Calendar_h]]&gt;0),tblFleet[[#This Row],[Available_h]]/tblFleet[[#This Row],[Calendar_h]],"")</f>
        <v/>
      </c>
      <c r="J1889" s="60">
        <f>IF(AND(tblFleet[[#This Row],[Units]]&lt;&gt;"",tblFleet[[#This Row],[Available_h]]&gt;0),tblFleet[[#This Row],[Operating_h]]/tblFleet[[#This Row],[Available_h]],"")</f>
        <v/>
      </c>
    </row>
    <row r="1890">
      <c r="A1890" s="54" t="n"/>
      <c r="B1890" s="61" t="n"/>
      <c r="C1890" s="62" t="n"/>
      <c r="D1890" s="57" t="n"/>
      <c r="E1890" s="57" t="n"/>
      <c r="F1890" s="58" t="n"/>
      <c r="G1890" s="66">
        <f>IF(tblFleet[[#This Row],[Units]]="","",tblFleet[[#This Row],[Units]]*cfg_HoursPerDay)</f>
        <v/>
      </c>
      <c r="H1890" s="66">
        <f>IF(tblFleet[[#This Row],[Units]]="","",tblFleet[[#This Row],[Calendar_h]]-tblFleet[[#This Row],[Down_h]])</f>
        <v/>
      </c>
      <c r="I1890" s="60">
        <f>IF(AND(tblFleet[[#This Row],[Units]]&lt;&gt;"",tblFleet[[#This Row],[Calendar_h]]&gt;0),tblFleet[[#This Row],[Available_h]]/tblFleet[[#This Row],[Calendar_h]],"")</f>
        <v/>
      </c>
      <c r="J1890" s="60">
        <f>IF(AND(tblFleet[[#This Row],[Units]]&lt;&gt;"",tblFleet[[#This Row],[Available_h]]&gt;0),tblFleet[[#This Row],[Operating_h]]/tblFleet[[#This Row],[Available_h]],"")</f>
        <v/>
      </c>
    </row>
    <row r="1891">
      <c r="A1891" s="54" t="n"/>
      <c r="B1891" s="61" t="n"/>
      <c r="C1891" s="62" t="n"/>
      <c r="D1891" s="57" t="n"/>
      <c r="E1891" s="57" t="n"/>
      <c r="F1891" s="58" t="n"/>
      <c r="G1891" s="66">
        <f>IF(tblFleet[[#This Row],[Units]]="","",tblFleet[[#This Row],[Units]]*cfg_HoursPerDay)</f>
        <v/>
      </c>
      <c r="H1891" s="66">
        <f>IF(tblFleet[[#This Row],[Units]]="","",tblFleet[[#This Row],[Calendar_h]]-tblFleet[[#This Row],[Down_h]])</f>
        <v/>
      </c>
      <c r="I1891" s="60">
        <f>IF(AND(tblFleet[[#This Row],[Units]]&lt;&gt;"",tblFleet[[#This Row],[Calendar_h]]&gt;0),tblFleet[[#This Row],[Available_h]]/tblFleet[[#This Row],[Calendar_h]],"")</f>
        <v/>
      </c>
      <c r="J1891" s="60">
        <f>IF(AND(tblFleet[[#This Row],[Units]]&lt;&gt;"",tblFleet[[#This Row],[Available_h]]&gt;0),tblFleet[[#This Row],[Operating_h]]/tblFleet[[#This Row],[Available_h]],"")</f>
        <v/>
      </c>
    </row>
    <row r="1892">
      <c r="A1892" s="54" t="n"/>
      <c r="B1892" s="61" t="n"/>
      <c r="C1892" s="62" t="n"/>
      <c r="D1892" s="57" t="n"/>
      <c r="E1892" s="57" t="n"/>
      <c r="F1892" s="58" t="n"/>
      <c r="G1892" s="66">
        <f>IF(tblFleet[[#This Row],[Units]]="","",tblFleet[[#This Row],[Units]]*cfg_HoursPerDay)</f>
        <v/>
      </c>
      <c r="H1892" s="66">
        <f>IF(tblFleet[[#This Row],[Units]]="","",tblFleet[[#This Row],[Calendar_h]]-tblFleet[[#This Row],[Down_h]])</f>
        <v/>
      </c>
      <c r="I1892" s="60">
        <f>IF(AND(tblFleet[[#This Row],[Units]]&lt;&gt;"",tblFleet[[#This Row],[Calendar_h]]&gt;0),tblFleet[[#This Row],[Available_h]]/tblFleet[[#This Row],[Calendar_h]],"")</f>
        <v/>
      </c>
      <c r="J1892" s="60">
        <f>IF(AND(tblFleet[[#This Row],[Units]]&lt;&gt;"",tblFleet[[#This Row],[Available_h]]&gt;0),tblFleet[[#This Row],[Operating_h]]/tblFleet[[#This Row],[Available_h]],"")</f>
        <v/>
      </c>
    </row>
    <row r="1893">
      <c r="A1893" s="54" t="n"/>
      <c r="B1893" s="61" t="n"/>
      <c r="C1893" s="62" t="n"/>
      <c r="D1893" s="57" t="n"/>
      <c r="E1893" s="57" t="n"/>
      <c r="F1893" s="58" t="n"/>
      <c r="G1893" s="66">
        <f>IF(tblFleet[[#This Row],[Units]]="","",tblFleet[[#This Row],[Units]]*cfg_HoursPerDay)</f>
        <v/>
      </c>
      <c r="H1893" s="66">
        <f>IF(tblFleet[[#This Row],[Units]]="","",tblFleet[[#This Row],[Calendar_h]]-tblFleet[[#This Row],[Down_h]])</f>
        <v/>
      </c>
      <c r="I1893" s="60">
        <f>IF(AND(tblFleet[[#This Row],[Units]]&lt;&gt;"",tblFleet[[#This Row],[Calendar_h]]&gt;0),tblFleet[[#This Row],[Available_h]]/tblFleet[[#This Row],[Calendar_h]],"")</f>
        <v/>
      </c>
      <c r="J1893" s="60">
        <f>IF(AND(tblFleet[[#This Row],[Units]]&lt;&gt;"",tblFleet[[#This Row],[Available_h]]&gt;0),tblFleet[[#This Row],[Operating_h]]/tblFleet[[#This Row],[Available_h]],"")</f>
        <v/>
      </c>
    </row>
    <row r="1894">
      <c r="A1894" s="54" t="n"/>
      <c r="B1894" s="61" t="n"/>
      <c r="C1894" s="62" t="n"/>
      <c r="D1894" s="57" t="n"/>
      <c r="E1894" s="57" t="n"/>
      <c r="F1894" s="58" t="n"/>
      <c r="G1894" s="66">
        <f>IF(tblFleet[[#This Row],[Units]]="","",tblFleet[[#This Row],[Units]]*cfg_HoursPerDay)</f>
        <v/>
      </c>
      <c r="H1894" s="66">
        <f>IF(tblFleet[[#This Row],[Units]]="","",tblFleet[[#This Row],[Calendar_h]]-tblFleet[[#This Row],[Down_h]])</f>
        <v/>
      </c>
      <c r="I1894" s="60">
        <f>IF(AND(tblFleet[[#This Row],[Units]]&lt;&gt;"",tblFleet[[#This Row],[Calendar_h]]&gt;0),tblFleet[[#This Row],[Available_h]]/tblFleet[[#This Row],[Calendar_h]],"")</f>
        <v/>
      </c>
      <c r="J1894" s="60">
        <f>IF(AND(tblFleet[[#This Row],[Units]]&lt;&gt;"",tblFleet[[#This Row],[Available_h]]&gt;0),tblFleet[[#This Row],[Operating_h]]/tblFleet[[#This Row],[Available_h]],"")</f>
        <v/>
      </c>
    </row>
    <row r="1895">
      <c r="A1895" s="54" t="n"/>
      <c r="B1895" s="61" t="n"/>
      <c r="C1895" s="62" t="n"/>
      <c r="D1895" s="57" t="n"/>
      <c r="E1895" s="57" t="n"/>
      <c r="F1895" s="58" t="n"/>
      <c r="G1895" s="66">
        <f>IF(tblFleet[[#This Row],[Units]]="","",tblFleet[[#This Row],[Units]]*cfg_HoursPerDay)</f>
        <v/>
      </c>
      <c r="H1895" s="66">
        <f>IF(tblFleet[[#This Row],[Units]]="","",tblFleet[[#This Row],[Calendar_h]]-tblFleet[[#This Row],[Down_h]])</f>
        <v/>
      </c>
      <c r="I1895" s="60">
        <f>IF(AND(tblFleet[[#This Row],[Units]]&lt;&gt;"",tblFleet[[#This Row],[Calendar_h]]&gt;0),tblFleet[[#This Row],[Available_h]]/tblFleet[[#This Row],[Calendar_h]],"")</f>
        <v/>
      </c>
      <c r="J1895" s="60">
        <f>IF(AND(tblFleet[[#This Row],[Units]]&lt;&gt;"",tblFleet[[#This Row],[Available_h]]&gt;0),tblFleet[[#This Row],[Operating_h]]/tblFleet[[#This Row],[Available_h]],"")</f>
        <v/>
      </c>
    </row>
    <row r="1896">
      <c r="A1896" s="54" t="n"/>
      <c r="B1896" s="61" t="n"/>
      <c r="C1896" s="62" t="n"/>
      <c r="D1896" s="57" t="n"/>
      <c r="E1896" s="57" t="n"/>
      <c r="F1896" s="58" t="n"/>
      <c r="G1896" s="66">
        <f>IF(tblFleet[[#This Row],[Units]]="","",tblFleet[[#This Row],[Units]]*cfg_HoursPerDay)</f>
        <v/>
      </c>
      <c r="H1896" s="66">
        <f>IF(tblFleet[[#This Row],[Units]]="","",tblFleet[[#This Row],[Calendar_h]]-tblFleet[[#This Row],[Down_h]])</f>
        <v/>
      </c>
      <c r="I1896" s="60">
        <f>IF(AND(tblFleet[[#This Row],[Units]]&lt;&gt;"",tblFleet[[#This Row],[Calendar_h]]&gt;0),tblFleet[[#This Row],[Available_h]]/tblFleet[[#This Row],[Calendar_h]],"")</f>
        <v/>
      </c>
      <c r="J1896" s="60">
        <f>IF(AND(tblFleet[[#This Row],[Units]]&lt;&gt;"",tblFleet[[#This Row],[Available_h]]&gt;0),tblFleet[[#This Row],[Operating_h]]/tblFleet[[#This Row],[Available_h]],"")</f>
        <v/>
      </c>
    </row>
    <row r="1897">
      <c r="A1897" s="54" t="n"/>
      <c r="B1897" s="61" t="n"/>
      <c r="C1897" s="62" t="n"/>
      <c r="D1897" s="57" t="n"/>
      <c r="E1897" s="57" t="n"/>
      <c r="F1897" s="58" t="n"/>
      <c r="G1897" s="66">
        <f>IF(tblFleet[[#This Row],[Units]]="","",tblFleet[[#This Row],[Units]]*cfg_HoursPerDay)</f>
        <v/>
      </c>
      <c r="H1897" s="66">
        <f>IF(tblFleet[[#This Row],[Units]]="","",tblFleet[[#This Row],[Calendar_h]]-tblFleet[[#This Row],[Down_h]])</f>
        <v/>
      </c>
      <c r="I1897" s="60">
        <f>IF(AND(tblFleet[[#This Row],[Units]]&lt;&gt;"",tblFleet[[#This Row],[Calendar_h]]&gt;0),tblFleet[[#This Row],[Available_h]]/tblFleet[[#This Row],[Calendar_h]],"")</f>
        <v/>
      </c>
      <c r="J1897" s="60">
        <f>IF(AND(tblFleet[[#This Row],[Units]]&lt;&gt;"",tblFleet[[#This Row],[Available_h]]&gt;0),tblFleet[[#This Row],[Operating_h]]/tblFleet[[#This Row],[Available_h]],"")</f>
        <v/>
      </c>
    </row>
    <row r="1898">
      <c r="A1898" s="54" t="n"/>
      <c r="B1898" s="61" t="n"/>
      <c r="C1898" s="62" t="n"/>
      <c r="D1898" s="57" t="n"/>
      <c r="E1898" s="57" t="n"/>
      <c r="F1898" s="58" t="n"/>
      <c r="G1898" s="66">
        <f>IF(tblFleet[[#This Row],[Units]]="","",tblFleet[[#This Row],[Units]]*cfg_HoursPerDay)</f>
        <v/>
      </c>
      <c r="H1898" s="66">
        <f>IF(tblFleet[[#This Row],[Units]]="","",tblFleet[[#This Row],[Calendar_h]]-tblFleet[[#This Row],[Down_h]])</f>
        <v/>
      </c>
      <c r="I1898" s="60">
        <f>IF(AND(tblFleet[[#This Row],[Units]]&lt;&gt;"",tblFleet[[#This Row],[Calendar_h]]&gt;0),tblFleet[[#This Row],[Available_h]]/tblFleet[[#This Row],[Calendar_h]],"")</f>
        <v/>
      </c>
      <c r="J1898" s="60">
        <f>IF(AND(tblFleet[[#This Row],[Units]]&lt;&gt;"",tblFleet[[#This Row],[Available_h]]&gt;0),tblFleet[[#This Row],[Operating_h]]/tblFleet[[#This Row],[Available_h]],"")</f>
        <v/>
      </c>
    </row>
    <row r="1899">
      <c r="A1899" s="54" t="n"/>
      <c r="B1899" s="61" t="n"/>
      <c r="C1899" s="62" t="n"/>
      <c r="D1899" s="57" t="n"/>
      <c r="E1899" s="57" t="n"/>
      <c r="F1899" s="58" t="n"/>
      <c r="G1899" s="66">
        <f>IF(tblFleet[[#This Row],[Units]]="","",tblFleet[[#This Row],[Units]]*cfg_HoursPerDay)</f>
        <v/>
      </c>
      <c r="H1899" s="66">
        <f>IF(tblFleet[[#This Row],[Units]]="","",tblFleet[[#This Row],[Calendar_h]]-tblFleet[[#This Row],[Down_h]])</f>
        <v/>
      </c>
      <c r="I1899" s="60">
        <f>IF(AND(tblFleet[[#This Row],[Units]]&lt;&gt;"",tblFleet[[#This Row],[Calendar_h]]&gt;0),tblFleet[[#This Row],[Available_h]]/tblFleet[[#This Row],[Calendar_h]],"")</f>
        <v/>
      </c>
      <c r="J1899" s="60">
        <f>IF(AND(tblFleet[[#This Row],[Units]]&lt;&gt;"",tblFleet[[#This Row],[Available_h]]&gt;0),tblFleet[[#This Row],[Operating_h]]/tblFleet[[#This Row],[Available_h]],"")</f>
        <v/>
      </c>
    </row>
    <row r="1900">
      <c r="A1900" s="54" t="n"/>
      <c r="B1900" s="61" t="n"/>
      <c r="C1900" s="62" t="n"/>
      <c r="D1900" s="57" t="n"/>
      <c r="E1900" s="57" t="n"/>
      <c r="F1900" s="58" t="n"/>
      <c r="G1900" s="66">
        <f>IF(tblFleet[[#This Row],[Units]]="","",tblFleet[[#This Row],[Units]]*cfg_HoursPerDay)</f>
        <v/>
      </c>
      <c r="H1900" s="66">
        <f>IF(tblFleet[[#This Row],[Units]]="","",tblFleet[[#This Row],[Calendar_h]]-tblFleet[[#This Row],[Down_h]])</f>
        <v/>
      </c>
      <c r="I1900" s="60">
        <f>IF(AND(tblFleet[[#This Row],[Units]]&lt;&gt;"",tblFleet[[#This Row],[Calendar_h]]&gt;0),tblFleet[[#This Row],[Available_h]]/tblFleet[[#This Row],[Calendar_h]],"")</f>
        <v/>
      </c>
      <c r="J1900" s="60">
        <f>IF(AND(tblFleet[[#This Row],[Units]]&lt;&gt;"",tblFleet[[#This Row],[Available_h]]&gt;0),tblFleet[[#This Row],[Operating_h]]/tblFleet[[#This Row],[Available_h]],"")</f>
        <v/>
      </c>
    </row>
    <row r="1901">
      <c r="A1901" s="54" t="n"/>
      <c r="B1901" s="61" t="n"/>
      <c r="C1901" s="62" t="n"/>
      <c r="D1901" s="57" t="n"/>
      <c r="E1901" s="57" t="n"/>
      <c r="F1901" s="58" t="n"/>
      <c r="G1901" s="66">
        <f>IF(tblFleet[[#This Row],[Units]]="","",tblFleet[[#This Row],[Units]]*cfg_HoursPerDay)</f>
        <v/>
      </c>
      <c r="H1901" s="66">
        <f>IF(tblFleet[[#This Row],[Units]]="","",tblFleet[[#This Row],[Calendar_h]]-tblFleet[[#This Row],[Down_h]])</f>
        <v/>
      </c>
      <c r="I1901" s="60">
        <f>IF(AND(tblFleet[[#This Row],[Units]]&lt;&gt;"",tblFleet[[#This Row],[Calendar_h]]&gt;0),tblFleet[[#This Row],[Available_h]]/tblFleet[[#This Row],[Calendar_h]],"")</f>
        <v/>
      </c>
      <c r="J1901" s="60">
        <f>IF(AND(tblFleet[[#This Row],[Units]]&lt;&gt;"",tblFleet[[#This Row],[Available_h]]&gt;0),tblFleet[[#This Row],[Operating_h]]/tblFleet[[#This Row],[Available_h]],"")</f>
        <v/>
      </c>
    </row>
    <row r="1902">
      <c r="A1902" s="54" t="n"/>
      <c r="B1902" s="61" t="n"/>
      <c r="C1902" s="62" t="n"/>
      <c r="D1902" s="57" t="n"/>
      <c r="E1902" s="57" t="n"/>
      <c r="F1902" s="58" t="n"/>
      <c r="G1902" s="66">
        <f>IF(tblFleet[[#This Row],[Units]]="","",tblFleet[[#This Row],[Units]]*cfg_HoursPerDay)</f>
        <v/>
      </c>
      <c r="H1902" s="66">
        <f>IF(tblFleet[[#This Row],[Units]]="","",tblFleet[[#This Row],[Calendar_h]]-tblFleet[[#This Row],[Down_h]])</f>
        <v/>
      </c>
      <c r="I1902" s="60">
        <f>IF(AND(tblFleet[[#This Row],[Units]]&lt;&gt;"",tblFleet[[#This Row],[Calendar_h]]&gt;0),tblFleet[[#This Row],[Available_h]]/tblFleet[[#This Row],[Calendar_h]],"")</f>
        <v/>
      </c>
      <c r="J1902" s="60">
        <f>IF(AND(tblFleet[[#This Row],[Units]]&lt;&gt;"",tblFleet[[#This Row],[Available_h]]&gt;0),tblFleet[[#This Row],[Operating_h]]/tblFleet[[#This Row],[Available_h]],"")</f>
        <v/>
      </c>
    </row>
    <row r="1903">
      <c r="A1903" s="54" t="n"/>
      <c r="B1903" s="61" t="n"/>
      <c r="C1903" s="62" t="n"/>
      <c r="D1903" s="57" t="n"/>
      <c r="E1903" s="57" t="n"/>
      <c r="F1903" s="58" t="n"/>
      <c r="G1903" s="66">
        <f>IF(tblFleet[[#This Row],[Units]]="","",tblFleet[[#This Row],[Units]]*cfg_HoursPerDay)</f>
        <v/>
      </c>
      <c r="H1903" s="66">
        <f>IF(tblFleet[[#This Row],[Units]]="","",tblFleet[[#This Row],[Calendar_h]]-tblFleet[[#This Row],[Down_h]])</f>
        <v/>
      </c>
      <c r="I1903" s="60">
        <f>IF(AND(tblFleet[[#This Row],[Units]]&lt;&gt;"",tblFleet[[#This Row],[Calendar_h]]&gt;0),tblFleet[[#This Row],[Available_h]]/tblFleet[[#This Row],[Calendar_h]],"")</f>
        <v/>
      </c>
      <c r="J1903" s="60">
        <f>IF(AND(tblFleet[[#This Row],[Units]]&lt;&gt;"",tblFleet[[#This Row],[Available_h]]&gt;0),tblFleet[[#This Row],[Operating_h]]/tblFleet[[#This Row],[Available_h]],"")</f>
        <v/>
      </c>
    </row>
    <row r="1904">
      <c r="A1904" s="54" t="n"/>
      <c r="B1904" s="61" t="n"/>
      <c r="C1904" s="62" t="n"/>
      <c r="D1904" s="57" t="n"/>
      <c r="E1904" s="57" t="n"/>
      <c r="F1904" s="58" t="n"/>
      <c r="G1904" s="66">
        <f>IF(tblFleet[[#This Row],[Units]]="","",tblFleet[[#This Row],[Units]]*cfg_HoursPerDay)</f>
        <v/>
      </c>
      <c r="H1904" s="66">
        <f>IF(tblFleet[[#This Row],[Units]]="","",tblFleet[[#This Row],[Calendar_h]]-tblFleet[[#This Row],[Down_h]])</f>
        <v/>
      </c>
      <c r="I1904" s="60">
        <f>IF(AND(tblFleet[[#This Row],[Units]]&lt;&gt;"",tblFleet[[#This Row],[Calendar_h]]&gt;0),tblFleet[[#This Row],[Available_h]]/tblFleet[[#This Row],[Calendar_h]],"")</f>
        <v/>
      </c>
      <c r="J1904" s="60">
        <f>IF(AND(tblFleet[[#This Row],[Units]]&lt;&gt;"",tblFleet[[#This Row],[Available_h]]&gt;0),tblFleet[[#This Row],[Operating_h]]/tblFleet[[#This Row],[Available_h]],"")</f>
        <v/>
      </c>
    </row>
    <row r="1905">
      <c r="A1905" s="54" t="n"/>
      <c r="B1905" s="61" t="n"/>
      <c r="C1905" s="62" t="n"/>
      <c r="D1905" s="57" t="n"/>
      <c r="E1905" s="57" t="n"/>
      <c r="F1905" s="58" t="n"/>
      <c r="G1905" s="66">
        <f>IF(tblFleet[[#This Row],[Units]]="","",tblFleet[[#This Row],[Units]]*cfg_HoursPerDay)</f>
        <v/>
      </c>
      <c r="H1905" s="66">
        <f>IF(tblFleet[[#This Row],[Units]]="","",tblFleet[[#This Row],[Calendar_h]]-tblFleet[[#This Row],[Down_h]])</f>
        <v/>
      </c>
      <c r="I1905" s="60">
        <f>IF(AND(tblFleet[[#This Row],[Units]]&lt;&gt;"",tblFleet[[#This Row],[Calendar_h]]&gt;0),tblFleet[[#This Row],[Available_h]]/tblFleet[[#This Row],[Calendar_h]],"")</f>
        <v/>
      </c>
      <c r="J1905" s="60">
        <f>IF(AND(tblFleet[[#This Row],[Units]]&lt;&gt;"",tblFleet[[#This Row],[Available_h]]&gt;0),tblFleet[[#This Row],[Operating_h]]/tblFleet[[#This Row],[Available_h]],"")</f>
        <v/>
      </c>
    </row>
    <row r="1906">
      <c r="A1906" s="54" t="n"/>
      <c r="B1906" s="61" t="n"/>
      <c r="C1906" s="62" t="n"/>
      <c r="D1906" s="57" t="n"/>
      <c r="E1906" s="57" t="n"/>
      <c r="F1906" s="58" t="n"/>
      <c r="G1906" s="66">
        <f>IF(tblFleet[[#This Row],[Units]]="","",tblFleet[[#This Row],[Units]]*cfg_HoursPerDay)</f>
        <v/>
      </c>
      <c r="H1906" s="66">
        <f>IF(tblFleet[[#This Row],[Units]]="","",tblFleet[[#This Row],[Calendar_h]]-tblFleet[[#This Row],[Down_h]])</f>
        <v/>
      </c>
      <c r="I1906" s="60">
        <f>IF(AND(tblFleet[[#This Row],[Units]]&lt;&gt;"",tblFleet[[#This Row],[Calendar_h]]&gt;0),tblFleet[[#This Row],[Available_h]]/tblFleet[[#This Row],[Calendar_h]],"")</f>
        <v/>
      </c>
      <c r="J1906" s="60">
        <f>IF(AND(tblFleet[[#This Row],[Units]]&lt;&gt;"",tblFleet[[#This Row],[Available_h]]&gt;0),tblFleet[[#This Row],[Operating_h]]/tblFleet[[#This Row],[Available_h]],"")</f>
        <v/>
      </c>
    </row>
    <row r="1907">
      <c r="A1907" s="54" t="n"/>
      <c r="B1907" s="61" t="n"/>
      <c r="C1907" s="62" t="n"/>
      <c r="D1907" s="57" t="n"/>
      <c r="E1907" s="57" t="n"/>
      <c r="F1907" s="58" t="n"/>
      <c r="G1907" s="66">
        <f>IF(tblFleet[[#This Row],[Units]]="","",tblFleet[[#This Row],[Units]]*cfg_HoursPerDay)</f>
        <v/>
      </c>
      <c r="H1907" s="66">
        <f>IF(tblFleet[[#This Row],[Units]]="","",tblFleet[[#This Row],[Calendar_h]]-tblFleet[[#This Row],[Down_h]])</f>
        <v/>
      </c>
      <c r="I1907" s="60">
        <f>IF(AND(tblFleet[[#This Row],[Units]]&lt;&gt;"",tblFleet[[#This Row],[Calendar_h]]&gt;0),tblFleet[[#This Row],[Available_h]]/tblFleet[[#This Row],[Calendar_h]],"")</f>
        <v/>
      </c>
      <c r="J1907" s="60">
        <f>IF(AND(tblFleet[[#This Row],[Units]]&lt;&gt;"",tblFleet[[#This Row],[Available_h]]&gt;0),tblFleet[[#This Row],[Operating_h]]/tblFleet[[#This Row],[Available_h]],"")</f>
        <v/>
      </c>
    </row>
    <row r="1908">
      <c r="A1908" s="54" t="n"/>
      <c r="B1908" s="61" t="n"/>
      <c r="C1908" s="62" t="n"/>
      <c r="D1908" s="57" t="n"/>
      <c r="E1908" s="57" t="n"/>
      <c r="F1908" s="58" t="n"/>
      <c r="G1908" s="66">
        <f>IF(tblFleet[[#This Row],[Units]]="","",tblFleet[[#This Row],[Units]]*cfg_HoursPerDay)</f>
        <v/>
      </c>
      <c r="H1908" s="66">
        <f>IF(tblFleet[[#This Row],[Units]]="","",tblFleet[[#This Row],[Calendar_h]]-tblFleet[[#This Row],[Down_h]])</f>
        <v/>
      </c>
      <c r="I1908" s="60">
        <f>IF(AND(tblFleet[[#This Row],[Units]]&lt;&gt;"",tblFleet[[#This Row],[Calendar_h]]&gt;0),tblFleet[[#This Row],[Available_h]]/tblFleet[[#This Row],[Calendar_h]],"")</f>
        <v/>
      </c>
      <c r="J1908" s="60">
        <f>IF(AND(tblFleet[[#This Row],[Units]]&lt;&gt;"",tblFleet[[#This Row],[Available_h]]&gt;0),tblFleet[[#This Row],[Operating_h]]/tblFleet[[#This Row],[Available_h]],"")</f>
        <v/>
      </c>
    </row>
    <row r="1909">
      <c r="A1909" s="54" t="n"/>
      <c r="B1909" s="61" t="n"/>
      <c r="C1909" s="62" t="n"/>
      <c r="D1909" s="57" t="n"/>
      <c r="E1909" s="57" t="n"/>
      <c r="F1909" s="58" t="n"/>
      <c r="G1909" s="66">
        <f>IF(tblFleet[[#This Row],[Units]]="","",tblFleet[[#This Row],[Units]]*cfg_HoursPerDay)</f>
        <v/>
      </c>
      <c r="H1909" s="66">
        <f>IF(tblFleet[[#This Row],[Units]]="","",tblFleet[[#This Row],[Calendar_h]]-tblFleet[[#This Row],[Down_h]])</f>
        <v/>
      </c>
      <c r="I1909" s="60">
        <f>IF(AND(tblFleet[[#This Row],[Units]]&lt;&gt;"",tblFleet[[#This Row],[Calendar_h]]&gt;0),tblFleet[[#This Row],[Available_h]]/tblFleet[[#This Row],[Calendar_h]],"")</f>
        <v/>
      </c>
      <c r="J1909" s="60">
        <f>IF(AND(tblFleet[[#This Row],[Units]]&lt;&gt;"",tblFleet[[#This Row],[Available_h]]&gt;0),tblFleet[[#This Row],[Operating_h]]/tblFleet[[#This Row],[Available_h]],"")</f>
        <v/>
      </c>
    </row>
    <row r="1910">
      <c r="A1910" s="54" t="n"/>
      <c r="B1910" s="61" t="n"/>
      <c r="C1910" s="62" t="n"/>
      <c r="D1910" s="57" t="n"/>
      <c r="E1910" s="57" t="n"/>
      <c r="F1910" s="58" t="n"/>
      <c r="G1910" s="66">
        <f>IF(tblFleet[[#This Row],[Units]]="","",tblFleet[[#This Row],[Units]]*cfg_HoursPerDay)</f>
        <v/>
      </c>
      <c r="H1910" s="66">
        <f>IF(tblFleet[[#This Row],[Units]]="","",tblFleet[[#This Row],[Calendar_h]]-tblFleet[[#This Row],[Down_h]])</f>
        <v/>
      </c>
      <c r="I1910" s="60">
        <f>IF(AND(tblFleet[[#This Row],[Units]]&lt;&gt;"",tblFleet[[#This Row],[Calendar_h]]&gt;0),tblFleet[[#This Row],[Available_h]]/tblFleet[[#This Row],[Calendar_h]],"")</f>
        <v/>
      </c>
      <c r="J1910" s="60">
        <f>IF(AND(tblFleet[[#This Row],[Units]]&lt;&gt;"",tblFleet[[#This Row],[Available_h]]&gt;0),tblFleet[[#This Row],[Operating_h]]/tblFleet[[#This Row],[Available_h]],"")</f>
        <v/>
      </c>
    </row>
    <row r="1911">
      <c r="A1911" s="54" t="n"/>
      <c r="B1911" s="61" t="n"/>
      <c r="C1911" s="62" t="n"/>
      <c r="D1911" s="57" t="n"/>
      <c r="E1911" s="57" t="n"/>
      <c r="F1911" s="58" t="n"/>
      <c r="G1911" s="66">
        <f>IF(tblFleet[[#This Row],[Units]]="","",tblFleet[[#This Row],[Units]]*cfg_HoursPerDay)</f>
        <v/>
      </c>
      <c r="H1911" s="66">
        <f>IF(tblFleet[[#This Row],[Units]]="","",tblFleet[[#This Row],[Calendar_h]]-tblFleet[[#This Row],[Down_h]])</f>
        <v/>
      </c>
      <c r="I1911" s="60">
        <f>IF(AND(tblFleet[[#This Row],[Units]]&lt;&gt;"",tblFleet[[#This Row],[Calendar_h]]&gt;0),tblFleet[[#This Row],[Available_h]]/tblFleet[[#This Row],[Calendar_h]],"")</f>
        <v/>
      </c>
      <c r="J1911" s="60">
        <f>IF(AND(tblFleet[[#This Row],[Units]]&lt;&gt;"",tblFleet[[#This Row],[Available_h]]&gt;0),tblFleet[[#This Row],[Operating_h]]/tblFleet[[#This Row],[Available_h]],"")</f>
        <v/>
      </c>
    </row>
    <row r="1912">
      <c r="A1912" s="54" t="n"/>
      <c r="B1912" s="61" t="n"/>
      <c r="C1912" s="62" t="n"/>
      <c r="D1912" s="57" t="n"/>
      <c r="E1912" s="57" t="n"/>
      <c r="F1912" s="58" t="n"/>
      <c r="G1912" s="66">
        <f>IF(tblFleet[[#This Row],[Units]]="","",tblFleet[[#This Row],[Units]]*cfg_HoursPerDay)</f>
        <v/>
      </c>
      <c r="H1912" s="66">
        <f>IF(tblFleet[[#This Row],[Units]]="","",tblFleet[[#This Row],[Calendar_h]]-tblFleet[[#This Row],[Down_h]])</f>
        <v/>
      </c>
      <c r="I1912" s="60">
        <f>IF(AND(tblFleet[[#This Row],[Units]]&lt;&gt;"",tblFleet[[#This Row],[Calendar_h]]&gt;0),tblFleet[[#This Row],[Available_h]]/tblFleet[[#This Row],[Calendar_h]],"")</f>
        <v/>
      </c>
      <c r="J1912" s="60">
        <f>IF(AND(tblFleet[[#This Row],[Units]]&lt;&gt;"",tblFleet[[#This Row],[Available_h]]&gt;0),tblFleet[[#This Row],[Operating_h]]/tblFleet[[#This Row],[Available_h]],"")</f>
        <v/>
      </c>
    </row>
    <row r="1913">
      <c r="A1913" s="54" t="n"/>
      <c r="B1913" s="61" t="n"/>
      <c r="C1913" s="62" t="n"/>
      <c r="D1913" s="57" t="n"/>
      <c r="E1913" s="57" t="n"/>
      <c r="F1913" s="58" t="n"/>
      <c r="G1913" s="66">
        <f>IF(tblFleet[[#This Row],[Units]]="","",tblFleet[[#This Row],[Units]]*cfg_HoursPerDay)</f>
        <v/>
      </c>
      <c r="H1913" s="66">
        <f>IF(tblFleet[[#This Row],[Units]]="","",tblFleet[[#This Row],[Calendar_h]]-tblFleet[[#This Row],[Down_h]])</f>
        <v/>
      </c>
      <c r="I1913" s="60">
        <f>IF(AND(tblFleet[[#This Row],[Units]]&lt;&gt;"",tblFleet[[#This Row],[Calendar_h]]&gt;0),tblFleet[[#This Row],[Available_h]]/tblFleet[[#This Row],[Calendar_h]],"")</f>
        <v/>
      </c>
      <c r="J1913" s="60">
        <f>IF(AND(tblFleet[[#This Row],[Units]]&lt;&gt;"",tblFleet[[#This Row],[Available_h]]&gt;0),tblFleet[[#This Row],[Operating_h]]/tblFleet[[#This Row],[Available_h]],"")</f>
        <v/>
      </c>
    </row>
    <row r="1914">
      <c r="A1914" s="54" t="n"/>
      <c r="B1914" s="61" t="n"/>
      <c r="C1914" s="62" t="n"/>
      <c r="D1914" s="57" t="n"/>
      <c r="E1914" s="57" t="n"/>
      <c r="F1914" s="58" t="n"/>
      <c r="G1914" s="66">
        <f>IF(tblFleet[[#This Row],[Units]]="","",tblFleet[[#This Row],[Units]]*cfg_HoursPerDay)</f>
        <v/>
      </c>
      <c r="H1914" s="66">
        <f>IF(tblFleet[[#This Row],[Units]]="","",tblFleet[[#This Row],[Calendar_h]]-tblFleet[[#This Row],[Down_h]])</f>
        <v/>
      </c>
      <c r="I1914" s="60">
        <f>IF(AND(tblFleet[[#This Row],[Units]]&lt;&gt;"",tblFleet[[#This Row],[Calendar_h]]&gt;0),tblFleet[[#This Row],[Available_h]]/tblFleet[[#This Row],[Calendar_h]],"")</f>
        <v/>
      </c>
      <c r="J1914" s="60">
        <f>IF(AND(tblFleet[[#This Row],[Units]]&lt;&gt;"",tblFleet[[#This Row],[Available_h]]&gt;0),tblFleet[[#This Row],[Operating_h]]/tblFleet[[#This Row],[Available_h]],"")</f>
        <v/>
      </c>
    </row>
    <row r="1915">
      <c r="A1915" s="54" t="n"/>
      <c r="B1915" s="61" t="n"/>
      <c r="C1915" s="62" t="n"/>
      <c r="D1915" s="57" t="n"/>
      <c r="E1915" s="57" t="n"/>
      <c r="F1915" s="58" t="n"/>
      <c r="G1915" s="66">
        <f>IF(tblFleet[[#This Row],[Units]]="","",tblFleet[[#This Row],[Units]]*cfg_HoursPerDay)</f>
        <v/>
      </c>
      <c r="H1915" s="66">
        <f>IF(tblFleet[[#This Row],[Units]]="","",tblFleet[[#This Row],[Calendar_h]]-tblFleet[[#This Row],[Down_h]])</f>
        <v/>
      </c>
      <c r="I1915" s="60">
        <f>IF(AND(tblFleet[[#This Row],[Units]]&lt;&gt;"",tblFleet[[#This Row],[Calendar_h]]&gt;0),tblFleet[[#This Row],[Available_h]]/tblFleet[[#This Row],[Calendar_h]],"")</f>
        <v/>
      </c>
      <c r="J1915" s="60">
        <f>IF(AND(tblFleet[[#This Row],[Units]]&lt;&gt;"",tblFleet[[#This Row],[Available_h]]&gt;0),tblFleet[[#This Row],[Operating_h]]/tblFleet[[#This Row],[Available_h]],"")</f>
        <v/>
      </c>
    </row>
    <row r="1916">
      <c r="A1916" s="54" t="n"/>
      <c r="B1916" s="61" t="n"/>
      <c r="C1916" s="62" t="n"/>
      <c r="D1916" s="57" t="n"/>
      <c r="E1916" s="57" t="n"/>
      <c r="F1916" s="58" t="n"/>
      <c r="G1916" s="66">
        <f>IF(tblFleet[[#This Row],[Units]]="","",tblFleet[[#This Row],[Units]]*cfg_HoursPerDay)</f>
        <v/>
      </c>
      <c r="H1916" s="66">
        <f>IF(tblFleet[[#This Row],[Units]]="","",tblFleet[[#This Row],[Calendar_h]]-tblFleet[[#This Row],[Down_h]])</f>
        <v/>
      </c>
      <c r="I1916" s="60">
        <f>IF(AND(tblFleet[[#This Row],[Units]]&lt;&gt;"",tblFleet[[#This Row],[Calendar_h]]&gt;0),tblFleet[[#This Row],[Available_h]]/tblFleet[[#This Row],[Calendar_h]],"")</f>
        <v/>
      </c>
      <c r="J1916" s="60">
        <f>IF(AND(tblFleet[[#This Row],[Units]]&lt;&gt;"",tblFleet[[#This Row],[Available_h]]&gt;0),tblFleet[[#This Row],[Operating_h]]/tblFleet[[#This Row],[Available_h]],"")</f>
        <v/>
      </c>
    </row>
    <row r="1917">
      <c r="A1917" s="54" t="n"/>
      <c r="B1917" s="61" t="n"/>
      <c r="C1917" s="62" t="n"/>
      <c r="D1917" s="57" t="n"/>
      <c r="E1917" s="57" t="n"/>
      <c r="F1917" s="58" t="n"/>
      <c r="G1917" s="66">
        <f>IF(tblFleet[[#This Row],[Units]]="","",tblFleet[[#This Row],[Units]]*cfg_HoursPerDay)</f>
        <v/>
      </c>
      <c r="H1917" s="66">
        <f>IF(tblFleet[[#This Row],[Units]]="","",tblFleet[[#This Row],[Calendar_h]]-tblFleet[[#This Row],[Down_h]])</f>
        <v/>
      </c>
      <c r="I1917" s="60">
        <f>IF(AND(tblFleet[[#This Row],[Units]]&lt;&gt;"",tblFleet[[#This Row],[Calendar_h]]&gt;0),tblFleet[[#This Row],[Available_h]]/tblFleet[[#This Row],[Calendar_h]],"")</f>
        <v/>
      </c>
      <c r="J1917" s="60">
        <f>IF(AND(tblFleet[[#This Row],[Units]]&lt;&gt;"",tblFleet[[#This Row],[Available_h]]&gt;0),tblFleet[[#This Row],[Operating_h]]/tblFleet[[#This Row],[Available_h]],"")</f>
        <v/>
      </c>
    </row>
    <row r="1918">
      <c r="A1918" s="54" t="n"/>
      <c r="B1918" s="61" t="n"/>
      <c r="C1918" s="62" t="n"/>
      <c r="D1918" s="57" t="n"/>
      <c r="E1918" s="57" t="n"/>
      <c r="F1918" s="58" t="n"/>
      <c r="G1918" s="66">
        <f>IF(tblFleet[[#This Row],[Units]]="","",tblFleet[[#This Row],[Units]]*cfg_HoursPerDay)</f>
        <v/>
      </c>
      <c r="H1918" s="66">
        <f>IF(tblFleet[[#This Row],[Units]]="","",tblFleet[[#This Row],[Calendar_h]]-tblFleet[[#This Row],[Down_h]])</f>
        <v/>
      </c>
      <c r="I1918" s="60">
        <f>IF(AND(tblFleet[[#This Row],[Units]]&lt;&gt;"",tblFleet[[#This Row],[Calendar_h]]&gt;0),tblFleet[[#This Row],[Available_h]]/tblFleet[[#This Row],[Calendar_h]],"")</f>
        <v/>
      </c>
      <c r="J1918" s="60">
        <f>IF(AND(tblFleet[[#This Row],[Units]]&lt;&gt;"",tblFleet[[#This Row],[Available_h]]&gt;0),tblFleet[[#This Row],[Operating_h]]/tblFleet[[#This Row],[Available_h]],"")</f>
        <v/>
      </c>
    </row>
    <row r="1919">
      <c r="A1919" s="54" t="n"/>
      <c r="B1919" s="61" t="n"/>
      <c r="C1919" s="62" t="n"/>
      <c r="D1919" s="57" t="n"/>
      <c r="E1919" s="57" t="n"/>
      <c r="F1919" s="58" t="n"/>
      <c r="G1919" s="66">
        <f>IF(tblFleet[[#This Row],[Units]]="","",tblFleet[[#This Row],[Units]]*cfg_HoursPerDay)</f>
        <v/>
      </c>
      <c r="H1919" s="66">
        <f>IF(tblFleet[[#This Row],[Units]]="","",tblFleet[[#This Row],[Calendar_h]]-tblFleet[[#This Row],[Down_h]])</f>
        <v/>
      </c>
      <c r="I1919" s="60">
        <f>IF(AND(tblFleet[[#This Row],[Units]]&lt;&gt;"",tblFleet[[#This Row],[Calendar_h]]&gt;0),tblFleet[[#This Row],[Available_h]]/tblFleet[[#This Row],[Calendar_h]],"")</f>
        <v/>
      </c>
      <c r="J1919" s="60">
        <f>IF(AND(tblFleet[[#This Row],[Units]]&lt;&gt;"",tblFleet[[#This Row],[Available_h]]&gt;0),tblFleet[[#This Row],[Operating_h]]/tblFleet[[#This Row],[Available_h]],"")</f>
        <v/>
      </c>
    </row>
    <row r="1920">
      <c r="A1920" s="54" t="n"/>
      <c r="B1920" s="61" t="n"/>
      <c r="C1920" s="62" t="n"/>
      <c r="D1920" s="57" t="n"/>
      <c r="E1920" s="57" t="n"/>
      <c r="F1920" s="58" t="n"/>
      <c r="G1920" s="66">
        <f>IF(tblFleet[[#This Row],[Units]]="","",tblFleet[[#This Row],[Units]]*cfg_HoursPerDay)</f>
        <v/>
      </c>
      <c r="H1920" s="66">
        <f>IF(tblFleet[[#This Row],[Units]]="","",tblFleet[[#This Row],[Calendar_h]]-tblFleet[[#This Row],[Down_h]])</f>
        <v/>
      </c>
      <c r="I1920" s="60">
        <f>IF(AND(tblFleet[[#This Row],[Units]]&lt;&gt;"",tblFleet[[#This Row],[Calendar_h]]&gt;0),tblFleet[[#This Row],[Available_h]]/tblFleet[[#This Row],[Calendar_h]],"")</f>
        <v/>
      </c>
      <c r="J1920" s="60">
        <f>IF(AND(tblFleet[[#This Row],[Units]]&lt;&gt;"",tblFleet[[#This Row],[Available_h]]&gt;0),tblFleet[[#This Row],[Operating_h]]/tblFleet[[#This Row],[Available_h]],"")</f>
        <v/>
      </c>
    </row>
    <row r="1921">
      <c r="A1921" s="54" t="n"/>
      <c r="B1921" s="61" t="n"/>
      <c r="C1921" s="62" t="n"/>
      <c r="D1921" s="57" t="n"/>
      <c r="E1921" s="57" t="n"/>
      <c r="F1921" s="58" t="n"/>
      <c r="G1921" s="66">
        <f>IF(tblFleet[[#This Row],[Units]]="","",tblFleet[[#This Row],[Units]]*cfg_HoursPerDay)</f>
        <v/>
      </c>
      <c r="H1921" s="66">
        <f>IF(tblFleet[[#This Row],[Units]]="","",tblFleet[[#This Row],[Calendar_h]]-tblFleet[[#This Row],[Down_h]])</f>
        <v/>
      </c>
      <c r="I1921" s="60">
        <f>IF(AND(tblFleet[[#This Row],[Units]]&lt;&gt;"",tblFleet[[#This Row],[Calendar_h]]&gt;0),tblFleet[[#This Row],[Available_h]]/tblFleet[[#This Row],[Calendar_h]],"")</f>
        <v/>
      </c>
      <c r="J1921" s="60">
        <f>IF(AND(tblFleet[[#This Row],[Units]]&lt;&gt;"",tblFleet[[#This Row],[Available_h]]&gt;0),tblFleet[[#This Row],[Operating_h]]/tblFleet[[#This Row],[Available_h]],"")</f>
        <v/>
      </c>
    </row>
    <row r="1922">
      <c r="A1922" s="54" t="n"/>
      <c r="B1922" s="61" t="n"/>
      <c r="C1922" s="62" t="n"/>
      <c r="D1922" s="57" t="n"/>
      <c r="E1922" s="57" t="n"/>
      <c r="F1922" s="58" t="n"/>
      <c r="G1922" s="66">
        <f>IF(tblFleet[[#This Row],[Units]]="","",tblFleet[[#This Row],[Units]]*cfg_HoursPerDay)</f>
        <v/>
      </c>
      <c r="H1922" s="66">
        <f>IF(tblFleet[[#This Row],[Units]]="","",tblFleet[[#This Row],[Calendar_h]]-tblFleet[[#This Row],[Down_h]])</f>
        <v/>
      </c>
      <c r="I1922" s="60">
        <f>IF(AND(tblFleet[[#This Row],[Units]]&lt;&gt;"",tblFleet[[#This Row],[Calendar_h]]&gt;0),tblFleet[[#This Row],[Available_h]]/tblFleet[[#This Row],[Calendar_h]],"")</f>
        <v/>
      </c>
      <c r="J1922" s="60">
        <f>IF(AND(tblFleet[[#This Row],[Units]]&lt;&gt;"",tblFleet[[#This Row],[Available_h]]&gt;0),tblFleet[[#This Row],[Operating_h]]/tblFleet[[#This Row],[Available_h]],"")</f>
        <v/>
      </c>
    </row>
    <row r="1923">
      <c r="A1923" s="54" t="n"/>
      <c r="B1923" s="61" t="n"/>
      <c r="C1923" s="62" t="n"/>
      <c r="D1923" s="57" t="n"/>
      <c r="E1923" s="57" t="n"/>
      <c r="F1923" s="58" t="n"/>
      <c r="G1923" s="66">
        <f>IF(tblFleet[[#This Row],[Units]]="","",tblFleet[[#This Row],[Units]]*cfg_HoursPerDay)</f>
        <v/>
      </c>
      <c r="H1923" s="66">
        <f>IF(tblFleet[[#This Row],[Units]]="","",tblFleet[[#This Row],[Calendar_h]]-tblFleet[[#This Row],[Down_h]])</f>
        <v/>
      </c>
      <c r="I1923" s="60">
        <f>IF(AND(tblFleet[[#This Row],[Units]]&lt;&gt;"",tblFleet[[#This Row],[Calendar_h]]&gt;0),tblFleet[[#This Row],[Available_h]]/tblFleet[[#This Row],[Calendar_h]],"")</f>
        <v/>
      </c>
      <c r="J1923" s="60">
        <f>IF(AND(tblFleet[[#This Row],[Units]]&lt;&gt;"",tblFleet[[#This Row],[Available_h]]&gt;0),tblFleet[[#This Row],[Operating_h]]/tblFleet[[#This Row],[Available_h]],"")</f>
        <v/>
      </c>
    </row>
    <row r="1924">
      <c r="A1924" s="54" t="n"/>
      <c r="B1924" s="61" t="n"/>
      <c r="C1924" s="62" t="n"/>
      <c r="D1924" s="57" t="n"/>
      <c r="E1924" s="57" t="n"/>
      <c r="F1924" s="58" t="n"/>
      <c r="G1924" s="66">
        <f>IF(tblFleet[[#This Row],[Units]]="","",tblFleet[[#This Row],[Units]]*cfg_HoursPerDay)</f>
        <v/>
      </c>
      <c r="H1924" s="66">
        <f>IF(tblFleet[[#This Row],[Units]]="","",tblFleet[[#This Row],[Calendar_h]]-tblFleet[[#This Row],[Down_h]])</f>
        <v/>
      </c>
      <c r="I1924" s="60">
        <f>IF(AND(tblFleet[[#This Row],[Units]]&lt;&gt;"",tblFleet[[#This Row],[Calendar_h]]&gt;0),tblFleet[[#This Row],[Available_h]]/tblFleet[[#This Row],[Calendar_h]],"")</f>
        <v/>
      </c>
      <c r="J1924" s="60">
        <f>IF(AND(tblFleet[[#This Row],[Units]]&lt;&gt;"",tblFleet[[#This Row],[Available_h]]&gt;0),tblFleet[[#This Row],[Operating_h]]/tblFleet[[#This Row],[Available_h]],"")</f>
        <v/>
      </c>
    </row>
    <row r="1925">
      <c r="A1925" s="54" t="n"/>
      <c r="B1925" s="61" t="n"/>
      <c r="C1925" s="62" t="n"/>
      <c r="D1925" s="57" t="n"/>
      <c r="E1925" s="57" t="n"/>
      <c r="F1925" s="58" t="n"/>
      <c r="G1925" s="66">
        <f>IF(tblFleet[[#This Row],[Units]]="","",tblFleet[[#This Row],[Units]]*cfg_HoursPerDay)</f>
        <v/>
      </c>
      <c r="H1925" s="66">
        <f>IF(tblFleet[[#This Row],[Units]]="","",tblFleet[[#This Row],[Calendar_h]]-tblFleet[[#This Row],[Down_h]])</f>
        <v/>
      </c>
      <c r="I1925" s="60">
        <f>IF(AND(tblFleet[[#This Row],[Units]]&lt;&gt;"",tblFleet[[#This Row],[Calendar_h]]&gt;0),tblFleet[[#This Row],[Available_h]]/tblFleet[[#This Row],[Calendar_h]],"")</f>
        <v/>
      </c>
      <c r="J1925" s="60">
        <f>IF(AND(tblFleet[[#This Row],[Units]]&lt;&gt;"",tblFleet[[#This Row],[Available_h]]&gt;0),tblFleet[[#This Row],[Operating_h]]/tblFleet[[#This Row],[Available_h]],"")</f>
        <v/>
      </c>
    </row>
    <row r="1926">
      <c r="A1926" s="54" t="n"/>
      <c r="B1926" s="61" t="n"/>
      <c r="C1926" s="62" t="n"/>
      <c r="D1926" s="57" t="n"/>
      <c r="E1926" s="57" t="n"/>
      <c r="F1926" s="58" t="n"/>
      <c r="G1926" s="66">
        <f>IF(tblFleet[[#This Row],[Units]]="","",tblFleet[[#This Row],[Units]]*cfg_HoursPerDay)</f>
        <v/>
      </c>
      <c r="H1926" s="66">
        <f>IF(tblFleet[[#This Row],[Units]]="","",tblFleet[[#This Row],[Calendar_h]]-tblFleet[[#This Row],[Down_h]])</f>
        <v/>
      </c>
      <c r="I1926" s="60">
        <f>IF(AND(tblFleet[[#This Row],[Units]]&lt;&gt;"",tblFleet[[#This Row],[Calendar_h]]&gt;0),tblFleet[[#This Row],[Available_h]]/tblFleet[[#This Row],[Calendar_h]],"")</f>
        <v/>
      </c>
      <c r="J1926" s="60">
        <f>IF(AND(tblFleet[[#This Row],[Units]]&lt;&gt;"",tblFleet[[#This Row],[Available_h]]&gt;0),tblFleet[[#This Row],[Operating_h]]/tblFleet[[#This Row],[Available_h]],"")</f>
        <v/>
      </c>
    </row>
    <row r="1927">
      <c r="A1927" s="54" t="n"/>
      <c r="B1927" s="61" t="n"/>
      <c r="C1927" s="62" t="n"/>
      <c r="D1927" s="57" t="n"/>
      <c r="E1927" s="57" t="n"/>
      <c r="F1927" s="58" t="n"/>
      <c r="G1927" s="66">
        <f>IF(tblFleet[[#This Row],[Units]]="","",tblFleet[[#This Row],[Units]]*cfg_HoursPerDay)</f>
        <v/>
      </c>
      <c r="H1927" s="66">
        <f>IF(tblFleet[[#This Row],[Units]]="","",tblFleet[[#This Row],[Calendar_h]]-tblFleet[[#This Row],[Down_h]])</f>
        <v/>
      </c>
      <c r="I1927" s="60">
        <f>IF(AND(tblFleet[[#This Row],[Units]]&lt;&gt;"",tblFleet[[#This Row],[Calendar_h]]&gt;0),tblFleet[[#This Row],[Available_h]]/tblFleet[[#This Row],[Calendar_h]],"")</f>
        <v/>
      </c>
      <c r="J1927" s="60">
        <f>IF(AND(tblFleet[[#This Row],[Units]]&lt;&gt;"",tblFleet[[#This Row],[Available_h]]&gt;0),tblFleet[[#This Row],[Operating_h]]/tblFleet[[#This Row],[Available_h]],"")</f>
        <v/>
      </c>
    </row>
    <row r="1928">
      <c r="A1928" s="54" t="n"/>
      <c r="B1928" s="61" t="n"/>
      <c r="C1928" s="62" t="n"/>
      <c r="D1928" s="57" t="n"/>
      <c r="E1928" s="57" t="n"/>
      <c r="F1928" s="58" t="n"/>
      <c r="G1928" s="66">
        <f>IF(tblFleet[[#This Row],[Units]]="","",tblFleet[[#This Row],[Units]]*cfg_HoursPerDay)</f>
        <v/>
      </c>
      <c r="H1928" s="66">
        <f>IF(tblFleet[[#This Row],[Units]]="","",tblFleet[[#This Row],[Calendar_h]]-tblFleet[[#This Row],[Down_h]])</f>
        <v/>
      </c>
      <c r="I1928" s="60">
        <f>IF(AND(tblFleet[[#This Row],[Units]]&lt;&gt;"",tblFleet[[#This Row],[Calendar_h]]&gt;0),tblFleet[[#This Row],[Available_h]]/tblFleet[[#This Row],[Calendar_h]],"")</f>
        <v/>
      </c>
      <c r="J1928" s="60">
        <f>IF(AND(tblFleet[[#This Row],[Units]]&lt;&gt;"",tblFleet[[#This Row],[Available_h]]&gt;0),tblFleet[[#This Row],[Operating_h]]/tblFleet[[#This Row],[Available_h]],"")</f>
        <v/>
      </c>
    </row>
    <row r="1929">
      <c r="A1929" s="54" t="n"/>
      <c r="B1929" s="61" t="n"/>
      <c r="C1929" s="62" t="n"/>
      <c r="D1929" s="57" t="n"/>
      <c r="E1929" s="57" t="n"/>
      <c r="F1929" s="58" t="n"/>
      <c r="G1929" s="66">
        <f>IF(tblFleet[[#This Row],[Units]]="","",tblFleet[[#This Row],[Units]]*cfg_HoursPerDay)</f>
        <v/>
      </c>
      <c r="H1929" s="66">
        <f>IF(tblFleet[[#This Row],[Units]]="","",tblFleet[[#This Row],[Calendar_h]]-tblFleet[[#This Row],[Down_h]])</f>
        <v/>
      </c>
      <c r="I1929" s="60">
        <f>IF(AND(tblFleet[[#This Row],[Units]]&lt;&gt;"",tblFleet[[#This Row],[Calendar_h]]&gt;0),tblFleet[[#This Row],[Available_h]]/tblFleet[[#This Row],[Calendar_h]],"")</f>
        <v/>
      </c>
      <c r="J1929" s="60">
        <f>IF(AND(tblFleet[[#This Row],[Units]]&lt;&gt;"",tblFleet[[#This Row],[Available_h]]&gt;0),tblFleet[[#This Row],[Operating_h]]/tblFleet[[#This Row],[Available_h]],"")</f>
        <v/>
      </c>
    </row>
    <row r="1930">
      <c r="A1930" s="54" t="n"/>
      <c r="B1930" s="61" t="n"/>
      <c r="C1930" s="62" t="n"/>
      <c r="D1930" s="57" t="n"/>
      <c r="E1930" s="57" t="n"/>
      <c r="F1930" s="58" t="n"/>
      <c r="G1930" s="66">
        <f>IF(tblFleet[[#This Row],[Units]]="","",tblFleet[[#This Row],[Units]]*cfg_HoursPerDay)</f>
        <v/>
      </c>
      <c r="H1930" s="66">
        <f>IF(tblFleet[[#This Row],[Units]]="","",tblFleet[[#This Row],[Calendar_h]]-tblFleet[[#This Row],[Down_h]])</f>
        <v/>
      </c>
      <c r="I1930" s="60">
        <f>IF(AND(tblFleet[[#This Row],[Units]]&lt;&gt;"",tblFleet[[#This Row],[Calendar_h]]&gt;0),tblFleet[[#This Row],[Available_h]]/tblFleet[[#This Row],[Calendar_h]],"")</f>
        <v/>
      </c>
      <c r="J1930" s="60">
        <f>IF(AND(tblFleet[[#This Row],[Units]]&lt;&gt;"",tblFleet[[#This Row],[Available_h]]&gt;0),tblFleet[[#This Row],[Operating_h]]/tblFleet[[#This Row],[Available_h]],"")</f>
        <v/>
      </c>
    </row>
    <row r="1931">
      <c r="A1931" s="54" t="n"/>
      <c r="B1931" s="61" t="n"/>
      <c r="C1931" s="62" t="n"/>
      <c r="D1931" s="57" t="n"/>
      <c r="E1931" s="57" t="n"/>
      <c r="F1931" s="58" t="n"/>
      <c r="G1931" s="66">
        <f>IF(tblFleet[[#This Row],[Units]]="","",tblFleet[[#This Row],[Units]]*cfg_HoursPerDay)</f>
        <v/>
      </c>
      <c r="H1931" s="66">
        <f>IF(tblFleet[[#This Row],[Units]]="","",tblFleet[[#This Row],[Calendar_h]]-tblFleet[[#This Row],[Down_h]])</f>
        <v/>
      </c>
      <c r="I1931" s="60">
        <f>IF(AND(tblFleet[[#This Row],[Units]]&lt;&gt;"",tblFleet[[#This Row],[Calendar_h]]&gt;0),tblFleet[[#This Row],[Available_h]]/tblFleet[[#This Row],[Calendar_h]],"")</f>
        <v/>
      </c>
      <c r="J1931" s="60">
        <f>IF(AND(tblFleet[[#This Row],[Units]]&lt;&gt;"",tblFleet[[#This Row],[Available_h]]&gt;0),tblFleet[[#This Row],[Operating_h]]/tblFleet[[#This Row],[Available_h]],"")</f>
        <v/>
      </c>
    </row>
    <row r="1932">
      <c r="A1932" s="54" t="n"/>
      <c r="B1932" s="61" t="n"/>
      <c r="C1932" s="62" t="n"/>
      <c r="D1932" s="57" t="n"/>
      <c r="E1932" s="57" t="n"/>
      <c r="F1932" s="58" t="n"/>
      <c r="G1932" s="66">
        <f>IF(tblFleet[[#This Row],[Units]]="","",tblFleet[[#This Row],[Units]]*cfg_HoursPerDay)</f>
        <v/>
      </c>
      <c r="H1932" s="66">
        <f>IF(tblFleet[[#This Row],[Units]]="","",tblFleet[[#This Row],[Calendar_h]]-tblFleet[[#This Row],[Down_h]])</f>
        <v/>
      </c>
      <c r="I1932" s="60">
        <f>IF(AND(tblFleet[[#This Row],[Units]]&lt;&gt;"",tblFleet[[#This Row],[Calendar_h]]&gt;0),tblFleet[[#This Row],[Available_h]]/tblFleet[[#This Row],[Calendar_h]],"")</f>
        <v/>
      </c>
      <c r="J1932" s="60">
        <f>IF(AND(tblFleet[[#This Row],[Units]]&lt;&gt;"",tblFleet[[#This Row],[Available_h]]&gt;0),tblFleet[[#This Row],[Operating_h]]/tblFleet[[#This Row],[Available_h]],"")</f>
        <v/>
      </c>
    </row>
    <row r="1933">
      <c r="A1933" s="54" t="n"/>
      <c r="B1933" s="61" t="n"/>
      <c r="C1933" s="62" t="n"/>
      <c r="D1933" s="57" t="n"/>
      <c r="E1933" s="57" t="n"/>
      <c r="F1933" s="58" t="n"/>
      <c r="G1933" s="66">
        <f>IF(tblFleet[[#This Row],[Units]]="","",tblFleet[[#This Row],[Units]]*cfg_HoursPerDay)</f>
        <v/>
      </c>
      <c r="H1933" s="66">
        <f>IF(tblFleet[[#This Row],[Units]]="","",tblFleet[[#This Row],[Calendar_h]]-tblFleet[[#This Row],[Down_h]])</f>
        <v/>
      </c>
      <c r="I1933" s="60">
        <f>IF(AND(tblFleet[[#This Row],[Units]]&lt;&gt;"",tblFleet[[#This Row],[Calendar_h]]&gt;0),tblFleet[[#This Row],[Available_h]]/tblFleet[[#This Row],[Calendar_h]],"")</f>
        <v/>
      </c>
      <c r="J1933" s="60">
        <f>IF(AND(tblFleet[[#This Row],[Units]]&lt;&gt;"",tblFleet[[#This Row],[Available_h]]&gt;0),tblFleet[[#This Row],[Operating_h]]/tblFleet[[#This Row],[Available_h]],"")</f>
        <v/>
      </c>
    </row>
    <row r="1934">
      <c r="A1934" s="54" t="n"/>
      <c r="B1934" s="61" t="n"/>
      <c r="C1934" s="62" t="n"/>
      <c r="D1934" s="57" t="n"/>
      <c r="E1934" s="57" t="n"/>
      <c r="F1934" s="58" t="n"/>
      <c r="G1934" s="66">
        <f>IF(tblFleet[[#This Row],[Units]]="","",tblFleet[[#This Row],[Units]]*cfg_HoursPerDay)</f>
        <v/>
      </c>
      <c r="H1934" s="66">
        <f>IF(tblFleet[[#This Row],[Units]]="","",tblFleet[[#This Row],[Calendar_h]]-tblFleet[[#This Row],[Down_h]])</f>
        <v/>
      </c>
      <c r="I1934" s="60">
        <f>IF(AND(tblFleet[[#This Row],[Units]]&lt;&gt;"",tblFleet[[#This Row],[Calendar_h]]&gt;0),tblFleet[[#This Row],[Available_h]]/tblFleet[[#This Row],[Calendar_h]],"")</f>
        <v/>
      </c>
      <c r="J1934" s="60">
        <f>IF(AND(tblFleet[[#This Row],[Units]]&lt;&gt;"",tblFleet[[#This Row],[Available_h]]&gt;0),tblFleet[[#This Row],[Operating_h]]/tblFleet[[#This Row],[Available_h]],"")</f>
        <v/>
      </c>
    </row>
    <row r="1935">
      <c r="A1935" s="54" t="n"/>
      <c r="B1935" s="61" t="n"/>
      <c r="C1935" s="62" t="n"/>
      <c r="D1935" s="57" t="n"/>
      <c r="E1935" s="57" t="n"/>
      <c r="F1935" s="58" t="n"/>
      <c r="G1935" s="66">
        <f>IF(tblFleet[[#This Row],[Units]]="","",tblFleet[[#This Row],[Units]]*cfg_HoursPerDay)</f>
        <v/>
      </c>
      <c r="H1935" s="66">
        <f>IF(tblFleet[[#This Row],[Units]]="","",tblFleet[[#This Row],[Calendar_h]]-tblFleet[[#This Row],[Down_h]])</f>
        <v/>
      </c>
      <c r="I1935" s="60">
        <f>IF(AND(tblFleet[[#This Row],[Units]]&lt;&gt;"",tblFleet[[#This Row],[Calendar_h]]&gt;0),tblFleet[[#This Row],[Available_h]]/tblFleet[[#This Row],[Calendar_h]],"")</f>
        <v/>
      </c>
      <c r="J1935" s="60">
        <f>IF(AND(tblFleet[[#This Row],[Units]]&lt;&gt;"",tblFleet[[#This Row],[Available_h]]&gt;0),tblFleet[[#This Row],[Operating_h]]/tblFleet[[#This Row],[Available_h]],"")</f>
        <v/>
      </c>
    </row>
    <row r="1936">
      <c r="A1936" s="54" t="n"/>
      <c r="B1936" s="61" t="n"/>
      <c r="C1936" s="62" t="n"/>
      <c r="D1936" s="57" t="n"/>
      <c r="E1936" s="57" t="n"/>
      <c r="F1936" s="58" t="n"/>
      <c r="G1936" s="66">
        <f>IF(tblFleet[[#This Row],[Units]]="","",tblFleet[[#This Row],[Units]]*cfg_HoursPerDay)</f>
        <v/>
      </c>
      <c r="H1936" s="66">
        <f>IF(tblFleet[[#This Row],[Units]]="","",tblFleet[[#This Row],[Calendar_h]]-tblFleet[[#This Row],[Down_h]])</f>
        <v/>
      </c>
      <c r="I1936" s="60">
        <f>IF(AND(tblFleet[[#This Row],[Units]]&lt;&gt;"",tblFleet[[#This Row],[Calendar_h]]&gt;0),tblFleet[[#This Row],[Available_h]]/tblFleet[[#This Row],[Calendar_h]],"")</f>
        <v/>
      </c>
      <c r="J1936" s="60">
        <f>IF(AND(tblFleet[[#This Row],[Units]]&lt;&gt;"",tblFleet[[#This Row],[Available_h]]&gt;0),tblFleet[[#This Row],[Operating_h]]/tblFleet[[#This Row],[Available_h]],"")</f>
        <v/>
      </c>
    </row>
    <row r="1937">
      <c r="A1937" s="54" t="n"/>
      <c r="B1937" s="61" t="n"/>
      <c r="C1937" s="62" t="n"/>
      <c r="D1937" s="57" t="n"/>
      <c r="E1937" s="57" t="n"/>
      <c r="F1937" s="58" t="n"/>
      <c r="G1937" s="66">
        <f>IF(tblFleet[[#This Row],[Units]]="","",tblFleet[[#This Row],[Units]]*cfg_HoursPerDay)</f>
        <v/>
      </c>
      <c r="H1937" s="66">
        <f>IF(tblFleet[[#This Row],[Units]]="","",tblFleet[[#This Row],[Calendar_h]]-tblFleet[[#This Row],[Down_h]])</f>
        <v/>
      </c>
      <c r="I1937" s="60">
        <f>IF(AND(tblFleet[[#This Row],[Units]]&lt;&gt;"",tblFleet[[#This Row],[Calendar_h]]&gt;0),tblFleet[[#This Row],[Available_h]]/tblFleet[[#This Row],[Calendar_h]],"")</f>
        <v/>
      </c>
      <c r="J1937" s="60">
        <f>IF(AND(tblFleet[[#This Row],[Units]]&lt;&gt;"",tblFleet[[#This Row],[Available_h]]&gt;0),tblFleet[[#This Row],[Operating_h]]/tblFleet[[#This Row],[Available_h]],"")</f>
        <v/>
      </c>
    </row>
    <row r="1938">
      <c r="A1938" s="54" t="n"/>
      <c r="B1938" s="61" t="n"/>
      <c r="C1938" s="62" t="n"/>
      <c r="D1938" s="57" t="n"/>
      <c r="E1938" s="57" t="n"/>
      <c r="F1938" s="58" t="n"/>
      <c r="G1938" s="66">
        <f>IF(tblFleet[[#This Row],[Units]]="","",tblFleet[[#This Row],[Units]]*cfg_HoursPerDay)</f>
        <v/>
      </c>
      <c r="H1938" s="66">
        <f>IF(tblFleet[[#This Row],[Units]]="","",tblFleet[[#This Row],[Calendar_h]]-tblFleet[[#This Row],[Down_h]])</f>
        <v/>
      </c>
      <c r="I1938" s="60">
        <f>IF(AND(tblFleet[[#This Row],[Units]]&lt;&gt;"",tblFleet[[#This Row],[Calendar_h]]&gt;0),tblFleet[[#This Row],[Available_h]]/tblFleet[[#This Row],[Calendar_h]],"")</f>
        <v/>
      </c>
      <c r="J1938" s="60">
        <f>IF(AND(tblFleet[[#This Row],[Units]]&lt;&gt;"",tblFleet[[#This Row],[Available_h]]&gt;0),tblFleet[[#This Row],[Operating_h]]/tblFleet[[#This Row],[Available_h]],"")</f>
        <v/>
      </c>
    </row>
    <row r="1939">
      <c r="A1939" s="54" t="n"/>
      <c r="B1939" s="61" t="n"/>
      <c r="C1939" s="62" t="n"/>
      <c r="D1939" s="57" t="n"/>
      <c r="E1939" s="57" t="n"/>
      <c r="F1939" s="58" t="n"/>
      <c r="G1939" s="66">
        <f>IF(tblFleet[[#This Row],[Units]]="","",tblFleet[[#This Row],[Units]]*cfg_HoursPerDay)</f>
        <v/>
      </c>
      <c r="H1939" s="66">
        <f>IF(tblFleet[[#This Row],[Units]]="","",tblFleet[[#This Row],[Calendar_h]]-tblFleet[[#This Row],[Down_h]])</f>
        <v/>
      </c>
      <c r="I1939" s="60">
        <f>IF(AND(tblFleet[[#This Row],[Units]]&lt;&gt;"",tblFleet[[#This Row],[Calendar_h]]&gt;0),tblFleet[[#This Row],[Available_h]]/tblFleet[[#This Row],[Calendar_h]],"")</f>
        <v/>
      </c>
      <c r="J1939" s="60">
        <f>IF(AND(tblFleet[[#This Row],[Units]]&lt;&gt;"",tblFleet[[#This Row],[Available_h]]&gt;0),tblFleet[[#This Row],[Operating_h]]/tblFleet[[#This Row],[Available_h]],"")</f>
        <v/>
      </c>
    </row>
    <row r="1940">
      <c r="A1940" s="54" t="n"/>
      <c r="B1940" s="61" t="n"/>
      <c r="C1940" s="62" t="n"/>
      <c r="D1940" s="57" t="n"/>
      <c r="E1940" s="57" t="n"/>
      <c r="F1940" s="58" t="n"/>
      <c r="G1940" s="66">
        <f>IF(tblFleet[[#This Row],[Units]]="","",tblFleet[[#This Row],[Units]]*cfg_HoursPerDay)</f>
        <v/>
      </c>
      <c r="H1940" s="66">
        <f>IF(tblFleet[[#This Row],[Units]]="","",tblFleet[[#This Row],[Calendar_h]]-tblFleet[[#This Row],[Down_h]])</f>
        <v/>
      </c>
      <c r="I1940" s="60">
        <f>IF(AND(tblFleet[[#This Row],[Units]]&lt;&gt;"",tblFleet[[#This Row],[Calendar_h]]&gt;0),tblFleet[[#This Row],[Available_h]]/tblFleet[[#This Row],[Calendar_h]],"")</f>
        <v/>
      </c>
      <c r="J1940" s="60">
        <f>IF(AND(tblFleet[[#This Row],[Units]]&lt;&gt;"",tblFleet[[#This Row],[Available_h]]&gt;0),tblFleet[[#This Row],[Operating_h]]/tblFleet[[#This Row],[Available_h]],"")</f>
        <v/>
      </c>
    </row>
    <row r="1941">
      <c r="A1941" s="54" t="n"/>
      <c r="B1941" s="61" t="n"/>
      <c r="C1941" s="62" t="n"/>
      <c r="D1941" s="57" t="n"/>
      <c r="E1941" s="57" t="n"/>
      <c r="F1941" s="58" t="n"/>
      <c r="G1941" s="66">
        <f>IF(tblFleet[[#This Row],[Units]]="","",tblFleet[[#This Row],[Units]]*cfg_HoursPerDay)</f>
        <v/>
      </c>
      <c r="H1941" s="66">
        <f>IF(tblFleet[[#This Row],[Units]]="","",tblFleet[[#This Row],[Calendar_h]]-tblFleet[[#This Row],[Down_h]])</f>
        <v/>
      </c>
      <c r="I1941" s="60">
        <f>IF(AND(tblFleet[[#This Row],[Units]]&lt;&gt;"",tblFleet[[#This Row],[Calendar_h]]&gt;0),tblFleet[[#This Row],[Available_h]]/tblFleet[[#This Row],[Calendar_h]],"")</f>
        <v/>
      </c>
      <c r="J1941" s="60">
        <f>IF(AND(tblFleet[[#This Row],[Units]]&lt;&gt;"",tblFleet[[#This Row],[Available_h]]&gt;0),tblFleet[[#This Row],[Operating_h]]/tblFleet[[#This Row],[Available_h]],"")</f>
        <v/>
      </c>
    </row>
    <row r="1942">
      <c r="A1942" s="54" t="n"/>
      <c r="B1942" s="61" t="n"/>
      <c r="C1942" s="62" t="n"/>
      <c r="D1942" s="57" t="n"/>
      <c r="E1942" s="57" t="n"/>
      <c r="F1942" s="58" t="n"/>
      <c r="G1942" s="66">
        <f>IF(tblFleet[[#This Row],[Units]]="","",tblFleet[[#This Row],[Units]]*cfg_HoursPerDay)</f>
        <v/>
      </c>
      <c r="H1942" s="66">
        <f>IF(tblFleet[[#This Row],[Units]]="","",tblFleet[[#This Row],[Calendar_h]]-tblFleet[[#This Row],[Down_h]])</f>
        <v/>
      </c>
      <c r="I1942" s="60">
        <f>IF(AND(tblFleet[[#This Row],[Units]]&lt;&gt;"",tblFleet[[#This Row],[Calendar_h]]&gt;0),tblFleet[[#This Row],[Available_h]]/tblFleet[[#This Row],[Calendar_h]],"")</f>
        <v/>
      </c>
      <c r="J1942" s="60">
        <f>IF(AND(tblFleet[[#This Row],[Units]]&lt;&gt;"",tblFleet[[#This Row],[Available_h]]&gt;0),tblFleet[[#This Row],[Operating_h]]/tblFleet[[#This Row],[Available_h]],"")</f>
        <v/>
      </c>
    </row>
    <row r="1943">
      <c r="A1943" s="54" t="n"/>
      <c r="B1943" s="61" t="n"/>
      <c r="C1943" s="62" t="n"/>
      <c r="D1943" s="57" t="n"/>
      <c r="E1943" s="57" t="n"/>
      <c r="F1943" s="58" t="n"/>
      <c r="G1943" s="66">
        <f>IF(tblFleet[[#This Row],[Units]]="","",tblFleet[[#This Row],[Units]]*cfg_HoursPerDay)</f>
        <v/>
      </c>
      <c r="H1943" s="66">
        <f>IF(tblFleet[[#This Row],[Units]]="","",tblFleet[[#This Row],[Calendar_h]]-tblFleet[[#This Row],[Down_h]])</f>
        <v/>
      </c>
      <c r="I1943" s="60">
        <f>IF(AND(tblFleet[[#This Row],[Units]]&lt;&gt;"",tblFleet[[#This Row],[Calendar_h]]&gt;0),tblFleet[[#This Row],[Available_h]]/tblFleet[[#This Row],[Calendar_h]],"")</f>
        <v/>
      </c>
      <c r="J1943" s="60">
        <f>IF(AND(tblFleet[[#This Row],[Units]]&lt;&gt;"",tblFleet[[#This Row],[Available_h]]&gt;0),tblFleet[[#This Row],[Operating_h]]/tblFleet[[#This Row],[Available_h]],"")</f>
        <v/>
      </c>
    </row>
    <row r="1944">
      <c r="A1944" s="54" t="n"/>
      <c r="B1944" s="61" t="n"/>
      <c r="C1944" s="62" t="n"/>
      <c r="D1944" s="57" t="n"/>
      <c r="E1944" s="57" t="n"/>
      <c r="F1944" s="58" t="n"/>
      <c r="G1944" s="66">
        <f>IF(tblFleet[[#This Row],[Units]]="","",tblFleet[[#This Row],[Units]]*cfg_HoursPerDay)</f>
        <v/>
      </c>
      <c r="H1944" s="66">
        <f>IF(tblFleet[[#This Row],[Units]]="","",tblFleet[[#This Row],[Calendar_h]]-tblFleet[[#This Row],[Down_h]])</f>
        <v/>
      </c>
      <c r="I1944" s="60">
        <f>IF(AND(tblFleet[[#This Row],[Units]]&lt;&gt;"",tblFleet[[#This Row],[Calendar_h]]&gt;0),tblFleet[[#This Row],[Available_h]]/tblFleet[[#This Row],[Calendar_h]],"")</f>
        <v/>
      </c>
      <c r="J1944" s="60">
        <f>IF(AND(tblFleet[[#This Row],[Units]]&lt;&gt;"",tblFleet[[#This Row],[Available_h]]&gt;0),tblFleet[[#This Row],[Operating_h]]/tblFleet[[#This Row],[Available_h]],"")</f>
        <v/>
      </c>
    </row>
    <row r="1945">
      <c r="A1945" s="54" t="n"/>
      <c r="B1945" s="61" t="n"/>
      <c r="C1945" s="62" t="n"/>
      <c r="D1945" s="57" t="n"/>
      <c r="E1945" s="57" t="n"/>
      <c r="F1945" s="58" t="n"/>
      <c r="G1945" s="66">
        <f>IF(tblFleet[[#This Row],[Units]]="","",tblFleet[[#This Row],[Units]]*cfg_HoursPerDay)</f>
        <v/>
      </c>
      <c r="H1945" s="66">
        <f>IF(tblFleet[[#This Row],[Units]]="","",tblFleet[[#This Row],[Calendar_h]]-tblFleet[[#This Row],[Down_h]])</f>
        <v/>
      </c>
      <c r="I1945" s="60">
        <f>IF(AND(tblFleet[[#This Row],[Units]]&lt;&gt;"",tblFleet[[#This Row],[Calendar_h]]&gt;0),tblFleet[[#This Row],[Available_h]]/tblFleet[[#This Row],[Calendar_h]],"")</f>
        <v/>
      </c>
      <c r="J1945" s="60">
        <f>IF(AND(tblFleet[[#This Row],[Units]]&lt;&gt;"",tblFleet[[#This Row],[Available_h]]&gt;0),tblFleet[[#This Row],[Operating_h]]/tblFleet[[#This Row],[Available_h]],"")</f>
        <v/>
      </c>
    </row>
    <row r="1946">
      <c r="A1946" s="54" t="n"/>
      <c r="B1946" s="61" t="n"/>
      <c r="C1946" s="62" t="n"/>
      <c r="D1946" s="57" t="n"/>
      <c r="E1946" s="57" t="n"/>
      <c r="F1946" s="58" t="n"/>
      <c r="G1946" s="66">
        <f>IF(tblFleet[[#This Row],[Units]]="","",tblFleet[[#This Row],[Units]]*cfg_HoursPerDay)</f>
        <v/>
      </c>
      <c r="H1946" s="66">
        <f>IF(tblFleet[[#This Row],[Units]]="","",tblFleet[[#This Row],[Calendar_h]]-tblFleet[[#This Row],[Down_h]])</f>
        <v/>
      </c>
      <c r="I1946" s="60">
        <f>IF(AND(tblFleet[[#This Row],[Units]]&lt;&gt;"",tblFleet[[#This Row],[Calendar_h]]&gt;0),tblFleet[[#This Row],[Available_h]]/tblFleet[[#This Row],[Calendar_h]],"")</f>
        <v/>
      </c>
      <c r="J1946" s="60">
        <f>IF(AND(tblFleet[[#This Row],[Units]]&lt;&gt;"",tblFleet[[#This Row],[Available_h]]&gt;0),tblFleet[[#This Row],[Operating_h]]/tblFleet[[#This Row],[Available_h]],"")</f>
        <v/>
      </c>
    </row>
    <row r="1947">
      <c r="A1947" s="54" t="n"/>
      <c r="B1947" s="61" t="n"/>
      <c r="C1947" s="62" t="n"/>
      <c r="D1947" s="57" t="n"/>
      <c r="E1947" s="57" t="n"/>
      <c r="F1947" s="58" t="n"/>
      <c r="G1947" s="66">
        <f>IF(tblFleet[[#This Row],[Units]]="","",tblFleet[[#This Row],[Units]]*cfg_HoursPerDay)</f>
        <v/>
      </c>
      <c r="H1947" s="66">
        <f>IF(tblFleet[[#This Row],[Units]]="","",tblFleet[[#This Row],[Calendar_h]]-tblFleet[[#This Row],[Down_h]])</f>
        <v/>
      </c>
      <c r="I1947" s="60">
        <f>IF(AND(tblFleet[[#This Row],[Units]]&lt;&gt;"",tblFleet[[#This Row],[Calendar_h]]&gt;0),tblFleet[[#This Row],[Available_h]]/tblFleet[[#This Row],[Calendar_h]],"")</f>
        <v/>
      </c>
      <c r="J1947" s="60">
        <f>IF(AND(tblFleet[[#This Row],[Units]]&lt;&gt;"",tblFleet[[#This Row],[Available_h]]&gt;0),tblFleet[[#This Row],[Operating_h]]/tblFleet[[#This Row],[Available_h]],"")</f>
        <v/>
      </c>
    </row>
    <row r="1948">
      <c r="A1948" s="54" t="n"/>
      <c r="B1948" s="61" t="n"/>
      <c r="C1948" s="62" t="n"/>
      <c r="D1948" s="57" t="n"/>
      <c r="E1948" s="57" t="n"/>
      <c r="F1948" s="58" t="n"/>
      <c r="G1948" s="66">
        <f>IF(tblFleet[[#This Row],[Units]]="","",tblFleet[[#This Row],[Units]]*cfg_HoursPerDay)</f>
        <v/>
      </c>
      <c r="H1948" s="66">
        <f>IF(tblFleet[[#This Row],[Units]]="","",tblFleet[[#This Row],[Calendar_h]]-tblFleet[[#This Row],[Down_h]])</f>
        <v/>
      </c>
      <c r="I1948" s="60">
        <f>IF(AND(tblFleet[[#This Row],[Units]]&lt;&gt;"",tblFleet[[#This Row],[Calendar_h]]&gt;0),tblFleet[[#This Row],[Available_h]]/tblFleet[[#This Row],[Calendar_h]],"")</f>
        <v/>
      </c>
      <c r="J1948" s="60">
        <f>IF(AND(tblFleet[[#This Row],[Units]]&lt;&gt;"",tblFleet[[#This Row],[Available_h]]&gt;0),tblFleet[[#This Row],[Operating_h]]/tblFleet[[#This Row],[Available_h]],"")</f>
        <v/>
      </c>
    </row>
    <row r="1949">
      <c r="A1949" s="54" t="n"/>
      <c r="B1949" s="61" t="n"/>
      <c r="C1949" s="62" t="n"/>
      <c r="D1949" s="57" t="n"/>
      <c r="E1949" s="57" t="n"/>
      <c r="F1949" s="58" t="n"/>
      <c r="G1949" s="66">
        <f>IF(tblFleet[[#This Row],[Units]]="","",tblFleet[[#This Row],[Units]]*cfg_HoursPerDay)</f>
        <v/>
      </c>
      <c r="H1949" s="66">
        <f>IF(tblFleet[[#This Row],[Units]]="","",tblFleet[[#This Row],[Calendar_h]]-tblFleet[[#This Row],[Down_h]])</f>
        <v/>
      </c>
      <c r="I1949" s="60">
        <f>IF(AND(tblFleet[[#This Row],[Units]]&lt;&gt;"",tblFleet[[#This Row],[Calendar_h]]&gt;0),tblFleet[[#This Row],[Available_h]]/tblFleet[[#This Row],[Calendar_h]],"")</f>
        <v/>
      </c>
      <c r="J1949" s="60">
        <f>IF(AND(tblFleet[[#This Row],[Units]]&lt;&gt;"",tblFleet[[#This Row],[Available_h]]&gt;0),tblFleet[[#This Row],[Operating_h]]/tblFleet[[#This Row],[Available_h]],"")</f>
        <v/>
      </c>
    </row>
    <row r="1950">
      <c r="A1950" s="54" t="n"/>
      <c r="B1950" s="61" t="n"/>
      <c r="C1950" s="62" t="n"/>
      <c r="D1950" s="57" t="n"/>
      <c r="E1950" s="57" t="n"/>
      <c r="F1950" s="58" t="n"/>
      <c r="G1950" s="66">
        <f>IF(tblFleet[[#This Row],[Units]]="","",tblFleet[[#This Row],[Units]]*cfg_HoursPerDay)</f>
        <v/>
      </c>
      <c r="H1950" s="66">
        <f>IF(tblFleet[[#This Row],[Units]]="","",tblFleet[[#This Row],[Calendar_h]]-tblFleet[[#This Row],[Down_h]])</f>
        <v/>
      </c>
      <c r="I1950" s="60">
        <f>IF(AND(tblFleet[[#This Row],[Units]]&lt;&gt;"",tblFleet[[#This Row],[Calendar_h]]&gt;0),tblFleet[[#This Row],[Available_h]]/tblFleet[[#This Row],[Calendar_h]],"")</f>
        <v/>
      </c>
      <c r="J1950" s="60">
        <f>IF(AND(tblFleet[[#This Row],[Units]]&lt;&gt;"",tblFleet[[#This Row],[Available_h]]&gt;0),tblFleet[[#This Row],[Operating_h]]/tblFleet[[#This Row],[Available_h]],"")</f>
        <v/>
      </c>
    </row>
    <row r="1951">
      <c r="A1951" s="54" t="n"/>
      <c r="B1951" s="61" t="n"/>
      <c r="C1951" s="62" t="n"/>
      <c r="D1951" s="57" t="n"/>
      <c r="E1951" s="57" t="n"/>
      <c r="F1951" s="58" t="n"/>
      <c r="G1951" s="66">
        <f>IF(tblFleet[[#This Row],[Units]]="","",tblFleet[[#This Row],[Units]]*cfg_HoursPerDay)</f>
        <v/>
      </c>
      <c r="H1951" s="66">
        <f>IF(tblFleet[[#This Row],[Units]]="","",tblFleet[[#This Row],[Calendar_h]]-tblFleet[[#This Row],[Down_h]])</f>
        <v/>
      </c>
      <c r="I1951" s="60">
        <f>IF(AND(tblFleet[[#This Row],[Units]]&lt;&gt;"",tblFleet[[#This Row],[Calendar_h]]&gt;0),tblFleet[[#This Row],[Available_h]]/tblFleet[[#This Row],[Calendar_h]],"")</f>
        <v/>
      </c>
      <c r="J1951" s="60">
        <f>IF(AND(tblFleet[[#This Row],[Units]]&lt;&gt;"",tblFleet[[#This Row],[Available_h]]&gt;0),tblFleet[[#This Row],[Operating_h]]/tblFleet[[#This Row],[Available_h]],"")</f>
        <v/>
      </c>
    </row>
    <row r="1952">
      <c r="A1952" s="54" t="n"/>
      <c r="B1952" s="61" t="n"/>
      <c r="C1952" s="62" t="n"/>
      <c r="D1952" s="57" t="n"/>
      <c r="E1952" s="57" t="n"/>
      <c r="F1952" s="58" t="n"/>
      <c r="G1952" s="66">
        <f>IF(tblFleet[[#This Row],[Units]]="","",tblFleet[[#This Row],[Units]]*cfg_HoursPerDay)</f>
        <v/>
      </c>
      <c r="H1952" s="66">
        <f>IF(tblFleet[[#This Row],[Units]]="","",tblFleet[[#This Row],[Calendar_h]]-tblFleet[[#This Row],[Down_h]])</f>
        <v/>
      </c>
      <c r="I1952" s="60">
        <f>IF(AND(tblFleet[[#This Row],[Units]]&lt;&gt;"",tblFleet[[#This Row],[Calendar_h]]&gt;0),tblFleet[[#This Row],[Available_h]]/tblFleet[[#This Row],[Calendar_h]],"")</f>
        <v/>
      </c>
      <c r="J1952" s="60">
        <f>IF(AND(tblFleet[[#This Row],[Units]]&lt;&gt;"",tblFleet[[#This Row],[Available_h]]&gt;0),tblFleet[[#This Row],[Operating_h]]/tblFleet[[#This Row],[Available_h]],"")</f>
        <v/>
      </c>
    </row>
    <row r="1953">
      <c r="A1953" s="54" t="n"/>
      <c r="B1953" s="61" t="n"/>
      <c r="C1953" s="62" t="n"/>
      <c r="D1953" s="57" t="n"/>
      <c r="E1953" s="57" t="n"/>
      <c r="F1953" s="58" t="n"/>
      <c r="G1953" s="66">
        <f>IF(tblFleet[[#This Row],[Units]]="","",tblFleet[[#This Row],[Units]]*cfg_HoursPerDay)</f>
        <v/>
      </c>
      <c r="H1953" s="66">
        <f>IF(tblFleet[[#This Row],[Units]]="","",tblFleet[[#This Row],[Calendar_h]]-tblFleet[[#This Row],[Down_h]])</f>
        <v/>
      </c>
      <c r="I1953" s="60">
        <f>IF(AND(tblFleet[[#This Row],[Units]]&lt;&gt;"",tblFleet[[#This Row],[Calendar_h]]&gt;0),tblFleet[[#This Row],[Available_h]]/tblFleet[[#This Row],[Calendar_h]],"")</f>
        <v/>
      </c>
      <c r="J1953" s="60">
        <f>IF(AND(tblFleet[[#This Row],[Units]]&lt;&gt;"",tblFleet[[#This Row],[Available_h]]&gt;0),tblFleet[[#This Row],[Operating_h]]/tblFleet[[#This Row],[Available_h]],"")</f>
        <v/>
      </c>
    </row>
    <row r="1954">
      <c r="A1954" s="54" t="n"/>
      <c r="B1954" s="61" t="n"/>
      <c r="C1954" s="62" t="n"/>
      <c r="D1954" s="57" t="n"/>
      <c r="E1954" s="57" t="n"/>
      <c r="F1954" s="58" t="n"/>
      <c r="G1954" s="66">
        <f>IF(tblFleet[[#This Row],[Units]]="","",tblFleet[[#This Row],[Units]]*cfg_HoursPerDay)</f>
        <v/>
      </c>
      <c r="H1954" s="66">
        <f>IF(tblFleet[[#This Row],[Units]]="","",tblFleet[[#This Row],[Calendar_h]]-tblFleet[[#This Row],[Down_h]])</f>
        <v/>
      </c>
      <c r="I1954" s="60">
        <f>IF(AND(tblFleet[[#This Row],[Units]]&lt;&gt;"",tblFleet[[#This Row],[Calendar_h]]&gt;0),tblFleet[[#This Row],[Available_h]]/tblFleet[[#This Row],[Calendar_h]],"")</f>
        <v/>
      </c>
      <c r="J1954" s="60">
        <f>IF(AND(tblFleet[[#This Row],[Units]]&lt;&gt;"",tblFleet[[#This Row],[Available_h]]&gt;0),tblFleet[[#This Row],[Operating_h]]/tblFleet[[#This Row],[Available_h]],"")</f>
        <v/>
      </c>
    </row>
    <row r="1955">
      <c r="A1955" s="54" t="n"/>
      <c r="B1955" s="61" t="n"/>
      <c r="C1955" s="62" t="n"/>
      <c r="D1955" s="57" t="n"/>
      <c r="E1955" s="57" t="n"/>
      <c r="F1955" s="58" t="n"/>
      <c r="G1955" s="66">
        <f>IF(tblFleet[[#This Row],[Units]]="","",tblFleet[[#This Row],[Units]]*cfg_HoursPerDay)</f>
        <v/>
      </c>
      <c r="H1955" s="66">
        <f>IF(tblFleet[[#This Row],[Units]]="","",tblFleet[[#This Row],[Calendar_h]]-tblFleet[[#This Row],[Down_h]])</f>
        <v/>
      </c>
      <c r="I1955" s="60">
        <f>IF(AND(tblFleet[[#This Row],[Units]]&lt;&gt;"",tblFleet[[#This Row],[Calendar_h]]&gt;0),tblFleet[[#This Row],[Available_h]]/tblFleet[[#This Row],[Calendar_h]],"")</f>
        <v/>
      </c>
      <c r="J1955" s="60">
        <f>IF(AND(tblFleet[[#This Row],[Units]]&lt;&gt;"",tblFleet[[#This Row],[Available_h]]&gt;0),tblFleet[[#This Row],[Operating_h]]/tblFleet[[#This Row],[Available_h]],"")</f>
        <v/>
      </c>
    </row>
    <row r="1956">
      <c r="A1956" s="54" t="n"/>
      <c r="B1956" s="61" t="n"/>
      <c r="C1956" s="62" t="n"/>
      <c r="D1956" s="57" t="n"/>
      <c r="E1956" s="57" t="n"/>
      <c r="F1956" s="58" t="n"/>
      <c r="G1956" s="66">
        <f>IF(tblFleet[[#This Row],[Units]]="","",tblFleet[[#This Row],[Units]]*cfg_HoursPerDay)</f>
        <v/>
      </c>
      <c r="H1956" s="66">
        <f>IF(tblFleet[[#This Row],[Units]]="","",tblFleet[[#This Row],[Calendar_h]]-tblFleet[[#This Row],[Down_h]])</f>
        <v/>
      </c>
      <c r="I1956" s="60">
        <f>IF(AND(tblFleet[[#This Row],[Units]]&lt;&gt;"",tblFleet[[#This Row],[Calendar_h]]&gt;0),tblFleet[[#This Row],[Available_h]]/tblFleet[[#This Row],[Calendar_h]],"")</f>
        <v/>
      </c>
      <c r="J1956" s="60">
        <f>IF(AND(tblFleet[[#This Row],[Units]]&lt;&gt;"",tblFleet[[#This Row],[Available_h]]&gt;0),tblFleet[[#This Row],[Operating_h]]/tblFleet[[#This Row],[Available_h]],"")</f>
        <v/>
      </c>
    </row>
    <row r="1957">
      <c r="A1957" s="54" t="n"/>
      <c r="B1957" s="61" t="n"/>
      <c r="C1957" s="62" t="n"/>
      <c r="D1957" s="57" t="n"/>
      <c r="E1957" s="57" t="n"/>
      <c r="F1957" s="58" t="n"/>
      <c r="G1957" s="66">
        <f>IF(tblFleet[[#This Row],[Units]]="","",tblFleet[[#This Row],[Units]]*cfg_HoursPerDay)</f>
        <v/>
      </c>
      <c r="H1957" s="66">
        <f>IF(tblFleet[[#This Row],[Units]]="","",tblFleet[[#This Row],[Calendar_h]]-tblFleet[[#This Row],[Down_h]])</f>
        <v/>
      </c>
      <c r="I1957" s="60">
        <f>IF(AND(tblFleet[[#This Row],[Units]]&lt;&gt;"",tblFleet[[#This Row],[Calendar_h]]&gt;0),tblFleet[[#This Row],[Available_h]]/tblFleet[[#This Row],[Calendar_h]],"")</f>
        <v/>
      </c>
      <c r="J1957" s="60">
        <f>IF(AND(tblFleet[[#This Row],[Units]]&lt;&gt;"",tblFleet[[#This Row],[Available_h]]&gt;0),tblFleet[[#This Row],[Operating_h]]/tblFleet[[#This Row],[Available_h]],"")</f>
        <v/>
      </c>
    </row>
    <row r="1958">
      <c r="A1958" s="54" t="n"/>
      <c r="B1958" s="61" t="n"/>
      <c r="C1958" s="62" t="n"/>
      <c r="D1958" s="57" t="n"/>
      <c r="E1958" s="57" t="n"/>
      <c r="F1958" s="58" t="n"/>
      <c r="G1958" s="66">
        <f>IF(tblFleet[[#This Row],[Units]]="","",tblFleet[[#This Row],[Units]]*cfg_HoursPerDay)</f>
        <v/>
      </c>
      <c r="H1958" s="66">
        <f>IF(tblFleet[[#This Row],[Units]]="","",tblFleet[[#This Row],[Calendar_h]]-tblFleet[[#This Row],[Down_h]])</f>
        <v/>
      </c>
      <c r="I1958" s="60">
        <f>IF(AND(tblFleet[[#This Row],[Units]]&lt;&gt;"",tblFleet[[#This Row],[Calendar_h]]&gt;0),tblFleet[[#This Row],[Available_h]]/tblFleet[[#This Row],[Calendar_h]],"")</f>
        <v/>
      </c>
      <c r="J1958" s="60">
        <f>IF(AND(tblFleet[[#This Row],[Units]]&lt;&gt;"",tblFleet[[#This Row],[Available_h]]&gt;0),tblFleet[[#This Row],[Operating_h]]/tblFleet[[#This Row],[Available_h]],"")</f>
        <v/>
      </c>
    </row>
    <row r="1959">
      <c r="A1959" s="54" t="n"/>
      <c r="B1959" s="61" t="n"/>
      <c r="C1959" s="62" t="n"/>
      <c r="D1959" s="57" t="n"/>
      <c r="E1959" s="57" t="n"/>
      <c r="F1959" s="58" t="n"/>
      <c r="G1959" s="66">
        <f>IF(tblFleet[[#This Row],[Units]]="","",tblFleet[[#This Row],[Units]]*cfg_HoursPerDay)</f>
        <v/>
      </c>
      <c r="H1959" s="66">
        <f>IF(tblFleet[[#This Row],[Units]]="","",tblFleet[[#This Row],[Calendar_h]]-tblFleet[[#This Row],[Down_h]])</f>
        <v/>
      </c>
      <c r="I1959" s="60">
        <f>IF(AND(tblFleet[[#This Row],[Units]]&lt;&gt;"",tblFleet[[#This Row],[Calendar_h]]&gt;0),tblFleet[[#This Row],[Available_h]]/tblFleet[[#This Row],[Calendar_h]],"")</f>
        <v/>
      </c>
      <c r="J1959" s="60">
        <f>IF(AND(tblFleet[[#This Row],[Units]]&lt;&gt;"",tblFleet[[#This Row],[Available_h]]&gt;0),tblFleet[[#This Row],[Operating_h]]/tblFleet[[#This Row],[Available_h]],"")</f>
        <v/>
      </c>
    </row>
    <row r="1960">
      <c r="A1960" s="54" t="n"/>
      <c r="B1960" s="61" t="n"/>
      <c r="C1960" s="62" t="n"/>
      <c r="D1960" s="57" t="n"/>
      <c r="E1960" s="57" t="n"/>
      <c r="F1960" s="58" t="n"/>
      <c r="G1960" s="66">
        <f>IF(tblFleet[[#This Row],[Units]]="","",tblFleet[[#This Row],[Units]]*cfg_HoursPerDay)</f>
        <v/>
      </c>
      <c r="H1960" s="66">
        <f>IF(tblFleet[[#This Row],[Units]]="","",tblFleet[[#This Row],[Calendar_h]]-tblFleet[[#This Row],[Down_h]])</f>
        <v/>
      </c>
      <c r="I1960" s="60">
        <f>IF(AND(tblFleet[[#This Row],[Units]]&lt;&gt;"",tblFleet[[#This Row],[Calendar_h]]&gt;0),tblFleet[[#This Row],[Available_h]]/tblFleet[[#This Row],[Calendar_h]],"")</f>
        <v/>
      </c>
      <c r="J1960" s="60">
        <f>IF(AND(tblFleet[[#This Row],[Units]]&lt;&gt;"",tblFleet[[#This Row],[Available_h]]&gt;0),tblFleet[[#This Row],[Operating_h]]/tblFleet[[#This Row],[Available_h]],"")</f>
        <v/>
      </c>
    </row>
    <row r="1961">
      <c r="A1961" s="54" t="n"/>
      <c r="B1961" s="61" t="n"/>
      <c r="C1961" s="62" t="n"/>
      <c r="D1961" s="57" t="n"/>
      <c r="E1961" s="57" t="n"/>
      <c r="F1961" s="58" t="n"/>
      <c r="G1961" s="66">
        <f>IF(tblFleet[[#This Row],[Units]]="","",tblFleet[[#This Row],[Units]]*cfg_HoursPerDay)</f>
        <v/>
      </c>
      <c r="H1961" s="66">
        <f>IF(tblFleet[[#This Row],[Units]]="","",tblFleet[[#This Row],[Calendar_h]]-tblFleet[[#This Row],[Down_h]])</f>
        <v/>
      </c>
      <c r="I1961" s="60">
        <f>IF(AND(tblFleet[[#This Row],[Units]]&lt;&gt;"",tblFleet[[#This Row],[Calendar_h]]&gt;0),tblFleet[[#This Row],[Available_h]]/tblFleet[[#This Row],[Calendar_h]],"")</f>
        <v/>
      </c>
      <c r="J1961" s="60">
        <f>IF(AND(tblFleet[[#This Row],[Units]]&lt;&gt;"",tblFleet[[#This Row],[Available_h]]&gt;0),tblFleet[[#This Row],[Operating_h]]/tblFleet[[#This Row],[Available_h]],"")</f>
        <v/>
      </c>
    </row>
    <row r="1962">
      <c r="A1962" s="54" t="n"/>
      <c r="B1962" s="61" t="n"/>
      <c r="C1962" s="62" t="n"/>
      <c r="D1962" s="57" t="n"/>
      <c r="E1962" s="57" t="n"/>
      <c r="F1962" s="58" t="n"/>
      <c r="G1962" s="66">
        <f>IF(tblFleet[[#This Row],[Units]]="","",tblFleet[[#This Row],[Units]]*cfg_HoursPerDay)</f>
        <v/>
      </c>
      <c r="H1962" s="66">
        <f>IF(tblFleet[[#This Row],[Units]]="","",tblFleet[[#This Row],[Calendar_h]]-tblFleet[[#This Row],[Down_h]])</f>
        <v/>
      </c>
      <c r="I1962" s="60">
        <f>IF(AND(tblFleet[[#This Row],[Units]]&lt;&gt;"",tblFleet[[#This Row],[Calendar_h]]&gt;0),tblFleet[[#This Row],[Available_h]]/tblFleet[[#This Row],[Calendar_h]],"")</f>
        <v/>
      </c>
      <c r="J1962" s="60">
        <f>IF(AND(tblFleet[[#This Row],[Units]]&lt;&gt;"",tblFleet[[#This Row],[Available_h]]&gt;0),tblFleet[[#This Row],[Operating_h]]/tblFleet[[#This Row],[Available_h]],"")</f>
        <v/>
      </c>
    </row>
    <row r="1963">
      <c r="A1963" s="54" t="n"/>
      <c r="B1963" s="61" t="n"/>
      <c r="C1963" s="62" t="n"/>
      <c r="D1963" s="57" t="n"/>
      <c r="E1963" s="57" t="n"/>
      <c r="F1963" s="58" t="n"/>
      <c r="G1963" s="66">
        <f>IF(tblFleet[[#This Row],[Units]]="","",tblFleet[[#This Row],[Units]]*cfg_HoursPerDay)</f>
        <v/>
      </c>
      <c r="H1963" s="66">
        <f>IF(tblFleet[[#This Row],[Units]]="","",tblFleet[[#This Row],[Calendar_h]]-tblFleet[[#This Row],[Down_h]])</f>
        <v/>
      </c>
      <c r="I1963" s="60">
        <f>IF(AND(tblFleet[[#This Row],[Units]]&lt;&gt;"",tblFleet[[#This Row],[Calendar_h]]&gt;0),tblFleet[[#This Row],[Available_h]]/tblFleet[[#This Row],[Calendar_h]],"")</f>
        <v/>
      </c>
      <c r="J1963" s="60">
        <f>IF(AND(tblFleet[[#This Row],[Units]]&lt;&gt;"",tblFleet[[#This Row],[Available_h]]&gt;0),tblFleet[[#This Row],[Operating_h]]/tblFleet[[#This Row],[Available_h]],"")</f>
        <v/>
      </c>
    </row>
    <row r="1964">
      <c r="A1964" s="54" t="n"/>
      <c r="B1964" s="61" t="n"/>
      <c r="C1964" s="62" t="n"/>
      <c r="D1964" s="57" t="n"/>
      <c r="E1964" s="57" t="n"/>
      <c r="F1964" s="58" t="n"/>
      <c r="G1964" s="66">
        <f>IF(tblFleet[[#This Row],[Units]]="","",tblFleet[[#This Row],[Units]]*cfg_HoursPerDay)</f>
        <v/>
      </c>
      <c r="H1964" s="66">
        <f>IF(tblFleet[[#This Row],[Units]]="","",tblFleet[[#This Row],[Calendar_h]]-tblFleet[[#This Row],[Down_h]])</f>
        <v/>
      </c>
      <c r="I1964" s="60">
        <f>IF(AND(tblFleet[[#This Row],[Units]]&lt;&gt;"",tblFleet[[#This Row],[Calendar_h]]&gt;0),tblFleet[[#This Row],[Available_h]]/tblFleet[[#This Row],[Calendar_h]],"")</f>
        <v/>
      </c>
      <c r="J1964" s="60">
        <f>IF(AND(tblFleet[[#This Row],[Units]]&lt;&gt;"",tblFleet[[#This Row],[Available_h]]&gt;0),tblFleet[[#This Row],[Operating_h]]/tblFleet[[#This Row],[Available_h]],"")</f>
        <v/>
      </c>
    </row>
    <row r="1965">
      <c r="A1965" s="54" t="n"/>
      <c r="B1965" s="61" t="n"/>
      <c r="C1965" s="62" t="n"/>
      <c r="D1965" s="57" t="n"/>
      <c r="E1965" s="57" t="n"/>
      <c r="F1965" s="58" t="n"/>
      <c r="G1965" s="66">
        <f>IF(tblFleet[[#This Row],[Units]]="","",tblFleet[[#This Row],[Units]]*cfg_HoursPerDay)</f>
        <v/>
      </c>
      <c r="H1965" s="66">
        <f>IF(tblFleet[[#This Row],[Units]]="","",tblFleet[[#This Row],[Calendar_h]]-tblFleet[[#This Row],[Down_h]])</f>
        <v/>
      </c>
      <c r="I1965" s="60">
        <f>IF(AND(tblFleet[[#This Row],[Units]]&lt;&gt;"",tblFleet[[#This Row],[Calendar_h]]&gt;0),tblFleet[[#This Row],[Available_h]]/tblFleet[[#This Row],[Calendar_h]],"")</f>
        <v/>
      </c>
      <c r="J1965" s="60">
        <f>IF(AND(tblFleet[[#This Row],[Units]]&lt;&gt;"",tblFleet[[#This Row],[Available_h]]&gt;0),tblFleet[[#This Row],[Operating_h]]/tblFleet[[#This Row],[Available_h]],"")</f>
        <v/>
      </c>
    </row>
    <row r="1966">
      <c r="A1966" s="54" t="n"/>
      <c r="B1966" s="61" t="n"/>
      <c r="C1966" s="62" t="n"/>
      <c r="D1966" s="57" t="n"/>
      <c r="E1966" s="57" t="n"/>
      <c r="F1966" s="58" t="n"/>
      <c r="G1966" s="66">
        <f>IF(tblFleet[[#This Row],[Units]]="","",tblFleet[[#This Row],[Units]]*cfg_HoursPerDay)</f>
        <v/>
      </c>
      <c r="H1966" s="66">
        <f>IF(tblFleet[[#This Row],[Units]]="","",tblFleet[[#This Row],[Calendar_h]]-tblFleet[[#This Row],[Down_h]])</f>
        <v/>
      </c>
      <c r="I1966" s="60">
        <f>IF(AND(tblFleet[[#This Row],[Units]]&lt;&gt;"",tblFleet[[#This Row],[Calendar_h]]&gt;0),tblFleet[[#This Row],[Available_h]]/tblFleet[[#This Row],[Calendar_h]],"")</f>
        <v/>
      </c>
      <c r="J1966" s="60">
        <f>IF(AND(tblFleet[[#This Row],[Units]]&lt;&gt;"",tblFleet[[#This Row],[Available_h]]&gt;0),tblFleet[[#This Row],[Operating_h]]/tblFleet[[#This Row],[Available_h]],"")</f>
        <v/>
      </c>
    </row>
    <row r="1967">
      <c r="A1967" s="54" t="n"/>
      <c r="B1967" s="61" t="n"/>
      <c r="C1967" s="62" t="n"/>
      <c r="D1967" s="57" t="n"/>
      <c r="E1967" s="57" t="n"/>
      <c r="F1967" s="58" t="n"/>
      <c r="G1967" s="66">
        <f>IF(tblFleet[[#This Row],[Units]]="","",tblFleet[[#This Row],[Units]]*cfg_HoursPerDay)</f>
        <v/>
      </c>
      <c r="H1967" s="66">
        <f>IF(tblFleet[[#This Row],[Units]]="","",tblFleet[[#This Row],[Calendar_h]]-tblFleet[[#This Row],[Down_h]])</f>
        <v/>
      </c>
      <c r="I1967" s="60">
        <f>IF(AND(tblFleet[[#This Row],[Units]]&lt;&gt;"",tblFleet[[#This Row],[Calendar_h]]&gt;0),tblFleet[[#This Row],[Available_h]]/tblFleet[[#This Row],[Calendar_h]],"")</f>
        <v/>
      </c>
      <c r="J1967" s="60">
        <f>IF(AND(tblFleet[[#This Row],[Units]]&lt;&gt;"",tblFleet[[#This Row],[Available_h]]&gt;0),tblFleet[[#This Row],[Operating_h]]/tblFleet[[#This Row],[Available_h]],"")</f>
        <v/>
      </c>
    </row>
    <row r="1968">
      <c r="A1968" s="54" t="n"/>
      <c r="B1968" s="61" t="n"/>
      <c r="C1968" s="62" t="n"/>
      <c r="D1968" s="57" t="n"/>
      <c r="E1968" s="57" t="n"/>
      <c r="F1968" s="58" t="n"/>
      <c r="G1968" s="66">
        <f>IF(tblFleet[[#This Row],[Units]]="","",tblFleet[[#This Row],[Units]]*cfg_HoursPerDay)</f>
        <v/>
      </c>
      <c r="H1968" s="66">
        <f>IF(tblFleet[[#This Row],[Units]]="","",tblFleet[[#This Row],[Calendar_h]]-tblFleet[[#This Row],[Down_h]])</f>
        <v/>
      </c>
      <c r="I1968" s="60">
        <f>IF(AND(tblFleet[[#This Row],[Units]]&lt;&gt;"",tblFleet[[#This Row],[Calendar_h]]&gt;0),tblFleet[[#This Row],[Available_h]]/tblFleet[[#This Row],[Calendar_h]],"")</f>
        <v/>
      </c>
      <c r="J1968" s="60">
        <f>IF(AND(tblFleet[[#This Row],[Units]]&lt;&gt;"",tblFleet[[#This Row],[Available_h]]&gt;0),tblFleet[[#This Row],[Operating_h]]/tblFleet[[#This Row],[Available_h]],"")</f>
        <v/>
      </c>
    </row>
    <row r="1969">
      <c r="A1969" s="54" t="n"/>
      <c r="B1969" s="61" t="n"/>
      <c r="C1969" s="62" t="n"/>
      <c r="D1969" s="57" t="n"/>
      <c r="E1969" s="57" t="n"/>
      <c r="F1969" s="58" t="n"/>
      <c r="G1969" s="66">
        <f>IF(tblFleet[[#This Row],[Units]]="","",tblFleet[[#This Row],[Units]]*cfg_HoursPerDay)</f>
        <v/>
      </c>
      <c r="H1969" s="66">
        <f>IF(tblFleet[[#This Row],[Units]]="","",tblFleet[[#This Row],[Calendar_h]]-tblFleet[[#This Row],[Down_h]])</f>
        <v/>
      </c>
      <c r="I1969" s="60">
        <f>IF(AND(tblFleet[[#This Row],[Units]]&lt;&gt;"",tblFleet[[#This Row],[Calendar_h]]&gt;0),tblFleet[[#This Row],[Available_h]]/tblFleet[[#This Row],[Calendar_h]],"")</f>
        <v/>
      </c>
      <c r="J1969" s="60">
        <f>IF(AND(tblFleet[[#This Row],[Units]]&lt;&gt;"",tblFleet[[#This Row],[Available_h]]&gt;0),tblFleet[[#This Row],[Operating_h]]/tblFleet[[#This Row],[Available_h]],"")</f>
        <v/>
      </c>
    </row>
    <row r="1970">
      <c r="A1970" s="54" t="n"/>
      <c r="B1970" s="61" t="n"/>
      <c r="C1970" s="62" t="n"/>
      <c r="D1970" s="57" t="n"/>
      <c r="E1970" s="57" t="n"/>
      <c r="F1970" s="58" t="n"/>
      <c r="G1970" s="66">
        <f>IF(tblFleet[[#This Row],[Units]]="","",tblFleet[[#This Row],[Units]]*cfg_HoursPerDay)</f>
        <v/>
      </c>
      <c r="H1970" s="66">
        <f>IF(tblFleet[[#This Row],[Units]]="","",tblFleet[[#This Row],[Calendar_h]]-tblFleet[[#This Row],[Down_h]])</f>
        <v/>
      </c>
      <c r="I1970" s="60">
        <f>IF(AND(tblFleet[[#This Row],[Units]]&lt;&gt;"",tblFleet[[#This Row],[Calendar_h]]&gt;0),tblFleet[[#This Row],[Available_h]]/tblFleet[[#This Row],[Calendar_h]],"")</f>
        <v/>
      </c>
      <c r="J1970" s="60">
        <f>IF(AND(tblFleet[[#This Row],[Units]]&lt;&gt;"",tblFleet[[#This Row],[Available_h]]&gt;0),tblFleet[[#This Row],[Operating_h]]/tblFleet[[#This Row],[Available_h]],"")</f>
        <v/>
      </c>
    </row>
    <row r="1971">
      <c r="A1971" s="54" t="n"/>
      <c r="B1971" s="61" t="n"/>
      <c r="C1971" s="62" t="n"/>
      <c r="D1971" s="57" t="n"/>
      <c r="E1971" s="57" t="n"/>
      <c r="F1971" s="58" t="n"/>
      <c r="G1971" s="66">
        <f>IF(tblFleet[[#This Row],[Units]]="","",tblFleet[[#This Row],[Units]]*cfg_HoursPerDay)</f>
        <v/>
      </c>
      <c r="H1971" s="66">
        <f>IF(tblFleet[[#This Row],[Units]]="","",tblFleet[[#This Row],[Calendar_h]]-tblFleet[[#This Row],[Down_h]])</f>
        <v/>
      </c>
      <c r="I1971" s="60">
        <f>IF(AND(tblFleet[[#This Row],[Units]]&lt;&gt;"",tblFleet[[#This Row],[Calendar_h]]&gt;0),tblFleet[[#This Row],[Available_h]]/tblFleet[[#This Row],[Calendar_h]],"")</f>
        <v/>
      </c>
      <c r="J1971" s="60">
        <f>IF(AND(tblFleet[[#This Row],[Units]]&lt;&gt;"",tblFleet[[#This Row],[Available_h]]&gt;0),tblFleet[[#This Row],[Operating_h]]/tblFleet[[#This Row],[Available_h]],"")</f>
        <v/>
      </c>
    </row>
    <row r="1972">
      <c r="A1972" s="54" t="n"/>
      <c r="B1972" s="61" t="n"/>
      <c r="C1972" s="62" t="n"/>
      <c r="D1972" s="57" t="n"/>
      <c r="E1972" s="57" t="n"/>
      <c r="F1972" s="58" t="n"/>
      <c r="G1972" s="66">
        <f>IF(tblFleet[[#This Row],[Units]]="","",tblFleet[[#This Row],[Units]]*cfg_HoursPerDay)</f>
        <v/>
      </c>
      <c r="H1972" s="66">
        <f>IF(tblFleet[[#This Row],[Units]]="","",tblFleet[[#This Row],[Calendar_h]]-tblFleet[[#This Row],[Down_h]])</f>
        <v/>
      </c>
      <c r="I1972" s="60">
        <f>IF(AND(tblFleet[[#This Row],[Units]]&lt;&gt;"",tblFleet[[#This Row],[Calendar_h]]&gt;0),tblFleet[[#This Row],[Available_h]]/tblFleet[[#This Row],[Calendar_h]],"")</f>
        <v/>
      </c>
      <c r="J1972" s="60">
        <f>IF(AND(tblFleet[[#This Row],[Units]]&lt;&gt;"",tblFleet[[#This Row],[Available_h]]&gt;0),tblFleet[[#This Row],[Operating_h]]/tblFleet[[#This Row],[Available_h]],"")</f>
        <v/>
      </c>
    </row>
    <row r="1973">
      <c r="A1973" s="54" t="n"/>
      <c r="B1973" s="61" t="n"/>
      <c r="C1973" s="62" t="n"/>
      <c r="D1973" s="57" t="n"/>
      <c r="E1973" s="57" t="n"/>
      <c r="F1973" s="58" t="n"/>
      <c r="G1973" s="66">
        <f>IF(tblFleet[[#This Row],[Units]]="","",tblFleet[[#This Row],[Units]]*cfg_HoursPerDay)</f>
        <v/>
      </c>
      <c r="H1973" s="66">
        <f>IF(tblFleet[[#This Row],[Units]]="","",tblFleet[[#This Row],[Calendar_h]]-tblFleet[[#This Row],[Down_h]])</f>
        <v/>
      </c>
      <c r="I1973" s="60">
        <f>IF(AND(tblFleet[[#This Row],[Units]]&lt;&gt;"",tblFleet[[#This Row],[Calendar_h]]&gt;0),tblFleet[[#This Row],[Available_h]]/tblFleet[[#This Row],[Calendar_h]],"")</f>
        <v/>
      </c>
      <c r="J1973" s="60">
        <f>IF(AND(tblFleet[[#This Row],[Units]]&lt;&gt;"",tblFleet[[#This Row],[Available_h]]&gt;0),tblFleet[[#This Row],[Operating_h]]/tblFleet[[#This Row],[Available_h]],"")</f>
        <v/>
      </c>
    </row>
    <row r="1974">
      <c r="A1974" s="54" t="n"/>
      <c r="B1974" s="61" t="n"/>
      <c r="C1974" s="62" t="n"/>
      <c r="D1974" s="57" t="n"/>
      <c r="E1974" s="57" t="n"/>
      <c r="F1974" s="58" t="n"/>
      <c r="G1974" s="66">
        <f>IF(tblFleet[[#This Row],[Units]]="","",tblFleet[[#This Row],[Units]]*cfg_HoursPerDay)</f>
        <v/>
      </c>
      <c r="H1974" s="66">
        <f>IF(tblFleet[[#This Row],[Units]]="","",tblFleet[[#This Row],[Calendar_h]]-tblFleet[[#This Row],[Down_h]])</f>
        <v/>
      </c>
      <c r="I1974" s="60">
        <f>IF(AND(tblFleet[[#This Row],[Units]]&lt;&gt;"",tblFleet[[#This Row],[Calendar_h]]&gt;0),tblFleet[[#This Row],[Available_h]]/tblFleet[[#This Row],[Calendar_h]],"")</f>
        <v/>
      </c>
      <c r="J1974" s="60">
        <f>IF(AND(tblFleet[[#This Row],[Units]]&lt;&gt;"",tblFleet[[#This Row],[Available_h]]&gt;0),tblFleet[[#This Row],[Operating_h]]/tblFleet[[#This Row],[Available_h]],"")</f>
        <v/>
      </c>
    </row>
    <row r="1975">
      <c r="A1975" s="54" t="n"/>
      <c r="B1975" s="61" t="n"/>
      <c r="C1975" s="62" t="n"/>
      <c r="D1975" s="57" t="n"/>
      <c r="E1975" s="57" t="n"/>
      <c r="F1975" s="58" t="n"/>
      <c r="G1975" s="66">
        <f>IF(tblFleet[[#This Row],[Units]]="","",tblFleet[[#This Row],[Units]]*cfg_HoursPerDay)</f>
        <v/>
      </c>
      <c r="H1975" s="66">
        <f>IF(tblFleet[[#This Row],[Units]]="","",tblFleet[[#This Row],[Calendar_h]]-tblFleet[[#This Row],[Down_h]])</f>
        <v/>
      </c>
      <c r="I1975" s="60">
        <f>IF(AND(tblFleet[[#This Row],[Units]]&lt;&gt;"",tblFleet[[#This Row],[Calendar_h]]&gt;0),tblFleet[[#This Row],[Available_h]]/tblFleet[[#This Row],[Calendar_h]],"")</f>
        <v/>
      </c>
      <c r="J1975" s="60">
        <f>IF(AND(tblFleet[[#This Row],[Units]]&lt;&gt;"",tblFleet[[#This Row],[Available_h]]&gt;0),tblFleet[[#This Row],[Operating_h]]/tblFleet[[#This Row],[Available_h]],"")</f>
        <v/>
      </c>
    </row>
    <row r="1976">
      <c r="A1976" s="54" t="n"/>
      <c r="B1976" s="61" t="n"/>
      <c r="C1976" s="62" t="n"/>
      <c r="D1976" s="57" t="n"/>
      <c r="E1976" s="57" t="n"/>
      <c r="F1976" s="58" t="n"/>
      <c r="G1976" s="66">
        <f>IF(tblFleet[[#This Row],[Units]]="","",tblFleet[[#This Row],[Units]]*cfg_HoursPerDay)</f>
        <v/>
      </c>
      <c r="H1976" s="66">
        <f>IF(tblFleet[[#This Row],[Units]]="","",tblFleet[[#This Row],[Calendar_h]]-tblFleet[[#This Row],[Down_h]])</f>
        <v/>
      </c>
      <c r="I1976" s="60">
        <f>IF(AND(tblFleet[[#This Row],[Units]]&lt;&gt;"",tblFleet[[#This Row],[Calendar_h]]&gt;0),tblFleet[[#This Row],[Available_h]]/tblFleet[[#This Row],[Calendar_h]],"")</f>
        <v/>
      </c>
      <c r="J1976" s="60">
        <f>IF(AND(tblFleet[[#This Row],[Units]]&lt;&gt;"",tblFleet[[#This Row],[Available_h]]&gt;0),tblFleet[[#This Row],[Operating_h]]/tblFleet[[#This Row],[Available_h]],"")</f>
        <v/>
      </c>
    </row>
    <row r="1977">
      <c r="A1977" s="54" t="n"/>
      <c r="B1977" s="61" t="n"/>
      <c r="C1977" s="62" t="n"/>
      <c r="D1977" s="57" t="n"/>
      <c r="E1977" s="57" t="n"/>
      <c r="F1977" s="58" t="n"/>
      <c r="G1977" s="66">
        <f>IF(tblFleet[[#This Row],[Units]]="","",tblFleet[[#This Row],[Units]]*cfg_HoursPerDay)</f>
        <v/>
      </c>
      <c r="H1977" s="66">
        <f>IF(tblFleet[[#This Row],[Units]]="","",tblFleet[[#This Row],[Calendar_h]]-tblFleet[[#This Row],[Down_h]])</f>
        <v/>
      </c>
      <c r="I1977" s="60">
        <f>IF(AND(tblFleet[[#This Row],[Units]]&lt;&gt;"",tblFleet[[#This Row],[Calendar_h]]&gt;0),tblFleet[[#This Row],[Available_h]]/tblFleet[[#This Row],[Calendar_h]],"")</f>
        <v/>
      </c>
      <c r="J1977" s="60">
        <f>IF(AND(tblFleet[[#This Row],[Units]]&lt;&gt;"",tblFleet[[#This Row],[Available_h]]&gt;0),tblFleet[[#This Row],[Operating_h]]/tblFleet[[#This Row],[Available_h]],"")</f>
        <v/>
      </c>
    </row>
    <row r="1978">
      <c r="A1978" s="54" t="n"/>
      <c r="B1978" s="61" t="n"/>
      <c r="C1978" s="62" t="n"/>
      <c r="D1978" s="57" t="n"/>
      <c r="E1978" s="57" t="n"/>
      <c r="F1978" s="58" t="n"/>
      <c r="G1978" s="66">
        <f>IF(tblFleet[[#This Row],[Units]]="","",tblFleet[[#This Row],[Units]]*cfg_HoursPerDay)</f>
        <v/>
      </c>
      <c r="H1978" s="66">
        <f>IF(tblFleet[[#This Row],[Units]]="","",tblFleet[[#This Row],[Calendar_h]]-tblFleet[[#This Row],[Down_h]])</f>
        <v/>
      </c>
      <c r="I1978" s="60">
        <f>IF(AND(tblFleet[[#This Row],[Units]]&lt;&gt;"",tblFleet[[#This Row],[Calendar_h]]&gt;0),tblFleet[[#This Row],[Available_h]]/tblFleet[[#This Row],[Calendar_h]],"")</f>
        <v/>
      </c>
      <c r="J1978" s="60">
        <f>IF(AND(tblFleet[[#This Row],[Units]]&lt;&gt;"",tblFleet[[#This Row],[Available_h]]&gt;0),tblFleet[[#This Row],[Operating_h]]/tblFleet[[#This Row],[Available_h]],"")</f>
        <v/>
      </c>
    </row>
    <row r="1979">
      <c r="A1979" s="54" t="n"/>
      <c r="B1979" s="61" t="n"/>
      <c r="C1979" s="62" t="n"/>
      <c r="D1979" s="57" t="n"/>
      <c r="E1979" s="57" t="n"/>
      <c r="F1979" s="58" t="n"/>
      <c r="G1979" s="66">
        <f>IF(tblFleet[[#This Row],[Units]]="","",tblFleet[[#This Row],[Units]]*cfg_HoursPerDay)</f>
        <v/>
      </c>
      <c r="H1979" s="66">
        <f>IF(tblFleet[[#This Row],[Units]]="","",tblFleet[[#This Row],[Calendar_h]]-tblFleet[[#This Row],[Down_h]])</f>
        <v/>
      </c>
      <c r="I1979" s="60">
        <f>IF(AND(tblFleet[[#This Row],[Units]]&lt;&gt;"",tblFleet[[#This Row],[Calendar_h]]&gt;0),tblFleet[[#This Row],[Available_h]]/tblFleet[[#This Row],[Calendar_h]],"")</f>
        <v/>
      </c>
      <c r="J1979" s="60">
        <f>IF(AND(tblFleet[[#This Row],[Units]]&lt;&gt;"",tblFleet[[#This Row],[Available_h]]&gt;0),tblFleet[[#This Row],[Operating_h]]/tblFleet[[#This Row],[Available_h]],"")</f>
        <v/>
      </c>
    </row>
    <row r="1980">
      <c r="A1980" s="54" t="n"/>
      <c r="B1980" s="61" t="n"/>
      <c r="C1980" s="62" t="n"/>
      <c r="D1980" s="57" t="n"/>
      <c r="E1980" s="57" t="n"/>
      <c r="F1980" s="58" t="n"/>
      <c r="G1980" s="66">
        <f>IF(tblFleet[[#This Row],[Units]]="","",tblFleet[[#This Row],[Units]]*cfg_HoursPerDay)</f>
        <v/>
      </c>
      <c r="H1980" s="66">
        <f>IF(tblFleet[[#This Row],[Units]]="","",tblFleet[[#This Row],[Calendar_h]]-tblFleet[[#This Row],[Down_h]])</f>
        <v/>
      </c>
      <c r="I1980" s="60">
        <f>IF(AND(tblFleet[[#This Row],[Units]]&lt;&gt;"",tblFleet[[#This Row],[Calendar_h]]&gt;0),tblFleet[[#This Row],[Available_h]]/tblFleet[[#This Row],[Calendar_h]],"")</f>
        <v/>
      </c>
      <c r="J1980" s="60">
        <f>IF(AND(tblFleet[[#This Row],[Units]]&lt;&gt;"",tblFleet[[#This Row],[Available_h]]&gt;0),tblFleet[[#This Row],[Operating_h]]/tblFleet[[#This Row],[Available_h]],"")</f>
        <v/>
      </c>
    </row>
    <row r="1981">
      <c r="A1981" s="54" t="n"/>
      <c r="B1981" s="61" t="n"/>
      <c r="C1981" s="62" t="n"/>
      <c r="D1981" s="57" t="n"/>
      <c r="E1981" s="57" t="n"/>
      <c r="F1981" s="58" t="n"/>
      <c r="G1981" s="66">
        <f>IF(tblFleet[[#This Row],[Units]]="","",tblFleet[[#This Row],[Units]]*cfg_HoursPerDay)</f>
        <v/>
      </c>
      <c r="H1981" s="66">
        <f>IF(tblFleet[[#This Row],[Units]]="","",tblFleet[[#This Row],[Calendar_h]]-tblFleet[[#This Row],[Down_h]])</f>
        <v/>
      </c>
      <c r="I1981" s="60">
        <f>IF(AND(tblFleet[[#This Row],[Units]]&lt;&gt;"",tblFleet[[#This Row],[Calendar_h]]&gt;0),tblFleet[[#This Row],[Available_h]]/tblFleet[[#This Row],[Calendar_h]],"")</f>
        <v/>
      </c>
      <c r="J1981" s="60">
        <f>IF(AND(tblFleet[[#This Row],[Units]]&lt;&gt;"",tblFleet[[#This Row],[Available_h]]&gt;0),tblFleet[[#This Row],[Operating_h]]/tblFleet[[#This Row],[Available_h]],"")</f>
        <v/>
      </c>
    </row>
    <row r="1982">
      <c r="A1982" s="54" t="n"/>
      <c r="B1982" s="61" t="n"/>
      <c r="C1982" s="62" t="n"/>
      <c r="D1982" s="57" t="n"/>
      <c r="E1982" s="57" t="n"/>
      <c r="F1982" s="58" t="n"/>
      <c r="G1982" s="66">
        <f>IF(tblFleet[[#This Row],[Units]]="","",tblFleet[[#This Row],[Units]]*cfg_HoursPerDay)</f>
        <v/>
      </c>
      <c r="H1982" s="66">
        <f>IF(tblFleet[[#This Row],[Units]]="","",tblFleet[[#This Row],[Calendar_h]]-tblFleet[[#This Row],[Down_h]])</f>
        <v/>
      </c>
      <c r="I1982" s="60">
        <f>IF(AND(tblFleet[[#This Row],[Units]]&lt;&gt;"",tblFleet[[#This Row],[Calendar_h]]&gt;0),tblFleet[[#This Row],[Available_h]]/tblFleet[[#This Row],[Calendar_h]],"")</f>
        <v/>
      </c>
      <c r="J1982" s="60">
        <f>IF(AND(tblFleet[[#This Row],[Units]]&lt;&gt;"",tblFleet[[#This Row],[Available_h]]&gt;0),tblFleet[[#This Row],[Operating_h]]/tblFleet[[#This Row],[Available_h]],"")</f>
        <v/>
      </c>
    </row>
    <row r="1983">
      <c r="A1983" s="54" t="n"/>
      <c r="B1983" s="61" t="n"/>
      <c r="C1983" s="62" t="n"/>
      <c r="D1983" s="57" t="n"/>
      <c r="E1983" s="57" t="n"/>
      <c r="F1983" s="58" t="n"/>
      <c r="G1983" s="66">
        <f>IF(tblFleet[[#This Row],[Units]]="","",tblFleet[[#This Row],[Units]]*cfg_HoursPerDay)</f>
        <v/>
      </c>
      <c r="H1983" s="66">
        <f>IF(tblFleet[[#This Row],[Units]]="","",tblFleet[[#This Row],[Calendar_h]]-tblFleet[[#This Row],[Down_h]])</f>
        <v/>
      </c>
      <c r="I1983" s="60">
        <f>IF(AND(tblFleet[[#This Row],[Units]]&lt;&gt;"",tblFleet[[#This Row],[Calendar_h]]&gt;0),tblFleet[[#This Row],[Available_h]]/tblFleet[[#This Row],[Calendar_h]],"")</f>
        <v/>
      </c>
      <c r="J1983" s="60">
        <f>IF(AND(tblFleet[[#This Row],[Units]]&lt;&gt;"",tblFleet[[#This Row],[Available_h]]&gt;0),tblFleet[[#This Row],[Operating_h]]/tblFleet[[#This Row],[Available_h]],"")</f>
        <v/>
      </c>
    </row>
    <row r="1984">
      <c r="A1984" s="54" t="n"/>
      <c r="B1984" s="61" t="n"/>
      <c r="C1984" s="62" t="n"/>
      <c r="D1984" s="57" t="n"/>
      <c r="E1984" s="57" t="n"/>
      <c r="F1984" s="58" t="n"/>
      <c r="G1984" s="66">
        <f>IF(tblFleet[[#This Row],[Units]]="","",tblFleet[[#This Row],[Units]]*cfg_HoursPerDay)</f>
        <v/>
      </c>
      <c r="H1984" s="66">
        <f>IF(tblFleet[[#This Row],[Units]]="","",tblFleet[[#This Row],[Calendar_h]]-tblFleet[[#This Row],[Down_h]])</f>
        <v/>
      </c>
      <c r="I1984" s="60">
        <f>IF(AND(tblFleet[[#This Row],[Units]]&lt;&gt;"",tblFleet[[#This Row],[Calendar_h]]&gt;0),tblFleet[[#This Row],[Available_h]]/tblFleet[[#This Row],[Calendar_h]],"")</f>
        <v/>
      </c>
      <c r="J1984" s="60">
        <f>IF(AND(tblFleet[[#This Row],[Units]]&lt;&gt;"",tblFleet[[#This Row],[Available_h]]&gt;0),tblFleet[[#This Row],[Operating_h]]/tblFleet[[#This Row],[Available_h]],"")</f>
        <v/>
      </c>
    </row>
    <row r="1985">
      <c r="A1985" s="54" t="n"/>
      <c r="B1985" s="61" t="n"/>
      <c r="C1985" s="62" t="n"/>
      <c r="D1985" s="57" t="n"/>
      <c r="E1985" s="57" t="n"/>
      <c r="F1985" s="58" t="n"/>
      <c r="G1985" s="66">
        <f>IF(tblFleet[[#This Row],[Units]]="","",tblFleet[[#This Row],[Units]]*cfg_HoursPerDay)</f>
        <v/>
      </c>
      <c r="H1985" s="66">
        <f>IF(tblFleet[[#This Row],[Units]]="","",tblFleet[[#This Row],[Calendar_h]]-tblFleet[[#This Row],[Down_h]])</f>
        <v/>
      </c>
      <c r="I1985" s="60">
        <f>IF(AND(tblFleet[[#This Row],[Units]]&lt;&gt;"",tblFleet[[#This Row],[Calendar_h]]&gt;0),tblFleet[[#This Row],[Available_h]]/tblFleet[[#This Row],[Calendar_h]],"")</f>
        <v/>
      </c>
      <c r="J1985" s="60">
        <f>IF(AND(tblFleet[[#This Row],[Units]]&lt;&gt;"",tblFleet[[#This Row],[Available_h]]&gt;0),tblFleet[[#This Row],[Operating_h]]/tblFleet[[#This Row],[Available_h]],"")</f>
        <v/>
      </c>
    </row>
    <row r="1986">
      <c r="A1986" s="54" t="n"/>
      <c r="B1986" s="61" t="n"/>
      <c r="C1986" s="62" t="n"/>
      <c r="D1986" s="57" t="n"/>
      <c r="E1986" s="57" t="n"/>
      <c r="F1986" s="58" t="n"/>
      <c r="G1986" s="66">
        <f>IF(tblFleet[[#This Row],[Units]]="","",tblFleet[[#This Row],[Units]]*cfg_HoursPerDay)</f>
        <v/>
      </c>
      <c r="H1986" s="66">
        <f>IF(tblFleet[[#This Row],[Units]]="","",tblFleet[[#This Row],[Calendar_h]]-tblFleet[[#This Row],[Down_h]])</f>
        <v/>
      </c>
      <c r="I1986" s="60">
        <f>IF(AND(tblFleet[[#This Row],[Units]]&lt;&gt;"",tblFleet[[#This Row],[Calendar_h]]&gt;0),tblFleet[[#This Row],[Available_h]]/tblFleet[[#This Row],[Calendar_h]],"")</f>
        <v/>
      </c>
      <c r="J1986" s="60">
        <f>IF(AND(tblFleet[[#This Row],[Units]]&lt;&gt;"",tblFleet[[#This Row],[Available_h]]&gt;0),tblFleet[[#This Row],[Operating_h]]/tblFleet[[#This Row],[Available_h]],"")</f>
        <v/>
      </c>
    </row>
    <row r="1987">
      <c r="A1987" s="54" t="n"/>
      <c r="B1987" s="61" t="n"/>
      <c r="C1987" s="62" t="n"/>
      <c r="D1987" s="57" t="n"/>
      <c r="E1987" s="57" t="n"/>
      <c r="F1987" s="58" t="n"/>
      <c r="G1987" s="66">
        <f>IF(tblFleet[[#This Row],[Units]]="","",tblFleet[[#This Row],[Units]]*cfg_HoursPerDay)</f>
        <v/>
      </c>
      <c r="H1987" s="66">
        <f>IF(tblFleet[[#This Row],[Units]]="","",tblFleet[[#This Row],[Calendar_h]]-tblFleet[[#This Row],[Down_h]])</f>
        <v/>
      </c>
      <c r="I1987" s="60">
        <f>IF(AND(tblFleet[[#This Row],[Units]]&lt;&gt;"",tblFleet[[#This Row],[Calendar_h]]&gt;0),tblFleet[[#This Row],[Available_h]]/tblFleet[[#This Row],[Calendar_h]],"")</f>
        <v/>
      </c>
      <c r="J1987" s="60">
        <f>IF(AND(tblFleet[[#This Row],[Units]]&lt;&gt;"",tblFleet[[#This Row],[Available_h]]&gt;0),tblFleet[[#This Row],[Operating_h]]/tblFleet[[#This Row],[Available_h]],"")</f>
        <v/>
      </c>
    </row>
    <row r="1988">
      <c r="A1988" s="54" t="n"/>
      <c r="B1988" s="61" t="n"/>
      <c r="C1988" s="62" t="n"/>
      <c r="D1988" s="57" t="n"/>
      <c r="E1988" s="57" t="n"/>
      <c r="F1988" s="58" t="n"/>
      <c r="G1988" s="66">
        <f>IF(tblFleet[[#This Row],[Units]]="","",tblFleet[[#This Row],[Units]]*cfg_HoursPerDay)</f>
        <v/>
      </c>
      <c r="H1988" s="66">
        <f>IF(tblFleet[[#This Row],[Units]]="","",tblFleet[[#This Row],[Calendar_h]]-tblFleet[[#This Row],[Down_h]])</f>
        <v/>
      </c>
      <c r="I1988" s="60">
        <f>IF(AND(tblFleet[[#This Row],[Units]]&lt;&gt;"",tblFleet[[#This Row],[Calendar_h]]&gt;0),tblFleet[[#This Row],[Available_h]]/tblFleet[[#This Row],[Calendar_h]],"")</f>
        <v/>
      </c>
      <c r="J1988" s="60">
        <f>IF(AND(tblFleet[[#This Row],[Units]]&lt;&gt;"",tblFleet[[#This Row],[Available_h]]&gt;0),tblFleet[[#This Row],[Operating_h]]/tblFleet[[#This Row],[Available_h]],"")</f>
        <v/>
      </c>
    </row>
    <row r="1989">
      <c r="A1989" s="54" t="n"/>
      <c r="B1989" s="61" t="n"/>
      <c r="C1989" s="62" t="n"/>
      <c r="D1989" s="57" t="n"/>
      <c r="E1989" s="57" t="n"/>
      <c r="F1989" s="58" t="n"/>
      <c r="G1989" s="66">
        <f>IF(tblFleet[[#This Row],[Units]]="","",tblFleet[[#This Row],[Units]]*cfg_HoursPerDay)</f>
        <v/>
      </c>
      <c r="H1989" s="66">
        <f>IF(tblFleet[[#This Row],[Units]]="","",tblFleet[[#This Row],[Calendar_h]]-tblFleet[[#This Row],[Down_h]])</f>
        <v/>
      </c>
      <c r="I1989" s="60">
        <f>IF(AND(tblFleet[[#This Row],[Units]]&lt;&gt;"",tblFleet[[#This Row],[Calendar_h]]&gt;0),tblFleet[[#This Row],[Available_h]]/tblFleet[[#This Row],[Calendar_h]],"")</f>
        <v/>
      </c>
      <c r="J1989" s="60">
        <f>IF(AND(tblFleet[[#This Row],[Units]]&lt;&gt;"",tblFleet[[#This Row],[Available_h]]&gt;0),tblFleet[[#This Row],[Operating_h]]/tblFleet[[#This Row],[Available_h]],"")</f>
        <v/>
      </c>
    </row>
    <row r="1990">
      <c r="A1990" s="54" t="n"/>
      <c r="B1990" s="61" t="n"/>
      <c r="C1990" s="62" t="n"/>
      <c r="D1990" s="57" t="n"/>
      <c r="E1990" s="57" t="n"/>
      <c r="F1990" s="58" t="n"/>
      <c r="G1990" s="66">
        <f>IF(tblFleet[[#This Row],[Units]]="","",tblFleet[[#This Row],[Units]]*cfg_HoursPerDay)</f>
        <v/>
      </c>
      <c r="H1990" s="66">
        <f>IF(tblFleet[[#This Row],[Units]]="","",tblFleet[[#This Row],[Calendar_h]]-tblFleet[[#This Row],[Down_h]])</f>
        <v/>
      </c>
      <c r="I1990" s="60">
        <f>IF(AND(tblFleet[[#This Row],[Units]]&lt;&gt;"",tblFleet[[#This Row],[Calendar_h]]&gt;0),tblFleet[[#This Row],[Available_h]]/tblFleet[[#This Row],[Calendar_h]],"")</f>
        <v/>
      </c>
      <c r="J1990" s="60">
        <f>IF(AND(tblFleet[[#This Row],[Units]]&lt;&gt;"",tblFleet[[#This Row],[Available_h]]&gt;0),tblFleet[[#This Row],[Operating_h]]/tblFleet[[#This Row],[Available_h]],"")</f>
        <v/>
      </c>
    </row>
    <row r="1991">
      <c r="A1991" s="54" t="n"/>
      <c r="B1991" s="61" t="n"/>
      <c r="C1991" s="62" t="n"/>
      <c r="D1991" s="57" t="n"/>
      <c r="E1991" s="57" t="n"/>
      <c r="F1991" s="58" t="n"/>
      <c r="G1991" s="66">
        <f>IF(tblFleet[[#This Row],[Units]]="","",tblFleet[[#This Row],[Units]]*cfg_HoursPerDay)</f>
        <v/>
      </c>
      <c r="H1991" s="66">
        <f>IF(tblFleet[[#This Row],[Units]]="","",tblFleet[[#This Row],[Calendar_h]]-tblFleet[[#This Row],[Down_h]])</f>
        <v/>
      </c>
      <c r="I1991" s="60">
        <f>IF(AND(tblFleet[[#This Row],[Units]]&lt;&gt;"",tblFleet[[#This Row],[Calendar_h]]&gt;0),tblFleet[[#This Row],[Available_h]]/tblFleet[[#This Row],[Calendar_h]],"")</f>
        <v/>
      </c>
      <c r="J1991" s="60">
        <f>IF(AND(tblFleet[[#This Row],[Units]]&lt;&gt;"",tblFleet[[#This Row],[Available_h]]&gt;0),tblFleet[[#This Row],[Operating_h]]/tblFleet[[#This Row],[Available_h]],"")</f>
        <v/>
      </c>
    </row>
    <row r="1992">
      <c r="A1992" s="54" t="n"/>
      <c r="B1992" s="61" t="n"/>
      <c r="C1992" s="62" t="n"/>
      <c r="D1992" s="57" t="n"/>
      <c r="E1992" s="57" t="n"/>
      <c r="F1992" s="58" t="n"/>
      <c r="G1992" s="66">
        <f>IF(tblFleet[[#This Row],[Units]]="","",tblFleet[[#This Row],[Units]]*cfg_HoursPerDay)</f>
        <v/>
      </c>
      <c r="H1992" s="66">
        <f>IF(tblFleet[[#This Row],[Units]]="","",tblFleet[[#This Row],[Calendar_h]]-tblFleet[[#This Row],[Down_h]])</f>
        <v/>
      </c>
      <c r="I1992" s="60">
        <f>IF(AND(tblFleet[[#This Row],[Units]]&lt;&gt;"",tblFleet[[#This Row],[Calendar_h]]&gt;0),tblFleet[[#This Row],[Available_h]]/tblFleet[[#This Row],[Calendar_h]],"")</f>
        <v/>
      </c>
      <c r="J1992" s="60">
        <f>IF(AND(tblFleet[[#This Row],[Units]]&lt;&gt;"",tblFleet[[#This Row],[Available_h]]&gt;0),tblFleet[[#This Row],[Operating_h]]/tblFleet[[#This Row],[Available_h]],"")</f>
        <v/>
      </c>
    </row>
    <row r="1993">
      <c r="A1993" s="54" t="n"/>
      <c r="B1993" s="61" t="n"/>
      <c r="C1993" s="62" t="n"/>
      <c r="D1993" s="57" t="n"/>
      <c r="E1993" s="57" t="n"/>
      <c r="F1993" s="58" t="n"/>
      <c r="G1993" s="66">
        <f>IF(tblFleet[[#This Row],[Units]]="","",tblFleet[[#This Row],[Units]]*cfg_HoursPerDay)</f>
        <v/>
      </c>
      <c r="H1993" s="66">
        <f>IF(tblFleet[[#This Row],[Units]]="","",tblFleet[[#This Row],[Calendar_h]]-tblFleet[[#This Row],[Down_h]])</f>
        <v/>
      </c>
      <c r="I1993" s="60">
        <f>IF(AND(tblFleet[[#This Row],[Units]]&lt;&gt;"",tblFleet[[#This Row],[Calendar_h]]&gt;0),tblFleet[[#This Row],[Available_h]]/tblFleet[[#This Row],[Calendar_h]],"")</f>
        <v/>
      </c>
      <c r="J1993" s="60">
        <f>IF(AND(tblFleet[[#This Row],[Units]]&lt;&gt;"",tblFleet[[#This Row],[Available_h]]&gt;0),tblFleet[[#This Row],[Operating_h]]/tblFleet[[#This Row],[Available_h]],"")</f>
        <v/>
      </c>
    </row>
    <row r="1994">
      <c r="A1994" s="54" t="n"/>
      <c r="B1994" s="61" t="n"/>
      <c r="C1994" s="62" t="n"/>
      <c r="D1994" s="57" t="n"/>
      <c r="E1994" s="57" t="n"/>
      <c r="F1994" s="58" t="n"/>
      <c r="G1994" s="66">
        <f>IF(tblFleet[[#This Row],[Units]]="","",tblFleet[[#This Row],[Units]]*cfg_HoursPerDay)</f>
        <v/>
      </c>
      <c r="H1994" s="66">
        <f>IF(tblFleet[[#This Row],[Units]]="","",tblFleet[[#This Row],[Calendar_h]]-tblFleet[[#This Row],[Down_h]])</f>
        <v/>
      </c>
      <c r="I1994" s="60">
        <f>IF(AND(tblFleet[[#This Row],[Units]]&lt;&gt;"",tblFleet[[#This Row],[Calendar_h]]&gt;0),tblFleet[[#This Row],[Available_h]]/tblFleet[[#This Row],[Calendar_h]],"")</f>
        <v/>
      </c>
      <c r="J1994" s="60">
        <f>IF(AND(tblFleet[[#This Row],[Units]]&lt;&gt;"",tblFleet[[#This Row],[Available_h]]&gt;0),tblFleet[[#This Row],[Operating_h]]/tblFleet[[#This Row],[Available_h]],"")</f>
        <v/>
      </c>
    </row>
    <row r="1995">
      <c r="A1995" s="54" t="n"/>
      <c r="B1995" s="61" t="n"/>
      <c r="C1995" s="62" t="n"/>
      <c r="D1995" s="57" t="n"/>
      <c r="E1995" s="57" t="n"/>
      <c r="F1995" s="58" t="n"/>
      <c r="G1995" s="66">
        <f>IF(tblFleet[[#This Row],[Units]]="","",tblFleet[[#This Row],[Units]]*cfg_HoursPerDay)</f>
        <v/>
      </c>
      <c r="H1995" s="66">
        <f>IF(tblFleet[[#This Row],[Units]]="","",tblFleet[[#This Row],[Calendar_h]]-tblFleet[[#This Row],[Down_h]])</f>
        <v/>
      </c>
      <c r="I1995" s="60">
        <f>IF(AND(tblFleet[[#This Row],[Units]]&lt;&gt;"",tblFleet[[#This Row],[Calendar_h]]&gt;0),tblFleet[[#This Row],[Available_h]]/tblFleet[[#This Row],[Calendar_h]],"")</f>
        <v/>
      </c>
      <c r="J1995" s="60">
        <f>IF(AND(tblFleet[[#This Row],[Units]]&lt;&gt;"",tblFleet[[#This Row],[Available_h]]&gt;0),tblFleet[[#This Row],[Operating_h]]/tblFleet[[#This Row],[Available_h]],"")</f>
        <v/>
      </c>
    </row>
    <row r="1996">
      <c r="A1996" s="54" t="n"/>
      <c r="B1996" s="61" t="n"/>
      <c r="C1996" s="62" t="n"/>
      <c r="D1996" s="57" t="n"/>
      <c r="E1996" s="57" t="n"/>
      <c r="F1996" s="58" t="n"/>
      <c r="G1996" s="66">
        <f>IF(tblFleet[[#This Row],[Units]]="","",tblFleet[[#This Row],[Units]]*cfg_HoursPerDay)</f>
        <v/>
      </c>
      <c r="H1996" s="66">
        <f>IF(tblFleet[[#This Row],[Units]]="","",tblFleet[[#This Row],[Calendar_h]]-tblFleet[[#This Row],[Down_h]])</f>
        <v/>
      </c>
      <c r="I1996" s="60">
        <f>IF(AND(tblFleet[[#This Row],[Units]]&lt;&gt;"",tblFleet[[#This Row],[Calendar_h]]&gt;0),tblFleet[[#This Row],[Available_h]]/tblFleet[[#This Row],[Calendar_h]],"")</f>
        <v/>
      </c>
      <c r="J1996" s="60">
        <f>IF(AND(tblFleet[[#This Row],[Units]]&lt;&gt;"",tblFleet[[#This Row],[Available_h]]&gt;0),tblFleet[[#This Row],[Operating_h]]/tblFleet[[#This Row],[Available_h]],"")</f>
        <v/>
      </c>
    </row>
    <row r="1997">
      <c r="A1997" s="54" t="n"/>
      <c r="B1997" s="61" t="n"/>
      <c r="C1997" s="62" t="n"/>
      <c r="D1997" s="57" t="n"/>
      <c r="E1997" s="57" t="n"/>
      <c r="F1997" s="58" t="n"/>
      <c r="G1997" s="66">
        <f>IF(tblFleet[[#This Row],[Units]]="","",tblFleet[[#This Row],[Units]]*cfg_HoursPerDay)</f>
        <v/>
      </c>
      <c r="H1997" s="66">
        <f>IF(tblFleet[[#This Row],[Units]]="","",tblFleet[[#This Row],[Calendar_h]]-tblFleet[[#This Row],[Down_h]])</f>
        <v/>
      </c>
      <c r="I1997" s="60">
        <f>IF(AND(tblFleet[[#This Row],[Units]]&lt;&gt;"",tblFleet[[#This Row],[Calendar_h]]&gt;0),tblFleet[[#This Row],[Available_h]]/tblFleet[[#This Row],[Calendar_h]],"")</f>
        <v/>
      </c>
      <c r="J1997" s="60">
        <f>IF(AND(tblFleet[[#This Row],[Units]]&lt;&gt;"",tblFleet[[#This Row],[Available_h]]&gt;0),tblFleet[[#This Row],[Operating_h]]/tblFleet[[#This Row],[Available_h]],"")</f>
        <v/>
      </c>
    </row>
    <row r="1998">
      <c r="A1998" s="54" t="n"/>
      <c r="B1998" s="61" t="n"/>
      <c r="C1998" s="62" t="n"/>
      <c r="D1998" s="57" t="n"/>
      <c r="E1998" s="57" t="n"/>
      <c r="F1998" s="58" t="n"/>
      <c r="G1998" s="66">
        <f>IF(tblFleet[[#This Row],[Units]]="","",tblFleet[[#This Row],[Units]]*cfg_HoursPerDay)</f>
        <v/>
      </c>
      <c r="H1998" s="66">
        <f>IF(tblFleet[[#This Row],[Units]]="","",tblFleet[[#This Row],[Calendar_h]]-tblFleet[[#This Row],[Down_h]])</f>
        <v/>
      </c>
      <c r="I1998" s="60">
        <f>IF(AND(tblFleet[[#This Row],[Units]]&lt;&gt;"",tblFleet[[#This Row],[Calendar_h]]&gt;0),tblFleet[[#This Row],[Available_h]]/tblFleet[[#This Row],[Calendar_h]],"")</f>
        <v/>
      </c>
      <c r="J1998" s="60">
        <f>IF(AND(tblFleet[[#This Row],[Units]]&lt;&gt;"",tblFleet[[#This Row],[Available_h]]&gt;0),tblFleet[[#This Row],[Operating_h]]/tblFleet[[#This Row],[Available_h]],"")</f>
        <v/>
      </c>
    </row>
    <row r="1999">
      <c r="A1999" s="54" t="n"/>
      <c r="B1999" s="61" t="n"/>
      <c r="C1999" s="62" t="n"/>
      <c r="D1999" s="57" t="n"/>
      <c r="E1999" s="57" t="n"/>
      <c r="F1999" s="58" t="n"/>
      <c r="G1999" s="66">
        <f>IF(tblFleet[[#This Row],[Units]]="","",tblFleet[[#This Row],[Units]]*cfg_HoursPerDay)</f>
        <v/>
      </c>
      <c r="H1999" s="66">
        <f>IF(tblFleet[[#This Row],[Units]]="","",tblFleet[[#This Row],[Calendar_h]]-tblFleet[[#This Row],[Down_h]])</f>
        <v/>
      </c>
      <c r="I1999" s="60">
        <f>IF(AND(tblFleet[[#This Row],[Units]]&lt;&gt;"",tblFleet[[#This Row],[Calendar_h]]&gt;0),tblFleet[[#This Row],[Available_h]]/tblFleet[[#This Row],[Calendar_h]],"")</f>
        <v/>
      </c>
      <c r="J1999" s="60">
        <f>IF(AND(tblFleet[[#This Row],[Units]]&lt;&gt;"",tblFleet[[#This Row],[Available_h]]&gt;0),tblFleet[[#This Row],[Operating_h]]/tblFleet[[#This Row],[Available_h]],"")</f>
        <v/>
      </c>
    </row>
    <row r="2000">
      <c r="A2000" s="54" t="n"/>
      <c r="B2000" s="61" t="n"/>
      <c r="C2000" s="62" t="n"/>
      <c r="D2000" s="57" t="n"/>
      <c r="E2000" s="57" t="n"/>
      <c r="F2000" s="58" t="n"/>
      <c r="G2000" s="66">
        <f>IF(tblFleet[[#This Row],[Units]]="","",tblFleet[[#This Row],[Units]]*cfg_HoursPerDay)</f>
        <v/>
      </c>
      <c r="H2000" s="66">
        <f>IF(tblFleet[[#This Row],[Units]]="","",tblFleet[[#This Row],[Calendar_h]]-tblFleet[[#This Row],[Down_h]])</f>
        <v/>
      </c>
      <c r="I2000" s="60">
        <f>IF(AND(tblFleet[[#This Row],[Units]]&lt;&gt;"",tblFleet[[#This Row],[Calendar_h]]&gt;0),tblFleet[[#This Row],[Available_h]]/tblFleet[[#This Row],[Calendar_h]],"")</f>
        <v/>
      </c>
      <c r="J2000" s="60">
        <f>IF(AND(tblFleet[[#This Row],[Units]]&lt;&gt;"",tblFleet[[#This Row],[Available_h]]&gt;0),tblFleet[[#This Row],[Operating_h]]/tblFleet[[#This Row],[Available_h]],"")</f>
        <v/>
      </c>
    </row>
    <row r="2001">
      <c r="A2001" s="54" t="n"/>
      <c r="B2001" s="61" t="n"/>
      <c r="C2001" s="62" t="n"/>
      <c r="D2001" s="57" t="n"/>
      <c r="E2001" s="57" t="n"/>
      <c r="F2001" s="58" t="n"/>
      <c r="G2001" s="66">
        <f>IF(tblFleet[[#This Row],[Units]]="","",tblFleet[[#This Row],[Units]]*cfg_HoursPerDay)</f>
        <v/>
      </c>
      <c r="H2001" s="66">
        <f>IF(tblFleet[[#This Row],[Units]]="","",tblFleet[[#This Row],[Calendar_h]]-tblFleet[[#This Row],[Down_h]])</f>
        <v/>
      </c>
      <c r="I2001" s="60">
        <f>IF(AND(tblFleet[[#This Row],[Units]]&lt;&gt;"",tblFleet[[#This Row],[Calendar_h]]&gt;0),tblFleet[[#This Row],[Available_h]]/tblFleet[[#This Row],[Calendar_h]],"")</f>
        <v/>
      </c>
      <c r="J2001" s="60">
        <f>IF(AND(tblFleet[[#This Row],[Units]]&lt;&gt;"",tblFleet[[#This Row],[Available_h]]&gt;0),tblFleet[[#This Row],[Operating_h]]/tblFleet[[#This Row],[Available_h]],"")</f>
        <v/>
      </c>
    </row>
    <row r="2002">
      <c r="A2002" s="54" t="n"/>
      <c r="B2002" s="61" t="n"/>
      <c r="C2002" s="62" t="n"/>
      <c r="D2002" s="57" t="n"/>
      <c r="E2002" s="57" t="n"/>
      <c r="F2002" s="58" t="n"/>
      <c r="G2002" s="66">
        <f>IF(tblFleet[[#This Row],[Units]]="","",tblFleet[[#This Row],[Units]]*cfg_HoursPerDay)</f>
        <v/>
      </c>
      <c r="H2002" s="66">
        <f>IF(tblFleet[[#This Row],[Units]]="","",tblFleet[[#This Row],[Calendar_h]]-tblFleet[[#This Row],[Down_h]])</f>
        <v/>
      </c>
      <c r="I2002" s="60">
        <f>IF(AND(tblFleet[[#This Row],[Units]]&lt;&gt;"",tblFleet[[#This Row],[Calendar_h]]&gt;0),tblFleet[[#This Row],[Available_h]]/tblFleet[[#This Row],[Calendar_h]],"")</f>
        <v/>
      </c>
      <c r="J2002" s="60">
        <f>IF(AND(tblFleet[[#This Row],[Units]]&lt;&gt;"",tblFleet[[#This Row],[Available_h]]&gt;0),tblFleet[[#This Row],[Operating_h]]/tblFleet[[#This Row],[Available_h]],"")</f>
        <v/>
      </c>
    </row>
    <row r="2003">
      <c r="A2003" s="54" t="n"/>
      <c r="B2003" s="61" t="n"/>
      <c r="C2003" s="62" t="n"/>
      <c r="D2003" s="57" t="n"/>
      <c r="E2003" s="57" t="n"/>
      <c r="F2003" s="58" t="n"/>
      <c r="G2003" s="66">
        <f>IF(tblFleet[[#This Row],[Units]]="","",tblFleet[[#This Row],[Units]]*cfg_HoursPerDay)</f>
        <v/>
      </c>
      <c r="H2003" s="66">
        <f>IF(tblFleet[[#This Row],[Units]]="","",tblFleet[[#This Row],[Calendar_h]]-tblFleet[[#This Row],[Down_h]])</f>
        <v/>
      </c>
      <c r="I2003" s="60">
        <f>IF(AND(tblFleet[[#This Row],[Units]]&lt;&gt;"",tblFleet[[#This Row],[Calendar_h]]&gt;0),tblFleet[[#This Row],[Available_h]]/tblFleet[[#This Row],[Calendar_h]],"")</f>
        <v/>
      </c>
      <c r="J2003" s="60">
        <f>IF(AND(tblFleet[[#This Row],[Units]]&lt;&gt;"",tblFleet[[#This Row],[Available_h]]&gt;0),tblFleet[[#This Row],[Operating_h]]/tblFleet[[#This Row],[Available_h]],"")</f>
        <v/>
      </c>
    </row>
    <row r="2004">
      <c r="A2004" s="54" t="n"/>
      <c r="B2004" s="61" t="n"/>
      <c r="C2004" s="62" t="n"/>
      <c r="D2004" s="57" t="n"/>
      <c r="E2004" s="57" t="n"/>
      <c r="F2004" s="58" t="n"/>
      <c r="G2004" s="66">
        <f>IF(tblFleet[[#This Row],[Units]]="","",tblFleet[[#This Row],[Units]]*cfg_HoursPerDay)</f>
        <v/>
      </c>
      <c r="H2004" s="66">
        <f>IF(tblFleet[[#This Row],[Units]]="","",tblFleet[[#This Row],[Calendar_h]]-tblFleet[[#This Row],[Down_h]])</f>
        <v/>
      </c>
      <c r="I2004" s="60">
        <f>IF(AND(tblFleet[[#This Row],[Units]]&lt;&gt;"",tblFleet[[#This Row],[Calendar_h]]&gt;0),tblFleet[[#This Row],[Available_h]]/tblFleet[[#This Row],[Calendar_h]],"")</f>
        <v/>
      </c>
      <c r="J2004" s="60">
        <f>IF(AND(tblFleet[[#This Row],[Units]]&lt;&gt;"",tblFleet[[#This Row],[Available_h]]&gt;0),tblFleet[[#This Row],[Operating_h]]/tblFleet[[#This Row],[Available_h]],"")</f>
        <v/>
      </c>
    </row>
    <row r="2005">
      <c r="A2005" s="54" t="n"/>
      <c r="B2005" s="61" t="n"/>
      <c r="C2005" s="62" t="n"/>
      <c r="D2005" s="57" t="n"/>
      <c r="E2005" s="57" t="n"/>
      <c r="F2005" s="58" t="n"/>
      <c r="G2005" s="66">
        <f>IF(tblFleet[[#This Row],[Units]]="","",tblFleet[[#This Row],[Units]]*cfg_HoursPerDay)</f>
        <v/>
      </c>
      <c r="H2005" s="66">
        <f>IF(tblFleet[[#This Row],[Units]]="","",tblFleet[[#This Row],[Calendar_h]]-tblFleet[[#This Row],[Down_h]])</f>
        <v/>
      </c>
      <c r="I2005" s="60">
        <f>IF(AND(tblFleet[[#This Row],[Units]]&lt;&gt;"",tblFleet[[#This Row],[Calendar_h]]&gt;0),tblFleet[[#This Row],[Available_h]]/tblFleet[[#This Row],[Calendar_h]],"")</f>
        <v/>
      </c>
      <c r="J2005" s="60">
        <f>IF(AND(tblFleet[[#This Row],[Units]]&lt;&gt;"",tblFleet[[#This Row],[Available_h]]&gt;0),tblFleet[[#This Row],[Operating_h]]/tblFleet[[#This Row],[Available_h]],"")</f>
        <v/>
      </c>
    </row>
    <row r="2006">
      <c r="A2006" s="54" t="n"/>
      <c r="B2006" s="61" t="n"/>
      <c r="C2006" s="62" t="n"/>
      <c r="D2006" s="57" t="n"/>
      <c r="E2006" s="57" t="n"/>
      <c r="F2006" s="58" t="n"/>
      <c r="G2006" s="66">
        <f>IF(tblFleet[[#This Row],[Units]]="","",tblFleet[[#This Row],[Units]]*cfg_HoursPerDay)</f>
        <v/>
      </c>
      <c r="H2006" s="66">
        <f>IF(tblFleet[[#This Row],[Units]]="","",tblFleet[[#This Row],[Calendar_h]]-tblFleet[[#This Row],[Down_h]])</f>
        <v/>
      </c>
      <c r="I2006" s="60">
        <f>IF(AND(tblFleet[[#This Row],[Units]]&lt;&gt;"",tblFleet[[#This Row],[Calendar_h]]&gt;0),tblFleet[[#This Row],[Available_h]]/tblFleet[[#This Row],[Calendar_h]],"")</f>
        <v/>
      </c>
      <c r="J2006" s="60">
        <f>IF(AND(tblFleet[[#This Row],[Units]]&lt;&gt;"",tblFleet[[#This Row],[Available_h]]&gt;0),tblFleet[[#This Row],[Operating_h]]/tblFleet[[#This Row],[Available_h]],"")</f>
        <v/>
      </c>
    </row>
    <row r="2007">
      <c r="A2007" s="54" t="n"/>
      <c r="B2007" s="61" t="n"/>
      <c r="C2007" s="62" t="n"/>
      <c r="D2007" s="57" t="n"/>
      <c r="E2007" s="57" t="n"/>
      <c r="F2007" s="58" t="n"/>
      <c r="G2007" s="66">
        <f>IF(tblFleet[[#This Row],[Units]]="","",tblFleet[[#This Row],[Units]]*cfg_HoursPerDay)</f>
        <v/>
      </c>
      <c r="H2007" s="66">
        <f>IF(tblFleet[[#This Row],[Units]]="","",tblFleet[[#This Row],[Calendar_h]]-tblFleet[[#This Row],[Down_h]])</f>
        <v/>
      </c>
      <c r="I2007" s="60">
        <f>IF(AND(tblFleet[[#This Row],[Units]]&lt;&gt;"",tblFleet[[#This Row],[Calendar_h]]&gt;0),tblFleet[[#This Row],[Available_h]]/tblFleet[[#This Row],[Calendar_h]],"")</f>
        <v/>
      </c>
      <c r="J2007" s="60">
        <f>IF(AND(tblFleet[[#This Row],[Units]]&lt;&gt;"",tblFleet[[#This Row],[Available_h]]&gt;0),tblFleet[[#This Row],[Operating_h]]/tblFleet[[#This Row],[Available_h]],"")</f>
        <v/>
      </c>
    </row>
    <row r="2008">
      <c r="A2008" s="54" t="n"/>
      <c r="B2008" s="61" t="n"/>
      <c r="C2008" s="62" t="n"/>
      <c r="D2008" s="57" t="n"/>
      <c r="E2008" s="57" t="n"/>
      <c r="F2008" s="58" t="n"/>
      <c r="G2008" s="66">
        <f>IF(tblFleet[[#This Row],[Units]]="","",tblFleet[[#This Row],[Units]]*cfg_HoursPerDay)</f>
        <v/>
      </c>
      <c r="H2008" s="66">
        <f>IF(tblFleet[[#This Row],[Units]]="","",tblFleet[[#This Row],[Calendar_h]]-tblFleet[[#This Row],[Down_h]])</f>
        <v/>
      </c>
      <c r="I2008" s="60">
        <f>IF(AND(tblFleet[[#This Row],[Units]]&lt;&gt;"",tblFleet[[#This Row],[Calendar_h]]&gt;0),tblFleet[[#This Row],[Available_h]]/tblFleet[[#This Row],[Calendar_h]],"")</f>
        <v/>
      </c>
      <c r="J2008" s="60">
        <f>IF(AND(tblFleet[[#This Row],[Units]]&lt;&gt;"",tblFleet[[#This Row],[Available_h]]&gt;0),tblFleet[[#This Row],[Operating_h]]/tblFleet[[#This Row],[Available_h]],"")</f>
        <v/>
      </c>
    </row>
    <row r="2009">
      <c r="A2009" s="54" t="n"/>
      <c r="B2009" s="61" t="n"/>
      <c r="C2009" s="62" t="n"/>
      <c r="D2009" s="57" t="n"/>
      <c r="E2009" s="57" t="n"/>
      <c r="F2009" s="58" t="n"/>
      <c r="G2009" s="66">
        <f>IF(tblFleet[[#This Row],[Units]]="","",tblFleet[[#This Row],[Units]]*cfg_HoursPerDay)</f>
        <v/>
      </c>
      <c r="H2009" s="66">
        <f>IF(tblFleet[[#This Row],[Units]]="","",tblFleet[[#This Row],[Calendar_h]]-tblFleet[[#This Row],[Down_h]])</f>
        <v/>
      </c>
      <c r="I2009" s="60">
        <f>IF(AND(tblFleet[[#This Row],[Units]]&lt;&gt;"",tblFleet[[#This Row],[Calendar_h]]&gt;0),tblFleet[[#This Row],[Available_h]]/tblFleet[[#This Row],[Calendar_h]],"")</f>
        <v/>
      </c>
      <c r="J2009" s="60">
        <f>IF(AND(tblFleet[[#This Row],[Units]]&lt;&gt;"",tblFleet[[#This Row],[Available_h]]&gt;0),tblFleet[[#This Row],[Operating_h]]/tblFleet[[#This Row],[Available_h]],"")</f>
        <v/>
      </c>
    </row>
    <row r="2010">
      <c r="A2010" s="54" t="n"/>
      <c r="B2010" s="61" t="n"/>
      <c r="C2010" s="62" t="n"/>
      <c r="D2010" s="57" t="n"/>
      <c r="E2010" s="57" t="n"/>
      <c r="F2010" s="58" t="n"/>
      <c r="G2010" s="66">
        <f>IF(tblFleet[[#This Row],[Units]]="","",tblFleet[[#This Row],[Units]]*cfg_HoursPerDay)</f>
        <v/>
      </c>
      <c r="H2010" s="66">
        <f>IF(tblFleet[[#This Row],[Units]]="","",tblFleet[[#This Row],[Calendar_h]]-tblFleet[[#This Row],[Down_h]])</f>
        <v/>
      </c>
      <c r="I2010" s="60">
        <f>IF(AND(tblFleet[[#This Row],[Units]]&lt;&gt;"",tblFleet[[#This Row],[Calendar_h]]&gt;0),tblFleet[[#This Row],[Available_h]]/tblFleet[[#This Row],[Calendar_h]],"")</f>
        <v/>
      </c>
      <c r="J2010" s="60">
        <f>IF(AND(tblFleet[[#This Row],[Units]]&lt;&gt;"",tblFleet[[#This Row],[Available_h]]&gt;0),tblFleet[[#This Row],[Operating_h]]/tblFleet[[#This Row],[Available_h]],"")</f>
        <v/>
      </c>
    </row>
    <row r="2011">
      <c r="A2011" s="54" t="n"/>
      <c r="B2011" s="61" t="n"/>
      <c r="C2011" s="62" t="n"/>
      <c r="D2011" s="57" t="n"/>
      <c r="E2011" s="57" t="n"/>
      <c r="F2011" s="58" t="n"/>
      <c r="G2011" s="66">
        <f>IF(tblFleet[[#This Row],[Units]]="","",tblFleet[[#This Row],[Units]]*cfg_HoursPerDay)</f>
        <v/>
      </c>
      <c r="H2011" s="66">
        <f>IF(tblFleet[[#This Row],[Units]]="","",tblFleet[[#This Row],[Calendar_h]]-tblFleet[[#This Row],[Down_h]])</f>
        <v/>
      </c>
      <c r="I2011" s="60">
        <f>IF(AND(tblFleet[[#This Row],[Units]]&lt;&gt;"",tblFleet[[#This Row],[Calendar_h]]&gt;0),tblFleet[[#This Row],[Available_h]]/tblFleet[[#This Row],[Calendar_h]],"")</f>
        <v/>
      </c>
      <c r="J2011" s="60">
        <f>IF(AND(tblFleet[[#This Row],[Units]]&lt;&gt;"",tblFleet[[#This Row],[Available_h]]&gt;0),tblFleet[[#This Row],[Operating_h]]/tblFleet[[#This Row],[Available_h]],"")</f>
        <v/>
      </c>
    </row>
    <row r="2012">
      <c r="A2012" s="54" t="n"/>
      <c r="B2012" s="61" t="n"/>
      <c r="C2012" s="62" t="n"/>
      <c r="D2012" s="57" t="n"/>
      <c r="E2012" s="57" t="n"/>
      <c r="F2012" s="58" t="n"/>
      <c r="G2012" s="66">
        <f>IF(tblFleet[[#This Row],[Units]]="","",tblFleet[[#This Row],[Units]]*cfg_HoursPerDay)</f>
        <v/>
      </c>
      <c r="H2012" s="66">
        <f>IF(tblFleet[[#This Row],[Units]]="","",tblFleet[[#This Row],[Calendar_h]]-tblFleet[[#This Row],[Down_h]])</f>
        <v/>
      </c>
      <c r="I2012" s="60">
        <f>IF(AND(tblFleet[[#This Row],[Units]]&lt;&gt;"",tblFleet[[#This Row],[Calendar_h]]&gt;0),tblFleet[[#This Row],[Available_h]]/tblFleet[[#This Row],[Calendar_h]],"")</f>
        <v/>
      </c>
      <c r="J2012" s="60">
        <f>IF(AND(tblFleet[[#This Row],[Units]]&lt;&gt;"",tblFleet[[#This Row],[Available_h]]&gt;0),tblFleet[[#This Row],[Operating_h]]/tblFleet[[#This Row],[Available_h]],"")</f>
        <v/>
      </c>
    </row>
    <row r="2013">
      <c r="A2013" s="54" t="n"/>
      <c r="B2013" s="61" t="n"/>
      <c r="C2013" s="62" t="n"/>
      <c r="D2013" s="57" t="n"/>
      <c r="E2013" s="57" t="n"/>
      <c r="F2013" s="58" t="n"/>
      <c r="G2013" s="66">
        <f>IF(tblFleet[[#This Row],[Units]]="","",tblFleet[[#This Row],[Units]]*cfg_HoursPerDay)</f>
        <v/>
      </c>
      <c r="H2013" s="66">
        <f>IF(tblFleet[[#This Row],[Units]]="","",tblFleet[[#This Row],[Calendar_h]]-tblFleet[[#This Row],[Down_h]])</f>
        <v/>
      </c>
      <c r="I2013" s="60">
        <f>IF(AND(tblFleet[[#This Row],[Units]]&lt;&gt;"",tblFleet[[#This Row],[Calendar_h]]&gt;0),tblFleet[[#This Row],[Available_h]]/tblFleet[[#This Row],[Calendar_h]],"")</f>
        <v/>
      </c>
      <c r="J2013" s="60">
        <f>IF(AND(tblFleet[[#This Row],[Units]]&lt;&gt;"",tblFleet[[#This Row],[Available_h]]&gt;0),tblFleet[[#This Row],[Operating_h]]/tblFleet[[#This Row],[Available_h]],"")</f>
        <v/>
      </c>
    </row>
    <row r="2014">
      <c r="A2014" s="54" t="n"/>
      <c r="B2014" s="61" t="n"/>
      <c r="C2014" s="62" t="n"/>
      <c r="D2014" s="57" t="n"/>
      <c r="E2014" s="57" t="n"/>
      <c r="F2014" s="58" t="n"/>
      <c r="G2014" s="66">
        <f>IF(tblFleet[[#This Row],[Units]]="","",tblFleet[[#This Row],[Units]]*cfg_HoursPerDay)</f>
        <v/>
      </c>
      <c r="H2014" s="66">
        <f>IF(tblFleet[[#This Row],[Units]]="","",tblFleet[[#This Row],[Calendar_h]]-tblFleet[[#This Row],[Down_h]])</f>
        <v/>
      </c>
      <c r="I2014" s="60">
        <f>IF(AND(tblFleet[[#This Row],[Units]]&lt;&gt;"",tblFleet[[#This Row],[Calendar_h]]&gt;0),tblFleet[[#This Row],[Available_h]]/tblFleet[[#This Row],[Calendar_h]],"")</f>
        <v/>
      </c>
      <c r="J2014" s="60">
        <f>IF(AND(tblFleet[[#This Row],[Units]]&lt;&gt;"",tblFleet[[#This Row],[Available_h]]&gt;0),tblFleet[[#This Row],[Operating_h]]/tblFleet[[#This Row],[Available_h]],"")</f>
        <v/>
      </c>
    </row>
    <row r="2015">
      <c r="A2015" s="54" t="n"/>
      <c r="B2015" s="61" t="n"/>
      <c r="C2015" s="62" t="n"/>
      <c r="D2015" s="57" t="n"/>
      <c r="E2015" s="57" t="n"/>
      <c r="F2015" s="58" t="n"/>
      <c r="G2015" s="66">
        <f>IF(tblFleet[[#This Row],[Units]]="","",tblFleet[[#This Row],[Units]]*cfg_HoursPerDay)</f>
        <v/>
      </c>
      <c r="H2015" s="66">
        <f>IF(tblFleet[[#This Row],[Units]]="","",tblFleet[[#This Row],[Calendar_h]]-tblFleet[[#This Row],[Down_h]])</f>
        <v/>
      </c>
      <c r="I2015" s="60">
        <f>IF(AND(tblFleet[[#This Row],[Units]]&lt;&gt;"",tblFleet[[#This Row],[Calendar_h]]&gt;0),tblFleet[[#This Row],[Available_h]]/tblFleet[[#This Row],[Calendar_h]],"")</f>
        <v/>
      </c>
      <c r="J2015" s="60">
        <f>IF(AND(tblFleet[[#This Row],[Units]]&lt;&gt;"",tblFleet[[#This Row],[Available_h]]&gt;0),tblFleet[[#This Row],[Operating_h]]/tblFleet[[#This Row],[Available_h]],"")</f>
        <v/>
      </c>
    </row>
    <row r="2016">
      <c r="A2016" s="54" t="n"/>
      <c r="B2016" s="61" t="n"/>
      <c r="C2016" s="62" t="n"/>
      <c r="D2016" s="57" t="n"/>
      <c r="E2016" s="57" t="n"/>
      <c r="F2016" s="58" t="n"/>
      <c r="G2016" s="66">
        <f>IF(tblFleet[[#This Row],[Units]]="","",tblFleet[[#This Row],[Units]]*cfg_HoursPerDay)</f>
        <v/>
      </c>
      <c r="H2016" s="66">
        <f>IF(tblFleet[[#This Row],[Units]]="","",tblFleet[[#This Row],[Calendar_h]]-tblFleet[[#This Row],[Down_h]])</f>
        <v/>
      </c>
      <c r="I2016" s="60">
        <f>IF(AND(tblFleet[[#This Row],[Units]]&lt;&gt;"",tblFleet[[#This Row],[Calendar_h]]&gt;0),tblFleet[[#This Row],[Available_h]]/tblFleet[[#This Row],[Calendar_h]],"")</f>
        <v/>
      </c>
      <c r="J2016" s="60">
        <f>IF(AND(tblFleet[[#This Row],[Units]]&lt;&gt;"",tblFleet[[#This Row],[Available_h]]&gt;0),tblFleet[[#This Row],[Operating_h]]/tblFleet[[#This Row],[Available_h]],"")</f>
        <v/>
      </c>
    </row>
    <row r="2017">
      <c r="A2017" s="54" t="n"/>
      <c r="B2017" s="61" t="n"/>
      <c r="C2017" s="62" t="n"/>
      <c r="D2017" s="57" t="n"/>
      <c r="E2017" s="57" t="n"/>
      <c r="F2017" s="58" t="n"/>
      <c r="G2017" s="66">
        <f>IF(tblFleet[[#This Row],[Units]]="","",tblFleet[[#This Row],[Units]]*cfg_HoursPerDay)</f>
        <v/>
      </c>
      <c r="H2017" s="66">
        <f>IF(tblFleet[[#This Row],[Units]]="","",tblFleet[[#This Row],[Calendar_h]]-tblFleet[[#This Row],[Down_h]])</f>
        <v/>
      </c>
      <c r="I2017" s="60">
        <f>IF(AND(tblFleet[[#This Row],[Units]]&lt;&gt;"",tblFleet[[#This Row],[Calendar_h]]&gt;0),tblFleet[[#This Row],[Available_h]]/tblFleet[[#This Row],[Calendar_h]],"")</f>
        <v/>
      </c>
      <c r="J2017" s="60">
        <f>IF(AND(tblFleet[[#This Row],[Units]]&lt;&gt;"",tblFleet[[#This Row],[Available_h]]&gt;0),tblFleet[[#This Row],[Operating_h]]/tblFleet[[#This Row],[Available_h]],"")</f>
        <v/>
      </c>
    </row>
    <row r="2018">
      <c r="A2018" s="54" t="n"/>
      <c r="B2018" s="61" t="n"/>
      <c r="C2018" s="62" t="n"/>
      <c r="D2018" s="57" t="n"/>
      <c r="E2018" s="57" t="n"/>
      <c r="F2018" s="58" t="n"/>
      <c r="G2018" s="66">
        <f>IF(tblFleet[[#This Row],[Units]]="","",tblFleet[[#This Row],[Units]]*cfg_HoursPerDay)</f>
        <v/>
      </c>
      <c r="H2018" s="66">
        <f>IF(tblFleet[[#This Row],[Units]]="","",tblFleet[[#This Row],[Calendar_h]]-tblFleet[[#This Row],[Down_h]])</f>
        <v/>
      </c>
      <c r="I2018" s="60">
        <f>IF(AND(tblFleet[[#This Row],[Units]]&lt;&gt;"",tblFleet[[#This Row],[Calendar_h]]&gt;0),tblFleet[[#This Row],[Available_h]]/tblFleet[[#This Row],[Calendar_h]],"")</f>
        <v/>
      </c>
      <c r="J2018" s="60">
        <f>IF(AND(tblFleet[[#This Row],[Units]]&lt;&gt;"",tblFleet[[#This Row],[Available_h]]&gt;0),tblFleet[[#This Row],[Operating_h]]/tblFleet[[#This Row],[Available_h]],"")</f>
        <v/>
      </c>
    </row>
    <row r="2019">
      <c r="A2019" s="54" t="n"/>
      <c r="B2019" s="61" t="n"/>
      <c r="C2019" s="62" t="n"/>
      <c r="D2019" s="57" t="n"/>
      <c r="E2019" s="57" t="n"/>
      <c r="F2019" s="58" t="n"/>
      <c r="G2019" s="66">
        <f>IF(tblFleet[[#This Row],[Units]]="","",tblFleet[[#This Row],[Units]]*cfg_HoursPerDay)</f>
        <v/>
      </c>
      <c r="H2019" s="66">
        <f>IF(tblFleet[[#This Row],[Units]]="","",tblFleet[[#This Row],[Calendar_h]]-tblFleet[[#This Row],[Down_h]])</f>
        <v/>
      </c>
      <c r="I2019" s="60">
        <f>IF(AND(tblFleet[[#This Row],[Units]]&lt;&gt;"",tblFleet[[#This Row],[Calendar_h]]&gt;0),tblFleet[[#This Row],[Available_h]]/tblFleet[[#This Row],[Calendar_h]],"")</f>
        <v/>
      </c>
      <c r="J2019" s="60">
        <f>IF(AND(tblFleet[[#This Row],[Units]]&lt;&gt;"",tblFleet[[#This Row],[Available_h]]&gt;0),tblFleet[[#This Row],[Operating_h]]/tblFleet[[#This Row],[Available_h]],"")</f>
        <v/>
      </c>
    </row>
    <row r="2020">
      <c r="A2020" s="54" t="n"/>
      <c r="B2020" s="61" t="n"/>
      <c r="C2020" s="62" t="n"/>
      <c r="D2020" s="57" t="n"/>
      <c r="E2020" s="57" t="n"/>
      <c r="F2020" s="58" t="n"/>
      <c r="G2020" s="66">
        <f>IF(tblFleet[[#This Row],[Units]]="","",tblFleet[[#This Row],[Units]]*cfg_HoursPerDay)</f>
        <v/>
      </c>
      <c r="H2020" s="66">
        <f>IF(tblFleet[[#This Row],[Units]]="","",tblFleet[[#This Row],[Calendar_h]]-tblFleet[[#This Row],[Down_h]])</f>
        <v/>
      </c>
      <c r="I2020" s="60">
        <f>IF(AND(tblFleet[[#This Row],[Units]]&lt;&gt;"",tblFleet[[#This Row],[Calendar_h]]&gt;0),tblFleet[[#This Row],[Available_h]]/tblFleet[[#This Row],[Calendar_h]],"")</f>
        <v/>
      </c>
      <c r="J2020" s="60">
        <f>IF(AND(tblFleet[[#This Row],[Units]]&lt;&gt;"",tblFleet[[#This Row],[Available_h]]&gt;0),tblFleet[[#This Row],[Operating_h]]/tblFleet[[#This Row],[Available_h]],"")</f>
        <v/>
      </c>
    </row>
    <row r="2021">
      <c r="A2021" s="54" t="n"/>
      <c r="B2021" s="61" t="n"/>
      <c r="C2021" s="62" t="n"/>
      <c r="D2021" s="57" t="n"/>
      <c r="E2021" s="57" t="n"/>
      <c r="F2021" s="58" t="n"/>
      <c r="G2021" s="66">
        <f>IF(tblFleet[[#This Row],[Units]]="","",tblFleet[[#This Row],[Units]]*cfg_HoursPerDay)</f>
        <v/>
      </c>
      <c r="H2021" s="66">
        <f>IF(tblFleet[[#This Row],[Units]]="","",tblFleet[[#This Row],[Calendar_h]]-tblFleet[[#This Row],[Down_h]])</f>
        <v/>
      </c>
      <c r="I2021" s="60">
        <f>IF(AND(tblFleet[[#This Row],[Units]]&lt;&gt;"",tblFleet[[#This Row],[Calendar_h]]&gt;0),tblFleet[[#This Row],[Available_h]]/tblFleet[[#This Row],[Calendar_h]],"")</f>
        <v/>
      </c>
      <c r="J2021" s="60">
        <f>IF(AND(tblFleet[[#This Row],[Units]]&lt;&gt;"",tblFleet[[#This Row],[Available_h]]&gt;0),tblFleet[[#This Row],[Operating_h]]/tblFleet[[#This Row],[Available_h]],"")</f>
        <v/>
      </c>
    </row>
    <row r="2022">
      <c r="A2022" s="54" t="n"/>
      <c r="B2022" s="61" t="n"/>
      <c r="C2022" s="62" t="n"/>
      <c r="D2022" s="57" t="n"/>
      <c r="E2022" s="57" t="n"/>
      <c r="F2022" s="58" t="n"/>
      <c r="G2022" s="66">
        <f>IF(tblFleet[[#This Row],[Units]]="","",tblFleet[[#This Row],[Units]]*cfg_HoursPerDay)</f>
        <v/>
      </c>
      <c r="H2022" s="66">
        <f>IF(tblFleet[[#This Row],[Units]]="","",tblFleet[[#This Row],[Calendar_h]]-tblFleet[[#This Row],[Down_h]])</f>
        <v/>
      </c>
      <c r="I2022" s="60">
        <f>IF(AND(tblFleet[[#This Row],[Units]]&lt;&gt;"",tblFleet[[#This Row],[Calendar_h]]&gt;0),tblFleet[[#This Row],[Available_h]]/tblFleet[[#This Row],[Calendar_h]],"")</f>
        <v/>
      </c>
      <c r="J2022" s="60">
        <f>IF(AND(tblFleet[[#This Row],[Units]]&lt;&gt;"",tblFleet[[#This Row],[Available_h]]&gt;0),tblFleet[[#This Row],[Operating_h]]/tblFleet[[#This Row],[Available_h]],"")</f>
        <v/>
      </c>
    </row>
    <row r="2023">
      <c r="A2023" s="54" t="n"/>
      <c r="B2023" s="61" t="n"/>
      <c r="C2023" s="62" t="n"/>
      <c r="D2023" s="57" t="n"/>
      <c r="E2023" s="57" t="n"/>
      <c r="F2023" s="58" t="n"/>
      <c r="G2023" s="66">
        <f>IF(tblFleet[[#This Row],[Units]]="","",tblFleet[[#This Row],[Units]]*cfg_HoursPerDay)</f>
        <v/>
      </c>
      <c r="H2023" s="66">
        <f>IF(tblFleet[[#This Row],[Units]]="","",tblFleet[[#This Row],[Calendar_h]]-tblFleet[[#This Row],[Down_h]])</f>
        <v/>
      </c>
      <c r="I2023" s="60">
        <f>IF(AND(tblFleet[[#This Row],[Units]]&lt;&gt;"",tblFleet[[#This Row],[Calendar_h]]&gt;0),tblFleet[[#This Row],[Available_h]]/tblFleet[[#This Row],[Calendar_h]],"")</f>
        <v/>
      </c>
      <c r="J2023" s="60">
        <f>IF(AND(tblFleet[[#This Row],[Units]]&lt;&gt;"",tblFleet[[#This Row],[Available_h]]&gt;0),tblFleet[[#This Row],[Operating_h]]/tblFleet[[#This Row],[Available_h]],"")</f>
        <v/>
      </c>
    </row>
    <row r="2024">
      <c r="A2024" s="54" t="n"/>
      <c r="B2024" s="61" t="n"/>
      <c r="C2024" s="62" t="n"/>
      <c r="D2024" s="57" t="n"/>
      <c r="E2024" s="57" t="n"/>
      <c r="F2024" s="58" t="n"/>
      <c r="G2024" s="66">
        <f>IF(tblFleet[[#This Row],[Units]]="","",tblFleet[[#This Row],[Units]]*cfg_HoursPerDay)</f>
        <v/>
      </c>
      <c r="H2024" s="66">
        <f>IF(tblFleet[[#This Row],[Units]]="","",tblFleet[[#This Row],[Calendar_h]]-tblFleet[[#This Row],[Down_h]])</f>
        <v/>
      </c>
      <c r="I2024" s="60">
        <f>IF(AND(tblFleet[[#This Row],[Units]]&lt;&gt;"",tblFleet[[#This Row],[Calendar_h]]&gt;0),tblFleet[[#This Row],[Available_h]]/tblFleet[[#This Row],[Calendar_h]],"")</f>
        <v/>
      </c>
      <c r="J2024" s="60">
        <f>IF(AND(tblFleet[[#This Row],[Units]]&lt;&gt;"",tblFleet[[#This Row],[Available_h]]&gt;0),tblFleet[[#This Row],[Operating_h]]/tblFleet[[#This Row],[Available_h]],"")</f>
        <v/>
      </c>
    </row>
    <row r="2025">
      <c r="A2025" s="54" t="n"/>
      <c r="B2025" s="61" t="n"/>
      <c r="C2025" s="62" t="n"/>
      <c r="D2025" s="57" t="n"/>
      <c r="E2025" s="57" t="n"/>
      <c r="F2025" s="58" t="n"/>
      <c r="G2025" s="66">
        <f>IF(tblFleet[[#This Row],[Units]]="","",tblFleet[[#This Row],[Units]]*cfg_HoursPerDay)</f>
        <v/>
      </c>
      <c r="H2025" s="66">
        <f>IF(tblFleet[[#This Row],[Units]]="","",tblFleet[[#This Row],[Calendar_h]]-tblFleet[[#This Row],[Down_h]])</f>
        <v/>
      </c>
      <c r="I2025" s="60">
        <f>IF(AND(tblFleet[[#This Row],[Units]]&lt;&gt;"",tblFleet[[#This Row],[Calendar_h]]&gt;0),tblFleet[[#This Row],[Available_h]]/tblFleet[[#This Row],[Calendar_h]],"")</f>
        <v/>
      </c>
      <c r="J2025" s="60">
        <f>IF(AND(tblFleet[[#This Row],[Units]]&lt;&gt;"",tblFleet[[#This Row],[Available_h]]&gt;0),tblFleet[[#This Row],[Operating_h]]/tblFleet[[#This Row],[Available_h]],"")</f>
        <v/>
      </c>
    </row>
    <row r="2026">
      <c r="A2026" s="54" t="n"/>
      <c r="B2026" s="61" t="n"/>
      <c r="C2026" s="62" t="n"/>
      <c r="D2026" s="57" t="n"/>
      <c r="E2026" s="57" t="n"/>
      <c r="F2026" s="58" t="n"/>
      <c r="G2026" s="66">
        <f>IF(tblFleet[[#This Row],[Units]]="","",tblFleet[[#This Row],[Units]]*cfg_HoursPerDay)</f>
        <v/>
      </c>
      <c r="H2026" s="66">
        <f>IF(tblFleet[[#This Row],[Units]]="","",tblFleet[[#This Row],[Calendar_h]]-tblFleet[[#This Row],[Down_h]])</f>
        <v/>
      </c>
      <c r="I2026" s="60">
        <f>IF(AND(tblFleet[[#This Row],[Units]]&lt;&gt;"",tblFleet[[#This Row],[Calendar_h]]&gt;0),tblFleet[[#This Row],[Available_h]]/tblFleet[[#This Row],[Calendar_h]],"")</f>
        <v/>
      </c>
      <c r="J2026" s="60">
        <f>IF(AND(tblFleet[[#This Row],[Units]]&lt;&gt;"",tblFleet[[#This Row],[Available_h]]&gt;0),tblFleet[[#This Row],[Operating_h]]/tblFleet[[#This Row],[Available_h]],"")</f>
        <v/>
      </c>
    </row>
    <row r="2027">
      <c r="A2027" s="54" t="n"/>
      <c r="B2027" s="61" t="n"/>
      <c r="C2027" s="62" t="n"/>
      <c r="D2027" s="57" t="n"/>
      <c r="E2027" s="57" t="n"/>
      <c r="F2027" s="58" t="n"/>
      <c r="G2027" s="66">
        <f>IF(tblFleet[[#This Row],[Units]]="","",tblFleet[[#This Row],[Units]]*cfg_HoursPerDay)</f>
        <v/>
      </c>
      <c r="H2027" s="66">
        <f>IF(tblFleet[[#This Row],[Units]]="","",tblFleet[[#This Row],[Calendar_h]]-tblFleet[[#This Row],[Down_h]])</f>
        <v/>
      </c>
      <c r="I2027" s="60">
        <f>IF(AND(tblFleet[[#This Row],[Units]]&lt;&gt;"",tblFleet[[#This Row],[Calendar_h]]&gt;0),tblFleet[[#This Row],[Available_h]]/tblFleet[[#This Row],[Calendar_h]],"")</f>
        <v/>
      </c>
      <c r="J2027" s="60">
        <f>IF(AND(tblFleet[[#This Row],[Units]]&lt;&gt;"",tblFleet[[#This Row],[Available_h]]&gt;0),tblFleet[[#This Row],[Operating_h]]/tblFleet[[#This Row],[Available_h]],"")</f>
        <v/>
      </c>
    </row>
    <row r="2028">
      <c r="A2028" s="54" t="n"/>
      <c r="B2028" s="61" t="n"/>
      <c r="C2028" s="62" t="n"/>
      <c r="D2028" s="57" t="n"/>
      <c r="E2028" s="57" t="n"/>
      <c r="F2028" s="58" t="n"/>
      <c r="G2028" s="66">
        <f>IF(tblFleet[[#This Row],[Units]]="","",tblFleet[[#This Row],[Units]]*cfg_HoursPerDay)</f>
        <v/>
      </c>
      <c r="H2028" s="66">
        <f>IF(tblFleet[[#This Row],[Units]]="","",tblFleet[[#This Row],[Calendar_h]]-tblFleet[[#This Row],[Down_h]])</f>
        <v/>
      </c>
      <c r="I2028" s="60">
        <f>IF(AND(tblFleet[[#This Row],[Units]]&lt;&gt;"",tblFleet[[#This Row],[Calendar_h]]&gt;0),tblFleet[[#This Row],[Available_h]]/tblFleet[[#This Row],[Calendar_h]],"")</f>
        <v/>
      </c>
      <c r="J2028" s="60">
        <f>IF(AND(tblFleet[[#This Row],[Units]]&lt;&gt;"",tblFleet[[#This Row],[Available_h]]&gt;0),tblFleet[[#This Row],[Operating_h]]/tblFleet[[#This Row],[Available_h]],"")</f>
        <v/>
      </c>
    </row>
    <row r="2029">
      <c r="A2029" s="54" t="n"/>
      <c r="B2029" s="61" t="n"/>
      <c r="C2029" s="62" t="n"/>
      <c r="D2029" s="57" t="n"/>
      <c r="E2029" s="57" t="n"/>
      <c r="F2029" s="58" t="n"/>
      <c r="G2029" s="66">
        <f>IF(tblFleet[[#This Row],[Units]]="","",tblFleet[[#This Row],[Units]]*cfg_HoursPerDay)</f>
        <v/>
      </c>
      <c r="H2029" s="66">
        <f>IF(tblFleet[[#This Row],[Units]]="","",tblFleet[[#This Row],[Calendar_h]]-tblFleet[[#This Row],[Down_h]])</f>
        <v/>
      </c>
      <c r="I2029" s="60">
        <f>IF(AND(tblFleet[[#This Row],[Units]]&lt;&gt;"",tblFleet[[#This Row],[Calendar_h]]&gt;0),tblFleet[[#This Row],[Available_h]]/tblFleet[[#This Row],[Calendar_h]],"")</f>
        <v/>
      </c>
      <c r="J2029" s="60">
        <f>IF(AND(tblFleet[[#This Row],[Units]]&lt;&gt;"",tblFleet[[#This Row],[Available_h]]&gt;0),tblFleet[[#This Row],[Operating_h]]/tblFleet[[#This Row],[Available_h]],"")</f>
        <v/>
      </c>
    </row>
    <row r="2030">
      <c r="A2030" s="54" t="n"/>
      <c r="B2030" s="61" t="n"/>
      <c r="C2030" s="62" t="n"/>
      <c r="D2030" s="57" t="n"/>
      <c r="E2030" s="57" t="n"/>
      <c r="F2030" s="58" t="n"/>
      <c r="G2030" s="66">
        <f>IF(tblFleet[[#This Row],[Units]]="","",tblFleet[[#This Row],[Units]]*cfg_HoursPerDay)</f>
        <v/>
      </c>
      <c r="H2030" s="66">
        <f>IF(tblFleet[[#This Row],[Units]]="","",tblFleet[[#This Row],[Calendar_h]]-tblFleet[[#This Row],[Down_h]])</f>
        <v/>
      </c>
      <c r="I2030" s="60">
        <f>IF(AND(tblFleet[[#This Row],[Units]]&lt;&gt;"",tblFleet[[#This Row],[Calendar_h]]&gt;0),tblFleet[[#This Row],[Available_h]]/tblFleet[[#This Row],[Calendar_h]],"")</f>
        <v/>
      </c>
      <c r="J2030" s="60">
        <f>IF(AND(tblFleet[[#This Row],[Units]]&lt;&gt;"",tblFleet[[#This Row],[Available_h]]&gt;0),tblFleet[[#This Row],[Operating_h]]/tblFleet[[#This Row],[Available_h]],"")</f>
        <v/>
      </c>
    </row>
    <row r="2031">
      <c r="A2031" s="54" t="n"/>
      <c r="B2031" s="61" t="n"/>
      <c r="C2031" s="62" t="n"/>
      <c r="D2031" s="57" t="n"/>
      <c r="E2031" s="57" t="n"/>
      <c r="F2031" s="58" t="n"/>
      <c r="G2031" s="66">
        <f>IF(tblFleet[[#This Row],[Units]]="","",tblFleet[[#This Row],[Units]]*cfg_HoursPerDay)</f>
        <v/>
      </c>
      <c r="H2031" s="66">
        <f>IF(tblFleet[[#This Row],[Units]]="","",tblFleet[[#This Row],[Calendar_h]]-tblFleet[[#This Row],[Down_h]])</f>
        <v/>
      </c>
      <c r="I2031" s="60">
        <f>IF(AND(tblFleet[[#This Row],[Units]]&lt;&gt;"",tblFleet[[#This Row],[Calendar_h]]&gt;0),tblFleet[[#This Row],[Available_h]]/tblFleet[[#This Row],[Calendar_h]],"")</f>
        <v/>
      </c>
      <c r="J2031" s="60">
        <f>IF(AND(tblFleet[[#This Row],[Units]]&lt;&gt;"",tblFleet[[#This Row],[Available_h]]&gt;0),tblFleet[[#This Row],[Operating_h]]/tblFleet[[#This Row],[Available_h]],"")</f>
        <v/>
      </c>
    </row>
    <row r="2032">
      <c r="A2032" s="54" t="n"/>
      <c r="B2032" s="61" t="n"/>
      <c r="C2032" s="62" t="n"/>
      <c r="D2032" s="57" t="n"/>
      <c r="E2032" s="57" t="n"/>
      <c r="F2032" s="58" t="n"/>
      <c r="G2032" s="66">
        <f>IF(tblFleet[[#This Row],[Units]]="","",tblFleet[[#This Row],[Units]]*cfg_HoursPerDay)</f>
        <v/>
      </c>
      <c r="H2032" s="66">
        <f>IF(tblFleet[[#This Row],[Units]]="","",tblFleet[[#This Row],[Calendar_h]]-tblFleet[[#This Row],[Down_h]])</f>
        <v/>
      </c>
      <c r="I2032" s="60">
        <f>IF(AND(tblFleet[[#This Row],[Units]]&lt;&gt;"",tblFleet[[#This Row],[Calendar_h]]&gt;0),tblFleet[[#This Row],[Available_h]]/tblFleet[[#This Row],[Calendar_h]],"")</f>
        <v/>
      </c>
      <c r="J2032" s="60">
        <f>IF(AND(tblFleet[[#This Row],[Units]]&lt;&gt;"",tblFleet[[#This Row],[Available_h]]&gt;0),tblFleet[[#This Row],[Operating_h]]/tblFleet[[#This Row],[Available_h]],"")</f>
        <v/>
      </c>
    </row>
    <row r="2033">
      <c r="A2033" s="54" t="n"/>
      <c r="B2033" s="61" t="n"/>
      <c r="C2033" s="62" t="n"/>
      <c r="D2033" s="57" t="n"/>
      <c r="E2033" s="57" t="n"/>
      <c r="F2033" s="58" t="n"/>
      <c r="G2033" s="66">
        <f>IF(tblFleet[[#This Row],[Units]]="","",tblFleet[[#This Row],[Units]]*cfg_HoursPerDay)</f>
        <v/>
      </c>
      <c r="H2033" s="66">
        <f>IF(tblFleet[[#This Row],[Units]]="","",tblFleet[[#This Row],[Calendar_h]]-tblFleet[[#This Row],[Down_h]])</f>
        <v/>
      </c>
      <c r="I2033" s="60">
        <f>IF(AND(tblFleet[[#This Row],[Units]]&lt;&gt;"",tblFleet[[#This Row],[Calendar_h]]&gt;0),tblFleet[[#This Row],[Available_h]]/tblFleet[[#This Row],[Calendar_h]],"")</f>
        <v/>
      </c>
      <c r="J2033" s="60">
        <f>IF(AND(tblFleet[[#This Row],[Units]]&lt;&gt;"",tblFleet[[#This Row],[Available_h]]&gt;0),tblFleet[[#This Row],[Operating_h]]/tblFleet[[#This Row],[Available_h]],"")</f>
        <v/>
      </c>
    </row>
    <row r="2034">
      <c r="A2034" s="54" t="n"/>
      <c r="B2034" s="61" t="n"/>
      <c r="C2034" s="62" t="n"/>
      <c r="D2034" s="57" t="n"/>
      <c r="E2034" s="57" t="n"/>
      <c r="F2034" s="58" t="n"/>
      <c r="G2034" s="66">
        <f>IF(tblFleet[[#This Row],[Units]]="","",tblFleet[[#This Row],[Units]]*cfg_HoursPerDay)</f>
        <v/>
      </c>
      <c r="H2034" s="66">
        <f>IF(tblFleet[[#This Row],[Units]]="","",tblFleet[[#This Row],[Calendar_h]]-tblFleet[[#This Row],[Down_h]])</f>
        <v/>
      </c>
      <c r="I2034" s="60">
        <f>IF(AND(tblFleet[[#This Row],[Units]]&lt;&gt;"",tblFleet[[#This Row],[Calendar_h]]&gt;0),tblFleet[[#This Row],[Available_h]]/tblFleet[[#This Row],[Calendar_h]],"")</f>
        <v/>
      </c>
      <c r="J2034" s="60">
        <f>IF(AND(tblFleet[[#This Row],[Units]]&lt;&gt;"",tblFleet[[#This Row],[Available_h]]&gt;0),tblFleet[[#This Row],[Operating_h]]/tblFleet[[#This Row],[Available_h]],"")</f>
        <v/>
      </c>
    </row>
    <row r="2035">
      <c r="A2035" s="54" t="n"/>
      <c r="B2035" s="61" t="n"/>
      <c r="C2035" s="62" t="n"/>
      <c r="D2035" s="57" t="n"/>
      <c r="E2035" s="57" t="n"/>
      <c r="F2035" s="58" t="n"/>
      <c r="G2035" s="66">
        <f>IF(tblFleet[[#This Row],[Units]]="","",tblFleet[[#This Row],[Units]]*cfg_HoursPerDay)</f>
        <v/>
      </c>
      <c r="H2035" s="66">
        <f>IF(tblFleet[[#This Row],[Units]]="","",tblFleet[[#This Row],[Calendar_h]]-tblFleet[[#This Row],[Down_h]])</f>
        <v/>
      </c>
      <c r="I2035" s="60">
        <f>IF(AND(tblFleet[[#This Row],[Units]]&lt;&gt;"",tblFleet[[#This Row],[Calendar_h]]&gt;0),tblFleet[[#This Row],[Available_h]]/tblFleet[[#This Row],[Calendar_h]],"")</f>
        <v/>
      </c>
      <c r="J2035" s="60">
        <f>IF(AND(tblFleet[[#This Row],[Units]]&lt;&gt;"",tblFleet[[#This Row],[Available_h]]&gt;0),tblFleet[[#This Row],[Operating_h]]/tblFleet[[#This Row],[Available_h]],"")</f>
        <v/>
      </c>
    </row>
    <row r="2036">
      <c r="A2036" s="54" t="n"/>
      <c r="B2036" s="61" t="n"/>
      <c r="C2036" s="62" t="n"/>
      <c r="D2036" s="57" t="n"/>
      <c r="E2036" s="57" t="n"/>
      <c r="F2036" s="58" t="n"/>
      <c r="G2036" s="66">
        <f>IF(tblFleet[[#This Row],[Units]]="","",tblFleet[[#This Row],[Units]]*cfg_HoursPerDay)</f>
        <v/>
      </c>
      <c r="H2036" s="66">
        <f>IF(tblFleet[[#This Row],[Units]]="","",tblFleet[[#This Row],[Calendar_h]]-tblFleet[[#This Row],[Down_h]])</f>
        <v/>
      </c>
      <c r="I2036" s="60">
        <f>IF(AND(tblFleet[[#This Row],[Units]]&lt;&gt;"",tblFleet[[#This Row],[Calendar_h]]&gt;0),tblFleet[[#This Row],[Available_h]]/tblFleet[[#This Row],[Calendar_h]],"")</f>
        <v/>
      </c>
      <c r="J2036" s="60">
        <f>IF(AND(tblFleet[[#This Row],[Units]]&lt;&gt;"",tblFleet[[#This Row],[Available_h]]&gt;0),tblFleet[[#This Row],[Operating_h]]/tblFleet[[#This Row],[Available_h]],"")</f>
        <v/>
      </c>
    </row>
    <row r="2037">
      <c r="A2037" s="54" t="n"/>
      <c r="B2037" s="61" t="n"/>
      <c r="C2037" s="62" t="n"/>
      <c r="D2037" s="57" t="n"/>
      <c r="E2037" s="57" t="n"/>
      <c r="F2037" s="58" t="n"/>
      <c r="G2037" s="66">
        <f>IF(tblFleet[[#This Row],[Units]]="","",tblFleet[[#This Row],[Units]]*cfg_HoursPerDay)</f>
        <v/>
      </c>
      <c r="H2037" s="66">
        <f>IF(tblFleet[[#This Row],[Units]]="","",tblFleet[[#This Row],[Calendar_h]]-tblFleet[[#This Row],[Down_h]])</f>
        <v/>
      </c>
      <c r="I2037" s="60">
        <f>IF(AND(tblFleet[[#This Row],[Units]]&lt;&gt;"",tblFleet[[#This Row],[Calendar_h]]&gt;0),tblFleet[[#This Row],[Available_h]]/tblFleet[[#This Row],[Calendar_h]],"")</f>
        <v/>
      </c>
      <c r="J2037" s="60">
        <f>IF(AND(tblFleet[[#This Row],[Units]]&lt;&gt;"",tblFleet[[#This Row],[Available_h]]&gt;0),tblFleet[[#This Row],[Operating_h]]/tblFleet[[#This Row],[Available_h]],"")</f>
        <v/>
      </c>
    </row>
    <row r="2038">
      <c r="A2038" s="54" t="n"/>
      <c r="B2038" s="61" t="n"/>
      <c r="C2038" s="62" t="n"/>
      <c r="D2038" s="57" t="n"/>
      <c r="E2038" s="57" t="n"/>
      <c r="F2038" s="58" t="n"/>
      <c r="G2038" s="66">
        <f>IF(tblFleet[[#This Row],[Units]]="","",tblFleet[[#This Row],[Units]]*cfg_HoursPerDay)</f>
        <v/>
      </c>
      <c r="H2038" s="66">
        <f>IF(tblFleet[[#This Row],[Units]]="","",tblFleet[[#This Row],[Calendar_h]]-tblFleet[[#This Row],[Down_h]])</f>
        <v/>
      </c>
      <c r="I2038" s="60">
        <f>IF(AND(tblFleet[[#This Row],[Units]]&lt;&gt;"",tblFleet[[#This Row],[Calendar_h]]&gt;0),tblFleet[[#This Row],[Available_h]]/tblFleet[[#This Row],[Calendar_h]],"")</f>
        <v/>
      </c>
      <c r="J2038" s="60">
        <f>IF(AND(tblFleet[[#This Row],[Units]]&lt;&gt;"",tblFleet[[#This Row],[Available_h]]&gt;0),tblFleet[[#This Row],[Operating_h]]/tblFleet[[#This Row],[Available_h]],"")</f>
        <v/>
      </c>
    </row>
    <row r="2039">
      <c r="A2039" s="54" t="n"/>
      <c r="B2039" s="61" t="n"/>
      <c r="C2039" s="62" t="n"/>
      <c r="D2039" s="57" t="n"/>
      <c r="E2039" s="57" t="n"/>
      <c r="F2039" s="58" t="n"/>
      <c r="G2039" s="66">
        <f>IF(tblFleet[[#This Row],[Units]]="","",tblFleet[[#This Row],[Units]]*cfg_HoursPerDay)</f>
        <v/>
      </c>
      <c r="H2039" s="66">
        <f>IF(tblFleet[[#This Row],[Units]]="","",tblFleet[[#This Row],[Calendar_h]]-tblFleet[[#This Row],[Down_h]])</f>
        <v/>
      </c>
      <c r="I2039" s="60">
        <f>IF(AND(tblFleet[[#This Row],[Units]]&lt;&gt;"",tblFleet[[#This Row],[Calendar_h]]&gt;0),tblFleet[[#This Row],[Available_h]]/tblFleet[[#This Row],[Calendar_h]],"")</f>
        <v/>
      </c>
      <c r="J2039" s="60">
        <f>IF(AND(tblFleet[[#This Row],[Units]]&lt;&gt;"",tblFleet[[#This Row],[Available_h]]&gt;0),tblFleet[[#This Row],[Operating_h]]/tblFleet[[#This Row],[Available_h]],"")</f>
        <v/>
      </c>
    </row>
    <row r="2040">
      <c r="A2040" s="54" t="n"/>
      <c r="B2040" s="61" t="n"/>
      <c r="C2040" s="62" t="n"/>
      <c r="D2040" s="57" t="n"/>
      <c r="E2040" s="57" t="n"/>
      <c r="F2040" s="58" t="n"/>
      <c r="G2040" s="66">
        <f>IF(tblFleet[[#This Row],[Units]]="","",tblFleet[[#This Row],[Units]]*cfg_HoursPerDay)</f>
        <v/>
      </c>
      <c r="H2040" s="66">
        <f>IF(tblFleet[[#This Row],[Units]]="","",tblFleet[[#This Row],[Calendar_h]]-tblFleet[[#This Row],[Down_h]])</f>
        <v/>
      </c>
      <c r="I2040" s="60">
        <f>IF(AND(tblFleet[[#This Row],[Units]]&lt;&gt;"",tblFleet[[#This Row],[Calendar_h]]&gt;0),tblFleet[[#This Row],[Available_h]]/tblFleet[[#This Row],[Calendar_h]],"")</f>
        <v/>
      </c>
      <c r="J2040" s="60">
        <f>IF(AND(tblFleet[[#This Row],[Units]]&lt;&gt;"",tblFleet[[#This Row],[Available_h]]&gt;0),tblFleet[[#This Row],[Operating_h]]/tblFleet[[#This Row],[Available_h]],"")</f>
        <v/>
      </c>
    </row>
    <row r="2041">
      <c r="A2041" s="54" t="n"/>
      <c r="B2041" s="61" t="n"/>
      <c r="C2041" s="62" t="n"/>
      <c r="D2041" s="57" t="n"/>
      <c r="E2041" s="57" t="n"/>
      <c r="F2041" s="58" t="n"/>
      <c r="G2041" s="66">
        <f>IF(tblFleet[[#This Row],[Units]]="","",tblFleet[[#This Row],[Units]]*cfg_HoursPerDay)</f>
        <v/>
      </c>
      <c r="H2041" s="66">
        <f>IF(tblFleet[[#This Row],[Units]]="","",tblFleet[[#This Row],[Calendar_h]]-tblFleet[[#This Row],[Down_h]])</f>
        <v/>
      </c>
      <c r="I2041" s="60">
        <f>IF(AND(tblFleet[[#This Row],[Units]]&lt;&gt;"",tblFleet[[#This Row],[Calendar_h]]&gt;0),tblFleet[[#This Row],[Available_h]]/tblFleet[[#This Row],[Calendar_h]],"")</f>
        <v/>
      </c>
      <c r="J2041" s="60">
        <f>IF(AND(tblFleet[[#This Row],[Units]]&lt;&gt;"",tblFleet[[#This Row],[Available_h]]&gt;0),tblFleet[[#This Row],[Operating_h]]/tblFleet[[#This Row],[Available_h]],"")</f>
        <v/>
      </c>
    </row>
    <row r="2042">
      <c r="A2042" s="54" t="n"/>
      <c r="B2042" s="61" t="n"/>
      <c r="C2042" s="62" t="n"/>
      <c r="D2042" s="57" t="n"/>
      <c r="E2042" s="57" t="n"/>
      <c r="F2042" s="58" t="n"/>
      <c r="G2042" s="66">
        <f>IF(tblFleet[[#This Row],[Units]]="","",tblFleet[[#This Row],[Units]]*cfg_HoursPerDay)</f>
        <v/>
      </c>
      <c r="H2042" s="66">
        <f>IF(tblFleet[[#This Row],[Units]]="","",tblFleet[[#This Row],[Calendar_h]]-tblFleet[[#This Row],[Down_h]])</f>
        <v/>
      </c>
      <c r="I2042" s="60">
        <f>IF(AND(tblFleet[[#This Row],[Units]]&lt;&gt;"",tblFleet[[#This Row],[Calendar_h]]&gt;0),tblFleet[[#This Row],[Available_h]]/tblFleet[[#This Row],[Calendar_h]],"")</f>
        <v/>
      </c>
      <c r="J2042" s="60">
        <f>IF(AND(tblFleet[[#This Row],[Units]]&lt;&gt;"",tblFleet[[#This Row],[Available_h]]&gt;0),tblFleet[[#This Row],[Operating_h]]/tblFleet[[#This Row],[Available_h]],"")</f>
        <v/>
      </c>
    </row>
    <row r="2043">
      <c r="A2043" s="54" t="n"/>
      <c r="B2043" s="61" t="n"/>
      <c r="C2043" s="62" t="n"/>
      <c r="D2043" s="57" t="n"/>
      <c r="E2043" s="57" t="n"/>
      <c r="F2043" s="58" t="n"/>
      <c r="G2043" s="66">
        <f>IF(tblFleet[[#This Row],[Units]]="","",tblFleet[[#This Row],[Units]]*cfg_HoursPerDay)</f>
        <v/>
      </c>
      <c r="H2043" s="66">
        <f>IF(tblFleet[[#This Row],[Units]]="","",tblFleet[[#This Row],[Calendar_h]]-tblFleet[[#This Row],[Down_h]])</f>
        <v/>
      </c>
      <c r="I2043" s="60">
        <f>IF(AND(tblFleet[[#This Row],[Units]]&lt;&gt;"",tblFleet[[#This Row],[Calendar_h]]&gt;0),tblFleet[[#This Row],[Available_h]]/tblFleet[[#This Row],[Calendar_h]],"")</f>
        <v/>
      </c>
      <c r="J2043" s="60">
        <f>IF(AND(tblFleet[[#This Row],[Units]]&lt;&gt;"",tblFleet[[#This Row],[Available_h]]&gt;0),tblFleet[[#This Row],[Operating_h]]/tblFleet[[#This Row],[Available_h]],"")</f>
        <v/>
      </c>
    </row>
    <row r="2044">
      <c r="A2044" s="54" t="n"/>
      <c r="B2044" s="61" t="n"/>
      <c r="C2044" s="62" t="n"/>
      <c r="D2044" s="57" t="n"/>
      <c r="E2044" s="57" t="n"/>
      <c r="F2044" s="58" t="n"/>
      <c r="G2044" s="66">
        <f>IF(tblFleet[[#This Row],[Units]]="","",tblFleet[[#This Row],[Units]]*cfg_HoursPerDay)</f>
        <v/>
      </c>
      <c r="H2044" s="66">
        <f>IF(tblFleet[[#This Row],[Units]]="","",tblFleet[[#This Row],[Calendar_h]]-tblFleet[[#This Row],[Down_h]])</f>
        <v/>
      </c>
      <c r="I2044" s="60">
        <f>IF(AND(tblFleet[[#This Row],[Units]]&lt;&gt;"",tblFleet[[#This Row],[Calendar_h]]&gt;0),tblFleet[[#This Row],[Available_h]]/tblFleet[[#This Row],[Calendar_h]],"")</f>
        <v/>
      </c>
      <c r="J2044" s="60">
        <f>IF(AND(tblFleet[[#This Row],[Units]]&lt;&gt;"",tblFleet[[#This Row],[Available_h]]&gt;0),tblFleet[[#This Row],[Operating_h]]/tblFleet[[#This Row],[Available_h]],"")</f>
        <v/>
      </c>
    </row>
    <row r="2045">
      <c r="A2045" s="54" t="n"/>
      <c r="B2045" s="61" t="n"/>
      <c r="C2045" s="62" t="n"/>
      <c r="D2045" s="57" t="n"/>
      <c r="E2045" s="57" t="n"/>
      <c r="F2045" s="58" t="n"/>
      <c r="G2045" s="66">
        <f>IF(tblFleet[[#This Row],[Units]]="","",tblFleet[[#This Row],[Units]]*cfg_HoursPerDay)</f>
        <v/>
      </c>
      <c r="H2045" s="66">
        <f>IF(tblFleet[[#This Row],[Units]]="","",tblFleet[[#This Row],[Calendar_h]]-tblFleet[[#This Row],[Down_h]])</f>
        <v/>
      </c>
      <c r="I2045" s="60">
        <f>IF(AND(tblFleet[[#This Row],[Units]]&lt;&gt;"",tblFleet[[#This Row],[Calendar_h]]&gt;0),tblFleet[[#This Row],[Available_h]]/tblFleet[[#This Row],[Calendar_h]],"")</f>
        <v/>
      </c>
      <c r="J2045" s="60">
        <f>IF(AND(tblFleet[[#This Row],[Units]]&lt;&gt;"",tblFleet[[#This Row],[Available_h]]&gt;0),tblFleet[[#This Row],[Operating_h]]/tblFleet[[#This Row],[Available_h]],"")</f>
        <v/>
      </c>
    </row>
    <row r="2046">
      <c r="A2046" s="54" t="n"/>
      <c r="B2046" s="61" t="n"/>
      <c r="C2046" s="62" t="n"/>
      <c r="D2046" s="57" t="n"/>
      <c r="E2046" s="57" t="n"/>
      <c r="F2046" s="58" t="n"/>
      <c r="G2046" s="66">
        <f>IF(tblFleet[[#This Row],[Units]]="","",tblFleet[[#This Row],[Units]]*cfg_HoursPerDay)</f>
        <v/>
      </c>
      <c r="H2046" s="66">
        <f>IF(tblFleet[[#This Row],[Units]]="","",tblFleet[[#This Row],[Calendar_h]]-tblFleet[[#This Row],[Down_h]])</f>
        <v/>
      </c>
      <c r="I2046" s="60">
        <f>IF(AND(tblFleet[[#This Row],[Units]]&lt;&gt;"",tblFleet[[#This Row],[Calendar_h]]&gt;0),tblFleet[[#This Row],[Available_h]]/tblFleet[[#This Row],[Calendar_h]],"")</f>
        <v/>
      </c>
      <c r="J2046" s="60">
        <f>IF(AND(tblFleet[[#This Row],[Units]]&lt;&gt;"",tblFleet[[#This Row],[Available_h]]&gt;0),tblFleet[[#This Row],[Operating_h]]/tblFleet[[#This Row],[Available_h]],"")</f>
        <v/>
      </c>
    </row>
    <row r="2047">
      <c r="A2047" s="54" t="n"/>
      <c r="B2047" s="61" t="n"/>
      <c r="C2047" s="62" t="n"/>
      <c r="D2047" s="57" t="n"/>
      <c r="E2047" s="57" t="n"/>
      <c r="F2047" s="58" t="n"/>
      <c r="G2047" s="66">
        <f>IF(tblFleet[[#This Row],[Units]]="","",tblFleet[[#This Row],[Units]]*cfg_HoursPerDay)</f>
        <v/>
      </c>
      <c r="H2047" s="66">
        <f>IF(tblFleet[[#This Row],[Units]]="","",tblFleet[[#This Row],[Calendar_h]]-tblFleet[[#This Row],[Down_h]])</f>
        <v/>
      </c>
      <c r="I2047" s="60">
        <f>IF(AND(tblFleet[[#This Row],[Units]]&lt;&gt;"",tblFleet[[#This Row],[Calendar_h]]&gt;0),tblFleet[[#This Row],[Available_h]]/tblFleet[[#This Row],[Calendar_h]],"")</f>
        <v/>
      </c>
      <c r="J2047" s="60">
        <f>IF(AND(tblFleet[[#This Row],[Units]]&lt;&gt;"",tblFleet[[#This Row],[Available_h]]&gt;0),tblFleet[[#This Row],[Operating_h]]/tblFleet[[#This Row],[Available_h]],"")</f>
        <v/>
      </c>
    </row>
    <row r="2048">
      <c r="A2048" s="54" t="n"/>
      <c r="B2048" s="61" t="n"/>
      <c r="C2048" s="62" t="n"/>
      <c r="D2048" s="57" t="n"/>
      <c r="E2048" s="57" t="n"/>
      <c r="F2048" s="58" t="n"/>
      <c r="G2048" s="66">
        <f>IF(tblFleet[[#This Row],[Units]]="","",tblFleet[[#This Row],[Units]]*cfg_HoursPerDay)</f>
        <v/>
      </c>
      <c r="H2048" s="66">
        <f>IF(tblFleet[[#This Row],[Units]]="","",tblFleet[[#This Row],[Calendar_h]]-tblFleet[[#This Row],[Down_h]])</f>
        <v/>
      </c>
      <c r="I2048" s="60">
        <f>IF(AND(tblFleet[[#This Row],[Units]]&lt;&gt;"",tblFleet[[#This Row],[Calendar_h]]&gt;0),tblFleet[[#This Row],[Available_h]]/tblFleet[[#This Row],[Calendar_h]],"")</f>
        <v/>
      </c>
      <c r="J2048" s="60">
        <f>IF(AND(tblFleet[[#This Row],[Units]]&lt;&gt;"",tblFleet[[#This Row],[Available_h]]&gt;0),tblFleet[[#This Row],[Operating_h]]/tblFleet[[#This Row],[Available_h]],"")</f>
        <v/>
      </c>
    </row>
    <row r="2049">
      <c r="A2049" s="54" t="n"/>
      <c r="B2049" s="61" t="n"/>
      <c r="C2049" s="62" t="n"/>
      <c r="D2049" s="57" t="n"/>
      <c r="E2049" s="57" t="n"/>
      <c r="F2049" s="58" t="n"/>
      <c r="G2049" s="66">
        <f>IF(tblFleet[[#This Row],[Units]]="","",tblFleet[[#This Row],[Units]]*cfg_HoursPerDay)</f>
        <v/>
      </c>
      <c r="H2049" s="66">
        <f>IF(tblFleet[[#This Row],[Units]]="","",tblFleet[[#This Row],[Calendar_h]]-tblFleet[[#This Row],[Down_h]])</f>
        <v/>
      </c>
      <c r="I2049" s="60">
        <f>IF(AND(tblFleet[[#This Row],[Units]]&lt;&gt;"",tblFleet[[#This Row],[Calendar_h]]&gt;0),tblFleet[[#This Row],[Available_h]]/tblFleet[[#This Row],[Calendar_h]],"")</f>
        <v/>
      </c>
      <c r="J2049" s="60">
        <f>IF(AND(tblFleet[[#This Row],[Units]]&lt;&gt;"",tblFleet[[#This Row],[Available_h]]&gt;0),tblFleet[[#This Row],[Operating_h]]/tblFleet[[#This Row],[Available_h]],"")</f>
        <v/>
      </c>
    </row>
    <row r="2050">
      <c r="A2050" s="54" t="n"/>
      <c r="B2050" s="61" t="n"/>
      <c r="C2050" s="62" t="n"/>
      <c r="D2050" s="57" t="n"/>
      <c r="E2050" s="57" t="n"/>
      <c r="F2050" s="58" t="n"/>
      <c r="G2050" s="66">
        <f>IF(tblFleet[[#This Row],[Units]]="","",tblFleet[[#This Row],[Units]]*cfg_HoursPerDay)</f>
        <v/>
      </c>
      <c r="H2050" s="66">
        <f>IF(tblFleet[[#This Row],[Units]]="","",tblFleet[[#This Row],[Calendar_h]]-tblFleet[[#This Row],[Down_h]])</f>
        <v/>
      </c>
      <c r="I2050" s="60">
        <f>IF(AND(tblFleet[[#This Row],[Units]]&lt;&gt;"",tblFleet[[#This Row],[Calendar_h]]&gt;0),tblFleet[[#This Row],[Available_h]]/tblFleet[[#This Row],[Calendar_h]],"")</f>
        <v/>
      </c>
      <c r="J2050" s="60">
        <f>IF(AND(tblFleet[[#This Row],[Units]]&lt;&gt;"",tblFleet[[#This Row],[Available_h]]&gt;0),tblFleet[[#This Row],[Operating_h]]/tblFleet[[#This Row],[Available_h]],"")</f>
        <v/>
      </c>
    </row>
    <row r="2051">
      <c r="A2051" s="54" t="n"/>
      <c r="B2051" s="61" t="n"/>
      <c r="C2051" s="62" t="n"/>
      <c r="D2051" s="57" t="n"/>
      <c r="E2051" s="57" t="n"/>
      <c r="F2051" s="58" t="n"/>
      <c r="G2051" s="66">
        <f>IF(tblFleet[[#This Row],[Units]]="","",tblFleet[[#This Row],[Units]]*cfg_HoursPerDay)</f>
        <v/>
      </c>
      <c r="H2051" s="66">
        <f>IF(tblFleet[[#This Row],[Units]]="","",tblFleet[[#This Row],[Calendar_h]]-tblFleet[[#This Row],[Down_h]])</f>
        <v/>
      </c>
      <c r="I2051" s="60">
        <f>IF(AND(tblFleet[[#This Row],[Units]]&lt;&gt;"",tblFleet[[#This Row],[Calendar_h]]&gt;0),tblFleet[[#This Row],[Available_h]]/tblFleet[[#This Row],[Calendar_h]],"")</f>
        <v/>
      </c>
      <c r="J2051" s="60">
        <f>IF(AND(tblFleet[[#This Row],[Units]]&lt;&gt;"",tblFleet[[#This Row],[Available_h]]&gt;0),tblFleet[[#This Row],[Operating_h]]/tblFleet[[#This Row],[Available_h]],"")</f>
        <v/>
      </c>
    </row>
    <row r="2052">
      <c r="A2052" s="54" t="n"/>
      <c r="B2052" s="61" t="n"/>
      <c r="C2052" s="62" t="n"/>
      <c r="D2052" s="57" t="n"/>
      <c r="E2052" s="57" t="n"/>
      <c r="F2052" s="58" t="n"/>
      <c r="G2052" s="66">
        <f>IF(tblFleet[[#This Row],[Units]]="","",tblFleet[[#This Row],[Units]]*cfg_HoursPerDay)</f>
        <v/>
      </c>
      <c r="H2052" s="66">
        <f>IF(tblFleet[[#This Row],[Units]]="","",tblFleet[[#This Row],[Calendar_h]]-tblFleet[[#This Row],[Down_h]])</f>
        <v/>
      </c>
      <c r="I2052" s="60">
        <f>IF(AND(tblFleet[[#This Row],[Units]]&lt;&gt;"",tblFleet[[#This Row],[Calendar_h]]&gt;0),tblFleet[[#This Row],[Available_h]]/tblFleet[[#This Row],[Calendar_h]],"")</f>
        <v/>
      </c>
      <c r="J2052" s="60">
        <f>IF(AND(tblFleet[[#This Row],[Units]]&lt;&gt;"",tblFleet[[#This Row],[Available_h]]&gt;0),tblFleet[[#This Row],[Operating_h]]/tblFleet[[#This Row],[Available_h]],"")</f>
        <v/>
      </c>
    </row>
    <row r="2053">
      <c r="A2053" s="54" t="n"/>
      <c r="B2053" s="61" t="n"/>
      <c r="C2053" s="62" t="n"/>
      <c r="D2053" s="57" t="n"/>
      <c r="E2053" s="57" t="n"/>
      <c r="F2053" s="58" t="n"/>
      <c r="G2053" s="66">
        <f>IF(tblFleet[[#This Row],[Units]]="","",tblFleet[[#This Row],[Units]]*cfg_HoursPerDay)</f>
        <v/>
      </c>
      <c r="H2053" s="66">
        <f>IF(tblFleet[[#This Row],[Units]]="","",tblFleet[[#This Row],[Calendar_h]]-tblFleet[[#This Row],[Down_h]])</f>
        <v/>
      </c>
      <c r="I2053" s="60">
        <f>IF(AND(tblFleet[[#This Row],[Units]]&lt;&gt;"",tblFleet[[#This Row],[Calendar_h]]&gt;0),tblFleet[[#This Row],[Available_h]]/tblFleet[[#This Row],[Calendar_h]],"")</f>
        <v/>
      </c>
      <c r="J2053" s="60">
        <f>IF(AND(tblFleet[[#This Row],[Units]]&lt;&gt;"",tblFleet[[#This Row],[Available_h]]&gt;0),tblFleet[[#This Row],[Operating_h]]/tblFleet[[#This Row],[Available_h]],"")</f>
        <v/>
      </c>
    </row>
    <row r="2054">
      <c r="A2054" s="54" t="n"/>
      <c r="B2054" s="61" t="n"/>
      <c r="C2054" s="62" t="n"/>
      <c r="D2054" s="57" t="n"/>
      <c r="E2054" s="57" t="n"/>
      <c r="F2054" s="58" t="n"/>
      <c r="G2054" s="66">
        <f>IF(tblFleet[[#This Row],[Units]]="","",tblFleet[[#This Row],[Units]]*cfg_HoursPerDay)</f>
        <v/>
      </c>
      <c r="H2054" s="66">
        <f>IF(tblFleet[[#This Row],[Units]]="","",tblFleet[[#This Row],[Calendar_h]]-tblFleet[[#This Row],[Down_h]])</f>
        <v/>
      </c>
      <c r="I2054" s="60">
        <f>IF(AND(tblFleet[[#This Row],[Units]]&lt;&gt;"",tblFleet[[#This Row],[Calendar_h]]&gt;0),tblFleet[[#This Row],[Available_h]]/tblFleet[[#This Row],[Calendar_h]],"")</f>
        <v/>
      </c>
      <c r="J2054" s="60">
        <f>IF(AND(tblFleet[[#This Row],[Units]]&lt;&gt;"",tblFleet[[#This Row],[Available_h]]&gt;0),tblFleet[[#This Row],[Operating_h]]/tblFleet[[#This Row],[Available_h]],"")</f>
        <v/>
      </c>
    </row>
    <row r="2055">
      <c r="A2055" s="54" t="n"/>
      <c r="B2055" s="61" t="n"/>
      <c r="C2055" s="62" t="n"/>
      <c r="D2055" s="57" t="n"/>
      <c r="E2055" s="57" t="n"/>
      <c r="F2055" s="58" t="n"/>
      <c r="G2055" s="66">
        <f>IF(tblFleet[[#This Row],[Units]]="","",tblFleet[[#This Row],[Units]]*cfg_HoursPerDay)</f>
        <v/>
      </c>
      <c r="H2055" s="66">
        <f>IF(tblFleet[[#This Row],[Units]]="","",tblFleet[[#This Row],[Calendar_h]]-tblFleet[[#This Row],[Down_h]])</f>
        <v/>
      </c>
      <c r="I2055" s="60">
        <f>IF(AND(tblFleet[[#This Row],[Units]]&lt;&gt;"",tblFleet[[#This Row],[Calendar_h]]&gt;0),tblFleet[[#This Row],[Available_h]]/tblFleet[[#This Row],[Calendar_h]],"")</f>
        <v/>
      </c>
      <c r="J2055" s="60">
        <f>IF(AND(tblFleet[[#This Row],[Units]]&lt;&gt;"",tblFleet[[#This Row],[Available_h]]&gt;0),tblFleet[[#This Row],[Operating_h]]/tblFleet[[#This Row],[Available_h]],"")</f>
        <v/>
      </c>
    </row>
    <row r="2056">
      <c r="A2056" s="54" t="n"/>
      <c r="B2056" s="61" t="n"/>
      <c r="C2056" s="62" t="n"/>
      <c r="D2056" s="57" t="n"/>
      <c r="E2056" s="57" t="n"/>
      <c r="F2056" s="58" t="n"/>
      <c r="G2056" s="66">
        <f>IF(tblFleet[[#This Row],[Units]]="","",tblFleet[[#This Row],[Units]]*cfg_HoursPerDay)</f>
        <v/>
      </c>
      <c r="H2056" s="66">
        <f>IF(tblFleet[[#This Row],[Units]]="","",tblFleet[[#This Row],[Calendar_h]]-tblFleet[[#This Row],[Down_h]])</f>
        <v/>
      </c>
      <c r="I2056" s="60">
        <f>IF(AND(tblFleet[[#This Row],[Units]]&lt;&gt;"",tblFleet[[#This Row],[Calendar_h]]&gt;0),tblFleet[[#This Row],[Available_h]]/tblFleet[[#This Row],[Calendar_h]],"")</f>
        <v/>
      </c>
      <c r="J2056" s="60">
        <f>IF(AND(tblFleet[[#This Row],[Units]]&lt;&gt;"",tblFleet[[#This Row],[Available_h]]&gt;0),tblFleet[[#This Row],[Operating_h]]/tblFleet[[#This Row],[Available_h]],"")</f>
        <v/>
      </c>
    </row>
    <row r="2057">
      <c r="A2057" s="54" t="n"/>
      <c r="B2057" s="61" t="n"/>
      <c r="C2057" s="62" t="n"/>
      <c r="D2057" s="57" t="n"/>
      <c r="E2057" s="57" t="n"/>
      <c r="F2057" s="58" t="n"/>
      <c r="G2057" s="66">
        <f>IF(tblFleet[[#This Row],[Units]]="","",tblFleet[[#This Row],[Units]]*cfg_HoursPerDay)</f>
        <v/>
      </c>
      <c r="H2057" s="66">
        <f>IF(tblFleet[[#This Row],[Units]]="","",tblFleet[[#This Row],[Calendar_h]]-tblFleet[[#This Row],[Down_h]])</f>
        <v/>
      </c>
      <c r="I2057" s="60">
        <f>IF(AND(tblFleet[[#This Row],[Units]]&lt;&gt;"",tblFleet[[#This Row],[Calendar_h]]&gt;0),tblFleet[[#This Row],[Available_h]]/tblFleet[[#This Row],[Calendar_h]],"")</f>
        <v/>
      </c>
      <c r="J2057" s="60">
        <f>IF(AND(tblFleet[[#This Row],[Units]]&lt;&gt;"",tblFleet[[#This Row],[Available_h]]&gt;0),tblFleet[[#This Row],[Operating_h]]/tblFleet[[#This Row],[Available_h]],"")</f>
        <v/>
      </c>
    </row>
    <row r="2058">
      <c r="A2058" s="54" t="n"/>
      <c r="B2058" s="61" t="n"/>
      <c r="C2058" s="62" t="n"/>
      <c r="D2058" s="57" t="n"/>
      <c r="E2058" s="57" t="n"/>
      <c r="F2058" s="58" t="n"/>
      <c r="G2058" s="66">
        <f>IF(tblFleet[[#This Row],[Units]]="","",tblFleet[[#This Row],[Units]]*cfg_HoursPerDay)</f>
        <v/>
      </c>
      <c r="H2058" s="66">
        <f>IF(tblFleet[[#This Row],[Units]]="","",tblFleet[[#This Row],[Calendar_h]]-tblFleet[[#This Row],[Down_h]])</f>
        <v/>
      </c>
      <c r="I2058" s="60">
        <f>IF(AND(tblFleet[[#This Row],[Units]]&lt;&gt;"",tblFleet[[#This Row],[Calendar_h]]&gt;0),tblFleet[[#This Row],[Available_h]]/tblFleet[[#This Row],[Calendar_h]],"")</f>
        <v/>
      </c>
      <c r="J2058" s="60">
        <f>IF(AND(tblFleet[[#This Row],[Units]]&lt;&gt;"",tblFleet[[#This Row],[Available_h]]&gt;0),tblFleet[[#This Row],[Operating_h]]/tblFleet[[#This Row],[Available_h]],"")</f>
        <v/>
      </c>
    </row>
    <row r="2059">
      <c r="A2059" s="54" t="n"/>
      <c r="B2059" s="61" t="n"/>
      <c r="C2059" s="62" t="n"/>
      <c r="D2059" s="57" t="n"/>
      <c r="E2059" s="57" t="n"/>
      <c r="F2059" s="58" t="n"/>
      <c r="G2059" s="66">
        <f>IF(tblFleet[[#This Row],[Units]]="","",tblFleet[[#This Row],[Units]]*cfg_HoursPerDay)</f>
        <v/>
      </c>
      <c r="H2059" s="66">
        <f>IF(tblFleet[[#This Row],[Units]]="","",tblFleet[[#This Row],[Calendar_h]]-tblFleet[[#This Row],[Down_h]])</f>
        <v/>
      </c>
      <c r="I2059" s="60">
        <f>IF(AND(tblFleet[[#This Row],[Units]]&lt;&gt;"",tblFleet[[#This Row],[Calendar_h]]&gt;0),tblFleet[[#This Row],[Available_h]]/tblFleet[[#This Row],[Calendar_h]],"")</f>
        <v/>
      </c>
      <c r="J2059" s="60">
        <f>IF(AND(tblFleet[[#This Row],[Units]]&lt;&gt;"",tblFleet[[#This Row],[Available_h]]&gt;0),tblFleet[[#This Row],[Operating_h]]/tblFleet[[#This Row],[Available_h]],"")</f>
        <v/>
      </c>
    </row>
    <row r="2060">
      <c r="A2060" s="54" t="n"/>
      <c r="B2060" s="61" t="n"/>
      <c r="C2060" s="62" t="n"/>
      <c r="D2060" s="57" t="n"/>
      <c r="E2060" s="57" t="n"/>
      <c r="F2060" s="58" t="n"/>
      <c r="G2060" s="66">
        <f>IF(tblFleet[[#This Row],[Units]]="","",tblFleet[[#This Row],[Units]]*cfg_HoursPerDay)</f>
        <v/>
      </c>
      <c r="H2060" s="66">
        <f>IF(tblFleet[[#This Row],[Units]]="","",tblFleet[[#This Row],[Calendar_h]]-tblFleet[[#This Row],[Down_h]])</f>
        <v/>
      </c>
      <c r="I2060" s="60">
        <f>IF(AND(tblFleet[[#This Row],[Units]]&lt;&gt;"",tblFleet[[#This Row],[Calendar_h]]&gt;0),tblFleet[[#This Row],[Available_h]]/tblFleet[[#This Row],[Calendar_h]],"")</f>
        <v/>
      </c>
      <c r="J2060" s="60">
        <f>IF(AND(tblFleet[[#This Row],[Units]]&lt;&gt;"",tblFleet[[#This Row],[Available_h]]&gt;0),tblFleet[[#This Row],[Operating_h]]/tblFleet[[#This Row],[Available_h]],"")</f>
        <v/>
      </c>
    </row>
    <row r="2061">
      <c r="A2061" s="54" t="n"/>
      <c r="B2061" s="61" t="n"/>
      <c r="C2061" s="62" t="n"/>
      <c r="D2061" s="57" t="n"/>
      <c r="E2061" s="57" t="n"/>
      <c r="F2061" s="58" t="n"/>
      <c r="G2061" s="66">
        <f>IF(tblFleet[[#This Row],[Units]]="","",tblFleet[[#This Row],[Units]]*cfg_HoursPerDay)</f>
        <v/>
      </c>
      <c r="H2061" s="66">
        <f>IF(tblFleet[[#This Row],[Units]]="","",tblFleet[[#This Row],[Calendar_h]]-tblFleet[[#This Row],[Down_h]])</f>
        <v/>
      </c>
      <c r="I2061" s="60">
        <f>IF(AND(tblFleet[[#This Row],[Units]]&lt;&gt;"",tblFleet[[#This Row],[Calendar_h]]&gt;0),tblFleet[[#This Row],[Available_h]]/tblFleet[[#This Row],[Calendar_h]],"")</f>
        <v/>
      </c>
      <c r="J2061" s="60">
        <f>IF(AND(tblFleet[[#This Row],[Units]]&lt;&gt;"",tblFleet[[#This Row],[Available_h]]&gt;0),tblFleet[[#This Row],[Operating_h]]/tblFleet[[#This Row],[Available_h]],"")</f>
        <v/>
      </c>
    </row>
    <row r="2062">
      <c r="A2062" s="54" t="n"/>
      <c r="B2062" s="61" t="n"/>
      <c r="C2062" s="62" t="n"/>
      <c r="D2062" s="57" t="n"/>
      <c r="E2062" s="57" t="n"/>
      <c r="F2062" s="58" t="n"/>
      <c r="G2062" s="66">
        <f>IF(tblFleet[[#This Row],[Units]]="","",tblFleet[[#This Row],[Units]]*cfg_HoursPerDay)</f>
        <v/>
      </c>
      <c r="H2062" s="66">
        <f>IF(tblFleet[[#This Row],[Units]]="","",tblFleet[[#This Row],[Calendar_h]]-tblFleet[[#This Row],[Down_h]])</f>
        <v/>
      </c>
      <c r="I2062" s="60">
        <f>IF(AND(tblFleet[[#This Row],[Units]]&lt;&gt;"",tblFleet[[#This Row],[Calendar_h]]&gt;0),tblFleet[[#This Row],[Available_h]]/tblFleet[[#This Row],[Calendar_h]],"")</f>
        <v/>
      </c>
      <c r="J2062" s="60">
        <f>IF(AND(tblFleet[[#This Row],[Units]]&lt;&gt;"",tblFleet[[#This Row],[Available_h]]&gt;0),tblFleet[[#This Row],[Operating_h]]/tblFleet[[#This Row],[Available_h]],"")</f>
        <v/>
      </c>
    </row>
    <row r="2063">
      <c r="A2063" s="54" t="n"/>
      <c r="B2063" s="61" t="n"/>
      <c r="C2063" s="62" t="n"/>
      <c r="D2063" s="57" t="n"/>
      <c r="E2063" s="57" t="n"/>
      <c r="F2063" s="58" t="n"/>
      <c r="G2063" s="66">
        <f>IF(tblFleet[[#This Row],[Units]]="","",tblFleet[[#This Row],[Units]]*cfg_HoursPerDay)</f>
        <v/>
      </c>
      <c r="H2063" s="66">
        <f>IF(tblFleet[[#This Row],[Units]]="","",tblFleet[[#This Row],[Calendar_h]]-tblFleet[[#This Row],[Down_h]])</f>
        <v/>
      </c>
      <c r="I2063" s="60">
        <f>IF(AND(tblFleet[[#This Row],[Units]]&lt;&gt;"",tblFleet[[#This Row],[Calendar_h]]&gt;0),tblFleet[[#This Row],[Available_h]]/tblFleet[[#This Row],[Calendar_h]],"")</f>
        <v/>
      </c>
      <c r="J2063" s="60">
        <f>IF(AND(tblFleet[[#This Row],[Units]]&lt;&gt;"",tblFleet[[#This Row],[Available_h]]&gt;0),tblFleet[[#This Row],[Operating_h]]/tblFleet[[#This Row],[Available_h]],"")</f>
        <v/>
      </c>
    </row>
    <row r="2064">
      <c r="A2064" s="54" t="n"/>
      <c r="B2064" s="61" t="n"/>
      <c r="C2064" s="62" t="n"/>
      <c r="D2064" s="57" t="n"/>
      <c r="E2064" s="57" t="n"/>
      <c r="F2064" s="58" t="n"/>
      <c r="G2064" s="66">
        <f>IF(tblFleet[[#This Row],[Units]]="","",tblFleet[[#This Row],[Units]]*cfg_HoursPerDay)</f>
        <v/>
      </c>
      <c r="H2064" s="66">
        <f>IF(tblFleet[[#This Row],[Units]]="","",tblFleet[[#This Row],[Calendar_h]]-tblFleet[[#This Row],[Down_h]])</f>
        <v/>
      </c>
      <c r="I2064" s="60">
        <f>IF(AND(tblFleet[[#This Row],[Units]]&lt;&gt;"",tblFleet[[#This Row],[Calendar_h]]&gt;0),tblFleet[[#This Row],[Available_h]]/tblFleet[[#This Row],[Calendar_h]],"")</f>
        <v/>
      </c>
      <c r="J2064" s="60">
        <f>IF(AND(tblFleet[[#This Row],[Units]]&lt;&gt;"",tblFleet[[#This Row],[Available_h]]&gt;0),tblFleet[[#This Row],[Operating_h]]/tblFleet[[#This Row],[Available_h]],"")</f>
        <v/>
      </c>
    </row>
    <row r="2065">
      <c r="A2065" s="54" t="n"/>
      <c r="B2065" s="61" t="n"/>
      <c r="C2065" s="62" t="n"/>
      <c r="D2065" s="57" t="n"/>
      <c r="E2065" s="57" t="n"/>
      <c r="F2065" s="58" t="n"/>
      <c r="G2065" s="66">
        <f>IF(tblFleet[[#This Row],[Units]]="","",tblFleet[[#This Row],[Units]]*cfg_HoursPerDay)</f>
        <v/>
      </c>
      <c r="H2065" s="66">
        <f>IF(tblFleet[[#This Row],[Units]]="","",tblFleet[[#This Row],[Calendar_h]]-tblFleet[[#This Row],[Down_h]])</f>
        <v/>
      </c>
      <c r="I2065" s="60">
        <f>IF(AND(tblFleet[[#This Row],[Units]]&lt;&gt;"",tblFleet[[#This Row],[Calendar_h]]&gt;0),tblFleet[[#This Row],[Available_h]]/tblFleet[[#This Row],[Calendar_h]],"")</f>
        <v/>
      </c>
      <c r="J2065" s="60">
        <f>IF(AND(tblFleet[[#This Row],[Units]]&lt;&gt;"",tblFleet[[#This Row],[Available_h]]&gt;0),tblFleet[[#This Row],[Operating_h]]/tblFleet[[#This Row],[Available_h]],"")</f>
        <v/>
      </c>
    </row>
    <row r="2066">
      <c r="A2066" s="54" t="n"/>
      <c r="B2066" s="61" t="n"/>
      <c r="C2066" s="62" t="n"/>
      <c r="D2066" s="57" t="n"/>
      <c r="E2066" s="57" t="n"/>
      <c r="F2066" s="58" t="n"/>
      <c r="G2066" s="66">
        <f>IF(tblFleet[[#This Row],[Units]]="","",tblFleet[[#This Row],[Units]]*cfg_HoursPerDay)</f>
        <v/>
      </c>
      <c r="H2066" s="66">
        <f>IF(tblFleet[[#This Row],[Units]]="","",tblFleet[[#This Row],[Calendar_h]]-tblFleet[[#This Row],[Down_h]])</f>
        <v/>
      </c>
      <c r="I2066" s="60">
        <f>IF(AND(tblFleet[[#This Row],[Units]]&lt;&gt;"",tblFleet[[#This Row],[Calendar_h]]&gt;0),tblFleet[[#This Row],[Available_h]]/tblFleet[[#This Row],[Calendar_h]],"")</f>
        <v/>
      </c>
      <c r="J2066" s="60">
        <f>IF(AND(tblFleet[[#This Row],[Units]]&lt;&gt;"",tblFleet[[#This Row],[Available_h]]&gt;0),tblFleet[[#This Row],[Operating_h]]/tblFleet[[#This Row],[Available_h]],"")</f>
        <v/>
      </c>
    </row>
    <row r="2067">
      <c r="A2067" s="54" t="n"/>
      <c r="B2067" s="61" t="n"/>
      <c r="C2067" s="62" t="n"/>
      <c r="D2067" s="57" t="n"/>
      <c r="E2067" s="57" t="n"/>
      <c r="F2067" s="58" t="n"/>
      <c r="G2067" s="66">
        <f>IF(tblFleet[[#This Row],[Units]]="","",tblFleet[[#This Row],[Units]]*cfg_HoursPerDay)</f>
        <v/>
      </c>
      <c r="H2067" s="66">
        <f>IF(tblFleet[[#This Row],[Units]]="","",tblFleet[[#This Row],[Calendar_h]]-tblFleet[[#This Row],[Down_h]])</f>
        <v/>
      </c>
      <c r="I2067" s="60">
        <f>IF(AND(tblFleet[[#This Row],[Units]]&lt;&gt;"",tblFleet[[#This Row],[Calendar_h]]&gt;0),tblFleet[[#This Row],[Available_h]]/tblFleet[[#This Row],[Calendar_h]],"")</f>
        <v/>
      </c>
      <c r="J2067" s="60">
        <f>IF(AND(tblFleet[[#This Row],[Units]]&lt;&gt;"",tblFleet[[#This Row],[Available_h]]&gt;0),tblFleet[[#This Row],[Operating_h]]/tblFleet[[#This Row],[Available_h]],"")</f>
        <v/>
      </c>
    </row>
    <row r="2068">
      <c r="A2068" s="54" t="n"/>
      <c r="B2068" s="61" t="n"/>
      <c r="C2068" s="62" t="n"/>
      <c r="D2068" s="57" t="n"/>
      <c r="E2068" s="57" t="n"/>
      <c r="F2068" s="58" t="n"/>
      <c r="G2068" s="66">
        <f>IF(tblFleet[[#This Row],[Units]]="","",tblFleet[[#This Row],[Units]]*cfg_HoursPerDay)</f>
        <v/>
      </c>
      <c r="H2068" s="66">
        <f>IF(tblFleet[[#This Row],[Units]]="","",tblFleet[[#This Row],[Calendar_h]]-tblFleet[[#This Row],[Down_h]])</f>
        <v/>
      </c>
      <c r="I2068" s="60">
        <f>IF(AND(tblFleet[[#This Row],[Units]]&lt;&gt;"",tblFleet[[#This Row],[Calendar_h]]&gt;0),tblFleet[[#This Row],[Available_h]]/tblFleet[[#This Row],[Calendar_h]],"")</f>
        <v/>
      </c>
      <c r="J2068" s="60">
        <f>IF(AND(tblFleet[[#This Row],[Units]]&lt;&gt;"",tblFleet[[#This Row],[Available_h]]&gt;0),tblFleet[[#This Row],[Operating_h]]/tblFleet[[#This Row],[Available_h]],"")</f>
        <v/>
      </c>
    </row>
    <row r="2069">
      <c r="A2069" s="54" t="n"/>
      <c r="B2069" s="61" t="n"/>
      <c r="C2069" s="62" t="n"/>
      <c r="D2069" s="57" t="n"/>
      <c r="E2069" s="57" t="n"/>
      <c r="F2069" s="58" t="n"/>
      <c r="G2069" s="66">
        <f>IF(tblFleet[[#This Row],[Units]]="","",tblFleet[[#This Row],[Units]]*cfg_HoursPerDay)</f>
        <v/>
      </c>
      <c r="H2069" s="66">
        <f>IF(tblFleet[[#This Row],[Units]]="","",tblFleet[[#This Row],[Calendar_h]]-tblFleet[[#This Row],[Down_h]])</f>
        <v/>
      </c>
      <c r="I2069" s="60">
        <f>IF(AND(tblFleet[[#This Row],[Units]]&lt;&gt;"",tblFleet[[#This Row],[Calendar_h]]&gt;0),tblFleet[[#This Row],[Available_h]]/tblFleet[[#This Row],[Calendar_h]],"")</f>
        <v/>
      </c>
      <c r="J2069" s="60">
        <f>IF(AND(tblFleet[[#This Row],[Units]]&lt;&gt;"",tblFleet[[#This Row],[Available_h]]&gt;0),tblFleet[[#This Row],[Operating_h]]/tblFleet[[#This Row],[Available_h]],"")</f>
        <v/>
      </c>
    </row>
    <row r="2070">
      <c r="A2070" s="54" t="n"/>
      <c r="B2070" s="61" t="n"/>
      <c r="C2070" s="62" t="n"/>
      <c r="D2070" s="57" t="n"/>
      <c r="E2070" s="57" t="n"/>
      <c r="F2070" s="58" t="n"/>
      <c r="G2070" s="66">
        <f>IF(tblFleet[[#This Row],[Units]]="","",tblFleet[[#This Row],[Units]]*cfg_HoursPerDay)</f>
        <v/>
      </c>
      <c r="H2070" s="66">
        <f>IF(tblFleet[[#This Row],[Units]]="","",tblFleet[[#This Row],[Calendar_h]]-tblFleet[[#This Row],[Down_h]])</f>
        <v/>
      </c>
      <c r="I2070" s="60">
        <f>IF(AND(tblFleet[[#This Row],[Units]]&lt;&gt;"",tblFleet[[#This Row],[Calendar_h]]&gt;0),tblFleet[[#This Row],[Available_h]]/tblFleet[[#This Row],[Calendar_h]],"")</f>
        <v/>
      </c>
      <c r="J2070" s="60">
        <f>IF(AND(tblFleet[[#This Row],[Units]]&lt;&gt;"",tblFleet[[#This Row],[Available_h]]&gt;0),tblFleet[[#This Row],[Operating_h]]/tblFleet[[#This Row],[Available_h]],"")</f>
        <v/>
      </c>
    </row>
    <row r="2071">
      <c r="A2071" s="54" t="n"/>
      <c r="B2071" s="61" t="n"/>
      <c r="C2071" s="62" t="n"/>
      <c r="D2071" s="57" t="n"/>
      <c r="E2071" s="57" t="n"/>
      <c r="F2071" s="58" t="n"/>
      <c r="G2071" s="66">
        <f>IF(tblFleet[[#This Row],[Units]]="","",tblFleet[[#This Row],[Units]]*cfg_HoursPerDay)</f>
        <v/>
      </c>
      <c r="H2071" s="66">
        <f>IF(tblFleet[[#This Row],[Units]]="","",tblFleet[[#This Row],[Calendar_h]]-tblFleet[[#This Row],[Down_h]])</f>
        <v/>
      </c>
      <c r="I2071" s="60">
        <f>IF(AND(tblFleet[[#This Row],[Units]]&lt;&gt;"",tblFleet[[#This Row],[Calendar_h]]&gt;0),tblFleet[[#This Row],[Available_h]]/tblFleet[[#This Row],[Calendar_h]],"")</f>
        <v/>
      </c>
      <c r="J2071" s="60">
        <f>IF(AND(tblFleet[[#This Row],[Units]]&lt;&gt;"",tblFleet[[#This Row],[Available_h]]&gt;0),tblFleet[[#This Row],[Operating_h]]/tblFleet[[#This Row],[Available_h]],"")</f>
        <v/>
      </c>
    </row>
    <row r="2072">
      <c r="A2072" s="54" t="n"/>
      <c r="B2072" s="61" t="n"/>
      <c r="C2072" s="62" t="n"/>
      <c r="D2072" s="57" t="n"/>
      <c r="E2072" s="57" t="n"/>
      <c r="F2072" s="58" t="n"/>
      <c r="G2072" s="66">
        <f>IF(tblFleet[[#This Row],[Units]]="","",tblFleet[[#This Row],[Units]]*cfg_HoursPerDay)</f>
        <v/>
      </c>
      <c r="H2072" s="66">
        <f>IF(tblFleet[[#This Row],[Units]]="","",tblFleet[[#This Row],[Calendar_h]]-tblFleet[[#This Row],[Down_h]])</f>
        <v/>
      </c>
      <c r="I2072" s="60">
        <f>IF(AND(tblFleet[[#This Row],[Units]]&lt;&gt;"",tblFleet[[#This Row],[Calendar_h]]&gt;0),tblFleet[[#This Row],[Available_h]]/tblFleet[[#This Row],[Calendar_h]],"")</f>
        <v/>
      </c>
      <c r="J2072" s="60">
        <f>IF(AND(tblFleet[[#This Row],[Units]]&lt;&gt;"",tblFleet[[#This Row],[Available_h]]&gt;0),tblFleet[[#This Row],[Operating_h]]/tblFleet[[#This Row],[Available_h]],"")</f>
        <v/>
      </c>
    </row>
    <row r="2073">
      <c r="A2073" s="54" t="n"/>
      <c r="B2073" s="61" t="n"/>
      <c r="C2073" s="62" t="n"/>
      <c r="D2073" s="57" t="n"/>
      <c r="E2073" s="57" t="n"/>
      <c r="F2073" s="58" t="n"/>
      <c r="G2073" s="66">
        <f>IF(tblFleet[[#This Row],[Units]]="","",tblFleet[[#This Row],[Units]]*cfg_HoursPerDay)</f>
        <v/>
      </c>
      <c r="H2073" s="66">
        <f>IF(tblFleet[[#This Row],[Units]]="","",tblFleet[[#This Row],[Calendar_h]]-tblFleet[[#This Row],[Down_h]])</f>
        <v/>
      </c>
      <c r="I2073" s="60">
        <f>IF(AND(tblFleet[[#This Row],[Units]]&lt;&gt;"",tblFleet[[#This Row],[Calendar_h]]&gt;0),tblFleet[[#This Row],[Available_h]]/tblFleet[[#This Row],[Calendar_h]],"")</f>
        <v/>
      </c>
      <c r="J2073" s="60">
        <f>IF(AND(tblFleet[[#This Row],[Units]]&lt;&gt;"",tblFleet[[#This Row],[Available_h]]&gt;0),tblFleet[[#This Row],[Operating_h]]/tblFleet[[#This Row],[Available_h]],"")</f>
        <v/>
      </c>
    </row>
    <row r="2074">
      <c r="A2074" s="54" t="n"/>
      <c r="B2074" s="61" t="n"/>
      <c r="C2074" s="62" t="n"/>
      <c r="D2074" s="57" t="n"/>
      <c r="E2074" s="57" t="n"/>
      <c r="F2074" s="58" t="n"/>
      <c r="G2074" s="66">
        <f>IF(tblFleet[[#This Row],[Units]]="","",tblFleet[[#This Row],[Units]]*cfg_HoursPerDay)</f>
        <v/>
      </c>
      <c r="H2074" s="66">
        <f>IF(tblFleet[[#This Row],[Units]]="","",tblFleet[[#This Row],[Calendar_h]]-tblFleet[[#This Row],[Down_h]])</f>
        <v/>
      </c>
      <c r="I2074" s="60">
        <f>IF(AND(tblFleet[[#This Row],[Units]]&lt;&gt;"",tblFleet[[#This Row],[Calendar_h]]&gt;0),tblFleet[[#This Row],[Available_h]]/tblFleet[[#This Row],[Calendar_h]],"")</f>
        <v/>
      </c>
      <c r="J2074" s="60">
        <f>IF(AND(tblFleet[[#This Row],[Units]]&lt;&gt;"",tblFleet[[#This Row],[Available_h]]&gt;0),tblFleet[[#This Row],[Operating_h]]/tblFleet[[#This Row],[Available_h]],"")</f>
        <v/>
      </c>
    </row>
    <row r="2075">
      <c r="A2075" s="54" t="n"/>
      <c r="B2075" s="61" t="n"/>
      <c r="C2075" s="62" t="n"/>
      <c r="D2075" s="57" t="n"/>
      <c r="E2075" s="57" t="n"/>
      <c r="F2075" s="58" t="n"/>
      <c r="G2075" s="66">
        <f>IF(tblFleet[[#This Row],[Units]]="","",tblFleet[[#This Row],[Units]]*cfg_HoursPerDay)</f>
        <v/>
      </c>
      <c r="H2075" s="66">
        <f>IF(tblFleet[[#This Row],[Units]]="","",tblFleet[[#This Row],[Calendar_h]]-tblFleet[[#This Row],[Down_h]])</f>
        <v/>
      </c>
      <c r="I2075" s="60">
        <f>IF(AND(tblFleet[[#This Row],[Units]]&lt;&gt;"",tblFleet[[#This Row],[Calendar_h]]&gt;0),tblFleet[[#This Row],[Available_h]]/tblFleet[[#This Row],[Calendar_h]],"")</f>
        <v/>
      </c>
      <c r="J2075" s="60">
        <f>IF(AND(tblFleet[[#This Row],[Units]]&lt;&gt;"",tblFleet[[#This Row],[Available_h]]&gt;0),tblFleet[[#This Row],[Operating_h]]/tblFleet[[#This Row],[Available_h]],"")</f>
        <v/>
      </c>
    </row>
    <row r="2076">
      <c r="A2076" s="54" t="n"/>
      <c r="B2076" s="61" t="n"/>
      <c r="C2076" s="62" t="n"/>
      <c r="D2076" s="57" t="n"/>
      <c r="E2076" s="57" t="n"/>
      <c r="F2076" s="58" t="n"/>
      <c r="G2076" s="66">
        <f>IF(tblFleet[[#This Row],[Units]]="","",tblFleet[[#This Row],[Units]]*cfg_HoursPerDay)</f>
        <v/>
      </c>
      <c r="H2076" s="66">
        <f>IF(tblFleet[[#This Row],[Units]]="","",tblFleet[[#This Row],[Calendar_h]]-tblFleet[[#This Row],[Down_h]])</f>
        <v/>
      </c>
      <c r="I2076" s="60">
        <f>IF(AND(tblFleet[[#This Row],[Units]]&lt;&gt;"",tblFleet[[#This Row],[Calendar_h]]&gt;0),tblFleet[[#This Row],[Available_h]]/tblFleet[[#This Row],[Calendar_h]],"")</f>
        <v/>
      </c>
      <c r="J2076" s="60">
        <f>IF(AND(tblFleet[[#This Row],[Units]]&lt;&gt;"",tblFleet[[#This Row],[Available_h]]&gt;0),tblFleet[[#This Row],[Operating_h]]/tblFleet[[#This Row],[Available_h]],"")</f>
        <v/>
      </c>
    </row>
    <row r="2077">
      <c r="A2077" s="54" t="n"/>
      <c r="B2077" s="61" t="n"/>
      <c r="C2077" s="62" t="n"/>
      <c r="D2077" s="57" t="n"/>
      <c r="E2077" s="57" t="n"/>
      <c r="F2077" s="58" t="n"/>
      <c r="G2077" s="66">
        <f>IF(tblFleet[[#This Row],[Units]]="","",tblFleet[[#This Row],[Units]]*cfg_HoursPerDay)</f>
        <v/>
      </c>
      <c r="H2077" s="66">
        <f>IF(tblFleet[[#This Row],[Units]]="","",tblFleet[[#This Row],[Calendar_h]]-tblFleet[[#This Row],[Down_h]])</f>
        <v/>
      </c>
      <c r="I2077" s="60">
        <f>IF(AND(tblFleet[[#This Row],[Units]]&lt;&gt;"",tblFleet[[#This Row],[Calendar_h]]&gt;0),tblFleet[[#This Row],[Available_h]]/tblFleet[[#This Row],[Calendar_h]],"")</f>
        <v/>
      </c>
      <c r="J2077" s="60">
        <f>IF(AND(tblFleet[[#This Row],[Units]]&lt;&gt;"",tblFleet[[#This Row],[Available_h]]&gt;0),tblFleet[[#This Row],[Operating_h]]/tblFleet[[#This Row],[Available_h]],"")</f>
        <v/>
      </c>
    </row>
    <row r="2078">
      <c r="A2078" s="54" t="n"/>
      <c r="B2078" s="61" t="n"/>
      <c r="C2078" s="62" t="n"/>
      <c r="D2078" s="57" t="n"/>
      <c r="E2078" s="57" t="n"/>
      <c r="F2078" s="58" t="n"/>
      <c r="G2078" s="66">
        <f>IF(tblFleet[[#This Row],[Units]]="","",tblFleet[[#This Row],[Units]]*cfg_HoursPerDay)</f>
        <v/>
      </c>
      <c r="H2078" s="66">
        <f>IF(tblFleet[[#This Row],[Units]]="","",tblFleet[[#This Row],[Calendar_h]]-tblFleet[[#This Row],[Down_h]])</f>
        <v/>
      </c>
      <c r="I2078" s="60">
        <f>IF(AND(tblFleet[[#This Row],[Units]]&lt;&gt;"",tblFleet[[#This Row],[Calendar_h]]&gt;0),tblFleet[[#This Row],[Available_h]]/tblFleet[[#This Row],[Calendar_h]],"")</f>
        <v/>
      </c>
      <c r="J2078" s="60">
        <f>IF(AND(tblFleet[[#This Row],[Units]]&lt;&gt;"",tblFleet[[#This Row],[Available_h]]&gt;0),tblFleet[[#This Row],[Operating_h]]/tblFleet[[#This Row],[Available_h]],"")</f>
        <v/>
      </c>
    </row>
    <row r="2079">
      <c r="A2079" s="54" t="n"/>
      <c r="B2079" s="61" t="n"/>
      <c r="C2079" s="62" t="n"/>
      <c r="D2079" s="57" t="n"/>
      <c r="E2079" s="57" t="n"/>
      <c r="F2079" s="58" t="n"/>
      <c r="G2079" s="66">
        <f>IF(tblFleet[[#This Row],[Units]]="","",tblFleet[[#This Row],[Units]]*cfg_HoursPerDay)</f>
        <v/>
      </c>
      <c r="H2079" s="66">
        <f>IF(tblFleet[[#This Row],[Units]]="","",tblFleet[[#This Row],[Calendar_h]]-tblFleet[[#This Row],[Down_h]])</f>
        <v/>
      </c>
      <c r="I2079" s="60">
        <f>IF(AND(tblFleet[[#This Row],[Units]]&lt;&gt;"",tblFleet[[#This Row],[Calendar_h]]&gt;0),tblFleet[[#This Row],[Available_h]]/tblFleet[[#This Row],[Calendar_h]],"")</f>
        <v/>
      </c>
      <c r="J2079" s="60">
        <f>IF(AND(tblFleet[[#This Row],[Units]]&lt;&gt;"",tblFleet[[#This Row],[Available_h]]&gt;0),tblFleet[[#This Row],[Operating_h]]/tblFleet[[#This Row],[Available_h]],"")</f>
        <v/>
      </c>
    </row>
    <row r="2080">
      <c r="A2080" s="54" t="n"/>
      <c r="B2080" s="61" t="n"/>
      <c r="C2080" s="62" t="n"/>
      <c r="D2080" s="57" t="n"/>
      <c r="E2080" s="57" t="n"/>
      <c r="F2080" s="58" t="n"/>
      <c r="G2080" s="66">
        <f>IF(tblFleet[[#This Row],[Units]]="","",tblFleet[[#This Row],[Units]]*cfg_HoursPerDay)</f>
        <v/>
      </c>
      <c r="H2080" s="66">
        <f>IF(tblFleet[[#This Row],[Units]]="","",tblFleet[[#This Row],[Calendar_h]]-tblFleet[[#This Row],[Down_h]])</f>
        <v/>
      </c>
      <c r="I2080" s="60">
        <f>IF(AND(tblFleet[[#This Row],[Units]]&lt;&gt;"",tblFleet[[#This Row],[Calendar_h]]&gt;0),tblFleet[[#This Row],[Available_h]]/tblFleet[[#This Row],[Calendar_h]],"")</f>
        <v/>
      </c>
      <c r="J2080" s="60">
        <f>IF(AND(tblFleet[[#This Row],[Units]]&lt;&gt;"",tblFleet[[#This Row],[Available_h]]&gt;0),tblFleet[[#This Row],[Operating_h]]/tblFleet[[#This Row],[Available_h]],"")</f>
        <v/>
      </c>
    </row>
    <row r="2081">
      <c r="A2081" s="54" t="n"/>
      <c r="B2081" s="61" t="n"/>
      <c r="C2081" s="62" t="n"/>
      <c r="D2081" s="57" t="n"/>
      <c r="E2081" s="57" t="n"/>
      <c r="F2081" s="58" t="n"/>
      <c r="G2081" s="66">
        <f>IF(tblFleet[[#This Row],[Units]]="","",tblFleet[[#This Row],[Units]]*cfg_HoursPerDay)</f>
        <v/>
      </c>
      <c r="H2081" s="66">
        <f>IF(tblFleet[[#This Row],[Units]]="","",tblFleet[[#This Row],[Calendar_h]]-tblFleet[[#This Row],[Down_h]])</f>
        <v/>
      </c>
      <c r="I2081" s="60">
        <f>IF(AND(tblFleet[[#This Row],[Units]]&lt;&gt;"",tblFleet[[#This Row],[Calendar_h]]&gt;0),tblFleet[[#This Row],[Available_h]]/tblFleet[[#This Row],[Calendar_h]],"")</f>
        <v/>
      </c>
      <c r="J2081" s="60">
        <f>IF(AND(tblFleet[[#This Row],[Units]]&lt;&gt;"",tblFleet[[#This Row],[Available_h]]&gt;0),tblFleet[[#This Row],[Operating_h]]/tblFleet[[#This Row],[Available_h]],"")</f>
        <v/>
      </c>
    </row>
    <row r="2082">
      <c r="A2082" s="54" t="n"/>
      <c r="B2082" s="61" t="n"/>
      <c r="C2082" s="62" t="n"/>
      <c r="D2082" s="57" t="n"/>
      <c r="E2082" s="57" t="n"/>
      <c r="F2082" s="58" t="n"/>
      <c r="G2082" s="66">
        <f>IF(tblFleet[[#This Row],[Units]]="","",tblFleet[[#This Row],[Units]]*cfg_HoursPerDay)</f>
        <v/>
      </c>
      <c r="H2082" s="66">
        <f>IF(tblFleet[[#This Row],[Units]]="","",tblFleet[[#This Row],[Calendar_h]]-tblFleet[[#This Row],[Down_h]])</f>
        <v/>
      </c>
      <c r="I2082" s="60">
        <f>IF(AND(tblFleet[[#This Row],[Units]]&lt;&gt;"",tblFleet[[#This Row],[Calendar_h]]&gt;0),tblFleet[[#This Row],[Available_h]]/tblFleet[[#This Row],[Calendar_h]],"")</f>
        <v/>
      </c>
      <c r="J2082" s="60">
        <f>IF(AND(tblFleet[[#This Row],[Units]]&lt;&gt;"",tblFleet[[#This Row],[Available_h]]&gt;0),tblFleet[[#This Row],[Operating_h]]/tblFleet[[#This Row],[Available_h]],"")</f>
        <v/>
      </c>
    </row>
    <row r="2083">
      <c r="A2083" s="54" t="n"/>
      <c r="B2083" s="61" t="n"/>
      <c r="C2083" s="62" t="n"/>
      <c r="D2083" s="57" t="n"/>
      <c r="E2083" s="57" t="n"/>
      <c r="F2083" s="58" t="n"/>
      <c r="G2083" s="66">
        <f>IF(tblFleet[[#This Row],[Units]]="","",tblFleet[[#This Row],[Units]]*cfg_HoursPerDay)</f>
        <v/>
      </c>
      <c r="H2083" s="66">
        <f>IF(tblFleet[[#This Row],[Units]]="","",tblFleet[[#This Row],[Calendar_h]]-tblFleet[[#This Row],[Down_h]])</f>
        <v/>
      </c>
      <c r="I2083" s="60">
        <f>IF(AND(tblFleet[[#This Row],[Units]]&lt;&gt;"",tblFleet[[#This Row],[Calendar_h]]&gt;0),tblFleet[[#This Row],[Available_h]]/tblFleet[[#This Row],[Calendar_h]],"")</f>
        <v/>
      </c>
      <c r="J2083" s="60">
        <f>IF(AND(tblFleet[[#This Row],[Units]]&lt;&gt;"",tblFleet[[#This Row],[Available_h]]&gt;0),tblFleet[[#This Row],[Operating_h]]/tblFleet[[#This Row],[Available_h]],"")</f>
        <v/>
      </c>
    </row>
    <row r="2084">
      <c r="A2084" s="54" t="n"/>
      <c r="B2084" s="61" t="n"/>
      <c r="C2084" s="62" t="n"/>
      <c r="D2084" s="57" t="n"/>
      <c r="E2084" s="57" t="n"/>
      <c r="F2084" s="58" t="n"/>
      <c r="G2084" s="66">
        <f>IF(tblFleet[[#This Row],[Units]]="","",tblFleet[[#This Row],[Units]]*cfg_HoursPerDay)</f>
        <v/>
      </c>
      <c r="H2084" s="66">
        <f>IF(tblFleet[[#This Row],[Units]]="","",tblFleet[[#This Row],[Calendar_h]]-tblFleet[[#This Row],[Down_h]])</f>
        <v/>
      </c>
      <c r="I2084" s="60">
        <f>IF(AND(tblFleet[[#This Row],[Units]]&lt;&gt;"",tblFleet[[#This Row],[Calendar_h]]&gt;0),tblFleet[[#This Row],[Available_h]]/tblFleet[[#This Row],[Calendar_h]],"")</f>
        <v/>
      </c>
      <c r="J2084" s="60">
        <f>IF(AND(tblFleet[[#This Row],[Units]]&lt;&gt;"",tblFleet[[#This Row],[Available_h]]&gt;0),tblFleet[[#This Row],[Operating_h]]/tblFleet[[#This Row],[Available_h]],"")</f>
        <v/>
      </c>
    </row>
    <row r="2085">
      <c r="A2085" s="54" t="n"/>
      <c r="B2085" s="61" t="n"/>
      <c r="C2085" s="62" t="n"/>
      <c r="D2085" s="57" t="n"/>
      <c r="E2085" s="57" t="n"/>
      <c r="F2085" s="58" t="n"/>
      <c r="G2085" s="66">
        <f>IF(tblFleet[[#This Row],[Units]]="","",tblFleet[[#This Row],[Units]]*cfg_HoursPerDay)</f>
        <v/>
      </c>
      <c r="H2085" s="66">
        <f>IF(tblFleet[[#This Row],[Units]]="","",tblFleet[[#This Row],[Calendar_h]]-tblFleet[[#This Row],[Down_h]])</f>
        <v/>
      </c>
      <c r="I2085" s="60">
        <f>IF(AND(tblFleet[[#This Row],[Units]]&lt;&gt;"",tblFleet[[#This Row],[Calendar_h]]&gt;0),tblFleet[[#This Row],[Available_h]]/tblFleet[[#This Row],[Calendar_h]],"")</f>
        <v/>
      </c>
      <c r="J2085" s="60">
        <f>IF(AND(tblFleet[[#This Row],[Units]]&lt;&gt;"",tblFleet[[#This Row],[Available_h]]&gt;0),tblFleet[[#This Row],[Operating_h]]/tblFleet[[#This Row],[Available_h]],"")</f>
        <v/>
      </c>
    </row>
    <row r="2086">
      <c r="A2086" s="54" t="n"/>
      <c r="B2086" s="61" t="n"/>
      <c r="C2086" s="62" t="n"/>
      <c r="D2086" s="57" t="n"/>
      <c r="E2086" s="57" t="n"/>
      <c r="F2086" s="58" t="n"/>
      <c r="G2086" s="66">
        <f>IF(tblFleet[[#This Row],[Units]]="","",tblFleet[[#This Row],[Units]]*cfg_HoursPerDay)</f>
        <v/>
      </c>
      <c r="H2086" s="66">
        <f>IF(tblFleet[[#This Row],[Units]]="","",tblFleet[[#This Row],[Calendar_h]]-tblFleet[[#This Row],[Down_h]])</f>
        <v/>
      </c>
      <c r="I2086" s="60">
        <f>IF(AND(tblFleet[[#This Row],[Units]]&lt;&gt;"",tblFleet[[#This Row],[Calendar_h]]&gt;0),tblFleet[[#This Row],[Available_h]]/tblFleet[[#This Row],[Calendar_h]],"")</f>
        <v/>
      </c>
      <c r="J2086" s="60">
        <f>IF(AND(tblFleet[[#This Row],[Units]]&lt;&gt;"",tblFleet[[#This Row],[Available_h]]&gt;0),tblFleet[[#This Row],[Operating_h]]/tblFleet[[#This Row],[Available_h]],"")</f>
        <v/>
      </c>
    </row>
    <row r="2087">
      <c r="A2087" s="54" t="n"/>
      <c r="B2087" s="61" t="n"/>
      <c r="C2087" s="62" t="n"/>
      <c r="D2087" s="57" t="n"/>
      <c r="E2087" s="57" t="n"/>
      <c r="F2087" s="58" t="n"/>
      <c r="G2087" s="66">
        <f>IF(tblFleet[[#This Row],[Units]]="","",tblFleet[[#This Row],[Units]]*cfg_HoursPerDay)</f>
        <v/>
      </c>
      <c r="H2087" s="66">
        <f>IF(tblFleet[[#This Row],[Units]]="","",tblFleet[[#This Row],[Calendar_h]]-tblFleet[[#This Row],[Down_h]])</f>
        <v/>
      </c>
      <c r="I2087" s="60">
        <f>IF(AND(tblFleet[[#This Row],[Units]]&lt;&gt;"",tblFleet[[#This Row],[Calendar_h]]&gt;0),tblFleet[[#This Row],[Available_h]]/tblFleet[[#This Row],[Calendar_h]],"")</f>
        <v/>
      </c>
      <c r="J2087" s="60">
        <f>IF(AND(tblFleet[[#This Row],[Units]]&lt;&gt;"",tblFleet[[#This Row],[Available_h]]&gt;0),tblFleet[[#This Row],[Operating_h]]/tblFleet[[#This Row],[Available_h]],"")</f>
        <v/>
      </c>
    </row>
    <row r="2088">
      <c r="A2088" s="54" t="n"/>
      <c r="B2088" s="61" t="n"/>
      <c r="C2088" s="62" t="n"/>
      <c r="D2088" s="57" t="n"/>
      <c r="E2088" s="57" t="n"/>
      <c r="F2088" s="58" t="n"/>
      <c r="G2088" s="66">
        <f>IF(tblFleet[[#This Row],[Units]]="","",tblFleet[[#This Row],[Units]]*cfg_HoursPerDay)</f>
        <v/>
      </c>
      <c r="H2088" s="66">
        <f>IF(tblFleet[[#This Row],[Units]]="","",tblFleet[[#This Row],[Calendar_h]]-tblFleet[[#This Row],[Down_h]])</f>
        <v/>
      </c>
      <c r="I2088" s="60">
        <f>IF(AND(tblFleet[[#This Row],[Units]]&lt;&gt;"",tblFleet[[#This Row],[Calendar_h]]&gt;0),tblFleet[[#This Row],[Available_h]]/tblFleet[[#This Row],[Calendar_h]],"")</f>
        <v/>
      </c>
      <c r="J2088" s="60">
        <f>IF(AND(tblFleet[[#This Row],[Units]]&lt;&gt;"",tblFleet[[#This Row],[Available_h]]&gt;0),tblFleet[[#This Row],[Operating_h]]/tblFleet[[#This Row],[Available_h]],"")</f>
        <v/>
      </c>
    </row>
    <row r="2089">
      <c r="A2089" s="54" t="n"/>
      <c r="B2089" s="61" t="n"/>
      <c r="C2089" s="62" t="n"/>
      <c r="D2089" s="57" t="n"/>
      <c r="E2089" s="57" t="n"/>
      <c r="F2089" s="58" t="n"/>
      <c r="G2089" s="66">
        <f>IF(tblFleet[[#This Row],[Units]]="","",tblFleet[[#This Row],[Units]]*cfg_HoursPerDay)</f>
        <v/>
      </c>
      <c r="H2089" s="66">
        <f>IF(tblFleet[[#This Row],[Units]]="","",tblFleet[[#This Row],[Calendar_h]]-tblFleet[[#This Row],[Down_h]])</f>
        <v/>
      </c>
      <c r="I2089" s="60">
        <f>IF(AND(tblFleet[[#This Row],[Units]]&lt;&gt;"",tblFleet[[#This Row],[Calendar_h]]&gt;0),tblFleet[[#This Row],[Available_h]]/tblFleet[[#This Row],[Calendar_h]],"")</f>
        <v/>
      </c>
      <c r="J2089" s="60">
        <f>IF(AND(tblFleet[[#This Row],[Units]]&lt;&gt;"",tblFleet[[#This Row],[Available_h]]&gt;0),tblFleet[[#This Row],[Operating_h]]/tblFleet[[#This Row],[Available_h]],"")</f>
        <v/>
      </c>
    </row>
    <row r="2090">
      <c r="A2090" s="54" t="n"/>
      <c r="B2090" s="61" t="n"/>
      <c r="C2090" s="62" t="n"/>
      <c r="D2090" s="57" t="n"/>
      <c r="E2090" s="57" t="n"/>
      <c r="F2090" s="58" t="n"/>
      <c r="G2090" s="66">
        <f>IF(tblFleet[[#This Row],[Units]]="","",tblFleet[[#This Row],[Units]]*cfg_HoursPerDay)</f>
        <v/>
      </c>
      <c r="H2090" s="66">
        <f>IF(tblFleet[[#This Row],[Units]]="","",tblFleet[[#This Row],[Calendar_h]]-tblFleet[[#This Row],[Down_h]])</f>
        <v/>
      </c>
      <c r="I2090" s="60">
        <f>IF(AND(tblFleet[[#This Row],[Units]]&lt;&gt;"",tblFleet[[#This Row],[Calendar_h]]&gt;0),tblFleet[[#This Row],[Available_h]]/tblFleet[[#This Row],[Calendar_h]],"")</f>
        <v/>
      </c>
      <c r="J2090" s="60">
        <f>IF(AND(tblFleet[[#This Row],[Units]]&lt;&gt;"",tblFleet[[#This Row],[Available_h]]&gt;0),tblFleet[[#This Row],[Operating_h]]/tblFleet[[#This Row],[Available_h]],"")</f>
        <v/>
      </c>
    </row>
    <row r="2091">
      <c r="A2091" s="54" t="n"/>
      <c r="B2091" s="61" t="n"/>
      <c r="C2091" s="62" t="n"/>
      <c r="D2091" s="57" t="n"/>
      <c r="E2091" s="57" t="n"/>
      <c r="F2091" s="58" t="n"/>
      <c r="G2091" s="66">
        <f>IF(tblFleet[[#This Row],[Units]]="","",tblFleet[[#This Row],[Units]]*cfg_HoursPerDay)</f>
        <v/>
      </c>
      <c r="H2091" s="66">
        <f>IF(tblFleet[[#This Row],[Units]]="","",tblFleet[[#This Row],[Calendar_h]]-tblFleet[[#This Row],[Down_h]])</f>
        <v/>
      </c>
      <c r="I2091" s="60">
        <f>IF(AND(tblFleet[[#This Row],[Units]]&lt;&gt;"",tblFleet[[#This Row],[Calendar_h]]&gt;0),tblFleet[[#This Row],[Available_h]]/tblFleet[[#This Row],[Calendar_h]],"")</f>
        <v/>
      </c>
      <c r="J2091" s="60">
        <f>IF(AND(tblFleet[[#This Row],[Units]]&lt;&gt;"",tblFleet[[#This Row],[Available_h]]&gt;0),tblFleet[[#This Row],[Operating_h]]/tblFleet[[#This Row],[Available_h]],"")</f>
        <v/>
      </c>
    </row>
    <row r="2092">
      <c r="A2092" s="54" t="n"/>
      <c r="B2092" s="61" t="n"/>
      <c r="C2092" s="62" t="n"/>
      <c r="D2092" s="57" t="n"/>
      <c r="E2092" s="57" t="n"/>
      <c r="F2092" s="58" t="n"/>
      <c r="G2092" s="66">
        <f>IF(tblFleet[[#This Row],[Units]]="","",tblFleet[[#This Row],[Units]]*cfg_HoursPerDay)</f>
        <v/>
      </c>
      <c r="H2092" s="66">
        <f>IF(tblFleet[[#This Row],[Units]]="","",tblFleet[[#This Row],[Calendar_h]]-tblFleet[[#This Row],[Down_h]])</f>
        <v/>
      </c>
      <c r="I2092" s="60">
        <f>IF(AND(tblFleet[[#This Row],[Units]]&lt;&gt;"",tblFleet[[#This Row],[Calendar_h]]&gt;0),tblFleet[[#This Row],[Available_h]]/tblFleet[[#This Row],[Calendar_h]],"")</f>
        <v/>
      </c>
      <c r="J2092" s="60">
        <f>IF(AND(tblFleet[[#This Row],[Units]]&lt;&gt;"",tblFleet[[#This Row],[Available_h]]&gt;0),tblFleet[[#This Row],[Operating_h]]/tblFleet[[#This Row],[Available_h]],"")</f>
        <v/>
      </c>
    </row>
    <row r="2093">
      <c r="A2093" s="54" t="n"/>
      <c r="B2093" s="61" t="n"/>
      <c r="C2093" s="62" t="n"/>
      <c r="D2093" s="57" t="n"/>
      <c r="E2093" s="57" t="n"/>
      <c r="F2093" s="58" t="n"/>
      <c r="G2093" s="66">
        <f>IF(tblFleet[[#This Row],[Units]]="","",tblFleet[[#This Row],[Units]]*cfg_HoursPerDay)</f>
        <v/>
      </c>
      <c r="H2093" s="66">
        <f>IF(tblFleet[[#This Row],[Units]]="","",tblFleet[[#This Row],[Calendar_h]]-tblFleet[[#This Row],[Down_h]])</f>
        <v/>
      </c>
      <c r="I2093" s="60">
        <f>IF(AND(tblFleet[[#This Row],[Units]]&lt;&gt;"",tblFleet[[#This Row],[Calendar_h]]&gt;0),tblFleet[[#This Row],[Available_h]]/tblFleet[[#This Row],[Calendar_h]],"")</f>
        <v/>
      </c>
      <c r="J2093" s="60">
        <f>IF(AND(tblFleet[[#This Row],[Units]]&lt;&gt;"",tblFleet[[#This Row],[Available_h]]&gt;0),tblFleet[[#This Row],[Operating_h]]/tblFleet[[#This Row],[Available_h]],"")</f>
        <v/>
      </c>
    </row>
    <row r="2094">
      <c r="A2094" s="54" t="n"/>
      <c r="B2094" s="61" t="n"/>
      <c r="C2094" s="62" t="n"/>
      <c r="D2094" s="57" t="n"/>
      <c r="E2094" s="57" t="n"/>
      <c r="F2094" s="58" t="n"/>
      <c r="G2094" s="66">
        <f>IF(tblFleet[[#This Row],[Units]]="","",tblFleet[[#This Row],[Units]]*cfg_HoursPerDay)</f>
        <v/>
      </c>
      <c r="H2094" s="66">
        <f>IF(tblFleet[[#This Row],[Units]]="","",tblFleet[[#This Row],[Calendar_h]]-tblFleet[[#This Row],[Down_h]])</f>
        <v/>
      </c>
      <c r="I2094" s="60">
        <f>IF(AND(tblFleet[[#This Row],[Units]]&lt;&gt;"",tblFleet[[#This Row],[Calendar_h]]&gt;0),tblFleet[[#This Row],[Available_h]]/tblFleet[[#This Row],[Calendar_h]],"")</f>
        <v/>
      </c>
      <c r="J2094" s="60">
        <f>IF(AND(tblFleet[[#This Row],[Units]]&lt;&gt;"",tblFleet[[#This Row],[Available_h]]&gt;0),tblFleet[[#This Row],[Operating_h]]/tblFleet[[#This Row],[Available_h]],"")</f>
        <v/>
      </c>
    </row>
    <row r="2095">
      <c r="A2095" s="54" t="n"/>
      <c r="B2095" s="61" t="n"/>
      <c r="C2095" s="62" t="n"/>
      <c r="D2095" s="57" t="n"/>
      <c r="E2095" s="57" t="n"/>
      <c r="F2095" s="58" t="n"/>
      <c r="G2095" s="66">
        <f>IF(tblFleet[[#This Row],[Units]]="","",tblFleet[[#This Row],[Units]]*cfg_HoursPerDay)</f>
        <v/>
      </c>
      <c r="H2095" s="66">
        <f>IF(tblFleet[[#This Row],[Units]]="","",tblFleet[[#This Row],[Calendar_h]]-tblFleet[[#This Row],[Down_h]])</f>
        <v/>
      </c>
      <c r="I2095" s="60">
        <f>IF(AND(tblFleet[[#This Row],[Units]]&lt;&gt;"",tblFleet[[#This Row],[Calendar_h]]&gt;0),tblFleet[[#This Row],[Available_h]]/tblFleet[[#This Row],[Calendar_h]],"")</f>
        <v/>
      </c>
      <c r="J2095" s="60">
        <f>IF(AND(tblFleet[[#This Row],[Units]]&lt;&gt;"",tblFleet[[#This Row],[Available_h]]&gt;0),tblFleet[[#This Row],[Operating_h]]/tblFleet[[#This Row],[Available_h]],"")</f>
        <v/>
      </c>
    </row>
    <row r="2096">
      <c r="A2096" s="54" t="n"/>
      <c r="B2096" s="61" t="n"/>
      <c r="C2096" s="62" t="n"/>
      <c r="D2096" s="57" t="n"/>
      <c r="E2096" s="57" t="n"/>
      <c r="F2096" s="58" t="n"/>
      <c r="G2096" s="66">
        <f>IF(tblFleet[[#This Row],[Units]]="","",tblFleet[[#This Row],[Units]]*cfg_HoursPerDay)</f>
        <v/>
      </c>
      <c r="H2096" s="66">
        <f>IF(tblFleet[[#This Row],[Units]]="","",tblFleet[[#This Row],[Calendar_h]]-tblFleet[[#This Row],[Down_h]])</f>
        <v/>
      </c>
      <c r="I2096" s="60">
        <f>IF(AND(tblFleet[[#This Row],[Units]]&lt;&gt;"",tblFleet[[#This Row],[Calendar_h]]&gt;0),tblFleet[[#This Row],[Available_h]]/tblFleet[[#This Row],[Calendar_h]],"")</f>
        <v/>
      </c>
      <c r="J2096" s="60">
        <f>IF(AND(tblFleet[[#This Row],[Units]]&lt;&gt;"",tblFleet[[#This Row],[Available_h]]&gt;0),tblFleet[[#This Row],[Operating_h]]/tblFleet[[#This Row],[Available_h]],"")</f>
        <v/>
      </c>
    </row>
    <row r="2097">
      <c r="A2097" s="54" t="n"/>
      <c r="B2097" s="61" t="n"/>
      <c r="C2097" s="62" t="n"/>
      <c r="D2097" s="57" t="n"/>
      <c r="E2097" s="57" t="n"/>
      <c r="F2097" s="58" t="n"/>
      <c r="G2097" s="66">
        <f>IF(tblFleet[[#This Row],[Units]]="","",tblFleet[[#This Row],[Units]]*cfg_HoursPerDay)</f>
        <v/>
      </c>
      <c r="H2097" s="66">
        <f>IF(tblFleet[[#This Row],[Units]]="","",tblFleet[[#This Row],[Calendar_h]]-tblFleet[[#This Row],[Down_h]])</f>
        <v/>
      </c>
      <c r="I2097" s="60">
        <f>IF(AND(tblFleet[[#This Row],[Units]]&lt;&gt;"",tblFleet[[#This Row],[Calendar_h]]&gt;0),tblFleet[[#This Row],[Available_h]]/tblFleet[[#This Row],[Calendar_h]],"")</f>
        <v/>
      </c>
      <c r="J2097" s="60">
        <f>IF(AND(tblFleet[[#This Row],[Units]]&lt;&gt;"",tblFleet[[#This Row],[Available_h]]&gt;0),tblFleet[[#This Row],[Operating_h]]/tblFleet[[#This Row],[Available_h]],"")</f>
        <v/>
      </c>
    </row>
    <row r="2098">
      <c r="A2098" s="54" t="n"/>
      <c r="B2098" s="61" t="n"/>
      <c r="C2098" s="62" t="n"/>
      <c r="D2098" s="57" t="n"/>
      <c r="E2098" s="57" t="n"/>
      <c r="F2098" s="58" t="n"/>
      <c r="G2098" s="66">
        <f>IF(tblFleet[[#This Row],[Units]]="","",tblFleet[[#This Row],[Units]]*cfg_HoursPerDay)</f>
        <v/>
      </c>
      <c r="H2098" s="66">
        <f>IF(tblFleet[[#This Row],[Units]]="","",tblFleet[[#This Row],[Calendar_h]]-tblFleet[[#This Row],[Down_h]])</f>
        <v/>
      </c>
      <c r="I2098" s="60">
        <f>IF(AND(tblFleet[[#This Row],[Units]]&lt;&gt;"",tblFleet[[#This Row],[Calendar_h]]&gt;0),tblFleet[[#This Row],[Available_h]]/tblFleet[[#This Row],[Calendar_h]],"")</f>
        <v/>
      </c>
      <c r="J2098" s="60">
        <f>IF(AND(tblFleet[[#This Row],[Units]]&lt;&gt;"",tblFleet[[#This Row],[Available_h]]&gt;0),tblFleet[[#This Row],[Operating_h]]/tblFleet[[#This Row],[Available_h]],"")</f>
        <v/>
      </c>
    </row>
    <row r="2099">
      <c r="A2099" s="54" t="n"/>
      <c r="B2099" s="61" t="n"/>
      <c r="C2099" s="62" t="n"/>
      <c r="D2099" s="57" t="n"/>
      <c r="E2099" s="57" t="n"/>
      <c r="F2099" s="58" t="n"/>
      <c r="G2099" s="66">
        <f>IF(tblFleet[[#This Row],[Units]]="","",tblFleet[[#This Row],[Units]]*cfg_HoursPerDay)</f>
        <v/>
      </c>
      <c r="H2099" s="66">
        <f>IF(tblFleet[[#This Row],[Units]]="","",tblFleet[[#This Row],[Calendar_h]]-tblFleet[[#This Row],[Down_h]])</f>
        <v/>
      </c>
      <c r="I2099" s="60">
        <f>IF(AND(tblFleet[[#This Row],[Units]]&lt;&gt;"",tblFleet[[#This Row],[Calendar_h]]&gt;0),tblFleet[[#This Row],[Available_h]]/tblFleet[[#This Row],[Calendar_h]],"")</f>
        <v/>
      </c>
      <c r="J2099" s="60">
        <f>IF(AND(tblFleet[[#This Row],[Units]]&lt;&gt;"",tblFleet[[#This Row],[Available_h]]&gt;0),tblFleet[[#This Row],[Operating_h]]/tblFleet[[#This Row],[Available_h]],"")</f>
        <v/>
      </c>
    </row>
    <row r="2100">
      <c r="A2100" s="54" t="n"/>
      <c r="B2100" s="61" t="n"/>
      <c r="C2100" s="62" t="n"/>
      <c r="D2100" s="57" t="n"/>
      <c r="E2100" s="57" t="n"/>
      <c r="F2100" s="58" t="n"/>
      <c r="G2100" s="66">
        <f>IF(tblFleet[[#This Row],[Units]]="","",tblFleet[[#This Row],[Units]]*cfg_HoursPerDay)</f>
        <v/>
      </c>
      <c r="H2100" s="66">
        <f>IF(tblFleet[[#This Row],[Units]]="","",tblFleet[[#This Row],[Calendar_h]]-tblFleet[[#This Row],[Down_h]])</f>
        <v/>
      </c>
      <c r="I2100" s="60">
        <f>IF(AND(tblFleet[[#This Row],[Units]]&lt;&gt;"",tblFleet[[#This Row],[Calendar_h]]&gt;0),tblFleet[[#This Row],[Available_h]]/tblFleet[[#This Row],[Calendar_h]],"")</f>
        <v/>
      </c>
      <c r="J2100" s="60">
        <f>IF(AND(tblFleet[[#This Row],[Units]]&lt;&gt;"",tblFleet[[#This Row],[Available_h]]&gt;0),tblFleet[[#This Row],[Operating_h]]/tblFleet[[#This Row],[Available_h]],"")</f>
        <v/>
      </c>
    </row>
    <row r="2101">
      <c r="A2101" s="54" t="n"/>
      <c r="B2101" s="61" t="n"/>
      <c r="C2101" s="62" t="n"/>
      <c r="D2101" s="57" t="n"/>
      <c r="E2101" s="57" t="n"/>
      <c r="F2101" s="58" t="n"/>
      <c r="G2101" s="66">
        <f>IF(tblFleet[[#This Row],[Units]]="","",tblFleet[[#This Row],[Units]]*cfg_HoursPerDay)</f>
        <v/>
      </c>
      <c r="H2101" s="66">
        <f>IF(tblFleet[[#This Row],[Units]]="","",tblFleet[[#This Row],[Calendar_h]]-tblFleet[[#This Row],[Down_h]])</f>
        <v/>
      </c>
      <c r="I2101" s="60">
        <f>IF(AND(tblFleet[[#This Row],[Units]]&lt;&gt;"",tblFleet[[#This Row],[Calendar_h]]&gt;0),tblFleet[[#This Row],[Available_h]]/tblFleet[[#This Row],[Calendar_h]],"")</f>
        <v/>
      </c>
      <c r="J2101" s="60">
        <f>IF(AND(tblFleet[[#This Row],[Units]]&lt;&gt;"",tblFleet[[#This Row],[Available_h]]&gt;0),tblFleet[[#This Row],[Operating_h]]/tblFleet[[#This Row],[Available_h]],"")</f>
        <v/>
      </c>
    </row>
    <row r="2102">
      <c r="A2102" s="54" t="n"/>
      <c r="B2102" s="61" t="n"/>
      <c r="C2102" s="62" t="n"/>
      <c r="D2102" s="57" t="n"/>
      <c r="E2102" s="57" t="n"/>
      <c r="F2102" s="58" t="n"/>
      <c r="G2102" s="66">
        <f>IF(tblFleet[[#This Row],[Units]]="","",tblFleet[[#This Row],[Units]]*cfg_HoursPerDay)</f>
        <v/>
      </c>
      <c r="H2102" s="66">
        <f>IF(tblFleet[[#This Row],[Units]]="","",tblFleet[[#This Row],[Calendar_h]]-tblFleet[[#This Row],[Down_h]])</f>
        <v/>
      </c>
      <c r="I2102" s="60">
        <f>IF(AND(tblFleet[[#This Row],[Units]]&lt;&gt;"",tblFleet[[#This Row],[Calendar_h]]&gt;0),tblFleet[[#This Row],[Available_h]]/tblFleet[[#This Row],[Calendar_h]],"")</f>
        <v/>
      </c>
      <c r="J2102" s="60">
        <f>IF(AND(tblFleet[[#This Row],[Units]]&lt;&gt;"",tblFleet[[#This Row],[Available_h]]&gt;0),tblFleet[[#This Row],[Operating_h]]/tblFleet[[#This Row],[Available_h]],"")</f>
        <v/>
      </c>
    </row>
    <row r="2103">
      <c r="A2103" s="54" t="n"/>
      <c r="B2103" s="61" t="n"/>
      <c r="C2103" s="62" t="n"/>
      <c r="D2103" s="57" t="n"/>
      <c r="E2103" s="57" t="n"/>
      <c r="F2103" s="58" t="n"/>
      <c r="G2103" s="66">
        <f>IF(tblFleet[[#This Row],[Units]]="","",tblFleet[[#This Row],[Units]]*cfg_HoursPerDay)</f>
        <v/>
      </c>
      <c r="H2103" s="66">
        <f>IF(tblFleet[[#This Row],[Units]]="","",tblFleet[[#This Row],[Calendar_h]]-tblFleet[[#This Row],[Down_h]])</f>
        <v/>
      </c>
      <c r="I2103" s="60">
        <f>IF(AND(tblFleet[[#This Row],[Units]]&lt;&gt;"",tblFleet[[#This Row],[Calendar_h]]&gt;0),tblFleet[[#This Row],[Available_h]]/tblFleet[[#This Row],[Calendar_h]],"")</f>
        <v/>
      </c>
      <c r="J2103" s="60">
        <f>IF(AND(tblFleet[[#This Row],[Units]]&lt;&gt;"",tblFleet[[#This Row],[Available_h]]&gt;0),tblFleet[[#This Row],[Operating_h]]/tblFleet[[#This Row],[Available_h]],"")</f>
        <v/>
      </c>
    </row>
    <row r="2104">
      <c r="A2104" s="54" t="n"/>
      <c r="B2104" s="61" t="n"/>
      <c r="C2104" s="62" t="n"/>
      <c r="D2104" s="57" t="n"/>
      <c r="E2104" s="57" t="n"/>
      <c r="F2104" s="58" t="n"/>
      <c r="G2104" s="66">
        <f>IF(tblFleet[[#This Row],[Units]]="","",tblFleet[[#This Row],[Units]]*cfg_HoursPerDay)</f>
        <v/>
      </c>
      <c r="H2104" s="66">
        <f>IF(tblFleet[[#This Row],[Units]]="","",tblFleet[[#This Row],[Calendar_h]]-tblFleet[[#This Row],[Down_h]])</f>
        <v/>
      </c>
      <c r="I2104" s="60">
        <f>IF(AND(tblFleet[[#This Row],[Units]]&lt;&gt;"",tblFleet[[#This Row],[Calendar_h]]&gt;0),tblFleet[[#This Row],[Available_h]]/tblFleet[[#This Row],[Calendar_h]],"")</f>
        <v/>
      </c>
      <c r="J2104" s="60">
        <f>IF(AND(tblFleet[[#This Row],[Units]]&lt;&gt;"",tblFleet[[#This Row],[Available_h]]&gt;0),tblFleet[[#This Row],[Operating_h]]/tblFleet[[#This Row],[Available_h]],"")</f>
        <v/>
      </c>
    </row>
    <row r="2105">
      <c r="A2105" s="54" t="n"/>
      <c r="B2105" s="61" t="n"/>
      <c r="C2105" s="62" t="n"/>
      <c r="D2105" s="57" t="n"/>
      <c r="E2105" s="57" t="n"/>
      <c r="F2105" s="58" t="n"/>
      <c r="G2105" s="66">
        <f>IF(tblFleet[[#This Row],[Units]]="","",tblFleet[[#This Row],[Units]]*cfg_HoursPerDay)</f>
        <v/>
      </c>
      <c r="H2105" s="66">
        <f>IF(tblFleet[[#This Row],[Units]]="","",tblFleet[[#This Row],[Calendar_h]]-tblFleet[[#This Row],[Down_h]])</f>
        <v/>
      </c>
      <c r="I2105" s="60">
        <f>IF(AND(tblFleet[[#This Row],[Units]]&lt;&gt;"",tblFleet[[#This Row],[Calendar_h]]&gt;0),tblFleet[[#This Row],[Available_h]]/tblFleet[[#This Row],[Calendar_h]],"")</f>
        <v/>
      </c>
      <c r="J2105" s="60">
        <f>IF(AND(tblFleet[[#This Row],[Units]]&lt;&gt;"",tblFleet[[#This Row],[Available_h]]&gt;0),tblFleet[[#This Row],[Operating_h]]/tblFleet[[#This Row],[Available_h]],"")</f>
        <v/>
      </c>
    </row>
    <row r="2106">
      <c r="A2106" s="54" t="n"/>
      <c r="B2106" s="61" t="n"/>
      <c r="C2106" s="62" t="n"/>
      <c r="D2106" s="57" t="n"/>
      <c r="E2106" s="57" t="n"/>
      <c r="F2106" s="58" t="n"/>
      <c r="G2106" s="66">
        <f>IF(tblFleet[[#This Row],[Units]]="","",tblFleet[[#This Row],[Units]]*cfg_HoursPerDay)</f>
        <v/>
      </c>
      <c r="H2106" s="66">
        <f>IF(tblFleet[[#This Row],[Units]]="","",tblFleet[[#This Row],[Calendar_h]]-tblFleet[[#This Row],[Down_h]])</f>
        <v/>
      </c>
      <c r="I2106" s="60">
        <f>IF(AND(tblFleet[[#This Row],[Units]]&lt;&gt;"",tblFleet[[#This Row],[Calendar_h]]&gt;0),tblFleet[[#This Row],[Available_h]]/tblFleet[[#This Row],[Calendar_h]],"")</f>
        <v/>
      </c>
      <c r="J2106" s="60">
        <f>IF(AND(tblFleet[[#This Row],[Units]]&lt;&gt;"",tblFleet[[#This Row],[Available_h]]&gt;0),tblFleet[[#This Row],[Operating_h]]/tblFleet[[#This Row],[Available_h]],"")</f>
        <v/>
      </c>
    </row>
    <row r="2107">
      <c r="A2107" s="54" t="n"/>
      <c r="B2107" s="61" t="n"/>
      <c r="C2107" s="62" t="n"/>
      <c r="D2107" s="57" t="n"/>
      <c r="E2107" s="57" t="n"/>
      <c r="F2107" s="58" t="n"/>
      <c r="G2107" s="66">
        <f>IF(tblFleet[[#This Row],[Units]]="","",tblFleet[[#This Row],[Units]]*cfg_HoursPerDay)</f>
        <v/>
      </c>
      <c r="H2107" s="66">
        <f>IF(tblFleet[[#This Row],[Units]]="","",tblFleet[[#This Row],[Calendar_h]]-tblFleet[[#This Row],[Down_h]])</f>
        <v/>
      </c>
      <c r="I2107" s="60">
        <f>IF(AND(tblFleet[[#This Row],[Units]]&lt;&gt;"",tblFleet[[#This Row],[Calendar_h]]&gt;0),tblFleet[[#This Row],[Available_h]]/tblFleet[[#This Row],[Calendar_h]],"")</f>
        <v/>
      </c>
      <c r="J2107" s="60">
        <f>IF(AND(tblFleet[[#This Row],[Units]]&lt;&gt;"",tblFleet[[#This Row],[Available_h]]&gt;0),tblFleet[[#This Row],[Operating_h]]/tblFleet[[#This Row],[Available_h]],"")</f>
        <v/>
      </c>
    </row>
    <row r="2108">
      <c r="A2108" s="54" t="n"/>
      <c r="B2108" s="61" t="n"/>
      <c r="C2108" s="62" t="n"/>
      <c r="D2108" s="57" t="n"/>
      <c r="E2108" s="57" t="n"/>
      <c r="F2108" s="58" t="n"/>
      <c r="G2108" s="66">
        <f>IF(tblFleet[[#This Row],[Units]]="","",tblFleet[[#This Row],[Units]]*cfg_HoursPerDay)</f>
        <v/>
      </c>
      <c r="H2108" s="66">
        <f>IF(tblFleet[[#This Row],[Units]]="","",tblFleet[[#This Row],[Calendar_h]]-tblFleet[[#This Row],[Down_h]])</f>
        <v/>
      </c>
      <c r="I2108" s="60">
        <f>IF(AND(tblFleet[[#This Row],[Units]]&lt;&gt;"",tblFleet[[#This Row],[Calendar_h]]&gt;0),tblFleet[[#This Row],[Available_h]]/tblFleet[[#This Row],[Calendar_h]],"")</f>
        <v/>
      </c>
      <c r="J2108" s="60">
        <f>IF(AND(tblFleet[[#This Row],[Units]]&lt;&gt;"",tblFleet[[#This Row],[Available_h]]&gt;0),tblFleet[[#This Row],[Operating_h]]/tblFleet[[#This Row],[Available_h]],"")</f>
        <v/>
      </c>
    </row>
    <row r="2109">
      <c r="A2109" s="54" t="n"/>
      <c r="B2109" s="61" t="n"/>
      <c r="C2109" s="62" t="n"/>
      <c r="D2109" s="57" t="n"/>
      <c r="E2109" s="57" t="n"/>
      <c r="F2109" s="58" t="n"/>
      <c r="G2109" s="66">
        <f>IF(tblFleet[[#This Row],[Units]]="","",tblFleet[[#This Row],[Units]]*cfg_HoursPerDay)</f>
        <v/>
      </c>
      <c r="H2109" s="66">
        <f>IF(tblFleet[[#This Row],[Units]]="","",tblFleet[[#This Row],[Calendar_h]]-tblFleet[[#This Row],[Down_h]])</f>
        <v/>
      </c>
      <c r="I2109" s="60">
        <f>IF(AND(tblFleet[[#This Row],[Units]]&lt;&gt;"",tblFleet[[#This Row],[Calendar_h]]&gt;0),tblFleet[[#This Row],[Available_h]]/tblFleet[[#This Row],[Calendar_h]],"")</f>
        <v/>
      </c>
      <c r="J2109" s="60">
        <f>IF(AND(tblFleet[[#This Row],[Units]]&lt;&gt;"",tblFleet[[#This Row],[Available_h]]&gt;0),tblFleet[[#This Row],[Operating_h]]/tblFleet[[#This Row],[Available_h]],"")</f>
        <v/>
      </c>
    </row>
    <row r="2110">
      <c r="A2110" s="54" t="n"/>
      <c r="B2110" s="61" t="n"/>
      <c r="C2110" s="62" t="n"/>
      <c r="D2110" s="57" t="n"/>
      <c r="E2110" s="57" t="n"/>
      <c r="F2110" s="58" t="n"/>
      <c r="G2110" s="66">
        <f>IF(tblFleet[[#This Row],[Units]]="","",tblFleet[[#This Row],[Units]]*cfg_HoursPerDay)</f>
        <v/>
      </c>
      <c r="H2110" s="66">
        <f>IF(tblFleet[[#This Row],[Units]]="","",tblFleet[[#This Row],[Calendar_h]]-tblFleet[[#This Row],[Down_h]])</f>
        <v/>
      </c>
      <c r="I2110" s="60">
        <f>IF(AND(tblFleet[[#This Row],[Units]]&lt;&gt;"",tblFleet[[#This Row],[Calendar_h]]&gt;0),tblFleet[[#This Row],[Available_h]]/tblFleet[[#This Row],[Calendar_h]],"")</f>
        <v/>
      </c>
      <c r="J2110" s="60">
        <f>IF(AND(tblFleet[[#This Row],[Units]]&lt;&gt;"",tblFleet[[#This Row],[Available_h]]&gt;0),tblFleet[[#This Row],[Operating_h]]/tblFleet[[#This Row],[Available_h]],"")</f>
        <v/>
      </c>
    </row>
    <row r="2111">
      <c r="A2111" s="54" t="n"/>
      <c r="B2111" s="61" t="n"/>
      <c r="C2111" s="62" t="n"/>
      <c r="D2111" s="57" t="n"/>
      <c r="E2111" s="57" t="n"/>
      <c r="F2111" s="58" t="n"/>
      <c r="G2111" s="66">
        <f>IF(tblFleet[[#This Row],[Units]]="","",tblFleet[[#This Row],[Units]]*cfg_HoursPerDay)</f>
        <v/>
      </c>
      <c r="H2111" s="66">
        <f>IF(tblFleet[[#This Row],[Units]]="","",tblFleet[[#This Row],[Calendar_h]]-tblFleet[[#This Row],[Down_h]])</f>
        <v/>
      </c>
      <c r="I2111" s="60">
        <f>IF(AND(tblFleet[[#This Row],[Units]]&lt;&gt;"",tblFleet[[#This Row],[Calendar_h]]&gt;0),tblFleet[[#This Row],[Available_h]]/tblFleet[[#This Row],[Calendar_h]],"")</f>
        <v/>
      </c>
      <c r="J2111" s="60">
        <f>IF(AND(tblFleet[[#This Row],[Units]]&lt;&gt;"",tblFleet[[#This Row],[Available_h]]&gt;0),tblFleet[[#This Row],[Operating_h]]/tblFleet[[#This Row],[Available_h]],"")</f>
        <v/>
      </c>
    </row>
    <row r="2112">
      <c r="A2112" s="54" t="n"/>
      <c r="B2112" s="61" t="n"/>
      <c r="C2112" s="62" t="n"/>
      <c r="D2112" s="57" t="n"/>
      <c r="E2112" s="57" t="n"/>
      <c r="F2112" s="58" t="n"/>
      <c r="G2112" s="66">
        <f>IF(tblFleet[[#This Row],[Units]]="","",tblFleet[[#This Row],[Units]]*cfg_HoursPerDay)</f>
        <v/>
      </c>
      <c r="H2112" s="66">
        <f>IF(tblFleet[[#This Row],[Units]]="","",tblFleet[[#This Row],[Calendar_h]]-tblFleet[[#This Row],[Down_h]])</f>
        <v/>
      </c>
      <c r="I2112" s="60">
        <f>IF(AND(tblFleet[[#This Row],[Units]]&lt;&gt;"",tblFleet[[#This Row],[Calendar_h]]&gt;0),tblFleet[[#This Row],[Available_h]]/tblFleet[[#This Row],[Calendar_h]],"")</f>
        <v/>
      </c>
      <c r="J2112" s="60">
        <f>IF(AND(tblFleet[[#This Row],[Units]]&lt;&gt;"",tblFleet[[#This Row],[Available_h]]&gt;0),tblFleet[[#This Row],[Operating_h]]/tblFleet[[#This Row],[Available_h]],"")</f>
        <v/>
      </c>
    </row>
    <row r="2113">
      <c r="A2113" s="54" t="n"/>
      <c r="B2113" s="61" t="n"/>
      <c r="C2113" s="62" t="n"/>
      <c r="D2113" s="57" t="n"/>
      <c r="E2113" s="57" t="n"/>
      <c r="F2113" s="58" t="n"/>
      <c r="G2113" s="66">
        <f>IF(tblFleet[[#This Row],[Units]]="","",tblFleet[[#This Row],[Units]]*cfg_HoursPerDay)</f>
        <v/>
      </c>
      <c r="H2113" s="66">
        <f>IF(tblFleet[[#This Row],[Units]]="","",tblFleet[[#This Row],[Calendar_h]]-tblFleet[[#This Row],[Down_h]])</f>
        <v/>
      </c>
      <c r="I2113" s="60">
        <f>IF(AND(tblFleet[[#This Row],[Units]]&lt;&gt;"",tblFleet[[#This Row],[Calendar_h]]&gt;0),tblFleet[[#This Row],[Available_h]]/tblFleet[[#This Row],[Calendar_h]],"")</f>
        <v/>
      </c>
      <c r="J2113" s="60">
        <f>IF(AND(tblFleet[[#This Row],[Units]]&lt;&gt;"",tblFleet[[#This Row],[Available_h]]&gt;0),tblFleet[[#This Row],[Operating_h]]/tblFleet[[#This Row],[Available_h]],"")</f>
        <v/>
      </c>
    </row>
    <row r="2114">
      <c r="A2114" s="54" t="n"/>
      <c r="B2114" s="61" t="n"/>
      <c r="C2114" s="62" t="n"/>
      <c r="D2114" s="57" t="n"/>
      <c r="E2114" s="57" t="n"/>
      <c r="F2114" s="58" t="n"/>
      <c r="G2114" s="66">
        <f>IF(tblFleet[[#This Row],[Units]]="","",tblFleet[[#This Row],[Units]]*cfg_HoursPerDay)</f>
        <v/>
      </c>
      <c r="H2114" s="66">
        <f>IF(tblFleet[[#This Row],[Units]]="","",tblFleet[[#This Row],[Calendar_h]]-tblFleet[[#This Row],[Down_h]])</f>
        <v/>
      </c>
      <c r="I2114" s="60">
        <f>IF(AND(tblFleet[[#This Row],[Units]]&lt;&gt;"",tblFleet[[#This Row],[Calendar_h]]&gt;0),tblFleet[[#This Row],[Available_h]]/tblFleet[[#This Row],[Calendar_h]],"")</f>
        <v/>
      </c>
      <c r="J2114" s="60">
        <f>IF(AND(tblFleet[[#This Row],[Units]]&lt;&gt;"",tblFleet[[#This Row],[Available_h]]&gt;0),tblFleet[[#This Row],[Operating_h]]/tblFleet[[#This Row],[Available_h]],"")</f>
        <v/>
      </c>
    </row>
    <row r="2115">
      <c r="A2115" s="54" t="n"/>
      <c r="B2115" s="61" t="n"/>
      <c r="C2115" s="62" t="n"/>
      <c r="D2115" s="57" t="n"/>
      <c r="E2115" s="57" t="n"/>
      <c r="F2115" s="58" t="n"/>
      <c r="G2115" s="66">
        <f>IF(tblFleet[[#This Row],[Units]]="","",tblFleet[[#This Row],[Units]]*cfg_HoursPerDay)</f>
        <v/>
      </c>
      <c r="H2115" s="66">
        <f>IF(tblFleet[[#This Row],[Units]]="","",tblFleet[[#This Row],[Calendar_h]]-tblFleet[[#This Row],[Down_h]])</f>
        <v/>
      </c>
      <c r="I2115" s="60">
        <f>IF(AND(tblFleet[[#This Row],[Units]]&lt;&gt;"",tblFleet[[#This Row],[Calendar_h]]&gt;0),tblFleet[[#This Row],[Available_h]]/tblFleet[[#This Row],[Calendar_h]],"")</f>
        <v/>
      </c>
      <c r="J2115" s="60">
        <f>IF(AND(tblFleet[[#This Row],[Units]]&lt;&gt;"",tblFleet[[#This Row],[Available_h]]&gt;0),tblFleet[[#This Row],[Operating_h]]/tblFleet[[#This Row],[Available_h]],"")</f>
        <v/>
      </c>
    </row>
    <row r="2116">
      <c r="A2116" s="54" t="n"/>
      <c r="B2116" s="61" t="n"/>
      <c r="C2116" s="62" t="n"/>
      <c r="D2116" s="57" t="n"/>
      <c r="E2116" s="57" t="n"/>
      <c r="F2116" s="58" t="n"/>
      <c r="G2116" s="66">
        <f>IF(tblFleet[[#This Row],[Units]]="","",tblFleet[[#This Row],[Units]]*cfg_HoursPerDay)</f>
        <v/>
      </c>
      <c r="H2116" s="66">
        <f>IF(tblFleet[[#This Row],[Units]]="","",tblFleet[[#This Row],[Calendar_h]]-tblFleet[[#This Row],[Down_h]])</f>
        <v/>
      </c>
      <c r="I2116" s="60">
        <f>IF(AND(tblFleet[[#This Row],[Units]]&lt;&gt;"",tblFleet[[#This Row],[Calendar_h]]&gt;0),tblFleet[[#This Row],[Available_h]]/tblFleet[[#This Row],[Calendar_h]],"")</f>
        <v/>
      </c>
      <c r="J2116" s="60">
        <f>IF(AND(tblFleet[[#This Row],[Units]]&lt;&gt;"",tblFleet[[#This Row],[Available_h]]&gt;0),tblFleet[[#This Row],[Operating_h]]/tblFleet[[#This Row],[Available_h]],"")</f>
        <v/>
      </c>
    </row>
    <row r="2117">
      <c r="A2117" s="54" t="n"/>
      <c r="B2117" s="61" t="n"/>
      <c r="C2117" s="62" t="n"/>
      <c r="D2117" s="57" t="n"/>
      <c r="E2117" s="57" t="n"/>
      <c r="F2117" s="58" t="n"/>
      <c r="G2117" s="66">
        <f>IF(tblFleet[[#This Row],[Units]]="","",tblFleet[[#This Row],[Units]]*cfg_HoursPerDay)</f>
        <v/>
      </c>
      <c r="H2117" s="66">
        <f>IF(tblFleet[[#This Row],[Units]]="","",tblFleet[[#This Row],[Calendar_h]]-tblFleet[[#This Row],[Down_h]])</f>
        <v/>
      </c>
      <c r="I2117" s="60">
        <f>IF(AND(tblFleet[[#This Row],[Units]]&lt;&gt;"",tblFleet[[#This Row],[Calendar_h]]&gt;0),tblFleet[[#This Row],[Available_h]]/tblFleet[[#This Row],[Calendar_h]],"")</f>
        <v/>
      </c>
      <c r="J2117" s="60">
        <f>IF(AND(tblFleet[[#This Row],[Units]]&lt;&gt;"",tblFleet[[#This Row],[Available_h]]&gt;0),tblFleet[[#This Row],[Operating_h]]/tblFleet[[#This Row],[Available_h]],"")</f>
        <v/>
      </c>
    </row>
    <row r="2118">
      <c r="A2118" s="54" t="n"/>
      <c r="B2118" s="61" t="n"/>
      <c r="C2118" s="62" t="n"/>
      <c r="D2118" s="57" t="n"/>
      <c r="E2118" s="57" t="n"/>
      <c r="F2118" s="58" t="n"/>
      <c r="G2118" s="66">
        <f>IF(tblFleet[[#This Row],[Units]]="","",tblFleet[[#This Row],[Units]]*cfg_HoursPerDay)</f>
        <v/>
      </c>
      <c r="H2118" s="66">
        <f>IF(tblFleet[[#This Row],[Units]]="","",tblFleet[[#This Row],[Calendar_h]]-tblFleet[[#This Row],[Down_h]])</f>
        <v/>
      </c>
      <c r="I2118" s="60">
        <f>IF(AND(tblFleet[[#This Row],[Units]]&lt;&gt;"",tblFleet[[#This Row],[Calendar_h]]&gt;0),tblFleet[[#This Row],[Available_h]]/tblFleet[[#This Row],[Calendar_h]],"")</f>
        <v/>
      </c>
      <c r="J2118" s="60">
        <f>IF(AND(tblFleet[[#This Row],[Units]]&lt;&gt;"",tblFleet[[#This Row],[Available_h]]&gt;0),tblFleet[[#This Row],[Operating_h]]/tblFleet[[#This Row],[Available_h]],"")</f>
        <v/>
      </c>
    </row>
    <row r="2119">
      <c r="A2119" s="54" t="n"/>
      <c r="B2119" s="61" t="n"/>
      <c r="C2119" s="62" t="n"/>
      <c r="D2119" s="57" t="n"/>
      <c r="E2119" s="57" t="n"/>
      <c r="F2119" s="58" t="n"/>
      <c r="G2119" s="66">
        <f>IF(tblFleet[[#This Row],[Units]]="","",tblFleet[[#This Row],[Units]]*cfg_HoursPerDay)</f>
        <v/>
      </c>
      <c r="H2119" s="66">
        <f>IF(tblFleet[[#This Row],[Units]]="","",tblFleet[[#This Row],[Calendar_h]]-tblFleet[[#This Row],[Down_h]])</f>
        <v/>
      </c>
      <c r="I2119" s="60">
        <f>IF(AND(tblFleet[[#This Row],[Units]]&lt;&gt;"",tblFleet[[#This Row],[Calendar_h]]&gt;0),tblFleet[[#This Row],[Available_h]]/tblFleet[[#This Row],[Calendar_h]],"")</f>
        <v/>
      </c>
      <c r="J2119" s="60">
        <f>IF(AND(tblFleet[[#This Row],[Units]]&lt;&gt;"",tblFleet[[#This Row],[Available_h]]&gt;0),tblFleet[[#This Row],[Operating_h]]/tblFleet[[#This Row],[Available_h]],"")</f>
        <v/>
      </c>
    </row>
    <row r="2120">
      <c r="A2120" s="54" t="n"/>
      <c r="B2120" s="61" t="n"/>
      <c r="C2120" s="62" t="n"/>
      <c r="D2120" s="57" t="n"/>
      <c r="E2120" s="57" t="n"/>
      <c r="F2120" s="58" t="n"/>
      <c r="G2120" s="66">
        <f>IF(tblFleet[[#This Row],[Units]]="","",tblFleet[[#This Row],[Units]]*cfg_HoursPerDay)</f>
        <v/>
      </c>
      <c r="H2120" s="66">
        <f>IF(tblFleet[[#This Row],[Units]]="","",tblFleet[[#This Row],[Calendar_h]]-tblFleet[[#This Row],[Down_h]])</f>
        <v/>
      </c>
      <c r="I2120" s="60">
        <f>IF(AND(tblFleet[[#This Row],[Units]]&lt;&gt;"",tblFleet[[#This Row],[Calendar_h]]&gt;0),tblFleet[[#This Row],[Available_h]]/tblFleet[[#This Row],[Calendar_h]],"")</f>
        <v/>
      </c>
      <c r="J2120" s="60">
        <f>IF(AND(tblFleet[[#This Row],[Units]]&lt;&gt;"",tblFleet[[#This Row],[Available_h]]&gt;0),tblFleet[[#This Row],[Operating_h]]/tblFleet[[#This Row],[Available_h]],"")</f>
        <v/>
      </c>
    </row>
    <row r="2121">
      <c r="A2121" s="54" t="n"/>
      <c r="B2121" s="61" t="n"/>
      <c r="C2121" s="62" t="n"/>
      <c r="D2121" s="57" t="n"/>
      <c r="E2121" s="57" t="n"/>
      <c r="F2121" s="58" t="n"/>
      <c r="G2121" s="66">
        <f>IF(tblFleet[[#This Row],[Units]]="","",tblFleet[[#This Row],[Units]]*cfg_HoursPerDay)</f>
        <v/>
      </c>
      <c r="H2121" s="66">
        <f>IF(tblFleet[[#This Row],[Units]]="","",tblFleet[[#This Row],[Calendar_h]]-tblFleet[[#This Row],[Down_h]])</f>
        <v/>
      </c>
      <c r="I2121" s="60">
        <f>IF(AND(tblFleet[[#This Row],[Units]]&lt;&gt;"",tblFleet[[#This Row],[Calendar_h]]&gt;0),tblFleet[[#This Row],[Available_h]]/tblFleet[[#This Row],[Calendar_h]],"")</f>
        <v/>
      </c>
      <c r="J2121" s="60">
        <f>IF(AND(tblFleet[[#This Row],[Units]]&lt;&gt;"",tblFleet[[#This Row],[Available_h]]&gt;0),tblFleet[[#This Row],[Operating_h]]/tblFleet[[#This Row],[Available_h]],"")</f>
        <v/>
      </c>
    </row>
    <row r="2122">
      <c r="A2122" s="54" t="n"/>
      <c r="B2122" s="61" t="n"/>
      <c r="C2122" s="62" t="n"/>
      <c r="D2122" s="57" t="n"/>
      <c r="E2122" s="57" t="n"/>
      <c r="F2122" s="58" t="n"/>
      <c r="G2122" s="66">
        <f>IF(tblFleet[[#This Row],[Units]]="","",tblFleet[[#This Row],[Units]]*cfg_HoursPerDay)</f>
        <v/>
      </c>
      <c r="H2122" s="66">
        <f>IF(tblFleet[[#This Row],[Units]]="","",tblFleet[[#This Row],[Calendar_h]]-tblFleet[[#This Row],[Down_h]])</f>
        <v/>
      </c>
      <c r="I2122" s="60">
        <f>IF(AND(tblFleet[[#This Row],[Units]]&lt;&gt;"",tblFleet[[#This Row],[Calendar_h]]&gt;0),tblFleet[[#This Row],[Available_h]]/tblFleet[[#This Row],[Calendar_h]],"")</f>
        <v/>
      </c>
      <c r="J2122" s="60">
        <f>IF(AND(tblFleet[[#This Row],[Units]]&lt;&gt;"",tblFleet[[#This Row],[Available_h]]&gt;0),tblFleet[[#This Row],[Operating_h]]/tblFleet[[#This Row],[Available_h]],"")</f>
        <v/>
      </c>
    </row>
    <row r="2123">
      <c r="A2123" s="54" t="n"/>
      <c r="B2123" s="61" t="n"/>
      <c r="C2123" s="62" t="n"/>
      <c r="D2123" s="57" t="n"/>
      <c r="E2123" s="57" t="n"/>
      <c r="F2123" s="58" t="n"/>
      <c r="G2123" s="66">
        <f>IF(tblFleet[[#This Row],[Units]]="","",tblFleet[[#This Row],[Units]]*cfg_HoursPerDay)</f>
        <v/>
      </c>
      <c r="H2123" s="66">
        <f>IF(tblFleet[[#This Row],[Units]]="","",tblFleet[[#This Row],[Calendar_h]]-tblFleet[[#This Row],[Down_h]])</f>
        <v/>
      </c>
      <c r="I2123" s="60">
        <f>IF(AND(tblFleet[[#This Row],[Units]]&lt;&gt;"",tblFleet[[#This Row],[Calendar_h]]&gt;0),tblFleet[[#This Row],[Available_h]]/tblFleet[[#This Row],[Calendar_h]],"")</f>
        <v/>
      </c>
      <c r="J2123" s="60">
        <f>IF(AND(tblFleet[[#This Row],[Units]]&lt;&gt;"",tblFleet[[#This Row],[Available_h]]&gt;0),tblFleet[[#This Row],[Operating_h]]/tblFleet[[#This Row],[Available_h]],"")</f>
        <v/>
      </c>
    </row>
    <row r="2124">
      <c r="A2124" s="54" t="n"/>
      <c r="B2124" s="61" t="n"/>
      <c r="C2124" s="62" t="n"/>
      <c r="D2124" s="57" t="n"/>
      <c r="E2124" s="57" t="n"/>
      <c r="F2124" s="58" t="n"/>
      <c r="G2124" s="66">
        <f>IF(tblFleet[[#This Row],[Units]]="","",tblFleet[[#This Row],[Units]]*cfg_HoursPerDay)</f>
        <v/>
      </c>
      <c r="H2124" s="66">
        <f>IF(tblFleet[[#This Row],[Units]]="","",tblFleet[[#This Row],[Calendar_h]]-tblFleet[[#This Row],[Down_h]])</f>
        <v/>
      </c>
      <c r="I2124" s="60">
        <f>IF(AND(tblFleet[[#This Row],[Units]]&lt;&gt;"",tblFleet[[#This Row],[Calendar_h]]&gt;0),tblFleet[[#This Row],[Available_h]]/tblFleet[[#This Row],[Calendar_h]],"")</f>
        <v/>
      </c>
      <c r="J2124" s="60">
        <f>IF(AND(tblFleet[[#This Row],[Units]]&lt;&gt;"",tblFleet[[#This Row],[Available_h]]&gt;0),tblFleet[[#This Row],[Operating_h]]/tblFleet[[#This Row],[Available_h]],"")</f>
        <v/>
      </c>
    </row>
    <row r="2125">
      <c r="A2125" s="54" t="n"/>
      <c r="B2125" s="61" t="n"/>
      <c r="C2125" s="62" t="n"/>
      <c r="D2125" s="57" t="n"/>
      <c r="E2125" s="57" t="n"/>
      <c r="F2125" s="58" t="n"/>
      <c r="G2125" s="66">
        <f>IF(tblFleet[[#This Row],[Units]]="","",tblFleet[[#This Row],[Units]]*cfg_HoursPerDay)</f>
        <v/>
      </c>
      <c r="H2125" s="66">
        <f>IF(tblFleet[[#This Row],[Units]]="","",tblFleet[[#This Row],[Calendar_h]]-tblFleet[[#This Row],[Down_h]])</f>
        <v/>
      </c>
      <c r="I2125" s="60">
        <f>IF(AND(tblFleet[[#This Row],[Units]]&lt;&gt;"",tblFleet[[#This Row],[Calendar_h]]&gt;0),tblFleet[[#This Row],[Available_h]]/tblFleet[[#This Row],[Calendar_h]],"")</f>
        <v/>
      </c>
      <c r="J2125" s="60">
        <f>IF(AND(tblFleet[[#This Row],[Units]]&lt;&gt;"",tblFleet[[#This Row],[Available_h]]&gt;0),tblFleet[[#This Row],[Operating_h]]/tblFleet[[#This Row],[Available_h]],"")</f>
        <v/>
      </c>
    </row>
    <row r="2126">
      <c r="A2126" s="54" t="n"/>
      <c r="B2126" s="61" t="n"/>
      <c r="C2126" s="62" t="n"/>
      <c r="D2126" s="57" t="n"/>
      <c r="E2126" s="57" t="n"/>
      <c r="F2126" s="58" t="n"/>
      <c r="G2126" s="66">
        <f>IF(tblFleet[[#This Row],[Units]]="","",tblFleet[[#This Row],[Units]]*cfg_HoursPerDay)</f>
        <v/>
      </c>
      <c r="H2126" s="66">
        <f>IF(tblFleet[[#This Row],[Units]]="","",tblFleet[[#This Row],[Calendar_h]]-tblFleet[[#This Row],[Down_h]])</f>
        <v/>
      </c>
      <c r="I2126" s="60">
        <f>IF(AND(tblFleet[[#This Row],[Units]]&lt;&gt;"",tblFleet[[#This Row],[Calendar_h]]&gt;0),tblFleet[[#This Row],[Available_h]]/tblFleet[[#This Row],[Calendar_h]],"")</f>
        <v/>
      </c>
      <c r="J2126" s="60">
        <f>IF(AND(tblFleet[[#This Row],[Units]]&lt;&gt;"",tblFleet[[#This Row],[Available_h]]&gt;0),tblFleet[[#This Row],[Operating_h]]/tblFleet[[#This Row],[Available_h]],"")</f>
        <v/>
      </c>
    </row>
    <row r="2127">
      <c r="A2127" s="54" t="n"/>
      <c r="B2127" s="61" t="n"/>
      <c r="C2127" s="62" t="n"/>
      <c r="D2127" s="57" t="n"/>
      <c r="E2127" s="57" t="n"/>
      <c r="F2127" s="58" t="n"/>
      <c r="G2127" s="66">
        <f>IF(tblFleet[[#This Row],[Units]]="","",tblFleet[[#This Row],[Units]]*cfg_HoursPerDay)</f>
        <v/>
      </c>
      <c r="H2127" s="66">
        <f>IF(tblFleet[[#This Row],[Units]]="","",tblFleet[[#This Row],[Calendar_h]]-tblFleet[[#This Row],[Down_h]])</f>
        <v/>
      </c>
      <c r="I2127" s="60">
        <f>IF(AND(tblFleet[[#This Row],[Units]]&lt;&gt;"",tblFleet[[#This Row],[Calendar_h]]&gt;0),tblFleet[[#This Row],[Available_h]]/tblFleet[[#This Row],[Calendar_h]],"")</f>
        <v/>
      </c>
      <c r="J2127" s="60">
        <f>IF(AND(tblFleet[[#This Row],[Units]]&lt;&gt;"",tblFleet[[#This Row],[Available_h]]&gt;0),tblFleet[[#This Row],[Operating_h]]/tblFleet[[#This Row],[Available_h]],"")</f>
        <v/>
      </c>
    </row>
    <row r="2128">
      <c r="A2128" s="54" t="n"/>
      <c r="B2128" s="61" t="n"/>
      <c r="C2128" s="62" t="n"/>
      <c r="D2128" s="57" t="n"/>
      <c r="E2128" s="57" t="n"/>
      <c r="F2128" s="58" t="n"/>
      <c r="G2128" s="66">
        <f>IF(tblFleet[[#This Row],[Units]]="","",tblFleet[[#This Row],[Units]]*cfg_HoursPerDay)</f>
        <v/>
      </c>
      <c r="H2128" s="66">
        <f>IF(tblFleet[[#This Row],[Units]]="","",tblFleet[[#This Row],[Calendar_h]]-tblFleet[[#This Row],[Down_h]])</f>
        <v/>
      </c>
      <c r="I2128" s="60">
        <f>IF(AND(tblFleet[[#This Row],[Units]]&lt;&gt;"",tblFleet[[#This Row],[Calendar_h]]&gt;0),tblFleet[[#This Row],[Available_h]]/tblFleet[[#This Row],[Calendar_h]],"")</f>
        <v/>
      </c>
      <c r="J2128" s="60">
        <f>IF(AND(tblFleet[[#This Row],[Units]]&lt;&gt;"",tblFleet[[#This Row],[Available_h]]&gt;0),tblFleet[[#This Row],[Operating_h]]/tblFleet[[#This Row],[Available_h]],"")</f>
        <v/>
      </c>
    </row>
    <row r="2129">
      <c r="A2129" s="54" t="n"/>
      <c r="B2129" s="61" t="n"/>
      <c r="C2129" s="62" t="n"/>
      <c r="D2129" s="57" t="n"/>
      <c r="E2129" s="57" t="n"/>
      <c r="F2129" s="58" t="n"/>
      <c r="G2129" s="66">
        <f>IF(tblFleet[[#This Row],[Units]]="","",tblFleet[[#This Row],[Units]]*cfg_HoursPerDay)</f>
        <v/>
      </c>
      <c r="H2129" s="66">
        <f>IF(tblFleet[[#This Row],[Units]]="","",tblFleet[[#This Row],[Calendar_h]]-tblFleet[[#This Row],[Down_h]])</f>
        <v/>
      </c>
      <c r="I2129" s="60">
        <f>IF(AND(tblFleet[[#This Row],[Units]]&lt;&gt;"",tblFleet[[#This Row],[Calendar_h]]&gt;0),tblFleet[[#This Row],[Available_h]]/tblFleet[[#This Row],[Calendar_h]],"")</f>
        <v/>
      </c>
      <c r="J2129" s="60">
        <f>IF(AND(tblFleet[[#This Row],[Units]]&lt;&gt;"",tblFleet[[#This Row],[Available_h]]&gt;0),tblFleet[[#This Row],[Operating_h]]/tblFleet[[#This Row],[Available_h]],"")</f>
        <v/>
      </c>
    </row>
    <row r="2130">
      <c r="A2130" s="54" t="n"/>
      <c r="B2130" s="61" t="n"/>
      <c r="C2130" s="62" t="n"/>
      <c r="D2130" s="57" t="n"/>
      <c r="E2130" s="57" t="n"/>
      <c r="F2130" s="58" t="n"/>
      <c r="G2130" s="66">
        <f>IF(tblFleet[[#This Row],[Units]]="","",tblFleet[[#This Row],[Units]]*cfg_HoursPerDay)</f>
        <v/>
      </c>
      <c r="H2130" s="66">
        <f>IF(tblFleet[[#This Row],[Units]]="","",tblFleet[[#This Row],[Calendar_h]]-tblFleet[[#This Row],[Down_h]])</f>
        <v/>
      </c>
      <c r="I2130" s="60">
        <f>IF(AND(tblFleet[[#This Row],[Units]]&lt;&gt;"",tblFleet[[#This Row],[Calendar_h]]&gt;0),tblFleet[[#This Row],[Available_h]]/tblFleet[[#This Row],[Calendar_h]],"")</f>
        <v/>
      </c>
      <c r="J2130" s="60">
        <f>IF(AND(tblFleet[[#This Row],[Units]]&lt;&gt;"",tblFleet[[#This Row],[Available_h]]&gt;0),tblFleet[[#This Row],[Operating_h]]/tblFleet[[#This Row],[Available_h]],"")</f>
        <v/>
      </c>
    </row>
    <row r="2131">
      <c r="A2131" s="54" t="n"/>
      <c r="B2131" s="61" t="n"/>
      <c r="C2131" s="62" t="n"/>
      <c r="D2131" s="57" t="n"/>
      <c r="E2131" s="57" t="n"/>
      <c r="F2131" s="58" t="n"/>
      <c r="G2131" s="66">
        <f>IF(tblFleet[[#This Row],[Units]]="","",tblFleet[[#This Row],[Units]]*cfg_HoursPerDay)</f>
        <v/>
      </c>
      <c r="H2131" s="66">
        <f>IF(tblFleet[[#This Row],[Units]]="","",tblFleet[[#This Row],[Calendar_h]]-tblFleet[[#This Row],[Down_h]])</f>
        <v/>
      </c>
      <c r="I2131" s="60">
        <f>IF(AND(tblFleet[[#This Row],[Units]]&lt;&gt;"",tblFleet[[#This Row],[Calendar_h]]&gt;0),tblFleet[[#This Row],[Available_h]]/tblFleet[[#This Row],[Calendar_h]],"")</f>
        <v/>
      </c>
      <c r="J2131" s="60">
        <f>IF(AND(tblFleet[[#This Row],[Units]]&lt;&gt;"",tblFleet[[#This Row],[Available_h]]&gt;0),tblFleet[[#This Row],[Operating_h]]/tblFleet[[#This Row],[Available_h]],"")</f>
        <v/>
      </c>
    </row>
    <row r="2132">
      <c r="A2132" s="54" t="n"/>
      <c r="B2132" s="61" t="n"/>
      <c r="C2132" s="62" t="n"/>
      <c r="D2132" s="57" t="n"/>
      <c r="E2132" s="57" t="n"/>
      <c r="F2132" s="58" t="n"/>
      <c r="G2132" s="66">
        <f>IF(tblFleet[[#This Row],[Units]]="","",tblFleet[[#This Row],[Units]]*cfg_HoursPerDay)</f>
        <v/>
      </c>
      <c r="H2132" s="66">
        <f>IF(tblFleet[[#This Row],[Units]]="","",tblFleet[[#This Row],[Calendar_h]]-tblFleet[[#This Row],[Down_h]])</f>
        <v/>
      </c>
      <c r="I2132" s="60">
        <f>IF(AND(tblFleet[[#This Row],[Units]]&lt;&gt;"",tblFleet[[#This Row],[Calendar_h]]&gt;0),tblFleet[[#This Row],[Available_h]]/tblFleet[[#This Row],[Calendar_h]],"")</f>
        <v/>
      </c>
      <c r="J2132" s="60">
        <f>IF(AND(tblFleet[[#This Row],[Units]]&lt;&gt;"",tblFleet[[#This Row],[Available_h]]&gt;0),tblFleet[[#This Row],[Operating_h]]/tblFleet[[#This Row],[Available_h]],"")</f>
        <v/>
      </c>
    </row>
    <row r="2133">
      <c r="A2133" s="54" t="n"/>
      <c r="B2133" s="61" t="n"/>
      <c r="C2133" s="62" t="n"/>
      <c r="D2133" s="57" t="n"/>
      <c r="E2133" s="57" t="n"/>
      <c r="F2133" s="58" t="n"/>
      <c r="G2133" s="66">
        <f>IF(tblFleet[[#This Row],[Units]]="","",tblFleet[[#This Row],[Units]]*cfg_HoursPerDay)</f>
        <v/>
      </c>
      <c r="H2133" s="66">
        <f>IF(tblFleet[[#This Row],[Units]]="","",tblFleet[[#This Row],[Calendar_h]]-tblFleet[[#This Row],[Down_h]])</f>
        <v/>
      </c>
      <c r="I2133" s="60">
        <f>IF(AND(tblFleet[[#This Row],[Units]]&lt;&gt;"",tblFleet[[#This Row],[Calendar_h]]&gt;0),tblFleet[[#This Row],[Available_h]]/tblFleet[[#This Row],[Calendar_h]],"")</f>
        <v/>
      </c>
      <c r="J2133" s="60">
        <f>IF(AND(tblFleet[[#This Row],[Units]]&lt;&gt;"",tblFleet[[#This Row],[Available_h]]&gt;0),tblFleet[[#This Row],[Operating_h]]/tblFleet[[#This Row],[Available_h]],"")</f>
        <v/>
      </c>
    </row>
    <row r="2134">
      <c r="A2134" s="54" t="n"/>
      <c r="B2134" s="61" t="n"/>
      <c r="C2134" s="62" t="n"/>
      <c r="D2134" s="57" t="n"/>
      <c r="E2134" s="57" t="n"/>
      <c r="F2134" s="58" t="n"/>
      <c r="G2134" s="66">
        <f>IF(tblFleet[[#This Row],[Units]]="","",tblFleet[[#This Row],[Units]]*cfg_HoursPerDay)</f>
        <v/>
      </c>
      <c r="H2134" s="66">
        <f>IF(tblFleet[[#This Row],[Units]]="","",tblFleet[[#This Row],[Calendar_h]]-tblFleet[[#This Row],[Down_h]])</f>
        <v/>
      </c>
      <c r="I2134" s="60">
        <f>IF(AND(tblFleet[[#This Row],[Units]]&lt;&gt;"",tblFleet[[#This Row],[Calendar_h]]&gt;0),tblFleet[[#This Row],[Available_h]]/tblFleet[[#This Row],[Calendar_h]],"")</f>
        <v/>
      </c>
      <c r="J2134" s="60">
        <f>IF(AND(tblFleet[[#This Row],[Units]]&lt;&gt;"",tblFleet[[#This Row],[Available_h]]&gt;0),tblFleet[[#This Row],[Operating_h]]/tblFleet[[#This Row],[Available_h]],"")</f>
        <v/>
      </c>
    </row>
    <row r="2135">
      <c r="A2135" s="54" t="n"/>
      <c r="B2135" s="61" t="n"/>
      <c r="C2135" s="62" t="n"/>
      <c r="D2135" s="57" t="n"/>
      <c r="E2135" s="57" t="n"/>
      <c r="F2135" s="58" t="n"/>
      <c r="G2135" s="66">
        <f>IF(tblFleet[[#This Row],[Units]]="","",tblFleet[[#This Row],[Units]]*cfg_HoursPerDay)</f>
        <v/>
      </c>
      <c r="H2135" s="66">
        <f>IF(tblFleet[[#This Row],[Units]]="","",tblFleet[[#This Row],[Calendar_h]]-tblFleet[[#This Row],[Down_h]])</f>
        <v/>
      </c>
      <c r="I2135" s="60">
        <f>IF(AND(tblFleet[[#This Row],[Units]]&lt;&gt;"",tblFleet[[#This Row],[Calendar_h]]&gt;0),tblFleet[[#This Row],[Available_h]]/tblFleet[[#This Row],[Calendar_h]],"")</f>
        <v/>
      </c>
      <c r="J2135" s="60">
        <f>IF(AND(tblFleet[[#This Row],[Units]]&lt;&gt;"",tblFleet[[#This Row],[Available_h]]&gt;0),tblFleet[[#This Row],[Operating_h]]/tblFleet[[#This Row],[Available_h]],"")</f>
        <v/>
      </c>
    </row>
    <row r="2136">
      <c r="A2136" s="54" t="n"/>
      <c r="B2136" s="61" t="n"/>
      <c r="C2136" s="62" t="n"/>
      <c r="D2136" s="57" t="n"/>
      <c r="E2136" s="57" t="n"/>
      <c r="F2136" s="58" t="n"/>
      <c r="G2136" s="66">
        <f>IF(tblFleet[[#This Row],[Units]]="","",tblFleet[[#This Row],[Units]]*cfg_HoursPerDay)</f>
        <v/>
      </c>
      <c r="H2136" s="66">
        <f>IF(tblFleet[[#This Row],[Units]]="","",tblFleet[[#This Row],[Calendar_h]]-tblFleet[[#This Row],[Down_h]])</f>
        <v/>
      </c>
      <c r="I2136" s="60">
        <f>IF(AND(tblFleet[[#This Row],[Units]]&lt;&gt;"",tblFleet[[#This Row],[Calendar_h]]&gt;0),tblFleet[[#This Row],[Available_h]]/tblFleet[[#This Row],[Calendar_h]],"")</f>
        <v/>
      </c>
      <c r="J2136" s="60">
        <f>IF(AND(tblFleet[[#This Row],[Units]]&lt;&gt;"",tblFleet[[#This Row],[Available_h]]&gt;0),tblFleet[[#This Row],[Operating_h]]/tblFleet[[#This Row],[Available_h]],"")</f>
        <v/>
      </c>
    </row>
    <row r="2137">
      <c r="A2137" s="54" t="n"/>
      <c r="B2137" s="61" t="n"/>
      <c r="C2137" s="62" t="n"/>
      <c r="D2137" s="57" t="n"/>
      <c r="E2137" s="57" t="n"/>
      <c r="F2137" s="58" t="n"/>
      <c r="G2137" s="66">
        <f>IF(tblFleet[[#This Row],[Units]]="","",tblFleet[[#This Row],[Units]]*cfg_HoursPerDay)</f>
        <v/>
      </c>
      <c r="H2137" s="66">
        <f>IF(tblFleet[[#This Row],[Units]]="","",tblFleet[[#This Row],[Calendar_h]]-tblFleet[[#This Row],[Down_h]])</f>
        <v/>
      </c>
      <c r="I2137" s="60">
        <f>IF(AND(tblFleet[[#This Row],[Units]]&lt;&gt;"",tblFleet[[#This Row],[Calendar_h]]&gt;0),tblFleet[[#This Row],[Available_h]]/tblFleet[[#This Row],[Calendar_h]],"")</f>
        <v/>
      </c>
      <c r="J2137" s="60">
        <f>IF(AND(tblFleet[[#This Row],[Units]]&lt;&gt;"",tblFleet[[#This Row],[Available_h]]&gt;0),tblFleet[[#This Row],[Operating_h]]/tblFleet[[#This Row],[Available_h]],"")</f>
        <v/>
      </c>
    </row>
    <row r="2138">
      <c r="A2138" s="54" t="n"/>
      <c r="B2138" s="61" t="n"/>
      <c r="C2138" s="62" t="n"/>
      <c r="D2138" s="57" t="n"/>
      <c r="E2138" s="57" t="n"/>
      <c r="F2138" s="58" t="n"/>
      <c r="G2138" s="66">
        <f>IF(tblFleet[[#This Row],[Units]]="","",tblFleet[[#This Row],[Units]]*cfg_HoursPerDay)</f>
        <v/>
      </c>
      <c r="H2138" s="66">
        <f>IF(tblFleet[[#This Row],[Units]]="","",tblFleet[[#This Row],[Calendar_h]]-tblFleet[[#This Row],[Down_h]])</f>
        <v/>
      </c>
      <c r="I2138" s="60">
        <f>IF(AND(tblFleet[[#This Row],[Units]]&lt;&gt;"",tblFleet[[#This Row],[Calendar_h]]&gt;0),tblFleet[[#This Row],[Available_h]]/tblFleet[[#This Row],[Calendar_h]],"")</f>
        <v/>
      </c>
      <c r="J2138" s="60">
        <f>IF(AND(tblFleet[[#This Row],[Units]]&lt;&gt;"",tblFleet[[#This Row],[Available_h]]&gt;0),tblFleet[[#This Row],[Operating_h]]/tblFleet[[#This Row],[Available_h]],"")</f>
        <v/>
      </c>
    </row>
    <row r="2139">
      <c r="A2139" s="54" t="n"/>
      <c r="B2139" s="61" t="n"/>
      <c r="C2139" s="62" t="n"/>
      <c r="D2139" s="57" t="n"/>
      <c r="E2139" s="57" t="n"/>
      <c r="F2139" s="58" t="n"/>
      <c r="G2139" s="66">
        <f>IF(tblFleet[[#This Row],[Units]]="","",tblFleet[[#This Row],[Units]]*cfg_HoursPerDay)</f>
        <v/>
      </c>
      <c r="H2139" s="66">
        <f>IF(tblFleet[[#This Row],[Units]]="","",tblFleet[[#This Row],[Calendar_h]]-tblFleet[[#This Row],[Down_h]])</f>
        <v/>
      </c>
      <c r="I2139" s="60">
        <f>IF(AND(tblFleet[[#This Row],[Units]]&lt;&gt;"",tblFleet[[#This Row],[Calendar_h]]&gt;0),tblFleet[[#This Row],[Available_h]]/tblFleet[[#This Row],[Calendar_h]],"")</f>
        <v/>
      </c>
      <c r="J2139" s="60">
        <f>IF(AND(tblFleet[[#This Row],[Units]]&lt;&gt;"",tblFleet[[#This Row],[Available_h]]&gt;0),tblFleet[[#This Row],[Operating_h]]/tblFleet[[#This Row],[Available_h]],"")</f>
        <v/>
      </c>
    </row>
    <row r="2140">
      <c r="A2140" s="54" t="n"/>
      <c r="B2140" s="61" t="n"/>
      <c r="C2140" s="62" t="n"/>
      <c r="D2140" s="57" t="n"/>
      <c r="E2140" s="57" t="n"/>
      <c r="F2140" s="58" t="n"/>
      <c r="G2140" s="66">
        <f>IF(tblFleet[[#This Row],[Units]]="","",tblFleet[[#This Row],[Units]]*cfg_HoursPerDay)</f>
        <v/>
      </c>
      <c r="H2140" s="66">
        <f>IF(tblFleet[[#This Row],[Units]]="","",tblFleet[[#This Row],[Calendar_h]]-tblFleet[[#This Row],[Down_h]])</f>
        <v/>
      </c>
      <c r="I2140" s="60">
        <f>IF(AND(tblFleet[[#This Row],[Units]]&lt;&gt;"",tblFleet[[#This Row],[Calendar_h]]&gt;0),tblFleet[[#This Row],[Available_h]]/tblFleet[[#This Row],[Calendar_h]],"")</f>
        <v/>
      </c>
      <c r="J2140" s="60">
        <f>IF(AND(tblFleet[[#This Row],[Units]]&lt;&gt;"",tblFleet[[#This Row],[Available_h]]&gt;0),tblFleet[[#This Row],[Operating_h]]/tblFleet[[#This Row],[Available_h]],"")</f>
        <v/>
      </c>
    </row>
    <row r="2141">
      <c r="A2141" s="54" t="n"/>
      <c r="B2141" s="61" t="n"/>
      <c r="C2141" s="62" t="n"/>
      <c r="D2141" s="57" t="n"/>
      <c r="E2141" s="57" t="n"/>
      <c r="F2141" s="58" t="n"/>
      <c r="G2141" s="66">
        <f>IF(tblFleet[[#This Row],[Units]]="","",tblFleet[[#This Row],[Units]]*cfg_HoursPerDay)</f>
        <v/>
      </c>
      <c r="H2141" s="66">
        <f>IF(tblFleet[[#This Row],[Units]]="","",tblFleet[[#This Row],[Calendar_h]]-tblFleet[[#This Row],[Down_h]])</f>
        <v/>
      </c>
      <c r="I2141" s="60">
        <f>IF(AND(tblFleet[[#This Row],[Units]]&lt;&gt;"",tblFleet[[#This Row],[Calendar_h]]&gt;0),tblFleet[[#This Row],[Available_h]]/tblFleet[[#This Row],[Calendar_h]],"")</f>
        <v/>
      </c>
      <c r="J2141" s="60">
        <f>IF(AND(tblFleet[[#This Row],[Units]]&lt;&gt;"",tblFleet[[#This Row],[Available_h]]&gt;0),tblFleet[[#This Row],[Operating_h]]/tblFleet[[#This Row],[Available_h]],"")</f>
        <v/>
      </c>
    </row>
    <row r="2142">
      <c r="A2142" s="54" t="n"/>
      <c r="B2142" s="61" t="n"/>
      <c r="C2142" s="62" t="n"/>
      <c r="D2142" s="57" t="n"/>
      <c r="E2142" s="57" t="n"/>
      <c r="F2142" s="58" t="n"/>
      <c r="G2142" s="66">
        <f>IF(tblFleet[[#This Row],[Units]]="","",tblFleet[[#This Row],[Units]]*cfg_HoursPerDay)</f>
        <v/>
      </c>
      <c r="H2142" s="66">
        <f>IF(tblFleet[[#This Row],[Units]]="","",tblFleet[[#This Row],[Calendar_h]]-tblFleet[[#This Row],[Down_h]])</f>
        <v/>
      </c>
      <c r="I2142" s="60">
        <f>IF(AND(tblFleet[[#This Row],[Units]]&lt;&gt;"",tblFleet[[#This Row],[Calendar_h]]&gt;0),tblFleet[[#This Row],[Available_h]]/tblFleet[[#This Row],[Calendar_h]],"")</f>
        <v/>
      </c>
      <c r="J2142" s="60">
        <f>IF(AND(tblFleet[[#This Row],[Units]]&lt;&gt;"",tblFleet[[#This Row],[Available_h]]&gt;0),tblFleet[[#This Row],[Operating_h]]/tblFleet[[#This Row],[Available_h]],"")</f>
        <v/>
      </c>
    </row>
    <row r="2143">
      <c r="A2143" s="54" t="n"/>
      <c r="B2143" s="61" t="n"/>
      <c r="C2143" s="62" t="n"/>
      <c r="D2143" s="57" t="n"/>
      <c r="E2143" s="57" t="n"/>
      <c r="F2143" s="58" t="n"/>
      <c r="G2143" s="66">
        <f>IF(tblFleet[[#This Row],[Units]]="","",tblFleet[[#This Row],[Units]]*cfg_HoursPerDay)</f>
        <v/>
      </c>
      <c r="H2143" s="66">
        <f>IF(tblFleet[[#This Row],[Units]]="","",tblFleet[[#This Row],[Calendar_h]]-tblFleet[[#This Row],[Down_h]])</f>
        <v/>
      </c>
      <c r="I2143" s="60">
        <f>IF(AND(tblFleet[[#This Row],[Units]]&lt;&gt;"",tblFleet[[#This Row],[Calendar_h]]&gt;0),tblFleet[[#This Row],[Available_h]]/tblFleet[[#This Row],[Calendar_h]],"")</f>
        <v/>
      </c>
      <c r="J2143" s="60">
        <f>IF(AND(tblFleet[[#This Row],[Units]]&lt;&gt;"",tblFleet[[#This Row],[Available_h]]&gt;0),tblFleet[[#This Row],[Operating_h]]/tblFleet[[#This Row],[Available_h]],"")</f>
        <v/>
      </c>
    </row>
    <row r="2144">
      <c r="A2144" s="54" t="n"/>
      <c r="B2144" s="61" t="n"/>
      <c r="C2144" s="62" t="n"/>
      <c r="D2144" s="57" t="n"/>
      <c r="E2144" s="57" t="n"/>
      <c r="F2144" s="58" t="n"/>
      <c r="G2144" s="66">
        <f>IF(tblFleet[[#This Row],[Units]]="","",tblFleet[[#This Row],[Units]]*cfg_HoursPerDay)</f>
        <v/>
      </c>
      <c r="H2144" s="66">
        <f>IF(tblFleet[[#This Row],[Units]]="","",tblFleet[[#This Row],[Calendar_h]]-tblFleet[[#This Row],[Down_h]])</f>
        <v/>
      </c>
      <c r="I2144" s="60">
        <f>IF(AND(tblFleet[[#This Row],[Units]]&lt;&gt;"",tblFleet[[#This Row],[Calendar_h]]&gt;0),tblFleet[[#This Row],[Available_h]]/tblFleet[[#This Row],[Calendar_h]],"")</f>
        <v/>
      </c>
      <c r="J2144" s="60">
        <f>IF(AND(tblFleet[[#This Row],[Units]]&lt;&gt;"",tblFleet[[#This Row],[Available_h]]&gt;0),tblFleet[[#This Row],[Operating_h]]/tblFleet[[#This Row],[Available_h]],"")</f>
        <v/>
      </c>
    </row>
    <row r="2145">
      <c r="A2145" s="54" t="n"/>
      <c r="B2145" s="61" t="n"/>
      <c r="C2145" s="62" t="n"/>
      <c r="D2145" s="57" t="n"/>
      <c r="E2145" s="57" t="n"/>
      <c r="F2145" s="58" t="n"/>
      <c r="G2145" s="66">
        <f>IF(tblFleet[[#This Row],[Units]]="","",tblFleet[[#This Row],[Units]]*cfg_HoursPerDay)</f>
        <v/>
      </c>
      <c r="H2145" s="66">
        <f>IF(tblFleet[[#This Row],[Units]]="","",tblFleet[[#This Row],[Calendar_h]]-tblFleet[[#This Row],[Down_h]])</f>
        <v/>
      </c>
      <c r="I2145" s="60">
        <f>IF(AND(tblFleet[[#This Row],[Units]]&lt;&gt;"",tblFleet[[#This Row],[Calendar_h]]&gt;0),tblFleet[[#This Row],[Available_h]]/tblFleet[[#This Row],[Calendar_h]],"")</f>
        <v/>
      </c>
      <c r="J2145" s="60">
        <f>IF(AND(tblFleet[[#This Row],[Units]]&lt;&gt;"",tblFleet[[#This Row],[Available_h]]&gt;0),tblFleet[[#This Row],[Operating_h]]/tblFleet[[#This Row],[Available_h]],"")</f>
        <v/>
      </c>
    </row>
    <row r="2146">
      <c r="A2146" s="54" t="n"/>
      <c r="B2146" s="61" t="n"/>
      <c r="C2146" s="62" t="n"/>
      <c r="D2146" s="57" t="n"/>
      <c r="E2146" s="57" t="n"/>
      <c r="F2146" s="58" t="n"/>
      <c r="G2146" s="66">
        <f>IF(tblFleet[[#This Row],[Units]]="","",tblFleet[[#This Row],[Units]]*cfg_HoursPerDay)</f>
        <v/>
      </c>
      <c r="H2146" s="66">
        <f>IF(tblFleet[[#This Row],[Units]]="","",tblFleet[[#This Row],[Calendar_h]]-tblFleet[[#This Row],[Down_h]])</f>
        <v/>
      </c>
      <c r="I2146" s="60">
        <f>IF(AND(tblFleet[[#This Row],[Units]]&lt;&gt;"",tblFleet[[#This Row],[Calendar_h]]&gt;0),tblFleet[[#This Row],[Available_h]]/tblFleet[[#This Row],[Calendar_h]],"")</f>
        <v/>
      </c>
      <c r="J2146" s="60">
        <f>IF(AND(tblFleet[[#This Row],[Units]]&lt;&gt;"",tblFleet[[#This Row],[Available_h]]&gt;0),tblFleet[[#This Row],[Operating_h]]/tblFleet[[#This Row],[Available_h]],"")</f>
        <v/>
      </c>
    </row>
    <row r="2147">
      <c r="A2147" s="54" t="n"/>
      <c r="B2147" s="61" t="n"/>
      <c r="C2147" s="62" t="n"/>
      <c r="D2147" s="57" t="n"/>
      <c r="E2147" s="57" t="n"/>
      <c r="F2147" s="58" t="n"/>
      <c r="G2147" s="66">
        <f>IF(tblFleet[[#This Row],[Units]]="","",tblFleet[[#This Row],[Units]]*cfg_HoursPerDay)</f>
        <v/>
      </c>
      <c r="H2147" s="66">
        <f>IF(tblFleet[[#This Row],[Units]]="","",tblFleet[[#This Row],[Calendar_h]]-tblFleet[[#This Row],[Down_h]])</f>
        <v/>
      </c>
      <c r="I2147" s="60">
        <f>IF(AND(tblFleet[[#This Row],[Units]]&lt;&gt;"",tblFleet[[#This Row],[Calendar_h]]&gt;0),tblFleet[[#This Row],[Available_h]]/tblFleet[[#This Row],[Calendar_h]],"")</f>
        <v/>
      </c>
      <c r="J2147" s="60">
        <f>IF(AND(tblFleet[[#This Row],[Units]]&lt;&gt;"",tblFleet[[#This Row],[Available_h]]&gt;0),tblFleet[[#This Row],[Operating_h]]/tblFleet[[#This Row],[Available_h]],"")</f>
        <v/>
      </c>
    </row>
    <row r="2148">
      <c r="A2148" s="54" t="n"/>
      <c r="B2148" s="61" t="n"/>
      <c r="C2148" s="62" t="n"/>
      <c r="D2148" s="57" t="n"/>
      <c r="E2148" s="57" t="n"/>
      <c r="F2148" s="58" t="n"/>
      <c r="G2148" s="66">
        <f>IF(tblFleet[[#This Row],[Units]]="","",tblFleet[[#This Row],[Units]]*cfg_HoursPerDay)</f>
        <v/>
      </c>
      <c r="H2148" s="66">
        <f>IF(tblFleet[[#This Row],[Units]]="","",tblFleet[[#This Row],[Calendar_h]]-tblFleet[[#This Row],[Down_h]])</f>
        <v/>
      </c>
      <c r="I2148" s="60">
        <f>IF(AND(tblFleet[[#This Row],[Units]]&lt;&gt;"",tblFleet[[#This Row],[Calendar_h]]&gt;0),tblFleet[[#This Row],[Available_h]]/tblFleet[[#This Row],[Calendar_h]],"")</f>
        <v/>
      </c>
      <c r="J2148" s="60">
        <f>IF(AND(tblFleet[[#This Row],[Units]]&lt;&gt;"",tblFleet[[#This Row],[Available_h]]&gt;0),tblFleet[[#This Row],[Operating_h]]/tblFleet[[#This Row],[Available_h]],"")</f>
        <v/>
      </c>
    </row>
    <row r="2149">
      <c r="A2149" s="54" t="n"/>
      <c r="B2149" s="61" t="n"/>
      <c r="C2149" s="62" t="n"/>
      <c r="D2149" s="57" t="n"/>
      <c r="E2149" s="57" t="n"/>
      <c r="F2149" s="58" t="n"/>
      <c r="G2149" s="66">
        <f>IF(tblFleet[[#This Row],[Units]]="","",tblFleet[[#This Row],[Units]]*cfg_HoursPerDay)</f>
        <v/>
      </c>
      <c r="H2149" s="66">
        <f>IF(tblFleet[[#This Row],[Units]]="","",tblFleet[[#This Row],[Calendar_h]]-tblFleet[[#This Row],[Down_h]])</f>
        <v/>
      </c>
      <c r="I2149" s="60">
        <f>IF(AND(tblFleet[[#This Row],[Units]]&lt;&gt;"",tblFleet[[#This Row],[Calendar_h]]&gt;0),tblFleet[[#This Row],[Available_h]]/tblFleet[[#This Row],[Calendar_h]],"")</f>
        <v/>
      </c>
      <c r="J2149" s="60">
        <f>IF(AND(tblFleet[[#This Row],[Units]]&lt;&gt;"",tblFleet[[#This Row],[Available_h]]&gt;0),tblFleet[[#This Row],[Operating_h]]/tblFleet[[#This Row],[Available_h]],"")</f>
        <v/>
      </c>
    </row>
    <row r="2150">
      <c r="A2150" s="54" t="n"/>
      <c r="B2150" s="61" t="n"/>
      <c r="C2150" s="62" t="n"/>
      <c r="D2150" s="57" t="n"/>
      <c r="E2150" s="57" t="n"/>
      <c r="F2150" s="58" t="n"/>
      <c r="G2150" s="66">
        <f>IF(tblFleet[[#This Row],[Units]]="","",tblFleet[[#This Row],[Units]]*cfg_HoursPerDay)</f>
        <v/>
      </c>
      <c r="H2150" s="66">
        <f>IF(tblFleet[[#This Row],[Units]]="","",tblFleet[[#This Row],[Calendar_h]]-tblFleet[[#This Row],[Down_h]])</f>
        <v/>
      </c>
      <c r="I2150" s="60">
        <f>IF(AND(tblFleet[[#This Row],[Units]]&lt;&gt;"",tblFleet[[#This Row],[Calendar_h]]&gt;0),tblFleet[[#This Row],[Available_h]]/tblFleet[[#This Row],[Calendar_h]],"")</f>
        <v/>
      </c>
      <c r="J2150" s="60">
        <f>IF(AND(tblFleet[[#This Row],[Units]]&lt;&gt;"",tblFleet[[#This Row],[Available_h]]&gt;0),tblFleet[[#This Row],[Operating_h]]/tblFleet[[#This Row],[Available_h]],"")</f>
        <v/>
      </c>
    </row>
    <row r="2151">
      <c r="A2151" s="54" t="n"/>
      <c r="B2151" s="61" t="n"/>
      <c r="C2151" s="62" t="n"/>
      <c r="D2151" s="57" t="n"/>
      <c r="E2151" s="57" t="n"/>
      <c r="F2151" s="58" t="n"/>
      <c r="G2151" s="66">
        <f>IF(tblFleet[[#This Row],[Units]]="","",tblFleet[[#This Row],[Units]]*cfg_HoursPerDay)</f>
        <v/>
      </c>
      <c r="H2151" s="66">
        <f>IF(tblFleet[[#This Row],[Units]]="","",tblFleet[[#This Row],[Calendar_h]]-tblFleet[[#This Row],[Down_h]])</f>
        <v/>
      </c>
      <c r="I2151" s="60">
        <f>IF(AND(tblFleet[[#This Row],[Units]]&lt;&gt;"",tblFleet[[#This Row],[Calendar_h]]&gt;0),tblFleet[[#This Row],[Available_h]]/tblFleet[[#This Row],[Calendar_h]],"")</f>
        <v/>
      </c>
      <c r="J2151" s="60">
        <f>IF(AND(tblFleet[[#This Row],[Units]]&lt;&gt;"",tblFleet[[#This Row],[Available_h]]&gt;0),tblFleet[[#This Row],[Operating_h]]/tblFleet[[#This Row],[Available_h]],"")</f>
        <v/>
      </c>
    </row>
    <row r="2152">
      <c r="A2152" s="54" t="n"/>
      <c r="B2152" s="61" t="n"/>
      <c r="C2152" s="62" t="n"/>
      <c r="D2152" s="57" t="n"/>
      <c r="E2152" s="57" t="n"/>
      <c r="F2152" s="58" t="n"/>
      <c r="G2152" s="66">
        <f>IF(tblFleet[[#This Row],[Units]]="","",tblFleet[[#This Row],[Units]]*cfg_HoursPerDay)</f>
        <v/>
      </c>
      <c r="H2152" s="66">
        <f>IF(tblFleet[[#This Row],[Units]]="","",tblFleet[[#This Row],[Calendar_h]]-tblFleet[[#This Row],[Down_h]])</f>
        <v/>
      </c>
      <c r="I2152" s="60">
        <f>IF(AND(tblFleet[[#This Row],[Units]]&lt;&gt;"",tblFleet[[#This Row],[Calendar_h]]&gt;0),tblFleet[[#This Row],[Available_h]]/tblFleet[[#This Row],[Calendar_h]],"")</f>
        <v/>
      </c>
      <c r="J2152" s="60">
        <f>IF(AND(tblFleet[[#This Row],[Units]]&lt;&gt;"",tblFleet[[#This Row],[Available_h]]&gt;0),tblFleet[[#This Row],[Operating_h]]/tblFleet[[#This Row],[Available_h]],"")</f>
        <v/>
      </c>
    </row>
    <row r="2153">
      <c r="A2153" s="54" t="n"/>
      <c r="B2153" s="61" t="n"/>
      <c r="C2153" s="62" t="n"/>
      <c r="D2153" s="57" t="n"/>
      <c r="E2153" s="57" t="n"/>
      <c r="F2153" s="58" t="n"/>
      <c r="G2153" s="66">
        <f>IF(tblFleet[[#This Row],[Units]]="","",tblFleet[[#This Row],[Units]]*cfg_HoursPerDay)</f>
        <v/>
      </c>
      <c r="H2153" s="66">
        <f>IF(tblFleet[[#This Row],[Units]]="","",tblFleet[[#This Row],[Calendar_h]]-tblFleet[[#This Row],[Down_h]])</f>
        <v/>
      </c>
      <c r="I2153" s="60">
        <f>IF(AND(tblFleet[[#This Row],[Units]]&lt;&gt;"",tblFleet[[#This Row],[Calendar_h]]&gt;0),tblFleet[[#This Row],[Available_h]]/tblFleet[[#This Row],[Calendar_h]],"")</f>
        <v/>
      </c>
      <c r="J2153" s="60">
        <f>IF(AND(tblFleet[[#This Row],[Units]]&lt;&gt;"",tblFleet[[#This Row],[Available_h]]&gt;0),tblFleet[[#This Row],[Operating_h]]/tblFleet[[#This Row],[Available_h]],"")</f>
        <v/>
      </c>
    </row>
    <row r="2154">
      <c r="A2154" s="54" t="n"/>
      <c r="B2154" s="61" t="n"/>
      <c r="C2154" s="62" t="n"/>
      <c r="D2154" s="57" t="n"/>
      <c r="E2154" s="57" t="n"/>
      <c r="F2154" s="58" t="n"/>
      <c r="G2154" s="66">
        <f>IF(tblFleet[[#This Row],[Units]]="","",tblFleet[[#This Row],[Units]]*cfg_HoursPerDay)</f>
        <v/>
      </c>
      <c r="H2154" s="66">
        <f>IF(tblFleet[[#This Row],[Units]]="","",tblFleet[[#This Row],[Calendar_h]]-tblFleet[[#This Row],[Down_h]])</f>
        <v/>
      </c>
      <c r="I2154" s="60">
        <f>IF(AND(tblFleet[[#This Row],[Units]]&lt;&gt;"",tblFleet[[#This Row],[Calendar_h]]&gt;0),tblFleet[[#This Row],[Available_h]]/tblFleet[[#This Row],[Calendar_h]],"")</f>
        <v/>
      </c>
      <c r="J2154" s="60">
        <f>IF(AND(tblFleet[[#This Row],[Units]]&lt;&gt;"",tblFleet[[#This Row],[Available_h]]&gt;0),tblFleet[[#This Row],[Operating_h]]/tblFleet[[#This Row],[Available_h]],"")</f>
        <v/>
      </c>
    </row>
    <row r="2155">
      <c r="A2155" s="54" t="n"/>
      <c r="B2155" s="61" t="n"/>
      <c r="C2155" s="62" t="n"/>
      <c r="D2155" s="57" t="n"/>
      <c r="E2155" s="57" t="n"/>
      <c r="F2155" s="58" t="n"/>
      <c r="G2155" s="66">
        <f>IF(tblFleet[[#This Row],[Units]]="","",tblFleet[[#This Row],[Units]]*cfg_HoursPerDay)</f>
        <v/>
      </c>
      <c r="H2155" s="66">
        <f>IF(tblFleet[[#This Row],[Units]]="","",tblFleet[[#This Row],[Calendar_h]]-tblFleet[[#This Row],[Down_h]])</f>
        <v/>
      </c>
      <c r="I2155" s="60">
        <f>IF(AND(tblFleet[[#This Row],[Units]]&lt;&gt;"",tblFleet[[#This Row],[Calendar_h]]&gt;0),tblFleet[[#This Row],[Available_h]]/tblFleet[[#This Row],[Calendar_h]],"")</f>
        <v/>
      </c>
      <c r="J2155" s="60">
        <f>IF(AND(tblFleet[[#This Row],[Units]]&lt;&gt;"",tblFleet[[#This Row],[Available_h]]&gt;0),tblFleet[[#This Row],[Operating_h]]/tblFleet[[#This Row],[Available_h]],"")</f>
        <v/>
      </c>
    </row>
    <row r="2156">
      <c r="A2156" s="54" t="n"/>
      <c r="B2156" s="61" t="n"/>
      <c r="C2156" s="62" t="n"/>
      <c r="D2156" s="57" t="n"/>
      <c r="E2156" s="57" t="n"/>
      <c r="F2156" s="58" t="n"/>
      <c r="G2156" s="66">
        <f>IF(tblFleet[[#This Row],[Units]]="","",tblFleet[[#This Row],[Units]]*cfg_HoursPerDay)</f>
        <v/>
      </c>
      <c r="H2156" s="66">
        <f>IF(tblFleet[[#This Row],[Units]]="","",tblFleet[[#This Row],[Calendar_h]]-tblFleet[[#This Row],[Down_h]])</f>
        <v/>
      </c>
      <c r="I2156" s="60">
        <f>IF(AND(tblFleet[[#This Row],[Units]]&lt;&gt;"",tblFleet[[#This Row],[Calendar_h]]&gt;0),tblFleet[[#This Row],[Available_h]]/tblFleet[[#This Row],[Calendar_h]],"")</f>
        <v/>
      </c>
      <c r="J2156" s="60">
        <f>IF(AND(tblFleet[[#This Row],[Units]]&lt;&gt;"",tblFleet[[#This Row],[Available_h]]&gt;0),tblFleet[[#This Row],[Operating_h]]/tblFleet[[#This Row],[Available_h]],"")</f>
        <v/>
      </c>
    </row>
    <row r="2157">
      <c r="A2157" s="54" t="n"/>
      <c r="B2157" s="61" t="n"/>
      <c r="C2157" s="62" t="n"/>
      <c r="D2157" s="57" t="n"/>
      <c r="E2157" s="57" t="n"/>
      <c r="F2157" s="58" t="n"/>
      <c r="G2157" s="66">
        <f>IF(tblFleet[[#This Row],[Units]]="","",tblFleet[[#This Row],[Units]]*cfg_HoursPerDay)</f>
        <v/>
      </c>
      <c r="H2157" s="66">
        <f>IF(tblFleet[[#This Row],[Units]]="","",tblFleet[[#This Row],[Calendar_h]]-tblFleet[[#This Row],[Down_h]])</f>
        <v/>
      </c>
      <c r="I2157" s="60">
        <f>IF(AND(tblFleet[[#This Row],[Units]]&lt;&gt;"",tblFleet[[#This Row],[Calendar_h]]&gt;0),tblFleet[[#This Row],[Available_h]]/tblFleet[[#This Row],[Calendar_h]],"")</f>
        <v/>
      </c>
      <c r="J2157" s="60">
        <f>IF(AND(tblFleet[[#This Row],[Units]]&lt;&gt;"",tblFleet[[#This Row],[Available_h]]&gt;0),tblFleet[[#This Row],[Operating_h]]/tblFleet[[#This Row],[Available_h]],"")</f>
        <v/>
      </c>
    </row>
    <row r="2158">
      <c r="A2158" s="54" t="n"/>
      <c r="B2158" s="61" t="n"/>
      <c r="C2158" s="62" t="n"/>
      <c r="D2158" s="57" t="n"/>
      <c r="E2158" s="57" t="n"/>
      <c r="F2158" s="58" t="n"/>
      <c r="G2158" s="66">
        <f>IF(tblFleet[[#This Row],[Units]]="","",tblFleet[[#This Row],[Units]]*cfg_HoursPerDay)</f>
        <v/>
      </c>
      <c r="H2158" s="66">
        <f>IF(tblFleet[[#This Row],[Units]]="","",tblFleet[[#This Row],[Calendar_h]]-tblFleet[[#This Row],[Down_h]])</f>
        <v/>
      </c>
      <c r="I2158" s="60">
        <f>IF(AND(tblFleet[[#This Row],[Units]]&lt;&gt;"",tblFleet[[#This Row],[Calendar_h]]&gt;0),tblFleet[[#This Row],[Available_h]]/tblFleet[[#This Row],[Calendar_h]],"")</f>
        <v/>
      </c>
      <c r="J2158" s="60">
        <f>IF(AND(tblFleet[[#This Row],[Units]]&lt;&gt;"",tblFleet[[#This Row],[Available_h]]&gt;0),tblFleet[[#This Row],[Operating_h]]/tblFleet[[#This Row],[Available_h]],"")</f>
        <v/>
      </c>
    </row>
    <row r="2159">
      <c r="A2159" s="54" t="n"/>
      <c r="B2159" s="61" t="n"/>
      <c r="C2159" s="62" t="n"/>
      <c r="D2159" s="57" t="n"/>
      <c r="E2159" s="57" t="n"/>
      <c r="F2159" s="58" t="n"/>
      <c r="G2159" s="66">
        <f>IF(tblFleet[[#This Row],[Units]]="","",tblFleet[[#This Row],[Units]]*cfg_HoursPerDay)</f>
        <v/>
      </c>
      <c r="H2159" s="66">
        <f>IF(tblFleet[[#This Row],[Units]]="","",tblFleet[[#This Row],[Calendar_h]]-tblFleet[[#This Row],[Down_h]])</f>
        <v/>
      </c>
      <c r="I2159" s="60">
        <f>IF(AND(tblFleet[[#This Row],[Units]]&lt;&gt;"",tblFleet[[#This Row],[Calendar_h]]&gt;0),tblFleet[[#This Row],[Available_h]]/tblFleet[[#This Row],[Calendar_h]],"")</f>
        <v/>
      </c>
      <c r="J2159" s="60">
        <f>IF(AND(tblFleet[[#This Row],[Units]]&lt;&gt;"",tblFleet[[#This Row],[Available_h]]&gt;0),tblFleet[[#This Row],[Operating_h]]/tblFleet[[#This Row],[Available_h]],"")</f>
        <v/>
      </c>
    </row>
    <row r="2160">
      <c r="A2160" s="54" t="n"/>
      <c r="B2160" s="61" t="n"/>
      <c r="C2160" s="62" t="n"/>
      <c r="D2160" s="57" t="n"/>
      <c r="E2160" s="57" t="n"/>
      <c r="F2160" s="58" t="n"/>
      <c r="G2160" s="66">
        <f>IF(tblFleet[[#This Row],[Units]]="","",tblFleet[[#This Row],[Units]]*cfg_HoursPerDay)</f>
        <v/>
      </c>
      <c r="H2160" s="66">
        <f>IF(tblFleet[[#This Row],[Units]]="","",tblFleet[[#This Row],[Calendar_h]]-tblFleet[[#This Row],[Down_h]])</f>
        <v/>
      </c>
      <c r="I2160" s="60">
        <f>IF(AND(tblFleet[[#This Row],[Units]]&lt;&gt;"",tblFleet[[#This Row],[Calendar_h]]&gt;0),tblFleet[[#This Row],[Available_h]]/tblFleet[[#This Row],[Calendar_h]],"")</f>
        <v/>
      </c>
      <c r="J2160" s="60">
        <f>IF(AND(tblFleet[[#This Row],[Units]]&lt;&gt;"",tblFleet[[#This Row],[Available_h]]&gt;0),tblFleet[[#This Row],[Operating_h]]/tblFleet[[#This Row],[Available_h]],"")</f>
        <v/>
      </c>
    </row>
    <row r="2161">
      <c r="A2161" s="54" t="n"/>
      <c r="B2161" s="61" t="n"/>
      <c r="C2161" s="62" t="n"/>
      <c r="D2161" s="57" t="n"/>
      <c r="E2161" s="57" t="n"/>
      <c r="F2161" s="58" t="n"/>
      <c r="G2161" s="66">
        <f>IF(tblFleet[[#This Row],[Units]]="","",tblFleet[[#This Row],[Units]]*cfg_HoursPerDay)</f>
        <v/>
      </c>
      <c r="H2161" s="66">
        <f>IF(tblFleet[[#This Row],[Units]]="","",tblFleet[[#This Row],[Calendar_h]]-tblFleet[[#This Row],[Down_h]])</f>
        <v/>
      </c>
      <c r="I2161" s="60">
        <f>IF(AND(tblFleet[[#This Row],[Units]]&lt;&gt;"",tblFleet[[#This Row],[Calendar_h]]&gt;0),tblFleet[[#This Row],[Available_h]]/tblFleet[[#This Row],[Calendar_h]],"")</f>
        <v/>
      </c>
      <c r="J2161" s="60">
        <f>IF(AND(tblFleet[[#This Row],[Units]]&lt;&gt;"",tblFleet[[#This Row],[Available_h]]&gt;0),tblFleet[[#This Row],[Operating_h]]/tblFleet[[#This Row],[Available_h]],"")</f>
        <v/>
      </c>
    </row>
    <row r="2162">
      <c r="A2162" s="54" t="n"/>
      <c r="B2162" s="61" t="n"/>
      <c r="C2162" s="62" t="n"/>
      <c r="D2162" s="57" t="n"/>
      <c r="E2162" s="57" t="n"/>
      <c r="F2162" s="58" t="n"/>
      <c r="G2162" s="66">
        <f>IF(tblFleet[[#This Row],[Units]]="","",tblFleet[[#This Row],[Units]]*cfg_HoursPerDay)</f>
        <v/>
      </c>
      <c r="H2162" s="66">
        <f>IF(tblFleet[[#This Row],[Units]]="","",tblFleet[[#This Row],[Calendar_h]]-tblFleet[[#This Row],[Down_h]])</f>
        <v/>
      </c>
      <c r="I2162" s="60">
        <f>IF(AND(tblFleet[[#This Row],[Units]]&lt;&gt;"",tblFleet[[#This Row],[Calendar_h]]&gt;0),tblFleet[[#This Row],[Available_h]]/tblFleet[[#This Row],[Calendar_h]],"")</f>
        <v/>
      </c>
      <c r="J2162" s="60">
        <f>IF(AND(tblFleet[[#This Row],[Units]]&lt;&gt;"",tblFleet[[#This Row],[Available_h]]&gt;0),tblFleet[[#This Row],[Operating_h]]/tblFleet[[#This Row],[Available_h]],"")</f>
        <v/>
      </c>
    </row>
    <row r="2163">
      <c r="A2163" s="54" t="n"/>
      <c r="B2163" s="61" t="n"/>
      <c r="C2163" s="62" t="n"/>
      <c r="D2163" s="57" t="n"/>
      <c r="E2163" s="57" t="n"/>
      <c r="F2163" s="58" t="n"/>
      <c r="G2163" s="66">
        <f>IF(tblFleet[[#This Row],[Units]]="","",tblFleet[[#This Row],[Units]]*cfg_HoursPerDay)</f>
        <v/>
      </c>
      <c r="H2163" s="66">
        <f>IF(tblFleet[[#This Row],[Units]]="","",tblFleet[[#This Row],[Calendar_h]]-tblFleet[[#This Row],[Down_h]])</f>
        <v/>
      </c>
      <c r="I2163" s="60">
        <f>IF(AND(tblFleet[[#This Row],[Units]]&lt;&gt;"",tblFleet[[#This Row],[Calendar_h]]&gt;0),tblFleet[[#This Row],[Available_h]]/tblFleet[[#This Row],[Calendar_h]],"")</f>
        <v/>
      </c>
      <c r="J2163" s="60">
        <f>IF(AND(tblFleet[[#This Row],[Units]]&lt;&gt;"",tblFleet[[#This Row],[Available_h]]&gt;0),tblFleet[[#This Row],[Operating_h]]/tblFleet[[#This Row],[Available_h]],"")</f>
        <v/>
      </c>
    </row>
    <row r="2164">
      <c r="A2164" s="54" t="n"/>
      <c r="B2164" s="61" t="n"/>
      <c r="C2164" s="62" t="n"/>
      <c r="D2164" s="57" t="n"/>
      <c r="E2164" s="57" t="n"/>
      <c r="F2164" s="58" t="n"/>
      <c r="G2164" s="66">
        <f>IF(tblFleet[[#This Row],[Units]]="","",tblFleet[[#This Row],[Units]]*cfg_HoursPerDay)</f>
        <v/>
      </c>
      <c r="H2164" s="66">
        <f>IF(tblFleet[[#This Row],[Units]]="","",tblFleet[[#This Row],[Calendar_h]]-tblFleet[[#This Row],[Down_h]])</f>
        <v/>
      </c>
      <c r="I2164" s="60">
        <f>IF(AND(tblFleet[[#This Row],[Units]]&lt;&gt;"",tblFleet[[#This Row],[Calendar_h]]&gt;0),tblFleet[[#This Row],[Available_h]]/tblFleet[[#This Row],[Calendar_h]],"")</f>
        <v/>
      </c>
      <c r="J2164" s="60">
        <f>IF(AND(tblFleet[[#This Row],[Units]]&lt;&gt;"",tblFleet[[#This Row],[Available_h]]&gt;0),tblFleet[[#This Row],[Operating_h]]/tblFleet[[#This Row],[Available_h]],"")</f>
        <v/>
      </c>
    </row>
    <row r="2165">
      <c r="A2165" s="54" t="n"/>
      <c r="B2165" s="61" t="n"/>
      <c r="C2165" s="62" t="n"/>
      <c r="D2165" s="57" t="n"/>
      <c r="E2165" s="57" t="n"/>
      <c r="F2165" s="58" t="n"/>
      <c r="G2165" s="66">
        <f>IF(tblFleet[[#This Row],[Units]]="","",tblFleet[[#This Row],[Units]]*cfg_HoursPerDay)</f>
        <v/>
      </c>
      <c r="H2165" s="66">
        <f>IF(tblFleet[[#This Row],[Units]]="","",tblFleet[[#This Row],[Calendar_h]]-tblFleet[[#This Row],[Down_h]])</f>
        <v/>
      </c>
      <c r="I2165" s="60">
        <f>IF(AND(tblFleet[[#This Row],[Units]]&lt;&gt;"",tblFleet[[#This Row],[Calendar_h]]&gt;0),tblFleet[[#This Row],[Available_h]]/tblFleet[[#This Row],[Calendar_h]],"")</f>
        <v/>
      </c>
      <c r="J2165" s="60">
        <f>IF(AND(tblFleet[[#This Row],[Units]]&lt;&gt;"",tblFleet[[#This Row],[Available_h]]&gt;0),tblFleet[[#This Row],[Operating_h]]/tblFleet[[#This Row],[Available_h]],"")</f>
        <v/>
      </c>
    </row>
    <row r="2166">
      <c r="A2166" s="54" t="n"/>
      <c r="B2166" s="61" t="n"/>
      <c r="C2166" s="62" t="n"/>
      <c r="D2166" s="57" t="n"/>
      <c r="E2166" s="57" t="n"/>
      <c r="F2166" s="58" t="n"/>
      <c r="G2166" s="66">
        <f>IF(tblFleet[[#This Row],[Units]]="","",tblFleet[[#This Row],[Units]]*cfg_HoursPerDay)</f>
        <v/>
      </c>
      <c r="H2166" s="66">
        <f>IF(tblFleet[[#This Row],[Units]]="","",tblFleet[[#This Row],[Calendar_h]]-tblFleet[[#This Row],[Down_h]])</f>
        <v/>
      </c>
      <c r="I2166" s="60">
        <f>IF(AND(tblFleet[[#This Row],[Units]]&lt;&gt;"",tblFleet[[#This Row],[Calendar_h]]&gt;0),tblFleet[[#This Row],[Available_h]]/tblFleet[[#This Row],[Calendar_h]],"")</f>
        <v/>
      </c>
      <c r="J2166" s="60">
        <f>IF(AND(tblFleet[[#This Row],[Units]]&lt;&gt;"",tblFleet[[#This Row],[Available_h]]&gt;0),tblFleet[[#This Row],[Operating_h]]/tblFleet[[#This Row],[Available_h]],"")</f>
        <v/>
      </c>
    </row>
    <row r="2167">
      <c r="A2167" s="54" t="n"/>
      <c r="B2167" s="61" t="n"/>
      <c r="C2167" s="62" t="n"/>
      <c r="D2167" s="57" t="n"/>
      <c r="E2167" s="57" t="n"/>
      <c r="F2167" s="58" t="n"/>
      <c r="G2167" s="66">
        <f>IF(tblFleet[[#This Row],[Units]]="","",tblFleet[[#This Row],[Units]]*cfg_HoursPerDay)</f>
        <v/>
      </c>
      <c r="H2167" s="66">
        <f>IF(tblFleet[[#This Row],[Units]]="","",tblFleet[[#This Row],[Calendar_h]]-tblFleet[[#This Row],[Down_h]])</f>
        <v/>
      </c>
      <c r="I2167" s="60">
        <f>IF(AND(tblFleet[[#This Row],[Units]]&lt;&gt;"",tblFleet[[#This Row],[Calendar_h]]&gt;0),tblFleet[[#This Row],[Available_h]]/tblFleet[[#This Row],[Calendar_h]],"")</f>
        <v/>
      </c>
      <c r="J2167" s="60">
        <f>IF(AND(tblFleet[[#This Row],[Units]]&lt;&gt;"",tblFleet[[#This Row],[Available_h]]&gt;0),tblFleet[[#This Row],[Operating_h]]/tblFleet[[#This Row],[Available_h]],"")</f>
        <v/>
      </c>
    </row>
    <row r="2168">
      <c r="A2168" s="54" t="n"/>
      <c r="B2168" s="61" t="n"/>
      <c r="C2168" s="62" t="n"/>
      <c r="D2168" s="57" t="n"/>
      <c r="E2168" s="57" t="n"/>
      <c r="F2168" s="58" t="n"/>
      <c r="G2168" s="66">
        <f>IF(tblFleet[[#This Row],[Units]]="","",tblFleet[[#This Row],[Units]]*cfg_HoursPerDay)</f>
        <v/>
      </c>
      <c r="H2168" s="66">
        <f>IF(tblFleet[[#This Row],[Units]]="","",tblFleet[[#This Row],[Calendar_h]]-tblFleet[[#This Row],[Down_h]])</f>
        <v/>
      </c>
      <c r="I2168" s="60">
        <f>IF(AND(tblFleet[[#This Row],[Units]]&lt;&gt;"",tblFleet[[#This Row],[Calendar_h]]&gt;0),tblFleet[[#This Row],[Available_h]]/tblFleet[[#This Row],[Calendar_h]],"")</f>
        <v/>
      </c>
      <c r="J2168" s="60">
        <f>IF(AND(tblFleet[[#This Row],[Units]]&lt;&gt;"",tblFleet[[#This Row],[Available_h]]&gt;0),tblFleet[[#This Row],[Operating_h]]/tblFleet[[#This Row],[Available_h]],"")</f>
        <v/>
      </c>
    </row>
    <row r="2169">
      <c r="A2169" s="54" t="n"/>
      <c r="B2169" s="61" t="n"/>
      <c r="C2169" s="62" t="n"/>
      <c r="D2169" s="57" t="n"/>
      <c r="E2169" s="57" t="n"/>
      <c r="F2169" s="58" t="n"/>
      <c r="G2169" s="66">
        <f>IF(tblFleet[[#This Row],[Units]]="","",tblFleet[[#This Row],[Units]]*cfg_HoursPerDay)</f>
        <v/>
      </c>
      <c r="H2169" s="66">
        <f>IF(tblFleet[[#This Row],[Units]]="","",tblFleet[[#This Row],[Calendar_h]]-tblFleet[[#This Row],[Down_h]])</f>
        <v/>
      </c>
      <c r="I2169" s="60">
        <f>IF(AND(tblFleet[[#This Row],[Units]]&lt;&gt;"",tblFleet[[#This Row],[Calendar_h]]&gt;0),tblFleet[[#This Row],[Available_h]]/tblFleet[[#This Row],[Calendar_h]],"")</f>
        <v/>
      </c>
      <c r="J2169" s="60">
        <f>IF(AND(tblFleet[[#This Row],[Units]]&lt;&gt;"",tblFleet[[#This Row],[Available_h]]&gt;0),tblFleet[[#This Row],[Operating_h]]/tblFleet[[#This Row],[Available_h]],"")</f>
        <v/>
      </c>
    </row>
    <row r="2170">
      <c r="A2170" s="54" t="n"/>
      <c r="B2170" s="61" t="n"/>
      <c r="C2170" s="62" t="n"/>
      <c r="D2170" s="57" t="n"/>
      <c r="E2170" s="57" t="n"/>
      <c r="F2170" s="58" t="n"/>
      <c r="G2170" s="66">
        <f>IF(tblFleet[[#This Row],[Units]]="","",tblFleet[[#This Row],[Units]]*cfg_HoursPerDay)</f>
        <v/>
      </c>
      <c r="H2170" s="66">
        <f>IF(tblFleet[[#This Row],[Units]]="","",tblFleet[[#This Row],[Calendar_h]]-tblFleet[[#This Row],[Down_h]])</f>
        <v/>
      </c>
      <c r="I2170" s="60">
        <f>IF(AND(tblFleet[[#This Row],[Units]]&lt;&gt;"",tblFleet[[#This Row],[Calendar_h]]&gt;0),tblFleet[[#This Row],[Available_h]]/tblFleet[[#This Row],[Calendar_h]],"")</f>
        <v/>
      </c>
      <c r="J2170" s="60">
        <f>IF(AND(tblFleet[[#This Row],[Units]]&lt;&gt;"",tblFleet[[#This Row],[Available_h]]&gt;0),tblFleet[[#This Row],[Operating_h]]/tblFleet[[#This Row],[Available_h]],"")</f>
        <v/>
      </c>
    </row>
    <row r="2171">
      <c r="A2171" s="54" t="n"/>
      <c r="B2171" s="61" t="n"/>
      <c r="C2171" s="62" t="n"/>
      <c r="D2171" s="57" t="n"/>
      <c r="E2171" s="57" t="n"/>
      <c r="F2171" s="58" t="n"/>
      <c r="G2171" s="66">
        <f>IF(tblFleet[[#This Row],[Units]]="","",tblFleet[[#This Row],[Units]]*cfg_HoursPerDay)</f>
        <v/>
      </c>
      <c r="H2171" s="66">
        <f>IF(tblFleet[[#This Row],[Units]]="","",tblFleet[[#This Row],[Calendar_h]]-tblFleet[[#This Row],[Down_h]])</f>
        <v/>
      </c>
      <c r="I2171" s="60">
        <f>IF(AND(tblFleet[[#This Row],[Units]]&lt;&gt;"",tblFleet[[#This Row],[Calendar_h]]&gt;0),tblFleet[[#This Row],[Available_h]]/tblFleet[[#This Row],[Calendar_h]],"")</f>
        <v/>
      </c>
      <c r="J2171" s="60">
        <f>IF(AND(tblFleet[[#This Row],[Units]]&lt;&gt;"",tblFleet[[#This Row],[Available_h]]&gt;0),tblFleet[[#This Row],[Operating_h]]/tblFleet[[#This Row],[Available_h]],"")</f>
        <v/>
      </c>
    </row>
    <row r="2172">
      <c r="A2172" s="54" t="n"/>
      <c r="B2172" s="61" t="n"/>
      <c r="C2172" s="62" t="n"/>
      <c r="D2172" s="57" t="n"/>
      <c r="E2172" s="57" t="n"/>
      <c r="F2172" s="58" t="n"/>
      <c r="G2172" s="66">
        <f>IF(tblFleet[[#This Row],[Units]]="","",tblFleet[[#This Row],[Units]]*cfg_HoursPerDay)</f>
        <v/>
      </c>
      <c r="H2172" s="66">
        <f>IF(tblFleet[[#This Row],[Units]]="","",tblFleet[[#This Row],[Calendar_h]]-tblFleet[[#This Row],[Down_h]])</f>
        <v/>
      </c>
      <c r="I2172" s="60">
        <f>IF(AND(tblFleet[[#This Row],[Units]]&lt;&gt;"",tblFleet[[#This Row],[Calendar_h]]&gt;0),tblFleet[[#This Row],[Available_h]]/tblFleet[[#This Row],[Calendar_h]],"")</f>
        <v/>
      </c>
      <c r="J2172" s="60">
        <f>IF(AND(tblFleet[[#This Row],[Units]]&lt;&gt;"",tblFleet[[#This Row],[Available_h]]&gt;0),tblFleet[[#This Row],[Operating_h]]/tblFleet[[#This Row],[Available_h]],"")</f>
        <v/>
      </c>
    </row>
    <row r="2173">
      <c r="A2173" s="54" t="n"/>
      <c r="B2173" s="61" t="n"/>
      <c r="C2173" s="62" t="n"/>
      <c r="D2173" s="57" t="n"/>
      <c r="E2173" s="57" t="n"/>
      <c r="F2173" s="58" t="n"/>
      <c r="G2173" s="66">
        <f>IF(tblFleet[[#This Row],[Units]]="","",tblFleet[[#This Row],[Units]]*cfg_HoursPerDay)</f>
        <v/>
      </c>
      <c r="H2173" s="66">
        <f>IF(tblFleet[[#This Row],[Units]]="","",tblFleet[[#This Row],[Calendar_h]]-tblFleet[[#This Row],[Down_h]])</f>
        <v/>
      </c>
      <c r="I2173" s="60">
        <f>IF(AND(tblFleet[[#This Row],[Units]]&lt;&gt;"",tblFleet[[#This Row],[Calendar_h]]&gt;0),tblFleet[[#This Row],[Available_h]]/tblFleet[[#This Row],[Calendar_h]],"")</f>
        <v/>
      </c>
      <c r="J2173" s="60">
        <f>IF(AND(tblFleet[[#This Row],[Units]]&lt;&gt;"",tblFleet[[#This Row],[Available_h]]&gt;0),tblFleet[[#This Row],[Operating_h]]/tblFleet[[#This Row],[Available_h]],"")</f>
        <v/>
      </c>
    </row>
    <row r="2174">
      <c r="A2174" s="54" t="n"/>
      <c r="B2174" s="61" t="n"/>
      <c r="C2174" s="62" t="n"/>
      <c r="D2174" s="57" t="n"/>
      <c r="E2174" s="57" t="n"/>
      <c r="F2174" s="58" t="n"/>
      <c r="G2174" s="66">
        <f>IF(tblFleet[[#This Row],[Units]]="","",tblFleet[[#This Row],[Units]]*cfg_HoursPerDay)</f>
        <v/>
      </c>
      <c r="H2174" s="66">
        <f>IF(tblFleet[[#This Row],[Units]]="","",tblFleet[[#This Row],[Calendar_h]]-tblFleet[[#This Row],[Down_h]])</f>
        <v/>
      </c>
      <c r="I2174" s="60">
        <f>IF(AND(tblFleet[[#This Row],[Units]]&lt;&gt;"",tblFleet[[#This Row],[Calendar_h]]&gt;0),tblFleet[[#This Row],[Available_h]]/tblFleet[[#This Row],[Calendar_h]],"")</f>
        <v/>
      </c>
      <c r="J2174" s="60">
        <f>IF(AND(tblFleet[[#This Row],[Units]]&lt;&gt;"",tblFleet[[#This Row],[Available_h]]&gt;0),tblFleet[[#This Row],[Operating_h]]/tblFleet[[#This Row],[Available_h]],"")</f>
        <v/>
      </c>
    </row>
    <row r="2175">
      <c r="A2175" s="54" t="n"/>
      <c r="B2175" s="61" t="n"/>
      <c r="C2175" s="62" t="n"/>
      <c r="D2175" s="57" t="n"/>
      <c r="E2175" s="57" t="n"/>
      <c r="F2175" s="58" t="n"/>
      <c r="G2175" s="66">
        <f>IF(tblFleet[[#This Row],[Units]]="","",tblFleet[[#This Row],[Units]]*cfg_HoursPerDay)</f>
        <v/>
      </c>
      <c r="H2175" s="66">
        <f>IF(tblFleet[[#This Row],[Units]]="","",tblFleet[[#This Row],[Calendar_h]]-tblFleet[[#This Row],[Down_h]])</f>
        <v/>
      </c>
      <c r="I2175" s="60">
        <f>IF(AND(tblFleet[[#This Row],[Units]]&lt;&gt;"",tblFleet[[#This Row],[Calendar_h]]&gt;0),tblFleet[[#This Row],[Available_h]]/tblFleet[[#This Row],[Calendar_h]],"")</f>
        <v/>
      </c>
      <c r="J2175" s="60">
        <f>IF(AND(tblFleet[[#This Row],[Units]]&lt;&gt;"",tblFleet[[#This Row],[Available_h]]&gt;0),tblFleet[[#This Row],[Operating_h]]/tblFleet[[#This Row],[Available_h]],"")</f>
        <v/>
      </c>
    </row>
    <row r="2176">
      <c r="A2176" s="54" t="n"/>
      <c r="B2176" s="61" t="n"/>
      <c r="C2176" s="62" t="n"/>
      <c r="D2176" s="57" t="n"/>
      <c r="E2176" s="57" t="n"/>
      <c r="F2176" s="58" t="n"/>
      <c r="G2176" s="66">
        <f>IF(tblFleet[[#This Row],[Units]]="","",tblFleet[[#This Row],[Units]]*cfg_HoursPerDay)</f>
        <v/>
      </c>
      <c r="H2176" s="66">
        <f>IF(tblFleet[[#This Row],[Units]]="","",tblFleet[[#This Row],[Calendar_h]]-tblFleet[[#This Row],[Down_h]])</f>
        <v/>
      </c>
      <c r="I2176" s="60">
        <f>IF(AND(tblFleet[[#This Row],[Units]]&lt;&gt;"",tblFleet[[#This Row],[Calendar_h]]&gt;0),tblFleet[[#This Row],[Available_h]]/tblFleet[[#This Row],[Calendar_h]],"")</f>
        <v/>
      </c>
      <c r="J2176" s="60">
        <f>IF(AND(tblFleet[[#This Row],[Units]]&lt;&gt;"",tblFleet[[#This Row],[Available_h]]&gt;0),tblFleet[[#This Row],[Operating_h]]/tblFleet[[#This Row],[Available_h]],"")</f>
        <v/>
      </c>
    </row>
    <row r="2177">
      <c r="A2177" s="54" t="n"/>
      <c r="B2177" s="61" t="n"/>
      <c r="C2177" s="62" t="n"/>
      <c r="D2177" s="57" t="n"/>
      <c r="E2177" s="57" t="n"/>
      <c r="F2177" s="58" t="n"/>
      <c r="G2177" s="66">
        <f>IF(tblFleet[[#This Row],[Units]]="","",tblFleet[[#This Row],[Units]]*cfg_HoursPerDay)</f>
        <v/>
      </c>
      <c r="H2177" s="66">
        <f>IF(tblFleet[[#This Row],[Units]]="","",tblFleet[[#This Row],[Calendar_h]]-tblFleet[[#This Row],[Down_h]])</f>
        <v/>
      </c>
      <c r="I2177" s="60">
        <f>IF(AND(tblFleet[[#This Row],[Units]]&lt;&gt;"",tblFleet[[#This Row],[Calendar_h]]&gt;0),tblFleet[[#This Row],[Available_h]]/tblFleet[[#This Row],[Calendar_h]],"")</f>
        <v/>
      </c>
      <c r="J2177" s="60">
        <f>IF(AND(tblFleet[[#This Row],[Units]]&lt;&gt;"",tblFleet[[#This Row],[Available_h]]&gt;0),tblFleet[[#This Row],[Operating_h]]/tblFleet[[#This Row],[Available_h]],"")</f>
        <v/>
      </c>
    </row>
    <row r="2178">
      <c r="A2178" s="54" t="n"/>
      <c r="B2178" s="61" t="n"/>
      <c r="C2178" s="62" t="n"/>
      <c r="D2178" s="57" t="n"/>
      <c r="E2178" s="57" t="n"/>
      <c r="F2178" s="58" t="n"/>
      <c r="G2178" s="66">
        <f>IF(tblFleet[[#This Row],[Units]]="","",tblFleet[[#This Row],[Units]]*cfg_HoursPerDay)</f>
        <v/>
      </c>
      <c r="H2178" s="66">
        <f>IF(tblFleet[[#This Row],[Units]]="","",tblFleet[[#This Row],[Calendar_h]]-tblFleet[[#This Row],[Down_h]])</f>
        <v/>
      </c>
      <c r="I2178" s="60">
        <f>IF(AND(tblFleet[[#This Row],[Units]]&lt;&gt;"",tblFleet[[#This Row],[Calendar_h]]&gt;0),tblFleet[[#This Row],[Available_h]]/tblFleet[[#This Row],[Calendar_h]],"")</f>
        <v/>
      </c>
      <c r="J2178" s="60">
        <f>IF(AND(tblFleet[[#This Row],[Units]]&lt;&gt;"",tblFleet[[#This Row],[Available_h]]&gt;0),tblFleet[[#This Row],[Operating_h]]/tblFleet[[#This Row],[Available_h]],"")</f>
        <v/>
      </c>
    </row>
    <row r="2179">
      <c r="A2179" s="54" t="n"/>
      <c r="B2179" s="61" t="n"/>
      <c r="C2179" s="62" t="n"/>
      <c r="D2179" s="57" t="n"/>
      <c r="E2179" s="57" t="n"/>
      <c r="F2179" s="58" t="n"/>
      <c r="G2179" s="66">
        <f>IF(tblFleet[[#This Row],[Units]]="","",tblFleet[[#This Row],[Units]]*cfg_HoursPerDay)</f>
        <v/>
      </c>
      <c r="H2179" s="66">
        <f>IF(tblFleet[[#This Row],[Units]]="","",tblFleet[[#This Row],[Calendar_h]]-tblFleet[[#This Row],[Down_h]])</f>
        <v/>
      </c>
      <c r="I2179" s="60">
        <f>IF(AND(tblFleet[[#This Row],[Units]]&lt;&gt;"",tblFleet[[#This Row],[Calendar_h]]&gt;0),tblFleet[[#This Row],[Available_h]]/tblFleet[[#This Row],[Calendar_h]],"")</f>
        <v/>
      </c>
      <c r="J2179" s="60">
        <f>IF(AND(tblFleet[[#This Row],[Units]]&lt;&gt;"",tblFleet[[#This Row],[Available_h]]&gt;0),tblFleet[[#This Row],[Operating_h]]/tblFleet[[#This Row],[Available_h]],"")</f>
        <v/>
      </c>
    </row>
    <row r="2180">
      <c r="A2180" s="54" t="n"/>
      <c r="B2180" s="61" t="n"/>
      <c r="C2180" s="62" t="n"/>
      <c r="D2180" s="57" t="n"/>
      <c r="E2180" s="57" t="n"/>
      <c r="F2180" s="58" t="n"/>
      <c r="G2180" s="66">
        <f>IF(tblFleet[[#This Row],[Units]]="","",tblFleet[[#This Row],[Units]]*cfg_HoursPerDay)</f>
        <v/>
      </c>
      <c r="H2180" s="66">
        <f>IF(tblFleet[[#This Row],[Units]]="","",tblFleet[[#This Row],[Calendar_h]]-tblFleet[[#This Row],[Down_h]])</f>
        <v/>
      </c>
      <c r="I2180" s="60">
        <f>IF(AND(tblFleet[[#This Row],[Units]]&lt;&gt;"",tblFleet[[#This Row],[Calendar_h]]&gt;0),tblFleet[[#This Row],[Available_h]]/tblFleet[[#This Row],[Calendar_h]],"")</f>
        <v/>
      </c>
      <c r="J2180" s="60">
        <f>IF(AND(tblFleet[[#This Row],[Units]]&lt;&gt;"",tblFleet[[#This Row],[Available_h]]&gt;0),tblFleet[[#This Row],[Operating_h]]/tblFleet[[#This Row],[Available_h]],"")</f>
        <v/>
      </c>
    </row>
    <row r="2181">
      <c r="A2181" s="54" t="n"/>
      <c r="B2181" s="61" t="n"/>
      <c r="C2181" s="62" t="n"/>
      <c r="D2181" s="57" t="n"/>
      <c r="E2181" s="57" t="n"/>
      <c r="F2181" s="58" t="n"/>
      <c r="G2181" s="66">
        <f>IF(tblFleet[[#This Row],[Units]]="","",tblFleet[[#This Row],[Units]]*cfg_HoursPerDay)</f>
        <v/>
      </c>
      <c r="H2181" s="66">
        <f>IF(tblFleet[[#This Row],[Units]]="","",tblFleet[[#This Row],[Calendar_h]]-tblFleet[[#This Row],[Down_h]])</f>
        <v/>
      </c>
      <c r="I2181" s="60">
        <f>IF(AND(tblFleet[[#This Row],[Units]]&lt;&gt;"",tblFleet[[#This Row],[Calendar_h]]&gt;0),tblFleet[[#This Row],[Available_h]]/tblFleet[[#This Row],[Calendar_h]],"")</f>
        <v/>
      </c>
      <c r="J2181" s="60">
        <f>IF(AND(tblFleet[[#This Row],[Units]]&lt;&gt;"",tblFleet[[#This Row],[Available_h]]&gt;0),tblFleet[[#This Row],[Operating_h]]/tblFleet[[#This Row],[Available_h]],"")</f>
        <v/>
      </c>
    </row>
    <row r="2182">
      <c r="A2182" s="54" t="n"/>
      <c r="B2182" s="61" t="n"/>
      <c r="C2182" s="62" t="n"/>
      <c r="D2182" s="57" t="n"/>
      <c r="E2182" s="57" t="n"/>
      <c r="F2182" s="58" t="n"/>
      <c r="G2182" s="66">
        <f>IF(tblFleet[[#This Row],[Units]]="","",tblFleet[[#This Row],[Units]]*cfg_HoursPerDay)</f>
        <v/>
      </c>
      <c r="H2182" s="66">
        <f>IF(tblFleet[[#This Row],[Units]]="","",tblFleet[[#This Row],[Calendar_h]]-tblFleet[[#This Row],[Down_h]])</f>
        <v/>
      </c>
      <c r="I2182" s="60">
        <f>IF(AND(tblFleet[[#This Row],[Units]]&lt;&gt;"",tblFleet[[#This Row],[Calendar_h]]&gt;0),tblFleet[[#This Row],[Available_h]]/tblFleet[[#This Row],[Calendar_h]],"")</f>
        <v/>
      </c>
      <c r="J2182" s="60">
        <f>IF(AND(tblFleet[[#This Row],[Units]]&lt;&gt;"",tblFleet[[#This Row],[Available_h]]&gt;0),tblFleet[[#This Row],[Operating_h]]/tblFleet[[#This Row],[Available_h]],"")</f>
        <v/>
      </c>
    </row>
    <row r="2183">
      <c r="A2183" s="54" t="n"/>
      <c r="B2183" s="61" t="n"/>
      <c r="C2183" s="62" t="n"/>
      <c r="D2183" s="57" t="n"/>
      <c r="E2183" s="57" t="n"/>
      <c r="F2183" s="58" t="n"/>
      <c r="G2183" s="66">
        <f>IF(tblFleet[[#This Row],[Units]]="","",tblFleet[[#This Row],[Units]]*cfg_HoursPerDay)</f>
        <v/>
      </c>
      <c r="H2183" s="66">
        <f>IF(tblFleet[[#This Row],[Units]]="","",tblFleet[[#This Row],[Calendar_h]]-tblFleet[[#This Row],[Down_h]])</f>
        <v/>
      </c>
      <c r="I2183" s="60">
        <f>IF(AND(tblFleet[[#This Row],[Units]]&lt;&gt;"",tblFleet[[#This Row],[Calendar_h]]&gt;0),tblFleet[[#This Row],[Available_h]]/tblFleet[[#This Row],[Calendar_h]],"")</f>
        <v/>
      </c>
      <c r="J2183" s="60">
        <f>IF(AND(tblFleet[[#This Row],[Units]]&lt;&gt;"",tblFleet[[#This Row],[Available_h]]&gt;0),tblFleet[[#This Row],[Operating_h]]/tblFleet[[#This Row],[Available_h]],"")</f>
        <v/>
      </c>
    </row>
    <row r="2184">
      <c r="A2184" s="54" t="n"/>
      <c r="B2184" s="61" t="n"/>
      <c r="C2184" s="62" t="n"/>
      <c r="D2184" s="57" t="n"/>
      <c r="E2184" s="57" t="n"/>
      <c r="F2184" s="58" t="n"/>
      <c r="G2184" s="66">
        <f>IF(tblFleet[[#This Row],[Units]]="","",tblFleet[[#This Row],[Units]]*cfg_HoursPerDay)</f>
        <v/>
      </c>
      <c r="H2184" s="66">
        <f>IF(tblFleet[[#This Row],[Units]]="","",tblFleet[[#This Row],[Calendar_h]]-tblFleet[[#This Row],[Down_h]])</f>
        <v/>
      </c>
      <c r="I2184" s="60">
        <f>IF(AND(tblFleet[[#This Row],[Units]]&lt;&gt;"",tblFleet[[#This Row],[Calendar_h]]&gt;0),tblFleet[[#This Row],[Available_h]]/tblFleet[[#This Row],[Calendar_h]],"")</f>
        <v/>
      </c>
      <c r="J2184" s="60">
        <f>IF(AND(tblFleet[[#This Row],[Units]]&lt;&gt;"",tblFleet[[#This Row],[Available_h]]&gt;0),tblFleet[[#This Row],[Operating_h]]/tblFleet[[#This Row],[Available_h]],"")</f>
        <v/>
      </c>
    </row>
    <row r="2185">
      <c r="A2185" s="54" t="n"/>
      <c r="B2185" s="61" t="n"/>
      <c r="C2185" s="62" t="n"/>
      <c r="D2185" s="57" t="n"/>
      <c r="E2185" s="57" t="n"/>
      <c r="F2185" s="58" t="n"/>
      <c r="G2185" s="66">
        <f>IF(tblFleet[[#This Row],[Units]]="","",tblFleet[[#This Row],[Units]]*cfg_HoursPerDay)</f>
        <v/>
      </c>
      <c r="H2185" s="66">
        <f>IF(tblFleet[[#This Row],[Units]]="","",tblFleet[[#This Row],[Calendar_h]]-tblFleet[[#This Row],[Down_h]])</f>
        <v/>
      </c>
      <c r="I2185" s="60">
        <f>IF(AND(tblFleet[[#This Row],[Units]]&lt;&gt;"",tblFleet[[#This Row],[Calendar_h]]&gt;0),tblFleet[[#This Row],[Available_h]]/tblFleet[[#This Row],[Calendar_h]],"")</f>
        <v/>
      </c>
      <c r="J2185" s="60">
        <f>IF(AND(tblFleet[[#This Row],[Units]]&lt;&gt;"",tblFleet[[#This Row],[Available_h]]&gt;0),tblFleet[[#This Row],[Operating_h]]/tblFleet[[#This Row],[Available_h]],"")</f>
        <v/>
      </c>
    </row>
    <row r="2186">
      <c r="A2186" s="54" t="n"/>
      <c r="B2186" s="61" t="n"/>
      <c r="C2186" s="62" t="n"/>
      <c r="D2186" s="57" t="n"/>
      <c r="E2186" s="57" t="n"/>
      <c r="F2186" s="58" t="n"/>
      <c r="G2186" s="66">
        <f>IF(tblFleet[[#This Row],[Units]]="","",tblFleet[[#This Row],[Units]]*cfg_HoursPerDay)</f>
        <v/>
      </c>
      <c r="H2186" s="66">
        <f>IF(tblFleet[[#This Row],[Units]]="","",tblFleet[[#This Row],[Calendar_h]]-tblFleet[[#This Row],[Down_h]])</f>
        <v/>
      </c>
      <c r="I2186" s="60">
        <f>IF(AND(tblFleet[[#This Row],[Units]]&lt;&gt;"",tblFleet[[#This Row],[Calendar_h]]&gt;0),tblFleet[[#This Row],[Available_h]]/tblFleet[[#This Row],[Calendar_h]],"")</f>
        <v/>
      </c>
      <c r="J2186" s="60">
        <f>IF(AND(tblFleet[[#This Row],[Units]]&lt;&gt;"",tblFleet[[#This Row],[Available_h]]&gt;0),tblFleet[[#This Row],[Operating_h]]/tblFleet[[#This Row],[Available_h]],"")</f>
        <v/>
      </c>
    </row>
    <row r="2187">
      <c r="A2187" s="54" t="n"/>
      <c r="B2187" s="61" t="n"/>
      <c r="C2187" s="62" t="n"/>
      <c r="D2187" s="57" t="n"/>
      <c r="E2187" s="57" t="n"/>
      <c r="F2187" s="58" t="n"/>
      <c r="G2187" s="66">
        <f>IF(tblFleet[[#This Row],[Units]]="","",tblFleet[[#This Row],[Units]]*cfg_HoursPerDay)</f>
        <v/>
      </c>
      <c r="H2187" s="66">
        <f>IF(tblFleet[[#This Row],[Units]]="","",tblFleet[[#This Row],[Calendar_h]]-tblFleet[[#This Row],[Down_h]])</f>
        <v/>
      </c>
      <c r="I2187" s="60">
        <f>IF(AND(tblFleet[[#This Row],[Units]]&lt;&gt;"",tblFleet[[#This Row],[Calendar_h]]&gt;0),tblFleet[[#This Row],[Available_h]]/tblFleet[[#This Row],[Calendar_h]],"")</f>
        <v/>
      </c>
      <c r="J2187" s="60">
        <f>IF(AND(tblFleet[[#This Row],[Units]]&lt;&gt;"",tblFleet[[#This Row],[Available_h]]&gt;0),tblFleet[[#This Row],[Operating_h]]/tblFleet[[#This Row],[Available_h]],"")</f>
        <v/>
      </c>
    </row>
    <row r="2188">
      <c r="A2188" s="54" t="n"/>
      <c r="B2188" s="61" t="n"/>
      <c r="C2188" s="62" t="n"/>
      <c r="D2188" s="57" t="n"/>
      <c r="E2188" s="57" t="n"/>
      <c r="F2188" s="58" t="n"/>
      <c r="G2188" s="66">
        <f>IF(tblFleet[[#This Row],[Units]]="","",tblFleet[[#This Row],[Units]]*cfg_HoursPerDay)</f>
        <v/>
      </c>
      <c r="H2188" s="66">
        <f>IF(tblFleet[[#This Row],[Units]]="","",tblFleet[[#This Row],[Calendar_h]]-tblFleet[[#This Row],[Down_h]])</f>
        <v/>
      </c>
      <c r="I2188" s="60">
        <f>IF(AND(tblFleet[[#This Row],[Units]]&lt;&gt;"",tblFleet[[#This Row],[Calendar_h]]&gt;0),tblFleet[[#This Row],[Available_h]]/tblFleet[[#This Row],[Calendar_h]],"")</f>
        <v/>
      </c>
      <c r="J2188" s="60">
        <f>IF(AND(tblFleet[[#This Row],[Units]]&lt;&gt;"",tblFleet[[#This Row],[Available_h]]&gt;0),tblFleet[[#This Row],[Operating_h]]/tblFleet[[#This Row],[Available_h]],"")</f>
        <v/>
      </c>
    </row>
    <row r="2189">
      <c r="A2189" s="54" t="n"/>
      <c r="B2189" s="61" t="n"/>
      <c r="C2189" s="62" t="n"/>
      <c r="D2189" s="57" t="n"/>
      <c r="E2189" s="57" t="n"/>
      <c r="F2189" s="58" t="n"/>
      <c r="G2189" s="66">
        <f>IF(tblFleet[[#This Row],[Units]]="","",tblFleet[[#This Row],[Units]]*cfg_HoursPerDay)</f>
        <v/>
      </c>
      <c r="H2189" s="66">
        <f>IF(tblFleet[[#This Row],[Units]]="","",tblFleet[[#This Row],[Calendar_h]]-tblFleet[[#This Row],[Down_h]])</f>
        <v/>
      </c>
      <c r="I2189" s="60">
        <f>IF(AND(tblFleet[[#This Row],[Units]]&lt;&gt;"",tblFleet[[#This Row],[Calendar_h]]&gt;0),tblFleet[[#This Row],[Available_h]]/tblFleet[[#This Row],[Calendar_h]],"")</f>
        <v/>
      </c>
      <c r="J2189" s="60">
        <f>IF(AND(tblFleet[[#This Row],[Units]]&lt;&gt;"",tblFleet[[#This Row],[Available_h]]&gt;0),tblFleet[[#This Row],[Operating_h]]/tblFleet[[#This Row],[Available_h]],"")</f>
        <v/>
      </c>
    </row>
    <row r="2190">
      <c r="A2190" s="54" t="n"/>
      <c r="B2190" s="61" t="n"/>
      <c r="C2190" s="62" t="n"/>
      <c r="D2190" s="57" t="n"/>
      <c r="E2190" s="57" t="n"/>
      <c r="F2190" s="58" t="n"/>
      <c r="G2190" s="66">
        <f>IF(tblFleet[[#This Row],[Units]]="","",tblFleet[[#This Row],[Units]]*cfg_HoursPerDay)</f>
        <v/>
      </c>
      <c r="H2190" s="66">
        <f>IF(tblFleet[[#This Row],[Units]]="","",tblFleet[[#This Row],[Calendar_h]]-tblFleet[[#This Row],[Down_h]])</f>
        <v/>
      </c>
      <c r="I2190" s="60">
        <f>IF(AND(tblFleet[[#This Row],[Units]]&lt;&gt;"",tblFleet[[#This Row],[Calendar_h]]&gt;0),tblFleet[[#This Row],[Available_h]]/tblFleet[[#This Row],[Calendar_h]],"")</f>
        <v/>
      </c>
      <c r="J2190" s="60">
        <f>IF(AND(tblFleet[[#This Row],[Units]]&lt;&gt;"",tblFleet[[#This Row],[Available_h]]&gt;0),tblFleet[[#This Row],[Operating_h]]/tblFleet[[#This Row],[Available_h]],"")</f>
        <v/>
      </c>
    </row>
    <row r="2191">
      <c r="A2191" s="54" t="n"/>
      <c r="B2191" s="61" t="n"/>
      <c r="C2191" s="62" t="n"/>
      <c r="D2191" s="57" t="n"/>
      <c r="E2191" s="57" t="n"/>
      <c r="F2191" s="58" t="n"/>
      <c r="G2191" s="66">
        <f>IF(tblFleet[[#This Row],[Units]]="","",tblFleet[[#This Row],[Units]]*cfg_HoursPerDay)</f>
        <v/>
      </c>
      <c r="H2191" s="66">
        <f>IF(tblFleet[[#This Row],[Units]]="","",tblFleet[[#This Row],[Calendar_h]]-tblFleet[[#This Row],[Down_h]])</f>
        <v/>
      </c>
      <c r="I2191" s="60">
        <f>IF(AND(tblFleet[[#This Row],[Units]]&lt;&gt;"",tblFleet[[#This Row],[Calendar_h]]&gt;0),tblFleet[[#This Row],[Available_h]]/tblFleet[[#This Row],[Calendar_h]],"")</f>
        <v/>
      </c>
      <c r="J2191" s="60">
        <f>IF(AND(tblFleet[[#This Row],[Units]]&lt;&gt;"",tblFleet[[#This Row],[Available_h]]&gt;0),tblFleet[[#This Row],[Operating_h]]/tblFleet[[#This Row],[Available_h]],"")</f>
        <v/>
      </c>
    </row>
    <row r="2192">
      <c r="A2192" s="54" t="n"/>
      <c r="B2192" s="61" t="n"/>
      <c r="C2192" s="62" t="n"/>
      <c r="D2192" s="57" t="n"/>
      <c r="E2192" s="57" t="n"/>
      <c r="F2192" s="58" t="n"/>
      <c r="G2192" s="66">
        <f>IF(tblFleet[[#This Row],[Units]]="","",tblFleet[[#This Row],[Units]]*cfg_HoursPerDay)</f>
        <v/>
      </c>
      <c r="H2192" s="66">
        <f>IF(tblFleet[[#This Row],[Units]]="","",tblFleet[[#This Row],[Calendar_h]]-tblFleet[[#This Row],[Down_h]])</f>
        <v/>
      </c>
      <c r="I2192" s="60">
        <f>IF(AND(tblFleet[[#This Row],[Units]]&lt;&gt;"",tblFleet[[#This Row],[Calendar_h]]&gt;0),tblFleet[[#This Row],[Available_h]]/tblFleet[[#This Row],[Calendar_h]],"")</f>
        <v/>
      </c>
      <c r="J2192" s="60">
        <f>IF(AND(tblFleet[[#This Row],[Units]]&lt;&gt;"",tblFleet[[#This Row],[Available_h]]&gt;0),tblFleet[[#This Row],[Operating_h]]/tblFleet[[#This Row],[Available_h]],"")</f>
        <v/>
      </c>
    </row>
    <row r="2193">
      <c r="A2193" s="54" t="n"/>
      <c r="B2193" s="61" t="n"/>
      <c r="C2193" s="62" t="n"/>
      <c r="D2193" s="57" t="n"/>
      <c r="E2193" s="57" t="n"/>
      <c r="F2193" s="58" t="n"/>
      <c r="G2193" s="66">
        <f>IF(tblFleet[[#This Row],[Units]]="","",tblFleet[[#This Row],[Units]]*cfg_HoursPerDay)</f>
        <v/>
      </c>
      <c r="H2193" s="66">
        <f>IF(tblFleet[[#This Row],[Units]]="","",tblFleet[[#This Row],[Calendar_h]]-tblFleet[[#This Row],[Down_h]])</f>
        <v/>
      </c>
      <c r="I2193" s="60">
        <f>IF(AND(tblFleet[[#This Row],[Units]]&lt;&gt;"",tblFleet[[#This Row],[Calendar_h]]&gt;0),tblFleet[[#This Row],[Available_h]]/tblFleet[[#This Row],[Calendar_h]],"")</f>
        <v/>
      </c>
      <c r="J2193" s="60">
        <f>IF(AND(tblFleet[[#This Row],[Units]]&lt;&gt;"",tblFleet[[#This Row],[Available_h]]&gt;0),tblFleet[[#This Row],[Operating_h]]/tblFleet[[#This Row],[Available_h]],"")</f>
        <v/>
      </c>
    </row>
    <row r="2194">
      <c r="A2194" s="54" t="n"/>
      <c r="B2194" s="61" t="n"/>
      <c r="C2194" s="62" t="n"/>
      <c r="D2194" s="57" t="n"/>
      <c r="E2194" s="57" t="n"/>
      <c r="F2194" s="58" t="n"/>
      <c r="G2194" s="66">
        <f>IF(tblFleet[[#This Row],[Units]]="","",tblFleet[[#This Row],[Units]]*cfg_HoursPerDay)</f>
        <v/>
      </c>
      <c r="H2194" s="66">
        <f>IF(tblFleet[[#This Row],[Units]]="","",tblFleet[[#This Row],[Calendar_h]]-tblFleet[[#This Row],[Down_h]])</f>
        <v/>
      </c>
      <c r="I2194" s="60">
        <f>IF(AND(tblFleet[[#This Row],[Units]]&lt;&gt;"",tblFleet[[#This Row],[Calendar_h]]&gt;0),tblFleet[[#This Row],[Available_h]]/tblFleet[[#This Row],[Calendar_h]],"")</f>
        <v/>
      </c>
      <c r="J2194" s="60">
        <f>IF(AND(tblFleet[[#This Row],[Units]]&lt;&gt;"",tblFleet[[#This Row],[Available_h]]&gt;0),tblFleet[[#This Row],[Operating_h]]/tblFleet[[#This Row],[Available_h]],"")</f>
        <v/>
      </c>
    </row>
    <row r="2195">
      <c r="A2195" s="54" t="n"/>
      <c r="B2195" s="61" t="n"/>
      <c r="C2195" s="62" t="n"/>
      <c r="D2195" s="57" t="n"/>
      <c r="E2195" s="57" t="n"/>
      <c r="F2195" s="58" t="n"/>
      <c r="G2195" s="66">
        <f>IF(tblFleet[[#This Row],[Units]]="","",tblFleet[[#This Row],[Units]]*cfg_HoursPerDay)</f>
        <v/>
      </c>
      <c r="H2195" s="66">
        <f>IF(tblFleet[[#This Row],[Units]]="","",tblFleet[[#This Row],[Calendar_h]]-tblFleet[[#This Row],[Down_h]])</f>
        <v/>
      </c>
      <c r="I2195" s="60">
        <f>IF(AND(tblFleet[[#This Row],[Units]]&lt;&gt;"",tblFleet[[#This Row],[Calendar_h]]&gt;0),tblFleet[[#This Row],[Available_h]]/tblFleet[[#This Row],[Calendar_h]],"")</f>
        <v/>
      </c>
      <c r="J2195" s="60">
        <f>IF(AND(tblFleet[[#This Row],[Units]]&lt;&gt;"",tblFleet[[#This Row],[Available_h]]&gt;0),tblFleet[[#This Row],[Operating_h]]/tblFleet[[#This Row],[Available_h]],"")</f>
        <v/>
      </c>
    </row>
    <row r="2196">
      <c r="A2196" s="54" t="n"/>
      <c r="B2196" s="61" t="n"/>
      <c r="C2196" s="62" t="n"/>
      <c r="D2196" s="57" t="n"/>
      <c r="E2196" s="57" t="n"/>
      <c r="F2196" s="58" t="n"/>
      <c r="G2196" s="66">
        <f>IF(tblFleet[[#This Row],[Units]]="","",tblFleet[[#This Row],[Units]]*cfg_HoursPerDay)</f>
        <v/>
      </c>
      <c r="H2196" s="66">
        <f>IF(tblFleet[[#This Row],[Units]]="","",tblFleet[[#This Row],[Calendar_h]]-tblFleet[[#This Row],[Down_h]])</f>
        <v/>
      </c>
      <c r="I2196" s="60">
        <f>IF(AND(tblFleet[[#This Row],[Units]]&lt;&gt;"",tblFleet[[#This Row],[Calendar_h]]&gt;0),tblFleet[[#This Row],[Available_h]]/tblFleet[[#This Row],[Calendar_h]],"")</f>
        <v/>
      </c>
      <c r="J2196" s="60">
        <f>IF(AND(tblFleet[[#This Row],[Units]]&lt;&gt;"",tblFleet[[#This Row],[Available_h]]&gt;0),tblFleet[[#This Row],[Operating_h]]/tblFleet[[#This Row],[Available_h]],"")</f>
        <v/>
      </c>
    </row>
    <row r="2197">
      <c r="A2197" s="54" t="n"/>
      <c r="B2197" s="61" t="n"/>
      <c r="C2197" s="62" t="n"/>
      <c r="D2197" s="57" t="n"/>
      <c r="E2197" s="57" t="n"/>
      <c r="F2197" s="58" t="n"/>
      <c r="G2197" s="66">
        <f>IF(tblFleet[[#This Row],[Units]]="","",tblFleet[[#This Row],[Units]]*cfg_HoursPerDay)</f>
        <v/>
      </c>
      <c r="H2197" s="66">
        <f>IF(tblFleet[[#This Row],[Units]]="","",tblFleet[[#This Row],[Calendar_h]]-tblFleet[[#This Row],[Down_h]])</f>
        <v/>
      </c>
      <c r="I2197" s="60">
        <f>IF(AND(tblFleet[[#This Row],[Units]]&lt;&gt;"",tblFleet[[#This Row],[Calendar_h]]&gt;0),tblFleet[[#This Row],[Available_h]]/tblFleet[[#This Row],[Calendar_h]],"")</f>
        <v/>
      </c>
      <c r="J2197" s="60">
        <f>IF(AND(tblFleet[[#This Row],[Units]]&lt;&gt;"",tblFleet[[#This Row],[Available_h]]&gt;0),tblFleet[[#This Row],[Operating_h]]/tblFleet[[#This Row],[Available_h]],"")</f>
        <v/>
      </c>
    </row>
    <row r="2198">
      <c r="A2198" s="54" t="n"/>
      <c r="B2198" s="61" t="n"/>
      <c r="C2198" s="62" t="n"/>
      <c r="D2198" s="57" t="n"/>
      <c r="E2198" s="57" t="n"/>
      <c r="F2198" s="58" t="n"/>
      <c r="G2198" s="66">
        <f>IF(tblFleet[[#This Row],[Units]]="","",tblFleet[[#This Row],[Units]]*cfg_HoursPerDay)</f>
        <v/>
      </c>
      <c r="H2198" s="66">
        <f>IF(tblFleet[[#This Row],[Units]]="","",tblFleet[[#This Row],[Calendar_h]]-tblFleet[[#This Row],[Down_h]])</f>
        <v/>
      </c>
      <c r="I2198" s="60">
        <f>IF(AND(tblFleet[[#This Row],[Units]]&lt;&gt;"",tblFleet[[#This Row],[Calendar_h]]&gt;0),tblFleet[[#This Row],[Available_h]]/tblFleet[[#This Row],[Calendar_h]],"")</f>
        <v/>
      </c>
      <c r="J2198" s="60">
        <f>IF(AND(tblFleet[[#This Row],[Units]]&lt;&gt;"",tblFleet[[#This Row],[Available_h]]&gt;0),tblFleet[[#This Row],[Operating_h]]/tblFleet[[#This Row],[Available_h]],"")</f>
        <v/>
      </c>
    </row>
    <row r="2199">
      <c r="A2199" s="54" t="n"/>
      <c r="B2199" s="61" t="n"/>
      <c r="C2199" s="62" t="n"/>
      <c r="D2199" s="57" t="n"/>
      <c r="E2199" s="57" t="n"/>
      <c r="F2199" s="58" t="n"/>
      <c r="G2199" s="66">
        <f>IF(tblFleet[[#This Row],[Units]]="","",tblFleet[[#This Row],[Units]]*cfg_HoursPerDay)</f>
        <v/>
      </c>
      <c r="H2199" s="66">
        <f>IF(tblFleet[[#This Row],[Units]]="","",tblFleet[[#This Row],[Calendar_h]]-tblFleet[[#This Row],[Down_h]])</f>
        <v/>
      </c>
      <c r="I2199" s="60">
        <f>IF(AND(tblFleet[[#This Row],[Units]]&lt;&gt;"",tblFleet[[#This Row],[Calendar_h]]&gt;0),tblFleet[[#This Row],[Available_h]]/tblFleet[[#This Row],[Calendar_h]],"")</f>
        <v/>
      </c>
      <c r="J2199" s="60">
        <f>IF(AND(tblFleet[[#This Row],[Units]]&lt;&gt;"",tblFleet[[#This Row],[Available_h]]&gt;0),tblFleet[[#This Row],[Operating_h]]/tblFleet[[#This Row],[Available_h]],"")</f>
        <v/>
      </c>
    </row>
    <row r="2200">
      <c r="A2200" s="54" t="n"/>
      <c r="B2200" s="61" t="n"/>
      <c r="C2200" s="62" t="n"/>
      <c r="D2200" s="57" t="n"/>
      <c r="E2200" s="57" t="n"/>
      <c r="F2200" s="58" t="n"/>
      <c r="G2200" s="66">
        <f>IF(tblFleet[[#This Row],[Units]]="","",tblFleet[[#This Row],[Units]]*cfg_HoursPerDay)</f>
        <v/>
      </c>
      <c r="H2200" s="66">
        <f>IF(tblFleet[[#This Row],[Units]]="","",tblFleet[[#This Row],[Calendar_h]]-tblFleet[[#This Row],[Down_h]])</f>
        <v/>
      </c>
      <c r="I2200" s="60">
        <f>IF(AND(tblFleet[[#This Row],[Units]]&lt;&gt;"",tblFleet[[#This Row],[Calendar_h]]&gt;0),tblFleet[[#This Row],[Available_h]]/tblFleet[[#This Row],[Calendar_h]],"")</f>
        <v/>
      </c>
      <c r="J2200" s="60">
        <f>IF(AND(tblFleet[[#This Row],[Units]]&lt;&gt;"",tblFleet[[#This Row],[Available_h]]&gt;0),tblFleet[[#This Row],[Operating_h]]/tblFleet[[#This Row],[Available_h]],"")</f>
        <v/>
      </c>
    </row>
    <row r="2201">
      <c r="A2201" s="54" t="n"/>
      <c r="B2201" s="61" t="n"/>
      <c r="C2201" s="62" t="n"/>
      <c r="D2201" s="57" t="n"/>
      <c r="E2201" s="57" t="n"/>
      <c r="F2201" s="58" t="n"/>
      <c r="G2201" s="66">
        <f>IF(tblFleet[[#This Row],[Units]]="","",tblFleet[[#This Row],[Units]]*cfg_HoursPerDay)</f>
        <v/>
      </c>
      <c r="H2201" s="66">
        <f>IF(tblFleet[[#This Row],[Units]]="","",tblFleet[[#This Row],[Calendar_h]]-tblFleet[[#This Row],[Down_h]])</f>
        <v/>
      </c>
      <c r="I2201" s="60">
        <f>IF(AND(tblFleet[[#This Row],[Units]]&lt;&gt;"",tblFleet[[#This Row],[Calendar_h]]&gt;0),tblFleet[[#This Row],[Available_h]]/tblFleet[[#This Row],[Calendar_h]],"")</f>
        <v/>
      </c>
      <c r="J2201" s="60">
        <f>IF(AND(tblFleet[[#This Row],[Units]]&lt;&gt;"",tblFleet[[#This Row],[Available_h]]&gt;0),tblFleet[[#This Row],[Operating_h]]/tblFleet[[#This Row],[Available_h]],"")</f>
        <v/>
      </c>
    </row>
    <row r="2202">
      <c r="A2202" s="54" t="n"/>
      <c r="B2202" s="61" t="n"/>
      <c r="C2202" s="62" t="n"/>
      <c r="D2202" s="57" t="n"/>
      <c r="E2202" s="57" t="n"/>
      <c r="F2202" s="58" t="n"/>
      <c r="G2202" s="66">
        <f>IF(tblFleet[[#This Row],[Units]]="","",tblFleet[[#This Row],[Units]]*cfg_HoursPerDay)</f>
        <v/>
      </c>
      <c r="H2202" s="66">
        <f>IF(tblFleet[[#This Row],[Units]]="","",tblFleet[[#This Row],[Calendar_h]]-tblFleet[[#This Row],[Down_h]])</f>
        <v/>
      </c>
      <c r="I2202" s="60">
        <f>IF(AND(tblFleet[[#This Row],[Units]]&lt;&gt;"",tblFleet[[#This Row],[Calendar_h]]&gt;0),tblFleet[[#This Row],[Available_h]]/tblFleet[[#This Row],[Calendar_h]],"")</f>
        <v/>
      </c>
      <c r="J2202" s="60">
        <f>IF(AND(tblFleet[[#This Row],[Units]]&lt;&gt;"",tblFleet[[#This Row],[Available_h]]&gt;0),tblFleet[[#This Row],[Operating_h]]/tblFleet[[#This Row],[Available_h]],"")</f>
        <v/>
      </c>
    </row>
    <row r="2203">
      <c r="A2203" s="54" t="n"/>
      <c r="B2203" s="61" t="n"/>
      <c r="C2203" s="62" t="n"/>
      <c r="D2203" s="57" t="n"/>
      <c r="E2203" s="57" t="n"/>
      <c r="F2203" s="58" t="n"/>
      <c r="G2203" s="66">
        <f>IF(tblFleet[[#This Row],[Units]]="","",tblFleet[[#This Row],[Units]]*cfg_HoursPerDay)</f>
        <v/>
      </c>
      <c r="H2203" s="66">
        <f>IF(tblFleet[[#This Row],[Units]]="","",tblFleet[[#This Row],[Calendar_h]]-tblFleet[[#This Row],[Down_h]])</f>
        <v/>
      </c>
      <c r="I2203" s="60">
        <f>IF(AND(tblFleet[[#This Row],[Units]]&lt;&gt;"",tblFleet[[#This Row],[Calendar_h]]&gt;0),tblFleet[[#This Row],[Available_h]]/tblFleet[[#This Row],[Calendar_h]],"")</f>
        <v/>
      </c>
      <c r="J2203" s="60">
        <f>IF(AND(tblFleet[[#This Row],[Units]]&lt;&gt;"",tblFleet[[#This Row],[Available_h]]&gt;0),tblFleet[[#This Row],[Operating_h]]/tblFleet[[#This Row],[Available_h]],"")</f>
        <v/>
      </c>
    </row>
    <row r="2204">
      <c r="A2204" s="54" t="n"/>
      <c r="B2204" s="61" t="n"/>
      <c r="C2204" s="62" t="n"/>
      <c r="D2204" s="57" t="n"/>
      <c r="E2204" s="57" t="n"/>
      <c r="F2204" s="58" t="n"/>
      <c r="G2204" s="66">
        <f>IF(tblFleet[[#This Row],[Units]]="","",tblFleet[[#This Row],[Units]]*cfg_HoursPerDay)</f>
        <v/>
      </c>
      <c r="H2204" s="66">
        <f>IF(tblFleet[[#This Row],[Units]]="","",tblFleet[[#This Row],[Calendar_h]]-tblFleet[[#This Row],[Down_h]])</f>
        <v/>
      </c>
      <c r="I2204" s="60">
        <f>IF(AND(tblFleet[[#This Row],[Units]]&lt;&gt;"",tblFleet[[#This Row],[Calendar_h]]&gt;0),tblFleet[[#This Row],[Available_h]]/tblFleet[[#This Row],[Calendar_h]],"")</f>
        <v/>
      </c>
      <c r="J2204" s="60">
        <f>IF(AND(tblFleet[[#This Row],[Units]]&lt;&gt;"",tblFleet[[#This Row],[Available_h]]&gt;0),tblFleet[[#This Row],[Operating_h]]/tblFleet[[#This Row],[Available_h]],"")</f>
        <v/>
      </c>
    </row>
    <row r="2205">
      <c r="A2205" s="54" t="n"/>
      <c r="B2205" s="61" t="n"/>
      <c r="C2205" s="62" t="n"/>
      <c r="D2205" s="57" t="n"/>
      <c r="E2205" s="57" t="n"/>
      <c r="F2205" s="58" t="n"/>
      <c r="G2205" s="66">
        <f>IF(tblFleet[[#This Row],[Units]]="","",tblFleet[[#This Row],[Units]]*cfg_HoursPerDay)</f>
        <v/>
      </c>
      <c r="H2205" s="66">
        <f>IF(tblFleet[[#This Row],[Units]]="","",tblFleet[[#This Row],[Calendar_h]]-tblFleet[[#This Row],[Down_h]])</f>
        <v/>
      </c>
      <c r="I2205" s="60">
        <f>IF(AND(tblFleet[[#This Row],[Units]]&lt;&gt;"",tblFleet[[#This Row],[Calendar_h]]&gt;0),tblFleet[[#This Row],[Available_h]]/tblFleet[[#This Row],[Calendar_h]],"")</f>
        <v/>
      </c>
      <c r="J2205" s="60">
        <f>IF(AND(tblFleet[[#This Row],[Units]]&lt;&gt;"",tblFleet[[#This Row],[Available_h]]&gt;0),tblFleet[[#This Row],[Operating_h]]/tblFleet[[#This Row],[Available_h]],"")</f>
        <v/>
      </c>
    </row>
    <row r="2206">
      <c r="A2206" s="54" t="n"/>
      <c r="B2206" s="61" t="n"/>
      <c r="C2206" s="62" t="n"/>
      <c r="D2206" s="57" t="n"/>
      <c r="E2206" s="57" t="n"/>
      <c r="F2206" s="58" t="n"/>
      <c r="G2206" s="66">
        <f>IF(tblFleet[[#This Row],[Units]]="","",tblFleet[[#This Row],[Units]]*cfg_HoursPerDay)</f>
        <v/>
      </c>
      <c r="H2206" s="66">
        <f>IF(tblFleet[[#This Row],[Units]]="","",tblFleet[[#This Row],[Calendar_h]]-tblFleet[[#This Row],[Down_h]])</f>
        <v/>
      </c>
      <c r="I2206" s="60">
        <f>IF(AND(tblFleet[[#This Row],[Units]]&lt;&gt;"",tblFleet[[#This Row],[Calendar_h]]&gt;0),tblFleet[[#This Row],[Available_h]]/tblFleet[[#This Row],[Calendar_h]],"")</f>
        <v/>
      </c>
      <c r="J2206" s="60">
        <f>IF(AND(tblFleet[[#This Row],[Units]]&lt;&gt;"",tblFleet[[#This Row],[Available_h]]&gt;0),tblFleet[[#This Row],[Operating_h]]/tblFleet[[#This Row],[Available_h]],"")</f>
        <v/>
      </c>
    </row>
    <row r="2207">
      <c r="A2207" s="54" t="n"/>
      <c r="B2207" s="61" t="n"/>
      <c r="C2207" s="62" t="n"/>
      <c r="D2207" s="57" t="n"/>
      <c r="E2207" s="57" t="n"/>
      <c r="F2207" s="58" t="n"/>
      <c r="G2207" s="66">
        <f>IF(tblFleet[[#This Row],[Units]]="","",tblFleet[[#This Row],[Units]]*cfg_HoursPerDay)</f>
        <v/>
      </c>
      <c r="H2207" s="66">
        <f>IF(tblFleet[[#This Row],[Units]]="","",tblFleet[[#This Row],[Calendar_h]]-tblFleet[[#This Row],[Down_h]])</f>
        <v/>
      </c>
      <c r="I2207" s="60">
        <f>IF(AND(tblFleet[[#This Row],[Units]]&lt;&gt;"",tblFleet[[#This Row],[Calendar_h]]&gt;0),tblFleet[[#This Row],[Available_h]]/tblFleet[[#This Row],[Calendar_h]],"")</f>
        <v/>
      </c>
      <c r="J2207" s="60">
        <f>IF(AND(tblFleet[[#This Row],[Units]]&lt;&gt;"",tblFleet[[#This Row],[Available_h]]&gt;0),tblFleet[[#This Row],[Operating_h]]/tblFleet[[#This Row],[Available_h]],"")</f>
        <v/>
      </c>
    </row>
    <row r="2208">
      <c r="A2208" s="54" t="n"/>
      <c r="B2208" s="61" t="n"/>
      <c r="C2208" s="62" t="n"/>
      <c r="D2208" s="57" t="n"/>
      <c r="E2208" s="57" t="n"/>
      <c r="F2208" s="58" t="n"/>
      <c r="G2208" s="66">
        <f>IF(tblFleet[[#This Row],[Units]]="","",tblFleet[[#This Row],[Units]]*cfg_HoursPerDay)</f>
        <v/>
      </c>
      <c r="H2208" s="66">
        <f>IF(tblFleet[[#This Row],[Units]]="","",tblFleet[[#This Row],[Calendar_h]]-tblFleet[[#This Row],[Down_h]])</f>
        <v/>
      </c>
      <c r="I2208" s="60">
        <f>IF(AND(tblFleet[[#This Row],[Units]]&lt;&gt;"",tblFleet[[#This Row],[Calendar_h]]&gt;0),tblFleet[[#This Row],[Available_h]]/tblFleet[[#This Row],[Calendar_h]],"")</f>
        <v/>
      </c>
      <c r="J2208" s="60">
        <f>IF(AND(tblFleet[[#This Row],[Units]]&lt;&gt;"",tblFleet[[#This Row],[Available_h]]&gt;0),tblFleet[[#This Row],[Operating_h]]/tblFleet[[#This Row],[Available_h]],"")</f>
        <v/>
      </c>
    </row>
    <row r="2209">
      <c r="A2209" s="54" t="n"/>
      <c r="B2209" s="61" t="n"/>
      <c r="C2209" s="62" t="n"/>
      <c r="D2209" s="57" t="n"/>
      <c r="E2209" s="57" t="n"/>
      <c r="F2209" s="58" t="n"/>
      <c r="G2209" s="66">
        <f>IF(tblFleet[[#This Row],[Units]]="","",tblFleet[[#This Row],[Units]]*cfg_HoursPerDay)</f>
        <v/>
      </c>
      <c r="H2209" s="66">
        <f>IF(tblFleet[[#This Row],[Units]]="","",tblFleet[[#This Row],[Calendar_h]]-tblFleet[[#This Row],[Down_h]])</f>
        <v/>
      </c>
      <c r="I2209" s="60">
        <f>IF(AND(tblFleet[[#This Row],[Units]]&lt;&gt;"",tblFleet[[#This Row],[Calendar_h]]&gt;0),tblFleet[[#This Row],[Available_h]]/tblFleet[[#This Row],[Calendar_h]],"")</f>
        <v/>
      </c>
      <c r="J2209" s="60">
        <f>IF(AND(tblFleet[[#This Row],[Units]]&lt;&gt;"",tblFleet[[#This Row],[Available_h]]&gt;0),tblFleet[[#This Row],[Operating_h]]/tblFleet[[#This Row],[Available_h]],"")</f>
        <v/>
      </c>
    </row>
    <row r="2210">
      <c r="A2210" s="54" t="n"/>
      <c r="B2210" s="61" t="n"/>
      <c r="C2210" s="62" t="n"/>
      <c r="D2210" s="57" t="n"/>
      <c r="E2210" s="57" t="n"/>
      <c r="F2210" s="58" t="n"/>
      <c r="G2210" s="66">
        <f>IF(tblFleet[[#This Row],[Units]]="","",tblFleet[[#This Row],[Units]]*cfg_HoursPerDay)</f>
        <v/>
      </c>
      <c r="H2210" s="66">
        <f>IF(tblFleet[[#This Row],[Units]]="","",tblFleet[[#This Row],[Calendar_h]]-tblFleet[[#This Row],[Down_h]])</f>
        <v/>
      </c>
      <c r="I2210" s="60">
        <f>IF(AND(tblFleet[[#This Row],[Units]]&lt;&gt;"",tblFleet[[#This Row],[Calendar_h]]&gt;0),tblFleet[[#This Row],[Available_h]]/tblFleet[[#This Row],[Calendar_h]],"")</f>
        <v/>
      </c>
      <c r="J2210" s="60">
        <f>IF(AND(tblFleet[[#This Row],[Units]]&lt;&gt;"",tblFleet[[#This Row],[Available_h]]&gt;0),tblFleet[[#This Row],[Operating_h]]/tblFleet[[#This Row],[Available_h]],"")</f>
        <v/>
      </c>
    </row>
    <row r="2211">
      <c r="A2211" s="54" t="n"/>
      <c r="B2211" s="61" t="n"/>
      <c r="C2211" s="62" t="n"/>
      <c r="D2211" s="57" t="n"/>
      <c r="E2211" s="57" t="n"/>
      <c r="F2211" s="58" t="n"/>
      <c r="G2211" s="66">
        <f>IF(tblFleet[[#This Row],[Units]]="","",tblFleet[[#This Row],[Units]]*cfg_HoursPerDay)</f>
        <v/>
      </c>
      <c r="H2211" s="66">
        <f>IF(tblFleet[[#This Row],[Units]]="","",tblFleet[[#This Row],[Calendar_h]]-tblFleet[[#This Row],[Down_h]])</f>
        <v/>
      </c>
      <c r="I2211" s="60">
        <f>IF(AND(tblFleet[[#This Row],[Units]]&lt;&gt;"",tblFleet[[#This Row],[Calendar_h]]&gt;0),tblFleet[[#This Row],[Available_h]]/tblFleet[[#This Row],[Calendar_h]],"")</f>
        <v/>
      </c>
      <c r="J2211" s="60">
        <f>IF(AND(tblFleet[[#This Row],[Units]]&lt;&gt;"",tblFleet[[#This Row],[Available_h]]&gt;0),tblFleet[[#This Row],[Operating_h]]/tblFleet[[#This Row],[Available_h]],"")</f>
        <v/>
      </c>
    </row>
    <row r="2212">
      <c r="A2212" s="54" t="n"/>
      <c r="B2212" s="61" t="n"/>
      <c r="C2212" s="62" t="n"/>
      <c r="D2212" s="57" t="n"/>
      <c r="E2212" s="57" t="n"/>
      <c r="F2212" s="58" t="n"/>
      <c r="G2212" s="66">
        <f>IF(tblFleet[[#This Row],[Units]]="","",tblFleet[[#This Row],[Units]]*cfg_HoursPerDay)</f>
        <v/>
      </c>
      <c r="H2212" s="66">
        <f>IF(tblFleet[[#This Row],[Units]]="","",tblFleet[[#This Row],[Calendar_h]]-tblFleet[[#This Row],[Down_h]])</f>
        <v/>
      </c>
      <c r="I2212" s="60">
        <f>IF(AND(tblFleet[[#This Row],[Units]]&lt;&gt;"",tblFleet[[#This Row],[Calendar_h]]&gt;0),tblFleet[[#This Row],[Available_h]]/tblFleet[[#This Row],[Calendar_h]],"")</f>
        <v/>
      </c>
      <c r="J2212" s="60">
        <f>IF(AND(tblFleet[[#This Row],[Units]]&lt;&gt;"",tblFleet[[#This Row],[Available_h]]&gt;0),tblFleet[[#This Row],[Operating_h]]/tblFleet[[#This Row],[Available_h]],"")</f>
        <v/>
      </c>
    </row>
    <row r="2213">
      <c r="A2213" s="54" t="n"/>
      <c r="B2213" s="61" t="n"/>
      <c r="C2213" s="62" t="n"/>
      <c r="D2213" s="57" t="n"/>
      <c r="E2213" s="57" t="n"/>
      <c r="F2213" s="58" t="n"/>
      <c r="G2213" s="66">
        <f>IF(tblFleet[[#This Row],[Units]]="","",tblFleet[[#This Row],[Units]]*cfg_HoursPerDay)</f>
        <v/>
      </c>
      <c r="H2213" s="66">
        <f>IF(tblFleet[[#This Row],[Units]]="","",tblFleet[[#This Row],[Calendar_h]]-tblFleet[[#This Row],[Down_h]])</f>
        <v/>
      </c>
      <c r="I2213" s="60">
        <f>IF(AND(tblFleet[[#This Row],[Units]]&lt;&gt;"",tblFleet[[#This Row],[Calendar_h]]&gt;0),tblFleet[[#This Row],[Available_h]]/tblFleet[[#This Row],[Calendar_h]],"")</f>
        <v/>
      </c>
      <c r="J2213" s="60">
        <f>IF(AND(tblFleet[[#This Row],[Units]]&lt;&gt;"",tblFleet[[#This Row],[Available_h]]&gt;0),tblFleet[[#This Row],[Operating_h]]/tblFleet[[#This Row],[Available_h]],"")</f>
        <v/>
      </c>
    </row>
    <row r="2214">
      <c r="A2214" s="54" t="n"/>
      <c r="B2214" s="61" t="n"/>
      <c r="C2214" s="62" t="n"/>
      <c r="D2214" s="57" t="n"/>
      <c r="E2214" s="57" t="n"/>
      <c r="F2214" s="58" t="n"/>
      <c r="G2214" s="66">
        <f>IF(tblFleet[[#This Row],[Units]]="","",tblFleet[[#This Row],[Units]]*cfg_HoursPerDay)</f>
        <v/>
      </c>
      <c r="H2214" s="66">
        <f>IF(tblFleet[[#This Row],[Units]]="","",tblFleet[[#This Row],[Calendar_h]]-tblFleet[[#This Row],[Down_h]])</f>
        <v/>
      </c>
      <c r="I2214" s="60">
        <f>IF(AND(tblFleet[[#This Row],[Units]]&lt;&gt;"",tblFleet[[#This Row],[Calendar_h]]&gt;0),tblFleet[[#This Row],[Available_h]]/tblFleet[[#This Row],[Calendar_h]],"")</f>
        <v/>
      </c>
      <c r="J2214" s="60">
        <f>IF(AND(tblFleet[[#This Row],[Units]]&lt;&gt;"",tblFleet[[#This Row],[Available_h]]&gt;0),tblFleet[[#This Row],[Operating_h]]/tblFleet[[#This Row],[Available_h]],"")</f>
        <v/>
      </c>
    </row>
    <row r="2215">
      <c r="A2215" s="54" t="n"/>
      <c r="B2215" s="61" t="n"/>
      <c r="C2215" s="62" t="n"/>
      <c r="D2215" s="57" t="n"/>
      <c r="E2215" s="57" t="n"/>
      <c r="F2215" s="58" t="n"/>
      <c r="G2215" s="66">
        <f>IF(tblFleet[[#This Row],[Units]]="","",tblFleet[[#This Row],[Units]]*cfg_HoursPerDay)</f>
        <v/>
      </c>
      <c r="H2215" s="66">
        <f>IF(tblFleet[[#This Row],[Units]]="","",tblFleet[[#This Row],[Calendar_h]]-tblFleet[[#This Row],[Down_h]])</f>
        <v/>
      </c>
      <c r="I2215" s="60">
        <f>IF(AND(tblFleet[[#This Row],[Units]]&lt;&gt;"",tblFleet[[#This Row],[Calendar_h]]&gt;0),tblFleet[[#This Row],[Available_h]]/tblFleet[[#This Row],[Calendar_h]],"")</f>
        <v/>
      </c>
      <c r="J2215" s="60">
        <f>IF(AND(tblFleet[[#This Row],[Units]]&lt;&gt;"",tblFleet[[#This Row],[Available_h]]&gt;0),tblFleet[[#This Row],[Operating_h]]/tblFleet[[#This Row],[Available_h]],"")</f>
        <v/>
      </c>
    </row>
    <row r="2216">
      <c r="A2216" s="54" t="n"/>
      <c r="B2216" s="61" t="n"/>
      <c r="C2216" s="62" t="n"/>
      <c r="D2216" s="57" t="n"/>
      <c r="E2216" s="57" t="n"/>
      <c r="F2216" s="58" t="n"/>
      <c r="G2216" s="66">
        <f>IF(tblFleet[[#This Row],[Units]]="","",tblFleet[[#This Row],[Units]]*cfg_HoursPerDay)</f>
        <v/>
      </c>
      <c r="H2216" s="66">
        <f>IF(tblFleet[[#This Row],[Units]]="","",tblFleet[[#This Row],[Calendar_h]]-tblFleet[[#This Row],[Down_h]])</f>
        <v/>
      </c>
      <c r="I2216" s="60">
        <f>IF(AND(tblFleet[[#This Row],[Units]]&lt;&gt;"",tblFleet[[#This Row],[Calendar_h]]&gt;0),tblFleet[[#This Row],[Available_h]]/tblFleet[[#This Row],[Calendar_h]],"")</f>
        <v/>
      </c>
      <c r="J2216" s="60">
        <f>IF(AND(tblFleet[[#This Row],[Units]]&lt;&gt;"",tblFleet[[#This Row],[Available_h]]&gt;0),tblFleet[[#This Row],[Operating_h]]/tblFleet[[#This Row],[Available_h]],"")</f>
        <v/>
      </c>
    </row>
    <row r="2217">
      <c r="A2217" s="54" t="n"/>
      <c r="B2217" s="61" t="n"/>
      <c r="C2217" s="62" t="n"/>
      <c r="D2217" s="57" t="n"/>
      <c r="E2217" s="57" t="n"/>
      <c r="F2217" s="58" t="n"/>
      <c r="G2217" s="66">
        <f>IF(tblFleet[[#This Row],[Units]]="","",tblFleet[[#This Row],[Units]]*cfg_HoursPerDay)</f>
        <v/>
      </c>
      <c r="H2217" s="66">
        <f>IF(tblFleet[[#This Row],[Units]]="","",tblFleet[[#This Row],[Calendar_h]]-tblFleet[[#This Row],[Down_h]])</f>
        <v/>
      </c>
      <c r="I2217" s="60">
        <f>IF(AND(tblFleet[[#This Row],[Units]]&lt;&gt;"",tblFleet[[#This Row],[Calendar_h]]&gt;0),tblFleet[[#This Row],[Available_h]]/tblFleet[[#This Row],[Calendar_h]],"")</f>
        <v/>
      </c>
      <c r="J2217" s="60">
        <f>IF(AND(tblFleet[[#This Row],[Units]]&lt;&gt;"",tblFleet[[#This Row],[Available_h]]&gt;0),tblFleet[[#This Row],[Operating_h]]/tblFleet[[#This Row],[Available_h]],"")</f>
        <v/>
      </c>
    </row>
    <row r="2218">
      <c r="A2218" s="54" t="n"/>
      <c r="B2218" s="61" t="n"/>
      <c r="C2218" s="62" t="n"/>
      <c r="D2218" s="57" t="n"/>
      <c r="E2218" s="57" t="n"/>
      <c r="F2218" s="58" t="n"/>
      <c r="G2218" s="66">
        <f>IF(tblFleet[[#This Row],[Units]]="","",tblFleet[[#This Row],[Units]]*cfg_HoursPerDay)</f>
        <v/>
      </c>
      <c r="H2218" s="66">
        <f>IF(tblFleet[[#This Row],[Units]]="","",tblFleet[[#This Row],[Calendar_h]]-tblFleet[[#This Row],[Down_h]])</f>
        <v/>
      </c>
      <c r="I2218" s="60">
        <f>IF(AND(tblFleet[[#This Row],[Units]]&lt;&gt;"",tblFleet[[#This Row],[Calendar_h]]&gt;0),tblFleet[[#This Row],[Available_h]]/tblFleet[[#This Row],[Calendar_h]],"")</f>
        <v/>
      </c>
      <c r="J2218" s="60">
        <f>IF(AND(tblFleet[[#This Row],[Units]]&lt;&gt;"",tblFleet[[#This Row],[Available_h]]&gt;0),tblFleet[[#This Row],[Operating_h]]/tblFleet[[#This Row],[Available_h]],"")</f>
        <v/>
      </c>
    </row>
    <row r="2219">
      <c r="A2219" s="54" t="n"/>
      <c r="B2219" s="61" t="n"/>
      <c r="C2219" s="62" t="n"/>
      <c r="D2219" s="57" t="n"/>
      <c r="E2219" s="57" t="n"/>
      <c r="F2219" s="58" t="n"/>
      <c r="G2219" s="66">
        <f>IF(tblFleet[[#This Row],[Units]]="","",tblFleet[[#This Row],[Units]]*cfg_HoursPerDay)</f>
        <v/>
      </c>
      <c r="H2219" s="66">
        <f>IF(tblFleet[[#This Row],[Units]]="","",tblFleet[[#This Row],[Calendar_h]]-tblFleet[[#This Row],[Down_h]])</f>
        <v/>
      </c>
      <c r="I2219" s="60">
        <f>IF(AND(tblFleet[[#This Row],[Units]]&lt;&gt;"",tblFleet[[#This Row],[Calendar_h]]&gt;0),tblFleet[[#This Row],[Available_h]]/tblFleet[[#This Row],[Calendar_h]],"")</f>
        <v/>
      </c>
      <c r="J2219" s="60">
        <f>IF(AND(tblFleet[[#This Row],[Units]]&lt;&gt;"",tblFleet[[#This Row],[Available_h]]&gt;0),tblFleet[[#This Row],[Operating_h]]/tblFleet[[#This Row],[Available_h]],"")</f>
        <v/>
      </c>
    </row>
    <row r="2220">
      <c r="A2220" s="54" t="n"/>
      <c r="B2220" s="61" t="n"/>
      <c r="C2220" s="62" t="n"/>
      <c r="D2220" s="57" t="n"/>
      <c r="E2220" s="57" t="n"/>
      <c r="F2220" s="58" t="n"/>
      <c r="G2220" s="66">
        <f>IF(tblFleet[[#This Row],[Units]]="","",tblFleet[[#This Row],[Units]]*cfg_HoursPerDay)</f>
        <v/>
      </c>
      <c r="H2220" s="66">
        <f>IF(tblFleet[[#This Row],[Units]]="","",tblFleet[[#This Row],[Calendar_h]]-tblFleet[[#This Row],[Down_h]])</f>
        <v/>
      </c>
      <c r="I2220" s="60">
        <f>IF(AND(tblFleet[[#This Row],[Units]]&lt;&gt;"",tblFleet[[#This Row],[Calendar_h]]&gt;0),tblFleet[[#This Row],[Available_h]]/tblFleet[[#This Row],[Calendar_h]],"")</f>
        <v/>
      </c>
      <c r="J2220" s="60">
        <f>IF(AND(tblFleet[[#This Row],[Units]]&lt;&gt;"",tblFleet[[#This Row],[Available_h]]&gt;0),tblFleet[[#This Row],[Operating_h]]/tblFleet[[#This Row],[Available_h]],"")</f>
        <v/>
      </c>
    </row>
    <row r="2221">
      <c r="A2221" s="54" t="n"/>
      <c r="B2221" s="61" t="n"/>
      <c r="C2221" s="62" t="n"/>
      <c r="D2221" s="57" t="n"/>
      <c r="E2221" s="57" t="n"/>
      <c r="F2221" s="58" t="n"/>
      <c r="G2221" s="66">
        <f>IF(tblFleet[[#This Row],[Units]]="","",tblFleet[[#This Row],[Units]]*cfg_HoursPerDay)</f>
        <v/>
      </c>
      <c r="H2221" s="66">
        <f>IF(tblFleet[[#This Row],[Units]]="","",tblFleet[[#This Row],[Calendar_h]]-tblFleet[[#This Row],[Down_h]])</f>
        <v/>
      </c>
      <c r="I2221" s="60">
        <f>IF(AND(tblFleet[[#This Row],[Units]]&lt;&gt;"",tblFleet[[#This Row],[Calendar_h]]&gt;0),tblFleet[[#This Row],[Available_h]]/tblFleet[[#This Row],[Calendar_h]],"")</f>
        <v/>
      </c>
      <c r="J2221" s="60">
        <f>IF(AND(tblFleet[[#This Row],[Units]]&lt;&gt;"",tblFleet[[#This Row],[Available_h]]&gt;0),tblFleet[[#This Row],[Operating_h]]/tblFleet[[#This Row],[Available_h]],"")</f>
        <v/>
      </c>
    </row>
    <row r="2222">
      <c r="A2222" s="54" t="n"/>
      <c r="B2222" s="61" t="n"/>
      <c r="C2222" s="62" t="n"/>
      <c r="D2222" s="57" t="n"/>
      <c r="E2222" s="57" t="n"/>
      <c r="F2222" s="58" t="n"/>
      <c r="G2222" s="66">
        <f>IF(tblFleet[[#This Row],[Units]]="","",tblFleet[[#This Row],[Units]]*cfg_HoursPerDay)</f>
        <v/>
      </c>
      <c r="H2222" s="66">
        <f>IF(tblFleet[[#This Row],[Units]]="","",tblFleet[[#This Row],[Calendar_h]]-tblFleet[[#This Row],[Down_h]])</f>
        <v/>
      </c>
      <c r="I2222" s="60">
        <f>IF(AND(tblFleet[[#This Row],[Units]]&lt;&gt;"",tblFleet[[#This Row],[Calendar_h]]&gt;0),tblFleet[[#This Row],[Available_h]]/tblFleet[[#This Row],[Calendar_h]],"")</f>
        <v/>
      </c>
      <c r="J2222" s="60">
        <f>IF(AND(tblFleet[[#This Row],[Units]]&lt;&gt;"",tblFleet[[#This Row],[Available_h]]&gt;0),tblFleet[[#This Row],[Operating_h]]/tblFleet[[#This Row],[Available_h]],"")</f>
        <v/>
      </c>
    </row>
    <row r="2223">
      <c r="A2223" s="54" t="n"/>
      <c r="B2223" s="61" t="n"/>
      <c r="C2223" s="62" t="n"/>
      <c r="D2223" s="57" t="n"/>
      <c r="E2223" s="57" t="n"/>
      <c r="F2223" s="58" t="n"/>
      <c r="G2223" s="66">
        <f>IF(tblFleet[[#This Row],[Units]]="","",tblFleet[[#This Row],[Units]]*cfg_HoursPerDay)</f>
        <v/>
      </c>
      <c r="H2223" s="66">
        <f>IF(tblFleet[[#This Row],[Units]]="","",tblFleet[[#This Row],[Calendar_h]]-tblFleet[[#This Row],[Down_h]])</f>
        <v/>
      </c>
      <c r="I2223" s="60">
        <f>IF(AND(tblFleet[[#This Row],[Units]]&lt;&gt;"",tblFleet[[#This Row],[Calendar_h]]&gt;0),tblFleet[[#This Row],[Available_h]]/tblFleet[[#This Row],[Calendar_h]],"")</f>
        <v/>
      </c>
      <c r="J2223" s="60">
        <f>IF(AND(tblFleet[[#This Row],[Units]]&lt;&gt;"",tblFleet[[#This Row],[Available_h]]&gt;0),tblFleet[[#This Row],[Operating_h]]/tblFleet[[#This Row],[Available_h]],"")</f>
        <v/>
      </c>
    </row>
    <row r="2224">
      <c r="A2224" s="54" t="n"/>
      <c r="B2224" s="61" t="n"/>
      <c r="C2224" s="62" t="n"/>
      <c r="D2224" s="57" t="n"/>
      <c r="E2224" s="57" t="n"/>
      <c r="F2224" s="58" t="n"/>
      <c r="G2224" s="66">
        <f>IF(tblFleet[[#This Row],[Units]]="","",tblFleet[[#This Row],[Units]]*cfg_HoursPerDay)</f>
        <v/>
      </c>
      <c r="H2224" s="66">
        <f>IF(tblFleet[[#This Row],[Units]]="","",tblFleet[[#This Row],[Calendar_h]]-tblFleet[[#This Row],[Down_h]])</f>
        <v/>
      </c>
      <c r="I2224" s="60">
        <f>IF(AND(tblFleet[[#This Row],[Units]]&lt;&gt;"",tblFleet[[#This Row],[Calendar_h]]&gt;0),tblFleet[[#This Row],[Available_h]]/tblFleet[[#This Row],[Calendar_h]],"")</f>
        <v/>
      </c>
      <c r="J2224" s="60">
        <f>IF(AND(tblFleet[[#This Row],[Units]]&lt;&gt;"",tblFleet[[#This Row],[Available_h]]&gt;0),tblFleet[[#This Row],[Operating_h]]/tblFleet[[#This Row],[Available_h]],"")</f>
        <v/>
      </c>
    </row>
    <row r="2225">
      <c r="A2225" s="54" t="n"/>
      <c r="B2225" s="61" t="n"/>
      <c r="C2225" s="62" t="n"/>
      <c r="D2225" s="57" t="n"/>
      <c r="E2225" s="57" t="n"/>
      <c r="F2225" s="58" t="n"/>
      <c r="G2225" s="66">
        <f>IF(tblFleet[[#This Row],[Units]]="","",tblFleet[[#This Row],[Units]]*cfg_HoursPerDay)</f>
        <v/>
      </c>
      <c r="H2225" s="66">
        <f>IF(tblFleet[[#This Row],[Units]]="","",tblFleet[[#This Row],[Calendar_h]]-tblFleet[[#This Row],[Down_h]])</f>
        <v/>
      </c>
      <c r="I2225" s="60">
        <f>IF(AND(tblFleet[[#This Row],[Units]]&lt;&gt;"",tblFleet[[#This Row],[Calendar_h]]&gt;0),tblFleet[[#This Row],[Available_h]]/tblFleet[[#This Row],[Calendar_h]],"")</f>
        <v/>
      </c>
      <c r="J2225" s="60">
        <f>IF(AND(tblFleet[[#This Row],[Units]]&lt;&gt;"",tblFleet[[#This Row],[Available_h]]&gt;0),tblFleet[[#This Row],[Operating_h]]/tblFleet[[#This Row],[Available_h]],"")</f>
        <v/>
      </c>
    </row>
    <row r="2226">
      <c r="A2226" s="54" t="n"/>
      <c r="B2226" s="61" t="n"/>
      <c r="C2226" s="62" t="n"/>
      <c r="D2226" s="57" t="n"/>
      <c r="E2226" s="57" t="n"/>
      <c r="F2226" s="58" t="n"/>
      <c r="G2226" s="66">
        <f>IF(tblFleet[[#This Row],[Units]]="","",tblFleet[[#This Row],[Units]]*cfg_HoursPerDay)</f>
        <v/>
      </c>
      <c r="H2226" s="66">
        <f>IF(tblFleet[[#This Row],[Units]]="","",tblFleet[[#This Row],[Calendar_h]]-tblFleet[[#This Row],[Down_h]])</f>
        <v/>
      </c>
      <c r="I2226" s="60">
        <f>IF(AND(tblFleet[[#This Row],[Units]]&lt;&gt;"",tblFleet[[#This Row],[Calendar_h]]&gt;0),tblFleet[[#This Row],[Available_h]]/tblFleet[[#This Row],[Calendar_h]],"")</f>
        <v/>
      </c>
      <c r="J2226" s="60">
        <f>IF(AND(tblFleet[[#This Row],[Units]]&lt;&gt;"",tblFleet[[#This Row],[Available_h]]&gt;0),tblFleet[[#This Row],[Operating_h]]/tblFleet[[#This Row],[Available_h]],"")</f>
        <v/>
      </c>
    </row>
    <row r="2227">
      <c r="A2227" s="54" t="n"/>
      <c r="B2227" s="61" t="n"/>
      <c r="C2227" s="62" t="n"/>
      <c r="D2227" s="57" t="n"/>
      <c r="E2227" s="57" t="n"/>
      <c r="F2227" s="58" t="n"/>
      <c r="G2227" s="66">
        <f>IF(tblFleet[[#This Row],[Units]]="","",tblFleet[[#This Row],[Units]]*cfg_HoursPerDay)</f>
        <v/>
      </c>
      <c r="H2227" s="66">
        <f>IF(tblFleet[[#This Row],[Units]]="","",tblFleet[[#This Row],[Calendar_h]]-tblFleet[[#This Row],[Down_h]])</f>
        <v/>
      </c>
      <c r="I2227" s="60">
        <f>IF(AND(tblFleet[[#This Row],[Units]]&lt;&gt;"",tblFleet[[#This Row],[Calendar_h]]&gt;0),tblFleet[[#This Row],[Available_h]]/tblFleet[[#This Row],[Calendar_h]],"")</f>
        <v/>
      </c>
      <c r="J2227" s="60">
        <f>IF(AND(tblFleet[[#This Row],[Units]]&lt;&gt;"",tblFleet[[#This Row],[Available_h]]&gt;0),tblFleet[[#This Row],[Operating_h]]/tblFleet[[#This Row],[Available_h]],"")</f>
        <v/>
      </c>
    </row>
    <row r="2228">
      <c r="A2228" s="54" t="n"/>
      <c r="B2228" s="61" t="n"/>
      <c r="C2228" s="62" t="n"/>
      <c r="D2228" s="57" t="n"/>
      <c r="E2228" s="57" t="n"/>
      <c r="F2228" s="58" t="n"/>
      <c r="G2228" s="66">
        <f>IF(tblFleet[[#This Row],[Units]]="","",tblFleet[[#This Row],[Units]]*cfg_HoursPerDay)</f>
        <v/>
      </c>
      <c r="H2228" s="66">
        <f>IF(tblFleet[[#This Row],[Units]]="","",tblFleet[[#This Row],[Calendar_h]]-tblFleet[[#This Row],[Down_h]])</f>
        <v/>
      </c>
      <c r="I2228" s="60">
        <f>IF(AND(tblFleet[[#This Row],[Units]]&lt;&gt;"",tblFleet[[#This Row],[Calendar_h]]&gt;0),tblFleet[[#This Row],[Available_h]]/tblFleet[[#This Row],[Calendar_h]],"")</f>
        <v/>
      </c>
      <c r="J2228" s="60">
        <f>IF(AND(tblFleet[[#This Row],[Units]]&lt;&gt;"",tblFleet[[#This Row],[Available_h]]&gt;0),tblFleet[[#This Row],[Operating_h]]/tblFleet[[#This Row],[Available_h]],"")</f>
        <v/>
      </c>
    </row>
    <row r="2229">
      <c r="A2229" s="54" t="n"/>
      <c r="B2229" s="61" t="n"/>
      <c r="C2229" s="62" t="n"/>
      <c r="D2229" s="57" t="n"/>
      <c r="E2229" s="57" t="n"/>
      <c r="F2229" s="58" t="n"/>
      <c r="G2229" s="66">
        <f>IF(tblFleet[[#This Row],[Units]]="","",tblFleet[[#This Row],[Units]]*cfg_HoursPerDay)</f>
        <v/>
      </c>
      <c r="H2229" s="66">
        <f>IF(tblFleet[[#This Row],[Units]]="","",tblFleet[[#This Row],[Calendar_h]]-tblFleet[[#This Row],[Down_h]])</f>
        <v/>
      </c>
      <c r="I2229" s="60">
        <f>IF(AND(tblFleet[[#This Row],[Units]]&lt;&gt;"",tblFleet[[#This Row],[Calendar_h]]&gt;0),tblFleet[[#This Row],[Available_h]]/tblFleet[[#This Row],[Calendar_h]],"")</f>
        <v/>
      </c>
      <c r="J2229" s="60">
        <f>IF(AND(tblFleet[[#This Row],[Units]]&lt;&gt;"",tblFleet[[#This Row],[Available_h]]&gt;0),tblFleet[[#This Row],[Operating_h]]/tblFleet[[#This Row],[Available_h]],"")</f>
        <v/>
      </c>
    </row>
    <row r="2230">
      <c r="A2230" s="54" t="n"/>
      <c r="B2230" s="61" t="n"/>
      <c r="C2230" s="62" t="n"/>
      <c r="D2230" s="57" t="n"/>
      <c r="E2230" s="57" t="n"/>
      <c r="F2230" s="58" t="n"/>
      <c r="G2230" s="66">
        <f>IF(tblFleet[[#This Row],[Units]]="","",tblFleet[[#This Row],[Units]]*cfg_HoursPerDay)</f>
        <v/>
      </c>
      <c r="H2230" s="66">
        <f>IF(tblFleet[[#This Row],[Units]]="","",tblFleet[[#This Row],[Calendar_h]]-tblFleet[[#This Row],[Down_h]])</f>
        <v/>
      </c>
      <c r="I2230" s="60">
        <f>IF(AND(tblFleet[[#This Row],[Units]]&lt;&gt;"",tblFleet[[#This Row],[Calendar_h]]&gt;0),tblFleet[[#This Row],[Available_h]]/tblFleet[[#This Row],[Calendar_h]],"")</f>
        <v/>
      </c>
      <c r="J2230" s="60">
        <f>IF(AND(tblFleet[[#This Row],[Units]]&lt;&gt;"",tblFleet[[#This Row],[Available_h]]&gt;0),tblFleet[[#This Row],[Operating_h]]/tblFleet[[#This Row],[Available_h]],"")</f>
        <v/>
      </c>
    </row>
    <row r="2231">
      <c r="A2231" s="54" t="n"/>
      <c r="B2231" s="61" t="n"/>
      <c r="C2231" s="62" t="n"/>
      <c r="D2231" s="57" t="n"/>
      <c r="E2231" s="57" t="n"/>
      <c r="F2231" s="58" t="n"/>
      <c r="G2231" s="66">
        <f>IF(tblFleet[[#This Row],[Units]]="","",tblFleet[[#This Row],[Units]]*cfg_HoursPerDay)</f>
        <v/>
      </c>
      <c r="H2231" s="66">
        <f>IF(tblFleet[[#This Row],[Units]]="","",tblFleet[[#This Row],[Calendar_h]]-tblFleet[[#This Row],[Down_h]])</f>
        <v/>
      </c>
      <c r="I2231" s="60">
        <f>IF(AND(tblFleet[[#This Row],[Units]]&lt;&gt;"",tblFleet[[#This Row],[Calendar_h]]&gt;0),tblFleet[[#This Row],[Available_h]]/tblFleet[[#This Row],[Calendar_h]],"")</f>
        <v/>
      </c>
      <c r="J2231" s="60">
        <f>IF(AND(tblFleet[[#This Row],[Units]]&lt;&gt;"",tblFleet[[#This Row],[Available_h]]&gt;0),tblFleet[[#This Row],[Operating_h]]/tblFleet[[#This Row],[Available_h]],"")</f>
        <v/>
      </c>
    </row>
    <row r="2232">
      <c r="A2232" s="54" t="n"/>
      <c r="B2232" s="61" t="n"/>
      <c r="C2232" s="62" t="n"/>
      <c r="D2232" s="57" t="n"/>
      <c r="E2232" s="57" t="n"/>
      <c r="F2232" s="58" t="n"/>
      <c r="G2232" s="66">
        <f>IF(tblFleet[[#This Row],[Units]]="","",tblFleet[[#This Row],[Units]]*cfg_HoursPerDay)</f>
        <v/>
      </c>
      <c r="H2232" s="66">
        <f>IF(tblFleet[[#This Row],[Units]]="","",tblFleet[[#This Row],[Calendar_h]]-tblFleet[[#This Row],[Down_h]])</f>
        <v/>
      </c>
      <c r="I2232" s="60">
        <f>IF(AND(tblFleet[[#This Row],[Units]]&lt;&gt;"",tblFleet[[#This Row],[Calendar_h]]&gt;0),tblFleet[[#This Row],[Available_h]]/tblFleet[[#This Row],[Calendar_h]],"")</f>
        <v/>
      </c>
      <c r="J2232" s="60">
        <f>IF(AND(tblFleet[[#This Row],[Units]]&lt;&gt;"",tblFleet[[#This Row],[Available_h]]&gt;0),tblFleet[[#This Row],[Operating_h]]/tblFleet[[#This Row],[Available_h]],"")</f>
        <v/>
      </c>
    </row>
    <row r="2233">
      <c r="A2233" s="54" t="n"/>
      <c r="B2233" s="61" t="n"/>
      <c r="C2233" s="62" t="n"/>
      <c r="D2233" s="57" t="n"/>
      <c r="E2233" s="57" t="n"/>
      <c r="F2233" s="58" t="n"/>
      <c r="G2233" s="66">
        <f>IF(tblFleet[[#This Row],[Units]]="","",tblFleet[[#This Row],[Units]]*cfg_HoursPerDay)</f>
        <v/>
      </c>
      <c r="H2233" s="66">
        <f>IF(tblFleet[[#This Row],[Units]]="","",tblFleet[[#This Row],[Calendar_h]]-tblFleet[[#This Row],[Down_h]])</f>
        <v/>
      </c>
      <c r="I2233" s="60">
        <f>IF(AND(tblFleet[[#This Row],[Units]]&lt;&gt;"",tblFleet[[#This Row],[Calendar_h]]&gt;0),tblFleet[[#This Row],[Available_h]]/tblFleet[[#This Row],[Calendar_h]],"")</f>
        <v/>
      </c>
      <c r="J2233" s="60">
        <f>IF(AND(tblFleet[[#This Row],[Units]]&lt;&gt;"",tblFleet[[#This Row],[Available_h]]&gt;0),tblFleet[[#This Row],[Operating_h]]/tblFleet[[#This Row],[Available_h]],"")</f>
        <v/>
      </c>
    </row>
    <row r="2234">
      <c r="A2234" s="54" t="n"/>
      <c r="B2234" s="61" t="n"/>
      <c r="C2234" s="62" t="n"/>
      <c r="D2234" s="57" t="n"/>
      <c r="E2234" s="57" t="n"/>
      <c r="F2234" s="58" t="n"/>
      <c r="G2234" s="66">
        <f>IF(tblFleet[[#This Row],[Units]]="","",tblFleet[[#This Row],[Units]]*cfg_HoursPerDay)</f>
        <v/>
      </c>
      <c r="H2234" s="66">
        <f>IF(tblFleet[[#This Row],[Units]]="","",tblFleet[[#This Row],[Calendar_h]]-tblFleet[[#This Row],[Down_h]])</f>
        <v/>
      </c>
      <c r="I2234" s="60">
        <f>IF(AND(tblFleet[[#This Row],[Units]]&lt;&gt;"",tblFleet[[#This Row],[Calendar_h]]&gt;0),tblFleet[[#This Row],[Available_h]]/tblFleet[[#This Row],[Calendar_h]],"")</f>
        <v/>
      </c>
      <c r="J2234" s="60">
        <f>IF(AND(tblFleet[[#This Row],[Units]]&lt;&gt;"",tblFleet[[#This Row],[Available_h]]&gt;0),tblFleet[[#This Row],[Operating_h]]/tblFleet[[#This Row],[Available_h]],"")</f>
        <v/>
      </c>
    </row>
    <row r="2235">
      <c r="A2235" s="54" t="n"/>
      <c r="B2235" s="61" t="n"/>
      <c r="C2235" s="62" t="n"/>
      <c r="D2235" s="57" t="n"/>
      <c r="E2235" s="57" t="n"/>
      <c r="F2235" s="58" t="n"/>
      <c r="G2235" s="66">
        <f>IF(tblFleet[[#This Row],[Units]]="","",tblFleet[[#This Row],[Units]]*cfg_HoursPerDay)</f>
        <v/>
      </c>
      <c r="H2235" s="66">
        <f>IF(tblFleet[[#This Row],[Units]]="","",tblFleet[[#This Row],[Calendar_h]]-tblFleet[[#This Row],[Down_h]])</f>
        <v/>
      </c>
      <c r="I2235" s="60">
        <f>IF(AND(tblFleet[[#This Row],[Units]]&lt;&gt;"",tblFleet[[#This Row],[Calendar_h]]&gt;0),tblFleet[[#This Row],[Available_h]]/tblFleet[[#This Row],[Calendar_h]],"")</f>
        <v/>
      </c>
      <c r="J2235" s="60">
        <f>IF(AND(tblFleet[[#This Row],[Units]]&lt;&gt;"",tblFleet[[#This Row],[Available_h]]&gt;0),tblFleet[[#This Row],[Operating_h]]/tblFleet[[#This Row],[Available_h]],"")</f>
        <v/>
      </c>
    </row>
    <row r="2236">
      <c r="A2236" s="54" t="n"/>
      <c r="B2236" s="61" t="n"/>
      <c r="C2236" s="62" t="n"/>
      <c r="D2236" s="57" t="n"/>
      <c r="E2236" s="57" t="n"/>
      <c r="F2236" s="58" t="n"/>
      <c r="G2236" s="66">
        <f>IF(tblFleet[[#This Row],[Units]]="","",tblFleet[[#This Row],[Units]]*cfg_HoursPerDay)</f>
        <v/>
      </c>
      <c r="H2236" s="66">
        <f>IF(tblFleet[[#This Row],[Units]]="","",tblFleet[[#This Row],[Calendar_h]]-tblFleet[[#This Row],[Down_h]])</f>
        <v/>
      </c>
      <c r="I2236" s="60">
        <f>IF(AND(tblFleet[[#This Row],[Units]]&lt;&gt;"",tblFleet[[#This Row],[Calendar_h]]&gt;0),tblFleet[[#This Row],[Available_h]]/tblFleet[[#This Row],[Calendar_h]],"")</f>
        <v/>
      </c>
      <c r="J2236" s="60">
        <f>IF(AND(tblFleet[[#This Row],[Units]]&lt;&gt;"",tblFleet[[#This Row],[Available_h]]&gt;0),tblFleet[[#This Row],[Operating_h]]/tblFleet[[#This Row],[Available_h]],"")</f>
        <v/>
      </c>
    </row>
    <row r="2237">
      <c r="A2237" s="54" t="n"/>
      <c r="B2237" s="61" t="n"/>
      <c r="C2237" s="62" t="n"/>
      <c r="D2237" s="57" t="n"/>
      <c r="E2237" s="57" t="n"/>
      <c r="F2237" s="58" t="n"/>
      <c r="G2237" s="66">
        <f>IF(tblFleet[[#This Row],[Units]]="","",tblFleet[[#This Row],[Units]]*cfg_HoursPerDay)</f>
        <v/>
      </c>
      <c r="H2237" s="66">
        <f>IF(tblFleet[[#This Row],[Units]]="","",tblFleet[[#This Row],[Calendar_h]]-tblFleet[[#This Row],[Down_h]])</f>
        <v/>
      </c>
      <c r="I2237" s="60">
        <f>IF(AND(tblFleet[[#This Row],[Units]]&lt;&gt;"",tblFleet[[#This Row],[Calendar_h]]&gt;0),tblFleet[[#This Row],[Available_h]]/tblFleet[[#This Row],[Calendar_h]],"")</f>
        <v/>
      </c>
      <c r="J2237" s="60">
        <f>IF(AND(tblFleet[[#This Row],[Units]]&lt;&gt;"",tblFleet[[#This Row],[Available_h]]&gt;0),tblFleet[[#This Row],[Operating_h]]/tblFleet[[#This Row],[Available_h]],"")</f>
        <v/>
      </c>
    </row>
    <row r="2238">
      <c r="A2238" s="54" t="n"/>
      <c r="B2238" s="61" t="n"/>
      <c r="C2238" s="62" t="n"/>
      <c r="D2238" s="57" t="n"/>
      <c r="E2238" s="57" t="n"/>
      <c r="F2238" s="58" t="n"/>
      <c r="G2238" s="66">
        <f>IF(tblFleet[[#This Row],[Units]]="","",tblFleet[[#This Row],[Units]]*cfg_HoursPerDay)</f>
        <v/>
      </c>
      <c r="H2238" s="66">
        <f>IF(tblFleet[[#This Row],[Units]]="","",tblFleet[[#This Row],[Calendar_h]]-tblFleet[[#This Row],[Down_h]])</f>
        <v/>
      </c>
      <c r="I2238" s="60">
        <f>IF(AND(tblFleet[[#This Row],[Units]]&lt;&gt;"",tblFleet[[#This Row],[Calendar_h]]&gt;0),tblFleet[[#This Row],[Available_h]]/tblFleet[[#This Row],[Calendar_h]],"")</f>
        <v/>
      </c>
      <c r="J2238" s="60">
        <f>IF(AND(tblFleet[[#This Row],[Units]]&lt;&gt;"",tblFleet[[#This Row],[Available_h]]&gt;0),tblFleet[[#This Row],[Operating_h]]/tblFleet[[#This Row],[Available_h]],"")</f>
        <v/>
      </c>
    </row>
    <row r="2239">
      <c r="A2239" s="54" t="n"/>
      <c r="B2239" s="61" t="n"/>
      <c r="C2239" s="62" t="n"/>
      <c r="D2239" s="57" t="n"/>
      <c r="E2239" s="57" t="n"/>
      <c r="F2239" s="58" t="n"/>
      <c r="G2239" s="66">
        <f>IF(tblFleet[[#This Row],[Units]]="","",tblFleet[[#This Row],[Units]]*cfg_HoursPerDay)</f>
        <v/>
      </c>
      <c r="H2239" s="66">
        <f>IF(tblFleet[[#This Row],[Units]]="","",tblFleet[[#This Row],[Calendar_h]]-tblFleet[[#This Row],[Down_h]])</f>
        <v/>
      </c>
      <c r="I2239" s="60">
        <f>IF(AND(tblFleet[[#This Row],[Units]]&lt;&gt;"",tblFleet[[#This Row],[Calendar_h]]&gt;0),tblFleet[[#This Row],[Available_h]]/tblFleet[[#This Row],[Calendar_h]],"")</f>
        <v/>
      </c>
      <c r="J2239" s="60">
        <f>IF(AND(tblFleet[[#This Row],[Units]]&lt;&gt;"",tblFleet[[#This Row],[Available_h]]&gt;0),tblFleet[[#This Row],[Operating_h]]/tblFleet[[#This Row],[Available_h]],"")</f>
        <v/>
      </c>
    </row>
    <row r="2240">
      <c r="A2240" s="54" t="n"/>
      <c r="B2240" s="61" t="n"/>
      <c r="C2240" s="62" t="n"/>
      <c r="D2240" s="57" t="n"/>
      <c r="E2240" s="57" t="n"/>
      <c r="F2240" s="58" t="n"/>
      <c r="G2240" s="66">
        <f>IF(tblFleet[[#This Row],[Units]]="","",tblFleet[[#This Row],[Units]]*cfg_HoursPerDay)</f>
        <v/>
      </c>
      <c r="H2240" s="66">
        <f>IF(tblFleet[[#This Row],[Units]]="","",tblFleet[[#This Row],[Calendar_h]]-tblFleet[[#This Row],[Down_h]])</f>
        <v/>
      </c>
      <c r="I2240" s="60">
        <f>IF(AND(tblFleet[[#This Row],[Units]]&lt;&gt;"",tblFleet[[#This Row],[Calendar_h]]&gt;0),tblFleet[[#This Row],[Available_h]]/tblFleet[[#This Row],[Calendar_h]],"")</f>
        <v/>
      </c>
      <c r="J2240" s="60">
        <f>IF(AND(tblFleet[[#This Row],[Units]]&lt;&gt;"",tblFleet[[#This Row],[Available_h]]&gt;0),tblFleet[[#This Row],[Operating_h]]/tblFleet[[#This Row],[Available_h]],"")</f>
        <v/>
      </c>
    </row>
    <row r="2241">
      <c r="A2241" s="54" t="n"/>
      <c r="B2241" s="61" t="n"/>
      <c r="C2241" s="62" t="n"/>
      <c r="D2241" s="57" t="n"/>
      <c r="E2241" s="57" t="n"/>
      <c r="F2241" s="58" t="n"/>
      <c r="G2241" s="66">
        <f>IF(tblFleet[[#This Row],[Units]]="","",tblFleet[[#This Row],[Units]]*cfg_HoursPerDay)</f>
        <v/>
      </c>
      <c r="H2241" s="66">
        <f>IF(tblFleet[[#This Row],[Units]]="","",tblFleet[[#This Row],[Calendar_h]]-tblFleet[[#This Row],[Down_h]])</f>
        <v/>
      </c>
      <c r="I2241" s="60">
        <f>IF(AND(tblFleet[[#This Row],[Units]]&lt;&gt;"",tblFleet[[#This Row],[Calendar_h]]&gt;0),tblFleet[[#This Row],[Available_h]]/tblFleet[[#This Row],[Calendar_h]],"")</f>
        <v/>
      </c>
      <c r="J2241" s="60">
        <f>IF(AND(tblFleet[[#This Row],[Units]]&lt;&gt;"",tblFleet[[#This Row],[Available_h]]&gt;0),tblFleet[[#This Row],[Operating_h]]/tblFleet[[#This Row],[Available_h]],"")</f>
        <v/>
      </c>
    </row>
    <row r="2242">
      <c r="A2242" s="54" t="n"/>
      <c r="B2242" s="61" t="n"/>
      <c r="C2242" s="62" t="n"/>
      <c r="D2242" s="57" t="n"/>
      <c r="E2242" s="57" t="n"/>
      <c r="F2242" s="58" t="n"/>
      <c r="G2242" s="66">
        <f>IF(tblFleet[[#This Row],[Units]]="","",tblFleet[[#This Row],[Units]]*cfg_HoursPerDay)</f>
        <v/>
      </c>
      <c r="H2242" s="66">
        <f>IF(tblFleet[[#This Row],[Units]]="","",tblFleet[[#This Row],[Calendar_h]]-tblFleet[[#This Row],[Down_h]])</f>
        <v/>
      </c>
      <c r="I2242" s="60">
        <f>IF(AND(tblFleet[[#This Row],[Units]]&lt;&gt;"",tblFleet[[#This Row],[Calendar_h]]&gt;0),tblFleet[[#This Row],[Available_h]]/tblFleet[[#This Row],[Calendar_h]],"")</f>
        <v/>
      </c>
      <c r="J2242" s="60">
        <f>IF(AND(tblFleet[[#This Row],[Units]]&lt;&gt;"",tblFleet[[#This Row],[Available_h]]&gt;0),tblFleet[[#This Row],[Operating_h]]/tblFleet[[#This Row],[Available_h]],"")</f>
        <v/>
      </c>
    </row>
    <row r="2243">
      <c r="A2243" s="54" t="n"/>
      <c r="B2243" s="61" t="n"/>
      <c r="C2243" s="62" t="n"/>
      <c r="D2243" s="57" t="n"/>
      <c r="E2243" s="57" t="n"/>
      <c r="F2243" s="58" t="n"/>
      <c r="G2243" s="66">
        <f>IF(tblFleet[[#This Row],[Units]]="","",tblFleet[[#This Row],[Units]]*cfg_HoursPerDay)</f>
        <v/>
      </c>
      <c r="H2243" s="66">
        <f>IF(tblFleet[[#This Row],[Units]]="","",tblFleet[[#This Row],[Calendar_h]]-tblFleet[[#This Row],[Down_h]])</f>
        <v/>
      </c>
      <c r="I2243" s="60">
        <f>IF(AND(tblFleet[[#This Row],[Units]]&lt;&gt;"",tblFleet[[#This Row],[Calendar_h]]&gt;0),tblFleet[[#This Row],[Available_h]]/tblFleet[[#This Row],[Calendar_h]],"")</f>
        <v/>
      </c>
      <c r="J2243" s="60">
        <f>IF(AND(tblFleet[[#This Row],[Units]]&lt;&gt;"",tblFleet[[#This Row],[Available_h]]&gt;0),tblFleet[[#This Row],[Operating_h]]/tblFleet[[#This Row],[Available_h]],"")</f>
        <v/>
      </c>
    </row>
    <row r="2244">
      <c r="A2244" s="54" t="n"/>
      <c r="B2244" s="61" t="n"/>
      <c r="C2244" s="62" t="n"/>
      <c r="D2244" s="57" t="n"/>
      <c r="E2244" s="57" t="n"/>
      <c r="F2244" s="58" t="n"/>
      <c r="G2244" s="66">
        <f>IF(tblFleet[[#This Row],[Units]]="","",tblFleet[[#This Row],[Units]]*cfg_HoursPerDay)</f>
        <v/>
      </c>
      <c r="H2244" s="66">
        <f>IF(tblFleet[[#This Row],[Units]]="","",tblFleet[[#This Row],[Calendar_h]]-tblFleet[[#This Row],[Down_h]])</f>
        <v/>
      </c>
      <c r="I2244" s="60">
        <f>IF(AND(tblFleet[[#This Row],[Units]]&lt;&gt;"",tblFleet[[#This Row],[Calendar_h]]&gt;0),tblFleet[[#This Row],[Available_h]]/tblFleet[[#This Row],[Calendar_h]],"")</f>
        <v/>
      </c>
      <c r="J2244" s="60">
        <f>IF(AND(tblFleet[[#This Row],[Units]]&lt;&gt;"",tblFleet[[#This Row],[Available_h]]&gt;0),tblFleet[[#This Row],[Operating_h]]/tblFleet[[#This Row],[Available_h]],"")</f>
        <v/>
      </c>
    </row>
    <row r="2245">
      <c r="A2245" s="54" t="n"/>
      <c r="B2245" s="61" t="n"/>
      <c r="C2245" s="62" t="n"/>
      <c r="D2245" s="57" t="n"/>
      <c r="E2245" s="57" t="n"/>
      <c r="F2245" s="58" t="n"/>
      <c r="G2245" s="66">
        <f>IF(tblFleet[[#This Row],[Units]]="","",tblFleet[[#This Row],[Units]]*cfg_HoursPerDay)</f>
        <v/>
      </c>
      <c r="H2245" s="66">
        <f>IF(tblFleet[[#This Row],[Units]]="","",tblFleet[[#This Row],[Calendar_h]]-tblFleet[[#This Row],[Down_h]])</f>
        <v/>
      </c>
      <c r="I2245" s="60">
        <f>IF(AND(tblFleet[[#This Row],[Units]]&lt;&gt;"",tblFleet[[#This Row],[Calendar_h]]&gt;0),tblFleet[[#This Row],[Available_h]]/tblFleet[[#This Row],[Calendar_h]],"")</f>
        <v/>
      </c>
      <c r="J2245" s="60">
        <f>IF(AND(tblFleet[[#This Row],[Units]]&lt;&gt;"",tblFleet[[#This Row],[Available_h]]&gt;0),tblFleet[[#This Row],[Operating_h]]/tblFleet[[#This Row],[Available_h]],"")</f>
        <v/>
      </c>
    </row>
    <row r="2246">
      <c r="A2246" s="54" t="n"/>
      <c r="B2246" s="61" t="n"/>
      <c r="C2246" s="62" t="n"/>
      <c r="D2246" s="57" t="n"/>
      <c r="E2246" s="57" t="n"/>
      <c r="F2246" s="58" t="n"/>
      <c r="G2246" s="66">
        <f>IF(tblFleet[[#This Row],[Units]]="","",tblFleet[[#This Row],[Units]]*cfg_HoursPerDay)</f>
        <v/>
      </c>
      <c r="H2246" s="66">
        <f>IF(tblFleet[[#This Row],[Units]]="","",tblFleet[[#This Row],[Calendar_h]]-tblFleet[[#This Row],[Down_h]])</f>
        <v/>
      </c>
      <c r="I2246" s="60">
        <f>IF(AND(tblFleet[[#This Row],[Units]]&lt;&gt;"",tblFleet[[#This Row],[Calendar_h]]&gt;0),tblFleet[[#This Row],[Available_h]]/tblFleet[[#This Row],[Calendar_h]],"")</f>
        <v/>
      </c>
      <c r="J2246" s="60">
        <f>IF(AND(tblFleet[[#This Row],[Units]]&lt;&gt;"",tblFleet[[#This Row],[Available_h]]&gt;0),tblFleet[[#This Row],[Operating_h]]/tblFleet[[#This Row],[Available_h]],"")</f>
        <v/>
      </c>
    </row>
    <row r="2247">
      <c r="A2247" s="54" t="n"/>
      <c r="B2247" s="61" t="n"/>
      <c r="C2247" s="62" t="n"/>
      <c r="D2247" s="57" t="n"/>
      <c r="E2247" s="57" t="n"/>
      <c r="F2247" s="58" t="n"/>
      <c r="G2247" s="66">
        <f>IF(tblFleet[[#This Row],[Units]]="","",tblFleet[[#This Row],[Units]]*cfg_HoursPerDay)</f>
        <v/>
      </c>
      <c r="H2247" s="66">
        <f>IF(tblFleet[[#This Row],[Units]]="","",tblFleet[[#This Row],[Calendar_h]]-tblFleet[[#This Row],[Down_h]])</f>
        <v/>
      </c>
      <c r="I2247" s="60">
        <f>IF(AND(tblFleet[[#This Row],[Units]]&lt;&gt;"",tblFleet[[#This Row],[Calendar_h]]&gt;0),tblFleet[[#This Row],[Available_h]]/tblFleet[[#This Row],[Calendar_h]],"")</f>
        <v/>
      </c>
      <c r="J2247" s="60">
        <f>IF(AND(tblFleet[[#This Row],[Units]]&lt;&gt;"",tblFleet[[#This Row],[Available_h]]&gt;0),tblFleet[[#This Row],[Operating_h]]/tblFleet[[#This Row],[Available_h]],"")</f>
        <v/>
      </c>
    </row>
    <row r="2248">
      <c r="A2248" s="54" t="n"/>
      <c r="B2248" s="61" t="n"/>
      <c r="C2248" s="62" t="n"/>
      <c r="D2248" s="57" t="n"/>
      <c r="E2248" s="57" t="n"/>
      <c r="F2248" s="58" t="n"/>
      <c r="G2248" s="66">
        <f>IF(tblFleet[[#This Row],[Units]]="","",tblFleet[[#This Row],[Units]]*cfg_HoursPerDay)</f>
        <v/>
      </c>
      <c r="H2248" s="66">
        <f>IF(tblFleet[[#This Row],[Units]]="","",tblFleet[[#This Row],[Calendar_h]]-tblFleet[[#This Row],[Down_h]])</f>
        <v/>
      </c>
      <c r="I2248" s="60">
        <f>IF(AND(tblFleet[[#This Row],[Units]]&lt;&gt;"",tblFleet[[#This Row],[Calendar_h]]&gt;0),tblFleet[[#This Row],[Available_h]]/tblFleet[[#This Row],[Calendar_h]],"")</f>
        <v/>
      </c>
      <c r="J2248" s="60">
        <f>IF(AND(tblFleet[[#This Row],[Units]]&lt;&gt;"",tblFleet[[#This Row],[Available_h]]&gt;0),tblFleet[[#This Row],[Operating_h]]/tblFleet[[#This Row],[Available_h]],"")</f>
        <v/>
      </c>
    </row>
    <row r="2249">
      <c r="A2249" s="54" t="n"/>
      <c r="B2249" s="61" t="n"/>
      <c r="C2249" s="62" t="n"/>
      <c r="D2249" s="57" t="n"/>
      <c r="E2249" s="57" t="n"/>
      <c r="F2249" s="58" t="n"/>
      <c r="G2249" s="66">
        <f>IF(tblFleet[[#This Row],[Units]]="","",tblFleet[[#This Row],[Units]]*cfg_HoursPerDay)</f>
        <v/>
      </c>
      <c r="H2249" s="66">
        <f>IF(tblFleet[[#This Row],[Units]]="","",tblFleet[[#This Row],[Calendar_h]]-tblFleet[[#This Row],[Down_h]])</f>
        <v/>
      </c>
      <c r="I2249" s="60">
        <f>IF(AND(tblFleet[[#This Row],[Units]]&lt;&gt;"",tblFleet[[#This Row],[Calendar_h]]&gt;0),tblFleet[[#This Row],[Available_h]]/tblFleet[[#This Row],[Calendar_h]],"")</f>
        <v/>
      </c>
      <c r="J2249" s="60">
        <f>IF(AND(tblFleet[[#This Row],[Units]]&lt;&gt;"",tblFleet[[#This Row],[Available_h]]&gt;0),tblFleet[[#This Row],[Operating_h]]/tblFleet[[#This Row],[Available_h]],"")</f>
        <v/>
      </c>
    </row>
    <row r="2250">
      <c r="A2250" s="54" t="n"/>
      <c r="B2250" s="61" t="n"/>
      <c r="C2250" s="62" t="n"/>
      <c r="D2250" s="57" t="n"/>
      <c r="E2250" s="57" t="n"/>
      <c r="F2250" s="58" t="n"/>
      <c r="G2250" s="66">
        <f>IF(tblFleet[[#This Row],[Units]]="","",tblFleet[[#This Row],[Units]]*cfg_HoursPerDay)</f>
        <v/>
      </c>
      <c r="H2250" s="66">
        <f>IF(tblFleet[[#This Row],[Units]]="","",tblFleet[[#This Row],[Calendar_h]]-tblFleet[[#This Row],[Down_h]])</f>
        <v/>
      </c>
      <c r="I2250" s="60">
        <f>IF(AND(tblFleet[[#This Row],[Units]]&lt;&gt;"",tblFleet[[#This Row],[Calendar_h]]&gt;0),tblFleet[[#This Row],[Available_h]]/tblFleet[[#This Row],[Calendar_h]],"")</f>
        <v/>
      </c>
      <c r="J2250" s="60">
        <f>IF(AND(tblFleet[[#This Row],[Units]]&lt;&gt;"",tblFleet[[#This Row],[Available_h]]&gt;0),tblFleet[[#This Row],[Operating_h]]/tblFleet[[#This Row],[Available_h]],"")</f>
        <v/>
      </c>
    </row>
    <row r="2251">
      <c r="A2251" s="54" t="n"/>
      <c r="B2251" s="61" t="n"/>
      <c r="C2251" s="62" t="n"/>
      <c r="D2251" s="57" t="n"/>
      <c r="E2251" s="57" t="n"/>
      <c r="F2251" s="58" t="n"/>
      <c r="G2251" s="66">
        <f>IF(tblFleet[[#This Row],[Units]]="","",tblFleet[[#This Row],[Units]]*cfg_HoursPerDay)</f>
        <v/>
      </c>
      <c r="H2251" s="66">
        <f>IF(tblFleet[[#This Row],[Units]]="","",tblFleet[[#This Row],[Calendar_h]]-tblFleet[[#This Row],[Down_h]])</f>
        <v/>
      </c>
      <c r="I2251" s="60">
        <f>IF(AND(tblFleet[[#This Row],[Units]]&lt;&gt;"",tblFleet[[#This Row],[Calendar_h]]&gt;0),tblFleet[[#This Row],[Available_h]]/tblFleet[[#This Row],[Calendar_h]],"")</f>
        <v/>
      </c>
      <c r="J2251" s="60">
        <f>IF(AND(tblFleet[[#This Row],[Units]]&lt;&gt;"",tblFleet[[#This Row],[Available_h]]&gt;0),tblFleet[[#This Row],[Operating_h]]/tblFleet[[#This Row],[Available_h]],"")</f>
        <v/>
      </c>
    </row>
    <row r="2252">
      <c r="A2252" s="54" t="n"/>
      <c r="B2252" s="61" t="n"/>
      <c r="C2252" s="62" t="n"/>
      <c r="D2252" s="57" t="n"/>
      <c r="E2252" s="57" t="n"/>
      <c r="F2252" s="58" t="n"/>
      <c r="G2252" s="66">
        <f>IF(tblFleet[[#This Row],[Units]]="","",tblFleet[[#This Row],[Units]]*cfg_HoursPerDay)</f>
        <v/>
      </c>
      <c r="H2252" s="66">
        <f>IF(tblFleet[[#This Row],[Units]]="","",tblFleet[[#This Row],[Calendar_h]]-tblFleet[[#This Row],[Down_h]])</f>
        <v/>
      </c>
      <c r="I2252" s="60">
        <f>IF(AND(tblFleet[[#This Row],[Units]]&lt;&gt;"",tblFleet[[#This Row],[Calendar_h]]&gt;0),tblFleet[[#This Row],[Available_h]]/tblFleet[[#This Row],[Calendar_h]],"")</f>
        <v/>
      </c>
      <c r="J2252" s="60">
        <f>IF(AND(tblFleet[[#This Row],[Units]]&lt;&gt;"",tblFleet[[#This Row],[Available_h]]&gt;0),tblFleet[[#This Row],[Operating_h]]/tblFleet[[#This Row],[Available_h]],"")</f>
        <v/>
      </c>
    </row>
    <row r="2253">
      <c r="A2253" s="54" t="n"/>
      <c r="B2253" s="61" t="n"/>
      <c r="C2253" s="62" t="n"/>
      <c r="D2253" s="57" t="n"/>
      <c r="E2253" s="57" t="n"/>
      <c r="F2253" s="58" t="n"/>
      <c r="G2253" s="66">
        <f>IF(tblFleet[[#This Row],[Units]]="","",tblFleet[[#This Row],[Units]]*cfg_HoursPerDay)</f>
        <v/>
      </c>
      <c r="H2253" s="66">
        <f>IF(tblFleet[[#This Row],[Units]]="","",tblFleet[[#This Row],[Calendar_h]]-tblFleet[[#This Row],[Down_h]])</f>
        <v/>
      </c>
      <c r="I2253" s="60">
        <f>IF(AND(tblFleet[[#This Row],[Units]]&lt;&gt;"",tblFleet[[#This Row],[Calendar_h]]&gt;0),tblFleet[[#This Row],[Available_h]]/tblFleet[[#This Row],[Calendar_h]],"")</f>
        <v/>
      </c>
      <c r="J2253" s="60">
        <f>IF(AND(tblFleet[[#This Row],[Units]]&lt;&gt;"",tblFleet[[#This Row],[Available_h]]&gt;0),tblFleet[[#This Row],[Operating_h]]/tblFleet[[#This Row],[Available_h]],"")</f>
        <v/>
      </c>
    </row>
    <row r="2254">
      <c r="A2254" s="54" t="n"/>
      <c r="B2254" s="61" t="n"/>
      <c r="C2254" s="62" t="n"/>
      <c r="D2254" s="57" t="n"/>
      <c r="E2254" s="57" t="n"/>
      <c r="F2254" s="58" t="n"/>
      <c r="G2254" s="66">
        <f>IF(tblFleet[[#This Row],[Units]]="","",tblFleet[[#This Row],[Units]]*cfg_HoursPerDay)</f>
        <v/>
      </c>
      <c r="H2254" s="66">
        <f>IF(tblFleet[[#This Row],[Units]]="","",tblFleet[[#This Row],[Calendar_h]]-tblFleet[[#This Row],[Down_h]])</f>
        <v/>
      </c>
      <c r="I2254" s="60">
        <f>IF(AND(tblFleet[[#This Row],[Units]]&lt;&gt;"",tblFleet[[#This Row],[Calendar_h]]&gt;0),tblFleet[[#This Row],[Available_h]]/tblFleet[[#This Row],[Calendar_h]],"")</f>
        <v/>
      </c>
      <c r="J2254" s="60">
        <f>IF(AND(tblFleet[[#This Row],[Units]]&lt;&gt;"",tblFleet[[#This Row],[Available_h]]&gt;0),tblFleet[[#This Row],[Operating_h]]/tblFleet[[#This Row],[Available_h]],"")</f>
        <v/>
      </c>
    </row>
    <row r="2255">
      <c r="A2255" s="54" t="n"/>
      <c r="B2255" s="61" t="n"/>
      <c r="C2255" s="62" t="n"/>
      <c r="D2255" s="57" t="n"/>
      <c r="E2255" s="57" t="n"/>
      <c r="F2255" s="58" t="n"/>
      <c r="G2255" s="66">
        <f>IF(tblFleet[[#This Row],[Units]]="","",tblFleet[[#This Row],[Units]]*cfg_HoursPerDay)</f>
        <v/>
      </c>
      <c r="H2255" s="66">
        <f>IF(tblFleet[[#This Row],[Units]]="","",tblFleet[[#This Row],[Calendar_h]]-tblFleet[[#This Row],[Down_h]])</f>
        <v/>
      </c>
      <c r="I2255" s="60">
        <f>IF(AND(tblFleet[[#This Row],[Units]]&lt;&gt;"",tblFleet[[#This Row],[Calendar_h]]&gt;0),tblFleet[[#This Row],[Available_h]]/tblFleet[[#This Row],[Calendar_h]],"")</f>
        <v/>
      </c>
      <c r="J2255" s="60">
        <f>IF(AND(tblFleet[[#This Row],[Units]]&lt;&gt;"",tblFleet[[#This Row],[Available_h]]&gt;0),tblFleet[[#This Row],[Operating_h]]/tblFleet[[#This Row],[Available_h]],"")</f>
        <v/>
      </c>
    </row>
    <row r="2256">
      <c r="A2256" s="54" t="n"/>
      <c r="B2256" s="61" t="n"/>
      <c r="C2256" s="62" t="n"/>
      <c r="D2256" s="57" t="n"/>
      <c r="E2256" s="57" t="n"/>
      <c r="F2256" s="58" t="n"/>
      <c r="G2256" s="66">
        <f>IF(tblFleet[[#This Row],[Units]]="","",tblFleet[[#This Row],[Units]]*cfg_HoursPerDay)</f>
        <v/>
      </c>
      <c r="H2256" s="66">
        <f>IF(tblFleet[[#This Row],[Units]]="","",tblFleet[[#This Row],[Calendar_h]]-tblFleet[[#This Row],[Down_h]])</f>
        <v/>
      </c>
      <c r="I2256" s="60">
        <f>IF(AND(tblFleet[[#This Row],[Units]]&lt;&gt;"",tblFleet[[#This Row],[Calendar_h]]&gt;0),tblFleet[[#This Row],[Available_h]]/tblFleet[[#This Row],[Calendar_h]],"")</f>
        <v/>
      </c>
      <c r="J2256" s="60">
        <f>IF(AND(tblFleet[[#This Row],[Units]]&lt;&gt;"",tblFleet[[#This Row],[Available_h]]&gt;0),tblFleet[[#This Row],[Operating_h]]/tblFleet[[#This Row],[Available_h]],"")</f>
        <v/>
      </c>
    </row>
    <row r="2257">
      <c r="A2257" s="54" t="n"/>
      <c r="B2257" s="61" t="n"/>
      <c r="C2257" s="62" t="n"/>
      <c r="D2257" s="57" t="n"/>
      <c r="E2257" s="57" t="n"/>
      <c r="F2257" s="58" t="n"/>
      <c r="G2257" s="66">
        <f>IF(tblFleet[[#This Row],[Units]]="","",tblFleet[[#This Row],[Units]]*cfg_HoursPerDay)</f>
        <v/>
      </c>
      <c r="H2257" s="66">
        <f>IF(tblFleet[[#This Row],[Units]]="","",tblFleet[[#This Row],[Calendar_h]]-tblFleet[[#This Row],[Down_h]])</f>
        <v/>
      </c>
      <c r="I2257" s="60">
        <f>IF(AND(tblFleet[[#This Row],[Units]]&lt;&gt;"",tblFleet[[#This Row],[Calendar_h]]&gt;0),tblFleet[[#This Row],[Available_h]]/tblFleet[[#This Row],[Calendar_h]],"")</f>
        <v/>
      </c>
      <c r="J2257" s="60">
        <f>IF(AND(tblFleet[[#This Row],[Units]]&lt;&gt;"",tblFleet[[#This Row],[Available_h]]&gt;0),tblFleet[[#This Row],[Operating_h]]/tblFleet[[#This Row],[Available_h]],"")</f>
        <v/>
      </c>
    </row>
    <row r="2258">
      <c r="A2258" s="54" t="n"/>
      <c r="B2258" s="61" t="n"/>
      <c r="C2258" s="62" t="n"/>
      <c r="D2258" s="57" t="n"/>
      <c r="E2258" s="57" t="n"/>
      <c r="F2258" s="58" t="n"/>
      <c r="G2258" s="66">
        <f>IF(tblFleet[[#This Row],[Units]]="","",tblFleet[[#This Row],[Units]]*cfg_HoursPerDay)</f>
        <v/>
      </c>
      <c r="H2258" s="66">
        <f>IF(tblFleet[[#This Row],[Units]]="","",tblFleet[[#This Row],[Calendar_h]]-tblFleet[[#This Row],[Down_h]])</f>
        <v/>
      </c>
      <c r="I2258" s="60">
        <f>IF(AND(tblFleet[[#This Row],[Units]]&lt;&gt;"",tblFleet[[#This Row],[Calendar_h]]&gt;0),tblFleet[[#This Row],[Available_h]]/tblFleet[[#This Row],[Calendar_h]],"")</f>
        <v/>
      </c>
      <c r="J2258" s="60">
        <f>IF(AND(tblFleet[[#This Row],[Units]]&lt;&gt;"",tblFleet[[#This Row],[Available_h]]&gt;0),tblFleet[[#This Row],[Operating_h]]/tblFleet[[#This Row],[Available_h]],"")</f>
        <v/>
      </c>
    </row>
    <row r="2259">
      <c r="A2259" s="54" t="n"/>
      <c r="B2259" s="61" t="n"/>
      <c r="C2259" s="62" t="n"/>
      <c r="D2259" s="57" t="n"/>
      <c r="E2259" s="57" t="n"/>
      <c r="F2259" s="58" t="n"/>
      <c r="G2259" s="66">
        <f>IF(tblFleet[[#This Row],[Units]]="","",tblFleet[[#This Row],[Units]]*cfg_HoursPerDay)</f>
        <v/>
      </c>
      <c r="H2259" s="66">
        <f>IF(tblFleet[[#This Row],[Units]]="","",tblFleet[[#This Row],[Calendar_h]]-tblFleet[[#This Row],[Down_h]])</f>
        <v/>
      </c>
      <c r="I2259" s="60">
        <f>IF(AND(tblFleet[[#This Row],[Units]]&lt;&gt;"",tblFleet[[#This Row],[Calendar_h]]&gt;0),tblFleet[[#This Row],[Available_h]]/tblFleet[[#This Row],[Calendar_h]],"")</f>
        <v/>
      </c>
      <c r="J2259" s="60">
        <f>IF(AND(tblFleet[[#This Row],[Units]]&lt;&gt;"",tblFleet[[#This Row],[Available_h]]&gt;0),tblFleet[[#This Row],[Operating_h]]/tblFleet[[#This Row],[Available_h]],"")</f>
        <v/>
      </c>
    </row>
    <row r="2260">
      <c r="A2260" s="54" t="n"/>
      <c r="B2260" s="61" t="n"/>
      <c r="C2260" s="62" t="n"/>
      <c r="D2260" s="57" t="n"/>
      <c r="E2260" s="57" t="n"/>
      <c r="F2260" s="58" t="n"/>
      <c r="G2260" s="66">
        <f>IF(tblFleet[[#This Row],[Units]]="","",tblFleet[[#This Row],[Units]]*cfg_HoursPerDay)</f>
        <v/>
      </c>
      <c r="H2260" s="66">
        <f>IF(tblFleet[[#This Row],[Units]]="","",tblFleet[[#This Row],[Calendar_h]]-tblFleet[[#This Row],[Down_h]])</f>
        <v/>
      </c>
      <c r="I2260" s="60">
        <f>IF(AND(tblFleet[[#This Row],[Units]]&lt;&gt;"",tblFleet[[#This Row],[Calendar_h]]&gt;0),tblFleet[[#This Row],[Available_h]]/tblFleet[[#This Row],[Calendar_h]],"")</f>
        <v/>
      </c>
      <c r="J2260" s="60">
        <f>IF(AND(tblFleet[[#This Row],[Units]]&lt;&gt;"",tblFleet[[#This Row],[Available_h]]&gt;0),tblFleet[[#This Row],[Operating_h]]/tblFleet[[#This Row],[Available_h]],"")</f>
        <v/>
      </c>
    </row>
    <row r="2261">
      <c r="A2261" s="54" t="n"/>
      <c r="B2261" s="61" t="n"/>
      <c r="C2261" s="62" t="n"/>
      <c r="D2261" s="57" t="n"/>
      <c r="E2261" s="57" t="n"/>
      <c r="F2261" s="58" t="n"/>
      <c r="G2261" s="66">
        <f>IF(tblFleet[[#This Row],[Units]]="","",tblFleet[[#This Row],[Units]]*cfg_HoursPerDay)</f>
        <v/>
      </c>
      <c r="H2261" s="66">
        <f>IF(tblFleet[[#This Row],[Units]]="","",tblFleet[[#This Row],[Calendar_h]]-tblFleet[[#This Row],[Down_h]])</f>
        <v/>
      </c>
      <c r="I2261" s="60">
        <f>IF(AND(tblFleet[[#This Row],[Units]]&lt;&gt;"",tblFleet[[#This Row],[Calendar_h]]&gt;0),tblFleet[[#This Row],[Available_h]]/tblFleet[[#This Row],[Calendar_h]],"")</f>
        <v/>
      </c>
      <c r="J2261" s="60">
        <f>IF(AND(tblFleet[[#This Row],[Units]]&lt;&gt;"",tblFleet[[#This Row],[Available_h]]&gt;0),tblFleet[[#This Row],[Operating_h]]/tblFleet[[#This Row],[Available_h]],"")</f>
        <v/>
      </c>
    </row>
    <row r="2262">
      <c r="A2262" s="54" t="n"/>
      <c r="B2262" s="61" t="n"/>
      <c r="C2262" s="62" t="n"/>
      <c r="D2262" s="57" t="n"/>
      <c r="E2262" s="57" t="n"/>
      <c r="F2262" s="58" t="n"/>
      <c r="G2262" s="66">
        <f>IF(tblFleet[[#This Row],[Units]]="","",tblFleet[[#This Row],[Units]]*cfg_HoursPerDay)</f>
        <v/>
      </c>
      <c r="H2262" s="66">
        <f>IF(tblFleet[[#This Row],[Units]]="","",tblFleet[[#This Row],[Calendar_h]]-tblFleet[[#This Row],[Down_h]])</f>
        <v/>
      </c>
      <c r="I2262" s="60">
        <f>IF(AND(tblFleet[[#This Row],[Units]]&lt;&gt;"",tblFleet[[#This Row],[Calendar_h]]&gt;0),tblFleet[[#This Row],[Available_h]]/tblFleet[[#This Row],[Calendar_h]],"")</f>
        <v/>
      </c>
      <c r="J2262" s="60">
        <f>IF(AND(tblFleet[[#This Row],[Units]]&lt;&gt;"",tblFleet[[#This Row],[Available_h]]&gt;0),tblFleet[[#This Row],[Operating_h]]/tblFleet[[#This Row],[Available_h]],"")</f>
        <v/>
      </c>
    </row>
    <row r="2263">
      <c r="A2263" s="54" t="n"/>
      <c r="B2263" s="61" t="n"/>
      <c r="C2263" s="62" t="n"/>
      <c r="D2263" s="57" t="n"/>
      <c r="E2263" s="57" t="n"/>
      <c r="F2263" s="58" t="n"/>
      <c r="G2263" s="66">
        <f>IF(tblFleet[[#This Row],[Units]]="","",tblFleet[[#This Row],[Units]]*cfg_HoursPerDay)</f>
        <v/>
      </c>
      <c r="H2263" s="66">
        <f>IF(tblFleet[[#This Row],[Units]]="","",tblFleet[[#This Row],[Calendar_h]]-tblFleet[[#This Row],[Down_h]])</f>
        <v/>
      </c>
      <c r="I2263" s="60">
        <f>IF(AND(tblFleet[[#This Row],[Units]]&lt;&gt;"",tblFleet[[#This Row],[Calendar_h]]&gt;0),tblFleet[[#This Row],[Available_h]]/tblFleet[[#This Row],[Calendar_h]],"")</f>
        <v/>
      </c>
      <c r="J2263" s="60">
        <f>IF(AND(tblFleet[[#This Row],[Units]]&lt;&gt;"",tblFleet[[#This Row],[Available_h]]&gt;0),tblFleet[[#This Row],[Operating_h]]/tblFleet[[#This Row],[Available_h]],"")</f>
        <v/>
      </c>
    </row>
    <row r="2264">
      <c r="A2264" s="54" t="n"/>
      <c r="B2264" s="61" t="n"/>
      <c r="C2264" s="62" t="n"/>
      <c r="D2264" s="57" t="n"/>
      <c r="E2264" s="57" t="n"/>
      <c r="F2264" s="58" t="n"/>
      <c r="G2264" s="66">
        <f>IF(tblFleet[[#This Row],[Units]]="","",tblFleet[[#This Row],[Units]]*cfg_HoursPerDay)</f>
        <v/>
      </c>
      <c r="H2264" s="66">
        <f>IF(tblFleet[[#This Row],[Units]]="","",tblFleet[[#This Row],[Calendar_h]]-tblFleet[[#This Row],[Down_h]])</f>
        <v/>
      </c>
      <c r="I2264" s="60">
        <f>IF(AND(tblFleet[[#This Row],[Units]]&lt;&gt;"",tblFleet[[#This Row],[Calendar_h]]&gt;0),tblFleet[[#This Row],[Available_h]]/tblFleet[[#This Row],[Calendar_h]],"")</f>
        <v/>
      </c>
      <c r="J2264" s="60">
        <f>IF(AND(tblFleet[[#This Row],[Units]]&lt;&gt;"",tblFleet[[#This Row],[Available_h]]&gt;0),tblFleet[[#This Row],[Operating_h]]/tblFleet[[#This Row],[Available_h]],"")</f>
        <v/>
      </c>
    </row>
    <row r="2265">
      <c r="A2265" s="54" t="n"/>
      <c r="B2265" s="61" t="n"/>
      <c r="C2265" s="62" t="n"/>
      <c r="D2265" s="57" t="n"/>
      <c r="E2265" s="57" t="n"/>
      <c r="F2265" s="58" t="n"/>
      <c r="G2265" s="66">
        <f>IF(tblFleet[[#This Row],[Units]]="","",tblFleet[[#This Row],[Units]]*cfg_HoursPerDay)</f>
        <v/>
      </c>
      <c r="H2265" s="66">
        <f>IF(tblFleet[[#This Row],[Units]]="","",tblFleet[[#This Row],[Calendar_h]]-tblFleet[[#This Row],[Down_h]])</f>
        <v/>
      </c>
      <c r="I2265" s="60">
        <f>IF(AND(tblFleet[[#This Row],[Units]]&lt;&gt;"",tblFleet[[#This Row],[Calendar_h]]&gt;0),tblFleet[[#This Row],[Available_h]]/tblFleet[[#This Row],[Calendar_h]],"")</f>
        <v/>
      </c>
      <c r="J2265" s="60">
        <f>IF(AND(tblFleet[[#This Row],[Units]]&lt;&gt;"",tblFleet[[#This Row],[Available_h]]&gt;0),tblFleet[[#This Row],[Operating_h]]/tblFleet[[#This Row],[Available_h]],"")</f>
        <v/>
      </c>
    </row>
    <row r="2266">
      <c r="A2266" s="54" t="n"/>
      <c r="B2266" s="61" t="n"/>
      <c r="C2266" s="62" t="n"/>
      <c r="D2266" s="57" t="n"/>
      <c r="E2266" s="57" t="n"/>
      <c r="F2266" s="58" t="n"/>
      <c r="G2266" s="66">
        <f>IF(tblFleet[[#This Row],[Units]]="","",tblFleet[[#This Row],[Units]]*cfg_HoursPerDay)</f>
        <v/>
      </c>
      <c r="H2266" s="66">
        <f>IF(tblFleet[[#This Row],[Units]]="","",tblFleet[[#This Row],[Calendar_h]]-tblFleet[[#This Row],[Down_h]])</f>
        <v/>
      </c>
      <c r="I2266" s="60">
        <f>IF(AND(tblFleet[[#This Row],[Units]]&lt;&gt;"",tblFleet[[#This Row],[Calendar_h]]&gt;0),tblFleet[[#This Row],[Available_h]]/tblFleet[[#This Row],[Calendar_h]],"")</f>
        <v/>
      </c>
      <c r="J2266" s="60">
        <f>IF(AND(tblFleet[[#This Row],[Units]]&lt;&gt;"",tblFleet[[#This Row],[Available_h]]&gt;0),tblFleet[[#This Row],[Operating_h]]/tblFleet[[#This Row],[Available_h]],"")</f>
        <v/>
      </c>
    </row>
    <row r="2267">
      <c r="A2267" s="54" t="n"/>
      <c r="B2267" s="61" t="n"/>
      <c r="C2267" s="62" t="n"/>
      <c r="D2267" s="57" t="n"/>
      <c r="E2267" s="57" t="n"/>
      <c r="F2267" s="58" t="n"/>
      <c r="G2267" s="66">
        <f>IF(tblFleet[[#This Row],[Units]]="","",tblFleet[[#This Row],[Units]]*cfg_HoursPerDay)</f>
        <v/>
      </c>
      <c r="H2267" s="66">
        <f>IF(tblFleet[[#This Row],[Units]]="","",tblFleet[[#This Row],[Calendar_h]]-tblFleet[[#This Row],[Down_h]])</f>
        <v/>
      </c>
      <c r="I2267" s="60">
        <f>IF(AND(tblFleet[[#This Row],[Units]]&lt;&gt;"",tblFleet[[#This Row],[Calendar_h]]&gt;0),tblFleet[[#This Row],[Available_h]]/tblFleet[[#This Row],[Calendar_h]],"")</f>
        <v/>
      </c>
      <c r="J2267" s="60">
        <f>IF(AND(tblFleet[[#This Row],[Units]]&lt;&gt;"",tblFleet[[#This Row],[Available_h]]&gt;0),tblFleet[[#This Row],[Operating_h]]/tblFleet[[#This Row],[Available_h]],"")</f>
        <v/>
      </c>
    </row>
    <row r="2268">
      <c r="A2268" s="54" t="n"/>
      <c r="B2268" s="61" t="n"/>
      <c r="C2268" s="62" t="n"/>
      <c r="D2268" s="57" t="n"/>
      <c r="E2268" s="57" t="n"/>
      <c r="F2268" s="58" t="n"/>
      <c r="G2268" s="66">
        <f>IF(tblFleet[[#This Row],[Units]]="","",tblFleet[[#This Row],[Units]]*cfg_HoursPerDay)</f>
        <v/>
      </c>
      <c r="H2268" s="66">
        <f>IF(tblFleet[[#This Row],[Units]]="","",tblFleet[[#This Row],[Calendar_h]]-tblFleet[[#This Row],[Down_h]])</f>
        <v/>
      </c>
      <c r="I2268" s="60">
        <f>IF(AND(tblFleet[[#This Row],[Units]]&lt;&gt;"",tblFleet[[#This Row],[Calendar_h]]&gt;0),tblFleet[[#This Row],[Available_h]]/tblFleet[[#This Row],[Calendar_h]],"")</f>
        <v/>
      </c>
      <c r="J2268" s="60">
        <f>IF(AND(tblFleet[[#This Row],[Units]]&lt;&gt;"",tblFleet[[#This Row],[Available_h]]&gt;0),tblFleet[[#This Row],[Operating_h]]/tblFleet[[#This Row],[Available_h]],"")</f>
        <v/>
      </c>
    </row>
    <row r="2269">
      <c r="A2269" s="54" t="n"/>
      <c r="B2269" s="61" t="n"/>
      <c r="C2269" s="62" t="n"/>
      <c r="D2269" s="57" t="n"/>
      <c r="E2269" s="57" t="n"/>
      <c r="F2269" s="58" t="n"/>
      <c r="G2269" s="66">
        <f>IF(tblFleet[[#This Row],[Units]]="","",tblFleet[[#This Row],[Units]]*cfg_HoursPerDay)</f>
        <v/>
      </c>
      <c r="H2269" s="66">
        <f>IF(tblFleet[[#This Row],[Units]]="","",tblFleet[[#This Row],[Calendar_h]]-tblFleet[[#This Row],[Down_h]])</f>
        <v/>
      </c>
      <c r="I2269" s="60">
        <f>IF(AND(tblFleet[[#This Row],[Units]]&lt;&gt;"",tblFleet[[#This Row],[Calendar_h]]&gt;0),tblFleet[[#This Row],[Available_h]]/tblFleet[[#This Row],[Calendar_h]],"")</f>
        <v/>
      </c>
      <c r="J2269" s="60">
        <f>IF(AND(tblFleet[[#This Row],[Units]]&lt;&gt;"",tblFleet[[#This Row],[Available_h]]&gt;0),tblFleet[[#This Row],[Operating_h]]/tblFleet[[#This Row],[Available_h]],"")</f>
        <v/>
      </c>
    </row>
    <row r="2270">
      <c r="A2270" s="54" t="n"/>
      <c r="B2270" s="61" t="n"/>
      <c r="C2270" s="62" t="n"/>
      <c r="D2270" s="57" t="n"/>
      <c r="E2270" s="57" t="n"/>
      <c r="F2270" s="58" t="n"/>
      <c r="G2270" s="66">
        <f>IF(tblFleet[[#This Row],[Units]]="","",tblFleet[[#This Row],[Units]]*cfg_HoursPerDay)</f>
        <v/>
      </c>
      <c r="H2270" s="66">
        <f>IF(tblFleet[[#This Row],[Units]]="","",tblFleet[[#This Row],[Calendar_h]]-tblFleet[[#This Row],[Down_h]])</f>
        <v/>
      </c>
      <c r="I2270" s="60">
        <f>IF(AND(tblFleet[[#This Row],[Units]]&lt;&gt;"",tblFleet[[#This Row],[Calendar_h]]&gt;0),tblFleet[[#This Row],[Available_h]]/tblFleet[[#This Row],[Calendar_h]],"")</f>
        <v/>
      </c>
      <c r="J2270" s="60">
        <f>IF(AND(tblFleet[[#This Row],[Units]]&lt;&gt;"",tblFleet[[#This Row],[Available_h]]&gt;0),tblFleet[[#This Row],[Operating_h]]/tblFleet[[#This Row],[Available_h]],"")</f>
        <v/>
      </c>
    </row>
    <row r="2271">
      <c r="A2271" s="54" t="n"/>
      <c r="B2271" s="61" t="n"/>
      <c r="C2271" s="62" t="n"/>
      <c r="D2271" s="57" t="n"/>
      <c r="E2271" s="57" t="n"/>
      <c r="F2271" s="58" t="n"/>
      <c r="G2271" s="66">
        <f>IF(tblFleet[[#This Row],[Units]]="","",tblFleet[[#This Row],[Units]]*cfg_HoursPerDay)</f>
        <v/>
      </c>
      <c r="H2271" s="66">
        <f>IF(tblFleet[[#This Row],[Units]]="","",tblFleet[[#This Row],[Calendar_h]]-tblFleet[[#This Row],[Down_h]])</f>
        <v/>
      </c>
      <c r="I2271" s="60">
        <f>IF(AND(tblFleet[[#This Row],[Units]]&lt;&gt;"",tblFleet[[#This Row],[Calendar_h]]&gt;0),tblFleet[[#This Row],[Available_h]]/tblFleet[[#This Row],[Calendar_h]],"")</f>
        <v/>
      </c>
      <c r="J2271" s="60">
        <f>IF(AND(tblFleet[[#This Row],[Units]]&lt;&gt;"",tblFleet[[#This Row],[Available_h]]&gt;0),tblFleet[[#This Row],[Operating_h]]/tblFleet[[#This Row],[Available_h]],"")</f>
        <v/>
      </c>
    </row>
    <row r="2272">
      <c r="A2272" s="54" t="n"/>
      <c r="B2272" s="61" t="n"/>
      <c r="C2272" s="62" t="n"/>
      <c r="D2272" s="57" t="n"/>
      <c r="E2272" s="57" t="n"/>
      <c r="F2272" s="58" t="n"/>
      <c r="G2272" s="66">
        <f>IF(tblFleet[[#This Row],[Units]]="","",tblFleet[[#This Row],[Units]]*cfg_HoursPerDay)</f>
        <v/>
      </c>
      <c r="H2272" s="66">
        <f>IF(tblFleet[[#This Row],[Units]]="","",tblFleet[[#This Row],[Calendar_h]]-tblFleet[[#This Row],[Down_h]])</f>
        <v/>
      </c>
      <c r="I2272" s="60">
        <f>IF(AND(tblFleet[[#This Row],[Units]]&lt;&gt;"",tblFleet[[#This Row],[Calendar_h]]&gt;0),tblFleet[[#This Row],[Available_h]]/tblFleet[[#This Row],[Calendar_h]],"")</f>
        <v/>
      </c>
      <c r="J2272" s="60">
        <f>IF(AND(tblFleet[[#This Row],[Units]]&lt;&gt;"",tblFleet[[#This Row],[Available_h]]&gt;0),tblFleet[[#This Row],[Operating_h]]/tblFleet[[#This Row],[Available_h]],"")</f>
        <v/>
      </c>
    </row>
    <row r="2273">
      <c r="A2273" s="54" t="n"/>
      <c r="B2273" s="61" t="n"/>
      <c r="C2273" s="62" t="n"/>
      <c r="D2273" s="57" t="n"/>
      <c r="E2273" s="57" t="n"/>
      <c r="F2273" s="58" t="n"/>
      <c r="G2273" s="66">
        <f>IF(tblFleet[[#This Row],[Units]]="","",tblFleet[[#This Row],[Units]]*cfg_HoursPerDay)</f>
        <v/>
      </c>
      <c r="H2273" s="66">
        <f>IF(tblFleet[[#This Row],[Units]]="","",tblFleet[[#This Row],[Calendar_h]]-tblFleet[[#This Row],[Down_h]])</f>
        <v/>
      </c>
      <c r="I2273" s="60">
        <f>IF(AND(tblFleet[[#This Row],[Units]]&lt;&gt;"",tblFleet[[#This Row],[Calendar_h]]&gt;0),tblFleet[[#This Row],[Available_h]]/tblFleet[[#This Row],[Calendar_h]],"")</f>
        <v/>
      </c>
      <c r="J2273" s="60">
        <f>IF(AND(tblFleet[[#This Row],[Units]]&lt;&gt;"",tblFleet[[#This Row],[Available_h]]&gt;0),tblFleet[[#This Row],[Operating_h]]/tblFleet[[#This Row],[Available_h]],"")</f>
        <v/>
      </c>
    </row>
    <row r="2274">
      <c r="A2274" s="54" t="n"/>
      <c r="B2274" s="61" t="n"/>
      <c r="C2274" s="62" t="n"/>
      <c r="D2274" s="57" t="n"/>
      <c r="E2274" s="57" t="n"/>
      <c r="F2274" s="58" t="n"/>
      <c r="G2274" s="66">
        <f>IF(tblFleet[[#This Row],[Units]]="","",tblFleet[[#This Row],[Units]]*cfg_HoursPerDay)</f>
        <v/>
      </c>
      <c r="H2274" s="66">
        <f>IF(tblFleet[[#This Row],[Units]]="","",tblFleet[[#This Row],[Calendar_h]]-tblFleet[[#This Row],[Down_h]])</f>
        <v/>
      </c>
      <c r="I2274" s="60">
        <f>IF(AND(tblFleet[[#This Row],[Units]]&lt;&gt;"",tblFleet[[#This Row],[Calendar_h]]&gt;0),tblFleet[[#This Row],[Available_h]]/tblFleet[[#This Row],[Calendar_h]],"")</f>
        <v/>
      </c>
      <c r="J2274" s="60">
        <f>IF(AND(tblFleet[[#This Row],[Units]]&lt;&gt;"",tblFleet[[#This Row],[Available_h]]&gt;0),tblFleet[[#This Row],[Operating_h]]/tblFleet[[#This Row],[Available_h]],"")</f>
        <v/>
      </c>
    </row>
    <row r="2275">
      <c r="A2275" s="54" t="n"/>
      <c r="B2275" s="61" t="n"/>
      <c r="C2275" s="62" t="n"/>
      <c r="D2275" s="57" t="n"/>
      <c r="E2275" s="57" t="n"/>
      <c r="F2275" s="58" t="n"/>
      <c r="G2275" s="66">
        <f>IF(tblFleet[[#This Row],[Units]]="","",tblFleet[[#This Row],[Units]]*cfg_HoursPerDay)</f>
        <v/>
      </c>
      <c r="H2275" s="66">
        <f>IF(tblFleet[[#This Row],[Units]]="","",tblFleet[[#This Row],[Calendar_h]]-tblFleet[[#This Row],[Down_h]])</f>
        <v/>
      </c>
      <c r="I2275" s="60">
        <f>IF(AND(tblFleet[[#This Row],[Units]]&lt;&gt;"",tblFleet[[#This Row],[Calendar_h]]&gt;0),tblFleet[[#This Row],[Available_h]]/tblFleet[[#This Row],[Calendar_h]],"")</f>
        <v/>
      </c>
      <c r="J2275" s="60">
        <f>IF(AND(tblFleet[[#This Row],[Units]]&lt;&gt;"",tblFleet[[#This Row],[Available_h]]&gt;0),tblFleet[[#This Row],[Operating_h]]/tblFleet[[#This Row],[Available_h]],"")</f>
        <v/>
      </c>
    </row>
    <row r="2276">
      <c r="A2276" s="54" t="n"/>
      <c r="B2276" s="61" t="n"/>
      <c r="C2276" s="62" t="n"/>
      <c r="D2276" s="57" t="n"/>
      <c r="E2276" s="57" t="n"/>
      <c r="F2276" s="58" t="n"/>
      <c r="G2276" s="66">
        <f>IF(tblFleet[[#This Row],[Units]]="","",tblFleet[[#This Row],[Units]]*cfg_HoursPerDay)</f>
        <v/>
      </c>
      <c r="H2276" s="66">
        <f>IF(tblFleet[[#This Row],[Units]]="","",tblFleet[[#This Row],[Calendar_h]]-tblFleet[[#This Row],[Down_h]])</f>
        <v/>
      </c>
      <c r="I2276" s="60">
        <f>IF(AND(tblFleet[[#This Row],[Units]]&lt;&gt;"",tblFleet[[#This Row],[Calendar_h]]&gt;0),tblFleet[[#This Row],[Available_h]]/tblFleet[[#This Row],[Calendar_h]],"")</f>
        <v/>
      </c>
      <c r="J2276" s="60">
        <f>IF(AND(tblFleet[[#This Row],[Units]]&lt;&gt;"",tblFleet[[#This Row],[Available_h]]&gt;0),tblFleet[[#This Row],[Operating_h]]/tblFleet[[#This Row],[Available_h]],"")</f>
        <v/>
      </c>
    </row>
    <row r="2277">
      <c r="A2277" s="54" t="n"/>
      <c r="B2277" s="61" t="n"/>
      <c r="C2277" s="62" t="n"/>
      <c r="D2277" s="57" t="n"/>
      <c r="E2277" s="57" t="n"/>
      <c r="F2277" s="58" t="n"/>
      <c r="G2277" s="66">
        <f>IF(tblFleet[[#This Row],[Units]]="","",tblFleet[[#This Row],[Units]]*cfg_HoursPerDay)</f>
        <v/>
      </c>
      <c r="H2277" s="66">
        <f>IF(tblFleet[[#This Row],[Units]]="","",tblFleet[[#This Row],[Calendar_h]]-tblFleet[[#This Row],[Down_h]])</f>
        <v/>
      </c>
      <c r="I2277" s="60">
        <f>IF(AND(tblFleet[[#This Row],[Units]]&lt;&gt;"",tblFleet[[#This Row],[Calendar_h]]&gt;0),tblFleet[[#This Row],[Available_h]]/tblFleet[[#This Row],[Calendar_h]],"")</f>
        <v/>
      </c>
      <c r="J2277" s="60">
        <f>IF(AND(tblFleet[[#This Row],[Units]]&lt;&gt;"",tblFleet[[#This Row],[Available_h]]&gt;0),tblFleet[[#This Row],[Operating_h]]/tblFleet[[#This Row],[Available_h]],"")</f>
        <v/>
      </c>
    </row>
    <row r="2278">
      <c r="A2278" s="54" t="n"/>
      <c r="B2278" s="61" t="n"/>
      <c r="C2278" s="62" t="n"/>
      <c r="D2278" s="57" t="n"/>
      <c r="E2278" s="57" t="n"/>
      <c r="F2278" s="58" t="n"/>
      <c r="G2278" s="66">
        <f>IF(tblFleet[[#This Row],[Units]]="","",tblFleet[[#This Row],[Units]]*cfg_HoursPerDay)</f>
        <v/>
      </c>
      <c r="H2278" s="66">
        <f>IF(tblFleet[[#This Row],[Units]]="","",tblFleet[[#This Row],[Calendar_h]]-tblFleet[[#This Row],[Down_h]])</f>
        <v/>
      </c>
      <c r="I2278" s="60">
        <f>IF(AND(tblFleet[[#This Row],[Units]]&lt;&gt;"",tblFleet[[#This Row],[Calendar_h]]&gt;0),tblFleet[[#This Row],[Available_h]]/tblFleet[[#This Row],[Calendar_h]],"")</f>
        <v/>
      </c>
      <c r="J2278" s="60">
        <f>IF(AND(tblFleet[[#This Row],[Units]]&lt;&gt;"",tblFleet[[#This Row],[Available_h]]&gt;0),tblFleet[[#This Row],[Operating_h]]/tblFleet[[#This Row],[Available_h]],"")</f>
        <v/>
      </c>
    </row>
    <row r="2279">
      <c r="A2279" s="54" t="n"/>
      <c r="B2279" s="61" t="n"/>
      <c r="C2279" s="62" t="n"/>
      <c r="D2279" s="57" t="n"/>
      <c r="E2279" s="57" t="n"/>
      <c r="F2279" s="58" t="n"/>
      <c r="G2279" s="66">
        <f>IF(tblFleet[[#This Row],[Units]]="","",tblFleet[[#This Row],[Units]]*cfg_HoursPerDay)</f>
        <v/>
      </c>
      <c r="H2279" s="66">
        <f>IF(tblFleet[[#This Row],[Units]]="","",tblFleet[[#This Row],[Calendar_h]]-tblFleet[[#This Row],[Down_h]])</f>
        <v/>
      </c>
      <c r="I2279" s="60">
        <f>IF(AND(tblFleet[[#This Row],[Units]]&lt;&gt;"",tblFleet[[#This Row],[Calendar_h]]&gt;0),tblFleet[[#This Row],[Available_h]]/tblFleet[[#This Row],[Calendar_h]],"")</f>
        <v/>
      </c>
      <c r="J2279" s="60">
        <f>IF(AND(tblFleet[[#This Row],[Units]]&lt;&gt;"",tblFleet[[#This Row],[Available_h]]&gt;0),tblFleet[[#This Row],[Operating_h]]/tblFleet[[#This Row],[Available_h]],"")</f>
        <v/>
      </c>
    </row>
    <row r="2280">
      <c r="A2280" s="54" t="n"/>
      <c r="B2280" s="61" t="n"/>
      <c r="C2280" s="62" t="n"/>
      <c r="D2280" s="57" t="n"/>
      <c r="E2280" s="57" t="n"/>
      <c r="F2280" s="58" t="n"/>
      <c r="G2280" s="66">
        <f>IF(tblFleet[[#This Row],[Units]]="","",tblFleet[[#This Row],[Units]]*cfg_HoursPerDay)</f>
        <v/>
      </c>
      <c r="H2280" s="66">
        <f>IF(tblFleet[[#This Row],[Units]]="","",tblFleet[[#This Row],[Calendar_h]]-tblFleet[[#This Row],[Down_h]])</f>
        <v/>
      </c>
      <c r="I2280" s="60">
        <f>IF(AND(tblFleet[[#This Row],[Units]]&lt;&gt;"",tblFleet[[#This Row],[Calendar_h]]&gt;0),tblFleet[[#This Row],[Available_h]]/tblFleet[[#This Row],[Calendar_h]],"")</f>
        <v/>
      </c>
      <c r="J2280" s="60">
        <f>IF(AND(tblFleet[[#This Row],[Units]]&lt;&gt;"",tblFleet[[#This Row],[Available_h]]&gt;0),tblFleet[[#This Row],[Operating_h]]/tblFleet[[#This Row],[Available_h]],"")</f>
        <v/>
      </c>
    </row>
    <row r="2281">
      <c r="A2281" s="54" t="n"/>
      <c r="B2281" s="61" t="n"/>
      <c r="C2281" s="62" t="n"/>
      <c r="D2281" s="57" t="n"/>
      <c r="E2281" s="57" t="n"/>
      <c r="F2281" s="58" t="n"/>
      <c r="G2281" s="66">
        <f>IF(tblFleet[[#This Row],[Units]]="","",tblFleet[[#This Row],[Units]]*cfg_HoursPerDay)</f>
        <v/>
      </c>
      <c r="H2281" s="66">
        <f>IF(tblFleet[[#This Row],[Units]]="","",tblFleet[[#This Row],[Calendar_h]]-tblFleet[[#This Row],[Down_h]])</f>
        <v/>
      </c>
      <c r="I2281" s="60">
        <f>IF(AND(tblFleet[[#This Row],[Units]]&lt;&gt;"",tblFleet[[#This Row],[Calendar_h]]&gt;0),tblFleet[[#This Row],[Available_h]]/tblFleet[[#This Row],[Calendar_h]],"")</f>
        <v/>
      </c>
      <c r="J2281" s="60">
        <f>IF(AND(tblFleet[[#This Row],[Units]]&lt;&gt;"",tblFleet[[#This Row],[Available_h]]&gt;0),tblFleet[[#This Row],[Operating_h]]/tblFleet[[#This Row],[Available_h]],"")</f>
        <v/>
      </c>
    </row>
    <row r="2282">
      <c r="A2282" s="54" t="n"/>
      <c r="B2282" s="61" t="n"/>
      <c r="C2282" s="62" t="n"/>
      <c r="D2282" s="57" t="n"/>
      <c r="E2282" s="57" t="n"/>
      <c r="F2282" s="58" t="n"/>
      <c r="G2282" s="66">
        <f>IF(tblFleet[[#This Row],[Units]]="","",tblFleet[[#This Row],[Units]]*cfg_HoursPerDay)</f>
        <v/>
      </c>
      <c r="H2282" s="66">
        <f>IF(tblFleet[[#This Row],[Units]]="","",tblFleet[[#This Row],[Calendar_h]]-tblFleet[[#This Row],[Down_h]])</f>
        <v/>
      </c>
      <c r="I2282" s="60">
        <f>IF(AND(tblFleet[[#This Row],[Units]]&lt;&gt;"",tblFleet[[#This Row],[Calendar_h]]&gt;0),tblFleet[[#This Row],[Available_h]]/tblFleet[[#This Row],[Calendar_h]],"")</f>
        <v/>
      </c>
      <c r="J2282" s="60">
        <f>IF(AND(tblFleet[[#This Row],[Units]]&lt;&gt;"",tblFleet[[#This Row],[Available_h]]&gt;0),tblFleet[[#This Row],[Operating_h]]/tblFleet[[#This Row],[Available_h]],"")</f>
        <v/>
      </c>
    </row>
    <row r="2283">
      <c r="A2283" s="54" t="n"/>
      <c r="B2283" s="61" t="n"/>
      <c r="C2283" s="62" t="n"/>
      <c r="D2283" s="57" t="n"/>
      <c r="E2283" s="57" t="n"/>
      <c r="F2283" s="58" t="n"/>
      <c r="G2283" s="66">
        <f>IF(tblFleet[[#This Row],[Units]]="","",tblFleet[[#This Row],[Units]]*cfg_HoursPerDay)</f>
        <v/>
      </c>
      <c r="H2283" s="66">
        <f>IF(tblFleet[[#This Row],[Units]]="","",tblFleet[[#This Row],[Calendar_h]]-tblFleet[[#This Row],[Down_h]])</f>
        <v/>
      </c>
      <c r="I2283" s="60">
        <f>IF(AND(tblFleet[[#This Row],[Units]]&lt;&gt;"",tblFleet[[#This Row],[Calendar_h]]&gt;0),tblFleet[[#This Row],[Available_h]]/tblFleet[[#This Row],[Calendar_h]],"")</f>
        <v/>
      </c>
      <c r="J2283" s="60">
        <f>IF(AND(tblFleet[[#This Row],[Units]]&lt;&gt;"",tblFleet[[#This Row],[Available_h]]&gt;0),tblFleet[[#This Row],[Operating_h]]/tblFleet[[#This Row],[Available_h]],"")</f>
        <v/>
      </c>
    </row>
    <row r="2284">
      <c r="A2284" s="54" t="n"/>
      <c r="B2284" s="61" t="n"/>
      <c r="C2284" s="62" t="n"/>
      <c r="D2284" s="57" t="n"/>
      <c r="E2284" s="57" t="n"/>
      <c r="F2284" s="58" t="n"/>
      <c r="G2284" s="66">
        <f>IF(tblFleet[[#This Row],[Units]]="","",tblFleet[[#This Row],[Units]]*cfg_HoursPerDay)</f>
        <v/>
      </c>
      <c r="H2284" s="66">
        <f>IF(tblFleet[[#This Row],[Units]]="","",tblFleet[[#This Row],[Calendar_h]]-tblFleet[[#This Row],[Down_h]])</f>
        <v/>
      </c>
      <c r="I2284" s="60">
        <f>IF(AND(tblFleet[[#This Row],[Units]]&lt;&gt;"",tblFleet[[#This Row],[Calendar_h]]&gt;0),tblFleet[[#This Row],[Available_h]]/tblFleet[[#This Row],[Calendar_h]],"")</f>
        <v/>
      </c>
      <c r="J2284" s="60">
        <f>IF(AND(tblFleet[[#This Row],[Units]]&lt;&gt;"",tblFleet[[#This Row],[Available_h]]&gt;0),tblFleet[[#This Row],[Operating_h]]/tblFleet[[#This Row],[Available_h]],"")</f>
        <v/>
      </c>
    </row>
    <row r="2285">
      <c r="A2285" s="54" t="n"/>
      <c r="B2285" s="61" t="n"/>
      <c r="C2285" s="62" t="n"/>
      <c r="D2285" s="57" t="n"/>
      <c r="E2285" s="57" t="n"/>
      <c r="F2285" s="58" t="n"/>
      <c r="G2285" s="66">
        <f>IF(tblFleet[[#This Row],[Units]]="","",tblFleet[[#This Row],[Units]]*cfg_HoursPerDay)</f>
        <v/>
      </c>
      <c r="H2285" s="66">
        <f>IF(tblFleet[[#This Row],[Units]]="","",tblFleet[[#This Row],[Calendar_h]]-tblFleet[[#This Row],[Down_h]])</f>
        <v/>
      </c>
      <c r="I2285" s="60">
        <f>IF(AND(tblFleet[[#This Row],[Units]]&lt;&gt;"",tblFleet[[#This Row],[Calendar_h]]&gt;0),tblFleet[[#This Row],[Available_h]]/tblFleet[[#This Row],[Calendar_h]],"")</f>
        <v/>
      </c>
      <c r="J2285" s="60">
        <f>IF(AND(tblFleet[[#This Row],[Units]]&lt;&gt;"",tblFleet[[#This Row],[Available_h]]&gt;0),tblFleet[[#This Row],[Operating_h]]/tblFleet[[#This Row],[Available_h]],"")</f>
        <v/>
      </c>
    </row>
    <row r="2286">
      <c r="A2286" s="54" t="n"/>
      <c r="B2286" s="61" t="n"/>
      <c r="C2286" s="62" t="n"/>
      <c r="D2286" s="57" t="n"/>
      <c r="E2286" s="57" t="n"/>
      <c r="F2286" s="58" t="n"/>
      <c r="G2286" s="66">
        <f>IF(tblFleet[[#This Row],[Units]]="","",tblFleet[[#This Row],[Units]]*cfg_HoursPerDay)</f>
        <v/>
      </c>
      <c r="H2286" s="66">
        <f>IF(tblFleet[[#This Row],[Units]]="","",tblFleet[[#This Row],[Calendar_h]]-tblFleet[[#This Row],[Down_h]])</f>
        <v/>
      </c>
      <c r="I2286" s="60">
        <f>IF(AND(tblFleet[[#This Row],[Units]]&lt;&gt;"",tblFleet[[#This Row],[Calendar_h]]&gt;0),tblFleet[[#This Row],[Available_h]]/tblFleet[[#This Row],[Calendar_h]],"")</f>
        <v/>
      </c>
      <c r="J2286" s="60">
        <f>IF(AND(tblFleet[[#This Row],[Units]]&lt;&gt;"",tblFleet[[#This Row],[Available_h]]&gt;0),tblFleet[[#This Row],[Operating_h]]/tblFleet[[#This Row],[Available_h]],"")</f>
        <v/>
      </c>
    </row>
    <row r="2287">
      <c r="A2287" s="54" t="n"/>
      <c r="B2287" s="61" t="n"/>
      <c r="C2287" s="62" t="n"/>
      <c r="D2287" s="57" t="n"/>
      <c r="E2287" s="57" t="n"/>
      <c r="F2287" s="58" t="n"/>
      <c r="G2287" s="66">
        <f>IF(tblFleet[[#This Row],[Units]]="","",tblFleet[[#This Row],[Units]]*cfg_HoursPerDay)</f>
        <v/>
      </c>
      <c r="H2287" s="66">
        <f>IF(tblFleet[[#This Row],[Units]]="","",tblFleet[[#This Row],[Calendar_h]]-tblFleet[[#This Row],[Down_h]])</f>
        <v/>
      </c>
      <c r="I2287" s="60">
        <f>IF(AND(tblFleet[[#This Row],[Units]]&lt;&gt;"",tblFleet[[#This Row],[Calendar_h]]&gt;0),tblFleet[[#This Row],[Available_h]]/tblFleet[[#This Row],[Calendar_h]],"")</f>
        <v/>
      </c>
      <c r="J2287" s="60">
        <f>IF(AND(tblFleet[[#This Row],[Units]]&lt;&gt;"",tblFleet[[#This Row],[Available_h]]&gt;0),tblFleet[[#This Row],[Operating_h]]/tblFleet[[#This Row],[Available_h]],"")</f>
        <v/>
      </c>
    </row>
    <row r="2288">
      <c r="A2288" s="54" t="n"/>
      <c r="B2288" s="61" t="n"/>
      <c r="C2288" s="62" t="n"/>
      <c r="D2288" s="57" t="n"/>
      <c r="E2288" s="57" t="n"/>
      <c r="F2288" s="58" t="n"/>
      <c r="G2288" s="66">
        <f>IF(tblFleet[[#This Row],[Units]]="","",tblFleet[[#This Row],[Units]]*cfg_HoursPerDay)</f>
        <v/>
      </c>
      <c r="H2288" s="66">
        <f>IF(tblFleet[[#This Row],[Units]]="","",tblFleet[[#This Row],[Calendar_h]]-tblFleet[[#This Row],[Down_h]])</f>
        <v/>
      </c>
      <c r="I2288" s="60">
        <f>IF(AND(tblFleet[[#This Row],[Units]]&lt;&gt;"",tblFleet[[#This Row],[Calendar_h]]&gt;0),tblFleet[[#This Row],[Available_h]]/tblFleet[[#This Row],[Calendar_h]],"")</f>
        <v/>
      </c>
      <c r="J2288" s="60">
        <f>IF(AND(tblFleet[[#This Row],[Units]]&lt;&gt;"",tblFleet[[#This Row],[Available_h]]&gt;0),tblFleet[[#This Row],[Operating_h]]/tblFleet[[#This Row],[Available_h]],"")</f>
        <v/>
      </c>
    </row>
    <row r="2289">
      <c r="A2289" s="54" t="n"/>
      <c r="B2289" s="61" t="n"/>
      <c r="C2289" s="62" t="n"/>
      <c r="D2289" s="57" t="n"/>
      <c r="E2289" s="57" t="n"/>
      <c r="F2289" s="58" t="n"/>
      <c r="G2289" s="66">
        <f>IF(tblFleet[[#This Row],[Units]]="","",tblFleet[[#This Row],[Units]]*cfg_HoursPerDay)</f>
        <v/>
      </c>
      <c r="H2289" s="66">
        <f>IF(tblFleet[[#This Row],[Units]]="","",tblFleet[[#This Row],[Calendar_h]]-tblFleet[[#This Row],[Down_h]])</f>
        <v/>
      </c>
      <c r="I2289" s="60">
        <f>IF(AND(tblFleet[[#This Row],[Units]]&lt;&gt;"",tblFleet[[#This Row],[Calendar_h]]&gt;0),tblFleet[[#This Row],[Available_h]]/tblFleet[[#This Row],[Calendar_h]],"")</f>
        <v/>
      </c>
      <c r="J2289" s="60">
        <f>IF(AND(tblFleet[[#This Row],[Units]]&lt;&gt;"",tblFleet[[#This Row],[Available_h]]&gt;0),tblFleet[[#This Row],[Operating_h]]/tblFleet[[#This Row],[Available_h]],"")</f>
        <v/>
      </c>
    </row>
    <row r="2290">
      <c r="A2290" s="54" t="n"/>
      <c r="B2290" s="61" t="n"/>
      <c r="C2290" s="62" t="n"/>
      <c r="D2290" s="57" t="n"/>
      <c r="E2290" s="57" t="n"/>
      <c r="F2290" s="58" t="n"/>
      <c r="G2290" s="66">
        <f>IF(tblFleet[[#This Row],[Units]]="","",tblFleet[[#This Row],[Units]]*cfg_HoursPerDay)</f>
        <v/>
      </c>
      <c r="H2290" s="66">
        <f>IF(tblFleet[[#This Row],[Units]]="","",tblFleet[[#This Row],[Calendar_h]]-tblFleet[[#This Row],[Down_h]])</f>
        <v/>
      </c>
      <c r="I2290" s="60">
        <f>IF(AND(tblFleet[[#This Row],[Units]]&lt;&gt;"",tblFleet[[#This Row],[Calendar_h]]&gt;0),tblFleet[[#This Row],[Available_h]]/tblFleet[[#This Row],[Calendar_h]],"")</f>
        <v/>
      </c>
      <c r="J2290" s="60">
        <f>IF(AND(tblFleet[[#This Row],[Units]]&lt;&gt;"",tblFleet[[#This Row],[Available_h]]&gt;0),tblFleet[[#This Row],[Operating_h]]/tblFleet[[#This Row],[Available_h]],"")</f>
        <v/>
      </c>
    </row>
    <row r="2291">
      <c r="A2291" s="54" t="n"/>
      <c r="B2291" s="61" t="n"/>
      <c r="C2291" s="62" t="n"/>
      <c r="D2291" s="57" t="n"/>
      <c r="E2291" s="57" t="n"/>
      <c r="F2291" s="58" t="n"/>
      <c r="G2291" s="66">
        <f>IF(tblFleet[[#This Row],[Units]]="","",tblFleet[[#This Row],[Units]]*cfg_HoursPerDay)</f>
        <v/>
      </c>
      <c r="H2291" s="66">
        <f>IF(tblFleet[[#This Row],[Units]]="","",tblFleet[[#This Row],[Calendar_h]]-tblFleet[[#This Row],[Down_h]])</f>
        <v/>
      </c>
      <c r="I2291" s="60">
        <f>IF(AND(tblFleet[[#This Row],[Units]]&lt;&gt;"",tblFleet[[#This Row],[Calendar_h]]&gt;0),tblFleet[[#This Row],[Available_h]]/tblFleet[[#This Row],[Calendar_h]],"")</f>
        <v/>
      </c>
      <c r="J2291" s="60">
        <f>IF(AND(tblFleet[[#This Row],[Units]]&lt;&gt;"",tblFleet[[#This Row],[Available_h]]&gt;0),tblFleet[[#This Row],[Operating_h]]/tblFleet[[#This Row],[Available_h]],"")</f>
        <v/>
      </c>
    </row>
    <row r="2292">
      <c r="A2292" s="54" t="n"/>
      <c r="B2292" s="61" t="n"/>
      <c r="C2292" s="62" t="n"/>
      <c r="D2292" s="57" t="n"/>
      <c r="E2292" s="57" t="n"/>
      <c r="F2292" s="58" t="n"/>
      <c r="G2292" s="66">
        <f>IF(tblFleet[[#This Row],[Units]]="","",tblFleet[[#This Row],[Units]]*cfg_HoursPerDay)</f>
        <v/>
      </c>
      <c r="H2292" s="66">
        <f>IF(tblFleet[[#This Row],[Units]]="","",tblFleet[[#This Row],[Calendar_h]]-tblFleet[[#This Row],[Down_h]])</f>
        <v/>
      </c>
      <c r="I2292" s="60">
        <f>IF(AND(tblFleet[[#This Row],[Units]]&lt;&gt;"",tblFleet[[#This Row],[Calendar_h]]&gt;0),tblFleet[[#This Row],[Available_h]]/tblFleet[[#This Row],[Calendar_h]],"")</f>
        <v/>
      </c>
      <c r="J2292" s="60">
        <f>IF(AND(tblFleet[[#This Row],[Units]]&lt;&gt;"",tblFleet[[#This Row],[Available_h]]&gt;0),tblFleet[[#This Row],[Operating_h]]/tblFleet[[#This Row],[Available_h]],"")</f>
        <v/>
      </c>
    </row>
    <row r="2293">
      <c r="A2293" s="54" t="n"/>
      <c r="B2293" s="61" t="n"/>
      <c r="C2293" s="62" t="n"/>
      <c r="D2293" s="57" t="n"/>
      <c r="E2293" s="57" t="n"/>
      <c r="F2293" s="58" t="n"/>
      <c r="G2293" s="66">
        <f>IF(tblFleet[[#This Row],[Units]]="","",tblFleet[[#This Row],[Units]]*cfg_HoursPerDay)</f>
        <v/>
      </c>
      <c r="H2293" s="66">
        <f>IF(tblFleet[[#This Row],[Units]]="","",tblFleet[[#This Row],[Calendar_h]]-tblFleet[[#This Row],[Down_h]])</f>
        <v/>
      </c>
      <c r="I2293" s="60">
        <f>IF(AND(tblFleet[[#This Row],[Units]]&lt;&gt;"",tblFleet[[#This Row],[Calendar_h]]&gt;0),tblFleet[[#This Row],[Available_h]]/tblFleet[[#This Row],[Calendar_h]],"")</f>
        <v/>
      </c>
      <c r="J2293" s="60">
        <f>IF(AND(tblFleet[[#This Row],[Units]]&lt;&gt;"",tblFleet[[#This Row],[Available_h]]&gt;0),tblFleet[[#This Row],[Operating_h]]/tblFleet[[#This Row],[Available_h]],"")</f>
        <v/>
      </c>
    </row>
    <row r="2294">
      <c r="A2294" s="54" t="n"/>
      <c r="B2294" s="61" t="n"/>
      <c r="C2294" s="62" t="n"/>
      <c r="D2294" s="57" t="n"/>
      <c r="E2294" s="57" t="n"/>
      <c r="F2294" s="58" t="n"/>
      <c r="G2294" s="66">
        <f>IF(tblFleet[[#This Row],[Units]]="","",tblFleet[[#This Row],[Units]]*cfg_HoursPerDay)</f>
        <v/>
      </c>
      <c r="H2294" s="66">
        <f>IF(tblFleet[[#This Row],[Units]]="","",tblFleet[[#This Row],[Calendar_h]]-tblFleet[[#This Row],[Down_h]])</f>
        <v/>
      </c>
      <c r="I2294" s="60">
        <f>IF(AND(tblFleet[[#This Row],[Units]]&lt;&gt;"",tblFleet[[#This Row],[Calendar_h]]&gt;0),tblFleet[[#This Row],[Available_h]]/tblFleet[[#This Row],[Calendar_h]],"")</f>
        <v/>
      </c>
      <c r="J2294" s="60">
        <f>IF(AND(tblFleet[[#This Row],[Units]]&lt;&gt;"",tblFleet[[#This Row],[Available_h]]&gt;0),tblFleet[[#This Row],[Operating_h]]/tblFleet[[#This Row],[Available_h]],"")</f>
        <v/>
      </c>
    </row>
    <row r="2295">
      <c r="A2295" s="54" t="n"/>
      <c r="B2295" s="61" t="n"/>
      <c r="C2295" s="62" t="n"/>
      <c r="D2295" s="57" t="n"/>
      <c r="E2295" s="57" t="n"/>
      <c r="F2295" s="58" t="n"/>
      <c r="G2295" s="66">
        <f>IF(tblFleet[[#This Row],[Units]]="","",tblFleet[[#This Row],[Units]]*cfg_HoursPerDay)</f>
        <v/>
      </c>
      <c r="H2295" s="66">
        <f>IF(tblFleet[[#This Row],[Units]]="","",tblFleet[[#This Row],[Calendar_h]]-tblFleet[[#This Row],[Down_h]])</f>
        <v/>
      </c>
      <c r="I2295" s="60">
        <f>IF(AND(tblFleet[[#This Row],[Units]]&lt;&gt;"",tblFleet[[#This Row],[Calendar_h]]&gt;0),tblFleet[[#This Row],[Available_h]]/tblFleet[[#This Row],[Calendar_h]],"")</f>
        <v/>
      </c>
      <c r="J2295" s="60">
        <f>IF(AND(tblFleet[[#This Row],[Units]]&lt;&gt;"",tblFleet[[#This Row],[Available_h]]&gt;0),tblFleet[[#This Row],[Operating_h]]/tblFleet[[#This Row],[Available_h]],"")</f>
        <v/>
      </c>
    </row>
    <row r="2296">
      <c r="A2296" s="54" t="n"/>
      <c r="B2296" s="61" t="n"/>
      <c r="C2296" s="62" t="n"/>
      <c r="D2296" s="57" t="n"/>
      <c r="E2296" s="57" t="n"/>
      <c r="F2296" s="58" t="n"/>
      <c r="G2296" s="66">
        <f>IF(tblFleet[[#This Row],[Units]]="","",tblFleet[[#This Row],[Units]]*cfg_HoursPerDay)</f>
        <v/>
      </c>
      <c r="H2296" s="66">
        <f>IF(tblFleet[[#This Row],[Units]]="","",tblFleet[[#This Row],[Calendar_h]]-tblFleet[[#This Row],[Down_h]])</f>
        <v/>
      </c>
      <c r="I2296" s="60">
        <f>IF(AND(tblFleet[[#This Row],[Units]]&lt;&gt;"",tblFleet[[#This Row],[Calendar_h]]&gt;0),tblFleet[[#This Row],[Available_h]]/tblFleet[[#This Row],[Calendar_h]],"")</f>
        <v/>
      </c>
      <c r="J2296" s="60">
        <f>IF(AND(tblFleet[[#This Row],[Units]]&lt;&gt;"",tblFleet[[#This Row],[Available_h]]&gt;0),tblFleet[[#This Row],[Operating_h]]/tblFleet[[#This Row],[Available_h]],"")</f>
        <v/>
      </c>
    </row>
    <row r="2297">
      <c r="A2297" s="54" t="n"/>
      <c r="B2297" s="61" t="n"/>
      <c r="C2297" s="62" t="n"/>
      <c r="D2297" s="57" t="n"/>
      <c r="E2297" s="57" t="n"/>
      <c r="F2297" s="58" t="n"/>
      <c r="G2297" s="66">
        <f>IF(tblFleet[[#This Row],[Units]]="","",tblFleet[[#This Row],[Units]]*cfg_HoursPerDay)</f>
        <v/>
      </c>
      <c r="H2297" s="66">
        <f>IF(tblFleet[[#This Row],[Units]]="","",tblFleet[[#This Row],[Calendar_h]]-tblFleet[[#This Row],[Down_h]])</f>
        <v/>
      </c>
      <c r="I2297" s="60">
        <f>IF(AND(tblFleet[[#This Row],[Units]]&lt;&gt;"",tblFleet[[#This Row],[Calendar_h]]&gt;0),tblFleet[[#This Row],[Available_h]]/tblFleet[[#This Row],[Calendar_h]],"")</f>
        <v/>
      </c>
      <c r="J2297" s="60">
        <f>IF(AND(tblFleet[[#This Row],[Units]]&lt;&gt;"",tblFleet[[#This Row],[Available_h]]&gt;0),tblFleet[[#This Row],[Operating_h]]/tblFleet[[#This Row],[Available_h]],"")</f>
        <v/>
      </c>
    </row>
    <row r="2298">
      <c r="A2298" s="54" t="n"/>
      <c r="B2298" s="61" t="n"/>
      <c r="C2298" s="62" t="n"/>
      <c r="D2298" s="57" t="n"/>
      <c r="E2298" s="57" t="n"/>
      <c r="F2298" s="58" t="n"/>
      <c r="G2298" s="66">
        <f>IF(tblFleet[[#This Row],[Units]]="","",tblFleet[[#This Row],[Units]]*cfg_HoursPerDay)</f>
        <v/>
      </c>
      <c r="H2298" s="66">
        <f>IF(tblFleet[[#This Row],[Units]]="","",tblFleet[[#This Row],[Calendar_h]]-tblFleet[[#This Row],[Down_h]])</f>
        <v/>
      </c>
      <c r="I2298" s="60">
        <f>IF(AND(tblFleet[[#This Row],[Units]]&lt;&gt;"",tblFleet[[#This Row],[Calendar_h]]&gt;0),tblFleet[[#This Row],[Available_h]]/tblFleet[[#This Row],[Calendar_h]],"")</f>
        <v/>
      </c>
      <c r="J2298" s="60">
        <f>IF(AND(tblFleet[[#This Row],[Units]]&lt;&gt;"",tblFleet[[#This Row],[Available_h]]&gt;0),tblFleet[[#This Row],[Operating_h]]/tblFleet[[#This Row],[Available_h]],"")</f>
        <v/>
      </c>
    </row>
    <row r="2299">
      <c r="A2299" s="54" t="n"/>
      <c r="B2299" s="61" t="n"/>
      <c r="C2299" s="62" t="n"/>
      <c r="D2299" s="57" t="n"/>
      <c r="E2299" s="57" t="n"/>
      <c r="F2299" s="58" t="n"/>
      <c r="G2299" s="66">
        <f>IF(tblFleet[[#This Row],[Units]]="","",tblFleet[[#This Row],[Units]]*cfg_HoursPerDay)</f>
        <v/>
      </c>
      <c r="H2299" s="66">
        <f>IF(tblFleet[[#This Row],[Units]]="","",tblFleet[[#This Row],[Calendar_h]]-tblFleet[[#This Row],[Down_h]])</f>
        <v/>
      </c>
      <c r="I2299" s="60">
        <f>IF(AND(tblFleet[[#This Row],[Units]]&lt;&gt;"",tblFleet[[#This Row],[Calendar_h]]&gt;0),tblFleet[[#This Row],[Available_h]]/tblFleet[[#This Row],[Calendar_h]],"")</f>
        <v/>
      </c>
      <c r="J2299" s="60">
        <f>IF(AND(tblFleet[[#This Row],[Units]]&lt;&gt;"",tblFleet[[#This Row],[Available_h]]&gt;0),tblFleet[[#This Row],[Operating_h]]/tblFleet[[#This Row],[Available_h]],"")</f>
        <v/>
      </c>
    </row>
    <row r="2300">
      <c r="A2300" s="54" t="n"/>
      <c r="B2300" s="61" t="n"/>
      <c r="C2300" s="62" t="n"/>
      <c r="D2300" s="57" t="n"/>
      <c r="E2300" s="57" t="n"/>
      <c r="F2300" s="58" t="n"/>
      <c r="G2300" s="66">
        <f>IF(tblFleet[[#This Row],[Units]]="","",tblFleet[[#This Row],[Units]]*cfg_HoursPerDay)</f>
        <v/>
      </c>
      <c r="H2300" s="66">
        <f>IF(tblFleet[[#This Row],[Units]]="","",tblFleet[[#This Row],[Calendar_h]]-tblFleet[[#This Row],[Down_h]])</f>
        <v/>
      </c>
      <c r="I2300" s="60">
        <f>IF(AND(tblFleet[[#This Row],[Units]]&lt;&gt;"",tblFleet[[#This Row],[Calendar_h]]&gt;0),tblFleet[[#This Row],[Available_h]]/tblFleet[[#This Row],[Calendar_h]],"")</f>
        <v/>
      </c>
      <c r="J2300" s="60">
        <f>IF(AND(tblFleet[[#This Row],[Units]]&lt;&gt;"",tblFleet[[#This Row],[Available_h]]&gt;0),tblFleet[[#This Row],[Operating_h]]/tblFleet[[#This Row],[Available_h]],"")</f>
        <v/>
      </c>
    </row>
    <row r="2301">
      <c r="A2301" s="54" t="n"/>
      <c r="B2301" s="61" t="n"/>
      <c r="C2301" s="62" t="n"/>
      <c r="D2301" s="57" t="n"/>
      <c r="E2301" s="57" t="n"/>
      <c r="F2301" s="58" t="n"/>
      <c r="G2301" s="66">
        <f>IF(tblFleet[[#This Row],[Units]]="","",tblFleet[[#This Row],[Units]]*cfg_HoursPerDay)</f>
        <v/>
      </c>
      <c r="H2301" s="66">
        <f>IF(tblFleet[[#This Row],[Units]]="","",tblFleet[[#This Row],[Calendar_h]]-tblFleet[[#This Row],[Down_h]])</f>
        <v/>
      </c>
      <c r="I2301" s="60">
        <f>IF(AND(tblFleet[[#This Row],[Units]]&lt;&gt;"",tblFleet[[#This Row],[Calendar_h]]&gt;0),tblFleet[[#This Row],[Available_h]]/tblFleet[[#This Row],[Calendar_h]],"")</f>
        <v/>
      </c>
      <c r="J2301" s="60">
        <f>IF(AND(tblFleet[[#This Row],[Units]]&lt;&gt;"",tblFleet[[#This Row],[Available_h]]&gt;0),tblFleet[[#This Row],[Operating_h]]/tblFleet[[#This Row],[Available_h]],"")</f>
        <v/>
      </c>
    </row>
    <row r="2302">
      <c r="A2302" s="54" t="n"/>
      <c r="B2302" s="61" t="n"/>
      <c r="C2302" s="62" t="n"/>
      <c r="D2302" s="57" t="n"/>
      <c r="E2302" s="57" t="n"/>
      <c r="F2302" s="58" t="n"/>
      <c r="G2302" s="66">
        <f>IF(tblFleet[[#This Row],[Units]]="","",tblFleet[[#This Row],[Units]]*cfg_HoursPerDay)</f>
        <v/>
      </c>
      <c r="H2302" s="66">
        <f>IF(tblFleet[[#This Row],[Units]]="","",tblFleet[[#This Row],[Calendar_h]]-tblFleet[[#This Row],[Down_h]])</f>
        <v/>
      </c>
      <c r="I2302" s="60">
        <f>IF(AND(tblFleet[[#This Row],[Units]]&lt;&gt;"",tblFleet[[#This Row],[Calendar_h]]&gt;0),tblFleet[[#This Row],[Available_h]]/tblFleet[[#This Row],[Calendar_h]],"")</f>
        <v/>
      </c>
      <c r="J2302" s="60">
        <f>IF(AND(tblFleet[[#This Row],[Units]]&lt;&gt;"",tblFleet[[#This Row],[Available_h]]&gt;0),tblFleet[[#This Row],[Operating_h]]/tblFleet[[#This Row],[Available_h]],"")</f>
        <v/>
      </c>
    </row>
    <row r="2303">
      <c r="A2303" s="54" t="n"/>
      <c r="B2303" s="61" t="n"/>
      <c r="C2303" s="62" t="n"/>
      <c r="D2303" s="57" t="n"/>
      <c r="E2303" s="57" t="n"/>
      <c r="F2303" s="58" t="n"/>
      <c r="G2303" s="66">
        <f>IF(tblFleet[[#This Row],[Units]]="","",tblFleet[[#This Row],[Units]]*cfg_HoursPerDay)</f>
        <v/>
      </c>
      <c r="H2303" s="66">
        <f>IF(tblFleet[[#This Row],[Units]]="","",tblFleet[[#This Row],[Calendar_h]]-tblFleet[[#This Row],[Down_h]])</f>
        <v/>
      </c>
      <c r="I2303" s="60">
        <f>IF(AND(tblFleet[[#This Row],[Units]]&lt;&gt;"",tblFleet[[#This Row],[Calendar_h]]&gt;0),tblFleet[[#This Row],[Available_h]]/tblFleet[[#This Row],[Calendar_h]],"")</f>
        <v/>
      </c>
      <c r="J2303" s="60">
        <f>IF(AND(tblFleet[[#This Row],[Units]]&lt;&gt;"",tblFleet[[#This Row],[Available_h]]&gt;0),tblFleet[[#This Row],[Operating_h]]/tblFleet[[#This Row],[Available_h]],"")</f>
        <v/>
      </c>
    </row>
    <row r="2304">
      <c r="A2304" s="54" t="n"/>
      <c r="B2304" s="61" t="n"/>
      <c r="C2304" s="62" t="n"/>
      <c r="D2304" s="57" t="n"/>
      <c r="E2304" s="57" t="n"/>
      <c r="F2304" s="58" t="n"/>
      <c r="G2304" s="66">
        <f>IF(tblFleet[[#This Row],[Units]]="","",tblFleet[[#This Row],[Units]]*cfg_HoursPerDay)</f>
        <v/>
      </c>
      <c r="H2304" s="66">
        <f>IF(tblFleet[[#This Row],[Units]]="","",tblFleet[[#This Row],[Calendar_h]]-tblFleet[[#This Row],[Down_h]])</f>
        <v/>
      </c>
      <c r="I2304" s="60">
        <f>IF(AND(tblFleet[[#This Row],[Units]]&lt;&gt;"",tblFleet[[#This Row],[Calendar_h]]&gt;0),tblFleet[[#This Row],[Available_h]]/tblFleet[[#This Row],[Calendar_h]],"")</f>
        <v/>
      </c>
      <c r="J2304" s="60">
        <f>IF(AND(tblFleet[[#This Row],[Units]]&lt;&gt;"",tblFleet[[#This Row],[Available_h]]&gt;0),tblFleet[[#This Row],[Operating_h]]/tblFleet[[#This Row],[Available_h]],"")</f>
        <v/>
      </c>
    </row>
    <row r="2305">
      <c r="A2305" s="54" t="n"/>
      <c r="B2305" s="61" t="n"/>
      <c r="C2305" s="62" t="n"/>
      <c r="D2305" s="57" t="n"/>
      <c r="E2305" s="57" t="n"/>
      <c r="F2305" s="58" t="n"/>
      <c r="G2305" s="66">
        <f>IF(tblFleet[[#This Row],[Units]]="","",tblFleet[[#This Row],[Units]]*cfg_HoursPerDay)</f>
        <v/>
      </c>
      <c r="H2305" s="66">
        <f>IF(tblFleet[[#This Row],[Units]]="","",tblFleet[[#This Row],[Calendar_h]]-tblFleet[[#This Row],[Down_h]])</f>
        <v/>
      </c>
      <c r="I2305" s="60">
        <f>IF(AND(tblFleet[[#This Row],[Units]]&lt;&gt;"",tblFleet[[#This Row],[Calendar_h]]&gt;0),tblFleet[[#This Row],[Available_h]]/tblFleet[[#This Row],[Calendar_h]],"")</f>
        <v/>
      </c>
      <c r="J2305" s="60">
        <f>IF(AND(tblFleet[[#This Row],[Units]]&lt;&gt;"",tblFleet[[#This Row],[Available_h]]&gt;0),tblFleet[[#This Row],[Operating_h]]/tblFleet[[#This Row],[Available_h]],"")</f>
        <v/>
      </c>
    </row>
    <row r="2306">
      <c r="A2306" s="54" t="n"/>
      <c r="B2306" s="61" t="n"/>
      <c r="C2306" s="62" t="n"/>
      <c r="D2306" s="57" t="n"/>
      <c r="E2306" s="57" t="n"/>
      <c r="F2306" s="58" t="n"/>
      <c r="G2306" s="66">
        <f>IF(tblFleet[[#This Row],[Units]]="","",tblFleet[[#This Row],[Units]]*cfg_HoursPerDay)</f>
        <v/>
      </c>
      <c r="H2306" s="66">
        <f>IF(tblFleet[[#This Row],[Units]]="","",tblFleet[[#This Row],[Calendar_h]]-tblFleet[[#This Row],[Down_h]])</f>
        <v/>
      </c>
      <c r="I2306" s="60">
        <f>IF(AND(tblFleet[[#This Row],[Units]]&lt;&gt;"",tblFleet[[#This Row],[Calendar_h]]&gt;0),tblFleet[[#This Row],[Available_h]]/tblFleet[[#This Row],[Calendar_h]],"")</f>
        <v/>
      </c>
      <c r="J2306" s="60">
        <f>IF(AND(tblFleet[[#This Row],[Units]]&lt;&gt;"",tblFleet[[#This Row],[Available_h]]&gt;0),tblFleet[[#This Row],[Operating_h]]/tblFleet[[#This Row],[Available_h]],"")</f>
        <v/>
      </c>
    </row>
    <row r="2307">
      <c r="A2307" s="54" t="n"/>
      <c r="B2307" s="61" t="n"/>
      <c r="C2307" s="62" t="n"/>
      <c r="D2307" s="57" t="n"/>
      <c r="E2307" s="57" t="n"/>
      <c r="F2307" s="58" t="n"/>
      <c r="G2307" s="66">
        <f>IF(tblFleet[[#This Row],[Units]]="","",tblFleet[[#This Row],[Units]]*cfg_HoursPerDay)</f>
        <v/>
      </c>
      <c r="H2307" s="66">
        <f>IF(tblFleet[[#This Row],[Units]]="","",tblFleet[[#This Row],[Calendar_h]]-tblFleet[[#This Row],[Down_h]])</f>
        <v/>
      </c>
      <c r="I2307" s="60">
        <f>IF(AND(tblFleet[[#This Row],[Units]]&lt;&gt;"",tblFleet[[#This Row],[Calendar_h]]&gt;0),tblFleet[[#This Row],[Available_h]]/tblFleet[[#This Row],[Calendar_h]],"")</f>
        <v/>
      </c>
      <c r="J2307" s="60">
        <f>IF(AND(tblFleet[[#This Row],[Units]]&lt;&gt;"",tblFleet[[#This Row],[Available_h]]&gt;0),tblFleet[[#This Row],[Operating_h]]/tblFleet[[#This Row],[Available_h]],"")</f>
        <v/>
      </c>
    </row>
    <row r="2308">
      <c r="A2308" s="54" t="n"/>
      <c r="B2308" s="61" t="n"/>
      <c r="C2308" s="62" t="n"/>
      <c r="D2308" s="57" t="n"/>
      <c r="E2308" s="57" t="n"/>
      <c r="F2308" s="58" t="n"/>
      <c r="G2308" s="66">
        <f>IF(tblFleet[[#This Row],[Units]]="","",tblFleet[[#This Row],[Units]]*cfg_HoursPerDay)</f>
        <v/>
      </c>
      <c r="H2308" s="66">
        <f>IF(tblFleet[[#This Row],[Units]]="","",tblFleet[[#This Row],[Calendar_h]]-tblFleet[[#This Row],[Down_h]])</f>
        <v/>
      </c>
      <c r="I2308" s="60">
        <f>IF(AND(tblFleet[[#This Row],[Units]]&lt;&gt;"",tblFleet[[#This Row],[Calendar_h]]&gt;0),tblFleet[[#This Row],[Available_h]]/tblFleet[[#This Row],[Calendar_h]],"")</f>
        <v/>
      </c>
      <c r="J2308" s="60">
        <f>IF(AND(tblFleet[[#This Row],[Units]]&lt;&gt;"",tblFleet[[#This Row],[Available_h]]&gt;0),tblFleet[[#This Row],[Operating_h]]/tblFleet[[#This Row],[Available_h]],"")</f>
        <v/>
      </c>
    </row>
    <row r="2309">
      <c r="A2309" s="54" t="n"/>
      <c r="B2309" s="61" t="n"/>
      <c r="C2309" s="62" t="n"/>
      <c r="D2309" s="57" t="n"/>
      <c r="E2309" s="57" t="n"/>
      <c r="F2309" s="58" t="n"/>
      <c r="G2309" s="66">
        <f>IF(tblFleet[[#This Row],[Units]]="","",tblFleet[[#This Row],[Units]]*cfg_HoursPerDay)</f>
        <v/>
      </c>
      <c r="H2309" s="66">
        <f>IF(tblFleet[[#This Row],[Units]]="","",tblFleet[[#This Row],[Calendar_h]]-tblFleet[[#This Row],[Down_h]])</f>
        <v/>
      </c>
      <c r="I2309" s="60">
        <f>IF(AND(tblFleet[[#This Row],[Units]]&lt;&gt;"",tblFleet[[#This Row],[Calendar_h]]&gt;0),tblFleet[[#This Row],[Available_h]]/tblFleet[[#This Row],[Calendar_h]],"")</f>
        <v/>
      </c>
      <c r="J2309" s="60">
        <f>IF(AND(tblFleet[[#This Row],[Units]]&lt;&gt;"",tblFleet[[#This Row],[Available_h]]&gt;0),tblFleet[[#This Row],[Operating_h]]/tblFleet[[#This Row],[Available_h]],"")</f>
        <v/>
      </c>
    </row>
    <row r="2310">
      <c r="A2310" s="54" t="n"/>
      <c r="B2310" s="61" t="n"/>
      <c r="C2310" s="62" t="n"/>
      <c r="D2310" s="57" t="n"/>
      <c r="E2310" s="57" t="n"/>
      <c r="F2310" s="58" t="n"/>
      <c r="G2310" s="66">
        <f>IF(tblFleet[[#This Row],[Units]]="","",tblFleet[[#This Row],[Units]]*cfg_HoursPerDay)</f>
        <v/>
      </c>
      <c r="H2310" s="66">
        <f>IF(tblFleet[[#This Row],[Units]]="","",tblFleet[[#This Row],[Calendar_h]]-tblFleet[[#This Row],[Down_h]])</f>
        <v/>
      </c>
      <c r="I2310" s="60">
        <f>IF(AND(tblFleet[[#This Row],[Units]]&lt;&gt;"",tblFleet[[#This Row],[Calendar_h]]&gt;0),tblFleet[[#This Row],[Available_h]]/tblFleet[[#This Row],[Calendar_h]],"")</f>
        <v/>
      </c>
      <c r="J2310" s="60">
        <f>IF(AND(tblFleet[[#This Row],[Units]]&lt;&gt;"",tblFleet[[#This Row],[Available_h]]&gt;0),tblFleet[[#This Row],[Operating_h]]/tblFleet[[#This Row],[Available_h]],"")</f>
        <v/>
      </c>
    </row>
    <row r="2311">
      <c r="A2311" s="54" t="n"/>
      <c r="B2311" s="61" t="n"/>
      <c r="C2311" s="62" t="n"/>
      <c r="D2311" s="57" t="n"/>
      <c r="E2311" s="57" t="n"/>
      <c r="F2311" s="58" t="n"/>
      <c r="G2311" s="66">
        <f>IF(tblFleet[[#This Row],[Units]]="","",tblFleet[[#This Row],[Units]]*cfg_HoursPerDay)</f>
        <v/>
      </c>
      <c r="H2311" s="66">
        <f>IF(tblFleet[[#This Row],[Units]]="","",tblFleet[[#This Row],[Calendar_h]]-tblFleet[[#This Row],[Down_h]])</f>
        <v/>
      </c>
      <c r="I2311" s="60">
        <f>IF(AND(tblFleet[[#This Row],[Units]]&lt;&gt;"",tblFleet[[#This Row],[Calendar_h]]&gt;0),tblFleet[[#This Row],[Available_h]]/tblFleet[[#This Row],[Calendar_h]],"")</f>
        <v/>
      </c>
      <c r="J2311" s="60">
        <f>IF(AND(tblFleet[[#This Row],[Units]]&lt;&gt;"",tblFleet[[#This Row],[Available_h]]&gt;0),tblFleet[[#This Row],[Operating_h]]/tblFleet[[#This Row],[Available_h]],"")</f>
        <v/>
      </c>
    </row>
    <row r="2312">
      <c r="A2312" s="54" t="n"/>
      <c r="B2312" s="61" t="n"/>
      <c r="C2312" s="62" t="n"/>
      <c r="D2312" s="57" t="n"/>
      <c r="E2312" s="57" t="n"/>
      <c r="F2312" s="58" t="n"/>
      <c r="G2312" s="66">
        <f>IF(tblFleet[[#This Row],[Units]]="","",tblFleet[[#This Row],[Units]]*cfg_HoursPerDay)</f>
        <v/>
      </c>
      <c r="H2312" s="66">
        <f>IF(tblFleet[[#This Row],[Units]]="","",tblFleet[[#This Row],[Calendar_h]]-tblFleet[[#This Row],[Down_h]])</f>
        <v/>
      </c>
      <c r="I2312" s="60">
        <f>IF(AND(tblFleet[[#This Row],[Units]]&lt;&gt;"",tblFleet[[#This Row],[Calendar_h]]&gt;0),tblFleet[[#This Row],[Available_h]]/tblFleet[[#This Row],[Calendar_h]],"")</f>
        <v/>
      </c>
      <c r="J2312" s="60">
        <f>IF(AND(tblFleet[[#This Row],[Units]]&lt;&gt;"",tblFleet[[#This Row],[Available_h]]&gt;0),tblFleet[[#This Row],[Operating_h]]/tblFleet[[#This Row],[Available_h]],"")</f>
        <v/>
      </c>
    </row>
    <row r="2313">
      <c r="A2313" s="54" t="n"/>
      <c r="B2313" s="61" t="n"/>
      <c r="C2313" s="62" t="n"/>
      <c r="D2313" s="57" t="n"/>
      <c r="E2313" s="57" t="n"/>
      <c r="F2313" s="58" t="n"/>
      <c r="G2313" s="66">
        <f>IF(tblFleet[[#This Row],[Units]]="","",tblFleet[[#This Row],[Units]]*cfg_HoursPerDay)</f>
        <v/>
      </c>
      <c r="H2313" s="66">
        <f>IF(tblFleet[[#This Row],[Units]]="","",tblFleet[[#This Row],[Calendar_h]]-tblFleet[[#This Row],[Down_h]])</f>
        <v/>
      </c>
      <c r="I2313" s="60">
        <f>IF(AND(tblFleet[[#This Row],[Units]]&lt;&gt;"",tblFleet[[#This Row],[Calendar_h]]&gt;0),tblFleet[[#This Row],[Available_h]]/tblFleet[[#This Row],[Calendar_h]],"")</f>
        <v/>
      </c>
      <c r="J2313" s="60">
        <f>IF(AND(tblFleet[[#This Row],[Units]]&lt;&gt;"",tblFleet[[#This Row],[Available_h]]&gt;0),tblFleet[[#This Row],[Operating_h]]/tblFleet[[#This Row],[Available_h]],"")</f>
        <v/>
      </c>
    </row>
    <row r="2314">
      <c r="A2314" s="54" t="n"/>
      <c r="B2314" s="61" t="n"/>
      <c r="C2314" s="62" t="n"/>
      <c r="D2314" s="57" t="n"/>
      <c r="E2314" s="57" t="n"/>
      <c r="F2314" s="58" t="n"/>
      <c r="G2314" s="66">
        <f>IF(tblFleet[[#This Row],[Units]]="","",tblFleet[[#This Row],[Units]]*cfg_HoursPerDay)</f>
        <v/>
      </c>
      <c r="H2314" s="66">
        <f>IF(tblFleet[[#This Row],[Units]]="","",tblFleet[[#This Row],[Calendar_h]]-tblFleet[[#This Row],[Down_h]])</f>
        <v/>
      </c>
      <c r="I2314" s="60">
        <f>IF(AND(tblFleet[[#This Row],[Units]]&lt;&gt;"",tblFleet[[#This Row],[Calendar_h]]&gt;0),tblFleet[[#This Row],[Available_h]]/tblFleet[[#This Row],[Calendar_h]],"")</f>
        <v/>
      </c>
      <c r="J2314" s="60">
        <f>IF(AND(tblFleet[[#This Row],[Units]]&lt;&gt;"",tblFleet[[#This Row],[Available_h]]&gt;0),tblFleet[[#This Row],[Operating_h]]/tblFleet[[#This Row],[Available_h]],"")</f>
        <v/>
      </c>
    </row>
    <row r="2315">
      <c r="A2315" s="54" t="n"/>
      <c r="B2315" s="61" t="n"/>
      <c r="C2315" s="62" t="n"/>
      <c r="D2315" s="57" t="n"/>
      <c r="E2315" s="57" t="n"/>
      <c r="F2315" s="58" t="n"/>
      <c r="G2315" s="66">
        <f>IF(tblFleet[[#This Row],[Units]]="","",tblFleet[[#This Row],[Units]]*cfg_HoursPerDay)</f>
        <v/>
      </c>
      <c r="H2315" s="66">
        <f>IF(tblFleet[[#This Row],[Units]]="","",tblFleet[[#This Row],[Calendar_h]]-tblFleet[[#This Row],[Down_h]])</f>
        <v/>
      </c>
      <c r="I2315" s="60">
        <f>IF(AND(tblFleet[[#This Row],[Units]]&lt;&gt;"",tblFleet[[#This Row],[Calendar_h]]&gt;0),tblFleet[[#This Row],[Available_h]]/tblFleet[[#This Row],[Calendar_h]],"")</f>
        <v/>
      </c>
      <c r="J2315" s="60">
        <f>IF(AND(tblFleet[[#This Row],[Units]]&lt;&gt;"",tblFleet[[#This Row],[Available_h]]&gt;0),tblFleet[[#This Row],[Operating_h]]/tblFleet[[#This Row],[Available_h]],"")</f>
        <v/>
      </c>
    </row>
    <row r="2316">
      <c r="A2316" s="54" t="n"/>
      <c r="B2316" s="61" t="n"/>
      <c r="C2316" s="62" t="n"/>
      <c r="D2316" s="57" t="n"/>
      <c r="E2316" s="57" t="n"/>
      <c r="F2316" s="58" t="n"/>
      <c r="G2316" s="66">
        <f>IF(tblFleet[[#This Row],[Units]]="","",tblFleet[[#This Row],[Units]]*cfg_HoursPerDay)</f>
        <v/>
      </c>
      <c r="H2316" s="66">
        <f>IF(tblFleet[[#This Row],[Units]]="","",tblFleet[[#This Row],[Calendar_h]]-tblFleet[[#This Row],[Down_h]])</f>
        <v/>
      </c>
      <c r="I2316" s="60">
        <f>IF(AND(tblFleet[[#This Row],[Units]]&lt;&gt;"",tblFleet[[#This Row],[Calendar_h]]&gt;0),tblFleet[[#This Row],[Available_h]]/tblFleet[[#This Row],[Calendar_h]],"")</f>
        <v/>
      </c>
      <c r="J2316" s="60">
        <f>IF(AND(tblFleet[[#This Row],[Units]]&lt;&gt;"",tblFleet[[#This Row],[Available_h]]&gt;0),tblFleet[[#This Row],[Operating_h]]/tblFleet[[#This Row],[Available_h]],"")</f>
        <v/>
      </c>
    </row>
    <row r="2317">
      <c r="A2317" s="54" t="n"/>
      <c r="B2317" s="61" t="n"/>
      <c r="C2317" s="62" t="n"/>
      <c r="D2317" s="57" t="n"/>
      <c r="E2317" s="57" t="n"/>
      <c r="F2317" s="58" t="n"/>
      <c r="G2317" s="66">
        <f>IF(tblFleet[[#This Row],[Units]]="","",tblFleet[[#This Row],[Units]]*cfg_HoursPerDay)</f>
        <v/>
      </c>
      <c r="H2317" s="66">
        <f>IF(tblFleet[[#This Row],[Units]]="","",tblFleet[[#This Row],[Calendar_h]]-tblFleet[[#This Row],[Down_h]])</f>
        <v/>
      </c>
      <c r="I2317" s="60">
        <f>IF(AND(tblFleet[[#This Row],[Units]]&lt;&gt;"",tblFleet[[#This Row],[Calendar_h]]&gt;0),tblFleet[[#This Row],[Available_h]]/tblFleet[[#This Row],[Calendar_h]],"")</f>
        <v/>
      </c>
      <c r="J2317" s="60">
        <f>IF(AND(tblFleet[[#This Row],[Units]]&lt;&gt;"",tblFleet[[#This Row],[Available_h]]&gt;0),tblFleet[[#This Row],[Operating_h]]/tblFleet[[#This Row],[Available_h]],"")</f>
        <v/>
      </c>
    </row>
    <row r="2318">
      <c r="A2318" s="54" t="n"/>
      <c r="B2318" s="61" t="n"/>
      <c r="C2318" s="62" t="n"/>
      <c r="D2318" s="57" t="n"/>
      <c r="E2318" s="57" t="n"/>
      <c r="F2318" s="58" t="n"/>
      <c r="G2318" s="66">
        <f>IF(tblFleet[[#This Row],[Units]]="","",tblFleet[[#This Row],[Units]]*cfg_HoursPerDay)</f>
        <v/>
      </c>
      <c r="H2318" s="66">
        <f>IF(tblFleet[[#This Row],[Units]]="","",tblFleet[[#This Row],[Calendar_h]]-tblFleet[[#This Row],[Down_h]])</f>
        <v/>
      </c>
      <c r="I2318" s="60">
        <f>IF(AND(tblFleet[[#This Row],[Units]]&lt;&gt;"",tblFleet[[#This Row],[Calendar_h]]&gt;0),tblFleet[[#This Row],[Available_h]]/tblFleet[[#This Row],[Calendar_h]],"")</f>
        <v/>
      </c>
      <c r="J2318" s="60">
        <f>IF(AND(tblFleet[[#This Row],[Units]]&lt;&gt;"",tblFleet[[#This Row],[Available_h]]&gt;0),tblFleet[[#This Row],[Operating_h]]/tblFleet[[#This Row],[Available_h]],"")</f>
        <v/>
      </c>
    </row>
    <row r="2319">
      <c r="A2319" s="54" t="n"/>
      <c r="B2319" s="61" t="n"/>
      <c r="C2319" s="62" t="n"/>
      <c r="D2319" s="57" t="n"/>
      <c r="E2319" s="57" t="n"/>
      <c r="F2319" s="58" t="n"/>
      <c r="G2319" s="66">
        <f>IF(tblFleet[[#This Row],[Units]]="","",tblFleet[[#This Row],[Units]]*cfg_HoursPerDay)</f>
        <v/>
      </c>
      <c r="H2319" s="66">
        <f>IF(tblFleet[[#This Row],[Units]]="","",tblFleet[[#This Row],[Calendar_h]]-tblFleet[[#This Row],[Down_h]])</f>
        <v/>
      </c>
      <c r="I2319" s="60">
        <f>IF(AND(tblFleet[[#This Row],[Units]]&lt;&gt;"",tblFleet[[#This Row],[Calendar_h]]&gt;0),tblFleet[[#This Row],[Available_h]]/tblFleet[[#This Row],[Calendar_h]],"")</f>
        <v/>
      </c>
      <c r="J2319" s="60">
        <f>IF(AND(tblFleet[[#This Row],[Units]]&lt;&gt;"",tblFleet[[#This Row],[Available_h]]&gt;0),tblFleet[[#This Row],[Operating_h]]/tblFleet[[#This Row],[Available_h]],"")</f>
        <v/>
      </c>
    </row>
    <row r="2320">
      <c r="A2320" s="54" t="n"/>
      <c r="B2320" s="61" t="n"/>
      <c r="C2320" s="62" t="n"/>
      <c r="D2320" s="57" t="n"/>
      <c r="E2320" s="57" t="n"/>
      <c r="F2320" s="58" t="n"/>
      <c r="G2320" s="66">
        <f>IF(tblFleet[[#This Row],[Units]]="","",tblFleet[[#This Row],[Units]]*cfg_HoursPerDay)</f>
        <v/>
      </c>
      <c r="H2320" s="66">
        <f>IF(tblFleet[[#This Row],[Units]]="","",tblFleet[[#This Row],[Calendar_h]]-tblFleet[[#This Row],[Down_h]])</f>
        <v/>
      </c>
      <c r="I2320" s="60">
        <f>IF(AND(tblFleet[[#This Row],[Units]]&lt;&gt;"",tblFleet[[#This Row],[Calendar_h]]&gt;0),tblFleet[[#This Row],[Available_h]]/tblFleet[[#This Row],[Calendar_h]],"")</f>
        <v/>
      </c>
      <c r="J2320" s="60">
        <f>IF(AND(tblFleet[[#This Row],[Units]]&lt;&gt;"",tblFleet[[#This Row],[Available_h]]&gt;0),tblFleet[[#This Row],[Operating_h]]/tblFleet[[#This Row],[Available_h]],"")</f>
        <v/>
      </c>
    </row>
    <row r="2321">
      <c r="A2321" s="54" t="n"/>
      <c r="B2321" s="61" t="n"/>
      <c r="C2321" s="62" t="n"/>
      <c r="D2321" s="57" t="n"/>
      <c r="E2321" s="57" t="n"/>
      <c r="F2321" s="58" t="n"/>
      <c r="G2321" s="66">
        <f>IF(tblFleet[[#This Row],[Units]]="","",tblFleet[[#This Row],[Units]]*cfg_HoursPerDay)</f>
        <v/>
      </c>
      <c r="H2321" s="66">
        <f>IF(tblFleet[[#This Row],[Units]]="","",tblFleet[[#This Row],[Calendar_h]]-tblFleet[[#This Row],[Down_h]])</f>
        <v/>
      </c>
      <c r="I2321" s="60">
        <f>IF(AND(tblFleet[[#This Row],[Units]]&lt;&gt;"",tblFleet[[#This Row],[Calendar_h]]&gt;0),tblFleet[[#This Row],[Available_h]]/tblFleet[[#This Row],[Calendar_h]],"")</f>
        <v/>
      </c>
      <c r="J2321" s="60">
        <f>IF(AND(tblFleet[[#This Row],[Units]]&lt;&gt;"",tblFleet[[#This Row],[Available_h]]&gt;0),tblFleet[[#This Row],[Operating_h]]/tblFleet[[#This Row],[Available_h]],"")</f>
        <v/>
      </c>
    </row>
    <row r="2322">
      <c r="A2322" s="54" t="n"/>
      <c r="B2322" s="61" t="n"/>
      <c r="C2322" s="62" t="n"/>
      <c r="D2322" s="57" t="n"/>
      <c r="E2322" s="57" t="n"/>
      <c r="F2322" s="58" t="n"/>
      <c r="G2322" s="66">
        <f>IF(tblFleet[[#This Row],[Units]]="","",tblFleet[[#This Row],[Units]]*cfg_HoursPerDay)</f>
        <v/>
      </c>
      <c r="H2322" s="66">
        <f>IF(tblFleet[[#This Row],[Units]]="","",tblFleet[[#This Row],[Calendar_h]]-tblFleet[[#This Row],[Down_h]])</f>
        <v/>
      </c>
      <c r="I2322" s="60">
        <f>IF(AND(tblFleet[[#This Row],[Units]]&lt;&gt;"",tblFleet[[#This Row],[Calendar_h]]&gt;0),tblFleet[[#This Row],[Available_h]]/tblFleet[[#This Row],[Calendar_h]],"")</f>
        <v/>
      </c>
      <c r="J2322" s="60">
        <f>IF(AND(tblFleet[[#This Row],[Units]]&lt;&gt;"",tblFleet[[#This Row],[Available_h]]&gt;0),tblFleet[[#This Row],[Operating_h]]/tblFleet[[#This Row],[Available_h]],"")</f>
        <v/>
      </c>
    </row>
    <row r="2323">
      <c r="A2323" s="54" t="n"/>
      <c r="B2323" s="61" t="n"/>
      <c r="C2323" s="62" t="n"/>
      <c r="D2323" s="57" t="n"/>
      <c r="E2323" s="57" t="n"/>
      <c r="F2323" s="58" t="n"/>
      <c r="G2323" s="66">
        <f>IF(tblFleet[[#This Row],[Units]]="","",tblFleet[[#This Row],[Units]]*cfg_HoursPerDay)</f>
        <v/>
      </c>
      <c r="H2323" s="66">
        <f>IF(tblFleet[[#This Row],[Units]]="","",tblFleet[[#This Row],[Calendar_h]]-tblFleet[[#This Row],[Down_h]])</f>
        <v/>
      </c>
      <c r="I2323" s="60">
        <f>IF(AND(tblFleet[[#This Row],[Units]]&lt;&gt;"",tblFleet[[#This Row],[Calendar_h]]&gt;0),tblFleet[[#This Row],[Available_h]]/tblFleet[[#This Row],[Calendar_h]],"")</f>
        <v/>
      </c>
      <c r="J2323" s="60">
        <f>IF(AND(tblFleet[[#This Row],[Units]]&lt;&gt;"",tblFleet[[#This Row],[Available_h]]&gt;0),tblFleet[[#This Row],[Operating_h]]/tblFleet[[#This Row],[Available_h]],"")</f>
        <v/>
      </c>
    </row>
    <row r="2324">
      <c r="A2324" s="54" t="n"/>
      <c r="B2324" s="61" t="n"/>
      <c r="C2324" s="62" t="n"/>
      <c r="D2324" s="57" t="n"/>
      <c r="E2324" s="57" t="n"/>
      <c r="F2324" s="58" t="n"/>
      <c r="G2324" s="66">
        <f>IF(tblFleet[[#This Row],[Units]]="","",tblFleet[[#This Row],[Units]]*cfg_HoursPerDay)</f>
        <v/>
      </c>
      <c r="H2324" s="66">
        <f>IF(tblFleet[[#This Row],[Units]]="","",tblFleet[[#This Row],[Calendar_h]]-tblFleet[[#This Row],[Down_h]])</f>
        <v/>
      </c>
      <c r="I2324" s="60">
        <f>IF(AND(tblFleet[[#This Row],[Units]]&lt;&gt;"",tblFleet[[#This Row],[Calendar_h]]&gt;0),tblFleet[[#This Row],[Available_h]]/tblFleet[[#This Row],[Calendar_h]],"")</f>
        <v/>
      </c>
      <c r="J2324" s="60">
        <f>IF(AND(tblFleet[[#This Row],[Units]]&lt;&gt;"",tblFleet[[#This Row],[Available_h]]&gt;0),tblFleet[[#This Row],[Operating_h]]/tblFleet[[#This Row],[Available_h]],"")</f>
        <v/>
      </c>
    </row>
    <row r="2325">
      <c r="A2325" s="54" t="n"/>
      <c r="B2325" s="61" t="n"/>
      <c r="C2325" s="62" t="n"/>
      <c r="D2325" s="57" t="n"/>
      <c r="E2325" s="57" t="n"/>
      <c r="F2325" s="58" t="n"/>
      <c r="G2325" s="66">
        <f>IF(tblFleet[[#This Row],[Units]]="","",tblFleet[[#This Row],[Units]]*cfg_HoursPerDay)</f>
        <v/>
      </c>
      <c r="H2325" s="66">
        <f>IF(tblFleet[[#This Row],[Units]]="","",tblFleet[[#This Row],[Calendar_h]]-tblFleet[[#This Row],[Down_h]])</f>
        <v/>
      </c>
      <c r="I2325" s="60">
        <f>IF(AND(tblFleet[[#This Row],[Units]]&lt;&gt;"",tblFleet[[#This Row],[Calendar_h]]&gt;0),tblFleet[[#This Row],[Available_h]]/tblFleet[[#This Row],[Calendar_h]],"")</f>
        <v/>
      </c>
      <c r="J2325" s="60">
        <f>IF(AND(tblFleet[[#This Row],[Units]]&lt;&gt;"",tblFleet[[#This Row],[Available_h]]&gt;0),tblFleet[[#This Row],[Operating_h]]/tblFleet[[#This Row],[Available_h]],"")</f>
        <v/>
      </c>
    </row>
    <row r="2326">
      <c r="A2326" s="54" t="n"/>
      <c r="B2326" s="61" t="n"/>
      <c r="C2326" s="62" t="n"/>
      <c r="D2326" s="57" t="n"/>
      <c r="E2326" s="57" t="n"/>
      <c r="F2326" s="58" t="n"/>
      <c r="G2326" s="66">
        <f>IF(tblFleet[[#This Row],[Units]]="","",tblFleet[[#This Row],[Units]]*cfg_HoursPerDay)</f>
        <v/>
      </c>
      <c r="H2326" s="66">
        <f>IF(tblFleet[[#This Row],[Units]]="","",tblFleet[[#This Row],[Calendar_h]]-tblFleet[[#This Row],[Down_h]])</f>
        <v/>
      </c>
      <c r="I2326" s="60">
        <f>IF(AND(tblFleet[[#This Row],[Units]]&lt;&gt;"",tblFleet[[#This Row],[Calendar_h]]&gt;0),tblFleet[[#This Row],[Available_h]]/tblFleet[[#This Row],[Calendar_h]],"")</f>
        <v/>
      </c>
      <c r="J2326" s="60">
        <f>IF(AND(tblFleet[[#This Row],[Units]]&lt;&gt;"",tblFleet[[#This Row],[Available_h]]&gt;0),tblFleet[[#This Row],[Operating_h]]/tblFleet[[#This Row],[Available_h]],"")</f>
        <v/>
      </c>
    </row>
    <row r="2327">
      <c r="A2327" s="54" t="n"/>
      <c r="B2327" s="61" t="n"/>
      <c r="C2327" s="62" t="n"/>
      <c r="D2327" s="57" t="n"/>
      <c r="E2327" s="57" t="n"/>
      <c r="F2327" s="58" t="n"/>
      <c r="G2327" s="66">
        <f>IF(tblFleet[[#This Row],[Units]]="","",tblFleet[[#This Row],[Units]]*cfg_HoursPerDay)</f>
        <v/>
      </c>
      <c r="H2327" s="66">
        <f>IF(tblFleet[[#This Row],[Units]]="","",tblFleet[[#This Row],[Calendar_h]]-tblFleet[[#This Row],[Down_h]])</f>
        <v/>
      </c>
      <c r="I2327" s="60">
        <f>IF(AND(tblFleet[[#This Row],[Units]]&lt;&gt;"",tblFleet[[#This Row],[Calendar_h]]&gt;0),tblFleet[[#This Row],[Available_h]]/tblFleet[[#This Row],[Calendar_h]],"")</f>
        <v/>
      </c>
      <c r="J2327" s="60">
        <f>IF(AND(tblFleet[[#This Row],[Units]]&lt;&gt;"",tblFleet[[#This Row],[Available_h]]&gt;0),tblFleet[[#This Row],[Operating_h]]/tblFleet[[#This Row],[Available_h]],"")</f>
        <v/>
      </c>
    </row>
    <row r="2328">
      <c r="A2328" s="54" t="n"/>
      <c r="B2328" s="61" t="n"/>
      <c r="C2328" s="62" t="n"/>
      <c r="D2328" s="57" t="n"/>
      <c r="E2328" s="57" t="n"/>
      <c r="F2328" s="58" t="n"/>
      <c r="G2328" s="66">
        <f>IF(tblFleet[[#This Row],[Units]]="","",tblFleet[[#This Row],[Units]]*cfg_HoursPerDay)</f>
        <v/>
      </c>
      <c r="H2328" s="66">
        <f>IF(tblFleet[[#This Row],[Units]]="","",tblFleet[[#This Row],[Calendar_h]]-tblFleet[[#This Row],[Down_h]])</f>
        <v/>
      </c>
      <c r="I2328" s="60">
        <f>IF(AND(tblFleet[[#This Row],[Units]]&lt;&gt;"",tblFleet[[#This Row],[Calendar_h]]&gt;0),tblFleet[[#This Row],[Available_h]]/tblFleet[[#This Row],[Calendar_h]],"")</f>
        <v/>
      </c>
      <c r="J2328" s="60">
        <f>IF(AND(tblFleet[[#This Row],[Units]]&lt;&gt;"",tblFleet[[#This Row],[Available_h]]&gt;0),tblFleet[[#This Row],[Operating_h]]/tblFleet[[#This Row],[Available_h]],"")</f>
        <v/>
      </c>
    </row>
    <row r="2329">
      <c r="A2329" s="54" t="n"/>
      <c r="B2329" s="61" t="n"/>
      <c r="C2329" s="62" t="n"/>
      <c r="D2329" s="57" t="n"/>
      <c r="E2329" s="57" t="n"/>
      <c r="F2329" s="58" t="n"/>
      <c r="G2329" s="66">
        <f>IF(tblFleet[[#This Row],[Units]]="","",tblFleet[[#This Row],[Units]]*cfg_HoursPerDay)</f>
        <v/>
      </c>
      <c r="H2329" s="66">
        <f>IF(tblFleet[[#This Row],[Units]]="","",tblFleet[[#This Row],[Calendar_h]]-tblFleet[[#This Row],[Down_h]])</f>
        <v/>
      </c>
      <c r="I2329" s="60">
        <f>IF(AND(tblFleet[[#This Row],[Units]]&lt;&gt;"",tblFleet[[#This Row],[Calendar_h]]&gt;0),tblFleet[[#This Row],[Available_h]]/tblFleet[[#This Row],[Calendar_h]],"")</f>
        <v/>
      </c>
      <c r="J2329" s="60">
        <f>IF(AND(tblFleet[[#This Row],[Units]]&lt;&gt;"",tblFleet[[#This Row],[Available_h]]&gt;0),tblFleet[[#This Row],[Operating_h]]/tblFleet[[#This Row],[Available_h]],"")</f>
        <v/>
      </c>
    </row>
    <row r="2330">
      <c r="A2330" s="54" t="n"/>
      <c r="B2330" s="61" t="n"/>
      <c r="C2330" s="62" t="n"/>
      <c r="D2330" s="57" t="n"/>
      <c r="E2330" s="57" t="n"/>
      <c r="F2330" s="58" t="n"/>
      <c r="G2330" s="66">
        <f>IF(tblFleet[[#This Row],[Units]]="","",tblFleet[[#This Row],[Units]]*cfg_HoursPerDay)</f>
        <v/>
      </c>
      <c r="H2330" s="66">
        <f>IF(tblFleet[[#This Row],[Units]]="","",tblFleet[[#This Row],[Calendar_h]]-tblFleet[[#This Row],[Down_h]])</f>
        <v/>
      </c>
      <c r="I2330" s="60">
        <f>IF(AND(tblFleet[[#This Row],[Units]]&lt;&gt;"",tblFleet[[#This Row],[Calendar_h]]&gt;0),tblFleet[[#This Row],[Available_h]]/tblFleet[[#This Row],[Calendar_h]],"")</f>
        <v/>
      </c>
      <c r="J2330" s="60">
        <f>IF(AND(tblFleet[[#This Row],[Units]]&lt;&gt;"",tblFleet[[#This Row],[Available_h]]&gt;0),tblFleet[[#This Row],[Operating_h]]/tblFleet[[#This Row],[Available_h]],"")</f>
        <v/>
      </c>
    </row>
    <row r="2331">
      <c r="A2331" s="54" t="n"/>
      <c r="B2331" s="61" t="n"/>
      <c r="C2331" s="62" t="n"/>
      <c r="D2331" s="57" t="n"/>
      <c r="E2331" s="57" t="n"/>
      <c r="F2331" s="58" t="n"/>
      <c r="G2331" s="66">
        <f>IF(tblFleet[[#This Row],[Units]]="","",tblFleet[[#This Row],[Units]]*cfg_HoursPerDay)</f>
        <v/>
      </c>
      <c r="H2331" s="66">
        <f>IF(tblFleet[[#This Row],[Units]]="","",tblFleet[[#This Row],[Calendar_h]]-tblFleet[[#This Row],[Down_h]])</f>
        <v/>
      </c>
      <c r="I2331" s="60">
        <f>IF(AND(tblFleet[[#This Row],[Units]]&lt;&gt;"",tblFleet[[#This Row],[Calendar_h]]&gt;0),tblFleet[[#This Row],[Available_h]]/tblFleet[[#This Row],[Calendar_h]],"")</f>
        <v/>
      </c>
      <c r="J2331" s="60">
        <f>IF(AND(tblFleet[[#This Row],[Units]]&lt;&gt;"",tblFleet[[#This Row],[Available_h]]&gt;0),tblFleet[[#This Row],[Operating_h]]/tblFleet[[#This Row],[Available_h]],"")</f>
        <v/>
      </c>
    </row>
    <row r="2332">
      <c r="A2332" s="54" t="n"/>
      <c r="B2332" s="61" t="n"/>
      <c r="C2332" s="62" t="n"/>
      <c r="D2332" s="57" t="n"/>
      <c r="E2332" s="57" t="n"/>
      <c r="F2332" s="58" t="n"/>
      <c r="G2332" s="66">
        <f>IF(tblFleet[[#This Row],[Units]]="","",tblFleet[[#This Row],[Units]]*cfg_HoursPerDay)</f>
        <v/>
      </c>
      <c r="H2332" s="66">
        <f>IF(tblFleet[[#This Row],[Units]]="","",tblFleet[[#This Row],[Calendar_h]]-tblFleet[[#This Row],[Down_h]])</f>
        <v/>
      </c>
      <c r="I2332" s="60">
        <f>IF(AND(tblFleet[[#This Row],[Units]]&lt;&gt;"",tblFleet[[#This Row],[Calendar_h]]&gt;0),tblFleet[[#This Row],[Available_h]]/tblFleet[[#This Row],[Calendar_h]],"")</f>
        <v/>
      </c>
      <c r="J2332" s="60">
        <f>IF(AND(tblFleet[[#This Row],[Units]]&lt;&gt;"",tblFleet[[#This Row],[Available_h]]&gt;0),tblFleet[[#This Row],[Operating_h]]/tblFleet[[#This Row],[Available_h]],"")</f>
        <v/>
      </c>
    </row>
    <row r="2333">
      <c r="A2333" s="54" t="n"/>
      <c r="B2333" s="61" t="n"/>
      <c r="C2333" s="62" t="n"/>
      <c r="D2333" s="57" t="n"/>
      <c r="E2333" s="57" t="n"/>
      <c r="F2333" s="58" t="n"/>
      <c r="G2333" s="66">
        <f>IF(tblFleet[[#This Row],[Units]]="","",tblFleet[[#This Row],[Units]]*cfg_HoursPerDay)</f>
        <v/>
      </c>
      <c r="H2333" s="66">
        <f>IF(tblFleet[[#This Row],[Units]]="","",tblFleet[[#This Row],[Calendar_h]]-tblFleet[[#This Row],[Down_h]])</f>
        <v/>
      </c>
      <c r="I2333" s="60">
        <f>IF(AND(tblFleet[[#This Row],[Units]]&lt;&gt;"",tblFleet[[#This Row],[Calendar_h]]&gt;0),tblFleet[[#This Row],[Available_h]]/tblFleet[[#This Row],[Calendar_h]],"")</f>
        <v/>
      </c>
      <c r="J2333" s="60">
        <f>IF(AND(tblFleet[[#This Row],[Units]]&lt;&gt;"",tblFleet[[#This Row],[Available_h]]&gt;0),tblFleet[[#This Row],[Operating_h]]/tblFleet[[#This Row],[Available_h]],"")</f>
        <v/>
      </c>
    </row>
    <row r="2334">
      <c r="A2334" s="54" t="n"/>
      <c r="B2334" s="61" t="n"/>
      <c r="C2334" s="62" t="n"/>
      <c r="D2334" s="57" t="n"/>
      <c r="E2334" s="57" t="n"/>
      <c r="F2334" s="58" t="n"/>
      <c r="G2334" s="66">
        <f>IF(tblFleet[[#This Row],[Units]]="","",tblFleet[[#This Row],[Units]]*cfg_HoursPerDay)</f>
        <v/>
      </c>
      <c r="H2334" s="66">
        <f>IF(tblFleet[[#This Row],[Units]]="","",tblFleet[[#This Row],[Calendar_h]]-tblFleet[[#This Row],[Down_h]])</f>
        <v/>
      </c>
      <c r="I2334" s="60">
        <f>IF(AND(tblFleet[[#This Row],[Units]]&lt;&gt;"",tblFleet[[#This Row],[Calendar_h]]&gt;0),tblFleet[[#This Row],[Available_h]]/tblFleet[[#This Row],[Calendar_h]],"")</f>
        <v/>
      </c>
      <c r="J2334" s="60">
        <f>IF(AND(tblFleet[[#This Row],[Units]]&lt;&gt;"",tblFleet[[#This Row],[Available_h]]&gt;0),tblFleet[[#This Row],[Operating_h]]/tblFleet[[#This Row],[Available_h]],"")</f>
        <v/>
      </c>
    </row>
    <row r="2335">
      <c r="A2335" s="54" t="n"/>
      <c r="B2335" s="61" t="n"/>
      <c r="C2335" s="62" t="n"/>
      <c r="D2335" s="57" t="n"/>
      <c r="E2335" s="57" t="n"/>
      <c r="F2335" s="58" t="n"/>
      <c r="G2335" s="66">
        <f>IF(tblFleet[[#This Row],[Units]]="","",tblFleet[[#This Row],[Units]]*cfg_HoursPerDay)</f>
        <v/>
      </c>
      <c r="H2335" s="66">
        <f>IF(tblFleet[[#This Row],[Units]]="","",tblFleet[[#This Row],[Calendar_h]]-tblFleet[[#This Row],[Down_h]])</f>
        <v/>
      </c>
      <c r="I2335" s="60">
        <f>IF(AND(tblFleet[[#This Row],[Units]]&lt;&gt;"",tblFleet[[#This Row],[Calendar_h]]&gt;0),tblFleet[[#This Row],[Available_h]]/tblFleet[[#This Row],[Calendar_h]],"")</f>
        <v/>
      </c>
      <c r="J2335" s="60">
        <f>IF(AND(tblFleet[[#This Row],[Units]]&lt;&gt;"",tblFleet[[#This Row],[Available_h]]&gt;0),tblFleet[[#This Row],[Operating_h]]/tblFleet[[#This Row],[Available_h]],"")</f>
        <v/>
      </c>
    </row>
    <row r="2336">
      <c r="A2336" s="54" t="n"/>
      <c r="B2336" s="61" t="n"/>
      <c r="C2336" s="62" t="n"/>
      <c r="D2336" s="57" t="n"/>
      <c r="E2336" s="57" t="n"/>
      <c r="F2336" s="58" t="n"/>
      <c r="G2336" s="66">
        <f>IF(tblFleet[[#This Row],[Units]]="","",tblFleet[[#This Row],[Units]]*cfg_HoursPerDay)</f>
        <v/>
      </c>
      <c r="H2336" s="66">
        <f>IF(tblFleet[[#This Row],[Units]]="","",tblFleet[[#This Row],[Calendar_h]]-tblFleet[[#This Row],[Down_h]])</f>
        <v/>
      </c>
      <c r="I2336" s="60">
        <f>IF(AND(tblFleet[[#This Row],[Units]]&lt;&gt;"",tblFleet[[#This Row],[Calendar_h]]&gt;0),tblFleet[[#This Row],[Available_h]]/tblFleet[[#This Row],[Calendar_h]],"")</f>
        <v/>
      </c>
      <c r="J2336" s="60">
        <f>IF(AND(tblFleet[[#This Row],[Units]]&lt;&gt;"",tblFleet[[#This Row],[Available_h]]&gt;0),tblFleet[[#This Row],[Operating_h]]/tblFleet[[#This Row],[Available_h]],"")</f>
        <v/>
      </c>
    </row>
    <row r="2337">
      <c r="A2337" s="54" t="n"/>
      <c r="B2337" s="61" t="n"/>
      <c r="C2337" s="62" t="n"/>
      <c r="D2337" s="57" t="n"/>
      <c r="E2337" s="57" t="n"/>
      <c r="F2337" s="58" t="n"/>
      <c r="G2337" s="66">
        <f>IF(tblFleet[[#This Row],[Units]]="","",tblFleet[[#This Row],[Units]]*cfg_HoursPerDay)</f>
        <v/>
      </c>
      <c r="H2337" s="66">
        <f>IF(tblFleet[[#This Row],[Units]]="","",tblFleet[[#This Row],[Calendar_h]]-tblFleet[[#This Row],[Down_h]])</f>
        <v/>
      </c>
      <c r="I2337" s="60">
        <f>IF(AND(tblFleet[[#This Row],[Units]]&lt;&gt;"",tblFleet[[#This Row],[Calendar_h]]&gt;0),tblFleet[[#This Row],[Available_h]]/tblFleet[[#This Row],[Calendar_h]],"")</f>
        <v/>
      </c>
      <c r="J2337" s="60">
        <f>IF(AND(tblFleet[[#This Row],[Units]]&lt;&gt;"",tblFleet[[#This Row],[Available_h]]&gt;0),tblFleet[[#This Row],[Operating_h]]/tblFleet[[#This Row],[Available_h]],"")</f>
        <v/>
      </c>
    </row>
    <row r="2338">
      <c r="A2338" s="54" t="n"/>
      <c r="B2338" s="61" t="n"/>
      <c r="C2338" s="62" t="n"/>
      <c r="D2338" s="57" t="n"/>
      <c r="E2338" s="57" t="n"/>
      <c r="F2338" s="58" t="n"/>
      <c r="G2338" s="66">
        <f>IF(tblFleet[[#This Row],[Units]]="","",tblFleet[[#This Row],[Units]]*cfg_HoursPerDay)</f>
        <v/>
      </c>
      <c r="H2338" s="66">
        <f>IF(tblFleet[[#This Row],[Units]]="","",tblFleet[[#This Row],[Calendar_h]]-tblFleet[[#This Row],[Down_h]])</f>
        <v/>
      </c>
      <c r="I2338" s="60">
        <f>IF(AND(tblFleet[[#This Row],[Units]]&lt;&gt;"",tblFleet[[#This Row],[Calendar_h]]&gt;0),tblFleet[[#This Row],[Available_h]]/tblFleet[[#This Row],[Calendar_h]],"")</f>
        <v/>
      </c>
      <c r="J2338" s="60">
        <f>IF(AND(tblFleet[[#This Row],[Units]]&lt;&gt;"",tblFleet[[#This Row],[Available_h]]&gt;0),tblFleet[[#This Row],[Operating_h]]/tblFleet[[#This Row],[Available_h]],"")</f>
        <v/>
      </c>
    </row>
    <row r="2339">
      <c r="A2339" s="54" t="n"/>
      <c r="B2339" s="61" t="n"/>
      <c r="C2339" s="62" t="n"/>
      <c r="D2339" s="57" t="n"/>
      <c r="E2339" s="57" t="n"/>
      <c r="F2339" s="58" t="n"/>
      <c r="G2339" s="66">
        <f>IF(tblFleet[[#This Row],[Units]]="","",tblFleet[[#This Row],[Units]]*cfg_HoursPerDay)</f>
        <v/>
      </c>
      <c r="H2339" s="66">
        <f>IF(tblFleet[[#This Row],[Units]]="","",tblFleet[[#This Row],[Calendar_h]]-tblFleet[[#This Row],[Down_h]])</f>
        <v/>
      </c>
      <c r="I2339" s="60">
        <f>IF(AND(tblFleet[[#This Row],[Units]]&lt;&gt;"",tblFleet[[#This Row],[Calendar_h]]&gt;0),tblFleet[[#This Row],[Available_h]]/tblFleet[[#This Row],[Calendar_h]],"")</f>
        <v/>
      </c>
      <c r="J2339" s="60">
        <f>IF(AND(tblFleet[[#This Row],[Units]]&lt;&gt;"",tblFleet[[#This Row],[Available_h]]&gt;0),tblFleet[[#This Row],[Operating_h]]/tblFleet[[#This Row],[Available_h]],"")</f>
        <v/>
      </c>
    </row>
    <row r="2340">
      <c r="A2340" s="54" t="n"/>
      <c r="B2340" s="61" t="n"/>
      <c r="C2340" s="62" t="n"/>
      <c r="D2340" s="57" t="n"/>
      <c r="E2340" s="57" t="n"/>
      <c r="F2340" s="58" t="n"/>
      <c r="G2340" s="66">
        <f>IF(tblFleet[[#This Row],[Units]]="","",tblFleet[[#This Row],[Units]]*cfg_HoursPerDay)</f>
        <v/>
      </c>
      <c r="H2340" s="66">
        <f>IF(tblFleet[[#This Row],[Units]]="","",tblFleet[[#This Row],[Calendar_h]]-tblFleet[[#This Row],[Down_h]])</f>
        <v/>
      </c>
      <c r="I2340" s="60">
        <f>IF(AND(tblFleet[[#This Row],[Units]]&lt;&gt;"",tblFleet[[#This Row],[Calendar_h]]&gt;0),tblFleet[[#This Row],[Available_h]]/tblFleet[[#This Row],[Calendar_h]],"")</f>
        <v/>
      </c>
      <c r="J2340" s="60">
        <f>IF(AND(tblFleet[[#This Row],[Units]]&lt;&gt;"",tblFleet[[#This Row],[Available_h]]&gt;0),tblFleet[[#This Row],[Operating_h]]/tblFleet[[#This Row],[Available_h]],"")</f>
        <v/>
      </c>
    </row>
    <row r="2341">
      <c r="A2341" s="54" t="n"/>
      <c r="B2341" s="61" t="n"/>
      <c r="C2341" s="62" t="n"/>
      <c r="D2341" s="57" t="n"/>
      <c r="E2341" s="57" t="n"/>
      <c r="F2341" s="58" t="n"/>
      <c r="G2341" s="66">
        <f>IF(tblFleet[[#This Row],[Units]]="","",tblFleet[[#This Row],[Units]]*cfg_HoursPerDay)</f>
        <v/>
      </c>
      <c r="H2341" s="66">
        <f>IF(tblFleet[[#This Row],[Units]]="","",tblFleet[[#This Row],[Calendar_h]]-tblFleet[[#This Row],[Down_h]])</f>
        <v/>
      </c>
      <c r="I2341" s="60">
        <f>IF(AND(tblFleet[[#This Row],[Units]]&lt;&gt;"",tblFleet[[#This Row],[Calendar_h]]&gt;0),tblFleet[[#This Row],[Available_h]]/tblFleet[[#This Row],[Calendar_h]],"")</f>
        <v/>
      </c>
      <c r="J2341" s="60">
        <f>IF(AND(tblFleet[[#This Row],[Units]]&lt;&gt;"",tblFleet[[#This Row],[Available_h]]&gt;0),tblFleet[[#This Row],[Operating_h]]/tblFleet[[#This Row],[Available_h]],"")</f>
        <v/>
      </c>
    </row>
    <row r="2342">
      <c r="A2342" s="54" t="n"/>
      <c r="B2342" s="61" t="n"/>
      <c r="C2342" s="62" t="n"/>
      <c r="D2342" s="57" t="n"/>
      <c r="E2342" s="57" t="n"/>
      <c r="F2342" s="58" t="n"/>
      <c r="G2342" s="66">
        <f>IF(tblFleet[[#This Row],[Units]]="","",tblFleet[[#This Row],[Units]]*cfg_HoursPerDay)</f>
        <v/>
      </c>
      <c r="H2342" s="66">
        <f>IF(tblFleet[[#This Row],[Units]]="","",tblFleet[[#This Row],[Calendar_h]]-tblFleet[[#This Row],[Down_h]])</f>
        <v/>
      </c>
      <c r="I2342" s="60">
        <f>IF(AND(tblFleet[[#This Row],[Units]]&lt;&gt;"",tblFleet[[#This Row],[Calendar_h]]&gt;0),tblFleet[[#This Row],[Available_h]]/tblFleet[[#This Row],[Calendar_h]],"")</f>
        <v/>
      </c>
      <c r="J2342" s="60">
        <f>IF(AND(tblFleet[[#This Row],[Units]]&lt;&gt;"",tblFleet[[#This Row],[Available_h]]&gt;0),tblFleet[[#This Row],[Operating_h]]/tblFleet[[#This Row],[Available_h]],"")</f>
        <v/>
      </c>
    </row>
    <row r="2343">
      <c r="A2343" s="54" t="n"/>
      <c r="B2343" s="61" t="n"/>
      <c r="C2343" s="62" t="n"/>
      <c r="D2343" s="57" t="n"/>
      <c r="E2343" s="57" t="n"/>
      <c r="F2343" s="58" t="n"/>
      <c r="G2343" s="66">
        <f>IF(tblFleet[[#This Row],[Units]]="","",tblFleet[[#This Row],[Units]]*cfg_HoursPerDay)</f>
        <v/>
      </c>
      <c r="H2343" s="66">
        <f>IF(tblFleet[[#This Row],[Units]]="","",tblFleet[[#This Row],[Calendar_h]]-tblFleet[[#This Row],[Down_h]])</f>
        <v/>
      </c>
      <c r="I2343" s="60">
        <f>IF(AND(tblFleet[[#This Row],[Units]]&lt;&gt;"",tblFleet[[#This Row],[Calendar_h]]&gt;0),tblFleet[[#This Row],[Available_h]]/tblFleet[[#This Row],[Calendar_h]],"")</f>
        <v/>
      </c>
      <c r="J2343" s="60">
        <f>IF(AND(tblFleet[[#This Row],[Units]]&lt;&gt;"",tblFleet[[#This Row],[Available_h]]&gt;0),tblFleet[[#This Row],[Operating_h]]/tblFleet[[#This Row],[Available_h]],"")</f>
        <v/>
      </c>
    </row>
    <row r="2344">
      <c r="A2344" s="54" t="n"/>
      <c r="B2344" s="61" t="n"/>
      <c r="C2344" s="62" t="n"/>
      <c r="D2344" s="57" t="n"/>
      <c r="E2344" s="57" t="n"/>
      <c r="F2344" s="58" t="n"/>
      <c r="G2344" s="66">
        <f>IF(tblFleet[[#This Row],[Units]]="","",tblFleet[[#This Row],[Units]]*cfg_HoursPerDay)</f>
        <v/>
      </c>
      <c r="H2344" s="66">
        <f>IF(tblFleet[[#This Row],[Units]]="","",tblFleet[[#This Row],[Calendar_h]]-tblFleet[[#This Row],[Down_h]])</f>
        <v/>
      </c>
      <c r="I2344" s="60">
        <f>IF(AND(tblFleet[[#This Row],[Units]]&lt;&gt;"",tblFleet[[#This Row],[Calendar_h]]&gt;0),tblFleet[[#This Row],[Available_h]]/tblFleet[[#This Row],[Calendar_h]],"")</f>
        <v/>
      </c>
      <c r="J2344" s="60">
        <f>IF(AND(tblFleet[[#This Row],[Units]]&lt;&gt;"",tblFleet[[#This Row],[Available_h]]&gt;0),tblFleet[[#This Row],[Operating_h]]/tblFleet[[#This Row],[Available_h]],"")</f>
        <v/>
      </c>
    </row>
    <row r="2345">
      <c r="A2345" s="54" t="n"/>
      <c r="B2345" s="61" t="n"/>
      <c r="C2345" s="62" t="n"/>
      <c r="D2345" s="57" t="n"/>
      <c r="E2345" s="57" t="n"/>
      <c r="F2345" s="58" t="n"/>
      <c r="G2345" s="66">
        <f>IF(tblFleet[[#This Row],[Units]]="","",tblFleet[[#This Row],[Units]]*cfg_HoursPerDay)</f>
        <v/>
      </c>
      <c r="H2345" s="66">
        <f>IF(tblFleet[[#This Row],[Units]]="","",tblFleet[[#This Row],[Calendar_h]]-tblFleet[[#This Row],[Down_h]])</f>
        <v/>
      </c>
      <c r="I2345" s="60">
        <f>IF(AND(tblFleet[[#This Row],[Units]]&lt;&gt;"",tblFleet[[#This Row],[Calendar_h]]&gt;0),tblFleet[[#This Row],[Available_h]]/tblFleet[[#This Row],[Calendar_h]],"")</f>
        <v/>
      </c>
      <c r="J2345" s="60">
        <f>IF(AND(tblFleet[[#This Row],[Units]]&lt;&gt;"",tblFleet[[#This Row],[Available_h]]&gt;0),tblFleet[[#This Row],[Operating_h]]/tblFleet[[#This Row],[Available_h]],"")</f>
        <v/>
      </c>
    </row>
    <row r="2346">
      <c r="A2346" s="54" t="n"/>
      <c r="B2346" s="61" t="n"/>
      <c r="C2346" s="62" t="n"/>
      <c r="D2346" s="57" t="n"/>
      <c r="E2346" s="57" t="n"/>
      <c r="F2346" s="58" t="n"/>
      <c r="G2346" s="66">
        <f>IF(tblFleet[[#This Row],[Units]]="","",tblFleet[[#This Row],[Units]]*cfg_HoursPerDay)</f>
        <v/>
      </c>
      <c r="H2346" s="66">
        <f>IF(tblFleet[[#This Row],[Units]]="","",tblFleet[[#This Row],[Calendar_h]]-tblFleet[[#This Row],[Down_h]])</f>
        <v/>
      </c>
      <c r="I2346" s="60">
        <f>IF(AND(tblFleet[[#This Row],[Units]]&lt;&gt;"",tblFleet[[#This Row],[Calendar_h]]&gt;0),tblFleet[[#This Row],[Available_h]]/tblFleet[[#This Row],[Calendar_h]],"")</f>
        <v/>
      </c>
      <c r="J2346" s="60">
        <f>IF(AND(tblFleet[[#This Row],[Units]]&lt;&gt;"",tblFleet[[#This Row],[Available_h]]&gt;0),tblFleet[[#This Row],[Operating_h]]/tblFleet[[#This Row],[Available_h]],"")</f>
        <v/>
      </c>
    </row>
    <row r="2347">
      <c r="A2347" s="54" t="n"/>
      <c r="B2347" s="61" t="n"/>
      <c r="C2347" s="62" t="n"/>
      <c r="D2347" s="57" t="n"/>
      <c r="E2347" s="57" t="n"/>
      <c r="F2347" s="58" t="n"/>
      <c r="G2347" s="66">
        <f>IF(tblFleet[[#This Row],[Units]]="","",tblFleet[[#This Row],[Units]]*cfg_HoursPerDay)</f>
        <v/>
      </c>
      <c r="H2347" s="66">
        <f>IF(tblFleet[[#This Row],[Units]]="","",tblFleet[[#This Row],[Calendar_h]]-tblFleet[[#This Row],[Down_h]])</f>
        <v/>
      </c>
      <c r="I2347" s="60">
        <f>IF(AND(tblFleet[[#This Row],[Units]]&lt;&gt;"",tblFleet[[#This Row],[Calendar_h]]&gt;0),tblFleet[[#This Row],[Available_h]]/tblFleet[[#This Row],[Calendar_h]],"")</f>
        <v/>
      </c>
      <c r="J2347" s="60">
        <f>IF(AND(tblFleet[[#This Row],[Units]]&lt;&gt;"",tblFleet[[#This Row],[Available_h]]&gt;0),tblFleet[[#This Row],[Operating_h]]/tblFleet[[#This Row],[Available_h]],"")</f>
        <v/>
      </c>
    </row>
    <row r="2348">
      <c r="A2348" s="54" t="n"/>
      <c r="B2348" s="61" t="n"/>
      <c r="C2348" s="62" t="n"/>
      <c r="D2348" s="57" t="n"/>
      <c r="E2348" s="57" t="n"/>
      <c r="F2348" s="58" t="n"/>
      <c r="G2348" s="66">
        <f>IF(tblFleet[[#This Row],[Units]]="","",tblFleet[[#This Row],[Units]]*cfg_HoursPerDay)</f>
        <v/>
      </c>
      <c r="H2348" s="66">
        <f>IF(tblFleet[[#This Row],[Units]]="","",tblFleet[[#This Row],[Calendar_h]]-tblFleet[[#This Row],[Down_h]])</f>
        <v/>
      </c>
      <c r="I2348" s="60">
        <f>IF(AND(tblFleet[[#This Row],[Units]]&lt;&gt;"",tblFleet[[#This Row],[Calendar_h]]&gt;0),tblFleet[[#This Row],[Available_h]]/tblFleet[[#This Row],[Calendar_h]],"")</f>
        <v/>
      </c>
      <c r="J2348" s="60">
        <f>IF(AND(tblFleet[[#This Row],[Units]]&lt;&gt;"",tblFleet[[#This Row],[Available_h]]&gt;0),tblFleet[[#This Row],[Operating_h]]/tblFleet[[#This Row],[Available_h]],"")</f>
        <v/>
      </c>
    </row>
    <row r="2349">
      <c r="A2349" s="54" t="n"/>
      <c r="B2349" s="61" t="n"/>
      <c r="C2349" s="62" t="n"/>
      <c r="D2349" s="57" t="n"/>
      <c r="E2349" s="57" t="n"/>
      <c r="F2349" s="58" t="n"/>
      <c r="G2349" s="66">
        <f>IF(tblFleet[[#This Row],[Units]]="","",tblFleet[[#This Row],[Units]]*cfg_HoursPerDay)</f>
        <v/>
      </c>
      <c r="H2349" s="66">
        <f>IF(tblFleet[[#This Row],[Units]]="","",tblFleet[[#This Row],[Calendar_h]]-tblFleet[[#This Row],[Down_h]])</f>
        <v/>
      </c>
      <c r="I2349" s="60">
        <f>IF(AND(tblFleet[[#This Row],[Units]]&lt;&gt;"",tblFleet[[#This Row],[Calendar_h]]&gt;0),tblFleet[[#This Row],[Available_h]]/tblFleet[[#This Row],[Calendar_h]],"")</f>
        <v/>
      </c>
      <c r="J2349" s="60">
        <f>IF(AND(tblFleet[[#This Row],[Units]]&lt;&gt;"",tblFleet[[#This Row],[Available_h]]&gt;0),tblFleet[[#This Row],[Operating_h]]/tblFleet[[#This Row],[Available_h]],"")</f>
        <v/>
      </c>
    </row>
    <row r="2350">
      <c r="A2350" s="54" t="n"/>
      <c r="B2350" s="61" t="n"/>
      <c r="C2350" s="62" t="n"/>
      <c r="D2350" s="57" t="n"/>
      <c r="E2350" s="57" t="n"/>
      <c r="F2350" s="58" t="n"/>
      <c r="G2350" s="66">
        <f>IF(tblFleet[[#This Row],[Units]]="","",tblFleet[[#This Row],[Units]]*cfg_HoursPerDay)</f>
        <v/>
      </c>
      <c r="H2350" s="66">
        <f>IF(tblFleet[[#This Row],[Units]]="","",tblFleet[[#This Row],[Calendar_h]]-tblFleet[[#This Row],[Down_h]])</f>
        <v/>
      </c>
      <c r="I2350" s="60">
        <f>IF(AND(tblFleet[[#This Row],[Units]]&lt;&gt;"",tblFleet[[#This Row],[Calendar_h]]&gt;0),tblFleet[[#This Row],[Available_h]]/tblFleet[[#This Row],[Calendar_h]],"")</f>
        <v/>
      </c>
      <c r="J2350" s="60">
        <f>IF(AND(tblFleet[[#This Row],[Units]]&lt;&gt;"",tblFleet[[#This Row],[Available_h]]&gt;0),tblFleet[[#This Row],[Operating_h]]/tblFleet[[#This Row],[Available_h]],"")</f>
        <v/>
      </c>
    </row>
    <row r="2351">
      <c r="A2351" s="54" t="n"/>
      <c r="B2351" s="61" t="n"/>
      <c r="C2351" s="62" t="n"/>
      <c r="D2351" s="57" t="n"/>
      <c r="E2351" s="57" t="n"/>
      <c r="F2351" s="58" t="n"/>
      <c r="G2351" s="66">
        <f>IF(tblFleet[[#This Row],[Units]]="","",tblFleet[[#This Row],[Units]]*cfg_HoursPerDay)</f>
        <v/>
      </c>
      <c r="H2351" s="66">
        <f>IF(tblFleet[[#This Row],[Units]]="","",tblFleet[[#This Row],[Calendar_h]]-tblFleet[[#This Row],[Down_h]])</f>
        <v/>
      </c>
      <c r="I2351" s="60">
        <f>IF(AND(tblFleet[[#This Row],[Units]]&lt;&gt;"",tblFleet[[#This Row],[Calendar_h]]&gt;0),tblFleet[[#This Row],[Available_h]]/tblFleet[[#This Row],[Calendar_h]],"")</f>
        <v/>
      </c>
      <c r="J2351" s="60">
        <f>IF(AND(tblFleet[[#This Row],[Units]]&lt;&gt;"",tblFleet[[#This Row],[Available_h]]&gt;0),tblFleet[[#This Row],[Operating_h]]/tblFleet[[#This Row],[Available_h]],"")</f>
        <v/>
      </c>
    </row>
    <row r="2352">
      <c r="A2352" s="54" t="n"/>
      <c r="B2352" s="61" t="n"/>
      <c r="C2352" s="62" t="n"/>
      <c r="D2352" s="57" t="n"/>
      <c r="E2352" s="57" t="n"/>
      <c r="F2352" s="58" t="n"/>
      <c r="G2352" s="66">
        <f>IF(tblFleet[[#This Row],[Units]]="","",tblFleet[[#This Row],[Units]]*cfg_HoursPerDay)</f>
        <v/>
      </c>
      <c r="H2352" s="66">
        <f>IF(tblFleet[[#This Row],[Units]]="","",tblFleet[[#This Row],[Calendar_h]]-tblFleet[[#This Row],[Down_h]])</f>
        <v/>
      </c>
      <c r="I2352" s="60">
        <f>IF(AND(tblFleet[[#This Row],[Units]]&lt;&gt;"",tblFleet[[#This Row],[Calendar_h]]&gt;0),tblFleet[[#This Row],[Available_h]]/tblFleet[[#This Row],[Calendar_h]],"")</f>
        <v/>
      </c>
      <c r="J2352" s="60">
        <f>IF(AND(tblFleet[[#This Row],[Units]]&lt;&gt;"",tblFleet[[#This Row],[Available_h]]&gt;0),tblFleet[[#This Row],[Operating_h]]/tblFleet[[#This Row],[Available_h]],"")</f>
        <v/>
      </c>
    </row>
    <row r="2353">
      <c r="A2353" s="54" t="n"/>
      <c r="B2353" s="61" t="n"/>
      <c r="C2353" s="62" t="n"/>
      <c r="D2353" s="57" t="n"/>
      <c r="E2353" s="57" t="n"/>
      <c r="F2353" s="58" t="n"/>
      <c r="G2353" s="66">
        <f>IF(tblFleet[[#This Row],[Units]]="","",tblFleet[[#This Row],[Units]]*cfg_HoursPerDay)</f>
        <v/>
      </c>
      <c r="H2353" s="66">
        <f>IF(tblFleet[[#This Row],[Units]]="","",tblFleet[[#This Row],[Calendar_h]]-tblFleet[[#This Row],[Down_h]])</f>
        <v/>
      </c>
      <c r="I2353" s="60">
        <f>IF(AND(tblFleet[[#This Row],[Units]]&lt;&gt;"",tblFleet[[#This Row],[Calendar_h]]&gt;0),tblFleet[[#This Row],[Available_h]]/tblFleet[[#This Row],[Calendar_h]],"")</f>
        <v/>
      </c>
      <c r="J2353" s="60">
        <f>IF(AND(tblFleet[[#This Row],[Units]]&lt;&gt;"",tblFleet[[#This Row],[Available_h]]&gt;0),tblFleet[[#This Row],[Operating_h]]/tblFleet[[#This Row],[Available_h]],"")</f>
        <v/>
      </c>
    </row>
    <row r="2354">
      <c r="A2354" s="54" t="n"/>
      <c r="B2354" s="61" t="n"/>
      <c r="C2354" s="62" t="n"/>
      <c r="D2354" s="57" t="n"/>
      <c r="E2354" s="57" t="n"/>
      <c r="F2354" s="58" t="n"/>
      <c r="G2354" s="66">
        <f>IF(tblFleet[[#This Row],[Units]]="","",tblFleet[[#This Row],[Units]]*cfg_HoursPerDay)</f>
        <v/>
      </c>
      <c r="H2354" s="66">
        <f>IF(tblFleet[[#This Row],[Units]]="","",tblFleet[[#This Row],[Calendar_h]]-tblFleet[[#This Row],[Down_h]])</f>
        <v/>
      </c>
      <c r="I2354" s="60">
        <f>IF(AND(tblFleet[[#This Row],[Units]]&lt;&gt;"",tblFleet[[#This Row],[Calendar_h]]&gt;0),tblFleet[[#This Row],[Available_h]]/tblFleet[[#This Row],[Calendar_h]],"")</f>
        <v/>
      </c>
      <c r="J2354" s="60">
        <f>IF(AND(tblFleet[[#This Row],[Units]]&lt;&gt;"",tblFleet[[#This Row],[Available_h]]&gt;0),tblFleet[[#This Row],[Operating_h]]/tblFleet[[#This Row],[Available_h]],"")</f>
        <v/>
      </c>
    </row>
    <row r="2355">
      <c r="A2355" s="54" t="n"/>
      <c r="B2355" s="61" t="n"/>
      <c r="C2355" s="62" t="n"/>
      <c r="D2355" s="57" t="n"/>
      <c r="E2355" s="57" t="n"/>
      <c r="F2355" s="58" t="n"/>
      <c r="G2355" s="66">
        <f>IF(tblFleet[[#This Row],[Units]]="","",tblFleet[[#This Row],[Units]]*cfg_HoursPerDay)</f>
        <v/>
      </c>
      <c r="H2355" s="66">
        <f>IF(tblFleet[[#This Row],[Units]]="","",tblFleet[[#This Row],[Calendar_h]]-tblFleet[[#This Row],[Down_h]])</f>
        <v/>
      </c>
      <c r="I2355" s="60">
        <f>IF(AND(tblFleet[[#This Row],[Units]]&lt;&gt;"",tblFleet[[#This Row],[Calendar_h]]&gt;0),tblFleet[[#This Row],[Available_h]]/tblFleet[[#This Row],[Calendar_h]],"")</f>
        <v/>
      </c>
      <c r="J2355" s="60">
        <f>IF(AND(tblFleet[[#This Row],[Units]]&lt;&gt;"",tblFleet[[#This Row],[Available_h]]&gt;0),tblFleet[[#This Row],[Operating_h]]/tblFleet[[#This Row],[Available_h]],"")</f>
        <v/>
      </c>
    </row>
    <row r="2356">
      <c r="A2356" s="54" t="n"/>
      <c r="B2356" s="61" t="n"/>
      <c r="C2356" s="62" t="n"/>
      <c r="D2356" s="57" t="n"/>
      <c r="E2356" s="57" t="n"/>
      <c r="F2356" s="58" t="n"/>
      <c r="G2356" s="66">
        <f>IF(tblFleet[[#This Row],[Units]]="","",tblFleet[[#This Row],[Units]]*cfg_HoursPerDay)</f>
        <v/>
      </c>
      <c r="H2356" s="66">
        <f>IF(tblFleet[[#This Row],[Units]]="","",tblFleet[[#This Row],[Calendar_h]]-tblFleet[[#This Row],[Down_h]])</f>
        <v/>
      </c>
      <c r="I2356" s="60">
        <f>IF(AND(tblFleet[[#This Row],[Units]]&lt;&gt;"",tblFleet[[#This Row],[Calendar_h]]&gt;0),tblFleet[[#This Row],[Available_h]]/tblFleet[[#This Row],[Calendar_h]],"")</f>
        <v/>
      </c>
      <c r="J2356" s="60">
        <f>IF(AND(tblFleet[[#This Row],[Units]]&lt;&gt;"",tblFleet[[#This Row],[Available_h]]&gt;0),tblFleet[[#This Row],[Operating_h]]/tblFleet[[#This Row],[Available_h]],"")</f>
        <v/>
      </c>
    </row>
    <row r="2357">
      <c r="A2357" s="54" t="n"/>
      <c r="B2357" s="61" t="n"/>
      <c r="C2357" s="62" t="n"/>
      <c r="D2357" s="57" t="n"/>
      <c r="E2357" s="57" t="n"/>
      <c r="F2357" s="58" t="n"/>
      <c r="G2357" s="66">
        <f>IF(tblFleet[[#This Row],[Units]]="","",tblFleet[[#This Row],[Units]]*cfg_HoursPerDay)</f>
        <v/>
      </c>
      <c r="H2357" s="66">
        <f>IF(tblFleet[[#This Row],[Units]]="","",tblFleet[[#This Row],[Calendar_h]]-tblFleet[[#This Row],[Down_h]])</f>
        <v/>
      </c>
      <c r="I2357" s="60">
        <f>IF(AND(tblFleet[[#This Row],[Units]]&lt;&gt;"",tblFleet[[#This Row],[Calendar_h]]&gt;0),tblFleet[[#This Row],[Available_h]]/tblFleet[[#This Row],[Calendar_h]],"")</f>
        <v/>
      </c>
      <c r="J2357" s="60">
        <f>IF(AND(tblFleet[[#This Row],[Units]]&lt;&gt;"",tblFleet[[#This Row],[Available_h]]&gt;0),tblFleet[[#This Row],[Operating_h]]/tblFleet[[#This Row],[Available_h]],"")</f>
        <v/>
      </c>
    </row>
    <row r="2358">
      <c r="A2358" s="54" t="n"/>
      <c r="B2358" s="61" t="n"/>
      <c r="C2358" s="62" t="n"/>
      <c r="D2358" s="57" t="n"/>
      <c r="E2358" s="57" t="n"/>
      <c r="F2358" s="58" t="n"/>
      <c r="G2358" s="66">
        <f>IF(tblFleet[[#This Row],[Units]]="","",tblFleet[[#This Row],[Units]]*cfg_HoursPerDay)</f>
        <v/>
      </c>
      <c r="H2358" s="66">
        <f>IF(tblFleet[[#This Row],[Units]]="","",tblFleet[[#This Row],[Calendar_h]]-tblFleet[[#This Row],[Down_h]])</f>
        <v/>
      </c>
      <c r="I2358" s="60">
        <f>IF(AND(tblFleet[[#This Row],[Units]]&lt;&gt;"",tblFleet[[#This Row],[Calendar_h]]&gt;0),tblFleet[[#This Row],[Available_h]]/tblFleet[[#This Row],[Calendar_h]],"")</f>
        <v/>
      </c>
      <c r="J2358" s="60">
        <f>IF(AND(tblFleet[[#This Row],[Units]]&lt;&gt;"",tblFleet[[#This Row],[Available_h]]&gt;0),tblFleet[[#This Row],[Operating_h]]/tblFleet[[#This Row],[Available_h]],"")</f>
        <v/>
      </c>
    </row>
    <row r="2359">
      <c r="A2359" s="54" t="n"/>
      <c r="B2359" s="61" t="n"/>
      <c r="C2359" s="62" t="n"/>
      <c r="D2359" s="57" t="n"/>
      <c r="E2359" s="57" t="n"/>
      <c r="F2359" s="58" t="n"/>
      <c r="G2359" s="66">
        <f>IF(tblFleet[[#This Row],[Units]]="","",tblFleet[[#This Row],[Units]]*cfg_HoursPerDay)</f>
        <v/>
      </c>
      <c r="H2359" s="66">
        <f>IF(tblFleet[[#This Row],[Units]]="","",tblFleet[[#This Row],[Calendar_h]]-tblFleet[[#This Row],[Down_h]])</f>
        <v/>
      </c>
      <c r="I2359" s="60">
        <f>IF(AND(tblFleet[[#This Row],[Units]]&lt;&gt;"",tblFleet[[#This Row],[Calendar_h]]&gt;0),tblFleet[[#This Row],[Available_h]]/tblFleet[[#This Row],[Calendar_h]],"")</f>
        <v/>
      </c>
      <c r="J2359" s="60">
        <f>IF(AND(tblFleet[[#This Row],[Units]]&lt;&gt;"",tblFleet[[#This Row],[Available_h]]&gt;0),tblFleet[[#This Row],[Operating_h]]/tblFleet[[#This Row],[Available_h]],"")</f>
        <v/>
      </c>
    </row>
    <row r="2360">
      <c r="A2360" s="54" t="n"/>
      <c r="B2360" s="61" t="n"/>
      <c r="C2360" s="62" t="n"/>
      <c r="D2360" s="57" t="n"/>
      <c r="E2360" s="57" t="n"/>
      <c r="F2360" s="58" t="n"/>
      <c r="G2360" s="66">
        <f>IF(tblFleet[[#This Row],[Units]]="","",tblFleet[[#This Row],[Units]]*cfg_HoursPerDay)</f>
        <v/>
      </c>
      <c r="H2360" s="66">
        <f>IF(tblFleet[[#This Row],[Units]]="","",tblFleet[[#This Row],[Calendar_h]]-tblFleet[[#This Row],[Down_h]])</f>
        <v/>
      </c>
      <c r="I2360" s="60">
        <f>IF(AND(tblFleet[[#This Row],[Units]]&lt;&gt;"",tblFleet[[#This Row],[Calendar_h]]&gt;0),tblFleet[[#This Row],[Available_h]]/tblFleet[[#This Row],[Calendar_h]],"")</f>
        <v/>
      </c>
      <c r="J2360" s="60">
        <f>IF(AND(tblFleet[[#This Row],[Units]]&lt;&gt;"",tblFleet[[#This Row],[Available_h]]&gt;0),tblFleet[[#This Row],[Operating_h]]/tblFleet[[#This Row],[Available_h]],"")</f>
        <v/>
      </c>
    </row>
    <row r="2361">
      <c r="A2361" s="54" t="n"/>
      <c r="B2361" s="61" t="n"/>
      <c r="C2361" s="62" t="n"/>
      <c r="D2361" s="57" t="n"/>
      <c r="E2361" s="57" t="n"/>
      <c r="F2361" s="58" t="n"/>
      <c r="G2361" s="66">
        <f>IF(tblFleet[[#This Row],[Units]]="","",tblFleet[[#This Row],[Units]]*cfg_HoursPerDay)</f>
        <v/>
      </c>
      <c r="H2361" s="66">
        <f>IF(tblFleet[[#This Row],[Units]]="","",tblFleet[[#This Row],[Calendar_h]]-tblFleet[[#This Row],[Down_h]])</f>
        <v/>
      </c>
      <c r="I2361" s="60">
        <f>IF(AND(tblFleet[[#This Row],[Units]]&lt;&gt;"",tblFleet[[#This Row],[Calendar_h]]&gt;0),tblFleet[[#This Row],[Available_h]]/tblFleet[[#This Row],[Calendar_h]],"")</f>
        <v/>
      </c>
      <c r="J2361" s="60">
        <f>IF(AND(tblFleet[[#This Row],[Units]]&lt;&gt;"",tblFleet[[#This Row],[Available_h]]&gt;0),tblFleet[[#This Row],[Operating_h]]/tblFleet[[#This Row],[Available_h]],"")</f>
        <v/>
      </c>
    </row>
    <row r="2362">
      <c r="A2362" s="54" t="n"/>
      <c r="B2362" s="61" t="n"/>
      <c r="C2362" s="62" t="n"/>
      <c r="D2362" s="57" t="n"/>
      <c r="E2362" s="57" t="n"/>
      <c r="F2362" s="58" t="n"/>
      <c r="G2362" s="66">
        <f>IF(tblFleet[[#This Row],[Units]]="","",tblFleet[[#This Row],[Units]]*cfg_HoursPerDay)</f>
        <v/>
      </c>
      <c r="H2362" s="66">
        <f>IF(tblFleet[[#This Row],[Units]]="","",tblFleet[[#This Row],[Calendar_h]]-tblFleet[[#This Row],[Down_h]])</f>
        <v/>
      </c>
      <c r="I2362" s="60">
        <f>IF(AND(tblFleet[[#This Row],[Units]]&lt;&gt;"",tblFleet[[#This Row],[Calendar_h]]&gt;0),tblFleet[[#This Row],[Available_h]]/tblFleet[[#This Row],[Calendar_h]],"")</f>
        <v/>
      </c>
      <c r="J2362" s="60">
        <f>IF(AND(tblFleet[[#This Row],[Units]]&lt;&gt;"",tblFleet[[#This Row],[Available_h]]&gt;0),tblFleet[[#This Row],[Operating_h]]/tblFleet[[#This Row],[Available_h]],"")</f>
        <v/>
      </c>
    </row>
    <row r="2363">
      <c r="A2363" s="54" t="n"/>
      <c r="B2363" s="61" t="n"/>
      <c r="C2363" s="62" t="n"/>
      <c r="D2363" s="57" t="n"/>
      <c r="E2363" s="57" t="n"/>
      <c r="F2363" s="58" t="n"/>
      <c r="G2363" s="66">
        <f>IF(tblFleet[[#This Row],[Units]]="","",tblFleet[[#This Row],[Units]]*cfg_HoursPerDay)</f>
        <v/>
      </c>
      <c r="H2363" s="66">
        <f>IF(tblFleet[[#This Row],[Units]]="","",tblFleet[[#This Row],[Calendar_h]]-tblFleet[[#This Row],[Down_h]])</f>
        <v/>
      </c>
      <c r="I2363" s="60">
        <f>IF(AND(tblFleet[[#This Row],[Units]]&lt;&gt;"",tblFleet[[#This Row],[Calendar_h]]&gt;0),tblFleet[[#This Row],[Available_h]]/tblFleet[[#This Row],[Calendar_h]],"")</f>
        <v/>
      </c>
      <c r="J2363" s="60">
        <f>IF(AND(tblFleet[[#This Row],[Units]]&lt;&gt;"",tblFleet[[#This Row],[Available_h]]&gt;0),tblFleet[[#This Row],[Operating_h]]/tblFleet[[#This Row],[Available_h]],"")</f>
        <v/>
      </c>
    </row>
    <row r="2364">
      <c r="A2364" s="54" t="n"/>
      <c r="B2364" s="61" t="n"/>
      <c r="C2364" s="62" t="n"/>
      <c r="D2364" s="57" t="n"/>
      <c r="E2364" s="57" t="n"/>
      <c r="F2364" s="58" t="n"/>
      <c r="G2364" s="66">
        <f>IF(tblFleet[[#This Row],[Units]]="","",tblFleet[[#This Row],[Units]]*cfg_HoursPerDay)</f>
        <v/>
      </c>
      <c r="H2364" s="66">
        <f>IF(tblFleet[[#This Row],[Units]]="","",tblFleet[[#This Row],[Calendar_h]]-tblFleet[[#This Row],[Down_h]])</f>
        <v/>
      </c>
      <c r="I2364" s="60">
        <f>IF(AND(tblFleet[[#This Row],[Units]]&lt;&gt;"",tblFleet[[#This Row],[Calendar_h]]&gt;0),tblFleet[[#This Row],[Available_h]]/tblFleet[[#This Row],[Calendar_h]],"")</f>
        <v/>
      </c>
      <c r="J2364" s="60">
        <f>IF(AND(tblFleet[[#This Row],[Units]]&lt;&gt;"",tblFleet[[#This Row],[Available_h]]&gt;0),tblFleet[[#This Row],[Operating_h]]/tblFleet[[#This Row],[Available_h]],"")</f>
        <v/>
      </c>
    </row>
    <row r="2365">
      <c r="A2365" s="54" t="n"/>
      <c r="B2365" s="61" t="n"/>
      <c r="C2365" s="62" t="n"/>
      <c r="D2365" s="57" t="n"/>
      <c r="E2365" s="57" t="n"/>
      <c r="F2365" s="58" t="n"/>
      <c r="G2365" s="66">
        <f>IF(tblFleet[[#This Row],[Units]]="","",tblFleet[[#This Row],[Units]]*cfg_HoursPerDay)</f>
        <v/>
      </c>
      <c r="H2365" s="66">
        <f>IF(tblFleet[[#This Row],[Units]]="","",tblFleet[[#This Row],[Calendar_h]]-tblFleet[[#This Row],[Down_h]])</f>
        <v/>
      </c>
      <c r="I2365" s="60">
        <f>IF(AND(tblFleet[[#This Row],[Units]]&lt;&gt;"",tblFleet[[#This Row],[Calendar_h]]&gt;0),tblFleet[[#This Row],[Available_h]]/tblFleet[[#This Row],[Calendar_h]],"")</f>
        <v/>
      </c>
      <c r="J2365" s="60">
        <f>IF(AND(tblFleet[[#This Row],[Units]]&lt;&gt;"",tblFleet[[#This Row],[Available_h]]&gt;0),tblFleet[[#This Row],[Operating_h]]/tblFleet[[#This Row],[Available_h]],"")</f>
        <v/>
      </c>
    </row>
    <row r="2366">
      <c r="A2366" s="54" t="n"/>
      <c r="B2366" s="61" t="n"/>
      <c r="C2366" s="62" t="n"/>
      <c r="D2366" s="57" t="n"/>
      <c r="E2366" s="57" t="n"/>
      <c r="F2366" s="58" t="n"/>
      <c r="G2366" s="66">
        <f>IF(tblFleet[[#This Row],[Units]]="","",tblFleet[[#This Row],[Units]]*cfg_HoursPerDay)</f>
        <v/>
      </c>
      <c r="H2366" s="66">
        <f>IF(tblFleet[[#This Row],[Units]]="","",tblFleet[[#This Row],[Calendar_h]]-tblFleet[[#This Row],[Down_h]])</f>
        <v/>
      </c>
      <c r="I2366" s="60">
        <f>IF(AND(tblFleet[[#This Row],[Units]]&lt;&gt;"",tblFleet[[#This Row],[Calendar_h]]&gt;0),tblFleet[[#This Row],[Available_h]]/tblFleet[[#This Row],[Calendar_h]],"")</f>
        <v/>
      </c>
      <c r="J2366" s="60">
        <f>IF(AND(tblFleet[[#This Row],[Units]]&lt;&gt;"",tblFleet[[#This Row],[Available_h]]&gt;0),tblFleet[[#This Row],[Operating_h]]/tblFleet[[#This Row],[Available_h]],"")</f>
        <v/>
      </c>
    </row>
    <row r="2367">
      <c r="A2367" s="54" t="n"/>
      <c r="B2367" s="61" t="n"/>
      <c r="C2367" s="62" t="n"/>
      <c r="D2367" s="57" t="n"/>
      <c r="E2367" s="57" t="n"/>
      <c r="F2367" s="58" t="n"/>
      <c r="G2367" s="66">
        <f>IF(tblFleet[[#This Row],[Units]]="","",tblFleet[[#This Row],[Units]]*cfg_HoursPerDay)</f>
        <v/>
      </c>
      <c r="H2367" s="66">
        <f>IF(tblFleet[[#This Row],[Units]]="","",tblFleet[[#This Row],[Calendar_h]]-tblFleet[[#This Row],[Down_h]])</f>
        <v/>
      </c>
      <c r="I2367" s="60">
        <f>IF(AND(tblFleet[[#This Row],[Units]]&lt;&gt;"",tblFleet[[#This Row],[Calendar_h]]&gt;0),tblFleet[[#This Row],[Available_h]]/tblFleet[[#This Row],[Calendar_h]],"")</f>
        <v/>
      </c>
      <c r="J2367" s="60">
        <f>IF(AND(tblFleet[[#This Row],[Units]]&lt;&gt;"",tblFleet[[#This Row],[Available_h]]&gt;0),tblFleet[[#This Row],[Operating_h]]/tblFleet[[#This Row],[Available_h]],"")</f>
        <v/>
      </c>
    </row>
    <row r="2368">
      <c r="A2368" s="54" t="n"/>
      <c r="B2368" s="61" t="n"/>
      <c r="C2368" s="62" t="n"/>
      <c r="D2368" s="57" t="n"/>
      <c r="E2368" s="57" t="n"/>
      <c r="F2368" s="58" t="n"/>
      <c r="G2368" s="66">
        <f>IF(tblFleet[[#This Row],[Units]]="","",tblFleet[[#This Row],[Units]]*cfg_HoursPerDay)</f>
        <v/>
      </c>
      <c r="H2368" s="66">
        <f>IF(tblFleet[[#This Row],[Units]]="","",tblFleet[[#This Row],[Calendar_h]]-tblFleet[[#This Row],[Down_h]])</f>
        <v/>
      </c>
      <c r="I2368" s="60">
        <f>IF(AND(tblFleet[[#This Row],[Units]]&lt;&gt;"",tblFleet[[#This Row],[Calendar_h]]&gt;0),tblFleet[[#This Row],[Available_h]]/tblFleet[[#This Row],[Calendar_h]],"")</f>
        <v/>
      </c>
      <c r="J2368" s="60">
        <f>IF(AND(tblFleet[[#This Row],[Units]]&lt;&gt;"",tblFleet[[#This Row],[Available_h]]&gt;0),tblFleet[[#This Row],[Operating_h]]/tblFleet[[#This Row],[Available_h]],"")</f>
        <v/>
      </c>
    </row>
    <row r="2369">
      <c r="A2369" s="54" t="n"/>
      <c r="B2369" s="61" t="n"/>
      <c r="C2369" s="62" t="n"/>
      <c r="D2369" s="57" t="n"/>
      <c r="E2369" s="57" t="n"/>
      <c r="F2369" s="58" t="n"/>
      <c r="G2369" s="66">
        <f>IF(tblFleet[[#This Row],[Units]]="","",tblFleet[[#This Row],[Units]]*cfg_HoursPerDay)</f>
        <v/>
      </c>
      <c r="H2369" s="66">
        <f>IF(tblFleet[[#This Row],[Units]]="","",tblFleet[[#This Row],[Calendar_h]]-tblFleet[[#This Row],[Down_h]])</f>
        <v/>
      </c>
      <c r="I2369" s="60">
        <f>IF(AND(tblFleet[[#This Row],[Units]]&lt;&gt;"",tblFleet[[#This Row],[Calendar_h]]&gt;0),tblFleet[[#This Row],[Available_h]]/tblFleet[[#This Row],[Calendar_h]],"")</f>
        <v/>
      </c>
      <c r="J2369" s="60">
        <f>IF(AND(tblFleet[[#This Row],[Units]]&lt;&gt;"",tblFleet[[#This Row],[Available_h]]&gt;0),tblFleet[[#This Row],[Operating_h]]/tblFleet[[#This Row],[Available_h]],"")</f>
        <v/>
      </c>
    </row>
    <row r="2370">
      <c r="A2370" s="54" t="n"/>
      <c r="B2370" s="61" t="n"/>
      <c r="C2370" s="62" t="n"/>
      <c r="D2370" s="57" t="n"/>
      <c r="E2370" s="57" t="n"/>
      <c r="F2370" s="58" t="n"/>
      <c r="G2370" s="66">
        <f>IF(tblFleet[[#This Row],[Units]]="","",tblFleet[[#This Row],[Units]]*cfg_HoursPerDay)</f>
        <v/>
      </c>
      <c r="H2370" s="66">
        <f>IF(tblFleet[[#This Row],[Units]]="","",tblFleet[[#This Row],[Calendar_h]]-tblFleet[[#This Row],[Down_h]])</f>
        <v/>
      </c>
      <c r="I2370" s="60">
        <f>IF(AND(tblFleet[[#This Row],[Units]]&lt;&gt;"",tblFleet[[#This Row],[Calendar_h]]&gt;0),tblFleet[[#This Row],[Available_h]]/tblFleet[[#This Row],[Calendar_h]],"")</f>
        <v/>
      </c>
      <c r="J2370" s="60">
        <f>IF(AND(tblFleet[[#This Row],[Units]]&lt;&gt;"",tblFleet[[#This Row],[Available_h]]&gt;0),tblFleet[[#This Row],[Operating_h]]/tblFleet[[#This Row],[Available_h]],"")</f>
        <v/>
      </c>
    </row>
    <row r="2371">
      <c r="A2371" s="54" t="n"/>
      <c r="B2371" s="61" t="n"/>
      <c r="C2371" s="62" t="n"/>
      <c r="D2371" s="57" t="n"/>
      <c r="E2371" s="57" t="n"/>
      <c r="F2371" s="58" t="n"/>
      <c r="G2371" s="66">
        <f>IF(tblFleet[[#This Row],[Units]]="","",tblFleet[[#This Row],[Units]]*cfg_HoursPerDay)</f>
        <v/>
      </c>
      <c r="H2371" s="66">
        <f>IF(tblFleet[[#This Row],[Units]]="","",tblFleet[[#This Row],[Calendar_h]]-tblFleet[[#This Row],[Down_h]])</f>
        <v/>
      </c>
      <c r="I2371" s="60">
        <f>IF(AND(tblFleet[[#This Row],[Units]]&lt;&gt;"",tblFleet[[#This Row],[Calendar_h]]&gt;0),tblFleet[[#This Row],[Available_h]]/tblFleet[[#This Row],[Calendar_h]],"")</f>
        <v/>
      </c>
      <c r="J2371" s="60">
        <f>IF(AND(tblFleet[[#This Row],[Units]]&lt;&gt;"",tblFleet[[#This Row],[Available_h]]&gt;0),tblFleet[[#This Row],[Operating_h]]/tblFleet[[#This Row],[Available_h]],"")</f>
        <v/>
      </c>
    </row>
    <row r="2372">
      <c r="A2372" s="54" t="n"/>
      <c r="B2372" s="61" t="n"/>
      <c r="C2372" s="62" t="n"/>
      <c r="D2372" s="57" t="n"/>
      <c r="E2372" s="57" t="n"/>
      <c r="F2372" s="58" t="n"/>
      <c r="G2372" s="66">
        <f>IF(tblFleet[[#This Row],[Units]]="","",tblFleet[[#This Row],[Units]]*cfg_HoursPerDay)</f>
        <v/>
      </c>
      <c r="H2372" s="66">
        <f>IF(tblFleet[[#This Row],[Units]]="","",tblFleet[[#This Row],[Calendar_h]]-tblFleet[[#This Row],[Down_h]])</f>
        <v/>
      </c>
      <c r="I2372" s="60">
        <f>IF(AND(tblFleet[[#This Row],[Units]]&lt;&gt;"",tblFleet[[#This Row],[Calendar_h]]&gt;0),tblFleet[[#This Row],[Available_h]]/tblFleet[[#This Row],[Calendar_h]],"")</f>
        <v/>
      </c>
      <c r="J2372" s="60">
        <f>IF(AND(tblFleet[[#This Row],[Units]]&lt;&gt;"",tblFleet[[#This Row],[Available_h]]&gt;0),tblFleet[[#This Row],[Operating_h]]/tblFleet[[#This Row],[Available_h]],"")</f>
        <v/>
      </c>
    </row>
    <row r="2373">
      <c r="A2373" s="54" t="n"/>
      <c r="B2373" s="61" t="n"/>
      <c r="C2373" s="62" t="n"/>
      <c r="D2373" s="57" t="n"/>
      <c r="E2373" s="57" t="n"/>
      <c r="F2373" s="58" t="n"/>
      <c r="G2373" s="66">
        <f>IF(tblFleet[[#This Row],[Units]]="","",tblFleet[[#This Row],[Units]]*cfg_HoursPerDay)</f>
        <v/>
      </c>
      <c r="H2373" s="66">
        <f>IF(tblFleet[[#This Row],[Units]]="","",tblFleet[[#This Row],[Calendar_h]]-tblFleet[[#This Row],[Down_h]])</f>
        <v/>
      </c>
      <c r="I2373" s="60">
        <f>IF(AND(tblFleet[[#This Row],[Units]]&lt;&gt;"",tblFleet[[#This Row],[Calendar_h]]&gt;0),tblFleet[[#This Row],[Available_h]]/tblFleet[[#This Row],[Calendar_h]],"")</f>
        <v/>
      </c>
      <c r="J2373" s="60">
        <f>IF(AND(tblFleet[[#This Row],[Units]]&lt;&gt;"",tblFleet[[#This Row],[Available_h]]&gt;0),tblFleet[[#This Row],[Operating_h]]/tblFleet[[#This Row],[Available_h]],"")</f>
        <v/>
      </c>
    </row>
    <row r="2374">
      <c r="A2374" s="54" t="n"/>
      <c r="B2374" s="61" t="n"/>
      <c r="C2374" s="62" t="n"/>
      <c r="D2374" s="57" t="n"/>
      <c r="E2374" s="57" t="n"/>
      <c r="F2374" s="58" t="n"/>
      <c r="G2374" s="66">
        <f>IF(tblFleet[[#This Row],[Units]]="","",tblFleet[[#This Row],[Units]]*cfg_HoursPerDay)</f>
        <v/>
      </c>
      <c r="H2374" s="66">
        <f>IF(tblFleet[[#This Row],[Units]]="","",tblFleet[[#This Row],[Calendar_h]]-tblFleet[[#This Row],[Down_h]])</f>
        <v/>
      </c>
      <c r="I2374" s="60">
        <f>IF(AND(tblFleet[[#This Row],[Units]]&lt;&gt;"",tblFleet[[#This Row],[Calendar_h]]&gt;0),tblFleet[[#This Row],[Available_h]]/tblFleet[[#This Row],[Calendar_h]],"")</f>
        <v/>
      </c>
      <c r="J2374" s="60">
        <f>IF(AND(tblFleet[[#This Row],[Units]]&lt;&gt;"",tblFleet[[#This Row],[Available_h]]&gt;0),tblFleet[[#This Row],[Operating_h]]/tblFleet[[#This Row],[Available_h]],"")</f>
        <v/>
      </c>
    </row>
    <row r="2375">
      <c r="A2375" s="54" t="n"/>
      <c r="B2375" s="61" t="n"/>
      <c r="C2375" s="62" t="n"/>
      <c r="D2375" s="57" t="n"/>
      <c r="E2375" s="57" t="n"/>
      <c r="F2375" s="58" t="n"/>
      <c r="G2375" s="66">
        <f>IF(tblFleet[[#This Row],[Units]]="","",tblFleet[[#This Row],[Units]]*cfg_HoursPerDay)</f>
        <v/>
      </c>
      <c r="H2375" s="66">
        <f>IF(tblFleet[[#This Row],[Units]]="","",tblFleet[[#This Row],[Calendar_h]]-tblFleet[[#This Row],[Down_h]])</f>
        <v/>
      </c>
      <c r="I2375" s="60">
        <f>IF(AND(tblFleet[[#This Row],[Units]]&lt;&gt;"",tblFleet[[#This Row],[Calendar_h]]&gt;0),tblFleet[[#This Row],[Available_h]]/tblFleet[[#This Row],[Calendar_h]],"")</f>
        <v/>
      </c>
      <c r="J2375" s="60">
        <f>IF(AND(tblFleet[[#This Row],[Units]]&lt;&gt;"",tblFleet[[#This Row],[Available_h]]&gt;0),tblFleet[[#This Row],[Operating_h]]/tblFleet[[#This Row],[Available_h]],"")</f>
        <v/>
      </c>
    </row>
    <row r="2376">
      <c r="A2376" s="54" t="n"/>
      <c r="B2376" s="61" t="n"/>
      <c r="C2376" s="62" t="n"/>
      <c r="D2376" s="57" t="n"/>
      <c r="E2376" s="57" t="n"/>
      <c r="F2376" s="58" t="n"/>
      <c r="G2376" s="66">
        <f>IF(tblFleet[[#This Row],[Units]]="","",tblFleet[[#This Row],[Units]]*cfg_HoursPerDay)</f>
        <v/>
      </c>
      <c r="H2376" s="66">
        <f>IF(tblFleet[[#This Row],[Units]]="","",tblFleet[[#This Row],[Calendar_h]]-tblFleet[[#This Row],[Down_h]])</f>
        <v/>
      </c>
      <c r="I2376" s="60">
        <f>IF(AND(tblFleet[[#This Row],[Units]]&lt;&gt;"",tblFleet[[#This Row],[Calendar_h]]&gt;0),tblFleet[[#This Row],[Available_h]]/tblFleet[[#This Row],[Calendar_h]],"")</f>
        <v/>
      </c>
      <c r="J2376" s="60">
        <f>IF(AND(tblFleet[[#This Row],[Units]]&lt;&gt;"",tblFleet[[#This Row],[Available_h]]&gt;0),tblFleet[[#This Row],[Operating_h]]/tblFleet[[#This Row],[Available_h]],"")</f>
        <v/>
      </c>
    </row>
    <row r="2377">
      <c r="A2377" s="54" t="n"/>
      <c r="B2377" s="61" t="n"/>
      <c r="C2377" s="62" t="n"/>
      <c r="D2377" s="57" t="n"/>
      <c r="E2377" s="57" t="n"/>
      <c r="F2377" s="58" t="n"/>
      <c r="G2377" s="66">
        <f>IF(tblFleet[[#This Row],[Units]]="","",tblFleet[[#This Row],[Units]]*cfg_HoursPerDay)</f>
        <v/>
      </c>
      <c r="H2377" s="66">
        <f>IF(tblFleet[[#This Row],[Units]]="","",tblFleet[[#This Row],[Calendar_h]]-tblFleet[[#This Row],[Down_h]])</f>
        <v/>
      </c>
      <c r="I2377" s="60">
        <f>IF(AND(tblFleet[[#This Row],[Units]]&lt;&gt;"",tblFleet[[#This Row],[Calendar_h]]&gt;0),tblFleet[[#This Row],[Available_h]]/tblFleet[[#This Row],[Calendar_h]],"")</f>
        <v/>
      </c>
      <c r="J2377" s="60">
        <f>IF(AND(tblFleet[[#This Row],[Units]]&lt;&gt;"",tblFleet[[#This Row],[Available_h]]&gt;0),tblFleet[[#This Row],[Operating_h]]/tblFleet[[#This Row],[Available_h]],"")</f>
        <v/>
      </c>
    </row>
    <row r="2378">
      <c r="A2378" s="54" t="n"/>
      <c r="B2378" s="61" t="n"/>
      <c r="C2378" s="62" t="n"/>
      <c r="D2378" s="57" t="n"/>
      <c r="E2378" s="57" t="n"/>
      <c r="F2378" s="58" t="n"/>
      <c r="G2378" s="66">
        <f>IF(tblFleet[[#This Row],[Units]]="","",tblFleet[[#This Row],[Units]]*cfg_HoursPerDay)</f>
        <v/>
      </c>
      <c r="H2378" s="66">
        <f>IF(tblFleet[[#This Row],[Units]]="","",tblFleet[[#This Row],[Calendar_h]]-tblFleet[[#This Row],[Down_h]])</f>
        <v/>
      </c>
      <c r="I2378" s="60">
        <f>IF(AND(tblFleet[[#This Row],[Units]]&lt;&gt;"",tblFleet[[#This Row],[Calendar_h]]&gt;0),tblFleet[[#This Row],[Available_h]]/tblFleet[[#This Row],[Calendar_h]],"")</f>
        <v/>
      </c>
      <c r="J2378" s="60">
        <f>IF(AND(tblFleet[[#This Row],[Units]]&lt;&gt;"",tblFleet[[#This Row],[Available_h]]&gt;0),tblFleet[[#This Row],[Operating_h]]/tblFleet[[#This Row],[Available_h]],"")</f>
        <v/>
      </c>
    </row>
    <row r="2379">
      <c r="A2379" s="54" t="n"/>
      <c r="B2379" s="61" t="n"/>
      <c r="C2379" s="62" t="n"/>
      <c r="D2379" s="57" t="n"/>
      <c r="E2379" s="57" t="n"/>
      <c r="F2379" s="58" t="n"/>
      <c r="G2379" s="66">
        <f>IF(tblFleet[[#This Row],[Units]]="","",tblFleet[[#This Row],[Units]]*cfg_HoursPerDay)</f>
        <v/>
      </c>
      <c r="H2379" s="66">
        <f>IF(tblFleet[[#This Row],[Units]]="","",tblFleet[[#This Row],[Calendar_h]]-tblFleet[[#This Row],[Down_h]])</f>
        <v/>
      </c>
      <c r="I2379" s="60">
        <f>IF(AND(tblFleet[[#This Row],[Units]]&lt;&gt;"",tblFleet[[#This Row],[Calendar_h]]&gt;0),tblFleet[[#This Row],[Available_h]]/tblFleet[[#This Row],[Calendar_h]],"")</f>
        <v/>
      </c>
      <c r="J2379" s="60">
        <f>IF(AND(tblFleet[[#This Row],[Units]]&lt;&gt;"",tblFleet[[#This Row],[Available_h]]&gt;0),tblFleet[[#This Row],[Operating_h]]/tblFleet[[#This Row],[Available_h]],"")</f>
        <v/>
      </c>
    </row>
    <row r="2380">
      <c r="A2380" s="54" t="n"/>
      <c r="B2380" s="61" t="n"/>
      <c r="C2380" s="62" t="n"/>
      <c r="D2380" s="57" t="n"/>
      <c r="E2380" s="57" t="n"/>
      <c r="F2380" s="58" t="n"/>
      <c r="G2380" s="66">
        <f>IF(tblFleet[[#This Row],[Units]]="","",tblFleet[[#This Row],[Units]]*cfg_HoursPerDay)</f>
        <v/>
      </c>
      <c r="H2380" s="66">
        <f>IF(tblFleet[[#This Row],[Units]]="","",tblFleet[[#This Row],[Calendar_h]]-tblFleet[[#This Row],[Down_h]])</f>
        <v/>
      </c>
      <c r="I2380" s="60">
        <f>IF(AND(tblFleet[[#This Row],[Units]]&lt;&gt;"",tblFleet[[#This Row],[Calendar_h]]&gt;0),tblFleet[[#This Row],[Available_h]]/tblFleet[[#This Row],[Calendar_h]],"")</f>
        <v/>
      </c>
      <c r="J2380" s="60">
        <f>IF(AND(tblFleet[[#This Row],[Units]]&lt;&gt;"",tblFleet[[#This Row],[Available_h]]&gt;0),tblFleet[[#This Row],[Operating_h]]/tblFleet[[#This Row],[Available_h]],"")</f>
        <v/>
      </c>
    </row>
    <row r="2381">
      <c r="A2381" s="54" t="n"/>
      <c r="B2381" s="61" t="n"/>
      <c r="C2381" s="62" t="n"/>
      <c r="D2381" s="57" t="n"/>
      <c r="E2381" s="57" t="n"/>
      <c r="F2381" s="58" t="n"/>
      <c r="G2381" s="66">
        <f>IF(tblFleet[[#This Row],[Units]]="","",tblFleet[[#This Row],[Units]]*cfg_HoursPerDay)</f>
        <v/>
      </c>
      <c r="H2381" s="66">
        <f>IF(tblFleet[[#This Row],[Units]]="","",tblFleet[[#This Row],[Calendar_h]]-tblFleet[[#This Row],[Down_h]])</f>
        <v/>
      </c>
      <c r="I2381" s="60">
        <f>IF(AND(tblFleet[[#This Row],[Units]]&lt;&gt;"",tblFleet[[#This Row],[Calendar_h]]&gt;0),tblFleet[[#This Row],[Available_h]]/tblFleet[[#This Row],[Calendar_h]],"")</f>
        <v/>
      </c>
      <c r="J2381" s="60">
        <f>IF(AND(tblFleet[[#This Row],[Units]]&lt;&gt;"",tblFleet[[#This Row],[Available_h]]&gt;0),tblFleet[[#This Row],[Operating_h]]/tblFleet[[#This Row],[Available_h]],"")</f>
        <v/>
      </c>
    </row>
    <row r="2382">
      <c r="A2382" s="54" t="n"/>
      <c r="B2382" s="61" t="n"/>
      <c r="C2382" s="62" t="n"/>
      <c r="D2382" s="57" t="n"/>
      <c r="E2382" s="57" t="n"/>
      <c r="F2382" s="58" t="n"/>
      <c r="G2382" s="66">
        <f>IF(tblFleet[[#This Row],[Units]]="","",tblFleet[[#This Row],[Units]]*cfg_HoursPerDay)</f>
        <v/>
      </c>
      <c r="H2382" s="66">
        <f>IF(tblFleet[[#This Row],[Units]]="","",tblFleet[[#This Row],[Calendar_h]]-tblFleet[[#This Row],[Down_h]])</f>
        <v/>
      </c>
      <c r="I2382" s="60">
        <f>IF(AND(tblFleet[[#This Row],[Units]]&lt;&gt;"",tblFleet[[#This Row],[Calendar_h]]&gt;0),tblFleet[[#This Row],[Available_h]]/tblFleet[[#This Row],[Calendar_h]],"")</f>
        <v/>
      </c>
      <c r="J2382" s="60">
        <f>IF(AND(tblFleet[[#This Row],[Units]]&lt;&gt;"",tblFleet[[#This Row],[Available_h]]&gt;0),tblFleet[[#This Row],[Operating_h]]/tblFleet[[#This Row],[Available_h]],"")</f>
        <v/>
      </c>
    </row>
    <row r="2383">
      <c r="A2383" s="54" t="n"/>
      <c r="B2383" s="61" t="n"/>
      <c r="C2383" s="62" t="n"/>
      <c r="D2383" s="57" t="n"/>
      <c r="E2383" s="57" t="n"/>
      <c r="F2383" s="58" t="n"/>
      <c r="G2383" s="66">
        <f>IF(tblFleet[[#This Row],[Units]]="","",tblFleet[[#This Row],[Units]]*cfg_HoursPerDay)</f>
        <v/>
      </c>
      <c r="H2383" s="66">
        <f>IF(tblFleet[[#This Row],[Units]]="","",tblFleet[[#This Row],[Calendar_h]]-tblFleet[[#This Row],[Down_h]])</f>
        <v/>
      </c>
      <c r="I2383" s="60">
        <f>IF(AND(tblFleet[[#This Row],[Units]]&lt;&gt;"",tblFleet[[#This Row],[Calendar_h]]&gt;0),tblFleet[[#This Row],[Available_h]]/tblFleet[[#This Row],[Calendar_h]],"")</f>
        <v/>
      </c>
      <c r="J2383" s="60">
        <f>IF(AND(tblFleet[[#This Row],[Units]]&lt;&gt;"",tblFleet[[#This Row],[Available_h]]&gt;0),tblFleet[[#This Row],[Operating_h]]/tblFleet[[#This Row],[Available_h]],"")</f>
        <v/>
      </c>
    </row>
    <row r="2384">
      <c r="A2384" s="54" t="n"/>
      <c r="B2384" s="61" t="n"/>
      <c r="C2384" s="62" t="n"/>
      <c r="D2384" s="57" t="n"/>
      <c r="E2384" s="57" t="n"/>
      <c r="F2384" s="58" t="n"/>
      <c r="G2384" s="66">
        <f>IF(tblFleet[[#This Row],[Units]]="","",tblFleet[[#This Row],[Units]]*cfg_HoursPerDay)</f>
        <v/>
      </c>
      <c r="H2384" s="66">
        <f>IF(tblFleet[[#This Row],[Units]]="","",tblFleet[[#This Row],[Calendar_h]]-tblFleet[[#This Row],[Down_h]])</f>
        <v/>
      </c>
      <c r="I2384" s="60">
        <f>IF(AND(tblFleet[[#This Row],[Units]]&lt;&gt;"",tblFleet[[#This Row],[Calendar_h]]&gt;0),tblFleet[[#This Row],[Available_h]]/tblFleet[[#This Row],[Calendar_h]],"")</f>
        <v/>
      </c>
      <c r="J2384" s="60">
        <f>IF(AND(tblFleet[[#This Row],[Units]]&lt;&gt;"",tblFleet[[#This Row],[Available_h]]&gt;0),tblFleet[[#This Row],[Operating_h]]/tblFleet[[#This Row],[Available_h]],"")</f>
        <v/>
      </c>
    </row>
    <row r="2385">
      <c r="A2385" s="54" t="n"/>
      <c r="B2385" s="61" t="n"/>
      <c r="C2385" s="62" t="n"/>
      <c r="D2385" s="57" t="n"/>
      <c r="E2385" s="57" t="n"/>
      <c r="F2385" s="58" t="n"/>
      <c r="G2385" s="66">
        <f>IF(tblFleet[[#This Row],[Units]]="","",tblFleet[[#This Row],[Units]]*cfg_HoursPerDay)</f>
        <v/>
      </c>
      <c r="H2385" s="66">
        <f>IF(tblFleet[[#This Row],[Units]]="","",tblFleet[[#This Row],[Calendar_h]]-tblFleet[[#This Row],[Down_h]])</f>
        <v/>
      </c>
      <c r="I2385" s="60">
        <f>IF(AND(tblFleet[[#This Row],[Units]]&lt;&gt;"",tblFleet[[#This Row],[Calendar_h]]&gt;0),tblFleet[[#This Row],[Available_h]]/tblFleet[[#This Row],[Calendar_h]],"")</f>
        <v/>
      </c>
      <c r="J2385" s="60">
        <f>IF(AND(tblFleet[[#This Row],[Units]]&lt;&gt;"",tblFleet[[#This Row],[Available_h]]&gt;0),tblFleet[[#This Row],[Operating_h]]/tblFleet[[#This Row],[Available_h]],"")</f>
        <v/>
      </c>
    </row>
    <row r="2386">
      <c r="A2386" s="54" t="n"/>
      <c r="B2386" s="61" t="n"/>
      <c r="C2386" s="62" t="n"/>
      <c r="D2386" s="57" t="n"/>
      <c r="E2386" s="57" t="n"/>
      <c r="F2386" s="58" t="n"/>
      <c r="G2386" s="66">
        <f>IF(tblFleet[[#This Row],[Units]]="","",tblFleet[[#This Row],[Units]]*cfg_HoursPerDay)</f>
        <v/>
      </c>
      <c r="H2386" s="66">
        <f>IF(tblFleet[[#This Row],[Units]]="","",tblFleet[[#This Row],[Calendar_h]]-tblFleet[[#This Row],[Down_h]])</f>
        <v/>
      </c>
      <c r="I2386" s="60">
        <f>IF(AND(tblFleet[[#This Row],[Units]]&lt;&gt;"",tblFleet[[#This Row],[Calendar_h]]&gt;0),tblFleet[[#This Row],[Available_h]]/tblFleet[[#This Row],[Calendar_h]],"")</f>
        <v/>
      </c>
      <c r="J2386" s="60">
        <f>IF(AND(tblFleet[[#This Row],[Units]]&lt;&gt;"",tblFleet[[#This Row],[Available_h]]&gt;0),tblFleet[[#This Row],[Operating_h]]/tblFleet[[#This Row],[Available_h]],"")</f>
        <v/>
      </c>
    </row>
    <row r="2387">
      <c r="A2387" s="54" t="n"/>
      <c r="B2387" s="61" t="n"/>
      <c r="C2387" s="62" t="n"/>
      <c r="D2387" s="57" t="n"/>
      <c r="E2387" s="57" t="n"/>
      <c r="F2387" s="58" t="n"/>
      <c r="G2387" s="66">
        <f>IF(tblFleet[[#This Row],[Units]]="","",tblFleet[[#This Row],[Units]]*cfg_HoursPerDay)</f>
        <v/>
      </c>
      <c r="H2387" s="66">
        <f>IF(tblFleet[[#This Row],[Units]]="","",tblFleet[[#This Row],[Calendar_h]]-tblFleet[[#This Row],[Down_h]])</f>
        <v/>
      </c>
      <c r="I2387" s="60">
        <f>IF(AND(tblFleet[[#This Row],[Units]]&lt;&gt;"",tblFleet[[#This Row],[Calendar_h]]&gt;0),tblFleet[[#This Row],[Available_h]]/tblFleet[[#This Row],[Calendar_h]],"")</f>
        <v/>
      </c>
      <c r="J2387" s="60">
        <f>IF(AND(tblFleet[[#This Row],[Units]]&lt;&gt;"",tblFleet[[#This Row],[Available_h]]&gt;0),tblFleet[[#This Row],[Operating_h]]/tblFleet[[#This Row],[Available_h]],"")</f>
        <v/>
      </c>
    </row>
    <row r="2388">
      <c r="A2388" s="54" t="n"/>
      <c r="B2388" s="61" t="n"/>
      <c r="C2388" s="62" t="n"/>
      <c r="D2388" s="57" t="n"/>
      <c r="E2388" s="57" t="n"/>
      <c r="F2388" s="58" t="n"/>
      <c r="G2388" s="66">
        <f>IF(tblFleet[[#This Row],[Units]]="","",tblFleet[[#This Row],[Units]]*cfg_HoursPerDay)</f>
        <v/>
      </c>
      <c r="H2388" s="66">
        <f>IF(tblFleet[[#This Row],[Units]]="","",tblFleet[[#This Row],[Calendar_h]]-tblFleet[[#This Row],[Down_h]])</f>
        <v/>
      </c>
      <c r="I2388" s="60">
        <f>IF(AND(tblFleet[[#This Row],[Units]]&lt;&gt;"",tblFleet[[#This Row],[Calendar_h]]&gt;0),tblFleet[[#This Row],[Available_h]]/tblFleet[[#This Row],[Calendar_h]],"")</f>
        <v/>
      </c>
      <c r="J2388" s="60">
        <f>IF(AND(tblFleet[[#This Row],[Units]]&lt;&gt;"",tblFleet[[#This Row],[Available_h]]&gt;0),tblFleet[[#This Row],[Operating_h]]/tblFleet[[#This Row],[Available_h]],"")</f>
        <v/>
      </c>
    </row>
    <row r="2389">
      <c r="A2389" s="54" t="n"/>
      <c r="B2389" s="61" t="n"/>
      <c r="C2389" s="62" t="n"/>
      <c r="D2389" s="57" t="n"/>
      <c r="E2389" s="57" t="n"/>
      <c r="F2389" s="58" t="n"/>
      <c r="G2389" s="66">
        <f>IF(tblFleet[[#This Row],[Units]]="","",tblFleet[[#This Row],[Units]]*cfg_HoursPerDay)</f>
        <v/>
      </c>
      <c r="H2389" s="66">
        <f>IF(tblFleet[[#This Row],[Units]]="","",tblFleet[[#This Row],[Calendar_h]]-tblFleet[[#This Row],[Down_h]])</f>
        <v/>
      </c>
      <c r="I2389" s="60">
        <f>IF(AND(tblFleet[[#This Row],[Units]]&lt;&gt;"",tblFleet[[#This Row],[Calendar_h]]&gt;0),tblFleet[[#This Row],[Available_h]]/tblFleet[[#This Row],[Calendar_h]],"")</f>
        <v/>
      </c>
      <c r="J2389" s="60">
        <f>IF(AND(tblFleet[[#This Row],[Units]]&lt;&gt;"",tblFleet[[#This Row],[Available_h]]&gt;0),tblFleet[[#This Row],[Operating_h]]/tblFleet[[#This Row],[Available_h]],"")</f>
        <v/>
      </c>
    </row>
    <row r="2390">
      <c r="A2390" s="54" t="n"/>
      <c r="B2390" s="61" t="n"/>
      <c r="C2390" s="62" t="n"/>
      <c r="D2390" s="57" t="n"/>
      <c r="E2390" s="57" t="n"/>
      <c r="F2390" s="58" t="n"/>
      <c r="G2390" s="66">
        <f>IF(tblFleet[[#This Row],[Units]]="","",tblFleet[[#This Row],[Units]]*cfg_HoursPerDay)</f>
        <v/>
      </c>
      <c r="H2390" s="66">
        <f>IF(tblFleet[[#This Row],[Units]]="","",tblFleet[[#This Row],[Calendar_h]]-tblFleet[[#This Row],[Down_h]])</f>
        <v/>
      </c>
      <c r="I2390" s="60">
        <f>IF(AND(tblFleet[[#This Row],[Units]]&lt;&gt;"",tblFleet[[#This Row],[Calendar_h]]&gt;0),tblFleet[[#This Row],[Available_h]]/tblFleet[[#This Row],[Calendar_h]],"")</f>
        <v/>
      </c>
      <c r="J2390" s="60">
        <f>IF(AND(tblFleet[[#This Row],[Units]]&lt;&gt;"",tblFleet[[#This Row],[Available_h]]&gt;0),tblFleet[[#This Row],[Operating_h]]/tblFleet[[#This Row],[Available_h]],"")</f>
        <v/>
      </c>
    </row>
    <row r="2391">
      <c r="A2391" s="54" t="n"/>
      <c r="B2391" s="61" t="n"/>
      <c r="C2391" s="62" t="n"/>
      <c r="D2391" s="57" t="n"/>
      <c r="E2391" s="57" t="n"/>
      <c r="F2391" s="58" t="n"/>
      <c r="G2391" s="66">
        <f>IF(tblFleet[[#This Row],[Units]]="","",tblFleet[[#This Row],[Units]]*cfg_HoursPerDay)</f>
        <v/>
      </c>
      <c r="H2391" s="66">
        <f>IF(tblFleet[[#This Row],[Units]]="","",tblFleet[[#This Row],[Calendar_h]]-tblFleet[[#This Row],[Down_h]])</f>
        <v/>
      </c>
      <c r="I2391" s="60">
        <f>IF(AND(tblFleet[[#This Row],[Units]]&lt;&gt;"",tblFleet[[#This Row],[Calendar_h]]&gt;0),tblFleet[[#This Row],[Available_h]]/tblFleet[[#This Row],[Calendar_h]],"")</f>
        <v/>
      </c>
      <c r="J2391" s="60">
        <f>IF(AND(tblFleet[[#This Row],[Units]]&lt;&gt;"",tblFleet[[#This Row],[Available_h]]&gt;0),tblFleet[[#This Row],[Operating_h]]/tblFleet[[#This Row],[Available_h]],"")</f>
        <v/>
      </c>
    </row>
    <row r="2392">
      <c r="A2392" s="54" t="n"/>
      <c r="B2392" s="61" t="n"/>
      <c r="C2392" s="62" t="n"/>
      <c r="D2392" s="57" t="n"/>
      <c r="E2392" s="57" t="n"/>
      <c r="F2392" s="58" t="n"/>
      <c r="G2392" s="66">
        <f>IF(tblFleet[[#This Row],[Units]]="","",tblFleet[[#This Row],[Units]]*cfg_HoursPerDay)</f>
        <v/>
      </c>
      <c r="H2392" s="66">
        <f>IF(tblFleet[[#This Row],[Units]]="","",tblFleet[[#This Row],[Calendar_h]]-tblFleet[[#This Row],[Down_h]])</f>
        <v/>
      </c>
      <c r="I2392" s="60">
        <f>IF(AND(tblFleet[[#This Row],[Units]]&lt;&gt;"",tblFleet[[#This Row],[Calendar_h]]&gt;0),tblFleet[[#This Row],[Available_h]]/tblFleet[[#This Row],[Calendar_h]],"")</f>
        <v/>
      </c>
      <c r="J2392" s="60">
        <f>IF(AND(tblFleet[[#This Row],[Units]]&lt;&gt;"",tblFleet[[#This Row],[Available_h]]&gt;0),tblFleet[[#This Row],[Operating_h]]/tblFleet[[#This Row],[Available_h]],"")</f>
        <v/>
      </c>
    </row>
    <row r="2393">
      <c r="A2393" s="54" t="n"/>
      <c r="B2393" s="61" t="n"/>
      <c r="C2393" s="62" t="n"/>
      <c r="D2393" s="57" t="n"/>
      <c r="E2393" s="57" t="n"/>
      <c r="F2393" s="58" t="n"/>
      <c r="G2393" s="66">
        <f>IF(tblFleet[[#This Row],[Units]]="","",tblFleet[[#This Row],[Units]]*cfg_HoursPerDay)</f>
        <v/>
      </c>
      <c r="H2393" s="66">
        <f>IF(tblFleet[[#This Row],[Units]]="","",tblFleet[[#This Row],[Calendar_h]]-tblFleet[[#This Row],[Down_h]])</f>
        <v/>
      </c>
      <c r="I2393" s="60">
        <f>IF(AND(tblFleet[[#This Row],[Units]]&lt;&gt;"",tblFleet[[#This Row],[Calendar_h]]&gt;0),tblFleet[[#This Row],[Available_h]]/tblFleet[[#This Row],[Calendar_h]],"")</f>
        <v/>
      </c>
      <c r="J2393" s="60">
        <f>IF(AND(tblFleet[[#This Row],[Units]]&lt;&gt;"",tblFleet[[#This Row],[Available_h]]&gt;0),tblFleet[[#This Row],[Operating_h]]/tblFleet[[#This Row],[Available_h]],"")</f>
        <v/>
      </c>
    </row>
    <row r="2394">
      <c r="A2394" s="54" t="n"/>
      <c r="B2394" s="61" t="n"/>
      <c r="C2394" s="62" t="n"/>
      <c r="D2394" s="57" t="n"/>
      <c r="E2394" s="57" t="n"/>
      <c r="F2394" s="58" t="n"/>
      <c r="G2394" s="66">
        <f>IF(tblFleet[[#This Row],[Units]]="","",tblFleet[[#This Row],[Units]]*cfg_HoursPerDay)</f>
        <v/>
      </c>
      <c r="H2394" s="66">
        <f>IF(tblFleet[[#This Row],[Units]]="","",tblFleet[[#This Row],[Calendar_h]]-tblFleet[[#This Row],[Down_h]])</f>
        <v/>
      </c>
      <c r="I2394" s="60">
        <f>IF(AND(tblFleet[[#This Row],[Units]]&lt;&gt;"",tblFleet[[#This Row],[Calendar_h]]&gt;0),tblFleet[[#This Row],[Available_h]]/tblFleet[[#This Row],[Calendar_h]],"")</f>
        <v/>
      </c>
      <c r="J2394" s="60">
        <f>IF(AND(tblFleet[[#This Row],[Units]]&lt;&gt;"",tblFleet[[#This Row],[Available_h]]&gt;0),tblFleet[[#This Row],[Operating_h]]/tblFleet[[#This Row],[Available_h]],"")</f>
        <v/>
      </c>
    </row>
    <row r="2395">
      <c r="A2395" s="54" t="n"/>
      <c r="B2395" s="61" t="n"/>
      <c r="C2395" s="62" t="n"/>
      <c r="D2395" s="57" t="n"/>
      <c r="E2395" s="57" t="n"/>
      <c r="F2395" s="58" t="n"/>
      <c r="G2395" s="66">
        <f>IF(tblFleet[[#This Row],[Units]]="","",tblFleet[[#This Row],[Units]]*cfg_HoursPerDay)</f>
        <v/>
      </c>
      <c r="H2395" s="66">
        <f>IF(tblFleet[[#This Row],[Units]]="","",tblFleet[[#This Row],[Calendar_h]]-tblFleet[[#This Row],[Down_h]])</f>
        <v/>
      </c>
      <c r="I2395" s="60">
        <f>IF(AND(tblFleet[[#This Row],[Units]]&lt;&gt;"",tblFleet[[#This Row],[Calendar_h]]&gt;0),tblFleet[[#This Row],[Available_h]]/tblFleet[[#This Row],[Calendar_h]],"")</f>
        <v/>
      </c>
      <c r="J2395" s="60">
        <f>IF(AND(tblFleet[[#This Row],[Units]]&lt;&gt;"",tblFleet[[#This Row],[Available_h]]&gt;0),tblFleet[[#This Row],[Operating_h]]/tblFleet[[#This Row],[Available_h]],"")</f>
        <v/>
      </c>
    </row>
    <row r="2396">
      <c r="A2396" s="54" t="n"/>
      <c r="B2396" s="61" t="n"/>
      <c r="C2396" s="62" t="n"/>
      <c r="D2396" s="57" t="n"/>
      <c r="E2396" s="57" t="n"/>
      <c r="F2396" s="58" t="n"/>
      <c r="G2396" s="66">
        <f>IF(tblFleet[[#This Row],[Units]]="","",tblFleet[[#This Row],[Units]]*cfg_HoursPerDay)</f>
        <v/>
      </c>
      <c r="H2396" s="66">
        <f>IF(tblFleet[[#This Row],[Units]]="","",tblFleet[[#This Row],[Calendar_h]]-tblFleet[[#This Row],[Down_h]])</f>
        <v/>
      </c>
      <c r="I2396" s="60">
        <f>IF(AND(tblFleet[[#This Row],[Units]]&lt;&gt;"",tblFleet[[#This Row],[Calendar_h]]&gt;0),tblFleet[[#This Row],[Available_h]]/tblFleet[[#This Row],[Calendar_h]],"")</f>
        <v/>
      </c>
      <c r="J2396" s="60">
        <f>IF(AND(tblFleet[[#This Row],[Units]]&lt;&gt;"",tblFleet[[#This Row],[Available_h]]&gt;0),tblFleet[[#This Row],[Operating_h]]/tblFleet[[#This Row],[Available_h]],"")</f>
        <v/>
      </c>
    </row>
    <row r="2397">
      <c r="A2397" s="54" t="n"/>
      <c r="B2397" s="61" t="n"/>
      <c r="C2397" s="62" t="n"/>
      <c r="D2397" s="57" t="n"/>
      <c r="E2397" s="57" t="n"/>
      <c r="F2397" s="58" t="n"/>
      <c r="G2397" s="66">
        <f>IF(tblFleet[[#This Row],[Units]]="","",tblFleet[[#This Row],[Units]]*cfg_HoursPerDay)</f>
        <v/>
      </c>
      <c r="H2397" s="66">
        <f>IF(tblFleet[[#This Row],[Units]]="","",tblFleet[[#This Row],[Calendar_h]]-tblFleet[[#This Row],[Down_h]])</f>
        <v/>
      </c>
      <c r="I2397" s="60">
        <f>IF(AND(tblFleet[[#This Row],[Units]]&lt;&gt;"",tblFleet[[#This Row],[Calendar_h]]&gt;0),tblFleet[[#This Row],[Available_h]]/tblFleet[[#This Row],[Calendar_h]],"")</f>
        <v/>
      </c>
      <c r="J2397" s="60">
        <f>IF(AND(tblFleet[[#This Row],[Units]]&lt;&gt;"",tblFleet[[#This Row],[Available_h]]&gt;0),tblFleet[[#This Row],[Operating_h]]/tblFleet[[#This Row],[Available_h]],"")</f>
        <v/>
      </c>
    </row>
    <row r="2398">
      <c r="A2398" s="54" t="n"/>
      <c r="B2398" s="61" t="n"/>
      <c r="C2398" s="62" t="n"/>
      <c r="D2398" s="57" t="n"/>
      <c r="E2398" s="57" t="n"/>
      <c r="F2398" s="58" t="n"/>
      <c r="G2398" s="66">
        <f>IF(tblFleet[[#This Row],[Units]]="","",tblFleet[[#This Row],[Units]]*cfg_HoursPerDay)</f>
        <v/>
      </c>
      <c r="H2398" s="66">
        <f>IF(tblFleet[[#This Row],[Units]]="","",tblFleet[[#This Row],[Calendar_h]]-tblFleet[[#This Row],[Down_h]])</f>
        <v/>
      </c>
      <c r="I2398" s="60">
        <f>IF(AND(tblFleet[[#This Row],[Units]]&lt;&gt;"",tblFleet[[#This Row],[Calendar_h]]&gt;0),tblFleet[[#This Row],[Available_h]]/tblFleet[[#This Row],[Calendar_h]],"")</f>
        <v/>
      </c>
      <c r="J2398" s="60">
        <f>IF(AND(tblFleet[[#This Row],[Units]]&lt;&gt;"",tblFleet[[#This Row],[Available_h]]&gt;0),tblFleet[[#This Row],[Operating_h]]/tblFleet[[#This Row],[Available_h]],"")</f>
        <v/>
      </c>
    </row>
    <row r="2399">
      <c r="A2399" s="54" t="n"/>
      <c r="B2399" s="61" t="n"/>
      <c r="C2399" s="62" t="n"/>
      <c r="D2399" s="57" t="n"/>
      <c r="E2399" s="57" t="n"/>
      <c r="F2399" s="58" t="n"/>
      <c r="G2399" s="66">
        <f>IF(tblFleet[[#This Row],[Units]]="","",tblFleet[[#This Row],[Units]]*cfg_HoursPerDay)</f>
        <v/>
      </c>
      <c r="H2399" s="66">
        <f>IF(tblFleet[[#This Row],[Units]]="","",tblFleet[[#This Row],[Calendar_h]]-tblFleet[[#This Row],[Down_h]])</f>
        <v/>
      </c>
      <c r="I2399" s="60">
        <f>IF(AND(tblFleet[[#This Row],[Units]]&lt;&gt;"",tblFleet[[#This Row],[Calendar_h]]&gt;0),tblFleet[[#This Row],[Available_h]]/tblFleet[[#This Row],[Calendar_h]],"")</f>
        <v/>
      </c>
      <c r="J2399" s="60">
        <f>IF(AND(tblFleet[[#This Row],[Units]]&lt;&gt;"",tblFleet[[#This Row],[Available_h]]&gt;0),tblFleet[[#This Row],[Operating_h]]/tblFleet[[#This Row],[Available_h]],"")</f>
        <v/>
      </c>
    </row>
    <row r="2400">
      <c r="A2400" s="54" t="n"/>
      <c r="B2400" s="61" t="n"/>
      <c r="C2400" s="62" t="n"/>
      <c r="D2400" s="57" t="n"/>
      <c r="E2400" s="57" t="n"/>
      <c r="F2400" s="58" t="n"/>
      <c r="G2400" s="66">
        <f>IF(tblFleet[[#This Row],[Units]]="","",tblFleet[[#This Row],[Units]]*cfg_HoursPerDay)</f>
        <v/>
      </c>
      <c r="H2400" s="66">
        <f>IF(tblFleet[[#This Row],[Units]]="","",tblFleet[[#This Row],[Calendar_h]]-tblFleet[[#This Row],[Down_h]])</f>
        <v/>
      </c>
      <c r="I2400" s="60">
        <f>IF(AND(tblFleet[[#This Row],[Units]]&lt;&gt;"",tblFleet[[#This Row],[Calendar_h]]&gt;0),tblFleet[[#This Row],[Available_h]]/tblFleet[[#This Row],[Calendar_h]],"")</f>
        <v/>
      </c>
      <c r="J2400" s="60">
        <f>IF(AND(tblFleet[[#This Row],[Units]]&lt;&gt;"",tblFleet[[#This Row],[Available_h]]&gt;0),tblFleet[[#This Row],[Operating_h]]/tblFleet[[#This Row],[Available_h]],"")</f>
        <v/>
      </c>
    </row>
    <row r="2401">
      <c r="A2401" s="54" t="n"/>
      <c r="B2401" s="61" t="n"/>
      <c r="C2401" s="62" t="n"/>
      <c r="D2401" s="57" t="n"/>
      <c r="E2401" s="57" t="n"/>
      <c r="F2401" s="58" t="n"/>
      <c r="G2401" s="66">
        <f>IF(tblFleet[[#This Row],[Units]]="","",tblFleet[[#This Row],[Units]]*cfg_HoursPerDay)</f>
        <v/>
      </c>
      <c r="H2401" s="66">
        <f>IF(tblFleet[[#This Row],[Units]]="","",tblFleet[[#This Row],[Calendar_h]]-tblFleet[[#This Row],[Down_h]])</f>
        <v/>
      </c>
      <c r="I2401" s="60">
        <f>IF(AND(tblFleet[[#This Row],[Units]]&lt;&gt;"",tblFleet[[#This Row],[Calendar_h]]&gt;0),tblFleet[[#This Row],[Available_h]]/tblFleet[[#This Row],[Calendar_h]],"")</f>
        <v/>
      </c>
      <c r="J2401" s="60">
        <f>IF(AND(tblFleet[[#This Row],[Units]]&lt;&gt;"",tblFleet[[#This Row],[Available_h]]&gt;0),tblFleet[[#This Row],[Operating_h]]/tblFleet[[#This Row],[Available_h]],"")</f>
        <v/>
      </c>
    </row>
    <row r="2402">
      <c r="A2402" s="54" t="n"/>
      <c r="B2402" s="61" t="n"/>
      <c r="C2402" s="62" t="n"/>
      <c r="D2402" s="57" t="n"/>
      <c r="E2402" s="57" t="n"/>
      <c r="F2402" s="58" t="n"/>
      <c r="G2402" s="66">
        <f>IF(tblFleet[[#This Row],[Units]]="","",tblFleet[[#This Row],[Units]]*cfg_HoursPerDay)</f>
        <v/>
      </c>
      <c r="H2402" s="66">
        <f>IF(tblFleet[[#This Row],[Units]]="","",tblFleet[[#This Row],[Calendar_h]]-tblFleet[[#This Row],[Down_h]])</f>
        <v/>
      </c>
      <c r="I2402" s="60">
        <f>IF(AND(tblFleet[[#This Row],[Units]]&lt;&gt;"",tblFleet[[#This Row],[Calendar_h]]&gt;0),tblFleet[[#This Row],[Available_h]]/tblFleet[[#This Row],[Calendar_h]],"")</f>
        <v/>
      </c>
      <c r="J2402" s="60">
        <f>IF(AND(tblFleet[[#This Row],[Units]]&lt;&gt;"",tblFleet[[#This Row],[Available_h]]&gt;0),tblFleet[[#This Row],[Operating_h]]/tblFleet[[#This Row],[Available_h]],"")</f>
        <v/>
      </c>
    </row>
    <row r="2403">
      <c r="A2403" s="54" t="n"/>
      <c r="B2403" s="61" t="n"/>
      <c r="C2403" s="62" t="n"/>
      <c r="D2403" s="57" t="n"/>
      <c r="E2403" s="57" t="n"/>
      <c r="F2403" s="58" t="n"/>
      <c r="G2403" s="66">
        <f>IF(tblFleet[[#This Row],[Units]]="","",tblFleet[[#This Row],[Units]]*cfg_HoursPerDay)</f>
        <v/>
      </c>
      <c r="H2403" s="66">
        <f>IF(tblFleet[[#This Row],[Units]]="","",tblFleet[[#This Row],[Calendar_h]]-tblFleet[[#This Row],[Down_h]])</f>
        <v/>
      </c>
      <c r="I2403" s="60">
        <f>IF(AND(tblFleet[[#This Row],[Units]]&lt;&gt;"",tblFleet[[#This Row],[Calendar_h]]&gt;0),tblFleet[[#This Row],[Available_h]]/tblFleet[[#This Row],[Calendar_h]],"")</f>
        <v/>
      </c>
      <c r="J2403" s="60">
        <f>IF(AND(tblFleet[[#This Row],[Units]]&lt;&gt;"",tblFleet[[#This Row],[Available_h]]&gt;0),tblFleet[[#This Row],[Operating_h]]/tblFleet[[#This Row],[Available_h]],"")</f>
        <v/>
      </c>
    </row>
    <row r="2404">
      <c r="A2404" s="54" t="n"/>
      <c r="B2404" s="61" t="n"/>
      <c r="C2404" s="62" t="n"/>
      <c r="D2404" s="57" t="n"/>
      <c r="E2404" s="57" t="n"/>
      <c r="F2404" s="58" t="n"/>
      <c r="G2404" s="66">
        <f>IF(tblFleet[[#This Row],[Units]]="","",tblFleet[[#This Row],[Units]]*cfg_HoursPerDay)</f>
        <v/>
      </c>
      <c r="H2404" s="66">
        <f>IF(tblFleet[[#This Row],[Units]]="","",tblFleet[[#This Row],[Calendar_h]]-tblFleet[[#This Row],[Down_h]])</f>
        <v/>
      </c>
      <c r="I2404" s="60">
        <f>IF(AND(tblFleet[[#This Row],[Units]]&lt;&gt;"",tblFleet[[#This Row],[Calendar_h]]&gt;0),tblFleet[[#This Row],[Available_h]]/tblFleet[[#This Row],[Calendar_h]],"")</f>
        <v/>
      </c>
      <c r="J2404" s="60">
        <f>IF(AND(tblFleet[[#This Row],[Units]]&lt;&gt;"",tblFleet[[#This Row],[Available_h]]&gt;0),tblFleet[[#This Row],[Operating_h]]/tblFleet[[#This Row],[Available_h]],"")</f>
        <v/>
      </c>
    </row>
    <row r="2405">
      <c r="A2405" s="54" t="n"/>
      <c r="B2405" s="61" t="n"/>
      <c r="C2405" s="62" t="n"/>
      <c r="D2405" s="57" t="n"/>
      <c r="E2405" s="57" t="n"/>
      <c r="F2405" s="58" t="n"/>
      <c r="G2405" s="66">
        <f>IF(tblFleet[[#This Row],[Units]]="","",tblFleet[[#This Row],[Units]]*cfg_HoursPerDay)</f>
        <v/>
      </c>
      <c r="H2405" s="66">
        <f>IF(tblFleet[[#This Row],[Units]]="","",tblFleet[[#This Row],[Calendar_h]]-tblFleet[[#This Row],[Down_h]])</f>
        <v/>
      </c>
      <c r="I2405" s="60">
        <f>IF(AND(tblFleet[[#This Row],[Units]]&lt;&gt;"",tblFleet[[#This Row],[Calendar_h]]&gt;0),tblFleet[[#This Row],[Available_h]]/tblFleet[[#This Row],[Calendar_h]],"")</f>
        <v/>
      </c>
      <c r="J2405" s="60">
        <f>IF(AND(tblFleet[[#This Row],[Units]]&lt;&gt;"",tblFleet[[#This Row],[Available_h]]&gt;0),tblFleet[[#This Row],[Operating_h]]/tblFleet[[#This Row],[Available_h]],"")</f>
        <v/>
      </c>
    </row>
    <row r="2406">
      <c r="A2406" s="54" t="n"/>
      <c r="B2406" s="61" t="n"/>
      <c r="C2406" s="62" t="n"/>
      <c r="D2406" s="57" t="n"/>
      <c r="E2406" s="57" t="n"/>
      <c r="F2406" s="58" t="n"/>
      <c r="G2406" s="66">
        <f>IF(tblFleet[[#This Row],[Units]]="","",tblFleet[[#This Row],[Units]]*cfg_HoursPerDay)</f>
        <v/>
      </c>
      <c r="H2406" s="66">
        <f>IF(tblFleet[[#This Row],[Units]]="","",tblFleet[[#This Row],[Calendar_h]]-tblFleet[[#This Row],[Down_h]])</f>
        <v/>
      </c>
      <c r="I2406" s="60">
        <f>IF(AND(tblFleet[[#This Row],[Units]]&lt;&gt;"",tblFleet[[#This Row],[Calendar_h]]&gt;0),tblFleet[[#This Row],[Available_h]]/tblFleet[[#This Row],[Calendar_h]],"")</f>
        <v/>
      </c>
      <c r="J2406" s="60">
        <f>IF(AND(tblFleet[[#This Row],[Units]]&lt;&gt;"",tblFleet[[#This Row],[Available_h]]&gt;0),tblFleet[[#This Row],[Operating_h]]/tblFleet[[#This Row],[Available_h]],"")</f>
        <v/>
      </c>
    </row>
    <row r="2407">
      <c r="A2407" s="54" t="n"/>
      <c r="B2407" s="61" t="n"/>
      <c r="C2407" s="62" t="n"/>
      <c r="D2407" s="57" t="n"/>
      <c r="E2407" s="57" t="n"/>
      <c r="F2407" s="58" t="n"/>
      <c r="G2407" s="66">
        <f>IF(tblFleet[[#This Row],[Units]]="","",tblFleet[[#This Row],[Units]]*cfg_HoursPerDay)</f>
        <v/>
      </c>
      <c r="H2407" s="66">
        <f>IF(tblFleet[[#This Row],[Units]]="","",tblFleet[[#This Row],[Calendar_h]]-tblFleet[[#This Row],[Down_h]])</f>
        <v/>
      </c>
      <c r="I2407" s="60">
        <f>IF(AND(tblFleet[[#This Row],[Units]]&lt;&gt;"",tblFleet[[#This Row],[Calendar_h]]&gt;0),tblFleet[[#This Row],[Available_h]]/tblFleet[[#This Row],[Calendar_h]],"")</f>
        <v/>
      </c>
      <c r="J2407" s="60">
        <f>IF(AND(tblFleet[[#This Row],[Units]]&lt;&gt;"",tblFleet[[#This Row],[Available_h]]&gt;0),tblFleet[[#This Row],[Operating_h]]/tblFleet[[#This Row],[Available_h]],"")</f>
        <v/>
      </c>
    </row>
    <row r="2408">
      <c r="A2408" s="54" t="n"/>
      <c r="B2408" s="61" t="n"/>
      <c r="C2408" s="62" t="n"/>
      <c r="D2408" s="57" t="n"/>
      <c r="E2408" s="57" t="n"/>
      <c r="F2408" s="58" t="n"/>
      <c r="G2408" s="66">
        <f>IF(tblFleet[[#This Row],[Units]]="","",tblFleet[[#This Row],[Units]]*cfg_HoursPerDay)</f>
        <v/>
      </c>
      <c r="H2408" s="66">
        <f>IF(tblFleet[[#This Row],[Units]]="","",tblFleet[[#This Row],[Calendar_h]]-tblFleet[[#This Row],[Down_h]])</f>
        <v/>
      </c>
      <c r="I2408" s="60">
        <f>IF(AND(tblFleet[[#This Row],[Units]]&lt;&gt;"",tblFleet[[#This Row],[Calendar_h]]&gt;0),tblFleet[[#This Row],[Available_h]]/tblFleet[[#This Row],[Calendar_h]],"")</f>
        <v/>
      </c>
      <c r="J2408" s="60">
        <f>IF(AND(tblFleet[[#This Row],[Units]]&lt;&gt;"",tblFleet[[#This Row],[Available_h]]&gt;0),tblFleet[[#This Row],[Operating_h]]/tblFleet[[#This Row],[Available_h]],"")</f>
        <v/>
      </c>
    </row>
    <row r="2409">
      <c r="A2409" s="54" t="n"/>
      <c r="B2409" s="61" t="n"/>
      <c r="C2409" s="62" t="n"/>
      <c r="D2409" s="57" t="n"/>
      <c r="E2409" s="57" t="n"/>
      <c r="F2409" s="58" t="n"/>
      <c r="G2409" s="66">
        <f>IF(tblFleet[[#This Row],[Units]]="","",tblFleet[[#This Row],[Units]]*cfg_HoursPerDay)</f>
        <v/>
      </c>
      <c r="H2409" s="66">
        <f>IF(tblFleet[[#This Row],[Units]]="","",tblFleet[[#This Row],[Calendar_h]]-tblFleet[[#This Row],[Down_h]])</f>
        <v/>
      </c>
      <c r="I2409" s="60">
        <f>IF(AND(tblFleet[[#This Row],[Units]]&lt;&gt;"",tblFleet[[#This Row],[Calendar_h]]&gt;0),tblFleet[[#This Row],[Available_h]]/tblFleet[[#This Row],[Calendar_h]],"")</f>
        <v/>
      </c>
      <c r="J2409" s="60">
        <f>IF(AND(tblFleet[[#This Row],[Units]]&lt;&gt;"",tblFleet[[#This Row],[Available_h]]&gt;0),tblFleet[[#This Row],[Operating_h]]/tblFleet[[#This Row],[Available_h]],"")</f>
        <v/>
      </c>
    </row>
    <row r="2410">
      <c r="A2410" s="54" t="n"/>
      <c r="B2410" s="61" t="n"/>
      <c r="C2410" s="62" t="n"/>
      <c r="D2410" s="57" t="n"/>
      <c r="E2410" s="57" t="n"/>
      <c r="F2410" s="58" t="n"/>
      <c r="G2410" s="66">
        <f>IF(tblFleet[[#This Row],[Units]]="","",tblFleet[[#This Row],[Units]]*cfg_HoursPerDay)</f>
        <v/>
      </c>
      <c r="H2410" s="66">
        <f>IF(tblFleet[[#This Row],[Units]]="","",tblFleet[[#This Row],[Calendar_h]]-tblFleet[[#This Row],[Down_h]])</f>
        <v/>
      </c>
      <c r="I2410" s="60">
        <f>IF(AND(tblFleet[[#This Row],[Units]]&lt;&gt;"",tblFleet[[#This Row],[Calendar_h]]&gt;0),tblFleet[[#This Row],[Available_h]]/tblFleet[[#This Row],[Calendar_h]],"")</f>
        <v/>
      </c>
      <c r="J2410" s="60">
        <f>IF(AND(tblFleet[[#This Row],[Units]]&lt;&gt;"",tblFleet[[#This Row],[Available_h]]&gt;0),tblFleet[[#This Row],[Operating_h]]/tblFleet[[#This Row],[Available_h]],"")</f>
        <v/>
      </c>
    </row>
    <row r="2411">
      <c r="A2411" s="54" t="n"/>
      <c r="B2411" s="61" t="n"/>
      <c r="C2411" s="62" t="n"/>
      <c r="D2411" s="57" t="n"/>
      <c r="E2411" s="57" t="n"/>
      <c r="F2411" s="58" t="n"/>
      <c r="G2411" s="66">
        <f>IF(tblFleet[[#This Row],[Units]]="","",tblFleet[[#This Row],[Units]]*cfg_HoursPerDay)</f>
        <v/>
      </c>
      <c r="H2411" s="66">
        <f>IF(tblFleet[[#This Row],[Units]]="","",tblFleet[[#This Row],[Calendar_h]]-tblFleet[[#This Row],[Down_h]])</f>
        <v/>
      </c>
      <c r="I2411" s="60">
        <f>IF(AND(tblFleet[[#This Row],[Units]]&lt;&gt;"",tblFleet[[#This Row],[Calendar_h]]&gt;0),tblFleet[[#This Row],[Available_h]]/tblFleet[[#This Row],[Calendar_h]],"")</f>
        <v/>
      </c>
      <c r="J2411" s="60">
        <f>IF(AND(tblFleet[[#This Row],[Units]]&lt;&gt;"",tblFleet[[#This Row],[Available_h]]&gt;0),tblFleet[[#This Row],[Operating_h]]/tblFleet[[#This Row],[Available_h]],"")</f>
        <v/>
      </c>
    </row>
    <row r="2412">
      <c r="A2412" s="54" t="n"/>
      <c r="B2412" s="61" t="n"/>
      <c r="C2412" s="62" t="n"/>
      <c r="D2412" s="57" t="n"/>
      <c r="E2412" s="57" t="n"/>
      <c r="F2412" s="58" t="n"/>
      <c r="G2412" s="66">
        <f>IF(tblFleet[[#This Row],[Units]]="","",tblFleet[[#This Row],[Units]]*cfg_HoursPerDay)</f>
        <v/>
      </c>
      <c r="H2412" s="66">
        <f>IF(tblFleet[[#This Row],[Units]]="","",tblFleet[[#This Row],[Calendar_h]]-tblFleet[[#This Row],[Down_h]])</f>
        <v/>
      </c>
      <c r="I2412" s="60">
        <f>IF(AND(tblFleet[[#This Row],[Units]]&lt;&gt;"",tblFleet[[#This Row],[Calendar_h]]&gt;0),tblFleet[[#This Row],[Available_h]]/tblFleet[[#This Row],[Calendar_h]],"")</f>
        <v/>
      </c>
      <c r="J2412" s="60">
        <f>IF(AND(tblFleet[[#This Row],[Units]]&lt;&gt;"",tblFleet[[#This Row],[Available_h]]&gt;0),tblFleet[[#This Row],[Operating_h]]/tblFleet[[#This Row],[Available_h]],"")</f>
        <v/>
      </c>
    </row>
    <row r="2413">
      <c r="A2413" s="54" t="n"/>
      <c r="B2413" s="61" t="n"/>
      <c r="C2413" s="62" t="n"/>
      <c r="D2413" s="57" t="n"/>
      <c r="E2413" s="57" t="n"/>
      <c r="F2413" s="58" t="n"/>
      <c r="G2413" s="66">
        <f>IF(tblFleet[[#This Row],[Units]]="","",tblFleet[[#This Row],[Units]]*cfg_HoursPerDay)</f>
        <v/>
      </c>
      <c r="H2413" s="66">
        <f>IF(tblFleet[[#This Row],[Units]]="","",tblFleet[[#This Row],[Calendar_h]]-tblFleet[[#This Row],[Down_h]])</f>
        <v/>
      </c>
      <c r="I2413" s="60">
        <f>IF(AND(tblFleet[[#This Row],[Units]]&lt;&gt;"",tblFleet[[#This Row],[Calendar_h]]&gt;0),tblFleet[[#This Row],[Available_h]]/tblFleet[[#This Row],[Calendar_h]],"")</f>
        <v/>
      </c>
      <c r="J2413" s="60">
        <f>IF(AND(tblFleet[[#This Row],[Units]]&lt;&gt;"",tblFleet[[#This Row],[Available_h]]&gt;0),tblFleet[[#This Row],[Operating_h]]/tblFleet[[#This Row],[Available_h]],"")</f>
        <v/>
      </c>
    </row>
    <row r="2414">
      <c r="A2414" s="54" t="n"/>
      <c r="B2414" s="61" t="n"/>
      <c r="C2414" s="62" t="n"/>
      <c r="D2414" s="57" t="n"/>
      <c r="E2414" s="57" t="n"/>
      <c r="F2414" s="58" t="n"/>
      <c r="G2414" s="66">
        <f>IF(tblFleet[[#This Row],[Units]]="","",tblFleet[[#This Row],[Units]]*cfg_HoursPerDay)</f>
        <v/>
      </c>
      <c r="H2414" s="66">
        <f>IF(tblFleet[[#This Row],[Units]]="","",tblFleet[[#This Row],[Calendar_h]]-tblFleet[[#This Row],[Down_h]])</f>
        <v/>
      </c>
      <c r="I2414" s="60">
        <f>IF(AND(tblFleet[[#This Row],[Units]]&lt;&gt;"",tblFleet[[#This Row],[Calendar_h]]&gt;0),tblFleet[[#This Row],[Available_h]]/tblFleet[[#This Row],[Calendar_h]],"")</f>
        <v/>
      </c>
      <c r="J2414" s="60">
        <f>IF(AND(tblFleet[[#This Row],[Units]]&lt;&gt;"",tblFleet[[#This Row],[Available_h]]&gt;0),tblFleet[[#This Row],[Operating_h]]/tblFleet[[#This Row],[Available_h]],"")</f>
        <v/>
      </c>
    </row>
    <row r="2415">
      <c r="A2415" s="54" t="n"/>
      <c r="B2415" s="61" t="n"/>
      <c r="C2415" s="62" t="n"/>
      <c r="D2415" s="57" t="n"/>
      <c r="E2415" s="57" t="n"/>
      <c r="F2415" s="58" t="n"/>
      <c r="G2415" s="66">
        <f>IF(tblFleet[[#This Row],[Units]]="","",tblFleet[[#This Row],[Units]]*cfg_HoursPerDay)</f>
        <v/>
      </c>
      <c r="H2415" s="66">
        <f>IF(tblFleet[[#This Row],[Units]]="","",tblFleet[[#This Row],[Calendar_h]]-tblFleet[[#This Row],[Down_h]])</f>
        <v/>
      </c>
      <c r="I2415" s="60">
        <f>IF(AND(tblFleet[[#This Row],[Units]]&lt;&gt;"",tblFleet[[#This Row],[Calendar_h]]&gt;0),tblFleet[[#This Row],[Available_h]]/tblFleet[[#This Row],[Calendar_h]],"")</f>
        <v/>
      </c>
      <c r="J2415" s="60">
        <f>IF(AND(tblFleet[[#This Row],[Units]]&lt;&gt;"",tblFleet[[#This Row],[Available_h]]&gt;0),tblFleet[[#This Row],[Operating_h]]/tblFleet[[#This Row],[Available_h]],"")</f>
        <v/>
      </c>
    </row>
    <row r="2416">
      <c r="A2416" s="54" t="n"/>
      <c r="B2416" s="61" t="n"/>
      <c r="C2416" s="62" t="n"/>
      <c r="D2416" s="57" t="n"/>
      <c r="E2416" s="57" t="n"/>
      <c r="F2416" s="58" t="n"/>
      <c r="G2416" s="66">
        <f>IF(tblFleet[[#This Row],[Units]]="","",tblFleet[[#This Row],[Units]]*cfg_HoursPerDay)</f>
        <v/>
      </c>
      <c r="H2416" s="66">
        <f>IF(tblFleet[[#This Row],[Units]]="","",tblFleet[[#This Row],[Calendar_h]]-tblFleet[[#This Row],[Down_h]])</f>
        <v/>
      </c>
      <c r="I2416" s="60">
        <f>IF(AND(tblFleet[[#This Row],[Units]]&lt;&gt;"",tblFleet[[#This Row],[Calendar_h]]&gt;0),tblFleet[[#This Row],[Available_h]]/tblFleet[[#This Row],[Calendar_h]],"")</f>
        <v/>
      </c>
      <c r="J2416" s="60">
        <f>IF(AND(tblFleet[[#This Row],[Units]]&lt;&gt;"",tblFleet[[#This Row],[Available_h]]&gt;0),tblFleet[[#This Row],[Operating_h]]/tblFleet[[#This Row],[Available_h]],"")</f>
        <v/>
      </c>
    </row>
    <row r="2417">
      <c r="A2417" s="54" t="n"/>
      <c r="B2417" s="61" t="n"/>
      <c r="C2417" s="62" t="n"/>
      <c r="D2417" s="57" t="n"/>
      <c r="E2417" s="57" t="n"/>
      <c r="F2417" s="58" t="n"/>
      <c r="G2417" s="66">
        <f>IF(tblFleet[[#This Row],[Units]]="","",tblFleet[[#This Row],[Units]]*cfg_HoursPerDay)</f>
        <v/>
      </c>
      <c r="H2417" s="66">
        <f>IF(tblFleet[[#This Row],[Units]]="","",tblFleet[[#This Row],[Calendar_h]]-tblFleet[[#This Row],[Down_h]])</f>
        <v/>
      </c>
      <c r="I2417" s="60">
        <f>IF(AND(tblFleet[[#This Row],[Units]]&lt;&gt;"",tblFleet[[#This Row],[Calendar_h]]&gt;0),tblFleet[[#This Row],[Available_h]]/tblFleet[[#This Row],[Calendar_h]],"")</f>
        <v/>
      </c>
      <c r="J2417" s="60">
        <f>IF(AND(tblFleet[[#This Row],[Units]]&lt;&gt;"",tblFleet[[#This Row],[Available_h]]&gt;0),tblFleet[[#This Row],[Operating_h]]/tblFleet[[#This Row],[Available_h]],"")</f>
        <v/>
      </c>
    </row>
    <row r="2418">
      <c r="A2418" s="54" t="n"/>
      <c r="B2418" s="61" t="n"/>
      <c r="C2418" s="62" t="n"/>
      <c r="D2418" s="57" t="n"/>
      <c r="E2418" s="57" t="n"/>
      <c r="F2418" s="58" t="n"/>
      <c r="G2418" s="66">
        <f>IF(tblFleet[[#This Row],[Units]]="","",tblFleet[[#This Row],[Units]]*cfg_HoursPerDay)</f>
        <v/>
      </c>
      <c r="H2418" s="66">
        <f>IF(tblFleet[[#This Row],[Units]]="","",tblFleet[[#This Row],[Calendar_h]]-tblFleet[[#This Row],[Down_h]])</f>
        <v/>
      </c>
      <c r="I2418" s="60">
        <f>IF(AND(tblFleet[[#This Row],[Units]]&lt;&gt;"",tblFleet[[#This Row],[Calendar_h]]&gt;0),tblFleet[[#This Row],[Available_h]]/tblFleet[[#This Row],[Calendar_h]],"")</f>
        <v/>
      </c>
      <c r="J2418" s="60">
        <f>IF(AND(tblFleet[[#This Row],[Units]]&lt;&gt;"",tblFleet[[#This Row],[Available_h]]&gt;0),tblFleet[[#This Row],[Operating_h]]/tblFleet[[#This Row],[Available_h]],"")</f>
        <v/>
      </c>
    </row>
    <row r="2419">
      <c r="A2419" s="54" t="n"/>
      <c r="B2419" s="61" t="n"/>
      <c r="C2419" s="62" t="n"/>
      <c r="D2419" s="57" t="n"/>
      <c r="E2419" s="57" t="n"/>
      <c r="F2419" s="58" t="n"/>
      <c r="G2419" s="66">
        <f>IF(tblFleet[[#This Row],[Units]]="","",tblFleet[[#This Row],[Units]]*cfg_HoursPerDay)</f>
        <v/>
      </c>
      <c r="H2419" s="66">
        <f>IF(tblFleet[[#This Row],[Units]]="","",tblFleet[[#This Row],[Calendar_h]]-tblFleet[[#This Row],[Down_h]])</f>
        <v/>
      </c>
      <c r="I2419" s="60">
        <f>IF(AND(tblFleet[[#This Row],[Units]]&lt;&gt;"",tblFleet[[#This Row],[Calendar_h]]&gt;0),tblFleet[[#This Row],[Available_h]]/tblFleet[[#This Row],[Calendar_h]],"")</f>
        <v/>
      </c>
      <c r="J2419" s="60">
        <f>IF(AND(tblFleet[[#This Row],[Units]]&lt;&gt;"",tblFleet[[#This Row],[Available_h]]&gt;0),tblFleet[[#This Row],[Operating_h]]/tblFleet[[#This Row],[Available_h]],"")</f>
        <v/>
      </c>
    </row>
    <row r="2420">
      <c r="A2420" s="54" t="n"/>
      <c r="B2420" s="61" t="n"/>
      <c r="C2420" s="62" t="n"/>
      <c r="D2420" s="57" t="n"/>
      <c r="E2420" s="57" t="n"/>
      <c r="F2420" s="58" t="n"/>
      <c r="G2420" s="66">
        <f>IF(tblFleet[[#This Row],[Units]]="","",tblFleet[[#This Row],[Units]]*cfg_HoursPerDay)</f>
        <v/>
      </c>
      <c r="H2420" s="66">
        <f>IF(tblFleet[[#This Row],[Units]]="","",tblFleet[[#This Row],[Calendar_h]]-tblFleet[[#This Row],[Down_h]])</f>
        <v/>
      </c>
      <c r="I2420" s="60">
        <f>IF(AND(tblFleet[[#This Row],[Units]]&lt;&gt;"",tblFleet[[#This Row],[Calendar_h]]&gt;0),tblFleet[[#This Row],[Available_h]]/tblFleet[[#This Row],[Calendar_h]],"")</f>
        <v/>
      </c>
      <c r="J2420" s="60">
        <f>IF(AND(tblFleet[[#This Row],[Units]]&lt;&gt;"",tblFleet[[#This Row],[Available_h]]&gt;0),tblFleet[[#This Row],[Operating_h]]/tblFleet[[#This Row],[Available_h]],"")</f>
        <v/>
      </c>
    </row>
    <row r="2421">
      <c r="A2421" s="54" t="n"/>
      <c r="B2421" s="61" t="n"/>
      <c r="C2421" s="62" t="n"/>
      <c r="D2421" s="57" t="n"/>
      <c r="E2421" s="57" t="n"/>
      <c r="F2421" s="58" t="n"/>
      <c r="G2421" s="66">
        <f>IF(tblFleet[[#This Row],[Units]]="","",tblFleet[[#This Row],[Units]]*cfg_HoursPerDay)</f>
        <v/>
      </c>
      <c r="H2421" s="66">
        <f>IF(tblFleet[[#This Row],[Units]]="","",tblFleet[[#This Row],[Calendar_h]]-tblFleet[[#This Row],[Down_h]])</f>
        <v/>
      </c>
      <c r="I2421" s="60">
        <f>IF(AND(tblFleet[[#This Row],[Units]]&lt;&gt;"",tblFleet[[#This Row],[Calendar_h]]&gt;0),tblFleet[[#This Row],[Available_h]]/tblFleet[[#This Row],[Calendar_h]],"")</f>
        <v/>
      </c>
      <c r="J2421" s="60">
        <f>IF(AND(tblFleet[[#This Row],[Units]]&lt;&gt;"",tblFleet[[#This Row],[Available_h]]&gt;0),tblFleet[[#This Row],[Operating_h]]/tblFleet[[#This Row],[Available_h]],"")</f>
        <v/>
      </c>
    </row>
    <row r="2422">
      <c r="A2422" s="54" t="n"/>
      <c r="B2422" s="61" t="n"/>
      <c r="C2422" s="62" t="n"/>
      <c r="D2422" s="57" t="n"/>
      <c r="E2422" s="57" t="n"/>
      <c r="F2422" s="58" t="n"/>
      <c r="G2422" s="66">
        <f>IF(tblFleet[[#This Row],[Units]]="","",tblFleet[[#This Row],[Units]]*cfg_HoursPerDay)</f>
        <v/>
      </c>
      <c r="H2422" s="66">
        <f>IF(tblFleet[[#This Row],[Units]]="","",tblFleet[[#This Row],[Calendar_h]]-tblFleet[[#This Row],[Down_h]])</f>
        <v/>
      </c>
      <c r="I2422" s="60">
        <f>IF(AND(tblFleet[[#This Row],[Units]]&lt;&gt;"",tblFleet[[#This Row],[Calendar_h]]&gt;0),tblFleet[[#This Row],[Available_h]]/tblFleet[[#This Row],[Calendar_h]],"")</f>
        <v/>
      </c>
      <c r="J2422" s="60">
        <f>IF(AND(tblFleet[[#This Row],[Units]]&lt;&gt;"",tblFleet[[#This Row],[Available_h]]&gt;0),tblFleet[[#This Row],[Operating_h]]/tblFleet[[#This Row],[Available_h]],"")</f>
        <v/>
      </c>
    </row>
    <row r="2423">
      <c r="A2423" s="54" t="n"/>
      <c r="B2423" s="61" t="n"/>
      <c r="C2423" s="62" t="n"/>
      <c r="D2423" s="57" t="n"/>
      <c r="E2423" s="57" t="n"/>
      <c r="F2423" s="58" t="n"/>
      <c r="G2423" s="66">
        <f>IF(tblFleet[[#This Row],[Units]]="","",tblFleet[[#This Row],[Units]]*cfg_HoursPerDay)</f>
        <v/>
      </c>
      <c r="H2423" s="66">
        <f>IF(tblFleet[[#This Row],[Units]]="","",tblFleet[[#This Row],[Calendar_h]]-tblFleet[[#This Row],[Down_h]])</f>
        <v/>
      </c>
      <c r="I2423" s="60">
        <f>IF(AND(tblFleet[[#This Row],[Units]]&lt;&gt;"",tblFleet[[#This Row],[Calendar_h]]&gt;0),tblFleet[[#This Row],[Available_h]]/tblFleet[[#This Row],[Calendar_h]],"")</f>
        <v/>
      </c>
      <c r="J2423" s="60">
        <f>IF(AND(tblFleet[[#This Row],[Units]]&lt;&gt;"",tblFleet[[#This Row],[Available_h]]&gt;0),tblFleet[[#This Row],[Operating_h]]/tblFleet[[#This Row],[Available_h]],"")</f>
        <v/>
      </c>
    </row>
    <row r="2424">
      <c r="A2424" s="54" t="n"/>
      <c r="B2424" s="61" t="n"/>
      <c r="C2424" s="62" t="n"/>
      <c r="D2424" s="57" t="n"/>
      <c r="E2424" s="57" t="n"/>
      <c r="F2424" s="58" t="n"/>
      <c r="G2424" s="66">
        <f>IF(tblFleet[[#This Row],[Units]]="","",tblFleet[[#This Row],[Units]]*cfg_HoursPerDay)</f>
        <v/>
      </c>
      <c r="H2424" s="66">
        <f>IF(tblFleet[[#This Row],[Units]]="","",tblFleet[[#This Row],[Calendar_h]]-tblFleet[[#This Row],[Down_h]])</f>
        <v/>
      </c>
      <c r="I2424" s="60">
        <f>IF(AND(tblFleet[[#This Row],[Units]]&lt;&gt;"",tblFleet[[#This Row],[Calendar_h]]&gt;0),tblFleet[[#This Row],[Available_h]]/tblFleet[[#This Row],[Calendar_h]],"")</f>
        <v/>
      </c>
      <c r="J2424" s="60">
        <f>IF(AND(tblFleet[[#This Row],[Units]]&lt;&gt;"",tblFleet[[#This Row],[Available_h]]&gt;0),tblFleet[[#This Row],[Operating_h]]/tblFleet[[#This Row],[Available_h]],"")</f>
        <v/>
      </c>
    </row>
    <row r="2425">
      <c r="A2425" s="54" t="n"/>
      <c r="B2425" s="61" t="n"/>
      <c r="C2425" s="62" t="n"/>
      <c r="D2425" s="57" t="n"/>
      <c r="E2425" s="57" t="n"/>
      <c r="F2425" s="58" t="n"/>
      <c r="G2425" s="66">
        <f>IF(tblFleet[[#This Row],[Units]]="","",tblFleet[[#This Row],[Units]]*cfg_HoursPerDay)</f>
        <v/>
      </c>
      <c r="H2425" s="66">
        <f>IF(tblFleet[[#This Row],[Units]]="","",tblFleet[[#This Row],[Calendar_h]]-tblFleet[[#This Row],[Down_h]])</f>
        <v/>
      </c>
      <c r="I2425" s="60">
        <f>IF(AND(tblFleet[[#This Row],[Units]]&lt;&gt;"",tblFleet[[#This Row],[Calendar_h]]&gt;0),tblFleet[[#This Row],[Available_h]]/tblFleet[[#This Row],[Calendar_h]],"")</f>
        <v/>
      </c>
      <c r="J2425" s="60">
        <f>IF(AND(tblFleet[[#This Row],[Units]]&lt;&gt;"",tblFleet[[#This Row],[Available_h]]&gt;0),tblFleet[[#This Row],[Operating_h]]/tblFleet[[#This Row],[Available_h]],"")</f>
        <v/>
      </c>
    </row>
    <row r="2426">
      <c r="A2426" s="54" t="n"/>
      <c r="B2426" s="61" t="n"/>
      <c r="C2426" s="62" t="n"/>
      <c r="D2426" s="57" t="n"/>
      <c r="E2426" s="57" t="n"/>
      <c r="F2426" s="58" t="n"/>
      <c r="G2426" s="66">
        <f>IF(tblFleet[[#This Row],[Units]]="","",tblFleet[[#This Row],[Units]]*cfg_HoursPerDay)</f>
        <v/>
      </c>
      <c r="H2426" s="66">
        <f>IF(tblFleet[[#This Row],[Units]]="","",tblFleet[[#This Row],[Calendar_h]]-tblFleet[[#This Row],[Down_h]])</f>
        <v/>
      </c>
      <c r="I2426" s="60">
        <f>IF(AND(tblFleet[[#This Row],[Units]]&lt;&gt;"",tblFleet[[#This Row],[Calendar_h]]&gt;0),tblFleet[[#This Row],[Available_h]]/tblFleet[[#This Row],[Calendar_h]],"")</f>
        <v/>
      </c>
      <c r="J2426" s="60">
        <f>IF(AND(tblFleet[[#This Row],[Units]]&lt;&gt;"",tblFleet[[#This Row],[Available_h]]&gt;0),tblFleet[[#This Row],[Operating_h]]/tblFleet[[#This Row],[Available_h]],"")</f>
        <v/>
      </c>
    </row>
    <row r="2427">
      <c r="A2427" s="54" t="n"/>
      <c r="B2427" s="61" t="n"/>
      <c r="C2427" s="62" t="n"/>
      <c r="D2427" s="57" t="n"/>
      <c r="E2427" s="57" t="n"/>
      <c r="F2427" s="58" t="n"/>
      <c r="G2427" s="66">
        <f>IF(tblFleet[[#This Row],[Units]]="","",tblFleet[[#This Row],[Units]]*cfg_HoursPerDay)</f>
        <v/>
      </c>
      <c r="H2427" s="66">
        <f>IF(tblFleet[[#This Row],[Units]]="","",tblFleet[[#This Row],[Calendar_h]]-tblFleet[[#This Row],[Down_h]])</f>
        <v/>
      </c>
      <c r="I2427" s="60">
        <f>IF(AND(tblFleet[[#This Row],[Units]]&lt;&gt;"",tblFleet[[#This Row],[Calendar_h]]&gt;0),tblFleet[[#This Row],[Available_h]]/tblFleet[[#This Row],[Calendar_h]],"")</f>
        <v/>
      </c>
      <c r="J2427" s="60">
        <f>IF(AND(tblFleet[[#This Row],[Units]]&lt;&gt;"",tblFleet[[#This Row],[Available_h]]&gt;0),tblFleet[[#This Row],[Operating_h]]/tblFleet[[#This Row],[Available_h]],"")</f>
        <v/>
      </c>
    </row>
    <row r="2428">
      <c r="A2428" s="54" t="n"/>
      <c r="B2428" s="61" t="n"/>
      <c r="C2428" s="62" t="n"/>
      <c r="D2428" s="57" t="n"/>
      <c r="E2428" s="57" t="n"/>
      <c r="F2428" s="58" t="n"/>
      <c r="G2428" s="66">
        <f>IF(tblFleet[[#This Row],[Units]]="","",tblFleet[[#This Row],[Units]]*cfg_HoursPerDay)</f>
        <v/>
      </c>
      <c r="H2428" s="66">
        <f>IF(tblFleet[[#This Row],[Units]]="","",tblFleet[[#This Row],[Calendar_h]]-tblFleet[[#This Row],[Down_h]])</f>
        <v/>
      </c>
      <c r="I2428" s="60">
        <f>IF(AND(tblFleet[[#This Row],[Units]]&lt;&gt;"",tblFleet[[#This Row],[Calendar_h]]&gt;0),tblFleet[[#This Row],[Available_h]]/tblFleet[[#This Row],[Calendar_h]],"")</f>
        <v/>
      </c>
      <c r="J2428" s="60">
        <f>IF(AND(tblFleet[[#This Row],[Units]]&lt;&gt;"",tblFleet[[#This Row],[Available_h]]&gt;0),tblFleet[[#This Row],[Operating_h]]/tblFleet[[#This Row],[Available_h]],"")</f>
        <v/>
      </c>
    </row>
    <row r="2429">
      <c r="A2429" s="54" t="n"/>
      <c r="B2429" s="61" t="n"/>
      <c r="C2429" s="62" t="n"/>
      <c r="D2429" s="57" t="n"/>
      <c r="E2429" s="57" t="n"/>
      <c r="F2429" s="58" t="n"/>
      <c r="G2429" s="66">
        <f>IF(tblFleet[[#This Row],[Units]]="","",tblFleet[[#This Row],[Units]]*cfg_HoursPerDay)</f>
        <v/>
      </c>
      <c r="H2429" s="66">
        <f>IF(tblFleet[[#This Row],[Units]]="","",tblFleet[[#This Row],[Calendar_h]]-tblFleet[[#This Row],[Down_h]])</f>
        <v/>
      </c>
      <c r="I2429" s="60">
        <f>IF(AND(tblFleet[[#This Row],[Units]]&lt;&gt;"",tblFleet[[#This Row],[Calendar_h]]&gt;0),tblFleet[[#This Row],[Available_h]]/tblFleet[[#This Row],[Calendar_h]],"")</f>
        <v/>
      </c>
      <c r="J2429" s="60">
        <f>IF(AND(tblFleet[[#This Row],[Units]]&lt;&gt;"",tblFleet[[#This Row],[Available_h]]&gt;0),tblFleet[[#This Row],[Operating_h]]/tblFleet[[#This Row],[Available_h]],"")</f>
        <v/>
      </c>
    </row>
    <row r="2430">
      <c r="A2430" s="54" t="n"/>
      <c r="B2430" s="61" t="n"/>
      <c r="C2430" s="62" t="n"/>
      <c r="D2430" s="57" t="n"/>
      <c r="E2430" s="57" t="n"/>
      <c r="F2430" s="58" t="n"/>
      <c r="G2430" s="66">
        <f>IF(tblFleet[[#This Row],[Units]]="","",tblFleet[[#This Row],[Units]]*cfg_HoursPerDay)</f>
        <v/>
      </c>
      <c r="H2430" s="66">
        <f>IF(tblFleet[[#This Row],[Units]]="","",tblFleet[[#This Row],[Calendar_h]]-tblFleet[[#This Row],[Down_h]])</f>
        <v/>
      </c>
      <c r="I2430" s="60">
        <f>IF(AND(tblFleet[[#This Row],[Units]]&lt;&gt;"",tblFleet[[#This Row],[Calendar_h]]&gt;0),tblFleet[[#This Row],[Available_h]]/tblFleet[[#This Row],[Calendar_h]],"")</f>
        <v/>
      </c>
      <c r="J2430" s="60">
        <f>IF(AND(tblFleet[[#This Row],[Units]]&lt;&gt;"",tblFleet[[#This Row],[Available_h]]&gt;0),tblFleet[[#This Row],[Operating_h]]/tblFleet[[#This Row],[Available_h]],"")</f>
        <v/>
      </c>
    </row>
    <row r="2431">
      <c r="A2431" s="54" t="n"/>
      <c r="B2431" s="61" t="n"/>
      <c r="C2431" s="62" t="n"/>
      <c r="D2431" s="57" t="n"/>
      <c r="E2431" s="57" t="n"/>
      <c r="F2431" s="58" t="n"/>
      <c r="G2431" s="66">
        <f>IF(tblFleet[[#This Row],[Units]]="","",tblFleet[[#This Row],[Units]]*cfg_HoursPerDay)</f>
        <v/>
      </c>
      <c r="H2431" s="66">
        <f>IF(tblFleet[[#This Row],[Units]]="","",tblFleet[[#This Row],[Calendar_h]]-tblFleet[[#This Row],[Down_h]])</f>
        <v/>
      </c>
      <c r="I2431" s="60">
        <f>IF(AND(tblFleet[[#This Row],[Units]]&lt;&gt;"",tblFleet[[#This Row],[Calendar_h]]&gt;0),tblFleet[[#This Row],[Available_h]]/tblFleet[[#This Row],[Calendar_h]],"")</f>
        <v/>
      </c>
      <c r="J2431" s="60">
        <f>IF(AND(tblFleet[[#This Row],[Units]]&lt;&gt;"",tblFleet[[#This Row],[Available_h]]&gt;0),tblFleet[[#This Row],[Operating_h]]/tblFleet[[#This Row],[Available_h]],"")</f>
        <v/>
      </c>
    </row>
    <row r="2432">
      <c r="A2432" s="54" t="n"/>
      <c r="B2432" s="61" t="n"/>
      <c r="C2432" s="62" t="n"/>
      <c r="D2432" s="57" t="n"/>
      <c r="E2432" s="57" t="n"/>
      <c r="F2432" s="58" t="n"/>
      <c r="G2432" s="66">
        <f>IF(tblFleet[[#This Row],[Units]]="","",tblFleet[[#This Row],[Units]]*cfg_HoursPerDay)</f>
        <v/>
      </c>
      <c r="H2432" s="66">
        <f>IF(tblFleet[[#This Row],[Units]]="","",tblFleet[[#This Row],[Calendar_h]]-tblFleet[[#This Row],[Down_h]])</f>
        <v/>
      </c>
      <c r="I2432" s="60">
        <f>IF(AND(tblFleet[[#This Row],[Units]]&lt;&gt;"",tblFleet[[#This Row],[Calendar_h]]&gt;0),tblFleet[[#This Row],[Available_h]]/tblFleet[[#This Row],[Calendar_h]],"")</f>
        <v/>
      </c>
      <c r="J2432" s="60">
        <f>IF(AND(tblFleet[[#This Row],[Units]]&lt;&gt;"",tblFleet[[#This Row],[Available_h]]&gt;0),tblFleet[[#This Row],[Operating_h]]/tblFleet[[#This Row],[Available_h]],"")</f>
        <v/>
      </c>
    </row>
    <row r="2433">
      <c r="A2433" s="54" t="n"/>
      <c r="B2433" s="61" t="n"/>
      <c r="C2433" s="62" t="n"/>
      <c r="D2433" s="57" t="n"/>
      <c r="E2433" s="57" t="n"/>
      <c r="F2433" s="58" t="n"/>
      <c r="G2433" s="66">
        <f>IF(tblFleet[[#This Row],[Units]]="","",tblFleet[[#This Row],[Units]]*cfg_HoursPerDay)</f>
        <v/>
      </c>
      <c r="H2433" s="66">
        <f>IF(tblFleet[[#This Row],[Units]]="","",tblFleet[[#This Row],[Calendar_h]]-tblFleet[[#This Row],[Down_h]])</f>
        <v/>
      </c>
      <c r="I2433" s="60">
        <f>IF(AND(tblFleet[[#This Row],[Units]]&lt;&gt;"",tblFleet[[#This Row],[Calendar_h]]&gt;0),tblFleet[[#This Row],[Available_h]]/tblFleet[[#This Row],[Calendar_h]],"")</f>
        <v/>
      </c>
      <c r="J2433" s="60">
        <f>IF(AND(tblFleet[[#This Row],[Units]]&lt;&gt;"",tblFleet[[#This Row],[Available_h]]&gt;0),tblFleet[[#This Row],[Operating_h]]/tblFleet[[#This Row],[Available_h]],"")</f>
        <v/>
      </c>
    </row>
    <row r="2434">
      <c r="A2434" s="54" t="n"/>
      <c r="B2434" s="61" t="n"/>
      <c r="C2434" s="62" t="n"/>
      <c r="D2434" s="57" t="n"/>
      <c r="E2434" s="57" t="n"/>
      <c r="F2434" s="58" t="n"/>
      <c r="G2434" s="66">
        <f>IF(tblFleet[[#This Row],[Units]]="","",tblFleet[[#This Row],[Units]]*cfg_HoursPerDay)</f>
        <v/>
      </c>
      <c r="H2434" s="66">
        <f>IF(tblFleet[[#This Row],[Units]]="","",tblFleet[[#This Row],[Calendar_h]]-tblFleet[[#This Row],[Down_h]])</f>
        <v/>
      </c>
      <c r="I2434" s="60">
        <f>IF(AND(tblFleet[[#This Row],[Units]]&lt;&gt;"",tblFleet[[#This Row],[Calendar_h]]&gt;0),tblFleet[[#This Row],[Available_h]]/tblFleet[[#This Row],[Calendar_h]],"")</f>
        <v/>
      </c>
      <c r="J2434" s="60">
        <f>IF(AND(tblFleet[[#This Row],[Units]]&lt;&gt;"",tblFleet[[#This Row],[Available_h]]&gt;0),tblFleet[[#This Row],[Operating_h]]/tblFleet[[#This Row],[Available_h]],"")</f>
        <v/>
      </c>
    </row>
    <row r="2435">
      <c r="A2435" s="54" t="n"/>
      <c r="B2435" s="61" t="n"/>
      <c r="C2435" s="62" t="n"/>
      <c r="D2435" s="57" t="n"/>
      <c r="E2435" s="57" t="n"/>
      <c r="F2435" s="58" t="n"/>
      <c r="G2435" s="66">
        <f>IF(tblFleet[[#This Row],[Units]]="","",tblFleet[[#This Row],[Units]]*cfg_HoursPerDay)</f>
        <v/>
      </c>
      <c r="H2435" s="66">
        <f>IF(tblFleet[[#This Row],[Units]]="","",tblFleet[[#This Row],[Calendar_h]]-tblFleet[[#This Row],[Down_h]])</f>
        <v/>
      </c>
      <c r="I2435" s="60">
        <f>IF(AND(tblFleet[[#This Row],[Units]]&lt;&gt;"",tblFleet[[#This Row],[Calendar_h]]&gt;0),tblFleet[[#This Row],[Available_h]]/tblFleet[[#This Row],[Calendar_h]],"")</f>
        <v/>
      </c>
      <c r="J2435" s="60">
        <f>IF(AND(tblFleet[[#This Row],[Units]]&lt;&gt;"",tblFleet[[#This Row],[Available_h]]&gt;0),tblFleet[[#This Row],[Operating_h]]/tblFleet[[#This Row],[Available_h]],"")</f>
        <v/>
      </c>
    </row>
    <row r="2436">
      <c r="A2436" s="54" t="n"/>
      <c r="B2436" s="61" t="n"/>
      <c r="C2436" s="62" t="n"/>
      <c r="D2436" s="57" t="n"/>
      <c r="E2436" s="57" t="n"/>
      <c r="F2436" s="58" t="n"/>
      <c r="G2436" s="66">
        <f>IF(tblFleet[[#This Row],[Units]]="","",tblFleet[[#This Row],[Units]]*cfg_HoursPerDay)</f>
        <v/>
      </c>
      <c r="H2436" s="66">
        <f>IF(tblFleet[[#This Row],[Units]]="","",tblFleet[[#This Row],[Calendar_h]]-tblFleet[[#This Row],[Down_h]])</f>
        <v/>
      </c>
      <c r="I2436" s="60">
        <f>IF(AND(tblFleet[[#This Row],[Units]]&lt;&gt;"",tblFleet[[#This Row],[Calendar_h]]&gt;0),tblFleet[[#This Row],[Available_h]]/tblFleet[[#This Row],[Calendar_h]],"")</f>
        <v/>
      </c>
      <c r="J2436" s="60">
        <f>IF(AND(tblFleet[[#This Row],[Units]]&lt;&gt;"",tblFleet[[#This Row],[Available_h]]&gt;0),tblFleet[[#This Row],[Operating_h]]/tblFleet[[#This Row],[Available_h]],"")</f>
        <v/>
      </c>
    </row>
    <row r="2437">
      <c r="A2437" s="54" t="n"/>
      <c r="B2437" s="61" t="n"/>
      <c r="C2437" s="62" t="n"/>
      <c r="D2437" s="57" t="n"/>
      <c r="E2437" s="57" t="n"/>
      <c r="F2437" s="58" t="n"/>
      <c r="G2437" s="66">
        <f>IF(tblFleet[[#This Row],[Units]]="","",tblFleet[[#This Row],[Units]]*cfg_HoursPerDay)</f>
        <v/>
      </c>
      <c r="H2437" s="66">
        <f>IF(tblFleet[[#This Row],[Units]]="","",tblFleet[[#This Row],[Calendar_h]]-tblFleet[[#This Row],[Down_h]])</f>
        <v/>
      </c>
      <c r="I2437" s="60">
        <f>IF(AND(tblFleet[[#This Row],[Units]]&lt;&gt;"",tblFleet[[#This Row],[Calendar_h]]&gt;0),tblFleet[[#This Row],[Available_h]]/tblFleet[[#This Row],[Calendar_h]],"")</f>
        <v/>
      </c>
      <c r="J2437" s="60">
        <f>IF(AND(tblFleet[[#This Row],[Units]]&lt;&gt;"",tblFleet[[#This Row],[Available_h]]&gt;0),tblFleet[[#This Row],[Operating_h]]/tblFleet[[#This Row],[Available_h]],"")</f>
        <v/>
      </c>
    </row>
    <row r="2438">
      <c r="A2438" s="54" t="n"/>
      <c r="B2438" s="61" t="n"/>
      <c r="C2438" s="62" t="n"/>
      <c r="D2438" s="57" t="n"/>
      <c r="E2438" s="57" t="n"/>
      <c r="F2438" s="58" t="n"/>
      <c r="G2438" s="66">
        <f>IF(tblFleet[[#This Row],[Units]]="","",tblFleet[[#This Row],[Units]]*cfg_HoursPerDay)</f>
        <v/>
      </c>
      <c r="H2438" s="66">
        <f>IF(tblFleet[[#This Row],[Units]]="","",tblFleet[[#This Row],[Calendar_h]]-tblFleet[[#This Row],[Down_h]])</f>
        <v/>
      </c>
      <c r="I2438" s="60">
        <f>IF(AND(tblFleet[[#This Row],[Units]]&lt;&gt;"",tblFleet[[#This Row],[Calendar_h]]&gt;0),tblFleet[[#This Row],[Available_h]]/tblFleet[[#This Row],[Calendar_h]],"")</f>
        <v/>
      </c>
      <c r="J2438" s="60">
        <f>IF(AND(tblFleet[[#This Row],[Units]]&lt;&gt;"",tblFleet[[#This Row],[Available_h]]&gt;0),tblFleet[[#This Row],[Operating_h]]/tblFleet[[#This Row],[Available_h]],"")</f>
        <v/>
      </c>
    </row>
    <row r="2439">
      <c r="A2439" s="54" t="n"/>
      <c r="B2439" s="61" t="n"/>
      <c r="C2439" s="62" t="n"/>
      <c r="D2439" s="57" t="n"/>
      <c r="E2439" s="57" t="n"/>
      <c r="F2439" s="58" t="n"/>
      <c r="G2439" s="66">
        <f>IF(tblFleet[[#This Row],[Units]]="","",tblFleet[[#This Row],[Units]]*cfg_HoursPerDay)</f>
        <v/>
      </c>
      <c r="H2439" s="66">
        <f>IF(tblFleet[[#This Row],[Units]]="","",tblFleet[[#This Row],[Calendar_h]]-tblFleet[[#This Row],[Down_h]])</f>
        <v/>
      </c>
      <c r="I2439" s="60">
        <f>IF(AND(tblFleet[[#This Row],[Units]]&lt;&gt;"",tblFleet[[#This Row],[Calendar_h]]&gt;0),tblFleet[[#This Row],[Available_h]]/tblFleet[[#This Row],[Calendar_h]],"")</f>
        <v/>
      </c>
      <c r="J2439" s="60">
        <f>IF(AND(tblFleet[[#This Row],[Units]]&lt;&gt;"",tblFleet[[#This Row],[Available_h]]&gt;0),tblFleet[[#This Row],[Operating_h]]/tblFleet[[#This Row],[Available_h]],"")</f>
        <v/>
      </c>
    </row>
    <row r="2440">
      <c r="A2440" s="54" t="n"/>
      <c r="B2440" s="61" t="n"/>
      <c r="C2440" s="62" t="n"/>
      <c r="D2440" s="57" t="n"/>
      <c r="E2440" s="57" t="n"/>
      <c r="F2440" s="58" t="n"/>
      <c r="G2440" s="66">
        <f>IF(tblFleet[[#This Row],[Units]]="","",tblFleet[[#This Row],[Units]]*cfg_HoursPerDay)</f>
        <v/>
      </c>
      <c r="H2440" s="66">
        <f>IF(tblFleet[[#This Row],[Units]]="","",tblFleet[[#This Row],[Calendar_h]]-tblFleet[[#This Row],[Down_h]])</f>
        <v/>
      </c>
      <c r="I2440" s="60">
        <f>IF(AND(tblFleet[[#This Row],[Units]]&lt;&gt;"",tblFleet[[#This Row],[Calendar_h]]&gt;0),tblFleet[[#This Row],[Available_h]]/tblFleet[[#This Row],[Calendar_h]],"")</f>
        <v/>
      </c>
      <c r="J2440" s="60">
        <f>IF(AND(tblFleet[[#This Row],[Units]]&lt;&gt;"",tblFleet[[#This Row],[Available_h]]&gt;0),tblFleet[[#This Row],[Operating_h]]/tblFleet[[#This Row],[Available_h]],"")</f>
        <v/>
      </c>
    </row>
    <row r="2441">
      <c r="A2441" s="54" t="n"/>
      <c r="B2441" s="61" t="n"/>
      <c r="C2441" s="62" t="n"/>
      <c r="D2441" s="57" t="n"/>
      <c r="E2441" s="57" t="n"/>
      <c r="F2441" s="58" t="n"/>
      <c r="G2441" s="66">
        <f>IF(tblFleet[[#This Row],[Units]]="","",tblFleet[[#This Row],[Units]]*cfg_HoursPerDay)</f>
        <v/>
      </c>
      <c r="H2441" s="66">
        <f>IF(tblFleet[[#This Row],[Units]]="","",tblFleet[[#This Row],[Calendar_h]]-tblFleet[[#This Row],[Down_h]])</f>
        <v/>
      </c>
      <c r="I2441" s="60">
        <f>IF(AND(tblFleet[[#This Row],[Units]]&lt;&gt;"",tblFleet[[#This Row],[Calendar_h]]&gt;0),tblFleet[[#This Row],[Available_h]]/tblFleet[[#This Row],[Calendar_h]],"")</f>
        <v/>
      </c>
      <c r="J2441" s="60">
        <f>IF(AND(tblFleet[[#This Row],[Units]]&lt;&gt;"",tblFleet[[#This Row],[Available_h]]&gt;0),tblFleet[[#This Row],[Operating_h]]/tblFleet[[#This Row],[Available_h]],"")</f>
        <v/>
      </c>
    </row>
    <row r="2442">
      <c r="A2442" s="54" t="n"/>
      <c r="B2442" s="61" t="n"/>
      <c r="C2442" s="62" t="n"/>
      <c r="D2442" s="57" t="n"/>
      <c r="E2442" s="57" t="n"/>
      <c r="F2442" s="58" t="n"/>
      <c r="G2442" s="66">
        <f>IF(tblFleet[[#This Row],[Units]]="","",tblFleet[[#This Row],[Units]]*cfg_HoursPerDay)</f>
        <v/>
      </c>
      <c r="H2442" s="66">
        <f>IF(tblFleet[[#This Row],[Units]]="","",tblFleet[[#This Row],[Calendar_h]]-tblFleet[[#This Row],[Down_h]])</f>
        <v/>
      </c>
      <c r="I2442" s="60">
        <f>IF(AND(tblFleet[[#This Row],[Units]]&lt;&gt;"",tblFleet[[#This Row],[Calendar_h]]&gt;0),tblFleet[[#This Row],[Available_h]]/tblFleet[[#This Row],[Calendar_h]],"")</f>
        <v/>
      </c>
      <c r="J2442" s="60">
        <f>IF(AND(tblFleet[[#This Row],[Units]]&lt;&gt;"",tblFleet[[#This Row],[Available_h]]&gt;0),tblFleet[[#This Row],[Operating_h]]/tblFleet[[#This Row],[Available_h]],"")</f>
        <v/>
      </c>
    </row>
    <row r="2443">
      <c r="A2443" s="54" t="n"/>
      <c r="B2443" s="61" t="n"/>
      <c r="C2443" s="62" t="n"/>
      <c r="D2443" s="57" t="n"/>
      <c r="E2443" s="57" t="n"/>
      <c r="F2443" s="58" t="n"/>
      <c r="G2443" s="66">
        <f>IF(tblFleet[[#This Row],[Units]]="","",tblFleet[[#This Row],[Units]]*cfg_HoursPerDay)</f>
        <v/>
      </c>
      <c r="H2443" s="66">
        <f>IF(tblFleet[[#This Row],[Units]]="","",tblFleet[[#This Row],[Calendar_h]]-tblFleet[[#This Row],[Down_h]])</f>
        <v/>
      </c>
      <c r="I2443" s="60">
        <f>IF(AND(tblFleet[[#This Row],[Units]]&lt;&gt;"",tblFleet[[#This Row],[Calendar_h]]&gt;0),tblFleet[[#This Row],[Available_h]]/tblFleet[[#This Row],[Calendar_h]],"")</f>
        <v/>
      </c>
      <c r="J2443" s="60">
        <f>IF(AND(tblFleet[[#This Row],[Units]]&lt;&gt;"",tblFleet[[#This Row],[Available_h]]&gt;0),tblFleet[[#This Row],[Operating_h]]/tblFleet[[#This Row],[Available_h]],"")</f>
        <v/>
      </c>
    </row>
    <row r="2444">
      <c r="A2444" s="54" t="n"/>
      <c r="B2444" s="61" t="n"/>
      <c r="C2444" s="62" t="n"/>
      <c r="D2444" s="57" t="n"/>
      <c r="E2444" s="57" t="n"/>
      <c r="F2444" s="58" t="n"/>
      <c r="G2444" s="66">
        <f>IF(tblFleet[[#This Row],[Units]]="","",tblFleet[[#This Row],[Units]]*cfg_HoursPerDay)</f>
        <v/>
      </c>
      <c r="H2444" s="66">
        <f>IF(tblFleet[[#This Row],[Units]]="","",tblFleet[[#This Row],[Calendar_h]]-tblFleet[[#This Row],[Down_h]])</f>
        <v/>
      </c>
      <c r="I2444" s="60">
        <f>IF(AND(tblFleet[[#This Row],[Units]]&lt;&gt;"",tblFleet[[#This Row],[Calendar_h]]&gt;0),tblFleet[[#This Row],[Available_h]]/tblFleet[[#This Row],[Calendar_h]],"")</f>
        <v/>
      </c>
      <c r="J2444" s="60">
        <f>IF(AND(tblFleet[[#This Row],[Units]]&lt;&gt;"",tblFleet[[#This Row],[Available_h]]&gt;0),tblFleet[[#This Row],[Operating_h]]/tblFleet[[#This Row],[Available_h]],"")</f>
        <v/>
      </c>
    </row>
    <row r="2445">
      <c r="A2445" s="54" t="n"/>
      <c r="B2445" s="61" t="n"/>
      <c r="C2445" s="62" t="n"/>
      <c r="D2445" s="57" t="n"/>
      <c r="E2445" s="57" t="n"/>
      <c r="F2445" s="58" t="n"/>
      <c r="G2445" s="66">
        <f>IF(tblFleet[[#This Row],[Units]]="","",tblFleet[[#This Row],[Units]]*cfg_HoursPerDay)</f>
        <v/>
      </c>
      <c r="H2445" s="66">
        <f>IF(tblFleet[[#This Row],[Units]]="","",tblFleet[[#This Row],[Calendar_h]]-tblFleet[[#This Row],[Down_h]])</f>
        <v/>
      </c>
      <c r="I2445" s="60">
        <f>IF(AND(tblFleet[[#This Row],[Units]]&lt;&gt;"",tblFleet[[#This Row],[Calendar_h]]&gt;0),tblFleet[[#This Row],[Available_h]]/tblFleet[[#This Row],[Calendar_h]],"")</f>
        <v/>
      </c>
      <c r="J2445" s="60">
        <f>IF(AND(tblFleet[[#This Row],[Units]]&lt;&gt;"",tblFleet[[#This Row],[Available_h]]&gt;0),tblFleet[[#This Row],[Operating_h]]/tblFleet[[#This Row],[Available_h]],"")</f>
        <v/>
      </c>
    </row>
    <row r="2446">
      <c r="A2446" s="54" t="n"/>
      <c r="B2446" s="61" t="n"/>
      <c r="C2446" s="62" t="n"/>
      <c r="D2446" s="57" t="n"/>
      <c r="E2446" s="57" t="n"/>
      <c r="F2446" s="58" t="n"/>
      <c r="G2446" s="66">
        <f>IF(tblFleet[[#This Row],[Units]]="","",tblFleet[[#This Row],[Units]]*cfg_HoursPerDay)</f>
        <v/>
      </c>
      <c r="H2446" s="66">
        <f>IF(tblFleet[[#This Row],[Units]]="","",tblFleet[[#This Row],[Calendar_h]]-tblFleet[[#This Row],[Down_h]])</f>
        <v/>
      </c>
      <c r="I2446" s="60">
        <f>IF(AND(tblFleet[[#This Row],[Units]]&lt;&gt;"",tblFleet[[#This Row],[Calendar_h]]&gt;0),tblFleet[[#This Row],[Available_h]]/tblFleet[[#This Row],[Calendar_h]],"")</f>
        <v/>
      </c>
      <c r="J2446" s="60">
        <f>IF(AND(tblFleet[[#This Row],[Units]]&lt;&gt;"",tblFleet[[#This Row],[Available_h]]&gt;0),tblFleet[[#This Row],[Operating_h]]/tblFleet[[#This Row],[Available_h]],"")</f>
        <v/>
      </c>
    </row>
    <row r="2447">
      <c r="A2447" s="54" t="n"/>
      <c r="B2447" s="61" t="n"/>
      <c r="C2447" s="62" t="n"/>
      <c r="D2447" s="57" t="n"/>
      <c r="E2447" s="57" t="n"/>
      <c r="F2447" s="58" t="n"/>
      <c r="G2447" s="66">
        <f>IF(tblFleet[[#This Row],[Units]]="","",tblFleet[[#This Row],[Units]]*cfg_HoursPerDay)</f>
        <v/>
      </c>
      <c r="H2447" s="66">
        <f>IF(tblFleet[[#This Row],[Units]]="","",tblFleet[[#This Row],[Calendar_h]]-tblFleet[[#This Row],[Down_h]])</f>
        <v/>
      </c>
      <c r="I2447" s="60">
        <f>IF(AND(tblFleet[[#This Row],[Units]]&lt;&gt;"",tblFleet[[#This Row],[Calendar_h]]&gt;0),tblFleet[[#This Row],[Available_h]]/tblFleet[[#This Row],[Calendar_h]],"")</f>
        <v/>
      </c>
      <c r="J2447" s="60">
        <f>IF(AND(tblFleet[[#This Row],[Units]]&lt;&gt;"",tblFleet[[#This Row],[Available_h]]&gt;0),tblFleet[[#This Row],[Operating_h]]/tblFleet[[#This Row],[Available_h]],"")</f>
        <v/>
      </c>
    </row>
    <row r="2448">
      <c r="A2448" s="54" t="n"/>
      <c r="B2448" s="61" t="n"/>
      <c r="C2448" s="62" t="n"/>
      <c r="D2448" s="57" t="n"/>
      <c r="E2448" s="57" t="n"/>
      <c r="F2448" s="58" t="n"/>
      <c r="G2448" s="66">
        <f>IF(tblFleet[[#This Row],[Units]]="","",tblFleet[[#This Row],[Units]]*cfg_HoursPerDay)</f>
        <v/>
      </c>
      <c r="H2448" s="66">
        <f>IF(tblFleet[[#This Row],[Units]]="","",tblFleet[[#This Row],[Calendar_h]]-tblFleet[[#This Row],[Down_h]])</f>
        <v/>
      </c>
      <c r="I2448" s="60">
        <f>IF(AND(tblFleet[[#This Row],[Units]]&lt;&gt;"",tblFleet[[#This Row],[Calendar_h]]&gt;0),tblFleet[[#This Row],[Available_h]]/tblFleet[[#This Row],[Calendar_h]],"")</f>
        <v/>
      </c>
      <c r="J2448" s="60">
        <f>IF(AND(tblFleet[[#This Row],[Units]]&lt;&gt;"",tblFleet[[#This Row],[Available_h]]&gt;0),tblFleet[[#This Row],[Operating_h]]/tblFleet[[#This Row],[Available_h]],"")</f>
        <v/>
      </c>
    </row>
    <row r="2449">
      <c r="A2449" s="54" t="n"/>
      <c r="B2449" s="61" t="n"/>
      <c r="C2449" s="62" t="n"/>
      <c r="D2449" s="57" t="n"/>
      <c r="E2449" s="57" t="n"/>
      <c r="F2449" s="58" t="n"/>
      <c r="G2449" s="66">
        <f>IF(tblFleet[[#This Row],[Units]]="","",tblFleet[[#This Row],[Units]]*cfg_HoursPerDay)</f>
        <v/>
      </c>
      <c r="H2449" s="66">
        <f>IF(tblFleet[[#This Row],[Units]]="","",tblFleet[[#This Row],[Calendar_h]]-tblFleet[[#This Row],[Down_h]])</f>
        <v/>
      </c>
      <c r="I2449" s="60">
        <f>IF(AND(tblFleet[[#This Row],[Units]]&lt;&gt;"",tblFleet[[#This Row],[Calendar_h]]&gt;0),tblFleet[[#This Row],[Available_h]]/tblFleet[[#This Row],[Calendar_h]],"")</f>
        <v/>
      </c>
      <c r="J2449" s="60">
        <f>IF(AND(tblFleet[[#This Row],[Units]]&lt;&gt;"",tblFleet[[#This Row],[Available_h]]&gt;0),tblFleet[[#This Row],[Operating_h]]/tblFleet[[#This Row],[Available_h]],"")</f>
        <v/>
      </c>
    </row>
    <row r="2450">
      <c r="A2450" s="54" t="n"/>
      <c r="B2450" s="61" t="n"/>
      <c r="C2450" s="62" t="n"/>
      <c r="D2450" s="57" t="n"/>
      <c r="E2450" s="57" t="n"/>
      <c r="F2450" s="58" t="n"/>
      <c r="G2450" s="66">
        <f>IF(tblFleet[[#This Row],[Units]]="","",tblFleet[[#This Row],[Units]]*cfg_HoursPerDay)</f>
        <v/>
      </c>
      <c r="H2450" s="66">
        <f>IF(tblFleet[[#This Row],[Units]]="","",tblFleet[[#This Row],[Calendar_h]]-tblFleet[[#This Row],[Down_h]])</f>
        <v/>
      </c>
      <c r="I2450" s="60">
        <f>IF(AND(tblFleet[[#This Row],[Units]]&lt;&gt;"",tblFleet[[#This Row],[Calendar_h]]&gt;0),tblFleet[[#This Row],[Available_h]]/tblFleet[[#This Row],[Calendar_h]],"")</f>
        <v/>
      </c>
      <c r="J2450" s="60">
        <f>IF(AND(tblFleet[[#This Row],[Units]]&lt;&gt;"",tblFleet[[#This Row],[Available_h]]&gt;0),tblFleet[[#This Row],[Operating_h]]/tblFleet[[#This Row],[Available_h]],"")</f>
        <v/>
      </c>
    </row>
    <row r="2451">
      <c r="A2451" s="54" t="n"/>
      <c r="B2451" s="61" t="n"/>
      <c r="C2451" s="62" t="n"/>
      <c r="D2451" s="57" t="n"/>
      <c r="E2451" s="57" t="n"/>
      <c r="F2451" s="58" t="n"/>
      <c r="G2451" s="66">
        <f>IF(tblFleet[[#This Row],[Units]]="","",tblFleet[[#This Row],[Units]]*cfg_HoursPerDay)</f>
        <v/>
      </c>
      <c r="H2451" s="66">
        <f>IF(tblFleet[[#This Row],[Units]]="","",tblFleet[[#This Row],[Calendar_h]]-tblFleet[[#This Row],[Down_h]])</f>
        <v/>
      </c>
      <c r="I2451" s="60">
        <f>IF(AND(tblFleet[[#This Row],[Units]]&lt;&gt;"",tblFleet[[#This Row],[Calendar_h]]&gt;0),tblFleet[[#This Row],[Available_h]]/tblFleet[[#This Row],[Calendar_h]],"")</f>
        <v/>
      </c>
      <c r="J2451" s="60">
        <f>IF(AND(tblFleet[[#This Row],[Units]]&lt;&gt;"",tblFleet[[#This Row],[Available_h]]&gt;0),tblFleet[[#This Row],[Operating_h]]/tblFleet[[#This Row],[Available_h]],"")</f>
        <v/>
      </c>
    </row>
    <row r="2452">
      <c r="A2452" s="54" t="n"/>
      <c r="B2452" s="61" t="n"/>
      <c r="C2452" s="62" t="n"/>
      <c r="D2452" s="57" t="n"/>
      <c r="E2452" s="57" t="n"/>
      <c r="F2452" s="58" t="n"/>
      <c r="G2452" s="66">
        <f>IF(tblFleet[[#This Row],[Units]]="","",tblFleet[[#This Row],[Units]]*cfg_HoursPerDay)</f>
        <v/>
      </c>
      <c r="H2452" s="66">
        <f>IF(tblFleet[[#This Row],[Units]]="","",tblFleet[[#This Row],[Calendar_h]]-tblFleet[[#This Row],[Down_h]])</f>
        <v/>
      </c>
      <c r="I2452" s="60">
        <f>IF(AND(tblFleet[[#This Row],[Units]]&lt;&gt;"",tblFleet[[#This Row],[Calendar_h]]&gt;0),tblFleet[[#This Row],[Available_h]]/tblFleet[[#This Row],[Calendar_h]],"")</f>
        <v/>
      </c>
      <c r="J2452" s="60">
        <f>IF(AND(tblFleet[[#This Row],[Units]]&lt;&gt;"",tblFleet[[#This Row],[Available_h]]&gt;0),tblFleet[[#This Row],[Operating_h]]/tblFleet[[#This Row],[Available_h]],"")</f>
        <v/>
      </c>
    </row>
    <row r="2453">
      <c r="A2453" s="54" t="n"/>
      <c r="B2453" s="61" t="n"/>
      <c r="C2453" s="62" t="n"/>
      <c r="D2453" s="57" t="n"/>
      <c r="E2453" s="57" t="n"/>
      <c r="F2453" s="58" t="n"/>
      <c r="G2453" s="66">
        <f>IF(tblFleet[[#This Row],[Units]]="","",tblFleet[[#This Row],[Units]]*cfg_HoursPerDay)</f>
        <v/>
      </c>
      <c r="H2453" s="66">
        <f>IF(tblFleet[[#This Row],[Units]]="","",tblFleet[[#This Row],[Calendar_h]]-tblFleet[[#This Row],[Down_h]])</f>
        <v/>
      </c>
      <c r="I2453" s="60">
        <f>IF(AND(tblFleet[[#This Row],[Units]]&lt;&gt;"",tblFleet[[#This Row],[Calendar_h]]&gt;0),tblFleet[[#This Row],[Available_h]]/tblFleet[[#This Row],[Calendar_h]],"")</f>
        <v/>
      </c>
      <c r="J2453" s="60">
        <f>IF(AND(tblFleet[[#This Row],[Units]]&lt;&gt;"",tblFleet[[#This Row],[Available_h]]&gt;0),tblFleet[[#This Row],[Operating_h]]/tblFleet[[#This Row],[Available_h]],"")</f>
        <v/>
      </c>
    </row>
    <row r="2454">
      <c r="A2454" s="54" t="n"/>
      <c r="B2454" s="61" t="n"/>
      <c r="C2454" s="62" t="n"/>
      <c r="D2454" s="57" t="n"/>
      <c r="E2454" s="57" t="n"/>
      <c r="F2454" s="58" t="n"/>
      <c r="G2454" s="66">
        <f>IF(tblFleet[[#This Row],[Units]]="","",tblFleet[[#This Row],[Units]]*cfg_HoursPerDay)</f>
        <v/>
      </c>
      <c r="H2454" s="66">
        <f>IF(tblFleet[[#This Row],[Units]]="","",tblFleet[[#This Row],[Calendar_h]]-tblFleet[[#This Row],[Down_h]])</f>
        <v/>
      </c>
      <c r="I2454" s="60">
        <f>IF(AND(tblFleet[[#This Row],[Units]]&lt;&gt;"",tblFleet[[#This Row],[Calendar_h]]&gt;0),tblFleet[[#This Row],[Available_h]]/tblFleet[[#This Row],[Calendar_h]],"")</f>
        <v/>
      </c>
      <c r="J2454" s="60">
        <f>IF(AND(tblFleet[[#This Row],[Units]]&lt;&gt;"",tblFleet[[#This Row],[Available_h]]&gt;0),tblFleet[[#This Row],[Operating_h]]/tblFleet[[#This Row],[Available_h]],"")</f>
        <v/>
      </c>
    </row>
    <row r="2455">
      <c r="A2455" s="54" t="n"/>
      <c r="B2455" s="61" t="n"/>
      <c r="C2455" s="62" t="n"/>
      <c r="D2455" s="57" t="n"/>
      <c r="E2455" s="57" t="n"/>
      <c r="F2455" s="58" t="n"/>
      <c r="G2455" s="66">
        <f>IF(tblFleet[[#This Row],[Units]]="","",tblFleet[[#This Row],[Units]]*cfg_HoursPerDay)</f>
        <v/>
      </c>
      <c r="H2455" s="66">
        <f>IF(tblFleet[[#This Row],[Units]]="","",tblFleet[[#This Row],[Calendar_h]]-tblFleet[[#This Row],[Down_h]])</f>
        <v/>
      </c>
      <c r="I2455" s="60">
        <f>IF(AND(tblFleet[[#This Row],[Units]]&lt;&gt;"",tblFleet[[#This Row],[Calendar_h]]&gt;0),tblFleet[[#This Row],[Available_h]]/tblFleet[[#This Row],[Calendar_h]],"")</f>
        <v/>
      </c>
      <c r="J2455" s="60">
        <f>IF(AND(tblFleet[[#This Row],[Units]]&lt;&gt;"",tblFleet[[#This Row],[Available_h]]&gt;0),tblFleet[[#This Row],[Operating_h]]/tblFleet[[#This Row],[Available_h]],"")</f>
        <v/>
      </c>
    </row>
    <row r="2456">
      <c r="A2456" s="54" t="n"/>
      <c r="B2456" s="61" t="n"/>
      <c r="C2456" s="62" t="n"/>
      <c r="D2456" s="57" t="n"/>
      <c r="E2456" s="57" t="n"/>
      <c r="F2456" s="58" t="n"/>
      <c r="G2456" s="66">
        <f>IF(tblFleet[[#This Row],[Units]]="","",tblFleet[[#This Row],[Units]]*cfg_HoursPerDay)</f>
        <v/>
      </c>
      <c r="H2456" s="66">
        <f>IF(tblFleet[[#This Row],[Units]]="","",tblFleet[[#This Row],[Calendar_h]]-tblFleet[[#This Row],[Down_h]])</f>
        <v/>
      </c>
      <c r="I2456" s="60">
        <f>IF(AND(tblFleet[[#This Row],[Units]]&lt;&gt;"",tblFleet[[#This Row],[Calendar_h]]&gt;0),tblFleet[[#This Row],[Available_h]]/tblFleet[[#This Row],[Calendar_h]],"")</f>
        <v/>
      </c>
      <c r="J2456" s="60">
        <f>IF(AND(tblFleet[[#This Row],[Units]]&lt;&gt;"",tblFleet[[#This Row],[Available_h]]&gt;0),tblFleet[[#This Row],[Operating_h]]/tblFleet[[#This Row],[Available_h]],"")</f>
        <v/>
      </c>
    </row>
    <row r="2457">
      <c r="A2457" s="54" t="n"/>
      <c r="B2457" s="61" t="n"/>
      <c r="C2457" s="62" t="n"/>
      <c r="D2457" s="57" t="n"/>
      <c r="E2457" s="57" t="n"/>
      <c r="F2457" s="58" t="n"/>
      <c r="G2457" s="66">
        <f>IF(tblFleet[[#This Row],[Units]]="","",tblFleet[[#This Row],[Units]]*cfg_HoursPerDay)</f>
        <v/>
      </c>
      <c r="H2457" s="66">
        <f>IF(tblFleet[[#This Row],[Units]]="","",tblFleet[[#This Row],[Calendar_h]]-tblFleet[[#This Row],[Down_h]])</f>
        <v/>
      </c>
      <c r="I2457" s="60">
        <f>IF(AND(tblFleet[[#This Row],[Units]]&lt;&gt;"",tblFleet[[#This Row],[Calendar_h]]&gt;0),tblFleet[[#This Row],[Available_h]]/tblFleet[[#This Row],[Calendar_h]],"")</f>
        <v/>
      </c>
      <c r="J2457" s="60">
        <f>IF(AND(tblFleet[[#This Row],[Units]]&lt;&gt;"",tblFleet[[#This Row],[Available_h]]&gt;0),tblFleet[[#This Row],[Operating_h]]/tblFleet[[#This Row],[Available_h]],"")</f>
        <v/>
      </c>
    </row>
    <row r="2458">
      <c r="A2458" s="54" t="n"/>
      <c r="B2458" s="61" t="n"/>
      <c r="C2458" s="62" t="n"/>
      <c r="D2458" s="57" t="n"/>
      <c r="E2458" s="57" t="n"/>
      <c r="F2458" s="58" t="n"/>
      <c r="G2458" s="66">
        <f>IF(tblFleet[[#This Row],[Units]]="","",tblFleet[[#This Row],[Units]]*cfg_HoursPerDay)</f>
        <v/>
      </c>
      <c r="H2458" s="66">
        <f>IF(tblFleet[[#This Row],[Units]]="","",tblFleet[[#This Row],[Calendar_h]]-tblFleet[[#This Row],[Down_h]])</f>
        <v/>
      </c>
      <c r="I2458" s="60">
        <f>IF(AND(tblFleet[[#This Row],[Units]]&lt;&gt;"",tblFleet[[#This Row],[Calendar_h]]&gt;0),tblFleet[[#This Row],[Available_h]]/tblFleet[[#This Row],[Calendar_h]],"")</f>
        <v/>
      </c>
      <c r="J2458" s="60">
        <f>IF(AND(tblFleet[[#This Row],[Units]]&lt;&gt;"",tblFleet[[#This Row],[Available_h]]&gt;0),tblFleet[[#This Row],[Operating_h]]/tblFleet[[#This Row],[Available_h]],"")</f>
        <v/>
      </c>
    </row>
    <row r="2459">
      <c r="A2459" s="54" t="n"/>
      <c r="B2459" s="61" t="n"/>
      <c r="C2459" s="62" t="n"/>
      <c r="D2459" s="57" t="n"/>
      <c r="E2459" s="57" t="n"/>
      <c r="F2459" s="58" t="n"/>
      <c r="G2459" s="66">
        <f>IF(tblFleet[[#This Row],[Units]]="","",tblFleet[[#This Row],[Units]]*cfg_HoursPerDay)</f>
        <v/>
      </c>
      <c r="H2459" s="66">
        <f>IF(tblFleet[[#This Row],[Units]]="","",tblFleet[[#This Row],[Calendar_h]]-tblFleet[[#This Row],[Down_h]])</f>
        <v/>
      </c>
      <c r="I2459" s="60">
        <f>IF(AND(tblFleet[[#This Row],[Units]]&lt;&gt;"",tblFleet[[#This Row],[Calendar_h]]&gt;0),tblFleet[[#This Row],[Available_h]]/tblFleet[[#This Row],[Calendar_h]],"")</f>
        <v/>
      </c>
      <c r="J2459" s="60">
        <f>IF(AND(tblFleet[[#This Row],[Units]]&lt;&gt;"",tblFleet[[#This Row],[Available_h]]&gt;0),tblFleet[[#This Row],[Operating_h]]/tblFleet[[#This Row],[Available_h]],"")</f>
        <v/>
      </c>
    </row>
    <row r="2460">
      <c r="A2460" s="54" t="n"/>
      <c r="B2460" s="61" t="n"/>
      <c r="C2460" s="62" t="n"/>
      <c r="D2460" s="57" t="n"/>
      <c r="E2460" s="57" t="n"/>
      <c r="F2460" s="58" t="n"/>
      <c r="G2460" s="66">
        <f>IF(tblFleet[[#This Row],[Units]]="","",tblFleet[[#This Row],[Units]]*cfg_HoursPerDay)</f>
        <v/>
      </c>
      <c r="H2460" s="66">
        <f>IF(tblFleet[[#This Row],[Units]]="","",tblFleet[[#This Row],[Calendar_h]]-tblFleet[[#This Row],[Down_h]])</f>
        <v/>
      </c>
      <c r="I2460" s="60">
        <f>IF(AND(tblFleet[[#This Row],[Units]]&lt;&gt;"",tblFleet[[#This Row],[Calendar_h]]&gt;0),tblFleet[[#This Row],[Available_h]]/tblFleet[[#This Row],[Calendar_h]],"")</f>
        <v/>
      </c>
      <c r="J2460" s="60">
        <f>IF(AND(tblFleet[[#This Row],[Units]]&lt;&gt;"",tblFleet[[#This Row],[Available_h]]&gt;0),tblFleet[[#This Row],[Operating_h]]/tblFleet[[#This Row],[Available_h]],"")</f>
        <v/>
      </c>
    </row>
    <row r="2461">
      <c r="A2461" s="54" t="n"/>
      <c r="B2461" s="61" t="n"/>
      <c r="C2461" s="62" t="n"/>
      <c r="D2461" s="57" t="n"/>
      <c r="E2461" s="57" t="n"/>
      <c r="F2461" s="58" t="n"/>
      <c r="G2461" s="66">
        <f>IF(tblFleet[[#This Row],[Units]]="","",tblFleet[[#This Row],[Units]]*cfg_HoursPerDay)</f>
        <v/>
      </c>
      <c r="H2461" s="66">
        <f>IF(tblFleet[[#This Row],[Units]]="","",tblFleet[[#This Row],[Calendar_h]]-tblFleet[[#This Row],[Down_h]])</f>
        <v/>
      </c>
      <c r="I2461" s="60">
        <f>IF(AND(tblFleet[[#This Row],[Units]]&lt;&gt;"",tblFleet[[#This Row],[Calendar_h]]&gt;0),tblFleet[[#This Row],[Available_h]]/tblFleet[[#This Row],[Calendar_h]],"")</f>
        <v/>
      </c>
      <c r="J2461" s="60">
        <f>IF(AND(tblFleet[[#This Row],[Units]]&lt;&gt;"",tblFleet[[#This Row],[Available_h]]&gt;0),tblFleet[[#This Row],[Operating_h]]/tblFleet[[#This Row],[Available_h]],"")</f>
        <v/>
      </c>
    </row>
    <row r="2462">
      <c r="A2462" s="54" t="n"/>
      <c r="B2462" s="61" t="n"/>
      <c r="C2462" s="62" t="n"/>
      <c r="D2462" s="57" t="n"/>
      <c r="E2462" s="57" t="n"/>
      <c r="F2462" s="58" t="n"/>
      <c r="G2462" s="66">
        <f>IF(tblFleet[[#This Row],[Units]]="","",tblFleet[[#This Row],[Units]]*cfg_HoursPerDay)</f>
        <v/>
      </c>
      <c r="H2462" s="66">
        <f>IF(tblFleet[[#This Row],[Units]]="","",tblFleet[[#This Row],[Calendar_h]]-tblFleet[[#This Row],[Down_h]])</f>
        <v/>
      </c>
      <c r="I2462" s="60">
        <f>IF(AND(tblFleet[[#This Row],[Units]]&lt;&gt;"",tblFleet[[#This Row],[Calendar_h]]&gt;0),tblFleet[[#This Row],[Available_h]]/tblFleet[[#This Row],[Calendar_h]],"")</f>
        <v/>
      </c>
      <c r="J2462" s="60">
        <f>IF(AND(tblFleet[[#This Row],[Units]]&lt;&gt;"",tblFleet[[#This Row],[Available_h]]&gt;0),tblFleet[[#This Row],[Operating_h]]/tblFleet[[#This Row],[Available_h]],"")</f>
        <v/>
      </c>
    </row>
    <row r="2463">
      <c r="A2463" s="54" t="n"/>
      <c r="B2463" s="61" t="n"/>
      <c r="C2463" s="62" t="n"/>
      <c r="D2463" s="57" t="n"/>
      <c r="E2463" s="57" t="n"/>
      <c r="F2463" s="58" t="n"/>
      <c r="G2463" s="66">
        <f>IF(tblFleet[[#This Row],[Units]]="","",tblFleet[[#This Row],[Units]]*cfg_HoursPerDay)</f>
        <v/>
      </c>
      <c r="H2463" s="66">
        <f>IF(tblFleet[[#This Row],[Units]]="","",tblFleet[[#This Row],[Calendar_h]]-tblFleet[[#This Row],[Down_h]])</f>
        <v/>
      </c>
      <c r="I2463" s="60">
        <f>IF(AND(tblFleet[[#This Row],[Units]]&lt;&gt;"",tblFleet[[#This Row],[Calendar_h]]&gt;0),tblFleet[[#This Row],[Available_h]]/tblFleet[[#This Row],[Calendar_h]],"")</f>
        <v/>
      </c>
      <c r="J2463" s="60">
        <f>IF(AND(tblFleet[[#This Row],[Units]]&lt;&gt;"",tblFleet[[#This Row],[Available_h]]&gt;0),tblFleet[[#This Row],[Operating_h]]/tblFleet[[#This Row],[Available_h]],"")</f>
        <v/>
      </c>
    </row>
    <row r="2464">
      <c r="A2464" s="54" t="n"/>
      <c r="B2464" s="61" t="n"/>
      <c r="C2464" s="62" t="n"/>
      <c r="D2464" s="57" t="n"/>
      <c r="E2464" s="57" t="n"/>
      <c r="F2464" s="58" t="n"/>
      <c r="G2464" s="66">
        <f>IF(tblFleet[[#This Row],[Units]]="","",tblFleet[[#This Row],[Units]]*cfg_HoursPerDay)</f>
        <v/>
      </c>
      <c r="H2464" s="66">
        <f>IF(tblFleet[[#This Row],[Units]]="","",tblFleet[[#This Row],[Calendar_h]]-tblFleet[[#This Row],[Down_h]])</f>
        <v/>
      </c>
      <c r="I2464" s="60">
        <f>IF(AND(tblFleet[[#This Row],[Units]]&lt;&gt;"",tblFleet[[#This Row],[Calendar_h]]&gt;0),tblFleet[[#This Row],[Available_h]]/tblFleet[[#This Row],[Calendar_h]],"")</f>
        <v/>
      </c>
      <c r="J2464" s="60">
        <f>IF(AND(tblFleet[[#This Row],[Units]]&lt;&gt;"",tblFleet[[#This Row],[Available_h]]&gt;0),tblFleet[[#This Row],[Operating_h]]/tblFleet[[#This Row],[Available_h]],"")</f>
        <v/>
      </c>
    </row>
    <row r="2465">
      <c r="A2465" s="54" t="n"/>
      <c r="B2465" s="61" t="n"/>
      <c r="C2465" s="62" t="n"/>
      <c r="D2465" s="57" t="n"/>
      <c r="E2465" s="57" t="n"/>
      <c r="F2465" s="58" t="n"/>
      <c r="G2465" s="66">
        <f>IF(tblFleet[[#This Row],[Units]]="","",tblFleet[[#This Row],[Units]]*cfg_HoursPerDay)</f>
        <v/>
      </c>
      <c r="H2465" s="66">
        <f>IF(tblFleet[[#This Row],[Units]]="","",tblFleet[[#This Row],[Calendar_h]]-tblFleet[[#This Row],[Down_h]])</f>
        <v/>
      </c>
      <c r="I2465" s="60">
        <f>IF(AND(tblFleet[[#This Row],[Units]]&lt;&gt;"",tblFleet[[#This Row],[Calendar_h]]&gt;0),tblFleet[[#This Row],[Available_h]]/tblFleet[[#This Row],[Calendar_h]],"")</f>
        <v/>
      </c>
      <c r="J2465" s="60">
        <f>IF(AND(tblFleet[[#This Row],[Units]]&lt;&gt;"",tblFleet[[#This Row],[Available_h]]&gt;0),tblFleet[[#This Row],[Operating_h]]/tblFleet[[#This Row],[Available_h]],"")</f>
        <v/>
      </c>
    </row>
    <row r="2466">
      <c r="A2466" s="54" t="n"/>
      <c r="B2466" s="61" t="n"/>
      <c r="C2466" s="62" t="n"/>
      <c r="D2466" s="57" t="n"/>
      <c r="E2466" s="57" t="n"/>
      <c r="F2466" s="58" t="n"/>
      <c r="G2466" s="66">
        <f>IF(tblFleet[[#This Row],[Units]]="","",tblFleet[[#This Row],[Units]]*cfg_HoursPerDay)</f>
        <v/>
      </c>
      <c r="H2466" s="66">
        <f>IF(tblFleet[[#This Row],[Units]]="","",tblFleet[[#This Row],[Calendar_h]]-tblFleet[[#This Row],[Down_h]])</f>
        <v/>
      </c>
      <c r="I2466" s="60">
        <f>IF(AND(tblFleet[[#This Row],[Units]]&lt;&gt;"",tblFleet[[#This Row],[Calendar_h]]&gt;0),tblFleet[[#This Row],[Available_h]]/tblFleet[[#This Row],[Calendar_h]],"")</f>
        <v/>
      </c>
      <c r="J2466" s="60">
        <f>IF(AND(tblFleet[[#This Row],[Units]]&lt;&gt;"",tblFleet[[#This Row],[Available_h]]&gt;0),tblFleet[[#This Row],[Operating_h]]/tblFleet[[#This Row],[Available_h]],"")</f>
        <v/>
      </c>
    </row>
    <row r="2467">
      <c r="A2467" s="54" t="n"/>
      <c r="B2467" s="61" t="n"/>
      <c r="C2467" s="62" t="n"/>
      <c r="D2467" s="57" t="n"/>
      <c r="E2467" s="57" t="n"/>
      <c r="F2467" s="58" t="n"/>
      <c r="G2467" s="66">
        <f>IF(tblFleet[[#This Row],[Units]]="","",tblFleet[[#This Row],[Units]]*cfg_HoursPerDay)</f>
        <v/>
      </c>
      <c r="H2467" s="66">
        <f>IF(tblFleet[[#This Row],[Units]]="","",tblFleet[[#This Row],[Calendar_h]]-tblFleet[[#This Row],[Down_h]])</f>
        <v/>
      </c>
      <c r="I2467" s="60">
        <f>IF(AND(tblFleet[[#This Row],[Units]]&lt;&gt;"",tblFleet[[#This Row],[Calendar_h]]&gt;0),tblFleet[[#This Row],[Available_h]]/tblFleet[[#This Row],[Calendar_h]],"")</f>
        <v/>
      </c>
      <c r="J2467" s="60">
        <f>IF(AND(tblFleet[[#This Row],[Units]]&lt;&gt;"",tblFleet[[#This Row],[Available_h]]&gt;0),tblFleet[[#This Row],[Operating_h]]/tblFleet[[#This Row],[Available_h]],"")</f>
        <v/>
      </c>
    </row>
    <row r="2468">
      <c r="A2468" s="54" t="n"/>
      <c r="B2468" s="61" t="n"/>
      <c r="C2468" s="62" t="n"/>
      <c r="D2468" s="57" t="n"/>
      <c r="E2468" s="57" t="n"/>
      <c r="F2468" s="58" t="n"/>
      <c r="G2468" s="66">
        <f>IF(tblFleet[[#This Row],[Units]]="","",tblFleet[[#This Row],[Units]]*cfg_HoursPerDay)</f>
        <v/>
      </c>
      <c r="H2468" s="66">
        <f>IF(tblFleet[[#This Row],[Units]]="","",tblFleet[[#This Row],[Calendar_h]]-tblFleet[[#This Row],[Down_h]])</f>
        <v/>
      </c>
      <c r="I2468" s="60">
        <f>IF(AND(tblFleet[[#This Row],[Units]]&lt;&gt;"",tblFleet[[#This Row],[Calendar_h]]&gt;0),tblFleet[[#This Row],[Available_h]]/tblFleet[[#This Row],[Calendar_h]],"")</f>
        <v/>
      </c>
      <c r="J2468" s="60">
        <f>IF(AND(tblFleet[[#This Row],[Units]]&lt;&gt;"",tblFleet[[#This Row],[Available_h]]&gt;0),tblFleet[[#This Row],[Operating_h]]/tblFleet[[#This Row],[Available_h]],"")</f>
        <v/>
      </c>
    </row>
    <row r="2469">
      <c r="A2469" s="54" t="n"/>
      <c r="B2469" s="61" t="n"/>
      <c r="C2469" s="62" t="n"/>
      <c r="D2469" s="57" t="n"/>
      <c r="E2469" s="57" t="n"/>
      <c r="F2469" s="58" t="n"/>
      <c r="G2469" s="66">
        <f>IF(tblFleet[[#This Row],[Units]]="","",tblFleet[[#This Row],[Units]]*cfg_HoursPerDay)</f>
        <v/>
      </c>
      <c r="H2469" s="66">
        <f>IF(tblFleet[[#This Row],[Units]]="","",tblFleet[[#This Row],[Calendar_h]]-tblFleet[[#This Row],[Down_h]])</f>
        <v/>
      </c>
      <c r="I2469" s="60">
        <f>IF(AND(tblFleet[[#This Row],[Units]]&lt;&gt;"",tblFleet[[#This Row],[Calendar_h]]&gt;0),tblFleet[[#This Row],[Available_h]]/tblFleet[[#This Row],[Calendar_h]],"")</f>
        <v/>
      </c>
      <c r="J2469" s="60">
        <f>IF(AND(tblFleet[[#This Row],[Units]]&lt;&gt;"",tblFleet[[#This Row],[Available_h]]&gt;0),tblFleet[[#This Row],[Operating_h]]/tblFleet[[#This Row],[Available_h]],"")</f>
        <v/>
      </c>
    </row>
    <row r="2470">
      <c r="A2470" s="54" t="n"/>
      <c r="B2470" s="61" t="n"/>
      <c r="C2470" s="62" t="n"/>
      <c r="D2470" s="57" t="n"/>
      <c r="E2470" s="57" t="n"/>
      <c r="F2470" s="58" t="n"/>
      <c r="G2470" s="66">
        <f>IF(tblFleet[[#This Row],[Units]]="","",tblFleet[[#This Row],[Units]]*cfg_HoursPerDay)</f>
        <v/>
      </c>
      <c r="H2470" s="66">
        <f>IF(tblFleet[[#This Row],[Units]]="","",tblFleet[[#This Row],[Calendar_h]]-tblFleet[[#This Row],[Down_h]])</f>
        <v/>
      </c>
      <c r="I2470" s="60">
        <f>IF(AND(tblFleet[[#This Row],[Units]]&lt;&gt;"",tblFleet[[#This Row],[Calendar_h]]&gt;0),tblFleet[[#This Row],[Available_h]]/tblFleet[[#This Row],[Calendar_h]],"")</f>
        <v/>
      </c>
      <c r="J2470" s="60">
        <f>IF(AND(tblFleet[[#This Row],[Units]]&lt;&gt;"",tblFleet[[#This Row],[Available_h]]&gt;0),tblFleet[[#This Row],[Operating_h]]/tblFleet[[#This Row],[Available_h]],"")</f>
        <v/>
      </c>
    </row>
    <row r="2471">
      <c r="A2471" s="54" t="n"/>
      <c r="B2471" s="61" t="n"/>
      <c r="C2471" s="62" t="n"/>
      <c r="D2471" s="57" t="n"/>
      <c r="E2471" s="57" t="n"/>
      <c r="F2471" s="58" t="n"/>
      <c r="G2471" s="66">
        <f>IF(tblFleet[[#This Row],[Units]]="","",tblFleet[[#This Row],[Units]]*cfg_HoursPerDay)</f>
        <v/>
      </c>
      <c r="H2471" s="66">
        <f>IF(tblFleet[[#This Row],[Units]]="","",tblFleet[[#This Row],[Calendar_h]]-tblFleet[[#This Row],[Down_h]])</f>
        <v/>
      </c>
      <c r="I2471" s="60">
        <f>IF(AND(tblFleet[[#This Row],[Units]]&lt;&gt;"",tblFleet[[#This Row],[Calendar_h]]&gt;0),tblFleet[[#This Row],[Available_h]]/tblFleet[[#This Row],[Calendar_h]],"")</f>
        <v/>
      </c>
      <c r="J2471" s="60">
        <f>IF(AND(tblFleet[[#This Row],[Units]]&lt;&gt;"",tblFleet[[#This Row],[Available_h]]&gt;0),tblFleet[[#This Row],[Operating_h]]/tblFleet[[#This Row],[Available_h]],"")</f>
        <v/>
      </c>
    </row>
    <row r="2472">
      <c r="A2472" s="54" t="n"/>
      <c r="B2472" s="61" t="n"/>
      <c r="C2472" s="62" t="n"/>
      <c r="D2472" s="57" t="n"/>
      <c r="E2472" s="57" t="n"/>
      <c r="F2472" s="58" t="n"/>
      <c r="G2472" s="66">
        <f>IF(tblFleet[[#This Row],[Units]]="","",tblFleet[[#This Row],[Units]]*cfg_HoursPerDay)</f>
        <v/>
      </c>
      <c r="H2472" s="66">
        <f>IF(tblFleet[[#This Row],[Units]]="","",tblFleet[[#This Row],[Calendar_h]]-tblFleet[[#This Row],[Down_h]])</f>
        <v/>
      </c>
      <c r="I2472" s="60">
        <f>IF(AND(tblFleet[[#This Row],[Units]]&lt;&gt;"",tblFleet[[#This Row],[Calendar_h]]&gt;0),tblFleet[[#This Row],[Available_h]]/tblFleet[[#This Row],[Calendar_h]],"")</f>
        <v/>
      </c>
      <c r="J2472" s="60">
        <f>IF(AND(tblFleet[[#This Row],[Units]]&lt;&gt;"",tblFleet[[#This Row],[Available_h]]&gt;0),tblFleet[[#This Row],[Operating_h]]/tblFleet[[#This Row],[Available_h]],"")</f>
        <v/>
      </c>
    </row>
    <row r="2473">
      <c r="A2473" s="54" t="n"/>
      <c r="B2473" s="61" t="n"/>
      <c r="C2473" s="62" t="n"/>
      <c r="D2473" s="57" t="n"/>
      <c r="E2473" s="57" t="n"/>
      <c r="F2473" s="58" t="n"/>
      <c r="G2473" s="66">
        <f>IF(tblFleet[[#This Row],[Units]]="","",tblFleet[[#This Row],[Units]]*cfg_HoursPerDay)</f>
        <v/>
      </c>
      <c r="H2473" s="66">
        <f>IF(tblFleet[[#This Row],[Units]]="","",tblFleet[[#This Row],[Calendar_h]]-tblFleet[[#This Row],[Down_h]])</f>
        <v/>
      </c>
      <c r="I2473" s="60">
        <f>IF(AND(tblFleet[[#This Row],[Units]]&lt;&gt;"",tblFleet[[#This Row],[Calendar_h]]&gt;0),tblFleet[[#This Row],[Available_h]]/tblFleet[[#This Row],[Calendar_h]],"")</f>
        <v/>
      </c>
      <c r="J2473" s="60">
        <f>IF(AND(tblFleet[[#This Row],[Units]]&lt;&gt;"",tblFleet[[#This Row],[Available_h]]&gt;0),tblFleet[[#This Row],[Operating_h]]/tblFleet[[#This Row],[Available_h]],"")</f>
        <v/>
      </c>
    </row>
    <row r="2474">
      <c r="A2474" s="54" t="n"/>
      <c r="B2474" s="61" t="n"/>
      <c r="C2474" s="62" t="n"/>
      <c r="D2474" s="57" t="n"/>
      <c r="E2474" s="57" t="n"/>
      <c r="F2474" s="58" t="n"/>
      <c r="G2474" s="66">
        <f>IF(tblFleet[[#This Row],[Units]]="","",tblFleet[[#This Row],[Units]]*cfg_HoursPerDay)</f>
        <v/>
      </c>
      <c r="H2474" s="66">
        <f>IF(tblFleet[[#This Row],[Units]]="","",tblFleet[[#This Row],[Calendar_h]]-tblFleet[[#This Row],[Down_h]])</f>
        <v/>
      </c>
      <c r="I2474" s="60">
        <f>IF(AND(tblFleet[[#This Row],[Units]]&lt;&gt;"",tblFleet[[#This Row],[Calendar_h]]&gt;0),tblFleet[[#This Row],[Available_h]]/tblFleet[[#This Row],[Calendar_h]],"")</f>
        <v/>
      </c>
      <c r="J2474" s="60">
        <f>IF(AND(tblFleet[[#This Row],[Units]]&lt;&gt;"",tblFleet[[#This Row],[Available_h]]&gt;0),tblFleet[[#This Row],[Operating_h]]/tblFleet[[#This Row],[Available_h]],"")</f>
        <v/>
      </c>
    </row>
    <row r="2475">
      <c r="A2475" s="54" t="n"/>
      <c r="B2475" s="61" t="n"/>
      <c r="C2475" s="62" t="n"/>
      <c r="D2475" s="57" t="n"/>
      <c r="E2475" s="57" t="n"/>
      <c r="F2475" s="58" t="n"/>
      <c r="G2475" s="66">
        <f>IF(tblFleet[[#This Row],[Units]]="","",tblFleet[[#This Row],[Units]]*cfg_HoursPerDay)</f>
        <v/>
      </c>
      <c r="H2475" s="66">
        <f>IF(tblFleet[[#This Row],[Units]]="","",tblFleet[[#This Row],[Calendar_h]]-tblFleet[[#This Row],[Down_h]])</f>
        <v/>
      </c>
      <c r="I2475" s="60">
        <f>IF(AND(tblFleet[[#This Row],[Units]]&lt;&gt;"",tblFleet[[#This Row],[Calendar_h]]&gt;0),tblFleet[[#This Row],[Available_h]]/tblFleet[[#This Row],[Calendar_h]],"")</f>
        <v/>
      </c>
      <c r="J2475" s="60">
        <f>IF(AND(tblFleet[[#This Row],[Units]]&lt;&gt;"",tblFleet[[#This Row],[Available_h]]&gt;0),tblFleet[[#This Row],[Operating_h]]/tblFleet[[#This Row],[Available_h]],"")</f>
        <v/>
      </c>
    </row>
    <row r="2476">
      <c r="A2476" s="54" t="n"/>
      <c r="B2476" s="61" t="n"/>
      <c r="C2476" s="62" t="n"/>
      <c r="D2476" s="57" t="n"/>
      <c r="E2476" s="57" t="n"/>
      <c r="F2476" s="58" t="n"/>
      <c r="G2476" s="66">
        <f>IF(tblFleet[[#This Row],[Units]]="","",tblFleet[[#This Row],[Units]]*cfg_HoursPerDay)</f>
        <v/>
      </c>
      <c r="H2476" s="66">
        <f>IF(tblFleet[[#This Row],[Units]]="","",tblFleet[[#This Row],[Calendar_h]]-tblFleet[[#This Row],[Down_h]])</f>
        <v/>
      </c>
      <c r="I2476" s="60">
        <f>IF(AND(tblFleet[[#This Row],[Units]]&lt;&gt;"",tblFleet[[#This Row],[Calendar_h]]&gt;0),tblFleet[[#This Row],[Available_h]]/tblFleet[[#This Row],[Calendar_h]],"")</f>
        <v/>
      </c>
      <c r="J2476" s="60">
        <f>IF(AND(tblFleet[[#This Row],[Units]]&lt;&gt;"",tblFleet[[#This Row],[Available_h]]&gt;0),tblFleet[[#This Row],[Operating_h]]/tblFleet[[#This Row],[Available_h]],"")</f>
        <v/>
      </c>
    </row>
    <row r="2477">
      <c r="A2477" s="54" t="n"/>
      <c r="B2477" s="61" t="n"/>
      <c r="C2477" s="62" t="n"/>
      <c r="D2477" s="57" t="n"/>
      <c r="E2477" s="57" t="n"/>
      <c r="F2477" s="58" t="n"/>
      <c r="G2477" s="66">
        <f>IF(tblFleet[[#This Row],[Units]]="","",tblFleet[[#This Row],[Units]]*cfg_HoursPerDay)</f>
        <v/>
      </c>
      <c r="H2477" s="66">
        <f>IF(tblFleet[[#This Row],[Units]]="","",tblFleet[[#This Row],[Calendar_h]]-tblFleet[[#This Row],[Down_h]])</f>
        <v/>
      </c>
      <c r="I2477" s="60">
        <f>IF(AND(tblFleet[[#This Row],[Units]]&lt;&gt;"",tblFleet[[#This Row],[Calendar_h]]&gt;0),tblFleet[[#This Row],[Available_h]]/tblFleet[[#This Row],[Calendar_h]],"")</f>
        <v/>
      </c>
      <c r="J2477" s="60">
        <f>IF(AND(tblFleet[[#This Row],[Units]]&lt;&gt;"",tblFleet[[#This Row],[Available_h]]&gt;0),tblFleet[[#This Row],[Operating_h]]/tblFleet[[#This Row],[Available_h]],"")</f>
        <v/>
      </c>
    </row>
    <row r="2478">
      <c r="A2478" s="54" t="n"/>
      <c r="B2478" s="61" t="n"/>
      <c r="C2478" s="62" t="n"/>
      <c r="D2478" s="57" t="n"/>
      <c r="E2478" s="57" t="n"/>
      <c r="F2478" s="58" t="n"/>
      <c r="G2478" s="66">
        <f>IF(tblFleet[[#This Row],[Units]]="","",tblFleet[[#This Row],[Units]]*cfg_HoursPerDay)</f>
        <v/>
      </c>
      <c r="H2478" s="66">
        <f>IF(tblFleet[[#This Row],[Units]]="","",tblFleet[[#This Row],[Calendar_h]]-tblFleet[[#This Row],[Down_h]])</f>
        <v/>
      </c>
      <c r="I2478" s="60">
        <f>IF(AND(tblFleet[[#This Row],[Units]]&lt;&gt;"",tblFleet[[#This Row],[Calendar_h]]&gt;0),tblFleet[[#This Row],[Available_h]]/tblFleet[[#This Row],[Calendar_h]],"")</f>
        <v/>
      </c>
      <c r="J2478" s="60">
        <f>IF(AND(tblFleet[[#This Row],[Units]]&lt;&gt;"",tblFleet[[#This Row],[Available_h]]&gt;0),tblFleet[[#This Row],[Operating_h]]/tblFleet[[#This Row],[Available_h]],"")</f>
        <v/>
      </c>
    </row>
    <row r="2479">
      <c r="A2479" s="54" t="n"/>
      <c r="B2479" s="61" t="n"/>
      <c r="C2479" s="62" t="n"/>
      <c r="D2479" s="57" t="n"/>
      <c r="E2479" s="57" t="n"/>
      <c r="F2479" s="58" t="n"/>
      <c r="G2479" s="66">
        <f>IF(tblFleet[[#This Row],[Units]]="","",tblFleet[[#This Row],[Units]]*cfg_HoursPerDay)</f>
        <v/>
      </c>
      <c r="H2479" s="66">
        <f>IF(tblFleet[[#This Row],[Units]]="","",tblFleet[[#This Row],[Calendar_h]]-tblFleet[[#This Row],[Down_h]])</f>
        <v/>
      </c>
      <c r="I2479" s="60">
        <f>IF(AND(tblFleet[[#This Row],[Units]]&lt;&gt;"",tblFleet[[#This Row],[Calendar_h]]&gt;0),tblFleet[[#This Row],[Available_h]]/tblFleet[[#This Row],[Calendar_h]],"")</f>
        <v/>
      </c>
      <c r="J2479" s="60">
        <f>IF(AND(tblFleet[[#This Row],[Units]]&lt;&gt;"",tblFleet[[#This Row],[Available_h]]&gt;0),tblFleet[[#This Row],[Operating_h]]/tblFleet[[#This Row],[Available_h]],"")</f>
        <v/>
      </c>
    </row>
    <row r="2480">
      <c r="A2480" s="54" t="n"/>
      <c r="B2480" s="61" t="n"/>
      <c r="C2480" s="62" t="n"/>
      <c r="D2480" s="57" t="n"/>
      <c r="E2480" s="57" t="n"/>
      <c r="F2480" s="58" t="n"/>
      <c r="G2480" s="66">
        <f>IF(tblFleet[[#This Row],[Units]]="","",tblFleet[[#This Row],[Units]]*cfg_HoursPerDay)</f>
        <v/>
      </c>
      <c r="H2480" s="66">
        <f>IF(tblFleet[[#This Row],[Units]]="","",tblFleet[[#This Row],[Calendar_h]]-tblFleet[[#This Row],[Down_h]])</f>
        <v/>
      </c>
      <c r="I2480" s="60">
        <f>IF(AND(tblFleet[[#This Row],[Units]]&lt;&gt;"",tblFleet[[#This Row],[Calendar_h]]&gt;0),tblFleet[[#This Row],[Available_h]]/tblFleet[[#This Row],[Calendar_h]],"")</f>
        <v/>
      </c>
      <c r="J2480" s="60">
        <f>IF(AND(tblFleet[[#This Row],[Units]]&lt;&gt;"",tblFleet[[#This Row],[Available_h]]&gt;0),tblFleet[[#This Row],[Operating_h]]/tblFleet[[#This Row],[Available_h]],"")</f>
        <v/>
      </c>
    </row>
    <row r="2481">
      <c r="A2481" s="54" t="n"/>
      <c r="B2481" s="61" t="n"/>
      <c r="C2481" s="62" t="n"/>
      <c r="D2481" s="57" t="n"/>
      <c r="E2481" s="57" t="n"/>
      <c r="F2481" s="58" t="n"/>
      <c r="G2481" s="66">
        <f>IF(tblFleet[[#This Row],[Units]]="","",tblFleet[[#This Row],[Units]]*cfg_HoursPerDay)</f>
        <v/>
      </c>
      <c r="H2481" s="66">
        <f>IF(tblFleet[[#This Row],[Units]]="","",tblFleet[[#This Row],[Calendar_h]]-tblFleet[[#This Row],[Down_h]])</f>
        <v/>
      </c>
      <c r="I2481" s="60">
        <f>IF(AND(tblFleet[[#This Row],[Units]]&lt;&gt;"",tblFleet[[#This Row],[Calendar_h]]&gt;0),tblFleet[[#This Row],[Available_h]]/tblFleet[[#This Row],[Calendar_h]],"")</f>
        <v/>
      </c>
      <c r="J2481" s="60">
        <f>IF(AND(tblFleet[[#This Row],[Units]]&lt;&gt;"",tblFleet[[#This Row],[Available_h]]&gt;0),tblFleet[[#This Row],[Operating_h]]/tblFleet[[#This Row],[Available_h]],"")</f>
        <v/>
      </c>
    </row>
    <row r="2482">
      <c r="A2482" s="54" t="n"/>
      <c r="B2482" s="61" t="n"/>
      <c r="C2482" s="62" t="n"/>
      <c r="D2482" s="57" t="n"/>
      <c r="E2482" s="57" t="n"/>
      <c r="F2482" s="58" t="n"/>
      <c r="G2482" s="66">
        <f>IF(tblFleet[[#This Row],[Units]]="","",tblFleet[[#This Row],[Units]]*cfg_HoursPerDay)</f>
        <v/>
      </c>
      <c r="H2482" s="66">
        <f>IF(tblFleet[[#This Row],[Units]]="","",tblFleet[[#This Row],[Calendar_h]]-tblFleet[[#This Row],[Down_h]])</f>
        <v/>
      </c>
      <c r="I2482" s="60">
        <f>IF(AND(tblFleet[[#This Row],[Units]]&lt;&gt;"",tblFleet[[#This Row],[Calendar_h]]&gt;0),tblFleet[[#This Row],[Available_h]]/tblFleet[[#This Row],[Calendar_h]],"")</f>
        <v/>
      </c>
      <c r="J2482" s="60">
        <f>IF(AND(tblFleet[[#This Row],[Units]]&lt;&gt;"",tblFleet[[#This Row],[Available_h]]&gt;0),tblFleet[[#This Row],[Operating_h]]/tblFleet[[#This Row],[Available_h]],"")</f>
        <v/>
      </c>
    </row>
    <row r="2483">
      <c r="A2483" s="54" t="n"/>
      <c r="B2483" s="61" t="n"/>
      <c r="C2483" s="62" t="n"/>
      <c r="D2483" s="57" t="n"/>
      <c r="E2483" s="57" t="n"/>
      <c r="F2483" s="58" t="n"/>
      <c r="G2483" s="66">
        <f>IF(tblFleet[[#This Row],[Units]]="","",tblFleet[[#This Row],[Units]]*cfg_HoursPerDay)</f>
        <v/>
      </c>
      <c r="H2483" s="66">
        <f>IF(tblFleet[[#This Row],[Units]]="","",tblFleet[[#This Row],[Calendar_h]]-tblFleet[[#This Row],[Down_h]])</f>
        <v/>
      </c>
      <c r="I2483" s="60">
        <f>IF(AND(tblFleet[[#This Row],[Units]]&lt;&gt;"",tblFleet[[#This Row],[Calendar_h]]&gt;0),tblFleet[[#This Row],[Available_h]]/tblFleet[[#This Row],[Calendar_h]],"")</f>
        <v/>
      </c>
      <c r="J2483" s="60">
        <f>IF(AND(tblFleet[[#This Row],[Units]]&lt;&gt;"",tblFleet[[#This Row],[Available_h]]&gt;0),tblFleet[[#This Row],[Operating_h]]/tblFleet[[#This Row],[Available_h]],"")</f>
        <v/>
      </c>
    </row>
    <row r="2484">
      <c r="A2484" s="54" t="n"/>
      <c r="B2484" s="61" t="n"/>
      <c r="C2484" s="62" t="n"/>
      <c r="D2484" s="57" t="n"/>
      <c r="E2484" s="57" t="n"/>
      <c r="F2484" s="58" t="n"/>
      <c r="G2484" s="66">
        <f>IF(tblFleet[[#This Row],[Units]]="","",tblFleet[[#This Row],[Units]]*cfg_HoursPerDay)</f>
        <v/>
      </c>
      <c r="H2484" s="66">
        <f>IF(tblFleet[[#This Row],[Units]]="","",tblFleet[[#This Row],[Calendar_h]]-tblFleet[[#This Row],[Down_h]])</f>
        <v/>
      </c>
      <c r="I2484" s="60">
        <f>IF(AND(tblFleet[[#This Row],[Units]]&lt;&gt;"",tblFleet[[#This Row],[Calendar_h]]&gt;0),tblFleet[[#This Row],[Available_h]]/tblFleet[[#This Row],[Calendar_h]],"")</f>
        <v/>
      </c>
      <c r="J2484" s="60">
        <f>IF(AND(tblFleet[[#This Row],[Units]]&lt;&gt;"",tblFleet[[#This Row],[Available_h]]&gt;0),tblFleet[[#This Row],[Operating_h]]/tblFleet[[#This Row],[Available_h]],"")</f>
        <v/>
      </c>
    </row>
    <row r="2485">
      <c r="A2485" s="54" t="n"/>
      <c r="B2485" s="61" t="n"/>
      <c r="C2485" s="62" t="n"/>
      <c r="D2485" s="57" t="n"/>
      <c r="E2485" s="57" t="n"/>
      <c r="F2485" s="58" t="n"/>
      <c r="G2485" s="66">
        <f>IF(tblFleet[[#This Row],[Units]]="","",tblFleet[[#This Row],[Units]]*cfg_HoursPerDay)</f>
        <v/>
      </c>
      <c r="H2485" s="66">
        <f>IF(tblFleet[[#This Row],[Units]]="","",tblFleet[[#This Row],[Calendar_h]]-tblFleet[[#This Row],[Down_h]])</f>
        <v/>
      </c>
      <c r="I2485" s="60">
        <f>IF(AND(tblFleet[[#This Row],[Units]]&lt;&gt;"",tblFleet[[#This Row],[Calendar_h]]&gt;0),tblFleet[[#This Row],[Available_h]]/tblFleet[[#This Row],[Calendar_h]],"")</f>
        <v/>
      </c>
      <c r="J2485" s="60">
        <f>IF(AND(tblFleet[[#This Row],[Units]]&lt;&gt;"",tblFleet[[#This Row],[Available_h]]&gt;0),tblFleet[[#This Row],[Operating_h]]/tblFleet[[#This Row],[Available_h]],"")</f>
        <v/>
      </c>
    </row>
    <row r="2486">
      <c r="A2486" s="54" t="n"/>
      <c r="B2486" s="61" t="n"/>
      <c r="C2486" s="62" t="n"/>
      <c r="D2486" s="57" t="n"/>
      <c r="E2486" s="57" t="n"/>
      <c r="F2486" s="58" t="n"/>
      <c r="G2486" s="66">
        <f>IF(tblFleet[[#This Row],[Units]]="","",tblFleet[[#This Row],[Units]]*cfg_HoursPerDay)</f>
        <v/>
      </c>
      <c r="H2486" s="66">
        <f>IF(tblFleet[[#This Row],[Units]]="","",tblFleet[[#This Row],[Calendar_h]]-tblFleet[[#This Row],[Down_h]])</f>
        <v/>
      </c>
      <c r="I2486" s="60">
        <f>IF(AND(tblFleet[[#This Row],[Units]]&lt;&gt;"",tblFleet[[#This Row],[Calendar_h]]&gt;0),tblFleet[[#This Row],[Available_h]]/tblFleet[[#This Row],[Calendar_h]],"")</f>
        <v/>
      </c>
      <c r="J2486" s="60">
        <f>IF(AND(tblFleet[[#This Row],[Units]]&lt;&gt;"",tblFleet[[#This Row],[Available_h]]&gt;0),tblFleet[[#This Row],[Operating_h]]/tblFleet[[#This Row],[Available_h]],"")</f>
        <v/>
      </c>
    </row>
    <row r="2487">
      <c r="A2487" s="54" t="n"/>
      <c r="B2487" s="61" t="n"/>
      <c r="C2487" s="62" t="n"/>
      <c r="D2487" s="57" t="n"/>
      <c r="E2487" s="57" t="n"/>
      <c r="F2487" s="58" t="n"/>
      <c r="G2487" s="66">
        <f>IF(tblFleet[[#This Row],[Units]]="","",tblFleet[[#This Row],[Units]]*cfg_HoursPerDay)</f>
        <v/>
      </c>
      <c r="H2487" s="66">
        <f>IF(tblFleet[[#This Row],[Units]]="","",tblFleet[[#This Row],[Calendar_h]]-tblFleet[[#This Row],[Down_h]])</f>
        <v/>
      </c>
      <c r="I2487" s="60">
        <f>IF(AND(tblFleet[[#This Row],[Units]]&lt;&gt;"",tblFleet[[#This Row],[Calendar_h]]&gt;0),tblFleet[[#This Row],[Available_h]]/tblFleet[[#This Row],[Calendar_h]],"")</f>
        <v/>
      </c>
      <c r="J2487" s="60">
        <f>IF(AND(tblFleet[[#This Row],[Units]]&lt;&gt;"",tblFleet[[#This Row],[Available_h]]&gt;0),tblFleet[[#This Row],[Operating_h]]/tblFleet[[#This Row],[Available_h]],"")</f>
        <v/>
      </c>
    </row>
    <row r="2488">
      <c r="A2488" s="54" t="n"/>
      <c r="B2488" s="61" t="n"/>
      <c r="C2488" s="62" t="n"/>
      <c r="D2488" s="57" t="n"/>
      <c r="E2488" s="57" t="n"/>
      <c r="F2488" s="58" t="n"/>
      <c r="G2488" s="66">
        <f>IF(tblFleet[[#This Row],[Units]]="","",tblFleet[[#This Row],[Units]]*cfg_HoursPerDay)</f>
        <v/>
      </c>
      <c r="H2488" s="66">
        <f>IF(tblFleet[[#This Row],[Units]]="","",tblFleet[[#This Row],[Calendar_h]]-tblFleet[[#This Row],[Down_h]])</f>
        <v/>
      </c>
      <c r="I2488" s="60">
        <f>IF(AND(tblFleet[[#This Row],[Units]]&lt;&gt;"",tblFleet[[#This Row],[Calendar_h]]&gt;0),tblFleet[[#This Row],[Available_h]]/tblFleet[[#This Row],[Calendar_h]],"")</f>
        <v/>
      </c>
      <c r="J2488" s="60">
        <f>IF(AND(tblFleet[[#This Row],[Units]]&lt;&gt;"",tblFleet[[#This Row],[Available_h]]&gt;0),tblFleet[[#This Row],[Operating_h]]/tblFleet[[#This Row],[Available_h]],"")</f>
        <v/>
      </c>
    </row>
    <row r="2489">
      <c r="A2489" s="54" t="n"/>
      <c r="B2489" s="61" t="n"/>
      <c r="C2489" s="62" t="n"/>
      <c r="D2489" s="57" t="n"/>
      <c r="E2489" s="57" t="n"/>
      <c r="F2489" s="58" t="n"/>
      <c r="G2489" s="66">
        <f>IF(tblFleet[[#This Row],[Units]]="","",tblFleet[[#This Row],[Units]]*cfg_HoursPerDay)</f>
        <v/>
      </c>
      <c r="H2489" s="66">
        <f>IF(tblFleet[[#This Row],[Units]]="","",tblFleet[[#This Row],[Calendar_h]]-tblFleet[[#This Row],[Down_h]])</f>
        <v/>
      </c>
      <c r="I2489" s="60">
        <f>IF(AND(tblFleet[[#This Row],[Units]]&lt;&gt;"",tblFleet[[#This Row],[Calendar_h]]&gt;0),tblFleet[[#This Row],[Available_h]]/tblFleet[[#This Row],[Calendar_h]],"")</f>
        <v/>
      </c>
      <c r="J2489" s="60">
        <f>IF(AND(tblFleet[[#This Row],[Units]]&lt;&gt;"",tblFleet[[#This Row],[Available_h]]&gt;0),tblFleet[[#This Row],[Operating_h]]/tblFleet[[#This Row],[Available_h]],"")</f>
        <v/>
      </c>
    </row>
    <row r="2490">
      <c r="A2490" s="54" t="n"/>
      <c r="B2490" s="61" t="n"/>
      <c r="C2490" s="62" t="n"/>
      <c r="D2490" s="57" t="n"/>
      <c r="E2490" s="57" t="n"/>
      <c r="F2490" s="58" t="n"/>
      <c r="G2490" s="66">
        <f>IF(tblFleet[[#This Row],[Units]]="","",tblFleet[[#This Row],[Units]]*cfg_HoursPerDay)</f>
        <v/>
      </c>
      <c r="H2490" s="66">
        <f>IF(tblFleet[[#This Row],[Units]]="","",tblFleet[[#This Row],[Calendar_h]]-tblFleet[[#This Row],[Down_h]])</f>
        <v/>
      </c>
      <c r="I2490" s="60">
        <f>IF(AND(tblFleet[[#This Row],[Units]]&lt;&gt;"",tblFleet[[#This Row],[Calendar_h]]&gt;0),tblFleet[[#This Row],[Available_h]]/tblFleet[[#This Row],[Calendar_h]],"")</f>
        <v/>
      </c>
      <c r="J2490" s="60">
        <f>IF(AND(tblFleet[[#This Row],[Units]]&lt;&gt;"",tblFleet[[#This Row],[Available_h]]&gt;0),tblFleet[[#This Row],[Operating_h]]/tblFleet[[#This Row],[Available_h]],"")</f>
        <v/>
      </c>
    </row>
    <row r="2491">
      <c r="A2491" s="54" t="n"/>
      <c r="B2491" s="61" t="n"/>
      <c r="C2491" s="62" t="n"/>
      <c r="D2491" s="57" t="n"/>
      <c r="E2491" s="57" t="n"/>
      <c r="F2491" s="58" t="n"/>
      <c r="G2491" s="66">
        <f>IF(tblFleet[[#This Row],[Units]]="","",tblFleet[[#This Row],[Units]]*cfg_HoursPerDay)</f>
        <v/>
      </c>
      <c r="H2491" s="66">
        <f>IF(tblFleet[[#This Row],[Units]]="","",tblFleet[[#This Row],[Calendar_h]]-tblFleet[[#This Row],[Down_h]])</f>
        <v/>
      </c>
      <c r="I2491" s="60">
        <f>IF(AND(tblFleet[[#This Row],[Units]]&lt;&gt;"",tblFleet[[#This Row],[Calendar_h]]&gt;0),tblFleet[[#This Row],[Available_h]]/tblFleet[[#This Row],[Calendar_h]],"")</f>
        <v/>
      </c>
      <c r="J2491" s="60">
        <f>IF(AND(tblFleet[[#This Row],[Units]]&lt;&gt;"",tblFleet[[#This Row],[Available_h]]&gt;0),tblFleet[[#This Row],[Operating_h]]/tblFleet[[#This Row],[Available_h]],"")</f>
        <v/>
      </c>
    </row>
    <row r="2492">
      <c r="A2492" s="54" t="n"/>
      <c r="B2492" s="61" t="n"/>
      <c r="C2492" s="62" t="n"/>
      <c r="D2492" s="57" t="n"/>
      <c r="E2492" s="57" t="n"/>
      <c r="F2492" s="58" t="n"/>
      <c r="G2492" s="66">
        <f>IF(tblFleet[[#This Row],[Units]]="","",tblFleet[[#This Row],[Units]]*cfg_HoursPerDay)</f>
        <v/>
      </c>
      <c r="H2492" s="66">
        <f>IF(tblFleet[[#This Row],[Units]]="","",tblFleet[[#This Row],[Calendar_h]]-tblFleet[[#This Row],[Down_h]])</f>
        <v/>
      </c>
      <c r="I2492" s="60">
        <f>IF(AND(tblFleet[[#This Row],[Units]]&lt;&gt;"",tblFleet[[#This Row],[Calendar_h]]&gt;0),tblFleet[[#This Row],[Available_h]]/tblFleet[[#This Row],[Calendar_h]],"")</f>
        <v/>
      </c>
      <c r="J2492" s="60">
        <f>IF(AND(tblFleet[[#This Row],[Units]]&lt;&gt;"",tblFleet[[#This Row],[Available_h]]&gt;0),tblFleet[[#This Row],[Operating_h]]/tblFleet[[#This Row],[Available_h]],"")</f>
        <v/>
      </c>
    </row>
    <row r="2493">
      <c r="A2493" s="54" t="n"/>
      <c r="B2493" s="61" t="n"/>
      <c r="C2493" s="62" t="n"/>
      <c r="D2493" s="57" t="n"/>
      <c r="E2493" s="57" t="n"/>
      <c r="F2493" s="58" t="n"/>
      <c r="G2493" s="66">
        <f>IF(tblFleet[[#This Row],[Units]]="","",tblFleet[[#This Row],[Units]]*cfg_HoursPerDay)</f>
        <v/>
      </c>
      <c r="H2493" s="66">
        <f>IF(tblFleet[[#This Row],[Units]]="","",tblFleet[[#This Row],[Calendar_h]]-tblFleet[[#This Row],[Down_h]])</f>
        <v/>
      </c>
      <c r="I2493" s="60">
        <f>IF(AND(tblFleet[[#This Row],[Units]]&lt;&gt;"",tblFleet[[#This Row],[Calendar_h]]&gt;0),tblFleet[[#This Row],[Available_h]]/tblFleet[[#This Row],[Calendar_h]],"")</f>
        <v/>
      </c>
      <c r="J2493" s="60">
        <f>IF(AND(tblFleet[[#This Row],[Units]]&lt;&gt;"",tblFleet[[#This Row],[Available_h]]&gt;0),tblFleet[[#This Row],[Operating_h]]/tblFleet[[#This Row],[Available_h]],"")</f>
        <v/>
      </c>
    </row>
    <row r="2494">
      <c r="A2494" s="54" t="n"/>
      <c r="B2494" s="61" t="n"/>
      <c r="C2494" s="62" t="n"/>
      <c r="D2494" s="57" t="n"/>
      <c r="E2494" s="57" t="n"/>
      <c r="F2494" s="58" t="n"/>
      <c r="G2494" s="66">
        <f>IF(tblFleet[[#This Row],[Units]]="","",tblFleet[[#This Row],[Units]]*cfg_HoursPerDay)</f>
        <v/>
      </c>
      <c r="H2494" s="66">
        <f>IF(tblFleet[[#This Row],[Units]]="","",tblFleet[[#This Row],[Calendar_h]]-tblFleet[[#This Row],[Down_h]])</f>
        <v/>
      </c>
      <c r="I2494" s="60">
        <f>IF(AND(tblFleet[[#This Row],[Units]]&lt;&gt;"",tblFleet[[#This Row],[Calendar_h]]&gt;0),tblFleet[[#This Row],[Available_h]]/tblFleet[[#This Row],[Calendar_h]],"")</f>
        <v/>
      </c>
      <c r="J2494" s="60">
        <f>IF(AND(tblFleet[[#This Row],[Units]]&lt;&gt;"",tblFleet[[#This Row],[Available_h]]&gt;0),tblFleet[[#This Row],[Operating_h]]/tblFleet[[#This Row],[Available_h]],"")</f>
        <v/>
      </c>
    </row>
    <row r="2495">
      <c r="A2495" s="54" t="n"/>
      <c r="B2495" s="61" t="n"/>
      <c r="C2495" s="62" t="n"/>
      <c r="D2495" s="57" t="n"/>
      <c r="E2495" s="57" t="n"/>
      <c r="F2495" s="58" t="n"/>
      <c r="G2495" s="66">
        <f>IF(tblFleet[[#This Row],[Units]]="","",tblFleet[[#This Row],[Units]]*cfg_HoursPerDay)</f>
        <v/>
      </c>
      <c r="H2495" s="66">
        <f>IF(tblFleet[[#This Row],[Units]]="","",tblFleet[[#This Row],[Calendar_h]]-tblFleet[[#This Row],[Down_h]])</f>
        <v/>
      </c>
      <c r="I2495" s="60">
        <f>IF(AND(tblFleet[[#This Row],[Units]]&lt;&gt;"",tblFleet[[#This Row],[Calendar_h]]&gt;0),tblFleet[[#This Row],[Available_h]]/tblFleet[[#This Row],[Calendar_h]],"")</f>
        <v/>
      </c>
      <c r="J2495" s="60">
        <f>IF(AND(tblFleet[[#This Row],[Units]]&lt;&gt;"",tblFleet[[#This Row],[Available_h]]&gt;0),tblFleet[[#This Row],[Operating_h]]/tblFleet[[#This Row],[Available_h]],"")</f>
        <v/>
      </c>
    </row>
    <row r="2496">
      <c r="A2496" s="54" t="n"/>
      <c r="B2496" s="61" t="n"/>
      <c r="C2496" s="62" t="n"/>
      <c r="D2496" s="57" t="n"/>
      <c r="E2496" s="57" t="n"/>
      <c r="F2496" s="58" t="n"/>
      <c r="G2496" s="66">
        <f>IF(tblFleet[[#This Row],[Units]]="","",tblFleet[[#This Row],[Units]]*cfg_HoursPerDay)</f>
        <v/>
      </c>
      <c r="H2496" s="66">
        <f>IF(tblFleet[[#This Row],[Units]]="","",tblFleet[[#This Row],[Calendar_h]]-tblFleet[[#This Row],[Down_h]])</f>
        <v/>
      </c>
      <c r="I2496" s="60">
        <f>IF(AND(tblFleet[[#This Row],[Units]]&lt;&gt;"",tblFleet[[#This Row],[Calendar_h]]&gt;0),tblFleet[[#This Row],[Available_h]]/tblFleet[[#This Row],[Calendar_h]],"")</f>
        <v/>
      </c>
      <c r="J2496" s="60">
        <f>IF(AND(tblFleet[[#This Row],[Units]]&lt;&gt;"",tblFleet[[#This Row],[Available_h]]&gt;0),tblFleet[[#This Row],[Operating_h]]/tblFleet[[#This Row],[Available_h]],"")</f>
        <v/>
      </c>
    </row>
    <row r="2497">
      <c r="A2497" s="54" t="n"/>
      <c r="B2497" s="61" t="n"/>
      <c r="C2497" s="62" t="n"/>
      <c r="D2497" s="57" t="n"/>
      <c r="E2497" s="57" t="n"/>
      <c r="F2497" s="58" t="n"/>
      <c r="G2497" s="66">
        <f>IF(tblFleet[[#This Row],[Units]]="","",tblFleet[[#This Row],[Units]]*cfg_HoursPerDay)</f>
        <v/>
      </c>
      <c r="H2497" s="66">
        <f>IF(tblFleet[[#This Row],[Units]]="","",tblFleet[[#This Row],[Calendar_h]]-tblFleet[[#This Row],[Down_h]])</f>
        <v/>
      </c>
      <c r="I2497" s="60">
        <f>IF(AND(tblFleet[[#This Row],[Units]]&lt;&gt;"",tblFleet[[#This Row],[Calendar_h]]&gt;0),tblFleet[[#This Row],[Available_h]]/tblFleet[[#This Row],[Calendar_h]],"")</f>
        <v/>
      </c>
      <c r="J2497" s="60">
        <f>IF(AND(tblFleet[[#This Row],[Units]]&lt;&gt;"",tblFleet[[#This Row],[Available_h]]&gt;0),tblFleet[[#This Row],[Operating_h]]/tblFleet[[#This Row],[Available_h]],"")</f>
        <v/>
      </c>
    </row>
    <row r="2498">
      <c r="A2498" s="54" t="n"/>
      <c r="B2498" s="61" t="n"/>
      <c r="C2498" s="62" t="n"/>
      <c r="D2498" s="57" t="n"/>
      <c r="E2498" s="57" t="n"/>
      <c r="F2498" s="58" t="n"/>
      <c r="G2498" s="66">
        <f>IF(tblFleet[[#This Row],[Units]]="","",tblFleet[[#This Row],[Units]]*cfg_HoursPerDay)</f>
        <v/>
      </c>
      <c r="H2498" s="66">
        <f>IF(tblFleet[[#This Row],[Units]]="","",tblFleet[[#This Row],[Calendar_h]]-tblFleet[[#This Row],[Down_h]])</f>
        <v/>
      </c>
      <c r="I2498" s="60">
        <f>IF(AND(tblFleet[[#This Row],[Units]]&lt;&gt;"",tblFleet[[#This Row],[Calendar_h]]&gt;0),tblFleet[[#This Row],[Available_h]]/tblFleet[[#This Row],[Calendar_h]],"")</f>
        <v/>
      </c>
      <c r="J2498" s="60">
        <f>IF(AND(tblFleet[[#This Row],[Units]]&lt;&gt;"",tblFleet[[#This Row],[Available_h]]&gt;0),tblFleet[[#This Row],[Operating_h]]/tblFleet[[#This Row],[Available_h]],"")</f>
        <v/>
      </c>
    </row>
    <row r="2499">
      <c r="A2499" s="54" t="n"/>
      <c r="B2499" s="61" t="n"/>
      <c r="C2499" s="62" t="n"/>
      <c r="D2499" s="57" t="n"/>
      <c r="E2499" s="57" t="n"/>
      <c r="F2499" s="58" t="n"/>
      <c r="G2499" s="66">
        <f>IF(tblFleet[[#This Row],[Units]]="","",tblFleet[[#This Row],[Units]]*cfg_HoursPerDay)</f>
        <v/>
      </c>
      <c r="H2499" s="66">
        <f>IF(tblFleet[[#This Row],[Units]]="","",tblFleet[[#This Row],[Calendar_h]]-tblFleet[[#This Row],[Down_h]])</f>
        <v/>
      </c>
      <c r="I2499" s="60">
        <f>IF(AND(tblFleet[[#This Row],[Units]]&lt;&gt;"",tblFleet[[#This Row],[Calendar_h]]&gt;0),tblFleet[[#This Row],[Available_h]]/tblFleet[[#This Row],[Calendar_h]],"")</f>
        <v/>
      </c>
      <c r="J2499" s="60">
        <f>IF(AND(tblFleet[[#This Row],[Units]]&lt;&gt;"",tblFleet[[#This Row],[Available_h]]&gt;0),tblFleet[[#This Row],[Operating_h]]/tblFleet[[#This Row],[Available_h]],"")</f>
        <v/>
      </c>
    </row>
    <row r="2500">
      <c r="A2500" s="54" t="n"/>
      <c r="B2500" s="61" t="n"/>
      <c r="C2500" s="62" t="n"/>
      <c r="D2500" s="57" t="n"/>
      <c r="E2500" s="57" t="n"/>
      <c r="F2500" s="58" t="n"/>
      <c r="G2500" s="66">
        <f>IF(tblFleet[[#This Row],[Units]]="","",tblFleet[[#This Row],[Units]]*cfg_HoursPerDay)</f>
        <v/>
      </c>
      <c r="H2500" s="66">
        <f>IF(tblFleet[[#This Row],[Units]]="","",tblFleet[[#This Row],[Calendar_h]]-tblFleet[[#This Row],[Down_h]])</f>
        <v/>
      </c>
      <c r="I2500" s="60">
        <f>IF(AND(tblFleet[[#This Row],[Units]]&lt;&gt;"",tblFleet[[#This Row],[Calendar_h]]&gt;0),tblFleet[[#This Row],[Available_h]]/tblFleet[[#This Row],[Calendar_h]],"")</f>
        <v/>
      </c>
      <c r="J2500" s="60">
        <f>IF(AND(tblFleet[[#This Row],[Units]]&lt;&gt;"",tblFleet[[#This Row],[Available_h]]&gt;0),tblFleet[[#This Row],[Operating_h]]/tblFleet[[#This Row],[Available_h]],"")</f>
        <v/>
      </c>
    </row>
    <row r="2501">
      <c r="A2501" s="54" t="n"/>
      <c r="B2501" s="61" t="n"/>
      <c r="C2501" s="62" t="n"/>
      <c r="D2501" s="57" t="n"/>
      <c r="E2501" s="57" t="n"/>
      <c r="F2501" s="58" t="n"/>
      <c r="G2501" s="66">
        <f>IF(tblFleet[[#This Row],[Units]]="","",tblFleet[[#This Row],[Units]]*cfg_HoursPerDay)</f>
        <v/>
      </c>
      <c r="H2501" s="66">
        <f>IF(tblFleet[[#This Row],[Units]]="","",tblFleet[[#This Row],[Calendar_h]]-tblFleet[[#This Row],[Down_h]])</f>
        <v/>
      </c>
      <c r="I2501" s="60">
        <f>IF(AND(tblFleet[[#This Row],[Units]]&lt;&gt;"",tblFleet[[#This Row],[Calendar_h]]&gt;0),tblFleet[[#This Row],[Available_h]]/tblFleet[[#This Row],[Calendar_h]],"")</f>
        <v/>
      </c>
      <c r="J2501" s="60">
        <f>IF(AND(tblFleet[[#This Row],[Units]]&lt;&gt;"",tblFleet[[#This Row],[Available_h]]&gt;0),tblFleet[[#This Row],[Operating_h]]/tblFleet[[#This Row],[Available_h]],"")</f>
        <v/>
      </c>
    </row>
    <row r="2502">
      <c r="A2502" s="54" t="n"/>
      <c r="B2502" s="61" t="n"/>
      <c r="C2502" s="62" t="n"/>
      <c r="D2502" s="57" t="n"/>
      <c r="E2502" s="57" t="n"/>
      <c r="F2502" s="58" t="n"/>
      <c r="G2502" s="66">
        <f>IF(tblFleet[[#This Row],[Units]]="","",tblFleet[[#This Row],[Units]]*cfg_HoursPerDay)</f>
        <v/>
      </c>
      <c r="H2502" s="66">
        <f>IF(tblFleet[[#This Row],[Units]]="","",tblFleet[[#This Row],[Calendar_h]]-tblFleet[[#This Row],[Down_h]])</f>
        <v/>
      </c>
      <c r="I2502" s="60">
        <f>IF(AND(tblFleet[[#This Row],[Units]]&lt;&gt;"",tblFleet[[#This Row],[Calendar_h]]&gt;0),tblFleet[[#This Row],[Available_h]]/tblFleet[[#This Row],[Calendar_h]],"")</f>
        <v/>
      </c>
      <c r="J2502" s="60">
        <f>IF(AND(tblFleet[[#This Row],[Units]]&lt;&gt;"",tblFleet[[#This Row],[Available_h]]&gt;0),tblFleet[[#This Row],[Operating_h]]/tblFleet[[#This Row],[Available_h]],"")</f>
        <v/>
      </c>
    </row>
    <row r="2503">
      <c r="A2503" s="54" t="n"/>
      <c r="B2503" s="61" t="n"/>
      <c r="C2503" s="62" t="n"/>
      <c r="D2503" s="57" t="n"/>
      <c r="E2503" s="57" t="n"/>
      <c r="F2503" s="58" t="n"/>
      <c r="G2503" s="66">
        <f>IF(tblFleet[[#This Row],[Units]]="","",tblFleet[[#This Row],[Units]]*cfg_HoursPerDay)</f>
        <v/>
      </c>
      <c r="H2503" s="66">
        <f>IF(tblFleet[[#This Row],[Units]]="","",tblFleet[[#This Row],[Calendar_h]]-tblFleet[[#This Row],[Down_h]])</f>
        <v/>
      </c>
      <c r="I2503" s="60">
        <f>IF(AND(tblFleet[[#This Row],[Units]]&lt;&gt;"",tblFleet[[#This Row],[Calendar_h]]&gt;0),tblFleet[[#This Row],[Available_h]]/tblFleet[[#This Row],[Calendar_h]],"")</f>
        <v/>
      </c>
      <c r="J2503" s="60">
        <f>IF(AND(tblFleet[[#This Row],[Units]]&lt;&gt;"",tblFleet[[#This Row],[Available_h]]&gt;0),tblFleet[[#This Row],[Operating_h]]/tblFleet[[#This Row],[Available_h]],"")</f>
        <v/>
      </c>
    </row>
    <row r="2504">
      <c r="A2504" s="54" t="n"/>
      <c r="B2504" s="61" t="n"/>
      <c r="C2504" s="62" t="n"/>
      <c r="D2504" s="57" t="n"/>
      <c r="E2504" s="57" t="n"/>
      <c r="F2504" s="58" t="n"/>
      <c r="G2504" s="66">
        <f>IF(tblFleet[[#This Row],[Units]]="","",tblFleet[[#This Row],[Units]]*cfg_HoursPerDay)</f>
        <v/>
      </c>
      <c r="H2504" s="66">
        <f>IF(tblFleet[[#This Row],[Units]]="","",tblFleet[[#This Row],[Calendar_h]]-tblFleet[[#This Row],[Down_h]])</f>
        <v/>
      </c>
      <c r="I2504" s="60">
        <f>IF(AND(tblFleet[[#This Row],[Units]]&lt;&gt;"",tblFleet[[#This Row],[Calendar_h]]&gt;0),tblFleet[[#This Row],[Available_h]]/tblFleet[[#This Row],[Calendar_h]],"")</f>
        <v/>
      </c>
      <c r="J2504" s="60">
        <f>IF(AND(tblFleet[[#This Row],[Units]]&lt;&gt;"",tblFleet[[#This Row],[Available_h]]&gt;0),tblFleet[[#This Row],[Operating_h]]/tblFleet[[#This Row],[Available_h]],"")</f>
        <v/>
      </c>
    </row>
    <row r="2505">
      <c r="A2505" s="54" t="n"/>
      <c r="B2505" s="61" t="n"/>
      <c r="C2505" s="62" t="n"/>
      <c r="D2505" s="57" t="n"/>
      <c r="E2505" s="57" t="n"/>
      <c r="F2505" s="58" t="n"/>
      <c r="G2505" s="66">
        <f>IF(tblFleet[[#This Row],[Units]]="","",tblFleet[[#This Row],[Units]]*cfg_HoursPerDay)</f>
        <v/>
      </c>
      <c r="H2505" s="66">
        <f>IF(tblFleet[[#This Row],[Units]]="","",tblFleet[[#This Row],[Calendar_h]]-tblFleet[[#This Row],[Down_h]])</f>
        <v/>
      </c>
      <c r="I2505" s="60">
        <f>IF(AND(tblFleet[[#This Row],[Units]]&lt;&gt;"",tblFleet[[#This Row],[Calendar_h]]&gt;0),tblFleet[[#This Row],[Available_h]]/tblFleet[[#This Row],[Calendar_h]],"")</f>
        <v/>
      </c>
      <c r="J2505" s="60">
        <f>IF(AND(tblFleet[[#This Row],[Units]]&lt;&gt;"",tblFleet[[#This Row],[Available_h]]&gt;0),tblFleet[[#This Row],[Operating_h]]/tblFleet[[#This Row],[Available_h]],"")</f>
        <v/>
      </c>
    </row>
    <row r="2506">
      <c r="A2506" s="54" t="n"/>
      <c r="B2506" s="61" t="n"/>
      <c r="C2506" s="62" t="n"/>
      <c r="D2506" s="57" t="n"/>
      <c r="E2506" s="57" t="n"/>
      <c r="F2506" s="58" t="n"/>
      <c r="G2506" s="66">
        <f>IF(tblFleet[[#This Row],[Units]]="","",tblFleet[[#This Row],[Units]]*cfg_HoursPerDay)</f>
        <v/>
      </c>
      <c r="H2506" s="66">
        <f>IF(tblFleet[[#This Row],[Units]]="","",tblFleet[[#This Row],[Calendar_h]]-tblFleet[[#This Row],[Down_h]])</f>
        <v/>
      </c>
      <c r="I2506" s="60">
        <f>IF(AND(tblFleet[[#This Row],[Units]]&lt;&gt;"",tblFleet[[#This Row],[Calendar_h]]&gt;0),tblFleet[[#This Row],[Available_h]]/tblFleet[[#This Row],[Calendar_h]],"")</f>
        <v/>
      </c>
      <c r="J2506" s="60">
        <f>IF(AND(tblFleet[[#This Row],[Units]]&lt;&gt;"",tblFleet[[#This Row],[Available_h]]&gt;0),tblFleet[[#This Row],[Operating_h]]/tblFleet[[#This Row],[Available_h]],"")</f>
        <v/>
      </c>
    </row>
    <row r="2507">
      <c r="A2507" s="54" t="n"/>
      <c r="B2507" s="61" t="n"/>
      <c r="C2507" s="62" t="n"/>
      <c r="D2507" s="57" t="n"/>
      <c r="E2507" s="57" t="n"/>
      <c r="F2507" s="58" t="n"/>
      <c r="G2507" s="66">
        <f>IF(tblFleet[[#This Row],[Units]]="","",tblFleet[[#This Row],[Units]]*cfg_HoursPerDay)</f>
        <v/>
      </c>
      <c r="H2507" s="66">
        <f>IF(tblFleet[[#This Row],[Units]]="","",tblFleet[[#This Row],[Calendar_h]]-tblFleet[[#This Row],[Down_h]])</f>
        <v/>
      </c>
      <c r="I2507" s="60">
        <f>IF(AND(tblFleet[[#This Row],[Units]]&lt;&gt;"",tblFleet[[#This Row],[Calendar_h]]&gt;0),tblFleet[[#This Row],[Available_h]]/tblFleet[[#This Row],[Calendar_h]],"")</f>
        <v/>
      </c>
      <c r="J2507" s="60">
        <f>IF(AND(tblFleet[[#This Row],[Units]]&lt;&gt;"",tblFleet[[#This Row],[Available_h]]&gt;0),tblFleet[[#This Row],[Operating_h]]/tblFleet[[#This Row],[Available_h]],"")</f>
        <v/>
      </c>
    </row>
    <row r="2508">
      <c r="A2508" s="54" t="n"/>
      <c r="B2508" s="61" t="n"/>
      <c r="C2508" s="62" t="n"/>
      <c r="D2508" s="57" t="n"/>
      <c r="E2508" s="57" t="n"/>
      <c r="F2508" s="58" t="n"/>
      <c r="G2508" s="66">
        <f>IF(tblFleet[[#This Row],[Units]]="","",tblFleet[[#This Row],[Units]]*cfg_HoursPerDay)</f>
        <v/>
      </c>
      <c r="H2508" s="66">
        <f>IF(tblFleet[[#This Row],[Units]]="","",tblFleet[[#This Row],[Calendar_h]]-tblFleet[[#This Row],[Down_h]])</f>
        <v/>
      </c>
      <c r="I2508" s="60">
        <f>IF(AND(tblFleet[[#This Row],[Units]]&lt;&gt;"",tblFleet[[#This Row],[Calendar_h]]&gt;0),tblFleet[[#This Row],[Available_h]]/tblFleet[[#This Row],[Calendar_h]],"")</f>
        <v/>
      </c>
      <c r="J2508" s="60">
        <f>IF(AND(tblFleet[[#This Row],[Units]]&lt;&gt;"",tblFleet[[#This Row],[Available_h]]&gt;0),tblFleet[[#This Row],[Operating_h]]/tblFleet[[#This Row],[Available_h]],"")</f>
        <v/>
      </c>
    </row>
    <row r="2509">
      <c r="A2509" s="54" t="n"/>
      <c r="B2509" s="61" t="n"/>
      <c r="C2509" s="62" t="n"/>
      <c r="D2509" s="57" t="n"/>
      <c r="E2509" s="57" t="n"/>
      <c r="F2509" s="58" t="n"/>
      <c r="G2509" s="66">
        <f>IF(tblFleet[[#This Row],[Units]]="","",tblFleet[[#This Row],[Units]]*cfg_HoursPerDay)</f>
        <v/>
      </c>
      <c r="H2509" s="66">
        <f>IF(tblFleet[[#This Row],[Units]]="","",tblFleet[[#This Row],[Calendar_h]]-tblFleet[[#This Row],[Down_h]])</f>
        <v/>
      </c>
      <c r="I2509" s="60">
        <f>IF(AND(tblFleet[[#This Row],[Units]]&lt;&gt;"",tblFleet[[#This Row],[Calendar_h]]&gt;0),tblFleet[[#This Row],[Available_h]]/tblFleet[[#This Row],[Calendar_h]],"")</f>
        <v/>
      </c>
      <c r="J2509" s="60">
        <f>IF(AND(tblFleet[[#This Row],[Units]]&lt;&gt;"",tblFleet[[#This Row],[Available_h]]&gt;0),tblFleet[[#This Row],[Operating_h]]/tblFleet[[#This Row],[Available_h]],"")</f>
        <v/>
      </c>
    </row>
    <row r="2510">
      <c r="A2510" s="54" t="n"/>
      <c r="B2510" s="61" t="n"/>
      <c r="C2510" s="62" t="n"/>
      <c r="D2510" s="57" t="n"/>
      <c r="E2510" s="57" t="n"/>
      <c r="F2510" s="58" t="n"/>
      <c r="G2510" s="66">
        <f>IF(tblFleet[[#This Row],[Units]]="","",tblFleet[[#This Row],[Units]]*cfg_HoursPerDay)</f>
        <v/>
      </c>
      <c r="H2510" s="66">
        <f>IF(tblFleet[[#This Row],[Units]]="","",tblFleet[[#This Row],[Calendar_h]]-tblFleet[[#This Row],[Down_h]])</f>
        <v/>
      </c>
      <c r="I2510" s="60">
        <f>IF(AND(tblFleet[[#This Row],[Units]]&lt;&gt;"",tblFleet[[#This Row],[Calendar_h]]&gt;0),tblFleet[[#This Row],[Available_h]]/tblFleet[[#This Row],[Calendar_h]],"")</f>
        <v/>
      </c>
      <c r="J2510" s="60">
        <f>IF(AND(tblFleet[[#This Row],[Units]]&lt;&gt;"",tblFleet[[#This Row],[Available_h]]&gt;0),tblFleet[[#This Row],[Operating_h]]/tblFleet[[#This Row],[Available_h]],"")</f>
        <v/>
      </c>
    </row>
    <row r="2511">
      <c r="A2511" s="54" t="n"/>
      <c r="B2511" s="61" t="n"/>
      <c r="C2511" s="62" t="n"/>
      <c r="D2511" s="57" t="n"/>
      <c r="E2511" s="57" t="n"/>
      <c r="F2511" s="58" t="n"/>
      <c r="G2511" s="66">
        <f>IF(tblFleet[[#This Row],[Units]]="","",tblFleet[[#This Row],[Units]]*cfg_HoursPerDay)</f>
        <v/>
      </c>
      <c r="H2511" s="66">
        <f>IF(tblFleet[[#This Row],[Units]]="","",tblFleet[[#This Row],[Calendar_h]]-tblFleet[[#This Row],[Down_h]])</f>
        <v/>
      </c>
      <c r="I2511" s="60">
        <f>IF(AND(tblFleet[[#This Row],[Units]]&lt;&gt;"",tblFleet[[#This Row],[Calendar_h]]&gt;0),tblFleet[[#This Row],[Available_h]]/tblFleet[[#This Row],[Calendar_h]],"")</f>
        <v/>
      </c>
      <c r="J2511" s="60">
        <f>IF(AND(tblFleet[[#This Row],[Units]]&lt;&gt;"",tblFleet[[#This Row],[Available_h]]&gt;0),tblFleet[[#This Row],[Operating_h]]/tblFleet[[#This Row],[Available_h]],"")</f>
        <v/>
      </c>
    </row>
    <row r="2512">
      <c r="A2512" s="54" t="n"/>
      <c r="B2512" s="61" t="n"/>
      <c r="C2512" s="62" t="n"/>
      <c r="D2512" s="57" t="n"/>
      <c r="E2512" s="57" t="n"/>
      <c r="F2512" s="58" t="n"/>
      <c r="G2512" s="66">
        <f>IF(tblFleet[[#This Row],[Units]]="","",tblFleet[[#This Row],[Units]]*cfg_HoursPerDay)</f>
        <v/>
      </c>
      <c r="H2512" s="66">
        <f>IF(tblFleet[[#This Row],[Units]]="","",tblFleet[[#This Row],[Calendar_h]]-tblFleet[[#This Row],[Down_h]])</f>
        <v/>
      </c>
      <c r="I2512" s="60">
        <f>IF(AND(tblFleet[[#This Row],[Units]]&lt;&gt;"",tblFleet[[#This Row],[Calendar_h]]&gt;0),tblFleet[[#This Row],[Available_h]]/tblFleet[[#This Row],[Calendar_h]],"")</f>
        <v/>
      </c>
      <c r="J2512" s="60">
        <f>IF(AND(tblFleet[[#This Row],[Units]]&lt;&gt;"",tblFleet[[#This Row],[Available_h]]&gt;0),tblFleet[[#This Row],[Operating_h]]/tblFleet[[#This Row],[Available_h]],"")</f>
        <v/>
      </c>
    </row>
    <row r="2513">
      <c r="A2513" s="54" t="n"/>
      <c r="B2513" s="61" t="n"/>
      <c r="C2513" s="62" t="n"/>
      <c r="D2513" s="57" t="n"/>
      <c r="E2513" s="57" t="n"/>
      <c r="F2513" s="58" t="n"/>
      <c r="G2513" s="66">
        <f>IF(tblFleet[[#This Row],[Units]]="","",tblFleet[[#This Row],[Units]]*cfg_HoursPerDay)</f>
        <v/>
      </c>
      <c r="H2513" s="66">
        <f>IF(tblFleet[[#This Row],[Units]]="","",tblFleet[[#This Row],[Calendar_h]]-tblFleet[[#This Row],[Down_h]])</f>
        <v/>
      </c>
      <c r="I2513" s="60">
        <f>IF(AND(tblFleet[[#This Row],[Units]]&lt;&gt;"",tblFleet[[#This Row],[Calendar_h]]&gt;0),tblFleet[[#This Row],[Available_h]]/tblFleet[[#This Row],[Calendar_h]],"")</f>
        <v/>
      </c>
      <c r="J2513" s="60">
        <f>IF(AND(tblFleet[[#This Row],[Units]]&lt;&gt;"",tblFleet[[#This Row],[Available_h]]&gt;0),tblFleet[[#This Row],[Operating_h]]/tblFleet[[#This Row],[Available_h]],"")</f>
        <v/>
      </c>
    </row>
    <row r="2514">
      <c r="A2514" s="54" t="n"/>
      <c r="B2514" s="61" t="n"/>
      <c r="C2514" s="62" t="n"/>
      <c r="D2514" s="57" t="n"/>
      <c r="E2514" s="57" t="n"/>
      <c r="F2514" s="58" t="n"/>
      <c r="G2514" s="66">
        <f>IF(tblFleet[[#This Row],[Units]]="","",tblFleet[[#This Row],[Units]]*cfg_HoursPerDay)</f>
        <v/>
      </c>
      <c r="H2514" s="66">
        <f>IF(tblFleet[[#This Row],[Units]]="","",tblFleet[[#This Row],[Calendar_h]]-tblFleet[[#This Row],[Down_h]])</f>
        <v/>
      </c>
      <c r="I2514" s="60">
        <f>IF(AND(tblFleet[[#This Row],[Units]]&lt;&gt;"",tblFleet[[#This Row],[Calendar_h]]&gt;0),tblFleet[[#This Row],[Available_h]]/tblFleet[[#This Row],[Calendar_h]],"")</f>
        <v/>
      </c>
      <c r="J2514" s="60">
        <f>IF(AND(tblFleet[[#This Row],[Units]]&lt;&gt;"",tblFleet[[#This Row],[Available_h]]&gt;0),tblFleet[[#This Row],[Operating_h]]/tblFleet[[#This Row],[Available_h]],"")</f>
        <v/>
      </c>
    </row>
    <row r="2515">
      <c r="A2515" s="54" t="n"/>
      <c r="B2515" s="61" t="n"/>
      <c r="C2515" s="62" t="n"/>
      <c r="D2515" s="57" t="n"/>
      <c r="E2515" s="57" t="n"/>
      <c r="F2515" s="58" t="n"/>
      <c r="G2515" s="66">
        <f>IF(tblFleet[[#This Row],[Units]]="","",tblFleet[[#This Row],[Units]]*cfg_HoursPerDay)</f>
        <v/>
      </c>
      <c r="H2515" s="66">
        <f>IF(tblFleet[[#This Row],[Units]]="","",tblFleet[[#This Row],[Calendar_h]]-tblFleet[[#This Row],[Down_h]])</f>
        <v/>
      </c>
      <c r="I2515" s="60">
        <f>IF(AND(tblFleet[[#This Row],[Units]]&lt;&gt;"",tblFleet[[#This Row],[Calendar_h]]&gt;0),tblFleet[[#This Row],[Available_h]]/tblFleet[[#This Row],[Calendar_h]],"")</f>
        <v/>
      </c>
      <c r="J2515" s="60">
        <f>IF(AND(tblFleet[[#This Row],[Units]]&lt;&gt;"",tblFleet[[#This Row],[Available_h]]&gt;0),tblFleet[[#This Row],[Operating_h]]/tblFleet[[#This Row],[Available_h]],"")</f>
        <v/>
      </c>
    </row>
    <row r="2516">
      <c r="A2516" s="54" t="n"/>
      <c r="B2516" s="61" t="n"/>
      <c r="C2516" s="62" t="n"/>
      <c r="D2516" s="57" t="n"/>
      <c r="E2516" s="57" t="n"/>
      <c r="F2516" s="58" t="n"/>
      <c r="G2516" s="66">
        <f>IF(tblFleet[[#This Row],[Units]]="","",tblFleet[[#This Row],[Units]]*cfg_HoursPerDay)</f>
        <v/>
      </c>
      <c r="H2516" s="66">
        <f>IF(tblFleet[[#This Row],[Units]]="","",tblFleet[[#This Row],[Calendar_h]]-tblFleet[[#This Row],[Down_h]])</f>
        <v/>
      </c>
      <c r="I2516" s="60">
        <f>IF(AND(tblFleet[[#This Row],[Units]]&lt;&gt;"",tblFleet[[#This Row],[Calendar_h]]&gt;0),tblFleet[[#This Row],[Available_h]]/tblFleet[[#This Row],[Calendar_h]],"")</f>
        <v/>
      </c>
      <c r="J2516" s="60">
        <f>IF(AND(tblFleet[[#This Row],[Units]]&lt;&gt;"",tblFleet[[#This Row],[Available_h]]&gt;0),tblFleet[[#This Row],[Operating_h]]/tblFleet[[#This Row],[Available_h]],"")</f>
        <v/>
      </c>
    </row>
    <row r="2517">
      <c r="A2517" s="54" t="n"/>
      <c r="B2517" s="61" t="n"/>
      <c r="C2517" s="62" t="n"/>
      <c r="D2517" s="57" t="n"/>
      <c r="E2517" s="57" t="n"/>
      <c r="F2517" s="58" t="n"/>
      <c r="G2517" s="66">
        <f>IF(tblFleet[[#This Row],[Units]]="","",tblFleet[[#This Row],[Units]]*cfg_HoursPerDay)</f>
        <v/>
      </c>
      <c r="H2517" s="66">
        <f>IF(tblFleet[[#This Row],[Units]]="","",tblFleet[[#This Row],[Calendar_h]]-tblFleet[[#This Row],[Down_h]])</f>
        <v/>
      </c>
      <c r="I2517" s="60">
        <f>IF(AND(tblFleet[[#This Row],[Units]]&lt;&gt;"",tblFleet[[#This Row],[Calendar_h]]&gt;0),tblFleet[[#This Row],[Available_h]]/tblFleet[[#This Row],[Calendar_h]],"")</f>
        <v/>
      </c>
      <c r="J2517" s="60">
        <f>IF(AND(tblFleet[[#This Row],[Units]]&lt;&gt;"",tblFleet[[#This Row],[Available_h]]&gt;0),tblFleet[[#This Row],[Operating_h]]/tblFleet[[#This Row],[Available_h]],"")</f>
        <v/>
      </c>
    </row>
    <row r="2518">
      <c r="A2518" s="54" t="n"/>
      <c r="B2518" s="61" t="n"/>
      <c r="C2518" s="62" t="n"/>
      <c r="D2518" s="57" t="n"/>
      <c r="E2518" s="57" t="n"/>
      <c r="F2518" s="58" t="n"/>
      <c r="G2518" s="66">
        <f>IF(tblFleet[[#This Row],[Units]]="","",tblFleet[[#This Row],[Units]]*cfg_HoursPerDay)</f>
        <v/>
      </c>
      <c r="H2518" s="66">
        <f>IF(tblFleet[[#This Row],[Units]]="","",tblFleet[[#This Row],[Calendar_h]]-tblFleet[[#This Row],[Down_h]])</f>
        <v/>
      </c>
      <c r="I2518" s="60">
        <f>IF(AND(tblFleet[[#This Row],[Units]]&lt;&gt;"",tblFleet[[#This Row],[Calendar_h]]&gt;0),tblFleet[[#This Row],[Available_h]]/tblFleet[[#This Row],[Calendar_h]],"")</f>
        <v/>
      </c>
      <c r="J2518" s="60">
        <f>IF(AND(tblFleet[[#This Row],[Units]]&lt;&gt;"",tblFleet[[#This Row],[Available_h]]&gt;0),tblFleet[[#This Row],[Operating_h]]/tblFleet[[#This Row],[Available_h]],"")</f>
        <v/>
      </c>
    </row>
    <row r="2519">
      <c r="A2519" s="54" t="n"/>
      <c r="B2519" s="61" t="n"/>
      <c r="C2519" s="62" t="n"/>
      <c r="D2519" s="57" t="n"/>
      <c r="E2519" s="57" t="n"/>
      <c r="F2519" s="58" t="n"/>
      <c r="G2519" s="66">
        <f>IF(tblFleet[[#This Row],[Units]]="","",tblFleet[[#This Row],[Units]]*cfg_HoursPerDay)</f>
        <v/>
      </c>
      <c r="H2519" s="66">
        <f>IF(tblFleet[[#This Row],[Units]]="","",tblFleet[[#This Row],[Calendar_h]]-tblFleet[[#This Row],[Down_h]])</f>
        <v/>
      </c>
      <c r="I2519" s="60">
        <f>IF(AND(tblFleet[[#This Row],[Units]]&lt;&gt;"",tblFleet[[#This Row],[Calendar_h]]&gt;0),tblFleet[[#This Row],[Available_h]]/tblFleet[[#This Row],[Calendar_h]],"")</f>
        <v/>
      </c>
      <c r="J2519" s="60">
        <f>IF(AND(tblFleet[[#This Row],[Units]]&lt;&gt;"",tblFleet[[#This Row],[Available_h]]&gt;0),tblFleet[[#This Row],[Operating_h]]/tblFleet[[#This Row],[Available_h]],"")</f>
        <v/>
      </c>
    </row>
    <row r="2520">
      <c r="A2520" s="54" t="n"/>
      <c r="B2520" s="61" t="n"/>
      <c r="C2520" s="62" t="n"/>
      <c r="D2520" s="57" t="n"/>
      <c r="E2520" s="57" t="n"/>
      <c r="F2520" s="58" t="n"/>
      <c r="G2520" s="66">
        <f>IF(tblFleet[[#This Row],[Units]]="","",tblFleet[[#This Row],[Units]]*cfg_HoursPerDay)</f>
        <v/>
      </c>
      <c r="H2520" s="66">
        <f>IF(tblFleet[[#This Row],[Units]]="","",tblFleet[[#This Row],[Calendar_h]]-tblFleet[[#This Row],[Down_h]])</f>
        <v/>
      </c>
      <c r="I2520" s="60">
        <f>IF(AND(tblFleet[[#This Row],[Units]]&lt;&gt;"",tblFleet[[#This Row],[Calendar_h]]&gt;0),tblFleet[[#This Row],[Available_h]]/tblFleet[[#This Row],[Calendar_h]],"")</f>
        <v/>
      </c>
      <c r="J2520" s="60">
        <f>IF(AND(tblFleet[[#This Row],[Units]]&lt;&gt;"",tblFleet[[#This Row],[Available_h]]&gt;0),tblFleet[[#This Row],[Operating_h]]/tblFleet[[#This Row],[Available_h]],"")</f>
        <v/>
      </c>
    </row>
    <row r="2521">
      <c r="A2521" s="54" t="n"/>
      <c r="B2521" s="61" t="n"/>
      <c r="C2521" s="62" t="n"/>
      <c r="D2521" s="57" t="n"/>
      <c r="E2521" s="57" t="n"/>
      <c r="F2521" s="58" t="n"/>
      <c r="G2521" s="66">
        <f>IF(tblFleet[[#This Row],[Units]]="","",tblFleet[[#This Row],[Units]]*cfg_HoursPerDay)</f>
        <v/>
      </c>
      <c r="H2521" s="66">
        <f>IF(tblFleet[[#This Row],[Units]]="","",tblFleet[[#This Row],[Calendar_h]]-tblFleet[[#This Row],[Down_h]])</f>
        <v/>
      </c>
      <c r="I2521" s="60">
        <f>IF(AND(tblFleet[[#This Row],[Units]]&lt;&gt;"",tblFleet[[#This Row],[Calendar_h]]&gt;0),tblFleet[[#This Row],[Available_h]]/tblFleet[[#This Row],[Calendar_h]],"")</f>
        <v/>
      </c>
      <c r="J2521" s="60">
        <f>IF(AND(tblFleet[[#This Row],[Units]]&lt;&gt;"",tblFleet[[#This Row],[Available_h]]&gt;0),tblFleet[[#This Row],[Operating_h]]/tblFleet[[#This Row],[Available_h]],"")</f>
        <v/>
      </c>
    </row>
    <row r="2522">
      <c r="A2522" s="54" t="n"/>
      <c r="B2522" s="61" t="n"/>
      <c r="C2522" s="62" t="n"/>
      <c r="D2522" s="57" t="n"/>
      <c r="E2522" s="57" t="n"/>
      <c r="F2522" s="58" t="n"/>
      <c r="G2522" s="66">
        <f>IF(tblFleet[[#This Row],[Units]]="","",tblFleet[[#This Row],[Units]]*cfg_HoursPerDay)</f>
        <v/>
      </c>
      <c r="H2522" s="66">
        <f>IF(tblFleet[[#This Row],[Units]]="","",tblFleet[[#This Row],[Calendar_h]]-tblFleet[[#This Row],[Down_h]])</f>
        <v/>
      </c>
      <c r="I2522" s="60">
        <f>IF(AND(tblFleet[[#This Row],[Units]]&lt;&gt;"",tblFleet[[#This Row],[Calendar_h]]&gt;0),tblFleet[[#This Row],[Available_h]]/tblFleet[[#This Row],[Calendar_h]],"")</f>
        <v/>
      </c>
      <c r="J2522" s="60">
        <f>IF(AND(tblFleet[[#This Row],[Units]]&lt;&gt;"",tblFleet[[#This Row],[Available_h]]&gt;0),tblFleet[[#This Row],[Operating_h]]/tblFleet[[#This Row],[Available_h]],"")</f>
        <v/>
      </c>
    </row>
    <row r="2523">
      <c r="A2523" s="54" t="n"/>
      <c r="B2523" s="61" t="n"/>
      <c r="C2523" s="62" t="n"/>
      <c r="D2523" s="57" t="n"/>
      <c r="E2523" s="57" t="n"/>
      <c r="F2523" s="58" t="n"/>
      <c r="G2523" s="66">
        <f>IF(tblFleet[[#This Row],[Units]]="","",tblFleet[[#This Row],[Units]]*cfg_HoursPerDay)</f>
        <v/>
      </c>
      <c r="H2523" s="66">
        <f>IF(tblFleet[[#This Row],[Units]]="","",tblFleet[[#This Row],[Calendar_h]]-tblFleet[[#This Row],[Down_h]])</f>
        <v/>
      </c>
      <c r="I2523" s="60">
        <f>IF(AND(tblFleet[[#This Row],[Units]]&lt;&gt;"",tblFleet[[#This Row],[Calendar_h]]&gt;0),tblFleet[[#This Row],[Available_h]]/tblFleet[[#This Row],[Calendar_h]],"")</f>
        <v/>
      </c>
      <c r="J2523" s="60">
        <f>IF(AND(tblFleet[[#This Row],[Units]]&lt;&gt;"",tblFleet[[#This Row],[Available_h]]&gt;0),tblFleet[[#This Row],[Operating_h]]/tblFleet[[#This Row],[Available_h]],"")</f>
        <v/>
      </c>
    </row>
    <row r="2524">
      <c r="A2524" s="54" t="n"/>
      <c r="B2524" s="61" t="n"/>
      <c r="C2524" s="62" t="n"/>
      <c r="D2524" s="57" t="n"/>
      <c r="E2524" s="57" t="n"/>
      <c r="F2524" s="58" t="n"/>
      <c r="G2524" s="66">
        <f>IF(tblFleet[[#This Row],[Units]]="","",tblFleet[[#This Row],[Units]]*cfg_HoursPerDay)</f>
        <v/>
      </c>
      <c r="H2524" s="66">
        <f>IF(tblFleet[[#This Row],[Units]]="","",tblFleet[[#This Row],[Calendar_h]]-tblFleet[[#This Row],[Down_h]])</f>
        <v/>
      </c>
      <c r="I2524" s="60">
        <f>IF(AND(tblFleet[[#This Row],[Units]]&lt;&gt;"",tblFleet[[#This Row],[Calendar_h]]&gt;0),tblFleet[[#This Row],[Available_h]]/tblFleet[[#This Row],[Calendar_h]],"")</f>
        <v/>
      </c>
      <c r="J2524" s="60">
        <f>IF(AND(tblFleet[[#This Row],[Units]]&lt;&gt;"",tblFleet[[#This Row],[Available_h]]&gt;0),tblFleet[[#This Row],[Operating_h]]/tblFleet[[#This Row],[Available_h]],"")</f>
        <v/>
      </c>
    </row>
    <row r="2525">
      <c r="A2525" s="54" t="n"/>
      <c r="B2525" s="61" t="n"/>
      <c r="C2525" s="62" t="n"/>
      <c r="D2525" s="57" t="n"/>
      <c r="E2525" s="57" t="n"/>
      <c r="F2525" s="58" t="n"/>
      <c r="G2525" s="66">
        <f>IF(tblFleet[[#This Row],[Units]]="","",tblFleet[[#This Row],[Units]]*cfg_HoursPerDay)</f>
        <v/>
      </c>
      <c r="H2525" s="66">
        <f>IF(tblFleet[[#This Row],[Units]]="","",tblFleet[[#This Row],[Calendar_h]]-tblFleet[[#This Row],[Down_h]])</f>
        <v/>
      </c>
      <c r="I2525" s="60">
        <f>IF(AND(tblFleet[[#This Row],[Units]]&lt;&gt;"",tblFleet[[#This Row],[Calendar_h]]&gt;0),tblFleet[[#This Row],[Available_h]]/tblFleet[[#This Row],[Calendar_h]],"")</f>
        <v/>
      </c>
      <c r="J2525" s="60">
        <f>IF(AND(tblFleet[[#This Row],[Units]]&lt;&gt;"",tblFleet[[#This Row],[Available_h]]&gt;0),tblFleet[[#This Row],[Operating_h]]/tblFleet[[#This Row],[Available_h]],"")</f>
        <v/>
      </c>
    </row>
    <row r="2526">
      <c r="A2526" s="54" t="n"/>
      <c r="B2526" s="61" t="n"/>
      <c r="C2526" s="62" t="n"/>
      <c r="D2526" s="57" t="n"/>
      <c r="E2526" s="57" t="n"/>
      <c r="F2526" s="58" t="n"/>
      <c r="G2526" s="66">
        <f>IF(tblFleet[[#This Row],[Units]]="","",tblFleet[[#This Row],[Units]]*cfg_HoursPerDay)</f>
        <v/>
      </c>
      <c r="H2526" s="66">
        <f>IF(tblFleet[[#This Row],[Units]]="","",tblFleet[[#This Row],[Calendar_h]]-tblFleet[[#This Row],[Down_h]])</f>
        <v/>
      </c>
      <c r="I2526" s="60">
        <f>IF(AND(tblFleet[[#This Row],[Units]]&lt;&gt;"",tblFleet[[#This Row],[Calendar_h]]&gt;0),tblFleet[[#This Row],[Available_h]]/tblFleet[[#This Row],[Calendar_h]],"")</f>
        <v/>
      </c>
      <c r="J2526" s="60">
        <f>IF(AND(tblFleet[[#This Row],[Units]]&lt;&gt;"",tblFleet[[#This Row],[Available_h]]&gt;0),tblFleet[[#This Row],[Operating_h]]/tblFleet[[#This Row],[Available_h]],"")</f>
        <v/>
      </c>
    </row>
    <row r="2527">
      <c r="A2527" s="54" t="n"/>
      <c r="B2527" s="61" t="n"/>
      <c r="C2527" s="62" t="n"/>
      <c r="D2527" s="57" t="n"/>
      <c r="E2527" s="57" t="n"/>
      <c r="F2527" s="58" t="n"/>
      <c r="G2527" s="66">
        <f>IF(tblFleet[[#This Row],[Units]]="","",tblFleet[[#This Row],[Units]]*cfg_HoursPerDay)</f>
        <v/>
      </c>
      <c r="H2527" s="66">
        <f>IF(tblFleet[[#This Row],[Units]]="","",tblFleet[[#This Row],[Calendar_h]]-tblFleet[[#This Row],[Down_h]])</f>
        <v/>
      </c>
      <c r="I2527" s="60">
        <f>IF(AND(tblFleet[[#This Row],[Units]]&lt;&gt;"",tblFleet[[#This Row],[Calendar_h]]&gt;0),tblFleet[[#This Row],[Available_h]]/tblFleet[[#This Row],[Calendar_h]],"")</f>
        <v/>
      </c>
      <c r="J2527" s="60">
        <f>IF(AND(tblFleet[[#This Row],[Units]]&lt;&gt;"",tblFleet[[#This Row],[Available_h]]&gt;0),tblFleet[[#This Row],[Operating_h]]/tblFleet[[#This Row],[Available_h]],"")</f>
        <v/>
      </c>
    </row>
    <row r="2528">
      <c r="A2528" s="54" t="n"/>
      <c r="B2528" s="61" t="n"/>
      <c r="C2528" s="62" t="n"/>
      <c r="D2528" s="57" t="n"/>
      <c r="E2528" s="57" t="n"/>
      <c r="F2528" s="58" t="n"/>
      <c r="G2528" s="66">
        <f>IF(tblFleet[[#This Row],[Units]]="","",tblFleet[[#This Row],[Units]]*cfg_HoursPerDay)</f>
        <v/>
      </c>
      <c r="H2528" s="66">
        <f>IF(tblFleet[[#This Row],[Units]]="","",tblFleet[[#This Row],[Calendar_h]]-tblFleet[[#This Row],[Down_h]])</f>
        <v/>
      </c>
      <c r="I2528" s="60">
        <f>IF(AND(tblFleet[[#This Row],[Units]]&lt;&gt;"",tblFleet[[#This Row],[Calendar_h]]&gt;0),tblFleet[[#This Row],[Available_h]]/tblFleet[[#This Row],[Calendar_h]],"")</f>
        <v/>
      </c>
      <c r="J2528" s="60">
        <f>IF(AND(tblFleet[[#This Row],[Units]]&lt;&gt;"",tblFleet[[#This Row],[Available_h]]&gt;0),tblFleet[[#This Row],[Operating_h]]/tblFleet[[#This Row],[Available_h]],"")</f>
        <v/>
      </c>
    </row>
    <row r="2529">
      <c r="A2529" s="54" t="n"/>
      <c r="B2529" s="61" t="n"/>
      <c r="C2529" s="62" t="n"/>
      <c r="D2529" s="57" t="n"/>
      <c r="E2529" s="57" t="n"/>
      <c r="F2529" s="58" t="n"/>
      <c r="G2529" s="66">
        <f>IF(tblFleet[[#This Row],[Units]]="","",tblFleet[[#This Row],[Units]]*cfg_HoursPerDay)</f>
        <v/>
      </c>
      <c r="H2529" s="66">
        <f>IF(tblFleet[[#This Row],[Units]]="","",tblFleet[[#This Row],[Calendar_h]]-tblFleet[[#This Row],[Down_h]])</f>
        <v/>
      </c>
      <c r="I2529" s="60">
        <f>IF(AND(tblFleet[[#This Row],[Units]]&lt;&gt;"",tblFleet[[#This Row],[Calendar_h]]&gt;0),tblFleet[[#This Row],[Available_h]]/tblFleet[[#This Row],[Calendar_h]],"")</f>
        <v/>
      </c>
      <c r="J2529" s="60">
        <f>IF(AND(tblFleet[[#This Row],[Units]]&lt;&gt;"",tblFleet[[#This Row],[Available_h]]&gt;0),tblFleet[[#This Row],[Operating_h]]/tblFleet[[#This Row],[Available_h]],"")</f>
        <v/>
      </c>
    </row>
    <row r="2530">
      <c r="A2530" s="54" t="n"/>
      <c r="B2530" s="61" t="n"/>
      <c r="C2530" s="62" t="n"/>
      <c r="D2530" s="57" t="n"/>
      <c r="E2530" s="57" t="n"/>
      <c r="F2530" s="58" t="n"/>
      <c r="G2530" s="66">
        <f>IF(tblFleet[[#This Row],[Units]]="","",tblFleet[[#This Row],[Units]]*cfg_HoursPerDay)</f>
        <v/>
      </c>
      <c r="H2530" s="66">
        <f>IF(tblFleet[[#This Row],[Units]]="","",tblFleet[[#This Row],[Calendar_h]]-tblFleet[[#This Row],[Down_h]])</f>
        <v/>
      </c>
      <c r="I2530" s="60">
        <f>IF(AND(tblFleet[[#This Row],[Units]]&lt;&gt;"",tblFleet[[#This Row],[Calendar_h]]&gt;0),tblFleet[[#This Row],[Available_h]]/tblFleet[[#This Row],[Calendar_h]],"")</f>
        <v/>
      </c>
      <c r="J2530" s="60">
        <f>IF(AND(tblFleet[[#This Row],[Units]]&lt;&gt;"",tblFleet[[#This Row],[Available_h]]&gt;0),tblFleet[[#This Row],[Operating_h]]/tblFleet[[#This Row],[Available_h]],"")</f>
        <v/>
      </c>
    </row>
    <row r="2531">
      <c r="A2531" s="54" t="n"/>
      <c r="B2531" s="61" t="n"/>
      <c r="C2531" s="62" t="n"/>
      <c r="D2531" s="57" t="n"/>
      <c r="E2531" s="57" t="n"/>
      <c r="F2531" s="58" t="n"/>
      <c r="G2531" s="66">
        <f>IF(tblFleet[[#This Row],[Units]]="","",tblFleet[[#This Row],[Units]]*cfg_HoursPerDay)</f>
        <v/>
      </c>
      <c r="H2531" s="66">
        <f>IF(tblFleet[[#This Row],[Units]]="","",tblFleet[[#This Row],[Calendar_h]]-tblFleet[[#This Row],[Down_h]])</f>
        <v/>
      </c>
      <c r="I2531" s="60">
        <f>IF(AND(tblFleet[[#This Row],[Units]]&lt;&gt;"",tblFleet[[#This Row],[Calendar_h]]&gt;0),tblFleet[[#This Row],[Available_h]]/tblFleet[[#This Row],[Calendar_h]],"")</f>
        <v/>
      </c>
      <c r="J2531" s="60">
        <f>IF(AND(tblFleet[[#This Row],[Units]]&lt;&gt;"",tblFleet[[#This Row],[Available_h]]&gt;0),tblFleet[[#This Row],[Operating_h]]/tblFleet[[#This Row],[Available_h]],"")</f>
        <v/>
      </c>
    </row>
    <row r="2532">
      <c r="A2532" s="54" t="n"/>
      <c r="B2532" s="61" t="n"/>
      <c r="C2532" s="62" t="n"/>
      <c r="D2532" s="57" t="n"/>
      <c r="E2532" s="57" t="n"/>
      <c r="F2532" s="58" t="n"/>
      <c r="G2532" s="66">
        <f>IF(tblFleet[[#This Row],[Units]]="","",tblFleet[[#This Row],[Units]]*cfg_HoursPerDay)</f>
        <v/>
      </c>
      <c r="H2532" s="66">
        <f>IF(tblFleet[[#This Row],[Units]]="","",tblFleet[[#This Row],[Calendar_h]]-tblFleet[[#This Row],[Down_h]])</f>
        <v/>
      </c>
      <c r="I2532" s="60">
        <f>IF(AND(tblFleet[[#This Row],[Units]]&lt;&gt;"",tblFleet[[#This Row],[Calendar_h]]&gt;0),tblFleet[[#This Row],[Available_h]]/tblFleet[[#This Row],[Calendar_h]],"")</f>
        <v/>
      </c>
      <c r="J2532" s="60">
        <f>IF(AND(tblFleet[[#This Row],[Units]]&lt;&gt;"",tblFleet[[#This Row],[Available_h]]&gt;0),tblFleet[[#This Row],[Operating_h]]/tblFleet[[#This Row],[Available_h]],"")</f>
        <v/>
      </c>
    </row>
    <row r="2533">
      <c r="A2533" s="54" t="n"/>
      <c r="B2533" s="61" t="n"/>
      <c r="C2533" s="62" t="n"/>
      <c r="D2533" s="57" t="n"/>
      <c r="E2533" s="57" t="n"/>
      <c r="F2533" s="58" t="n"/>
      <c r="G2533" s="66">
        <f>IF(tblFleet[[#This Row],[Units]]="","",tblFleet[[#This Row],[Units]]*cfg_HoursPerDay)</f>
        <v/>
      </c>
      <c r="H2533" s="66">
        <f>IF(tblFleet[[#This Row],[Units]]="","",tblFleet[[#This Row],[Calendar_h]]-tblFleet[[#This Row],[Down_h]])</f>
        <v/>
      </c>
      <c r="I2533" s="60">
        <f>IF(AND(tblFleet[[#This Row],[Units]]&lt;&gt;"",tblFleet[[#This Row],[Calendar_h]]&gt;0),tblFleet[[#This Row],[Available_h]]/tblFleet[[#This Row],[Calendar_h]],"")</f>
        <v/>
      </c>
      <c r="J2533" s="60">
        <f>IF(AND(tblFleet[[#This Row],[Units]]&lt;&gt;"",tblFleet[[#This Row],[Available_h]]&gt;0),tblFleet[[#This Row],[Operating_h]]/tblFleet[[#This Row],[Available_h]],"")</f>
        <v/>
      </c>
    </row>
    <row r="2534">
      <c r="A2534" s="54" t="n"/>
      <c r="B2534" s="61" t="n"/>
      <c r="C2534" s="62" t="n"/>
      <c r="D2534" s="57" t="n"/>
      <c r="E2534" s="57" t="n"/>
      <c r="F2534" s="58" t="n"/>
      <c r="G2534" s="66">
        <f>IF(tblFleet[[#This Row],[Units]]="","",tblFleet[[#This Row],[Units]]*cfg_HoursPerDay)</f>
        <v/>
      </c>
      <c r="H2534" s="66">
        <f>IF(tblFleet[[#This Row],[Units]]="","",tblFleet[[#This Row],[Calendar_h]]-tblFleet[[#This Row],[Down_h]])</f>
        <v/>
      </c>
      <c r="I2534" s="60">
        <f>IF(AND(tblFleet[[#This Row],[Units]]&lt;&gt;"",tblFleet[[#This Row],[Calendar_h]]&gt;0),tblFleet[[#This Row],[Available_h]]/tblFleet[[#This Row],[Calendar_h]],"")</f>
        <v/>
      </c>
      <c r="J2534" s="60">
        <f>IF(AND(tblFleet[[#This Row],[Units]]&lt;&gt;"",tblFleet[[#This Row],[Available_h]]&gt;0),tblFleet[[#This Row],[Operating_h]]/tblFleet[[#This Row],[Available_h]],"")</f>
        <v/>
      </c>
    </row>
    <row r="2535">
      <c r="A2535" s="54" t="n"/>
      <c r="B2535" s="61" t="n"/>
      <c r="C2535" s="62" t="n"/>
      <c r="D2535" s="57" t="n"/>
      <c r="E2535" s="57" t="n"/>
      <c r="F2535" s="58" t="n"/>
      <c r="G2535" s="66">
        <f>IF(tblFleet[[#This Row],[Units]]="","",tblFleet[[#This Row],[Units]]*cfg_HoursPerDay)</f>
        <v/>
      </c>
      <c r="H2535" s="66">
        <f>IF(tblFleet[[#This Row],[Units]]="","",tblFleet[[#This Row],[Calendar_h]]-tblFleet[[#This Row],[Down_h]])</f>
        <v/>
      </c>
      <c r="I2535" s="60">
        <f>IF(AND(tblFleet[[#This Row],[Units]]&lt;&gt;"",tblFleet[[#This Row],[Calendar_h]]&gt;0),tblFleet[[#This Row],[Available_h]]/tblFleet[[#This Row],[Calendar_h]],"")</f>
        <v/>
      </c>
      <c r="J2535" s="60">
        <f>IF(AND(tblFleet[[#This Row],[Units]]&lt;&gt;"",tblFleet[[#This Row],[Available_h]]&gt;0),tblFleet[[#This Row],[Operating_h]]/tblFleet[[#This Row],[Available_h]],"")</f>
        <v/>
      </c>
    </row>
    <row r="2536">
      <c r="A2536" s="54" t="n"/>
      <c r="B2536" s="61" t="n"/>
      <c r="C2536" s="62" t="n"/>
      <c r="D2536" s="57" t="n"/>
      <c r="E2536" s="57" t="n"/>
      <c r="F2536" s="58" t="n"/>
      <c r="G2536" s="66">
        <f>IF(tblFleet[[#This Row],[Units]]="","",tblFleet[[#This Row],[Units]]*cfg_HoursPerDay)</f>
        <v/>
      </c>
      <c r="H2536" s="66">
        <f>IF(tblFleet[[#This Row],[Units]]="","",tblFleet[[#This Row],[Calendar_h]]-tblFleet[[#This Row],[Down_h]])</f>
        <v/>
      </c>
      <c r="I2536" s="60">
        <f>IF(AND(tblFleet[[#This Row],[Units]]&lt;&gt;"",tblFleet[[#This Row],[Calendar_h]]&gt;0),tblFleet[[#This Row],[Available_h]]/tblFleet[[#This Row],[Calendar_h]],"")</f>
        <v/>
      </c>
      <c r="J2536" s="60">
        <f>IF(AND(tblFleet[[#This Row],[Units]]&lt;&gt;"",tblFleet[[#This Row],[Available_h]]&gt;0),tblFleet[[#This Row],[Operating_h]]/tblFleet[[#This Row],[Available_h]],"")</f>
        <v/>
      </c>
    </row>
    <row r="2537">
      <c r="A2537" s="54" t="n"/>
      <c r="B2537" s="61" t="n"/>
      <c r="C2537" s="62" t="n"/>
      <c r="D2537" s="57" t="n"/>
      <c r="E2537" s="57" t="n"/>
      <c r="F2537" s="58" t="n"/>
      <c r="G2537" s="66">
        <f>IF(tblFleet[[#This Row],[Units]]="","",tblFleet[[#This Row],[Units]]*cfg_HoursPerDay)</f>
        <v/>
      </c>
      <c r="H2537" s="66">
        <f>IF(tblFleet[[#This Row],[Units]]="","",tblFleet[[#This Row],[Calendar_h]]-tblFleet[[#This Row],[Down_h]])</f>
        <v/>
      </c>
      <c r="I2537" s="60">
        <f>IF(AND(tblFleet[[#This Row],[Units]]&lt;&gt;"",tblFleet[[#This Row],[Calendar_h]]&gt;0),tblFleet[[#This Row],[Available_h]]/tblFleet[[#This Row],[Calendar_h]],"")</f>
        <v/>
      </c>
      <c r="J2537" s="60">
        <f>IF(AND(tblFleet[[#This Row],[Units]]&lt;&gt;"",tblFleet[[#This Row],[Available_h]]&gt;0),tblFleet[[#This Row],[Operating_h]]/tblFleet[[#This Row],[Available_h]],"")</f>
        <v/>
      </c>
    </row>
    <row r="2538">
      <c r="A2538" s="54" t="n"/>
      <c r="B2538" s="61" t="n"/>
      <c r="C2538" s="62" t="n"/>
      <c r="D2538" s="57" t="n"/>
      <c r="E2538" s="57" t="n"/>
      <c r="F2538" s="58" t="n"/>
      <c r="G2538" s="66">
        <f>IF(tblFleet[[#This Row],[Units]]="","",tblFleet[[#This Row],[Units]]*cfg_HoursPerDay)</f>
        <v/>
      </c>
      <c r="H2538" s="66">
        <f>IF(tblFleet[[#This Row],[Units]]="","",tblFleet[[#This Row],[Calendar_h]]-tblFleet[[#This Row],[Down_h]])</f>
        <v/>
      </c>
      <c r="I2538" s="60">
        <f>IF(AND(tblFleet[[#This Row],[Units]]&lt;&gt;"",tblFleet[[#This Row],[Calendar_h]]&gt;0),tblFleet[[#This Row],[Available_h]]/tblFleet[[#This Row],[Calendar_h]],"")</f>
        <v/>
      </c>
      <c r="J2538" s="60">
        <f>IF(AND(tblFleet[[#This Row],[Units]]&lt;&gt;"",tblFleet[[#This Row],[Available_h]]&gt;0),tblFleet[[#This Row],[Operating_h]]/tblFleet[[#This Row],[Available_h]],"")</f>
        <v/>
      </c>
    </row>
    <row r="2539">
      <c r="A2539" s="54" t="n"/>
      <c r="B2539" s="61" t="n"/>
      <c r="C2539" s="62" t="n"/>
      <c r="D2539" s="57" t="n"/>
      <c r="E2539" s="57" t="n"/>
      <c r="F2539" s="58" t="n"/>
      <c r="G2539" s="66">
        <f>IF(tblFleet[[#This Row],[Units]]="","",tblFleet[[#This Row],[Units]]*cfg_HoursPerDay)</f>
        <v/>
      </c>
      <c r="H2539" s="66">
        <f>IF(tblFleet[[#This Row],[Units]]="","",tblFleet[[#This Row],[Calendar_h]]-tblFleet[[#This Row],[Down_h]])</f>
        <v/>
      </c>
      <c r="I2539" s="60">
        <f>IF(AND(tblFleet[[#This Row],[Units]]&lt;&gt;"",tblFleet[[#This Row],[Calendar_h]]&gt;0),tblFleet[[#This Row],[Available_h]]/tblFleet[[#This Row],[Calendar_h]],"")</f>
        <v/>
      </c>
      <c r="J2539" s="60">
        <f>IF(AND(tblFleet[[#This Row],[Units]]&lt;&gt;"",tblFleet[[#This Row],[Available_h]]&gt;0),tblFleet[[#This Row],[Operating_h]]/tblFleet[[#This Row],[Available_h]],"")</f>
        <v/>
      </c>
    </row>
    <row r="2540">
      <c r="A2540" s="54" t="n"/>
      <c r="B2540" s="61" t="n"/>
      <c r="C2540" s="62" t="n"/>
      <c r="D2540" s="57" t="n"/>
      <c r="E2540" s="57" t="n"/>
      <c r="F2540" s="58" t="n"/>
      <c r="G2540" s="66">
        <f>IF(tblFleet[[#This Row],[Units]]="","",tblFleet[[#This Row],[Units]]*cfg_HoursPerDay)</f>
        <v/>
      </c>
      <c r="H2540" s="66">
        <f>IF(tblFleet[[#This Row],[Units]]="","",tblFleet[[#This Row],[Calendar_h]]-tblFleet[[#This Row],[Down_h]])</f>
        <v/>
      </c>
      <c r="I2540" s="60">
        <f>IF(AND(tblFleet[[#This Row],[Units]]&lt;&gt;"",tblFleet[[#This Row],[Calendar_h]]&gt;0),tblFleet[[#This Row],[Available_h]]/tblFleet[[#This Row],[Calendar_h]],"")</f>
        <v/>
      </c>
      <c r="J2540" s="60">
        <f>IF(AND(tblFleet[[#This Row],[Units]]&lt;&gt;"",tblFleet[[#This Row],[Available_h]]&gt;0),tblFleet[[#This Row],[Operating_h]]/tblFleet[[#This Row],[Available_h]],"")</f>
        <v/>
      </c>
    </row>
    <row r="2541">
      <c r="A2541" s="54" t="n"/>
      <c r="B2541" s="61" t="n"/>
      <c r="C2541" s="62" t="n"/>
      <c r="D2541" s="57" t="n"/>
      <c r="E2541" s="57" t="n"/>
      <c r="F2541" s="58" t="n"/>
      <c r="G2541" s="66">
        <f>IF(tblFleet[[#This Row],[Units]]="","",tblFleet[[#This Row],[Units]]*cfg_HoursPerDay)</f>
        <v/>
      </c>
      <c r="H2541" s="66">
        <f>IF(tblFleet[[#This Row],[Units]]="","",tblFleet[[#This Row],[Calendar_h]]-tblFleet[[#This Row],[Down_h]])</f>
        <v/>
      </c>
      <c r="I2541" s="60">
        <f>IF(AND(tblFleet[[#This Row],[Units]]&lt;&gt;"",tblFleet[[#This Row],[Calendar_h]]&gt;0),tblFleet[[#This Row],[Available_h]]/tblFleet[[#This Row],[Calendar_h]],"")</f>
        <v/>
      </c>
      <c r="J2541" s="60">
        <f>IF(AND(tblFleet[[#This Row],[Units]]&lt;&gt;"",tblFleet[[#This Row],[Available_h]]&gt;0),tblFleet[[#This Row],[Operating_h]]/tblFleet[[#This Row],[Available_h]],"")</f>
        <v/>
      </c>
    </row>
    <row r="2542">
      <c r="A2542" s="54" t="n"/>
      <c r="B2542" s="61" t="n"/>
      <c r="C2542" s="62" t="n"/>
      <c r="D2542" s="57" t="n"/>
      <c r="E2542" s="57" t="n"/>
      <c r="F2542" s="58" t="n"/>
      <c r="G2542" s="66">
        <f>IF(tblFleet[[#This Row],[Units]]="","",tblFleet[[#This Row],[Units]]*cfg_HoursPerDay)</f>
        <v/>
      </c>
      <c r="H2542" s="66">
        <f>IF(tblFleet[[#This Row],[Units]]="","",tblFleet[[#This Row],[Calendar_h]]-tblFleet[[#This Row],[Down_h]])</f>
        <v/>
      </c>
      <c r="I2542" s="60">
        <f>IF(AND(tblFleet[[#This Row],[Units]]&lt;&gt;"",tblFleet[[#This Row],[Calendar_h]]&gt;0),tblFleet[[#This Row],[Available_h]]/tblFleet[[#This Row],[Calendar_h]],"")</f>
        <v/>
      </c>
      <c r="J2542" s="60">
        <f>IF(AND(tblFleet[[#This Row],[Units]]&lt;&gt;"",tblFleet[[#This Row],[Available_h]]&gt;0),tblFleet[[#This Row],[Operating_h]]/tblFleet[[#This Row],[Available_h]],"")</f>
        <v/>
      </c>
    </row>
    <row r="2543">
      <c r="A2543" s="54" t="n"/>
      <c r="B2543" s="61" t="n"/>
      <c r="C2543" s="62" t="n"/>
      <c r="D2543" s="57" t="n"/>
      <c r="E2543" s="57" t="n"/>
      <c r="F2543" s="58" t="n"/>
      <c r="G2543" s="66">
        <f>IF(tblFleet[[#This Row],[Units]]="","",tblFleet[[#This Row],[Units]]*cfg_HoursPerDay)</f>
        <v/>
      </c>
      <c r="H2543" s="66">
        <f>IF(tblFleet[[#This Row],[Units]]="","",tblFleet[[#This Row],[Calendar_h]]-tblFleet[[#This Row],[Down_h]])</f>
        <v/>
      </c>
      <c r="I2543" s="60">
        <f>IF(AND(tblFleet[[#This Row],[Units]]&lt;&gt;"",tblFleet[[#This Row],[Calendar_h]]&gt;0),tblFleet[[#This Row],[Available_h]]/tblFleet[[#This Row],[Calendar_h]],"")</f>
        <v/>
      </c>
      <c r="J2543" s="60">
        <f>IF(AND(tblFleet[[#This Row],[Units]]&lt;&gt;"",tblFleet[[#This Row],[Available_h]]&gt;0),tblFleet[[#This Row],[Operating_h]]/tblFleet[[#This Row],[Available_h]],"")</f>
        <v/>
      </c>
    </row>
    <row r="2544">
      <c r="A2544" s="54" t="n"/>
      <c r="B2544" s="61" t="n"/>
      <c r="C2544" s="62" t="n"/>
      <c r="D2544" s="57" t="n"/>
      <c r="E2544" s="57" t="n"/>
      <c r="F2544" s="58" t="n"/>
      <c r="G2544" s="66">
        <f>IF(tblFleet[[#This Row],[Units]]="","",tblFleet[[#This Row],[Units]]*cfg_HoursPerDay)</f>
        <v/>
      </c>
      <c r="H2544" s="66">
        <f>IF(tblFleet[[#This Row],[Units]]="","",tblFleet[[#This Row],[Calendar_h]]-tblFleet[[#This Row],[Down_h]])</f>
        <v/>
      </c>
      <c r="I2544" s="60">
        <f>IF(AND(tblFleet[[#This Row],[Units]]&lt;&gt;"",tblFleet[[#This Row],[Calendar_h]]&gt;0),tblFleet[[#This Row],[Available_h]]/tblFleet[[#This Row],[Calendar_h]],"")</f>
        <v/>
      </c>
      <c r="J2544" s="60">
        <f>IF(AND(tblFleet[[#This Row],[Units]]&lt;&gt;"",tblFleet[[#This Row],[Available_h]]&gt;0),tblFleet[[#This Row],[Operating_h]]/tblFleet[[#This Row],[Available_h]],"")</f>
        <v/>
      </c>
    </row>
    <row r="2545">
      <c r="A2545" s="54" t="n"/>
      <c r="B2545" s="61" t="n"/>
      <c r="C2545" s="62" t="n"/>
      <c r="D2545" s="57" t="n"/>
      <c r="E2545" s="57" t="n"/>
      <c r="F2545" s="58" t="n"/>
      <c r="G2545" s="66">
        <f>IF(tblFleet[[#This Row],[Units]]="","",tblFleet[[#This Row],[Units]]*cfg_HoursPerDay)</f>
        <v/>
      </c>
      <c r="H2545" s="66">
        <f>IF(tblFleet[[#This Row],[Units]]="","",tblFleet[[#This Row],[Calendar_h]]-tblFleet[[#This Row],[Down_h]])</f>
        <v/>
      </c>
      <c r="I2545" s="60">
        <f>IF(AND(tblFleet[[#This Row],[Units]]&lt;&gt;"",tblFleet[[#This Row],[Calendar_h]]&gt;0),tblFleet[[#This Row],[Available_h]]/tblFleet[[#This Row],[Calendar_h]],"")</f>
        <v/>
      </c>
      <c r="J2545" s="60">
        <f>IF(AND(tblFleet[[#This Row],[Units]]&lt;&gt;"",tblFleet[[#This Row],[Available_h]]&gt;0),tblFleet[[#This Row],[Operating_h]]/tblFleet[[#This Row],[Available_h]],"")</f>
        <v/>
      </c>
    </row>
    <row r="2546">
      <c r="A2546" s="54" t="n"/>
      <c r="B2546" s="61" t="n"/>
      <c r="C2546" s="62" t="n"/>
      <c r="D2546" s="57" t="n"/>
      <c r="E2546" s="57" t="n"/>
      <c r="F2546" s="58" t="n"/>
      <c r="G2546" s="66">
        <f>IF(tblFleet[[#This Row],[Units]]="","",tblFleet[[#This Row],[Units]]*cfg_HoursPerDay)</f>
        <v/>
      </c>
      <c r="H2546" s="66">
        <f>IF(tblFleet[[#This Row],[Units]]="","",tblFleet[[#This Row],[Calendar_h]]-tblFleet[[#This Row],[Down_h]])</f>
        <v/>
      </c>
      <c r="I2546" s="60">
        <f>IF(AND(tblFleet[[#This Row],[Units]]&lt;&gt;"",tblFleet[[#This Row],[Calendar_h]]&gt;0),tblFleet[[#This Row],[Available_h]]/tblFleet[[#This Row],[Calendar_h]],"")</f>
        <v/>
      </c>
      <c r="J2546" s="60">
        <f>IF(AND(tblFleet[[#This Row],[Units]]&lt;&gt;"",tblFleet[[#This Row],[Available_h]]&gt;0),tblFleet[[#This Row],[Operating_h]]/tblFleet[[#This Row],[Available_h]],"")</f>
        <v/>
      </c>
    </row>
    <row r="2547">
      <c r="A2547" s="54" t="n"/>
      <c r="B2547" s="61" t="n"/>
      <c r="C2547" s="62" t="n"/>
      <c r="D2547" s="57" t="n"/>
      <c r="E2547" s="57" t="n"/>
      <c r="F2547" s="58" t="n"/>
      <c r="G2547" s="66">
        <f>IF(tblFleet[[#This Row],[Units]]="","",tblFleet[[#This Row],[Units]]*cfg_HoursPerDay)</f>
        <v/>
      </c>
      <c r="H2547" s="66">
        <f>IF(tblFleet[[#This Row],[Units]]="","",tblFleet[[#This Row],[Calendar_h]]-tblFleet[[#This Row],[Down_h]])</f>
        <v/>
      </c>
      <c r="I2547" s="60">
        <f>IF(AND(tblFleet[[#This Row],[Units]]&lt;&gt;"",tblFleet[[#This Row],[Calendar_h]]&gt;0),tblFleet[[#This Row],[Available_h]]/tblFleet[[#This Row],[Calendar_h]],"")</f>
        <v/>
      </c>
      <c r="J2547" s="60">
        <f>IF(AND(tblFleet[[#This Row],[Units]]&lt;&gt;"",tblFleet[[#This Row],[Available_h]]&gt;0),tblFleet[[#This Row],[Operating_h]]/tblFleet[[#This Row],[Available_h]],"")</f>
        <v/>
      </c>
    </row>
    <row r="2548">
      <c r="A2548" s="54" t="n"/>
      <c r="B2548" s="61" t="n"/>
      <c r="C2548" s="62" t="n"/>
      <c r="D2548" s="57" t="n"/>
      <c r="E2548" s="57" t="n"/>
      <c r="F2548" s="58" t="n"/>
      <c r="G2548" s="66">
        <f>IF(tblFleet[[#This Row],[Units]]="","",tblFleet[[#This Row],[Units]]*cfg_HoursPerDay)</f>
        <v/>
      </c>
      <c r="H2548" s="66">
        <f>IF(tblFleet[[#This Row],[Units]]="","",tblFleet[[#This Row],[Calendar_h]]-tblFleet[[#This Row],[Down_h]])</f>
        <v/>
      </c>
      <c r="I2548" s="60">
        <f>IF(AND(tblFleet[[#This Row],[Units]]&lt;&gt;"",tblFleet[[#This Row],[Calendar_h]]&gt;0),tblFleet[[#This Row],[Available_h]]/tblFleet[[#This Row],[Calendar_h]],"")</f>
        <v/>
      </c>
      <c r="J2548" s="60">
        <f>IF(AND(tblFleet[[#This Row],[Units]]&lt;&gt;"",tblFleet[[#This Row],[Available_h]]&gt;0),tblFleet[[#This Row],[Operating_h]]/tblFleet[[#This Row],[Available_h]],"")</f>
        <v/>
      </c>
    </row>
    <row r="2549">
      <c r="A2549" s="54" t="n"/>
      <c r="B2549" s="61" t="n"/>
      <c r="C2549" s="62" t="n"/>
      <c r="D2549" s="57" t="n"/>
      <c r="E2549" s="57" t="n"/>
      <c r="F2549" s="58" t="n"/>
      <c r="G2549" s="66">
        <f>IF(tblFleet[[#This Row],[Units]]="","",tblFleet[[#This Row],[Units]]*cfg_HoursPerDay)</f>
        <v/>
      </c>
      <c r="H2549" s="66">
        <f>IF(tblFleet[[#This Row],[Units]]="","",tblFleet[[#This Row],[Calendar_h]]-tblFleet[[#This Row],[Down_h]])</f>
        <v/>
      </c>
      <c r="I2549" s="60">
        <f>IF(AND(tblFleet[[#This Row],[Units]]&lt;&gt;"",tblFleet[[#This Row],[Calendar_h]]&gt;0),tblFleet[[#This Row],[Available_h]]/tblFleet[[#This Row],[Calendar_h]],"")</f>
        <v/>
      </c>
      <c r="J2549" s="60">
        <f>IF(AND(tblFleet[[#This Row],[Units]]&lt;&gt;"",tblFleet[[#This Row],[Available_h]]&gt;0),tblFleet[[#This Row],[Operating_h]]/tblFleet[[#This Row],[Available_h]],"")</f>
        <v/>
      </c>
    </row>
    <row r="2550">
      <c r="A2550" s="54" t="n"/>
      <c r="B2550" s="61" t="n"/>
      <c r="C2550" s="62" t="n"/>
      <c r="D2550" s="57" t="n"/>
      <c r="E2550" s="57" t="n"/>
      <c r="F2550" s="58" t="n"/>
      <c r="G2550" s="66">
        <f>IF(tblFleet[[#This Row],[Units]]="","",tblFleet[[#This Row],[Units]]*cfg_HoursPerDay)</f>
        <v/>
      </c>
      <c r="H2550" s="66">
        <f>IF(tblFleet[[#This Row],[Units]]="","",tblFleet[[#This Row],[Calendar_h]]-tblFleet[[#This Row],[Down_h]])</f>
        <v/>
      </c>
      <c r="I2550" s="60">
        <f>IF(AND(tblFleet[[#This Row],[Units]]&lt;&gt;"",tblFleet[[#This Row],[Calendar_h]]&gt;0),tblFleet[[#This Row],[Available_h]]/tblFleet[[#This Row],[Calendar_h]],"")</f>
        <v/>
      </c>
      <c r="J2550" s="60">
        <f>IF(AND(tblFleet[[#This Row],[Units]]&lt;&gt;"",tblFleet[[#This Row],[Available_h]]&gt;0),tblFleet[[#This Row],[Operating_h]]/tblFleet[[#This Row],[Available_h]],"")</f>
        <v/>
      </c>
    </row>
    <row r="2551">
      <c r="A2551" s="54" t="n"/>
      <c r="B2551" s="61" t="n"/>
      <c r="C2551" s="62" t="n"/>
      <c r="D2551" s="57" t="n"/>
      <c r="E2551" s="57" t="n"/>
      <c r="F2551" s="58" t="n"/>
      <c r="G2551" s="66">
        <f>IF(tblFleet[[#This Row],[Units]]="","",tblFleet[[#This Row],[Units]]*cfg_HoursPerDay)</f>
        <v/>
      </c>
      <c r="H2551" s="66">
        <f>IF(tblFleet[[#This Row],[Units]]="","",tblFleet[[#This Row],[Calendar_h]]-tblFleet[[#This Row],[Down_h]])</f>
        <v/>
      </c>
      <c r="I2551" s="60">
        <f>IF(AND(tblFleet[[#This Row],[Units]]&lt;&gt;"",tblFleet[[#This Row],[Calendar_h]]&gt;0),tblFleet[[#This Row],[Available_h]]/tblFleet[[#This Row],[Calendar_h]],"")</f>
        <v/>
      </c>
      <c r="J2551" s="60">
        <f>IF(AND(tblFleet[[#This Row],[Units]]&lt;&gt;"",tblFleet[[#This Row],[Available_h]]&gt;0),tblFleet[[#This Row],[Operating_h]]/tblFleet[[#This Row],[Available_h]],"")</f>
        <v/>
      </c>
    </row>
    <row r="2552">
      <c r="A2552" s="54" t="n"/>
      <c r="B2552" s="61" t="n"/>
      <c r="C2552" s="62" t="n"/>
      <c r="D2552" s="57" t="n"/>
      <c r="E2552" s="57" t="n"/>
      <c r="F2552" s="58" t="n"/>
      <c r="G2552" s="66">
        <f>IF(tblFleet[[#This Row],[Units]]="","",tblFleet[[#This Row],[Units]]*cfg_HoursPerDay)</f>
        <v/>
      </c>
      <c r="H2552" s="66">
        <f>IF(tblFleet[[#This Row],[Units]]="","",tblFleet[[#This Row],[Calendar_h]]-tblFleet[[#This Row],[Down_h]])</f>
        <v/>
      </c>
      <c r="I2552" s="60">
        <f>IF(AND(tblFleet[[#This Row],[Units]]&lt;&gt;"",tblFleet[[#This Row],[Calendar_h]]&gt;0),tblFleet[[#This Row],[Available_h]]/tblFleet[[#This Row],[Calendar_h]],"")</f>
        <v/>
      </c>
      <c r="J2552" s="60">
        <f>IF(AND(tblFleet[[#This Row],[Units]]&lt;&gt;"",tblFleet[[#This Row],[Available_h]]&gt;0),tblFleet[[#This Row],[Operating_h]]/tblFleet[[#This Row],[Available_h]],"")</f>
        <v/>
      </c>
    </row>
    <row r="2553">
      <c r="A2553" s="54" t="n"/>
      <c r="B2553" s="61" t="n"/>
      <c r="C2553" s="62" t="n"/>
      <c r="D2553" s="57" t="n"/>
      <c r="E2553" s="57" t="n"/>
      <c r="F2553" s="58" t="n"/>
      <c r="G2553" s="66">
        <f>IF(tblFleet[[#This Row],[Units]]="","",tblFleet[[#This Row],[Units]]*cfg_HoursPerDay)</f>
        <v/>
      </c>
      <c r="H2553" s="66">
        <f>IF(tblFleet[[#This Row],[Units]]="","",tblFleet[[#This Row],[Calendar_h]]-tblFleet[[#This Row],[Down_h]])</f>
        <v/>
      </c>
      <c r="I2553" s="60">
        <f>IF(AND(tblFleet[[#This Row],[Units]]&lt;&gt;"",tblFleet[[#This Row],[Calendar_h]]&gt;0),tblFleet[[#This Row],[Available_h]]/tblFleet[[#This Row],[Calendar_h]],"")</f>
        <v/>
      </c>
      <c r="J2553" s="60">
        <f>IF(AND(tblFleet[[#This Row],[Units]]&lt;&gt;"",tblFleet[[#This Row],[Available_h]]&gt;0),tblFleet[[#This Row],[Operating_h]]/tblFleet[[#This Row],[Available_h]],"")</f>
        <v/>
      </c>
    </row>
    <row r="2554">
      <c r="A2554" s="54" t="n"/>
      <c r="B2554" s="61" t="n"/>
      <c r="C2554" s="62" t="n"/>
      <c r="D2554" s="57" t="n"/>
      <c r="E2554" s="57" t="n"/>
      <c r="F2554" s="58" t="n"/>
      <c r="G2554" s="66">
        <f>IF(tblFleet[[#This Row],[Units]]="","",tblFleet[[#This Row],[Units]]*cfg_HoursPerDay)</f>
        <v/>
      </c>
      <c r="H2554" s="66">
        <f>IF(tblFleet[[#This Row],[Units]]="","",tblFleet[[#This Row],[Calendar_h]]-tblFleet[[#This Row],[Down_h]])</f>
        <v/>
      </c>
      <c r="I2554" s="60">
        <f>IF(AND(tblFleet[[#This Row],[Units]]&lt;&gt;"",tblFleet[[#This Row],[Calendar_h]]&gt;0),tblFleet[[#This Row],[Available_h]]/tblFleet[[#This Row],[Calendar_h]],"")</f>
        <v/>
      </c>
      <c r="J2554" s="60">
        <f>IF(AND(tblFleet[[#This Row],[Units]]&lt;&gt;"",tblFleet[[#This Row],[Available_h]]&gt;0),tblFleet[[#This Row],[Operating_h]]/tblFleet[[#This Row],[Available_h]],"")</f>
        <v/>
      </c>
    </row>
    <row r="2555">
      <c r="A2555" s="54" t="n"/>
      <c r="B2555" s="61" t="n"/>
      <c r="C2555" s="62" t="n"/>
      <c r="D2555" s="57" t="n"/>
      <c r="E2555" s="57" t="n"/>
      <c r="F2555" s="58" t="n"/>
      <c r="G2555" s="66">
        <f>IF(tblFleet[[#This Row],[Units]]="","",tblFleet[[#This Row],[Units]]*cfg_HoursPerDay)</f>
        <v/>
      </c>
      <c r="H2555" s="66">
        <f>IF(tblFleet[[#This Row],[Units]]="","",tblFleet[[#This Row],[Calendar_h]]-tblFleet[[#This Row],[Down_h]])</f>
        <v/>
      </c>
      <c r="I2555" s="60">
        <f>IF(AND(tblFleet[[#This Row],[Units]]&lt;&gt;"",tblFleet[[#This Row],[Calendar_h]]&gt;0),tblFleet[[#This Row],[Available_h]]/tblFleet[[#This Row],[Calendar_h]],"")</f>
        <v/>
      </c>
      <c r="J2555" s="60">
        <f>IF(AND(tblFleet[[#This Row],[Units]]&lt;&gt;"",tblFleet[[#This Row],[Available_h]]&gt;0),tblFleet[[#This Row],[Operating_h]]/tblFleet[[#This Row],[Available_h]],"")</f>
        <v/>
      </c>
    </row>
    <row r="2556">
      <c r="A2556" s="54" t="n"/>
      <c r="B2556" s="61" t="n"/>
      <c r="C2556" s="62" t="n"/>
      <c r="D2556" s="57" t="n"/>
      <c r="E2556" s="57" t="n"/>
      <c r="F2556" s="58" t="n"/>
      <c r="G2556" s="66">
        <f>IF(tblFleet[[#This Row],[Units]]="","",tblFleet[[#This Row],[Units]]*cfg_HoursPerDay)</f>
        <v/>
      </c>
      <c r="H2556" s="66">
        <f>IF(tblFleet[[#This Row],[Units]]="","",tblFleet[[#This Row],[Calendar_h]]-tblFleet[[#This Row],[Down_h]])</f>
        <v/>
      </c>
      <c r="I2556" s="60">
        <f>IF(AND(tblFleet[[#This Row],[Units]]&lt;&gt;"",tblFleet[[#This Row],[Calendar_h]]&gt;0),tblFleet[[#This Row],[Available_h]]/tblFleet[[#This Row],[Calendar_h]],"")</f>
        <v/>
      </c>
      <c r="J2556" s="60">
        <f>IF(AND(tblFleet[[#This Row],[Units]]&lt;&gt;"",tblFleet[[#This Row],[Available_h]]&gt;0),tblFleet[[#This Row],[Operating_h]]/tblFleet[[#This Row],[Available_h]],"")</f>
        <v/>
      </c>
    </row>
    <row r="2557">
      <c r="A2557" s="54" t="n"/>
      <c r="B2557" s="61" t="n"/>
      <c r="C2557" s="62" t="n"/>
      <c r="D2557" s="57" t="n"/>
      <c r="E2557" s="57" t="n"/>
      <c r="F2557" s="58" t="n"/>
      <c r="G2557" s="66">
        <f>IF(tblFleet[[#This Row],[Units]]="","",tblFleet[[#This Row],[Units]]*cfg_HoursPerDay)</f>
        <v/>
      </c>
      <c r="H2557" s="66">
        <f>IF(tblFleet[[#This Row],[Units]]="","",tblFleet[[#This Row],[Calendar_h]]-tblFleet[[#This Row],[Down_h]])</f>
        <v/>
      </c>
      <c r="I2557" s="60">
        <f>IF(AND(tblFleet[[#This Row],[Units]]&lt;&gt;"",tblFleet[[#This Row],[Calendar_h]]&gt;0),tblFleet[[#This Row],[Available_h]]/tblFleet[[#This Row],[Calendar_h]],"")</f>
        <v/>
      </c>
      <c r="J2557" s="60">
        <f>IF(AND(tblFleet[[#This Row],[Units]]&lt;&gt;"",tblFleet[[#This Row],[Available_h]]&gt;0),tblFleet[[#This Row],[Operating_h]]/tblFleet[[#This Row],[Available_h]],"")</f>
        <v/>
      </c>
    </row>
    <row r="2558">
      <c r="A2558" s="54" t="n"/>
      <c r="B2558" s="61" t="n"/>
      <c r="C2558" s="62" t="n"/>
      <c r="D2558" s="57" t="n"/>
      <c r="E2558" s="57" t="n"/>
      <c r="F2558" s="58" t="n"/>
      <c r="G2558" s="66">
        <f>IF(tblFleet[[#This Row],[Units]]="","",tblFleet[[#This Row],[Units]]*cfg_HoursPerDay)</f>
        <v/>
      </c>
      <c r="H2558" s="66">
        <f>IF(tblFleet[[#This Row],[Units]]="","",tblFleet[[#This Row],[Calendar_h]]-tblFleet[[#This Row],[Down_h]])</f>
        <v/>
      </c>
      <c r="I2558" s="60">
        <f>IF(AND(tblFleet[[#This Row],[Units]]&lt;&gt;"",tblFleet[[#This Row],[Calendar_h]]&gt;0),tblFleet[[#This Row],[Available_h]]/tblFleet[[#This Row],[Calendar_h]],"")</f>
        <v/>
      </c>
      <c r="J2558" s="60">
        <f>IF(AND(tblFleet[[#This Row],[Units]]&lt;&gt;"",tblFleet[[#This Row],[Available_h]]&gt;0),tblFleet[[#This Row],[Operating_h]]/tblFleet[[#This Row],[Available_h]],"")</f>
        <v/>
      </c>
    </row>
    <row r="2559">
      <c r="A2559" s="54" t="n"/>
      <c r="B2559" s="61" t="n"/>
      <c r="C2559" s="62" t="n"/>
      <c r="D2559" s="57" t="n"/>
      <c r="E2559" s="57" t="n"/>
      <c r="F2559" s="58" t="n"/>
      <c r="G2559" s="66">
        <f>IF(tblFleet[[#This Row],[Units]]="","",tblFleet[[#This Row],[Units]]*cfg_HoursPerDay)</f>
        <v/>
      </c>
      <c r="H2559" s="66">
        <f>IF(tblFleet[[#This Row],[Units]]="","",tblFleet[[#This Row],[Calendar_h]]-tblFleet[[#This Row],[Down_h]])</f>
        <v/>
      </c>
      <c r="I2559" s="60">
        <f>IF(AND(tblFleet[[#This Row],[Units]]&lt;&gt;"",tblFleet[[#This Row],[Calendar_h]]&gt;0),tblFleet[[#This Row],[Available_h]]/tblFleet[[#This Row],[Calendar_h]],"")</f>
        <v/>
      </c>
      <c r="J2559" s="60">
        <f>IF(AND(tblFleet[[#This Row],[Units]]&lt;&gt;"",tblFleet[[#This Row],[Available_h]]&gt;0),tblFleet[[#This Row],[Operating_h]]/tblFleet[[#This Row],[Available_h]],"")</f>
        <v/>
      </c>
    </row>
    <row r="2560">
      <c r="A2560" s="54" t="n"/>
      <c r="B2560" s="61" t="n"/>
      <c r="C2560" s="62" t="n"/>
      <c r="D2560" s="57" t="n"/>
      <c r="E2560" s="57" t="n"/>
      <c r="F2560" s="58" t="n"/>
      <c r="G2560" s="66">
        <f>IF(tblFleet[[#This Row],[Units]]="","",tblFleet[[#This Row],[Units]]*cfg_HoursPerDay)</f>
        <v/>
      </c>
      <c r="H2560" s="66">
        <f>IF(tblFleet[[#This Row],[Units]]="","",tblFleet[[#This Row],[Calendar_h]]-tblFleet[[#This Row],[Down_h]])</f>
        <v/>
      </c>
      <c r="I2560" s="60">
        <f>IF(AND(tblFleet[[#This Row],[Units]]&lt;&gt;"",tblFleet[[#This Row],[Calendar_h]]&gt;0),tblFleet[[#This Row],[Available_h]]/tblFleet[[#This Row],[Calendar_h]],"")</f>
        <v/>
      </c>
      <c r="J2560" s="60">
        <f>IF(AND(tblFleet[[#This Row],[Units]]&lt;&gt;"",tblFleet[[#This Row],[Available_h]]&gt;0),tblFleet[[#This Row],[Operating_h]]/tblFleet[[#This Row],[Available_h]],"")</f>
        <v/>
      </c>
    </row>
    <row r="2561">
      <c r="A2561" s="54" t="n"/>
      <c r="B2561" s="61" t="n"/>
      <c r="C2561" s="62" t="n"/>
      <c r="D2561" s="57" t="n"/>
      <c r="E2561" s="57" t="n"/>
      <c r="F2561" s="58" t="n"/>
      <c r="G2561" s="66">
        <f>IF(tblFleet[[#This Row],[Units]]="","",tblFleet[[#This Row],[Units]]*cfg_HoursPerDay)</f>
        <v/>
      </c>
      <c r="H2561" s="66">
        <f>IF(tblFleet[[#This Row],[Units]]="","",tblFleet[[#This Row],[Calendar_h]]-tblFleet[[#This Row],[Down_h]])</f>
        <v/>
      </c>
      <c r="I2561" s="60">
        <f>IF(AND(tblFleet[[#This Row],[Units]]&lt;&gt;"",tblFleet[[#This Row],[Calendar_h]]&gt;0),tblFleet[[#This Row],[Available_h]]/tblFleet[[#This Row],[Calendar_h]],"")</f>
        <v/>
      </c>
      <c r="J2561" s="60">
        <f>IF(AND(tblFleet[[#This Row],[Units]]&lt;&gt;"",tblFleet[[#This Row],[Available_h]]&gt;0),tblFleet[[#This Row],[Operating_h]]/tblFleet[[#This Row],[Available_h]],"")</f>
        <v/>
      </c>
    </row>
    <row r="2562">
      <c r="A2562" s="54" t="n"/>
      <c r="B2562" s="61" t="n"/>
      <c r="C2562" s="62" t="n"/>
      <c r="D2562" s="57" t="n"/>
      <c r="E2562" s="57" t="n"/>
      <c r="F2562" s="58" t="n"/>
      <c r="G2562" s="66">
        <f>IF(tblFleet[[#This Row],[Units]]="","",tblFleet[[#This Row],[Units]]*cfg_HoursPerDay)</f>
        <v/>
      </c>
      <c r="H2562" s="66">
        <f>IF(tblFleet[[#This Row],[Units]]="","",tblFleet[[#This Row],[Calendar_h]]-tblFleet[[#This Row],[Down_h]])</f>
        <v/>
      </c>
      <c r="I2562" s="60">
        <f>IF(AND(tblFleet[[#This Row],[Units]]&lt;&gt;"",tblFleet[[#This Row],[Calendar_h]]&gt;0),tblFleet[[#This Row],[Available_h]]/tblFleet[[#This Row],[Calendar_h]],"")</f>
        <v/>
      </c>
      <c r="J2562" s="60">
        <f>IF(AND(tblFleet[[#This Row],[Units]]&lt;&gt;"",tblFleet[[#This Row],[Available_h]]&gt;0),tblFleet[[#This Row],[Operating_h]]/tblFleet[[#This Row],[Available_h]],"")</f>
        <v/>
      </c>
    </row>
    <row r="2563">
      <c r="A2563" s="54" t="n"/>
      <c r="B2563" s="61" t="n"/>
      <c r="C2563" s="62" t="n"/>
      <c r="D2563" s="57" t="n"/>
      <c r="E2563" s="57" t="n"/>
      <c r="F2563" s="58" t="n"/>
      <c r="G2563" s="66">
        <f>IF(tblFleet[[#This Row],[Units]]="","",tblFleet[[#This Row],[Units]]*cfg_HoursPerDay)</f>
        <v/>
      </c>
      <c r="H2563" s="66">
        <f>IF(tblFleet[[#This Row],[Units]]="","",tblFleet[[#This Row],[Calendar_h]]-tblFleet[[#This Row],[Down_h]])</f>
        <v/>
      </c>
      <c r="I2563" s="60">
        <f>IF(AND(tblFleet[[#This Row],[Units]]&lt;&gt;"",tblFleet[[#This Row],[Calendar_h]]&gt;0),tblFleet[[#This Row],[Available_h]]/tblFleet[[#This Row],[Calendar_h]],"")</f>
        <v/>
      </c>
      <c r="J2563" s="60">
        <f>IF(AND(tblFleet[[#This Row],[Units]]&lt;&gt;"",tblFleet[[#This Row],[Available_h]]&gt;0),tblFleet[[#This Row],[Operating_h]]/tblFleet[[#This Row],[Available_h]],"")</f>
        <v/>
      </c>
    </row>
    <row r="2564">
      <c r="A2564" s="54" t="n"/>
      <c r="B2564" s="61" t="n"/>
      <c r="C2564" s="62" t="n"/>
      <c r="D2564" s="57" t="n"/>
      <c r="E2564" s="57" t="n"/>
      <c r="F2564" s="58" t="n"/>
      <c r="G2564" s="66">
        <f>IF(tblFleet[[#This Row],[Units]]="","",tblFleet[[#This Row],[Units]]*cfg_HoursPerDay)</f>
        <v/>
      </c>
      <c r="H2564" s="66">
        <f>IF(tblFleet[[#This Row],[Units]]="","",tblFleet[[#This Row],[Calendar_h]]-tblFleet[[#This Row],[Down_h]])</f>
        <v/>
      </c>
      <c r="I2564" s="60">
        <f>IF(AND(tblFleet[[#This Row],[Units]]&lt;&gt;"",tblFleet[[#This Row],[Calendar_h]]&gt;0),tblFleet[[#This Row],[Available_h]]/tblFleet[[#This Row],[Calendar_h]],"")</f>
        <v/>
      </c>
      <c r="J2564" s="60">
        <f>IF(AND(tblFleet[[#This Row],[Units]]&lt;&gt;"",tblFleet[[#This Row],[Available_h]]&gt;0),tblFleet[[#This Row],[Operating_h]]/tblFleet[[#This Row],[Available_h]],"")</f>
        <v/>
      </c>
    </row>
    <row r="2565">
      <c r="A2565" s="54" t="n"/>
      <c r="B2565" s="61" t="n"/>
      <c r="C2565" s="62" t="n"/>
      <c r="D2565" s="57" t="n"/>
      <c r="E2565" s="57" t="n"/>
      <c r="F2565" s="58" t="n"/>
      <c r="G2565" s="66">
        <f>IF(tblFleet[[#This Row],[Units]]="","",tblFleet[[#This Row],[Units]]*cfg_HoursPerDay)</f>
        <v/>
      </c>
      <c r="H2565" s="66">
        <f>IF(tblFleet[[#This Row],[Units]]="","",tblFleet[[#This Row],[Calendar_h]]-tblFleet[[#This Row],[Down_h]])</f>
        <v/>
      </c>
      <c r="I2565" s="60">
        <f>IF(AND(tblFleet[[#This Row],[Units]]&lt;&gt;"",tblFleet[[#This Row],[Calendar_h]]&gt;0),tblFleet[[#This Row],[Available_h]]/tblFleet[[#This Row],[Calendar_h]],"")</f>
        <v/>
      </c>
      <c r="J2565" s="60">
        <f>IF(AND(tblFleet[[#This Row],[Units]]&lt;&gt;"",tblFleet[[#This Row],[Available_h]]&gt;0),tblFleet[[#This Row],[Operating_h]]/tblFleet[[#This Row],[Available_h]],"")</f>
        <v/>
      </c>
    </row>
    <row r="2566">
      <c r="A2566" s="54" t="n"/>
      <c r="B2566" s="61" t="n"/>
      <c r="C2566" s="62" t="n"/>
      <c r="D2566" s="57" t="n"/>
      <c r="E2566" s="57" t="n"/>
      <c r="F2566" s="58" t="n"/>
      <c r="G2566" s="66">
        <f>IF(tblFleet[[#This Row],[Units]]="","",tblFleet[[#This Row],[Units]]*cfg_HoursPerDay)</f>
        <v/>
      </c>
      <c r="H2566" s="66">
        <f>IF(tblFleet[[#This Row],[Units]]="","",tblFleet[[#This Row],[Calendar_h]]-tblFleet[[#This Row],[Down_h]])</f>
        <v/>
      </c>
      <c r="I2566" s="60">
        <f>IF(AND(tblFleet[[#This Row],[Units]]&lt;&gt;"",tblFleet[[#This Row],[Calendar_h]]&gt;0),tblFleet[[#This Row],[Available_h]]/tblFleet[[#This Row],[Calendar_h]],"")</f>
        <v/>
      </c>
      <c r="J2566" s="60">
        <f>IF(AND(tblFleet[[#This Row],[Units]]&lt;&gt;"",tblFleet[[#This Row],[Available_h]]&gt;0),tblFleet[[#This Row],[Operating_h]]/tblFleet[[#This Row],[Available_h]],"")</f>
        <v/>
      </c>
    </row>
    <row r="2567">
      <c r="A2567" s="54" t="n"/>
      <c r="B2567" s="61" t="n"/>
      <c r="C2567" s="62" t="n"/>
      <c r="D2567" s="57" t="n"/>
      <c r="E2567" s="57" t="n"/>
      <c r="F2567" s="58" t="n"/>
      <c r="G2567" s="66">
        <f>IF(tblFleet[[#This Row],[Units]]="","",tblFleet[[#This Row],[Units]]*cfg_HoursPerDay)</f>
        <v/>
      </c>
      <c r="H2567" s="66">
        <f>IF(tblFleet[[#This Row],[Units]]="","",tblFleet[[#This Row],[Calendar_h]]-tblFleet[[#This Row],[Down_h]])</f>
        <v/>
      </c>
      <c r="I2567" s="60">
        <f>IF(AND(tblFleet[[#This Row],[Units]]&lt;&gt;"",tblFleet[[#This Row],[Calendar_h]]&gt;0),tblFleet[[#This Row],[Available_h]]/tblFleet[[#This Row],[Calendar_h]],"")</f>
        <v/>
      </c>
      <c r="J2567" s="60">
        <f>IF(AND(tblFleet[[#This Row],[Units]]&lt;&gt;"",tblFleet[[#This Row],[Available_h]]&gt;0),tblFleet[[#This Row],[Operating_h]]/tblFleet[[#This Row],[Available_h]],"")</f>
        <v/>
      </c>
    </row>
    <row r="2568">
      <c r="A2568" s="54" t="n"/>
      <c r="B2568" s="61" t="n"/>
      <c r="C2568" s="62" t="n"/>
      <c r="D2568" s="57" t="n"/>
      <c r="E2568" s="57" t="n"/>
      <c r="F2568" s="58" t="n"/>
      <c r="G2568" s="66">
        <f>IF(tblFleet[[#This Row],[Units]]="","",tblFleet[[#This Row],[Units]]*cfg_HoursPerDay)</f>
        <v/>
      </c>
      <c r="H2568" s="66">
        <f>IF(tblFleet[[#This Row],[Units]]="","",tblFleet[[#This Row],[Calendar_h]]-tblFleet[[#This Row],[Down_h]])</f>
        <v/>
      </c>
      <c r="I2568" s="60">
        <f>IF(AND(tblFleet[[#This Row],[Units]]&lt;&gt;"",tblFleet[[#This Row],[Calendar_h]]&gt;0),tblFleet[[#This Row],[Available_h]]/tblFleet[[#This Row],[Calendar_h]],"")</f>
        <v/>
      </c>
      <c r="J2568" s="60">
        <f>IF(AND(tblFleet[[#This Row],[Units]]&lt;&gt;"",tblFleet[[#This Row],[Available_h]]&gt;0),tblFleet[[#This Row],[Operating_h]]/tblFleet[[#This Row],[Available_h]],"")</f>
        <v/>
      </c>
    </row>
    <row r="2569">
      <c r="A2569" s="54" t="n"/>
      <c r="B2569" s="61" t="n"/>
      <c r="C2569" s="62" t="n"/>
      <c r="D2569" s="57" t="n"/>
      <c r="E2569" s="57" t="n"/>
      <c r="F2569" s="58" t="n"/>
      <c r="G2569" s="66">
        <f>IF(tblFleet[[#This Row],[Units]]="","",tblFleet[[#This Row],[Units]]*cfg_HoursPerDay)</f>
        <v/>
      </c>
      <c r="H2569" s="66">
        <f>IF(tblFleet[[#This Row],[Units]]="","",tblFleet[[#This Row],[Calendar_h]]-tblFleet[[#This Row],[Down_h]])</f>
        <v/>
      </c>
      <c r="I2569" s="60">
        <f>IF(AND(tblFleet[[#This Row],[Units]]&lt;&gt;"",tblFleet[[#This Row],[Calendar_h]]&gt;0),tblFleet[[#This Row],[Available_h]]/tblFleet[[#This Row],[Calendar_h]],"")</f>
        <v/>
      </c>
      <c r="J2569" s="60">
        <f>IF(AND(tblFleet[[#This Row],[Units]]&lt;&gt;"",tblFleet[[#This Row],[Available_h]]&gt;0),tblFleet[[#This Row],[Operating_h]]/tblFleet[[#This Row],[Available_h]],"")</f>
        <v/>
      </c>
    </row>
    <row r="2570">
      <c r="A2570" s="54" t="n"/>
      <c r="B2570" s="61" t="n"/>
      <c r="C2570" s="62" t="n"/>
      <c r="D2570" s="57" t="n"/>
      <c r="E2570" s="57" t="n"/>
      <c r="F2570" s="58" t="n"/>
      <c r="G2570" s="66">
        <f>IF(tblFleet[[#This Row],[Units]]="","",tblFleet[[#This Row],[Units]]*cfg_HoursPerDay)</f>
        <v/>
      </c>
      <c r="H2570" s="66">
        <f>IF(tblFleet[[#This Row],[Units]]="","",tblFleet[[#This Row],[Calendar_h]]-tblFleet[[#This Row],[Down_h]])</f>
        <v/>
      </c>
      <c r="I2570" s="60">
        <f>IF(AND(tblFleet[[#This Row],[Units]]&lt;&gt;"",tblFleet[[#This Row],[Calendar_h]]&gt;0),tblFleet[[#This Row],[Available_h]]/tblFleet[[#This Row],[Calendar_h]],"")</f>
        <v/>
      </c>
      <c r="J2570" s="60">
        <f>IF(AND(tblFleet[[#This Row],[Units]]&lt;&gt;"",tblFleet[[#This Row],[Available_h]]&gt;0),tblFleet[[#This Row],[Operating_h]]/tblFleet[[#This Row],[Available_h]],"")</f>
        <v/>
      </c>
    </row>
    <row r="2571">
      <c r="A2571" s="54" t="n"/>
      <c r="B2571" s="61" t="n"/>
      <c r="C2571" s="62" t="n"/>
      <c r="D2571" s="57" t="n"/>
      <c r="E2571" s="57" t="n"/>
      <c r="F2571" s="58" t="n"/>
      <c r="G2571" s="66">
        <f>IF(tblFleet[[#This Row],[Units]]="","",tblFleet[[#This Row],[Units]]*cfg_HoursPerDay)</f>
        <v/>
      </c>
      <c r="H2571" s="66">
        <f>IF(tblFleet[[#This Row],[Units]]="","",tblFleet[[#This Row],[Calendar_h]]-tblFleet[[#This Row],[Down_h]])</f>
        <v/>
      </c>
      <c r="I2571" s="60">
        <f>IF(AND(tblFleet[[#This Row],[Units]]&lt;&gt;"",tblFleet[[#This Row],[Calendar_h]]&gt;0),tblFleet[[#This Row],[Available_h]]/tblFleet[[#This Row],[Calendar_h]],"")</f>
        <v/>
      </c>
      <c r="J2571" s="60">
        <f>IF(AND(tblFleet[[#This Row],[Units]]&lt;&gt;"",tblFleet[[#This Row],[Available_h]]&gt;0),tblFleet[[#This Row],[Operating_h]]/tblFleet[[#This Row],[Available_h]],"")</f>
        <v/>
      </c>
    </row>
    <row r="2572">
      <c r="A2572" s="54" t="n"/>
      <c r="B2572" s="61" t="n"/>
      <c r="C2572" s="62" t="n"/>
      <c r="D2572" s="57" t="n"/>
      <c r="E2572" s="57" t="n"/>
      <c r="F2572" s="58" t="n"/>
      <c r="G2572" s="66">
        <f>IF(tblFleet[[#This Row],[Units]]="","",tblFleet[[#This Row],[Units]]*cfg_HoursPerDay)</f>
        <v/>
      </c>
      <c r="H2572" s="66">
        <f>IF(tblFleet[[#This Row],[Units]]="","",tblFleet[[#This Row],[Calendar_h]]-tblFleet[[#This Row],[Down_h]])</f>
        <v/>
      </c>
      <c r="I2572" s="60">
        <f>IF(AND(tblFleet[[#This Row],[Units]]&lt;&gt;"",tblFleet[[#This Row],[Calendar_h]]&gt;0),tblFleet[[#This Row],[Available_h]]/tblFleet[[#This Row],[Calendar_h]],"")</f>
        <v/>
      </c>
      <c r="J2572" s="60">
        <f>IF(AND(tblFleet[[#This Row],[Units]]&lt;&gt;"",tblFleet[[#This Row],[Available_h]]&gt;0),tblFleet[[#This Row],[Operating_h]]/tblFleet[[#This Row],[Available_h]],"")</f>
        <v/>
      </c>
    </row>
    <row r="2573">
      <c r="A2573" s="54" t="n"/>
      <c r="B2573" s="61" t="n"/>
      <c r="C2573" s="62" t="n"/>
      <c r="D2573" s="57" t="n"/>
      <c r="E2573" s="57" t="n"/>
      <c r="F2573" s="58" t="n"/>
      <c r="G2573" s="66">
        <f>IF(tblFleet[[#This Row],[Units]]="","",tblFleet[[#This Row],[Units]]*cfg_HoursPerDay)</f>
        <v/>
      </c>
      <c r="H2573" s="66">
        <f>IF(tblFleet[[#This Row],[Units]]="","",tblFleet[[#This Row],[Calendar_h]]-tblFleet[[#This Row],[Down_h]])</f>
        <v/>
      </c>
      <c r="I2573" s="60">
        <f>IF(AND(tblFleet[[#This Row],[Units]]&lt;&gt;"",tblFleet[[#This Row],[Calendar_h]]&gt;0),tblFleet[[#This Row],[Available_h]]/tblFleet[[#This Row],[Calendar_h]],"")</f>
        <v/>
      </c>
      <c r="J2573" s="60">
        <f>IF(AND(tblFleet[[#This Row],[Units]]&lt;&gt;"",tblFleet[[#This Row],[Available_h]]&gt;0),tblFleet[[#This Row],[Operating_h]]/tblFleet[[#This Row],[Available_h]],"")</f>
        <v/>
      </c>
    </row>
    <row r="2574">
      <c r="A2574" s="54" t="n"/>
      <c r="B2574" s="61" t="n"/>
      <c r="C2574" s="62" t="n"/>
      <c r="D2574" s="57" t="n"/>
      <c r="E2574" s="57" t="n"/>
      <c r="F2574" s="58" t="n"/>
      <c r="G2574" s="66">
        <f>IF(tblFleet[[#This Row],[Units]]="","",tblFleet[[#This Row],[Units]]*cfg_HoursPerDay)</f>
        <v/>
      </c>
      <c r="H2574" s="66">
        <f>IF(tblFleet[[#This Row],[Units]]="","",tblFleet[[#This Row],[Calendar_h]]-tblFleet[[#This Row],[Down_h]])</f>
        <v/>
      </c>
      <c r="I2574" s="60">
        <f>IF(AND(tblFleet[[#This Row],[Units]]&lt;&gt;"",tblFleet[[#This Row],[Calendar_h]]&gt;0),tblFleet[[#This Row],[Available_h]]/tblFleet[[#This Row],[Calendar_h]],"")</f>
        <v/>
      </c>
      <c r="J2574" s="60">
        <f>IF(AND(tblFleet[[#This Row],[Units]]&lt;&gt;"",tblFleet[[#This Row],[Available_h]]&gt;0),tblFleet[[#This Row],[Operating_h]]/tblFleet[[#This Row],[Available_h]],"")</f>
        <v/>
      </c>
    </row>
    <row r="2575">
      <c r="A2575" s="54" t="n"/>
      <c r="B2575" s="61" t="n"/>
      <c r="C2575" s="62" t="n"/>
      <c r="D2575" s="57" t="n"/>
      <c r="E2575" s="57" t="n"/>
      <c r="F2575" s="58" t="n"/>
      <c r="G2575" s="66">
        <f>IF(tblFleet[[#This Row],[Units]]="","",tblFleet[[#This Row],[Units]]*cfg_HoursPerDay)</f>
        <v/>
      </c>
      <c r="H2575" s="66">
        <f>IF(tblFleet[[#This Row],[Units]]="","",tblFleet[[#This Row],[Calendar_h]]-tblFleet[[#This Row],[Down_h]])</f>
        <v/>
      </c>
      <c r="I2575" s="60">
        <f>IF(AND(tblFleet[[#This Row],[Units]]&lt;&gt;"",tblFleet[[#This Row],[Calendar_h]]&gt;0),tblFleet[[#This Row],[Available_h]]/tblFleet[[#This Row],[Calendar_h]],"")</f>
        <v/>
      </c>
      <c r="J2575" s="60">
        <f>IF(AND(tblFleet[[#This Row],[Units]]&lt;&gt;"",tblFleet[[#This Row],[Available_h]]&gt;0),tblFleet[[#This Row],[Operating_h]]/tblFleet[[#This Row],[Available_h]],"")</f>
        <v/>
      </c>
    </row>
    <row r="2576">
      <c r="A2576" s="54" t="n"/>
      <c r="B2576" s="61" t="n"/>
      <c r="C2576" s="62" t="n"/>
      <c r="D2576" s="57" t="n"/>
      <c r="E2576" s="57" t="n"/>
      <c r="F2576" s="58" t="n"/>
      <c r="G2576" s="66">
        <f>IF(tblFleet[[#This Row],[Units]]="","",tblFleet[[#This Row],[Units]]*cfg_HoursPerDay)</f>
        <v/>
      </c>
      <c r="H2576" s="66">
        <f>IF(tblFleet[[#This Row],[Units]]="","",tblFleet[[#This Row],[Calendar_h]]-tblFleet[[#This Row],[Down_h]])</f>
        <v/>
      </c>
      <c r="I2576" s="60">
        <f>IF(AND(tblFleet[[#This Row],[Units]]&lt;&gt;"",tblFleet[[#This Row],[Calendar_h]]&gt;0),tblFleet[[#This Row],[Available_h]]/tblFleet[[#This Row],[Calendar_h]],"")</f>
        <v/>
      </c>
      <c r="J2576" s="60">
        <f>IF(AND(tblFleet[[#This Row],[Units]]&lt;&gt;"",tblFleet[[#This Row],[Available_h]]&gt;0),tblFleet[[#This Row],[Operating_h]]/tblFleet[[#This Row],[Available_h]],"")</f>
        <v/>
      </c>
    </row>
    <row r="2577">
      <c r="A2577" s="54" t="n"/>
      <c r="B2577" s="61" t="n"/>
      <c r="C2577" s="62" t="n"/>
      <c r="D2577" s="57" t="n"/>
      <c r="E2577" s="57" t="n"/>
      <c r="F2577" s="58" t="n"/>
      <c r="G2577" s="66">
        <f>IF(tblFleet[[#This Row],[Units]]="","",tblFleet[[#This Row],[Units]]*cfg_HoursPerDay)</f>
        <v/>
      </c>
      <c r="H2577" s="66">
        <f>IF(tblFleet[[#This Row],[Units]]="","",tblFleet[[#This Row],[Calendar_h]]-tblFleet[[#This Row],[Down_h]])</f>
        <v/>
      </c>
      <c r="I2577" s="60">
        <f>IF(AND(tblFleet[[#This Row],[Units]]&lt;&gt;"",tblFleet[[#This Row],[Calendar_h]]&gt;0),tblFleet[[#This Row],[Available_h]]/tblFleet[[#This Row],[Calendar_h]],"")</f>
        <v/>
      </c>
      <c r="J2577" s="60">
        <f>IF(AND(tblFleet[[#This Row],[Units]]&lt;&gt;"",tblFleet[[#This Row],[Available_h]]&gt;0),tblFleet[[#This Row],[Operating_h]]/tblFleet[[#This Row],[Available_h]],"")</f>
        <v/>
      </c>
    </row>
    <row r="2578">
      <c r="A2578" s="54" t="n"/>
      <c r="B2578" s="61" t="n"/>
      <c r="C2578" s="62" t="n"/>
      <c r="D2578" s="57" t="n"/>
      <c r="E2578" s="57" t="n"/>
      <c r="F2578" s="58" t="n"/>
      <c r="G2578" s="66">
        <f>IF(tblFleet[[#This Row],[Units]]="","",tblFleet[[#This Row],[Units]]*cfg_HoursPerDay)</f>
        <v/>
      </c>
      <c r="H2578" s="66">
        <f>IF(tblFleet[[#This Row],[Units]]="","",tblFleet[[#This Row],[Calendar_h]]-tblFleet[[#This Row],[Down_h]])</f>
        <v/>
      </c>
      <c r="I2578" s="60">
        <f>IF(AND(tblFleet[[#This Row],[Units]]&lt;&gt;"",tblFleet[[#This Row],[Calendar_h]]&gt;0),tblFleet[[#This Row],[Available_h]]/tblFleet[[#This Row],[Calendar_h]],"")</f>
        <v/>
      </c>
      <c r="J2578" s="60">
        <f>IF(AND(tblFleet[[#This Row],[Units]]&lt;&gt;"",tblFleet[[#This Row],[Available_h]]&gt;0),tblFleet[[#This Row],[Operating_h]]/tblFleet[[#This Row],[Available_h]],"")</f>
        <v/>
      </c>
    </row>
    <row r="2579">
      <c r="A2579" s="54" t="n"/>
      <c r="B2579" s="61" t="n"/>
      <c r="C2579" s="62" t="n"/>
      <c r="D2579" s="57" t="n"/>
      <c r="E2579" s="57" t="n"/>
      <c r="F2579" s="58" t="n"/>
      <c r="G2579" s="66">
        <f>IF(tblFleet[[#This Row],[Units]]="","",tblFleet[[#This Row],[Units]]*cfg_HoursPerDay)</f>
        <v/>
      </c>
      <c r="H2579" s="66">
        <f>IF(tblFleet[[#This Row],[Units]]="","",tblFleet[[#This Row],[Calendar_h]]-tblFleet[[#This Row],[Down_h]])</f>
        <v/>
      </c>
      <c r="I2579" s="60">
        <f>IF(AND(tblFleet[[#This Row],[Units]]&lt;&gt;"",tblFleet[[#This Row],[Calendar_h]]&gt;0),tblFleet[[#This Row],[Available_h]]/tblFleet[[#This Row],[Calendar_h]],"")</f>
        <v/>
      </c>
      <c r="J2579" s="60">
        <f>IF(AND(tblFleet[[#This Row],[Units]]&lt;&gt;"",tblFleet[[#This Row],[Available_h]]&gt;0),tblFleet[[#This Row],[Operating_h]]/tblFleet[[#This Row],[Available_h]],"")</f>
        <v/>
      </c>
    </row>
    <row r="2580">
      <c r="A2580" s="54" t="n"/>
      <c r="B2580" s="61" t="n"/>
      <c r="C2580" s="62" t="n"/>
      <c r="D2580" s="57" t="n"/>
      <c r="E2580" s="57" t="n"/>
      <c r="F2580" s="58" t="n"/>
      <c r="G2580" s="66">
        <f>IF(tblFleet[[#This Row],[Units]]="","",tblFleet[[#This Row],[Units]]*cfg_HoursPerDay)</f>
        <v/>
      </c>
      <c r="H2580" s="66">
        <f>IF(tblFleet[[#This Row],[Units]]="","",tblFleet[[#This Row],[Calendar_h]]-tblFleet[[#This Row],[Down_h]])</f>
        <v/>
      </c>
      <c r="I2580" s="60">
        <f>IF(AND(tblFleet[[#This Row],[Units]]&lt;&gt;"",tblFleet[[#This Row],[Calendar_h]]&gt;0),tblFleet[[#This Row],[Available_h]]/tblFleet[[#This Row],[Calendar_h]],"")</f>
        <v/>
      </c>
      <c r="J2580" s="60">
        <f>IF(AND(tblFleet[[#This Row],[Units]]&lt;&gt;"",tblFleet[[#This Row],[Available_h]]&gt;0),tblFleet[[#This Row],[Operating_h]]/tblFleet[[#This Row],[Available_h]],"")</f>
        <v/>
      </c>
    </row>
    <row r="2581">
      <c r="A2581" s="54" t="n"/>
      <c r="B2581" s="61" t="n"/>
      <c r="C2581" s="62" t="n"/>
      <c r="D2581" s="57" t="n"/>
      <c r="E2581" s="57" t="n"/>
      <c r="F2581" s="58" t="n"/>
      <c r="G2581" s="66">
        <f>IF(tblFleet[[#This Row],[Units]]="","",tblFleet[[#This Row],[Units]]*cfg_HoursPerDay)</f>
        <v/>
      </c>
      <c r="H2581" s="66">
        <f>IF(tblFleet[[#This Row],[Units]]="","",tblFleet[[#This Row],[Calendar_h]]-tblFleet[[#This Row],[Down_h]])</f>
        <v/>
      </c>
      <c r="I2581" s="60">
        <f>IF(AND(tblFleet[[#This Row],[Units]]&lt;&gt;"",tblFleet[[#This Row],[Calendar_h]]&gt;0),tblFleet[[#This Row],[Available_h]]/tblFleet[[#This Row],[Calendar_h]],"")</f>
        <v/>
      </c>
      <c r="J2581" s="60">
        <f>IF(AND(tblFleet[[#This Row],[Units]]&lt;&gt;"",tblFleet[[#This Row],[Available_h]]&gt;0),tblFleet[[#This Row],[Operating_h]]/tblFleet[[#This Row],[Available_h]],"")</f>
        <v/>
      </c>
    </row>
    <row r="2582">
      <c r="A2582" s="54" t="n"/>
      <c r="B2582" s="61" t="n"/>
      <c r="C2582" s="62" t="n"/>
      <c r="D2582" s="57" t="n"/>
      <c r="E2582" s="57" t="n"/>
      <c r="F2582" s="58" t="n"/>
      <c r="G2582" s="66">
        <f>IF(tblFleet[[#This Row],[Units]]="","",tblFleet[[#This Row],[Units]]*cfg_HoursPerDay)</f>
        <v/>
      </c>
      <c r="H2582" s="66">
        <f>IF(tblFleet[[#This Row],[Units]]="","",tblFleet[[#This Row],[Calendar_h]]-tblFleet[[#This Row],[Down_h]])</f>
        <v/>
      </c>
      <c r="I2582" s="60">
        <f>IF(AND(tblFleet[[#This Row],[Units]]&lt;&gt;"",tblFleet[[#This Row],[Calendar_h]]&gt;0),tblFleet[[#This Row],[Available_h]]/tblFleet[[#This Row],[Calendar_h]],"")</f>
        <v/>
      </c>
      <c r="J2582" s="60">
        <f>IF(AND(tblFleet[[#This Row],[Units]]&lt;&gt;"",tblFleet[[#This Row],[Available_h]]&gt;0),tblFleet[[#This Row],[Operating_h]]/tblFleet[[#This Row],[Available_h]],"")</f>
        <v/>
      </c>
    </row>
    <row r="2583">
      <c r="A2583" s="54" t="n"/>
      <c r="B2583" s="61" t="n"/>
      <c r="C2583" s="62" t="n"/>
      <c r="D2583" s="57" t="n"/>
      <c r="E2583" s="57" t="n"/>
      <c r="F2583" s="58" t="n"/>
      <c r="G2583" s="66">
        <f>IF(tblFleet[[#This Row],[Units]]="","",tblFleet[[#This Row],[Units]]*cfg_HoursPerDay)</f>
        <v/>
      </c>
      <c r="H2583" s="66">
        <f>IF(tblFleet[[#This Row],[Units]]="","",tblFleet[[#This Row],[Calendar_h]]-tblFleet[[#This Row],[Down_h]])</f>
        <v/>
      </c>
      <c r="I2583" s="60">
        <f>IF(AND(tblFleet[[#This Row],[Units]]&lt;&gt;"",tblFleet[[#This Row],[Calendar_h]]&gt;0),tblFleet[[#This Row],[Available_h]]/tblFleet[[#This Row],[Calendar_h]],"")</f>
        <v/>
      </c>
      <c r="J2583" s="60">
        <f>IF(AND(tblFleet[[#This Row],[Units]]&lt;&gt;"",tblFleet[[#This Row],[Available_h]]&gt;0),tblFleet[[#This Row],[Operating_h]]/tblFleet[[#This Row],[Available_h]],"")</f>
        <v/>
      </c>
    </row>
    <row r="2584">
      <c r="A2584" s="54" t="n"/>
      <c r="B2584" s="61" t="n"/>
      <c r="C2584" s="62" t="n"/>
      <c r="D2584" s="57" t="n"/>
      <c r="E2584" s="57" t="n"/>
      <c r="F2584" s="58" t="n"/>
      <c r="G2584" s="66">
        <f>IF(tblFleet[[#This Row],[Units]]="","",tblFleet[[#This Row],[Units]]*cfg_HoursPerDay)</f>
        <v/>
      </c>
      <c r="H2584" s="66">
        <f>IF(tblFleet[[#This Row],[Units]]="","",tblFleet[[#This Row],[Calendar_h]]-tblFleet[[#This Row],[Down_h]])</f>
        <v/>
      </c>
      <c r="I2584" s="60">
        <f>IF(AND(tblFleet[[#This Row],[Units]]&lt;&gt;"",tblFleet[[#This Row],[Calendar_h]]&gt;0),tblFleet[[#This Row],[Available_h]]/tblFleet[[#This Row],[Calendar_h]],"")</f>
        <v/>
      </c>
      <c r="J2584" s="60">
        <f>IF(AND(tblFleet[[#This Row],[Units]]&lt;&gt;"",tblFleet[[#This Row],[Available_h]]&gt;0),tblFleet[[#This Row],[Operating_h]]/tblFleet[[#This Row],[Available_h]],"")</f>
        <v/>
      </c>
    </row>
    <row r="2585">
      <c r="A2585" s="54" t="n"/>
      <c r="B2585" s="61" t="n"/>
      <c r="C2585" s="62" t="n"/>
      <c r="D2585" s="57" t="n"/>
      <c r="E2585" s="57" t="n"/>
      <c r="F2585" s="58" t="n"/>
      <c r="G2585" s="66">
        <f>IF(tblFleet[[#This Row],[Units]]="","",tblFleet[[#This Row],[Units]]*cfg_HoursPerDay)</f>
        <v/>
      </c>
      <c r="H2585" s="66">
        <f>IF(tblFleet[[#This Row],[Units]]="","",tblFleet[[#This Row],[Calendar_h]]-tblFleet[[#This Row],[Down_h]])</f>
        <v/>
      </c>
      <c r="I2585" s="60">
        <f>IF(AND(tblFleet[[#This Row],[Units]]&lt;&gt;"",tblFleet[[#This Row],[Calendar_h]]&gt;0),tblFleet[[#This Row],[Available_h]]/tblFleet[[#This Row],[Calendar_h]],"")</f>
        <v/>
      </c>
      <c r="J2585" s="60">
        <f>IF(AND(tblFleet[[#This Row],[Units]]&lt;&gt;"",tblFleet[[#This Row],[Available_h]]&gt;0),tblFleet[[#This Row],[Operating_h]]/tblFleet[[#This Row],[Available_h]],"")</f>
        <v/>
      </c>
    </row>
    <row r="2586">
      <c r="A2586" s="54" t="n"/>
      <c r="B2586" s="61" t="n"/>
      <c r="C2586" s="62" t="n"/>
      <c r="D2586" s="57" t="n"/>
      <c r="E2586" s="57" t="n"/>
      <c r="F2586" s="58" t="n"/>
      <c r="G2586" s="66">
        <f>IF(tblFleet[[#This Row],[Units]]="","",tblFleet[[#This Row],[Units]]*cfg_HoursPerDay)</f>
        <v/>
      </c>
      <c r="H2586" s="66">
        <f>IF(tblFleet[[#This Row],[Units]]="","",tblFleet[[#This Row],[Calendar_h]]-tblFleet[[#This Row],[Down_h]])</f>
        <v/>
      </c>
      <c r="I2586" s="60">
        <f>IF(AND(tblFleet[[#This Row],[Units]]&lt;&gt;"",tblFleet[[#This Row],[Calendar_h]]&gt;0),tblFleet[[#This Row],[Available_h]]/tblFleet[[#This Row],[Calendar_h]],"")</f>
        <v/>
      </c>
      <c r="J2586" s="60">
        <f>IF(AND(tblFleet[[#This Row],[Units]]&lt;&gt;"",tblFleet[[#This Row],[Available_h]]&gt;0),tblFleet[[#This Row],[Operating_h]]/tblFleet[[#This Row],[Available_h]],"")</f>
        <v/>
      </c>
    </row>
    <row r="2587">
      <c r="A2587" s="54" t="n"/>
      <c r="B2587" s="61" t="n"/>
      <c r="C2587" s="62" t="n"/>
      <c r="D2587" s="57" t="n"/>
      <c r="E2587" s="57" t="n"/>
      <c r="F2587" s="58" t="n"/>
      <c r="G2587" s="66">
        <f>IF(tblFleet[[#This Row],[Units]]="","",tblFleet[[#This Row],[Units]]*cfg_HoursPerDay)</f>
        <v/>
      </c>
      <c r="H2587" s="66">
        <f>IF(tblFleet[[#This Row],[Units]]="","",tblFleet[[#This Row],[Calendar_h]]-tblFleet[[#This Row],[Down_h]])</f>
        <v/>
      </c>
      <c r="I2587" s="60">
        <f>IF(AND(tblFleet[[#This Row],[Units]]&lt;&gt;"",tblFleet[[#This Row],[Calendar_h]]&gt;0),tblFleet[[#This Row],[Available_h]]/tblFleet[[#This Row],[Calendar_h]],"")</f>
        <v/>
      </c>
      <c r="J2587" s="60">
        <f>IF(AND(tblFleet[[#This Row],[Units]]&lt;&gt;"",tblFleet[[#This Row],[Available_h]]&gt;0),tblFleet[[#This Row],[Operating_h]]/tblFleet[[#This Row],[Available_h]],"")</f>
        <v/>
      </c>
    </row>
    <row r="2588">
      <c r="A2588" s="54" t="n"/>
      <c r="B2588" s="61" t="n"/>
      <c r="C2588" s="62" t="n"/>
      <c r="D2588" s="57" t="n"/>
      <c r="E2588" s="57" t="n"/>
      <c r="F2588" s="58" t="n"/>
      <c r="G2588" s="66">
        <f>IF(tblFleet[[#This Row],[Units]]="","",tblFleet[[#This Row],[Units]]*cfg_HoursPerDay)</f>
        <v/>
      </c>
      <c r="H2588" s="66">
        <f>IF(tblFleet[[#This Row],[Units]]="","",tblFleet[[#This Row],[Calendar_h]]-tblFleet[[#This Row],[Down_h]])</f>
        <v/>
      </c>
      <c r="I2588" s="60">
        <f>IF(AND(tblFleet[[#This Row],[Units]]&lt;&gt;"",tblFleet[[#This Row],[Calendar_h]]&gt;0),tblFleet[[#This Row],[Available_h]]/tblFleet[[#This Row],[Calendar_h]],"")</f>
        <v/>
      </c>
      <c r="J2588" s="60">
        <f>IF(AND(tblFleet[[#This Row],[Units]]&lt;&gt;"",tblFleet[[#This Row],[Available_h]]&gt;0),tblFleet[[#This Row],[Operating_h]]/tblFleet[[#This Row],[Available_h]],"")</f>
        <v/>
      </c>
    </row>
    <row r="2589">
      <c r="A2589" s="54" t="n"/>
      <c r="B2589" s="61" t="n"/>
      <c r="C2589" s="62" t="n"/>
      <c r="D2589" s="57" t="n"/>
      <c r="E2589" s="57" t="n"/>
      <c r="F2589" s="58" t="n"/>
      <c r="G2589" s="66">
        <f>IF(tblFleet[[#This Row],[Units]]="","",tblFleet[[#This Row],[Units]]*cfg_HoursPerDay)</f>
        <v/>
      </c>
      <c r="H2589" s="66">
        <f>IF(tblFleet[[#This Row],[Units]]="","",tblFleet[[#This Row],[Calendar_h]]-tblFleet[[#This Row],[Down_h]])</f>
        <v/>
      </c>
      <c r="I2589" s="60">
        <f>IF(AND(tblFleet[[#This Row],[Units]]&lt;&gt;"",tblFleet[[#This Row],[Calendar_h]]&gt;0),tblFleet[[#This Row],[Available_h]]/tblFleet[[#This Row],[Calendar_h]],"")</f>
        <v/>
      </c>
      <c r="J2589" s="60">
        <f>IF(AND(tblFleet[[#This Row],[Units]]&lt;&gt;"",tblFleet[[#This Row],[Available_h]]&gt;0),tblFleet[[#This Row],[Operating_h]]/tblFleet[[#This Row],[Available_h]],"")</f>
        <v/>
      </c>
    </row>
    <row r="2590">
      <c r="A2590" s="54" t="n"/>
      <c r="B2590" s="61" t="n"/>
      <c r="C2590" s="62" t="n"/>
      <c r="D2590" s="57" t="n"/>
      <c r="E2590" s="57" t="n"/>
      <c r="F2590" s="58" t="n"/>
      <c r="G2590" s="66">
        <f>IF(tblFleet[[#This Row],[Units]]="","",tblFleet[[#This Row],[Units]]*cfg_HoursPerDay)</f>
        <v/>
      </c>
      <c r="H2590" s="66">
        <f>IF(tblFleet[[#This Row],[Units]]="","",tblFleet[[#This Row],[Calendar_h]]-tblFleet[[#This Row],[Down_h]])</f>
        <v/>
      </c>
      <c r="I2590" s="60">
        <f>IF(AND(tblFleet[[#This Row],[Units]]&lt;&gt;"",tblFleet[[#This Row],[Calendar_h]]&gt;0),tblFleet[[#This Row],[Available_h]]/tblFleet[[#This Row],[Calendar_h]],"")</f>
        <v/>
      </c>
      <c r="J2590" s="60">
        <f>IF(AND(tblFleet[[#This Row],[Units]]&lt;&gt;"",tblFleet[[#This Row],[Available_h]]&gt;0),tblFleet[[#This Row],[Operating_h]]/tblFleet[[#This Row],[Available_h]],"")</f>
        <v/>
      </c>
    </row>
    <row r="2591">
      <c r="A2591" s="54" t="n"/>
      <c r="B2591" s="61" t="n"/>
      <c r="C2591" s="62" t="n"/>
      <c r="D2591" s="57" t="n"/>
      <c r="E2591" s="57" t="n"/>
      <c r="F2591" s="58" t="n"/>
      <c r="G2591" s="66">
        <f>IF(tblFleet[[#This Row],[Units]]="","",tblFleet[[#This Row],[Units]]*cfg_HoursPerDay)</f>
        <v/>
      </c>
      <c r="H2591" s="66">
        <f>IF(tblFleet[[#This Row],[Units]]="","",tblFleet[[#This Row],[Calendar_h]]-tblFleet[[#This Row],[Down_h]])</f>
        <v/>
      </c>
      <c r="I2591" s="60">
        <f>IF(AND(tblFleet[[#This Row],[Units]]&lt;&gt;"",tblFleet[[#This Row],[Calendar_h]]&gt;0),tblFleet[[#This Row],[Available_h]]/tblFleet[[#This Row],[Calendar_h]],"")</f>
        <v/>
      </c>
      <c r="J2591" s="60">
        <f>IF(AND(tblFleet[[#This Row],[Units]]&lt;&gt;"",tblFleet[[#This Row],[Available_h]]&gt;0),tblFleet[[#This Row],[Operating_h]]/tblFleet[[#This Row],[Available_h]],"")</f>
        <v/>
      </c>
    </row>
    <row r="2592">
      <c r="A2592" s="54" t="n"/>
      <c r="B2592" s="61" t="n"/>
      <c r="C2592" s="62" t="n"/>
      <c r="D2592" s="57" t="n"/>
      <c r="E2592" s="57" t="n"/>
      <c r="F2592" s="58" t="n"/>
      <c r="G2592" s="66">
        <f>IF(tblFleet[[#This Row],[Units]]="","",tblFleet[[#This Row],[Units]]*cfg_HoursPerDay)</f>
        <v/>
      </c>
      <c r="H2592" s="66">
        <f>IF(tblFleet[[#This Row],[Units]]="","",tblFleet[[#This Row],[Calendar_h]]-tblFleet[[#This Row],[Down_h]])</f>
        <v/>
      </c>
      <c r="I2592" s="60">
        <f>IF(AND(tblFleet[[#This Row],[Units]]&lt;&gt;"",tblFleet[[#This Row],[Calendar_h]]&gt;0),tblFleet[[#This Row],[Available_h]]/tblFleet[[#This Row],[Calendar_h]],"")</f>
        <v/>
      </c>
      <c r="J2592" s="60">
        <f>IF(AND(tblFleet[[#This Row],[Units]]&lt;&gt;"",tblFleet[[#This Row],[Available_h]]&gt;0),tblFleet[[#This Row],[Operating_h]]/tblFleet[[#This Row],[Available_h]],"")</f>
        <v/>
      </c>
    </row>
    <row r="2593">
      <c r="A2593" s="54" t="n"/>
      <c r="B2593" s="61" t="n"/>
      <c r="C2593" s="62" t="n"/>
      <c r="D2593" s="57" t="n"/>
      <c r="E2593" s="57" t="n"/>
      <c r="F2593" s="58" t="n"/>
      <c r="G2593" s="66">
        <f>IF(tblFleet[[#This Row],[Units]]="","",tblFleet[[#This Row],[Units]]*cfg_HoursPerDay)</f>
        <v/>
      </c>
      <c r="H2593" s="66">
        <f>IF(tblFleet[[#This Row],[Units]]="","",tblFleet[[#This Row],[Calendar_h]]-tblFleet[[#This Row],[Down_h]])</f>
        <v/>
      </c>
      <c r="I2593" s="60">
        <f>IF(AND(tblFleet[[#This Row],[Units]]&lt;&gt;"",tblFleet[[#This Row],[Calendar_h]]&gt;0),tblFleet[[#This Row],[Available_h]]/tblFleet[[#This Row],[Calendar_h]],"")</f>
        <v/>
      </c>
      <c r="J2593" s="60">
        <f>IF(AND(tblFleet[[#This Row],[Units]]&lt;&gt;"",tblFleet[[#This Row],[Available_h]]&gt;0),tblFleet[[#This Row],[Operating_h]]/tblFleet[[#This Row],[Available_h]],"")</f>
        <v/>
      </c>
    </row>
    <row r="2594">
      <c r="A2594" s="54" t="n"/>
      <c r="B2594" s="61" t="n"/>
      <c r="C2594" s="62" t="n"/>
      <c r="D2594" s="57" t="n"/>
      <c r="E2594" s="57" t="n"/>
      <c r="F2594" s="58" t="n"/>
      <c r="G2594" s="66">
        <f>IF(tblFleet[[#This Row],[Units]]="","",tblFleet[[#This Row],[Units]]*cfg_HoursPerDay)</f>
        <v/>
      </c>
      <c r="H2594" s="66">
        <f>IF(tblFleet[[#This Row],[Units]]="","",tblFleet[[#This Row],[Calendar_h]]-tblFleet[[#This Row],[Down_h]])</f>
        <v/>
      </c>
      <c r="I2594" s="60">
        <f>IF(AND(tblFleet[[#This Row],[Units]]&lt;&gt;"",tblFleet[[#This Row],[Calendar_h]]&gt;0),tblFleet[[#This Row],[Available_h]]/tblFleet[[#This Row],[Calendar_h]],"")</f>
        <v/>
      </c>
      <c r="J2594" s="60">
        <f>IF(AND(tblFleet[[#This Row],[Units]]&lt;&gt;"",tblFleet[[#This Row],[Available_h]]&gt;0),tblFleet[[#This Row],[Operating_h]]/tblFleet[[#This Row],[Available_h]],"")</f>
        <v/>
      </c>
    </row>
    <row r="2595">
      <c r="A2595" s="54" t="n"/>
      <c r="B2595" s="61" t="n"/>
      <c r="C2595" s="62" t="n"/>
      <c r="D2595" s="57" t="n"/>
      <c r="E2595" s="57" t="n"/>
      <c r="F2595" s="58" t="n"/>
      <c r="G2595" s="66">
        <f>IF(tblFleet[[#This Row],[Units]]="","",tblFleet[[#This Row],[Units]]*cfg_HoursPerDay)</f>
        <v/>
      </c>
      <c r="H2595" s="66">
        <f>IF(tblFleet[[#This Row],[Units]]="","",tblFleet[[#This Row],[Calendar_h]]-tblFleet[[#This Row],[Down_h]])</f>
        <v/>
      </c>
      <c r="I2595" s="60">
        <f>IF(AND(tblFleet[[#This Row],[Units]]&lt;&gt;"",tblFleet[[#This Row],[Calendar_h]]&gt;0),tblFleet[[#This Row],[Available_h]]/tblFleet[[#This Row],[Calendar_h]],"")</f>
        <v/>
      </c>
      <c r="J2595" s="60">
        <f>IF(AND(tblFleet[[#This Row],[Units]]&lt;&gt;"",tblFleet[[#This Row],[Available_h]]&gt;0),tblFleet[[#This Row],[Operating_h]]/tblFleet[[#This Row],[Available_h]],"")</f>
        <v/>
      </c>
    </row>
    <row r="2596">
      <c r="A2596" s="54" t="n"/>
      <c r="B2596" s="61" t="n"/>
      <c r="C2596" s="62" t="n"/>
      <c r="D2596" s="57" t="n"/>
      <c r="E2596" s="57" t="n"/>
      <c r="F2596" s="58" t="n"/>
      <c r="G2596" s="66">
        <f>IF(tblFleet[[#This Row],[Units]]="","",tblFleet[[#This Row],[Units]]*cfg_HoursPerDay)</f>
        <v/>
      </c>
      <c r="H2596" s="66">
        <f>IF(tblFleet[[#This Row],[Units]]="","",tblFleet[[#This Row],[Calendar_h]]-tblFleet[[#This Row],[Down_h]])</f>
        <v/>
      </c>
      <c r="I2596" s="60">
        <f>IF(AND(tblFleet[[#This Row],[Units]]&lt;&gt;"",tblFleet[[#This Row],[Calendar_h]]&gt;0),tblFleet[[#This Row],[Available_h]]/tblFleet[[#This Row],[Calendar_h]],"")</f>
        <v/>
      </c>
      <c r="J2596" s="60">
        <f>IF(AND(tblFleet[[#This Row],[Units]]&lt;&gt;"",tblFleet[[#This Row],[Available_h]]&gt;0),tblFleet[[#This Row],[Operating_h]]/tblFleet[[#This Row],[Available_h]],"")</f>
        <v/>
      </c>
    </row>
    <row r="2597">
      <c r="A2597" s="54" t="n"/>
      <c r="B2597" s="61" t="n"/>
      <c r="C2597" s="62" t="n"/>
      <c r="D2597" s="57" t="n"/>
      <c r="E2597" s="57" t="n"/>
      <c r="F2597" s="58" t="n"/>
      <c r="G2597" s="66">
        <f>IF(tblFleet[[#This Row],[Units]]="","",tblFleet[[#This Row],[Units]]*cfg_HoursPerDay)</f>
        <v/>
      </c>
      <c r="H2597" s="66">
        <f>IF(tblFleet[[#This Row],[Units]]="","",tblFleet[[#This Row],[Calendar_h]]-tblFleet[[#This Row],[Down_h]])</f>
        <v/>
      </c>
      <c r="I2597" s="60">
        <f>IF(AND(tblFleet[[#This Row],[Units]]&lt;&gt;"",tblFleet[[#This Row],[Calendar_h]]&gt;0),tblFleet[[#This Row],[Available_h]]/tblFleet[[#This Row],[Calendar_h]],"")</f>
        <v/>
      </c>
      <c r="J2597" s="60">
        <f>IF(AND(tblFleet[[#This Row],[Units]]&lt;&gt;"",tblFleet[[#This Row],[Available_h]]&gt;0),tblFleet[[#This Row],[Operating_h]]/tblFleet[[#This Row],[Available_h]],"")</f>
        <v/>
      </c>
    </row>
    <row r="2598">
      <c r="A2598" s="54" t="n"/>
      <c r="B2598" s="61" t="n"/>
      <c r="C2598" s="62" t="n"/>
      <c r="D2598" s="57" t="n"/>
      <c r="E2598" s="57" t="n"/>
      <c r="F2598" s="58" t="n"/>
      <c r="G2598" s="66">
        <f>IF(tblFleet[[#This Row],[Units]]="","",tblFleet[[#This Row],[Units]]*cfg_HoursPerDay)</f>
        <v/>
      </c>
      <c r="H2598" s="66">
        <f>IF(tblFleet[[#This Row],[Units]]="","",tblFleet[[#This Row],[Calendar_h]]-tblFleet[[#This Row],[Down_h]])</f>
        <v/>
      </c>
      <c r="I2598" s="60">
        <f>IF(AND(tblFleet[[#This Row],[Units]]&lt;&gt;"",tblFleet[[#This Row],[Calendar_h]]&gt;0),tblFleet[[#This Row],[Available_h]]/tblFleet[[#This Row],[Calendar_h]],"")</f>
        <v/>
      </c>
      <c r="J2598" s="60">
        <f>IF(AND(tblFleet[[#This Row],[Units]]&lt;&gt;"",tblFleet[[#This Row],[Available_h]]&gt;0),tblFleet[[#This Row],[Operating_h]]/tblFleet[[#This Row],[Available_h]],"")</f>
        <v/>
      </c>
    </row>
    <row r="2599">
      <c r="A2599" s="54" t="n"/>
      <c r="B2599" s="61" t="n"/>
      <c r="C2599" s="62" t="n"/>
      <c r="D2599" s="57" t="n"/>
      <c r="E2599" s="57" t="n"/>
      <c r="F2599" s="58" t="n"/>
      <c r="G2599" s="66">
        <f>IF(tblFleet[[#This Row],[Units]]="","",tblFleet[[#This Row],[Units]]*cfg_HoursPerDay)</f>
        <v/>
      </c>
      <c r="H2599" s="66">
        <f>IF(tblFleet[[#This Row],[Units]]="","",tblFleet[[#This Row],[Calendar_h]]-tblFleet[[#This Row],[Down_h]])</f>
        <v/>
      </c>
      <c r="I2599" s="60">
        <f>IF(AND(tblFleet[[#This Row],[Units]]&lt;&gt;"",tblFleet[[#This Row],[Calendar_h]]&gt;0),tblFleet[[#This Row],[Available_h]]/tblFleet[[#This Row],[Calendar_h]],"")</f>
        <v/>
      </c>
      <c r="J2599" s="60">
        <f>IF(AND(tblFleet[[#This Row],[Units]]&lt;&gt;"",tblFleet[[#This Row],[Available_h]]&gt;0),tblFleet[[#This Row],[Operating_h]]/tblFleet[[#This Row],[Available_h]],"")</f>
        <v/>
      </c>
    </row>
    <row r="2600">
      <c r="A2600" s="54" t="n"/>
      <c r="B2600" s="61" t="n"/>
      <c r="C2600" s="62" t="n"/>
      <c r="D2600" s="57" t="n"/>
      <c r="E2600" s="57" t="n"/>
      <c r="F2600" s="58" t="n"/>
      <c r="G2600" s="66">
        <f>IF(tblFleet[[#This Row],[Units]]="","",tblFleet[[#This Row],[Units]]*cfg_HoursPerDay)</f>
        <v/>
      </c>
      <c r="H2600" s="66">
        <f>IF(tblFleet[[#This Row],[Units]]="","",tblFleet[[#This Row],[Calendar_h]]-tblFleet[[#This Row],[Down_h]])</f>
        <v/>
      </c>
      <c r="I2600" s="60">
        <f>IF(AND(tblFleet[[#This Row],[Units]]&lt;&gt;"",tblFleet[[#This Row],[Calendar_h]]&gt;0),tblFleet[[#This Row],[Available_h]]/tblFleet[[#This Row],[Calendar_h]],"")</f>
        <v/>
      </c>
      <c r="J2600" s="60">
        <f>IF(AND(tblFleet[[#This Row],[Units]]&lt;&gt;"",tblFleet[[#This Row],[Available_h]]&gt;0),tblFleet[[#This Row],[Operating_h]]/tblFleet[[#This Row],[Available_h]],"")</f>
        <v/>
      </c>
    </row>
    <row r="2601">
      <c r="A2601" s="54" t="n"/>
      <c r="B2601" s="61" t="n"/>
      <c r="C2601" s="62" t="n"/>
      <c r="D2601" s="57" t="n"/>
      <c r="E2601" s="57" t="n"/>
      <c r="F2601" s="58" t="n"/>
      <c r="G2601" s="66">
        <f>IF(tblFleet[[#This Row],[Units]]="","",tblFleet[[#This Row],[Units]]*cfg_HoursPerDay)</f>
        <v/>
      </c>
      <c r="H2601" s="66">
        <f>IF(tblFleet[[#This Row],[Units]]="","",tblFleet[[#This Row],[Calendar_h]]-tblFleet[[#This Row],[Down_h]])</f>
        <v/>
      </c>
      <c r="I2601" s="60">
        <f>IF(AND(tblFleet[[#This Row],[Units]]&lt;&gt;"",tblFleet[[#This Row],[Calendar_h]]&gt;0),tblFleet[[#This Row],[Available_h]]/tblFleet[[#This Row],[Calendar_h]],"")</f>
        <v/>
      </c>
      <c r="J2601" s="60">
        <f>IF(AND(tblFleet[[#This Row],[Units]]&lt;&gt;"",tblFleet[[#This Row],[Available_h]]&gt;0),tblFleet[[#This Row],[Operating_h]]/tblFleet[[#This Row],[Available_h]],"")</f>
        <v/>
      </c>
    </row>
    <row r="2602">
      <c r="A2602" s="54" t="n"/>
      <c r="B2602" s="61" t="n"/>
      <c r="C2602" s="62" t="n"/>
      <c r="D2602" s="57" t="n"/>
      <c r="E2602" s="57" t="n"/>
      <c r="F2602" s="58" t="n"/>
      <c r="G2602" s="66">
        <f>IF(tblFleet[[#This Row],[Units]]="","",tblFleet[[#This Row],[Units]]*cfg_HoursPerDay)</f>
        <v/>
      </c>
      <c r="H2602" s="66">
        <f>IF(tblFleet[[#This Row],[Units]]="","",tblFleet[[#This Row],[Calendar_h]]-tblFleet[[#This Row],[Down_h]])</f>
        <v/>
      </c>
      <c r="I2602" s="60">
        <f>IF(AND(tblFleet[[#This Row],[Units]]&lt;&gt;"",tblFleet[[#This Row],[Calendar_h]]&gt;0),tblFleet[[#This Row],[Available_h]]/tblFleet[[#This Row],[Calendar_h]],"")</f>
        <v/>
      </c>
      <c r="J2602" s="60">
        <f>IF(AND(tblFleet[[#This Row],[Units]]&lt;&gt;"",tblFleet[[#This Row],[Available_h]]&gt;0),tblFleet[[#This Row],[Operating_h]]/tblFleet[[#This Row],[Available_h]],"")</f>
        <v/>
      </c>
    </row>
    <row r="2603">
      <c r="A2603" s="54" t="n"/>
      <c r="B2603" s="61" t="n"/>
      <c r="C2603" s="62" t="n"/>
      <c r="D2603" s="57" t="n"/>
      <c r="E2603" s="57" t="n"/>
      <c r="F2603" s="58" t="n"/>
      <c r="G2603" s="66">
        <f>IF(tblFleet[[#This Row],[Units]]="","",tblFleet[[#This Row],[Units]]*cfg_HoursPerDay)</f>
        <v/>
      </c>
      <c r="H2603" s="66">
        <f>IF(tblFleet[[#This Row],[Units]]="","",tblFleet[[#This Row],[Calendar_h]]-tblFleet[[#This Row],[Down_h]])</f>
        <v/>
      </c>
      <c r="I2603" s="60">
        <f>IF(AND(tblFleet[[#This Row],[Units]]&lt;&gt;"",tblFleet[[#This Row],[Calendar_h]]&gt;0),tblFleet[[#This Row],[Available_h]]/tblFleet[[#This Row],[Calendar_h]],"")</f>
        <v/>
      </c>
      <c r="J2603" s="60">
        <f>IF(AND(tblFleet[[#This Row],[Units]]&lt;&gt;"",tblFleet[[#This Row],[Available_h]]&gt;0),tblFleet[[#This Row],[Operating_h]]/tblFleet[[#This Row],[Available_h]],"")</f>
        <v/>
      </c>
    </row>
    <row r="2604">
      <c r="A2604" s="54" t="n"/>
      <c r="B2604" s="61" t="n"/>
      <c r="C2604" s="62" t="n"/>
      <c r="D2604" s="57" t="n"/>
      <c r="E2604" s="57" t="n"/>
      <c r="F2604" s="58" t="n"/>
      <c r="G2604" s="66">
        <f>IF(tblFleet[[#This Row],[Units]]="","",tblFleet[[#This Row],[Units]]*cfg_HoursPerDay)</f>
        <v/>
      </c>
      <c r="H2604" s="66">
        <f>IF(tblFleet[[#This Row],[Units]]="","",tblFleet[[#This Row],[Calendar_h]]-tblFleet[[#This Row],[Down_h]])</f>
        <v/>
      </c>
      <c r="I2604" s="60">
        <f>IF(AND(tblFleet[[#This Row],[Units]]&lt;&gt;"",tblFleet[[#This Row],[Calendar_h]]&gt;0),tblFleet[[#This Row],[Available_h]]/tblFleet[[#This Row],[Calendar_h]],"")</f>
        <v/>
      </c>
      <c r="J2604" s="60">
        <f>IF(AND(tblFleet[[#This Row],[Units]]&lt;&gt;"",tblFleet[[#This Row],[Available_h]]&gt;0),tblFleet[[#This Row],[Operating_h]]/tblFleet[[#This Row],[Available_h]],"")</f>
        <v/>
      </c>
    </row>
    <row r="2605">
      <c r="A2605" s="54" t="n"/>
      <c r="B2605" s="61" t="n"/>
      <c r="C2605" s="62" t="n"/>
      <c r="D2605" s="57" t="n"/>
      <c r="E2605" s="57" t="n"/>
      <c r="F2605" s="58" t="n"/>
      <c r="G2605" s="66">
        <f>IF(tblFleet[[#This Row],[Units]]="","",tblFleet[[#This Row],[Units]]*cfg_HoursPerDay)</f>
        <v/>
      </c>
      <c r="H2605" s="66">
        <f>IF(tblFleet[[#This Row],[Units]]="","",tblFleet[[#This Row],[Calendar_h]]-tblFleet[[#This Row],[Down_h]])</f>
        <v/>
      </c>
      <c r="I2605" s="60">
        <f>IF(AND(tblFleet[[#This Row],[Units]]&lt;&gt;"",tblFleet[[#This Row],[Calendar_h]]&gt;0),tblFleet[[#This Row],[Available_h]]/tblFleet[[#This Row],[Calendar_h]],"")</f>
        <v/>
      </c>
      <c r="J2605" s="60">
        <f>IF(AND(tblFleet[[#This Row],[Units]]&lt;&gt;"",tblFleet[[#This Row],[Available_h]]&gt;0),tblFleet[[#This Row],[Operating_h]]/tblFleet[[#This Row],[Available_h]],"")</f>
        <v/>
      </c>
    </row>
    <row r="2606">
      <c r="A2606" s="54" t="n"/>
      <c r="B2606" s="61" t="n"/>
      <c r="C2606" s="62" t="n"/>
      <c r="D2606" s="57" t="n"/>
      <c r="E2606" s="57" t="n"/>
      <c r="F2606" s="58" t="n"/>
      <c r="G2606" s="66">
        <f>IF(tblFleet[[#This Row],[Units]]="","",tblFleet[[#This Row],[Units]]*cfg_HoursPerDay)</f>
        <v/>
      </c>
      <c r="H2606" s="66">
        <f>IF(tblFleet[[#This Row],[Units]]="","",tblFleet[[#This Row],[Calendar_h]]-tblFleet[[#This Row],[Down_h]])</f>
        <v/>
      </c>
      <c r="I2606" s="60">
        <f>IF(AND(tblFleet[[#This Row],[Units]]&lt;&gt;"",tblFleet[[#This Row],[Calendar_h]]&gt;0),tblFleet[[#This Row],[Available_h]]/tblFleet[[#This Row],[Calendar_h]],"")</f>
        <v/>
      </c>
      <c r="J2606" s="60">
        <f>IF(AND(tblFleet[[#This Row],[Units]]&lt;&gt;"",tblFleet[[#This Row],[Available_h]]&gt;0),tblFleet[[#This Row],[Operating_h]]/tblFleet[[#This Row],[Available_h]],"")</f>
        <v/>
      </c>
    </row>
    <row r="2607">
      <c r="A2607" s="54" t="n"/>
      <c r="B2607" s="61" t="n"/>
      <c r="C2607" s="62" t="n"/>
      <c r="D2607" s="57" t="n"/>
      <c r="E2607" s="57" t="n"/>
      <c r="F2607" s="58" t="n"/>
      <c r="G2607" s="66">
        <f>IF(tblFleet[[#This Row],[Units]]="","",tblFleet[[#This Row],[Units]]*cfg_HoursPerDay)</f>
        <v/>
      </c>
      <c r="H2607" s="66">
        <f>IF(tblFleet[[#This Row],[Units]]="","",tblFleet[[#This Row],[Calendar_h]]-tblFleet[[#This Row],[Down_h]])</f>
        <v/>
      </c>
      <c r="I2607" s="60">
        <f>IF(AND(tblFleet[[#This Row],[Units]]&lt;&gt;"",tblFleet[[#This Row],[Calendar_h]]&gt;0),tblFleet[[#This Row],[Available_h]]/tblFleet[[#This Row],[Calendar_h]],"")</f>
        <v/>
      </c>
      <c r="J2607" s="60">
        <f>IF(AND(tblFleet[[#This Row],[Units]]&lt;&gt;"",tblFleet[[#This Row],[Available_h]]&gt;0),tblFleet[[#This Row],[Operating_h]]/tblFleet[[#This Row],[Available_h]],"")</f>
        <v/>
      </c>
    </row>
    <row r="2608">
      <c r="A2608" s="54" t="n"/>
      <c r="B2608" s="61" t="n"/>
      <c r="C2608" s="62" t="n"/>
      <c r="D2608" s="57" t="n"/>
      <c r="E2608" s="57" t="n"/>
      <c r="F2608" s="58" t="n"/>
      <c r="G2608" s="66">
        <f>IF(tblFleet[[#This Row],[Units]]="","",tblFleet[[#This Row],[Units]]*cfg_HoursPerDay)</f>
        <v/>
      </c>
      <c r="H2608" s="66">
        <f>IF(tblFleet[[#This Row],[Units]]="","",tblFleet[[#This Row],[Calendar_h]]-tblFleet[[#This Row],[Down_h]])</f>
        <v/>
      </c>
      <c r="I2608" s="60">
        <f>IF(AND(tblFleet[[#This Row],[Units]]&lt;&gt;"",tblFleet[[#This Row],[Calendar_h]]&gt;0),tblFleet[[#This Row],[Available_h]]/tblFleet[[#This Row],[Calendar_h]],"")</f>
        <v/>
      </c>
      <c r="J2608" s="60">
        <f>IF(AND(tblFleet[[#This Row],[Units]]&lt;&gt;"",tblFleet[[#This Row],[Available_h]]&gt;0),tblFleet[[#This Row],[Operating_h]]/tblFleet[[#This Row],[Available_h]],"")</f>
        <v/>
      </c>
    </row>
    <row r="2609">
      <c r="A2609" s="54" t="n"/>
      <c r="B2609" s="61" t="n"/>
      <c r="C2609" s="62" t="n"/>
      <c r="D2609" s="57" t="n"/>
      <c r="E2609" s="57" t="n"/>
      <c r="F2609" s="58" t="n"/>
      <c r="G2609" s="66">
        <f>IF(tblFleet[[#This Row],[Units]]="","",tblFleet[[#This Row],[Units]]*cfg_HoursPerDay)</f>
        <v/>
      </c>
      <c r="H2609" s="66">
        <f>IF(tblFleet[[#This Row],[Units]]="","",tblFleet[[#This Row],[Calendar_h]]-tblFleet[[#This Row],[Down_h]])</f>
        <v/>
      </c>
      <c r="I2609" s="60">
        <f>IF(AND(tblFleet[[#This Row],[Units]]&lt;&gt;"",tblFleet[[#This Row],[Calendar_h]]&gt;0),tblFleet[[#This Row],[Available_h]]/tblFleet[[#This Row],[Calendar_h]],"")</f>
        <v/>
      </c>
      <c r="J2609" s="60">
        <f>IF(AND(tblFleet[[#This Row],[Units]]&lt;&gt;"",tblFleet[[#This Row],[Available_h]]&gt;0),tblFleet[[#This Row],[Operating_h]]/tblFleet[[#This Row],[Available_h]],"")</f>
        <v/>
      </c>
    </row>
    <row r="2610">
      <c r="A2610" s="54" t="n"/>
      <c r="B2610" s="61" t="n"/>
      <c r="C2610" s="62" t="n"/>
      <c r="D2610" s="57" t="n"/>
      <c r="E2610" s="57" t="n"/>
      <c r="F2610" s="58" t="n"/>
      <c r="G2610" s="66">
        <f>IF(tblFleet[[#This Row],[Units]]="","",tblFleet[[#This Row],[Units]]*cfg_HoursPerDay)</f>
        <v/>
      </c>
      <c r="H2610" s="66">
        <f>IF(tblFleet[[#This Row],[Units]]="","",tblFleet[[#This Row],[Calendar_h]]-tblFleet[[#This Row],[Down_h]])</f>
        <v/>
      </c>
      <c r="I2610" s="60">
        <f>IF(AND(tblFleet[[#This Row],[Units]]&lt;&gt;"",tblFleet[[#This Row],[Calendar_h]]&gt;0),tblFleet[[#This Row],[Available_h]]/tblFleet[[#This Row],[Calendar_h]],"")</f>
        <v/>
      </c>
      <c r="J2610" s="60">
        <f>IF(AND(tblFleet[[#This Row],[Units]]&lt;&gt;"",tblFleet[[#This Row],[Available_h]]&gt;0),tblFleet[[#This Row],[Operating_h]]/tblFleet[[#This Row],[Available_h]],"")</f>
        <v/>
      </c>
    </row>
    <row r="2611">
      <c r="A2611" s="54" t="n"/>
      <c r="B2611" s="61" t="n"/>
      <c r="C2611" s="62" t="n"/>
      <c r="D2611" s="57" t="n"/>
      <c r="E2611" s="57" t="n"/>
      <c r="F2611" s="58" t="n"/>
      <c r="G2611" s="66">
        <f>IF(tblFleet[[#This Row],[Units]]="","",tblFleet[[#This Row],[Units]]*cfg_HoursPerDay)</f>
        <v/>
      </c>
      <c r="H2611" s="66">
        <f>IF(tblFleet[[#This Row],[Units]]="","",tblFleet[[#This Row],[Calendar_h]]-tblFleet[[#This Row],[Down_h]])</f>
        <v/>
      </c>
      <c r="I2611" s="60">
        <f>IF(AND(tblFleet[[#This Row],[Units]]&lt;&gt;"",tblFleet[[#This Row],[Calendar_h]]&gt;0),tblFleet[[#This Row],[Available_h]]/tblFleet[[#This Row],[Calendar_h]],"")</f>
        <v/>
      </c>
      <c r="J2611" s="60">
        <f>IF(AND(tblFleet[[#This Row],[Units]]&lt;&gt;"",tblFleet[[#This Row],[Available_h]]&gt;0),tblFleet[[#This Row],[Operating_h]]/tblFleet[[#This Row],[Available_h]],"")</f>
        <v/>
      </c>
    </row>
    <row r="2612">
      <c r="A2612" s="54" t="n"/>
      <c r="B2612" s="61" t="n"/>
      <c r="C2612" s="62" t="n"/>
      <c r="D2612" s="57" t="n"/>
      <c r="E2612" s="57" t="n"/>
      <c r="F2612" s="58" t="n"/>
      <c r="G2612" s="66">
        <f>IF(tblFleet[[#This Row],[Units]]="","",tblFleet[[#This Row],[Units]]*cfg_HoursPerDay)</f>
        <v/>
      </c>
      <c r="H2612" s="66">
        <f>IF(tblFleet[[#This Row],[Units]]="","",tblFleet[[#This Row],[Calendar_h]]-tblFleet[[#This Row],[Down_h]])</f>
        <v/>
      </c>
      <c r="I2612" s="60">
        <f>IF(AND(tblFleet[[#This Row],[Units]]&lt;&gt;"",tblFleet[[#This Row],[Calendar_h]]&gt;0),tblFleet[[#This Row],[Available_h]]/tblFleet[[#This Row],[Calendar_h]],"")</f>
        <v/>
      </c>
      <c r="J2612" s="60">
        <f>IF(AND(tblFleet[[#This Row],[Units]]&lt;&gt;"",tblFleet[[#This Row],[Available_h]]&gt;0),tblFleet[[#This Row],[Operating_h]]/tblFleet[[#This Row],[Available_h]],"")</f>
        <v/>
      </c>
    </row>
    <row r="2613">
      <c r="A2613" s="54" t="n"/>
      <c r="B2613" s="61" t="n"/>
      <c r="C2613" s="62" t="n"/>
      <c r="D2613" s="57" t="n"/>
      <c r="E2613" s="57" t="n"/>
      <c r="F2613" s="58" t="n"/>
      <c r="G2613" s="66">
        <f>IF(tblFleet[[#This Row],[Units]]="","",tblFleet[[#This Row],[Units]]*cfg_HoursPerDay)</f>
        <v/>
      </c>
      <c r="H2613" s="66">
        <f>IF(tblFleet[[#This Row],[Units]]="","",tblFleet[[#This Row],[Calendar_h]]-tblFleet[[#This Row],[Down_h]])</f>
        <v/>
      </c>
      <c r="I2613" s="60">
        <f>IF(AND(tblFleet[[#This Row],[Units]]&lt;&gt;"",tblFleet[[#This Row],[Calendar_h]]&gt;0),tblFleet[[#This Row],[Available_h]]/tblFleet[[#This Row],[Calendar_h]],"")</f>
        <v/>
      </c>
      <c r="J2613" s="60">
        <f>IF(AND(tblFleet[[#This Row],[Units]]&lt;&gt;"",tblFleet[[#This Row],[Available_h]]&gt;0),tblFleet[[#This Row],[Operating_h]]/tblFleet[[#This Row],[Available_h]],"")</f>
        <v/>
      </c>
    </row>
    <row r="2614">
      <c r="A2614" s="54" t="n"/>
      <c r="B2614" s="61" t="n"/>
      <c r="C2614" s="62" t="n"/>
      <c r="D2614" s="57" t="n"/>
      <c r="E2614" s="57" t="n"/>
      <c r="F2614" s="58" t="n"/>
      <c r="G2614" s="66">
        <f>IF(tblFleet[[#This Row],[Units]]="","",tblFleet[[#This Row],[Units]]*cfg_HoursPerDay)</f>
        <v/>
      </c>
      <c r="H2614" s="66">
        <f>IF(tblFleet[[#This Row],[Units]]="","",tblFleet[[#This Row],[Calendar_h]]-tblFleet[[#This Row],[Down_h]])</f>
        <v/>
      </c>
      <c r="I2614" s="60">
        <f>IF(AND(tblFleet[[#This Row],[Units]]&lt;&gt;"",tblFleet[[#This Row],[Calendar_h]]&gt;0),tblFleet[[#This Row],[Available_h]]/tblFleet[[#This Row],[Calendar_h]],"")</f>
        <v/>
      </c>
      <c r="J2614" s="60">
        <f>IF(AND(tblFleet[[#This Row],[Units]]&lt;&gt;"",tblFleet[[#This Row],[Available_h]]&gt;0),tblFleet[[#This Row],[Operating_h]]/tblFleet[[#This Row],[Available_h]],"")</f>
        <v/>
      </c>
    </row>
    <row r="2615">
      <c r="A2615" s="54" t="n"/>
      <c r="B2615" s="61" t="n"/>
      <c r="C2615" s="62" t="n"/>
      <c r="D2615" s="57" t="n"/>
      <c r="E2615" s="57" t="n"/>
      <c r="F2615" s="58" t="n"/>
      <c r="G2615" s="66">
        <f>IF(tblFleet[[#This Row],[Units]]="","",tblFleet[[#This Row],[Units]]*cfg_HoursPerDay)</f>
        <v/>
      </c>
      <c r="H2615" s="66">
        <f>IF(tblFleet[[#This Row],[Units]]="","",tblFleet[[#This Row],[Calendar_h]]-tblFleet[[#This Row],[Down_h]])</f>
        <v/>
      </c>
      <c r="I2615" s="60">
        <f>IF(AND(tblFleet[[#This Row],[Units]]&lt;&gt;"",tblFleet[[#This Row],[Calendar_h]]&gt;0),tblFleet[[#This Row],[Available_h]]/tblFleet[[#This Row],[Calendar_h]],"")</f>
        <v/>
      </c>
      <c r="J2615" s="60">
        <f>IF(AND(tblFleet[[#This Row],[Units]]&lt;&gt;"",tblFleet[[#This Row],[Available_h]]&gt;0),tblFleet[[#This Row],[Operating_h]]/tblFleet[[#This Row],[Available_h]],"")</f>
        <v/>
      </c>
    </row>
    <row r="2616">
      <c r="A2616" s="54" t="n"/>
      <c r="B2616" s="61" t="n"/>
      <c r="C2616" s="62" t="n"/>
      <c r="D2616" s="57" t="n"/>
      <c r="E2616" s="57" t="n"/>
      <c r="F2616" s="58" t="n"/>
      <c r="G2616" s="66">
        <f>IF(tblFleet[[#This Row],[Units]]="","",tblFleet[[#This Row],[Units]]*cfg_HoursPerDay)</f>
        <v/>
      </c>
      <c r="H2616" s="66">
        <f>IF(tblFleet[[#This Row],[Units]]="","",tblFleet[[#This Row],[Calendar_h]]-tblFleet[[#This Row],[Down_h]])</f>
        <v/>
      </c>
      <c r="I2616" s="60">
        <f>IF(AND(tblFleet[[#This Row],[Units]]&lt;&gt;"",tblFleet[[#This Row],[Calendar_h]]&gt;0),tblFleet[[#This Row],[Available_h]]/tblFleet[[#This Row],[Calendar_h]],"")</f>
        <v/>
      </c>
      <c r="J2616" s="60">
        <f>IF(AND(tblFleet[[#This Row],[Units]]&lt;&gt;"",tblFleet[[#This Row],[Available_h]]&gt;0),tblFleet[[#This Row],[Operating_h]]/tblFleet[[#This Row],[Available_h]],"")</f>
        <v/>
      </c>
    </row>
    <row r="2617">
      <c r="A2617" s="54" t="n"/>
      <c r="B2617" s="61" t="n"/>
      <c r="C2617" s="62" t="n"/>
      <c r="D2617" s="57" t="n"/>
      <c r="E2617" s="57" t="n"/>
      <c r="F2617" s="58" t="n"/>
      <c r="G2617" s="66">
        <f>IF(tblFleet[[#This Row],[Units]]="","",tblFleet[[#This Row],[Units]]*cfg_HoursPerDay)</f>
        <v/>
      </c>
      <c r="H2617" s="66">
        <f>IF(tblFleet[[#This Row],[Units]]="","",tblFleet[[#This Row],[Calendar_h]]-tblFleet[[#This Row],[Down_h]])</f>
        <v/>
      </c>
      <c r="I2617" s="60">
        <f>IF(AND(tblFleet[[#This Row],[Units]]&lt;&gt;"",tblFleet[[#This Row],[Calendar_h]]&gt;0),tblFleet[[#This Row],[Available_h]]/tblFleet[[#This Row],[Calendar_h]],"")</f>
        <v/>
      </c>
      <c r="J2617" s="60">
        <f>IF(AND(tblFleet[[#This Row],[Units]]&lt;&gt;"",tblFleet[[#This Row],[Available_h]]&gt;0),tblFleet[[#This Row],[Operating_h]]/tblFleet[[#This Row],[Available_h]],"")</f>
        <v/>
      </c>
    </row>
    <row r="2618">
      <c r="A2618" s="54" t="n"/>
      <c r="B2618" s="61" t="n"/>
      <c r="C2618" s="62" t="n"/>
      <c r="D2618" s="57" t="n"/>
      <c r="E2618" s="57" t="n"/>
      <c r="F2618" s="58" t="n"/>
      <c r="G2618" s="66">
        <f>IF(tblFleet[[#This Row],[Units]]="","",tblFleet[[#This Row],[Units]]*cfg_HoursPerDay)</f>
        <v/>
      </c>
      <c r="H2618" s="66">
        <f>IF(tblFleet[[#This Row],[Units]]="","",tblFleet[[#This Row],[Calendar_h]]-tblFleet[[#This Row],[Down_h]])</f>
        <v/>
      </c>
      <c r="I2618" s="60">
        <f>IF(AND(tblFleet[[#This Row],[Units]]&lt;&gt;"",tblFleet[[#This Row],[Calendar_h]]&gt;0),tblFleet[[#This Row],[Available_h]]/tblFleet[[#This Row],[Calendar_h]],"")</f>
        <v/>
      </c>
      <c r="J2618" s="60">
        <f>IF(AND(tblFleet[[#This Row],[Units]]&lt;&gt;"",tblFleet[[#This Row],[Available_h]]&gt;0),tblFleet[[#This Row],[Operating_h]]/tblFleet[[#This Row],[Available_h]],"")</f>
        <v/>
      </c>
    </row>
    <row r="2619">
      <c r="A2619" s="54" t="n"/>
      <c r="B2619" s="61" t="n"/>
      <c r="C2619" s="62" t="n"/>
      <c r="D2619" s="57" t="n"/>
      <c r="E2619" s="57" t="n"/>
      <c r="F2619" s="58" t="n"/>
      <c r="G2619" s="66">
        <f>IF(tblFleet[[#This Row],[Units]]="","",tblFleet[[#This Row],[Units]]*cfg_HoursPerDay)</f>
        <v/>
      </c>
      <c r="H2619" s="66">
        <f>IF(tblFleet[[#This Row],[Units]]="","",tblFleet[[#This Row],[Calendar_h]]-tblFleet[[#This Row],[Down_h]])</f>
        <v/>
      </c>
      <c r="I2619" s="60">
        <f>IF(AND(tblFleet[[#This Row],[Units]]&lt;&gt;"",tblFleet[[#This Row],[Calendar_h]]&gt;0),tblFleet[[#This Row],[Available_h]]/tblFleet[[#This Row],[Calendar_h]],"")</f>
        <v/>
      </c>
      <c r="J2619" s="60">
        <f>IF(AND(tblFleet[[#This Row],[Units]]&lt;&gt;"",tblFleet[[#This Row],[Available_h]]&gt;0),tblFleet[[#This Row],[Operating_h]]/tblFleet[[#This Row],[Available_h]],"")</f>
        <v/>
      </c>
    </row>
    <row r="2620">
      <c r="A2620" s="54" t="n"/>
      <c r="B2620" s="61" t="n"/>
      <c r="C2620" s="62" t="n"/>
      <c r="D2620" s="57" t="n"/>
      <c r="E2620" s="57" t="n"/>
      <c r="F2620" s="58" t="n"/>
      <c r="G2620" s="66">
        <f>IF(tblFleet[[#This Row],[Units]]="","",tblFleet[[#This Row],[Units]]*cfg_HoursPerDay)</f>
        <v/>
      </c>
      <c r="H2620" s="66">
        <f>IF(tblFleet[[#This Row],[Units]]="","",tblFleet[[#This Row],[Calendar_h]]-tblFleet[[#This Row],[Down_h]])</f>
        <v/>
      </c>
      <c r="I2620" s="60">
        <f>IF(AND(tblFleet[[#This Row],[Units]]&lt;&gt;"",tblFleet[[#This Row],[Calendar_h]]&gt;0),tblFleet[[#This Row],[Available_h]]/tblFleet[[#This Row],[Calendar_h]],"")</f>
        <v/>
      </c>
      <c r="J2620" s="60">
        <f>IF(AND(tblFleet[[#This Row],[Units]]&lt;&gt;"",tblFleet[[#This Row],[Available_h]]&gt;0),tblFleet[[#This Row],[Operating_h]]/tblFleet[[#This Row],[Available_h]],"")</f>
        <v/>
      </c>
    </row>
    <row r="2621">
      <c r="A2621" s="54" t="n"/>
      <c r="B2621" s="61" t="n"/>
      <c r="C2621" s="62" t="n"/>
      <c r="D2621" s="57" t="n"/>
      <c r="E2621" s="57" t="n"/>
      <c r="F2621" s="58" t="n"/>
      <c r="G2621" s="66">
        <f>IF(tblFleet[[#This Row],[Units]]="","",tblFleet[[#This Row],[Units]]*cfg_HoursPerDay)</f>
        <v/>
      </c>
      <c r="H2621" s="66">
        <f>IF(tblFleet[[#This Row],[Units]]="","",tblFleet[[#This Row],[Calendar_h]]-tblFleet[[#This Row],[Down_h]])</f>
        <v/>
      </c>
      <c r="I2621" s="60">
        <f>IF(AND(tblFleet[[#This Row],[Units]]&lt;&gt;"",tblFleet[[#This Row],[Calendar_h]]&gt;0),tblFleet[[#This Row],[Available_h]]/tblFleet[[#This Row],[Calendar_h]],"")</f>
        <v/>
      </c>
      <c r="J2621" s="60">
        <f>IF(AND(tblFleet[[#This Row],[Units]]&lt;&gt;"",tblFleet[[#This Row],[Available_h]]&gt;0),tblFleet[[#This Row],[Operating_h]]/tblFleet[[#This Row],[Available_h]],"")</f>
        <v/>
      </c>
    </row>
    <row r="2622">
      <c r="A2622" s="54" t="n"/>
      <c r="B2622" s="61" t="n"/>
      <c r="C2622" s="62" t="n"/>
      <c r="D2622" s="57" t="n"/>
      <c r="E2622" s="57" t="n"/>
      <c r="F2622" s="58" t="n"/>
      <c r="G2622" s="66">
        <f>IF(tblFleet[[#This Row],[Units]]="","",tblFleet[[#This Row],[Units]]*cfg_HoursPerDay)</f>
        <v/>
      </c>
      <c r="H2622" s="66">
        <f>IF(tblFleet[[#This Row],[Units]]="","",tblFleet[[#This Row],[Calendar_h]]-tblFleet[[#This Row],[Down_h]])</f>
        <v/>
      </c>
      <c r="I2622" s="60">
        <f>IF(AND(tblFleet[[#This Row],[Units]]&lt;&gt;"",tblFleet[[#This Row],[Calendar_h]]&gt;0),tblFleet[[#This Row],[Available_h]]/tblFleet[[#This Row],[Calendar_h]],"")</f>
        <v/>
      </c>
      <c r="J2622" s="60">
        <f>IF(AND(tblFleet[[#This Row],[Units]]&lt;&gt;"",tblFleet[[#This Row],[Available_h]]&gt;0),tblFleet[[#This Row],[Operating_h]]/tblFleet[[#This Row],[Available_h]],"")</f>
        <v/>
      </c>
    </row>
    <row r="2623">
      <c r="A2623" s="54" t="n"/>
      <c r="B2623" s="61" t="n"/>
      <c r="C2623" s="62" t="n"/>
      <c r="D2623" s="57" t="n"/>
      <c r="E2623" s="57" t="n"/>
      <c r="F2623" s="58" t="n"/>
      <c r="G2623" s="66">
        <f>IF(tblFleet[[#This Row],[Units]]="","",tblFleet[[#This Row],[Units]]*cfg_HoursPerDay)</f>
        <v/>
      </c>
      <c r="H2623" s="66">
        <f>IF(tblFleet[[#This Row],[Units]]="","",tblFleet[[#This Row],[Calendar_h]]-tblFleet[[#This Row],[Down_h]])</f>
        <v/>
      </c>
      <c r="I2623" s="60">
        <f>IF(AND(tblFleet[[#This Row],[Units]]&lt;&gt;"",tblFleet[[#This Row],[Calendar_h]]&gt;0),tblFleet[[#This Row],[Available_h]]/tblFleet[[#This Row],[Calendar_h]],"")</f>
        <v/>
      </c>
      <c r="J2623" s="60">
        <f>IF(AND(tblFleet[[#This Row],[Units]]&lt;&gt;"",tblFleet[[#This Row],[Available_h]]&gt;0),tblFleet[[#This Row],[Operating_h]]/tblFleet[[#This Row],[Available_h]],"")</f>
        <v/>
      </c>
    </row>
    <row r="2624">
      <c r="A2624" s="54" t="n"/>
      <c r="B2624" s="61" t="n"/>
      <c r="C2624" s="62" t="n"/>
      <c r="D2624" s="57" t="n"/>
      <c r="E2624" s="57" t="n"/>
      <c r="F2624" s="58" t="n"/>
      <c r="G2624" s="66">
        <f>IF(tblFleet[[#This Row],[Units]]="","",tblFleet[[#This Row],[Units]]*cfg_HoursPerDay)</f>
        <v/>
      </c>
      <c r="H2624" s="66">
        <f>IF(tblFleet[[#This Row],[Units]]="","",tblFleet[[#This Row],[Calendar_h]]-tblFleet[[#This Row],[Down_h]])</f>
        <v/>
      </c>
      <c r="I2624" s="60">
        <f>IF(AND(tblFleet[[#This Row],[Units]]&lt;&gt;"",tblFleet[[#This Row],[Calendar_h]]&gt;0),tblFleet[[#This Row],[Available_h]]/tblFleet[[#This Row],[Calendar_h]],"")</f>
        <v/>
      </c>
      <c r="J2624" s="60">
        <f>IF(AND(tblFleet[[#This Row],[Units]]&lt;&gt;"",tblFleet[[#This Row],[Available_h]]&gt;0),tblFleet[[#This Row],[Operating_h]]/tblFleet[[#This Row],[Available_h]],"")</f>
        <v/>
      </c>
    </row>
    <row r="2625">
      <c r="A2625" s="54" t="n"/>
      <c r="B2625" s="61" t="n"/>
      <c r="C2625" s="62" t="n"/>
      <c r="D2625" s="57" t="n"/>
      <c r="E2625" s="57" t="n"/>
      <c r="F2625" s="58" t="n"/>
      <c r="G2625" s="66">
        <f>IF(tblFleet[[#This Row],[Units]]="","",tblFleet[[#This Row],[Units]]*cfg_HoursPerDay)</f>
        <v/>
      </c>
      <c r="H2625" s="66">
        <f>IF(tblFleet[[#This Row],[Units]]="","",tblFleet[[#This Row],[Calendar_h]]-tblFleet[[#This Row],[Down_h]])</f>
        <v/>
      </c>
      <c r="I2625" s="60">
        <f>IF(AND(tblFleet[[#This Row],[Units]]&lt;&gt;"",tblFleet[[#This Row],[Calendar_h]]&gt;0),tblFleet[[#This Row],[Available_h]]/tblFleet[[#This Row],[Calendar_h]],"")</f>
        <v/>
      </c>
      <c r="J2625" s="60">
        <f>IF(AND(tblFleet[[#This Row],[Units]]&lt;&gt;"",tblFleet[[#This Row],[Available_h]]&gt;0),tblFleet[[#This Row],[Operating_h]]/tblFleet[[#This Row],[Available_h]],"")</f>
        <v/>
      </c>
    </row>
    <row r="2626">
      <c r="A2626" s="54" t="n"/>
      <c r="B2626" s="61" t="n"/>
      <c r="C2626" s="62" t="n"/>
      <c r="D2626" s="57" t="n"/>
      <c r="E2626" s="57" t="n"/>
      <c r="F2626" s="58" t="n"/>
      <c r="G2626" s="66">
        <f>IF(tblFleet[[#This Row],[Units]]="","",tblFleet[[#This Row],[Units]]*cfg_HoursPerDay)</f>
        <v/>
      </c>
      <c r="H2626" s="66">
        <f>IF(tblFleet[[#This Row],[Units]]="","",tblFleet[[#This Row],[Calendar_h]]-tblFleet[[#This Row],[Down_h]])</f>
        <v/>
      </c>
      <c r="I2626" s="60">
        <f>IF(AND(tblFleet[[#This Row],[Units]]&lt;&gt;"",tblFleet[[#This Row],[Calendar_h]]&gt;0),tblFleet[[#This Row],[Available_h]]/tblFleet[[#This Row],[Calendar_h]],"")</f>
        <v/>
      </c>
      <c r="J2626" s="60">
        <f>IF(AND(tblFleet[[#This Row],[Units]]&lt;&gt;"",tblFleet[[#This Row],[Available_h]]&gt;0),tblFleet[[#This Row],[Operating_h]]/tblFleet[[#This Row],[Available_h]],"")</f>
        <v/>
      </c>
    </row>
    <row r="2627">
      <c r="A2627" s="54" t="n"/>
      <c r="B2627" s="61" t="n"/>
      <c r="C2627" s="62" t="n"/>
      <c r="D2627" s="57" t="n"/>
      <c r="E2627" s="57" t="n"/>
      <c r="F2627" s="58" t="n"/>
      <c r="G2627" s="66">
        <f>IF(tblFleet[[#This Row],[Units]]="","",tblFleet[[#This Row],[Units]]*cfg_HoursPerDay)</f>
        <v/>
      </c>
      <c r="H2627" s="66">
        <f>IF(tblFleet[[#This Row],[Units]]="","",tblFleet[[#This Row],[Calendar_h]]-tblFleet[[#This Row],[Down_h]])</f>
        <v/>
      </c>
      <c r="I2627" s="60">
        <f>IF(AND(tblFleet[[#This Row],[Units]]&lt;&gt;"",tblFleet[[#This Row],[Calendar_h]]&gt;0),tblFleet[[#This Row],[Available_h]]/tblFleet[[#This Row],[Calendar_h]],"")</f>
        <v/>
      </c>
      <c r="J2627" s="60">
        <f>IF(AND(tblFleet[[#This Row],[Units]]&lt;&gt;"",tblFleet[[#This Row],[Available_h]]&gt;0),tblFleet[[#This Row],[Operating_h]]/tblFleet[[#This Row],[Available_h]],"")</f>
        <v/>
      </c>
    </row>
    <row r="2628">
      <c r="A2628" s="54" t="n"/>
      <c r="B2628" s="61" t="n"/>
      <c r="C2628" s="62" t="n"/>
      <c r="D2628" s="57" t="n"/>
      <c r="E2628" s="57" t="n"/>
      <c r="F2628" s="58" t="n"/>
      <c r="G2628" s="66">
        <f>IF(tblFleet[[#This Row],[Units]]="","",tblFleet[[#This Row],[Units]]*cfg_HoursPerDay)</f>
        <v/>
      </c>
      <c r="H2628" s="66">
        <f>IF(tblFleet[[#This Row],[Units]]="","",tblFleet[[#This Row],[Calendar_h]]-tblFleet[[#This Row],[Down_h]])</f>
        <v/>
      </c>
      <c r="I2628" s="60">
        <f>IF(AND(tblFleet[[#This Row],[Units]]&lt;&gt;"",tblFleet[[#This Row],[Calendar_h]]&gt;0),tblFleet[[#This Row],[Available_h]]/tblFleet[[#This Row],[Calendar_h]],"")</f>
        <v/>
      </c>
      <c r="J2628" s="60">
        <f>IF(AND(tblFleet[[#This Row],[Units]]&lt;&gt;"",tblFleet[[#This Row],[Available_h]]&gt;0),tblFleet[[#This Row],[Operating_h]]/tblFleet[[#This Row],[Available_h]],"")</f>
        <v/>
      </c>
    </row>
    <row r="2629">
      <c r="A2629" s="54" t="n"/>
      <c r="B2629" s="61" t="n"/>
      <c r="C2629" s="62" t="n"/>
      <c r="D2629" s="57" t="n"/>
      <c r="E2629" s="57" t="n"/>
      <c r="F2629" s="58" t="n"/>
      <c r="G2629" s="66">
        <f>IF(tblFleet[[#This Row],[Units]]="","",tblFleet[[#This Row],[Units]]*cfg_HoursPerDay)</f>
        <v/>
      </c>
      <c r="H2629" s="66">
        <f>IF(tblFleet[[#This Row],[Units]]="","",tblFleet[[#This Row],[Calendar_h]]-tblFleet[[#This Row],[Down_h]])</f>
        <v/>
      </c>
      <c r="I2629" s="60">
        <f>IF(AND(tblFleet[[#This Row],[Units]]&lt;&gt;"",tblFleet[[#This Row],[Calendar_h]]&gt;0),tblFleet[[#This Row],[Available_h]]/tblFleet[[#This Row],[Calendar_h]],"")</f>
        <v/>
      </c>
      <c r="J2629" s="60">
        <f>IF(AND(tblFleet[[#This Row],[Units]]&lt;&gt;"",tblFleet[[#This Row],[Available_h]]&gt;0),tblFleet[[#This Row],[Operating_h]]/tblFleet[[#This Row],[Available_h]],"")</f>
        <v/>
      </c>
    </row>
    <row r="2630">
      <c r="A2630" s="54" t="n"/>
      <c r="B2630" s="61" t="n"/>
      <c r="C2630" s="62" t="n"/>
      <c r="D2630" s="57" t="n"/>
      <c r="E2630" s="57" t="n"/>
      <c r="F2630" s="58" t="n"/>
      <c r="G2630" s="66">
        <f>IF(tblFleet[[#This Row],[Units]]="","",tblFleet[[#This Row],[Units]]*cfg_HoursPerDay)</f>
        <v/>
      </c>
      <c r="H2630" s="66">
        <f>IF(tblFleet[[#This Row],[Units]]="","",tblFleet[[#This Row],[Calendar_h]]-tblFleet[[#This Row],[Down_h]])</f>
        <v/>
      </c>
      <c r="I2630" s="60">
        <f>IF(AND(tblFleet[[#This Row],[Units]]&lt;&gt;"",tblFleet[[#This Row],[Calendar_h]]&gt;0),tblFleet[[#This Row],[Available_h]]/tblFleet[[#This Row],[Calendar_h]],"")</f>
        <v/>
      </c>
      <c r="J2630" s="60">
        <f>IF(AND(tblFleet[[#This Row],[Units]]&lt;&gt;"",tblFleet[[#This Row],[Available_h]]&gt;0),tblFleet[[#This Row],[Operating_h]]/tblFleet[[#This Row],[Available_h]],"")</f>
        <v/>
      </c>
    </row>
    <row r="2631">
      <c r="A2631" s="54" t="n"/>
      <c r="B2631" s="61" t="n"/>
      <c r="C2631" s="62" t="n"/>
      <c r="D2631" s="57" t="n"/>
      <c r="E2631" s="57" t="n"/>
      <c r="F2631" s="58" t="n"/>
      <c r="G2631" s="66">
        <f>IF(tblFleet[[#This Row],[Units]]="","",tblFleet[[#This Row],[Units]]*cfg_HoursPerDay)</f>
        <v/>
      </c>
      <c r="H2631" s="66">
        <f>IF(tblFleet[[#This Row],[Units]]="","",tblFleet[[#This Row],[Calendar_h]]-tblFleet[[#This Row],[Down_h]])</f>
        <v/>
      </c>
      <c r="I2631" s="60">
        <f>IF(AND(tblFleet[[#This Row],[Units]]&lt;&gt;"",tblFleet[[#This Row],[Calendar_h]]&gt;0),tblFleet[[#This Row],[Available_h]]/tblFleet[[#This Row],[Calendar_h]],"")</f>
        <v/>
      </c>
      <c r="J2631" s="60">
        <f>IF(AND(tblFleet[[#This Row],[Units]]&lt;&gt;"",tblFleet[[#This Row],[Available_h]]&gt;0),tblFleet[[#This Row],[Operating_h]]/tblFleet[[#This Row],[Available_h]],"")</f>
        <v/>
      </c>
    </row>
    <row r="2632">
      <c r="A2632" s="54" t="n"/>
      <c r="B2632" s="61" t="n"/>
      <c r="C2632" s="62" t="n"/>
      <c r="D2632" s="57" t="n"/>
      <c r="E2632" s="57" t="n"/>
      <c r="F2632" s="58" t="n"/>
      <c r="G2632" s="66">
        <f>IF(tblFleet[[#This Row],[Units]]="","",tblFleet[[#This Row],[Units]]*cfg_HoursPerDay)</f>
        <v/>
      </c>
      <c r="H2632" s="66">
        <f>IF(tblFleet[[#This Row],[Units]]="","",tblFleet[[#This Row],[Calendar_h]]-tblFleet[[#This Row],[Down_h]])</f>
        <v/>
      </c>
      <c r="I2632" s="60">
        <f>IF(AND(tblFleet[[#This Row],[Units]]&lt;&gt;"",tblFleet[[#This Row],[Calendar_h]]&gt;0),tblFleet[[#This Row],[Available_h]]/tblFleet[[#This Row],[Calendar_h]],"")</f>
        <v/>
      </c>
      <c r="J2632" s="60">
        <f>IF(AND(tblFleet[[#This Row],[Units]]&lt;&gt;"",tblFleet[[#This Row],[Available_h]]&gt;0),tblFleet[[#This Row],[Operating_h]]/tblFleet[[#This Row],[Available_h]],"")</f>
        <v/>
      </c>
    </row>
    <row r="2633">
      <c r="A2633" s="54" t="n"/>
      <c r="B2633" s="61" t="n"/>
      <c r="C2633" s="62" t="n"/>
      <c r="D2633" s="57" t="n"/>
      <c r="E2633" s="57" t="n"/>
      <c r="F2633" s="58" t="n"/>
      <c r="G2633" s="66">
        <f>IF(tblFleet[[#This Row],[Units]]="","",tblFleet[[#This Row],[Units]]*cfg_HoursPerDay)</f>
        <v/>
      </c>
      <c r="H2633" s="66">
        <f>IF(tblFleet[[#This Row],[Units]]="","",tblFleet[[#This Row],[Calendar_h]]-tblFleet[[#This Row],[Down_h]])</f>
        <v/>
      </c>
      <c r="I2633" s="60">
        <f>IF(AND(tblFleet[[#This Row],[Units]]&lt;&gt;"",tblFleet[[#This Row],[Calendar_h]]&gt;0),tblFleet[[#This Row],[Available_h]]/tblFleet[[#This Row],[Calendar_h]],"")</f>
        <v/>
      </c>
      <c r="J2633" s="60">
        <f>IF(AND(tblFleet[[#This Row],[Units]]&lt;&gt;"",tblFleet[[#This Row],[Available_h]]&gt;0),tblFleet[[#This Row],[Operating_h]]/tblFleet[[#This Row],[Available_h]],"")</f>
        <v/>
      </c>
    </row>
    <row r="2634">
      <c r="A2634" s="54" t="n"/>
      <c r="B2634" s="61" t="n"/>
      <c r="C2634" s="62" t="n"/>
      <c r="D2634" s="57" t="n"/>
      <c r="E2634" s="57" t="n"/>
      <c r="F2634" s="58" t="n"/>
      <c r="G2634" s="66">
        <f>IF(tblFleet[[#This Row],[Units]]="","",tblFleet[[#This Row],[Units]]*cfg_HoursPerDay)</f>
        <v/>
      </c>
      <c r="H2634" s="66">
        <f>IF(tblFleet[[#This Row],[Units]]="","",tblFleet[[#This Row],[Calendar_h]]-tblFleet[[#This Row],[Down_h]])</f>
        <v/>
      </c>
      <c r="I2634" s="60">
        <f>IF(AND(tblFleet[[#This Row],[Units]]&lt;&gt;"",tblFleet[[#This Row],[Calendar_h]]&gt;0),tblFleet[[#This Row],[Available_h]]/tblFleet[[#This Row],[Calendar_h]],"")</f>
        <v/>
      </c>
      <c r="J2634" s="60">
        <f>IF(AND(tblFleet[[#This Row],[Units]]&lt;&gt;"",tblFleet[[#This Row],[Available_h]]&gt;0),tblFleet[[#This Row],[Operating_h]]/tblFleet[[#This Row],[Available_h]],"")</f>
        <v/>
      </c>
    </row>
    <row r="2635">
      <c r="A2635" s="54" t="n"/>
      <c r="B2635" s="61" t="n"/>
      <c r="C2635" s="62" t="n"/>
      <c r="D2635" s="57" t="n"/>
      <c r="E2635" s="57" t="n"/>
      <c r="F2635" s="58" t="n"/>
      <c r="G2635" s="66">
        <f>IF(tblFleet[[#This Row],[Units]]="","",tblFleet[[#This Row],[Units]]*cfg_HoursPerDay)</f>
        <v/>
      </c>
      <c r="H2635" s="66">
        <f>IF(tblFleet[[#This Row],[Units]]="","",tblFleet[[#This Row],[Calendar_h]]-tblFleet[[#This Row],[Down_h]])</f>
        <v/>
      </c>
      <c r="I2635" s="60">
        <f>IF(AND(tblFleet[[#This Row],[Units]]&lt;&gt;"",tblFleet[[#This Row],[Calendar_h]]&gt;0),tblFleet[[#This Row],[Available_h]]/tblFleet[[#This Row],[Calendar_h]],"")</f>
        <v/>
      </c>
      <c r="J2635" s="60">
        <f>IF(AND(tblFleet[[#This Row],[Units]]&lt;&gt;"",tblFleet[[#This Row],[Available_h]]&gt;0),tblFleet[[#This Row],[Operating_h]]/tblFleet[[#This Row],[Available_h]],"")</f>
        <v/>
      </c>
    </row>
    <row r="2636">
      <c r="A2636" s="54" t="n"/>
      <c r="B2636" s="61" t="n"/>
      <c r="C2636" s="62" t="n"/>
      <c r="D2636" s="57" t="n"/>
      <c r="E2636" s="57" t="n"/>
      <c r="F2636" s="58" t="n"/>
      <c r="G2636" s="66">
        <f>IF(tblFleet[[#This Row],[Units]]="","",tblFleet[[#This Row],[Units]]*cfg_HoursPerDay)</f>
        <v/>
      </c>
      <c r="H2636" s="66">
        <f>IF(tblFleet[[#This Row],[Units]]="","",tblFleet[[#This Row],[Calendar_h]]-tblFleet[[#This Row],[Down_h]])</f>
        <v/>
      </c>
      <c r="I2636" s="60">
        <f>IF(AND(tblFleet[[#This Row],[Units]]&lt;&gt;"",tblFleet[[#This Row],[Calendar_h]]&gt;0),tblFleet[[#This Row],[Available_h]]/tblFleet[[#This Row],[Calendar_h]],"")</f>
        <v/>
      </c>
      <c r="J2636" s="60">
        <f>IF(AND(tblFleet[[#This Row],[Units]]&lt;&gt;"",tblFleet[[#This Row],[Available_h]]&gt;0),tblFleet[[#This Row],[Operating_h]]/tblFleet[[#This Row],[Available_h]],"")</f>
        <v/>
      </c>
    </row>
    <row r="2637">
      <c r="A2637" s="54" t="n"/>
      <c r="B2637" s="61" t="n"/>
      <c r="C2637" s="62" t="n"/>
      <c r="D2637" s="57" t="n"/>
      <c r="E2637" s="57" t="n"/>
      <c r="F2637" s="58" t="n"/>
      <c r="G2637" s="66">
        <f>IF(tblFleet[[#This Row],[Units]]="","",tblFleet[[#This Row],[Units]]*cfg_HoursPerDay)</f>
        <v/>
      </c>
      <c r="H2637" s="66">
        <f>IF(tblFleet[[#This Row],[Units]]="","",tblFleet[[#This Row],[Calendar_h]]-tblFleet[[#This Row],[Down_h]])</f>
        <v/>
      </c>
      <c r="I2637" s="60">
        <f>IF(AND(tblFleet[[#This Row],[Units]]&lt;&gt;"",tblFleet[[#This Row],[Calendar_h]]&gt;0),tblFleet[[#This Row],[Available_h]]/tblFleet[[#This Row],[Calendar_h]],"")</f>
        <v/>
      </c>
      <c r="J2637" s="60">
        <f>IF(AND(tblFleet[[#This Row],[Units]]&lt;&gt;"",tblFleet[[#This Row],[Available_h]]&gt;0),tblFleet[[#This Row],[Operating_h]]/tblFleet[[#This Row],[Available_h]],"")</f>
        <v/>
      </c>
    </row>
    <row r="2638">
      <c r="A2638" s="54" t="n"/>
      <c r="B2638" s="61" t="n"/>
      <c r="C2638" s="62" t="n"/>
      <c r="D2638" s="57" t="n"/>
      <c r="E2638" s="57" t="n"/>
      <c r="F2638" s="58" t="n"/>
      <c r="G2638" s="66">
        <f>IF(tblFleet[[#This Row],[Units]]="","",tblFleet[[#This Row],[Units]]*cfg_HoursPerDay)</f>
        <v/>
      </c>
      <c r="H2638" s="66">
        <f>IF(tblFleet[[#This Row],[Units]]="","",tblFleet[[#This Row],[Calendar_h]]-tblFleet[[#This Row],[Down_h]])</f>
        <v/>
      </c>
      <c r="I2638" s="60">
        <f>IF(AND(tblFleet[[#This Row],[Units]]&lt;&gt;"",tblFleet[[#This Row],[Calendar_h]]&gt;0),tblFleet[[#This Row],[Available_h]]/tblFleet[[#This Row],[Calendar_h]],"")</f>
        <v/>
      </c>
      <c r="J2638" s="60">
        <f>IF(AND(tblFleet[[#This Row],[Units]]&lt;&gt;"",tblFleet[[#This Row],[Available_h]]&gt;0),tblFleet[[#This Row],[Operating_h]]/tblFleet[[#This Row],[Available_h]],"")</f>
        <v/>
      </c>
    </row>
    <row r="2639">
      <c r="A2639" s="54" t="n"/>
      <c r="B2639" s="61" t="n"/>
      <c r="C2639" s="62" t="n"/>
      <c r="D2639" s="57" t="n"/>
      <c r="E2639" s="57" t="n"/>
      <c r="F2639" s="58" t="n"/>
      <c r="G2639" s="66">
        <f>IF(tblFleet[[#This Row],[Units]]="","",tblFleet[[#This Row],[Units]]*cfg_HoursPerDay)</f>
        <v/>
      </c>
      <c r="H2639" s="66">
        <f>IF(tblFleet[[#This Row],[Units]]="","",tblFleet[[#This Row],[Calendar_h]]-tblFleet[[#This Row],[Down_h]])</f>
        <v/>
      </c>
      <c r="I2639" s="60">
        <f>IF(AND(tblFleet[[#This Row],[Units]]&lt;&gt;"",tblFleet[[#This Row],[Calendar_h]]&gt;0),tblFleet[[#This Row],[Available_h]]/tblFleet[[#This Row],[Calendar_h]],"")</f>
        <v/>
      </c>
      <c r="J2639" s="60">
        <f>IF(AND(tblFleet[[#This Row],[Units]]&lt;&gt;"",tblFleet[[#This Row],[Available_h]]&gt;0),tblFleet[[#This Row],[Operating_h]]/tblFleet[[#This Row],[Available_h]],"")</f>
        <v/>
      </c>
    </row>
    <row r="2640">
      <c r="A2640" s="54" t="n"/>
      <c r="B2640" s="61" t="n"/>
      <c r="C2640" s="62" t="n"/>
      <c r="D2640" s="57" t="n"/>
      <c r="E2640" s="57" t="n"/>
      <c r="F2640" s="58" t="n"/>
      <c r="G2640" s="66">
        <f>IF(tblFleet[[#This Row],[Units]]="","",tblFleet[[#This Row],[Units]]*cfg_HoursPerDay)</f>
        <v/>
      </c>
      <c r="H2640" s="66">
        <f>IF(tblFleet[[#This Row],[Units]]="","",tblFleet[[#This Row],[Calendar_h]]-tblFleet[[#This Row],[Down_h]])</f>
        <v/>
      </c>
      <c r="I2640" s="60">
        <f>IF(AND(tblFleet[[#This Row],[Units]]&lt;&gt;"",tblFleet[[#This Row],[Calendar_h]]&gt;0),tblFleet[[#This Row],[Available_h]]/tblFleet[[#This Row],[Calendar_h]],"")</f>
        <v/>
      </c>
      <c r="J2640" s="60">
        <f>IF(AND(tblFleet[[#This Row],[Units]]&lt;&gt;"",tblFleet[[#This Row],[Available_h]]&gt;0),tblFleet[[#This Row],[Operating_h]]/tblFleet[[#This Row],[Available_h]],"")</f>
        <v/>
      </c>
    </row>
    <row r="2641">
      <c r="A2641" s="54" t="n"/>
      <c r="B2641" s="61" t="n"/>
      <c r="C2641" s="62" t="n"/>
      <c r="D2641" s="57" t="n"/>
      <c r="E2641" s="57" t="n"/>
      <c r="F2641" s="58" t="n"/>
      <c r="G2641" s="66">
        <f>IF(tblFleet[[#This Row],[Units]]="","",tblFleet[[#This Row],[Units]]*cfg_HoursPerDay)</f>
        <v/>
      </c>
      <c r="H2641" s="66">
        <f>IF(tblFleet[[#This Row],[Units]]="","",tblFleet[[#This Row],[Calendar_h]]-tblFleet[[#This Row],[Down_h]])</f>
        <v/>
      </c>
      <c r="I2641" s="60">
        <f>IF(AND(tblFleet[[#This Row],[Units]]&lt;&gt;"",tblFleet[[#This Row],[Calendar_h]]&gt;0),tblFleet[[#This Row],[Available_h]]/tblFleet[[#This Row],[Calendar_h]],"")</f>
        <v/>
      </c>
      <c r="J2641" s="60">
        <f>IF(AND(tblFleet[[#This Row],[Units]]&lt;&gt;"",tblFleet[[#This Row],[Available_h]]&gt;0),tblFleet[[#This Row],[Operating_h]]/tblFleet[[#This Row],[Available_h]],"")</f>
        <v/>
      </c>
    </row>
    <row r="2642">
      <c r="A2642" s="54" t="n"/>
      <c r="B2642" s="61" t="n"/>
      <c r="C2642" s="62" t="n"/>
      <c r="D2642" s="57" t="n"/>
      <c r="E2642" s="57" t="n"/>
      <c r="F2642" s="58" t="n"/>
      <c r="G2642" s="66">
        <f>IF(tblFleet[[#This Row],[Units]]="","",tblFleet[[#This Row],[Units]]*cfg_HoursPerDay)</f>
        <v/>
      </c>
      <c r="H2642" s="66">
        <f>IF(tblFleet[[#This Row],[Units]]="","",tblFleet[[#This Row],[Calendar_h]]-tblFleet[[#This Row],[Down_h]])</f>
        <v/>
      </c>
      <c r="I2642" s="60">
        <f>IF(AND(tblFleet[[#This Row],[Units]]&lt;&gt;"",tblFleet[[#This Row],[Calendar_h]]&gt;0),tblFleet[[#This Row],[Available_h]]/tblFleet[[#This Row],[Calendar_h]],"")</f>
        <v/>
      </c>
      <c r="J2642" s="60">
        <f>IF(AND(tblFleet[[#This Row],[Units]]&lt;&gt;"",tblFleet[[#This Row],[Available_h]]&gt;0),tblFleet[[#This Row],[Operating_h]]/tblFleet[[#This Row],[Available_h]],"")</f>
        <v/>
      </c>
    </row>
    <row r="2643">
      <c r="A2643" s="54" t="n"/>
      <c r="B2643" s="61" t="n"/>
      <c r="C2643" s="62" t="n"/>
      <c r="D2643" s="57" t="n"/>
      <c r="E2643" s="57" t="n"/>
      <c r="F2643" s="58" t="n"/>
      <c r="G2643" s="66">
        <f>IF(tblFleet[[#This Row],[Units]]="","",tblFleet[[#This Row],[Units]]*cfg_HoursPerDay)</f>
        <v/>
      </c>
      <c r="H2643" s="66">
        <f>IF(tblFleet[[#This Row],[Units]]="","",tblFleet[[#This Row],[Calendar_h]]-tblFleet[[#This Row],[Down_h]])</f>
        <v/>
      </c>
      <c r="I2643" s="60">
        <f>IF(AND(tblFleet[[#This Row],[Units]]&lt;&gt;"",tblFleet[[#This Row],[Calendar_h]]&gt;0),tblFleet[[#This Row],[Available_h]]/tblFleet[[#This Row],[Calendar_h]],"")</f>
        <v/>
      </c>
      <c r="J2643" s="60">
        <f>IF(AND(tblFleet[[#This Row],[Units]]&lt;&gt;"",tblFleet[[#This Row],[Available_h]]&gt;0),tblFleet[[#This Row],[Operating_h]]/tblFleet[[#This Row],[Available_h]],"")</f>
        <v/>
      </c>
    </row>
    <row r="2644">
      <c r="A2644" s="54" t="n"/>
      <c r="B2644" s="61" t="n"/>
      <c r="C2644" s="62" t="n"/>
      <c r="D2644" s="57" t="n"/>
      <c r="E2644" s="57" t="n"/>
      <c r="F2644" s="58" t="n"/>
      <c r="G2644" s="66">
        <f>IF(tblFleet[[#This Row],[Units]]="","",tblFleet[[#This Row],[Units]]*cfg_HoursPerDay)</f>
        <v/>
      </c>
      <c r="H2644" s="66">
        <f>IF(tblFleet[[#This Row],[Units]]="","",tblFleet[[#This Row],[Calendar_h]]-tblFleet[[#This Row],[Down_h]])</f>
        <v/>
      </c>
      <c r="I2644" s="60">
        <f>IF(AND(tblFleet[[#This Row],[Units]]&lt;&gt;"",tblFleet[[#This Row],[Calendar_h]]&gt;0),tblFleet[[#This Row],[Available_h]]/tblFleet[[#This Row],[Calendar_h]],"")</f>
        <v/>
      </c>
      <c r="J2644" s="60">
        <f>IF(AND(tblFleet[[#This Row],[Units]]&lt;&gt;"",tblFleet[[#This Row],[Available_h]]&gt;0),tblFleet[[#This Row],[Operating_h]]/tblFleet[[#This Row],[Available_h]],"")</f>
        <v/>
      </c>
    </row>
    <row r="2645">
      <c r="A2645" s="54" t="n"/>
      <c r="B2645" s="61" t="n"/>
      <c r="C2645" s="62" t="n"/>
      <c r="D2645" s="57" t="n"/>
      <c r="E2645" s="57" t="n"/>
      <c r="F2645" s="58" t="n"/>
      <c r="G2645" s="66">
        <f>IF(tblFleet[[#This Row],[Units]]="","",tblFleet[[#This Row],[Units]]*cfg_HoursPerDay)</f>
        <v/>
      </c>
      <c r="H2645" s="66">
        <f>IF(tblFleet[[#This Row],[Units]]="","",tblFleet[[#This Row],[Calendar_h]]-tblFleet[[#This Row],[Down_h]])</f>
        <v/>
      </c>
      <c r="I2645" s="60">
        <f>IF(AND(tblFleet[[#This Row],[Units]]&lt;&gt;"",tblFleet[[#This Row],[Calendar_h]]&gt;0),tblFleet[[#This Row],[Available_h]]/tblFleet[[#This Row],[Calendar_h]],"")</f>
        <v/>
      </c>
      <c r="J2645" s="60">
        <f>IF(AND(tblFleet[[#This Row],[Units]]&lt;&gt;"",tblFleet[[#This Row],[Available_h]]&gt;0),tblFleet[[#This Row],[Operating_h]]/tblFleet[[#This Row],[Available_h]],"")</f>
        <v/>
      </c>
    </row>
    <row r="2646">
      <c r="A2646" s="54" t="n"/>
      <c r="B2646" s="61" t="n"/>
      <c r="C2646" s="62" t="n"/>
      <c r="D2646" s="57" t="n"/>
      <c r="E2646" s="57" t="n"/>
      <c r="F2646" s="58" t="n"/>
      <c r="G2646" s="66">
        <f>IF(tblFleet[[#This Row],[Units]]="","",tblFleet[[#This Row],[Units]]*cfg_HoursPerDay)</f>
        <v/>
      </c>
      <c r="H2646" s="66">
        <f>IF(tblFleet[[#This Row],[Units]]="","",tblFleet[[#This Row],[Calendar_h]]-tblFleet[[#This Row],[Down_h]])</f>
        <v/>
      </c>
      <c r="I2646" s="60">
        <f>IF(AND(tblFleet[[#This Row],[Units]]&lt;&gt;"",tblFleet[[#This Row],[Calendar_h]]&gt;0),tblFleet[[#This Row],[Available_h]]/tblFleet[[#This Row],[Calendar_h]],"")</f>
        <v/>
      </c>
      <c r="J2646" s="60">
        <f>IF(AND(tblFleet[[#This Row],[Units]]&lt;&gt;"",tblFleet[[#This Row],[Available_h]]&gt;0),tblFleet[[#This Row],[Operating_h]]/tblFleet[[#This Row],[Available_h]],"")</f>
        <v/>
      </c>
    </row>
    <row r="2647">
      <c r="A2647" s="54" t="n"/>
      <c r="B2647" s="61" t="n"/>
      <c r="C2647" s="62" t="n"/>
      <c r="D2647" s="57" t="n"/>
      <c r="E2647" s="57" t="n"/>
      <c r="F2647" s="58" t="n"/>
      <c r="G2647" s="66">
        <f>IF(tblFleet[[#This Row],[Units]]="","",tblFleet[[#This Row],[Units]]*cfg_HoursPerDay)</f>
        <v/>
      </c>
      <c r="H2647" s="66">
        <f>IF(tblFleet[[#This Row],[Units]]="","",tblFleet[[#This Row],[Calendar_h]]-tblFleet[[#This Row],[Down_h]])</f>
        <v/>
      </c>
      <c r="I2647" s="60">
        <f>IF(AND(tblFleet[[#This Row],[Units]]&lt;&gt;"",tblFleet[[#This Row],[Calendar_h]]&gt;0),tblFleet[[#This Row],[Available_h]]/tblFleet[[#This Row],[Calendar_h]],"")</f>
        <v/>
      </c>
      <c r="J2647" s="60">
        <f>IF(AND(tblFleet[[#This Row],[Units]]&lt;&gt;"",tblFleet[[#This Row],[Available_h]]&gt;0),tblFleet[[#This Row],[Operating_h]]/tblFleet[[#This Row],[Available_h]],"")</f>
        <v/>
      </c>
    </row>
    <row r="2648">
      <c r="A2648" s="54" t="n"/>
      <c r="B2648" s="61" t="n"/>
      <c r="C2648" s="62" t="n"/>
      <c r="D2648" s="57" t="n"/>
      <c r="E2648" s="57" t="n"/>
      <c r="F2648" s="58" t="n"/>
      <c r="G2648" s="66">
        <f>IF(tblFleet[[#This Row],[Units]]="","",tblFleet[[#This Row],[Units]]*cfg_HoursPerDay)</f>
        <v/>
      </c>
      <c r="H2648" s="66">
        <f>IF(tblFleet[[#This Row],[Units]]="","",tblFleet[[#This Row],[Calendar_h]]-tblFleet[[#This Row],[Down_h]])</f>
        <v/>
      </c>
      <c r="I2648" s="60">
        <f>IF(AND(tblFleet[[#This Row],[Units]]&lt;&gt;"",tblFleet[[#This Row],[Calendar_h]]&gt;0),tblFleet[[#This Row],[Available_h]]/tblFleet[[#This Row],[Calendar_h]],"")</f>
        <v/>
      </c>
      <c r="J2648" s="60">
        <f>IF(AND(tblFleet[[#This Row],[Units]]&lt;&gt;"",tblFleet[[#This Row],[Available_h]]&gt;0),tblFleet[[#This Row],[Operating_h]]/tblFleet[[#This Row],[Available_h]],"")</f>
        <v/>
      </c>
    </row>
    <row r="2649">
      <c r="A2649" s="54" t="n"/>
      <c r="B2649" s="61" t="n"/>
      <c r="C2649" s="62" t="n"/>
      <c r="D2649" s="57" t="n"/>
      <c r="E2649" s="57" t="n"/>
      <c r="F2649" s="58" t="n"/>
      <c r="G2649" s="66">
        <f>IF(tblFleet[[#This Row],[Units]]="","",tblFleet[[#This Row],[Units]]*cfg_HoursPerDay)</f>
        <v/>
      </c>
      <c r="H2649" s="66">
        <f>IF(tblFleet[[#This Row],[Units]]="","",tblFleet[[#This Row],[Calendar_h]]-tblFleet[[#This Row],[Down_h]])</f>
        <v/>
      </c>
      <c r="I2649" s="60">
        <f>IF(AND(tblFleet[[#This Row],[Units]]&lt;&gt;"",tblFleet[[#This Row],[Calendar_h]]&gt;0),tblFleet[[#This Row],[Available_h]]/tblFleet[[#This Row],[Calendar_h]],"")</f>
        <v/>
      </c>
      <c r="J2649" s="60">
        <f>IF(AND(tblFleet[[#This Row],[Units]]&lt;&gt;"",tblFleet[[#This Row],[Available_h]]&gt;0),tblFleet[[#This Row],[Operating_h]]/tblFleet[[#This Row],[Available_h]],"")</f>
        <v/>
      </c>
    </row>
    <row r="2650">
      <c r="A2650" s="54" t="n"/>
      <c r="B2650" s="61" t="n"/>
      <c r="C2650" s="62" t="n"/>
      <c r="D2650" s="57" t="n"/>
      <c r="E2650" s="57" t="n"/>
      <c r="F2650" s="58" t="n"/>
      <c r="G2650" s="66">
        <f>IF(tblFleet[[#This Row],[Units]]="","",tblFleet[[#This Row],[Units]]*cfg_HoursPerDay)</f>
        <v/>
      </c>
      <c r="H2650" s="66">
        <f>IF(tblFleet[[#This Row],[Units]]="","",tblFleet[[#This Row],[Calendar_h]]-tblFleet[[#This Row],[Down_h]])</f>
        <v/>
      </c>
      <c r="I2650" s="60">
        <f>IF(AND(tblFleet[[#This Row],[Units]]&lt;&gt;"",tblFleet[[#This Row],[Calendar_h]]&gt;0),tblFleet[[#This Row],[Available_h]]/tblFleet[[#This Row],[Calendar_h]],"")</f>
        <v/>
      </c>
      <c r="J2650" s="60">
        <f>IF(AND(tblFleet[[#This Row],[Units]]&lt;&gt;"",tblFleet[[#This Row],[Available_h]]&gt;0),tblFleet[[#This Row],[Operating_h]]/tblFleet[[#This Row],[Available_h]],"")</f>
        <v/>
      </c>
    </row>
    <row r="2651">
      <c r="A2651" s="54" t="n"/>
      <c r="B2651" s="61" t="n"/>
      <c r="C2651" s="62" t="n"/>
      <c r="D2651" s="57" t="n"/>
      <c r="E2651" s="57" t="n"/>
      <c r="F2651" s="58" t="n"/>
      <c r="G2651" s="66">
        <f>IF(tblFleet[[#This Row],[Units]]="","",tblFleet[[#This Row],[Units]]*cfg_HoursPerDay)</f>
        <v/>
      </c>
      <c r="H2651" s="66">
        <f>IF(tblFleet[[#This Row],[Units]]="","",tblFleet[[#This Row],[Calendar_h]]-tblFleet[[#This Row],[Down_h]])</f>
        <v/>
      </c>
      <c r="I2651" s="60">
        <f>IF(AND(tblFleet[[#This Row],[Units]]&lt;&gt;"",tblFleet[[#This Row],[Calendar_h]]&gt;0),tblFleet[[#This Row],[Available_h]]/tblFleet[[#This Row],[Calendar_h]],"")</f>
        <v/>
      </c>
      <c r="J2651" s="60">
        <f>IF(AND(tblFleet[[#This Row],[Units]]&lt;&gt;"",tblFleet[[#This Row],[Available_h]]&gt;0),tblFleet[[#This Row],[Operating_h]]/tblFleet[[#This Row],[Available_h]],"")</f>
        <v/>
      </c>
    </row>
    <row r="2652">
      <c r="A2652" s="54" t="n"/>
      <c r="B2652" s="61" t="n"/>
      <c r="C2652" s="62" t="n"/>
      <c r="D2652" s="57" t="n"/>
      <c r="E2652" s="57" t="n"/>
      <c r="F2652" s="58" t="n"/>
      <c r="G2652" s="66">
        <f>IF(tblFleet[[#This Row],[Units]]="","",tblFleet[[#This Row],[Units]]*cfg_HoursPerDay)</f>
        <v/>
      </c>
      <c r="H2652" s="66">
        <f>IF(tblFleet[[#This Row],[Units]]="","",tblFleet[[#This Row],[Calendar_h]]-tblFleet[[#This Row],[Down_h]])</f>
        <v/>
      </c>
      <c r="I2652" s="60">
        <f>IF(AND(tblFleet[[#This Row],[Units]]&lt;&gt;"",tblFleet[[#This Row],[Calendar_h]]&gt;0),tblFleet[[#This Row],[Available_h]]/tblFleet[[#This Row],[Calendar_h]],"")</f>
        <v/>
      </c>
      <c r="J2652" s="60">
        <f>IF(AND(tblFleet[[#This Row],[Units]]&lt;&gt;"",tblFleet[[#This Row],[Available_h]]&gt;0),tblFleet[[#This Row],[Operating_h]]/tblFleet[[#This Row],[Available_h]],"")</f>
        <v/>
      </c>
    </row>
    <row r="2653">
      <c r="A2653" s="54" t="n"/>
      <c r="B2653" s="61" t="n"/>
      <c r="C2653" s="62" t="n"/>
      <c r="D2653" s="57" t="n"/>
      <c r="E2653" s="57" t="n"/>
      <c r="F2653" s="58" t="n"/>
      <c r="G2653" s="66">
        <f>IF(tblFleet[[#This Row],[Units]]="","",tblFleet[[#This Row],[Units]]*cfg_HoursPerDay)</f>
        <v/>
      </c>
      <c r="H2653" s="66">
        <f>IF(tblFleet[[#This Row],[Units]]="","",tblFleet[[#This Row],[Calendar_h]]-tblFleet[[#This Row],[Down_h]])</f>
        <v/>
      </c>
      <c r="I2653" s="60">
        <f>IF(AND(tblFleet[[#This Row],[Units]]&lt;&gt;"",tblFleet[[#This Row],[Calendar_h]]&gt;0),tblFleet[[#This Row],[Available_h]]/tblFleet[[#This Row],[Calendar_h]],"")</f>
        <v/>
      </c>
      <c r="J2653" s="60">
        <f>IF(AND(tblFleet[[#This Row],[Units]]&lt;&gt;"",tblFleet[[#This Row],[Available_h]]&gt;0),tblFleet[[#This Row],[Operating_h]]/tblFleet[[#This Row],[Available_h]],"")</f>
        <v/>
      </c>
    </row>
    <row r="2654">
      <c r="A2654" s="54" t="n"/>
      <c r="B2654" s="61" t="n"/>
      <c r="C2654" s="62" t="n"/>
      <c r="D2654" s="57" t="n"/>
      <c r="E2654" s="57" t="n"/>
      <c r="F2654" s="58" t="n"/>
      <c r="G2654" s="66">
        <f>IF(tblFleet[[#This Row],[Units]]="","",tblFleet[[#This Row],[Units]]*cfg_HoursPerDay)</f>
        <v/>
      </c>
      <c r="H2654" s="66">
        <f>IF(tblFleet[[#This Row],[Units]]="","",tblFleet[[#This Row],[Calendar_h]]-tblFleet[[#This Row],[Down_h]])</f>
        <v/>
      </c>
      <c r="I2654" s="60">
        <f>IF(AND(tblFleet[[#This Row],[Units]]&lt;&gt;"",tblFleet[[#This Row],[Calendar_h]]&gt;0),tblFleet[[#This Row],[Available_h]]/tblFleet[[#This Row],[Calendar_h]],"")</f>
        <v/>
      </c>
      <c r="J2654" s="60">
        <f>IF(AND(tblFleet[[#This Row],[Units]]&lt;&gt;"",tblFleet[[#This Row],[Available_h]]&gt;0),tblFleet[[#This Row],[Operating_h]]/tblFleet[[#This Row],[Available_h]],"")</f>
        <v/>
      </c>
    </row>
    <row r="2655">
      <c r="A2655" s="54" t="n"/>
      <c r="B2655" s="61" t="n"/>
      <c r="C2655" s="62" t="n"/>
      <c r="D2655" s="57" t="n"/>
      <c r="E2655" s="57" t="n"/>
      <c r="F2655" s="58" t="n"/>
      <c r="G2655" s="66">
        <f>IF(tblFleet[[#This Row],[Units]]="","",tblFleet[[#This Row],[Units]]*cfg_HoursPerDay)</f>
        <v/>
      </c>
      <c r="H2655" s="66">
        <f>IF(tblFleet[[#This Row],[Units]]="","",tblFleet[[#This Row],[Calendar_h]]-tblFleet[[#This Row],[Down_h]])</f>
        <v/>
      </c>
      <c r="I2655" s="60">
        <f>IF(AND(tblFleet[[#This Row],[Units]]&lt;&gt;"",tblFleet[[#This Row],[Calendar_h]]&gt;0),tblFleet[[#This Row],[Available_h]]/tblFleet[[#This Row],[Calendar_h]],"")</f>
        <v/>
      </c>
      <c r="J2655" s="60">
        <f>IF(AND(tblFleet[[#This Row],[Units]]&lt;&gt;"",tblFleet[[#This Row],[Available_h]]&gt;0),tblFleet[[#This Row],[Operating_h]]/tblFleet[[#This Row],[Available_h]],"")</f>
        <v/>
      </c>
    </row>
    <row r="2656">
      <c r="A2656" s="54" t="n"/>
      <c r="B2656" s="61" t="n"/>
      <c r="C2656" s="62" t="n"/>
      <c r="D2656" s="57" t="n"/>
      <c r="E2656" s="57" t="n"/>
      <c r="F2656" s="58" t="n"/>
      <c r="G2656" s="66">
        <f>IF(tblFleet[[#This Row],[Units]]="","",tblFleet[[#This Row],[Units]]*cfg_HoursPerDay)</f>
        <v/>
      </c>
      <c r="H2656" s="66">
        <f>IF(tblFleet[[#This Row],[Units]]="","",tblFleet[[#This Row],[Calendar_h]]-tblFleet[[#This Row],[Down_h]])</f>
        <v/>
      </c>
      <c r="I2656" s="60">
        <f>IF(AND(tblFleet[[#This Row],[Units]]&lt;&gt;"",tblFleet[[#This Row],[Calendar_h]]&gt;0),tblFleet[[#This Row],[Available_h]]/tblFleet[[#This Row],[Calendar_h]],"")</f>
        <v/>
      </c>
      <c r="J2656" s="60">
        <f>IF(AND(tblFleet[[#This Row],[Units]]&lt;&gt;"",tblFleet[[#This Row],[Available_h]]&gt;0),tblFleet[[#This Row],[Operating_h]]/tblFleet[[#This Row],[Available_h]],"")</f>
        <v/>
      </c>
    </row>
    <row r="2657">
      <c r="A2657" s="54" t="n"/>
      <c r="B2657" s="61" t="n"/>
      <c r="C2657" s="62" t="n"/>
      <c r="D2657" s="57" t="n"/>
      <c r="E2657" s="57" t="n"/>
      <c r="F2657" s="58" t="n"/>
      <c r="G2657" s="66">
        <f>IF(tblFleet[[#This Row],[Units]]="","",tblFleet[[#This Row],[Units]]*cfg_HoursPerDay)</f>
        <v/>
      </c>
      <c r="H2657" s="66">
        <f>IF(tblFleet[[#This Row],[Units]]="","",tblFleet[[#This Row],[Calendar_h]]-tblFleet[[#This Row],[Down_h]])</f>
        <v/>
      </c>
      <c r="I2657" s="60">
        <f>IF(AND(tblFleet[[#This Row],[Units]]&lt;&gt;"",tblFleet[[#This Row],[Calendar_h]]&gt;0),tblFleet[[#This Row],[Available_h]]/tblFleet[[#This Row],[Calendar_h]],"")</f>
        <v/>
      </c>
      <c r="J2657" s="60">
        <f>IF(AND(tblFleet[[#This Row],[Units]]&lt;&gt;"",tblFleet[[#This Row],[Available_h]]&gt;0),tblFleet[[#This Row],[Operating_h]]/tblFleet[[#This Row],[Available_h]],"")</f>
        <v/>
      </c>
    </row>
    <row r="2658">
      <c r="A2658" s="54" t="n"/>
      <c r="B2658" s="61" t="n"/>
      <c r="C2658" s="62" t="n"/>
      <c r="D2658" s="57" t="n"/>
      <c r="E2658" s="57" t="n"/>
      <c r="F2658" s="58" t="n"/>
      <c r="G2658" s="66">
        <f>IF(tblFleet[[#This Row],[Units]]="","",tblFleet[[#This Row],[Units]]*cfg_HoursPerDay)</f>
        <v/>
      </c>
      <c r="H2658" s="66">
        <f>IF(tblFleet[[#This Row],[Units]]="","",tblFleet[[#This Row],[Calendar_h]]-tblFleet[[#This Row],[Down_h]])</f>
        <v/>
      </c>
      <c r="I2658" s="60">
        <f>IF(AND(tblFleet[[#This Row],[Units]]&lt;&gt;"",tblFleet[[#This Row],[Calendar_h]]&gt;0),tblFleet[[#This Row],[Available_h]]/tblFleet[[#This Row],[Calendar_h]],"")</f>
        <v/>
      </c>
      <c r="J2658" s="60">
        <f>IF(AND(tblFleet[[#This Row],[Units]]&lt;&gt;"",tblFleet[[#This Row],[Available_h]]&gt;0),tblFleet[[#This Row],[Operating_h]]/tblFleet[[#This Row],[Available_h]],"")</f>
        <v/>
      </c>
    </row>
    <row r="2659">
      <c r="A2659" s="54" t="n"/>
      <c r="B2659" s="61" t="n"/>
      <c r="C2659" s="62" t="n"/>
      <c r="D2659" s="57" t="n"/>
      <c r="E2659" s="57" t="n"/>
      <c r="F2659" s="58" t="n"/>
      <c r="G2659" s="66">
        <f>IF(tblFleet[[#This Row],[Units]]="","",tblFleet[[#This Row],[Units]]*cfg_HoursPerDay)</f>
        <v/>
      </c>
      <c r="H2659" s="66">
        <f>IF(tblFleet[[#This Row],[Units]]="","",tblFleet[[#This Row],[Calendar_h]]-tblFleet[[#This Row],[Down_h]])</f>
        <v/>
      </c>
      <c r="I2659" s="60">
        <f>IF(AND(tblFleet[[#This Row],[Units]]&lt;&gt;"",tblFleet[[#This Row],[Calendar_h]]&gt;0),tblFleet[[#This Row],[Available_h]]/tblFleet[[#This Row],[Calendar_h]],"")</f>
        <v/>
      </c>
      <c r="J2659" s="60">
        <f>IF(AND(tblFleet[[#This Row],[Units]]&lt;&gt;"",tblFleet[[#This Row],[Available_h]]&gt;0),tblFleet[[#This Row],[Operating_h]]/tblFleet[[#This Row],[Available_h]],"")</f>
        <v/>
      </c>
    </row>
    <row r="2660">
      <c r="A2660" s="54" t="n"/>
      <c r="B2660" s="61" t="n"/>
      <c r="C2660" s="62" t="n"/>
      <c r="D2660" s="57" t="n"/>
      <c r="E2660" s="57" t="n"/>
      <c r="F2660" s="58" t="n"/>
      <c r="G2660" s="66">
        <f>IF(tblFleet[[#This Row],[Units]]="","",tblFleet[[#This Row],[Units]]*cfg_HoursPerDay)</f>
        <v/>
      </c>
      <c r="H2660" s="66">
        <f>IF(tblFleet[[#This Row],[Units]]="","",tblFleet[[#This Row],[Calendar_h]]-tblFleet[[#This Row],[Down_h]])</f>
        <v/>
      </c>
      <c r="I2660" s="60">
        <f>IF(AND(tblFleet[[#This Row],[Units]]&lt;&gt;"",tblFleet[[#This Row],[Calendar_h]]&gt;0),tblFleet[[#This Row],[Available_h]]/tblFleet[[#This Row],[Calendar_h]],"")</f>
        <v/>
      </c>
      <c r="J2660" s="60">
        <f>IF(AND(tblFleet[[#This Row],[Units]]&lt;&gt;"",tblFleet[[#This Row],[Available_h]]&gt;0),tblFleet[[#This Row],[Operating_h]]/tblFleet[[#This Row],[Available_h]],"")</f>
        <v/>
      </c>
    </row>
    <row r="2661">
      <c r="A2661" s="54" t="n"/>
      <c r="B2661" s="61" t="n"/>
      <c r="C2661" s="62" t="n"/>
      <c r="D2661" s="57" t="n"/>
      <c r="E2661" s="57" t="n"/>
      <c r="F2661" s="58" t="n"/>
      <c r="G2661" s="66">
        <f>IF(tblFleet[[#This Row],[Units]]="","",tblFleet[[#This Row],[Units]]*cfg_HoursPerDay)</f>
        <v/>
      </c>
      <c r="H2661" s="66">
        <f>IF(tblFleet[[#This Row],[Units]]="","",tblFleet[[#This Row],[Calendar_h]]-tblFleet[[#This Row],[Down_h]])</f>
        <v/>
      </c>
      <c r="I2661" s="60">
        <f>IF(AND(tblFleet[[#This Row],[Units]]&lt;&gt;"",tblFleet[[#This Row],[Calendar_h]]&gt;0),tblFleet[[#This Row],[Available_h]]/tblFleet[[#This Row],[Calendar_h]],"")</f>
        <v/>
      </c>
      <c r="J2661" s="60">
        <f>IF(AND(tblFleet[[#This Row],[Units]]&lt;&gt;"",tblFleet[[#This Row],[Available_h]]&gt;0),tblFleet[[#This Row],[Operating_h]]/tblFleet[[#This Row],[Available_h]],"")</f>
        <v/>
      </c>
    </row>
    <row r="2662">
      <c r="A2662" s="54" t="n"/>
      <c r="B2662" s="61" t="n"/>
      <c r="C2662" s="62" t="n"/>
      <c r="D2662" s="57" t="n"/>
      <c r="E2662" s="57" t="n"/>
      <c r="F2662" s="58" t="n"/>
      <c r="G2662" s="66">
        <f>IF(tblFleet[[#This Row],[Units]]="","",tblFleet[[#This Row],[Units]]*cfg_HoursPerDay)</f>
        <v/>
      </c>
      <c r="H2662" s="66">
        <f>IF(tblFleet[[#This Row],[Units]]="","",tblFleet[[#This Row],[Calendar_h]]-tblFleet[[#This Row],[Down_h]])</f>
        <v/>
      </c>
      <c r="I2662" s="60">
        <f>IF(AND(tblFleet[[#This Row],[Units]]&lt;&gt;"",tblFleet[[#This Row],[Calendar_h]]&gt;0),tblFleet[[#This Row],[Available_h]]/tblFleet[[#This Row],[Calendar_h]],"")</f>
        <v/>
      </c>
      <c r="J2662" s="60">
        <f>IF(AND(tblFleet[[#This Row],[Units]]&lt;&gt;"",tblFleet[[#This Row],[Available_h]]&gt;0),tblFleet[[#This Row],[Operating_h]]/tblFleet[[#This Row],[Available_h]],"")</f>
        <v/>
      </c>
    </row>
    <row r="2663">
      <c r="A2663" s="54" t="n"/>
      <c r="B2663" s="61" t="n"/>
      <c r="C2663" s="62" t="n"/>
      <c r="D2663" s="57" t="n"/>
      <c r="E2663" s="57" t="n"/>
      <c r="F2663" s="58" t="n"/>
      <c r="G2663" s="66">
        <f>IF(tblFleet[[#This Row],[Units]]="","",tblFleet[[#This Row],[Units]]*cfg_HoursPerDay)</f>
        <v/>
      </c>
      <c r="H2663" s="66">
        <f>IF(tblFleet[[#This Row],[Units]]="","",tblFleet[[#This Row],[Calendar_h]]-tblFleet[[#This Row],[Down_h]])</f>
        <v/>
      </c>
      <c r="I2663" s="60">
        <f>IF(AND(tblFleet[[#This Row],[Units]]&lt;&gt;"",tblFleet[[#This Row],[Calendar_h]]&gt;0),tblFleet[[#This Row],[Available_h]]/tblFleet[[#This Row],[Calendar_h]],"")</f>
        <v/>
      </c>
      <c r="J2663" s="60">
        <f>IF(AND(tblFleet[[#This Row],[Units]]&lt;&gt;"",tblFleet[[#This Row],[Available_h]]&gt;0),tblFleet[[#This Row],[Operating_h]]/tblFleet[[#This Row],[Available_h]],"")</f>
        <v/>
      </c>
    </row>
    <row r="2664">
      <c r="A2664" s="54" t="n"/>
      <c r="B2664" s="61" t="n"/>
      <c r="C2664" s="62" t="n"/>
      <c r="D2664" s="57" t="n"/>
      <c r="E2664" s="57" t="n"/>
      <c r="F2664" s="58" t="n"/>
      <c r="G2664" s="66">
        <f>IF(tblFleet[[#This Row],[Units]]="","",tblFleet[[#This Row],[Units]]*cfg_HoursPerDay)</f>
        <v/>
      </c>
      <c r="H2664" s="66">
        <f>IF(tblFleet[[#This Row],[Units]]="","",tblFleet[[#This Row],[Calendar_h]]-tblFleet[[#This Row],[Down_h]])</f>
        <v/>
      </c>
      <c r="I2664" s="60">
        <f>IF(AND(tblFleet[[#This Row],[Units]]&lt;&gt;"",tblFleet[[#This Row],[Calendar_h]]&gt;0),tblFleet[[#This Row],[Available_h]]/tblFleet[[#This Row],[Calendar_h]],"")</f>
        <v/>
      </c>
      <c r="J2664" s="60">
        <f>IF(AND(tblFleet[[#This Row],[Units]]&lt;&gt;"",tblFleet[[#This Row],[Available_h]]&gt;0),tblFleet[[#This Row],[Operating_h]]/tblFleet[[#This Row],[Available_h]],"")</f>
        <v/>
      </c>
    </row>
    <row r="2665">
      <c r="A2665" s="54" t="n"/>
      <c r="B2665" s="61" t="n"/>
      <c r="C2665" s="62" t="n"/>
      <c r="D2665" s="57" t="n"/>
      <c r="E2665" s="57" t="n"/>
      <c r="F2665" s="58" t="n"/>
      <c r="G2665" s="66">
        <f>IF(tblFleet[[#This Row],[Units]]="","",tblFleet[[#This Row],[Units]]*cfg_HoursPerDay)</f>
        <v/>
      </c>
      <c r="H2665" s="66">
        <f>IF(tblFleet[[#This Row],[Units]]="","",tblFleet[[#This Row],[Calendar_h]]-tblFleet[[#This Row],[Down_h]])</f>
        <v/>
      </c>
      <c r="I2665" s="60">
        <f>IF(AND(tblFleet[[#This Row],[Units]]&lt;&gt;"",tblFleet[[#This Row],[Calendar_h]]&gt;0),tblFleet[[#This Row],[Available_h]]/tblFleet[[#This Row],[Calendar_h]],"")</f>
        <v/>
      </c>
      <c r="J2665" s="60">
        <f>IF(AND(tblFleet[[#This Row],[Units]]&lt;&gt;"",tblFleet[[#This Row],[Available_h]]&gt;0),tblFleet[[#This Row],[Operating_h]]/tblFleet[[#This Row],[Available_h]],"")</f>
        <v/>
      </c>
    </row>
    <row r="2666">
      <c r="A2666" s="54" t="n"/>
      <c r="B2666" s="61" t="n"/>
      <c r="C2666" s="62" t="n"/>
      <c r="D2666" s="57" t="n"/>
      <c r="E2666" s="57" t="n"/>
      <c r="F2666" s="58" t="n"/>
      <c r="G2666" s="66">
        <f>IF(tblFleet[[#This Row],[Units]]="","",tblFleet[[#This Row],[Units]]*cfg_HoursPerDay)</f>
        <v/>
      </c>
      <c r="H2666" s="66">
        <f>IF(tblFleet[[#This Row],[Units]]="","",tblFleet[[#This Row],[Calendar_h]]-tblFleet[[#This Row],[Down_h]])</f>
        <v/>
      </c>
      <c r="I2666" s="60">
        <f>IF(AND(tblFleet[[#This Row],[Units]]&lt;&gt;"",tblFleet[[#This Row],[Calendar_h]]&gt;0),tblFleet[[#This Row],[Available_h]]/tblFleet[[#This Row],[Calendar_h]],"")</f>
        <v/>
      </c>
      <c r="J2666" s="60">
        <f>IF(AND(tblFleet[[#This Row],[Units]]&lt;&gt;"",tblFleet[[#This Row],[Available_h]]&gt;0),tblFleet[[#This Row],[Operating_h]]/tblFleet[[#This Row],[Available_h]],"")</f>
        <v/>
      </c>
    </row>
    <row r="2667">
      <c r="A2667" s="54" t="n"/>
      <c r="B2667" s="61" t="n"/>
      <c r="C2667" s="62" t="n"/>
      <c r="D2667" s="57" t="n"/>
      <c r="E2667" s="57" t="n"/>
      <c r="F2667" s="58" t="n"/>
      <c r="G2667" s="66">
        <f>IF(tblFleet[[#This Row],[Units]]="","",tblFleet[[#This Row],[Units]]*cfg_HoursPerDay)</f>
        <v/>
      </c>
      <c r="H2667" s="66">
        <f>IF(tblFleet[[#This Row],[Units]]="","",tblFleet[[#This Row],[Calendar_h]]-tblFleet[[#This Row],[Down_h]])</f>
        <v/>
      </c>
      <c r="I2667" s="60">
        <f>IF(AND(tblFleet[[#This Row],[Units]]&lt;&gt;"",tblFleet[[#This Row],[Calendar_h]]&gt;0),tblFleet[[#This Row],[Available_h]]/tblFleet[[#This Row],[Calendar_h]],"")</f>
        <v/>
      </c>
      <c r="J2667" s="60">
        <f>IF(AND(tblFleet[[#This Row],[Units]]&lt;&gt;"",tblFleet[[#This Row],[Available_h]]&gt;0),tblFleet[[#This Row],[Operating_h]]/tblFleet[[#This Row],[Available_h]],"")</f>
        <v/>
      </c>
    </row>
    <row r="2668">
      <c r="A2668" s="54" t="n"/>
      <c r="B2668" s="61" t="n"/>
      <c r="C2668" s="62" t="n"/>
      <c r="D2668" s="57" t="n"/>
      <c r="E2668" s="57" t="n"/>
      <c r="F2668" s="58" t="n"/>
      <c r="G2668" s="66">
        <f>IF(tblFleet[[#This Row],[Units]]="","",tblFleet[[#This Row],[Units]]*cfg_HoursPerDay)</f>
        <v/>
      </c>
      <c r="H2668" s="66">
        <f>IF(tblFleet[[#This Row],[Units]]="","",tblFleet[[#This Row],[Calendar_h]]-tblFleet[[#This Row],[Down_h]])</f>
        <v/>
      </c>
      <c r="I2668" s="60">
        <f>IF(AND(tblFleet[[#This Row],[Units]]&lt;&gt;"",tblFleet[[#This Row],[Calendar_h]]&gt;0),tblFleet[[#This Row],[Available_h]]/tblFleet[[#This Row],[Calendar_h]],"")</f>
        <v/>
      </c>
      <c r="J2668" s="60">
        <f>IF(AND(tblFleet[[#This Row],[Units]]&lt;&gt;"",tblFleet[[#This Row],[Available_h]]&gt;0),tblFleet[[#This Row],[Operating_h]]/tblFleet[[#This Row],[Available_h]],"")</f>
        <v/>
      </c>
    </row>
    <row r="2669">
      <c r="A2669" s="54" t="n"/>
      <c r="B2669" s="61" t="n"/>
      <c r="C2669" s="62" t="n"/>
      <c r="D2669" s="57" t="n"/>
      <c r="E2669" s="57" t="n"/>
      <c r="F2669" s="58" t="n"/>
      <c r="G2669" s="66">
        <f>IF(tblFleet[[#This Row],[Units]]="","",tblFleet[[#This Row],[Units]]*cfg_HoursPerDay)</f>
        <v/>
      </c>
      <c r="H2669" s="66">
        <f>IF(tblFleet[[#This Row],[Units]]="","",tblFleet[[#This Row],[Calendar_h]]-tblFleet[[#This Row],[Down_h]])</f>
        <v/>
      </c>
      <c r="I2669" s="60">
        <f>IF(AND(tblFleet[[#This Row],[Units]]&lt;&gt;"",tblFleet[[#This Row],[Calendar_h]]&gt;0),tblFleet[[#This Row],[Available_h]]/tblFleet[[#This Row],[Calendar_h]],"")</f>
        <v/>
      </c>
      <c r="J2669" s="60">
        <f>IF(AND(tblFleet[[#This Row],[Units]]&lt;&gt;"",tblFleet[[#This Row],[Available_h]]&gt;0),tblFleet[[#This Row],[Operating_h]]/tblFleet[[#This Row],[Available_h]],"")</f>
        <v/>
      </c>
    </row>
    <row r="2670">
      <c r="A2670" s="54" t="n"/>
      <c r="B2670" s="61" t="n"/>
      <c r="C2670" s="62" t="n"/>
      <c r="D2670" s="57" t="n"/>
      <c r="E2670" s="57" t="n"/>
      <c r="F2670" s="58" t="n"/>
      <c r="G2670" s="66">
        <f>IF(tblFleet[[#This Row],[Units]]="","",tblFleet[[#This Row],[Units]]*cfg_HoursPerDay)</f>
        <v/>
      </c>
      <c r="H2670" s="66">
        <f>IF(tblFleet[[#This Row],[Units]]="","",tblFleet[[#This Row],[Calendar_h]]-tblFleet[[#This Row],[Down_h]])</f>
        <v/>
      </c>
      <c r="I2670" s="60">
        <f>IF(AND(tblFleet[[#This Row],[Units]]&lt;&gt;"",tblFleet[[#This Row],[Calendar_h]]&gt;0),tblFleet[[#This Row],[Available_h]]/tblFleet[[#This Row],[Calendar_h]],"")</f>
        <v/>
      </c>
      <c r="J2670" s="60">
        <f>IF(AND(tblFleet[[#This Row],[Units]]&lt;&gt;"",tblFleet[[#This Row],[Available_h]]&gt;0),tblFleet[[#This Row],[Operating_h]]/tblFleet[[#This Row],[Available_h]],"")</f>
        <v/>
      </c>
    </row>
    <row r="2671">
      <c r="A2671" s="54" t="n"/>
      <c r="B2671" s="61" t="n"/>
      <c r="C2671" s="62" t="n"/>
      <c r="D2671" s="57" t="n"/>
      <c r="E2671" s="57" t="n"/>
      <c r="F2671" s="58" t="n"/>
      <c r="G2671" s="66">
        <f>IF(tblFleet[[#This Row],[Units]]="","",tblFleet[[#This Row],[Units]]*cfg_HoursPerDay)</f>
        <v/>
      </c>
      <c r="H2671" s="66">
        <f>IF(tblFleet[[#This Row],[Units]]="","",tblFleet[[#This Row],[Calendar_h]]-tblFleet[[#This Row],[Down_h]])</f>
        <v/>
      </c>
      <c r="I2671" s="60">
        <f>IF(AND(tblFleet[[#This Row],[Units]]&lt;&gt;"",tblFleet[[#This Row],[Calendar_h]]&gt;0),tblFleet[[#This Row],[Available_h]]/tblFleet[[#This Row],[Calendar_h]],"")</f>
        <v/>
      </c>
      <c r="J2671" s="60">
        <f>IF(AND(tblFleet[[#This Row],[Units]]&lt;&gt;"",tblFleet[[#This Row],[Available_h]]&gt;0),tblFleet[[#This Row],[Operating_h]]/tblFleet[[#This Row],[Available_h]],"")</f>
        <v/>
      </c>
    </row>
    <row r="2672">
      <c r="A2672" s="54" t="n"/>
      <c r="B2672" s="61" t="n"/>
      <c r="C2672" s="62" t="n"/>
      <c r="D2672" s="57" t="n"/>
      <c r="E2672" s="57" t="n"/>
      <c r="F2672" s="58" t="n"/>
      <c r="G2672" s="66">
        <f>IF(tblFleet[[#This Row],[Units]]="","",tblFleet[[#This Row],[Units]]*cfg_HoursPerDay)</f>
        <v/>
      </c>
      <c r="H2672" s="66">
        <f>IF(tblFleet[[#This Row],[Units]]="","",tblFleet[[#This Row],[Calendar_h]]-tblFleet[[#This Row],[Down_h]])</f>
        <v/>
      </c>
      <c r="I2672" s="60">
        <f>IF(AND(tblFleet[[#This Row],[Units]]&lt;&gt;"",tblFleet[[#This Row],[Calendar_h]]&gt;0),tblFleet[[#This Row],[Available_h]]/tblFleet[[#This Row],[Calendar_h]],"")</f>
        <v/>
      </c>
      <c r="J2672" s="60">
        <f>IF(AND(tblFleet[[#This Row],[Units]]&lt;&gt;"",tblFleet[[#This Row],[Available_h]]&gt;0),tblFleet[[#This Row],[Operating_h]]/tblFleet[[#This Row],[Available_h]],"")</f>
        <v/>
      </c>
    </row>
    <row r="2673">
      <c r="A2673" s="54" t="n"/>
      <c r="B2673" s="61" t="n"/>
      <c r="C2673" s="62" t="n"/>
      <c r="D2673" s="57" t="n"/>
      <c r="E2673" s="57" t="n"/>
      <c r="F2673" s="58" t="n"/>
      <c r="G2673" s="66">
        <f>IF(tblFleet[[#This Row],[Units]]="","",tblFleet[[#This Row],[Units]]*cfg_HoursPerDay)</f>
        <v/>
      </c>
      <c r="H2673" s="66">
        <f>IF(tblFleet[[#This Row],[Units]]="","",tblFleet[[#This Row],[Calendar_h]]-tblFleet[[#This Row],[Down_h]])</f>
        <v/>
      </c>
      <c r="I2673" s="60">
        <f>IF(AND(tblFleet[[#This Row],[Units]]&lt;&gt;"",tblFleet[[#This Row],[Calendar_h]]&gt;0),tblFleet[[#This Row],[Available_h]]/tblFleet[[#This Row],[Calendar_h]],"")</f>
        <v/>
      </c>
      <c r="J2673" s="60">
        <f>IF(AND(tblFleet[[#This Row],[Units]]&lt;&gt;"",tblFleet[[#This Row],[Available_h]]&gt;0),tblFleet[[#This Row],[Operating_h]]/tblFleet[[#This Row],[Available_h]],"")</f>
        <v/>
      </c>
    </row>
    <row r="2674">
      <c r="A2674" s="54" t="n"/>
      <c r="B2674" s="61" t="n"/>
      <c r="C2674" s="62" t="n"/>
      <c r="D2674" s="57" t="n"/>
      <c r="E2674" s="57" t="n"/>
      <c r="F2674" s="58" t="n"/>
      <c r="G2674" s="66">
        <f>IF(tblFleet[[#This Row],[Units]]="","",tblFleet[[#This Row],[Units]]*cfg_HoursPerDay)</f>
        <v/>
      </c>
      <c r="H2674" s="66">
        <f>IF(tblFleet[[#This Row],[Units]]="","",tblFleet[[#This Row],[Calendar_h]]-tblFleet[[#This Row],[Down_h]])</f>
        <v/>
      </c>
      <c r="I2674" s="60">
        <f>IF(AND(tblFleet[[#This Row],[Units]]&lt;&gt;"",tblFleet[[#This Row],[Calendar_h]]&gt;0),tblFleet[[#This Row],[Available_h]]/tblFleet[[#This Row],[Calendar_h]],"")</f>
        <v/>
      </c>
      <c r="J2674" s="60">
        <f>IF(AND(tblFleet[[#This Row],[Units]]&lt;&gt;"",tblFleet[[#This Row],[Available_h]]&gt;0),tblFleet[[#This Row],[Operating_h]]/tblFleet[[#This Row],[Available_h]],"")</f>
        <v/>
      </c>
    </row>
    <row r="2675">
      <c r="A2675" s="54" t="n"/>
      <c r="B2675" s="61" t="n"/>
      <c r="C2675" s="62" t="n"/>
      <c r="D2675" s="57" t="n"/>
      <c r="E2675" s="57" t="n"/>
      <c r="F2675" s="58" t="n"/>
      <c r="G2675" s="66">
        <f>IF(tblFleet[[#This Row],[Units]]="","",tblFleet[[#This Row],[Units]]*cfg_HoursPerDay)</f>
        <v/>
      </c>
      <c r="H2675" s="66">
        <f>IF(tblFleet[[#This Row],[Units]]="","",tblFleet[[#This Row],[Calendar_h]]-tblFleet[[#This Row],[Down_h]])</f>
        <v/>
      </c>
      <c r="I2675" s="60">
        <f>IF(AND(tblFleet[[#This Row],[Units]]&lt;&gt;"",tblFleet[[#This Row],[Calendar_h]]&gt;0),tblFleet[[#This Row],[Available_h]]/tblFleet[[#This Row],[Calendar_h]],"")</f>
        <v/>
      </c>
      <c r="J2675" s="60">
        <f>IF(AND(tblFleet[[#This Row],[Units]]&lt;&gt;"",tblFleet[[#This Row],[Available_h]]&gt;0),tblFleet[[#This Row],[Operating_h]]/tblFleet[[#This Row],[Available_h]],"")</f>
        <v/>
      </c>
    </row>
    <row r="2676">
      <c r="A2676" s="54" t="n"/>
      <c r="B2676" s="61" t="n"/>
      <c r="C2676" s="62" t="n"/>
      <c r="D2676" s="57" t="n"/>
      <c r="E2676" s="57" t="n"/>
      <c r="F2676" s="58" t="n"/>
      <c r="G2676" s="66">
        <f>IF(tblFleet[[#This Row],[Units]]="","",tblFleet[[#This Row],[Units]]*cfg_HoursPerDay)</f>
        <v/>
      </c>
      <c r="H2676" s="66">
        <f>IF(tblFleet[[#This Row],[Units]]="","",tblFleet[[#This Row],[Calendar_h]]-tblFleet[[#This Row],[Down_h]])</f>
        <v/>
      </c>
      <c r="I2676" s="60">
        <f>IF(AND(tblFleet[[#This Row],[Units]]&lt;&gt;"",tblFleet[[#This Row],[Calendar_h]]&gt;0),tblFleet[[#This Row],[Available_h]]/tblFleet[[#This Row],[Calendar_h]],"")</f>
        <v/>
      </c>
      <c r="J2676" s="60">
        <f>IF(AND(tblFleet[[#This Row],[Units]]&lt;&gt;"",tblFleet[[#This Row],[Available_h]]&gt;0),tblFleet[[#This Row],[Operating_h]]/tblFleet[[#This Row],[Available_h]],"")</f>
        <v/>
      </c>
    </row>
    <row r="2677">
      <c r="A2677" s="54" t="n"/>
      <c r="B2677" s="61" t="n"/>
      <c r="C2677" s="62" t="n"/>
      <c r="D2677" s="57" t="n"/>
      <c r="E2677" s="57" t="n"/>
      <c r="F2677" s="58" t="n"/>
      <c r="G2677" s="66">
        <f>IF(tblFleet[[#This Row],[Units]]="","",tblFleet[[#This Row],[Units]]*cfg_HoursPerDay)</f>
        <v/>
      </c>
      <c r="H2677" s="66">
        <f>IF(tblFleet[[#This Row],[Units]]="","",tblFleet[[#This Row],[Calendar_h]]-tblFleet[[#This Row],[Down_h]])</f>
        <v/>
      </c>
      <c r="I2677" s="60">
        <f>IF(AND(tblFleet[[#This Row],[Units]]&lt;&gt;"",tblFleet[[#This Row],[Calendar_h]]&gt;0),tblFleet[[#This Row],[Available_h]]/tblFleet[[#This Row],[Calendar_h]],"")</f>
        <v/>
      </c>
      <c r="J2677" s="60">
        <f>IF(AND(tblFleet[[#This Row],[Units]]&lt;&gt;"",tblFleet[[#This Row],[Available_h]]&gt;0),tblFleet[[#This Row],[Operating_h]]/tblFleet[[#This Row],[Available_h]],"")</f>
        <v/>
      </c>
    </row>
    <row r="2678">
      <c r="A2678" s="54" t="n"/>
      <c r="B2678" s="61" t="n"/>
      <c r="C2678" s="62" t="n"/>
      <c r="D2678" s="57" t="n"/>
      <c r="E2678" s="57" t="n"/>
      <c r="F2678" s="58" t="n"/>
      <c r="G2678" s="66">
        <f>IF(tblFleet[[#This Row],[Units]]="","",tblFleet[[#This Row],[Units]]*cfg_HoursPerDay)</f>
        <v/>
      </c>
      <c r="H2678" s="66">
        <f>IF(tblFleet[[#This Row],[Units]]="","",tblFleet[[#This Row],[Calendar_h]]-tblFleet[[#This Row],[Down_h]])</f>
        <v/>
      </c>
      <c r="I2678" s="60">
        <f>IF(AND(tblFleet[[#This Row],[Units]]&lt;&gt;"",tblFleet[[#This Row],[Calendar_h]]&gt;0),tblFleet[[#This Row],[Available_h]]/tblFleet[[#This Row],[Calendar_h]],"")</f>
        <v/>
      </c>
      <c r="J2678" s="60">
        <f>IF(AND(tblFleet[[#This Row],[Units]]&lt;&gt;"",tblFleet[[#This Row],[Available_h]]&gt;0),tblFleet[[#This Row],[Operating_h]]/tblFleet[[#This Row],[Available_h]],"")</f>
        <v/>
      </c>
    </row>
    <row r="2679">
      <c r="A2679" s="54" t="n"/>
      <c r="B2679" s="61" t="n"/>
      <c r="C2679" s="62" t="n"/>
      <c r="D2679" s="57" t="n"/>
      <c r="E2679" s="57" t="n"/>
      <c r="F2679" s="58" t="n"/>
      <c r="G2679" s="66">
        <f>IF(tblFleet[[#This Row],[Units]]="","",tblFleet[[#This Row],[Units]]*cfg_HoursPerDay)</f>
        <v/>
      </c>
      <c r="H2679" s="66">
        <f>IF(tblFleet[[#This Row],[Units]]="","",tblFleet[[#This Row],[Calendar_h]]-tblFleet[[#This Row],[Down_h]])</f>
        <v/>
      </c>
      <c r="I2679" s="60">
        <f>IF(AND(tblFleet[[#This Row],[Units]]&lt;&gt;"",tblFleet[[#This Row],[Calendar_h]]&gt;0),tblFleet[[#This Row],[Available_h]]/tblFleet[[#This Row],[Calendar_h]],"")</f>
        <v/>
      </c>
      <c r="J2679" s="60">
        <f>IF(AND(tblFleet[[#This Row],[Units]]&lt;&gt;"",tblFleet[[#This Row],[Available_h]]&gt;0),tblFleet[[#This Row],[Operating_h]]/tblFleet[[#This Row],[Available_h]],"")</f>
        <v/>
      </c>
    </row>
    <row r="2680">
      <c r="A2680" s="54" t="n"/>
      <c r="B2680" s="61" t="n"/>
      <c r="C2680" s="62" t="n"/>
      <c r="D2680" s="57" t="n"/>
      <c r="E2680" s="57" t="n"/>
      <c r="F2680" s="58" t="n"/>
      <c r="G2680" s="66">
        <f>IF(tblFleet[[#This Row],[Units]]="","",tblFleet[[#This Row],[Units]]*cfg_HoursPerDay)</f>
        <v/>
      </c>
      <c r="H2680" s="66">
        <f>IF(tblFleet[[#This Row],[Units]]="","",tblFleet[[#This Row],[Calendar_h]]-tblFleet[[#This Row],[Down_h]])</f>
        <v/>
      </c>
      <c r="I2680" s="60">
        <f>IF(AND(tblFleet[[#This Row],[Units]]&lt;&gt;"",tblFleet[[#This Row],[Calendar_h]]&gt;0),tblFleet[[#This Row],[Available_h]]/tblFleet[[#This Row],[Calendar_h]],"")</f>
        <v/>
      </c>
      <c r="J2680" s="60">
        <f>IF(AND(tblFleet[[#This Row],[Units]]&lt;&gt;"",tblFleet[[#This Row],[Available_h]]&gt;0),tblFleet[[#This Row],[Operating_h]]/tblFleet[[#This Row],[Available_h]],"")</f>
        <v/>
      </c>
    </row>
    <row r="2681">
      <c r="A2681" s="54" t="n"/>
      <c r="B2681" s="61" t="n"/>
      <c r="C2681" s="62" t="n"/>
      <c r="D2681" s="57" t="n"/>
      <c r="E2681" s="57" t="n"/>
      <c r="F2681" s="58" t="n"/>
      <c r="G2681" s="66">
        <f>IF(tblFleet[[#This Row],[Units]]="","",tblFleet[[#This Row],[Units]]*cfg_HoursPerDay)</f>
        <v/>
      </c>
      <c r="H2681" s="66">
        <f>IF(tblFleet[[#This Row],[Units]]="","",tblFleet[[#This Row],[Calendar_h]]-tblFleet[[#This Row],[Down_h]])</f>
        <v/>
      </c>
      <c r="I2681" s="60">
        <f>IF(AND(tblFleet[[#This Row],[Units]]&lt;&gt;"",tblFleet[[#This Row],[Calendar_h]]&gt;0),tblFleet[[#This Row],[Available_h]]/tblFleet[[#This Row],[Calendar_h]],"")</f>
        <v/>
      </c>
      <c r="J2681" s="60">
        <f>IF(AND(tblFleet[[#This Row],[Units]]&lt;&gt;"",tblFleet[[#This Row],[Available_h]]&gt;0),tblFleet[[#This Row],[Operating_h]]/tblFleet[[#This Row],[Available_h]],"")</f>
        <v/>
      </c>
    </row>
    <row r="2682">
      <c r="A2682" s="54" t="n"/>
      <c r="B2682" s="61" t="n"/>
      <c r="C2682" s="62" t="n"/>
      <c r="D2682" s="57" t="n"/>
      <c r="E2682" s="57" t="n"/>
      <c r="F2682" s="58" t="n"/>
      <c r="G2682" s="66">
        <f>IF(tblFleet[[#This Row],[Units]]="","",tblFleet[[#This Row],[Units]]*cfg_HoursPerDay)</f>
        <v/>
      </c>
      <c r="H2682" s="66">
        <f>IF(tblFleet[[#This Row],[Units]]="","",tblFleet[[#This Row],[Calendar_h]]-tblFleet[[#This Row],[Down_h]])</f>
        <v/>
      </c>
      <c r="I2682" s="60">
        <f>IF(AND(tblFleet[[#This Row],[Units]]&lt;&gt;"",tblFleet[[#This Row],[Calendar_h]]&gt;0),tblFleet[[#This Row],[Available_h]]/tblFleet[[#This Row],[Calendar_h]],"")</f>
        <v/>
      </c>
      <c r="J2682" s="60">
        <f>IF(AND(tblFleet[[#This Row],[Units]]&lt;&gt;"",tblFleet[[#This Row],[Available_h]]&gt;0),tblFleet[[#This Row],[Operating_h]]/tblFleet[[#This Row],[Available_h]],"")</f>
        <v/>
      </c>
    </row>
    <row r="2683">
      <c r="A2683" s="54" t="n"/>
      <c r="B2683" s="61" t="n"/>
      <c r="C2683" s="62" t="n"/>
      <c r="D2683" s="57" t="n"/>
      <c r="E2683" s="57" t="n"/>
      <c r="F2683" s="58" t="n"/>
      <c r="G2683" s="66">
        <f>IF(tblFleet[[#This Row],[Units]]="","",tblFleet[[#This Row],[Units]]*cfg_HoursPerDay)</f>
        <v/>
      </c>
      <c r="H2683" s="66">
        <f>IF(tblFleet[[#This Row],[Units]]="","",tblFleet[[#This Row],[Calendar_h]]-tblFleet[[#This Row],[Down_h]])</f>
        <v/>
      </c>
      <c r="I2683" s="60">
        <f>IF(AND(tblFleet[[#This Row],[Units]]&lt;&gt;"",tblFleet[[#This Row],[Calendar_h]]&gt;0),tblFleet[[#This Row],[Available_h]]/tblFleet[[#This Row],[Calendar_h]],"")</f>
        <v/>
      </c>
      <c r="J2683" s="60">
        <f>IF(AND(tblFleet[[#This Row],[Units]]&lt;&gt;"",tblFleet[[#This Row],[Available_h]]&gt;0),tblFleet[[#This Row],[Operating_h]]/tblFleet[[#This Row],[Available_h]],"")</f>
        <v/>
      </c>
    </row>
    <row r="2684">
      <c r="A2684" s="54" t="n"/>
      <c r="B2684" s="61" t="n"/>
      <c r="C2684" s="62" t="n"/>
      <c r="D2684" s="57" t="n"/>
      <c r="E2684" s="57" t="n"/>
      <c r="F2684" s="58" t="n"/>
      <c r="G2684" s="66">
        <f>IF(tblFleet[[#This Row],[Units]]="","",tblFleet[[#This Row],[Units]]*cfg_HoursPerDay)</f>
        <v/>
      </c>
      <c r="H2684" s="66">
        <f>IF(tblFleet[[#This Row],[Units]]="","",tblFleet[[#This Row],[Calendar_h]]-tblFleet[[#This Row],[Down_h]])</f>
        <v/>
      </c>
      <c r="I2684" s="60">
        <f>IF(AND(tblFleet[[#This Row],[Units]]&lt;&gt;"",tblFleet[[#This Row],[Calendar_h]]&gt;0),tblFleet[[#This Row],[Available_h]]/tblFleet[[#This Row],[Calendar_h]],"")</f>
        <v/>
      </c>
      <c r="J2684" s="60">
        <f>IF(AND(tblFleet[[#This Row],[Units]]&lt;&gt;"",tblFleet[[#This Row],[Available_h]]&gt;0),tblFleet[[#This Row],[Operating_h]]/tblFleet[[#This Row],[Available_h]],"")</f>
        <v/>
      </c>
    </row>
    <row r="2685">
      <c r="A2685" s="54" t="n"/>
      <c r="B2685" s="61" t="n"/>
      <c r="C2685" s="62" t="n"/>
      <c r="D2685" s="57" t="n"/>
      <c r="E2685" s="57" t="n"/>
      <c r="F2685" s="58" t="n"/>
      <c r="G2685" s="66">
        <f>IF(tblFleet[[#This Row],[Units]]="","",tblFleet[[#This Row],[Units]]*cfg_HoursPerDay)</f>
        <v/>
      </c>
      <c r="H2685" s="66">
        <f>IF(tblFleet[[#This Row],[Units]]="","",tblFleet[[#This Row],[Calendar_h]]-tblFleet[[#This Row],[Down_h]])</f>
        <v/>
      </c>
      <c r="I2685" s="60">
        <f>IF(AND(tblFleet[[#This Row],[Units]]&lt;&gt;"",tblFleet[[#This Row],[Calendar_h]]&gt;0),tblFleet[[#This Row],[Available_h]]/tblFleet[[#This Row],[Calendar_h]],"")</f>
        <v/>
      </c>
      <c r="J2685" s="60">
        <f>IF(AND(tblFleet[[#This Row],[Units]]&lt;&gt;"",tblFleet[[#This Row],[Available_h]]&gt;0),tblFleet[[#This Row],[Operating_h]]/tblFleet[[#This Row],[Available_h]],"")</f>
        <v/>
      </c>
    </row>
    <row r="2686">
      <c r="A2686" s="54" t="n"/>
      <c r="B2686" s="61" t="n"/>
      <c r="C2686" s="62" t="n"/>
      <c r="D2686" s="57" t="n"/>
      <c r="E2686" s="57" t="n"/>
      <c r="F2686" s="58" t="n"/>
      <c r="G2686" s="66">
        <f>IF(tblFleet[[#This Row],[Units]]="","",tblFleet[[#This Row],[Units]]*cfg_HoursPerDay)</f>
        <v/>
      </c>
      <c r="H2686" s="66">
        <f>IF(tblFleet[[#This Row],[Units]]="","",tblFleet[[#This Row],[Calendar_h]]-tblFleet[[#This Row],[Down_h]])</f>
        <v/>
      </c>
      <c r="I2686" s="60">
        <f>IF(AND(tblFleet[[#This Row],[Units]]&lt;&gt;"",tblFleet[[#This Row],[Calendar_h]]&gt;0),tblFleet[[#This Row],[Available_h]]/tblFleet[[#This Row],[Calendar_h]],"")</f>
        <v/>
      </c>
      <c r="J2686" s="60">
        <f>IF(AND(tblFleet[[#This Row],[Units]]&lt;&gt;"",tblFleet[[#This Row],[Available_h]]&gt;0),tblFleet[[#This Row],[Operating_h]]/tblFleet[[#This Row],[Available_h]],"")</f>
        <v/>
      </c>
    </row>
    <row r="2687">
      <c r="A2687" s="54" t="n"/>
      <c r="B2687" s="61" t="n"/>
      <c r="C2687" s="62" t="n"/>
      <c r="D2687" s="57" t="n"/>
      <c r="E2687" s="57" t="n"/>
      <c r="F2687" s="58" t="n"/>
      <c r="G2687" s="66">
        <f>IF(tblFleet[[#This Row],[Units]]="","",tblFleet[[#This Row],[Units]]*cfg_HoursPerDay)</f>
        <v/>
      </c>
      <c r="H2687" s="66">
        <f>IF(tblFleet[[#This Row],[Units]]="","",tblFleet[[#This Row],[Calendar_h]]-tblFleet[[#This Row],[Down_h]])</f>
        <v/>
      </c>
      <c r="I2687" s="60">
        <f>IF(AND(tblFleet[[#This Row],[Units]]&lt;&gt;"",tblFleet[[#This Row],[Calendar_h]]&gt;0),tblFleet[[#This Row],[Available_h]]/tblFleet[[#This Row],[Calendar_h]],"")</f>
        <v/>
      </c>
      <c r="J2687" s="60">
        <f>IF(AND(tblFleet[[#This Row],[Units]]&lt;&gt;"",tblFleet[[#This Row],[Available_h]]&gt;0),tblFleet[[#This Row],[Operating_h]]/tblFleet[[#This Row],[Available_h]],"")</f>
        <v/>
      </c>
    </row>
    <row r="2688">
      <c r="A2688" s="54" t="n"/>
      <c r="B2688" s="61" t="n"/>
      <c r="C2688" s="62" t="n"/>
      <c r="D2688" s="57" t="n"/>
      <c r="E2688" s="57" t="n"/>
      <c r="F2688" s="58" t="n"/>
      <c r="G2688" s="66">
        <f>IF(tblFleet[[#This Row],[Units]]="","",tblFleet[[#This Row],[Units]]*cfg_HoursPerDay)</f>
        <v/>
      </c>
      <c r="H2688" s="66">
        <f>IF(tblFleet[[#This Row],[Units]]="","",tblFleet[[#This Row],[Calendar_h]]-tblFleet[[#This Row],[Down_h]])</f>
        <v/>
      </c>
      <c r="I2688" s="60">
        <f>IF(AND(tblFleet[[#This Row],[Units]]&lt;&gt;"",tblFleet[[#This Row],[Calendar_h]]&gt;0),tblFleet[[#This Row],[Available_h]]/tblFleet[[#This Row],[Calendar_h]],"")</f>
        <v/>
      </c>
      <c r="J2688" s="60">
        <f>IF(AND(tblFleet[[#This Row],[Units]]&lt;&gt;"",tblFleet[[#This Row],[Available_h]]&gt;0),tblFleet[[#This Row],[Operating_h]]/tblFleet[[#This Row],[Available_h]],"")</f>
        <v/>
      </c>
    </row>
    <row r="2689">
      <c r="A2689" s="54" t="n"/>
      <c r="B2689" s="61" t="n"/>
      <c r="C2689" s="62" t="n"/>
      <c r="D2689" s="57" t="n"/>
      <c r="E2689" s="57" t="n"/>
      <c r="F2689" s="58" t="n"/>
      <c r="G2689" s="66">
        <f>IF(tblFleet[[#This Row],[Units]]="","",tblFleet[[#This Row],[Units]]*cfg_HoursPerDay)</f>
        <v/>
      </c>
      <c r="H2689" s="66">
        <f>IF(tblFleet[[#This Row],[Units]]="","",tblFleet[[#This Row],[Calendar_h]]-tblFleet[[#This Row],[Down_h]])</f>
        <v/>
      </c>
      <c r="I2689" s="60">
        <f>IF(AND(tblFleet[[#This Row],[Units]]&lt;&gt;"",tblFleet[[#This Row],[Calendar_h]]&gt;0),tblFleet[[#This Row],[Available_h]]/tblFleet[[#This Row],[Calendar_h]],"")</f>
        <v/>
      </c>
      <c r="J2689" s="60">
        <f>IF(AND(tblFleet[[#This Row],[Units]]&lt;&gt;"",tblFleet[[#This Row],[Available_h]]&gt;0),tblFleet[[#This Row],[Operating_h]]/tblFleet[[#This Row],[Available_h]],"")</f>
        <v/>
      </c>
    </row>
    <row r="2690">
      <c r="A2690" s="54" t="n"/>
      <c r="B2690" s="61" t="n"/>
      <c r="C2690" s="62" t="n"/>
      <c r="D2690" s="57" t="n"/>
      <c r="E2690" s="57" t="n"/>
      <c r="F2690" s="58" t="n"/>
      <c r="G2690" s="66">
        <f>IF(tblFleet[[#This Row],[Units]]="","",tblFleet[[#This Row],[Units]]*cfg_HoursPerDay)</f>
        <v/>
      </c>
      <c r="H2690" s="66">
        <f>IF(tblFleet[[#This Row],[Units]]="","",tblFleet[[#This Row],[Calendar_h]]-tblFleet[[#This Row],[Down_h]])</f>
        <v/>
      </c>
      <c r="I2690" s="60">
        <f>IF(AND(tblFleet[[#This Row],[Units]]&lt;&gt;"",tblFleet[[#This Row],[Calendar_h]]&gt;0),tblFleet[[#This Row],[Available_h]]/tblFleet[[#This Row],[Calendar_h]],"")</f>
        <v/>
      </c>
      <c r="J2690" s="60">
        <f>IF(AND(tblFleet[[#This Row],[Units]]&lt;&gt;"",tblFleet[[#This Row],[Available_h]]&gt;0),tblFleet[[#This Row],[Operating_h]]/tblFleet[[#This Row],[Available_h]],"")</f>
        <v/>
      </c>
    </row>
    <row r="2691">
      <c r="A2691" s="54" t="n"/>
      <c r="B2691" s="61" t="n"/>
      <c r="C2691" s="62" t="n"/>
      <c r="D2691" s="57" t="n"/>
      <c r="E2691" s="57" t="n"/>
      <c r="F2691" s="58" t="n"/>
      <c r="G2691" s="66">
        <f>IF(tblFleet[[#This Row],[Units]]="","",tblFleet[[#This Row],[Units]]*cfg_HoursPerDay)</f>
        <v/>
      </c>
      <c r="H2691" s="66">
        <f>IF(tblFleet[[#This Row],[Units]]="","",tblFleet[[#This Row],[Calendar_h]]-tblFleet[[#This Row],[Down_h]])</f>
        <v/>
      </c>
      <c r="I2691" s="60">
        <f>IF(AND(tblFleet[[#This Row],[Units]]&lt;&gt;"",tblFleet[[#This Row],[Calendar_h]]&gt;0),tblFleet[[#This Row],[Available_h]]/tblFleet[[#This Row],[Calendar_h]],"")</f>
        <v/>
      </c>
      <c r="J2691" s="60">
        <f>IF(AND(tblFleet[[#This Row],[Units]]&lt;&gt;"",tblFleet[[#This Row],[Available_h]]&gt;0),tblFleet[[#This Row],[Operating_h]]/tblFleet[[#This Row],[Available_h]],"")</f>
        <v/>
      </c>
    </row>
    <row r="2692">
      <c r="A2692" s="54" t="n"/>
      <c r="B2692" s="61" t="n"/>
      <c r="C2692" s="62" t="n"/>
      <c r="D2692" s="57" t="n"/>
      <c r="E2692" s="57" t="n"/>
      <c r="F2692" s="58" t="n"/>
      <c r="G2692" s="66">
        <f>IF(tblFleet[[#This Row],[Units]]="","",tblFleet[[#This Row],[Units]]*cfg_HoursPerDay)</f>
        <v/>
      </c>
      <c r="H2692" s="66">
        <f>IF(tblFleet[[#This Row],[Units]]="","",tblFleet[[#This Row],[Calendar_h]]-tblFleet[[#This Row],[Down_h]])</f>
        <v/>
      </c>
      <c r="I2692" s="60">
        <f>IF(AND(tblFleet[[#This Row],[Units]]&lt;&gt;"",tblFleet[[#This Row],[Calendar_h]]&gt;0),tblFleet[[#This Row],[Available_h]]/tblFleet[[#This Row],[Calendar_h]],"")</f>
        <v/>
      </c>
      <c r="J2692" s="60">
        <f>IF(AND(tblFleet[[#This Row],[Units]]&lt;&gt;"",tblFleet[[#This Row],[Available_h]]&gt;0),tblFleet[[#This Row],[Operating_h]]/tblFleet[[#This Row],[Available_h]],"")</f>
        <v/>
      </c>
    </row>
    <row r="2693">
      <c r="A2693" s="54" t="n"/>
      <c r="B2693" s="61" t="n"/>
      <c r="C2693" s="62" t="n"/>
      <c r="D2693" s="57" t="n"/>
      <c r="E2693" s="57" t="n"/>
      <c r="F2693" s="58" t="n"/>
      <c r="G2693" s="66">
        <f>IF(tblFleet[[#This Row],[Units]]="","",tblFleet[[#This Row],[Units]]*cfg_HoursPerDay)</f>
        <v/>
      </c>
      <c r="H2693" s="66">
        <f>IF(tblFleet[[#This Row],[Units]]="","",tblFleet[[#This Row],[Calendar_h]]-tblFleet[[#This Row],[Down_h]])</f>
        <v/>
      </c>
      <c r="I2693" s="60">
        <f>IF(AND(tblFleet[[#This Row],[Units]]&lt;&gt;"",tblFleet[[#This Row],[Calendar_h]]&gt;0),tblFleet[[#This Row],[Available_h]]/tblFleet[[#This Row],[Calendar_h]],"")</f>
        <v/>
      </c>
      <c r="J2693" s="60">
        <f>IF(AND(tblFleet[[#This Row],[Units]]&lt;&gt;"",tblFleet[[#This Row],[Available_h]]&gt;0),tblFleet[[#This Row],[Operating_h]]/tblFleet[[#This Row],[Available_h]],"")</f>
        <v/>
      </c>
    </row>
    <row r="2694">
      <c r="A2694" s="54" t="n"/>
      <c r="B2694" s="61" t="n"/>
      <c r="C2694" s="62" t="n"/>
      <c r="D2694" s="57" t="n"/>
      <c r="E2694" s="57" t="n"/>
      <c r="F2694" s="58" t="n"/>
      <c r="G2694" s="66">
        <f>IF(tblFleet[[#This Row],[Units]]="","",tblFleet[[#This Row],[Units]]*cfg_HoursPerDay)</f>
        <v/>
      </c>
      <c r="H2694" s="66">
        <f>IF(tblFleet[[#This Row],[Units]]="","",tblFleet[[#This Row],[Calendar_h]]-tblFleet[[#This Row],[Down_h]])</f>
        <v/>
      </c>
      <c r="I2694" s="60">
        <f>IF(AND(tblFleet[[#This Row],[Units]]&lt;&gt;"",tblFleet[[#This Row],[Calendar_h]]&gt;0),tblFleet[[#This Row],[Available_h]]/tblFleet[[#This Row],[Calendar_h]],"")</f>
        <v/>
      </c>
      <c r="J2694" s="60">
        <f>IF(AND(tblFleet[[#This Row],[Units]]&lt;&gt;"",tblFleet[[#This Row],[Available_h]]&gt;0),tblFleet[[#This Row],[Operating_h]]/tblFleet[[#This Row],[Available_h]],"")</f>
        <v/>
      </c>
    </row>
    <row r="2695">
      <c r="A2695" s="54" t="n"/>
      <c r="B2695" s="61" t="n"/>
      <c r="C2695" s="62" t="n"/>
      <c r="D2695" s="57" t="n"/>
      <c r="E2695" s="57" t="n"/>
      <c r="F2695" s="58" t="n"/>
      <c r="G2695" s="66">
        <f>IF(tblFleet[[#This Row],[Units]]="","",tblFleet[[#This Row],[Units]]*cfg_HoursPerDay)</f>
        <v/>
      </c>
      <c r="H2695" s="66">
        <f>IF(tblFleet[[#This Row],[Units]]="","",tblFleet[[#This Row],[Calendar_h]]-tblFleet[[#This Row],[Down_h]])</f>
        <v/>
      </c>
      <c r="I2695" s="60">
        <f>IF(AND(tblFleet[[#This Row],[Units]]&lt;&gt;"",tblFleet[[#This Row],[Calendar_h]]&gt;0),tblFleet[[#This Row],[Available_h]]/tblFleet[[#This Row],[Calendar_h]],"")</f>
        <v/>
      </c>
      <c r="J2695" s="60">
        <f>IF(AND(tblFleet[[#This Row],[Units]]&lt;&gt;"",tblFleet[[#This Row],[Available_h]]&gt;0),tblFleet[[#This Row],[Operating_h]]/tblFleet[[#This Row],[Available_h]],"")</f>
        <v/>
      </c>
    </row>
    <row r="2696">
      <c r="A2696" s="54" t="n"/>
      <c r="B2696" s="61" t="n"/>
      <c r="C2696" s="62" t="n"/>
      <c r="D2696" s="57" t="n"/>
      <c r="E2696" s="57" t="n"/>
      <c r="F2696" s="58" t="n"/>
      <c r="G2696" s="66">
        <f>IF(tblFleet[[#This Row],[Units]]="","",tblFleet[[#This Row],[Units]]*cfg_HoursPerDay)</f>
        <v/>
      </c>
      <c r="H2696" s="66">
        <f>IF(tblFleet[[#This Row],[Units]]="","",tblFleet[[#This Row],[Calendar_h]]-tblFleet[[#This Row],[Down_h]])</f>
        <v/>
      </c>
      <c r="I2696" s="60">
        <f>IF(AND(tblFleet[[#This Row],[Units]]&lt;&gt;"",tblFleet[[#This Row],[Calendar_h]]&gt;0),tblFleet[[#This Row],[Available_h]]/tblFleet[[#This Row],[Calendar_h]],"")</f>
        <v/>
      </c>
      <c r="J2696" s="60">
        <f>IF(AND(tblFleet[[#This Row],[Units]]&lt;&gt;"",tblFleet[[#This Row],[Available_h]]&gt;0),tblFleet[[#This Row],[Operating_h]]/tblFleet[[#This Row],[Available_h]],"")</f>
        <v/>
      </c>
    </row>
    <row r="2697">
      <c r="A2697" s="54" t="n"/>
      <c r="B2697" s="61" t="n"/>
      <c r="C2697" s="62" t="n"/>
      <c r="D2697" s="57" t="n"/>
      <c r="E2697" s="57" t="n"/>
      <c r="F2697" s="58" t="n"/>
      <c r="G2697" s="66">
        <f>IF(tblFleet[[#This Row],[Units]]="","",tblFleet[[#This Row],[Units]]*cfg_HoursPerDay)</f>
        <v/>
      </c>
      <c r="H2697" s="66">
        <f>IF(tblFleet[[#This Row],[Units]]="","",tblFleet[[#This Row],[Calendar_h]]-tblFleet[[#This Row],[Down_h]])</f>
        <v/>
      </c>
      <c r="I2697" s="60">
        <f>IF(AND(tblFleet[[#This Row],[Units]]&lt;&gt;"",tblFleet[[#This Row],[Calendar_h]]&gt;0),tblFleet[[#This Row],[Available_h]]/tblFleet[[#This Row],[Calendar_h]],"")</f>
        <v/>
      </c>
      <c r="J2697" s="60">
        <f>IF(AND(tblFleet[[#This Row],[Units]]&lt;&gt;"",tblFleet[[#This Row],[Available_h]]&gt;0),tblFleet[[#This Row],[Operating_h]]/tblFleet[[#This Row],[Available_h]],"")</f>
        <v/>
      </c>
    </row>
    <row r="2698">
      <c r="A2698" s="54" t="n"/>
      <c r="B2698" s="61" t="n"/>
      <c r="C2698" s="62" t="n"/>
      <c r="D2698" s="57" t="n"/>
      <c r="E2698" s="57" t="n"/>
      <c r="F2698" s="58" t="n"/>
      <c r="G2698" s="66">
        <f>IF(tblFleet[[#This Row],[Units]]="","",tblFleet[[#This Row],[Units]]*cfg_HoursPerDay)</f>
        <v/>
      </c>
      <c r="H2698" s="66">
        <f>IF(tblFleet[[#This Row],[Units]]="","",tblFleet[[#This Row],[Calendar_h]]-tblFleet[[#This Row],[Down_h]])</f>
        <v/>
      </c>
      <c r="I2698" s="60">
        <f>IF(AND(tblFleet[[#This Row],[Units]]&lt;&gt;"",tblFleet[[#This Row],[Calendar_h]]&gt;0),tblFleet[[#This Row],[Available_h]]/tblFleet[[#This Row],[Calendar_h]],"")</f>
        <v/>
      </c>
      <c r="J2698" s="60">
        <f>IF(AND(tblFleet[[#This Row],[Units]]&lt;&gt;"",tblFleet[[#This Row],[Available_h]]&gt;0),tblFleet[[#This Row],[Operating_h]]/tblFleet[[#This Row],[Available_h]],"")</f>
        <v/>
      </c>
    </row>
    <row r="2699">
      <c r="A2699" s="54" t="n"/>
      <c r="B2699" s="61" t="n"/>
      <c r="C2699" s="62" t="n"/>
      <c r="D2699" s="57" t="n"/>
      <c r="E2699" s="57" t="n"/>
      <c r="F2699" s="58" t="n"/>
      <c r="G2699" s="66">
        <f>IF(tblFleet[[#This Row],[Units]]="","",tblFleet[[#This Row],[Units]]*cfg_HoursPerDay)</f>
        <v/>
      </c>
      <c r="H2699" s="66">
        <f>IF(tblFleet[[#This Row],[Units]]="","",tblFleet[[#This Row],[Calendar_h]]-tblFleet[[#This Row],[Down_h]])</f>
        <v/>
      </c>
      <c r="I2699" s="60">
        <f>IF(AND(tblFleet[[#This Row],[Units]]&lt;&gt;"",tblFleet[[#This Row],[Calendar_h]]&gt;0),tblFleet[[#This Row],[Available_h]]/tblFleet[[#This Row],[Calendar_h]],"")</f>
        <v/>
      </c>
      <c r="J2699" s="60">
        <f>IF(AND(tblFleet[[#This Row],[Units]]&lt;&gt;"",tblFleet[[#This Row],[Available_h]]&gt;0),tblFleet[[#This Row],[Operating_h]]/tblFleet[[#This Row],[Available_h]],"")</f>
        <v/>
      </c>
    </row>
    <row r="2700">
      <c r="A2700" s="54" t="n"/>
      <c r="B2700" s="61" t="n"/>
      <c r="C2700" s="62" t="n"/>
      <c r="D2700" s="57" t="n"/>
      <c r="E2700" s="57" t="n"/>
      <c r="F2700" s="58" t="n"/>
      <c r="G2700" s="66">
        <f>IF(tblFleet[[#This Row],[Units]]="","",tblFleet[[#This Row],[Units]]*cfg_HoursPerDay)</f>
        <v/>
      </c>
      <c r="H2700" s="66">
        <f>IF(tblFleet[[#This Row],[Units]]="","",tblFleet[[#This Row],[Calendar_h]]-tblFleet[[#This Row],[Down_h]])</f>
        <v/>
      </c>
      <c r="I2700" s="60">
        <f>IF(AND(tblFleet[[#This Row],[Units]]&lt;&gt;"",tblFleet[[#This Row],[Calendar_h]]&gt;0),tblFleet[[#This Row],[Available_h]]/tblFleet[[#This Row],[Calendar_h]],"")</f>
        <v/>
      </c>
      <c r="J2700" s="60">
        <f>IF(AND(tblFleet[[#This Row],[Units]]&lt;&gt;"",tblFleet[[#This Row],[Available_h]]&gt;0),tblFleet[[#This Row],[Operating_h]]/tblFleet[[#This Row],[Available_h]],"")</f>
        <v/>
      </c>
    </row>
    <row r="2701">
      <c r="A2701" s="54" t="n"/>
      <c r="B2701" s="61" t="n"/>
      <c r="C2701" s="62" t="n"/>
      <c r="D2701" s="57" t="n"/>
      <c r="E2701" s="57" t="n"/>
      <c r="F2701" s="58" t="n"/>
      <c r="G2701" s="66">
        <f>IF(tblFleet[[#This Row],[Units]]="","",tblFleet[[#This Row],[Units]]*cfg_HoursPerDay)</f>
        <v/>
      </c>
      <c r="H2701" s="66">
        <f>IF(tblFleet[[#This Row],[Units]]="","",tblFleet[[#This Row],[Calendar_h]]-tblFleet[[#This Row],[Down_h]])</f>
        <v/>
      </c>
      <c r="I2701" s="60">
        <f>IF(AND(tblFleet[[#This Row],[Units]]&lt;&gt;"",tblFleet[[#This Row],[Calendar_h]]&gt;0),tblFleet[[#This Row],[Available_h]]/tblFleet[[#This Row],[Calendar_h]],"")</f>
        <v/>
      </c>
      <c r="J2701" s="60">
        <f>IF(AND(tblFleet[[#This Row],[Units]]&lt;&gt;"",tblFleet[[#This Row],[Available_h]]&gt;0),tblFleet[[#This Row],[Operating_h]]/tblFleet[[#This Row],[Available_h]],"")</f>
        <v/>
      </c>
    </row>
    <row r="2702">
      <c r="A2702" s="54" t="n"/>
      <c r="B2702" s="61" t="n"/>
      <c r="C2702" s="62" t="n"/>
      <c r="D2702" s="57" t="n"/>
      <c r="E2702" s="57" t="n"/>
      <c r="F2702" s="58" t="n"/>
      <c r="G2702" s="66">
        <f>IF(tblFleet[[#This Row],[Units]]="","",tblFleet[[#This Row],[Units]]*cfg_HoursPerDay)</f>
        <v/>
      </c>
      <c r="H2702" s="66">
        <f>IF(tblFleet[[#This Row],[Units]]="","",tblFleet[[#This Row],[Calendar_h]]-tblFleet[[#This Row],[Down_h]])</f>
        <v/>
      </c>
      <c r="I2702" s="60">
        <f>IF(AND(tblFleet[[#This Row],[Units]]&lt;&gt;"",tblFleet[[#This Row],[Calendar_h]]&gt;0),tblFleet[[#This Row],[Available_h]]/tblFleet[[#This Row],[Calendar_h]],"")</f>
        <v/>
      </c>
      <c r="J2702" s="60">
        <f>IF(AND(tblFleet[[#This Row],[Units]]&lt;&gt;"",tblFleet[[#This Row],[Available_h]]&gt;0),tblFleet[[#This Row],[Operating_h]]/tblFleet[[#This Row],[Available_h]],"")</f>
        <v/>
      </c>
    </row>
    <row r="2703">
      <c r="A2703" s="54" t="n"/>
      <c r="B2703" s="61" t="n"/>
      <c r="C2703" s="62" t="n"/>
      <c r="D2703" s="57" t="n"/>
      <c r="E2703" s="57" t="n"/>
      <c r="F2703" s="58" t="n"/>
      <c r="G2703" s="66">
        <f>IF(tblFleet[[#This Row],[Units]]="","",tblFleet[[#This Row],[Units]]*cfg_HoursPerDay)</f>
        <v/>
      </c>
      <c r="H2703" s="66">
        <f>IF(tblFleet[[#This Row],[Units]]="","",tblFleet[[#This Row],[Calendar_h]]-tblFleet[[#This Row],[Down_h]])</f>
        <v/>
      </c>
      <c r="I2703" s="60">
        <f>IF(AND(tblFleet[[#This Row],[Units]]&lt;&gt;"",tblFleet[[#This Row],[Calendar_h]]&gt;0),tblFleet[[#This Row],[Available_h]]/tblFleet[[#This Row],[Calendar_h]],"")</f>
        <v/>
      </c>
      <c r="J2703" s="60">
        <f>IF(AND(tblFleet[[#This Row],[Units]]&lt;&gt;"",tblFleet[[#This Row],[Available_h]]&gt;0),tblFleet[[#This Row],[Operating_h]]/tblFleet[[#This Row],[Available_h]],"")</f>
        <v/>
      </c>
    </row>
    <row r="2704">
      <c r="A2704" s="54" t="n"/>
      <c r="B2704" s="61" t="n"/>
      <c r="C2704" s="62" t="n"/>
      <c r="D2704" s="57" t="n"/>
      <c r="E2704" s="57" t="n"/>
      <c r="F2704" s="58" t="n"/>
      <c r="G2704" s="66">
        <f>IF(tblFleet[[#This Row],[Units]]="","",tblFleet[[#This Row],[Units]]*cfg_HoursPerDay)</f>
        <v/>
      </c>
      <c r="H2704" s="66">
        <f>IF(tblFleet[[#This Row],[Units]]="","",tblFleet[[#This Row],[Calendar_h]]-tblFleet[[#This Row],[Down_h]])</f>
        <v/>
      </c>
      <c r="I2704" s="60">
        <f>IF(AND(tblFleet[[#This Row],[Units]]&lt;&gt;"",tblFleet[[#This Row],[Calendar_h]]&gt;0),tblFleet[[#This Row],[Available_h]]/tblFleet[[#This Row],[Calendar_h]],"")</f>
        <v/>
      </c>
      <c r="J2704" s="60">
        <f>IF(AND(tblFleet[[#This Row],[Units]]&lt;&gt;"",tblFleet[[#This Row],[Available_h]]&gt;0),tblFleet[[#This Row],[Operating_h]]/tblFleet[[#This Row],[Available_h]],"")</f>
        <v/>
      </c>
    </row>
    <row r="2705">
      <c r="A2705" s="54" t="n"/>
      <c r="B2705" s="61" t="n"/>
      <c r="C2705" s="62" t="n"/>
      <c r="D2705" s="57" t="n"/>
      <c r="E2705" s="57" t="n"/>
      <c r="F2705" s="58" t="n"/>
      <c r="G2705" s="66">
        <f>IF(tblFleet[[#This Row],[Units]]="","",tblFleet[[#This Row],[Units]]*cfg_HoursPerDay)</f>
        <v/>
      </c>
      <c r="H2705" s="66">
        <f>IF(tblFleet[[#This Row],[Units]]="","",tblFleet[[#This Row],[Calendar_h]]-tblFleet[[#This Row],[Down_h]])</f>
        <v/>
      </c>
      <c r="I2705" s="60">
        <f>IF(AND(tblFleet[[#This Row],[Units]]&lt;&gt;"",tblFleet[[#This Row],[Calendar_h]]&gt;0),tblFleet[[#This Row],[Available_h]]/tblFleet[[#This Row],[Calendar_h]],"")</f>
        <v/>
      </c>
      <c r="J2705" s="60">
        <f>IF(AND(tblFleet[[#This Row],[Units]]&lt;&gt;"",tblFleet[[#This Row],[Available_h]]&gt;0),tblFleet[[#This Row],[Operating_h]]/tblFleet[[#This Row],[Available_h]],"")</f>
        <v/>
      </c>
    </row>
    <row r="2706">
      <c r="A2706" s="54" t="n"/>
      <c r="B2706" s="61" t="n"/>
      <c r="C2706" s="62" t="n"/>
      <c r="D2706" s="57" t="n"/>
      <c r="E2706" s="57" t="n"/>
      <c r="F2706" s="58" t="n"/>
      <c r="G2706" s="66">
        <f>IF(tblFleet[[#This Row],[Units]]="","",tblFleet[[#This Row],[Units]]*cfg_HoursPerDay)</f>
        <v/>
      </c>
      <c r="H2706" s="66">
        <f>IF(tblFleet[[#This Row],[Units]]="","",tblFleet[[#This Row],[Calendar_h]]-tblFleet[[#This Row],[Down_h]])</f>
        <v/>
      </c>
      <c r="I2706" s="60">
        <f>IF(AND(tblFleet[[#This Row],[Units]]&lt;&gt;"",tblFleet[[#This Row],[Calendar_h]]&gt;0),tblFleet[[#This Row],[Available_h]]/tblFleet[[#This Row],[Calendar_h]],"")</f>
        <v/>
      </c>
      <c r="J2706" s="60">
        <f>IF(AND(tblFleet[[#This Row],[Units]]&lt;&gt;"",tblFleet[[#This Row],[Available_h]]&gt;0),tblFleet[[#This Row],[Operating_h]]/tblFleet[[#This Row],[Available_h]],"")</f>
        <v/>
      </c>
    </row>
    <row r="2707">
      <c r="A2707" s="54" t="n"/>
      <c r="B2707" s="61" t="n"/>
      <c r="C2707" s="62" t="n"/>
      <c r="D2707" s="57" t="n"/>
      <c r="E2707" s="57" t="n"/>
      <c r="F2707" s="58" t="n"/>
      <c r="G2707" s="66">
        <f>IF(tblFleet[[#This Row],[Units]]="","",tblFleet[[#This Row],[Units]]*cfg_HoursPerDay)</f>
        <v/>
      </c>
      <c r="H2707" s="66">
        <f>IF(tblFleet[[#This Row],[Units]]="","",tblFleet[[#This Row],[Calendar_h]]-tblFleet[[#This Row],[Down_h]])</f>
        <v/>
      </c>
      <c r="I2707" s="60">
        <f>IF(AND(tblFleet[[#This Row],[Units]]&lt;&gt;"",tblFleet[[#This Row],[Calendar_h]]&gt;0),tblFleet[[#This Row],[Available_h]]/tblFleet[[#This Row],[Calendar_h]],"")</f>
        <v/>
      </c>
      <c r="J2707" s="60">
        <f>IF(AND(tblFleet[[#This Row],[Units]]&lt;&gt;"",tblFleet[[#This Row],[Available_h]]&gt;0),tblFleet[[#This Row],[Operating_h]]/tblFleet[[#This Row],[Available_h]],"")</f>
        <v/>
      </c>
    </row>
    <row r="2708">
      <c r="A2708" s="54" t="n"/>
      <c r="B2708" s="61" t="n"/>
      <c r="C2708" s="62" t="n"/>
      <c r="D2708" s="57" t="n"/>
      <c r="E2708" s="57" t="n"/>
      <c r="F2708" s="58" t="n"/>
      <c r="G2708" s="66">
        <f>IF(tblFleet[[#This Row],[Units]]="","",tblFleet[[#This Row],[Units]]*cfg_HoursPerDay)</f>
        <v/>
      </c>
      <c r="H2708" s="66">
        <f>IF(tblFleet[[#This Row],[Units]]="","",tblFleet[[#This Row],[Calendar_h]]-tblFleet[[#This Row],[Down_h]])</f>
        <v/>
      </c>
      <c r="I2708" s="60">
        <f>IF(AND(tblFleet[[#This Row],[Units]]&lt;&gt;"",tblFleet[[#This Row],[Calendar_h]]&gt;0),tblFleet[[#This Row],[Available_h]]/tblFleet[[#This Row],[Calendar_h]],"")</f>
        <v/>
      </c>
      <c r="J2708" s="60">
        <f>IF(AND(tblFleet[[#This Row],[Units]]&lt;&gt;"",tblFleet[[#This Row],[Available_h]]&gt;0),tblFleet[[#This Row],[Operating_h]]/tblFleet[[#This Row],[Available_h]],"")</f>
        <v/>
      </c>
    </row>
    <row r="2709">
      <c r="A2709" s="54" t="n"/>
      <c r="B2709" s="61" t="n"/>
      <c r="C2709" s="62" t="n"/>
      <c r="D2709" s="57" t="n"/>
      <c r="E2709" s="57" t="n"/>
      <c r="F2709" s="58" t="n"/>
      <c r="G2709" s="66">
        <f>IF(tblFleet[[#This Row],[Units]]="","",tblFleet[[#This Row],[Units]]*cfg_HoursPerDay)</f>
        <v/>
      </c>
      <c r="H2709" s="66">
        <f>IF(tblFleet[[#This Row],[Units]]="","",tblFleet[[#This Row],[Calendar_h]]-tblFleet[[#This Row],[Down_h]])</f>
        <v/>
      </c>
      <c r="I2709" s="60">
        <f>IF(AND(tblFleet[[#This Row],[Units]]&lt;&gt;"",tblFleet[[#This Row],[Calendar_h]]&gt;0),tblFleet[[#This Row],[Available_h]]/tblFleet[[#This Row],[Calendar_h]],"")</f>
        <v/>
      </c>
      <c r="J2709" s="60">
        <f>IF(AND(tblFleet[[#This Row],[Units]]&lt;&gt;"",tblFleet[[#This Row],[Available_h]]&gt;0),tblFleet[[#This Row],[Operating_h]]/tblFleet[[#This Row],[Available_h]],"")</f>
        <v/>
      </c>
    </row>
    <row r="2710">
      <c r="A2710" s="54" t="n"/>
      <c r="B2710" s="61" t="n"/>
      <c r="C2710" s="62" t="n"/>
      <c r="D2710" s="57" t="n"/>
      <c r="E2710" s="57" t="n"/>
      <c r="F2710" s="58" t="n"/>
      <c r="G2710" s="66">
        <f>IF(tblFleet[[#This Row],[Units]]="","",tblFleet[[#This Row],[Units]]*cfg_HoursPerDay)</f>
        <v/>
      </c>
      <c r="H2710" s="66">
        <f>IF(tblFleet[[#This Row],[Units]]="","",tblFleet[[#This Row],[Calendar_h]]-tblFleet[[#This Row],[Down_h]])</f>
        <v/>
      </c>
      <c r="I2710" s="60">
        <f>IF(AND(tblFleet[[#This Row],[Units]]&lt;&gt;"",tblFleet[[#This Row],[Calendar_h]]&gt;0),tblFleet[[#This Row],[Available_h]]/tblFleet[[#This Row],[Calendar_h]],"")</f>
        <v/>
      </c>
      <c r="J2710" s="60">
        <f>IF(AND(tblFleet[[#This Row],[Units]]&lt;&gt;"",tblFleet[[#This Row],[Available_h]]&gt;0),tblFleet[[#This Row],[Operating_h]]/tblFleet[[#This Row],[Available_h]],"")</f>
        <v/>
      </c>
    </row>
    <row r="2711">
      <c r="A2711" s="54" t="n"/>
      <c r="B2711" s="61" t="n"/>
      <c r="C2711" s="62" t="n"/>
      <c r="D2711" s="57" t="n"/>
      <c r="E2711" s="57" t="n"/>
      <c r="F2711" s="58" t="n"/>
      <c r="G2711" s="66">
        <f>IF(tblFleet[[#This Row],[Units]]="","",tblFleet[[#This Row],[Units]]*cfg_HoursPerDay)</f>
        <v/>
      </c>
      <c r="H2711" s="66">
        <f>IF(tblFleet[[#This Row],[Units]]="","",tblFleet[[#This Row],[Calendar_h]]-tblFleet[[#This Row],[Down_h]])</f>
        <v/>
      </c>
      <c r="I2711" s="60">
        <f>IF(AND(tblFleet[[#This Row],[Units]]&lt;&gt;"",tblFleet[[#This Row],[Calendar_h]]&gt;0),tblFleet[[#This Row],[Available_h]]/tblFleet[[#This Row],[Calendar_h]],"")</f>
        <v/>
      </c>
      <c r="J2711" s="60">
        <f>IF(AND(tblFleet[[#This Row],[Units]]&lt;&gt;"",tblFleet[[#This Row],[Available_h]]&gt;0),tblFleet[[#This Row],[Operating_h]]/tblFleet[[#This Row],[Available_h]],"")</f>
        <v/>
      </c>
    </row>
    <row r="2712">
      <c r="A2712" s="54" t="n"/>
      <c r="B2712" s="61" t="n"/>
      <c r="C2712" s="62" t="n"/>
      <c r="D2712" s="57" t="n"/>
      <c r="E2712" s="57" t="n"/>
      <c r="F2712" s="58" t="n"/>
      <c r="G2712" s="66">
        <f>IF(tblFleet[[#This Row],[Units]]="","",tblFleet[[#This Row],[Units]]*cfg_HoursPerDay)</f>
        <v/>
      </c>
      <c r="H2712" s="66">
        <f>IF(tblFleet[[#This Row],[Units]]="","",tblFleet[[#This Row],[Calendar_h]]-tblFleet[[#This Row],[Down_h]])</f>
        <v/>
      </c>
      <c r="I2712" s="60">
        <f>IF(AND(tblFleet[[#This Row],[Units]]&lt;&gt;"",tblFleet[[#This Row],[Calendar_h]]&gt;0),tblFleet[[#This Row],[Available_h]]/tblFleet[[#This Row],[Calendar_h]],"")</f>
        <v/>
      </c>
      <c r="J2712" s="60">
        <f>IF(AND(tblFleet[[#This Row],[Units]]&lt;&gt;"",tblFleet[[#This Row],[Available_h]]&gt;0),tblFleet[[#This Row],[Operating_h]]/tblFleet[[#This Row],[Available_h]],"")</f>
        <v/>
      </c>
    </row>
    <row r="2713">
      <c r="A2713" s="54" t="n"/>
      <c r="B2713" s="61" t="n"/>
      <c r="C2713" s="62" t="n"/>
      <c r="D2713" s="57" t="n"/>
      <c r="E2713" s="57" t="n"/>
      <c r="F2713" s="58" t="n"/>
      <c r="G2713" s="66">
        <f>IF(tblFleet[[#This Row],[Units]]="","",tblFleet[[#This Row],[Units]]*cfg_HoursPerDay)</f>
        <v/>
      </c>
      <c r="H2713" s="66">
        <f>IF(tblFleet[[#This Row],[Units]]="","",tblFleet[[#This Row],[Calendar_h]]-tblFleet[[#This Row],[Down_h]])</f>
        <v/>
      </c>
      <c r="I2713" s="60">
        <f>IF(AND(tblFleet[[#This Row],[Units]]&lt;&gt;"",tblFleet[[#This Row],[Calendar_h]]&gt;0),tblFleet[[#This Row],[Available_h]]/tblFleet[[#This Row],[Calendar_h]],"")</f>
        <v/>
      </c>
      <c r="J2713" s="60">
        <f>IF(AND(tblFleet[[#This Row],[Units]]&lt;&gt;"",tblFleet[[#This Row],[Available_h]]&gt;0),tblFleet[[#This Row],[Operating_h]]/tblFleet[[#This Row],[Available_h]],"")</f>
        <v/>
      </c>
    </row>
    <row r="2714">
      <c r="A2714" s="54" t="n"/>
      <c r="B2714" s="61" t="n"/>
      <c r="C2714" s="62" t="n"/>
      <c r="D2714" s="57" t="n"/>
      <c r="E2714" s="57" t="n"/>
      <c r="F2714" s="58" t="n"/>
      <c r="G2714" s="66">
        <f>IF(tblFleet[[#This Row],[Units]]="","",tblFleet[[#This Row],[Units]]*cfg_HoursPerDay)</f>
        <v/>
      </c>
      <c r="H2714" s="66">
        <f>IF(tblFleet[[#This Row],[Units]]="","",tblFleet[[#This Row],[Calendar_h]]-tblFleet[[#This Row],[Down_h]])</f>
        <v/>
      </c>
      <c r="I2714" s="60">
        <f>IF(AND(tblFleet[[#This Row],[Units]]&lt;&gt;"",tblFleet[[#This Row],[Calendar_h]]&gt;0),tblFleet[[#This Row],[Available_h]]/tblFleet[[#This Row],[Calendar_h]],"")</f>
        <v/>
      </c>
      <c r="J2714" s="60">
        <f>IF(AND(tblFleet[[#This Row],[Units]]&lt;&gt;"",tblFleet[[#This Row],[Available_h]]&gt;0),tblFleet[[#This Row],[Operating_h]]/tblFleet[[#This Row],[Available_h]],"")</f>
        <v/>
      </c>
    </row>
    <row r="2715">
      <c r="A2715" s="54" t="n"/>
      <c r="B2715" s="61" t="n"/>
      <c r="C2715" s="62" t="n"/>
      <c r="D2715" s="57" t="n"/>
      <c r="E2715" s="57" t="n"/>
      <c r="F2715" s="58" t="n"/>
      <c r="G2715" s="66">
        <f>IF(tblFleet[[#This Row],[Units]]="","",tblFleet[[#This Row],[Units]]*cfg_HoursPerDay)</f>
        <v/>
      </c>
      <c r="H2715" s="66">
        <f>IF(tblFleet[[#This Row],[Units]]="","",tblFleet[[#This Row],[Calendar_h]]-tblFleet[[#This Row],[Down_h]])</f>
        <v/>
      </c>
      <c r="I2715" s="60">
        <f>IF(AND(tblFleet[[#This Row],[Units]]&lt;&gt;"",tblFleet[[#This Row],[Calendar_h]]&gt;0),tblFleet[[#This Row],[Available_h]]/tblFleet[[#This Row],[Calendar_h]],"")</f>
        <v/>
      </c>
      <c r="J2715" s="60">
        <f>IF(AND(tblFleet[[#This Row],[Units]]&lt;&gt;"",tblFleet[[#This Row],[Available_h]]&gt;0),tblFleet[[#This Row],[Operating_h]]/tblFleet[[#This Row],[Available_h]],"")</f>
        <v/>
      </c>
    </row>
    <row r="2716">
      <c r="A2716" s="54" t="n"/>
      <c r="B2716" s="61" t="n"/>
      <c r="C2716" s="62" t="n"/>
      <c r="D2716" s="57" t="n"/>
      <c r="E2716" s="57" t="n"/>
      <c r="F2716" s="58" t="n"/>
      <c r="G2716" s="66">
        <f>IF(tblFleet[[#This Row],[Units]]="","",tblFleet[[#This Row],[Units]]*cfg_HoursPerDay)</f>
        <v/>
      </c>
      <c r="H2716" s="66">
        <f>IF(tblFleet[[#This Row],[Units]]="","",tblFleet[[#This Row],[Calendar_h]]-tblFleet[[#This Row],[Down_h]])</f>
        <v/>
      </c>
      <c r="I2716" s="60">
        <f>IF(AND(tblFleet[[#This Row],[Units]]&lt;&gt;"",tblFleet[[#This Row],[Calendar_h]]&gt;0),tblFleet[[#This Row],[Available_h]]/tblFleet[[#This Row],[Calendar_h]],"")</f>
        <v/>
      </c>
      <c r="J2716" s="60">
        <f>IF(AND(tblFleet[[#This Row],[Units]]&lt;&gt;"",tblFleet[[#This Row],[Available_h]]&gt;0),tblFleet[[#This Row],[Operating_h]]/tblFleet[[#This Row],[Available_h]],"")</f>
        <v/>
      </c>
    </row>
    <row r="2717">
      <c r="A2717" s="54" t="n"/>
      <c r="B2717" s="61" t="n"/>
      <c r="C2717" s="62" t="n"/>
      <c r="D2717" s="57" t="n"/>
      <c r="E2717" s="57" t="n"/>
      <c r="F2717" s="58" t="n"/>
      <c r="G2717" s="66">
        <f>IF(tblFleet[[#This Row],[Units]]="","",tblFleet[[#This Row],[Units]]*cfg_HoursPerDay)</f>
        <v/>
      </c>
      <c r="H2717" s="66">
        <f>IF(tblFleet[[#This Row],[Units]]="","",tblFleet[[#This Row],[Calendar_h]]-tblFleet[[#This Row],[Down_h]])</f>
        <v/>
      </c>
      <c r="I2717" s="60">
        <f>IF(AND(tblFleet[[#This Row],[Units]]&lt;&gt;"",tblFleet[[#This Row],[Calendar_h]]&gt;0),tblFleet[[#This Row],[Available_h]]/tblFleet[[#This Row],[Calendar_h]],"")</f>
        <v/>
      </c>
      <c r="J2717" s="60">
        <f>IF(AND(tblFleet[[#This Row],[Units]]&lt;&gt;"",tblFleet[[#This Row],[Available_h]]&gt;0),tblFleet[[#This Row],[Operating_h]]/tblFleet[[#This Row],[Available_h]],"")</f>
        <v/>
      </c>
    </row>
    <row r="2718">
      <c r="A2718" s="54" t="n"/>
      <c r="B2718" s="61" t="n"/>
      <c r="C2718" s="62" t="n"/>
      <c r="D2718" s="57" t="n"/>
      <c r="E2718" s="57" t="n"/>
      <c r="F2718" s="58" t="n"/>
      <c r="G2718" s="66">
        <f>IF(tblFleet[[#This Row],[Units]]="","",tblFleet[[#This Row],[Units]]*cfg_HoursPerDay)</f>
        <v/>
      </c>
      <c r="H2718" s="66">
        <f>IF(tblFleet[[#This Row],[Units]]="","",tblFleet[[#This Row],[Calendar_h]]-tblFleet[[#This Row],[Down_h]])</f>
        <v/>
      </c>
      <c r="I2718" s="60">
        <f>IF(AND(tblFleet[[#This Row],[Units]]&lt;&gt;"",tblFleet[[#This Row],[Calendar_h]]&gt;0),tblFleet[[#This Row],[Available_h]]/tblFleet[[#This Row],[Calendar_h]],"")</f>
        <v/>
      </c>
      <c r="J2718" s="60">
        <f>IF(AND(tblFleet[[#This Row],[Units]]&lt;&gt;"",tblFleet[[#This Row],[Available_h]]&gt;0),tblFleet[[#This Row],[Operating_h]]/tblFleet[[#This Row],[Available_h]],"")</f>
        <v/>
      </c>
    </row>
    <row r="2719">
      <c r="A2719" s="54" t="n"/>
      <c r="B2719" s="61" t="n"/>
      <c r="C2719" s="62" t="n"/>
      <c r="D2719" s="57" t="n"/>
      <c r="E2719" s="57" t="n"/>
      <c r="F2719" s="58" t="n"/>
      <c r="G2719" s="66">
        <f>IF(tblFleet[[#This Row],[Units]]="","",tblFleet[[#This Row],[Units]]*cfg_HoursPerDay)</f>
        <v/>
      </c>
      <c r="H2719" s="66">
        <f>IF(tblFleet[[#This Row],[Units]]="","",tblFleet[[#This Row],[Calendar_h]]-tblFleet[[#This Row],[Down_h]])</f>
        <v/>
      </c>
      <c r="I2719" s="60">
        <f>IF(AND(tblFleet[[#This Row],[Units]]&lt;&gt;"",tblFleet[[#This Row],[Calendar_h]]&gt;0),tblFleet[[#This Row],[Available_h]]/tblFleet[[#This Row],[Calendar_h]],"")</f>
        <v/>
      </c>
      <c r="J2719" s="60">
        <f>IF(AND(tblFleet[[#This Row],[Units]]&lt;&gt;"",tblFleet[[#This Row],[Available_h]]&gt;0),tblFleet[[#This Row],[Operating_h]]/tblFleet[[#This Row],[Available_h]],"")</f>
        <v/>
      </c>
    </row>
    <row r="2720">
      <c r="A2720" s="54" t="n"/>
      <c r="B2720" s="61" t="n"/>
      <c r="C2720" s="62" t="n"/>
      <c r="D2720" s="57" t="n"/>
      <c r="E2720" s="57" t="n"/>
      <c r="F2720" s="58" t="n"/>
      <c r="G2720" s="66">
        <f>IF(tblFleet[[#This Row],[Units]]="","",tblFleet[[#This Row],[Units]]*cfg_HoursPerDay)</f>
        <v/>
      </c>
      <c r="H2720" s="66">
        <f>IF(tblFleet[[#This Row],[Units]]="","",tblFleet[[#This Row],[Calendar_h]]-tblFleet[[#This Row],[Down_h]])</f>
        <v/>
      </c>
      <c r="I2720" s="60">
        <f>IF(AND(tblFleet[[#This Row],[Units]]&lt;&gt;"",tblFleet[[#This Row],[Calendar_h]]&gt;0),tblFleet[[#This Row],[Available_h]]/tblFleet[[#This Row],[Calendar_h]],"")</f>
        <v/>
      </c>
      <c r="J2720" s="60">
        <f>IF(AND(tblFleet[[#This Row],[Units]]&lt;&gt;"",tblFleet[[#This Row],[Available_h]]&gt;0),tblFleet[[#This Row],[Operating_h]]/tblFleet[[#This Row],[Available_h]],"")</f>
        <v/>
      </c>
    </row>
    <row r="2721">
      <c r="A2721" s="54" t="n"/>
      <c r="B2721" s="61" t="n"/>
      <c r="C2721" s="62" t="n"/>
      <c r="D2721" s="57" t="n"/>
      <c r="E2721" s="57" t="n"/>
      <c r="F2721" s="58" t="n"/>
      <c r="G2721" s="66">
        <f>IF(tblFleet[[#This Row],[Units]]="","",tblFleet[[#This Row],[Units]]*cfg_HoursPerDay)</f>
        <v/>
      </c>
      <c r="H2721" s="66">
        <f>IF(tblFleet[[#This Row],[Units]]="","",tblFleet[[#This Row],[Calendar_h]]-tblFleet[[#This Row],[Down_h]])</f>
        <v/>
      </c>
      <c r="I2721" s="60">
        <f>IF(AND(tblFleet[[#This Row],[Units]]&lt;&gt;"",tblFleet[[#This Row],[Calendar_h]]&gt;0),tblFleet[[#This Row],[Available_h]]/tblFleet[[#This Row],[Calendar_h]],"")</f>
        <v/>
      </c>
      <c r="J2721" s="60">
        <f>IF(AND(tblFleet[[#This Row],[Units]]&lt;&gt;"",tblFleet[[#This Row],[Available_h]]&gt;0),tblFleet[[#This Row],[Operating_h]]/tblFleet[[#This Row],[Available_h]],"")</f>
        <v/>
      </c>
    </row>
    <row r="2722">
      <c r="A2722" s="54" t="n"/>
      <c r="B2722" s="61" t="n"/>
      <c r="C2722" s="62" t="n"/>
      <c r="D2722" s="57" t="n"/>
      <c r="E2722" s="57" t="n"/>
      <c r="F2722" s="58" t="n"/>
      <c r="G2722" s="66">
        <f>IF(tblFleet[[#This Row],[Units]]="","",tblFleet[[#This Row],[Units]]*cfg_HoursPerDay)</f>
        <v/>
      </c>
      <c r="H2722" s="66">
        <f>IF(tblFleet[[#This Row],[Units]]="","",tblFleet[[#This Row],[Calendar_h]]-tblFleet[[#This Row],[Down_h]])</f>
        <v/>
      </c>
      <c r="I2722" s="60">
        <f>IF(AND(tblFleet[[#This Row],[Units]]&lt;&gt;"",tblFleet[[#This Row],[Calendar_h]]&gt;0),tblFleet[[#This Row],[Available_h]]/tblFleet[[#This Row],[Calendar_h]],"")</f>
        <v/>
      </c>
      <c r="J2722" s="60">
        <f>IF(AND(tblFleet[[#This Row],[Units]]&lt;&gt;"",tblFleet[[#This Row],[Available_h]]&gt;0),tblFleet[[#This Row],[Operating_h]]/tblFleet[[#This Row],[Available_h]],"")</f>
        <v/>
      </c>
    </row>
    <row r="2723">
      <c r="A2723" s="54" t="n"/>
      <c r="B2723" s="61" t="n"/>
      <c r="C2723" s="62" t="n"/>
      <c r="D2723" s="57" t="n"/>
      <c r="E2723" s="57" t="n"/>
      <c r="F2723" s="58" t="n"/>
      <c r="G2723" s="66">
        <f>IF(tblFleet[[#This Row],[Units]]="","",tblFleet[[#This Row],[Units]]*cfg_HoursPerDay)</f>
        <v/>
      </c>
      <c r="H2723" s="66">
        <f>IF(tblFleet[[#This Row],[Units]]="","",tblFleet[[#This Row],[Calendar_h]]-tblFleet[[#This Row],[Down_h]])</f>
        <v/>
      </c>
      <c r="I2723" s="60">
        <f>IF(AND(tblFleet[[#This Row],[Units]]&lt;&gt;"",tblFleet[[#This Row],[Calendar_h]]&gt;0),tblFleet[[#This Row],[Available_h]]/tblFleet[[#This Row],[Calendar_h]],"")</f>
        <v/>
      </c>
      <c r="J2723" s="60">
        <f>IF(AND(tblFleet[[#This Row],[Units]]&lt;&gt;"",tblFleet[[#This Row],[Available_h]]&gt;0),tblFleet[[#This Row],[Operating_h]]/tblFleet[[#This Row],[Available_h]],"")</f>
        <v/>
      </c>
    </row>
    <row r="2724">
      <c r="A2724" s="54" t="n"/>
      <c r="B2724" s="61" t="n"/>
      <c r="C2724" s="62" t="n"/>
      <c r="D2724" s="57" t="n"/>
      <c r="E2724" s="57" t="n"/>
      <c r="F2724" s="58" t="n"/>
      <c r="G2724" s="66">
        <f>IF(tblFleet[[#This Row],[Units]]="","",tblFleet[[#This Row],[Units]]*cfg_HoursPerDay)</f>
        <v/>
      </c>
      <c r="H2724" s="66">
        <f>IF(tblFleet[[#This Row],[Units]]="","",tblFleet[[#This Row],[Calendar_h]]-tblFleet[[#This Row],[Down_h]])</f>
        <v/>
      </c>
      <c r="I2724" s="60">
        <f>IF(AND(tblFleet[[#This Row],[Units]]&lt;&gt;"",tblFleet[[#This Row],[Calendar_h]]&gt;0),tblFleet[[#This Row],[Available_h]]/tblFleet[[#This Row],[Calendar_h]],"")</f>
        <v/>
      </c>
      <c r="J2724" s="60">
        <f>IF(AND(tblFleet[[#This Row],[Units]]&lt;&gt;"",tblFleet[[#This Row],[Available_h]]&gt;0),tblFleet[[#This Row],[Operating_h]]/tblFleet[[#This Row],[Available_h]],"")</f>
        <v/>
      </c>
    </row>
    <row r="2725">
      <c r="A2725" s="54" t="n"/>
      <c r="B2725" s="61" t="n"/>
      <c r="C2725" s="62" t="n"/>
      <c r="D2725" s="57" t="n"/>
      <c r="E2725" s="57" t="n"/>
      <c r="F2725" s="58" t="n"/>
      <c r="G2725" s="66">
        <f>IF(tblFleet[[#This Row],[Units]]="","",tblFleet[[#This Row],[Units]]*cfg_HoursPerDay)</f>
        <v/>
      </c>
      <c r="H2725" s="66">
        <f>IF(tblFleet[[#This Row],[Units]]="","",tblFleet[[#This Row],[Calendar_h]]-tblFleet[[#This Row],[Down_h]])</f>
        <v/>
      </c>
      <c r="I2725" s="60">
        <f>IF(AND(tblFleet[[#This Row],[Units]]&lt;&gt;"",tblFleet[[#This Row],[Calendar_h]]&gt;0),tblFleet[[#This Row],[Available_h]]/tblFleet[[#This Row],[Calendar_h]],"")</f>
        <v/>
      </c>
      <c r="J2725" s="60">
        <f>IF(AND(tblFleet[[#This Row],[Units]]&lt;&gt;"",tblFleet[[#This Row],[Available_h]]&gt;0),tblFleet[[#This Row],[Operating_h]]/tblFleet[[#This Row],[Available_h]],"")</f>
        <v/>
      </c>
    </row>
    <row r="2726">
      <c r="A2726" s="54" t="n"/>
      <c r="B2726" s="61" t="n"/>
      <c r="C2726" s="62" t="n"/>
      <c r="D2726" s="57" t="n"/>
      <c r="E2726" s="57" t="n"/>
      <c r="F2726" s="58" t="n"/>
      <c r="G2726" s="66">
        <f>IF(tblFleet[[#This Row],[Units]]="","",tblFleet[[#This Row],[Units]]*cfg_HoursPerDay)</f>
        <v/>
      </c>
      <c r="H2726" s="66">
        <f>IF(tblFleet[[#This Row],[Units]]="","",tblFleet[[#This Row],[Calendar_h]]-tblFleet[[#This Row],[Down_h]])</f>
        <v/>
      </c>
      <c r="I2726" s="60">
        <f>IF(AND(tblFleet[[#This Row],[Units]]&lt;&gt;"",tblFleet[[#This Row],[Calendar_h]]&gt;0),tblFleet[[#This Row],[Available_h]]/tblFleet[[#This Row],[Calendar_h]],"")</f>
        <v/>
      </c>
      <c r="J2726" s="60">
        <f>IF(AND(tblFleet[[#This Row],[Units]]&lt;&gt;"",tblFleet[[#This Row],[Available_h]]&gt;0),tblFleet[[#This Row],[Operating_h]]/tblFleet[[#This Row],[Available_h]],"")</f>
        <v/>
      </c>
    </row>
    <row r="2727">
      <c r="A2727" s="54" t="n"/>
      <c r="B2727" s="61" t="n"/>
      <c r="C2727" s="62" t="n"/>
      <c r="D2727" s="57" t="n"/>
      <c r="E2727" s="57" t="n"/>
      <c r="F2727" s="58" t="n"/>
      <c r="G2727" s="66">
        <f>IF(tblFleet[[#This Row],[Units]]="","",tblFleet[[#This Row],[Units]]*cfg_HoursPerDay)</f>
        <v/>
      </c>
      <c r="H2727" s="66">
        <f>IF(tblFleet[[#This Row],[Units]]="","",tblFleet[[#This Row],[Calendar_h]]-tblFleet[[#This Row],[Down_h]])</f>
        <v/>
      </c>
      <c r="I2727" s="60">
        <f>IF(AND(tblFleet[[#This Row],[Units]]&lt;&gt;"",tblFleet[[#This Row],[Calendar_h]]&gt;0),tblFleet[[#This Row],[Available_h]]/tblFleet[[#This Row],[Calendar_h]],"")</f>
        <v/>
      </c>
      <c r="J2727" s="60">
        <f>IF(AND(tblFleet[[#This Row],[Units]]&lt;&gt;"",tblFleet[[#This Row],[Available_h]]&gt;0),tblFleet[[#This Row],[Operating_h]]/tblFleet[[#This Row],[Available_h]],"")</f>
        <v/>
      </c>
    </row>
    <row r="2728">
      <c r="A2728" s="54" t="n"/>
      <c r="B2728" s="61" t="n"/>
      <c r="C2728" s="62" t="n"/>
      <c r="D2728" s="57" t="n"/>
      <c r="E2728" s="57" t="n"/>
      <c r="F2728" s="58" t="n"/>
      <c r="G2728" s="66">
        <f>IF(tblFleet[[#This Row],[Units]]="","",tblFleet[[#This Row],[Units]]*cfg_HoursPerDay)</f>
        <v/>
      </c>
      <c r="H2728" s="66">
        <f>IF(tblFleet[[#This Row],[Units]]="","",tblFleet[[#This Row],[Calendar_h]]-tblFleet[[#This Row],[Down_h]])</f>
        <v/>
      </c>
      <c r="I2728" s="60">
        <f>IF(AND(tblFleet[[#This Row],[Units]]&lt;&gt;"",tblFleet[[#This Row],[Calendar_h]]&gt;0),tblFleet[[#This Row],[Available_h]]/tblFleet[[#This Row],[Calendar_h]],"")</f>
        <v/>
      </c>
      <c r="J2728" s="60">
        <f>IF(AND(tblFleet[[#This Row],[Units]]&lt;&gt;"",tblFleet[[#This Row],[Available_h]]&gt;0),tblFleet[[#This Row],[Operating_h]]/tblFleet[[#This Row],[Available_h]],"")</f>
        <v/>
      </c>
    </row>
    <row r="2729">
      <c r="A2729" s="54" t="n"/>
      <c r="B2729" s="61" t="n"/>
      <c r="C2729" s="62" t="n"/>
      <c r="D2729" s="57" t="n"/>
      <c r="E2729" s="57" t="n"/>
      <c r="F2729" s="58" t="n"/>
      <c r="G2729" s="66">
        <f>IF(tblFleet[[#This Row],[Units]]="","",tblFleet[[#This Row],[Units]]*cfg_HoursPerDay)</f>
        <v/>
      </c>
      <c r="H2729" s="66">
        <f>IF(tblFleet[[#This Row],[Units]]="","",tblFleet[[#This Row],[Calendar_h]]-tblFleet[[#This Row],[Down_h]])</f>
        <v/>
      </c>
      <c r="I2729" s="60">
        <f>IF(AND(tblFleet[[#This Row],[Units]]&lt;&gt;"",tblFleet[[#This Row],[Calendar_h]]&gt;0),tblFleet[[#This Row],[Available_h]]/tblFleet[[#This Row],[Calendar_h]],"")</f>
        <v/>
      </c>
      <c r="J2729" s="60">
        <f>IF(AND(tblFleet[[#This Row],[Units]]&lt;&gt;"",tblFleet[[#This Row],[Available_h]]&gt;0),tblFleet[[#This Row],[Operating_h]]/tblFleet[[#This Row],[Available_h]],"")</f>
        <v/>
      </c>
    </row>
    <row r="2730">
      <c r="A2730" s="54" t="n"/>
      <c r="B2730" s="61" t="n"/>
      <c r="C2730" s="62" t="n"/>
      <c r="D2730" s="57" t="n"/>
      <c r="E2730" s="57" t="n"/>
      <c r="F2730" s="58" t="n"/>
      <c r="G2730" s="66">
        <f>IF(tblFleet[[#This Row],[Units]]="","",tblFleet[[#This Row],[Units]]*cfg_HoursPerDay)</f>
        <v/>
      </c>
      <c r="H2730" s="66">
        <f>IF(tblFleet[[#This Row],[Units]]="","",tblFleet[[#This Row],[Calendar_h]]-tblFleet[[#This Row],[Down_h]])</f>
        <v/>
      </c>
      <c r="I2730" s="60">
        <f>IF(AND(tblFleet[[#This Row],[Units]]&lt;&gt;"",tblFleet[[#This Row],[Calendar_h]]&gt;0),tblFleet[[#This Row],[Available_h]]/tblFleet[[#This Row],[Calendar_h]],"")</f>
        <v/>
      </c>
      <c r="J2730" s="60">
        <f>IF(AND(tblFleet[[#This Row],[Units]]&lt;&gt;"",tblFleet[[#This Row],[Available_h]]&gt;0),tblFleet[[#This Row],[Operating_h]]/tblFleet[[#This Row],[Available_h]],"")</f>
        <v/>
      </c>
    </row>
    <row r="2731">
      <c r="A2731" s="54" t="n"/>
      <c r="B2731" s="61" t="n"/>
      <c r="C2731" s="62" t="n"/>
      <c r="D2731" s="57" t="n"/>
      <c r="E2731" s="57" t="n"/>
      <c r="F2731" s="58" t="n"/>
      <c r="G2731" s="66">
        <f>IF(tblFleet[[#This Row],[Units]]="","",tblFleet[[#This Row],[Units]]*cfg_HoursPerDay)</f>
        <v/>
      </c>
      <c r="H2731" s="66">
        <f>IF(tblFleet[[#This Row],[Units]]="","",tblFleet[[#This Row],[Calendar_h]]-tblFleet[[#This Row],[Down_h]])</f>
        <v/>
      </c>
      <c r="I2731" s="60">
        <f>IF(AND(tblFleet[[#This Row],[Units]]&lt;&gt;"",tblFleet[[#This Row],[Calendar_h]]&gt;0),tblFleet[[#This Row],[Available_h]]/tblFleet[[#This Row],[Calendar_h]],"")</f>
        <v/>
      </c>
      <c r="J2731" s="60">
        <f>IF(AND(tblFleet[[#This Row],[Units]]&lt;&gt;"",tblFleet[[#This Row],[Available_h]]&gt;0),tblFleet[[#This Row],[Operating_h]]/tblFleet[[#This Row],[Available_h]],"")</f>
        <v/>
      </c>
    </row>
    <row r="2732">
      <c r="A2732" s="54" t="n"/>
      <c r="B2732" s="61" t="n"/>
      <c r="C2732" s="62" t="n"/>
      <c r="D2732" s="57" t="n"/>
      <c r="E2732" s="57" t="n"/>
      <c r="F2732" s="58" t="n"/>
      <c r="G2732" s="66">
        <f>IF(tblFleet[[#This Row],[Units]]="","",tblFleet[[#This Row],[Units]]*cfg_HoursPerDay)</f>
        <v/>
      </c>
      <c r="H2732" s="66">
        <f>IF(tblFleet[[#This Row],[Units]]="","",tblFleet[[#This Row],[Calendar_h]]-tblFleet[[#This Row],[Down_h]])</f>
        <v/>
      </c>
      <c r="I2732" s="60">
        <f>IF(AND(tblFleet[[#This Row],[Units]]&lt;&gt;"",tblFleet[[#This Row],[Calendar_h]]&gt;0),tblFleet[[#This Row],[Available_h]]/tblFleet[[#This Row],[Calendar_h]],"")</f>
        <v/>
      </c>
      <c r="J2732" s="60">
        <f>IF(AND(tblFleet[[#This Row],[Units]]&lt;&gt;"",tblFleet[[#This Row],[Available_h]]&gt;0),tblFleet[[#This Row],[Operating_h]]/tblFleet[[#This Row],[Available_h]],"")</f>
        <v/>
      </c>
    </row>
    <row r="2733">
      <c r="A2733" s="54" t="n"/>
      <c r="B2733" s="61" t="n"/>
      <c r="C2733" s="62" t="n"/>
      <c r="D2733" s="57" t="n"/>
      <c r="E2733" s="57" t="n"/>
      <c r="F2733" s="58" t="n"/>
      <c r="G2733" s="66">
        <f>IF(tblFleet[[#This Row],[Units]]="","",tblFleet[[#This Row],[Units]]*cfg_HoursPerDay)</f>
        <v/>
      </c>
      <c r="H2733" s="66">
        <f>IF(tblFleet[[#This Row],[Units]]="","",tblFleet[[#This Row],[Calendar_h]]-tblFleet[[#This Row],[Down_h]])</f>
        <v/>
      </c>
      <c r="I2733" s="60">
        <f>IF(AND(tblFleet[[#This Row],[Units]]&lt;&gt;"",tblFleet[[#This Row],[Calendar_h]]&gt;0),tblFleet[[#This Row],[Available_h]]/tblFleet[[#This Row],[Calendar_h]],"")</f>
        <v/>
      </c>
      <c r="J2733" s="60">
        <f>IF(AND(tblFleet[[#This Row],[Units]]&lt;&gt;"",tblFleet[[#This Row],[Available_h]]&gt;0),tblFleet[[#This Row],[Operating_h]]/tblFleet[[#This Row],[Available_h]],"")</f>
        <v/>
      </c>
    </row>
    <row r="2734">
      <c r="A2734" s="54" t="n"/>
      <c r="B2734" s="61" t="n"/>
      <c r="C2734" s="62" t="n"/>
      <c r="D2734" s="57" t="n"/>
      <c r="E2734" s="57" t="n"/>
      <c r="F2734" s="58" t="n"/>
      <c r="G2734" s="66">
        <f>IF(tblFleet[[#This Row],[Units]]="","",tblFleet[[#This Row],[Units]]*cfg_HoursPerDay)</f>
        <v/>
      </c>
      <c r="H2734" s="66">
        <f>IF(tblFleet[[#This Row],[Units]]="","",tblFleet[[#This Row],[Calendar_h]]-tblFleet[[#This Row],[Down_h]])</f>
        <v/>
      </c>
      <c r="I2734" s="60">
        <f>IF(AND(tblFleet[[#This Row],[Units]]&lt;&gt;"",tblFleet[[#This Row],[Calendar_h]]&gt;0),tblFleet[[#This Row],[Available_h]]/tblFleet[[#This Row],[Calendar_h]],"")</f>
        <v/>
      </c>
      <c r="J2734" s="60">
        <f>IF(AND(tblFleet[[#This Row],[Units]]&lt;&gt;"",tblFleet[[#This Row],[Available_h]]&gt;0),tblFleet[[#This Row],[Operating_h]]/tblFleet[[#This Row],[Available_h]],"")</f>
        <v/>
      </c>
    </row>
    <row r="2735">
      <c r="A2735" s="54" t="n"/>
      <c r="B2735" s="61" t="n"/>
      <c r="C2735" s="62" t="n"/>
      <c r="D2735" s="57" t="n"/>
      <c r="E2735" s="57" t="n"/>
      <c r="F2735" s="58" t="n"/>
      <c r="G2735" s="66">
        <f>IF(tblFleet[[#This Row],[Units]]="","",tblFleet[[#This Row],[Units]]*cfg_HoursPerDay)</f>
        <v/>
      </c>
      <c r="H2735" s="66">
        <f>IF(tblFleet[[#This Row],[Units]]="","",tblFleet[[#This Row],[Calendar_h]]-tblFleet[[#This Row],[Down_h]])</f>
        <v/>
      </c>
      <c r="I2735" s="60">
        <f>IF(AND(tblFleet[[#This Row],[Units]]&lt;&gt;"",tblFleet[[#This Row],[Calendar_h]]&gt;0),tblFleet[[#This Row],[Available_h]]/tblFleet[[#This Row],[Calendar_h]],"")</f>
        <v/>
      </c>
      <c r="J2735" s="60">
        <f>IF(AND(tblFleet[[#This Row],[Units]]&lt;&gt;"",tblFleet[[#This Row],[Available_h]]&gt;0),tblFleet[[#This Row],[Operating_h]]/tblFleet[[#This Row],[Available_h]],"")</f>
        <v/>
      </c>
    </row>
    <row r="2736">
      <c r="A2736" s="54" t="n"/>
      <c r="B2736" s="61" t="n"/>
      <c r="C2736" s="62" t="n"/>
      <c r="D2736" s="57" t="n"/>
      <c r="E2736" s="57" t="n"/>
      <c r="F2736" s="58" t="n"/>
      <c r="G2736" s="66">
        <f>IF(tblFleet[[#This Row],[Units]]="","",tblFleet[[#This Row],[Units]]*cfg_HoursPerDay)</f>
        <v/>
      </c>
      <c r="H2736" s="66">
        <f>IF(tblFleet[[#This Row],[Units]]="","",tblFleet[[#This Row],[Calendar_h]]-tblFleet[[#This Row],[Down_h]])</f>
        <v/>
      </c>
      <c r="I2736" s="60">
        <f>IF(AND(tblFleet[[#This Row],[Units]]&lt;&gt;"",tblFleet[[#This Row],[Calendar_h]]&gt;0),tblFleet[[#This Row],[Available_h]]/tblFleet[[#This Row],[Calendar_h]],"")</f>
        <v/>
      </c>
      <c r="J2736" s="60">
        <f>IF(AND(tblFleet[[#This Row],[Units]]&lt;&gt;"",tblFleet[[#This Row],[Available_h]]&gt;0),tblFleet[[#This Row],[Operating_h]]/tblFleet[[#This Row],[Available_h]],"")</f>
        <v/>
      </c>
    </row>
    <row r="2737">
      <c r="A2737" s="54" t="n"/>
      <c r="B2737" s="61" t="n"/>
      <c r="C2737" s="62" t="n"/>
      <c r="D2737" s="57" t="n"/>
      <c r="E2737" s="57" t="n"/>
      <c r="F2737" s="58" t="n"/>
      <c r="G2737" s="66">
        <f>IF(tblFleet[[#This Row],[Units]]="","",tblFleet[[#This Row],[Units]]*cfg_HoursPerDay)</f>
        <v/>
      </c>
      <c r="H2737" s="66">
        <f>IF(tblFleet[[#This Row],[Units]]="","",tblFleet[[#This Row],[Calendar_h]]-tblFleet[[#This Row],[Down_h]])</f>
        <v/>
      </c>
      <c r="I2737" s="60">
        <f>IF(AND(tblFleet[[#This Row],[Units]]&lt;&gt;"",tblFleet[[#This Row],[Calendar_h]]&gt;0),tblFleet[[#This Row],[Available_h]]/tblFleet[[#This Row],[Calendar_h]],"")</f>
        <v/>
      </c>
      <c r="J2737" s="60">
        <f>IF(AND(tblFleet[[#This Row],[Units]]&lt;&gt;"",tblFleet[[#This Row],[Available_h]]&gt;0),tblFleet[[#This Row],[Operating_h]]/tblFleet[[#This Row],[Available_h]],"")</f>
        <v/>
      </c>
    </row>
    <row r="2738">
      <c r="A2738" s="54" t="n"/>
      <c r="B2738" s="61" t="n"/>
      <c r="C2738" s="62" t="n"/>
      <c r="D2738" s="57" t="n"/>
      <c r="E2738" s="57" t="n"/>
      <c r="F2738" s="58" t="n"/>
      <c r="G2738" s="66">
        <f>IF(tblFleet[[#This Row],[Units]]="","",tblFleet[[#This Row],[Units]]*cfg_HoursPerDay)</f>
        <v/>
      </c>
      <c r="H2738" s="66">
        <f>IF(tblFleet[[#This Row],[Units]]="","",tblFleet[[#This Row],[Calendar_h]]-tblFleet[[#This Row],[Down_h]])</f>
        <v/>
      </c>
      <c r="I2738" s="60">
        <f>IF(AND(tblFleet[[#This Row],[Units]]&lt;&gt;"",tblFleet[[#This Row],[Calendar_h]]&gt;0),tblFleet[[#This Row],[Available_h]]/tblFleet[[#This Row],[Calendar_h]],"")</f>
        <v/>
      </c>
      <c r="J2738" s="60">
        <f>IF(AND(tblFleet[[#This Row],[Units]]&lt;&gt;"",tblFleet[[#This Row],[Available_h]]&gt;0),tblFleet[[#This Row],[Operating_h]]/tblFleet[[#This Row],[Available_h]],"")</f>
        <v/>
      </c>
    </row>
    <row r="2739">
      <c r="A2739" s="54" t="n"/>
      <c r="B2739" s="61" t="n"/>
      <c r="C2739" s="62" t="n"/>
      <c r="D2739" s="57" t="n"/>
      <c r="E2739" s="57" t="n"/>
      <c r="F2739" s="58" t="n"/>
      <c r="G2739" s="66">
        <f>IF(tblFleet[[#This Row],[Units]]="","",tblFleet[[#This Row],[Units]]*cfg_HoursPerDay)</f>
        <v/>
      </c>
      <c r="H2739" s="66">
        <f>IF(tblFleet[[#This Row],[Units]]="","",tblFleet[[#This Row],[Calendar_h]]-tblFleet[[#This Row],[Down_h]])</f>
        <v/>
      </c>
      <c r="I2739" s="60">
        <f>IF(AND(tblFleet[[#This Row],[Units]]&lt;&gt;"",tblFleet[[#This Row],[Calendar_h]]&gt;0),tblFleet[[#This Row],[Available_h]]/tblFleet[[#This Row],[Calendar_h]],"")</f>
        <v/>
      </c>
      <c r="J2739" s="60">
        <f>IF(AND(tblFleet[[#This Row],[Units]]&lt;&gt;"",tblFleet[[#This Row],[Available_h]]&gt;0),tblFleet[[#This Row],[Operating_h]]/tblFleet[[#This Row],[Available_h]],"")</f>
        <v/>
      </c>
    </row>
    <row r="2740">
      <c r="A2740" s="54" t="n"/>
      <c r="B2740" s="61" t="n"/>
      <c r="C2740" s="62" t="n"/>
      <c r="D2740" s="57" t="n"/>
      <c r="E2740" s="57" t="n"/>
      <c r="F2740" s="58" t="n"/>
      <c r="G2740" s="66">
        <f>IF(tblFleet[[#This Row],[Units]]="","",tblFleet[[#This Row],[Units]]*cfg_HoursPerDay)</f>
        <v/>
      </c>
      <c r="H2740" s="66">
        <f>IF(tblFleet[[#This Row],[Units]]="","",tblFleet[[#This Row],[Calendar_h]]-tblFleet[[#This Row],[Down_h]])</f>
        <v/>
      </c>
      <c r="I2740" s="60">
        <f>IF(AND(tblFleet[[#This Row],[Units]]&lt;&gt;"",tblFleet[[#This Row],[Calendar_h]]&gt;0),tblFleet[[#This Row],[Available_h]]/tblFleet[[#This Row],[Calendar_h]],"")</f>
        <v/>
      </c>
      <c r="J2740" s="60">
        <f>IF(AND(tblFleet[[#This Row],[Units]]&lt;&gt;"",tblFleet[[#This Row],[Available_h]]&gt;0),tblFleet[[#This Row],[Operating_h]]/tblFleet[[#This Row],[Available_h]],"")</f>
        <v/>
      </c>
    </row>
    <row r="2741">
      <c r="A2741" s="54" t="n"/>
      <c r="B2741" s="61" t="n"/>
      <c r="C2741" s="62" t="n"/>
      <c r="D2741" s="57" t="n"/>
      <c r="E2741" s="57" t="n"/>
      <c r="F2741" s="58" t="n"/>
      <c r="G2741" s="66">
        <f>IF(tblFleet[[#This Row],[Units]]="","",tblFleet[[#This Row],[Units]]*cfg_HoursPerDay)</f>
        <v/>
      </c>
      <c r="H2741" s="66">
        <f>IF(tblFleet[[#This Row],[Units]]="","",tblFleet[[#This Row],[Calendar_h]]-tblFleet[[#This Row],[Down_h]])</f>
        <v/>
      </c>
      <c r="I2741" s="60">
        <f>IF(AND(tblFleet[[#This Row],[Units]]&lt;&gt;"",tblFleet[[#This Row],[Calendar_h]]&gt;0),tblFleet[[#This Row],[Available_h]]/tblFleet[[#This Row],[Calendar_h]],"")</f>
        <v/>
      </c>
      <c r="J2741" s="60">
        <f>IF(AND(tblFleet[[#This Row],[Units]]&lt;&gt;"",tblFleet[[#This Row],[Available_h]]&gt;0),tblFleet[[#This Row],[Operating_h]]/tblFleet[[#This Row],[Available_h]],"")</f>
        <v/>
      </c>
    </row>
    <row r="2742">
      <c r="A2742" s="54" t="n"/>
      <c r="B2742" s="61" t="n"/>
      <c r="C2742" s="62" t="n"/>
      <c r="D2742" s="57" t="n"/>
      <c r="E2742" s="57" t="n"/>
      <c r="F2742" s="58" t="n"/>
      <c r="G2742" s="66">
        <f>IF(tblFleet[[#This Row],[Units]]="","",tblFleet[[#This Row],[Units]]*cfg_HoursPerDay)</f>
        <v/>
      </c>
      <c r="H2742" s="66">
        <f>IF(tblFleet[[#This Row],[Units]]="","",tblFleet[[#This Row],[Calendar_h]]-tblFleet[[#This Row],[Down_h]])</f>
        <v/>
      </c>
      <c r="I2742" s="60">
        <f>IF(AND(tblFleet[[#This Row],[Units]]&lt;&gt;"",tblFleet[[#This Row],[Calendar_h]]&gt;0),tblFleet[[#This Row],[Available_h]]/tblFleet[[#This Row],[Calendar_h]],"")</f>
        <v/>
      </c>
      <c r="J2742" s="60">
        <f>IF(AND(tblFleet[[#This Row],[Units]]&lt;&gt;"",tblFleet[[#This Row],[Available_h]]&gt;0),tblFleet[[#This Row],[Operating_h]]/tblFleet[[#This Row],[Available_h]],"")</f>
        <v/>
      </c>
    </row>
    <row r="2743">
      <c r="A2743" s="54" t="n"/>
      <c r="B2743" s="61" t="n"/>
      <c r="C2743" s="62" t="n"/>
      <c r="D2743" s="57" t="n"/>
      <c r="E2743" s="57" t="n"/>
      <c r="F2743" s="58" t="n"/>
      <c r="G2743" s="66">
        <f>IF(tblFleet[[#This Row],[Units]]="","",tblFleet[[#This Row],[Units]]*cfg_HoursPerDay)</f>
        <v/>
      </c>
      <c r="H2743" s="66">
        <f>IF(tblFleet[[#This Row],[Units]]="","",tblFleet[[#This Row],[Calendar_h]]-tblFleet[[#This Row],[Down_h]])</f>
        <v/>
      </c>
      <c r="I2743" s="60">
        <f>IF(AND(tblFleet[[#This Row],[Units]]&lt;&gt;"",tblFleet[[#This Row],[Calendar_h]]&gt;0),tblFleet[[#This Row],[Available_h]]/tblFleet[[#This Row],[Calendar_h]],"")</f>
        <v/>
      </c>
      <c r="J2743" s="60">
        <f>IF(AND(tblFleet[[#This Row],[Units]]&lt;&gt;"",tblFleet[[#This Row],[Available_h]]&gt;0),tblFleet[[#This Row],[Operating_h]]/tblFleet[[#This Row],[Available_h]],"")</f>
        <v/>
      </c>
    </row>
    <row r="2744">
      <c r="A2744" s="54" t="n"/>
      <c r="B2744" s="61" t="n"/>
      <c r="C2744" s="62" t="n"/>
      <c r="D2744" s="57" t="n"/>
      <c r="E2744" s="57" t="n"/>
      <c r="F2744" s="58" t="n"/>
      <c r="G2744" s="66">
        <f>IF(tblFleet[[#This Row],[Units]]="","",tblFleet[[#This Row],[Units]]*cfg_HoursPerDay)</f>
        <v/>
      </c>
      <c r="H2744" s="66">
        <f>IF(tblFleet[[#This Row],[Units]]="","",tblFleet[[#This Row],[Calendar_h]]-tblFleet[[#This Row],[Down_h]])</f>
        <v/>
      </c>
      <c r="I2744" s="60">
        <f>IF(AND(tblFleet[[#This Row],[Units]]&lt;&gt;"",tblFleet[[#This Row],[Calendar_h]]&gt;0),tblFleet[[#This Row],[Available_h]]/tblFleet[[#This Row],[Calendar_h]],"")</f>
        <v/>
      </c>
      <c r="J2744" s="60">
        <f>IF(AND(tblFleet[[#This Row],[Units]]&lt;&gt;"",tblFleet[[#This Row],[Available_h]]&gt;0),tblFleet[[#This Row],[Operating_h]]/tblFleet[[#This Row],[Available_h]],"")</f>
        <v/>
      </c>
    </row>
    <row r="2745">
      <c r="A2745" s="54" t="n"/>
      <c r="B2745" s="61" t="n"/>
      <c r="C2745" s="62" t="n"/>
      <c r="D2745" s="57" t="n"/>
      <c r="E2745" s="57" t="n"/>
      <c r="F2745" s="58" t="n"/>
      <c r="G2745" s="66">
        <f>IF(tblFleet[[#This Row],[Units]]="","",tblFleet[[#This Row],[Units]]*cfg_HoursPerDay)</f>
        <v/>
      </c>
      <c r="H2745" s="66">
        <f>IF(tblFleet[[#This Row],[Units]]="","",tblFleet[[#This Row],[Calendar_h]]-tblFleet[[#This Row],[Down_h]])</f>
        <v/>
      </c>
      <c r="I2745" s="60">
        <f>IF(AND(tblFleet[[#This Row],[Units]]&lt;&gt;"",tblFleet[[#This Row],[Calendar_h]]&gt;0),tblFleet[[#This Row],[Available_h]]/tblFleet[[#This Row],[Calendar_h]],"")</f>
        <v/>
      </c>
      <c r="J2745" s="60">
        <f>IF(AND(tblFleet[[#This Row],[Units]]&lt;&gt;"",tblFleet[[#This Row],[Available_h]]&gt;0),tblFleet[[#This Row],[Operating_h]]/tblFleet[[#This Row],[Available_h]],"")</f>
        <v/>
      </c>
    </row>
    <row r="2746">
      <c r="A2746" s="54" t="n"/>
      <c r="B2746" s="61" t="n"/>
      <c r="C2746" s="62" t="n"/>
      <c r="D2746" s="57" t="n"/>
      <c r="E2746" s="57" t="n"/>
      <c r="F2746" s="58" t="n"/>
      <c r="G2746" s="66">
        <f>IF(tblFleet[[#This Row],[Units]]="","",tblFleet[[#This Row],[Units]]*cfg_HoursPerDay)</f>
        <v/>
      </c>
      <c r="H2746" s="66">
        <f>IF(tblFleet[[#This Row],[Units]]="","",tblFleet[[#This Row],[Calendar_h]]-tblFleet[[#This Row],[Down_h]])</f>
        <v/>
      </c>
      <c r="I2746" s="60">
        <f>IF(AND(tblFleet[[#This Row],[Units]]&lt;&gt;"",tblFleet[[#This Row],[Calendar_h]]&gt;0),tblFleet[[#This Row],[Available_h]]/tblFleet[[#This Row],[Calendar_h]],"")</f>
        <v/>
      </c>
      <c r="J2746" s="60">
        <f>IF(AND(tblFleet[[#This Row],[Units]]&lt;&gt;"",tblFleet[[#This Row],[Available_h]]&gt;0),tblFleet[[#This Row],[Operating_h]]/tblFleet[[#This Row],[Available_h]],"")</f>
        <v/>
      </c>
    </row>
    <row r="2747">
      <c r="A2747" s="54" t="n"/>
      <c r="B2747" s="61" t="n"/>
      <c r="C2747" s="62" t="n"/>
      <c r="D2747" s="57" t="n"/>
      <c r="E2747" s="57" t="n"/>
      <c r="F2747" s="58" t="n"/>
      <c r="G2747" s="66">
        <f>IF(tblFleet[[#This Row],[Units]]="","",tblFleet[[#This Row],[Units]]*cfg_HoursPerDay)</f>
        <v/>
      </c>
      <c r="H2747" s="66">
        <f>IF(tblFleet[[#This Row],[Units]]="","",tblFleet[[#This Row],[Calendar_h]]-tblFleet[[#This Row],[Down_h]])</f>
        <v/>
      </c>
      <c r="I2747" s="60">
        <f>IF(AND(tblFleet[[#This Row],[Units]]&lt;&gt;"",tblFleet[[#This Row],[Calendar_h]]&gt;0),tblFleet[[#This Row],[Available_h]]/tblFleet[[#This Row],[Calendar_h]],"")</f>
        <v/>
      </c>
      <c r="J2747" s="60">
        <f>IF(AND(tblFleet[[#This Row],[Units]]&lt;&gt;"",tblFleet[[#This Row],[Available_h]]&gt;0),tblFleet[[#This Row],[Operating_h]]/tblFleet[[#This Row],[Available_h]],"")</f>
        <v/>
      </c>
    </row>
    <row r="2748">
      <c r="A2748" s="54" t="n"/>
      <c r="B2748" s="61" t="n"/>
      <c r="C2748" s="62" t="n"/>
      <c r="D2748" s="57" t="n"/>
      <c r="E2748" s="57" t="n"/>
      <c r="F2748" s="58" t="n"/>
      <c r="G2748" s="66">
        <f>IF(tblFleet[[#This Row],[Units]]="","",tblFleet[[#This Row],[Units]]*cfg_HoursPerDay)</f>
        <v/>
      </c>
      <c r="H2748" s="66">
        <f>IF(tblFleet[[#This Row],[Units]]="","",tblFleet[[#This Row],[Calendar_h]]-tblFleet[[#This Row],[Down_h]])</f>
        <v/>
      </c>
      <c r="I2748" s="60">
        <f>IF(AND(tblFleet[[#This Row],[Units]]&lt;&gt;"",tblFleet[[#This Row],[Calendar_h]]&gt;0),tblFleet[[#This Row],[Available_h]]/tblFleet[[#This Row],[Calendar_h]],"")</f>
        <v/>
      </c>
      <c r="J2748" s="60">
        <f>IF(AND(tblFleet[[#This Row],[Units]]&lt;&gt;"",tblFleet[[#This Row],[Available_h]]&gt;0),tblFleet[[#This Row],[Operating_h]]/tblFleet[[#This Row],[Available_h]],"")</f>
        <v/>
      </c>
    </row>
    <row r="2749">
      <c r="A2749" s="54" t="n"/>
      <c r="B2749" s="61" t="n"/>
      <c r="C2749" s="62" t="n"/>
      <c r="D2749" s="57" t="n"/>
      <c r="E2749" s="57" t="n"/>
      <c r="F2749" s="58" t="n"/>
      <c r="G2749" s="66">
        <f>IF(tblFleet[[#This Row],[Units]]="","",tblFleet[[#This Row],[Units]]*cfg_HoursPerDay)</f>
        <v/>
      </c>
      <c r="H2749" s="66">
        <f>IF(tblFleet[[#This Row],[Units]]="","",tblFleet[[#This Row],[Calendar_h]]-tblFleet[[#This Row],[Down_h]])</f>
        <v/>
      </c>
      <c r="I2749" s="60">
        <f>IF(AND(tblFleet[[#This Row],[Units]]&lt;&gt;"",tblFleet[[#This Row],[Calendar_h]]&gt;0),tblFleet[[#This Row],[Available_h]]/tblFleet[[#This Row],[Calendar_h]],"")</f>
        <v/>
      </c>
      <c r="J2749" s="60">
        <f>IF(AND(tblFleet[[#This Row],[Units]]&lt;&gt;"",tblFleet[[#This Row],[Available_h]]&gt;0),tblFleet[[#This Row],[Operating_h]]/tblFleet[[#This Row],[Available_h]],"")</f>
        <v/>
      </c>
    </row>
    <row r="2750">
      <c r="A2750" s="54" t="n"/>
      <c r="B2750" s="61" t="n"/>
      <c r="C2750" s="62" t="n"/>
      <c r="D2750" s="57" t="n"/>
      <c r="E2750" s="57" t="n"/>
      <c r="F2750" s="58" t="n"/>
      <c r="G2750" s="66">
        <f>IF(tblFleet[[#This Row],[Units]]="","",tblFleet[[#This Row],[Units]]*cfg_HoursPerDay)</f>
        <v/>
      </c>
      <c r="H2750" s="66">
        <f>IF(tblFleet[[#This Row],[Units]]="","",tblFleet[[#This Row],[Calendar_h]]-tblFleet[[#This Row],[Down_h]])</f>
        <v/>
      </c>
      <c r="I2750" s="60">
        <f>IF(AND(tblFleet[[#This Row],[Units]]&lt;&gt;"",tblFleet[[#This Row],[Calendar_h]]&gt;0),tblFleet[[#This Row],[Available_h]]/tblFleet[[#This Row],[Calendar_h]],"")</f>
        <v/>
      </c>
      <c r="J2750" s="60">
        <f>IF(AND(tblFleet[[#This Row],[Units]]&lt;&gt;"",tblFleet[[#This Row],[Available_h]]&gt;0),tblFleet[[#This Row],[Operating_h]]/tblFleet[[#This Row],[Available_h]],"")</f>
        <v/>
      </c>
    </row>
    <row r="2751">
      <c r="A2751" s="54" t="n"/>
      <c r="B2751" s="61" t="n"/>
      <c r="C2751" s="62" t="n"/>
      <c r="D2751" s="57" t="n"/>
      <c r="E2751" s="57" t="n"/>
      <c r="F2751" s="58" t="n"/>
      <c r="G2751" s="66">
        <f>IF(tblFleet[[#This Row],[Units]]="","",tblFleet[[#This Row],[Units]]*cfg_HoursPerDay)</f>
        <v/>
      </c>
      <c r="H2751" s="66">
        <f>IF(tblFleet[[#This Row],[Units]]="","",tblFleet[[#This Row],[Calendar_h]]-tblFleet[[#This Row],[Down_h]])</f>
        <v/>
      </c>
      <c r="I2751" s="60">
        <f>IF(AND(tblFleet[[#This Row],[Units]]&lt;&gt;"",tblFleet[[#This Row],[Calendar_h]]&gt;0),tblFleet[[#This Row],[Available_h]]/tblFleet[[#This Row],[Calendar_h]],"")</f>
        <v/>
      </c>
      <c r="J2751" s="60">
        <f>IF(AND(tblFleet[[#This Row],[Units]]&lt;&gt;"",tblFleet[[#This Row],[Available_h]]&gt;0),tblFleet[[#This Row],[Operating_h]]/tblFleet[[#This Row],[Available_h]],"")</f>
        <v/>
      </c>
    </row>
    <row r="2752">
      <c r="A2752" s="54" t="n"/>
      <c r="B2752" s="61" t="n"/>
      <c r="C2752" s="62" t="n"/>
      <c r="D2752" s="57" t="n"/>
      <c r="E2752" s="57" t="n"/>
      <c r="F2752" s="58" t="n"/>
      <c r="G2752" s="66">
        <f>IF(tblFleet[[#This Row],[Units]]="","",tblFleet[[#This Row],[Units]]*cfg_HoursPerDay)</f>
        <v/>
      </c>
      <c r="H2752" s="66">
        <f>IF(tblFleet[[#This Row],[Units]]="","",tblFleet[[#This Row],[Calendar_h]]-tblFleet[[#This Row],[Down_h]])</f>
        <v/>
      </c>
      <c r="I2752" s="60">
        <f>IF(AND(tblFleet[[#This Row],[Units]]&lt;&gt;"",tblFleet[[#This Row],[Calendar_h]]&gt;0),tblFleet[[#This Row],[Available_h]]/tblFleet[[#This Row],[Calendar_h]],"")</f>
        <v/>
      </c>
      <c r="J2752" s="60">
        <f>IF(AND(tblFleet[[#This Row],[Units]]&lt;&gt;"",tblFleet[[#This Row],[Available_h]]&gt;0),tblFleet[[#This Row],[Operating_h]]/tblFleet[[#This Row],[Available_h]],"")</f>
        <v/>
      </c>
    </row>
    <row r="2753">
      <c r="A2753" s="54" t="n"/>
      <c r="B2753" s="61" t="n"/>
      <c r="C2753" s="62" t="n"/>
      <c r="D2753" s="57" t="n"/>
      <c r="E2753" s="57" t="n"/>
      <c r="F2753" s="58" t="n"/>
      <c r="G2753" s="66">
        <f>IF(tblFleet[[#This Row],[Units]]="","",tblFleet[[#This Row],[Units]]*cfg_HoursPerDay)</f>
        <v/>
      </c>
      <c r="H2753" s="66">
        <f>IF(tblFleet[[#This Row],[Units]]="","",tblFleet[[#This Row],[Calendar_h]]-tblFleet[[#This Row],[Down_h]])</f>
        <v/>
      </c>
      <c r="I2753" s="60">
        <f>IF(AND(tblFleet[[#This Row],[Units]]&lt;&gt;"",tblFleet[[#This Row],[Calendar_h]]&gt;0),tblFleet[[#This Row],[Available_h]]/tblFleet[[#This Row],[Calendar_h]],"")</f>
        <v/>
      </c>
      <c r="J2753" s="60">
        <f>IF(AND(tblFleet[[#This Row],[Units]]&lt;&gt;"",tblFleet[[#This Row],[Available_h]]&gt;0),tblFleet[[#This Row],[Operating_h]]/tblFleet[[#This Row],[Available_h]],"")</f>
        <v/>
      </c>
    </row>
    <row r="2754">
      <c r="A2754" s="54" t="n"/>
      <c r="B2754" s="61" t="n"/>
      <c r="C2754" s="62" t="n"/>
      <c r="D2754" s="57" t="n"/>
      <c r="E2754" s="57" t="n"/>
      <c r="F2754" s="58" t="n"/>
      <c r="G2754" s="66">
        <f>IF(tblFleet[[#This Row],[Units]]="","",tblFleet[[#This Row],[Units]]*cfg_HoursPerDay)</f>
        <v/>
      </c>
      <c r="H2754" s="66">
        <f>IF(tblFleet[[#This Row],[Units]]="","",tblFleet[[#This Row],[Calendar_h]]-tblFleet[[#This Row],[Down_h]])</f>
        <v/>
      </c>
      <c r="I2754" s="60">
        <f>IF(AND(tblFleet[[#This Row],[Units]]&lt;&gt;"",tblFleet[[#This Row],[Calendar_h]]&gt;0),tblFleet[[#This Row],[Available_h]]/tblFleet[[#This Row],[Calendar_h]],"")</f>
        <v/>
      </c>
      <c r="J2754" s="60">
        <f>IF(AND(tblFleet[[#This Row],[Units]]&lt;&gt;"",tblFleet[[#This Row],[Available_h]]&gt;0),tblFleet[[#This Row],[Operating_h]]/tblFleet[[#This Row],[Available_h]],"")</f>
        <v/>
      </c>
    </row>
    <row r="2755">
      <c r="A2755" s="54" t="n"/>
      <c r="B2755" s="61" t="n"/>
      <c r="C2755" s="62" t="n"/>
      <c r="D2755" s="57" t="n"/>
      <c r="E2755" s="57" t="n"/>
      <c r="F2755" s="58" t="n"/>
      <c r="G2755" s="66">
        <f>IF(tblFleet[[#This Row],[Units]]="","",tblFleet[[#This Row],[Units]]*cfg_HoursPerDay)</f>
        <v/>
      </c>
      <c r="H2755" s="66">
        <f>IF(tblFleet[[#This Row],[Units]]="","",tblFleet[[#This Row],[Calendar_h]]-tblFleet[[#This Row],[Down_h]])</f>
        <v/>
      </c>
      <c r="I2755" s="60">
        <f>IF(AND(tblFleet[[#This Row],[Units]]&lt;&gt;"",tblFleet[[#This Row],[Calendar_h]]&gt;0),tblFleet[[#This Row],[Available_h]]/tblFleet[[#This Row],[Calendar_h]],"")</f>
        <v/>
      </c>
      <c r="J2755" s="60">
        <f>IF(AND(tblFleet[[#This Row],[Units]]&lt;&gt;"",tblFleet[[#This Row],[Available_h]]&gt;0),tblFleet[[#This Row],[Operating_h]]/tblFleet[[#This Row],[Available_h]],"")</f>
        <v/>
      </c>
    </row>
    <row r="2756">
      <c r="A2756" s="54" t="n"/>
      <c r="B2756" s="61" t="n"/>
      <c r="C2756" s="62" t="n"/>
      <c r="D2756" s="57" t="n"/>
      <c r="E2756" s="57" t="n"/>
      <c r="F2756" s="58" t="n"/>
      <c r="G2756" s="66">
        <f>IF(tblFleet[[#This Row],[Units]]="","",tblFleet[[#This Row],[Units]]*cfg_HoursPerDay)</f>
        <v/>
      </c>
      <c r="H2756" s="66">
        <f>IF(tblFleet[[#This Row],[Units]]="","",tblFleet[[#This Row],[Calendar_h]]-tblFleet[[#This Row],[Down_h]])</f>
        <v/>
      </c>
      <c r="I2756" s="60">
        <f>IF(AND(tblFleet[[#This Row],[Units]]&lt;&gt;"",tblFleet[[#This Row],[Calendar_h]]&gt;0),tblFleet[[#This Row],[Available_h]]/tblFleet[[#This Row],[Calendar_h]],"")</f>
        <v/>
      </c>
      <c r="J2756" s="60">
        <f>IF(AND(tblFleet[[#This Row],[Units]]&lt;&gt;"",tblFleet[[#This Row],[Available_h]]&gt;0),tblFleet[[#This Row],[Operating_h]]/tblFleet[[#This Row],[Available_h]],"")</f>
        <v/>
      </c>
    </row>
    <row r="2757">
      <c r="A2757" s="54" t="n"/>
      <c r="B2757" s="61" t="n"/>
      <c r="C2757" s="62" t="n"/>
      <c r="D2757" s="57" t="n"/>
      <c r="E2757" s="57" t="n"/>
      <c r="F2757" s="58" t="n"/>
      <c r="G2757" s="66">
        <f>IF(tblFleet[[#This Row],[Units]]="","",tblFleet[[#This Row],[Units]]*cfg_HoursPerDay)</f>
        <v/>
      </c>
      <c r="H2757" s="66">
        <f>IF(tblFleet[[#This Row],[Units]]="","",tblFleet[[#This Row],[Calendar_h]]-tblFleet[[#This Row],[Down_h]])</f>
        <v/>
      </c>
      <c r="I2757" s="60">
        <f>IF(AND(tblFleet[[#This Row],[Units]]&lt;&gt;"",tblFleet[[#This Row],[Calendar_h]]&gt;0),tblFleet[[#This Row],[Available_h]]/tblFleet[[#This Row],[Calendar_h]],"")</f>
        <v/>
      </c>
      <c r="J2757" s="60">
        <f>IF(AND(tblFleet[[#This Row],[Units]]&lt;&gt;"",tblFleet[[#This Row],[Available_h]]&gt;0),tblFleet[[#This Row],[Operating_h]]/tblFleet[[#This Row],[Available_h]],"")</f>
        <v/>
      </c>
    </row>
    <row r="2758">
      <c r="A2758" s="54" t="n"/>
      <c r="B2758" s="61" t="n"/>
      <c r="C2758" s="62" t="n"/>
      <c r="D2758" s="57" t="n"/>
      <c r="E2758" s="57" t="n"/>
      <c r="F2758" s="58" t="n"/>
      <c r="G2758" s="66">
        <f>IF(tblFleet[[#This Row],[Units]]="","",tblFleet[[#This Row],[Units]]*cfg_HoursPerDay)</f>
        <v/>
      </c>
      <c r="H2758" s="66">
        <f>IF(tblFleet[[#This Row],[Units]]="","",tblFleet[[#This Row],[Calendar_h]]-tblFleet[[#This Row],[Down_h]])</f>
        <v/>
      </c>
      <c r="I2758" s="60">
        <f>IF(AND(tblFleet[[#This Row],[Units]]&lt;&gt;"",tblFleet[[#This Row],[Calendar_h]]&gt;0),tblFleet[[#This Row],[Available_h]]/tblFleet[[#This Row],[Calendar_h]],"")</f>
        <v/>
      </c>
      <c r="J2758" s="60">
        <f>IF(AND(tblFleet[[#This Row],[Units]]&lt;&gt;"",tblFleet[[#This Row],[Available_h]]&gt;0),tblFleet[[#This Row],[Operating_h]]/tblFleet[[#This Row],[Available_h]],"")</f>
        <v/>
      </c>
    </row>
    <row r="2759">
      <c r="A2759" s="54" t="n"/>
      <c r="B2759" s="61" t="n"/>
      <c r="C2759" s="62" t="n"/>
      <c r="D2759" s="57" t="n"/>
      <c r="E2759" s="57" t="n"/>
      <c r="F2759" s="58" t="n"/>
      <c r="G2759" s="66">
        <f>IF(tblFleet[[#This Row],[Units]]="","",tblFleet[[#This Row],[Units]]*cfg_HoursPerDay)</f>
        <v/>
      </c>
      <c r="H2759" s="66">
        <f>IF(tblFleet[[#This Row],[Units]]="","",tblFleet[[#This Row],[Calendar_h]]-tblFleet[[#This Row],[Down_h]])</f>
        <v/>
      </c>
      <c r="I2759" s="60">
        <f>IF(AND(tblFleet[[#This Row],[Units]]&lt;&gt;"",tblFleet[[#This Row],[Calendar_h]]&gt;0),tblFleet[[#This Row],[Available_h]]/tblFleet[[#This Row],[Calendar_h]],"")</f>
        <v/>
      </c>
      <c r="J2759" s="60">
        <f>IF(AND(tblFleet[[#This Row],[Units]]&lt;&gt;"",tblFleet[[#This Row],[Available_h]]&gt;0),tblFleet[[#This Row],[Operating_h]]/tblFleet[[#This Row],[Available_h]],"")</f>
        <v/>
      </c>
    </row>
    <row r="2760">
      <c r="A2760" s="54" t="n"/>
      <c r="B2760" s="61" t="n"/>
      <c r="C2760" s="62" t="n"/>
      <c r="D2760" s="57" t="n"/>
      <c r="E2760" s="57" t="n"/>
      <c r="F2760" s="58" t="n"/>
      <c r="G2760" s="66">
        <f>IF(tblFleet[[#This Row],[Units]]="","",tblFleet[[#This Row],[Units]]*cfg_HoursPerDay)</f>
        <v/>
      </c>
      <c r="H2760" s="66">
        <f>IF(tblFleet[[#This Row],[Units]]="","",tblFleet[[#This Row],[Calendar_h]]-tblFleet[[#This Row],[Down_h]])</f>
        <v/>
      </c>
      <c r="I2760" s="60">
        <f>IF(AND(tblFleet[[#This Row],[Units]]&lt;&gt;"",tblFleet[[#This Row],[Calendar_h]]&gt;0),tblFleet[[#This Row],[Available_h]]/tblFleet[[#This Row],[Calendar_h]],"")</f>
        <v/>
      </c>
      <c r="J2760" s="60">
        <f>IF(AND(tblFleet[[#This Row],[Units]]&lt;&gt;"",tblFleet[[#This Row],[Available_h]]&gt;0),tblFleet[[#This Row],[Operating_h]]/tblFleet[[#This Row],[Available_h]],"")</f>
        <v/>
      </c>
    </row>
    <row r="2761">
      <c r="A2761" s="54" t="n"/>
      <c r="B2761" s="61" t="n"/>
      <c r="C2761" s="62" t="n"/>
      <c r="D2761" s="57" t="n"/>
      <c r="E2761" s="57" t="n"/>
      <c r="F2761" s="58" t="n"/>
      <c r="G2761" s="66">
        <f>IF(tblFleet[[#This Row],[Units]]="","",tblFleet[[#This Row],[Units]]*cfg_HoursPerDay)</f>
        <v/>
      </c>
      <c r="H2761" s="66">
        <f>IF(tblFleet[[#This Row],[Units]]="","",tblFleet[[#This Row],[Calendar_h]]-tblFleet[[#This Row],[Down_h]])</f>
        <v/>
      </c>
      <c r="I2761" s="60">
        <f>IF(AND(tblFleet[[#This Row],[Units]]&lt;&gt;"",tblFleet[[#This Row],[Calendar_h]]&gt;0),tblFleet[[#This Row],[Available_h]]/tblFleet[[#This Row],[Calendar_h]],"")</f>
        <v/>
      </c>
      <c r="J2761" s="60">
        <f>IF(AND(tblFleet[[#This Row],[Units]]&lt;&gt;"",tblFleet[[#This Row],[Available_h]]&gt;0),tblFleet[[#This Row],[Operating_h]]/tblFleet[[#This Row],[Available_h]],"")</f>
        <v/>
      </c>
    </row>
    <row r="2762">
      <c r="A2762" s="54" t="n"/>
      <c r="B2762" s="61" t="n"/>
      <c r="C2762" s="62" t="n"/>
      <c r="D2762" s="57" t="n"/>
      <c r="E2762" s="57" t="n"/>
      <c r="F2762" s="58" t="n"/>
      <c r="G2762" s="66">
        <f>IF(tblFleet[[#This Row],[Units]]="","",tblFleet[[#This Row],[Units]]*cfg_HoursPerDay)</f>
        <v/>
      </c>
      <c r="H2762" s="66">
        <f>IF(tblFleet[[#This Row],[Units]]="","",tblFleet[[#This Row],[Calendar_h]]-tblFleet[[#This Row],[Down_h]])</f>
        <v/>
      </c>
      <c r="I2762" s="60">
        <f>IF(AND(tblFleet[[#This Row],[Units]]&lt;&gt;"",tblFleet[[#This Row],[Calendar_h]]&gt;0),tblFleet[[#This Row],[Available_h]]/tblFleet[[#This Row],[Calendar_h]],"")</f>
        <v/>
      </c>
      <c r="J2762" s="60">
        <f>IF(AND(tblFleet[[#This Row],[Units]]&lt;&gt;"",tblFleet[[#This Row],[Available_h]]&gt;0),tblFleet[[#This Row],[Operating_h]]/tblFleet[[#This Row],[Available_h]],"")</f>
        <v/>
      </c>
    </row>
    <row r="2763">
      <c r="A2763" s="54" t="n"/>
      <c r="B2763" s="61" t="n"/>
      <c r="C2763" s="62" t="n"/>
      <c r="D2763" s="57" t="n"/>
      <c r="E2763" s="57" t="n"/>
      <c r="F2763" s="58" t="n"/>
      <c r="G2763" s="66">
        <f>IF(tblFleet[[#This Row],[Units]]="","",tblFleet[[#This Row],[Units]]*cfg_HoursPerDay)</f>
        <v/>
      </c>
      <c r="H2763" s="66">
        <f>IF(tblFleet[[#This Row],[Units]]="","",tblFleet[[#This Row],[Calendar_h]]-tblFleet[[#This Row],[Down_h]])</f>
        <v/>
      </c>
      <c r="I2763" s="60">
        <f>IF(AND(tblFleet[[#This Row],[Units]]&lt;&gt;"",tblFleet[[#This Row],[Calendar_h]]&gt;0),tblFleet[[#This Row],[Available_h]]/tblFleet[[#This Row],[Calendar_h]],"")</f>
        <v/>
      </c>
      <c r="J2763" s="60">
        <f>IF(AND(tblFleet[[#This Row],[Units]]&lt;&gt;"",tblFleet[[#This Row],[Available_h]]&gt;0),tblFleet[[#This Row],[Operating_h]]/tblFleet[[#This Row],[Available_h]],"")</f>
        <v/>
      </c>
    </row>
    <row r="2764">
      <c r="A2764" s="54" t="n"/>
      <c r="B2764" s="61" t="n"/>
      <c r="C2764" s="62" t="n"/>
      <c r="D2764" s="57" t="n"/>
      <c r="E2764" s="57" t="n"/>
      <c r="F2764" s="58" t="n"/>
      <c r="G2764" s="66">
        <f>IF(tblFleet[[#This Row],[Units]]="","",tblFleet[[#This Row],[Units]]*cfg_HoursPerDay)</f>
        <v/>
      </c>
      <c r="H2764" s="66">
        <f>IF(tblFleet[[#This Row],[Units]]="","",tblFleet[[#This Row],[Calendar_h]]-tblFleet[[#This Row],[Down_h]])</f>
        <v/>
      </c>
      <c r="I2764" s="60">
        <f>IF(AND(tblFleet[[#This Row],[Units]]&lt;&gt;"",tblFleet[[#This Row],[Calendar_h]]&gt;0),tblFleet[[#This Row],[Available_h]]/tblFleet[[#This Row],[Calendar_h]],"")</f>
        <v/>
      </c>
      <c r="J2764" s="60">
        <f>IF(AND(tblFleet[[#This Row],[Units]]&lt;&gt;"",tblFleet[[#This Row],[Available_h]]&gt;0),tblFleet[[#This Row],[Operating_h]]/tblFleet[[#This Row],[Available_h]],"")</f>
        <v/>
      </c>
    </row>
    <row r="2765">
      <c r="A2765" s="54" t="n"/>
      <c r="B2765" s="61" t="n"/>
      <c r="C2765" s="62" t="n"/>
      <c r="D2765" s="57" t="n"/>
      <c r="E2765" s="57" t="n"/>
      <c r="F2765" s="58" t="n"/>
      <c r="G2765" s="66">
        <f>IF(tblFleet[[#This Row],[Units]]="","",tblFleet[[#This Row],[Units]]*cfg_HoursPerDay)</f>
        <v/>
      </c>
      <c r="H2765" s="66">
        <f>IF(tblFleet[[#This Row],[Units]]="","",tblFleet[[#This Row],[Calendar_h]]-tblFleet[[#This Row],[Down_h]])</f>
        <v/>
      </c>
      <c r="I2765" s="60">
        <f>IF(AND(tblFleet[[#This Row],[Units]]&lt;&gt;"",tblFleet[[#This Row],[Calendar_h]]&gt;0),tblFleet[[#This Row],[Available_h]]/tblFleet[[#This Row],[Calendar_h]],"")</f>
        <v/>
      </c>
      <c r="J2765" s="60">
        <f>IF(AND(tblFleet[[#This Row],[Units]]&lt;&gt;"",tblFleet[[#This Row],[Available_h]]&gt;0),tblFleet[[#This Row],[Operating_h]]/tblFleet[[#This Row],[Available_h]],"")</f>
        <v/>
      </c>
    </row>
    <row r="2766">
      <c r="A2766" s="54" t="n"/>
      <c r="B2766" s="61" t="n"/>
      <c r="C2766" s="62" t="n"/>
      <c r="D2766" s="57" t="n"/>
      <c r="E2766" s="57" t="n"/>
      <c r="F2766" s="58" t="n"/>
      <c r="G2766" s="66">
        <f>IF(tblFleet[[#This Row],[Units]]="","",tblFleet[[#This Row],[Units]]*cfg_HoursPerDay)</f>
        <v/>
      </c>
      <c r="H2766" s="66">
        <f>IF(tblFleet[[#This Row],[Units]]="","",tblFleet[[#This Row],[Calendar_h]]-tblFleet[[#This Row],[Down_h]])</f>
        <v/>
      </c>
      <c r="I2766" s="60">
        <f>IF(AND(tblFleet[[#This Row],[Units]]&lt;&gt;"",tblFleet[[#This Row],[Calendar_h]]&gt;0),tblFleet[[#This Row],[Available_h]]/tblFleet[[#This Row],[Calendar_h]],"")</f>
        <v/>
      </c>
      <c r="J2766" s="60">
        <f>IF(AND(tblFleet[[#This Row],[Units]]&lt;&gt;"",tblFleet[[#This Row],[Available_h]]&gt;0),tblFleet[[#This Row],[Operating_h]]/tblFleet[[#This Row],[Available_h]],"")</f>
        <v/>
      </c>
    </row>
    <row r="2767">
      <c r="A2767" s="54" t="n"/>
      <c r="B2767" s="61" t="n"/>
      <c r="C2767" s="62" t="n"/>
      <c r="D2767" s="57" t="n"/>
      <c r="E2767" s="57" t="n"/>
      <c r="F2767" s="58" t="n"/>
      <c r="G2767" s="66">
        <f>IF(tblFleet[[#This Row],[Units]]="","",tblFleet[[#This Row],[Units]]*cfg_HoursPerDay)</f>
        <v/>
      </c>
      <c r="H2767" s="66">
        <f>IF(tblFleet[[#This Row],[Units]]="","",tblFleet[[#This Row],[Calendar_h]]-tblFleet[[#This Row],[Down_h]])</f>
        <v/>
      </c>
      <c r="I2767" s="60">
        <f>IF(AND(tblFleet[[#This Row],[Units]]&lt;&gt;"",tblFleet[[#This Row],[Calendar_h]]&gt;0),tblFleet[[#This Row],[Available_h]]/tblFleet[[#This Row],[Calendar_h]],"")</f>
        <v/>
      </c>
      <c r="J2767" s="60">
        <f>IF(AND(tblFleet[[#This Row],[Units]]&lt;&gt;"",tblFleet[[#This Row],[Available_h]]&gt;0),tblFleet[[#This Row],[Operating_h]]/tblFleet[[#This Row],[Available_h]],"")</f>
        <v/>
      </c>
    </row>
    <row r="2768">
      <c r="A2768" s="54" t="n"/>
      <c r="B2768" s="61" t="n"/>
      <c r="C2768" s="62" t="n"/>
      <c r="D2768" s="57" t="n"/>
      <c r="E2768" s="57" t="n"/>
      <c r="F2768" s="58" t="n"/>
      <c r="G2768" s="66">
        <f>IF(tblFleet[[#This Row],[Units]]="","",tblFleet[[#This Row],[Units]]*cfg_HoursPerDay)</f>
        <v/>
      </c>
      <c r="H2768" s="66">
        <f>IF(tblFleet[[#This Row],[Units]]="","",tblFleet[[#This Row],[Calendar_h]]-tblFleet[[#This Row],[Down_h]])</f>
        <v/>
      </c>
      <c r="I2768" s="60">
        <f>IF(AND(tblFleet[[#This Row],[Units]]&lt;&gt;"",tblFleet[[#This Row],[Calendar_h]]&gt;0),tblFleet[[#This Row],[Available_h]]/tblFleet[[#This Row],[Calendar_h]],"")</f>
        <v/>
      </c>
      <c r="J2768" s="60">
        <f>IF(AND(tblFleet[[#This Row],[Units]]&lt;&gt;"",tblFleet[[#This Row],[Available_h]]&gt;0),tblFleet[[#This Row],[Operating_h]]/tblFleet[[#This Row],[Available_h]],"")</f>
        <v/>
      </c>
    </row>
    <row r="2769">
      <c r="A2769" s="54" t="n"/>
      <c r="B2769" s="61" t="n"/>
      <c r="C2769" s="62" t="n"/>
      <c r="D2769" s="57" t="n"/>
      <c r="E2769" s="57" t="n"/>
      <c r="F2769" s="58" t="n"/>
      <c r="G2769" s="66">
        <f>IF(tblFleet[[#This Row],[Units]]="","",tblFleet[[#This Row],[Units]]*cfg_HoursPerDay)</f>
        <v/>
      </c>
      <c r="H2769" s="66">
        <f>IF(tblFleet[[#This Row],[Units]]="","",tblFleet[[#This Row],[Calendar_h]]-tblFleet[[#This Row],[Down_h]])</f>
        <v/>
      </c>
      <c r="I2769" s="60">
        <f>IF(AND(tblFleet[[#This Row],[Units]]&lt;&gt;"",tblFleet[[#This Row],[Calendar_h]]&gt;0),tblFleet[[#This Row],[Available_h]]/tblFleet[[#This Row],[Calendar_h]],"")</f>
        <v/>
      </c>
      <c r="J2769" s="60">
        <f>IF(AND(tblFleet[[#This Row],[Units]]&lt;&gt;"",tblFleet[[#This Row],[Available_h]]&gt;0),tblFleet[[#This Row],[Operating_h]]/tblFleet[[#This Row],[Available_h]],"")</f>
        <v/>
      </c>
    </row>
    <row r="2770">
      <c r="A2770" s="54" t="n"/>
      <c r="B2770" s="61" t="n"/>
      <c r="C2770" s="62" t="n"/>
      <c r="D2770" s="57" t="n"/>
      <c r="E2770" s="57" t="n"/>
      <c r="F2770" s="58" t="n"/>
      <c r="G2770" s="66">
        <f>IF(tblFleet[[#This Row],[Units]]="","",tblFleet[[#This Row],[Units]]*cfg_HoursPerDay)</f>
        <v/>
      </c>
      <c r="H2770" s="66">
        <f>IF(tblFleet[[#This Row],[Units]]="","",tblFleet[[#This Row],[Calendar_h]]-tblFleet[[#This Row],[Down_h]])</f>
        <v/>
      </c>
      <c r="I2770" s="60">
        <f>IF(AND(tblFleet[[#This Row],[Units]]&lt;&gt;"",tblFleet[[#This Row],[Calendar_h]]&gt;0),tblFleet[[#This Row],[Available_h]]/tblFleet[[#This Row],[Calendar_h]],"")</f>
        <v/>
      </c>
      <c r="J2770" s="60">
        <f>IF(AND(tblFleet[[#This Row],[Units]]&lt;&gt;"",tblFleet[[#This Row],[Available_h]]&gt;0),tblFleet[[#This Row],[Operating_h]]/tblFleet[[#This Row],[Available_h]],"")</f>
        <v/>
      </c>
    </row>
    <row r="2771">
      <c r="A2771" s="54" t="n"/>
      <c r="B2771" s="61" t="n"/>
      <c r="C2771" s="62" t="n"/>
      <c r="D2771" s="57" t="n"/>
      <c r="E2771" s="57" t="n"/>
      <c r="F2771" s="58" t="n"/>
      <c r="G2771" s="66">
        <f>IF(tblFleet[[#This Row],[Units]]="","",tblFleet[[#This Row],[Units]]*cfg_HoursPerDay)</f>
        <v/>
      </c>
      <c r="H2771" s="66">
        <f>IF(tblFleet[[#This Row],[Units]]="","",tblFleet[[#This Row],[Calendar_h]]-tblFleet[[#This Row],[Down_h]])</f>
        <v/>
      </c>
      <c r="I2771" s="60">
        <f>IF(AND(tblFleet[[#This Row],[Units]]&lt;&gt;"",tblFleet[[#This Row],[Calendar_h]]&gt;0),tblFleet[[#This Row],[Available_h]]/tblFleet[[#This Row],[Calendar_h]],"")</f>
        <v/>
      </c>
      <c r="J2771" s="60">
        <f>IF(AND(tblFleet[[#This Row],[Units]]&lt;&gt;"",tblFleet[[#This Row],[Available_h]]&gt;0),tblFleet[[#This Row],[Operating_h]]/tblFleet[[#This Row],[Available_h]],"")</f>
        <v/>
      </c>
    </row>
    <row r="2772">
      <c r="A2772" s="54" t="n"/>
      <c r="B2772" s="61" t="n"/>
      <c r="C2772" s="62" t="n"/>
      <c r="D2772" s="57" t="n"/>
      <c r="E2772" s="57" t="n"/>
      <c r="F2772" s="58" t="n"/>
      <c r="G2772" s="66">
        <f>IF(tblFleet[[#This Row],[Units]]="","",tblFleet[[#This Row],[Units]]*cfg_HoursPerDay)</f>
        <v/>
      </c>
      <c r="H2772" s="66">
        <f>IF(tblFleet[[#This Row],[Units]]="","",tblFleet[[#This Row],[Calendar_h]]-tblFleet[[#This Row],[Down_h]])</f>
        <v/>
      </c>
      <c r="I2772" s="60">
        <f>IF(AND(tblFleet[[#This Row],[Units]]&lt;&gt;"",tblFleet[[#This Row],[Calendar_h]]&gt;0),tblFleet[[#This Row],[Available_h]]/tblFleet[[#This Row],[Calendar_h]],"")</f>
        <v/>
      </c>
      <c r="J2772" s="60">
        <f>IF(AND(tblFleet[[#This Row],[Units]]&lt;&gt;"",tblFleet[[#This Row],[Available_h]]&gt;0),tblFleet[[#This Row],[Operating_h]]/tblFleet[[#This Row],[Available_h]],"")</f>
        <v/>
      </c>
    </row>
    <row r="2773">
      <c r="A2773" s="54" t="n"/>
      <c r="B2773" s="61" t="n"/>
      <c r="C2773" s="62" t="n"/>
      <c r="D2773" s="57" t="n"/>
      <c r="E2773" s="57" t="n"/>
      <c r="F2773" s="58" t="n"/>
      <c r="G2773" s="66">
        <f>IF(tblFleet[[#This Row],[Units]]="","",tblFleet[[#This Row],[Units]]*cfg_HoursPerDay)</f>
        <v/>
      </c>
      <c r="H2773" s="66">
        <f>IF(tblFleet[[#This Row],[Units]]="","",tblFleet[[#This Row],[Calendar_h]]-tblFleet[[#This Row],[Down_h]])</f>
        <v/>
      </c>
      <c r="I2773" s="60">
        <f>IF(AND(tblFleet[[#This Row],[Units]]&lt;&gt;"",tblFleet[[#This Row],[Calendar_h]]&gt;0),tblFleet[[#This Row],[Available_h]]/tblFleet[[#This Row],[Calendar_h]],"")</f>
        <v/>
      </c>
      <c r="J2773" s="60">
        <f>IF(AND(tblFleet[[#This Row],[Units]]&lt;&gt;"",tblFleet[[#This Row],[Available_h]]&gt;0),tblFleet[[#This Row],[Operating_h]]/tblFleet[[#This Row],[Available_h]],"")</f>
        <v/>
      </c>
    </row>
    <row r="2774">
      <c r="A2774" s="54" t="n"/>
      <c r="B2774" s="61" t="n"/>
      <c r="C2774" s="62" t="n"/>
      <c r="D2774" s="57" t="n"/>
      <c r="E2774" s="57" t="n"/>
      <c r="F2774" s="58" t="n"/>
      <c r="G2774" s="66">
        <f>IF(tblFleet[[#This Row],[Units]]="","",tblFleet[[#This Row],[Units]]*cfg_HoursPerDay)</f>
        <v/>
      </c>
      <c r="H2774" s="66">
        <f>IF(tblFleet[[#This Row],[Units]]="","",tblFleet[[#This Row],[Calendar_h]]-tblFleet[[#This Row],[Down_h]])</f>
        <v/>
      </c>
      <c r="I2774" s="60">
        <f>IF(AND(tblFleet[[#This Row],[Units]]&lt;&gt;"",tblFleet[[#This Row],[Calendar_h]]&gt;0),tblFleet[[#This Row],[Available_h]]/tblFleet[[#This Row],[Calendar_h]],"")</f>
        <v/>
      </c>
      <c r="J2774" s="60">
        <f>IF(AND(tblFleet[[#This Row],[Units]]&lt;&gt;"",tblFleet[[#This Row],[Available_h]]&gt;0),tblFleet[[#This Row],[Operating_h]]/tblFleet[[#This Row],[Available_h]],"")</f>
        <v/>
      </c>
    </row>
    <row r="2775">
      <c r="A2775" s="54" t="n"/>
      <c r="B2775" s="61" t="n"/>
      <c r="C2775" s="62" t="n"/>
      <c r="D2775" s="57" t="n"/>
      <c r="E2775" s="57" t="n"/>
      <c r="F2775" s="58" t="n"/>
      <c r="G2775" s="66">
        <f>IF(tblFleet[[#This Row],[Units]]="","",tblFleet[[#This Row],[Units]]*cfg_HoursPerDay)</f>
        <v/>
      </c>
      <c r="H2775" s="66">
        <f>IF(tblFleet[[#This Row],[Units]]="","",tblFleet[[#This Row],[Calendar_h]]-tblFleet[[#This Row],[Down_h]])</f>
        <v/>
      </c>
      <c r="I2775" s="60">
        <f>IF(AND(tblFleet[[#This Row],[Units]]&lt;&gt;"",tblFleet[[#This Row],[Calendar_h]]&gt;0),tblFleet[[#This Row],[Available_h]]/tblFleet[[#This Row],[Calendar_h]],"")</f>
        <v/>
      </c>
      <c r="J2775" s="60">
        <f>IF(AND(tblFleet[[#This Row],[Units]]&lt;&gt;"",tblFleet[[#This Row],[Available_h]]&gt;0),tblFleet[[#This Row],[Operating_h]]/tblFleet[[#This Row],[Available_h]],"")</f>
        <v/>
      </c>
    </row>
    <row r="2776">
      <c r="A2776" s="54" t="n"/>
      <c r="B2776" s="61" t="n"/>
      <c r="C2776" s="62" t="n"/>
      <c r="D2776" s="57" t="n"/>
      <c r="E2776" s="57" t="n"/>
      <c r="F2776" s="58" t="n"/>
      <c r="G2776" s="66">
        <f>IF(tblFleet[[#This Row],[Units]]="","",tblFleet[[#This Row],[Units]]*cfg_HoursPerDay)</f>
        <v/>
      </c>
      <c r="H2776" s="66">
        <f>IF(tblFleet[[#This Row],[Units]]="","",tblFleet[[#This Row],[Calendar_h]]-tblFleet[[#This Row],[Down_h]])</f>
        <v/>
      </c>
      <c r="I2776" s="60">
        <f>IF(AND(tblFleet[[#This Row],[Units]]&lt;&gt;"",tblFleet[[#This Row],[Calendar_h]]&gt;0),tblFleet[[#This Row],[Available_h]]/tblFleet[[#This Row],[Calendar_h]],"")</f>
        <v/>
      </c>
      <c r="J2776" s="60">
        <f>IF(AND(tblFleet[[#This Row],[Units]]&lt;&gt;"",tblFleet[[#This Row],[Available_h]]&gt;0),tblFleet[[#This Row],[Operating_h]]/tblFleet[[#This Row],[Available_h]],"")</f>
        <v/>
      </c>
    </row>
    <row r="2777">
      <c r="A2777" s="54" t="n"/>
      <c r="B2777" s="61" t="n"/>
      <c r="C2777" s="62" t="n"/>
      <c r="D2777" s="57" t="n"/>
      <c r="E2777" s="57" t="n"/>
      <c r="F2777" s="58" t="n"/>
      <c r="G2777" s="66">
        <f>IF(tblFleet[[#This Row],[Units]]="","",tblFleet[[#This Row],[Units]]*cfg_HoursPerDay)</f>
        <v/>
      </c>
      <c r="H2777" s="66">
        <f>IF(tblFleet[[#This Row],[Units]]="","",tblFleet[[#This Row],[Calendar_h]]-tblFleet[[#This Row],[Down_h]])</f>
        <v/>
      </c>
      <c r="I2777" s="60">
        <f>IF(AND(tblFleet[[#This Row],[Units]]&lt;&gt;"",tblFleet[[#This Row],[Calendar_h]]&gt;0),tblFleet[[#This Row],[Available_h]]/tblFleet[[#This Row],[Calendar_h]],"")</f>
        <v/>
      </c>
      <c r="J2777" s="60">
        <f>IF(AND(tblFleet[[#This Row],[Units]]&lt;&gt;"",tblFleet[[#This Row],[Available_h]]&gt;0),tblFleet[[#This Row],[Operating_h]]/tblFleet[[#This Row],[Available_h]],"")</f>
        <v/>
      </c>
    </row>
    <row r="2778">
      <c r="A2778" s="54" t="n"/>
      <c r="B2778" s="61" t="n"/>
      <c r="C2778" s="62" t="n"/>
      <c r="D2778" s="57" t="n"/>
      <c r="E2778" s="57" t="n"/>
      <c r="F2778" s="58" t="n"/>
      <c r="G2778" s="66">
        <f>IF(tblFleet[[#This Row],[Units]]="","",tblFleet[[#This Row],[Units]]*cfg_HoursPerDay)</f>
        <v/>
      </c>
      <c r="H2778" s="66">
        <f>IF(tblFleet[[#This Row],[Units]]="","",tblFleet[[#This Row],[Calendar_h]]-tblFleet[[#This Row],[Down_h]])</f>
        <v/>
      </c>
      <c r="I2778" s="60">
        <f>IF(AND(tblFleet[[#This Row],[Units]]&lt;&gt;"",tblFleet[[#This Row],[Calendar_h]]&gt;0),tblFleet[[#This Row],[Available_h]]/tblFleet[[#This Row],[Calendar_h]],"")</f>
        <v/>
      </c>
      <c r="J2778" s="60">
        <f>IF(AND(tblFleet[[#This Row],[Units]]&lt;&gt;"",tblFleet[[#This Row],[Available_h]]&gt;0),tblFleet[[#This Row],[Operating_h]]/tblFleet[[#This Row],[Available_h]],"")</f>
        <v/>
      </c>
    </row>
    <row r="2779">
      <c r="A2779" s="54" t="n"/>
      <c r="B2779" s="61" t="n"/>
      <c r="C2779" s="62" t="n"/>
      <c r="D2779" s="57" t="n"/>
      <c r="E2779" s="57" t="n"/>
      <c r="F2779" s="58" t="n"/>
      <c r="G2779" s="66">
        <f>IF(tblFleet[[#This Row],[Units]]="","",tblFleet[[#This Row],[Units]]*cfg_HoursPerDay)</f>
        <v/>
      </c>
      <c r="H2779" s="66">
        <f>IF(tblFleet[[#This Row],[Units]]="","",tblFleet[[#This Row],[Calendar_h]]-tblFleet[[#This Row],[Down_h]])</f>
        <v/>
      </c>
      <c r="I2779" s="60">
        <f>IF(AND(tblFleet[[#This Row],[Units]]&lt;&gt;"",tblFleet[[#This Row],[Calendar_h]]&gt;0),tblFleet[[#This Row],[Available_h]]/tblFleet[[#This Row],[Calendar_h]],"")</f>
        <v/>
      </c>
      <c r="J2779" s="60">
        <f>IF(AND(tblFleet[[#This Row],[Units]]&lt;&gt;"",tblFleet[[#This Row],[Available_h]]&gt;0),tblFleet[[#This Row],[Operating_h]]/tblFleet[[#This Row],[Available_h]],"")</f>
        <v/>
      </c>
    </row>
    <row r="2780">
      <c r="A2780" s="54" t="n"/>
      <c r="B2780" s="61" t="n"/>
      <c r="C2780" s="62" t="n"/>
      <c r="D2780" s="57" t="n"/>
      <c r="E2780" s="57" t="n"/>
      <c r="F2780" s="58" t="n"/>
      <c r="G2780" s="66">
        <f>IF(tblFleet[[#This Row],[Units]]="","",tblFleet[[#This Row],[Units]]*cfg_HoursPerDay)</f>
        <v/>
      </c>
      <c r="H2780" s="66">
        <f>IF(tblFleet[[#This Row],[Units]]="","",tblFleet[[#This Row],[Calendar_h]]-tblFleet[[#This Row],[Down_h]])</f>
        <v/>
      </c>
      <c r="I2780" s="60">
        <f>IF(AND(tblFleet[[#This Row],[Units]]&lt;&gt;"",tblFleet[[#This Row],[Calendar_h]]&gt;0),tblFleet[[#This Row],[Available_h]]/tblFleet[[#This Row],[Calendar_h]],"")</f>
        <v/>
      </c>
      <c r="J2780" s="60">
        <f>IF(AND(tblFleet[[#This Row],[Units]]&lt;&gt;"",tblFleet[[#This Row],[Available_h]]&gt;0),tblFleet[[#This Row],[Operating_h]]/tblFleet[[#This Row],[Available_h]],"")</f>
        <v/>
      </c>
    </row>
    <row r="2781">
      <c r="A2781" s="54" t="n"/>
      <c r="B2781" s="61" t="n"/>
      <c r="C2781" s="62" t="n"/>
      <c r="D2781" s="57" t="n"/>
      <c r="E2781" s="57" t="n"/>
      <c r="F2781" s="58" t="n"/>
      <c r="G2781" s="66">
        <f>IF(tblFleet[[#This Row],[Units]]="","",tblFleet[[#This Row],[Units]]*cfg_HoursPerDay)</f>
        <v/>
      </c>
      <c r="H2781" s="66">
        <f>IF(tblFleet[[#This Row],[Units]]="","",tblFleet[[#This Row],[Calendar_h]]-tblFleet[[#This Row],[Down_h]])</f>
        <v/>
      </c>
      <c r="I2781" s="60">
        <f>IF(AND(tblFleet[[#This Row],[Units]]&lt;&gt;"",tblFleet[[#This Row],[Calendar_h]]&gt;0),tblFleet[[#This Row],[Available_h]]/tblFleet[[#This Row],[Calendar_h]],"")</f>
        <v/>
      </c>
      <c r="J2781" s="60">
        <f>IF(AND(tblFleet[[#This Row],[Units]]&lt;&gt;"",tblFleet[[#This Row],[Available_h]]&gt;0),tblFleet[[#This Row],[Operating_h]]/tblFleet[[#This Row],[Available_h]],"")</f>
        <v/>
      </c>
    </row>
    <row r="2782">
      <c r="A2782" s="54" t="n"/>
      <c r="B2782" s="61" t="n"/>
      <c r="C2782" s="62" t="n"/>
      <c r="D2782" s="57" t="n"/>
      <c r="E2782" s="57" t="n"/>
      <c r="F2782" s="58" t="n"/>
      <c r="G2782" s="66">
        <f>IF(tblFleet[[#This Row],[Units]]="","",tblFleet[[#This Row],[Units]]*cfg_HoursPerDay)</f>
        <v/>
      </c>
      <c r="H2782" s="66">
        <f>IF(tblFleet[[#This Row],[Units]]="","",tblFleet[[#This Row],[Calendar_h]]-tblFleet[[#This Row],[Down_h]])</f>
        <v/>
      </c>
      <c r="I2782" s="60">
        <f>IF(AND(tblFleet[[#This Row],[Units]]&lt;&gt;"",tblFleet[[#This Row],[Calendar_h]]&gt;0),tblFleet[[#This Row],[Available_h]]/tblFleet[[#This Row],[Calendar_h]],"")</f>
        <v/>
      </c>
      <c r="J2782" s="60">
        <f>IF(AND(tblFleet[[#This Row],[Units]]&lt;&gt;"",tblFleet[[#This Row],[Available_h]]&gt;0),tblFleet[[#This Row],[Operating_h]]/tblFleet[[#This Row],[Available_h]],"")</f>
        <v/>
      </c>
    </row>
    <row r="2783">
      <c r="A2783" s="54" t="n"/>
      <c r="B2783" s="61" t="n"/>
      <c r="C2783" s="62" t="n"/>
      <c r="D2783" s="57" t="n"/>
      <c r="E2783" s="57" t="n"/>
      <c r="F2783" s="58" t="n"/>
      <c r="G2783" s="66">
        <f>IF(tblFleet[[#This Row],[Units]]="","",tblFleet[[#This Row],[Units]]*cfg_HoursPerDay)</f>
        <v/>
      </c>
      <c r="H2783" s="66">
        <f>IF(tblFleet[[#This Row],[Units]]="","",tblFleet[[#This Row],[Calendar_h]]-tblFleet[[#This Row],[Down_h]])</f>
        <v/>
      </c>
      <c r="I2783" s="60">
        <f>IF(AND(tblFleet[[#This Row],[Units]]&lt;&gt;"",tblFleet[[#This Row],[Calendar_h]]&gt;0),tblFleet[[#This Row],[Available_h]]/tblFleet[[#This Row],[Calendar_h]],"")</f>
        <v/>
      </c>
      <c r="J2783" s="60">
        <f>IF(AND(tblFleet[[#This Row],[Units]]&lt;&gt;"",tblFleet[[#This Row],[Available_h]]&gt;0),tblFleet[[#This Row],[Operating_h]]/tblFleet[[#This Row],[Available_h]],"")</f>
        <v/>
      </c>
    </row>
    <row r="2784">
      <c r="A2784" s="54" t="n"/>
      <c r="B2784" s="61" t="n"/>
      <c r="C2784" s="62" t="n"/>
      <c r="D2784" s="57" t="n"/>
      <c r="E2784" s="57" t="n"/>
      <c r="F2784" s="58" t="n"/>
      <c r="G2784" s="66">
        <f>IF(tblFleet[[#This Row],[Units]]="","",tblFleet[[#This Row],[Units]]*cfg_HoursPerDay)</f>
        <v/>
      </c>
      <c r="H2784" s="66">
        <f>IF(tblFleet[[#This Row],[Units]]="","",tblFleet[[#This Row],[Calendar_h]]-tblFleet[[#This Row],[Down_h]])</f>
        <v/>
      </c>
      <c r="I2784" s="60">
        <f>IF(AND(tblFleet[[#This Row],[Units]]&lt;&gt;"",tblFleet[[#This Row],[Calendar_h]]&gt;0),tblFleet[[#This Row],[Available_h]]/tblFleet[[#This Row],[Calendar_h]],"")</f>
        <v/>
      </c>
      <c r="J2784" s="60">
        <f>IF(AND(tblFleet[[#This Row],[Units]]&lt;&gt;"",tblFleet[[#This Row],[Available_h]]&gt;0),tblFleet[[#This Row],[Operating_h]]/tblFleet[[#This Row],[Available_h]],"")</f>
        <v/>
      </c>
    </row>
    <row r="2785">
      <c r="A2785" s="54" t="n"/>
      <c r="B2785" s="61" t="n"/>
      <c r="C2785" s="62" t="n"/>
      <c r="D2785" s="57" t="n"/>
      <c r="E2785" s="57" t="n"/>
      <c r="F2785" s="58" t="n"/>
      <c r="G2785" s="66">
        <f>IF(tblFleet[[#This Row],[Units]]="","",tblFleet[[#This Row],[Units]]*cfg_HoursPerDay)</f>
        <v/>
      </c>
      <c r="H2785" s="66">
        <f>IF(tblFleet[[#This Row],[Units]]="","",tblFleet[[#This Row],[Calendar_h]]-tblFleet[[#This Row],[Down_h]])</f>
        <v/>
      </c>
      <c r="I2785" s="60">
        <f>IF(AND(tblFleet[[#This Row],[Units]]&lt;&gt;"",tblFleet[[#This Row],[Calendar_h]]&gt;0),tblFleet[[#This Row],[Available_h]]/tblFleet[[#This Row],[Calendar_h]],"")</f>
        <v/>
      </c>
      <c r="J2785" s="60">
        <f>IF(AND(tblFleet[[#This Row],[Units]]&lt;&gt;"",tblFleet[[#This Row],[Available_h]]&gt;0),tblFleet[[#This Row],[Operating_h]]/tblFleet[[#This Row],[Available_h]],"")</f>
        <v/>
      </c>
    </row>
    <row r="2786">
      <c r="A2786" s="54" t="n"/>
      <c r="B2786" s="61" t="n"/>
      <c r="C2786" s="62" t="n"/>
      <c r="D2786" s="57" t="n"/>
      <c r="E2786" s="57" t="n"/>
      <c r="F2786" s="58" t="n"/>
      <c r="G2786" s="66">
        <f>IF(tblFleet[[#This Row],[Units]]="","",tblFleet[[#This Row],[Units]]*cfg_HoursPerDay)</f>
        <v/>
      </c>
      <c r="H2786" s="66">
        <f>IF(tblFleet[[#This Row],[Units]]="","",tblFleet[[#This Row],[Calendar_h]]-tblFleet[[#This Row],[Down_h]])</f>
        <v/>
      </c>
      <c r="I2786" s="60">
        <f>IF(AND(tblFleet[[#This Row],[Units]]&lt;&gt;"",tblFleet[[#This Row],[Calendar_h]]&gt;0),tblFleet[[#This Row],[Available_h]]/tblFleet[[#This Row],[Calendar_h]],"")</f>
        <v/>
      </c>
      <c r="J2786" s="60">
        <f>IF(AND(tblFleet[[#This Row],[Units]]&lt;&gt;"",tblFleet[[#This Row],[Available_h]]&gt;0),tblFleet[[#This Row],[Operating_h]]/tblFleet[[#This Row],[Available_h]],"")</f>
        <v/>
      </c>
    </row>
    <row r="2787">
      <c r="A2787" s="54" t="n"/>
      <c r="B2787" s="61" t="n"/>
      <c r="C2787" s="62" t="n"/>
      <c r="D2787" s="57" t="n"/>
      <c r="E2787" s="57" t="n"/>
      <c r="F2787" s="58" t="n"/>
      <c r="G2787" s="66">
        <f>IF(tblFleet[[#This Row],[Units]]="","",tblFleet[[#This Row],[Units]]*cfg_HoursPerDay)</f>
        <v/>
      </c>
      <c r="H2787" s="66">
        <f>IF(tblFleet[[#This Row],[Units]]="","",tblFleet[[#This Row],[Calendar_h]]-tblFleet[[#This Row],[Down_h]])</f>
        <v/>
      </c>
      <c r="I2787" s="60">
        <f>IF(AND(tblFleet[[#This Row],[Units]]&lt;&gt;"",tblFleet[[#This Row],[Calendar_h]]&gt;0),tblFleet[[#This Row],[Available_h]]/tblFleet[[#This Row],[Calendar_h]],"")</f>
        <v/>
      </c>
      <c r="J2787" s="60">
        <f>IF(AND(tblFleet[[#This Row],[Units]]&lt;&gt;"",tblFleet[[#This Row],[Available_h]]&gt;0),tblFleet[[#This Row],[Operating_h]]/tblFleet[[#This Row],[Available_h]],"")</f>
        <v/>
      </c>
    </row>
    <row r="2788">
      <c r="A2788" s="54" t="n"/>
      <c r="B2788" s="61" t="n"/>
      <c r="C2788" s="62" t="n"/>
      <c r="D2788" s="57" t="n"/>
      <c r="E2788" s="57" t="n"/>
      <c r="F2788" s="58" t="n"/>
      <c r="G2788" s="66">
        <f>IF(tblFleet[[#This Row],[Units]]="","",tblFleet[[#This Row],[Units]]*cfg_HoursPerDay)</f>
        <v/>
      </c>
      <c r="H2788" s="66">
        <f>IF(tblFleet[[#This Row],[Units]]="","",tblFleet[[#This Row],[Calendar_h]]-tblFleet[[#This Row],[Down_h]])</f>
        <v/>
      </c>
      <c r="I2788" s="60">
        <f>IF(AND(tblFleet[[#This Row],[Units]]&lt;&gt;"",tblFleet[[#This Row],[Calendar_h]]&gt;0),tblFleet[[#This Row],[Available_h]]/tblFleet[[#This Row],[Calendar_h]],"")</f>
        <v/>
      </c>
      <c r="J2788" s="60">
        <f>IF(AND(tblFleet[[#This Row],[Units]]&lt;&gt;"",tblFleet[[#This Row],[Available_h]]&gt;0),tblFleet[[#This Row],[Operating_h]]/tblFleet[[#This Row],[Available_h]],"")</f>
        <v/>
      </c>
    </row>
    <row r="2789">
      <c r="A2789" s="54" t="n"/>
      <c r="B2789" s="61" t="n"/>
      <c r="C2789" s="62" t="n"/>
      <c r="D2789" s="57" t="n"/>
      <c r="E2789" s="57" t="n"/>
      <c r="F2789" s="58" t="n"/>
      <c r="G2789" s="66">
        <f>IF(tblFleet[[#This Row],[Units]]="","",tblFleet[[#This Row],[Units]]*cfg_HoursPerDay)</f>
        <v/>
      </c>
      <c r="H2789" s="66">
        <f>IF(tblFleet[[#This Row],[Units]]="","",tblFleet[[#This Row],[Calendar_h]]-tblFleet[[#This Row],[Down_h]])</f>
        <v/>
      </c>
      <c r="I2789" s="60">
        <f>IF(AND(tblFleet[[#This Row],[Units]]&lt;&gt;"",tblFleet[[#This Row],[Calendar_h]]&gt;0),tblFleet[[#This Row],[Available_h]]/tblFleet[[#This Row],[Calendar_h]],"")</f>
        <v/>
      </c>
      <c r="J2789" s="60">
        <f>IF(AND(tblFleet[[#This Row],[Units]]&lt;&gt;"",tblFleet[[#This Row],[Available_h]]&gt;0),tblFleet[[#This Row],[Operating_h]]/tblFleet[[#This Row],[Available_h]],"")</f>
        <v/>
      </c>
    </row>
    <row r="2790">
      <c r="A2790" s="54" t="n"/>
      <c r="B2790" s="61" t="n"/>
      <c r="C2790" s="62" t="n"/>
      <c r="D2790" s="57" t="n"/>
      <c r="E2790" s="57" t="n"/>
      <c r="F2790" s="58" t="n"/>
      <c r="G2790" s="66">
        <f>IF(tblFleet[[#This Row],[Units]]="","",tblFleet[[#This Row],[Units]]*cfg_HoursPerDay)</f>
        <v/>
      </c>
      <c r="H2790" s="66">
        <f>IF(tblFleet[[#This Row],[Units]]="","",tblFleet[[#This Row],[Calendar_h]]-tblFleet[[#This Row],[Down_h]])</f>
        <v/>
      </c>
      <c r="I2790" s="60">
        <f>IF(AND(tblFleet[[#This Row],[Units]]&lt;&gt;"",tblFleet[[#This Row],[Calendar_h]]&gt;0),tblFleet[[#This Row],[Available_h]]/tblFleet[[#This Row],[Calendar_h]],"")</f>
        <v/>
      </c>
      <c r="J2790" s="60">
        <f>IF(AND(tblFleet[[#This Row],[Units]]&lt;&gt;"",tblFleet[[#This Row],[Available_h]]&gt;0),tblFleet[[#This Row],[Operating_h]]/tblFleet[[#This Row],[Available_h]],"")</f>
        <v/>
      </c>
    </row>
    <row r="2791">
      <c r="A2791" s="54" t="n"/>
      <c r="B2791" s="61" t="n"/>
      <c r="C2791" s="62" t="n"/>
      <c r="D2791" s="57" t="n"/>
      <c r="E2791" s="57" t="n"/>
      <c r="F2791" s="58" t="n"/>
      <c r="G2791" s="66">
        <f>IF(tblFleet[[#This Row],[Units]]="","",tblFleet[[#This Row],[Units]]*cfg_HoursPerDay)</f>
        <v/>
      </c>
      <c r="H2791" s="66">
        <f>IF(tblFleet[[#This Row],[Units]]="","",tblFleet[[#This Row],[Calendar_h]]-tblFleet[[#This Row],[Down_h]])</f>
        <v/>
      </c>
      <c r="I2791" s="60">
        <f>IF(AND(tblFleet[[#This Row],[Units]]&lt;&gt;"",tblFleet[[#This Row],[Calendar_h]]&gt;0),tblFleet[[#This Row],[Available_h]]/tblFleet[[#This Row],[Calendar_h]],"")</f>
        <v/>
      </c>
      <c r="J2791" s="60">
        <f>IF(AND(tblFleet[[#This Row],[Units]]&lt;&gt;"",tblFleet[[#This Row],[Available_h]]&gt;0),tblFleet[[#This Row],[Operating_h]]/tblFleet[[#This Row],[Available_h]],"")</f>
        <v/>
      </c>
    </row>
    <row r="2792">
      <c r="A2792" s="54" t="n"/>
      <c r="B2792" s="61" t="n"/>
      <c r="C2792" s="62" t="n"/>
      <c r="D2792" s="57" t="n"/>
      <c r="E2792" s="57" t="n"/>
      <c r="F2792" s="58" t="n"/>
      <c r="G2792" s="66">
        <f>IF(tblFleet[[#This Row],[Units]]="","",tblFleet[[#This Row],[Units]]*cfg_HoursPerDay)</f>
        <v/>
      </c>
      <c r="H2792" s="66">
        <f>IF(tblFleet[[#This Row],[Units]]="","",tblFleet[[#This Row],[Calendar_h]]-tblFleet[[#This Row],[Down_h]])</f>
        <v/>
      </c>
      <c r="I2792" s="60">
        <f>IF(AND(tblFleet[[#This Row],[Units]]&lt;&gt;"",tblFleet[[#This Row],[Calendar_h]]&gt;0),tblFleet[[#This Row],[Available_h]]/tblFleet[[#This Row],[Calendar_h]],"")</f>
        <v/>
      </c>
      <c r="J2792" s="60">
        <f>IF(AND(tblFleet[[#This Row],[Units]]&lt;&gt;"",tblFleet[[#This Row],[Available_h]]&gt;0),tblFleet[[#This Row],[Operating_h]]/tblFleet[[#This Row],[Available_h]],"")</f>
        <v/>
      </c>
    </row>
    <row r="2793">
      <c r="A2793" s="54" t="n"/>
      <c r="B2793" s="61" t="n"/>
      <c r="C2793" s="62" t="n"/>
      <c r="D2793" s="57" t="n"/>
      <c r="E2793" s="57" t="n"/>
      <c r="F2793" s="58" t="n"/>
      <c r="G2793" s="66">
        <f>IF(tblFleet[[#This Row],[Units]]="","",tblFleet[[#This Row],[Units]]*cfg_HoursPerDay)</f>
        <v/>
      </c>
      <c r="H2793" s="66">
        <f>IF(tblFleet[[#This Row],[Units]]="","",tblFleet[[#This Row],[Calendar_h]]-tblFleet[[#This Row],[Down_h]])</f>
        <v/>
      </c>
      <c r="I2793" s="60">
        <f>IF(AND(tblFleet[[#This Row],[Units]]&lt;&gt;"",tblFleet[[#This Row],[Calendar_h]]&gt;0),tblFleet[[#This Row],[Available_h]]/tblFleet[[#This Row],[Calendar_h]],"")</f>
        <v/>
      </c>
      <c r="J2793" s="60">
        <f>IF(AND(tblFleet[[#This Row],[Units]]&lt;&gt;"",tblFleet[[#This Row],[Available_h]]&gt;0),tblFleet[[#This Row],[Operating_h]]/tblFleet[[#This Row],[Available_h]],"")</f>
        <v/>
      </c>
    </row>
    <row r="2794">
      <c r="A2794" s="54" t="n"/>
      <c r="B2794" s="61" t="n"/>
      <c r="C2794" s="62" t="n"/>
      <c r="D2794" s="57" t="n"/>
      <c r="E2794" s="57" t="n"/>
      <c r="F2794" s="58" t="n"/>
      <c r="G2794" s="66">
        <f>IF(tblFleet[[#This Row],[Units]]="","",tblFleet[[#This Row],[Units]]*cfg_HoursPerDay)</f>
        <v/>
      </c>
      <c r="H2794" s="66">
        <f>IF(tblFleet[[#This Row],[Units]]="","",tblFleet[[#This Row],[Calendar_h]]-tblFleet[[#This Row],[Down_h]])</f>
        <v/>
      </c>
      <c r="I2794" s="60">
        <f>IF(AND(tblFleet[[#This Row],[Units]]&lt;&gt;"",tblFleet[[#This Row],[Calendar_h]]&gt;0),tblFleet[[#This Row],[Available_h]]/tblFleet[[#This Row],[Calendar_h]],"")</f>
        <v/>
      </c>
      <c r="J2794" s="60">
        <f>IF(AND(tblFleet[[#This Row],[Units]]&lt;&gt;"",tblFleet[[#This Row],[Available_h]]&gt;0),tblFleet[[#This Row],[Operating_h]]/tblFleet[[#This Row],[Available_h]],"")</f>
        <v/>
      </c>
    </row>
    <row r="2795">
      <c r="A2795" s="54" t="n"/>
      <c r="B2795" s="61" t="n"/>
      <c r="C2795" s="62" t="n"/>
      <c r="D2795" s="57" t="n"/>
      <c r="E2795" s="57" t="n"/>
      <c r="F2795" s="58" t="n"/>
      <c r="G2795" s="66">
        <f>IF(tblFleet[[#This Row],[Units]]="","",tblFleet[[#This Row],[Units]]*cfg_HoursPerDay)</f>
        <v/>
      </c>
      <c r="H2795" s="66">
        <f>IF(tblFleet[[#This Row],[Units]]="","",tblFleet[[#This Row],[Calendar_h]]-tblFleet[[#This Row],[Down_h]])</f>
        <v/>
      </c>
      <c r="I2795" s="60">
        <f>IF(AND(tblFleet[[#This Row],[Units]]&lt;&gt;"",tblFleet[[#This Row],[Calendar_h]]&gt;0),tblFleet[[#This Row],[Available_h]]/tblFleet[[#This Row],[Calendar_h]],"")</f>
        <v/>
      </c>
      <c r="J2795" s="60">
        <f>IF(AND(tblFleet[[#This Row],[Units]]&lt;&gt;"",tblFleet[[#This Row],[Available_h]]&gt;0),tblFleet[[#This Row],[Operating_h]]/tblFleet[[#This Row],[Available_h]],"")</f>
        <v/>
      </c>
    </row>
    <row r="2796">
      <c r="A2796" s="54" t="n"/>
      <c r="B2796" s="61" t="n"/>
      <c r="C2796" s="62" t="n"/>
      <c r="D2796" s="57" t="n"/>
      <c r="E2796" s="57" t="n"/>
      <c r="F2796" s="58" t="n"/>
      <c r="G2796" s="66">
        <f>IF(tblFleet[[#This Row],[Units]]="","",tblFleet[[#This Row],[Units]]*cfg_HoursPerDay)</f>
        <v/>
      </c>
      <c r="H2796" s="66">
        <f>IF(tblFleet[[#This Row],[Units]]="","",tblFleet[[#This Row],[Calendar_h]]-tblFleet[[#This Row],[Down_h]])</f>
        <v/>
      </c>
      <c r="I2796" s="60">
        <f>IF(AND(tblFleet[[#This Row],[Units]]&lt;&gt;"",tblFleet[[#This Row],[Calendar_h]]&gt;0),tblFleet[[#This Row],[Available_h]]/tblFleet[[#This Row],[Calendar_h]],"")</f>
        <v/>
      </c>
      <c r="J2796" s="60">
        <f>IF(AND(tblFleet[[#This Row],[Units]]&lt;&gt;"",tblFleet[[#This Row],[Available_h]]&gt;0),tblFleet[[#This Row],[Operating_h]]/tblFleet[[#This Row],[Available_h]],"")</f>
        <v/>
      </c>
    </row>
    <row r="2797">
      <c r="A2797" s="54" t="n"/>
      <c r="B2797" s="61" t="n"/>
      <c r="C2797" s="62" t="n"/>
      <c r="D2797" s="57" t="n"/>
      <c r="E2797" s="57" t="n"/>
      <c r="F2797" s="58" t="n"/>
      <c r="G2797" s="66">
        <f>IF(tblFleet[[#This Row],[Units]]="","",tblFleet[[#This Row],[Units]]*cfg_HoursPerDay)</f>
        <v/>
      </c>
      <c r="H2797" s="66">
        <f>IF(tblFleet[[#This Row],[Units]]="","",tblFleet[[#This Row],[Calendar_h]]-tblFleet[[#This Row],[Down_h]])</f>
        <v/>
      </c>
      <c r="I2797" s="60">
        <f>IF(AND(tblFleet[[#This Row],[Units]]&lt;&gt;"",tblFleet[[#This Row],[Calendar_h]]&gt;0),tblFleet[[#This Row],[Available_h]]/tblFleet[[#This Row],[Calendar_h]],"")</f>
        <v/>
      </c>
      <c r="J2797" s="60">
        <f>IF(AND(tblFleet[[#This Row],[Units]]&lt;&gt;"",tblFleet[[#This Row],[Available_h]]&gt;0),tblFleet[[#This Row],[Operating_h]]/tblFleet[[#This Row],[Available_h]],"")</f>
        <v/>
      </c>
    </row>
    <row r="2798">
      <c r="A2798" s="54" t="n"/>
      <c r="B2798" s="61" t="n"/>
      <c r="C2798" s="62" t="n"/>
      <c r="D2798" s="57" t="n"/>
      <c r="E2798" s="57" t="n"/>
      <c r="F2798" s="58" t="n"/>
      <c r="G2798" s="66">
        <f>IF(tblFleet[[#This Row],[Units]]="","",tblFleet[[#This Row],[Units]]*cfg_HoursPerDay)</f>
        <v/>
      </c>
      <c r="H2798" s="66">
        <f>IF(tblFleet[[#This Row],[Units]]="","",tblFleet[[#This Row],[Calendar_h]]-tblFleet[[#This Row],[Down_h]])</f>
        <v/>
      </c>
      <c r="I2798" s="60">
        <f>IF(AND(tblFleet[[#This Row],[Units]]&lt;&gt;"",tblFleet[[#This Row],[Calendar_h]]&gt;0),tblFleet[[#This Row],[Available_h]]/tblFleet[[#This Row],[Calendar_h]],"")</f>
        <v/>
      </c>
      <c r="J2798" s="60">
        <f>IF(AND(tblFleet[[#This Row],[Units]]&lt;&gt;"",tblFleet[[#This Row],[Available_h]]&gt;0),tblFleet[[#This Row],[Operating_h]]/tblFleet[[#This Row],[Available_h]],"")</f>
        <v/>
      </c>
    </row>
    <row r="2799">
      <c r="A2799" s="54" t="n"/>
      <c r="B2799" s="61" t="n"/>
      <c r="C2799" s="62" t="n"/>
      <c r="D2799" s="57" t="n"/>
      <c r="E2799" s="57" t="n"/>
      <c r="F2799" s="58" t="n"/>
      <c r="G2799" s="66">
        <f>IF(tblFleet[[#This Row],[Units]]="","",tblFleet[[#This Row],[Units]]*cfg_HoursPerDay)</f>
        <v/>
      </c>
      <c r="H2799" s="66">
        <f>IF(tblFleet[[#This Row],[Units]]="","",tblFleet[[#This Row],[Calendar_h]]-tblFleet[[#This Row],[Down_h]])</f>
        <v/>
      </c>
      <c r="I2799" s="60">
        <f>IF(AND(tblFleet[[#This Row],[Units]]&lt;&gt;"",tblFleet[[#This Row],[Calendar_h]]&gt;0),tblFleet[[#This Row],[Available_h]]/tblFleet[[#This Row],[Calendar_h]],"")</f>
        <v/>
      </c>
      <c r="J2799" s="60">
        <f>IF(AND(tblFleet[[#This Row],[Units]]&lt;&gt;"",tblFleet[[#This Row],[Available_h]]&gt;0),tblFleet[[#This Row],[Operating_h]]/tblFleet[[#This Row],[Available_h]],"")</f>
        <v/>
      </c>
    </row>
    <row r="2800">
      <c r="A2800" s="54" t="n"/>
      <c r="B2800" s="61" t="n"/>
      <c r="C2800" s="62" t="n"/>
      <c r="D2800" s="57" t="n"/>
      <c r="E2800" s="57" t="n"/>
      <c r="F2800" s="58" t="n"/>
      <c r="G2800" s="66">
        <f>IF(tblFleet[[#This Row],[Units]]="","",tblFleet[[#This Row],[Units]]*cfg_HoursPerDay)</f>
        <v/>
      </c>
      <c r="H2800" s="66">
        <f>IF(tblFleet[[#This Row],[Units]]="","",tblFleet[[#This Row],[Calendar_h]]-tblFleet[[#This Row],[Down_h]])</f>
        <v/>
      </c>
      <c r="I2800" s="60">
        <f>IF(AND(tblFleet[[#This Row],[Units]]&lt;&gt;"",tblFleet[[#This Row],[Calendar_h]]&gt;0),tblFleet[[#This Row],[Available_h]]/tblFleet[[#This Row],[Calendar_h]],"")</f>
        <v/>
      </c>
      <c r="J2800" s="60">
        <f>IF(AND(tblFleet[[#This Row],[Units]]&lt;&gt;"",tblFleet[[#This Row],[Available_h]]&gt;0),tblFleet[[#This Row],[Operating_h]]/tblFleet[[#This Row],[Available_h]],"")</f>
        <v/>
      </c>
    </row>
    <row r="2801">
      <c r="A2801" s="54" t="n"/>
      <c r="B2801" s="61" t="n"/>
      <c r="C2801" s="62" t="n"/>
      <c r="D2801" s="57" t="n"/>
      <c r="E2801" s="57" t="n"/>
      <c r="F2801" s="58" t="n"/>
      <c r="G2801" s="66">
        <f>IF(tblFleet[[#This Row],[Units]]="","",tblFleet[[#This Row],[Units]]*cfg_HoursPerDay)</f>
        <v/>
      </c>
      <c r="H2801" s="66">
        <f>IF(tblFleet[[#This Row],[Units]]="","",tblFleet[[#This Row],[Calendar_h]]-tblFleet[[#This Row],[Down_h]])</f>
        <v/>
      </c>
      <c r="I2801" s="60">
        <f>IF(AND(tblFleet[[#This Row],[Units]]&lt;&gt;"",tblFleet[[#This Row],[Calendar_h]]&gt;0),tblFleet[[#This Row],[Available_h]]/tblFleet[[#This Row],[Calendar_h]],"")</f>
        <v/>
      </c>
      <c r="J2801" s="60">
        <f>IF(AND(tblFleet[[#This Row],[Units]]&lt;&gt;"",tblFleet[[#This Row],[Available_h]]&gt;0),tblFleet[[#This Row],[Operating_h]]/tblFleet[[#This Row],[Available_h]],"")</f>
        <v/>
      </c>
    </row>
    <row r="2802">
      <c r="A2802" s="54" t="n"/>
      <c r="B2802" s="61" t="n"/>
      <c r="C2802" s="62" t="n"/>
      <c r="D2802" s="57" t="n"/>
      <c r="E2802" s="57" t="n"/>
      <c r="F2802" s="58" t="n"/>
      <c r="G2802" s="66">
        <f>IF(tblFleet[[#This Row],[Units]]="","",tblFleet[[#This Row],[Units]]*cfg_HoursPerDay)</f>
        <v/>
      </c>
      <c r="H2802" s="66">
        <f>IF(tblFleet[[#This Row],[Units]]="","",tblFleet[[#This Row],[Calendar_h]]-tblFleet[[#This Row],[Down_h]])</f>
        <v/>
      </c>
      <c r="I2802" s="60">
        <f>IF(AND(tblFleet[[#This Row],[Units]]&lt;&gt;"",tblFleet[[#This Row],[Calendar_h]]&gt;0),tblFleet[[#This Row],[Available_h]]/tblFleet[[#This Row],[Calendar_h]],"")</f>
        <v/>
      </c>
      <c r="J2802" s="60">
        <f>IF(AND(tblFleet[[#This Row],[Units]]&lt;&gt;"",tblFleet[[#This Row],[Available_h]]&gt;0),tblFleet[[#This Row],[Operating_h]]/tblFleet[[#This Row],[Available_h]],"")</f>
        <v/>
      </c>
    </row>
    <row r="2803">
      <c r="A2803" s="54" t="n"/>
      <c r="B2803" s="61" t="n"/>
      <c r="C2803" s="62" t="n"/>
      <c r="D2803" s="57" t="n"/>
      <c r="E2803" s="57" t="n"/>
      <c r="F2803" s="58" t="n"/>
      <c r="G2803" s="66">
        <f>IF(tblFleet[[#This Row],[Units]]="","",tblFleet[[#This Row],[Units]]*cfg_HoursPerDay)</f>
        <v/>
      </c>
      <c r="H2803" s="66">
        <f>IF(tblFleet[[#This Row],[Units]]="","",tblFleet[[#This Row],[Calendar_h]]-tblFleet[[#This Row],[Down_h]])</f>
        <v/>
      </c>
      <c r="I2803" s="60">
        <f>IF(AND(tblFleet[[#This Row],[Units]]&lt;&gt;"",tblFleet[[#This Row],[Calendar_h]]&gt;0),tblFleet[[#This Row],[Available_h]]/tblFleet[[#This Row],[Calendar_h]],"")</f>
        <v/>
      </c>
      <c r="J2803" s="60">
        <f>IF(AND(tblFleet[[#This Row],[Units]]&lt;&gt;"",tblFleet[[#This Row],[Available_h]]&gt;0),tblFleet[[#This Row],[Operating_h]]/tblFleet[[#This Row],[Available_h]],"")</f>
        <v/>
      </c>
    </row>
    <row r="2804">
      <c r="A2804" s="54" t="n"/>
      <c r="B2804" s="61" t="n"/>
      <c r="C2804" s="62" t="n"/>
      <c r="D2804" s="57" t="n"/>
      <c r="E2804" s="57" t="n"/>
      <c r="F2804" s="58" t="n"/>
      <c r="G2804" s="66">
        <f>IF(tblFleet[[#This Row],[Units]]="","",tblFleet[[#This Row],[Units]]*cfg_HoursPerDay)</f>
        <v/>
      </c>
      <c r="H2804" s="66">
        <f>IF(tblFleet[[#This Row],[Units]]="","",tblFleet[[#This Row],[Calendar_h]]-tblFleet[[#This Row],[Down_h]])</f>
        <v/>
      </c>
      <c r="I2804" s="60">
        <f>IF(AND(tblFleet[[#This Row],[Units]]&lt;&gt;"",tblFleet[[#This Row],[Calendar_h]]&gt;0),tblFleet[[#This Row],[Available_h]]/tblFleet[[#This Row],[Calendar_h]],"")</f>
        <v/>
      </c>
      <c r="J2804" s="60">
        <f>IF(AND(tblFleet[[#This Row],[Units]]&lt;&gt;"",tblFleet[[#This Row],[Available_h]]&gt;0),tblFleet[[#This Row],[Operating_h]]/tblFleet[[#This Row],[Available_h]],"")</f>
        <v/>
      </c>
    </row>
    <row r="2805">
      <c r="A2805" s="54" t="n"/>
      <c r="B2805" s="61" t="n"/>
      <c r="C2805" s="62" t="n"/>
      <c r="D2805" s="57" t="n"/>
      <c r="E2805" s="57" t="n"/>
      <c r="F2805" s="58" t="n"/>
      <c r="G2805" s="66">
        <f>IF(tblFleet[[#This Row],[Units]]="","",tblFleet[[#This Row],[Units]]*cfg_HoursPerDay)</f>
        <v/>
      </c>
      <c r="H2805" s="66">
        <f>IF(tblFleet[[#This Row],[Units]]="","",tblFleet[[#This Row],[Calendar_h]]-tblFleet[[#This Row],[Down_h]])</f>
        <v/>
      </c>
      <c r="I2805" s="60">
        <f>IF(AND(tblFleet[[#This Row],[Units]]&lt;&gt;"",tblFleet[[#This Row],[Calendar_h]]&gt;0),tblFleet[[#This Row],[Available_h]]/tblFleet[[#This Row],[Calendar_h]],"")</f>
        <v/>
      </c>
      <c r="J2805" s="60">
        <f>IF(AND(tblFleet[[#This Row],[Units]]&lt;&gt;"",tblFleet[[#This Row],[Available_h]]&gt;0),tblFleet[[#This Row],[Operating_h]]/tblFleet[[#This Row],[Available_h]],"")</f>
        <v/>
      </c>
    </row>
    <row r="2806">
      <c r="A2806" s="54" t="n"/>
      <c r="B2806" s="61" t="n"/>
      <c r="C2806" s="62" t="n"/>
      <c r="D2806" s="57" t="n"/>
      <c r="E2806" s="57" t="n"/>
      <c r="F2806" s="58" t="n"/>
      <c r="G2806" s="66">
        <f>IF(tblFleet[[#This Row],[Units]]="","",tblFleet[[#This Row],[Units]]*cfg_HoursPerDay)</f>
        <v/>
      </c>
      <c r="H2806" s="66">
        <f>IF(tblFleet[[#This Row],[Units]]="","",tblFleet[[#This Row],[Calendar_h]]-tblFleet[[#This Row],[Down_h]])</f>
        <v/>
      </c>
      <c r="I2806" s="60">
        <f>IF(AND(tblFleet[[#This Row],[Units]]&lt;&gt;"",tblFleet[[#This Row],[Calendar_h]]&gt;0),tblFleet[[#This Row],[Available_h]]/tblFleet[[#This Row],[Calendar_h]],"")</f>
        <v/>
      </c>
      <c r="J2806" s="60">
        <f>IF(AND(tblFleet[[#This Row],[Units]]&lt;&gt;"",tblFleet[[#This Row],[Available_h]]&gt;0),tblFleet[[#This Row],[Operating_h]]/tblFleet[[#This Row],[Available_h]],"")</f>
        <v/>
      </c>
    </row>
    <row r="2807">
      <c r="A2807" s="54" t="n"/>
      <c r="B2807" s="61" t="n"/>
      <c r="C2807" s="62" t="n"/>
      <c r="D2807" s="57" t="n"/>
      <c r="E2807" s="57" t="n"/>
      <c r="F2807" s="58" t="n"/>
      <c r="G2807" s="66">
        <f>IF(tblFleet[[#This Row],[Units]]="","",tblFleet[[#This Row],[Units]]*cfg_HoursPerDay)</f>
        <v/>
      </c>
      <c r="H2807" s="66">
        <f>IF(tblFleet[[#This Row],[Units]]="","",tblFleet[[#This Row],[Calendar_h]]-tblFleet[[#This Row],[Down_h]])</f>
        <v/>
      </c>
      <c r="I2807" s="60">
        <f>IF(AND(tblFleet[[#This Row],[Units]]&lt;&gt;"",tblFleet[[#This Row],[Calendar_h]]&gt;0),tblFleet[[#This Row],[Available_h]]/tblFleet[[#This Row],[Calendar_h]],"")</f>
        <v/>
      </c>
      <c r="J2807" s="60">
        <f>IF(AND(tblFleet[[#This Row],[Units]]&lt;&gt;"",tblFleet[[#This Row],[Available_h]]&gt;0),tblFleet[[#This Row],[Operating_h]]/tblFleet[[#This Row],[Available_h]],"")</f>
        <v/>
      </c>
    </row>
    <row r="2808">
      <c r="A2808" s="54" t="n"/>
      <c r="B2808" s="61" t="n"/>
      <c r="C2808" s="62" t="n"/>
      <c r="D2808" s="57" t="n"/>
      <c r="E2808" s="57" t="n"/>
      <c r="F2808" s="58" t="n"/>
      <c r="G2808" s="66">
        <f>IF(tblFleet[[#This Row],[Units]]="","",tblFleet[[#This Row],[Units]]*cfg_HoursPerDay)</f>
        <v/>
      </c>
      <c r="H2808" s="66">
        <f>IF(tblFleet[[#This Row],[Units]]="","",tblFleet[[#This Row],[Calendar_h]]-tblFleet[[#This Row],[Down_h]])</f>
        <v/>
      </c>
      <c r="I2808" s="60">
        <f>IF(AND(tblFleet[[#This Row],[Units]]&lt;&gt;"",tblFleet[[#This Row],[Calendar_h]]&gt;0),tblFleet[[#This Row],[Available_h]]/tblFleet[[#This Row],[Calendar_h]],"")</f>
        <v/>
      </c>
      <c r="J2808" s="60">
        <f>IF(AND(tblFleet[[#This Row],[Units]]&lt;&gt;"",tblFleet[[#This Row],[Available_h]]&gt;0),tblFleet[[#This Row],[Operating_h]]/tblFleet[[#This Row],[Available_h]],"")</f>
        <v/>
      </c>
    </row>
    <row r="2809">
      <c r="A2809" s="54" t="n"/>
      <c r="B2809" s="61" t="n"/>
      <c r="C2809" s="62" t="n"/>
      <c r="D2809" s="57" t="n"/>
      <c r="E2809" s="57" t="n"/>
      <c r="F2809" s="58" t="n"/>
      <c r="G2809" s="66">
        <f>IF(tblFleet[[#This Row],[Units]]="","",tblFleet[[#This Row],[Units]]*cfg_HoursPerDay)</f>
        <v/>
      </c>
      <c r="H2809" s="66">
        <f>IF(tblFleet[[#This Row],[Units]]="","",tblFleet[[#This Row],[Calendar_h]]-tblFleet[[#This Row],[Down_h]])</f>
        <v/>
      </c>
      <c r="I2809" s="60">
        <f>IF(AND(tblFleet[[#This Row],[Units]]&lt;&gt;"",tblFleet[[#This Row],[Calendar_h]]&gt;0),tblFleet[[#This Row],[Available_h]]/tblFleet[[#This Row],[Calendar_h]],"")</f>
        <v/>
      </c>
      <c r="J2809" s="60">
        <f>IF(AND(tblFleet[[#This Row],[Units]]&lt;&gt;"",tblFleet[[#This Row],[Available_h]]&gt;0),tblFleet[[#This Row],[Operating_h]]/tblFleet[[#This Row],[Available_h]],"")</f>
        <v/>
      </c>
    </row>
    <row r="2810">
      <c r="A2810" s="54" t="n"/>
      <c r="B2810" s="61" t="n"/>
      <c r="C2810" s="62" t="n"/>
      <c r="D2810" s="57" t="n"/>
      <c r="E2810" s="57" t="n"/>
      <c r="F2810" s="58" t="n"/>
      <c r="G2810" s="66">
        <f>IF(tblFleet[[#This Row],[Units]]="","",tblFleet[[#This Row],[Units]]*cfg_HoursPerDay)</f>
        <v/>
      </c>
      <c r="H2810" s="66">
        <f>IF(tblFleet[[#This Row],[Units]]="","",tblFleet[[#This Row],[Calendar_h]]-tblFleet[[#This Row],[Down_h]])</f>
        <v/>
      </c>
      <c r="I2810" s="60">
        <f>IF(AND(tblFleet[[#This Row],[Units]]&lt;&gt;"",tblFleet[[#This Row],[Calendar_h]]&gt;0),tblFleet[[#This Row],[Available_h]]/tblFleet[[#This Row],[Calendar_h]],"")</f>
        <v/>
      </c>
      <c r="J2810" s="60">
        <f>IF(AND(tblFleet[[#This Row],[Units]]&lt;&gt;"",tblFleet[[#This Row],[Available_h]]&gt;0),tblFleet[[#This Row],[Operating_h]]/tblFleet[[#This Row],[Available_h]],"")</f>
        <v/>
      </c>
    </row>
    <row r="2811">
      <c r="A2811" s="54" t="n"/>
      <c r="B2811" s="61" t="n"/>
      <c r="C2811" s="62" t="n"/>
      <c r="D2811" s="57" t="n"/>
      <c r="E2811" s="57" t="n"/>
      <c r="F2811" s="58" t="n"/>
      <c r="G2811" s="66">
        <f>IF(tblFleet[[#This Row],[Units]]="","",tblFleet[[#This Row],[Units]]*cfg_HoursPerDay)</f>
        <v/>
      </c>
      <c r="H2811" s="66">
        <f>IF(tblFleet[[#This Row],[Units]]="","",tblFleet[[#This Row],[Calendar_h]]-tblFleet[[#This Row],[Down_h]])</f>
        <v/>
      </c>
      <c r="I2811" s="60">
        <f>IF(AND(tblFleet[[#This Row],[Units]]&lt;&gt;"",tblFleet[[#This Row],[Calendar_h]]&gt;0),tblFleet[[#This Row],[Available_h]]/tblFleet[[#This Row],[Calendar_h]],"")</f>
        <v/>
      </c>
      <c r="J2811" s="60">
        <f>IF(AND(tblFleet[[#This Row],[Units]]&lt;&gt;"",tblFleet[[#This Row],[Available_h]]&gt;0),tblFleet[[#This Row],[Operating_h]]/tblFleet[[#This Row],[Available_h]],"")</f>
        <v/>
      </c>
    </row>
    <row r="2812">
      <c r="A2812" s="54" t="n"/>
      <c r="B2812" s="61" t="n"/>
      <c r="C2812" s="62" t="n"/>
      <c r="D2812" s="57" t="n"/>
      <c r="E2812" s="57" t="n"/>
      <c r="F2812" s="58" t="n"/>
      <c r="G2812" s="66">
        <f>IF(tblFleet[[#This Row],[Units]]="","",tblFleet[[#This Row],[Units]]*cfg_HoursPerDay)</f>
        <v/>
      </c>
      <c r="H2812" s="66">
        <f>IF(tblFleet[[#This Row],[Units]]="","",tblFleet[[#This Row],[Calendar_h]]-tblFleet[[#This Row],[Down_h]])</f>
        <v/>
      </c>
      <c r="I2812" s="60">
        <f>IF(AND(tblFleet[[#This Row],[Units]]&lt;&gt;"",tblFleet[[#This Row],[Calendar_h]]&gt;0),tblFleet[[#This Row],[Available_h]]/tblFleet[[#This Row],[Calendar_h]],"")</f>
        <v/>
      </c>
      <c r="J2812" s="60">
        <f>IF(AND(tblFleet[[#This Row],[Units]]&lt;&gt;"",tblFleet[[#This Row],[Available_h]]&gt;0),tblFleet[[#This Row],[Operating_h]]/tblFleet[[#This Row],[Available_h]],"")</f>
        <v/>
      </c>
    </row>
    <row r="2813">
      <c r="A2813" s="54" t="n"/>
      <c r="B2813" s="61" t="n"/>
      <c r="C2813" s="62" t="n"/>
      <c r="D2813" s="57" t="n"/>
      <c r="E2813" s="57" t="n"/>
      <c r="F2813" s="58" t="n"/>
      <c r="G2813" s="66">
        <f>IF(tblFleet[[#This Row],[Units]]="","",tblFleet[[#This Row],[Units]]*cfg_HoursPerDay)</f>
        <v/>
      </c>
      <c r="H2813" s="66">
        <f>IF(tblFleet[[#This Row],[Units]]="","",tblFleet[[#This Row],[Calendar_h]]-tblFleet[[#This Row],[Down_h]])</f>
        <v/>
      </c>
      <c r="I2813" s="60">
        <f>IF(AND(tblFleet[[#This Row],[Units]]&lt;&gt;"",tblFleet[[#This Row],[Calendar_h]]&gt;0),tblFleet[[#This Row],[Available_h]]/tblFleet[[#This Row],[Calendar_h]],"")</f>
        <v/>
      </c>
      <c r="J2813" s="60">
        <f>IF(AND(tblFleet[[#This Row],[Units]]&lt;&gt;"",tblFleet[[#This Row],[Available_h]]&gt;0),tblFleet[[#This Row],[Operating_h]]/tblFleet[[#This Row],[Available_h]],"")</f>
        <v/>
      </c>
    </row>
    <row r="2814">
      <c r="A2814" s="54" t="n"/>
      <c r="B2814" s="61" t="n"/>
      <c r="C2814" s="62" t="n"/>
      <c r="D2814" s="57" t="n"/>
      <c r="E2814" s="57" t="n"/>
      <c r="F2814" s="58" t="n"/>
      <c r="G2814" s="66">
        <f>IF(tblFleet[[#This Row],[Units]]="","",tblFleet[[#This Row],[Units]]*cfg_HoursPerDay)</f>
        <v/>
      </c>
      <c r="H2814" s="66">
        <f>IF(tblFleet[[#This Row],[Units]]="","",tblFleet[[#This Row],[Calendar_h]]-tblFleet[[#This Row],[Down_h]])</f>
        <v/>
      </c>
      <c r="I2814" s="60">
        <f>IF(AND(tblFleet[[#This Row],[Units]]&lt;&gt;"",tblFleet[[#This Row],[Calendar_h]]&gt;0),tblFleet[[#This Row],[Available_h]]/tblFleet[[#This Row],[Calendar_h]],"")</f>
        <v/>
      </c>
      <c r="J2814" s="60">
        <f>IF(AND(tblFleet[[#This Row],[Units]]&lt;&gt;"",tblFleet[[#This Row],[Available_h]]&gt;0),tblFleet[[#This Row],[Operating_h]]/tblFleet[[#This Row],[Available_h]],"")</f>
        <v/>
      </c>
    </row>
    <row r="2815">
      <c r="A2815" s="54" t="n"/>
      <c r="B2815" s="61" t="n"/>
      <c r="C2815" s="62" t="n"/>
      <c r="D2815" s="57" t="n"/>
      <c r="E2815" s="57" t="n"/>
      <c r="F2815" s="58" t="n"/>
      <c r="G2815" s="66">
        <f>IF(tblFleet[[#This Row],[Units]]="","",tblFleet[[#This Row],[Units]]*cfg_HoursPerDay)</f>
        <v/>
      </c>
      <c r="H2815" s="66">
        <f>IF(tblFleet[[#This Row],[Units]]="","",tblFleet[[#This Row],[Calendar_h]]-tblFleet[[#This Row],[Down_h]])</f>
        <v/>
      </c>
      <c r="I2815" s="60">
        <f>IF(AND(tblFleet[[#This Row],[Units]]&lt;&gt;"",tblFleet[[#This Row],[Calendar_h]]&gt;0),tblFleet[[#This Row],[Available_h]]/tblFleet[[#This Row],[Calendar_h]],"")</f>
        <v/>
      </c>
      <c r="J2815" s="60">
        <f>IF(AND(tblFleet[[#This Row],[Units]]&lt;&gt;"",tblFleet[[#This Row],[Available_h]]&gt;0),tblFleet[[#This Row],[Operating_h]]/tblFleet[[#This Row],[Available_h]],"")</f>
        <v/>
      </c>
    </row>
    <row r="2816">
      <c r="A2816" s="54" t="n"/>
      <c r="B2816" s="61" t="n"/>
      <c r="C2816" s="62" t="n"/>
      <c r="D2816" s="57" t="n"/>
      <c r="E2816" s="57" t="n"/>
      <c r="F2816" s="58" t="n"/>
      <c r="G2816" s="66">
        <f>IF(tblFleet[[#This Row],[Units]]="","",tblFleet[[#This Row],[Units]]*cfg_HoursPerDay)</f>
        <v/>
      </c>
      <c r="H2816" s="66">
        <f>IF(tblFleet[[#This Row],[Units]]="","",tblFleet[[#This Row],[Calendar_h]]-tblFleet[[#This Row],[Down_h]])</f>
        <v/>
      </c>
      <c r="I2816" s="60">
        <f>IF(AND(tblFleet[[#This Row],[Units]]&lt;&gt;"",tblFleet[[#This Row],[Calendar_h]]&gt;0),tblFleet[[#This Row],[Available_h]]/tblFleet[[#This Row],[Calendar_h]],"")</f>
        <v/>
      </c>
      <c r="J2816" s="60">
        <f>IF(AND(tblFleet[[#This Row],[Units]]&lt;&gt;"",tblFleet[[#This Row],[Available_h]]&gt;0),tblFleet[[#This Row],[Operating_h]]/tblFleet[[#This Row],[Available_h]],"")</f>
        <v/>
      </c>
    </row>
    <row r="2817">
      <c r="A2817" s="54" t="n"/>
      <c r="B2817" s="61" t="n"/>
      <c r="C2817" s="62" t="n"/>
      <c r="D2817" s="57" t="n"/>
      <c r="E2817" s="57" t="n"/>
      <c r="F2817" s="58" t="n"/>
      <c r="G2817" s="66">
        <f>IF(tblFleet[[#This Row],[Units]]="","",tblFleet[[#This Row],[Units]]*cfg_HoursPerDay)</f>
        <v/>
      </c>
      <c r="H2817" s="66">
        <f>IF(tblFleet[[#This Row],[Units]]="","",tblFleet[[#This Row],[Calendar_h]]-tblFleet[[#This Row],[Down_h]])</f>
        <v/>
      </c>
      <c r="I2817" s="60">
        <f>IF(AND(tblFleet[[#This Row],[Units]]&lt;&gt;"",tblFleet[[#This Row],[Calendar_h]]&gt;0),tblFleet[[#This Row],[Available_h]]/tblFleet[[#This Row],[Calendar_h]],"")</f>
        <v/>
      </c>
      <c r="J2817" s="60">
        <f>IF(AND(tblFleet[[#This Row],[Units]]&lt;&gt;"",tblFleet[[#This Row],[Available_h]]&gt;0),tblFleet[[#This Row],[Operating_h]]/tblFleet[[#This Row],[Available_h]],"")</f>
        <v/>
      </c>
    </row>
    <row r="2818">
      <c r="A2818" s="54" t="n"/>
      <c r="B2818" s="61" t="n"/>
      <c r="C2818" s="62" t="n"/>
      <c r="D2818" s="57" t="n"/>
      <c r="E2818" s="57" t="n"/>
      <c r="F2818" s="58" t="n"/>
      <c r="G2818" s="66">
        <f>IF(tblFleet[[#This Row],[Units]]="","",tblFleet[[#This Row],[Units]]*cfg_HoursPerDay)</f>
        <v/>
      </c>
      <c r="H2818" s="66">
        <f>IF(tblFleet[[#This Row],[Units]]="","",tblFleet[[#This Row],[Calendar_h]]-tblFleet[[#This Row],[Down_h]])</f>
        <v/>
      </c>
      <c r="I2818" s="60">
        <f>IF(AND(tblFleet[[#This Row],[Units]]&lt;&gt;"",tblFleet[[#This Row],[Calendar_h]]&gt;0),tblFleet[[#This Row],[Available_h]]/tblFleet[[#This Row],[Calendar_h]],"")</f>
        <v/>
      </c>
      <c r="J2818" s="60">
        <f>IF(AND(tblFleet[[#This Row],[Units]]&lt;&gt;"",tblFleet[[#This Row],[Available_h]]&gt;0),tblFleet[[#This Row],[Operating_h]]/tblFleet[[#This Row],[Available_h]],"")</f>
        <v/>
      </c>
    </row>
    <row r="2819">
      <c r="A2819" s="54" t="n"/>
      <c r="B2819" s="61" t="n"/>
      <c r="C2819" s="62" t="n"/>
      <c r="D2819" s="57" t="n"/>
      <c r="E2819" s="57" t="n"/>
      <c r="F2819" s="58" t="n"/>
      <c r="G2819" s="66">
        <f>IF(tblFleet[[#This Row],[Units]]="","",tblFleet[[#This Row],[Units]]*cfg_HoursPerDay)</f>
        <v/>
      </c>
      <c r="H2819" s="66">
        <f>IF(tblFleet[[#This Row],[Units]]="","",tblFleet[[#This Row],[Calendar_h]]-tblFleet[[#This Row],[Down_h]])</f>
        <v/>
      </c>
      <c r="I2819" s="60">
        <f>IF(AND(tblFleet[[#This Row],[Units]]&lt;&gt;"",tblFleet[[#This Row],[Calendar_h]]&gt;0),tblFleet[[#This Row],[Available_h]]/tblFleet[[#This Row],[Calendar_h]],"")</f>
        <v/>
      </c>
      <c r="J2819" s="60">
        <f>IF(AND(tblFleet[[#This Row],[Units]]&lt;&gt;"",tblFleet[[#This Row],[Available_h]]&gt;0),tblFleet[[#This Row],[Operating_h]]/tblFleet[[#This Row],[Available_h]],"")</f>
        <v/>
      </c>
    </row>
    <row r="2820">
      <c r="A2820" s="54" t="n"/>
      <c r="B2820" s="61" t="n"/>
      <c r="C2820" s="62" t="n"/>
      <c r="D2820" s="57" t="n"/>
      <c r="E2820" s="57" t="n"/>
      <c r="F2820" s="58" t="n"/>
      <c r="G2820" s="66">
        <f>IF(tblFleet[[#This Row],[Units]]="","",tblFleet[[#This Row],[Units]]*cfg_HoursPerDay)</f>
        <v/>
      </c>
      <c r="H2820" s="66">
        <f>IF(tblFleet[[#This Row],[Units]]="","",tblFleet[[#This Row],[Calendar_h]]-tblFleet[[#This Row],[Down_h]])</f>
        <v/>
      </c>
      <c r="I2820" s="60">
        <f>IF(AND(tblFleet[[#This Row],[Units]]&lt;&gt;"",tblFleet[[#This Row],[Calendar_h]]&gt;0),tblFleet[[#This Row],[Available_h]]/tblFleet[[#This Row],[Calendar_h]],"")</f>
        <v/>
      </c>
      <c r="J2820" s="60">
        <f>IF(AND(tblFleet[[#This Row],[Units]]&lt;&gt;"",tblFleet[[#This Row],[Available_h]]&gt;0),tblFleet[[#This Row],[Operating_h]]/tblFleet[[#This Row],[Available_h]],"")</f>
        <v/>
      </c>
    </row>
    <row r="2821">
      <c r="A2821" s="54" t="n"/>
      <c r="B2821" s="61" t="n"/>
      <c r="C2821" s="62" t="n"/>
      <c r="D2821" s="57" t="n"/>
      <c r="E2821" s="57" t="n"/>
      <c r="F2821" s="58" t="n"/>
      <c r="G2821" s="66">
        <f>IF(tblFleet[[#This Row],[Units]]="","",tblFleet[[#This Row],[Units]]*cfg_HoursPerDay)</f>
        <v/>
      </c>
      <c r="H2821" s="66">
        <f>IF(tblFleet[[#This Row],[Units]]="","",tblFleet[[#This Row],[Calendar_h]]-tblFleet[[#This Row],[Down_h]])</f>
        <v/>
      </c>
      <c r="I2821" s="60">
        <f>IF(AND(tblFleet[[#This Row],[Units]]&lt;&gt;"",tblFleet[[#This Row],[Calendar_h]]&gt;0),tblFleet[[#This Row],[Available_h]]/tblFleet[[#This Row],[Calendar_h]],"")</f>
        <v/>
      </c>
      <c r="J2821" s="60">
        <f>IF(AND(tblFleet[[#This Row],[Units]]&lt;&gt;"",tblFleet[[#This Row],[Available_h]]&gt;0),tblFleet[[#This Row],[Operating_h]]/tblFleet[[#This Row],[Available_h]],"")</f>
        <v/>
      </c>
    </row>
    <row r="2822">
      <c r="A2822" s="54" t="n"/>
      <c r="B2822" s="61" t="n"/>
      <c r="C2822" s="62" t="n"/>
      <c r="D2822" s="57" t="n"/>
      <c r="E2822" s="57" t="n"/>
      <c r="F2822" s="58" t="n"/>
      <c r="G2822" s="66">
        <f>IF(tblFleet[[#This Row],[Units]]="","",tblFleet[[#This Row],[Units]]*cfg_HoursPerDay)</f>
        <v/>
      </c>
      <c r="H2822" s="66">
        <f>IF(tblFleet[[#This Row],[Units]]="","",tblFleet[[#This Row],[Calendar_h]]-tblFleet[[#This Row],[Down_h]])</f>
        <v/>
      </c>
      <c r="I2822" s="60">
        <f>IF(AND(tblFleet[[#This Row],[Units]]&lt;&gt;"",tblFleet[[#This Row],[Calendar_h]]&gt;0),tblFleet[[#This Row],[Available_h]]/tblFleet[[#This Row],[Calendar_h]],"")</f>
        <v/>
      </c>
      <c r="J2822" s="60">
        <f>IF(AND(tblFleet[[#This Row],[Units]]&lt;&gt;"",tblFleet[[#This Row],[Available_h]]&gt;0),tblFleet[[#This Row],[Operating_h]]/tblFleet[[#This Row],[Available_h]],"")</f>
        <v/>
      </c>
    </row>
    <row r="2823">
      <c r="A2823" s="54" t="n"/>
      <c r="B2823" s="61" t="n"/>
      <c r="C2823" s="62" t="n"/>
      <c r="D2823" s="57" t="n"/>
      <c r="E2823" s="57" t="n"/>
      <c r="F2823" s="58" t="n"/>
      <c r="G2823" s="66">
        <f>IF(tblFleet[[#This Row],[Units]]="","",tblFleet[[#This Row],[Units]]*cfg_HoursPerDay)</f>
        <v/>
      </c>
      <c r="H2823" s="66">
        <f>IF(tblFleet[[#This Row],[Units]]="","",tblFleet[[#This Row],[Calendar_h]]-tblFleet[[#This Row],[Down_h]])</f>
        <v/>
      </c>
      <c r="I2823" s="60">
        <f>IF(AND(tblFleet[[#This Row],[Units]]&lt;&gt;"",tblFleet[[#This Row],[Calendar_h]]&gt;0),tblFleet[[#This Row],[Available_h]]/tblFleet[[#This Row],[Calendar_h]],"")</f>
        <v/>
      </c>
      <c r="J2823" s="60">
        <f>IF(AND(tblFleet[[#This Row],[Units]]&lt;&gt;"",tblFleet[[#This Row],[Available_h]]&gt;0),tblFleet[[#This Row],[Operating_h]]/tblFleet[[#This Row],[Available_h]],"")</f>
        <v/>
      </c>
    </row>
    <row r="2824">
      <c r="A2824" s="54" t="n"/>
      <c r="B2824" s="61" t="n"/>
      <c r="C2824" s="62" t="n"/>
      <c r="D2824" s="57" t="n"/>
      <c r="E2824" s="57" t="n"/>
      <c r="F2824" s="58" t="n"/>
      <c r="G2824" s="66">
        <f>IF(tblFleet[[#This Row],[Units]]="","",tblFleet[[#This Row],[Units]]*cfg_HoursPerDay)</f>
        <v/>
      </c>
      <c r="H2824" s="66">
        <f>IF(tblFleet[[#This Row],[Units]]="","",tblFleet[[#This Row],[Calendar_h]]-tblFleet[[#This Row],[Down_h]])</f>
        <v/>
      </c>
      <c r="I2824" s="60">
        <f>IF(AND(tblFleet[[#This Row],[Units]]&lt;&gt;"",tblFleet[[#This Row],[Calendar_h]]&gt;0),tblFleet[[#This Row],[Available_h]]/tblFleet[[#This Row],[Calendar_h]],"")</f>
        <v/>
      </c>
      <c r="J2824" s="60">
        <f>IF(AND(tblFleet[[#This Row],[Units]]&lt;&gt;"",tblFleet[[#This Row],[Available_h]]&gt;0),tblFleet[[#This Row],[Operating_h]]/tblFleet[[#This Row],[Available_h]],"")</f>
        <v/>
      </c>
    </row>
    <row r="2825">
      <c r="A2825" s="54" t="n"/>
      <c r="B2825" s="61" t="n"/>
      <c r="C2825" s="62" t="n"/>
      <c r="D2825" s="57" t="n"/>
      <c r="E2825" s="57" t="n"/>
      <c r="F2825" s="58" t="n"/>
      <c r="G2825" s="66">
        <f>IF(tblFleet[[#This Row],[Units]]="","",tblFleet[[#This Row],[Units]]*cfg_HoursPerDay)</f>
        <v/>
      </c>
      <c r="H2825" s="66">
        <f>IF(tblFleet[[#This Row],[Units]]="","",tblFleet[[#This Row],[Calendar_h]]-tblFleet[[#This Row],[Down_h]])</f>
        <v/>
      </c>
      <c r="I2825" s="60">
        <f>IF(AND(tblFleet[[#This Row],[Units]]&lt;&gt;"",tblFleet[[#This Row],[Calendar_h]]&gt;0),tblFleet[[#This Row],[Available_h]]/tblFleet[[#This Row],[Calendar_h]],"")</f>
        <v/>
      </c>
      <c r="J2825" s="60">
        <f>IF(AND(tblFleet[[#This Row],[Units]]&lt;&gt;"",tblFleet[[#This Row],[Available_h]]&gt;0),tblFleet[[#This Row],[Operating_h]]/tblFleet[[#This Row],[Available_h]],"")</f>
        <v/>
      </c>
    </row>
    <row r="2826">
      <c r="A2826" s="54" t="n"/>
      <c r="B2826" s="61" t="n"/>
      <c r="C2826" s="62" t="n"/>
      <c r="D2826" s="57" t="n"/>
      <c r="E2826" s="57" t="n"/>
      <c r="F2826" s="58" t="n"/>
      <c r="G2826" s="66">
        <f>IF(tblFleet[[#This Row],[Units]]="","",tblFleet[[#This Row],[Units]]*cfg_HoursPerDay)</f>
        <v/>
      </c>
      <c r="H2826" s="66">
        <f>IF(tblFleet[[#This Row],[Units]]="","",tblFleet[[#This Row],[Calendar_h]]-tblFleet[[#This Row],[Down_h]])</f>
        <v/>
      </c>
      <c r="I2826" s="60">
        <f>IF(AND(tblFleet[[#This Row],[Units]]&lt;&gt;"",tblFleet[[#This Row],[Calendar_h]]&gt;0),tblFleet[[#This Row],[Available_h]]/tblFleet[[#This Row],[Calendar_h]],"")</f>
        <v/>
      </c>
      <c r="J2826" s="60">
        <f>IF(AND(tblFleet[[#This Row],[Units]]&lt;&gt;"",tblFleet[[#This Row],[Available_h]]&gt;0),tblFleet[[#This Row],[Operating_h]]/tblFleet[[#This Row],[Available_h]],"")</f>
        <v/>
      </c>
    </row>
    <row r="2827">
      <c r="A2827" s="54" t="n"/>
      <c r="B2827" s="61" t="n"/>
      <c r="C2827" s="62" t="n"/>
      <c r="D2827" s="57" t="n"/>
      <c r="E2827" s="57" t="n"/>
      <c r="F2827" s="58" t="n"/>
      <c r="G2827" s="66">
        <f>IF(tblFleet[[#This Row],[Units]]="","",tblFleet[[#This Row],[Units]]*cfg_HoursPerDay)</f>
        <v/>
      </c>
      <c r="H2827" s="66">
        <f>IF(tblFleet[[#This Row],[Units]]="","",tblFleet[[#This Row],[Calendar_h]]-tblFleet[[#This Row],[Down_h]])</f>
        <v/>
      </c>
      <c r="I2827" s="60">
        <f>IF(AND(tblFleet[[#This Row],[Units]]&lt;&gt;"",tblFleet[[#This Row],[Calendar_h]]&gt;0),tblFleet[[#This Row],[Available_h]]/tblFleet[[#This Row],[Calendar_h]],"")</f>
        <v/>
      </c>
      <c r="J2827" s="60">
        <f>IF(AND(tblFleet[[#This Row],[Units]]&lt;&gt;"",tblFleet[[#This Row],[Available_h]]&gt;0),tblFleet[[#This Row],[Operating_h]]/tblFleet[[#This Row],[Available_h]],"")</f>
        <v/>
      </c>
    </row>
    <row r="2828">
      <c r="A2828" s="54" t="n"/>
      <c r="B2828" s="61" t="n"/>
      <c r="C2828" s="62" t="n"/>
      <c r="D2828" s="57" t="n"/>
      <c r="E2828" s="57" t="n"/>
      <c r="F2828" s="58" t="n"/>
      <c r="G2828" s="66">
        <f>IF(tblFleet[[#This Row],[Units]]="","",tblFleet[[#This Row],[Units]]*cfg_HoursPerDay)</f>
        <v/>
      </c>
      <c r="H2828" s="66">
        <f>IF(tblFleet[[#This Row],[Units]]="","",tblFleet[[#This Row],[Calendar_h]]-tblFleet[[#This Row],[Down_h]])</f>
        <v/>
      </c>
      <c r="I2828" s="60">
        <f>IF(AND(tblFleet[[#This Row],[Units]]&lt;&gt;"",tblFleet[[#This Row],[Calendar_h]]&gt;0),tblFleet[[#This Row],[Available_h]]/tblFleet[[#This Row],[Calendar_h]],"")</f>
        <v/>
      </c>
      <c r="J2828" s="60">
        <f>IF(AND(tblFleet[[#This Row],[Units]]&lt;&gt;"",tblFleet[[#This Row],[Available_h]]&gt;0),tblFleet[[#This Row],[Operating_h]]/tblFleet[[#This Row],[Available_h]],"")</f>
        <v/>
      </c>
    </row>
    <row r="2829">
      <c r="A2829" s="54" t="n"/>
      <c r="B2829" s="61" t="n"/>
      <c r="C2829" s="62" t="n"/>
      <c r="D2829" s="57" t="n"/>
      <c r="E2829" s="57" t="n"/>
      <c r="F2829" s="58" t="n"/>
      <c r="G2829" s="66">
        <f>IF(tblFleet[[#This Row],[Units]]="","",tblFleet[[#This Row],[Units]]*cfg_HoursPerDay)</f>
        <v/>
      </c>
      <c r="H2829" s="66">
        <f>IF(tblFleet[[#This Row],[Units]]="","",tblFleet[[#This Row],[Calendar_h]]-tblFleet[[#This Row],[Down_h]])</f>
        <v/>
      </c>
      <c r="I2829" s="60">
        <f>IF(AND(tblFleet[[#This Row],[Units]]&lt;&gt;"",tblFleet[[#This Row],[Calendar_h]]&gt;0),tblFleet[[#This Row],[Available_h]]/tblFleet[[#This Row],[Calendar_h]],"")</f>
        <v/>
      </c>
      <c r="J2829" s="60">
        <f>IF(AND(tblFleet[[#This Row],[Units]]&lt;&gt;"",tblFleet[[#This Row],[Available_h]]&gt;0),tblFleet[[#This Row],[Operating_h]]/tblFleet[[#This Row],[Available_h]],"")</f>
        <v/>
      </c>
    </row>
    <row r="2830">
      <c r="A2830" s="54" t="n"/>
      <c r="B2830" s="61" t="n"/>
      <c r="C2830" s="62" t="n"/>
      <c r="D2830" s="57" t="n"/>
      <c r="E2830" s="57" t="n"/>
      <c r="F2830" s="58" t="n"/>
      <c r="G2830" s="66">
        <f>IF(tblFleet[[#This Row],[Units]]="","",tblFleet[[#This Row],[Units]]*cfg_HoursPerDay)</f>
        <v/>
      </c>
      <c r="H2830" s="66">
        <f>IF(tblFleet[[#This Row],[Units]]="","",tblFleet[[#This Row],[Calendar_h]]-tblFleet[[#This Row],[Down_h]])</f>
        <v/>
      </c>
      <c r="I2830" s="60">
        <f>IF(AND(tblFleet[[#This Row],[Units]]&lt;&gt;"",tblFleet[[#This Row],[Calendar_h]]&gt;0),tblFleet[[#This Row],[Available_h]]/tblFleet[[#This Row],[Calendar_h]],"")</f>
        <v/>
      </c>
      <c r="J2830" s="60">
        <f>IF(AND(tblFleet[[#This Row],[Units]]&lt;&gt;"",tblFleet[[#This Row],[Available_h]]&gt;0),tblFleet[[#This Row],[Operating_h]]/tblFleet[[#This Row],[Available_h]],"")</f>
        <v/>
      </c>
    </row>
    <row r="2831">
      <c r="A2831" s="54" t="n"/>
      <c r="B2831" s="61" t="n"/>
      <c r="C2831" s="62" t="n"/>
      <c r="D2831" s="57" t="n"/>
      <c r="E2831" s="57" t="n"/>
      <c r="F2831" s="58" t="n"/>
      <c r="G2831" s="66">
        <f>IF(tblFleet[[#This Row],[Units]]="","",tblFleet[[#This Row],[Units]]*cfg_HoursPerDay)</f>
        <v/>
      </c>
      <c r="H2831" s="66">
        <f>IF(tblFleet[[#This Row],[Units]]="","",tblFleet[[#This Row],[Calendar_h]]-tblFleet[[#This Row],[Down_h]])</f>
        <v/>
      </c>
      <c r="I2831" s="60">
        <f>IF(AND(tblFleet[[#This Row],[Units]]&lt;&gt;"",tblFleet[[#This Row],[Calendar_h]]&gt;0),tblFleet[[#This Row],[Available_h]]/tblFleet[[#This Row],[Calendar_h]],"")</f>
        <v/>
      </c>
      <c r="J2831" s="60">
        <f>IF(AND(tblFleet[[#This Row],[Units]]&lt;&gt;"",tblFleet[[#This Row],[Available_h]]&gt;0),tblFleet[[#This Row],[Operating_h]]/tblFleet[[#This Row],[Available_h]],"")</f>
        <v/>
      </c>
    </row>
    <row r="2832">
      <c r="A2832" s="54" t="n"/>
      <c r="B2832" s="61" t="n"/>
      <c r="C2832" s="62" t="n"/>
      <c r="D2832" s="57" t="n"/>
      <c r="E2832" s="57" t="n"/>
      <c r="F2832" s="58" t="n"/>
      <c r="G2832" s="66">
        <f>IF(tblFleet[[#This Row],[Units]]="","",tblFleet[[#This Row],[Units]]*cfg_HoursPerDay)</f>
        <v/>
      </c>
      <c r="H2832" s="66">
        <f>IF(tblFleet[[#This Row],[Units]]="","",tblFleet[[#This Row],[Calendar_h]]-tblFleet[[#This Row],[Down_h]])</f>
        <v/>
      </c>
      <c r="I2832" s="60">
        <f>IF(AND(tblFleet[[#This Row],[Units]]&lt;&gt;"",tblFleet[[#This Row],[Calendar_h]]&gt;0),tblFleet[[#This Row],[Available_h]]/tblFleet[[#This Row],[Calendar_h]],"")</f>
        <v/>
      </c>
      <c r="J2832" s="60">
        <f>IF(AND(tblFleet[[#This Row],[Units]]&lt;&gt;"",tblFleet[[#This Row],[Available_h]]&gt;0),tblFleet[[#This Row],[Operating_h]]/tblFleet[[#This Row],[Available_h]],"")</f>
        <v/>
      </c>
    </row>
    <row r="2833">
      <c r="A2833" s="54" t="n"/>
      <c r="B2833" s="61" t="n"/>
      <c r="C2833" s="62" t="n"/>
      <c r="D2833" s="57" t="n"/>
      <c r="E2833" s="57" t="n"/>
      <c r="F2833" s="58" t="n"/>
      <c r="G2833" s="66">
        <f>IF(tblFleet[[#This Row],[Units]]="","",tblFleet[[#This Row],[Units]]*cfg_HoursPerDay)</f>
        <v/>
      </c>
      <c r="H2833" s="66">
        <f>IF(tblFleet[[#This Row],[Units]]="","",tblFleet[[#This Row],[Calendar_h]]-tblFleet[[#This Row],[Down_h]])</f>
        <v/>
      </c>
      <c r="I2833" s="60">
        <f>IF(AND(tblFleet[[#This Row],[Units]]&lt;&gt;"",tblFleet[[#This Row],[Calendar_h]]&gt;0),tblFleet[[#This Row],[Available_h]]/tblFleet[[#This Row],[Calendar_h]],"")</f>
        <v/>
      </c>
      <c r="J2833" s="60">
        <f>IF(AND(tblFleet[[#This Row],[Units]]&lt;&gt;"",tblFleet[[#This Row],[Available_h]]&gt;0),tblFleet[[#This Row],[Operating_h]]/tblFleet[[#This Row],[Available_h]],"")</f>
        <v/>
      </c>
    </row>
    <row r="2834">
      <c r="A2834" s="54" t="n"/>
      <c r="B2834" s="61" t="n"/>
      <c r="C2834" s="62" t="n"/>
      <c r="D2834" s="57" t="n"/>
      <c r="E2834" s="57" t="n"/>
      <c r="F2834" s="58" t="n"/>
      <c r="G2834" s="66">
        <f>IF(tblFleet[[#This Row],[Units]]="","",tblFleet[[#This Row],[Units]]*cfg_HoursPerDay)</f>
        <v/>
      </c>
      <c r="H2834" s="66">
        <f>IF(tblFleet[[#This Row],[Units]]="","",tblFleet[[#This Row],[Calendar_h]]-tblFleet[[#This Row],[Down_h]])</f>
        <v/>
      </c>
      <c r="I2834" s="60">
        <f>IF(AND(tblFleet[[#This Row],[Units]]&lt;&gt;"",tblFleet[[#This Row],[Calendar_h]]&gt;0),tblFleet[[#This Row],[Available_h]]/tblFleet[[#This Row],[Calendar_h]],"")</f>
        <v/>
      </c>
      <c r="J2834" s="60">
        <f>IF(AND(tblFleet[[#This Row],[Units]]&lt;&gt;"",tblFleet[[#This Row],[Available_h]]&gt;0),tblFleet[[#This Row],[Operating_h]]/tblFleet[[#This Row],[Available_h]],"")</f>
        <v/>
      </c>
    </row>
    <row r="2835">
      <c r="A2835" s="54" t="n"/>
      <c r="B2835" s="61" t="n"/>
      <c r="C2835" s="62" t="n"/>
      <c r="D2835" s="57" t="n"/>
      <c r="E2835" s="57" t="n"/>
      <c r="F2835" s="58" t="n"/>
      <c r="G2835" s="66">
        <f>IF(tblFleet[[#This Row],[Units]]="","",tblFleet[[#This Row],[Units]]*cfg_HoursPerDay)</f>
        <v/>
      </c>
      <c r="H2835" s="66">
        <f>IF(tblFleet[[#This Row],[Units]]="","",tblFleet[[#This Row],[Calendar_h]]-tblFleet[[#This Row],[Down_h]])</f>
        <v/>
      </c>
      <c r="I2835" s="60">
        <f>IF(AND(tblFleet[[#This Row],[Units]]&lt;&gt;"",tblFleet[[#This Row],[Calendar_h]]&gt;0),tblFleet[[#This Row],[Available_h]]/tblFleet[[#This Row],[Calendar_h]],"")</f>
        <v/>
      </c>
      <c r="J2835" s="60">
        <f>IF(AND(tblFleet[[#This Row],[Units]]&lt;&gt;"",tblFleet[[#This Row],[Available_h]]&gt;0),tblFleet[[#This Row],[Operating_h]]/tblFleet[[#This Row],[Available_h]],"")</f>
        <v/>
      </c>
    </row>
    <row r="2836">
      <c r="A2836" s="54" t="n"/>
      <c r="B2836" s="61" t="n"/>
      <c r="C2836" s="62" t="n"/>
      <c r="D2836" s="57" t="n"/>
      <c r="E2836" s="57" t="n"/>
      <c r="F2836" s="58" t="n"/>
      <c r="G2836" s="66">
        <f>IF(tblFleet[[#This Row],[Units]]="","",tblFleet[[#This Row],[Units]]*cfg_HoursPerDay)</f>
        <v/>
      </c>
      <c r="H2836" s="66">
        <f>IF(tblFleet[[#This Row],[Units]]="","",tblFleet[[#This Row],[Calendar_h]]-tblFleet[[#This Row],[Down_h]])</f>
        <v/>
      </c>
      <c r="I2836" s="60">
        <f>IF(AND(tblFleet[[#This Row],[Units]]&lt;&gt;"",tblFleet[[#This Row],[Calendar_h]]&gt;0),tblFleet[[#This Row],[Available_h]]/tblFleet[[#This Row],[Calendar_h]],"")</f>
        <v/>
      </c>
      <c r="J2836" s="60">
        <f>IF(AND(tblFleet[[#This Row],[Units]]&lt;&gt;"",tblFleet[[#This Row],[Available_h]]&gt;0),tblFleet[[#This Row],[Operating_h]]/tblFleet[[#This Row],[Available_h]],"")</f>
        <v/>
      </c>
    </row>
    <row r="2837">
      <c r="A2837" s="54" t="n"/>
      <c r="B2837" s="61" t="n"/>
      <c r="C2837" s="62" t="n"/>
      <c r="D2837" s="57" t="n"/>
      <c r="E2837" s="57" t="n"/>
      <c r="F2837" s="58" t="n"/>
      <c r="G2837" s="66">
        <f>IF(tblFleet[[#This Row],[Units]]="","",tblFleet[[#This Row],[Units]]*cfg_HoursPerDay)</f>
        <v/>
      </c>
      <c r="H2837" s="66">
        <f>IF(tblFleet[[#This Row],[Units]]="","",tblFleet[[#This Row],[Calendar_h]]-tblFleet[[#This Row],[Down_h]])</f>
        <v/>
      </c>
      <c r="I2837" s="60">
        <f>IF(AND(tblFleet[[#This Row],[Units]]&lt;&gt;"",tblFleet[[#This Row],[Calendar_h]]&gt;0),tblFleet[[#This Row],[Available_h]]/tblFleet[[#This Row],[Calendar_h]],"")</f>
        <v/>
      </c>
      <c r="J2837" s="60">
        <f>IF(AND(tblFleet[[#This Row],[Units]]&lt;&gt;"",tblFleet[[#This Row],[Available_h]]&gt;0),tblFleet[[#This Row],[Operating_h]]/tblFleet[[#This Row],[Available_h]],"")</f>
        <v/>
      </c>
    </row>
    <row r="2838">
      <c r="A2838" s="54" t="n"/>
      <c r="B2838" s="61" t="n"/>
      <c r="C2838" s="62" t="n"/>
      <c r="D2838" s="57" t="n"/>
      <c r="E2838" s="57" t="n"/>
      <c r="F2838" s="58" t="n"/>
      <c r="G2838" s="66">
        <f>IF(tblFleet[[#This Row],[Units]]="","",tblFleet[[#This Row],[Units]]*cfg_HoursPerDay)</f>
        <v/>
      </c>
      <c r="H2838" s="66">
        <f>IF(tblFleet[[#This Row],[Units]]="","",tblFleet[[#This Row],[Calendar_h]]-tblFleet[[#This Row],[Down_h]])</f>
        <v/>
      </c>
      <c r="I2838" s="60">
        <f>IF(AND(tblFleet[[#This Row],[Units]]&lt;&gt;"",tblFleet[[#This Row],[Calendar_h]]&gt;0),tblFleet[[#This Row],[Available_h]]/tblFleet[[#This Row],[Calendar_h]],"")</f>
        <v/>
      </c>
      <c r="J2838" s="60">
        <f>IF(AND(tblFleet[[#This Row],[Units]]&lt;&gt;"",tblFleet[[#This Row],[Available_h]]&gt;0),tblFleet[[#This Row],[Operating_h]]/tblFleet[[#This Row],[Available_h]],"")</f>
        <v/>
      </c>
    </row>
    <row r="2839">
      <c r="A2839" s="54" t="n"/>
      <c r="B2839" s="61" t="n"/>
      <c r="C2839" s="62" t="n"/>
      <c r="D2839" s="57" t="n"/>
      <c r="E2839" s="57" t="n"/>
      <c r="F2839" s="58" t="n"/>
      <c r="G2839" s="66">
        <f>IF(tblFleet[[#This Row],[Units]]="","",tblFleet[[#This Row],[Units]]*cfg_HoursPerDay)</f>
        <v/>
      </c>
      <c r="H2839" s="66">
        <f>IF(tblFleet[[#This Row],[Units]]="","",tblFleet[[#This Row],[Calendar_h]]-tblFleet[[#This Row],[Down_h]])</f>
        <v/>
      </c>
      <c r="I2839" s="60">
        <f>IF(AND(tblFleet[[#This Row],[Units]]&lt;&gt;"",tblFleet[[#This Row],[Calendar_h]]&gt;0),tblFleet[[#This Row],[Available_h]]/tblFleet[[#This Row],[Calendar_h]],"")</f>
        <v/>
      </c>
      <c r="J2839" s="60">
        <f>IF(AND(tblFleet[[#This Row],[Units]]&lt;&gt;"",tblFleet[[#This Row],[Available_h]]&gt;0),tblFleet[[#This Row],[Operating_h]]/tblFleet[[#This Row],[Available_h]],"")</f>
        <v/>
      </c>
    </row>
    <row r="2840">
      <c r="A2840" s="54" t="n"/>
      <c r="B2840" s="61" t="n"/>
      <c r="C2840" s="62" t="n"/>
      <c r="D2840" s="57" t="n"/>
      <c r="E2840" s="57" t="n"/>
      <c r="F2840" s="58" t="n"/>
      <c r="G2840" s="66">
        <f>IF(tblFleet[[#This Row],[Units]]="","",tblFleet[[#This Row],[Units]]*cfg_HoursPerDay)</f>
        <v/>
      </c>
      <c r="H2840" s="66">
        <f>IF(tblFleet[[#This Row],[Units]]="","",tblFleet[[#This Row],[Calendar_h]]-tblFleet[[#This Row],[Down_h]])</f>
        <v/>
      </c>
      <c r="I2840" s="60">
        <f>IF(AND(tblFleet[[#This Row],[Units]]&lt;&gt;"",tblFleet[[#This Row],[Calendar_h]]&gt;0),tblFleet[[#This Row],[Available_h]]/tblFleet[[#This Row],[Calendar_h]],"")</f>
        <v/>
      </c>
      <c r="J2840" s="60">
        <f>IF(AND(tblFleet[[#This Row],[Units]]&lt;&gt;"",tblFleet[[#This Row],[Available_h]]&gt;0),tblFleet[[#This Row],[Operating_h]]/tblFleet[[#This Row],[Available_h]],"")</f>
        <v/>
      </c>
    </row>
    <row r="2841">
      <c r="A2841" s="54" t="n"/>
      <c r="B2841" s="61" t="n"/>
      <c r="C2841" s="62" t="n"/>
      <c r="D2841" s="57" t="n"/>
      <c r="E2841" s="57" t="n"/>
      <c r="F2841" s="58" t="n"/>
      <c r="G2841" s="66">
        <f>IF(tblFleet[[#This Row],[Units]]="","",tblFleet[[#This Row],[Units]]*cfg_HoursPerDay)</f>
        <v/>
      </c>
      <c r="H2841" s="66">
        <f>IF(tblFleet[[#This Row],[Units]]="","",tblFleet[[#This Row],[Calendar_h]]-tblFleet[[#This Row],[Down_h]])</f>
        <v/>
      </c>
      <c r="I2841" s="60">
        <f>IF(AND(tblFleet[[#This Row],[Units]]&lt;&gt;"",tblFleet[[#This Row],[Calendar_h]]&gt;0),tblFleet[[#This Row],[Available_h]]/tblFleet[[#This Row],[Calendar_h]],"")</f>
        <v/>
      </c>
      <c r="J2841" s="60">
        <f>IF(AND(tblFleet[[#This Row],[Units]]&lt;&gt;"",tblFleet[[#This Row],[Available_h]]&gt;0),tblFleet[[#This Row],[Operating_h]]/tblFleet[[#This Row],[Available_h]],"")</f>
        <v/>
      </c>
    </row>
    <row r="2842">
      <c r="A2842" s="54" t="n"/>
      <c r="B2842" s="61" t="n"/>
      <c r="C2842" s="62" t="n"/>
      <c r="D2842" s="57" t="n"/>
      <c r="E2842" s="57" t="n"/>
      <c r="F2842" s="58" t="n"/>
      <c r="G2842" s="66">
        <f>IF(tblFleet[[#This Row],[Units]]="","",tblFleet[[#This Row],[Units]]*cfg_HoursPerDay)</f>
        <v/>
      </c>
      <c r="H2842" s="66">
        <f>IF(tblFleet[[#This Row],[Units]]="","",tblFleet[[#This Row],[Calendar_h]]-tblFleet[[#This Row],[Down_h]])</f>
        <v/>
      </c>
      <c r="I2842" s="60">
        <f>IF(AND(tblFleet[[#This Row],[Units]]&lt;&gt;"",tblFleet[[#This Row],[Calendar_h]]&gt;0),tblFleet[[#This Row],[Available_h]]/tblFleet[[#This Row],[Calendar_h]],"")</f>
        <v/>
      </c>
      <c r="J2842" s="60">
        <f>IF(AND(tblFleet[[#This Row],[Units]]&lt;&gt;"",tblFleet[[#This Row],[Available_h]]&gt;0),tblFleet[[#This Row],[Operating_h]]/tblFleet[[#This Row],[Available_h]],"")</f>
        <v/>
      </c>
    </row>
    <row r="2843">
      <c r="A2843" s="54" t="n"/>
      <c r="B2843" s="61" t="n"/>
      <c r="C2843" s="62" t="n"/>
      <c r="D2843" s="57" t="n"/>
      <c r="E2843" s="57" t="n"/>
      <c r="F2843" s="58" t="n"/>
      <c r="G2843" s="66">
        <f>IF(tblFleet[[#This Row],[Units]]="","",tblFleet[[#This Row],[Units]]*cfg_HoursPerDay)</f>
        <v/>
      </c>
      <c r="H2843" s="66">
        <f>IF(tblFleet[[#This Row],[Units]]="","",tblFleet[[#This Row],[Calendar_h]]-tblFleet[[#This Row],[Down_h]])</f>
        <v/>
      </c>
      <c r="I2843" s="60">
        <f>IF(AND(tblFleet[[#This Row],[Units]]&lt;&gt;"",tblFleet[[#This Row],[Calendar_h]]&gt;0),tblFleet[[#This Row],[Available_h]]/tblFleet[[#This Row],[Calendar_h]],"")</f>
        <v/>
      </c>
      <c r="J2843" s="60">
        <f>IF(AND(tblFleet[[#This Row],[Units]]&lt;&gt;"",tblFleet[[#This Row],[Available_h]]&gt;0),tblFleet[[#This Row],[Operating_h]]/tblFleet[[#This Row],[Available_h]],"")</f>
        <v/>
      </c>
    </row>
    <row r="2844">
      <c r="A2844" s="54" t="n"/>
      <c r="B2844" s="61" t="n"/>
      <c r="C2844" s="62" t="n"/>
      <c r="D2844" s="57" t="n"/>
      <c r="E2844" s="57" t="n"/>
      <c r="F2844" s="58" t="n"/>
      <c r="G2844" s="66">
        <f>IF(tblFleet[[#This Row],[Units]]="","",tblFleet[[#This Row],[Units]]*cfg_HoursPerDay)</f>
        <v/>
      </c>
      <c r="H2844" s="66">
        <f>IF(tblFleet[[#This Row],[Units]]="","",tblFleet[[#This Row],[Calendar_h]]-tblFleet[[#This Row],[Down_h]])</f>
        <v/>
      </c>
      <c r="I2844" s="60">
        <f>IF(AND(tblFleet[[#This Row],[Units]]&lt;&gt;"",tblFleet[[#This Row],[Calendar_h]]&gt;0),tblFleet[[#This Row],[Available_h]]/tblFleet[[#This Row],[Calendar_h]],"")</f>
        <v/>
      </c>
      <c r="J2844" s="60">
        <f>IF(AND(tblFleet[[#This Row],[Units]]&lt;&gt;"",tblFleet[[#This Row],[Available_h]]&gt;0),tblFleet[[#This Row],[Operating_h]]/tblFleet[[#This Row],[Available_h]],"")</f>
        <v/>
      </c>
    </row>
    <row r="2845">
      <c r="A2845" s="54" t="n"/>
      <c r="B2845" s="61" t="n"/>
      <c r="C2845" s="62" t="n"/>
      <c r="D2845" s="57" t="n"/>
      <c r="E2845" s="57" t="n"/>
      <c r="F2845" s="58" t="n"/>
      <c r="G2845" s="66">
        <f>IF(tblFleet[[#This Row],[Units]]="","",tblFleet[[#This Row],[Units]]*cfg_HoursPerDay)</f>
        <v/>
      </c>
      <c r="H2845" s="66">
        <f>IF(tblFleet[[#This Row],[Units]]="","",tblFleet[[#This Row],[Calendar_h]]-tblFleet[[#This Row],[Down_h]])</f>
        <v/>
      </c>
      <c r="I2845" s="60">
        <f>IF(AND(tblFleet[[#This Row],[Units]]&lt;&gt;"",tblFleet[[#This Row],[Calendar_h]]&gt;0),tblFleet[[#This Row],[Available_h]]/tblFleet[[#This Row],[Calendar_h]],"")</f>
        <v/>
      </c>
      <c r="J2845" s="60">
        <f>IF(AND(tblFleet[[#This Row],[Units]]&lt;&gt;"",tblFleet[[#This Row],[Available_h]]&gt;0),tblFleet[[#This Row],[Operating_h]]/tblFleet[[#This Row],[Available_h]],"")</f>
        <v/>
      </c>
    </row>
    <row r="2846">
      <c r="A2846" s="54" t="n"/>
      <c r="B2846" s="61" t="n"/>
      <c r="C2846" s="62" t="n"/>
      <c r="D2846" s="57" t="n"/>
      <c r="E2846" s="57" t="n"/>
      <c r="F2846" s="58" t="n"/>
      <c r="G2846" s="66">
        <f>IF(tblFleet[[#This Row],[Units]]="","",tblFleet[[#This Row],[Units]]*cfg_HoursPerDay)</f>
        <v/>
      </c>
      <c r="H2846" s="66">
        <f>IF(tblFleet[[#This Row],[Units]]="","",tblFleet[[#This Row],[Calendar_h]]-tblFleet[[#This Row],[Down_h]])</f>
        <v/>
      </c>
      <c r="I2846" s="60">
        <f>IF(AND(tblFleet[[#This Row],[Units]]&lt;&gt;"",tblFleet[[#This Row],[Calendar_h]]&gt;0),tblFleet[[#This Row],[Available_h]]/tblFleet[[#This Row],[Calendar_h]],"")</f>
        <v/>
      </c>
      <c r="J2846" s="60">
        <f>IF(AND(tblFleet[[#This Row],[Units]]&lt;&gt;"",tblFleet[[#This Row],[Available_h]]&gt;0),tblFleet[[#This Row],[Operating_h]]/tblFleet[[#This Row],[Available_h]],"")</f>
        <v/>
      </c>
    </row>
    <row r="2847">
      <c r="A2847" s="54" t="n"/>
      <c r="B2847" s="61" t="n"/>
      <c r="C2847" s="62" t="n"/>
      <c r="D2847" s="57" t="n"/>
      <c r="E2847" s="57" t="n"/>
      <c r="F2847" s="58" t="n"/>
      <c r="G2847" s="66">
        <f>IF(tblFleet[[#This Row],[Units]]="","",tblFleet[[#This Row],[Units]]*cfg_HoursPerDay)</f>
        <v/>
      </c>
      <c r="H2847" s="66">
        <f>IF(tblFleet[[#This Row],[Units]]="","",tblFleet[[#This Row],[Calendar_h]]-tblFleet[[#This Row],[Down_h]])</f>
        <v/>
      </c>
      <c r="I2847" s="60">
        <f>IF(AND(tblFleet[[#This Row],[Units]]&lt;&gt;"",tblFleet[[#This Row],[Calendar_h]]&gt;0),tblFleet[[#This Row],[Available_h]]/tblFleet[[#This Row],[Calendar_h]],"")</f>
        <v/>
      </c>
      <c r="J2847" s="60">
        <f>IF(AND(tblFleet[[#This Row],[Units]]&lt;&gt;"",tblFleet[[#This Row],[Available_h]]&gt;0),tblFleet[[#This Row],[Operating_h]]/tblFleet[[#This Row],[Available_h]],"")</f>
        <v/>
      </c>
    </row>
    <row r="2848">
      <c r="A2848" s="54" t="n"/>
      <c r="B2848" s="61" t="n"/>
      <c r="C2848" s="62" t="n"/>
      <c r="D2848" s="57" t="n"/>
      <c r="E2848" s="57" t="n"/>
      <c r="F2848" s="58" t="n"/>
      <c r="G2848" s="66">
        <f>IF(tblFleet[[#This Row],[Units]]="","",tblFleet[[#This Row],[Units]]*cfg_HoursPerDay)</f>
        <v/>
      </c>
      <c r="H2848" s="66">
        <f>IF(tblFleet[[#This Row],[Units]]="","",tblFleet[[#This Row],[Calendar_h]]-tblFleet[[#This Row],[Down_h]])</f>
        <v/>
      </c>
      <c r="I2848" s="60">
        <f>IF(AND(tblFleet[[#This Row],[Units]]&lt;&gt;"",tblFleet[[#This Row],[Calendar_h]]&gt;0),tblFleet[[#This Row],[Available_h]]/tblFleet[[#This Row],[Calendar_h]],"")</f>
        <v/>
      </c>
      <c r="J2848" s="60">
        <f>IF(AND(tblFleet[[#This Row],[Units]]&lt;&gt;"",tblFleet[[#This Row],[Available_h]]&gt;0),tblFleet[[#This Row],[Operating_h]]/tblFleet[[#This Row],[Available_h]],"")</f>
        <v/>
      </c>
    </row>
    <row r="2849">
      <c r="A2849" s="54" t="n"/>
      <c r="B2849" s="61" t="n"/>
      <c r="C2849" s="62" t="n"/>
      <c r="D2849" s="57" t="n"/>
      <c r="E2849" s="57" t="n"/>
      <c r="F2849" s="58" t="n"/>
      <c r="G2849" s="66">
        <f>IF(tblFleet[[#This Row],[Units]]="","",tblFleet[[#This Row],[Units]]*cfg_HoursPerDay)</f>
        <v/>
      </c>
      <c r="H2849" s="66">
        <f>IF(tblFleet[[#This Row],[Units]]="","",tblFleet[[#This Row],[Calendar_h]]-tblFleet[[#This Row],[Down_h]])</f>
        <v/>
      </c>
      <c r="I2849" s="60">
        <f>IF(AND(tblFleet[[#This Row],[Units]]&lt;&gt;"",tblFleet[[#This Row],[Calendar_h]]&gt;0),tblFleet[[#This Row],[Available_h]]/tblFleet[[#This Row],[Calendar_h]],"")</f>
        <v/>
      </c>
      <c r="J2849" s="60">
        <f>IF(AND(tblFleet[[#This Row],[Units]]&lt;&gt;"",tblFleet[[#This Row],[Available_h]]&gt;0),tblFleet[[#This Row],[Operating_h]]/tblFleet[[#This Row],[Available_h]],"")</f>
        <v/>
      </c>
    </row>
    <row r="2850">
      <c r="A2850" s="54" t="n"/>
      <c r="B2850" s="61" t="n"/>
      <c r="C2850" s="62" t="n"/>
      <c r="D2850" s="57" t="n"/>
      <c r="E2850" s="57" t="n"/>
      <c r="F2850" s="58" t="n"/>
      <c r="G2850" s="66">
        <f>IF(tblFleet[[#This Row],[Units]]="","",tblFleet[[#This Row],[Units]]*cfg_HoursPerDay)</f>
        <v/>
      </c>
      <c r="H2850" s="66">
        <f>IF(tblFleet[[#This Row],[Units]]="","",tblFleet[[#This Row],[Calendar_h]]-tblFleet[[#This Row],[Down_h]])</f>
        <v/>
      </c>
      <c r="I2850" s="60">
        <f>IF(AND(tblFleet[[#This Row],[Units]]&lt;&gt;"",tblFleet[[#This Row],[Calendar_h]]&gt;0),tblFleet[[#This Row],[Available_h]]/tblFleet[[#This Row],[Calendar_h]],"")</f>
        <v/>
      </c>
      <c r="J2850" s="60">
        <f>IF(AND(tblFleet[[#This Row],[Units]]&lt;&gt;"",tblFleet[[#This Row],[Available_h]]&gt;0),tblFleet[[#This Row],[Operating_h]]/tblFleet[[#This Row],[Available_h]],"")</f>
        <v/>
      </c>
    </row>
    <row r="2851">
      <c r="A2851" s="54" t="n"/>
      <c r="B2851" s="61" t="n"/>
      <c r="C2851" s="62" t="n"/>
      <c r="D2851" s="57" t="n"/>
      <c r="E2851" s="57" t="n"/>
      <c r="F2851" s="58" t="n"/>
      <c r="G2851" s="66">
        <f>IF(tblFleet[[#This Row],[Units]]="","",tblFleet[[#This Row],[Units]]*cfg_HoursPerDay)</f>
        <v/>
      </c>
      <c r="H2851" s="66">
        <f>IF(tblFleet[[#This Row],[Units]]="","",tblFleet[[#This Row],[Calendar_h]]-tblFleet[[#This Row],[Down_h]])</f>
        <v/>
      </c>
      <c r="I2851" s="60">
        <f>IF(AND(tblFleet[[#This Row],[Units]]&lt;&gt;"",tblFleet[[#This Row],[Calendar_h]]&gt;0),tblFleet[[#This Row],[Available_h]]/tblFleet[[#This Row],[Calendar_h]],"")</f>
        <v/>
      </c>
      <c r="J2851" s="60">
        <f>IF(AND(tblFleet[[#This Row],[Units]]&lt;&gt;"",tblFleet[[#This Row],[Available_h]]&gt;0),tblFleet[[#This Row],[Operating_h]]/tblFleet[[#This Row],[Available_h]],"")</f>
        <v/>
      </c>
    </row>
    <row r="2852">
      <c r="A2852" s="54" t="n"/>
      <c r="B2852" s="61" t="n"/>
      <c r="C2852" s="62" t="n"/>
      <c r="D2852" s="57" t="n"/>
      <c r="E2852" s="57" t="n"/>
      <c r="F2852" s="58" t="n"/>
      <c r="G2852" s="66">
        <f>IF(tblFleet[[#This Row],[Units]]="","",tblFleet[[#This Row],[Units]]*cfg_HoursPerDay)</f>
        <v/>
      </c>
      <c r="H2852" s="66">
        <f>IF(tblFleet[[#This Row],[Units]]="","",tblFleet[[#This Row],[Calendar_h]]-tblFleet[[#This Row],[Down_h]])</f>
        <v/>
      </c>
      <c r="I2852" s="60">
        <f>IF(AND(tblFleet[[#This Row],[Units]]&lt;&gt;"",tblFleet[[#This Row],[Calendar_h]]&gt;0),tblFleet[[#This Row],[Available_h]]/tblFleet[[#This Row],[Calendar_h]],"")</f>
        <v/>
      </c>
      <c r="J2852" s="60">
        <f>IF(AND(tblFleet[[#This Row],[Units]]&lt;&gt;"",tblFleet[[#This Row],[Available_h]]&gt;0),tblFleet[[#This Row],[Operating_h]]/tblFleet[[#This Row],[Available_h]],"")</f>
        <v/>
      </c>
    </row>
    <row r="2853">
      <c r="A2853" s="54" t="n"/>
      <c r="B2853" s="61" t="n"/>
      <c r="C2853" s="62" t="n"/>
      <c r="D2853" s="57" t="n"/>
      <c r="E2853" s="57" t="n"/>
      <c r="F2853" s="58" t="n"/>
      <c r="G2853" s="66">
        <f>IF(tblFleet[[#This Row],[Units]]="","",tblFleet[[#This Row],[Units]]*cfg_HoursPerDay)</f>
        <v/>
      </c>
      <c r="H2853" s="66">
        <f>IF(tblFleet[[#This Row],[Units]]="","",tblFleet[[#This Row],[Calendar_h]]-tblFleet[[#This Row],[Down_h]])</f>
        <v/>
      </c>
      <c r="I2853" s="60">
        <f>IF(AND(tblFleet[[#This Row],[Units]]&lt;&gt;"",tblFleet[[#This Row],[Calendar_h]]&gt;0),tblFleet[[#This Row],[Available_h]]/tblFleet[[#This Row],[Calendar_h]],"")</f>
        <v/>
      </c>
      <c r="J2853" s="60">
        <f>IF(AND(tblFleet[[#This Row],[Units]]&lt;&gt;"",tblFleet[[#This Row],[Available_h]]&gt;0),tblFleet[[#This Row],[Operating_h]]/tblFleet[[#This Row],[Available_h]],"")</f>
        <v/>
      </c>
    </row>
    <row r="2854">
      <c r="A2854" s="54" t="n"/>
      <c r="B2854" s="61" t="n"/>
      <c r="C2854" s="62" t="n"/>
      <c r="D2854" s="57" t="n"/>
      <c r="E2854" s="57" t="n"/>
      <c r="F2854" s="58" t="n"/>
      <c r="G2854" s="66">
        <f>IF(tblFleet[[#This Row],[Units]]="","",tblFleet[[#This Row],[Units]]*cfg_HoursPerDay)</f>
        <v/>
      </c>
      <c r="H2854" s="66">
        <f>IF(tblFleet[[#This Row],[Units]]="","",tblFleet[[#This Row],[Calendar_h]]-tblFleet[[#This Row],[Down_h]])</f>
        <v/>
      </c>
      <c r="I2854" s="60">
        <f>IF(AND(tblFleet[[#This Row],[Units]]&lt;&gt;"",tblFleet[[#This Row],[Calendar_h]]&gt;0),tblFleet[[#This Row],[Available_h]]/tblFleet[[#This Row],[Calendar_h]],"")</f>
        <v/>
      </c>
      <c r="J2854" s="60">
        <f>IF(AND(tblFleet[[#This Row],[Units]]&lt;&gt;"",tblFleet[[#This Row],[Available_h]]&gt;0),tblFleet[[#This Row],[Operating_h]]/tblFleet[[#This Row],[Available_h]],"")</f>
        <v/>
      </c>
    </row>
    <row r="2855">
      <c r="A2855" s="54" t="n"/>
      <c r="B2855" s="61" t="n"/>
      <c r="C2855" s="62" t="n"/>
      <c r="D2855" s="57" t="n"/>
      <c r="E2855" s="57" t="n"/>
      <c r="F2855" s="58" t="n"/>
      <c r="G2855" s="66">
        <f>IF(tblFleet[[#This Row],[Units]]="","",tblFleet[[#This Row],[Units]]*cfg_HoursPerDay)</f>
        <v/>
      </c>
      <c r="H2855" s="66">
        <f>IF(tblFleet[[#This Row],[Units]]="","",tblFleet[[#This Row],[Calendar_h]]-tblFleet[[#This Row],[Down_h]])</f>
        <v/>
      </c>
      <c r="I2855" s="60">
        <f>IF(AND(tblFleet[[#This Row],[Units]]&lt;&gt;"",tblFleet[[#This Row],[Calendar_h]]&gt;0),tblFleet[[#This Row],[Available_h]]/tblFleet[[#This Row],[Calendar_h]],"")</f>
        <v/>
      </c>
      <c r="J2855" s="60">
        <f>IF(AND(tblFleet[[#This Row],[Units]]&lt;&gt;"",tblFleet[[#This Row],[Available_h]]&gt;0),tblFleet[[#This Row],[Operating_h]]/tblFleet[[#This Row],[Available_h]],"")</f>
        <v/>
      </c>
    </row>
    <row r="2856">
      <c r="A2856" s="54" t="n"/>
      <c r="B2856" s="61" t="n"/>
      <c r="C2856" s="62" t="n"/>
      <c r="D2856" s="57" t="n"/>
      <c r="E2856" s="57" t="n"/>
      <c r="F2856" s="58" t="n"/>
      <c r="G2856" s="66">
        <f>IF(tblFleet[[#This Row],[Units]]="","",tblFleet[[#This Row],[Units]]*cfg_HoursPerDay)</f>
        <v/>
      </c>
      <c r="H2856" s="66">
        <f>IF(tblFleet[[#This Row],[Units]]="","",tblFleet[[#This Row],[Calendar_h]]-tblFleet[[#This Row],[Down_h]])</f>
        <v/>
      </c>
      <c r="I2856" s="60">
        <f>IF(AND(tblFleet[[#This Row],[Units]]&lt;&gt;"",tblFleet[[#This Row],[Calendar_h]]&gt;0),tblFleet[[#This Row],[Available_h]]/tblFleet[[#This Row],[Calendar_h]],"")</f>
        <v/>
      </c>
      <c r="J2856" s="60">
        <f>IF(AND(tblFleet[[#This Row],[Units]]&lt;&gt;"",tblFleet[[#This Row],[Available_h]]&gt;0),tblFleet[[#This Row],[Operating_h]]/tblFleet[[#This Row],[Available_h]],"")</f>
        <v/>
      </c>
    </row>
    <row r="2857">
      <c r="A2857" s="54" t="n"/>
      <c r="B2857" s="61" t="n"/>
      <c r="C2857" s="62" t="n"/>
      <c r="D2857" s="57" t="n"/>
      <c r="E2857" s="57" t="n"/>
      <c r="F2857" s="58" t="n"/>
      <c r="G2857" s="66">
        <f>IF(tblFleet[[#This Row],[Units]]="","",tblFleet[[#This Row],[Units]]*cfg_HoursPerDay)</f>
        <v/>
      </c>
      <c r="H2857" s="66">
        <f>IF(tblFleet[[#This Row],[Units]]="","",tblFleet[[#This Row],[Calendar_h]]-tblFleet[[#This Row],[Down_h]])</f>
        <v/>
      </c>
      <c r="I2857" s="60">
        <f>IF(AND(tblFleet[[#This Row],[Units]]&lt;&gt;"",tblFleet[[#This Row],[Calendar_h]]&gt;0),tblFleet[[#This Row],[Available_h]]/tblFleet[[#This Row],[Calendar_h]],"")</f>
        <v/>
      </c>
      <c r="J2857" s="60">
        <f>IF(AND(tblFleet[[#This Row],[Units]]&lt;&gt;"",tblFleet[[#This Row],[Available_h]]&gt;0),tblFleet[[#This Row],[Operating_h]]/tblFleet[[#This Row],[Available_h]],"")</f>
        <v/>
      </c>
    </row>
    <row r="2858">
      <c r="A2858" s="54" t="n"/>
      <c r="B2858" s="61" t="n"/>
      <c r="C2858" s="62" t="n"/>
      <c r="D2858" s="57" t="n"/>
      <c r="E2858" s="57" t="n"/>
      <c r="F2858" s="58" t="n"/>
      <c r="G2858" s="66">
        <f>IF(tblFleet[[#This Row],[Units]]="","",tblFleet[[#This Row],[Units]]*cfg_HoursPerDay)</f>
        <v/>
      </c>
      <c r="H2858" s="66">
        <f>IF(tblFleet[[#This Row],[Units]]="","",tblFleet[[#This Row],[Calendar_h]]-tblFleet[[#This Row],[Down_h]])</f>
        <v/>
      </c>
      <c r="I2858" s="60">
        <f>IF(AND(tblFleet[[#This Row],[Units]]&lt;&gt;"",tblFleet[[#This Row],[Calendar_h]]&gt;0),tblFleet[[#This Row],[Available_h]]/tblFleet[[#This Row],[Calendar_h]],"")</f>
        <v/>
      </c>
      <c r="J2858" s="60">
        <f>IF(AND(tblFleet[[#This Row],[Units]]&lt;&gt;"",tblFleet[[#This Row],[Available_h]]&gt;0),tblFleet[[#This Row],[Operating_h]]/tblFleet[[#This Row],[Available_h]],"")</f>
        <v/>
      </c>
    </row>
    <row r="2859">
      <c r="A2859" s="54" t="n"/>
      <c r="B2859" s="61" t="n"/>
      <c r="C2859" s="62" t="n"/>
      <c r="D2859" s="57" t="n"/>
      <c r="E2859" s="57" t="n"/>
      <c r="F2859" s="58" t="n"/>
      <c r="G2859" s="66">
        <f>IF(tblFleet[[#This Row],[Units]]="","",tblFleet[[#This Row],[Units]]*cfg_HoursPerDay)</f>
        <v/>
      </c>
      <c r="H2859" s="66">
        <f>IF(tblFleet[[#This Row],[Units]]="","",tblFleet[[#This Row],[Calendar_h]]-tblFleet[[#This Row],[Down_h]])</f>
        <v/>
      </c>
      <c r="I2859" s="60">
        <f>IF(AND(tblFleet[[#This Row],[Units]]&lt;&gt;"",tblFleet[[#This Row],[Calendar_h]]&gt;0),tblFleet[[#This Row],[Available_h]]/tblFleet[[#This Row],[Calendar_h]],"")</f>
        <v/>
      </c>
      <c r="J2859" s="60">
        <f>IF(AND(tblFleet[[#This Row],[Units]]&lt;&gt;"",tblFleet[[#This Row],[Available_h]]&gt;0),tblFleet[[#This Row],[Operating_h]]/tblFleet[[#This Row],[Available_h]],"")</f>
        <v/>
      </c>
    </row>
    <row r="2860">
      <c r="A2860" s="54" t="n"/>
      <c r="B2860" s="61" t="n"/>
      <c r="C2860" s="62" t="n"/>
      <c r="D2860" s="57" t="n"/>
      <c r="E2860" s="57" t="n"/>
      <c r="F2860" s="58" t="n"/>
      <c r="G2860" s="66">
        <f>IF(tblFleet[[#This Row],[Units]]="","",tblFleet[[#This Row],[Units]]*cfg_HoursPerDay)</f>
        <v/>
      </c>
      <c r="H2860" s="66">
        <f>IF(tblFleet[[#This Row],[Units]]="","",tblFleet[[#This Row],[Calendar_h]]-tblFleet[[#This Row],[Down_h]])</f>
        <v/>
      </c>
      <c r="I2860" s="60">
        <f>IF(AND(tblFleet[[#This Row],[Units]]&lt;&gt;"",tblFleet[[#This Row],[Calendar_h]]&gt;0),tblFleet[[#This Row],[Available_h]]/tblFleet[[#This Row],[Calendar_h]],"")</f>
        <v/>
      </c>
      <c r="J2860" s="60">
        <f>IF(AND(tblFleet[[#This Row],[Units]]&lt;&gt;"",tblFleet[[#This Row],[Available_h]]&gt;0),tblFleet[[#This Row],[Operating_h]]/tblFleet[[#This Row],[Available_h]],"")</f>
        <v/>
      </c>
    </row>
    <row r="2861">
      <c r="A2861" s="54" t="n"/>
      <c r="B2861" s="61" t="n"/>
      <c r="C2861" s="62" t="n"/>
      <c r="D2861" s="57" t="n"/>
      <c r="E2861" s="57" t="n"/>
      <c r="F2861" s="58" t="n"/>
      <c r="G2861" s="66">
        <f>IF(tblFleet[[#This Row],[Units]]="","",tblFleet[[#This Row],[Units]]*cfg_HoursPerDay)</f>
        <v/>
      </c>
      <c r="H2861" s="66">
        <f>IF(tblFleet[[#This Row],[Units]]="","",tblFleet[[#This Row],[Calendar_h]]-tblFleet[[#This Row],[Down_h]])</f>
        <v/>
      </c>
      <c r="I2861" s="60">
        <f>IF(AND(tblFleet[[#This Row],[Units]]&lt;&gt;"",tblFleet[[#This Row],[Calendar_h]]&gt;0),tblFleet[[#This Row],[Available_h]]/tblFleet[[#This Row],[Calendar_h]],"")</f>
        <v/>
      </c>
      <c r="J2861" s="60">
        <f>IF(AND(tblFleet[[#This Row],[Units]]&lt;&gt;"",tblFleet[[#This Row],[Available_h]]&gt;0),tblFleet[[#This Row],[Operating_h]]/tblFleet[[#This Row],[Available_h]],"")</f>
        <v/>
      </c>
    </row>
    <row r="2862">
      <c r="A2862" s="54" t="n"/>
      <c r="B2862" s="61" t="n"/>
      <c r="C2862" s="62" t="n"/>
      <c r="D2862" s="57" t="n"/>
      <c r="E2862" s="57" t="n"/>
      <c r="F2862" s="58" t="n"/>
      <c r="G2862" s="66">
        <f>IF(tblFleet[[#This Row],[Units]]="","",tblFleet[[#This Row],[Units]]*cfg_HoursPerDay)</f>
        <v/>
      </c>
      <c r="H2862" s="66">
        <f>IF(tblFleet[[#This Row],[Units]]="","",tblFleet[[#This Row],[Calendar_h]]-tblFleet[[#This Row],[Down_h]])</f>
        <v/>
      </c>
      <c r="I2862" s="60">
        <f>IF(AND(tblFleet[[#This Row],[Units]]&lt;&gt;"",tblFleet[[#This Row],[Calendar_h]]&gt;0),tblFleet[[#This Row],[Available_h]]/tblFleet[[#This Row],[Calendar_h]],"")</f>
        <v/>
      </c>
      <c r="J2862" s="60">
        <f>IF(AND(tblFleet[[#This Row],[Units]]&lt;&gt;"",tblFleet[[#This Row],[Available_h]]&gt;0),tblFleet[[#This Row],[Operating_h]]/tblFleet[[#This Row],[Available_h]],"")</f>
        <v/>
      </c>
    </row>
    <row r="2863">
      <c r="A2863" s="54" t="n"/>
      <c r="B2863" s="61" t="n"/>
      <c r="C2863" s="62" t="n"/>
      <c r="D2863" s="57" t="n"/>
      <c r="E2863" s="57" t="n"/>
      <c r="F2863" s="58" t="n"/>
      <c r="G2863" s="66">
        <f>IF(tblFleet[[#This Row],[Units]]="","",tblFleet[[#This Row],[Units]]*cfg_HoursPerDay)</f>
        <v/>
      </c>
      <c r="H2863" s="66">
        <f>IF(tblFleet[[#This Row],[Units]]="","",tblFleet[[#This Row],[Calendar_h]]-tblFleet[[#This Row],[Down_h]])</f>
        <v/>
      </c>
      <c r="I2863" s="60">
        <f>IF(AND(tblFleet[[#This Row],[Units]]&lt;&gt;"",tblFleet[[#This Row],[Calendar_h]]&gt;0),tblFleet[[#This Row],[Available_h]]/tblFleet[[#This Row],[Calendar_h]],"")</f>
        <v/>
      </c>
      <c r="J2863" s="60">
        <f>IF(AND(tblFleet[[#This Row],[Units]]&lt;&gt;"",tblFleet[[#This Row],[Available_h]]&gt;0),tblFleet[[#This Row],[Operating_h]]/tblFleet[[#This Row],[Available_h]],"")</f>
        <v/>
      </c>
    </row>
    <row r="2864">
      <c r="A2864" s="54" t="n"/>
      <c r="B2864" s="61" t="n"/>
      <c r="C2864" s="62" t="n"/>
      <c r="D2864" s="57" t="n"/>
      <c r="E2864" s="57" t="n"/>
      <c r="F2864" s="58" t="n"/>
      <c r="G2864" s="66">
        <f>IF(tblFleet[[#This Row],[Units]]="","",tblFleet[[#This Row],[Units]]*cfg_HoursPerDay)</f>
        <v/>
      </c>
      <c r="H2864" s="66">
        <f>IF(tblFleet[[#This Row],[Units]]="","",tblFleet[[#This Row],[Calendar_h]]-tblFleet[[#This Row],[Down_h]])</f>
        <v/>
      </c>
      <c r="I2864" s="60">
        <f>IF(AND(tblFleet[[#This Row],[Units]]&lt;&gt;"",tblFleet[[#This Row],[Calendar_h]]&gt;0),tblFleet[[#This Row],[Available_h]]/tblFleet[[#This Row],[Calendar_h]],"")</f>
        <v/>
      </c>
      <c r="J2864" s="60">
        <f>IF(AND(tblFleet[[#This Row],[Units]]&lt;&gt;"",tblFleet[[#This Row],[Available_h]]&gt;0),tblFleet[[#This Row],[Operating_h]]/tblFleet[[#This Row],[Available_h]],"")</f>
        <v/>
      </c>
    </row>
    <row r="2865">
      <c r="A2865" s="54" t="n"/>
      <c r="B2865" s="61" t="n"/>
      <c r="C2865" s="62" t="n"/>
      <c r="D2865" s="57" t="n"/>
      <c r="E2865" s="57" t="n"/>
      <c r="F2865" s="58" t="n"/>
      <c r="G2865" s="66">
        <f>IF(tblFleet[[#This Row],[Units]]="","",tblFleet[[#This Row],[Units]]*cfg_HoursPerDay)</f>
        <v/>
      </c>
      <c r="H2865" s="66">
        <f>IF(tblFleet[[#This Row],[Units]]="","",tblFleet[[#This Row],[Calendar_h]]-tblFleet[[#This Row],[Down_h]])</f>
        <v/>
      </c>
      <c r="I2865" s="60">
        <f>IF(AND(tblFleet[[#This Row],[Units]]&lt;&gt;"",tblFleet[[#This Row],[Calendar_h]]&gt;0),tblFleet[[#This Row],[Available_h]]/tblFleet[[#This Row],[Calendar_h]],"")</f>
        <v/>
      </c>
      <c r="J2865" s="60">
        <f>IF(AND(tblFleet[[#This Row],[Units]]&lt;&gt;"",tblFleet[[#This Row],[Available_h]]&gt;0),tblFleet[[#This Row],[Operating_h]]/tblFleet[[#This Row],[Available_h]],"")</f>
        <v/>
      </c>
    </row>
    <row r="2866">
      <c r="A2866" s="54" t="n"/>
      <c r="B2866" s="61" t="n"/>
      <c r="C2866" s="62" t="n"/>
      <c r="D2866" s="57" t="n"/>
      <c r="E2866" s="57" t="n"/>
      <c r="F2866" s="58" t="n"/>
      <c r="G2866" s="66">
        <f>IF(tblFleet[[#This Row],[Units]]="","",tblFleet[[#This Row],[Units]]*cfg_HoursPerDay)</f>
        <v/>
      </c>
      <c r="H2866" s="66">
        <f>IF(tblFleet[[#This Row],[Units]]="","",tblFleet[[#This Row],[Calendar_h]]-tblFleet[[#This Row],[Down_h]])</f>
        <v/>
      </c>
      <c r="I2866" s="60">
        <f>IF(AND(tblFleet[[#This Row],[Units]]&lt;&gt;"",tblFleet[[#This Row],[Calendar_h]]&gt;0),tblFleet[[#This Row],[Available_h]]/tblFleet[[#This Row],[Calendar_h]],"")</f>
        <v/>
      </c>
      <c r="J2866" s="60">
        <f>IF(AND(tblFleet[[#This Row],[Units]]&lt;&gt;"",tblFleet[[#This Row],[Available_h]]&gt;0),tblFleet[[#This Row],[Operating_h]]/tblFleet[[#This Row],[Available_h]],"")</f>
        <v/>
      </c>
    </row>
    <row r="2867">
      <c r="A2867" s="54" t="n"/>
      <c r="B2867" s="61" t="n"/>
      <c r="C2867" s="62" t="n"/>
      <c r="D2867" s="57" t="n"/>
      <c r="E2867" s="57" t="n"/>
      <c r="F2867" s="58" t="n"/>
      <c r="G2867" s="66">
        <f>IF(tblFleet[[#This Row],[Units]]="","",tblFleet[[#This Row],[Units]]*cfg_HoursPerDay)</f>
        <v/>
      </c>
      <c r="H2867" s="66">
        <f>IF(tblFleet[[#This Row],[Units]]="","",tblFleet[[#This Row],[Calendar_h]]-tblFleet[[#This Row],[Down_h]])</f>
        <v/>
      </c>
      <c r="I2867" s="60">
        <f>IF(AND(tblFleet[[#This Row],[Units]]&lt;&gt;"",tblFleet[[#This Row],[Calendar_h]]&gt;0),tblFleet[[#This Row],[Available_h]]/tblFleet[[#This Row],[Calendar_h]],"")</f>
        <v/>
      </c>
      <c r="J2867" s="60">
        <f>IF(AND(tblFleet[[#This Row],[Units]]&lt;&gt;"",tblFleet[[#This Row],[Available_h]]&gt;0),tblFleet[[#This Row],[Operating_h]]/tblFleet[[#This Row],[Available_h]],"")</f>
        <v/>
      </c>
    </row>
    <row r="2868">
      <c r="A2868" s="54" t="n"/>
      <c r="B2868" s="61" t="n"/>
      <c r="C2868" s="62" t="n"/>
      <c r="D2868" s="57" t="n"/>
      <c r="E2868" s="57" t="n"/>
      <c r="F2868" s="58" t="n"/>
      <c r="G2868" s="66">
        <f>IF(tblFleet[[#This Row],[Units]]="","",tblFleet[[#This Row],[Units]]*cfg_HoursPerDay)</f>
        <v/>
      </c>
      <c r="H2868" s="66">
        <f>IF(tblFleet[[#This Row],[Units]]="","",tblFleet[[#This Row],[Calendar_h]]-tblFleet[[#This Row],[Down_h]])</f>
        <v/>
      </c>
      <c r="I2868" s="60">
        <f>IF(AND(tblFleet[[#This Row],[Units]]&lt;&gt;"",tblFleet[[#This Row],[Calendar_h]]&gt;0),tblFleet[[#This Row],[Available_h]]/tblFleet[[#This Row],[Calendar_h]],"")</f>
        <v/>
      </c>
      <c r="J2868" s="60">
        <f>IF(AND(tblFleet[[#This Row],[Units]]&lt;&gt;"",tblFleet[[#This Row],[Available_h]]&gt;0),tblFleet[[#This Row],[Operating_h]]/tblFleet[[#This Row],[Available_h]],"")</f>
        <v/>
      </c>
    </row>
    <row r="2869">
      <c r="A2869" s="54" t="n"/>
      <c r="B2869" s="61" t="n"/>
      <c r="C2869" s="62" t="n"/>
      <c r="D2869" s="57" t="n"/>
      <c r="E2869" s="57" t="n"/>
      <c r="F2869" s="58" t="n"/>
      <c r="G2869" s="66">
        <f>IF(tblFleet[[#This Row],[Units]]="","",tblFleet[[#This Row],[Units]]*cfg_HoursPerDay)</f>
        <v/>
      </c>
      <c r="H2869" s="66">
        <f>IF(tblFleet[[#This Row],[Units]]="","",tblFleet[[#This Row],[Calendar_h]]-tblFleet[[#This Row],[Down_h]])</f>
        <v/>
      </c>
      <c r="I2869" s="60">
        <f>IF(AND(tblFleet[[#This Row],[Units]]&lt;&gt;"",tblFleet[[#This Row],[Calendar_h]]&gt;0),tblFleet[[#This Row],[Available_h]]/tblFleet[[#This Row],[Calendar_h]],"")</f>
        <v/>
      </c>
      <c r="J2869" s="60">
        <f>IF(AND(tblFleet[[#This Row],[Units]]&lt;&gt;"",tblFleet[[#This Row],[Available_h]]&gt;0),tblFleet[[#This Row],[Operating_h]]/tblFleet[[#This Row],[Available_h]],"")</f>
        <v/>
      </c>
    </row>
    <row r="2870">
      <c r="A2870" s="54" t="n"/>
      <c r="B2870" s="61" t="n"/>
      <c r="C2870" s="62" t="n"/>
      <c r="D2870" s="57" t="n"/>
      <c r="E2870" s="57" t="n"/>
      <c r="F2870" s="58" t="n"/>
      <c r="G2870" s="66">
        <f>IF(tblFleet[[#This Row],[Units]]="","",tblFleet[[#This Row],[Units]]*cfg_HoursPerDay)</f>
        <v/>
      </c>
      <c r="H2870" s="66">
        <f>IF(tblFleet[[#This Row],[Units]]="","",tblFleet[[#This Row],[Calendar_h]]-tblFleet[[#This Row],[Down_h]])</f>
        <v/>
      </c>
      <c r="I2870" s="60">
        <f>IF(AND(tblFleet[[#This Row],[Units]]&lt;&gt;"",tblFleet[[#This Row],[Calendar_h]]&gt;0),tblFleet[[#This Row],[Available_h]]/tblFleet[[#This Row],[Calendar_h]],"")</f>
        <v/>
      </c>
      <c r="J2870" s="60">
        <f>IF(AND(tblFleet[[#This Row],[Units]]&lt;&gt;"",tblFleet[[#This Row],[Available_h]]&gt;0),tblFleet[[#This Row],[Operating_h]]/tblFleet[[#This Row],[Available_h]],"")</f>
        <v/>
      </c>
    </row>
    <row r="2871">
      <c r="A2871" s="54" t="n"/>
      <c r="B2871" s="61" t="n"/>
      <c r="C2871" s="62" t="n"/>
      <c r="D2871" s="57" t="n"/>
      <c r="E2871" s="57" t="n"/>
      <c r="F2871" s="58" t="n"/>
      <c r="G2871" s="66">
        <f>IF(tblFleet[[#This Row],[Units]]="","",tblFleet[[#This Row],[Units]]*cfg_HoursPerDay)</f>
        <v/>
      </c>
      <c r="H2871" s="66">
        <f>IF(tblFleet[[#This Row],[Units]]="","",tblFleet[[#This Row],[Calendar_h]]-tblFleet[[#This Row],[Down_h]])</f>
        <v/>
      </c>
      <c r="I2871" s="60">
        <f>IF(AND(tblFleet[[#This Row],[Units]]&lt;&gt;"",tblFleet[[#This Row],[Calendar_h]]&gt;0),tblFleet[[#This Row],[Available_h]]/tblFleet[[#This Row],[Calendar_h]],"")</f>
        <v/>
      </c>
      <c r="J2871" s="60">
        <f>IF(AND(tblFleet[[#This Row],[Units]]&lt;&gt;"",tblFleet[[#This Row],[Available_h]]&gt;0),tblFleet[[#This Row],[Operating_h]]/tblFleet[[#This Row],[Available_h]],"")</f>
        <v/>
      </c>
    </row>
    <row r="2872">
      <c r="A2872" s="54" t="n"/>
      <c r="B2872" s="61" t="n"/>
      <c r="C2872" s="62" t="n"/>
      <c r="D2872" s="57" t="n"/>
      <c r="E2872" s="57" t="n"/>
      <c r="F2872" s="58" t="n"/>
      <c r="G2872" s="66">
        <f>IF(tblFleet[[#This Row],[Units]]="","",tblFleet[[#This Row],[Units]]*cfg_HoursPerDay)</f>
        <v/>
      </c>
      <c r="H2872" s="66">
        <f>IF(tblFleet[[#This Row],[Units]]="","",tblFleet[[#This Row],[Calendar_h]]-tblFleet[[#This Row],[Down_h]])</f>
        <v/>
      </c>
      <c r="I2872" s="60">
        <f>IF(AND(tblFleet[[#This Row],[Units]]&lt;&gt;"",tblFleet[[#This Row],[Calendar_h]]&gt;0),tblFleet[[#This Row],[Available_h]]/tblFleet[[#This Row],[Calendar_h]],"")</f>
        <v/>
      </c>
      <c r="J2872" s="60">
        <f>IF(AND(tblFleet[[#This Row],[Units]]&lt;&gt;"",tblFleet[[#This Row],[Available_h]]&gt;0),tblFleet[[#This Row],[Operating_h]]/tblFleet[[#This Row],[Available_h]],"")</f>
        <v/>
      </c>
    </row>
    <row r="2873">
      <c r="A2873" s="54" t="n"/>
      <c r="B2873" s="61" t="n"/>
      <c r="C2873" s="62" t="n"/>
      <c r="D2873" s="57" t="n"/>
      <c r="E2873" s="57" t="n"/>
      <c r="F2873" s="58" t="n"/>
      <c r="G2873" s="66">
        <f>IF(tblFleet[[#This Row],[Units]]="","",tblFleet[[#This Row],[Units]]*cfg_HoursPerDay)</f>
        <v/>
      </c>
      <c r="H2873" s="66">
        <f>IF(tblFleet[[#This Row],[Units]]="","",tblFleet[[#This Row],[Calendar_h]]-tblFleet[[#This Row],[Down_h]])</f>
        <v/>
      </c>
      <c r="I2873" s="60">
        <f>IF(AND(tblFleet[[#This Row],[Units]]&lt;&gt;"",tblFleet[[#This Row],[Calendar_h]]&gt;0),tblFleet[[#This Row],[Available_h]]/tblFleet[[#This Row],[Calendar_h]],"")</f>
        <v/>
      </c>
      <c r="J2873" s="60">
        <f>IF(AND(tblFleet[[#This Row],[Units]]&lt;&gt;"",tblFleet[[#This Row],[Available_h]]&gt;0),tblFleet[[#This Row],[Operating_h]]/tblFleet[[#This Row],[Available_h]],"")</f>
        <v/>
      </c>
    </row>
    <row r="2874">
      <c r="A2874" s="54" t="n"/>
      <c r="B2874" s="61" t="n"/>
      <c r="C2874" s="62" t="n"/>
      <c r="D2874" s="57" t="n"/>
      <c r="E2874" s="57" t="n"/>
      <c r="F2874" s="58" t="n"/>
      <c r="G2874" s="66">
        <f>IF(tblFleet[[#This Row],[Units]]="","",tblFleet[[#This Row],[Units]]*cfg_HoursPerDay)</f>
        <v/>
      </c>
      <c r="H2874" s="66">
        <f>IF(tblFleet[[#This Row],[Units]]="","",tblFleet[[#This Row],[Calendar_h]]-tblFleet[[#This Row],[Down_h]])</f>
        <v/>
      </c>
      <c r="I2874" s="60">
        <f>IF(AND(tblFleet[[#This Row],[Units]]&lt;&gt;"",tblFleet[[#This Row],[Calendar_h]]&gt;0),tblFleet[[#This Row],[Available_h]]/tblFleet[[#This Row],[Calendar_h]],"")</f>
        <v/>
      </c>
      <c r="J2874" s="60">
        <f>IF(AND(tblFleet[[#This Row],[Units]]&lt;&gt;"",tblFleet[[#This Row],[Available_h]]&gt;0),tblFleet[[#This Row],[Operating_h]]/tblFleet[[#This Row],[Available_h]],"")</f>
        <v/>
      </c>
    </row>
    <row r="2875">
      <c r="A2875" s="54" t="n"/>
      <c r="B2875" s="61" t="n"/>
      <c r="C2875" s="62" t="n"/>
      <c r="D2875" s="57" t="n"/>
      <c r="E2875" s="57" t="n"/>
      <c r="F2875" s="58" t="n"/>
      <c r="G2875" s="66">
        <f>IF(tblFleet[[#This Row],[Units]]="","",tblFleet[[#This Row],[Units]]*cfg_HoursPerDay)</f>
        <v/>
      </c>
      <c r="H2875" s="66">
        <f>IF(tblFleet[[#This Row],[Units]]="","",tblFleet[[#This Row],[Calendar_h]]-tblFleet[[#This Row],[Down_h]])</f>
        <v/>
      </c>
      <c r="I2875" s="60">
        <f>IF(AND(tblFleet[[#This Row],[Units]]&lt;&gt;"",tblFleet[[#This Row],[Calendar_h]]&gt;0),tblFleet[[#This Row],[Available_h]]/tblFleet[[#This Row],[Calendar_h]],"")</f>
        <v/>
      </c>
      <c r="J2875" s="60">
        <f>IF(AND(tblFleet[[#This Row],[Units]]&lt;&gt;"",tblFleet[[#This Row],[Available_h]]&gt;0),tblFleet[[#This Row],[Operating_h]]/tblFleet[[#This Row],[Available_h]],"")</f>
        <v/>
      </c>
    </row>
    <row r="2876">
      <c r="A2876" s="54" t="n"/>
      <c r="B2876" s="61" t="n"/>
      <c r="C2876" s="62" t="n"/>
      <c r="D2876" s="57" t="n"/>
      <c r="E2876" s="57" t="n"/>
      <c r="F2876" s="58" t="n"/>
      <c r="G2876" s="66">
        <f>IF(tblFleet[[#This Row],[Units]]="","",tblFleet[[#This Row],[Units]]*cfg_HoursPerDay)</f>
        <v/>
      </c>
      <c r="H2876" s="66">
        <f>IF(tblFleet[[#This Row],[Units]]="","",tblFleet[[#This Row],[Calendar_h]]-tblFleet[[#This Row],[Down_h]])</f>
        <v/>
      </c>
      <c r="I2876" s="60">
        <f>IF(AND(tblFleet[[#This Row],[Units]]&lt;&gt;"",tblFleet[[#This Row],[Calendar_h]]&gt;0),tblFleet[[#This Row],[Available_h]]/tblFleet[[#This Row],[Calendar_h]],"")</f>
        <v/>
      </c>
      <c r="J2876" s="60">
        <f>IF(AND(tblFleet[[#This Row],[Units]]&lt;&gt;"",tblFleet[[#This Row],[Available_h]]&gt;0),tblFleet[[#This Row],[Operating_h]]/tblFleet[[#This Row],[Available_h]],"")</f>
        <v/>
      </c>
    </row>
    <row r="2877">
      <c r="A2877" s="54" t="n"/>
      <c r="B2877" s="61" t="n"/>
      <c r="C2877" s="62" t="n"/>
      <c r="D2877" s="57" t="n"/>
      <c r="E2877" s="57" t="n"/>
      <c r="F2877" s="58" t="n"/>
      <c r="G2877" s="66">
        <f>IF(tblFleet[[#This Row],[Units]]="","",tblFleet[[#This Row],[Units]]*cfg_HoursPerDay)</f>
        <v/>
      </c>
      <c r="H2877" s="66">
        <f>IF(tblFleet[[#This Row],[Units]]="","",tblFleet[[#This Row],[Calendar_h]]-tblFleet[[#This Row],[Down_h]])</f>
        <v/>
      </c>
      <c r="I2877" s="60">
        <f>IF(AND(tblFleet[[#This Row],[Units]]&lt;&gt;"",tblFleet[[#This Row],[Calendar_h]]&gt;0),tblFleet[[#This Row],[Available_h]]/tblFleet[[#This Row],[Calendar_h]],"")</f>
        <v/>
      </c>
      <c r="J2877" s="60">
        <f>IF(AND(tblFleet[[#This Row],[Units]]&lt;&gt;"",tblFleet[[#This Row],[Available_h]]&gt;0),tblFleet[[#This Row],[Operating_h]]/tblFleet[[#This Row],[Available_h]],"")</f>
        <v/>
      </c>
    </row>
    <row r="2878">
      <c r="A2878" s="54" t="n"/>
      <c r="B2878" s="61" t="n"/>
      <c r="C2878" s="62" t="n"/>
      <c r="D2878" s="57" t="n"/>
      <c r="E2878" s="57" t="n"/>
      <c r="F2878" s="58" t="n"/>
      <c r="G2878" s="66">
        <f>IF(tblFleet[[#This Row],[Units]]="","",tblFleet[[#This Row],[Units]]*cfg_HoursPerDay)</f>
        <v/>
      </c>
      <c r="H2878" s="66">
        <f>IF(tblFleet[[#This Row],[Units]]="","",tblFleet[[#This Row],[Calendar_h]]-tblFleet[[#This Row],[Down_h]])</f>
        <v/>
      </c>
      <c r="I2878" s="60">
        <f>IF(AND(tblFleet[[#This Row],[Units]]&lt;&gt;"",tblFleet[[#This Row],[Calendar_h]]&gt;0),tblFleet[[#This Row],[Available_h]]/tblFleet[[#This Row],[Calendar_h]],"")</f>
        <v/>
      </c>
      <c r="J2878" s="60">
        <f>IF(AND(tblFleet[[#This Row],[Units]]&lt;&gt;"",tblFleet[[#This Row],[Available_h]]&gt;0),tblFleet[[#This Row],[Operating_h]]/tblFleet[[#This Row],[Available_h]],"")</f>
        <v/>
      </c>
    </row>
    <row r="2879">
      <c r="A2879" s="54" t="n"/>
      <c r="B2879" s="61" t="n"/>
      <c r="C2879" s="62" t="n"/>
      <c r="D2879" s="57" t="n"/>
      <c r="E2879" s="57" t="n"/>
      <c r="F2879" s="58" t="n"/>
      <c r="G2879" s="66">
        <f>IF(tblFleet[[#This Row],[Units]]="","",tblFleet[[#This Row],[Units]]*cfg_HoursPerDay)</f>
        <v/>
      </c>
      <c r="H2879" s="66">
        <f>IF(tblFleet[[#This Row],[Units]]="","",tblFleet[[#This Row],[Calendar_h]]-tblFleet[[#This Row],[Down_h]])</f>
        <v/>
      </c>
      <c r="I2879" s="60">
        <f>IF(AND(tblFleet[[#This Row],[Units]]&lt;&gt;"",tblFleet[[#This Row],[Calendar_h]]&gt;0),tblFleet[[#This Row],[Available_h]]/tblFleet[[#This Row],[Calendar_h]],"")</f>
        <v/>
      </c>
      <c r="J2879" s="60">
        <f>IF(AND(tblFleet[[#This Row],[Units]]&lt;&gt;"",tblFleet[[#This Row],[Available_h]]&gt;0),tblFleet[[#This Row],[Operating_h]]/tblFleet[[#This Row],[Available_h]],"")</f>
        <v/>
      </c>
    </row>
    <row r="2880">
      <c r="A2880" s="54" t="n"/>
      <c r="B2880" s="61" t="n"/>
      <c r="C2880" s="62" t="n"/>
      <c r="D2880" s="57" t="n"/>
      <c r="E2880" s="57" t="n"/>
      <c r="F2880" s="58" t="n"/>
      <c r="G2880" s="66">
        <f>IF(tblFleet[[#This Row],[Units]]="","",tblFleet[[#This Row],[Units]]*cfg_HoursPerDay)</f>
        <v/>
      </c>
      <c r="H2880" s="66">
        <f>IF(tblFleet[[#This Row],[Units]]="","",tblFleet[[#This Row],[Calendar_h]]-tblFleet[[#This Row],[Down_h]])</f>
        <v/>
      </c>
      <c r="I2880" s="60">
        <f>IF(AND(tblFleet[[#This Row],[Units]]&lt;&gt;"",tblFleet[[#This Row],[Calendar_h]]&gt;0),tblFleet[[#This Row],[Available_h]]/tblFleet[[#This Row],[Calendar_h]],"")</f>
        <v/>
      </c>
      <c r="J2880" s="60">
        <f>IF(AND(tblFleet[[#This Row],[Units]]&lt;&gt;"",tblFleet[[#This Row],[Available_h]]&gt;0),tblFleet[[#This Row],[Operating_h]]/tblFleet[[#This Row],[Available_h]],"")</f>
        <v/>
      </c>
    </row>
    <row r="2881">
      <c r="A2881" s="54" t="n"/>
      <c r="B2881" s="61" t="n"/>
      <c r="C2881" s="62" t="n"/>
      <c r="D2881" s="57" t="n"/>
      <c r="E2881" s="57" t="n"/>
      <c r="F2881" s="58" t="n"/>
      <c r="G2881" s="66">
        <f>IF(tblFleet[[#This Row],[Units]]="","",tblFleet[[#This Row],[Units]]*cfg_HoursPerDay)</f>
        <v/>
      </c>
      <c r="H2881" s="66">
        <f>IF(tblFleet[[#This Row],[Units]]="","",tblFleet[[#This Row],[Calendar_h]]-tblFleet[[#This Row],[Down_h]])</f>
        <v/>
      </c>
      <c r="I2881" s="60">
        <f>IF(AND(tblFleet[[#This Row],[Units]]&lt;&gt;"",tblFleet[[#This Row],[Calendar_h]]&gt;0),tblFleet[[#This Row],[Available_h]]/tblFleet[[#This Row],[Calendar_h]],"")</f>
        <v/>
      </c>
      <c r="J2881" s="60">
        <f>IF(AND(tblFleet[[#This Row],[Units]]&lt;&gt;"",tblFleet[[#This Row],[Available_h]]&gt;0),tblFleet[[#This Row],[Operating_h]]/tblFleet[[#This Row],[Available_h]],"")</f>
        <v/>
      </c>
    </row>
    <row r="2882">
      <c r="A2882" s="54" t="n"/>
      <c r="B2882" s="61" t="n"/>
      <c r="C2882" s="62" t="n"/>
      <c r="D2882" s="57" t="n"/>
      <c r="E2882" s="57" t="n"/>
      <c r="F2882" s="58" t="n"/>
      <c r="G2882" s="66">
        <f>IF(tblFleet[[#This Row],[Units]]="","",tblFleet[[#This Row],[Units]]*cfg_HoursPerDay)</f>
        <v/>
      </c>
      <c r="H2882" s="66">
        <f>IF(tblFleet[[#This Row],[Units]]="","",tblFleet[[#This Row],[Calendar_h]]-tblFleet[[#This Row],[Down_h]])</f>
        <v/>
      </c>
      <c r="I2882" s="60">
        <f>IF(AND(tblFleet[[#This Row],[Units]]&lt;&gt;"",tblFleet[[#This Row],[Calendar_h]]&gt;0),tblFleet[[#This Row],[Available_h]]/tblFleet[[#This Row],[Calendar_h]],"")</f>
        <v/>
      </c>
      <c r="J2882" s="60">
        <f>IF(AND(tblFleet[[#This Row],[Units]]&lt;&gt;"",tblFleet[[#This Row],[Available_h]]&gt;0),tblFleet[[#This Row],[Operating_h]]/tblFleet[[#This Row],[Available_h]],"")</f>
        <v/>
      </c>
    </row>
    <row r="2883">
      <c r="A2883" s="54" t="n"/>
      <c r="B2883" s="61" t="n"/>
      <c r="C2883" s="62" t="n"/>
      <c r="D2883" s="57" t="n"/>
      <c r="E2883" s="57" t="n"/>
      <c r="F2883" s="58" t="n"/>
      <c r="G2883" s="66">
        <f>IF(tblFleet[[#This Row],[Units]]="","",tblFleet[[#This Row],[Units]]*cfg_HoursPerDay)</f>
        <v/>
      </c>
      <c r="H2883" s="66">
        <f>IF(tblFleet[[#This Row],[Units]]="","",tblFleet[[#This Row],[Calendar_h]]-tblFleet[[#This Row],[Down_h]])</f>
        <v/>
      </c>
      <c r="I2883" s="60">
        <f>IF(AND(tblFleet[[#This Row],[Units]]&lt;&gt;"",tblFleet[[#This Row],[Calendar_h]]&gt;0),tblFleet[[#This Row],[Available_h]]/tblFleet[[#This Row],[Calendar_h]],"")</f>
        <v/>
      </c>
      <c r="J2883" s="60">
        <f>IF(AND(tblFleet[[#This Row],[Units]]&lt;&gt;"",tblFleet[[#This Row],[Available_h]]&gt;0),tblFleet[[#This Row],[Operating_h]]/tblFleet[[#This Row],[Available_h]],"")</f>
        <v/>
      </c>
    </row>
    <row r="2884">
      <c r="A2884" s="54" t="n"/>
      <c r="B2884" s="61" t="n"/>
      <c r="C2884" s="62" t="n"/>
      <c r="D2884" s="57" t="n"/>
      <c r="E2884" s="57" t="n"/>
      <c r="F2884" s="58" t="n"/>
      <c r="G2884" s="66">
        <f>IF(tblFleet[[#This Row],[Units]]="","",tblFleet[[#This Row],[Units]]*cfg_HoursPerDay)</f>
        <v/>
      </c>
      <c r="H2884" s="66">
        <f>IF(tblFleet[[#This Row],[Units]]="","",tblFleet[[#This Row],[Calendar_h]]-tblFleet[[#This Row],[Down_h]])</f>
        <v/>
      </c>
      <c r="I2884" s="60">
        <f>IF(AND(tblFleet[[#This Row],[Units]]&lt;&gt;"",tblFleet[[#This Row],[Calendar_h]]&gt;0),tblFleet[[#This Row],[Available_h]]/tblFleet[[#This Row],[Calendar_h]],"")</f>
        <v/>
      </c>
      <c r="J2884" s="60">
        <f>IF(AND(tblFleet[[#This Row],[Units]]&lt;&gt;"",tblFleet[[#This Row],[Available_h]]&gt;0),tblFleet[[#This Row],[Operating_h]]/tblFleet[[#This Row],[Available_h]],"")</f>
        <v/>
      </c>
    </row>
    <row r="2885">
      <c r="A2885" s="54" t="n"/>
      <c r="B2885" s="61" t="n"/>
      <c r="C2885" s="62" t="n"/>
      <c r="D2885" s="57" t="n"/>
      <c r="E2885" s="57" t="n"/>
      <c r="F2885" s="58" t="n"/>
      <c r="G2885" s="66">
        <f>IF(tblFleet[[#This Row],[Units]]="","",tblFleet[[#This Row],[Units]]*cfg_HoursPerDay)</f>
        <v/>
      </c>
      <c r="H2885" s="66">
        <f>IF(tblFleet[[#This Row],[Units]]="","",tblFleet[[#This Row],[Calendar_h]]-tblFleet[[#This Row],[Down_h]])</f>
        <v/>
      </c>
      <c r="I2885" s="60">
        <f>IF(AND(tblFleet[[#This Row],[Units]]&lt;&gt;"",tblFleet[[#This Row],[Calendar_h]]&gt;0),tblFleet[[#This Row],[Available_h]]/tblFleet[[#This Row],[Calendar_h]],"")</f>
        <v/>
      </c>
      <c r="J2885" s="60">
        <f>IF(AND(tblFleet[[#This Row],[Units]]&lt;&gt;"",tblFleet[[#This Row],[Available_h]]&gt;0),tblFleet[[#This Row],[Operating_h]]/tblFleet[[#This Row],[Available_h]],"")</f>
        <v/>
      </c>
    </row>
    <row r="2886">
      <c r="A2886" s="54" t="n"/>
      <c r="B2886" s="61" t="n"/>
      <c r="C2886" s="62" t="n"/>
      <c r="D2886" s="57" t="n"/>
      <c r="E2886" s="57" t="n"/>
      <c r="F2886" s="58" t="n"/>
      <c r="G2886" s="66">
        <f>IF(tblFleet[[#This Row],[Units]]="","",tblFleet[[#This Row],[Units]]*cfg_HoursPerDay)</f>
        <v/>
      </c>
      <c r="H2886" s="66">
        <f>IF(tblFleet[[#This Row],[Units]]="","",tblFleet[[#This Row],[Calendar_h]]-tblFleet[[#This Row],[Down_h]])</f>
        <v/>
      </c>
      <c r="I2886" s="60">
        <f>IF(AND(tblFleet[[#This Row],[Units]]&lt;&gt;"",tblFleet[[#This Row],[Calendar_h]]&gt;0),tblFleet[[#This Row],[Available_h]]/tblFleet[[#This Row],[Calendar_h]],"")</f>
        <v/>
      </c>
      <c r="J2886" s="60">
        <f>IF(AND(tblFleet[[#This Row],[Units]]&lt;&gt;"",tblFleet[[#This Row],[Available_h]]&gt;0),tblFleet[[#This Row],[Operating_h]]/tblFleet[[#This Row],[Available_h]],"")</f>
        <v/>
      </c>
    </row>
    <row r="2887">
      <c r="A2887" s="54" t="n"/>
      <c r="B2887" s="61" t="n"/>
      <c r="C2887" s="62" t="n"/>
      <c r="D2887" s="57" t="n"/>
      <c r="E2887" s="57" t="n"/>
      <c r="F2887" s="58" t="n"/>
      <c r="G2887" s="66">
        <f>IF(tblFleet[[#This Row],[Units]]="","",tblFleet[[#This Row],[Units]]*cfg_HoursPerDay)</f>
        <v/>
      </c>
      <c r="H2887" s="66">
        <f>IF(tblFleet[[#This Row],[Units]]="","",tblFleet[[#This Row],[Calendar_h]]-tblFleet[[#This Row],[Down_h]])</f>
        <v/>
      </c>
      <c r="I2887" s="60">
        <f>IF(AND(tblFleet[[#This Row],[Units]]&lt;&gt;"",tblFleet[[#This Row],[Calendar_h]]&gt;0),tblFleet[[#This Row],[Available_h]]/tblFleet[[#This Row],[Calendar_h]],"")</f>
        <v/>
      </c>
      <c r="J2887" s="60">
        <f>IF(AND(tblFleet[[#This Row],[Units]]&lt;&gt;"",tblFleet[[#This Row],[Available_h]]&gt;0),tblFleet[[#This Row],[Operating_h]]/tblFleet[[#This Row],[Available_h]],"")</f>
        <v/>
      </c>
    </row>
    <row r="2888">
      <c r="A2888" s="54" t="n"/>
      <c r="B2888" s="61" t="n"/>
      <c r="C2888" s="62" t="n"/>
      <c r="D2888" s="57" t="n"/>
      <c r="E2888" s="57" t="n"/>
      <c r="F2888" s="58" t="n"/>
      <c r="G2888" s="66">
        <f>IF(tblFleet[[#This Row],[Units]]="","",tblFleet[[#This Row],[Units]]*cfg_HoursPerDay)</f>
        <v/>
      </c>
      <c r="H2888" s="66">
        <f>IF(tblFleet[[#This Row],[Units]]="","",tblFleet[[#This Row],[Calendar_h]]-tblFleet[[#This Row],[Down_h]])</f>
        <v/>
      </c>
      <c r="I2888" s="60">
        <f>IF(AND(tblFleet[[#This Row],[Units]]&lt;&gt;"",tblFleet[[#This Row],[Calendar_h]]&gt;0),tblFleet[[#This Row],[Available_h]]/tblFleet[[#This Row],[Calendar_h]],"")</f>
        <v/>
      </c>
      <c r="J2888" s="60">
        <f>IF(AND(tblFleet[[#This Row],[Units]]&lt;&gt;"",tblFleet[[#This Row],[Available_h]]&gt;0),tblFleet[[#This Row],[Operating_h]]/tblFleet[[#This Row],[Available_h]],"")</f>
        <v/>
      </c>
    </row>
    <row r="2889">
      <c r="A2889" s="54" t="n"/>
      <c r="B2889" s="61" t="n"/>
      <c r="C2889" s="62" t="n"/>
      <c r="D2889" s="57" t="n"/>
      <c r="E2889" s="57" t="n"/>
      <c r="F2889" s="58" t="n"/>
      <c r="G2889" s="66">
        <f>IF(tblFleet[[#This Row],[Units]]="","",tblFleet[[#This Row],[Units]]*cfg_HoursPerDay)</f>
        <v/>
      </c>
      <c r="H2889" s="66">
        <f>IF(tblFleet[[#This Row],[Units]]="","",tblFleet[[#This Row],[Calendar_h]]-tblFleet[[#This Row],[Down_h]])</f>
        <v/>
      </c>
      <c r="I2889" s="60">
        <f>IF(AND(tblFleet[[#This Row],[Units]]&lt;&gt;"",tblFleet[[#This Row],[Calendar_h]]&gt;0),tblFleet[[#This Row],[Available_h]]/tblFleet[[#This Row],[Calendar_h]],"")</f>
        <v/>
      </c>
      <c r="J2889" s="60">
        <f>IF(AND(tblFleet[[#This Row],[Units]]&lt;&gt;"",tblFleet[[#This Row],[Available_h]]&gt;0),tblFleet[[#This Row],[Operating_h]]/tblFleet[[#This Row],[Available_h]],"")</f>
        <v/>
      </c>
    </row>
    <row r="2890">
      <c r="A2890" s="54" t="n"/>
      <c r="B2890" s="61" t="n"/>
      <c r="C2890" s="62" t="n"/>
      <c r="D2890" s="57" t="n"/>
      <c r="E2890" s="57" t="n"/>
      <c r="F2890" s="58" t="n"/>
      <c r="G2890" s="66">
        <f>IF(tblFleet[[#This Row],[Units]]="","",tblFleet[[#This Row],[Units]]*cfg_HoursPerDay)</f>
        <v/>
      </c>
      <c r="H2890" s="66">
        <f>IF(tblFleet[[#This Row],[Units]]="","",tblFleet[[#This Row],[Calendar_h]]-tblFleet[[#This Row],[Down_h]])</f>
        <v/>
      </c>
      <c r="I2890" s="60">
        <f>IF(AND(tblFleet[[#This Row],[Units]]&lt;&gt;"",tblFleet[[#This Row],[Calendar_h]]&gt;0),tblFleet[[#This Row],[Available_h]]/tblFleet[[#This Row],[Calendar_h]],"")</f>
        <v/>
      </c>
      <c r="J2890" s="60">
        <f>IF(AND(tblFleet[[#This Row],[Units]]&lt;&gt;"",tblFleet[[#This Row],[Available_h]]&gt;0),tblFleet[[#This Row],[Operating_h]]/tblFleet[[#This Row],[Available_h]],"")</f>
        <v/>
      </c>
    </row>
    <row r="2891">
      <c r="A2891" s="54" t="n"/>
      <c r="B2891" s="61" t="n"/>
      <c r="C2891" s="62" t="n"/>
      <c r="D2891" s="57" t="n"/>
      <c r="E2891" s="57" t="n"/>
      <c r="F2891" s="58" t="n"/>
      <c r="G2891" s="66">
        <f>IF(tblFleet[[#This Row],[Units]]="","",tblFleet[[#This Row],[Units]]*cfg_HoursPerDay)</f>
        <v/>
      </c>
      <c r="H2891" s="66">
        <f>IF(tblFleet[[#This Row],[Units]]="","",tblFleet[[#This Row],[Calendar_h]]-tblFleet[[#This Row],[Down_h]])</f>
        <v/>
      </c>
      <c r="I2891" s="60">
        <f>IF(AND(tblFleet[[#This Row],[Units]]&lt;&gt;"",tblFleet[[#This Row],[Calendar_h]]&gt;0),tblFleet[[#This Row],[Available_h]]/tblFleet[[#This Row],[Calendar_h]],"")</f>
        <v/>
      </c>
      <c r="J2891" s="60">
        <f>IF(AND(tblFleet[[#This Row],[Units]]&lt;&gt;"",tblFleet[[#This Row],[Available_h]]&gt;0),tblFleet[[#This Row],[Operating_h]]/tblFleet[[#This Row],[Available_h]],"")</f>
        <v/>
      </c>
    </row>
    <row r="2892">
      <c r="A2892" s="54" t="n"/>
      <c r="B2892" s="61" t="n"/>
      <c r="C2892" s="62" t="n"/>
      <c r="D2892" s="57" t="n"/>
      <c r="E2892" s="57" t="n"/>
      <c r="F2892" s="58" t="n"/>
      <c r="G2892" s="66">
        <f>IF(tblFleet[[#This Row],[Units]]="","",tblFleet[[#This Row],[Units]]*cfg_HoursPerDay)</f>
        <v/>
      </c>
      <c r="H2892" s="66">
        <f>IF(tblFleet[[#This Row],[Units]]="","",tblFleet[[#This Row],[Calendar_h]]-tblFleet[[#This Row],[Down_h]])</f>
        <v/>
      </c>
      <c r="I2892" s="60">
        <f>IF(AND(tblFleet[[#This Row],[Units]]&lt;&gt;"",tblFleet[[#This Row],[Calendar_h]]&gt;0),tblFleet[[#This Row],[Available_h]]/tblFleet[[#This Row],[Calendar_h]],"")</f>
        <v/>
      </c>
      <c r="J2892" s="60">
        <f>IF(AND(tblFleet[[#This Row],[Units]]&lt;&gt;"",tblFleet[[#This Row],[Available_h]]&gt;0),tblFleet[[#This Row],[Operating_h]]/tblFleet[[#This Row],[Available_h]],"")</f>
        <v/>
      </c>
    </row>
    <row r="2893">
      <c r="A2893" s="54" t="n"/>
      <c r="B2893" s="61" t="n"/>
      <c r="C2893" s="62" t="n"/>
      <c r="D2893" s="57" t="n"/>
      <c r="E2893" s="57" t="n"/>
      <c r="F2893" s="58" t="n"/>
      <c r="G2893" s="66">
        <f>IF(tblFleet[[#This Row],[Units]]="","",tblFleet[[#This Row],[Units]]*cfg_HoursPerDay)</f>
        <v/>
      </c>
      <c r="H2893" s="66">
        <f>IF(tblFleet[[#This Row],[Units]]="","",tblFleet[[#This Row],[Calendar_h]]-tblFleet[[#This Row],[Down_h]])</f>
        <v/>
      </c>
      <c r="I2893" s="60">
        <f>IF(AND(tblFleet[[#This Row],[Units]]&lt;&gt;"",tblFleet[[#This Row],[Calendar_h]]&gt;0),tblFleet[[#This Row],[Available_h]]/tblFleet[[#This Row],[Calendar_h]],"")</f>
        <v/>
      </c>
      <c r="J2893" s="60">
        <f>IF(AND(tblFleet[[#This Row],[Units]]&lt;&gt;"",tblFleet[[#This Row],[Available_h]]&gt;0),tblFleet[[#This Row],[Operating_h]]/tblFleet[[#This Row],[Available_h]],"")</f>
        <v/>
      </c>
    </row>
    <row r="2894">
      <c r="A2894" s="54" t="n"/>
      <c r="B2894" s="61" t="n"/>
      <c r="C2894" s="62" t="n"/>
      <c r="D2894" s="57" t="n"/>
      <c r="E2894" s="57" t="n"/>
      <c r="F2894" s="58" t="n"/>
      <c r="G2894" s="66">
        <f>IF(tblFleet[[#This Row],[Units]]="","",tblFleet[[#This Row],[Units]]*cfg_HoursPerDay)</f>
        <v/>
      </c>
      <c r="H2894" s="66">
        <f>IF(tblFleet[[#This Row],[Units]]="","",tblFleet[[#This Row],[Calendar_h]]-tblFleet[[#This Row],[Down_h]])</f>
        <v/>
      </c>
      <c r="I2894" s="60">
        <f>IF(AND(tblFleet[[#This Row],[Units]]&lt;&gt;"",tblFleet[[#This Row],[Calendar_h]]&gt;0),tblFleet[[#This Row],[Available_h]]/tblFleet[[#This Row],[Calendar_h]],"")</f>
        <v/>
      </c>
      <c r="J2894" s="60">
        <f>IF(AND(tblFleet[[#This Row],[Units]]&lt;&gt;"",tblFleet[[#This Row],[Available_h]]&gt;0),tblFleet[[#This Row],[Operating_h]]/tblFleet[[#This Row],[Available_h]],"")</f>
        <v/>
      </c>
    </row>
    <row r="2895">
      <c r="A2895" s="54" t="n"/>
      <c r="B2895" s="61" t="n"/>
      <c r="C2895" s="62" t="n"/>
      <c r="D2895" s="57" t="n"/>
      <c r="E2895" s="57" t="n"/>
      <c r="F2895" s="58" t="n"/>
      <c r="G2895" s="66">
        <f>IF(tblFleet[[#This Row],[Units]]="","",tblFleet[[#This Row],[Units]]*cfg_HoursPerDay)</f>
        <v/>
      </c>
      <c r="H2895" s="66">
        <f>IF(tblFleet[[#This Row],[Units]]="","",tblFleet[[#This Row],[Calendar_h]]-tblFleet[[#This Row],[Down_h]])</f>
        <v/>
      </c>
      <c r="I2895" s="60">
        <f>IF(AND(tblFleet[[#This Row],[Units]]&lt;&gt;"",tblFleet[[#This Row],[Calendar_h]]&gt;0),tblFleet[[#This Row],[Available_h]]/tblFleet[[#This Row],[Calendar_h]],"")</f>
        <v/>
      </c>
      <c r="J2895" s="60">
        <f>IF(AND(tblFleet[[#This Row],[Units]]&lt;&gt;"",tblFleet[[#This Row],[Available_h]]&gt;0),tblFleet[[#This Row],[Operating_h]]/tblFleet[[#This Row],[Available_h]],"")</f>
        <v/>
      </c>
    </row>
    <row r="2896">
      <c r="A2896" s="54" t="n"/>
      <c r="B2896" s="61" t="n"/>
      <c r="C2896" s="62" t="n"/>
      <c r="D2896" s="57" t="n"/>
      <c r="E2896" s="57" t="n"/>
      <c r="F2896" s="58" t="n"/>
      <c r="G2896" s="66">
        <f>IF(tblFleet[[#This Row],[Units]]="","",tblFleet[[#This Row],[Units]]*cfg_HoursPerDay)</f>
        <v/>
      </c>
      <c r="H2896" s="66">
        <f>IF(tblFleet[[#This Row],[Units]]="","",tblFleet[[#This Row],[Calendar_h]]-tblFleet[[#This Row],[Down_h]])</f>
        <v/>
      </c>
      <c r="I2896" s="60">
        <f>IF(AND(tblFleet[[#This Row],[Units]]&lt;&gt;"",tblFleet[[#This Row],[Calendar_h]]&gt;0),tblFleet[[#This Row],[Available_h]]/tblFleet[[#This Row],[Calendar_h]],"")</f>
        <v/>
      </c>
      <c r="J2896" s="60">
        <f>IF(AND(tblFleet[[#This Row],[Units]]&lt;&gt;"",tblFleet[[#This Row],[Available_h]]&gt;0),tblFleet[[#This Row],[Operating_h]]/tblFleet[[#This Row],[Available_h]],"")</f>
        <v/>
      </c>
    </row>
    <row r="2897">
      <c r="A2897" s="54" t="n"/>
      <c r="B2897" s="61" t="n"/>
      <c r="C2897" s="62" t="n"/>
      <c r="D2897" s="57" t="n"/>
      <c r="E2897" s="57" t="n"/>
      <c r="F2897" s="58" t="n"/>
      <c r="G2897" s="66">
        <f>IF(tblFleet[[#This Row],[Units]]="","",tblFleet[[#This Row],[Units]]*cfg_HoursPerDay)</f>
        <v/>
      </c>
      <c r="H2897" s="66">
        <f>IF(tblFleet[[#This Row],[Units]]="","",tblFleet[[#This Row],[Calendar_h]]-tblFleet[[#This Row],[Down_h]])</f>
        <v/>
      </c>
      <c r="I2897" s="60">
        <f>IF(AND(tblFleet[[#This Row],[Units]]&lt;&gt;"",tblFleet[[#This Row],[Calendar_h]]&gt;0),tblFleet[[#This Row],[Available_h]]/tblFleet[[#This Row],[Calendar_h]],"")</f>
        <v/>
      </c>
      <c r="J2897" s="60">
        <f>IF(AND(tblFleet[[#This Row],[Units]]&lt;&gt;"",tblFleet[[#This Row],[Available_h]]&gt;0),tblFleet[[#This Row],[Operating_h]]/tblFleet[[#This Row],[Available_h]],"")</f>
        <v/>
      </c>
    </row>
    <row r="2898">
      <c r="A2898" s="54" t="n"/>
      <c r="B2898" s="61" t="n"/>
      <c r="C2898" s="62" t="n"/>
      <c r="D2898" s="57" t="n"/>
      <c r="E2898" s="57" t="n"/>
      <c r="F2898" s="58" t="n"/>
      <c r="G2898" s="66">
        <f>IF(tblFleet[[#This Row],[Units]]="","",tblFleet[[#This Row],[Units]]*cfg_HoursPerDay)</f>
        <v/>
      </c>
      <c r="H2898" s="66">
        <f>IF(tblFleet[[#This Row],[Units]]="","",tblFleet[[#This Row],[Calendar_h]]-tblFleet[[#This Row],[Down_h]])</f>
        <v/>
      </c>
      <c r="I2898" s="60">
        <f>IF(AND(tblFleet[[#This Row],[Units]]&lt;&gt;"",tblFleet[[#This Row],[Calendar_h]]&gt;0),tblFleet[[#This Row],[Available_h]]/tblFleet[[#This Row],[Calendar_h]],"")</f>
        <v/>
      </c>
      <c r="J2898" s="60">
        <f>IF(AND(tblFleet[[#This Row],[Units]]&lt;&gt;"",tblFleet[[#This Row],[Available_h]]&gt;0),tblFleet[[#This Row],[Operating_h]]/tblFleet[[#This Row],[Available_h]],"")</f>
        <v/>
      </c>
    </row>
    <row r="2899">
      <c r="A2899" s="54" t="n"/>
      <c r="B2899" s="61" t="n"/>
      <c r="C2899" s="62" t="n"/>
      <c r="D2899" s="57" t="n"/>
      <c r="E2899" s="57" t="n"/>
      <c r="F2899" s="58" t="n"/>
      <c r="G2899" s="66">
        <f>IF(tblFleet[[#This Row],[Units]]="","",tblFleet[[#This Row],[Units]]*cfg_HoursPerDay)</f>
        <v/>
      </c>
      <c r="H2899" s="66">
        <f>IF(tblFleet[[#This Row],[Units]]="","",tblFleet[[#This Row],[Calendar_h]]-tblFleet[[#This Row],[Down_h]])</f>
        <v/>
      </c>
      <c r="I2899" s="60">
        <f>IF(AND(tblFleet[[#This Row],[Units]]&lt;&gt;"",tblFleet[[#This Row],[Calendar_h]]&gt;0),tblFleet[[#This Row],[Available_h]]/tblFleet[[#This Row],[Calendar_h]],"")</f>
        <v/>
      </c>
      <c r="J2899" s="60">
        <f>IF(AND(tblFleet[[#This Row],[Units]]&lt;&gt;"",tblFleet[[#This Row],[Available_h]]&gt;0),tblFleet[[#This Row],[Operating_h]]/tblFleet[[#This Row],[Available_h]],"")</f>
        <v/>
      </c>
    </row>
    <row r="2900">
      <c r="A2900" s="54" t="n"/>
      <c r="B2900" s="61" t="n"/>
      <c r="C2900" s="62" t="n"/>
      <c r="D2900" s="57" t="n"/>
      <c r="E2900" s="57" t="n"/>
      <c r="F2900" s="58" t="n"/>
      <c r="G2900" s="66">
        <f>IF(tblFleet[[#This Row],[Units]]="","",tblFleet[[#This Row],[Units]]*cfg_HoursPerDay)</f>
        <v/>
      </c>
      <c r="H2900" s="66">
        <f>IF(tblFleet[[#This Row],[Units]]="","",tblFleet[[#This Row],[Calendar_h]]-tblFleet[[#This Row],[Down_h]])</f>
        <v/>
      </c>
      <c r="I2900" s="60">
        <f>IF(AND(tblFleet[[#This Row],[Units]]&lt;&gt;"",tblFleet[[#This Row],[Calendar_h]]&gt;0),tblFleet[[#This Row],[Available_h]]/tblFleet[[#This Row],[Calendar_h]],"")</f>
        <v/>
      </c>
      <c r="J2900" s="60">
        <f>IF(AND(tblFleet[[#This Row],[Units]]&lt;&gt;"",tblFleet[[#This Row],[Available_h]]&gt;0),tblFleet[[#This Row],[Operating_h]]/tblFleet[[#This Row],[Available_h]],"")</f>
        <v/>
      </c>
    </row>
    <row r="2901">
      <c r="A2901" s="54" t="n"/>
      <c r="B2901" s="61" t="n"/>
      <c r="C2901" s="62" t="n"/>
      <c r="D2901" s="57" t="n"/>
      <c r="E2901" s="57" t="n"/>
      <c r="F2901" s="58" t="n"/>
      <c r="G2901" s="66">
        <f>IF(tblFleet[[#This Row],[Units]]="","",tblFleet[[#This Row],[Units]]*cfg_HoursPerDay)</f>
        <v/>
      </c>
      <c r="H2901" s="66">
        <f>IF(tblFleet[[#This Row],[Units]]="","",tblFleet[[#This Row],[Calendar_h]]-tblFleet[[#This Row],[Down_h]])</f>
        <v/>
      </c>
      <c r="I2901" s="60">
        <f>IF(AND(tblFleet[[#This Row],[Units]]&lt;&gt;"",tblFleet[[#This Row],[Calendar_h]]&gt;0),tblFleet[[#This Row],[Available_h]]/tblFleet[[#This Row],[Calendar_h]],"")</f>
        <v/>
      </c>
      <c r="J2901" s="60">
        <f>IF(AND(tblFleet[[#This Row],[Units]]&lt;&gt;"",tblFleet[[#This Row],[Available_h]]&gt;0),tblFleet[[#This Row],[Operating_h]]/tblFleet[[#This Row],[Available_h]],"")</f>
        <v/>
      </c>
    </row>
    <row r="2902">
      <c r="A2902" s="54" t="n"/>
      <c r="B2902" s="61" t="n"/>
      <c r="C2902" s="62" t="n"/>
      <c r="D2902" s="57" t="n"/>
      <c r="E2902" s="57" t="n"/>
      <c r="F2902" s="58" t="n"/>
      <c r="G2902" s="66">
        <f>IF(tblFleet[[#This Row],[Units]]="","",tblFleet[[#This Row],[Units]]*cfg_HoursPerDay)</f>
        <v/>
      </c>
      <c r="H2902" s="66">
        <f>IF(tblFleet[[#This Row],[Units]]="","",tblFleet[[#This Row],[Calendar_h]]-tblFleet[[#This Row],[Down_h]])</f>
        <v/>
      </c>
      <c r="I2902" s="60">
        <f>IF(AND(tblFleet[[#This Row],[Units]]&lt;&gt;"",tblFleet[[#This Row],[Calendar_h]]&gt;0),tblFleet[[#This Row],[Available_h]]/tblFleet[[#This Row],[Calendar_h]],"")</f>
        <v/>
      </c>
      <c r="J2902" s="60">
        <f>IF(AND(tblFleet[[#This Row],[Units]]&lt;&gt;"",tblFleet[[#This Row],[Available_h]]&gt;0),tblFleet[[#This Row],[Operating_h]]/tblFleet[[#This Row],[Available_h]],"")</f>
        <v/>
      </c>
    </row>
    <row r="2903">
      <c r="A2903" s="54" t="n"/>
      <c r="B2903" s="61" t="n"/>
      <c r="C2903" s="62" t="n"/>
      <c r="D2903" s="57" t="n"/>
      <c r="E2903" s="57" t="n"/>
      <c r="F2903" s="58" t="n"/>
      <c r="G2903" s="66">
        <f>IF(tblFleet[[#This Row],[Units]]="","",tblFleet[[#This Row],[Units]]*cfg_HoursPerDay)</f>
        <v/>
      </c>
      <c r="H2903" s="66">
        <f>IF(tblFleet[[#This Row],[Units]]="","",tblFleet[[#This Row],[Calendar_h]]-tblFleet[[#This Row],[Down_h]])</f>
        <v/>
      </c>
      <c r="I2903" s="60">
        <f>IF(AND(tblFleet[[#This Row],[Units]]&lt;&gt;"",tblFleet[[#This Row],[Calendar_h]]&gt;0),tblFleet[[#This Row],[Available_h]]/tblFleet[[#This Row],[Calendar_h]],"")</f>
        <v/>
      </c>
      <c r="J2903" s="60">
        <f>IF(AND(tblFleet[[#This Row],[Units]]&lt;&gt;"",tblFleet[[#This Row],[Available_h]]&gt;0),tblFleet[[#This Row],[Operating_h]]/tblFleet[[#This Row],[Available_h]],"")</f>
        <v/>
      </c>
    </row>
    <row r="2904">
      <c r="A2904" s="54" t="n"/>
      <c r="B2904" s="61" t="n"/>
      <c r="C2904" s="62" t="n"/>
      <c r="D2904" s="57" t="n"/>
      <c r="E2904" s="57" t="n"/>
      <c r="F2904" s="58" t="n"/>
      <c r="G2904" s="66">
        <f>IF(tblFleet[[#This Row],[Units]]="","",tblFleet[[#This Row],[Units]]*cfg_HoursPerDay)</f>
        <v/>
      </c>
      <c r="H2904" s="66">
        <f>IF(tblFleet[[#This Row],[Units]]="","",tblFleet[[#This Row],[Calendar_h]]-tblFleet[[#This Row],[Down_h]])</f>
        <v/>
      </c>
      <c r="I2904" s="60">
        <f>IF(AND(tblFleet[[#This Row],[Units]]&lt;&gt;"",tblFleet[[#This Row],[Calendar_h]]&gt;0),tblFleet[[#This Row],[Available_h]]/tblFleet[[#This Row],[Calendar_h]],"")</f>
        <v/>
      </c>
      <c r="J2904" s="60">
        <f>IF(AND(tblFleet[[#This Row],[Units]]&lt;&gt;"",tblFleet[[#This Row],[Available_h]]&gt;0),tblFleet[[#This Row],[Operating_h]]/tblFleet[[#This Row],[Available_h]],"")</f>
        <v/>
      </c>
    </row>
    <row r="2905">
      <c r="A2905" s="54" t="n"/>
      <c r="B2905" s="61" t="n"/>
      <c r="C2905" s="62" t="n"/>
      <c r="D2905" s="57" t="n"/>
      <c r="E2905" s="57" t="n"/>
      <c r="F2905" s="58" t="n"/>
      <c r="G2905" s="66">
        <f>IF(tblFleet[[#This Row],[Units]]="","",tblFleet[[#This Row],[Units]]*cfg_HoursPerDay)</f>
        <v/>
      </c>
      <c r="H2905" s="66">
        <f>IF(tblFleet[[#This Row],[Units]]="","",tblFleet[[#This Row],[Calendar_h]]-tblFleet[[#This Row],[Down_h]])</f>
        <v/>
      </c>
      <c r="I2905" s="60">
        <f>IF(AND(tblFleet[[#This Row],[Units]]&lt;&gt;"",tblFleet[[#This Row],[Calendar_h]]&gt;0),tblFleet[[#This Row],[Available_h]]/tblFleet[[#This Row],[Calendar_h]],"")</f>
        <v/>
      </c>
      <c r="J2905" s="60">
        <f>IF(AND(tblFleet[[#This Row],[Units]]&lt;&gt;"",tblFleet[[#This Row],[Available_h]]&gt;0),tblFleet[[#This Row],[Operating_h]]/tblFleet[[#This Row],[Available_h]],"")</f>
        <v/>
      </c>
    </row>
    <row r="2906">
      <c r="A2906" s="54" t="n"/>
      <c r="B2906" s="61" t="n"/>
      <c r="C2906" s="62" t="n"/>
      <c r="D2906" s="57" t="n"/>
      <c r="E2906" s="57" t="n"/>
      <c r="F2906" s="58" t="n"/>
      <c r="G2906" s="66">
        <f>IF(tblFleet[[#This Row],[Units]]="","",tblFleet[[#This Row],[Units]]*cfg_HoursPerDay)</f>
        <v/>
      </c>
      <c r="H2906" s="66">
        <f>IF(tblFleet[[#This Row],[Units]]="","",tblFleet[[#This Row],[Calendar_h]]-tblFleet[[#This Row],[Down_h]])</f>
        <v/>
      </c>
      <c r="I2906" s="60">
        <f>IF(AND(tblFleet[[#This Row],[Units]]&lt;&gt;"",tblFleet[[#This Row],[Calendar_h]]&gt;0),tblFleet[[#This Row],[Available_h]]/tblFleet[[#This Row],[Calendar_h]],"")</f>
        <v/>
      </c>
      <c r="J2906" s="60">
        <f>IF(AND(tblFleet[[#This Row],[Units]]&lt;&gt;"",tblFleet[[#This Row],[Available_h]]&gt;0),tblFleet[[#This Row],[Operating_h]]/tblFleet[[#This Row],[Available_h]],"")</f>
        <v/>
      </c>
    </row>
    <row r="2907">
      <c r="A2907" s="54" t="n"/>
      <c r="B2907" s="61" t="n"/>
      <c r="C2907" s="62" t="n"/>
      <c r="D2907" s="57" t="n"/>
      <c r="E2907" s="57" t="n"/>
      <c r="F2907" s="58" t="n"/>
      <c r="G2907" s="66">
        <f>IF(tblFleet[[#This Row],[Units]]="","",tblFleet[[#This Row],[Units]]*cfg_HoursPerDay)</f>
        <v/>
      </c>
      <c r="H2907" s="66">
        <f>IF(tblFleet[[#This Row],[Units]]="","",tblFleet[[#This Row],[Calendar_h]]-tblFleet[[#This Row],[Down_h]])</f>
        <v/>
      </c>
      <c r="I2907" s="60">
        <f>IF(AND(tblFleet[[#This Row],[Units]]&lt;&gt;"",tblFleet[[#This Row],[Calendar_h]]&gt;0),tblFleet[[#This Row],[Available_h]]/tblFleet[[#This Row],[Calendar_h]],"")</f>
        <v/>
      </c>
      <c r="J2907" s="60">
        <f>IF(AND(tblFleet[[#This Row],[Units]]&lt;&gt;"",tblFleet[[#This Row],[Available_h]]&gt;0),tblFleet[[#This Row],[Operating_h]]/tblFleet[[#This Row],[Available_h]],"")</f>
        <v/>
      </c>
    </row>
    <row r="2908">
      <c r="A2908" s="54" t="n"/>
      <c r="B2908" s="61" t="n"/>
      <c r="C2908" s="62" t="n"/>
      <c r="D2908" s="57" t="n"/>
      <c r="E2908" s="57" t="n"/>
      <c r="F2908" s="58" t="n"/>
      <c r="G2908" s="66">
        <f>IF(tblFleet[[#This Row],[Units]]="","",tblFleet[[#This Row],[Units]]*cfg_HoursPerDay)</f>
        <v/>
      </c>
      <c r="H2908" s="66">
        <f>IF(tblFleet[[#This Row],[Units]]="","",tblFleet[[#This Row],[Calendar_h]]-tblFleet[[#This Row],[Down_h]])</f>
        <v/>
      </c>
      <c r="I2908" s="60">
        <f>IF(AND(tblFleet[[#This Row],[Units]]&lt;&gt;"",tblFleet[[#This Row],[Calendar_h]]&gt;0),tblFleet[[#This Row],[Available_h]]/tblFleet[[#This Row],[Calendar_h]],"")</f>
        <v/>
      </c>
      <c r="J2908" s="60">
        <f>IF(AND(tblFleet[[#This Row],[Units]]&lt;&gt;"",tblFleet[[#This Row],[Available_h]]&gt;0),tblFleet[[#This Row],[Operating_h]]/tblFleet[[#This Row],[Available_h]],"")</f>
        <v/>
      </c>
    </row>
    <row r="2909">
      <c r="A2909" s="54" t="n"/>
      <c r="B2909" s="61" t="n"/>
      <c r="C2909" s="62" t="n"/>
      <c r="D2909" s="57" t="n"/>
      <c r="E2909" s="57" t="n"/>
      <c r="F2909" s="58" t="n"/>
      <c r="G2909" s="66">
        <f>IF(tblFleet[[#This Row],[Units]]="","",tblFleet[[#This Row],[Units]]*cfg_HoursPerDay)</f>
        <v/>
      </c>
      <c r="H2909" s="66">
        <f>IF(tblFleet[[#This Row],[Units]]="","",tblFleet[[#This Row],[Calendar_h]]-tblFleet[[#This Row],[Down_h]])</f>
        <v/>
      </c>
      <c r="I2909" s="60">
        <f>IF(AND(tblFleet[[#This Row],[Units]]&lt;&gt;"",tblFleet[[#This Row],[Calendar_h]]&gt;0),tblFleet[[#This Row],[Available_h]]/tblFleet[[#This Row],[Calendar_h]],"")</f>
        <v/>
      </c>
      <c r="J2909" s="60">
        <f>IF(AND(tblFleet[[#This Row],[Units]]&lt;&gt;"",tblFleet[[#This Row],[Available_h]]&gt;0),tblFleet[[#This Row],[Operating_h]]/tblFleet[[#This Row],[Available_h]],"")</f>
        <v/>
      </c>
    </row>
    <row r="2910">
      <c r="A2910" s="54" t="n"/>
      <c r="B2910" s="61" t="n"/>
      <c r="C2910" s="62" t="n"/>
      <c r="D2910" s="57" t="n"/>
      <c r="E2910" s="57" t="n"/>
      <c r="F2910" s="58" t="n"/>
      <c r="G2910" s="66">
        <f>IF(tblFleet[[#This Row],[Units]]="","",tblFleet[[#This Row],[Units]]*cfg_HoursPerDay)</f>
        <v/>
      </c>
      <c r="H2910" s="66">
        <f>IF(tblFleet[[#This Row],[Units]]="","",tblFleet[[#This Row],[Calendar_h]]-tblFleet[[#This Row],[Down_h]])</f>
        <v/>
      </c>
      <c r="I2910" s="60">
        <f>IF(AND(tblFleet[[#This Row],[Units]]&lt;&gt;"",tblFleet[[#This Row],[Calendar_h]]&gt;0),tblFleet[[#This Row],[Available_h]]/tblFleet[[#This Row],[Calendar_h]],"")</f>
        <v/>
      </c>
      <c r="J2910" s="60">
        <f>IF(AND(tblFleet[[#This Row],[Units]]&lt;&gt;"",tblFleet[[#This Row],[Available_h]]&gt;0),tblFleet[[#This Row],[Operating_h]]/tblFleet[[#This Row],[Available_h]],"")</f>
        <v/>
      </c>
    </row>
    <row r="2911">
      <c r="A2911" s="54" t="n"/>
      <c r="B2911" s="61" t="n"/>
      <c r="C2911" s="62" t="n"/>
      <c r="D2911" s="57" t="n"/>
      <c r="E2911" s="57" t="n"/>
      <c r="F2911" s="58" t="n"/>
      <c r="G2911" s="66">
        <f>IF(tblFleet[[#This Row],[Units]]="","",tblFleet[[#This Row],[Units]]*cfg_HoursPerDay)</f>
        <v/>
      </c>
      <c r="H2911" s="66">
        <f>IF(tblFleet[[#This Row],[Units]]="","",tblFleet[[#This Row],[Calendar_h]]-tblFleet[[#This Row],[Down_h]])</f>
        <v/>
      </c>
      <c r="I2911" s="60">
        <f>IF(AND(tblFleet[[#This Row],[Units]]&lt;&gt;"",tblFleet[[#This Row],[Calendar_h]]&gt;0),tblFleet[[#This Row],[Available_h]]/tblFleet[[#This Row],[Calendar_h]],"")</f>
        <v/>
      </c>
      <c r="J2911" s="60">
        <f>IF(AND(tblFleet[[#This Row],[Units]]&lt;&gt;"",tblFleet[[#This Row],[Available_h]]&gt;0),tblFleet[[#This Row],[Operating_h]]/tblFleet[[#This Row],[Available_h]],"")</f>
        <v/>
      </c>
    </row>
    <row r="2912">
      <c r="A2912" s="54" t="n"/>
      <c r="B2912" s="61" t="n"/>
      <c r="C2912" s="62" t="n"/>
      <c r="D2912" s="57" t="n"/>
      <c r="E2912" s="57" t="n"/>
      <c r="F2912" s="58" t="n"/>
      <c r="G2912" s="66">
        <f>IF(tblFleet[[#This Row],[Units]]="","",tblFleet[[#This Row],[Units]]*cfg_HoursPerDay)</f>
        <v/>
      </c>
      <c r="H2912" s="66">
        <f>IF(tblFleet[[#This Row],[Units]]="","",tblFleet[[#This Row],[Calendar_h]]-tblFleet[[#This Row],[Down_h]])</f>
        <v/>
      </c>
      <c r="I2912" s="60">
        <f>IF(AND(tblFleet[[#This Row],[Units]]&lt;&gt;"",tblFleet[[#This Row],[Calendar_h]]&gt;0),tblFleet[[#This Row],[Available_h]]/tblFleet[[#This Row],[Calendar_h]],"")</f>
        <v/>
      </c>
      <c r="J2912" s="60">
        <f>IF(AND(tblFleet[[#This Row],[Units]]&lt;&gt;"",tblFleet[[#This Row],[Available_h]]&gt;0),tblFleet[[#This Row],[Operating_h]]/tblFleet[[#This Row],[Available_h]],"")</f>
        <v/>
      </c>
    </row>
    <row r="2913">
      <c r="A2913" s="54" t="n"/>
      <c r="B2913" s="61" t="n"/>
      <c r="C2913" s="62" t="n"/>
      <c r="D2913" s="57" t="n"/>
      <c r="E2913" s="57" t="n"/>
      <c r="F2913" s="58" t="n"/>
      <c r="G2913" s="66">
        <f>IF(tblFleet[[#This Row],[Units]]="","",tblFleet[[#This Row],[Units]]*cfg_HoursPerDay)</f>
        <v/>
      </c>
      <c r="H2913" s="66">
        <f>IF(tblFleet[[#This Row],[Units]]="","",tblFleet[[#This Row],[Calendar_h]]-tblFleet[[#This Row],[Down_h]])</f>
        <v/>
      </c>
      <c r="I2913" s="60">
        <f>IF(AND(tblFleet[[#This Row],[Units]]&lt;&gt;"",tblFleet[[#This Row],[Calendar_h]]&gt;0),tblFleet[[#This Row],[Available_h]]/tblFleet[[#This Row],[Calendar_h]],"")</f>
        <v/>
      </c>
      <c r="J2913" s="60">
        <f>IF(AND(tblFleet[[#This Row],[Units]]&lt;&gt;"",tblFleet[[#This Row],[Available_h]]&gt;0),tblFleet[[#This Row],[Operating_h]]/tblFleet[[#This Row],[Available_h]],"")</f>
        <v/>
      </c>
    </row>
    <row r="2914">
      <c r="A2914" s="54" t="n"/>
      <c r="B2914" s="61" t="n"/>
      <c r="C2914" s="62" t="n"/>
      <c r="D2914" s="57" t="n"/>
      <c r="E2914" s="57" t="n"/>
      <c r="F2914" s="58" t="n"/>
      <c r="G2914" s="66">
        <f>IF(tblFleet[[#This Row],[Units]]="","",tblFleet[[#This Row],[Units]]*cfg_HoursPerDay)</f>
        <v/>
      </c>
      <c r="H2914" s="66">
        <f>IF(tblFleet[[#This Row],[Units]]="","",tblFleet[[#This Row],[Calendar_h]]-tblFleet[[#This Row],[Down_h]])</f>
        <v/>
      </c>
      <c r="I2914" s="60">
        <f>IF(AND(tblFleet[[#This Row],[Units]]&lt;&gt;"",tblFleet[[#This Row],[Calendar_h]]&gt;0),tblFleet[[#This Row],[Available_h]]/tblFleet[[#This Row],[Calendar_h]],"")</f>
        <v/>
      </c>
      <c r="J2914" s="60">
        <f>IF(AND(tblFleet[[#This Row],[Units]]&lt;&gt;"",tblFleet[[#This Row],[Available_h]]&gt;0),tblFleet[[#This Row],[Operating_h]]/tblFleet[[#This Row],[Available_h]],"")</f>
        <v/>
      </c>
    </row>
    <row r="2915">
      <c r="A2915" s="54" t="n"/>
      <c r="B2915" s="61" t="n"/>
      <c r="C2915" s="62" t="n"/>
      <c r="D2915" s="57" t="n"/>
      <c r="E2915" s="57" t="n"/>
      <c r="F2915" s="58" t="n"/>
      <c r="G2915" s="66">
        <f>IF(tblFleet[[#This Row],[Units]]="","",tblFleet[[#This Row],[Units]]*cfg_HoursPerDay)</f>
        <v/>
      </c>
      <c r="H2915" s="66">
        <f>IF(tblFleet[[#This Row],[Units]]="","",tblFleet[[#This Row],[Calendar_h]]-tblFleet[[#This Row],[Down_h]])</f>
        <v/>
      </c>
      <c r="I2915" s="60">
        <f>IF(AND(tblFleet[[#This Row],[Units]]&lt;&gt;"",tblFleet[[#This Row],[Calendar_h]]&gt;0),tblFleet[[#This Row],[Available_h]]/tblFleet[[#This Row],[Calendar_h]],"")</f>
        <v/>
      </c>
      <c r="J2915" s="60">
        <f>IF(AND(tblFleet[[#This Row],[Units]]&lt;&gt;"",tblFleet[[#This Row],[Available_h]]&gt;0),tblFleet[[#This Row],[Operating_h]]/tblFleet[[#This Row],[Available_h]],"")</f>
        <v/>
      </c>
    </row>
    <row r="2916">
      <c r="A2916" s="54" t="n"/>
      <c r="B2916" s="61" t="n"/>
      <c r="C2916" s="62" t="n"/>
      <c r="D2916" s="57" t="n"/>
      <c r="E2916" s="57" t="n"/>
      <c r="F2916" s="58" t="n"/>
      <c r="G2916" s="66">
        <f>IF(tblFleet[[#This Row],[Units]]="","",tblFleet[[#This Row],[Units]]*cfg_HoursPerDay)</f>
        <v/>
      </c>
      <c r="H2916" s="66">
        <f>IF(tblFleet[[#This Row],[Units]]="","",tblFleet[[#This Row],[Calendar_h]]-tblFleet[[#This Row],[Down_h]])</f>
        <v/>
      </c>
      <c r="I2916" s="60">
        <f>IF(AND(tblFleet[[#This Row],[Units]]&lt;&gt;"",tblFleet[[#This Row],[Calendar_h]]&gt;0),tblFleet[[#This Row],[Available_h]]/tblFleet[[#This Row],[Calendar_h]],"")</f>
        <v/>
      </c>
      <c r="J2916" s="60">
        <f>IF(AND(tblFleet[[#This Row],[Units]]&lt;&gt;"",tblFleet[[#This Row],[Available_h]]&gt;0),tblFleet[[#This Row],[Operating_h]]/tblFleet[[#This Row],[Available_h]],"")</f>
        <v/>
      </c>
    </row>
    <row r="2917">
      <c r="A2917" s="54" t="n"/>
      <c r="B2917" s="61" t="n"/>
      <c r="C2917" s="62" t="n"/>
      <c r="D2917" s="57" t="n"/>
      <c r="E2917" s="57" t="n"/>
      <c r="F2917" s="58" t="n"/>
      <c r="G2917" s="66">
        <f>IF(tblFleet[[#This Row],[Units]]="","",tblFleet[[#This Row],[Units]]*cfg_HoursPerDay)</f>
        <v/>
      </c>
      <c r="H2917" s="66">
        <f>IF(tblFleet[[#This Row],[Units]]="","",tblFleet[[#This Row],[Calendar_h]]-tblFleet[[#This Row],[Down_h]])</f>
        <v/>
      </c>
      <c r="I2917" s="60">
        <f>IF(AND(tblFleet[[#This Row],[Units]]&lt;&gt;"",tblFleet[[#This Row],[Calendar_h]]&gt;0),tblFleet[[#This Row],[Available_h]]/tblFleet[[#This Row],[Calendar_h]],"")</f>
        <v/>
      </c>
      <c r="J2917" s="60">
        <f>IF(AND(tblFleet[[#This Row],[Units]]&lt;&gt;"",tblFleet[[#This Row],[Available_h]]&gt;0),tblFleet[[#This Row],[Operating_h]]/tblFleet[[#This Row],[Available_h]],"")</f>
        <v/>
      </c>
    </row>
    <row r="2918">
      <c r="A2918" s="54" t="n"/>
      <c r="B2918" s="61" t="n"/>
      <c r="C2918" s="62" t="n"/>
      <c r="D2918" s="57" t="n"/>
      <c r="E2918" s="57" t="n"/>
      <c r="F2918" s="58" t="n"/>
      <c r="G2918" s="66">
        <f>IF(tblFleet[[#This Row],[Units]]="","",tblFleet[[#This Row],[Units]]*cfg_HoursPerDay)</f>
        <v/>
      </c>
      <c r="H2918" s="66">
        <f>IF(tblFleet[[#This Row],[Units]]="","",tblFleet[[#This Row],[Calendar_h]]-tblFleet[[#This Row],[Down_h]])</f>
        <v/>
      </c>
      <c r="I2918" s="60">
        <f>IF(AND(tblFleet[[#This Row],[Units]]&lt;&gt;"",tblFleet[[#This Row],[Calendar_h]]&gt;0),tblFleet[[#This Row],[Available_h]]/tblFleet[[#This Row],[Calendar_h]],"")</f>
        <v/>
      </c>
      <c r="J2918" s="60">
        <f>IF(AND(tblFleet[[#This Row],[Units]]&lt;&gt;"",tblFleet[[#This Row],[Available_h]]&gt;0),tblFleet[[#This Row],[Operating_h]]/tblFleet[[#This Row],[Available_h]],"")</f>
        <v/>
      </c>
    </row>
    <row r="2919">
      <c r="A2919" s="54" t="n"/>
      <c r="B2919" s="61" t="n"/>
      <c r="C2919" s="62" t="n"/>
      <c r="D2919" s="57" t="n"/>
      <c r="E2919" s="57" t="n"/>
      <c r="F2919" s="58" t="n"/>
      <c r="G2919" s="66">
        <f>IF(tblFleet[[#This Row],[Units]]="","",tblFleet[[#This Row],[Units]]*cfg_HoursPerDay)</f>
        <v/>
      </c>
      <c r="H2919" s="66">
        <f>IF(tblFleet[[#This Row],[Units]]="","",tblFleet[[#This Row],[Calendar_h]]-tblFleet[[#This Row],[Down_h]])</f>
        <v/>
      </c>
      <c r="I2919" s="60">
        <f>IF(AND(tblFleet[[#This Row],[Units]]&lt;&gt;"",tblFleet[[#This Row],[Calendar_h]]&gt;0),tblFleet[[#This Row],[Available_h]]/tblFleet[[#This Row],[Calendar_h]],"")</f>
        <v/>
      </c>
      <c r="J2919" s="60">
        <f>IF(AND(tblFleet[[#This Row],[Units]]&lt;&gt;"",tblFleet[[#This Row],[Available_h]]&gt;0),tblFleet[[#This Row],[Operating_h]]/tblFleet[[#This Row],[Available_h]],"")</f>
        <v/>
      </c>
    </row>
    <row r="2920">
      <c r="A2920" s="54" t="n"/>
      <c r="B2920" s="61" t="n"/>
      <c r="C2920" s="62" t="n"/>
      <c r="D2920" s="57" t="n"/>
      <c r="E2920" s="57" t="n"/>
      <c r="F2920" s="58" t="n"/>
      <c r="G2920" s="66">
        <f>IF(tblFleet[[#This Row],[Units]]="","",tblFleet[[#This Row],[Units]]*cfg_HoursPerDay)</f>
        <v/>
      </c>
      <c r="H2920" s="66">
        <f>IF(tblFleet[[#This Row],[Units]]="","",tblFleet[[#This Row],[Calendar_h]]-tblFleet[[#This Row],[Down_h]])</f>
        <v/>
      </c>
      <c r="I2920" s="60">
        <f>IF(AND(tblFleet[[#This Row],[Units]]&lt;&gt;"",tblFleet[[#This Row],[Calendar_h]]&gt;0),tblFleet[[#This Row],[Available_h]]/tblFleet[[#This Row],[Calendar_h]],"")</f>
        <v/>
      </c>
      <c r="J2920" s="60">
        <f>IF(AND(tblFleet[[#This Row],[Units]]&lt;&gt;"",tblFleet[[#This Row],[Available_h]]&gt;0),tblFleet[[#This Row],[Operating_h]]/tblFleet[[#This Row],[Available_h]],"")</f>
        <v/>
      </c>
    </row>
    <row r="2921">
      <c r="A2921" s="54" t="n"/>
      <c r="B2921" s="61" t="n"/>
      <c r="C2921" s="62" t="n"/>
      <c r="D2921" s="57" t="n"/>
      <c r="E2921" s="57" t="n"/>
      <c r="F2921" s="58" t="n"/>
      <c r="G2921" s="66">
        <f>IF(tblFleet[[#This Row],[Units]]="","",tblFleet[[#This Row],[Units]]*cfg_HoursPerDay)</f>
        <v/>
      </c>
      <c r="H2921" s="66">
        <f>IF(tblFleet[[#This Row],[Units]]="","",tblFleet[[#This Row],[Calendar_h]]-tblFleet[[#This Row],[Down_h]])</f>
        <v/>
      </c>
      <c r="I2921" s="60">
        <f>IF(AND(tblFleet[[#This Row],[Units]]&lt;&gt;"",tblFleet[[#This Row],[Calendar_h]]&gt;0),tblFleet[[#This Row],[Available_h]]/tblFleet[[#This Row],[Calendar_h]],"")</f>
        <v/>
      </c>
      <c r="J2921" s="60">
        <f>IF(AND(tblFleet[[#This Row],[Units]]&lt;&gt;"",tblFleet[[#This Row],[Available_h]]&gt;0),tblFleet[[#This Row],[Operating_h]]/tblFleet[[#This Row],[Available_h]],"")</f>
        <v/>
      </c>
    </row>
    <row r="2922">
      <c r="A2922" s="54" t="n"/>
      <c r="B2922" s="61" t="n"/>
      <c r="C2922" s="62" t="n"/>
      <c r="D2922" s="57" t="n"/>
      <c r="E2922" s="57" t="n"/>
      <c r="F2922" s="58" t="n"/>
      <c r="G2922" s="66">
        <f>IF(tblFleet[[#This Row],[Units]]="","",tblFleet[[#This Row],[Units]]*cfg_HoursPerDay)</f>
        <v/>
      </c>
      <c r="H2922" s="66">
        <f>IF(tblFleet[[#This Row],[Units]]="","",tblFleet[[#This Row],[Calendar_h]]-tblFleet[[#This Row],[Down_h]])</f>
        <v/>
      </c>
      <c r="I2922" s="60">
        <f>IF(AND(tblFleet[[#This Row],[Units]]&lt;&gt;"",tblFleet[[#This Row],[Calendar_h]]&gt;0),tblFleet[[#This Row],[Available_h]]/tblFleet[[#This Row],[Calendar_h]],"")</f>
        <v/>
      </c>
      <c r="J2922" s="60">
        <f>IF(AND(tblFleet[[#This Row],[Units]]&lt;&gt;"",tblFleet[[#This Row],[Available_h]]&gt;0),tblFleet[[#This Row],[Operating_h]]/tblFleet[[#This Row],[Available_h]],"")</f>
        <v/>
      </c>
    </row>
    <row r="2923">
      <c r="A2923" s="54" t="n"/>
      <c r="B2923" s="61" t="n"/>
      <c r="C2923" s="62" t="n"/>
      <c r="D2923" s="57" t="n"/>
      <c r="E2923" s="57" t="n"/>
      <c r="F2923" s="58" t="n"/>
      <c r="G2923" s="66">
        <f>IF(tblFleet[[#This Row],[Units]]="","",tblFleet[[#This Row],[Units]]*cfg_HoursPerDay)</f>
        <v/>
      </c>
      <c r="H2923" s="66">
        <f>IF(tblFleet[[#This Row],[Units]]="","",tblFleet[[#This Row],[Calendar_h]]-tblFleet[[#This Row],[Down_h]])</f>
        <v/>
      </c>
      <c r="I2923" s="60">
        <f>IF(AND(tblFleet[[#This Row],[Units]]&lt;&gt;"",tblFleet[[#This Row],[Calendar_h]]&gt;0),tblFleet[[#This Row],[Available_h]]/tblFleet[[#This Row],[Calendar_h]],"")</f>
        <v/>
      </c>
      <c r="J2923" s="60">
        <f>IF(AND(tblFleet[[#This Row],[Units]]&lt;&gt;"",tblFleet[[#This Row],[Available_h]]&gt;0),tblFleet[[#This Row],[Operating_h]]/tblFleet[[#This Row],[Available_h]],"")</f>
        <v/>
      </c>
    </row>
    <row r="2924">
      <c r="A2924" s="54" t="n"/>
      <c r="B2924" s="61" t="n"/>
      <c r="C2924" s="62" t="n"/>
      <c r="D2924" s="57" t="n"/>
      <c r="E2924" s="57" t="n"/>
      <c r="F2924" s="58" t="n"/>
      <c r="G2924" s="66">
        <f>IF(tblFleet[[#This Row],[Units]]="","",tblFleet[[#This Row],[Units]]*cfg_HoursPerDay)</f>
        <v/>
      </c>
      <c r="H2924" s="66">
        <f>IF(tblFleet[[#This Row],[Units]]="","",tblFleet[[#This Row],[Calendar_h]]-tblFleet[[#This Row],[Down_h]])</f>
        <v/>
      </c>
      <c r="I2924" s="60">
        <f>IF(AND(tblFleet[[#This Row],[Units]]&lt;&gt;"",tblFleet[[#This Row],[Calendar_h]]&gt;0),tblFleet[[#This Row],[Available_h]]/tblFleet[[#This Row],[Calendar_h]],"")</f>
        <v/>
      </c>
      <c r="J2924" s="60">
        <f>IF(AND(tblFleet[[#This Row],[Units]]&lt;&gt;"",tblFleet[[#This Row],[Available_h]]&gt;0),tblFleet[[#This Row],[Operating_h]]/tblFleet[[#This Row],[Available_h]],"")</f>
        <v/>
      </c>
    </row>
    <row r="2925">
      <c r="A2925" s="54" t="n"/>
      <c r="B2925" s="61" t="n"/>
      <c r="C2925" s="62" t="n"/>
      <c r="D2925" s="57" t="n"/>
      <c r="E2925" s="57" t="n"/>
      <c r="F2925" s="58" t="n"/>
      <c r="G2925" s="66">
        <f>IF(tblFleet[[#This Row],[Units]]="","",tblFleet[[#This Row],[Units]]*cfg_HoursPerDay)</f>
        <v/>
      </c>
      <c r="H2925" s="66">
        <f>IF(tblFleet[[#This Row],[Units]]="","",tblFleet[[#This Row],[Calendar_h]]-tblFleet[[#This Row],[Down_h]])</f>
        <v/>
      </c>
      <c r="I2925" s="60">
        <f>IF(AND(tblFleet[[#This Row],[Units]]&lt;&gt;"",tblFleet[[#This Row],[Calendar_h]]&gt;0),tblFleet[[#This Row],[Available_h]]/tblFleet[[#This Row],[Calendar_h]],"")</f>
        <v/>
      </c>
      <c r="J2925" s="60">
        <f>IF(AND(tblFleet[[#This Row],[Units]]&lt;&gt;"",tblFleet[[#This Row],[Available_h]]&gt;0),tblFleet[[#This Row],[Operating_h]]/tblFleet[[#This Row],[Available_h]],"")</f>
        <v/>
      </c>
    </row>
    <row r="2926">
      <c r="A2926" s="54" t="n"/>
      <c r="B2926" s="61" t="n"/>
      <c r="C2926" s="62" t="n"/>
      <c r="D2926" s="57" t="n"/>
      <c r="E2926" s="57" t="n"/>
      <c r="F2926" s="58" t="n"/>
      <c r="G2926" s="66">
        <f>IF(tblFleet[[#This Row],[Units]]="","",tblFleet[[#This Row],[Units]]*cfg_HoursPerDay)</f>
        <v/>
      </c>
      <c r="H2926" s="66">
        <f>IF(tblFleet[[#This Row],[Units]]="","",tblFleet[[#This Row],[Calendar_h]]-tblFleet[[#This Row],[Down_h]])</f>
        <v/>
      </c>
      <c r="I2926" s="60">
        <f>IF(AND(tblFleet[[#This Row],[Units]]&lt;&gt;"",tblFleet[[#This Row],[Calendar_h]]&gt;0),tblFleet[[#This Row],[Available_h]]/tblFleet[[#This Row],[Calendar_h]],"")</f>
        <v/>
      </c>
      <c r="J2926" s="60">
        <f>IF(AND(tblFleet[[#This Row],[Units]]&lt;&gt;"",tblFleet[[#This Row],[Available_h]]&gt;0),tblFleet[[#This Row],[Operating_h]]/tblFleet[[#This Row],[Available_h]],"")</f>
        <v/>
      </c>
    </row>
    <row r="2927">
      <c r="A2927" s="54" t="n"/>
      <c r="B2927" s="61" t="n"/>
      <c r="C2927" s="62" t="n"/>
      <c r="D2927" s="57" t="n"/>
      <c r="E2927" s="57" t="n"/>
      <c r="F2927" s="58" t="n"/>
      <c r="G2927" s="66">
        <f>IF(tblFleet[[#This Row],[Units]]="","",tblFleet[[#This Row],[Units]]*cfg_HoursPerDay)</f>
        <v/>
      </c>
      <c r="H2927" s="66">
        <f>IF(tblFleet[[#This Row],[Units]]="","",tblFleet[[#This Row],[Calendar_h]]-tblFleet[[#This Row],[Down_h]])</f>
        <v/>
      </c>
      <c r="I2927" s="60">
        <f>IF(AND(tblFleet[[#This Row],[Units]]&lt;&gt;"",tblFleet[[#This Row],[Calendar_h]]&gt;0),tblFleet[[#This Row],[Available_h]]/tblFleet[[#This Row],[Calendar_h]],"")</f>
        <v/>
      </c>
      <c r="J2927" s="60">
        <f>IF(AND(tblFleet[[#This Row],[Units]]&lt;&gt;"",tblFleet[[#This Row],[Available_h]]&gt;0),tblFleet[[#This Row],[Operating_h]]/tblFleet[[#This Row],[Available_h]],"")</f>
        <v/>
      </c>
    </row>
    <row r="2928">
      <c r="A2928" s="54" t="n"/>
      <c r="B2928" s="61" t="n"/>
      <c r="C2928" s="62" t="n"/>
      <c r="D2928" s="57" t="n"/>
      <c r="E2928" s="57" t="n"/>
      <c r="F2928" s="58" t="n"/>
      <c r="G2928" s="66">
        <f>IF(tblFleet[[#This Row],[Units]]="","",tblFleet[[#This Row],[Units]]*cfg_HoursPerDay)</f>
        <v/>
      </c>
      <c r="H2928" s="66">
        <f>IF(tblFleet[[#This Row],[Units]]="","",tblFleet[[#This Row],[Calendar_h]]-tblFleet[[#This Row],[Down_h]])</f>
        <v/>
      </c>
      <c r="I2928" s="60">
        <f>IF(AND(tblFleet[[#This Row],[Units]]&lt;&gt;"",tblFleet[[#This Row],[Calendar_h]]&gt;0),tblFleet[[#This Row],[Available_h]]/tblFleet[[#This Row],[Calendar_h]],"")</f>
        <v/>
      </c>
      <c r="J2928" s="60">
        <f>IF(AND(tblFleet[[#This Row],[Units]]&lt;&gt;"",tblFleet[[#This Row],[Available_h]]&gt;0),tblFleet[[#This Row],[Operating_h]]/tblFleet[[#This Row],[Available_h]],"")</f>
        <v/>
      </c>
    </row>
    <row r="2929">
      <c r="A2929" s="54" t="n"/>
      <c r="B2929" s="61" t="n"/>
      <c r="C2929" s="62" t="n"/>
      <c r="D2929" s="57" t="n"/>
      <c r="E2929" s="57" t="n"/>
      <c r="F2929" s="58" t="n"/>
      <c r="G2929" s="66">
        <f>IF(tblFleet[[#This Row],[Units]]="","",tblFleet[[#This Row],[Units]]*cfg_HoursPerDay)</f>
        <v/>
      </c>
      <c r="H2929" s="66">
        <f>IF(tblFleet[[#This Row],[Units]]="","",tblFleet[[#This Row],[Calendar_h]]-tblFleet[[#This Row],[Down_h]])</f>
        <v/>
      </c>
      <c r="I2929" s="60">
        <f>IF(AND(tblFleet[[#This Row],[Units]]&lt;&gt;"",tblFleet[[#This Row],[Calendar_h]]&gt;0),tblFleet[[#This Row],[Available_h]]/tblFleet[[#This Row],[Calendar_h]],"")</f>
        <v/>
      </c>
      <c r="J2929" s="60">
        <f>IF(AND(tblFleet[[#This Row],[Units]]&lt;&gt;"",tblFleet[[#This Row],[Available_h]]&gt;0),tblFleet[[#This Row],[Operating_h]]/tblFleet[[#This Row],[Available_h]],"")</f>
        <v/>
      </c>
    </row>
    <row r="2930">
      <c r="A2930" s="54" t="n"/>
      <c r="B2930" s="61" t="n"/>
      <c r="C2930" s="62" t="n"/>
      <c r="D2930" s="57" t="n"/>
      <c r="E2930" s="57" t="n"/>
      <c r="F2930" s="58" t="n"/>
      <c r="G2930" s="66">
        <f>IF(tblFleet[[#This Row],[Units]]="","",tblFleet[[#This Row],[Units]]*cfg_HoursPerDay)</f>
        <v/>
      </c>
      <c r="H2930" s="66">
        <f>IF(tblFleet[[#This Row],[Units]]="","",tblFleet[[#This Row],[Calendar_h]]-tblFleet[[#This Row],[Down_h]])</f>
        <v/>
      </c>
      <c r="I2930" s="60">
        <f>IF(AND(tblFleet[[#This Row],[Units]]&lt;&gt;"",tblFleet[[#This Row],[Calendar_h]]&gt;0),tblFleet[[#This Row],[Available_h]]/tblFleet[[#This Row],[Calendar_h]],"")</f>
        <v/>
      </c>
      <c r="J2930" s="60">
        <f>IF(AND(tblFleet[[#This Row],[Units]]&lt;&gt;"",tblFleet[[#This Row],[Available_h]]&gt;0),tblFleet[[#This Row],[Operating_h]]/tblFleet[[#This Row],[Available_h]],"")</f>
        <v/>
      </c>
    </row>
    <row r="2931">
      <c r="A2931" s="54" t="n"/>
      <c r="B2931" s="61" t="n"/>
      <c r="C2931" s="62" t="n"/>
      <c r="D2931" s="57" t="n"/>
      <c r="E2931" s="57" t="n"/>
      <c r="F2931" s="58" t="n"/>
      <c r="G2931" s="66">
        <f>IF(tblFleet[[#This Row],[Units]]="","",tblFleet[[#This Row],[Units]]*cfg_HoursPerDay)</f>
        <v/>
      </c>
      <c r="H2931" s="66">
        <f>IF(tblFleet[[#This Row],[Units]]="","",tblFleet[[#This Row],[Calendar_h]]-tblFleet[[#This Row],[Down_h]])</f>
        <v/>
      </c>
      <c r="I2931" s="60">
        <f>IF(AND(tblFleet[[#This Row],[Units]]&lt;&gt;"",tblFleet[[#This Row],[Calendar_h]]&gt;0),tblFleet[[#This Row],[Available_h]]/tblFleet[[#This Row],[Calendar_h]],"")</f>
        <v/>
      </c>
      <c r="J2931" s="60">
        <f>IF(AND(tblFleet[[#This Row],[Units]]&lt;&gt;"",tblFleet[[#This Row],[Available_h]]&gt;0),tblFleet[[#This Row],[Operating_h]]/tblFleet[[#This Row],[Available_h]],"")</f>
        <v/>
      </c>
    </row>
    <row r="2932">
      <c r="A2932" s="54" t="n"/>
      <c r="B2932" s="61" t="n"/>
      <c r="C2932" s="62" t="n"/>
      <c r="D2932" s="57" t="n"/>
      <c r="E2932" s="57" t="n"/>
      <c r="F2932" s="58" t="n"/>
      <c r="G2932" s="66">
        <f>IF(tblFleet[[#This Row],[Units]]="","",tblFleet[[#This Row],[Units]]*cfg_HoursPerDay)</f>
        <v/>
      </c>
      <c r="H2932" s="66">
        <f>IF(tblFleet[[#This Row],[Units]]="","",tblFleet[[#This Row],[Calendar_h]]-tblFleet[[#This Row],[Down_h]])</f>
        <v/>
      </c>
      <c r="I2932" s="60">
        <f>IF(AND(tblFleet[[#This Row],[Units]]&lt;&gt;"",tblFleet[[#This Row],[Calendar_h]]&gt;0),tblFleet[[#This Row],[Available_h]]/tblFleet[[#This Row],[Calendar_h]],"")</f>
        <v/>
      </c>
      <c r="J2932" s="60">
        <f>IF(AND(tblFleet[[#This Row],[Units]]&lt;&gt;"",tblFleet[[#This Row],[Available_h]]&gt;0),tblFleet[[#This Row],[Operating_h]]/tblFleet[[#This Row],[Available_h]],"")</f>
        <v/>
      </c>
    </row>
    <row r="2933">
      <c r="A2933" s="54" t="n"/>
      <c r="B2933" s="61" t="n"/>
      <c r="C2933" s="62" t="n"/>
      <c r="D2933" s="57" t="n"/>
      <c r="E2933" s="57" t="n"/>
      <c r="F2933" s="58" t="n"/>
      <c r="G2933" s="66">
        <f>IF(tblFleet[[#This Row],[Units]]="","",tblFleet[[#This Row],[Units]]*cfg_HoursPerDay)</f>
        <v/>
      </c>
      <c r="H2933" s="66">
        <f>IF(tblFleet[[#This Row],[Units]]="","",tblFleet[[#This Row],[Calendar_h]]-tblFleet[[#This Row],[Down_h]])</f>
        <v/>
      </c>
      <c r="I2933" s="60">
        <f>IF(AND(tblFleet[[#This Row],[Units]]&lt;&gt;"",tblFleet[[#This Row],[Calendar_h]]&gt;0),tblFleet[[#This Row],[Available_h]]/tblFleet[[#This Row],[Calendar_h]],"")</f>
        <v/>
      </c>
      <c r="J2933" s="60">
        <f>IF(AND(tblFleet[[#This Row],[Units]]&lt;&gt;"",tblFleet[[#This Row],[Available_h]]&gt;0),tblFleet[[#This Row],[Operating_h]]/tblFleet[[#This Row],[Available_h]],"")</f>
        <v/>
      </c>
    </row>
    <row r="2934">
      <c r="A2934" s="54" t="n"/>
      <c r="B2934" s="61" t="n"/>
      <c r="C2934" s="62" t="n"/>
      <c r="D2934" s="57" t="n"/>
      <c r="E2934" s="57" t="n"/>
      <c r="F2934" s="58" t="n"/>
      <c r="G2934" s="66">
        <f>IF(tblFleet[[#This Row],[Units]]="","",tblFleet[[#This Row],[Units]]*cfg_HoursPerDay)</f>
        <v/>
      </c>
      <c r="H2934" s="66">
        <f>IF(tblFleet[[#This Row],[Units]]="","",tblFleet[[#This Row],[Calendar_h]]-tblFleet[[#This Row],[Down_h]])</f>
        <v/>
      </c>
      <c r="I2934" s="60">
        <f>IF(AND(tblFleet[[#This Row],[Units]]&lt;&gt;"",tblFleet[[#This Row],[Calendar_h]]&gt;0),tblFleet[[#This Row],[Available_h]]/tblFleet[[#This Row],[Calendar_h]],"")</f>
        <v/>
      </c>
      <c r="J2934" s="60">
        <f>IF(AND(tblFleet[[#This Row],[Units]]&lt;&gt;"",tblFleet[[#This Row],[Available_h]]&gt;0),tblFleet[[#This Row],[Operating_h]]/tblFleet[[#This Row],[Available_h]],"")</f>
        <v/>
      </c>
    </row>
    <row r="2935">
      <c r="A2935" s="54" t="n"/>
      <c r="B2935" s="61" t="n"/>
      <c r="C2935" s="62" t="n"/>
      <c r="D2935" s="57" t="n"/>
      <c r="E2935" s="57" t="n"/>
      <c r="F2935" s="58" t="n"/>
      <c r="G2935" s="66">
        <f>IF(tblFleet[[#This Row],[Units]]="","",tblFleet[[#This Row],[Units]]*cfg_HoursPerDay)</f>
        <v/>
      </c>
      <c r="H2935" s="66">
        <f>IF(tblFleet[[#This Row],[Units]]="","",tblFleet[[#This Row],[Calendar_h]]-tblFleet[[#This Row],[Down_h]])</f>
        <v/>
      </c>
      <c r="I2935" s="60">
        <f>IF(AND(tblFleet[[#This Row],[Units]]&lt;&gt;"",tblFleet[[#This Row],[Calendar_h]]&gt;0),tblFleet[[#This Row],[Available_h]]/tblFleet[[#This Row],[Calendar_h]],"")</f>
        <v/>
      </c>
      <c r="J2935" s="60">
        <f>IF(AND(tblFleet[[#This Row],[Units]]&lt;&gt;"",tblFleet[[#This Row],[Available_h]]&gt;0),tblFleet[[#This Row],[Operating_h]]/tblFleet[[#This Row],[Available_h]],"")</f>
        <v/>
      </c>
    </row>
    <row r="2936">
      <c r="A2936" s="54" t="n"/>
      <c r="B2936" s="61" t="n"/>
      <c r="C2936" s="62" t="n"/>
      <c r="D2936" s="57" t="n"/>
      <c r="E2936" s="57" t="n"/>
      <c r="F2936" s="58" t="n"/>
      <c r="G2936" s="66">
        <f>IF(tblFleet[[#This Row],[Units]]="","",tblFleet[[#This Row],[Units]]*cfg_HoursPerDay)</f>
        <v/>
      </c>
      <c r="H2936" s="66">
        <f>IF(tblFleet[[#This Row],[Units]]="","",tblFleet[[#This Row],[Calendar_h]]-tblFleet[[#This Row],[Down_h]])</f>
        <v/>
      </c>
      <c r="I2936" s="60">
        <f>IF(AND(tblFleet[[#This Row],[Units]]&lt;&gt;"",tblFleet[[#This Row],[Calendar_h]]&gt;0),tblFleet[[#This Row],[Available_h]]/tblFleet[[#This Row],[Calendar_h]],"")</f>
        <v/>
      </c>
      <c r="J2936" s="60">
        <f>IF(AND(tblFleet[[#This Row],[Units]]&lt;&gt;"",tblFleet[[#This Row],[Available_h]]&gt;0),tblFleet[[#This Row],[Operating_h]]/tblFleet[[#This Row],[Available_h]],"")</f>
        <v/>
      </c>
    </row>
    <row r="2937">
      <c r="A2937" s="54" t="n"/>
      <c r="B2937" s="61" t="n"/>
      <c r="C2937" s="62" t="n"/>
      <c r="D2937" s="57" t="n"/>
      <c r="E2937" s="57" t="n"/>
      <c r="F2937" s="58" t="n"/>
      <c r="G2937" s="66">
        <f>IF(tblFleet[[#This Row],[Units]]="","",tblFleet[[#This Row],[Units]]*cfg_HoursPerDay)</f>
        <v/>
      </c>
      <c r="H2937" s="66">
        <f>IF(tblFleet[[#This Row],[Units]]="","",tblFleet[[#This Row],[Calendar_h]]-tblFleet[[#This Row],[Down_h]])</f>
        <v/>
      </c>
      <c r="I2937" s="60">
        <f>IF(AND(tblFleet[[#This Row],[Units]]&lt;&gt;"",tblFleet[[#This Row],[Calendar_h]]&gt;0),tblFleet[[#This Row],[Available_h]]/tblFleet[[#This Row],[Calendar_h]],"")</f>
        <v/>
      </c>
      <c r="J2937" s="60">
        <f>IF(AND(tblFleet[[#This Row],[Units]]&lt;&gt;"",tblFleet[[#This Row],[Available_h]]&gt;0),tblFleet[[#This Row],[Operating_h]]/tblFleet[[#This Row],[Available_h]],"")</f>
        <v/>
      </c>
    </row>
    <row r="2938">
      <c r="A2938" s="54" t="n"/>
      <c r="B2938" s="61" t="n"/>
      <c r="C2938" s="62" t="n"/>
      <c r="D2938" s="57" t="n"/>
      <c r="E2938" s="57" t="n"/>
      <c r="F2938" s="58" t="n"/>
      <c r="G2938" s="66">
        <f>IF(tblFleet[[#This Row],[Units]]="","",tblFleet[[#This Row],[Units]]*cfg_HoursPerDay)</f>
        <v/>
      </c>
      <c r="H2938" s="66">
        <f>IF(tblFleet[[#This Row],[Units]]="","",tblFleet[[#This Row],[Calendar_h]]-tblFleet[[#This Row],[Down_h]])</f>
        <v/>
      </c>
      <c r="I2938" s="60">
        <f>IF(AND(tblFleet[[#This Row],[Units]]&lt;&gt;"",tblFleet[[#This Row],[Calendar_h]]&gt;0),tblFleet[[#This Row],[Available_h]]/tblFleet[[#This Row],[Calendar_h]],"")</f>
        <v/>
      </c>
      <c r="J2938" s="60">
        <f>IF(AND(tblFleet[[#This Row],[Units]]&lt;&gt;"",tblFleet[[#This Row],[Available_h]]&gt;0),tblFleet[[#This Row],[Operating_h]]/tblFleet[[#This Row],[Available_h]],"")</f>
        <v/>
      </c>
    </row>
    <row r="2939">
      <c r="A2939" s="54" t="n"/>
      <c r="B2939" s="61" t="n"/>
      <c r="C2939" s="62" t="n"/>
      <c r="D2939" s="57" t="n"/>
      <c r="E2939" s="57" t="n"/>
      <c r="F2939" s="58" t="n"/>
      <c r="G2939" s="66">
        <f>IF(tblFleet[[#This Row],[Units]]="","",tblFleet[[#This Row],[Units]]*cfg_HoursPerDay)</f>
        <v/>
      </c>
      <c r="H2939" s="66">
        <f>IF(tblFleet[[#This Row],[Units]]="","",tblFleet[[#This Row],[Calendar_h]]-tblFleet[[#This Row],[Down_h]])</f>
        <v/>
      </c>
      <c r="I2939" s="60">
        <f>IF(AND(tblFleet[[#This Row],[Units]]&lt;&gt;"",tblFleet[[#This Row],[Calendar_h]]&gt;0),tblFleet[[#This Row],[Available_h]]/tblFleet[[#This Row],[Calendar_h]],"")</f>
        <v/>
      </c>
      <c r="J2939" s="60">
        <f>IF(AND(tblFleet[[#This Row],[Units]]&lt;&gt;"",tblFleet[[#This Row],[Available_h]]&gt;0),tblFleet[[#This Row],[Operating_h]]/tblFleet[[#This Row],[Available_h]],"")</f>
        <v/>
      </c>
    </row>
    <row r="2940">
      <c r="A2940" s="54" t="n"/>
      <c r="B2940" s="61" t="n"/>
      <c r="C2940" s="62" t="n"/>
      <c r="D2940" s="57" t="n"/>
      <c r="E2940" s="57" t="n"/>
      <c r="F2940" s="58" t="n"/>
      <c r="G2940" s="66">
        <f>IF(tblFleet[[#This Row],[Units]]="","",tblFleet[[#This Row],[Units]]*cfg_HoursPerDay)</f>
        <v/>
      </c>
      <c r="H2940" s="66">
        <f>IF(tblFleet[[#This Row],[Units]]="","",tblFleet[[#This Row],[Calendar_h]]-tblFleet[[#This Row],[Down_h]])</f>
        <v/>
      </c>
      <c r="I2940" s="60">
        <f>IF(AND(tblFleet[[#This Row],[Units]]&lt;&gt;"",tblFleet[[#This Row],[Calendar_h]]&gt;0),tblFleet[[#This Row],[Available_h]]/tblFleet[[#This Row],[Calendar_h]],"")</f>
        <v/>
      </c>
      <c r="J2940" s="60">
        <f>IF(AND(tblFleet[[#This Row],[Units]]&lt;&gt;"",tblFleet[[#This Row],[Available_h]]&gt;0),tblFleet[[#This Row],[Operating_h]]/tblFleet[[#This Row],[Available_h]],"")</f>
        <v/>
      </c>
    </row>
    <row r="2941">
      <c r="A2941" s="54" t="n"/>
      <c r="B2941" s="61" t="n"/>
      <c r="C2941" s="62" t="n"/>
      <c r="D2941" s="57" t="n"/>
      <c r="E2941" s="57" t="n"/>
      <c r="F2941" s="58" t="n"/>
      <c r="G2941" s="66">
        <f>IF(tblFleet[[#This Row],[Units]]="","",tblFleet[[#This Row],[Units]]*cfg_HoursPerDay)</f>
        <v/>
      </c>
      <c r="H2941" s="66">
        <f>IF(tblFleet[[#This Row],[Units]]="","",tblFleet[[#This Row],[Calendar_h]]-tblFleet[[#This Row],[Down_h]])</f>
        <v/>
      </c>
      <c r="I2941" s="60">
        <f>IF(AND(tblFleet[[#This Row],[Units]]&lt;&gt;"",tblFleet[[#This Row],[Calendar_h]]&gt;0),tblFleet[[#This Row],[Available_h]]/tblFleet[[#This Row],[Calendar_h]],"")</f>
        <v/>
      </c>
      <c r="J2941" s="60">
        <f>IF(AND(tblFleet[[#This Row],[Units]]&lt;&gt;"",tblFleet[[#This Row],[Available_h]]&gt;0),tblFleet[[#This Row],[Operating_h]]/tblFleet[[#This Row],[Available_h]],"")</f>
        <v/>
      </c>
    </row>
    <row r="2942">
      <c r="A2942" s="54" t="n"/>
      <c r="B2942" s="61" t="n"/>
      <c r="C2942" s="62" t="n"/>
      <c r="D2942" s="57" t="n"/>
      <c r="E2942" s="57" t="n"/>
      <c r="F2942" s="58" t="n"/>
      <c r="G2942" s="66">
        <f>IF(tblFleet[[#This Row],[Units]]="","",tblFleet[[#This Row],[Units]]*cfg_HoursPerDay)</f>
        <v/>
      </c>
      <c r="H2942" s="66">
        <f>IF(tblFleet[[#This Row],[Units]]="","",tblFleet[[#This Row],[Calendar_h]]-tblFleet[[#This Row],[Down_h]])</f>
        <v/>
      </c>
      <c r="I2942" s="60">
        <f>IF(AND(tblFleet[[#This Row],[Units]]&lt;&gt;"",tblFleet[[#This Row],[Calendar_h]]&gt;0),tblFleet[[#This Row],[Available_h]]/tblFleet[[#This Row],[Calendar_h]],"")</f>
        <v/>
      </c>
      <c r="J2942" s="60">
        <f>IF(AND(tblFleet[[#This Row],[Units]]&lt;&gt;"",tblFleet[[#This Row],[Available_h]]&gt;0),tblFleet[[#This Row],[Operating_h]]/tblFleet[[#This Row],[Available_h]],"")</f>
        <v/>
      </c>
    </row>
    <row r="2943">
      <c r="A2943" s="54" t="n"/>
      <c r="B2943" s="61" t="n"/>
      <c r="C2943" s="62" t="n"/>
      <c r="D2943" s="57" t="n"/>
      <c r="E2943" s="57" t="n"/>
      <c r="F2943" s="58" t="n"/>
      <c r="G2943" s="66">
        <f>IF(tblFleet[[#This Row],[Units]]="","",tblFleet[[#This Row],[Units]]*cfg_HoursPerDay)</f>
        <v/>
      </c>
      <c r="H2943" s="66">
        <f>IF(tblFleet[[#This Row],[Units]]="","",tblFleet[[#This Row],[Calendar_h]]-tblFleet[[#This Row],[Down_h]])</f>
        <v/>
      </c>
      <c r="I2943" s="60">
        <f>IF(AND(tblFleet[[#This Row],[Units]]&lt;&gt;"",tblFleet[[#This Row],[Calendar_h]]&gt;0),tblFleet[[#This Row],[Available_h]]/tblFleet[[#This Row],[Calendar_h]],"")</f>
        <v/>
      </c>
      <c r="J2943" s="60">
        <f>IF(AND(tblFleet[[#This Row],[Units]]&lt;&gt;"",tblFleet[[#This Row],[Available_h]]&gt;0),tblFleet[[#This Row],[Operating_h]]/tblFleet[[#This Row],[Available_h]],"")</f>
        <v/>
      </c>
    </row>
    <row r="2944">
      <c r="A2944" s="54" t="n"/>
      <c r="B2944" s="61" t="n"/>
      <c r="C2944" s="62" t="n"/>
      <c r="D2944" s="57" t="n"/>
      <c r="E2944" s="57" t="n"/>
      <c r="F2944" s="58" t="n"/>
      <c r="G2944" s="66">
        <f>IF(tblFleet[[#This Row],[Units]]="","",tblFleet[[#This Row],[Units]]*cfg_HoursPerDay)</f>
        <v/>
      </c>
      <c r="H2944" s="66">
        <f>IF(tblFleet[[#This Row],[Units]]="","",tblFleet[[#This Row],[Calendar_h]]-tblFleet[[#This Row],[Down_h]])</f>
        <v/>
      </c>
      <c r="I2944" s="60">
        <f>IF(AND(tblFleet[[#This Row],[Units]]&lt;&gt;"",tblFleet[[#This Row],[Calendar_h]]&gt;0),tblFleet[[#This Row],[Available_h]]/tblFleet[[#This Row],[Calendar_h]],"")</f>
        <v/>
      </c>
      <c r="J2944" s="60">
        <f>IF(AND(tblFleet[[#This Row],[Units]]&lt;&gt;"",tblFleet[[#This Row],[Available_h]]&gt;0),tblFleet[[#This Row],[Operating_h]]/tblFleet[[#This Row],[Available_h]],"")</f>
        <v/>
      </c>
    </row>
    <row r="2945">
      <c r="A2945" s="54" t="n"/>
      <c r="B2945" s="61" t="n"/>
      <c r="C2945" s="62" t="n"/>
      <c r="D2945" s="57" t="n"/>
      <c r="E2945" s="57" t="n"/>
      <c r="F2945" s="58" t="n"/>
      <c r="G2945" s="66">
        <f>IF(tblFleet[[#This Row],[Units]]="","",tblFleet[[#This Row],[Units]]*cfg_HoursPerDay)</f>
        <v/>
      </c>
      <c r="H2945" s="66">
        <f>IF(tblFleet[[#This Row],[Units]]="","",tblFleet[[#This Row],[Calendar_h]]-tblFleet[[#This Row],[Down_h]])</f>
        <v/>
      </c>
      <c r="I2945" s="60">
        <f>IF(AND(tblFleet[[#This Row],[Units]]&lt;&gt;"",tblFleet[[#This Row],[Calendar_h]]&gt;0),tblFleet[[#This Row],[Available_h]]/tblFleet[[#This Row],[Calendar_h]],"")</f>
        <v/>
      </c>
      <c r="J2945" s="60">
        <f>IF(AND(tblFleet[[#This Row],[Units]]&lt;&gt;"",tblFleet[[#This Row],[Available_h]]&gt;0),tblFleet[[#This Row],[Operating_h]]/tblFleet[[#This Row],[Available_h]],"")</f>
        <v/>
      </c>
    </row>
    <row r="2946">
      <c r="A2946" s="54" t="n"/>
      <c r="B2946" s="61" t="n"/>
      <c r="C2946" s="62" t="n"/>
      <c r="D2946" s="57" t="n"/>
      <c r="E2946" s="57" t="n"/>
      <c r="F2946" s="58" t="n"/>
      <c r="G2946" s="66">
        <f>IF(tblFleet[[#This Row],[Units]]="","",tblFleet[[#This Row],[Units]]*cfg_HoursPerDay)</f>
        <v/>
      </c>
      <c r="H2946" s="66">
        <f>IF(tblFleet[[#This Row],[Units]]="","",tblFleet[[#This Row],[Calendar_h]]-tblFleet[[#This Row],[Down_h]])</f>
        <v/>
      </c>
      <c r="I2946" s="60">
        <f>IF(AND(tblFleet[[#This Row],[Units]]&lt;&gt;"",tblFleet[[#This Row],[Calendar_h]]&gt;0),tblFleet[[#This Row],[Available_h]]/tblFleet[[#This Row],[Calendar_h]],"")</f>
        <v/>
      </c>
      <c r="J2946" s="60">
        <f>IF(AND(tblFleet[[#This Row],[Units]]&lt;&gt;"",tblFleet[[#This Row],[Available_h]]&gt;0),tblFleet[[#This Row],[Operating_h]]/tblFleet[[#This Row],[Available_h]],"")</f>
        <v/>
      </c>
    </row>
    <row r="2947">
      <c r="A2947" s="54" t="n"/>
      <c r="B2947" s="61" t="n"/>
      <c r="C2947" s="62" t="n"/>
      <c r="D2947" s="57" t="n"/>
      <c r="E2947" s="57" t="n"/>
      <c r="F2947" s="58" t="n"/>
      <c r="G2947" s="66">
        <f>IF(tblFleet[[#This Row],[Units]]="","",tblFleet[[#This Row],[Units]]*cfg_HoursPerDay)</f>
        <v/>
      </c>
      <c r="H2947" s="66">
        <f>IF(tblFleet[[#This Row],[Units]]="","",tblFleet[[#This Row],[Calendar_h]]-tblFleet[[#This Row],[Down_h]])</f>
        <v/>
      </c>
      <c r="I2947" s="60">
        <f>IF(AND(tblFleet[[#This Row],[Units]]&lt;&gt;"",tblFleet[[#This Row],[Calendar_h]]&gt;0),tblFleet[[#This Row],[Available_h]]/tblFleet[[#This Row],[Calendar_h]],"")</f>
        <v/>
      </c>
      <c r="J2947" s="60">
        <f>IF(AND(tblFleet[[#This Row],[Units]]&lt;&gt;"",tblFleet[[#This Row],[Available_h]]&gt;0),tblFleet[[#This Row],[Operating_h]]/tblFleet[[#This Row],[Available_h]],"")</f>
        <v/>
      </c>
    </row>
    <row r="2948">
      <c r="A2948" s="54" t="n"/>
      <c r="B2948" s="61" t="n"/>
      <c r="C2948" s="62" t="n"/>
      <c r="D2948" s="57" t="n"/>
      <c r="E2948" s="57" t="n"/>
      <c r="F2948" s="58" t="n"/>
      <c r="G2948" s="66">
        <f>IF(tblFleet[[#This Row],[Units]]="","",tblFleet[[#This Row],[Units]]*cfg_HoursPerDay)</f>
        <v/>
      </c>
      <c r="H2948" s="66">
        <f>IF(tblFleet[[#This Row],[Units]]="","",tblFleet[[#This Row],[Calendar_h]]-tblFleet[[#This Row],[Down_h]])</f>
        <v/>
      </c>
      <c r="I2948" s="60">
        <f>IF(AND(tblFleet[[#This Row],[Units]]&lt;&gt;"",tblFleet[[#This Row],[Calendar_h]]&gt;0),tblFleet[[#This Row],[Available_h]]/tblFleet[[#This Row],[Calendar_h]],"")</f>
        <v/>
      </c>
      <c r="J2948" s="60">
        <f>IF(AND(tblFleet[[#This Row],[Units]]&lt;&gt;"",tblFleet[[#This Row],[Available_h]]&gt;0),tblFleet[[#This Row],[Operating_h]]/tblFleet[[#This Row],[Available_h]],"")</f>
        <v/>
      </c>
    </row>
    <row r="2949">
      <c r="A2949" s="54" t="n"/>
      <c r="B2949" s="61" t="n"/>
      <c r="C2949" s="62" t="n"/>
      <c r="D2949" s="57" t="n"/>
      <c r="E2949" s="57" t="n"/>
      <c r="F2949" s="58" t="n"/>
      <c r="G2949" s="66">
        <f>IF(tblFleet[[#This Row],[Units]]="","",tblFleet[[#This Row],[Units]]*cfg_HoursPerDay)</f>
        <v/>
      </c>
      <c r="H2949" s="66">
        <f>IF(tblFleet[[#This Row],[Units]]="","",tblFleet[[#This Row],[Calendar_h]]-tblFleet[[#This Row],[Down_h]])</f>
        <v/>
      </c>
      <c r="I2949" s="60">
        <f>IF(AND(tblFleet[[#This Row],[Units]]&lt;&gt;"",tblFleet[[#This Row],[Calendar_h]]&gt;0),tblFleet[[#This Row],[Available_h]]/tblFleet[[#This Row],[Calendar_h]],"")</f>
        <v/>
      </c>
      <c r="J2949" s="60">
        <f>IF(AND(tblFleet[[#This Row],[Units]]&lt;&gt;"",tblFleet[[#This Row],[Available_h]]&gt;0),tblFleet[[#This Row],[Operating_h]]/tblFleet[[#This Row],[Available_h]],"")</f>
        <v/>
      </c>
    </row>
    <row r="2950">
      <c r="A2950" s="54" t="n"/>
      <c r="B2950" s="61" t="n"/>
      <c r="C2950" s="62" t="n"/>
      <c r="D2950" s="57" t="n"/>
      <c r="E2950" s="57" t="n"/>
      <c r="F2950" s="58" t="n"/>
      <c r="G2950" s="66">
        <f>IF(tblFleet[[#This Row],[Units]]="","",tblFleet[[#This Row],[Units]]*cfg_HoursPerDay)</f>
        <v/>
      </c>
      <c r="H2950" s="66">
        <f>IF(tblFleet[[#This Row],[Units]]="","",tblFleet[[#This Row],[Calendar_h]]-tblFleet[[#This Row],[Down_h]])</f>
        <v/>
      </c>
      <c r="I2950" s="60">
        <f>IF(AND(tblFleet[[#This Row],[Units]]&lt;&gt;"",tblFleet[[#This Row],[Calendar_h]]&gt;0),tblFleet[[#This Row],[Available_h]]/tblFleet[[#This Row],[Calendar_h]],"")</f>
        <v/>
      </c>
      <c r="J2950" s="60">
        <f>IF(AND(tblFleet[[#This Row],[Units]]&lt;&gt;"",tblFleet[[#This Row],[Available_h]]&gt;0),tblFleet[[#This Row],[Operating_h]]/tblFleet[[#This Row],[Available_h]],"")</f>
        <v/>
      </c>
    </row>
    <row r="2951">
      <c r="A2951" s="54" t="n"/>
      <c r="B2951" s="61" t="n"/>
      <c r="C2951" s="62" t="n"/>
      <c r="D2951" s="57" t="n"/>
      <c r="E2951" s="57" t="n"/>
      <c r="F2951" s="58" t="n"/>
      <c r="G2951" s="66">
        <f>IF(tblFleet[[#This Row],[Units]]="","",tblFleet[[#This Row],[Units]]*cfg_HoursPerDay)</f>
        <v/>
      </c>
      <c r="H2951" s="66">
        <f>IF(tblFleet[[#This Row],[Units]]="","",tblFleet[[#This Row],[Calendar_h]]-tblFleet[[#This Row],[Down_h]])</f>
        <v/>
      </c>
      <c r="I2951" s="60">
        <f>IF(AND(tblFleet[[#This Row],[Units]]&lt;&gt;"",tblFleet[[#This Row],[Calendar_h]]&gt;0),tblFleet[[#This Row],[Available_h]]/tblFleet[[#This Row],[Calendar_h]],"")</f>
        <v/>
      </c>
      <c r="J2951" s="60">
        <f>IF(AND(tblFleet[[#This Row],[Units]]&lt;&gt;"",tblFleet[[#This Row],[Available_h]]&gt;0),tblFleet[[#This Row],[Operating_h]]/tblFleet[[#This Row],[Available_h]],"")</f>
        <v/>
      </c>
    </row>
    <row r="2952">
      <c r="A2952" s="54" t="n"/>
      <c r="B2952" s="61" t="n"/>
      <c r="C2952" s="62" t="n"/>
      <c r="D2952" s="57" t="n"/>
      <c r="E2952" s="57" t="n"/>
      <c r="F2952" s="58" t="n"/>
      <c r="G2952" s="66">
        <f>IF(tblFleet[[#This Row],[Units]]="","",tblFleet[[#This Row],[Units]]*cfg_HoursPerDay)</f>
        <v/>
      </c>
      <c r="H2952" s="66">
        <f>IF(tblFleet[[#This Row],[Units]]="","",tblFleet[[#This Row],[Calendar_h]]-tblFleet[[#This Row],[Down_h]])</f>
        <v/>
      </c>
      <c r="I2952" s="60">
        <f>IF(AND(tblFleet[[#This Row],[Units]]&lt;&gt;"",tblFleet[[#This Row],[Calendar_h]]&gt;0),tblFleet[[#This Row],[Available_h]]/tblFleet[[#This Row],[Calendar_h]],"")</f>
        <v/>
      </c>
      <c r="J2952" s="60">
        <f>IF(AND(tblFleet[[#This Row],[Units]]&lt;&gt;"",tblFleet[[#This Row],[Available_h]]&gt;0),tblFleet[[#This Row],[Operating_h]]/tblFleet[[#This Row],[Available_h]],"")</f>
        <v/>
      </c>
    </row>
    <row r="2953">
      <c r="A2953" s="54" t="n"/>
      <c r="B2953" s="61" t="n"/>
      <c r="C2953" s="62" t="n"/>
      <c r="D2953" s="57" t="n"/>
      <c r="E2953" s="57" t="n"/>
      <c r="F2953" s="58" t="n"/>
      <c r="G2953" s="66">
        <f>IF(tblFleet[[#This Row],[Units]]="","",tblFleet[[#This Row],[Units]]*cfg_HoursPerDay)</f>
        <v/>
      </c>
      <c r="H2953" s="66">
        <f>IF(tblFleet[[#This Row],[Units]]="","",tblFleet[[#This Row],[Calendar_h]]-tblFleet[[#This Row],[Down_h]])</f>
        <v/>
      </c>
      <c r="I2953" s="60">
        <f>IF(AND(tblFleet[[#This Row],[Units]]&lt;&gt;"",tblFleet[[#This Row],[Calendar_h]]&gt;0),tblFleet[[#This Row],[Available_h]]/tblFleet[[#This Row],[Calendar_h]],"")</f>
        <v/>
      </c>
      <c r="J2953" s="60">
        <f>IF(AND(tblFleet[[#This Row],[Units]]&lt;&gt;"",tblFleet[[#This Row],[Available_h]]&gt;0),tblFleet[[#This Row],[Operating_h]]/tblFleet[[#This Row],[Available_h]],"")</f>
        <v/>
      </c>
    </row>
    <row r="2954">
      <c r="A2954" s="54" t="n"/>
      <c r="B2954" s="61" t="n"/>
      <c r="C2954" s="62" t="n"/>
      <c r="D2954" s="57" t="n"/>
      <c r="E2954" s="57" t="n"/>
      <c r="F2954" s="58" t="n"/>
      <c r="G2954" s="66">
        <f>IF(tblFleet[[#This Row],[Units]]="","",tblFleet[[#This Row],[Units]]*cfg_HoursPerDay)</f>
        <v/>
      </c>
      <c r="H2954" s="66">
        <f>IF(tblFleet[[#This Row],[Units]]="","",tblFleet[[#This Row],[Calendar_h]]-tblFleet[[#This Row],[Down_h]])</f>
        <v/>
      </c>
      <c r="I2954" s="60">
        <f>IF(AND(tblFleet[[#This Row],[Units]]&lt;&gt;"",tblFleet[[#This Row],[Calendar_h]]&gt;0),tblFleet[[#This Row],[Available_h]]/tblFleet[[#This Row],[Calendar_h]],"")</f>
        <v/>
      </c>
      <c r="J2954" s="60">
        <f>IF(AND(tblFleet[[#This Row],[Units]]&lt;&gt;"",tblFleet[[#This Row],[Available_h]]&gt;0),tblFleet[[#This Row],[Operating_h]]/tblFleet[[#This Row],[Available_h]],"")</f>
        <v/>
      </c>
    </row>
    <row r="2955">
      <c r="A2955" s="54" t="n"/>
      <c r="B2955" s="61" t="n"/>
      <c r="C2955" s="62" t="n"/>
      <c r="D2955" s="57" t="n"/>
      <c r="E2955" s="57" t="n"/>
      <c r="F2955" s="58" t="n"/>
      <c r="G2955" s="66">
        <f>IF(tblFleet[[#This Row],[Units]]="","",tblFleet[[#This Row],[Units]]*cfg_HoursPerDay)</f>
        <v/>
      </c>
      <c r="H2955" s="66">
        <f>IF(tblFleet[[#This Row],[Units]]="","",tblFleet[[#This Row],[Calendar_h]]-tblFleet[[#This Row],[Down_h]])</f>
        <v/>
      </c>
      <c r="I2955" s="60">
        <f>IF(AND(tblFleet[[#This Row],[Units]]&lt;&gt;"",tblFleet[[#This Row],[Calendar_h]]&gt;0),tblFleet[[#This Row],[Available_h]]/tblFleet[[#This Row],[Calendar_h]],"")</f>
        <v/>
      </c>
      <c r="J2955" s="60">
        <f>IF(AND(tblFleet[[#This Row],[Units]]&lt;&gt;"",tblFleet[[#This Row],[Available_h]]&gt;0),tblFleet[[#This Row],[Operating_h]]/tblFleet[[#This Row],[Available_h]],"")</f>
        <v/>
      </c>
    </row>
    <row r="2956">
      <c r="A2956" s="54" t="n"/>
      <c r="B2956" s="61" t="n"/>
      <c r="C2956" s="62" t="n"/>
      <c r="D2956" s="57" t="n"/>
      <c r="E2956" s="57" t="n"/>
      <c r="F2956" s="58" t="n"/>
      <c r="G2956" s="66">
        <f>IF(tblFleet[[#This Row],[Units]]="","",tblFleet[[#This Row],[Units]]*cfg_HoursPerDay)</f>
        <v/>
      </c>
      <c r="H2956" s="66">
        <f>IF(tblFleet[[#This Row],[Units]]="","",tblFleet[[#This Row],[Calendar_h]]-tblFleet[[#This Row],[Down_h]])</f>
        <v/>
      </c>
      <c r="I2956" s="60">
        <f>IF(AND(tblFleet[[#This Row],[Units]]&lt;&gt;"",tblFleet[[#This Row],[Calendar_h]]&gt;0),tblFleet[[#This Row],[Available_h]]/tblFleet[[#This Row],[Calendar_h]],"")</f>
        <v/>
      </c>
      <c r="J2956" s="60">
        <f>IF(AND(tblFleet[[#This Row],[Units]]&lt;&gt;"",tblFleet[[#This Row],[Available_h]]&gt;0),tblFleet[[#This Row],[Operating_h]]/tblFleet[[#This Row],[Available_h]],"")</f>
        <v/>
      </c>
    </row>
    <row r="2957">
      <c r="A2957" s="54" t="n"/>
      <c r="B2957" s="61" t="n"/>
      <c r="C2957" s="62" t="n"/>
      <c r="D2957" s="57" t="n"/>
      <c r="E2957" s="57" t="n"/>
      <c r="F2957" s="58" t="n"/>
      <c r="G2957" s="66">
        <f>IF(tblFleet[[#This Row],[Units]]="","",tblFleet[[#This Row],[Units]]*cfg_HoursPerDay)</f>
        <v/>
      </c>
      <c r="H2957" s="66">
        <f>IF(tblFleet[[#This Row],[Units]]="","",tblFleet[[#This Row],[Calendar_h]]-tblFleet[[#This Row],[Down_h]])</f>
        <v/>
      </c>
      <c r="I2957" s="60">
        <f>IF(AND(tblFleet[[#This Row],[Units]]&lt;&gt;"",tblFleet[[#This Row],[Calendar_h]]&gt;0),tblFleet[[#This Row],[Available_h]]/tblFleet[[#This Row],[Calendar_h]],"")</f>
        <v/>
      </c>
      <c r="J2957" s="60">
        <f>IF(AND(tblFleet[[#This Row],[Units]]&lt;&gt;"",tblFleet[[#This Row],[Available_h]]&gt;0),tblFleet[[#This Row],[Operating_h]]/tblFleet[[#This Row],[Available_h]],"")</f>
        <v/>
      </c>
    </row>
    <row r="2958">
      <c r="A2958" s="54" t="n"/>
      <c r="B2958" s="61" t="n"/>
      <c r="C2958" s="62" t="n"/>
      <c r="D2958" s="57" t="n"/>
      <c r="E2958" s="57" t="n"/>
      <c r="F2958" s="58" t="n"/>
      <c r="G2958" s="66">
        <f>IF(tblFleet[[#This Row],[Units]]="","",tblFleet[[#This Row],[Units]]*cfg_HoursPerDay)</f>
        <v/>
      </c>
      <c r="H2958" s="66">
        <f>IF(tblFleet[[#This Row],[Units]]="","",tblFleet[[#This Row],[Calendar_h]]-tblFleet[[#This Row],[Down_h]])</f>
        <v/>
      </c>
      <c r="I2958" s="60">
        <f>IF(AND(tblFleet[[#This Row],[Units]]&lt;&gt;"",tblFleet[[#This Row],[Calendar_h]]&gt;0),tblFleet[[#This Row],[Available_h]]/tblFleet[[#This Row],[Calendar_h]],"")</f>
        <v/>
      </c>
      <c r="J2958" s="60">
        <f>IF(AND(tblFleet[[#This Row],[Units]]&lt;&gt;"",tblFleet[[#This Row],[Available_h]]&gt;0),tblFleet[[#This Row],[Operating_h]]/tblFleet[[#This Row],[Available_h]],"")</f>
        <v/>
      </c>
    </row>
    <row r="2959">
      <c r="A2959" s="54" t="n"/>
      <c r="B2959" s="61" t="n"/>
      <c r="C2959" s="62" t="n"/>
      <c r="D2959" s="57" t="n"/>
      <c r="E2959" s="57" t="n"/>
      <c r="F2959" s="58" t="n"/>
      <c r="G2959" s="66">
        <f>IF(tblFleet[[#This Row],[Units]]="","",tblFleet[[#This Row],[Units]]*cfg_HoursPerDay)</f>
        <v/>
      </c>
      <c r="H2959" s="66">
        <f>IF(tblFleet[[#This Row],[Units]]="","",tblFleet[[#This Row],[Calendar_h]]-tblFleet[[#This Row],[Down_h]])</f>
        <v/>
      </c>
      <c r="I2959" s="60">
        <f>IF(AND(tblFleet[[#This Row],[Units]]&lt;&gt;"",tblFleet[[#This Row],[Calendar_h]]&gt;0),tblFleet[[#This Row],[Available_h]]/tblFleet[[#This Row],[Calendar_h]],"")</f>
        <v/>
      </c>
      <c r="J2959" s="60">
        <f>IF(AND(tblFleet[[#This Row],[Units]]&lt;&gt;"",tblFleet[[#This Row],[Available_h]]&gt;0),tblFleet[[#This Row],[Operating_h]]/tblFleet[[#This Row],[Available_h]],"")</f>
        <v/>
      </c>
    </row>
    <row r="2960">
      <c r="A2960" s="54" t="n"/>
      <c r="B2960" s="61" t="n"/>
      <c r="C2960" s="62" t="n"/>
      <c r="D2960" s="57" t="n"/>
      <c r="E2960" s="57" t="n"/>
      <c r="F2960" s="58" t="n"/>
      <c r="G2960" s="66">
        <f>IF(tblFleet[[#This Row],[Units]]="","",tblFleet[[#This Row],[Units]]*cfg_HoursPerDay)</f>
        <v/>
      </c>
      <c r="H2960" s="66">
        <f>IF(tblFleet[[#This Row],[Units]]="","",tblFleet[[#This Row],[Calendar_h]]-tblFleet[[#This Row],[Down_h]])</f>
        <v/>
      </c>
      <c r="I2960" s="60">
        <f>IF(AND(tblFleet[[#This Row],[Units]]&lt;&gt;"",tblFleet[[#This Row],[Calendar_h]]&gt;0),tblFleet[[#This Row],[Available_h]]/tblFleet[[#This Row],[Calendar_h]],"")</f>
        <v/>
      </c>
      <c r="J2960" s="60">
        <f>IF(AND(tblFleet[[#This Row],[Units]]&lt;&gt;"",tblFleet[[#This Row],[Available_h]]&gt;0),tblFleet[[#This Row],[Operating_h]]/tblFleet[[#This Row],[Available_h]],"")</f>
        <v/>
      </c>
    </row>
    <row r="2961">
      <c r="A2961" s="54" t="n"/>
      <c r="B2961" s="61" t="n"/>
      <c r="C2961" s="62" t="n"/>
      <c r="D2961" s="57" t="n"/>
      <c r="E2961" s="57" t="n"/>
      <c r="F2961" s="58" t="n"/>
      <c r="G2961" s="66">
        <f>IF(tblFleet[[#This Row],[Units]]="","",tblFleet[[#This Row],[Units]]*cfg_HoursPerDay)</f>
        <v/>
      </c>
      <c r="H2961" s="66">
        <f>IF(tblFleet[[#This Row],[Units]]="","",tblFleet[[#This Row],[Calendar_h]]-tblFleet[[#This Row],[Down_h]])</f>
        <v/>
      </c>
      <c r="I2961" s="60">
        <f>IF(AND(tblFleet[[#This Row],[Units]]&lt;&gt;"",tblFleet[[#This Row],[Calendar_h]]&gt;0),tblFleet[[#This Row],[Available_h]]/tblFleet[[#This Row],[Calendar_h]],"")</f>
        <v/>
      </c>
      <c r="J2961" s="60">
        <f>IF(AND(tblFleet[[#This Row],[Units]]&lt;&gt;"",tblFleet[[#This Row],[Available_h]]&gt;0),tblFleet[[#This Row],[Operating_h]]/tblFleet[[#This Row],[Available_h]],"")</f>
        <v/>
      </c>
    </row>
    <row r="2962">
      <c r="A2962" s="54" t="n"/>
      <c r="B2962" s="61" t="n"/>
      <c r="C2962" s="62" t="n"/>
      <c r="D2962" s="57" t="n"/>
      <c r="E2962" s="57" t="n"/>
      <c r="F2962" s="58" t="n"/>
      <c r="G2962" s="66">
        <f>IF(tblFleet[[#This Row],[Units]]="","",tblFleet[[#This Row],[Units]]*cfg_HoursPerDay)</f>
        <v/>
      </c>
      <c r="H2962" s="66">
        <f>IF(tblFleet[[#This Row],[Units]]="","",tblFleet[[#This Row],[Calendar_h]]-tblFleet[[#This Row],[Down_h]])</f>
        <v/>
      </c>
      <c r="I2962" s="60">
        <f>IF(AND(tblFleet[[#This Row],[Units]]&lt;&gt;"",tblFleet[[#This Row],[Calendar_h]]&gt;0),tblFleet[[#This Row],[Available_h]]/tblFleet[[#This Row],[Calendar_h]],"")</f>
        <v/>
      </c>
      <c r="J2962" s="60">
        <f>IF(AND(tblFleet[[#This Row],[Units]]&lt;&gt;"",tblFleet[[#This Row],[Available_h]]&gt;0),tblFleet[[#This Row],[Operating_h]]/tblFleet[[#This Row],[Available_h]],"")</f>
        <v/>
      </c>
    </row>
    <row r="2963">
      <c r="A2963" s="54" t="n"/>
      <c r="B2963" s="61" t="n"/>
      <c r="C2963" s="62" t="n"/>
      <c r="D2963" s="57" t="n"/>
      <c r="E2963" s="57" t="n"/>
      <c r="F2963" s="58" t="n"/>
      <c r="G2963" s="66">
        <f>IF(tblFleet[[#This Row],[Units]]="","",tblFleet[[#This Row],[Units]]*cfg_HoursPerDay)</f>
        <v/>
      </c>
      <c r="H2963" s="66">
        <f>IF(tblFleet[[#This Row],[Units]]="","",tblFleet[[#This Row],[Calendar_h]]-tblFleet[[#This Row],[Down_h]])</f>
        <v/>
      </c>
      <c r="I2963" s="60">
        <f>IF(AND(tblFleet[[#This Row],[Units]]&lt;&gt;"",tblFleet[[#This Row],[Calendar_h]]&gt;0),tblFleet[[#This Row],[Available_h]]/tblFleet[[#This Row],[Calendar_h]],"")</f>
        <v/>
      </c>
      <c r="J2963" s="60">
        <f>IF(AND(tblFleet[[#This Row],[Units]]&lt;&gt;"",tblFleet[[#This Row],[Available_h]]&gt;0),tblFleet[[#This Row],[Operating_h]]/tblFleet[[#This Row],[Available_h]],"")</f>
        <v/>
      </c>
    </row>
    <row r="2964">
      <c r="A2964" s="54" t="n"/>
      <c r="B2964" s="61" t="n"/>
      <c r="C2964" s="62" t="n"/>
      <c r="D2964" s="57" t="n"/>
      <c r="E2964" s="57" t="n"/>
      <c r="F2964" s="58" t="n"/>
      <c r="G2964" s="66">
        <f>IF(tblFleet[[#This Row],[Units]]="","",tblFleet[[#This Row],[Units]]*cfg_HoursPerDay)</f>
        <v/>
      </c>
      <c r="H2964" s="66">
        <f>IF(tblFleet[[#This Row],[Units]]="","",tblFleet[[#This Row],[Calendar_h]]-tblFleet[[#This Row],[Down_h]])</f>
        <v/>
      </c>
      <c r="I2964" s="60">
        <f>IF(AND(tblFleet[[#This Row],[Units]]&lt;&gt;"",tblFleet[[#This Row],[Calendar_h]]&gt;0),tblFleet[[#This Row],[Available_h]]/tblFleet[[#This Row],[Calendar_h]],"")</f>
        <v/>
      </c>
      <c r="J2964" s="60">
        <f>IF(AND(tblFleet[[#This Row],[Units]]&lt;&gt;"",tblFleet[[#This Row],[Available_h]]&gt;0),tblFleet[[#This Row],[Operating_h]]/tblFleet[[#This Row],[Available_h]],"")</f>
        <v/>
      </c>
    </row>
    <row r="2965">
      <c r="A2965" s="54" t="n"/>
      <c r="B2965" s="61" t="n"/>
      <c r="C2965" s="62" t="n"/>
      <c r="D2965" s="57" t="n"/>
      <c r="E2965" s="57" t="n"/>
      <c r="F2965" s="58" t="n"/>
      <c r="G2965" s="66">
        <f>IF(tblFleet[[#This Row],[Units]]="","",tblFleet[[#This Row],[Units]]*cfg_HoursPerDay)</f>
        <v/>
      </c>
      <c r="H2965" s="66">
        <f>IF(tblFleet[[#This Row],[Units]]="","",tblFleet[[#This Row],[Calendar_h]]-tblFleet[[#This Row],[Down_h]])</f>
        <v/>
      </c>
      <c r="I2965" s="60">
        <f>IF(AND(tblFleet[[#This Row],[Units]]&lt;&gt;"",tblFleet[[#This Row],[Calendar_h]]&gt;0),tblFleet[[#This Row],[Available_h]]/tblFleet[[#This Row],[Calendar_h]],"")</f>
        <v/>
      </c>
      <c r="J2965" s="60">
        <f>IF(AND(tblFleet[[#This Row],[Units]]&lt;&gt;"",tblFleet[[#This Row],[Available_h]]&gt;0),tblFleet[[#This Row],[Operating_h]]/tblFleet[[#This Row],[Available_h]],"")</f>
        <v/>
      </c>
    </row>
    <row r="2966">
      <c r="A2966" s="54" t="n"/>
      <c r="B2966" s="61" t="n"/>
      <c r="C2966" s="62" t="n"/>
      <c r="D2966" s="57" t="n"/>
      <c r="E2966" s="57" t="n"/>
      <c r="F2966" s="58" t="n"/>
      <c r="G2966" s="66">
        <f>IF(tblFleet[[#This Row],[Units]]="","",tblFleet[[#This Row],[Units]]*cfg_HoursPerDay)</f>
        <v/>
      </c>
      <c r="H2966" s="66">
        <f>IF(tblFleet[[#This Row],[Units]]="","",tblFleet[[#This Row],[Calendar_h]]-tblFleet[[#This Row],[Down_h]])</f>
        <v/>
      </c>
      <c r="I2966" s="60">
        <f>IF(AND(tblFleet[[#This Row],[Units]]&lt;&gt;"",tblFleet[[#This Row],[Calendar_h]]&gt;0),tblFleet[[#This Row],[Available_h]]/tblFleet[[#This Row],[Calendar_h]],"")</f>
        <v/>
      </c>
      <c r="J2966" s="60">
        <f>IF(AND(tblFleet[[#This Row],[Units]]&lt;&gt;"",tblFleet[[#This Row],[Available_h]]&gt;0),tblFleet[[#This Row],[Operating_h]]/tblFleet[[#This Row],[Available_h]],"")</f>
        <v/>
      </c>
    </row>
    <row r="2967">
      <c r="A2967" s="54" t="n"/>
      <c r="B2967" s="61" t="n"/>
      <c r="C2967" s="62" t="n"/>
      <c r="D2967" s="57" t="n"/>
      <c r="E2967" s="57" t="n"/>
      <c r="F2967" s="58" t="n"/>
      <c r="G2967" s="66">
        <f>IF(tblFleet[[#This Row],[Units]]="","",tblFleet[[#This Row],[Units]]*cfg_HoursPerDay)</f>
        <v/>
      </c>
      <c r="H2967" s="66">
        <f>IF(tblFleet[[#This Row],[Units]]="","",tblFleet[[#This Row],[Calendar_h]]-tblFleet[[#This Row],[Down_h]])</f>
        <v/>
      </c>
      <c r="I2967" s="60">
        <f>IF(AND(tblFleet[[#This Row],[Units]]&lt;&gt;"",tblFleet[[#This Row],[Calendar_h]]&gt;0),tblFleet[[#This Row],[Available_h]]/tblFleet[[#This Row],[Calendar_h]],"")</f>
        <v/>
      </c>
      <c r="J2967" s="60">
        <f>IF(AND(tblFleet[[#This Row],[Units]]&lt;&gt;"",tblFleet[[#This Row],[Available_h]]&gt;0),tblFleet[[#This Row],[Operating_h]]/tblFleet[[#This Row],[Available_h]],"")</f>
        <v/>
      </c>
    </row>
    <row r="2968">
      <c r="A2968" s="54" t="n"/>
      <c r="B2968" s="61" t="n"/>
      <c r="C2968" s="62" t="n"/>
      <c r="D2968" s="57" t="n"/>
      <c r="E2968" s="57" t="n"/>
      <c r="F2968" s="58" t="n"/>
      <c r="G2968" s="66">
        <f>IF(tblFleet[[#This Row],[Units]]="","",tblFleet[[#This Row],[Units]]*cfg_HoursPerDay)</f>
        <v/>
      </c>
      <c r="H2968" s="66">
        <f>IF(tblFleet[[#This Row],[Units]]="","",tblFleet[[#This Row],[Calendar_h]]-tblFleet[[#This Row],[Down_h]])</f>
        <v/>
      </c>
      <c r="I2968" s="60">
        <f>IF(AND(tblFleet[[#This Row],[Units]]&lt;&gt;"",tblFleet[[#This Row],[Calendar_h]]&gt;0),tblFleet[[#This Row],[Available_h]]/tblFleet[[#This Row],[Calendar_h]],"")</f>
        <v/>
      </c>
      <c r="J2968" s="60">
        <f>IF(AND(tblFleet[[#This Row],[Units]]&lt;&gt;"",tblFleet[[#This Row],[Available_h]]&gt;0),tblFleet[[#This Row],[Operating_h]]/tblFleet[[#This Row],[Available_h]],"")</f>
        <v/>
      </c>
    </row>
    <row r="2969">
      <c r="A2969" s="54" t="n"/>
      <c r="B2969" s="61" t="n"/>
      <c r="C2969" s="62" t="n"/>
      <c r="D2969" s="57" t="n"/>
      <c r="E2969" s="57" t="n"/>
      <c r="F2969" s="58" t="n"/>
      <c r="G2969" s="66">
        <f>IF(tblFleet[[#This Row],[Units]]="","",tblFleet[[#This Row],[Units]]*cfg_HoursPerDay)</f>
        <v/>
      </c>
      <c r="H2969" s="66">
        <f>IF(tblFleet[[#This Row],[Units]]="","",tblFleet[[#This Row],[Calendar_h]]-tblFleet[[#This Row],[Down_h]])</f>
        <v/>
      </c>
      <c r="I2969" s="60">
        <f>IF(AND(tblFleet[[#This Row],[Units]]&lt;&gt;"",tblFleet[[#This Row],[Calendar_h]]&gt;0),tblFleet[[#This Row],[Available_h]]/tblFleet[[#This Row],[Calendar_h]],"")</f>
        <v/>
      </c>
      <c r="J2969" s="60">
        <f>IF(AND(tblFleet[[#This Row],[Units]]&lt;&gt;"",tblFleet[[#This Row],[Available_h]]&gt;0),tblFleet[[#This Row],[Operating_h]]/tblFleet[[#This Row],[Available_h]],"")</f>
        <v/>
      </c>
    </row>
    <row r="2970">
      <c r="A2970" s="54" t="n"/>
      <c r="B2970" s="61" t="n"/>
      <c r="C2970" s="62" t="n"/>
      <c r="D2970" s="57" t="n"/>
      <c r="E2970" s="57" t="n"/>
      <c r="F2970" s="58" t="n"/>
      <c r="G2970" s="66">
        <f>IF(tblFleet[[#This Row],[Units]]="","",tblFleet[[#This Row],[Units]]*cfg_HoursPerDay)</f>
        <v/>
      </c>
      <c r="H2970" s="66">
        <f>IF(tblFleet[[#This Row],[Units]]="","",tblFleet[[#This Row],[Calendar_h]]-tblFleet[[#This Row],[Down_h]])</f>
        <v/>
      </c>
      <c r="I2970" s="60">
        <f>IF(AND(tblFleet[[#This Row],[Units]]&lt;&gt;"",tblFleet[[#This Row],[Calendar_h]]&gt;0),tblFleet[[#This Row],[Available_h]]/tblFleet[[#This Row],[Calendar_h]],"")</f>
        <v/>
      </c>
      <c r="J2970" s="60">
        <f>IF(AND(tblFleet[[#This Row],[Units]]&lt;&gt;"",tblFleet[[#This Row],[Available_h]]&gt;0),tblFleet[[#This Row],[Operating_h]]/tblFleet[[#This Row],[Available_h]],"")</f>
        <v/>
      </c>
    </row>
    <row r="2971">
      <c r="A2971" s="54" t="n"/>
      <c r="B2971" s="61" t="n"/>
      <c r="C2971" s="62" t="n"/>
      <c r="D2971" s="57" t="n"/>
      <c r="E2971" s="57" t="n"/>
      <c r="F2971" s="58" t="n"/>
      <c r="G2971" s="66">
        <f>IF(tblFleet[[#This Row],[Units]]="","",tblFleet[[#This Row],[Units]]*cfg_HoursPerDay)</f>
        <v/>
      </c>
      <c r="H2971" s="66">
        <f>IF(tblFleet[[#This Row],[Units]]="","",tblFleet[[#This Row],[Calendar_h]]-tblFleet[[#This Row],[Down_h]])</f>
        <v/>
      </c>
      <c r="I2971" s="60">
        <f>IF(AND(tblFleet[[#This Row],[Units]]&lt;&gt;"",tblFleet[[#This Row],[Calendar_h]]&gt;0),tblFleet[[#This Row],[Available_h]]/tblFleet[[#This Row],[Calendar_h]],"")</f>
        <v/>
      </c>
      <c r="J2971" s="60">
        <f>IF(AND(tblFleet[[#This Row],[Units]]&lt;&gt;"",tblFleet[[#This Row],[Available_h]]&gt;0),tblFleet[[#This Row],[Operating_h]]/tblFleet[[#This Row],[Available_h]],"")</f>
        <v/>
      </c>
    </row>
    <row r="2972">
      <c r="A2972" s="54" t="n"/>
      <c r="B2972" s="61" t="n"/>
      <c r="C2972" s="62" t="n"/>
      <c r="D2972" s="57" t="n"/>
      <c r="E2972" s="57" t="n"/>
      <c r="F2972" s="58" t="n"/>
      <c r="G2972" s="66">
        <f>IF(tblFleet[[#This Row],[Units]]="","",tblFleet[[#This Row],[Units]]*cfg_HoursPerDay)</f>
        <v/>
      </c>
      <c r="H2972" s="66">
        <f>IF(tblFleet[[#This Row],[Units]]="","",tblFleet[[#This Row],[Calendar_h]]-tblFleet[[#This Row],[Down_h]])</f>
        <v/>
      </c>
      <c r="I2972" s="60">
        <f>IF(AND(tblFleet[[#This Row],[Units]]&lt;&gt;"",tblFleet[[#This Row],[Calendar_h]]&gt;0),tblFleet[[#This Row],[Available_h]]/tblFleet[[#This Row],[Calendar_h]],"")</f>
        <v/>
      </c>
      <c r="J2972" s="60">
        <f>IF(AND(tblFleet[[#This Row],[Units]]&lt;&gt;"",tblFleet[[#This Row],[Available_h]]&gt;0),tblFleet[[#This Row],[Operating_h]]/tblFleet[[#This Row],[Available_h]],"")</f>
        <v/>
      </c>
    </row>
    <row r="2973">
      <c r="A2973" s="54" t="n"/>
      <c r="B2973" s="61" t="n"/>
      <c r="C2973" s="62" t="n"/>
      <c r="D2973" s="57" t="n"/>
      <c r="E2973" s="57" t="n"/>
      <c r="F2973" s="58" t="n"/>
      <c r="G2973" s="66">
        <f>IF(tblFleet[[#This Row],[Units]]="","",tblFleet[[#This Row],[Units]]*cfg_HoursPerDay)</f>
        <v/>
      </c>
      <c r="H2973" s="66">
        <f>IF(tblFleet[[#This Row],[Units]]="","",tblFleet[[#This Row],[Calendar_h]]-tblFleet[[#This Row],[Down_h]])</f>
        <v/>
      </c>
      <c r="I2973" s="60">
        <f>IF(AND(tblFleet[[#This Row],[Units]]&lt;&gt;"",tblFleet[[#This Row],[Calendar_h]]&gt;0),tblFleet[[#This Row],[Available_h]]/tblFleet[[#This Row],[Calendar_h]],"")</f>
        <v/>
      </c>
      <c r="J2973" s="60">
        <f>IF(AND(tblFleet[[#This Row],[Units]]&lt;&gt;"",tblFleet[[#This Row],[Available_h]]&gt;0),tblFleet[[#This Row],[Operating_h]]/tblFleet[[#This Row],[Available_h]],"")</f>
        <v/>
      </c>
    </row>
    <row r="2974">
      <c r="A2974" s="54" t="n"/>
      <c r="B2974" s="61" t="n"/>
      <c r="C2974" s="62" t="n"/>
      <c r="D2974" s="57" t="n"/>
      <c r="E2974" s="57" t="n"/>
      <c r="F2974" s="58" t="n"/>
      <c r="G2974" s="66">
        <f>IF(tblFleet[[#This Row],[Units]]="","",tblFleet[[#This Row],[Units]]*cfg_HoursPerDay)</f>
        <v/>
      </c>
      <c r="H2974" s="66">
        <f>IF(tblFleet[[#This Row],[Units]]="","",tblFleet[[#This Row],[Calendar_h]]-tblFleet[[#This Row],[Down_h]])</f>
        <v/>
      </c>
      <c r="I2974" s="60">
        <f>IF(AND(tblFleet[[#This Row],[Units]]&lt;&gt;"",tblFleet[[#This Row],[Calendar_h]]&gt;0),tblFleet[[#This Row],[Available_h]]/tblFleet[[#This Row],[Calendar_h]],"")</f>
        <v/>
      </c>
      <c r="J2974" s="60">
        <f>IF(AND(tblFleet[[#This Row],[Units]]&lt;&gt;"",tblFleet[[#This Row],[Available_h]]&gt;0),tblFleet[[#This Row],[Operating_h]]/tblFleet[[#This Row],[Available_h]],"")</f>
        <v/>
      </c>
    </row>
    <row r="2975">
      <c r="A2975" s="54" t="n"/>
      <c r="B2975" s="61" t="n"/>
      <c r="C2975" s="62" t="n"/>
      <c r="D2975" s="57" t="n"/>
      <c r="E2975" s="57" t="n"/>
      <c r="F2975" s="58" t="n"/>
      <c r="G2975" s="66">
        <f>IF(tblFleet[[#This Row],[Units]]="","",tblFleet[[#This Row],[Units]]*cfg_HoursPerDay)</f>
        <v/>
      </c>
      <c r="H2975" s="66">
        <f>IF(tblFleet[[#This Row],[Units]]="","",tblFleet[[#This Row],[Calendar_h]]-tblFleet[[#This Row],[Down_h]])</f>
        <v/>
      </c>
      <c r="I2975" s="60">
        <f>IF(AND(tblFleet[[#This Row],[Units]]&lt;&gt;"",tblFleet[[#This Row],[Calendar_h]]&gt;0),tblFleet[[#This Row],[Available_h]]/tblFleet[[#This Row],[Calendar_h]],"")</f>
        <v/>
      </c>
      <c r="J2975" s="60">
        <f>IF(AND(tblFleet[[#This Row],[Units]]&lt;&gt;"",tblFleet[[#This Row],[Available_h]]&gt;0),tblFleet[[#This Row],[Operating_h]]/tblFleet[[#This Row],[Available_h]],"")</f>
        <v/>
      </c>
    </row>
    <row r="2976">
      <c r="A2976" s="54" t="n"/>
      <c r="B2976" s="61" t="n"/>
      <c r="C2976" s="62" t="n"/>
      <c r="D2976" s="57" t="n"/>
      <c r="E2976" s="57" t="n"/>
      <c r="F2976" s="58" t="n"/>
      <c r="G2976" s="66">
        <f>IF(tblFleet[[#This Row],[Units]]="","",tblFleet[[#This Row],[Units]]*cfg_HoursPerDay)</f>
        <v/>
      </c>
      <c r="H2976" s="66">
        <f>IF(tblFleet[[#This Row],[Units]]="","",tblFleet[[#This Row],[Calendar_h]]-tblFleet[[#This Row],[Down_h]])</f>
        <v/>
      </c>
      <c r="I2976" s="60">
        <f>IF(AND(tblFleet[[#This Row],[Units]]&lt;&gt;"",tblFleet[[#This Row],[Calendar_h]]&gt;0),tblFleet[[#This Row],[Available_h]]/tblFleet[[#This Row],[Calendar_h]],"")</f>
        <v/>
      </c>
      <c r="J2976" s="60">
        <f>IF(AND(tblFleet[[#This Row],[Units]]&lt;&gt;"",tblFleet[[#This Row],[Available_h]]&gt;0),tblFleet[[#This Row],[Operating_h]]/tblFleet[[#This Row],[Available_h]],"")</f>
        <v/>
      </c>
    </row>
    <row r="2977">
      <c r="A2977" s="54" t="n"/>
      <c r="B2977" s="61" t="n"/>
      <c r="C2977" s="62" t="n"/>
      <c r="D2977" s="57" t="n"/>
      <c r="E2977" s="57" t="n"/>
      <c r="F2977" s="58" t="n"/>
      <c r="G2977" s="66">
        <f>IF(tblFleet[[#This Row],[Units]]="","",tblFleet[[#This Row],[Units]]*cfg_HoursPerDay)</f>
        <v/>
      </c>
      <c r="H2977" s="66">
        <f>IF(tblFleet[[#This Row],[Units]]="","",tblFleet[[#This Row],[Calendar_h]]-tblFleet[[#This Row],[Down_h]])</f>
        <v/>
      </c>
      <c r="I2977" s="60">
        <f>IF(AND(tblFleet[[#This Row],[Units]]&lt;&gt;"",tblFleet[[#This Row],[Calendar_h]]&gt;0),tblFleet[[#This Row],[Available_h]]/tblFleet[[#This Row],[Calendar_h]],"")</f>
        <v/>
      </c>
      <c r="J2977" s="60">
        <f>IF(AND(tblFleet[[#This Row],[Units]]&lt;&gt;"",tblFleet[[#This Row],[Available_h]]&gt;0),tblFleet[[#This Row],[Operating_h]]/tblFleet[[#This Row],[Available_h]],"")</f>
        <v/>
      </c>
    </row>
    <row r="2978">
      <c r="A2978" s="54" t="n"/>
      <c r="B2978" s="61" t="n"/>
      <c r="C2978" s="62" t="n"/>
      <c r="D2978" s="57" t="n"/>
      <c r="E2978" s="57" t="n"/>
      <c r="F2978" s="58" t="n"/>
      <c r="G2978" s="66">
        <f>IF(tblFleet[[#This Row],[Units]]="","",tblFleet[[#This Row],[Units]]*cfg_HoursPerDay)</f>
        <v/>
      </c>
      <c r="H2978" s="66">
        <f>IF(tblFleet[[#This Row],[Units]]="","",tblFleet[[#This Row],[Calendar_h]]-tblFleet[[#This Row],[Down_h]])</f>
        <v/>
      </c>
      <c r="I2978" s="60">
        <f>IF(AND(tblFleet[[#This Row],[Units]]&lt;&gt;"",tblFleet[[#This Row],[Calendar_h]]&gt;0),tblFleet[[#This Row],[Available_h]]/tblFleet[[#This Row],[Calendar_h]],"")</f>
        <v/>
      </c>
      <c r="J2978" s="60">
        <f>IF(AND(tblFleet[[#This Row],[Units]]&lt;&gt;"",tblFleet[[#This Row],[Available_h]]&gt;0),tblFleet[[#This Row],[Operating_h]]/tblFleet[[#This Row],[Available_h]],"")</f>
        <v/>
      </c>
    </row>
    <row r="2979">
      <c r="A2979" s="54" t="n"/>
      <c r="B2979" s="61" t="n"/>
      <c r="C2979" s="62" t="n"/>
      <c r="D2979" s="57" t="n"/>
      <c r="E2979" s="57" t="n"/>
      <c r="F2979" s="58" t="n"/>
      <c r="G2979" s="66">
        <f>IF(tblFleet[[#This Row],[Units]]="","",tblFleet[[#This Row],[Units]]*cfg_HoursPerDay)</f>
        <v/>
      </c>
      <c r="H2979" s="66">
        <f>IF(tblFleet[[#This Row],[Units]]="","",tblFleet[[#This Row],[Calendar_h]]-tblFleet[[#This Row],[Down_h]])</f>
        <v/>
      </c>
      <c r="I2979" s="60">
        <f>IF(AND(tblFleet[[#This Row],[Units]]&lt;&gt;"",tblFleet[[#This Row],[Calendar_h]]&gt;0),tblFleet[[#This Row],[Available_h]]/tblFleet[[#This Row],[Calendar_h]],"")</f>
        <v/>
      </c>
      <c r="J2979" s="60">
        <f>IF(AND(tblFleet[[#This Row],[Units]]&lt;&gt;"",tblFleet[[#This Row],[Available_h]]&gt;0),tblFleet[[#This Row],[Operating_h]]/tblFleet[[#This Row],[Available_h]],"")</f>
        <v/>
      </c>
    </row>
    <row r="2980">
      <c r="A2980" s="54" t="n"/>
      <c r="B2980" s="61" t="n"/>
      <c r="C2980" s="62" t="n"/>
      <c r="D2980" s="57" t="n"/>
      <c r="E2980" s="57" t="n"/>
      <c r="F2980" s="58" t="n"/>
      <c r="G2980" s="66">
        <f>IF(tblFleet[[#This Row],[Units]]="","",tblFleet[[#This Row],[Units]]*cfg_HoursPerDay)</f>
        <v/>
      </c>
      <c r="H2980" s="66">
        <f>IF(tblFleet[[#This Row],[Units]]="","",tblFleet[[#This Row],[Calendar_h]]-tblFleet[[#This Row],[Down_h]])</f>
        <v/>
      </c>
      <c r="I2980" s="60">
        <f>IF(AND(tblFleet[[#This Row],[Units]]&lt;&gt;"",tblFleet[[#This Row],[Calendar_h]]&gt;0),tblFleet[[#This Row],[Available_h]]/tblFleet[[#This Row],[Calendar_h]],"")</f>
        <v/>
      </c>
      <c r="J2980" s="60">
        <f>IF(AND(tblFleet[[#This Row],[Units]]&lt;&gt;"",tblFleet[[#This Row],[Available_h]]&gt;0),tblFleet[[#This Row],[Operating_h]]/tblFleet[[#This Row],[Available_h]],"")</f>
        <v/>
      </c>
    </row>
    <row r="2981">
      <c r="A2981" s="54" t="n"/>
      <c r="B2981" s="61" t="n"/>
      <c r="C2981" s="62" t="n"/>
      <c r="D2981" s="57" t="n"/>
      <c r="E2981" s="57" t="n"/>
      <c r="F2981" s="58" t="n"/>
      <c r="G2981" s="66">
        <f>IF(tblFleet[[#This Row],[Units]]="","",tblFleet[[#This Row],[Units]]*cfg_HoursPerDay)</f>
        <v/>
      </c>
      <c r="H2981" s="66">
        <f>IF(tblFleet[[#This Row],[Units]]="","",tblFleet[[#This Row],[Calendar_h]]-tblFleet[[#This Row],[Down_h]])</f>
        <v/>
      </c>
      <c r="I2981" s="60">
        <f>IF(AND(tblFleet[[#This Row],[Units]]&lt;&gt;"",tblFleet[[#This Row],[Calendar_h]]&gt;0),tblFleet[[#This Row],[Available_h]]/tblFleet[[#This Row],[Calendar_h]],"")</f>
        <v/>
      </c>
      <c r="J2981" s="60">
        <f>IF(AND(tblFleet[[#This Row],[Units]]&lt;&gt;"",tblFleet[[#This Row],[Available_h]]&gt;0),tblFleet[[#This Row],[Operating_h]]/tblFleet[[#This Row],[Available_h]],"")</f>
        <v/>
      </c>
    </row>
    <row r="2982">
      <c r="A2982" s="54" t="n"/>
      <c r="B2982" s="61" t="n"/>
      <c r="C2982" s="62" t="n"/>
      <c r="D2982" s="57" t="n"/>
      <c r="E2982" s="57" t="n"/>
      <c r="F2982" s="58" t="n"/>
      <c r="G2982" s="66">
        <f>IF(tblFleet[[#This Row],[Units]]="","",tblFleet[[#This Row],[Units]]*cfg_HoursPerDay)</f>
        <v/>
      </c>
      <c r="H2982" s="66">
        <f>IF(tblFleet[[#This Row],[Units]]="","",tblFleet[[#This Row],[Calendar_h]]-tblFleet[[#This Row],[Down_h]])</f>
        <v/>
      </c>
      <c r="I2982" s="60">
        <f>IF(AND(tblFleet[[#This Row],[Units]]&lt;&gt;"",tblFleet[[#This Row],[Calendar_h]]&gt;0),tblFleet[[#This Row],[Available_h]]/tblFleet[[#This Row],[Calendar_h]],"")</f>
        <v/>
      </c>
      <c r="J2982" s="60">
        <f>IF(AND(tblFleet[[#This Row],[Units]]&lt;&gt;"",tblFleet[[#This Row],[Available_h]]&gt;0),tblFleet[[#This Row],[Operating_h]]/tblFleet[[#This Row],[Available_h]],"")</f>
        <v/>
      </c>
    </row>
    <row r="2983">
      <c r="A2983" s="54" t="n"/>
      <c r="B2983" s="61" t="n"/>
      <c r="C2983" s="62" t="n"/>
      <c r="D2983" s="57" t="n"/>
      <c r="E2983" s="57" t="n"/>
      <c r="F2983" s="58" t="n"/>
      <c r="G2983" s="66">
        <f>IF(tblFleet[[#This Row],[Units]]="","",tblFleet[[#This Row],[Units]]*cfg_HoursPerDay)</f>
        <v/>
      </c>
      <c r="H2983" s="66">
        <f>IF(tblFleet[[#This Row],[Units]]="","",tblFleet[[#This Row],[Calendar_h]]-tblFleet[[#This Row],[Down_h]])</f>
        <v/>
      </c>
      <c r="I2983" s="60">
        <f>IF(AND(tblFleet[[#This Row],[Units]]&lt;&gt;"",tblFleet[[#This Row],[Calendar_h]]&gt;0),tblFleet[[#This Row],[Available_h]]/tblFleet[[#This Row],[Calendar_h]],"")</f>
        <v/>
      </c>
      <c r="J2983" s="60">
        <f>IF(AND(tblFleet[[#This Row],[Units]]&lt;&gt;"",tblFleet[[#This Row],[Available_h]]&gt;0),tblFleet[[#This Row],[Operating_h]]/tblFleet[[#This Row],[Available_h]],"")</f>
        <v/>
      </c>
    </row>
    <row r="2984">
      <c r="A2984" s="54" t="n"/>
      <c r="B2984" s="61" t="n"/>
      <c r="C2984" s="62" t="n"/>
      <c r="D2984" s="57" t="n"/>
      <c r="E2984" s="57" t="n"/>
      <c r="F2984" s="58" t="n"/>
      <c r="G2984" s="66">
        <f>IF(tblFleet[[#This Row],[Units]]="","",tblFleet[[#This Row],[Units]]*cfg_HoursPerDay)</f>
        <v/>
      </c>
      <c r="H2984" s="66">
        <f>IF(tblFleet[[#This Row],[Units]]="","",tblFleet[[#This Row],[Calendar_h]]-tblFleet[[#This Row],[Down_h]])</f>
        <v/>
      </c>
      <c r="I2984" s="60">
        <f>IF(AND(tblFleet[[#This Row],[Units]]&lt;&gt;"",tblFleet[[#This Row],[Calendar_h]]&gt;0),tblFleet[[#This Row],[Available_h]]/tblFleet[[#This Row],[Calendar_h]],"")</f>
        <v/>
      </c>
      <c r="J2984" s="60">
        <f>IF(AND(tblFleet[[#This Row],[Units]]&lt;&gt;"",tblFleet[[#This Row],[Available_h]]&gt;0),tblFleet[[#This Row],[Operating_h]]/tblFleet[[#This Row],[Available_h]],"")</f>
        <v/>
      </c>
    </row>
    <row r="2985">
      <c r="A2985" s="54" t="n"/>
      <c r="B2985" s="61" t="n"/>
      <c r="C2985" s="62" t="n"/>
      <c r="D2985" s="57" t="n"/>
      <c r="E2985" s="57" t="n"/>
      <c r="F2985" s="58" t="n"/>
      <c r="G2985" s="66">
        <f>IF(tblFleet[[#This Row],[Units]]="","",tblFleet[[#This Row],[Units]]*cfg_HoursPerDay)</f>
        <v/>
      </c>
      <c r="H2985" s="66">
        <f>IF(tblFleet[[#This Row],[Units]]="","",tblFleet[[#This Row],[Calendar_h]]-tblFleet[[#This Row],[Down_h]])</f>
        <v/>
      </c>
      <c r="I2985" s="60">
        <f>IF(AND(tblFleet[[#This Row],[Units]]&lt;&gt;"",tblFleet[[#This Row],[Calendar_h]]&gt;0),tblFleet[[#This Row],[Available_h]]/tblFleet[[#This Row],[Calendar_h]],"")</f>
        <v/>
      </c>
      <c r="J2985" s="60">
        <f>IF(AND(tblFleet[[#This Row],[Units]]&lt;&gt;"",tblFleet[[#This Row],[Available_h]]&gt;0),tblFleet[[#This Row],[Operating_h]]/tblFleet[[#This Row],[Available_h]],"")</f>
        <v/>
      </c>
    </row>
    <row r="2986">
      <c r="A2986" s="54" t="n"/>
      <c r="B2986" s="61" t="n"/>
      <c r="C2986" s="62" t="n"/>
      <c r="D2986" s="57" t="n"/>
      <c r="E2986" s="57" t="n"/>
      <c r="F2986" s="58" t="n"/>
      <c r="G2986" s="66">
        <f>IF(tblFleet[[#This Row],[Units]]="","",tblFleet[[#This Row],[Units]]*cfg_HoursPerDay)</f>
        <v/>
      </c>
      <c r="H2986" s="66">
        <f>IF(tblFleet[[#This Row],[Units]]="","",tblFleet[[#This Row],[Calendar_h]]-tblFleet[[#This Row],[Down_h]])</f>
        <v/>
      </c>
      <c r="I2986" s="60">
        <f>IF(AND(tblFleet[[#This Row],[Units]]&lt;&gt;"",tblFleet[[#This Row],[Calendar_h]]&gt;0),tblFleet[[#This Row],[Available_h]]/tblFleet[[#This Row],[Calendar_h]],"")</f>
        <v/>
      </c>
      <c r="J2986" s="60">
        <f>IF(AND(tblFleet[[#This Row],[Units]]&lt;&gt;"",tblFleet[[#This Row],[Available_h]]&gt;0),tblFleet[[#This Row],[Operating_h]]/tblFleet[[#This Row],[Available_h]],"")</f>
        <v/>
      </c>
    </row>
    <row r="2987">
      <c r="A2987" s="54" t="n"/>
      <c r="B2987" s="61" t="n"/>
      <c r="C2987" s="62" t="n"/>
      <c r="D2987" s="57" t="n"/>
      <c r="E2987" s="57" t="n"/>
      <c r="F2987" s="58" t="n"/>
      <c r="G2987" s="66">
        <f>IF(tblFleet[[#This Row],[Units]]="","",tblFleet[[#This Row],[Units]]*cfg_HoursPerDay)</f>
        <v/>
      </c>
      <c r="H2987" s="66">
        <f>IF(tblFleet[[#This Row],[Units]]="","",tblFleet[[#This Row],[Calendar_h]]-tblFleet[[#This Row],[Down_h]])</f>
        <v/>
      </c>
      <c r="I2987" s="60">
        <f>IF(AND(tblFleet[[#This Row],[Units]]&lt;&gt;"",tblFleet[[#This Row],[Calendar_h]]&gt;0),tblFleet[[#This Row],[Available_h]]/tblFleet[[#This Row],[Calendar_h]],"")</f>
        <v/>
      </c>
      <c r="J2987" s="60">
        <f>IF(AND(tblFleet[[#This Row],[Units]]&lt;&gt;"",tblFleet[[#This Row],[Available_h]]&gt;0),tblFleet[[#This Row],[Operating_h]]/tblFleet[[#This Row],[Available_h]],"")</f>
        <v/>
      </c>
    </row>
    <row r="2988">
      <c r="A2988" s="54" t="n"/>
      <c r="B2988" s="61" t="n"/>
      <c r="C2988" s="62" t="n"/>
      <c r="D2988" s="57" t="n"/>
      <c r="E2988" s="57" t="n"/>
      <c r="F2988" s="58" t="n"/>
      <c r="G2988" s="66">
        <f>IF(tblFleet[[#This Row],[Units]]="","",tblFleet[[#This Row],[Units]]*cfg_HoursPerDay)</f>
        <v/>
      </c>
      <c r="H2988" s="66">
        <f>IF(tblFleet[[#This Row],[Units]]="","",tblFleet[[#This Row],[Calendar_h]]-tblFleet[[#This Row],[Down_h]])</f>
        <v/>
      </c>
      <c r="I2988" s="60">
        <f>IF(AND(tblFleet[[#This Row],[Units]]&lt;&gt;"",tblFleet[[#This Row],[Calendar_h]]&gt;0),tblFleet[[#This Row],[Available_h]]/tblFleet[[#This Row],[Calendar_h]],"")</f>
        <v/>
      </c>
      <c r="J2988" s="60">
        <f>IF(AND(tblFleet[[#This Row],[Units]]&lt;&gt;"",tblFleet[[#This Row],[Available_h]]&gt;0),tblFleet[[#This Row],[Operating_h]]/tblFleet[[#This Row],[Available_h]],"")</f>
        <v/>
      </c>
    </row>
    <row r="2989">
      <c r="A2989" s="54" t="n"/>
      <c r="B2989" s="61" t="n"/>
      <c r="C2989" s="62" t="n"/>
      <c r="D2989" s="57" t="n"/>
      <c r="E2989" s="57" t="n"/>
      <c r="F2989" s="58" t="n"/>
      <c r="G2989" s="66">
        <f>IF(tblFleet[[#This Row],[Units]]="","",tblFleet[[#This Row],[Units]]*cfg_HoursPerDay)</f>
        <v/>
      </c>
      <c r="H2989" s="66">
        <f>IF(tblFleet[[#This Row],[Units]]="","",tblFleet[[#This Row],[Calendar_h]]-tblFleet[[#This Row],[Down_h]])</f>
        <v/>
      </c>
      <c r="I2989" s="60">
        <f>IF(AND(tblFleet[[#This Row],[Units]]&lt;&gt;"",tblFleet[[#This Row],[Calendar_h]]&gt;0),tblFleet[[#This Row],[Available_h]]/tblFleet[[#This Row],[Calendar_h]],"")</f>
        <v/>
      </c>
      <c r="J2989" s="60">
        <f>IF(AND(tblFleet[[#This Row],[Units]]&lt;&gt;"",tblFleet[[#This Row],[Available_h]]&gt;0),tblFleet[[#This Row],[Operating_h]]/tblFleet[[#This Row],[Available_h]],"")</f>
        <v/>
      </c>
    </row>
    <row r="2990">
      <c r="A2990" s="54" t="n"/>
      <c r="B2990" s="61" t="n"/>
      <c r="C2990" s="62" t="n"/>
      <c r="D2990" s="57" t="n"/>
      <c r="E2990" s="57" t="n"/>
      <c r="F2990" s="58" t="n"/>
      <c r="G2990" s="66">
        <f>IF(tblFleet[[#This Row],[Units]]="","",tblFleet[[#This Row],[Units]]*cfg_HoursPerDay)</f>
        <v/>
      </c>
      <c r="H2990" s="66">
        <f>IF(tblFleet[[#This Row],[Units]]="","",tblFleet[[#This Row],[Calendar_h]]-tblFleet[[#This Row],[Down_h]])</f>
        <v/>
      </c>
      <c r="I2990" s="60">
        <f>IF(AND(tblFleet[[#This Row],[Units]]&lt;&gt;"",tblFleet[[#This Row],[Calendar_h]]&gt;0),tblFleet[[#This Row],[Available_h]]/tblFleet[[#This Row],[Calendar_h]],"")</f>
        <v/>
      </c>
      <c r="J2990" s="60">
        <f>IF(AND(tblFleet[[#This Row],[Units]]&lt;&gt;"",tblFleet[[#This Row],[Available_h]]&gt;0),tblFleet[[#This Row],[Operating_h]]/tblFleet[[#This Row],[Available_h]],"")</f>
        <v/>
      </c>
    </row>
    <row r="2991">
      <c r="A2991" s="54" t="n"/>
      <c r="B2991" s="61" t="n"/>
      <c r="C2991" s="62" t="n"/>
      <c r="D2991" s="57" t="n"/>
      <c r="E2991" s="57" t="n"/>
      <c r="F2991" s="58" t="n"/>
      <c r="G2991" s="66">
        <f>IF(tblFleet[[#This Row],[Units]]="","",tblFleet[[#This Row],[Units]]*cfg_HoursPerDay)</f>
        <v/>
      </c>
      <c r="H2991" s="66">
        <f>IF(tblFleet[[#This Row],[Units]]="","",tblFleet[[#This Row],[Calendar_h]]-tblFleet[[#This Row],[Down_h]])</f>
        <v/>
      </c>
      <c r="I2991" s="60">
        <f>IF(AND(tblFleet[[#This Row],[Units]]&lt;&gt;"",tblFleet[[#This Row],[Calendar_h]]&gt;0),tblFleet[[#This Row],[Available_h]]/tblFleet[[#This Row],[Calendar_h]],"")</f>
        <v/>
      </c>
      <c r="J2991" s="60">
        <f>IF(AND(tblFleet[[#This Row],[Units]]&lt;&gt;"",tblFleet[[#This Row],[Available_h]]&gt;0),tblFleet[[#This Row],[Operating_h]]/tblFleet[[#This Row],[Available_h]],"")</f>
        <v/>
      </c>
    </row>
    <row r="2992">
      <c r="A2992" s="54" t="n"/>
      <c r="B2992" s="61" t="n"/>
      <c r="C2992" s="62" t="n"/>
      <c r="D2992" s="57" t="n"/>
      <c r="E2992" s="57" t="n"/>
      <c r="F2992" s="58" t="n"/>
      <c r="G2992" s="66">
        <f>IF(tblFleet[[#This Row],[Units]]="","",tblFleet[[#This Row],[Units]]*cfg_HoursPerDay)</f>
        <v/>
      </c>
      <c r="H2992" s="66">
        <f>IF(tblFleet[[#This Row],[Units]]="","",tblFleet[[#This Row],[Calendar_h]]-tblFleet[[#This Row],[Down_h]])</f>
        <v/>
      </c>
      <c r="I2992" s="60">
        <f>IF(AND(tblFleet[[#This Row],[Units]]&lt;&gt;"",tblFleet[[#This Row],[Calendar_h]]&gt;0),tblFleet[[#This Row],[Available_h]]/tblFleet[[#This Row],[Calendar_h]],"")</f>
        <v/>
      </c>
      <c r="J2992" s="60">
        <f>IF(AND(tblFleet[[#This Row],[Units]]&lt;&gt;"",tblFleet[[#This Row],[Available_h]]&gt;0),tblFleet[[#This Row],[Operating_h]]/tblFleet[[#This Row],[Available_h]],"")</f>
        <v/>
      </c>
    </row>
    <row r="2993">
      <c r="A2993" s="54" t="n"/>
      <c r="B2993" s="61" t="n"/>
      <c r="C2993" s="62" t="n"/>
      <c r="D2993" s="57" t="n"/>
      <c r="E2993" s="57" t="n"/>
      <c r="F2993" s="58" t="n"/>
      <c r="G2993" s="66">
        <f>IF(tblFleet[[#This Row],[Units]]="","",tblFleet[[#This Row],[Units]]*cfg_HoursPerDay)</f>
        <v/>
      </c>
      <c r="H2993" s="66">
        <f>IF(tblFleet[[#This Row],[Units]]="","",tblFleet[[#This Row],[Calendar_h]]-tblFleet[[#This Row],[Down_h]])</f>
        <v/>
      </c>
      <c r="I2993" s="60">
        <f>IF(AND(tblFleet[[#This Row],[Units]]&lt;&gt;"",tblFleet[[#This Row],[Calendar_h]]&gt;0),tblFleet[[#This Row],[Available_h]]/tblFleet[[#This Row],[Calendar_h]],"")</f>
        <v/>
      </c>
      <c r="J2993" s="60">
        <f>IF(AND(tblFleet[[#This Row],[Units]]&lt;&gt;"",tblFleet[[#This Row],[Available_h]]&gt;0),tblFleet[[#This Row],[Operating_h]]/tblFleet[[#This Row],[Available_h]],"")</f>
        <v/>
      </c>
    </row>
    <row r="2994">
      <c r="A2994" s="54" t="n"/>
      <c r="B2994" s="61" t="n"/>
      <c r="C2994" s="62" t="n"/>
      <c r="D2994" s="57" t="n"/>
      <c r="E2994" s="57" t="n"/>
      <c r="F2994" s="58" t="n"/>
      <c r="G2994" s="66">
        <f>IF(tblFleet[[#This Row],[Units]]="","",tblFleet[[#This Row],[Units]]*cfg_HoursPerDay)</f>
        <v/>
      </c>
      <c r="H2994" s="66">
        <f>IF(tblFleet[[#This Row],[Units]]="","",tblFleet[[#This Row],[Calendar_h]]-tblFleet[[#This Row],[Down_h]])</f>
        <v/>
      </c>
      <c r="I2994" s="60">
        <f>IF(AND(tblFleet[[#This Row],[Units]]&lt;&gt;"",tblFleet[[#This Row],[Calendar_h]]&gt;0),tblFleet[[#This Row],[Available_h]]/tblFleet[[#This Row],[Calendar_h]],"")</f>
        <v/>
      </c>
      <c r="J2994" s="60">
        <f>IF(AND(tblFleet[[#This Row],[Units]]&lt;&gt;"",tblFleet[[#This Row],[Available_h]]&gt;0),tblFleet[[#This Row],[Operating_h]]/tblFleet[[#This Row],[Available_h]],"")</f>
        <v/>
      </c>
    </row>
    <row r="2995">
      <c r="A2995" s="54" t="n"/>
      <c r="B2995" s="61" t="n"/>
      <c r="C2995" s="62" t="n"/>
      <c r="D2995" s="57" t="n"/>
      <c r="E2995" s="57" t="n"/>
      <c r="F2995" s="58" t="n"/>
      <c r="G2995" s="66">
        <f>IF(tblFleet[[#This Row],[Units]]="","",tblFleet[[#This Row],[Units]]*cfg_HoursPerDay)</f>
        <v/>
      </c>
      <c r="H2995" s="66">
        <f>IF(tblFleet[[#This Row],[Units]]="","",tblFleet[[#This Row],[Calendar_h]]-tblFleet[[#This Row],[Down_h]])</f>
        <v/>
      </c>
      <c r="I2995" s="60">
        <f>IF(AND(tblFleet[[#This Row],[Units]]&lt;&gt;"",tblFleet[[#This Row],[Calendar_h]]&gt;0),tblFleet[[#This Row],[Available_h]]/tblFleet[[#This Row],[Calendar_h]],"")</f>
        <v/>
      </c>
      <c r="J2995" s="60">
        <f>IF(AND(tblFleet[[#This Row],[Units]]&lt;&gt;"",tblFleet[[#This Row],[Available_h]]&gt;0),tblFleet[[#This Row],[Operating_h]]/tblFleet[[#This Row],[Available_h]],"")</f>
        <v/>
      </c>
    </row>
    <row r="2996">
      <c r="A2996" s="54" t="n"/>
      <c r="B2996" s="61" t="n"/>
      <c r="C2996" s="62" t="n"/>
      <c r="D2996" s="57" t="n"/>
      <c r="E2996" s="57" t="n"/>
      <c r="F2996" s="58" t="n"/>
      <c r="G2996" s="66">
        <f>IF(tblFleet[[#This Row],[Units]]="","",tblFleet[[#This Row],[Units]]*cfg_HoursPerDay)</f>
        <v/>
      </c>
      <c r="H2996" s="66">
        <f>IF(tblFleet[[#This Row],[Units]]="","",tblFleet[[#This Row],[Calendar_h]]-tblFleet[[#This Row],[Down_h]])</f>
        <v/>
      </c>
      <c r="I2996" s="60">
        <f>IF(AND(tblFleet[[#This Row],[Units]]&lt;&gt;"",tblFleet[[#This Row],[Calendar_h]]&gt;0),tblFleet[[#This Row],[Available_h]]/tblFleet[[#This Row],[Calendar_h]],"")</f>
        <v/>
      </c>
      <c r="J2996" s="60">
        <f>IF(AND(tblFleet[[#This Row],[Units]]&lt;&gt;"",tblFleet[[#This Row],[Available_h]]&gt;0),tblFleet[[#This Row],[Operating_h]]/tblFleet[[#This Row],[Available_h]],"")</f>
        <v/>
      </c>
    </row>
    <row r="2997">
      <c r="A2997" s="54" t="n"/>
      <c r="B2997" s="61" t="n"/>
      <c r="C2997" s="62" t="n"/>
      <c r="D2997" s="57" t="n"/>
      <c r="E2997" s="57" t="n"/>
      <c r="F2997" s="58" t="n"/>
      <c r="G2997" s="66">
        <f>IF(tblFleet[[#This Row],[Units]]="","",tblFleet[[#This Row],[Units]]*cfg_HoursPerDay)</f>
        <v/>
      </c>
      <c r="H2997" s="66">
        <f>IF(tblFleet[[#This Row],[Units]]="","",tblFleet[[#This Row],[Calendar_h]]-tblFleet[[#This Row],[Down_h]])</f>
        <v/>
      </c>
      <c r="I2997" s="60">
        <f>IF(AND(tblFleet[[#This Row],[Units]]&lt;&gt;"",tblFleet[[#This Row],[Calendar_h]]&gt;0),tblFleet[[#This Row],[Available_h]]/tblFleet[[#This Row],[Calendar_h]],"")</f>
        <v/>
      </c>
      <c r="J2997" s="60">
        <f>IF(AND(tblFleet[[#This Row],[Units]]&lt;&gt;"",tblFleet[[#This Row],[Available_h]]&gt;0),tblFleet[[#This Row],[Operating_h]]/tblFleet[[#This Row],[Available_h]],"")</f>
        <v/>
      </c>
    </row>
    <row r="2998">
      <c r="A2998" s="54" t="n"/>
      <c r="B2998" s="61" t="n"/>
      <c r="C2998" s="62" t="n"/>
      <c r="D2998" s="57" t="n"/>
      <c r="E2998" s="57" t="n"/>
      <c r="F2998" s="58" t="n"/>
      <c r="G2998" s="66">
        <f>IF(tblFleet[[#This Row],[Units]]="","",tblFleet[[#This Row],[Units]]*cfg_HoursPerDay)</f>
        <v/>
      </c>
      <c r="H2998" s="66">
        <f>IF(tblFleet[[#This Row],[Units]]="","",tblFleet[[#This Row],[Calendar_h]]-tblFleet[[#This Row],[Down_h]])</f>
        <v/>
      </c>
      <c r="I2998" s="60">
        <f>IF(AND(tblFleet[[#This Row],[Units]]&lt;&gt;"",tblFleet[[#This Row],[Calendar_h]]&gt;0),tblFleet[[#This Row],[Available_h]]/tblFleet[[#This Row],[Calendar_h]],"")</f>
        <v/>
      </c>
      <c r="J2998" s="60">
        <f>IF(AND(tblFleet[[#This Row],[Units]]&lt;&gt;"",tblFleet[[#This Row],[Available_h]]&gt;0),tblFleet[[#This Row],[Operating_h]]/tblFleet[[#This Row],[Available_h]],"")</f>
        <v/>
      </c>
    </row>
    <row r="2999">
      <c r="A2999" s="54" t="n"/>
      <c r="B2999" s="61" t="n"/>
      <c r="C2999" s="62" t="n"/>
      <c r="D2999" s="57" t="n"/>
      <c r="E2999" s="57" t="n"/>
      <c r="F2999" s="58" t="n"/>
      <c r="G2999" s="66">
        <f>IF(tblFleet[[#This Row],[Units]]="","",tblFleet[[#This Row],[Units]]*cfg_HoursPerDay)</f>
        <v/>
      </c>
      <c r="H2999" s="66">
        <f>IF(tblFleet[[#This Row],[Units]]="","",tblFleet[[#This Row],[Calendar_h]]-tblFleet[[#This Row],[Down_h]])</f>
        <v/>
      </c>
      <c r="I2999" s="60">
        <f>IF(AND(tblFleet[[#This Row],[Units]]&lt;&gt;"",tblFleet[[#This Row],[Calendar_h]]&gt;0),tblFleet[[#This Row],[Available_h]]/tblFleet[[#This Row],[Calendar_h]],"")</f>
        <v/>
      </c>
      <c r="J2999" s="60">
        <f>IF(AND(tblFleet[[#This Row],[Units]]&lt;&gt;"",tblFleet[[#This Row],[Available_h]]&gt;0),tblFleet[[#This Row],[Operating_h]]/tblFleet[[#This Row],[Available_h]],"")</f>
        <v/>
      </c>
    </row>
    <row r="3000">
      <c r="A3000" s="54" t="n"/>
      <c r="B3000" s="61" t="n"/>
      <c r="C3000" s="62" t="n"/>
      <c r="D3000" s="57" t="n"/>
      <c r="E3000" s="57" t="n"/>
      <c r="F3000" s="58" t="n"/>
      <c r="G3000" s="66">
        <f>IF(tblFleet[[#This Row],[Units]]="","",tblFleet[[#This Row],[Units]]*cfg_HoursPerDay)</f>
        <v/>
      </c>
      <c r="H3000" s="66">
        <f>IF(tblFleet[[#This Row],[Units]]="","",tblFleet[[#This Row],[Calendar_h]]-tblFleet[[#This Row],[Down_h]])</f>
        <v/>
      </c>
      <c r="I3000" s="60">
        <f>IF(AND(tblFleet[[#This Row],[Units]]&lt;&gt;"",tblFleet[[#This Row],[Calendar_h]]&gt;0),tblFleet[[#This Row],[Available_h]]/tblFleet[[#This Row],[Calendar_h]],"")</f>
        <v/>
      </c>
      <c r="J3000" s="60">
        <f>IF(AND(tblFleet[[#This Row],[Units]]&lt;&gt;"",tblFleet[[#This Row],[Available_h]]&gt;0),tblFleet[[#This Row],[Operating_h]]/tblFleet[[#This Row],[Available_h]],"")</f>
        <v/>
      </c>
    </row>
    <row r="3001">
      <c r="A3001" s="54" t="n"/>
      <c r="B3001" s="61" t="n"/>
      <c r="C3001" s="62" t="n"/>
      <c r="D3001" s="57" t="n"/>
      <c r="E3001" s="57" t="n"/>
      <c r="F3001" s="58" t="n"/>
      <c r="G3001" s="66">
        <f>IF(tblFleet[[#This Row],[Units]]="","",tblFleet[[#This Row],[Units]]*cfg_HoursPerDay)</f>
        <v/>
      </c>
      <c r="H3001" s="66">
        <f>IF(tblFleet[[#This Row],[Units]]="","",tblFleet[[#This Row],[Calendar_h]]-tblFleet[[#This Row],[Down_h]])</f>
        <v/>
      </c>
      <c r="I3001" s="60">
        <f>IF(AND(tblFleet[[#This Row],[Units]]&lt;&gt;"",tblFleet[[#This Row],[Calendar_h]]&gt;0),tblFleet[[#This Row],[Available_h]]/tblFleet[[#This Row],[Calendar_h]],"")</f>
        <v/>
      </c>
      <c r="J3001" s="60">
        <f>IF(AND(tblFleet[[#This Row],[Units]]&lt;&gt;"",tblFleet[[#This Row],[Available_h]]&gt;0),tblFleet[[#This Row],[Operating_h]]/tblFleet[[#This Row],[Available_h]],"")</f>
        <v/>
      </c>
    </row>
    <row r="3002">
      <c r="A3002" s="54" t="n"/>
      <c r="B3002" s="61" t="n"/>
      <c r="C3002" s="62" t="n"/>
      <c r="D3002" s="57" t="n"/>
      <c r="E3002" s="57" t="n"/>
      <c r="F3002" s="58" t="n"/>
      <c r="G3002" s="66">
        <f>IF(tblFleet[[#This Row],[Units]]="","",tblFleet[[#This Row],[Units]]*cfg_HoursPerDay)</f>
        <v/>
      </c>
      <c r="H3002" s="66">
        <f>IF(tblFleet[[#This Row],[Units]]="","",tblFleet[[#This Row],[Calendar_h]]-tblFleet[[#This Row],[Down_h]])</f>
        <v/>
      </c>
      <c r="I3002" s="60">
        <f>IF(AND(tblFleet[[#This Row],[Units]]&lt;&gt;"",tblFleet[[#This Row],[Calendar_h]]&gt;0),tblFleet[[#This Row],[Available_h]]/tblFleet[[#This Row],[Calendar_h]],"")</f>
        <v/>
      </c>
      <c r="J3002" s="60">
        <f>IF(AND(tblFleet[[#This Row],[Units]]&lt;&gt;"",tblFleet[[#This Row],[Available_h]]&gt;0),tblFleet[[#This Row],[Operating_h]]/tblFleet[[#This Row],[Available_h]],"")</f>
        <v/>
      </c>
    </row>
    <row r="3003">
      <c r="A3003" s="54" t="n"/>
      <c r="B3003" s="61" t="n"/>
      <c r="C3003" s="62" t="n"/>
      <c r="D3003" s="57" t="n"/>
      <c r="E3003" s="57" t="n"/>
      <c r="F3003" s="58" t="n"/>
      <c r="G3003" s="66">
        <f>IF(tblFleet[[#This Row],[Units]]="","",tblFleet[[#This Row],[Units]]*cfg_HoursPerDay)</f>
        <v/>
      </c>
      <c r="H3003" s="66">
        <f>IF(tblFleet[[#This Row],[Units]]="","",tblFleet[[#This Row],[Calendar_h]]-tblFleet[[#This Row],[Down_h]])</f>
        <v/>
      </c>
      <c r="I3003" s="60">
        <f>IF(AND(tblFleet[[#This Row],[Units]]&lt;&gt;"",tblFleet[[#This Row],[Calendar_h]]&gt;0),tblFleet[[#This Row],[Available_h]]/tblFleet[[#This Row],[Calendar_h]],"")</f>
        <v/>
      </c>
      <c r="J3003" s="60">
        <f>IF(AND(tblFleet[[#This Row],[Units]]&lt;&gt;"",tblFleet[[#This Row],[Available_h]]&gt;0),tblFleet[[#This Row],[Operating_h]]/tblFleet[[#This Row],[Available_h]],"")</f>
        <v/>
      </c>
    </row>
    <row r="3004">
      <c r="A3004" s="54" t="n"/>
      <c r="B3004" s="61" t="n"/>
      <c r="C3004" s="62" t="n"/>
      <c r="D3004" s="57" t="n"/>
      <c r="E3004" s="57" t="n"/>
      <c r="F3004" s="58" t="n"/>
      <c r="G3004" s="66">
        <f>IF(tblFleet[[#This Row],[Units]]="","",tblFleet[[#This Row],[Units]]*cfg_HoursPerDay)</f>
        <v/>
      </c>
      <c r="H3004" s="66">
        <f>IF(tblFleet[[#This Row],[Units]]="","",tblFleet[[#This Row],[Calendar_h]]-tblFleet[[#This Row],[Down_h]])</f>
        <v/>
      </c>
      <c r="I3004" s="60">
        <f>IF(AND(tblFleet[[#This Row],[Units]]&lt;&gt;"",tblFleet[[#This Row],[Calendar_h]]&gt;0),tblFleet[[#This Row],[Available_h]]/tblFleet[[#This Row],[Calendar_h]],"")</f>
        <v/>
      </c>
      <c r="J3004" s="60">
        <f>IF(AND(tblFleet[[#This Row],[Units]]&lt;&gt;"",tblFleet[[#This Row],[Available_h]]&gt;0),tblFleet[[#This Row],[Operating_h]]/tblFleet[[#This Row],[Available_h]],"")</f>
        <v/>
      </c>
    </row>
    <row r="3005">
      <c r="A3005" s="54" t="n"/>
      <c r="B3005" s="61" t="n"/>
      <c r="C3005" s="62" t="n"/>
      <c r="D3005" s="57" t="n"/>
      <c r="E3005" s="57" t="n"/>
      <c r="F3005" s="58" t="n"/>
      <c r="G3005" s="66">
        <f>IF(tblFleet[[#This Row],[Units]]="","",tblFleet[[#This Row],[Units]]*cfg_HoursPerDay)</f>
        <v/>
      </c>
      <c r="H3005" s="66">
        <f>IF(tblFleet[[#This Row],[Units]]="","",tblFleet[[#This Row],[Calendar_h]]-tblFleet[[#This Row],[Down_h]])</f>
        <v/>
      </c>
      <c r="I3005" s="60">
        <f>IF(AND(tblFleet[[#This Row],[Units]]&lt;&gt;"",tblFleet[[#This Row],[Calendar_h]]&gt;0),tblFleet[[#This Row],[Available_h]]/tblFleet[[#This Row],[Calendar_h]],"")</f>
        <v/>
      </c>
      <c r="J3005" s="60">
        <f>IF(AND(tblFleet[[#This Row],[Units]]&lt;&gt;"",tblFleet[[#This Row],[Available_h]]&gt;0),tblFleet[[#This Row],[Operating_h]]/tblFleet[[#This Row],[Available_h]],"")</f>
        <v/>
      </c>
    </row>
  </sheetData>
  <dataValidations count="5">
    <dataValidation sqref="A6:A3005" showDropDown="0" showInputMessage="0" showErrorMessage="1" allowBlank="1" errorTitle="Date outside the reporting year" error="Dates must fall in the reporting year: rows outside it are not counted in any KPI. Click No and correct the date." type="date" errorStyle="warning" operator="between">
      <formula1>=cfg_YearStart</formula1>
      <formula2>=cfg_YearEnd</formula2>
    </dataValidation>
    <dataValidation sqref="B6:B3005" showDropDown="0" showInputMessage="0" showErrorMessage="1" allowBlank="1" errorTitle="Not in list" error="Choose a value from the list (edit the Lists sheet to add one)." type="list">
      <formula1>=lst_Equipment_Class</formula1>
    </dataValidation>
    <dataValidation sqref="C6:C3005" showDropDown="0" showInputMessage="1" showErrorMessage="1" allowBlank="1" errorTitle="Outside expected range" error="Expected between 0 and 200. Click Yes to keep the value if it is correct." promptTitle="Units in fleet" prompt="Number of machines of this class on site" type="whole" errorStyle="warning" operator="between">
      <formula1>0</formula1>
      <formula2>200</formula2>
    </dataValidation>
    <dataValidation sqref="D6:D3005" showDropDown="0" showInputMessage="1" showErrorMessage="1" allowBlank="1" errorTitle="Outside expected range" error="Expected between 0 and 4,800. Click Yes to keep the value if it is correct." promptTitle="Down hours" prompt="Sum of maintenance and breakdown hours across the class" type="decimal" errorStyle="warning" operator="between">
      <formula1>0</formula1>
      <formula2>4800</formula2>
    </dataValidation>
    <dataValidation sqref="E6:E3005" showDropDown="0" showInputMessage="1" showErrorMessage="1" allowBlank="1" errorTitle="Outside expected range" error="Expected between 0 and 4,800. Click Yes to keep the value if it is correct." promptTitle="Operating hours" prompt="Sum of SMU engine hours across the class (one basis for every class)" type="decimal" errorStyle="warning" operator="between">
      <formula1>0</formula1>
      <formula2>4800</formula2>
    </dataValidation>
  </dataValidations>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548235"/>
    <outlinePr summaryBelow="1" summaryRight="1"/>
    <pageSetUpPr/>
  </sheetPr>
  <dimension ref="A1:S37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26.3" customWidth="1" min="2" max="2"/>
    <col width="28" customWidth="1" min="3" max="3"/>
    <col width="11" customWidth="1" min="4" max="4"/>
    <col width="18.2" customWidth="1" min="5" max="5"/>
    <col width="23.6" customWidth="1" min="6" max="6"/>
    <col width="25.4" customWidth="1" min="7" max="7"/>
    <col width="18.2" customWidth="1" min="8" max="8"/>
    <col width="11.9" customWidth="1" min="9" max="9"/>
    <col width="14.6" customWidth="1" min="10" max="10"/>
    <col width="23.6" customWidth="1" min="11" max="11"/>
    <col width="22.7" customWidth="1" min="12" max="12"/>
    <col width="28" customWidth="1" min="13" max="13"/>
    <col width="17.3" customWidth="1" min="14" max="14"/>
    <col width="13.7" customWidth="1" min="15" max="15"/>
    <col width="21.8" customWidth="1" min="16" max="16"/>
    <col width="32" customWidth="1" min="17" max="17"/>
    <col width="22.7" customWidth="1" min="18" max="18"/>
    <col width="19.1" customWidth="1" min="19" max="19"/>
  </cols>
  <sheetData>
    <row r="1">
      <c r="A1" s="50" t="inlineStr">
        <is>
          <t>Safety, health, environment and community, one row per day</t>
        </is>
      </c>
    </row>
    <row r="2">
      <c r="A2" s="6" t="inlineStr">
        <is>
          <t>Owner: HSE.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Hours worked, employees (h)</t>
        </is>
      </c>
      <c r="C4" s="51" t="inlineStr">
        <is>
          <t>Hours worked, contractors (h)</t>
        </is>
      </c>
      <c r="D4" s="51" t="inlineStr">
        <is>
          <t>Fatalities</t>
        </is>
      </c>
      <c r="E4" s="51" t="inlineStr">
        <is>
          <t>Lost time injuries</t>
        </is>
      </c>
      <c r="F4" s="51" t="inlineStr">
        <is>
          <t>Restricted work injuries</t>
        </is>
      </c>
      <c r="G4" s="51" t="inlineStr">
        <is>
          <t>Medical treatment injuries</t>
        </is>
      </c>
      <c r="H4" s="51" t="inlineStr">
        <is>
          <t>First aid injuries</t>
        </is>
      </c>
      <c r="I4" s="51" t="inlineStr">
        <is>
          <t>Near misses</t>
        </is>
      </c>
      <c r="J4" s="51" t="inlineStr">
        <is>
          <t>Hazard reports</t>
        </is>
      </c>
      <c r="K4" s="51" t="inlineStr">
        <is>
          <t>High potential incidents</t>
        </is>
      </c>
      <c r="L4" s="51" t="inlineStr">
        <is>
          <t>Environmental incidents</t>
        </is>
      </c>
      <c r="M4" s="51" t="inlineStr">
        <is>
          <t>Community incidents or grievances</t>
        </is>
      </c>
      <c r="N4" s="51" t="inlineStr">
        <is>
          <t>Vehicle incidents</t>
        </is>
      </c>
      <c r="O4" s="51" t="inlineStr">
        <is>
          <t>Toolbox talks</t>
        </is>
      </c>
      <c r="P4" s="51" t="inlineStr">
        <is>
          <t>Inspections and audits</t>
        </is>
      </c>
      <c r="Q4" s="51" t="inlineStr">
        <is>
          <t>Comments</t>
        </is>
      </c>
      <c r="R4" s="51" t="inlineStr">
        <is>
          <t>Hours worked, total (h)</t>
        </is>
      </c>
      <c r="S4" s="51" t="inlineStr">
        <is>
          <t>Recordable injuries</t>
        </is>
      </c>
    </row>
    <row r="5">
      <c r="A5" s="52" t="inlineStr">
        <is>
          <t>Date</t>
        </is>
      </c>
      <c r="B5" s="52" t="inlineStr">
        <is>
          <t>Hours_Employees</t>
        </is>
      </c>
      <c r="C5" s="52" t="inlineStr">
        <is>
          <t>Hours_Contractors</t>
        </is>
      </c>
      <c r="D5" s="52" t="inlineStr">
        <is>
          <t>Fatality</t>
        </is>
      </c>
      <c r="E5" s="52" t="inlineStr">
        <is>
          <t>LTI</t>
        </is>
      </c>
      <c r="F5" s="52" t="inlineStr">
        <is>
          <t>RWI</t>
        </is>
      </c>
      <c r="G5" s="52" t="inlineStr">
        <is>
          <t>MTI</t>
        </is>
      </c>
      <c r="H5" s="52" t="inlineStr">
        <is>
          <t>FAI</t>
        </is>
      </c>
      <c r="I5" s="52" t="inlineStr">
        <is>
          <t>Near_Miss</t>
        </is>
      </c>
      <c r="J5" s="52" t="inlineStr">
        <is>
          <t>Hazard_Reports</t>
        </is>
      </c>
      <c r="K5" s="52" t="inlineStr">
        <is>
          <t>HPI</t>
        </is>
      </c>
      <c r="L5" s="52" t="inlineStr">
        <is>
          <t>Env_Incidents</t>
        </is>
      </c>
      <c r="M5" s="52" t="inlineStr">
        <is>
          <t>Community_Incidents</t>
        </is>
      </c>
      <c r="N5" s="52" t="inlineStr">
        <is>
          <t>Vehicle_Incidents</t>
        </is>
      </c>
      <c r="O5" s="52" t="inlineStr">
        <is>
          <t>Toolbox_Talks</t>
        </is>
      </c>
      <c r="P5" s="52" t="inlineStr">
        <is>
          <t>Inspections</t>
        </is>
      </c>
      <c r="Q5" s="52" t="inlineStr">
        <is>
          <t>Comments</t>
        </is>
      </c>
      <c r="R5" s="53" t="inlineStr">
        <is>
          <t>Hours_Total</t>
        </is>
      </c>
      <c r="S5" s="53" t="inlineStr">
        <is>
          <t>Recordables</t>
        </is>
      </c>
    </row>
    <row r="6">
      <c r="A6" s="54" t="n">
        <v>46023</v>
      </c>
      <c r="B6" s="57" t="n"/>
      <c r="C6" s="57" t="n"/>
      <c r="D6" s="62" t="n"/>
      <c r="E6" s="62" t="n"/>
      <c r="F6" s="62" t="n"/>
      <c r="G6" s="62" t="n"/>
      <c r="H6" s="62" t="n"/>
      <c r="I6" s="62" t="n"/>
      <c r="J6" s="62" t="n"/>
      <c r="K6" s="62" t="n"/>
      <c r="L6" s="62" t="n"/>
      <c r="M6" s="62" t="n"/>
      <c r="N6" s="62" t="n"/>
      <c r="O6" s="62" t="n"/>
      <c r="P6" s="62" t="n"/>
      <c r="Q6" s="58" t="n"/>
      <c r="R6" s="66">
        <f>IF(AND(tblSafety[[#This Row],[Hours_Employees]]="",tblSafety[[#This Row],[Hours_Contractors]]=""),"",N(tblSafety[[#This Row],[Hours_Employees]])+N(tblSafety[[#This Row],[Hours_Contractors]]))</f>
        <v/>
      </c>
      <c r="S6" s="64">
        <f>IF(AND(tblSafety[[#This Row],[Fatality]]="",tblSafety[[#This Row],[LTI]]="",tblSafety[[#This Row],[RWI]]="",tblSafety[[#This Row],[MTI]]=""),"",N(tblSafety[[#This Row],[Fatality]])+N(tblSafety[[#This Row],[LTI]])+N(tblSafety[[#This Row],[RWI]])+N(tblSafety[[#This Row],[MTI]]))</f>
        <v/>
      </c>
    </row>
    <row r="7">
      <c r="A7" s="54" t="n">
        <v>46024</v>
      </c>
      <c r="B7" s="57" t="n"/>
      <c r="C7" s="57" t="n"/>
      <c r="D7" s="62" t="n"/>
      <c r="E7" s="62" t="n"/>
      <c r="F7" s="62" t="n"/>
      <c r="G7" s="62" t="n"/>
      <c r="H7" s="62" t="n"/>
      <c r="I7" s="62" t="n"/>
      <c r="J7" s="62" t="n"/>
      <c r="K7" s="62" t="n"/>
      <c r="L7" s="62" t="n"/>
      <c r="M7" s="62" t="n"/>
      <c r="N7" s="62" t="n"/>
      <c r="O7" s="62" t="n"/>
      <c r="P7" s="62" t="n"/>
      <c r="Q7" s="58" t="n"/>
      <c r="R7" s="66">
        <f>IF(AND(tblSafety[[#This Row],[Hours_Employees]]="",tblSafety[[#This Row],[Hours_Contractors]]=""),"",N(tblSafety[[#This Row],[Hours_Employees]])+N(tblSafety[[#This Row],[Hours_Contractors]]))</f>
        <v/>
      </c>
      <c r="S7" s="64">
        <f>IF(AND(tblSafety[[#This Row],[Fatality]]="",tblSafety[[#This Row],[LTI]]="",tblSafety[[#This Row],[RWI]]="",tblSafety[[#This Row],[MTI]]=""),"",N(tblSafety[[#This Row],[Fatality]])+N(tblSafety[[#This Row],[LTI]])+N(tblSafety[[#This Row],[RWI]])+N(tblSafety[[#This Row],[MTI]]))</f>
        <v/>
      </c>
    </row>
    <row r="8">
      <c r="A8" s="54" t="n">
        <v>46025</v>
      </c>
      <c r="B8" s="57" t="n"/>
      <c r="C8" s="57" t="n"/>
      <c r="D8" s="62" t="n"/>
      <c r="E8" s="62" t="n"/>
      <c r="F8" s="62" t="n"/>
      <c r="G8" s="62" t="n"/>
      <c r="H8" s="62" t="n"/>
      <c r="I8" s="62" t="n"/>
      <c r="J8" s="62" t="n"/>
      <c r="K8" s="62" t="n"/>
      <c r="L8" s="62" t="n"/>
      <c r="M8" s="62" t="n"/>
      <c r="N8" s="62" t="n"/>
      <c r="O8" s="62" t="n"/>
      <c r="P8" s="62" t="n"/>
      <c r="Q8" s="58" t="n"/>
      <c r="R8" s="66">
        <f>IF(AND(tblSafety[[#This Row],[Hours_Employees]]="",tblSafety[[#This Row],[Hours_Contractors]]=""),"",N(tblSafety[[#This Row],[Hours_Employees]])+N(tblSafety[[#This Row],[Hours_Contractors]]))</f>
        <v/>
      </c>
      <c r="S8" s="64">
        <f>IF(AND(tblSafety[[#This Row],[Fatality]]="",tblSafety[[#This Row],[LTI]]="",tblSafety[[#This Row],[RWI]]="",tblSafety[[#This Row],[MTI]]=""),"",N(tblSafety[[#This Row],[Fatality]])+N(tblSafety[[#This Row],[LTI]])+N(tblSafety[[#This Row],[RWI]])+N(tblSafety[[#This Row],[MTI]]))</f>
        <v/>
      </c>
    </row>
    <row r="9">
      <c r="A9" s="54" t="n">
        <v>46026</v>
      </c>
      <c r="B9" s="57" t="n"/>
      <c r="C9" s="57" t="n"/>
      <c r="D9" s="62" t="n"/>
      <c r="E9" s="62" t="n"/>
      <c r="F9" s="62" t="n"/>
      <c r="G9" s="62" t="n"/>
      <c r="H9" s="62" t="n"/>
      <c r="I9" s="62" t="n"/>
      <c r="J9" s="62" t="n"/>
      <c r="K9" s="62" t="n"/>
      <c r="L9" s="62" t="n"/>
      <c r="M9" s="62" t="n"/>
      <c r="N9" s="62" t="n"/>
      <c r="O9" s="62" t="n"/>
      <c r="P9" s="62" t="n"/>
      <c r="Q9" s="58" t="n"/>
      <c r="R9" s="66">
        <f>IF(AND(tblSafety[[#This Row],[Hours_Employees]]="",tblSafety[[#This Row],[Hours_Contractors]]=""),"",N(tblSafety[[#This Row],[Hours_Employees]])+N(tblSafety[[#This Row],[Hours_Contractors]]))</f>
        <v/>
      </c>
      <c r="S9" s="64">
        <f>IF(AND(tblSafety[[#This Row],[Fatality]]="",tblSafety[[#This Row],[LTI]]="",tblSafety[[#This Row],[RWI]]="",tblSafety[[#This Row],[MTI]]=""),"",N(tblSafety[[#This Row],[Fatality]])+N(tblSafety[[#This Row],[LTI]])+N(tblSafety[[#This Row],[RWI]])+N(tblSafety[[#This Row],[MTI]]))</f>
        <v/>
      </c>
    </row>
    <row r="10">
      <c r="A10" s="54" t="n">
        <v>46027</v>
      </c>
      <c r="B10" s="57" t="n"/>
      <c r="C10" s="57" t="n"/>
      <c r="D10" s="62" t="n"/>
      <c r="E10" s="62" t="n"/>
      <c r="F10" s="62" t="n"/>
      <c r="G10" s="62" t="n"/>
      <c r="H10" s="62" t="n"/>
      <c r="I10" s="62" t="n"/>
      <c r="J10" s="62" t="n"/>
      <c r="K10" s="62" t="n"/>
      <c r="L10" s="62" t="n"/>
      <c r="M10" s="62" t="n"/>
      <c r="N10" s="62" t="n"/>
      <c r="O10" s="62" t="n"/>
      <c r="P10" s="62" t="n"/>
      <c r="Q10" s="58" t="n"/>
      <c r="R10" s="66">
        <f>IF(AND(tblSafety[[#This Row],[Hours_Employees]]="",tblSafety[[#This Row],[Hours_Contractors]]=""),"",N(tblSafety[[#This Row],[Hours_Employees]])+N(tblSafety[[#This Row],[Hours_Contractors]]))</f>
        <v/>
      </c>
      <c r="S10" s="64">
        <f>IF(AND(tblSafety[[#This Row],[Fatality]]="",tblSafety[[#This Row],[LTI]]="",tblSafety[[#This Row],[RWI]]="",tblSafety[[#This Row],[MTI]]=""),"",N(tblSafety[[#This Row],[Fatality]])+N(tblSafety[[#This Row],[LTI]])+N(tblSafety[[#This Row],[RWI]])+N(tblSafety[[#This Row],[MTI]]))</f>
        <v/>
      </c>
    </row>
    <row r="11">
      <c r="A11" s="54" t="n">
        <v>46028</v>
      </c>
      <c r="B11" s="57" t="n"/>
      <c r="C11" s="57" t="n"/>
      <c r="D11" s="62" t="n"/>
      <c r="E11" s="62" t="n"/>
      <c r="F11" s="62" t="n"/>
      <c r="G11" s="62" t="n"/>
      <c r="H11" s="62" t="n"/>
      <c r="I11" s="62" t="n"/>
      <c r="J11" s="62" t="n"/>
      <c r="K11" s="62" t="n"/>
      <c r="L11" s="62" t="n"/>
      <c r="M11" s="62" t="n"/>
      <c r="N11" s="62" t="n"/>
      <c r="O11" s="62" t="n"/>
      <c r="P11" s="62" t="n"/>
      <c r="Q11" s="58" t="n"/>
      <c r="R11" s="66">
        <f>IF(AND(tblSafety[[#This Row],[Hours_Employees]]="",tblSafety[[#This Row],[Hours_Contractors]]=""),"",N(tblSafety[[#This Row],[Hours_Employees]])+N(tblSafety[[#This Row],[Hours_Contractors]]))</f>
        <v/>
      </c>
      <c r="S11" s="64">
        <f>IF(AND(tblSafety[[#This Row],[Fatality]]="",tblSafety[[#This Row],[LTI]]="",tblSafety[[#This Row],[RWI]]="",tblSafety[[#This Row],[MTI]]=""),"",N(tblSafety[[#This Row],[Fatality]])+N(tblSafety[[#This Row],[LTI]])+N(tblSafety[[#This Row],[RWI]])+N(tblSafety[[#This Row],[MTI]]))</f>
        <v/>
      </c>
    </row>
    <row r="12">
      <c r="A12" s="54" t="n">
        <v>46029</v>
      </c>
      <c r="B12" s="57" t="n"/>
      <c r="C12" s="57" t="n"/>
      <c r="D12" s="62" t="n"/>
      <c r="E12" s="62" t="n"/>
      <c r="F12" s="62" t="n"/>
      <c r="G12" s="62" t="n"/>
      <c r="H12" s="62" t="n"/>
      <c r="I12" s="62" t="n"/>
      <c r="J12" s="62" t="n"/>
      <c r="K12" s="62" t="n"/>
      <c r="L12" s="62" t="n"/>
      <c r="M12" s="62" t="n"/>
      <c r="N12" s="62" t="n"/>
      <c r="O12" s="62" t="n"/>
      <c r="P12" s="62" t="n"/>
      <c r="Q12" s="58" t="n"/>
      <c r="R12" s="66">
        <f>IF(AND(tblSafety[[#This Row],[Hours_Employees]]="",tblSafety[[#This Row],[Hours_Contractors]]=""),"",N(tblSafety[[#This Row],[Hours_Employees]])+N(tblSafety[[#This Row],[Hours_Contractors]]))</f>
        <v/>
      </c>
      <c r="S12" s="64">
        <f>IF(AND(tblSafety[[#This Row],[Fatality]]="",tblSafety[[#This Row],[LTI]]="",tblSafety[[#This Row],[RWI]]="",tblSafety[[#This Row],[MTI]]=""),"",N(tblSafety[[#This Row],[Fatality]])+N(tblSafety[[#This Row],[LTI]])+N(tblSafety[[#This Row],[RWI]])+N(tblSafety[[#This Row],[MTI]]))</f>
        <v/>
      </c>
    </row>
    <row r="13">
      <c r="A13" s="54" t="n">
        <v>46030</v>
      </c>
      <c r="B13" s="57" t="n"/>
      <c r="C13" s="57" t="n"/>
      <c r="D13" s="62" t="n"/>
      <c r="E13" s="62" t="n"/>
      <c r="F13" s="62" t="n"/>
      <c r="G13" s="62" t="n"/>
      <c r="H13" s="62" t="n"/>
      <c r="I13" s="62" t="n"/>
      <c r="J13" s="62" t="n"/>
      <c r="K13" s="62" t="n"/>
      <c r="L13" s="62" t="n"/>
      <c r="M13" s="62" t="n"/>
      <c r="N13" s="62" t="n"/>
      <c r="O13" s="62" t="n"/>
      <c r="P13" s="62" t="n"/>
      <c r="Q13" s="58" t="n"/>
      <c r="R13" s="66">
        <f>IF(AND(tblSafety[[#This Row],[Hours_Employees]]="",tblSafety[[#This Row],[Hours_Contractors]]=""),"",N(tblSafety[[#This Row],[Hours_Employees]])+N(tblSafety[[#This Row],[Hours_Contractors]]))</f>
        <v/>
      </c>
      <c r="S13" s="64">
        <f>IF(AND(tblSafety[[#This Row],[Fatality]]="",tblSafety[[#This Row],[LTI]]="",tblSafety[[#This Row],[RWI]]="",tblSafety[[#This Row],[MTI]]=""),"",N(tblSafety[[#This Row],[Fatality]])+N(tblSafety[[#This Row],[LTI]])+N(tblSafety[[#This Row],[RWI]])+N(tblSafety[[#This Row],[MTI]]))</f>
        <v/>
      </c>
    </row>
    <row r="14">
      <c r="A14" s="54" t="n">
        <v>46031</v>
      </c>
      <c r="B14" s="57" t="n"/>
      <c r="C14" s="57" t="n"/>
      <c r="D14" s="62" t="n"/>
      <c r="E14" s="62" t="n"/>
      <c r="F14" s="62" t="n"/>
      <c r="G14" s="62" t="n"/>
      <c r="H14" s="62" t="n"/>
      <c r="I14" s="62" t="n"/>
      <c r="J14" s="62" t="n"/>
      <c r="K14" s="62" t="n"/>
      <c r="L14" s="62" t="n"/>
      <c r="M14" s="62" t="n"/>
      <c r="N14" s="62" t="n"/>
      <c r="O14" s="62" t="n"/>
      <c r="P14" s="62" t="n"/>
      <c r="Q14" s="58" t="n"/>
      <c r="R14" s="66">
        <f>IF(AND(tblSafety[[#This Row],[Hours_Employees]]="",tblSafety[[#This Row],[Hours_Contractors]]=""),"",N(tblSafety[[#This Row],[Hours_Employees]])+N(tblSafety[[#This Row],[Hours_Contractors]]))</f>
        <v/>
      </c>
      <c r="S14" s="64">
        <f>IF(AND(tblSafety[[#This Row],[Fatality]]="",tblSafety[[#This Row],[LTI]]="",tblSafety[[#This Row],[RWI]]="",tblSafety[[#This Row],[MTI]]=""),"",N(tblSafety[[#This Row],[Fatality]])+N(tblSafety[[#This Row],[LTI]])+N(tblSafety[[#This Row],[RWI]])+N(tblSafety[[#This Row],[MTI]]))</f>
        <v/>
      </c>
    </row>
    <row r="15">
      <c r="A15" s="54" t="n">
        <v>46032</v>
      </c>
      <c r="B15" s="57" t="n"/>
      <c r="C15" s="57" t="n"/>
      <c r="D15" s="62" t="n"/>
      <c r="E15" s="62" t="n"/>
      <c r="F15" s="62" t="n"/>
      <c r="G15" s="62" t="n"/>
      <c r="H15" s="62" t="n"/>
      <c r="I15" s="62" t="n"/>
      <c r="J15" s="62" t="n"/>
      <c r="K15" s="62" t="n"/>
      <c r="L15" s="62" t="n"/>
      <c r="M15" s="62" t="n"/>
      <c r="N15" s="62" t="n"/>
      <c r="O15" s="62" t="n"/>
      <c r="P15" s="62" t="n"/>
      <c r="Q15" s="58" t="n"/>
      <c r="R15" s="66">
        <f>IF(AND(tblSafety[[#This Row],[Hours_Employees]]="",tblSafety[[#This Row],[Hours_Contractors]]=""),"",N(tblSafety[[#This Row],[Hours_Employees]])+N(tblSafety[[#This Row],[Hours_Contractors]]))</f>
        <v/>
      </c>
      <c r="S15" s="64">
        <f>IF(AND(tblSafety[[#This Row],[Fatality]]="",tblSafety[[#This Row],[LTI]]="",tblSafety[[#This Row],[RWI]]="",tblSafety[[#This Row],[MTI]]=""),"",N(tblSafety[[#This Row],[Fatality]])+N(tblSafety[[#This Row],[LTI]])+N(tblSafety[[#This Row],[RWI]])+N(tblSafety[[#This Row],[MTI]]))</f>
        <v/>
      </c>
    </row>
    <row r="16">
      <c r="A16" s="54" t="n">
        <v>46033</v>
      </c>
      <c r="B16" s="57" t="n"/>
      <c r="C16" s="57" t="n"/>
      <c r="D16" s="62" t="n"/>
      <c r="E16" s="62" t="n"/>
      <c r="F16" s="62" t="n"/>
      <c r="G16" s="62" t="n"/>
      <c r="H16" s="62" t="n"/>
      <c r="I16" s="62" t="n"/>
      <c r="J16" s="62" t="n"/>
      <c r="K16" s="62" t="n"/>
      <c r="L16" s="62" t="n"/>
      <c r="M16" s="62" t="n"/>
      <c r="N16" s="62" t="n"/>
      <c r="O16" s="62" t="n"/>
      <c r="P16" s="62" t="n"/>
      <c r="Q16" s="58" t="n"/>
      <c r="R16" s="66">
        <f>IF(AND(tblSafety[[#This Row],[Hours_Employees]]="",tblSafety[[#This Row],[Hours_Contractors]]=""),"",N(tblSafety[[#This Row],[Hours_Employees]])+N(tblSafety[[#This Row],[Hours_Contractors]]))</f>
        <v/>
      </c>
      <c r="S16" s="64">
        <f>IF(AND(tblSafety[[#This Row],[Fatality]]="",tblSafety[[#This Row],[LTI]]="",tblSafety[[#This Row],[RWI]]="",tblSafety[[#This Row],[MTI]]=""),"",N(tblSafety[[#This Row],[Fatality]])+N(tblSafety[[#This Row],[LTI]])+N(tblSafety[[#This Row],[RWI]])+N(tblSafety[[#This Row],[MTI]]))</f>
        <v/>
      </c>
    </row>
    <row r="17">
      <c r="A17" s="54" t="n">
        <v>46034</v>
      </c>
      <c r="B17" s="57" t="n"/>
      <c r="C17" s="57" t="n"/>
      <c r="D17" s="62" t="n"/>
      <c r="E17" s="62" t="n"/>
      <c r="F17" s="62" t="n"/>
      <c r="G17" s="62" t="n"/>
      <c r="H17" s="62" t="n"/>
      <c r="I17" s="62" t="n"/>
      <c r="J17" s="62" t="n"/>
      <c r="K17" s="62" t="n"/>
      <c r="L17" s="62" t="n"/>
      <c r="M17" s="62" t="n"/>
      <c r="N17" s="62" t="n"/>
      <c r="O17" s="62" t="n"/>
      <c r="P17" s="62" t="n"/>
      <c r="Q17" s="58" t="n"/>
      <c r="R17" s="66">
        <f>IF(AND(tblSafety[[#This Row],[Hours_Employees]]="",tblSafety[[#This Row],[Hours_Contractors]]=""),"",N(tblSafety[[#This Row],[Hours_Employees]])+N(tblSafety[[#This Row],[Hours_Contractors]]))</f>
        <v/>
      </c>
      <c r="S17" s="64">
        <f>IF(AND(tblSafety[[#This Row],[Fatality]]="",tblSafety[[#This Row],[LTI]]="",tblSafety[[#This Row],[RWI]]="",tblSafety[[#This Row],[MTI]]=""),"",N(tblSafety[[#This Row],[Fatality]])+N(tblSafety[[#This Row],[LTI]])+N(tblSafety[[#This Row],[RWI]])+N(tblSafety[[#This Row],[MTI]]))</f>
        <v/>
      </c>
    </row>
    <row r="18">
      <c r="A18" s="54" t="n">
        <v>46035</v>
      </c>
      <c r="B18" s="57" t="n"/>
      <c r="C18" s="57" t="n"/>
      <c r="D18" s="62" t="n"/>
      <c r="E18" s="62" t="n"/>
      <c r="F18" s="62" t="n"/>
      <c r="G18" s="62" t="n"/>
      <c r="H18" s="62" t="n"/>
      <c r="I18" s="62" t="n"/>
      <c r="J18" s="62" t="n"/>
      <c r="K18" s="62" t="n"/>
      <c r="L18" s="62" t="n"/>
      <c r="M18" s="62" t="n"/>
      <c r="N18" s="62" t="n"/>
      <c r="O18" s="62" t="n"/>
      <c r="P18" s="62" t="n"/>
      <c r="Q18" s="58" t="n"/>
      <c r="R18" s="66">
        <f>IF(AND(tblSafety[[#This Row],[Hours_Employees]]="",tblSafety[[#This Row],[Hours_Contractors]]=""),"",N(tblSafety[[#This Row],[Hours_Employees]])+N(tblSafety[[#This Row],[Hours_Contractors]]))</f>
        <v/>
      </c>
      <c r="S18" s="64">
        <f>IF(AND(tblSafety[[#This Row],[Fatality]]="",tblSafety[[#This Row],[LTI]]="",tblSafety[[#This Row],[RWI]]="",tblSafety[[#This Row],[MTI]]=""),"",N(tblSafety[[#This Row],[Fatality]])+N(tblSafety[[#This Row],[LTI]])+N(tblSafety[[#This Row],[RWI]])+N(tblSafety[[#This Row],[MTI]]))</f>
        <v/>
      </c>
    </row>
    <row r="19">
      <c r="A19" s="54" t="n">
        <v>46036</v>
      </c>
      <c r="B19" s="57" t="n"/>
      <c r="C19" s="57" t="n"/>
      <c r="D19" s="62" t="n"/>
      <c r="E19" s="62" t="n"/>
      <c r="F19" s="62" t="n"/>
      <c r="G19" s="62" t="n"/>
      <c r="H19" s="62" t="n"/>
      <c r="I19" s="62" t="n"/>
      <c r="J19" s="62" t="n"/>
      <c r="K19" s="62" t="n"/>
      <c r="L19" s="62" t="n"/>
      <c r="M19" s="62" t="n"/>
      <c r="N19" s="62" t="n"/>
      <c r="O19" s="62" t="n"/>
      <c r="P19" s="62" t="n"/>
      <c r="Q19" s="58" t="n"/>
      <c r="R19" s="66">
        <f>IF(AND(tblSafety[[#This Row],[Hours_Employees]]="",tblSafety[[#This Row],[Hours_Contractors]]=""),"",N(tblSafety[[#This Row],[Hours_Employees]])+N(tblSafety[[#This Row],[Hours_Contractors]]))</f>
        <v/>
      </c>
      <c r="S19" s="64">
        <f>IF(AND(tblSafety[[#This Row],[Fatality]]="",tblSafety[[#This Row],[LTI]]="",tblSafety[[#This Row],[RWI]]="",tblSafety[[#This Row],[MTI]]=""),"",N(tblSafety[[#This Row],[Fatality]])+N(tblSafety[[#This Row],[LTI]])+N(tblSafety[[#This Row],[RWI]])+N(tblSafety[[#This Row],[MTI]]))</f>
        <v/>
      </c>
    </row>
    <row r="20">
      <c r="A20" s="54" t="n">
        <v>46037</v>
      </c>
      <c r="B20" s="57" t="n"/>
      <c r="C20" s="57" t="n"/>
      <c r="D20" s="62" t="n"/>
      <c r="E20" s="62" t="n"/>
      <c r="F20" s="62" t="n"/>
      <c r="G20" s="62" t="n"/>
      <c r="H20" s="62" t="n"/>
      <c r="I20" s="62" t="n"/>
      <c r="J20" s="62" t="n"/>
      <c r="K20" s="62" t="n"/>
      <c r="L20" s="62" t="n"/>
      <c r="M20" s="62" t="n"/>
      <c r="N20" s="62" t="n"/>
      <c r="O20" s="62" t="n"/>
      <c r="P20" s="62" t="n"/>
      <c r="Q20" s="58" t="n"/>
      <c r="R20" s="66">
        <f>IF(AND(tblSafety[[#This Row],[Hours_Employees]]="",tblSafety[[#This Row],[Hours_Contractors]]=""),"",N(tblSafety[[#This Row],[Hours_Employees]])+N(tblSafety[[#This Row],[Hours_Contractors]]))</f>
        <v/>
      </c>
      <c r="S20" s="64">
        <f>IF(AND(tblSafety[[#This Row],[Fatality]]="",tblSafety[[#This Row],[LTI]]="",tblSafety[[#This Row],[RWI]]="",tblSafety[[#This Row],[MTI]]=""),"",N(tblSafety[[#This Row],[Fatality]])+N(tblSafety[[#This Row],[LTI]])+N(tblSafety[[#This Row],[RWI]])+N(tblSafety[[#This Row],[MTI]]))</f>
        <v/>
      </c>
    </row>
    <row r="21">
      <c r="A21" s="54" t="n">
        <v>46038</v>
      </c>
      <c r="B21" s="57" t="n"/>
      <c r="C21" s="57" t="n"/>
      <c r="D21" s="62" t="n"/>
      <c r="E21" s="62" t="n"/>
      <c r="F21" s="62" t="n"/>
      <c r="G21" s="62" t="n"/>
      <c r="H21" s="62" t="n"/>
      <c r="I21" s="62" t="n"/>
      <c r="J21" s="62" t="n"/>
      <c r="K21" s="62" t="n"/>
      <c r="L21" s="62" t="n"/>
      <c r="M21" s="62" t="n"/>
      <c r="N21" s="62" t="n"/>
      <c r="O21" s="62" t="n"/>
      <c r="P21" s="62" t="n"/>
      <c r="Q21" s="58" t="n"/>
      <c r="R21" s="66">
        <f>IF(AND(tblSafety[[#This Row],[Hours_Employees]]="",tblSafety[[#This Row],[Hours_Contractors]]=""),"",N(tblSafety[[#This Row],[Hours_Employees]])+N(tblSafety[[#This Row],[Hours_Contractors]]))</f>
        <v/>
      </c>
      <c r="S21" s="64">
        <f>IF(AND(tblSafety[[#This Row],[Fatality]]="",tblSafety[[#This Row],[LTI]]="",tblSafety[[#This Row],[RWI]]="",tblSafety[[#This Row],[MTI]]=""),"",N(tblSafety[[#This Row],[Fatality]])+N(tblSafety[[#This Row],[LTI]])+N(tblSafety[[#This Row],[RWI]])+N(tblSafety[[#This Row],[MTI]]))</f>
        <v/>
      </c>
    </row>
    <row r="22">
      <c r="A22" s="54" t="n">
        <v>46039</v>
      </c>
      <c r="B22" s="57" t="n"/>
      <c r="C22" s="57" t="n"/>
      <c r="D22" s="62" t="n"/>
      <c r="E22" s="62" t="n"/>
      <c r="F22" s="62" t="n"/>
      <c r="G22" s="62" t="n"/>
      <c r="H22" s="62" t="n"/>
      <c r="I22" s="62" t="n"/>
      <c r="J22" s="62" t="n"/>
      <c r="K22" s="62" t="n"/>
      <c r="L22" s="62" t="n"/>
      <c r="M22" s="62" t="n"/>
      <c r="N22" s="62" t="n"/>
      <c r="O22" s="62" t="n"/>
      <c r="P22" s="62" t="n"/>
      <c r="Q22" s="58" t="n"/>
      <c r="R22" s="66">
        <f>IF(AND(tblSafety[[#This Row],[Hours_Employees]]="",tblSafety[[#This Row],[Hours_Contractors]]=""),"",N(tblSafety[[#This Row],[Hours_Employees]])+N(tblSafety[[#This Row],[Hours_Contractors]]))</f>
        <v/>
      </c>
      <c r="S22" s="64">
        <f>IF(AND(tblSafety[[#This Row],[Fatality]]="",tblSafety[[#This Row],[LTI]]="",tblSafety[[#This Row],[RWI]]="",tblSafety[[#This Row],[MTI]]=""),"",N(tblSafety[[#This Row],[Fatality]])+N(tblSafety[[#This Row],[LTI]])+N(tblSafety[[#This Row],[RWI]])+N(tblSafety[[#This Row],[MTI]]))</f>
        <v/>
      </c>
    </row>
    <row r="23">
      <c r="A23" s="54" t="n">
        <v>46040</v>
      </c>
      <c r="B23" s="57" t="n"/>
      <c r="C23" s="57" t="n"/>
      <c r="D23" s="62" t="n"/>
      <c r="E23" s="62" t="n"/>
      <c r="F23" s="62" t="n"/>
      <c r="G23" s="62" t="n"/>
      <c r="H23" s="62" t="n"/>
      <c r="I23" s="62" t="n"/>
      <c r="J23" s="62" t="n"/>
      <c r="K23" s="62" t="n"/>
      <c r="L23" s="62" t="n"/>
      <c r="M23" s="62" t="n"/>
      <c r="N23" s="62" t="n"/>
      <c r="O23" s="62" t="n"/>
      <c r="P23" s="62" t="n"/>
      <c r="Q23" s="58" t="n"/>
      <c r="R23" s="66">
        <f>IF(AND(tblSafety[[#This Row],[Hours_Employees]]="",tblSafety[[#This Row],[Hours_Contractors]]=""),"",N(tblSafety[[#This Row],[Hours_Employees]])+N(tblSafety[[#This Row],[Hours_Contractors]]))</f>
        <v/>
      </c>
      <c r="S23" s="64">
        <f>IF(AND(tblSafety[[#This Row],[Fatality]]="",tblSafety[[#This Row],[LTI]]="",tblSafety[[#This Row],[RWI]]="",tblSafety[[#This Row],[MTI]]=""),"",N(tblSafety[[#This Row],[Fatality]])+N(tblSafety[[#This Row],[LTI]])+N(tblSafety[[#This Row],[RWI]])+N(tblSafety[[#This Row],[MTI]]))</f>
        <v/>
      </c>
    </row>
    <row r="24">
      <c r="A24" s="54" t="n">
        <v>46041</v>
      </c>
      <c r="B24" s="57" t="n"/>
      <c r="C24" s="57" t="n"/>
      <c r="D24" s="62" t="n"/>
      <c r="E24" s="62" t="n"/>
      <c r="F24" s="62" t="n"/>
      <c r="G24" s="62" t="n"/>
      <c r="H24" s="62" t="n"/>
      <c r="I24" s="62" t="n"/>
      <c r="J24" s="62" t="n"/>
      <c r="K24" s="62" t="n"/>
      <c r="L24" s="62" t="n"/>
      <c r="M24" s="62" t="n"/>
      <c r="N24" s="62" t="n"/>
      <c r="O24" s="62" t="n"/>
      <c r="P24" s="62" t="n"/>
      <c r="Q24" s="58" t="n"/>
      <c r="R24" s="66">
        <f>IF(AND(tblSafety[[#This Row],[Hours_Employees]]="",tblSafety[[#This Row],[Hours_Contractors]]=""),"",N(tblSafety[[#This Row],[Hours_Employees]])+N(tblSafety[[#This Row],[Hours_Contractors]]))</f>
        <v/>
      </c>
      <c r="S24" s="64">
        <f>IF(AND(tblSafety[[#This Row],[Fatality]]="",tblSafety[[#This Row],[LTI]]="",tblSafety[[#This Row],[RWI]]="",tblSafety[[#This Row],[MTI]]=""),"",N(tblSafety[[#This Row],[Fatality]])+N(tblSafety[[#This Row],[LTI]])+N(tblSafety[[#This Row],[RWI]])+N(tblSafety[[#This Row],[MTI]]))</f>
        <v/>
      </c>
    </row>
    <row r="25">
      <c r="A25" s="54" t="n">
        <v>46042</v>
      </c>
      <c r="B25" s="57" t="n"/>
      <c r="C25" s="57" t="n"/>
      <c r="D25" s="62" t="n"/>
      <c r="E25" s="62" t="n"/>
      <c r="F25" s="62" t="n"/>
      <c r="G25" s="62" t="n"/>
      <c r="H25" s="62" t="n"/>
      <c r="I25" s="62" t="n"/>
      <c r="J25" s="62" t="n"/>
      <c r="K25" s="62" t="n"/>
      <c r="L25" s="62" t="n"/>
      <c r="M25" s="62" t="n"/>
      <c r="N25" s="62" t="n"/>
      <c r="O25" s="62" t="n"/>
      <c r="P25" s="62" t="n"/>
      <c r="Q25" s="58" t="n"/>
      <c r="R25" s="66">
        <f>IF(AND(tblSafety[[#This Row],[Hours_Employees]]="",tblSafety[[#This Row],[Hours_Contractors]]=""),"",N(tblSafety[[#This Row],[Hours_Employees]])+N(tblSafety[[#This Row],[Hours_Contractors]]))</f>
        <v/>
      </c>
      <c r="S25" s="64">
        <f>IF(AND(tblSafety[[#This Row],[Fatality]]="",tblSafety[[#This Row],[LTI]]="",tblSafety[[#This Row],[RWI]]="",tblSafety[[#This Row],[MTI]]=""),"",N(tblSafety[[#This Row],[Fatality]])+N(tblSafety[[#This Row],[LTI]])+N(tblSafety[[#This Row],[RWI]])+N(tblSafety[[#This Row],[MTI]]))</f>
        <v/>
      </c>
    </row>
    <row r="26">
      <c r="A26" s="54" t="n">
        <v>46043</v>
      </c>
      <c r="B26" s="57" t="n"/>
      <c r="C26" s="57" t="n"/>
      <c r="D26" s="62" t="n"/>
      <c r="E26" s="62" t="n"/>
      <c r="F26" s="62" t="n"/>
      <c r="G26" s="62" t="n"/>
      <c r="H26" s="62" t="n"/>
      <c r="I26" s="62" t="n"/>
      <c r="J26" s="62" t="n"/>
      <c r="K26" s="62" t="n"/>
      <c r="L26" s="62" t="n"/>
      <c r="M26" s="62" t="n"/>
      <c r="N26" s="62" t="n"/>
      <c r="O26" s="62" t="n"/>
      <c r="P26" s="62" t="n"/>
      <c r="Q26" s="58" t="n"/>
      <c r="R26" s="66">
        <f>IF(AND(tblSafety[[#This Row],[Hours_Employees]]="",tblSafety[[#This Row],[Hours_Contractors]]=""),"",N(tblSafety[[#This Row],[Hours_Employees]])+N(tblSafety[[#This Row],[Hours_Contractors]]))</f>
        <v/>
      </c>
      <c r="S26" s="64">
        <f>IF(AND(tblSafety[[#This Row],[Fatality]]="",tblSafety[[#This Row],[LTI]]="",tblSafety[[#This Row],[RWI]]="",tblSafety[[#This Row],[MTI]]=""),"",N(tblSafety[[#This Row],[Fatality]])+N(tblSafety[[#This Row],[LTI]])+N(tblSafety[[#This Row],[RWI]])+N(tblSafety[[#This Row],[MTI]]))</f>
        <v/>
      </c>
    </row>
    <row r="27">
      <c r="A27" s="54" t="n">
        <v>46044</v>
      </c>
      <c r="B27" s="57" t="n"/>
      <c r="C27" s="57" t="n"/>
      <c r="D27" s="62" t="n"/>
      <c r="E27" s="62" t="n"/>
      <c r="F27" s="62" t="n"/>
      <c r="G27" s="62" t="n"/>
      <c r="H27" s="62" t="n"/>
      <c r="I27" s="62" t="n"/>
      <c r="J27" s="62" t="n"/>
      <c r="K27" s="62" t="n"/>
      <c r="L27" s="62" t="n"/>
      <c r="M27" s="62" t="n"/>
      <c r="N27" s="62" t="n"/>
      <c r="O27" s="62" t="n"/>
      <c r="P27" s="62" t="n"/>
      <c r="Q27" s="58" t="n"/>
      <c r="R27" s="66">
        <f>IF(AND(tblSafety[[#This Row],[Hours_Employees]]="",tblSafety[[#This Row],[Hours_Contractors]]=""),"",N(tblSafety[[#This Row],[Hours_Employees]])+N(tblSafety[[#This Row],[Hours_Contractors]]))</f>
        <v/>
      </c>
      <c r="S27" s="64">
        <f>IF(AND(tblSafety[[#This Row],[Fatality]]="",tblSafety[[#This Row],[LTI]]="",tblSafety[[#This Row],[RWI]]="",tblSafety[[#This Row],[MTI]]=""),"",N(tblSafety[[#This Row],[Fatality]])+N(tblSafety[[#This Row],[LTI]])+N(tblSafety[[#This Row],[RWI]])+N(tblSafety[[#This Row],[MTI]]))</f>
        <v/>
      </c>
    </row>
    <row r="28">
      <c r="A28" s="54" t="n">
        <v>46045</v>
      </c>
      <c r="B28" s="57" t="n"/>
      <c r="C28" s="57" t="n"/>
      <c r="D28" s="62" t="n"/>
      <c r="E28" s="62" t="n"/>
      <c r="F28" s="62" t="n"/>
      <c r="G28" s="62" t="n"/>
      <c r="H28" s="62" t="n"/>
      <c r="I28" s="62" t="n"/>
      <c r="J28" s="62" t="n"/>
      <c r="K28" s="62" t="n"/>
      <c r="L28" s="62" t="n"/>
      <c r="M28" s="62" t="n"/>
      <c r="N28" s="62" t="n"/>
      <c r="O28" s="62" t="n"/>
      <c r="P28" s="62" t="n"/>
      <c r="Q28" s="58" t="n"/>
      <c r="R28" s="66">
        <f>IF(AND(tblSafety[[#This Row],[Hours_Employees]]="",tblSafety[[#This Row],[Hours_Contractors]]=""),"",N(tblSafety[[#This Row],[Hours_Employees]])+N(tblSafety[[#This Row],[Hours_Contractors]]))</f>
        <v/>
      </c>
      <c r="S28" s="64">
        <f>IF(AND(tblSafety[[#This Row],[Fatality]]="",tblSafety[[#This Row],[LTI]]="",tblSafety[[#This Row],[RWI]]="",tblSafety[[#This Row],[MTI]]=""),"",N(tblSafety[[#This Row],[Fatality]])+N(tblSafety[[#This Row],[LTI]])+N(tblSafety[[#This Row],[RWI]])+N(tblSafety[[#This Row],[MTI]]))</f>
        <v/>
      </c>
    </row>
    <row r="29">
      <c r="A29" s="54" t="n">
        <v>46046</v>
      </c>
      <c r="B29" s="57" t="n"/>
      <c r="C29" s="57" t="n"/>
      <c r="D29" s="62" t="n"/>
      <c r="E29" s="62" t="n"/>
      <c r="F29" s="62" t="n"/>
      <c r="G29" s="62" t="n"/>
      <c r="H29" s="62" t="n"/>
      <c r="I29" s="62" t="n"/>
      <c r="J29" s="62" t="n"/>
      <c r="K29" s="62" t="n"/>
      <c r="L29" s="62" t="n"/>
      <c r="M29" s="62" t="n"/>
      <c r="N29" s="62" t="n"/>
      <c r="O29" s="62" t="n"/>
      <c r="P29" s="62" t="n"/>
      <c r="Q29" s="58" t="n"/>
      <c r="R29" s="66">
        <f>IF(AND(tblSafety[[#This Row],[Hours_Employees]]="",tblSafety[[#This Row],[Hours_Contractors]]=""),"",N(tblSafety[[#This Row],[Hours_Employees]])+N(tblSafety[[#This Row],[Hours_Contractors]]))</f>
        <v/>
      </c>
      <c r="S29" s="64">
        <f>IF(AND(tblSafety[[#This Row],[Fatality]]="",tblSafety[[#This Row],[LTI]]="",tblSafety[[#This Row],[RWI]]="",tblSafety[[#This Row],[MTI]]=""),"",N(tblSafety[[#This Row],[Fatality]])+N(tblSafety[[#This Row],[LTI]])+N(tblSafety[[#This Row],[RWI]])+N(tblSafety[[#This Row],[MTI]]))</f>
        <v/>
      </c>
    </row>
    <row r="30">
      <c r="A30" s="54" t="n">
        <v>46047</v>
      </c>
      <c r="B30" s="57" t="n"/>
      <c r="C30" s="57" t="n"/>
      <c r="D30" s="62" t="n"/>
      <c r="E30" s="62" t="n"/>
      <c r="F30" s="62" t="n"/>
      <c r="G30" s="62" t="n"/>
      <c r="H30" s="62" t="n"/>
      <c r="I30" s="62" t="n"/>
      <c r="J30" s="62" t="n"/>
      <c r="K30" s="62" t="n"/>
      <c r="L30" s="62" t="n"/>
      <c r="M30" s="62" t="n"/>
      <c r="N30" s="62" t="n"/>
      <c r="O30" s="62" t="n"/>
      <c r="P30" s="62" t="n"/>
      <c r="Q30" s="58" t="n"/>
      <c r="R30" s="66">
        <f>IF(AND(tblSafety[[#This Row],[Hours_Employees]]="",tblSafety[[#This Row],[Hours_Contractors]]=""),"",N(tblSafety[[#This Row],[Hours_Employees]])+N(tblSafety[[#This Row],[Hours_Contractors]]))</f>
        <v/>
      </c>
      <c r="S30" s="64">
        <f>IF(AND(tblSafety[[#This Row],[Fatality]]="",tblSafety[[#This Row],[LTI]]="",tblSafety[[#This Row],[RWI]]="",tblSafety[[#This Row],[MTI]]=""),"",N(tblSafety[[#This Row],[Fatality]])+N(tblSafety[[#This Row],[LTI]])+N(tblSafety[[#This Row],[RWI]])+N(tblSafety[[#This Row],[MTI]]))</f>
        <v/>
      </c>
    </row>
    <row r="31">
      <c r="A31" s="54" t="n">
        <v>46048</v>
      </c>
      <c r="B31" s="57" t="n"/>
      <c r="C31" s="57" t="n"/>
      <c r="D31" s="62" t="n"/>
      <c r="E31" s="62" t="n"/>
      <c r="F31" s="62" t="n"/>
      <c r="G31" s="62" t="n"/>
      <c r="H31" s="62" t="n"/>
      <c r="I31" s="62" t="n"/>
      <c r="J31" s="62" t="n"/>
      <c r="K31" s="62" t="n"/>
      <c r="L31" s="62" t="n"/>
      <c r="M31" s="62" t="n"/>
      <c r="N31" s="62" t="n"/>
      <c r="O31" s="62" t="n"/>
      <c r="P31" s="62" t="n"/>
      <c r="Q31" s="58" t="n"/>
      <c r="R31" s="66">
        <f>IF(AND(tblSafety[[#This Row],[Hours_Employees]]="",tblSafety[[#This Row],[Hours_Contractors]]=""),"",N(tblSafety[[#This Row],[Hours_Employees]])+N(tblSafety[[#This Row],[Hours_Contractors]]))</f>
        <v/>
      </c>
      <c r="S31" s="64">
        <f>IF(AND(tblSafety[[#This Row],[Fatality]]="",tblSafety[[#This Row],[LTI]]="",tblSafety[[#This Row],[RWI]]="",tblSafety[[#This Row],[MTI]]=""),"",N(tblSafety[[#This Row],[Fatality]])+N(tblSafety[[#This Row],[LTI]])+N(tblSafety[[#This Row],[RWI]])+N(tblSafety[[#This Row],[MTI]]))</f>
        <v/>
      </c>
    </row>
    <row r="32">
      <c r="A32" s="54" t="n">
        <v>46049</v>
      </c>
      <c r="B32" s="57" t="n"/>
      <c r="C32" s="57" t="n"/>
      <c r="D32" s="62" t="n"/>
      <c r="E32" s="62" t="n"/>
      <c r="F32" s="62" t="n"/>
      <c r="G32" s="62" t="n"/>
      <c r="H32" s="62" t="n"/>
      <c r="I32" s="62" t="n"/>
      <c r="J32" s="62" t="n"/>
      <c r="K32" s="62" t="n"/>
      <c r="L32" s="62" t="n"/>
      <c r="M32" s="62" t="n"/>
      <c r="N32" s="62" t="n"/>
      <c r="O32" s="62" t="n"/>
      <c r="P32" s="62" t="n"/>
      <c r="Q32" s="58" t="n"/>
      <c r="R32" s="66">
        <f>IF(AND(tblSafety[[#This Row],[Hours_Employees]]="",tblSafety[[#This Row],[Hours_Contractors]]=""),"",N(tblSafety[[#This Row],[Hours_Employees]])+N(tblSafety[[#This Row],[Hours_Contractors]]))</f>
        <v/>
      </c>
      <c r="S32" s="64">
        <f>IF(AND(tblSafety[[#This Row],[Fatality]]="",tblSafety[[#This Row],[LTI]]="",tblSafety[[#This Row],[RWI]]="",tblSafety[[#This Row],[MTI]]=""),"",N(tblSafety[[#This Row],[Fatality]])+N(tblSafety[[#This Row],[LTI]])+N(tblSafety[[#This Row],[RWI]])+N(tblSafety[[#This Row],[MTI]]))</f>
        <v/>
      </c>
    </row>
    <row r="33">
      <c r="A33" s="54" t="n">
        <v>46050</v>
      </c>
      <c r="B33" s="57" t="n"/>
      <c r="C33" s="57" t="n"/>
      <c r="D33" s="62" t="n"/>
      <c r="E33" s="62" t="n"/>
      <c r="F33" s="62" t="n"/>
      <c r="G33" s="62" t="n"/>
      <c r="H33" s="62" t="n"/>
      <c r="I33" s="62" t="n"/>
      <c r="J33" s="62" t="n"/>
      <c r="K33" s="62" t="n"/>
      <c r="L33" s="62" t="n"/>
      <c r="M33" s="62" t="n"/>
      <c r="N33" s="62" t="n"/>
      <c r="O33" s="62" t="n"/>
      <c r="P33" s="62" t="n"/>
      <c r="Q33" s="58" t="n"/>
      <c r="R33" s="66">
        <f>IF(AND(tblSafety[[#This Row],[Hours_Employees]]="",tblSafety[[#This Row],[Hours_Contractors]]=""),"",N(tblSafety[[#This Row],[Hours_Employees]])+N(tblSafety[[#This Row],[Hours_Contractors]]))</f>
        <v/>
      </c>
      <c r="S33" s="64">
        <f>IF(AND(tblSafety[[#This Row],[Fatality]]="",tblSafety[[#This Row],[LTI]]="",tblSafety[[#This Row],[RWI]]="",tblSafety[[#This Row],[MTI]]=""),"",N(tblSafety[[#This Row],[Fatality]])+N(tblSafety[[#This Row],[LTI]])+N(tblSafety[[#This Row],[RWI]])+N(tblSafety[[#This Row],[MTI]]))</f>
        <v/>
      </c>
    </row>
    <row r="34">
      <c r="A34" s="54" t="n">
        <v>46051</v>
      </c>
      <c r="B34" s="57" t="n"/>
      <c r="C34" s="57" t="n"/>
      <c r="D34" s="62" t="n"/>
      <c r="E34" s="62" t="n"/>
      <c r="F34" s="62" t="n"/>
      <c r="G34" s="62" t="n"/>
      <c r="H34" s="62" t="n"/>
      <c r="I34" s="62" t="n"/>
      <c r="J34" s="62" t="n"/>
      <c r="K34" s="62" t="n"/>
      <c r="L34" s="62" t="n"/>
      <c r="M34" s="62" t="n"/>
      <c r="N34" s="62" t="n"/>
      <c r="O34" s="62" t="n"/>
      <c r="P34" s="62" t="n"/>
      <c r="Q34" s="58" t="n"/>
      <c r="R34" s="66">
        <f>IF(AND(tblSafety[[#This Row],[Hours_Employees]]="",tblSafety[[#This Row],[Hours_Contractors]]=""),"",N(tblSafety[[#This Row],[Hours_Employees]])+N(tblSafety[[#This Row],[Hours_Contractors]]))</f>
        <v/>
      </c>
      <c r="S34" s="64">
        <f>IF(AND(tblSafety[[#This Row],[Fatality]]="",tblSafety[[#This Row],[LTI]]="",tblSafety[[#This Row],[RWI]]="",tblSafety[[#This Row],[MTI]]=""),"",N(tblSafety[[#This Row],[Fatality]])+N(tblSafety[[#This Row],[LTI]])+N(tblSafety[[#This Row],[RWI]])+N(tblSafety[[#This Row],[MTI]]))</f>
        <v/>
      </c>
    </row>
    <row r="35">
      <c r="A35" s="54" t="n">
        <v>46052</v>
      </c>
      <c r="B35" s="57" t="n"/>
      <c r="C35" s="57" t="n"/>
      <c r="D35" s="62" t="n"/>
      <c r="E35" s="62" t="n"/>
      <c r="F35" s="62" t="n"/>
      <c r="G35" s="62" t="n"/>
      <c r="H35" s="62" t="n"/>
      <c r="I35" s="62" t="n"/>
      <c r="J35" s="62" t="n"/>
      <c r="K35" s="62" t="n"/>
      <c r="L35" s="62" t="n"/>
      <c r="M35" s="62" t="n"/>
      <c r="N35" s="62" t="n"/>
      <c r="O35" s="62" t="n"/>
      <c r="P35" s="62" t="n"/>
      <c r="Q35" s="58" t="n"/>
      <c r="R35" s="66">
        <f>IF(AND(tblSafety[[#This Row],[Hours_Employees]]="",tblSafety[[#This Row],[Hours_Contractors]]=""),"",N(tblSafety[[#This Row],[Hours_Employees]])+N(tblSafety[[#This Row],[Hours_Contractors]]))</f>
        <v/>
      </c>
      <c r="S35" s="64">
        <f>IF(AND(tblSafety[[#This Row],[Fatality]]="",tblSafety[[#This Row],[LTI]]="",tblSafety[[#This Row],[RWI]]="",tblSafety[[#This Row],[MTI]]=""),"",N(tblSafety[[#This Row],[Fatality]])+N(tblSafety[[#This Row],[LTI]])+N(tblSafety[[#This Row],[RWI]])+N(tblSafety[[#This Row],[MTI]]))</f>
        <v/>
      </c>
    </row>
    <row r="36">
      <c r="A36" s="54" t="n">
        <v>46053</v>
      </c>
      <c r="B36" s="57" t="n"/>
      <c r="C36" s="57" t="n"/>
      <c r="D36" s="62" t="n"/>
      <c r="E36" s="62" t="n"/>
      <c r="F36" s="62" t="n"/>
      <c r="G36" s="62" t="n"/>
      <c r="H36" s="62" t="n"/>
      <c r="I36" s="62" t="n"/>
      <c r="J36" s="62" t="n"/>
      <c r="K36" s="62" t="n"/>
      <c r="L36" s="62" t="n"/>
      <c r="M36" s="62" t="n"/>
      <c r="N36" s="62" t="n"/>
      <c r="O36" s="62" t="n"/>
      <c r="P36" s="62" t="n"/>
      <c r="Q36" s="58" t="n"/>
      <c r="R36" s="66">
        <f>IF(AND(tblSafety[[#This Row],[Hours_Employees]]="",tblSafety[[#This Row],[Hours_Contractors]]=""),"",N(tblSafety[[#This Row],[Hours_Employees]])+N(tblSafety[[#This Row],[Hours_Contractors]]))</f>
        <v/>
      </c>
      <c r="S36" s="64">
        <f>IF(AND(tblSafety[[#This Row],[Fatality]]="",tblSafety[[#This Row],[LTI]]="",tblSafety[[#This Row],[RWI]]="",tblSafety[[#This Row],[MTI]]=""),"",N(tblSafety[[#This Row],[Fatality]])+N(tblSafety[[#This Row],[LTI]])+N(tblSafety[[#This Row],[RWI]])+N(tblSafety[[#This Row],[MTI]]))</f>
        <v/>
      </c>
    </row>
    <row r="37">
      <c r="A37" s="54" t="n">
        <v>46054</v>
      </c>
      <c r="B37" s="57" t="n"/>
      <c r="C37" s="57" t="n"/>
      <c r="D37" s="62" t="n"/>
      <c r="E37" s="62" t="n"/>
      <c r="F37" s="62" t="n"/>
      <c r="G37" s="62" t="n"/>
      <c r="H37" s="62" t="n"/>
      <c r="I37" s="62" t="n"/>
      <c r="J37" s="62" t="n"/>
      <c r="K37" s="62" t="n"/>
      <c r="L37" s="62" t="n"/>
      <c r="M37" s="62" t="n"/>
      <c r="N37" s="62" t="n"/>
      <c r="O37" s="62" t="n"/>
      <c r="P37" s="62" t="n"/>
      <c r="Q37" s="58" t="n"/>
      <c r="R37" s="66">
        <f>IF(AND(tblSafety[[#This Row],[Hours_Employees]]="",tblSafety[[#This Row],[Hours_Contractors]]=""),"",N(tblSafety[[#This Row],[Hours_Employees]])+N(tblSafety[[#This Row],[Hours_Contractors]]))</f>
        <v/>
      </c>
      <c r="S37" s="64">
        <f>IF(AND(tblSafety[[#This Row],[Fatality]]="",tblSafety[[#This Row],[LTI]]="",tblSafety[[#This Row],[RWI]]="",tblSafety[[#This Row],[MTI]]=""),"",N(tblSafety[[#This Row],[Fatality]])+N(tblSafety[[#This Row],[LTI]])+N(tblSafety[[#This Row],[RWI]])+N(tblSafety[[#This Row],[MTI]]))</f>
        <v/>
      </c>
    </row>
    <row r="38">
      <c r="A38" s="54" t="n">
        <v>46055</v>
      </c>
      <c r="B38" s="57" t="n"/>
      <c r="C38" s="57" t="n"/>
      <c r="D38" s="62" t="n"/>
      <c r="E38" s="62" t="n"/>
      <c r="F38" s="62" t="n"/>
      <c r="G38" s="62" t="n"/>
      <c r="H38" s="62" t="n"/>
      <c r="I38" s="62" t="n"/>
      <c r="J38" s="62" t="n"/>
      <c r="K38" s="62" t="n"/>
      <c r="L38" s="62" t="n"/>
      <c r="M38" s="62" t="n"/>
      <c r="N38" s="62" t="n"/>
      <c r="O38" s="62" t="n"/>
      <c r="P38" s="62" t="n"/>
      <c r="Q38" s="58" t="n"/>
      <c r="R38" s="66">
        <f>IF(AND(tblSafety[[#This Row],[Hours_Employees]]="",tblSafety[[#This Row],[Hours_Contractors]]=""),"",N(tblSafety[[#This Row],[Hours_Employees]])+N(tblSafety[[#This Row],[Hours_Contractors]]))</f>
        <v/>
      </c>
      <c r="S38" s="64">
        <f>IF(AND(tblSafety[[#This Row],[Fatality]]="",tblSafety[[#This Row],[LTI]]="",tblSafety[[#This Row],[RWI]]="",tblSafety[[#This Row],[MTI]]=""),"",N(tblSafety[[#This Row],[Fatality]])+N(tblSafety[[#This Row],[LTI]])+N(tblSafety[[#This Row],[RWI]])+N(tblSafety[[#This Row],[MTI]]))</f>
        <v/>
      </c>
    </row>
    <row r="39">
      <c r="A39" s="54" t="n">
        <v>46056</v>
      </c>
      <c r="B39" s="57" t="n"/>
      <c r="C39" s="57" t="n"/>
      <c r="D39" s="62" t="n"/>
      <c r="E39" s="62" t="n"/>
      <c r="F39" s="62" t="n"/>
      <c r="G39" s="62" t="n"/>
      <c r="H39" s="62" t="n"/>
      <c r="I39" s="62" t="n"/>
      <c r="J39" s="62" t="n"/>
      <c r="K39" s="62" t="n"/>
      <c r="L39" s="62" t="n"/>
      <c r="M39" s="62" t="n"/>
      <c r="N39" s="62" t="n"/>
      <c r="O39" s="62" t="n"/>
      <c r="P39" s="62" t="n"/>
      <c r="Q39" s="58" t="n"/>
      <c r="R39" s="66">
        <f>IF(AND(tblSafety[[#This Row],[Hours_Employees]]="",tblSafety[[#This Row],[Hours_Contractors]]=""),"",N(tblSafety[[#This Row],[Hours_Employees]])+N(tblSafety[[#This Row],[Hours_Contractors]]))</f>
        <v/>
      </c>
      <c r="S39" s="64">
        <f>IF(AND(tblSafety[[#This Row],[Fatality]]="",tblSafety[[#This Row],[LTI]]="",tblSafety[[#This Row],[RWI]]="",tblSafety[[#This Row],[MTI]]=""),"",N(tblSafety[[#This Row],[Fatality]])+N(tblSafety[[#This Row],[LTI]])+N(tblSafety[[#This Row],[RWI]])+N(tblSafety[[#This Row],[MTI]]))</f>
        <v/>
      </c>
    </row>
    <row r="40">
      <c r="A40" s="54" t="n">
        <v>46057</v>
      </c>
      <c r="B40" s="57" t="n"/>
      <c r="C40" s="57" t="n"/>
      <c r="D40" s="62" t="n"/>
      <c r="E40" s="62" t="n"/>
      <c r="F40" s="62" t="n"/>
      <c r="G40" s="62" t="n"/>
      <c r="H40" s="62" t="n"/>
      <c r="I40" s="62" t="n"/>
      <c r="J40" s="62" t="n"/>
      <c r="K40" s="62" t="n"/>
      <c r="L40" s="62" t="n"/>
      <c r="M40" s="62" t="n"/>
      <c r="N40" s="62" t="n"/>
      <c r="O40" s="62" t="n"/>
      <c r="P40" s="62" t="n"/>
      <c r="Q40" s="58" t="n"/>
      <c r="R40" s="66">
        <f>IF(AND(tblSafety[[#This Row],[Hours_Employees]]="",tblSafety[[#This Row],[Hours_Contractors]]=""),"",N(tblSafety[[#This Row],[Hours_Employees]])+N(tblSafety[[#This Row],[Hours_Contractors]]))</f>
        <v/>
      </c>
      <c r="S40" s="64">
        <f>IF(AND(tblSafety[[#This Row],[Fatality]]="",tblSafety[[#This Row],[LTI]]="",tblSafety[[#This Row],[RWI]]="",tblSafety[[#This Row],[MTI]]=""),"",N(tblSafety[[#This Row],[Fatality]])+N(tblSafety[[#This Row],[LTI]])+N(tblSafety[[#This Row],[RWI]])+N(tblSafety[[#This Row],[MTI]]))</f>
        <v/>
      </c>
    </row>
    <row r="41">
      <c r="A41" s="54" t="n">
        <v>46058</v>
      </c>
      <c r="B41" s="57" t="n"/>
      <c r="C41" s="57" t="n"/>
      <c r="D41" s="62" t="n"/>
      <c r="E41" s="62" t="n"/>
      <c r="F41" s="62" t="n"/>
      <c r="G41" s="62" t="n"/>
      <c r="H41" s="62" t="n"/>
      <c r="I41" s="62" t="n"/>
      <c r="J41" s="62" t="n"/>
      <c r="K41" s="62" t="n"/>
      <c r="L41" s="62" t="n"/>
      <c r="M41" s="62" t="n"/>
      <c r="N41" s="62" t="n"/>
      <c r="O41" s="62" t="n"/>
      <c r="P41" s="62" t="n"/>
      <c r="Q41" s="58" t="n"/>
      <c r="R41" s="66">
        <f>IF(AND(tblSafety[[#This Row],[Hours_Employees]]="",tblSafety[[#This Row],[Hours_Contractors]]=""),"",N(tblSafety[[#This Row],[Hours_Employees]])+N(tblSafety[[#This Row],[Hours_Contractors]]))</f>
        <v/>
      </c>
      <c r="S41" s="64">
        <f>IF(AND(tblSafety[[#This Row],[Fatality]]="",tblSafety[[#This Row],[LTI]]="",tblSafety[[#This Row],[RWI]]="",tblSafety[[#This Row],[MTI]]=""),"",N(tblSafety[[#This Row],[Fatality]])+N(tblSafety[[#This Row],[LTI]])+N(tblSafety[[#This Row],[RWI]])+N(tblSafety[[#This Row],[MTI]]))</f>
        <v/>
      </c>
    </row>
    <row r="42">
      <c r="A42" s="54" t="n">
        <v>46059</v>
      </c>
      <c r="B42" s="57" t="n"/>
      <c r="C42" s="57" t="n"/>
      <c r="D42" s="62" t="n"/>
      <c r="E42" s="62" t="n"/>
      <c r="F42" s="62" t="n"/>
      <c r="G42" s="62" t="n"/>
      <c r="H42" s="62" t="n"/>
      <c r="I42" s="62" t="n"/>
      <c r="J42" s="62" t="n"/>
      <c r="K42" s="62" t="n"/>
      <c r="L42" s="62" t="n"/>
      <c r="M42" s="62" t="n"/>
      <c r="N42" s="62" t="n"/>
      <c r="O42" s="62" t="n"/>
      <c r="P42" s="62" t="n"/>
      <c r="Q42" s="58" t="n"/>
      <c r="R42" s="66">
        <f>IF(AND(tblSafety[[#This Row],[Hours_Employees]]="",tblSafety[[#This Row],[Hours_Contractors]]=""),"",N(tblSafety[[#This Row],[Hours_Employees]])+N(tblSafety[[#This Row],[Hours_Contractors]]))</f>
        <v/>
      </c>
      <c r="S42" s="64">
        <f>IF(AND(tblSafety[[#This Row],[Fatality]]="",tblSafety[[#This Row],[LTI]]="",tblSafety[[#This Row],[RWI]]="",tblSafety[[#This Row],[MTI]]=""),"",N(tblSafety[[#This Row],[Fatality]])+N(tblSafety[[#This Row],[LTI]])+N(tblSafety[[#This Row],[RWI]])+N(tblSafety[[#This Row],[MTI]]))</f>
        <v/>
      </c>
    </row>
    <row r="43">
      <c r="A43" s="54" t="n">
        <v>46060</v>
      </c>
      <c r="B43" s="57" t="n"/>
      <c r="C43" s="57" t="n"/>
      <c r="D43" s="62" t="n"/>
      <c r="E43" s="62" t="n"/>
      <c r="F43" s="62" t="n"/>
      <c r="G43" s="62" t="n"/>
      <c r="H43" s="62" t="n"/>
      <c r="I43" s="62" t="n"/>
      <c r="J43" s="62" t="n"/>
      <c r="K43" s="62" t="n"/>
      <c r="L43" s="62" t="n"/>
      <c r="M43" s="62" t="n"/>
      <c r="N43" s="62" t="n"/>
      <c r="O43" s="62" t="n"/>
      <c r="P43" s="62" t="n"/>
      <c r="Q43" s="58" t="n"/>
      <c r="R43" s="66">
        <f>IF(AND(tblSafety[[#This Row],[Hours_Employees]]="",tblSafety[[#This Row],[Hours_Contractors]]=""),"",N(tblSafety[[#This Row],[Hours_Employees]])+N(tblSafety[[#This Row],[Hours_Contractors]]))</f>
        <v/>
      </c>
      <c r="S43" s="64">
        <f>IF(AND(tblSafety[[#This Row],[Fatality]]="",tblSafety[[#This Row],[LTI]]="",tblSafety[[#This Row],[RWI]]="",tblSafety[[#This Row],[MTI]]=""),"",N(tblSafety[[#This Row],[Fatality]])+N(tblSafety[[#This Row],[LTI]])+N(tblSafety[[#This Row],[RWI]])+N(tblSafety[[#This Row],[MTI]]))</f>
        <v/>
      </c>
    </row>
    <row r="44">
      <c r="A44" s="54" t="n">
        <v>46061</v>
      </c>
      <c r="B44" s="57" t="n"/>
      <c r="C44" s="57" t="n"/>
      <c r="D44" s="62" t="n"/>
      <c r="E44" s="62" t="n"/>
      <c r="F44" s="62" t="n"/>
      <c r="G44" s="62" t="n"/>
      <c r="H44" s="62" t="n"/>
      <c r="I44" s="62" t="n"/>
      <c r="J44" s="62" t="n"/>
      <c r="K44" s="62" t="n"/>
      <c r="L44" s="62" t="n"/>
      <c r="M44" s="62" t="n"/>
      <c r="N44" s="62" t="n"/>
      <c r="O44" s="62" t="n"/>
      <c r="P44" s="62" t="n"/>
      <c r="Q44" s="58" t="n"/>
      <c r="R44" s="66">
        <f>IF(AND(tblSafety[[#This Row],[Hours_Employees]]="",tblSafety[[#This Row],[Hours_Contractors]]=""),"",N(tblSafety[[#This Row],[Hours_Employees]])+N(tblSafety[[#This Row],[Hours_Contractors]]))</f>
        <v/>
      </c>
      <c r="S44" s="64">
        <f>IF(AND(tblSafety[[#This Row],[Fatality]]="",tblSafety[[#This Row],[LTI]]="",tblSafety[[#This Row],[RWI]]="",tblSafety[[#This Row],[MTI]]=""),"",N(tblSafety[[#This Row],[Fatality]])+N(tblSafety[[#This Row],[LTI]])+N(tblSafety[[#This Row],[RWI]])+N(tblSafety[[#This Row],[MTI]]))</f>
        <v/>
      </c>
    </row>
    <row r="45">
      <c r="A45" s="54" t="n">
        <v>46062</v>
      </c>
      <c r="B45" s="57" t="n"/>
      <c r="C45" s="57" t="n"/>
      <c r="D45" s="62" t="n"/>
      <c r="E45" s="62" t="n"/>
      <c r="F45" s="62" t="n"/>
      <c r="G45" s="62" t="n"/>
      <c r="H45" s="62" t="n"/>
      <c r="I45" s="62" t="n"/>
      <c r="J45" s="62" t="n"/>
      <c r="K45" s="62" t="n"/>
      <c r="L45" s="62" t="n"/>
      <c r="M45" s="62" t="n"/>
      <c r="N45" s="62" t="n"/>
      <c r="O45" s="62" t="n"/>
      <c r="P45" s="62" t="n"/>
      <c r="Q45" s="58" t="n"/>
      <c r="R45" s="66">
        <f>IF(AND(tblSafety[[#This Row],[Hours_Employees]]="",tblSafety[[#This Row],[Hours_Contractors]]=""),"",N(tblSafety[[#This Row],[Hours_Employees]])+N(tblSafety[[#This Row],[Hours_Contractors]]))</f>
        <v/>
      </c>
      <c r="S45" s="64">
        <f>IF(AND(tblSafety[[#This Row],[Fatality]]="",tblSafety[[#This Row],[LTI]]="",tblSafety[[#This Row],[RWI]]="",tblSafety[[#This Row],[MTI]]=""),"",N(tblSafety[[#This Row],[Fatality]])+N(tblSafety[[#This Row],[LTI]])+N(tblSafety[[#This Row],[RWI]])+N(tblSafety[[#This Row],[MTI]]))</f>
        <v/>
      </c>
    </row>
    <row r="46">
      <c r="A46" s="54" t="n">
        <v>46063</v>
      </c>
      <c r="B46" s="57" t="n"/>
      <c r="C46" s="57" t="n"/>
      <c r="D46" s="62" t="n"/>
      <c r="E46" s="62" t="n"/>
      <c r="F46" s="62" t="n"/>
      <c r="G46" s="62" t="n"/>
      <c r="H46" s="62" t="n"/>
      <c r="I46" s="62" t="n"/>
      <c r="J46" s="62" t="n"/>
      <c r="K46" s="62" t="n"/>
      <c r="L46" s="62" t="n"/>
      <c r="M46" s="62" t="n"/>
      <c r="N46" s="62" t="n"/>
      <c r="O46" s="62" t="n"/>
      <c r="P46" s="62" t="n"/>
      <c r="Q46" s="58" t="n"/>
      <c r="R46" s="66">
        <f>IF(AND(tblSafety[[#This Row],[Hours_Employees]]="",tblSafety[[#This Row],[Hours_Contractors]]=""),"",N(tblSafety[[#This Row],[Hours_Employees]])+N(tblSafety[[#This Row],[Hours_Contractors]]))</f>
        <v/>
      </c>
      <c r="S46" s="64">
        <f>IF(AND(tblSafety[[#This Row],[Fatality]]="",tblSafety[[#This Row],[LTI]]="",tblSafety[[#This Row],[RWI]]="",tblSafety[[#This Row],[MTI]]=""),"",N(tblSafety[[#This Row],[Fatality]])+N(tblSafety[[#This Row],[LTI]])+N(tblSafety[[#This Row],[RWI]])+N(tblSafety[[#This Row],[MTI]]))</f>
        <v/>
      </c>
    </row>
    <row r="47">
      <c r="A47" s="54" t="n">
        <v>46064</v>
      </c>
      <c r="B47" s="57" t="n"/>
      <c r="C47" s="57" t="n"/>
      <c r="D47" s="62" t="n"/>
      <c r="E47" s="62" t="n"/>
      <c r="F47" s="62" t="n"/>
      <c r="G47" s="62" t="n"/>
      <c r="H47" s="62" t="n"/>
      <c r="I47" s="62" t="n"/>
      <c r="J47" s="62" t="n"/>
      <c r="K47" s="62" t="n"/>
      <c r="L47" s="62" t="n"/>
      <c r="M47" s="62" t="n"/>
      <c r="N47" s="62" t="n"/>
      <c r="O47" s="62" t="n"/>
      <c r="P47" s="62" t="n"/>
      <c r="Q47" s="58" t="n"/>
      <c r="R47" s="66">
        <f>IF(AND(tblSafety[[#This Row],[Hours_Employees]]="",tblSafety[[#This Row],[Hours_Contractors]]=""),"",N(tblSafety[[#This Row],[Hours_Employees]])+N(tblSafety[[#This Row],[Hours_Contractors]]))</f>
        <v/>
      </c>
      <c r="S47" s="64">
        <f>IF(AND(tblSafety[[#This Row],[Fatality]]="",tblSafety[[#This Row],[LTI]]="",tblSafety[[#This Row],[RWI]]="",tblSafety[[#This Row],[MTI]]=""),"",N(tblSafety[[#This Row],[Fatality]])+N(tblSafety[[#This Row],[LTI]])+N(tblSafety[[#This Row],[RWI]])+N(tblSafety[[#This Row],[MTI]]))</f>
        <v/>
      </c>
    </row>
    <row r="48">
      <c r="A48" s="54" t="n">
        <v>46065</v>
      </c>
      <c r="B48" s="57" t="n"/>
      <c r="C48" s="57" t="n"/>
      <c r="D48" s="62" t="n"/>
      <c r="E48" s="62" t="n"/>
      <c r="F48" s="62" t="n"/>
      <c r="G48" s="62" t="n"/>
      <c r="H48" s="62" t="n"/>
      <c r="I48" s="62" t="n"/>
      <c r="J48" s="62" t="n"/>
      <c r="K48" s="62" t="n"/>
      <c r="L48" s="62" t="n"/>
      <c r="M48" s="62" t="n"/>
      <c r="N48" s="62" t="n"/>
      <c r="O48" s="62" t="n"/>
      <c r="P48" s="62" t="n"/>
      <c r="Q48" s="58" t="n"/>
      <c r="R48" s="66">
        <f>IF(AND(tblSafety[[#This Row],[Hours_Employees]]="",tblSafety[[#This Row],[Hours_Contractors]]=""),"",N(tblSafety[[#This Row],[Hours_Employees]])+N(tblSafety[[#This Row],[Hours_Contractors]]))</f>
        <v/>
      </c>
      <c r="S48" s="64">
        <f>IF(AND(tblSafety[[#This Row],[Fatality]]="",tblSafety[[#This Row],[LTI]]="",tblSafety[[#This Row],[RWI]]="",tblSafety[[#This Row],[MTI]]=""),"",N(tblSafety[[#This Row],[Fatality]])+N(tblSafety[[#This Row],[LTI]])+N(tblSafety[[#This Row],[RWI]])+N(tblSafety[[#This Row],[MTI]]))</f>
        <v/>
      </c>
    </row>
    <row r="49">
      <c r="A49" s="54" t="n">
        <v>46066</v>
      </c>
      <c r="B49" s="57" t="n"/>
      <c r="C49" s="57" t="n"/>
      <c r="D49" s="62" t="n"/>
      <c r="E49" s="62" t="n"/>
      <c r="F49" s="62" t="n"/>
      <c r="G49" s="62" t="n"/>
      <c r="H49" s="62" t="n"/>
      <c r="I49" s="62" t="n"/>
      <c r="J49" s="62" t="n"/>
      <c r="K49" s="62" t="n"/>
      <c r="L49" s="62" t="n"/>
      <c r="M49" s="62" t="n"/>
      <c r="N49" s="62" t="n"/>
      <c r="O49" s="62" t="n"/>
      <c r="P49" s="62" t="n"/>
      <c r="Q49" s="58" t="n"/>
      <c r="R49" s="66">
        <f>IF(AND(tblSafety[[#This Row],[Hours_Employees]]="",tblSafety[[#This Row],[Hours_Contractors]]=""),"",N(tblSafety[[#This Row],[Hours_Employees]])+N(tblSafety[[#This Row],[Hours_Contractors]]))</f>
        <v/>
      </c>
      <c r="S49" s="64">
        <f>IF(AND(tblSafety[[#This Row],[Fatality]]="",tblSafety[[#This Row],[LTI]]="",tblSafety[[#This Row],[RWI]]="",tblSafety[[#This Row],[MTI]]=""),"",N(tblSafety[[#This Row],[Fatality]])+N(tblSafety[[#This Row],[LTI]])+N(tblSafety[[#This Row],[RWI]])+N(tblSafety[[#This Row],[MTI]]))</f>
        <v/>
      </c>
    </row>
    <row r="50">
      <c r="A50" s="54" t="n">
        <v>46067</v>
      </c>
      <c r="B50" s="57" t="n"/>
      <c r="C50" s="57" t="n"/>
      <c r="D50" s="62" t="n"/>
      <c r="E50" s="62" t="n"/>
      <c r="F50" s="62" t="n"/>
      <c r="G50" s="62" t="n"/>
      <c r="H50" s="62" t="n"/>
      <c r="I50" s="62" t="n"/>
      <c r="J50" s="62" t="n"/>
      <c r="K50" s="62" t="n"/>
      <c r="L50" s="62" t="n"/>
      <c r="M50" s="62" t="n"/>
      <c r="N50" s="62" t="n"/>
      <c r="O50" s="62" t="n"/>
      <c r="P50" s="62" t="n"/>
      <c r="Q50" s="58" t="n"/>
      <c r="R50" s="66">
        <f>IF(AND(tblSafety[[#This Row],[Hours_Employees]]="",tblSafety[[#This Row],[Hours_Contractors]]=""),"",N(tblSafety[[#This Row],[Hours_Employees]])+N(tblSafety[[#This Row],[Hours_Contractors]]))</f>
        <v/>
      </c>
      <c r="S50" s="64">
        <f>IF(AND(tblSafety[[#This Row],[Fatality]]="",tblSafety[[#This Row],[LTI]]="",tblSafety[[#This Row],[RWI]]="",tblSafety[[#This Row],[MTI]]=""),"",N(tblSafety[[#This Row],[Fatality]])+N(tblSafety[[#This Row],[LTI]])+N(tblSafety[[#This Row],[RWI]])+N(tblSafety[[#This Row],[MTI]]))</f>
        <v/>
      </c>
    </row>
    <row r="51">
      <c r="A51" s="54" t="n">
        <v>46068</v>
      </c>
      <c r="B51" s="57" t="n"/>
      <c r="C51" s="57" t="n"/>
      <c r="D51" s="62" t="n"/>
      <c r="E51" s="62" t="n"/>
      <c r="F51" s="62" t="n"/>
      <c r="G51" s="62" t="n"/>
      <c r="H51" s="62" t="n"/>
      <c r="I51" s="62" t="n"/>
      <c r="J51" s="62" t="n"/>
      <c r="K51" s="62" t="n"/>
      <c r="L51" s="62" t="n"/>
      <c r="M51" s="62" t="n"/>
      <c r="N51" s="62" t="n"/>
      <c r="O51" s="62" t="n"/>
      <c r="P51" s="62" t="n"/>
      <c r="Q51" s="58" t="n"/>
      <c r="R51" s="66">
        <f>IF(AND(tblSafety[[#This Row],[Hours_Employees]]="",tblSafety[[#This Row],[Hours_Contractors]]=""),"",N(tblSafety[[#This Row],[Hours_Employees]])+N(tblSafety[[#This Row],[Hours_Contractors]]))</f>
        <v/>
      </c>
      <c r="S51" s="64">
        <f>IF(AND(tblSafety[[#This Row],[Fatality]]="",tblSafety[[#This Row],[LTI]]="",tblSafety[[#This Row],[RWI]]="",tblSafety[[#This Row],[MTI]]=""),"",N(tblSafety[[#This Row],[Fatality]])+N(tblSafety[[#This Row],[LTI]])+N(tblSafety[[#This Row],[RWI]])+N(tblSafety[[#This Row],[MTI]]))</f>
        <v/>
      </c>
    </row>
    <row r="52">
      <c r="A52" s="54" t="n">
        <v>46069</v>
      </c>
      <c r="B52" s="57" t="n"/>
      <c r="C52" s="57" t="n"/>
      <c r="D52" s="62" t="n"/>
      <c r="E52" s="62" t="n"/>
      <c r="F52" s="62" t="n"/>
      <c r="G52" s="62" t="n"/>
      <c r="H52" s="62" t="n"/>
      <c r="I52" s="62" t="n"/>
      <c r="J52" s="62" t="n"/>
      <c r="K52" s="62" t="n"/>
      <c r="L52" s="62" t="n"/>
      <c r="M52" s="62" t="n"/>
      <c r="N52" s="62" t="n"/>
      <c r="O52" s="62" t="n"/>
      <c r="P52" s="62" t="n"/>
      <c r="Q52" s="58" t="n"/>
      <c r="R52" s="66">
        <f>IF(AND(tblSafety[[#This Row],[Hours_Employees]]="",tblSafety[[#This Row],[Hours_Contractors]]=""),"",N(tblSafety[[#This Row],[Hours_Employees]])+N(tblSafety[[#This Row],[Hours_Contractors]]))</f>
        <v/>
      </c>
      <c r="S52" s="64">
        <f>IF(AND(tblSafety[[#This Row],[Fatality]]="",tblSafety[[#This Row],[LTI]]="",tblSafety[[#This Row],[RWI]]="",tblSafety[[#This Row],[MTI]]=""),"",N(tblSafety[[#This Row],[Fatality]])+N(tblSafety[[#This Row],[LTI]])+N(tblSafety[[#This Row],[RWI]])+N(tblSafety[[#This Row],[MTI]]))</f>
        <v/>
      </c>
    </row>
    <row r="53">
      <c r="A53" s="54" t="n">
        <v>46070</v>
      </c>
      <c r="B53" s="57" t="n"/>
      <c r="C53" s="57" t="n"/>
      <c r="D53" s="62" t="n"/>
      <c r="E53" s="62" t="n"/>
      <c r="F53" s="62" t="n"/>
      <c r="G53" s="62" t="n"/>
      <c r="H53" s="62" t="n"/>
      <c r="I53" s="62" t="n"/>
      <c r="J53" s="62" t="n"/>
      <c r="K53" s="62" t="n"/>
      <c r="L53" s="62" t="n"/>
      <c r="M53" s="62" t="n"/>
      <c r="N53" s="62" t="n"/>
      <c r="O53" s="62" t="n"/>
      <c r="P53" s="62" t="n"/>
      <c r="Q53" s="58" t="n"/>
      <c r="R53" s="66">
        <f>IF(AND(tblSafety[[#This Row],[Hours_Employees]]="",tblSafety[[#This Row],[Hours_Contractors]]=""),"",N(tblSafety[[#This Row],[Hours_Employees]])+N(tblSafety[[#This Row],[Hours_Contractors]]))</f>
        <v/>
      </c>
      <c r="S53" s="64">
        <f>IF(AND(tblSafety[[#This Row],[Fatality]]="",tblSafety[[#This Row],[LTI]]="",tblSafety[[#This Row],[RWI]]="",tblSafety[[#This Row],[MTI]]=""),"",N(tblSafety[[#This Row],[Fatality]])+N(tblSafety[[#This Row],[LTI]])+N(tblSafety[[#This Row],[RWI]])+N(tblSafety[[#This Row],[MTI]]))</f>
        <v/>
      </c>
    </row>
    <row r="54">
      <c r="A54" s="54" t="n">
        <v>46071</v>
      </c>
      <c r="B54" s="57" t="n"/>
      <c r="C54" s="57" t="n"/>
      <c r="D54" s="62" t="n"/>
      <c r="E54" s="62" t="n"/>
      <c r="F54" s="62" t="n"/>
      <c r="G54" s="62" t="n"/>
      <c r="H54" s="62" t="n"/>
      <c r="I54" s="62" t="n"/>
      <c r="J54" s="62" t="n"/>
      <c r="K54" s="62" t="n"/>
      <c r="L54" s="62" t="n"/>
      <c r="M54" s="62" t="n"/>
      <c r="N54" s="62" t="n"/>
      <c r="O54" s="62" t="n"/>
      <c r="P54" s="62" t="n"/>
      <c r="Q54" s="58" t="n"/>
      <c r="R54" s="66">
        <f>IF(AND(tblSafety[[#This Row],[Hours_Employees]]="",tblSafety[[#This Row],[Hours_Contractors]]=""),"",N(tblSafety[[#This Row],[Hours_Employees]])+N(tblSafety[[#This Row],[Hours_Contractors]]))</f>
        <v/>
      </c>
      <c r="S54" s="64">
        <f>IF(AND(tblSafety[[#This Row],[Fatality]]="",tblSafety[[#This Row],[LTI]]="",tblSafety[[#This Row],[RWI]]="",tblSafety[[#This Row],[MTI]]=""),"",N(tblSafety[[#This Row],[Fatality]])+N(tblSafety[[#This Row],[LTI]])+N(tblSafety[[#This Row],[RWI]])+N(tblSafety[[#This Row],[MTI]]))</f>
        <v/>
      </c>
    </row>
    <row r="55">
      <c r="A55" s="54" t="n">
        <v>46072</v>
      </c>
      <c r="B55" s="57" t="n"/>
      <c r="C55" s="57" t="n"/>
      <c r="D55" s="62" t="n"/>
      <c r="E55" s="62" t="n"/>
      <c r="F55" s="62" t="n"/>
      <c r="G55" s="62" t="n"/>
      <c r="H55" s="62" t="n"/>
      <c r="I55" s="62" t="n"/>
      <c r="J55" s="62" t="n"/>
      <c r="K55" s="62" t="n"/>
      <c r="L55" s="62" t="n"/>
      <c r="M55" s="62" t="n"/>
      <c r="N55" s="62" t="n"/>
      <c r="O55" s="62" t="n"/>
      <c r="P55" s="62" t="n"/>
      <c r="Q55" s="58" t="n"/>
      <c r="R55" s="66">
        <f>IF(AND(tblSafety[[#This Row],[Hours_Employees]]="",tblSafety[[#This Row],[Hours_Contractors]]=""),"",N(tblSafety[[#This Row],[Hours_Employees]])+N(tblSafety[[#This Row],[Hours_Contractors]]))</f>
        <v/>
      </c>
      <c r="S55" s="64">
        <f>IF(AND(tblSafety[[#This Row],[Fatality]]="",tblSafety[[#This Row],[LTI]]="",tblSafety[[#This Row],[RWI]]="",tblSafety[[#This Row],[MTI]]=""),"",N(tblSafety[[#This Row],[Fatality]])+N(tblSafety[[#This Row],[LTI]])+N(tblSafety[[#This Row],[RWI]])+N(tblSafety[[#This Row],[MTI]]))</f>
        <v/>
      </c>
    </row>
    <row r="56">
      <c r="A56" s="54" t="n">
        <v>46073</v>
      </c>
      <c r="B56" s="57" t="n"/>
      <c r="C56" s="57" t="n"/>
      <c r="D56" s="62" t="n"/>
      <c r="E56" s="62" t="n"/>
      <c r="F56" s="62" t="n"/>
      <c r="G56" s="62" t="n"/>
      <c r="H56" s="62" t="n"/>
      <c r="I56" s="62" t="n"/>
      <c r="J56" s="62" t="n"/>
      <c r="K56" s="62" t="n"/>
      <c r="L56" s="62" t="n"/>
      <c r="M56" s="62" t="n"/>
      <c r="N56" s="62" t="n"/>
      <c r="O56" s="62" t="n"/>
      <c r="P56" s="62" t="n"/>
      <c r="Q56" s="58" t="n"/>
      <c r="R56" s="66">
        <f>IF(AND(tblSafety[[#This Row],[Hours_Employees]]="",tblSafety[[#This Row],[Hours_Contractors]]=""),"",N(tblSafety[[#This Row],[Hours_Employees]])+N(tblSafety[[#This Row],[Hours_Contractors]]))</f>
        <v/>
      </c>
      <c r="S56" s="64">
        <f>IF(AND(tblSafety[[#This Row],[Fatality]]="",tblSafety[[#This Row],[LTI]]="",tblSafety[[#This Row],[RWI]]="",tblSafety[[#This Row],[MTI]]=""),"",N(tblSafety[[#This Row],[Fatality]])+N(tblSafety[[#This Row],[LTI]])+N(tblSafety[[#This Row],[RWI]])+N(tblSafety[[#This Row],[MTI]]))</f>
        <v/>
      </c>
    </row>
    <row r="57">
      <c r="A57" s="54" t="n">
        <v>46074</v>
      </c>
      <c r="B57" s="57" t="n"/>
      <c r="C57" s="57" t="n"/>
      <c r="D57" s="62" t="n"/>
      <c r="E57" s="62" t="n"/>
      <c r="F57" s="62" t="n"/>
      <c r="G57" s="62" t="n"/>
      <c r="H57" s="62" t="n"/>
      <c r="I57" s="62" t="n"/>
      <c r="J57" s="62" t="n"/>
      <c r="K57" s="62" t="n"/>
      <c r="L57" s="62" t="n"/>
      <c r="M57" s="62" t="n"/>
      <c r="N57" s="62" t="n"/>
      <c r="O57" s="62" t="n"/>
      <c r="P57" s="62" t="n"/>
      <c r="Q57" s="58" t="n"/>
      <c r="R57" s="66">
        <f>IF(AND(tblSafety[[#This Row],[Hours_Employees]]="",tblSafety[[#This Row],[Hours_Contractors]]=""),"",N(tblSafety[[#This Row],[Hours_Employees]])+N(tblSafety[[#This Row],[Hours_Contractors]]))</f>
        <v/>
      </c>
      <c r="S57" s="64">
        <f>IF(AND(tblSafety[[#This Row],[Fatality]]="",tblSafety[[#This Row],[LTI]]="",tblSafety[[#This Row],[RWI]]="",tblSafety[[#This Row],[MTI]]=""),"",N(tblSafety[[#This Row],[Fatality]])+N(tblSafety[[#This Row],[LTI]])+N(tblSafety[[#This Row],[RWI]])+N(tblSafety[[#This Row],[MTI]]))</f>
        <v/>
      </c>
    </row>
    <row r="58">
      <c r="A58" s="54" t="n">
        <v>46075</v>
      </c>
      <c r="B58" s="57" t="n"/>
      <c r="C58" s="57" t="n"/>
      <c r="D58" s="62" t="n"/>
      <c r="E58" s="62" t="n"/>
      <c r="F58" s="62" t="n"/>
      <c r="G58" s="62" t="n"/>
      <c r="H58" s="62" t="n"/>
      <c r="I58" s="62" t="n"/>
      <c r="J58" s="62" t="n"/>
      <c r="K58" s="62" t="n"/>
      <c r="L58" s="62" t="n"/>
      <c r="M58" s="62" t="n"/>
      <c r="N58" s="62" t="n"/>
      <c r="O58" s="62" t="n"/>
      <c r="P58" s="62" t="n"/>
      <c r="Q58" s="58" t="n"/>
      <c r="R58" s="66">
        <f>IF(AND(tblSafety[[#This Row],[Hours_Employees]]="",tblSafety[[#This Row],[Hours_Contractors]]=""),"",N(tblSafety[[#This Row],[Hours_Employees]])+N(tblSafety[[#This Row],[Hours_Contractors]]))</f>
        <v/>
      </c>
      <c r="S58" s="64">
        <f>IF(AND(tblSafety[[#This Row],[Fatality]]="",tblSafety[[#This Row],[LTI]]="",tblSafety[[#This Row],[RWI]]="",tblSafety[[#This Row],[MTI]]=""),"",N(tblSafety[[#This Row],[Fatality]])+N(tblSafety[[#This Row],[LTI]])+N(tblSafety[[#This Row],[RWI]])+N(tblSafety[[#This Row],[MTI]]))</f>
        <v/>
      </c>
    </row>
    <row r="59">
      <c r="A59" s="54" t="n">
        <v>46076</v>
      </c>
      <c r="B59" s="57" t="n"/>
      <c r="C59" s="57" t="n"/>
      <c r="D59" s="62" t="n"/>
      <c r="E59" s="62" t="n"/>
      <c r="F59" s="62" t="n"/>
      <c r="G59" s="62" t="n"/>
      <c r="H59" s="62" t="n"/>
      <c r="I59" s="62" t="n"/>
      <c r="J59" s="62" t="n"/>
      <c r="K59" s="62" t="n"/>
      <c r="L59" s="62" t="n"/>
      <c r="M59" s="62" t="n"/>
      <c r="N59" s="62" t="n"/>
      <c r="O59" s="62" t="n"/>
      <c r="P59" s="62" t="n"/>
      <c r="Q59" s="58" t="n"/>
      <c r="R59" s="66">
        <f>IF(AND(tblSafety[[#This Row],[Hours_Employees]]="",tblSafety[[#This Row],[Hours_Contractors]]=""),"",N(tblSafety[[#This Row],[Hours_Employees]])+N(tblSafety[[#This Row],[Hours_Contractors]]))</f>
        <v/>
      </c>
      <c r="S59" s="64">
        <f>IF(AND(tblSafety[[#This Row],[Fatality]]="",tblSafety[[#This Row],[LTI]]="",tblSafety[[#This Row],[RWI]]="",tblSafety[[#This Row],[MTI]]=""),"",N(tblSafety[[#This Row],[Fatality]])+N(tblSafety[[#This Row],[LTI]])+N(tblSafety[[#This Row],[RWI]])+N(tblSafety[[#This Row],[MTI]]))</f>
        <v/>
      </c>
    </row>
    <row r="60">
      <c r="A60" s="54" t="n">
        <v>46077</v>
      </c>
      <c r="B60" s="57" t="n"/>
      <c r="C60" s="57" t="n"/>
      <c r="D60" s="62" t="n"/>
      <c r="E60" s="62" t="n"/>
      <c r="F60" s="62" t="n"/>
      <c r="G60" s="62" t="n"/>
      <c r="H60" s="62" t="n"/>
      <c r="I60" s="62" t="n"/>
      <c r="J60" s="62" t="n"/>
      <c r="K60" s="62" t="n"/>
      <c r="L60" s="62" t="n"/>
      <c r="M60" s="62" t="n"/>
      <c r="N60" s="62" t="n"/>
      <c r="O60" s="62" t="n"/>
      <c r="P60" s="62" t="n"/>
      <c r="Q60" s="58" t="n"/>
      <c r="R60" s="66">
        <f>IF(AND(tblSafety[[#This Row],[Hours_Employees]]="",tblSafety[[#This Row],[Hours_Contractors]]=""),"",N(tblSafety[[#This Row],[Hours_Employees]])+N(tblSafety[[#This Row],[Hours_Contractors]]))</f>
        <v/>
      </c>
      <c r="S60" s="64">
        <f>IF(AND(tblSafety[[#This Row],[Fatality]]="",tblSafety[[#This Row],[LTI]]="",tblSafety[[#This Row],[RWI]]="",tblSafety[[#This Row],[MTI]]=""),"",N(tblSafety[[#This Row],[Fatality]])+N(tblSafety[[#This Row],[LTI]])+N(tblSafety[[#This Row],[RWI]])+N(tblSafety[[#This Row],[MTI]]))</f>
        <v/>
      </c>
    </row>
    <row r="61">
      <c r="A61" s="54" t="n">
        <v>46078</v>
      </c>
      <c r="B61" s="57" t="n"/>
      <c r="C61" s="57" t="n"/>
      <c r="D61" s="62" t="n"/>
      <c r="E61" s="62" t="n"/>
      <c r="F61" s="62" t="n"/>
      <c r="G61" s="62" t="n"/>
      <c r="H61" s="62" t="n"/>
      <c r="I61" s="62" t="n"/>
      <c r="J61" s="62" t="n"/>
      <c r="K61" s="62" t="n"/>
      <c r="L61" s="62" t="n"/>
      <c r="M61" s="62" t="n"/>
      <c r="N61" s="62" t="n"/>
      <c r="O61" s="62" t="n"/>
      <c r="P61" s="62" t="n"/>
      <c r="Q61" s="58" t="n"/>
      <c r="R61" s="66">
        <f>IF(AND(tblSafety[[#This Row],[Hours_Employees]]="",tblSafety[[#This Row],[Hours_Contractors]]=""),"",N(tblSafety[[#This Row],[Hours_Employees]])+N(tblSafety[[#This Row],[Hours_Contractors]]))</f>
        <v/>
      </c>
      <c r="S61" s="64">
        <f>IF(AND(tblSafety[[#This Row],[Fatality]]="",tblSafety[[#This Row],[LTI]]="",tblSafety[[#This Row],[RWI]]="",tblSafety[[#This Row],[MTI]]=""),"",N(tblSafety[[#This Row],[Fatality]])+N(tblSafety[[#This Row],[LTI]])+N(tblSafety[[#This Row],[RWI]])+N(tblSafety[[#This Row],[MTI]]))</f>
        <v/>
      </c>
    </row>
    <row r="62">
      <c r="A62" s="54" t="n">
        <v>46079</v>
      </c>
      <c r="B62" s="57" t="n"/>
      <c r="C62" s="57" t="n"/>
      <c r="D62" s="62" t="n"/>
      <c r="E62" s="62" t="n"/>
      <c r="F62" s="62" t="n"/>
      <c r="G62" s="62" t="n"/>
      <c r="H62" s="62" t="n"/>
      <c r="I62" s="62" t="n"/>
      <c r="J62" s="62" t="n"/>
      <c r="K62" s="62" t="n"/>
      <c r="L62" s="62" t="n"/>
      <c r="M62" s="62" t="n"/>
      <c r="N62" s="62" t="n"/>
      <c r="O62" s="62" t="n"/>
      <c r="P62" s="62" t="n"/>
      <c r="Q62" s="58" t="n"/>
      <c r="R62" s="66">
        <f>IF(AND(tblSafety[[#This Row],[Hours_Employees]]="",tblSafety[[#This Row],[Hours_Contractors]]=""),"",N(tblSafety[[#This Row],[Hours_Employees]])+N(tblSafety[[#This Row],[Hours_Contractors]]))</f>
        <v/>
      </c>
      <c r="S62" s="64">
        <f>IF(AND(tblSafety[[#This Row],[Fatality]]="",tblSafety[[#This Row],[LTI]]="",tblSafety[[#This Row],[RWI]]="",tblSafety[[#This Row],[MTI]]=""),"",N(tblSafety[[#This Row],[Fatality]])+N(tblSafety[[#This Row],[LTI]])+N(tblSafety[[#This Row],[RWI]])+N(tblSafety[[#This Row],[MTI]]))</f>
        <v/>
      </c>
    </row>
    <row r="63">
      <c r="A63" s="54" t="n">
        <v>46080</v>
      </c>
      <c r="B63" s="57" t="n"/>
      <c r="C63" s="57" t="n"/>
      <c r="D63" s="62" t="n"/>
      <c r="E63" s="62" t="n"/>
      <c r="F63" s="62" t="n"/>
      <c r="G63" s="62" t="n"/>
      <c r="H63" s="62" t="n"/>
      <c r="I63" s="62" t="n"/>
      <c r="J63" s="62" t="n"/>
      <c r="K63" s="62" t="n"/>
      <c r="L63" s="62" t="n"/>
      <c r="M63" s="62" t="n"/>
      <c r="N63" s="62" t="n"/>
      <c r="O63" s="62" t="n"/>
      <c r="P63" s="62" t="n"/>
      <c r="Q63" s="58" t="n"/>
      <c r="R63" s="66">
        <f>IF(AND(tblSafety[[#This Row],[Hours_Employees]]="",tblSafety[[#This Row],[Hours_Contractors]]=""),"",N(tblSafety[[#This Row],[Hours_Employees]])+N(tblSafety[[#This Row],[Hours_Contractors]]))</f>
        <v/>
      </c>
      <c r="S63" s="64">
        <f>IF(AND(tblSafety[[#This Row],[Fatality]]="",tblSafety[[#This Row],[LTI]]="",tblSafety[[#This Row],[RWI]]="",tblSafety[[#This Row],[MTI]]=""),"",N(tblSafety[[#This Row],[Fatality]])+N(tblSafety[[#This Row],[LTI]])+N(tblSafety[[#This Row],[RWI]])+N(tblSafety[[#This Row],[MTI]]))</f>
        <v/>
      </c>
    </row>
    <row r="64">
      <c r="A64" s="54" t="n">
        <v>46081</v>
      </c>
      <c r="B64" s="57" t="n"/>
      <c r="C64" s="57" t="n"/>
      <c r="D64" s="62" t="n"/>
      <c r="E64" s="62" t="n"/>
      <c r="F64" s="62" t="n"/>
      <c r="G64" s="62" t="n"/>
      <c r="H64" s="62" t="n"/>
      <c r="I64" s="62" t="n"/>
      <c r="J64" s="62" t="n"/>
      <c r="K64" s="62" t="n"/>
      <c r="L64" s="62" t="n"/>
      <c r="M64" s="62" t="n"/>
      <c r="N64" s="62" t="n"/>
      <c r="O64" s="62" t="n"/>
      <c r="P64" s="62" t="n"/>
      <c r="Q64" s="58" t="n"/>
      <c r="R64" s="66">
        <f>IF(AND(tblSafety[[#This Row],[Hours_Employees]]="",tblSafety[[#This Row],[Hours_Contractors]]=""),"",N(tblSafety[[#This Row],[Hours_Employees]])+N(tblSafety[[#This Row],[Hours_Contractors]]))</f>
        <v/>
      </c>
      <c r="S64" s="64">
        <f>IF(AND(tblSafety[[#This Row],[Fatality]]="",tblSafety[[#This Row],[LTI]]="",tblSafety[[#This Row],[RWI]]="",tblSafety[[#This Row],[MTI]]=""),"",N(tblSafety[[#This Row],[Fatality]])+N(tblSafety[[#This Row],[LTI]])+N(tblSafety[[#This Row],[RWI]])+N(tblSafety[[#This Row],[MTI]]))</f>
        <v/>
      </c>
    </row>
    <row r="65">
      <c r="A65" s="54" t="n">
        <v>46082</v>
      </c>
      <c r="B65" s="57" t="n"/>
      <c r="C65" s="57" t="n"/>
      <c r="D65" s="62" t="n"/>
      <c r="E65" s="62" t="n"/>
      <c r="F65" s="62" t="n"/>
      <c r="G65" s="62" t="n"/>
      <c r="H65" s="62" t="n"/>
      <c r="I65" s="62" t="n"/>
      <c r="J65" s="62" t="n"/>
      <c r="K65" s="62" t="n"/>
      <c r="L65" s="62" t="n"/>
      <c r="M65" s="62" t="n"/>
      <c r="N65" s="62" t="n"/>
      <c r="O65" s="62" t="n"/>
      <c r="P65" s="62" t="n"/>
      <c r="Q65" s="58" t="n"/>
      <c r="R65" s="66">
        <f>IF(AND(tblSafety[[#This Row],[Hours_Employees]]="",tblSafety[[#This Row],[Hours_Contractors]]=""),"",N(tblSafety[[#This Row],[Hours_Employees]])+N(tblSafety[[#This Row],[Hours_Contractors]]))</f>
        <v/>
      </c>
      <c r="S65" s="64">
        <f>IF(AND(tblSafety[[#This Row],[Fatality]]="",tblSafety[[#This Row],[LTI]]="",tblSafety[[#This Row],[RWI]]="",tblSafety[[#This Row],[MTI]]=""),"",N(tblSafety[[#This Row],[Fatality]])+N(tblSafety[[#This Row],[LTI]])+N(tblSafety[[#This Row],[RWI]])+N(tblSafety[[#This Row],[MTI]]))</f>
        <v/>
      </c>
    </row>
    <row r="66">
      <c r="A66" s="54" t="n">
        <v>46083</v>
      </c>
      <c r="B66" s="57" t="n"/>
      <c r="C66" s="57" t="n"/>
      <c r="D66" s="62" t="n"/>
      <c r="E66" s="62" t="n"/>
      <c r="F66" s="62" t="n"/>
      <c r="G66" s="62" t="n"/>
      <c r="H66" s="62" t="n"/>
      <c r="I66" s="62" t="n"/>
      <c r="J66" s="62" t="n"/>
      <c r="K66" s="62" t="n"/>
      <c r="L66" s="62" t="n"/>
      <c r="M66" s="62" t="n"/>
      <c r="N66" s="62" t="n"/>
      <c r="O66" s="62" t="n"/>
      <c r="P66" s="62" t="n"/>
      <c r="Q66" s="58" t="n"/>
      <c r="R66" s="66">
        <f>IF(AND(tblSafety[[#This Row],[Hours_Employees]]="",tblSafety[[#This Row],[Hours_Contractors]]=""),"",N(tblSafety[[#This Row],[Hours_Employees]])+N(tblSafety[[#This Row],[Hours_Contractors]]))</f>
        <v/>
      </c>
      <c r="S66" s="64">
        <f>IF(AND(tblSafety[[#This Row],[Fatality]]="",tblSafety[[#This Row],[LTI]]="",tblSafety[[#This Row],[RWI]]="",tblSafety[[#This Row],[MTI]]=""),"",N(tblSafety[[#This Row],[Fatality]])+N(tblSafety[[#This Row],[LTI]])+N(tblSafety[[#This Row],[RWI]])+N(tblSafety[[#This Row],[MTI]]))</f>
        <v/>
      </c>
    </row>
    <row r="67">
      <c r="A67" s="54" t="n">
        <v>46084</v>
      </c>
      <c r="B67" s="57" t="n"/>
      <c r="C67" s="57" t="n"/>
      <c r="D67" s="62" t="n"/>
      <c r="E67" s="62" t="n"/>
      <c r="F67" s="62" t="n"/>
      <c r="G67" s="62" t="n"/>
      <c r="H67" s="62" t="n"/>
      <c r="I67" s="62" t="n"/>
      <c r="J67" s="62" t="n"/>
      <c r="K67" s="62" t="n"/>
      <c r="L67" s="62" t="n"/>
      <c r="M67" s="62" t="n"/>
      <c r="N67" s="62" t="n"/>
      <c r="O67" s="62" t="n"/>
      <c r="P67" s="62" t="n"/>
      <c r="Q67" s="58" t="n"/>
      <c r="R67" s="66">
        <f>IF(AND(tblSafety[[#This Row],[Hours_Employees]]="",tblSafety[[#This Row],[Hours_Contractors]]=""),"",N(tblSafety[[#This Row],[Hours_Employees]])+N(tblSafety[[#This Row],[Hours_Contractors]]))</f>
        <v/>
      </c>
      <c r="S67" s="64">
        <f>IF(AND(tblSafety[[#This Row],[Fatality]]="",tblSafety[[#This Row],[LTI]]="",tblSafety[[#This Row],[RWI]]="",tblSafety[[#This Row],[MTI]]=""),"",N(tblSafety[[#This Row],[Fatality]])+N(tblSafety[[#This Row],[LTI]])+N(tblSafety[[#This Row],[RWI]])+N(tblSafety[[#This Row],[MTI]]))</f>
        <v/>
      </c>
    </row>
    <row r="68">
      <c r="A68" s="54" t="n">
        <v>46085</v>
      </c>
      <c r="B68" s="57" t="n"/>
      <c r="C68" s="57" t="n"/>
      <c r="D68" s="62" t="n"/>
      <c r="E68" s="62" t="n"/>
      <c r="F68" s="62" t="n"/>
      <c r="G68" s="62" t="n"/>
      <c r="H68" s="62" t="n"/>
      <c r="I68" s="62" t="n"/>
      <c r="J68" s="62" t="n"/>
      <c r="K68" s="62" t="n"/>
      <c r="L68" s="62" t="n"/>
      <c r="M68" s="62" t="n"/>
      <c r="N68" s="62" t="n"/>
      <c r="O68" s="62" t="n"/>
      <c r="P68" s="62" t="n"/>
      <c r="Q68" s="58" t="n"/>
      <c r="R68" s="66">
        <f>IF(AND(tblSafety[[#This Row],[Hours_Employees]]="",tblSafety[[#This Row],[Hours_Contractors]]=""),"",N(tblSafety[[#This Row],[Hours_Employees]])+N(tblSafety[[#This Row],[Hours_Contractors]]))</f>
        <v/>
      </c>
      <c r="S68" s="64">
        <f>IF(AND(tblSafety[[#This Row],[Fatality]]="",tblSafety[[#This Row],[LTI]]="",tblSafety[[#This Row],[RWI]]="",tblSafety[[#This Row],[MTI]]=""),"",N(tblSafety[[#This Row],[Fatality]])+N(tblSafety[[#This Row],[LTI]])+N(tblSafety[[#This Row],[RWI]])+N(tblSafety[[#This Row],[MTI]]))</f>
        <v/>
      </c>
    </row>
    <row r="69">
      <c r="A69" s="54" t="n">
        <v>46086</v>
      </c>
      <c r="B69" s="57" t="n"/>
      <c r="C69" s="57" t="n"/>
      <c r="D69" s="62" t="n"/>
      <c r="E69" s="62" t="n"/>
      <c r="F69" s="62" t="n"/>
      <c r="G69" s="62" t="n"/>
      <c r="H69" s="62" t="n"/>
      <c r="I69" s="62" t="n"/>
      <c r="J69" s="62" t="n"/>
      <c r="K69" s="62" t="n"/>
      <c r="L69" s="62" t="n"/>
      <c r="M69" s="62" t="n"/>
      <c r="N69" s="62" t="n"/>
      <c r="O69" s="62" t="n"/>
      <c r="P69" s="62" t="n"/>
      <c r="Q69" s="58" t="n"/>
      <c r="R69" s="66">
        <f>IF(AND(tblSafety[[#This Row],[Hours_Employees]]="",tblSafety[[#This Row],[Hours_Contractors]]=""),"",N(tblSafety[[#This Row],[Hours_Employees]])+N(tblSafety[[#This Row],[Hours_Contractors]]))</f>
        <v/>
      </c>
      <c r="S69" s="64">
        <f>IF(AND(tblSafety[[#This Row],[Fatality]]="",tblSafety[[#This Row],[LTI]]="",tblSafety[[#This Row],[RWI]]="",tblSafety[[#This Row],[MTI]]=""),"",N(tblSafety[[#This Row],[Fatality]])+N(tblSafety[[#This Row],[LTI]])+N(tblSafety[[#This Row],[RWI]])+N(tblSafety[[#This Row],[MTI]]))</f>
        <v/>
      </c>
    </row>
    <row r="70">
      <c r="A70" s="54" t="n">
        <v>46087</v>
      </c>
      <c r="B70" s="57" t="n"/>
      <c r="C70" s="57" t="n"/>
      <c r="D70" s="62" t="n"/>
      <c r="E70" s="62" t="n"/>
      <c r="F70" s="62" t="n"/>
      <c r="G70" s="62" t="n"/>
      <c r="H70" s="62" t="n"/>
      <c r="I70" s="62" t="n"/>
      <c r="J70" s="62" t="n"/>
      <c r="K70" s="62" t="n"/>
      <c r="L70" s="62" t="n"/>
      <c r="M70" s="62" t="n"/>
      <c r="N70" s="62" t="n"/>
      <c r="O70" s="62" t="n"/>
      <c r="P70" s="62" t="n"/>
      <c r="Q70" s="58" t="n"/>
      <c r="R70" s="66">
        <f>IF(AND(tblSafety[[#This Row],[Hours_Employees]]="",tblSafety[[#This Row],[Hours_Contractors]]=""),"",N(tblSafety[[#This Row],[Hours_Employees]])+N(tblSafety[[#This Row],[Hours_Contractors]]))</f>
        <v/>
      </c>
      <c r="S70" s="64">
        <f>IF(AND(tblSafety[[#This Row],[Fatality]]="",tblSafety[[#This Row],[LTI]]="",tblSafety[[#This Row],[RWI]]="",tblSafety[[#This Row],[MTI]]=""),"",N(tblSafety[[#This Row],[Fatality]])+N(tblSafety[[#This Row],[LTI]])+N(tblSafety[[#This Row],[RWI]])+N(tblSafety[[#This Row],[MTI]]))</f>
        <v/>
      </c>
    </row>
    <row r="71">
      <c r="A71" s="54" t="n">
        <v>46088</v>
      </c>
      <c r="B71" s="57" t="n"/>
      <c r="C71" s="57" t="n"/>
      <c r="D71" s="62" t="n"/>
      <c r="E71" s="62" t="n"/>
      <c r="F71" s="62" t="n"/>
      <c r="G71" s="62" t="n"/>
      <c r="H71" s="62" t="n"/>
      <c r="I71" s="62" t="n"/>
      <c r="J71" s="62" t="n"/>
      <c r="K71" s="62" t="n"/>
      <c r="L71" s="62" t="n"/>
      <c r="M71" s="62" t="n"/>
      <c r="N71" s="62" t="n"/>
      <c r="O71" s="62" t="n"/>
      <c r="P71" s="62" t="n"/>
      <c r="Q71" s="58" t="n"/>
      <c r="R71" s="66">
        <f>IF(AND(tblSafety[[#This Row],[Hours_Employees]]="",tblSafety[[#This Row],[Hours_Contractors]]=""),"",N(tblSafety[[#This Row],[Hours_Employees]])+N(tblSafety[[#This Row],[Hours_Contractors]]))</f>
        <v/>
      </c>
      <c r="S71" s="64">
        <f>IF(AND(tblSafety[[#This Row],[Fatality]]="",tblSafety[[#This Row],[LTI]]="",tblSafety[[#This Row],[RWI]]="",tblSafety[[#This Row],[MTI]]=""),"",N(tblSafety[[#This Row],[Fatality]])+N(tblSafety[[#This Row],[LTI]])+N(tblSafety[[#This Row],[RWI]])+N(tblSafety[[#This Row],[MTI]]))</f>
        <v/>
      </c>
    </row>
    <row r="72">
      <c r="A72" s="54" t="n">
        <v>46089</v>
      </c>
      <c r="B72" s="57" t="n"/>
      <c r="C72" s="57" t="n"/>
      <c r="D72" s="62" t="n"/>
      <c r="E72" s="62" t="n"/>
      <c r="F72" s="62" t="n"/>
      <c r="G72" s="62" t="n"/>
      <c r="H72" s="62" t="n"/>
      <c r="I72" s="62" t="n"/>
      <c r="J72" s="62" t="n"/>
      <c r="K72" s="62" t="n"/>
      <c r="L72" s="62" t="n"/>
      <c r="M72" s="62" t="n"/>
      <c r="N72" s="62" t="n"/>
      <c r="O72" s="62" t="n"/>
      <c r="P72" s="62" t="n"/>
      <c r="Q72" s="58" t="n"/>
      <c r="R72" s="66">
        <f>IF(AND(tblSafety[[#This Row],[Hours_Employees]]="",tblSafety[[#This Row],[Hours_Contractors]]=""),"",N(tblSafety[[#This Row],[Hours_Employees]])+N(tblSafety[[#This Row],[Hours_Contractors]]))</f>
        <v/>
      </c>
      <c r="S72" s="64">
        <f>IF(AND(tblSafety[[#This Row],[Fatality]]="",tblSafety[[#This Row],[LTI]]="",tblSafety[[#This Row],[RWI]]="",tblSafety[[#This Row],[MTI]]=""),"",N(tblSafety[[#This Row],[Fatality]])+N(tblSafety[[#This Row],[LTI]])+N(tblSafety[[#This Row],[RWI]])+N(tblSafety[[#This Row],[MTI]]))</f>
        <v/>
      </c>
    </row>
    <row r="73">
      <c r="A73" s="54" t="n">
        <v>46090</v>
      </c>
      <c r="B73" s="57" t="n"/>
      <c r="C73" s="57" t="n"/>
      <c r="D73" s="62" t="n"/>
      <c r="E73" s="62" t="n"/>
      <c r="F73" s="62" t="n"/>
      <c r="G73" s="62" t="n"/>
      <c r="H73" s="62" t="n"/>
      <c r="I73" s="62" t="n"/>
      <c r="J73" s="62" t="n"/>
      <c r="K73" s="62" t="n"/>
      <c r="L73" s="62" t="n"/>
      <c r="M73" s="62" t="n"/>
      <c r="N73" s="62" t="n"/>
      <c r="O73" s="62" t="n"/>
      <c r="P73" s="62" t="n"/>
      <c r="Q73" s="58" t="n"/>
      <c r="R73" s="66">
        <f>IF(AND(tblSafety[[#This Row],[Hours_Employees]]="",tblSafety[[#This Row],[Hours_Contractors]]=""),"",N(tblSafety[[#This Row],[Hours_Employees]])+N(tblSafety[[#This Row],[Hours_Contractors]]))</f>
        <v/>
      </c>
      <c r="S73" s="64">
        <f>IF(AND(tblSafety[[#This Row],[Fatality]]="",tblSafety[[#This Row],[LTI]]="",tblSafety[[#This Row],[RWI]]="",tblSafety[[#This Row],[MTI]]=""),"",N(tblSafety[[#This Row],[Fatality]])+N(tblSafety[[#This Row],[LTI]])+N(tblSafety[[#This Row],[RWI]])+N(tblSafety[[#This Row],[MTI]]))</f>
        <v/>
      </c>
    </row>
    <row r="74">
      <c r="A74" s="54" t="n">
        <v>46091</v>
      </c>
      <c r="B74" s="57" t="n"/>
      <c r="C74" s="57" t="n"/>
      <c r="D74" s="62" t="n"/>
      <c r="E74" s="62" t="n"/>
      <c r="F74" s="62" t="n"/>
      <c r="G74" s="62" t="n"/>
      <c r="H74" s="62" t="n"/>
      <c r="I74" s="62" t="n"/>
      <c r="J74" s="62" t="n"/>
      <c r="K74" s="62" t="n"/>
      <c r="L74" s="62" t="n"/>
      <c r="M74" s="62" t="n"/>
      <c r="N74" s="62" t="n"/>
      <c r="O74" s="62" t="n"/>
      <c r="P74" s="62" t="n"/>
      <c r="Q74" s="58" t="n"/>
      <c r="R74" s="66">
        <f>IF(AND(tblSafety[[#This Row],[Hours_Employees]]="",tblSafety[[#This Row],[Hours_Contractors]]=""),"",N(tblSafety[[#This Row],[Hours_Employees]])+N(tblSafety[[#This Row],[Hours_Contractors]]))</f>
        <v/>
      </c>
      <c r="S74" s="64">
        <f>IF(AND(tblSafety[[#This Row],[Fatality]]="",tblSafety[[#This Row],[LTI]]="",tblSafety[[#This Row],[RWI]]="",tblSafety[[#This Row],[MTI]]=""),"",N(tblSafety[[#This Row],[Fatality]])+N(tblSafety[[#This Row],[LTI]])+N(tblSafety[[#This Row],[RWI]])+N(tblSafety[[#This Row],[MTI]]))</f>
        <v/>
      </c>
    </row>
    <row r="75">
      <c r="A75" s="54" t="n">
        <v>46092</v>
      </c>
      <c r="B75" s="57" t="n"/>
      <c r="C75" s="57" t="n"/>
      <c r="D75" s="62" t="n"/>
      <c r="E75" s="62" t="n"/>
      <c r="F75" s="62" t="n"/>
      <c r="G75" s="62" t="n"/>
      <c r="H75" s="62" t="n"/>
      <c r="I75" s="62" t="n"/>
      <c r="J75" s="62" t="n"/>
      <c r="K75" s="62" t="n"/>
      <c r="L75" s="62" t="n"/>
      <c r="M75" s="62" t="n"/>
      <c r="N75" s="62" t="n"/>
      <c r="O75" s="62" t="n"/>
      <c r="P75" s="62" t="n"/>
      <c r="Q75" s="58" t="n"/>
      <c r="R75" s="66">
        <f>IF(AND(tblSafety[[#This Row],[Hours_Employees]]="",tblSafety[[#This Row],[Hours_Contractors]]=""),"",N(tblSafety[[#This Row],[Hours_Employees]])+N(tblSafety[[#This Row],[Hours_Contractors]]))</f>
        <v/>
      </c>
      <c r="S75" s="64">
        <f>IF(AND(tblSafety[[#This Row],[Fatality]]="",tblSafety[[#This Row],[LTI]]="",tblSafety[[#This Row],[RWI]]="",tblSafety[[#This Row],[MTI]]=""),"",N(tblSafety[[#This Row],[Fatality]])+N(tblSafety[[#This Row],[LTI]])+N(tblSafety[[#This Row],[RWI]])+N(tblSafety[[#This Row],[MTI]]))</f>
        <v/>
      </c>
    </row>
    <row r="76">
      <c r="A76" s="54" t="n">
        <v>46093</v>
      </c>
      <c r="B76" s="57" t="n"/>
      <c r="C76" s="57" t="n"/>
      <c r="D76" s="62" t="n"/>
      <c r="E76" s="62" t="n"/>
      <c r="F76" s="62" t="n"/>
      <c r="G76" s="62" t="n"/>
      <c r="H76" s="62" t="n"/>
      <c r="I76" s="62" t="n"/>
      <c r="J76" s="62" t="n"/>
      <c r="K76" s="62" t="n"/>
      <c r="L76" s="62" t="n"/>
      <c r="M76" s="62" t="n"/>
      <c r="N76" s="62" t="n"/>
      <c r="O76" s="62" t="n"/>
      <c r="P76" s="62" t="n"/>
      <c r="Q76" s="58" t="n"/>
      <c r="R76" s="66">
        <f>IF(AND(tblSafety[[#This Row],[Hours_Employees]]="",tblSafety[[#This Row],[Hours_Contractors]]=""),"",N(tblSafety[[#This Row],[Hours_Employees]])+N(tblSafety[[#This Row],[Hours_Contractors]]))</f>
        <v/>
      </c>
      <c r="S76" s="64">
        <f>IF(AND(tblSafety[[#This Row],[Fatality]]="",tblSafety[[#This Row],[LTI]]="",tblSafety[[#This Row],[RWI]]="",tblSafety[[#This Row],[MTI]]=""),"",N(tblSafety[[#This Row],[Fatality]])+N(tblSafety[[#This Row],[LTI]])+N(tblSafety[[#This Row],[RWI]])+N(tblSafety[[#This Row],[MTI]]))</f>
        <v/>
      </c>
    </row>
    <row r="77">
      <c r="A77" s="54" t="n">
        <v>46094</v>
      </c>
      <c r="B77" s="57" t="n"/>
      <c r="C77" s="57" t="n"/>
      <c r="D77" s="62" t="n"/>
      <c r="E77" s="62" t="n"/>
      <c r="F77" s="62" t="n"/>
      <c r="G77" s="62" t="n"/>
      <c r="H77" s="62" t="n"/>
      <c r="I77" s="62" t="n"/>
      <c r="J77" s="62" t="n"/>
      <c r="K77" s="62" t="n"/>
      <c r="L77" s="62" t="n"/>
      <c r="M77" s="62" t="n"/>
      <c r="N77" s="62" t="n"/>
      <c r="O77" s="62" t="n"/>
      <c r="P77" s="62" t="n"/>
      <c r="Q77" s="58" t="n"/>
      <c r="R77" s="66">
        <f>IF(AND(tblSafety[[#This Row],[Hours_Employees]]="",tblSafety[[#This Row],[Hours_Contractors]]=""),"",N(tblSafety[[#This Row],[Hours_Employees]])+N(tblSafety[[#This Row],[Hours_Contractors]]))</f>
        <v/>
      </c>
      <c r="S77" s="64">
        <f>IF(AND(tblSafety[[#This Row],[Fatality]]="",tblSafety[[#This Row],[LTI]]="",tblSafety[[#This Row],[RWI]]="",tblSafety[[#This Row],[MTI]]=""),"",N(tblSafety[[#This Row],[Fatality]])+N(tblSafety[[#This Row],[LTI]])+N(tblSafety[[#This Row],[RWI]])+N(tblSafety[[#This Row],[MTI]]))</f>
        <v/>
      </c>
    </row>
    <row r="78">
      <c r="A78" s="54" t="n">
        <v>46095</v>
      </c>
      <c r="B78" s="57" t="n"/>
      <c r="C78" s="57" t="n"/>
      <c r="D78" s="62" t="n"/>
      <c r="E78" s="62" t="n"/>
      <c r="F78" s="62" t="n"/>
      <c r="G78" s="62" t="n"/>
      <c r="H78" s="62" t="n"/>
      <c r="I78" s="62" t="n"/>
      <c r="J78" s="62" t="n"/>
      <c r="K78" s="62" t="n"/>
      <c r="L78" s="62" t="n"/>
      <c r="M78" s="62" t="n"/>
      <c r="N78" s="62" t="n"/>
      <c r="O78" s="62" t="n"/>
      <c r="P78" s="62" t="n"/>
      <c r="Q78" s="58" t="n"/>
      <c r="R78" s="66">
        <f>IF(AND(tblSafety[[#This Row],[Hours_Employees]]="",tblSafety[[#This Row],[Hours_Contractors]]=""),"",N(tblSafety[[#This Row],[Hours_Employees]])+N(tblSafety[[#This Row],[Hours_Contractors]]))</f>
        <v/>
      </c>
      <c r="S78" s="64">
        <f>IF(AND(tblSafety[[#This Row],[Fatality]]="",tblSafety[[#This Row],[LTI]]="",tblSafety[[#This Row],[RWI]]="",tblSafety[[#This Row],[MTI]]=""),"",N(tblSafety[[#This Row],[Fatality]])+N(tblSafety[[#This Row],[LTI]])+N(tblSafety[[#This Row],[RWI]])+N(tblSafety[[#This Row],[MTI]]))</f>
        <v/>
      </c>
    </row>
    <row r="79">
      <c r="A79" s="54" t="n">
        <v>46096</v>
      </c>
      <c r="B79" s="57" t="n"/>
      <c r="C79" s="57" t="n"/>
      <c r="D79" s="62" t="n"/>
      <c r="E79" s="62" t="n"/>
      <c r="F79" s="62" t="n"/>
      <c r="G79" s="62" t="n"/>
      <c r="H79" s="62" t="n"/>
      <c r="I79" s="62" t="n"/>
      <c r="J79" s="62" t="n"/>
      <c r="K79" s="62" t="n"/>
      <c r="L79" s="62" t="n"/>
      <c r="M79" s="62" t="n"/>
      <c r="N79" s="62" t="n"/>
      <c r="O79" s="62" t="n"/>
      <c r="P79" s="62" t="n"/>
      <c r="Q79" s="58" t="n"/>
      <c r="R79" s="66">
        <f>IF(AND(tblSafety[[#This Row],[Hours_Employees]]="",tblSafety[[#This Row],[Hours_Contractors]]=""),"",N(tblSafety[[#This Row],[Hours_Employees]])+N(tblSafety[[#This Row],[Hours_Contractors]]))</f>
        <v/>
      </c>
      <c r="S79" s="64">
        <f>IF(AND(tblSafety[[#This Row],[Fatality]]="",tblSafety[[#This Row],[LTI]]="",tblSafety[[#This Row],[RWI]]="",tblSafety[[#This Row],[MTI]]=""),"",N(tblSafety[[#This Row],[Fatality]])+N(tblSafety[[#This Row],[LTI]])+N(tblSafety[[#This Row],[RWI]])+N(tblSafety[[#This Row],[MTI]]))</f>
        <v/>
      </c>
    </row>
    <row r="80">
      <c r="A80" s="54" t="n">
        <v>46097</v>
      </c>
      <c r="B80" s="57" t="n"/>
      <c r="C80" s="57" t="n"/>
      <c r="D80" s="62" t="n"/>
      <c r="E80" s="62" t="n"/>
      <c r="F80" s="62" t="n"/>
      <c r="G80" s="62" t="n"/>
      <c r="H80" s="62" t="n"/>
      <c r="I80" s="62" t="n"/>
      <c r="J80" s="62" t="n"/>
      <c r="K80" s="62" t="n"/>
      <c r="L80" s="62" t="n"/>
      <c r="M80" s="62" t="n"/>
      <c r="N80" s="62" t="n"/>
      <c r="O80" s="62" t="n"/>
      <c r="P80" s="62" t="n"/>
      <c r="Q80" s="58" t="n"/>
      <c r="R80" s="66">
        <f>IF(AND(tblSafety[[#This Row],[Hours_Employees]]="",tblSafety[[#This Row],[Hours_Contractors]]=""),"",N(tblSafety[[#This Row],[Hours_Employees]])+N(tblSafety[[#This Row],[Hours_Contractors]]))</f>
        <v/>
      </c>
      <c r="S80" s="64">
        <f>IF(AND(tblSafety[[#This Row],[Fatality]]="",tblSafety[[#This Row],[LTI]]="",tblSafety[[#This Row],[RWI]]="",tblSafety[[#This Row],[MTI]]=""),"",N(tblSafety[[#This Row],[Fatality]])+N(tblSafety[[#This Row],[LTI]])+N(tblSafety[[#This Row],[RWI]])+N(tblSafety[[#This Row],[MTI]]))</f>
        <v/>
      </c>
    </row>
    <row r="81">
      <c r="A81" s="54" t="n">
        <v>46098</v>
      </c>
      <c r="B81" s="57" t="n"/>
      <c r="C81" s="57" t="n"/>
      <c r="D81" s="62" t="n"/>
      <c r="E81" s="62" t="n"/>
      <c r="F81" s="62" t="n"/>
      <c r="G81" s="62" t="n"/>
      <c r="H81" s="62" t="n"/>
      <c r="I81" s="62" t="n"/>
      <c r="J81" s="62" t="n"/>
      <c r="K81" s="62" t="n"/>
      <c r="L81" s="62" t="n"/>
      <c r="M81" s="62" t="n"/>
      <c r="N81" s="62" t="n"/>
      <c r="O81" s="62" t="n"/>
      <c r="P81" s="62" t="n"/>
      <c r="Q81" s="58" t="n"/>
      <c r="R81" s="66">
        <f>IF(AND(tblSafety[[#This Row],[Hours_Employees]]="",tblSafety[[#This Row],[Hours_Contractors]]=""),"",N(tblSafety[[#This Row],[Hours_Employees]])+N(tblSafety[[#This Row],[Hours_Contractors]]))</f>
        <v/>
      </c>
      <c r="S81" s="64">
        <f>IF(AND(tblSafety[[#This Row],[Fatality]]="",tblSafety[[#This Row],[LTI]]="",tblSafety[[#This Row],[RWI]]="",tblSafety[[#This Row],[MTI]]=""),"",N(tblSafety[[#This Row],[Fatality]])+N(tblSafety[[#This Row],[LTI]])+N(tblSafety[[#This Row],[RWI]])+N(tblSafety[[#This Row],[MTI]]))</f>
        <v/>
      </c>
    </row>
    <row r="82">
      <c r="A82" s="54" t="n">
        <v>46099</v>
      </c>
      <c r="B82" s="57" t="n"/>
      <c r="C82" s="57" t="n"/>
      <c r="D82" s="62" t="n"/>
      <c r="E82" s="62" t="n"/>
      <c r="F82" s="62" t="n"/>
      <c r="G82" s="62" t="n"/>
      <c r="H82" s="62" t="n"/>
      <c r="I82" s="62" t="n"/>
      <c r="J82" s="62" t="n"/>
      <c r="K82" s="62" t="n"/>
      <c r="L82" s="62" t="n"/>
      <c r="M82" s="62" t="n"/>
      <c r="N82" s="62" t="n"/>
      <c r="O82" s="62" t="n"/>
      <c r="P82" s="62" t="n"/>
      <c r="Q82" s="58" t="n"/>
      <c r="R82" s="66">
        <f>IF(AND(tblSafety[[#This Row],[Hours_Employees]]="",tblSafety[[#This Row],[Hours_Contractors]]=""),"",N(tblSafety[[#This Row],[Hours_Employees]])+N(tblSafety[[#This Row],[Hours_Contractors]]))</f>
        <v/>
      </c>
      <c r="S82" s="64">
        <f>IF(AND(tblSafety[[#This Row],[Fatality]]="",tblSafety[[#This Row],[LTI]]="",tblSafety[[#This Row],[RWI]]="",tblSafety[[#This Row],[MTI]]=""),"",N(tblSafety[[#This Row],[Fatality]])+N(tblSafety[[#This Row],[LTI]])+N(tblSafety[[#This Row],[RWI]])+N(tblSafety[[#This Row],[MTI]]))</f>
        <v/>
      </c>
    </row>
    <row r="83">
      <c r="A83" s="54" t="n">
        <v>46100</v>
      </c>
      <c r="B83" s="57" t="n"/>
      <c r="C83" s="57" t="n"/>
      <c r="D83" s="62" t="n"/>
      <c r="E83" s="62" t="n"/>
      <c r="F83" s="62" t="n"/>
      <c r="G83" s="62" t="n"/>
      <c r="H83" s="62" t="n"/>
      <c r="I83" s="62" t="n"/>
      <c r="J83" s="62" t="n"/>
      <c r="K83" s="62" t="n"/>
      <c r="L83" s="62" t="n"/>
      <c r="M83" s="62" t="n"/>
      <c r="N83" s="62" t="n"/>
      <c r="O83" s="62" t="n"/>
      <c r="P83" s="62" t="n"/>
      <c r="Q83" s="58" t="n"/>
      <c r="R83" s="66">
        <f>IF(AND(tblSafety[[#This Row],[Hours_Employees]]="",tblSafety[[#This Row],[Hours_Contractors]]=""),"",N(tblSafety[[#This Row],[Hours_Employees]])+N(tblSafety[[#This Row],[Hours_Contractors]]))</f>
        <v/>
      </c>
      <c r="S83" s="64">
        <f>IF(AND(tblSafety[[#This Row],[Fatality]]="",tblSafety[[#This Row],[LTI]]="",tblSafety[[#This Row],[RWI]]="",tblSafety[[#This Row],[MTI]]=""),"",N(tblSafety[[#This Row],[Fatality]])+N(tblSafety[[#This Row],[LTI]])+N(tblSafety[[#This Row],[RWI]])+N(tblSafety[[#This Row],[MTI]]))</f>
        <v/>
      </c>
    </row>
    <row r="84">
      <c r="A84" s="54" t="n">
        <v>46101</v>
      </c>
      <c r="B84" s="57" t="n"/>
      <c r="C84" s="57" t="n"/>
      <c r="D84" s="62" t="n"/>
      <c r="E84" s="62" t="n"/>
      <c r="F84" s="62" t="n"/>
      <c r="G84" s="62" t="n"/>
      <c r="H84" s="62" t="n"/>
      <c r="I84" s="62" t="n"/>
      <c r="J84" s="62" t="n"/>
      <c r="K84" s="62" t="n"/>
      <c r="L84" s="62" t="n"/>
      <c r="M84" s="62" t="n"/>
      <c r="N84" s="62" t="n"/>
      <c r="O84" s="62" t="n"/>
      <c r="P84" s="62" t="n"/>
      <c r="Q84" s="58" t="n"/>
      <c r="R84" s="66">
        <f>IF(AND(tblSafety[[#This Row],[Hours_Employees]]="",tblSafety[[#This Row],[Hours_Contractors]]=""),"",N(tblSafety[[#This Row],[Hours_Employees]])+N(tblSafety[[#This Row],[Hours_Contractors]]))</f>
        <v/>
      </c>
      <c r="S84" s="64">
        <f>IF(AND(tblSafety[[#This Row],[Fatality]]="",tblSafety[[#This Row],[LTI]]="",tblSafety[[#This Row],[RWI]]="",tblSafety[[#This Row],[MTI]]=""),"",N(tblSafety[[#This Row],[Fatality]])+N(tblSafety[[#This Row],[LTI]])+N(tblSafety[[#This Row],[RWI]])+N(tblSafety[[#This Row],[MTI]]))</f>
        <v/>
      </c>
    </row>
    <row r="85">
      <c r="A85" s="54" t="n">
        <v>46102</v>
      </c>
      <c r="B85" s="57" t="n"/>
      <c r="C85" s="57" t="n"/>
      <c r="D85" s="62" t="n"/>
      <c r="E85" s="62" t="n"/>
      <c r="F85" s="62" t="n"/>
      <c r="G85" s="62" t="n"/>
      <c r="H85" s="62" t="n"/>
      <c r="I85" s="62" t="n"/>
      <c r="J85" s="62" t="n"/>
      <c r="K85" s="62" t="n"/>
      <c r="L85" s="62" t="n"/>
      <c r="M85" s="62" t="n"/>
      <c r="N85" s="62" t="n"/>
      <c r="O85" s="62" t="n"/>
      <c r="P85" s="62" t="n"/>
      <c r="Q85" s="58" t="n"/>
      <c r="R85" s="66">
        <f>IF(AND(tblSafety[[#This Row],[Hours_Employees]]="",tblSafety[[#This Row],[Hours_Contractors]]=""),"",N(tblSafety[[#This Row],[Hours_Employees]])+N(tblSafety[[#This Row],[Hours_Contractors]]))</f>
        <v/>
      </c>
      <c r="S85" s="64">
        <f>IF(AND(tblSafety[[#This Row],[Fatality]]="",tblSafety[[#This Row],[LTI]]="",tblSafety[[#This Row],[RWI]]="",tblSafety[[#This Row],[MTI]]=""),"",N(tblSafety[[#This Row],[Fatality]])+N(tblSafety[[#This Row],[LTI]])+N(tblSafety[[#This Row],[RWI]])+N(tblSafety[[#This Row],[MTI]]))</f>
        <v/>
      </c>
    </row>
    <row r="86">
      <c r="A86" s="54" t="n">
        <v>46103</v>
      </c>
      <c r="B86" s="57" t="n"/>
      <c r="C86" s="57" t="n"/>
      <c r="D86" s="62" t="n"/>
      <c r="E86" s="62" t="n"/>
      <c r="F86" s="62" t="n"/>
      <c r="G86" s="62" t="n"/>
      <c r="H86" s="62" t="n"/>
      <c r="I86" s="62" t="n"/>
      <c r="J86" s="62" t="n"/>
      <c r="K86" s="62" t="n"/>
      <c r="L86" s="62" t="n"/>
      <c r="M86" s="62" t="n"/>
      <c r="N86" s="62" t="n"/>
      <c r="O86" s="62" t="n"/>
      <c r="P86" s="62" t="n"/>
      <c r="Q86" s="58" t="n"/>
      <c r="R86" s="66">
        <f>IF(AND(tblSafety[[#This Row],[Hours_Employees]]="",tblSafety[[#This Row],[Hours_Contractors]]=""),"",N(tblSafety[[#This Row],[Hours_Employees]])+N(tblSafety[[#This Row],[Hours_Contractors]]))</f>
        <v/>
      </c>
      <c r="S86" s="64">
        <f>IF(AND(tblSafety[[#This Row],[Fatality]]="",tblSafety[[#This Row],[LTI]]="",tblSafety[[#This Row],[RWI]]="",tblSafety[[#This Row],[MTI]]=""),"",N(tblSafety[[#This Row],[Fatality]])+N(tblSafety[[#This Row],[LTI]])+N(tblSafety[[#This Row],[RWI]])+N(tblSafety[[#This Row],[MTI]]))</f>
        <v/>
      </c>
    </row>
    <row r="87">
      <c r="A87" s="54" t="n">
        <v>46104</v>
      </c>
      <c r="B87" s="57" t="n"/>
      <c r="C87" s="57" t="n"/>
      <c r="D87" s="62" t="n"/>
      <c r="E87" s="62" t="n"/>
      <c r="F87" s="62" t="n"/>
      <c r="G87" s="62" t="n"/>
      <c r="H87" s="62" t="n"/>
      <c r="I87" s="62" t="n"/>
      <c r="J87" s="62" t="n"/>
      <c r="K87" s="62" t="n"/>
      <c r="L87" s="62" t="n"/>
      <c r="M87" s="62" t="n"/>
      <c r="N87" s="62" t="n"/>
      <c r="O87" s="62" t="n"/>
      <c r="P87" s="62" t="n"/>
      <c r="Q87" s="58" t="n"/>
      <c r="R87" s="66">
        <f>IF(AND(tblSafety[[#This Row],[Hours_Employees]]="",tblSafety[[#This Row],[Hours_Contractors]]=""),"",N(tblSafety[[#This Row],[Hours_Employees]])+N(tblSafety[[#This Row],[Hours_Contractors]]))</f>
        <v/>
      </c>
      <c r="S87" s="64">
        <f>IF(AND(tblSafety[[#This Row],[Fatality]]="",tblSafety[[#This Row],[LTI]]="",tblSafety[[#This Row],[RWI]]="",tblSafety[[#This Row],[MTI]]=""),"",N(tblSafety[[#This Row],[Fatality]])+N(tblSafety[[#This Row],[LTI]])+N(tblSafety[[#This Row],[RWI]])+N(tblSafety[[#This Row],[MTI]]))</f>
        <v/>
      </c>
    </row>
    <row r="88">
      <c r="A88" s="54" t="n">
        <v>46105</v>
      </c>
      <c r="B88" s="57" t="n"/>
      <c r="C88" s="57" t="n"/>
      <c r="D88" s="62" t="n"/>
      <c r="E88" s="62" t="n"/>
      <c r="F88" s="62" t="n"/>
      <c r="G88" s="62" t="n"/>
      <c r="H88" s="62" t="n"/>
      <c r="I88" s="62" t="n"/>
      <c r="J88" s="62" t="n"/>
      <c r="K88" s="62" t="n"/>
      <c r="L88" s="62" t="n"/>
      <c r="M88" s="62" t="n"/>
      <c r="N88" s="62" t="n"/>
      <c r="O88" s="62" t="n"/>
      <c r="P88" s="62" t="n"/>
      <c r="Q88" s="58" t="n"/>
      <c r="R88" s="66">
        <f>IF(AND(tblSafety[[#This Row],[Hours_Employees]]="",tblSafety[[#This Row],[Hours_Contractors]]=""),"",N(tblSafety[[#This Row],[Hours_Employees]])+N(tblSafety[[#This Row],[Hours_Contractors]]))</f>
        <v/>
      </c>
      <c r="S88" s="64">
        <f>IF(AND(tblSafety[[#This Row],[Fatality]]="",tblSafety[[#This Row],[LTI]]="",tblSafety[[#This Row],[RWI]]="",tblSafety[[#This Row],[MTI]]=""),"",N(tblSafety[[#This Row],[Fatality]])+N(tblSafety[[#This Row],[LTI]])+N(tblSafety[[#This Row],[RWI]])+N(tblSafety[[#This Row],[MTI]]))</f>
        <v/>
      </c>
    </row>
    <row r="89">
      <c r="A89" s="54" t="n">
        <v>46106</v>
      </c>
      <c r="B89" s="57" t="n"/>
      <c r="C89" s="57" t="n"/>
      <c r="D89" s="62" t="n"/>
      <c r="E89" s="62" t="n"/>
      <c r="F89" s="62" t="n"/>
      <c r="G89" s="62" t="n"/>
      <c r="H89" s="62" t="n"/>
      <c r="I89" s="62" t="n"/>
      <c r="J89" s="62" t="n"/>
      <c r="K89" s="62" t="n"/>
      <c r="L89" s="62" t="n"/>
      <c r="M89" s="62" t="n"/>
      <c r="N89" s="62" t="n"/>
      <c r="O89" s="62" t="n"/>
      <c r="P89" s="62" t="n"/>
      <c r="Q89" s="58" t="n"/>
      <c r="R89" s="66">
        <f>IF(AND(tblSafety[[#This Row],[Hours_Employees]]="",tblSafety[[#This Row],[Hours_Contractors]]=""),"",N(tblSafety[[#This Row],[Hours_Employees]])+N(tblSafety[[#This Row],[Hours_Contractors]]))</f>
        <v/>
      </c>
      <c r="S89" s="64">
        <f>IF(AND(tblSafety[[#This Row],[Fatality]]="",tblSafety[[#This Row],[LTI]]="",tblSafety[[#This Row],[RWI]]="",tblSafety[[#This Row],[MTI]]=""),"",N(tblSafety[[#This Row],[Fatality]])+N(tblSafety[[#This Row],[LTI]])+N(tblSafety[[#This Row],[RWI]])+N(tblSafety[[#This Row],[MTI]]))</f>
        <v/>
      </c>
    </row>
    <row r="90">
      <c r="A90" s="54" t="n">
        <v>46107</v>
      </c>
      <c r="B90" s="57" t="n"/>
      <c r="C90" s="57" t="n"/>
      <c r="D90" s="62" t="n"/>
      <c r="E90" s="62" t="n"/>
      <c r="F90" s="62" t="n"/>
      <c r="G90" s="62" t="n"/>
      <c r="H90" s="62" t="n"/>
      <c r="I90" s="62" t="n"/>
      <c r="J90" s="62" t="n"/>
      <c r="K90" s="62" t="n"/>
      <c r="L90" s="62" t="n"/>
      <c r="M90" s="62" t="n"/>
      <c r="N90" s="62" t="n"/>
      <c r="O90" s="62" t="n"/>
      <c r="P90" s="62" t="n"/>
      <c r="Q90" s="58" t="n"/>
      <c r="R90" s="66">
        <f>IF(AND(tblSafety[[#This Row],[Hours_Employees]]="",tblSafety[[#This Row],[Hours_Contractors]]=""),"",N(tblSafety[[#This Row],[Hours_Employees]])+N(tblSafety[[#This Row],[Hours_Contractors]]))</f>
        <v/>
      </c>
      <c r="S90" s="64">
        <f>IF(AND(tblSafety[[#This Row],[Fatality]]="",tblSafety[[#This Row],[LTI]]="",tblSafety[[#This Row],[RWI]]="",tblSafety[[#This Row],[MTI]]=""),"",N(tblSafety[[#This Row],[Fatality]])+N(tblSafety[[#This Row],[LTI]])+N(tblSafety[[#This Row],[RWI]])+N(tblSafety[[#This Row],[MTI]]))</f>
        <v/>
      </c>
    </row>
    <row r="91">
      <c r="A91" s="54" t="n">
        <v>46108</v>
      </c>
      <c r="B91" s="57" t="n"/>
      <c r="C91" s="57" t="n"/>
      <c r="D91" s="62" t="n"/>
      <c r="E91" s="62" t="n"/>
      <c r="F91" s="62" t="n"/>
      <c r="G91" s="62" t="n"/>
      <c r="H91" s="62" t="n"/>
      <c r="I91" s="62" t="n"/>
      <c r="J91" s="62" t="n"/>
      <c r="K91" s="62" t="n"/>
      <c r="L91" s="62" t="n"/>
      <c r="M91" s="62" t="n"/>
      <c r="N91" s="62" t="n"/>
      <c r="O91" s="62" t="n"/>
      <c r="P91" s="62" t="n"/>
      <c r="Q91" s="58" t="n"/>
      <c r="R91" s="66">
        <f>IF(AND(tblSafety[[#This Row],[Hours_Employees]]="",tblSafety[[#This Row],[Hours_Contractors]]=""),"",N(tblSafety[[#This Row],[Hours_Employees]])+N(tblSafety[[#This Row],[Hours_Contractors]]))</f>
        <v/>
      </c>
      <c r="S91" s="64">
        <f>IF(AND(tblSafety[[#This Row],[Fatality]]="",tblSafety[[#This Row],[LTI]]="",tblSafety[[#This Row],[RWI]]="",tblSafety[[#This Row],[MTI]]=""),"",N(tblSafety[[#This Row],[Fatality]])+N(tblSafety[[#This Row],[LTI]])+N(tblSafety[[#This Row],[RWI]])+N(tblSafety[[#This Row],[MTI]]))</f>
        <v/>
      </c>
    </row>
    <row r="92">
      <c r="A92" s="54" t="n">
        <v>46109</v>
      </c>
      <c r="B92" s="57" t="n"/>
      <c r="C92" s="57" t="n"/>
      <c r="D92" s="62" t="n"/>
      <c r="E92" s="62" t="n"/>
      <c r="F92" s="62" t="n"/>
      <c r="G92" s="62" t="n"/>
      <c r="H92" s="62" t="n"/>
      <c r="I92" s="62" t="n"/>
      <c r="J92" s="62" t="n"/>
      <c r="K92" s="62" t="n"/>
      <c r="L92" s="62" t="n"/>
      <c r="M92" s="62" t="n"/>
      <c r="N92" s="62" t="n"/>
      <c r="O92" s="62" t="n"/>
      <c r="P92" s="62" t="n"/>
      <c r="Q92" s="58" t="n"/>
      <c r="R92" s="66">
        <f>IF(AND(tblSafety[[#This Row],[Hours_Employees]]="",tblSafety[[#This Row],[Hours_Contractors]]=""),"",N(tblSafety[[#This Row],[Hours_Employees]])+N(tblSafety[[#This Row],[Hours_Contractors]]))</f>
        <v/>
      </c>
      <c r="S92" s="64">
        <f>IF(AND(tblSafety[[#This Row],[Fatality]]="",tblSafety[[#This Row],[LTI]]="",tblSafety[[#This Row],[RWI]]="",tblSafety[[#This Row],[MTI]]=""),"",N(tblSafety[[#This Row],[Fatality]])+N(tblSafety[[#This Row],[LTI]])+N(tblSafety[[#This Row],[RWI]])+N(tblSafety[[#This Row],[MTI]]))</f>
        <v/>
      </c>
    </row>
    <row r="93">
      <c r="A93" s="54" t="n">
        <v>46110</v>
      </c>
      <c r="B93" s="57" t="n"/>
      <c r="C93" s="57" t="n"/>
      <c r="D93" s="62" t="n"/>
      <c r="E93" s="62" t="n"/>
      <c r="F93" s="62" t="n"/>
      <c r="G93" s="62" t="n"/>
      <c r="H93" s="62" t="n"/>
      <c r="I93" s="62" t="n"/>
      <c r="J93" s="62" t="n"/>
      <c r="K93" s="62" t="n"/>
      <c r="L93" s="62" t="n"/>
      <c r="M93" s="62" t="n"/>
      <c r="N93" s="62" t="n"/>
      <c r="O93" s="62" t="n"/>
      <c r="P93" s="62" t="n"/>
      <c r="Q93" s="58" t="n"/>
      <c r="R93" s="66">
        <f>IF(AND(tblSafety[[#This Row],[Hours_Employees]]="",tblSafety[[#This Row],[Hours_Contractors]]=""),"",N(tblSafety[[#This Row],[Hours_Employees]])+N(tblSafety[[#This Row],[Hours_Contractors]]))</f>
        <v/>
      </c>
      <c r="S93" s="64">
        <f>IF(AND(tblSafety[[#This Row],[Fatality]]="",tblSafety[[#This Row],[LTI]]="",tblSafety[[#This Row],[RWI]]="",tblSafety[[#This Row],[MTI]]=""),"",N(tblSafety[[#This Row],[Fatality]])+N(tblSafety[[#This Row],[LTI]])+N(tblSafety[[#This Row],[RWI]])+N(tblSafety[[#This Row],[MTI]]))</f>
        <v/>
      </c>
    </row>
    <row r="94">
      <c r="A94" s="54" t="n">
        <v>46111</v>
      </c>
      <c r="B94" s="57" t="n"/>
      <c r="C94" s="57" t="n"/>
      <c r="D94" s="62" t="n"/>
      <c r="E94" s="62" t="n"/>
      <c r="F94" s="62" t="n"/>
      <c r="G94" s="62" t="n"/>
      <c r="H94" s="62" t="n"/>
      <c r="I94" s="62" t="n"/>
      <c r="J94" s="62" t="n"/>
      <c r="K94" s="62" t="n"/>
      <c r="L94" s="62" t="n"/>
      <c r="M94" s="62" t="n"/>
      <c r="N94" s="62" t="n"/>
      <c r="O94" s="62" t="n"/>
      <c r="P94" s="62" t="n"/>
      <c r="Q94" s="58" t="n"/>
      <c r="R94" s="66">
        <f>IF(AND(tblSafety[[#This Row],[Hours_Employees]]="",tblSafety[[#This Row],[Hours_Contractors]]=""),"",N(tblSafety[[#This Row],[Hours_Employees]])+N(tblSafety[[#This Row],[Hours_Contractors]]))</f>
        <v/>
      </c>
      <c r="S94" s="64">
        <f>IF(AND(tblSafety[[#This Row],[Fatality]]="",tblSafety[[#This Row],[LTI]]="",tblSafety[[#This Row],[RWI]]="",tblSafety[[#This Row],[MTI]]=""),"",N(tblSafety[[#This Row],[Fatality]])+N(tblSafety[[#This Row],[LTI]])+N(tblSafety[[#This Row],[RWI]])+N(tblSafety[[#This Row],[MTI]]))</f>
        <v/>
      </c>
    </row>
    <row r="95">
      <c r="A95" s="54" t="n">
        <v>46112</v>
      </c>
      <c r="B95" s="57" t="n"/>
      <c r="C95" s="57" t="n"/>
      <c r="D95" s="62" t="n"/>
      <c r="E95" s="62" t="n"/>
      <c r="F95" s="62" t="n"/>
      <c r="G95" s="62" t="n"/>
      <c r="H95" s="62" t="n"/>
      <c r="I95" s="62" t="n"/>
      <c r="J95" s="62" t="n"/>
      <c r="K95" s="62" t="n"/>
      <c r="L95" s="62" t="n"/>
      <c r="M95" s="62" t="n"/>
      <c r="N95" s="62" t="n"/>
      <c r="O95" s="62" t="n"/>
      <c r="P95" s="62" t="n"/>
      <c r="Q95" s="58" t="n"/>
      <c r="R95" s="66">
        <f>IF(AND(tblSafety[[#This Row],[Hours_Employees]]="",tblSafety[[#This Row],[Hours_Contractors]]=""),"",N(tblSafety[[#This Row],[Hours_Employees]])+N(tblSafety[[#This Row],[Hours_Contractors]]))</f>
        <v/>
      </c>
      <c r="S95" s="64">
        <f>IF(AND(tblSafety[[#This Row],[Fatality]]="",tblSafety[[#This Row],[LTI]]="",tblSafety[[#This Row],[RWI]]="",tblSafety[[#This Row],[MTI]]=""),"",N(tblSafety[[#This Row],[Fatality]])+N(tblSafety[[#This Row],[LTI]])+N(tblSafety[[#This Row],[RWI]])+N(tblSafety[[#This Row],[MTI]]))</f>
        <v/>
      </c>
    </row>
    <row r="96">
      <c r="A96" s="54" t="n">
        <v>46113</v>
      </c>
      <c r="B96" s="57" t="n"/>
      <c r="C96" s="57" t="n"/>
      <c r="D96" s="62" t="n"/>
      <c r="E96" s="62" t="n"/>
      <c r="F96" s="62" t="n"/>
      <c r="G96" s="62" t="n"/>
      <c r="H96" s="62" t="n"/>
      <c r="I96" s="62" t="n"/>
      <c r="J96" s="62" t="n"/>
      <c r="K96" s="62" t="n"/>
      <c r="L96" s="62" t="n"/>
      <c r="M96" s="62" t="n"/>
      <c r="N96" s="62" t="n"/>
      <c r="O96" s="62" t="n"/>
      <c r="P96" s="62" t="n"/>
      <c r="Q96" s="58" t="n"/>
      <c r="R96" s="66">
        <f>IF(AND(tblSafety[[#This Row],[Hours_Employees]]="",tblSafety[[#This Row],[Hours_Contractors]]=""),"",N(tblSafety[[#This Row],[Hours_Employees]])+N(tblSafety[[#This Row],[Hours_Contractors]]))</f>
        <v/>
      </c>
      <c r="S96" s="64">
        <f>IF(AND(tblSafety[[#This Row],[Fatality]]="",tblSafety[[#This Row],[LTI]]="",tblSafety[[#This Row],[RWI]]="",tblSafety[[#This Row],[MTI]]=""),"",N(tblSafety[[#This Row],[Fatality]])+N(tblSafety[[#This Row],[LTI]])+N(tblSafety[[#This Row],[RWI]])+N(tblSafety[[#This Row],[MTI]]))</f>
        <v/>
      </c>
    </row>
    <row r="97">
      <c r="A97" s="54" t="n">
        <v>46114</v>
      </c>
      <c r="B97" s="57" t="n"/>
      <c r="C97" s="57" t="n"/>
      <c r="D97" s="62" t="n"/>
      <c r="E97" s="62" t="n"/>
      <c r="F97" s="62" t="n"/>
      <c r="G97" s="62" t="n"/>
      <c r="H97" s="62" t="n"/>
      <c r="I97" s="62" t="n"/>
      <c r="J97" s="62" t="n"/>
      <c r="K97" s="62" t="n"/>
      <c r="L97" s="62" t="n"/>
      <c r="M97" s="62" t="n"/>
      <c r="N97" s="62" t="n"/>
      <c r="O97" s="62" t="n"/>
      <c r="P97" s="62" t="n"/>
      <c r="Q97" s="58" t="n"/>
      <c r="R97" s="66">
        <f>IF(AND(tblSafety[[#This Row],[Hours_Employees]]="",tblSafety[[#This Row],[Hours_Contractors]]=""),"",N(tblSafety[[#This Row],[Hours_Employees]])+N(tblSafety[[#This Row],[Hours_Contractors]]))</f>
        <v/>
      </c>
      <c r="S97" s="64">
        <f>IF(AND(tblSafety[[#This Row],[Fatality]]="",tblSafety[[#This Row],[LTI]]="",tblSafety[[#This Row],[RWI]]="",tblSafety[[#This Row],[MTI]]=""),"",N(tblSafety[[#This Row],[Fatality]])+N(tblSafety[[#This Row],[LTI]])+N(tblSafety[[#This Row],[RWI]])+N(tblSafety[[#This Row],[MTI]]))</f>
        <v/>
      </c>
    </row>
    <row r="98">
      <c r="A98" s="54" t="n">
        <v>46115</v>
      </c>
      <c r="B98" s="57" t="n"/>
      <c r="C98" s="57" t="n"/>
      <c r="D98" s="62" t="n"/>
      <c r="E98" s="62" t="n"/>
      <c r="F98" s="62" t="n"/>
      <c r="G98" s="62" t="n"/>
      <c r="H98" s="62" t="n"/>
      <c r="I98" s="62" t="n"/>
      <c r="J98" s="62" t="n"/>
      <c r="K98" s="62" t="n"/>
      <c r="L98" s="62" t="n"/>
      <c r="M98" s="62" t="n"/>
      <c r="N98" s="62" t="n"/>
      <c r="O98" s="62" t="n"/>
      <c r="P98" s="62" t="n"/>
      <c r="Q98" s="58" t="n"/>
      <c r="R98" s="66">
        <f>IF(AND(tblSafety[[#This Row],[Hours_Employees]]="",tblSafety[[#This Row],[Hours_Contractors]]=""),"",N(tblSafety[[#This Row],[Hours_Employees]])+N(tblSafety[[#This Row],[Hours_Contractors]]))</f>
        <v/>
      </c>
      <c r="S98" s="64">
        <f>IF(AND(tblSafety[[#This Row],[Fatality]]="",tblSafety[[#This Row],[LTI]]="",tblSafety[[#This Row],[RWI]]="",tblSafety[[#This Row],[MTI]]=""),"",N(tblSafety[[#This Row],[Fatality]])+N(tblSafety[[#This Row],[LTI]])+N(tblSafety[[#This Row],[RWI]])+N(tblSafety[[#This Row],[MTI]]))</f>
        <v/>
      </c>
    </row>
    <row r="99">
      <c r="A99" s="54" t="n">
        <v>46116</v>
      </c>
      <c r="B99" s="57" t="n"/>
      <c r="C99" s="57" t="n"/>
      <c r="D99" s="62" t="n"/>
      <c r="E99" s="62" t="n"/>
      <c r="F99" s="62" t="n"/>
      <c r="G99" s="62" t="n"/>
      <c r="H99" s="62" t="n"/>
      <c r="I99" s="62" t="n"/>
      <c r="J99" s="62" t="n"/>
      <c r="K99" s="62" t="n"/>
      <c r="L99" s="62" t="n"/>
      <c r="M99" s="62" t="n"/>
      <c r="N99" s="62" t="n"/>
      <c r="O99" s="62" t="n"/>
      <c r="P99" s="62" t="n"/>
      <c r="Q99" s="58" t="n"/>
      <c r="R99" s="66">
        <f>IF(AND(tblSafety[[#This Row],[Hours_Employees]]="",tblSafety[[#This Row],[Hours_Contractors]]=""),"",N(tblSafety[[#This Row],[Hours_Employees]])+N(tblSafety[[#This Row],[Hours_Contractors]]))</f>
        <v/>
      </c>
      <c r="S99" s="64">
        <f>IF(AND(tblSafety[[#This Row],[Fatality]]="",tblSafety[[#This Row],[LTI]]="",tblSafety[[#This Row],[RWI]]="",tblSafety[[#This Row],[MTI]]=""),"",N(tblSafety[[#This Row],[Fatality]])+N(tblSafety[[#This Row],[LTI]])+N(tblSafety[[#This Row],[RWI]])+N(tblSafety[[#This Row],[MTI]]))</f>
        <v/>
      </c>
    </row>
    <row r="100">
      <c r="A100" s="54" t="n">
        <v>46117</v>
      </c>
      <c r="B100" s="57" t="n"/>
      <c r="C100" s="57" t="n"/>
      <c r="D100" s="62" t="n"/>
      <c r="E100" s="62" t="n"/>
      <c r="F100" s="62" t="n"/>
      <c r="G100" s="62" t="n"/>
      <c r="H100" s="62" t="n"/>
      <c r="I100" s="62" t="n"/>
      <c r="J100" s="62" t="n"/>
      <c r="K100" s="62" t="n"/>
      <c r="L100" s="62" t="n"/>
      <c r="M100" s="62" t="n"/>
      <c r="N100" s="62" t="n"/>
      <c r="O100" s="62" t="n"/>
      <c r="P100" s="62" t="n"/>
      <c r="Q100" s="58" t="n"/>
      <c r="R100" s="66">
        <f>IF(AND(tblSafety[[#This Row],[Hours_Employees]]="",tblSafety[[#This Row],[Hours_Contractors]]=""),"",N(tblSafety[[#This Row],[Hours_Employees]])+N(tblSafety[[#This Row],[Hours_Contractors]]))</f>
        <v/>
      </c>
      <c r="S100" s="64">
        <f>IF(AND(tblSafety[[#This Row],[Fatality]]="",tblSafety[[#This Row],[LTI]]="",tblSafety[[#This Row],[RWI]]="",tblSafety[[#This Row],[MTI]]=""),"",N(tblSafety[[#This Row],[Fatality]])+N(tblSafety[[#This Row],[LTI]])+N(tblSafety[[#This Row],[RWI]])+N(tblSafety[[#This Row],[MTI]]))</f>
        <v/>
      </c>
    </row>
    <row r="101">
      <c r="A101" s="54" t="n">
        <v>46118</v>
      </c>
      <c r="B101" s="57" t="n"/>
      <c r="C101" s="57" t="n"/>
      <c r="D101" s="62" t="n"/>
      <c r="E101" s="62" t="n"/>
      <c r="F101" s="62" t="n"/>
      <c r="G101" s="62" t="n"/>
      <c r="H101" s="62" t="n"/>
      <c r="I101" s="62" t="n"/>
      <c r="J101" s="62" t="n"/>
      <c r="K101" s="62" t="n"/>
      <c r="L101" s="62" t="n"/>
      <c r="M101" s="62" t="n"/>
      <c r="N101" s="62" t="n"/>
      <c r="O101" s="62" t="n"/>
      <c r="P101" s="62" t="n"/>
      <c r="Q101" s="58" t="n"/>
      <c r="R101" s="66">
        <f>IF(AND(tblSafety[[#This Row],[Hours_Employees]]="",tblSafety[[#This Row],[Hours_Contractors]]=""),"",N(tblSafety[[#This Row],[Hours_Employees]])+N(tblSafety[[#This Row],[Hours_Contractors]]))</f>
        <v/>
      </c>
      <c r="S101" s="64">
        <f>IF(AND(tblSafety[[#This Row],[Fatality]]="",tblSafety[[#This Row],[LTI]]="",tblSafety[[#This Row],[RWI]]="",tblSafety[[#This Row],[MTI]]=""),"",N(tblSafety[[#This Row],[Fatality]])+N(tblSafety[[#This Row],[LTI]])+N(tblSafety[[#This Row],[RWI]])+N(tblSafety[[#This Row],[MTI]]))</f>
        <v/>
      </c>
    </row>
    <row r="102">
      <c r="A102" s="54" t="n">
        <v>46119</v>
      </c>
      <c r="B102" s="57" t="n"/>
      <c r="C102" s="57" t="n"/>
      <c r="D102" s="62" t="n"/>
      <c r="E102" s="62" t="n"/>
      <c r="F102" s="62" t="n"/>
      <c r="G102" s="62" t="n"/>
      <c r="H102" s="62" t="n"/>
      <c r="I102" s="62" t="n"/>
      <c r="J102" s="62" t="n"/>
      <c r="K102" s="62" t="n"/>
      <c r="L102" s="62" t="n"/>
      <c r="M102" s="62" t="n"/>
      <c r="N102" s="62" t="n"/>
      <c r="O102" s="62" t="n"/>
      <c r="P102" s="62" t="n"/>
      <c r="Q102" s="58" t="n"/>
      <c r="R102" s="66">
        <f>IF(AND(tblSafety[[#This Row],[Hours_Employees]]="",tblSafety[[#This Row],[Hours_Contractors]]=""),"",N(tblSafety[[#This Row],[Hours_Employees]])+N(tblSafety[[#This Row],[Hours_Contractors]]))</f>
        <v/>
      </c>
      <c r="S102" s="64">
        <f>IF(AND(tblSafety[[#This Row],[Fatality]]="",tblSafety[[#This Row],[LTI]]="",tblSafety[[#This Row],[RWI]]="",tblSafety[[#This Row],[MTI]]=""),"",N(tblSafety[[#This Row],[Fatality]])+N(tblSafety[[#This Row],[LTI]])+N(tblSafety[[#This Row],[RWI]])+N(tblSafety[[#This Row],[MTI]]))</f>
        <v/>
      </c>
    </row>
    <row r="103">
      <c r="A103" s="54" t="n">
        <v>46120</v>
      </c>
      <c r="B103" s="57" t="n"/>
      <c r="C103" s="57" t="n"/>
      <c r="D103" s="62" t="n"/>
      <c r="E103" s="62" t="n"/>
      <c r="F103" s="62" t="n"/>
      <c r="G103" s="62" t="n"/>
      <c r="H103" s="62" t="n"/>
      <c r="I103" s="62" t="n"/>
      <c r="J103" s="62" t="n"/>
      <c r="K103" s="62" t="n"/>
      <c r="L103" s="62" t="n"/>
      <c r="M103" s="62" t="n"/>
      <c r="N103" s="62" t="n"/>
      <c r="O103" s="62" t="n"/>
      <c r="P103" s="62" t="n"/>
      <c r="Q103" s="58" t="n"/>
      <c r="R103" s="66">
        <f>IF(AND(tblSafety[[#This Row],[Hours_Employees]]="",tblSafety[[#This Row],[Hours_Contractors]]=""),"",N(tblSafety[[#This Row],[Hours_Employees]])+N(tblSafety[[#This Row],[Hours_Contractors]]))</f>
        <v/>
      </c>
      <c r="S103" s="64">
        <f>IF(AND(tblSafety[[#This Row],[Fatality]]="",tblSafety[[#This Row],[LTI]]="",tblSafety[[#This Row],[RWI]]="",tblSafety[[#This Row],[MTI]]=""),"",N(tblSafety[[#This Row],[Fatality]])+N(tblSafety[[#This Row],[LTI]])+N(tblSafety[[#This Row],[RWI]])+N(tblSafety[[#This Row],[MTI]]))</f>
        <v/>
      </c>
    </row>
    <row r="104">
      <c r="A104" s="54" t="n">
        <v>46121</v>
      </c>
      <c r="B104" s="57" t="n"/>
      <c r="C104" s="57" t="n"/>
      <c r="D104" s="62" t="n"/>
      <c r="E104" s="62" t="n"/>
      <c r="F104" s="62" t="n"/>
      <c r="G104" s="62" t="n"/>
      <c r="H104" s="62" t="n"/>
      <c r="I104" s="62" t="n"/>
      <c r="J104" s="62" t="n"/>
      <c r="K104" s="62" t="n"/>
      <c r="L104" s="62" t="n"/>
      <c r="M104" s="62" t="n"/>
      <c r="N104" s="62" t="n"/>
      <c r="O104" s="62" t="n"/>
      <c r="P104" s="62" t="n"/>
      <c r="Q104" s="58" t="n"/>
      <c r="R104" s="66">
        <f>IF(AND(tblSafety[[#This Row],[Hours_Employees]]="",tblSafety[[#This Row],[Hours_Contractors]]=""),"",N(tblSafety[[#This Row],[Hours_Employees]])+N(tblSafety[[#This Row],[Hours_Contractors]]))</f>
        <v/>
      </c>
      <c r="S104" s="64">
        <f>IF(AND(tblSafety[[#This Row],[Fatality]]="",tblSafety[[#This Row],[LTI]]="",tblSafety[[#This Row],[RWI]]="",tblSafety[[#This Row],[MTI]]=""),"",N(tblSafety[[#This Row],[Fatality]])+N(tblSafety[[#This Row],[LTI]])+N(tblSafety[[#This Row],[RWI]])+N(tblSafety[[#This Row],[MTI]]))</f>
        <v/>
      </c>
    </row>
    <row r="105">
      <c r="A105" s="54" t="n">
        <v>46122</v>
      </c>
      <c r="B105" s="57" t="n"/>
      <c r="C105" s="57" t="n"/>
      <c r="D105" s="62" t="n"/>
      <c r="E105" s="62" t="n"/>
      <c r="F105" s="62" t="n"/>
      <c r="G105" s="62" t="n"/>
      <c r="H105" s="62" t="n"/>
      <c r="I105" s="62" t="n"/>
      <c r="J105" s="62" t="n"/>
      <c r="K105" s="62" t="n"/>
      <c r="L105" s="62" t="n"/>
      <c r="M105" s="62" t="n"/>
      <c r="N105" s="62" t="n"/>
      <c r="O105" s="62" t="n"/>
      <c r="P105" s="62" t="n"/>
      <c r="Q105" s="58" t="n"/>
      <c r="R105" s="66">
        <f>IF(AND(tblSafety[[#This Row],[Hours_Employees]]="",tblSafety[[#This Row],[Hours_Contractors]]=""),"",N(tblSafety[[#This Row],[Hours_Employees]])+N(tblSafety[[#This Row],[Hours_Contractors]]))</f>
        <v/>
      </c>
      <c r="S105" s="64">
        <f>IF(AND(tblSafety[[#This Row],[Fatality]]="",tblSafety[[#This Row],[LTI]]="",tblSafety[[#This Row],[RWI]]="",tblSafety[[#This Row],[MTI]]=""),"",N(tblSafety[[#This Row],[Fatality]])+N(tblSafety[[#This Row],[LTI]])+N(tblSafety[[#This Row],[RWI]])+N(tblSafety[[#This Row],[MTI]]))</f>
        <v/>
      </c>
    </row>
    <row r="106">
      <c r="A106" s="54" t="n">
        <v>46123</v>
      </c>
      <c r="B106" s="57" t="n"/>
      <c r="C106" s="57" t="n"/>
      <c r="D106" s="62" t="n"/>
      <c r="E106" s="62" t="n"/>
      <c r="F106" s="62" t="n"/>
      <c r="G106" s="62" t="n"/>
      <c r="H106" s="62" t="n"/>
      <c r="I106" s="62" t="n"/>
      <c r="J106" s="62" t="n"/>
      <c r="K106" s="62" t="n"/>
      <c r="L106" s="62" t="n"/>
      <c r="M106" s="62" t="n"/>
      <c r="N106" s="62" t="n"/>
      <c r="O106" s="62" t="n"/>
      <c r="P106" s="62" t="n"/>
      <c r="Q106" s="58" t="n"/>
      <c r="R106" s="66">
        <f>IF(AND(tblSafety[[#This Row],[Hours_Employees]]="",tblSafety[[#This Row],[Hours_Contractors]]=""),"",N(tblSafety[[#This Row],[Hours_Employees]])+N(tblSafety[[#This Row],[Hours_Contractors]]))</f>
        <v/>
      </c>
      <c r="S106" s="64">
        <f>IF(AND(tblSafety[[#This Row],[Fatality]]="",tblSafety[[#This Row],[LTI]]="",tblSafety[[#This Row],[RWI]]="",tblSafety[[#This Row],[MTI]]=""),"",N(tblSafety[[#This Row],[Fatality]])+N(tblSafety[[#This Row],[LTI]])+N(tblSafety[[#This Row],[RWI]])+N(tblSafety[[#This Row],[MTI]]))</f>
        <v/>
      </c>
    </row>
    <row r="107">
      <c r="A107" s="54" t="n">
        <v>46124</v>
      </c>
      <c r="B107" s="57" t="n"/>
      <c r="C107" s="57" t="n"/>
      <c r="D107" s="62" t="n"/>
      <c r="E107" s="62" t="n"/>
      <c r="F107" s="62" t="n"/>
      <c r="G107" s="62" t="n"/>
      <c r="H107" s="62" t="n"/>
      <c r="I107" s="62" t="n"/>
      <c r="J107" s="62" t="n"/>
      <c r="K107" s="62" t="n"/>
      <c r="L107" s="62" t="n"/>
      <c r="M107" s="62" t="n"/>
      <c r="N107" s="62" t="n"/>
      <c r="O107" s="62" t="n"/>
      <c r="P107" s="62" t="n"/>
      <c r="Q107" s="58" t="n"/>
      <c r="R107" s="66">
        <f>IF(AND(tblSafety[[#This Row],[Hours_Employees]]="",tblSafety[[#This Row],[Hours_Contractors]]=""),"",N(tblSafety[[#This Row],[Hours_Employees]])+N(tblSafety[[#This Row],[Hours_Contractors]]))</f>
        <v/>
      </c>
      <c r="S107" s="64">
        <f>IF(AND(tblSafety[[#This Row],[Fatality]]="",tblSafety[[#This Row],[LTI]]="",tblSafety[[#This Row],[RWI]]="",tblSafety[[#This Row],[MTI]]=""),"",N(tblSafety[[#This Row],[Fatality]])+N(tblSafety[[#This Row],[LTI]])+N(tblSafety[[#This Row],[RWI]])+N(tblSafety[[#This Row],[MTI]]))</f>
        <v/>
      </c>
    </row>
    <row r="108">
      <c r="A108" s="54" t="n">
        <v>46125</v>
      </c>
      <c r="B108" s="57" t="n"/>
      <c r="C108" s="57" t="n"/>
      <c r="D108" s="62" t="n"/>
      <c r="E108" s="62" t="n"/>
      <c r="F108" s="62" t="n"/>
      <c r="G108" s="62" t="n"/>
      <c r="H108" s="62" t="n"/>
      <c r="I108" s="62" t="n"/>
      <c r="J108" s="62" t="n"/>
      <c r="K108" s="62" t="n"/>
      <c r="L108" s="62" t="n"/>
      <c r="M108" s="62" t="n"/>
      <c r="N108" s="62" t="n"/>
      <c r="O108" s="62" t="n"/>
      <c r="P108" s="62" t="n"/>
      <c r="Q108" s="58" t="n"/>
      <c r="R108" s="66">
        <f>IF(AND(tblSafety[[#This Row],[Hours_Employees]]="",tblSafety[[#This Row],[Hours_Contractors]]=""),"",N(tblSafety[[#This Row],[Hours_Employees]])+N(tblSafety[[#This Row],[Hours_Contractors]]))</f>
        <v/>
      </c>
      <c r="S108" s="64">
        <f>IF(AND(tblSafety[[#This Row],[Fatality]]="",tblSafety[[#This Row],[LTI]]="",tblSafety[[#This Row],[RWI]]="",tblSafety[[#This Row],[MTI]]=""),"",N(tblSafety[[#This Row],[Fatality]])+N(tblSafety[[#This Row],[LTI]])+N(tblSafety[[#This Row],[RWI]])+N(tblSafety[[#This Row],[MTI]]))</f>
        <v/>
      </c>
    </row>
    <row r="109">
      <c r="A109" s="54" t="n">
        <v>46126</v>
      </c>
      <c r="B109" s="57" t="n"/>
      <c r="C109" s="57" t="n"/>
      <c r="D109" s="62" t="n"/>
      <c r="E109" s="62" t="n"/>
      <c r="F109" s="62" t="n"/>
      <c r="G109" s="62" t="n"/>
      <c r="H109" s="62" t="n"/>
      <c r="I109" s="62" t="n"/>
      <c r="J109" s="62" t="n"/>
      <c r="K109" s="62" t="n"/>
      <c r="L109" s="62" t="n"/>
      <c r="M109" s="62" t="n"/>
      <c r="N109" s="62" t="n"/>
      <c r="O109" s="62" t="n"/>
      <c r="P109" s="62" t="n"/>
      <c r="Q109" s="58" t="n"/>
      <c r="R109" s="66">
        <f>IF(AND(tblSafety[[#This Row],[Hours_Employees]]="",tblSafety[[#This Row],[Hours_Contractors]]=""),"",N(tblSafety[[#This Row],[Hours_Employees]])+N(tblSafety[[#This Row],[Hours_Contractors]]))</f>
        <v/>
      </c>
      <c r="S109" s="64">
        <f>IF(AND(tblSafety[[#This Row],[Fatality]]="",tblSafety[[#This Row],[LTI]]="",tblSafety[[#This Row],[RWI]]="",tblSafety[[#This Row],[MTI]]=""),"",N(tblSafety[[#This Row],[Fatality]])+N(tblSafety[[#This Row],[LTI]])+N(tblSafety[[#This Row],[RWI]])+N(tblSafety[[#This Row],[MTI]]))</f>
        <v/>
      </c>
    </row>
    <row r="110">
      <c r="A110" s="54" t="n">
        <v>46127</v>
      </c>
      <c r="B110" s="57" t="n"/>
      <c r="C110" s="57" t="n"/>
      <c r="D110" s="62" t="n"/>
      <c r="E110" s="62" t="n"/>
      <c r="F110" s="62" t="n"/>
      <c r="G110" s="62" t="n"/>
      <c r="H110" s="62" t="n"/>
      <c r="I110" s="62" t="n"/>
      <c r="J110" s="62" t="n"/>
      <c r="K110" s="62" t="n"/>
      <c r="L110" s="62" t="n"/>
      <c r="M110" s="62" t="n"/>
      <c r="N110" s="62" t="n"/>
      <c r="O110" s="62" t="n"/>
      <c r="P110" s="62" t="n"/>
      <c r="Q110" s="58" t="n"/>
      <c r="R110" s="66">
        <f>IF(AND(tblSafety[[#This Row],[Hours_Employees]]="",tblSafety[[#This Row],[Hours_Contractors]]=""),"",N(tblSafety[[#This Row],[Hours_Employees]])+N(tblSafety[[#This Row],[Hours_Contractors]]))</f>
        <v/>
      </c>
      <c r="S110" s="64">
        <f>IF(AND(tblSafety[[#This Row],[Fatality]]="",tblSafety[[#This Row],[LTI]]="",tblSafety[[#This Row],[RWI]]="",tblSafety[[#This Row],[MTI]]=""),"",N(tblSafety[[#This Row],[Fatality]])+N(tblSafety[[#This Row],[LTI]])+N(tblSafety[[#This Row],[RWI]])+N(tblSafety[[#This Row],[MTI]]))</f>
        <v/>
      </c>
    </row>
    <row r="111">
      <c r="A111" s="54" t="n">
        <v>46128</v>
      </c>
      <c r="B111" s="57" t="n"/>
      <c r="C111" s="57" t="n"/>
      <c r="D111" s="62" t="n"/>
      <c r="E111" s="62" t="n"/>
      <c r="F111" s="62" t="n"/>
      <c r="G111" s="62" t="n"/>
      <c r="H111" s="62" t="n"/>
      <c r="I111" s="62" t="n"/>
      <c r="J111" s="62" t="n"/>
      <c r="K111" s="62" t="n"/>
      <c r="L111" s="62" t="n"/>
      <c r="M111" s="62" t="n"/>
      <c r="N111" s="62" t="n"/>
      <c r="O111" s="62" t="n"/>
      <c r="P111" s="62" t="n"/>
      <c r="Q111" s="58" t="n"/>
      <c r="R111" s="66">
        <f>IF(AND(tblSafety[[#This Row],[Hours_Employees]]="",tblSafety[[#This Row],[Hours_Contractors]]=""),"",N(tblSafety[[#This Row],[Hours_Employees]])+N(tblSafety[[#This Row],[Hours_Contractors]]))</f>
        <v/>
      </c>
      <c r="S111" s="64">
        <f>IF(AND(tblSafety[[#This Row],[Fatality]]="",tblSafety[[#This Row],[LTI]]="",tblSafety[[#This Row],[RWI]]="",tblSafety[[#This Row],[MTI]]=""),"",N(tblSafety[[#This Row],[Fatality]])+N(tblSafety[[#This Row],[LTI]])+N(tblSafety[[#This Row],[RWI]])+N(tblSafety[[#This Row],[MTI]]))</f>
        <v/>
      </c>
    </row>
    <row r="112">
      <c r="A112" s="54" t="n">
        <v>46129</v>
      </c>
      <c r="B112" s="57" t="n"/>
      <c r="C112" s="57" t="n"/>
      <c r="D112" s="62" t="n"/>
      <c r="E112" s="62" t="n"/>
      <c r="F112" s="62" t="n"/>
      <c r="G112" s="62" t="n"/>
      <c r="H112" s="62" t="n"/>
      <c r="I112" s="62" t="n"/>
      <c r="J112" s="62" t="n"/>
      <c r="K112" s="62" t="n"/>
      <c r="L112" s="62" t="n"/>
      <c r="M112" s="62" t="n"/>
      <c r="N112" s="62" t="n"/>
      <c r="O112" s="62" t="n"/>
      <c r="P112" s="62" t="n"/>
      <c r="Q112" s="58" t="n"/>
      <c r="R112" s="66">
        <f>IF(AND(tblSafety[[#This Row],[Hours_Employees]]="",tblSafety[[#This Row],[Hours_Contractors]]=""),"",N(tblSafety[[#This Row],[Hours_Employees]])+N(tblSafety[[#This Row],[Hours_Contractors]]))</f>
        <v/>
      </c>
      <c r="S112" s="64">
        <f>IF(AND(tblSafety[[#This Row],[Fatality]]="",tblSafety[[#This Row],[LTI]]="",tblSafety[[#This Row],[RWI]]="",tblSafety[[#This Row],[MTI]]=""),"",N(tblSafety[[#This Row],[Fatality]])+N(tblSafety[[#This Row],[LTI]])+N(tblSafety[[#This Row],[RWI]])+N(tblSafety[[#This Row],[MTI]]))</f>
        <v/>
      </c>
    </row>
    <row r="113">
      <c r="A113" s="54" t="n">
        <v>46130</v>
      </c>
      <c r="B113" s="57" t="n"/>
      <c r="C113" s="57" t="n"/>
      <c r="D113" s="62" t="n"/>
      <c r="E113" s="62" t="n"/>
      <c r="F113" s="62" t="n"/>
      <c r="G113" s="62" t="n"/>
      <c r="H113" s="62" t="n"/>
      <c r="I113" s="62" t="n"/>
      <c r="J113" s="62" t="n"/>
      <c r="K113" s="62" t="n"/>
      <c r="L113" s="62" t="n"/>
      <c r="M113" s="62" t="n"/>
      <c r="N113" s="62" t="n"/>
      <c r="O113" s="62" t="n"/>
      <c r="P113" s="62" t="n"/>
      <c r="Q113" s="58" t="n"/>
      <c r="R113" s="66">
        <f>IF(AND(tblSafety[[#This Row],[Hours_Employees]]="",tblSafety[[#This Row],[Hours_Contractors]]=""),"",N(tblSafety[[#This Row],[Hours_Employees]])+N(tblSafety[[#This Row],[Hours_Contractors]]))</f>
        <v/>
      </c>
      <c r="S113" s="64">
        <f>IF(AND(tblSafety[[#This Row],[Fatality]]="",tblSafety[[#This Row],[LTI]]="",tblSafety[[#This Row],[RWI]]="",tblSafety[[#This Row],[MTI]]=""),"",N(tblSafety[[#This Row],[Fatality]])+N(tblSafety[[#This Row],[LTI]])+N(tblSafety[[#This Row],[RWI]])+N(tblSafety[[#This Row],[MTI]]))</f>
        <v/>
      </c>
    </row>
    <row r="114">
      <c r="A114" s="54" t="n">
        <v>46131</v>
      </c>
      <c r="B114" s="57" t="n"/>
      <c r="C114" s="57" t="n"/>
      <c r="D114" s="62" t="n"/>
      <c r="E114" s="62" t="n"/>
      <c r="F114" s="62" t="n"/>
      <c r="G114" s="62" t="n"/>
      <c r="H114" s="62" t="n"/>
      <c r="I114" s="62" t="n"/>
      <c r="J114" s="62" t="n"/>
      <c r="K114" s="62" t="n"/>
      <c r="L114" s="62" t="n"/>
      <c r="M114" s="62" t="n"/>
      <c r="N114" s="62" t="n"/>
      <c r="O114" s="62" t="n"/>
      <c r="P114" s="62" t="n"/>
      <c r="Q114" s="58" t="n"/>
      <c r="R114" s="66">
        <f>IF(AND(tblSafety[[#This Row],[Hours_Employees]]="",tblSafety[[#This Row],[Hours_Contractors]]=""),"",N(tblSafety[[#This Row],[Hours_Employees]])+N(tblSafety[[#This Row],[Hours_Contractors]]))</f>
        <v/>
      </c>
      <c r="S114" s="64">
        <f>IF(AND(tblSafety[[#This Row],[Fatality]]="",tblSafety[[#This Row],[LTI]]="",tblSafety[[#This Row],[RWI]]="",tblSafety[[#This Row],[MTI]]=""),"",N(tblSafety[[#This Row],[Fatality]])+N(tblSafety[[#This Row],[LTI]])+N(tblSafety[[#This Row],[RWI]])+N(tblSafety[[#This Row],[MTI]]))</f>
        <v/>
      </c>
    </row>
    <row r="115">
      <c r="A115" s="54" t="n">
        <v>46132</v>
      </c>
      <c r="B115" s="57" t="n"/>
      <c r="C115" s="57" t="n"/>
      <c r="D115" s="62" t="n"/>
      <c r="E115" s="62" t="n"/>
      <c r="F115" s="62" t="n"/>
      <c r="G115" s="62" t="n"/>
      <c r="H115" s="62" t="n"/>
      <c r="I115" s="62" t="n"/>
      <c r="J115" s="62" t="n"/>
      <c r="K115" s="62" t="n"/>
      <c r="L115" s="62" t="n"/>
      <c r="M115" s="62" t="n"/>
      <c r="N115" s="62" t="n"/>
      <c r="O115" s="62" t="n"/>
      <c r="P115" s="62" t="n"/>
      <c r="Q115" s="58" t="n"/>
      <c r="R115" s="66">
        <f>IF(AND(tblSafety[[#This Row],[Hours_Employees]]="",tblSafety[[#This Row],[Hours_Contractors]]=""),"",N(tblSafety[[#This Row],[Hours_Employees]])+N(tblSafety[[#This Row],[Hours_Contractors]]))</f>
        <v/>
      </c>
      <c r="S115" s="64">
        <f>IF(AND(tblSafety[[#This Row],[Fatality]]="",tblSafety[[#This Row],[LTI]]="",tblSafety[[#This Row],[RWI]]="",tblSafety[[#This Row],[MTI]]=""),"",N(tblSafety[[#This Row],[Fatality]])+N(tblSafety[[#This Row],[LTI]])+N(tblSafety[[#This Row],[RWI]])+N(tblSafety[[#This Row],[MTI]]))</f>
        <v/>
      </c>
    </row>
    <row r="116">
      <c r="A116" s="54" t="n">
        <v>46133</v>
      </c>
      <c r="B116" s="57" t="n"/>
      <c r="C116" s="57" t="n"/>
      <c r="D116" s="62" t="n"/>
      <c r="E116" s="62" t="n"/>
      <c r="F116" s="62" t="n"/>
      <c r="G116" s="62" t="n"/>
      <c r="H116" s="62" t="n"/>
      <c r="I116" s="62" t="n"/>
      <c r="J116" s="62" t="n"/>
      <c r="K116" s="62" t="n"/>
      <c r="L116" s="62" t="n"/>
      <c r="M116" s="62" t="n"/>
      <c r="N116" s="62" t="n"/>
      <c r="O116" s="62" t="n"/>
      <c r="P116" s="62" t="n"/>
      <c r="Q116" s="58" t="n"/>
      <c r="R116" s="66">
        <f>IF(AND(tblSafety[[#This Row],[Hours_Employees]]="",tblSafety[[#This Row],[Hours_Contractors]]=""),"",N(tblSafety[[#This Row],[Hours_Employees]])+N(tblSafety[[#This Row],[Hours_Contractors]]))</f>
        <v/>
      </c>
      <c r="S116" s="64">
        <f>IF(AND(tblSafety[[#This Row],[Fatality]]="",tblSafety[[#This Row],[LTI]]="",tblSafety[[#This Row],[RWI]]="",tblSafety[[#This Row],[MTI]]=""),"",N(tblSafety[[#This Row],[Fatality]])+N(tblSafety[[#This Row],[LTI]])+N(tblSafety[[#This Row],[RWI]])+N(tblSafety[[#This Row],[MTI]]))</f>
        <v/>
      </c>
    </row>
    <row r="117">
      <c r="A117" s="54" t="n">
        <v>46134</v>
      </c>
      <c r="B117" s="57" t="n"/>
      <c r="C117" s="57" t="n"/>
      <c r="D117" s="62" t="n"/>
      <c r="E117" s="62" t="n"/>
      <c r="F117" s="62" t="n"/>
      <c r="G117" s="62" t="n"/>
      <c r="H117" s="62" t="n"/>
      <c r="I117" s="62" t="n"/>
      <c r="J117" s="62" t="n"/>
      <c r="K117" s="62" t="n"/>
      <c r="L117" s="62" t="n"/>
      <c r="M117" s="62" t="n"/>
      <c r="N117" s="62" t="n"/>
      <c r="O117" s="62" t="n"/>
      <c r="P117" s="62" t="n"/>
      <c r="Q117" s="58" t="n"/>
      <c r="R117" s="66">
        <f>IF(AND(tblSafety[[#This Row],[Hours_Employees]]="",tblSafety[[#This Row],[Hours_Contractors]]=""),"",N(tblSafety[[#This Row],[Hours_Employees]])+N(tblSafety[[#This Row],[Hours_Contractors]]))</f>
        <v/>
      </c>
      <c r="S117" s="64">
        <f>IF(AND(tblSafety[[#This Row],[Fatality]]="",tblSafety[[#This Row],[LTI]]="",tblSafety[[#This Row],[RWI]]="",tblSafety[[#This Row],[MTI]]=""),"",N(tblSafety[[#This Row],[Fatality]])+N(tblSafety[[#This Row],[LTI]])+N(tblSafety[[#This Row],[RWI]])+N(tblSafety[[#This Row],[MTI]]))</f>
        <v/>
      </c>
    </row>
    <row r="118">
      <c r="A118" s="54" t="n">
        <v>46135</v>
      </c>
      <c r="B118" s="57" t="n"/>
      <c r="C118" s="57" t="n"/>
      <c r="D118" s="62" t="n"/>
      <c r="E118" s="62" t="n"/>
      <c r="F118" s="62" t="n"/>
      <c r="G118" s="62" t="n"/>
      <c r="H118" s="62" t="n"/>
      <c r="I118" s="62" t="n"/>
      <c r="J118" s="62" t="n"/>
      <c r="K118" s="62" t="n"/>
      <c r="L118" s="62" t="n"/>
      <c r="M118" s="62" t="n"/>
      <c r="N118" s="62" t="n"/>
      <c r="O118" s="62" t="n"/>
      <c r="P118" s="62" t="n"/>
      <c r="Q118" s="58" t="n"/>
      <c r="R118" s="66">
        <f>IF(AND(tblSafety[[#This Row],[Hours_Employees]]="",tblSafety[[#This Row],[Hours_Contractors]]=""),"",N(tblSafety[[#This Row],[Hours_Employees]])+N(tblSafety[[#This Row],[Hours_Contractors]]))</f>
        <v/>
      </c>
      <c r="S118" s="64">
        <f>IF(AND(tblSafety[[#This Row],[Fatality]]="",tblSafety[[#This Row],[LTI]]="",tblSafety[[#This Row],[RWI]]="",tblSafety[[#This Row],[MTI]]=""),"",N(tblSafety[[#This Row],[Fatality]])+N(tblSafety[[#This Row],[LTI]])+N(tblSafety[[#This Row],[RWI]])+N(tblSafety[[#This Row],[MTI]]))</f>
        <v/>
      </c>
    </row>
    <row r="119">
      <c r="A119" s="54" t="n">
        <v>46136</v>
      </c>
      <c r="B119" s="57" t="n"/>
      <c r="C119" s="57" t="n"/>
      <c r="D119" s="62" t="n"/>
      <c r="E119" s="62" t="n"/>
      <c r="F119" s="62" t="n"/>
      <c r="G119" s="62" t="n"/>
      <c r="H119" s="62" t="n"/>
      <c r="I119" s="62" t="n"/>
      <c r="J119" s="62" t="n"/>
      <c r="K119" s="62" t="n"/>
      <c r="L119" s="62" t="n"/>
      <c r="M119" s="62" t="n"/>
      <c r="N119" s="62" t="n"/>
      <c r="O119" s="62" t="n"/>
      <c r="P119" s="62" t="n"/>
      <c r="Q119" s="58" t="n"/>
      <c r="R119" s="66">
        <f>IF(AND(tblSafety[[#This Row],[Hours_Employees]]="",tblSafety[[#This Row],[Hours_Contractors]]=""),"",N(tblSafety[[#This Row],[Hours_Employees]])+N(tblSafety[[#This Row],[Hours_Contractors]]))</f>
        <v/>
      </c>
      <c r="S119" s="64">
        <f>IF(AND(tblSafety[[#This Row],[Fatality]]="",tblSafety[[#This Row],[LTI]]="",tblSafety[[#This Row],[RWI]]="",tblSafety[[#This Row],[MTI]]=""),"",N(tblSafety[[#This Row],[Fatality]])+N(tblSafety[[#This Row],[LTI]])+N(tblSafety[[#This Row],[RWI]])+N(tblSafety[[#This Row],[MTI]]))</f>
        <v/>
      </c>
    </row>
    <row r="120">
      <c r="A120" s="54" t="n">
        <v>46137</v>
      </c>
      <c r="B120" s="57" t="n"/>
      <c r="C120" s="57" t="n"/>
      <c r="D120" s="62" t="n"/>
      <c r="E120" s="62" t="n"/>
      <c r="F120" s="62" t="n"/>
      <c r="G120" s="62" t="n"/>
      <c r="H120" s="62" t="n"/>
      <c r="I120" s="62" t="n"/>
      <c r="J120" s="62" t="n"/>
      <c r="K120" s="62" t="n"/>
      <c r="L120" s="62" t="n"/>
      <c r="M120" s="62" t="n"/>
      <c r="N120" s="62" t="n"/>
      <c r="O120" s="62" t="n"/>
      <c r="P120" s="62" t="n"/>
      <c r="Q120" s="58" t="n"/>
      <c r="R120" s="66">
        <f>IF(AND(tblSafety[[#This Row],[Hours_Employees]]="",tblSafety[[#This Row],[Hours_Contractors]]=""),"",N(tblSafety[[#This Row],[Hours_Employees]])+N(tblSafety[[#This Row],[Hours_Contractors]]))</f>
        <v/>
      </c>
      <c r="S120" s="64">
        <f>IF(AND(tblSafety[[#This Row],[Fatality]]="",tblSafety[[#This Row],[LTI]]="",tblSafety[[#This Row],[RWI]]="",tblSafety[[#This Row],[MTI]]=""),"",N(tblSafety[[#This Row],[Fatality]])+N(tblSafety[[#This Row],[LTI]])+N(tblSafety[[#This Row],[RWI]])+N(tblSafety[[#This Row],[MTI]]))</f>
        <v/>
      </c>
    </row>
    <row r="121">
      <c r="A121" s="54" t="n">
        <v>46138</v>
      </c>
      <c r="B121" s="57" t="n"/>
      <c r="C121" s="57" t="n"/>
      <c r="D121" s="62" t="n"/>
      <c r="E121" s="62" t="n"/>
      <c r="F121" s="62" t="n"/>
      <c r="G121" s="62" t="n"/>
      <c r="H121" s="62" t="n"/>
      <c r="I121" s="62" t="n"/>
      <c r="J121" s="62" t="n"/>
      <c r="K121" s="62" t="n"/>
      <c r="L121" s="62" t="n"/>
      <c r="M121" s="62" t="n"/>
      <c r="N121" s="62" t="n"/>
      <c r="O121" s="62" t="n"/>
      <c r="P121" s="62" t="n"/>
      <c r="Q121" s="58" t="n"/>
      <c r="R121" s="66">
        <f>IF(AND(tblSafety[[#This Row],[Hours_Employees]]="",tblSafety[[#This Row],[Hours_Contractors]]=""),"",N(tblSafety[[#This Row],[Hours_Employees]])+N(tblSafety[[#This Row],[Hours_Contractors]]))</f>
        <v/>
      </c>
      <c r="S121" s="64">
        <f>IF(AND(tblSafety[[#This Row],[Fatality]]="",tblSafety[[#This Row],[LTI]]="",tblSafety[[#This Row],[RWI]]="",tblSafety[[#This Row],[MTI]]=""),"",N(tblSafety[[#This Row],[Fatality]])+N(tblSafety[[#This Row],[LTI]])+N(tblSafety[[#This Row],[RWI]])+N(tblSafety[[#This Row],[MTI]]))</f>
        <v/>
      </c>
    </row>
    <row r="122">
      <c r="A122" s="54" t="n">
        <v>46139</v>
      </c>
      <c r="B122" s="57" t="n"/>
      <c r="C122" s="57" t="n"/>
      <c r="D122" s="62" t="n"/>
      <c r="E122" s="62" t="n"/>
      <c r="F122" s="62" t="n"/>
      <c r="G122" s="62" t="n"/>
      <c r="H122" s="62" t="n"/>
      <c r="I122" s="62" t="n"/>
      <c r="J122" s="62" t="n"/>
      <c r="K122" s="62" t="n"/>
      <c r="L122" s="62" t="n"/>
      <c r="M122" s="62" t="n"/>
      <c r="N122" s="62" t="n"/>
      <c r="O122" s="62" t="n"/>
      <c r="P122" s="62" t="n"/>
      <c r="Q122" s="58" t="n"/>
      <c r="R122" s="66">
        <f>IF(AND(tblSafety[[#This Row],[Hours_Employees]]="",tblSafety[[#This Row],[Hours_Contractors]]=""),"",N(tblSafety[[#This Row],[Hours_Employees]])+N(tblSafety[[#This Row],[Hours_Contractors]]))</f>
        <v/>
      </c>
      <c r="S122" s="64">
        <f>IF(AND(tblSafety[[#This Row],[Fatality]]="",tblSafety[[#This Row],[LTI]]="",tblSafety[[#This Row],[RWI]]="",tblSafety[[#This Row],[MTI]]=""),"",N(tblSafety[[#This Row],[Fatality]])+N(tblSafety[[#This Row],[LTI]])+N(tblSafety[[#This Row],[RWI]])+N(tblSafety[[#This Row],[MTI]]))</f>
        <v/>
      </c>
    </row>
    <row r="123">
      <c r="A123" s="54" t="n">
        <v>46140</v>
      </c>
      <c r="B123" s="57" t="n"/>
      <c r="C123" s="57" t="n"/>
      <c r="D123" s="62" t="n"/>
      <c r="E123" s="62" t="n"/>
      <c r="F123" s="62" t="n"/>
      <c r="G123" s="62" t="n"/>
      <c r="H123" s="62" t="n"/>
      <c r="I123" s="62" t="n"/>
      <c r="J123" s="62" t="n"/>
      <c r="K123" s="62" t="n"/>
      <c r="L123" s="62" t="n"/>
      <c r="M123" s="62" t="n"/>
      <c r="N123" s="62" t="n"/>
      <c r="O123" s="62" t="n"/>
      <c r="P123" s="62" t="n"/>
      <c r="Q123" s="58" t="n"/>
      <c r="R123" s="66">
        <f>IF(AND(tblSafety[[#This Row],[Hours_Employees]]="",tblSafety[[#This Row],[Hours_Contractors]]=""),"",N(tblSafety[[#This Row],[Hours_Employees]])+N(tblSafety[[#This Row],[Hours_Contractors]]))</f>
        <v/>
      </c>
      <c r="S123" s="64">
        <f>IF(AND(tblSafety[[#This Row],[Fatality]]="",tblSafety[[#This Row],[LTI]]="",tblSafety[[#This Row],[RWI]]="",tblSafety[[#This Row],[MTI]]=""),"",N(tblSafety[[#This Row],[Fatality]])+N(tblSafety[[#This Row],[LTI]])+N(tblSafety[[#This Row],[RWI]])+N(tblSafety[[#This Row],[MTI]]))</f>
        <v/>
      </c>
    </row>
    <row r="124">
      <c r="A124" s="54" t="n">
        <v>46141</v>
      </c>
      <c r="B124" s="57" t="n"/>
      <c r="C124" s="57" t="n"/>
      <c r="D124" s="62" t="n"/>
      <c r="E124" s="62" t="n"/>
      <c r="F124" s="62" t="n"/>
      <c r="G124" s="62" t="n"/>
      <c r="H124" s="62" t="n"/>
      <c r="I124" s="62" t="n"/>
      <c r="J124" s="62" t="n"/>
      <c r="K124" s="62" t="n"/>
      <c r="L124" s="62" t="n"/>
      <c r="M124" s="62" t="n"/>
      <c r="N124" s="62" t="n"/>
      <c r="O124" s="62" t="n"/>
      <c r="P124" s="62" t="n"/>
      <c r="Q124" s="58" t="n"/>
      <c r="R124" s="66">
        <f>IF(AND(tblSafety[[#This Row],[Hours_Employees]]="",tblSafety[[#This Row],[Hours_Contractors]]=""),"",N(tblSafety[[#This Row],[Hours_Employees]])+N(tblSafety[[#This Row],[Hours_Contractors]]))</f>
        <v/>
      </c>
      <c r="S124" s="64">
        <f>IF(AND(tblSafety[[#This Row],[Fatality]]="",tblSafety[[#This Row],[LTI]]="",tblSafety[[#This Row],[RWI]]="",tblSafety[[#This Row],[MTI]]=""),"",N(tblSafety[[#This Row],[Fatality]])+N(tblSafety[[#This Row],[LTI]])+N(tblSafety[[#This Row],[RWI]])+N(tblSafety[[#This Row],[MTI]]))</f>
        <v/>
      </c>
    </row>
    <row r="125">
      <c r="A125" s="54" t="n">
        <v>46142</v>
      </c>
      <c r="B125" s="57" t="n"/>
      <c r="C125" s="57" t="n"/>
      <c r="D125" s="62" t="n"/>
      <c r="E125" s="62" t="n"/>
      <c r="F125" s="62" t="n"/>
      <c r="G125" s="62" t="n"/>
      <c r="H125" s="62" t="n"/>
      <c r="I125" s="62" t="n"/>
      <c r="J125" s="62" t="n"/>
      <c r="K125" s="62" t="n"/>
      <c r="L125" s="62" t="n"/>
      <c r="M125" s="62" t="n"/>
      <c r="N125" s="62" t="n"/>
      <c r="O125" s="62" t="n"/>
      <c r="P125" s="62" t="n"/>
      <c r="Q125" s="58" t="n"/>
      <c r="R125" s="66">
        <f>IF(AND(tblSafety[[#This Row],[Hours_Employees]]="",tblSafety[[#This Row],[Hours_Contractors]]=""),"",N(tblSafety[[#This Row],[Hours_Employees]])+N(tblSafety[[#This Row],[Hours_Contractors]]))</f>
        <v/>
      </c>
      <c r="S125" s="64">
        <f>IF(AND(tblSafety[[#This Row],[Fatality]]="",tblSafety[[#This Row],[LTI]]="",tblSafety[[#This Row],[RWI]]="",tblSafety[[#This Row],[MTI]]=""),"",N(tblSafety[[#This Row],[Fatality]])+N(tblSafety[[#This Row],[LTI]])+N(tblSafety[[#This Row],[RWI]])+N(tblSafety[[#This Row],[MTI]]))</f>
        <v/>
      </c>
    </row>
    <row r="126">
      <c r="A126" s="54" t="n">
        <v>46143</v>
      </c>
      <c r="B126" s="57" t="n"/>
      <c r="C126" s="57" t="n"/>
      <c r="D126" s="62" t="n"/>
      <c r="E126" s="62" t="n"/>
      <c r="F126" s="62" t="n"/>
      <c r="G126" s="62" t="n"/>
      <c r="H126" s="62" t="n"/>
      <c r="I126" s="62" t="n"/>
      <c r="J126" s="62" t="n"/>
      <c r="K126" s="62" t="n"/>
      <c r="L126" s="62" t="n"/>
      <c r="M126" s="62" t="n"/>
      <c r="N126" s="62" t="n"/>
      <c r="O126" s="62" t="n"/>
      <c r="P126" s="62" t="n"/>
      <c r="Q126" s="58" t="n"/>
      <c r="R126" s="66">
        <f>IF(AND(tblSafety[[#This Row],[Hours_Employees]]="",tblSafety[[#This Row],[Hours_Contractors]]=""),"",N(tblSafety[[#This Row],[Hours_Employees]])+N(tblSafety[[#This Row],[Hours_Contractors]]))</f>
        <v/>
      </c>
      <c r="S126" s="64">
        <f>IF(AND(tblSafety[[#This Row],[Fatality]]="",tblSafety[[#This Row],[LTI]]="",tblSafety[[#This Row],[RWI]]="",tblSafety[[#This Row],[MTI]]=""),"",N(tblSafety[[#This Row],[Fatality]])+N(tblSafety[[#This Row],[LTI]])+N(tblSafety[[#This Row],[RWI]])+N(tblSafety[[#This Row],[MTI]]))</f>
        <v/>
      </c>
    </row>
    <row r="127">
      <c r="A127" s="54" t="n">
        <v>46144</v>
      </c>
      <c r="B127" s="57" t="n"/>
      <c r="C127" s="57" t="n"/>
      <c r="D127" s="62" t="n"/>
      <c r="E127" s="62" t="n"/>
      <c r="F127" s="62" t="n"/>
      <c r="G127" s="62" t="n"/>
      <c r="H127" s="62" t="n"/>
      <c r="I127" s="62" t="n"/>
      <c r="J127" s="62" t="n"/>
      <c r="K127" s="62" t="n"/>
      <c r="L127" s="62" t="n"/>
      <c r="M127" s="62" t="n"/>
      <c r="N127" s="62" t="n"/>
      <c r="O127" s="62" t="n"/>
      <c r="P127" s="62" t="n"/>
      <c r="Q127" s="58" t="n"/>
      <c r="R127" s="66">
        <f>IF(AND(tblSafety[[#This Row],[Hours_Employees]]="",tblSafety[[#This Row],[Hours_Contractors]]=""),"",N(tblSafety[[#This Row],[Hours_Employees]])+N(tblSafety[[#This Row],[Hours_Contractors]]))</f>
        <v/>
      </c>
      <c r="S127" s="64">
        <f>IF(AND(tblSafety[[#This Row],[Fatality]]="",tblSafety[[#This Row],[LTI]]="",tblSafety[[#This Row],[RWI]]="",tblSafety[[#This Row],[MTI]]=""),"",N(tblSafety[[#This Row],[Fatality]])+N(tblSafety[[#This Row],[LTI]])+N(tblSafety[[#This Row],[RWI]])+N(tblSafety[[#This Row],[MTI]]))</f>
        <v/>
      </c>
    </row>
    <row r="128">
      <c r="A128" s="54" t="n">
        <v>46145</v>
      </c>
      <c r="B128" s="57" t="n"/>
      <c r="C128" s="57" t="n"/>
      <c r="D128" s="62" t="n"/>
      <c r="E128" s="62" t="n"/>
      <c r="F128" s="62" t="n"/>
      <c r="G128" s="62" t="n"/>
      <c r="H128" s="62" t="n"/>
      <c r="I128" s="62" t="n"/>
      <c r="J128" s="62" t="n"/>
      <c r="K128" s="62" t="n"/>
      <c r="L128" s="62" t="n"/>
      <c r="M128" s="62" t="n"/>
      <c r="N128" s="62" t="n"/>
      <c r="O128" s="62" t="n"/>
      <c r="P128" s="62" t="n"/>
      <c r="Q128" s="58" t="n"/>
      <c r="R128" s="66">
        <f>IF(AND(tblSafety[[#This Row],[Hours_Employees]]="",tblSafety[[#This Row],[Hours_Contractors]]=""),"",N(tblSafety[[#This Row],[Hours_Employees]])+N(tblSafety[[#This Row],[Hours_Contractors]]))</f>
        <v/>
      </c>
      <c r="S128" s="64">
        <f>IF(AND(tblSafety[[#This Row],[Fatality]]="",tblSafety[[#This Row],[LTI]]="",tblSafety[[#This Row],[RWI]]="",tblSafety[[#This Row],[MTI]]=""),"",N(tblSafety[[#This Row],[Fatality]])+N(tblSafety[[#This Row],[LTI]])+N(tblSafety[[#This Row],[RWI]])+N(tblSafety[[#This Row],[MTI]]))</f>
        <v/>
      </c>
    </row>
    <row r="129">
      <c r="A129" s="54" t="n">
        <v>46146</v>
      </c>
      <c r="B129" s="57" t="n"/>
      <c r="C129" s="57" t="n"/>
      <c r="D129" s="62" t="n"/>
      <c r="E129" s="62" t="n"/>
      <c r="F129" s="62" t="n"/>
      <c r="G129" s="62" t="n"/>
      <c r="H129" s="62" t="n"/>
      <c r="I129" s="62" t="n"/>
      <c r="J129" s="62" t="n"/>
      <c r="K129" s="62" t="n"/>
      <c r="L129" s="62" t="n"/>
      <c r="M129" s="62" t="n"/>
      <c r="N129" s="62" t="n"/>
      <c r="O129" s="62" t="n"/>
      <c r="P129" s="62" t="n"/>
      <c r="Q129" s="58" t="n"/>
      <c r="R129" s="66">
        <f>IF(AND(tblSafety[[#This Row],[Hours_Employees]]="",tblSafety[[#This Row],[Hours_Contractors]]=""),"",N(tblSafety[[#This Row],[Hours_Employees]])+N(tblSafety[[#This Row],[Hours_Contractors]]))</f>
        <v/>
      </c>
      <c r="S129" s="64">
        <f>IF(AND(tblSafety[[#This Row],[Fatality]]="",tblSafety[[#This Row],[LTI]]="",tblSafety[[#This Row],[RWI]]="",tblSafety[[#This Row],[MTI]]=""),"",N(tblSafety[[#This Row],[Fatality]])+N(tblSafety[[#This Row],[LTI]])+N(tblSafety[[#This Row],[RWI]])+N(tblSafety[[#This Row],[MTI]]))</f>
        <v/>
      </c>
    </row>
    <row r="130">
      <c r="A130" s="54" t="n">
        <v>46147</v>
      </c>
      <c r="B130" s="57" t="n"/>
      <c r="C130" s="57" t="n"/>
      <c r="D130" s="62" t="n"/>
      <c r="E130" s="62" t="n"/>
      <c r="F130" s="62" t="n"/>
      <c r="G130" s="62" t="n"/>
      <c r="H130" s="62" t="n"/>
      <c r="I130" s="62" t="n"/>
      <c r="J130" s="62" t="n"/>
      <c r="K130" s="62" t="n"/>
      <c r="L130" s="62" t="n"/>
      <c r="M130" s="62" t="n"/>
      <c r="N130" s="62" t="n"/>
      <c r="O130" s="62" t="n"/>
      <c r="P130" s="62" t="n"/>
      <c r="Q130" s="58" t="n"/>
      <c r="R130" s="66">
        <f>IF(AND(tblSafety[[#This Row],[Hours_Employees]]="",tblSafety[[#This Row],[Hours_Contractors]]=""),"",N(tblSafety[[#This Row],[Hours_Employees]])+N(tblSafety[[#This Row],[Hours_Contractors]]))</f>
        <v/>
      </c>
      <c r="S130" s="64">
        <f>IF(AND(tblSafety[[#This Row],[Fatality]]="",tblSafety[[#This Row],[LTI]]="",tblSafety[[#This Row],[RWI]]="",tblSafety[[#This Row],[MTI]]=""),"",N(tblSafety[[#This Row],[Fatality]])+N(tblSafety[[#This Row],[LTI]])+N(tblSafety[[#This Row],[RWI]])+N(tblSafety[[#This Row],[MTI]]))</f>
        <v/>
      </c>
    </row>
    <row r="131">
      <c r="A131" s="54" t="n">
        <v>46148</v>
      </c>
      <c r="B131" s="57" t="n"/>
      <c r="C131" s="57" t="n"/>
      <c r="D131" s="62" t="n"/>
      <c r="E131" s="62" t="n"/>
      <c r="F131" s="62" t="n"/>
      <c r="G131" s="62" t="n"/>
      <c r="H131" s="62" t="n"/>
      <c r="I131" s="62" t="n"/>
      <c r="J131" s="62" t="n"/>
      <c r="K131" s="62" t="n"/>
      <c r="L131" s="62" t="n"/>
      <c r="M131" s="62" t="n"/>
      <c r="N131" s="62" t="n"/>
      <c r="O131" s="62" t="n"/>
      <c r="P131" s="62" t="n"/>
      <c r="Q131" s="58" t="n"/>
      <c r="R131" s="66">
        <f>IF(AND(tblSafety[[#This Row],[Hours_Employees]]="",tblSafety[[#This Row],[Hours_Contractors]]=""),"",N(tblSafety[[#This Row],[Hours_Employees]])+N(tblSafety[[#This Row],[Hours_Contractors]]))</f>
        <v/>
      </c>
      <c r="S131" s="64">
        <f>IF(AND(tblSafety[[#This Row],[Fatality]]="",tblSafety[[#This Row],[LTI]]="",tblSafety[[#This Row],[RWI]]="",tblSafety[[#This Row],[MTI]]=""),"",N(tblSafety[[#This Row],[Fatality]])+N(tblSafety[[#This Row],[LTI]])+N(tblSafety[[#This Row],[RWI]])+N(tblSafety[[#This Row],[MTI]]))</f>
        <v/>
      </c>
    </row>
    <row r="132">
      <c r="A132" s="54" t="n">
        <v>46149</v>
      </c>
      <c r="B132" s="57" t="n"/>
      <c r="C132" s="57" t="n"/>
      <c r="D132" s="62" t="n"/>
      <c r="E132" s="62" t="n"/>
      <c r="F132" s="62" t="n"/>
      <c r="G132" s="62" t="n"/>
      <c r="H132" s="62" t="n"/>
      <c r="I132" s="62" t="n"/>
      <c r="J132" s="62" t="n"/>
      <c r="K132" s="62" t="n"/>
      <c r="L132" s="62" t="n"/>
      <c r="M132" s="62" t="n"/>
      <c r="N132" s="62" t="n"/>
      <c r="O132" s="62" t="n"/>
      <c r="P132" s="62" t="n"/>
      <c r="Q132" s="58" t="n"/>
      <c r="R132" s="66">
        <f>IF(AND(tblSafety[[#This Row],[Hours_Employees]]="",tblSafety[[#This Row],[Hours_Contractors]]=""),"",N(tblSafety[[#This Row],[Hours_Employees]])+N(tblSafety[[#This Row],[Hours_Contractors]]))</f>
        <v/>
      </c>
      <c r="S132" s="64">
        <f>IF(AND(tblSafety[[#This Row],[Fatality]]="",tblSafety[[#This Row],[LTI]]="",tblSafety[[#This Row],[RWI]]="",tblSafety[[#This Row],[MTI]]=""),"",N(tblSafety[[#This Row],[Fatality]])+N(tblSafety[[#This Row],[LTI]])+N(tblSafety[[#This Row],[RWI]])+N(tblSafety[[#This Row],[MTI]]))</f>
        <v/>
      </c>
    </row>
    <row r="133">
      <c r="A133" s="54" t="n">
        <v>46150</v>
      </c>
      <c r="B133" s="57" t="n"/>
      <c r="C133" s="57" t="n"/>
      <c r="D133" s="62" t="n"/>
      <c r="E133" s="62" t="n"/>
      <c r="F133" s="62" t="n"/>
      <c r="G133" s="62" t="n"/>
      <c r="H133" s="62" t="n"/>
      <c r="I133" s="62" t="n"/>
      <c r="J133" s="62" t="n"/>
      <c r="K133" s="62" t="n"/>
      <c r="L133" s="62" t="n"/>
      <c r="M133" s="62" t="n"/>
      <c r="N133" s="62" t="n"/>
      <c r="O133" s="62" t="n"/>
      <c r="P133" s="62" t="n"/>
      <c r="Q133" s="58" t="n"/>
      <c r="R133" s="66">
        <f>IF(AND(tblSafety[[#This Row],[Hours_Employees]]="",tblSafety[[#This Row],[Hours_Contractors]]=""),"",N(tblSafety[[#This Row],[Hours_Employees]])+N(tblSafety[[#This Row],[Hours_Contractors]]))</f>
        <v/>
      </c>
      <c r="S133" s="64">
        <f>IF(AND(tblSafety[[#This Row],[Fatality]]="",tblSafety[[#This Row],[LTI]]="",tblSafety[[#This Row],[RWI]]="",tblSafety[[#This Row],[MTI]]=""),"",N(tblSafety[[#This Row],[Fatality]])+N(tblSafety[[#This Row],[LTI]])+N(tblSafety[[#This Row],[RWI]])+N(tblSafety[[#This Row],[MTI]]))</f>
        <v/>
      </c>
    </row>
    <row r="134">
      <c r="A134" s="54" t="n">
        <v>46151</v>
      </c>
      <c r="B134" s="57" t="n"/>
      <c r="C134" s="57" t="n"/>
      <c r="D134" s="62" t="n"/>
      <c r="E134" s="62" t="n"/>
      <c r="F134" s="62" t="n"/>
      <c r="G134" s="62" t="n"/>
      <c r="H134" s="62" t="n"/>
      <c r="I134" s="62" t="n"/>
      <c r="J134" s="62" t="n"/>
      <c r="K134" s="62" t="n"/>
      <c r="L134" s="62" t="n"/>
      <c r="M134" s="62" t="n"/>
      <c r="N134" s="62" t="n"/>
      <c r="O134" s="62" t="n"/>
      <c r="P134" s="62" t="n"/>
      <c r="Q134" s="58" t="n"/>
      <c r="R134" s="66">
        <f>IF(AND(tblSafety[[#This Row],[Hours_Employees]]="",tblSafety[[#This Row],[Hours_Contractors]]=""),"",N(tblSafety[[#This Row],[Hours_Employees]])+N(tblSafety[[#This Row],[Hours_Contractors]]))</f>
        <v/>
      </c>
      <c r="S134" s="64">
        <f>IF(AND(tblSafety[[#This Row],[Fatality]]="",tblSafety[[#This Row],[LTI]]="",tblSafety[[#This Row],[RWI]]="",tblSafety[[#This Row],[MTI]]=""),"",N(tblSafety[[#This Row],[Fatality]])+N(tblSafety[[#This Row],[LTI]])+N(tblSafety[[#This Row],[RWI]])+N(tblSafety[[#This Row],[MTI]]))</f>
        <v/>
      </c>
    </row>
    <row r="135">
      <c r="A135" s="54" t="n">
        <v>46152</v>
      </c>
      <c r="B135" s="57" t="n"/>
      <c r="C135" s="57" t="n"/>
      <c r="D135" s="62" t="n"/>
      <c r="E135" s="62" t="n"/>
      <c r="F135" s="62" t="n"/>
      <c r="G135" s="62" t="n"/>
      <c r="H135" s="62" t="n"/>
      <c r="I135" s="62" t="n"/>
      <c r="J135" s="62" t="n"/>
      <c r="K135" s="62" t="n"/>
      <c r="L135" s="62" t="n"/>
      <c r="M135" s="62" t="n"/>
      <c r="N135" s="62" t="n"/>
      <c r="O135" s="62" t="n"/>
      <c r="P135" s="62" t="n"/>
      <c r="Q135" s="58" t="n"/>
      <c r="R135" s="66">
        <f>IF(AND(tblSafety[[#This Row],[Hours_Employees]]="",tblSafety[[#This Row],[Hours_Contractors]]=""),"",N(tblSafety[[#This Row],[Hours_Employees]])+N(tblSafety[[#This Row],[Hours_Contractors]]))</f>
        <v/>
      </c>
      <c r="S135" s="64">
        <f>IF(AND(tblSafety[[#This Row],[Fatality]]="",tblSafety[[#This Row],[LTI]]="",tblSafety[[#This Row],[RWI]]="",tblSafety[[#This Row],[MTI]]=""),"",N(tblSafety[[#This Row],[Fatality]])+N(tblSafety[[#This Row],[LTI]])+N(tblSafety[[#This Row],[RWI]])+N(tblSafety[[#This Row],[MTI]]))</f>
        <v/>
      </c>
    </row>
    <row r="136">
      <c r="A136" s="54" t="n">
        <v>46153</v>
      </c>
      <c r="B136" s="57" t="n"/>
      <c r="C136" s="57" t="n"/>
      <c r="D136" s="62" t="n"/>
      <c r="E136" s="62" t="n"/>
      <c r="F136" s="62" t="n"/>
      <c r="G136" s="62" t="n"/>
      <c r="H136" s="62" t="n"/>
      <c r="I136" s="62" t="n"/>
      <c r="J136" s="62" t="n"/>
      <c r="K136" s="62" t="n"/>
      <c r="L136" s="62" t="n"/>
      <c r="M136" s="62" t="n"/>
      <c r="N136" s="62" t="n"/>
      <c r="O136" s="62" t="n"/>
      <c r="P136" s="62" t="n"/>
      <c r="Q136" s="58" t="n"/>
      <c r="R136" s="66">
        <f>IF(AND(tblSafety[[#This Row],[Hours_Employees]]="",tblSafety[[#This Row],[Hours_Contractors]]=""),"",N(tblSafety[[#This Row],[Hours_Employees]])+N(tblSafety[[#This Row],[Hours_Contractors]]))</f>
        <v/>
      </c>
      <c r="S136" s="64">
        <f>IF(AND(tblSafety[[#This Row],[Fatality]]="",tblSafety[[#This Row],[LTI]]="",tblSafety[[#This Row],[RWI]]="",tblSafety[[#This Row],[MTI]]=""),"",N(tblSafety[[#This Row],[Fatality]])+N(tblSafety[[#This Row],[LTI]])+N(tblSafety[[#This Row],[RWI]])+N(tblSafety[[#This Row],[MTI]]))</f>
        <v/>
      </c>
    </row>
    <row r="137">
      <c r="A137" s="54" t="n">
        <v>46154</v>
      </c>
      <c r="B137" s="57" t="n"/>
      <c r="C137" s="57" t="n"/>
      <c r="D137" s="62" t="n"/>
      <c r="E137" s="62" t="n"/>
      <c r="F137" s="62" t="n"/>
      <c r="G137" s="62" t="n"/>
      <c r="H137" s="62" t="n"/>
      <c r="I137" s="62" t="n"/>
      <c r="J137" s="62" t="n"/>
      <c r="K137" s="62" t="n"/>
      <c r="L137" s="62" t="n"/>
      <c r="M137" s="62" t="n"/>
      <c r="N137" s="62" t="n"/>
      <c r="O137" s="62" t="n"/>
      <c r="P137" s="62" t="n"/>
      <c r="Q137" s="58" t="n"/>
      <c r="R137" s="66">
        <f>IF(AND(tblSafety[[#This Row],[Hours_Employees]]="",tblSafety[[#This Row],[Hours_Contractors]]=""),"",N(tblSafety[[#This Row],[Hours_Employees]])+N(tblSafety[[#This Row],[Hours_Contractors]]))</f>
        <v/>
      </c>
      <c r="S137" s="64">
        <f>IF(AND(tblSafety[[#This Row],[Fatality]]="",tblSafety[[#This Row],[LTI]]="",tblSafety[[#This Row],[RWI]]="",tblSafety[[#This Row],[MTI]]=""),"",N(tblSafety[[#This Row],[Fatality]])+N(tblSafety[[#This Row],[LTI]])+N(tblSafety[[#This Row],[RWI]])+N(tblSafety[[#This Row],[MTI]]))</f>
        <v/>
      </c>
    </row>
    <row r="138">
      <c r="A138" s="54" t="n">
        <v>46155</v>
      </c>
      <c r="B138" s="57" t="n"/>
      <c r="C138" s="57" t="n"/>
      <c r="D138" s="62" t="n"/>
      <c r="E138" s="62" t="n"/>
      <c r="F138" s="62" t="n"/>
      <c r="G138" s="62" t="n"/>
      <c r="H138" s="62" t="n"/>
      <c r="I138" s="62" t="n"/>
      <c r="J138" s="62" t="n"/>
      <c r="K138" s="62" t="n"/>
      <c r="L138" s="62" t="n"/>
      <c r="M138" s="62" t="n"/>
      <c r="N138" s="62" t="n"/>
      <c r="O138" s="62" t="n"/>
      <c r="P138" s="62" t="n"/>
      <c r="Q138" s="58" t="n"/>
      <c r="R138" s="66">
        <f>IF(AND(tblSafety[[#This Row],[Hours_Employees]]="",tblSafety[[#This Row],[Hours_Contractors]]=""),"",N(tblSafety[[#This Row],[Hours_Employees]])+N(tblSafety[[#This Row],[Hours_Contractors]]))</f>
        <v/>
      </c>
      <c r="S138" s="64">
        <f>IF(AND(tblSafety[[#This Row],[Fatality]]="",tblSafety[[#This Row],[LTI]]="",tblSafety[[#This Row],[RWI]]="",tblSafety[[#This Row],[MTI]]=""),"",N(tblSafety[[#This Row],[Fatality]])+N(tblSafety[[#This Row],[LTI]])+N(tblSafety[[#This Row],[RWI]])+N(tblSafety[[#This Row],[MTI]]))</f>
        <v/>
      </c>
    </row>
    <row r="139">
      <c r="A139" s="54" t="n">
        <v>46156</v>
      </c>
      <c r="B139" s="57" t="n"/>
      <c r="C139" s="57" t="n"/>
      <c r="D139" s="62" t="n"/>
      <c r="E139" s="62" t="n"/>
      <c r="F139" s="62" t="n"/>
      <c r="G139" s="62" t="n"/>
      <c r="H139" s="62" t="n"/>
      <c r="I139" s="62" t="n"/>
      <c r="J139" s="62" t="n"/>
      <c r="K139" s="62" t="n"/>
      <c r="L139" s="62" t="n"/>
      <c r="M139" s="62" t="n"/>
      <c r="N139" s="62" t="n"/>
      <c r="O139" s="62" t="n"/>
      <c r="P139" s="62" t="n"/>
      <c r="Q139" s="58" t="n"/>
      <c r="R139" s="66">
        <f>IF(AND(tblSafety[[#This Row],[Hours_Employees]]="",tblSafety[[#This Row],[Hours_Contractors]]=""),"",N(tblSafety[[#This Row],[Hours_Employees]])+N(tblSafety[[#This Row],[Hours_Contractors]]))</f>
        <v/>
      </c>
      <c r="S139" s="64">
        <f>IF(AND(tblSafety[[#This Row],[Fatality]]="",tblSafety[[#This Row],[LTI]]="",tblSafety[[#This Row],[RWI]]="",tblSafety[[#This Row],[MTI]]=""),"",N(tblSafety[[#This Row],[Fatality]])+N(tblSafety[[#This Row],[LTI]])+N(tblSafety[[#This Row],[RWI]])+N(tblSafety[[#This Row],[MTI]]))</f>
        <v/>
      </c>
    </row>
    <row r="140">
      <c r="A140" s="54" t="n">
        <v>46157</v>
      </c>
      <c r="B140" s="57" t="n"/>
      <c r="C140" s="57" t="n"/>
      <c r="D140" s="62" t="n"/>
      <c r="E140" s="62" t="n"/>
      <c r="F140" s="62" t="n"/>
      <c r="G140" s="62" t="n"/>
      <c r="H140" s="62" t="n"/>
      <c r="I140" s="62" t="n"/>
      <c r="J140" s="62" t="n"/>
      <c r="K140" s="62" t="n"/>
      <c r="L140" s="62" t="n"/>
      <c r="M140" s="62" t="n"/>
      <c r="N140" s="62" t="n"/>
      <c r="O140" s="62" t="n"/>
      <c r="P140" s="62" t="n"/>
      <c r="Q140" s="58" t="n"/>
      <c r="R140" s="66">
        <f>IF(AND(tblSafety[[#This Row],[Hours_Employees]]="",tblSafety[[#This Row],[Hours_Contractors]]=""),"",N(tblSafety[[#This Row],[Hours_Employees]])+N(tblSafety[[#This Row],[Hours_Contractors]]))</f>
        <v/>
      </c>
      <c r="S140" s="64">
        <f>IF(AND(tblSafety[[#This Row],[Fatality]]="",tblSafety[[#This Row],[LTI]]="",tblSafety[[#This Row],[RWI]]="",tblSafety[[#This Row],[MTI]]=""),"",N(tblSafety[[#This Row],[Fatality]])+N(tblSafety[[#This Row],[LTI]])+N(tblSafety[[#This Row],[RWI]])+N(tblSafety[[#This Row],[MTI]]))</f>
        <v/>
      </c>
    </row>
    <row r="141">
      <c r="A141" s="54" t="n">
        <v>46158</v>
      </c>
      <c r="B141" s="57" t="n"/>
      <c r="C141" s="57" t="n"/>
      <c r="D141" s="62" t="n"/>
      <c r="E141" s="62" t="n"/>
      <c r="F141" s="62" t="n"/>
      <c r="G141" s="62" t="n"/>
      <c r="H141" s="62" t="n"/>
      <c r="I141" s="62" t="n"/>
      <c r="J141" s="62" t="n"/>
      <c r="K141" s="62" t="n"/>
      <c r="L141" s="62" t="n"/>
      <c r="M141" s="62" t="n"/>
      <c r="N141" s="62" t="n"/>
      <c r="O141" s="62" t="n"/>
      <c r="P141" s="62" t="n"/>
      <c r="Q141" s="58" t="n"/>
      <c r="R141" s="66">
        <f>IF(AND(tblSafety[[#This Row],[Hours_Employees]]="",tblSafety[[#This Row],[Hours_Contractors]]=""),"",N(tblSafety[[#This Row],[Hours_Employees]])+N(tblSafety[[#This Row],[Hours_Contractors]]))</f>
        <v/>
      </c>
      <c r="S141" s="64">
        <f>IF(AND(tblSafety[[#This Row],[Fatality]]="",tblSafety[[#This Row],[LTI]]="",tblSafety[[#This Row],[RWI]]="",tblSafety[[#This Row],[MTI]]=""),"",N(tblSafety[[#This Row],[Fatality]])+N(tblSafety[[#This Row],[LTI]])+N(tblSafety[[#This Row],[RWI]])+N(tblSafety[[#This Row],[MTI]]))</f>
        <v/>
      </c>
    </row>
    <row r="142">
      <c r="A142" s="54" t="n">
        <v>46159</v>
      </c>
      <c r="B142" s="57" t="n"/>
      <c r="C142" s="57" t="n"/>
      <c r="D142" s="62" t="n"/>
      <c r="E142" s="62" t="n"/>
      <c r="F142" s="62" t="n"/>
      <c r="G142" s="62" t="n"/>
      <c r="H142" s="62" t="n"/>
      <c r="I142" s="62" t="n"/>
      <c r="J142" s="62" t="n"/>
      <c r="K142" s="62" t="n"/>
      <c r="L142" s="62" t="n"/>
      <c r="M142" s="62" t="n"/>
      <c r="N142" s="62" t="n"/>
      <c r="O142" s="62" t="n"/>
      <c r="P142" s="62" t="n"/>
      <c r="Q142" s="58" t="n"/>
      <c r="R142" s="66">
        <f>IF(AND(tblSafety[[#This Row],[Hours_Employees]]="",tblSafety[[#This Row],[Hours_Contractors]]=""),"",N(tblSafety[[#This Row],[Hours_Employees]])+N(tblSafety[[#This Row],[Hours_Contractors]]))</f>
        <v/>
      </c>
      <c r="S142" s="64">
        <f>IF(AND(tblSafety[[#This Row],[Fatality]]="",tblSafety[[#This Row],[LTI]]="",tblSafety[[#This Row],[RWI]]="",tblSafety[[#This Row],[MTI]]=""),"",N(tblSafety[[#This Row],[Fatality]])+N(tblSafety[[#This Row],[LTI]])+N(tblSafety[[#This Row],[RWI]])+N(tblSafety[[#This Row],[MTI]]))</f>
        <v/>
      </c>
    </row>
    <row r="143">
      <c r="A143" s="54" t="n">
        <v>46160</v>
      </c>
      <c r="B143" s="57" t="n"/>
      <c r="C143" s="57" t="n"/>
      <c r="D143" s="62" t="n"/>
      <c r="E143" s="62" t="n"/>
      <c r="F143" s="62" t="n"/>
      <c r="G143" s="62" t="n"/>
      <c r="H143" s="62" t="n"/>
      <c r="I143" s="62" t="n"/>
      <c r="J143" s="62" t="n"/>
      <c r="K143" s="62" t="n"/>
      <c r="L143" s="62" t="n"/>
      <c r="M143" s="62" t="n"/>
      <c r="N143" s="62" t="n"/>
      <c r="O143" s="62" t="n"/>
      <c r="P143" s="62" t="n"/>
      <c r="Q143" s="58" t="n"/>
      <c r="R143" s="66">
        <f>IF(AND(tblSafety[[#This Row],[Hours_Employees]]="",tblSafety[[#This Row],[Hours_Contractors]]=""),"",N(tblSafety[[#This Row],[Hours_Employees]])+N(tblSafety[[#This Row],[Hours_Contractors]]))</f>
        <v/>
      </c>
      <c r="S143" s="64">
        <f>IF(AND(tblSafety[[#This Row],[Fatality]]="",tblSafety[[#This Row],[LTI]]="",tblSafety[[#This Row],[RWI]]="",tblSafety[[#This Row],[MTI]]=""),"",N(tblSafety[[#This Row],[Fatality]])+N(tblSafety[[#This Row],[LTI]])+N(tblSafety[[#This Row],[RWI]])+N(tblSafety[[#This Row],[MTI]]))</f>
        <v/>
      </c>
    </row>
    <row r="144">
      <c r="A144" s="54" t="n">
        <v>46161</v>
      </c>
      <c r="B144" s="57" t="n"/>
      <c r="C144" s="57" t="n"/>
      <c r="D144" s="62" t="n"/>
      <c r="E144" s="62" t="n"/>
      <c r="F144" s="62" t="n"/>
      <c r="G144" s="62" t="n"/>
      <c r="H144" s="62" t="n"/>
      <c r="I144" s="62" t="n"/>
      <c r="J144" s="62" t="n"/>
      <c r="K144" s="62" t="n"/>
      <c r="L144" s="62" t="n"/>
      <c r="M144" s="62" t="n"/>
      <c r="N144" s="62" t="n"/>
      <c r="O144" s="62" t="n"/>
      <c r="P144" s="62" t="n"/>
      <c r="Q144" s="58" t="n"/>
      <c r="R144" s="66">
        <f>IF(AND(tblSafety[[#This Row],[Hours_Employees]]="",tblSafety[[#This Row],[Hours_Contractors]]=""),"",N(tblSafety[[#This Row],[Hours_Employees]])+N(tblSafety[[#This Row],[Hours_Contractors]]))</f>
        <v/>
      </c>
      <c r="S144" s="64">
        <f>IF(AND(tblSafety[[#This Row],[Fatality]]="",tblSafety[[#This Row],[LTI]]="",tblSafety[[#This Row],[RWI]]="",tblSafety[[#This Row],[MTI]]=""),"",N(tblSafety[[#This Row],[Fatality]])+N(tblSafety[[#This Row],[LTI]])+N(tblSafety[[#This Row],[RWI]])+N(tblSafety[[#This Row],[MTI]]))</f>
        <v/>
      </c>
    </row>
    <row r="145">
      <c r="A145" s="54" t="n">
        <v>46162</v>
      </c>
      <c r="B145" s="57" t="n"/>
      <c r="C145" s="57" t="n"/>
      <c r="D145" s="62" t="n"/>
      <c r="E145" s="62" t="n"/>
      <c r="F145" s="62" t="n"/>
      <c r="G145" s="62" t="n"/>
      <c r="H145" s="62" t="n"/>
      <c r="I145" s="62" t="n"/>
      <c r="J145" s="62" t="n"/>
      <c r="K145" s="62" t="n"/>
      <c r="L145" s="62" t="n"/>
      <c r="M145" s="62" t="n"/>
      <c r="N145" s="62" t="n"/>
      <c r="O145" s="62" t="n"/>
      <c r="P145" s="62" t="n"/>
      <c r="Q145" s="58" t="n"/>
      <c r="R145" s="66">
        <f>IF(AND(tblSafety[[#This Row],[Hours_Employees]]="",tblSafety[[#This Row],[Hours_Contractors]]=""),"",N(tblSafety[[#This Row],[Hours_Employees]])+N(tblSafety[[#This Row],[Hours_Contractors]]))</f>
        <v/>
      </c>
      <c r="S145" s="64">
        <f>IF(AND(tblSafety[[#This Row],[Fatality]]="",tblSafety[[#This Row],[LTI]]="",tblSafety[[#This Row],[RWI]]="",tblSafety[[#This Row],[MTI]]=""),"",N(tblSafety[[#This Row],[Fatality]])+N(tblSafety[[#This Row],[LTI]])+N(tblSafety[[#This Row],[RWI]])+N(tblSafety[[#This Row],[MTI]]))</f>
        <v/>
      </c>
    </row>
    <row r="146">
      <c r="A146" s="54" t="n">
        <v>46163</v>
      </c>
      <c r="B146" s="57" t="n"/>
      <c r="C146" s="57" t="n"/>
      <c r="D146" s="62" t="n"/>
      <c r="E146" s="62" t="n"/>
      <c r="F146" s="62" t="n"/>
      <c r="G146" s="62" t="n"/>
      <c r="H146" s="62" t="n"/>
      <c r="I146" s="62" t="n"/>
      <c r="J146" s="62" t="n"/>
      <c r="K146" s="62" t="n"/>
      <c r="L146" s="62" t="n"/>
      <c r="M146" s="62" t="n"/>
      <c r="N146" s="62" t="n"/>
      <c r="O146" s="62" t="n"/>
      <c r="P146" s="62" t="n"/>
      <c r="Q146" s="58" t="n"/>
      <c r="R146" s="66">
        <f>IF(AND(tblSafety[[#This Row],[Hours_Employees]]="",tblSafety[[#This Row],[Hours_Contractors]]=""),"",N(tblSafety[[#This Row],[Hours_Employees]])+N(tblSafety[[#This Row],[Hours_Contractors]]))</f>
        <v/>
      </c>
      <c r="S146" s="64">
        <f>IF(AND(tblSafety[[#This Row],[Fatality]]="",tblSafety[[#This Row],[LTI]]="",tblSafety[[#This Row],[RWI]]="",tblSafety[[#This Row],[MTI]]=""),"",N(tblSafety[[#This Row],[Fatality]])+N(tblSafety[[#This Row],[LTI]])+N(tblSafety[[#This Row],[RWI]])+N(tblSafety[[#This Row],[MTI]]))</f>
        <v/>
      </c>
    </row>
    <row r="147">
      <c r="A147" s="54" t="n">
        <v>46164</v>
      </c>
      <c r="B147" s="57" t="n"/>
      <c r="C147" s="57" t="n"/>
      <c r="D147" s="62" t="n"/>
      <c r="E147" s="62" t="n"/>
      <c r="F147" s="62" t="n"/>
      <c r="G147" s="62" t="n"/>
      <c r="H147" s="62" t="n"/>
      <c r="I147" s="62" t="n"/>
      <c r="J147" s="62" t="n"/>
      <c r="K147" s="62" t="n"/>
      <c r="L147" s="62" t="n"/>
      <c r="M147" s="62" t="n"/>
      <c r="N147" s="62" t="n"/>
      <c r="O147" s="62" t="n"/>
      <c r="P147" s="62" t="n"/>
      <c r="Q147" s="58" t="n"/>
      <c r="R147" s="66">
        <f>IF(AND(tblSafety[[#This Row],[Hours_Employees]]="",tblSafety[[#This Row],[Hours_Contractors]]=""),"",N(tblSafety[[#This Row],[Hours_Employees]])+N(tblSafety[[#This Row],[Hours_Contractors]]))</f>
        <v/>
      </c>
      <c r="S147" s="64">
        <f>IF(AND(tblSafety[[#This Row],[Fatality]]="",tblSafety[[#This Row],[LTI]]="",tblSafety[[#This Row],[RWI]]="",tblSafety[[#This Row],[MTI]]=""),"",N(tblSafety[[#This Row],[Fatality]])+N(tblSafety[[#This Row],[LTI]])+N(tblSafety[[#This Row],[RWI]])+N(tblSafety[[#This Row],[MTI]]))</f>
        <v/>
      </c>
    </row>
    <row r="148">
      <c r="A148" s="54" t="n">
        <v>46165</v>
      </c>
      <c r="B148" s="57" t="n"/>
      <c r="C148" s="57" t="n"/>
      <c r="D148" s="62" t="n"/>
      <c r="E148" s="62" t="n"/>
      <c r="F148" s="62" t="n"/>
      <c r="G148" s="62" t="n"/>
      <c r="H148" s="62" t="n"/>
      <c r="I148" s="62" t="n"/>
      <c r="J148" s="62" t="n"/>
      <c r="K148" s="62" t="n"/>
      <c r="L148" s="62" t="n"/>
      <c r="M148" s="62" t="n"/>
      <c r="N148" s="62" t="n"/>
      <c r="O148" s="62" t="n"/>
      <c r="P148" s="62" t="n"/>
      <c r="Q148" s="58" t="n"/>
      <c r="R148" s="66">
        <f>IF(AND(tblSafety[[#This Row],[Hours_Employees]]="",tblSafety[[#This Row],[Hours_Contractors]]=""),"",N(tblSafety[[#This Row],[Hours_Employees]])+N(tblSafety[[#This Row],[Hours_Contractors]]))</f>
        <v/>
      </c>
      <c r="S148" s="64">
        <f>IF(AND(tblSafety[[#This Row],[Fatality]]="",tblSafety[[#This Row],[LTI]]="",tblSafety[[#This Row],[RWI]]="",tblSafety[[#This Row],[MTI]]=""),"",N(tblSafety[[#This Row],[Fatality]])+N(tblSafety[[#This Row],[LTI]])+N(tblSafety[[#This Row],[RWI]])+N(tblSafety[[#This Row],[MTI]]))</f>
        <v/>
      </c>
    </row>
    <row r="149">
      <c r="A149" s="54" t="n">
        <v>46166</v>
      </c>
      <c r="B149" s="57" t="n"/>
      <c r="C149" s="57" t="n"/>
      <c r="D149" s="62" t="n"/>
      <c r="E149" s="62" t="n"/>
      <c r="F149" s="62" t="n"/>
      <c r="G149" s="62" t="n"/>
      <c r="H149" s="62" t="n"/>
      <c r="I149" s="62" t="n"/>
      <c r="J149" s="62" t="n"/>
      <c r="K149" s="62" t="n"/>
      <c r="L149" s="62" t="n"/>
      <c r="M149" s="62" t="n"/>
      <c r="N149" s="62" t="n"/>
      <c r="O149" s="62" t="n"/>
      <c r="P149" s="62" t="n"/>
      <c r="Q149" s="58" t="n"/>
      <c r="R149" s="66">
        <f>IF(AND(tblSafety[[#This Row],[Hours_Employees]]="",tblSafety[[#This Row],[Hours_Contractors]]=""),"",N(tblSafety[[#This Row],[Hours_Employees]])+N(tblSafety[[#This Row],[Hours_Contractors]]))</f>
        <v/>
      </c>
      <c r="S149" s="64">
        <f>IF(AND(tblSafety[[#This Row],[Fatality]]="",tblSafety[[#This Row],[LTI]]="",tblSafety[[#This Row],[RWI]]="",tblSafety[[#This Row],[MTI]]=""),"",N(tblSafety[[#This Row],[Fatality]])+N(tblSafety[[#This Row],[LTI]])+N(tblSafety[[#This Row],[RWI]])+N(tblSafety[[#This Row],[MTI]]))</f>
        <v/>
      </c>
    </row>
    <row r="150">
      <c r="A150" s="54" t="n">
        <v>46167</v>
      </c>
      <c r="B150" s="57" t="n"/>
      <c r="C150" s="57" t="n"/>
      <c r="D150" s="62" t="n"/>
      <c r="E150" s="62" t="n"/>
      <c r="F150" s="62" t="n"/>
      <c r="G150" s="62" t="n"/>
      <c r="H150" s="62" t="n"/>
      <c r="I150" s="62" t="n"/>
      <c r="J150" s="62" t="n"/>
      <c r="K150" s="62" t="n"/>
      <c r="L150" s="62" t="n"/>
      <c r="M150" s="62" t="n"/>
      <c r="N150" s="62" t="n"/>
      <c r="O150" s="62" t="n"/>
      <c r="P150" s="62" t="n"/>
      <c r="Q150" s="58" t="n"/>
      <c r="R150" s="66">
        <f>IF(AND(tblSafety[[#This Row],[Hours_Employees]]="",tblSafety[[#This Row],[Hours_Contractors]]=""),"",N(tblSafety[[#This Row],[Hours_Employees]])+N(tblSafety[[#This Row],[Hours_Contractors]]))</f>
        <v/>
      </c>
      <c r="S150" s="64">
        <f>IF(AND(tblSafety[[#This Row],[Fatality]]="",tblSafety[[#This Row],[LTI]]="",tblSafety[[#This Row],[RWI]]="",tblSafety[[#This Row],[MTI]]=""),"",N(tblSafety[[#This Row],[Fatality]])+N(tblSafety[[#This Row],[LTI]])+N(tblSafety[[#This Row],[RWI]])+N(tblSafety[[#This Row],[MTI]]))</f>
        <v/>
      </c>
    </row>
    <row r="151">
      <c r="A151" s="54" t="n">
        <v>46168</v>
      </c>
      <c r="B151" s="57" t="n"/>
      <c r="C151" s="57" t="n"/>
      <c r="D151" s="62" t="n"/>
      <c r="E151" s="62" t="n"/>
      <c r="F151" s="62" t="n"/>
      <c r="G151" s="62" t="n"/>
      <c r="H151" s="62" t="n"/>
      <c r="I151" s="62" t="n"/>
      <c r="J151" s="62" t="n"/>
      <c r="K151" s="62" t="n"/>
      <c r="L151" s="62" t="n"/>
      <c r="M151" s="62" t="n"/>
      <c r="N151" s="62" t="n"/>
      <c r="O151" s="62" t="n"/>
      <c r="P151" s="62" t="n"/>
      <c r="Q151" s="58" t="n"/>
      <c r="R151" s="66">
        <f>IF(AND(tblSafety[[#This Row],[Hours_Employees]]="",tblSafety[[#This Row],[Hours_Contractors]]=""),"",N(tblSafety[[#This Row],[Hours_Employees]])+N(tblSafety[[#This Row],[Hours_Contractors]]))</f>
        <v/>
      </c>
      <c r="S151" s="64">
        <f>IF(AND(tblSafety[[#This Row],[Fatality]]="",tblSafety[[#This Row],[LTI]]="",tblSafety[[#This Row],[RWI]]="",tblSafety[[#This Row],[MTI]]=""),"",N(tblSafety[[#This Row],[Fatality]])+N(tblSafety[[#This Row],[LTI]])+N(tblSafety[[#This Row],[RWI]])+N(tblSafety[[#This Row],[MTI]]))</f>
        <v/>
      </c>
    </row>
    <row r="152">
      <c r="A152" s="54" t="n">
        <v>46169</v>
      </c>
      <c r="B152" s="57" t="n"/>
      <c r="C152" s="57" t="n"/>
      <c r="D152" s="62" t="n"/>
      <c r="E152" s="62" t="n"/>
      <c r="F152" s="62" t="n"/>
      <c r="G152" s="62" t="n"/>
      <c r="H152" s="62" t="n"/>
      <c r="I152" s="62" t="n"/>
      <c r="J152" s="62" t="n"/>
      <c r="K152" s="62" t="n"/>
      <c r="L152" s="62" t="n"/>
      <c r="M152" s="62" t="n"/>
      <c r="N152" s="62" t="n"/>
      <c r="O152" s="62" t="n"/>
      <c r="P152" s="62" t="n"/>
      <c r="Q152" s="58" t="n"/>
      <c r="R152" s="66">
        <f>IF(AND(tblSafety[[#This Row],[Hours_Employees]]="",tblSafety[[#This Row],[Hours_Contractors]]=""),"",N(tblSafety[[#This Row],[Hours_Employees]])+N(tblSafety[[#This Row],[Hours_Contractors]]))</f>
        <v/>
      </c>
      <c r="S152" s="64">
        <f>IF(AND(tblSafety[[#This Row],[Fatality]]="",tblSafety[[#This Row],[LTI]]="",tblSafety[[#This Row],[RWI]]="",tblSafety[[#This Row],[MTI]]=""),"",N(tblSafety[[#This Row],[Fatality]])+N(tblSafety[[#This Row],[LTI]])+N(tblSafety[[#This Row],[RWI]])+N(tblSafety[[#This Row],[MTI]]))</f>
        <v/>
      </c>
    </row>
    <row r="153">
      <c r="A153" s="54" t="n">
        <v>46170</v>
      </c>
      <c r="B153" s="57" t="n"/>
      <c r="C153" s="57" t="n"/>
      <c r="D153" s="62" t="n"/>
      <c r="E153" s="62" t="n"/>
      <c r="F153" s="62" t="n"/>
      <c r="G153" s="62" t="n"/>
      <c r="H153" s="62" t="n"/>
      <c r="I153" s="62" t="n"/>
      <c r="J153" s="62" t="n"/>
      <c r="K153" s="62" t="n"/>
      <c r="L153" s="62" t="n"/>
      <c r="M153" s="62" t="n"/>
      <c r="N153" s="62" t="n"/>
      <c r="O153" s="62" t="n"/>
      <c r="P153" s="62" t="n"/>
      <c r="Q153" s="58" t="n"/>
      <c r="R153" s="66">
        <f>IF(AND(tblSafety[[#This Row],[Hours_Employees]]="",tblSafety[[#This Row],[Hours_Contractors]]=""),"",N(tblSafety[[#This Row],[Hours_Employees]])+N(tblSafety[[#This Row],[Hours_Contractors]]))</f>
        <v/>
      </c>
      <c r="S153" s="64">
        <f>IF(AND(tblSafety[[#This Row],[Fatality]]="",tblSafety[[#This Row],[LTI]]="",tblSafety[[#This Row],[RWI]]="",tblSafety[[#This Row],[MTI]]=""),"",N(tblSafety[[#This Row],[Fatality]])+N(tblSafety[[#This Row],[LTI]])+N(tblSafety[[#This Row],[RWI]])+N(tblSafety[[#This Row],[MTI]]))</f>
        <v/>
      </c>
    </row>
    <row r="154">
      <c r="A154" s="54" t="n">
        <v>46171</v>
      </c>
      <c r="B154" s="57" t="n"/>
      <c r="C154" s="57" t="n"/>
      <c r="D154" s="62" t="n"/>
      <c r="E154" s="62" t="n"/>
      <c r="F154" s="62" t="n"/>
      <c r="G154" s="62" t="n"/>
      <c r="H154" s="62" t="n"/>
      <c r="I154" s="62" t="n"/>
      <c r="J154" s="62" t="n"/>
      <c r="K154" s="62" t="n"/>
      <c r="L154" s="62" t="n"/>
      <c r="M154" s="62" t="n"/>
      <c r="N154" s="62" t="n"/>
      <c r="O154" s="62" t="n"/>
      <c r="P154" s="62" t="n"/>
      <c r="Q154" s="58" t="n"/>
      <c r="R154" s="66">
        <f>IF(AND(tblSafety[[#This Row],[Hours_Employees]]="",tblSafety[[#This Row],[Hours_Contractors]]=""),"",N(tblSafety[[#This Row],[Hours_Employees]])+N(tblSafety[[#This Row],[Hours_Contractors]]))</f>
        <v/>
      </c>
      <c r="S154" s="64">
        <f>IF(AND(tblSafety[[#This Row],[Fatality]]="",tblSafety[[#This Row],[LTI]]="",tblSafety[[#This Row],[RWI]]="",tblSafety[[#This Row],[MTI]]=""),"",N(tblSafety[[#This Row],[Fatality]])+N(tblSafety[[#This Row],[LTI]])+N(tblSafety[[#This Row],[RWI]])+N(tblSafety[[#This Row],[MTI]]))</f>
        <v/>
      </c>
    </row>
    <row r="155">
      <c r="A155" s="54" t="n">
        <v>46172</v>
      </c>
      <c r="B155" s="57" t="n"/>
      <c r="C155" s="57" t="n"/>
      <c r="D155" s="62" t="n"/>
      <c r="E155" s="62" t="n"/>
      <c r="F155" s="62" t="n"/>
      <c r="G155" s="62" t="n"/>
      <c r="H155" s="62" t="n"/>
      <c r="I155" s="62" t="n"/>
      <c r="J155" s="62" t="n"/>
      <c r="K155" s="62" t="n"/>
      <c r="L155" s="62" t="n"/>
      <c r="M155" s="62" t="n"/>
      <c r="N155" s="62" t="n"/>
      <c r="O155" s="62" t="n"/>
      <c r="P155" s="62" t="n"/>
      <c r="Q155" s="58" t="n"/>
      <c r="R155" s="66">
        <f>IF(AND(tblSafety[[#This Row],[Hours_Employees]]="",tblSafety[[#This Row],[Hours_Contractors]]=""),"",N(tblSafety[[#This Row],[Hours_Employees]])+N(tblSafety[[#This Row],[Hours_Contractors]]))</f>
        <v/>
      </c>
      <c r="S155" s="64">
        <f>IF(AND(tblSafety[[#This Row],[Fatality]]="",tblSafety[[#This Row],[LTI]]="",tblSafety[[#This Row],[RWI]]="",tblSafety[[#This Row],[MTI]]=""),"",N(tblSafety[[#This Row],[Fatality]])+N(tblSafety[[#This Row],[LTI]])+N(tblSafety[[#This Row],[RWI]])+N(tblSafety[[#This Row],[MTI]]))</f>
        <v/>
      </c>
    </row>
    <row r="156">
      <c r="A156" s="54" t="n">
        <v>46173</v>
      </c>
      <c r="B156" s="57" t="n"/>
      <c r="C156" s="57" t="n"/>
      <c r="D156" s="62" t="n"/>
      <c r="E156" s="62" t="n"/>
      <c r="F156" s="62" t="n"/>
      <c r="G156" s="62" t="n"/>
      <c r="H156" s="62" t="n"/>
      <c r="I156" s="62" t="n"/>
      <c r="J156" s="62" t="n"/>
      <c r="K156" s="62" t="n"/>
      <c r="L156" s="62" t="n"/>
      <c r="M156" s="62" t="n"/>
      <c r="N156" s="62" t="n"/>
      <c r="O156" s="62" t="n"/>
      <c r="P156" s="62" t="n"/>
      <c r="Q156" s="58" t="n"/>
      <c r="R156" s="66">
        <f>IF(AND(tblSafety[[#This Row],[Hours_Employees]]="",tblSafety[[#This Row],[Hours_Contractors]]=""),"",N(tblSafety[[#This Row],[Hours_Employees]])+N(tblSafety[[#This Row],[Hours_Contractors]]))</f>
        <v/>
      </c>
      <c r="S156" s="64">
        <f>IF(AND(tblSafety[[#This Row],[Fatality]]="",tblSafety[[#This Row],[LTI]]="",tblSafety[[#This Row],[RWI]]="",tblSafety[[#This Row],[MTI]]=""),"",N(tblSafety[[#This Row],[Fatality]])+N(tblSafety[[#This Row],[LTI]])+N(tblSafety[[#This Row],[RWI]])+N(tblSafety[[#This Row],[MTI]]))</f>
        <v/>
      </c>
    </row>
    <row r="157">
      <c r="A157" s="54" t="n">
        <v>46174</v>
      </c>
      <c r="B157" s="57" t="n"/>
      <c r="C157" s="57" t="n"/>
      <c r="D157" s="62" t="n"/>
      <c r="E157" s="62" t="n"/>
      <c r="F157" s="62" t="n"/>
      <c r="G157" s="62" t="n"/>
      <c r="H157" s="62" t="n"/>
      <c r="I157" s="62" t="n"/>
      <c r="J157" s="62" t="n"/>
      <c r="K157" s="62" t="n"/>
      <c r="L157" s="62" t="n"/>
      <c r="M157" s="62" t="n"/>
      <c r="N157" s="62" t="n"/>
      <c r="O157" s="62" t="n"/>
      <c r="P157" s="62" t="n"/>
      <c r="Q157" s="58" t="n"/>
      <c r="R157" s="66">
        <f>IF(AND(tblSafety[[#This Row],[Hours_Employees]]="",tblSafety[[#This Row],[Hours_Contractors]]=""),"",N(tblSafety[[#This Row],[Hours_Employees]])+N(tblSafety[[#This Row],[Hours_Contractors]]))</f>
        <v/>
      </c>
      <c r="S157" s="64">
        <f>IF(AND(tblSafety[[#This Row],[Fatality]]="",tblSafety[[#This Row],[LTI]]="",tblSafety[[#This Row],[RWI]]="",tblSafety[[#This Row],[MTI]]=""),"",N(tblSafety[[#This Row],[Fatality]])+N(tblSafety[[#This Row],[LTI]])+N(tblSafety[[#This Row],[RWI]])+N(tblSafety[[#This Row],[MTI]]))</f>
        <v/>
      </c>
    </row>
    <row r="158">
      <c r="A158" s="54" t="n">
        <v>46175</v>
      </c>
      <c r="B158" s="57" t="n"/>
      <c r="C158" s="57" t="n"/>
      <c r="D158" s="62" t="n"/>
      <c r="E158" s="62" t="n"/>
      <c r="F158" s="62" t="n"/>
      <c r="G158" s="62" t="n"/>
      <c r="H158" s="62" t="n"/>
      <c r="I158" s="62" t="n"/>
      <c r="J158" s="62" t="n"/>
      <c r="K158" s="62" t="n"/>
      <c r="L158" s="62" t="n"/>
      <c r="M158" s="62" t="n"/>
      <c r="N158" s="62" t="n"/>
      <c r="O158" s="62" t="n"/>
      <c r="P158" s="62" t="n"/>
      <c r="Q158" s="58" t="n"/>
      <c r="R158" s="66">
        <f>IF(AND(tblSafety[[#This Row],[Hours_Employees]]="",tblSafety[[#This Row],[Hours_Contractors]]=""),"",N(tblSafety[[#This Row],[Hours_Employees]])+N(tblSafety[[#This Row],[Hours_Contractors]]))</f>
        <v/>
      </c>
      <c r="S158" s="64">
        <f>IF(AND(tblSafety[[#This Row],[Fatality]]="",tblSafety[[#This Row],[LTI]]="",tblSafety[[#This Row],[RWI]]="",tblSafety[[#This Row],[MTI]]=""),"",N(tblSafety[[#This Row],[Fatality]])+N(tblSafety[[#This Row],[LTI]])+N(tblSafety[[#This Row],[RWI]])+N(tblSafety[[#This Row],[MTI]]))</f>
        <v/>
      </c>
    </row>
    <row r="159">
      <c r="A159" s="54" t="n">
        <v>46176</v>
      </c>
      <c r="B159" s="57" t="n"/>
      <c r="C159" s="57" t="n"/>
      <c r="D159" s="62" t="n"/>
      <c r="E159" s="62" t="n"/>
      <c r="F159" s="62" t="n"/>
      <c r="G159" s="62" t="n"/>
      <c r="H159" s="62" t="n"/>
      <c r="I159" s="62" t="n"/>
      <c r="J159" s="62" t="n"/>
      <c r="K159" s="62" t="n"/>
      <c r="L159" s="62" t="n"/>
      <c r="M159" s="62" t="n"/>
      <c r="N159" s="62" t="n"/>
      <c r="O159" s="62" t="n"/>
      <c r="P159" s="62" t="n"/>
      <c r="Q159" s="58" t="n"/>
      <c r="R159" s="66">
        <f>IF(AND(tblSafety[[#This Row],[Hours_Employees]]="",tblSafety[[#This Row],[Hours_Contractors]]=""),"",N(tblSafety[[#This Row],[Hours_Employees]])+N(tblSafety[[#This Row],[Hours_Contractors]]))</f>
        <v/>
      </c>
      <c r="S159" s="64">
        <f>IF(AND(tblSafety[[#This Row],[Fatality]]="",tblSafety[[#This Row],[LTI]]="",tblSafety[[#This Row],[RWI]]="",tblSafety[[#This Row],[MTI]]=""),"",N(tblSafety[[#This Row],[Fatality]])+N(tblSafety[[#This Row],[LTI]])+N(tblSafety[[#This Row],[RWI]])+N(tblSafety[[#This Row],[MTI]]))</f>
        <v/>
      </c>
    </row>
    <row r="160">
      <c r="A160" s="54" t="n">
        <v>46177</v>
      </c>
      <c r="B160" s="57" t="n"/>
      <c r="C160" s="57" t="n"/>
      <c r="D160" s="62" t="n"/>
      <c r="E160" s="62" t="n"/>
      <c r="F160" s="62" t="n"/>
      <c r="G160" s="62" t="n"/>
      <c r="H160" s="62" t="n"/>
      <c r="I160" s="62" t="n"/>
      <c r="J160" s="62" t="n"/>
      <c r="K160" s="62" t="n"/>
      <c r="L160" s="62" t="n"/>
      <c r="M160" s="62" t="n"/>
      <c r="N160" s="62" t="n"/>
      <c r="O160" s="62" t="n"/>
      <c r="P160" s="62" t="n"/>
      <c r="Q160" s="58" t="n"/>
      <c r="R160" s="66">
        <f>IF(AND(tblSafety[[#This Row],[Hours_Employees]]="",tblSafety[[#This Row],[Hours_Contractors]]=""),"",N(tblSafety[[#This Row],[Hours_Employees]])+N(tblSafety[[#This Row],[Hours_Contractors]]))</f>
        <v/>
      </c>
      <c r="S160" s="64">
        <f>IF(AND(tblSafety[[#This Row],[Fatality]]="",tblSafety[[#This Row],[LTI]]="",tblSafety[[#This Row],[RWI]]="",tblSafety[[#This Row],[MTI]]=""),"",N(tblSafety[[#This Row],[Fatality]])+N(tblSafety[[#This Row],[LTI]])+N(tblSafety[[#This Row],[RWI]])+N(tblSafety[[#This Row],[MTI]]))</f>
        <v/>
      </c>
    </row>
    <row r="161">
      <c r="A161" s="54" t="n">
        <v>46178</v>
      </c>
      <c r="B161" s="57" t="n"/>
      <c r="C161" s="57" t="n"/>
      <c r="D161" s="62" t="n"/>
      <c r="E161" s="62" t="n"/>
      <c r="F161" s="62" t="n"/>
      <c r="G161" s="62" t="n"/>
      <c r="H161" s="62" t="n"/>
      <c r="I161" s="62" t="n"/>
      <c r="J161" s="62" t="n"/>
      <c r="K161" s="62" t="n"/>
      <c r="L161" s="62" t="n"/>
      <c r="M161" s="62" t="n"/>
      <c r="N161" s="62" t="n"/>
      <c r="O161" s="62" t="n"/>
      <c r="P161" s="62" t="n"/>
      <c r="Q161" s="58" t="n"/>
      <c r="R161" s="66">
        <f>IF(AND(tblSafety[[#This Row],[Hours_Employees]]="",tblSafety[[#This Row],[Hours_Contractors]]=""),"",N(tblSafety[[#This Row],[Hours_Employees]])+N(tblSafety[[#This Row],[Hours_Contractors]]))</f>
        <v/>
      </c>
      <c r="S161" s="64">
        <f>IF(AND(tblSafety[[#This Row],[Fatality]]="",tblSafety[[#This Row],[LTI]]="",tblSafety[[#This Row],[RWI]]="",tblSafety[[#This Row],[MTI]]=""),"",N(tblSafety[[#This Row],[Fatality]])+N(tblSafety[[#This Row],[LTI]])+N(tblSafety[[#This Row],[RWI]])+N(tblSafety[[#This Row],[MTI]]))</f>
        <v/>
      </c>
    </row>
    <row r="162">
      <c r="A162" s="54" t="n">
        <v>46179</v>
      </c>
      <c r="B162" s="57" t="n"/>
      <c r="C162" s="57" t="n"/>
      <c r="D162" s="62" t="n"/>
      <c r="E162" s="62" t="n"/>
      <c r="F162" s="62" t="n"/>
      <c r="G162" s="62" t="n"/>
      <c r="H162" s="62" t="n"/>
      <c r="I162" s="62" t="n"/>
      <c r="J162" s="62" t="n"/>
      <c r="K162" s="62" t="n"/>
      <c r="L162" s="62" t="n"/>
      <c r="M162" s="62" t="n"/>
      <c r="N162" s="62" t="n"/>
      <c r="O162" s="62" t="n"/>
      <c r="P162" s="62" t="n"/>
      <c r="Q162" s="58" t="n"/>
      <c r="R162" s="66">
        <f>IF(AND(tblSafety[[#This Row],[Hours_Employees]]="",tblSafety[[#This Row],[Hours_Contractors]]=""),"",N(tblSafety[[#This Row],[Hours_Employees]])+N(tblSafety[[#This Row],[Hours_Contractors]]))</f>
        <v/>
      </c>
      <c r="S162" s="64">
        <f>IF(AND(tblSafety[[#This Row],[Fatality]]="",tblSafety[[#This Row],[LTI]]="",tblSafety[[#This Row],[RWI]]="",tblSafety[[#This Row],[MTI]]=""),"",N(tblSafety[[#This Row],[Fatality]])+N(tblSafety[[#This Row],[LTI]])+N(tblSafety[[#This Row],[RWI]])+N(tblSafety[[#This Row],[MTI]]))</f>
        <v/>
      </c>
    </row>
    <row r="163">
      <c r="A163" s="54" t="n">
        <v>46180</v>
      </c>
      <c r="B163" s="57" t="n"/>
      <c r="C163" s="57" t="n"/>
      <c r="D163" s="62" t="n"/>
      <c r="E163" s="62" t="n"/>
      <c r="F163" s="62" t="n"/>
      <c r="G163" s="62" t="n"/>
      <c r="H163" s="62" t="n"/>
      <c r="I163" s="62" t="n"/>
      <c r="J163" s="62" t="n"/>
      <c r="K163" s="62" t="n"/>
      <c r="L163" s="62" t="n"/>
      <c r="M163" s="62" t="n"/>
      <c r="N163" s="62" t="n"/>
      <c r="O163" s="62" t="n"/>
      <c r="P163" s="62" t="n"/>
      <c r="Q163" s="58" t="n"/>
      <c r="R163" s="66">
        <f>IF(AND(tblSafety[[#This Row],[Hours_Employees]]="",tblSafety[[#This Row],[Hours_Contractors]]=""),"",N(tblSafety[[#This Row],[Hours_Employees]])+N(tblSafety[[#This Row],[Hours_Contractors]]))</f>
        <v/>
      </c>
      <c r="S163" s="64">
        <f>IF(AND(tblSafety[[#This Row],[Fatality]]="",tblSafety[[#This Row],[LTI]]="",tblSafety[[#This Row],[RWI]]="",tblSafety[[#This Row],[MTI]]=""),"",N(tblSafety[[#This Row],[Fatality]])+N(tblSafety[[#This Row],[LTI]])+N(tblSafety[[#This Row],[RWI]])+N(tblSafety[[#This Row],[MTI]]))</f>
        <v/>
      </c>
    </row>
    <row r="164">
      <c r="A164" s="54" t="n">
        <v>46181</v>
      </c>
      <c r="B164" s="57" t="n"/>
      <c r="C164" s="57" t="n"/>
      <c r="D164" s="62" t="n"/>
      <c r="E164" s="62" t="n"/>
      <c r="F164" s="62" t="n"/>
      <c r="G164" s="62" t="n"/>
      <c r="H164" s="62" t="n"/>
      <c r="I164" s="62" t="n"/>
      <c r="J164" s="62" t="n"/>
      <c r="K164" s="62" t="n"/>
      <c r="L164" s="62" t="n"/>
      <c r="M164" s="62" t="n"/>
      <c r="N164" s="62" t="n"/>
      <c r="O164" s="62" t="n"/>
      <c r="P164" s="62" t="n"/>
      <c r="Q164" s="58" t="n"/>
      <c r="R164" s="66">
        <f>IF(AND(tblSafety[[#This Row],[Hours_Employees]]="",tblSafety[[#This Row],[Hours_Contractors]]=""),"",N(tblSafety[[#This Row],[Hours_Employees]])+N(tblSafety[[#This Row],[Hours_Contractors]]))</f>
        <v/>
      </c>
      <c r="S164" s="64">
        <f>IF(AND(tblSafety[[#This Row],[Fatality]]="",tblSafety[[#This Row],[LTI]]="",tblSafety[[#This Row],[RWI]]="",tblSafety[[#This Row],[MTI]]=""),"",N(tblSafety[[#This Row],[Fatality]])+N(tblSafety[[#This Row],[LTI]])+N(tblSafety[[#This Row],[RWI]])+N(tblSafety[[#This Row],[MTI]]))</f>
        <v/>
      </c>
    </row>
    <row r="165">
      <c r="A165" s="54" t="n">
        <v>46182</v>
      </c>
      <c r="B165" s="57" t="n"/>
      <c r="C165" s="57" t="n"/>
      <c r="D165" s="62" t="n"/>
      <c r="E165" s="62" t="n"/>
      <c r="F165" s="62" t="n"/>
      <c r="G165" s="62" t="n"/>
      <c r="H165" s="62" t="n"/>
      <c r="I165" s="62" t="n"/>
      <c r="J165" s="62" t="n"/>
      <c r="K165" s="62" t="n"/>
      <c r="L165" s="62" t="n"/>
      <c r="M165" s="62" t="n"/>
      <c r="N165" s="62" t="n"/>
      <c r="O165" s="62" t="n"/>
      <c r="P165" s="62" t="n"/>
      <c r="Q165" s="58" t="n"/>
      <c r="R165" s="66">
        <f>IF(AND(tblSafety[[#This Row],[Hours_Employees]]="",tblSafety[[#This Row],[Hours_Contractors]]=""),"",N(tblSafety[[#This Row],[Hours_Employees]])+N(tblSafety[[#This Row],[Hours_Contractors]]))</f>
        <v/>
      </c>
      <c r="S165" s="64">
        <f>IF(AND(tblSafety[[#This Row],[Fatality]]="",tblSafety[[#This Row],[LTI]]="",tblSafety[[#This Row],[RWI]]="",tblSafety[[#This Row],[MTI]]=""),"",N(tblSafety[[#This Row],[Fatality]])+N(tblSafety[[#This Row],[LTI]])+N(tblSafety[[#This Row],[RWI]])+N(tblSafety[[#This Row],[MTI]]))</f>
        <v/>
      </c>
    </row>
    <row r="166">
      <c r="A166" s="54" t="n">
        <v>46183</v>
      </c>
      <c r="B166" s="57" t="n"/>
      <c r="C166" s="57" t="n"/>
      <c r="D166" s="62" t="n"/>
      <c r="E166" s="62" t="n"/>
      <c r="F166" s="62" t="n"/>
      <c r="G166" s="62" t="n"/>
      <c r="H166" s="62" t="n"/>
      <c r="I166" s="62" t="n"/>
      <c r="J166" s="62" t="n"/>
      <c r="K166" s="62" t="n"/>
      <c r="L166" s="62" t="n"/>
      <c r="M166" s="62" t="n"/>
      <c r="N166" s="62" t="n"/>
      <c r="O166" s="62" t="n"/>
      <c r="P166" s="62" t="n"/>
      <c r="Q166" s="58" t="n"/>
      <c r="R166" s="66">
        <f>IF(AND(tblSafety[[#This Row],[Hours_Employees]]="",tblSafety[[#This Row],[Hours_Contractors]]=""),"",N(tblSafety[[#This Row],[Hours_Employees]])+N(tblSafety[[#This Row],[Hours_Contractors]]))</f>
        <v/>
      </c>
      <c r="S166" s="64">
        <f>IF(AND(tblSafety[[#This Row],[Fatality]]="",tblSafety[[#This Row],[LTI]]="",tblSafety[[#This Row],[RWI]]="",tblSafety[[#This Row],[MTI]]=""),"",N(tblSafety[[#This Row],[Fatality]])+N(tblSafety[[#This Row],[LTI]])+N(tblSafety[[#This Row],[RWI]])+N(tblSafety[[#This Row],[MTI]]))</f>
        <v/>
      </c>
    </row>
    <row r="167">
      <c r="A167" s="54" t="n">
        <v>46184</v>
      </c>
      <c r="B167" s="57" t="n"/>
      <c r="C167" s="57" t="n"/>
      <c r="D167" s="62" t="n"/>
      <c r="E167" s="62" t="n"/>
      <c r="F167" s="62" t="n"/>
      <c r="G167" s="62" t="n"/>
      <c r="H167" s="62" t="n"/>
      <c r="I167" s="62" t="n"/>
      <c r="J167" s="62" t="n"/>
      <c r="K167" s="62" t="n"/>
      <c r="L167" s="62" t="n"/>
      <c r="M167" s="62" t="n"/>
      <c r="N167" s="62" t="n"/>
      <c r="O167" s="62" t="n"/>
      <c r="P167" s="62" t="n"/>
      <c r="Q167" s="58" t="n"/>
      <c r="R167" s="66">
        <f>IF(AND(tblSafety[[#This Row],[Hours_Employees]]="",tblSafety[[#This Row],[Hours_Contractors]]=""),"",N(tblSafety[[#This Row],[Hours_Employees]])+N(tblSafety[[#This Row],[Hours_Contractors]]))</f>
        <v/>
      </c>
      <c r="S167" s="64">
        <f>IF(AND(tblSafety[[#This Row],[Fatality]]="",tblSafety[[#This Row],[LTI]]="",tblSafety[[#This Row],[RWI]]="",tblSafety[[#This Row],[MTI]]=""),"",N(tblSafety[[#This Row],[Fatality]])+N(tblSafety[[#This Row],[LTI]])+N(tblSafety[[#This Row],[RWI]])+N(tblSafety[[#This Row],[MTI]]))</f>
        <v/>
      </c>
    </row>
    <row r="168">
      <c r="A168" s="54" t="n">
        <v>46185</v>
      </c>
      <c r="B168" s="57" t="n"/>
      <c r="C168" s="57" t="n"/>
      <c r="D168" s="62" t="n"/>
      <c r="E168" s="62" t="n"/>
      <c r="F168" s="62" t="n"/>
      <c r="G168" s="62" t="n"/>
      <c r="H168" s="62" t="n"/>
      <c r="I168" s="62" t="n"/>
      <c r="J168" s="62" t="n"/>
      <c r="K168" s="62" t="n"/>
      <c r="L168" s="62" t="n"/>
      <c r="M168" s="62" t="n"/>
      <c r="N168" s="62" t="n"/>
      <c r="O168" s="62" t="n"/>
      <c r="P168" s="62" t="n"/>
      <c r="Q168" s="58" t="n"/>
      <c r="R168" s="66">
        <f>IF(AND(tblSafety[[#This Row],[Hours_Employees]]="",tblSafety[[#This Row],[Hours_Contractors]]=""),"",N(tblSafety[[#This Row],[Hours_Employees]])+N(tblSafety[[#This Row],[Hours_Contractors]]))</f>
        <v/>
      </c>
      <c r="S168" s="64">
        <f>IF(AND(tblSafety[[#This Row],[Fatality]]="",tblSafety[[#This Row],[LTI]]="",tblSafety[[#This Row],[RWI]]="",tblSafety[[#This Row],[MTI]]=""),"",N(tblSafety[[#This Row],[Fatality]])+N(tblSafety[[#This Row],[LTI]])+N(tblSafety[[#This Row],[RWI]])+N(tblSafety[[#This Row],[MTI]]))</f>
        <v/>
      </c>
    </row>
    <row r="169">
      <c r="A169" s="54" t="n">
        <v>46186</v>
      </c>
      <c r="B169" s="57" t="n"/>
      <c r="C169" s="57" t="n"/>
      <c r="D169" s="62" t="n"/>
      <c r="E169" s="62" t="n"/>
      <c r="F169" s="62" t="n"/>
      <c r="G169" s="62" t="n"/>
      <c r="H169" s="62" t="n"/>
      <c r="I169" s="62" t="n"/>
      <c r="J169" s="62" t="n"/>
      <c r="K169" s="62" t="n"/>
      <c r="L169" s="62" t="n"/>
      <c r="M169" s="62" t="n"/>
      <c r="N169" s="62" t="n"/>
      <c r="O169" s="62" t="n"/>
      <c r="P169" s="62" t="n"/>
      <c r="Q169" s="58" t="n"/>
      <c r="R169" s="66">
        <f>IF(AND(tblSafety[[#This Row],[Hours_Employees]]="",tblSafety[[#This Row],[Hours_Contractors]]=""),"",N(tblSafety[[#This Row],[Hours_Employees]])+N(tblSafety[[#This Row],[Hours_Contractors]]))</f>
        <v/>
      </c>
      <c r="S169" s="64">
        <f>IF(AND(tblSafety[[#This Row],[Fatality]]="",tblSafety[[#This Row],[LTI]]="",tblSafety[[#This Row],[RWI]]="",tblSafety[[#This Row],[MTI]]=""),"",N(tblSafety[[#This Row],[Fatality]])+N(tblSafety[[#This Row],[LTI]])+N(tblSafety[[#This Row],[RWI]])+N(tblSafety[[#This Row],[MTI]]))</f>
        <v/>
      </c>
    </row>
    <row r="170">
      <c r="A170" s="54" t="n">
        <v>46187</v>
      </c>
      <c r="B170" s="57" t="n"/>
      <c r="C170" s="57" t="n"/>
      <c r="D170" s="62" t="n"/>
      <c r="E170" s="62" t="n"/>
      <c r="F170" s="62" t="n"/>
      <c r="G170" s="62" t="n"/>
      <c r="H170" s="62" t="n"/>
      <c r="I170" s="62" t="n"/>
      <c r="J170" s="62" t="n"/>
      <c r="K170" s="62" t="n"/>
      <c r="L170" s="62" t="n"/>
      <c r="M170" s="62" t="n"/>
      <c r="N170" s="62" t="n"/>
      <c r="O170" s="62" t="n"/>
      <c r="P170" s="62" t="n"/>
      <c r="Q170" s="58" t="n"/>
      <c r="R170" s="66">
        <f>IF(AND(tblSafety[[#This Row],[Hours_Employees]]="",tblSafety[[#This Row],[Hours_Contractors]]=""),"",N(tblSafety[[#This Row],[Hours_Employees]])+N(tblSafety[[#This Row],[Hours_Contractors]]))</f>
        <v/>
      </c>
      <c r="S170" s="64">
        <f>IF(AND(tblSafety[[#This Row],[Fatality]]="",tblSafety[[#This Row],[LTI]]="",tblSafety[[#This Row],[RWI]]="",tblSafety[[#This Row],[MTI]]=""),"",N(tblSafety[[#This Row],[Fatality]])+N(tblSafety[[#This Row],[LTI]])+N(tblSafety[[#This Row],[RWI]])+N(tblSafety[[#This Row],[MTI]]))</f>
        <v/>
      </c>
    </row>
    <row r="171">
      <c r="A171" s="54" t="n">
        <v>46188</v>
      </c>
      <c r="B171" s="57" t="n"/>
      <c r="C171" s="57" t="n"/>
      <c r="D171" s="62" t="n"/>
      <c r="E171" s="62" t="n"/>
      <c r="F171" s="62" t="n"/>
      <c r="G171" s="62" t="n"/>
      <c r="H171" s="62" t="n"/>
      <c r="I171" s="62" t="n"/>
      <c r="J171" s="62" t="n"/>
      <c r="K171" s="62" t="n"/>
      <c r="L171" s="62" t="n"/>
      <c r="M171" s="62" t="n"/>
      <c r="N171" s="62" t="n"/>
      <c r="O171" s="62" t="n"/>
      <c r="P171" s="62" t="n"/>
      <c r="Q171" s="58" t="n"/>
      <c r="R171" s="66">
        <f>IF(AND(tblSafety[[#This Row],[Hours_Employees]]="",tblSafety[[#This Row],[Hours_Contractors]]=""),"",N(tblSafety[[#This Row],[Hours_Employees]])+N(tblSafety[[#This Row],[Hours_Contractors]]))</f>
        <v/>
      </c>
      <c r="S171" s="64">
        <f>IF(AND(tblSafety[[#This Row],[Fatality]]="",tblSafety[[#This Row],[LTI]]="",tblSafety[[#This Row],[RWI]]="",tblSafety[[#This Row],[MTI]]=""),"",N(tblSafety[[#This Row],[Fatality]])+N(tblSafety[[#This Row],[LTI]])+N(tblSafety[[#This Row],[RWI]])+N(tblSafety[[#This Row],[MTI]]))</f>
        <v/>
      </c>
    </row>
    <row r="172">
      <c r="A172" s="54" t="n">
        <v>46189</v>
      </c>
      <c r="B172" s="57" t="n"/>
      <c r="C172" s="57" t="n"/>
      <c r="D172" s="62" t="n"/>
      <c r="E172" s="62" t="n"/>
      <c r="F172" s="62" t="n"/>
      <c r="G172" s="62" t="n"/>
      <c r="H172" s="62" t="n"/>
      <c r="I172" s="62" t="n"/>
      <c r="J172" s="62" t="n"/>
      <c r="K172" s="62" t="n"/>
      <c r="L172" s="62" t="n"/>
      <c r="M172" s="62" t="n"/>
      <c r="N172" s="62" t="n"/>
      <c r="O172" s="62" t="n"/>
      <c r="P172" s="62" t="n"/>
      <c r="Q172" s="58" t="n"/>
      <c r="R172" s="66">
        <f>IF(AND(tblSafety[[#This Row],[Hours_Employees]]="",tblSafety[[#This Row],[Hours_Contractors]]=""),"",N(tblSafety[[#This Row],[Hours_Employees]])+N(tblSafety[[#This Row],[Hours_Contractors]]))</f>
        <v/>
      </c>
      <c r="S172" s="64">
        <f>IF(AND(tblSafety[[#This Row],[Fatality]]="",tblSafety[[#This Row],[LTI]]="",tblSafety[[#This Row],[RWI]]="",tblSafety[[#This Row],[MTI]]=""),"",N(tblSafety[[#This Row],[Fatality]])+N(tblSafety[[#This Row],[LTI]])+N(tblSafety[[#This Row],[RWI]])+N(tblSafety[[#This Row],[MTI]]))</f>
        <v/>
      </c>
    </row>
    <row r="173">
      <c r="A173" s="54" t="n">
        <v>46190</v>
      </c>
      <c r="B173" s="57" t="n"/>
      <c r="C173" s="57" t="n"/>
      <c r="D173" s="62" t="n"/>
      <c r="E173" s="62" t="n"/>
      <c r="F173" s="62" t="n"/>
      <c r="G173" s="62" t="n"/>
      <c r="H173" s="62" t="n"/>
      <c r="I173" s="62" t="n"/>
      <c r="J173" s="62" t="n"/>
      <c r="K173" s="62" t="n"/>
      <c r="L173" s="62" t="n"/>
      <c r="M173" s="62" t="n"/>
      <c r="N173" s="62" t="n"/>
      <c r="O173" s="62" t="n"/>
      <c r="P173" s="62" t="n"/>
      <c r="Q173" s="58" t="n"/>
      <c r="R173" s="66">
        <f>IF(AND(tblSafety[[#This Row],[Hours_Employees]]="",tblSafety[[#This Row],[Hours_Contractors]]=""),"",N(tblSafety[[#This Row],[Hours_Employees]])+N(tblSafety[[#This Row],[Hours_Contractors]]))</f>
        <v/>
      </c>
      <c r="S173" s="64">
        <f>IF(AND(tblSafety[[#This Row],[Fatality]]="",tblSafety[[#This Row],[LTI]]="",tblSafety[[#This Row],[RWI]]="",tblSafety[[#This Row],[MTI]]=""),"",N(tblSafety[[#This Row],[Fatality]])+N(tblSafety[[#This Row],[LTI]])+N(tblSafety[[#This Row],[RWI]])+N(tblSafety[[#This Row],[MTI]]))</f>
        <v/>
      </c>
    </row>
    <row r="174">
      <c r="A174" s="54" t="n">
        <v>46191</v>
      </c>
      <c r="B174" s="57" t="n"/>
      <c r="C174" s="57" t="n"/>
      <c r="D174" s="62" t="n"/>
      <c r="E174" s="62" t="n"/>
      <c r="F174" s="62" t="n"/>
      <c r="G174" s="62" t="n"/>
      <c r="H174" s="62" t="n"/>
      <c r="I174" s="62" t="n"/>
      <c r="J174" s="62" t="n"/>
      <c r="K174" s="62" t="n"/>
      <c r="L174" s="62" t="n"/>
      <c r="M174" s="62" t="n"/>
      <c r="N174" s="62" t="n"/>
      <c r="O174" s="62" t="n"/>
      <c r="P174" s="62" t="n"/>
      <c r="Q174" s="58" t="n"/>
      <c r="R174" s="66">
        <f>IF(AND(tblSafety[[#This Row],[Hours_Employees]]="",tblSafety[[#This Row],[Hours_Contractors]]=""),"",N(tblSafety[[#This Row],[Hours_Employees]])+N(tblSafety[[#This Row],[Hours_Contractors]]))</f>
        <v/>
      </c>
      <c r="S174" s="64">
        <f>IF(AND(tblSafety[[#This Row],[Fatality]]="",tblSafety[[#This Row],[LTI]]="",tblSafety[[#This Row],[RWI]]="",tblSafety[[#This Row],[MTI]]=""),"",N(tblSafety[[#This Row],[Fatality]])+N(tblSafety[[#This Row],[LTI]])+N(tblSafety[[#This Row],[RWI]])+N(tblSafety[[#This Row],[MTI]]))</f>
        <v/>
      </c>
    </row>
    <row r="175">
      <c r="A175" s="54" t="n">
        <v>46192</v>
      </c>
      <c r="B175" s="57" t="n"/>
      <c r="C175" s="57" t="n"/>
      <c r="D175" s="62" t="n"/>
      <c r="E175" s="62" t="n"/>
      <c r="F175" s="62" t="n"/>
      <c r="G175" s="62" t="n"/>
      <c r="H175" s="62" t="n"/>
      <c r="I175" s="62" t="n"/>
      <c r="J175" s="62" t="n"/>
      <c r="K175" s="62" t="n"/>
      <c r="L175" s="62" t="n"/>
      <c r="M175" s="62" t="n"/>
      <c r="N175" s="62" t="n"/>
      <c r="O175" s="62" t="n"/>
      <c r="P175" s="62" t="n"/>
      <c r="Q175" s="58" t="n"/>
      <c r="R175" s="66">
        <f>IF(AND(tblSafety[[#This Row],[Hours_Employees]]="",tblSafety[[#This Row],[Hours_Contractors]]=""),"",N(tblSafety[[#This Row],[Hours_Employees]])+N(tblSafety[[#This Row],[Hours_Contractors]]))</f>
        <v/>
      </c>
      <c r="S175" s="64">
        <f>IF(AND(tblSafety[[#This Row],[Fatality]]="",tblSafety[[#This Row],[LTI]]="",tblSafety[[#This Row],[RWI]]="",tblSafety[[#This Row],[MTI]]=""),"",N(tblSafety[[#This Row],[Fatality]])+N(tblSafety[[#This Row],[LTI]])+N(tblSafety[[#This Row],[RWI]])+N(tblSafety[[#This Row],[MTI]]))</f>
        <v/>
      </c>
    </row>
    <row r="176">
      <c r="A176" s="54" t="n">
        <v>46193</v>
      </c>
      <c r="B176" s="57" t="n"/>
      <c r="C176" s="57" t="n"/>
      <c r="D176" s="62" t="n"/>
      <c r="E176" s="62" t="n"/>
      <c r="F176" s="62" t="n"/>
      <c r="G176" s="62" t="n"/>
      <c r="H176" s="62" t="n"/>
      <c r="I176" s="62" t="n"/>
      <c r="J176" s="62" t="n"/>
      <c r="K176" s="62" t="n"/>
      <c r="L176" s="62" t="n"/>
      <c r="M176" s="62" t="n"/>
      <c r="N176" s="62" t="n"/>
      <c r="O176" s="62" t="n"/>
      <c r="P176" s="62" t="n"/>
      <c r="Q176" s="58" t="n"/>
      <c r="R176" s="66">
        <f>IF(AND(tblSafety[[#This Row],[Hours_Employees]]="",tblSafety[[#This Row],[Hours_Contractors]]=""),"",N(tblSafety[[#This Row],[Hours_Employees]])+N(tblSafety[[#This Row],[Hours_Contractors]]))</f>
        <v/>
      </c>
      <c r="S176" s="64">
        <f>IF(AND(tblSafety[[#This Row],[Fatality]]="",tblSafety[[#This Row],[LTI]]="",tblSafety[[#This Row],[RWI]]="",tblSafety[[#This Row],[MTI]]=""),"",N(tblSafety[[#This Row],[Fatality]])+N(tblSafety[[#This Row],[LTI]])+N(tblSafety[[#This Row],[RWI]])+N(tblSafety[[#This Row],[MTI]]))</f>
        <v/>
      </c>
    </row>
    <row r="177">
      <c r="A177" s="54" t="n">
        <v>46194</v>
      </c>
      <c r="B177" s="57" t="n"/>
      <c r="C177" s="57" t="n"/>
      <c r="D177" s="62" t="n"/>
      <c r="E177" s="62" t="n"/>
      <c r="F177" s="62" t="n"/>
      <c r="G177" s="62" t="n"/>
      <c r="H177" s="62" t="n"/>
      <c r="I177" s="62" t="n"/>
      <c r="J177" s="62" t="n"/>
      <c r="K177" s="62" t="n"/>
      <c r="L177" s="62" t="n"/>
      <c r="M177" s="62" t="n"/>
      <c r="N177" s="62" t="n"/>
      <c r="O177" s="62" t="n"/>
      <c r="P177" s="62" t="n"/>
      <c r="Q177" s="58" t="n"/>
      <c r="R177" s="66">
        <f>IF(AND(tblSafety[[#This Row],[Hours_Employees]]="",tblSafety[[#This Row],[Hours_Contractors]]=""),"",N(tblSafety[[#This Row],[Hours_Employees]])+N(tblSafety[[#This Row],[Hours_Contractors]]))</f>
        <v/>
      </c>
      <c r="S177" s="64">
        <f>IF(AND(tblSafety[[#This Row],[Fatality]]="",tblSafety[[#This Row],[LTI]]="",tblSafety[[#This Row],[RWI]]="",tblSafety[[#This Row],[MTI]]=""),"",N(tblSafety[[#This Row],[Fatality]])+N(tblSafety[[#This Row],[LTI]])+N(tblSafety[[#This Row],[RWI]])+N(tblSafety[[#This Row],[MTI]]))</f>
        <v/>
      </c>
    </row>
    <row r="178">
      <c r="A178" s="54" t="n">
        <v>46195</v>
      </c>
      <c r="B178" s="57" t="n"/>
      <c r="C178" s="57" t="n"/>
      <c r="D178" s="62" t="n"/>
      <c r="E178" s="62" t="n"/>
      <c r="F178" s="62" t="n"/>
      <c r="G178" s="62" t="n"/>
      <c r="H178" s="62" t="n"/>
      <c r="I178" s="62" t="n"/>
      <c r="J178" s="62" t="n"/>
      <c r="K178" s="62" t="n"/>
      <c r="L178" s="62" t="n"/>
      <c r="M178" s="62" t="n"/>
      <c r="N178" s="62" t="n"/>
      <c r="O178" s="62" t="n"/>
      <c r="P178" s="62" t="n"/>
      <c r="Q178" s="58" t="n"/>
      <c r="R178" s="66">
        <f>IF(AND(tblSafety[[#This Row],[Hours_Employees]]="",tblSafety[[#This Row],[Hours_Contractors]]=""),"",N(tblSafety[[#This Row],[Hours_Employees]])+N(tblSafety[[#This Row],[Hours_Contractors]]))</f>
        <v/>
      </c>
      <c r="S178" s="64">
        <f>IF(AND(tblSafety[[#This Row],[Fatality]]="",tblSafety[[#This Row],[LTI]]="",tblSafety[[#This Row],[RWI]]="",tblSafety[[#This Row],[MTI]]=""),"",N(tblSafety[[#This Row],[Fatality]])+N(tblSafety[[#This Row],[LTI]])+N(tblSafety[[#This Row],[RWI]])+N(tblSafety[[#This Row],[MTI]]))</f>
        <v/>
      </c>
    </row>
    <row r="179">
      <c r="A179" s="54" t="n">
        <v>46196</v>
      </c>
      <c r="B179" s="57" t="n"/>
      <c r="C179" s="57" t="n"/>
      <c r="D179" s="62" t="n"/>
      <c r="E179" s="62" t="n"/>
      <c r="F179" s="62" t="n"/>
      <c r="G179" s="62" t="n"/>
      <c r="H179" s="62" t="n"/>
      <c r="I179" s="62" t="n"/>
      <c r="J179" s="62" t="n"/>
      <c r="K179" s="62" t="n"/>
      <c r="L179" s="62" t="n"/>
      <c r="M179" s="62" t="n"/>
      <c r="N179" s="62" t="n"/>
      <c r="O179" s="62" t="n"/>
      <c r="P179" s="62" t="n"/>
      <c r="Q179" s="58" t="n"/>
      <c r="R179" s="66">
        <f>IF(AND(tblSafety[[#This Row],[Hours_Employees]]="",tblSafety[[#This Row],[Hours_Contractors]]=""),"",N(tblSafety[[#This Row],[Hours_Employees]])+N(tblSafety[[#This Row],[Hours_Contractors]]))</f>
        <v/>
      </c>
      <c r="S179" s="64">
        <f>IF(AND(tblSafety[[#This Row],[Fatality]]="",tblSafety[[#This Row],[LTI]]="",tblSafety[[#This Row],[RWI]]="",tblSafety[[#This Row],[MTI]]=""),"",N(tblSafety[[#This Row],[Fatality]])+N(tblSafety[[#This Row],[LTI]])+N(tblSafety[[#This Row],[RWI]])+N(tblSafety[[#This Row],[MTI]]))</f>
        <v/>
      </c>
    </row>
    <row r="180">
      <c r="A180" s="54" t="n">
        <v>46197</v>
      </c>
      <c r="B180" s="57" t="n"/>
      <c r="C180" s="57" t="n"/>
      <c r="D180" s="62" t="n"/>
      <c r="E180" s="62" t="n"/>
      <c r="F180" s="62" t="n"/>
      <c r="G180" s="62" t="n"/>
      <c r="H180" s="62" t="n"/>
      <c r="I180" s="62" t="n"/>
      <c r="J180" s="62" t="n"/>
      <c r="K180" s="62" t="n"/>
      <c r="L180" s="62" t="n"/>
      <c r="M180" s="62" t="n"/>
      <c r="N180" s="62" t="n"/>
      <c r="O180" s="62" t="n"/>
      <c r="P180" s="62" t="n"/>
      <c r="Q180" s="58" t="n"/>
      <c r="R180" s="66">
        <f>IF(AND(tblSafety[[#This Row],[Hours_Employees]]="",tblSafety[[#This Row],[Hours_Contractors]]=""),"",N(tblSafety[[#This Row],[Hours_Employees]])+N(tblSafety[[#This Row],[Hours_Contractors]]))</f>
        <v/>
      </c>
      <c r="S180" s="64">
        <f>IF(AND(tblSafety[[#This Row],[Fatality]]="",tblSafety[[#This Row],[LTI]]="",tblSafety[[#This Row],[RWI]]="",tblSafety[[#This Row],[MTI]]=""),"",N(tblSafety[[#This Row],[Fatality]])+N(tblSafety[[#This Row],[LTI]])+N(tblSafety[[#This Row],[RWI]])+N(tblSafety[[#This Row],[MTI]]))</f>
        <v/>
      </c>
    </row>
    <row r="181">
      <c r="A181" s="54" t="n">
        <v>46198</v>
      </c>
      <c r="B181" s="57" t="n"/>
      <c r="C181" s="57" t="n"/>
      <c r="D181" s="62" t="n"/>
      <c r="E181" s="62" t="n"/>
      <c r="F181" s="62" t="n"/>
      <c r="G181" s="62" t="n"/>
      <c r="H181" s="62" t="n"/>
      <c r="I181" s="62" t="n"/>
      <c r="J181" s="62" t="n"/>
      <c r="K181" s="62" t="n"/>
      <c r="L181" s="62" t="n"/>
      <c r="M181" s="62" t="n"/>
      <c r="N181" s="62" t="n"/>
      <c r="O181" s="62" t="n"/>
      <c r="P181" s="62" t="n"/>
      <c r="Q181" s="58" t="n"/>
      <c r="R181" s="66">
        <f>IF(AND(tblSafety[[#This Row],[Hours_Employees]]="",tblSafety[[#This Row],[Hours_Contractors]]=""),"",N(tblSafety[[#This Row],[Hours_Employees]])+N(tblSafety[[#This Row],[Hours_Contractors]]))</f>
        <v/>
      </c>
      <c r="S181" s="64">
        <f>IF(AND(tblSafety[[#This Row],[Fatality]]="",tblSafety[[#This Row],[LTI]]="",tblSafety[[#This Row],[RWI]]="",tblSafety[[#This Row],[MTI]]=""),"",N(tblSafety[[#This Row],[Fatality]])+N(tblSafety[[#This Row],[LTI]])+N(tblSafety[[#This Row],[RWI]])+N(tblSafety[[#This Row],[MTI]]))</f>
        <v/>
      </c>
    </row>
    <row r="182">
      <c r="A182" s="54" t="n">
        <v>46199</v>
      </c>
      <c r="B182" s="57" t="n"/>
      <c r="C182" s="57" t="n"/>
      <c r="D182" s="62" t="n"/>
      <c r="E182" s="62" t="n"/>
      <c r="F182" s="62" t="n"/>
      <c r="G182" s="62" t="n"/>
      <c r="H182" s="62" t="n"/>
      <c r="I182" s="62" t="n"/>
      <c r="J182" s="62" t="n"/>
      <c r="K182" s="62" t="n"/>
      <c r="L182" s="62" t="n"/>
      <c r="M182" s="62" t="n"/>
      <c r="N182" s="62" t="n"/>
      <c r="O182" s="62" t="n"/>
      <c r="P182" s="62" t="n"/>
      <c r="Q182" s="58" t="n"/>
      <c r="R182" s="66">
        <f>IF(AND(tblSafety[[#This Row],[Hours_Employees]]="",tblSafety[[#This Row],[Hours_Contractors]]=""),"",N(tblSafety[[#This Row],[Hours_Employees]])+N(tblSafety[[#This Row],[Hours_Contractors]]))</f>
        <v/>
      </c>
      <c r="S182" s="64">
        <f>IF(AND(tblSafety[[#This Row],[Fatality]]="",tblSafety[[#This Row],[LTI]]="",tblSafety[[#This Row],[RWI]]="",tblSafety[[#This Row],[MTI]]=""),"",N(tblSafety[[#This Row],[Fatality]])+N(tblSafety[[#This Row],[LTI]])+N(tblSafety[[#This Row],[RWI]])+N(tblSafety[[#This Row],[MTI]]))</f>
        <v/>
      </c>
    </row>
    <row r="183">
      <c r="A183" s="54" t="n">
        <v>46200</v>
      </c>
      <c r="B183" s="57" t="n"/>
      <c r="C183" s="57" t="n"/>
      <c r="D183" s="62" t="n"/>
      <c r="E183" s="62" t="n"/>
      <c r="F183" s="62" t="n"/>
      <c r="G183" s="62" t="n"/>
      <c r="H183" s="62" t="n"/>
      <c r="I183" s="62" t="n"/>
      <c r="J183" s="62" t="n"/>
      <c r="K183" s="62" t="n"/>
      <c r="L183" s="62" t="n"/>
      <c r="M183" s="62" t="n"/>
      <c r="N183" s="62" t="n"/>
      <c r="O183" s="62" t="n"/>
      <c r="P183" s="62" t="n"/>
      <c r="Q183" s="58" t="n"/>
      <c r="R183" s="66">
        <f>IF(AND(tblSafety[[#This Row],[Hours_Employees]]="",tblSafety[[#This Row],[Hours_Contractors]]=""),"",N(tblSafety[[#This Row],[Hours_Employees]])+N(tblSafety[[#This Row],[Hours_Contractors]]))</f>
        <v/>
      </c>
      <c r="S183" s="64">
        <f>IF(AND(tblSafety[[#This Row],[Fatality]]="",tblSafety[[#This Row],[LTI]]="",tblSafety[[#This Row],[RWI]]="",tblSafety[[#This Row],[MTI]]=""),"",N(tblSafety[[#This Row],[Fatality]])+N(tblSafety[[#This Row],[LTI]])+N(tblSafety[[#This Row],[RWI]])+N(tblSafety[[#This Row],[MTI]]))</f>
        <v/>
      </c>
    </row>
    <row r="184">
      <c r="A184" s="54" t="n">
        <v>46201</v>
      </c>
      <c r="B184" s="57" t="n"/>
      <c r="C184" s="57" t="n"/>
      <c r="D184" s="62" t="n"/>
      <c r="E184" s="62" t="n"/>
      <c r="F184" s="62" t="n"/>
      <c r="G184" s="62" t="n"/>
      <c r="H184" s="62" t="n"/>
      <c r="I184" s="62" t="n"/>
      <c r="J184" s="62" t="n"/>
      <c r="K184" s="62" t="n"/>
      <c r="L184" s="62" t="n"/>
      <c r="M184" s="62" t="n"/>
      <c r="N184" s="62" t="n"/>
      <c r="O184" s="62" t="n"/>
      <c r="P184" s="62" t="n"/>
      <c r="Q184" s="58" t="n"/>
      <c r="R184" s="66">
        <f>IF(AND(tblSafety[[#This Row],[Hours_Employees]]="",tblSafety[[#This Row],[Hours_Contractors]]=""),"",N(tblSafety[[#This Row],[Hours_Employees]])+N(tblSafety[[#This Row],[Hours_Contractors]]))</f>
        <v/>
      </c>
      <c r="S184" s="64">
        <f>IF(AND(tblSafety[[#This Row],[Fatality]]="",tblSafety[[#This Row],[LTI]]="",tblSafety[[#This Row],[RWI]]="",tblSafety[[#This Row],[MTI]]=""),"",N(tblSafety[[#This Row],[Fatality]])+N(tblSafety[[#This Row],[LTI]])+N(tblSafety[[#This Row],[RWI]])+N(tblSafety[[#This Row],[MTI]]))</f>
        <v/>
      </c>
    </row>
    <row r="185">
      <c r="A185" s="54" t="n">
        <v>46202</v>
      </c>
      <c r="B185" s="57" t="n"/>
      <c r="C185" s="57" t="n"/>
      <c r="D185" s="62" t="n"/>
      <c r="E185" s="62" t="n"/>
      <c r="F185" s="62" t="n"/>
      <c r="G185" s="62" t="n"/>
      <c r="H185" s="62" t="n"/>
      <c r="I185" s="62" t="n"/>
      <c r="J185" s="62" t="n"/>
      <c r="K185" s="62" t="n"/>
      <c r="L185" s="62" t="n"/>
      <c r="M185" s="62" t="n"/>
      <c r="N185" s="62" t="n"/>
      <c r="O185" s="62" t="n"/>
      <c r="P185" s="62" t="n"/>
      <c r="Q185" s="58" t="n"/>
      <c r="R185" s="66">
        <f>IF(AND(tblSafety[[#This Row],[Hours_Employees]]="",tblSafety[[#This Row],[Hours_Contractors]]=""),"",N(tblSafety[[#This Row],[Hours_Employees]])+N(tblSafety[[#This Row],[Hours_Contractors]]))</f>
        <v/>
      </c>
      <c r="S185" s="64">
        <f>IF(AND(tblSafety[[#This Row],[Fatality]]="",tblSafety[[#This Row],[LTI]]="",tblSafety[[#This Row],[RWI]]="",tblSafety[[#This Row],[MTI]]=""),"",N(tblSafety[[#This Row],[Fatality]])+N(tblSafety[[#This Row],[LTI]])+N(tblSafety[[#This Row],[RWI]])+N(tblSafety[[#This Row],[MTI]]))</f>
        <v/>
      </c>
    </row>
    <row r="186">
      <c r="A186" s="54" t="n">
        <v>46203</v>
      </c>
      <c r="B186" s="57" t="n"/>
      <c r="C186" s="57" t="n"/>
      <c r="D186" s="62" t="n"/>
      <c r="E186" s="62" t="n"/>
      <c r="F186" s="62" t="n"/>
      <c r="G186" s="62" t="n"/>
      <c r="H186" s="62" t="n"/>
      <c r="I186" s="62" t="n"/>
      <c r="J186" s="62" t="n"/>
      <c r="K186" s="62" t="n"/>
      <c r="L186" s="62" t="n"/>
      <c r="M186" s="62" t="n"/>
      <c r="N186" s="62" t="n"/>
      <c r="O186" s="62" t="n"/>
      <c r="P186" s="62" t="n"/>
      <c r="Q186" s="58" t="n"/>
      <c r="R186" s="66">
        <f>IF(AND(tblSafety[[#This Row],[Hours_Employees]]="",tblSafety[[#This Row],[Hours_Contractors]]=""),"",N(tblSafety[[#This Row],[Hours_Employees]])+N(tblSafety[[#This Row],[Hours_Contractors]]))</f>
        <v/>
      </c>
      <c r="S186" s="64">
        <f>IF(AND(tblSafety[[#This Row],[Fatality]]="",tblSafety[[#This Row],[LTI]]="",tblSafety[[#This Row],[RWI]]="",tblSafety[[#This Row],[MTI]]=""),"",N(tblSafety[[#This Row],[Fatality]])+N(tblSafety[[#This Row],[LTI]])+N(tblSafety[[#This Row],[RWI]])+N(tblSafety[[#This Row],[MTI]]))</f>
        <v/>
      </c>
    </row>
    <row r="187">
      <c r="A187" s="54" t="n">
        <v>46204</v>
      </c>
      <c r="B187" s="57" t="n"/>
      <c r="C187" s="57" t="n"/>
      <c r="D187" s="62" t="n"/>
      <c r="E187" s="62" t="n"/>
      <c r="F187" s="62" t="n"/>
      <c r="G187" s="62" t="n"/>
      <c r="H187" s="62" t="n"/>
      <c r="I187" s="62" t="n"/>
      <c r="J187" s="62" t="n"/>
      <c r="K187" s="62" t="n"/>
      <c r="L187" s="62" t="n"/>
      <c r="M187" s="62" t="n"/>
      <c r="N187" s="62" t="n"/>
      <c r="O187" s="62" t="n"/>
      <c r="P187" s="62" t="n"/>
      <c r="Q187" s="58" t="n"/>
      <c r="R187" s="66">
        <f>IF(AND(tblSafety[[#This Row],[Hours_Employees]]="",tblSafety[[#This Row],[Hours_Contractors]]=""),"",N(tblSafety[[#This Row],[Hours_Employees]])+N(tblSafety[[#This Row],[Hours_Contractors]]))</f>
        <v/>
      </c>
      <c r="S187" s="64">
        <f>IF(AND(tblSafety[[#This Row],[Fatality]]="",tblSafety[[#This Row],[LTI]]="",tblSafety[[#This Row],[RWI]]="",tblSafety[[#This Row],[MTI]]=""),"",N(tblSafety[[#This Row],[Fatality]])+N(tblSafety[[#This Row],[LTI]])+N(tblSafety[[#This Row],[RWI]])+N(tblSafety[[#This Row],[MTI]]))</f>
        <v/>
      </c>
    </row>
    <row r="188">
      <c r="A188" s="54" t="n">
        <v>46205</v>
      </c>
      <c r="B188" s="57" t="n"/>
      <c r="C188" s="57" t="n"/>
      <c r="D188" s="62" t="n"/>
      <c r="E188" s="62" t="n"/>
      <c r="F188" s="62" t="n"/>
      <c r="G188" s="62" t="n"/>
      <c r="H188" s="62" t="n"/>
      <c r="I188" s="62" t="n"/>
      <c r="J188" s="62" t="n"/>
      <c r="K188" s="62" t="n"/>
      <c r="L188" s="62" t="n"/>
      <c r="M188" s="62" t="n"/>
      <c r="N188" s="62" t="n"/>
      <c r="O188" s="62" t="n"/>
      <c r="P188" s="62" t="n"/>
      <c r="Q188" s="58" t="n"/>
      <c r="R188" s="66">
        <f>IF(AND(tblSafety[[#This Row],[Hours_Employees]]="",tblSafety[[#This Row],[Hours_Contractors]]=""),"",N(tblSafety[[#This Row],[Hours_Employees]])+N(tblSafety[[#This Row],[Hours_Contractors]]))</f>
        <v/>
      </c>
      <c r="S188" s="64">
        <f>IF(AND(tblSafety[[#This Row],[Fatality]]="",tblSafety[[#This Row],[LTI]]="",tblSafety[[#This Row],[RWI]]="",tblSafety[[#This Row],[MTI]]=""),"",N(tblSafety[[#This Row],[Fatality]])+N(tblSafety[[#This Row],[LTI]])+N(tblSafety[[#This Row],[RWI]])+N(tblSafety[[#This Row],[MTI]]))</f>
        <v/>
      </c>
    </row>
    <row r="189">
      <c r="A189" s="54" t="n">
        <v>46206</v>
      </c>
      <c r="B189" s="57" t="n"/>
      <c r="C189" s="57" t="n"/>
      <c r="D189" s="62" t="n"/>
      <c r="E189" s="62" t="n"/>
      <c r="F189" s="62" t="n"/>
      <c r="G189" s="62" t="n"/>
      <c r="H189" s="62" t="n"/>
      <c r="I189" s="62" t="n"/>
      <c r="J189" s="62" t="n"/>
      <c r="K189" s="62" t="n"/>
      <c r="L189" s="62" t="n"/>
      <c r="M189" s="62" t="n"/>
      <c r="N189" s="62" t="n"/>
      <c r="O189" s="62" t="n"/>
      <c r="P189" s="62" t="n"/>
      <c r="Q189" s="58" t="n"/>
      <c r="R189" s="66">
        <f>IF(AND(tblSafety[[#This Row],[Hours_Employees]]="",tblSafety[[#This Row],[Hours_Contractors]]=""),"",N(tblSafety[[#This Row],[Hours_Employees]])+N(tblSafety[[#This Row],[Hours_Contractors]]))</f>
        <v/>
      </c>
      <c r="S189" s="64">
        <f>IF(AND(tblSafety[[#This Row],[Fatality]]="",tblSafety[[#This Row],[LTI]]="",tblSafety[[#This Row],[RWI]]="",tblSafety[[#This Row],[MTI]]=""),"",N(tblSafety[[#This Row],[Fatality]])+N(tblSafety[[#This Row],[LTI]])+N(tblSafety[[#This Row],[RWI]])+N(tblSafety[[#This Row],[MTI]]))</f>
        <v/>
      </c>
    </row>
    <row r="190">
      <c r="A190" s="54" t="n">
        <v>46207</v>
      </c>
      <c r="B190" s="57" t="n"/>
      <c r="C190" s="57" t="n"/>
      <c r="D190" s="62" t="n"/>
      <c r="E190" s="62" t="n"/>
      <c r="F190" s="62" t="n"/>
      <c r="G190" s="62" t="n"/>
      <c r="H190" s="62" t="n"/>
      <c r="I190" s="62" t="n"/>
      <c r="J190" s="62" t="n"/>
      <c r="K190" s="62" t="n"/>
      <c r="L190" s="62" t="n"/>
      <c r="M190" s="62" t="n"/>
      <c r="N190" s="62" t="n"/>
      <c r="O190" s="62" t="n"/>
      <c r="P190" s="62" t="n"/>
      <c r="Q190" s="58" t="n"/>
      <c r="R190" s="66">
        <f>IF(AND(tblSafety[[#This Row],[Hours_Employees]]="",tblSafety[[#This Row],[Hours_Contractors]]=""),"",N(tblSafety[[#This Row],[Hours_Employees]])+N(tblSafety[[#This Row],[Hours_Contractors]]))</f>
        <v/>
      </c>
      <c r="S190" s="64">
        <f>IF(AND(tblSafety[[#This Row],[Fatality]]="",tblSafety[[#This Row],[LTI]]="",tblSafety[[#This Row],[RWI]]="",tblSafety[[#This Row],[MTI]]=""),"",N(tblSafety[[#This Row],[Fatality]])+N(tblSafety[[#This Row],[LTI]])+N(tblSafety[[#This Row],[RWI]])+N(tblSafety[[#This Row],[MTI]]))</f>
        <v/>
      </c>
    </row>
    <row r="191">
      <c r="A191" s="54" t="n">
        <v>46208</v>
      </c>
      <c r="B191" s="57" t="n"/>
      <c r="C191" s="57" t="n"/>
      <c r="D191" s="62" t="n"/>
      <c r="E191" s="62" t="n"/>
      <c r="F191" s="62" t="n"/>
      <c r="G191" s="62" t="n"/>
      <c r="H191" s="62" t="n"/>
      <c r="I191" s="62" t="n"/>
      <c r="J191" s="62" t="n"/>
      <c r="K191" s="62" t="n"/>
      <c r="L191" s="62" t="n"/>
      <c r="M191" s="62" t="n"/>
      <c r="N191" s="62" t="n"/>
      <c r="O191" s="62" t="n"/>
      <c r="P191" s="62" t="n"/>
      <c r="Q191" s="58" t="n"/>
      <c r="R191" s="66">
        <f>IF(AND(tblSafety[[#This Row],[Hours_Employees]]="",tblSafety[[#This Row],[Hours_Contractors]]=""),"",N(tblSafety[[#This Row],[Hours_Employees]])+N(tblSafety[[#This Row],[Hours_Contractors]]))</f>
        <v/>
      </c>
      <c r="S191" s="64">
        <f>IF(AND(tblSafety[[#This Row],[Fatality]]="",tblSafety[[#This Row],[LTI]]="",tblSafety[[#This Row],[RWI]]="",tblSafety[[#This Row],[MTI]]=""),"",N(tblSafety[[#This Row],[Fatality]])+N(tblSafety[[#This Row],[LTI]])+N(tblSafety[[#This Row],[RWI]])+N(tblSafety[[#This Row],[MTI]]))</f>
        <v/>
      </c>
    </row>
    <row r="192">
      <c r="A192" s="54" t="n">
        <v>46209</v>
      </c>
      <c r="B192" s="57" t="n"/>
      <c r="C192" s="57" t="n"/>
      <c r="D192" s="62" t="n"/>
      <c r="E192" s="62" t="n"/>
      <c r="F192" s="62" t="n"/>
      <c r="G192" s="62" t="n"/>
      <c r="H192" s="62" t="n"/>
      <c r="I192" s="62" t="n"/>
      <c r="J192" s="62" t="n"/>
      <c r="K192" s="62" t="n"/>
      <c r="L192" s="62" t="n"/>
      <c r="M192" s="62" t="n"/>
      <c r="N192" s="62" t="n"/>
      <c r="O192" s="62" t="n"/>
      <c r="P192" s="62" t="n"/>
      <c r="Q192" s="58" t="n"/>
      <c r="R192" s="66">
        <f>IF(AND(tblSafety[[#This Row],[Hours_Employees]]="",tblSafety[[#This Row],[Hours_Contractors]]=""),"",N(tblSafety[[#This Row],[Hours_Employees]])+N(tblSafety[[#This Row],[Hours_Contractors]]))</f>
        <v/>
      </c>
      <c r="S192" s="64">
        <f>IF(AND(tblSafety[[#This Row],[Fatality]]="",tblSafety[[#This Row],[LTI]]="",tblSafety[[#This Row],[RWI]]="",tblSafety[[#This Row],[MTI]]=""),"",N(tblSafety[[#This Row],[Fatality]])+N(tblSafety[[#This Row],[LTI]])+N(tblSafety[[#This Row],[RWI]])+N(tblSafety[[#This Row],[MTI]]))</f>
        <v/>
      </c>
    </row>
    <row r="193">
      <c r="A193" s="54" t="n">
        <v>46210</v>
      </c>
      <c r="B193" s="57" t="n"/>
      <c r="C193" s="57" t="n"/>
      <c r="D193" s="62" t="n"/>
      <c r="E193" s="62" t="n"/>
      <c r="F193" s="62" t="n"/>
      <c r="G193" s="62" t="n"/>
      <c r="H193" s="62" t="n"/>
      <c r="I193" s="62" t="n"/>
      <c r="J193" s="62" t="n"/>
      <c r="K193" s="62" t="n"/>
      <c r="L193" s="62" t="n"/>
      <c r="M193" s="62" t="n"/>
      <c r="N193" s="62" t="n"/>
      <c r="O193" s="62" t="n"/>
      <c r="P193" s="62" t="n"/>
      <c r="Q193" s="58" t="n"/>
      <c r="R193" s="66">
        <f>IF(AND(tblSafety[[#This Row],[Hours_Employees]]="",tblSafety[[#This Row],[Hours_Contractors]]=""),"",N(tblSafety[[#This Row],[Hours_Employees]])+N(tblSafety[[#This Row],[Hours_Contractors]]))</f>
        <v/>
      </c>
      <c r="S193" s="64">
        <f>IF(AND(tblSafety[[#This Row],[Fatality]]="",tblSafety[[#This Row],[LTI]]="",tblSafety[[#This Row],[RWI]]="",tblSafety[[#This Row],[MTI]]=""),"",N(tblSafety[[#This Row],[Fatality]])+N(tblSafety[[#This Row],[LTI]])+N(tblSafety[[#This Row],[RWI]])+N(tblSafety[[#This Row],[MTI]]))</f>
        <v/>
      </c>
    </row>
    <row r="194">
      <c r="A194" s="54" t="n">
        <v>46211</v>
      </c>
      <c r="B194" s="57" t="n"/>
      <c r="C194" s="57" t="n"/>
      <c r="D194" s="62" t="n"/>
      <c r="E194" s="62" t="n"/>
      <c r="F194" s="62" t="n"/>
      <c r="G194" s="62" t="n"/>
      <c r="H194" s="62" t="n"/>
      <c r="I194" s="62" t="n"/>
      <c r="J194" s="62" t="n"/>
      <c r="K194" s="62" t="n"/>
      <c r="L194" s="62" t="n"/>
      <c r="M194" s="62" t="n"/>
      <c r="N194" s="62" t="n"/>
      <c r="O194" s="62" t="n"/>
      <c r="P194" s="62" t="n"/>
      <c r="Q194" s="58" t="n"/>
      <c r="R194" s="66">
        <f>IF(AND(tblSafety[[#This Row],[Hours_Employees]]="",tblSafety[[#This Row],[Hours_Contractors]]=""),"",N(tblSafety[[#This Row],[Hours_Employees]])+N(tblSafety[[#This Row],[Hours_Contractors]]))</f>
        <v/>
      </c>
      <c r="S194" s="64">
        <f>IF(AND(tblSafety[[#This Row],[Fatality]]="",tblSafety[[#This Row],[LTI]]="",tblSafety[[#This Row],[RWI]]="",tblSafety[[#This Row],[MTI]]=""),"",N(tblSafety[[#This Row],[Fatality]])+N(tblSafety[[#This Row],[LTI]])+N(tblSafety[[#This Row],[RWI]])+N(tblSafety[[#This Row],[MTI]]))</f>
        <v/>
      </c>
    </row>
    <row r="195">
      <c r="A195" s="54" t="n">
        <v>46212</v>
      </c>
      <c r="B195" s="57" t="n"/>
      <c r="C195" s="57" t="n"/>
      <c r="D195" s="62" t="n"/>
      <c r="E195" s="62" t="n"/>
      <c r="F195" s="62" t="n"/>
      <c r="G195" s="62" t="n"/>
      <c r="H195" s="62" t="n"/>
      <c r="I195" s="62" t="n"/>
      <c r="J195" s="62" t="n"/>
      <c r="K195" s="62" t="n"/>
      <c r="L195" s="62" t="n"/>
      <c r="M195" s="62" t="n"/>
      <c r="N195" s="62" t="n"/>
      <c r="O195" s="62" t="n"/>
      <c r="P195" s="62" t="n"/>
      <c r="Q195" s="58" t="n"/>
      <c r="R195" s="66">
        <f>IF(AND(tblSafety[[#This Row],[Hours_Employees]]="",tblSafety[[#This Row],[Hours_Contractors]]=""),"",N(tblSafety[[#This Row],[Hours_Employees]])+N(tblSafety[[#This Row],[Hours_Contractors]]))</f>
        <v/>
      </c>
      <c r="S195" s="64">
        <f>IF(AND(tblSafety[[#This Row],[Fatality]]="",tblSafety[[#This Row],[LTI]]="",tblSafety[[#This Row],[RWI]]="",tblSafety[[#This Row],[MTI]]=""),"",N(tblSafety[[#This Row],[Fatality]])+N(tblSafety[[#This Row],[LTI]])+N(tblSafety[[#This Row],[RWI]])+N(tblSafety[[#This Row],[MTI]]))</f>
        <v/>
      </c>
    </row>
    <row r="196">
      <c r="A196" s="54" t="n">
        <v>46213</v>
      </c>
      <c r="B196" s="57" t="n"/>
      <c r="C196" s="57" t="n"/>
      <c r="D196" s="62" t="n"/>
      <c r="E196" s="62" t="n"/>
      <c r="F196" s="62" t="n"/>
      <c r="G196" s="62" t="n"/>
      <c r="H196" s="62" t="n"/>
      <c r="I196" s="62" t="n"/>
      <c r="J196" s="62" t="n"/>
      <c r="K196" s="62" t="n"/>
      <c r="L196" s="62" t="n"/>
      <c r="M196" s="62" t="n"/>
      <c r="N196" s="62" t="n"/>
      <c r="O196" s="62" t="n"/>
      <c r="P196" s="62" t="n"/>
      <c r="Q196" s="58" t="n"/>
      <c r="R196" s="66">
        <f>IF(AND(tblSafety[[#This Row],[Hours_Employees]]="",tblSafety[[#This Row],[Hours_Contractors]]=""),"",N(tblSafety[[#This Row],[Hours_Employees]])+N(tblSafety[[#This Row],[Hours_Contractors]]))</f>
        <v/>
      </c>
      <c r="S196" s="64">
        <f>IF(AND(tblSafety[[#This Row],[Fatality]]="",tblSafety[[#This Row],[LTI]]="",tblSafety[[#This Row],[RWI]]="",tblSafety[[#This Row],[MTI]]=""),"",N(tblSafety[[#This Row],[Fatality]])+N(tblSafety[[#This Row],[LTI]])+N(tblSafety[[#This Row],[RWI]])+N(tblSafety[[#This Row],[MTI]]))</f>
        <v/>
      </c>
    </row>
    <row r="197">
      <c r="A197" s="54" t="n">
        <v>46214</v>
      </c>
      <c r="B197" s="57" t="n"/>
      <c r="C197" s="57" t="n"/>
      <c r="D197" s="62" t="n"/>
      <c r="E197" s="62" t="n"/>
      <c r="F197" s="62" t="n"/>
      <c r="G197" s="62" t="n"/>
      <c r="H197" s="62" t="n"/>
      <c r="I197" s="62" t="n"/>
      <c r="J197" s="62" t="n"/>
      <c r="K197" s="62" t="n"/>
      <c r="L197" s="62" t="n"/>
      <c r="M197" s="62" t="n"/>
      <c r="N197" s="62" t="n"/>
      <c r="O197" s="62" t="n"/>
      <c r="P197" s="62" t="n"/>
      <c r="Q197" s="58" t="n"/>
      <c r="R197" s="66">
        <f>IF(AND(tblSafety[[#This Row],[Hours_Employees]]="",tblSafety[[#This Row],[Hours_Contractors]]=""),"",N(tblSafety[[#This Row],[Hours_Employees]])+N(tblSafety[[#This Row],[Hours_Contractors]]))</f>
        <v/>
      </c>
      <c r="S197" s="64">
        <f>IF(AND(tblSafety[[#This Row],[Fatality]]="",tblSafety[[#This Row],[LTI]]="",tblSafety[[#This Row],[RWI]]="",tblSafety[[#This Row],[MTI]]=""),"",N(tblSafety[[#This Row],[Fatality]])+N(tblSafety[[#This Row],[LTI]])+N(tblSafety[[#This Row],[RWI]])+N(tblSafety[[#This Row],[MTI]]))</f>
        <v/>
      </c>
    </row>
    <row r="198">
      <c r="A198" s="54" t="n">
        <v>46215</v>
      </c>
      <c r="B198" s="57" t="n"/>
      <c r="C198" s="57" t="n"/>
      <c r="D198" s="62" t="n"/>
      <c r="E198" s="62" t="n"/>
      <c r="F198" s="62" t="n"/>
      <c r="G198" s="62" t="n"/>
      <c r="H198" s="62" t="n"/>
      <c r="I198" s="62" t="n"/>
      <c r="J198" s="62" t="n"/>
      <c r="K198" s="62" t="n"/>
      <c r="L198" s="62" t="n"/>
      <c r="M198" s="62" t="n"/>
      <c r="N198" s="62" t="n"/>
      <c r="O198" s="62" t="n"/>
      <c r="P198" s="62" t="n"/>
      <c r="Q198" s="58" t="n"/>
      <c r="R198" s="66">
        <f>IF(AND(tblSafety[[#This Row],[Hours_Employees]]="",tblSafety[[#This Row],[Hours_Contractors]]=""),"",N(tblSafety[[#This Row],[Hours_Employees]])+N(tblSafety[[#This Row],[Hours_Contractors]]))</f>
        <v/>
      </c>
      <c r="S198" s="64">
        <f>IF(AND(tblSafety[[#This Row],[Fatality]]="",tblSafety[[#This Row],[LTI]]="",tblSafety[[#This Row],[RWI]]="",tblSafety[[#This Row],[MTI]]=""),"",N(tblSafety[[#This Row],[Fatality]])+N(tblSafety[[#This Row],[LTI]])+N(tblSafety[[#This Row],[RWI]])+N(tblSafety[[#This Row],[MTI]]))</f>
        <v/>
      </c>
    </row>
    <row r="199">
      <c r="A199" s="54" t="n">
        <v>46216</v>
      </c>
      <c r="B199" s="57" t="n"/>
      <c r="C199" s="57" t="n"/>
      <c r="D199" s="62" t="n"/>
      <c r="E199" s="62" t="n"/>
      <c r="F199" s="62" t="n"/>
      <c r="G199" s="62" t="n"/>
      <c r="H199" s="62" t="n"/>
      <c r="I199" s="62" t="n"/>
      <c r="J199" s="62" t="n"/>
      <c r="K199" s="62" t="n"/>
      <c r="L199" s="62" t="n"/>
      <c r="M199" s="62" t="n"/>
      <c r="N199" s="62" t="n"/>
      <c r="O199" s="62" t="n"/>
      <c r="P199" s="62" t="n"/>
      <c r="Q199" s="58" t="n"/>
      <c r="R199" s="66">
        <f>IF(AND(tblSafety[[#This Row],[Hours_Employees]]="",tblSafety[[#This Row],[Hours_Contractors]]=""),"",N(tblSafety[[#This Row],[Hours_Employees]])+N(tblSafety[[#This Row],[Hours_Contractors]]))</f>
        <v/>
      </c>
      <c r="S199" s="64">
        <f>IF(AND(tblSafety[[#This Row],[Fatality]]="",tblSafety[[#This Row],[LTI]]="",tblSafety[[#This Row],[RWI]]="",tblSafety[[#This Row],[MTI]]=""),"",N(tblSafety[[#This Row],[Fatality]])+N(tblSafety[[#This Row],[LTI]])+N(tblSafety[[#This Row],[RWI]])+N(tblSafety[[#This Row],[MTI]]))</f>
        <v/>
      </c>
    </row>
    <row r="200">
      <c r="A200" s="54" t="n">
        <v>46217</v>
      </c>
      <c r="B200" s="57" t="n"/>
      <c r="C200" s="57" t="n"/>
      <c r="D200" s="62" t="n"/>
      <c r="E200" s="62" t="n"/>
      <c r="F200" s="62" t="n"/>
      <c r="G200" s="62" t="n"/>
      <c r="H200" s="62" t="n"/>
      <c r="I200" s="62" t="n"/>
      <c r="J200" s="62" t="n"/>
      <c r="K200" s="62" t="n"/>
      <c r="L200" s="62" t="n"/>
      <c r="M200" s="62" t="n"/>
      <c r="N200" s="62" t="n"/>
      <c r="O200" s="62" t="n"/>
      <c r="P200" s="62" t="n"/>
      <c r="Q200" s="58" t="n"/>
      <c r="R200" s="66">
        <f>IF(AND(tblSafety[[#This Row],[Hours_Employees]]="",tblSafety[[#This Row],[Hours_Contractors]]=""),"",N(tblSafety[[#This Row],[Hours_Employees]])+N(tblSafety[[#This Row],[Hours_Contractors]]))</f>
        <v/>
      </c>
      <c r="S200" s="64">
        <f>IF(AND(tblSafety[[#This Row],[Fatality]]="",tblSafety[[#This Row],[LTI]]="",tblSafety[[#This Row],[RWI]]="",tblSafety[[#This Row],[MTI]]=""),"",N(tblSafety[[#This Row],[Fatality]])+N(tblSafety[[#This Row],[LTI]])+N(tblSafety[[#This Row],[RWI]])+N(tblSafety[[#This Row],[MTI]]))</f>
        <v/>
      </c>
    </row>
    <row r="201">
      <c r="A201" s="54" t="n">
        <v>46218</v>
      </c>
      <c r="B201" s="57" t="n"/>
      <c r="C201" s="57" t="n"/>
      <c r="D201" s="62" t="n"/>
      <c r="E201" s="62" t="n"/>
      <c r="F201" s="62" t="n"/>
      <c r="G201" s="62" t="n"/>
      <c r="H201" s="62" t="n"/>
      <c r="I201" s="62" t="n"/>
      <c r="J201" s="62" t="n"/>
      <c r="K201" s="62" t="n"/>
      <c r="L201" s="62" t="n"/>
      <c r="M201" s="62" t="n"/>
      <c r="N201" s="62" t="n"/>
      <c r="O201" s="62" t="n"/>
      <c r="P201" s="62" t="n"/>
      <c r="Q201" s="58" t="n"/>
      <c r="R201" s="66">
        <f>IF(AND(tblSafety[[#This Row],[Hours_Employees]]="",tblSafety[[#This Row],[Hours_Contractors]]=""),"",N(tblSafety[[#This Row],[Hours_Employees]])+N(tblSafety[[#This Row],[Hours_Contractors]]))</f>
        <v/>
      </c>
      <c r="S201" s="64">
        <f>IF(AND(tblSafety[[#This Row],[Fatality]]="",tblSafety[[#This Row],[LTI]]="",tblSafety[[#This Row],[RWI]]="",tblSafety[[#This Row],[MTI]]=""),"",N(tblSafety[[#This Row],[Fatality]])+N(tblSafety[[#This Row],[LTI]])+N(tblSafety[[#This Row],[RWI]])+N(tblSafety[[#This Row],[MTI]]))</f>
        <v/>
      </c>
    </row>
    <row r="202">
      <c r="A202" s="54" t="n">
        <v>46219</v>
      </c>
      <c r="B202" s="57" t="n"/>
      <c r="C202" s="57" t="n"/>
      <c r="D202" s="62" t="n"/>
      <c r="E202" s="62" t="n"/>
      <c r="F202" s="62" t="n"/>
      <c r="G202" s="62" t="n"/>
      <c r="H202" s="62" t="n"/>
      <c r="I202" s="62" t="n"/>
      <c r="J202" s="62" t="n"/>
      <c r="K202" s="62" t="n"/>
      <c r="L202" s="62" t="n"/>
      <c r="M202" s="62" t="n"/>
      <c r="N202" s="62" t="n"/>
      <c r="O202" s="62" t="n"/>
      <c r="P202" s="62" t="n"/>
      <c r="Q202" s="58" t="n"/>
      <c r="R202" s="66">
        <f>IF(AND(tblSafety[[#This Row],[Hours_Employees]]="",tblSafety[[#This Row],[Hours_Contractors]]=""),"",N(tblSafety[[#This Row],[Hours_Employees]])+N(tblSafety[[#This Row],[Hours_Contractors]]))</f>
        <v/>
      </c>
      <c r="S202" s="64">
        <f>IF(AND(tblSafety[[#This Row],[Fatality]]="",tblSafety[[#This Row],[LTI]]="",tblSafety[[#This Row],[RWI]]="",tblSafety[[#This Row],[MTI]]=""),"",N(tblSafety[[#This Row],[Fatality]])+N(tblSafety[[#This Row],[LTI]])+N(tblSafety[[#This Row],[RWI]])+N(tblSafety[[#This Row],[MTI]]))</f>
        <v/>
      </c>
    </row>
    <row r="203">
      <c r="A203" s="54" t="n">
        <v>46220</v>
      </c>
      <c r="B203" s="57" t="n"/>
      <c r="C203" s="57" t="n"/>
      <c r="D203" s="62" t="n"/>
      <c r="E203" s="62" t="n"/>
      <c r="F203" s="62" t="n"/>
      <c r="G203" s="62" t="n"/>
      <c r="H203" s="62" t="n"/>
      <c r="I203" s="62" t="n"/>
      <c r="J203" s="62" t="n"/>
      <c r="K203" s="62" t="n"/>
      <c r="L203" s="62" t="n"/>
      <c r="M203" s="62" t="n"/>
      <c r="N203" s="62" t="n"/>
      <c r="O203" s="62" t="n"/>
      <c r="P203" s="62" t="n"/>
      <c r="Q203" s="58" t="n"/>
      <c r="R203" s="66">
        <f>IF(AND(tblSafety[[#This Row],[Hours_Employees]]="",tblSafety[[#This Row],[Hours_Contractors]]=""),"",N(tblSafety[[#This Row],[Hours_Employees]])+N(tblSafety[[#This Row],[Hours_Contractors]]))</f>
        <v/>
      </c>
      <c r="S203" s="64">
        <f>IF(AND(tblSafety[[#This Row],[Fatality]]="",tblSafety[[#This Row],[LTI]]="",tblSafety[[#This Row],[RWI]]="",tblSafety[[#This Row],[MTI]]=""),"",N(tblSafety[[#This Row],[Fatality]])+N(tblSafety[[#This Row],[LTI]])+N(tblSafety[[#This Row],[RWI]])+N(tblSafety[[#This Row],[MTI]]))</f>
        <v/>
      </c>
    </row>
    <row r="204">
      <c r="A204" s="54" t="n">
        <v>46221</v>
      </c>
      <c r="B204" s="57" t="n"/>
      <c r="C204" s="57" t="n"/>
      <c r="D204" s="62" t="n"/>
      <c r="E204" s="62" t="n"/>
      <c r="F204" s="62" t="n"/>
      <c r="G204" s="62" t="n"/>
      <c r="H204" s="62" t="n"/>
      <c r="I204" s="62" t="n"/>
      <c r="J204" s="62" t="n"/>
      <c r="K204" s="62" t="n"/>
      <c r="L204" s="62" t="n"/>
      <c r="M204" s="62" t="n"/>
      <c r="N204" s="62" t="n"/>
      <c r="O204" s="62" t="n"/>
      <c r="P204" s="62" t="n"/>
      <c r="Q204" s="58" t="n"/>
      <c r="R204" s="66">
        <f>IF(AND(tblSafety[[#This Row],[Hours_Employees]]="",tblSafety[[#This Row],[Hours_Contractors]]=""),"",N(tblSafety[[#This Row],[Hours_Employees]])+N(tblSafety[[#This Row],[Hours_Contractors]]))</f>
        <v/>
      </c>
      <c r="S204" s="64">
        <f>IF(AND(tblSafety[[#This Row],[Fatality]]="",tblSafety[[#This Row],[LTI]]="",tblSafety[[#This Row],[RWI]]="",tblSafety[[#This Row],[MTI]]=""),"",N(tblSafety[[#This Row],[Fatality]])+N(tblSafety[[#This Row],[LTI]])+N(tblSafety[[#This Row],[RWI]])+N(tblSafety[[#This Row],[MTI]]))</f>
        <v/>
      </c>
    </row>
    <row r="205">
      <c r="A205" s="54" t="n">
        <v>46222</v>
      </c>
      <c r="B205" s="57" t="n"/>
      <c r="C205" s="57" t="n"/>
      <c r="D205" s="62" t="n"/>
      <c r="E205" s="62" t="n"/>
      <c r="F205" s="62" t="n"/>
      <c r="G205" s="62" t="n"/>
      <c r="H205" s="62" t="n"/>
      <c r="I205" s="62" t="n"/>
      <c r="J205" s="62" t="n"/>
      <c r="K205" s="62" t="n"/>
      <c r="L205" s="62" t="n"/>
      <c r="M205" s="62" t="n"/>
      <c r="N205" s="62" t="n"/>
      <c r="O205" s="62" t="n"/>
      <c r="P205" s="62" t="n"/>
      <c r="Q205" s="58" t="n"/>
      <c r="R205" s="66">
        <f>IF(AND(tblSafety[[#This Row],[Hours_Employees]]="",tblSafety[[#This Row],[Hours_Contractors]]=""),"",N(tblSafety[[#This Row],[Hours_Employees]])+N(tblSafety[[#This Row],[Hours_Contractors]]))</f>
        <v/>
      </c>
      <c r="S205" s="64">
        <f>IF(AND(tblSafety[[#This Row],[Fatality]]="",tblSafety[[#This Row],[LTI]]="",tblSafety[[#This Row],[RWI]]="",tblSafety[[#This Row],[MTI]]=""),"",N(tblSafety[[#This Row],[Fatality]])+N(tblSafety[[#This Row],[LTI]])+N(tblSafety[[#This Row],[RWI]])+N(tblSafety[[#This Row],[MTI]]))</f>
        <v/>
      </c>
    </row>
    <row r="206">
      <c r="A206" s="54" t="n">
        <v>46223</v>
      </c>
      <c r="B206" s="57" t="n"/>
      <c r="C206" s="57" t="n"/>
      <c r="D206" s="62" t="n"/>
      <c r="E206" s="62" t="n"/>
      <c r="F206" s="62" t="n"/>
      <c r="G206" s="62" t="n"/>
      <c r="H206" s="62" t="n"/>
      <c r="I206" s="62" t="n"/>
      <c r="J206" s="62" t="n"/>
      <c r="K206" s="62" t="n"/>
      <c r="L206" s="62" t="n"/>
      <c r="M206" s="62" t="n"/>
      <c r="N206" s="62" t="n"/>
      <c r="O206" s="62" t="n"/>
      <c r="P206" s="62" t="n"/>
      <c r="Q206" s="58" t="n"/>
      <c r="R206" s="66">
        <f>IF(AND(tblSafety[[#This Row],[Hours_Employees]]="",tblSafety[[#This Row],[Hours_Contractors]]=""),"",N(tblSafety[[#This Row],[Hours_Employees]])+N(tblSafety[[#This Row],[Hours_Contractors]]))</f>
        <v/>
      </c>
      <c r="S206" s="64">
        <f>IF(AND(tblSafety[[#This Row],[Fatality]]="",tblSafety[[#This Row],[LTI]]="",tblSafety[[#This Row],[RWI]]="",tblSafety[[#This Row],[MTI]]=""),"",N(tblSafety[[#This Row],[Fatality]])+N(tblSafety[[#This Row],[LTI]])+N(tblSafety[[#This Row],[RWI]])+N(tblSafety[[#This Row],[MTI]]))</f>
        <v/>
      </c>
    </row>
    <row r="207">
      <c r="A207" s="54" t="n">
        <v>46224</v>
      </c>
      <c r="B207" s="57" t="n"/>
      <c r="C207" s="57" t="n"/>
      <c r="D207" s="62" t="n"/>
      <c r="E207" s="62" t="n"/>
      <c r="F207" s="62" t="n"/>
      <c r="G207" s="62" t="n"/>
      <c r="H207" s="62" t="n"/>
      <c r="I207" s="62" t="n"/>
      <c r="J207" s="62" t="n"/>
      <c r="K207" s="62" t="n"/>
      <c r="L207" s="62" t="n"/>
      <c r="M207" s="62" t="n"/>
      <c r="N207" s="62" t="n"/>
      <c r="O207" s="62" t="n"/>
      <c r="P207" s="62" t="n"/>
      <c r="Q207" s="58" t="n"/>
      <c r="R207" s="66">
        <f>IF(AND(tblSafety[[#This Row],[Hours_Employees]]="",tblSafety[[#This Row],[Hours_Contractors]]=""),"",N(tblSafety[[#This Row],[Hours_Employees]])+N(tblSafety[[#This Row],[Hours_Contractors]]))</f>
        <v/>
      </c>
      <c r="S207" s="64">
        <f>IF(AND(tblSafety[[#This Row],[Fatality]]="",tblSafety[[#This Row],[LTI]]="",tblSafety[[#This Row],[RWI]]="",tblSafety[[#This Row],[MTI]]=""),"",N(tblSafety[[#This Row],[Fatality]])+N(tblSafety[[#This Row],[LTI]])+N(tblSafety[[#This Row],[RWI]])+N(tblSafety[[#This Row],[MTI]]))</f>
        <v/>
      </c>
    </row>
    <row r="208">
      <c r="A208" s="54" t="n">
        <v>46225</v>
      </c>
      <c r="B208" s="57" t="n"/>
      <c r="C208" s="57" t="n"/>
      <c r="D208" s="62" t="n"/>
      <c r="E208" s="62" t="n"/>
      <c r="F208" s="62" t="n"/>
      <c r="G208" s="62" t="n"/>
      <c r="H208" s="62" t="n"/>
      <c r="I208" s="62" t="n"/>
      <c r="J208" s="62" t="n"/>
      <c r="K208" s="62" t="n"/>
      <c r="L208" s="62" t="n"/>
      <c r="M208" s="62" t="n"/>
      <c r="N208" s="62" t="n"/>
      <c r="O208" s="62" t="n"/>
      <c r="P208" s="62" t="n"/>
      <c r="Q208" s="58" t="n"/>
      <c r="R208" s="66">
        <f>IF(AND(tblSafety[[#This Row],[Hours_Employees]]="",tblSafety[[#This Row],[Hours_Contractors]]=""),"",N(tblSafety[[#This Row],[Hours_Employees]])+N(tblSafety[[#This Row],[Hours_Contractors]]))</f>
        <v/>
      </c>
      <c r="S208" s="64">
        <f>IF(AND(tblSafety[[#This Row],[Fatality]]="",tblSafety[[#This Row],[LTI]]="",tblSafety[[#This Row],[RWI]]="",tblSafety[[#This Row],[MTI]]=""),"",N(tblSafety[[#This Row],[Fatality]])+N(tblSafety[[#This Row],[LTI]])+N(tblSafety[[#This Row],[RWI]])+N(tblSafety[[#This Row],[MTI]]))</f>
        <v/>
      </c>
    </row>
    <row r="209">
      <c r="A209" s="54" t="n">
        <v>46226</v>
      </c>
      <c r="B209" s="57" t="n"/>
      <c r="C209" s="57" t="n"/>
      <c r="D209" s="62" t="n"/>
      <c r="E209" s="62" t="n"/>
      <c r="F209" s="62" t="n"/>
      <c r="G209" s="62" t="n"/>
      <c r="H209" s="62" t="n"/>
      <c r="I209" s="62" t="n"/>
      <c r="J209" s="62" t="n"/>
      <c r="K209" s="62" t="n"/>
      <c r="L209" s="62" t="n"/>
      <c r="M209" s="62" t="n"/>
      <c r="N209" s="62" t="n"/>
      <c r="O209" s="62" t="n"/>
      <c r="P209" s="62" t="n"/>
      <c r="Q209" s="58" t="n"/>
      <c r="R209" s="66">
        <f>IF(AND(tblSafety[[#This Row],[Hours_Employees]]="",tblSafety[[#This Row],[Hours_Contractors]]=""),"",N(tblSafety[[#This Row],[Hours_Employees]])+N(tblSafety[[#This Row],[Hours_Contractors]]))</f>
        <v/>
      </c>
      <c r="S209" s="64">
        <f>IF(AND(tblSafety[[#This Row],[Fatality]]="",tblSafety[[#This Row],[LTI]]="",tblSafety[[#This Row],[RWI]]="",tblSafety[[#This Row],[MTI]]=""),"",N(tblSafety[[#This Row],[Fatality]])+N(tblSafety[[#This Row],[LTI]])+N(tblSafety[[#This Row],[RWI]])+N(tblSafety[[#This Row],[MTI]]))</f>
        <v/>
      </c>
    </row>
    <row r="210">
      <c r="A210" s="54" t="n">
        <v>46227</v>
      </c>
      <c r="B210" s="57" t="n"/>
      <c r="C210" s="57" t="n"/>
      <c r="D210" s="62" t="n"/>
      <c r="E210" s="62" t="n"/>
      <c r="F210" s="62" t="n"/>
      <c r="G210" s="62" t="n"/>
      <c r="H210" s="62" t="n"/>
      <c r="I210" s="62" t="n"/>
      <c r="J210" s="62" t="n"/>
      <c r="K210" s="62" t="n"/>
      <c r="L210" s="62" t="n"/>
      <c r="M210" s="62" t="n"/>
      <c r="N210" s="62" t="n"/>
      <c r="O210" s="62" t="n"/>
      <c r="P210" s="62" t="n"/>
      <c r="Q210" s="58" t="n"/>
      <c r="R210" s="66">
        <f>IF(AND(tblSafety[[#This Row],[Hours_Employees]]="",tblSafety[[#This Row],[Hours_Contractors]]=""),"",N(tblSafety[[#This Row],[Hours_Employees]])+N(tblSafety[[#This Row],[Hours_Contractors]]))</f>
        <v/>
      </c>
      <c r="S210" s="64">
        <f>IF(AND(tblSafety[[#This Row],[Fatality]]="",tblSafety[[#This Row],[LTI]]="",tblSafety[[#This Row],[RWI]]="",tblSafety[[#This Row],[MTI]]=""),"",N(tblSafety[[#This Row],[Fatality]])+N(tblSafety[[#This Row],[LTI]])+N(tblSafety[[#This Row],[RWI]])+N(tblSafety[[#This Row],[MTI]]))</f>
        <v/>
      </c>
    </row>
    <row r="211">
      <c r="A211" s="54" t="n">
        <v>46228</v>
      </c>
      <c r="B211" s="57" t="n"/>
      <c r="C211" s="57" t="n"/>
      <c r="D211" s="62" t="n"/>
      <c r="E211" s="62" t="n"/>
      <c r="F211" s="62" t="n"/>
      <c r="G211" s="62" t="n"/>
      <c r="H211" s="62" t="n"/>
      <c r="I211" s="62" t="n"/>
      <c r="J211" s="62" t="n"/>
      <c r="K211" s="62" t="n"/>
      <c r="L211" s="62" t="n"/>
      <c r="M211" s="62" t="n"/>
      <c r="N211" s="62" t="n"/>
      <c r="O211" s="62" t="n"/>
      <c r="P211" s="62" t="n"/>
      <c r="Q211" s="58" t="n"/>
      <c r="R211" s="66">
        <f>IF(AND(tblSafety[[#This Row],[Hours_Employees]]="",tblSafety[[#This Row],[Hours_Contractors]]=""),"",N(tblSafety[[#This Row],[Hours_Employees]])+N(tblSafety[[#This Row],[Hours_Contractors]]))</f>
        <v/>
      </c>
      <c r="S211" s="64">
        <f>IF(AND(tblSafety[[#This Row],[Fatality]]="",tblSafety[[#This Row],[LTI]]="",tblSafety[[#This Row],[RWI]]="",tblSafety[[#This Row],[MTI]]=""),"",N(tblSafety[[#This Row],[Fatality]])+N(tblSafety[[#This Row],[LTI]])+N(tblSafety[[#This Row],[RWI]])+N(tblSafety[[#This Row],[MTI]]))</f>
        <v/>
      </c>
    </row>
    <row r="212">
      <c r="A212" s="54" t="n">
        <v>46229</v>
      </c>
      <c r="B212" s="57" t="n"/>
      <c r="C212" s="57" t="n"/>
      <c r="D212" s="62" t="n"/>
      <c r="E212" s="62" t="n"/>
      <c r="F212" s="62" t="n"/>
      <c r="G212" s="62" t="n"/>
      <c r="H212" s="62" t="n"/>
      <c r="I212" s="62" t="n"/>
      <c r="J212" s="62" t="n"/>
      <c r="K212" s="62" t="n"/>
      <c r="L212" s="62" t="n"/>
      <c r="M212" s="62" t="n"/>
      <c r="N212" s="62" t="n"/>
      <c r="O212" s="62" t="n"/>
      <c r="P212" s="62" t="n"/>
      <c r="Q212" s="58" t="n"/>
      <c r="R212" s="66">
        <f>IF(AND(tblSafety[[#This Row],[Hours_Employees]]="",tblSafety[[#This Row],[Hours_Contractors]]=""),"",N(tblSafety[[#This Row],[Hours_Employees]])+N(tblSafety[[#This Row],[Hours_Contractors]]))</f>
        <v/>
      </c>
      <c r="S212" s="64">
        <f>IF(AND(tblSafety[[#This Row],[Fatality]]="",tblSafety[[#This Row],[LTI]]="",tblSafety[[#This Row],[RWI]]="",tblSafety[[#This Row],[MTI]]=""),"",N(tblSafety[[#This Row],[Fatality]])+N(tblSafety[[#This Row],[LTI]])+N(tblSafety[[#This Row],[RWI]])+N(tblSafety[[#This Row],[MTI]]))</f>
        <v/>
      </c>
    </row>
    <row r="213">
      <c r="A213" s="54" t="n">
        <v>46230</v>
      </c>
      <c r="B213" s="57" t="n"/>
      <c r="C213" s="57" t="n"/>
      <c r="D213" s="62" t="n"/>
      <c r="E213" s="62" t="n"/>
      <c r="F213" s="62" t="n"/>
      <c r="G213" s="62" t="n"/>
      <c r="H213" s="62" t="n"/>
      <c r="I213" s="62" t="n"/>
      <c r="J213" s="62" t="n"/>
      <c r="K213" s="62" t="n"/>
      <c r="L213" s="62" t="n"/>
      <c r="M213" s="62" t="n"/>
      <c r="N213" s="62" t="n"/>
      <c r="O213" s="62" t="n"/>
      <c r="P213" s="62" t="n"/>
      <c r="Q213" s="58" t="n"/>
      <c r="R213" s="66">
        <f>IF(AND(tblSafety[[#This Row],[Hours_Employees]]="",tblSafety[[#This Row],[Hours_Contractors]]=""),"",N(tblSafety[[#This Row],[Hours_Employees]])+N(tblSafety[[#This Row],[Hours_Contractors]]))</f>
        <v/>
      </c>
      <c r="S213" s="64">
        <f>IF(AND(tblSafety[[#This Row],[Fatality]]="",tblSafety[[#This Row],[LTI]]="",tblSafety[[#This Row],[RWI]]="",tblSafety[[#This Row],[MTI]]=""),"",N(tblSafety[[#This Row],[Fatality]])+N(tblSafety[[#This Row],[LTI]])+N(tblSafety[[#This Row],[RWI]])+N(tblSafety[[#This Row],[MTI]]))</f>
        <v/>
      </c>
    </row>
    <row r="214">
      <c r="A214" s="54" t="n">
        <v>46231</v>
      </c>
      <c r="B214" s="57" t="n"/>
      <c r="C214" s="57" t="n"/>
      <c r="D214" s="62" t="n"/>
      <c r="E214" s="62" t="n"/>
      <c r="F214" s="62" t="n"/>
      <c r="G214" s="62" t="n"/>
      <c r="H214" s="62" t="n"/>
      <c r="I214" s="62" t="n"/>
      <c r="J214" s="62" t="n"/>
      <c r="K214" s="62" t="n"/>
      <c r="L214" s="62" t="n"/>
      <c r="M214" s="62" t="n"/>
      <c r="N214" s="62" t="n"/>
      <c r="O214" s="62" t="n"/>
      <c r="P214" s="62" t="n"/>
      <c r="Q214" s="58" t="n"/>
      <c r="R214" s="66">
        <f>IF(AND(tblSafety[[#This Row],[Hours_Employees]]="",tblSafety[[#This Row],[Hours_Contractors]]=""),"",N(tblSafety[[#This Row],[Hours_Employees]])+N(tblSafety[[#This Row],[Hours_Contractors]]))</f>
        <v/>
      </c>
      <c r="S214" s="64">
        <f>IF(AND(tblSafety[[#This Row],[Fatality]]="",tblSafety[[#This Row],[LTI]]="",tblSafety[[#This Row],[RWI]]="",tblSafety[[#This Row],[MTI]]=""),"",N(tblSafety[[#This Row],[Fatality]])+N(tblSafety[[#This Row],[LTI]])+N(tblSafety[[#This Row],[RWI]])+N(tblSafety[[#This Row],[MTI]]))</f>
        <v/>
      </c>
    </row>
    <row r="215">
      <c r="A215" s="54" t="n">
        <v>46232</v>
      </c>
      <c r="B215" s="57" t="n"/>
      <c r="C215" s="57" t="n"/>
      <c r="D215" s="62" t="n"/>
      <c r="E215" s="62" t="n"/>
      <c r="F215" s="62" t="n"/>
      <c r="G215" s="62" t="n"/>
      <c r="H215" s="62" t="n"/>
      <c r="I215" s="62" t="n"/>
      <c r="J215" s="62" t="n"/>
      <c r="K215" s="62" t="n"/>
      <c r="L215" s="62" t="n"/>
      <c r="M215" s="62" t="n"/>
      <c r="N215" s="62" t="n"/>
      <c r="O215" s="62" t="n"/>
      <c r="P215" s="62" t="n"/>
      <c r="Q215" s="58" t="n"/>
      <c r="R215" s="66">
        <f>IF(AND(tblSafety[[#This Row],[Hours_Employees]]="",tblSafety[[#This Row],[Hours_Contractors]]=""),"",N(tblSafety[[#This Row],[Hours_Employees]])+N(tblSafety[[#This Row],[Hours_Contractors]]))</f>
        <v/>
      </c>
      <c r="S215" s="64">
        <f>IF(AND(tblSafety[[#This Row],[Fatality]]="",tblSafety[[#This Row],[LTI]]="",tblSafety[[#This Row],[RWI]]="",tblSafety[[#This Row],[MTI]]=""),"",N(tblSafety[[#This Row],[Fatality]])+N(tblSafety[[#This Row],[LTI]])+N(tblSafety[[#This Row],[RWI]])+N(tblSafety[[#This Row],[MTI]]))</f>
        <v/>
      </c>
    </row>
    <row r="216">
      <c r="A216" s="54" t="n">
        <v>46233</v>
      </c>
      <c r="B216" s="57" t="n"/>
      <c r="C216" s="57" t="n"/>
      <c r="D216" s="62" t="n"/>
      <c r="E216" s="62" t="n"/>
      <c r="F216" s="62" t="n"/>
      <c r="G216" s="62" t="n"/>
      <c r="H216" s="62" t="n"/>
      <c r="I216" s="62" t="n"/>
      <c r="J216" s="62" t="n"/>
      <c r="K216" s="62" t="n"/>
      <c r="L216" s="62" t="n"/>
      <c r="M216" s="62" t="n"/>
      <c r="N216" s="62" t="n"/>
      <c r="O216" s="62" t="n"/>
      <c r="P216" s="62" t="n"/>
      <c r="Q216" s="58" t="n"/>
      <c r="R216" s="66">
        <f>IF(AND(tblSafety[[#This Row],[Hours_Employees]]="",tblSafety[[#This Row],[Hours_Contractors]]=""),"",N(tblSafety[[#This Row],[Hours_Employees]])+N(tblSafety[[#This Row],[Hours_Contractors]]))</f>
        <v/>
      </c>
      <c r="S216" s="64">
        <f>IF(AND(tblSafety[[#This Row],[Fatality]]="",tblSafety[[#This Row],[LTI]]="",tblSafety[[#This Row],[RWI]]="",tblSafety[[#This Row],[MTI]]=""),"",N(tblSafety[[#This Row],[Fatality]])+N(tblSafety[[#This Row],[LTI]])+N(tblSafety[[#This Row],[RWI]])+N(tblSafety[[#This Row],[MTI]]))</f>
        <v/>
      </c>
    </row>
    <row r="217">
      <c r="A217" s="54" t="n">
        <v>46234</v>
      </c>
      <c r="B217" s="57" t="n"/>
      <c r="C217" s="57" t="n"/>
      <c r="D217" s="62" t="n"/>
      <c r="E217" s="62" t="n"/>
      <c r="F217" s="62" t="n"/>
      <c r="G217" s="62" t="n"/>
      <c r="H217" s="62" t="n"/>
      <c r="I217" s="62" t="n"/>
      <c r="J217" s="62" t="n"/>
      <c r="K217" s="62" t="n"/>
      <c r="L217" s="62" t="n"/>
      <c r="M217" s="62" t="n"/>
      <c r="N217" s="62" t="n"/>
      <c r="O217" s="62" t="n"/>
      <c r="P217" s="62" t="n"/>
      <c r="Q217" s="58" t="n"/>
      <c r="R217" s="66">
        <f>IF(AND(tblSafety[[#This Row],[Hours_Employees]]="",tblSafety[[#This Row],[Hours_Contractors]]=""),"",N(tblSafety[[#This Row],[Hours_Employees]])+N(tblSafety[[#This Row],[Hours_Contractors]]))</f>
        <v/>
      </c>
      <c r="S217" s="64">
        <f>IF(AND(tblSafety[[#This Row],[Fatality]]="",tblSafety[[#This Row],[LTI]]="",tblSafety[[#This Row],[RWI]]="",tblSafety[[#This Row],[MTI]]=""),"",N(tblSafety[[#This Row],[Fatality]])+N(tblSafety[[#This Row],[LTI]])+N(tblSafety[[#This Row],[RWI]])+N(tblSafety[[#This Row],[MTI]]))</f>
        <v/>
      </c>
    </row>
    <row r="218">
      <c r="A218" s="54" t="n">
        <v>46235</v>
      </c>
      <c r="B218" s="57" t="n"/>
      <c r="C218" s="57" t="n"/>
      <c r="D218" s="62" t="n"/>
      <c r="E218" s="62" t="n"/>
      <c r="F218" s="62" t="n"/>
      <c r="G218" s="62" t="n"/>
      <c r="H218" s="62" t="n"/>
      <c r="I218" s="62" t="n"/>
      <c r="J218" s="62" t="n"/>
      <c r="K218" s="62" t="n"/>
      <c r="L218" s="62" t="n"/>
      <c r="M218" s="62" t="n"/>
      <c r="N218" s="62" t="n"/>
      <c r="O218" s="62" t="n"/>
      <c r="P218" s="62" t="n"/>
      <c r="Q218" s="58" t="n"/>
      <c r="R218" s="66">
        <f>IF(AND(tblSafety[[#This Row],[Hours_Employees]]="",tblSafety[[#This Row],[Hours_Contractors]]=""),"",N(tblSafety[[#This Row],[Hours_Employees]])+N(tblSafety[[#This Row],[Hours_Contractors]]))</f>
        <v/>
      </c>
      <c r="S218" s="64">
        <f>IF(AND(tblSafety[[#This Row],[Fatality]]="",tblSafety[[#This Row],[LTI]]="",tblSafety[[#This Row],[RWI]]="",tblSafety[[#This Row],[MTI]]=""),"",N(tblSafety[[#This Row],[Fatality]])+N(tblSafety[[#This Row],[LTI]])+N(tblSafety[[#This Row],[RWI]])+N(tblSafety[[#This Row],[MTI]]))</f>
        <v/>
      </c>
    </row>
    <row r="219">
      <c r="A219" s="54" t="n">
        <v>46236</v>
      </c>
      <c r="B219" s="57" t="n"/>
      <c r="C219" s="57" t="n"/>
      <c r="D219" s="62" t="n"/>
      <c r="E219" s="62" t="n"/>
      <c r="F219" s="62" t="n"/>
      <c r="G219" s="62" t="n"/>
      <c r="H219" s="62" t="n"/>
      <c r="I219" s="62" t="n"/>
      <c r="J219" s="62" t="n"/>
      <c r="K219" s="62" t="n"/>
      <c r="L219" s="62" t="n"/>
      <c r="M219" s="62" t="n"/>
      <c r="N219" s="62" t="n"/>
      <c r="O219" s="62" t="n"/>
      <c r="P219" s="62" t="n"/>
      <c r="Q219" s="58" t="n"/>
      <c r="R219" s="66">
        <f>IF(AND(tblSafety[[#This Row],[Hours_Employees]]="",tblSafety[[#This Row],[Hours_Contractors]]=""),"",N(tblSafety[[#This Row],[Hours_Employees]])+N(tblSafety[[#This Row],[Hours_Contractors]]))</f>
        <v/>
      </c>
      <c r="S219" s="64">
        <f>IF(AND(tblSafety[[#This Row],[Fatality]]="",tblSafety[[#This Row],[LTI]]="",tblSafety[[#This Row],[RWI]]="",tblSafety[[#This Row],[MTI]]=""),"",N(tblSafety[[#This Row],[Fatality]])+N(tblSafety[[#This Row],[LTI]])+N(tblSafety[[#This Row],[RWI]])+N(tblSafety[[#This Row],[MTI]]))</f>
        <v/>
      </c>
    </row>
    <row r="220">
      <c r="A220" s="54" t="n">
        <v>46237</v>
      </c>
      <c r="B220" s="57" t="n"/>
      <c r="C220" s="57" t="n"/>
      <c r="D220" s="62" t="n"/>
      <c r="E220" s="62" t="n"/>
      <c r="F220" s="62" t="n"/>
      <c r="G220" s="62" t="n"/>
      <c r="H220" s="62" t="n"/>
      <c r="I220" s="62" t="n"/>
      <c r="J220" s="62" t="n"/>
      <c r="K220" s="62" t="n"/>
      <c r="L220" s="62" t="n"/>
      <c r="M220" s="62" t="n"/>
      <c r="N220" s="62" t="n"/>
      <c r="O220" s="62" t="n"/>
      <c r="P220" s="62" t="n"/>
      <c r="Q220" s="58" t="n"/>
      <c r="R220" s="66">
        <f>IF(AND(tblSafety[[#This Row],[Hours_Employees]]="",tblSafety[[#This Row],[Hours_Contractors]]=""),"",N(tblSafety[[#This Row],[Hours_Employees]])+N(tblSafety[[#This Row],[Hours_Contractors]]))</f>
        <v/>
      </c>
      <c r="S220" s="64">
        <f>IF(AND(tblSafety[[#This Row],[Fatality]]="",tblSafety[[#This Row],[LTI]]="",tblSafety[[#This Row],[RWI]]="",tblSafety[[#This Row],[MTI]]=""),"",N(tblSafety[[#This Row],[Fatality]])+N(tblSafety[[#This Row],[LTI]])+N(tblSafety[[#This Row],[RWI]])+N(tblSafety[[#This Row],[MTI]]))</f>
        <v/>
      </c>
    </row>
    <row r="221">
      <c r="A221" s="54" t="n">
        <v>46238</v>
      </c>
      <c r="B221" s="57" t="n"/>
      <c r="C221" s="57" t="n"/>
      <c r="D221" s="62" t="n"/>
      <c r="E221" s="62" t="n"/>
      <c r="F221" s="62" t="n"/>
      <c r="G221" s="62" t="n"/>
      <c r="H221" s="62" t="n"/>
      <c r="I221" s="62" t="n"/>
      <c r="J221" s="62" t="n"/>
      <c r="K221" s="62" t="n"/>
      <c r="L221" s="62" t="n"/>
      <c r="M221" s="62" t="n"/>
      <c r="N221" s="62" t="n"/>
      <c r="O221" s="62" t="n"/>
      <c r="P221" s="62" t="n"/>
      <c r="Q221" s="58" t="n"/>
      <c r="R221" s="66">
        <f>IF(AND(tblSafety[[#This Row],[Hours_Employees]]="",tblSafety[[#This Row],[Hours_Contractors]]=""),"",N(tblSafety[[#This Row],[Hours_Employees]])+N(tblSafety[[#This Row],[Hours_Contractors]]))</f>
        <v/>
      </c>
      <c r="S221" s="64">
        <f>IF(AND(tblSafety[[#This Row],[Fatality]]="",tblSafety[[#This Row],[LTI]]="",tblSafety[[#This Row],[RWI]]="",tblSafety[[#This Row],[MTI]]=""),"",N(tblSafety[[#This Row],[Fatality]])+N(tblSafety[[#This Row],[LTI]])+N(tblSafety[[#This Row],[RWI]])+N(tblSafety[[#This Row],[MTI]]))</f>
        <v/>
      </c>
    </row>
    <row r="222">
      <c r="A222" s="54" t="n">
        <v>46239</v>
      </c>
      <c r="B222" s="57" t="n"/>
      <c r="C222" s="57" t="n"/>
      <c r="D222" s="62" t="n"/>
      <c r="E222" s="62" t="n"/>
      <c r="F222" s="62" t="n"/>
      <c r="G222" s="62" t="n"/>
      <c r="H222" s="62" t="n"/>
      <c r="I222" s="62" t="n"/>
      <c r="J222" s="62" t="n"/>
      <c r="K222" s="62" t="n"/>
      <c r="L222" s="62" t="n"/>
      <c r="M222" s="62" t="n"/>
      <c r="N222" s="62" t="n"/>
      <c r="O222" s="62" t="n"/>
      <c r="P222" s="62" t="n"/>
      <c r="Q222" s="58" t="n"/>
      <c r="R222" s="66">
        <f>IF(AND(tblSafety[[#This Row],[Hours_Employees]]="",tblSafety[[#This Row],[Hours_Contractors]]=""),"",N(tblSafety[[#This Row],[Hours_Employees]])+N(tblSafety[[#This Row],[Hours_Contractors]]))</f>
        <v/>
      </c>
      <c r="S222" s="64">
        <f>IF(AND(tblSafety[[#This Row],[Fatality]]="",tblSafety[[#This Row],[LTI]]="",tblSafety[[#This Row],[RWI]]="",tblSafety[[#This Row],[MTI]]=""),"",N(tblSafety[[#This Row],[Fatality]])+N(tblSafety[[#This Row],[LTI]])+N(tblSafety[[#This Row],[RWI]])+N(tblSafety[[#This Row],[MTI]]))</f>
        <v/>
      </c>
    </row>
    <row r="223">
      <c r="A223" s="54" t="n">
        <v>46240</v>
      </c>
      <c r="B223" s="57" t="n"/>
      <c r="C223" s="57" t="n"/>
      <c r="D223" s="62" t="n"/>
      <c r="E223" s="62" t="n"/>
      <c r="F223" s="62" t="n"/>
      <c r="G223" s="62" t="n"/>
      <c r="H223" s="62" t="n"/>
      <c r="I223" s="62" t="n"/>
      <c r="J223" s="62" t="n"/>
      <c r="K223" s="62" t="n"/>
      <c r="L223" s="62" t="n"/>
      <c r="M223" s="62" t="n"/>
      <c r="N223" s="62" t="n"/>
      <c r="O223" s="62" t="n"/>
      <c r="P223" s="62" t="n"/>
      <c r="Q223" s="58" t="n"/>
      <c r="R223" s="66">
        <f>IF(AND(tblSafety[[#This Row],[Hours_Employees]]="",tblSafety[[#This Row],[Hours_Contractors]]=""),"",N(tblSafety[[#This Row],[Hours_Employees]])+N(tblSafety[[#This Row],[Hours_Contractors]]))</f>
        <v/>
      </c>
      <c r="S223" s="64">
        <f>IF(AND(tblSafety[[#This Row],[Fatality]]="",tblSafety[[#This Row],[LTI]]="",tblSafety[[#This Row],[RWI]]="",tblSafety[[#This Row],[MTI]]=""),"",N(tblSafety[[#This Row],[Fatality]])+N(tblSafety[[#This Row],[LTI]])+N(tblSafety[[#This Row],[RWI]])+N(tblSafety[[#This Row],[MTI]]))</f>
        <v/>
      </c>
    </row>
    <row r="224">
      <c r="A224" s="54" t="n">
        <v>46241</v>
      </c>
      <c r="B224" s="57" t="n"/>
      <c r="C224" s="57" t="n"/>
      <c r="D224" s="62" t="n"/>
      <c r="E224" s="62" t="n"/>
      <c r="F224" s="62" t="n"/>
      <c r="G224" s="62" t="n"/>
      <c r="H224" s="62" t="n"/>
      <c r="I224" s="62" t="n"/>
      <c r="J224" s="62" t="n"/>
      <c r="K224" s="62" t="n"/>
      <c r="L224" s="62" t="n"/>
      <c r="M224" s="62" t="n"/>
      <c r="N224" s="62" t="n"/>
      <c r="O224" s="62" t="n"/>
      <c r="P224" s="62" t="n"/>
      <c r="Q224" s="58" t="n"/>
      <c r="R224" s="66">
        <f>IF(AND(tblSafety[[#This Row],[Hours_Employees]]="",tblSafety[[#This Row],[Hours_Contractors]]=""),"",N(tblSafety[[#This Row],[Hours_Employees]])+N(tblSafety[[#This Row],[Hours_Contractors]]))</f>
        <v/>
      </c>
      <c r="S224" s="64">
        <f>IF(AND(tblSafety[[#This Row],[Fatality]]="",tblSafety[[#This Row],[LTI]]="",tblSafety[[#This Row],[RWI]]="",tblSafety[[#This Row],[MTI]]=""),"",N(tblSafety[[#This Row],[Fatality]])+N(tblSafety[[#This Row],[LTI]])+N(tblSafety[[#This Row],[RWI]])+N(tblSafety[[#This Row],[MTI]]))</f>
        <v/>
      </c>
    </row>
    <row r="225">
      <c r="A225" s="54" t="n">
        <v>46242</v>
      </c>
      <c r="B225" s="57" t="n"/>
      <c r="C225" s="57" t="n"/>
      <c r="D225" s="62" t="n"/>
      <c r="E225" s="62" t="n"/>
      <c r="F225" s="62" t="n"/>
      <c r="G225" s="62" t="n"/>
      <c r="H225" s="62" t="n"/>
      <c r="I225" s="62" t="n"/>
      <c r="J225" s="62" t="n"/>
      <c r="K225" s="62" t="n"/>
      <c r="L225" s="62" t="n"/>
      <c r="M225" s="62" t="n"/>
      <c r="N225" s="62" t="n"/>
      <c r="O225" s="62" t="n"/>
      <c r="P225" s="62" t="n"/>
      <c r="Q225" s="58" t="n"/>
      <c r="R225" s="66">
        <f>IF(AND(tblSafety[[#This Row],[Hours_Employees]]="",tblSafety[[#This Row],[Hours_Contractors]]=""),"",N(tblSafety[[#This Row],[Hours_Employees]])+N(tblSafety[[#This Row],[Hours_Contractors]]))</f>
        <v/>
      </c>
      <c r="S225" s="64">
        <f>IF(AND(tblSafety[[#This Row],[Fatality]]="",tblSafety[[#This Row],[LTI]]="",tblSafety[[#This Row],[RWI]]="",tblSafety[[#This Row],[MTI]]=""),"",N(tblSafety[[#This Row],[Fatality]])+N(tblSafety[[#This Row],[LTI]])+N(tblSafety[[#This Row],[RWI]])+N(tblSafety[[#This Row],[MTI]]))</f>
        <v/>
      </c>
    </row>
    <row r="226">
      <c r="A226" s="54" t="n">
        <v>46243</v>
      </c>
      <c r="B226" s="57" t="n"/>
      <c r="C226" s="57" t="n"/>
      <c r="D226" s="62" t="n"/>
      <c r="E226" s="62" t="n"/>
      <c r="F226" s="62" t="n"/>
      <c r="G226" s="62" t="n"/>
      <c r="H226" s="62" t="n"/>
      <c r="I226" s="62" t="n"/>
      <c r="J226" s="62" t="n"/>
      <c r="K226" s="62" t="n"/>
      <c r="L226" s="62" t="n"/>
      <c r="M226" s="62" t="n"/>
      <c r="N226" s="62" t="n"/>
      <c r="O226" s="62" t="n"/>
      <c r="P226" s="62" t="n"/>
      <c r="Q226" s="58" t="n"/>
      <c r="R226" s="66">
        <f>IF(AND(tblSafety[[#This Row],[Hours_Employees]]="",tblSafety[[#This Row],[Hours_Contractors]]=""),"",N(tblSafety[[#This Row],[Hours_Employees]])+N(tblSafety[[#This Row],[Hours_Contractors]]))</f>
        <v/>
      </c>
      <c r="S226" s="64">
        <f>IF(AND(tblSafety[[#This Row],[Fatality]]="",tblSafety[[#This Row],[LTI]]="",tblSafety[[#This Row],[RWI]]="",tblSafety[[#This Row],[MTI]]=""),"",N(tblSafety[[#This Row],[Fatality]])+N(tblSafety[[#This Row],[LTI]])+N(tblSafety[[#This Row],[RWI]])+N(tblSafety[[#This Row],[MTI]]))</f>
        <v/>
      </c>
    </row>
    <row r="227">
      <c r="A227" s="54" t="n">
        <v>46244</v>
      </c>
      <c r="B227" s="57" t="n"/>
      <c r="C227" s="57" t="n"/>
      <c r="D227" s="62" t="n"/>
      <c r="E227" s="62" t="n"/>
      <c r="F227" s="62" t="n"/>
      <c r="G227" s="62" t="n"/>
      <c r="H227" s="62" t="n"/>
      <c r="I227" s="62" t="n"/>
      <c r="J227" s="62" t="n"/>
      <c r="K227" s="62" t="n"/>
      <c r="L227" s="62" t="n"/>
      <c r="M227" s="62" t="n"/>
      <c r="N227" s="62" t="n"/>
      <c r="O227" s="62" t="n"/>
      <c r="P227" s="62" t="n"/>
      <c r="Q227" s="58" t="n"/>
      <c r="R227" s="66">
        <f>IF(AND(tblSafety[[#This Row],[Hours_Employees]]="",tblSafety[[#This Row],[Hours_Contractors]]=""),"",N(tblSafety[[#This Row],[Hours_Employees]])+N(tblSafety[[#This Row],[Hours_Contractors]]))</f>
        <v/>
      </c>
      <c r="S227" s="64">
        <f>IF(AND(tblSafety[[#This Row],[Fatality]]="",tblSafety[[#This Row],[LTI]]="",tblSafety[[#This Row],[RWI]]="",tblSafety[[#This Row],[MTI]]=""),"",N(tblSafety[[#This Row],[Fatality]])+N(tblSafety[[#This Row],[LTI]])+N(tblSafety[[#This Row],[RWI]])+N(tblSafety[[#This Row],[MTI]]))</f>
        <v/>
      </c>
    </row>
    <row r="228">
      <c r="A228" s="54" t="n">
        <v>46245</v>
      </c>
      <c r="B228" s="57" t="n"/>
      <c r="C228" s="57" t="n"/>
      <c r="D228" s="62" t="n"/>
      <c r="E228" s="62" t="n"/>
      <c r="F228" s="62" t="n"/>
      <c r="G228" s="62" t="n"/>
      <c r="H228" s="62" t="n"/>
      <c r="I228" s="62" t="n"/>
      <c r="J228" s="62" t="n"/>
      <c r="K228" s="62" t="n"/>
      <c r="L228" s="62" t="n"/>
      <c r="M228" s="62" t="n"/>
      <c r="N228" s="62" t="n"/>
      <c r="O228" s="62" t="n"/>
      <c r="P228" s="62" t="n"/>
      <c r="Q228" s="58" t="n"/>
      <c r="R228" s="66">
        <f>IF(AND(tblSafety[[#This Row],[Hours_Employees]]="",tblSafety[[#This Row],[Hours_Contractors]]=""),"",N(tblSafety[[#This Row],[Hours_Employees]])+N(tblSafety[[#This Row],[Hours_Contractors]]))</f>
        <v/>
      </c>
      <c r="S228" s="64">
        <f>IF(AND(tblSafety[[#This Row],[Fatality]]="",tblSafety[[#This Row],[LTI]]="",tblSafety[[#This Row],[RWI]]="",tblSafety[[#This Row],[MTI]]=""),"",N(tblSafety[[#This Row],[Fatality]])+N(tblSafety[[#This Row],[LTI]])+N(tblSafety[[#This Row],[RWI]])+N(tblSafety[[#This Row],[MTI]]))</f>
        <v/>
      </c>
    </row>
    <row r="229">
      <c r="A229" s="54" t="n">
        <v>46246</v>
      </c>
      <c r="B229" s="57" t="n"/>
      <c r="C229" s="57" t="n"/>
      <c r="D229" s="62" t="n"/>
      <c r="E229" s="62" t="n"/>
      <c r="F229" s="62" t="n"/>
      <c r="G229" s="62" t="n"/>
      <c r="H229" s="62" t="n"/>
      <c r="I229" s="62" t="n"/>
      <c r="J229" s="62" t="n"/>
      <c r="K229" s="62" t="n"/>
      <c r="L229" s="62" t="n"/>
      <c r="M229" s="62" t="n"/>
      <c r="N229" s="62" t="n"/>
      <c r="O229" s="62" t="n"/>
      <c r="P229" s="62" t="n"/>
      <c r="Q229" s="58" t="n"/>
      <c r="R229" s="66">
        <f>IF(AND(tblSafety[[#This Row],[Hours_Employees]]="",tblSafety[[#This Row],[Hours_Contractors]]=""),"",N(tblSafety[[#This Row],[Hours_Employees]])+N(tblSafety[[#This Row],[Hours_Contractors]]))</f>
        <v/>
      </c>
      <c r="S229" s="64">
        <f>IF(AND(tblSafety[[#This Row],[Fatality]]="",tblSafety[[#This Row],[LTI]]="",tblSafety[[#This Row],[RWI]]="",tblSafety[[#This Row],[MTI]]=""),"",N(tblSafety[[#This Row],[Fatality]])+N(tblSafety[[#This Row],[LTI]])+N(tblSafety[[#This Row],[RWI]])+N(tblSafety[[#This Row],[MTI]]))</f>
        <v/>
      </c>
    </row>
    <row r="230">
      <c r="A230" s="54" t="n">
        <v>46247</v>
      </c>
      <c r="B230" s="57" t="n"/>
      <c r="C230" s="57" t="n"/>
      <c r="D230" s="62" t="n"/>
      <c r="E230" s="62" t="n"/>
      <c r="F230" s="62" t="n"/>
      <c r="G230" s="62" t="n"/>
      <c r="H230" s="62" t="n"/>
      <c r="I230" s="62" t="n"/>
      <c r="J230" s="62" t="n"/>
      <c r="K230" s="62" t="n"/>
      <c r="L230" s="62" t="n"/>
      <c r="M230" s="62" t="n"/>
      <c r="N230" s="62" t="n"/>
      <c r="O230" s="62" t="n"/>
      <c r="P230" s="62" t="n"/>
      <c r="Q230" s="58" t="n"/>
      <c r="R230" s="66">
        <f>IF(AND(tblSafety[[#This Row],[Hours_Employees]]="",tblSafety[[#This Row],[Hours_Contractors]]=""),"",N(tblSafety[[#This Row],[Hours_Employees]])+N(tblSafety[[#This Row],[Hours_Contractors]]))</f>
        <v/>
      </c>
      <c r="S230" s="64">
        <f>IF(AND(tblSafety[[#This Row],[Fatality]]="",tblSafety[[#This Row],[LTI]]="",tblSafety[[#This Row],[RWI]]="",tblSafety[[#This Row],[MTI]]=""),"",N(tblSafety[[#This Row],[Fatality]])+N(tblSafety[[#This Row],[LTI]])+N(tblSafety[[#This Row],[RWI]])+N(tblSafety[[#This Row],[MTI]]))</f>
        <v/>
      </c>
    </row>
    <row r="231">
      <c r="A231" s="54" t="n">
        <v>46248</v>
      </c>
      <c r="B231" s="57" t="n"/>
      <c r="C231" s="57" t="n"/>
      <c r="D231" s="62" t="n"/>
      <c r="E231" s="62" t="n"/>
      <c r="F231" s="62" t="n"/>
      <c r="G231" s="62" t="n"/>
      <c r="H231" s="62" t="n"/>
      <c r="I231" s="62" t="n"/>
      <c r="J231" s="62" t="n"/>
      <c r="K231" s="62" t="n"/>
      <c r="L231" s="62" t="n"/>
      <c r="M231" s="62" t="n"/>
      <c r="N231" s="62" t="n"/>
      <c r="O231" s="62" t="n"/>
      <c r="P231" s="62" t="n"/>
      <c r="Q231" s="58" t="n"/>
      <c r="R231" s="66">
        <f>IF(AND(tblSafety[[#This Row],[Hours_Employees]]="",tblSafety[[#This Row],[Hours_Contractors]]=""),"",N(tblSafety[[#This Row],[Hours_Employees]])+N(tblSafety[[#This Row],[Hours_Contractors]]))</f>
        <v/>
      </c>
      <c r="S231" s="64">
        <f>IF(AND(tblSafety[[#This Row],[Fatality]]="",tblSafety[[#This Row],[LTI]]="",tblSafety[[#This Row],[RWI]]="",tblSafety[[#This Row],[MTI]]=""),"",N(tblSafety[[#This Row],[Fatality]])+N(tblSafety[[#This Row],[LTI]])+N(tblSafety[[#This Row],[RWI]])+N(tblSafety[[#This Row],[MTI]]))</f>
        <v/>
      </c>
    </row>
    <row r="232">
      <c r="A232" s="54" t="n">
        <v>46249</v>
      </c>
      <c r="B232" s="57" t="n"/>
      <c r="C232" s="57" t="n"/>
      <c r="D232" s="62" t="n"/>
      <c r="E232" s="62" t="n"/>
      <c r="F232" s="62" t="n"/>
      <c r="G232" s="62" t="n"/>
      <c r="H232" s="62" t="n"/>
      <c r="I232" s="62" t="n"/>
      <c r="J232" s="62" t="n"/>
      <c r="K232" s="62" t="n"/>
      <c r="L232" s="62" t="n"/>
      <c r="M232" s="62" t="n"/>
      <c r="N232" s="62" t="n"/>
      <c r="O232" s="62" t="n"/>
      <c r="P232" s="62" t="n"/>
      <c r="Q232" s="58" t="n"/>
      <c r="R232" s="66">
        <f>IF(AND(tblSafety[[#This Row],[Hours_Employees]]="",tblSafety[[#This Row],[Hours_Contractors]]=""),"",N(tblSafety[[#This Row],[Hours_Employees]])+N(tblSafety[[#This Row],[Hours_Contractors]]))</f>
        <v/>
      </c>
      <c r="S232" s="64">
        <f>IF(AND(tblSafety[[#This Row],[Fatality]]="",tblSafety[[#This Row],[LTI]]="",tblSafety[[#This Row],[RWI]]="",tblSafety[[#This Row],[MTI]]=""),"",N(tblSafety[[#This Row],[Fatality]])+N(tblSafety[[#This Row],[LTI]])+N(tblSafety[[#This Row],[RWI]])+N(tblSafety[[#This Row],[MTI]]))</f>
        <v/>
      </c>
    </row>
    <row r="233">
      <c r="A233" s="54" t="n">
        <v>46250</v>
      </c>
      <c r="B233" s="57" t="n"/>
      <c r="C233" s="57" t="n"/>
      <c r="D233" s="62" t="n"/>
      <c r="E233" s="62" t="n"/>
      <c r="F233" s="62" t="n"/>
      <c r="G233" s="62" t="n"/>
      <c r="H233" s="62" t="n"/>
      <c r="I233" s="62" t="n"/>
      <c r="J233" s="62" t="n"/>
      <c r="K233" s="62" t="n"/>
      <c r="L233" s="62" t="n"/>
      <c r="M233" s="62" t="n"/>
      <c r="N233" s="62" t="n"/>
      <c r="O233" s="62" t="n"/>
      <c r="P233" s="62" t="n"/>
      <c r="Q233" s="58" t="n"/>
      <c r="R233" s="66">
        <f>IF(AND(tblSafety[[#This Row],[Hours_Employees]]="",tblSafety[[#This Row],[Hours_Contractors]]=""),"",N(tblSafety[[#This Row],[Hours_Employees]])+N(tblSafety[[#This Row],[Hours_Contractors]]))</f>
        <v/>
      </c>
      <c r="S233" s="64">
        <f>IF(AND(tblSafety[[#This Row],[Fatality]]="",tblSafety[[#This Row],[LTI]]="",tblSafety[[#This Row],[RWI]]="",tblSafety[[#This Row],[MTI]]=""),"",N(tblSafety[[#This Row],[Fatality]])+N(tblSafety[[#This Row],[LTI]])+N(tblSafety[[#This Row],[RWI]])+N(tblSafety[[#This Row],[MTI]]))</f>
        <v/>
      </c>
    </row>
    <row r="234">
      <c r="A234" s="54" t="n">
        <v>46251</v>
      </c>
      <c r="B234" s="57" t="n"/>
      <c r="C234" s="57" t="n"/>
      <c r="D234" s="62" t="n"/>
      <c r="E234" s="62" t="n"/>
      <c r="F234" s="62" t="n"/>
      <c r="G234" s="62" t="n"/>
      <c r="H234" s="62" t="n"/>
      <c r="I234" s="62" t="n"/>
      <c r="J234" s="62" t="n"/>
      <c r="K234" s="62" t="n"/>
      <c r="L234" s="62" t="n"/>
      <c r="M234" s="62" t="n"/>
      <c r="N234" s="62" t="n"/>
      <c r="O234" s="62" t="n"/>
      <c r="P234" s="62" t="n"/>
      <c r="Q234" s="58" t="n"/>
      <c r="R234" s="66">
        <f>IF(AND(tblSafety[[#This Row],[Hours_Employees]]="",tblSafety[[#This Row],[Hours_Contractors]]=""),"",N(tblSafety[[#This Row],[Hours_Employees]])+N(tblSafety[[#This Row],[Hours_Contractors]]))</f>
        <v/>
      </c>
      <c r="S234" s="64">
        <f>IF(AND(tblSafety[[#This Row],[Fatality]]="",tblSafety[[#This Row],[LTI]]="",tblSafety[[#This Row],[RWI]]="",tblSafety[[#This Row],[MTI]]=""),"",N(tblSafety[[#This Row],[Fatality]])+N(tblSafety[[#This Row],[LTI]])+N(tblSafety[[#This Row],[RWI]])+N(tblSafety[[#This Row],[MTI]]))</f>
        <v/>
      </c>
    </row>
    <row r="235">
      <c r="A235" s="54" t="n">
        <v>46252</v>
      </c>
      <c r="B235" s="57" t="n"/>
      <c r="C235" s="57" t="n"/>
      <c r="D235" s="62" t="n"/>
      <c r="E235" s="62" t="n"/>
      <c r="F235" s="62" t="n"/>
      <c r="G235" s="62" t="n"/>
      <c r="H235" s="62" t="n"/>
      <c r="I235" s="62" t="n"/>
      <c r="J235" s="62" t="n"/>
      <c r="K235" s="62" t="n"/>
      <c r="L235" s="62" t="n"/>
      <c r="M235" s="62" t="n"/>
      <c r="N235" s="62" t="n"/>
      <c r="O235" s="62" t="n"/>
      <c r="P235" s="62" t="n"/>
      <c r="Q235" s="58" t="n"/>
      <c r="R235" s="66">
        <f>IF(AND(tblSafety[[#This Row],[Hours_Employees]]="",tblSafety[[#This Row],[Hours_Contractors]]=""),"",N(tblSafety[[#This Row],[Hours_Employees]])+N(tblSafety[[#This Row],[Hours_Contractors]]))</f>
        <v/>
      </c>
      <c r="S235" s="64">
        <f>IF(AND(tblSafety[[#This Row],[Fatality]]="",tblSafety[[#This Row],[LTI]]="",tblSafety[[#This Row],[RWI]]="",tblSafety[[#This Row],[MTI]]=""),"",N(tblSafety[[#This Row],[Fatality]])+N(tblSafety[[#This Row],[LTI]])+N(tblSafety[[#This Row],[RWI]])+N(tblSafety[[#This Row],[MTI]]))</f>
        <v/>
      </c>
    </row>
    <row r="236">
      <c r="A236" s="54" t="n">
        <v>46253</v>
      </c>
      <c r="B236" s="57" t="n"/>
      <c r="C236" s="57" t="n"/>
      <c r="D236" s="62" t="n"/>
      <c r="E236" s="62" t="n"/>
      <c r="F236" s="62" t="n"/>
      <c r="G236" s="62" t="n"/>
      <c r="H236" s="62" t="n"/>
      <c r="I236" s="62" t="n"/>
      <c r="J236" s="62" t="n"/>
      <c r="K236" s="62" t="n"/>
      <c r="L236" s="62" t="n"/>
      <c r="M236" s="62" t="n"/>
      <c r="N236" s="62" t="n"/>
      <c r="O236" s="62" t="n"/>
      <c r="P236" s="62" t="n"/>
      <c r="Q236" s="58" t="n"/>
      <c r="R236" s="66">
        <f>IF(AND(tblSafety[[#This Row],[Hours_Employees]]="",tblSafety[[#This Row],[Hours_Contractors]]=""),"",N(tblSafety[[#This Row],[Hours_Employees]])+N(tblSafety[[#This Row],[Hours_Contractors]]))</f>
        <v/>
      </c>
      <c r="S236" s="64">
        <f>IF(AND(tblSafety[[#This Row],[Fatality]]="",tblSafety[[#This Row],[LTI]]="",tblSafety[[#This Row],[RWI]]="",tblSafety[[#This Row],[MTI]]=""),"",N(tblSafety[[#This Row],[Fatality]])+N(tblSafety[[#This Row],[LTI]])+N(tblSafety[[#This Row],[RWI]])+N(tblSafety[[#This Row],[MTI]]))</f>
        <v/>
      </c>
    </row>
    <row r="237">
      <c r="A237" s="54" t="n">
        <v>46254</v>
      </c>
      <c r="B237" s="57" t="n"/>
      <c r="C237" s="57" t="n"/>
      <c r="D237" s="62" t="n"/>
      <c r="E237" s="62" t="n"/>
      <c r="F237" s="62" t="n"/>
      <c r="G237" s="62" t="n"/>
      <c r="H237" s="62" t="n"/>
      <c r="I237" s="62" t="n"/>
      <c r="J237" s="62" t="n"/>
      <c r="K237" s="62" t="n"/>
      <c r="L237" s="62" t="n"/>
      <c r="M237" s="62" t="n"/>
      <c r="N237" s="62" t="n"/>
      <c r="O237" s="62" t="n"/>
      <c r="P237" s="62" t="n"/>
      <c r="Q237" s="58" t="n"/>
      <c r="R237" s="66">
        <f>IF(AND(tblSafety[[#This Row],[Hours_Employees]]="",tblSafety[[#This Row],[Hours_Contractors]]=""),"",N(tblSafety[[#This Row],[Hours_Employees]])+N(tblSafety[[#This Row],[Hours_Contractors]]))</f>
        <v/>
      </c>
      <c r="S237" s="64">
        <f>IF(AND(tblSafety[[#This Row],[Fatality]]="",tblSafety[[#This Row],[LTI]]="",tblSafety[[#This Row],[RWI]]="",tblSafety[[#This Row],[MTI]]=""),"",N(tblSafety[[#This Row],[Fatality]])+N(tblSafety[[#This Row],[LTI]])+N(tblSafety[[#This Row],[RWI]])+N(tblSafety[[#This Row],[MTI]]))</f>
        <v/>
      </c>
    </row>
    <row r="238">
      <c r="A238" s="54" t="n">
        <v>46255</v>
      </c>
      <c r="B238" s="57" t="n"/>
      <c r="C238" s="57" t="n"/>
      <c r="D238" s="62" t="n"/>
      <c r="E238" s="62" t="n"/>
      <c r="F238" s="62" t="n"/>
      <c r="G238" s="62" t="n"/>
      <c r="H238" s="62" t="n"/>
      <c r="I238" s="62" t="n"/>
      <c r="J238" s="62" t="n"/>
      <c r="K238" s="62" t="n"/>
      <c r="L238" s="62" t="n"/>
      <c r="M238" s="62" t="n"/>
      <c r="N238" s="62" t="n"/>
      <c r="O238" s="62" t="n"/>
      <c r="P238" s="62" t="n"/>
      <c r="Q238" s="58" t="n"/>
      <c r="R238" s="66">
        <f>IF(AND(tblSafety[[#This Row],[Hours_Employees]]="",tblSafety[[#This Row],[Hours_Contractors]]=""),"",N(tblSafety[[#This Row],[Hours_Employees]])+N(tblSafety[[#This Row],[Hours_Contractors]]))</f>
        <v/>
      </c>
      <c r="S238" s="64">
        <f>IF(AND(tblSafety[[#This Row],[Fatality]]="",tblSafety[[#This Row],[LTI]]="",tblSafety[[#This Row],[RWI]]="",tblSafety[[#This Row],[MTI]]=""),"",N(tblSafety[[#This Row],[Fatality]])+N(tblSafety[[#This Row],[LTI]])+N(tblSafety[[#This Row],[RWI]])+N(tblSafety[[#This Row],[MTI]]))</f>
        <v/>
      </c>
    </row>
    <row r="239">
      <c r="A239" s="54" t="n">
        <v>46256</v>
      </c>
      <c r="B239" s="57" t="n"/>
      <c r="C239" s="57" t="n"/>
      <c r="D239" s="62" t="n"/>
      <c r="E239" s="62" t="n"/>
      <c r="F239" s="62" t="n"/>
      <c r="G239" s="62" t="n"/>
      <c r="H239" s="62" t="n"/>
      <c r="I239" s="62" t="n"/>
      <c r="J239" s="62" t="n"/>
      <c r="K239" s="62" t="n"/>
      <c r="L239" s="62" t="n"/>
      <c r="M239" s="62" t="n"/>
      <c r="N239" s="62" t="n"/>
      <c r="O239" s="62" t="n"/>
      <c r="P239" s="62" t="n"/>
      <c r="Q239" s="58" t="n"/>
      <c r="R239" s="66">
        <f>IF(AND(tblSafety[[#This Row],[Hours_Employees]]="",tblSafety[[#This Row],[Hours_Contractors]]=""),"",N(tblSafety[[#This Row],[Hours_Employees]])+N(tblSafety[[#This Row],[Hours_Contractors]]))</f>
        <v/>
      </c>
      <c r="S239" s="64">
        <f>IF(AND(tblSafety[[#This Row],[Fatality]]="",tblSafety[[#This Row],[LTI]]="",tblSafety[[#This Row],[RWI]]="",tblSafety[[#This Row],[MTI]]=""),"",N(tblSafety[[#This Row],[Fatality]])+N(tblSafety[[#This Row],[LTI]])+N(tblSafety[[#This Row],[RWI]])+N(tblSafety[[#This Row],[MTI]]))</f>
        <v/>
      </c>
    </row>
    <row r="240">
      <c r="A240" s="54" t="n">
        <v>46257</v>
      </c>
      <c r="B240" s="57" t="n"/>
      <c r="C240" s="57" t="n"/>
      <c r="D240" s="62" t="n"/>
      <c r="E240" s="62" t="n"/>
      <c r="F240" s="62" t="n"/>
      <c r="G240" s="62" t="n"/>
      <c r="H240" s="62" t="n"/>
      <c r="I240" s="62" t="n"/>
      <c r="J240" s="62" t="n"/>
      <c r="K240" s="62" t="n"/>
      <c r="L240" s="62" t="n"/>
      <c r="M240" s="62" t="n"/>
      <c r="N240" s="62" t="n"/>
      <c r="O240" s="62" t="n"/>
      <c r="P240" s="62" t="n"/>
      <c r="Q240" s="58" t="n"/>
      <c r="R240" s="66">
        <f>IF(AND(tblSafety[[#This Row],[Hours_Employees]]="",tblSafety[[#This Row],[Hours_Contractors]]=""),"",N(tblSafety[[#This Row],[Hours_Employees]])+N(tblSafety[[#This Row],[Hours_Contractors]]))</f>
        <v/>
      </c>
      <c r="S240" s="64">
        <f>IF(AND(tblSafety[[#This Row],[Fatality]]="",tblSafety[[#This Row],[LTI]]="",tblSafety[[#This Row],[RWI]]="",tblSafety[[#This Row],[MTI]]=""),"",N(tblSafety[[#This Row],[Fatality]])+N(tblSafety[[#This Row],[LTI]])+N(tblSafety[[#This Row],[RWI]])+N(tblSafety[[#This Row],[MTI]]))</f>
        <v/>
      </c>
    </row>
    <row r="241">
      <c r="A241" s="54" t="n">
        <v>46258</v>
      </c>
      <c r="B241" s="57" t="n"/>
      <c r="C241" s="57" t="n"/>
      <c r="D241" s="62" t="n"/>
      <c r="E241" s="62" t="n"/>
      <c r="F241" s="62" t="n"/>
      <c r="G241" s="62" t="n"/>
      <c r="H241" s="62" t="n"/>
      <c r="I241" s="62" t="n"/>
      <c r="J241" s="62" t="n"/>
      <c r="K241" s="62" t="n"/>
      <c r="L241" s="62" t="n"/>
      <c r="M241" s="62" t="n"/>
      <c r="N241" s="62" t="n"/>
      <c r="O241" s="62" t="n"/>
      <c r="P241" s="62" t="n"/>
      <c r="Q241" s="58" t="n"/>
      <c r="R241" s="66">
        <f>IF(AND(tblSafety[[#This Row],[Hours_Employees]]="",tblSafety[[#This Row],[Hours_Contractors]]=""),"",N(tblSafety[[#This Row],[Hours_Employees]])+N(tblSafety[[#This Row],[Hours_Contractors]]))</f>
        <v/>
      </c>
      <c r="S241" s="64">
        <f>IF(AND(tblSafety[[#This Row],[Fatality]]="",tblSafety[[#This Row],[LTI]]="",tblSafety[[#This Row],[RWI]]="",tblSafety[[#This Row],[MTI]]=""),"",N(tblSafety[[#This Row],[Fatality]])+N(tblSafety[[#This Row],[LTI]])+N(tblSafety[[#This Row],[RWI]])+N(tblSafety[[#This Row],[MTI]]))</f>
        <v/>
      </c>
    </row>
    <row r="242">
      <c r="A242" s="54" t="n">
        <v>46259</v>
      </c>
      <c r="B242" s="57" t="n"/>
      <c r="C242" s="57" t="n"/>
      <c r="D242" s="62" t="n"/>
      <c r="E242" s="62" t="n"/>
      <c r="F242" s="62" t="n"/>
      <c r="G242" s="62" t="n"/>
      <c r="H242" s="62" t="n"/>
      <c r="I242" s="62" t="n"/>
      <c r="J242" s="62" t="n"/>
      <c r="K242" s="62" t="n"/>
      <c r="L242" s="62" t="n"/>
      <c r="M242" s="62" t="n"/>
      <c r="N242" s="62" t="n"/>
      <c r="O242" s="62" t="n"/>
      <c r="P242" s="62" t="n"/>
      <c r="Q242" s="58" t="n"/>
      <c r="R242" s="66">
        <f>IF(AND(tblSafety[[#This Row],[Hours_Employees]]="",tblSafety[[#This Row],[Hours_Contractors]]=""),"",N(tblSafety[[#This Row],[Hours_Employees]])+N(tblSafety[[#This Row],[Hours_Contractors]]))</f>
        <v/>
      </c>
      <c r="S242" s="64">
        <f>IF(AND(tblSafety[[#This Row],[Fatality]]="",tblSafety[[#This Row],[LTI]]="",tblSafety[[#This Row],[RWI]]="",tblSafety[[#This Row],[MTI]]=""),"",N(tblSafety[[#This Row],[Fatality]])+N(tblSafety[[#This Row],[LTI]])+N(tblSafety[[#This Row],[RWI]])+N(tblSafety[[#This Row],[MTI]]))</f>
        <v/>
      </c>
    </row>
    <row r="243">
      <c r="A243" s="54" t="n">
        <v>46260</v>
      </c>
      <c r="B243" s="57" t="n"/>
      <c r="C243" s="57" t="n"/>
      <c r="D243" s="62" t="n"/>
      <c r="E243" s="62" t="n"/>
      <c r="F243" s="62" t="n"/>
      <c r="G243" s="62" t="n"/>
      <c r="H243" s="62" t="n"/>
      <c r="I243" s="62" t="n"/>
      <c r="J243" s="62" t="n"/>
      <c r="K243" s="62" t="n"/>
      <c r="L243" s="62" t="n"/>
      <c r="M243" s="62" t="n"/>
      <c r="N243" s="62" t="n"/>
      <c r="O243" s="62" t="n"/>
      <c r="P243" s="62" t="n"/>
      <c r="Q243" s="58" t="n"/>
      <c r="R243" s="66">
        <f>IF(AND(tblSafety[[#This Row],[Hours_Employees]]="",tblSafety[[#This Row],[Hours_Contractors]]=""),"",N(tblSafety[[#This Row],[Hours_Employees]])+N(tblSafety[[#This Row],[Hours_Contractors]]))</f>
        <v/>
      </c>
      <c r="S243" s="64">
        <f>IF(AND(tblSafety[[#This Row],[Fatality]]="",tblSafety[[#This Row],[LTI]]="",tblSafety[[#This Row],[RWI]]="",tblSafety[[#This Row],[MTI]]=""),"",N(tblSafety[[#This Row],[Fatality]])+N(tblSafety[[#This Row],[LTI]])+N(tblSafety[[#This Row],[RWI]])+N(tblSafety[[#This Row],[MTI]]))</f>
        <v/>
      </c>
    </row>
    <row r="244">
      <c r="A244" s="54" t="n">
        <v>46261</v>
      </c>
      <c r="B244" s="57" t="n"/>
      <c r="C244" s="57" t="n"/>
      <c r="D244" s="62" t="n"/>
      <c r="E244" s="62" t="n"/>
      <c r="F244" s="62" t="n"/>
      <c r="G244" s="62" t="n"/>
      <c r="H244" s="62" t="n"/>
      <c r="I244" s="62" t="n"/>
      <c r="J244" s="62" t="n"/>
      <c r="K244" s="62" t="n"/>
      <c r="L244" s="62" t="n"/>
      <c r="M244" s="62" t="n"/>
      <c r="N244" s="62" t="n"/>
      <c r="O244" s="62" t="n"/>
      <c r="P244" s="62" t="n"/>
      <c r="Q244" s="58" t="n"/>
      <c r="R244" s="66">
        <f>IF(AND(tblSafety[[#This Row],[Hours_Employees]]="",tblSafety[[#This Row],[Hours_Contractors]]=""),"",N(tblSafety[[#This Row],[Hours_Employees]])+N(tblSafety[[#This Row],[Hours_Contractors]]))</f>
        <v/>
      </c>
      <c r="S244" s="64">
        <f>IF(AND(tblSafety[[#This Row],[Fatality]]="",tblSafety[[#This Row],[LTI]]="",tblSafety[[#This Row],[RWI]]="",tblSafety[[#This Row],[MTI]]=""),"",N(tblSafety[[#This Row],[Fatality]])+N(tblSafety[[#This Row],[LTI]])+N(tblSafety[[#This Row],[RWI]])+N(tblSafety[[#This Row],[MTI]]))</f>
        <v/>
      </c>
    </row>
    <row r="245">
      <c r="A245" s="54" t="n">
        <v>46262</v>
      </c>
      <c r="B245" s="57" t="n"/>
      <c r="C245" s="57" t="n"/>
      <c r="D245" s="62" t="n"/>
      <c r="E245" s="62" t="n"/>
      <c r="F245" s="62" t="n"/>
      <c r="G245" s="62" t="n"/>
      <c r="H245" s="62" t="n"/>
      <c r="I245" s="62" t="n"/>
      <c r="J245" s="62" t="n"/>
      <c r="K245" s="62" t="n"/>
      <c r="L245" s="62" t="n"/>
      <c r="M245" s="62" t="n"/>
      <c r="N245" s="62" t="n"/>
      <c r="O245" s="62" t="n"/>
      <c r="P245" s="62" t="n"/>
      <c r="Q245" s="58" t="n"/>
      <c r="R245" s="66">
        <f>IF(AND(tblSafety[[#This Row],[Hours_Employees]]="",tblSafety[[#This Row],[Hours_Contractors]]=""),"",N(tblSafety[[#This Row],[Hours_Employees]])+N(tblSafety[[#This Row],[Hours_Contractors]]))</f>
        <v/>
      </c>
      <c r="S245" s="64">
        <f>IF(AND(tblSafety[[#This Row],[Fatality]]="",tblSafety[[#This Row],[LTI]]="",tblSafety[[#This Row],[RWI]]="",tblSafety[[#This Row],[MTI]]=""),"",N(tblSafety[[#This Row],[Fatality]])+N(tblSafety[[#This Row],[LTI]])+N(tblSafety[[#This Row],[RWI]])+N(tblSafety[[#This Row],[MTI]]))</f>
        <v/>
      </c>
    </row>
    <row r="246">
      <c r="A246" s="54" t="n">
        <v>46263</v>
      </c>
      <c r="B246" s="57" t="n"/>
      <c r="C246" s="57" t="n"/>
      <c r="D246" s="62" t="n"/>
      <c r="E246" s="62" t="n"/>
      <c r="F246" s="62" t="n"/>
      <c r="G246" s="62" t="n"/>
      <c r="H246" s="62" t="n"/>
      <c r="I246" s="62" t="n"/>
      <c r="J246" s="62" t="n"/>
      <c r="K246" s="62" t="n"/>
      <c r="L246" s="62" t="n"/>
      <c r="M246" s="62" t="n"/>
      <c r="N246" s="62" t="n"/>
      <c r="O246" s="62" t="n"/>
      <c r="P246" s="62" t="n"/>
      <c r="Q246" s="58" t="n"/>
      <c r="R246" s="66">
        <f>IF(AND(tblSafety[[#This Row],[Hours_Employees]]="",tblSafety[[#This Row],[Hours_Contractors]]=""),"",N(tblSafety[[#This Row],[Hours_Employees]])+N(tblSafety[[#This Row],[Hours_Contractors]]))</f>
        <v/>
      </c>
      <c r="S246" s="64">
        <f>IF(AND(tblSafety[[#This Row],[Fatality]]="",tblSafety[[#This Row],[LTI]]="",tblSafety[[#This Row],[RWI]]="",tblSafety[[#This Row],[MTI]]=""),"",N(tblSafety[[#This Row],[Fatality]])+N(tblSafety[[#This Row],[LTI]])+N(tblSafety[[#This Row],[RWI]])+N(tblSafety[[#This Row],[MTI]]))</f>
        <v/>
      </c>
    </row>
    <row r="247">
      <c r="A247" s="54" t="n">
        <v>46264</v>
      </c>
      <c r="B247" s="57" t="n"/>
      <c r="C247" s="57" t="n"/>
      <c r="D247" s="62" t="n"/>
      <c r="E247" s="62" t="n"/>
      <c r="F247" s="62" t="n"/>
      <c r="G247" s="62" t="n"/>
      <c r="H247" s="62" t="n"/>
      <c r="I247" s="62" t="n"/>
      <c r="J247" s="62" t="n"/>
      <c r="K247" s="62" t="n"/>
      <c r="L247" s="62" t="n"/>
      <c r="M247" s="62" t="n"/>
      <c r="N247" s="62" t="n"/>
      <c r="O247" s="62" t="n"/>
      <c r="P247" s="62" t="n"/>
      <c r="Q247" s="58" t="n"/>
      <c r="R247" s="66">
        <f>IF(AND(tblSafety[[#This Row],[Hours_Employees]]="",tblSafety[[#This Row],[Hours_Contractors]]=""),"",N(tblSafety[[#This Row],[Hours_Employees]])+N(tblSafety[[#This Row],[Hours_Contractors]]))</f>
        <v/>
      </c>
      <c r="S247" s="64">
        <f>IF(AND(tblSafety[[#This Row],[Fatality]]="",tblSafety[[#This Row],[LTI]]="",tblSafety[[#This Row],[RWI]]="",tblSafety[[#This Row],[MTI]]=""),"",N(tblSafety[[#This Row],[Fatality]])+N(tblSafety[[#This Row],[LTI]])+N(tblSafety[[#This Row],[RWI]])+N(tblSafety[[#This Row],[MTI]]))</f>
        <v/>
      </c>
    </row>
    <row r="248">
      <c r="A248" s="54" t="n">
        <v>46265</v>
      </c>
      <c r="B248" s="57" t="n"/>
      <c r="C248" s="57" t="n"/>
      <c r="D248" s="62" t="n"/>
      <c r="E248" s="62" t="n"/>
      <c r="F248" s="62" t="n"/>
      <c r="G248" s="62" t="n"/>
      <c r="H248" s="62" t="n"/>
      <c r="I248" s="62" t="n"/>
      <c r="J248" s="62" t="n"/>
      <c r="K248" s="62" t="n"/>
      <c r="L248" s="62" t="n"/>
      <c r="M248" s="62" t="n"/>
      <c r="N248" s="62" t="n"/>
      <c r="O248" s="62" t="n"/>
      <c r="P248" s="62" t="n"/>
      <c r="Q248" s="58" t="n"/>
      <c r="R248" s="66">
        <f>IF(AND(tblSafety[[#This Row],[Hours_Employees]]="",tblSafety[[#This Row],[Hours_Contractors]]=""),"",N(tblSafety[[#This Row],[Hours_Employees]])+N(tblSafety[[#This Row],[Hours_Contractors]]))</f>
        <v/>
      </c>
      <c r="S248" s="64">
        <f>IF(AND(tblSafety[[#This Row],[Fatality]]="",tblSafety[[#This Row],[LTI]]="",tblSafety[[#This Row],[RWI]]="",tblSafety[[#This Row],[MTI]]=""),"",N(tblSafety[[#This Row],[Fatality]])+N(tblSafety[[#This Row],[LTI]])+N(tblSafety[[#This Row],[RWI]])+N(tblSafety[[#This Row],[MTI]]))</f>
        <v/>
      </c>
    </row>
    <row r="249">
      <c r="A249" s="54" t="n">
        <v>46266</v>
      </c>
      <c r="B249" s="57" t="n"/>
      <c r="C249" s="57" t="n"/>
      <c r="D249" s="62" t="n"/>
      <c r="E249" s="62" t="n"/>
      <c r="F249" s="62" t="n"/>
      <c r="G249" s="62" t="n"/>
      <c r="H249" s="62" t="n"/>
      <c r="I249" s="62" t="n"/>
      <c r="J249" s="62" t="n"/>
      <c r="K249" s="62" t="n"/>
      <c r="L249" s="62" t="n"/>
      <c r="M249" s="62" t="n"/>
      <c r="N249" s="62" t="n"/>
      <c r="O249" s="62" t="n"/>
      <c r="P249" s="62" t="n"/>
      <c r="Q249" s="58" t="n"/>
      <c r="R249" s="66">
        <f>IF(AND(tblSafety[[#This Row],[Hours_Employees]]="",tblSafety[[#This Row],[Hours_Contractors]]=""),"",N(tblSafety[[#This Row],[Hours_Employees]])+N(tblSafety[[#This Row],[Hours_Contractors]]))</f>
        <v/>
      </c>
      <c r="S249" s="64">
        <f>IF(AND(tblSafety[[#This Row],[Fatality]]="",tblSafety[[#This Row],[LTI]]="",tblSafety[[#This Row],[RWI]]="",tblSafety[[#This Row],[MTI]]=""),"",N(tblSafety[[#This Row],[Fatality]])+N(tblSafety[[#This Row],[LTI]])+N(tblSafety[[#This Row],[RWI]])+N(tblSafety[[#This Row],[MTI]]))</f>
        <v/>
      </c>
    </row>
    <row r="250">
      <c r="A250" s="54" t="n">
        <v>46267</v>
      </c>
      <c r="B250" s="57" t="n"/>
      <c r="C250" s="57" t="n"/>
      <c r="D250" s="62" t="n"/>
      <c r="E250" s="62" t="n"/>
      <c r="F250" s="62" t="n"/>
      <c r="G250" s="62" t="n"/>
      <c r="H250" s="62" t="n"/>
      <c r="I250" s="62" t="n"/>
      <c r="J250" s="62" t="n"/>
      <c r="K250" s="62" t="n"/>
      <c r="L250" s="62" t="n"/>
      <c r="M250" s="62" t="n"/>
      <c r="N250" s="62" t="n"/>
      <c r="O250" s="62" t="n"/>
      <c r="P250" s="62" t="n"/>
      <c r="Q250" s="58" t="n"/>
      <c r="R250" s="66">
        <f>IF(AND(tblSafety[[#This Row],[Hours_Employees]]="",tblSafety[[#This Row],[Hours_Contractors]]=""),"",N(tblSafety[[#This Row],[Hours_Employees]])+N(tblSafety[[#This Row],[Hours_Contractors]]))</f>
        <v/>
      </c>
      <c r="S250" s="64">
        <f>IF(AND(tblSafety[[#This Row],[Fatality]]="",tblSafety[[#This Row],[LTI]]="",tblSafety[[#This Row],[RWI]]="",tblSafety[[#This Row],[MTI]]=""),"",N(tblSafety[[#This Row],[Fatality]])+N(tblSafety[[#This Row],[LTI]])+N(tblSafety[[#This Row],[RWI]])+N(tblSafety[[#This Row],[MTI]]))</f>
        <v/>
      </c>
    </row>
    <row r="251">
      <c r="A251" s="54" t="n">
        <v>46268</v>
      </c>
      <c r="B251" s="57" t="n"/>
      <c r="C251" s="57" t="n"/>
      <c r="D251" s="62" t="n"/>
      <c r="E251" s="62" t="n"/>
      <c r="F251" s="62" t="n"/>
      <c r="G251" s="62" t="n"/>
      <c r="H251" s="62" t="n"/>
      <c r="I251" s="62" t="n"/>
      <c r="J251" s="62" t="n"/>
      <c r="K251" s="62" t="n"/>
      <c r="L251" s="62" t="n"/>
      <c r="M251" s="62" t="n"/>
      <c r="N251" s="62" t="n"/>
      <c r="O251" s="62" t="n"/>
      <c r="P251" s="62" t="n"/>
      <c r="Q251" s="58" t="n"/>
      <c r="R251" s="66">
        <f>IF(AND(tblSafety[[#This Row],[Hours_Employees]]="",tblSafety[[#This Row],[Hours_Contractors]]=""),"",N(tblSafety[[#This Row],[Hours_Employees]])+N(tblSafety[[#This Row],[Hours_Contractors]]))</f>
        <v/>
      </c>
      <c r="S251" s="64">
        <f>IF(AND(tblSafety[[#This Row],[Fatality]]="",tblSafety[[#This Row],[LTI]]="",tblSafety[[#This Row],[RWI]]="",tblSafety[[#This Row],[MTI]]=""),"",N(tblSafety[[#This Row],[Fatality]])+N(tblSafety[[#This Row],[LTI]])+N(tblSafety[[#This Row],[RWI]])+N(tblSafety[[#This Row],[MTI]]))</f>
        <v/>
      </c>
    </row>
    <row r="252">
      <c r="A252" s="54" t="n">
        <v>46269</v>
      </c>
      <c r="B252" s="57" t="n"/>
      <c r="C252" s="57" t="n"/>
      <c r="D252" s="62" t="n"/>
      <c r="E252" s="62" t="n"/>
      <c r="F252" s="62" t="n"/>
      <c r="G252" s="62" t="n"/>
      <c r="H252" s="62" t="n"/>
      <c r="I252" s="62" t="n"/>
      <c r="J252" s="62" t="n"/>
      <c r="K252" s="62" t="n"/>
      <c r="L252" s="62" t="n"/>
      <c r="M252" s="62" t="n"/>
      <c r="N252" s="62" t="n"/>
      <c r="O252" s="62" t="n"/>
      <c r="P252" s="62" t="n"/>
      <c r="Q252" s="58" t="n"/>
      <c r="R252" s="66">
        <f>IF(AND(tblSafety[[#This Row],[Hours_Employees]]="",tblSafety[[#This Row],[Hours_Contractors]]=""),"",N(tblSafety[[#This Row],[Hours_Employees]])+N(tblSafety[[#This Row],[Hours_Contractors]]))</f>
        <v/>
      </c>
      <c r="S252" s="64">
        <f>IF(AND(tblSafety[[#This Row],[Fatality]]="",tblSafety[[#This Row],[LTI]]="",tblSafety[[#This Row],[RWI]]="",tblSafety[[#This Row],[MTI]]=""),"",N(tblSafety[[#This Row],[Fatality]])+N(tblSafety[[#This Row],[LTI]])+N(tblSafety[[#This Row],[RWI]])+N(tblSafety[[#This Row],[MTI]]))</f>
        <v/>
      </c>
    </row>
    <row r="253">
      <c r="A253" s="54" t="n">
        <v>46270</v>
      </c>
      <c r="B253" s="57" t="n"/>
      <c r="C253" s="57" t="n"/>
      <c r="D253" s="62" t="n"/>
      <c r="E253" s="62" t="n"/>
      <c r="F253" s="62" t="n"/>
      <c r="G253" s="62" t="n"/>
      <c r="H253" s="62" t="n"/>
      <c r="I253" s="62" t="n"/>
      <c r="J253" s="62" t="n"/>
      <c r="K253" s="62" t="n"/>
      <c r="L253" s="62" t="n"/>
      <c r="M253" s="62" t="n"/>
      <c r="N253" s="62" t="n"/>
      <c r="O253" s="62" t="n"/>
      <c r="P253" s="62" t="n"/>
      <c r="Q253" s="58" t="n"/>
      <c r="R253" s="66">
        <f>IF(AND(tblSafety[[#This Row],[Hours_Employees]]="",tblSafety[[#This Row],[Hours_Contractors]]=""),"",N(tblSafety[[#This Row],[Hours_Employees]])+N(tblSafety[[#This Row],[Hours_Contractors]]))</f>
        <v/>
      </c>
      <c r="S253" s="64">
        <f>IF(AND(tblSafety[[#This Row],[Fatality]]="",tblSafety[[#This Row],[LTI]]="",tblSafety[[#This Row],[RWI]]="",tblSafety[[#This Row],[MTI]]=""),"",N(tblSafety[[#This Row],[Fatality]])+N(tblSafety[[#This Row],[LTI]])+N(tblSafety[[#This Row],[RWI]])+N(tblSafety[[#This Row],[MTI]]))</f>
        <v/>
      </c>
    </row>
    <row r="254">
      <c r="A254" s="54" t="n">
        <v>46271</v>
      </c>
      <c r="B254" s="57" t="n"/>
      <c r="C254" s="57" t="n"/>
      <c r="D254" s="62" t="n"/>
      <c r="E254" s="62" t="n"/>
      <c r="F254" s="62" t="n"/>
      <c r="G254" s="62" t="n"/>
      <c r="H254" s="62" t="n"/>
      <c r="I254" s="62" t="n"/>
      <c r="J254" s="62" t="n"/>
      <c r="K254" s="62" t="n"/>
      <c r="L254" s="62" t="n"/>
      <c r="M254" s="62" t="n"/>
      <c r="N254" s="62" t="n"/>
      <c r="O254" s="62" t="n"/>
      <c r="P254" s="62" t="n"/>
      <c r="Q254" s="58" t="n"/>
      <c r="R254" s="66">
        <f>IF(AND(tblSafety[[#This Row],[Hours_Employees]]="",tblSafety[[#This Row],[Hours_Contractors]]=""),"",N(tblSafety[[#This Row],[Hours_Employees]])+N(tblSafety[[#This Row],[Hours_Contractors]]))</f>
        <v/>
      </c>
      <c r="S254" s="64">
        <f>IF(AND(tblSafety[[#This Row],[Fatality]]="",tblSafety[[#This Row],[LTI]]="",tblSafety[[#This Row],[RWI]]="",tblSafety[[#This Row],[MTI]]=""),"",N(tblSafety[[#This Row],[Fatality]])+N(tblSafety[[#This Row],[LTI]])+N(tblSafety[[#This Row],[RWI]])+N(tblSafety[[#This Row],[MTI]]))</f>
        <v/>
      </c>
    </row>
    <row r="255">
      <c r="A255" s="54" t="n">
        <v>46272</v>
      </c>
      <c r="B255" s="57" t="n"/>
      <c r="C255" s="57" t="n"/>
      <c r="D255" s="62" t="n"/>
      <c r="E255" s="62" t="n"/>
      <c r="F255" s="62" t="n"/>
      <c r="G255" s="62" t="n"/>
      <c r="H255" s="62" t="n"/>
      <c r="I255" s="62" t="n"/>
      <c r="J255" s="62" t="n"/>
      <c r="K255" s="62" t="n"/>
      <c r="L255" s="62" t="n"/>
      <c r="M255" s="62" t="n"/>
      <c r="N255" s="62" t="n"/>
      <c r="O255" s="62" t="n"/>
      <c r="P255" s="62" t="n"/>
      <c r="Q255" s="58" t="n"/>
      <c r="R255" s="66">
        <f>IF(AND(tblSafety[[#This Row],[Hours_Employees]]="",tblSafety[[#This Row],[Hours_Contractors]]=""),"",N(tblSafety[[#This Row],[Hours_Employees]])+N(tblSafety[[#This Row],[Hours_Contractors]]))</f>
        <v/>
      </c>
      <c r="S255" s="64">
        <f>IF(AND(tblSafety[[#This Row],[Fatality]]="",tblSafety[[#This Row],[LTI]]="",tblSafety[[#This Row],[RWI]]="",tblSafety[[#This Row],[MTI]]=""),"",N(tblSafety[[#This Row],[Fatality]])+N(tblSafety[[#This Row],[LTI]])+N(tblSafety[[#This Row],[RWI]])+N(tblSafety[[#This Row],[MTI]]))</f>
        <v/>
      </c>
    </row>
    <row r="256">
      <c r="A256" s="54" t="n">
        <v>46273</v>
      </c>
      <c r="B256" s="57" t="n"/>
      <c r="C256" s="57" t="n"/>
      <c r="D256" s="62" t="n"/>
      <c r="E256" s="62" t="n"/>
      <c r="F256" s="62" t="n"/>
      <c r="G256" s="62" t="n"/>
      <c r="H256" s="62" t="n"/>
      <c r="I256" s="62" t="n"/>
      <c r="J256" s="62" t="n"/>
      <c r="K256" s="62" t="n"/>
      <c r="L256" s="62" t="n"/>
      <c r="M256" s="62" t="n"/>
      <c r="N256" s="62" t="n"/>
      <c r="O256" s="62" t="n"/>
      <c r="P256" s="62" t="n"/>
      <c r="Q256" s="58" t="n"/>
      <c r="R256" s="66">
        <f>IF(AND(tblSafety[[#This Row],[Hours_Employees]]="",tblSafety[[#This Row],[Hours_Contractors]]=""),"",N(tblSafety[[#This Row],[Hours_Employees]])+N(tblSafety[[#This Row],[Hours_Contractors]]))</f>
        <v/>
      </c>
      <c r="S256" s="64">
        <f>IF(AND(tblSafety[[#This Row],[Fatality]]="",tblSafety[[#This Row],[LTI]]="",tblSafety[[#This Row],[RWI]]="",tblSafety[[#This Row],[MTI]]=""),"",N(tblSafety[[#This Row],[Fatality]])+N(tblSafety[[#This Row],[LTI]])+N(tblSafety[[#This Row],[RWI]])+N(tblSafety[[#This Row],[MTI]]))</f>
        <v/>
      </c>
    </row>
    <row r="257">
      <c r="A257" s="54" t="n">
        <v>46274</v>
      </c>
      <c r="B257" s="57" t="n"/>
      <c r="C257" s="57" t="n"/>
      <c r="D257" s="62" t="n"/>
      <c r="E257" s="62" t="n"/>
      <c r="F257" s="62" t="n"/>
      <c r="G257" s="62" t="n"/>
      <c r="H257" s="62" t="n"/>
      <c r="I257" s="62" t="n"/>
      <c r="J257" s="62" t="n"/>
      <c r="K257" s="62" t="n"/>
      <c r="L257" s="62" t="n"/>
      <c r="M257" s="62" t="n"/>
      <c r="N257" s="62" t="n"/>
      <c r="O257" s="62" t="n"/>
      <c r="P257" s="62" t="n"/>
      <c r="Q257" s="58" t="n"/>
      <c r="R257" s="66">
        <f>IF(AND(tblSafety[[#This Row],[Hours_Employees]]="",tblSafety[[#This Row],[Hours_Contractors]]=""),"",N(tblSafety[[#This Row],[Hours_Employees]])+N(tblSafety[[#This Row],[Hours_Contractors]]))</f>
        <v/>
      </c>
      <c r="S257" s="64">
        <f>IF(AND(tblSafety[[#This Row],[Fatality]]="",tblSafety[[#This Row],[LTI]]="",tblSafety[[#This Row],[RWI]]="",tblSafety[[#This Row],[MTI]]=""),"",N(tblSafety[[#This Row],[Fatality]])+N(tblSafety[[#This Row],[LTI]])+N(tblSafety[[#This Row],[RWI]])+N(tblSafety[[#This Row],[MTI]]))</f>
        <v/>
      </c>
    </row>
    <row r="258">
      <c r="A258" s="54" t="n">
        <v>46275</v>
      </c>
      <c r="B258" s="57" t="n"/>
      <c r="C258" s="57" t="n"/>
      <c r="D258" s="62" t="n"/>
      <c r="E258" s="62" t="n"/>
      <c r="F258" s="62" t="n"/>
      <c r="G258" s="62" t="n"/>
      <c r="H258" s="62" t="n"/>
      <c r="I258" s="62" t="n"/>
      <c r="J258" s="62" t="n"/>
      <c r="K258" s="62" t="n"/>
      <c r="L258" s="62" t="n"/>
      <c r="M258" s="62" t="n"/>
      <c r="N258" s="62" t="n"/>
      <c r="O258" s="62" t="n"/>
      <c r="P258" s="62" t="n"/>
      <c r="Q258" s="58" t="n"/>
      <c r="R258" s="66">
        <f>IF(AND(tblSafety[[#This Row],[Hours_Employees]]="",tblSafety[[#This Row],[Hours_Contractors]]=""),"",N(tblSafety[[#This Row],[Hours_Employees]])+N(tblSafety[[#This Row],[Hours_Contractors]]))</f>
        <v/>
      </c>
      <c r="S258" s="64">
        <f>IF(AND(tblSafety[[#This Row],[Fatality]]="",tblSafety[[#This Row],[LTI]]="",tblSafety[[#This Row],[RWI]]="",tblSafety[[#This Row],[MTI]]=""),"",N(tblSafety[[#This Row],[Fatality]])+N(tblSafety[[#This Row],[LTI]])+N(tblSafety[[#This Row],[RWI]])+N(tblSafety[[#This Row],[MTI]]))</f>
        <v/>
      </c>
    </row>
    <row r="259">
      <c r="A259" s="54" t="n">
        <v>46276</v>
      </c>
      <c r="B259" s="57" t="n"/>
      <c r="C259" s="57" t="n"/>
      <c r="D259" s="62" t="n"/>
      <c r="E259" s="62" t="n"/>
      <c r="F259" s="62" t="n"/>
      <c r="G259" s="62" t="n"/>
      <c r="H259" s="62" t="n"/>
      <c r="I259" s="62" t="n"/>
      <c r="J259" s="62" t="n"/>
      <c r="K259" s="62" t="n"/>
      <c r="L259" s="62" t="n"/>
      <c r="M259" s="62" t="n"/>
      <c r="N259" s="62" t="n"/>
      <c r="O259" s="62" t="n"/>
      <c r="P259" s="62" t="n"/>
      <c r="Q259" s="58" t="n"/>
      <c r="R259" s="66">
        <f>IF(AND(tblSafety[[#This Row],[Hours_Employees]]="",tblSafety[[#This Row],[Hours_Contractors]]=""),"",N(tblSafety[[#This Row],[Hours_Employees]])+N(tblSafety[[#This Row],[Hours_Contractors]]))</f>
        <v/>
      </c>
      <c r="S259" s="64">
        <f>IF(AND(tblSafety[[#This Row],[Fatality]]="",tblSafety[[#This Row],[LTI]]="",tblSafety[[#This Row],[RWI]]="",tblSafety[[#This Row],[MTI]]=""),"",N(tblSafety[[#This Row],[Fatality]])+N(tblSafety[[#This Row],[LTI]])+N(tblSafety[[#This Row],[RWI]])+N(tblSafety[[#This Row],[MTI]]))</f>
        <v/>
      </c>
    </row>
    <row r="260">
      <c r="A260" s="54" t="n">
        <v>46277</v>
      </c>
      <c r="B260" s="57" t="n"/>
      <c r="C260" s="57" t="n"/>
      <c r="D260" s="62" t="n"/>
      <c r="E260" s="62" t="n"/>
      <c r="F260" s="62" t="n"/>
      <c r="G260" s="62" t="n"/>
      <c r="H260" s="62" t="n"/>
      <c r="I260" s="62" t="n"/>
      <c r="J260" s="62" t="n"/>
      <c r="K260" s="62" t="n"/>
      <c r="L260" s="62" t="n"/>
      <c r="M260" s="62" t="n"/>
      <c r="N260" s="62" t="n"/>
      <c r="O260" s="62" t="n"/>
      <c r="P260" s="62" t="n"/>
      <c r="Q260" s="58" t="n"/>
      <c r="R260" s="66">
        <f>IF(AND(tblSafety[[#This Row],[Hours_Employees]]="",tblSafety[[#This Row],[Hours_Contractors]]=""),"",N(tblSafety[[#This Row],[Hours_Employees]])+N(tblSafety[[#This Row],[Hours_Contractors]]))</f>
        <v/>
      </c>
      <c r="S260" s="64">
        <f>IF(AND(tblSafety[[#This Row],[Fatality]]="",tblSafety[[#This Row],[LTI]]="",tblSafety[[#This Row],[RWI]]="",tblSafety[[#This Row],[MTI]]=""),"",N(tblSafety[[#This Row],[Fatality]])+N(tblSafety[[#This Row],[LTI]])+N(tblSafety[[#This Row],[RWI]])+N(tblSafety[[#This Row],[MTI]]))</f>
        <v/>
      </c>
    </row>
    <row r="261">
      <c r="A261" s="54" t="n">
        <v>46278</v>
      </c>
      <c r="B261" s="57" t="n"/>
      <c r="C261" s="57" t="n"/>
      <c r="D261" s="62" t="n"/>
      <c r="E261" s="62" t="n"/>
      <c r="F261" s="62" t="n"/>
      <c r="G261" s="62" t="n"/>
      <c r="H261" s="62" t="n"/>
      <c r="I261" s="62" t="n"/>
      <c r="J261" s="62" t="n"/>
      <c r="K261" s="62" t="n"/>
      <c r="L261" s="62" t="n"/>
      <c r="M261" s="62" t="n"/>
      <c r="N261" s="62" t="n"/>
      <c r="O261" s="62" t="n"/>
      <c r="P261" s="62" t="n"/>
      <c r="Q261" s="58" t="n"/>
      <c r="R261" s="66">
        <f>IF(AND(tblSafety[[#This Row],[Hours_Employees]]="",tblSafety[[#This Row],[Hours_Contractors]]=""),"",N(tblSafety[[#This Row],[Hours_Employees]])+N(tblSafety[[#This Row],[Hours_Contractors]]))</f>
        <v/>
      </c>
      <c r="S261" s="64">
        <f>IF(AND(tblSafety[[#This Row],[Fatality]]="",tblSafety[[#This Row],[LTI]]="",tblSafety[[#This Row],[RWI]]="",tblSafety[[#This Row],[MTI]]=""),"",N(tblSafety[[#This Row],[Fatality]])+N(tblSafety[[#This Row],[LTI]])+N(tblSafety[[#This Row],[RWI]])+N(tblSafety[[#This Row],[MTI]]))</f>
        <v/>
      </c>
    </row>
    <row r="262">
      <c r="A262" s="54" t="n">
        <v>46279</v>
      </c>
      <c r="B262" s="57" t="n"/>
      <c r="C262" s="57" t="n"/>
      <c r="D262" s="62" t="n"/>
      <c r="E262" s="62" t="n"/>
      <c r="F262" s="62" t="n"/>
      <c r="G262" s="62" t="n"/>
      <c r="H262" s="62" t="n"/>
      <c r="I262" s="62" t="n"/>
      <c r="J262" s="62" t="n"/>
      <c r="K262" s="62" t="n"/>
      <c r="L262" s="62" t="n"/>
      <c r="M262" s="62" t="n"/>
      <c r="N262" s="62" t="n"/>
      <c r="O262" s="62" t="n"/>
      <c r="P262" s="62" t="n"/>
      <c r="Q262" s="58" t="n"/>
      <c r="R262" s="66">
        <f>IF(AND(tblSafety[[#This Row],[Hours_Employees]]="",tblSafety[[#This Row],[Hours_Contractors]]=""),"",N(tblSafety[[#This Row],[Hours_Employees]])+N(tblSafety[[#This Row],[Hours_Contractors]]))</f>
        <v/>
      </c>
      <c r="S262" s="64">
        <f>IF(AND(tblSafety[[#This Row],[Fatality]]="",tblSafety[[#This Row],[LTI]]="",tblSafety[[#This Row],[RWI]]="",tblSafety[[#This Row],[MTI]]=""),"",N(tblSafety[[#This Row],[Fatality]])+N(tblSafety[[#This Row],[LTI]])+N(tblSafety[[#This Row],[RWI]])+N(tblSafety[[#This Row],[MTI]]))</f>
        <v/>
      </c>
    </row>
    <row r="263">
      <c r="A263" s="54" t="n">
        <v>46280</v>
      </c>
      <c r="B263" s="57" t="n"/>
      <c r="C263" s="57" t="n"/>
      <c r="D263" s="62" t="n"/>
      <c r="E263" s="62" t="n"/>
      <c r="F263" s="62" t="n"/>
      <c r="G263" s="62" t="n"/>
      <c r="H263" s="62" t="n"/>
      <c r="I263" s="62" t="n"/>
      <c r="J263" s="62" t="n"/>
      <c r="K263" s="62" t="n"/>
      <c r="L263" s="62" t="n"/>
      <c r="M263" s="62" t="n"/>
      <c r="N263" s="62" t="n"/>
      <c r="O263" s="62" t="n"/>
      <c r="P263" s="62" t="n"/>
      <c r="Q263" s="58" t="n"/>
      <c r="R263" s="66">
        <f>IF(AND(tblSafety[[#This Row],[Hours_Employees]]="",tblSafety[[#This Row],[Hours_Contractors]]=""),"",N(tblSafety[[#This Row],[Hours_Employees]])+N(tblSafety[[#This Row],[Hours_Contractors]]))</f>
        <v/>
      </c>
      <c r="S263" s="64">
        <f>IF(AND(tblSafety[[#This Row],[Fatality]]="",tblSafety[[#This Row],[LTI]]="",tblSafety[[#This Row],[RWI]]="",tblSafety[[#This Row],[MTI]]=""),"",N(tblSafety[[#This Row],[Fatality]])+N(tblSafety[[#This Row],[LTI]])+N(tblSafety[[#This Row],[RWI]])+N(tblSafety[[#This Row],[MTI]]))</f>
        <v/>
      </c>
    </row>
    <row r="264">
      <c r="A264" s="54" t="n">
        <v>46281</v>
      </c>
      <c r="B264" s="57" t="n"/>
      <c r="C264" s="57" t="n"/>
      <c r="D264" s="62" t="n"/>
      <c r="E264" s="62" t="n"/>
      <c r="F264" s="62" t="n"/>
      <c r="G264" s="62" t="n"/>
      <c r="H264" s="62" t="n"/>
      <c r="I264" s="62" t="n"/>
      <c r="J264" s="62" t="n"/>
      <c r="K264" s="62" t="n"/>
      <c r="L264" s="62" t="n"/>
      <c r="M264" s="62" t="n"/>
      <c r="N264" s="62" t="n"/>
      <c r="O264" s="62" t="n"/>
      <c r="P264" s="62" t="n"/>
      <c r="Q264" s="58" t="n"/>
      <c r="R264" s="66">
        <f>IF(AND(tblSafety[[#This Row],[Hours_Employees]]="",tblSafety[[#This Row],[Hours_Contractors]]=""),"",N(tblSafety[[#This Row],[Hours_Employees]])+N(tblSafety[[#This Row],[Hours_Contractors]]))</f>
        <v/>
      </c>
      <c r="S264" s="64">
        <f>IF(AND(tblSafety[[#This Row],[Fatality]]="",tblSafety[[#This Row],[LTI]]="",tblSafety[[#This Row],[RWI]]="",tblSafety[[#This Row],[MTI]]=""),"",N(tblSafety[[#This Row],[Fatality]])+N(tblSafety[[#This Row],[LTI]])+N(tblSafety[[#This Row],[RWI]])+N(tblSafety[[#This Row],[MTI]]))</f>
        <v/>
      </c>
    </row>
    <row r="265">
      <c r="A265" s="54" t="n">
        <v>46282</v>
      </c>
      <c r="B265" s="57" t="n"/>
      <c r="C265" s="57" t="n"/>
      <c r="D265" s="62" t="n"/>
      <c r="E265" s="62" t="n"/>
      <c r="F265" s="62" t="n"/>
      <c r="G265" s="62" t="n"/>
      <c r="H265" s="62" t="n"/>
      <c r="I265" s="62" t="n"/>
      <c r="J265" s="62" t="n"/>
      <c r="K265" s="62" t="n"/>
      <c r="L265" s="62" t="n"/>
      <c r="M265" s="62" t="n"/>
      <c r="N265" s="62" t="n"/>
      <c r="O265" s="62" t="n"/>
      <c r="P265" s="62" t="n"/>
      <c r="Q265" s="58" t="n"/>
      <c r="R265" s="66">
        <f>IF(AND(tblSafety[[#This Row],[Hours_Employees]]="",tblSafety[[#This Row],[Hours_Contractors]]=""),"",N(tblSafety[[#This Row],[Hours_Employees]])+N(tblSafety[[#This Row],[Hours_Contractors]]))</f>
        <v/>
      </c>
      <c r="S265" s="64">
        <f>IF(AND(tblSafety[[#This Row],[Fatality]]="",tblSafety[[#This Row],[LTI]]="",tblSafety[[#This Row],[RWI]]="",tblSafety[[#This Row],[MTI]]=""),"",N(tblSafety[[#This Row],[Fatality]])+N(tblSafety[[#This Row],[LTI]])+N(tblSafety[[#This Row],[RWI]])+N(tblSafety[[#This Row],[MTI]]))</f>
        <v/>
      </c>
    </row>
    <row r="266">
      <c r="A266" s="54" t="n">
        <v>46283</v>
      </c>
      <c r="B266" s="57" t="n"/>
      <c r="C266" s="57" t="n"/>
      <c r="D266" s="62" t="n"/>
      <c r="E266" s="62" t="n"/>
      <c r="F266" s="62" t="n"/>
      <c r="G266" s="62" t="n"/>
      <c r="H266" s="62" t="n"/>
      <c r="I266" s="62" t="n"/>
      <c r="J266" s="62" t="n"/>
      <c r="K266" s="62" t="n"/>
      <c r="L266" s="62" t="n"/>
      <c r="M266" s="62" t="n"/>
      <c r="N266" s="62" t="n"/>
      <c r="O266" s="62" t="n"/>
      <c r="P266" s="62" t="n"/>
      <c r="Q266" s="58" t="n"/>
      <c r="R266" s="66">
        <f>IF(AND(tblSafety[[#This Row],[Hours_Employees]]="",tblSafety[[#This Row],[Hours_Contractors]]=""),"",N(tblSafety[[#This Row],[Hours_Employees]])+N(tblSafety[[#This Row],[Hours_Contractors]]))</f>
        <v/>
      </c>
      <c r="S266" s="64">
        <f>IF(AND(tblSafety[[#This Row],[Fatality]]="",tblSafety[[#This Row],[LTI]]="",tblSafety[[#This Row],[RWI]]="",tblSafety[[#This Row],[MTI]]=""),"",N(tblSafety[[#This Row],[Fatality]])+N(tblSafety[[#This Row],[LTI]])+N(tblSafety[[#This Row],[RWI]])+N(tblSafety[[#This Row],[MTI]]))</f>
        <v/>
      </c>
    </row>
    <row r="267">
      <c r="A267" s="54" t="n">
        <v>46284</v>
      </c>
      <c r="B267" s="57" t="n"/>
      <c r="C267" s="57" t="n"/>
      <c r="D267" s="62" t="n"/>
      <c r="E267" s="62" t="n"/>
      <c r="F267" s="62" t="n"/>
      <c r="G267" s="62" t="n"/>
      <c r="H267" s="62" t="n"/>
      <c r="I267" s="62" t="n"/>
      <c r="J267" s="62" t="n"/>
      <c r="K267" s="62" t="n"/>
      <c r="L267" s="62" t="n"/>
      <c r="M267" s="62" t="n"/>
      <c r="N267" s="62" t="n"/>
      <c r="O267" s="62" t="n"/>
      <c r="P267" s="62" t="n"/>
      <c r="Q267" s="58" t="n"/>
      <c r="R267" s="66">
        <f>IF(AND(tblSafety[[#This Row],[Hours_Employees]]="",tblSafety[[#This Row],[Hours_Contractors]]=""),"",N(tblSafety[[#This Row],[Hours_Employees]])+N(tblSafety[[#This Row],[Hours_Contractors]]))</f>
        <v/>
      </c>
      <c r="S267" s="64">
        <f>IF(AND(tblSafety[[#This Row],[Fatality]]="",tblSafety[[#This Row],[LTI]]="",tblSafety[[#This Row],[RWI]]="",tblSafety[[#This Row],[MTI]]=""),"",N(tblSafety[[#This Row],[Fatality]])+N(tblSafety[[#This Row],[LTI]])+N(tblSafety[[#This Row],[RWI]])+N(tblSafety[[#This Row],[MTI]]))</f>
        <v/>
      </c>
    </row>
    <row r="268">
      <c r="A268" s="54" t="n">
        <v>46285</v>
      </c>
      <c r="B268" s="57" t="n"/>
      <c r="C268" s="57" t="n"/>
      <c r="D268" s="62" t="n"/>
      <c r="E268" s="62" t="n"/>
      <c r="F268" s="62" t="n"/>
      <c r="G268" s="62" t="n"/>
      <c r="H268" s="62" t="n"/>
      <c r="I268" s="62" t="n"/>
      <c r="J268" s="62" t="n"/>
      <c r="K268" s="62" t="n"/>
      <c r="L268" s="62" t="n"/>
      <c r="M268" s="62" t="n"/>
      <c r="N268" s="62" t="n"/>
      <c r="O268" s="62" t="n"/>
      <c r="P268" s="62" t="n"/>
      <c r="Q268" s="58" t="n"/>
      <c r="R268" s="66">
        <f>IF(AND(tblSafety[[#This Row],[Hours_Employees]]="",tblSafety[[#This Row],[Hours_Contractors]]=""),"",N(tblSafety[[#This Row],[Hours_Employees]])+N(tblSafety[[#This Row],[Hours_Contractors]]))</f>
        <v/>
      </c>
      <c r="S268" s="64">
        <f>IF(AND(tblSafety[[#This Row],[Fatality]]="",tblSafety[[#This Row],[LTI]]="",tblSafety[[#This Row],[RWI]]="",tblSafety[[#This Row],[MTI]]=""),"",N(tblSafety[[#This Row],[Fatality]])+N(tblSafety[[#This Row],[LTI]])+N(tblSafety[[#This Row],[RWI]])+N(tblSafety[[#This Row],[MTI]]))</f>
        <v/>
      </c>
    </row>
    <row r="269">
      <c r="A269" s="54" t="n">
        <v>46286</v>
      </c>
      <c r="B269" s="57" t="n"/>
      <c r="C269" s="57" t="n"/>
      <c r="D269" s="62" t="n"/>
      <c r="E269" s="62" t="n"/>
      <c r="F269" s="62" t="n"/>
      <c r="G269" s="62" t="n"/>
      <c r="H269" s="62" t="n"/>
      <c r="I269" s="62" t="n"/>
      <c r="J269" s="62" t="n"/>
      <c r="K269" s="62" t="n"/>
      <c r="L269" s="62" t="n"/>
      <c r="M269" s="62" t="n"/>
      <c r="N269" s="62" t="n"/>
      <c r="O269" s="62" t="n"/>
      <c r="P269" s="62" t="n"/>
      <c r="Q269" s="58" t="n"/>
      <c r="R269" s="66">
        <f>IF(AND(tblSafety[[#This Row],[Hours_Employees]]="",tblSafety[[#This Row],[Hours_Contractors]]=""),"",N(tblSafety[[#This Row],[Hours_Employees]])+N(tblSafety[[#This Row],[Hours_Contractors]]))</f>
        <v/>
      </c>
      <c r="S269" s="64">
        <f>IF(AND(tblSafety[[#This Row],[Fatality]]="",tblSafety[[#This Row],[LTI]]="",tblSafety[[#This Row],[RWI]]="",tblSafety[[#This Row],[MTI]]=""),"",N(tblSafety[[#This Row],[Fatality]])+N(tblSafety[[#This Row],[LTI]])+N(tblSafety[[#This Row],[RWI]])+N(tblSafety[[#This Row],[MTI]]))</f>
        <v/>
      </c>
    </row>
    <row r="270">
      <c r="A270" s="54" t="n">
        <v>46287</v>
      </c>
      <c r="B270" s="57" t="n"/>
      <c r="C270" s="57" t="n"/>
      <c r="D270" s="62" t="n"/>
      <c r="E270" s="62" t="n"/>
      <c r="F270" s="62" t="n"/>
      <c r="G270" s="62" t="n"/>
      <c r="H270" s="62" t="n"/>
      <c r="I270" s="62" t="n"/>
      <c r="J270" s="62" t="n"/>
      <c r="K270" s="62" t="n"/>
      <c r="L270" s="62" t="n"/>
      <c r="M270" s="62" t="n"/>
      <c r="N270" s="62" t="n"/>
      <c r="O270" s="62" t="n"/>
      <c r="P270" s="62" t="n"/>
      <c r="Q270" s="58" t="n"/>
      <c r="R270" s="66">
        <f>IF(AND(tblSafety[[#This Row],[Hours_Employees]]="",tblSafety[[#This Row],[Hours_Contractors]]=""),"",N(tblSafety[[#This Row],[Hours_Employees]])+N(tblSafety[[#This Row],[Hours_Contractors]]))</f>
        <v/>
      </c>
      <c r="S270" s="64">
        <f>IF(AND(tblSafety[[#This Row],[Fatality]]="",tblSafety[[#This Row],[LTI]]="",tblSafety[[#This Row],[RWI]]="",tblSafety[[#This Row],[MTI]]=""),"",N(tblSafety[[#This Row],[Fatality]])+N(tblSafety[[#This Row],[LTI]])+N(tblSafety[[#This Row],[RWI]])+N(tblSafety[[#This Row],[MTI]]))</f>
        <v/>
      </c>
    </row>
    <row r="271">
      <c r="A271" s="54" t="n">
        <v>46288</v>
      </c>
      <c r="B271" s="57" t="n"/>
      <c r="C271" s="57" t="n"/>
      <c r="D271" s="62" t="n"/>
      <c r="E271" s="62" t="n"/>
      <c r="F271" s="62" t="n"/>
      <c r="G271" s="62" t="n"/>
      <c r="H271" s="62" t="n"/>
      <c r="I271" s="62" t="n"/>
      <c r="J271" s="62" t="n"/>
      <c r="K271" s="62" t="n"/>
      <c r="L271" s="62" t="n"/>
      <c r="M271" s="62" t="n"/>
      <c r="N271" s="62" t="n"/>
      <c r="O271" s="62" t="n"/>
      <c r="P271" s="62" t="n"/>
      <c r="Q271" s="58" t="n"/>
      <c r="R271" s="66">
        <f>IF(AND(tblSafety[[#This Row],[Hours_Employees]]="",tblSafety[[#This Row],[Hours_Contractors]]=""),"",N(tblSafety[[#This Row],[Hours_Employees]])+N(tblSafety[[#This Row],[Hours_Contractors]]))</f>
        <v/>
      </c>
      <c r="S271" s="64">
        <f>IF(AND(tblSafety[[#This Row],[Fatality]]="",tblSafety[[#This Row],[LTI]]="",tblSafety[[#This Row],[RWI]]="",tblSafety[[#This Row],[MTI]]=""),"",N(tblSafety[[#This Row],[Fatality]])+N(tblSafety[[#This Row],[LTI]])+N(tblSafety[[#This Row],[RWI]])+N(tblSafety[[#This Row],[MTI]]))</f>
        <v/>
      </c>
    </row>
    <row r="272">
      <c r="A272" s="54" t="n">
        <v>46289</v>
      </c>
      <c r="B272" s="57" t="n"/>
      <c r="C272" s="57" t="n"/>
      <c r="D272" s="62" t="n"/>
      <c r="E272" s="62" t="n"/>
      <c r="F272" s="62" t="n"/>
      <c r="G272" s="62" t="n"/>
      <c r="H272" s="62" t="n"/>
      <c r="I272" s="62" t="n"/>
      <c r="J272" s="62" t="n"/>
      <c r="K272" s="62" t="n"/>
      <c r="L272" s="62" t="n"/>
      <c r="M272" s="62" t="n"/>
      <c r="N272" s="62" t="n"/>
      <c r="O272" s="62" t="n"/>
      <c r="P272" s="62" t="n"/>
      <c r="Q272" s="58" t="n"/>
      <c r="R272" s="66">
        <f>IF(AND(tblSafety[[#This Row],[Hours_Employees]]="",tblSafety[[#This Row],[Hours_Contractors]]=""),"",N(tblSafety[[#This Row],[Hours_Employees]])+N(tblSafety[[#This Row],[Hours_Contractors]]))</f>
        <v/>
      </c>
      <c r="S272" s="64">
        <f>IF(AND(tblSafety[[#This Row],[Fatality]]="",tblSafety[[#This Row],[LTI]]="",tblSafety[[#This Row],[RWI]]="",tblSafety[[#This Row],[MTI]]=""),"",N(tblSafety[[#This Row],[Fatality]])+N(tblSafety[[#This Row],[LTI]])+N(tblSafety[[#This Row],[RWI]])+N(tblSafety[[#This Row],[MTI]]))</f>
        <v/>
      </c>
    </row>
    <row r="273">
      <c r="A273" s="54" t="n">
        <v>46290</v>
      </c>
      <c r="B273" s="57" t="n"/>
      <c r="C273" s="57" t="n"/>
      <c r="D273" s="62" t="n"/>
      <c r="E273" s="62" t="n"/>
      <c r="F273" s="62" t="n"/>
      <c r="G273" s="62" t="n"/>
      <c r="H273" s="62" t="n"/>
      <c r="I273" s="62" t="n"/>
      <c r="J273" s="62" t="n"/>
      <c r="K273" s="62" t="n"/>
      <c r="L273" s="62" t="n"/>
      <c r="M273" s="62" t="n"/>
      <c r="N273" s="62" t="n"/>
      <c r="O273" s="62" t="n"/>
      <c r="P273" s="62" t="n"/>
      <c r="Q273" s="58" t="n"/>
      <c r="R273" s="66">
        <f>IF(AND(tblSafety[[#This Row],[Hours_Employees]]="",tblSafety[[#This Row],[Hours_Contractors]]=""),"",N(tblSafety[[#This Row],[Hours_Employees]])+N(tblSafety[[#This Row],[Hours_Contractors]]))</f>
        <v/>
      </c>
      <c r="S273" s="64">
        <f>IF(AND(tblSafety[[#This Row],[Fatality]]="",tblSafety[[#This Row],[LTI]]="",tblSafety[[#This Row],[RWI]]="",tblSafety[[#This Row],[MTI]]=""),"",N(tblSafety[[#This Row],[Fatality]])+N(tblSafety[[#This Row],[LTI]])+N(tblSafety[[#This Row],[RWI]])+N(tblSafety[[#This Row],[MTI]]))</f>
        <v/>
      </c>
    </row>
    <row r="274">
      <c r="A274" s="54" t="n">
        <v>46291</v>
      </c>
      <c r="B274" s="57" t="n"/>
      <c r="C274" s="57" t="n"/>
      <c r="D274" s="62" t="n"/>
      <c r="E274" s="62" t="n"/>
      <c r="F274" s="62" t="n"/>
      <c r="G274" s="62" t="n"/>
      <c r="H274" s="62" t="n"/>
      <c r="I274" s="62" t="n"/>
      <c r="J274" s="62" t="n"/>
      <c r="K274" s="62" t="n"/>
      <c r="L274" s="62" t="n"/>
      <c r="M274" s="62" t="n"/>
      <c r="N274" s="62" t="n"/>
      <c r="O274" s="62" t="n"/>
      <c r="P274" s="62" t="n"/>
      <c r="Q274" s="58" t="n"/>
      <c r="R274" s="66">
        <f>IF(AND(tblSafety[[#This Row],[Hours_Employees]]="",tblSafety[[#This Row],[Hours_Contractors]]=""),"",N(tblSafety[[#This Row],[Hours_Employees]])+N(tblSafety[[#This Row],[Hours_Contractors]]))</f>
        <v/>
      </c>
      <c r="S274" s="64">
        <f>IF(AND(tblSafety[[#This Row],[Fatality]]="",tblSafety[[#This Row],[LTI]]="",tblSafety[[#This Row],[RWI]]="",tblSafety[[#This Row],[MTI]]=""),"",N(tblSafety[[#This Row],[Fatality]])+N(tblSafety[[#This Row],[LTI]])+N(tblSafety[[#This Row],[RWI]])+N(tblSafety[[#This Row],[MTI]]))</f>
        <v/>
      </c>
    </row>
    <row r="275">
      <c r="A275" s="54" t="n">
        <v>46292</v>
      </c>
      <c r="B275" s="57" t="n"/>
      <c r="C275" s="57" t="n"/>
      <c r="D275" s="62" t="n"/>
      <c r="E275" s="62" t="n"/>
      <c r="F275" s="62" t="n"/>
      <c r="G275" s="62" t="n"/>
      <c r="H275" s="62" t="n"/>
      <c r="I275" s="62" t="n"/>
      <c r="J275" s="62" t="n"/>
      <c r="K275" s="62" t="n"/>
      <c r="L275" s="62" t="n"/>
      <c r="M275" s="62" t="n"/>
      <c r="N275" s="62" t="n"/>
      <c r="O275" s="62" t="n"/>
      <c r="P275" s="62" t="n"/>
      <c r="Q275" s="58" t="n"/>
      <c r="R275" s="66">
        <f>IF(AND(tblSafety[[#This Row],[Hours_Employees]]="",tblSafety[[#This Row],[Hours_Contractors]]=""),"",N(tblSafety[[#This Row],[Hours_Employees]])+N(tblSafety[[#This Row],[Hours_Contractors]]))</f>
        <v/>
      </c>
      <c r="S275" s="64">
        <f>IF(AND(tblSafety[[#This Row],[Fatality]]="",tblSafety[[#This Row],[LTI]]="",tblSafety[[#This Row],[RWI]]="",tblSafety[[#This Row],[MTI]]=""),"",N(tblSafety[[#This Row],[Fatality]])+N(tblSafety[[#This Row],[LTI]])+N(tblSafety[[#This Row],[RWI]])+N(tblSafety[[#This Row],[MTI]]))</f>
        <v/>
      </c>
    </row>
    <row r="276">
      <c r="A276" s="54" t="n">
        <v>46293</v>
      </c>
      <c r="B276" s="57" t="n"/>
      <c r="C276" s="57" t="n"/>
      <c r="D276" s="62" t="n"/>
      <c r="E276" s="62" t="n"/>
      <c r="F276" s="62" t="n"/>
      <c r="G276" s="62" t="n"/>
      <c r="H276" s="62" t="n"/>
      <c r="I276" s="62" t="n"/>
      <c r="J276" s="62" t="n"/>
      <c r="K276" s="62" t="n"/>
      <c r="L276" s="62" t="n"/>
      <c r="M276" s="62" t="n"/>
      <c r="N276" s="62" t="n"/>
      <c r="O276" s="62" t="n"/>
      <c r="P276" s="62" t="n"/>
      <c r="Q276" s="58" t="n"/>
      <c r="R276" s="66">
        <f>IF(AND(tblSafety[[#This Row],[Hours_Employees]]="",tblSafety[[#This Row],[Hours_Contractors]]=""),"",N(tblSafety[[#This Row],[Hours_Employees]])+N(tblSafety[[#This Row],[Hours_Contractors]]))</f>
        <v/>
      </c>
      <c r="S276" s="64">
        <f>IF(AND(tblSafety[[#This Row],[Fatality]]="",tblSafety[[#This Row],[LTI]]="",tblSafety[[#This Row],[RWI]]="",tblSafety[[#This Row],[MTI]]=""),"",N(tblSafety[[#This Row],[Fatality]])+N(tblSafety[[#This Row],[LTI]])+N(tblSafety[[#This Row],[RWI]])+N(tblSafety[[#This Row],[MTI]]))</f>
        <v/>
      </c>
    </row>
    <row r="277">
      <c r="A277" s="54" t="n">
        <v>46294</v>
      </c>
      <c r="B277" s="57" t="n"/>
      <c r="C277" s="57" t="n"/>
      <c r="D277" s="62" t="n"/>
      <c r="E277" s="62" t="n"/>
      <c r="F277" s="62" t="n"/>
      <c r="G277" s="62" t="n"/>
      <c r="H277" s="62" t="n"/>
      <c r="I277" s="62" t="n"/>
      <c r="J277" s="62" t="n"/>
      <c r="K277" s="62" t="n"/>
      <c r="L277" s="62" t="n"/>
      <c r="M277" s="62" t="n"/>
      <c r="N277" s="62" t="n"/>
      <c r="O277" s="62" t="n"/>
      <c r="P277" s="62" t="n"/>
      <c r="Q277" s="58" t="n"/>
      <c r="R277" s="66">
        <f>IF(AND(tblSafety[[#This Row],[Hours_Employees]]="",tblSafety[[#This Row],[Hours_Contractors]]=""),"",N(tblSafety[[#This Row],[Hours_Employees]])+N(tblSafety[[#This Row],[Hours_Contractors]]))</f>
        <v/>
      </c>
      <c r="S277" s="64">
        <f>IF(AND(tblSafety[[#This Row],[Fatality]]="",tblSafety[[#This Row],[LTI]]="",tblSafety[[#This Row],[RWI]]="",tblSafety[[#This Row],[MTI]]=""),"",N(tblSafety[[#This Row],[Fatality]])+N(tblSafety[[#This Row],[LTI]])+N(tblSafety[[#This Row],[RWI]])+N(tblSafety[[#This Row],[MTI]]))</f>
        <v/>
      </c>
    </row>
    <row r="278">
      <c r="A278" s="54" t="n">
        <v>46295</v>
      </c>
      <c r="B278" s="57" t="n"/>
      <c r="C278" s="57" t="n"/>
      <c r="D278" s="62" t="n"/>
      <c r="E278" s="62" t="n"/>
      <c r="F278" s="62" t="n"/>
      <c r="G278" s="62" t="n"/>
      <c r="H278" s="62" t="n"/>
      <c r="I278" s="62" t="n"/>
      <c r="J278" s="62" t="n"/>
      <c r="K278" s="62" t="n"/>
      <c r="L278" s="62" t="n"/>
      <c r="M278" s="62" t="n"/>
      <c r="N278" s="62" t="n"/>
      <c r="O278" s="62" t="n"/>
      <c r="P278" s="62" t="n"/>
      <c r="Q278" s="58" t="n"/>
      <c r="R278" s="66">
        <f>IF(AND(tblSafety[[#This Row],[Hours_Employees]]="",tblSafety[[#This Row],[Hours_Contractors]]=""),"",N(tblSafety[[#This Row],[Hours_Employees]])+N(tblSafety[[#This Row],[Hours_Contractors]]))</f>
        <v/>
      </c>
      <c r="S278" s="64">
        <f>IF(AND(tblSafety[[#This Row],[Fatality]]="",tblSafety[[#This Row],[LTI]]="",tblSafety[[#This Row],[RWI]]="",tblSafety[[#This Row],[MTI]]=""),"",N(tblSafety[[#This Row],[Fatality]])+N(tblSafety[[#This Row],[LTI]])+N(tblSafety[[#This Row],[RWI]])+N(tblSafety[[#This Row],[MTI]]))</f>
        <v/>
      </c>
    </row>
    <row r="279">
      <c r="A279" s="54" t="n">
        <v>46296</v>
      </c>
      <c r="B279" s="57" t="n"/>
      <c r="C279" s="57" t="n"/>
      <c r="D279" s="62" t="n"/>
      <c r="E279" s="62" t="n"/>
      <c r="F279" s="62" t="n"/>
      <c r="G279" s="62" t="n"/>
      <c r="H279" s="62" t="n"/>
      <c r="I279" s="62" t="n"/>
      <c r="J279" s="62" t="n"/>
      <c r="K279" s="62" t="n"/>
      <c r="L279" s="62" t="n"/>
      <c r="M279" s="62" t="n"/>
      <c r="N279" s="62" t="n"/>
      <c r="O279" s="62" t="n"/>
      <c r="P279" s="62" t="n"/>
      <c r="Q279" s="58" t="n"/>
      <c r="R279" s="66">
        <f>IF(AND(tblSafety[[#This Row],[Hours_Employees]]="",tblSafety[[#This Row],[Hours_Contractors]]=""),"",N(tblSafety[[#This Row],[Hours_Employees]])+N(tblSafety[[#This Row],[Hours_Contractors]]))</f>
        <v/>
      </c>
      <c r="S279" s="64">
        <f>IF(AND(tblSafety[[#This Row],[Fatality]]="",tblSafety[[#This Row],[LTI]]="",tblSafety[[#This Row],[RWI]]="",tblSafety[[#This Row],[MTI]]=""),"",N(tblSafety[[#This Row],[Fatality]])+N(tblSafety[[#This Row],[LTI]])+N(tblSafety[[#This Row],[RWI]])+N(tblSafety[[#This Row],[MTI]]))</f>
        <v/>
      </c>
    </row>
    <row r="280">
      <c r="A280" s="54" t="n">
        <v>46297</v>
      </c>
      <c r="B280" s="57" t="n"/>
      <c r="C280" s="57" t="n"/>
      <c r="D280" s="62" t="n"/>
      <c r="E280" s="62" t="n"/>
      <c r="F280" s="62" t="n"/>
      <c r="G280" s="62" t="n"/>
      <c r="H280" s="62" t="n"/>
      <c r="I280" s="62" t="n"/>
      <c r="J280" s="62" t="n"/>
      <c r="K280" s="62" t="n"/>
      <c r="L280" s="62" t="n"/>
      <c r="M280" s="62" t="n"/>
      <c r="N280" s="62" t="n"/>
      <c r="O280" s="62" t="n"/>
      <c r="P280" s="62" t="n"/>
      <c r="Q280" s="58" t="n"/>
      <c r="R280" s="66">
        <f>IF(AND(tblSafety[[#This Row],[Hours_Employees]]="",tblSafety[[#This Row],[Hours_Contractors]]=""),"",N(tblSafety[[#This Row],[Hours_Employees]])+N(tblSafety[[#This Row],[Hours_Contractors]]))</f>
        <v/>
      </c>
      <c r="S280" s="64">
        <f>IF(AND(tblSafety[[#This Row],[Fatality]]="",tblSafety[[#This Row],[LTI]]="",tblSafety[[#This Row],[RWI]]="",tblSafety[[#This Row],[MTI]]=""),"",N(tblSafety[[#This Row],[Fatality]])+N(tblSafety[[#This Row],[LTI]])+N(tblSafety[[#This Row],[RWI]])+N(tblSafety[[#This Row],[MTI]]))</f>
        <v/>
      </c>
    </row>
    <row r="281">
      <c r="A281" s="54" t="n">
        <v>46298</v>
      </c>
      <c r="B281" s="57" t="n"/>
      <c r="C281" s="57" t="n"/>
      <c r="D281" s="62" t="n"/>
      <c r="E281" s="62" t="n"/>
      <c r="F281" s="62" t="n"/>
      <c r="G281" s="62" t="n"/>
      <c r="H281" s="62" t="n"/>
      <c r="I281" s="62" t="n"/>
      <c r="J281" s="62" t="n"/>
      <c r="K281" s="62" t="n"/>
      <c r="L281" s="62" t="n"/>
      <c r="M281" s="62" t="n"/>
      <c r="N281" s="62" t="n"/>
      <c r="O281" s="62" t="n"/>
      <c r="P281" s="62" t="n"/>
      <c r="Q281" s="58" t="n"/>
      <c r="R281" s="66">
        <f>IF(AND(tblSafety[[#This Row],[Hours_Employees]]="",tblSafety[[#This Row],[Hours_Contractors]]=""),"",N(tblSafety[[#This Row],[Hours_Employees]])+N(tblSafety[[#This Row],[Hours_Contractors]]))</f>
        <v/>
      </c>
      <c r="S281" s="64">
        <f>IF(AND(tblSafety[[#This Row],[Fatality]]="",tblSafety[[#This Row],[LTI]]="",tblSafety[[#This Row],[RWI]]="",tblSafety[[#This Row],[MTI]]=""),"",N(tblSafety[[#This Row],[Fatality]])+N(tblSafety[[#This Row],[LTI]])+N(tblSafety[[#This Row],[RWI]])+N(tblSafety[[#This Row],[MTI]]))</f>
        <v/>
      </c>
    </row>
    <row r="282">
      <c r="A282" s="54" t="n">
        <v>46299</v>
      </c>
      <c r="B282" s="57" t="n"/>
      <c r="C282" s="57" t="n"/>
      <c r="D282" s="62" t="n"/>
      <c r="E282" s="62" t="n"/>
      <c r="F282" s="62" t="n"/>
      <c r="G282" s="62" t="n"/>
      <c r="H282" s="62" t="n"/>
      <c r="I282" s="62" t="n"/>
      <c r="J282" s="62" t="n"/>
      <c r="K282" s="62" t="n"/>
      <c r="L282" s="62" t="n"/>
      <c r="M282" s="62" t="n"/>
      <c r="N282" s="62" t="n"/>
      <c r="O282" s="62" t="n"/>
      <c r="P282" s="62" t="n"/>
      <c r="Q282" s="58" t="n"/>
      <c r="R282" s="66">
        <f>IF(AND(tblSafety[[#This Row],[Hours_Employees]]="",tblSafety[[#This Row],[Hours_Contractors]]=""),"",N(tblSafety[[#This Row],[Hours_Employees]])+N(tblSafety[[#This Row],[Hours_Contractors]]))</f>
        <v/>
      </c>
      <c r="S282" s="64">
        <f>IF(AND(tblSafety[[#This Row],[Fatality]]="",tblSafety[[#This Row],[LTI]]="",tblSafety[[#This Row],[RWI]]="",tblSafety[[#This Row],[MTI]]=""),"",N(tblSafety[[#This Row],[Fatality]])+N(tblSafety[[#This Row],[LTI]])+N(tblSafety[[#This Row],[RWI]])+N(tblSafety[[#This Row],[MTI]]))</f>
        <v/>
      </c>
    </row>
    <row r="283">
      <c r="A283" s="54" t="n">
        <v>46300</v>
      </c>
      <c r="B283" s="57" t="n"/>
      <c r="C283" s="57" t="n"/>
      <c r="D283" s="62" t="n"/>
      <c r="E283" s="62" t="n"/>
      <c r="F283" s="62" t="n"/>
      <c r="G283" s="62" t="n"/>
      <c r="H283" s="62" t="n"/>
      <c r="I283" s="62" t="n"/>
      <c r="J283" s="62" t="n"/>
      <c r="K283" s="62" t="n"/>
      <c r="L283" s="62" t="n"/>
      <c r="M283" s="62" t="n"/>
      <c r="N283" s="62" t="n"/>
      <c r="O283" s="62" t="n"/>
      <c r="P283" s="62" t="n"/>
      <c r="Q283" s="58" t="n"/>
      <c r="R283" s="66">
        <f>IF(AND(tblSafety[[#This Row],[Hours_Employees]]="",tblSafety[[#This Row],[Hours_Contractors]]=""),"",N(tblSafety[[#This Row],[Hours_Employees]])+N(tblSafety[[#This Row],[Hours_Contractors]]))</f>
        <v/>
      </c>
      <c r="S283" s="64">
        <f>IF(AND(tblSafety[[#This Row],[Fatality]]="",tblSafety[[#This Row],[LTI]]="",tblSafety[[#This Row],[RWI]]="",tblSafety[[#This Row],[MTI]]=""),"",N(tblSafety[[#This Row],[Fatality]])+N(tblSafety[[#This Row],[LTI]])+N(tblSafety[[#This Row],[RWI]])+N(tblSafety[[#This Row],[MTI]]))</f>
        <v/>
      </c>
    </row>
    <row r="284">
      <c r="A284" s="54" t="n">
        <v>46301</v>
      </c>
      <c r="B284" s="57" t="n"/>
      <c r="C284" s="57" t="n"/>
      <c r="D284" s="62" t="n"/>
      <c r="E284" s="62" t="n"/>
      <c r="F284" s="62" t="n"/>
      <c r="G284" s="62" t="n"/>
      <c r="H284" s="62" t="n"/>
      <c r="I284" s="62" t="n"/>
      <c r="J284" s="62" t="n"/>
      <c r="K284" s="62" t="n"/>
      <c r="L284" s="62" t="n"/>
      <c r="M284" s="62" t="n"/>
      <c r="N284" s="62" t="n"/>
      <c r="O284" s="62" t="n"/>
      <c r="P284" s="62" t="n"/>
      <c r="Q284" s="58" t="n"/>
      <c r="R284" s="66">
        <f>IF(AND(tblSafety[[#This Row],[Hours_Employees]]="",tblSafety[[#This Row],[Hours_Contractors]]=""),"",N(tblSafety[[#This Row],[Hours_Employees]])+N(tblSafety[[#This Row],[Hours_Contractors]]))</f>
        <v/>
      </c>
      <c r="S284" s="64">
        <f>IF(AND(tblSafety[[#This Row],[Fatality]]="",tblSafety[[#This Row],[LTI]]="",tblSafety[[#This Row],[RWI]]="",tblSafety[[#This Row],[MTI]]=""),"",N(tblSafety[[#This Row],[Fatality]])+N(tblSafety[[#This Row],[LTI]])+N(tblSafety[[#This Row],[RWI]])+N(tblSafety[[#This Row],[MTI]]))</f>
        <v/>
      </c>
    </row>
    <row r="285">
      <c r="A285" s="54" t="n">
        <v>46302</v>
      </c>
      <c r="B285" s="57" t="n"/>
      <c r="C285" s="57" t="n"/>
      <c r="D285" s="62" t="n"/>
      <c r="E285" s="62" t="n"/>
      <c r="F285" s="62" t="n"/>
      <c r="G285" s="62" t="n"/>
      <c r="H285" s="62" t="n"/>
      <c r="I285" s="62" t="n"/>
      <c r="J285" s="62" t="n"/>
      <c r="K285" s="62" t="n"/>
      <c r="L285" s="62" t="n"/>
      <c r="M285" s="62" t="n"/>
      <c r="N285" s="62" t="n"/>
      <c r="O285" s="62" t="n"/>
      <c r="P285" s="62" t="n"/>
      <c r="Q285" s="58" t="n"/>
      <c r="R285" s="66">
        <f>IF(AND(tblSafety[[#This Row],[Hours_Employees]]="",tblSafety[[#This Row],[Hours_Contractors]]=""),"",N(tblSafety[[#This Row],[Hours_Employees]])+N(tblSafety[[#This Row],[Hours_Contractors]]))</f>
        <v/>
      </c>
      <c r="S285" s="64">
        <f>IF(AND(tblSafety[[#This Row],[Fatality]]="",tblSafety[[#This Row],[LTI]]="",tblSafety[[#This Row],[RWI]]="",tblSafety[[#This Row],[MTI]]=""),"",N(tblSafety[[#This Row],[Fatality]])+N(tblSafety[[#This Row],[LTI]])+N(tblSafety[[#This Row],[RWI]])+N(tblSafety[[#This Row],[MTI]]))</f>
        <v/>
      </c>
    </row>
    <row r="286">
      <c r="A286" s="54" t="n">
        <v>46303</v>
      </c>
      <c r="B286" s="57" t="n"/>
      <c r="C286" s="57" t="n"/>
      <c r="D286" s="62" t="n"/>
      <c r="E286" s="62" t="n"/>
      <c r="F286" s="62" t="n"/>
      <c r="G286" s="62" t="n"/>
      <c r="H286" s="62" t="n"/>
      <c r="I286" s="62" t="n"/>
      <c r="J286" s="62" t="n"/>
      <c r="K286" s="62" t="n"/>
      <c r="L286" s="62" t="n"/>
      <c r="M286" s="62" t="n"/>
      <c r="N286" s="62" t="n"/>
      <c r="O286" s="62" t="n"/>
      <c r="P286" s="62" t="n"/>
      <c r="Q286" s="58" t="n"/>
      <c r="R286" s="66">
        <f>IF(AND(tblSafety[[#This Row],[Hours_Employees]]="",tblSafety[[#This Row],[Hours_Contractors]]=""),"",N(tblSafety[[#This Row],[Hours_Employees]])+N(tblSafety[[#This Row],[Hours_Contractors]]))</f>
        <v/>
      </c>
      <c r="S286" s="64">
        <f>IF(AND(tblSafety[[#This Row],[Fatality]]="",tblSafety[[#This Row],[LTI]]="",tblSafety[[#This Row],[RWI]]="",tblSafety[[#This Row],[MTI]]=""),"",N(tblSafety[[#This Row],[Fatality]])+N(tblSafety[[#This Row],[LTI]])+N(tblSafety[[#This Row],[RWI]])+N(tblSafety[[#This Row],[MTI]]))</f>
        <v/>
      </c>
    </row>
    <row r="287">
      <c r="A287" s="54" t="n">
        <v>46304</v>
      </c>
      <c r="B287" s="57" t="n"/>
      <c r="C287" s="57" t="n"/>
      <c r="D287" s="62" t="n"/>
      <c r="E287" s="62" t="n"/>
      <c r="F287" s="62" t="n"/>
      <c r="G287" s="62" t="n"/>
      <c r="H287" s="62" t="n"/>
      <c r="I287" s="62" t="n"/>
      <c r="J287" s="62" t="n"/>
      <c r="K287" s="62" t="n"/>
      <c r="L287" s="62" t="n"/>
      <c r="M287" s="62" t="n"/>
      <c r="N287" s="62" t="n"/>
      <c r="O287" s="62" t="n"/>
      <c r="P287" s="62" t="n"/>
      <c r="Q287" s="58" t="n"/>
      <c r="R287" s="66">
        <f>IF(AND(tblSafety[[#This Row],[Hours_Employees]]="",tblSafety[[#This Row],[Hours_Contractors]]=""),"",N(tblSafety[[#This Row],[Hours_Employees]])+N(tblSafety[[#This Row],[Hours_Contractors]]))</f>
        <v/>
      </c>
      <c r="S287" s="64">
        <f>IF(AND(tblSafety[[#This Row],[Fatality]]="",tblSafety[[#This Row],[LTI]]="",tblSafety[[#This Row],[RWI]]="",tblSafety[[#This Row],[MTI]]=""),"",N(tblSafety[[#This Row],[Fatality]])+N(tblSafety[[#This Row],[LTI]])+N(tblSafety[[#This Row],[RWI]])+N(tblSafety[[#This Row],[MTI]]))</f>
        <v/>
      </c>
    </row>
    <row r="288">
      <c r="A288" s="54" t="n">
        <v>46305</v>
      </c>
      <c r="B288" s="57" t="n"/>
      <c r="C288" s="57" t="n"/>
      <c r="D288" s="62" t="n"/>
      <c r="E288" s="62" t="n"/>
      <c r="F288" s="62" t="n"/>
      <c r="G288" s="62" t="n"/>
      <c r="H288" s="62" t="n"/>
      <c r="I288" s="62" t="n"/>
      <c r="J288" s="62" t="n"/>
      <c r="K288" s="62" t="n"/>
      <c r="L288" s="62" t="n"/>
      <c r="M288" s="62" t="n"/>
      <c r="N288" s="62" t="n"/>
      <c r="O288" s="62" t="n"/>
      <c r="P288" s="62" t="n"/>
      <c r="Q288" s="58" t="n"/>
      <c r="R288" s="66">
        <f>IF(AND(tblSafety[[#This Row],[Hours_Employees]]="",tblSafety[[#This Row],[Hours_Contractors]]=""),"",N(tblSafety[[#This Row],[Hours_Employees]])+N(tblSafety[[#This Row],[Hours_Contractors]]))</f>
        <v/>
      </c>
      <c r="S288" s="64">
        <f>IF(AND(tblSafety[[#This Row],[Fatality]]="",tblSafety[[#This Row],[LTI]]="",tblSafety[[#This Row],[RWI]]="",tblSafety[[#This Row],[MTI]]=""),"",N(tblSafety[[#This Row],[Fatality]])+N(tblSafety[[#This Row],[LTI]])+N(tblSafety[[#This Row],[RWI]])+N(tblSafety[[#This Row],[MTI]]))</f>
        <v/>
      </c>
    </row>
    <row r="289">
      <c r="A289" s="54" t="n">
        <v>46306</v>
      </c>
      <c r="B289" s="57" t="n"/>
      <c r="C289" s="57" t="n"/>
      <c r="D289" s="62" t="n"/>
      <c r="E289" s="62" t="n"/>
      <c r="F289" s="62" t="n"/>
      <c r="G289" s="62" t="n"/>
      <c r="H289" s="62" t="n"/>
      <c r="I289" s="62" t="n"/>
      <c r="J289" s="62" t="n"/>
      <c r="K289" s="62" t="n"/>
      <c r="L289" s="62" t="n"/>
      <c r="M289" s="62" t="n"/>
      <c r="N289" s="62" t="n"/>
      <c r="O289" s="62" t="n"/>
      <c r="P289" s="62" t="n"/>
      <c r="Q289" s="58" t="n"/>
      <c r="R289" s="66">
        <f>IF(AND(tblSafety[[#This Row],[Hours_Employees]]="",tblSafety[[#This Row],[Hours_Contractors]]=""),"",N(tblSafety[[#This Row],[Hours_Employees]])+N(tblSafety[[#This Row],[Hours_Contractors]]))</f>
        <v/>
      </c>
      <c r="S289" s="64">
        <f>IF(AND(tblSafety[[#This Row],[Fatality]]="",tblSafety[[#This Row],[LTI]]="",tblSafety[[#This Row],[RWI]]="",tblSafety[[#This Row],[MTI]]=""),"",N(tblSafety[[#This Row],[Fatality]])+N(tblSafety[[#This Row],[LTI]])+N(tblSafety[[#This Row],[RWI]])+N(tblSafety[[#This Row],[MTI]]))</f>
        <v/>
      </c>
    </row>
    <row r="290">
      <c r="A290" s="54" t="n">
        <v>46307</v>
      </c>
      <c r="B290" s="57" t="n"/>
      <c r="C290" s="57" t="n"/>
      <c r="D290" s="62" t="n"/>
      <c r="E290" s="62" t="n"/>
      <c r="F290" s="62" t="n"/>
      <c r="G290" s="62" t="n"/>
      <c r="H290" s="62" t="n"/>
      <c r="I290" s="62" t="n"/>
      <c r="J290" s="62" t="n"/>
      <c r="K290" s="62" t="n"/>
      <c r="L290" s="62" t="n"/>
      <c r="M290" s="62" t="n"/>
      <c r="N290" s="62" t="n"/>
      <c r="O290" s="62" t="n"/>
      <c r="P290" s="62" t="n"/>
      <c r="Q290" s="58" t="n"/>
      <c r="R290" s="66">
        <f>IF(AND(tblSafety[[#This Row],[Hours_Employees]]="",tblSafety[[#This Row],[Hours_Contractors]]=""),"",N(tblSafety[[#This Row],[Hours_Employees]])+N(tblSafety[[#This Row],[Hours_Contractors]]))</f>
        <v/>
      </c>
      <c r="S290" s="64">
        <f>IF(AND(tblSafety[[#This Row],[Fatality]]="",tblSafety[[#This Row],[LTI]]="",tblSafety[[#This Row],[RWI]]="",tblSafety[[#This Row],[MTI]]=""),"",N(tblSafety[[#This Row],[Fatality]])+N(tblSafety[[#This Row],[LTI]])+N(tblSafety[[#This Row],[RWI]])+N(tblSafety[[#This Row],[MTI]]))</f>
        <v/>
      </c>
    </row>
    <row r="291">
      <c r="A291" s="54" t="n">
        <v>46308</v>
      </c>
      <c r="B291" s="57" t="n"/>
      <c r="C291" s="57" t="n"/>
      <c r="D291" s="62" t="n"/>
      <c r="E291" s="62" t="n"/>
      <c r="F291" s="62" t="n"/>
      <c r="G291" s="62" t="n"/>
      <c r="H291" s="62" t="n"/>
      <c r="I291" s="62" t="n"/>
      <c r="J291" s="62" t="n"/>
      <c r="K291" s="62" t="n"/>
      <c r="L291" s="62" t="n"/>
      <c r="M291" s="62" t="n"/>
      <c r="N291" s="62" t="n"/>
      <c r="O291" s="62" t="n"/>
      <c r="P291" s="62" t="n"/>
      <c r="Q291" s="58" t="n"/>
      <c r="R291" s="66">
        <f>IF(AND(tblSafety[[#This Row],[Hours_Employees]]="",tblSafety[[#This Row],[Hours_Contractors]]=""),"",N(tblSafety[[#This Row],[Hours_Employees]])+N(tblSafety[[#This Row],[Hours_Contractors]]))</f>
        <v/>
      </c>
      <c r="S291" s="64">
        <f>IF(AND(tblSafety[[#This Row],[Fatality]]="",tblSafety[[#This Row],[LTI]]="",tblSafety[[#This Row],[RWI]]="",tblSafety[[#This Row],[MTI]]=""),"",N(tblSafety[[#This Row],[Fatality]])+N(tblSafety[[#This Row],[LTI]])+N(tblSafety[[#This Row],[RWI]])+N(tblSafety[[#This Row],[MTI]]))</f>
        <v/>
      </c>
    </row>
    <row r="292">
      <c r="A292" s="54" t="n">
        <v>46309</v>
      </c>
      <c r="B292" s="57" t="n"/>
      <c r="C292" s="57" t="n"/>
      <c r="D292" s="62" t="n"/>
      <c r="E292" s="62" t="n"/>
      <c r="F292" s="62" t="n"/>
      <c r="G292" s="62" t="n"/>
      <c r="H292" s="62" t="n"/>
      <c r="I292" s="62" t="n"/>
      <c r="J292" s="62" t="n"/>
      <c r="K292" s="62" t="n"/>
      <c r="L292" s="62" t="n"/>
      <c r="M292" s="62" t="n"/>
      <c r="N292" s="62" t="n"/>
      <c r="O292" s="62" t="n"/>
      <c r="P292" s="62" t="n"/>
      <c r="Q292" s="58" t="n"/>
      <c r="R292" s="66">
        <f>IF(AND(tblSafety[[#This Row],[Hours_Employees]]="",tblSafety[[#This Row],[Hours_Contractors]]=""),"",N(tblSafety[[#This Row],[Hours_Employees]])+N(tblSafety[[#This Row],[Hours_Contractors]]))</f>
        <v/>
      </c>
      <c r="S292" s="64">
        <f>IF(AND(tblSafety[[#This Row],[Fatality]]="",tblSafety[[#This Row],[LTI]]="",tblSafety[[#This Row],[RWI]]="",tblSafety[[#This Row],[MTI]]=""),"",N(tblSafety[[#This Row],[Fatality]])+N(tblSafety[[#This Row],[LTI]])+N(tblSafety[[#This Row],[RWI]])+N(tblSafety[[#This Row],[MTI]]))</f>
        <v/>
      </c>
    </row>
    <row r="293">
      <c r="A293" s="54" t="n">
        <v>46310</v>
      </c>
      <c r="B293" s="57" t="n"/>
      <c r="C293" s="57" t="n"/>
      <c r="D293" s="62" t="n"/>
      <c r="E293" s="62" t="n"/>
      <c r="F293" s="62" t="n"/>
      <c r="G293" s="62" t="n"/>
      <c r="H293" s="62" t="n"/>
      <c r="I293" s="62" t="n"/>
      <c r="J293" s="62" t="n"/>
      <c r="K293" s="62" t="n"/>
      <c r="L293" s="62" t="n"/>
      <c r="M293" s="62" t="n"/>
      <c r="N293" s="62" t="n"/>
      <c r="O293" s="62" t="n"/>
      <c r="P293" s="62" t="n"/>
      <c r="Q293" s="58" t="n"/>
      <c r="R293" s="66">
        <f>IF(AND(tblSafety[[#This Row],[Hours_Employees]]="",tblSafety[[#This Row],[Hours_Contractors]]=""),"",N(tblSafety[[#This Row],[Hours_Employees]])+N(tblSafety[[#This Row],[Hours_Contractors]]))</f>
        <v/>
      </c>
      <c r="S293" s="64">
        <f>IF(AND(tblSafety[[#This Row],[Fatality]]="",tblSafety[[#This Row],[LTI]]="",tblSafety[[#This Row],[RWI]]="",tblSafety[[#This Row],[MTI]]=""),"",N(tblSafety[[#This Row],[Fatality]])+N(tblSafety[[#This Row],[LTI]])+N(tblSafety[[#This Row],[RWI]])+N(tblSafety[[#This Row],[MTI]]))</f>
        <v/>
      </c>
    </row>
    <row r="294">
      <c r="A294" s="54" t="n">
        <v>46311</v>
      </c>
      <c r="B294" s="57" t="n"/>
      <c r="C294" s="57" t="n"/>
      <c r="D294" s="62" t="n"/>
      <c r="E294" s="62" t="n"/>
      <c r="F294" s="62" t="n"/>
      <c r="G294" s="62" t="n"/>
      <c r="H294" s="62" t="n"/>
      <c r="I294" s="62" t="n"/>
      <c r="J294" s="62" t="n"/>
      <c r="K294" s="62" t="n"/>
      <c r="L294" s="62" t="n"/>
      <c r="M294" s="62" t="n"/>
      <c r="N294" s="62" t="n"/>
      <c r="O294" s="62" t="n"/>
      <c r="P294" s="62" t="n"/>
      <c r="Q294" s="58" t="n"/>
      <c r="R294" s="66">
        <f>IF(AND(tblSafety[[#This Row],[Hours_Employees]]="",tblSafety[[#This Row],[Hours_Contractors]]=""),"",N(tblSafety[[#This Row],[Hours_Employees]])+N(tblSafety[[#This Row],[Hours_Contractors]]))</f>
        <v/>
      </c>
      <c r="S294" s="64">
        <f>IF(AND(tblSafety[[#This Row],[Fatality]]="",tblSafety[[#This Row],[LTI]]="",tblSafety[[#This Row],[RWI]]="",tblSafety[[#This Row],[MTI]]=""),"",N(tblSafety[[#This Row],[Fatality]])+N(tblSafety[[#This Row],[LTI]])+N(tblSafety[[#This Row],[RWI]])+N(tblSafety[[#This Row],[MTI]]))</f>
        <v/>
      </c>
    </row>
    <row r="295">
      <c r="A295" s="54" t="n">
        <v>46312</v>
      </c>
      <c r="B295" s="57" t="n"/>
      <c r="C295" s="57" t="n"/>
      <c r="D295" s="62" t="n"/>
      <c r="E295" s="62" t="n"/>
      <c r="F295" s="62" t="n"/>
      <c r="G295" s="62" t="n"/>
      <c r="H295" s="62" t="n"/>
      <c r="I295" s="62" t="n"/>
      <c r="J295" s="62" t="n"/>
      <c r="K295" s="62" t="n"/>
      <c r="L295" s="62" t="n"/>
      <c r="M295" s="62" t="n"/>
      <c r="N295" s="62" t="n"/>
      <c r="O295" s="62" t="n"/>
      <c r="P295" s="62" t="n"/>
      <c r="Q295" s="58" t="n"/>
      <c r="R295" s="66">
        <f>IF(AND(tblSafety[[#This Row],[Hours_Employees]]="",tblSafety[[#This Row],[Hours_Contractors]]=""),"",N(tblSafety[[#This Row],[Hours_Employees]])+N(tblSafety[[#This Row],[Hours_Contractors]]))</f>
        <v/>
      </c>
      <c r="S295" s="64">
        <f>IF(AND(tblSafety[[#This Row],[Fatality]]="",tblSafety[[#This Row],[LTI]]="",tblSafety[[#This Row],[RWI]]="",tblSafety[[#This Row],[MTI]]=""),"",N(tblSafety[[#This Row],[Fatality]])+N(tblSafety[[#This Row],[LTI]])+N(tblSafety[[#This Row],[RWI]])+N(tblSafety[[#This Row],[MTI]]))</f>
        <v/>
      </c>
    </row>
    <row r="296">
      <c r="A296" s="54" t="n">
        <v>46313</v>
      </c>
      <c r="B296" s="57" t="n"/>
      <c r="C296" s="57" t="n"/>
      <c r="D296" s="62" t="n"/>
      <c r="E296" s="62" t="n"/>
      <c r="F296" s="62" t="n"/>
      <c r="G296" s="62" t="n"/>
      <c r="H296" s="62" t="n"/>
      <c r="I296" s="62" t="n"/>
      <c r="J296" s="62" t="n"/>
      <c r="K296" s="62" t="n"/>
      <c r="L296" s="62" t="n"/>
      <c r="M296" s="62" t="n"/>
      <c r="N296" s="62" t="n"/>
      <c r="O296" s="62" t="n"/>
      <c r="P296" s="62" t="n"/>
      <c r="Q296" s="58" t="n"/>
      <c r="R296" s="66">
        <f>IF(AND(tblSafety[[#This Row],[Hours_Employees]]="",tblSafety[[#This Row],[Hours_Contractors]]=""),"",N(tblSafety[[#This Row],[Hours_Employees]])+N(tblSafety[[#This Row],[Hours_Contractors]]))</f>
        <v/>
      </c>
      <c r="S296" s="64">
        <f>IF(AND(tblSafety[[#This Row],[Fatality]]="",tblSafety[[#This Row],[LTI]]="",tblSafety[[#This Row],[RWI]]="",tblSafety[[#This Row],[MTI]]=""),"",N(tblSafety[[#This Row],[Fatality]])+N(tblSafety[[#This Row],[LTI]])+N(tblSafety[[#This Row],[RWI]])+N(tblSafety[[#This Row],[MTI]]))</f>
        <v/>
      </c>
    </row>
    <row r="297">
      <c r="A297" s="54" t="n">
        <v>46314</v>
      </c>
      <c r="B297" s="57" t="n"/>
      <c r="C297" s="57" t="n"/>
      <c r="D297" s="62" t="n"/>
      <c r="E297" s="62" t="n"/>
      <c r="F297" s="62" t="n"/>
      <c r="G297" s="62" t="n"/>
      <c r="H297" s="62" t="n"/>
      <c r="I297" s="62" t="n"/>
      <c r="J297" s="62" t="n"/>
      <c r="K297" s="62" t="n"/>
      <c r="L297" s="62" t="n"/>
      <c r="M297" s="62" t="n"/>
      <c r="N297" s="62" t="n"/>
      <c r="O297" s="62" t="n"/>
      <c r="P297" s="62" t="n"/>
      <c r="Q297" s="58" t="n"/>
      <c r="R297" s="66">
        <f>IF(AND(tblSafety[[#This Row],[Hours_Employees]]="",tblSafety[[#This Row],[Hours_Contractors]]=""),"",N(tblSafety[[#This Row],[Hours_Employees]])+N(tblSafety[[#This Row],[Hours_Contractors]]))</f>
        <v/>
      </c>
      <c r="S297" s="64">
        <f>IF(AND(tblSafety[[#This Row],[Fatality]]="",tblSafety[[#This Row],[LTI]]="",tblSafety[[#This Row],[RWI]]="",tblSafety[[#This Row],[MTI]]=""),"",N(tblSafety[[#This Row],[Fatality]])+N(tblSafety[[#This Row],[LTI]])+N(tblSafety[[#This Row],[RWI]])+N(tblSafety[[#This Row],[MTI]]))</f>
        <v/>
      </c>
    </row>
    <row r="298">
      <c r="A298" s="54" t="n">
        <v>46315</v>
      </c>
      <c r="B298" s="57" t="n"/>
      <c r="C298" s="57" t="n"/>
      <c r="D298" s="62" t="n"/>
      <c r="E298" s="62" t="n"/>
      <c r="F298" s="62" t="n"/>
      <c r="G298" s="62" t="n"/>
      <c r="H298" s="62" t="n"/>
      <c r="I298" s="62" t="n"/>
      <c r="J298" s="62" t="n"/>
      <c r="K298" s="62" t="n"/>
      <c r="L298" s="62" t="n"/>
      <c r="M298" s="62" t="n"/>
      <c r="N298" s="62" t="n"/>
      <c r="O298" s="62" t="n"/>
      <c r="P298" s="62" t="n"/>
      <c r="Q298" s="58" t="n"/>
      <c r="R298" s="66">
        <f>IF(AND(tblSafety[[#This Row],[Hours_Employees]]="",tblSafety[[#This Row],[Hours_Contractors]]=""),"",N(tblSafety[[#This Row],[Hours_Employees]])+N(tblSafety[[#This Row],[Hours_Contractors]]))</f>
        <v/>
      </c>
      <c r="S298" s="64">
        <f>IF(AND(tblSafety[[#This Row],[Fatality]]="",tblSafety[[#This Row],[LTI]]="",tblSafety[[#This Row],[RWI]]="",tblSafety[[#This Row],[MTI]]=""),"",N(tblSafety[[#This Row],[Fatality]])+N(tblSafety[[#This Row],[LTI]])+N(tblSafety[[#This Row],[RWI]])+N(tblSafety[[#This Row],[MTI]]))</f>
        <v/>
      </c>
    </row>
    <row r="299">
      <c r="A299" s="54" t="n">
        <v>46316</v>
      </c>
      <c r="B299" s="57" t="n"/>
      <c r="C299" s="57" t="n"/>
      <c r="D299" s="62" t="n"/>
      <c r="E299" s="62" t="n"/>
      <c r="F299" s="62" t="n"/>
      <c r="G299" s="62" t="n"/>
      <c r="H299" s="62" t="n"/>
      <c r="I299" s="62" t="n"/>
      <c r="J299" s="62" t="n"/>
      <c r="K299" s="62" t="n"/>
      <c r="L299" s="62" t="n"/>
      <c r="M299" s="62" t="n"/>
      <c r="N299" s="62" t="n"/>
      <c r="O299" s="62" t="n"/>
      <c r="P299" s="62" t="n"/>
      <c r="Q299" s="58" t="n"/>
      <c r="R299" s="66">
        <f>IF(AND(tblSafety[[#This Row],[Hours_Employees]]="",tblSafety[[#This Row],[Hours_Contractors]]=""),"",N(tblSafety[[#This Row],[Hours_Employees]])+N(tblSafety[[#This Row],[Hours_Contractors]]))</f>
        <v/>
      </c>
      <c r="S299" s="64">
        <f>IF(AND(tblSafety[[#This Row],[Fatality]]="",tblSafety[[#This Row],[LTI]]="",tblSafety[[#This Row],[RWI]]="",tblSafety[[#This Row],[MTI]]=""),"",N(tblSafety[[#This Row],[Fatality]])+N(tblSafety[[#This Row],[LTI]])+N(tblSafety[[#This Row],[RWI]])+N(tblSafety[[#This Row],[MTI]]))</f>
        <v/>
      </c>
    </row>
    <row r="300">
      <c r="A300" s="54" t="n">
        <v>46317</v>
      </c>
      <c r="B300" s="57" t="n"/>
      <c r="C300" s="57" t="n"/>
      <c r="D300" s="62" t="n"/>
      <c r="E300" s="62" t="n"/>
      <c r="F300" s="62" t="n"/>
      <c r="G300" s="62" t="n"/>
      <c r="H300" s="62" t="n"/>
      <c r="I300" s="62" t="n"/>
      <c r="J300" s="62" t="n"/>
      <c r="K300" s="62" t="n"/>
      <c r="L300" s="62" t="n"/>
      <c r="M300" s="62" t="n"/>
      <c r="N300" s="62" t="n"/>
      <c r="O300" s="62" t="n"/>
      <c r="P300" s="62" t="n"/>
      <c r="Q300" s="58" t="n"/>
      <c r="R300" s="66">
        <f>IF(AND(tblSafety[[#This Row],[Hours_Employees]]="",tblSafety[[#This Row],[Hours_Contractors]]=""),"",N(tblSafety[[#This Row],[Hours_Employees]])+N(tblSafety[[#This Row],[Hours_Contractors]]))</f>
        <v/>
      </c>
      <c r="S300" s="64">
        <f>IF(AND(tblSafety[[#This Row],[Fatality]]="",tblSafety[[#This Row],[LTI]]="",tblSafety[[#This Row],[RWI]]="",tblSafety[[#This Row],[MTI]]=""),"",N(tblSafety[[#This Row],[Fatality]])+N(tblSafety[[#This Row],[LTI]])+N(tblSafety[[#This Row],[RWI]])+N(tblSafety[[#This Row],[MTI]]))</f>
        <v/>
      </c>
    </row>
    <row r="301">
      <c r="A301" s="54" t="n">
        <v>46318</v>
      </c>
      <c r="B301" s="57" t="n"/>
      <c r="C301" s="57" t="n"/>
      <c r="D301" s="62" t="n"/>
      <c r="E301" s="62" t="n"/>
      <c r="F301" s="62" t="n"/>
      <c r="G301" s="62" t="n"/>
      <c r="H301" s="62" t="n"/>
      <c r="I301" s="62" t="n"/>
      <c r="J301" s="62" t="n"/>
      <c r="K301" s="62" t="n"/>
      <c r="L301" s="62" t="n"/>
      <c r="M301" s="62" t="n"/>
      <c r="N301" s="62" t="n"/>
      <c r="O301" s="62" t="n"/>
      <c r="P301" s="62" t="n"/>
      <c r="Q301" s="58" t="n"/>
      <c r="R301" s="66">
        <f>IF(AND(tblSafety[[#This Row],[Hours_Employees]]="",tblSafety[[#This Row],[Hours_Contractors]]=""),"",N(tblSafety[[#This Row],[Hours_Employees]])+N(tblSafety[[#This Row],[Hours_Contractors]]))</f>
        <v/>
      </c>
      <c r="S301" s="64">
        <f>IF(AND(tblSafety[[#This Row],[Fatality]]="",tblSafety[[#This Row],[LTI]]="",tblSafety[[#This Row],[RWI]]="",tblSafety[[#This Row],[MTI]]=""),"",N(tblSafety[[#This Row],[Fatality]])+N(tblSafety[[#This Row],[LTI]])+N(tblSafety[[#This Row],[RWI]])+N(tblSafety[[#This Row],[MTI]]))</f>
        <v/>
      </c>
    </row>
    <row r="302">
      <c r="A302" s="54" t="n">
        <v>46319</v>
      </c>
      <c r="B302" s="57" t="n"/>
      <c r="C302" s="57" t="n"/>
      <c r="D302" s="62" t="n"/>
      <c r="E302" s="62" t="n"/>
      <c r="F302" s="62" t="n"/>
      <c r="G302" s="62" t="n"/>
      <c r="H302" s="62" t="n"/>
      <c r="I302" s="62" t="n"/>
      <c r="J302" s="62" t="n"/>
      <c r="K302" s="62" t="n"/>
      <c r="L302" s="62" t="n"/>
      <c r="M302" s="62" t="n"/>
      <c r="N302" s="62" t="n"/>
      <c r="O302" s="62" t="n"/>
      <c r="P302" s="62" t="n"/>
      <c r="Q302" s="58" t="n"/>
      <c r="R302" s="66">
        <f>IF(AND(tblSafety[[#This Row],[Hours_Employees]]="",tblSafety[[#This Row],[Hours_Contractors]]=""),"",N(tblSafety[[#This Row],[Hours_Employees]])+N(tblSafety[[#This Row],[Hours_Contractors]]))</f>
        <v/>
      </c>
      <c r="S302" s="64">
        <f>IF(AND(tblSafety[[#This Row],[Fatality]]="",tblSafety[[#This Row],[LTI]]="",tblSafety[[#This Row],[RWI]]="",tblSafety[[#This Row],[MTI]]=""),"",N(tblSafety[[#This Row],[Fatality]])+N(tblSafety[[#This Row],[LTI]])+N(tblSafety[[#This Row],[RWI]])+N(tblSafety[[#This Row],[MTI]]))</f>
        <v/>
      </c>
    </row>
    <row r="303">
      <c r="A303" s="54" t="n">
        <v>46320</v>
      </c>
      <c r="B303" s="57" t="n"/>
      <c r="C303" s="57" t="n"/>
      <c r="D303" s="62" t="n"/>
      <c r="E303" s="62" t="n"/>
      <c r="F303" s="62" t="n"/>
      <c r="G303" s="62" t="n"/>
      <c r="H303" s="62" t="n"/>
      <c r="I303" s="62" t="n"/>
      <c r="J303" s="62" t="n"/>
      <c r="K303" s="62" t="n"/>
      <c r="L303" s="62" t="n"/>
      <c r="M303" s="62" t="n"/>
      <c r="N303" s="62" t="n"/>
      <c r="O303" s="62" t="n"/>
      <c r="P303" s="62" t="n"/>
      <c r="Q303" s="58" t="n"/>
      <c r="R303" s="66">
        <f>IF(AND(tblSafety[[#This Row],[Hours_Employees]]="",tblSafety[[#This Row],[Hours_Contractors]]=""),"",N(tblSafety[[#This Row],[Hours_Employees]])+N(tblSafety[[#This Row],[Hours_Contractors]]))</f>
        <v/>
      </c>
      <c r="S303" s="64">
        <f>IF(AND(tblSafety[[#This Row],[Fatality]]="",tblSafety[[#This Row],[LTI]]="",tblSafety[[#This Row],[RWI]]="",tblSafety[[#This Row],[MTI]]=""),"",N(tblSafety[[#This Row],[Fatality]])+N(tblSafety[[#This Row],[LTI]])+N(tblSafety[[#This Row],[RWI]])+N(tblSafety[[#This Row],[MTI]]))</f>
        <v/>
      </c>
    </row>
    <row r="304">
      <c r="A304" s="54" t="n">
        <v>46321</v>
      </c>
      <c r="B304" s="57" t="n"/>
      <c r="C304" s="57" t="n"/>
      <c r="D304" s="62" t="n"/>
      <c r="E304" s="62" t="n"/>
      <c r="F304" s="62" t="n"/>
      <c r="G304" s="62" t="n"/>
      <c r="H304" s="62" t="n"/>
      <c r="I304" s="62" t="n"/>
      <c r="J304" s="62" t="n"/>
      <c r="K304" s="62" t="n"/>
      <c r="L304" s="62" t="n"/>
      <c r="M304" s="62" t="n"/>
      <c r="N304" s="62" t="n"/>
      <c r="O304" s="62" t="n"/>
      <c r="P304" s="62" t="n"/>
      <c r="Q304" s="58" t="n"/>
      <c r="R304" s="66">
        <f>IF(AND(tblSafety[[#This Row],[Hours_Employees]]="",tblSafety[[#This Row],[Hours_Contractors]]=""),"",N(tblSafety[[#This Row],[Hours_Employees]])+N(tblSafety[[#This Row],[Hours_Contractors]]))</f>
        <v/>
      </c>
      <c r="S304" s="64">
        <f>IF(AND(tblSafety[[#This Row],[Fatality]]="",tblSafety[[#This Row],[LTI]]="",tblSafety[[#This Row],[RWI]]="",tblSafety[[#This Row],[MTI]]=""),"",N(tblSafety[[#This Row],[Fatality]])+N(tblSafety[[#This Row],[LTI]])+N(tblSafety[[#This Row],[RWI]])+N(tblSafety[[#This Row],[MTI]]))</f>
        <v/>
      </c>
    </row>
    <row r="305">
      <c r="A305" s="54" t="n">
        <v>46322</v>
      </c>
      <c r="B305" s="57" t="n"/>
      <c r="C305" s="57" t="n"/>
      <c r="D305" s="62" t="n"/>
      <c r="E305" s="62" t="n"/>
      <c r="F305" s="62" t="n"/>
      <c r="G305" s="62" t="n"/>
      <c r="H305" s="62" t="n"/>
      <c r="I305" s="62" t="n"/>
      <c r="J305" s="62" t="n"/>
      <c r="K305" s="62" t="n"/>
      <c r="L305" s="62" t="n"/>
      <c r="M305" s="62" t="n"/>
      <c r="N305" s="62" t="n"/>
      <c r="O305" s="62" t="n"/>
      <c r="P305" s="62" t="n"/>
      <c r="Q305" s="58" t="n"/>
      <c r="R305" s="66">
        <f>IF(AND(tblSafety[[#This Row],[Hours_Employees]]="",tblSafety[[#This Row],[Hours_Contractors]]=""),"",N(tblSafety[[#This Row],[Hours_Employees]])+N(tblSafety[[#This Row],[Hours_Contractors]]))</f>
        <v/>
      </c>
      <c r="S305" s="64">
        <f>IF(AND(tblSafety[[#This Row],[Fatality]]="",tblSafety[[#This Row],[LTI]]="",tblSafety[[#This Row],[RWI]]="",tblSafety[[#This Row],[MTI]]=""),"",N(tblSafety[[#This Row],[Fatality]])+N(tblSafety[[#This Row],[LTI]])+N(tblSafety[[#This Row],[RWI]])+N(tblSafety[[#This Row],[MTI]]))</f>
        <v/>
      </c>
    </row>
    <row r="306">
      <c r="A306" s="54" t="n">
        <v>46323</v>
      </c>
      <c r="B306" s="57" t="n"/>
      <c r="C306" s="57" t="n"/>
      <c r="D306" s="62" t="n"/>
      <c r="E306" s="62" t="n"/>
      <c r="F306" s="62" t="n"/>
      <c r="G306" s="62" t="n"/>
      <c r="H306" s="62" t="n"/>
      <c r="I306" s="62" t="n"/>
      <c r="J306" s="62" t="n"/>
      <c r="K306" s="62" t="n"/>
      <c r="L306" s="62" t="n"/>
      <c r="M306" s="62" t="n"/>
      <c r="N306" s="62" t="n"/>
      <c r="O306" s="62" t="n"/>
      <c r="P306" s="62" t="n"/>
      <c r="Q306" s="58" t="n"/>
      <c r="R306" s="66">
        <f>IF(AND(tblSafety[[#This Row],[Hours_Employees]]="",tblSafety[[#This Row],[Hours_Contractors]]=""),"",N(tblSafety[[#This Row],[Hours_Employees]])+N(tblSafety[[#This Row],[Hours_Contractors]]))</f>
        <v/>
      </c>
      <c r="S306" s="64">
        <f>IF(AND(tblSafety[[#This Row],[Fatality]]="",tblSafety[[#This Row],[LTI]]="",tblSafety[[#This Row],[RWI]]="",tblSafety[[#This Row],[MTI]]=""),"",N(tblSafety[[#This Row],[Fatality]])+N(tblSafety[[#This Row],[LTI]])+N(tblSafety[[#This Row],[RWI]])+N(tblSafety[[#This Row],[MTI]]))</f>
        <v/>
      </c>
    </row>
    <row r="307">
      <c r="A307" s="54" t="n">
        <v>46324</v>
      </c>
      <c r="B307" s="57" t="n"/>
      <c r="C307" s="57" t="n"/>
      <c r="D307" s="62" t="n"/>
      <c r="E307" s="62" t="n"/>
      <c r="F307" s="62" t="n"/>
      <c r="G307" s="62" t="n"/>
      <c r="H307" s="62" t="n"/>
      <c r="I307" s="62" t="n"/>
      <c r="J307" s="62" t="n"/>
      <c r="K307" s="62" t="n"/>
      <c r="L307" s="62" t="n"/>
      <c r="M307" s="62" t="n"/>
      <c r="N307" s="62" t="n"/>
      <c r="O307" s="62" t="n"/>
      <c r="P307" s="62" t="n"/>
      <c r="Q307" s="58" t="n"/>
      <c r="R307" s="66">
        <f>IF(AND(tblSafety[[#This Row],[Hours_Employees]]="",tblSafety[[#This Row],[Hours_Contractors]]=""),"",N(tblSafety[[#This Row],[Hours_Employees]])+N(tblSafety[[#This Row],[Hours_Contractors]]))</f>
        <v/>
      </c>
      <c r="S307" s="64">
        <f>IF(AND(tblSafety[[#This Row],[Fatality]]="",tblSafety[[#This Row],[LTI]]="",tblSafety[[#This Row],[RWI]]="",tblSafety[[#This Row],[MTI]]=""),"",N(tblSafety[[#This Row],[Fatality]])+N(tblSafety[[#This Row],[LTI]])+N(tblSafety[[#This Row],[RWI]])+N(tblSafety[[#This Row],[MTI]]))</f>
        <v/>
      </c>
    </row>
    <row r="308">
      <c r="A308" s="54" t="n">
        <v>46325</v>
      </c>
      <c r="B308" s="57" t="n"/>
      <c r="C308" s="57" t="n"/>
      <c r="D308" s="62" t="n"/>
      <c r="E308" s="62" t="n"/>
      <c r="F308" s="62" t="n"/>
      <c r="G308" s="62" t="n"/>
      <c r="H308" s="62" t="n"/>
      <c r="I308" s="62" t="n"/>
      <c r="J308" s="62" t="n"/>
      <c r="K308" s="62" t="n"/>
      <c r="L308" s="62" t="n"/>
      <c r="M308" s="62" t="n"/>
      <c r="N308" s="62" t="n"/>
      <c r="O308" s="62" t="n"/>
      <c r="P308" s="62" t="n"/>
      <c r="Q308" s="58" t="n"/>
      <c r="R308" s="66">
        <f>IF(AND(tblSafety[[#This Row],[Hours_Employees]]="",tblSafety[[#This Row],[Hours_Contractors]]=""),"",N(tblSafety[[#This Row],[Hours_Employees]])+N(tblSafety[[#This Row],[Hours_Contractors]]))</f>
        <v/>
      </c>
      <c r="S308" s="64">
        <f>IF(AND(tblSafety[[#This Row],[Fatality]]="",tblSafety[[#This Row],[LTI]]="",tblSafety[[#This Row],[RWI]]="",tblSafety[[#This Row],[MTI]]=""),"",N(tblSafety[[#This Row],[Fatality]])+N(tblSafety[[#This Row],[LTI]])+N(tblSafety[[#This Row],[RWI]])+N(tblSafety[[#This Row],[MTI]]))</f>
        <v/>
      </c>
    </row>
    <row r="309">
      <c r="A309" s="54" t="n">
        <v>46326</v>
      </c>
      <c r="B309" s="57" t="n"/>
      <c r="C309" s="57" t="n"/>
      <c r="D309" s="62" t="n"/>
      <c r="E309" s="62" t="n"/>
      <c r="F309" s="62" t="n"/>
      <c r="G309" s="62" t="n"/>
      <c r="H309" s="62" t="n"/>
      <c r="I309" s="62" t="n"/>
      <c r="J309" s="62" t="n"/>
      <c r="K309" s="62" t="n"/>
      <c r="L309" s="62" t="n"/>
      <c r="M309" s="62" t="n"/>
      <c r="N309" s="62" t="n"/>
      <c r="O309" s="62" t="n"/>
      <c r="P309" s="62" t="n"/>
      <c r="Q309" s="58" t="n"/>
      <c r="R309" s="66">
        <f>IF(AND(tblSafety[[#This Row],[Hours_Employees]]="",tblSafety[[#This Row],[Hours_Contractors]]=""),"",N(tblSafety[[#This Row],[Hours_Employees]])+N(tblSafety[[#This Row],[Hours_Contractors]]))</f>
        <v/>
      </c>
      <c r="S309" s="64">
        <f>IF(AND(tblSafety[[#This Row],[Fatality]]="",tblSafety[[#This Row],[LTI]]="",tblSafety[[#This Row],[RWI]]="",tblSafety[[#This Row],[MTI]]=""),"",N(tblSafety[[#This Row],[Fatality]])+N(tblSafety[[#This Row],[LTI]])+N(tblSafety[[#This Row],[RWI]])+N(tblSafety[[#This Row],[MTI]]))</f>
        <v/>
      </c>
    </row>
    <row r="310">
      <c r="A310" s="54" t="n">
        <v>46327</v>
      </c>
      <c r="B310" s="57" t="n"/>
      <c r="C310" s="57" t="n"/>
      <c r="D310" s="62" t="n"/>
      <c r="E310" s="62" t="n"/>
      <c r="F310" s="62" t="n"/>
      <c r="G310" s="62" t="n"/>
      <c r="H310" s="62" t="n"/>
      <c r="I310" s="62" t="n"/>
      <c r="J310" s="62" t="n"/>
      <c r="K310" s="62" t="n"/>
      <c r="L310" s="62" t="n"/>
      <c r="M310" s="62" t="n"/>
      <c r="N310" s="62" t="n"/>
      <c r="O310" s="62" t="n"/>
      <c r="P310" s="62" t="n"/>
      <c r="Q310" s="58" t="n"/>
      <c r="R310" s="66">
        <f>IF(AND(tblSafety[[#This Row],[Hours_Employees]]="",tblSafety[[#This Row],[Hours_Contractors]]=""),"",N(tblSafety[[#This Row],[Hours_Employees]])+N(tblSafety[[#This Row],[Hours_Contractors]]))</f>
        <v/>
      </c>
      <c r="S310" s="64">
        <f>IF(AND(tblSafety[[#This Row],[Fatality]]="",tblSafety[[#This Row],[LTI]]="",tblSafety[[#This Row],[RWI]]="",tblSafety[[#This Row],[MTI]]=""),"",N(tblSafety[[#This Row],[Fatality]])+N(tblSafety[[#This Row],[LTI]])+N(tblSafety[[#This Row],[RWI]])+N(tblSafety[[#This Row],[MTI]]))</f>
        <v/>
      </c>
    </row>
    <row r="311">
      <c r="A311" s="54" t="n">
        <v>46328</v>
      </c>
      <c r="B311" s="57" t="n"/>
      <c r="C311" s="57" t="n"/>
      <c r="D311" s="62" t="n"/>
      <c r="E311" s="62" t="n"/>
      <c r="F311" s="62" t="n"/>
      <c r="G311" s="62" t="n"/>
      <c r="H311" s="62" t="n"/>
      <c r="I311" s="62" t="n"/>
      <c r="J311" s="62" t="n"/>
      <c r="K311" s="62" t="n"/>
      <c r="L311" s="62" t="n"/>
      <c r="M311" s="62" t="n"/>
      <c r="N311" s="62" t="n"/>
      <c r="O311" s="62" t="n"/>
      <c r="P311" s="62" t="n"/>
      <c r="Q311" s="58" t="n"/>
      <c r="R311" s="66">
        <f>IF(AND(tblSafety[[#This Row],[Hours_Employees]]="",tblSafety[[#This Row],[Hours_Contractors]]=""),"",N(tblSafety[[#This Row],[Hours_Employees]])+N(tblSafety[[#This Row],[Hours_Contractors]]))</f>
        <v/>
      </c>
      <c r="S311" s="64">
        <f>IF(AND(tblSafety[[#This Row],[Fatality]]="",tblSafety[[#This Row],[LTI]]="",tblSafety[[#This Row],[RWI]]="",tblSafety[[#This Row],[MTI]]=""),"",N(tblSafety[[#This Row],[Fatality]])+N(tblSafety[[#This Row],[LTI]])+N(tblSafety[[#This Row],[RWI]])+N(tblSafety[[#This Row],[MTI]]))</f>
        <v/>
      </c>
    </row>
    <row r="312">
      <c r="A312" s="54" t="n">
        <v>46329</v>
      </c>
      <c r="B312" s="57" t="n"/>
      <c r="C312" s="57" t="n"/>
      <c r="D312" s="62" t="n"/>
      <c r="E312" s="62" t="n"/>
      <c r="F312" s="62" t="n"/>
      <c r="G312" s="62" t="n"/>
      <c r="H312" s="62" t="n"/>
      <c r="I312" s="62" t="n"/>
      <c r="J312" s="62" t="n"/>
      <c r="K312" s="62" t="n"/>
      <c r="L312" s="62" t="n"/>
      <c r="M312" s="62" t="n"/>
      <c r="N312" s="62" t="n"/>
      <c r="O312" s="62" t="n"/>
      <c r="P312" s="62" t="n"/>
      <c r="Q312" s="58" t="n"/>
      <c r="R312" s="66">
        <f>IF(AND(tblSafety[[#This Row],[Hours_Employees]]="",tblSafety[[#This Row],[Hours_Contractors]]=""),"",N(tblSafety[[#This Row],[Hours_Employees]])+N(tblSafety[[#This Row],[Hours_Contractors]]))</f>
        <v/>
      </c>
      <c r="S312" s="64">
        <f>IF(AND(tblSafety[[#This Row],[Fatality]]="",tblSafety[[#This Row],[LTI]]="",tblSafety[[#This Row],[RWI]]="",tblSafety[[#This Row],[MTI]]=""),"",N(tblSafety[[#This Row],[Fatality]])+N(tblSafety[[#This Row],[LTI]])+N(tblSafety[[#This Row],[RWI]])+N(tblSafety[[#This Row],[MTI]]))</f>
        <v/>
      </c>
    </row>
    <row r="313">
      <c r="A313" s="54" t="n">
        <v>46330</v>
      </c>
      <c r="B313" s="57" t="n"/>
      <c r="C313" s="57" t="n"/>
      <c r="D313" s="62" t="n"/>
      <c r="E313" s="62" t="n"/>
      <c r="F313" s="62" t="n"/>
      <c r="G313" s="62" t="n"/>
      <c r="H313" s="62" t="n"/>
      <c r="I313" s="62" t="n"/>
      <c r="J313" s="62" t="n"/>
      <c r="K313" s="62" t="n"/>
      <c r="L313" s="62" t="n"/>
      <c r="M313" s="62" t="n"/>
      <c r="N313" s="62" t="n"/>
      <c r="O313" s="62" t="n"/>
      <c r="P313" s="62" t="n"/>
      <c r="Q313" s="58" t="n"/>
      <c r="R313" s="66">
        <f>IF(AND(tblSafety[[#This Row],[Hours_Employees]]="",tblSafety[[#This Row],[Hours_Contractors]]=""),"",N(tblSafety[[#This Row],[Hours_Employees]])+N(tblSafety[[#This Row],[Hours_Contractors]]))</f>
        <v/>
      </c>
      <c r="S313" s="64">
        <f>IF(AND(tblSafety[[#This Row],[Fatality]]="",tblSafety[[#This Row],[LTI]]="",tblSafety[[#This Row],[RWI]]="",tblSafety[[#This Row],[MTI]]=""),"",N(tblSafety[[#This Row],[Fatality]])+N(tblSafety[[#This Row],[LTI]])+N(tblSafety[[#This Row],[RWI]])+N(tblSafety[[#This Row],[MTI]]))</f>
        <v/>
      </c>
    </row>
    <row r="314">
      <c r="A314" s="54" t="n">
        <v>46331</v>
      </c>
      <c r="B314" s="57" t="n"/>
      <c r="C314" s="57" t="n"/>
      <c r="D314" s="62" t="n"/>
      <c r="E314" s="62" t="n"/>
      <c r="F314" s="62" t="n"/>
      <c r="G314" s="62" t="n"/>
      <c r="H314" s="62" t="n"/>
      <c r="I314" s="62" t="n"/>
      <c r="J314" s="62" t="n"/>
      <c r="K314" s="62" t="n"/>
      <c r="L314" s="62" t="n"/>
      <c r="M314" s="62" t="n"/>
      <c r="N314" s="62" t="n"/>
      <c r="O314" s="62" t="n"/>
      <c r="P314" s="62" t="n"/>
      <c r="Q314" s="58" t="n"/>
      <c r="R314" s="66">
        <f>IF(AND(tblSafety[[#This Row],[Hours_Employees]]="",tblSafety[[#This Row],[Hours_Contractors]]=""),"",N(tblSafety[[#This Row],[Hours_Employees]])+N(tblSafety[[#This Row],[Hours_Contractors]]))</f>
        <v/>
      </c>
      <c r="S314" s="64">
        <f>IF(AND(tblSafety[[#This Row],[Fatality]]="",tblSafety[[#This Row],[LTI]]="",tblSafety[[#This Row],[RWI]]="",tblSafety[[#This Row],[MTI]]=""),"",N(tblSafety[[#This Row],[Fatality]])+N(tblSafety[[#This Row],[LTI]])+N(tblSafety[[#This Row],[RWI]])+N(tblSafety[[#This Row],[MTI]]))</f>
        <v/>
      </c>
    </row>
    <row r="315">
      <c r="A315" s="54" t="n">
        <v>46332</v>
      </c>
      <c r="B315" s="57" t="n"/>
      <c r="C315" s="57" t="n"/>
      <c r="D315" s="62" t="n"/>
      <c r="E315" s="62" t="n"/>
      <c r="F315" s="62" t="n"/>
      <c r="G315" s="62" t="n"/>
      <c r="H315" s="62" t="n"/>
      <c r="I315" s="62" t="n"/>
      <c r="J315" s="62" t="n"/>
      <c r="K315" s="62" t="n"/>
      <c r="L315" s="62" t="n"/>
      <c r="M315" s="62" t="n"/>
      <c r="N315" s="62" t="n"/>
      <c r="O315" s="62" t="n"/>
      <c r="P315" s="62" t="n"/>
      <c r="Q315" s="58" t="n"/>
      <c r="R315" s="66">
        <f>IF(AND(tblSafety[[#This Row],[Hours_Employees]]="",tblSafety[[#This Row],[Hours_Contractors]]=""),"",N(tblSafety[[#This Row],[Hours_Employees]])+N(tblSafety[[#This Row],[Hours_Contractors]]))</f>
        <v/>
      </c>
      <c r="S315" s="64">
        <f>IF(AND(tblSafety[[#This Row],[Fatality]]="",tblSafety[[#This Row],[LTI]]="",tblSafety[[#This Row],[RWI]]="",tblSafety[[#This Row],[MTI]]=""),"",N(tblSafety[[#This Row],[Fatality]])+N(tblSafety[[#This Row],[LTI]])+N(tblSafety[[#This Row],[RWI]])+N(tblSafety[[#This Row],[MTI]]))</f>
        <v/>
      </c>
    </row>
    <row r="316">
      <c r="A316" s="54" t="n">
        <v>46333</v>
      </c>
      <c r="B316" s="57" t="n"/>
      <c r="C316" s="57" t="n"/>
      <c r="D316" s="62" t="n"/>
      <c r="E316" s="62" t="n"/>
      <c r="F316" s="62" t="n"/>
      <c r="G316" s="62" t="n"/>
      <c r="H316" s="62" t="n"/>
      <c r="I316" s="62" t="n"/>
      <c r="J316" s="62" t="n"/>
      <c r="K316" s="62" t="n"/>
      <c r="L316" s="62" t="n"/>
      <c r="M316" s="62" t="n"/>
      <c r="N316" s="62" t="n"/>
      <c r="O316" s="62" t="n"/>
      <c r="P316" s="62" t="n"/>
      <c r="Q316" s="58" t="n"/>
      <c r="R316" s="66">
        <f>IF(AND(tblSafety[[#This Row],[Hours_Employees]]="",tblSafety[[#This Row],[Hours_Contractors]]=""),"",N(tblSafety[[#This Row],[Hours_Employees]])+N(tblSafety[[#This Row],[Hours_Contractors]]))</f>
        <v/>
      </c>
      <c r="S316" s="64">
        <f>IF(AND(tblSafety[[#This Row],[Fatality]]="",tblSafety[[#This Row],[LTI]]="",tblSafety[[#This Row],[RWI]]="",tblSafety[[#This Row],[MTI]]=""),"",N(tblSafety[[#This Row],[Fatality]])+N(tblSafety[[#This Row],[LTI]])+N(tblSafety[[#This Row],[RWI]])+N(tblSafety[[#This Row],[MTI]]))</f>
        <v/>
      </c>
    </row>
    <row r="317">
      <c r="A317" s="54" t="n">
        <v>46334</v>
      </c>
      <c r="B317" s="57" t="n"/>
      <c r="C317" s="57" t="n"/>
      <c r="D317" s="62" t="n"/>
      <c r="E317" s="62" t="n"/>
      <c r="F317" s="62" t="n"/>
      <c r="G317" s="62" t="n"/>
      <c r="H317" s="62" t="n"/>
      <c r="I317" s="62" t="n"/>
      <c r="J317" s="62" t="n"/>
      <c r="K317" s="62" t="n"/>
      <c r="L317" s="62" t="n"/>
      <c r="M317" s="62" t="n"/>
      <c r="N317" s="62" t="n"/>
      <c r="O317" s="62" t="n"/>
      <c r="P317" s="62" t="n"/>
      <c r="Q317" s="58" t="n"/>
      <c r="R317" s="66">
        <f>IF(AND(tblSafety[[#This Row],[Hours_Employees]]="",tblSafety[[#This Row],[Hours_Contractors]]=""),"",N(tblSafety[[#This Row],[Hours_Employees]])+N(tblSafety[[#This Row],[Hours_Contractors]]))</f>
        <v/>
      </c>
      <c r="S317" s="64">
        <f>IF(AND(tblSafety[[#This Row],[Fatality]]="",tblSafety[[#This Row],[LTI]]="",tblSafety[[#This Row],[RWI]]="",tblSafety[[#This Row],[MTI]]=""),"",N(tblSafety[[#This Row],[Fatality]])+N(tblSafety[[#This Row],[LTI]])+N(tblSafety[[#This Row],[RWI]])+N(tblSafety[[#This Row],[MTI]]))</f>
        <v/>
      </c>
    </row>
    <row r="318">
      <c r="A318" s="54" t="n">
        <v>46335</v>
      </c>
      <c r="B318" s="57" t="n"/>
      <c r="C318" s="57" t="n"/>
      <c r="D318" s="62" t="n"/>
      <c r="E318" s="62" t="n"/>
      <c r="F318" s="62" t="n"/>
      <c r="G318" s="62" t="n"/>
      <c r="H318" s="62" t="n"/>
      <c r="I318" s="62" t="n"/>
      <c r="J318" s="62" t="n"/>
      <c r="K318" s="62" t="n"/>
      <c r="L318" s="62" t="n"/>
      <c r="M318" s="62" t="n"/>
      <c r="N318" s="62" t="n"/>
      <c r="O318" s="62" t="n"/>
      <c r="P318" s="62" t="n"/>
      <c r="Q318" s="58" t="n"/>
      <c r="R318" s="66">
        <f>IF(AND(tblSafety[[#This Row],[Hours_Employees]]="",tblSafety[[#This Row],[Hours_Contractors]]=""),"",N(tblSafety[[#This Row],[Hours_Employees]])+N(tblSafety[[#This Row],[Hours_Contractors]]))</f>
        <v/>
      </c>
      <c r="S318" s="64">
        <f>IF(AND(tblSafety[[#This Row],[Fatality]]="",tblSafety[[#This Row],[LTI]]="",tblSafety[[#This Row],[RWI]]="",tblSafety[[#This Row],[MTI]]=""),"",N(tblSafety[[#This Row],[Fatality]])+N(tblSafety[[#This Row],[LTI]])+N(tblSafety[[#This Row],[RWI]])+N(tblSafety[[#This Row],[MTI]]))</f>
        <v/>
      </c>
    </row>
    <row r="319">
      <c r="A319" s="54" t="n">
        <v>46336</v>
      </c>
      <c r="B319" s="57" t="n"/>
      <c r="C319" s="57" t="n"/>
      <c r="D319" s="62" t="n"/>
      <c r="E319" s="62" t="n"/>
      <c r="F319" s="62" t="n"/>
      <c r="G319" s="62" t="n"/>
      <c r="H319" s="62" t="n"/>
      <c r="I319" s="62" t="n"/>
      <c r="J319" s="62" t="n"/>
      <c r="K319" s="62" t="n"/>
      <c r="L319" s="62" t="n"/>
      <c r="M319" s="62" t="n"/>
      <c r="N319" s="62" t="n"/>
      <c r="O319" s="62" t="n"/>
      <c r="P319" s="62" t="n"/>
      <c r="Q319" s="58" t="n"/>
      <c r="R319" s="66">
        <f>IF(AND(tblSafety[[#This Row],[Hours_Employees]]="",tblSafety[[#This Row],[Hours_Contractors]]=""),"",N(tblSafety[[#This Row],[Hours_Employees]])+N(tblSafety[[#This Row],[Hours_Contractors]]))</f>
        <v/>
      </c>
      <c r="S319" s="64">
        <f>IF(AND(tblSafety[[#This Row],[Fatality]]="",tblSafety[[#This Row],[LTI]]="",tblSafety[[#This Row],[RWI]]="",tblSafety[[#This Row],[MTI]]=""),"",N(tblSafety[[#This Row],[Fatality]])+N(tblSafety[[#This Row],[LTI]])+N(tblSafety[[#This Row],[RWI]])+N(tblSafety[[#This Row],[MTI]]))</f>
        <v/>
      </c>
    </row>
    <row r="320">
      <c r="A320" s="54" t="n">
        <v>46337</v>
      </c>
      <c r="B320" s="57" t="n"/>
      <c r="C320" s="57" t="n"/>
      <c r="D320" s="62" t="n"/>
      <c r="E320" s="62" t="n"/>
      <c r="F320" s="62" t="n"/>
      <c r="G320" s="62" t="n"/>
      <c r="H320" s="62" t="n"/>
      <c r="I320" s="62" t="n"/>
      <c r="J320" s="62" t="n"/>
      <c r="K320" s="62" t="n"/>
      <c r="L320" s="62" t="n"/>
      <c r="M320" s="62" t="n"/>
      <c r="N320" s="62" t="n"/>
      <c r="O320" s="62" t="n"/>
      <c r="P320" s="62" t="n"/>
      <c r="Q320" s="58" t="n"/>
      <c r="R320" s="66">
        <f>IF(AND(tblSafety[[#This Row],[Hours_Employees]]="",tblSafety[[#This Row],[Hours_Contractors]]=""),"",N(tblSafety[[#This Row],[Hours_Employees]])+N(tblSafety[[#This Row],[Hours_Contractors]]))</f>
        <v/>
      </c>
      <c r="S320" s="64">
        <f>IF(AND(tblSafety[[#This Row],[Fatality]]="",tblSafety[[#This Row],[LTI]]="",tblSafety[[#This Row],[RWI]]="",tblSafety[[#This Row],[MTI]]=""),"",N(tblSafety[[#This Row],[Fatality]])+N(tblSafety[[#This Row],[LTI]])+N(tblSafety[[#This Row],[RWI]])+N(tblSafety[[#This Row],[MTI]]))</f>
        <v/>
      </c>
    </row>
    <row r="321">
      <c r="A321" s="54" t="n">
        <v>46338</v>
      </c>
      <c r="B321" s="57" t="n"/>
      <c r="C321" s="57" t="n"/>
      <c r="D321" s="62" t="n"/>
      <c r="E321" s="62" t="n"/>
      <c r="F321" s="62" t="n"/>
      <c r="G321" s="62" t="n"/>
      <c r="H321" s="62" t="n"/>
      <c r="I321" s="62" t="n"/>
      <c r="J321" s="62" t="n"/>
      <c r="K321" s="62" t="n"/>
      <c r="L321" s="62" t="n"/>
      <c r="M321" s="62" t="n"/>
      <c r="N321" s="62" t="n"/>
      <c r="O321" s="62" t="n"/>
      <c r="P321" s="62" t="n"/>
      <c r="Q321" s="58" t="n"/>
      <c r="R321" s="66">
        <f>IF(AND(tblSafety[[#This Row],[Hours_Employees]]="",tblSafety[[#This Row],[Hours_Contractors]]=""),"",N(tblSafety[[#This Row],[Hours_Employees]])+N(tblSafety[[#This Row],[Hours_Contractors]]))</f>
        <v/>
      </c>
      <c r="S321" s="64">
        <f>IF(AND(tblSafety[[#This Row],[Fatality]]="",tblSafety[[#This Row],[LTI]]="",tblSafety[[#This Row],[RWI]]="",tblSafety[[#This Row],[MTI]]=""),"",N(tblSafety[[#This Row],[Fatality]])+N(tblSafety[[#This Row],[LTI]])+N(tblSafety[[#This Row],[RWI]])+N(tblSafety[[#This Row],[MTI]]))</f>
        <v/>
      </c>
    </row>
    <row r="322">
      <c r="A322" s="54" t="n">
        <v>46339</v>
      </c>
      <c r="B322" s="57" t="n"/>
      <c r="C322" s="57" t="n"/>
      <c r="D322" s="62" t="n"/>
      <c r="E322" s="62" t="n"/>
      <c r="F322" s="62" t="n"/>
      <c r="G322" s="62" t="n"/>
      <c r="H322" s="62" t="n"/>
      <c r="I322" s="62" t="n"/>
      <c r="J322" s="62" t="n"/>
      <c r="K322" s="62" t="n"/>
      <c r="L322" s="62" t="n"/>
      <c r="M322" s="62" t="n"/>
      <c r="N322" s="62" t="n"/>
      <c r="O322" s="62" t="n"/>
      <c r="P322" s="62" t="n"/>
      <c r="Q322" s="58" t="n"/>
      <c r="R322" s="66">
        <f>IF(AND(tblSafety[[#This Row],[Hours_Employees]]="",tblSafety[[#This Row],[Hours_Contractors]]=""),"",N(tblSafety[[#This Row],[Hours_Employees]])+N(tblSafety[[#This Row],[Hours_Contractors]]))</f>
        <v/>
      </c>
      <c r="S322" s="64">
        <f>IF(AND(tblSafety[[#This Row],[Fatality]]="",tblSafety[[#This Row],[LTI]]="",tblSafety[[#This Row],[RWI]]="",tblSafety[[#This Row],[MTI]]=""),"",N(tblSafety[[#This Row],[Fatality]])+N(tblSafety[[#This Row],[LTI]])+N(tblSafety[[#This Row],[RWI]])+N(tblSafety[[#This Row],[MTI]]))</f>
        <v/>
      </c>
    </row>
    <row r="323">
      <c r="A323" s="54" t="n">
        <v>46340</v>
      </c>
      <c r="B323" s="57" t="n"/>
      <c r="C323" s="57" t="n"/>
      <c r="D323" s="62" t="n"/>
      <c r="E323" s="62" t="n"/>
      <c r="F323" s="62" t="n"/>
      <c r="G323" s="62" t="n"/>
      <c r="H323" s="62" t="n"/>
      <c r="I323" s="62" t="n"/>
      <c r="J323" s="62" t="n"/>
      <c r="K323" s="62" t="n"/>
      <c r="L323" s="62" t="n"/>
      <c r="M323" s="62" t="n"/>
      <c r="N323" s="62" t="n"/>
      <c r="O323" s="62" t="n"/>
      <c r="P323" s="62" t="n"/>
      <c r="Q323" s="58" t="n"/>
      <c r="R323" s="66">
        <f>IF(AND(tblSafety[[#This Row],[Hours_Employees]]="",tblSafety[[#This Row],[Hours_Contractors]]=""),"",N(tblSafety[[#This Row],[Hours_Employees]])+N(tblSafety[[#This Row],[Hours_Contractors]]))</f>
        <v/>
      </c>
      <c r="S323" s="64">
        <f>IF(AND(tblSafety[[#This Row],[Fatality]]="",tblSafety[[#This Row],[LTI]]="",tblSafety[[#This Row],[RWI]]="",tblSafety[[#This Row],[MTI]]=""),"",N(tblSafety[[#This Row],[Fatality]])+N(tblSafety[[#This Row],[LTI]])+N(tblSafety[[#This Row],[RWI]])+N(tblSafety[[#This Row],[MTI]]))</f>
        <v/>
      </c>
    </row>
    <row r="324">
      <c r="A324" s="54" t="n">
        <v>46341</v>
      </c>
      <c r="B324" s="57" t="n"/>
      <c r="C324" s="57" t="n"/>
      <c r="D324" s="62" t="n"/>
      <c r="E324" s="62" t="n"/>
      <c r="F324" s="62" t="n"/>
      <c r="G324" s="62" t="n"/>
      <c r="H324" s="62" t="n"/>
      <c r="I324" s="62" t="n"/>
      <c r="J324" s="62" t="n"/>
      <c r="K324" s="62" t="n"/>
      <c r="L324" s="62" t="n"/>
      <c r="M324" s="62" t="n"/>
      <c r="N324" s="62" t="n"/>
      <c r="O324" s="62" t="n"/>
      <c r="P324" s="62" t="n"/>
      <c r="Q324" s="58" t="n"/>
      <c r="R324" s="66">
        <f>IF(AND(tblSafety[[#This Row],[Hours_Employees]]="",tblSafety[[#This Row],[Hours_Contractors]]=""),"",N(tblSafety[[#This Row],[Hours_Employees]])+N(tblSafety[[#This Row],[Hours_Contractors]]))</f>
        <v/>
      </c>
      <c r="S324" s="64">
        <f>IF(AND(tblSafety[[#This Row],[Fatality]]="",tblSafety[[#This Row],[LTI]]="",tblSafety[[#This Row],[RWI]]="",tblSafety[[#This Row],[MTI]]=""),"",N(tblSafety[[#This Row],[Fatality]])+N(tblSafety[[#This Row],[LTI]])+N(tblSafety[[#This Row],[RWI]])+N(tblSafety[[#This Row],[MTI]]))</f>
        <v/>
      </c>
    </row>
    <row r="325">
      <c r="A325" s="54" t="n">
        <v>46342</v>
      </c>
      <c r="B325" s="57" t="n"/>
      <c r="C325" s="57" t="n"/>
      <c r="D325" s="62" t="n"/>
      <c r="E325" s="62" t="n"/>
      <c r="F325" s="62" t="n"/>
      <c r="G325" s="62" t="n"/>
      <c r="H325" s="62" t="n"/>
      <c r="I325" s="62" t="n"/>
      <c r="J325" s="62" t="n"/>
      <c r="K325" s="62" t="n"/>
      <c r="L325" s="62" t="n"/>
      <c r="M325" s="62" t="n"/>
      <c r="N325" s="62" t="n"/>
      <c r="O325" s="62" t="n"/>
      <c r="P325" s="62" t="n"/>
      <c r="Q325" s="58" t="n"/>
      <c r="R325" s="66">
        <f>IF(AND(tblSafety[[#This Row],[Hours_Employees]]="",tblSafety[[#This Row],[Hours_Contractors]]=""),"",N(tblSafety[[#This Row],[Hours_Employees]])+N(tblSafety[[#This Row],[Hours_Contractors]]))</f>
        <v/>
      </c>
      <c r="S325" s="64">
        <f>IF(AND(tblSafety[[#This Row],[Fatality]]="",tblSafety[[#This Row],[LTI]]="",tblSafety[[#This Row],[RWI]]="",tblSafety[[#This Row],[MTI]]=""),"",N(tblSafety[[#This Row],[Fatality]])+N(tblSafety[[#This Row],[LTI]])+N(tblSafety[[#This Row],[RWI]])+N(tblSafety[[#This Row],[MTI]]))</f>
        <v/>
      </c>
    </row>
    <row r="326">
      <c r="A326" s="54" t="n">
        <v>46343</v>
      </c>
      <c r="B326" s="57" t="n"/>
      <c r="C326" s="57" t="n"/>
      <c r="D326" s="62" t="n"/>
      <c r="E326" s="62" t="n"/>
      <c r="F326" s="62" t="n"/>
      <c r="G326" s="62" t="n"/>
      <c r="H326" s="62" t="n"/>
      <c r="I326" s="62" t="n"/>
      <c r="J326" s="62" t="n"/>
      <c r="K326" s="62" t="n"/>
      <c r="L326" s="62" t="n"/>
      <c r="M326" s="62" t="n"/>
      <c r="N326" s="62" t="n"/>
      <c r="O326" s="62" t="n"/>
      <c r="P326" s="62" t="n"/>
      <c r="Q326" s="58" t="n"/>
      <c r="R326" s="66">
        <f>IF(AND(tblSafety[[#This Row],[Hours_Employees]]="",tblSafety[[#This Row],[Hours_Contractors]]=""),"",N(tblSafety[[#This Row],[Hours_Employees]])+N(tblSafety[[#This Row],[Hours_Contractors]]))</f>
        <v/>
      </c>
      <c r="S326" s="64">
        <f>IF(AND(tblSafety[[#This Row],[Fatality]]="",tblSafety[[#This Row],[LTI]]="",tblSafety[[#This Row],[RWI]]="",tblSafety[[#This Row],[MTI]]=""),"",N(tblSafety[[#This Row],[Fatality]])+N(tblSafety[[#This Row],[LTI]])+N(tblSafety[[#This Row],[RWI]])+N(tblSafety[[#This Row],[MTI]]))</f>
        <v/>
      </c>
    </row>
    <row r="327">
      <c r="A327" s="54" t="n">
        <v>46344</v>
      </c>
      <c r="B327" s="57" t="n"/>
      <c r="C327" s="57" t="n"/>
      <c r="D327" s="62" t="n"/>
      <c r="E327" s="62" t="n"/>
      <c r="F327" s="62" t="n"/>
      <c r="G327" s="62" t="n"/>
      <c r="H327" s="62" t="n"/>
      <c r="I327" s="62" t="n"/>
      <c r="J327" s="62" t="n"/>
      <c r="K327" s="62" t="n"/>
      <c r="L327" s="62" t="n"/>
      <c r="M327" s="62" t="n"/>
      <c r="N327" s="62" t="n"/>
      <c r="O327" s="62" t="n"/>
      <c r="P327" s="62" t="n"/>
      <c r="Q327" s="58" t="n"/>
      <c r="R327" s="66">
        <f>IF(AND(tblSafety[[#This Row],[Hours_Employees]]="",tblSafety[[#This Row],[Hours_Contractors]]=""),"",N(tblSafety[[#This Row],[Hours_Employees]])+N(tblSafety[[#This Row],[Hours_Contractors]]))</f>
        <v/>
      </c>
      <c r="S327" s="64">
        <f>IF(AND(tblSafety[[#This Row],[Fatality]]="",tblSafety[[#This Row],[LTI]]="",tblSafety[[#This Row],[RWI]]="",tblSafety[[#This Row],[MTI]]=""),"",N(tblSafety[[#This Row],[Fatality]])+N(tblSafety[[#This Row],[LTI]])+N(tblSafety[[#This Row],[RWI]])+N(tblSafety[[#This Row],[MTI]]))</f>
        <v/>
      </c>
    </row>
    <row r="328">
      <c r="A328" s="54" t="n">
        <v>46345</v>
      </c>
      <c r="B328" s="57" t="n"/>
      <c r="C328" s="57" t="n"/>
      <c r="D328" s="62" t="n"/>
      <c r="E328" s="62" t="n"/>
      <c r="F328" s="62" t="n"/>
      <c r="G328" s="62" t="n"/>
      <c r="H328" s="62" t="n"/>
      <c r="I328" s="62" t="n"/>
      <c r="J328" s="62" t="n"/>
      <c r="K328" s="62" t="n"/>
      <c r="L328" s="62" t="n"/>
      <c r="M328" s="62" t="n"/>
      <c r="N328" s="62" t="n"/>
      <c r="O328" s="62" t="n"/>
      <c r="P328" s="62" t="n"/>
      <c r="Q328" s="58" t="n"/>
      <c r="R328" s="66">
        <f>IF(AND(tblSafety[[#This Row],[Hours_Employees]]="",tblSafety[[#This Row],[Hours_Contractors]]=""),"",N(tblSafety[[#This Row],[Hours_Employees]])+N(tblSafety[[#This Row],[Hours_Contractors]]))</f>
        <v/>
      </c>
      <c r="S328" s="64">
        <f>IF(AND(tblSafety[[#This Row],[Fatality]]="",tblSafety[[#This Row],[LTI]]="",tblSafety[[#This Row],[RWI]]="",tblSafety[[#This Row],[MTI]]=""),"",N(tblSafety[[#This Row],[Fatality]])+N(tblSafety[[#This Row],[LTI]])+N(tblSafety[[#This Row],[RWI]])+N(tblSafety[[#This Row],[MTI]]))</f>
        <v/>
      </c>
    </row>
    <row r="329">
      <c r="A329" s="54" t="n">
        <v>46346</v>
      </c>
      <c r="B329" s="57" t="n"/>
      <c r="C329" s="57" t="n"/>
      <c r="D329" s="62" t="n"/>
      <c r="E329" s="62" t="n"/>
      <c r="F329" s="62" t="n"/>
      <c r="G329" s="62" t="n"/>
      <c r="H329" s="62" t="n"/>
      <c r="I329" s="62" t="n"/>
      <c r="J329" s="62" t="n"/>
      <c r="K329" s="62" t="n"/>
      <c r="L329" s="62" t="n"/>
      <c r="M329" s="62" t="n"/>
      <c r="N329" s="62" t="n"/>
      <c r="O329" s="62" t="n"/>
      <c r="P329" s="62" t="n"/>
      <c r="Q329" s="58" t="n"/>
      <c r="R329" s="66">
        <f>IF(AND(tblSafety[[#This Row],[Hours_Employees]]="",tblSafety[[#This Row],[Hours_Contractors]]=""),"",N(tblSafety[[#This Row],[Hours_Employees]])+N(tblSafety[[#This Row],[Hours_Contractors]]))</f>
        <v/>
      </c>
      <c r="S329" s="64">
        <f>IF(AND(tblSafety[[#This Row],[Fatality]]="",tblSafety[[#This Row],[LTI]]="",tblSafety[[#This Row],[RWI]]="",tblSafety[[#This Row],[MTI]]=""),"",N(tblSafety[[#This Row],[Fatality]])+N(tblSafety[[#This Row],[LTI]])+N(tblSafety[[#This Row],[RWI]])+N(tblSafety[[#This Row],[MTI]]))</f>
        <v/>
      </c>
    </row>
    <row r="330">
      <c r="A330" s="54" t="n">
        <v>46347</v>
      </c>
      <c r="B330" s="57" t="n"/>
      <c r="C330" s="57" t="n"/>
      <c r="D330" s="62" t="n"/>
      <c r="E330" s="62" t="n"/>
      <c r="F330" s="62" t="n"/>
      <c r="G330" s="62" t="n"/>
      <c r="H330" s="62" t="n"/>
      <c r="I330" s="62" t="n"/>
      <c r="J330" s="62" t="n"/>
      <c r="K330" s="62" t="n"/>
      <c r="L330" s="62" t="n"/>
      <c r="M330" s="62" t="n"/>
      <c r="N330" s="62" t="n"/>
      <c r="O330" s="62" t="n"/>
      <c r="P330" s="62" t="n"/>
      <c r="Q330" s="58" t="n"/>
      <c r="R330" s="66">
        <f>IF(AND(tblSafety[[#This Row],[Hours_Employees]]="",tblSafety[[#This Row],[Hours_Contractors]]=""),"",N(tblSafety[[#This Row],[Hours_Employees]])+N(tblSafety[[#This Row],[Hours_Contractors]]))</f>
        <v/>
      </c>
      <c r="S330" s="64">
        <f>IF(AND(tblSafety[[#This Row],[Fatality]]="",tblSafety[[#This Row],[LTI]]="",tblSafety[[#This Row],[RWI]]="",tblSafety[[#This Row],[MTI]]=""),"",N(tblSafety[[#This Row],[Fatality]])+N(tblSafety[[#This Row],[LTI]])+N(tblSafety[[#This Row],[RWI]])+N(tblSafety[[#This Row],[MTI]]))</f>
        <v/>
      </c>
    </row>
    <row r="331">
      <c r="A331" s="54" t="n">
        <v>46348</v>
      </c>
      <c r="B331" s="57" t="n"/>
      <c r="C331" s="57" t="n"/>
      <c r="D331" s="62" t="n"/>
      <c r="E331" s="62" t="n"/>
      <c r="F331" s="62" t="n"/>
      <c r="G331" s="62" t="n"/>
      <c r="H331" s="62" t="n"/>
      <c r="I331" s="62" t="n"/>
      <c r="J331" s="62" t="n"/>
      <c r="K331" s="62" t="n"/>
      <c r="L331" s="62" t="n"/>
      <c r="M331" s="62" t="n"/>
      <c r="N331" s="62" t="n"/>
      <c r="O331" s="62" t="n"/>
      <c r="P331" s="62" t="n"/>
      <c r="Q331" s="58" t="n"/>
      <c r="R331" s="66">
        <f>IF(AND(tblSafety[[#This Row],[Hours_Employees]]="",tblSafety[[#This Row],[Hours_Contractors]]=""),"",N(tblSafety[[#This Row],[Hours_Employees]])+N(tblSafety[[#This Row],[Hours_Contractors]]))</f>
        <v/>
      </c>
      <c r="S331" s="64">
        <f>IF(AND(tblSafety[[#This Row],[Fatality]]="",tblSafety[[#This Row],[LTI]]="",tblSafety[[#This Row],[RWI]]="",tblSafety[[#This Row],[MTI]]=""),"",N(tblSafety[[#This Row],[Fatality]])+N(tblSafety[[#This Row],[LTI]])+N(tblSafety[[#This Row],[RWI]])+N(tblSafety[[#This Row],[MTI]]))</f>
        <v/>
      </c>
    </row>
    <row r="332">
      <c r="A332" s="54" t="n">
        <v>46349</v>
      </c>
      <c r="B332" s="57" t="n"/>
      <c r="C332" s="57" t="n"/>
      <c r="D332" s="62" t="n"/>
      <c r="E332" s="62" t="n"/>
      <c r="F332" s="62" t="n"/>
      <c r="G332" s="62" t="n"/>
      <c r="H332" s="62" t="n"/>
      <c r="I332" s="62" t="n"/>
      <c r="J332" s="62" t="n"/>
      <c r="K332" s="62" t="n"/>
      <c r="L332" s="62" t="n"/>
      <c r="M332" s="62" t="n"/>
      <c r="N332" s="62" t="n"/>
      <c r="O332" s="62" t="n"/>
      <c r="P332" s="62" t="n"/>
      <c r="Q332" s="58" t="n"/>
      <c r="R332" s="66">
        <f>IF(AND(tblSafety[[#This Row],[Hours_Employees]]="",tblSafety[[#This Row],[Hours_Contractors]]=""),"",N(tblSafety[[#This Row],[Hours_Employees]])+N(tblSafety[[#This Row],[Hours_Contractors]]))</f>
        <v/>
      </c>
      <c r="S332" s="64">
        <f>IF(AND(tblSafety[[#This Row],[Fatality]]="",tblSafety[[#This Row],[LTI]]="",tblSafety[[#This Row],[RWI]]="",tblSafety[[#This Row],[MTI]]=""),"",N(tblSafety[[#This Row],[Fatality]])+N(tblSafety[[#This Row],[LTI]])+N(tblSafety[[#This Row],[RWI]])+N(tblSafety[[#This Row],[MTI]]))</f>
        <v/>
      </c>
    </row>
    <row r="333">
      <c r="A333" s="54" t="n">
        <v>46350</v>
      </c>
      <c r="B333" s="57" t="n"/>
      <c r="C333" s="57" t="n"/>
      <c r="D333" s="62" t="n"/>
      <c r="E333" s="62" t="n"/>
      <c r="F333" s="62" t="n"/>
      <c r="G333" s="62" t="n"/>
      <c r="H333" s="62" t="n"/>
      <c r="I333" s="62" t="n"/>
      <c r="J333" s="62" t="n"/>
      <c r="K333" s="62" t="n"/>
      <c r="L333" s="62" t="n"/>
      <c r="M333" s="62" t="n"/>
      <c r="N333" s="62" t="n"/>
      <c r="O333" s="62" t="n"/>
      <c r="P333" s="62" t="n"/>
      <c r="Q333" s="58" t="n"/>
      <c r="R333" s="66">
        <f>IF(AND(tblSafety[[#This Row],[Hours_Employees]]="",tblSafety[[#This Row],[Hours_Contractors]]=""),"",N(tblSafety[[#This Row],[Hours_Employees]])+N(tblSafety[[#This Row],[Hours_Contractors]]))</f>
        <v/>
      </c>
      <c r="S333" s="64">
        <f>IF(AND(tblSafety[[#This Row],[Fatality]]="",tblSafety[[#This Row],[LTI]]="",tblSafety[[#This Row],[RWI]]="",tblSafety[[#This Row],[MTI]]=""),"",N(tblSafety[[#This Row],[Fatality]])+N(tblSafety[[#This Row],[LTI]])+N(tblSafety[[#This Row],[RWI]])+N(tblSafety[[#This Row],[MTI]]))</f>
        <v/>
      </c>
    </row>
    <row r="334">
      <c r="A334" s="54" t="n">
        <v>46351</v>
      </c>
      <c r="B334" s="57" t="n"/>
      <c r="C334" s="57" t="n"/>
      <c r="D334" s="62" t="n"/>
      <c r="E334" s="62" t="n"/>
      <c r="F334" s="62" t="n"/>
      <c r="G334" s="62" t="n"/>
      <c r="H334" s="62" t="n"/>
      <c r="I334" s="62" t="n"/>
      <c r="J334" s="62" t="n"/>
      <c r="K334" s="62" t="n"/>
      <c r="L334" s="62" t="n"/>
      <c r="M334" s="62" t="n"/>
      <c r="N334" s="62" t="n"/>
      <c r="O334" s="62" t="n"/>
      <c r="P334" s="62" t="n"/>
      <c r="Q334" s="58" t="n"/>
      <c r="R334" s="66">
        <f>IF(AND(tblSafety[[#This Row],[Hours_Employees]]="",tblSafety[[#This Row],[Hours_Contractors]]=""),"",N(tblSafety[[#This Row],[Hours_Employees]])+N(tblSafety[[#This Row],[Hours_Contractors]]))</f>
        <v/>
      </c>
      <c r="S334" s="64">
        <f>IF(AND(tblSafety[[#This Row],[Fatality]]="",tblSafety[[#This Row],[LTI]]="",tblSafety[[#This Row],[RWI]]="",tblSafety[[#This Row],[MTI]]=""),"",N(tblSafety[[#This Row],[Fatality]])+N(tblSafety[[#This Row],[LTI]])+N(tblSafety[[#This Row],[RWI]])+N(tblSafety[[#This Row],[MTI]]))</f>
        <v/>
      </c>
    </row>
    <row r="335">
      <c r="A335" s="54" t="n">
        <v>46352</v>
      </c>
      <c r="B335" s="57" t="n"/>
      <c r="C335" s="57" t="n"/>
      <c r="D335" s="62" t="n"/>
      <c r="E335" s="62" t="n"/>
      <c r="F335" s="62" t="n"/>
      <c r="G335" s="62" t="n"/>
      <c r="H335" s="62" t="n"/>
      <c r="I335" s="62" t="n"/>
      <c r="J335" s="62" t="n"/>
      <c r="K335" s="62" t="n"/>
      <c r="L335" s="62" t="n"/>
      <c r="M335" s="62" t="n"/>
      <c r="N335" s="62" t="n"/>
      <c r="O335" s="62" t="n"/>
      <c r="P335" s="62" t="n"/>
      <c r="Q335" s="58" t="n"/>
      <c r="R335" s="66">
        <f>IF(AND(tblSafety[[#This Row],[Hours_Employees]]="",tblSafety[[#This Row],[Hours_Contractors]]=""),"",N(tblSafety[[#This Row],[Hours_Employees]])+N(tblSafety[[#This Row],[Hours_Contractors]]))</f>
        <v/>
      </c>
      <c r="S335" s="64">
        <f>IF(AND(tblSafety[[#This Row],[Fatality]]="",tblSafety[[#This Row],[LTI]]="",tblSafety[[#This Row],[RWI]]="",tblSafety[[#This Row],[MTI]]=""),"",N(tblSafety[[#This Row],[Fatality]])+N(tblSafety[[#This Row],[LTI]])+N(tblSafety[[#This Row],[RWI]])+N(tblSafety[[#This Row],[MTI]]))</f>
        <v/>
      </c>
    </row>
    <row r="336">
      <c r="A336" s="54" t="n">
        <v>46353</v>
      </c>
      <c r="B336" s="57" t="n"/>
      <c r="C336" s="57" t="n"/>
      <c r="D336" s="62" t="n"/>
      <c r="E336" s="62" t="n"/>
      <c r="F336" s="62" t="n"/>
      <c r="G336" s="62" t="n"/>
      <c r="H336" s="62" t="n"/>
      <c r="I336" s="62" t="n"/>
      <c r="J336" s="62" t="n"/>
      <c r="K336" s="62" t="n"/>
      <c r="L336" s="62" t="n"/>
      <c r="M336" s="62" t="n"/>
      <c r="N336" s="62" t="n"/>
      <c r="O336" s="62" t="n"/>
      <c r="P336" s="62" t="n"/>
      <c r="Q336" s="58" t="n"/>
      <c r="R336" s="66">
        <f>IF(AND(tblSafety[[#This Row],[Hours_Employees]]="",tblSafety[[#This Row],[Hours_Contractors]]=""),"",N(tblSafety[[#This Row],[Hours_Employees]])+N(tblSafety[[#This Row],[Hours_Contractors]]))</f>
        <v/>
      </c>
      <c r="S336" s="64">
        <f>IF(AND(tblSafety[[#This Row],[Fatality]]="",tblSafety[[#This Row],[LTI]]="",tblSafety[[#This Row],[RWI]]="",tblSafety[[#This Row],[MTI]]=""),"",N(tblSafety[[#This Row],[Fatality]])+N(tblSafety[[#This Row],[LTI]])+N(tblSafety[[#This Row],[RWI]])+N(tblSafety[[#This Row],[MTI]]))</f>
        <v/>
      </c>
    </row>
    <row r="337">
      <c r="A337" s="54" t="n">
        <v>46354</v>
      </c>
      <c r="B337" s="57" t="n"/>
      <c r="C337" s="57" t="n"/>
      <c r="D337" s="62" t="n"/>
      <c r="E337" s="62" t="n"/>
      <c r="F337" s="62" t="n"/>
      <c r="G337" s="62" t="n"/>
      <c r="H337" s="62" t="n"/>
      <c r="I337" s="62" t="n"/>
      <c r="J337" s="62" t="n"/>
      <c r="K337" s="62" t="n"/>
      <c r="L337" s="62" t="n"/>
      <c r="M337" s="62" t="n"/>
      <c r="N337" s="62" t="n"/>
      <c r="O337" s="62" t="n"/>
      <c r="P337" s="62" t="n"/>
      <c r="Q337" s="58" t="n"/>
      <c r="R337" s="66">
        <f>IF(AND(tblSafety[[#This Row],[Hours_Employees]]="",tblSafety[[#This Row],[Hours_Contractors]]=""),"",N(tblSafety[[#This Row],[Hours_Employees]])+N(tblSafety[[#This Row],[Hours_Contractors]]))</f>
        <v/>
      </c>
      <c r="S337" s="64">
        <f>IF(AND(tblSafety[[#This Row],[Fatality]]="",tblSafety[[#This Row],[LTI]]="",tblSafety[[#This Row],[RWI]]="",tblSafety[[#This Row],[MTI]]=""),"",N(tblSafety[[#This Row],[Fatality]])+N(tblSafety[[#This Row],[LTI]])+N(tblSafety[[#This Row],[RWI]])+N(tblSafety[[#This Row],[MTI]]))</f>
        <v/>
      </c>
    </row>
    <row r="338">
      <c r="A338" s="54" t="n">
        <v>46355</v>
      </c>
      <c r="B338" s="57" t="n"/>
      <c r="C338" s="57" t="n"/>
      <c r="D338" s="62" t="n"/>
      <c r="E338" s="62" t="n"/>
      <c r="F338" s="62" t="n"/>
      <c r="G338" s="62" t="n"/>
      <c r="H338" s="62" t="n"/>
      <c r="I338" s="62" t="n"/>
      <c r="J338" s="62" t="n"/>
      <c r="K338" s="62" t="n"/>
      <c r="L338" s="62" t="n"/>
      <c r="M338" s="62" t="n"/>
      <c r="N338" s="62" t="n"/>
      <c r="O338" s="62" t="n"/>
      <c r="P338" s="62" t="n"/>
      <c r="Q338" s="58" t="n"/>
      <c r="R338" s="66">
        <f>IF(AND(tblSafety[[#This Row],[Hours_Employees]]="",tblSafety[[#This Row],[Hours_Contractors]]=""),"",N(tblSafety[[#This Row],[Hours_Employees]])+N(tblSafety[[#This Row],[Hours_Contractors]]))</f>
        <v/>
      </c>
      <c r="S338" s="64">
        <f>IF(AND(tblSafety[[#This Row],[Fatality]]="",tblSafety[[#This Row],[LTI]]="",tblSafety[[#This Row],[RWI]]="",tblSafety[[#This Row],[MTI]]=""),"",N(tblSafety[[#This Row],[Fatality]])+N(tblSafety[[#This Row],[LTI]])+N(tblSafety[[#This Row],[RWI]])+N(tblSafety[[#This Row],[MTI]]))</f>
        <v/>
      </c>
    </row>
    <row r="339">
      <c r="A339" s="54" t="n">
        <v>46356</v>
      </c>
      <c r="B339" s="57" t="n"/>
      <c r="C339" s="57" t="n"/>
      <c r="D339" s="62" t="n"/>
      <c r="E339" s="62" t="n"/>
      <c r="F339" s="62" t="n"/>
      <c r="G339" s="62" t="n"/>
      <c r="H339" s="62" t="n"/>
      <c r="I339" s="62" t="n"/>
      <c r="J339" s="62" t="n"/>
      <c r="K339" s="62" t="n"/>
      <c r="L339" s="62" t="n"/>
      <c r="M339" s="62" t="n"/>
      <c r="N339" s="62" t="n"/>
      <c r="O339" s="62" t="n"/>
      <c r="P339" s="62" t="n"/>
      <c r="Q339" s="58" t="n"/>
      <c r="R339" s="66">
        <f>IF(AND(tblSafety[[#This Row],[Hours_Employees]]="",tblSafety[[#This Row],[Hours_Contractors]]=""),"",N(tblSafety[[#This Row],[Hours_Employees]])+N(tblSafety[[#This Row],[Hours_Contractors]]))</f>
        <v/>
      </c>
      <c r="S339" s="64">
        <f>IF(AND(tblSafety[[#This Row],[Fatality]]="",tblSafety[[#This Row],[LTI]]="",tblSafety[[#This Row],[RWI]]="",tblSafety[[#This Row],[MTI]]=""),"",N(tblSafety[[#This Row],[Fatality]])+N(tblSafety[[#This Row],[LTI]])+N(tblSafety[[#This Row],[RWI]])+N(tblSafety[[#This Row],[MTI]]))</f>
        <v/>
      </c>
    </row>
    <row r="340">
      <c r="A340" s="54" t="n">
        <v>46357</v>
      </c>
      <c r="B340" s="57" t="n"/>
      <c r="C340" s="57" t="n"/>
      <c r="D340" s="62" t="n"/>
      <c r="E340" s="62" t="n"/>
      <c r="F340" s="62" t="n"/>
      <c r="G340" s="62" t="n"/>
      <c r="H340" s="62" t="n"/>
      <c r="I340" s="62" t="n"/>
      <c r="J340" s="62" t="n"/>
      <c r="K340" s="62" t="n"/>
      <c r="L340" s="62" t="n"/>
      <c r="M340" s="62" t="n"/>
      <c r="N340" s="62" t="n"/>
      <c r="O340" s="62" t="n"/>
      <c r="P340" s="62" t="n"/>
      <c r="Q340" s="58" t="n"/>
      <c r="R340" s="66">
        <f>IF(AND(tblSafety[[#This Row],[Hours_Employees]]="",tblSafety[[#This Row],[Hours_Contractors]]=""),"",N(tblSafety[[#This Row],[Hours_Employees]])+N(tblSafety[[#This Row],[Hours_Contractors]]))</f>
        <v/>
      </c>
      <c r="S340" s="64">
        <f>IF(AND(tblSafety[[#This Row],[Fatality]]="",tblSafety[[#This Row],[LTI]]="",tblSafety[[#This Row],[RWI]]="",tblSafety[[#This Row],[MTI]]=""),"",N(tblSafety[[#This Row],[Fatality]])+N(tblSafety[[#This Row],[LTI]])+N(tblSafety[[#This Row],[RWI]])+N(tblSafety[[#This Row],[MTI]]))</f>
        <v/>
      </c>
    </row>
    <row r="341">
      <c r="A341" s="54" t="n">
        <v>46358</v>
      </c>
      <c r="B341" s="57" t="n"/>
      <c r="C341" s="57" t="n"/>
      <c r="D341" s="62" t="n"/>
      <c r="E341" s="62" t="n"/>
      <c r="F341" s="62" t="n"/>
      <c r="G341" s="62" t="n"/>
      <c r="H341" s="62" t="n"/>
      <c r="I341" s="62" t="n"/>
      <c r="J341" s="62" t="n"/>
      <c r="K341" s="62" t="n"/>
      <c r="L341" s="62" t="n"/>
      <c r="M341" s="62" t="n"/>
      <c r="N341" s="62" t="n"/>
      <c r="O341" s="62" t="n"/>
      <c r="P341" s="62" t="n"/>
      <c r="Q341" s="58" t="n"/>
      <c r="R341" s="66">
        <f>IF(AND(tblSafety[[#This Row],[Hours_Employees]]="",tblSafety[[#This Row],[Hours_Contractors]]=""),"",N(tblSafety[[#This Row],[Hours_Employees]])+N(tblSafety[[#This Row],[Hours_Contractors]]))</f>
        <v/>
      </c>
      <c r="S341" s="64">
        <f>IF(AND(tblSafety[[#This Row],[Fatality]]="",tblSafety[[#This Row],[LTI]]="",tblSafety[[#This Row],[RWI]]="",tblSafety[[#This Row],[MTI]]=""),"",N(tblSafety[[#This Row],[Fatality]])+N(tblSafety[[#This Row],[LTI]])+N(tblSafety[[#This Row],[RWI]])+N(tblSafety[[#This Row],[MTI]]))</f>
        <v/>
      </c>
    </row>
    <row r="342">
      <c r="A342" s="54" t="n">
        <v>46359</v>
      </c>
      <c r="B342" s="57" t="n"/>
      <c r="C342" s="57" t="n"/>
      <c r="D342" s="62" t="n"/>
      <c r="E342" s="62" t="n"/>
      <c r="F342" s="62" t="n"/>
      <c r="G342" s="62" t="n"/>
      <c r="H342" s="62" t="n"/>
      <c r="I342" s="62" t="n"/>
      <c r="J342" s="62" t="n"/>
      <c r="K342" s="62" t="n"/>
      <c r="L342" s="62" t="n"/>
      <c r="M342" s="62" t="n"/>
      <c r="N342" s="62" t="n"/>
      <c r="O342" s="62" t="n"/>
      <c r="P342" s="62" t="n"/>
      <c r="Q342" s="58" t="n"/>
      <c r="R342" s="66">
        <f>IF(AND(tblSafety[[#This Row],[Hours_Employees]]="",tblSafety[[#This Row],[Hours_Contractors]]=""),"",N(tblSafety[[#This Row],[Hours_Employees]])+N(tblSafety[[#This Row],[Hours_Contractors]]))</f>
        <v/>
      </c>
      <c r="S342" s="64">
        <f>IF(AND(tblSafety[[#This Row],[Fatality]]="",tblSafety[[#This Row],[LTI]]="",tblSafety[[#This Row],[RWI]]="",tblSafety[[#This Row],[MTI]]=""),"",N(tblSafety[[#This Row],[Fatality]])+N(tblSafety[[#This Row],[LTI]])+N(tblSafety[[#This Row],[RWI]])+N(tblSafety[[#This Row],[MTI]]))</f>
        <v/>
      </c>
    </row>
    <row r="343">
      <c r="A343" s="54" t="n">
        <v>46360</v>
      </c>
      <c r="B343" s="57" t="n"/>
      <c r="C343" s="57" t="n"/>
      <c r="D343" s="62" t="n"/>
      <c r="E343" s="62" t="n"/>
      <c r="F343" s="62" t="n"/>
      <c r="G343" s="62" t="n"/>
      <c r="H343" s="62" t="n"/>
      <c r="I343" s="62" t="n"/>
      <c r="J343" s="62" t="n"/>
      <c r="K343" s="62" t="n"/>
      <c r="L343" s="62" t="n"/>
      <c r="M343" s="62" t="n"/>
      <c r="N343" s="62" t="n"/>
      <c r="O343" s="62" t="n"/>
      <c r="P343" s="62" t="n"/>
      <c r="Q343" s="58" t="n"/>
      <c r="R343" s="66">
        <f>IF(AND(tblSafety[[#This Row],[Hours_Employees]]="",tblSafety[[#This Row],[Hours_Contractors]]=""),"",N(tblSafety[[#This Row],[Hours_Employees]])+N(tblSafety[[#This Row],[Hours_Contractors]]))</f>
        <v/>
      </c>
      <c r="S343" s="64">
        <f>IF(AND(tblSafety[[#This Row],[Fatality]]="",tblSafety[[#This Row],[LTI]]="",tblSafety[[#This Row],[RWI]]="",tblSafety[[#This Row],[MTI]]=""),"",N(tblSafety[[#This Row],[Fatality]])+N(tblSafety[[#This Row],[LTI]])+N(tblSafety[[#This Row],[RWI]])+N(tblSafety[[#This Row],[MTI]]))</f>
        <v/>
      </c>
    </row>
    <row r="344">
      <c r="A344" s="54" t="n">
        <v>46361</v>
      </c>
      <c r="B344" s="57" t="n"/>
      <c r="C344" s="57" t="n"/>
      <c r="D344" s="62" t="n"/>
      <c r="E344" s="62" t="n"/>
      <c r="F344" s="62" t="n"/>
      <c r="G344" s="62" t="n"/>
      <c r="H344" s="62" t="n"/>
      <c r="I344" s="62" t="n"/>
      <c r="J344" s="62" t="n"/>
      <c r="K344" s="62" t="n"/>
      <c r="L344" s="62" t="n"/>
      <c r="M344" s="62" t="n"/>
      <c r="N344" s="62" t="n"/>
      <c r="O344" s="62" t="n"/>
      <c r="P344" s="62" t="n"/>
      <c r="Q344" s="58" t="n"/>
      <c r="R344" s="66">
        <f>IF(AND(tblSafety[[#This Row],[Hours_Employees]]="",tblSafety[[#This Row],[Hours_Contractors]]=""),"",N(tblSafety[[#This Row],[Hours_Employees]])+N(tblSafety[[#This Row],[Hours_Contractors]]))</f>
        <v/>
      </c>
      <c r="S344" s="64">
        <f>IF(AND(tblSafety[[#This Row],[Fatality]]="",tblSafety[[#This Row],[LTI]]="",tblSafety[[#This Row],[RWI]]="",tblSafety[[#This Row],[MTI]]=""),"",N(tblSafety[[#This Row],[Fatality]])+N(tblSafety[[#This Row],[LTI]])+N(tblSafety[[#This Row],[RWI]])+N(tblSafety[[#This Row],[MTI]]))</f>
        <v/>
      </c>
    </row>
    <row r="345">
      <c r="A345" s="54" t="n">
        <v>46362</v>
      </c>
      <c r="B345" s="57" t="n"/>
      <c r="C345" s="57" t="n"/>
      <c r="D345" s="62" t="n"/>
      <c r="E345" s="62" t="n"/>
      <c r="F345" s="62" t="n"/>
      <c r="G345" s="62" t="n"/>
      <c r="H345" s="62" t="n"/>
      <c r="I345" s="62" t="n"/>
      <c r="J345" s="62" t="n"/>
      <c r="K345" s="62" t="n"/>
      <c r="L345" s="62" t="n"/>
      <c r="M345" s="62" t="n"/>
      <c r="N345" s="62" t="n"/>
      <c r="O345" s="62" t="n"/>
      <c r="P345" s="62" t="n"/>
      <c r="Q345" s="58" t="n"/>
      <c r="R345" s="66">
        <f>IF(AND(tblSafety[[#This Row],[Hours_Employees]]="",tblSafety[[#This Row],[Hours_Contractors]]=""),"",N(tblSafety[[#This Row],[Hours_Employees]])+N(tblSafety[[#This Row],[Hours_Contractors]]))</f>
        <v/>
      </c>
      <c r="S345" s="64">
        <f>IF(AND(tblSafety[[#This Row],[Fatality]]="",tblSafety[[#This Row],[LTI]]="",tblSafety[[#This Row],[RWI]]="",tblSafety[[#This Row],[MTI]]=""),"",N(tblSafety[[#This Row],[Fatality]])+N(tblSafety[[#This Row],[LTI]])+N(tblSafety[[#This Row],[RWI]])+N(tblSafety[[#This Row],[MTI]]))</f>
        <v/>
      </c>
    </row>
    <row r="346">
      <c r="A346" s="54" t="n">
        <v>46363</v>
      </c>
      <c r="B346" s="57" t="n"/>
      <c r="C346" s="57" t="n"/>
      <c r="D346" s="62" t="n"/>
      <c r="E346" s="62" t="n"/>
      <c r="F346" s="62" t="n"/>
      <c r="G346" s="62" t="n"/>
      <c r="H346" s="62" t="n"/>
      <c r="I346" s="62" t="n"/>
      <c r="J346" s="62" t="n"/>
      <c r="K346" s="62" t="n"/>
      <c r="L346" s="62" t="n"/>
      <c r="M346" s="62" t="n"/>
      <c r="N346" s="62" t="n"/>
      <c r="O346" s="62" t="n"/>
      <c r="P346" s="62" t="n"/>
      <c r="Q346" s="58" t="n"/>
      <c r="R346" s="66">
        <f>IF(AND(tblSafety[[#This Row],[Hours_Employees]]="",tblSafety[[#This Row],[Hours_Contractors]]=""),"",N(tblSafety[[#This Row],[Hours_Employees]])+N(tblSafety[[#This Row],[Hours_Contractors]]))</f>
        <v/>
      </c>
      <c r="S346" s="64">
        <f>IF(AND(tblSafety[[#This Row],[Fatality]]="",tblSafety[[#This Row],[LTI]]="",tblSafety[[#This Row],[RWI]]="",tblSafety[[#This Row],[MTI]]=""),"",N(tblSafety[[#This Row],[Fatality]])+N(tblSafety[[#This Row],[LTI]])+N(tblSafety[[#This Row],[RWI]])+N(tblSafety[[#This Row],[MTI]]))</f>
        <v/>
      </c>
    </row>
    <row r="347">
      <c r="A347" s="54" t="n">
        <v>46364</v>
      </c>
      <c r="B347" s="57" t="n"/>
      <c r="C347" s="57" t="n"/>
      <c r="D347" s="62" t="n"/>
      <c r="E347" s="62" t="n"/>
      <c r="F347" s="62" t="n"/>
      <c r="G347" s="62" t="n"/>
      <c r="H347" s="62" t="n"/>
      <c r="I347" s="62" t="n"/>
      <c r="J347" s="62" t="n"/>
      <c r="K347" s="62" t="n"/>
      <c r="L347" s="62" t="n"/>
      <c r="M347" s="62" t="n"/>
      <c r="N347" s="62" t="n"/>
      <c r="O347" s="62" t="n"/>
      <c r="P347" s="62" t="n"/>
      <c r="Q347" s="58" t="n"/>
      <c r="R347" s="66">
        <f>IF(AND(tblSafety[[#This Row],[Hours_Employees]]="",tblSafety[[#This Row],[Hours_Contractors]]=""),"",N(tblSafety[[#This Row],[Hours_Employees]])+N(tblSafety[[#This Row],[Hours_Contractors]]))</f>
        <v/>
      </c>
      <c r="S347" s="64">
        <f>IF(AND(tblSafety[[#This Row],[Fatality]]="",tblSafety[[#This Row],[LTI]]="",tblSafety[[#This Row],[RWI]]="",tblSafety[[#This Row],[MTI]]=""),"",N(tblSafety[[#This Row],[Fatality]])+N(tblSafety[[#This Row],[LTI]])+N(tblSafety[[#This Row],[RWI]])+N(tblSafety[[#This Row],[MTI]]))</f>
        <v/>
      </c>
    </row>
    <row r="348">
      <c r="A348" s="54" t="n">
        <v>46365</v>
      </c>
      <c r="B348" s="57" t="n"/>
      <c r="C348" s="57" t="n"/>
      <c r="D348" s="62" t="n"/>
      <c r="E348" s="62" t="n"/>
      <c r="F348" s="62" t="n"/>
      <c r="G348" s="62" t="n"/>
      <c r="H348" s="62" t="n"/>
      <c r="I348" s="62" t="n"/>
      <c r="J348" s="62" t="n"/>
      <c r="K348" s="62" t="n"/>
      <c r="L348" s="62" t="n"/>
      <c r="M348" s="62" t="n"/>
      <c r="N348" s="62" t="n"/>
      <c r="O348" s="62" t="n"/>
      <c r="P348" s="62" t="n"/>
      <c r="Q348" s="58" t="n"/>
      <c r="R348" s="66">
        <f>IF(AND(tblSafety[[#This Row],[Hours_Employees]]="",tblSafety[[#This Row],[Hours_Contractors]]=""),"",N(tblSafety[[#This Row],[Hours_Employees]])+N(tblSafety[[#This Row],[Hours_Contractors]]))</f>
        <v/>
      </c>
      <c r="S348" s="64">
        <f>IF(AND(tblSafety[[#This Row],[Fatality]]="",tblSafety[[#This Row],[LTI]]="",tblSafety[[#This Row],[RWI]]="",tblSafety[[#This Row],[MTI]]=""),"",N(tblSafety[[#This Row],[Fatality]])+N(tblSafety[[#This Row],[LTI]])+N(tblSafety[[#This Row],[RWI]])+N(tblSafety[[#This Row],[MTI]]))</f>
        <v/>
      </c>
    </row>
    <row r="349">
      <c r="A349" s="54" t="n">
        <v>46366</v>
      </c>
      <c r="B349" s="57" t="n"/>
      <c r="C349" s="57" t="n"/>
      <c r="D349" s="62" t="n"/>
      <c r="E349" s="62" t="n"/>
      <c r="F349" s="62" t="n"/>
      <c r="G349" s="62" t="n"/>
      <c r="H349" s="62" t="n"/>
      <c r="I349" s="62" t="n"/>
      <c r="J349" s="62" t="n"/>
      <c r="K349" s="62" t="n"/>
      <c r="L349" s="62" t="n"/>
      <c r="M349" s="62" t="n"/>
      <c r="N349" s="62" t="n"/>
      <c r="O349" s="62" t="n"/>
      <c r="P349" s="62" t="n"/>
      <c r="Q349" s="58" t="n"/>
      <c r="R349" s="66">
        <f>IF(AND(tblSafety[[#This Row],[Hours_Employees]]="",tblSafety[[#This Row],[Hours_Contractors]]=""),"",N(tblSafety[[#This Row],[Hours_Employees]])+N(tblSafety[[#This Row],[Hours_Contractors]]))</f>
        <v/>
      </c>
      <c r="S349" s="64">
        <f>IF(AND(tblSafety[[#This Row],[Fatality]]="",tblSafety[[#This Row],[LTI]]="",tblSafety[[#This Row],[RWI]]="",tblSafety[[#This Row],[MTI]]=""),"",N(tblSafety[[#This Row],[Fatality]])+N(tblSafety[[#This Row],[LTI]])+N(tblSafety[[#This Row],[RWI]])+N(tblSafety[[#This Row],[MTI]]))</f>
        <v/>
      </c>
    </row>
    <row r="350">
      <c r="A350" s="54" t="n">
        <v>46367</v>
      </c>
      <c r="B350" s="57" t="n"/>
      <c r="C350" s="57" t="n"/>
      <c r="D350" s="62" t="n"/>
      <c r="E350" s="62" t="n"/>
      <c r="F350" s="62" t="n"/>
      <c r="G350" s="62" t="n"/>
      <c r="H350" s="62" t="n"/>
      <c r="I350" s="62" t="n"/>
      <c r="J350" s="62" t="n"/>
      <c r="K350" s="62" t="n"/>
      <c r="L350" s="62" t="n"/>
      <c r="M350" s="62" t="n"/>
      <c r="N350" s="62" t="n"/>
      <c r="O350" s="62" t="n"/>
      <c r="P350" s="62" t="n"/>
      <c r="Q350" s="58" t="n"/>
      <c r="R350" s="66">
        <f>IF(AND(tblSafety[[#This Row],[Hours_Employees]]="",tblSafety[[#This Row],[Hours_Contractors]]=""),"",N(tblSafety[[#This Row],[Hours_Employees]])+N(tblSafety[[#This Row],[Hours_Contractors]]))</f>
        <v/>
      </c>
      <c r="S350" s="64">
        <f>IF(AND(tblSafety[[#This Row],[Fatality]]="",tblSafety[[#This Row],[LTI]]="",tblSafety[[#This Row],[RWI]]="",tblSafety[[#This Row],[MTI]]=""),"",N(tblSafety[[#This Row],[Fatality]])+N(tblSafety[[#This Row],[LTI]])+N(tblSafety[[#This Row],[RWI]])+N(tblSafety[[#This Row],[MTI]]))</f>
        <v/>
      </c>
    </row>
    <row r="351">
      <c r="A351" s="54" t="n">
        <v>46368</v>
      </c>
      <c r="B351" s="57" t="n"/>
      <c r="C351" s="57" t="n"/>
      <c r="D351" s="62" t="n"/>
      <c r="E351" s="62" t="n"/>
      <c r="F351" s="62" t="n"/>
      <c r="G351" s="62" t="n"/>
      <c r="H351" s="62" t="n"/>
      <c r="I351" s="62" t="n"/>
      <c r="J351" s="62" t="n"/>
      <c r="K351" s="62" t="n"/>
      <c r="L351" s="62" t="n"/>
      <c r="M351" s="62" t="n"/>
      <c r="N351" s="62" t="n"/>
      <c r="O351" s="62" t="n"/>
      <c r="P351" s="62" t="n"/>
      <c r="Q351" s="58" t="n"/>
      <c r="R351" s="66">
        <f>IF(AND(tblSafety[[#This Row],[Hours_Employees]]="",tblSafety[[#This Row],[Hours_Contractors]]=""),"",N(tblSafety[[#This Row],[Hours_Employees]])+N(tblSafety[[#This Row],[Hours_Contractors]]))</f>
        <v/>
      </c>
      <c r="S351" s="64">
        <f>IF(AND(tblSafety[[#This Row],[Fatality]]="",tblSafety[[#This Row],[LTI]]="",tblSafety[[#This Row],[RWI]]="",tblSafety[[#This Row],[MTI]]=""),"",N(tblSafety[[#This Row],[Fatality]])+N(tblSafety[[#This Row],[LTI]])+N(tblSafety[[#This Row],[RWI]])+N(tblSafety[[#This Row],[MTI]]))</f>
        <v/>
      </c>
    </row>
    <row r="352">
      <c r="A352" s="54" t="n">
        <v>46369</v>
      </c>
      <c r="B352" s="57" t="n"/>
      <c r="C352" s="57" t="n"/>
      <c r="D352" s="62" t="n"/>
      <c r="E352" s="62" t="n"/>
      <c r="F352" s="62" t="n"/>
      <c r="G352" s="62" t="n"/>
      <c r="H352" s="62" t="n"/>
      <c r="I352" s="62" t="n"/>
      <c r="J352" s="62" t="n"/>
      <c r="K352" s="62" t="n"/>
      <c r="L352" s="62" t="n"/>
      <c r="M352" s="62" t="n"/>
      <c r="N352" s="62" t="n"/>
      <c r="O352" s="62" t="n"/>
      <c r="P352" s="62" t="n"/>
      <c r="Q352" s="58" t="n"/>
      <c r="R352" s="66">
        <f>IF(AND(tblSafety[[#This Row],[Hours_Employees]]="",tblSafety[[#This Row],[Hours_Contractors]]=""),"",N(tblSafety[[#This Row],[Hours_Employees]])+N(tblSafety[[#This Row],[Hours_Contractors]]))</f>
        <v/>
      </c>
      <c r="S352" s="64">
        <f>IF(AND(tblSafety[[#This Row],[Fatality]]="",tblSafety[[#This Row],[LTI]]="",tblSafety[[#This Row],[RWI]]="",tblSafety[[#This Row],[MTI]]=""),"",N(tblSafety[[#This Row],[Fatality]])+N(tblSafety[[#This Row],[LTI]])+N(tblSafety[[#This Row],[RWI]])+N(tblSafety[[#This Row],[MTI]]))</f>
        <v/>
      </c>
    </row>
    <row r="353">
      <c r="A353" s="54" t="n">
        <v>46370</v>
      </c>
      <c r="B353" s="57" t="n"/>
      <c r="C353" s="57" t="n"/>
      <c r="D353" s="62" t="n"/>
      <c r="E353" s="62" t="n"/>
      <c r="F353" s="62" t="n"/>
      <c r="G353" s="62" t="n"/>
      <c r="H353" s="62" t="n"/>
      <c r="I353" s="62" t="n"/>
      <c r="J353" s="62" t="n"/>
      <c r="K353" s="62" t="n"/>
      <c r="L353" s="62" t="n"/>
      <c r="M353" s="62" t="n"/>
      <c r="N353" s="62" t="n"/>
      <c r="O353" s="62" t="n"/>
      <c r="P353" s="62" t="n"/>
      <c r="Q353" s="58" t="n"/>
      <c r="R353" s="66">
        <f>IF(AND(tblSafety[[#This Row],[Hours_Employees]]="",tblSafety[[#This Row],[Hours_Contractors]]=""),"",N(tblSafety[[#This Row],[Hours_Employees]])+N(tblSafety[[#This Row],[Hours_Contractors]]))</f>
        <v/>
      </c>
      <c r="S353" s="64">
        <f>IF(AND(tblSafety[[#This Row],[Fatality]]="",tblSafety[[#This Row],[LTI]]="",tblSafety[[#This Row],[RWI]]="",tblSafety[[#This Row],[MTI]]=""),"",N(tblSafety[[#This Row],[Fatality]])+N(tblSafety[[#This Row],[LTI]])+N(tblSafety[[#This Row],[RWI]])+N(tblSafety[[#This Row],[MTI]]))</f>
        <v/>
      </c>
    </row>
    <row r="354">
      <c r="A354" s="54" t="n">
        <v>46371</v>
      </c>
      <c r="B354" s="57" t="n"/>
      <c r="C354" s="57" t="n"/>
      <c r="D354" s="62" t="n"/>
      <c r="E354" s="62" t="n"/>
      <c r="F354" s="62" t="n"/>
      <c r="G354" s="62" t="n"/>
      <c r="H354" s="62" t="n"/>
      <c r="I354" s="62" t="n"/>
      <c r="J354" s="62" t="n"/>
      <c r="K354" s="62" t="n"/>
      <c r="L354" s="62" t="n"/>
      <c r="M354" s="62" t="n"/>
      <c r="N354" s="62" t="n"/>
      <c r="O354" s="62" t="n"/>
      <c r="P354" s="62" t="n"/>
      <c r="Q354" s="58" t="n"/>
      <c r="R354" s="66">
        <f>IF(AND(tblSafety[[#This Row],[Hours_Employees]]="",tblSafety[[#This Row],[Hours_Contractors]]=""),"",N(tblSafety[[#This Row],[Hours_Employees]])+N(tblSafety[[#This Row],[Hours_Contractors]]))</f>
        <v/>
      </c>
      <c r="S354" s="64">
        <f>IF(AND(tblSafety[[#This Row],[Fatality]]="",tblSafety[[#This Row],[LTI]]="",tblSafety[[#This Row],[RWI]]="",tblSafety[[#This Row],[MTI]]=""),"",N(tblSafety[[#This Row],[Fatality]])+N(tblSafety[[#This Row],[LTI]])+N(tblSafety[[#This Row],[RWI]])+N(tblSafety[[#This Row],[MTI]]))</f>
        <v/>
      </c>
    </row>
    <row r="355">
      <c r="A355" s="54" t="n">
        <v>46372</v>
      </c>
      <c r="B355" s="57" t="n"/>
      <c r="C355" s="57" t="n"/>
      <c r="D355" s="62" t="n"/>
      <c r="E355" s="62" t="n"/>
      <c r="F355" s="62" t="n"/>
      <c r="G355" s="62" t="n"/>
      <c r="H355" s="62" t="n"/>
      <c r="I355" s="62" t="n"/>
      <c r="J355" s="62" t="n"/>
      <c r="K355" s="62" t="n"/>
      <c r="L355" s="62" t="n"/>
      <c r="M355" s="62" t="n"/>
      <c r="N355" s="62" t="n"/>
      <c r="O355" s="62" t="n"/>
      <c r="P355" s="62" t="n"/>
      <c r="Q355" s="58" t="n"/>
      <c r="R355" s="66">
        <f>IF(AND(tblSafety[[#This Row],[Hours_Employees]]="",tblSafety[[#This Row],[Hours_Contractors]]=""),"",N(tblSafety[[#This Row],[Hours_Employees]])+N(tblSafety[[#This Row],[Hours_Contractors]]))</f>
        <v/>
      </c>
      <c r="S355" s="64">
        <f>IF(AND(tblSafety[[#This Row],[Fatality]]="",tblSafety[[#This Row],[LTI]]="",tblSafety[[#This Row],[RWI]]="",tblSafety[[#This Row],[MTI]]=""),"",N(tblSafety[[#This Row],[Fatality]])+N(tblSafety[[#This Row],[LTI]])+N(tblSafety[[#This Row],[RWI]])+N(tblSafety[[#This Row],[MTI]]))</f>
        <v/>
      </c>
    </row>
    <row r="356">
      <c r="A356" s="54" t="n">
        <v>46373</v>
      </c>
      <c r="B356" s="57" t="n"/>
      <c r="C356" s="57" t="n"/>
      <c r="D356" s="62" t="n"/>
      <c r="E356" s="62" t="n"/>
      <c r="F356" s="62" t="n"/>
      <c r="G356" s="62" t="n"/>
      <c r="H356" s="62" t="n"/>
      <c r="I356" s="62" t="n"/>
      <c r="J356" s="62" t="n"/>
      <c r="K356" s="62" t="n"/>
      <c r="L356" s="62" t="n"/>
      <c r="M356" s="62" t="n"/>
      <c r="N356" s="62" t="n"/>
      <c r="O356" s="62" t="n"/>
      <c r="P356" s="62" t="n"/>
      <c r="Q356" s="58" t="n"/>
      <c r="R356" s="66">
        <f>IF(AND(tblSafety[[#This Row],[Hours_Employees]]="",tblSafety[[#This Row],[Hours_Contractors]]=""),"",N(tblSafety[[#This Row],[Hours_Employees]])+N(tblSafety[[#This Row],[Hours_Contractors]]))</f>
        <v/>
      </c>
      <c r="S356" s="64">
        <f>IF(AND(tblSafety[[#This Row],[Fatality]]="",tblSafety[[#This Row],[LTI]]="",tblSafety[[#This Row],[RWI]]="",tblSafety[[#This Row],[MTI]]=""),"",N(tblSafety[[#This Row],[Fatality]])+N(tblSafety[[#This Row],[LTI]])+N(tblSafety[[#This Row],[RWI]])+N(tblSafety[[#This Row],[MTI]]))</f>
        <v/>
      </c>
    </row>
    <row r="357">
      <c r="A357" s="54" t="n">
        <v>46374</v>
      </c>
      <c r="B357" s="57" t="n"/>
      <c r="C357" s="57" t="n"/>
      <c r="D357" s="62" t="n"/>
      <c r="E357" s="62" t="n"/>
      <c r="F357" s="62" t="n"/>
      <c r="G357" s="62" t="n"/>
      <c r="H357" s="62" t="n"/>
      <c r="I357" s="62" t="n"/>
      <c r="J357" s="62" t="n"/>
      <c r="K357" s="62" t="n"/>
      <c r="L357" s="62" t="n"/>
      <c r="M357" s="62" t="n"/>
      <c r="N357" s="62" t="n"/>
      <c r="O357" s="62" t="n"/>
      <c r="P357" s="62" t="n"/>
      <c r="Q357" s="58" t="n"/>
      <c r="R357" s="66">
        <f>IF(AND(tblSafety[[#This Row],[Hours_Employees]]="",tblSafety[[#This Row],[Hours_Contractors]]=""),"",N(tblSafety[[#This Row],[Hours_Employees]])+N(tblSafety[[#This Row],[Hours_Contractors]]))</f>
        <v/>
      </c>
      <c r="S357" s="64">
        <f>IF(AND(tblSafety[[#This Row],[Fatality]]="",tblSafety[[#This Row],[LTI]]="",tblSafety[[#This Row],[RWI]]="",tblSafety[[#This Row],[MTI]]=""),"",N(tblSafety[[#This Row],[Fatality]])+N(tblSafety[[#This Row],[LTI]])+N(tblSafety[[#This Row],[RWI]])+N(tblSafety[[#This Row],[MTI]]))</f>
        <v/>
      </c>
    </row>
    <row r="358">
      <c r="A358" s="54" t="n">
        <v>46375</v>
      </c>
      <c r="B358" s="57" t="n"/>
      <c r="C358" s="57" t="n"/>
      <c r="D358" s="62" t="n"/>
      <c r="E358" s="62" t="n"/>
      <c r="F358" s="62" t="n"/>
      <c r="G358" s="62" t="n"/>
      <c r="H358" s="62" t="n"/>
      <c r="I358" s="62" t="n"/>
      <c r="J358" s="62" t="n"/>
      <c r="K358" s="62" t="n"/>
      <c r="L358" s="62" t="n"/>
      <c r="M358" s="62" t="n"/>
      <c r="N358" s="62" t="n"/>
      <c r="O358" s="62" t="n"/>
      <c r="P358" s="62" t="n"/>
      <c r="Q358" s="58" t="n"/>
      <c r="R358" s="66">
        <f>IF(AND(tblSafety[[#This Row],[Hours_Employees]]="",tblSafety[[#This Row],[Hours_Contractors]]=""),"",N(tblSafety[[#This Row],[Hours_Employees]])+N(tblSafety[[#This Row],[Hours_Contractors]]))</f>
        <v/>
      </c>
      <c r="S358" s="64">
        <f>IF(AND(tblSafety[[#This Row],[Fatality]]="",tblSafety[[#This Row],[LTI]]="",tblSafety[[#This Row],[RWI]]="",tblSafety[[#This Row],[MTI]]=""),"",N(tblSafety[[#This Row],[Fatality]])+N(tblSafety[[#This Row],[LTI]])+N(tblSafety[[#This Row],[RWI]])+N(tblSafety[[#This Row],[MTI]]))</f>
        <v/>
      </c>
    </row>
    <row r="359">
      <c r="A359" s="54" t="n">
        <v>46376</v>
      </c>
      <c r="B359" s="57" t="n"/>
      <c r="C359" s="57" t="n"/>
      <c r="D359" s="62" t="n"/>
      <c r="E359" s="62" t="n"/>
      <c r="F359" s="62" t="n"/>
      <c r="G359" s="62" t="n"/>
      <c r="H359" s="62" t="n"/>
      <c r="I359" s="62" t="n"/>
      <c r="J359" s="62" t="n"/>
      <c r="K359" s="62" t="n"/>
      <c r="L359" s="62" t="n"/>
      <c r="M359" s="62" t="n"/>
      <c r="N359" s="62" t="n"/>
      <c r="O359" s="62" t="n"/>
      <c r="P359" s="62" t="n"/>
      <c r="Q359" s="58" t="n"/>
      <c r="R359" s="66">
        <f>IF(AND(tblSafety[[#This Row],[Hours_Employees]]="",tblSafety[[#This Row],[Hours_Contractors]]=""),"",N(tblSafety[[#This Row],[Hours_Employees]])+N(tblSafety[[#This Row],[Hours_Contractors]]))</f>
        <v/>
      </c>
      <c r="S359" s="64">
        <f>IF(AND(tblSafety[[#This Row],[Fatality]]="",tblSafety[[#This Row],[LTI]]="",tblSafety[[#This Row],[RWI]]="",tblSafety[[#This Row],[MTI]]=""),"",N(tblSafety[[#This Row],[Fatality]])+N(tblSafety[[#This Row],[LTI]])+N(tblSafety[[#This Row],[RWI]])+N(tblSafety[[#This Row],[MTI]]))</f>
        <v/>
      </c>
    </row>
    <row r="360">
      <c r="A360" s="54" t="n">
        <v>46377</v>
      </c>
      <c r="B360" s="57" t="n"/>
      <c r="C360" s="57" t="n"/>
      <c r="D360" s="62" t="n"/>
      <c r="E360" s="62" t="n"/>
      <c r="F360" s="62" t="n"/>
      <c r="G360" s="62" t="n"/>
      <c r="H360" s="62" t="n"/>
      <c r="I360" s="62" t="n"/>
      <c r="J360" s="62" t="n"/>
      <c r="K360" s="62" t="n"/>
      <c r="L360" s="62" t="n"/>
      <c r="M360" s="62" t="n"/>
      <c r="N360" s="62" t="n"/>
      <c r="O360" s="62" t="n"/>
      <c r="P360" s="62" t="n"/>
      <c r="Q360" s="58" t="n"/>
      <c r="R360" s="66">
        <f>IF(AND(tblSafety[[#This Row],[Hours_Employees]]="",tblSafety[[#This Row],[Hours_Contractors]]=""),"",N(tblSafety[[#This Row],[Hours_Employees]])+N(tblSafety[[#This Row],[Hours_Contractors]]))</f>
        <v/>
      </c>
      <c r="S360" s="64">
        <f>IF(AND(tblSafety[[#This Row],[Fatality]]="",tblSafety[[#This Row],[LTI]]="",tblSafety[[#This Row],[RWI]]="",tblSafety[[#This Row],[MTI]]=""),"",N(tblSafety[[#This Row],[Fatality]])+N(tblSafety[[#This Row],[LTI]])+N(tblSafety[[#This Row],[RWI]])+N(tblSafety[[#This Row],[MTI]]))</f>
        <v/>
      </c>
    </row>
    <row r="361">
      <c r="A361" s="54" t="n">
        <v>46378</v>
      </c>
      <c r="B361" s="57" t="n"/>
      <c r="C361" s="57" t="n"/>
      <c r="D361" s="62" t="n"/>
      <c r="E361" s="62" t="n"/>
      <c r="F361" s="62" t="n"/>
      <c r="G361" s="62" t="n"/>
      <c r="H361" s="62" t="n"/>
      <c r="I361" s="62" t="n"/>
      <c r="J361" s="62" t="n"/>
      <c r="K361" s="62" t="n"/>
      <c r="L361" s="62" t="n"/>
      <c r="M361" s="62" t="n"/>
      <c r="N361" s="62" t="n"/>
      <c r="O361" s="62" t="n"/>
      <c r="P361" s="62" t="n"/>
      <c r="Q361" s="58" t="n"/>
      <c r="R361" s="66">
        <f>IF(AND(tblSafety[[#This Row],[Hours_Employees]]="",tblSafety[[#This Row],[Hours_Contractors]]=""),"",N(tblSafety[[#This Row],[Hours_Employees]])+N(tblSafety[[#This Row],[Hours_Contractors]]))</f>
        <v/>
      </c>
      <c r="S361" s="64">
        <f>IF(AND(tblSafety[[#This Row],[Fatality]]="",tblSafety[[#This Row],[LTI]]="",tblSafety[[#This Row],[RWI]]="",tblSafety[[#This Row],[MTI]]=""),"",N(tblSafety[[#This Row],[Fatality]])+N(tblSafety[[#This Row],[LTI]])+N(tblSafety[[#This Row],[RWI]])+N(tblSafety[[#This Row],[MTI]]))</f>
        <v/>
      </c>
    </row>
    <row r="362">
      <c r="A362" s="54" t="n">
        <v>46379</v>
      </c>
      <c r="B362" s="57" t="n"/>
      <c r="C362" s="57" t="n"/>
      <c r="D362" s="62" t="n"/>
      <c r="E362" s="62" t="n"/>
      <c r="F362" s="62" t="n"/>
      <c r="G362" s="62" t="n"/>
      <c r="H362" s="62" t="n"/>
      <c r="I362" s="62" t="n"/>
      <c r="J362" s="62" t="n"/>
      <c r="K362" s="62" t="n"/>
      <c r="L362" s="62" t="n"/>
      <c r="M362" s="62" t="n"/>
      <c r="N362" s="62" t="n"/>
      <c r="O362" s="62" t="n"/>
      <c r="P362" s="62" t="n"/>
      <c r="Q362" s="58" t="n"/>
      <c r="R362" s="66">
        <f>IF(AND(tblSafety[[#This Row],[Hours_Employees]]="",tblSafety[[#This Row],[Hours_Contractors]]=""),"",N(tblSafety[[#This Row],[Hours_Employees]])+N(tblSafety[[#This Row],[Hours_Contractors]]))</f>
        <v/>
      </c>
      <c r="S362" s="64">
        <f>IF(AND(tblSafety[[#This Row],[Fatality]]="",tblSafety[[#This Row],[LTI]]="",tblSafety[[#This Row],[RWI]]="",tblSafety[[#This Row],[MTI]]=""),"",N(tblSafety[[#This Row],[Fatality]])+N(tblSafety[[#This Row],[LTI]])+N(tblSafety[[#This Row],[RWI]])+N(tblSafety[[#This Row],[MTI]]))</f>
        <v/>
      </c>
    </row>
    <row r="363">
      <c r="A363" s="54" t="n">
        <v>46380</v>
      </c>
      <c r="B363" s="57" t="n"/>
      <c r="C363" s="57" t="n"/>
      <c r="D363" s="62" t="n"/>
      <c r="E363" s="62" t="n"/>
      <c r="F363" s="62" t="n"/>
      <c r="G363" s="62" t="n"/>
      <c r="H363" s="62" t="n"/>
      <c r="I363" s="62" t="n"/>
      <c r="J363" s="62" t="n"/>
      <c r="K363" s="62" t="n"/>
      <c r="L363" s="62" t="n"/>
      <c r="M363" s="62" t="n"/>
      <c r="N363" s="62" t="n"/>
      <c r="O363" s="62" t="n"/>
      <c r="P363" s="62" t="n"/>
      <c r="Q363" s="58" t="n"/>
      <c r="R363" s="66">
        <f>IF(AND(tblSafety[[#This Row],[Hours_Employees]]="",tblSafety[[#This Row],[Hours_Contractors]]=""),"",N(tblSafety[[#This Row],[Hours_Employees]])+N(tblSafety[[#This Row],[Hours_Contractors]]))</f>
        <v/>
      </c>
      <c r="S363" s="64">
        <f>IF(AND(tblSafety[[#This Row],[Fatality]]="",tblSafety[[#This Row],[LTI]]="",tblSafety[[#This Row],[RWI]]="",tblSafety[[#This Row],[MTI]]=""),"",N(tblSafety[[#This Row],[Fatality]])+N(tblSafety[[#This Row],[LTI]])+N(tblSafety[[#This Row],[RWI]])+N(tblSafety[[#This Row],[MTI]]))</f>
        <v/>
      </c>
    </row>
    <row r="364">
      <c r="A364" s="54" t="n">
        <v>46381</v>
      </c>
      <c r="B364" s="57" t="n"/>
      <c r="C364" s="57" t="n"/>
      <c r="D364" s="62" t="n"/>
      <c r="E364" s="62" t="n"/>
      <c r="F364" s="62" t="n"/>
      <c r="G364" s="62" t="n"/>
      <c r="H364" s="62" t="n"/>
      <c r="I364" s="62" t="n"/>
      <c r="J364" s="62" t="n"/>
      <c r="K364" s="62" t="n"/>
      <c r="L364" s="62" t="n"/>
      <c r="M364" s="62" t="n"/>
      <c r="N364" s="62" t="n"/>
      <c r="O364" s="62" t="n"/>
      <c r="P364" s="62" t="n"/>
      <c r="Q364" s="58" t="n"/>
      <c r="R364" s="66">
        <f>IF(AND(tblSafety[[#This Row],[Hours_Employees]]="",tblSafety[[#This Row],[Hours_Contractors]]=""),"",N(tblSafety[[#This Row],[Hours_Employees]])+N(tblSafety[[#This Row],[Hours_Contractors]]))</f>
        <v/>
      </c>
      <c r="S364" s="64">
        <f>IF(AND(tblSafety[[#This Row],[Fatality]]="",tblSafety[[#This Row],[LTI]]="",tblSafety[[#This Row],[RWI]]="",tblSafety[[#This Row],[MTI]]=""),"",N(tblSafety[[#This Row],[Fatality]])+N(tblSafety[[#This Row],[LTI]])+N(tblSafety[[#This Row],[RWI]])+N(tblSafety[[#This Row],[MTI]]))</f>
        <v/>
      </c>
    </row>
    <row r="365">
      <c r="A365" s="54" t="n">
        <v>46382</v>
      </c>
      <c r="B365" s="57" t="n"/>
      <c r="C365" s="57" t="n"/>
      <c r="D365" s="62" t="n"/>
      <c r="E365" s="62" t="n"/>
      <c r="F365" s="62" t="n"/>
      <c r="G365" s="62" t="n"/>
      <c r="H365" s="62" t="n"/>
      <c r="I365" s="62" t="n"/>
      <c r="J365" s="62" t="n"/>
      <c r="K365" s="62" t="n"/>
      <c r="L365" s="62" t="n"/>
      <c r="M365" s="62" t="n"/>
      <c r="N365" s="62" t="n"/>
      <c r="O365" s="62" t="n"/>
      <c r="P365" s="62" t="n"/>
      <c r="Q365" s="58" t="n"/>
      <c r="R365" s="66">
        <f>IF(AND(tblSafety[[#This Row],[Hours_Employees]]="",tblSafety[[#This Row],[Hours_Contractors]]=""),"",N(tblSafety[[#This Row],[Hours_Employees]])+N(tblSafety[[#This Row],[Hours_Contractors]]))</f>
        <v/>
      </c>
      <c r="S365" s="64">
        <f>IF(AND(tblSafety[[#This Row],[Fatality]]="",tblSafety[[#This Row],[LTI]]="",tblSafety[[#This Row],[RWI]]="",tblSafety[[#This Row],[MTI]]=""),"",N(tblSafety[[#This Row],[Fatality]])+N(tblSafety[[#This Row],[LTI]])+N(tblSafety[[#This Row],[RWI]])+N(tblSafety[[#This Row],[MTI]]))</f>
        <v/>
      </c>
    </row>
    <row r="366">
      <c r="A366" s="54" t="n">
        <v>46383</v>
      </c>
      <c r="B366" s="57" t="n"/>
      <c r="C366" s="57" t="n"/>
      <c r="D366" s="62" t="n"/>
      <c r="E366" s="62" t="n"/>
      <c r="F366" s="62" t="n"/>
      <c r="G366" s="62" t="n"/>
      <c r="H366" s="62" t="n"/>
      <c r="I366" s="62" t="n"/>
      <c r="J366" s="62" t="n"/>
      <c r="K366" s="62" t="n"/>
      <c r="L366" s="62" t="n"/>
      <c r="M366" s="62" t="n"/>
      <c r="N366" s="62" t="n"/>
      <c r="O366" s="62" t="n"/>
      <c r="P366" s="62" t="n"/>
      <c r="Q366" s="58" t="n"/>
      <c r="R366" s="66">
        <f>IF(AND(tblSafety[[#This Row],[Hours_Employees]]="",tblSafety[[#This Row],[Hours_Contractors]]=""),"",N(tblSafety[[#This Row],[Hours_Employees]])+N(tblSafety[[#This Row],[Hours_Contractors]]))</f>
        <v/>
      </c>
      <c r="S366" s="64">
        <f>IF(AND(tblSafety[[#This Row],[Fatality]]="",tblSafety[[#This Row],[LTI]]="",tblSafety[[#This Row],[RWI]]="",tblSafety[[#This Row],[MTI]]=""),"",N(tblSafety[[#This Row],[Fatality]])+N(tblSafety[[#This Row],[LTI]])+N(tblSafety[[#This Row],[RWI]])+N(tblSafety[[#This Row],[MTI]]))</f>
        <v/>
      </c>
    </row>
    <row r="367">
      <c r="A367" s="54" t="n">
        <v>46384</v>
      </c>
      <c r="B367" s="57" t="n"/>
      <c r="C367" s="57" t="n"/>
      <c r="D367" s="62" t="n"/>
      <c r="E367" s="62" t="n"/>
      <c r="F367" s="62" t="n"/>
      <c r="G367" s="62" t="n"/>
      <c r="H367" s="62" t="n"/>
      <c r="I367" s="62" t="n"/>
      <c r="J367" s="62" t="n"/>
      <c r="K367" s="62" t="n"/>
      <c r="L367" s="62" t="n"/>
      <c r="M367" s="62" t="n"/>
      <c r="N367" s="62" t="n"/>
      <c r="O367" s="62" t="n"/>
      <c r="P367" s="62" t="n"/>
      <c r="Q367" s="58" t="n"/>
      <c r="R367" s="66">
        <f>IF(AND(tblSafety[[#This Row],[Hours_Employees]]="",tblSafety[[#This Row],[Hours_Contractors]]=""),"",N(tblSafety[[#This Row],[Hours_Employees]])+N(tblSafety[[#This Row],[Hours_Contractors]]))</f>
        <v/>
      </c>
      <c r="S367" s="64">
        <f>IF(AND(tblSafety[[#This Row],[Fatality]]="",tblSafety[[#This Row],[LTI]]="",tblSafety[[#This Row],[RWI]]="",tblSafety[[#This Row],[MTI]]=""),"",N(tblSafety[[#This Row],[Fatality]])+N(tblSafety[[#This Row],[LTI]])+N(tblSafety[[#This Row],[RWI]])+N(tblSafety[[#This Row],[MTI]]))</f>
        <v/>
      </c>
    </row>
    <row r="368">
      <c r="A368" s="54" t="n">
        <v>46385</v>
      </c>
      <c r="B368" s="57" t="n"/>
      <c r="C368" s="57" t="n"/>
      <c r="D368" s="62" t="n"/>
      <c r="E368" s="62" t="n"/>
      <c r="F368" s="62" t="n"/>
      <c r="G368" s="62" t="n"/>
      <c r="H368" s="62" t="n"/>
      <c r="I368" s="62" t="n"/>
      <c r="J368" s="62" t="n"/>
      <c r="K368" s="62" t="n"/>
      <c r="L368" s="62" t="n"/>
      <c r="M368" s="62" t="n"/>
      <c r="N368" s="62" t="n"/>
      <c r="O368" s="62" t="n"/>
      <c r="P368" s="62" t="n"/>
      <c r="Q368" s="58" t="n"/>
      <c r="R368" s="66">
        <f>IF(AND(tblSafety[[#This Row],[Hours_Employees]]="",tblSafety[[#This Row],[Hours_Contractors]]=""),"",N(tblSafety[[#This Row],[Hours_Employees]])+N(tblSafety[[#This Row],[Hours_Contractors]]))</f>
        <v/>
      </c>
      <c r="S368" s="64">
        <f>IF(AND(tblSafety[[#This Row],[Fatality]]="",tblSafety[[#This Row],[LTI]]="",tblSafety[[#This Row],[RWI]]="",tblSafety[[#This Row],[MTI]]=""),"",N(tblSafety[[#This Row],[Fatality]])+N(tblSafety[[#This Row],[LTI]])+N(tblSafety[[#This Row],[RWI]])+N(tblSafety[[#This Row],[MTI]]))</f>
        <v/>
      </c>
    </row>
    <row r="369">
      <c r="A369" s="54" t="n">
        <v>46386</v>
      </c>
      <c r="B369" s="57" t="n"/>
      <c r="C369" s="57" t="n"/>
      <c r="D369" s="62" t="n"/>
      <c r="E369" s="62" t="n"/>
      <c r="F369" s="62" t="n"/>
      <c r="G369" s="62" t="n"/>
      <c r="H369" s="62" t="n"/>
      <c r="I369" s="62" t="n"/>
      <c r="J369" s="62" t="n"/>
      <c r="K369" s="62" t="n"/>
      <c r="L369" s="62" t="n"/>
      <c r="M369" s="62" t="n"/>
      <c r="N369" s="62" t="n"/>
      <c r="O369" s="62" t="n"/>
      <c r="P369" s="62" t="n"/>
      <c r="Q369" s="58" t="n"/>
      <c r="R369" s="66">
        <f>IF(AND(tblSafety[[#This Row],[Hours_Employees]]="",tblSafety[[#This Row],[Hours_Contractors]]=""),"",N(tblSafety[[#This Row],[Hours_Employees]])+N(tblSafety[[#This Row],[Hours_Contractors]]))</f>
        <v/>
      </c>
      <c r="S369" s="64">
        <f>IF(AND(tblSafety[[#This Row],[Fatality]]="",tblSafety[[#This Row],[LTI]]="",tblSafety[[#This Row],[RWI]]="",tblSafety[[#This Row],[MTI]]=""),"",N(tblSafety[[#This Row],[Fatality]])+N(tblSafety[[#This Row],[LTI]])+N(tblSafety[[#This Row],[RWI]])+N(tblSafety[[#This Row],[MTI]]))</f>
        <v/>
      </c>
    </row>
    <row r="370">
      <c r="A370" s="54" t="n">
        <v>46387</v>
      </c>
      <c r="B370" s="57" t="n"/>
      <c r="C370" s="57" t="n"/>
      <c r="D370" s="62" t="n"/>
      <c r="E370" s="62" t="n"/>
      <c r="F370" s="62" t="n"/>
      <c r="G370" s="62" t="n"/>
      <c r="H370" s="62" t="n"/>
      <c r="I370" s="62" t="n"/>
      <c r="J370" s="62" t="n"/>
      <c r="K370" s="62" t="n"/>
      <c r="L370" s="62" t="n"/>
      <c r="M370" s="62" t="n"/>
      <c r="N370" s="62" t="n"/>
      <c r="O370" s="62" t="n"/>
      <c r="P370" s="62" t="n"/>
      <c r="Q370" s="58" t="n"/>
      <c r="R370" s="66">
        <f>IF(AND(tblSafety[[#This Row],[Hours_Employees]]="",tblSafety[[#This Row],[Hours_Contractors]]=""),"",N(tblSafety[[#This Row],[Hours_Employees]])+N(tblSafety[[#This Row],[Hours_Contractors]]))</f>
        <v/>
      </c>
      <c r="S370" s="64">
        <f>IF(AND(tblSafety[[#This Row],[Fatality]]="",tblSafety[[#This Row],[LTI]]="",tblSafety[[#This Row],[RWI]]="",tblSafety[[#This Row],[MTI]]=""),"",N(tblSafety[[#This Row],[Fatality]])+N(tblSafety[[#This Row],[LTI]])+N(tblSafety[[#This Row],[RWI]])+N(tblSafety[[#This Row],[MTI]]))</f>
        <v/>
      </c>
    </row>
  </sheetData>
  <conditionalFormatting sqref="A6:A370">
    <cfRule type="expression" priority="1" dxfId="0">
      <formula>COUNTIF($A$6:$A$370,$A6)&gt;1</formula>
    </cfRule>
  </conditionalFormatting>
  <dataValidations count="16">
    <dataValidation sqref="A6:A370" showDropDown="0" showInputMessage="0" showErrorMessage="1" allowBlank="1" errorTitle="Duplicate date" error="This date already has a row in the table. Enter the values on the existing row." type="custom" errorStyle="stop">
      <formula1>COUNTIF($A$6:$A$370,A6)=1</formula1>
    </dataValidation>
    <dataValidation sqref="B6:B370" showDropDown="0" showInputMessage="0" showErrorMessage="1" allowBlank="1" errorTitle="Outside expected range" error="Expected between 0 and 50,000. Click Yes to keep the value if it is correct." type="decimal" errorStyle="warning" operator="between">
      <formula1>0</formula1>
      <formula2>50000</formula2>
    </dataValidation>
    <dataValidation sqref="C6:C370" showDropDown="0" showInputMessage="0" showErrorMessage="1" allowBlank="1" errorTitle="Outside expected range" error="Expected between 0 and 50,000. Click Yes to keep the value if it is correct." type="decimal" errorStyle="warning" operator="between">
      <formula1>0</formula1>
      <formula2>50000</formula2>
    </dataValidation>
    <dataValidation sqref="D6:D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E6:E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F6:F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G6:G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H6:H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I6:I370" showDropDown="0" showInputMessage="0" showErrorMessage="1" allowBlank="1" errorTitle="Outside expected range" error="Expected between 0 and 500. Click Yes to keep the value if it is correct." type="whole" errorStyle="warning" operator="between">
      <formula1>0</formula1>
      <formula2>500</formula2>
    </dataValidation>
    <dataValidation sqref="J6:J370" showDropDown="0" showInputMessage="0" showErrorMessage="1" allowBlank="1" errorTitle="Outside expected range" error="Expected between 0 and 5,000. Click Yes to keep the value if it is correct." type="whole" errorStyle="warning" operator="between">
      <formula1>0</formula1>
      <formula2>5000</formula2>
    </dataValidation>
    <dataValidation sqref="K6:K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L6:L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M6:M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N6:N370" showDropDown="0" showInputMessage="0" showErrorMessage="1" allowBlank="1" errorTitle="Outside expected range" error="Expected between 0 and 50. Click Yes to keep the value if it is correct." type="whole" errorStyle="warning" operator="between">
      <formula1>0</formula1>
      <formula2>50</formula2>
    </dataValidation>
    <dataValidation sqref="O6:O370" showDropDown="0" showInputMessage="0" showErrorMessage="1" allowBlank="1" errorTitle="Outside expected range" error="Expected between 0 and 500. Click Yes to keep the value if it is correct." type="whole" errorStyle="warning" operator="between">
      <formula1>0</formula1>
      <formula2>500</formula2>
    </dataValidation>
    <dataValidation sqref="P6:P370" showDropDown="0" showInputMessage="0" showErrorMessage="1" allowBlank="1" errorTitle="Outside expected range" error="Expected between 0 and 500. Click Yes to keep the value if it is correct." type="whole" errorStyle="warning" operator="between">
      <formula1>0</formula1>
      <formula2>500</formula2>
    </dataValidation>
  </dataValidation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548235"/>
    <outlinePr summaryBelow="1" summaryRight="1"/>
    <pageSetUpPr/>
  </sheetPr>
  <dimension ref="A1:G4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6.4" customWidth="1" min="3" max="3"/>
    <col width="11" customWidth="1" min="4" max="4"/>
    <col width="11.9" customWidth="1" min="5" max="5"/>
    <col width="32" customWidth="1" min="6" max="6"/>
    <col width="32" customWidth="1" min="7" max="7"/>
  </cols>
  <sheetData>
    <row r="1">
      <c r="A1" s="50" t="inlineStr">
        <is>
          <t>Gold shipments and sales</t>
        </is>
      </c>
    </row>
    <row r="2">
      <c r="A2" s="6" t="inlineStr">
        <is>
          <t>Owner: Finance / gold room.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Type</t>
        </is>
      </c>
      <c r="C4" s="51" t="inlineStr">
        <is>
          <t>Dore weight (kg)</t>
        </is>
      </c>
      <c r="D4" s="51" t="inlineStr">
        <is>
          <t>Gold (oz)</t>
        </is>
      </c>
      <c r="E4" s="51" t="inlineStr">
        <is>
          <t>Silver (oz)</t>
        </is>
      </c>
      <c r="F4" s="51" t="inlineStr">
        <is>
          <t>Reference</t>
        </is>
      </c>
      <c r="G4" s="51" t="inlineStr">
        <is>
          <t>Comments</t>
        </is>
      </c>
    </row>
    <row r="5">
      <c r="A5" s="52" t="inlineStr">
        <is>
          <t>Date</t>
        </is>
      </c>
      <c r="B5" s="52" t="inlineStr">
        <is>
          <t>Type</t>
        </is>
      </c>
      <c r="C5" s="52" t="inlineStr">
        <is>
          <t>Dore_kg</t>
        </is>
      </c>
      <c r="D5" s="52" t="inlineStr">
        <is>
          <t>Gold_oz</t>
        </is>
      </c>
      <c r="E5" s="52" t="inlineStr">
        <is>
          <t>Silver_oz</t>
        </is>
      </c>
      <c r="F5" s="52" t="inlineStr">
        <is>
          <t>Reference</t>
        </is>
      </c>
      <c r="G5" s="52" t="inlineStr">
        <is>
          <t>Comments</t>
        </is>
      </c>
    </row>
    <row r="6">
      <c r="A6" s="54" t="n"/>
      <c r="B6" s="61" t="n"/>
      <c r="C6" s="55" t="n"/>
      <c r="D6" s="55" t="n"/>
      <c r="E6" s="55" t="n"/>
      <c r="F6" s="58" t="n"/>
      <c r="G6" s="58" t="n"/>
    </row>
    <row r="7">
      <c r="A7" s="54" t="n"/>
      <c r="B7" s="61" t="n"/>
      <c r="C7" s="55" t="n"/>
      <c r="D7" s="55" t="n"/>
      <c r="E7" s="55" t="n"/>
      <c r="F7" s="58" t="n"/>
      <c r="G7" s="58" t="n"/>
    </row>
    <row r="8">
      <c r="A8" s="54" t="n"/>
      <c r="B8" s="61" t="n"/>
      <c r="C8" s="55" t="n"/>
      <c r="D8" s="55" t="n"/>
      <c r="E8" s="55" t="n"/>
      <c r="F8" s="58" t="n"/>
      <c r="G8" s="58" t="n"/>
    </row>
    <row r="9">
      <c r="A9" s="54" t="n"/>
      <c r="B9" s="61" t="n"/>
      <c r="C9" s="55" t="n"/>
      <c r="D9" s="55" t="n"/>
      <c r="E9" s="55" t="n"/>
      <c r="F9" s="58" t="n"/>
      <c r="G9" s="58" t="n"/>
    </row>
    <row r="10">
      <c r="A10" s="54" t="n"/>
      <c r="B10" s="61" t="n"/>
      <c r="C10" s="55" t="n"/>
      <c r="D10" s="55" t="n"/>
      <c r="E10" s="55" t="n"/>
      <c r="F10" s="58" t="n"/>
      <c r="G10" s="58" t="n"/>
    </row>
    <row r="11">
      <c r="A11" s="54" t="n"/>
      <c r="B11" s="61" t="n"/>
      <c r="C11" s="55" t="n"/>
      <c r="D11" s="55" t="n"/>
      <c r="E11" s="55" t="n"/>
      <c r="F11" s="58" t="n"/>
      <c r="G11" s="58" t="n"/>
    </row>
    <row r="12">
      <c r="A12" s="54" t="n"/>
      <c r="B12" s="61" t="n"/>
      <c r="C12" s="55" t="n"/>
      <c r="D12" s="55" t="n"/>
      <c r="E12" s="55" t="n"/>
      <c r="F12" s="58" t="n"/>
      <c r="G12" s="58" t="n"/>
    </row>
    <row r="13">
      <c r="A13" s="54" t="n"/>
      <c r="B13" s="61" t="n"/>
      <c r="C13" s="55" t="n"/>
      <c r="D13" s="55" t="n"/>
      <c r="E13" s="55" t="n"/>
      <c r="F13" s="58" t="n"/>
      <c r="G13" s="58" t="n"/>
    </row>
    <row r="14">
      <c r="A14" s="54" t="n"/>
      <c r="B14" s="61" t="n"/>
      <c r="C14" s="55" t="n"/>
      <c r="D14" s="55" t="n"/>
      <c r="E14" s="55" t="n"/>
      <c r="F14" s="58" t="n"/>
      <c r="G14" s="58" t="n"/>
    </row>
    <row r="15">
      <c r="A15" s="54" t="n"/>
      <c r="B15" s="61" t="n"/>
      <c r="C15" s="55" t="n"/>
      <c r="D15" s="55" t="n"/>
      <c r="E15" s="55" t="n"/>
      <c r="F15" s="58" t="n"/>
      <c r="G15" s="58" t="n"/>
    </row>
    <row r="16">
      <c r="A16" s="54" t="n"/>
      <c r="B16" s="61" t="n"/>
      <c r="C16" s="55" t="n"/>
      <c r="D16" s="55" t="n"/>
      <c r="E16" s="55" t="n"/>
      <c r="F16" s="58" t="n"/>
      <c r="G16" s="58" t="n"/>
    </row>
    <row r="17">
      <c r="A17" s="54" t="n"/>
      <c r="B17" s="61" t="n"/>
      <c r="C17" s="55" t="n"/>
      <c r="D17" s="55" t="n"/>
      <c r="E17" s="55" t="n"/>
      <c r="F17" s="58" t="n"/>
      <c r="G17" s="58" t="n"/>
    </row>
    <row r="18">
      <c r="A18" s="54" t="n"/>
      <c r="B18" s="61" t="n"/>
      <c r="C18" s="55" t="n"/>
      <c r="D18" s="55" t="n"/>
      <c r="E18" s="55" t="n"/>
      <c r="F18" s="58" t="n"/>
      <c r="G18" s="58" t="n"/>
    </row>
    <row r="19">
      <c r="A19" s="54" t="n"/>
      <c r="B19" s="61" t="n"/>
      <c r="C19" s="55" t="n"/>
      <c r="D19" s="55" t="n"/>
      <c r="E19" s="55" t="n"/>
      <c r="F19" s="58" t="n"/>
      <c r="G19" s="58" t="n"/>
    </row>
    <row r="20">
      <c r="A20" s="54" t="n"/>
      <c r="B20" s="61" t="n"/>
      <c r="C20" s="55" t="n"/>
      <c r="D20" s="55" t="n"/>
      <c r="E20" s="55" t="n"/>
      <c r="F20" s="58" t="n"/>
      <c r="G20" s="58" t="n"/>
    </row>
    <row r="21">
      <c r="A21" s="54" t="n"/>
      <c r="B21" s="61" t="n"/>
      <c r="C21" s="55" t="n"/>
      <c r="D21" s="55" t="n"/>
      <c r="E21" s="55" t="n"/>
      <c r="F21" s="58" t="n"/>
      <c r="G21" s="58" t="n"/>
    </row>
    <row r="22">
      <c r="A22" s="54" t="n"/>
      <c r="B22" s="61" t="n"/>
      <c r="C22" s="55" t="n"/>
      <c r="D22" s="55" t="n"/>
      <c r="E22" s="55" t="n"/>
      <c r="F22" s="58" t="n"/>
      <c r="G22" s="58" t="n"/>
    </row>
    <row r="23">
      <c r="A23" s="54" t="n"/>
      <c r="B23" s="61" t="n"/>
      <c r="C23" s="55" t="n"/>
      <c r="D23" s="55" t="n"/>
      <c r="E23" s="55" t="n"/>
      <c r="F23" s="58" t="n"/>
      <c r="G23" s="58" t="n"/>
    </row>
    <row r="24">
      <c r="A24" s="54" t="n"/>
      <c r="B24" s="61" t="n"/>
      <c r="C24" s="55" t="n"/>
      <c r="D24" s="55" t="n"/>
      <c r="E24" s="55" t="n"/>
      <c r="F24" s="58" t="n"/>
      <c r="G24" s="58" t="n"/>
    </row>
    <row r="25">
      <c r="A25" s="54" t="n"/>
      <c r="B25" s="61" t="n"/>
      <c r="C25" s="55" t="n"/>
      <c r="D25" s="55" t="n"/>
      <c r="E25" s="55" t="n"/>
      <c r="F25" s="58" t="n"/>
      <c r="G25" s="58" t="n"/>
    </row>
    <row r="26">
      <c r="A26" s="54" t="n"/>
      <c r="B26" s="61" t="n"/>
      <c r="C26" s="55" t="n"/>
      <c r="D26" s="55" t="n"/>
      <c r="E26" s="55" t="n"/>
      <c r="F26" s="58" t="n"/>
      <c r="G26" s="58" t="n"/>
    </row>
    <row r="27">
      <c r="A27" s="54" t="n"/>
      <c r="B27" s="61" t="n"/>
      <c r="C27" s="55" t="n"/>
      <c r="D27" s="55" t="n"/>
      <c r="E27" s="55" t="n"/>
      <c r="F27" s="58" t="n"/>
      <c r="G27" s="58" t="n"/>
    </row>
    <row r="28">
      <c r="A28" s="54" t="n"/>
      <c r="B28" s="61" t="n"/>
      <c r="C28" s="55" t="n"/>
      <c r="D28" s="55" t="n"/>
      <c r="E28" s="55" t="n"/>
      <c r="F28" s="58" t="n"/>
      <c r="G28" s="58" t="n"/>
    </row>
    <row r="29">
      <c r="A29" s="54" t="n"/>
      <c r="B29" s="61" t="n"/>
      <c r="C29" s="55" t="n"/>
      <c r="D29" s="55" t="n"/>
      <c r="E29" s="55" t="n"/>
      <c r="F29" s="58" t="n"/>
      <c r="G29" s="58" t="n"/>
    </row>
    <row r="30">
      <c r="A30" s="54" t="n"/>
      <c r="B30" s="61" t="n"/>
      <c r="C30" s="55" t="n"/>
      <c r="D30" s="55" t="n"/>
      <c r="E30" s="55" t="n"/>
      <c r="F30" s="58" t="n"/>
      <c r="G30" s="58" t="n"/>
    </row>
    <row r="31">
      <c r="A31" s="54" t="n"/>
      <c r="B31" s="61" t="n"/>
      <c r="C31" s="55" t="n"/>
      <c r="D31" s="55" t="n"/>
      <c r="E31" s="55" t="n"/>
      <c r="F31" s="58" t="n"/>
      <c r="G31" s="58" t="n"/>
    </row>
    <row r="32">
      <c r="A32" s="54" t="n"/>
      <c r="B32" s="61" t="n"/>
      <c r="C32" s="55" t="n"/>
      <c r="D32" s="55" t="n"/>
      <c r="E32" s="55" t="n"/>
      <c r="F32" s="58" t="n"/>
      <c r="G32" s="58" t="n"/>
    </row>
    <row r="33">
      <c r="A33" s="54" t="n"/>
      <c r="B33" s="61" t="n"/>
      <c r="C33" s="55" t="n"/>
      <c r="D33" s="55" t="n"/>
      <c r="E33" s="55" t="n"/>
      <c r="F33" s="58" t="n"/>
      <c r="G33" s="58" t="n"/>
    </row>
    <row r="34">
      <c r="A34" s="54" t="n"/>
      <c r="B34" s="61" t="n"/>
      <c r="C34" s="55" t="n"/>
      <c r="D34" s="55" t="n"/>
      <c r="E34" s="55" t="n"/>
      <c r="F34" s="58" t="n"/>
      <c r="G34" s="58" t="n"/>
    </row>
    <row r="35">
      <c r="A35" s="54" t="n"/>
      <c r="B35" s="61" t="n"/>
      <c r="C35" s="55" t="n"/>
      <c r="D35" s="55" t="n"/>
      <c r="E35" s="55" t="n"/>
      <c r="F35" s="58" t="n"/>
      <c r="G35" s="58" t="n"/>
    </row>
    <row r="36">
      <c r="A36" s="54" t="n"/>
      <c r="B36" s="61" t="n"/>
      <c r="C36" s="55" t="n"/>
      <c r="D36" s="55" t="n"/>
      <c r="E36" s="55" t="n"/>
      <c r="F36" s="58" t="n"/>
      <c r="G36" s="58" t="n"/>
    </row>
    <row r="37">
      <c r="A37" s="54" t="n"/>
      <c r="B37" s="61" t="n"/>
      <c r="C37" s="55" t="n"/>
      <c r="D37" s="55" t="n"/>
      <c r="E37" s="55" t="n"/>
      <c r="F37" s="58" t="n"/>
      <c r="G37" s="58" t="n"/>
    </row>
    <row r="38">
      <c r="A38" s="54" t="n"/>
      <c r="B38" s="61" t="n"/>
      <c r="C38" s="55" t="n"/>
      <c r="D38" s="55" t="n"/>
      <c r="E38" s="55" t="n"/>
      <c r="F38" s="58" t="n"/>
      <c r="G38" s="58" t="n"/>
    </row>
    <row r="39">
      <c r="A39" s="54" t="n"/>
      <c r="B39" s="61" t="n"/>
      <c r="C39" s="55" t="n"/>
      <c r="D39" s="55" t="n"/>
      <c r="E39" s="55" t="n"/>
      <c r="F39" s="58" t="n"/>
      <c r="G39" s="58" t="n"/>
    </row>
    <row r="40">
      <c r="A40" s="54" t="n"/>
      <c r="B40" s="61" t="n"/>
      <c r="C40" s="55" t="n"/>
      <c r="D40" s="55" t="n"/>
      <c r="E40" s="55" t="n"/>
      <c r="F40" s="58" t="n"/>
      <c r="G40" s="58" t="n"/>
    </row>
    <row r="41">
      <c r="A41" s="54" t="n"/>
      <c r="B41" s="61" t="n"/>
      <c r="C41" s="55" t="n"/>
      <c r="D41" s="55" t="n"/>
      <c r="E41" s="55" t="n"/>
      <c r="F41" s="58" t="n"/>
      <c r="G41" s="58" t="n"/>
    </row>
    <row r="42">
      <c r="A42" s="54" t="n"/>
      <c r="B42" s="61" t="n"/>
      <c r="C42" s="55" t="n"/>
      <c r="D42" s="55" t="n"/>
      <c r="E42" s="55" t="n"/>
      <c r="F42" s="58" t="n"/>
      <c r="G42" s="58" t="n"/>
    </row>
    <row r="43">
      <c r="A43" s="54" t="n"/>
      <c r="B43" s="61" t="n"/>
      <c r="C43" s="55" t="n"/>
      <c r="D43" s="55" t="n"/>
      <c r="E43" s="55" t="n"/>
      <c r="F43" s="58" t="n"/>
      <c r="G43" s="58" t="n"/>
    </row>
    <row r="44">
      <c r="A44" s="54" t="n"/>
      <c r="B44" s="61" t="n"/>
      <c r="C44" s="55" t="n"/>
      <c r="D44" s="55" t="n"/>
      <c r="E44" s="55" t="n"/>
      <c r="F44" s="58" t="n"/>
      <c r="G44" s="58" t="n"/>
    </row>
    <row r="45">
      <c r="A45" s="54" t="n"/>
      <c r="B45" s="61" t="n"/>
      <c r="C45" s="55" t="n"/>
      <c r="D45" s="55" t="n"/>
      <c r="E45" s="55" t="n"/>
      <c r="F45" s="58" t="n"/>
      <c r="G45" s="58" t="n"/>
    </row>
    <row r="46">
      <c r="A46" s="54" t="n"/>
      <c r="B46" s="61" t="n"/>
      <c r="C46" s="55" t="n"/>
      <c r="D46" s="55" t="n"/>
      <c r="E46" s="55" t="n"/>
      <c r="F46" s="58" t="n"/>
      <c r="G46" s="58" t="n"/>
    </row>
    <row r="47">
      <c r="A47" s="54" t="n"/>
      <c r="B47" s="61" t="n"/>
      <c r="C47" s="55" t="n"/>
      <c r="D47" s="55" t="n"/>
      <c r="E47" s="55" t="n"/>
      <c r="F47" s="58" t="n"/>
      <c r="G47" s="58" t="n"/>
    </row>
    <row r="48">
      <c r="A48" s="54" t="n"/>
      <c r="B48" s="61" t="n"/>
      <c r="C48" s="55" t="n"/>
      <c r="D48" s="55" t="n"/>
      <c r="E48" s="55" t="n"/>
      <c r="F48" s="58" t="n"/>
      <c r="G48" s="58" t="n"/>
    </row>
    <row r="49">
      <c r="A49" s="54" t="n"/>
      <c r="B49" s="61" t="n"/>
      <c r="C49" s="55" t="n"/>
      <c r="D49" s="55" t="n"/>
      <c r="E49" s="55" t="n"/>
      <c r="F49" s="58" t="n"/>
      <c r="G49" s="58" t="n"/>
    </row>
    <row r="50">
      <c r="A50" s="54" t="n"/>
      <c r="B50" s="61" t="n"/>
      <c r="C50" s="55" t="n"/>
      <c r="D50" s="55" t="n"/>
      <c r="E50" s="55" t="n"/>
      <c r="F50" s="58" t="n"/>
      <c r="G50" s="58" t="n"/>
    </row>
    <row r="51">
      <c r="A51" s="54" t="n"/>
      <c r="B51" s="61" t="n"/>
      <c r="C51" s="55" t="n"/>
      <c r="D51" s="55" t="n"/>
      <c r="E51" s="55" t="n"/>
      <c r="F51" s="58" t="n"/>
      <c r="G51" s="58" t="n"/>
    </row>
    <row r="52">
      <c r="A52" s="54" t="n"/>
      <c r="B52" s="61" t="n"/>
      <c r="C52" s="55" t="n"/>
      <c r="D52" s="55" t="n"/>
      <c r="E52" s="55" t="n"/>
      <c r="F52" s="58" t="n"/>
      <c r="G52" s="58" t="n"/>
    </row>
    <row r="53">
      <c r="A53" s="54" t="n"/>
      <c r="B53" s="61" t="n"/>
      <c r="C53" s="55" t="n"/>
      <c r="D53" s="55" t="n"/>
      <c r="E53" s="55" t="n"/>
      <c r="F53" s="58" t="n"/>
      <c r="G53" s="58" t="n"/>
    </row>
    <row r="54">
      <c r="A54" s="54" t="n"/>
      <c r="B54" s="61" t="n"/>
      <c r="C54" s="55" t="n"/>
      <c r="D54" s="55" t="n"/>
      <c r="E54" s="55" t="n"/>
      <c r="F54" s="58" t="n"/>
      <c r="G54" s="58" t="n"/>
    </row>
    <row r="55">
      <c r="A55" s="54" t="n"/>
      <c r="B55" s="61" t="n"/>
      <c r="C55" s="55" t="n"/>
      <c r="D55" s="55" t="n"/>
      <c r="E55" s="55" t="n"/>
      <c r="F55" s="58" t="n"/>
      <c r="G55" s="58" t="n"/>
    </row>
    <row r="56">
      <c r="A56" s="54" t="n"/>
      <c r="B56" s="61" t="n"/>
      <c r="C56" s="55" t="n"/>
      <c r="D56" s="55" t="n"/>
      <c r="E56" s="55" t="n"/>
      <c r="F56" s="58" t="n"/>
      <c r="G56" s="58" t="n"/>
    </row>
    <row r="57">
      <c r="A57" s="54" t="n"/>
      <c r="B57" s="61" t="n"/>
      <c r="C57" s="55" t="n"/>
      <c r="D57" s="55" t="n"/>
      <c r="E57" s="55" t="n"/>
      <c r="F57" s="58" t="n"/>
      <c r="G57" s="58" t="n"/>
    </row>
    <row r="58">
      <c r="A58" s="54" t="n"/>
      <c r="B58" s="61" t="n"/>
      <c r="C58" s="55" t="n"/>
      <c r="D58" s="55" t="n"/>
      <c r="E58" s="55" t="n"/>
      <c r="F58" s="58" t="n"/>
      <c r="G58" s="58" t="n"/>
    </row>
    <row r="59">
      <c r="A59" s="54" t="n"/>
      <c r="B59" s="61" t="n"/>
      <c r="C59" s="55" t="n"/>
      <c r="D59" s="55" t="n"/>
      <c r="E59" s="55" t="n"/>
      <c r="F59" s="58" t="n"/>
      <c r="G59" s="58" t="n"/>
    </row>
    <row r="60">
      <c r="A60" s="54" t="n"/>
      <c r="B60" s="61" t="n"/>
      <c r="C60" s="55" t="n"/>
      <c r="D60" s="55" t="n"/>
      <c r="E60" s="55" t="n"/>
      <c r="F60" s="58" t="n"/>
      <c r="G60" s="58" t="n"/>
    </row>
    <row r="61">
      <c r="A61" s="54" t="n"/>
      <c r="B61" s="61" t="n"/>
      <c r="C61" s="55" t="n"/>
      <c r="D61" s="55" t="n"/>
      <c r="E61" s="55" t="n"/>
      <c r="F61" s="58" t="n"/>
      <c r="G61" s="58" t="n"/>
    </row>
    <row r="62">
      <c r="A62" s="54" t="n"/>
      <c r="B62" s="61" t="n"/>
      <c r="C62" s="55" t="n"/>
      <c r="D62" s="55" t="n"/>
      <c r="E62" s="55" t="n"/>
      <c r="F62" s="58" t="n"/>
      <c r="G62" s="58" t="n"/>
    </row>
    <row r="63">
      <c r="A63" s="54" t="n"/>
      <c r="B63" s="61" t="n"/>
      <c r="C63" s="55" t="n"/>
      <c r="D63" s="55" t="n"/>
      <c r="E63" s="55" t="n"/>
      <c r="F63" s="58" t="n"/>
      <c r="G63" s="58" t="n"/>
    </row>
    <row r="64">
      <c r="A64" s="54" t="n"/>
      <c r="B64" s="61" t="n"/>
      <c r="C64" s="55" t="n"/>
      <c r="D64" s="55" t="n"/>
      <c r="E64" s="55" t="n"/>
      <c r="F64" s="58" t="n"/>
      <c r="G64" s="58" t="n"/>
    </row>
    <row r="65">
      <c r="A65" s="54" t="n"/>
      <c r="B65" s="61" t="n"/>
      <c r="C65" s="55" t="n"/>
      <c r="D65" s="55" t="n"/>
      <c r="E65" s="55" t="n"/>
      <c r="F65" s="58" t="n"/>
      <c r="G65" s="58" t="n"/>
    </row>
    <row r="66">
      <c r="A66" s="54" t="n"/>
      <c r="B66" s="61" t="n"/>
      <c r="C66" s="55" t="n"/>
      <c r="D66" s="55" t="n"/>
      <c r="E66" s="55" t="n"/>
      <c r="F66" s="58" t="n"/>
      <c r="G66" s="58" t="n"/>
    </row>
    <row r="67">
      <c r="A67" s="54" t="n"/>
      <c r="B67" s="61" t="n"/>
      <c r="C67" s="55" t="n"/>
      <c r="D67" s="55" t="n"/>
      <c r="E67" s="55" t="n"/>
      <c r="F67" s="58" t="n"/>
      <c r="G67" s="58" t="n"/>
    </row>
    <row r="68">
      <c r="A68" s="54" t="n"/>
      <c r="B68" s="61" t="n"/>
      <c r="C68" s="55" t="n"/>
      <c r="D68" s="55" t="n"/>
      <c r="E68" s="55" t="n"/>
      <c r="F68" s="58" t="n"/>
      <c r="G68" s="58" t="n"/>
    </row>
    <row r="69">
      <c r="A69" s="54" t="n"/>
      <c r="B69" s="61" t="n"/>
      <c r="C69" s="55" t="n"/>
      <c r="D69" s="55" t="n"/>
      <c r="E69" s="55" t="n"/>
      <c r="F69" s="58" t="n"/>
      <c r="G69" s="58" t="n"/>
    </row>
    <row r="70">
      <c r="A70" s="54" t="n"/>
      <c r="B70" s="61" t="n"/>
      <c r="C70" s="55" t="n"/>
      <c r="D70" s="55" t="n"/>
      <c r="E70" s="55" t="n"/>
      <c r="F70" s="58" t="n"/>
      <c r="G70" s="58" t="n"/>
    </row>
    <row r="71">
      <c r="A71" s="54" t="n"/>
      <c r="B71" s="61" t="n"/>
      <c r="C71" s="55" t="n"/>
      <c r="D71" s="55" t="n"/>
      <c r="E71" s="55" t="n"/>
      <c r="F71" s="58" t="n"/>
      <c r="G71" s="58" t="n"/>
    </row>
    <row r="72">
      <c r="A72" s="54" t="n"/>
      <c r="B72" s="61" t="n"/>
      <c r="C72" s="55" t="n"/>
      <c r="D72" s="55" t="n"/>
      <c r="E72" s="55" t="n"/>
      <c r="F72" s="58" t="n"/>
      <c r="G72" s="58" t="n"/>
    </row>
    <row r="73">
      <c r="A73" s="54" t="n"/>
      <c r="B73" s="61" t="n"/>
      <c r="C73" s="55" t="n"/>
      <c r="D73" s="55" t="n"/>
      <c r="E73" s="55" t="n"/>
      <c r="F73" s="58" t="n"/>
      <c r="G73" s="58" t="n"/>
    </row>
    <row r="74">
      <c r="A74" s="54" t="n"/>
      <c r="B74" s="61" t="n"/>
      <c r="C74" s="55" t="n"/>
      <c r="D74" s="55" t="n"/>
      <c r="E74" s="55" t="n"/>
      <c r="F74" s="58" t="n"/>
      <c r="G74" s="58" t="n"/>
    </row>
    <row r="75">
      <c r="A75" s="54" t="n"/>
      <c r="B75" s="61" t="n"/>
      <c r="C75" s="55" t="n"/>
      <c r="D75" s="55" t="n"/>
      <c r="E75" s="55" t="n"/>
      <c r="F75" s="58" t="n"/>
      <c r="G75" s="58" t="n"/>
    </row>
    <row r="76">
      <c r="A76" s="54" t="n"/>
      <c r="B76" s="61" t="n"/>
      <c r="C76" s="55" t="n"/>
      <c r="D76" s="55" t="n"/>
      <c r="E76" s="55" t="n"/>
      <c r="F76" s="58" t="n"/>
      <c r="G76" s="58" t="n"/>
    </row>
    <row r="77">
      <c r="A77" s="54" t="n"/>
      <c r="B77" s="61" t="n"/>
      <c r="C77" s="55" t="n"/>
      <c r="D77" s="55" t="n"/>
      <c r="E77" s="55" t="n"/>
      <c r="F77" s="58" t="n"/>
      <c r="G77" s="58" t="n"/>
    </row>
    <row r="78">
      <c r="A78" s="54" t="n"/>
      <c r="B78" s="61" t="n"/>
      <c r="C78" s="55" t="n"/>
      <c r="D78" s="55" t="n"/>
      <c r="E78" s="55" t="n"/>
      <c r="F78" s="58" t="n"/>
      <c r="G78" s="58" t="n"/>
    </row>
    <row r="79">
      <c r="A79" s="54" t="n"/>
      <c r="B79" s="61" t="n"/>
      <c r="C79" s="55" t="n"/>
      <c r="D79" s="55" t="n"/>
      <c r="E79" s="55" t="n"/>
      <c r="F79" s="58" t="n"/>
      <c r="G79" s="58" t="n"/>
    </row>
    <row r="80">
      <c r="A80" s="54" t="n"/>
      <c r="B80" s="61" t="n"/>
      <c r="C80" s="55" t="n"/>
      <c r="D80" s="55" t="n"/>
      <c r="E80" s="55" t="n"/>
      <c r="F80" s="58" t="n"/>
      <c r="G80" s="58" t="n"/>
    </row>
    <row r="81">
      <c r="A81" s="54" t="n"/>
      <c r="B81" s="61" t="n"/>
      <c r="C81" s="55" t="n"/>
      <c r="D81" s="55" t="n"/>
      <c r="E81" s="55" t="n"/>
      <c r="F81" s="58" t="n"/>
      <c r="G81" s="58" t="n"/>
    </row>
    <row r="82">
      <c r="A82" s="54" t="n"/>
      <c r="B82" s="61" t="n"/>
      <c r="C82" s="55" t="n"/>
      <c r="D82" s="55" t="n"/>
      <c r="E82" s="55" t="n"/>
      <c r="F82" s="58" t="n"/>
      <c r="G82" s="58" t="n"/>
    </row>
    <row r="83">
      <c r="A83" s="54" t="n"/>
      <c r="B83" s="61" t="n"/>
      <c r="C83" s="55" t="n"/>
      <c r="D83" s="55" t="n"/>
      <c r="E83" s="55" t="n"/>
      <c r="F83" s="58" t="n"/>
      <c r="G83" s="58" t="n"/>
    </row>
    <row r="84">
      <c r="A84" s="54" t="n"/>
      <c r="B84" s="61" t="n"/>
      <c r="C84" s="55" t="n"/>
      <c r="D84" s="55" t="n"/>
      <c r="E84" s="55" t="n"/>
      <c r="F84" s="58" t="n"/>
      <c r="G84" s="58" t="n"/>
    </row>
    <row r="85">
      <c r="A85" s="54" t="n"/>
      <c r="B85" s="61" t="n"/>
      <c r="C85" s="55" t="n"/>
      <c r="D85" s="55" t="n"/>
      <c r="E85" s="55" t="n"/>
      <c r="F85" s="58" t="n"/>
      <c r="G85" s="58" t="n"/>
    </row>
    <row r="86">
      <c r="A86" s="54" t="n"/>
      <c r="B86" s="61" t="n"/>
      <c r="C86" s="55" t="n"/>
      <c r="D86" s="55" t="n"/>
      <c r="E86" s="55" t="n"/>
      <c r="F86" s="58" t="n"/>
      <c r="G86" s="58" t="n"/>
    </row>
    <row r="87">
      <c r="A87" s="54" t="n"/>
      <c r="B87" s="61" t="n"/>
      <c r="C87" s="55" t="n"/>
      <c r="D87" s="55" t="n"/>
      <c r="E87" s="55" t="n"/>
      <c r="F87" s="58" t="n"/>
      <c r="G87" s="58" t="n"/>
    </row>
    <row r="88">
      <c r="A88" s="54" t="n"/>
      <c r="B88" s="61" t="n"/>
      <c r="C88" s="55" t="n"/>
      <c r="D88" s="55" t="n"/>
      <c r="E88" s="55" t="n"/>
      <c r="F88" s="58" t="n"/>
      <c r="G88" s="58" t="n"/>
    </row>
    <row r="89">
      <c r="A89" s="54" t="n"/>
      <c r="B89" s="61" t="n"/>
      <c r="C89" s="55" t="n"/>
      <c r="D89" s="55" t="n"/>
      <c r="E89" s="55" t="n"/>
      <c r="F89" s="58" t="n"/>
      <c r="G89" s="58" t="n"/>
    </row>
    <row r="90">
      <c r="A90" s="54" t="n"/>
      <c r="B90" s="61" t="n"/>
      <c r="C90" s="55" t="n"/>
      <c r="D90" s="55" t="n"/>
      <c r="E90" s="55" t="n"/>
      <c r="F90" s="58" t="n"/>
      <c r="G90" s="58" t="n"/>
    </row>
    <row r="91">
      <c r="A91" s="54" t="n"/>
      <c r="B91" s="61" t="n"/>
      <c r="C91" s="55" t="n"/>
      <c r="D91" s="55" t="n"/>
      <c r="E91" s="55" t="n"/>
      <c r="F91" s="58" t="n"/>
      <c r="G91" s="58" t="n"/>
    </row>
    <row r="92">
      <c r="A92" s="54" t="n"/>
      <c r="B92" s="61" t="n"/>
      <c r="C92" s="55" t="n"/>
      <c r="D92" s="55" t="n"/>
      <c r="E92" s="55" t="n"/>
      <c r="F92" s="58" t="n"/>
      <c r="G92" s="58" t="n"/>
    </row>
    <row r="93">
      <c r="A93" s="54" t="n"/>
      <c r="B93" s="61" t="n"/>
      <c r="C93" s="55" t="n"/>
      <c r="D93" s="55" t="n"/>
      <c r="E93" s="55" t="n"/>
      <c r="F93" s="58" t="n"/>
      <c r="G93" s="58" t="n"/>
    </row>
    <row r="94">
      <c r="A94" s="54" t="n"/>
      <c r="B94" s="61" t="n"/>
      <c r="C94" s="55" t="n"/>
      <c r="D94" s="55" t="n"/>
      <c r="E94" s="55" t="n"/>
      <c r="F94" s="58" t="n"/>
      <c r="G94" s="58" t="n"/>
    </row>
    <row r="95">
      <c r="A95" s="54" t="n"/>
      <c r="B95" s="61" t="n"/>
      <c r="C95" s="55" t="n"/>
      <c r="D95" s="55" t="n"/>
      <c r="E95" s="55" t="n"/>
      <c r="F95" s="58" t="n"/>
      <c r="G95" s="58" t="n"/>
    </row>
    <row r="96">
      <c r="A96" s="54" t="n"/>
      <c r="B96" s="61" t="n"/>
      <c r="C96" s="55" t="n"/>
      <c r="D96" s="55" t="n"/>
      <c r="E96" s="55" t="n"/>
      <c r="F96" s="58" t="n"/>
      <c r="G96" s="58" t="n"/>
    </row>
    <row r="97">
      <c r="A97" s="54" t="n"/>
      <c r="B97" s="61" t="n"/>
      <c r="C97" s="55" t="n"/>
      <c r="D97" s="55" t="n"/>
      <c r="E97" s="55" t="n"/>
      <c r="F97" s="58" t="n"/>
      <c r="G97" s="58" t="n"/>
    </row>
    <row r="98">
      <c r="A98" s="54" t="n"/>
      <c r="B98" s="61" t="n"/>
      <c r="C98" s="55" t="n"/>
      <c r="D98" s="55" t="n"/>
      <c r="E98" s="55" t="n"/>
      <c r="F98" s="58" t="n"/>
      <c r="G98" s="58" t="n"/>
    </row>
    <row r="99">
      <c r="A99" s="54" t="n"/>
      <c r="B99" s="61" t="n"/>
      <c r="C99" s="55" t="n"/>
      <c r="D99" s="55" t="n"/>
      <c r="E99" s="55" t="n"/>
      <c r="F99" s="58" t="n"/>
      <c r="G99" s="58" t="n"/>
    </row>
    <row r="100">
      <c r="A100" s="54" t="n"/>
      <c r="B100" s="61" t="n"/>
      <c r="C100" s="55" t="n"/>
      <c r="D100" s="55" t="n"/>
      <c r="E100" s="55" t="n"/>
      <c r="F100" s="58" t="n"/>
      <c r="G100" s="58" t="n"/>
    </row>
    <row r="101">
      <c r="A101" s="54" t="n"/>
      <c r="B101" s="61" t="n"/>
      <c r="C101" s="55" t="n"/>
      <c r="D101" s="55" t="n"/>
      <c r="E101" s="55" t="n"/>
      <c r="F101" s="58" t="n"/>
      <c r="G101" s="58" t="n"/>
    </row>
    <row r="102">
      <c r="A102" s="54" t="n"/>
      <c r="B102" s="61" t="n"/>
      <c r="C102" s="55" t="n"/>
      <c r="D102" s="55" t="n"/>
      <c r="E102" s="55" t="n"/>
      <c r="F102" s="58" t="n"/>
      <c r="G102" s="58" t="n"/>
    </row>
    <row r="103">
      <c r="A103" s="54" t="n"/>
      <c r="B103" s="61" t="n"/>
      <c r="C103" s="55" t="n"/>
      <c r="D103" s="55" t="n"/>
      <c r="E103" s="55" t="n"/>
      <c r="F103" s="58" t="n"/>
      <c r="G103" s="58" t="n"/>
    </row>
    <row r="104">
      <c r="A104" s="54" t="n"/>
      <c r="B104" s="61" t="n"/>
      <c r="C104" s="55" t="n"/>
      <c r="D104" s="55" t="n"/>
      <c r="E104" s="55" t="n"/>
      <c r="F104" s="58" t="n"/>
      <c r="G104" s="58" t="n"/>
    </row>
    <row r="105">
      <c r="A105" s="54" t="n"/>
      <c r="B105" s="61" t="n"/>
      <c r="C105" s="55" t="n"/>
      <c r="D105" s="55" t="n"/>
      <c r="E105" s="55" t="n"/>
      <c r="F105" s="58" t="n"/>
      <c r="G105" s="58" t="n"/>
    </row>
    <row r="106">
      <c r="A106" s="54" t="n"/>
      <c r="B106" s="61" t="n"/>
      <c r="C106" s="55" t="n"/>
      <c r="D106" s="55" t="n"/>
      <c r="E106" s="55" t="n"/>
      <c r="F106" s="58" t="n"/>
      <c r="G106" s="58" t="n"/>
    </row>
    <row r="107">
      <c r="A107" s="54" t="n"/>
      <c r="B107" s="61" t="n"/>
      <c r="C107" s="55" t="n"/>
      <c r="D107" s="55" t="n"/>
      <c r="E107" s="55" t="n"/>
      <c r="F107" s="58" t="n"/>
      <c r="G107" s="58" t="n"/>
    </row>
    <row r="108">
      <c r="A108" s="54" t="n"/>
      <c r="B108" s="61" t="n"/>
      <c r="C108" s="55" t="n"/>
      <c r="D108" s="55" t="n"/>
      <c r="E108" s="55" t="n"/>
      <c r="F108" s="58" t="n"/>
      <c r="G108" s="58" t="n"/>
    </row>
    <row r="109">
      <c r="A109" s="54" t="n"/>
      <c r="B109" s="61" t="n"/>
      <c r="C109" s="55" t="n"/>
      <c r="D109" s="55" t="n"/>
      <c r="E109" s="55" t="n"/>
      <c r="F109" s="58" t="n"/>
      <c r="G109" s="58" t="n"/>
    </row>
    <row r="110">
      <c r="A110" s="54" t="n"/>
      <c r="B110" s="61" t="n"/>
      <c r="C110" s="55" t="n"/>
      <c r="D110" s="55" t="n"/>
      <c r="E110" s="55" t="n"/>
      <c r="F110" s="58" t="n"/>
      <c r="G110" s="58" t="n"/>
    </row>
    <row r="111">
      <c r="A111" s="54" t="n"/>
      <c r="B111" s="61" t="n"/>
      <c r="C111" s="55" t="n"/>
      <c r="D111" s="55" t="n"/>
      <c r="E111" s="55" t="n"/>
      <c r="F111" s="58" t="n"/>
      <c r="G111" s="58" t="n"/>
    </row>
    <row r="112">
      <c r="A112" s="54" t="n"/>
      <c r="B112" s="61" t="n"/>
      <c r="C112" s="55" t="n"/>
      <c r="D112" s="55" t="n"/>
      <c r="E112" s="55" t="n"/>
      <c r="F112" s="58" t="n"/>
      <c r="G112" s="58" t="n"/>
    </row>
    <row r="113">
      <c r="A113" s="54" t="n"/>
      <c r="B113" s="61" t="n"/>
      <c r="C113" s="55" t="n"/>
      <c r="D113" s="55" t="n"/>
      <c r="E113" s="55" t="n"/>
      <c r="F113" s="58" t="n"/>
      <c r="G113" s="58" t="n"/>
    </row>
    <row r="114">
      <c r="A114" s="54" t="n"/>
      <c r="B114" s="61" t="n"/>
      <c r="C114" s="55" t="n"/>
      <c r="D114" s="55" t="n"/>
      <c r="E114" s="55" t="n"/>
      <c r="F114" s="58" t="n"/>
      <c r="G114" s="58" t="n"/>
    </row>
    <row r="115">
      <c r="A115" s="54" t="n"/>
      <c r="B115" s="61" t="n"/>
      <c r="C115" s="55" t="n"/>
      <c r="D115" s="55" t="n"/>
      <c r="E115" s="55" t="n"/>
      <c r="F115" s="58" t="n"/>
      <c r="G115" s="58" t="n"/>
    </row>
    <row r="116">
      <c r="A116" s="54" t="n"/>
      <c r="B116" s="61" t="n"/>
      <c r="C116" s="55" t="n"/>
      <c r="D116" s="55" t="n"/>
      <c r="E116" s="55" t="n"/>
      <c r="F116" s="58" t="n"/>
      <c r="G116" s="58" t="n"/>
    </row>
    <row r="117">
      <c r="A117" s="54" t="n"/>
      <c r="B117" s="61" t="n"/>
      <c r="C117" s="55" t="n"/>
      <c r="D117" s="55" t="n"/>
      <c r="E117" s="55" t="n"/>
      <c r="F117" s="58" t="n"/>
      <c r="G117" s="58" t="n"/>
    </row>
    <row r="118">
      <c r="A118" s="54" t="n"/>
      <c r="B118" s="61" t="n"/>
      <c r="C118" s="55" t="n"/>
      <c r="D118" s="55" t="n"/>
      <c r="E118" s="55" t="n"/>
      <c r="F118" s="58" t="n"/>
      <c r="G118" s="58" t="n"/>
    </row>
    <row r="119">
      <c r="A119" s="54" t="n"/>
      <c r="B119" s="61" t="n"/>
      <c r="C119" s="55" t="n"/>
      <c r="D119" s="55" t="n"/>
      <c r="E119" s="55" t="n"/>
      <c r="F119" s="58" t="n"/>
      <c r="G119" s="58" t="n"/>
    </row>
    <row r="120">
      <c r="A120" s="54" t="n"/>
      <c r="B120" s="61" t="n"/>
      <c r="C120" s="55" t="n"/>
      <c r="D120" s="55" t="n"/>
      <c r="E120" s="55" t="n"/>
      <c r="F120" s="58" t="n"/>
      <c r="G120" s="58" t="n"/>
    </row>
    <row r="121">
      <c r="A121" s="54" t="n"/>
      <c r="B121" s="61" t="n"/>
      <c r="C121" s="55" t="n"/>
      <c r="D121" s="55" t="n"/>
      <c r="E121" s="55" t="n"/>
      <c r="F121" s="58" t="n"/>
      <c r="G121" s="58" t="n"/>
    </row>
    <row r="122">
      <c r="A122" s="54" t="n"/>
      <c r="B122" s="61" t="n"/>
      <c r="C122" s="55" t="n"/>
      <c r="D122" s="55" t="n"/>
      <c r="E122" s="55" t="n"/>
      <c r="F122" s="58" t="n"/>
      <c r="G122" s="58" t="n"/>
    </row>
    <row r="123">
      <c r="A123" s="54" t="n"/>
      <c r="B123" s="61" t="n"/>
      <c r="C123" s="55" t="n"/>
      <c r="D123" s="55" t="n"/>
      <c r="E123" s="55" t="n"/>
      <c r="F123" s="58" t="n"/>
      <c r="G123" s="58" t="n"/>
    </row>
    <row r="124">
      <c r="A124" s="54" t="n"/>
      <c r="B124" s="61" t="n"/>
      <c r="C124" s="55" t="n"/>
      <c r="D124" s="55" t="n"/>
      <c r="E124" s="55" t="n"/>
      <c r="F124" s="58" t="n"/>
      <c r="G124" s="58" t="n"/>
    </row>
    <row r="125">
      <c r="A125" s="54" t="n"/>
      <c r="B125" s="61" t="n"/>
      <c r="C125" s="55" t="n"/>
      <c r="D125" s="55" t="n"/>
      <c r="E125" s="55" t="n"/>
      <c r="F125" s="58" t="n"/>
      <c r="G125" s="58" t="n"/>
    </row>
    <row r="126">
      <c r="A126" s="54" t="n"/>
      <c r="B126" s="61" t="n"/>
      <c r="C126" s="55" t="n"/>
      <c r="D126" s="55" t="n"/>
      <c r="E126" s="55" t="n"/>
      <c r="F126" s="58" t="n"/>
      <c r="G126" s="58" t="n"/>
    </row>
    <row r="127">
      <c r="A127" s="54" t="n"/>
      <c r="B127" s="61" t="n"/>
      <c r="C127" s="55" t="n"/>
      <c r="D127" s="55" t="n"/>
      <c r="E127" s="55" t="n"/>
      <c r="F127" s="58" t="n"/>
      <c r="G127" s="58" t="n"/>
    </row>
    <row r="128">
      <c r="A128" s="54" t="n"/>
      <c r="B128" s="61" t="n"/>
      <c r="C128" s="55" t="n"/>
      <c r="D128" s="55" t="n"/>
      <c r="E128" s="55" t="n"/>
      <c r="F128" s="58" t="n"/>
      <c r="G128" s="58" t="n"/>
    </row>
    <row r="129">
      <c r="A129" s="54" t="n"/>
      <c r="B129" s="61" t="n"/>
      <c r="C129" s="55" t="n"/>
      <c r="D129" s="55" t="n"/>
      <c r="E129" s="55" t="n"/>
      <c r="F129" s="58" t="n"/>
      <c r="G129" s="58" t="n"/>
    </row>
    <row r="130">
      <c r="A130" s="54" t="n"/>
      <c r="B130" s="61" t="n"/>
      <c r="C130" s="55" t="n"/>
      <c r="D130" s="55" t="n"/>
      <c r="E130" s="55" t="n"/>
      <c r="F130" s="58" t="n"/>
      <c r="G130" s="58" t="n"/>
    </row>
    <row r="131">
      <c r="A131" s="54" t="n"/>
      <c r="B131" s="61" t="n"/>
      <c r="C131" s="55" t="n"/>
      <c r="D131" s="55" t="n"/>
      <c r="E131" s="55" t="n"/>
      <c r="F131" s="58" t="n"/>
      <c r="G131" s="58" t="n"/>
    </row>
    <row r="132">
      <c r="A132" s="54" t="n"/>
      <c r="B132" s="61" t="n"/>
      <c r="C132" s="55" t="n"/>
      <c r="D132" s="55" t="n"/>
      <c r="E132" s="55" t="n"/>
      <c r="F132" s="58" t="n"/>
      <c r="G132" s="58" t="n"/>
    </row>
    <row r="133">
      <c r="A133" s="54" t="n"/>
      <c r="B133" s="61" t="n"/>
      <c r="C133" s="55" t="n"/>
      <c r="D133" s="55" t="n"/>
      <c r="E133" s="55" t="n"/>
      <c r="F133" s="58" t="n"/>
      <c r="G133" s="58" t="n"/>
    </row>
    <row r="134">
      <c r="A134" s="54" t="n"/>
      <c r="B134" s="61" t="n"/>
      <c r="C134" s="55" t="n"/>
      <c r="D134" s="55" t="n"/>
      <c r="E134" s="55" t="n"/>
      <c r="F134" s="58" t="n"/>
      <c r="G134" s="58" t="n"/>
    </row>
    <row r="135">
      <c r="A135" s="54" t="n"/>
      <c r="B135" s="61" t="n"/>
      <c r="C135" s="55" t="n"/>
      <c r="D135" s="55" t="n"/>
      <c r="E135" s="55" t="n"/>
      <c r="F135" s="58" t="n"/>
      <c r="G135" s="58" t="n"/>
    </row>
    <row r="136">
      <c r="A136" s="54" t="n"/>
      <c r="B136" s="61" t="n"/>
      <c r="C136" s="55" t="n"/>
      <c r="D136" s="55" t="n"/>
      <c r="E136" s="55" t="n"/>
      <c r="F136" s="58" t="n"/>
      <c r="G136" s="58" t="n"/>
    </row>
    <row r="137">
      <c r="A137" s="54" t="n"/>
      <c r="B137" s="61" t="n"/>
      <c r="C137" s="55" t="n"/>
      <c r="D137" s="55" t="n"/>
      <c r="E137" s="55" t="n"/>
      <c r="F137" s="58" t="n"/>
      <c r="G137" s="58" t="n"/>
    </row>
    <row r="138">
      <c r="A138" s="54" t="n"/>
      <c r="B138" s="61" t="n"/>
      <c r="C138" s="55" t="n"/>
      <c r="D138" s="55" t="n"/>
      <c r="E138" s="55" t="n"/>
      <c r="F138" s="58" t="n"/>
      <c r="G138" s="58" t="n"/>
    </row>
    <row r="139">
      <c r="A139" s="54" t="n"/>
      <c r="B139" s="61" t="n"/>
      <c r="C139" s="55" t="n"/>
      <c r="D139" s="55" t="n"/>
      <c r="E139" s="55" t="n"/>
      <c r="F139" s="58" t="n"/>
      <c r="G139" s="58" t="n"/>
    </row>
    <row r="140">
      <c r="A140" s="54" t="n"/>
      <c r="B140" s="61" t="n"/>
      <c r="C140" s="55" t="n"/>
      <c r="D140" s="55" t="n"/>
      <c r="E140" s="55" t="n"/>
      <c r="F140" s="58" t="n"/>
      <c r="G140" s="58" t="n"/>
    </row>
    <row r="141">
      <c r="A141" s="54" t="n"/>
      <c r="B141" s="61" t="n"/>
      <c r="C141" s="55" t="n"/>
      <c r="D141" s="55" t="n"/>
      <c r="E141" s="55" t="n"/>
      <c r="F141" s="58" t="n"/>
      <c r="G141" s="58" t="n"/>
    </row>
    <row r="142">
      <c r="A142" s="54" t="n"/>
      <c r="B142" s="61" t="n"/>
      <c r="C142" s="55" t="n"/>
      <c r="D142" s="55" t="n"/>
      <c r="E142" s="55" t="n"/>
      <c r="F142" s="58" t="n"/>
      <c r="G142" s="58" t="n"/>
    </row>
    <row r="143">
      <c r="A143" s="54" t="n"/>
      <c r="B143" s="61" t="n"/>
      <c r="C143" s="55" t="n"/>
      <c r="D143" s="55" t="n"/>
      <c r="E143" s="55" t="n"/>
      <c r="F143" s="58" t="n"/>
      <c r="G143" s="58" t="n"/>
    </row>
    <row r="144">
      <c r="A144" s="54" t="n"/>
      <c r="B144" s="61" t="n"/>
      <c r="C144" s="55" t="n"/>
      <c r="D144" s="55" t="n"/>
      <c r="E144" s="55" t="n"/>
      <c r="F144" s="58" t="n"/>
      <c r="G144" s="58" t="n"/>
    </row>
    <row r="145">
      <c r="A145" s="54" t="n"/>
      <c r="B145" s="61" t="n"/>
      <c r="C145" s="55" t="n"/>
      <c r="D145" s="55" t="n"/>
      <c r="E145" s="55" t="n"/>
      <c r="F145" s="58" t="n"/>
      <c r="G145" s="58" t="n"/>
    </row>
    <row r="146">
      <c r="A146" s="54" t="n"/>
      <c r="B146" s="61" t="n"/>
      <c r="C146" s="55" t="n"/>
      <c r="D146" s="55" t="n"/>
      <c r="E146" s="55" t="n"/>
      <c r="F146" s="58" t="n"/>
      <c r="G146" s="58" t="n"/>
    </row>
    <row r="147">
      <c r="A147" s="54" t="n"/>
      <c r="B147" s="61" t="n"/>
      <c r="C147" s="55" t="n"/>
      <c r="D147" s="55" t="n"/>
      <c r="E147" s="55" t="n"/>
      <c r="F147" s="58" t="n"/>
      <c r="G147" s="58" t="n"/>
    </row>
    <row r="148">
      <c r="A148" s="54" t="n"/>
      <c r="B148" s="61" t="n"/>
      <c r="C148" s="55" t="n"/>
      <c r="D148" s="55" t="n"/>
      <c r="E148" s="55" t="n"/>
      <c r="F148" s="58" t="n"/>
      <c r="G148" s="58" t="n"/>
    </row>
    <row r="149">
      <c r="A149" s="54" t="n"/>
      <c r="B149" s="61" t="n"/>
      <c r="C149" s="55" t="n"/>
      <c r="D149" s="55" t="n"/>
      <c r="E149" s="55" t="n"/>
      <c r="F149" s="58" t="n"/>
      <c r="G149" s="58" t="n"/>
    </row>
    <row r="150">
      <c r="A150" s="54" t="n"/>
      <c r="B150" s="61" t="n"/>
      <c r="C150" s="55" t="n"/>
      <c r="D150" s="55" t="n"/>
      <c r="E150" s="55" t="n"/>
      <c r="F150" s="58" t="n"/>
      <c r="G150" s="58" t="n"/>
    </row>
    <row r="151">
      <c r="A151" s="54" t="n"/>
      <c r="B151" s="61" t="n"/>
      <c r="C151" s="55" t="n"/>
      <c r="D151" s="55" t="n"/>
      <c r="E151" s="55" t="n"/>
      <c r="F151" s="58" t="n"/>
      <c r="G151" s="58" t="n"/>
    </row>
    <row r="152">
      <c r="A152" s="54" t="n"/>
      <c r="B152" s="61" t="n"/>
      <c r="C152" s="55" t="n"/>
      <c r="D152" s="55" t="n"/>
      <c r="E152" s="55" t="n"/>
      <c r="F152" s="58" t="n"/>
      <c r="G152" s="58" t="n"/>
    </row>
    <row r="153">
      <c r="A153" s="54" t="n"/>
      <c r="B153" s="61" t="n"/>
      <c r="C153" s="55" t="n"/>
      <c r="D153" s="55" t="n"/>
      <c r="E153" s="55" t="n"/>
      <c r="F153" s="58" t="n"/>
      <c r="G153" s="58" t="n"/>
    </row>
    <row r="154">
      <c r="A154" s="54" t="n"/>
      <c r="B154" s="61" t="n"/>
      <c r="C154" s="55" t="n"/>
      <c r="D154" s="55" t="n"/>
      <c r="E154" s="55" t="n"/>
      <c r="F154" s="58" t="n"/>
      <c r="G154" s="58" t="n"/>
    </row>
    <row r="155">
      <c r="A155" s="54" t="n"/>
      <c r="B155" s="61" t="n"/>
      <c r="C155" s="55" t="n"/>
      <c r="D155" s="55" t="n"/>
      <c r="E155" s="55" t="n"/>
      <c r="F155" s="58" t="n"/>
      <c r="G155" s="58" t="n"/>
    </row>
    <row r="156">
      <c r="A156" s="54" t="n"/>
      <c r="B156" s="61" t="n"/>
      <c r="C156" s="55" t="n"/>
      <c r="D156" s="55" t="n"/>
      <c r="E156" s="55" t="n"/>
      <c r="F156" s="58" t="n"/>
      <c r="G156" s="58" t="n"/>
    </row>
    <row r="157">
      <c r="A157" s="54" t="n"/>
      <c r="B157" s="61" t="n"/>
      <c r="C157" s="55" t="n"/>
      <c r="D157" s="55" t="n"/>
      <c r="E157" s="55" t="n"/>
      <c r="F157" s="58" t="n"/>
      <c r="G157" s="58" t="n"/>
    </row>
    <row r="158">
      <c r="A158" s="54" t="n"/>
      <c r="B158" s="61" t="n"/>
      <c r="C158" s="55" t="n"/>
      <c r="D158" s="55" t="n"/>
      <c r="E158" s="55" t="n"/>
      <c r="F158" s="58" t="n"/>
      <c r="G158" s="58" t="n"/>
    </row>
    <row r="159">
      <c r="A159" s="54" t="n"/>
      <c r="B159" s="61" t="n"/>
      <c r="C159" s="55" t="n"/>
      <c r="D159" s="55" t="n"/>
      <c r="E159" s="55" t="n"/>
      <c r="F159" s="58" t="n"/>
      <c r="G159" s="58" t="n"/>
    </row>
    <row r="160">
      <c r="A160" s="54" t="n"/>
      <c r="B160" s="61" t="n"/>
      <c r="C160" s="55" t="n"/>
      <c r="D160" s="55" t="n"/>
      <c r="E160" s="55" t="n"/>
      <c r="F160" s="58" t="n"/>
      <c r="G160" s="58" t="n"/>
    </row>
    <row r="161">
      <c r="A161" s="54" t="n"/>
      <c r="B161" s="61" t="n"/>
      <c r="C161" s="55" t="n"/>
      <c r="D161" s="55" t="n"/>
      <c r="E161" s="55" t="n"/>
      <c r="F161" s="58" t="n"/>
      <c r="G161" s="58" t="n"/>
    </row>
    <row r="162">
      <c r="A162" s="54" t="n"/>
      <c r="B162" s="61" t="n"/>
      <c r="C162" s="55" t="n"/>
      <c r="D162" s="55" t="n"/>
      <c r="E162" s="55" t="n"/>
      <c r="F162" s="58" t="n"/>
      <c r="G162" s="58" t="n"/>
    </row>
    <row r="163">
      <c r="A163" s="54" t="n"/>
      <c r="B163" s="61" t="n"/>
      <c r="C163" s="55" t="n"/>
      <c r="D163" s="55" t="n"/>
      <c r="E163" s="55" t="n"/>
      <c r="F163" s="58" t="n"/>
      <c r="G163" s="58" t="n"/>
    </row>
    <row r="164">
      <c r="A164" s="54" t="n"/>
      <c r="B164" s="61" t="n"/>
      <c r="C164" s="55" t="n"/>
      <c r="D164" s="55" t="n"/>
      <c r="E164" s="55" t="n"/>
      <c r="F164" s="58" t="n"/>
      <c r="G164" s="58" t="n"/>
    </row>
    <row r="165">
      <c r="A165" s="54" t="n"/>
      <c r="B165" s="61" t="n"/>
      <c r="C165" s="55" t="n"/>
      <c r="D165" s="55" t="n"/>
      <c r="E165" s="55" t="n"/>
      <c r="F165" s="58" t="n"/>
      <c r="G165" s="58" t="n"/>
    </row>
    <row r="166">
      <c r="A166" s="54" t="n"/>
      <c r="B166" s="61" t="n"/>
      <c r="C166" s="55" t="n"/>
      <c r="D166" s="55" t="n"/>
      <c r="E166" s="55" t="n"/>
      <c r="F166" s="58" t="n"/>
      <c r="G166" s="58" t="n"/>
    </row>
    <row r="167">
      <c r="A167" s="54" t="n"/>
      <c r="B167" s="61" t="n"/>
      <c r="C167" s="55" t="n"/>
      <c r="D167" s="55" t="n"/>
      <c r="E167" s="55" t="n"/>
      <c r="F167" s="58" t="n"/>
      <c r="G167" s="58" t="n"/>
    </row>
    <row r="168">
      <c r="A168" s="54" t="n"/>
      <c r="B168" s="61" t="n"/>
      <c r="C168" s="55" t="n"/>
      <c r="D168" s="55" t="n"/>
      <c r="E168" s="55" t="n"/>
      <c r="F168" s="58" t="n"/>
      <c r="G168" s="58" t="n"/>
    </row>
    <row r="169">
      <c r="A169" s="54" t="n"/>
      <c r="B169" s="61" t="n"/>
      <c r="C169" s="55" t="n"/>
      <c r="D169" s="55" t="n"/>
      <c r="E169" s="55" t="n"/>
      <c r="F169" s="58" t="n"/>
      <c r="G169" s="58" t="n"/>
    </row>
    <row r="170">
      <c r="A170" s="54" t="n"/>
      <c r="B170" s="61" t="n"/>
      <c r="C170" s="55" t="n"/>
      <c r="D170" s="55" t="n"/>
      <c r="E170" s="55" t="n"/>
      <c r="F170" s="58" t="n"/>
      <c r="G170" s="58" t="n"/>
    </row>
    <row r="171">
      <c r="A171" s="54" t="n"/>
      <c r="B171" s="61" t="n"/>
      <c r="C171" s="55" t="n"/>
      <c r="D171" s="55" t="n"/>
      <c r="E171" s="55" t="n"/>
      <c r="F171" s="58" t="n"/>
      <c r="G171" s="58" t="n"/>
    </row>
    <row r="172">
      <c r="A172" s="54" t="n"/>
      <c r="B172" s="61" t="n"/>
      <c r="C172" s="55" t="n"/>
      <c r="D172" s="55" t="n"/>
      <c r="E172" s="55" t="n"/>
      <c r="F172" s="58" t="n"/>
      <c r="G172" s="58" t="n"/>
    </row>
    <row r="173">
      <c r="A173" s="54" t="n"/>
      <c r="B173" s="61" t="n"/>
      <c r="C173" s="55" t="n"/>
      <c r="D173" s="55" t="n"/>
      <c r="E173" s="55" t="n"/>
      <c r="F173" s="58" t="n"/>
      <c r="G173" s="58" t="n"/>
    </row>
    <row r="174">
      <c r="A174" s="54" t="n"/>
      <c r="B174" s="61" t="n"/>
      <c r="C174" s="55" t="n"/>
      <c r="D174" s="55" t="n"/>
      <c r="E174" s="55" t="n"/>
      <c r="F174" s="58" t="n"/>
      <c r="G174" s="58" t="n"/>
    </row>
    <row r="175">
      <c r="A175" s="54" t="n"/>
      <c r="B175" s="61" t="n"/>
      <c r="C175" s="55" t="n"/>
      <c r="D175" s="55" t="n"/>
      <c r="E175" s="55" t="n"/>
      <c r="F175" s="58" t="n"/>
      <c r="G175" s="58" t="n"/>
    </row>
    <row r="176">
      <c r="A176" s="54" t="n"/>
      <c r="B176" s="61" t="n"/>
      <c r="C176" s="55" t="n"/>
      <c r="D176" s="55" t="n"/>
      <c r="E176" s="55" t="n"/>
      <c r="F176" s="58" t="n"/>
      <c r="G176" s="58" t="n"/>
    </row>
    <row r="177">
      <c r="A177" s="54" t="n"/>
      <c r="B177" s="61" t="n"/>
      <c r="C177" s="55" t="n"/>
      <c r="D177" s="55" t="n"/>
      <c r="E177" s="55" t="n"/>
      <c r="F177" s="58" t="n"/>
      <c r="G177" s="58" t="n"/>
    </row>
    <row r="178">
      <c r="A178" s="54" t="n"/>
      <c r="B178" s="61" t="n"/>
      <c r="C178" s="55" t="n"/>
      <c r="D178" s="55" t="n"/>
      <c r="E178" s="55" t="n"/>
      <c r="F178" s="58" t="n"/>
      <c r="G178" s="58" t="n"/>
    </row>
    <row r="179">
      <c r="A179" s="54" t="n"/>
      <c r="B179" s="61" t="n"/>
      <c r="C179" s="55" t="n"/>
      <c r="D179" s="55" t="n"/>
      <c r="E179" s="55" t="n"/>
      <c r="F179" s="58" t="n"/>
      <c r="G179" s="58" t="n"/>
    </row>
    <row r="180">
      <c r="A180" s="54" t="n"/>
      <c r="B180" s="61" t="n"/>
      <c r="C180" s="55" t="n"/>
      <c r="D180" s="55" t="n"/>
      <c r="E180" s="55" t="n"/>
      <c r="F180" s="58" t="n"/>
      <c r="G180" s="58" t="n"/>
    </row>
    <row r="181">
      <c r="A181" s="54" t="n"/>
      <c r="B181" s="61" t="n"/>
      <c r="C181" s="55" t="n"/>
      <c r="D181" s="55" t="n"/>
      <c r="E181" s="55" t="n"/>
      <c r="F181" s="58" t="n"/>
      <c r="G181" s="58" t="n"/>
    </row>
    <row r="182">
      <c r="A182" s="54" t="n"/>
      <c r="B182" s="61" t="n"/>
      <c r="C182" s="55" t="n"/>
      <c r="D182" s="55" t="n"/>
      <c r="E182" s="55" t="n"/>
      <c r="F182" s="58" t="n"/>
      <c r="G182" s="58" t="n"/>
    </row>
    <row r="183">
      <c r="A183" s="54" t="n"/>
      <c r="B183" s="61" t="n"/>
      <c r="C183" s="55" t="n"/>
      <c r="D183" s="55" t="n"/>
      <c r="E183" s="55" t="n"/>
      <c r="F183" s="58" t="n"/>
      <c r="G183" s="58" t="n"/>
    </row>
    <row r="184">
      <c r="A184" s="54" t="n"/>
      <c r="B184" s="61" t="n"/>
      <c r="C184" s="55" t="n"/>
      <c r="D184" s="55" t="n"/>
      <c r="E184" s="55" t="n"/>
      <c r="F184" s="58" t="n"/>
      <c r="G184" s="58" t="n"/>
    </row>
    <row r="185">
      <c r="A185" s="54" t="n"/>
      <c r="B185" s="61" t="n"/>
      <c r="C185" s="55" t="n"/>
      <c r="D185" s="55" t="n"/>
      <c r="E185" s="55" t="n"/>
      <c r="F185" s="58" t="n"/>
      <c r="G185" s="58" t="n"/>
    </row>
    <row r="186">
      <c r="A186" s="54" t="n"/>
      <c r="B186" s="61" t="n"/>
      <c r="C186" s="55" t="n"/>
      <c r="D186" s="55" t="n"/>
      <c r="E186" s="55" t="n"/>
      <c r="F186" s="58" t="n"/>
      <c r="G186" s="58" t="n"/>
    </row>
    <row r="187">
      <c r="A187" s="54" t="n"/>
      <c r="B187" s="61" t="n"/>
      <c r="C187" s="55" t="n"/>
      <c r="D187" s="55" t="n"/>
      <c r="E187" s="55" t="n"/>
      <c r="F187" s="58" t="n"/>
      <c r="G187" s="58" t="n"/>
    </row>
    <row r="188">
      <c r="A188" s="54" t="n"/>
      <c r="B188" s="61" t="n"/>
      <c r="C188" s="55" t="n"/>
      <c r="D188" s="55" t="n"/>
      <c r="E188" s="55" t="n"/>
      <c r="F188" s="58" t="n"/>
      <c r="G188" s="58" t="n"/>
    </row>
    <row r="189">
      <c r="A189" s="54" t="n"/>
      <c r="B189" s="61" t="n"/>
      <c r="C189" s="55" t="n"/>
      <c r="D189" s="55" t="n"/>
      <c r="E189" s="55" t="n"/>
      <c r="F189" s="58" t="n"/>
      <c r="G189" s="58" t="n"/>
    </row>
    <row r="190">
      <c r="A190" s="54" t="n"/>
      <c r="B190" s="61" t="n"/>
      <c r="C190" s="55" t="n"/>
      <c r="D190" s="55" t="n"/>
      <c r="E190" s="55" t="n"/>
      <c r="F190" s="58" t="n"/>
      <c r="G190" s="58" t="n"/>
    </row>
    <row r="191">
      <c r="A191" s="54" t="n"/>
      <c r="B191" s="61" t="n"/>
      <c r="C191" s="55" t="n"/>
      <c r="D191" s="55" t="n"/>
      <c r="E191" s="55" t="n"/>
      <c r="F191" s="58" t="n"/>
      <c r="G191" s="58" t="n"/>
    </row>
    <row r="192">
      <c r="A192" s="54" t="n"/>
      <c r="B192" s="61" t="n"/>
      <c r="C192" s="55" t="n"/>
      <c r="D192" s="55" t="n"/>
      <c r="E192" s="55" t="n"/>
      <c r="F192" s="58" t="n"/>
      <c r="G192" s="58" t="n"/>
    </row>
    <row r="193">
      <c r="A193" s="54" t="n"/>
      <c r="B193" s="61" t="n"/>
      <c r="C193" s="55" t="n"/>
      <c r="D193" s="55" t="n"/>
      <c r="E193" s="55" t="n"/>
      <c r="F193" s="58" t="n"/>
      <c r="G193" s="58" t="n"/>
    </row>
    <row r="194">
      <c r="A194" s="54" t="n"/>
      <c r="B194" s="61" t="n"/>
      <c r="C194" s="55" t="n"/>
      <c r="D194" s="55" t="n"/>
      <c r="E194" s="55" t="n"/>
      <c r="F194" s="58" t="n"/>
      <c r="G194" s="58" t="n"/>
    </row>
    <row r="195">
      <c r="A195" s="54" t="n"/>
      <c r="B195" s="61" t="n"/>
      <c r="C195" s="55" t="n"/>
      <c r="D195" s="55" t="n"/>
      <c r="E195" s="55" t="n"/>
      <c r="F195" s="58" t="n"/>
      <c r="G195" s="58" t="n"/>
    </row>
    <row r="196">
      <c r="A196" s="54" t="n"/>
      <c r="B196" s="61" t="n"/>
      <c r="C196" s="55" t="n"/>
      <c r="D196" s="55" t="n"/>
      <c r="E196" s="55" t="n"/>
      <c r="F196" s="58" t="n"/>
      <c r="G196" s="58" t="n"/>
    </row>
    <row r="197">
      <c r="A197" s="54" t="n"/>
      <c r="B197" s="61" t="n"/>
      <c r="C197" s="55" t="n"/>
      <c r="D197" s="55" t="n"/>
      <c r="E197" s="55" t="n"/>
      <c r="F197" s="58" t="n"/>
      <c r="G197" s="58" t="n"/>
    </row>
    <row r="198">
      <c r="A198" s="54" t="n"/>
      <c r="B198" s="61" t="n"/>
      <c r="C198" s="55" t="n"/>
      <c r="D198" s="55" t="n"/>
      <c r="E198" s="55" t="n"/>
      <c r="F198" s="58" t="n"/>
      <c r="G198" s="58" t="n"/>
    </row>
    <row r="199">
      <c r="A199" s="54" t="n"/>
      <c r="B199" s="61" t="n"/>
      <c r="C199" s="55" t="n"/>
      <c r="D199" s="55" t="n"/>
      <c r="E199" s="55" t="n"/>
      <c r="F199" s="58" t="n"/>
      <c r="G199" s="58" t="n"/>
    </row>
    <row r="200">
      <c r="A200" s="54" t="n"/>
      <c r="B200" s="61" t="n"/>
      <c r="C200" s="55" t="n"/>
      <c r="D200" s="55" t="n"/>
      <c r="E200" s="55" t="n"/>
      <c r="F200" s="58" t="n"/>
      <c r="G200" s="58" t="n"/>
    </row>
    <row r="201">
      <c r="A201" s="54" t="n"/>
      <c r="B201" s="61" t="n"/>
      <c r="C201" s="55" t="n"/>
      <c r="D201" s="55" t="n"/>
      <c r="E201" s="55" t="n"/>
      <c r="F201" s="58" t="n"/>
      <c r="G201" s="58" t="n"/>
    </row>
    <row r="202">
      <c r="A202" s="54" t="n"/>
      <c r="B202" s="61" t="n"/>
      <c r="C202" s="55" t="n"/>
      <c r="D202" s="55" t="n"/>
      <c r="E202" s="55" t="n"/>
      <c r="F202" s="58" t="n"/>
      <c r="G202" s="58" t="n"/>
    </row>
    <row r="203">
      <c r="A203" s="54" t="n"/>
      <c r="B203" s="61" t="n"/>
      <c r="C203" s="55" t="n"/>
      <c r="D203" s="55" t="n"/>
      <c r="E203" s="55" t="n"/>
      <c r="F203" s="58" t="n"/>
      <c r="G203" s="58" t="n"/>
    </row>
    <row r="204">
      <c r="A204" s="54" t="n"/>
      <c r="B204" s="61" t="n"/>
      <c r="C204" s="55" t="n"/>
      <c r="D204" s="55" t="n"/>
      <c r="E204" s="55" t="n"/>
      <c r="F204" s="58" t="n"/>
      <c r="G204" s="58" t="n"/>
    </row>
    <row r="205">
      <c r="A205" s="54" t="n"/>
      <c r="B205" s="61" t="n"/>
      <c r="C205" s="55" t="n"/>
      <c r="D205" s="55" t="n"/>
      <c r="E205" s="55" t="n"/>
      <c r="F205" s="58" t="n"/>
      <c r="G205" s="58" t="n"/>
    </row>
    <row r="206">
      <c r="A206" s="54" t="n"/>
      <c r="B206" s="61" t="n"/>
      <c r="C206" s="55" t="n"/>
      <c r="D206" s="55" t="n"/>
      <c r="E206" s="55" t="n"/>
      <c r="F206" s="58" t="n"/>
      <c r="G206" s="58" t="n"/>
    </row>
    <row r="207">
      <c r="A207" s="54" t="n"/>
      <c r="B207" s="61" t="n"/>
      <c r="C207" s="55" t="n"/>
      <c r="D207" s="55" t="n"/>
      <c r="E207" s="55" t="n"/>
      <c r="F207" s="58" t="n"/>
      <c r="G207" s="58" t="n"/>
    </row>
    <row r="208">
      <c r="A208" s="54" t="n"/>
      <c r="B208" s="61" t="n"/>
      <c r="C208" s="55" t="n"/>
      <c r="D208" s="55" t="n"/>
      <c r="E208" s="55" t="n"/>
      <c r="F208" s="58" t="n"/>
      <c r="G208" s="58" t="n"/>
    </row>
    <row r="209">
      <c r="A209" s="54" t="n"/>
      <c r="B209" s="61" t="n"/>
      <c r="C209" s="55" t="n"/>
      <c r="D209" s="55" t="n"/>
      <c r="E209" s="55" t="n"/>
      <c r="F209" s="58" t="n"/>
      <c r="G209" s="58" t="n"/>
    </row>
    <row r="210">
      <c r="A210" s="54" t="n"/>
      <c r="B210" s="61" t="n"/>
      <c r="C210" s="55" t="n"/>
      <c r="D210" s="55" t="n"/>
      <c r="E210" s="55" t="n"/>
      <c r="F210" s="58" t="n"/>
      <c r="G210" s="58" t="n"/>
    </row>
    <row r="211">
      <c r="A211" s="54" t="n"/>
      <c r="B211" s="61" t="n"/>
      <c r="C211" s="55" t="n"/>
      <c r="D211" s="55" t="n"/>
      <c r="E211" s="55" t="n"/>
      <c r="F211" s="58" t="n"/>
      <c r="G211" s="58" t="n"/>
    </row>
    <row r="212">
      <c r="A212" s="54" t="n"/>
      <c r="B212" s="61" t="n"/>
      <c r="C212" s="55" t="n"/>
      <c r="D212" s="55" t="n"/>
      <c r="E212" s="55" t="n"/>
      <c r="F212" s="58" t="n"/>
      <c r="G212" s="58" t="n"/>
    </row>
    <row r="213">
      <c r="A213" s="54" t="n"/>
      <c r="B213" s="61" t="n"/>
      <c r="C213" s="55" t="n"/>
      <c r="D213" s="55" t="n"/>
      <c r="E213" s="55" t="n"/>
      <c r="F213" s="58" t="n"/>
      <c r="G213" s="58" t="n"/>
    </row>
    <row r="214">
      <c r="A214" s="54" t="n"/>
      <c r="B214" s="61" t="n"/>
      <c r="C214" s="55" t="n"/>
      <c r="D214" s="55" t="n"/>
      <c r="E214" s="55" t="n"/>
      <c r="F214" s="58" t="n"/>
      <c r="G214" s="58" t="n"/>
    </row>
    <row r="215">
      <c r="A215" s="54" t="n"/>
      <c r="B215" s="61" t="n"/>
      <c r="C215" s="55" t="n"/>
      <c r="D215" s="55" t="n"/>
      <c r="E215" s="55" t="n"/>
      <c r="F215" s="58" t="n"/>
      <c r="G215" s="58" t="n"/>
    </row>
    <row r="216">
      <c r="A216" s="54" t="n"/>
      <c r="B216" s="61" t="n"/>
      <c r="C216" s="55" t="n"/>
      <c r="D216" s="55" t="n"/>
      <c r="E216" s="55" t="n"/>
      <c r="F216" s="58" t="n"/>
      <c r="G216" s="58" t="n"/>
    </row>
    <row r="217">
      <c r="A217" s="54" t="n"/>
      <c r="B217" s="61" t="n"/>
      <c r="C217" s="55" t="n"/>
      <c r="D217" s="55" t="n"/>
      <c r="E217" s="55" t="n"/>
      <c r="F217" s="58" t="n"/>
      <c r="G217" s="58" t="n"/>
    </row>
    <row r="218">
      <c r="A218" s="54" t="n"/>
      <c r="B218" s="61" t="n"/>
      <c r="C218" s="55" t="n"/>
      <c r="D218" s="55" t="n"/>
      <c r="E218" s="55" t="n"/>
      <c r="F218" s="58" t="n"/>
      <c r="G218" s="58" t="n"/>
    </row>
    <row r="219">
      <c r="A219" s="54" t="n"/>
      <c r="B219" s="61" t="n"/>
      <c r="C219" s="55" t="n"/>
      <c r="D219" s="55" t="n"/>
      <c r="E219" s="55" t="n"/>
      <c r="F219" s="58" t="n"/>
      <c r="G219" s="58" t="n"/>
    </row>
    <row r="220">
      <c r="A220" s="54" t="n"/>
      <c r="B220" s="61" t="n"/>
      <c r="C220" s="55" t="n"/>
      <c r="D220" s="55" t="n"/>
      <c r="E220" s="55" t="n"/>
      <c r="F220" s="58" t="n"/>
      <c r="G220" s="58" t="n"/>
    </row>
    <row r="221">
      <c r="A221" s="54" t="n"/>
      <c r="B221" s="61" t="n"/>
      <c r="C221" s="55" t="n"/>
      <c r="D221" s="55" t="n"/>
      <c r="E221" s="55" t="n"/>
      <c r="F221" s="58" t="n"/>
      <c r="G221" s="58" t="n"/>
    </row>
    <row r="222">
      <c r="A222" s="54" t="n"/>
      <c r="B222" s="61" t="n"/>
      <c r="C222" s="55" t="n"/>
      <c r="D222" s="55" t="n"/>
      <c r="E222" s="55" t="n"/>
      <c r="F222" s="58" t="n"/>
      <c r="G222" s="58" t="n"/>
    </row>
    <row r="223">
      <c r="A223" s="54" t="n"/>
      <c r="B223" s="61" t="n"/>
      <c r="C223" s="55" t="n"/>
      <c r="D223" s="55" t="n"/>
      <c r="E223" s="55" t="n"/>
      <c r="F223" s="58" t="n"/>
      <c r="G223" s="58" t="n"/>
    </row>
    <row r="224">
      <c r="A224" s="54" t="n"/>
      <c r="B224" s="61" t="n"/>
      <c r="C224" s="55" t="n"/>
      <c r="D224" s="55" t="n"/>
      <c r="E224" s="55" t="n"/>
      <c r="F224" s="58" t="n"/>
      <c r="G224" s="58" t="n"/>
    </row>
    <row r="225">
      <c r="A225" s="54" t="n"/>
      <c r="B225" s="61" t="n"/>
      <c r="C225" s="55" t="n"/>
      <c r="D225" s="55" t="n"/>
      <c r="E225" s="55" t="n"/>
      <c r="F225" s="58" t="n"/>
      <c r="G225" s="58" t="n"/>
    </row>
    <row r="226">
      <c r="A226" s="54" t="n"/>
      <c r="B226" s="61" t="n"/>
      <c r="C226" s="55" t="n"/>
      <c r="D226" s="55" t="n"/>
      <c r="E226" s="55" t="n"/>
      <c r="F226" s="58" t="n"/>
      <c r="G226" s="58" t="n"/>
    </row>
    <row r="227">
      <c r="A227" s="54" t="n"/>
      <c r="B227" s="61" t="n"/>
      <c r="C227" s="55" t="n"/>
      <c r="D227" s="55" t="n"/>
      <c r="E227" s="55" t="n"/>
      <c r="F227" s="58" t="n"/>
      <c r="G227" s="58" t="n"/>
    </row>
    <row r="228">
      <c r="A228" s="54" t="n"/>
      <c r="B228" s="61" t="n"/>
      <c r="C228" s="55" t="n"/>
      <c r="D228" s="55" t="n"/>
      <c r="E228" s="55" t="n"/>
      <c r="F228" s="58" t="n"/>
      <c r="G228" s="58" t="n"/>
    </row>
    <row r="229">
      <c r="A229" s="54" t="n"/>
      <c r="B229" s="61" t="n"/>
      <c r="C229" s="55" t="n"/>
      <c r="D229" s="55" t="n"/>
      <c r="E229" s="55" t="n"/>
      <c r="F229" s="58" t="n"/>
      <c r="G229" s="58" t="n"/>
    </row>
    <row r="230">
      <c r="A230" s="54" t="n"/>
      <c r="B230" s="61" t="n"/>
      <c r="C230" s="55" t="n"/>
      <c r="D230" s="55" t="n"/>
      <c r="E230" s="55" t="n"/>
      <c r="F230" s="58" t="n"/>
      <c r="G230" s="58" t="n"/>
    </row>
    <row r="231">
      <c r="A231" s="54" t="n"/>
      <c r="B231" s="61" t="n"/>
      <c r="C231" s="55" t="n"/>
      <c r="D231" s="55" t="n"/>
      <c r="E231" s="55" t="n"/>
      <c r="F231" s="58" t="n"/>
      <c r="G231" s="58" t="n"/>
    </row>
    <row r="232">
      <c r="A232" s="54" t="n"/>
      <c r="B232" s="61" t="n"/>
      <c r="C232" s="55" t="n"/>
      <c r="D232" s="55" t="n"/>
      <c r="E232" s="55" t="n"/>
      <c r="F232" s="58" t="n"/>
      <c r="G232" s="58" t="n"/>
    </row>
    <row r="233">
      <c r="A233" s="54" t="n"/>
      <c r="B233" s="61" t="n"/>
      <c r="C233" s="55" t="n"/>
      <c r="D233" s="55" t="n"/>
      <c r="E233" s="55" t="n"/>
      <c r="F233" s="58" t="n"/>
      <c r="G233" s="58" t="n"/>
    </row>
    <row r="234">
      <c r="A234" s="54" t="n"/>
      <c r="B234" s="61" t="n"/>
      <c r="C234" s="55" t="n"/>
      <c r="D234" s="55" t="n"/>
      <c r="E234" s="55" t="n"/>
      <c r="F234" s="58" t="n"/>
      <c r="G234" s="58" t="n"/>
    </row>
    <row r="235">
      <c r="A235" s="54" t="n"/>
      <c r="B235" s="61" t="n"/>
      <c r="C235" s="55" t="n"/>
      <c r="D235" s="55" t="n"/>
      <c r="E235" s="55" t="n"/>
      <c r="F235" s="58" t="n"/>
      <c r="G235" s="58" t="n"/>
    </row>
    <row r="236">
      <c r="A236" s="54" t="n"/>
      <c r="B236" s="61" t="n"/>
      <c r="C236" s="55" t="n"/>
      <c r="D236" s="55" t="n"/>
      <c r="E236" s="55" t="n"/>
      <c r="F236" s="58" t="n"/>
      <c r="G236" s="58" t="n"/>
    </row>
    <row r="237">
      <c r="A237" s="54" t="n"/>
      <c r="B237" s="61" t="n"/>
      <c r="C237" s="55" t="n"/>
      <c r="D237" s="55" t="n"/>
      <c r="E237" s="55" t="n"/>
      <c r="F237" s="58" t="n"/>
      <c r="G237" s="58" t="n"/>
    </row>
    <row r="238">
      <c r="A238" s="54" t="n"/>
      <c r="B238" s="61" t="n"/>
      <c r="C238" s="55" t="n"/>
      <c r="D238" s="55" t="n"/>
      <c r="E238" s="55" t="n"/>
      <c r="F238" s="58" t="n"/>
      <c r="G238" s="58" t="n"/>
    </row>
    <row r="239">
      <c r="A239" s="54" t="n"/>
      <c r="B239" s="61" t="n"/>
      <c r="C239" s="55" t="n"/>
      <c r="D239" s="55" t="n"/>
      <c r="E239" s="55" t="n"/>
      <c r="F239" s="58" t="n"/>
      <c r="G239" s="58" t="n"/>
    </row>
    <row r="240">
      <c r="A240" s="54" t="n"/>
      <c r="B240" s="61" t="n"/>
      <c r="C240" s="55" t="n"/>
      <c r="D240" s="55" t="n"/>
      <c r="E240" s="55" t="n"/>
      <c r="F240" s="58" t="n"/>
      <c r="G240" s="58" t="n"/>
    </row>
    <row r="241">
      <c r="A241" s="54" t="n"/>
      <c r="B241" s="61" t="n"/>
      <c r="C241" s="55" t="n"/>
      <c r="D241" s="55" t="n"/>
      <c r="E241" s="55" t="n"/>
      <c r="F241" s="58" t="n"/>
      <c r="G241" s="58" t="n"/>
    </row>
    <row r="242">
      <c r="A242" s="54" t="n"/>
      <c r="B242" s="61" t="n"/>
      <c r="C242" s="55" t="n"/>
      <c r="D242" s="55" t="n"/>
      <c r="E242" s="55" t="n"/>
      <c r="F242" s="58" t="n"/>
      <c r="G242" s="58" t="n"/>
    </row>
    <row r="243">
      <c r="A243" s="54" t="n"/>
      <c r="B243" s="61" t="n"/>
      <c r="C243" s="55" t="n"/>
      <c r="D243" s="55" t="n"/>
      <c r="E243" s="55" t="n"/>
      <c r="F243" s="58" t="n"/>
      <c r="G243" s="58" t="n"/>
    </row>
    <row r="244">
      <c r="A244" s="54" t="n"/>
      <c r="B244" s="61" t="n"/>
      <c r="C244" s="55" t="n"/>
      <c r="D244" s="55" t="n"/>
      <c r="E244" s="55" t="n"/>
      <c r="F244" s="58" t="n"/>
      <c r="G244" s="58" t="n"/>
    </row>
    <row r="245">
      <c r="A245" s="54" t="n"/>
      <c r="B245" s="61" t="n"/>
      <c r="C245" s="55" t="n"/>
      <c r="D245" s="55" t="n"/>
      <c r="E245" s="55" t="n"/>
      <c r="F245" s="58" t="n"/>
      <c r="G245" s="58" t="n"/>
    </row>
    <row r="246">
      <c r="A246" s="54" t="n"/>
      <c r="B246" s="61" t="n"/>
      <c r="C246" s="55" t="n"/>
      <c r="D246" s="55" t="n"/>
      <c r="E246" s="55" t="n"/>
      <c r="F246" s="58" t="n"/>
      <c r="G246" s="58" t="n"/>
    </row>
    <row r="247">
      <c r="A247" s="54" t="n"/>
      <c r="B247" s="61" t="n"/>
      <c r="C247" s="55" t="n"/>
      <c r="D247" s="55" t="n"/>
      <c r="E247" s="55" t="n"/>
      <c r="F247" s="58" t="n"/>
      <c r="G247" s="58" t="n"/>
    </row>
    <row r="248">
      <c r="A248" s="54" t="n"/>
      <c r="B248" s="61" t="n"/>
      <c r="C248" s="55" t="n"/>
      <c r="D248" s="55" t="n"/>
      <c r="E248" s="55" t="n"/>
      <c r="F248" s="58" t="n"/>
      <c r="G248" s="58" t="n"/>
    </row>
    <row r="249">
      <c r="A249" s="54" t="n"/>
      <c r="B249" s="61" t="n"/>
      <c r="C249" s="55" t="n"/>
      <c r="D249" s="55" t="n"/>
      <c r="E249" s="55" t="n"/>
      <c r="F249" s="58" t="n"/>
      <c r="G249" s="58" t="n"/>
    </row>
    <row r="250">
      <c r="A250" s="54" t="n"/>
      <c r="B250" s="61" t="n"/>
      <c r="C250" s="55" t="n"/>
      <c r="D250" s="55" t="n"/>
      <c r="E250" s="55" t="n"/>
      <c r="F250" s="58" t="n"/>
      <c r="G250" s="58" t="n"/>
    </row>
    <row r="251">
      <c r="A251" s="54" t="n"/>
      <c r="B251" s="61" t="n"/>
      <c r="C251" s="55" t="n"/>
      <c r="D251" s="55" t="n"/>
      <c r="E251" s="55" t="n"/>
      <c r="F251" s="58" t="n"/>
      <c r="G251" s="58" t="n"/>
    </row>
    <row r="252">
      <c r="A252" s="54" t="n"/>
      <c r="B252" s="61" t="n"/>
      <c r="C252" s="55" t="n"/>
      <c r="D252" s="55" t="n"/>
      <c r="E252" s="55" t="n"/>
      <c r="F252" s="58" t="n"/>
      <c r="G252" s="58" t="n"/>
    </row>
    <row r="253">
      <c r="A253" s="54" t="n"/>
      <c r="B253" s="61" t="n"/>
      <c r="C253" s="55" t="n"/>
      <c r="D253" s="55" t="n"/>
      <c r="E253" s="55" t="n"/>
      <c r="F253" s="58" t="n"/>
      <c r="G253" s="58" t="n"/>
    </row>
    <row r="254">
      <c r="A254" s="54" t="n"/>
      <c r="B254" s="61" t="n"/>
      <c r="C254" s="55" t="n"/>
      <c r="D254" s="55" t="n"/>
      <c r="E254" s="55" t="n"/>
      <c r="F254" s="58" t="n"/>
      <c r="G254" s="58" t="n"/>
    </row>
    <row r="255">
      <c r="A255" s="54" t="n"/>
      <c r="B255" s="61" t="n"/>
      <c r="C255" s="55" t="n"/>
      <c r="D255" s="55" t="n"/>
      <c r="E255" s="55" t="n"/>
      <c r="F255" s="58" t="n"/>
      <c r="G255" s="58" t="n"/>
    </row>
    <row r="256">
      <c r="A256" s="54" t="n"/>
      <c r="B256" s="61" t="n"/>
      <c r="C256" s="55" t="n"/>
      <c r="D256" s="55" t="n"/>
      <c r="E256" s="55" t="n"/>
      <c r="F256" s="58" t="n"/>
      <c r="G256" s="58" t="n"/>
    </row>
    <row r="257">
      <c r="A257" s="54" t="n"/>
      <c r="B257" s="61" t="n"/>
      <c r="C257" s="55" t="n"/>
      <c r="D257" s="55" t="n"/>
      <c r="E257" s="55" t="n"/>
      <c r="F257" s="58" t="n"/>
      <c r="G257" s="58" t="n"/>
    </row>
    <row r="258">
      <c r="A258" s="54" t="n"/>
      <c r="B258" s="61" t="n"/>
      <c r="C258" s="55" t="n"/>
      <c r="D258" s="55" t="n"/>
      <c r="E258" s="55" t="n"/>
      <c r="F258" s="58" t="n"/>
      <c r="G258" s="58" t="n"/>
    </row>
    <row r="259">
      <c r="A259" s="54" t="n"/>
      <c r="B259" s="61" t="n"/>
      <c r="C259" s="55" t="n"/>
      <c r="D259" s="55" t="n"/>
      <c r="E259" s="55" t="n"/>
      <c r="F259" s="58" t="n"/>
      <c r="G259" s="58" t="n"/>
    </row>
    <row r="260">
      <c r="A260" s="54" t="n"/>
      <c r="B260" s="61" t="n"/>
      <c r="C260" s="55" t="n"/>
      <c r="D260" s="55" t="n"/>
      <c r="E260" s="55" t="n"/>
      <c r="F260" s="58" t="n"/>
      <c r="G260" s="58" t="n"/>
    </row>
    <row r="261">
      <c r="A261" s="54" t="n"/>
      <c r="B261" s="61" t="n"/>
      <c r="C261" s="55" t="n"/>
      <c r="D261" s="55" t="n"/>
      <c r="E261" s="55" t="n"/>
      <c r="F261" s="58" t="n"/>
      <c r="G261" s="58" t="n"/>
    </row>
    <row r="262">
      <c r="A262" s="54" t="n"/>
      <c r="B262" s="61" t="n"/>
      <c r="C262" s="55" t="n"/>
      <c r="D262" s="55" t="n"/>
      <c r="E262" s="55" t="n"/>
      <c r="F262" s="58" t="n"/>
      <c r="G262" s="58" t="n"/>
    </row>
    <row r="263">
      <c r="A263" s="54" t="n"/>
      <c r="B263" s="61" t="n"/>
      <c r="C263" s="55" t="n"/>
      <c r="D263" s="55" t="n"/>
      <c r="E263" s="55" t="n"/>
      <c r="F263" s="58" t="n"/>
      <c r="G263" s="58" t="n"/>
    </row>
    <row r="264">
      <c r="A264" s="54" t="n"/>
      <c r="B264" s="61" t="n"/>
      <c r="C264" s="55" t="n"/>
      <c r="D264" s="55" t="n"/>
      <c r="E264" s="55" t="n"/>
      <c r="F264" s="58" t="n"/>
      <c r="G264" s="58" t="n"/>
    </row>
    <row r="265">
      <c r="A265" s="54" t="n"/>
      <c r="B265" s="61" t="n"/>
      <c r="C265" s="55" t="n"/>
      <c r="D265" s="55" t="n"/>
      <c r="E265" s="55" t="n"/>
      <c r="F265" s="58" t="n"/>
      <c r="G265" s="58" t="n"/>
    </row>
    <row r="266">
      <c r="A266" s="54" t="n"/>
      <c r="B266" s="61" t="n"/>
      <c r="C266" s="55" t="n"/>
      <c r="D266" s="55" t="n"/>
      <c r="E266" s="55" t="n"/>
      <c r="F266" s="58" t="n"/>
      <c r="G266" s="58" t="n"/>
    </row>
    <row r="267">
      <c r="A267" s="54" t="n"/>
      <c r="B267" s="61" t="n"/>
      <c r="C267" s="55" t="n"/>
      <c r="D267" s="55" t="n"/>
      <c r="E267" s="55" t="n"/>
      <c r="F267" s="58" t="n"/>
      <c r="G267" s="58" t="n"/>
    </row>
    <row r="268">
      <c r="A268" s="54" t="n"/>
      <c r="B268" s="61" t="n"/>
      <c r="C268" s="55" t="n"/>
      <c r="D268" s="55" t="n"/>
      <c r="E268" s="55" t="n"/>
      <c r="F268" s="58" t="n"/>
      <c r="G268" s="58" t="n"/>
    </row>
    <row r="269">
      <c r="A269" s="54" t="n"/>
      <c r="B269" s="61" t="n"/>
      <c r="C269" s="55" t="n"/>
      <c r="D269" s="55" t="n"/>
      <c r="E269" s="55" t="n"/>
      <c r="F269" s="58" t="n"/>
      <c r="G269" s="58" t="n"/>
    </row>
    <row r="270">
      <c r="A270" s="54" t="n"/>
      <c r="B270" s="61" t="n"/>
      <c r="C270" s="55" t="n"/>
      <c r="D270" s="55" t="n"/>
      <c r="E270" s="55" t="n"/>
      <c r="F270" s="58" t="n"/>
      <c r="G270" s="58" t="n"/>
    </row>
    <row r="271">
      <c r="A271" s="54" t="n"/>
      <c r="B271" s="61" t="n"/>
      <c r="C271" s="55" t="n"/>
      <c r="D271" s="55" t="n"/>
      <c r="E271" s="55" t="n"/>
      <c r="F271" s="58" t="n"/>
      <c r="G271" s="58" t="n"/>
    </row>
    <row r="272">
      <c r="A272" s="54" t="n"/>
      <c r="B272" s="61" t="n"/>
      <c r="C272" s="55" t="n"/>
      <c r="D272" s="55" t="n"/>
      <c r="E272" s="55" t="n"/>
      <c r="F272" s="58" t="n"/>
      <c r="G272" s="58" t="n"/>
    </row>
    <row r="273">
      <c r="A273" s="54" t="n"/>
      <c r="B273" s="61" t="n"/>
      <c r="C273" s="55" t="n"/>
      <c r="D273" s="55" t="n"/>
      <c r="E273" s="55" t="n"/>
      <c r="F273" s="58" t="n"/>
      <c r="G273" s="58" t="n"/>
    </row>
    <row r="274">
      <c r="A274" s="54" t="n"/>
      <c r="B274" s="61" t="n"/>
      <c r="C274" s="55" t="n"/>
      <c r="D274" s="55" t="n"/>
      <c r="E274" s="55" t="n"/>
      <c r="F274" s="58" t="n"/>
      <c r="G274" s="58" t="n"/>
    </row>
    <row r="275">
      <c r="A275" s="54" t="n"/>
      <c r="B275" s="61" t="n"/>
      <c r="C275" s="55" t="n"/>
      <c r="D275" s="55" t="n"/>
      <c r="E275" s="55" t="n"/>
      <c r="F275" s="58" t="n"/>
      <c r="G275" s="58" t="n"/>
    </row>
    <row r="276">
      <c r="A276" s="54" t="n"/>
      <c r="B276" s="61" t="n"/>
      <c r="C276" s="55" t="n"/>
      <c r="D276" s="55" t="n"/>
      <c r="E276" s="55" t="n"/>
      <c r="F276" s="58" t="n"/>
      <c r="G276" s="58" t="n"/>
    </row>
    <row r="277">
      <c r="A277" s="54" t="n"/>
      <c r="B277" s="61" t="n"/>
      <c r="C277" s="55" t="n"/>
      <c r="D277" s="55" t="n"/>
      <c r="E277" s="55" t="n"/>
      <c r="F277" s="58" t="n"/>
      <c r="G277" s="58" t="n"/>
    </row>
    <row r="278">
      <c r="A278" s="54" t="n"/>
      <c r="B278" s="61" t="n"/>
      <c r="C278" s="55" t="n"/>
      <c r="D278" s="55" t="n"/>
      <c r="E278" s="55" t="n"/>
      <c r="F278" s="58" t="n"/>
      <c r="G278" s="58" t="n"/>
    </row>
    <row r="279">
      <c r="A279" s="54" t="n"/>
      <c r="B279" s="61" t="n"/>
      <c r="C279" s="55" t="n"/>
      <c r="D279" s="55" t="n"/>
      <c r="E279" s="55" t="n"/>
      <c r="F279" s="58" t="n"/>
      <c r="G279" s="58" t="n"/>
    </row>
    <row r="280">
      <c r="A280" s="54" t="n"/>
      <c r="B280" s="61" t="n"/>
      <c r="C280" s="55" t="n"/>
      <c r="D280" s="55" t="n"/>
      <c r="E280" s="55" t="n"/>
      <c r="F280" s="58" t="n"/>
      <c r="G280" s="58" t="n"/>
    </row>
    <row r="281">
      <c r="A281" s="54" t="n"/>
      <c r="B281" s="61" t="n"/>
      <c r="C281" s="55" t="n"/>
      <c r="D281" s="55" t="n"/>
      <c r="E281" s="55" t="n"/>
      <c r="F281" s="58" t="n"/>
      <c r="G281" s="58" t="n"/>
    </row>
    <row r="282">
      <c r="A282" s="54" t="n"/>
      <c r="B282" s="61" t="n"/>
      <c r="C282" s="55" t="n"/>
      <c r="D282" s="55" t="n"/>
      <c r="E282" s="55" t="n"/>
      <c r="F282" s="58" t="n"/>
      <c r="G282" s="58" t="n"/>
    </row>
    <row r="283">
      <c r="A283" s="54" t="n"/>
      <c r="B283" s="61" t="n"/>
      <c r="C283" s="55" t="n"/>
      <c r="D283" s="55" t="n"/>
      <c r="E283" s="55" t="n"/>
      <c r="F283" s="58" t="n"/>
      <c r="G283" s="58" t="n"/>
    </row>
    <row r="284">
      <c r="A284" s="54" t="n"/>
      <c r="B284" s="61" t="n"/>
      <c r="C284" s="55" t="n"/>
      <c r="D284" s="55" t="n"/>
      <c r="E284" s="55" t="n"/>
      <c r="F284" s="58" t="n"/>
      <c r="G284" s="58" t="n"/>
    </row>
    <row r="285">
      <c r="A285" s="54" t="n"/>
      <c r="B285" s="61" t="n"/>
      <c r="C285" s="55" t="n"/>
      <c r="D285" s="55" t="n"/>
      <c r="E285" s="55" t="n"/>
      <c r="F285" s="58" t="n"/>
      <c r="G285" s="58" t="n"/>
    </row>
    <row r="286">
      <c r="A286" s="54" t="n"/>
      <c r="B286" s="61" t="n"/>
      <c r="C286" s="55" t="n"/>
      <c r="D286" s="55" t="n"/>
      <c r="E286" s="55" t="n"/>
      <c r="F286" s="58" t="n"/>
      <c r="G286" s="58" t="n"/>
    </row>
    <row r="287">
      <c r="A287" s="54" t="n"/>
      <c r="B287" s="61" t="n"/>
      <c r="C287" s="55" t="n"/>
      <c r="D287" s="55" t="n"/>
      <c r="E287" s="55" t="n"/>
      <c r="F287" s="58" t="n"/>
      <c r="G287" s="58" t="n"/>
    </row>
    <row r="288">
      <c r="A288" s="54" t="n"/>
      <c r="B288" s="61" t="n"/>
      <c r="C288" s="55" t="n"/>
      <c r="D288" s="55" t="n"/>
      <c r="E288" s="55" t="n"/>
      <c r="F288" s="58" t="n"/>
      <c r="G288" s="58" t="n"/>
    </row>
    <row r="289">
      <c r="A289" s="54" t="n"/>
      <c r="B289" s="61" t="n"/>
      <c r="C289" s="55" t="n"/>
      <c r="D289" s="55" t="n"/>
      <c r="E289" s="55" t="n"/>
      <c r="F289" s="58" t="n"/>
      <c r="G289" s="58" t="n"/>
    </row>
    <row r="290">
      <c r="A290" s="54" t="n"/>
      <c r="B290" s="61" t="n"/>
      <c r="C290" s="55" t="n"/>
      <c r="D290" s="55" t="n"/>
      <c r="E290" s="55" t="n"/>
      <c r="F290" s="58" t="n"/>
      <c r="G290" s="58" t="n"/>
    </row>
    <row r="291">
      <c r="A291" s="54" t="n"/>
      <c r="B291" s="61" t="n"/>
      <c r="C291" s="55" t="n"/>
      <c r="D291" s="55" t="n"/>
      <c r="E291" s="55" t="n"/>
      <c r="F291" s="58" t="n"/>
      <c r="G291" s="58" t="n"/>
    </row>
    <row r="292">
      <c r="A292" s="54" t="n"/>
      <c r="B292" s="61" t="n"/>
      <c r="C292" s="55" t="n"/>
      <c r="D292" s="55" t="n"/>
      <c r="E292" s="55" t="n"/>
      <c r="F292" s="58" t="n"/>
      <c r="G292" s="58" t="n"/>
    </row>
    <row r="293">
      <c r="A293" s="54" t="n"/>
      <c r="B293" s="61" t="n"/>
      <c r="C293" s="55" t="n"/>
      <c r="D293" s="55" t="n"/>
      <c r="E293" s="55" t="n"/>
      <c r="F293" s="58" t="n"/>
      <c r="G293" s="58" t="n"/>
    </row>
    <row r="294">
      <c r="A294" s="54" t="n"/>
      <c r="B294" s="61" t="n"/>
      <c r="C294" s="55" t="n"/>
      <c r="D294" s="55" t="n"/>
      <c r="E294" s="55" t="n"/>
      <c r="F294" s="58" t="n"/>
      <c r="G294" s="58" t="n"/>
    </row>
    <row r="295">
      <c r="A295" s="54" t="n"/>
      <c r="B295" s="61" t="n"/>
      <c r="C295" s="55" t="n"/>
      <c r="D295" s="55" t="n"/>
      <c r="E295" s="55" t="n"/>
      <c r="F295" s="58" t="n"/>
      <c r="G295" s="58" t="n"/>
    </row>
    <row r="296">
      <c r="A296" s="54" t="n"/>
      <c r="B296" s="61" t="n"/>
      <c r="C296" s="55" t="n"/>
      <c r="D296" s="55" t="n"/>
      <c r="E296" s="55" t="n"/>
      <c r="F296" s="58" t="n"/>
      <c r="G296" s="58" t="n"/>
    </row>
    <row r="297">
      <c r="A297" s="54" t="n"/>
      <c r="B297" s="61" t="n"/>
      <c r="C297" s="55" t="n"/>
      <c r="D297" s="55" t="n"/>
      <c r="E297" s="55" t="n"/>
      <c r="F297" s="58" t="n"/>
      <c r="G297" s="58" t="n"/>
    </row>
    <row r="298">
      <c r="A298" s="54" t="n"/>
      <c r="B298" s="61" t="n"/>
      <c r="C298" s="55" t="n"/>
      <c r="D298" s="55" t="n"/>
      <c r="E298" s="55" t="n"/>
      <c r="F298" s="58" t="n"/>
      <c r="G298" s="58" t="n"/>
    </row>
    <row r="299">
      <c r="A299" s="54" t="n"/>
      <c r="B299" s="61" t="n"/>
      <c r="C299" s="55" t="n"/>
      <c r="D299" s="55" t="n"/>
      <c r="E299" s="55" t="n"/>
      <c r="F299" s="58" t="n"/>
      <c r="G299" s="58" t="n"/>
    </row>
    <row r="300">
      <c r="A300" s="54" t="n"/>
      <c r="B300" s="61" t="n"/>
      <c r="C300" s="55" t="n"/>
      <c r="D300" s="55" t="n"/>
      <c r="E300" s="55" t="n"/>
      <c r="F300" s="58" t="n"/>
      <c r="G300" s="58" t="n"/>
    </row>
    <row r="301">
      <c r="A301" s="54" t="n"/>
      <c r="B301" s="61" t="n"/>
      <c r="C301" s="55" t="n"/>
      <c r="D301" s="55" t="n"/>
      <c r="E301" s="55" t="n"/>
      <c r="F301" s="58" t="n"/>
      <c r="G301" s="58" t="n"/>
    </row>
    <row r="302">
      <c r="A302" s="54" t="n"/>
      <c r="B302" s="61" t="n"/>
      <c r="C302" s="55" t="n"/>
      <c r="D302" s="55" t="n"/>
      <c r="E302" s="55" t="n"/>
      <c r="F302" s="58" t="n"/>
      <c r="G302" s="58" t="n"/>
    </row>
    <row r="303">
      <c r="A303" s="54" t="n"/>
      <c r="B303" s="61" t="n"/>
      <c r="C303" s="55" t="n"/>
      <c r="D303" s="55" t="n"/>
      <c r="E303" s="55" t="n"/>
      <c r="F303" s="58" t="n"/>
      <c r="G303" s="58" t="n"/>
    </row>
    <row r="304">
      <c r="A304" s="54" t="n"/>
      <c r="B304" s="61" t="n"/>
      <c r="C304" s="55" t="n"/>
      <c r="D304" s="55" t="n"/>
      <c r="E304" s="55" t="n"/>
      <c r="F304" s="58" t="n"/>
      <c r="G304" s="58" t="n"/>
    </row>
    <row r="305">
      <c r="A305" s="54" t="n"/>
      <c r="B305" s="61" t="n"/>
      <c r="C305" s="55" t="n"/>
      <c r="D305" s="55" t="n"/>
      <c r="E305" s="55" t="n"/>
      <c r="F305" s="58" t="n"/>
      <c r="G305" s="58" t="n"/>
    </row>
    <row r="306">
      <c r="A306" s="54" t="n"/>
      <c r="B306" s="61" t="n"/>
      <c r="C306" s="55" t="n"/>
      <c r="D306" s="55" t="n"/>
      <c r="E306" s="55" t="n"/>
      <c r="F306" s="58" t="n"/>
      <c r="G306" s="58" t="n"/>
    </row>
    <row r="307">
      <c r="A307" s="54" t="n"/>
      <c r="B307" s="61" t="n"/>
      <c r="C307" s="55" t="n"/>
      <c r="D307" s="55" t="n"/>
      <c r="E307" s="55" t="n"/>
      <c r="F307" s="58" t="n"/>
      <c r="G307" s="58" t="n"/>
    </row>
    <row r="308">
      <c r="A308" s="54" t="n"/>
      <c r="B308" s="61" t="n"/>
      <c r="C308" s="55" t="n"/>
      <c r="D308" s="55" t="n"/>
      <c r="E308" s="55" t="n"/>
      <c r="F308" s="58" t="n"/>
      <c r="G308" s="58" t="n"/>
    </row>
    <row r="309">
      <c r="A309" s="54" t="n"/>
      <c r="B309" s="61" t="n"/>
      <c r="C309" s="55" t="n"/>
      <c r="D309" s="55" t="n"/>
      <c r="E309" s="55" t="n"/>
      <c r="F309" s="58" t="n"/>
      <c r="G309" s="58" t="n"/>
    </row>
    <row r="310">
      <c r="A310" s="54" t="n"/>
      <c r="B310" s="61" t="n"/>
      <c r="C310" s="55" t="n"/>
      <c r="D310" s="55" t="n"/>
      <c r="E310" s="55" t="n"/>
      <c r="F310" s="58" t="n"/>
      <c r="G310" s="58" t="n"/>
    </row>
    <row r="311">
      <c r="A311" s="54" t="n"/>
      <c r="B311" s="61" t="n"/>
      <c r="C311" s="55" t="n"/>
      <c r="D311" s="55" t="n"/>
      <c r="E311" s="55" t="n"/>
      <c r="F311" s="58" t="n"/>
      <c r="G311" s="58" t="n"/>
    </row>
    <row r="312">
      <c r="A312" s="54" t="n"/>
      <c r="B312" s="61" t="n"/>
      <c r="C312" s="55" t="n"/>
      <c r="D312" s="55" t="n"/>
      <c r="E312" s="55" t="n"/>
      <c r="F312" s="58" t="n"/>
      <c r="G312" s="58" t="n"/>
    </row>
    <row r="313">
      <c r="A313" s="54" t="n"/>
      <c r="B313" s="61" t="n"/>
      <c r="C313" s="55" t="n"/>
      <c r="D313" s="55" t="n"/>
      <c r="E313" s="55" t="n"/>
      <c r="F313" s="58" t="n"/>
      <c r="G313" s="58" t="n"/>
    </row>
    <row r="314">
      <c r="A314" s="54" t="n"/>
      <c r="B314" s="61" t="n"/>
      <c r="C314" s="55" t="n"/>
      <c r="D314" s="55" t="n"/>
      <c r="E314" s="55" t="n"/>
      <c r="F314" s="58" t="n"/>
      <c r="G314" s="58" t="n"/>
    </row>
    <row r="315">
      <c r="A315" s="54" t="n"/>
      <c r="B315" s="61" t="n"/>
      <c r="C315" s="55" t="n"/>
      <c r="D315" s="55" t="n"/>
      <c r="E315" s="55" t="n"/>
      <c r="F315" s="58" t="n"/>
      <c r="G315" s="58" t="n"/>
    </row>
    <row r="316">
      <c r="A316" s="54" t="n"/>
      <c r="B316" s="61" t="n"/>
      <c r="C316" s="55" t="n"/>
      <c r="D316" s="55" t="n"/>
      <c r="E316" s="55" t="n"/>
      <c r="F316" s="58" t="n"/>
      <c r="G316" s="58" t="n"/>
    </row>
    <row r="317">
      <c r="A317" s="54" t="n"/>
      <c r="B317" s="61" t="n"/>
      <c r="C317" s="55" t="n"/>
      <c r="D317" s="55" t="n"/>
      <c r="E317" s="55" t="n"/>
      <c r="F317" s="58" t="n"/>
      <c r="G317" s="58" t="n"/>
    </row>
    <row r="318">
      <c r="A318" s="54" t="n"/>
      <c r="B318" s="61" t="n"/>
      <c r="C318" s="55" t="n"/>
      <c r="D318" s="55" t="n"/>
      <c r="E318" s="55" t="n"/>
      <c r="F318" s="58" t="n"/>
      <c r="G318" s="58" t="n"/>
    </row>
    <row r="319">
      <c r="A319" s="54" t="n"/>
      <c r="B319" s="61" t="n"/>
      <c r="C319" s="55" t="n"/>
      <c r="D319" s="55" t="n"/>
      <c r="E319" s="55" t="n"/>
      <c r="F319" s="58" t="n"/>
      <c r="G319" s="58" t="n"/>
    </row>
    <row r="320">
      <c r="A320" s="54" t="n"/>
      <c r="B320" s="61" t="n"/>
      <c r="C320" s="55" t="n"/>
      <c r="D320" s="55" t="n"/>
      <c r="E320" s="55" t="n"/>
      <c r="F320" s="58" t="n"/>
      <c r="G320" s="58" t="n"/>
    </row>
    <row r="321">
      <c r="A321" s="54" t="n"/>
      <c r="B321" s="61" t="n"/>
      <c r="C321" s="55" t="n"/>
      <c r="D321" s="55" t="n"/>
      <c r="E321" s="55" t="n"/>
      <c r="F321" s="58" t="n"/>
      <c r="G321" s="58" t="n"/>
    </row>
    <row r="322">
      <c r="A322" s="54" t="n"/>
      <c r="B322" s="61" t="n"/>
      <c r="C322" s="55" t="n"/>
      <c r="D322" s="55" t="n"/>
      <c r="E322" s="55" t="n"/>
      <c r="F322" s="58" t="n"/>
      <c r="G322" s="58" t="n"/>
    </row>
    <row r="323">
      <c r="A323" s="54" t="n"/>
      <c r="B323" s="61" t="n"/>
      <c r="C323" s="55" t="n"/>
      <c r="D323" s="55" t="n"/>
      <c r="E323" s="55" t="n"/>
      <c r="F323" s="58" t="n"/>
      <c r="G323" s="58" t="n"/>
    </row>
    <row r="324">
      <c r="A324" s="54" t="n"/>
      <c r="B324" s="61" t="n"/>
      <c r="C324" s="55" t="n"/>
      <c r="D324" s="55" t="n"/>
      <c r="E324" s="55" t="n"/>
      <c r="F324" s="58" t="n"/>
      <c r="G324" s="58" t="n"/>
    </row>
    <row r="325">
      <c r="A325" s="54" t="n"/>
      <c r="B325" s="61" t="n"/>
      <c r="C325" s="55" t="n"/>
      <c r="D325" s="55" t="n"/>
      <c r="E325" s="55" t="n"/>
      <c r="F325" s="58" t="n"/>
      <c r="G325" s="58" t="n"/>
    </row>
    <row r="326">
      <c r="A326" s="54" t="n"/>
      <c r="B326" s="61" t="n"/>
      <c r="C326" s="55" t="n"/>
      <c r="D326" s="55" t="n"/>
      <c r="E326" s="55" t="n"/>
      <c r="F326" s="58" t="n"/>
      <c r="G326" s="58" t="n"/>
    </row>
    <row r="327">
      <c r="A327" s="54" t="n"/>
      <c r="B327" s="61" t="n"/>
      <c r="C327" s="55" t="n"/>
      <c r="D327" s="55" t="n"/>
      <c r="E327" s="55" t="n"/>
      <c r="F327" s="58" t="n"/>
      <c r="G327" s="58" t="n"/>
    </row>
    <row r="328">
      <c r="A328" s="54" t="n"/>
      <c r="B328" s="61" t="n"/>
      <c r="C328" s="55" t="n"/>
      <c r="D328" s="55" t="n"/>
      <c r="E328" s="55" t="n"/>
      <c r="F328" s="58" t="n"/>
      <c r="G328" s="58" t="n"/>
    </row>
    <row r="329">
      <c r="A329" s="54" t="n"/>
      <c r="B329" s="61" t="n"/>
      <c r="C329" s="55" t="n"/>
      <c r="D329" s="55" t="n"/>
      <c r="E329" s="55" t="n"/>
      <c r="F329" s="58" t="n"/>
      <c r="G329" s="58" t="n"/>
    </row>
    <row r="330">
      <c r="A330" s="54" t="n"/>
      <c r="B330" s="61" t="n"/>
      <c r="C330" s="55" t="n"/>
      <c r="D330" s="55" t="n"/>
      <c r="E330" s="55" t="n"/>
      <c r="F330" s="58" t="n"/>
      <c r="G330" s="58" t="n"/>
    </row>
    <row r="331">
      <c r="A331" s="54" t="n"/>
      <c r="B331" s="61" t="n"/>
      <c r="C331" s="55" t="n"/>
      <c r="D331" s="55" t="n"/>
      <c r="E331" s="55" t="n"/>
      <c r="F331" s="58" t="n"/>
      <c r="G331" s="58" t="n"/>
    </row>
    <row r="332">
      <c r="A332" s="54" t="n"/>
      <c r="B332" s="61" t="n"/>
      <c r="C332" s="55" t="n"/>
      <c r="D332" s="55" t="n"/>
      <c r="E332" s="55" t="n"/>
      <c r="F332" s="58" t="n"/>
      <c r="G332" s="58" t="n"/>
    </row>
    <row r="333">
      <c r="A333" s="54" t="n"/>
      <c r="B333" s="61" t="n"/>
      <c r="C333" s="55" t="n"/>
      <c r="D333" s="55" t="n"/>
      <c r="E333" s="55" t="n"/>
      <c r="F333" s="58" t="n"/>
      <c r="G333" s="58" t="n"/>
    </row>
    <row r="334">
      <c r="A334" s="54" t="n"/>
      <c r="B334" s="61" t="n"/>
      <c r="C334" s="55" t="n"/>
      <c r="D334" s="55" t="n"/>
      <c r="E334" s="55" t="n"/>
      <c r="F334" s="58" t="n"/>
      <c r="G334" s="58" t="n"/>
    </row>
    <row r="335">
      <c r="A335" s="54" t="n"/>
      <c r="B335" s="61" t="n"/>
      <c r="C335" s="55" t="n"/>
      <c r="D335" s="55" t="n"/>
      <c r="E335" s="55" t="n"/>
      <c r="F335" s="58" t="n"/>
      <c r="G335" s="58" t="n"/>
    </row>
    <row r="336">
      <c r="A336" s="54" t="n"/>
      <c r="B336" s="61" t="n"/>
      <c r="C336" s="55" t="n"/>
      <c r="D336" s="55" t="n"/>
      <c r="E336" s="55" t="n"/>
      <c r="F336" s="58" t="n"/>
      <c r="G336" s="58" t="n"/>
    </row>
    <row r="337">
      <c r="A337" s="54" t="n"/>
      <c r="B337" s="61" t="n"/>
      <c r="C337" s="55" t="n"/>
      <c r="D337" s="55" t="n"/>
      <c r="E337" s="55" t="n"/>
      <c r="F337" s="58" t="n"/>
      <c r="G337" s="58" t="n"/>
    </row>
    <row r="338">
      <c r="A338" s="54" t="n"/>
      <c r="B338" s="61" t="n"/>
      <c r="C338" s="55" t="n"/>
      <c r="D338" s="55" t="n"/>
      <c r="E338" s="55" t="n"/>
      <c r="F338" s="58" t="n"/>
      <c r="G338" s="58" t="n"/>
    </row>
    <row r="339">
      <c r="A339" s="54" t="n"/>
      <c r="B339" s="61" t="n"/>
      <c r="C339" s="55" t="n"/>
      <c r="D339" s="55" t="n"/>
      <c r="E339" s="55" t="n"/>
      <c r="F339" s="58" t="n"/>
      <c r="G339" s="58" t="n"/>
    </row>
    <row r="340">
      <c r="A340" s="54" t="n"/>
      <c r="B340" s="61" t="n"/>
      <c r="C340" s="55" t="n"/>
      <c r="D340" s="55" t="n"/>
      <c r="E340" s="55" t="n"/>
      <c r="F340" s="58" t="n"/>
      <c r="G340" s="58" t="n"/>
    </row>
    <row r="341">
      <c r="A341" s="54" t="n"/>
      <c r="B341" s="61" t="n"/>
      <c r="C341" s="55" t="n"/>
      <c r="D341" s="55" t="n"/>
      <c r="E341" s="55" t="n"/>
      <c r="F341" s="58" t="n"/>
      <c r="G341" s="58" t="n"/>
    </row>
    <row r="342">
      <c r="A342" s="54" t="n"/>
      <c r="B342" s="61" t="n"/>
      <c r="C342" s="55" t="n"/>
      <c r="D342" s="55" t="n"/>
      <c r="E342" s="55" t="n"/>
      <c r="F342" s="58" t="n"/>
      <c r="G342" s="58" t="n"/>
    </row>
    <row r="343">
      <c r="A343" s="54" t="n"/>
      <c r="B343" s="61" t="n"/>
      <c r="C343" s="55" t="n"/>
      <c r="D343" s="55" t="n"/>
      <c r="E343" s="55" t="n"/>
      <c r="F343" s="58" t="n"/>
      <c r="G343" s="58" t="n"/>
    </row>
    <row r="344">
      <c r="A344" s="54" t="n"/>
      <c r="B344" s="61" t="n"/>
      <c r="C344" s="55" t="n"/>
      <c r="D344" s="55" t="n"/>
      <c r="E344" s="55" t="n"/>
      <c r="F344" s="58" t="n"/>
      <c r="G344" s="58" t="n"/>
    </row>
    <row r="345">
      <c r="A345" s="54" t="n"/>
      <c r="B345" s="61" t="n"/>
      <c r="C345" s="55" t="n"/>
      <c r="D345" s="55" t="n"/>
      <c r="E345" s="55" t="n"/>
      <c r="F345" s="58" t="n"/>
      <c r="G345" s="58" t="n"/>
    </row>
    <row r="346">
      <c r="A346" s="54" t="n"/>
      <c r="B346" s="61" t="n"/>
      <c r="C346" s="55" t="n"/>
      <c r="D346" s="55" t="n"/>
      <c r="E346" s="55" t="n"/>
      <c r="F346" s="58" t="n"/>
      <c r="G346" s="58" t="n"/>
    </row>
    <row r="347">
      <c r="A347" s="54" t="n"/>
      <c r="B347" s="61" t="n"/>
      <c r="C347" s="55" t="n"/>
      <c r="D347" s="55" t="n"/>
      <c r="E347" s="55" t="n"/>
      <c r="F347" s="58" t="n"/>
      <c r="G347" s="58" t="n"/>
    </row>
    <row r="348">
      <c r="A348" s="54" t="n"/>
      <c r="B348" s="61" t="n"/>
      <c r="C348" s="55" t="n"/>
      <c r="D348" s="55" t="n"/>
      <c r="E348" s="55" t="n"/>
      <c r="F348" s="58" t="n"/>
      <c r="G348" s="58" t="n"/>
    </row>
    <row r="349">
      <c r="A349" s="54" t="n"/>
      <c r="B349" s="61" t="n"/>
      <c r="C349" s="55" t="n"/>
      <c r="D349" s="55" t="n"/>
      <c r="E349" s="55" t="n"/>
      <c r="F349" s="58" t="n"/>
      <c r="G349" s="58" t="n"/>
    </row>
    <row r="350">
      <c r="A350" s="54" t="n"/>
      <c r="B350" s="61" t="n"/>
      <c r="C350" s="55" t="n"/>
      <c r="D350" s="55" t="n"/>
      <c r="E350" s="55" t="n"/>
      <c r="F350" s="58" t="n"/>
      <c r="G350" s="58" t="n"/>
    </row>
    <row r="351">
      <c r="A351" s="54" t="n"/>
      <c r="B351" s="61" t="n"/>
      <c r="C351" s="55" t="n"/>
      <c r="D351" s="55" t="n"/>
      <c r="E351" s="55" t="n"/>
      <c r="F351" s="58" t="n"/>
      <c r="G351" s="58" t="n"/>
    </row>
    <row r="352">
      <c r="A352" s="54" t="n"/>
      <c r="B352" s="61" t="n"/>
      <c r="C352" s="55" t="n"/>
      <c r="D352" s="55" t="n"/>
      <c r="E352" s="55" t="n"/>
      <c r="F352" s="58" t="n"/>
      <c r="G352" s="58" t="n"/>
    </row>
    <row r="353">
      <c r="A353" s="54" t="n"/>
      <c r="B353" s="61" t="n"/>
      <c r="C353" s="55" t="n"/>
      <c r="D353" s="55" t="n"/>
      <c r="E353" s="55" t="n"/>
      <c r="F353" s="58" t="n"/>
      <c r="G353" s="58" t="n"/>
    </row>
    <row r="354">
      <c r="A354" s="54" t="n"/>
      <c r="B354" s="61" t="n"/>
      <c r="C354" s="55" t="n"/>
      <c r="D354" s="55" t="n"/>
      <c r="E354" s="55" t="n"/>
      <c r="F354" s="58" t="n"/>
      <c r="G354" s="58" t="n"/>
    </row>
    <row r="355">
      <c r="A355" s="54" t="n"/>
      <c r="B355" s="61" t="n"/>
      <c r="C355" s="55" t="n"/>
      <c r="D355" s="55" t="n"/>
      <c r="E355" s="55" t="n"/>
      <c r="F355" s="58" t="n"/>
      <c r="G355" s="58" t="n"/>
    </row>
    <row r="356">
      <c r="A356" s="54" t="n"/>
      <c r="B356" s="61" t="n"/>
      <c r="C356" s="55" t="n"/>
      <c r="D356" s="55" t="n"/>
      <c r="E356" s="55" t="n"/>
      <c r="F356" s="58" t="n"/>
      <c r="G356" s="58" t="n"/>
    </row>
    <row r="357">
      <c r="A357" s="54" t="n"/>
      <c r="B357" s="61" t="n"/>
      <c r="C357" s="55" t="n"/>
      <c r="D357" s="55" t="n"/>
      <c r="E357" s="55" t="n"/>
      <c r="F357" s="58" t="n"/>
      <c r="G357" s="58" t="n"/>
    </row>
    <row r="358">
      <c r="A358" s="54" t="n"/>
      <c r="B358" s="61" t="n"/>
      <c r="C358" s="55" t="n"/>
      <c r="D358" s="55" t="n"/>
      <c r="E358" s="55" t="n"/>
      <c r="F358" s="58" t="n"/>
      <c r="G358" s="58" t="n"/>
    </row>
    <row r="359">
      <c r="A359" s="54" t="n"/>
      <c r="B359" s="61" t="n"/>
      <c r="C359" s="55" t="n"/>
      <c r="D359" s="55" t="n"/>
      <c r="E359" s="55" t="n"/>
      <c r="F359" s="58" t="n"/>
      <c r="G359" s="58" t="n"/>
    </row>
    <row r="360">
      <c r="A360" s="54" t="n"/>
      <c r="B360" s="61" t="n"/>
      <c r="C360" s="55" t="n"/>
      <c r="D360" s="55" t="n"/>
      <c r="E360" s="55" t="n"/>
      <c r="F360" s="58" t="n"/>
      <c r="G360" s="58" t="n"/>
    </row>
    <row r="361">
      <c r="A361" s="54" t="n"/>
      <c r="B361" s="61" t="n"/>
      <c r="C361" s="55" t="n"/>
      <c r="D361" s="55" t="n"/>
      <c r="E361" s="55" t="n"/>
      <c r="F361" s="58" t="n"/>
      <c r="G361" s="58" t="n"/>
    </row>
    <row r="362">
      <c r="A362" s="54" t="n"/>
      <c r="B362" s="61" t="n"/>
      <c r="C362" s="55" t="n"/>
      <c r="D362" s="55" t="n"/>
      <c r="E362" s="55" t="n"/>
      <c r="F362" s="58" t="n"/>
      <c r="G362" s="58" t="n"/>
    </row>
    <row r="363">
      <c r="A363" s="54" t="n"/>
      <c r="B363" s="61" t="n"/>
      <c r="C363" s="55" t="n"/>
      <c r="D363" s="55" t="n"/>
      <c r="E363" s="55" t="n"/>
      <c r="F363" s="58" t="n"/>
      <c r="G363" s="58" t="n"/>
    </row>
    <row r="364">
      <c r="A364" s="54" t="n"/>
      <c r="B364" s="61" t="n"/>
      <c r="C364" s="55" t="n"/>
      <c r="D364" s="55" t="n"/>
      <c r="E364" s="55" t="n"/>
      <c r="F364" s="58" t="n"/>
      <c r="G364" s="58" t="n"/>
    </row>
    <row r="365">
      <c r="A365" s="54" t="n"/>
      <c r="B365" s="61" t="n"/>
      <c r="C365" s="55" t="n"/>
      <c r="D365" s="55" t="n"/>
      <c r="E365" s="55" t="n"/>
      <c r="F365" s="58" t="n"/>
      <c r="G365" s="58" t="n"/>
    </row>
    <row r="366">
      <c r="A366" s="54" t="n"/>
      <c r="B366" s="61" t="n"/>
      <c r="C366" s="55" t="n"/>
      <c r="D366" s="55" t="n"/>
      <c r="E366" s="55" t="n"/>
      <c r="F366" s="58" t="n"/>
      <c r="G366" s="58" t="n"/>
    </row>
    <row r="367">
      <c r="A367" s="54" t="n"/>
      <c r="B367" s="61" t="n"/>
      <c r="C367" s="55" t="n"/>
      <c r="D367" s="55" t="n"/>
      <c r="E367" s="55" t="n"/>
      <c r="F367" s="58" t="n"/>
      <c r="G367" s="58" t="n"/>
    </row>
    <row r="368">
      <c r="A368" s="54" t="n"/>
      <c r="B368" s="61" t="n"/>
      <c r="C368" s="55" t="n"/>
      <c r="D368" s="55" t="n"/>
      <c r="E368" s="55" t="n"/>
      <c r="F368" s="58" t="n"/>
      <c r="G368" s="58" t="n"/>
    </row>
    <row r="369">
      <c r="A369" s="54" t="n"/>
      <c r="B369" s="61" t="n"/>
      <c r="C369" s="55" t="n"/>
      <c r="D369" s="55" t="n"/>
      <c r="E369" s="55" t="n"/>
      <c r="F369" s="58" t="n"/>
      <c r="G369" s="58" t="n"/>
    </row>
    <row r="370">
      <c r="A370" s="54" t="n"/>
      <c r="B370" s="61" t="n"/>
      <c r="C370" s="55" t="n"/>
      <c r="D370" s="55" t="n"/>
      <c r="E370" s="55" t="n"/>
      <c r="F370" s="58" t="n"/>
      <c r="G370" s="58" t="n"/>
    </row>
    <row r="371">
      <c r="A371" s="54" t="n"/>
      <c r="B371" s="61" t="n"/>
      <c r="C371" s="55" t="n"/>
      <c r="D371" s="55" t="n"/>
      <c r="E371" s="55" t="n"/>
      <c r="F371" s="58" t="n"/>
      <c r="G371" s="58" t="n"/>
    </row>
    <row r="372">
      <c r="A372" s="54" t="n"/>
      <c r="B372" s="61" t="n"/>
      <c r="C372" s="55" t="n"/>
      <c r="D372" s="55" t="n"/>
      <c r="E372" s="55" t="n"/>
      <c r="F372" s="58" t="n"/>
      <c r="G372" s="58" t="n"/>
    </row>
    <row r="373">
      <c r="A373" s="54" t="n"/>
      <c r="B373" s="61" t="n"/>
      <c r="C373" s="55" t="n"/>
      <c r="D373" s="55" t="n"/>
      <c r="E373" s="55" t="n"/>
      <c r="F373" s="58" t="n"/>
      <c r="G373" s="58" t="n"/>
    </row>
    <row r="374">
      <c r="A374" s="54" t="n"/>
      <c r="B374" s="61" t="n"/>
      <c r="C374" s="55" t="n"/>
      <c r="D374" s="55" t="n"/>
      <c r="E374" s="55" t="n"/>
      <c r="F374" s="58" t="n"/>
      <c r="G374" s="58" t="n"/>
    </row>
    <row r="375">
      <c r="A375" s="54" t="n"/>
      <c r="B375" s="61" t="n"/>
      <c r="C375" s="55" t="n"/>
      <c r="D375" s="55" t="n"/>
      <c r="E375" s="55" t="n"/>
      <c r="F375" s="58" t="n"/>
      <c r="G375" s="58" t="n"/>
    </row>
    <row r="376">
      <c r="A376" s="54" t="n"/>
      <c r="B376" s="61" t="n"/>
      <c r="C376" s="55" t="n"/>
      <c r="D376" s="55" t="n"/>
      <c r="E376" s="55" t="n"/>
      <c r="F376" s="58" t="n"/>
      <c r="G376" s="58" t="n"/>
    </row>
    <row r="377">
      <c r="A377" s="54" t="n"/>
      <c r="B377" s="61" t="n"/>
      <c r="C377" s="55" t="n"/>
      <c r="D377" s="55" t="n"/>
      <c r="E377" s="55" t="n"/>
      <c r="F377" s="58" t="n"/>
      <c r="G377" s="58" t="n"/>
    </row>
    <row r="378">
      <c r="A378" s="54" t="n"/>
      <c r="B378" s="61" t="n"/>
      <c r="C378" s="55" t="n"/>
      <c r="D378" s="55" t="n"/>
      <c r="E378" s="55" t="n"/>
      <c r="F378" s="58" t="n"/>
      <c r="G378" s="58" t="n"/>
    </row>
    <row r="379">
      <c r="A379" s="54" t="n"/>
      <c r="B379" s="61" t="n"/>
      <c r="C379" s="55" t="n"/>
      <c r="D379" s="55" t="n"/>
      <c r="E379" s="55" t="n"/>
      <c r="F379" s="58" t="n"/>
      <c r="G379" s="58" t="n"/>
    </row>
    <row r="380">
      <c r="A380" s="54" t="n"/>
      <c r="B380" s="61" t="n"/>
      <c r="C380" s="55" t="n"/>
      <c r="D380" s="55" t="n"/>
      <c r="E380" s="55" t="n"/>
      <c r="F380" s="58" t="n"/>
      <c r="G380" s="58" t="n"/>
    </row>
    <row r="381">
      <c r="A381" s="54" t="n"/>
      <c r="B381" s="61" t="n"/>
      <c r="C381" s="55" t="n"/>
      <c r="D381" s="55" t="n"/>
      <c r="E381" s="55" t="n"/>
      <c r="F381" s="58" t="n"/>
      <c r="G381" s="58" t="n"/>
    </row>
    <row r="382">
      <c r="A382" s="54" t="n"/>
      <c r="B382" s="61" t="n"/>
      <c r="C382" s="55" t="n"/>
      <c r="D382" s="55" t="n"/>
      <c r="E382" s="55" t="n"/>
      <c r="F382" s="58" t="n"/>
      <c r="G382" s="58" t="n"/>
    </row>
    <row r="383">
      <c r="A383" s="54" t="n"/>
      <c r="B383" s="61" t="n"/>
      <c r="C383" s="55" t="n"/>
      <c r="D383" s="55" t="n"/>
      <c r="E383" s="55" t="n"/>
      <c r="F383" s="58" t="n"/>
      <c r="G383" s="58" t="n"/>
    </row>
    <row r="384">
      <c r="A384" s="54" t="n"/>
      <c r="B384" s="61" t="n"/>
      <c r="C384" s="55" t="n"/>
      <c r="D384" s="55" t="n"/>
      <c r="E384" s="55" t="n"/>
      <c r="F384" s="58" t="n"/>
      <c r="G384" s="58" t="n"/>
    </row>
    <row r="385">
      <c r="A385" s="54" t="n"/>
      <c r="B385" s="61" t="n"/>
      <c r="C385" s="55" t="n"/>
      <c r="D385" s="55" t="n"/>
      <c r="E385" s="55" t="n"/>
      <c r="F385" s="58" t="n"/>
      <c r="G385" s="58" t="n"/>
    </row>
    <row r="386">
      <c r="A386" s="54" t="n"/>
      <c r="B386" s="61" t="n"/>
      <c r="C386" s="55" t="n"/>
      <c r="D386" s="55" t="n"/>
      <c r="E386" s="55" t="n"/>
      <c r="F386" s="58" t="n"/>
      <c r="G386" s="58" t="n"/>
    </row>
    <row r="387">
      <c r="A387" s="54" t="n"/>
      <c r="B387" s="61" t="n"/>
      <c r="C387" s="55" t="n"/>
      <c r="D387" s="55" t="n"/>
      <c r="E387" s="55" t="n"/>
      <c r="F387" s="58" t="n"/>
      <c r="G387" s="58" t="n"/>
    </row>
    <row r="388">
      <c r="A388" s="54" t="n"/>
      <c r="B388" s="61" t="n"/>
      <c r="C388" s="55" t="n"/>
      <c r="D388" s="55" t="n"/>
      <c r="E388" s="55" t="n"/>
      <c r="F388" s="58" t="n"/>
      <c r="G388" s="58" t="n"/>
    </row>
    <row r="389">
      <c r="A389" s="54" t="n"/>
      <c r="B389" s="61" t="n"/>
      <c r="C389" s="55" t="n"/>
      <c r="D389" s="55" t="n"/>
      <c r="E389" s="55" t="n"/>
      <c r="F389" s="58" t="n"/>
      <c r="G389" s="58" t="n"/>
    </row>
    <row r="390">
      <c r="A390" s="54" t="n"/>
      <c r="B390" s="61" t="n"/>
      <c r="C390" s="55" t="n"/>
      <c r="D390" s="55" t="n"/>
      <c r="E390" s="55" t="n"/>
      <c r="F390" s="58" t="n"/>
      <c r="G390" s="58" t="n"/>
    </row>
    <row r="391">
      <c r="A391" s="54" t="n"/>
      <c r="B391" s="61" t="n"/>
      <c r="C391" s="55" t="n"/>
      <c r="D391" s="55" t="n"/>
      <c r="E391" s="55" t="n"/>
      <c r="F391" s="58" t="n"/>
      <c r="G391" s="58" t="n"/>
    </row>
    <row r="392">
      <c r="A392" s="54" t="n"/>
      <c r="B392" s="61" t="n"/>
      <c r="C392" s="55" t="n"/>
      <c r="D392" s="55" t="n"/>
      <c r="E392" s="55" t="n"/>
      <c r="F392" s="58" t="n"/>
      <c r="G392" s="58" t="n"/>
    </row>
    <row r="393">
      <c r="A393" s="54" t="n"/>
      <c r="B393" s="61" t="n"/>
      <c r="C393" s="55" t="n"/>
      <c r="D393" s="55" t="n"/>
      <c r="E393" s="55" t="n"/>
      <c r="F393" s="58" t="n"/>
      <c r="G393" s="58" t="n"/>
    </row>
    <row r="394">
      <c r="A394" s="54" t="n"/>
      <c r="B394" s="61" t="n"/>
      <c r="C394" s="55" t="n"/>
      <c r="D394" s="55" t="n"/>
      <c r="E394" s="55" t="n"/>
      <c r="F394" s="58" t="n"/>
      <c r="G394" s="58" t="n"/>
    </row>
    <row r="395">
      <c r="A395" s="54" t="n"/>
      <c r="B395" s="61" t="n"/>
      <c r="C395" s="55" t="n"/>
      <c r="D395" s="55" t="n"/>
      <c r="E395" s="55" t="n"/>
      <c r="F395" s="58" t="n"/>
      <c r="G395" s="58" t="n"/>
    </row>
    <row r="396">
      <c r="A396" s="54" t="n"/>
      <c r="B396" s="61" t="n"/>
      <c r="C396" s="55" t="n"/>
      <c r="D396" s="55" t="n"/>
      <c r="E396" s="55" t="n"/>
      <c r="F396" s="58" t="n"/>
      <c r="G396" s="58" t="n"/>
    </row>
    <row r="397">
      <c r="A397" s="54" t="n"/>
      <c r="B397" s="61" t="n"/>
      <c r="C397" s="55" t="n"/>
      <c r="D397" s="55" t="n"/>
      <c r="E397" s="55" t="n"/>
      <c r="F397" s="58" t="n"/>
      <c r="G397" s="58" t="n"/>
    </row>
    <row r="398">
      <c r="A398" s="54" t="n"/>
      <c r="B398" s="61" t="n"/>
      <c r="C398" s="55" t="n"/>
      <c r="D398" s="55" t="n"/>
      <c r="E398" s="55" t="n"/>
      <c r="F398" s="58" t="n"/>
      <c r="G398" s="58" t="n"/>
    </row>
    <row r="399">
      <c r="A399" s="54" t="n"/>
      <c r="B399" s="61" t="n"/>
      <c r="C399" s="55" t="n"/>
      <c r="D399" s="55" t="n"/>
      <c r="E399" s="55" t="n"/>
      <c r="F399" s="58" t="n"/>
      <c r="G399" s="58" t="n"/>
    </row>
    <row r="400">
      <c r="A400" s="54" t="n"/>
      <c r="B400" s="61" t="n"/>
      <c r="C400" s="55" t="n"/>
      <c r="D400" s="55" t="n"/>
      <c r="E400" s="55" t="n"/>
      <c r="F400" s="58" t="n"/>
      <c r="G400" s="58" t="n"/>
    </row>
    <row r="401">
      <c r="A401" s="54" t="n"/>
      <c r="B401" s="61" t="n"/>
      <c r="C401" s="55" t="n"/>
      <c r="D401" s="55" t="n"/>
      <c r="E401" s="55" t="n"/>
      <c r="F401" s="58" t="n"/>
      <c r="G401" s="58" t="n"/>
    </row>
    <row r="402">
      <c r="A402" s="54" t="n"/>
      <c r="B402" s="61" t="n"/>
      <c r="C402" s="55" t="n"/>
      <c r="D402" s="55" t="n"/>
      <c r="E402" s="55" t="n"/>
      <c r="F402" s="58" t="n"/>
      <c r="G402" s="58" t="n"/>
    </row>
    <row r="403">
      <c r="A403" s="54" t="n"/>
      <c r="B403" s="61" t="n"/>
      <c r="C403" s="55" t="n"/>
      <c r="D403" s="55" t="n"/>
      <c r="E403" s="55" t="n"/>
      <c r="F403" s="58" t="n"/>
      <c r="G403" s="58" t="n"/>
    </row>
    <row r="404">
      <c r="A404" s="54" t="n"/>
      <c r="B404" s="61" t="n"/>
      <c r="C404" s="55" t="n"/>
      <c r="D404" s="55" t="n"/>
      <c r="E404" s="55" t="n"/>
      <c r="F404" s="58" t="n"/>
      <c r="G404" s="58" t="n"/>
    </row>
    <row r="405">
      <c r="A405" s="54" t="n"/>
      <c r="B405" s="61" t="n"/>
      <c r="C405" s="55" t="n"/>
      <c r="D405" s="55" t="n"/>
      <c r="E405" s="55" t="n"/>
      <c r="F405" s="58" t="n"/>
      <c r="G405" s="58" t="n"/>
    </row>
  </sheetData>
  <dataValidations count="5">
    <dataValidation sqref="A6:A405" showDropDown="0" showInputMessage="0" showErrorMessage="1" allowBlank="1" errorTitle="Date outside the reporting year" error="Dates must fall in the reporting year: rows outside it are not counted in any KPI. Click No and correct the date." type="date" errorStyle="warning" operator="between">
      <formula1>=cfg_YearStart</formula1>
      <formula2>=cfg_YearEnd</formula2>
    </dataValidation>
    <dataValidation sqref="B6:B405" showDropDown="0" showInputMessage="1" showErrorMessage="1" allowBlank="1" errorTitle="Not in list" error="Choose a value from the list (edit the Lists sheet to add one)." promptTitle="Type" prompt="Shipment (dore leaves site) or Sale (refinery outturn sold)" type="list">
      <formula1>=lst_Gold_Movement_Type</formula1>
    </dataValidation>
    <dataValidation sqref="C6:C405" showDropDown="0" showInputMessage="0" showErrorMessage="1" allowBlank="1" errorTitle="Outside expected range" error="Expected between 0 and 5,000. Click Yes to keep the value if it is correct." type="decimal" errorStyle="warning" operator="between">
      <formula1>0</formula1>
      <formula2>5000</formula2>
    </dataValidation>
    <dataValidation sqref="D6:D405" showDropDown="0" showInputMessage="0" showErrorMessage="1" allowBlank="1" errorTitle="Outside expected range" error="Expected between 0 and 100,000. Click Yes to keep the value if it is correct." type="decimal" errorStyle="warning" operator="between">
      <formula1>0</formula1>
      <formula2>100000</formula2>
    </dataValidation>
    <dataValidation sqref="E6:E405" showDropDown="0" showInputMessage="0" showErrorMessage="1" allowBlank="1" errorTitle="Outside expected range" error="Expected between 0 and 100,000. Click Yes to keep the value if it is correct." type="decimal" errorStyle="warning" operator="between">
      <formula1>0</formula1>
      <formula2>100000</formula2>
    </dataValidation>
  </dataValidations>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548235"/>
    <outlinePr summaryBelow="1" summaryRight="1"/>
    <pageSetUpPr/>
  </sheetPr>
  <dimension ref="A1:P1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3.7" customWidth="1" min="2" max="2"/>
    <col width="20.9" customWidth="1" min="3" max="3"/>
    <col width="15.5" customWidth="1" min="4" max="4"/>
    <col width="11" customWidth="1" min="5" max="5"/>
    <col width="16.4" customWidth="1" min="6" max="6"/>
    <col width="12.8" customWidth="1" min="7" max="7"/>
    <col width="16.4" customWidth="1" min="8" max="8"/>
    <col width="16.4" customWidth="1" min="9" max="9"/>
    <col width="11.9" customWidth="1" min="10" max="10"/>
    <col width="17.3" customWidth="1" min="11" max="11"/>
    <col width="13.7" customWidth="1" min="12" max="12"/>
    <col width="19.1" customWidth="1" min="13" max="13"/>
    <col width="23.6" customWidth="1" min="14" max="14"/>
    <col width="26.3" customWidth="1" min="15" max="15"/>
    <col width="19.1" customWidth="1" min="16" max="16"/>
  </cols>
  <sheetData>
    <row r="1">
      <c r="A1" s="50" t="inlineStr">
        <is>
          <t>Monthly budget (or latest forecast), one row per month</t>
        </is>
      </c>
    </row>
    <row r="2">
      <c r="A2" s="6" t="inlineStr">
        <is>
          <t>Owner: Technical services / finance.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Month</t>
        </is>
      </c>
      <c r="B4" s="51" t="inlineStr">
        <is>
          <t>Ore mined (t)</t>
        </is>
      </c>
      <c r="C4" s="51" t="inlineStr">
        <is>
          <t>Ore grade mined (g/t)</t>
        </is>
      </c>
      <c r="D4" s="51" t="inlineStr">
        <is>
          <t>Waste mined (t)</t>
        </is>
      </c>
      <c r="E4" s="51" t="inlineStr">
        <is>
          <t>Milled (t)</t>
        </is>
      </c>
      <c r="F4" s="51" t="inlineStr">
        <is>
          <t>Head grade (g/t)</t>
        </is>
      </c>
      <c r="G4" s="51" t="inlineStr">
        <is>
          <t>Recovery (%)</t>
        </is>
      </c>
      <c r="H4" s="51" t="inlineStr">
        <is>
          <t>Gold poured (oz)</t>
        </is>
      </c>
      <c r="I4" s="51" t="inlineStr">
        <is>
          <t>Hours worked (h)</t>
        </is>
      </c>
      <c r="J4" s="51" t="inlineStr">
        <is>
          <t>Drilled (m)</t>
        </is>
      </c>
      <c r="K4" s="51" t="inlineStr">
        <is>
          <t>Mining diesel (L)</t>
        </is>
      </c>
      <c r="L4" s="51" t="inlineStr">
        <is>
          <t>Days in month</t>
        </is>
      </c>
      <c r="M4" s="51" t="inlineStr">
        <is>
          <t>Ore gold mined (oz)</t>
        </is>
      </c>
      <c r="N4" s="51" t="inlineStr">
        <is>
          <t>Total material moved (t)</t>
        </is>
      </c>
      <c r="O4" s="51" t="inlineStr">
        <is>
          <t>Contained gold in feed (oz)</t>
        </is>
      </c>
      <c r="P4" s="51" t="inlineStr">
        <is>
          <t>Gold recovered (oz)</t>
        </is>
      </c>
    </row>
    <row r="5">
      <c r="A5" s="52" t="inlineStr">
        <is>
          <t>Month</t>
        </is>
      </c>
      <c r="B5" s="52" t="inlineStr">
        <is>
          <t>Ore_Mined_t</t>
        </is>
      </c>
      <c r="C5" s="52" t="inlineStr">
        <is>
          <t>Ore_Grade_gpt</t>
        </is>
      </c>
      <c r="D5" s="52" t="inlineStr">
        <is>
          <t>Waste_t</t>
        </is>
      </c>
      <c r="E5" s="52" t="inlineStr">
        <is>
          <t>Milled_t</t>
        </is>
      </c>
      <c r="F5" s="52" t="inlineStr">
        <is>
          <t>Head_Grade_gpt</t>
        </is>
      </c>
      <c r="G5" s="52" t="inlineStr">
        <is>
          <t>Recovery_pct</t>
        </is>
      </c>
      <c r="H5" s="52" t="inlineStr">
        <is>
          <t>Gold_Poured_oz</t>
        </is>
      </c>
      <c r="I5" s="52" t="inlineStr">
        <is>
          <t>Hours_Worked</t>
        </is>
      </c>
      <c r="J5" s="52" t="inlineStr">
        <is>
          <t>Drill_m</t>
        </is>
      </c>
      <c r="K5" s="52" t="inlineStr">
        <is>
          <t>Diesel_L</t>
        </is>
      </c>
      <c r="L5" s="53" t="inlineStr">
        <is>
          <t>Days</t>
        </is>
      </c>
      <c r="M5" s="53" t="inlineStr">
        <is>
          <t>Ore_oz</t>
        </is>
      </c>
      <c r="N5" s="53" t="inlineStr">
        <is>
          <t>TMM_t</t>
        </is>
      </c>
      <c r="O5" s="53" t="inlineStr">
        <is>
          <t>Feed_oz</t>
        </is>
      </c>
      <c r="P5" s="53" t="inlineStr">
        <is>
          <t>Recovered_oz</t>
        </is>
      </c>
    </row>
    <row r="6">
      <c r="A6" s="54" t="n">
        <v>46023</v>
      </c>
      <c r="B6" s="55" t="n"/>
      <c r="C6" s="56" t="n"/>
      <c r="D6" s="55" t="n"/>
      <c r="E6" s="55" t="n"/>
      <c r="F6" s="56" t="n"/>
      <c r="G6" s="67" t="n"/>
      <c r="H6" s="55" t="n"/>
      <c r="I6" s="57" t="n"/>
      <c r="J6" s="55" t="n"/>
      <c r="K6" s="55" t="n"/>
      <c r="L6" s="64">
        <f>DAY(EOMONTH(tblBudget[[#This Row],[Month]],0))</f>
        <v/>
      </c>
      <c r="M6" s="59">
        <f>N(tblBudget[[#This Row],[Ore_Mined_t]])*N(tblBudget[[#This Row],[Ore_Grade_gpt]])/cfg_TroyOz</f>
        <v/>
      </c>
      <c r="N6" s="59">
        <f>N(tblBudget[[#This Row],[Ore_Mined_t]])+N(tblBudget[[#This Row],[Waste_t]])</f>
        <v/>
      </c>
      <c r="O6" s="59">
        <f>N(tblBudget[[#This Row],[Milled_t]])*N(tblBudget[[#This Row],[Head_Grade_gpt]])/cfg_TroyOz</f>
        <v/>
      </c>
      <c r="P6" s="59">
        <f>tblBudget[[#This Row],[Feed_oz]]*N(tblBudget[[#This Row],[Recovery_pct]])</f>
        <v/>
      </c>
    </row>
    <row r="7">
      <c r="A7" s="54" t="n">
        <v>46054</v>
      </c>
      <c r="B7" s="55" t="n"/>
      <c r="C7" s="56" t="n"/>
      <c r="D7" s="55" t="n"/>
      <c r="E7" s="55" t="n"/>
      <c r="F7" s="56" t="n"/>
      <c r="G7" s="67" t="n"/>
      <c r="H7" s="55" t="n"/>
      <c r="I7" s="57" t="n"/>
      <c r="J7" s="55" t="n"/>
      <c r="K7" s="55" t="n"/>
      <c r="L7" s="64">
        <f>DAY(EOMONTH(tblBudget[[#This Row],[Month]],0))</f>
        <v/>
      </c>
      <c r="M7" s="59">
        <f>N(tblBudget[[#This Row],[Ore_Mined_t]])*N(tblBudget[[#This Row],[Ore_Grade_gpt]])/cfg_TroyOz</f>
        <v/>
      </c>
      <c r="N7" s="59">
        <f>N(tblBudget[[#This Row],[Ore_Mined_t]])+N(tblBudget[[#This Row],[Waste_t]])</f>
        <v/>
      </c>
      <c r="O7" s="59">
        <f>N(tblBudget[[#This Row],[Milled_t]])*N(tblBudget[[#This Row],[Head_Grade_gpt]])/cfg_TroyOz</f>
        <v/>
      </c>
      <c r="P7" s="59">
        <f>tblBudget[[#This Row],[Feed_oz]]*N(tblBudget[[#This Row],[Recovery_pct]])</f>
        <v/>
      </c>
    </row>
    <row r="8">
      <c r="A8" s="54" t="n">
        <v>46082</v>
      </c>
      <c r="B8" s="55" t="n"/>
      <c r="C8" s="56" t="n"/>
      <c r="D8" s="55" t="n"/>
      <c r="E8" s="55" t="n"/>
      <c r="F8" s="56" t="n"/>
      <c r="G8" s="67" t="n"/>
      <c r="H8" s="55" t="n"/>
      <c r="I8" s="57" t="n"/>
      <c r="J8" s="55" t="n"/>
      <c r="K8" s="55" t="n"/>
      <c r="L8" s="64">
        <f>DAY(EOMONTH(tblBudget[[#This Row],[Month]],0))</f>
        <v/>
      </c>
      <c r="M8" s="59">
        <f>N(tblBudget[[#This Row],[Ore_Mined_t]])*N(tblBudget[[#This Row],[Ore_Grade_gpt]])/cfg_TroyOz</f>
        <v/>
      </c>
      <c r="N8" s="59">
        <f>N(tblBudget[[#This Row],[Ore_Mined_t]])+N(tblBudget[[#This Row],[Waste_t]])</f>
        <v/>
      </c>
      <c r="O8" s="59">
        <f>N(tblBudget[[#This Row],[Milled_t]])*N(tblBudget[[#This Row],[Head_Grade_gpt]])/cfg_TroyOz</f>
        <v/>
      </c>
      <c r="P8" s="59">
        <f>tblBudget[[#This Row],[Feed_oz]]*N(tblBudget[[#This Row],[Recovery_pct]])</f>
        <v/>
      </c>
    </row>
    <row r="9">
      <c r="A9" s="54" t="n">
        <v>46113</v>
      </c>
      <c r="B9" s="55" t="n"/>
      <c r="C9" s="56" t="n"/>
      <c r="D9" s="55" t="n"/>
      <c r="E9" s="55" t="n"/>
      <c r="F9" s="56" t="n"/>
      <c r="G9" s="67" t="n"/>
      <c r="H9" s="55" t="n"/>
      <c r="I9" s="57" t="n"/>
      <c r="J9" s="55" t="n"/>
      <c r="K9" s="55" t="n"/>
      <c r="L9" s="64">
        <f>DAY(EOMONTH(tblBudget[[#This Row],[Month]],0))</f>
        <v/>
      </c>
      <c r="M9" s="59">
        <f>N(tblBudget[[#This Row],[Ore_Mined_t]])*N(tblBudget[[#This Row],[Ore_Grade_gpt]])/cfg_TroyOz</f>
        <v/>
      </c>
      <c r="N9" s="59">
        <f>N(tblBudget[[#This Row],[Ore_Mined_t]])+N(tblBudget[[#This Row],[Waste_t]])</f>
        <v/>
      </c>
      <c r="O9" s="59">
        <f>N(tblBudget[[#This Row],[Milled_t]])*N(tblBudget[[#This Row],[Head_Grade_gpt]])/cfg_TroyOz</f>
        <v/>
      </c>
      <c r="P9" s="59">
        <f>tblBudget[[#This Row],[Feed_oz]]*N(tblBudget[[#This Row],[Recovery_pct]])</f>
        <v/>
      </c>
    </row>
    <row r="10">
      <c r="A10" s="54" t="n">
        <v>46143</v>
      </c>
      <c r="B10" s="55" t="n"/>
      <c r="C10" s="56" t="n"/>
      <c r="D10" s="55" t="n"/>
      <c r="E10" s="55" t="n"/>
      <c r="F10" s="56" t="n"/>
      <c r="G10" s="67" t="n"/>
      <c r="H10" s="55" t="n"/>
      <c r="I10" s="57" t="n"/>
      <c r="J10" s="55" t="n"/>
      <c r="K10" s="55" t="n"/>
      <c r="L10" s="64">
        <f>DAY(EOMONTH(tblBudget[[#This Row],[Month]],0))</f>
        <v/>
      </c>
      <c r="M10" s="59">
        <f>N(tblBudget[[#This Row],[Ore_Mined_t]])*N(tblBudget[[#This Row],[Ore_Grade_gpt]])/cfg_TroyOz</f>
        <v/>
      </c>
      <c r="N10" s="59">
        <f>N(tblBudget[[#This Row],[Ore_Mined_t]])+N(tblBudget[[#This Row],[Waste_t]])</f>
        <v/>
      </c>
      <c r="O10" s="59">
        <f>N(tblBudget[[#This Row],[Milled_t]])*N(tblBudget[[#This Row],[Head_Grade_gpt]])/cfg_TroyOz</f>
        <v/>
      </c>
      <c r="P10" s="59">
        <f>tblBudget[[#This Row],[Feed_oz]]*N(tblBudget[[#This Row],[Recovery_pct]])</f>
        <v/>
      </c>
    </row>
    <row r="11">
      <c r="A11" s="54" t="n">
        <v>46174</v>
      </c>
      <c r="B11" s="55" t="n"/>
      <c r="C11" s="56" t="n"/>
      <c r="D11" s="55" t="n"/>
      <c r="E11" s="55" t="n"/>
      <c r="F11" s="56" t="n"/>
      <c r="G11" s="67" t="n"/>
      <c r="H11" s="55" t="n"/>
      <c r="I11" s="57" t="n"/>
      <c r="J11" s="55" t="n"/>
      <c r="K11" s="55" t="n"/>
      <c r="L11" s="64">
        <f>DAY(EOMONTH(tblBudget[[#This Row],[Month]],0))</f>
        <v/>
      </c>
      <c r="M11" s="59">
        <f>N(tblBudget[[#This Row],[Ore_Mined_t]])*N(tblBudget[[#This Row],[Ore_Grade_gpt]])/cfg_TroyOz</f>
        <v/>
      </c>
      <c r="N11" s="59">
        <f>N(tblBudget[[#This Row],[Ore_Mined_t]])+N(tblBudget[[#This Row],[Waste_t]])</f>
        <v/>
      </c>
      <c r="O11" s="59">
        <f>N(tblBudget[[#This Row],[Milled_t]])*N(tblBudget[[#This Row],[Head_Grade_gpt]])/cfg_TroyOz</f>
        <v/>
      </c>
      <c r="P11" s="59">
        <f>tblBudget[[#This Row],[Feed_oz]]*N(tblBudget[[#This Row],[Recovery_pct]])</f>
        <v/>
      </c>
    </row>
    <row r="12">
      <c r="A12" s="54" t="n">
        <v>46204</v>
      </c>
      <c r="B12" s="55" t="n"/>
      <c r="C12" s="56" t="n"/>
      <c r="D12" s="55" t="n"/>
      <c r="E12" s="55" t="n"/>
      <c r="F12" s="56" t="n"/>
      <c r="G12" s="67" t="n"/>
      <c r="H12" s="55" t="n"/>
      <c r="I12" s="57" t="n"/>
      <c r="J12" s="55" t="n"/>
      <c r="K12" s="55" t="n"/>
      <c r="L12" s="64">
        <f>DAY(EOMONTH(tblBudget[[#This Row],[Month]],0))</f>
        <v/>
      </c>
      <c r="M12" s="59">
        <f>N(tblBudget[[#This Row],[Ore_Mined_t]])*N(tblBudget[[#This Row],[Ore_Grade_gpt]])/cfg_TroyOz</f>
        <v/>
      </c>
      <c r="N12" s="59">
        <f>N(tblBudget[[#This Row],[Ore_Mined_t]])+N(tblBudget[[#This Row],[Waste_t]])</f>
        <v/>
      </c>
      <c r="O12" s="59">
        <f>N(tblBudget[[#This Row],[Milled_t]])*N(tblBudget[[#This Row],[Head_Grade_gpt]])/cfg_TroyOz</f>
        <v/>
      </c>
      <c r="P12" s="59">
        <f>tblBudget[[#This Row],[Feed_oz]]*N(tblBudget[[#This Row],[Recovery_pct]])</f>
        <v/>
      </c>
    </row>
    <row r="13">
      <c r="A13" s="54" t="n">
        <v>46235</v>
      </c>
      <c r="B13" s="55" t="n"/>
      <c r="C13" s="56" t="n"/>
      <c r="D13" s="55" t="n"/>
      <c r="E13" s="55" t="n"/>
      <c r="F13" s="56" t="n"/>
      <c r="G13" s="67" t="n"/>
      <c r="H13" s="55" t="n"/>
      <c r="I13" s="57" t="n"/>
      <c r="J13" s="55" t="n"/>
      <c r="K13" s="55" t="n"/>
      <c r="L13" s="64">
        <f>DAY(EOMONTH(tblBudget[[#This Row],[Month]],0))</f>
        <v/>
      </c>
      <c r="M13" s="59">
        <f>N(tblBudget[[#This Row],[Ore_Mined_t]])*N(tblBudget[[#This Row],[Ore_Grade_gpt]])/cfg_TroyOz</f>
        <v/>
      </c>
      <c r="N13" s="59">
        <f>N(tblBudget[[#This Row],[Ore_Mined_t]])+N(tblBudget[[#This Row],[Waste_t]])</f>
        <v/>
      </c>
      <c r="O13" s="59">
        <f>N(tblBudget[[#This Row],[Milled_t]])*N(tblBudget[[#This Row],[Head_Grade_gpt]])/cfg_TroyOz</f>
        <v/>
      </c>
      <c r="P13" s="59">
        <f>tblBudget[[#This Row],[Feed_oz]]*N(tblBudget[[#This Row],[Recovery_pct]])</f>
        <v/>
      </c>
    </row>
    <row r="14">
      <c r="A14" s="54" t="n">
        <v>46266</v>
      </c>
      <c r="B14" s="55" t="n"/>
      <c r="C14" s="56" t="n"/>
      <c r="D14" s="55" t="n"/>
      <c r="E14" s="55" t="n"/>
      <c r="F14" s="56" t="n"/>
      <c r="G14" s="67" t="n"/>
      <c r="H14" s="55" t="n"/>
      <c r="I14" s="57" t="n"/>
      <c r="J14" s="55" t="n"/>
      <c r="K14" s="55" t="n"/>
      <c r="L14" s="64">
        <f>DAY(EOMONTH(tblBudget[[#This Row],[Month]],0))</f>
        <v/>
      </c>
      <c r="M14" s="59">
        <f>N(tblBudget[[#This Row],[Ore_Mined_t]])*N(tblBudget[[#This Row],[Ore_Grade_gpt]])/cfg_TroyOz</f>
        <v/>
      </c>
      <c r="N14" s="59">
        <f>N(tblBudget[[#This Row],[Ore_Mined_t]])+N(tblBudget[[#This Row],[Waste_t]])</f>
        <v/>
      </c>
      <c r="O14" s="59">
        <f>N(tblBudget[[#This Row],[Milled_t]])*N(tblBudget[[#This Row],[Head_Grade_gpt]])/cfg_TroyOz</f>
        <v/>
      </c>
      <c r="P14" s="59">
        <f>tblBudget[[#This Row],[Feed_oz]]*N(tblBudget[[#This Row],[Recovery_pct]])</f>
        <v/>
      </c>
    </row>
    <row r="15">
      <c r="A15" s="54" t="n">
        <v>46296</v>
      </c>
      <c r="B15" s="55" t="n"/>
      <c r="C15" s="56" t="n"/>
      <c r="D15" s="55" t="n"/>
      <c r="E15" s="55" t="n"/>
      <c r="F15" s="56" t="n"/>
      <c r="G15" s="67" t="n"/>
      <c r="H15" s="55" t="n"/>
      <c r="I15" s="57" t="n"/>
      <c r="J15" s="55" t="n"/>
      <c r="K15" s="55" t="n"/>
      <c r="L15" s="64">
        <f>DAY(EOMONTH(tblBudget[[#This Row],[Month]],0))</f>
        <v/>
      </c>
      <c r="M15" s="59">
        <f>N(tblBudget[[#This Row],[Ore_Mined_t]])*N(tblBudget[[#This Row],[Ore_Grade_gpt]])/cfg_TroyOz</f>
        <v/>
      </c>
      <c r="N15" s="59">
        <f>N(tblBudget[[#This Row],[Ore_Mined_t]])+N(tblBudget[[#This Row],[Waste_t]])</f>
        <v/>
      </c>
      <c r="O15" s="59">
        <f>N(tblBudget[[#This Row],[Milled_t]])*N(tblBudget[[#This Row],[Head_Grade_gpt]])/cfg_TroyOz</f>
        <v/>
      </c>
      <c r="P15" s="59">
        <f>tblBudget[[#This Row],[Feed_oz]]*N(tblBudget[[#This Row],[Recovery_pct]])</f>
        <v/>
      </c>
    </row>
    <row r="16">
      <c r="A16" s="54" t="n">
        <v>46327</v>
      </c>
      <c r="B16" s="55" t="n"/>
      <c r="C16" s="56" t="n"/>
      <c r="D16" s="55" t="n"/>
      <c r="E16" s="55" t="n"/>
      <c r="F16" s="56" t="n"/>
      <c r="G16" s="67" t="n"/>
      <c r="H16" s="55" t="n"/>
      <c r="I16" s="57" t="n"/>
      <c r="J16" s="55" t="n"/>
      <c r="K16" s="55" t="n"/>
      <c r="L16" s="64">
        <f>DAY(EOMONTH(tblBudget[[#This Row],[Month]],0))</f>
        <v/>
      </c>
      <c r="M16" s="59">
        <f>N(tblBudget[[#This Row],[Ore_Mined_t]])*N(tblBudget[[#This Row],[Ore_Grade_gpt]])/cfg_TroyOz</f>
        <v/>
      </c>
      <c r="N16" s="59">
        <f>N(tblBudget[[#This Row],[Ore_Mined_t]])+N(tblBudget[[#This Row],[Waste_t]])</f>
        <v/>
      </c>
      <c r="O16" s="59">
        <f>N(tblBudget[[#This Row],[Milled_t]])*N(tblBudget[[#This Row],[Head_Grade_gpt]])/cfg_TroyOz</f>
        <v/>
      </c>
      <c r="P16" s="59">
        <f>tblBudget[[#This Row],[Feed_oz]]*N(tblBudget[[#This Row],[Recovery_pct]])</f>
        <v/>
      </c>
    </row>
    <row r="17">
      <c r="A17" s="54" t="n">
        <v>46357</v>
      </c>
      <c r="B17" s="55" t="n"/>
      <c r="C17" s="56" t="n"/>
      <c r="D17" s="55" t="n"/>
      <c r="E17" s="55" t="n"/>
      <c r="F17" s="56" t="n"/>
      <c r="G17" s="67" t="n"/>
      <c r="H17" s="55" t="n"/>
      <c r="I17" s="57" t="n"/>
      <c r="J17" s="55" t="n"/>
      <c r="K17" s="55" t="n"/>
      <c r="L17" s="64">
        <f>DAY(EOMONTH(tblBudget[[#This Row],[Month]],0))</f>
        <v/>
      </c>
      <c r="M17" s="59">
        <f>N(tblBudget[[#This Row],[Ore_Mined_t]])*N(tblBudget[[#This Row],[Ore_Grade_gpt]])/cfg_TroyOz</f>
        <v/>
      </c>
      <c r="N17" s="59">
        <f>N(tblBudget[[#This Row],[Ore_Mined_t]])+N(tblBudget[[#This Row],[Waste_t]])</f>
        <v/>
      </c>
      <c r="O17" s="59">
        <f>N(tblBudget[[#This Row],[Milled_t]])*N(tblBudget[[#This Row],[Head_Grade_gpt]])/cfg_TroyOz</f>
        <v/>
      </c>
      <c r="P17" s="59">
        <f>tblBudget[[#This Row],[Feed_oz]]*N(tblBudget[[#This Row],[Recovery_pct]])</f>
        <v/>
      </c>
    </row>
  </sheetData>
  <conditionalFormatting sqref="A6:A17">
    <cfRule type="expression" priority="1" dxfId="0">
      <formula>COUNTIF($A$6:$A$17,$A6)&gt;1</formula>
    </cfRule>
  </conditionalFormatting>
  <dataValidations count="11">
    <dataValidation sqref="A6:A17" showDropDown="0" showInputMessage="1" showErrorMessage="1" allowBlank="1" errorTitle="Duplicate date" error="This date already has a row in the table. Enter the values on the existing row." promptTitle="Month" prompt="First day of the month" type="custom" errorStyle="stop">
      <formula1>COUNTIF($A$6:$A$17,A6)=1</formula1>
    </dataValidation>
    <dataValidation sqref="B6:B17" showDropDown="0" showInputMessage="0" showErrorMessage="1" allowBlank="1" errorTitle="Outside expected range" error="Expected between 0 and 5,000,000. Click Yes to keep the value if it is correct." type="decimal" errorStyle="warning" operator="between">
      <formula1>0</formula1>
      <formula2>5000000</formula2>
    </dataValidation>
    <dataValidation sqref="C6:C17" showDropDown="0" showInputMessage="0" showErrorMessage="1" allowBlank="1" errorTitle="Outside expected range" error="Expected between 0 and 50. Click Yes to keep the value if it is correct." type="decimal" errorStyle="warning" operator="between">
      <formula1>0</formula1>
      <formula2>50</formula2>
    </dataValidation>
    <dataValidation sqref="D6:D17" showDropDown="0" showInputMessage="0" showErrorMessage="1" allowBlank="1" errorTitle="Outside expected range" error="Expected between 0 and 20,000,000. Click Yes to keep the value if it is correct." type="decimal" errorStyle="warning" operator="between">
      <formula1>0</formula1>
      <formula2>20000000</formula2>
    </dataValidation>
    <dataValidation sqref="E6:E17" showDropDown="0" showInputMessage="0" showErrorMessage="1" allowBlank="1" errorTitle="Outside expected range" error="Expected between 0 and 5,000,000. Click Yes to keep the value if it is correct." type="decimal" errorStyle="warning" operator="between">
      <formula1>0</formula1>
      <formula2>5000000</formula2>
    </dataValidation>
    <dataValidation sqref="F6:F17" showDropDown="0" showInputMessage="0" showErrorMessage="1" allowBlank="1" errorTitle="Outside expected range" error="Expected between 0 and 50. Click Yes to keep the value if it is correct." type="decimal" errorStyle="warning" operator="between">
      <formula1>0</formula1>
      <formula2>50</formula2>
    </dataValidation>
    <dataValidation sqref="G6:G17" showDropDown="0" showInputMessage="0" showErrorMessage="1" allowBlank="1" errorTitle="Outside expected range" error="Expected between 0 and 1. Click Yes to keep the value if it is correct." type="decimal" errorStyle="warning" operator="between">
      <formula1>0</formula1>
      <formula2>1</formula2>
    </dataValidation>
    <dataValidation sqref="H6:H17" showDropDown="0" showInputMessage="0" showErrorMessage="1" allowBlank="1" errorTitle="Outside expected range" error="Expected between 0 and 500,000. Click Yes to keep the value if it is correct." type="decimal" errorStyle="warning" operator="between">
      <formula1>0</formula1>
      <formula2>500000</formula2>
    </dataValidation>
    <dataValidation sqref="I6:I17" showDropDown="0" showInputMessage="0" showErrorMessage="1" allowBlank="1" errorTitle="Outside expected range" error="Expected between 0 and 2,000,000. Click Yes to keep the value if it is correct." type="decimal" errorStyle="warning" operator="between">
      <formula1>0</formula1>
      <formula2>2000000</formula2>
    </dataValidation>
    <dataValidation sqref="J6:J17" showDropDown="0" showInputMessage="0" showErrorMessage="1" allowBlank="1" errorTitle="Outside expected range" error="Expected between 0 and 500,000. Click Yes to keep the value if it is correct." type="decimal" errorStyle="warning" operator="between">
      <formula1>0</formula1>
      <formula2>500000</formula2>
    </dataValidation>
    <dataValidation sqref="K6:K17" showDropDown="0" showInputMessage="0" showErrorMessage="1" allowBlank="1" errorTitle="Outside expected range" error="Expected between 0 and 10,000,000. Click Yes to keep the value if it is correct." type="decimal" errorStyle="warning" operator="between">
      <formula1>0</formula1>
      <formula2>10000000</formula2>
    </dataValidation>
  </dataValidations>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548235"/>
    <outlinePr summaryBelow="1" summaryRight="1"/>
    <pageSetUpPr/>
  </sheetPr>
  <dimension ref="A1:F300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32" customWidth="1" min="3" max="3"/>
    <col width="32" customWidth="1" min="4" max="4"/>
    <col width="15.5" customWidth="1" min="5" max="5"/>
    <col width="32" customWidth="1" min="6" max="6"/>
  </cols>
  <sheetData>
    <row r="1">
      <c r="A1" s="50" t="inlineStr">
        <is>
          <t>Daily report narrative, one row per comment</t>
        </is>
      </c>
    </row>
    <row r="2">
      <c r="A2" s="6" t="inlineStr">
        <is>
          <t>Owner: All departments; compiled by the production engineer. Type only in the blue-headed columns; grey-headed columns are formulas. Add rows at the bottom only; never insert columns. Paste with Paste Special &gt; Values only. Red cells need attention (missing or unknown value, duplicate date).</t>
        </is>
      </c>
    </row>
    <row r="4" ht="30" customHeight="1">
      <c r="A4" s="51" t="inlineStr">
        <is>
          <t>Date</t>
        </is>
      </c>
      <c r="B4" s="51" t="inlineStr">
        <is>
          <t>Area</t>
        </is>
      </c>
      <c r="C4" s="51" t="inlineStr">
        <is>
          <t>Comment</t>
        </is>
      </c>
      <c r="D4" s="51" t="inlineStr">
        <is>
          <t>Author</t>
        </is>
      </c>
      <c r="E4" s="51" t="inlineStr">
        <is>
          <t>Sequence in day</t>
        </is>
      </c>
      <c r="F4" s="51" t="inlineStr">
        <is>
          <t>Day key</t>
        </is>
      </c>
    </row>
    <row r="5">
      <c r="A5" s="52" t="inlineStr">
        <is>
          <t>Date</t>
        </is>
      </c>
      <c r="B5" s="52" t="inlineStr">
        <is>
          <t>Area</t>
        </is>
      </c>
      <c r="C5" s="52" t="inlineStr">
        <is>
          <t>Comment</t>
        </is>
      </c>
      <c r="D5" s="52" t="inlineStr">
        <is>
          <t>Author</t>
        </is>
      </c>
      <c r="E5" s="53" t="inlineStr">
        <is>
          <t>Seq_Day</t>
        </is>
      </c>
      <c r="F5" s="53" t="inlineStr">
        <is>
          <t>Key_Day</t>
        </is>
      </c>
    </row>
    <row r="6">
      <c r="A6" s="54" t="n"/>
      <c r="B6" s="61" t="n"/>
      <c r="C6" s="58" t="n"/>
      <c r="D6" s="58" t="n"/>
      <c r="E6" s="64">
        <f>IF(tblCommentary[[#This Row],[Date]]="","",COUNTIFS(INDEX(tblCommentary[Date],1):tblCommentary[[#This Row],[Date]],tblCommentary[[#This Row],[Date]]))</f>
        <v/>
      </c>
      <c r="F6" s="63">
        <f>IF(tblCommentary[[#This Row],[Date]]="","",tblCommentary[[#This Row],[Date]]&amp;"|"&amp;tblCommentary[[#This Row],[Seq_Day]])</f>
        <v/>
      </c>
    </row>
    <row r="7">
      <c r="A7" s="54" t="n"/>
      <c r="B7" s="61" t="n"/>
      <c r="C7" s="58" t="n"/>
      <c r="D7" s="58" t="n"/>
      <c r="E7" s="64">
        <f>IF(tblCommentary[[#This Row],[Date]]="","",COUNTIFS(INDEX(tblCommentary[Date],1):tblCommentary[[#This Row],[Date]],tblCommentary[[#This Row],[Date]]))</f>
        <v/>
      </c>
      <c r="F7" s="63">
        <f>IF(tblCommentary[[#This Row],[Date]]="","",tblCommentary[[#This Row],[Date]]&amp;"|"&amp;tblCommentary[[#This Row],[Seq_Day]])</f>
        <v/>
      </c>
    </row>
    <row r="8">
      <c r="A8" s="54" t="n"/>
      <c r="B8" s="61" t="n"/>
      <c r="C8" s="58" t="n"/>
      <c r="D8" s="58" t="n"/>
      <c r="E8" s="64">
        <f>IF(tblCommentary[[#This Row],[Date]]="","",COUNTIFS(INDEX(tblCommentary[Date],1):tblCommentary[[#This Row],[Date]],tblCommentary[[#This Row],[Date]]))</f>
        <v/>
      </c>
      <c r="F8" s="63">
        <f>IF(tblCommentary[[#This Row],[Date]]="","",tblCommentary[[#This Row],[Date]]&amp;"|"&amp;tblCommentary[[#This Row],[Seq_Day]])</f>
        <v/>
      </c>
    </row>
    <row r="9">
      <c r="A9" s="54" t="n"/>
      <c r="B9" s="61" t="n"/>
      <c r="C9" s="58" t="n"/>
      <c r="D9" s="58" t="n"/>
      <c r="E9" s="64">
        <f>IF(tblCommentary[[#This Row],[Date]]="","",COUNTIFS(INDEX(tblCommentary[Date],1):tblCommentary[[#This Row],[Date]],tblCommentary[[#This Row],[Date]]))</f>
        <v/>
      </c>
      <c r="F9" s="63">
        <f>IF(tblCommentary[[#This Row],[Date]]="","",tblCommentary[[#This Row],[Date]]&amp;"|"&amp;tblCommentary[[#This Row],[Seq_Day]])</f>
        <v/>
      </c>
    </row>
    <row r="10">
      <c r="A10" s="54" t="n"/>
      <c r="B10" s="61" t="n"/>
      <c r="C10" s="58" t="n"/>
      <c r="D10" s="58" t="n"/>
      <c r="E10" s="64">
        <f>IF(tblCommentary[[#This Row],[Date]]="","",COUNTIFS(INDEX(tblCommentary[Date],1):tblCommentary[[#This Row],[Date]],tblCommentary[[#This Row],[Date]]))</f>
        <v/>
      </c>
      <c r="F10" s="63">
        <f>IF(tblCommentary[[#This Row],[Date]]="","",tblCommentary[[#This Row],[Date]]&amp;"|"&amp;tblCommentary[[#This Row],[Seq_Day]])</f>
        <v/>
      </c>
    </row>
    <row r="11">
      <c r="A11" s="54" t="n"/>
      <c r="B11" s="61" t="n"/>
      <c r="C11" s="58" t="n"/>
      <c r="D11" s="58" t="n"/>
      <c r="E11" s="64">
        <f>IF(tblCommentary[[#This Row],[Date]]="","",COUNTIFS(INDEX(tblCommentary[Date],1):tblCommentary[[#This Row],[Date]],tblCommentary[[#This Row],[Date]]))</f>
        <v/>
      </c>
      <c r="F11" s="63">
        <f>IF(tblCommentary[[#This Row],[Date]]="","",tblCommentary[[#This Row],[Date]]&amp;"|"&amp;tblCommentary[[#This Row],[Seq_Day]])</f>
        <v/>
      </c>
    </row>
    <row r="12">
      <c r="A12" s="54" t="n"/>
      <c r="B12" s="61" t="n"/>
      <c r="C12" s="58" t="n"/>
      <c r="D12" s="58" t="n"/>
      <c r="E12" s="64">
        <f>IF(tblCommentary[[#This Row],[Date]]="","",COUNTIFS(INDEX(tblCommentary[Date],1):tblCommentary[[#This Row],[Date]],tblCommentary[[#This Row],[Date]]))</f>
        <v/>
      </c>
      <c r="F12" s="63">
        <f>IF(tblCommentary[[#This Row],[Date]]="","",tblCommentary[[#This Row],[Date]]&amp;"|"&amp;tblCommentary[[#This Row],[Seq_Day]])</f>
        <v/>
      </c>
    </row>
    <row r="13">
      <c r="A13" s="54" t="n"/>
      <c r="B13" s="61" t="n"/>
      <c r="C13" s="58" t="n"/>
      <c r="D13" s="58" t="n"/>
      <c r="E13" s="64">
        <f>IF(tblCommentary[[#This Row],[Date]]="","",COUNTIFS(INDEX(tblCommentary[Date],1):tblCommentary[[#This Row],[Date]],tblCommentary[[#This Row],[Date]]))</f>
        <v/>
      </c>
      <c r="F13" s="63">
        <f>IF(tblCommentary[[#This Row],[Date]]="","",tblCommentary[[#This Row],[Date]]&amp;"|"&amp;tblCommentary[[#This Row],[Seq_Day]])</f>
        <v/>
      </c>
    </row>
    <row r="14">
      <c r="A14" s="54" t="n"/>
      <c r="B14" s="61" t="n"/>
      <c r="C14" s="58" t="n"/>
      <c r="D14" s="58" t="n"/>
      <c r="E14" s="64">
        <f>IF(tblCommentary[[#This Row],[Date]]="","",COUNTIFS(INDEX(tblCommentary[Date],1):tblCommentary[[#This Row],[Date]],tblCommentary[[#This Row],[Date]]))</f>
        <v/>
      </c>
      <c r="F14" s="63">
        <f>IF(tblCommentary[[#This Row],[Date]]="","",tblCommentary[[#This Row],[Date]]&amp;"|"&amp;tblCommentary[[#This Row],[Seq_Day]])</f>
        <v/>
      </c>
    </row>
    <row r="15">
      <c r="A15" s="54" t="n"/>
      <c r="B15" s="61" t="n"/>
      <c r="C15" s="58" t="n"/>
      <c r="D15" s="58" t="n"/>
      <c r="E15" s="64">
        <f>IF(tblCommentary[[#This Row],[Date]]="","",COUNTIFS(INDEX(tblCommentary[Date],1):tblCommentary[[#This Row],[Date]],tblCommentary[[#This Row],[Date]]))</f>
        <v/>
      </c>
      <c r="F15" s="63">
        <f>IF(tblCommentary[[#This Row],[Date]]="","",tblCommentary[[#This Row],[Date]]&amp;"|"&amp;tblCommentary[[#This Row],[Seq_Day]])</f>
        <v/>
      </c>
    </row>
    <row r="16">
      <c r="A16" s="54" t="n"/>
      <c r="B16" s="61" t="n"/>
      <c r="C16" s="58" t="n"/>
      <c r="D16" s="58" t="n"/>
      <c r="E16" s="64">
        <f>IF(tblCommentary[[#This Row],[Date]]="","",COUNTIFS(INDEX(tblCommentary[Date],1):tblCommentary[[#This Row],[Date]],tblCommentary[[#This Row],[Date]]))</f>
        <v/>
      </c>
      <c r="F16" s="63">
        <f>IF(tblCommentary[[#This Row],[Date]]="","",tblCommentary[[#This Row],[Date]]&amp;"|"&amp;tblCommentary[[#This Row],[Seq_Day]])</f>
        <v/>
      </c>
    </row>
    <row r="17">
      <c r="A17" s="54" t="n"/>
      <c r="B17" s="61" t="n"/>
      <c r="C17" s="58" t="n"/>
      <c r="D17" s="58" t="n"/>
      <c r="E17" s="64">
        <f>IF(tblCommentary[[#This Row],[Date]]="","",COUNTIFS(INDEX(tblCommentary[Date],1):tblCommentary[[#This Row],[Date]],tblCommentary[[#This Row],[Date]]))</f>
        <v/>
      </c>
      <c r="F17" s="63">
        <f>IF(tblCommentary[[#This Row],[Date]]="","",tblCommentary[[#This Row],[Date]]&amp;"|"&amp;tblCommentary[[#This Row],[Seq_Day]])</f>
        <v/>
      </c>
    </row>
    <row r="18">
      <c r="A18" s="54" t="n"/>
      <c r="B18" s="61" t="n"/>
      <c r="C18" s="58" t="n"/>
      <c r="D18" s="58" t="n"/>
      <c r="E18" s="64">
        <f>IF(tblCommentary[[#This Row],[Date]]="","",COUNTIFS(INDEX(tblCommentary[Date],1):tblCommentary[[#This Row],[Date]],tblCommentary[[#This Row],[Date]]))</f>
        <v/>
      </c>
      <c r="F18" s="63">
        <f>IF(tblCommentary[[#This Row],[Date]]="","",tblCommentary[[#This Row],[Date]]&amp;"|"&amp;tblCommentary[[#This Row],[Seq_Day]])</f>
        <v/>
      </c>
    </row>
    <row r="19">
      <c r="A19" s="54" t="n"/>
      <c r="B19" s="61" t="n"/>
      <c r="C19" s="58" t="n"/>
      <c r="D19" s="58" t="n"/>
      <c r="E19" s="64">
        <f>IF(tblCommentary[[#This Row],[Date]]="","",COUNTIFS(INDEX(tblCommentary[Date],1):tblCommentary[[#This Row],[Date]],tblCommentary[[#This Row],[Date]]))</f>
        <v/>
      </c>
      <c r="F19" s="63">
        <f>IF(tblCommentary[[#This Row],[Date]]="","",tblCommentary[[#This Row],[Date]]&amp;"|"&amp;tblCommentary[[#This Row],[Seq_Day]])</f>
        <v/>
      </c>
    </row>
    <row r="20">
      <c r="A20" s="54" t="n"/>
      <c r="B20" s="61" t="n"/>
      <c r="C20" s="58" t="n"/>
      <c r="D20" s="58" t="n"/>
      <c r="E20" s="64">
        <f>IF(tblCommentary[[#This Row],[Date]]="","",COUNTIFS(INDEX(tblCommentary[Date],1):tblCommentary[[#This Row],[Date]],tblCommentary[[#This Row],[Date]]))</f>
        <v/>
      </c>
      <c r="F20" s="63">
        <f>IF(tblCommentary[[#This Row],[Date]]="","",tblCommentary[[#This Row],[Date]]&amp;"|"&amp;tblCommentary[[#This Row],[Seq_Day]])</f>
        <v/>
      </c>
    </row>
    <row r="21">
      <c r="A21" s="54" t="n"/>
      <c r="B21" s="61" t="n"/>
      <c r="C21" s="58" t="n"/>
      <c r="D21" s="58" t="n"/>
      <c r="E21" s="64">
        <f>IF(tblCommentary[[#This Row],[Date]]="","",COUNTIFS(INDEX(tblCommentary[Date],1):tblCommentary[[#This Row],[Date]],tblCommentary[[#This Row],[Date]]))</f>
        <v/>
      </c>
      <c r="F21" s="63">
        <f>IF(tblCommentary[[#This Row],[Date]]="","",tblCommentary[[#This Row],[Date]]&amp;"|"&amp;tblCommentary[[#This Row],[Seq_Day]])</f>
        <v/>
      </c>
    </row>
    <row r="22">
      <c r="A22" s="54" t="n"/>
      <c r="B22" s="61" t="n"/>
      <c r="C22" s="58" t="n"/>
      <c r="D22" s="58" t="n"/>
      <c r="E22" s="64">
        <f>IF(tblCommentary[[#This Row],[Date]]="","",COUNTIFS(INDEX(tblCommentary[Date],1):tblCommentary[[#This Row],[Date]],tblCommentary[[#This Row],[Date]]))</f>
        <v/>
      </c>
      <c r="F22" s="63">
        <f>IF(tblCommentary[[#This Row],[Date]]="","",tblCommentary[[#This Row],[Date]]&amp;"|"&amp;tblCommentary[[#This Row],[Seq_Day]])</f>
        <v/>
      </c>
    </row>
    <row r="23">
      <c r="A23" s="54" t="n"/>
      <c r="B23" s="61" t="n"/>
      <c r="C23" s="58" t="n"/>
      <c r="D23" s="58" t="n"/>
      <c r="E23" s="64">
        <f>IF(tblCommentary[[#This Row],[Date]]="","",COUNTIFS(INDEX(tblCommentary[Date],1):tblCommentary[[#This Row],[Date]],tblCommentary[[#This Row],[Date]]))</f>
        <v/>
      </c>
      <c r="F23" s="63">
        <f>IF(tblCommentary[[#This Row],[Date]]="","",tblCommentary[[#This Row],[Date]]&amp;"|"&amp;tblCommentary[[#This Row],[Seq_Day]])</f>
        <v/>
      </c>
    </row>
    <row r="24">
      <c r="A24" s="54" t="n"/>
      <c r="B24" s="61" t="n"/>
      <c r="C24" s="58" t="n"/>
      <c r="D24" s="58" t="n"/>
      <c r="E24" s="64">
        <f>IF(tblCommentary[[#This Row],[Date]]="","",COUNTIFS(INDEX(tblCommentary[Date],1):tblCommentary[[#This Row],[Date]],tblCommentary[[#This Row],[Date]]))</f>
        <v/>
      </c>
      <c r="F24" s="63">
        <f>IF(tblCommentary[[#This Row],[Date]]="","",tblCommentary[[#This Row],[Date]]&amp;"|"&amp;tblCommentary[[#This Row],[Seq_Day]])</f>
        <v/>
      </c>
    </row>
    <row r="25">
      <c r="A25" s="54" t="n"/>
      <c r="B25" s="61" t="n"/>
      <c r="C25" s="58" t="n"/>
      <c r="D25" s="58" t="n"/>
      <c r="E25" s="64">
        <f>IF(tblCommentary[[#This Row],[Date]]="","",COUNTIFS(INDEX(tblCommentary[Date],1):tblCommentary[[#This Row],[Date]],tblCommentary[[#This Row],[Date]]))</f>
        <v/>
      </c>
      <c r="F25" s="63">
        <f>IF(tblCommentary[[#This Row],[Date]]="","",tblCommentary[[#This Row],[Date]]&amp;"|"&amp;tblCommentary[[#This Row],[Seq_Day]])</f>
        <v/>
      </c>
    </row>
    <row r="26">
      <c r="A26" s="54" t="n"/>
      <c r="B26" s="61" t="n"/>
      <c r="C26" s="58" t="n"/>
      <c r="D26" s="58" t="n"/>
      <c r="E26" s="64">
        <f>IF(tblCommentary[[#This Row],[Date]]="","",COUNTIFS(INDEX(tblCommentary[Date],1):tblCommentary[[#This Row],[Date]],tblCommentary[[#This Row],[Date]]))</f>
        <v/>
      </c>
      <c r="F26" s="63">
        <f>IF(tblCommentary[[#This Row],[Date]]="","",tblCommentary[[#This Row],[Date]]&amp;"|"&amp;tblCommentary[[#This Row],[Seq_Day]])</f>
        <v/>
      </c>
    </row>
    <row r="27">
      <c r="A27" s="54" t="n"/>
      <c r="B27" s="61" t="n"/>
      <c r="C27" s="58" t="n"/>
      <c r="D27" s="58" t="n"/>
      <c r="E27" s="64">
        <f>IF(tblCommentary[[#This Row],[Date]]="","",COUNTIFS(INDEX(tblCommentary[Date],1):tblCommentary[[#This Row],[Date]],tblCommentary[[#This Row],[Date]]))</f>
        <v/>
      </c>
      <c r="F27" s="63">
        <f>IF(tblCommentary[[#This Row],[Date]]="","",tblCommentary[[#This Row],[Date]]&amp;"|"&amp;tblCommentary[[#This Row],[Seq_Day]])</f>
        <v/>
      </c>
    </row>
    <row r="28">
      <c r="A28" s="54" t="n"/>
      <c r="B28" s="61" t="n"/>
      <c r="C28" s="58" t="n"/>
      <c r="D28" s="58" t="n"/>
      <c r="E28" s="64">
        <f>IF(tblCommentary[[#This Row],[Date]]="","",COUNTIFS(INDEX(tblCommentary[Date],1):tblCommentary[[#This Row],[Date]],tblCommentary[[#This Row],[Date]]))</f>
        <v/>
      </c>
      <c r="F28" s="63">
        <f>IF(tblCommentary[[#This Row],[Date]]="","",tblCommentary[[#This Row],[Date]]&amp;"|"&amp;tblCommentary[[#This Row],[Seq_Day]])</f>
        <v/>
      </c>
    </row>
    <row r="29">
      <c r="A29" s="54" t="n"/>
      <c r="B29" s="61" t="n"/>
      <c r="C29" s="58" t="n"/>
      <c r="D29" s="58" t="n"/>
      <c r="E29" s="64">
        <f>IF(tblCommentary[[#This Row],[Date]]="","",COUNTIFS(INDEX(tblCommentary[Date],1):tblCommentary[[#This Row],[Date]],tblCommentary[[#This Row],[Date]]))</f>
        <v/>
      </c>
      <c r="F29" s="63">
        <f>IF(tblCommentary[[#This Row],[Date]]="","",tblCommentary[[#This Row],[Date]]&amp;"|"&amp;tblCommentary[[#This Row],[Seq_Day]])</f>
        <v/>
      </c>
    </row>
    <row r="30">
      <c r="A30" s="54" t="n"/>
      <c r="B30" s="61" t="n"/>
      <c r="C30" s="58" t="n"/>
      <c r="D30" s="58" t="n"/>
      <c r="E30" s="64">
        <f>IF(tblCommentary[[#This Row],[Date]]="","",COUNTIFS(INDEX(tblCommentary[Date],1):tblCommentary[[#This Row],[Date]],tblCommentary[[#This Row],[Date]]))</f>
        <v/>
      </c>
      <c r="F30" s="63">
        <f>IF(tblCommentary[[#This Row],[Date]]="","",tblCommentary[[#This Row],[Date]]&amp;"|"&amp;tblCommentary[[#This Row],[Seq_Day]])</f>
        <v/>
      </c>
    </row>
    <row r="31">
      <c r="A31" s="54" t="n"/>
      <c r="B31" s="61" t="n"/>
      <c r="C31" s="58" t="n"/>
      <c r="D31" s="58" t="n"/>
      <c r="E31" s="64">
        <f>IF(tblCommentary[[#This Row],[Date]]="","",COUNTIFS(INDEX(tblCommentary[Date],1):tblCommentary[[#This Row],[Date]],tblCommentary[[#This Row],[Date]]))</f>
        <v/>
      </c>
      <c r="F31" s="63">
        <f>IF(tblCommentary[[#This Row],[Date]]="","",tblCommentary[[#This Row],[Date]]&amp;"|"&amp;tblCommentary[[#This Row],[Seq_Day]])</f>
        <v/>
      </c>
    </row>
    <row r="32">
      <c r="A32" s="54" t="n"/>
      <c r="B32" s="61" t="n"/>
      <c r="C32" s="58" t="n"/>
      <c r="D32" s="58" t="n"/>
      <c r="E32" s="64">
        <f>IF(tblCommentary[[#This Row],[Date]]="","",COUNTIFS(INDEX(tblCommentary[Date],1):tblCommentary[[#This Row],[Date]],tblCommentary[[#This Row],[Date]]))</f>
        <v/>
      </c>
      <c r="F32" s="63">
        <f>IF(tblCommentary[[#This Row],[Date]]="","",tblCommentary[[#This Row],[Date]]&amp;"|"&amp;tblCommentary[[#This Row],[Seq_Day]])</f>
        <v/>
      </c>
    </row>
    <row r="33">
      <c r="A33" s="54" t="n"/>
      <c r="B33" s="61" t="n"/>
      <c r="C33" s="58" t="n"/>
      <c r="D33" s="58" t="n"/>
      <c r="E33" s="64">
        <f>IF(tblCommentary[[#This Row],[Date]]="","",COUNTIFS(INDEX(tblCommentary[Date],1):tblCommentary[[#This Row],[Date]],tblCommentary[[#This Row],[Date]]))</f>
        <v/>
      </c>
      <c r="F33" s="63">
        <f>IF(tblCommentary[[#This Row],[Date]]="","",tblCommentary[[#This Row],[Date]]&amp;"|"&amp;tblCommentary[[#This Row],[Seq_Day]])</f>
        <v/>
      </c>
    </row>
    <row r="34">
      <c r="A34" s="54" t="n"/>
      <c r="B34" s="61" t="n"/>
      <c r="C34" s="58" t="n"/>
      <c r="D34" s="58" t="n"/>
      <c r="E34" s="64">
        <f>IF(tblCommentary[[#This Row],[Date]]="","",COUNTIFS(INDEX(tblCommentary[Date],1):tblCommentary[[#This Row],[Date]],tblCommentary[[#This Row],[Date]]))</f>
        <v/>
      </c>
      <c r="F34" s="63">
        <f>IF(tblCommentary[[#This Row],[Date]]="","",tblCommentary[[#This Row],[Date]]&amp;"|"&amp;tblCommentary[[#This Row],[Seq_Day]])</f>
        <v/>
      </c>
    </row>
    <row r="35">
      <c r="A35" s="54" t="n"/>
      <c r="B35" s="61" t="n"/>
      <c r="C35" s="58" t="n"/>
      <c r="D35" s="58" t="n"/>
      <c r="E35" s="64">
        <f>IF(tblCommentary[[#This Row],[Date]]="","",COUNTIFS(INDEX(tblCommentary[Date],1):tblCommentary[[#This Row],[Date]],tblCommentary[[#This Row],[Date]]))</f>
        <v/>
      </c>
      <c r="F35" s="63">
        <f>IF(tblCommentary[[#This Row],[Date]]="","",tblCommentary[[#This Row],[Date]]&amp;"|"&amp;tblCommentary[[#This Row],[Seq_Day]])</f>
        <v/>
      </c>
    </row>
    <row r="36">
      <c r="A36" s="54" t="n"/>
      <c r="B36" s="61" t="n"/>
      <c r="C36" s="58" t="n"/>
      <c r="D36" s="58" t="n"/>
      <c r="E36" s="64">
        <f>IF(tblCommentary[[#This Row],[Date]]="","",COUNTIFS(INDEX(tblCommentary[Date],1):tblCommentary[[#This Row],[Date]],tblCommentary[[#This Row],[Date]]))</f>
        <v/>
      </c>
      <c r="F36" s="63">
        <f>IF(tblCommentary[[#This Row],[Date]]="","",tblCommentary[[#This Row],[Date]]&amp;"|"&amp;tblCommentary[[#This Row],[Seq_Day]])</f>
        <v/>
      </c>
    </row>
    <row r="37">
      <c r="A37" s="54" t="n"/>
      <c r="B37" s="61" t="n"/>
      <c r="C37" s="58" t="n"/>
      <c r="D37" s="58" t="n"/>
      <c r="E37" s="64">
        <f>IF(tblCommentary[[#This Row],[Date]]="","",COUNTIFS(INDEX(tblCommentary[Date],1):tblCommentary[[#This Row],[Date]],tblCommentary[[#This Row],[Date]]))</f>
        <v/>
      </c>
      <c r="F37" s="63">
        <f>IF(tblCommentary[[#This Row],[Date]]="","",tblCommentary[[#This Row],[Date]]&amp;"|"&amp;tblCommentary[[#This Row],[Seq_Day]])</f>
        <v/>
      </c>
    </row>
    <row r="38">
      <c r="A38" s="54" t="n"/>
      <c r="B38" s="61" t="n"/>
      <c r="C38" s="58" t="n"/>
      <c r="D38" s="58" t="n"/>
      <c r="E38" s="64">
        <f>IF(tblCommentary[[#This Row],[Date]]="","",COUNTIFS(INDEX(tblCommentary[Date],1):tblCommentary[[#This Row],[Date]],tblCommentary[[#This Row],[Date]]))</f>
        <v/>
      </c>
      <c r="F38" s="63">
        <f>IF(tblCommentary[[#This Row],[Date]]="","",tblCommentary[[#This Row],[Date]]&amp;"|"&amp;tblCommentary[[#This Row],[Seq_Day]])</f>
        <v/>
      </c>
    </row>
    <row r="39">
      <c r="A39" s="54" t="n"/>
      <c r="B39" s="61" t="n"/>
      <c r="C39" s="58" t="n"/>
      <c r="D39" s="58" t="n"/>
      <c r="E39" s="64">
        <f>IF(tblCommentary[[#This Row],[Date]]="","",COUNTIFS(INDEX(tblCommentary[Date],1):tblCommentary[[#This Row],[Date]],tblCommentary[[#This Row],[Date]]))</f>
        <v/>
      </c>
      <c r="F39" s="63">
        <f>IF(tblCommentary[[#This Row],[Date]]="","",tblCommentary[[#This Row],[Date]]&amp;"|"&amp;tblCommentary[[#This Row],[Seq_Day]])</f>
        <v/>
      </c>
    </row>
    <row r="40">
      <c r="A40" s="54" t="n"/>
      <c r="B40" s="61" t="n"/>
      <c r="C40" s="58" t="n"/>
      <c r="D40" s="58" t="n"/>
      <c r="E40" s="64">
        <f>IF(tblCommentary[[#This Row],[Date]]="","",COUNTIFS(INDEX(tblCommentary[Date],1):tblCommentary[[#This Row],[Date]],tblCommentary[[#This Row],[Date]]))</f>
        <v/>
      </c>
      <c r="F40" s="63">
        <f>IF(tblCommentary[[#This Row],[Date]]="","",tblCommentary[[#This Row],[Date]]&amp;"|"&amp;tblCommentary[[#This Row],[Seq_Day]])</f>
        <v/>
      </c>
    </row>
    <row r="41">
      <c r="A41" s="54" t="n"/>
      <c r="B41" s="61" t="n"/>
      <c r="C41" s="58" t="n"/>
      <c r="D41" s="58" t="n"/>
      <c r="E41" s="64">
        <f>IF(tblCommentary[[#This Row],[Date]]="","",COUNTIFS(INDEX(tblCommentary[Date],1):tblCommentary[[#This Row],[Date]],tblCommentary[[#This Row],[Date]]))</f>
        <v/>
      </c>
      <c r="F41" s="63">
        <f>IF(tblCommentary[[#This Row],[Date]]="","",tblCommentary[[#This Row],[Date]]&amp;"|"&amp;tblCommentary[[#This Row],[Seq_Day]])</f>
        <v/>
      </c>
    </row>
    <row r="42">
      <c r="A42" s="54" t="n"/>
      <c r="B42" s="61" t="n"/>
      <c r="C42" s="58" t="n"/>
      <c r="D42" s="58" t="n"/>
      <c r="E42" s="64">
        <f>IF(tblCommentary[[#This Row],[Date]]="","",COUNTIFS(INDEX(tblCommentary[Date],1):tblCommentary[[#This Row],[Date]],tblCommentary[[#This Row],[Date]]))</f>
        <v/>
      </c>
      <c r="F42" s="63">
        <f>IF(tblCommentary[[#This Row],[Date]]="","",tblCommentary[[#This Row],[Date]]&amp;"|"&amp;tblCommentary[[#This Row],[Seq_Day]])</f>
        <v/>
      </c>
    </row>
    <row r="43">
      <c r="A43" s="54" t="n"/>
      <c r="B43" s="61" t="n"/>
      <c r="C43" s="58" t="n"/>
      <c r="D43" s="58" t="n"/>
      <c r="E43" s="64">
        <f>IF(tblCommentary[[#This Row],[Date]]="","",COUNTIFS(INDEX(tblCommentary[Date],1):tblCommentary[[#This Row],[Date]],tblCommentary[[#This Row],[Date]]))</f>
        <v/>
      </c>
      <c r="F43" s="63">
        <f>IF(tblCommentary[[#This Row],[Date]]="","",tblCommentary[[#This Row],[Date]]&amp;"|"&amp;tblCommentary[[#This Row],[Seq_Day]])</f>
        <v/>
      </c>
    </row>
    <row r="44">
      <c r="A44" s="54" t="n"/>
      <c r="B44" s="61" t="n"/>
      <c r="C44" s="58" t="n"/>
      <c r="D44" s="58" t="n"/>
      <c r="E44" s="64">
        <f>IF(tblCommentary[[#This Row],[Date]]="","",COUNTIFS(INDEX(tblCommentary[Date],1):tblCommentary[[#This Row],[Date]],tblCommentary[[#This Row],[Date]]))</f>
        <v/>
      </c>
      <c r="F44" s="63">
        <f>IF(tblCommentary[[#This Row],[Date]]="","",tblCommentary[[#This Row],[Date]]&amp;"|"&amp;tblCommentary[[#This Row],[Seq_Day]])</f>
        <v/>
      </c>
    </row>
    <row r="45">
      <c r="A45" s="54" t="n"/>
      <c r="B45" s="61" t="n"/>
      <c r="C45" s="58" t="n"/>
      <c r="D45" s="58" t="n"/>
      <c r="E45" s="64">
        <f>IF(tblCommentary[[#This Row],[Date]]="","",COUNTIFS(INDEX(tblCommentary[Date],1):tblCommentary[[#This Row],[Date]],tblCommentary[[#This Row],[Date]]))</f>
        <v/>
      </c>
      <c r="F45" s="63">
        <f>IF(tblCommentary[[#This Row],[Date]]="","",tblCommentary[[#This Row],[Date]]&amp;"|"&amp;tblCommentary[[#This Row],[Seq_Day]])</f>
        <v/>
      </c>
    </row>
    <row r="46">
      <c r="A46" s="54" t="n"/>
      <c r="B46" s="61" t="n"/>
      <c r="C46" s="58" t="n"/>
      <c r="D46" s="58" t="n"/>
      <c r="E46" s="64">
        <f>IF(tblCommentary[[#This Row],[Date]]="","",COUNTIFS(INDEX(tblCommentary[Date],1):tblCommentary[[#This Row],[Date]],tblCommentary[[#This Row],[Date]]))</f>
        <v/>
      </c>
      <c r="F46" s="63">
        <f>IF(tblCommentary[[#This Row],[Date]]="","",tblCommentary[[#This Row],[Date]]&amp;"|"&amp;tblCommentary[[#This Row],[Seq_Day]])</f>
        <v/>
      </c>
    </row>
    <row r="47">
      <c r="A47" s="54" t="n"/>
      <c r="B47" s="61" t="n"/>
      <c r="C47" s="58" t="n"/>
      <c r="D47" s="58" t="n"/>
      <c r="E47" s="64">
        <f>IF(tblCommentary[[#This Row],[Date]]="","",COUNTIFS(INDEX(tblCommentary[Date],1):tblCommentary[[#This Row],[Date]],tblCommentary[[#This Row],[Date]]))</f>
        <v/>
      </c>
      <c r="F47" s="63">
        <f>IF(tblCommentary[[#This Row],[Date]]="","",tblCommentary[[#This Row],[Date]]&amp;"|"&amp;tblCommentary[[#This Row],[Seq_Day]])</f>
        <v/>
      </c>
    </row>
    <row r="48">
      <c r="A48" s="54" t="n"/>
      <c r="B48" s="61" t="n"/>
      <c r="C48" s="58" t="n"/>
      <c r="D48" s="58" t="n"/>
      <c r="E48" s="64">
        <f>IF(tblCommentary[[#This Row],[Date]]="","",COUNTIFS(INDEX(tblCommentary[Date],1):tblCommentary[[#This Row],[Date]],tblCommentary[[#This Row],[Date]]))</f>
        <v/>
      </c>
      <c r="F48" s="63">
        <f>IF(tblCommentary[[#This Row],[Date]]="","",tblCommentary[[#This Row],[Date]]&amp;"|"&amp;tblCommentary[[#This Row],[Seq_Day]])</f>
        <v/>
      </c>
    </row>
    <row r="49">
      <c r="A49" s="54" t="n"/>
      <c r="B49" s="61" t="n"/>
      <c r="C49" s="58" t="n"/>
      <c r="D49" s="58" t="n"/>
      <c r="E49" s="64">
        <f>IF(tblCommentary[[#This Row],[Date]]="","",COUNTIFS(INDEX(tblCommentary[Date],1):tblCommentary[[#This Row],[Date]],tblCommentary[[#This Row],[Date]]))</f>
        <v/>
      </c>
      <c r="F49" s="63">
        <f>IF(tblCommentary[[#This Row],[Date]]="","",tblCommentary[[#This Row],[Date]]&amp;"|"&amp;tblCommentary[[#This Row],[Seq_Day]])</f>
        <v/>
      </c>
    </row>
    <row r="50">
      <c r="A50" s="54" t="n"/>
      <c r="B50" s="61" t="n"/>
      <c r="C50" s="58" t="n"/>
      <c r="D50" s="58" t="n"/>
      <c r="E50" s="64">
        <f>IF(tblCommentary[[#This Row],[Date]]="","",COUNTIFS(INDEX(tblCommentary[Date],1):tblCommentary[[#This Row],[Date]],tblCommentary[[#This Row],[Date]]))</f>
        <v/>
      </c>
      <c r="F50" s="63">
        <f>IF(tblCommentary[[#This Row],[Date]]="","",tblCommentary[[#This Row],[Date]]&amp;"|"&amp;tblCommentary[[#This Row],[Seq_Day]])</f>
        <v/>
      </c>
    </row>
    <row r="51">
      <c r="A51" s="54" t="n"/>
      <c r="B51" s="61" t="n"/>
      <c r="C51" s="58" t="n"/>
      <c r="D51" s="58" t="n"/>
      <c r="E51" s="64">
        <f>IF(tblCommentary[[#This Row],[Date]]="","",COUNTIFS(INDEX(tblCommentary[Date],1):tblCommentary[[#This Row],[Date]],tblCommentary[[#This Row],[Date]]))</f>
        <v/>
      </c>
      <c r="F51" s="63">
        <f>IF(tblCommentary[[#This Row],[Date]]="","",tblCommentary[[#This Row],[Date]]&amp;"|"&amp;tblCommentary[[#This Row],[Seq_Day]])</f>
        <v/>
      </c>
    </row>
    <row r="52">
      <c r="A52" s="54" t="n"/>
      <c r="B52" s="61" t="n"/>
      <c r="C52" s="58" t="n"/>
      <c r="D52" s="58" t="n"/>
      <c r="E52" s="64">
        <f>IF(tblCommentary[[#This Row],[Date]]="","",COUNTIFS(INDEX(tblCommentary[Date],1):tblCommentary[[#This Row],[Date]],tblCommentary[[#This Row],[Date]]))</f>
        <v/>
      </c>
      <c r="F52" s="63">
        <f>IF(tblCommentary[[#This Row],[Date]]="","",tblCommentary[[#This Row],[Date]]&amp;"|"&amp;tblCommentary[[#This Row],[Seq_Day]])</f>
        <v/>
      </c>
    </row>
    <row r="53">
      <c r="A53" s="54" t="n"/>
      <c r="B53" s="61" t="n"/>
      <c r="C53" s="58" t="n"/>
      <c r="D53" s="58" t="n"/>
      <c r="E53" s="64">
        <f>IF(tblCommentary[[#This Row],[Date]]="","",COUNTIFS(INDEX(tblCommentary[Date],1):tblCommentary[[#This Row],[Date]],tblCommentary[[#This Row],[Date]]))</f>
        <v/>
      </c>
      <c r="F53" s="63">
        <f>IF(tblCommentary[[#This Row],[Date]]="","",tblCommentary[[#This Row],[Date]]&amp;"|"&amp;tblCommentary[[#This Row],[Seq_Day]])</f>
        <v/>
      </c>
    </row>
    <row r="54">
      <c r="A54" s="54" t="n"/>
      <c r="B54" s="61" t="n"/>
      <c r="C54" s="58" t="n"/>
      <c r="D54" s="58" t="n"/>
      <c r="E54" s="64">
        <f>IF(tblCommentary[[#This Row],[Date]]="","",COUNTIFS(INDEX(tblCommentary[Date],1):tblCommentary[[#This Row],[Date]],tblCommentary[[#This Row],[Date]]))</f>
        <v/>
      </c>
      <c r="F54" s="63">
        <f>IF(tblCommentary[[#This Row],[Date]]="","",tblCommentary[[#This Row],[Date]]&amp;"|"&amp;tblCommentary[[#This Row],[Seq_Day]])</f>
        <v/>
      </c>
    </row>
    <row r="55">
      <c r="A55" s="54" t="n"/>
      <c r="B55" s="61" t="n"/>
      <c r="C55" s="58" t="n"/>
      <c r="D55" s="58" t="n"/>
      <c r="E55" s="64">
        <f>IF(tblCommentary[[#This Row],[Date]]="","",COUNTIFS(INDEX(tblCommentary[Date],1):tblCommentary[[#This Row],[Date]],tblCommentary[[#This Row],[Date]]))</f>
        <v/>
      </c>
      <c r="F55" s="63">
        <f>IF(tblCommentary[[#This Row],[Date]]="","",tblCommentary[[#This Row],[Date]]&amp;"|"&amp;tblCommentary[[#This Row],[Seq_Day]])</f>
        <v/>
      </c>
    </row>
    <row r="56">
      <c r="A56" s="54" t="n"/>
      <c r="B56" s="61" t="n"/>
      <c r="C56" s="58" t="n"/>
      <c r="D56" s="58" t="n"/>
      <c r="E56" s="64">
        <f>IF(tblCommentary[[#This Row],[Date]]="","",COUNTIFS(INDEX(tblCommentary[Date],1):tblCommentary[[#This Row],[Date]],tblCommentary[[#This Row],[Date]]))</f>
        <v/>
      </c>
      <c r="F56" s="63">
        <f>IF(tblCommentary[[#This Row],[Date]]="","",tblCommentary[[#This Row],[Date]]&amp;"|"&amp;tblCommentary[[#This Row],[Seq_Day]])</f>
        <v/>
      </c>
    </row>
    <row r="57">
      <c r="A57" s="54" t="n"/>
      <c r="B57" s="61" t="n"/>
      <c r="C57" s="58" t="n"/>
      <c r="D57" s="58" t="n"/>
      <c r="E57" s="64">
        <f>IF(tblCommentary[[#This Row],[Date]]="","",COUNTIFS(INDEX(tblCommentary[Date],1):tblCommentary[[#This Row],[Date]],tblCommentary[[#This Row],[Date]]))</f>
        <v/>
      </c>
      <c r="F57" s="63">
        <f>IF(tblCommentary[[#This Row],[Date]]="","",tblCommentary[[#This Row],[Date]]&amp;"|"&amp;tblCommentary[[#This Row],[Seq_Day]])</f>
        <v/>
      </c>
    </row>
    <row r="58">
      <c r="A58" s="54" t="n"/>
      <c r="B58" s="61" t="n"/>
      <c r="C58" s="58" t="n"/>
      <c r="D58" s="58" t="n"/>
      <c r="E58" s="64">
        <f>IF(tblCommentary[[#This Row],[Date]]="","",COUNTIFS(INDEX(tblCommentary[Date],1):tblCommentary[[#This Row],[Date]],tblCommentary[[#This Row],[Date]]))</f>
        <v/>
      </c>
      <c r="F58" s="63">
        <f>IF(tblCommentary[[#This Row],[Date]]="","",tblCommentary[[#This Row],[Date]]&amp;"|"&amp;tblCommentary[[#This Row],[Seq_Day]])</f>
        <v/>
      </c>
    </row>
    <row r="59">
      <c r="A59" s="54" t="n"/>
      <c r="B59" s="61" t="n"/>
      <c r="C59" s="58" t="n"/>
      <c r="D59" s="58" t="n"/>
      <c r="E59" s="64">
        <f>IF(tblCommentary[[#This Row],[Date]]="","",COUNTIFS(INDEX(tblCommentary[Date],1):tblCommentary[[#This Row],[Date]],tblCommentary[[#This Row],[Date]]))</f>
        <v/>
      </c>
      <c r="F59" s="63">
        <f>IF(tblCommentary[[#This Row],[Date]]="","",tblCommentary[[#This Row],[Date]]&amp;"|"&amp;tblCommentary[[#This Row],[Seq_Day]])</f>
        <v/>
      </c>
    </row>
    <row r="60">
      <c r="A60" s="54" t="n"/>
      <c r="B60" s="61" t="n"/>
      <c r="C60" s="58" t="n"/>
      <c r="D60" s="58" t="n"/>
      <c r="E60" s="64">
        <f>IF(tblCommentary[[#This Row],[Date]]="","",COUNTIFS(INDEX(tblCommentary[Date],1):tblCommentary[[#This Row],[Date]],tblCommentary[[#This Row],[Date]]))</f>
        <v/>
      </c>
      <c r="F60" s="63">
        <f>IF(tblCommentary[[#This Row],[Date]]="","",tblCommentary[[#This Row],[Date]]&amp;"|"&amp;tblCommentary[[#This Row],[Seq_Day]])</f>
        <v/>
      </c>
    </row>
    <row r="61">
      <c r="A61" s="54" t="n"/>
      <c r="B61" s="61" t="n"/>
      <c r="C61" s="58" t="n"/>
      <c r="D61" s="58" t="n"/>
      <c r="E61" s="64">
        <f>IF(tblCommentary[[#This Row],[Date]]="","",COUNTIFS(INDEX(tblCommentary[Date],1):tblCommentary[[#This Row],[Date]],tblCommentary[[#This Row],[Date]]))</f>
        <v/>
      </c>
      <c r="F61" s="63">
        <f>IF(tblCommentary[[#This Row],[Date]]="","",tblCommentary[[#This Row],[Date]]&amp;"|"&amp;tblCommentary[[#This Row],[Seq_Day]])</f>
        <v/>
      </c>
    </row>
    <row r="62">
      <c r="A62" s="54" t="n"/>
      <c r="B62" s="61" t="n"/>
      <c r="C62" s="58" t="n"/>
      <c r="D62" s="58" t="n"/>
      <c r="E62" s="64">
        <f>IF(tblCommentary[[#This Row],[Date]]="","",COUNTIFS(INDEX(tblCommentary[Date],1):tblCommentary[[#This Row],[Date]],tblCommentary[[#This Row],[Date]]))</f>
        <v/>
      </c>
      <c r="F62" s="63">
        <f>IF(tblCommentary[[#This Row],[Date]]="","",tblCommentary[[#This Row],[Date]]&amp;"|"&amp;tblCommentary[[#This Row],[Seq_Day]])</f>
        <v/>
      </c>
    </row>
    <row r="63">
      <c r="A63" s="54" t="n"/>
      <c r="B63" s="61" t="n"/>
      <c r="C63" s="58" t="n"/>
      <c r="D63" s="58" t="n"/>
      <c r="E63" s="64">
        <f>IF(tblCommentary[[#This Row],[Date]]="","",COUNTIFS(INDEX(tblCommentary[Date],1):tblCommentary[[#This Row],[Date]],tblCommentary[[#This Row],[Date]]))</f>
        <v/>
      </c>
      <c r="F63" s="63">
        <f>IF(tblCommentary[[#This Row],[Date]]="","",tblCommentary[[#This Row],[Date]]&amp;"|"&amp;tblCommentary[[#This Row],[Seq_Day]])</f>
        <v/>
      </c>
    </row>
    <row r="64">
      <c r="A64" s="54" t="n"/>
      <c r="B64" s="61" t="n"/>
      <c r="C64" s="58" t="n"/>
      <c r="D64" s="58" t="n"/>
      <c r="E64" s="64">
        <f>IF(tblCommentary[[#This Row],[Date]]="","",COUNTIFS(INDEX(tblCommentary[Date],1):tblCommentary[[#This Row],[Date]],tblCommentary[[#This Row],[Date]]))</f>
        <v/>
      </c>
      <c r="F64" s="63">
        <f>IF(tblCommentary[[#This Row],[Date]]="","",tblCommentary[[#This Row],[Date]]&amp;"|"&amp;tblCommentary[[#This Row],[Seq_Day]])</f>
        <v/>
      </c>
    </row>
    <row r="65">
      <c r="A65" s="54" t="n"/>
      <c r="B65" s="61" t="n"/>
      <c r="C65" s="58" t="n"/>
      <c r="D65" s="58" t="n"/>
      <c r="E65" s="64">
        <f>IF(tblCommentary[[#This Row],[Date]]="","",COUNTIFS(INDEX(tblCommentary[Date],1):tblCommentary[[#This Row],[Date]],tblCommentary[[#This Row],[Date]]))</f>
        <v/>
      </c>
      <c r="F65" s="63">
        <f>IF(tblCommentary[[#This Row],[Date]]="","",tblCommentary[[#This Row],[Date]]&amp;"|"&amp;tblCommentary[[#This Row],[Seq_Day]])</f>
        <v/>
      </c>
    </row>
    <row r="66">
      <c r="A66" s="54" t="n"/>
      <c r="B66" s="61" t="n"/>
      <c r="C66" s="58" t="n"/>
      <c r="D66" s="58" t="n"/>
      <c r="E66" s="64">
        <f>IF(tblCommentary[[#This Row],[Date]]="","",COUNTIFS(INDEX(tblCommentary[Date],1):tblCommentary[[#This Row],[Date]],tblCommentary[[#This Row],[Date]]))</f>
        <v/>
      </c>
      <c r="F66" s="63">
        <f>IF(tblCommentary[[#This Row],[Date]]="","",tblCommentary[[#This Row],[Date]]&amp;"|"&amp;tblCommentary[[#This Row],[Seq_Day]])</f>
        <v/>
      </c>
    </row>
    <row r="67">
      <c r="A67" s="54" t="n"/>
      <c r="B67" s="61" t="n"/>
      <c r="C67" s="58" t="n"/>
      <c r="D67" s="58" t="n"/>
      <c r="E67" s="64">
        <f>IF(tblCommentary[[#This Row],[Date]]="","",COUNTIFS(INDEX(tblCommentary[Date],1):tblCommentary[[#This Row],[Date]],tblCommentary[[#This Row],[Date]]))</f>
        <v/>
      </c>
      <c r="F67" s="63">
        <f>IF(tblCommentary[[#This Row],[Date]]="","",tblCommentary[[#This Row],[Date]]&amp;"|"&amp;tblCommentary[[#This Row],[Seq_Day]])</f>
        <v/>
      </c>
    </row>
    <row r="68">
      <c r="A68" s="54" t="n"/>
      <c r="B68" s="61" t="n"/>
      <c r="C68" s="58" t="n"/>
      <c r="D68" s="58" t="n"/>
      <c r="E68" s="64">
        <f>IF(tblCommentary[[#This Row],[Date]]="","",COUNTIFS(INDEX(tblCommentary[Date],1):tblCommentary[[#This Row],[Date]],tblCommentary[[#This Row],[Date]]))</f>
        <v/>
      </c>
      <c r="F68" s="63">
        <f>IF(tblCommentary[[#This Row],[Date]]="","",tblCommentary[[#This Row],[Date]]&amp;"|"&amp;tblCommentary[[#This Row],[Seq_Day]])</f>
        <v/>
      </c>
    </row>
    <row r="69">
      <c r="A69" s="54" t="n"/>
      <c r="B69" s="61" t="n"/>
      <c r="C69" s="58" t="n"/>
      <c r="D69" s="58" t="n"/>
      <c r="E69" s="64">
        <f>IF(tblCommentary[[#This Row],[Date]]="","",COUNTIFS(INDEX(tblCommentary[Date],1):tblCommentary[[#This Row],[Date]],tblCommentary[[#This Row],[Date]]))</f>
        <v/>
      </c>
      <c r="F69" s="63">
        <f>IF(tblCommentary[[#This Row],[Date]]="","",tblCommentary[[#This Row],[Date]]&amp;"|"&amp;tblCommentary[[#This Row],[Seq_Day]])</f>
        <v/>
      </c>
    </row>
    <row r="70">
      <c r="A70" s="54" t="n"/>
      <c r="B70" s="61" t="n"/>
      <c r="C70" s="58" t="n"/>
      <c r="D70" s="58" t="n"/>
      <c r="E70" s="64">
        <f>IF(tblCommentary[[#This Row],[Date]]="","",COUNTIFS(INDEX(tblCommentary[Date],1):tblCommentary[[#This Row],[Date]],tblCommentary[[#This Row],[Date]]))</f>
        <v/>
      </c>
      <c r="F70" s="63">
        <f>IF(tblCommentary[[#This Row],[Date]]="","",tblCommentary[[#This Row],[Date]]&amp;"|"&amp;tblCommentary[[#This Row],[Seq_Day]])</f>
        <v/>
      </c>
    </row>
    <row r="71">
      <c r="A71" s="54" t="n"/>
      <c r="B71" s="61" t="n"/>
      <c r="C71" s="58" t="n"/>
      <c r="D71" s="58" t="n"/>
      <c r="E71" s="64">
        <f>IF(tblCommentary[[#This Row],[Date]]="","",COUNTIFS(INDEX(tblCommentary[Date],1):tblCommentary[[#This Row],[Date]],tblCommentary[[#This Row],[Date]]))</f>
        <v/>
      </c>
      <c r="F71" s="63">
        <f>IF(tblCommentary[[#This Row],[Date]]="","",tblCommentary[[#This Row],[Date]]&amp;"|"&amp;tblCommentary[[#This Row],[Seq_Day]])</f>
        <v/>
      </c>
    </row>
    <row r="72">
      <c r="A72" s="54" t="n"/>
      <c r="B72" s="61" t="n"/>
      <c r="C72" s="58" t="n"/>
      <c r="D72" s="58" t="n"/>
      <c r="E72" s="64">
        <f>IF(tblCommentary[[#This Row],[Date]]="","",COUNTIFS(INDEX(tblCommentary[Date],1):tblCommentary[[#This Row],[Date]],tblCommentary[[#This Row],[Date]]))</f>
        <v/>
      </c>
      <c r="F72" s="63">
        <f>IF(tblCommentary[[#This Row],[Date]]="","",tblCommentary[[#This Row],[Date]]&amp;"|"&amp;tblCommentary[[#This Row],[Seq_Day]])</f>
        <v/>
      </c>
    </row>
    <row r="73">
      <c r="A73" s="54" t="n"/>
      <c r="B73" s="61" t="n"/>
      <c r="C73" s="58" t="n"/>
      <c r="D73" s="58" t="n"/>
      <c r="E73" s="64">
        <f>IF(tblCommentary[[#This Row],[Date]]="","",COUNTIFS(INDEX(tblCommentary[Date],1):tblCommentary[[#This Row],[Date]],tblCommentary[[#This Row],[Date]]))</f>
        <v/>
      </c>
      <c r="F73" s="63">
        <f>IF(tblCommentary[[#This Row],[Date]]="","",tblCommentary[[#This Row],[Date]]&amp;"|"&amp;tblCommentary[[#This Row],[Seq_Day]])</f>
        <v/>
      </c>
    </row>
    <row r="74">
      <c r="A74" s="54" t="n"/>
      <c r="B74" s="61" t="n"/>
      <c r="C74" s="58" t="n"/>
      <c r="D74" s="58" t="n"/>
      <c r="E74" s="64">
        <f>IF(tblCommentary[[#This Row],[Date]]="","",COUNTIFS(INDEX(tblCommentary[Date],1):tblCommentary[[#This Row],[Date]],tblCommentary[[#This Row],[Date]]))</f>
        <v/>
      </c>
      <c r="F74" s="63">
        <f>IF(tblCommentary[[#This Row],[Date]]="","",tblCommentary[[#This Row],[Date]]&amp;"|"&amp;tblCommentary[[#This Row],[Seq_Day]])</f>
        <v/>
      </c>
    </row>
    <row r="75">
      <c r="A75" s="54" t="n"/>
      <c r="B75" s="61" t="n"/>
      <c r="C75" s="58" t="n"/>
      <c r="D75" s="58" t="n"/>
      <c r="E75" s="64">
        <f>IF(tblCommentary[[#This Row],[Date]]="","",COUNTIFS(INDEX(tblCommentary[Date],1):tblCommentary[[#This Row],[Date]],tblCommentary[[#This Row],[Date]]))</f>
        <v/>
      </c>
      <c r="F75" s="63">
        <f>IF(tblCommentary[[#This Row],[Date]]="","",tblCommentary[[#This Row],[Date]]&amp;"|"&amp;tblCommentary[[#This Row],[Seq_Day]])</f>
        <v/>
      </c>
    </row>
    <row r="76">
      <c r="A76" s="54" t="n"/>
      <c r="B76" s="61" t="n"/>
      <c r="C76" s="58" t="n"/>
      <c r="D76" s="58" t="n"/>
      <c r="E76" s="64">
        <f>IF(tblCommentary[[#This Row],[Date]]="","",COUNTIFS(INDEX(tblCommentary[Date],1):tblCommentary[[#This Row],[Date]],tblCommentary[[#This Row],[Date]]))</f>
        <v/>
      </c>
      <c r="F76" s="63">
        <f>IF(tblCommentary[[#This Row],[Date]]="","",tblCommentary[[#This Row],[Date]]&amp;"|"&amp;tblCommentary[[#This Row],[Seq_Day]])</f>
        <v/>
      </c>
    </row>
    <row r="77">
      <c r="A77" s="54" t="n"/>
      <c r="B77" s="61" t="n"/>
      <c r="C77" s="58" t="n"/>
      <c r="D77" s="58" t="n"/>
      <c r="E77" s="64">
        <f>IF(tblCommentary[[#This Row],[Date]]="","",COUNTIFS(INDEX(tblCommentary[Date],1):tblCommentary[[#This Row],[Date]],tblCommentary[[#This Row],[Date]]))</f>
        <v/>
      </c>
      <c r="F77" s="63">
        <f>IF(tblCommentary[[#This Row],[Date]]="","",tblCommentary[[#This Row],[Date]]&amp;"|"&amp;tblCommentary[[#This Row],[Seq_Day]])</f>
        <v/>
      </c>
    </row>
    <row r="78">
      <c r="A78" s="54" t="n"/>
      <c r="B78" s="61" t="n"/>
      <c r="C78" s="58" t="n"/>
      <c r="D78" s="58" t="n"/>
      <c r="E78" s="64">
        <f>IF(tblCommentary[[#This Row],[Date]]="","",COUNTIFS(INDEX(tblCommentary[Date],1):tblCommentary[[#This Row],[Date]],tblCommentary[[#This Row],[Date]]))</f>
        <v/>
      </c>
      <c r="F78" s="63">
        <f>IF(tblCommentary[[#This Row],[Date]]="","",tblCommentary[[#This Row],[Date]]&amp;"|"&amp;tblCommentary[[#This Row],[Seq_Day]])</f>
        <v/>
      </c>
    </row>
    <row r="79">
      <c r="A79" s="54" t="n"/>
      <c r="B79" s="61" t="n"/>
      <c r="C79" s="58" t="n"/>
      <c r="D79" s="58" t="n"/>
      <c r="E79" s="64">
        <f>IF(tblCommentary[[#This Row],[Date]]="","",COUNTIFS(INDEX(tblCommentary[Date],1):tblCommentary[[#This Row],[Date]],tblCommentary[[#This Row],[Date]]))</f>
        <v/>
      </c>
      <c r="F79" s="63">
        <f>IF(tblCommentary[[#This Row],[Date]]="","",tblCommentary[[#This Row],[Date]]&amp;"|"&amp;tblCommentary[[#This Row],[Seq_Day]])</f>
        <v/>
      </c>
    </row>
    <row r="80">
      <c r="A80" s="54" t="n"/>
      <c r="B80" s="61" t="n"/>
      <c r="C80" s="58" t="n"/>
      <c r="D80" s="58" t="n"/>
      <c r="E80" s="64">
        <f>IF(tblCommentary[[#This Row],[Date]]="","",COUNTIFS(INDEX(tblCommentary[Date],1):tblCommentary[[#This Row],[Date]],tblCommentary[[#This Row],[Date]]))</f>
        <v/>
      </c>
      <c r="F80" s="63">
        <f>IF(tblCommentary[[#This Row],[Date]]="","",tblCommentary[[#This Row],[Date]]&amp;"|"&amp;tblCommentary[[#This Row],[Seq_Day]])</f>
        <v/>
      </c>
    </row>
    <row r="81">
      <c r="A81" s="54" t="n"/>
      <c r="B81" s="61" t="n"/>
      <c r="C81" s="58" t="n"/>
      <c r="D81" s="58" t="n"/>
      <c r="E81" s="64">
        <f>IF(tblCommentary[[#This Row],[Date]]="","",COUNTIFS(INDEX(tblCommentary[Date],1):tblCommentary[[#This Row],[Date]],tblCommentary[[#This Row],[Date]]))</f>
        <v/>
      </c>
      <c r="F81" s="63">
        <f>IF(tblCommentary[[#This Row],[Date]]="","",tblCommentary[[#This Row],[Date]]&amp;"|"&amp;tblCommentary[[#This Row],[Seq_Day]])</f>
        <v/>
      </c>
    </row>
    <row r="82">
      <c r="A82" s="54" t="n"/>
      <c r="B82" s="61" t="n"/>
      <c r="C82" s="58" t="n"/>
      <c r="D82" s="58" t="n"/>
      <c r="E82" s="64">
        <f>IF(tblCommentary[[#This Row],[Date]]="","",COUNTIFS(INDEX(tblCommentary[Date],1):tblCommentary[[#This Row],[Date]],tblCommentary[[#This Row],[Date]]))</f>
        <v/>
      </c>
      <c r="F82" s="63">
        <f>IF(tblCommentary[[#This Row],[Date]]="","",tblCommentary[[#This Row],[Date]]&amp;"|"&amp;tblCommentary[[#This Row],[Seq_Day]])</f>
        <v/>
      </c>
    </row>
    <row r="83">
      <c r="A83" s="54" t="n"/>
      <c r="B83" s="61" t="n"/>
      <c r="C83" s="58" t="n"/>
      <c r="D83" s="58" t="n"/>
      <c r="E83" s="64">
        <f>IF(tblCommentary[[#This Row],[Date]]="","",COUNTIFS(INDEX(tblCommentary[Date],1):tblCommentary[[#This Row],[Date]],tblCommentary[[#This Row],[Date]]))</f>
        <v/>
      </c>
      <c r="F83" s="63">
        <f>IF(tblCommentary[[#This Row],[Date]]="","",tblCommentary[[#This Row],[Date]]&amp;"|"&amp;tblCommentary[[#This Row],[Seq_Day]])</f>
        <v/>
      </c>
    </row>
    <row r="84">
      <c r="A84" s="54" t="n"/>
      <c r="B84" s="61" t="n"/>
      <c r="C84" s="58" t="n"/>
      <c r="D84" s="58" t="n"/>
      <c r="E84" s="64">
        <f>IF(tblCommentary[[#This Row],[Date]]="","",COUNTIFS(INDEX(tblCommentary[Date],1):tblCommentary[[#This Row],[Date]],tblCommentary[[#This Row],[Date]]))</f>
        <v/>
      </c>
      <c r="F84" s="63">
        <f>IF(tblCommentary[[#This Row],[Date]]="","",tblCommentary[[#This Row],[Date]]&amp;"|"&amp;tblCommentary[[#This Row],[Seq_Day]])</f>
        <v/>
      </c>
    </row>
    <row r="85">
      <c r="A85" s="54" t="n"/>
      <c r="B85" s="61" t="n"/>
      <c r="C85" s="58" t="n"/>
      <c r="D85" s="58" t="n"/>
      <c r="E85" s="64">
        <f>IF(tblCommentary[[#This Row],[Date]]="","",COUNTIFS(INDEX(tblCommentary[Date],1):tblCommentary[[#This Row],[Date]],tblCommentary[[#This Row],[Date]]))</f>
        <v/>
      </c>
      <c r="F85" s="63">
        <f>IF(tblCommentary[[#This Row],[Date]]="","",tblCommentary[[#This Row],[Date]]&amp;"|"&amp;tblCommentary[[#This Row],[Seq_Day]])</f>
        <v/>
      </c>
    </row>
    <row r="86">
      <c r="A86" s="54" t="n"/>
      <c r="B86" s="61" t="n"/>
      <c r="C86" s="58" t="n"/>
      <c r="D86" s="58" t="n"/>
      <c r="E86" s="64">
        <f>IF(tblCommentary[[#This Row],[Date]]="","",COUNTIFS(INDEX(tblCommentary[Date],1):tblCommentary[[#This Row],[Date]],tblCommentary[[#This Row],[Date]]))</f>
        <v/>
      </c>
      <c r="F86" s="63">
        <f>IF(tblCommentary[[#This Row],[Date]]="","",tblCommentary[[#This Row],[Date]]&amp;"|"&amp;tblCommentary[[#This Row],[Seq_Day]])</f>
        <v/>
      </c>
    </row>
    <row r="87">
      <c r="A87" s="54" t="n"/>
      <c r="B87" s="61" t="n"/>
      <c r="C87" s="58" t="n"/>
      <c r="D87" s="58" t="n"/>
      <c r="E87" s="64">
        <f>IF(tblCommentary[[#This Row],[Date]]="","",COUNTIFS(INDEX(tblCommentary[Date],1):tblCommentary[[#This Row],[Date]],tblCommentary[[#This Row],[Date]]))</f>
        <v/>
      </c>
      <c r="F87" s="63">
        <f>IF(tblCommentary[[#This Row],[Date]]="","",tblCommentary[[#This Row],[Date]]&amp;"|"&amp;tblCommentary[[#This Row],[Seq_Day]])</f>
        <v/>
      </c>
    </row>
    <row r="88">
      <c r="A88" s="54" t="n"/>
      <c r="B88" s="61" t="n"/>
      <c r="C88" s="58" t="n"/>
      <c r="D88" s="58" t="n"/>
      <c r="E88" s="64">
        <f>IF(tblCommentary[[#This Row],[Date]]="","",COUNTIFS(INDEX(tblCommentary[Date],1):tblCommentary[[#This Row],[Date]],tblCommentary[[#This Row],[Date]]))</f>
        <v/>
      </c>
      <c r="F88" s="63">
        <f>IF(tblCommentary[[#This Row],[Date]]="","",tblCommentary[[#This Row],[Date]]&amp;"|"&amp;tblCommentary[[#This Row],[Seq_Day]])</f>
        <v/>
      </c>
    </row>
    <row r="89">
      <c r="A89" s="54" t="n"/>
      <c r="B89" s="61" t="n"/>
      <c r="C89" s="58" t="n"/>
      <c r="D89" s="58" t="n"/>
      <c r="E89" s="64">
        <f>IF(tblCommentary[[#This Row],[Date]]="","",COUNTIFS(INDEX(tblCommentary[Date],1):tblCommentary[[#This Row],[Date]],tblCommentary[[#This Row],[Date]]))</f>
        <v/>
      </c>
      <c r="F89" s="63">
        <f>IF(tblCommentary[[#This Row],[Date]]="","",tblCommentary[[#This Row],[Date]]&amp;"|"&amp;tblCommentary[[#This Row],[Seq_Day]])</f>
        <v/>
      </c>
    </row>
    <row r="90">
      <c r="A90" s="54" t="n"/>
      <c r="B90" s="61" t="n"/>
      <c r="C90" s="58" t="n"/>
      <c r="D90" s="58" t="n"/>
      <c r="E90" s="64">
        <f>IF(tblCommentary[[#This Row],[Date]]="","",COUNTIFS(INDEX(tblCommentary[Date],1):tblCommentary[[#This Row],[Date]],tblCommentary[[#This Row],[Date]]))</f>
        <v/>
      </c>
      <c r="F90" s="63">
        <f>IF(tblCommentary[[#This Row],[Date]]="","",tblCommentary[[#This Row],[Date]]&amp;"|"&amp;tblCommentary[[#This Row],[Seq_Day]])</f>
        <v/>
      </c>
    </row>
    <row r="91">
      <c r="A91" s="54" t="n"/>
      <c r="B91" s="61" t="n"/>
      <c r="C91" s="58" t="n"/>
      <c r="D91" s="58" t="n"/>
      <c r="E91" s="64">
        <f>IF(tblCommentary[[#This Row],[Date]]="","",COUNTIFS(INDEX(tblCommentary[Date],1):tblCommentary[[#This Row],[Date]],tblCommentary[[#This Row],[Date]]))</f>
        <v/>
      </c>
      <c r="F91" s="63">
        <f>IF(tblCommentary[[#This Row],[Date]]="","",tblCommentary[[#This Row],[Date]]&amp;"|"&amp;tblCommentary[[#This Row],[Seq_Day]])</f>
        <v/>
      </c>
    </row>
    <row r="92">
      <c r="A92" s="54" t="n"/>
      <c r="B92" s="61" t="n"/>
      <c r="C92" s="58" t="n"/>
      <c r="D92" s="58" t="n"/>
      <c r="E92" s="64">
        <f>IF(tblCommentary[[#This Row],[Date]]="","",COUNTIFS(INDEX(tblCommentary[Date],1):tblCommentary[[#This Row],[Date]],tblCommentary[[#This Row],[Date]]))</f>
        <v/>
      </c>
      <c r="F92" s="63">
        <f>IF(tblCommentary[[#This Row],[Date]]="","",tblCommentary[[#This Row],[Date]]&amp;"|"&amp;tblCommentary[[#This Row],[Seq_Day]])</f>
        <v/>
      </c>
    </row>
    <row r="93">
      <c r="A93" s="54" t="n"/>
      <c r="B93" s="61" t="n"/>
      <c r="C93" s="58" t="n"/>
      <c r="D93" s="58" t="n"/>
      <c r="E93" s="64">
        <f>IF(tblCommentary[[#This Row],[Date]]="","",COUNTIFS(INDEX(tblCommentary[Date],1):tblCommentary[[#This Row],[Date]],tblCommentary[[#This Row],[Date]]))</f>
        <v/>
      </c>
      <c r="F93" s="63">
        <f>IF(tblCommentary[[#This Row],[Date]]="","",tblCommentary[[#This Row],[Date]]&amp;"|"&amp;tblCommentary[[#This Row],[Seq_Day]])</f>
        <v/>
      </c>
    </row>
    <row r="94">
      <c r="A94" s="54" t="n"/>
      <c r="B94" s="61" t="n"/>
      <c r="C94" s="58" t="n"/>
      <c r="D94" s="58" t="n"/>
      <c r="E94" s="64">
        <f>IF(tblCommentary[[#This Row],[Date]]="","",COUNTIFS(INDEX(tblCommentary[Date],1):tblCommentary[[#This Row],[Date]],tblCommentary[[#This Row],[Date]]))</f>
        <v/>
      </c>
      <c r="F94" s="63">
        <f>IF(tblCommentary[[#This Row],[Date]]="","",tblCommentary[[#This Row],[Date]]&amp;"|"&amp;tblCommentary[[#This Row],[Seq_Day]])</f>
        <v/>
      </c>
    </row>
    <row r="95">
      <c r="A95" s="54" t="n"/>
      <c r="B95" s="61" t="n"/>
      <c r="C95" s="58" t="n"/>
      <c r="D95" s="58" t="n"/>
      <c r="E95" s="64">
        <f>IF(tblCommentary[[#This Row],[Date]]="","",COUNTIFS(INDEX(tblCommentary[Date],1):tblCommentary[[#This Row],[Date]],tblCommentary[[#This Row],[Date]]))</f>
        <v/>
      </c>
      <c r="F95" s="63">
        <f>IF(tblCommentary[[#This Row],[Date]]="","",tblCommentary[[#This Row],[Date]]&amp;"|"&amp;tblCommentary[[#This Row],[Seq_Day]])</f>
        <v/>
      </c>
    </row>
    <row r="96">
      <c r="A96" s="54" t="n"/>
      <c r="B96" s="61" t="n"/>
      <c r="C96" s="58" t="n"/>
      <c r="D96" s="58" t="n"/>
      <c r="E96" s="64">
        <f>IF(tblCommentary[[#This Row],[Date]]="","",COUNTIFS(INDEX(tblCommentary[Date],1):tblCommentary[[#This Row],[Date]],tblCommentary[[#This Row],[Date]]))</f>
        <v/>
      </c>
      <c r="F96" s="63">
        <f>IF(tblCommentary[[#This Row],[Date]]="","",tblCommentary[[#This Row],[Date]]&amp;"|"&amp;tblCommentary[[#This Row],[Seq_Day]])</f>
        <v/>
      </c>
    </row>
    <row r="97">
      <c r="A97" s="54" t="n"/>
      <c r="B97" s="61" t="n"/>
      <c r="C97" s="58" t="n"/>
      <c r="D97" s="58" t="n"/>
      <c r="E97" s="64">
        <f>IF(tblCommentary[[#This Row],[Date]]="","",COUNTIFS(INDEX(tblCommentary[Date],1):tblCommentary[[#This Row],[Date]],tblCommentary[[#This Row],[Date]]))</f>
        <v/>
      </c>
      <c r="F97" s="63">
        <f>IF(tblCommentary[[#This Row],[Date]]="","",tblCommentary[[#This Row],[Date]]&amp;"|"&amp;tblCommentary[[#This Row],[Seq_Day]])</f>
        <v/>
      </c>
    </row>
    <row r="98">
      <c r="A98" s="54" t="n"/>
      <c r="B98" s="61" t="n"/>
      <c r="C98" s="58" t="n"/>
      <c r="D98" s="58" t="n"/>
      <c r="E98" s="64">
        <f>IF(tblCommentary[[#This Row],[Date]]="","",COUNTIFS(INDEX(tblCommentary[Date],1):tblCommentary[[#This Row],[Date]],tblCommentary[[#This Row],[Date]]))</f>
        <v/>
      </c>
      <c r="F98" s="63">
        <f>IF(tblCommentary[[#This Row],[Date]]="","",tblCommentary[[#This Row],[Date]]&amp;"|"&amp;tblCommentary[[#This Row],[Seq_Day]])</f>
        <v/>
      </c>
    </row>
    <row r="99">
      <c r="A99" s="54" t="n"/>
      <c r="B99" s="61" t="n"/>
      <c r="C99" s="58" t="n"/>
      <c r="D99" s="58" t="n"/>
      <c r="E99" s="64">
        <f>IF(tblCommentary[[#This Row],[Date]]="","",COUNTIFS(INDEX(tblCommentary[Date],1):tblCommentary[[#This Row],[Date]],tblCommentary[[#This Row],[Date]]))</f>
        <v/>
      </c>
      <c r="F99" s="63">
        <f>IF(tblCommentary[[#This Row],[Date]]="","",tblCommentary[[#This Row],[Date]]&amp;"|"&amp;tblCommentary[[#This Row],[Seq_Day]])</f>
        <v/>
      </c>
    </row>
    <row r="100">
      <c r="A100" s="54" t="n"/>
      <c r="B100" s="61" t="n"/>
      <c r="C100" s="58" t="n"/>
      <c r="D100" s="58" t="n"/>
      <c r="E100" s="64">
        <f>IF(tblCommentary[[#This Row],[Date]]="","",COUNTIFS(INDEX(tblCommentary[Date],1):tblCommentary[[#This Row],[Date]],tblCommentary[[#This Row],[Date]]))</f>
        <v/>
      </c>
      <c r="F100" s="63">
        <f>IF(tblCommentary[[#This Row],[Date]]="","",tblCommentary[[#This Row],[Date]]&amp;"|"&amp;tblCommentary[[#This Row],[Seq_Day]])</f>
        <v/>
      </c>
    </row>
    <row r="101">
      <c r="A101" s="54" t="n"/>
      <c r="B101" s="61" t="n"/>
      <c r="C101" s="58" t="n"/>
      <c r="D101" s="58" t="n"/>
      <c r="E101" s="64">
        <f>IF(tblCommentary[[#This Row],[Date]]="","",COUNTIFS(INDEX(tblCommentary[Date],1):tblCommentary[[#This Row],[Date]],tblCommentary[[#This Row],[Date]]))</f>
        <v/>
      </c>
      <c r="F101" s="63">
        <f>IF(tblCommentary[[#This Row],[Date]]="","",tblCommentary[[#This Row],[Date]]&amp;"|"&amp;tblCommentary[[#This Row],[Seq_Day]])</f>
        <v/>
      </c>
    </row>
    <row r="102">
      <c r="A102" s="54" t="n"/>
      <c r="B102" s="61" t="n"/>
      <c r="C102" s="58" t="n"/>
      <c r="D102" s="58" t="n"/>
      <c r="E102" s="64">
        <f>IF(tblCommentary[[#This Row],[Date]]="","",COUNTIFS(INDEX(tblCommentary[Date],1):tblCommentary[[#This Row],[Date]],tblCommentary[[#This Row],[Date]]))</f>
        <v/>
      </c>
      <c r="F102" s="63">
        <f>IF(tblCommentary[[#This Row],[Date]]="","",tblCommentary[[#This Row],[Date]]&amp;"|"&amp;tblCommentary[[#This Row],[Seq_Day]])</f>
        <v/>
      </c>
    </row>
    <row r="103">
      <c r="A103" s="54" t="n"/>
      <c r="B103" s="61" t="n"/>
      <c r="C103" s="58" t="n"/>
      <c r="D103" s="58" t="n"/>
      <c r="E103" s="64">
        <f>IF(tblCommentary[[#This Row],[Date]]="","",COUNTIFS(INDEX(tblCommentary[Date],1):tblCommentary[[#This Row],[Date]],tblCommentary[[#This Row],[Date]]))</f>
        <v/>
      </c>
      <c r="F103" s="63">
        <f>IF(tblCommentary[[#This Row],[Date]]="","",tblCommentary[[#This Row],[Date]]&amp;"|"&amp;tblCommentary[[#This Row],[Seq_Day]])</f>
        <v/>
      </c>
    </row>
    <row r="104">
      <c r="A104" s="54" t="n"/>
      <c r="B104" s="61" t="n"/>
      <c r="C104" s="58" t="n"/>
      <c r="D104" s="58" t="n"/>
      <c r="E104" s="64">
        <f>IF(tblCommentary[[#This Row],[Date]]="","",COUNTIFS(INDEX(tblCommentary[Date],1):tblCommentary[[#This Row],[Date]],tblCommentary[[#This Row],[Date]]))</f>
        <v/>
      </c>
      <c r="F104" s="63">
        <f>IF(tblCommentary[[#This Row],[Date]]="","",tblCommentary[[#This Row],[Date]]&amp;"|"&amp;tblCommentary[[#This Row],[Seq_Day]])</f>
        <v/>
      </c>
    </row>
    <row r="105">
      <c r="A105" s="54" t="n"/>
      <c r="B105" s="61" t="n"/>
      <c r="C105" s="58" t="n"/>
      <c r="D105" s="58" t="n"/>
      <c r="E105" s="64">
        <f>IF(tblCommentary[[#This Row],[Date]]="","",COUNTIFS(INDEX(tblCommentary[Date],1):tblCommentary[[#This Row],[Date]],tblCommentary[[#This Row],[Date]]))</f>
        <v/>
      </c>
      <c r="F105" s="63">
        <f>IF(tblCommentary[[#This Row],[Date]]="","",tblCommentary[[#This Row],[Date]]&amp;"|"&amp;tblCommentary[[#This Row],[Seq_Day]])</f>
        <v/>
      </c>
    </row>
    <row r="106">
      <c r="A106" s="54" t="n"/>
      <c r="B106" s="61" t="n"/>
      <c r="C106" s="58" t="n"/>
      <c r="D106" s="58" t="n"/>
      <c r="E106" s="64">
        <f>IF(tblCommentary[[#This Row],[Date]]="","",COUNTIFS(INDEX(tblCommentary[Date],1):tblCommentary[[#This Row],[Date]],tblCommentary[[#This Row],[Date]]))</f>
        <v/>
      </c>
      <c r="F106" s="63">
        <f>IF(tblCommentary[[#This Row],[Date]]="","",tblCommentary[[#This Row],[Date]]&amp;"|"&amp;tblCommentary[[#This Row],[Seq_Day]])</f>
        <v/>
      </c>
    </row>
    <row r="107">
      <c r="A107" s="54" t="n"/>
      <c r="B107" s="61" t="n"/>
      <c r="C107" s="58" t="n"/>
      <c r="D107" s="58" t="n"/>
      <c r="E107" s="64">
        <f>IF(tblCommentary[[#This Row],[Date]]="","",COUNTIFS(INDEX(tblCommentary[Date],1):tblCommentary[[#This Row],[Date]],tblCommentary[[#This Row],[Date]]))</f>
        <v/>
      </c>
      <c r="F107" s="63">
        <f>IF(tblCommentary[[#This Row],[Date]]="","",tblCommentary[[#This Row],[Date]]&amp;"|"&amp;tblCommentary[[#This Row],[Seq_Day]])</f>
        <v/>
      </c>
    </row>
    <row r="108">
      <c r="A108" s="54" t="n"/>
      <c r="B108" s="61" t="n"/>
      <c r="C108" s="58" t="n"/>
      <c r="D108" s="58" t="n"/>
      <c r="E108" s="64">
        <f>IF(tblCommentary[[#This Row],[Date]]="","",COUNTIFS(INDEX(tblCommentary[Date],1):tblCommentary[[#This Row],[Date]],tblCommentary[[#This Row],[Date]]))</f>
        <v/>
      </c>
      <c r="F108" s="63">
        <f>IF(tblCommentary[[#This Row],[Date]]="","",tblCommentary[[#This Row],[Date]]&amp;"|"&amp;tblCommentary[[#This Row],[Seq_Day]])</f>
        <v/>
      </c>
    </row>
    <row r="109">
      <c r="A109" s="54" t="n"/>
      <c r="B109" s="61" t="n"/>
      <c r="C109" s="58" t="n"/>
      <c r="D109" s="58" t="n"/>
      <c r="E109" s="64">
        <f>IF(tblCommentary[[#This Row],[Date]]="","",COUNTIFS(INDEX(tblCommentary[Date],1):tblCommentary[[#This Row],[Date]],tblCommentary[[#This Row],[Date]]))</f>
        <v/>
      </c>
      <c r="F109" s="63">
        <f>IF(tblCommentary[[#This Row],[Date]]="","",tblCommentary[[#This Row],[Date]]&amp;"|"&amp;tblCommentary[[#This Row],[Seq_Day]])</f>
        <v/>
      </c>
    </row>
    <row r="110">
      <c r="A110" s="54" t="n"/>
      <c r="B110" s="61" t="n"/>
      <c r="C110" s="58" t="n"/>
      <c r="D110" s="58" t="n"/>
      <c r="E110" s="64">
        <f>IF(tblCommentary[[#This Row],[Date]]="","",COUNTIFS(INDEX(tblCommentary[Date],1):tblCommentary[[#This Row],[Date]],tblCommentary[[#This Row],[Date]]))</f>
        <v/>
      </c>
      <c r="F110" s="63">
        <f>IF(tblCommentary[[#This Row],[Date]]="","",tblCommentary[[#This Row],[Date]]&amp;"|"&amp;tblCommentary[[#This Row],[Seq_Day]])</f>
        <v/>
      </c>
    </row>
    <row r="111">
      <c r="A111" s="54" t="n"/>
      <c r="B111" s="61" t="n"/>
      <c r="C111" s="58" t="n"/>
      <c r="D111" s="58" t="n"/>
      <c r="E111" s="64">
        <f>IF(tblCommentary[[#This Row],[Date]]="","",COUNTIFS(INDEX(tblCommentary[Date],1):tblCommentary[[#This Row],[Date]],tblCommentary[[#This Row],[Date]]))</f>
        <v/>
      </c>
      <c r="F111" s="63">
        <f>IF(tblCommentary[[#This Row],[Date]]="","",tblCommentary[[#This Row],[Date]]&amp;"|"&amp;tblCommentary[[#This Row],[Seq_Day]])</f>
        <v/>
      </c>
    </row>
    <row r="112">
      <c r="A112" s="54" t="n"/>
      <c r="B112" s="61" t="n"/>
      <c r="C112" s="58" t="n"/>
      <c r="D112" s="58" t="n"/>
      <c r="E112" s="64">
        <f>IF(tblCommentary[[#This Row],[Date]]="","",COUNTIFS(INDEX(tblCommentary[Date],1):tblCommentary[[#This Row],[Date]],tblCommentary[[#This Row],[Date]]))</f>
        <v/>
      </c>
      <c r="F112" s="63">
        <f>IF(tblCommentary[[#This Row],[Date]]="","",tblCommentary[[#This Row],[Date]]&amp;"|"&amp;tblCommentary[[#This Row],[Seq_Day]])</f>
        <v/>
      </c>
    </row>
    <row r="113">
      <c r="A113" s="54" t="n"/>
      <c r="B113" s="61" t="n"/>
      <c r="C113" s="58" t="n"/>
      <c r="D113" s="58" t="n"/>
      <c r="E113" s="64">
        <f>IF(tblCommentary[[#This Row],[Date]]="","",COUNTIFS(INDEX(tblCommentary[Date],1):tblCommentary[[#This Row],[Date]],tblCommentary[[#This Row],[Date]]))</f>
        <v/>
      </c>
      <c r="F113" s="63">
        <f>IF(tblCommentary[[#This Row],[Date]]="","",tblCommentary[[#This Row],[Date]]&amp;"|"&amp;tblCommentary[[#This Row],[Seq_Day]])</f>
        <v/>
      </c>
    </row>
    <row r="114">
      <c r="A114" s="54" t="n"/>
      <c r="B114" s="61" t="n"/>
      <c r="C114" s="58" t="n"/>
      <c r="D114" s="58" t="n"/>
      <c r="E114" s="64">
        <f>IF(tblCommentary[[#This Row],[Date]]="","",COUNTIFS(INDEX(tblCommentary[Date],1):tblCommentary[[#This Row],[Date]],tblCommentary[[#This Row],[Date]]))</f>
        <v/>
      </c>
      <c r="F114" s="63">
        <f>IF(tblCommentary[[#This Row],[Date]]="","",tblCommentary[[#This Row],[Date]]&amp;"|"&amp;tblCommentary[[#This Row],[Seq_Day]])</f>
        <v/>
      </c>
    </row>
    <row r="115">
      <c r="A115" s="54" t="n"/>
      <c r="B115" s="61" t="n"/>
      <c r="C115" s="58" t="n"/>
      <c r="D115" s="58" t="n"/>
      <c r="E115" s="64">
        <f>IF(tblCommentary[[#This Row],[Date]]="","",COUNTIFS(INDEX(tblCommentary[Date],1):tblCommentary[[#This Row],[Date]],tblCommentary[[#This Row],[Date]]))</f>
        <v/>
      </c>
      <c r="F115" s="63">
        <f>IF(tblCommentary[[#This Row],[Date]]="","",tblCommentary[[#This Row],[Date]]&amp;"|"&amp;tblCommentary[[#This Row],[Seq_Day]])</f>
        <v/>
      </c>
    </row>
    <row r="116">
      <c r="A116" s="54" t="n"/>
      <c r="B116" s="61" t="n"/>
      <c r="C116" s="58" t="n"/>
      <c r="D116" s="58" t="n"/>
      <c r="E116" s="64">
        <f>IF(tblCommentary[[#This Row],[Date]]="","",COUNTIFS(INDEX(tblCommentary[Date],1):tblCommentary[[#This Row],[Date]],tblCommentary[[#This Row],[Date]]))</f>
        <v/>
      </c>
      <c r="F116" s="63">
        <f>IF(tblCommentary[[#This Row],[Date]]="","",tblCommentary[[#This Row],[Date]]&amp;"|"&amp;tblCommentary[[#This Row],[Seq_Day]])</f>
        <v/>
      </c>
    </row>
    <row r="117">
      <c r="A117" s="54" t="n"/>
      <c r="B117" s="61" t="n"/>
      <c r="C117" s="58" t="n"/>
      <c r="D117" s="58" t="n"/>
      <c r="E117" s="64">
        <f>IF(tblCommentary[[#This Row],[Date]]="","",COUNTIFS(INDEX(tblCommentary[Date],1):tblCommentary[[#This Row],[Date]],tblCommentary[[#This Row],[Date]]))</f>
        <v/>
      </c>
      <c r="F117" s="63">
        <f>IF(tblCommentary[[#This Row],[Date]]="","",tblCommentary[[#This Row],[Date]]&amp;"|"&amp;tblCommentary[[#This Row],[Seq_Day]])</f>
        <v/>
      </c>
    </row>
    <row r="118">
      <c r="A118" s="54" t="n"/>
      <c r="B118" s="61" t="n"/>
      <c r="C118" s="58" t="n"/>
      <c r="D118" s="58" t="n"/>
      <c r="E118" s="64">
        <f>IF(tblCommentary[[#This Row],[Date]]="","",COUNTIFS(INDEX(tblCommentary[Date],1):tblCommentary[[#This Row],[Date]],tblCommentary[[#This Row],[Date]]))</f>
        <v/>
      </c>
      <c r="F118" s="63">
        <f>IF(tblCommentary[[#This Row],[Date]]="","",tblCommentary[[#This Row],[Date]]&amp;"|"&amp;tblCommentary[[#This Row],[Seq_Day]])</f>
        <v/>
      </c>
    </row>
    <row r="119">
      <c r="A119" s="54" t="n"/>
      <c r="B119" s="61" t="n"/>
      <c r="C119" s="58" t="n"/>
      <c r="D119" s="58" t="n"/>
      <c r="E119" s="64">
        <f>IF(tblCommentary[[#This Row],[Date]]="","",COUNTIFS(INDEX(tblCommentary[Date],1):tblCommentary[[#This Row],[Date]],tblCommentary[[#This Row],[Date]]))</f>
        <v/>
      </c>
      <c r="F119" s="63">
        <f>IF(tblCommentary[[#This Row],[Date]]="","",tblCommentary[[#This Row],[Date]]&amp;"|"&amp;tblCommentary[[#This Row],[Seq_Day]])</f>
        <v/>
      </c>
    </row>
    <row r="120">
      <c r="A120" s="54" t="n"/>
      <c r="B120" s="61" t="n"/>
      <c r="C120" s="58" t="n"/>
      <c r="D120" s="58" t="n"/>
      <c r="E120" s="64">
        <f>IF(tblCommentary[[#This Row],[Date]]="","",COUNTIFS(INDEX(tblCommentary[Date],1):tblCommentary[[#This Row],[Date]],tblCommentary[[#This Row],[Date]]))</f>
        <v/>
      </c>
      <c r="F120" s="63">
        <f>IF(tblCommentary[[#This Row],[Date]]="","",tblCommentary[[#This Row],[Date]]&amp;"|"&amp;tblCommentary[[#This Row],[Seq_Day]])</f>
        <v/>
      </c>
    </row>
    <row r="121">
      <c r="A121" s="54" t="n"/>
      <c r="B121" s="61" t="n"/>
      <c r="C121" s="58" t="n"/>
      <c r="D121" s="58" t="n"/>
      <c r="E121" s="64">
        <f>IF(tblCommentary[[#This Row],[Date]]="","",COUNTIFS(INDEX(tblCommentary[Date],1):tblCommentary[[#This Row],[Date]],tblCommentary[[#This Row],[Date]]))</f>
        <v/>
      </c>
      <c r="F121" s="63">
        <f>IF(tblCommentary[[#This Row],[Date]]="","",tblCommentary[[#This Row],[Date]]&amp;"|"&amp;tblCommentary[[#This Row],[Seq_Day]])</f>
        <v/>
      </c>
    </row>
    <row r="122">
      <c r="A122" s="54" t="n"/>
      <c r="B122" s="61" t="n"/>
      <c r="C122" s="58" t="n"/>
      <c r="D122" s="58" t="n"/>
      <c r="E122" s="64">
        <f>IF(tblCommentary[[#This Row],[Date]]="","",COUNTIFS(INDEX(tblCommentary[Date],1):tblCommentary[[#This Row],[Date]],tblCommentary[[#This Row],[Date]]))</f>
        <v/>
      </c>
      <c r="F122" s="63">
        <f>IF(tblCommentary[[#This Row],[Date]]="","",tblCommentary[[#This Row],[Date]]&amp;"|"&amp;tblCommentary[[#This Row],[Seq_Day]])</f>
        <v/>
      </c>
    </row>
    <row r="123">
      <c r="A123" s="54" t="n"/>
      <c r="B123" s="61" t="n"/>
      <c r="C123" s="58" t="n"/>
      <c r="D123" s="58" t="n"/>
      <c r="E123" s="64">
        <f>IF(tblCommentary[[#This Row],[Date]]="","",COUNTIFS(INDEX(tblCommentary[Date],1):tblCommentary[[#This Row],[Date]],tblCommentary[[#This Row],[Date]]))</f>
        <v/>
      </c>
      <c r="F123" s="63">
        <f>IF(tblCommentary[[#This Row],[Date]]="","",tblCommentary[[#This Row],[Date]]&amp;"|"&amp;tblCommentary[[#This Row],[Seq_Day]])</f>
        <v/>
      </c>
    </row>
    <row r="124">
      <c r="A124" s="54" t="n"/>
      <c r="B124" s="61" t="n"/>
      <c r="C124" s="58" t="n"/>
      <c r="D124" s="58" t="n"/>
      <c r="E124" s="64">
        <f>IF(tblCommentary[[#This Row],[Date]]="","",COUNTIFS(INDEX(tblCommentary[Date],1):tblCommentary[[#This Row],[Date]],tblCommentary[[#This Row],[Date]]))</f>
        <v/>
      </c>
      <c r="F124" s="63">
        <f>IF(tblCommentary[[#This Row],[Date]]="","",tblCommentary[[#This Row],[Date]]&amp;"|"&amp;tblCommentary[[#This Row],[Seq_Day]])</f>
        <v/>
      </c>
    </row>
    <row r="125">
      <c r="A125" s="54" t="n"/>
      <c r="B125" s="61" t="n"/>
      <c r="C125" s="58" t="n"/>
      <c r="D125" s="58" t="n"/>
      <c r="E125" s="64">
        <f>IF(tblCommentary[[#This Row],[Date]]="","",COUNTIFS(INDEX(tblCommentary[Date],1):tblCommentary[[#This Row],[Date]],tblCommentary[[#This Row],[Date]]))</f>
        <v/>
      </c>
      <c r="F125" s="63">
        <f>IF(tblCommentary[[#This Row],[Date]]="","",tblCommentary[[#This Row],[Date]]&amp;"|"&amp;tblCommentary[[#This Row],[Seq_Day]])</f>
        <v/>
      </c>
    </row>
    <row r="126">
      <c r="A126" s="54" t="n"/>
      <c r="B126" s="61" t="n"/>
      <c r="C126" s="58" t="n"/>
      <c r="D126" s="58" t="n"/>
      <c r="E126" s="64">
        <f>IF(tblCommentary[[#This Row],[Date]]="","",COUNTIFS(INDEX(tblCommentary[Date],1):tblCommentary[[#This Row],[Date]],tblCommentary[[#This Row],[Date]]))</f>
        <v/>
      </c>
      <c r="F126" s="63">
        <f>IF(tblCommentary[[#This Row],[Date]]="","",tblCommentary[[#This Row],[Date]]&amp;"|"&amp;tblCommentary[[#This Row],[Seq_Day]])</f>
        <v/>
      </c>
    </row>
    <row r="127">
      <c r="A127" s="54" t="n"/>
      <c r="B127" s="61" t="n"/>
      <c r="C127" s="58" t="n"/>
      <c r="D127" s="58" t="n"/>
      <c r="E127" s="64">
        <f>IF(tblCommentary[[#This Row],[Date]]="","",COUNTIFS(INDEX(tblCommentary[Date],1):tblCommentary[[#This Row],[Date]],tblCommentary[[#This Row],[Date]]))</f>
        <v/>
      </c>
      <c r="F127" s="63">
        <f>IF(tblCommentary[[#This Row],[Date]]="","",tblCommentary[[#This Row],[Date]]&amp;"|"&amp;tblCommentary[[#This Row],[Seq_Day]])</f>
        <v/>
      </c>
    </row>
    <row r="128">
      <c r="A128" s="54" t="n"/>
      <c r="B128" s="61" t="n"/>
      <c r="C128" s="58" t="n"/>
      <c r="D128" s="58" t="n"/>
      <c r="E128" s="64">
        <f>IF(tblCommentary[[#This Row],[Date]]="","",COUNTIFS(INDEX(tblCommentary[Date],1):tblCommentary[[#This Row],[Date]],tblCommentary[[#This Row],[Date]]))</f>
        <v/>
      </c>
      <c r="F128" s="63">
        <f>IF(tblCommentary[[#This Row],[Date]]="","",tblCommentary[[#This Row],[Date]]&amp;"|"&amp;tblCommentary[[#This Row],[Seq_Day]])</f>
        <v/>
      </c>
    </row>
    <row r="129">
      <c r="A129" s="54" t="n"/>
      <c r="B129" s="61" t="n"/>
      <c r="C129" s="58" t="n"/>
      <c r="D129" s="58" t="n"/>
      <c r="E129" s="64">
        <f>IF(tblCommentary[[#This Row],[Date]]="","",COUNTIFS(INDEX(tblCommentary[Date],1):tblCommentary[[#This Row],[Date]],tblCommentary[[#This Row],[Date]]))</f>
        <v/>
      </c>
      <c r="F129" s="63">
        <f>IF(tblCommentary[[#This Row],[Date]]="","",tblCommentary[[#This Row],[Date]]&amp;"|"&amp;tblCommentary[[#This Row],[Seq_Day]])</f>
        <v/>
      </c>
    </row>
    <row r="130">
      <c r="A130" s="54" t="n"/>
      <c r="B130" s="61" t="n"/>
      <c r="C130" s="58" t="n"/>
      <c r="D130" s="58" t="n"/>
      <c r="E130" s="64">
        <f>IF(tblCommentary[[#This Row],[Date]]="","",COUNTIFS(INDEX(tblCommentary[Date],1):tblCommentary[[#This Row],[Date]],tblCommentary[[#This Row],[Date]]))</f>
        <v/>
      </c>
      <c r="F130" s="63">
        <f>IF(tblCommentary[[#This Row],[Date]]="","",tblCommentary[[#This Row],[Date]]&amp;"|"&amp;tblCommentary[[#This Row],[Seq_Day]])</f>
        <v/>
      </c>
    </row>
    <row r="131">
      <c r="A131" s="54" t="n"/>
      <c r="B131" s="61" t="n"/>
      <c r="C131" s="58" t="n"/>
      <c r="D131" s="58" t="n"/>
      <c r="E131" s="64">
        <f>IF(tblCommentary[[#This Row],[Date]]="","",COUNTIFS(INDEX(tblCommentary[Date],1):tblCommentary[[#This Row],[Date]],tblCommentary[[#This Row],[Date]]))</f>
        <v/>
      </c>
      <c r="F131" s="63">
        <f>IF(tblCommentary[[#This Row],[Date]]="","",tblCommentary[[#This Row],[Date]]&amp;"|"&amp;tblCommentary[[#This Row],[Seq_Day]])</f>
        <v/>
      </c>
    </row>
    <row r="132">
      <c r="A132" s="54" t="n"/>
      <c r="B132" s="61" t="n"/>
      <c r="C132" s="58" t="n"/>
      <c r="D132" s="58" t="n"/>
      <c r="E132" s="64">
        <f>IF(tblCommentary[[#This Row],[Date]]="","",COUNTIFS(INDEX(tblCommentary[Date],1):tblCommentary[[#This Row],[Date]],tblCommentary[[#This Row],[Date]]))</f>
        <v/>
      </c>
      <c r="F132" s="63">
        <f>IF(tblCommentary[[#This Row],[Date]]="","",tblCommentary[[#This Row],[Date]]&amp;"|"&amp;tblCommentary[[#This Row],[Seq_Day]])</f>
        <v/>
      </c>
    </row>
    <row r="133">
      <c r="A133" s="54" t="n"/>
      <c r="B133" s="61" t="n"/>
      <c r="C133" s="58" t="n"/>
      <c r="D133" s="58" t="n"/>
      <c r="E133" s="64">
        <f>IF(tblCommentary[[#This Row],[Date]]="","",COUNTIFS(INDEX(tblCommentary[Date],1):tblCommentary[[#This Row],[Date]],tblCommentary[[#This Row],[Date]]))</f>
        <v/>
      </c>
      <c r="F133" s="63">
        <f>IF(tblCommentary[[#This Row],[Date]]="","",tblCommentary[[#This Row],[Date]]&amp;"|"&amp;tblCommentary[[#This Row],[Seq_Day]])</f>
        <v/>
      </c>
    </row>
    <row r="134">
      <c r="A134" s="54" t="n"/>
      <c r="B134" s="61" t="n"/>
      <c r="C134" s="58" t="n"/>
      <c r="D134" s="58" t="n"/>
      <c r="E134" s="64">
        <f>IF(tblCommentary[[#This Row],[Date]]="","",COUNTIFS(INDEX(tblCommentary[Date],1):tblCommentary[[#This Row],[Date]],tblCommentary[[#This Row],[Date]]))</f>
        <v/>
      </c>
      <c r="F134" s="63">
        <f>IF(tblCommentary[[#This Row],[Date]]="","",tblCommentary[[#This Row],[Date]]&amp;"|"&amp;tblCommentary[[#This Row],[Seq_Day]])</f>
        <v/>
      </c>
    </row>
    <row r="135">
      <c r="A135" s="54" t="n"/>
      <c r="B135" s="61" t="n"/>
      <c r="C135" s="58" t="n"/>
      <c r="D135" s="58" t="n"/>
      <c r="E135" s="64">
        <f>IF(tblCommentary[[#This Row],[Date]]="","",COUNTIFS(INDEX(tblCommentary[Date],1):tblCommentary[[#This Row],[Date]],tblCommentary[[#This Row],[Date]]))</f>
        <v/>
      </c>
      <c r="F135" s="63">
        <f>IF(tblCommentary[[#This Row],[Date]]="","",tblCommentary[[#This Row],[Date]]&amp;"|"&amp;tblCommentary[[#This Row],[Seq_Day]])</f>
        <v/>
      </c>
    </row>
    <row r="136">
      <c r="A136" s="54" t="n"/>
      <c r="B136" s="61" t="n"/>
      <c r="C136" s="58" t="n"/>
      <c r="D136" s="58" t="n"/>
      <c r="E136" s="64">
        <f>IF(tblCommentary[[#This Row],[Date]]="","",COUNTIFS(INDEX(tblCommentary[Date],1):tblCommentary[[#This Row],[Date]],tblCommentary[[#This Row],[Date]]))</f>
        <v/>
      </c>
      <c r="F136" s="63">
        <f>IF(tblCommentary[[#This Row],[Date]]="","",tblCommentary[[#This Row],[Date]]&amp;"|"&amp;tblCommentary[[#This Row],[Seq_Day]])</f>
        <v/>
      </c>
    </row>
    <row r="137">
      <c r="A137" s="54" t="n"/>
      <c r="B137" s="61" t="n"/>
      <c r="C137" s="58" t="n"/>
      <c r="D137" s="58" t="n"/>
      <c r="E137" s="64">
        <f>IF(tblCommentary[[#This Row],[Date]]="","",COUNTIFS(INDEX(tblCommentary[Date],1):tblCommentary[[#This Row],[Date]],tblCommentary[[#This Row],[Date]]))</f>
        <v/>
      </c>
      <c r="F137" s="63">
        <f>IF(tblCommentary[[#This Row],[Date]]="","",tblCommentary[[#This Row],[Date]]&amp;"|"&amp;tblCommentary[[#This Row],[Seq_Day]])</f>
        <v/>
      </c>
    </row>
    <row r="138">
      <c r="A138" s="54" t="n"/>
      <c r="B138" s="61" t="n"/>
      <c r="C138" s="58" t="n"/>
      <c r="D138" s="58" t="n"/>
      <c r="E138" s="64">
        <f>IF(tblCommentary[[#This Row],[Date]]="","",COUNTIFS(INDEX(tblCommentary[Date],1):tblCommentary[[#This Row],[Date]],tblCommentary[[#This Row],[Date]]))</f>
        <v/>
      </c>
      <c r="F138" s="63">
        <f>IF(tblCommentary[[#This Row],[Date]]="","",tblCommentary[[#This Row],[Date]]&amp;"|"&amp;tblCommentary[[#This Row],[Seq_Day]])</f>
        <v/>
      </c>
    </row>
    <row r="139">
      <c r="A139" s="54" t="n"/>
      <c r="B139" s="61" t="n"/>
      <c r="C139" s="58" t="n"/>
      <c r="D139" s="58" t="n"/>
      <c r="E139" s="64">
        <f>IF(tblCommentary[[#This Row],[Date]]="","",COUNTIFS(INDEX(tblCommentary[Date],1):tblCommentary[[#This Row],[Date]],tblCommentary[[#This Row],[Date]]))</f>
        <v/>
      </c>
      <c r="F139" s="63">
        <f>IF(tblCommentary[[#This Row],[Date]]="","",tblCommentary[[#This Row],[Date]]&amp;"|"&amp;tblCommentary[[#This Row],[Seq_Day]])</f>
        <v/>
      </c>
    </row>
    <row r="140">
      <c r="A140" s="54" t="n"/>
      <c r="B140" s="61" t="n"/>
      <c r="C140" s="58" t="n"/>
      <c r="D140" s="58" t="n"/>
      <c r="E140" s="64">
        <f>IF(tblCommentary[[#This Row],[Date]]="","",COUNTIFS(INDEX(tblCommentary[Date],1):tblCommentary[[#This Row],[Date]],tblCommentary[[#This Row],[Date]]))</f>
        <v/>
      </c>
      <c r="F140" s="63">
        <f>IF(tblCommentary[[#This Row],[Date]]="","",tblCommentary[[#This Row],[Date]]&amp;"|"&amp;tblCommentary[[#This Row],[Seq_Day]])</f>
        <v/>
      </c>
    </row>
    <row r="141">
      <c r="A141" s="54" t="n"/>
      <c r="B141" s="61" t="n"/>
      <c r="C141" s="58" t="n"/>
      <c r="D141" s="58" t="n"/>
      <c r="E141" s="64">
        <f>IF(tblCommentary[[#This Row],[Date]]="","",COUNTIFS(INDEX(tblCommentary[Date],1):tblCommentary[[#This Row],[Date]],tblCommentary[[#This Row],[Date]]))</f>
        <v/>
      </c>
      <c r="F141" s="63">
        <f>IF(tblCommentary[[#This Row],[Date]]="","",tblCommentary[[#This Row],[Date]]&amp;"|"&amp;tblCommentary[[#This Row],[Seq_Day]])</f>
        <v/>
      </c>
    </row>
    <row r="142">
      <c r="A142" s="54" t="n"/>
      <c r="B142" s="61" t="n"/>
      <c r="C142" s="58" t="n"/>
      <c r="D142" s="58" t="n"/>
      <c r="E142" s="64">
        <f>IF(tblCommentary[[#This Row],[Date]]="","",COUNTIFS(INDEX(tblCommentary[Date],1):tblCommentary[[#This Row],[Date]],tblCommentary[[#This Row],[Date]]))</f>
        <v/>
      </c>
      <c r="F142" s="63">
        <f>IF(tblCommentary[[#This Row],[Date]]="","",tblCommentary[[#This Row],[Date]]&amp;"|"&amp;tblCommentary[[#This Row],[Seq_Day]])</f>
        <v/>
      </c>
    </row>
    <row r="143">
      <c r="A143" s="54" t="n"/>
      <c r="B143" s="61" t="n"/>
      <c r="C143" s="58" t="n"/>
      <c r="D143" s="58" t="n"/>
      <c r="E143" s="64">
        <f>IF(tblCommentary[[#This Row],[Date]]="","",COUNTIFS(INDEX(tblCommentary[Date],1):tblCommentary[[#This Row],[Date]],tblCommentary[[#This Row],[Date]]))</f>
        <v/>
      </c>
      <c r="F143" s="63">
        <f>IF(tblCommentary[[#This Row],[Date]]="","",tblCommentary[[#This Row],[Date]]&amp;"|"&amp;tblCommentary[[#This Row],[Seq_Day]])</f>
        <v/>
      </c>
    </row>
    <row r="144">
      <c r="A144" s="54" t="n"/>
      <c r="B144" s="61" t="n"/>
      <c r="C144" s="58" t="n"/>
      <c r="D144" s="58" t="n"/>
      <c r="E144" s="64">
        <f>IF(tblCommentary[[#This Row],[Date]]="","",COUNTIFS(INDEX(tblCommentary[Date],1):tblCommentary[[#This Row],[Date]],tblCommentary[[#This Row],[Date]]))</f>
        <v/>
      </c>
      <c r="F144" s="63">
        <f>IF(tblCommentary[[#This Row],[Date]]="","",tblCommentary[[#This Row],[Date]]&amp;"|"&amp;tblCommentary[[#This Row],[Seq_Day]])</f>
        <v/>
      </c>
    </row>
    <row r="145">
      <c r="A145" s="54" t="n"/>
      <c r="B145" s="61" t="n"/>
      <c r="C145" s="58" t="n"/>
      <c r="D145" s="58" t="n"/>
      <c r="E145" s="64">
        <f>IF(tblCommentary[[#This Row],[Date]]="","",COUNTIFS(INDEX(tblCommentary[Date],1):tblCommentary[[#This Row],[Date]],tblCommentary[[#This Row],[Date]]))</f>
        <v/>
      </c>
      <c r="F145" s="63">
        <f>IF(tblCommentary[[#This Row],[Date]]="","",tblCommentary[[#This Row],[Date]]&amp;"|"&amp;tblCommentary[[#This Row],[Seq_Day]])</f>
        <v/>
      </c>
    </row>
    <row r="146">
      <c r="A146" s="54" t="n"/>
      <c r="B146" s="61" t="n"/>
      <c r="C146" s="58" t="n"/>
      <c r="D146" s="58" t="n"/>
      <c r="E146" s="64">
        <f>IF(tblCommentary[[#This Row],[Date]]="","",COUNTIFS(INDEX(tblCommentary[Date],1):tblCommentary[[#This Row],[Date]],tblCommentary[[#This Row],[Date]]))</f>
        <v/>
      </c>
      <c r="F146" s="63">
        <f>IF(tblCommentary[[#This Row],[Date]]="","",tblCommentary[[#This Row],[Date]]&amp;"|"&amp;tblCommentary[[#This Row],[Seq_Day]])</f>
        <v/>
      </c>
    </row>
    <row r="147">
      <c r="A147" s="54" t="n"/>
      <c r="B147" s="61" t="n"/>
      <c r="C147" s="58" t="n"/>
      <c r="D147" s="58" t="n"/>
      <c r="E147" s="64">
        <f>IF(tblCommentary[[#This Row],[Date]]="","",COUNTIFS(INDEX(tblCommentary[Date],1):tblCommentary[[#This Row],[Date]],tblCommentary[[#This Row],[Date]]))</f>
        <v/>
      </c>
      <c r="F147" s="63">
        <f>IF(tblCommentary[[#This Row],[Date]]="","",tblCommentary[[#This Row],[Date]]&amp;"|"&amp;tblCommentary[[#This Row],[Seq_Day]])</f>
        <v/>
      </c>
    </row>
    <row r="148">
      <c r="A148" s="54" t="n"/>
      <c r="B148" s="61" t="n"/>
      <c r="C148" s="58" t="n"/>
      <c r="D148" s="58" t="n"/>
      <c r="E148" s="64">
        <f>IF(tblCommentary[[#This Row],[Date]]="","",COUNTIFS(INDEX(tblCommentary[Date],1):tblCommentary[[#This Row],[Date]],tblCommentary[[#This Row],[Date]]))</f>
        <v/>
      </c>
      <c r="F148" s="63">
        <f>IF(tblCommentary[[#This Row],[Date]]="","",tblCommentary[[#This Row],[Date]]&amp;"|"&amp;tblCommentary[[#This Row],[Seq_Day]])</f>
        <v/>
      </c>
    </row>
    <row r="149">
      <c r="A149" s="54" t="n"/>
      <c r="B149" s="61" t="n"/>
      <c r="C149" s="58" t="n"/>
      <c r="D149" s="58" t="n"/>
      <c r="E149" s="64">
        <f>IF(tblCommentary[[#This Row],[Date]]="","",COUNTIFS(INDEX(tblCommentary[Date],1):tblCommentary[[#This Row],[Date]],tblCommentary[[#This Row],[Date]]))</f>
        <v/>
      </c>
      <c r="F149" s="63">
        <f>IF(tblCommentary[[#This Row],[Date]]="","",tblCommentary[[#This Row],[Date]]&amp;"|"&amp;tblCommentary[[#This Row],[Seq_Day]])</f>
        <v/>
      </c>
    </row>
    <row r="150">
      <c r="A150" s="54" t="n"/>
      <c r="B150" s="61" t="n"/>
      <c r="C150" s="58" t="n"/>
      <c r="D150" s="58" t="n"/>
      <c r="E150" s="64">
        <f>IF(tblCommentary[[#This Row],[Date]]="","",COUNTIFS(INDEX(tblCommentary[Date],1):tblCommentary[[#This Row],[Date]],tblCommentary[[#This Row],[Date]]))</f>
        <v/>
      </c>
      <c r="F150" s="63">
        <f>IF(tblCommentary[[#This Row],[Date]]="","",tblCommentary[[#This Row],[Date]]&amp;"|"&amp;tblCommentary[[#This Row],[Seq_Day]])</f>
        <v/>
      </c>
    </row>
    <row r="151">
      <c r="A151" s="54" t="n"/>
      <c r="B151" s="61" t="n"/>
      <c r="C151" s="58" t="n"/>
      <c r="D151" s="58" t="n"/>
      <c r="E151" s="64">
        <f>IF(tblCommentary[[#This Row],[Date]]="","",COUNTIFS(INDEX(tblCommentary[Date],1):tblCommentary[[#This Row],[Date]],tblCommentary[[#This Row],[Date]]))</f>
        <v/>
      </c>
      <c r="F151" s="63">
        <f>IF(tblCommentary[[#This Row],[Date]]="","",tblCommentary[[#This Row],[Date]]&amp;"|"&amp;tblCommentary[[#This Row],[Seq_Day]])</f>
        <v/>
      </c>
    </row>
    <row r="152">
      <c r="A152" s="54" t="n"/>
      <c r="B152" s="61" t="n"/>
      <c r="C152" s="58" t="n"/>
      <c r="D152" s="58" t="n"/>
      <c r="E152" s="64">
        <f>IF(tblCommentary[[#This Row],[Date]]="","",COUNTIFS(INDEX(tblCommentary[Date],1):tblCommentary[[#This Row],[Date]],tblCommentary[[#This Row],[Date]]))</f>
        <v/>
      </c>
      <c r="F152" s="63">
        <f>IF(tblCommentary[[#This Row],[Date]]="","",tblCommentary[[#This Row],[Date]]&amp;"|"&amp;tblCommentary[[#This Row],[Seq_Day]])</f>
        <v/>
      </c>
    </row>
    <row r="153">
      <c r="A153" s="54" t="n"/>
      <c r="B153" s="61" t="n"/>
      <c r="C153" s="58" t="n"/>
      <c r="D153" s="58" t="n"/>
      <c r="E153" s="64">
        <f>IF(tblCommentary[[#This Row],[Date]]="","",COUNTIFS(INDEX(tblCommentary[Date],1):tblCommentary[[#This Row],[Date]],tblCommentary[[#This Row],[Date]]))</f>
        <v/>
      </c>
      <c r="F153" s="63">
        <f>IF(tblCommentary[[#This Row],[Date]]="","",tblCommentary[[#This Row],[Date]]&amp;"|"&amp;tblCommentary[[#This Row],[Seq_Day]])</f>
        <v/>
      </c>
    </row>
    <row r="154">
      <c r="A154" s="54" t="n"/>
      <c r="B154" s="61" t="n"/>
      <c r="C154" s="58" t="n"/>
      <c r="D154" s="58" t="n"/>
      <c r="E154" s="64">
        <f>IF(tblCommentary[[#This Row],[Date]]="","",COUNTIFS(INDEX(tblCommentary[Date],1):tblCommentary[[#This Row],[Date]],tblCommentary[[#This Row],[Date]]))</f>
        <v/>
      </c>
      <c r="F154" s="63">
        <f>IF(tblCommentary[[#This Row],[Date]]="","",tblCommentary[[#This Row],[Date]]&amp;"|"&amp;tblCommentary[[#This Row],[Seq_Day]])</f>
        <v/>
      </c>
    </row>
    <row r="155">
      <c r="A155" s="54" t="n"/>
      <c r="B155" s="61" t="n"/>
      <c r="C155" s="58" t="n"/>
      <c r="D155" s="58" t="n"/>
      <c r="E155" s="64">
        <f>IF(tblCommentary[[#This Row],[Date]]="","",COUNTIFS(INDEX(tblCommentary[Date],1):tblCommentary[[#This Row],[Date]],tblCommentary[[#This Row],[Date]]))</f>
        <v/>
      </c>
      <c r="F155" s="63">
        <f>IF(tblCommentary[[#This Row],[Date]]="","",tblCommentary[[#This Row],[Date]]&amp;"|"&amp;tblCommentary[[#This Row],[Seq_Day]])</f>
        <v/>
      </c>
    </row>
    <row r="156">
      <c r="A156" s="54" t="n"/>
      <c r="B156" s="61" t="n"/>
      <c r="C156" s="58" t="n"/>
      <c r="D156" s="58" t="n"/>
      <c r="E156" s="64">
        <f>IF(tblCommentary[[#This Row],[Date]]="","",COUNTIFS(INDEX(tblCommentary[Date],1):tblCommentary[[#This Row],[Date]],tblCommentary[[#This Row],[Date]]))</f>
        <v/>
      </c>
      <c r="F156" s="63">
        <f>IF(tblCommentary[[#This Row],[Date]]="","",tblCommentary[[#This Row],[Date]]&amp;"|"&amp;tblCommentary[[#This Row],[Seq_Day]])</f>
        <v/>
      </c>
    </row>
    <row r="157">
      <c r="A157" s="54" t="n"/>
      <c r="B157" s="61" t="n"/>
      <c r="C157" s="58" t="n"/>
      <c r="D157" s="58" t="n"/>
      <c r="E157" s="64">
        <f>IF(tblCommentary[[#This Row],[Date]]="","",COUNTIFS(INDEX(tblCommentary[Date],1):tblCommentary[[#This Row],[Date]],tblCommentary[[#This Row],[Date]]))</f>
        <v/>
      </c>
      <c r="F157" s="63">
        <f>IF(tblCommentary[[#This Row],[Date]]="","",tblCommentary[[#This Row],[Date]]&amp;"|"&amp;tblCommentary[[#This Row],[Seq_Day]])</f>
        <v/>
      </c>
    </row>
    <row r="158">
      <c r="A158" s="54" t="n"/>
      <c r="B158" s="61" t="n"/>
      <c r="C158" s="58" t="n"/>
      <c r="D158" s="58" t="n"/>
      <c r="E158" s="64">
        <f>IF(tblCommentary[[#This Row],[Date]]="","",COUNTIFS(INDEX(tblCommentary[Date],1):tblCommentary[[#This Row],[Date]],tblCommentary[[#This Row],[Date]]))</f>
        <v/>
      </c>
      <c r="F158" s="63">
        <f>IF(tblCommentary[[#This Row],[Date]]="","",tblCommentary[[#This Row],[Date]]&amp;"|"&amp;tblCommentary[[#This Row],[Seq_Day]])</f>
        <v/>
      </c>
    </row>
    <row r="159">
      <c r="A159" s="54" t="n"/>
      <c r="B159" s="61" t="n"/>
      <c r="C159" s="58" t="n"/>
      <c r="D159" s="58" t="n"/>
      <c r="E159" s="64">
        <f>IF(tblCommentary[[#This Row],[Date]]="","",COUNTIFS(INDEX(tblCommentary[Date],1):tblCommentary[[#This Row],[Date]],tblCommentary[[#This Row],[Date]]))</f>
        <v/>
      </c>
      <c r="F159" s="63">
        <f>IF(tblCommentary[[#This Row],[Date]]="","",tblCommentary[[#This Row],[Date]]&amp;"|"&amp;tblCommentary[[#This Row],[Seq_Day]])</f>
        <v/>
      </c>
    </row>
    <row r="160">
      <c r="A160" s="54" t="n"/>
      <c r="B160" s="61" t="n"/>
      <c r="C160" s="58" t="n"/>
      <c r="D160" s="58" t="n"/>
      <c r="E160" s="64">
        <f>IF(tblCommentary[[#This Row],[Date]]="","",COUNTIFS(INDEX(tblCommentary[Date],1):tblCommentary[[#This Row],[Date]],tblCommentary[[#This Row],[Date]]))</f>
        <v/>
      </c>
      <c r="F160" s="63">
        <f>IF(tblCommentary[[#This Row],[Date]]="","",tblCommentary[[#This Row],[Date]]&amp;"|"&amp;tblCommentary[[#This Row],[Seq_Day]])</f>
        <v/>
      </c>
    </row>
    <row r="161">
      <c r="A161" s="54" t="n"/>
      <c r="B161" s="61" t="n"/>
      <c r="C161" s="58" t="n"/>
      <c r="D161" s="58" t="n"/>
      <c r="E161" s="64">
        <f>IF(tblCommentary[[#This Row],[Date]]="","",COUNTIFS(INDEX(tblCommentary[Date],1):tblCommentary[[#This Row],[Date]],tblCommentary[[#This Row],[Date]]))</f>
        <v/>
      </c>
      <c r="F161" s="63">
        <f>IF(tblCommentary[[#This Row],[Date]]="","",tblCommentary[[#This Row],[Date]]&amp;"|"&amp;tblCommentary[[#This Row],[Seq_Day]])</f>
        <v/>
      </c>
    </row>
    <row r="162">
      <c r="A162" s="54" t="n"/>
      <c r="B162" s="61" t="n"/>
      <c r="C162" s="58" t="n"/>
      <c r="D162" s="58" t="n"/>
      <c r="E162" s="64">
        <f>IF(tblCommentary[[#This Row],[Date]]="","",COUNTIFS(INDEX(tblCommentary[Date],1):tblCommentary[[#This Row],[Date]],tblCommentary[[#This Row],[Date]]))</f>
        <v/>
      </c>
      <c r="F162" s="63">
        <f>IF(tblCommentary[[#This Row],[Date]]="","",tblCommentary[[#This Row],[Date]]&amp;"|"&amp;tblCommentary[[#This Row],[Seq_Day]])</f>
        <v/>
      </c>
    </row>
    <row r="163">
      <c r="A163" s="54" t="n"/>
      <c r="B163" s="61" t="n"/>
      <c r="C163" s="58" t="n"/>
      <c r="D163" s="58" t="n"/>
      <c r="E163" s="64">
        <f>IF(tblCommentary[[#This Row],[Date]]="","",COUNTIFS(INDEX(tblCommentary[Date],1):tblCommentary[[#This Row],[Date]],tblCommentary[[#This Row],[Date]]))</f>
        <v/>
      </c>
      <c r="F163" s="63">
        <f>IF(tblCommentary[[#This Row],[Date]]="","",tblCommentary[[#This Row],[Date]]&amp;"|"&amp;tblCommentary[[#This Row],[Seq_Day]])</f>
        <v/>
      </c>
    </row>
    <row r="164">
      <c r="A164" s="54" t="n"/>
      <c r="B164" s="61" t="n"/>
      <c r="C164" s="58" t="n"/>
      <c r="D164" s="58" t="n"/>
      <c r="E164" s="64">
        <f>IF(tblCommentary[[#This Row],[Date]]="","",COUNTIFS(INDEX(tblCommentary[Date],1):tblCommentary[[#This Row],[Date]],tblCommentary[[#This Row],[Date]]))</f>
        <v/>
      </c>
      <c r="F164" s="63">
        <f>IF(tblCommentary[[#This Row],[Date]]="","",tblCommentary[[#This Row],[Date]]&amp;"|"&amp;tblCommentary[[#This Row],[Seq_Day]])</f>
        <v/>
      </c>
    </row>
    <row r="165">
      <c r="A165" s="54" t="n"/>
      <c r="B165" s="61" t="n"/>
      <c r="C165" s="58" t="n"/>
      <c r="D165" s="58" t="n"/>
      <c r="E165" s="64">
        <f>IF(tblCommentary[[#This Row],[Date]]="","",COUNTIFS(INDEX(tblCommentary[Date],1):tblCommentary[[#This Row],[Date]],tblCommentary[[#This Row],[Date]]))</f>
        <v/>
      </c>
      <c r="F165" s="63">
        <f>IF(tblCommentary[[#This Row],[Date]]="","",tblCommentary[[#This Row],[Date]]&amp;"|"&amp;tblCommentary[[#This Row],[Seq_Day]])</f>
        <v/>
      </c>
    </row>
    <row r="166">
      <c r="A166" s="54" t="n"/>
      <c r="B166" s="61" t="n"/>
      <c r="C166" s="58" t="n"/>
      <c r="D166" s="58" t="n"/>
      <c r="E166" s="64">
        <f>IF(tblCommentary[[#This Row],[Date]]="","",COUNTIFS(INDEX(tblCommentary[Date],1):tblCommentary[[#This Row],[Date]],tblCommentary[[#This Row],[Date]]))</f>
        <v/>
      </c>
      <c r="F166" s="63">
        <f>IF(tblCommentary[[#This Row],[Date]]="","",tblCommentary[[#This Row],[Date]]&amp;"|"&amp;tblCommentary[[#This Row],[Seq_Day]])</f>
        <v/>
      </c>
    </row>
    <row r="167">
      <c r="A167" s="54" t="n"/>
      <c r="B167" s="61" t="n"/>
      <c r="C167" s="58" t="n"/>
      <c r="D167" s="58" t="n"/>
      <c r="E167" s="64">
        <f>IF(tblCommentary[[#This Row],[Date]]="","",COUNTIFS(INDEX(tblCommentary[Date],1):tblCommentary[[#This Row],[Date]],tblCommentary[[#This Row],[Date]]))</f>
        <v/>
      </c>
      <c r="F167" s="63">
        <f>IF(tblCommentary[[#This Row],[Date]]="","",tblCommentary[[#This Row],[Date]]&amp;"|"&amp;tblCommentary[[#This Row],[Seq_Day]])</f>
        <v/>
      </c>
    </row>
    <row r="168">
      <c r="A168" s="54" t="n"/>
      <c r="B168" s="61" t="n"/>
      <c r="C168" s="58" t="n"/>
      <c r="D168" s="58" t="n"/>
      <c r="E168" s="64">
        <f>IF(tblCommentary[[#This Row],[Date]]="","",COUNTIFS(INDEX(tblCommentary[Date],1):tblCommentary[[#This Row],[Date]],tblCommentary[[#This Row],[Date]]))</f>
        <v/>
      </c>
      <c r="F168" s="63">
        <f>IF(tblCommentary[[#This Row],[Date]]="","",tblCommentary[[#This Row],[Date]]&amp;"|"&amp;tblCommentary[[#This Row],[Seq_Day]])</f>
        <v/>
      </c>
    </row>
    <row r="169">
      <c r="A169" s="54" t="n"/>
      <c r="B169" s="61" t="n"/>
      <c r="C169" s="58" t="n"/>
      <c r="D169" s="58" t="n"/>
      <c r="E169" s="64">
        <f>IF(tblCommentary[[#This Row],[Date]]="","",COUNTIFS(INDEX(tblCommentary[Date],1):tblCommentary[[#This Row],[Date]],tblCommentary[[#This Row],[Date]]))</f>
        <v/>
      </c>
      <c r="F169" s="63">
        <f>IF(tblCommentary[[#This Row],[Date]]="","",tblCommentary[[#This Row],[Date]]&amp;"|"&amp;tblCommentary[[#This Row],[Seq_Day]])</f>
        <v/>
      </c>
    </row>
    <row r="170">
      <c r="A170" s="54" t="n"/>
      <c r="B170" s="61" t="n"/>
      <c r="C170" s="58" t="n"/>
      <c r="D170" s="58" t="n"/>
      <c r="E170" s="64">
        <f>IF(tblCommentary[[#This Row],[Date]]="","",COUNTIFS(INDEX(tblCommentary[Date],1):tblCommentary[[#This Row],[Date]],tblCommentary[[#This Row],[Date]]))</f>
        <v/>
      </c>
      <c r="F170" s="63">
        <f>IF(tblCommentary[[#This Row],[Date]]="","",tblCommentary[[#This Row],[Date]]&amp;"|"&amp;tblCommentary[[#This Row],[Seq_Day]])</f>
        <v/>
      </c>
    </row>
    <row r="171">
      <c r="A171" s="54" t="n"/>
      <c r="B171" s="61" t="n"/>
      <c r="C171" s="58" t="n"/>
      <c r="D171" s="58" t="n"/>
      <c r="E171" s="64">
        <f>IF(tblCommentary[[#This Row],[Date]]="","",COUNTIFS(INDEX(tblCommentary[Date],1):tblCommentary[[#This Row],[Date]],tblCommentary[[#This Row],[Date]]))</f>
        <v/>
      </c>
      <c r="F171" s="63">
        <f>IF(tblCommentary[[#This Row],[Date]]="","",tblCommentary[[#This Row],[Date]]&amp;"|"&amp;tblCommentary[[#This Row],[Seq_Day]])</f>
        <v/>
      </c>
    </row>
    <row r="172">
      <c r="A172" s="54" t="n"/>
      <c r="B172" s="61" t="n"/>
      <c r="C172" s="58" t="n"/>
      <c r="D172" s="58" t="n"/>
      <c r="E172" s="64">
        <f>IF(tblCommentary[[#This Row],[Date]]="","",COUNTIFS(INDEX(tblCommentary[Date],1):tblCommentary[[#This Row],[Date]],tblCommentary[[#This Row],[Date]]))</f>
        <v/>
      </c>
      <c r="F172" s="63">
        <f>IF(tblCommentary[[#This Row],[Date]]="","",tblCommentary[[#This Row],[Date]]&amp;"|"&amp;tblCommentary[[#This Row],[Seq_Day]])</f>
        <v/>
      </c>
    </row>
    <row r="173">
      <c r="A173" s="54" t="n"/>
      <c r="B173" s="61" t="n"/>
      <c r="C173" s="58" t="n"/>
      <c r="D173" s="58" t="n"/>
      <c r="E173" s="64">
        <f>IF(tblCommentary[[#This Row],[Date]]="","",COUNTIFS(INDEX(tblCommentary[Date],1):tblCommentary[[#This Row],[Date]],tblCommentary[[#This Row],[Date]]))</f>
        <v/>
      </c>
      <c r="F173" s="63">
        <f>IF(tblCommentary[[#This Row],[Date]]="","",tblCommentary[[#This Row],[Date]]&amp;"|"&amp;tblCommentary[[#This Row],[Seq_Day]])</f>
        <v/>
      </c>
    </row>
    <row r="174">
      <c r="A174" s="54" t="n"/>
      <c r="B174" s="61" t="n"/>
      <c r="C174" s="58" t="n"/>
      <c r="D174" s="58" t="n"/>
      <c r="E174" s="64">
        <f>IF(tblCommentary[[#This Row],[Date]]="","",COUNTIFS(INDEX(tblCommentary[Date],1):tblCommentary[[#This Row],[Date]],tblCommentary[[#This Row],[Date]]))</f>
        <v/>
      </c>
      <c r="F174" s="63">
        <f>IF(tblCommentary[[#This Row],[Date]]="","",tblCommentary[[#This Row],[Date]]&amp;"|"&amp;tblCommentary[[#This Row],[Seq_Day]])</f>
        <v/>
      </c>
    </row>
    <row r="175">
      <c r="A175" s="54" t="n"/>
      <c r="B175" s="61" t="n"/>
      <c r="C175" s="58" t="n"/>
      <c r="D175" s="58" t="n"/>
      <c r="E175" s="64">
        <f>IF(tblCommentary[[#This Row],[Date]]="","",COUNTIFS(INDEX(tblCommentary[Date],1):tblCommentary[[#This Row],[Date]],tblCommentary[[#This Row],[Date]]))</f>
        <v/>
      </c>
      <c r="F175" s="63">
        <f>IF(tblCommentary[[#This Row],[Date]]="","",tblCommentary[[#This Row],[Date]]&amp;"|"&amp;tblCommentary[[#This Row],[Seq_Day]])</f>
        <v/>
      </c>
    </row>
    <row r="176">
      <c r="A176" s="54" t="n"/>
      <c r="B176" s="61" t="n"/>
      <c r="C176" s="58" t="n"/>
      <c r="D176" s="58" t="n"/>
      <c r="E176" s="64">
        <f>IF(tblCommentary[[#This Row],[Date]]="","",COUNTIFS(INDEX(tblCommentary[Date],1):tblCommentary[[#This Row],[Date]],tblCommentary[[#This Row],[Date]]))</f>
        <v/>
      </c>
      <c r="F176" s="63">
        <f>IF(tblCommentary[[#This Row],[Date]]="","",tblCommentary[[#This Row],[Date]]&amp;"|"&amp;tblCommentary[[#This Row],[Seq_Day]])</f>
        <v/>
      </c>
    </row>
    <row r="177">
      <c r="A177" s="54" t="n"/>
      <c r="B177" s="61" t="n"/>
      <c r="C177" s="58" t="n"/>
      <c r="D177" s="58" t="n"/>
      <c r="E177" s="64">
        <f>IF(tblCommentary[[#This Row],[Date]]="","",COUNTIFS(INDEX(tblCommentary[Date],1):tblCommentary[[#This Row],[Date]],tblCommentary[[#This Row],[Date]]))</f>
        <v/>
      </c>
      <c r="F177" s="63">
        <f>IF(tblCommentary[[#This Row],[Date]]="","",tblCommentary[[#This Row],[Date]]&amp;"|"&amp;tblCommentary[[#This Row],[Seq_Day]])</f>
        <v/>
      </c>
    </row>
    <row r="178">
      <c r="A178" s="54" t="n"/>
      <c r="B178" s="61" t="n"/>
      <c r="C178" s="58" t="n"/>
      <c r="D178" s="58" t="n"/>
      <c r="E178" s="64">
        <f>IF(tblCommentary[[#This Row],[Date]]="","",COUNTIFS(INDEX(tblCommentary[Date],1):tblCommentary[[#This Row],[Date]],tblCommentary[[#This Row],[Date]]))</f>
        <v/>
      </c>
      <c r="F178" s="63">
        <f>IF(tblCommentary[[#This Row],[Date]]="","",tblCommentary[[#This Row],[Date]]&amp;"|"&amp;tblCommentary[[#This Row],[Seq_Day]])</f>
        <v/>
      </c>
    </row>
    <row r="179">
      <c r="A179" s="54" t="n"/>
      <c r="B179" s="61" t="n"/>
      <c r="C179" s="58" t="n"/>
      <c r="D179" s="58" t="n"/>
      <c r="E179" s="64">
        <f>IF(tblCommentary[[#This Row],[Date]]="","",COUNTIFS(INDEX(tblCommentary[Date],1):tblCommentary[[#This Row],[Date]],tblCommentary[[#This Row],[Date]]))</f>
        <v/>
      </c>
      <c r="F179" s="63">
        <f>IF(tblCommentary[[#This Row],[Date]]="","",tblCommentary[[#This Row],[Date]]&amp;"|"&amp;tblCommentary[[#This Row],[Seq_Day]])</f>
        <v/>
      </c>
    </row>
    <row r="180">
      <c r="A180" s="54" t="n"/>
      <c r="B180" s="61" t="n"/>
      <c r="C180" s="58" t="n"/>
      <c r="D180" s="58" t="n"/>
      <c r="E180" s="64">
        <f>IF(tblCommentary[[#This Row],[Date]]="","",COUNTIFS(INDEX(tblCommentary[Date],1):tblCommentary[[#This Row],[Date]],tblCommentary[[#This Row],[Date]]))</f>
        <v/>
      </c>
      <c r="F180" s="63">
        <f>IF(tblCommentary[[#This Row],[Date]]="","",tblCommentary[[#This Row],[Date]]&amp;"|"&amp;tblCommentary[[#This Row],[Seq_Day]])</f>
        <v/>
      </c>
    </row>
    <row r="181">
      <c r="A181" s="54" t="n"/>
      <c r="B181" s="61" t="n"/>
      <c r="C181" s="58" t="n"/>
      <c r="D181" s="58" t="n"/>
      <c r="E181" s="64">
        <f>IF(tblCommentary[[#This Row],[Date]]="","",COUNTIFS(INDEX(tblCommentary[Date],1):tblCommentary[[#This Row],[Date]],tblCommentary[[#This Row],[Date]]))</f>
        <v/>
      </c>
      <c r="F181" s="63">
        <f>IF(tblCommentary[[#This Row],[Date]]="","",tblCommentary[[#This Row],[Date]]&amp;"|"&amp;tblCommentary[[#This Row],[Seq_Day]])</f>
        <v/>
      </c>
    </row>
    <row r="182">
      <c r="A182" s="54" t="n"/>
      <c r="B182" s="61" t="n"/>
      <c r="C182" s="58" t="n"/>
      <c r="D182" s="58" t="n"/>
      <c r="E182" s="64">
        <f>IF(tblCommentary[[#This Row],[Date]]="","",COUNTIFS(INDEX(tblCommentary[Date],1):tblCommentary[[#This Row],[Date]],tblCommentary[[#This Row],[Date]]))</f>
        <v/>
      </c>
      <c r="F182" s="63">
        <f>IF(tblCommentary[[#This Row],[Date]]="","",tblCommentary[[#This Row],[Date]]&amp;"|"&amp;tblCommentary[[#This Row],[Seq_Day]])</f>
        <v/>
      </c>
    </row>
    <row r="183">
      <c r="A183" s="54" t="n"/>
      <c r="B183" s="61" t="n"/>
      <c r="C183" s="58" t="n"/>
      <c r="D183" s="58" t="n"/>
      <c r="E183" s="64">
        <f>IF(tblCommentary[[#This Row],[Date]]="","",COUNTIFS(INDEX(tblCommentary[Date],1):tblCommentary[[#This Row],[Date]],tblCommentary[[#This Row],[Date]]))</f>
        <v/>
      </c>
      <c r="F183" s="63">
        <f>IF(tblCommentary[[#This Row],[Date]]="","",tblCommentary[[#This Row],[Date]]&amp;"|"&amp;tblCommentary[[#This Row],[Seq_Day]])</f>
        <v/>
      </c>
    </row>
    <row r="184">
      <c r="A184" s="54" t="n"/>
      <c r="B184" s="61" t="n"/>
      <c r="C184" s="58" t="n"/>
      <c r="D184" s="58" t="n"/>
      <c r="E184" s="64">
        <f>IF(tblCommentary[[#This Row],[Date]]="","",COUNTIFS(INDEX(tblCommentary[Date],1):tblCommentary[[#This Row],[Date]],tblCommentary[[#This Row],[Date]]))</f>
        <v/>
      </c>
      <c r="F184" s="63">
        <f>IF(tblCommentary[[#This Row],[Date]]="","",tblCommentary[[#This Row],[Date]]&amp;"|"&amp;tblCommentary[[#This Row],[Seq_Day]])</f>
        <v/>
      </c>
    </row>
    <row r="185">
      <c r="A185" s="54" t="n"/>
      <c r="B185" s="61" t="n"/>
      <c r="C185" s="58" t="n"/>
      <c r="D185" s="58" t="n"/>
      <c r="E185" s="64">
        <f>IF(tblCommentary[[#This Row],[Date]]="","",COUNTIFS(INDEX(tblCommentary[Date],1):tblCommentary[[#This Row],[Date]],tblCommentary[[#This Row],[Date]]))</f>
        <v/>
      </c>
      <c r="F185" s="63">
        <f>IF(tblCommentary[[#This Row],[Date]]="","",tblCommentary[[#This Row],[Date]]&amp;"|"&amp;tblCommentary[[#This Row],[Seq_Day]])</f>
        <v/>
      </c>
    </row>
    <row r="186">
      <c r="A186" s="54" t="n"/>
      <c r="B186" s="61" t="n"/>
      <c r="C186" s="58" t="n"/>
      <c r="D186" s="58" t="n"/>
      <c r="E186" s="64">
        <f>IF(tblCommentary[[#This Row],[Date]]="","",COUNTIFS(INDEX(tblCommentary[Date],1):tblCommentary[[#This Row],[Date]],tblCommentary[[#This Row],[Date]]))</f>
        <v/>
      </c>
      <c r="F186" s="63">
        <f>IF(tblCommentary[[#This Row],[Date]]="","",tblCommentary[[#This Row],[Date]]&amp;"|"&amp;tblCommentary[[#This Row],[Seq_Day]])</f>
        <v/>
      </c>
    </row>
    <row r="187">
      <c r="A187" s="54" t="n"/>
      <c r="B187" s="61" t="n"/>
      <c r="C187" s="58" t="n"/>
      <c r="D187" s="58" t="n"/>
      <c r="E187" s="64">
        <f>IF(tblCommentary[[#This Row],[Date]]="","",COUNTIFS(INDEX(tblCommentary[Date],1):tblCommentary[[#This Row],[Date]],tblCommentary[[#This Row],[Date]]))</f>
        <v/>
      </c>
      <c r="F187" s="63">
        <f>IF(tblCommentary[[#This Row],[Date]]="","",tblCommentary[[#This Row],[Date]]&amp;"|"&amp;tblCommentary[[#This Row],[Seq_Day]])</f>
        <v/>
      </c>
    </row>
    <row r="188">
      <c r="A188" s="54" t="n"/>
      <c r="B188" s="61" t="n"/>
      <c r="C188" s="58" t="n"/>
      <c r="D188" s="58" t="n"/>
      <c r="E188" s="64">
        <f>IF(tblCommentary[[#This Row],[Date]]="","",COUNTIFS(INDEX(tblCommentary[Date],1):tblCommentary[[#This Row],[Date]],tblCommentary[[#This Row],[Date]]))</f>
        <v/>
      </c>
      <c r="F188" s="63">
        <f>IF(tblCommentary[[#This Row],[Date]]="","",tblCommentary[[#This Row],[Date]]&amp;"|"&amp;tblCommentary[[#This Row],[Seq_Day]])</f>
        <v/>
      </c>
    </row>
    <row r="189">
      <c r="A189" s="54" t="n"/>
      <c r="B189" s="61" t="n"/>
      <c r="C189" s="58" t="n"/>
      <c r="D189" s="58" t="n"/>
      <c r="E189" s="64">
        <f>IF(tblCommentary[[#This Row],[Date]]="","",COUNTIFS(INDEX(tblCommentary[Date],1):tblCommentary[[#This Row],[Date]],tblCommentary[[#This Row],[Date]]))</f>
        <v/>
      </c>
      <c r="F189" s="63">
        <f>IF(tblCommentary[[#This Row],[Date]]="","",tblCommentary[[#This Row],[Date]]&amp;"|"&amp;tblCommentary[[#This Row],[Seq_Day]])</f>
        <v/>
      </c>
    </row>
    <row r="190">
      <c r="A190" s="54" t="n"/>
      <c r="B190" s="61" t="n"/>
      <c r="C190" s="58" t="n"/>
      <c r="D190" s="58" t="n"/>
      <c r="E190" s="64">
        <f>IF(tblCommentary[[#This Row],[Date]]="","",COUNTIFS(INDEX(tblCommentary[Date],1):tblCommentary[[#This Row],[Date]],tblCommentary[[#This Row],[Date]]))</f>
        <v/>
      </c>
      <c r="F190" s="63">
        <f>IF(tblCommentary[[#This Row],[Date]]="","",tblCommentary[[#This Row],[Date]]&amp;"|"&amp;tblCommentary[[#This Row],[Seq_Day]])</f>
        <v/>
      </c>
    </row>
    <row r="191">
      <c r="A191" s="54" t="n"/>
      <c r="B191" s="61" t="n"/>
      <c r="C191" s="58" t="n"/>
      <c r="D191" s="58" t="n"/>
      <c r="E191" s="64">
        <f>IF(tblCommentary[[#This Row],[Date]]="","",COUNTIFS(INDEX(tblCommentary[Date],1):tblCommentary[[#This Row],[Date]],tblCommentary[[#This Row],[Date]]))</f>
        <v/>
      </c>
      <c r="F191" s="63">
        <f>IF(tblCommentary[[#This Row],[Date]]="","",tblCommentary[[#This Row],[Date]]&amp;"|"&amp;tblCommentary[[#This Row],[Seq_Day]])</f>
        <v/>
      </c>
    </row>
    <row r="192">
      <c r="A192" s="54" t="n"/>
      <c r="B192" s="61" t="n"/>
      <c r="C192" s="58" t="n"/>
      <c r="D192" s="58" t="n"/>
      <c r="E192" s="64">
        <f>IF(tblCommentary[[#This Row],[Date]]="","",COUNTIFS(INDEX(tblCommentary[Date],1):tblCommentary[[#This Row],[Date]],tblCommentary[[#This Row],[Date]]))</f>
        <v/>
      </c>
      <c r="F192" s="63">
        <f>IF(tblCommentary[[#This Row],[Date]]="","",tblCommentary[[#This Row],[Date]]&amp;"|"&amp;tblCommentary[[#This Row],[Seq_Day]])</f>
        <v/>
      </c>
    </row>
    <row r="193">
      <c r="A193" s="54" t="n"/>
      <c r="B193" s="61" t="n"/>
      <c r="C193" s="58" t="n"/>
      <c r="D193" s="58" t="n"/>
      <c r="E193" s="64">
        <f>IF(tblCommentary[[#This Row],[Date]]="","",COUNTIFS(INDEX(tblCommentary[Date],1):tblCommentary[[#This Row],[Date]],tblCommentary[[#This Row],[Date]]))</f>
        <v/>
      </c>
      <c r="F193" s="63">
        <f>IF(tblCommentary[[#This Row],[Date]]="","",tblCommentary[[#This Row],[Date]]&amp;"|"&amp;tblCommentary[[#This Row],[Seq_Day]])</f>
        <v/>
      </c>
    </row>
    <row r="194">
      <c r="A194" s="54" t="n"/>
      <c r="B194" s="61" t="n"/>
      <c r="C194" s="58" t="n"/>
      <c r="D194" s="58" t="n"/>
      <c r="E194" s="64">
        <f>IF(tblCommentary[[#This Row],[Date]]="","",COUNTIFS(INDEX(tblCommentary[Date],1):tblCommentary[[#This Row],[Date]],tblCommentary[[#This Row],[Date]]))</f>
        <v/>
      </c>
      <c r="F194" s="63">
        <f>IF(tblCommentary[[#This Row],[Date]]="","",tblCommentary[[#This Row],[Date]]&amp;"|"&amp;tblCommentary[[#This Row],[Seq_Day]])</f>
        <v/>
      </c>
    </row>
    <row r="195">
      <c r="A195" s="54" t="n"/>
      <c r="B195" s="61" t="n"/>
      <c r="C195" s="58" t="n"/>
      <c r="D195" s="58" t="n"/>
      <c r="E195" s="64">
        <f>IF(tblCommentary[[#This Row],[Date]]="","",COUNTIFS(INDEX(tblCommentary[Date],1):tblCommentary[[#This Row],[Date]],tblCommentary[[#This Row],[Date]]))</f>
        <v/>
      </c>
      <c r="F195" s="63">
        <f>IF(tblCommentary[[#This Row],[Date]]="","",tblCommentary[[#This Row],[Date]]&amp;"|"&amp;tblCommentary[[#This Row],[Seq_Day]])</f>
        <v/>
      </c>
    </row>
    <row r="196">
      <c r="A196" s="54" t="n"/>
      <c r="B196" s="61" t="n"/>
      <c r="C196" s="58" t="n"/>
      <c r="D196" s="58" t="n"/>
      <c r="E196" s="64">
        <f>IF(tblCommentary[[#This Row],[Date]]="","",COUNTIFS(INDEX(tblCommentary[Date],1):tblCommentary[[#This Row],[Date]],tblCommentary[[#This Row],[Date]]))</f>
        <v/>
      </c>
      <c r="F196" s="63">
        <f>IF(tblCommentary[[#This Row],[Date]]="","",tblCommentary[[#This Row],[Date]]&amp;"|"&amp;tblCommentary[[#This Row],[Seq_Day]])</f>
        <v/>
      </c>
    </row>
    <row r="197">
      <c r="A197" s="54" t="n"/>
      <c r="B197" s="61" t="n"/>
      <c r="C197" s="58" t="n"/>
      <c r="D197" s="58" t="n"/>
      <c r="E197" s="64">
        <f>IF(tblCommentary[[#This Row],[Date]]="","",COUNTIFS(INDEX(tblCommentary[Date],1):tblCommentary[[#This Row],[Date]],tblCommentary[[#This Row],[Date]]))</f>
        <v/>
      </c>
      <c r="F197" s="63">
        <f>IF(tblCommentary[[#This Row],[Date]]="","",tblCommentary[[#This Row],[Date]]&amp;"|"&amp;tblCommentary[[#This Row],[Seq_Day]])</f>
        <v/>
      </c>
    </row>
    <row r="198">
      <c r="A198" s="54" t="n"/>
      <c r="B198" s="61" t="n"/>
      <c r="C198" s="58" t="n"/>
      <c r="D198" s="58" t="n"/>
      <c r="E198" s="64">
        <f>IF(tblCommentary[[#This Row],[Date]]="","",COUNTIFS(INDEX(tblCommentary[Date],1):tblCommentary[[#This Row],[Date]],tblCommentary[[#This Row],[Date]]))</f>
        <v/>
      </c>
      <c r="F198" s="63">
        <f>IF(tblCommentary[[#This Row],[Date]]="","",tblCommentary[[#This Row],[Date]]&amp;"|"&amp;tblCommentary[[#This Row],[Seq_Day]])</f>
        <v/>
      </c>
    </row>
    <row r="199">
      <c r="A199" s="54" t="n"/>
      <c r="B199" s="61" t="n"/>
      <c r="C199" s="58" t="n"/>
      <c r="D199" s="58" t="n"/>
      <c r="E199" s="64">
        <f>IF(tblCommentary[[#This Row],[Date]]="","",COUNTIFS(INDEX(tblCommentary[Date],1):tblCommentary[[#This Row],[Date]],tblCommentary[[#This Row],[Date]]))</f>
        <v/>
      </c>
      <c r="F199" s="63">
        <f>IF(tblCommentary[[#This Row],[Date]]="","",tblCommentary[[#This Row],[Date]]&amp;"|"&amp;tblCommentary[[#This Row],[Seq_Day]])</f>
        <v/>
      </c>
    </row>
    <row r="200">
      <c r="A200" s="54" t="n"/>
      <c r="B200" s="61" t="n"/>
      <c r="C200" s="58" t="n"/>
      <c r="D200" s="58" t="n"/>
      <c r="E200" s="64">
        <f>IF(tblCommentary[[#This Row],[Date]]="","",COUNTIFS(INDEX(tblCommentary[Date],1):tblCommentary[[#This Row],[Date]],tblCommentary[[#This Row],[Date]]))</f>
        <v/>
      </c>
      <c r="F200" s="63">
        <f>IF(tblCommentary[[#This Row],[Date]]="","",tblCommentary[[#This Row],[Date]]&amp;"|"&amp;tblCommentary[[#This Row],[Seq_Day]])</f>
        <v/>
      </c>
    </row>
    <row r="201">
      <c r="A201" s="54" t="n"/>
      <c r="B201" s="61" t="n"/>
      <c r="C201" s="58" t="n"/>
      <c r="D201" s="58" t="n"/>
      <c r="E201" s="64">
        <f>IF(tblCommentary[[#This Row],[Date]]="","",COUNTIFS(INDEX(tblCommentary[Date],1):tblCommentary[[#This Row],[Date]],tblCommentary[[#This Row],[Date]]))</f>
        <v/>
      </c>
      <c r="F201" s="63">
        <f>IF(tblCommentary[[#This Row],[Date]]="","",tblCommentary[[#This Row],[Date]]&amp;"|"&amp;tblCommentary[[#This Row],[Seq_Day]])</f>
        <v/>
      </c>
    </row>
    <row r="202">
      <c r="A202" s="54" t="n"/>
      <c r="B202" s="61" t="n"/>
      <c r="C202" s="58" t="n"/>
      <c r="D202" s="58" t="n"/>
      <c r="E202" s="64">
        <f>IF(tblCommentary[[#This Row],[Date]]="","",COUNTIFS(INDEX(tblCommentary[Date],1):tblCommentary[[#This Row],[Date]],tblCommentary[[#This Row],[Date]]))</f>
        <v/>
      </c>
      <c r="F202" s="63">
        <f>IF(tblCommentary[[#This Row],[Date]]="","",tblCommentary[[#This Row],[Date]]&amp;"|"&amp;tblCommentary[[#This Row],[Seq_Day]])</f>
        <v/>
      </c>
    </row>
    <row r="203">
      <c r="A203" s="54" t="n"/>
      <c r="B203" s="61" t="n"/>
      <c r="C203" s="58" t="n"/>
      <c r="D203" s="58" t="n"/>
      <c r="E203" s="64">
        <f>IF(tblCommentary[[#This Row],[Date]]="","",COUNTIFS(INDEX(tblCommentary[Date],1):tblCommentary[[#This Row],[Date]],tblCommentary[[#This Row],[Date]]))</f>
        <v/>
      </c>
      <c r="F203" s="63">
        <f>IF(tblCommentary[[#This Row],[Date]]="","",tblCommentary[[#This Row],[Date]]&amp;"|"&amp;tblCommentary[[#This Row],[Seq_Day]])</f>
        <v/>
      </c>
    </row>
    <row r="204">
      <c r="A204" s="54" t="n"/>
      <c r="B204" s="61" t="n"/>
      <c r="C204" s="58" t="n"/>
      <c r="D204" s="58" t="n"/>
      <c r="E204" s="64">
        <f>IF(tblCommentary[[#This Row],[Date]]="","",COUNTIFS(INDEX(tblCommentary[Date],1):tblCommentary[[#This Row],[Date]],tblCommentary[[#This Row],[Date]]))</f>
        <v/>
      </c>
      <c r="F204" s="63">
        <f>IF(tblCommentary[[#This Row],[Date]]="","",tblCommentary[[#This Row],[Date]]&amp;"|"&amp;tblCommentary[[#This Row],[Seq_Day]])</f>
        <v/>
      </c>
    </row>
    <row r="205">
      <c r="A205" s="54" t="n"/>
      <c r="B205" s="61" t="n"/>
      <c r="C205" s="58" t="n"/>
      <c r="D205" s="58" t="n"/>
      <c r="E205" s="64">
        <f>IF(tblCommentary[[#This Row],[Date]]="","",COUNTIFS(INDEX(tblCommentary[Date],1):tblCommentary[[#This Row],[Date]],tblCommentary[[#This Row],[Date]]))</f>
        <v/>
      </c>
      <c r="F205" s="63">
        <f>IF(tblCommentary[[#This Row],[Date]]="","",tblCommentary[[#This Row],[Date]]&amp;"|"&amp;tblCommentary[[#This Row],[Seq_Day]])</f>
        <v/>
      </c>
    </row>
    <row r="206">
      <c r="A206" s="54" t="n"/>
      <c r="B206" s="61" t="n"/>
      <c r="C206" s="58" t="n"/>
      <c r="D206" s="58" t="n"/>
      <c r="E206" s="64">
        <f>IF(tblCommentary[[#This Row],[Date]]="","",COUNTIFS(INDEX(tblCommentary[Date],1):tblCommentary[[#This Row],[Date]],tblCommentary[[#This Row],[Date]]))</f>
        <v/>
      </c>
      <c r="F206" s="63">
        <f>IF(tblCommentary[[#This Row],[Date]]="","",tblCommentary[[#This Row],[Date]]&amp;"|"&amp;tblCommentary[[#This Row],[Seq_Day]])</f>
        <v/>
      </c>
    </row>
    <row r="207">
      <c r="A207" s="54" t="n"/>
      <c r="B207" s="61" t="n"/>
      <c r="C207" s="58" t="n"/>
      <c r="D207" s="58" t="n"/>
      <c r="E207" s="64">
        <f>IF(tblCommentary[[#This Row],[Date]]="","",COUNTIFS(INDEX(tblCommentary[Date],1):tblCommentary[[#This Row],[Date]],tblCommentary[[#This Row],[Date]]))</f>
        <v/>
      </c>
      <c r="F207" s="63">
        <f>IF(tblCommentary[[#This Row],[Date]]="","",tblCommentary[[#This Row],[Date]]&amp;"|"&amp;tblCommentary[[#This Row],[Seq_Day]])</f>
        <v/>
      </c>
    </row>
    <row r="208">
      <c r="A208" s="54" t="n"/>
      <c r="B208" s="61" t="n"/>
      <c r="C208" s="58" t="n"/>
      <c r="D208" s="58" t="n"/>
      <c r="E208" s="64">
        <f>IF(tblCommentary[[#This Row],[Date]]="","",COUNTIFS(INDEX(tblCommentary[Date],1):tblCommentary[[#This Row],[Date]],tblCommentary[[#This Row],[Date]]))</f>
        <v/>
      </c>
      <c r="F208" s="63">
        <f>IF(tblCommentary[[#This Row],[Date]]="","",tblCommentary[[#This Row],[Date]]&amp;"|"&amp;tblCommentary[[#This Row],[Seq_Day]])</f>
        <v/>
      </c>
    </row>
    <row r="209">
      <c r="A209" s="54" t="n"/>
      <c r="B209" s="61" t="n"/>
      <c r="C209" s="58" t="n"/>
      <c r="D209" s="58" t="n"/>
      <c r="E209" s="64">
        <f>IF(tblCommentary[[#This Row],[Date]]="","",COUNTIFS(INDEX(tblCommentary[Date],1):tblCommentary[[#This Row],[Date]],tblCommentary[[#This Row],[Date]]))</f>
        <v/>
      </c>
      <c r="F209" s="63">
        <f>IF(tblCommentary[[#This Row],[Date]]="","",tblCommentary[[#This Row],[Date]]&amp;"|"&amp;tblCommentary[[#This Row],[Seq_Day]])</f>
        <v/>
      </c>
    </row>
    <row r="210">
      <c r="A210" s="54" t="n"/>
      <c r="B210" s="61" t="n"/>
      <c r="C210" s="58" t="n"/>
      <c r="D210" s="58" t="n"/>
      <c r="E210" s="64">
        <f>IF(tblCommentary[[#This Row],[Date]]="","",COUNTIFS(INDEX(tblCommentary[Date],1):tblCommentary[[#This Row],[Date]],tblCommentary[[#This Row],[Date]]))</f>
        <v/>
      </c>
      <c r="F210" s="63">
        <f>IF(tblCommentary[[#This Row],[Date]]="","",tblCommentary[[#This Row],[Date]]&amp;"|"&amp;tblCommentary[[#This Row],[Seq_Day]])</f>
        <v/>
      </c>
    </row>
    <row r="211">
      <c r="A211" s="54" t="n"/>
      <c r="B211" s="61" t="n"/>
      <c r="C211" s="58" t="n"/>
      <c r="D211" s="58" t="n"/>
      <c r="E211" s="64">
        <f>IF(tblCommentary[[#This Row],[Date]]="","",COUNTIFS(INDEX(tblCommentary[Date],1):tblCommentary[[#This Row],[Date]],tblCommentary[[#This Row],[Date]]))</f>
        <v/>
      </c>
      <c r="F211" s="63">
        <f>IF(tblCommentary[[#This Row],[Date]]="","",tblCommentary[[#This Row],[Date]]&amp;"|"&amp;tblCommentary[[#This Row],[Seq_Day]])</f>
        <v/>
      </c>
    </row>
    <row r="212">
      <c r="A212" s="54" t="n"/>
      <c r="B212" s="61" t="n"/>
      <c r="C212" s="58" t="n"/>
      <c r="D212" s="58" t="n"/>
      <c r="E212" s="64">
        <f>IF(tblCommentary[[#This Row],[Date]]="","",COUNTIFS(INDEX(tblCommentary[Date],1):tblCommentary[[#This Row],[Date]],tblCommentary[[#This Row],[Date]]))</f>
        <v/>
      </c>
      <c r="F212" s="63">
        <f>IF(tblCommentary[[#This Row],[Date]]="","",tblCommentary[[#This Row],[Date]]&amp;"|"&amp;tblCommentary[[#This Row],[Seq_Day]])</f>
        <v/>
      </c>
    </row>
    <row r="213">
      <c r="A213" s="54" t="n"/>
      <c r="B213" s="61" t="n"/>
      <c r="C213" s="58" t="n"/>
      <c r="D213" s="58" t="n"/>
      <c r="E213" s="64">
        <f>IF(tblCommentary[[#This Row],[Date]]="","",COUNTIFS(INDEX(tblCommentary[Date],1):tblCommentary[[#This Row],[Date]],tblCommentary[[#This Row],[Date]]))</f>
        <v/>
      </c>
      <c r="F213" s="63">
        <f>IF(tblCommentary[[#This Row],[Date]]="","",tblCommentary[[#This Row],[Date]]&amp;"|"&amp;tblCommentary[[#This Row],[Seq_Day]])</f>
        <v/>
      </c>
    </row>
    <row r="214">
      <c r="A214" s="54" t="n"/>
      <c r="B214" s="61" t="n"/>
      <c r="C214" s="58" t="n"/>
      <c r="D214" s="58" t="n"/>
      <c r="E214" s="64">
        <f>IF(tblCommentary[[#This Row],[Date]]="","",COUNTIFS(INDEX(tblCommentary[Date],1):tblCommentary[[#This Row],[Date]],tblCommentary[[#This Row],[Date]]))</f>
        <v/>
      </c>
      <c r="F214" s="63">
        <f>IF(tblCommentary[[#This Row],[Date]]="","",tblCommentary[[#This Row],[Date]]&amp;"|"&amp;tblCommentary[[#This Row],[Seq_Day]])</f>
        <v/>
      </c>
    </row>
    <row r="215">
      <c r="A215" s="54" t="n"/>
      <c r="B215" s="61" t="n"/>
      <c r="C215" s="58" t="n"/>
      <c r="D215" s="58" t="n"/>
      <c r="E215" s="64">
        <f>IF(tblCommentary[[#This Row],[Date]]="","",COUNTIFS(INDEX(tblCommentary[Date],1):tblCommentary[[#This Row],[Date]],tblCommentary[[#This Row],[Date]]))</f>
        <v/>
      </c>
      <c r="F215" s="63">
        <f>IF(tblCommentary[[#This Row],[Date]]="","",tblCommentary[[#This Row],[Date]]&amp;"|"&amp;tblCommentary[[#This Row],[Seq_Day]])</f>
        <v/>
      </c>
    </row>
    <row r="216">
      <c r="A216" s="54" t="n"/>
      <c r="B216" s="61" t="n"/>
      <c r="C216" s="58" t="n"/>
      <c r="D216" s="58" t="n"/>
      <c r="E216" s="64">
        <f>IF(tblCommentary[[#This Row],[Date]]="","",COUNTIFS(INDEX(tblCommentary[Date],1):tblCommentary[[#This Row],[Date]],tblCommentary[[#This Row],[Date]]))</f>
        <v/>
      </c>
      <c r="F216" s="63">
        <f>IF(tblCommentary[[#This Row],[Date]]="","",tblCommentary[[#This Row],[Date]]&amp;"|"&amp;tblCommentary[[#This Row],[Seq_Day]])</f>
        <v/>
      </c>
    </row>
    <row r="217">
      <c r="A217" s="54" t="n"/>
      <c r="B217" s="61" t="n"/>
      <c r="C217" s="58" t="n"/>
      <c r="D217" s="58" t="n"/>
      <c r="E217" s="64">
        <f>IF(tblCommentary[[#This Row],[Date]]="","",COUNTIFS(INDEX(tblCommentary[Date],1):tblCommentary[[#This Row],[Date]],tblCommentary[[#This Row],[Date]]))</f>
        <v/>
      </c>
      <c r="F217" s="63">
        <f>IF(tblCommentary[[#This Row],[Date]]="","",tblCommentary[[#This Row],[Date]]&amp;"|"&amp;tblCommentary[[#This Row],[Seq_Day]])</f>
        <v/>
      </c>
    </row>
    <row r="218">
      <c r="A218" s="54" t="n"/>
      <c r="B218" s="61" t="n"/>
      <c r="C218" s="58" t="n"/>
      <c r="D218" s="58" t="n"/>
      <c r="E218" s="64">
        <f>IF(tblCommentary[[#This Row],[Date]]="","",COUNTIFS(INDEX(tblCommentary[Date],1):tblCommentary[[#This Row],[Date]],tblCommentary[[#This Row],[Date]]))</f>
        <v/>
      </c>
      <c r="F218" s="63">
        <f>IF(tblCommentary[[#This Row],[Date]]="","",tblCommentary[[#This Row],[Date]]&amp;"|"&amp;tblCommentary[[#This Row],[Seq_Day]])</f>
        <v/>
      </c>
    </row>
    <row r="219">
      <c r="A219" s="54" t="n"/>
      <c r="B219" s="61" t="n"/>
      <c r="C219" s="58" t="n"/>
      <c r="D219" s="58" t="n"/>
      <c r="E219" s="64">
        <f>IF(tblCommentary[[#This Row],[Date]]="","",COUNTIFS(INDEX(tblCommentary[Date],1):tblCommentary[[#This Row],[Date]],tblCommentary[[#This Row],[Date]]))</f>
        <v/>
      </c>
      <c r="F219" s="63">
        <f>IF(tblCommentary[[#This Row],[Date]]="","",tblCommentary[[#This Row],[Date]]&amp;"|"&amp;tblCommentary[[#This Row],[Seq_Day]])</f>
        <v/>
      </c>
    </row>
    <row r="220">
      <c r="A220" s="54" t="n"/>
      <c r="B220" s="61" t="n"/>
      <c r="C220" s="58" t="n"/>
      <c r="D220" s="58" t="n"/>
      <c r="E220" s="64">
        <f>IF(tblCommentary[[#This Row],[Date]]="","",COUNTIFS(INDEX(tblCommentary[Date],1):tblCommentary[[#This Row],[Date]],tblCommentary[[#This Row],[Date]]))</f>
        <v/>
      </c>
      <c r="F220" s="63">
        <f>IF(tblCommentary[[#This Row],[Date]]="","",tblCommentary[[#This Row],[Date]]&amp;"|"&amp;tblCommentary[[#This Row],[Seq_Day]])</f>
        <v/>
      </c>
    </row>
    <row r="221">
      <c r="A221" s="54" t="n"/>
      <c r="B221" s="61" t="n"/>
      <c r="C221" s="58" t="n"/>
      <c r="D221" s="58" t="n"/>
      <c r="E221" s="64">
        <f>IF(tblCommentary[[#This Row],[Date]]="","",COUNTIFS(INDEX(tblCommentary[Date],1):tblCommentary[[#This Row],[Date]],tblCommentary[[#This Row],[Date]]))</f>
        <v/>
      </c>
      <c r="F221" s="63">
        <f>IF(tblCommentary[[#This Row],[Date]]="","",tblCommentary[[#This Row],[Date]]&amp;"|"&amp;tblCommentary[[#This Row],[Seq_Day]])</f>
        <v/>
      </c>
    </row>
    <row r="222">
      <c r="A222" s="54" t="n"/>
      <c r="B222" s="61" t="n"/>
      <c r="C222" s="58" t="n"/>
      <c r="D222" s="58" t="n"/>
      <c r="E222" s="64">
        <f>IF(tblCommentary[[#This Row],[Date]]="","",COUNTIFS(INDEX(tblCommentary[Date],1):tblCommentary[[#This Row],[Date]],tblCommentary[[#This Row],[Date]]))</f>
        <v/>
      </c>
      <c r="F222" s="63">
        <f>IF(tblCommentary[[#This Row],[Date]]="","",tblCommentary[[#This Row],[Date]]&amp;"|"&amp;tblCommentary[[#This Row],[Seq_Day]])</f>
        <v/>
      </c>
    </row>
    <row r="223">
      <c r="A223" s="54" t="n"/>
      <c r="B223" s="61" t="n"/>
      <c r="C223" s="58" t="n"/>
      <c r="D223" s="58" t="n"/>
      <c r="E223" s="64">
        <f>IF(tblCommentary[[#This Row],[Date]]="","",COUNTIFS(INDEX(tblCommentary[Date],1):tblCommentary[[#This Row],[Date]],tblCommentary[[#This Row],[Date]]))</f>
        <v/>
      </c>
      <c r="F223" s="63">
        <f>IF(tblCommentary[[#This Row],[Date]]="","",tblCommentary[[#This Row],[Date]]&amp;"|"&amp;tblCommentary[[#This Row],[Seq_Day]])</f>
        <v/>
      </c>
    </row>
    <row r="224">
      <c r="A224" s="54" t="n"/>
      <c r="B224" s="61" t="n"/>
      <c r="C224" s="58" t="n"/>
      <c r="D224" s="58" t="n"/>
      <c r="E224" s="64">
        <f>IF(tblCommentary[[#This Row],[Date]]="","",COUNTIFS(INDEX(tblCommentary[Date],1):tblCommentary[[#This Row],[Date]],tblCommentary[[#This Row],[Date]]))</f>
        <v/>
      </c>
      <c r="F224" s="63">
        <f>IF(tblCommentary[[#This Row],[Date]]="","",tblCommentary[[#This Row],[Date]]&amp;"|"&amp;tblCommentary[[#This Row],[Seq_Day]])</f>
        <v/>
      </c>
    </row>
    <row r="225">
      <c r="A225" s="54" t="n"/>
      <c r="B225" s="61" t="n"/>
      <c r="C225" s="58" t="n"/>
      <c r="D225" s="58" t="n"/>
      <c r="E225" s="64">
        <f>IF(tblCommentary[[#This Row],[Date]]="","",COUNTIFS(INDEX(tblCommentary[Date],1):tblCommentary[[#This Row],[Date]],tblCommentary[[#This Row],[Date]]))</f>
        <v/>
      </c>
      <c r="F225" s="63">
        <f>IF(tblCommentary[[#This Row],[Date]]="","",tblCommentary[[#This Row],[Date]]&amp;"|"&amp;tblCommentary[[#This Row],[Seq_Day]])</f>
        <v/>
      </c>
    </row>
    <row r="226">
      <c r="A226" s="54" t="n"/>
      <c r="B226" s="61" t="n"/>
      <c r="C226" s="58" t="n"/>
      <c r="D226" s="58" t="n"/>
      <c r="E226" s="64">
        <f>IF(tblCommentary[[#This Row],[Date]]="","",COUNTIFS(INDEX(tblCommentary[Date],1):tblCommentary[[#This Row],[Date]],tblCommentary[[#This Row],[Date]]))</f>
        <v/>
      </c>
      <c r="F226" s="63">
        <f>IF(tblCommentary[[#This Row],[Date]]="","",tblCommentary[[#This Row],[Date]]&amp;"|"&amp;tblCommentary[[#This Row],[Seq_Day]])</f>
        <v/>
      </c>
    </row>
    <row r="227">
      <c r="A227" s="54" t="n"/>
      <c r="B227" s="61" t="n"/>
      <c r="C227" s="58" t="n"/>
      <c r="D227" s="58" t="n"/>
      <c r="E227" s="64">
        <f>IF(tblCommentary[[#This Row],[Date]]="","",COUNTIFS(INDEX(tblCommentary[Date],1):tblCommentary[[#This Row],[Date]],tblCommentary[[#This Row],[Date]]))</f>
        <v/>
      </c>
      <c r="F227" s="63">
        <f>IF(tblCommentary[[#This Row],[Date]]="","",tblCommentary[[#This Row],[Date]]&amp;"|"&amp;tblCommentary[[#This Row],[Seq_Day]])</f>
        <v/>
      </c>
    </row>
    <row r="228">
      <c r="A228" s="54" t="n"/>
      <c r="B228" s="61" t="n"/>
      <c r="C228" s="58" t="n"/>
      <c r="D228" s="58" t="n"/>
      <c r="E228" s="64">
        <f>IF(tblCommentary[[#This Row],[Date]]="","",COUNTIFS(INDEX(tblCommentary[Date],1):tblCommentary[[#This Row],[Date]],tblCommentary[[#This Row],[Date]]))</f>
        <v/>
      </c>
      <c r="F228" s="63">
        <f>IF(tblCommentary[[#This Row],[Date]]="","",tblCommentary[[#This Row],[Date]]&amp;"|"&amp;tblCommentary[[#This Row],[Seq_Day]])</f>
        <v/>
      </c>
    </row>
    <row r="229">
      <c r="A229" s="54" t="n"/>
      <c r="B229" s="61" t="n"/>
      <c r="C229" s="58" t="n"/>
      <c r="D229" s="58" t="n"/>
      <c r="E229" s="64">
        <f>IF(tblCommentary[[#This Row],[Date]]="","",COUNTIFS(INDEX(tblCommentary[Date],1):tblCommentary[[#This Row],[Date]],tblCommentary[[#This Row],[Date]]))</f>
        <v/>
      </c>
      <c r="F229" s="63">
        <f>IF(tblCommentary[[#This Row],[Date]]="","",tblCommentary[[#This Row],[Date]]&amp;"|"&amp;tblCommentary[[#This Row],[Seq_Day]])</f>
        <v/>
      </c>
    </row>
    <row r="230">
      <c r="A230" s="54" t="n"/>
      <c r="B230" s="61" t="n"/>
      <c r="C230" s="58" t="n"/>
      <c r="D230" s="58" t="n"/>
      <c r="E230" s="64">
        <f>IF(tblCommentary[[#This Row],[Date]]="","",COUNTIFS(INDEX(tblCommentary[Date],1):tblCommentary[[#This Row],[Date]],tblCommentary[[#This Row],[Date]]))</f>
        <v/>
      </c>
      <c r="F230" s="63">
        <f>IF(tblCommentary[[#This Row],[Date]]="","",tblCommentary[[#This Row],[Date]]&amp;"|"&amp;tblCommentary[[#This Row],[Seq_Day]])</f>
        <v/>
      </c>
    </row>
    <row r="231">
      <c r="A231" s="54" t="n"/>
      <c r="B231" s="61" t="n"/>
      <c r="C231" s="58" t="n"/>
      <c r="D231" s="58" t="n"/>
      <c r="E231" s="64">
        <f>IF(tblCommentary[[#This Row],[Date]]="","",COUNTIFS(INDEX(tblCommentary[Date],1):tblCommentary[[#This Row],[Date]],tblCommentary[[#This Row],[Date]]))</f>
        <v/>
      </c>
      <c r="F231" s="63">
        <f>IF(tblCommentary[[#This Row],[Date]]="","",tblCommentary[[#This Row],[Date]]&amp;"|"&amp;tblCommentary[[#This Row],[Seq_Day]])</f>
        <v/>
      </c>
    </row>
    <row r="232">
      <c r="A232" s="54" t="n"/>
      <c r="B232" s="61" t="n"/>
      <c r="C232" s="58" t="n"/>
      <c r="D232" s="58" t="n"/>
      <c r="E232" s="64">
        <f>IF(tblCommentary[[#This Row],[Date]]="","",COUNTIFS(INDEX(tblCommentary[Date],1):tblCommentary[[#This Row],[Date]],tblCommentary[[#This Row],[Date]]))</f>
        <v/>
      </c>
      <c r="F232" s="63">
        <f>IF(tblCommentary[[#This Row],[Date]]="","",tblCommentary[[#This Row],[Date]]&amp;"|"&amp;tblCommentary[[#This Row],[Seq_Day]])</f>
        <v/>
      </c>
    </row>
    <row r="233">
      <c r="A233" s="54" t="n"/>
      <c r="B233" s="61" t="n"/>
      <c r="C233" s="58" t="n"/>
      <c r="D233" s="58" t="n"/>
      <c r="E233" s="64">
        <f>IF(tblCommentary[[#This Row],[Date]]="","",COUNTIFS(INDEX(tblCommentary[Date],1):tblCommentary[[#This Row],[Date]],tblCommentary[[#This Row],[Date]]))</f>
        <v/>
      </c>
      <c r="F233" s="63">
        <f>IF(tblCommentary[[#This Row],[Date]]="","",tblCommentary[[#This Row],[Date]]&amp;"|"&amp;tblCommentary[[#This Row],[Seq_Day]])</f>
        <v/>
      </c>
    </row>
    <row r="234">
      <c r="A234" s="54" t="n"/>
      <c r="B234" s="61" t="n"/>
      <c r="C234" s="58" t="n"/>
      <c r="D234" s="58" t="n"/>
      <c r="E234" s="64">
        <f>IF(tblCommentary[[#This Row],[Date]]="","",COUNTIFS(INDEX(tblCommentary[Date],1):tblCommentary[[#This Row],[Date]],tblCommentary[[#This Row],[Date]]))</f>
        <v/>
      </c>
      <c r="F234" s="63">
        <f>IF(tblCommentary[[#This Row],[Date]]="","",tblCommentary[[#This Row],[Date]]&amp;"|"&amp;tblCommentary[[#This Row],[Seq_Day]])</f>
        <v/>
      </c>
    </row>
    <row r="235">
      <c r="A235" s="54" t="n"/>
      <c r="B235" s="61" t="n"/>
      <c r="C235" s="58" t="n"/>
      <c r="D235" s="58" t="n"/>
      <c r="E235" s="64">
        <f>IF(tblCommentary[[#This Row],[Date]]="","",COUNTIFS(INDEX(tblCommentary[Date],1):tblCommentary[[#This Row],[Date]],tblCommentary[[#This Row],[Date]]))</f>
        <v/>
      </c>
      <c r="F235" s="63">
        <f>IF(tblCommentary[[#This Row],[Date]]="","",tblCommentary[[#This Row],[Date]]&amp;"|"&amp;tblCommentary[[#This Row],[Seq_Day]])</f>
        <v/>
      </c>
    </row>
    <row r="236">
      <c r="A236" s="54" t="n"/>
      <c r="B236" s="61" t="n"/>
      <c r="C236" s="58" t="n"/>
      <c r="D236" s="58" t="n"/>
      <c r="E236" s="64">
        <f>IF(tblCommentary[[#This Row],[Date]]="","",COUNTIFS(INDEX(tblCommentary[Date],1):tblCommentary[[#This Row],[Date]],tblCommentary[[#This Row],[Date]]))</f>
        <v/>
      </c>
      <c r="F236" s="63">
        <f>IF(tblCommentary[[#This Row],[Date]]="","",tblCommentary[[#This Row],[Date]]&amp;"|"&amp;tblCommentary[[#This Row],[Seq_Day]])</f>
        <v/>
      </c>
    </row>
    <row r="237">
      <c r="A237" s="54" t="n"/>
      <c r="B237" s="61" t="n"/>
      <c r="C237" s="58" t="n"/>
      <c r="D237" s="58" t="n"/>
      <c r="E237" s="64">
        <f>IF(tblCommentary[[#This Row],[Date]]="","",COUNTIFS(INDEX(tblCommentary[Date],1):tblCommentary[[#This Row],[Date]],tblCommentary[[#This Row],[Date]]))</f>
        <v/>
      </c>
      <c r="F237" s="63">
        <f>IF(tblCommentary[[#This Row],[Date]]="","",tblCommentary[[#This Row],[Date]]&amp;"|"&amp;tblCommentary[[#This Row],[Seq_Day]])</f>
        <v/>
      </c>
    </row>
    <row r="238">
      <c r="A238" s="54" t="n"/>
      <c r="B238" s="61" t="n"/>
      <c r="C238" s="58" t="n"/>
      <c r="D238" s="58" t="n"/>
      <c r="E238" s="64">
        <f>IF(tblCommentary[[#This Row],[Date]]="","",COUNTIFS(INDEX(tblCommentary[Date],1):tblCommentary[[#This Row],[Date]],tblCommentary[[#This Row],[Date]]))</f>
        <v/>
      </c>
      <c r="F238" s="63">
        <f>IF(tblCommentary[[#This Row],[Date]]="","",tblCommentary[[#This Row],[Date]]&amp;"|"&amp;tblCommentary[[#This Row],[Seq_Day]])</f>
        <v/>
      </c>
    </row>
    <row r="239">
      <c r="A239" s="54" t="n"/>
      <c r="B239" s="61" t="n"/>
      <c r="C239" s="58" t="n"/>
      <c r="D239" s="58" t="n"/>
      <c r="E239" s="64">
        <f>IF(tblCommentary[[#This Row],[Date]]="","",COUNTIFS(INDEX(tblCommentary[Date],1):tblCommentary[[#This Row],[Date]],tblCommentary[[#This Row],[Date]]))</f>
        <v/>
      </c>
      <c r="F239" s="63">
        <f>IF(tblCommentary[[#This Row],[Date]]="","",tblCommentary[[#This Row],[Date]]&amp;"|"&amp;tblCommentary[[#This Row],[Seq_Day]])</f>
        <v/>
      </c>
    </row>
    <row r="240">
      <c r="A240" s="54" t="n"/>
      <c r="B240" s="61" t="n"/>
      <c r="C240" s="58" t="n"/>
      <c r="D240" s="58" t="n"/>
      <c r="E240" s="64">
        <f>IF(tblCommentary[[#This Row],[Date]]="","",COUNTIFS(INDEX(tblCommentary[Date],1):tblCommentary[[#This Row],[Date]],tblCommentary[[#This Row],[Date]]))</f>
        <v/>
      </c>
      <c r="F240" s="63">
        <f>IF(tblCommentary[[#This Row],[Date]]="","",tblCommentary[[#This Row],[Date]]&amp;"|"&amp;tblCommentary[[#This Row],[Seq_Day]])</f>
        <v/>
      </c>
    </row>
    <row r="241">
      <c r="A241" s="54" t="n"/>
      <c r="B241" s="61" t="n"/>
      <c r="C241" s="58" t="n"/>
      <c r="D241" s="58" t="n"/>
      <c r="E241" s="64">
        <f>IF(tblCommentary[[#This Row],[Date]]="","",COUNTIFS(INDEX(tblCommentary[Date],1):tblCommentary[[#This Row],[Date]],tblCommentary[[#This Row],[Date]]))</f>
        <v/>
      </c>
      <c r="F241" s="63">
        <f>IF(tblCommentary[[#This Row],[Date]]="","",tblCommentary[[#This Row],[Date]]&amp;"|"&amp;tblCommentary[[#This Row],[Seq_Day]])</f>
        <v/>
      </c>
    </row>
    <row r="242">
      <c r="A242" s="54" t="n"/>
      <c r="B242" s="61" t="n"/>
      <c r="C242" s="58" t="n"/>
      <c r="D242" s="58" t="n"/>
      <c r="E242" s="64">
        <f>IF(tblCommentary[[#This Row],[Date]]="","",COUNTIFS(INDEX(tblCommentary[Date],1):tblCommentary[[#This Row],[Date]],tblCommentary[[#This Row],[Date]]))</f>
        <v/>
      </c>
      <c r="F242" s="63">
        <f>IF(tblCommentary[[#This Row],[Date]]="","",tblCommentary[[#This Row],[Date]]&amp;"|"&amp;tblCommentary[[#This Row],[Seq_Day]])</f>
        <v/>
      </c>
    </row>
    <row r="243">
      <c r="A243" s="54" t="n"/>
      <c r="B243" s="61" t="n"/>
      <c r="C243" s="58" t="n"/>
      <c r="D243" s="58" t="n"/>
      <c r="E243" s="64">
        <f>IF(tblCommentary[[#This Row],[Date]]="","",COUNTIFS(INDEX(tblCommentary[Date],1):tblCommentary[[#This Row],[Date]],tblCommentary[[#This Row],[Date]]))</f>
        <v/>
      </c>
      <c r="F243" s="63">
        <f>IF(tblCommentary[[#This Row],[Date]]="","",tblCommentary[[#This Row],[Date]]&amp;"|"&amp;tblCommentary[[#This Row],[Seq_Day]])</f>
        <v/>
      </c>
    </row>
    <row r="244">
      <c r="A244" s="54" t="n"/>
      <c r="B244" s="61" t="n"/>
      <c r="C244" s="58" t="n"/>
      <c r="D244" s="58" t="n"/>
      <c r="E244" s="64">
        <f>IF(tblCommentary[[#This Row],[Date]]="","",COUNTIFS(INDEX(tblCommentary[Date],1):tblCommentary[[#This Row],[Date]],tblCommentary[[#This Row],[Date]]))</f>
        <v/>
      </c>
      <c r="F244" s="63">
        <f>IF(tblCommentary[[#This Row],[Date]]="","",tblCommentary[[#This Row],[Date]]&amp;"|"&amp;tblCommentary[[#This Row],[Seq_Day]])</f>
        <v/>
      </c>
    </row>
    <row r="245">
      <c r="A245" s="54" t="n"/>
      <c r="B245" s="61" t="n"/>
      <c r="C245" s="58" t="n"/>
      <c r="D245" s="58" t="n"/>
      <c r="E245" s="64">
        <f>IF(tblCommentary[[#This Row],[Date]]="","",COUNTIFS(INDEX(tblCommentary[Date],1):tblCommentary[[#This Row],[Date]],tblCommentary[[#This Row],[Date]]))</f>
        <v/>
      </c>
      <c r="F245" s="63">
        <f>IF(tblCommentary[[#This Row],[Date]]="","",tblCommentary[[#This Row],[Date]]&amp;"|"&amp;tblCommentary[[#This Row],[Seq_Day]])</f>
        <v/>
      </c>
    </row>
    <row r="246">
      <c r="A246" s="54" t="n"/>
      <c r="B246" s="61" t="n"/>
      <c r="C246" s="58" t="n"/>
      <c r="D246" s="58" t="n"/>
      <c r="E246" s="64">
        <f>IF(tblCommentary[[#This Row],[Date]]="","",COUNTIFS(INDEX(tblCommentary[Date],1):tblCommentary[[#This Row],[Date]],tblCommentary[[#This Row],[Date]]))</f>
        <v/>
      </c>
      <c r="F246" s="63">
        <f>IF(tblCommentary[[#This Row],[Date]]="","",tblCommentary[[#This Row],[Date]]&amp;"|"&amp;tblCommentary[[#This Row],[Seq_Day]])</f>
        <v/>
      </c>
    </row>
    <row r="247">
      <c r="A247" s="54" t="n"/>
      <c r="B247" s="61" t="n"/>
      <c r="C247" s="58" t="n"/>
      <c r="D247" s="58" t="n"/>
      <c r="E247" s="64">
        <f>IF(tblCommentary[[#This Row],[Date]]="","",COUNTIFS(INDEX(tblCommentary[Date],1):tblCommentary[[#This Row],[Date]],tblCommentary[[#This Row],[Date]]))</f>
        <v/>
      </c>
      <c r="F247" s="63">
        <f>IF(tblCommentary[[#This Row],[Date]]="","",tblCommentary[[#This Row],[Date]]&amp;"|"&amp;tblCommentary[[#This Row],[Seq_Day]])</f>
        <v/>
      </c>
    </row>
    <row r="248">
      <c r="A248" s="54" t="n"/>
      <c r="B248" s="61" t="n"/>
      <c r="C248" s="58" t="n"/>
      <c r="D248" s="58" t="n"/>
      <c r="E248" s="64">
        <f>IF(tblCommentary[[#This Row],[Date]]="","",COUNTIFS(INDEX(tblCommentary[Date],1):tblCommentary[[#This Row],[Date]],tblCommentary[[#This Row],[Date]]))</f>
        <v/>
      </c>
      <c r="F248" s="63">
        <f>IF(tblCommentary[[#This Row],[Date]]="","",tblCommentary[[#This Row],[Date]]&amp;"|"&amp;tblCommentary[[#This Row],[Seq_Day]])</f>
        <v/>
      </c>
    </row>
    <row r="249">
      <c r="A249" s="54" t="n"/>
      <c r="B249" s="61" t="n"/>
      <c r="C249" s="58" t="n"/>
      <c r="D249" s="58" t="n"/>
      <c r="E249" s="64">
        <f>IF(tblCommentary[[#This Row],[Date]]="","",COUNTIFS(INDEX(tblCommentary[Date],1):tblCommentary[[#This Row],[Date]],tblCommentary[[#This Row],[Date]]))</f>
        <v/>
      </c>
      <c r="F249" s="63">
        <f>IF(tblCommentary[[#This Row],[Date]]="","",tblCommentary[[#This Row],[Date]]&amp;"|"&amp;tblCommentary[[#This Row],[Seq_Day]])</f>
        <v/>
      </c>
    </row>
    <row r="250">
      <c r="A250" s="54" t="n"/>
      <c r="B250" s="61" t="n"/>
      <c r="C250" s="58" t="n"/>
      <c r="D250" s="58" t="n"/>
      <c r="E250" s="64">
        <f>IF(tblCommentary[[#This Row],[Date]]="","",COUNTIFS(INDEX(tblCommentary[Date],1):tblCommentary[[#This Row],[Date]],tblCommentary[[#This Row],[Date]]))</f>
        <v/>
      </c>
      <c r="F250" s="63">
        <f>IF(tblCommentary[[#This Row],[Date]]="","",tblCommentary[[#This Row],[Date]]&amp;"|"&amp;tblCommentary[[#This Row],[Seq_Day]])</f>
        <v/>
      </c>
    </row>
    <row r="251">
      <c r="A251" s="54" t="n"/>
      <c r="B251" s="61" t="n"/>
      <c r="C251" s="58" t="n"/>
      <c r="D251" s="58" t="n"/>
      <c r="E251" s="64">
        <f>IF(tblCommentary[[#This Row],[Date]]="","",COUNTIFS(INDEX(tblCommentary[Date],1):tblCommentary[[#This Row],[Date]],tblCommentary[[#This Row],[Date]]))</f>
        <v/>
      </c>
      <c r="F251" s="63">
        <f>IF(tblCommentary[[#This Row],[Date]]="","",tblCommentary[[#This Row],[Date]]&amp;"|"&amp;tblCommentary[[#This Row],[Seq_Day]])</f>
        <v/>
      </c>
    </row>
    <row r="252">
      <c r="A252" s="54" t="n"/>
      <c r="B252" s="61" t="n"/>
      <c r="C252" s="58" t="n"/>
      <c r="D252" s="58" t="n"/>
      <c r="E252" s="64">
        <f>IF(tblCommentary[[#This Row],[Date]]="","",COUNTIFS(INDEX(tblCommentary[Date],1):tblCommentary[[#This Row],[Date]],tblCommentary[[#This Row],[Date]]))</f>
        <v/>
      </c>
      <c r="F252" s="63">
        <f>IF(tblCommentary[[#This Row],[Date]]="","",tblCommentary[[#This Row],[Date]]&amp;"|"&amp;tblCommentary[[#This Row],[Seq_Day]])</f>
        <v/>
      </c>
    </row>
    <row r="253">
      <c r="A253" s="54" t="n"/>
      <c r="B253" s="61" t="n"/>
      <c r="C253" s="58" t="n"/>
      <c r="D253" s="58" t="n"/>
      <c r="E253" s="64">
        <f>IF(tblCommentary[[#This Row],[Date]]="","",COUNTIFS(INDEX(tblCommentary[Date],1):tblCommentary[[#This Row],[Date]],tblCommentary[[#This Row],[Date]]))</f>
        <v/>
      </c>
      <c r="F253" s="63">
        <f>IF(tblCommentary[[#This Row],[Date]]="","",tblCommentary[[#This Row],[Date]]&amp;"|"&amp;tblCommentary[[#This Row],[Seq_Day]])</f>
        <v/>
      </c>
    </row>
    <row r="254">
      <c r="A254" s="54" t="n"/>
      <c r="B254" s="61" t="n"/>
      <c r="C254" s="58" t="n"/>
      <c r="D254" s="58" t="n"/>
      <c r="E254" s="64">
        <f>IF(tblCommentary[[#This Row],[Date]]="","",COUNTIFS(INDEX(tblCommentary[Date],1):tblCommentary[[#This Row],[Date]],tblCommentary[[#This Row],[Date]]))</f>
        <v/>
      </c>
      <c r="F254" s="63">
        <f>IF(tblCommentary[[#This Row],[Date]]="","",tblCommentary[[#This Row],[Date]]&amp;"|"&amp;tblCommentary[[#This Row],[Seq_Day]])</f>
        <v/>
      </c>
    </row>
    <row r="255">
      <c r="A255" s="54" t="n"/>
      <c r="B255" s="61" t="n"/>
      <c r="C255" s="58" t="n"/>
      <c r="D255" s="58" t="n"/>
      <c r="E255" s="64">
        <f>IF(tblCommentary[[#This Row],[Date]]="","",COUNTIFS(INDEX(tblCommentary[Date],1):tblCommentary[[#This Row],[Date]],tblCommentary[[#This Row],[Date]]))</f>
        <v/>
      </c>
      <c r="F255" s="63">
        <f>IF(tblCommentary[[#This Row],[Date]]="","",tblCommentary[[#This Row],[Date]]&amp;"|"&amp;tblCommentary[[#This Row],[Seq_Day]])</f>
        <v/>
      </c>
    </row>
    <row r="256">
      <c r="A256" s="54" t="n"/>
      <c r="B256" s="61" t="n"/>
      <c r="C256" s="58" t="n"/>
      <c r="D256" s="58" t="n"/>
      <c r="E256" s="64">
        <f>IF(tblCommentary[[#This Row],[Date]]="","",COUNTIFS(INDEX(tblCommentary[Date],1):tblCommentary[[#This Row],[Date]],tblCommentary[[#This Row],[Date]]))</f>
        <v/>
      </c>
      <c r="F256" s="63">
        <f>IF(tblCommentary[[#This Row],[Date]]="","",tblCommentary[[#This Row],[Date]]&amp;"|"&amp;tblCommentary[[#This Row],[Seq_Day]])</f>
        <v/>
      </c>
    </row>
    <row r="257">
      <c r="A257" s="54" t="n"/>
      <c r="B257" s="61" t="n"/>
      <c r="C257" s="58" t="n"/>
      <c r="D257" s="58" t="n"/>
      <c r="E257" s="64">
        <f>IF(tblCommentary[[#This Row],[Date]]="","",COUNTIFS(INDEX(tblCommentary[Date],1):tblCommentary[[#This Row],[Date]],tblCommentary[[#This Row],[Date]]))</f>
        <v/>
      </c>
      <c r="F257" s="63">
        <f>IF(tblCommentary[[#This Row],[Date]]="","",tblCommentary[[#This Row],[Date]]&amp;"|"&amp;tblCommentary[[#This Row],[Seq_Day]])</f>
        <v/>
      </c>
    </row>
    <row r="258">
      <c r="A258" s="54" t="n"/>
      <c r="B258" s="61" t="n"/>
      <c r="C258" s="58" t="n"/>
      <c r="D258" s="58" t="n"/>
      <c r="E258" s="64">
        <f>IF(tblCommentary[[#This Row],[Date]]="","",COUNTIFS(INDEX(tblCommentary[Date],1):tblCommentary[[#This Row],[Date]],tblCommentary[[#This Row],[Date]]))</f>
        <v/>
      </c>
      <c r="F258" s="63">
        <f>IF(tblCommentary[[#This Row],[Date]]="","",tblCommentary[[#This Row],[Date]]&amp;"|"&amp;tblCommentary[[#This Row],[Seq_Day]])</f>
        <v/>
      </c>
    </row>
    <row r="259">
      <c r="A259" s="54" t="n"/>
      <c r="B259" s="61" t="n"/>
      <c r="C259" s="58" t="n"/>
      <c r="D259" s="58" t="n"/>
      <c r="E259" s="64">
        <f>IF(tblCommentary[[#This Row],[Date]]="","",COUNTIFS(INDEX(tblCommentary[Date],1):tblCommentary[[#This Row],[Date]],tblCommentary[[#This Row],[Date]]))</f>
        <v/>
      </c>
      <c r="F259" s="63">
        <f>IF(tblCommentary[[#This Row],[Date]]="","",tblCommentary[[#This Row],[Date]]&amp;"|"&amp;tblCommentary[[#This Row],[Seq_Day]])</f>
        <v/>
      </c>
    </row>
    <row r="260">
      <c r="A260" s="54" t="n"/>
      <c r="B260" s="61" t="n"/>
      <c r="C260" s="58" t="n"/>
      <c r="D260" s="58" t="n"/>
      <c r="E260" s="64">
        <f>IF(tblCommentary[[#This Row],[Date]]="","",COUNTIFS(INDEX(tblCommentary[Date],1):tblCommentary[[#This Row],[Date]],tblCommentary[[#This Row],[Date]]))</f>
        <v/>
      </c>
      <c r="F260" s="63">
        <f>IF(tblCommentary[[#This Row],[Date]]="","",tblCommentary[[#This Row],[Date]]&amp;"|"&amp;tblCommentary[[#This Row],[Seq_Day]])</f>
        <v/>
      </c>
    </row>
    <row r="261">
      <c r="A261" s="54" t="n"/>
      <c r="B261" s="61" t="n"/>
      <c r="C261" s="58" t="n"/>
      <c r="D261" s="58" t="n"/>
      <c r="E261" s="64">
        <f>IF(tblCommentary[[#This Row],[Date]]="","",COUNTIFS(INDEX(tblCommentary[Date],1):tblCommentary[[#This Row],[Date]],tblCommentary[[#This Row],[Date]]))</f>
        <v/>
      </c>
      <c r="F261" s="63">
        <f>IF(tblCommentary[[#This Row],[Date]]="","",tblCommentary[[#This Row],[Date]]&amp;"|"&amp;tblCommentary[[#This Row],[Seq_Day]])</f>
        <v/>
      </c>
    </row>
    <row r="262">
      <c r="A262" s="54" t="n"/>
      <c r="B262" s="61" t="n"/>
      <c r="C262" s="58" t="n"/>
      <c r="D262" s="58" t="n"/>
      <c r="E262" s="64">
        <f>IF(tblCommentary[[#This Row],[Date]]="","",COUNTIFS(INDEX(tblCommentary[Date],1):tblCommentary[[#This Row],[Date]],tblCommentary[[#This Row],[Date]]))</f>
        <v/>
      </c>
      <c r="F262" s="63">
        <f>IF(tblCommentary[[#This Row],[Date]]="","",tblCommentary[[#This Row],[Date]]&amp;"|"&amp;tblCommentary[[#This Row],[Seq_Day]])</f>
        <v/>
      </c>
    </row>
    <row r="263">
      <c r="A263" s="54" t="n"/>
      <c r="B263" s="61" t="n"/>
      <c r="C263" s="58" t="n"/>
      <c r="D263" s="58" t="n"/>
      <c r="E263" s="64">
        <f>IF(tblCommentary[[#This Row],[Date]]="","",COUNTIFS(INDEX(tblCommentary[Date],1):tblCommentary[[#This Row],[Date]],tblCommentary[[#This Row],[Date]]))</f>
        <v/>
      </c>
      <c r="F263" s="63">
        <f>IF(tblCommentary[[#This Row],[Date]]="","",tblCommentary[[#This Row],[Date]]&amp;"|"&amp;tblCommentary[[#This Row],[Seq_Day]])</f>
        <v/>
      </c>
    </row>
    <row r="264">
      <c r="A264" s="54" t="n"/>
      <c r="B264" s="61" t="n"/>
      <c r="C264" s="58" t="n"/>
      <c r="D264" s="58" t="n"/>
      <c r="E264" s="64">
        <f>IF(tblCommentary[[#This Row],[Date]]="","",COUNTIFS(INDEX(tblCommentary[Date],1):tblCommentary[[#This Row],[Date]],tblCommentary[[#This Row],[Date]]))</f>
        <v/>
      </c>
      <c r="F264" s="63">
        <f>IF(tblCommentary[[#This Row],[Date]]="","",tblCommentary[[#This Row],[Date]]&amp;"|"&amp;tblCommentary[[#This Row],[Seq_Day]])</f>
        <v/>
      </c>
    </row>
    <row r="265">
      <c r="A265" s="54" t="n"/>
      <c r="B265" s="61" t="n"/>
      <c r="C265" s="58" t="n"/>
      <c r="D265" s="58" t="n"/>
      <c r="E265" s="64">
        <f>IF(tblCommentary[[#This Row],[Date]]="","",COUNTIFS(INDEX(tblCommentary[Date],1):tblCommentary[[#This Row],[Date]],tblCommentary[[#This Row],[Date]]))</f>
        <v/>
      </c>
      <c r="F265" s="63">
        <f>IF(tblCommentary[[#This Row],[Date]]="","",tblCommentary[[#This Row],[Date]]&amp;"|"&amp;tblCommentary[[#This Row],[Seq_Day]])</f>
        <v/>
      </c>
    </row>
    <row r="266">
      <c r="A266" s="54" t="n"/>
      <c r="B266" s="61" t="n"/>
      <c r="C266" s="58" t="n"/>
      <c r="D266" s="58" t="n"/>
      <c r="E266" s="64">
        <f>IF(tblCommentary[[#This Row],[Date]]="","",COUNTIFS(INDEX(tblCommentary[Date],1):tblCommentary[[#This Row],[Date]],tblCommentary[[#This Row],[Date]]))</f>
        <v/>
      </c>
      <c r="F266" s="63">
        <f>IF(tblCommentary[[#This Row],[Date]]="","",tblCommentary[[#This Row],[Date]]&amp;"|"&amp;tblCommentary[[#This Row],[Seq_Day]])</f>
        <v/>
      </c>
    </row>
    <row r="267">
      <c r="A267" s="54" t="n"/>
      <c r="B267" s="61" t="n"/>
      <c r="C267" s="58" t="n"/>
      <c r="D267" s="58" t="n"/>
      <c r="E267" s="64">
        <f>IF(tblCommentary[[#This Row],[Date]]="","",COUNTIFS(INDEX(tblCommentary[Date],1):tblCommentary[[#This Row],[Date]],tblCommentary[[#This Row],[Date]]))</f>
        <v/>
      </c>
      <c r="F267" s="63">
        <f>IF(tblCommentary[[#This Row],[Date]]="","",tblCommentary[[#This Row],[Date]]&amp;"|"&amp;tblCommentary[[#This Row],[Seq_Day]])</f>
        <v/>
      </c>
    </row>
    <row r="268">
      <c r="A268" s="54" t="n"/>
      <c r="B268" s="61" t="n"/>
      <c r="C268" s="58" t="n"/>
      <c r="D268" s="58" t="n"/>
      <c r="E268" s="64">
        <f>IF(tblCommentary[[#This Row],[Date]]="","",COUNTIFS(INDEX(tblCommentary[Date],1):tblCommentary[[#This Row],[Date]],tblCommentary[[#This Row],[Date]]))</f>
        <v/>
      </c>
      <c r="F268" s="63">
        <f>IF(tblCommentary[[#This Row],[Date]]="","",tblCommentary[[#This Row],[Date]]&amp;"|"&amp;tblCommentary[[#This Row],[Seq_Day]])</f>
        <v/>
      </c>
    </row>
    <row r="269">
      <c r="A269" s="54" t="n"/>
      <c r="B269" s="61" t="n"/>
      <c r="C269" s="58" t="n"/>
      <c r="D269" s="58" t="n"/>
      <c r="E269" s="64">
        <f>IF(tblCommentary[[#This Row],[Date]]="","",COUNTIFS(INDEX(tblCommentary[Date],1):tblCommentary[[#This Row],[Date]],tblCommentary[[#This Row],[Date]]))</f>
        <v/>
      </c>
      <c r="F269" s="63">
        <f>IF(tblCommentary[[#This Row],[Date]]="","",tblCommentary[[#This Row],[Date]]&amp;"|"&amp;tblCommentary[[#This Row],[Seq_Day]])</f>
        <v/>
      </c>
    </row>
    <row r="270">
      <c r="A270" s="54" t="n"/>
      <c r="B270" s="61" t="n"/>
      <c r="C270" s="58" t="n"/>
      <c r="D270" s="58" t="n"/>
      <c r="E270" s="64">
        <f>IF(tblCommentary[[#This Row],[Date]]="","",COUNTIFS(INDEX(tblCommentary[Date],1):tblCommentary[[#This Row],[Date]],tblCommentary[[#This Row],[Date]]))</f>
        <v/>
      </c>
      <c r="F270" s="63">
        <f>IF(tblCommentary[[#This Row],[Date]]="","",tblCommentary[[#This Row],[Date]]&amp;"|"&amp;tblCommentary[[#This Row],[Seq_Day]])</f>
        <v/>
      </c>
    </row>
    <row r="271">
      <c r="A271" s="54" t="n"/>
      <c r="B271" s="61" t="n"/>
      <c r="C271" s="58" t="n"/>
      <c r="D271" s="58" t="n"/>
      <c r="E271" s="64">
        <f>IF(tblCommentary[[#This Row],[Date]]="","",COUNTIFS(INDEX(tblCommentary[Date],1):tblCommentary[[#This Row],[Date]],tblCommentary[[#This Row],[Date]]))</f>
        <v/>
      </c>
      <c r="F271" s="63">
        <f>IF(tblCommentary[[#This Row],[Date]]="","",tblCommentary[[#This Row],[Date]]&amp;"|"&amp;tblCommentary[[#This Row],[Seq_Day]])</f>
        <v/>
      </c>
    </row>
    <row r="272">
      <c r="A272" s="54" t="n"/>
      <c r="B272" s="61" t="n"/>
      <c r="C272" s="58" t="n"/>
      <c r="D272" s="58" t="n"/>
      <c r="E272" s="64">
        <f>IF(tblCommentary[[#This Row],[Date]]="","",COUNTIFS(INDEX(tblCommentary[Date],1):tblCommentary[[#This Row],[Date]],tblCommentary[[#This Row],[Date]]))</f>
        <v/>
      </c>
      <c r="F272" s="63">
        <f>IF(tblCommentary[[#This Row],[Date]]="","",tblCommentary[[#This Row],[Date]]&amp;"|"&amp;tblCommentary[[#This Row],[Seq_Day]])</f>
        <v/>
      </c>
    </row>
    <row r="273">
      <c r="A273" s="54" t="n"/>
      <c r="B273" s="61" t="n"/>
      <c r="C273" s="58" t="n"/>
      <c r="D273" s="58" t="n"/>
      <c r="E273" s="64">
        <f>IF(tblCommentary[[#This Row],[Date]]="","",COUNTIFS(INDEX(tblCommentary[Date],1):tblCommentary[[#This Row],[Date]],tblCommentary[[#This Row],[Date]]))</f>
        <v/>
      </c>
      <c r="F273" s="63">
        <f>IF(tblCommentary[[#This Row],[Date]]="","",tblCommentary[[#This Row],[Date]]&amp;"|"&amp;tblCommentary[[#This Row],[Seq_Day]])</f>
        <v/>
      </c>
    </row>
    <row r="274">
      <c r="A274" s="54" t="n"/>
      <c r="B274" s="61" t="n"/>
      <c r="C274" s="58" t="n"/>
      <c r="D274" s="58" t="n"/>
      <c r="E274" s="64">
        <f>IF(tblCommentary[[#This Row],[Date]]="","",COUNTIFS(INDEX(tblCommentary[Date],1):tblCommentary[[#This Row],[Date]],tblCommentary[[#This Row],[Date]]))</f>
        <v/>
      </c>
      <c r="F274" s="63">
        <f>IF(tblCommentary[[#This Row],[Date]]="","",tblCommentary[[#This Row],[Date]]&amp;"|"&amp;tblCommentary[[#This Row],[Seq_Day]])</f>
        <v/>
      </c>
    </row>
    <row r="275">
      <c r="A275" s="54" t="n"/>
      <c r="B275" s="61" t="n"/>
      <c r="C275" s="58" t="n"/>
      <c r="D275" s="58" t="n"/>
      <c r="E275" s="64">
        <f>IF(tblCommentary[[#This Row],[Date]]="","",COUNTIFS(INDEX(tblCommentary[Date],1):tblCommentary[[#This Row],[Date]],tblCommentary[[#This Row],[Date]]))</f>
        <v/>
      </c>
      <c r="F275" s="63">
        <f>IF(tblCommentary[[#This Row],[Date]]="","",tblCommentary[[#This Row],[Date]]&amp;"|"&amp;tblCommentary[[#This Row],[Seq_Day]])</f>
        <v/>
      </c>
    </row>
    <row r="276">
      <c r="A276" s="54" t="n"/>
      <c r="B276" s="61" t="n"/>
      <c r="C276" s="58" t="n"/>
      <c r="D276" s="58" t="n"/>
      <c r="E276" s="64">
        <f>IF(tblCommentary[[#This Row],[Date]]="","",COUNTIFS(INDEX(tblCommentary[Date],1):tblCommentary[[#This Row],[Date]],tblCommentary[[#This Row],[Date]]))</f>
        <v/>
      </c>
      <c r="F276" s="63">
        <f>IF(tblCommentary[[#This Row],[Date]]="","",tblCommentary[[#This Row],[Date]]&amp;"|"&amp;tblCommentary[[#This Row],[Seq_Day]])</f>
        <v/>
      </c>
    </row>
    <row r="277">
      <c r="A277" s="54" t="n"/>
      <c r="B277" s="61" t="n"/>
      <c r="C277" s="58" t="n"/>
      <c r="D277" s="58" t="n"/>
      <c r="E277" s="64">
        <f>IF(tblCommentary[[#This Row],[Date]]="","",COUNTIFS(INDEX(tblCommentary[Date],1):tblCommentary[[#This Row],[Date]],tblCommentary[[#This Row],[Date]]))</f>
        <v/>
      </c>
      <c r="F277" s="63">
        <f>IF(tblCommentary[[#This Row],[Date]]="","",tblCommentary[[#This Row],[Date]]&amp;"|"&amp;tblCommentary[[#This Row],[Seq_Day]])</f>
        <v/>
      </c>
    </row>
    <row r="278">
      <c r="A278" s="54" t="n"/>
      <c r="B278" s="61" t="n"/>
      <c r="C278" s="58" t="n"/>
      <c r="D278" s="58" t="n"/>
      <c r="E278" s="64">
        <f>IF(tblCommentary[[#This Row],[Date]]="","",COUNTIFS(INDEX(tblCommentary[Date],1):tblCommentary[[#This Row],[Date]],tblCommentary[[#This Row],[Date]]))</f>
        <v/>
      </c>
      <c r="F278" s="63">
        <f>IF(tblCommentary[[#This Row],[Date]]="","",tblCommentary[[#This Row],[Date]]&amp;"|"&amp;tblCommentary[[#This Row],[Seq_Day]])</f>
        <v/>
      </c>
    </row>
    <row r="279">
      <c r="A279" s="54" t="n"/>
      <c r="B279" s="61" t="n"/>
      <c r="C279" s="58" t="n"/>
      <c r="D279" s="58" t="n"/>
      <c r="E279" s="64">
        <f>IF(tblCommentary[[#This Row],[Date]]="","",COUNTIFS(INDEX(tblCommentary[Date],1):tblCommentary[[#This Row],[Date]],tblCommentary[[#This Row],[Date]]))</f>
        <v/>
      </c>
      <c r="F279" s="63">
        <f>IF(tblCommentary[[#This Row],[Date]]="","",tblCommentary[[#This Row],[Date]]&amp;"|"&amp;tblCommentary[[#This Row],[Seq_Day]])</f>
        <v/>
      </c>
    </row>
    <row r="280">
      <c r="A280" s="54" t="n"/>
      <c r="B280" s="61" t="n"/>
      <c r="C280" s="58" t="n"/>
      <c r="D280" s="58" t="n"/>
      <c r="E280" s="64">
        <f>IF(tblCommentary[[#This Row],[Date]]="","",COUNTIFS(INDEX(tblCommentary[Date],1):tblCommentary[[#This Row],[Date]],tblCommentary[[#This Row],[Date]]))</f>
        <v/>
      </c>
      <c r="F280" s="63">
        <f>IF(tblCommentary[[#This Row],[Date]]="","",tblCommentary[[#This Row],[Date]]&amp;"|"&amp;tblCommentary[[#This Row],[Seq_Day]])</f>
        <v/>
      </c>
    </row>
    <row r="281">
      <c r="A281" s="54" t="n"/>
      <c r="B281" s="61" t="n"/>
      <c r="C281" s="58" t="n"/>
      <c r="D281" s="58" t="n"/>
      <c r="E281" s="64">
        <f>IF(tblCommentary[[#This Row],[Date]]="","",COUNTIFS(INDEX(tblCommentary[Date],1):tblCommentary[[#This Row],[Date]],tblCommentary[[#This Row],[Date]]))</f>
        <v/>
      </c>
      <c r="F281" s="63">
        <f>IF(tblCommentary[[#This Row],[Date]]="","",tblCommentary[[#This Row],[Date]]&amp;"|"&amp;tblCommentary[[#This Row],[Seq_Day]])</f>
        <v/>
      </c>
    </row>
    <row r="282">
      <c r="A282" s="54" t="n"/>
      <c r="B282" s="61" t="n"/>
      <c r="C282" s="58" t="n"/>
      <c r="D282" s="58" t="n"/>
      <c r="E282" s="64">
        <f>IF(tblCommentary[[#This Row],[Date]]="","",COUNTIFS(INDEX(tblCommentary[Date],1):tblCommentary[[#This Row],[Date]],tblCommentary[[#This Row],[Date]]))</f>
        <v/>
      </c>
      <c r="F282" s="63">
        <f>IF(tblCommentary[[#This Row],[Date]]="","",tblCommentary[[#This Row],[Date]]&amp;"|"&amp;tblCommentary[[#This Row],[Seq_Day]])</f>
        <v/>
      </c>
    </row>
    <row r="283">
      <c r="A283" s="54" t="n"/>
      <c r="B283" s="61" t="n"/>
      <c r="C283" s="58" t="n"/>
      <c r="D283" s="58" t="n"/>
      <c r="E283" s="64">
        <f>IF(tblCommentary[[#This Row],[Date]]="","",COUNTIFS(INDEX(tblCommentary[Date],1):tblCommentary[[#This Row],[Date]],tblCommentary[[#This Row],[Date]]))</f>
        <v/>
      </c>
      <c r="F283" s="63">
        <f>IF(tblCommentary[[#This Row],[Date]]="","",tblCommentary[[#This Row],[Date]]&amp;"|"&amp;tblCommentary[[#This Row],[Seq_Day]])</f>
        <v/>
      </c>
    </row>
    <row r="284">
      <c r="A284" s="54" t="n"/>
      <c r="B284" s="61" t="n"/>
      <c r="C284" s="58" t="n"/>
      <c r="D284" s="58" t="n"/>
      <c r="E284" s="64">
        <f>IF(tblCommentary[[#This Row],[Date]]="","",COUNTIFS(INDEX(tblCommentary[Date],1):tblCommentary[[#This Row],[Date]],tblCommentary[[#This Row],[Date]]))</f>
        <v/>
      </c>
      <c r="F284" s="63">
        <f>IF(tblCommentary[[#This Row],[Date]]="","",tblCommentary[[#This Row],[Date]]&amp;"|"&amp;tblCommentary[[#This Row],[Seq_Day]])</f>
        <v/>
      </c>
    </row>
    <row r="285">
      <c r="A285" s="54" t="n"/>
      <c r="B285" s="61" t="n"/>
      <c r="C285" s="58" t="n"/>
      <c r="D285" s="58" t="n"/>
      <c r="E285" s="64">
        <f>IF(tblCommentary[[#This Row],[Date]]="","",COUNTIFS(INDEX(tblCommentary[Date],1):tblCommentary[[#This Row],[Date]],tblCommentary[[#This Row],[Date]]))</f>
        <v/>
      </c>
      <c r="F285" s="63">
        <f>IF(tblCommentary[[#This Row],[Date]]="","",tblCommentary[[#This Row],[Date]]&amp;"|"&amp;tblCommentary[[#This Row],[Seq_Day]])</f>
        <v/>
      </c>
    </row>
    <row r="286">
      <c r="A286" s="54" t="n"/>
      <c r="B286" s="61" t="n"/>
      <c r="C286" s="58" t="n"/>
      <c r="D286" s="58" t="n"/>
      <c r="E286" s="64">
        <f>IF(tblCommentary[[#This Row],[Date]]="","",COUNTIFS(INDEX(tblCommentary[Date],1):tblCommentary[[#This Row],[Date]],tblCommentary[[#This Row],[Date]]))</f>
        <v/>
      </c>
      <c r="F286" s="63">
        <f>IF(tblCommentary[[#This Row],[Date]]="","",tblCommentary[[#This Row],[Date]]&amp;"|"&amp;tblCommentary[[#This Row],[Seq_Day]])</f>
        <v/>
      </c>
    </row>
    <row r="287">
      <c r="A287" s="54" t="n"/>
      <c r="B287" s="61" t="n"/>
      <c r="C287" s="58" t="n"/>
      <c r="D287" s="58" t="n"/>
      <c r="E287" s="64">
        <f>IF(tblCommentary[[#This Row],[Date]]="","",COUNTIFS(INDEX(tblCommentary[Date],1):tblCommentary[[#This Row],[Date]],tblCommentary[[#This Row],[Date]]))</f>
        <v/>
      </c>
      <c r="F287" s="63">
        <f>IF(tblCommentary[[#This Row],[Date]]="","",tblCommentary[[#This Row],[Date]]&amp;"|"&amp;tblCommentary[[#This Row],[Seq_Day]])</f>
        <v/>
      </c>
    </row>
    <row r="288">
      <c r="A288" s="54" t="n"/>
      <c r="B288" s="61" t="n"/>
      <c r="C288" s="58" t="n"/>
      <c r="D288" s="58" t="n"/>
      <c r="E288" s="64">
        <f>IF(tblCommentary[[#This Row],[Date]]="","",COUNTIFS(INDEX(tblCommentary[Date],1):tblCommentary[[#This Row],[Date]],tblCommentary[[#This Row],[Date]]))</f>
        <v/>
      </c>
      <c r="F288" s="63">
        <f>IF(tblCommentary[[#This Row],[Date]]="","",tblCommentary[[#This Row],[Date]]&amp;"|"&amp;tblCommentary[[#This Row],[Seq_Day]])</f>
        <v/>
      </c>
    </row>
    <row r="289">
      <c r="A289" s="54" t="n"/>
      <c r="B289" s="61" t="n"/>
      <c r="C289" s="58" t="n"/>
      <c r="D289" s="58" t="n"/>
      <c r="E289" s="64">
        <f>IF(tblCommentary[[#This Row],[Date]]="","",COUNTIFS(INDEX(tblCommentary[Date],1):tblCommentary[[#This Row],[Date]],tblCommentary[[#This Row],[Date]]))</f>
        <v/>
      </c>
      <c r="F289" s="63">
        <f>IF(tblCommentary[[#This Row],[Date]]="","",tblCommentary[[#This Row],[Date]]&amp;"|"&amp;tblCommentary[[#This Row],[Seq_Day]])</f>
        <v/>
      </c>
    </row>
    <row r="290">
      <c r="A290" s="54" t="n"/>
      <c r="B290" s="61" t="n"/>
      <c r="C290" s="58" t="n"/>
      <c r="D290" s="58" t="n"/>
      <c r="E290" s="64">
        <f>IF(tblCommentary[[#This Row],[Date]]="","",COUNTIFS(INDEX(tblCommentary[Date],1):tblCommentary[[#This Row],[Date]],tblCommentary[[#This Row],[Date]]))</f>
        <v/>
      </c>
      <c r="F290" s="63">
        <f>IF(tblCommentary[[#This Row],[Date]]="","",tblCommentary[[#This Row],[Date]]&amp;"|"&amp;tblCommentary[[#This Row],[Seq_Day]])</f>
        <v/>
      </c>
    </row>
    <row r="291">
      <c r="A291" s="54" t="n"/>
      <c r="B291" s="61" t="n"/>
      <c r="C291" s="58" t="n"/>
      <c r="D291" s="58" t="n"/>
      <c r="E291" s="64">
        <f>IF(tblCommentary[[#This Row],[Date]]="","",COUNTIFS(INDEX(tblCommentary[Date],1):tblCommentary[[#This Row],[Date]],tblCommentary[[#This Row],[Date]]))</f>
        <v/>
      </c>
      <c r="F291" s="63">
        <f>IF(tblCommentary[[#This Row],[Date]]="","",tblCommentary[[#This Row],[Date]]&amp;"|"&amp;tblCommentary[[#This Row],[Seq_Day]])</f>
        <v/>
      </c>
    </row>
    <row r="292">
      <c r="A292" s="54" t="n"/>
      <c r="B292" s="61" t="n"/>
      <c r="C292" s="58" t="n"/>
      <c r="D292" s="58" t="n"/>
      <c r="E292" s="64">
        <f>IF(tblCommentary[[#This Row],[Date]]="","",COUNTIFS(INDEX(tblCommentary[Date],1):tblCommentary[[#This Row],[Date]],tblCommentary[[#This Row],[Date]]))</f>
        <v/>
      </c>
      <c r="F292" s="63">
        <f>IF(tblCommentary[[#This Row],[Date]]="","",tblCommentary[[#This Row],[Date]]&amp;"|"&amp;tblCommentary[[#This Row],[Seq_Day]])</f>
        <v/>
      </c>
    </row>
    <row r="293">
      <c r="A293" s="54" t="n"/>
      <c r="B293" s="61" t="n"/>
      <c r="C293" s="58" t="n"/>
      <c r="D293" s="58" t="n"/>
      <c r="E293" s="64">
        <f>IF(tblCommentary[[#This Row],[Date]]="","",COUNTIFS(INDEX(tblCommentary[Date],1):tblCommentary[[#This Row],[Date]],tblCommentary[[#This Row],[Date]]))</f>
        <v/>
      </c>
      <c r="F293" s="63">
        <f>IF(tblCommentary[[#This Row],[Date]]="","",tblCommentary[[#This Row],[Date]]&amp;"|"&amp;tblCommentary[[#This Row],[Seq_Day]])</f>
        <v/>
      </c>
    </row>
    <row r="294">
      <c r="A294" s="54" t="n"/>
      <c r="B294" s="61" t="n"/>
      <c r="C294" s="58" t="n"/>
      <c r="D294" s="58" t="n"/>
      <c r="E294" s="64">
        <f>IF(tblCommentary[[#This Row],[Date]]="","",COUNTIFS(INDEX(tblCommentary[Date],1):tblCommentary[[#This Row],[Date]],tblCommentary[[#This Row],[Date]]))</f>
        <v/>
      </c>
      <c r="F294" s="63">
        <f>IF(tblCommentary[[#This Row],[Date]]="","",tblCommentary[[#This Row],[Date]]&amp;"|"&amp;tblCommentary[[#This Row],[Seq_Day]])</f>
        <v/>
      </c>
    </row>
    <row r="295">
      <c r="A295" s="54" t="n"/>
      <c r="B295" s="61" t="n"/>
      <c r="C295" s="58" t="n"/>
      <c r="D295" s="58" t="n"/>
      <c r="E295" s="64">
        <f>IF(tblCommentary[[#This Row],[Date]]="","",COUNTIFS(INDEX(tblCommentary[Date],1):tblCommentary[[#This Row],[Date]],tblCommentary[[#This Row],[Date]]))</f>
        <v/>
      </c>
      <c r="F295" s="63">
        <f>IF(tblCommentary[[#This Row],[Date]]="","",tblCommentary[[#This Row],[Date]]&amp;"|"&amp;tblCommentary[[#This Row],[Seq_Day]])</f>
        <v/>
      </c>
    </row>
    <row r="296">
      <c r="A296" s="54" t="n"/>
      <c r="B296" s="61" t="n"/>
      <c r="C296" s="58" t="n"/>
      <c r="D296" s="58" t="n"/>
      <c r="E296" s="64">
        <f>IF(tblCommentary[[#This Row],[Date]]="","",COUNTIFS(INDEX(tblCommentary[Date],1):tblCommentary[[#This Row],[Date]],tblCommentary[[#This Row],[Date]]))</f>
        <v/>
      </c>
      <c r="F296" s="63">
        <f>IF(tblCommentary[[#This Row],[Date]]="","",tblCommentary[[#This Row],[Date]]&amp;"|"&amp;tblCommentary[[#This Row],[Seq_Day]])</f>
        <v/>
      </c>
    </row>
    <row r="297">
      <c r="A297" s="54" t="n"/>
      <c r="B297" s="61" t="n"/>
      <c r="C297" s="58" t="n"/>
      <c r="D297" s="58" t="n"/>
      <c r="E297" s="64">
        <f>IF(tblCommentary[[#This Row],[Date]]="","",COUNTIFS(INDEX(tblCommentary[Date],1):tblCommentary[[#This Row],[Date]],tblCommentary[[#This Row],[Date]]))</f>
        <v/>
      </c>
      <c r="F297" s="63">
        <f>IF(tblCommentary[[#This Row],[Date]]="","",tblCommentary[[#This Row],[Date]]&amp;"|"&amp;tblCommentary[[#This Row],[Seq_Day]])</f>
        <v/>
      </c>
    </row>
    <row r="298">
      <c r="A298" s="54" t="n"/>
      <c r="B298" s="61" t="n"/>
      <c r="C298" s="58" t="n"/>
      <c r="D298" s="58" t="n"/>
      <c r="E298" s="64">
        <f>IF(tblCommentary[[#This Row],[Date]]="","",COUNTIFS(INDEX(tblCommentary[Date],1):tblCommentary[[#This Row],[Date]],tblCommentary[[#This Row],[Date]]))</f>
        <v/>
      </c>
      <c r="F298" s="63">
        <f>IF(tblCommentary[[#This Row],[Date]]="","",tblCommentary[[#This Row],[Date]]&amp;"|"&amp;tblCommentary[[#This Row],[Seq_Day]])</f>
        <v/>
      </c>
    </row>
    <row r="299">
      <c r="A299" s="54" t="n"/>
      <c r="B299" s="61" t="n"/>
      <c r="C299" s="58" t="n"/>
      <c r="D299" s="58" t="n"/>
      <c r="E299" s="64">
        <f>IF(tblCommentary[[#This Row],[Date]]="","",COUNTIFS(INDEX(tblCommentary[Date],1):tblCommentary[[#This Row],[Date]],tblCommentary[[#This Row],[Date]]))</f>
        <v/>
      </c>
      <c r="F299" s="63">
        <f>IF(tblCommentary[[#This Row],[Date]]="","",tblCommentary[[#This Row],[Date]]&amp;"|"&amp;tblCommentary[[#This Row],[Seq_Day]])</f>
        <v/>
      </c>
    </row>
    <row r="300">
      <c r="A300" s="54" t="n"/>
      <c r="B300" s="61" t="n"/>
      <c r="C300" s="58" t="n"/>
      <c r="D300" s="58" t="n"/>
      <c r="E300" s="64">
        <f>IF(tblCommentary[[#This Row],[Date]]="","",COUNTIFS(INDEX(tblCommentary[Date],1):tblCommentary[[#This Row],[Date]],tblCommentary[[#This Row],[Date]]))</f>
        <v/>
      </c>
      <c r="F300" s="63">
        <f>IF(tblCommentary[[#This Row],[Date]]="","",tblCommentary[[#This Row],[Date]]&amp;"|"&amp;tblCommentary[[#This Row],[Seq_Day]])</f>
        <v/>
      </c>
    </row>
    <row r="301">
      <c r="A301" s="54" t="n"/>
      <c r="B301" s="61" t="n"/>
      <c r="C301" s="58" t="n"/>
      <c r="D301" s="58" t="n"/>
      <c r="E301" s="64">
        <f>IF(tblCommentary[[#This Row],[Date]]="","",COUNTIFS(INDEX(tblCommentary[Date],1):tblCommentary[[#This Row],[Date]],tblCommentary[[#This Row],[Date]]))</f>
        <v/>
      </c>
      <c r="F301" s="63">
        <f>IF(tblCommentary[[#This Row],[Date]]="","",tblCommentary[[#This Row],[Date]]&amp;"|"&amp;tblCommentary[[#This Row],[Seq_Day]])</f>
        <v/>
      </c>
    </row>
    <row r="302">
      <c r="A302" s="54" t="n"/>
      <c r="B302" s="61" t="n"/>
      <c r="C302" s="58" t="n"/>
      <c r="D302" s="58" t="n"/>
      <c r="E302" s="64">
        <f>IF(tblCommentary[[#This Row],[Date]]="","",COUNTIFS(INDEX(tblCommentary[Date],1):tblCommentary[[#This Row],[Date]],tblCommentary[[#This Row],[Date]]))</f>
        <v/>
      </c>
      <c r="F302" s="63">
        <f>IF(tblCommentary[[#This Row],[Date]]="","",tblCommentary[[#This Row],[Date]]&amp;"|"&amp;tblCommentary[[#This Row],[Seq_Day]])</f>
        <v/>
      </c>
    </row>
    <row r="303">
      <c r="A303" s="54" t="n"/>
      <c r="B303" s="61" t="n"/>
      <c r="C303" s="58" t="n"/>
      <c r="D303" s="58" t="n"/>
      <c r="E303" s="64">
        <f>IF(tblCommentary[[#This Row],[Date]]="","",COUNTIFS(INDEX(tblCommentary[Date],1):tblCommentary[[#This Row],[Date]],tblCommentary[[#This Row],[Date]]))</f>
        <v/>
      </c>
      <c r="F303" s="63">
        <f>IF(tblCommentary[[#This Row],[Date]]="","",tblCommentary[[#This Row],[Date]]&amp;"|"&amp;tblCommentary[[#This Row],[Seq_Day]])</f>
        <v/>
      </c>
    </row>
    <row r="304">
      <c r="A304" s="54" t="n"/>
      <c r="B304" s="61" t="n"/>
      <c r="C304" s="58" t="n"/>
      <c r="D304" s="58" t="n"/>
      <c r="E304" s="64">
        <f>IF(tblCommentary[[#This Row],[Date]]="","",COUNTIFS(INDEX(tblCommentary[Date],1):tblCommentary[[#This Row],[Date]],tblCommentary[[#This Row],[Date]]))</f>
        <v/>
      </c>
      <c r="F304" s="63">
        <f>IF(tblCommentary[[#This Row],[Date]]="","",tblCommentary[[#This Row],[Date]]&amp;"|"&amp;tblCommentary[[#This Row],[Seq_Day]])</f>
        <v/>
      </c>
    </row>
    <row r="305">
      <c r="A305" s="54" t="n"/>
      <c r="B305" s="61" t="n"/>
      <c r="C305" s="58" t="n"/>
      <c r="D305" s="58" t="n"/>
      <c r="E305" s="64">
        <f>IF(tblCommentary[[#This Row],[Date]]="","",COUNTIFS(INDEX(tblCommentary[Date],1):tblCommentary[[#This Row],[Date]],tblCommentary[[#This Row],[Date]]))</f>
        <v/>
      </c>
      <c r="F305" s="63">
        <f>IF(tblCommentary[[#This Row],[Date]]="","",tblCommentary[[#This Row],[Date]]&amp;"|"&amp;tblCommentary[[#This Row],[Seq_Day]])</f>
        <v/>
      </c>
    </row>
    <row r="306">
      <c r="A306" s="54" t="n"/>
      <c r="B306" s="61" t="n"/>
      <c r="C306" s="58" t="n"/>
      <c r="D306" s="58" t="n"/>
      <c r="E306" s="64">
        <f>IF(tblCommentary[[#This Row],[Date]]="","",COUNTIFS(INDEX(tblCommentary[Date],1):tblCommentary[[#This Row],[Date]],tblCommentary[[#This Row],[Date]]))</f>
        <v/>
      </c>
      <c r="F306" s="63">
        <f>IF(tblCommentary[[#This Row],[Date]]="","",tblCommentary[[#This Row],[Date]]&amp;"|"&amp;tblCommentary[[#This Row],[Seq_Day]])</f>
        <v/>
      </c>
    </row>
    <row r="307">
      <c r="A307" s="54" t="n"/>
      <c r="B307" s="61" t="n"/>
      <c r="C307" s="58" t="n"/>
      <c r="D307" s="58" t="n"/>
      <c r="E307" s="64">
        <f>IF(tblCommentary[[#This Row],[Date]]="","",COUNTIFS(INDEX(tblCommentary[Date],1):tblCommentary[[#This Row],[Date]],tblCommentary[[#This Row],[Date]]))</f>
        <v/>
      </c>
      <c r="F307" s="63">
        <f>IF(tblCommentary[[#This Row],[Date]]="","",tblCommentary[[#This Row],[Date]]&amp;"|"&amp;tblCommentary[[#This Row],[Seq_Day]])</f>
        <v/>
      </c>
    </row>
    <row r="308">
      <c r="A308" s="54" t="n"/>
      <c r="B308" s="61" t="n"/>
      <c r="C308" s="58" t="n"/>
      <c r="D308" s="58" t="n"/>
      <c r="E308" s="64">
        <f>IF(tblCommentary[[#This Row],[Date]]="","",COUNTIFS(INDEX(tblCommentary[Date],1):tblCommentary[[#This Row],[Date]],tblCommentary[[#This Row],[Date]]))</f>
        <v/>
      </c>
      <c r="F308" s="63">
        <f>IF(tblCommentary[[#This Row],[Date]]="","",tblCommentary[[#This Row],[Date]]&amp;"|"&amp;tblCommentary[[#This Row],[Seq_Day]])</f>
        <v/>
      </c>
    </row>
    <row r="309">
      <c r="A309" s="54" t="n"/>
      <c r="B309" s="61" t="n"/>
      <c r="C309" s="58" t="n"/>
      <c r="D309" s="58" t="n"/>
      <c r="E309" s="64">
        <f>IF(tblCommentary[[#This Row],[Date]]="","",COUNTIFS(INDEX(tblCommentary[Date],1):tblCommentary[[#This Row],[Date]],tblCommentary[[#This Row],[Date]]))</f>
        <v/>
      </c>
      <c r="F309" s="63">
        <f>IF(tblCommentary[[#This Row],[Date]]="","",tblCommentary[[#This Row],[Date]]&amp;"|"&amp;tblCommentary[[#This Row],[Seq_Day]])</f>
        <v/>
      </c>
    </row>
    <row r="310">
      <c r="A310" s="54" t="n"/>
      <c r="B310" s="61" t="n"/>
      <c r="C310" s="58" t="n"/>
      <c r="D310" s="58" t="n"/>
      <c r="E310" s="64">
        <f>IF(tblCommentary[[#This Row],[Date]]="","",COUNTIFS(INDEX(tblCommentary[Date],1):tblCommentary[[#This Row],[Date]],tblCommentary[[#This Row],[Date]]))</f>
        <v/>
      </c>
      <c r="F310" s="63">
        <f>IF(tblCommentary[[#This Row],[Date]]="","",tblCommentary[[#This Row],[Date]]&amp;"|"&amp;tblCommentary[[#This Row],[Seq_Day]])</f>
        <v/>
      </c>
    </row>
    <row r="311">
      <c r="A311" s="54" t="n"/>
      <c r="B311" s="61" t="n"/>
      <c r="C311" s="58" t="n"/>
      <c r="D311" s="58" t="n"/>
      <c r="E311" s="64">
        <f>IF(tblCommentary[[#This Row],[Date]]="","",COUNTIFS(INDEX(tblCommentary[Date],1):tblCommentary[[#This Row],[Date]],tblCommentary[[#This Row],[Date]]))</f>
        <v/>
      </c>
      <c r="F311" s="63">
        <f>IF(tblCommentary[[#This Row],[Date]]="","",tblCommentary[[#This Row],[Date]]&amp;"|"&amp;tblCommentary[[#This Row],[Seq_Day]])</f>
        <v/>
      </c>
    </row>
    <row r="312">
      <c r="A312" s="54" t="n"/>
      <c r="B312" s="61" t="n"/>
      <c r="C312" s="58" t="n"/>
      <c r="D312" s="58" t="n"/>
      <c r="E312" s="64">
        <f>IF(tblCommentary[[#This Row],[Date]]="","",COUNTIFS(INDEX(tblCommentary[Date],1):tblCommentary[[#This Row],[Date]],tblCommentary[[#This Row],[Date]]))</f>
        <v/>
      </c>
      <c r="F312" s="63">
        <f>IF(tblCommentary[[#This Row],[Date]]="","",tblCommentary[[#This Row],[Date]]&amp;"|"&amp;tblCommentary[[#This Row],[Seq_Day]])</f>
        <v/>
      </c>
    </row>
    <row r="313">
      <c r="A313" s="54" t="n"/>
      <c r="B313" s="61" t="n"/>
      <c r="C313" s="58" t="n"/>
      <c r="D313" s="58" t="n"/>
      <c r="E313" s="64">
        <f>IF(tblCommentary[[#This Row],[Date]]="","",COUNTIFS(INDEX(tblCommentary[Date],1):tblCommentary[[#This Row],[Date]],tblCommentary[[#This Row],[Date]]))</f>
        <v/>
      </c>
      <c r="F313" s="63">
        <f>IF(tblCommentary[[#This Row],[Date]]="","",tblCommentary[[#This Row],[Date]]&amp;"|"&amp;tblCommentary[[#This Row],[Seq_Day]])</f>
        <v/>
      </c>
    </row>
    <row r="314">
      <c r="A314" s="54" t="n"/>
      <c r="B314" s="61" t="n"/>
      <c r="C314" s="58" t="n"/>
      <c r="D314" s="58" t="n"/>
      <c r="E314" s="64">
        <f>IF(tblCommentary[[#This Row],[Date]]="","",COUNTIFS(INDEX(tblCommentary[Date],1):tblCommentary[[#This Row],[Date]],tblCommentary[[#This Row],[Date]]))</f>
        <v/>
      </c>
      <c r="F314" s="63">
        <f>IF(tblCommentary[[#This Row],[Date]]="","",tblCommentary[[#This Row],[Date]]&amp;"|"&amp;tblCommentary[[#This Row],[Seq_Day]])</f>
        <v/>
      </c>
    </row>
    <row r="315">
      <c r="A315" s="54" t="n"/>
      <c r="B315" s="61" t="n"/>
      <c r="C315" s="58" t="n"/>
      <c r="D315" s="58" t="n"/>
      <c r="E315" s="64">
        <f>IF(tblCommentary[[#This Row],[Date]]="","",COUNTIFS(INDEX(tblCommentary[Date],1):tblCommentary[[#This Row],[Date]],tblCommentary[[#This Row],[Date]]))</f>
        <v/>
      </c>
      <c r="F315" s="63">
        <f>IF(tblCommentary[[#This Row],[Date]]="","",tblCommentary[[#This Row],[Date]]&amp;"|"&amp;tblCommentary[[#This Row],[Seq_Day]])</f>
        <v/>
      </c>
    </row>
    <row r="316">
      <c r="A316" s="54" t="n"/>
      <c r="B316" s="61" t="n"/>
      <c r="C316" s="58" t="n"/>
      <c r="D316" s="58" t="n"/>
      <c r="E316" s="64">
        <f>IF(tblCommentary[[#This Row],[Date]]="","",COUNTIFS(INDEX(tblCommentary[Date],1):tblCommentary[[#This Row],[Date]],tblCommentary[[#This Row],[Date]]))</f>
        <v/>
      </c>
      <c r="F316" s="63">
        <f>IF(tblCommentary[[#This Row],[Date]]="","",tblCommentary[[#This Row],[Date]]&amp;"|"&amp;tblCommentary[[#This Row],[Seq_Day]])</f>
        <v/>
      </c>
    </row>
    <row r="317">
      <c r="A317" s="54" t="n"/>
      <c r="B317" s="61" t="n"/>
      <c r="C317" s="58" t="n"/>
      <c r="D317" s="58" t="n"/>
      <c r="E317" s="64">
        <f>IF(tblCommentary[[#This Row],[Date]]="","",COUNTIFS(INDEX(tblCommentary[Date],1):tblCommentary[[#This Row],[Date]],tblCommentary[[#This Row],[Date]]))</f>
        <v/>
      </c>
      <c r="F317" s="63">
        <f>IF(tblCommentary[[#This Row],[Date]]="","",tblCommentary[[#This Row],[Date]]&amp;"|"&amp;tblCommentary[[#This Row],[Seq_Day]])</f>
        <v/>
      </c>
    </row>
    <row r="318">
      <c r="A318" s="54" t="n"/>
      <c r="B318" s="61" t="n"/>
      <c r="C318" s="58" t="n"/>
      <c r="D318" s="58" t="n"/>
      <c r="E318" s="64">
        <f>IF(tblCommentary[[#This Row],[Date]]="","",COUNTIFS(INDEX(tblCommentary[Date],1):tblCommentary[[#This Row],[Date]],tblCommentary[[#This Row],[Date]]))</f>
        <v/>
      </c>
      <c r="F318" s="63">
        <f>IF(tblCommentary[[#This Row],[Date]]="","",tblCommentary[[#This Row],[Date]]&amp;"|"&amp;tblCommentary[[#This Row],[Seq_Day]])</f>
        <v/>
      </c>
    </row>
    <row r="319">
      <c r="A319" s="54" t="n"/>
      <c r="B319" s="61" t="n"/>
      <c r="C319" s="58" t="n"/>
      <c r="D319" s="58" t="n"/>
      <c r="E319" s="64">
        <f>IF(tblCommentary[[#This Row],[Date]]="","",COUNTIFS(INDEX(tblCommentary[Date],1):tblCommentary[[#This Row],[Date]],tblCommentary[[#This Row],[Date]]))</f>
        <v/>
      </c>
      <c r="F319" s="63">
        <f>IF(tblCommentary[[#This Row],[Date]]="","",tblCommentary[[#This Row],[Date]]&amp;"|"&amp;tblCommentary[[#This Row],[Seq_Day]])</f>
        <v/>
      </c>
    </row>
    <row r="320">
      <c r="A320" s="54" t="n"/>
      <c r="B320" s="61" t="n"/>
      <c r="C320" s="58" t="n"/>
      <c r="D320" s="58" t="n"/>
      <c r="E320" s="64">
        <f>IF(tblCommentary[[#This Row],[Date]]="","",COUNTIFS(INDEX(tblCommentary[Date],1):tblCommentary[[#This Row],[Date]],tblCommentary[[#This Row],[Date]]))</f>
        <v/>
      </c>
      <c r="F320" s="63">
        <f>IF(tblCommentary[[#This Row],[Date]]="","",tblCommentary[[#This Row],[Date]]&amp;"|"&amp;tblCommentary[[#This Row],[Seq_Day]])</f>
        <v/>
      </c>
    </row>
    <row r="321">
      <c r="A321" s="54" t="n"/>
      <c r="B321" s="61" t="n"/>
      <c r="C321" s="58" t="n"/>
      <c r="D321" s="58" t="n"/>
      <c r="E321" s="64">
        <f>IF(tblCommentary[[#This Row],[Date]]="","",COUNTIFS(INDEX(tblCommentary[Date],1):tblCommentary[[#This Row],[Date]],tblCommentary[[#This Row],[Date]]))</f>
        <v/>
      </c>
      <c r="F321" s="63">
        <f>IF(tblCommentary[[#This Row],[Date]]="","",tblCommentary[[#This Row],[Date]]&amp;"|"&amp;tblCommentary[[#This Row],[Seq_Day]])</f>
        <v/>
      </c>
    </row>
    <row r="322">
      <c r="A322" s="54" t="n"/>
      <c r="B322" s="61" t="n"/>
      <c r="C322" s="58" t="n"/>
      <c r="D322" s="58" t="n"/>
      <c r="E322" s="64">
        <f>IF(tblCommentary[[#This Row],[Date]]="","",COUNTIFS(INDEX(tblCommentary[Date],1):tblCommentary[[#This Row],[Date]],tblCommentary[[#This Row],[Date]]))</f>
        <v/>
      </c>
      <c r="F322" s="63">
        <f>IF(tblCommentary[[#This Row],[Date]]="","",tblCommentary[[#This Row],[Date]]&amp;"|"&amp;tblCommentary[[#This Row],[Seq_Day]])</f>
        <v/>
      </c>
    </row>
    <row r="323">
      <c r="A323" s="54" t="n"/>
      <c r="B323" s="61" t="n"/>
      <c r="C323" s="58" t="n"/>
      <c r="D323" s="58" t="n"/>
      <c r="E323" s="64">
        <f>IF(tblCommentary[[#This Row],[Date]]="","",COUNTIFS(INDEX(tblCommentary[Date],1):tblCommentary[[#This Row],[Date]],tblCommentary[[#This Row],[Date]]))</f>
        <v/>
      </c>
      <c r="F323" s="63">
        <f>IF(tblCommentary[[#This Row],[Date]]="","",tblCommentary[[#This Row],[Date]]&amp;"|"&amp;tblCommentary[[#This Row],[Seq_Day]])</f>
        <v/>
      </c>
    </row>
    <row r="324">
      <c r="A324" s="54" t="n"/>
      <c r="B324" s="61" t="n"/>
      <c r="C324" s="58" t="n"/>
      <c r="D324" s="58" t="n"/>
      <c r="E324" s="64">
        <f>IF(tblCommentary[[#This Row],[Date]]="","",COUNTIFS(INDEX(tblCommentary[Date],1):tblCommentary[[#This Row],[Date]],tblCommentary[[#This Row],[Date]]))</f>
        <v/>
      </c>
      <c r="F324" s="63">
        <f>IF(tblCommentary[[#This Row],[Date]]="","",tblCommentary[[#This Row],[Date]]&amp;"|"&amp;tblCommentary[[#This Row],[Seq_Day]])</f>
        <v/>
      </c>
    </row>
    <row r="325">
      <c r="A325" s="54" t="n"/>
      <c r="B325" s="61" t="n"/>
      <c r="C325" s="58" t="n"/>
      <c r="D325" s="58" t="n"/>
      <c r="E325" s="64">
        <f>IF(tblCommentary[[#This Row],[Date]]="","",COUNTIFS(INDEX(tblCommentary[Date],1):tblCommentary[[#This Row],[Date]],tblCommentary[[#This Row],[Date]]))</f>
        <v/>
      </c>
      <c r="F325" s="63">
        <f>IF(tblCommentary[[#This Row],[Date]]="","",tblCommentary[[#This Row],[Date]]&amp;"|"&amp;tblCommentary[[#This Row],[Seq_Day]])</f>
        <v/>
      </c>
    </row>
    <row r="326">
      <c r="A326" s="54" t="n"/>
      <c r="B326" s="61" t="n"/>
      <c r="C326" s="58" t="n"/>
      <c r="D326" s="58" t="n"/>
      <c r="E326" s="64">
        <f>IF(tblCommentary[[#This Row],[Date]]="","",COUNTIFS(INDEX(tblCommentary[Date],1):tblCommentary[[#This Row],[Date]],tblCommentary[[#This Row],[Date]]))</f>
        <v/>
      </c>
      <c r="F326" s="63">
        <f>IF(tblCommentary[[#This Row],[Date]]="","",tblCommentary[[#This Row],[Date]]&amp;"|"&amp;tblCommentary[[#This Row],[Seq_Day]])</f>
        <v/>
      </c>
    </row>
    <row r="327">
      <c r="A327" s="54" t="n"/>
      <c r="B327" s="61" t="n"/>
      <c r="C327" s="58" t="n"/>
      <c r="D327" s="58" t="n"/>
      <c r="E327" s="64">
        <f>IF(tblCommentary[[#This Row],[Date]]="","",COUNTIFS(INDEX(tblCommentary[Date],1):tblCommentary[[#This Row],[Date]],tblCommentary[[#This Row],[Date]]))</f>
        <v/>
      </c>
      <c r="F327" s="63">
        <f>IF(tblCommentary[[#This Row],[Date]]="","",tblCommentary[[#This Row],[Date]]&amp;"|"&amp;tblCommentary[[#This Row],[Seq_Day]])</f>
        <v/>
      </c>
    </row>
    <row r="328">
      <c r="A328" s="54" t="n"/>
      <c r="B328" s="61" t="n"/>
      <c r="C328" s="58" t="n"/>
      <c r="D328" s="58" t="n"/>
      <c r="E328" s="64">
        <f>IF(tblCommentary[[#This Row],[Date]]="","",COUNTIFS(INDEX(tblCommentary[Date],1):tblCommentary[[#This Row],[Date]],tblCommentary[[#This Row],[Date]]))</f>
        <v/>
      </c>
      <c r="F328" s="63">
        <f>IF(tblCommentary[[#This Row],[Date]]="","",tblCommentary[[#This Row],[Date]]&amp;"|"&amp;tblCommentary[[#This Row],[Seq_Day]])</f>
        <v/>
      </c>
    </row>
    <row r="329">
      <c r="A329" s="54" t="n"/>
      <c r="B329" s="61" t="n"/>
      <c r="C329" s="58" t="n"/>
      <c r="D329" s="58" t="n"/>
      <c r="E329" s="64">
        <f>IF(tblCommentary[[#This Row],[Date]]="","",COUNTIFS(INDEX(tblCommentary[Date],1):tblCommentary[[#This Row],[Date]],tblCommentary[[#This Row],[Date]]))</f>
        <v/>
      </c>
      <c r="F329" s="63">
        <f>IF(tblCommentary[[#This Row],[Date]]="","",tblCommentary[[#This Row],[Date]]&amp;"|"&amp;tblCommentary[[#This Row],[Seq_Day]])</f>
        <v/>
      </c>
    </row>
    <row r="330">
      <c r="A330" s="54" t="n"/>
      <c r="B330" s="61" t="n"/>
      <c r="C330" s="58" t="n"/>
      <c r="D330" s="58" t="n"/>
      <c r="E330" s="64">
        <f>IF(tblCommentary[[#This Row],[Date]]="","",COUNTIFS(INDEX(tblCommentary[Date],1):tblCommentary[[#This Row],[Date]],tblCommentary[[#This Row],[Date]]))</f>
        <v/>
      </c>
      <c r="F330" s="63">
        <f>IF(tblCommentary[[#This Row],[Date]]="","",tblCommentary[[#This Row],[Date]]&amp;"|"&amp;tblCommentary[[#This Row],[Seq_Day]])</f>
        <v/>
      </c>
    </row>
    <row r="331">
      <c r="A331" s="54" t="n"/>
      <c r="B331" s="61" t="n"/>
      <c r="C331" s="58" t="n"/>
      <c r="D331" s="58" t="n"/>
      <c r="E331" s="64">
        <f>IF(tblCommentary[[#This Row],[Date]]="","",COUNTIFS(INDEX(tblCommentary[Date],1):tblCommentary[[#This Row],[Date]],tblCommentary[[#This Row],[Date]]))</f>
        <v/>
      </c>
      <c r="F331" s="63">
        <f>IF(tblCommentary[[#This Row],[Date]]="","",tblCommentary[[#This Row],[Date]]&amp;"|"&amp;tblCommentary[[#This Row],[Seq_Day]])</f>
        <v/>
      </c>
    </row>
    <row r="332">
      <c r="A332" s="54" t="n"/>
      <c r="B332" s="61" t="n"/>
      <c r="C332" s="58" t="n"/>
      <c r="D332" s="58" t="n"/>
      <c r="E332" s="64">
        <f>IF(tblCommentary[[#This Row],[Date]]="","",COUNTIFS(INDEX(tblCommentary[Date],1):tblCommentary[[#This Row],[Date]],tblCommentary[[#This Row],[Date]]))</f>
        <v/>
      </c>
      <c r="F332" s="63">
        <f>IF(tblCommentary[[#This Row],[Date]]="","",tblCommentary[[#This Row],[Date]]&amp;"|"&amp;tblCommentary[[#This Row],[Seq_Day]])</f>
        <v/>
      </c>
    </row>
    <row r="333">
      <c r="A333" s="54" t="n"/>
      <c r="B333" s="61" t="n"/>
      <c r="C333" s="58" t="n"/>
      <c r="D333" s="58" t="n"/>
      <c r="E333" s="64">
        <f>IF(tblCommentary[[#This Row],[Date]]="","",COUNTIFS(INDEX(tblCommentary[Date],1):tblCommentary[[#This Row],[Date]],tblCommentary[[#This Row],[Date]]))</f>
        <v/>
      </c>
      <c r="F333" s="63">
        <f>IF(tblCommentary[[#This Row],[Date]]="","",tblCommentary[[#This Row],[Date]]&amp;"|"&amp;tblCommentary[[#This Row],[Seq_Day]])</f>
        <v/>
      </c>
    </row>
    <row r="334">
      <c r="A334" s="54" t="n"/>
      <c r="B334" s="61" t="n"/>
      <c r="C334" s="58" t="n"/>
      <c r="D334" s="58" t="n"/>
      <c r="E334" s="64">
        <f>IF(tblCommentary[[#This Row],[Date]]="","",COUNTIFS(INDEX(tblCommentary[Date],1):tblCommentary[[#This Row],[Date]],tblCommentary[[#This Row],[Date]]))</f>
        <v/>
      </c>
      <c r="F334" s="63">
        <f>IF(tblCommentary[[#This Row],[Date]]="","",tblCommentary[[#This Row],[Date]]&amp;"|"&amp;tblCommentary[[#This Row],[Seq_Day]])</f>
        <v/>
      </c>
    </row>
    <row r="335">
      <c r="A335" s="54" t="n"/>
      <c r="B335" s="61" t="n"/>
      <c r="C335" s="58" t="n"/>
      <c r="D335" s="58" t="n"/>
      <c r="E335" s="64">
        <f>IF(tblCommentary[[#This Row],[Date]]="","",COUNTIFS(INDEX(tblCommentary[Date],1):tblCommentary[[#This Row],[Date]],tblCommentary[[#This Row],[Date]]))</f>
        <v/>
      </c>
      <c r="F335" s="63">
        <f>IF(tblCommentary[[#This Row],[Date]]="","",tblCommentary[[#This Row],[Date]]&amp;"|"&amp;tblCommentary[[#This Row],[Seq_Day]])</f>
        <v/>
      </c>
    </row>
    <row r="336">
      <c r="A336" s="54" t="n"/>
      <c r="B336" s="61" t="n"/>
      <c r="C336" s="58" t="n"/>
      <c r="D336" s="58" t="n"/>
      <c r="E336" s="64">
        <f>IF(tblCommentary[[#This Row],[Date]]="","",COUNTIFS(INDEX(tblCommentary[Date],1):tblCommentary[[#This Row],[Date]],tblCommentary[[#This Row],[Date]]))</f>
        <v/>
      </c>
      <c r="F336" s="63">
        <f>IF(tblCommentary[[#This Row],[Date]]="","",tblCommentary[[#This Row],[Date]]&amp;"|"&amp;tblCommentary[[#This Row],[Seq_Day]])</f>
        <v/>
      </c>
    </row>
    <row r="337">
      <c r="A337" s="54" t="n"/>
      <c r="B337" s="61" t="n"/>
      <c r="C337" s="58" t="n"/>
      <c r="D337" s="58" t="n"/>
      <c r="E337" s="64">
        <f>IF(tblCommentary[[#This Row],[Date]]="","",COUNTIFS(INDEX(tblCommentary[Date],1):tblCommentary[[#This Row],[Date]],tblCommentary[[#This Row],[Date]]))</f>
        <v/>
      </c>
      <c r="F337" s="63">
        <f>IF(tblCommentary[[#This Row],[Date]]="","",tblCommentary[[#This Row],[Date]]&amp;"|"&amp;tblCommentary[[#This Row],[Seq_Day]])</f>
        <v/>
      </c>
    </row>
    <row r="338">
      <c r="A338" s="54" t="n"/>
      <c r="B338" s="61" t="n"/>
      <c r="C338" s="58" t="n"/>
      <c r="D338" s="58" t="n"/>
      <c r="E338" s="64">
        <f>IF(tblCommentary[[#This Row],[Date]]="","",COUNTIFS(INDEX(tblCommentary[Date],1):tblCommentary[[#This Row],[Date]],tblCommentary[[#This Row],[Date]]))</f>
        <v/>
      </c>
      <c r="F338" s="63">
        <f>IF(tblCommentary[[#This Row],[Date]]="","",tblCommentary[[#This Row],[Date]]&amp;"|"&amp;tblCommentary[[#This Row],[Seq_Day]])</f>
        <v/>
      </c>
    </row>
    <row r="339">
      <c r="A339" s="54" t="n"/>
      <c r="B339" s="61" t="n"/>
      <c r="C339" s="58" t="n"/>
      <c r="D339" s="58" t="n"/>
      <c r="E339" s="64">
        <f>IF(tblCommentary[[#This Row],[Date]]="","",COUNTIFS(INDEX(tblCommentary[Date],1):tblCommentary[[#This Row],[Date]],tblCommentary[[#This Row],[Date]]))</f>
        <v/>
      </c>
      <c r="F339" s="63">
        <f>IF(tblCommentary[[#This Row],[Date]]="","",tblCommentary[[#This Row],[Date]]&amp;"|"&amp;tblCommentary[[#This Row],[Seq_Day]])</f>
        <v/>
      </c>
    </row>
    <row r="340">
      <c r="A340" s="54" t="n"/>
      <c r="B340" s="61" t="n"/>
      <c r="C340" s="58" t="n"/>
      <c r="D340" s="58" t="n"/>
      <c r="E340" s="64">
        <f>IF(tblCommentary[[#This Row],[Date]]="","",COUNTIFS(INDEX(tblCommentary[Date],1):tblCommentary[[#This Row],[Date]],tblCommentary[[#This Row],[Date]]))</f>
        <v/>
      </c>
      <c r="F340" s="63">
        <f>IF(tblCommentary[[#This Row],[Date]]="","",tblCommentary[[#This Row],[Date]]&amp;"|"&amp;tblCommentary[[#This Row],[Seq_Day]])</f>
        <v/>
      </c>
    </row>
    <row r="341">
      <c r="A341" s="54" t="n"/>
      <c r="B341" s="61" t="n"/>
      <c r="C341" s="58" t="n"/>
      <c r="D341" s="58" t="n"/>
      <c r="E341" s="64">
        <f>IF(tblCommentary[[#This Row],[Date]]="","",COUNTIFS(INDEX(tblCommentary[Date],1):tblCommentary[[#This Row],[Date]],tblCommentary[[#This Row],[Date]]))</f>
        <v/>
      </c>
      <c r="F341" s="63">
        <f>IF(tblCommentary[[#This Row],[Date]]="","",tblCommentary[[#This Row],[Date]]&amp;"|"&amp;tblCommentary[[#This Row],[Seq_Day]])</f>
        <v/>
      </c>
    </row>
    <row r="342">
      <c r="A342" s="54" t="n"/>
      <c r="B342" s="61" t="n"/>
      <c r="C342" s="58" t="n"/>
      <c r="D342" s="58" t="n"/>
      <c r="E342" s="64">
        <f>IF(tblCommentary[[#This Row],[Date]]="","",COUNTIFS(INDEX(tblCommentary[Date],1):tblCommentary[[#This Row],[Date]],tblCommentary[[#This Row],[Date]]))</f>
        <v/>
      </c>
      <c r="F342" s="63">
        <f>IF(tblCommentary[[#This Row],[Date]]="","",tblCommentary[[#This Row],[Date]]&amp;"|"&amp;tblCommentary[[#This Row],[Seq_Day]])</f>
        <v/>
      </c>
    </row>
    <row r="343">
      <c r="A343" s="54" t="n"/>
      <c r="B343" s="61" t="n"/>
      <c r="C343" s="58" t="n"/>
      <c r="D343" s="58" t="n"/>
      <c r="E343" s="64">
        <f>IF(tblCommentary[[#This Row],[Date]]="","",COUNTIFS(INDEX(tblCommentary[Date],1):tblCommentary[[#This Row],[Date]],tblCommentary[[#This Row],[Date]]))</f>
        <v/>
      </c>
      <c r="F343" s="63">
        <f>IF(tblCommentary[[#This Row],[Date]]="","",tblCommentary[[#This Row],[Date]]&amp;"|"&amp;tblCommentary[[#This Row],[Seq_Day]])</f>
        <v/>
      </c>
    </row>
    <row r="344">
      <c r="A344" s="54" t="n"/>
      <c r="B344" s="61" t="n"/>
      <c r="C344" s="58" t="n"/>
      <c r="D344" s="58" t="n"/>
      <c r="E344" s="64">
        <f>IF(tblCommentary[[#This Row],[Date]]="","",COUNTIFS(INDEX(tblCommentary[Date],1):tblCommentary[[#This Row],[Date]],tblCommentary[[#This Row],[Date]]))</f>
        <v/>
      </c>
      <c r="F344" s="63">
        <f>IF(tblCommentary[[#This Row],[Date]]="","",tblCommentary[[#This Row],[Date]]&amp;"|"&amp;tblCommentary[[#This Row],[Seq_Day]])</f>
        <v/>
      </c>
    </row>
    <row r="345">
      <c r="A345" s="54" t="n"/>
      <c r="B345" s="61" t="n"/>
      <c r="C345" s="58" t="n"/>
      <c r="D345" s="58" t="n"/>
      <c r="E345" s="64">
        <f>IF(tblCommentary[[#This Row],[Date]]="","",COUNTIFS(INDEX(tblCommentary[Date],1):tblCommentary[[#This Row],[Date]],tblCommentary[[#This Row],[Date]]))</f>
        <v/>
      </c>
      <c r="F345" s="63">
        <f>IF(tblCommentary[[#This Row],[Date]]="","",tblCommentary[[#This Row],[Date]]&amp;"|"&amp;tblCommentary[[#This Row],[Seq_Day]])</f>
        <v/>
      </c>
    </row>
    <row r="346">
      <c r="A346" s="54" t="n"/>
      <c r="B346" s="61" t="n"/>
      <c r="C346" s="58" t="n"/>
      <c r="D346" s="58" t="n"/>
      <c r="E346" s="64">
        <f>IF(tblCommentary[[#This Row],[Date]]="","",COUNTIFS(INDEX(tblCommentary[Date],1):tblCommentary[[#This Row],[Date]],tblCommentary[[#This Row],[Date]]))</f>
        <v/>
      </c>
      <c r="F346" s="63">
        <f>IF(tblCommentary[[#This Row],[Date]]="","",tblCommentary[[#This Row],[Date]]&amp;"|"&amp;tblCommentary[[#This Row],[Seq_Day]])</f>
        <v/>
      </c>
    </row>
    <row r="347">
      <c r="A347" s="54" t="n"/>
      <c r="B347" s="61" t="n"/>
      <c r="C347" s="58" t="n"/>
      <c r="D347" s="58" t="n"/>
      <c r="E347" s="64">
        <f>IF(tblCommentary[[#This Row],[Date]]="","",COUNTIFS(INDEX(tblCommentary[Date],1):tblCommentary[[#This Row],[Date]],tblCommentary[[#This Row],[Date]]))</f>
        <v/>
      </c>
      <c r="F347" s="63">
        <f>IF(tblCommentary[[#This Row],[Date]]="","",tblCommentary[[#This Row],[Date]]&amp;"|"&amp;tblCommentary[[#This Row],[Seq_Day]])</f>
        <v/>
      </c>
    </row>
    <row r="348">
      <c r="A348" s="54" t="n"/>
      <c r="B348" s="61" t="n"/>
      <c r="C348" s="58" t="n"/>
      <c r="D348" s="58" t="n"/>
      <c r="E348" s="64">
        <f>IF(tblCommentary[[#This Row],[Date]]="","",COUNTIFS(INDEX(tblCommentary[Date],1):tblCommentary[[#This Row],[Date]],tblCommentary[[#This Row],[Date]]))</f>
        <v/>
      </c>
      <c r="F348" s="63">
        <f>IF(tblCommentary[[#This Row],[Date]]="","",tblCommentary[[#This Row],[Date]]&amp;"|"&amp;tblCommentary[[#This Row],[Seq_Day]])</f>
        <v/>
      </c>
    </row>
    <row r="349">
      <c r="A349" s="54" t="n"/>
      <c r="B349" s="61" t="n"/>
      <c r="C349" s="58" t="n"/>
      <c r="D349" s="58" t="n"/>
      <c r="E349" s="64">
        <f>IF(tblCommentary[[#This Row],[Date]]="","",COUNTIFS(INDEX(tblCommentary[Date],1):tblCommentary[[#This Row],[Date]],tblCommentary[[#This Row],[Date]]))</f>
        <v/>
      </c>
      <c r="F349" s="63">
        <f>IF(tblCommentary[[#This Row],[Date]]="","",tblCommentary[[#This Row],[Date]]&amp;"|"&amp;tblCommentary[[#This Row],[Seq_Day]])</f>
        <v/>
      </c>
    </row>
    <row r="350">
      <c r="A350" s="54" t="n"/>
      <c r="B350" s="61" t="n"/>
      <c r="C350" s="58" t="n"/>
      <c r="D350" s="58" t="n"/>
      <c r="E350" s="64">
        <f>IF(tblCommentary[[#This Row],[Date]]="","",COUNTIFS(INDEX(tblCommentary[Date],1):tblCommentary[[#This Row],[Date]],tblCommentary[[#This Row],[Date]]))</f>
        <v/>
      </c>
      <c r="F350" s="63">
        <f>IF(tblCommentary[[#This Row],[Date]]="","",tblCommentary[[#This Row],[Date]]&amp;"|"&amp;tblCommentary[[#This Row],[Seq_Day]])</f>
        <v/>
      </c>
    </row>
    <row r="351">
      <c r="A351" s="54" t="n"/>
      <c r="B351" s="61" t="n"/>
      <c r="C351" s="58" t="n"/>
      <c r="D351" s="58" t="n"/>
      <c r="E351" s="64">
        <f>IF(tblCommentary[[#This Row],[Date]]="","",COUNTIFS(INDEX(tblCommentary[Date],1):tblCommentary[[#This Row],[Date]],tblCommentary[[#This Row],[Date]]))</f>
        <v/>
      </c>
      <c r="F351" s="63">
        <f>IF(tblCommentary[[#This Row],[Date]]="","",tblCommentary[[#This Row],[Date]]&amp;"|"&amp;tblCommentary[[#This Row],[Seq_Day]])</f>
        <v/>
      </c>
    </row>
    <row r="352">
      <c r="A352" s="54" t="n"/>
      <c r="B352" s="61" t="n"/>
      <c r="C352" s="58" t="n"/>
      <c r="D352" s="58" t="n"/>
      <c r="E352" s="64">
        <f>IF(tblCommentary[[#This Row],[Date]]="","",COUNTIFS(INDEX(tblCommentary[Date],1):tblCommentary[[#This Row],[Date]],tblCommentary[[#This Row],[Date]]))</f>
        <v/>
      </c>
      <c r="F352" s="63">
        <f>IF(tblCommentary[[#This Row],[Date]]="","",tblCommentary[[#This Row],[Date]]&amp;"|"&amp;tblCommentary[[#This Row],[Seq_Day]])</f>
        <v/>
      </c>
    </row>
    <row r="353">
      <c r="A353" s="54" t="n"/>
      <c r="B353" s="61" t="n"/>
      <c r="C353" s="58" t="n"/>
      <c r="D353" s="58" t="n"/>
      <c r="E353" s="64">
        <f>IF(tblCommentary[[#This Row],[Date]]="","",COUNTIFS(INDEX(tblCommentary[Date],1):tblCommentary[[#This Row],[Date]],tblCommentary[[#This Row],[Date]]))</f>
        <v/>
      </c>
      <c r="F353" s="63">
        <f>IF(tblCommentary[[#This Row],[Date]]="","",tblCommentary[[#This Row],[Date]]&amp;"|"&amp;tblCommentary[[#This Row],[Seq_Day]])</f>
        <v/>
      </c>
    </row>
    <row r="354">
      <c r="A354" s="54" t="n"/>
      <c r="B354" s="61" t="n"/>
      <c r="C354" s="58" t="n"/>
      <c r="D354" s="58" t="n"/>
      <c r="E354" s="64">
        <f>IF(tblCommentary[[#This Row],[Date]]="","",COUNTIFS(INDEX(tblCommentary[Date],1):tblCommentary[[#This Row],[Date]],tblCommentary[[#This Row],[Date]]))</f>
        <v/>
      </c>
      <c r="F354" s="63">
        <f>IF(tblCommentary[[#This Row],[Date]]="","",tblCommentary[[#This Row],[Date]]&amp;"|"&amp;tblCommentary[[#This Row],[Seq_Day]])</f>
        <v/>
      </c>
    </row>
    <row r="355">
      <c r="A355" s="54" t="n"/>
      <c r="B355" s="61" t="n"/>
      <c r="C355" s="58" t="n"/>
      <c r="D355" s="58" t="n"/>
      <c r="E355" s="64">
        <f>IF(tblCommentary[[#This Row],[Date]]="","",COUNTIFS(INDEX(tblCommentary[Date],1):tblCommentary[[#This Row],[Date]],tblCommentary[[#This Row],[Date]]))</f>
        <v/>
      </c>
      <c r="F355" s="63">
        <f>IF(tblCommentary[[#This Row],[Date]]="","",tblCommentary[[#This Row],[Date]]&amp;"|"&amp;tblCommentary[[#This Row],[Seq_Day]])</f>
        <v/>
      </c>
    </row>
    <row r="356">
      <c r="A356" s="54" t="n"/>
      <c r="B356" s="61" t="n"/>
      <c r="C356" s="58" t="n"/>
      <c r="D356" s="58" t="n"/>
      <c r="E356" s="64">
        <f>IF(tblCommentary[[#This Row],[Date]]="","",COUNTIFS(INDEX(tblCommentary[Date],1):tblCommentary[[#This Row],[Date]],tblCommentary[[#This Row],[Date]]))</f>
        <v/>
      </c>
      <c r="F356" s="63">
        <f>IF(tblCommentary[[#This Row],[Date]]="","",tblCommentary[[#This Row],[Date]]&amp;"|"&amp;tblCommentary[[#This Row],[Seq_Day]])</f>
        <v/>
      </c>
    </row>
    <row r="357">
      <c r="A357" s="54" t="n"/>
      <c r="B357" s="61" t="n"/>
      <c r="C357" s="58" t="n"/>
      <c r="D357" s="58" t="n"/>
      <c r="E357" s="64">
        <f>IF(tblCommentary[[#This Row],[Date]]="","",COUNTIFS(INDEX(tblCommentary[Date],1):tblCommentary[[#This Row],[Date]],tblCommentary[[#This Row],[Date]]))</f>
        <v/>
      </c>
      <c r="F357" s="63">
        <f>IF(tblCommentary[[#This Row],[Date]]="","",tblCommentary[[#This Row],[Date]]&amp;"|"&amp;tblCommentary[[#This Row],[Seq_Day]])</f>
        <v/>
      </c>
    </row>
    <row r="358">
      <c r="A358" s="54" t="n"/>
      <c r="B358" s="61" t="n"/>
      <c r="C358" s="58" t="n"/>
      <c r="D358" s="58" t="n"/>
      <c r="E358" s="64">
        <f>IF(tblCommentary[[#This Row],[Date]]="","",COUNTIFS(INDEX(tblCommentary[Date],1):tblCommentary[[#This Row],[Date]],tblCommentary[[#This Row],[Date]]))</f>
        <v/>
      </c>
      <c r="F358" s="63">
        <f>IF(tblCommentary[[#This Row],[Date]]="","",tblCommentary[[#This Row],[Date]]&amp;"|"&amp;tblCommentary[[#This Row],[Seq_Day]])</f>
        <v/>
      </c>
    </row>
    <row r="359">
      <c r="A359" s="54" t="n"/>
      <c r="B359" s="61" t="n"/>
      <c r="C359" s="58" t="n"/>
      <c r="D359" s="58" t="n"/>
      <c r="E359" s="64">
        <f>IF(tblCommentary[[#This Row],[Date]]="","",COUNTIFS(INDEX(tblCommentary[Date],1):tblCommentary[[#This Row],[Date]],tblCommentary[[#This Row],[Date]]))</f>
        <v/>
      </c>
      <c r="F359" s="63">
        <f>IF(tblCommentary[[#This Row],[Date]]="","",tblCommentary[[#This Row],[Date]]&amp;"|"&amp;tblCommentary[[#This Row],[Seq_Day]])</f>
        <v/>
      </c>
    </row>
    <row r="360">
      <c r="A360" s="54" t="n"/>
      <c r="B360" s="61" t="n"/>
      <c r="C360" s="58" t="n"/>
      <c r="D360" s="58" t="n"/>
      <c r="E360" s="64">
        <f>IF(tblCommentary[[#This Row],[Date]]="","",COUNTIFS(INDEX(tblCommentary[Date],1):tblCommentary[[#This Row],[Date]],tblCommentary[[#This Row],[Date]]))</f>
        <v/>
      </c>
      <c r="F360" s="63">
        <f>IF(tblCommentary[[#This Row],[Date]]="","",tblCommentary[[#This Row],[Date]]&amp;"|"&amp;tblCommentary[[#This Row],[Seq_Day]])</f>
        <v/>
      </c>
    </row>
    <row r="361">
      <c r="A361" s="54" t="n"/>
      <c r="B361" s="61" t="n"/>
      <c r="C361" s="58" t="n"/>
      <c r="D361" s="58" t="n"/>
      <c r="E361" s="64">
        <f>IF(tblCommentary[[#This Row],[Date]]="","",COUNTIFS(INDEX(tblCommentary[Date],1):tblCommentary[[#This Row],[Date]],tblCommentary[[#This Row],[Date]]))</f>
        <v/>
      </c>
      <c r="F361" s="63">
        <f>IF(tblCommentary[[#This Row],[Date]]="","",tblCommentary[[#This Row],[Date]]&amp;"|"&amp;tblCommentary[[#This Row],[Seq_Day]])</f>
        <v/>
      </c>
    </row>
    <row r="362">
      <c r="A362" s="54" t="n"/>
      <c r="B362" s="61" t="n"/>
      <c r="C362" s="58" t="n"/>
      <c r="D362" s="58" t="n"/>
      <c r="E362" s="64">
        <f>IF(tblCommentary[[#This Row],[Date]]="","",COUNTIFS(INDEX(tblCommentary[Date],1):tblCommentary[[#This Row],[Date]],tblCommentary[[#This Row],[Date]]))</f>
        <v/>
      </c>
      <c r="F362" s="63">
        <f>IF(tblCommentary[[#This Row],[Date]]="","",tblCommentary[[#This Row],[Date]]&amp;"|"&amp;tblCommentary[[#This Row],[Seq_Day]])</f>
        <v/>
      </c>
    </row>
    <row r="363">
      <c r="A363" s="54" t="n"/>
      <c r="B363" s="61" t="n"/>
      <c r="C363" s="58" t="n"/>
      <c r="D363" s="58" t="n"/>
      <c r="E363" s="64">
        <f>IF(tblCommentary[[#This Row],[Date]]="","",COUNTIFS(INDEX(tblCommentary[Date],1):tblCommentary[[#This Row],[Date]],tblCommentary[[#This Row],[Date]]))</f>
        <v/>
      </c>
      <c r="F363" s="63">
        <f>IF(tblCommentary[[#This Row],[Date]]="","",tblCommentary[[#This Row],[Date]]&amp;"|"&amp;tblCommentary[[#This Row],[Seq_Day]])</f>
        <v/>
      </c>
    </row>
    <row r="364">
      <c r="A364" s="54" t="n"/>
      <c r="B364" s="61" t="n"/>
      <c r="C364" s="58" t="n"/>
      <c r="D364" s="58" t="n"/>
      <c r="E364" s="64">
        <f>IF(tblCommentary[[#This Row],[Date]]="","",COUNTIFS(INDEX(tblCommentary[Date],1):tblCommentary[[#This Row],[Date]],tblCommentary[[#This Row],[Date]]))</f>
        <v/>
      </c>
      <c r="F364" s="63">
        <f>IF(tblCommentary[[#This Row],[Date]]="","",tblCommentary[[#This Row],[Date]]&amp;"|"&amp;tblCommentary[[#This Row],[Seq_Day]])</f>
        <v/>
      </c>
    </row>
    <row r="365">
      <c r="A365" s="54" t="n"/>
      <c r="B365" s="61" t="n"/>
      <c r="C365" s="58" t="n"/>
      <c r="D365" s="58" t="n"/>
      <c r="E365" s="64">
        <f>IF(tblCommentary[[#This Row],[Date]]="","",COUNTIFS(INDEX(tblCommentary[Date],1):tblCommentary[[#This Row],[Date]],tblCommentary[[#This Row],[Date]]))</f>
        <v/>
      </c>
      <c r="F365" s="63">
        <f>IF(tblCommentary[[#This Row],[Date]]="","",tblCommentary[[#This Row],[Date]]&amp;"|"&amp;tblCommentary[[#This Row],[Seq_Day]])</f>
        <v/>
      </c>
    </row>
    <row r="366">
      <c r="A366" s="54" t="n"/>
      <c r="B366" s="61" t="n"/>
      <c r="C366" s="58" t="n"/>
      <c r="D366" s="58" t="n"/>
      <c r="E366" s="64">
        <f>IF(tblCommentary[[#This Row],[Date]]="","",COUNTIFS(INDEX(tblCommentary[Date],1):tblCommentary[[#This Row],[Date]],tblCommentary[[#This Row],[Date]]))</f>
        <v/>
      </c>
      <c r="F366" s="63">
        <f>IF(tblCommentary[[#This Row],[Date]]="","",tblCommentary[[#This Row],[Date]]&amp;"|"&amp;tblCommentary[[#This Row],[Seq_Day]])</f>
        <v/>
      </c>
    </row>
    <row r="367">
      <c r="A367" s="54" t="n"/>
      <c r="B367" s="61" t="n"/>
      <c r="C367" s="58" t="n"/>
      <c r="D367" s="58" t="n"/>
      <c r="E367" s="64">
        <f>IF(tblCommentary[[#This Row],[Date]]="","",COUNTIFS(INDEX(tblCommentary[Date],1):tblCommentary[[#This Row],[Date]],tblCommentary[[#This Row],[Date]]))</f>
        <v/>
      </c>
      <c r="F367" s="63">
        <f>IF(tblCommentary[[#This Row],[Date]]="","",tblCommentary[[#This Row],[Date]]&amp;"|"&amp;tblCommentary[[#This Row],[Seq_Day]])</f>
        <v/>
      </c>
    </row>
    <row r="368">
      <c r="A368" s="54" t="n"/>
      <c r="B368" s="61" t="n"/>
      <c r="C368" s="58" t="n"/>
      <c r="D368" s="58" t="n"/>
      <c r="E368" s="64">
        <f>IF(tblCommentary[[#This Row],[Date]]="","",COUNTIFS(INDEX(tblCommentary[Date],1):tblCommentary[[#This Row],[Date]],tblCommentary[[#This Row],[Date]]))</f>
        <v/>
      </c>
      <c r="F368" s="63">
        <f>IF(tblCommentary[[#This Row],[Date]]="","",tblCommentary[[#This Row],[Date]]&amp;"|"&amp;tblCommentary[[#This Row],[Seq_Day]])</f>
        <v/>
      </c>
    </row>
    <row r="369">
      <c r="A369" s="54" t="n"/>
      <c r="B369" s="61" t="n"/>
      <c r="C369" s="58" t="n"/>
      <c r="D369" s="58" t="n"/>
      <c r="E369" s="64">
        <f>IF(tblCommentary[[#This Row],[Date]]="","",COUNTIFS(INDEX(tblCommentary[Date],1):tblCommentary[[#This Row],[Date]],tblCommentary[[#This Row],[Date]]))</f>
        <v/>
      </c>
      <c r="F369" s="63">
        <f>IF(tblCommentary[[#This Row],[Date]]="","",tblCommentary[[#This Row],[Date]]&amp;"|"&amp;tblCommentary[[#This Row],[Seq_Day]])</f>
        <v/>
      </c>
    </row>
    <row r="370">
      <c r="A370" s="54" t="n"/>
      <c r="B370" s="61" t="n"/>
      <c r="C370" s="58" t="n"/>
      <c r="D370" s="58" t="n"/>
      <c r="E370" s="64">
        <f>IF(tblCommentary[[#This Row],[Date]]="","",COUNTIFS(INDEX(tblCommentary[Date],1):tblCommentary[[#This Row],[Date]],tblCommentary[[#This Row],[Date]]))</f>
        <v/>
      </c>
      <c r="F370" s="63">
        <f>IF(tblCommentary[[#This Row],[Date]]="","",tblCommentary[[#This Row],[Date]]&amp;"|"&amp;tblCommentary[[#This Row],[Seq_Day]])</f>
        <v/>
      </c>
    </row>
    <row r="371">
      <c r="A371" s="54" t="n"/>
      <c r="B371" s="61" t="n"/>
      <c r="C371" s="58" t="n"/>
      <c r="D371" s="58" t="n"/>
      <c r="E371" s="64">
        <f>IF(tblCommentary[[#This Row],[Date]]="","",COUNTIFS(INDEX(tblCommentary[Date],1):tblCommentary[[#This Row],[Date]],tblCommentary[[#This Row],[Date]]))</f>
        <v/>
      </c>
      <c r="F371" s="63">
        <f>IF(tblCommentary[[#This Row],[Date]]="","",tblCommentary[[#This Row],[Date]]&amp;"|"&amp;tblCommentary[[#This Row],[Seq_Day]])</f>
        <v/>
      </c>
    </row>
    <row r="372">
      <c r="A372" s="54" t="n"/>
      <c r="B372" s="61" t="n"/>
      <c r="C372" s="58" t="n"/>
      <c r="D372" s="58" t="n"/>
      <c r="E372" s="64">
        <f>IF(tblCommentary[[#This Row],[Date]]="","",COUNTIFS(INDEX(tblCommentary[Date],1):tblCommentary[[#This Row],[Date]],tblCommentary[[#This Row],[Date]]))</f>
        <v/>
      </c>
      <c r="F372" s="63">
        <f>IF(tblCommentary[[#This Row],[Date]]="","",tblCommentary[[#This Row],[Date]]&amp;"|"&amp;tblCommentary[[#This Row],[Seq_Day]])</f>
        <v/>
      </c>
    </row>
    <row r="373">
      <c r="A373" s="54" t="n"/>
      <c r="B373" s="61" t="n"/>
      <c r="C373" s="58" t="n"/>
      <c r="D373" s="58" t="n"/>
      <c r="E373" s="64">
        <f>IF(tblCommentary[[#This Row],[Date]]="","",COUNTIFS(INDEX(tblCommentary[Date],1):tblCommentary[[#This Row],[Date]],tblCommentary[[#This Row],[Date]]))</f>
        <v/>
      </c>
      <c r="F373" s="63">
        <f>IF(tblCommentary[[#This Row],[Date]]="","",tblCommentary[[#This Row],[Date]]&amp;"|"&amp;tblCommentary[[#This Row],[Seq_Day]])</f>
        <v/>
      </c>
    </row>
    <row r="374">
      <c r="A374" s="54" t="n"/>
      <c r="B374" s="61" t="n"/>
      <c r="C374" s="58" t="n"/>
      <c r="D374" s="58" t="n"/>
      <c r="E374" s="64">
        <f>IF(tblCommentary[[#This Row],[Date]]="","",COUNTIFS(INDEX(tblCommentary[Date],1):tblCommentary[[#This Row],[Date]],tblCommentary[[#This Row],[Date]]))</f>
        <v/>
      </c>
      <c r="F374" s="63">
        <f>IF(tblCommentary[[#This Row],[Date]]="","",tblCommentary[[#This Row],[Date]]&amp;"|"&amp;tblCommentary[[#This Row],[Seq_Day]])</f>
        <v/>
      </c>
    </row>
    <row r="375">
      <c r="A375" s="54" t="n"/>
      <c r="B375" s="61" t="n"/>
      <c r="C375" s="58" t="n"/>
      <c r="D375" s="58" t="n"/>
      <c r="E375" s="64">
        <f>IF(tblCommentary[[#This Row],[Date]]="","",COUNTIFS(INDEX(tblCommentary[Date],1):tblCommentary[[#This Row],[Date]],tblCommentary[[#This Row],[Date]]))</f>
        <v/>
      </c>
      <c r="F375" s="63">
        <f>IF(tblCommentary[[#This Row],[Date]]="","",tblCommentary[[#This Row],[Date]]&amp;"|"&amp;tblCommentary[[#This Row],[Seq_Day]])</f>
        <v/>
      </c>
    </row>
    <row r="376">
      <c r="A376" s="54" t="n"/>
      <c r="B376" s="61" t="n"/>
      <c r="C376" s="58" t="n"/>
      <c r="D376" s="58" t="n"/>
      <c r="E376" s="64">
        <f>IF(tblCommentary[[#This Row],[Date]]="","",COUNTIFS(INDEX(tblCommentary[Date],1):tblCommentary[[#This Row],[Date]],tblCommentary[[#This Row],[Date]]))</f>
        <v/>
      </c>
      <c r="F376" s="63">
        <f>IF(tblCommentary[[#This Row],[Date]]="","",tblCommentary[[#This Row],[Date]]&amp;"|"&amp;tblCommentary[[#This Row],[Seq_Day]])</f>
        <v/>
      </c>
    </row>
    <row r="377">
      <c r="A377" s="54" t="n"/>
      <c r="B377" s="61" t="n"/>
      <c r="C377" s="58" t="n"/>
      <c r="D377" s="58" t="n"/>
      <c r="E377" s="64">
        <f>IF(tblCommentary[[#This Row],[Date]]="","",COUNTIFS(INDEX(tblCommentary[Date],1):tblCommentary[[#This Row],[Date]],tblCommentary[[#This Row],[Date]]))</f>
        <v/>
      </c>
      <c r="F377" s="63">
        <f>IF(tblCommentary[[#This Row],[Date]]="","",tblCommentary[[#This Row],[Date]]&amp;"|"&amp;tblCommentary[[#This Row],[Seq_Day]])</f>
        <v/>
      </c>
    </row>
    <row r="378">
      <c r="A378" s="54" t="n"/>
      <c r="B378" s="61" t="n"/>
      <c r="C378" s="58" t="n"/>
      <c r="D378" s="58" t="n"/>
      <c r="E378" s="64">
        <f>IF(tblCommentary[[#This Row],[Date]]="","",COUNTIFS(INDEX(tblCommentary[Date],1):tblCommentary[[#This Row],[Date]],tblCommentary[[#This Row],[Date]]))</f>
        <v/>
      </c>
      <c r="F378" s="63">
        <f>IF(tblCommentary[[#This Row],[Date]]="","",tblCommentary[[#This Row],[Date]]&amp;"|"&amp;tblCommentary[[#This Row],[Seq_Day]])</f>
        <v/>
      </c>
    </row>
    <row r="379">
      <c r="A379" s="54" t="n"/>
      <c r="B379" s="61" t="n"/>
      <c r="C379" s="58" t="n"/>
      <c r="D379" s="58" t="n"/>
      <c r="E379" s="64">
        <f>IF(tblCommentary[[#This Row],[Date]]="","",COUNTIFS(INDEX(tblCommentary[Date],1):tblCommentary[[#This Row],[Date]],tblCommentary[[#This Row],[Date]]))</f>
        <v/>
      </c>
      <c r="F379" s="63">
        <f>IF(tblCommentary[[#This Row],[Date]]="","",tblCommentary[[#This Row],[Date]]&amp;"|"&amp;tblCommentary[[#This Row],[Seq_Day]])</f>
        <v/>
      </c>
    </row>
    <row r="380">
      <c r="A380" s="54" t="n"/>
      <c r="B380" s="61" t="n"/>
      <c r="C380" s="58" t="n"/>
      <c r="D380" s="58" t="n"/>
      <c r="E380" s="64">
        <f>IF(tblCommentary[[#This Row],[Date]]="","",COUNTIFS(INDEX(tblCommentary[Date],1):tblCommentary[[#This Row],[Date]],tblCommentary[[#This Row],[Date]]))</f>
        <v/>
      </c>
      <c r="F380" s="63">
        <f>IF(tblCommentary[[#This Row],[Date]]="","",tblCommentary[[#This Row],[Date]]&amp;"|"&amp;tblCommentary[[#This Row],[Seq_Day]])</f>
        <v/>
      </c>
    </row>
    <row r="381">
      <c r="A381" s="54" t="n"/>
      <c r="B381" s="61" t="n"/>
      <c r="C381" s="58" t="n"/>
      <c r="D381" s="58" t="n"/>
      <c r="E381" s="64">
        <f>IF(tblCommentary[[#This Row],[Date]]="","",COUNTIFS(INDEX(tblCommentary[Date],1):tblCommentary[[#This Row],[Date]],tblCommentary[[#This Row],[Date]]))</f>
        <v/>
      </c>
      <c r="F381" s="63">
        <f>IF(tblCommentary[[#This Row],[Date]]="","",tblCommentary[[#This Row],[Date]]&amp;"|"&amp;tblCommentary[[#This Row],[Seq_Day]])</f>
        <v/>
      </c>
    </row>
    <row r="382">
      <c r="A382" s="54" t="n"/>
      <c r="B382" s="61" t="n"/>
      <c r="C382" s="58" t="n"/>
      <c r="D382" s="58" t="n"/>
      <c r="E382" s="64">
        <f>IF(tblCommentary[[#This Row],[Date]]="","",COUNTIFS(INDEX(tblCommentary[Date],1):tblCommentary[[#This Row],[Date]],tblCommentary[[#This Row],[Date]]))</f>
        <v/>
      </c>
      <c r="F382" s="63">
        <f>IF(tblCommentary[[#This Row],[Date]]="","",tblCommentary[[#This Row],[Date]]&amp;"|"&amp;tblCommentary[[#This Row],[Seq_Day]])</f>
        <v/>
      </c>
    </row>
    <row r="383">
      <c r="A383" s="54" t="n"/>
      <c r="B383" s="61" t="n"/>
      <c r="C383" s="58" t="n"/>
      <c r="D383" s="58" t="n"/>
      <c r="E383" s="64">
        <f>IF(tblCommentary[[#This Row],[Date]]="","",COUNTIFS(INDEX(tblCommentary[Date],1):tblCommentary[[#This Row],[Date]],tblCommentary[[#This Row],[Date]]))</f>
        <v/>
      </c>
      <c r="F383" s="63">
        <f>IF(tblCommentary[[#This Row],[Date]]="","",tblCommentary[[#This Row],[Date]]&amp;"|"&amp;tblCommentary[[#This Row],[Seq_Day]])</f>
        <v/>
      </c>
    </row>
    <row r="384">
      <c r="A384" s="54" t="n"/>
      <c r="B384" s="61" t="n"/>
      <c r="C384" s="58" t="n"/>
      <c r="D384" s="58" t="n"/>
      <c r="E384" s="64">
        <f>IF(tblCommentary[[#This Row],[Date]]="","",COUNTIFS(INDEX(tblCommentary[Date],1):tblCommentary[[#This Row],[Date]],tblCommentary[[#This Row],[Date]]))</f>
        <v/>
      </c>
      <c r="F384" s="63">
        <f>IF(tblCommentary[[#This Row],[Date]]="","",tblCommentary[[#This Row],[Date]]&amp;"|"&amp;tblCommentary[[#This Row],[Seq_Day]])</f>
        <v/>
      </c>
    </row>
    <row r="385">
      <c r="A385" s="54" t="n"/>
      <c r="B385" s="61" t="n"/>
      <c r="C385" s="58" t="n"/>
      <c r="D385" s="58" t="n"/>
      <c r="E385" s="64">
        <f>IF(tblCommentary[[#This Row],[Date]]="","",COUNTIFS(INDEX(tblCommentary[Date],1):tblCommentary[[#This Row],[Date]],tblCommentary[[#This Row],[Date]]))</f>
        <v/>
      </c>
      <c r="F385" s="63">
        <f>IF(tblCommentary[[#This Row],[Date]]="","",tblCommentary[[#This Row],[Date]]&amp;"|"&amp;tblCommentary[[#This Row],[Seq_Day]])</f>
        <v/>
      </c>
    </row>
    <row r="386">
      <c r="A386" s="54" t="n"/>
      <c r="B386" s="61" t="n"/>
      <c r="C386" s="58" t="n"/>
      <c r="D386" s="58" t="n"/>
      <c r="E386" s="64">
        <f>IF(tblCommentary[[#This Row],[Date]]="","",COUNTIFS(INDEX(tblCommentary[Date],1):tblCommentary[[#This Row],[Date]],tblCommentary[[#This Row],[Date]]))</f>
        <v/>
      </c>
      <c r="F386" s="63">
        <f>IF(tblCommentary[[#This Row],[Date]]="","",tblCommentary[[#This Row],[Date]]&amp;"|"&amp;tblCommentary[[#This Row],[Seq_Day]])</f>
        <v/>
      </c>
    </row>
    <row r="387">
      <c r="A387" s="54" t="n"/>
      <c r="B387" s="61" t="n"/>
      <c r="C387" s="58" t="n"/>
      <c r="D387" s="58" t="n"/>
      <c r="E387" s="64">
        <f>IF(tblCommentary[[#This Row],[Date]]="","",COUNTIFS(INDEX(tblCommentary[Date],1):tblCommentary[[#This Row],[Date]],tblCommentary[[#This Row],[Date]]))</f>
        <v/>
      </c>
      <c r="F387" s="63">
        <f>IF(tblCommentary[[#This Row],[Date]]="","",tblCommentary[[#This Row],[Date]]&amp;"|"&amp;tblCommentary[[#This Row],[Seq_Day]])</f>
        <v/>
      </c>
    </row>
    <row r="388">
      <c r="A388" s="54" t="n"/>
      <c r="B388" s="61" t="n"/>
      <c r="C388" s="58" t="n"/>
      <c r="D388" s="58" t="n"/>
      <c r="E388" s="64">
        <f>IF(tblCommentary[[#This Row],[Date]]="","",COUNTIFS(INDEX(tblCommentary[Date],1):tblCommentary[[#This Row],[Date]],tblCommentary[[#This Row],[Date]]))</f>
        <v/>
      </c>
      <c r="F388" s="63">
        <f>IF(tblCommentary[[#This Row],[Date]]="","",tblCommentary[[#This Row],[Date]]&amp;"|"&amp;tblCommentary[[#This Row],[Seq_Day]])</f>
        <v/>
      </c>
    </row>
    <row r="389">
      <c r="A389" s="54" t="n"/>
      <c r="B389" s="61" t="n"/>
      <c r="C389" s="58" t="n"/>
      <c r="D389" s="58" t="n"/>
      <c r="E389" s="64">
        <f>IF(tblCommentary[[#This Row],[Date]]="","",COUNTIFS(INDEX(tblCommentary[Date],1):tblCommentary[[#This Row],[Date]],tblCommentary[[#This Row],[Date]]))</f>
        <v/>
      </c>
      <c r="F389" s="63">
        <f>IF(tblCommentary[[#This Row],[Date]]="","",tblCommentary[[#This Row],[Date]]&amp;"|"&amp;tblCommentary[[#This Row],[Seq_Day]])</f>
        <v/>
      </c>
    </row>
    <row r="390">
      <c r="A390" s="54" t="n"/>
      <c r="B390" s="61" t="n"/>
      <c r="C390" s="58" t="n"/>
      <c r="D390" s="58" t="n"/>
      <c r="E390" s="64">
        <f>IF(tblCommentary[[#This Row],[Date]]="","",COUNTIFS(INDEX(tblCommentary[Date],1):tblCommentary[[#This Row],[Date]],tblCommentary[[#This Row],[Date]]))</f>
        <v/>
      </c>
      <c r="F390" s="63">
        <f>IF(tblCommentary[[#This Row],[Date]]="","",tblCommentary[[#This Row],[Date]]&amp;"|"&amp;tblCommentary[[#This Row],[Seq_Day]])</f>
        <v/>
      </c>
    </row>
    <row r="391">
      <c r="A391" s="54" t="n"/>
      <c r="B391" s="61" t="n"/>
      <c r="C391" s="58" t="n"/>
      <c r="D391" s="58" t="n"/>
      <c r="E391" s="64">
        <f>IF(tblCommentary[[#This Row],[Date]]="","",COUNTIFS(INDEX(tblCommentary[Date],1):tblCommentary[[#This Row],[Date]],tblCommentary[[#This Row],[Date]]))</f>
        <v/>
      </c>
      <c r="F391" s="63">
        <f>IF(tblCommentary[[#This Row],[Date]]="","",tblCommentary[[#This Row],[Date]]&amp;"|"&amp;tblCommentary[[#This Row],[Seq_Day]])</f>
        <v/>
      </c>
    </row>
    <row r="392">
      <c r="A392" s="54" t="n"/>
      <c r="B392" s="61" t="n"/>
      <c r="C392" s="58" t="n"/>
      <c r="D392" s="58" t="n"/>
      <c r="E392" s="64">
        <f>IF(tblCommentary[[#This Row],[Date]]="","",COUNTIFS(INDEX(tblCommentary[Date],1):tblCommentary[[#This Row],[Date]],tblCommentary[[#This Row],[Date]]))</f>
        <v/>
      </c>
      <c r="F392" s="63">
        <f>IF(tblCommentary[[#This Row],[Date]]="","",tblCommentary[[#This Row],[Date]]&amp;"|"&amp;tblCommentary[[#This Row],[Seq_Day]])</f>
        <v/>
      </c>
    </row>
    <row r="393">
      <c r="A393" s="54" t="n"/>
      <c r="B393" s="61" t="n"/>
      <c r="C393" s="58" t="n"/>
      <c r="D393" s="58" t="n"/>
      <c r="E393" s="64">
        <f>IF(tblCommentary[[#This Row],[Date]]="","",COUNTIFS(INDEX(tblCommentary[Date],1):tblCommentary[[#This Row],[Date]],tblCommentary[[#This Row],[Date]]))</f>
        <v/>
      </c>
      <c r="F393" s="63">
        <f>IF(tblCommentary[[#This Row],[Date]]="","",tblCommentary[[#This Row],[Date]]&amp;"|"&amp;tblCommentary[[#This Row],[Seq_Day]])</f>
        <v/>
      </c>
    </row>
    <row r="394">
      <c r="A394" s="54" t="n"/>
      <c r="B394" s="61" t="n"/>
      <c r="C394" s="58" t="n"/>
      <c r="D394" s="58" t="n"/>
      <c r="E394" s="64">
        <f>IF(tblCommentary[[#This Row],[Date]]="","",COUNTIFS(INDEX(tblCommentary[Date],1):tblCommentary[[#This Row],[Date]],tblCommentary[[#This Row],[Date]]))</f>
        <v/>
      </c>
      <c r="F394" s="63">
        <f>IF(tblCommentary[[#This Row],[Date]]="","",tblCommentary[[#This Row],[Date]]&amp;"|"&amp;tblCommentary[[#This Row],[Seq_Day]])</f>
        <v/>
      </c>
    </row>
    <row r="395">
      <c r="A395" s="54" t="n"/>
      <c r="B395" s="61" t="n"/>
      <c r="C395" s="58" t="n"/>
      <c r="D395" s="58" t="n"/>
      <c r="E395" s="64">
        <f>IF(tblCommentary[[#This Row],[Date]]="","",COUNTIFS(INDEX(tblCommentary[Date],1):tblCommentary[[#This Row],[Date]],tblCommentary[[#This Row],[Date]]))</f>
        <v/>
      </c>
      <c r="F395" s="63">
        <f>IF(tblCommentary[[#This Row],[Date]]="","",tblCommentary[[#This Row],[Date]]&amp;"|"&amp;tblCommentary[[#This Row],[Seq_Day]])</f>
        <v/>
      </c>
    </row>
    <row r="396">
      <c r="A396" s="54" t="n"/>
      <c r="B396" s="61" t="n"/>
      <c r="C396" s="58" t="n"/>
      <c r="D396" s="58" t="n"/>
      <c r="E396" s="64">
        <f>IF(tblCommentary[[#This Row],[Date]]="","",COUNTIFS(INDEX(tblCommentary[Date],1):tblCommentary[[#This Row],[Date]],tblCommentary[[#This Row],[Date]]))</f>
        <v/>
      </c>
      <c r="F396" s="63">
        <f>IF(tblCommentary[[#This Row],[Date]]="","",tblCommentary[[#This Row],[Date]]&amp;"|"&amp;tblCommentary[[#This Row],[Seq_Day]])</f>
        <v/>
      </c>
    </row>
    <row r="397">
      <c r="A397" s="54" t="n"/>
      <c r="B397" s="61" t="n"/>
      <c r="C397" s="58" t="n"/>
      <c r="D397" s="58" t="n"/>
      <c r="E397" s="64">
        <f>IF(tblCommentary[[#This Row],[Date]]="","",COUNTIFS(INDEX(tblCommentary[Date],1):tblCommentary[[#This Row],[Date]],tblCommentary[[#This Row],[Date]]))</f>
        <v/>
      </c>
      <c r="F397" s="63">
        <f>IF(tblCommentary[[#This Row],[Date]]="","",tblCommentary[[#This Row],[Date]]&amp;"|"&amp;tblCommentary[[#This Row],[Seq_Day]])</f>
        <v/>
      </c>
    </row>
    <row r="398">
      <c r="A398" s="54" t="n"/>
      <c r="B398" s="61" t="n"/>
      <c r="C398" s="58" t="n"/>
      <c r="D398" s="58" t="n"/>
      <c r="E398" s="64">
        <f>IF(tblCommentary[[#This Row],[Date]]="","",COUNTIFS(INDEX(tblCommentary[Date],1):tblCommentary[[#This Row],[Date]],tblCommentary[[#This Row],[Date]]))</f>
        <v/>
      </c>
      <c r="F398" s="63">
        <f>IF(tblCommentary[[#This Row],[Date]]="","",tblCommentary[[#This Row],[Date]]&amp;"|"&amp;tblCommentary[[#This Row],[Seq_Day]])</f>
        <v/>
      </c>
    </row>
    <row r="399">
      <c r="A399" s="54" t="n"/>
      <c r="B399" s="61" t="n"/>
      <c r="C399" s="58" t="n"/>
      <c r="D399" s="58" t="n"/>
      <c r="E399" s="64">
        <f>IF(tblCommentary[[#This Row],[Date]]="","",COUNTIFS(INDEX(tblCommentary[Date],1):tblCommentary[[#This Row],[Date]],tblCommentary[[#This Row],[Date]]))</f>
        <v/>
      </c>
      <c r="F399" s="63">
        <f>IF(tblCommentary[[#This Row],[Date]]="","",tblCommentary[[#This Row],[Date]]&amp;"|"&amp;tblCommentary[[#This Row],[Seq_Day]])</f>
        <v/>
      </c>
    </row>
    <row r="400">
      <c r="A400" s="54" t="n"/>
      <c r="B400" s="61" t="n"/>
      <c r="C400" s="58" t="n"/>
      <c r="D400" s="58" t="n"/>
      <c r="E400" s="64">
        <f>IF(tblCommentary[[#This Row],[Date]]="","",COUNTIFS(INDEX(tblCommentary[Date],1):tblCommentary[[#This Row],[Date]],tblCommentary[[#This Row],[Date]]))</f>
        <v/>
      </c>
      <c r="F400" s="63">
        <f>IF(tblCommentary[[#This Row],[Date]]="","",tblCommentary[[#This Row],[Date]]&amp;"|"&amp;tblCommentary[[#This Row],[Seq_Day]])</f>
        <v/>
      </c>
    </row>
    <row r="401">
      <c r="A401" s="54" t="n"/>
      <c r="B401" s="61" t="n"/>
      <c r="C401" s="58" t="n"/>
      <c r="D401" s="58" t="n"/>
      <c r="E401" s="64">
        <f>IF(tblCommentary[[#This Row],[Date]]="","",COUNTIFS(INDEX(tblCommentary[Date],1):tblCommentary[[#This Row],[Date]],tblCommentary[[#This Row],[Date]]))</f>
        <v/>
      </c>
      <c r="F401" s="63">
        <f>IF(tblCommentary[[#This Row],[Date]]="","",tblCommentary[[#This Row],[Date]]&amp;"|"&amp;tblCommentary[[#This Row],[Seq_Day]])</f>
        <v/>
      </c>
    </row>
    <row r="402">
      <c r="A402" s="54" t="n"/>
      <c r="B402" s="61" t="n"/>
      <c r="C402" s="58" t="n"/>
      <c r="D402" s="58" t="n"/>
      <c r="E402" s="64">
        <f>IF(tblCommentary[[#This Row],[Date]]="","",COUNTIFS(INDEX(tblCommentary[Date],1):tblCommentary[[#This Row],[Date]],tblCommentary[[#This Row],[Date]]))</f>
        <v/>
      </c>
      <c r="F402" s="63">
        <f>IF(tblCommentary[[#This Row],[Date]]="","",tblCommentary[[#This Row],[Date]]&amp;"|"&amp;tblCommentary[[#This Row],[Seq_Day]])</f>
        <v/>
      </c>
    </row>
    <row r="403">
      <c r="A403" s="54" t="n"/>
      <c r="B403" s="61" t="n"/>
      <c r="C403" s="58" t="n"/>
      <c r="D403" s="58" t="n"/>
      <c r="E403" s="64">
        <f>IF(tblCommentary[[#This Row],[Date]]="","",COUNTIFS(INDEX(tblCommentary[Date],1):tblCommentary[[#This Row],[Date]],tblCommentary[[#This Row],[Date]]))</f>
        <v/>
      </c>
      <c r="F403" s="63">
        <f>IF(tblCommentary[[#This Row],[Date]]="","",tblCommentary[[#This Row],[Date]]&amp;"|"&amp;tblCommentary[[#This Row],[Seq_Day]])</f>
        <v/>
      </c>
    </row>
    <row r="404">
      <c r="A404" s="54" t="n"/>
      <c r="B404" s="61" t="n"/>
      <c r="C404" s="58" t="n"/>
      <c r="D404" s="58" t="n"/>
      <c r="E404" s="64">
        <f>IF(tblCommentary[[#This Row],[Date]]="","",COUNTIFS(INDEX(tblCommentary[Date],1):tblCommentary[[#This Row],[Date]],tblCommentary[[#This Row],[Date]]))</f>
        <v/>
      </c>
      <c r="F404" s="63">
        <f>IF(tblCommentary[[#This Row],[Date]]="","",tblCommentary[[#This Row],[Date]]&amp;"|"&amp;tblCommentary[[#This Row],[Seq_Day]])</f>
        <v/>
      </c>
    </row>
    <row r="405">
      <c r="A405" s="54" t="n"/>
      <c r="B405" s="61" t="n"/>
      <c r="C405" s="58" t="n"/>
      <c r="D405" s="58" t="n"/>
      <c r="E405" s="64">
        <f>IF(tblCommentary[[#This Row],[Date]]="","",COUNTIFS(INDEX(tblCommentary[Date],1):tblCommentary[[#This Row],[Date]],tblCommentary[[#This Row],[Date]]))</f>
        <v/>
      </c>
      <c r="F405" s="63">
        <f>IF(tblCommentary[[#This Row],[Date]]="","",tblCommentary[[#This Row],[Date]]&amp;"|"&amp;tblCommentary[[#This Row],[Seq_Day]])</f>
        <v/>
      </c>
    </row>
    <row r="406">
      <c r="A406" s="54" t="n"/>
      <c r="B406" s="61" t="n"/>
      <c r="C406" s="58" t="n"/>
      <c r="D406" s="58" t="n"/>
      <c r="E406" s="64">
        <f>IF(tblCommentary[[#This Row],[Date]]="","",COUNTIFS(INDEX(tblCommentary[Date],1):tblCommentary[[#This Row],[Date]],tblCommentary[[#This Row],[Date]]))</f>
        <v/>
      </c>
      <c r="F406" s="63">
        <f>IF(tblCommentary[[#This Row],[Date]]="","",tblCommentary[[#This Row],[Date]]&amp;"|"&amp;tblCommentary[[#This Row],[Seq_Day]])</f>
        <v/>
      </c>
    </row>
    <row r="407">
      <c r="A407" s="54" t="n"/>
      <c r="B407" s="61" t="n"/>
      <c r="C407" s="58" t="n"/>
      <c r="D407" s="58" t="n"/>
      <c r="E407" s="64">
        <f>IF(tblCommentary[[#This Row],[Date]]="","",COUNTIFS(INDEX(tblCommentary[Date],1):tblCommentary[[#This Row],[Date]],tblCommentary[[#This Row],[Date]]))</f>
        <v/>
      </c>
      <c r="F407" s="63">
        <f>IF(tblCommentary[[#This Row],[Date]]="","",tblCommentary[[#This Row],[Date]]&amp;"|"&amp;tblCommentary[[#This Row],[Seq_Day]])</f>
        <v/>
      </c>
    </row>
    <row r="408">
      <c r="A408" s="54" t="n"/>
      <c r="B408" s="61" t="n"/>
      <c r="C408" s="58" t="n"/>
      <c r="D408" s="58" t="n"/>
      <c r="E408" s="64">
        <f>IF(tblCommentary[[#This Row],[Date]]="","",COUNTIFS(INDEX(tblCommentary[Date],1):tblCommentary[[#This Row],[Date]],tblCommentary[[#This Row],[Date]]))</f>
        <v/>
      </c>
      <c r="F408" s="63">
        <f>IF(tblCommentary[[#This Row],[Date]]="","",tblCommentary[[#This Row],[Date]]&amp;"|"&amp;tblCommentary[[#This Row],[Seq_Day]])</f>
        <v/>
      </c>
    </row>
    <row r="409">
      <c r="A409" s="54" t="n"/>
      <c r="B409" s="61" t="n"/>
      <c r="C409" s="58" t="n"/>
      <c r="D409" s="58" t="n"/>
      <c r="E409" s="64">
        <f>IF(tblCommentary[[#This Row],[Date]]="","",COUNTIFS(INDEX(tblCommentary[Date],1):tblCommentary[[#This Row],[Date]],tblCommentary[[#This Row],[Date]]))</f>
        <v/>
      </c>
      <c r="F409" s="63">
        <f>IF(tblCommentary[[#This Row],[Date]]="","",tblCommentary[[#This Row],[Date]]&amp;"|"&amp;tblCommentary[[#This Row],[Seq_Day]])</f>
        <v/>
      </c>
    </row>
    <row r="410">
      <c r="A410" s="54" t="n"/>
      <c r="B410" s="61" t="n"/>
      <c r="C410" s="58" t="n"/>
      <c r="D410" s="58" t="n"/>
      <c r="E410" s="64">
        <f>IF(tblCommentary[[#This Row],[Date]]="","",COUNTIFS(INDEX(tblCommentary[Date],1):tblCommentary[[#This Row],[Date]],tblCommentary[[#This Row],[Date]]))</f>
        <v/>
      </c>
      <c r="F410" s="63">
        <f>IF(tblCommentary[[#This Row],[Date]]="","",tblCommentary[[#This Row],[Date]]&amp;"|"&amp;tblCommentary[[#This Row],[Seq_Day]])</f>
        <v/>
      </c>
    </row>
    <row r="411">
      <c r="A411" s="54" t="n"/>
      <c r="B411" s="61" t="n"/>
      <c r="C411" s="58" t="n"/>
      <c r="D411" s="58" t="n"/>
      <c r="E411" s="64">
        <f>IF(tblCommentary[[#This Row],[Date]]="","",COUNTIFS(INDEX(tblCommentary[Date],1):tblCommentary[[#This Row],[Date]],tblCommentary[[#This Row],[Date]]))</f>
        <v/>
      </c>
      <c r="F411" s="63">
        <f>IF(tblCommentary[[#This Row],[Date]]="","",tblCommentary[[#This Row],[Date]]&amp;"|"&amp;tblCommentary[[#This Row],[Seq_Day]])</f>
        <v/>
      </c>
    </row>
    <row r="412">
      <c r="A412" s="54" t="n"/>
      <c r="B412" s="61" t="n"/>
      <c r="C412" s="58" t="n"/>
      <c r="D412" s="58" t="n"/>
      <c r="E412" s="64">
        <f>IF(tblCommentary[[#This Row],[Date]]="","",COUNTIFS(INDEX(tblCommentary[Date],1):tblCommentary[[#This Row],[Date]],tblCommentary[[#This Row],[Date]]))</f>
        <v/>
      </c>
      <c r="F412" s="63">
        <f>IF(tblCommentary[[#This Row],[Date]]="","",tblCommentary[[#This Row],[Date]]&amp;"|"&amp;tblCommentary[[#This Row],[Seq_Day]])</f>
        <v/>
      </c>
    </row>
    <row r="413">
      <c r="A413" s="54" t="n"/>
      <c r="B413" s="61" t="n"/>
      <c r="C413" s="58" t="n"/>
      <c r="D413" s="58" t="n"/>
      <c r="E413" s="64">
        <f>IF(tblCommentary[[#This Row],[Date]]="","",COUNTIFS(INDEX(tblCommentary[Date],1):tblCommentary[[#This Row],[Date]],tblCommentary[[#This Row],[Date]]))</f>
        <v/>
      </c>
      <c r="F413" s="63">
        <f>IF(tblCommentary[[#This Row],[Date]]="","",tblCommentary[[#This Row],[Date]]&amp;"|"&amp;tblCommentary[[#This Row],[Seq_Day]])</f>
        <v/>
      </c>
    </row>
    <row r="414">
      <c r="A414" s="54" t="n"/>
      <c r="B414" s="61" t="n"/>
      <c r="C414" s="58" t="n"/>
      <c r="D414" s="58" t="n"/>
      <c r="E414" s="64">
        <f>IF(tblCommentary[[#This Row],[Date]]="","",COUNTIFS(INDEX(tblCommentary[Date],1):tblCommentary[[#This Row],[Date]],tblCommentary[[#This Row],[Date]]))</f>
        <v/>
      </c>
      <c r="F414" s="63">
        <f>IF(tblCommentary[[#This Row],[Date]]="","",tblCommentary[[#This Row],[Date]]&amp;"|"&amp;tblCommentary[[#This Row],[Seq_Day]])</f>
        <v/>
      </c>
    </row>
    <row r="415">
      <c r="A415" s="54" t="n"/>
      <c r="B415" s="61" t="n"/>
      <c r="C415" s="58" t="n"/>
      <c r="D415" s="58" t="n"/>
      <c r="E415" s="64">
        <f>IF(tblCommentary[[#This Row],[Date]]="","",COUNTIFS(INDEX(tblCommentary[Date],1):tblCommentary[[#This Row],[Date]],tblCommentary[[#This Row],[Date]]))</f>
        <v/>
      </c>
      <c r="F415" s="63">
        <f>IF(tblCommentary[[#This Row],[Date]]="","",tblCommentary[[#This Row],[Date]]&amp;"|"&amp;tblCommentary[[#This Row],[Seq_Day]])</f>
        <v/>
      </c>
    </row>
    <row r="416">
      <c r="A416" s="54" t="n"/>
      <c r="B416" s="61" t="n"/>
      <c r="C416" s="58" t="n"/>
      <c r="D416" s="58" t="n"/>
      <c r="E416" s="64">
        <f>IF(tblCommentary[[#This Row],[Date]]="","",COUNTIFS(INDEX(tblCommentary[Date],1):tblCommentary[[#This Row],[Date]],tblCommentary[[#This Row],[Date]]))</f>
        <v/>
      </c>
      <c r="F416" s="63">
        <f>IF(tblCommentary[[#This Row],[Date]]="","",tblCommentary[[#This Row],[Date]]&amp;"|"&amp;tblCommentary[[#This Row],[Seq_Day]])</f>
        <v/>
      </c>
    </row>
    <row r="417">
      <c r="A417" s="54" t="n"/>
      <c r="B417" s="61" t="n"/>
      <c r="C417" s="58" t="n"/>
      <c r="D417" s="58" t="n"/>
      <c r="E417" s="64">
        <f>IF(tblCommentary[[#This Row],[Date]]="","",COUNTIFS(INDEX(tblCommentary[Date],1):tblCommentary[[#This Row],[Date]],tblCommentary[[#This Row],[Date]]))</f>
        <v/>
      </c>
      <c r="F417" s="63">
        <f>IF(tblCommentary[[#This Row],[Date]]="","",tblCommentary[[#This Row],[Date]]&amp;"|"&amp;tblCommentary[[#This Row],[Seq_Day]])</f>
        <v/>
      </c>
    </row>
    <row r="418">
      <c r="A418" s="54" t="n"/>
      <c r="B418" s="61" t="n"/>
      <c r="C418" s="58" t="n"/>
      <c r="D418" s="58" t="n"/>
      <c r="E418" s="64">
        <f>IF(tblCommentary[[#This Row],[Date]]="","",COUNTIFS(INDEX(tblCommentary[Date],1):tblCommentary[[#This Row],[Date]],tblCommentary[[#This Row],[Date]]))</f>
        <v/>
      </c>
      <c r="F418" s="63">
        <f>IF(tblCommentary[[#This Row],[Date]]="","",tblCommentary[[#This Row],[Date]]&amp;"|"&amp;tblCommentary[[#This Row],[Seq_Day]])</f>
        <v/>
      </c>
    </row>
    <row r="419">
      <c r="A419" s="54" t="n"/>
      <c r="B419" s="61" t="n"/>
      <c r="C419" s="58" t="n"/>
      <c r="D419" s="58" t="n"/>
      <c r="E419" s="64">
        <f>IF(tblCommentary[[#This Row],[Date]]="","",COUNTIFS(INDEX(tblCommentary[Date],1):tblCommentary[[#This Row],[Date]],tblCommentary[[#This Row],[Date]]))</f>
        <v/>
      </c>
      <c r="F419" s="63">
        <f>IF(tblCommentary[[#This Row],[Date]]="","",tblCommentary[[#This Row],[Date]]&amp;"|"&amp;tblCommentary[[#This Row],[Seq_Day]])</f>
        <v/>
      </c>
    </row>
    <row r="420">
      <c r="A420" s="54" t="n"/>
      <c r="B420" s="61" t="n"/>
      <c r="C420" s="58" t="n"/>
      <c r="D420" s="58" t="n"/>
      <c r="E420" s="64">
        <f>IF(tblCommentary[[#This Row],[Date]]="","",COUNTIFS(INDEX(tblCommentary[Date],1):tblCommentary[[#This Row],[Date]],tblCommentary[[#This Row],[Date]]))</f>
        <v/>
      </c>
      <c r="F420" s="63">
        <f>IF(tblCommentary[[#This Row],[Date]]="","",tblCommentary[[#This Row],[Date]]&amp;"|"&amp;tblCommentary[[#This Row],[Seq_Day]])</f>
        <v/>
      </c>
    </row>
    <row r="421">
      <c r="A421" s="54" t="n"/>
      <c r="B421" s="61" t="n"/>
      <c r="C421" s="58" t="n"/>
      <c r="D421" s="58" t="n"/>
      <c r="E421" s="64">
        <f>IF(tblCommentary[[#This Row],[Date]]="","",COUNTIFS(INDEX(tblCommentary[Date],1):tblCommentary[[#This Row],[Date]],tblCommentary[[#This Row],[Date]]))</f>
        <v/>
      </c>
      <c r="F421" s="63">
        <f>IF(tblCommentary[[#This Row],[Date]]="","",tblCommentary[[#This Row],[Date]]&amp;"|"&amp;tblCommentary[[#This Row],[Seq_Day]])</f>
        <v/>
      </c>
    </row>
    <row r="422">
      <c r="A422" s="54" t="n"/>
      <c r="B422" s="61" t="n"/>
      <c r="C422" s="58" t="n"/>
      <c r="D422" s="58" t="n"/>
      <c r="E422" s="64">
        <f>IF(tblCommentary[[#This Row],[Date]]="","",COUNTIFS(INDEX(tblCommentary[Date],1):tblCommentary[[#This Row],[Date]],tblCommentary[[#This Row],[Date]]))</f>
        <v/>
      </c>
      <c r="F422" s="63">
        <f>IF(tblCommentary[[#This Row],[Date]]="","",tblCommentary[[#This Row],[Date]]&amp;"|"&amp;tblCommentary[[#This Row],[Seq_Day]])</f>
        <v/>
      </c>
    </row>
    <row r="423">
      <c r="A423" s="54" t="n"/>
      <c r="B423" s="61" t="n"/>
      <c r="C423" s="58" t="n"/>
      <c r="D423" s="58" t="n"/>
      <c r="E423" s="64">
        <f>IF(tblCommentary[[#This Row],[Date]]="","",COUNTIFS(INDEX(tblCommentary[Date],1):tblCommentary[[#This Row],[Date]],tblCommentary[[#This Row],[Date]]))</f>
        <v/>
      </c>
      <c r="F423" s="63">
        <f>IF(tblCommentary[[#This Row],[Date]]="","",tblCommentary[[#This Row],[Date]]&amp;"|"&amp;tblCommentary[[#This Row],[Seq_Day]])</f>
        <v/>
      </c>
    </row>
    <row r="424">
      <c r="A424" s="54" t="n"/>
      <c r="B424" s="61" t="n"/>
      <c r="C424" s="58" t="n"/>
      <c r="D424" s="58" t="n"/>
      <c r="E424" s="64">
        <f>IF(tblCommentary[[#This Row],[Date]]="","",COUNTIFS(INDEX(tblCommentary[Date],1):tblCommentary[[#This Row],[Date]],tblCommentary[[#This Row],[Date]]))</f>
        <v/>
      </c>
      <c r="F424" s="63">
        <f>IF(tblCommentary[[#This Row],[Date]]="","",tblCommentary[[#This Row],[Date]]&amp;"|"&amp;tblCommentary[[#This Row],[Seq_Day]])</f>
        <v/>
      </c>
    </row>
    <row r="425">
      <c r="A425" s="54" t="n"/>
      <c r="B425" s="61" t="n"/>
      <c r="C425" s="58" t="n"/>
      <c r="D425" s="58" t="n"/>
      <c r="E425" s="64">
        <f>IF(tblCommentary[[#This Row],[Date]]="","",COUNTIFS(INDEX(tblCommentary[Date],1):tblCommentary[[#This Row],[Date]],tblCommentary[[#This Row],[Date]]))</f>
        <v/>
      </c>
      <c r="F425" s="63">
        <f>IF(tblCommentary[[#This Row],[Date]]="","",tblCommentary[[#This Row],[Date]]&amp;"|"&amp;tblCommentary[[#This Row],[Seq_Day]])</f>
        <v/>
      </c>
    </row>
    <row r="426">
      <c r="A426" s="54" t="n"/>
      <c r="B426" s="61" t="n"/>
      <c r="C426" s="58" t="n"/>
      <c r="D426" s="58" t="n"/>
      <c r="E426" s="64">
        <f>IF(tblCommentary[[#This Row],[Date]]="","",COUNTIFS(INDEX(tblCommentary[Date],1):tblCommentary[[#This Row],[Date]],tblCommentary[[#This Row],[Date]]))</f>
        <v/>
      </c>
      <c r="F426" s="63">
        <f>IF(tblCommentary[[#This Row],[Date]]="","",tblCommentary[[#This Row],[Date]]&amp;"|"&amp;tblCommentary[[#This Row],[Seq_Day]])</f>
        <v/>
      </c>
    </row>
    <row r="427">
      <c r="A427" s="54" t="n"/>
      <c r="B427" s="61" t="n"/>
      <c r="C427" s="58" t="n"/>
      <c r="D427" s="58" t="n"/>
      <c r="E427" s="64">
        <f>IF(tblCommentary[[#This Row],[Date]]="","",COUNTIFS(INDEX(tblCommentary[Date],1):tblCommentary[[#This Row],[Date]],tblCommentary[[#This Row],[Date]]))</f>
        <v/>
      </c>
      <c r="F427" s="63">
        <f>IF(tblCommentary[[#This Row],[Date]]="","",tblCommentary[[#This Row],[Date]]&amp;"|"&amp;tblCommentary[[#This Row],[Seq_Day]])</f>
        <v/>
      </c>
    </row>
    <row r="428">
      <c r="A428" s="54" t="n"/>
      <c r="B428" s="61" t="n"/>
      <c r="C428" s="58" t="n"/>
      <c r="D428" s="58" t="n"/>
      <c r="E428" s="64">
        <f>IF(tblCommentary[[#This Row],[Date]]="","",COUNTIFS(INDEX(tblCommentary[Date],1):tblCommentary[[#This Row],[Date]],tblCommentary[[#This Row],[Date]]))</f>
        <v/>
      </c>
      <c r="F428" s="63">
        <f>IF(tblCommentary[[#This Row],[Date]]="","",tblCommentary[[#This Row],[Date]]&amp;"|"&amp;tblCommentary[[#This Row],[Seq_Day]])</f>
        <v/>
      </c>
    </row>
    <row r="429">
      <c r="A429" s="54" t="n"/>
      <c r="B429" s="61" t="n"/>
      <c r="C429" s="58" t="n"/>
      <c r="D429" s="58" t="n"/>
      <c r="E429" s="64">
        <f>IF(tblCommentary[[#This Row],[Date]]="","",COUNTIFS(INDEX(tblCommentary[Date],1):tblCommentary[[#This Row],[Date]],tblCommentary[[#This Row],[Date]]))</f>
        <v/>
      </c>
      <c r="F429" s="63">
        <f>IF(tblCommentary[[#This Row],[Date]]="","",tblCommentary[[#This Row],[Date]]&amp;"|"&amp;tblCommentary[[#This Row],[Seq_Day]])</f>
        <v/>
      </c>
    </row>
    <row r="430">
      <c r="A430" s="54" t="n"/>
      <c r="B430" s="61" t="n"/>
      <c r="C430" s="58" t="n"/>
      <c r="D430" s="58" t="n"/>
      <c r="E430" s="64">
        <f>IF(tblCommentary[[#This Row],[Date]]="","",COUNTIFS(INDEX(tblCommentary[Date],1):tblCommentary[[#This Row],[Date]],tblCommentary[[#This Row],[Date]]))</f>
        <v/>
      </c>
      <c r="F430" s="63">
        <f>IF(tblCommentary[[#This Row],[Date]]="","",tblCommentary[[#This Row],[Date]]&amp;"|"&amp;tblCommentary[[#This Row],[Seq_Day]])</f>
        <v/>
      </c>
    </row>
    <row r="431">
      <c r="A431" s="54" t="n"/>
      <c r="B431" s="61" t="n"/>
      <c r="C431" s="58" t="n"/>
      <c r="D431" s="58" t="n"/>
      <c r="E431" s="64">
        <f>IF(tblCommentary[[#This Row],[Date]]="","",COUNTIFS(INDEX(tblCommentary[Date],1):tblCommentary[[#This Row],[Date]],tblCommentary[[#This Row],[Date]]))</f>
        <v/>
      </c>
      <c r="F431" s="63">
        <f>IF(tblCommentary[[#This Row],[Date]]="","",tblCommentary[[#This Row],[Date]]&amp;"|"&amp;tblCommentary[[#This Row],[Seq_Day]])</f>
        <v/>
      </c>
    </row>
    <row r="432">
      <c r="A432" s="54" t="n"/>
      <c r="B432" s="61" t="n"/>
      <c r="C432" s="58" t="n"/>
      <c r="D432" s="58" t="n"/>
      <c r="E432" s="64">
        <f>IF(tblCommentary[[#This Row],[Date]]="","",COUNTIFS(INDEX(tblCommentary[Date],1):tblCommentary[[#This Row],[Date]],tblCommentary[[#This Row],[Date]]))</f>
        <v/>
      </c>
      <c r="F432" s="63">
        <f>IF(tblCommentary[[#This Row],[Date]]="","",tblCommentary[[#This Row],[Date]]&amp;"|"&amp;tblCommentary[[#This Row],[Seq_Day]])</f>
        <v/>
      </c>
    </row>
    <row r="433">
      <c r="A433" s="54" t="n"/>
      <c r="B433" s="61" t="n"/>
      <c r="C433" s="58" t="n"/>
      <c r="D433" s="58" t="n"/>
      <c r="E433" s="64">
        <f>IF(tblCommentary[[#This Row],[Date]]="","",COUNTIFS(INDEX(tblCommentary[Date],1):tblCommentary[[#This Row],[Date]],tblCommentary[[#This Row],[Date]]))</f>
        <v/>
      </c>
      <c r="F433" s="63">
        <f>IF(tblCommentary[[#This Row],[Date]]="","",tblCommentary[[#This Row],[Date]]&amp;"|"&amp;tblCommentary[[#This Row],[Seq_Day]])</f>
        <v/>
      </c>
    </row>
    <row r="434">
      <c r="A434" s="54" t="n"/>
      <c r="B434" s="61" t="n"/>
      <c r="C434" s="58" t="n"/>
      <c r="D434" s="58" t="n"/>
      <c r="E434" s="64">
        <f>IF(tblCommentary[[#This Row],[Date]]="","",COUNTIFS(INDEX(tblCommentary[Date],1):tblCommentary[[#This Row],[Date]],tblCommentary[[#This Row],[Date]]))</f>
        <v/>
      </c>
      <c r="F434" s="63">
        <f>IF(tblCommentary[[#This Row],[Date]]="","",tblCommentary[[#This Row],[Date]]&amp;"|"&amp;tblCommentary[[#This Row],[Seq_Day]])</f>
        <v/>
      </c>
    </row>
    <row r="435">
      <c r="A435" s="54" t="n"/>
      <c r="B435" s="61" t="n"/>
      <c r="C435" s="58" t="n"/>
      <c r="D435" s="58" t="n"/>
      <c r="E435" s="64">
        <f>IF(tblCommentary[[#This Row],[Date]]="","",COUNTIFS(INDEX(tblCommentary[Date],1):tblCommentary[[#This Row],[Date]],tblCommentary[[#This Row],[Date]]))</f>
        <v/>
      </c>
      <c r="F435" s="63">
        <f>IF(tblCommentary[[#This Row],[Date]]="","",tblCommentary[[#This Row],[Date]]&amp;"|"&amp;tblCommentary[[#This Row],[Seq_Day]])</f>
        <v/>
      </c>
    </row>
    <row r="436">
      <c r="A436" s="54" t="n"/>
      <c r="B436" s="61" t="n"/>
      <c r="C436" s="58" t="n"/>
      <c r="D436" s="58" t="n"/>
      <c r="E436" s="64">
        <f>IF(tblCommentary[[#This Row],[Date]]="","",COUNTIFS(INDEX(tblCommentary[Date],1):tblCommentary[[#This Row],[Date]],tblCommentary[[#This Row],[Date]]))</f>
        <v/>
      </c>
      <c r="F436" s="63">
        <f>IF(tblCommentary[[#This Row],[Date]]="","",tblCommentary[[#This Row],[Date]]&amp;"|"&amp;tblCommentary[[#This Row],[Seq_Day]])</f>
        <v/>
      </c>
    </row>
    <row r="437">
      <c r="A437" s="54" t="n"/>
      <c r="B437" s="61" t="n"/>
      <c r="C437" s="58" t="n"/>
      <c r="D437" s="58" t="n"/>
      <c r="E437" s="64">
        <f>IF(tblCommentary[[#This Row],[Date]]="","",COUNTIFS(INDEX(tblCommentary[Date],1):tblCommentary[[#This Row],[Date]],tblCommentary[[#This Row],[Date]]))</f>
        <v/>
      </c>
      <c r="F437" s="63">
        <f>IF(tblCommentary[[#This Row],[Date]]="","",tblCommentary[[#This Row],[Date]]&amp;"|"&amp;tblCommentary[[#This Row],[Seq_Day]])</f>
        <v/>
      </c>
    </row>
    <row r="438">
      <c r="A438" s="54" t="n"/>
      <c r="B438" s="61" t="n"/>
      <c r="C438" s="58" t="n"/>
      <c r="D438" s="58" t="n"/>
      <c r="E438" s="64">
        <f>IF(tblCommentary[[#This Row],[Date]]="","",COUNTIFS(INDEX(tblCommentary[Date],1):tblCommentary[[#This Row],[Date]],tblCommentary[[#This Row],[Date]]))</f>
        <v/>
      </c>
      <c r="F438" s="63">
        <f>IF(tblCommentary[[#This Row],[Date]]="","",tblCommentary[[#This Row],[Date]]&amp;"|"&amp;tblCommentary[[#This Row],[Seq_Day]])</f>
        <v/>
      </c>
    </row>
    <row r="439">
      <c r="A439" s="54" t="n"/>
      <c r="B439" s="61" t="n"/>
      <c r="C439" s="58" t="n"/>
      <c r="D439" s="58" t="n"/>
      <c r="E439" s="64">
        <f>IF(tblCommentary[[#This Row],[Date]]="","",COUNTIFS(INDEX(tblCommentary[Date],1):tblCommentary[[#This Row],[Date]],tblCommentary[[#This Row],[Date]]))</f>
        <v/>
      </c>
      <c r="F439" s="63">
        <f>IF(tblCommentary[[#This Row],[Date]]="","",tblCommentary[[#This Row],[Date]]&amp;"|"&amp;tblCommentary[[#This Row],[Seq_Day]])</f>
        <v/>
      </c>
    </row>
    <row r="440">
      <c r="A440" s="54" t="n"/>
      <c r="B440" s="61" t="n"/>
      <c r="C440" s="58" t="n"/>
      <c r="D440" s="58" t="n"/>
      <c r="E440" s="64">
        <f>IF(tblCommentary[[#This Row],[Date]]="","",COUNTIFS(INDEX(tblCommentary[Date],1):tblCommentary[[#This Row],[Date]],tblCommentary[[#This Row],[Date]]))</f>
        <v/>
      </c>
      <c r="F440" s="63">
        <f>IF(tblCommentary[[#This Row],[Date]]="","",tblCommentary[[#This Row],[Date]]&amp;"|"&amp;tblCommentary[[#This Row],[Seq_Day]])</f>
        <v/>
      </c>
    </row>
    <row r="441">
      <c r="A441" s="54" t="n"/>
      <c r="B441" s="61" t="n"/>
      <c r="C441" s="58" t="n"/>
      <c r="D441" s="58" t="n"/>
      <c r="E441" s="64">
        <f>IF(tblCommentary[[#This Row],[Date]]="","",COUNTIFS(INDEX(tblCommentary[Date],1):tblCommentary[[#This Row],[Date]],tblCommentary[[#This Row],[Date]]))</f>
        <v/>
      </c>
      <c r="F441" s="63">
        <f>IF(tblCommentary[[#This Row],[Date]]="","",tblCommentary[[#This Row],[Date]]&amp;"|"&amp;tblCommentary[[#This Row],[Seq_Day]])</f>
        <v/>
      </c>
    </row>
    <row r="442">
      <c r="A442" s="54" t="n"/>
      <c r="B442" s="61" t="n"/>
      <c r="C442" s="58" t="n"/>
      <c r="D442" s="58" t="n"/>
      <c r="E442" s="64">
        <f>IF(tblCommentary[[#This Row],[Date]]="","",COUNTIFS(INDEX(tblCommentary[Date],1):tblCommentary[[#This Row],[Date]],tblCommentary[[#This Row],[Date]]))</f>
        <v/>
      </c>
      <c r="F442" s="63">
        <f>IF(tblCommentary[[#This Row],[Date]]="","",tblCommentary[[#This Row],[Date]]&amp;"|"&amp;tblCommentary[[#This Row],[Seq_Day]])</f>
        <v/>
      </c>
    </row>
    <row r="443">
      <c r="A443" s="54" t="n"/>
      <c r="B443" s="61" t="n"/>
      <c r="C443" s="58" t="n"/>
      <c r="D443" s="58" t="n"/>
      <c r="E443" s="64">
        <f>IF(tblCommentary[[#This Row],[Date]]="","",COUNTIFS(INDEX(tblCommentary[Date],1):tblCommentary[[#This Row],[Date]],tblCommentary[[#This Row],[Date]]))</f>
        <v/>
      </c>
      <c r="F443" s="63">
        <f>IF(tblCommentary[[#This Row],[Date]]="","",tblCommentary[[#This Row],[Date]]&amp;"|"&amp;tblCommentary[[#This Row],[Seq_Day]])</f>
        <v/>
      </c>
    </row>
    <row r="444">
      <c r="A444" s="54" t="n"/>
      <c r="B444" s="61" t="n"/>
      <c r="C444" s="58" t="n"/>
      <c r="D444" s="58" t="n"/>
      <c r="E444" s="64">
        <f>IF(tblCommentary[[#This Row],[Date]]="","",COUNTIFS(INDEX(tblCommentary[Date],1):tblCommentary[[#This Row],[Date]],tblCommentary[[#This Row],[Date]]))</f>
        <v/>
      </c>
      <c r="F444" s="63">
        <f>IF(tblCommentary[[#This Row],[Date]]="","",tblCommentary[[#This Row],[Date]]&amp;"|"&amp;tblCommentary[[#This Row],[Seq_Day]])</f>
        <v/>
      </c>
    </row>
    <row r="445">
      <c r="A445" s="54" t="n"/>
      <c r="B445" s="61" t="n"/>
      <c r="C445" s="58" t="n"/>
      <c r="D445" s="58" t="n"/>
      <c r="E445" s="64">
        <f>IF(tblCommentary[[#This Row],[Date]]="","",COUNTIFS(INDEX(tblCommentary[Date],1):tblCommentary[[#This Row],[Date]],tblCommentary[[#This Row],[Date]]))</f>
        <v/>
      </c>
      <c r="F445" s="63">
        <f>IF(tblCommentary[[#This Row],[Date]]="","",tblCommentary[[#This Row],[Date]]&amp;"|"&amp;tblCommentary[[#This Row],[Seq_Day]])</f>
        <v/>
      </c>
    </row>
    <row r="446">
      <c r="A446" s="54" t="n"/>
      <c r="B446" s="61" t="n"/>
      <c r="C446" s="58" t="n"/>
      <c r="D446" s="58" t="n"/>
      <c r="E446" s="64">
        <f>IF(tblCommentary[[#This Row],[Date]]="","",COUNTIFS(INDEX(tblCommentary[Date],1):tblCommentary[[#This Row],[Date]],tblCommentary[[#This Row],[Date]]))</f>
        <v/>
      </c>
      <c r="F446" s="63">
        <f>IF(tblCommentary[[#This Row],[Date]]="","",tblCommentary[[#This Row],[Date]]&amp;"|"&amp;tblCommentary[[#This Row],[Seq_Day]])</f>
        <v/>
      </c>
    </row>
    <row r="447">
      <c r="A447" s="54" t="n"/>
      <c r="B447" s="61" t="n"/>
      <c r="C447" s="58" t="n"/>
      <c r="D447" s="58" t="n"/>
      <c r="E447" s="64">
        <f>IF(tblCommentary[[#This Row],[Date]]="","",COUNTIFS(INDEX(tblCommentary[Date],1):tblCommentary[[#This Row],[Date]],tblCommentary[[#This Row],[Date]]))</f>
        <v/>
      </c>
      <c r="F447" s="63">
        <f>IF(tblCommentary[[#This Row],[Date]]="","",tblCommentary[[#This Row],[Date]]&amp;"|"&amp;tblCommentary[[#This Row],[Seq_Day]])</f>
        <v/>
      </c>
    </row>
    <row r="448">
      <c r="A448" s="54" t="n"/>
      <c r="B448" s="61" t="n"/>
      <c r="C448" s="58" t="n"/>
      <c r="D448" s="58" t="n"/>
      <c r="E448" s="64">
        <f>IF(tblCommentary[[#This Row],[Date]]="","",COUNTIFS(INDEX(tblCommentary[Date],1):tblCommentary[[#This Row],[Date]],tblCommentary[[#This Row],[Date]]))</f>
        <v/>
      </c>
      <c r="F448" s="63">
        <f>IF(tblCommentary[[#This Row],[Date]]="","",tblCommentary[[#This Row],[Date]]&amp;"|"&amp;tblCommentary[[#This Row],[Seq_Day]])</f>
        <v/>
      </c>
    </row>
    <row r="449">
      <c r="A449" s="54" t="n"/>
      <c r="B449" s="61" t="n"/>
      <c r="C449" s="58" t="n"/>
      <c r="D449" s="58" t="n"/>
      <c r="E449" s="64">
        <f>IF(tblCommentary[[#This Row],[Date]]="","",COUNTIFS(INDEX(tblCommentary[Date],1):tblCommentary[[#This Row],[Date]],tblCommentary[[#This Row],[Date]]))</f>
        <v/>
      </c>
      <c r="F449" s="63">
        <f>IF(tblCommentary[[#This Row],[Date]]="","",tblCommentary[[#This Row],[Date]]&amp;"|"&amp;tblCommentary[[#This Row],[Seq_Day]])</f>
        <v/>
      </c>
    </row>
    <row r="450">
      <c r="A450" s="54" t="n"/>
      <c r="B450" s="61" t="n"/>
      <c r="C450" s="58" t="n"/>
      <c r="D450" s="58" t="n"/>
      <c r="E450" s="64">
        <f>IF(tblCommentary[[#This Row],[Date]]="","",COUNTIFS(INDEX(tblCommentary[Date],1):tblCommentary[[#This Row],[Date]],tblCommentary[[#This Row],[Date]]))</f>
        <v/>
      </c>
      <c r="F450" s="63">
        <f>IF(tblCommentary[[#This Row],[Date]]="","",tblCommentary[[#This Row],[Date]]&amp;"|"&amp;tblCommentary[[#This Row],[Seq_Day]])</f>
        <v/>
      </c>
    </row>
    <row r="451">
      <c r="A451" s="54" t="n"/>
      <c r="B451" s="61" t="n"/>
      <c r="C451" s="58" t="n"/>
      <c r="D451" s="58" t="n"/>
      <c r="E451" s="64">
        <f>IF(tblCommentary[[#This Row],[Date]]="","",COUNTIFS(INDEX(tblCommentary[Date],1):tblCommentary[[#This Row],[Date]],tblCommentary[[#This Row],[Date]]))</f>
        <v/>
      </c>
      <c r="F451" s="63">
        <f>IF(tblCommentary[[#This Row],[Date]]="","",tblCommentary[[#This Row],[Date]]&amp;"|"&amp;tblCommentary[[#This Row],[Seq_Day]])</f>
        <v/>
      </c>
    </row>
    <row r="452">
      <c r="A452" s="54" t="n"/>
      <c r="B452" s="61" t="n"/>
      <c r="C452" s="58" t="n"/>
      <c r="D452" s="58" t="n"/>
      <c r="E452" s="64">
        <f>IF(tblCommentary[[#This Row],[Date]]="","",COUNTIFS(INDEX(tblCommentary[Date],1):tblCommentary[[#This Row],[Date]],tblCommentary[[#This Row],[Date]]))</f>
        <v/>
      </c>
      <c r="F452" s="63">
        <f>IF(tblCommentary[[#This Row],[Date]]="","",tblCommentary[[#This Row],[Date]]&amp;"|"&amp;tblCommentary[[#This Row],[Seq_Day]])</f>
        <v/>
      </c>
    </row>
    <row r="453">
      <c r="A453" s="54" t="n"/>
      <c r="B453" s="61" t="n"/>
      <c r="C453" s="58" t="n"/>
      <c r="D453" s="58" t="n"/>
      <c r="E453" s="64">
        <f>IF(tblCommentary[[#This Row],[Date]]="","",COUNTIFS(INDEX(tblCommentary[Date],1):tblCommentary[[#This Row],[Date]],tblCommentary[[#This Row],[Date]]))</f>
        <v/>
      </c>
      <c r="F453" s="63">
        <f>IF(tblCommentary[[#This Row],[Date]]="","",tblCommentary[[#This Row],[Date]]&amp;"|"&amp;tblCommentary[[#This Row],[Seq_Day]])</f>
        <v/>
      </c>
    </row>
    <row r="454">
      <c r="A454" s="54" t="n"/>
      <c r="B454" s="61" t="n"/>
      <c r="C454" s="58" t="n"/>
      <c r="D454" s="58" t="n"/>
      <c r="E454" s="64">
        <f>IF(tblCommentary[[#This Row],[Date]]="","",COUNTIFS(INDEX(tblCommentary[Date],1):tblCommentary[[#This Row],[Date]],tblCommentary[[#This Row],[Date]]))</f>
        <v/>
      </c>
      <c r="F454" s="63">
        <f>IF(tblCommentary[[#This Row],[Date]]="","",tblCommentary[[#This Row],[Date]]&amp;"|"&amp;tblCommentary[[#This Row],[Seq_Day]])</f>
        <v/>
      </c>
    </row>
    <row r="455">
      <c r="A455" s="54" t="n"/>
      <c r="B455" s="61" t="n"/>
      <c r="C455" s="58" t="n"/>
      <c r="D455" s="58" t="n"/>
      <c r="E455" s="64">
        <f>IF(tblCommentary[[#This Row],[Date]]="","",COUNTIFS(INDEX(tblCommentary[Date],1):tblCommentary[[#This Row],[Date]],tblCommentary[[#This Row],[Date]]))</f>
        <v/>
      </c>
      <c r="F455" s="63">
        <f>IF(tblCommentary[[#This Row],[Date]]="","",tblCommentary[[#This Row],[Date]]&amp;"|"&amp;tblCommentary[[#This Row],[Seq_Day]])</f>
        <v/>
      </c>
    </row>
    <row r="456">
      <c r="A456" s="54" t="n"/>
      <c r="B456" s="61" t="n"/>
      <c r="C456" s="58" t="n"/>
      <c r="D456" s="58" t="n"/>
      <c r="E456" s="64">
        <f>IF(tblCommentary[[#This Row],[Date]]="","",COUNTIFS(INDEX(tblCommentary[Date],1):tblCommentary[[#This Row],[Date]],tblCommentary[[#This Row],[Date]]))</f>
        <v/>
      </c>
      <c r="F456" s="63">
        <f>IF(tblCommentary[[#This Row],[Date]]="","",tblCommentary[[#This Row],[Date]]&amp;"|"&amp;tblCommentary[[#This Row],[Seq_Day]])</f>
        <v/>
      </c>
    </row>
    <row r="457">
      <c r="A457" s="54" t="n"/>
      <c r="B457" s="61" t="n"/>
      <c r="C457" s="58" t="n"/>
      <c r="D457" s="58" t="n"/>
      <c r="E457" s="64">
        <f>IF(tblCommentary[[#This Row],[Date]]="","",COUNTIFS(INDEX(tblCommentary[Date],1):tblCommentary[[#This Row],[Date]],tblCommentary[[#This Row],[Date]]))</f>
        <v/>
      </c>
      <c r="F457" s="63">
        <f>IF(tblCommentary[[#This Row],[Date]]="","",tblCommentary[[#This Row],[Date]]&amp;"|"&amp;tblCommentary[[#This Row],[Seq_Day]])</f>
        <v/>
      </c>
    </row>
    <row r="458">
      <c r="A458" s="54" t="n"/>
      <c r="B458" s="61" t="n"/>
      <c r="C458" s="58" t="n"/>
      <c r="D458" s="58" t="n"/>
      <c r="E458" s="64">
        <f>IF(tblCommentary[[#This Row],[Date]]="","",COUNTIFS(INDEX(tblCommentary[Date],1):tblCommentary[[#This Row],[Date]],tblCommentary[[#This Row],[Date]]))</f>
        <v/>
      </c>
      <c r="F458" s="63">
        <f>IF(tblCommentary[[#This Row],[Date]]="","",tblCommentary[[#This Row],[Date]]&amp;"|"&amp;tblCommentary[[#This Row],[Seq_Day]])</f>
        <v/>
      </c>
    </row>
    <row r="459">
      <c r="A459" s="54" t="n"/>
      <c r="B459" s="61" t="n"/>
      <c r="C459" s="58" t="n"/>
      <c r="D459" s="58" t="n"/>
      <c r="E459" s="64">
        <f>IF(tblCommentary[[#This Row],[Date]]="","",COUNTIFS(INDEX(tblCommentary[Date],1):tblCommentary[[#This Row],[Date]],tblCommentary[[#This Row],[Date]]))</f>
        <v/>
      </c>
      <c r="F459" s="63">
        <f>IF(tblCommentary[[#This Row],[Date]]="","",tblCommentary[[#This Row],[Date]]&amp;"|"&amp;tblCommentary[[#This Row],[Seq_Day]])</f>
        <v/>
      </c>
    </row>
    <row r="460">
      <c r="A460" s="54" t="n"/>
      <c r="B460" s="61" t="n"/>
      <c r="C460" s="58" t="n"/>
      <c r="D460" s="58" t="n"/>
      <c r="E460" s="64">
        <f>IF(tblCommentary[[#This Row],[Date]]="","",COUNTIFS(INDEX(tblCommentary[Date],1):tblCommentary[[#This Row],[Date]],tblCommentary[[#This Row],[Date]]))</f>
        <v/>
      </c>
      <c r="F460" s="63">
        <f>IF(tblCommentary[[#This Row],[Date]]="","",tblCommentary[[#This Row],[Date]]&amp;"|"&amp;tblCommentary[[#This Row],[Seq_Day]])</f>
        <v/>
      </c>
    </row>
    <row r="461">
      <c r="A461" s="54" t="n"/>
      <c r="B461" s="61" t="n"/>
      <c r="C461" s="58" t="n"/>
      <c r="D461" s="58" t="n"/>
      <c r="E461" s="64">
        <f>IF(tblCommentary[[#This Row],[Date]]="","",COUNTIFS(INDEX(tblCommentary[Date],1):tblCommentary[[#This Row],[Date]],tblCommentary[[#This Row],[Date]]))</f>
        <v/>
      </c>
      <c r="F461" s="63">
        <f>IF(tblCommentary[[#This Row],[Date]]="","",tblCommentary[[#This Row],[Date]]&amp;"|"&amp;tblCommentary[[#This Row],[Seq_Day]])</f>
        <v/>
      </c>
    </row>
    <row r="462">
      <c r="A462" s="54" t="n"/>
      <c r="B462" s="61" t="n"/>
      <c r="C462" s="58" t="n"/>
      <c r="D462" s="58" t="n"/>
      <c r="E462" s="64">
        <f>IF(tblCommentary[[#This Row],[Date]]="","",COUNTIFS(INDEX(tblCommentary[Date],1):tblCommentary[[#This Row],[Date]],tblCommentary[[#This Row],[Date]]))</f>
        <v/>
      </c>
      <c r="F462" s="63">
        <f>IF(tblCommentary[[#This Row],[Date]]="","",tblCommentary[[#This Row],[Date]]&amp;"|"&amp;tblCommentary[[#This Row],[Seq_Day]])</f>
        <v/>
      </c>
    </row>
    <row r="463">
      <c r="A463" s="54" t="n"/>
      <c r="B463" s="61" t="n"/>
      <c r="C463" s="58" t="n"/>
      <c r="D463" s="58" t="n"/>
      <c r="E463" s="64">
        <f>IF(tblCommentary[[#This Row],[Date]]="","",COUNTIFS(INDEX(tblCommentary[Date],1):tblCommentary[[#This Row],[Date]],tblCommentary[[#This Row],[Date]]))</f>
        <v/>
      </c>
      <c r="F463" s="63">
        <f>IF(tblCommentary[[#This Row],[Date]]="","",tblCommentary[[#This Row],[Date]]&amp;"|"&amp;tblCommentary[[#This Row],[Seq_Day]])</f>
        <v/>
      </c>
    </row>
    <row r="464">
      <c r="A464" s="54" t="n"/>
      <c r="B464" s="61" t="n"/>
      <c r="C464" s="58" t="n"/>
      <c r="D464" s="58" t="n"/>
      <c r="E464" s="64">
        <f>IF(tblCommentary[[#This Row],[Date]]="","",COUNTIFS(INDEX(tblCommentary[Date],1):tblCommentary[[#This Row],[Date]],tblCommentary[[#This Row],[Date]]))</f>
        <v/>
      </c>
      <c r="F464" s="63">
        <f>IF(tblCommentary[[#This Row],[Date]]="","",tblCommentary[[#This Row],[Date]]&amp;"|"&amp;tblCommentary[[#This Row],[Seq_Day]])</f>
        <v/>
      </c>
    </row>
    <row r="465">
      <c r="A465" s="54" t="n"/>
      <c r="B465" s="61" t="n"/>
      <c r="C465" s="58" t="n"/>
      <c r="D465" s="58" t="n"/>
      <c r="E465" s="64">
        <f>IF(tblCommentary[[#This Row],[Date]]="","",COUNTIFS(INDEX(tblCommentary[Date],1):tblCommentary[[#This Row],[Date]],tblCommentary[[#This Row],[Date]]))</f>
        <v/>
      </c>
      <c r="F465" s="63">
        <f>IF(tblCommentary[[#This Row],[Date]]="","",tblCommentary[[#This Row],[Date]]&amp;"|"&amp;tblCommentary[[#This Row],[Seq_Day]])</f>
        <v/>
      </c>
    </row>
    <row r="466">
      <c r="A466" s="54" t="n"/>
      <c r="B466" s="61" t="n"/>
      <c r="C466" s="58" t="n"/>
      <c r="D466" s="58" t="n"/>
      <c r="E466" s="64">
        <f>IF(tblCommentary[[#This Row],[Date]]="","",COUNTIFS(INDEX(tblCommentary[Date],1):tblCommentary[[#This Row],[Date]],tblCommentary[[#This Row],[Date]]))</f>
        <v/>
      </c>
      <c r="F466" s="63">
        <f>IF(tblCommentary[[#This Row],[Date]]="","",tblCommentary[[#This Row],[Date]]&amp;"|"&amp;tblCommentary[[#This Row],[Seq_Day]])</f>
        <v/>
      </c>
    </row>
    <row r="467">
      <c r="A467" s="54" t="n"/>
      <c r="B467" s="61" t="n"/>
      <c r="C467" s="58" t="n"/>
      <c r="D467" s="58" t="n"/>
      <c r="E467" s="64">
        <f>IF(tblCommentary[[#This Row],[Date]]="","",COUNTIFS(INDEX(tblCommentary[Date],1):tblCommentary[[#This Row],[Date]],tblCommentary[[#This Row],[Date]]))</f>
        <v/>
      </c>
      <c r="F467" s="63">
        <f>IF(tblCommentary[[#This Row],[Date]]="","",tblCommentary[[#This Row],[Date]]&amp;"|"&amp;tblCommentary[[#This Row],[Seq_Day]])</f>
        <v/>
      </c>
    </row>
    <row r="468">
      <c r="A468" s="54" t="n"/>
      <c r="B468" s="61" t="n"/>
      <c r="C468" s="58" t="n"/>
      <c r="D468" s="58" t="n"/>
      <c r="E468" s="64">
        <f>IF(tblCommentary[[#This Row],[Date]]="","",COUNTIFS(INDEX(tblCommentary[Date],1):tblCommentary[[#This Row],[Date]],tblCommentary[[#This Row],[Date]]))</f>
        <v/>
      </c>
      <c r="F468" s="63">
        <f>IF(tblCommentary[[#This Row],[Date]]="","",tblCommentary[[#This Row],[Date]]&amp;"|"&amp;tblCommentary[[#This Row],[Seq_Day]])</f>
        <v/>
      </c>
    </row>
    <row r="469">
      <c r="A469" s="54" t="n"/>
      <c r="B469" s="61" t="n"/>
      <c r="C469" s="58" t="n"/>
      <c r="D469" s="58" t="n"/>
      <c r="E469" s="64">
        <f>IF(tblCommentary[[#This Row],[Date]]="","",COUNTIFS(INDEX(tblCommentary[Date],1):tblCommentary[[#This Row],[Date]],tblCommentary[[#This Row],[Date]]))</f>
        <v/>
      </c>
      <c r="F469" s="63">
        <f>IF(tblCommentary[[#This Row],[Date]]="","",tblCommentary[[#This Row],[Date]]&amp;"|"&amp;tblCommentary[[#This Row],[Seq_Day]])</f>
        <v/>
      </c>
    </row>
    <row r="470">
      <c r="A470" s="54" t="n"/>
      <c r="B470" s="61" t="n"/>
      <c r="C470" s="58" t="n"/>
      <c r="D470" s="58" t="n"/>
      <c r="E470" s="64">
        <f>IF(tblCommentary[[#This Row],[Date]]="","",COUNTIFS(INDEX(tblCommentary[Date],1):tblCommentary[[#This Row],[Date]],tblCommentary[[#This Row],[Date]]))</f>
        <v/>
      </c>
      <c r="F470" s="63">
        <f>IF(tblCommentary[[#This Row],[Date]]="","",tblCommentary[[#This Row],[Date]]&amp;"|"&amp;tblCommentary[[#This Row],[Seq_Day]])</f>
        <v/>
      </c>
    </row>
    <row r="471">
      <c r="A471" s="54" t="n"/>
      <c r="B471" s="61" t="n"/>
      <c r="C471" s="58" t="n"/>
      <c r="D471" s="58" t="n"/>
      <c r="E471" s="64">
        <f>IF(tblCommentary[[#This Row],[Date]]="","",COUNTIFS(INDEX(tblCommentary[Date],1):tblCommentary[[#This Row],[Date]],tblCommentary[[#This Row],[Date]]))</f>
        <v/>
      </c>
      <c r="F471" s="63">
        <f>IF(tblCommentary[[#This Row],[Date]]="","",tblCommentary[[#This Row],[Date]]&amp;"|"&amp;tblCommentary[[#This Row],[Seq_Day]])</f>
        <v/>
      </c>
    </row>
    <row r="472">
      <c r="A472" s="54" t="n"/>
      <c r="B472" s="61" t="n"/>
      <c r="C472" s="58" t="n"/>
      <c r="D472" s="58" t="n"/>
      <c r="E472" s="64">
        <f>IF(tblCommentary[[#This Row],[Date]]="","",COUNTIFS(INDEX(tblCommentary[Date],1):tblCommentary[[#This Row],[Date]],tblCommentary[[#This Row],[Date]]))</f>
        <v/>
      </c>
      <c r="F472" s="63">
        <f>IF(tblCommentary[[#This Row],[Date]]="","",tblCommentary[[#This Row],[Date]]&amp;"|"&amp;tblCommentary[[#This Row],[Seq_Day]])</f>
        <v/>
      </c>
    </row>
    <row r="473">
      <c r="A473" s="54" t="n"/>
      <c r="B473" s="61" t="n"/>
      <c r="C473" s="58" t="n"/>
      <c r="D473" s="58" t="n"/>
      <c r="E473" s="64">
        <f>IF(tblCommentary[[#This Row],[Date]]="","",COUNTIFS(INDEX(tblCommentary[Date],1):tblCommentary[[#This Row],[Date]],tblCommentary[[#This Row],[Date]]))</f>
        <v/>
      </c>
      <c r="F473" s="63">
        <f>IF(tblCommentary[[#This Row],[Date]]="","",tblCommentary[[#This Row],[Date]]&amp;"|"&amp;tblCommentary[[#This Row],[Seq_Day]])</f>
        <v/>
      </c>
    </row>
    <row r="474">
      <c r="A474" s="54" t="n"/>
      <c r="B474" s="61" t="n"/>
      <c r="C474" s="58" t="n"/>
      <c r="D474" s="58" t="n"/>
      <c r="E474" s="64">
        <f>IF(tblCommentary[[#This Row],[Date]]="","",COUNTIFS(INDEX(tblCommentary[Date],1):tblCommentary[[#This Row],[Date]],tblCommentary[[#This Row],[Date]]))</f>
        <v/>
      </c>
      <c r="F474" s="63">
        <f>IF(tblCommentary[[#This Row],[Date]]="","",tblCommentary[[#This Row],[Date]]&amp;"|"&amp;tblCommentary[[#This Row],[Seq_Day]])</f>
        <v/>
      </c>
    </row>
    <row r="475">
      <c r="A475" s="54" t="n"/>
      <c r="B475" s="61" t="n"/>
      <c r="C475" s="58" t="n"/>
      <c r="D475" s="58" t="n"/>
      <c r="E475" s="64">
        <f>IF(tblCommentary[[#This Row],[Date]]="","",COUNTIFS(INDEX(tblCommentary[Date],1):tblCommentary[[#This Row],[Date]],tblCommentary[[#This Row],[Date]]))</f>
        <v/>
      </c>
      <c r="F475" s="63">
        <f>IF(tblCommentary[[#This Row],[Date]]="","",tblCommentary[[#This Row],[Date]]&amp;"|"&amp;tblCommentary[[#This Row],[Seq_Day]])</f>
        <v/>
      </c>
    </row>
    <row r="476">
      <c r="A476" s="54" t="n"/>
      <c r="B476" s="61" t="n"/>
      <c r="C476" s="58" t="n"/>
      <c r="D476" s="58" t="n"/>
      <c r="E476" s="64">
        <f>IF(tblCommentary[[#This Row],[Date]]="","",COUNTIFS(INDEX(tblCommentary[Date],1):tblCommentary[[#This Row],[Date]],tblCommentary[[#This Row],[Date]]))</f>
        <v/>
      </c>
      <c r="F476" s="63">
        <f>IF(tblCommentary[[#This Row],[Date]]="","",tblCommentary[[#This Row],[Date]]&amp;"|"&amp;tblCommentary[[#This Row],[Seq_Day]])</f>
        <v/>
      </c>
    </row>
    <row r="477">
      <c r="A477" s="54" t="n"/>
      <c r="B477" s="61" t="n"/>
      <c r="C477" s="58" t="n"/>
      <c r="D477" s="58" t="n"/>
      <c r="E477" s="64">
        <f>IF(tblCommentary[[#This Row],[Date]]="","",COUNTIFS(INDEX(tblCommentary[Date],1):tblCommentary[[#This Row],[Date]],tblCommentary[[#This Row],[Date]]))</f>
        <v/>
      </c>
      <c r="F477" s="63">
        <f>IF(tblCommentary[[#This Row],[Date]]="","",tblCommentary[[#This Row],[Date]]&amp;"|"&amp;tblCommentary[[#This Row],[Seq_Day]])</f>
        <v/>
      </c>
    </row>
    <row r="478">
      <c r="A478" s="54" t="n"/>
      <c r="B478" s="61" t="n"/>
      <c r="C478" s="58" t="n"/>
      <c r="D478" s="58" t="n"/>
      <c r="E478" s="64">
        <f>IF(tblCommentary[[#This Row],[Date]]="","",COUNTIFS(INDEX(tblCommentary[Date],1):tblCommentary[[#This Row],[Date]],tblCommentary[[#This Row],[Date]]))</f>
        <v/>
      </c>
      <c r="F478" s="63">
        <f>IF(tblCommentary[[#This Row],[Date]]="","",tblCommentary[[#This Row],[Date]]&amp;"|"&amp;tblCommentary[[#This Row],[Seq_Day]])</f>
        <v/>
      </c>
    </row>
    <row r="479">
      <c r="A479" s="54" t="n"/>
      <c r="B479" s="61" t="n"/>
      <c r="C479" s="58" t="n"/>
      <c r="D479" s="58" t="n"/>
      <c r="E479" s="64">
        <f>IF(tblCommentary[[#This Row],[Date]]="","",COUNTIFS(INDEX(tblCommentary[Date],1):tblCommentary[[#This Row],[Date]],tblCommentary[[#This Row],[Date]]))</f>
        <v/>
      </c>
      <c r="F479" s="63">
        <f>IF(tblCommentary[[#This Row],[Date]]="","",tblCommentary[[#This Row],[Date]]&amp;"|"&amp;tblCommentary[[#This Row],[Seq_Day]])</f>
        <v/>
      </c>
    </row>
    <row r="480">
      <c r="A480" s="54" t="n"/>
      <c r="B480" s="61" t="n"/>
      <c r="C480" s="58" t="n"/>
      <c r="D480" s="58" t="n"/>
      <c r="E480" s="64">
        <f>IF(tblCommentary[[#This Row],[Date]]="","",COUNTIFS(INDEX(tblCommentary[Date],1):tblCommentary[[#This Row],[Date]],tblCommentary[[#This Row],[Date]]))</f>
        <v/>
      </c>
      <c r="F480" s="63">
        <f>IF(tblCommentary[[#This Row],[Date]]="","",tblCommentary[[#This Row],[Date]]&amp;"|"&amp;tblCommentary[[#This Row],[Seq_Day]])</f>
        <v/>
      </c>
    </row>
    <row r="481">
      <c r="A481" s="54" t="n"/>
      <c r="B481" s="61" t="n"/>
      <c r="C481" s="58" t="n"/>
      <c r="D481" s="58" t="n"/>
      <c r="E481" s="64">
        <f>IF(tblCommentary[[#This Row],[Date]]="","",COUNTIFS(INDEX(tblCommentary[Date],1):tblCommentary[[#This Row],[Date]],tblCommentary[[#This Row],[Date]]))</f>
        <v/>
      </c>
      <c r="F481" s="63">
        <f>IF(tblCommentary[[#This Row],[Date]]="","",tblCommentary[[#This Row],[Date]]&amp;"|"&amp;tblCommentary[[#This Row],[Seq_Day]])</f>
        <v/>
      </c>
    </row>
    <row r="482">
      <c r="A482" s="54" t="n"/>
      <c r="B482" s="61" t="n"/>
      <c r="C482" s="58" t="n"/>
      <c r="D482" s="58" t="n"/>
      <c r="E482" s="64">
        <f>IF(tblCommentary[[#This Row],[Date]]="","",COUNTIFS(INDEX(tblCommentary[Date],1):tblCommentary[[#This Row],[Date]],tblCommentary[[#This Row],[Date]]))</f>
        <v/>
      </c>
      <c r="F482" s="63">
        <f>IF(tblCommentary[[#This Row],[Date]]="","",tblCommentary[[#This Row],[Date]]&amp;"|"&amp;tblCommentary[[#This Row],[Seq_Day]])</f>
        <v/>
      </c>
    </row>
    <row r="483">
      <c r="A483" s="54" t="n"/>
      <c r="B483" s="61" t="n"/>
      <c r="C483" s="58" t="n"/>
      <c r="D483" s="58" t="n"/>
      <c r="E483" s="64">
        <f>IF(tblCommentary[[#This Row],[Date]]="","",COUNTIFS(INDEX(tblCommentary[Date],1):tblCommentary[[#This Row],[Date]],tblCommentary[[#This Row],[Date]]))</f>
        <v/>
      </c>
      <c r="F483" s="63">
        <f>IF(tblCommentary[[#This Row],[Date]]="","",tblCommentary[[#This Row],[Date]]&amp;"|"&amp;tblCommentary[[#This Row],[Seq_Day]])</f>
        <v/>
      </c>
    </row>
    <row r="484">
      <c r="A484" s="54" t="n"/>
      <c r="B484" s="61" t="n"/>
      <c r="C484" s="58" t="n"/>
      <c r="D484" s="58" t="n"/>
      <c r="E484" s="64">
        <f>IF(tblCommentary[[#This Row],[Date]]="","",COUNTIFS(INDEX(tblCommentary[Date],1):tblCommentary[[#This Row],[Date]],tblCommentary[[#This Row],[Date]]))</f>
        <v/>
      </c>
      <c r="F484" s="63">
        <f>IF(tblCommentary[[#This Row],[Date]]="","",tblCommentary[[#This Row],[Date]]&amp;"|"&amp;tblCommentary[[#This Row],[Seq_Day]])</f>
        <v/>
      </c>
    </row>
    <row r="485">
      <c r="A485" s="54" t="n"/>
      <c r="B485" s="61" t="n"/>
      <c r="C485" s="58" t="n"/>
      <c r="D485" s="58" t="n"/>
      <c r="E485" s="64">
        <f>IF(tblCommentary[[#This Row],[Date]]="","",COUNTIFS(INDEX(tblCommentary[Date],1):tblCommentary[[#This Row],[Date]],tblCommentary[[#This Row],[Date]]))</f>
        <v/>
      </c>
      <c r="F485" s="63">
        <f>IF(tblCommentary[[#This Row],[Date]]="","",tblCommentary[[#This Row],[Date]]&amp;"|"&amp;tblCommentary[[#This Row],[Seq_Day]])</f>
        <v/>
      </c>
    </row>
    <row r="486">
      <c r="A486" s="54" t="n"/>
      <c r="B486" s="61" t="n"/>
      <c r="C486" s="58" t="n"/>
      <c r="D486" s="58" t="n"/>
      <c r="E486" s="64">
        <f>IF(tblCommentary[[#This Row],[Date]]="","",COUNTIFS(INDEX(tblCommentary[Date],1):tblCommentary[[#This Row],[Date]],tblCommentary[[#This Row],[Date]]))</f>
        <v/>
      </c>
      <c r="F486" s="63">
        <f>IF(tblCommentary[[#This Row],[Date]]="","",tblCommentary[[#This Row],[Date]]&amp;"|"&amp;tblCommentary[[#This Row],[Seq_Day]])</f>
        <v/>
      </c>
    </row>
    <row r="487">
      <c r="A487" s="54" t="n"/>
      <c r="B487" s="61" t="n"/>
      <c r="C487" s="58" t="n"/>
      <c r="D487" s="58" t="n"/>
      <c r="E487" s="64">
        <f>IF(tblCommentary[[#This Row],[Date]]="","",COUNTIFS(INDEX(tblCommentary[Date],1):tblCommentary[[#This Row],[Date]],tblCommentary[[#This Row],[Date]]))</f>
        <v/>
      </c>
      <c r="F487" s="63">
        <f>IF(tblCommentary[[#This Row],[Date]]="","",tblCommentary[[#This Row],[Date]]&amp;"|"&amp;tblCommentary[[#This Row],[Seq_Day]])</f>
        <v/>
      </c>
    </row>
    <row r="488">
      <c r="A488" s="54" t="n"/>
      <c r="B488" s="61" t="n"/>
      <c r="C488" s="58" t="n"/>
      <c r="D488" s="58" t="n"/>
      <c r="E488" s="64">
        <f>IF(tblCommentary[[#This Row],[Date]]="","",COUNTIFS(INDEX(tblCommentary[Date],1):tblCommentary[[#This Row],[Date]],tblCommentary[[#This Row],[Date]]))</f>
        <v/>
      </c>
      <c r="F488" s="63">
        <f>IF(tblCommentary[[#This Row],[Date]]="","",tblCommentary[[#This Row],[Date]]&amp;"|"&amp;tblCommentary[[#This Row],[Seq_Day]])</f>
        <v/>
      </c>
    </row>
    <row r="489">
      <c r="A489" s="54" t="n"/>
      <c r="B489" s="61" t="n"/>
      <c r="C489" s="58" t="n"/>
      <c r="D489" s="58" t="n"/>
      <c r="E489" s="64">
        <f>IF(tblCommentary[[#This Row],[Date]]="","",COUNTIFS(INDEX(tblCommentary[Date],1):tblCommentary[[#This Row],[Date]],tblCommentary[[#This Row],[Date]]))</f>
        <v/>
      </c>
      <c r="F489" s="63">
        <f>IF(tblCommentary[[#This Row],[Date]]="","",tblCommentary[[#This Row],[Date]]&amp;"|"&amp;tblCommentary[[#This Row],[Seq_Day]])</f>
        <v/>
      </c>
    </row>
    <row r="490">
      <c r="A490" s="54" t="n"/>
      <c r="B490" s="61" t="n"/>
      <c r="C490" s="58" t="n"/>
      <c r="D490" s="58" t="n"/>
      <c r="E490" s="64">
        <f>IF(tblCommentary[[#This Row],[Date]]="","",COUNTIFS(INDEX(tblCommentary[Date],1):tblCommentary[[#This Row],[Date]],tblCommentary[[#This Row],[Date]]))</f>
        <v/>
      </c>
      <c r="F490" s="63">
        <f>IF(tblCommentary[[#This Row],[Date]]="","",tblCommentary[[#This Row],[Date]]&amp;"|"&amp;tblCommentary[[#This Row],[Seq_Day]])</f>
        <v/>
      </c>
    </row>
    <row r="491">
      <c r="A491" s="54" t="n"/>
      <c r="B491" s="61" t="n"/>
      <c r="C491" s="58" t="n"/>
      <c r="D491" s="58" t="n"/>
      <c r="E491" s="64">
        <f>IF(tblCommentary[[#This Row],[Date]]="","",COUNTIFS(INDEX(tblCommentary[Date],1):tblCommentary[[#This Row],[Date]],tblCommentary[[#This Row],[Date]]))</f>
        <v/>
      </c>
      <c r="F491" s="63">
        <f>IF(tblCommentary[[#This Row],[Date]]="","",tblCommentary[[#This Row],[Date]]&amp;"|"&amp;tblCommentary[[#This Row],[Seq_Day]])</f>
        <v/>
      </c>
    </row>
    <row r="492">
      <c r="A492" s="54" t="n"/>
      <c r="B492" s="61" t="n"/>
      <c r="C492" s="58" t="n"/>
      <c r="D492" s="58" t="n"/>
      <c r="E492" s="64">
        <f>IF(tblCommentary[[#This Row],[Date]]="","",COUNTIFS(INDEX(tblCommentary[Date],1):tblCommentary[[#This Row],[Date]],tblCommentary[[#This Row],[Date]]))</f>
        <v/>
      </c>
      <c r="F492" s="63">
        <f>IF(tblCommentary[[#This Row],[Date]]="","",tblCommentary[[#This Row],[Date]]&amp;"|"&amp;tblCommentary[[#This Row],[Seq_Day]])</f>
        <v/>
      </c>
    </row>
    <row r="493">
      <c r="A493" s="54" t="n"/>
      <c r="B493" s="61" t="n"/>
      <c r="C493" s="58" t="n"/>
      <c r="D493" s="58" t="n"/>
      <c r="E493" s="64">
        <f>IF(tblCommentary[[#This Row],[Date]]="","",COUNTIFS(INDEX(tblCommentary[Date],1):tblCommentary[[#This Row],[Date]],tblCommentary[[#This Row],[Date]]))</f>
        <v/>
      </c>
      <c r="F493" s="63">
        <f>IF(tblCommentary[[#This Row],[Date]]="","",tblCommentary[[#This Row],[Date]]&amp;"|"&amp;tblCommentary[[#This Row],[Seq_Day]])</f>
        <v/>
      </c>
    </row>
    <row r="494">
      <c r="A494" s="54" t="n"/>
      <c r="B494" s="61" t="n"/>
      <c r="C494" s="58" t="n"/>
      <c r="D494" s="58" t="n"/>
      <c r="E494" s="64">
        <f>IF(tblCommentary[[#This Row],[Date]]="","",COUNTIFS(INDEX(tblCommentary[Date],1):tblCommentary[[#This Row],[Date]],tblCommentary[[#This Row],[Date]]))</f>
        <v/>
      </c>
      <c r="F494" s="63">
        <f>IF(tblCommentary[[#This Row],[Date]]="","",tblCommentary[[#This Row],[Date]]&amp;"|"&amp;tblCommentary[[#This Row],[Seq_Day]])</f>
        <v/>
      </c>
    </row>
    <row r="495">
      <c r="A495" s="54" t="n"/>
      <c r="B495" s="61" t="n"/>
      <c r="C495" s="58" t="n"/>
      <c r="D495" s="58" t="n"/>
      <c r="E495" s="64">
        <f>IF(tblCommentary[[#This Row],[Date]]="","",COUNTIFS(INDEX(tblCommentary[Date],1):tblCommentary[[#This Row],[Date]],tblCommentary[[#This Row],[Date]]))</f>
        <v/>
      </c>
      <c r="F495" s="63">
        <f>IF(tblCommentary[[#This Row],[Date]]="","",tblCommentary[[#This Row],[Date]]&amp;"|"&amp;tblCommentary[[#This Row],[Seq_Day]])</f>
        <v/>
      </c>
    </row>
    <row r="496">
      <c r="A496" s="54" t="n"/>
      <c r="B496" s="61" t="n"/>
      <c r="C496" s="58" t="n"/>
      <c r="D496" s="58" t="n"/>
      <c r="E496" s="64">
        <f>IF(tblCommentary[[#This Row],[Date]]="","",COUNTIFS(INDEX(tblCommentary[Date],1):tblCommentary[[#This Row],[Date]],tblCommentary[[#This Row],[Date]]))</f>
        <v/>
      </c>
      <c r="F496" s="63">
        <f>IF(tblCommentary[[#This Row],[Date]]="","",tblCommentary[[#This Row],[Date]]&amp;"|"&amp;tblCommentary[[#This Row],[Seq_Day]])</f>
        <v/>
      </c>
    </row>
    <row r="497">
      <c r="A497" s="54" t="n"/>
      <c r="B497" s="61" t="n"/>
      <c r="C497" s="58" t="n"/>
      <c r="D497" s="58" t="n"/>
      <c r="E497" s="64">
        <f>IF(tblCommentary[[#This Row],[Date]]="","",COUNTIFS(INDEX(tblCommentary[Date],1):tblCommentary[[#This Row],[Date]],tblCommentary[[#This Row],[Date]]))</f>
        <v/>
      </c>
      <c r="F497" s="63">
        <f>IF(tblCommentary[[#This Row],[Date]]="","",tblCommentary[[#This Row],[Date]]&amp;"|"&amp;tblCommentary[[#This Row],[Seq_Day]])</f>
        <v/>
      </c>
    </row>
    <row r="498">
      <c r="A498" s="54" t="n"/>
      <c r="B498" s="61" t="n"/>
      <c r="C498" s="58" t="n"/>
      <c r="D498" s="58" t="n"/>
      <c r="E498" s="64">
        <f>IF(tblCommentary[[#This Row],[Date]]="","",COUNTIFS(INDEX(tblCommentary[Date],1):tblCommentary[[#This Row],[Date]],tblCommentary[[#This Row],[Date]]))</f>
        <v/>
      </c>
      <c r="F498" s="63">
        <f>IF(tblCommentary[[#This Row],[Date]]="","",tblCommentary[[#This Row],[Date]]&amp;"|"&amp;tblCommentary[[#This Row],[Seq_Day]])</f>
        <v/>
      </c>
    </row>
    <row r="499">
      <c r="A499" s="54" t="n"/>
      <c r="B499" s="61" t="n"/>
      <c r="C499" s="58" t="n"/>
      <c r="D499" s="58" t="n"/>
      <c r="E499" s="64">
        <f>IF(tblCommentary[[#This Row],[Date]]="","",COUNTIFS(INDEX(tblCommentary[Date],1):tblCommentary[[#This Row],[Date]],tblCommentary[[#This Row],[Date]]))</f>
        <v/>
      </c>
      <c r="F499" s="63">
        <f>IF(tblCommentary[[#This Row],[Date]]="","",tblCommentary[[#This Row],[Date]]&amp;"|"&amp;tblCommentary[[#This Row],[Seq_Day]])</f>
        <v/>
      </c>
    </row>
    <row r="500">
      <c r="A500" s="54" t="n"/>
      <c r="B500" s="61" t="n"/>
      <c r="C500" s="58" t="n"/>
      <c r="D500" s="58" t="n"/>
      <c r="E500" s="64">
        <f>IF(tblCommentary[[#This Row],[Date]]="","",COUNTIFS(INDEX(tblCommentary[Date],1):tblCommentary[[#This Row],[Date]],tblCommentary[[#This Row],[Date]]))</f>
        <v/>
      </c>
      <c r="F500" s="63">
        <f>IF(tblCommentary[[#This Row],[Date]]="","",tblCommentary[[#This Row],[Date]]&amp;"|"&amp;tblCommentary[[#This Row],[Seq_Day]])</f>
        <v/>
      </c>
    </row>
    <row r="501">
      <c r="A501" s="54" t="n"/>
      <c r="B501" s="61" t="n"/>
      <c r="C501" s="58" t="n"/>
      <c r="D501" s="58" t="n"/>
      <c r="E501" s="64">
        <f>IF(tblCommentary[[#This Row],[Date]]="","",COUNTIFS(INDEX(tblCommentary[Date],1):tblCommentary[[#This Row],[Date]],tblCommentary[[#This Row],[Date]]))</f>
        <v/>
      </c>
      <c r="F501" s="63">
        <f>IF(tblCommentary[[#This Row],[Date]]="","",tblCommentary[[#This Row],[Date]]&amp;"|"&amp;tblCommentary[[#This Row],[Seq_Day]])</f>
        <v/>
      </c>
    </row>
    <row r="502">
      <c r="A502" s="54" t="n"/>
      <c r="B502" s="61" t="n"/>
      <c r="C502" s="58" t="n"/>
      <c r="D502" s="58" t="n"/>
      <c r="E502" s="64">
        <f>IF(tblCommentary[[#This Row],[Date]]="","",COUNTIFS(INDEX(tblCommentary[Date],1):tblCommentary[[#This Row],[Date]],tblCommentary[[#This Row],[Date]]))</f>
        <v/>
      </c>
      <c r="F502" s="63">
        <f>IF(tblCommentary[[#This Row],[Date]]="","",tblCommentary[[#This Row],[Date]]&amp;"|"&amp;tblCommentary[[#This Row],[Seq_Day]])</f>
        <v/>
      </c>
    </row>
    <row r="503">
      <c r="A503" s="54" t="n"/>
      <c r="B503" s="61" t="n"/>
      <c r="C503" s="58" t="n"/>
      <c r="D503" s="58" t="n"/>
      <c r="E503" s="64">
        <f>IF(tblCommentary[[#This Row],[Date]]="","",COUNTIFS(INDEX(tblCommentary[Date],1):tblCommentary[[#This Row],[Date]],tblCommentary[[#This Row],[Date]]))</f>
        <v/>
      </c>
      <c r="F503" s="63">
        <f>IF(tblCommentary[[#This Row],[Date]]="","",tblCommentary[[#This Row],[Date]]&amp;"|"&amp;tblCommentary[[#This Row],[Seq_Day]])</f>
        <v/>
      </c>
    </row>
    <row r="504">
      <c r="A504" s="54" t="n"/>
      <c r="B504" s="61" t="n"/>
      <c r="C504" s="58" t="n"/>
      <c r="D504" s="58" t="n"/>
      <c r="E504" s="64">
        <f>IF(tblCommentary[[#This Row],[Date]]="","",COUNTIFS(INDEX(tblCommentary[Date],1):tblCommentary[[#This Row],[Date]],tblCommentary[[#This Row],[Date]]))</f>
        <v/>
      </c>
      <c r="F504" s="63">
        <f>IF(tblCommentary[[#This Row],[Date]]="","",tblCommentary[[#This Row],[Date]]&amp;"|"&amp;tblCommentary[[#This Row],[Seq_Day]])</f>
        <v/>
      </c>
    </row>
    <row r="505">
      <c r="A505" s="54" t="n"/>
      <c r="B505" s="61" t="n"/>
      <c r="C505" s="58" t="n"/>
      <c r="D505" s="58" t="n"/>
      <c r="E505" s="64">
        <f>IF(tblCommentary[[#This Row],[Date]]="","",COUNTIFS(INDEX(tblCommentary[Date],1):tblCommentary[[#This Row],[Date]],tblCommentary[[#This Row],[Date]]))</f>
        <v/>
      </c>
      <c r="F505" s="63">
        <f>IF(tblCommentary[[#This Row],[Date]]="","",tblCommentary[[#This Row],[Date]]&amp;"|"&amp;tblCommentary[[#This Row],[Seq_Day]])</f>
        <v/>
      </c>
    </row>
    <row r="506">
      <c r="A506" s="54" t="n"/>
      <c r="B506" s="61" t="n"/>
      <c r="C506" s="58" t="n"/>
      <c r="D506" s="58" t="n"/>
      <c r="E506" s="64">
        <f>IF(tblCommentary[[#This Row],[Date]]="","",COUNTIFS(INDEX(tblCommentary[Date],1):tblCommentary[[#This Row],[Date]],tblCommentary[[#This Row],[Date]]))</f>
        <v/>
      </c>
      <c r="F506" s="63">
        <f>IF(tblCommentary[[#This Row],[Date]]="","",tblCommentary[[#This Row],[Date]]&amp;"|"&amp;tblCommentary[[#This Row],[Seq_Day]])</f>
        <v/>
      </c>
    </row>
    <row r="507">
      <c r="A507" s="54" t="n"/>
      <c r="B507" s="61" t="n"/>
      <c r="C507" s="58" t="n"/>
      <c r="D507" s="58" t="n"/>
      <c r="E507" s="64">
        <f>IF(tblCommentary[[#This Row],[Date]]="","",COUNTIFS(INDEX(tblCommentary[Date],1):tblCommentary[[#This Row],[Date]],tblCommentary[[#This Row],[Date]]))</f>
        <v/>
      </c>
      <c r="F507" s="63">
        <f>IF(tblCommentary[[#This Row],[Date]]="","",tblCommentary[[#This Row],[Date]]&amp;"|"&amp;tblCommentary[[#This Row],[Seq_Day]])</f>
        <v/>
      </c>
    </row>
    <row r="508">
      <c r="A508" s="54" t="n"/>
      <c r="B508" s="61" t="n"/>
      <c r="C508" s="58" t="n"/>
      <c r="D508" s="58" t="n"/>
      <c r="E508" s="64">
        <f>IF(tblCommentary[[#This Row],[Date]]="","",COUNTIFS(INDEX(tblCommentary[Date],1):tblCommentary[[#This Row],[Date]],tblCommentary[[#This Row],[Date]]))</f>
        <v/>
      </c>
      <c r="F508" s="63">
        <f>IF(tblCommentary[[#This Row],[Date]]="","",tblCommentary[[#This Row],[Date]]&amp;"|"&amp;tblCommentary[[#This Row],[Seq_Day]])</f>
        <v/>
      </c>
    </row>
    <row r="509">
      <c r="A509" s="54" t="n"/>
      <c r="B509" s="61" t="n"/>
      <c r="C509" s="58" t="n"/>
      <c r="D509" s="58" t="n"/>
      <c r="E509" s="64">
        <f>IF(tblCommentary[[#This Row],[Date]]="","",COUNTIFS(INDEX(tblCommentary[Date],1):tblCommentary[[#This Row],[Date]],tblCommentary[[#This Row],[Date]]))</f>
        <v/>
      </c>
      <c r="F509" s="63">
        <f>IF(tblCommentary[[#This Row],[Date]]="","",tblCommentary[[#This Row],[Date]]&amp;"|"&amp;tblCommentary[[#This Row],[Seq_Day]])</f>
        <v/>
      </c>
    </row>
    <row r="510">
      <c r="A510" s="54" t="n"/>
      <c r="B510" s="61" t="n"/>
      <c r="C510" s="58" t="n"/>
      <c r="D510" s="58" t="n"/>
      <c r="E510" s="64">
        <f>IF(tblCommentary[[#This Row],[Date]]="","",COUNTIFS(INDEX(tblCommentary[Date],1):tblCommentary[[#This Row],[Date]],tblCommentary[[#This Row],[Date]]))</f>
        <v/>
      </c>
      <c r="F510" s="63">
        <f>IF(tblCommentary[[#This Row],[Date]]="","",tblCommentary[[#This Row],[Date]]&amp;"|"&amp;tblCommentary[[#This Row],[Seq_Day]])</f>
        <v/>
      </c>
    </row>
    <row r="511">
      <c r="A511" s="54" t="n"/>
      <c r="B511" s="61" t="n"/>
      <c r="C511" s="58" t="n"/>
      <c r="D511" s="58" t="n"/>
      <c r="E511" s="64">
        <f>IF(tblCommentary[[#This Row],[Date]]="","",COUNTIFS(INDEX(tblCommentary[Date],1):tblCommentary[[#This Row],[Date]],tblCommentary[[#This Row],[Date]]))</f>
        <v/>
      </c>
      <c r="F511" s="63">
        <f>IF(tblCommentary[[#This Row],[Date]]="","",tblCommentary[[#This Row],[Date]]&amp;"|"&amp;tblCommentary[[#This Row],[Seq_Day]])</f>
        <v/>
      </c>
    </row>
    <row r="512">
      <c r="A512" s="54" t="n"/>
      <c r="B512" s="61" t="n"/>
      <c r="C512" s="58" t="n"/>
      <c r="D512" s="58" t="n"/>
      <c r="E512" s="64">
        <f>IF(tblCommentary[[#This Row],[Date]]="","",COUNTIFS(INDEX(tblCommentary[Date],1):tblCommentary[[#This Row],[Date]],tblCommentary[[#This Row],[Date]]))</f>
        <v/>
      </c>
      <c r="F512" s="63">
        <f>IF(tblCommentary[[#This Row],[Date]]="","",tblCommentary[[#This Row],[Date]]&amp;"|"&amp;tblCommentary[[#This Row],[Seq_Day]])</f>
        <v/>
      </c>
    </row>
    <row r="513">
      <c r="A513" s="54" t="n"/>
      <c r="B513" s="61" t="n"/>
      <c r="C513" s="58" t="n"/>
      <c r="D513" s="58" t="n"/>
      <c r="E513" s="64">
        <f>IF(tblCommentary[[#This Row],[Date]]="","",COUNTIFS(INDEX(tblCommentary[Date],1):tblCommentary[[#This Row],[Date]],tblCommentary[[#This Row],[Date]]))</f>
        <v/>
      </c>
      <c r="F513" s="63">
        <f>IF(tblCommentary[[#This Row],[Date]]="","",tblCommentary[[#This Row],[Date]]&amp;"|"&amp;tblCommentary[[#This Row],[Seq_Day]])</f>
        <v/>
      </c>
    </row>
    <row r="514">
      <c r="A514" s="54" t="n"/>
      <c r="B514" s="61" t="n"/>
      <c r="C514" s="58" t="n"/>
      <c r="D514" s="58" t="n"/>
      <c r="E514" s="64">
        <f>IF(tblCommentary[[#This Row],[Date]]="","",COUNTIFS(INDEX(tblCommentary[Date],1):tblCommentary[[#This Row],[Date]],tblCommentary[[#This Row],[Date]]))</f>
        <v/>
      </c>
      <c r="F514" s="63">
        <f>IF(tblCommentary[[#This Row],[Date]]="","",tblCommentary[[#This Row],[Date]]&amp;"|"&amp;tblCommentary[[#This Row],[Seq_Day]])</f>
        <v/>
      </c>
    </row>
    <row r="515">
      <c r="A515" s="54" t="n"/>
      <c r="B515" s="61" t="n"/>
      <c r="C515" s="58" t="n"/>
      <c r="D515" s="58" t="n"/>
      <c r="E515" s="64">
        <f>IF(tblCommentary[[#This Row],[Date]]="","",COUNTIFS(INDEX(tblCommentary[Date],1):tblCommentary[[#This Row],[Date]],tblCommentary[[#This Row],[Date]]))</f>
        <v/>
      </c>
      <c r="F515" s="63">
        <f>IF(tblCommentary[[#This Row],[Date]]="","",tblCommentary[[#This Row],[Date]]&amp;"|"&amp;tblCommentary[[#This Row],[Seq_Day]])</f>
        <v/>
      </c>
    </row>
    <row r="516">
      <c r="A516" s="54" t="n"/>
      <c r="B516" s="61" t="n"/>
      <c r="C516" s="58" t="n"/>
      <c r="D516" s="58" t="n"/>
      <c r="E516" s="64">
        <f>IF(tblCommentary[[#This Row],[Date]]="","",COUNTIFS(INDEX(tblCommentary[Date],1):tblCommentary[[#This Row],[Date]],tblCommentary[[#This Row],[Date]]))</f>
        <v/>
      </c>
      <c r="F516" s="63">
        <f>IF(tblCommentary[[#This Row],[Date]]="","",tblCommentary[[#This Row],[Date]]&amp;"|"&amp;tblCommentary[[#This Row],[Seq_Day]])</f>
        <v/>
      </c>
    </row>
    <row r="517">
      <c r="A517" s="54" t="n"/>
      <c r="B517" s="61" t="n"/>
      <c r="C517" s="58" t="n"/>
      <c r="D517" s="58" t="n"/>
      <c r="E517" s="64">
        <f>IF(tblCommentary[[#This Row],[Date]]="","",COUNTIFS(INDEX(tblCommentary[Date],1):tblCommentary[[#This Row],[Date]],tblCommentary[[#This Row],[Date]]))</f>
        <v/>
      </c>
      <c r="F517" s="63">
        <f>IF(tblCommentary[[#This Row],[Date]]="","",tblCommentary[[#This Row],[Date]]&amp;"|"&amp;tblCommentary[[#This Row],[Seq_Day]])</f>
        <v/>
      </c>
    </row>
    <row r="518">
      <c r="A518" s="54" t="n"/>
      <c r="B518" s="61" t="n"/>
      <c r="C518" s="58" t="n"/>
      <c r="D518" s="58" t="n"/>
      <c r="E518" s="64">
        <f>IF(tblCommentary[[#This Row],[Date]]="","",COUNTIFS(INDEX(tblCommentary[Date],1):tblCommentary[[#This Row],[Date]],tblCommentary[[#This Row],[Date]]))</f>
        <v/>
      </c>
      <c r="F518" s="63">
        <f>IF(tblCommentary[[#This Row],[Date]]="","",tblCommentary[[#This Row],[Date]]&amp;"|"&amp;tblCommentary[[#This Row],[Seq_Day]])</f>
        <v/>
      </c>
    </row>
    <row r="519">
      <c r="A519" s="54" t="n"/>
      <c r="B519" s="61" t="n"/>
      <c r="C519" s="58" t="n"/>
      <c r="D519" s="58" t="n"/>
      <c r="E519" s="64">
        <f>IF(tblCommentary[[#This Row],[Date]]="","",COUNTIFS(INDEX(tblCommentary[Date],1):tblCommentary[[#This Row],[Date]],tblCommentary[[#This Row],[Date]]))</f>
        <v/>
      </c>
      <c r="F519" s="63">
        <f>IF(tblCommentary[[#This Row],[Date]]="","",tblCommentary[[#This Row],[Date]]&amp;"|"&amp;tblCommentary[[#This Row],[Seq_Day]])</f>
        <v/>
      </c>
    </row>
    <row r="520">
      <c r="A520" s="54" t="n"/>
      <c r="B520" s="61" t="n"/>
      <c r="C520" s="58" t="n"/>
      <c r="D520" s="58" t="n"/>
      <c r="E520" s="64">
        <f>IF(tblCommentary[[#This Row],[Date]]="","",COUNTIFS(INDEX(tblCommentary[Date],1):tblCommentary[[#This Row],[Date]],tblCommentary[[#This Row],[Date]]))</f>
        <v/>
      </c>
      <c r="F520" s="63">
        <f>IF(tblCommentary[[#This Row],[Date]]="","",tblCommentary[[#This Row],[Date]]&amp;"|"&amp;tblCommentary[[#This Row],[Seq_Day]])</f>
        <v/>
      </c>
    </row>
    <row r="521">
      <c r="A521" s="54" t="n"/>
      <c r="B521" s="61" t="n"/>
      <c r="C521" s="58" t="n"/>
      <c r="D521" s="58" t="n"/>
      <c r="E521" s="64">
        <f>IF(tblCommentary[[#This Row],[Date]]="","",COUNTIFS(INDEX(tblCommentary[Date],1):tblCommentary[[#This Row],[Date]],tblCommentary[[#This Row],[Date]]))</f>
        <v/>
      </c>
      <c r="F521" s="63">
        <f>IF(tblCommentary[[#This Row],[Date]]="","",tblCommentary[[#This Row],[Date]]&amp;"|"&amp;tblCommentary[[#This Row],[Seq_Day]])</f>
        <v/>
      </c>
    </row>
    <row r="522">
      <c r="A522" s="54" t="n"/>
      <c r="B522" s="61" t="n"/>
      <c r="C522" s="58" t="n"/>
      <c r="D522" s="58" t="n"/>
      <c r="E522" s="64">
        <f>IF(tblCommentary[[#This Row],[Date]]="","",COUNTIFS(INDEX(tblCommentary[Date],1):tblCommentary[[#This Row],[Date]],tblCommentary[[#This Row],[Date]]))</f>
        <v/>
      </c>
      <c r="F522" s="63">
        <f>IF(tblCommentary[[#This Row],[Date]]="","",tblCommentary[[#This Row],[Date]]&amp;"|"&amp;tblCommentary[[#This Row],[Seq_Day]])</f>
        <v/>
      </c>
    </row>
    <row r="523">
      <c r="A523" s="54" t="n"/>
      <c r="B523" s="61" t="n"/>
      <c r="C523" s="58" t="n"/>
      <c r="D523" s="58" t="n"/>
      <c r="E523" s="64">
        <f>IF(tblCommentary[[#This Row],[Date]]="","",COUNTIFS(INDEX(tblCommentary[Date],1):tblCommentary[[#This Row],[Date]],tblCommentary[[#This Row],[Date]]))</f>
        <v/>
      </c>
      <c r="F523" s="63">
        <f>IF(tblCommentary[[#This Row],[Date]]="","",tblCommentary[[#This Row],[Date]]&amp;"|"&amp;tblCommentary[[#This Row],[Seq_Day]])</f>
        <v/>
      </c>
    </row>
    <row r="524">
      <c r="A524" s="54" t="n"/>
      <c r="B524" s="61" t="n"/>
      <c r="C524" s="58" t="n"/>
      <c r="D524" s="58" t="n"/>
      <c r="E524" s="64">
        <f>IF(tblCommentary[[#This Row],[Date]]="","",COUNTIFS(INDEX(tblCommentary[Date],1):tblCommentary[[#This Row],[Date]],tblCommentary[[#This Row],[Date]]))</f>
        <v/>
      </c>
      <c r="F524" s="63">
        <f>IF(tblCommentary[[#This Row],[Date]]="","",tblCommentary[[#This Row],[Date]]&amp;"|"&amp;tblCommentary[[#This Row],[Seq_Day]])</f>
        <v/>
      </c>
    </row>
    <row r="525">
      <c r="A525" s="54" t="n"/>
      <c r="B525" s="61" t="n"/>
      <c r="C525" s="58" t="n"/>
      <c r="D525" s="58" t="n"/>
      <c r="E525" s="64">
        <f>IF(tblCommentary[[#This Row],[Date]]="","",COUNTIFS(INDEX(tblCommentary[Date],1):tblCommentary[[#This Row],[Date]],tblCommentary[[#This Row],[Date]]))</f>
        <v/>
      </c>
      <c r="F525" s="63">
        <f>IF(tblCommentary[[#This Row],[Date]]="","",tblCommentary[[#This Row],[Date]]&amp;"|"&amp;tblCommentary[[#This Row],[Seq_Day]])</f>
        <v/>
      </c>
    </row>
    <row r="526">
      <c r="A526" s="54" t="n"/>
      <c r="B526" s="61" t="n"/>
      <c r="C526" s="58" t="n"/>
      <c r="D526" s="58" t="n"/>
      <c r="E526" s="64">
        <f>IF(tblCommentary[[#This Row],[Date]]="","",COUNTIFS(INDEX(tblCommentary[Date],1):tblCommentary[[#This Row],[Date]],tblCommentary[[#This Row],[Date]]))</f>
        <v/>
      </c>
      <c r="F526" s="63">
        <f>IF(tblCommentary[[#This Row],[Date]]="","",tblCommentary[[#This Row],[Date]]&amp;"|"&amp;tblCommentary[[#This Row],[Seq_Day]])</f>
        <v/>
      </c>
    </row>
    <row r="527">
      <c r="A527" s="54" t="n"/>
      <c r="B527" s="61" t="n"/>
      <c r="C527" s="58" t="n"/>
      <c r="D527" s="58" t="n"/>
      <c r="E527" s="64">
        <f>IF(tblCommentary[[#This Row],[Date]]="","",COUNTIFS(INDEX(tblCommentary[Date],1):tblCommentary[[#This Row],[Date]],tblCommentary[[#This Row],[Date]]))</f>
        <v/>
      </c>
      <c r="F527" s="63">
        <f>IF(tblCommentary[[#This Row],[Date]]="","",tblCommentary[[#This Row],[Date]]&amp;"|"&amp;tblCommentary[[#This Row],[Seq_Day]])</f>
        <v/>
      </c>
    </row>
    <row r="528">
      <c r="A528" s="54" t="n"/>
      <c r="B528" s="61" t="n"/>
      <c r="C528" s="58" t="n"/>
      <c r="D528" s="58" t="n"/>
      <c r="E528" s="64">
        <f>IF(tblCommentary[[#This Row],[Date]]="","",COUNTIFS(INDEX(tblCommentary[Date],1):tblCommentary[[#This Row],[Date]],tblCommentary[[#This Row],[Date]]))</f>
        <v/>
      </c>
      <c r="F528" s="63">
        <f>IF(tblCommentary[[#This Row],[Date]]="","",tblCommentary[[#This Row],[Date]]&amp;"|"&amp;tblCommentary[[#This Row],[Seq_Day]])</f>
        <v/>
      </c>
    </row>
    <row r="529">
      <c r="A529" s="54" t="n"/>
      <c r="B529" s="61" t="n"/>
      <c r="C529" s="58" t="n"/>
      <c r="D529" s="58" t="n"/>
      <c r="E529" s="64">
        <f>IF(tblCommentary[[#This Row],[Date]]="","",COUNTIFS(INDEX(tblCommentary[Date],1):tblCommentary[[#This Row],[Date]],tblCommentary[[#This Row],[Date]]))</f>
        <v/>
      </c>
      <c r="F529" s="63">
        <f>IF(tblCommentary[[#This Row],[Date]]="","",tblCommentary[[#This Row],[Date]]&amp;"|"&amp;tblCommentary[[#This Row],[Seq_Day]])</f>
        <v/>
      </c>
    </row>
    <row r="530">
      <c r="A530" s="54" t="n"/>
      <c r="B530" s="61" t="n"/>
      <c r="C530" s="58" t="n"/>
      <c r="D530" s="58" t="n"/>
      <c r="E530" s="64">
        <f>IF(tblCommentary[[#This Row],[Date]]="","",COUNTIFS(INDEX(tblCommentary[Date],1):tblCommentary[[#This Row],[Date]],tblCommentary[[#This Row],[Date]]))</f>
        <v/>
      </c>
      <c r="F530" s="63">
        <f>IF(tblCommentary[[#This Row],[Date]]="","",tblCommentary[[#This Row],[Date]]&amp;"|"&amp;tblCommentary[[#This Row],[Seq_Day]])</f>
        <v/>
      </c>
    </row>
    <row r="531">
      <c r="A531" s="54" t="n"/>
      <c r="B531" s="61" t="n"/>
      <c r="C531" s="58" t="n"/>
      <c r="D531" s="58" t="n"/>
      <c r="E531" s="64">
        <f>IF(tblCommentary[[#This Row],[Date]]="","",COUNTIFS(INDEX(tblCommentary[Date],1):tblCommentary[[#This Row],[Date]],tblCommentary[[#This Row],[Date]]))</f>
        <v/>
      </c>
      <c r="F531" s="63">
        <f>IF(tblCommentary[[#This Row],[Date]]="","",tblCommentary[[#This Row],[Date]]&amp;"|"&amp;tblCommentary[[#This Row],[Seq_Day]])</f>
        <v/>
      </c>
    </row>
    <row r="532">
      <c r="A532" s="54" t="n"/>
      <c r="B532" s="61" t="n"/>
      <c r="C532" s="58" t="n"/>
      <c r="D532" s="58" t="n"/>
      <c r="E532" s="64">
        <f>IF(tblCommentary[[#This Row],[Date]]="","",COUNTIFS(INDEX(tblCommentary[Date],1):tblCommentary[[#This Row],[Date]],tblCommentary[[#This Row],[Date]]))</f>
        <v/>
      </c>
      <c r="F532" s="63">
        <f>IF(tblCommentary[[#This Row],[Date]]="","",tblCommentary[[#This Row],[Date]]&amp;"|"&amp;tblCommentary[[#This Row],[Seq_Day]])</f>
        <v/>
      </c>
    </row>
    <row r="533">
      <c r="A533" s="54" t="n"/>
      <c r="B533" s="61" t="n"/>
      <c r="C533" s="58" t="n"/>
      <c r="D533" s="58" t="n"/>
      <c r="E533" s="64">
        <f>IF(tblCommentary[[#This Row],[Date]]="","",COUNTIFS(INDEX(tblCommentary[Date],1):tblCommentary[[#This Row],[Date]],tblCommentary[[#This Row],[Date]]))</f>
        <v/>
      </c>
      <c r="F533" s="63">
        <f>IF(tblCommentary[[#This Row],[Date]]="","",tblCommentary[[#This Row],[Date]]&amp;"|"&amp;tblCommentary[[#This Row],[Seq_Day]])</f>
        <v/>
      </c>
    </row>
    <row r="534">
      <c r="A534" s="54" t="n"/>
      <c r="B534" s="61" t="n"/>
      <c r="C534" s="58" t="n"/>
      <c r="D534" s="58" t="n"/>
      <c r="E534" s="64">
        <f>IF(tblCommentary[[#This Row],[Date]]="","",COUNTIFS(INDEX(tblCommentary[Date],1):tblCommentary[[#This Row],[Date]],tblCommentary[[#This Row],[Date]]))</f>
        <v/>
      </c>
      <c r="F534" s="63">
        <f>IF(tblCommentary[[#This Row],[Date]]="","",tblCommentary[[#This Row],[Date]]&amp;"|"&amp;tblCommentary[[#This Row],[Seq_Day]])</f>
        <v/>
      </c>
    </row>
    <row r="535">
      <c r="A535" s="54" t="n"/>
      <c r="B535" s="61" t="n"/>
      <c r="C535" s="58" t="n"/>
      <c r="D535" s="58" t="n"/>
      <c r="E535" s="64">
        <f>IF(tblCommentary[[#This Row],[Date]]="","",COUNTIFS(INDEX(tblCommentary[Date],1):tblCommentary[[#This Row],[Date]],tblCommentary[[#This Row],[Date]]))</f>
        <v/>
      </c>
      <c r="F535" s="63">
        <f>IF(tblCommentary[[#This Row],[Date]]="","",tblCommentary[[#This Row],[Date]]&amp;"|"&amp;tblCommentary[[#This Row],[Seq_Day]])</f>
        <v/>
      </c>
    </row>
    <row r="536">
      <c r="A536" s="54" t="n"/>
      <c r="B536" s="61" t="n"/>
      <c r="C536" s="58" t="n"/>
      <c r="D536" s="58" t="n"/>
      <c r="E536" s="64">
        <f>IF(tblCommentary[[#This Row],[Date]]="","",COUNTIFS(INDEX(tblCommentary[Date],1):tblCommentary[[#This Row],[Date]],tblCommentary[[#This Row],[Date]]))</f>
        <v/>
      </c>
      <c r="F536" s="63">
        <f>IF(tblCommentary[[#This Row],[Date]]="","",tblCommentary[[#This Row],[Date]]&amp;"|"&amp;tblCommentary[[#This Row],[Seq_Day]])</f>
        <v/>
      </c>
    </row>
    <row r="537">
      <c r="A537" s="54" t="n"/>
      <c r="B537" s="61" t="n"/>
      <c r="C537" s="58" t="n"/>
      <c r="D537" s="58" t="n"/>
      <c r="E537" s="64">
        <f>IF(tblCommentary[[#This Row],[Date]]="","",COUNTIFS(INDEX(tblCommentary[Date],1):tblCommentary[[#This Row],[Date]],tblCommentary[[#This Row],[Date]]))</f>
        <v/>
      </c>
      <c r="F537" s="63">
        <f>IF(tblCommentary[[#This Row],[Date]]="","",tblCommentary[[#This Row],[Date]]&amp;"|"&amp;tblCommentary[[#This Row],[Seq_Day]])</f>
        <v/>
      </c>
    </row>
    <row r="538">
      <c r="A538" s="54" t="n"/>
      <c r="B538" s="61" t="n"/>
      <c r="C538" s="58" t="n"/>
      <c r="D538" s="58" t="n"/>
      <c r="E538" s="64">
        <f>IF(tblCommentary[[#This Row],[Date]]="","",COUNTIFS(INDEX(tblCommentary[Date],1):tblCommentary[[#This Row],[Date]],tblCommentary[[#This Row],[Date]]))</f>
        <v/>
      </c>
      <c r="F538" s="63">
        <f>IF(tblCommentary[[#This Row],[Date]]="","",tblCommentary[[#This Row],[Date]]&amp;"|"&amp;tblCommentary[[#This Row],[Seq_Day]])</f>
        <v/>
      </c>
    </row>
    <row r="539">
      <c r="A539" s="54" t="n"/>
      <c r="B539" s="61" t="n"/>
      <c r="C539" s="58" t="n"/>
      <c r="D539" s="58" t="n"/>
      <c r="E539" s="64">
        <f>IF(tblCommentary[[#This Row],[Date]]="","",COUNTIFS(INDEX(tblCommentary[Date],1):tblCommentary[[#This Row],[Date]],tblCommentary[[#This Row],[Date]]))</f>
        <v/>
      </c>
      <c r="F539" s="63">
        <f>IF(tblCommentary[[#This Row],[Date]]="","",tblCommentary[[#This Row],[Date]]&amp;"|"&amp;tblCommentary[[#This Row],[Seq_Day]])</f>
        <v/>
      </c>
    </row>
    <row r="540">
      <c r="A540" s="54" t="n"/>
      <c r="B540" s="61" t="n"/>
      <c r="C540" s="58" t="n"/>
      <c r="D540" s="58" t="n"/>
      <c r="E540" s="64">
        <f>IF(tblCommentary[[#This Row],[Date]]="","",COUNTIFS(INDEX(tblCommentary[Date],1):tblCommentary[[#This Row],[Date]],tblCommentary[[#This Row],[Date]]))</f>
        <v/>
      </c>
      <c r="F540" s="63">
        <f>IF(tblCommentary[[#This Row],[Date]]="","",tblCommentary[[#This Row],[Date]]&amp;"|"&amp;tblCommentary[[#This Row],[Seq_Day]])</f>
        <v/>
      </c>
    </row>
    <row r="541">
      <c r="A541" s="54" t="n"/>
      <c r="B541" s="61" t="n"/>
      <c r="C541" s="58" t="n"/>
      <c r="D541" s="58" t="n"/>
      <c r="E541" s="64">
        <f>IF(tblCommentary[[#This Row],[Date]]="","",COUNTIFS(INDEX(tblCommentary[Date],1):tblCommentary[[#This Row],[Date]],tblCommentary[[#This Row],[Date]]))</f>
        <v/>
      </c>
      <c r="F541" s="63">
        <f>IF(tblCommentary[[#This Row],[Date]]="","",tblCommentary[[#This Row],[Date]]&amp;"|"&amp;tblCommentary[[#This Row],[Seq_Day]])</f>
        <v/>
      </c>
    </row>
    <row r="542">
      <c r="A542" s="54" t="n"/>
      <c r="B542" s="61" t="n"/>
      <c r="C542" s="58" t="n"/>
      <c r="D542" s="58" t="n"/>
      <c r="E542" s="64">
        <f>IF(tblCommentary[[#This Row],[Date]]="","",COUNTIFS(INDEX(tblCommentary[Date],1):tblCommentary[[#This Row],[Date]],tblCommentary[[#This Row],[Date]]))</f>
        <v/>
      </c>
      <c r="F542" s="63">
        <f>IF(tblCommentary[[#This Row],[Date]]="","",tblCommentary[[#This Row],[Date]]&amp;"|"&amp;tblCommentary[[#This Row],[Seq_Day]])</f>
        <v/>
      </c>
    </row>
    <row r="543">
      <c r="A543" s="54" t="n"/>
      <c r="B543" s="61" t="n"/>
      <c r="C543" s="58" t="n"/>
      <c r="D543" s="58" t="n"/>
      <c r="E543" s="64">
        <f>IF(tblCommentary[[#This Row],[Date]]="","",COUNTIFS(INDEX(tblCommentary[Date],1):tblCommentary[[#This Row],[Date]],tblCommentary[[#This Row],[Date]]))</f>
        <v/>
      </c>
      <c r="F543" s="63">
        <f>IF(tblCommentary[[#This Row],[Date]]="","",tblCommentary[[#This Row],[Date]]&amp;"|"&amp;tblCommentary[[#This Row],[Seq_Day]])</f>
        <v/>
      </c>
    </row>
    <row r="544">
      <c r="A544" s="54" t="n"/>
      <c r="B544" s="61" t="n"/>
      <c r="C544" s="58" t="n"/>
      <c r="D544" s="58" t="n"/>
      <c r="E544" s="64">
        <f>IF(tblCommentary[[#This Row],[Date]]="","",COUNTIFS(INDEX(tblCommentary[Date],1):tblCommentary[[#This Row],[Date]],tblCommentary[[#This Row],[Date]]))</f>
        <v/>
      </c>
      <c r="F544" s="63">
        <f>IF(tblCommentary[[#This Row],[Date]]="","",tblCommentary[[#This Row],[Date]]&amp;"|"&amp;tblCommentary[[#This Row],[Seq_Day]])</f>
        <v/>
      </c>
    </row>
    <row r="545">
      <c r="A545" s="54" t="n"/>
      <c r="B545" s="61" t="n"/>
      <c r="C545" s="58" t="n"/>
      <c r="D545" s="58" t="n"/>
      <c r="E545" s="64">
        <f>IF(tblCommentary[[#This Row],[Date]]="","",COUNTIFS(INDEX(tblCommentary[Date],1):tblCommentary[[#This Row],[Date]],tblCommentary[[#This Row],[Date]]))</f>
        <v/>
      </c>
      <c r="F545" s="63">
        <f>IF(tblCommentary[[#This Row],[Date]]="","",tblCommentary[[#This Row],[Date]]&amp;"|"&amp;tblCommentary[[#This Row],[Seq_Day]])</f>
        <v/>
      </c>
    </row>
    <row r="546">
      <c r="A546" s="54" t="n"/>
      <c r="B546" s="61" t="n"/>
      <c r="C546" s="58" t="n"/>
      <c r="D546" s="58" t="n"/>
      <c r="E546" s="64">
        <f>IF(tblCommentary[[#This Row],[Date]]="","",COUNTIFS(INDEX(tblCommentary[Date],1):tblCommentary[[#This Row],[Date]],tblCommentary[[#This Row],[Date]]))</f>
        <v/>
      </c>
      <c r="F546" s="63">
        <f>IF(tblCommentary[[#This Row],[Date]]="","",tblCommentary[[#This Row],[Date]]&amp;"|"&amp;tblCommentary[[#This Row],[Seq_Day]])</f>
        <v/>
      </c>
    </row>
    <row r="547">
      <c r="A547" s="54" t="n"/>
      <c r="B547" s="61" t="n"/>
      <c r="C547" s="58" t="n"/>
      <c r="D547" s="58" t="n"/>
      <c r="E547" s="64">
        <f>IF(tblCommentary[[#This Row],[Date]]="","",COUNTIFS(INDEX(tblCommentary[Date],1):tblCommentary[[#This Row],[Date]],tblCommentary[[#This Row],[Date]]))</f>
        <v/>
      </c>
      <c r="F547" s="63">
        <f>IF(tblCommentary[[#This Row],[Date]]="","",tblCommentary[[#This Row],[Date]]&amp;"|"&amp;tblCommentary[[#This Row],[Seq_Day]])</f>
        <v/>
      </c>
    </row>
    <row r="548">
      <c r="A548" s="54" t="n"/>
      <c r="B548" s="61" t="n"/>
      <c r="C548" s="58" t="n"/>
      <c r="D548" s="58" t="n"/>
      <c r="E548" s="64">
        <f>IF(tblCommentary[[#This Row],[Date]]="","",COUNTIFS(INDEX(tblCommentary[Date],1):tblCommentary[[#This Row],[Date]],tblCommentary[[#This Row],[Date]]))</f>
        <v/>
      </c>
      <c r="F548" s="63">
        <f>IF(tblCommentary[[#This Row],[Date]]="","",tblCommentary[[#This Row],[Date]]&amp;"|"&amp;tblCommentary[[#This Row],[Seq_Day]])</f>
        <v/>
      </c>
    </row>
    <row r="549">
      <c r="A549" s="54" t="n"/>
      <c r="B549" s="61" t="n"/>
      <c r="C549" s="58" t="n"/>
      <c r="D549" s="58" t="n"/>
      <c r="E549" s="64">
        <f>IF(tblCommentary[[#This Row],[Date]]="","",COUNTIFS(INDEX(tblCommentary[Date],1):tblCommentary[[#This Row],[Date]],tblCommentary[[#This Row],[Date]]))</f>
        <v/>
      </c>
      <c r="F549" s="63">
        <f>IF(tblCommentary[[#This Row],[Date]]="","",tblCommentary[[#This Row],[Date]]&amp;"|"&amp;tblCommentary[[#This Row],[Seq_Day]])</f>
        <v/>
      </c>
    </row>
    <row r="550">
      <c r="A550" s="54" t="n"/>
      <c r="B550" s="61" t="n"/>
      <c r="C550" s="58" t="n"/>
      <c r="D550" s="58" t="n"/>
      <c r="E550" s="64">
        <f>IF(tblCommentary[[#This Row],[Date]]="","",COUNTIFS(INDEX(tblCommentary[Date],1):tblCommentary[[#This Row],[Date]],tblCommentary[[#This Row],[Date]]))</f>
        <v/>
      </c>
      <c r="F550" s="63">
        <f>IF(tblCommentary[[#This Row],[Date]]="","",tblCommentary[[#This Row],[Date]]&amp;"|"&amp;tblCommentary[[#This Row],[Seq_Day]])</f>
        <v/>
      </c>
    </row>
    <row r="551">
      <c r="A551" s="54" t="n"/>
      <c r="B551" s="61" t="n"/>
      <c r="C551" s="58" t="n"/>
      <c r="D551" s="58" t="n"/>
      <c r="E551" s="64">
        <f>IF(tblCommentary[[#This Row],[Date]]="","",COUNTIFS(INDEX(tblCommentary[Date],1):tblCommentary[[#This Row],[Date]],tblCommentary[[#This Row],[Date]]))</f>
        <v/>
      </c>
      <c r="F551" s="63">
        <f>IF(tblCommentary[[#This Row],[Date]]="","",tblCommentary[[#This Row],[Date]]&amp;"|"&amp;tblCommentary[[#This Row],[Seq_Day]])</f>
        <v/>
      </c>
    </row>
    <row r="552">
      <c r="A552" s="54" t="n"/>
      <c r="B552" s="61" t="n"/>
      <c r="C552" s="58" t="n"/>
      <c r="D552" s="58" t="n"/>
      <c r="E552" s="64">
        <f>IF(tblCommentary[[#This Row],[Date]]="","",COUNTIFS(INDEX(tblCommentary[Date],1):tblCommentary[[#This Row],[Date]],tblCommentary[[#This Row],[Date]]))</f>
        <v/>
      </c>
      <c r="F552" s="63">
        <f>IF(tblCommentary[[#This Row],[Date]]="","",tblCommentary[[#This Row],[Date]]&amp;"|"&amp;tblCommentary[[#This Row],[Seq_Day]])</f>
        <v/>
      </c>
    </row>
    <row r="553">
      <c r="A553" s="54" t="n"/>
      <c r="B553" s="61" t="n"/>
      <c r="C553" s="58" t="n"/>
      <c r="D553" s="58" t="n"/>
      <c r="E553" s="64">
        <f>IF(tblCommentary[[#This Row],[Date]]="","",COUNTIFS(INDEX(tblCommentary[Date],1):tblCommentary[[#This Row],[Date]],tblCommentary[[#This Row],[Date]]))</f>
        <v/>
      </c>
      <c r="F553" s="63">
        <f>IF(tblCommentary[[#This Row],[Date]]="","",tblCommentary[[#This Row],[Date]]&amp;"|"&amp;tblCommentary[[#This Row],[Seq_Day]])</f>
        <v/>
      </c>
    </row>
    <row r="554">
      <c r="A554" s="54" t="n"/>
      <c r="B554" s="61" t="n"/>
      <c r="C554" s="58" t="n"/>
      <c r="D554" s="58" t="n"/>
      <c r="E554" s="64">
        <f>IF(tblCommentary[[#This Row],[Date]]="","",COUNTIFS(INDEX(tblCommentary[Date],1):tblCommentary[[#This Row],[Date]],tblCommentary[[#This Row],[Date]]))</f>
        <v/>
      </c>
      <c r="F554" s="63">
        <f>IF(tblCommentary[[#This Row],[Date]]="","",tblCommentary[[#This Row],[Date]]&amp;"|"&amp;tblCommentary[[#This Row],[Seq_Day]])</f>
        <v/>
      </c>
    </row>
    <row r="555">
      <c r="A555" s="54" t="n"/>
      <c r="B555" s="61" t="n"/>
      <c r="C555" s="58" t="n"/>
      <c r="D555" s="58" t="n"/>
      <c r="E555" s="64">
        <f>IF(tblCommentary[[#This Row],[Date]]="","",COUNTIFS(INDEX(tblCommentary[Date],1):tblCommentary[[#This Row],[Date]],tblCommentary[[#This Row],[Date]]))</f>
        <v/>
      </c>
      <c r="F555" s="63">
        <f>IF(tblCommentary[[#This Row],[Date]]="","",tblCommentary[[#This Row],[Date]]&amp;"|"&amp;tblCommentary[[#This Row],[Seq_Day]])</f>
        <v/>
      </c>
    </row>
    <row r="556">
      <c r="A556" s="54" t="n"/>
      <c r="B556" s="61" t="n"/>
      <c r="C556" s="58" t="n"/>
      <c r="D556" s="58" t="n"/>
      <c r="E556" s="64">
        <f>IF(tblCommentary[[#This Row],[Date]]="","",COUNTIFS(INDEX(tblCommentary[Date],1):tblCommentary[[#This Row],[Date]],tblCommentary[[#This Row],[Date]]))</f>
        <v/>
      </c>
      <c r="F556" s="63">
        <f>IF(tblCommentary[[#This Row],[Date]]="","",tblCommentary[[#This Row],[Date]]&amp;"|"&amp;tblCommentary[[#This Row],[Seq_Day]])</f>
        <v/>
      </c>
    </row>
    <row r="557">
      <c r="A557" s="54" t="n"/>
      <c r="B557" s="61" t="n"/>
      <c r="C557" s="58" t="n"/>
      <c r="D557" s="58" t="n"/>
      <c r="E557" s="64">
        <f>IF(tblCommentary[[#This Row],[Date]]="","",COUNTIFS(INDEX(tblCommentary[Date],1):tblCommentary[[#This Row],[Date]],tblCommentary[[#This Row],[Date]]))</f>
        <v/>
      </c>
      <c r="F557" s="63">
        <f>IF(tblCommentary[[#This Row],[Date]]="","",tblCommentary[[#This Row],[Date]]&amp;"|"&amp;tblCommentary[[#This Row],[Seq_Day]])</f>
        <v/>
      </c>
    </row>
    <row r="558">
      <c r="A558" s="54" t="n"/>
      <c r="B558" s="61" t="n"/>
      <c r="C558" s="58" t="n"/>
      <c r="D558" s="58" t="n"/>
      <c r="E558" s="64">
        <f>IF(tblCommentary[[#This Row],[Date]]="","",COUNTIFS(INDEX(tblCommentary[Date],1):tblCommentary[[#This Row],[Date]],tblCommentary[[#This Row],[Date]]))</f>
        <v/>
      </c>
      <c r="F558" s="63">
        <f>IF(tblCommentary[[#This Row],[Date]]="","",tblCommentary[[#This Row],[Date]]&amp;"|"&amp;tblCommentary[[#This Row],[Seq_Day]])</f>
        <v/>
      </c>
    </row>
    <row r="559">
      <c r="A559" s="54" t="n"/>
      <c r="B559" s="61" t="n"/>
      <c r="C559" s="58" t="n"/>
      <c r="D559" s="58" t="n"/>
      <c r="E559" s="64">
        <f>IF(tblCommentary[[#This Row],[Date]]="","",COUNTIFS(INDEX(tblCommentary[Date],1):tblCommentary[[#This Row],[Date]],tblCommentary[[#This Row],[Date]]))</f>
        <v/>
      </c>
      <c r="F559" s="63">
        <f>IF(tblCommentary[[#This Row],[Date]]="","",tblCommentary[[#This Row],[Date]]&amp;"|"&amp;tblCommentary[[#This Row],[Seq_Day]])</f>
        <v/>
      </c>
    </row>
    <row r="560">
      <c r="A560" s="54" t="n"/>
      <c r="B560" s="61" t="n"/>
      <c r="C560" s="58" t="n"/>
      <c r="D560" s="58" t="n"/>
      <c r="E560" s="64">
        <f>IF(tblCommentary[[#This Row],[Date]]="","",COUNTIFS(INDEX(tblCommentary[Date],1):tblCommentary[[#This Row],[Date]],tblCommentary[[#This Row],[Date]]))</f>
        <v/>
      </c>
      <c r="F560" s="63">
        <f>IF(tblCommentary[[#This Row],[Date]]="","",tblCommentary[[#This Row],[Date]]&amp;"|"&amp;tblCommentary[[#This Row],[Seq_Day]])</f>
        <v/>
      </c>
    </row>
    <row r="561">
      <c r="A561" s="54" t="n"/>
      <c r="B561" s="61" t="n"/>
      <c r="C561" s="58" t="n"/>
      <c r="D561" s="58" t="n"/>
      <c r="E561" s="64">
        <f>IF(tblCommentary[[#This Row],[Date]]="","",COUNTIFS(INDEX(tblCommentary[Date],1):tblCommentary[[#This Row],[Date]],tblCommentary[[#This Row],[Date]]))</f>
        <v/>
      </c>
      <c r="F561" s="63">
        <f>IF(tblCommentary[[#This Row],[Date]]="","",tblCommentary[[#This Row],[Date]]&amp;"|"&amp;tblCommentary[[#This Row],[Seq_Day]])</f>
        <v/>
      </c>
    </row>
    <row r="562">
      <c r="A562" s="54" t="n"/>
      <c r="B562" s="61" t="n"/>
      <c r="C562" s="58" t="n"/>
      <c r="D562" s="58" t="n"/>
      <c r="E562" s="64">
        <f>IF(tblCommentary[[#This Row],[Date]]="","",COUNTIFS(INDEX(tblCommentary[Date],1):tblCommentary[[#This Row],[Date]],tblCommentary[[#This Row],[Date]]))</f>
        <v/>
      </c>
      <c r="F562" s="63">
        <f>IF(tblCommentary[[#This Row],[Date]]="","",tblCommentary[[#This Row],[Date]]&amp;"|"&amp;tblCommentary[[#This Row],[Seq_Day]])</f>
        <v/>
      </c>
    </row>
    <row r="563">
      <c r="A563" s="54" t="n"/>
      <c r="B563" s="61" t="n"/>
      <c r="C563" s="58" t="n"/>
      <c r="D563" s="58" t="n"/>
      <c r="E563" s="64">
        <f>IF(tblCommentary[[#This Row],[Date]]="","",COUNTIFS(INDEX(tblCommentary[Date],1):tblCommentary[[#This Row],[Date]],tblCommentary[[#This Row],[Date]]))</f>
        <v/>
      </c>
      <c r="F563" s="63">
        <f>IF(tblCommentary[[#This Row],[Date]]="","",tblCommentary[[#This Row],[Date]]&amp;"|"&amp;tblCommentary[[#This Row],[Seq_Day]])</f>
        <v/>
      </c>
    </row>
    <row r="564">
      <c r="A564" s="54" t="n"/>
      <c r="B564" s="61" t="n"/>
      <c r="C564" s="58" t="n"/>
      <c r="D564" s="58" t="n"/>
      <c r="E564" s="64">
        <f>IF(tblCommentary[[#This Row],[Date]]="","",COUNTIFS(INDEX(tblCommentary[Date],1):tblCommentary[[#This Row],[Date]],tblCommentary[[#This Row],[Date]]))</f>
        <v/>
      </c>
      <c r="F564" s="63">
        <f>IF(tblCommentary[[#This Row],[Date]]="","",tblCommentary[[#This Row],[Date]]&amp;"|"&amp;tblCommentary[[#This Row],[Seq_Day]])</f>
        <v/>
      </c>
    </row>
    <row r="565">
      <c r="A565" s="54" t="n"/>
      <c r="B565" s="61" t="n"/>
      <c r="C565" s="58" t="n"/>
      <c r="D565" s="58" t="n"/>
      <c r="E565" s="64">
        <f>IF(tblCommentary[[#This Row],[Date]]="","",COUNTIFS(INDEX(tblCommentary[Date],1):tblCommentary[[#This Row],[Date]],tblCommentary[[#This Row],[Date]]))</f>
        <v/>
      </c>
      <c r="F565" s="63">
        <f>IF(tblCommentary[[#This Row],[Date]]="","",tblCommentary[[#This Row],[Date]]&amp;"|"&amp;tblCommentary[[#This Row],[Seq_Day]])</f>
        <v/>
      </c>
    </row>
    <row r="566">
      <c r="A566" s="54" t="n"/>
      <c r="B566" s="61" t="n"/>
      <c r="C566" s="58" t="n"/>
      <c r="D566" s="58" t="n"/>
      <c r="E566" s="64">
        <f>IF(tblCommentary[[#This Row],[Date]]="","",COUNTIFS(INDEX(tblCommentary[Date],1):tblCommentary[[#This Row],[Date]],tblCommentary[[#This Row],[Date]]))</f>
        <v/>
      </c>
      <c r="F566" s="63">
        <f>IF(tblCommentary[[#This Row],[Date]]="","",tblCommentary[[#This Row],[Date]]&amp;"|"&amp;tblCommentary[[#This Row],[Seq_Day]])</f>
        <v/>
      </c>
    </row>
    <row r="567">
      <c r="A567" s="54" t="n"/>
      <c r="B567" s="61" t="n"/>
      <c r="C567" s="58" t="n"/>
      <c r="D567" s="58" t="n"/>
      <c r="E567" s="64">
        <f>IF(tblCommentary[[#This Row],[Date]]="","",COUNTIFS(INDEX(tblCommentary[Date],1):tblCommentary[[#This Row],[Date]],tblCommentary[[#This Row],[Date]]))</f>
        <v/>
      </c>
      <c r="F567" s="63">
        <f>IF(tblCommentary[[#This Row],[Date]]="","",tblCommentary[[#This Row],[Date]]&amp;"|"&amp;tblCommentary[[#This Row],[Seq_Day]])</f>
        <v/>
      </c>
    </row>
    <row r="568">
      <c r="A568" s="54" t="n"/>
      <c r="B568" s="61" t="n"/>
      <c r="C568" s="58" t="n"/>
      <c r="D568" s="58" t="n"/>
      <c r="E568" s="64">
        <f>IF(tblCommentary[[#This Row],[Date]]="","",COUNTIFS(INDEX(tblCommentary[Date],1):tblCommentary[[#This Row],[Date]],tblCommentary[[#This Row],[Date]]))</f>
        <v/>
      </c>
      <c r="F568" s="63">
        <f>IF(tblCommentary[[#This Row],[Date]]="","",tblCommentary[[#This Row],[Date]]&amp;"|"&amp;tblCommentary[[#This Row],[Seq_Day]])</f>
        <v/>
      </c>
    </row>
    <row r="569">
      <c r="A569" s="54" t="n"/>
      <c r="B569" s="61" t="n"/>
      <c r="C569" s="58" t="n"/>
      <c r="D569" s="58" t="n"/>
      <c r="E569" s="64">
        <f>IF(tblCommentary[[#This Row],[Date]]="","",COUNTIFS(INDEX(tblCommentary[Date],1):tblCommentary[[#This Row],[Date]],tblCommentary[[#This Row],[Date]]))</f>
        <v/>
      </c>
      <c r="F569" s="63">
        <f>IF(tblCommentary[[#This Row],[Date]]="","",tblCommentary[[#This Row],[Date]]&amp;"|"&amp;tblCommentary[[#This Row],[Seq_Day]])</f>
        <v/>
      </c>
    </row>
    <row r="570">
      <c r="A570" s="54" t="n"/>
      <c r="B570" s="61" t="n"/>
      <c r="C570" s="58" t="n"/>
      <c r="D570" s="58" t="n"/>
      <c r="E570" s="64">
        <f>IF(tblCommentary[[#This Row],[Date]]="","",COUNTIFS(INDEX(tblCommentary[Date],1):tblCommentary[[#This Row],[Date]],tblCommentary[[#This Row],[Date]]))</f>
        <v/>
      </c>
      <c r="F570" s="63">
        <f>IF(tblCommentary[[#This Row],[Date]]="","",tblCommentary[[#This Row],[Date]]&amp;"|"&amp;tblCommentary[[#This Row],[Seq_Day]])</f>
        <v/>
      </c>
    </row>
    <row r="571">
      <c r="A571" s="54" t="n"/>
      <c r="B571" s="61" t="n"/>
      <c r="C571" s="58" t="n"/>
      <c r="D571" s="58" t="n"/>
      <c r="E571" s="64">
        <f>IF(tblCommentary[[#This Row],[Date]]="","",COUNTIFS(INDEX(tblCommentary[Date],1):tblCommentary[[#This Row],[Date]],tblCommentary[[#This Row],[Date]]))</f>
        <v/>
      </c>
      <c r="F571" s="63">
        <f>IF(tblCommentary[[#This Row],[Date]]="","",tblCommentary[[#This Row],[Date]]&amp;"|"&amp;tblCommentary[[#This Row],[Seq_Day]])</f>
        <v/>
      </c>
    </row>
    <row r="572">
      <c r="A572" s="54" t="n"/>
      <c r="B572" s="61" t="n"/>
      <c r="C572" s="58" t="n"/>
      <c r="D572" s="58" t="n"/>
      <c r="E572" s="64">
        <f>IF(tblCommentary[[#This Row],[Date]]="","",COUNTIFS(INDEX(tblCommentary[Date],1):tblCommentary[[#This Row],[Date]],tblCommentary[[#This Row],[Date]]))</f>
        <v/>
      </c>
      <c r="F572" s="63">
        <f>IF(tblCommentary[[#This Row],[Date]]="","",tblCommentary[[#This Row],[Date]]&amp;"|"&amp;tblCommentary[[#This Row],[Seq_Day]])</f>
        <v/>
      </c>
    </row>
    <row r="573">
      <c r="A573" s="54" t="n"/>
      <c r="B573" s="61" t="n"/>
      <c r="C573" s="58" t="n"/>
      <c r="D573" s="58" t="n"/>
      <c r="E573" s="64">
        <f>IF(tblCommentary[[#This Row],[Date]]="","",COUNTIFS(INDEX(tblCommentary[Date],1):tblCommentary[[#This Row],[Date]],tblCommentary[[#This Row],[Date]]))</f>
        <v/>
      </c>
      <c r="F573" s="63">
        <f>IF(tblCommentary[[#This Row],[Date]]="","",tblCommentary[[#This Row],[Date]]&amp;"|"&amp;tblCommentary[[#This Row],[Seq_Day]])</f>
        <v/>
      </c>
    </row>
    <row r="574">
      <c r="A574" s="54" t="n"/>
      <c r="B574" s="61" t="n"/>
      <c r="C574" s="58" t="n"/>
      <c r="D574" s="58" t="n"/>
      <c r="E574" s="64">
        <f>IF(tblCommentary[[#This Row],[Date]]="","",COUNTIFS(INDEX(tblCommentary[Date],1):tblCommentary[[#This Row],[Date]],tblCommentary[[#This Row],[Date]]))</f>
        <v/>
      </c>
      <c r="F574" s="63">
        <f>IF(tblCommentary[[#This Row],[Date]]="","",tblCommentary[[#This Row],[Date]]&amp;"|"&amp;tblCommentary[[#This Row],[Seq_Day]])</f>
        <v/>
      </c>
    </row>
    <row r="575">
      <c r="A575" s="54" t="n"/>
      <c r="B575" s="61" t="n"/>
      <c r="C575" s="58" t="n"/>
      <c r="D575" s="58" t="n"/>
      <c r="E575" s="64">
        <f>IF(tblCommentary[[#This Row],[Date]]="","",COUNTIFS(INDEX(tblCommentary[Date],1):tblCommentary[[#This Row],[Date]],tblCommentary[[#This Row],[Date]]))</f>
        <v/>
      </c>
      <c r="F575" s="63">
        <f>IF(tblCommentary[[#This Row],[Date]]="","",tblCommentary[[#This Row],[Date]]&amp;"|"&amp;tblCommentary[[#This Row],[Seq_Day]])</f>
        <v/>
      </c>
    </row>
    <row r="576">
      <c r="A576" s="54" t="n"/>
      <c r="B576" s="61" t="n"/>
      <c r="C576" s="58" t="n"/>
      <c r="D576" s="58" t="n"/>
      <c r="E576" s="64">
        <f>IF(tblCommentary[[#This Row],[Date]]="","",COUNTIFS(INDEX(tblCommentary[Date],1):tblCommentary[[#This Row],[Date]],tblCommentary[[#This Row],[Date]]))</f>
        <v/>
      </c>
      <c r="F576" s="63">
        <f>IF(tblCommentary[[#This Row],[Date]]="","",tblCommentary[[#This Row],[Date]]&amp;"|"&amp;tblCommentary[[#This Row],[Seq_Day]])</f>
        <v/>
      </c>
    </row>
    <row r="577">
      <c r="A577" s="54" t="n"/>
      <c r="B577" s="61" t="n"/>
      <c r="C577" s="58" t="n"/>
      <c r="D577" s="58" t="n"/>
      <c r="E577" s="64">
        <f>IF(tblCommentary[[#This Row],[Date]]="","",COUNTIFS(INDEX(tblCommentary[Date],1):tblCommentary[[#This Row],[Date]],tblCommentary[[#This Row],[Date]]))</f>
        <v/>
      </c>
      <c r="F577" s="63">
        <f>IF(tblCommentary[[#This Row],[Date]]="","",tblCommentary[[#This Row],[Date]]&amp;"|"&amp;tblCommentary[[#This Row],[Seq_Day]])</f>
        <v/>
      </c>
    </row>
    <row r="578">
      <c r="A578" s="54" t="n"/>
      <c r="B578" s="61" t="n"/>
      <c r="C578" s="58" t="n"/>
      <c r="D578" s="58" t="n"/>
      <c r="E578" s="64">
        <f>IF(tblCommentary[[#This Row],[Date]]="","",COUNTIFS(INDEX(tblCommentary[Date],1):tblCommentary[[#This Row],[Date]],tblCommentary[[#This Row],[Date]]))</f>
        <v/>
      </c>
      <c r="F578" s="63">
        <f>IF(tblCommentary[[#This Row],[Date]]="","",tblCommentary[[#This Row],[Date]]&amp;"|"&amp;tblCommentary[[#This Row],[Seq_Day]])</f>
        <v/>
      </c>
    </row>
    <row r="579">
      <c r="A579" s="54" t="n"/>
      <c r="B579" s="61" t="n"/>
      <c r="C579" s="58" t="n"/>
      <c r="D579" s="58" t="n"/>
      <c r="E579" s="64">
        <f>IF(tblCommentary[[#This Row],[Date]]="","",COUNTIFS(INDEX(tblCommentary[Date],1):tblCommentary[[#This Row],[Date]],tblCommentary[[#This Row],[Date]]))</f>
        <v/>
      </c>
      <c r="F579" s="63">
        <f>IF(tblCommentary[[#This Row],[Date]]="","",tblCommentary[[#This Row],[Date]]&amp;"|"&amp;tblCommentary[[#This Row],[Seq_Day]])</f>
        <v/>
      </c>
    </row>
    <row r="580">
      <c r="A580" s="54" t="n"/>
      <c r="B580" s="61" t="n"/>
      <c r="C580" s="58" t="n"/>
      <c r="D580" s="58" t="n"/>
      <c r="E580" s="64">
        <f>IF(tblCommentary[[#This Row],[Date]]="","",COUNTIFS(INDEX(tblCommentary[Date],1):tblCommentary[[#This Row],[Date]],tblCommentary[[#This Row],[Date]]))</f>
        <v/>
      </c>
      <c r="F580" s="63">
        <f>IF(tblCommentary[[#This Row],[Date]]="","",tblCommentary[[#This Row],[Date]]&amp;"|"&amp;tblCommentary[[#This Row],[Seq_Day]])</f>
        <v/>
      </c>
    </row>
    <row r="581">
      <c r="A581" s="54" t="n"/>
      <c r="B581" s="61" t="n"/>
      <c r="C581" s="58" t="n"/>
      <c r="D581" s="58" t="n"/>
      <c r="E581" s="64">
        <f>IF(tblCommentary[[#This Row],[Date]]="","",COUNTIFS(INDEX(tblCommentary[Date],1):tblCommentary[[#This Row],[Date]],tblCommentary[[#This Row],[Date]]))</f>
        <v/>
      </c>
      <c r="F581" s="63">
        <f>IF(tblCommentary[[#This Row],[Date]]="","",tblCommentary[[#This Row],[Date]]&amp;"|"&amp;tblCommentary[[#This Row],[Seq_Day]])</f>
        <v/>
      </c>
    </row>
    <row r="582">
      <c r="A582" s="54" t="n"/>
      <c r="B582" s="61" t="n"/>
      <c r="C582" s="58" t="n"/>
      <c r="D582" s="58" t="n"/>
      <c r="E582" s="64">
        <f>IF(tblCommentary[[#This Row],[Date]]="","",COUNTIFS(INDEX(tblCommentary[Date],1):tblCommentary[[#This Row],[Date]],tblCommentary[[#This Row],[Date]]))</f>
        <v/>
      </c>
      <c r="F582" s="63">
        <f>IF(tblCommentary[[#This Row],[Date]]="","",tblCommentary[[#This Row],[Date]]&amp;"|"&amp;tblCommentary[[#This Row],[Seq_Day]])</f>
        <v/>
      </c>
    </row>
    <row r="583">
      <c r="A583" s="54" t="n"/>
      <c r="B583" s="61" t="n"/>
      <c r="C583" s="58" t="n"/>
      <c r="D583" s="58" t="n"/>
      <c r="E583" s="64">
        <f>IF(tblCommentary[[#This Row],[Date]]="","",COUNTIFS(INDEX(tblCommentary[Date],1):tblCommentary[[#This Row],[Date]],tblCommentary[[#This Row],[Date]]))</f>
        <v/>
      </c>
      <c r="F583" s="63">
        <f>IF(tblCommentary[[#This Row],[Date]]="","",tblCommentary[[#This Row],[Date]]&amp;"|"&amp;tblCommentary[[#This Row],[Seq_Day]])</f>
        <v/>
      </c>
    </row>
    <row r="584">
      <c r="A584" s="54" t="n"/>
      <c r="B584" s="61" t="n"/>
      <c r="C584" s="58" t="n"/>
      <c r="D584" s="58" t="n"/>
      <c r="E584" s="64">
        <f>IF(tblCommentary[[#This Row],[Date]]="","",COUNTIFS(INDEX(tblCommentary[Date],1):tblCommentary[[#This Row],[Date]],tblCommentary[[#This Row],[Date]]))</f>
        <v/>
      </c>
      <c r="F584" s="63">
        <f>IF(tblCommentary[[#This Row],[Date]]="","",tblCommentary[[#This Row],[Date]]&amp;"|"&amp;tblCommentary[[#This Row],[Seq_Day]])</f>
        <v/>
      </c>
    </row>
    <row r="585">
      <c r="A585" s="54" t="n"/>
      <c r="B585" s="61" t="n"/>
      <c r="C585" s="58" t="n"/>
      <c r="D585" s="58" t="n"/>
      <c r="E585" s="64">
        <f>IF(tblCommentary[[#This Row],[Date]]="","",COUNTIFS(INDEX(tblCommentary[Date],1):tblCommentary[[#This Row],[Date]],tblCommentary[[#This Row],[Date]]))</f>
        <v/>
      </c>
      <c r="F585" s="63">
        <f>IF(tblCommentary[[#This Row],[Date]]="","",tblCommentary[[#This Row],[Date]]&amp;"|"&amp;tblCommentary[[#This Row],[Seq_Day]])</f>
        <v/>
      </c>
    </row>
    <row r="586">
      <c r="A586" s="54" t="n"/>
      <c r="B586" s="61" t="n"/>
      <c r="C586" s="58" t="n"/>
      <c r="D586" s="58" t="n"/>
      <c r="E586" s="64">
        <f>IF(tblCommentary[[#This Row],[Date]]="","",COUNTIFS(INDEX(tblCommentary[Date],1):tblCommentary[[#This Row],[Date]],tblCommentary[[#This Row],[Date]]))</f>
        <v/>
      </c>
      <c r="F586" s="63">
        <f>IF(tblCommentary[[#This Row],[Date]]="","",tblCommentary[[#This Row],[Date]]&amp;"|"&amp;tblCommentary[[#This Row],[Seq_Day]])</f>
        <v/>
      </c>
    </row>
    <row r="587">
      <c r="A587" s="54" t="n"/>
      <c r="B587" s="61" t="n"/>
      <c r="C587" s="58" t="n"/>
      <c r="D587" s="58" t="n"/>
      <c r="E587" s="64">
        <f>IF(tblCommentary[[#This Row],[Date]]="","",COUNTIFS(INDEX(tblCommentary[Date],1):tblCommentary[[#This Row],[Date]],tblCommentary[[#This Row],[Date]]))</f>
        <v/>
      </c>
      <c r="F587" s="63">
        <f>IF(tblCommentary[[#This Row],[Date]]="","",tblCommentary[[#This Row],[Date]]&amp;"|"&amp;tblCommentary[[#This Row],[Seq_Day]])</f>
        <v/>
      </c>
    </row>
    <row r="588">
      <c r="A588" s="54" t="n"/>
      <c r="B588" s="61" t="n"/>
      <c r="C588" s="58" t="n"/>
      <c r="D588" s="58" t="n"/>
      <c r="E588" s="64">
        <f>IF(tblCommentary[[#This Row],[Date]]="","",COUNTIFS(INDEX(tblCommentary[Date],1):tblCommentary[[#This Row],[Date]],tblCommentary[[#This Row],[Date]]))</f>
        <v/>
      </c>
      <c r="F588" s="63">
        <f>IF(tblCommentary[[#This Row],[Date]]="","",tblCommentary[[#This Row],[Date]]&amp;"|"&amp;tblCommentary[[#This Row],[Seq_Day]])</f>
        <v/>
      </c>
    </row>
    <row r="589">
      <c r="A589" s="54" t="n"/>
      <c r="B589" s="61" t="n"/>
      <c r="C589" s="58" t="n"/>
      <c r="D589" s="58" t="n"/>
      <c r="E589" s="64">
        <f>IF(tblCommentary[[#This Row],[Date]]="","",COUNTIFS(INDEX(tblCommentary[Date],1):tblCommentary[[#This Row],[Date]],tblCommentary[[#This Row],[Date]]))</f>
        <v/>
      </c>
      <c r="F589" s="63">
        <f>IF(tblCommentary[[#This Row],[Date]]="","",tblCommentary[[#This Row],[Date]]&amp;"|"&amp;tblCommentary[[#This Row],[Seq_Day]])</f>
        <v/>
      </c>
    </row>
    <row r="590">
      <c r="A590" s="54" t="n"/>
      <c r="B590" s="61" t="n"/>
      <c r="C590" s="58" t="n"/>
      <c r="D590" s="58" t="n"/>
      <c r="E590" s="64">
        <f>IF(tblCommentary[[#This Row],[Date]]="","",COUNTIFS(INDEX(tblCommentary[Date],1):tblCommentary[[#This Row],[Date]],tblCommentary[[#This Row],[Date]]))</f>
        <v/>
      </c>
      <c r="F590" s="63">
        <f>IF(tblCommentary[[#This Row],[Date]]="","",tblCommentary[[#This Row],[Date]]&amp;"|"&amp;tblCommentary[[#This Row],[Seq_Day]])</f>
        <v/>
      </c>
    </row>
    <row r="591">
      <c r="A591" s="54" t="n"/>
      <c r="B591" s="61" t="n"/>
      <c r="C591" s="58" t="n"/>
      <c r="D591" s="58" t="n"/>
      <c r="E591" s="64">
        <f>IF(tblCommentary[[#This Row],[Date]]="","",COUNTIFS(INDEX(tblCommentary[Date],1):tblCommentary[[#This Row],[Date]],tblCommentary[[#This Row],[Date]]))</f>
        <v/>
      </c>
      <c r="F591" s="63">
        <f>IF(tblCommentary[[#This Row],[Date]]="","",tblCommentary[[#This Row],[Date]]&amp;"|"&amp;tblCommentary[[#This Row],[Seq_Day]])</f>
        <v/>
      </c>
    </row>
    <row r="592">
      <c r="A592" s="54" t="n"/>
      <c r="B592" s="61" t="n"/>
      <c r="C592" s="58" t="n"/>
      <c r="D592" s="58" t="n"/>
      <c r="E592" s="64">
        <f>IF(tblCommentary[[#This Row],[Date]]="","",COUNTIFS(INDEX(tblCommentary[Date],1):tblCommentary[[#This Row],[Date]],tblCommentary[[#This Row],[Date]]))</f>
        <v/>
      </c>
      <c r="F592" s="63">
        <f>IF(tblCommentary[[#This Row],[Date]]="","",tblCommentary[[#This Row],[Date]]&amp;"|"&amp;tblCommentary[[#This Row],[Seq_Day]])</f>
        <v/>
      </c>
    </row>
    <row r="593">
      <c r="A593" s="54" t="n"/>
      <c r="B593" s="61" t="n"/>
      <c r="C593" s="58" t="n"/>
      <c r="D593" s="58" t="n"/>
      <c r="E593" s="64">
        <f>IF(tblCommentary[[#This Row],[Date]]="","",COUNTIFS(INDEX(tblCommentary[Date],1):tblCommentary[[#This Row],[Date]],tblCommentary[[#This Row],[Date]]))</f>
        <v/>
      </c>
      <c r="F593" s="63">
        <f>IF(tblCommentary[[#This Row],[Date]]="","",tblCommentary[[#This Row],[Date]]&amp;"|"&amp;tblCommentary[[#This Row],[Seq_Day]])</f>
        <v/>
      </c>
    </row>
    <row r="594">
      <c r="A594" s="54" t="n"/>
      <c r="B594" s="61" t="n"/>
      <c r="C594" s="58" t="n"/>
      <c r="D594" s="58" t="n"/>
      <c r="E594" s="64">
        <f>IF(tblCommentary[[#This Row],[Date]]="","",COUNTIFS(INDEX(tblCommentary[Date],1):tblCommentary[[#This Row],[Date]],tblCommentary[[#This Row],[Date]]))</f>
        <v/>
      </c>
      <c r="F594" s="63">
        <f>IF(tblCommentary[[#This Row],[Date]]="","",tblCommentary[[#This Row],[Date]]&amp;"|"&amp;tblCommentary[[#This Row],[Seq_Day]])</f>
        <v/>
      </c>
    </row>
    <row r="595">
      <c r="A595" s="54" t="n"/>
      <c r="B595" s="61" t="n"/>
      <c r="C595" s="58" t="n"/>
      <c r="D595" s="58" t="n"/>
      <c r="E595" s="64">
        <f>IF(tblCommentary[[#This Row],[Date]]="","",COUNTIFS(INDEX(tblCommentary[Date],1):tblCommentary[[#This Row],[Date]],tblCommentary[[#This Row],[Date]]))</f>
        <v/>
      </c>
      <c r="F595" s="63">
        <f>IF(tblCommentary[[#This Row],[Date]]="","",tblCommentary[[#This Row],[Date]]&amp;"|"&amp;tblCommentary[[#This Row],[Seq_Day]])</f>
        <v/>
      </c>
    </row>
    <row r="596">
      <c r="A596" s="54" t="n"/>
      <c r="B596" s="61" t="n"/>
      <c r="C596" s="58" t="n"/>
      <c r="D596" s="58" t="n"/>
      <c r="E596" s="64">
        <f>IF(tblCommentary[[#This Row],[Date]]="","",COUNTIFS(INDEX(tblCommentary[Date],1):tblCommentary[[#This Row],[Date]],tblCommentary[[#This Row],[Date]]))</f>
        <v/>
      </c>
      <c r="F596" s="63">
        <f>IF(tblCommentary[[#This Row],[Date]]="","",tblCommentary[[#This Row],[Date]]&amp;"|"&amp;tblCommentary[[#This Row],[Seq_Day]])</f>
        <v/>
      </c>
    </row>
    <row r="597">
      <c r="A597" s="54" t="n"/>
      <c r="B597" s="61" t="n"/>
      <c r="C597" s="58" t="n"/>
      <c r="D597" s="58" t="n"/>
      <c r="E597" s="64">
        <f>IF(tblCommentary[[#This Row],[Date]]="","",COUNTIFS(INDEX(tblCommentary[Date],1):tblCommentary[[#This Row],[Date]],tblCommentary[[#This Row],[Date]]))</f>
        <v/>
      </c>
      <c r="F597" s="63">
        <f>IF(tblCommentary[[#This Row],[Date]]="","",tblCommentary[[#This Row],[Date]]&amp;"|"&amp;tblCommentary[[#This Row],[Seq_Day]])</f>
        <v/>
      </c>
    </row>
    <row r="598">
      <c r="A598" s="54" t="n"/>
      <c r="B598" s="61" t="n"/>
      <c r="C598" s="58" t="n"/>
      <c r="D598" s="58" t="n"/>
      <c r="E598" s="64">
        <f>IF(tblCommentary[[#This Row],[Date]]="","",COUNTIFS(INDEX(tblCommentary[Date],1):tblCommentary[[#This Row],[Date]],tblCommentary[[#This Row],[Date]]))</f>
        <v/>
      </c>
      <c r="F598" s="63">
        <f>IF(tblCommentary[[#This Row],[Date]]="","",tblCommentary[[#This Row],[Date]]&amp;"|"&amp;tblCommentary[[#This Row],[Seq_Day]])</f>
        <v/>
      </c>
    </row>
    <row r="599">
      <c r="A599" s="54" t="n"/>
      <c r="B599" s="61" t="n"/>
      <c r="C599" s="58" t="n"/>
      <c r="D599" s="58" t="n"/>
      <c r="E599" s="64">
        <f>IF(tblCommentary[[#This Row],[Date]]="","",COUNTIFS(INDEX(tblCommentary[Date],1):tblCommentary[[#This Row],[Date]],tblCommentary[[#This Row],[Date]]))</f>
        <v/>
      </c>
      <c r="F599" s="63">
        <f>IF(tblCommentary[[#This Row],[Date]]="","",tblCommentary[[#This Row],[Date]]&amp;"|"&amp;tblCommentary[[#This Row],[Seq_Day]])</f>
        <v/>
      </c>
    </row>
    <row r="600">
      <c r="A600" s="54" t="n"/>
      <c r="B600" s="61" t="n"/>
      <c r="C600" s="58" t="n"/>
      <c r="D600" s="58" t="n"/>
      <c r="E600" s="64">
        <f>IF(tblCommentary[[#This Row],[Date]]="","",COUNTIFS(INDEX(tblCommentary[Date],1):tblCommentary[[#This Row],[Date]],tblCommentary[[#This Row],[Date]]))</f>
        <v/>
      </c>
      <c r="F600" s="63">
        <f>IF(tblCommentary[[#This Row],[Date]]="","",tblCommentary[[#This Row],[Date]]&amp;"|"&amp;tblCommentary[[#This Row],[Seq_Day]])</f>
        <v/>
      </c>
    </row>
    <row r="601">
      <c r="A601" s="54" t="n"/>
      <c r="B601" s="61" t="n"/>
      <c r="C601" s="58" t="n"/>
      <c r="D601" s="58" t="n"/>
      <c r="E601" s="64">
        <f>IF(tblCommentary[[#This Row],[Date]]="","",COUNTIFS(INDEX(tblCommentary[Date],1):tblCommentary[[#This Row],[Date]],tblCommentary[[#This Row],[Date]]))</f>
        <v/>
      </c>
      <c r="F601" s="63">
        <f>IF(tblCommentary[[#This Row],[Date]]="","",tblCommentary[[#This Row],[Date]]&amp;"|"&amp;tblCommentary[[#This Row],[Seq_Day]])</f>
        <v/>
      </c>
    </row>
    <row r="602">
      <c r="A602" s="54" t="n"/>
      <c r="B602" s="61" t="n"/>
      <c r="C602" s="58" t="n"/>
      <c r="D602" s="58" t="n"/>
      <c r="E602" s="64">
        <f>IF(tblCommentary[[#This Row],[Date]]="","",COUNTIFS(INDEX(tblCommentary[Date],1):tblCommentary[[#This Row],[Date]],tblCommentary[[#This Row],[Date]]))</f>
        <v/>
      </c>
      <c r="F602" s="63">
        <f>IF(tblCommentary[[#This Row],[Date]]="","",tblCommentary[[#This Row],[Date]]&amp;"|"&amp;tblCommentary[[#This Row],[Seq_Day]])</f>
        <v/>
      </c>
    </row>
    <row r="603">
      <c r="A603" s="54" t="n"/>
      <c r="B603" s="61" t="n"/>
      <c r="C603" s="58" t="n"/>
      <c r="D603" s="58" t="n"/>
      <c r="E603" s="64">
        <f>IF(tblCommentary[[#This Row],[Date]]="","",COUNTIFS(INDEX(tblCommentary[Date],1):tblCommentary[[#This Row],[Date]],tblCommentary[[#This Row],[Date]]))</f>
        <v/>
      </c>
      <c r="F603" s="63">
        <f>IF(tblCommentary[[#This Row],[Date]]="","",tblCommentary[[#This Row],[Date]]&amp;"|"&amp;tblCommentary[[#This Row],[Seq_Day]])</f>
        <v/>
      </c>
    </row>
    <row r="604">
      <c r="A604" s="54" t="n"/>
      <c r="B604" s="61" t="n"/>
      <c r="C604" s="58" t="n"/>
      <c r="D604" s="58" t="n"/>
      <c r="E604" s="64">
        <f>IF(tblCommentary[[#This Row],[Date]]="","",COUNTIFS(INDEX(tblCommentary[Date],1):tblCommentary[[#This Row],[Date]],tblCommentary[[#This Row],[Date]]))</f>
        <v/>
      </c>
      <c r="F604" s="63">
        <f>IF(tblCommentary[[#This Row],[Date]]="","",tblCommentary[[#This Row],[Date]]&amp;"|"&amp;tblCommentary[[#This Row],[Seq_Day]])</f>
        <v/>
      </c>
    </row>
    <row r="605">
      <c r="A605" s="54" t="n"/>
      <c r="B605" s="61" t="n"/>
      <c r="C605" s="58" t="n"/>
      <c r="D605" s="58" t="n"/>
      <c r="E605" s="64">
        <f>IF(tblCommentary[[#This Row],[Date]]="","",COUNTIFS(INDEX(tblCommentary[Date],1):tblCommentary[[#This Row],[Date]],tblCommentary[[#This Row],[Date]]))</f>
        <v/>
      </c>
      <c r="F605" s="63">
        <f>IF(tblCommentary[[#This Row],[Date]]="","",tblCommentary[[#This Row],[Date]]&amp;"|"&amp;tblCommentary[[#This Row],[Seq_Day]])</f>
        <v/>
      </c>
    </row>
    <row r="606">
      <c r="A606" s="54" t="n"/>
      <c r="B606" s="61" t="n"/>
      <c r="C606" s="58" t="n"/>
      <c r="D606" s="58" t="n"/>
      <c r="E606" s="64">
        <f>IF(tblCommentary[[#This Row],[Date]]="","",COUNTIFS(INDEX(tblCommentary[Date],1):tblCommentary[[#This Row],[Date]],tblCommentary[[#This Row],[Date]]))</f>
        <v/>
      </c>
      <c r="F606" s="63">
        <f>IF(tblCommentary[[#This Row],[Date]]="","",tblCommentary[[#This Row],[Date]]&amp;"|"&amp;tblCommentary[[#This Row],[Seq_Day]])</f>
        <v/>
      </c>
    </row>
    <row r="607">
      <c r="A607" s="54" t="n"/>
      <c r="B607" s="61" t="n"/>
      <c r="C607" s="58" t="n"/>
      <c r="D607" s="58" t="n"/>
      <c r="E607" s="64">
        <f>IF(tblCommentary[[#This Row],[Date]]="","",COUNTIFS(INDEX(tblCommentary[Date],1):tblCommentary[[#This Row],[Date]],tblCommentary[[#This Row],[Date]]))</f>
        <v/>
      </c>
      <c r="F607" s="63">
        <f>IF(tblCommentary[[#This Row],[Date]]="","",tblCommentary[[#This Row],[Date]]&amp;"|"&amp;tblCommentary[[#This Row],[Seq_Day]])</f>
        <v/>
      </c>
    </row>
    <row r="608">
      <c r="A608" s="54" t="n"/>
      <c r="B608" s="61" t="n"/>
      <c r="C608" s="58" t="n"/>
      <c r="D608" s="58" t="n"/>
      <c r="E608" s="64">
        <f>IF(tblCommentary[[#This Row],[Date]]="","",COUNTIFS(INDEX(tblCommentary[Date],1):tblCommentary[[#This Row],[Date]],tblCommentary[[#This Row],[Date]]))</f>
        <v/>
      </c>
      <c r="F608" s="63">
        <f>IF(tblCommentary[[#This Row],[Date]]="","",tblCommentary[[#This Row],[Date]]&amp;"|"&amp;tblCommentary[[#This Row],[Seq_Day]])</f>
        <v/>
      </c>
    </row>
    <row r="609">
      <c r="A609" s="54" t="n"/>
      <c r="B609" s="61" t="n"/>
      <c r="C609" s="58" t="n"/>
      <c r="D609" s="58" t="n"/>
      <c r="E609" s="64">
        <f>IF(tblCommentary[[#This Row],[Date]]="","",COUNTIFS(INDEX(tblCommentary[Date],1):tblCommentary[[#This Row],[Date]],tblCommentary[[#This Row],[Date]]))</f>
        <v/>
      </c>
      <c r="F609" s="63">
        <f>IF(tblCommentary[[#This Row],[Date]]="","",tblCommentary[[#This Row],[Date]]&amp;"|"&amp;tblCommentary[[#This Row],[Seq_Day]])</f>
        <v/>
      </c>
    </row>
    <row r="610">
      <c r="A610" s="54" t="n"/>
      <c r="B610" s="61" t="n"/>
      <c r="C610" s="58" t="n"/>
      <c r="D610" s="58" t="n"/>
      <c r="E610" s="64">
        <f>IF(tblCommentary[[#This Row],[Date]]="","",COUNTIFS(INDEX(tblCommentary[Date],1):tblCommentary[[#This Row],[Date]],tblCommentary[[#This Row],[Date]]))</f>
        <v/>
      </c>
      <c r="F610" s="63">
        <f>IF(tblCommentary[[#This Row],[Date]]="","",tblCommentary[[#This Row],[Date]]&amp;"|"&amp;tblCommentary[[#This Row],[Seq_Day]])</f>
        <v/>
      </c>
    </row>
    <row r="611">
      <c r="A611" s="54" t="n"/>
      <c r="B611" s="61" t="n"/>
      <c r="C611" s="58" t="n"/>
      <c r="D611" s="58" t="n"/>
      <c r="E611" s="64">
        <f>IF(tblCommentary[[#This Row],[Date]]="","",COUNTIFS(INDEX(tblCommentary[Date],1):tblCommentary[[#This Row],[Date]],tblCommentary[[#This Row],[Date]]))</f>
        <v/>
      </c>
      <c r="F611" s="63">
        <f>IF(tblCommentary[[#This Row],[Date]]="","",tblCommentary[[#This Row],[Date]]&amp;"|"&amp;tblCommentary[[#This Row],[Seq_Day]])</f>
        <v/>
      </c>
    </row>
    <row r="612">
      <c r="A612" s="54" t="n"/>
      <c r="B612" s="61" t="n"/>
      <c r="C612" s="58" t="n"/>
      <c r="D612" s="58" t="n"/>
      <c r="E612" s="64">
        <f>IF(tblCommentary[[#This Row],[Date]]="","",COUNTIFS(INDEX(tblCommentary[Date],1):tblCommentary[[#This Row],[Date]],tblCommentary[[#This Row],[Date]]))</f>
        <v/>
      </c>
      <c r="F612" s="63">
        <f>IF(tblCommentary[[#This Row],[Date]]="","",tblCommentary[[#This Row],[Date]]&amp;"|"&amp;tblCommentary[[#This Row],[Seq_Day]])</f>
        <v/>
      </c>
    </row>
    <row r="613">
      <c r="A613" s="54" t="n"/>
      <c r="B613" s="61" t="n"/>
      <c r="C613" s="58" t="n"/>
      <c r="D613" s="58" t="n"/>
      <c r="E613" s="64">
        <f>IF(tblCommentary[[#This Row],[Date]]="","",COUNTIFS(INDEX(tblCommentary[Date],1):tblCommentary[[#This Row],[Date]],tblCommentary[[#This Row],[Date]]))</f>
        <v/>
      </c>
      <c r="F613" s="63">
        <f>IF(tblCommentary[[#This Row],[Date]]="","",tblCommentary[[#This Row],[Date]]&amp;"|"&amp;tblCommentary[[#This Row],[Seq_Day]])</f>
        <v/>
      </c>
    </row>
    <row r="614">
      <c r="A614" s="54" t="n"/>
      <c r="B614" s="61" t="n"/>
      <c r="C614" s="58" t="n"/>
      <c r="D614" s="58" t="n"/>
      <c r="E614" s="64">
        <f>IF(tblCommentary[[#This Row],[Date]]="","",COUNTIFS(INDEX(tblCommentary[Date],1):tblCommentary[[#This Row],[Date]],tblCommentary[[#This Row],[Date]]))</f>
        <v/>
      </c>
      <c r="F614" s="63">
        <f>IF(tblCommentary[[#This Row],[Date]]="","",tblCommentary[[#This Row],[Date]]&amp;"|"&amp;tblCommentary[[#This Row],[Seq_Day]])</f>
        <v/>
      </c>
    </row>
    <row r="615">
      <c r="A615" s="54" t="n"/>
      <c r="B615" s="61" t="n"/>
      <c r="C615" s="58" t="n"/>
      <c r="D615" s="58" t="n"/>
      <c r="E615" s="64">
        <f>IF(tblCommentary[[#This Row],[Date]]="","",COUNTIFS(INDEX(tblCommentary[Date],1):tblCommentary[[#This Row],[Date]],tblCommentary[[#This Row],[Date]]))</f>
        <v/>
      </c>
      <c r="F615" s="63">
        <f>IF(tblCommentary[[#This Row],[Date]]="","",tblCommentary[[#This Row],[Date]]&amp;"|"&amp;tblCommentary[[#This Row],[Seq_Day]])</f>
        <v/>
      </c>
    </row>
    <row r="616">
      <c r="A616" s="54" t="n"/>
      <c r="B616" s="61" t="n"/>
      <c r="C616" s="58" t="n"/>
      <c r="D616" s="58" t="n"/>
      <c r="E616" s="64">
        <f>IF(tblCommentary[[#This Row],[Date]]="","",COUNTIFS(INDEX(tblCommentary[Date],1):tblCommentary[[#This Row],[Date]],tblCommentary[[#This Row],[Date]]))</f>
        <v/>
      </c>
      <c r="F616" s="63">
        <f>IF(tblCommentary[[#This Row],[Date]]="","",tblCommentary[[#This Row],[Date]]&amp;"|"&amp;tblCommentary[[#This Row],[Seq_Day]])</f>
        <v/>
      </c>
    </row>
    <row r="617">
      <c r="A617" s="54" t="n"/>
      <c r="B617" s="61" t="n"/>
      <c r="C617" s="58" t="n"/>
      <c r="D617" s="58" t="n"/>
      <c r="E617" s="64">
        <f>IF(tblCommentary[[#This Row],[Date]]="","",COUNTIFS(INDEX(tblCommentary[Date],1):tblCommentary[[#This Row],[Date]],tblCommentary[[#This Row],[Date]]))</f>
        <v/>
      </c>
      <c r="F617" s="63">
        <f>IF(tblCommentary[[#This Row],[Date]]="","",tblCommentary[[#This Row],[Date]]&amp;"|"&amp;tblCommentary[[#This Row],[Seq_Day]])</f>
        <v/>
      </c>
    </row>
    <row r="618">
      <c r="A618" s="54" t="n"/>
      <c r="B618" s="61" t="n"/>
      <c r="C618" s="58" t="n"/>
      <c r="D618" s="58" t="n"/>
      <c r="E618" s="64">
        <f>IF(tblCommentary[[#This Row],[Date]]="","",COUNTIFS(INDEX(tblCommentary[Date],1):tblCommentary[[#This Row],[Date]],tblCommentary[[#This Row],[Date]]))</f>
        <v/>
      </c>
      <c r="F618" s="63">
        <f>IF(tblCommentary[[#This Row],[Date]]="","",tblCommentary[[#This Row],[Date]]&amp;"|"&amp;tblCommentary[[#This Row],[Seq_Day]])</f>
        <v/>
      </c>
    </row>
    <row r="619">
      <c r="A619" s="54" t="n"/>
      <c r="B619" s="61" t="n"/>
      <c r="C619" s="58" t="n"/>
      <c r="D619" s="58" t="n"/>
      <c r="E619" s="64">
        <f>IF(tblCommentary[[#This Row],[Date]]="","",COUNTIFS(INDEX(tblCommentary[Date],1):tblCommentary[[#This Row],[Date]],tblCommentary[[#This Row],[Date]]))</f>
        <v/>
      </c>
      <c r="F619" s="63">
        <f>IF(tblCommentary[[#This Row],[Date]]="","",tblCommentary[[#This Row],[Date]]&amp;"|"&amp;tblCommentary[[#This Row],[Seq_Day]])</f>
        <v/>
      </c>
    </row>
    <row r="620">
      <c r="A620" s="54" t="n"/>
      <c r="B620" s="61" t="n"/>
      <c r="C620" s="58" t="n"/>
      <c r="D620" s="58" t="n"/>
      <c r="E620" s="64">
        <f>IF(tblCommentary[[#This Row],[Date]]="","",COUNTIFS(INDEX(tblCommentary[Date],1):tblCommentary[[#This Row],[Date]],tblCommentary[[#This Row],[Date]]))</f>
        <v/>
      </c>
      <c r="F620" s="63">
        <f>IF(tblCommentary[[#This Row],[Date]]="","",tblCommentary[[#This Row],[Date]]&amp;"|"&amp;tblCommentary[[#This Row],[Seq_Day]])</f>
        <v/>
      </c>
    </row>
    <row r="621">
      <c r="A621" s="54" t="n"/>
      <c r="B621" s="61" t="n"/>
      <c r="C621" s="58" t="n"/>
      <c r="D621" s="58" t="n"/>
      <c r="E621" s="64">
        <f>IF(tblCommentary[[#This Row],[Date]]="","",COUNTIFS(INDEX(tblCommentary[Date],1):tblCommentary[[#This Row],[Date]],tblCommentary[[#This Row],[Date]]))</f>
        <v/>
      </c>
      <c r="F621" s="63">
        <f>IF(tblCommentary[[#This Row],[Date]]="","",tblCommentary[[#This Row],[Date]]&amp;"|"&amp;tblCommentary[[#This Row],[Seq_Day]])</f>
        <v/>
      </c>
    </row>
    <row r="622">
      <c r="A622" s="54" t="n"/>
      <c r="B622" s="61" t="n"/>
      <c r="C622" s="58" t="n"/>
      <c r="D622" s="58" t="n"/>
      <c r="E622" s="64">
        <f>IF(tblCommentary[[#This Row],[Date]]="","",COUNTIFS(INDEX(tblCommentary[Date],1):tblCommentary[[#This Row],[Date]],tblCommentary[[#This Row],[Date]]))</f>
        <v/>
      </c>
      <c r="F622" s="63">
        <f>IF(tblCommentary[[#This Row],[Date]]="","",tblCommentary[[#This Row],[Date]]&amp;"|"&amp;tblCommentary[[#This Row],[Seq_Day]])</f>
        <v/>
      </c>
    </row>
    <row r="623">
      <c r="A623" s="54" t="n"/>
      <c r="B623" s="61" t="n"/>
      <c r="C623" s="58" t="n"/>
      <c r="D623" s="58" t="n"/>
      <c r="E623" s="64">
        <f>IF(tblCommentary[[#This Row],[Date]]="","",COUNTIFS(INDEX(tblCommentary[Date],1):tblCommentary[[#This Row],[Date]],tblCommentary[[#This Row],[Date]]))</f>
        <v/>
      </c>
      <c r="F623" s="63">
        <f>IF(tblCommentary[[#This Row],[Date]]="","",tblCommentary[[#This Row],[Date]]&amp;"|"&amp;tblCommentary[[#This Row],[Seq_Day]])</f>
        <v/>
      </c>
    </row>
    <row r="624">
      <c r="A624" s="54" t="n"/>
      <c r="B624" s="61" t="n"/>
      <c r="C624" s="58" t="n"/>
      <c r="D624" s="58" t="n"/>
      <c r="E624" s="64">
        <f>IF(tblCommentary[[#This Row],[Date]]="","",COUNTIFS(INDEX(tblCommentary[Date],1):tblCommentary[[#This Row],[Date]],tblCommentary[[#This Row],[Date]]))</f>
        <v/>
      </c>
      <c r="F624" s="63">
        <f>IF(tblCommentary[[#This Row],[Date]]="","",tblCommentary[[#This Row],[Date]]&amp;"|"&amp;tblCommentary[[#This Row],[Seq_Day]])</f>
        <v/>
      </c>
    </row>
    <row r="625">
      <c r="A625" s="54" t="n"/>
      <c r="B625" s="61" t="n"/>
      <c r="C625" s="58" t="n"/>
      <c r="D625" s="58" t="n"/>
      <c r="E625" s="64">
        <f>IF(tblCommentary[[#This Row],[Date]]="","",COUNTIFS(INDEX(tblCommentary[Date],1):tblCommentary[[#This Row],[Date]],tblCommentary[[#This Row],[Date]]))</f>
        <v/>
      </c>
      <c r="F625" s="63">
        <f>IF(tblCommentary[[#This Row],[Date]]="","",tblCommentary[[#This Row],[Date]]&amp;"|"&amp;tblCommentary[[#This Row],[Seq_Day]])</f>
        <v/>
      </c>
    </row>
    <row r="626">
      <c r="A626" s="54" t="n"/>
      <c r="B626" s="61" t="n"/>
      <c r="C626" s="58" t="n"/>
      <c r="D626" s="58" t="n"/>
      <c r="E626" s="64">
        <f>IF(tblCommentary[[#This Row],[Date]]="","",COUNTIFS(INDEX(tblCommentary[Date],1):tblCommentary[[#This Row],[Date]],tblCommentary[[#This Row],[Date]]))</f>
        <v/>
      </c>
      <c r="F626" s="63">
        <f>IF(tblCommentary[[#This Row],[Date]]="","",tblCommentary[[#This Row],[Date]]&amp;"|"&amp;tblCommentary[[#This Row],[Seq_Day]])</f>
        <v/>
      </c>
    </row>
    <row r="627">
      <c r="A627" s="54" t="n"/>
      <c r="B627" s="61" t="n"/>
      <c r="C627" s="58" t="n"/>
      <c r="D627" s="58" t="n"/>
      <c r="E627" s="64">
        <f>IF(tblCommentary[[#This Row],[Date]]="","",COUNTIFS(INDEX(tblCommentary[Date],1):tblCommentary[[#This Row],[Date]],tblCommentary[[#This Row],[Date]]))</f>
        <v/>
      </c>
      <c r="F627" s="63">
        <f>IF(tblCommentary[[#This Row],[Date]]="","",tblCommentary[[#This Row],[Date]]&amp;"|"&amp;tblCommentary[[#This Row],[Seq_Day]])</f>
        <v/>
      </c>
    </row>
    <row r="628">
      <c r="A628" s="54" t="n"/>
      <c r="B628" s="61" t="n"/>
      <c r="C628" s="58" t="n"/>
      <c r="D628" s="58" t="n"/>
      <c r="E628" s="64">
        <f>IF(tblCommentary[[#This Row],[Date]]="","",COUNTIFS(INDEX(tblCommentary[Date],1):tblCommentary[[#This Row],[Date]],tblCommentary[[#This Row],[Date]]))</f>
        <v/>
      </c>
      <c r="F628" s="63">
        <f>IF(tblCommentary[[#This Row],[Date]]="","",tblCommentary[[#This Row],[Date]]&amp;"|"&amp;tblCommentary[[#This Row],[Seq_Day]])</f>
        <v/>
      </c>
    </row>
    <row r="629">
      <c r="A629" s="54" t="n"/>
      <c r="B629" s="61" t="n"/>
      <c r="C629" s="58" t="n"/>
      <c r="D629" s="58" t="n"/>
      <c r="E629" s="64">
        <f>IF(tblCommentary[[#This Row],[Date]]="","",COUNTIFS(INDEX(tblCommentary[Date],1):tblCommentary[[#This Row],[Date]],tblCommentary[[#This Row],[Date]]))</f>
        <v/>
      </c>
      <c r="F629" s="63">
        <f>IF(tblCommentary[[#This Row],[Date]]="","",tblCommentary[[#This Row],[Date]]&amp;"|"&amp;tblCommentary[[#This Row],[Seq_Day]])</f>
        <v/>
      </c>
    </row>
    <row r="630">
      <c r="A630" s="54" t="n"/>
      <c r="B630" s="61" t="n"/>
      <c r="C630" s="58" t="n"/>
      <c r="D630" s="58" t="n"/>
      <c r="E630" s="64">
        <f>IF(tblCommentary[[#This Row],[Date]]="","",COUNTIFS(INDEX(tblCommentary[Date],1):tblCommentary[[#This Row],[Date]],tblCommentary[[#This Row],[Date]]))</f>
        <v/>
      </c>
      <c r="F630" s="63">
        <f>IF(tblCommentary[[#This Row],[Date]]="","",tblCommentary[[#This Row],[Date]]&amp;"|"&amp;tblCommentary[[#This Row],[Seq_Day]])</f>
        <v/>
      </c>
    </row>
    <row r="631">
      <c r="A631" s="54" t="n"/>
      <c r="B631" s="61" t="n"/>
      <c r="C631" s="58" t="n"/>
      <c r="D631" s="58" t="n"/>
      <c r="E631" s="64">
        <f>IF(tblCommentary[[#This Row],[Date]]="","",COUNTIFS(INDEX(tblCommentary[Date],1):tblCommentary[[#This Row],[Date]],tblCommentary[[#This Row],[Date]]))</f>
        <v/>
      </c>
      <c r="F631" s="63">
        <f>IF(tblCommentary[[#This Row],[Date]]="","",tblCommentary[[#This Row],[Date]]&amp;"|"&amp;tblCommentary[[#This Row],[Seq_Day]])</f>
        <v/>
      </c>
    </row>
    <row r="632">
      <c r="A632" s="54" t="n"/>
      <c r="B632" s="61" t="n"/>
      <c r="C632" s="58" t="n"/>
      <c r="D632" s="58" t="n"/>
      <c r="E632" s="64">
        <f>IF(tblCommentary[[#This Row],[Date]]="","",COUNTIFS(INDEX(tblCommentary[Date],1):tblCommentary[[#This Row],[Date]],tblCommentary[[#This Row],[Date]]))</f>
        <v/>
      </c>
      <c r="F632" s="63">
        <f>IF(tblCommentary[[#This Row],[Date]]="","",tblCommentary[[#This Row],[Date]]&amp;"|"&amp;tblCommentary[[#This Row],[Seq_Day]])</f>
        <v/>
      </c>
    </row>
    <row r="633">
      <c r="A633" s="54" t="n"/>
      <c r="B633" s="61" t="n"/>
      <c r="C633" s="58" t="n"/>
      <c r="D633" s="58" t="n"/>
      <c r="E633" s="64">
        <f>IF(tblCommentary[[#This Row],[Date]]="","",COUNTIFS(INDEX(tblCommentary[Date],1):tblCommentary[[#This Row],[Date]],tblCommentary[[#This Row],[Date]]))</f>
        <v/>
      </c>
      <c r="F633" s="63">
        <f>IF(tblCommentary[[#This Row],[Date]]="","",tblCommentary[[#This Row],[Date]]&amp;"|"&amp;tblCommentary[[#This Row],[Seq_Day]])</f>
        <v/>
      </c>
    </row>
    <row r="634">
      <c r="A634" s="54" t="n"/>
      <c r="B634" s="61" t="n"/>
      <c r="C634" s="58" t="n"/>
      <c r="D634" s="58" t="n"/>
      <c r="E634" s="64">
        <f>IF(tblCommentary[[#This Row],[Date]]="","",COUNTIFS(INDEX(tblCommentary[Date],1):tblCommentary[[#This Row],[Date]],tblCommentary[[#This Row],[Date]]))</f>
        <v/>
      </c>
      <c r="F634" s="63">
        <f>IF(tblCommentary[[#This Row],[Date]]="","",tblCommentary[[#This Row],[Date]]&amp;"|"&amp;tblCommentary[[#This Row],[Seq_Day]])</f>
        <v/>
      </c>
    </row>
    <row r="635">
      <c r="A635" s="54" t="n"/>
      <c r="B635" s="61" t="n"/>
      <c r="C635" s="58" t="n"/>
      <c r="D635" s="58" t="n"/>
      <c r="E635" s="64">
        <f>IF(tblCommentary[[#This Row],[Date]]="","",COUNTIFS(INDEX(tblCommentary[Date],1):tblCommentary[[#This Row],[Date]],tblCommentary[[#This Row],[Date]]))</f>
        <v/>
      </c>
      <c r="F635" s="63">
        <f>IF(tblCommentary[[#This Row],[Date]]="","",tblCommentary[[#This Row],[Date]]&amp;"|"&amp;tblCommentary[[#This Row],[Seq_Day]])</f>
        <v/>
      </c>
    </row>
    <row r="636">
      <c r="A636" s="54" t="n"/>
      <c r="B636" s="61" t="n"/>
      <c r="C636" s="58" t="n"/>
      <c r="D636" s="58" t="n"/>
      <c r="E636" s="64">
        <f>IF(tblCommentary[[#This Row],[Date]]="","",COUNTIFS(INDEX(tblCommentary[Date],1):tblCommentary[[#This Row],[Date]],tblCommentary[[#This Row],[Date]]))</f>
        <v/>
      </c>
      <c r="F636" s="63">
        <f>IF(tblCommentary[[#This Row],[Date]]="","",tblCommentary[[#This Row],[Date]]&amp;"|"&amp;tblCommentary[[#This Row],[Seq_Day]])</f>
        <v/>
      </c>
    </row>
    <row r="637">
      <c r="A637" s="54" t="n"/>
      <c r="B637" s="61" t="n"/>
      <c r="C637" s="58" t="n"/>
      <c r="D637" s="58" t="n"/>
      <c r="E637" s="64">
        <f>IF(tblCommentary[[#This Row],[Date]]="","",COUNTIFS(INDEX(tblCommentary[Date],1):tblCommentary[[#This Row],[Date]],tblCommentary[[#This Row],[Date]]))</f>
        <v/>
      </c>
      <c r="F637" s="63">
        <f>IF(tblCommentary[[#This Row],[Date]]="","",tblCommentary[[#This Row],[Date]]&amp;"|"&amp;tblCommentary[[#This Row],[Seq_Day]])</f>
        <v/>
      </c>
    </row>
    <row r="638">
      <c r="A638" s="54" t="n"/>
      <c r="B638" s="61" t="n"/>
      <c r="C638" s="58" t="n"/>
      <c r="D638" s="58" t="n"/>
      <c r="E638" s="64">
        <f>IF(tblCommentary[[#This Row],[Date]]="","",COUNTIFS(INDEX(tblCommentary[Date],1):tblCommentary[[#This Row],[Date]],tblCommentary[[#This Row],[Date]]))</f>
        <v/>
      </c>
      <c r="F638" s="63">
        <f>IF(tblCommentary[[#This Row],[Date]]="","",tblCommentary[[#This Row],[Date]]&amp;"|"&amp;tblCommentary[[#This Row],[Seq_Day]])</f>
        <v/>
      </c>
    </row>
    <row r="639">
      <c r="A639" s="54" t="n"/>
      <c r="B639" s="61" t="n"/>
      <c r="C639" s="58" t="n"/>
      <c r="D639" s="58" t="n"/>
      <c r="E639" s="64">
        <f>IF(tblCommentary[[#This Row],[Date]]="","",COUNTIFS(INDEX(tblCommentary[Date],1):tblCommentary[[#This Row],[Date]],tblCommentary[[#This Row],[Date]]))</f>
        <v/>
      </c>
      <c r="F639" s="63">
        <f>IF(tblCommentary[[#This Row],[Date]]="","",tblCommentary[[#This Row],[Date]]&amp;"|"&amp;tblCommentary[[#This Row],[Seq_Day]])</f>
        <v/>
      </c>
    </row>
    <row r="640">
      <c r="A640" s="54" t="n"/>
      <c r="B640" s="61" t="n"/>
      <c r="C640" s="58" t="n"/>
      <c r="D640" s="58" t="n"/>
      <c r="E640" s="64">
        <f>IF(tblCommentary[[#This Row],[Date]]="","",COUNTIFS(INDEX(tblCommentary[Date],1):tblCommentary[[#This Row],[Date]],tblCommentary[[#This Row],[Date]]))</f>
        <v/>
      </c>
      <c r="F640" s="63">
        <f>IF(tblCommentary[[#This Row],[Date]]="","",tblCommentary[[#This Row],[Date]]&amp;"|"&amp;tblCommentary[[#This Row],[Seq_Day]])</f>
        <v/>
      </c>
    </row>
    <row r="641">
      <c r="A641" s="54" t="n"/>
      <c r="B641" s="61" t="n"/>
      <c r="C641" s="58" t="n"/>
      <c r="D641" s="58" t="n"/>
      <c r="E641" s="64">
        <f>IF(tblCommentary[[#This Row],[Date]]="","",COUNTIFS(INDEX(tblCommentary[Date],1):tblCommentary[[#This Row],[Date]],tblCommentary[[#This Row],[Date]]))</f>
        <v/>
      </c>
      <c r="F641" s="63">
        <f>IF(tblCommentary[[#This Row],[Date]]="","",tblCommentary[[#This Row],[Date]]&amp;"|"&amp;tblCommentary[[#This Row],[Seq_Day]])</f>
        <v/>
      </c>
    </row>
    <row r="642">
      <c r="A642" s="54" t="n"/>
      <c r="B642" s="61" t="n"/>
      <c r="C642" s="58" t="n"/>
      <c r="D642" s="58" t="n"/>
      <c r="E642" s="64">
        <f>IF(tblCommentary[[#This Row],[Date]]="","",COUNTIFS(INDEX(tblCommentary[Date],1):tblCommentary[[#This Row],[Date]],tblCommentary[[#This Row],[Date]]))</f>
        <v/>
      </c>
      <c r="F642" s="63">
        <f>IF(tblCommentary[[#This Row],[Date]]="","",tblCommentary[[#This Row],[Date]]&amp;"|"&amp;tblCommentary[[#This Row],[Seq_Day]])</f>
        <v/>
      </c>
    </row>
    <row r="643">
      <c r="A643" s="54" t="n"/>
      <c r="B643" s="61" t="n"/>
      <c r="C643" s="58" t="n"/>
      <c r="D643" s="58" t="n"/>
      <c r="E643" s="64">
        <f>IF(tblCommentary[[#This Row],[Date]]="","",COUNTIFS(INDEX(tblCommentary[Date],1):tblCommentary[[#This Row],[Date]],tblCommentary[[#This Row],[Date]]))</f>
        <v/>
      </c>
      <c r="F643" s="63">
        <f>IF(tblCommentary[[#This Row],[Date]]="","",tblCommentary[[#This Row],[Date]]&amp;"|"&amp;tblCommentary[[#This Row],[Seq_Day]])</f>
        <v/>
      </c>
    </row>
    <row r="644">
      <c r="A644" s="54" t="n"/>
      <c r="B644" s="61" t="n"/>
      <c r="C644" s="58" t="n"/>
      <c r="D644" s="58" t="n"/>
      <c r="E644" s="64">
        <f>IF(tblCommentary[[#This Row],[Date]]="","",COUNTIFS(INDEX(tblCommentary[Date],1):tblCommentary[[#This Row],[Date]],tblCommentary[[#This Row],[Date]]))</f>
        <v/>
      </c>
      <c r="F644" s="63">
        <f>IF(tblCommentary[[#This Row],[Date]]="","",tblCommentary[[#This Row],[Date]]&amp;"|"&amp;tblCommentary[[#This Row],[Seq_Day]])</f>
        <v/>
      </c>
    </row>
    <row r="645">
      <c r="A645" s="54" t="n"/>
      <c r="B645" s="61" t="n"/>
      <c r="C645" s="58" t="n"/>
      <c r="D645" s="58" t="n"/>
      <c r="E645" s="64">
        <f>IF(tblCommentary[[#This Row],[Date]]="","",COUNTIFS(INDEX(tblCommentary[Date],1):tblCommentary[[#This Row],[Date]],tblCommentary[[#This Row],[Date]]))</f>
        <v/>
      </c>
      <c r="F645" s="63">
        <f>IF(tblCommentary[[#This Row],[Date]]="","",tblCommentary[[#This Row],[Date]]&amp;"|"&amp;tblCommentary[[#This Row],[Seq_Day]])</f>
        <v/>
      </c>
    </row>
    <row r="646">
      <c r="A646" s="54" t="n"/>
      <c r="B646" s="61" t="n"/>
      <c r="C646" s="58" t="n"/>
      <c r="D646" s="58" t="n"/>
      <c r="E646" s="64">
        <f>IF(tblCommentary[[#This Row],[Date]]="","",COUNTIFS(INDEX(tblCommentary[Date],1):tblCommentary[[#This Row],[Date]],tblCommentary[[#This Row],[Date]]))</f>
        <v/>
      </c>
      <c r="F646" s="63">
        <f>IF(tblCommentary[[#This Row],[Date]]="","",tblCommentary[[#This Row],[Date]]&amp;"|"&amp;tblCommentary[[#This Row],[Seq_Day]])</f>
        <v/>
      </c>
    </row>
    <row r="647">
      <c r="A647" s="54" t="n"/>
      <c r="B647" s="61" t="n"/>
      <c r="C647" s="58" t="n"/>
      <c r="D647" s="58" t="n"/>
      <c r="E647" s="64">
        <f>IF(tblCommentary[[#This Row],[Date]]="","",COUNTIFS(INDEX(tblCommentary[Date],1):tblCommentary[[#This Row],[Date]],tblCommentary[[#This Row],[Date]]))</f>
        <v/>
      </c>
      <c r="F647" s="63">
        <f>IF(tblCommentary[[#This Row],[Date]]="","",tblCommentary[[#This Row],[Date]]&amp;"|"&amp;tblCommentary[[#This Row],[Seq_Day]])</f>
        <v/>
      </c>
    </row>
    <row r="648">
      <c r="A648" s="54" t="n"/>
      <c r="B648" s="61" t="n"/>
      <c r="C648" s="58" t="n"/>
      <c r="D648" s="58" t="n"/>
      <c r="E648" s="64">
        <f>IF(tblCommentary[[#This Row],[Date]]="","",COUNTIFS(INDEX(tblCommentary[Date],1):tblCommentary[[#This Row],[Date]],tblCommentary[[#This Row],[Date]]))</f>
        <v/>
      </c>
      <c r="F648" s="63">
        <f>IF(tblCommentary[[#This Row],[Date]]="","",tblCommentary[[#This Row],[Date]]&amp;"|"&amp;tblCommentary[[#This Row],[Seq_Day]])</f>
        <v/>
      </c>
    </row>
    <row r="649">
      <c r="A649" s="54" t="n"/>
      <c r="B649" s="61" t="n"/>
      <c r="C649" s="58" t="n"/>
      <c r="D649" s="58" t="n"/>
      <c r="E649" s="64">
        <f>IF(tblCommentary[[#This Row],[Date]]="","",COUNTIFS(INDEX(tblCommentary[Date],1):tblCommentary[[#This Row],[Date]],tblCommentary[[#This Row],[Date]]))</f>
        <v/>
      </c>
      <c r="F649" s="63">
        <f>IF(tblCommentary[[#This Row],[Date]]="","",tblCommentary[[#This Row],[Date]]&amp;"|"&amp;tblCommentary[[#This Row],[Seq_Day]])</f>
        <v/>
      </c>
    </row>
    <row r="650">
      <c r="A650" s="54" t="n"/>
      <c r="B650" s="61" t="n"/>
      <c r="C650" s="58" t="n"/>
      <c r="D650" s="58" t="n"/>
      <c r="E650" s="64">
        <f>IF(tblCommentary[[#This Row],[Date]]="","",COUNTIFS(INDEX(tblCommentary[Date],1):tblCommentary[[#This Row],[Date]],tblCommentary[[#This Row],[Date]]))</f>
        <v/>
      </c>
      <c r="F650" s="63">
        <f>IF(tblCommentary[[#This Row],[Date]]="","",tblCommentary[[#This Row],[Date]]&amp;"|"&amp;tblCommentary[[#This Row],[Seq_Day]])</f>
        <v/>
      </c>
    </row>
    <row r="651">
      <c r="A651" s="54" t="n"/>
      <c r="B651" s="61" t="n"/>
      <c r="C651" s="58" t="n"/>
      <c r="D651" s="58" t="n"/>
      <c r="E651" s="64">
        <f>IF(tblCommentary[[#This Row],[Date]]="","",COUNTIFS(INDEX(tblCommentary[Date],1):tblCommentary[[#This Row],[Date]],tblCommentary[[#This Row],[Date]]))</f>
        <v/>
      </c>
      <c r="F651" s="63">
        <f>IF(tblCommentary[[#This Row],[Date]]="","",tblCommentary[[#This Row],[Date]]&amp;"|"&amp;tblCommentary[[#This Row],[Seq_Day]])</f>
        <v/>
      </c>
    </row>
    <row r="652">
      <c r="A652" s="54" t="n"/>
      <c r="B652" s="61" t="n"/>
      <c r="C652" s="58" t="n"/>
      <c r="D652" s="58" t="n"/>
      <c r="E652" s="64">
        <f>IF(tblCommentary[[#This Row],[Date]]="","",COUNTIFS(INDEX(tblCommentary[Date],1):tblCommentary[[#This Row],[Date]],tblCommentary[[#This Row],[Date]]))</f>
        <v/>
      </c>
      <c r="F652" s="63">
        <f>IF(tblCommentary[[#This Row],[Date]]="","",tblCommentary[[#This Row],[Date]]&amp;"|"&amp;tblCommentary[[#This Row],[Seq_Day]])</f>
        <v/>
      </c>
    </row>
    <row r="653">
      <c r="A653" s="54" t="n"/>
      <c r="B653" s="61" t="n"/>
      <c r="C653" s="58" t="n"/>
      <c r="D653" s="58" t="n"/>
      <c r="E653" s="64">
        <f>IF(tblCommentary[[#This Row],[Date]]="","",COUNTIFS(INDEX(tblCommentary[Date],1):tblCommentary[[#This Row],[Date]],tblCommentary[[#This Row],[Date]]))</f>
        <v/>
      </c>
      <c r="F653" s="63">
        <f>IF(tblCommentary[[#This Row],[Date]]="","",tblCommentary[[#This Row],[Date]]&amp;"|"&amp;tblCommentary[[#This Row],[Seq_Day]])</f>
        <v/>
      </c>
    </row>
    <row r="654">
      <c r="A654" s="54" t="n"/>
      <c r="B654" s="61" t="n"/>
      <c r="C654" s="58" t="n"/>
      <c r="D654" s="58" t="n"/>
      <c r="E654" s="64">
        <f>IF(tblCommentary[[#This Row],[Date]]="","",COUNTIFS(INDEX(tblCommentary[Date],1):tblCommentary[[#This Row],[Date]],tblCommentary[[#This Row],[Date]]))</f>
        <v/>
      </c>
      <c r="F654" s="63">
        <f>IF(tblCommentary[[#This Row],[Date]]="","",tblCommentary[[#This Row],[Date]]&amp;"|"&amp;tblCommentary[[#This Row],[Seq_Day]])</f>
        <v/>
      </c>
    </row>
    <row r="655">
      <c r="A655" s="54" t="n"/>
      <c r="B655" s="61" t="n"/>
      <c r="C655" s="58" t="n"/>
      <c r="D655" s="58" t="n"/>
      <c r="E655" s="64">
        <f>IF(tblCommentary[[#This Row],[Date]]="","",COUNTIFS(INDEX(tblCommentary[Date],1):tblCommentary[[#This Row],[Date]],tblCommentary[[#This Row],[Date]]))</f>
        <v/>
      </c>
      <c r="F655" s="63">
        <f>IF(tblCommentary[[#This Row],[Date]]="","",tblCommentary[[#This Row],[Date]]&amp;"|"&amp;tblCommentary[[#This Row],[Seq_Day]])</f>
        <v/>
      </c>
    </row>
    <row r="656">
      <c r="A656" s="54" t="n"/>
      <c r="B656" s="61" t="n"/>
      <c r="C656" s="58" t="n"/>
      <c r="D656" s="58" t="n"/>
      <c r="E656" s="64">
        <f>IF(tblCommentary[[#This Row],[Date]]="","",COUNTIFS(INDEX(tblCommentary[Date],1):tblCommentary[[#This Row],[Date]],tblCommentary[[#This Row],[Date]]))</f>
        <v/>
      </c>
      <c r="F656" s="63">
        <f>IF(tblCommentary[[#This Row],[Date]]="","",tblCommentary[[#This Row],[Date]]&amp;"|"&amp;tblCommentary[[#This Row],[Seq_Day]])</f>
        <v/>
      </c>
    </row>
    <row r="657">
      <c r="A657" s="54" t="n"/>
      <c r="B657" s="61" t="n"/>
      <c r="C657" s="58" t="n"/>
      <c r="D657" s="58" t="n"/>
      <c r="E657" s="64">
        <f>IF(tblCommentary[[#This Row],[Date]]="","",COUNTIFS(INDEX(tblCommentary[Date],1):tblCommentary[[#This Row],[Date]],tblCommentary[[#This Row],[Date]]))</f>
        <v/>
      </c>
      <c r="F657" s="63">
        <f>IF(tblCommentary[[#This Row],[Date]]="","",tblCommentary[[#This Row],[Date]]&amp;"|"&amp;tblCommentary[[#This Row],[Seq_Day]])</f>
        <v/>
      </c>
    </row>
    <row r="658">
      <c r="A658" s="54" t="n"/>
      <c r="B658" s="61" t="n"/>
      <c r="C658" s="58" t="n"/>
      <c r="D658" s="58" t="n"/>
      <c r="E658" s="64">
        <f>IF(tblCommentary[[#This Row],[Date]]="","",COUNTIFS(INDEX(tblCommentary[Date],1):tblCommentary[[#This Row],[Date]],tblCommentary[[#This Row],[Date]]))</f>
        <v/>
      </c>
      <c r="F658" s="63">
        <f>IF(tblCommentary[[#This Row],[Date]]="","",tblCommentary[[#This Row],[Date]]&amp;"|"&amp;tblCommentary[[#This Row],[Seq_Day]])</f>
        <v/>
      </c>
    </row>
    <row r="659">
      <c r="A659" s="54" t="n"/>
      <c r="B659" s="61" t="n"/>
      <c r="C659" s="58" t="n"/>
      <c r="D659" s="58" t="n"/>
      <c r="E659" s="64">
        <f>IF(tblCommentary[[#This Row],[Date]]="","",COUNTIFS(INDEX(tblCommentary[Date],1):tblCommentary[[#This Row],[Date]],tblCommentary[[#This Row],[Date]]))</f>
        <v/>
      </c>
      <c r="F659" s="63">
        <f>IF(tblCommentary[[#This Row],[Date]]="","",tblCommentary[[#This Row],[Date]]&amp;"|"&amp;tblCommentary[[#This Row],[Seq_Day]])</f>
        <v/>
      </c>
    </row>
    <row r="660">
      <c r="A660" s="54" t="n"/>
      <c r="B660" s="61" t="n"/>
      <c r="C660" s="58" t="n"/>
      <c r="D660" s="58" t="n"/>
      <c r="E660" s="64">
        <f>IF(tblCommentary[[#This Row],[Date]]="","",COUNTIFS(INDEX(tblCommentary[Date],1):tblCommentary[[#This Row],[Date]],tblCommentary[[#This Row],[Date]]))</f>
        <v/>
      </c>
      <c r="F660" s="63">
        <f>IF(tblCommentary[[#This Row],[Date]]="","",tblCommentary[[#This Row],[Date]]&amp;"|"&amp;tblCommentary[[#This Row],[Seq_Day]])</f>
        <v/>
      </c>
    </row>
    <row r="661">
      <c r="A661" s="54" t="n"/>
      <c r="B661" s="61" t="n"/>
      <c r="C661" s="58" t="n"/>
      <c r="D661" s="58" t="n"/>
      <c r="E661" s="64">
        <f>IF(tblCommentary[[#This Row],[Date]]="","",COUNTIFS(INDEX(tblCommentary[Date],1):tblCommentary[[#This Row],[Date]],tblCommentary[[#This Row],[Date]]))</f>
        <v/>
      </c>
      <c r="F661" s="63">
        <f>IF(tblCommentary[[#This Row],[Date]]="","",tblCommentary[[#This Row],[Date]]&amp;"|"&amp;tblCommentary[[#This Row],[Seq_Day]])</f>
        <v/>
      </c>
    </row>
    <row r="662">
      <c r="A662" s="54" t="n"/>
      <c r="B662" s="61" t="n"/>
      <c r="C662" s="58" t="n"/>
      <c r="D662" s="58" t="n"/>
      <c r="E662" s="64">
        <f>IF(tblCommentary[[#This Row],[Date]]="","",COUNTIFS(INDEX(tblCommentary[Date],1):tblCommentary[[#This Row],[Date]],tblCommentary[[#This Row],[Date]]))</f>
        <v/>
      </c>
      <c r="F662" s="63">
        <f>IF(tblCommentary[[#This Row],[Date]]="","",tblCommentary[[#This Row],[Date]]&amp;"|"&amp;tblCommentary[[#This Row],[Seq_Day]])</f>
        <v/>
      </c>
    </row>
    <row r="663">
      <c r="A663" s="54" t="n"/>
      <c r="B663" s="61" t="n"/>
      <c r="C663" s="58" t="n"/>
      <c r="D663" s="58" t="n"/>
      <c r="E663" s="64">
        <f>IF(tblCommentary[[#This Row],[Date]]="","",COUNTIFS(INDEX(tblCommentary[Date],1):tblCommentary[[#This Row],[Date]],tblCommentary[[#This Row],[Date]]))</f>
        <v/>
      </c>
      <c r="F663" s="63">
        <f>IF(tblCommentary[[#This Row],[Date]]="","",tblCommentary[[#This Row],[Date]]&amp;"|"&amp;tblCommentary[[#This Row],[Seq_Day]])</f>
        <v/>
      </c>
    </row>
    <row r="664">
      <c r="A664" s="54" t="n"/>
      <c r="B664" s="61" t="n"/>
      <c r="C664" s="58" t="n"/>
      <c r="D664" s="58" t="n"/>
      <c r="E664" s="64">
        <f>IF(tblCommentary[[#This Row],[Date]]="","",COUNTIFS(INDEX(tblCommentary[Date],1):tblCommentary[[#This Row],[Date]],tblCommentary[[#This Row],[Date]]))</f>
        <v/>
      </c>
      <c r="F664" s="63">
        <f>IF(tblCommentary[[#This Row],[Date]]="","",tblCommentary[[#This Row],[Date]]&amp;"|"&amp;tblCommentary[[#This Row],[Seq_Day]])</f>
        <v/>
      </c>
    </row>
    <row r="665">
      <c r="A665" s="54" t="n"/>
      <c r="B665" s="61" t="n"/>
      <c r="C665" s="58" t="n"/>
      <c r="D665" s="58" t="n"/>
      <c r="E665" s="64">
        <f>IF(tblCommentary[[#This Row],[Date]]="","",COUNTIFS(INDEX(tblCommentary[Date],1):tblCommentary[[#This Row],[Date]],tblCommentary[[#This Row],[Date]]))</f>
        <v/>
      </c>
      <c r="F665" s="63">
        <f>IF(tblCommentary[[#This Row],[Date]]="","",tblCommentary[[#This Row],[Date]]&amp;"|"&amp;tblCommentary[[#This Row],[Seq_Day]])</f>
        <v/>
      </c>
    </row>
    <row r="666">
      <c r="A666" s="54" t="n"/>
      <c r="B666" s="61" t="n"/>
      <c r="C666" s="58" t="n"/>
      <c r="D666" s="58" t="n"/>
      <c r="E666" s="64">
        <f>IF(tblCommentary[[#This Row],[Date]]="","",COUNTIFS(INDEX(tblCommentary[Date],1):tblCommentary[[#This Row],[Date]],tblCommentary[[#This Row],[Date]]))</f>
        <v/>
      </c>
      <c r="F666" s="63">
        <f>IF(tblCommentary[[#This Row],[Date]]="","",tblCommentary[[#This Row],[Date]]&amp;"|"&amp;tblCommentary[[#This Row],[Seq_Day]])</f>
        <v/>
      </c>
    </row>
    <row r="667">
      <c r="A667" s="54" t="n"/>
      <c r="B667" s="61" t="n"/>
      <c r="C667" s="58" t="n"/>
      <c r="D667" s="58" t="n"/>
      <c r="E667" s="64">
        <f>IF(tblCommentary[[#This Row],[Date]]="","",COUNTIFS(INDEX(tblCommentary[Date],1):tblCommentary[[#This Row],[Date]],tblCommentary[[#This Row],[Date]]))</f>
        <v/>
      </c>
      <c r="F667" s="63">
        <f>IF(tblCommentary[[#This Row],[Date]]="","",tblCommentary[[#This Row],[Date]]&amp;"|"&amp;tblCommentary[[#This Row],[Seq_Day]])</f>
        <v/>
      </c>
    </row>
    <row r="668">
      <c r="A668" s="54" t="n"/>
      <c r="B668" s="61" t="n"/>
      <c r="C668" s="58" t="n"/>
      <c r="D668" s="58" t="n"/>
      <c r="E668" s="64">
        <f>IF(tblCommentary[[#This Row],[Date]]="","",COUNTIFS(INDEX(tblCommentary[Date],1):tblCommentary[[#This Row],[Date]],tblCommentary[[#This Row],[Date]]))</f>
        <v/>
      </c>
      <c r="F668" s="63">
        <f>IF(tblCommentary[[#This Row],[Date]]="","",tblCommentary[[#This Row],[Date]]&amp;"|"&amp;tblCommentary[[#This Row],[Seq_Day]])</f>
        <v/>
      </c>
    </row>
    <row r="669">
      <c r="A669" s="54" t="n"/>
      <c r="B669" s="61" t="n"/>
      <c r="C669" s="58" t="n"/>
      <c r="D669" s="58" t="n"/>
      <c r="E669" s="64">
        <f>IF(tblCommentary[[#This Row],[Date]]="","",COUNTIFS(INDEX(tblCommentary[Date],1):tblCommentary[[#This Row],[Date]],tblCommentary[[#This Row],[Date]]))</f>
        <v/>
      </c>
      <c r="F669" s="63">
        <f>IF(tblCommentary[[#This Row],[Date]]="","",tblCommentary[[#This Row],[Date]]&amp;"|"&amp;tblCommentary[[#This Row],[Seq_Day]])</f>
        <v/>
      </c>
    </row>
    <row r="670">
      <c r="A670" s="54" t="n"/>
      <c r="B670" s="61" t="n"/>
      <c r="C670" s="58" t="n"/>
      <c r="D670" s="58" t="n"/>
      <c r="E670" s="64">
        <f>IF(tblCommentary[[#This Row],[Date]]="","",COUNTIFS(INDEX(tblCommentary[Date],1):tblCommentary[[#This Row],[Date]],tblCommentary[[#This Row],[Date]]))</f>
        <v/>
      </c>
      <c r="F670" s="63">
        <f>IF(tblCommentary[[#This Row],[Date]]="","",tblCommentary[[#This Row],[Date]]&amp;"|"&amp;tblCommentary[[#This Row],[Seq_Day]])</f>
        <v/>
      </c>
    </row>
    <row r="671">
      <c r="A671" s="54" t="n"/>
      <c r="B671" s="61" t="n"/>
      <c r="C671" s="58" t="n"/>
      <c r="D671" s="58" t="n"/>
      <c r="E671" s="64">
        <f>IF(tblCommentary[[#This Row],[Date]]="","",COUNTIFS(INDEX(tblCommentary[Date],1):tblCommentary[[#This Row],[Date]],tblCommentary[[#This Row],[Date]]))</f>
        <v/>
      </c>
      <c r="F671" s="63">
        <f>IF(tblCommentary[[#This Row],[Date]]="","",tblCommentary[[#This Row],[Date]]&amp;"|"&amp;tblCommentary[[#This Row],[Seq_Day]])</f>
        <v/>
      </c>
    </row>
    <row r="672">
      <c r="A672" s="54" t="n"/>
      <c r="B672" s="61" t="n"/>
      <c r="C672" s="58" t="n"/>
      <c r="D672" s="58" t="n"/>
      <c r="E672" s="64">
        <f>IF(tblCommentary[[#This Row],[Date]]="","",COUNTIFS(INDEX(tblCommentary[Date],1):tblCommentary[[#This Row],[Date]],tblCommentary[[#This Row],[Date]]))</f>
        <v/>
      </c>
      <c r="F672" s="63">
        <f>IF(tblCommentary[[#This Row],[Date]]="","",tblCommentary[[#This Row],[Date]]&amp;"|"&amp;tblCommentary[[#This Row],[Seq_Day]])</f>
        <v/>
      </c>
    </row>
    <row r="673">
      <c r="A673" s="54" t="n"/>
      <c r="B673" s="61" t="n"/>
      <c r="C673" s="58" t="n"/>
      <c r="D673" s="58" t="n"/>
      <c r="E673" s="64">
        <f>IF(tblCommentary[[#This Row],[Date]]="","",COUNTIFS(INDEX(tblCommentary[Date],1):tblCommentary[[#This Row],[Date]],tblCommentary[[#This Row],[Date]]))</f>
        <v/>
      </c>
      <c r="F673" s="63">
        <f>IF(tblCommentary[[#This Row],[Date]]="","",tblCommentary[[#This Row],[Date]]&amp;"|"&amp;tblCommentary[[#This Row],[Seq_Day]])</f>
        <v/>
      </c>
    </row>
    <row r="674">
      <c r="A674" s="54" t="n"/>
      <c r="B674" s="61" t="n"/>
      <c r="C674" s="58" t="n"/>
      <c r="D674" s="58" t="n"/>
      <c r="E674" s="64">
        <f>IF(tblCommentary[[#This Row],[Date]]="","",COUNTIFS(INDEX(tblCommentary[Date],1):tblCommentary[[#This Row],[Date]],tblCommentary[[#This Row],[Date]]))</f>
        <v/>
      </c>
      <c r="F674" s="63">
        <f>IF(tblCommentary[[#This Row],[Date]]="","",tblCommentary[[#This Row],[Date]]&amp;"|"&amp;tblCommentary[[#This Row],[Seq_Day]])</f>
        <v/>
      </c>
    </row>
    <row r="675">
      <c r="A675" s="54" t="n"/>
      <c r="B675" s="61" t="n"/>
      <c r="C675" s="58" t="n"/>
      <c r="D675" s="58" t="n"/>
      <c r="E675" s="64">
        <f>IF(tblCommentary[[#This Row],[Date]]="","",COUNTIFS(INDEX(tblCommentary[Date],1):tblCommentary[[#This Row],[Date]],tblCommentary[[#This Row],[Date]]))</f>
        <v/>
      </c>
      <c r="F675" s="63">
        <f>IF(tblCommentary[[#This Row],[Date]]="","",tblCommentary[[#This Row],[Date]]&amp;"|"&amp;tblCommentary[[#This Row],[Seq_Day]])</f>
        <v/>
      </c>
    </row>
    <row r="676">
      <c r="A676" s="54" t="n"/>
      <c r="B676" s="61" t="n"/>
      <c r="C676" s="58" t="n"/>
      <c r="D676" s="58" t="n"/>
      <c r="E676" s="64">
        <f>IF(tblCommentary[[#This Row],[Date]]="","",COUNTIFS(INDEX(tblCommentary[Date],1):tblCommentary[[#This Row],[Date]],tblCommentary[[#This Row],[Date]]))</f>
        <v/>
      </c>
      <c r="F676" s="63">
        <f>IF(tblCommentary[[#This Row],[Date]]="","",tblCommentary[[#This Row],[Date]]&amp;"|"&amp;tblCommentary[[#This Row],[Seq_Day]])</f>
        <v/>
      </c>
    </row>
    <row r="677">
      <c r="A677" s="54" t="n"/>
      <c r="B677" s="61" t="n"/>
      <c r="C677" s="58" t="n"/>
      <c r="D677" s="58" t="n"/>
      <c r="E677" s="64">
        <f>IF(tblCommentary[[#This Row],[Date]]="","",COUNTIFS(INDEX(tblCommentary[Date],1):tblCommentary[[#This Row],[Date]],tblCommentary[[#This Row],[Date]]))</f>
        <v/>
      </c>
      <c r="F677" s="63">
        <f>IF(tblCommentary[[#This Row],[Date]]="","",tblCommentary[[#This Row],[Date]]&amp;"|"&amp;tblCommentary[[#This Row],[Seq_Day]])</f>
        <v/>
      </c>
    </row>
    <row r="678">
      <c r="A678" s="54" t="n"/>
      <c r="B678" s="61" t="n"/>
      <c r="C678" s="58" t="n"/>
      <c r="D678" s="58" t="n"/>
      <c r="E678" s="64">
        <f>IF(tblCommentary[[#This Row],[Date]]="","",COUNTIFS(INDEX(tblCommentary[Date],1):tblCommentary[[#This Row],[Date]],tblCommentary[[#This Row],[Date]]))</f>
        <v/>
      </c>
      <c r="F678" s="63">
        <f>IF(tblCommentary[[#This Row],[Date]]="","",tblCommentary[[#This Row],[Date]]&amp;"|"&amp;tblCommentary[[#This Row],[Seq_Day]])</f>
        <v/>
      </c>
    </row>
    <row r="679">
      <c r="A679" s="54" t="n"/>
      <c r="B679" s="61" t="n"/>
      <c r="C679" s="58" t="n"/>
      <c r="D679" s="58" t="n"/>
      <c r="E679" s="64">
        <f>IF(tblCommentary[[#This Row],[Date]]="","",COUNTIFS(INDEX(tblCommentary[Date],1):tblCommentary[[#This Row],[Date]],tblCommentary[[#This Row],[Date]]))</f>
        <v/>
      </c>
      <c r="F679" s="63">
        <f>IF(tblCommentary[[#This Row],[Date]]="","",tblCommentary[[#This Row],[Date]]&amp;"|"&amp;tblCommentary[[#This Row],[Seq_Day]])</f>
        <v/>
      </c>
    </row>
    <row r="680">
      <c r="A680" s="54" t="n"/>
      <c r="B680" s="61" t="n"/>
      <c r="C680" s="58" t="n"/>
      <c r="D680" s="58" t="n"/>
      <c r="E680" s="64">
        <f>IF(tblCommentary[[#This Row],[Date]]="","",COUNTIFS(INDEX(tblCommentary[Date],1):tblCommentary[[#This Row],[Date]],tblCommentary[[#This Row],[Date]]))</f>
        <v/>
      </c>
      <c r="F680" s="63">
        <f>IF(tblCommentary[[#This Row],[Date]]="","",tblCommentary[[#This Row],[Date]]&amp;"|"&amp;tblCommentary[[#This Row],[Seq_Day]])</f>
        <v/>
      </c>
    </row>
    <row r="681">
      <c r="A681" s="54" t="n"/>
      <c r="B681" s="61" t="n"/>
      <c r="C681" s="58" t="n"/>
      <c r="D681" s="58" t="n"/>
      <c r="E681" s="64">
        <f>IF(tblCommentary[[#This Row],[Date]]="","",COUNTIFS(INDEX(tblCommentary[Date],1):tblCommentary[[#This Row],[Date]],tblCommentary[[#This Row],[Date]]))</f>
        <v/>
      </c>
      <c r="F681" s="63">
        <f>IF(tblCommentary[[#This Row],[Date]]="","",tblCommentary[[#This Row],[Date]]&amp;"|"&amp;tblCommentary[[#This Row],[Seq_Day]])</f>
        <v/>
      </c>
    </row>
    <row r="682">
      <c r="A682" s="54" t="n"/>
      <c r="B682" s="61" t="n"/>
      <c r="C682" s="58" t="n"/>
      <c r="D682" s="58" t="n"/>
      <c r="E682" s="64">
        <f>IF(tblCommentary[[#This Row],[Date]]="","",COUNTIFS(INDEX(tblCommentary[Date],1):tblCommentary[[#This Row],[Date]],tblCommentary[[#This Row],[Date]]))</f>
        <v/>
      </c>
      <c r="F682" s="63">
        <f>IF(tblCommentary[[#This Row],[Date]]="","",tblCommentary[[#This Row],[Date]]&amp;"|"&amp;tblCommentary[[#This Row],[Seq_Day]])</f>
        <v/>
      </c>
    </row>
    <row r="683">
      <c r="A683" s="54" t="n"/>
      <c r="B683" s="61" t="n"/>
      <c r="C683" s="58" t="n"/>
      <c r="D683" s="58" t="n"/>
      <c r="E683" s="64">
        <f>IF(tblCommentary[[#This Row],[Date]]="","",COUNTIFS(INDEX(tblCommentary[Date],1):tblCommentary[[#This Row],[Date]],tblCommentary[[#This Row],[Date]]))</f>
        <v/>
      </c>
      <c r="F683" s="63">
        <f>IF(tblCommentary[[#This Row],[Date]]="","",tblCommentary[[#This Row],[Date]]&amp;"|"&amp;tblCommentary[[#This Row],[Seq_Day]])</f>
        <v/>
      </c>
    </row>
    <row r="684">
      <c r="A684" s="54" t="n"/>
      <c r="B684" s="61" t="n"/>
      <c r="C684" s="58" t="n"/>
      <c r="D684" s="58" t="n"/>
      <c r="E684" s="64">
        <f>IF(tblCommentary[[#This Row],[Date]]="","",COUNTIFS(INDEX(tblCommentary[Date],1):tblCommentary[[#This Row],[Date]],tblCommentary[[#This Row],[Date]]))</f>
        <v/>
      </c>
      <c r="F684" s="63">
        <f>IF(tblCommentary[[#This Row],[Date]]="","",tblCommentary[[#This Row],[Date]]&amp;"|"&amp;tblCommentary[[#This Row],[Seq_Day]])</f>
        <v/>
      </c>
    </row>
    <row r="685">
      <c r="A685" s="54" t="n"/>
      <c r="B685" s="61" t="n"/>
      <c r="C685" s="58" t="n"/>
      <c r="D685" s="58" t="n"/>
      <c r="E685" s="64">
        <f>IF(tblCommentary[[#This Row],[Date]]="","",COUNTIFS(INDEX(tblCommentary[Date],1):tblCommentary[[#This Row],[Date]],tblCommentary[[#This Row],[Date]]))</f>
        <v/>
      </c>
      <c r="F685" s="63">
        <f>IF(tblCommentary[[#This Row],[Date]]="","",tblCommentary[[#This Row],[Date]]&amp;"|"&amp;tblCommentary[[#This Row],[Seq_Day]])</f>
        <v/>
      </c>
    </row>
    <row r="686">
      <c r="A686" s="54" t="n"/>
      <c r="B686" s="61" t="n"/>
      <c r="C686" s="58" t="n"/>
      <c r="D686" s="58" t="n"/>
      <c r="E686" s="64">
        <f>IF(tblCommentary[[#This Row],[Date]]="","",COUNTIFS(INDEX(tblCommentary[Date],1):tblCommentary[[#This Row],[Date]],tblCommentary[[#This Row],[Date]]))</f>
        <v/>
      </c>
      <c r="F686" s="63">
        <f>IF(tblCommentary[[#This Row],[Date]]="","",tblCommentary[[#This Row],[Date]]&amp;"|"&amp;tblCommentary[[#This Row],[Seq_Day]])</f>
        <v/>
      </c>
    </row>
    <row r="687">
      <c r="A687" s="54" t="n"/>
      <c r="B687" s="61" t="n"/>
      <c r="C687" s="58" t="n"/>
      <c r="D687" s="58" t="n"/>
      <c r="E687" s="64">
        <f>IF(tblCommentary[[#This Row],[Date]]="","",COUNTIFS(INDEX(tblCommentary[Date],1):tblCommentary[[#This Row],[Date]],tblCommentary[[#This Row],[Date]]))</f>
        <v/>
      </c>
      <c r="F687" s="63">
        <f>IF(tblCommentary[[#This Row],[Date]]="","",tblCommentary[[#This Row],[Date]]&amp;"|"&amp;tblCommentary[[#This Row],[Seq_Day]])</f>
        <v/>
      </c>
    </row>
    <row r="688">
      <c r="A688" s="54" t="n"/>
      <c r="B688" s="61" t="n"/>
      <c r="C688" s="58" t="n"/>
      <c r="D688" s="58" t="n"/>
      <c r="E688" s="64">
        <f>IF(tblCommentary[[#This Row],[Date]]="","",COUNTIFS(INDEX(tblCommentary[Date],1):tblCommentary[[#This Row],[Date]],tblCommentary[[#This Row],[Date]]))</f>
        <v/>
      </c>
      <c r="F688" s="63">
        <f>IF(tblCommentary[[#This Row],[Date]]="","",tblCommentary[[#This Row],[Date]]&amp;"|"&amp;tblCommentary[[#This Row],[Seq_Day]])</f>
        <v/>
      </c>
    </row>
    <row r="689">
      <c r="A689" s="54" t="n"/>
      <c r="B689" s="61" t="n"/>
      <c r="C689" s="58" t="n"/>
      <c r="D689" s="58" t="n"/>
      <c r="E689" s="64">
        <f>IF(tblCommentary[[#This Row],[Date]]="","",COUNTIFS(INDEX(tblCommentary[Date],1):tblCommentary[[#This Row],[Date]],tblCommentary[[#This Row],[Date]]))</f>
        <v/>
      </c>
      <c r="F689" s="63">
        <f>IF(tblCommentary[[#This Row],[Date]]="","",tblCommentary[[#This Row],[Date]]&amp;"|"&amp;tblCommentary[[#This Row],[Seq_Day]])</f>
        <v/>
      </c>
    </row>
    <row r="690">
      <c r="A690" s="54" t="n"/>
      <c r="B690" s="61" t="n"/>
      <c r="C690" s="58" t="n"/>
      <c r="D690" s="58" t="n"/>
      <c r="E690" s="64">
        <f>IF(tblCommentary[[#This Row],[Date]]="","",COUNTIFS(INDEX(tblCommentary[Date],1):tblCommentary[[#This Row],[Date]],tblCommentary[[#This Row],[Date]]))</f>
        <v/>
      </c>
      <c r="F690" s="63">
        <f>IF(tblCommentary[[#This Row],[Date]]="","",tblCommentary[[#This Row],[Date]]&amp;"|"&amp;tblCommentary[[#This Row],[Seq_Day]])</f>
        <v/>
      </c>
    </row>
    <row r="691">
      <c r="A691" s="54" t="n"/>
      <c r="B691" s="61" t="n"/>
      <c r="C691" s="58" t="n"/>
      <c r="D691" s="58" t="n"/>
      <c r="E691" s="64">
        <f>IF(tblCommentary[[#This Row],[Date]]="","",COUNTIFS(INDEX(tblCommentary[Date],1):tblCommentary[[#This Row],[Date]],tblCommentary[[#This Row],[Date]]))</f>
        <v/>
      </c>
      <c r="F691" s="63">
        <f>IF(tblCommentary[[#This Row],[Date]]="","",tblCommentary[[#This Row],[Date]]&amp;"|"&amp;tblCommentary[[#This Row],[Seq_Day]])</f>
        <v/>
      </c>
    </row>
    <row r="692">
      <c r="A692" s="54" t="n"/>
      <c r="B692" s="61" t="n"/>
      <c r="C692" s="58" t="n"/>
      <c r="D692" s="58" t="n"/>
      <c r="E692" s="64">
        <f>IF(tblCommentary[[#This Row],[Date]]="","",COUNTIFS(INDEX(tblCommentary[Date],1):tblCommentary[[#This Row],[Date]],tblCommentary[[#This Row],[Date]]))</f>
        <v/>
      </c>
      <c r="F692" s="63">
        <f>IF(tblCommentary[[#This Row],[Date]]="","",tblCommentary[[#This Row],[Date]]&amp;"|"&amp;tblCommentary[[#This Row],[Seq_Day]])</f>
        <v/>
      </c>
    </row>
    <row r="693">
      <c r="A693" s="54" t="n"/>
      <c r="B693" s="61" t="n"/>
      <c r="C693" s="58" t="n"/>
      <c r="D693" s="58" t="n"/>
      <c r="E693" s="64">
        <f>IF(tblCommentary[[#This Row],[Date]]="","",COUNTIFS(INDEX(tblCommentary[Date],1):tblCommentary[[#This Row],[Date]],tblCommentary[[#This Row],[Date]]))</f>
        <v/>
      </c>
      <c r="F693" s="63">
        <f>IF(tblCommentary[[#This Row],[Date]]="","",tblCommentary[[#This Row],[Date]]&amp;"|"&amp;tblCommentary[[#This Row],[Seq_Day]])</f>
        <v/>
      </c>
    </row>
    <row r="694">
      <c r="A694" s="54" t="n"/>
      <c r="B694" s="61" t="n"/>
      <c r="C694" s="58" t="n"/>
      <c r="D694" s="58" t="n"/>
      <c r="E694" s="64">
        <f>IF(tblCommentary[[#This Row],[Date]]="","",COUNTIFS(INDEX(tblCommentary[Date],1):tblCommentary[[#This Row],[Date]],tblCommentary[[#This Row],[Date]]))</f>
        <v/>
      </c>
      <c r="F694" s="63">
        <f>IF(tblCommentary[[#This Row],[Date]]="","",tblCommentary[[#This Row],[Date]]&amp;"|"&amp;tblCommentary[[#This Row],[Seq_Day]])</f>
        <v/>
      </c>
    </row>
    <row r="695">
      <c r="A695" s="54" t="n"/>
      <c r="B695" s="61" t="n"/>
      <c r="C695" s="58" t="n"/>
      <c r="D695" s="58" t="n"/>
      <c r="E695" s="64">
        <f>IF(tblCommentary[[#This Row],[Date]]="","",COUNTIFS(INDEX(tblCommentary[Date],1):tblCommentary[[#This Row],[Date]],tblCommentary[[#This Row],[Date]]))</f>
        <v/>
      </c>
      <c r="F695" s="63">
        <f>IF(tblCommentary[[#This Row],[Date]]="","",tblCommentary[[#This Row],[Date]]&amp;"|"&amp;tblCommentary[[#This Row],[Seq_Day]])</f>
        <v/>
      </c>
    </row>
    <row r="696">
      <c r="A696" s="54" t="n"/>
      <c r="B696" s="61" t="n"/>
      <c r="C696" s="58" t="n"/>
      <c r="D696" s="58" t="n"/>
      <c r="E696" s="64">
        <f>IF(tblCommentary[[#This Row],[Date]]="","",COUNTIFS(INDEX(tblCommentary[Date],1):tblCommentary[[#This Row],[Date]],tblCommentary[[#This Row],[Date]]))</f>
        <v/>
      </c>
      <c r="F696" s="63">
        <f>IF(tblCommentary[[#This Row],[Date]]="","",tblCommentary[[#This Row],[Date]]&amp;"|"&amp;tblCommentary[[#This Row],[Seq_Day]])</f>
        <v/>
      </c>
    </row>
    <row r="697">
      <c r="A697" s="54" t="n"/>
      <c r="B697" s="61" t="n"/>
      <c r="C697" s="58" t="n"/>
      <c r="D697" s="58" t="n"/>
      <c r="E697" s="64">
        <f>IF(tblCommentary[[#This Row],[Date]]="","",COUNTIFS(INDEX(tblCommentary[Date],1):tblCommentary[[#This Row],[Date]],tblCommentary[[#This Row],[Date]]))</f>
        <v/>
      </c>
      <c r="F697" s="63">
        <f>IF(tblCommentary[[#This Row],[Date]]="","",tblCommentary[[#This Row],[Date]]&amp;"|"&amp;tblCommentary[[#This Row],[Seq_Day]])</f>
        <v/>
      </c>
    </row>
    <row r="698">
      <c r="A698" s="54" t="n"/>
      <c r="B698" s="61" t="n"/>
      <c r="C698" s="58" t="n"/>
      <c r="D698" s="58" t="n"/>
      <c r="E698" s="64">
        <f>IF(tblCommentary[[#This Row],[Date]]="","",COUNTIFS(INDEX(tblCommentary[Date],1):tblCommentary[[#This Row],[Date]],tblCommentary[[#This Row],[Date]]))</f>
        <v/>
      </c>
      <c r="F698" s="63">
        <f>IF(tblCommentary[[#This Row],[Date]]="","",tblCommentary[[#This Row],[Date]]&amp;"|"&amp;tblCommentary[[#This Row],[Seq_Day]])</f>
        <v/>
      </c>
    </row>
    <row r="699">
      <c r="A699" s="54" t="n"/>
      <c r="B699" s="61" t="n"/>
      <c r="C699" s="58" t="n"/>
      <c r="D699" s="58" t="n"/>
      <c r="E699" s="64">
        <f>IF(tblCommentary[[#This Row],[Date]]="","",COUNTIFS(INDEX(tblCommentary[Date],1):tblCommentary[[#This Row],[Date]],tblCommentary[[#This Row],[Date]]))</f>
        <v/>
      </c>
      <c r="F699" s="63">
        <f>IF(tblCommentary[[#This Row],[Date]]="","",tblCommentary[[#This Row],[Date]]&amp;"|"&amp;tblCommentary[[#This Row],[Seq_Day]])</f>
        <v/>
      </c>
    </row>
    <row r="700">
      <c r="A700" s="54" t="n"/>
      <c r="B700" s="61" t="n"/>
      <c r="C700" s="58" t="n"/>
      <c r="D700" s="58" t="n"/>
      <c r="E700" s="64">
        <f>IF(tblCommentary[[#This Row],[Date]]="","",COUNTIFS(INDEX(tblCommentary[Date],1):tblCommentary[[#This Row],[Date]],tblCommentary[[#This Row],[Date]]))</f>
        <v/>
      </c>
      <c r="F700" s="63">
        <f>IF(tblCommentary[[#This Row],[Date]]="","",tblCommentary[[#This Row],[Date]]&amp;"|"&amp;tblCommentary[[#This Row],[Seq_Day]])</f>
        <v/>
      </c>
    </row>
    <row r="701">
      <c r="A701" s="54" t="n"/>
      <c r="B701" s="61" t="n"/>
      <c r="C701" s="58" t="n"/>
      <c r="D701" s="58" t="n"/>
      <c r="E701" s="64">
        <f>IF(tblCommentary[[#This Row],[Date]]="","",COUNTIFS(INDEX(tblCommentary[Date],1):tblCommentary[[#This Row],[Date]],tblCommentary[[#This Row],[Date]]))</f>
        <v/>
      </c>
      <c r="F701" s="63">
        <f>IF(tblCommentary[[#This Row],[Date]]="","",tblCommentary[[#This Row],[Date]]&amp;"|"&amp;tblCommentary[[#This Row],[Seq_Day]])</f>
        <v/>
      </c>
    </row>
    <row r="702">
      <c r="A702" s="54" t="n"/>
      <c r="B702" s="61" t="n"/>
      <c r="C702" s="58" t="n"/>
      <c r="D702" s="58" t="n"/>
      <c r="E702" s="64">
        <f>IF(tblCommentary[[#This Row],[Date]]="","",COUNTIFS(INDEX(tblCommentary[Date],1):tblCommentary[[#This Row],[Date]],tblCommentary[[#This Row],[Date]]))</f>
        <v/>
      </c>
      <c r="F702" s="63">
        <f>IF(tblCommentary[[#This Row],[Date]]="","",tblCommentary[[#This Row],[Date]]&amp;"|"&amp;tblCommentary[[#This Row],[Seq_Day]])</f>
        <v/>
      </c>
    </row>
    <row r="703">
      <c r="A703" s="54" t="n"/>
      <c r="B703" s="61" t="n"/>
      <c r="C703" s="58" t="n"/>
      <c r="D703" s="58" t="n"/>
      <c r="E703" s="64">
        <f>IF(tblCommentary[[#This Row],[Date]]="","",COUNTIFS(INDEX(tblCommentary[Date],1):tblCommentary[[#This Row],[Date]],tblCommentary[[#This Row],[Date]]))</f>
        <v/>
      </c>
      <c r="F703" s="63">
        <f>IF(tblCommentary[[#This Row],[Date]]="","",tblCommentary[[#This Row],[Date]]&amp;"|"&amp;tblCommentary[[#This Row],[Seq_Day]])</f>
        <v/>
      </c>
    </row>
    <row r="704">
      <c r="A704" s="54" t="n"/>
      <c r="B704" s="61" t="n"/>
      <c r="C704" s="58" t="n"/>
      <c r="D704" s="58" t="n"/>
      <c r="E704" s="64">
        <f>IF(tblCommentary[[#This Row],[Date]]="","",COUNTIFS(INDEX(tblCommentary[Date],1):tblCommentary[[#This Row],[Date]],tblCommentary[[#This Row],[Date]]))</f>
        <v/>
      </c>
      <c r="F704" s="63">
        <f>IF(tblCommentary[[#This Row],[Date]]="","",tblCommentary[[#This Row],[Date]]&amp;"|"&amp;tblCommentary[[#This Row],[Seq_Day]])</f>
        <v/>
      </c>
    </row>
    <row r="705">
      <c r="A705" s="54" t="n"/>
      <c r="B705" s="61" t="n"/>
      <c r="C705" s="58" t="n"/>
      <c r="D705" s="58" t="n"/>
      <c r="E705" s="64">
        <f>IF(tblCommentary[[#This Row],[Date]]="","",COUNTIFS(INDEX(tblCommentary[Date],1):tblCommentary[[#This Row],[Date]],tblCommentary[[#This Row],[Date]]))</f>
        <v/>
      </c>
      <c r="F705" s="63">
        <f>IF(tblCommentary[[#This Row],[Date]]="","",tblCommentary[[#This Row],[Date]]&amp;"|"&amp;tblCommentary[[#This Row],[Seq_Day]])</f>
        <v/>
      </c>
    </row>
    <row r="706">
      <c r="A706" s="54" t="n"/>
      <c r="B706" s="61" t="n"/>
      <c r="C706" s="58" t="n"/>
      <c r="D706" s="58" t="n"/>
      <c r="E706" s="64">
        <f>IF(tblCommentary[[#This Row],[Date]]="","",COUNTIFS(INDEX(tblCommentary[Date],1):tblCommentary[[#This Row],[Date]],tblCommentary[[#This Row],[Date]]))</f>
        <v/>
      </c>
      <c r="F706" s="63">
        <f>IF(tblCommentary[[#This Row],[Date]]="","",tblCommentary[[#This Row],[Date]]&amp;"|"&amp;tblCommentary[[#This Row],[Seq_Day]])</f>
        <v/>
      </c>
    </row>
    <row r="707">
      <c r="A707" s="54" t="n"/>
      <c r="B707" s="61" t="n"/>
      <c r="C707" s="58" t="n"/>
      <c r="D707" s="58" t="n"/>
      <c r="E707" s="64">
        <f>IF(tblCommentary[[#This Row],[Date]]="","",COUNTIFS(INDEX(tblCommentary[Date],1):tblCommentary[[#This Row],[Date]],tblCommentary[[#This Row],[Date]]))</f>
        <v/>
      </c>
      <c r="F707" s="63">
        <f>IF(tblCommentary[[#This Row],[Date]]="","",tblCommentary[[#This Row],[Date]]&amp;"|"&amp;tblCommentary[[#This Row],[Seq_Day]])</f>
        <v/>
      </c>
    </row>
    <row r="708">
      <c r="A708" s="54" t="n"/>
      <c r="B708" s="61" t="n"/>
      <c r="C708" s="58" t="n"/>
      <c r="D708" s="58" t="n"/>
      <c r="E708" s="64">
        <f>IF(tblCommentary[[#This Row],[Date]]="","",COUNTIFS(INDEX(tblCommentary[Date],1):tblCommentary[[#This Row],[Date]],tblCommentary[[#This Row],[Date]]))</f>
        <v/>
      </c>
      <c r="F708" s="63">
        <f>IF(tblCommentary[[#This Row],[Date]]="","",tblCommentary[[#This Row],[Date]]&amp;"|"&amp;tblCommentary[[#This Row],[Seq_Day]])</f>
        <v/>
      </c>
    </row>
    <row r="709">
      <c r="A709" s="54" t="n"/>
      <c r="B709" s="61" t="n"/>
      <c r="C709" s="58" t="n"/>
      <c r="D709" s="58" t="n"/>
      <c r="E709" s="64">
        <f>IF(tblCommentary[[#This Row],[Date]]="","",COUNTIFS(INDEX(tblCommentary[Date],1):tblCommentary[[#This Row],[Date]],tblCommentary[[#This Row],[Date]]))</f>
        <v/>
      </c>
      <c r="F709" s="63">
        <f>IF(tblCommentary[[#This Row],[Date]]="","",tblCommentary[[#This Row],[Date]]&amp;"|"&amp;tblCommentary[[#This Row],[Seq_Day]])</f>
        <v/>
      </c>
    </row>
    <row r="710">
      <c r="A710" s="54" t="n"/>
      <c r="B710" s="61" t="n"/>
      <c r="C710" s="58" t="n"/>
      <c r="D710" s="58" t="n"/>
      <c r="E710" s="64">
        <f>IF(tblCommentary[[#This Row],[Date]]="","",COUNTIFS(INDEX(tblCommentary[Date],1):tblCommentary[[#This Row],[Date]],tblCommentary[[#This Row],[Date]]))</f>
        <v/>
      </c>
      <c r="F710" s="63">
        <f>IF(tblCommentary[[#This Row],[Date]]="","",tblCommentary[[#This Row],[Date]]&amp;"|"&amp;tblCommentary[[#This Row],[Seq_Day]])</f>
        <v/>
      </c>
    </row>
    <row r="711">
      <c r="A711" s="54" t="n"/>
      <c r="B711" s="61" t="n"/>
      <c r="C711" s="58" t="n"/>
      <c r="D711" s="58" t="n"/>
      <c r="E711" s="64">
        <f>IF(tblCommentary[[#This Row],[Date]]="","",COUNTIFS(INDEX(tblCommentary[Date],1):tblCommentary[[#This Row],[Date]],tblCommentary[[#This Row],[Date]]))</f>
        <v/>
      </c>
      <c r="F711" s="63">
        <f>IF(tblCommentary[[#This Row],[Date]]="","",tblCommentary[[#This Row],[Date]]&amp;"|"&amp;tblCommentary[[#This Row],[Seq_Day]])</f>
        <v/>
      </c>
    </row>
    <row r="712">
      <c r="A712" s="54" t="n"/>
      <c r="B712" s="61" t="n"/>
      <c r="C712" s="58" t="n"/>
      <c r="D712" s="58" t="n"/>
      <c r="E712" s="64">
        <f>IF(tblCommentary[[#This Row],[Date]]="","",COUNTIFS(INDEX(tblCommentary[Date],1):tblCommentary[[#This Row],[Date]],tblCommentary[[#This Row],[Date]]))</f>
        <v/>
      </c>
      <c r="F712" s="63">
        <f>IF(tblCommentary[[#This Row],[Date]]="","",tblCommentary[[#This Row],[Date]]&amp;"|"&amp;tblCommentary[[#This Row],[Seq_Day]])</f>
        <v/>
      </c>
    </row>
    <row r="713">
      <c r="A713" s="54" t="n"/>
      <c r="B713" s="61" t="n"/>
      <c r="C713" s="58" t="n"/>
      <c r="D713" s="58" t="n"/>
      <c r="E713" s="64">
        <f>IF(tblCommentary[[#This Row],[Date]]="","",COUNTIFS(INDEX(tblCommentary[Date],1):tblCommentary[[#This Row],[Date]],tblCommentary[[#This Row],[Date]]))</f>
        <v/>
      </c>
      <c r="F713" s="63">
        <f>IF(tblCommentary[[#This Row],[Date]]="","",tblCommentary[[#This Row],[Date]]&amp;"|"&amp;tblCommentary[[#This Row],[Seq_Day]])</f>
        <v/>
      </c>
    </row>
    <row r="714">
      <c r="A714" s="54" t="n"/>
      <c r="B714" s="61" t="n"/>
      <c r="C714" s="58" t="n"/>
      <c r="D714" s="58" t="n"/>
      <c r="E714" s="64">
        <f>IF(tblCommentary[[#This Row],[Date]]="","",COUNTIFS(INDEX(tblCommentary[Date],1):tblCommentary[[#This Row],[Date]],tblCommentary[[#This Row],[Date]]))</f>
        <v/>
      </c>
      <c r="F714" s="63">
        <f>IF(tblCommentary[[#This Row],[Date]]="","",tblCommentary[[#This Row],[Date]]&amp;"|"&amp;tblCommentary[[#This Row],[Seq_Day]])</f>
        <v/>
      </c>
    </row>
    <row r="715">
      <c r="A715" s="54" t="n"/>
      <c r="B715" s="61" t="n"/>
      <c r="C715" s="58" t="n"/>
      <c r="D715" s="58" t="n"/>
      <c r="E715" s="64">
        <f>IF(tblCommentary[[#This Row],[Date]]="","",COUNTIFS(INDEX(tblCommentary[Date],1):tblCommentary[[#This Row],[Date]],tblCommentary[[#This Row],[Date]]))</f>
        <v/>
      </c>
      <c r="F715" s="63">
        <f>IF(tblCommentary[[#This Row],[Date]]="","",tblCommentary[[#This Row],[Date]]&amp;"|"&amp;tblCommentary[[#This Row],[Seq_Day]])</f>
        <v/>
      </c>
    </row>
    <row r="716">
      <c r="A716" s="54" t="n"/>
      <c r="B716" s="61" t="n"/>
      <c r="C716" s="58" t="n"/>
      <c r="D716" s="58" t="n"/>
      <c r="E716" s="64">
        <f>IF(tblCommentary[[#This Row],[Date]]="","",COUNTIFS(INDEX(tblCommentary[Date],1):tblCommentary[[#This Row],[Date]],tblCommentary[[#This Row],[Date]]))</f>
        <v/>
      </c>
      <c r="F716" s="63">
        <f>IF(tblCommentary[[#This Row],[Date]]="","",tblCommentary[[#This Row],[Date]]&amp;"|"&amp;tblCommentary[[#This Row],[Seq_Day]])</f>
        <v/>
      </c>
    </row>
    <row r="717">
      <c r="A717" s="54" t="n"/>
      <c r="B717" s="61" t="n"/>
      <c r="C717" s="58" t="n"/>
      <c r="D717" s="58" t="n"/>
      <c r="E717" s="64">
        <f>IF(tblCommentary[[#This Row],[Date]]="","",COUNTIFS(INDEX(tblCommentary[Date],1):tblCommentary[[#This Row],[Date]],tblCommentary[[#This Row],[Date]]))</f>
        <v/>
      </c>
      <c r="F717" s="63">
        <f>IF(tblCommentary[[#This Row],[Date]]="","",tblCommentary[[#This Row],[Date]]&amp;"|"&amp;tblCommentary[[#This Row],[Seq_Day]])</f>
        <v/>
      </c>
    </row>
    <row r="718">
      <c r="A718" s="54" t="n"/>
      <c r="B718" s="61" t="n"/>
      <c r="C718" s="58" t="n"/>
      <c r="D718" s="58" t="n"/>
      <c r="E718" s="64">
        <f>IF(tblCommentary[[#This Row],[Date]]="","",COUNTIFS(INDEX(tblCommentary[Date],1):tblCommentary[[#This Row],[Date]],tblCommentary[[#This Row],[Date]]))</f>
        <v/>
      </c>
      <c r="F718" s="63">
        <f>IF(tblCommentary[[#This Row],[Date]]="","",tblCommentary[[#This Row],[Date]]&amp;"|"&amp;tblCommentary[[#This Row],[Seq_Day]])</f>
        <v/>
      </c>
    </row>
    <row r="719">
      <c r="A719" s="54" t="n"/>
      <c r="B719" s="61" t="n"/>
      <c r="C719" s="58" t="n"/>
      <c r="D719" s="58" t="n"/>
      <c r="E719" s="64">
        <f>IF(tblCommentary[[#This Row],[Date]]="","",COUNTIFS(INDEX(tblCommentary[Date],1):tblCommentary[[#This Row],[Date]],tblCommentary[[#This Row],[Date]]))</f>
        <v/>
      </c>
      <c r="F719" s="63">
        <f>IF(tblCommentary[[#This Row],[Date]]="","",tblCommentary[[#This Row],[Date]]&amp;"|"&amp;tblCommentary[[#This Row],[Seq_Day]])</f>
        <v/>
      </c>
    </row>
    <row r="720">
      <c r="A720" s="54" t="n"/>
      <c r="B720" s="61" t="n"/>
      <c r="C720" s="58" t="n"/>
      <c r="D720" s="58" t="n"/>
      <c r="E720" s="64">
        <f>IF(tblCommentary[[#This Row],[Date]]="","",COUNTIFS(INDEX(tblCommentary[Date],1):tblCommentary[[#This Row],[Date]],tblCommentary[[#This Row],[Date]]))</f>
        <v/>
      </c>
      <c r="F720" s="63">
        <f>IF(tblCommentary[[#This Row],[Date]]="","",tblCommentary[[#This Row],[Date]]&amp;"|"&amp;tblCommentary[[#This Row],[Seq_Day]])</f>
        <v/>
      </c>
    </row>
    <row r="721">
      <c r="A721" s="54" t="n"/>
      <c r="B721" s="61" t="n"/>
      <c r="C721" s="58" t="n"/>
      <c r="D721" s="58" t="n"/>
      <c r="E721" s="64">
        <f>IF(tblCommentary[[#This Row],[Date]]="","",COUNTIFS(INDEX(tblCommentary[Date],1):tblCommentary[[#This Row],[Date]],tblCommentary[[#This Row],[Date]]))</f>
        <v/>
      </c>
      <c r="F721" s="63">
        <f>IF(tblCommentary[[#This Row],[Date]]="","",tblCommentary[[#This Row],[Date]]&amp;"|"&amp;tblCommentary[[#This Row],[Seq_Day]])</f>
        <v/>
      </c>
    </row>
    <row r="722">
      <c r="A722" s="54" t="n"/>
      <c r="B722" s="61" t="n"/>
      <c r="C722" s="58" t="n"/>
      <c r="D722" s="58" t="n"/>
      <c r="E722" s="64">
        <f>IF(tblCommentary[[#This Row],[Date]]="","",COUNTIFS(INDEX(tblCommentary[Date],1):tblCommentary[[#This Row],[Date]],tblCommentary[[#This Row],[Date]]))</f>
        <v/>
      </c>
      <c r="F722" s="63">
        <f>IF(tblCommentary[[#This Row],[Date]]="","",tblCommentary[[#This Row],[Date]]&amp;"|"&amp;tblCommentary[[#This Row],[Seq_Day]])</f>
        <v/>
      </c>
    </row>
    <row r="723">
      <c r="A723" s="54" t="n"/>
      <c r="B723" s="61" t="n"/>
      <c r="C723" s="58" t="n"/>
      <c r="D723" s="58" t="n"/>
      <c r="E723" s="64">
        <f>IF(tblCommentary[[#This Row],[Date]]="","",COUNTIFS(INDEX(tblCommentary[Date],1):tblCommentary[[#This Row],[Date]],tblCommentary[[#This Row],[Date]]))</f>
        <v/>
      </c>
      <c r="F723" s="63">
        <f>IF(tblCommentary[[#This Row],[Date]]="","",tblCommentary[[#This Row],[Date]]&amp;"|"&amp;tblCommentary[[#This Row],[Seq_Day]])</f>
        <v/>
      </c>
    </row>
    <row r="724">
      <c r="A724" s="54" t="n"/>
      <c r="B724" s="61" t="n"/>
      <c r="C724" s="58" t="n"/>
      <c r="D724" s="58" t="n"/>
      <c r="E724" s="64">
        <f>IF(tblCommentary[[#This Row],[Date]]="","",COUNTIFS(INDEX(tblCommentary[Date],1):tblCommentary[[#This Row],[Date]],tblCommentary[[#This Row],[Date]]))</f>
        <v/>
      </c>
      <c r="F724" s="63">
        <f>IF(tblCommentary[[#This Row],[Date]]="","",tblCommentary[[#This Row],[Date]]&amp;"|"&amp;tblCommentary[[#This Row],[Seq_Day]])</f>
        <v/>
      </c>
    </row>
    <row r="725">
      <c r="A725" s="54" t="n"/>
      <c r="B725" s="61" t="n"/>
      <c r="C725" s="58" t="n"/>
      <c r="D725" s="58" t="n"/>
      <c r="E725" s="64">
        <f>IF(tblCommentary[[#This Row],[Date]]="","",COUNTIFS(INDEX(tblCommentary[Date],1):tblCommentary[[#This Row],[Date]],tblCommentary[[#This Row],[Date]]))</f>
        <v/>
      </c>
      <c r="F725" s="63">
        <f>IF(tblCommentary[[#This Row],[Date]]="","",tblCommentary[[#This Row],[Date]]&amp;"|"&amp;tblCommentary[[#This Row],[Seq_Day]])</f>
        <v/>
      </c>
    </row>
    <row r="726">
      <c r="A726" s="54" t="n"/>
      <c r="B726" s="61" t="n"/>
      <c r="C726" s="58" t="n"/>
      <c r="D726" s="58" t="n"/>
      <c r="E726" s="64">
        <f>IF(tblCommentary[[#This Row],[Date]]="","",COUNTIFS(INDEX(tblCommentary[Date],1):tblCommentary[[#This Row],[Date]],tblCommentary[[#This Row],[Date]]))</f>
        <v/>
      </c>
      <c r="F726" s="63">
        <f>IF(tblCommentary[[#This Row],[Date]]="","",tblCommentary[[#This Row],[Date]]&amp;"|"&amp;tblCommentary[[#This Row],[Seq_Day]])</f>
        <v/>
      </c>
    </row>
    <row r="727">
      <c r="A727" s="54" t="n"/>
      <c r="B727" s="61" t="n"/>
      <c r="C727" s="58" t="n"/>
      <c r="D727" s="58" t="n"/>
      <c r="E727" s="64">
        <f>IF(tblCommentary[[#This Row],[Date]]="","",COUNTIFS(INDEX(tblCommentary[Date],1):tblCommentary[[#This Row],[Date]],tblCommentary[[#This Row],[Date]]))</f>
        <v/>
      </c>
      <c r="F727" s="63">
        <f>IF(tblCommentary[[#This Row],[Date]]="","",tblCommentary[[#This Row],[Date]]&amp;"|"&amp;tblCommentary[[#This Row],[Seq_Day]])</f>
        <v/>
      </c>
    </row>
    <row r="728">
      <c r="A728" s="54" t="n"/>
      <c r="B728" s="61" t="n"/>
      <c r="C728" s="58" t="n"/>
      <c r="D728" s="58" t="n"/>
      <c r="E728" s="64">
        <f>IF(tblCommentary[[#This Row],[Date]]="","",COUNTIFS(INDEX(tblCommentary[Date],1):tblCommentary[[#This Row],[Date]],tblCommentary[[#This Row],[Date]]))</f>
        <v/>
      </c>
      <c r="F728" s="63">
        <f>IF(tblCommentary[[#This Row],[Date]]="","",tblCommentary[[#This Row],[Date]]&amp;"|"&amp;tblCommentary[[#This Row],[Seq_Day]])</f>
        <v/>
      </c>
    </row>
    <row r="729">
      <c r="A729" s="54" t="n"/>
      <c r="B729" s="61" t="n"/>
      <c r="C729" s="58" t="n"/>
      <c r="D729" s="58" t="n"/>
      <c r="E729" s="64">
        <f>IF(tblCommentary[[#This Row],[Date]]="","",COUNTIFS(INDEX(tblCommentary[Date],1):tblCommentary[[#This Row],[Date]],tblCommentary[[#This Row],[Date]]))</f>
        <v/>
      </c>
      <c r="F729" s="63">
        <f>IF(tblCommentary[[#This Row],[Date]]="","",tblCommentary[[#This Row],[Date]]&amp;"|"&amp;tblCommentary[[#This Row],[Seq_Day]])</f>
        <v/>
      </c>
    </row>
    <row r="730">
      <c r="A730" s="54" t="n"/>
      <c r="B730" s="61" t="n"/>
      <c r="C730" s="58" t="n"/>
      <c r="D730" s="58" t="n"/>
      <c r="E730" s="64">
        <f>IF(tblCommentary[[#This Row],[Date]]="","",COUNTIFS(INDEX(tblCommentary[Date],1):tblCommentary[[#This Row],[Date]],tblCommentary[[#This Row],[Date]]))</f>
        <v/>
      </c>
      <c r="F730" s="63">
        <f>IF(tblCommentary[[#This Row],[Date]]="","",tblCommentary[[#This Row],[Date]]&amp;"|"&amp;tblCommentary[[#This Row],[Seq_Day]])</f>
        <v/>
      </c>
    </row>
    <row r="731">
      <c r="A731" s="54" t="n"/>
      <c r="B731" s="61" t="n"/>
      <c r="C731" s="58" t="n"/>
      <c r="D731" s="58" t="n"/>
      <c r="E731" s="64">
        <f>IF(tblCommentary[[#This Row],[Date]]="","",COUNTIFS(INDEX(tblCommentary[Date],1):tblCommentary[[#This Row],[Date]],tblCommentary[[#This Row],[Date]]))</f>
        <v/>
      </c>
      <c r="F731" s="63">
        <f>IF(tblCommentary[[#This Row],[Date]]="","",tblCommentary[[#This Row],[Date]]&amp;"|"&amp;tblCommentary[[#This Row],[Seq_Day]])</f>
        <v/>
      </c>
    </row>
    <row r="732">
      <c r="A732" s="54" t="n"/>
      <c r="B732" s="61" t="n"/>
      <c r="C732" s="58" t="n"/>
      <c r="D732" s="58" t="n"/>
      <c r="E732" s="64">
        <f>IF(tblCommentary[[#This Row],[Date]]="","",COUNTIFS(INDEX(tblCommentary[Date],1):tblCommentary[[#This Row],[Date]],tblCommentary[[#This Row],[Date]]))</f>
        <v/>
      </c>
      <c r="F732" s="63">
        <f>IF(tblCommentary[[#This Row],[Date]]="","",tblCommentary[[#This Row],[Date]]&amp;"|"&amp;tblCommentary[[#This Row],[Seq_Day]])</f>
        <v/>
      </c>
    </row>
    <row r="733">
      <c r="A733" s="54" t="n"/>
      <c r="B733" s="61" t="n"/>
      <c r="C733" s="58" t="n"/>
      <c r="D733" s="58" t="n"/>
      <c r="E733" s="64">
        <f>IF(tblCommentary[[#This Row],[Date]]="","",COUNTIFS(INDEX(tblCommentary[Date],1):tblCommentary[[#This Row],[Date]],tblCommentary[[#This Row],[Date]]))</f>
        <v/>
      </c>
      <c r="F733" s="63">
        <f>IF(tblCommentary[[#This Row],[Date]]="","",tblCommentary[[#This Row],[Date]]&amp;"|"&amp;tblCommentary[[#This Row],[Seq_Day]])</f>
        <v/>
      </c>
    </row>
    <row r="734">
      <c r="A734" s="54" t="n"/>
      <c r="B734" s="61" t="n"/>
      <c r="C734" s="58" t="n"/>
      <c r="D734" s="58" t="n"/>
      <c r="E734" s="64">
        <f>IF(tblCommentary[[#This Row],[Date]]="","",COUNTIFS(INDEX(tblCommentary[Date],1):tblCommentary[[#This Row],[Date]],tblCommentary[[#This Row],[Date]]))</f>
        <v/>
      </c>
      <c r="F734" s="63">
        <f>IF(tblCommentary[[#This Row],[Date]]="","",tblCommentary[[#This Row],[Date]]&amp;"|"&amp;tblCommentary[[#This Row],[Seq_Day]])</f>
        <v/>
      </c>
    </row>
    <row r="735">
      <c r="A735" s="54" t="n"/>
      <c r="B735" s="61" t="n"/>
      <c r="C735" s="58" t="n"/>
      <c r="D735" s="58" t="n"/>
      <c r="E735" s="64">
        <f>IF(tblCommentary[[#This Row],[Date]]="","",COUNTIFS(INDEX(tblCommentary[Date],1):tblCommentary[[#This Row],[Date]],tblCommentary[[#This Row],[Date]]))</f>
        <v/>
      </c>
      <c r="F735" s="63">
        <f>IF(tblCommentary[[#This Row],[Date]]="","",tblCommentary[[#This Row],[Date]]&amp;"|"&amp;tblCommentary[[#This Row],[Seq_Day]])</f>
        <v/>
      </c>
    </row>
    <row r="736">
      <c r="A736" s="54" t="n"/>
      <c r="B736" s="61" t="n"/>
      <c r="C736" s="58" t="n"/>
      <c r="D736" s="58" t="n"/>
      <c r="E736" s="64">
        <f>IF(tblCommentary[[#This Row],[Date]]="","",COUNTIFS(INDEX(tblCommentary[Date],1):tblCommentary[[#This Row],[Date]],tblCommentary[[#This Row],[Date]]))</f>
        <v/>
      </c>
      <c r="F736" s="63">
        <f>IF(tblCommentary[[#This Row],[Date]]="","",tblCommentary[[#This Row],[Date]]&amp;"|"&amp;tblCommentary[[#This Row],[Seq_Day]])</f>
        <v/>
      </c>
    </row>
    <row r="737">
      <c r="A737" s="54" t="n"/>
      <c r="B737" s="61" t="n"/>
      <c r="C737" s="58" t="n"/>
      <c r="D737" s="58" t="n"/>
      <c r="E737" s="64">
        <f>IF(tblCommentary[[#This Row],[Date]]="","",COUNTIFS(INDEX(tblCommentary[Date],1):tblCommentary[[#This Row],[Date]],tblCommentary[[#This Row],[Date]]))</f>
        <v/>
      </c>
      <c r="F737" s="63">
        <f>IF(tblCommentary[[#This Row],[Date]]="","",tblCommentary[[#This Row],[Date]]&amp;"|"&amp;tblCommentary[[#This Row],[Seq_Day]])</f>
        <v/>
      </c>
    </row>
    <row r="738">
      <c r="A738" s="54" t="n"/>
      <c r="B738" s="61" t="n"/>
      <c r="C738" s="58" t="n"/>
      <c r="D738" s="58" t="n"/>
      <c r="E738" s="64">
        <f>IF(tblCommentary[[#This Row],[Date]]="","",COUNTIFS(INDEX(tblCommentary[Date],1):tblCommentary[[#This Row],[Date]],tblCommentary[[#This Row],[Date]]))</f>
        <v/>
      </c>
      <c r="F738" s="63">
        <f>IF(tblCommentary[[#This Row],[Date]]="","",tblCommentary[[#This Row],[Date]]&amp;"|"&amp;tblCommentary[[#This Row],[Seq_Day]])</f>
        <v/>
      </c>
    </row>
    <row r="739">
      <c r="A739" s="54" t="n"/>
      <c r="B739" s="61" t="n"/>
      <c r="C739" s="58" t="n"/>
      <c r="D739" s="58" t="n"/>
      <c r="E739" s="64">
        <f>IF(tblCommentary[[#This Row],[Date]]="","",COUNTIFS(INDEX(tblCommentary[Date],1):tblCommentary[[#This Row],[Date]],tblCommentary[[#This Row],[Date]]))</f>
        <v/>
      </c>
      <c r="F739" s="63">
        <f>IF(tblCommentary[[#This Row],[Date]]="","",tblCommentary[[#This Row],[Date]]&amp;"|"&amp;tblCommentary[[#This Row],[Seq_Day]])</f>
        <v/>
      </c>
    </row>
    <row r="740">
      <c r="A740" s="54" t="n"/>
      <c r="B740" s="61" t="n"/>
      <c r="C740" s="58" t="n"/>
      <c r="D740" s="58" t="n"/>
      <c r="E740" s="64">
        <f>IF(tblCommentary[[#This Row],[Date]]="","",COUNTIFS(INDEX(tblCommentary[Date],1):tblCommentary[[#This Row],[Date]],tblCommentary[[#This Row],[Date]]))</f>
        <v/>
      </c>
      <c r="F740" s="63">
        <f>IF(tblCommentary[[#This Row],[Date]]="","",tblCommentary[[#This Row],[Date]]&amp;"|"&amp;tblCommentary[[#This Row],[Seq_Day]])</f>
        <v/>
      </c>
    </row>
    <row r="741">
      <c r="A741" s="54" t="n"/>
      <c r="B741" s="61" t="n"/>
      <c r="C741" s="58" t="n"/>
      <c r="D741" s="58" t="n"/>
      <c r="E741" s="64">
        <f>IF(tblCommentary[[#This Row],[Date]]="","",COUNTIFS(INDEX(tblCommentary[Date],1):tblCommentary[[#This Row],[Date]],tblCommentary[[#This Row],[Date]]))</f>
        <v/>
      </c>
      <c r="F741" s="63">
        <f>IF(tblCommentary[[#This Row],[Date]]="","",tblCommentary[[#This Row],[Date]]&amp;"|"&amp;tblCommentary[[#This Row],[Seq_Day]])</f>
        <v/>
      </c>
    </row>
    <row r="742">
      <c r="A742" s="54" t="n"/>
      <c r="B742" s="61" t="n"/>
      <c r="C742" s="58" t="n"/>
      <c r="D742" s="58" t="n"/>
      <c r="E742" s="64">
        <f>IF(tblCommentary[[#This Row],[Date]]="","",COUNTIFS(INDEX(tblCommentary[Date],1):tblCommentary[[#This Row],[Date]],tblCommentary[[#This Row],[Date]]))</f>
        <v/>
      </c>
      <c r="F742" s="63">
        <f>IF(tblCommentary[[#This Row],[Date]]="","",tblCommentary[[#This Row],[Date]]&amp;"|"&amp;tblCommentary[[#This Row],[Seq_Day]])</f>
        <v/>
      </c>
    </row>
    <row r="743">
      <c r="A743" s="54" t="n"/>
      <c r="B743" s="61" t="n"/>
      <c r="C743" s="58" t="n"/>
      <c r="D743" s="58" t="n"/>
      <c r="E743" s="64">
        <f>IF(tblCommentary[[#This Row],[Date]]="","",COUNTIFS(INDEX(tblCommentary[Date],1):tblCommentary[[#This Row],[Date]],tblCommentary[[#This Row],[Date]]))</f>
        <v/>
      </c>
      <c r="F743" s="63">
        <f>IF(tblCommentary[[#This Row],[Date]]="","",tblCommentary[[#This Row],[Date]]&amp;"|"&amp;tblCommentary[[#This Row],[Seq_Day]])</f>
        <v/>
      </c>
    </row>
    <row r="744">
      <c r="A744" s="54" t="n"/>
      <c r="B744" s="61" t="n"/>
      <c r="C744" s="58" t="n"/>
      <c r="D744" s="58" t="n"/>
      <c r="E744" s="64">
        <f>IF(tblCommentary[[#This Row],[Date]]="","",COUNTIFS(INDEX(tblCommentary[Date],1):tblCommentary[[#This Row],[Date]],tblCommentary[[#This Row],[Date]]))</f>
        <v/>
      </c>
      <c r="F744" s="63">
        <f>IF(tblCommentary[[#This Row],[Date]]="","",tblCommentary[[#This Row],[Date]]&amp;"|"&amp;tblCommentary[[#This Row],[Seq_Day]])</f>
        <v/>
      </c>
    </row>
    <row r="745">
      <c r="A745" s="54" t="n"/>
      <c r="B745" s="61" t="n"/>
      <c r="C745" s="58" t="n"/>
      <c r="D745" s="58" t="n"/>
      <c r="E745" s="64">
        <f>IF(tblCommentary[[#This Row],[Date]]="","",COUNTIFS(INDEX(tblCommentary[Date],1):tblCommentary[[#This Row],[Date]],tblCommentary[[#This Row],[Date]]))</f>
        <v/>
      </c>
      <c r="F745" s="63">
        <f>IF(tblCommentary[[#This Row],[Date]]="","",tblCommentary[[#This Row],[Date]]&amp;"|"&amp;tblCommentary[[#This Row],[Seq_Day]])</f>
        <v/>
      </c>
    </row>
    <row r="746">
      <c r="A746" s="54" t="n"/>
      <c r="B746" s="61" t="n"/>
      <c r="C746" s="58" t="n"/>
      <c r="D746" s="58" t="n"/>
      <c r="E746" s="64">
        <f>IF(tblCommentary[[#This Row],[Date]]="","",COUNTIFS(INDEX(tblCommentary[Date],1):tblCommentary[[#This Row],[Date]],tblCommentary[[#This Row],[Date]]))</f>
        <v/>
      </c>
      <c r="F746" s="63">
        <f>IF(tblCommentary[[#This Row],[Date]]="","",tblCommentary[[#This Row],[Date]]&amp;"|"&amp;tblCommentary[[#This Row],[Seq_Day]])</f>
        <v/>
      </c>
    </row>
    <row r="747">
      <c r="A747" s="54" t="n"/>
      <c r="B747" s="61" t="n"/>
      <c r="C747" s="58" t="n"/>
      <c r="D747" s="58" t="n"/>
      <c r="E747" s="64">
        <f>IF(tblCommentary[[#This Row],[Date]]="","",COUNTIFS(INDEX(tblCommentary[Date],1):tblCommentary[[#This Row],[Date]],tblCommentary[[#This Row],[Date]]))</f>
        <v/>
      </c>
      <c r="F747" s="63">
        <f>IF(tblCommentary[[#This Row],[Date]]="","",tblCommentary[[#This Row],[Date]]&amp;"|"&amp;tblCommentary[[#This Row],[Seq_Day]])</f>
        <v/>
      </c>
    </row>
    <row r="748">
      <c r="A748" s="54" t="n"/>
      <c r="B748" s="61" t="n"/>
      <c r="C748" s="58" t="n"/>
      <c r="D748" s="58" t="n"/>
      <c r="E748" s="64">
        <f>IF(tblCommentary[[#This Row],[Date]]="","",COUNTIFS(INDEX(tblCommentary[Date],1):tblCommentary[[#This Row],[Date]],tblCommentary[[#This Row],[Date]]))</f>
        <v/>
      </c>
      <c r="F748" s="63">
        <f>IF(tblCommentary[[#This Row],[Date]]="","",tblCommentary[[#This Row],[Date]]&amp;"|"&amp;tblCommentary[[#This Row],[Seq_Day]])</f>
        <v/>
      </c>
    </row>
    <row r="749">
      <c r="A749" s="54" t="n"/>
      <c r="B749" s="61" t="n"/>
      <c r="C749" s="58" t="n"/>
      <c r="D749" s="58" t="n"/>
      <c r="E749" s="64">
        <f>IF(tblCommentary[[#This Row],[Date]]="","",COUNTIFS(INDEX(tblCommentary[Date],1):tblCommentary[[#This Row],[Date]],tblCommentary[[#This Row],[Date]]))</f>
        <v/>
      </c>
      <c r="F749" s="63">
        <f>IF(tblCommentary[[#This Row],[Date]]="","",tblCommentary[[#This Row],[Date]]&amp;"|"&amp;tblCommentary[[#This Row],[Seq_Day]])</f>
        <v/>
      </c>
    </row>
    <row r="750">
      <c r="A750" s="54" t="n"/>
      <c r="B750" s="61" t="n"/>
      <c r="C750" s="58" t="n"/>
      <c r="D750" s="58" t="n"/>
      <c r="E750" s="64">
        <f>IF(tblCommentary[[#This Row],[Date]]="","",COUNTIFS(INDEX(tblCommentary[Date],1):tblCommentary[[#This Row],[Date]],tblCommentary[[#This Row],[Date]]))</f>
        <v/>
      </c>
      <c r="F750" s="63">
        <f>IF(tblCommentary[[#This Row],[Date]]="","",tblCommentary[[#This Row],[Date]]&amp;"|"&amp;tblCommentary[[#This Row],[Seq_Day]])</f>
        <v/>
      </c>
    </row>
    <row r="751">
      <c r="A751" s="54" t="n"/>
      <c r="B751" s="61" t="n"/>
      <c r="C751" s="58" t="n"/>
      <c r="D751" s="58" t="n"/>
      <c r="E751" s="64">
        <f>IF(tblCommentary[[#This Row],[Date]]="","",COUNTIFS(INDEX(tblCommentary[Date],1):tblCommentary[[#This Row],[Date]],tblCommentary[[#This Row],[Date]]))</f>
        <v/>
      </c>
      <c r="F751" s="63">
        <f>IF(tblCommentary[[#This Row],[Date]]="","",tblCommentary[[#This Row],[Date]]&amp;"|"&amp;tblCommentary[[#This Row],[Seq_Day]])</f>
        <v/>
      </c>
    </row>
    <row r="752">
      <c r="A752" s="54" t="n"/>
      <c r="B752" s="61" t="n"/>
      <c r="C752" s="58" t="n"/>
      <c r="D752" s="58" t="n"/>
      <c r="E752" s="64">
        <f>IF(tblCommentary[[#This Row],[Date]]="","",COUNTIFS(INDEX(tblCommentary[Date],1):tblCommentary[[#This Row],[Date]],tblCommentary[[#This Row],[Date]]))</f>
        <v/>
      </c>
      <c r="F752" s="63">
        <f>IF(tblCommentary[[#This Row],[Date]]="","",tblCommentary[[#This Row],[Date]]&amp;"|"&amp;tblCommentary[[#This Row],[Seq_Day]])</f>
        <v/>
      </c>
    </row>
    <row r="753">
      <c r="A753" s="54" t="n"/>
      <c r="B753" s="61" t="n"/>
      <c r="C753" s="58" t="n"/>
      <c r="D753" s="58" t="n"/>
      <c r="E753" s="64">
        <f>IF(tblCommentary[[#This Row],[Date]]="","",COUNTIFS(INDEX(tblCommentary[Date],1):tblCommentary[[#This Row],[Date]],tblCommentary[[#This Row],[Date]]))</f>
        <v/>
      </c>
      <c r="F753" s="63">
        <f>IF(tblCommentary[[#This Row],[Date]]="","",tblCommentary[[#This Row],[Date]]&amp;"|"&amp;tblCommentary[[#This Row],[Seq_Day]])</f>
        <v/>
      </c>
    </row>
    <row r="754">
      <c r="A754" s="54" t="n"/>
      <c r="B754" s="61" t="n"/>
      <c r="C754" s="58" t="n"/>
      <c r="D754" s="58" t="n"/>
      <c r="E754" s="64">
        <f>IF(tblCommentary[[#This Row],[Date]]="","",COUNTIFS(INDEX(tblCommentary[Date],1):tblCommentary[[#This Row],[Date]],tblCommentary[[#This Row],[Date]]))</f>
        <v/>
      </c>
      <c r="F754" s="63">
        <f>IF(tblCommentary[[#This Row],[Date]]="","",tblCommentary[[#This Row],[Date]]&amp;"|"&amp;tblCommentary[[#This Row],[Seq_Day]])</f>
        <v/>
      </c>
    </row>
    <row r="755">
      <c r="A755" s="54" t="n"/>
      <c r="B755" s="61" t="n"/>
      <c r="C755" s="58" t="n"/>
      <c r="D755" s="58" t="n"/>
      <c r="E755" s="64">
        <f>IF(tblCommentary[[#This Row],[Date]]="","",COUNTIFS(INDEX(tblCommentary[Date],1):tblCommentary[[#This Row],[Date]],tblCommentary[[#This Row],[Date]]))</f>
        <v/>
      </c>
      <c r="F755" s="63">
        <f>IF(tblCommentary[[#This Row],[Date]]="","",tblCommentary[[#This Row],[Date]]&amp;"|"&amp;tblCommentary[[#This Row],[Seq_Day]])</f>
        <v/>
      </c>
    </row>
    <row r="756">
      <c r="A756" s="54" t="n"/>
      <c r="B756" s="61" t="n"/>
      <c r="C756" s="58" t="n"/>
      <c r="D756" s="58" t="n"/>
      <c r="E756" s="64">
        <f>IF(tblCommentary[[#This Row],[Date]]="","",COUNTIFS(INDEX(tblCommentary[Date],1):tblCommentary[[#This Row],[Date]],tblCommentary[[#This Row],[Date]]))</f>
        <v/>
      </c>
      <c r="F756" s="63">
        <f>IF(tblCommentary[[#This Row],[Date]]="","",tblCommentary[[#This Row],[Date]]&amp;"|"&amp;tblCommentary[[#This Row],[Seq_Day]])</f>
        <v/>
      </c>
    </row>
    <row r="757">
      <c r="A757" s="54" t="n"/>
      <c r="B757" s="61" t="n"/>
      <c r="C757" s="58" t="n"/>
      <c r="D757" s="58" t="n"/>
      <c r="E757" s="64">
        <f>IF(tblCommentary[[#This Row],[Date]]="","",COUNTIFS(INDEX(tblCommentary[Date],1):tblCommentary[[#This Row],[Date]],tblCommentary[[#This Row],[Date]]))</f>
        <v/>
      </c>
      <c r="F757" s="63">
        <f>IF(tblCommentary[[#This Row],[Date]]="","",tblCommentary[[#This Row],[Date]]&amp;"|"&amp;tblCommentary[[#This Row],[Seq_Day]])</f>
        <v/>
      </c>
    </row>
    <row r="758">
      <c r="A758" s="54" t="n"/>
      <c r="B758" s="61" t="n"/>
      <c r="C758" s="58" t="n"/>
      <c r="D758" s="58" t="n"/>
      <c r="E758" s="64">
        <f>IF(tblCommentary[[#This Row],[Date]]="","",COUNTIFS(INDEX(tblCommentary[Date],1):tblCommentary[[#This Row],[Date]],tblCommentary[[#This Row],[Date]]))</f>
        <v/>
      </c>
      <c r="F758" s="63">
        <f>IF(tblCommentary[[#This Row],[Date]]="","",tblCommentary[[#This Row],[Date]]&amp;"|"&amp;tblCommentary[[#This Row],[Seq_Day]])</f>
        <v/>
      </c>
    </row>
    <row r="759">
      <c r="A759" s="54" t="n"/>
      <c r="B759" s="61" t="n"/>
      <c r="C759" s="58" t="n"/>
      <c r="D759" s="58" t="n"/>
      <c r="E759" s="64">
        <f>IF(tblCommentary[[#This Row],[Date]]="","",COUNTIFS(INDEX(tblCommentary[Date],1):tblCommentary[[#This Row],[Date]],tblCommentary[[#This Row],[Date]]))</f>
        <v/>
      </c>
      <c r="F759" s="63">
        <f>IF(tblCommentary[[#This Row],[Date]]="","",tblCommentary[[#This Row],[Date]]&amp;"|"&amp;tblCommentary[[#This Row],[Seq_Day]])</f>
        <v/>
      </c>
    </row>
    <row r="760">
      <c r="A760" s="54" t="n"/>
      <c r="B760" s="61" t="n"/>
      <c r="C760" s="58" t="n"/>
      <c r="D760" s="58" t="n"/>
      <c r="E760" s="64">
        <f>IF(tblCommentary[[#This Row],[Date]]="","",COUNTIFS(INDEX(tblCommentary[Date],1):tblCommentary[[#This Row],[Date]],tblCommentary[[#This Row],[Date]]))</f>
        <v/>
      </c>
      <c r="F760" s="63">
        <f>IF(tblCommentary[[#This Row],[Date]]="","",tblCommentary[[#This Row],[Date]]&amp;"|"&amp;tblCommentary[[#This Row],[Seq_Day]])</f>
        <v/>
      </c>
    </row>
    <row r="761">
      <c r="A761" s="54" t="n"/>
      <c r="B761" s="61" t="n"/>
      <c r="C761" s="58" t="n"/>
      <c r="D761" s="58" t="n"/>
      <c r="E761" s="64">
        <f>IF(tblCommentary[[#This Row],[Date]]="","",COUNTIFS(INDEX(tblCommentary[Date],1):tblCommentary[[#This Row],[Date]],tblCommentary[[#This Row],[Date]]))</f>
        <v/>
      </c>
      <c r="F761" s="63">
        <f>IF(tblCommentary[[#This Row],[Date]]="","",tblCommentary[[#This Row],[Date]]&amp;"|"&amp;tblCommentary[[#This Row],[Seq_Day]])</f>
        <v/>
      </c>
    </row>
    <row r="762">
      <c r="A762" s="54" t="n"/>
      <c r="B762" s="61" t="n"/>
      <c r="C762" s="58" t="n"/>
      <c r="D762" s="58" t="n"/>
      <c r="E762" s="64">
        <f>IF(tblCommentary[[#This Row],[Date]]="","",COUNTIFS(INDEX(tblCommentary[Date],1):tblCommentary[[#This Row],[Date]],tblCommentary[[#This Row],[Date]]))</f>
        <v/>
      </c>
      <c r="F762" s="63">
        <f>IF(tblCommentary[[#This Row],[Date]]="","",tblCommentary[[#This Row],[Date]]&amp;"|"&amp;tblCommentary[[#This Row],[Seq_Day]])</f>
        <v/>
      </c>
    </row>
    <row r="763">
      <c r="A763" s="54" t="n"/>
      <c r="B763" s="61" t="n"/>
      <c r="C763" s="58" t="n"/>
      <c r="D763" s="58" t="n"/>
      <c r="E763" s="64">
        <f>IF(tblCommentary[[#This Row],[Date]]="","",COUNTIFS(INDEX(tblCommentary[Date],1):tblCommentary[[#This Row],[Date]],tblCommentary[[#This Row],[Date]]))</f>
        <v/>
      </c>
      <c r="F763" s="63">
        <f>IF(tblCommentary[[#This Row],[Date]]="","",tblCommentary[[#This Row],[Date]]&amp;"|"&amp;tblCommentary[[#This Row],[Seq_Day]])</f>
        <v/>
      </c>
    </row>
    <row r="764">
      <c r="A764" s="54" t="n"/>
      <c r="B764" s="61" t="n"/>
      <c r="C764" s="58" t="n"/>
      <c r="D764" s="58" t="n"/>
      <c r="E764" s="64">
        <f>IF(tblCommentary[[#This Row],[Date]]="","",COUNTIFS(INDEX(tblCommentary[Date],1):tblCommentary[[#This Row],[Date]],tblCommentary[[#This Row],[Date]]))</f>
        <v/>
      </c>
      <c r="F764" s="63">
        <f>IF(tblCommentary[[#This Row],[Date]]="","",tblCommentary[[#This Row],[Date]]&amp;"|"&amp;tblCommentary[[#This Row],[Seq_Day]])</f>
        <v/>
      </c>
    </row>
    <row r="765">
      <c r="A765" s="54" t="n"/>
      <c r="B765" s="61" t="n"/>
      <c r="C765" s="58" t="n"/>
      <c r="D765" s="58" t="n"/>
      <c r="E765" s="64">
        <f>IF(tblCommentary[[#This Row],[Date]]="","",COUNTIFS(INDEX(tblCommentary[Date],1):tblCommentary[[#This Row],[Date]],tblCommentary[[#This Row],[Date]]))</f>
        <v/>
      </c>
      <c r="F765" s="63">
        <f>IF(tblCommentary[[#This Row],[Date]]="","",tblCommentary[[#This Row],[Date]]&amp;"|"&amp;tblCommentary[[#This Row],[Seq_Day]])</f>
        <v/>
      </c>
    </row>
    <row r="766">
      <c r="A766" s="54" t="n"/>
      <c r="B766" s="61" t="n"/>
      <c r="C766" s="58" t="n"/>
      <c r="D766" s="58" t="n"/>
      <c r="E766" s="64">
        <f>IF(tblCommentary[[#This Row],[Date]]="","",COUNTIFS(INDEX(tblCommentary[Date],1):tblCommentary[[#This Row],[Date]],tblCommentary[[#This Row],[Date]]))</f>
        <v/>
      </c>
      <c r="F766" s="63">
        <f>IF(tblCommentary[[#This Row],[Date]]="","",tblCommentary[[#This Row],[Date]]&amp;"|"&amp;tblCommentary[[#This Row],[Seq_Day]])</f>
        <v/>
      </c>
    </row>
    <row r="767">
      <c r="A767" s="54" t="n"/>
      <c r="B767" s="61" t="n"/>
      <c r="C767" s="58" t="n"/>
      <c r="D767" s="58" t="n"/>
      <c r="E767" s="64">
        <f>IF(tblCommentary[[#This Row],[Date]]="","",COUNTIFS(INDEX(tblCommentary[Date],1):tblCommentary[[#This Row],[Date]],tblCommentary[[#This Row],[Date]]))</f>
        <v/>
      </c>
      <c r="F767" s="63">
        <f>IF(tblCommentary[[#This Row],[Date]]="","",tblCommentary[[#This Row],[Date]]&amp;"|"&amp;tblCommentary[[#This Row],[Seq_Day]])</f>
        <v/>
      </c>
    </row>
    <row r="768">
      <c r="A768" s="54" t="n"/>
      <c r="B768" s="61" t="n"/>
      <c r="C768" s="58" t="n"/>
      <c r="D768" s="58" t="n"/>
      <c r="E768" s="64">
        <f>IF(tblCommentary[[#This Row],[Date]]="","",COUNTIFS(INDEX(tblCommentary[Date],1):tblCommentary[[#This Row],[Date]],tblCommentary[[#This Row],[Date]]))</f>
        <v/>
      </c>
      <c r="F768" s="63">
        <f>IF(tblCommentary[[#This Row],[Date]]="","",tblCommentary[[#This Row],[Date]]&amp;"|"&amp;tblCommentary[[#This Row],[Seq_Day]])</f>
        <v/>
      </c>
    </row>
    <row r="769">
      <c r="A769" s="54" t="n"/>
      <c r="B769" s="61" t="n"/>
      <c r="C769" s="58" t="n"/>
      <c r="D769" s="58" t="n"/>
      <c r="E769" s="64">
        <f>IF(tblCommentary[[#This Row],[Date]]="","",COUNTIFS(INDEX(tblCommentary[Date],1):tblCommentary[[#This Row],[Date]],tblCommentary[[#This Row],[Date]]))</f>
        <v/>
      </c>
      <c r="F769" s="63">
        <f>IF(tblCommentary[[#This Row],[Date]]="","",tblCommentary[[#This Row],[Date]]&amp;"|"&amp;tblCommentary[[#This Row],[Seq_Day]])</f>
        <v/>
      </c>
    </row>
    <row r="770">
      <c r="A770" s="54" t="n"/>
      <c r="B770" s="61" t="n"/>
      <c r="C770" s="58" t="n"/>
      <c r="D770" s="58" t="n"/>
      <c r="E770" s="64">
        <f>IF(tblCommentary[[#This Row],[Date]]="","",COUNTIFS(INDEX(tblCommentary[Date],1):tblCommentary[[#This Row],[Date]],tblCommentary[[#This Row],[Date]]))</f>
        <v/>
      </c>
      <c r="F770" s="63">
        <f>IF(tblCommentary[[#This Row],[Date]]="","",tblCommentary[[#This Row],[Date]]&amp;"|"&amp;tblCommentary[[#This Row],[Seq_Day]])</f>
        <v/>
      </c>
    </row>
    <row r="771">
      <c r="A771" s="54" t="n"/>
      <c r="B771" s="61" t="n"/>
      <c r="C771" s="58" t="n"/>
      <c r="D771" s="58" t="n"/>
      <c r="E771" s="64">
        <f>IF(tblCommentary[[#This Row],[Date]]="","",COUNTIFS(INDEX(tblCommentary[Date],1):tblCommentary[[#This Row],[Date]],tblCommentary[[#This Row],[Date]]))</f>
        <v/>
      </c>
      <c r="F771" s="63">
        <f>IF(tblCommentary[[#This Row],[Date]]="","",tblCommentary[[#This Row],[Date]]&amp;"|"&amp;tblCommentary[[#This Row],[Seq_Day]])</f>
        <v/>
      </c>
    </row>
    <row r="772">
      <c r="A772" s="54" t="n"/>
      <c r="B772" s="61" t="n"/>
      <c r="C772" s="58" t="n"/>
      <c r="D772" s="58" t="n"/>
      <c r="E772" s="64">
        <f>IF(tblCommentary[[#This Row],[Date]]="","",COUNTIFS(INDEX(tblCommentary[Date],1):tblCommentary[[#This Row],[Date]],tblCommentary[[#This Row],[Date]]))</f>
        <v/>
      </c>
      <c r="F772" s="63">
        <f>IF(tblCommentary[[#This Row],[Date]]="","",tblCommentary[[#This Row],[Date]]&amp;"|"&amp;tblCommentary[[#This Row],[Seq_Day]])</f>
        <v/>
      </c>
    </row>
    <row r="773">
      <c r="A773" s="54" t="n"/>
      <c r="B773" s="61" t="n"/>
      <c r="C773" s="58" t="n"/>
      <c r="D773" s="58" t="n"/>
      <c r="E773" s="64">
        <f>IF(tblCommentary[[#This Row],[Date]]="","",COUNTIFS(INDEX(tblCommentary[Date],1):tblCommentary[[#This Row],[Date]],tblCommentary[[#This Row],[Date]]))</f>
        <v/>
      </c>
      <c r="F773" s="63">
        <f>IF(tblCommentary[[#This Row],[Date]]="","",tblCommentary[[#This Row],[Date]]&amp;"|"&amp;tblCommentary[[#This Row],[Seq_Day]])</f>
        <v/>
      </c>
    </row>
    <row r="774">
      <c r="A774" s="54" t="n"/>
      <c r="B774" s="61" t="n"/>
      <c r="C774" s="58" t="n"/>
      <c r="D774" s="58" t="n"/>
      <c r="E774" s="64">
        <f>IF(tblCommentary[[#This Row],[Date]]="","",COUNTIFS(INDEX(tblCommentary[Date],1):tblCommentary[[#This Row],[Date]],tblCommentary[[#This Row],[Date]]))</f>
        <v/>
      </c>
      <c r="F774" s="63">
        <f>IF(tblCommentary[[#This Row],[Date]]="","",tblCommentary[[#This Row],[Date]]&amp;"|"&amp;tblCommentary[[#This Row],[Seq_Day]])</f>
        <v/>
      </c>
    </row>
    <row r="775">
      <c r="A775" s="54" t="n"/>
      <c r="B775" s="61" t="n"/>
      <c r="C775" s="58" t="n"/>
      <c r="D775" s="58" t="n"/>
      <c r="E775" s="64">
        <f>IF(tblCommentary[[#This Row],[Date]]="","",COUNTIFS(INDEX(tblCommentary[Date],1):tblCommentary[[#This Row],[Date]],tblCommentary[[#This Row],[Date]]))</f>
        <v/>
      </c>
      <c r="F775" s="63">
        <f>IF(tblCommentary[[#This Row],[Date]]="","",tblCommentary[[#This Row],[Date]]&amp;"|"&amp;tblCommentary[[#This Row],[Seq_Day]])</f>
        <v/>
      </c>
    </row>
    <row r="776">
      <c r="A776" s="54" t="n"/>
      <c r="B776" s="61" t="n"/>
      <c r="C776" s="58" t="n"/>
      <c r="D776" s="58" t="n"/>
      <c r="E776" s="64">
        <f>IF(tblCommentary[[#This Row],[Date]]="","",COUNTIFS(INDEX(tblCommentary[Date],1):tblCommentary[[#This Row],[Date]],tblCommentary[[#This Row],[Date]]))</f>
        <v/>
      </c>
      <c r="F776" s="63">
        <f>IF(tblCommentary[[#This Row],[Date]]="","",tblCommentary[[#This Row],[Date]]&amp;"|"&amp;tblCommentary[[#This Row],[Seq_Day]])</f>
        <v/>
      </c>
    </row>
    <row r="777">
      <c r="A777" s="54" t="n"/>
      <c r="B777" s="61" t="n"/>
      <c r="C777" s="58" t="n"/>
      <c r="D777" s="58" t="n"/>
      <c r="E777" s="64">
        <f>IF(tblCommentary[[#This Row],[Date]]="","",COUNTIFS(INDEX(tblCommentary[Date],1):tblCommentary[[#This Row],[Date]],tblCommentary[[#This Row],[Date]]))</f>
        <v/>
      </c>
      <c r="F777" s="63">
        <f>IF(tblCommentary[[#This Row],[Date]]="","",tblCommentary[[#This Row],[Date]]&amp;"|"&amp;tblCommentary[[#This Row],[Seq_Day]])</f>
        <v/>
      </c>
    </row>
    <row r="778">
      <c r="A778" s="54" t="n"/>
      <c r="B778" s="61" t="n"/>
      <c r="C778" s="58" t="n"/>
      <c r="D778" s="58" t="n"/>
      <c r="E778" s="64">
        <f>IF(tblCommentary[[#This Row],[Date]]="","",COUNTIFS(INDEX(tblCommentary[Date],1):tblCommentary[[#This Row],[Date]],tblCommentary[[#This Row],[Date]]))</f>
        <v/>
      </c>
      <c r="F778" s="63">
        <f>IF(tblCommentary[[#This Row],[Date]]="","",tblCommentary[[#This Row],[Date]]&amp;"|"&amp;tblCommentary[[#This Row],[Seq_Day]])</f>
        <v/>
      </c>
    </row>
    <row r="779">
      <c r="A779" s="54" t="n"/>
      <c r="B779" s="61" t="n"/>
      <c r="C779" s="58" t="n"/>
      <c r="D779" s="58" t="n"/>
      <c r="E779" s="64">
        <f>IF(tblCommentary[[#This Row],[Date]]="","",COUNTIFS(INDEX(tblCommentary[Date],1):tblCommentary[[#This Row],[Date]],tblCommentary[[#This Row],[Date]]))</f>
        <v/>
      </c>
      <c r="F779" s="63">
        <f>IF(tblCommentary[[#This Row],[Date]]="","",tblCommentary[[#This Row],[Date]]&amp;"|"&amp;tblCommentary[[#This Row],[Seq_Day]])</f>
        <v/>
      </c>
    </row>
    <row r="780">
      <c r="A780" s="54" t="n"/>
      <c r="B780" s="61" t="n"/>
      <c r="C780" s="58" t="n"/>
      <c r="D780" s="58" t="n"/>
      <c r="E780" s="64">
        <f>IF(tblCommentary[[#This Row],[Date]]="","",COUNTIFS(INDEX(tblCommentary[Date],1):tblCommentary[[#This Row],[Date]],tblCommentary[[#This Row],[Date]]))</f>
        <v/>
      </c>
      <c r="F780" s="63">
        <f>IF(tblCommentary[[#This Row],[Date]]="","",tblCommentary[[#This Row],[Date]]&amp;"|"&amp;tblCommentary[[#This Row],[Seq_Day]])</f>
        <v/>
      </c>
    </row>
    <row r="781">
      <c r="A781" s="54" t="n"/>
      <c r="B781" s="61" t="n"/>
      <c r="C781" s="58" t="n"/>
      <c r="D781" s="58" t="n"/>
      <c r="E781" s="64">
        <f>IF(tblCommentary[[#This Row],[Date]]="","",COUNTIFS(INDEX(tblCommentary[Date],1):tblCommentary[[#This Row],[Date]],tblCommentary[[#This Row],[Date]]))</f>
        <v/>
      </c>
      <c r="F781" s="63">
        <f>IF(tblCommentary[[#This Row],[Date]]="","",tblCommentary[[#This Row],[Date]]&amp;"|"&amp;tblCommentary[[#This Row],[Seq_Day]])</f>
        <v/>
      </c>
    </row>
    <row r="782">
      <c r="A782" s="54" t="n"/>
      <c r="B782" s="61" t="n"/>
      <c r="C782" s="58" t="n"/>
      <c r="D782" s="58" t="n"/>
      <c r="E782" s="64">
        <f>IF(tblCommentary[[#This Row],[Date]]="","",COUNTIFS(INDEX(tblCommentary[Date],1):tblCommentary[[#This Row],[Date]],tblCommentary[[#This Row],[Date]]))</f>
        <v/>
      </c>
      <c r="F782" s="63">
        <f>IF(tblCommentary[[#This Row],[Date]]="","",tblCommentary[[#This Row],[Date]]&amp;"|"&amp;tblCommentary[[#This Row],[Seq_Day]])</f>
        <v/>
      </c>
    </row>
    <row r="783">
      <c r="A783" s="54" t="n"/>
      <c r="B783" s="61" t="n"/>
      <c r="C783" s="58" t="n"/>
      <c r="D783" s="58" t="n"/>
      <c r="E783" s="64">
        <f>IF(tblCommentary[[#This Row],[Date]]="","",COUNTIFS(INDEX(tblCommentary[Date],1):tblCommentary[[#This Row],[Date]],tblCommentary[[#This Row],[Date]]))</f>
        <v/>
      </c>
      <c r="F783" s="63">
        <f>IF(tblCommentary[[#This Row],[Date]]="","",tblCommentary[[#This Row],[Date]]&amp;"|"&amp;tblCommentary[[#This Row],[Seq_Day]])</f>
        <v/>
      </c>
    </row>
    <row r="784">
      <c r="A784" s="54" t="n"/>
      <c r="B784" s="61" t="n"/>
      <c r="C784" s="58" t="n"/>
      <c r="D784" s="58" t="n"/>
      <c r="E784" s="64">
        <f>IF(tblCommentary[[#This Row],[Date]]="","",COUNTIFS(INDEX(tblCommentary[Date],1):tblCommentary[[#This Row],[Date]],tblCommentary[[#This Row],[Date]]))</f>
        <v/>
      </c>
      <c r="F784" s="63">
        <f>IF(tblCommentary[[#This Row],[Date]]="","",tblCommentary[[#This Row],[Date]]&amp;"|"&amp;tblCommentary[[#This Row],[Seq_Day]])</f>
        <v/>
      </c>
    </row>
    <row r="785">
      <c r="A785" s="54" t="n"/>
      <c r="B785" s="61" t="n"/>
      <c r="C785" s="58" t="n"/>
      <c r="D785" s="58" t="n"/>
      <c r="E785" s="64">
        <f>IF(tblCommentary[[#This Row],[Date]]="","",COUNTIFS(INDEX(tblCommentary[Date],1):tblCommentary[[#This Row],[Date]],tblCommentary[[#This Row],[Date]]))</f>
        <v/>
      </c>
      <c r="F785" s="63">
        <f>IF(tblCommentary[[#This Row],[Date]]="","",tblCommentary[[#This Row],[Date]]&amp;"|"&amp;tblCommentary[[#This Row],[Seq_Day]])</f>
        <v/>
      </c>
    </row>
    <row r="786">
      <c r="A786" s="54" t="n"/>
      <c r="B786" s="61" t="n"/>
      <c r="C786" s="58" t="n"/>
      <c r="D786" s="58" t="n"/>
      <c r="E786" s="64">
        <f>IF(tblCommentary[[#This Row],[Date]]="","",COUNTIFS(INDEX(tblCommentary[Date],1):tblCommentary[[#This Row],[Date]],tblCommentary[[#This Row],[Date]]))</f>
        <v/>
      </c>
      <c r="F786" s="63">
        <f>IF(tblCommentary[[#This Row],[Date]]="","",tblCommentary[[#This Row],[Date]]&amp;"|"&amp;tblCommentary[[#This Row],[Seq_Day]])</f>
        <v/>
      </c>
    </row>
    <row r="787">
      <c r="A787" s="54" t="n"/>
      <c r="B787" s="61" t="n"/>
      <c r="C787" s="58" t="n"/>
      <c r="D787" s="58" t="n"/>
      <c r="E787" s="64">
        <f>IF(tblCommentary[[#This Row],[Date]]="","",COUNTIFS(INDEX(tblCommentary[Date],1):tblCommentary[[#This Row],[Date]],tblCommentary[[#This Row],[Date]]))</f>
        <v/>
      </c>
      <c r="F787" s="63">
        <f>IF(tblCommentary[[#This Row],[Date]]="","",tblCommentary[[#This Row],[Date]]&amp;"|"&amp;tblCommentary[[#This Row],[Seq_Day]])</f>
        <v/>
      </c>
    </row>
    <row r="788">
      <c r="A788" s="54" t="n"/>
      <c r="B788" s="61" t="n"/>
      <c r="C788" s="58" t="n"/>
      <c r="D788" s="58" t="n"/>
      <c r="E788" s="64">
        <f>IF(tblCommentary[[#This Row],[Date]]="","",COUNTIFS(INDEX(tblCommentary[Date],1):tblCommentary[[#This Row],[Date]],tblCommentary[[#This Row],[Date]]))</f>
        <v/>
      </c>
      <c r="F788" s="63">
        <f>IF(tblCommentary[[#This Row],[Date]]="","",tblCommentary[[#This Row],[Date]]&amp;"|"&amp;tblCommentary[[#This Row],[Seq_Day]])</f>
        <v/>
      </c>
    </row>
    <row r="789">
      <c r="A789" s="54" t="n"/>
      <c r="B789" s="61" t="n"/>
      <c r="C789" s="58" t="n"/>
      <c r="D789" s="58" t="n"/>
      <c r="E789" s="64">
        <f>IF(tblCommentary[[#This Row],[Date]]="","",COUNTIFS(INDEX(tblCommentary[Date],1):tblCommentary[[#This Row],[Date]],tblCommentary[[#This Row],[Date]]))</f>
        <v/>
      </c>
      <c r="F789" s="63">
        <f>IF(tblCommentary[[#This Row],[Date]]="","",tblCommentary[[#This Row],[Date]]&amp;"|"&amp;tblCommentary[[#This Row],[Seq_Day]])</f>
        <v/>
      </c>
    </row>
    <row r="790">
      <c r="A790" s="54" t="n"/>
      <c r="B790" s="61" t="n"/>
      <c r="C790" s="58" t="n"/>
      <c r="D790" s="58" t="n"/>
      <c r="E790" s="64">
        <f>IF(tblCommentary[[#This Row],[Date]]="","",COUNTIFS(INDEX(tblCommentary[Date],1):tblCommentary[[#This Row],[Date]],tblCommentary[[#This Row],[Date]]))</f>
        <v/>
      </c>
      <c r="F790" s="63">
        <f>IF(tblCommentary[[#This Row],[Date]]="","",tblCommentary[[#This Row],[Date]]&amp;"|"&amp;tblCommentary[[#This Row],[Seq_Day]])</f>
        <v/>
      </c>
    </row>
    <row r="791">
      <c r="A791" s="54" t="n"/>
      <c r="B791" s="61" t="n"/>
      <c r="C791" s="58" t="n"/>
      <c r="D791" s="58" t="n"/>
      <c r="E791" s="64">
        <f>IF(tblCommentary[[#This Row],[Date]]="","",COUNTIFS(INDEX(tblCommentary[Date],1):tblCommentary[[#This Row],[Date]],tblCommentary[[#This Row],[Date]]))</f>
        <v/>
      </c>
      <c r="F791" s="63">
        <f>IF(tblCommentary[[#This Row],[Date]]="","",tblCommentary[[#This Row],[Date]]&amp;"|"&amp;tblCommentary[[#This Row],[Seq_Day]])</f>
        <v/>
      </c>
    </row>
    <row r="792">
      <c r="A792" s="54" t="n"/>
      <c r="B792" s="61" t="n"/>
      <c r="C792" s="58" t="n"/>
      <c r="D792" s="58" t="n"/>
      <c r="E792" s="64">
        <f>IF(tblCommentary[[#This Row],[Date]]="","",COUNTIFS(INDEX(tblCommentary[Date],1):tblCommentary[[#This Row],[Date]],tblCommentary[[#This Row],[Date]]))</f>
        <v/>
      </c>
      <c r="F792" s="63">
        <f>IF(tblCommentary[[#This Row],[Date]]="","",tblCommentary[[#This Row],[Date]]&amp;"|"&amp;tblCommentary[[#This Row],[Seq_Day]])</f>
        <v/>
      </c>
    </row>
    <row r="793">
      <c r="A793" s="54" t="n"/>
      <c r="B793" s="61" t="n"/>
      <c r="C793" s="58" t="n"/>
      <c r="D793" s="58" t="n"/>
      <c r="E793" s="64">
        <f>IF(tblCommentary[[#This Row],[Date]]="","",COUNTIFS(INDEX(tblCommentary[Date],1):tblCommentary[[#This Row],[Date]],tblCommentary[[#This Row],[Date]]))</f>
        <v/>
      </c>
      <c r="F793" s="63">
        <f>IF(tblCommentary[[#This Row],[Date]]="","",tblCommentary[[#This Row],[Date]]&amp;"|"&amp;tblCommentary[[#This Row],[Seq_Day]])</f>
        <v/>
      </c>
    </row>
    <row r="794">
      <c r="A794" s="54" t="n"/>
      <c r="B794" s="61" t="n"/>
      <c r="C794" s="58" t="n"/>
      <c r="D794" s="58" t="n"/>
      <c r="E794" s="64">
        <f>IF(tblCommentary[[#This Row],[Date]]="","",COUNTIFS(INDEX(tblCommentary[Date],1):tblCommentary[[#This Row],[Date]],tblCommentary[[#This Row],[Date]]))</f>
        <v/>
      </c>
      <c r="F794" s="63">
        <f>IF(tblCommentary[[#This Row],[Date]]="","",tblCommentary[[#This Row],[Date]]&amp;"|"&amp;tblCommentary[[#This Row],[Seq_Day]])</f>
        <v/>
      </c>
    </row>
    <row r="795">
      <c r="A795" s="54" t="n"/>
      <c r="B795" s="61" t="n"/>
      <c r="C795" s="58" t="n"/>
      <c r="D795" s="58" t="n"/>
      <c r="E795" s="64">
        <f>IF(tblCommentary[[#This Row],[Date]]="","",COUNTIFS(INDEX(tblCommentary[Date],1):tblCommentary[[#This Row],[Date]],tblCommentary[[#This Row],[Date]]))</f>
        <v/>
      </c>
      <c r="F795" s="63">
        <f>IF(tblCommentary[[#This Row],[Date]]="","",tblCommentary[[#This Row],[Date]]&amp;"|"&amp;tblCommentary[[#This Row],[Seq_Day]])</f>
        <v/>
      </c>
    </row>
    <row r="796">
      <c r="A796" s="54" t="n"/>
      <c r="B796" s="61" t="n"/>
      <c r="C796" s="58" t="n"/>
      <c r="D796" s="58" t="n"/>
      <c r="E796" s="64">
        <f>IF(tblCommentary[[#This Row],[Date]]="","",COUNTIFS(INDEX(tblCommentary[Date],1):tblCommentary[[#This Row],[Date]],tblCommentary[[#This Row],[Date]]))</f>
        <v/>
      </c>
      <c r="F796" s="63">
        <f>IF(tblCommentary[[#This Row],[Date]]="","",tblCommentary[[#This Row],[Date]]&amp;"|"&amp;tblCommentary[[#This Row],[Seq_Day]])</f>
        <v/>
      </c>
    </row>
    <row r="797">
      <c r="A797" s="54" t="n"/>
      <c r="B797" s="61" t="n"/>
      <c r="C797" s="58" t="n"/>
      <c r="D797" s="58" t="n"/>
      <c r="E797" s="64">
        <f>IF(tblCommentary[[#This Row],[Date]]="","",COUNTIFS(INDEX(tblCommentary[Date],1):tblCommentary[[#This Row],[Date]],tblCommentary[[#This Row],[Date]]))</f>
        <v/>
      </c>
      <c r="F797" s="63">
        <f>IF(tblCommentary[[#This Row],[Date]]="","",tblCommentary[[#This Row],[Date]]&amp;"|"&amp;tblCommentary[[#This Row],[Seq_Day]])</f>
        <v/>
      </c>
    </row>
    <row r="798">
      <c r="A798" s="54" t="n"/>
      <c r="B798" s="61" t="n"/>
      <c r="C798" s="58" t="n"/>
      <c r="D798" s="58" t="n"/>
      <c r="E798" s="64">
        <f>IF(tblCommentary[[#This Row],[Date]]="","",COUNTIFS(INDEX(tblCommentary[Date],1):tblCommentary[[#This Row],[Date]],tblCommentary[[#This Row],[Date]]))</f>
        <v/>
      </c>
      <c r="F798" s="63">
        <f>IF(tblCommentary[[#This Row],[Date]]="","",tblCommentary[[#This Row],[Date]]&amp;"|"&amp;tblCommentary[[#This Row],[Seq_Day]])</f>
        <v/>
      </c>
    </row>
    <row r="799">
      <c r="A799" s="54" t="n"/>
      <c r="B799" s="61" t="n"/>
      <c r="C799" s="58" t="n"/>
      <c r="D799" s="58" t="n"/>
      <c r="E799" s="64">
        <f>IF(tblCommentary[[#This Row],[Date]]="","",COUNTIFS(INDEX(tblCommentary[Date],1):tblCommentary[[#This Row],[Date]],tblCommentary[[#This Row],[Date]]))</f>
        <v/>
      </c>
      <c r="F799" s="63">
        <f>IF(tblCommentary[[#This Row],[Date]]="","",tblCommentary[[#This Row],[Date]]&amp;"|"&amp;tblCommentary[[#This Row],[Seq_Day]])</f>
        <v/>
      </c>
    </row>
    <row r="800">
      <c r="A800" s="54" t="n"/>
      <c r="B800" s="61" t="n"/>
      <c r="C800" s="58" t="n"/>
      <c r="D800" s="58" t="n"/>
      <c r="E800" s="64">
        <f>IF(tblCommentary[[#This Row],[Date]]="","",COUNTIFS(INDEX(tblCommentary[Date],1):tblCommentary[[#This Row],[Date]],tblCommentary[[#This Row],[Date]]))</f>
        <v/>
      </c>
      <c r="F800" s="63">
        <f>IF(tblCommentary[[#This Row],[Date]]="","",tblCommentary[[#This Row],[Date]]&amp;"|"&amp;tblCommentary[[#This Row],[Seq_Day]])</f>
        <v/>
      </c>
    </row>
    <row r="801">
      <c r="A801" s="54" t="n"/>
      <c r="B801" s="61" t="n"/>
      <c r="C801" s="58" t="n"/>
      <c r="D801" s="58" t="n"/>
      <c r="E801" s="64">
        <f>IF(tblCommentary[[#This Row],[Date]]="","",COUNTIFS(INDEX(tblCommentary[Date],1):tblCommentary[[#This Row],[Date]],tblCommentary[[#This Row],[Date]]))</f>
        <v/>
      </c>
      <c r="F801" s="63">
        <f>IF(tblCommentary[[#This Row],[Date]]="","",tblCommentary[[#This Row],[Date]]&amp;"|"&amp;tblCommentary[[#This Row],[Seq_Day]])</f>
        <v/>
      </c>
    </row>
    <row r="802">
      <c r="A802" s="54" t="n"/>
      <c r="B802" s="61" t="n"/>
      <c r="C802" s="58" t="n"/>
      <c r="D802" s="58" t="n"/>
      <c r="E802" s="64">
        <f>IF(tblCommentary[[#This Row],[Date]]="","",COUNTIFS(INDEX(tblCommentary[Date],1):tblCommentary[[#This Row],[Date]],tblCommentary[[#This Row],[Date]]))</f>
        <v/>
      </c>
      <c r="F802" s="63">
        <f>IF(tblCommentary[[#This Row],[Date]]="","",tblCommentary[[#This Row],[Date]]&amp;"|"&amp;tblCommentary[[#This Row],[Seq_Day]])</f>
        <v/>
      </c>
    </row>
    <row r="803">
      <c r="A803" s="54" t="n"/>
      <c r="B803" s="61" t="n"/>
      <c r="C803" s="58" t="n"/>
      <c r="D803" s="58" t="n"/>
      <c r="E803" s="64">
        <f>IF(tblCommentary[[#This Row],[Date]]="","",COUNTIFS(INDEX(tblCommentary[Date],1):tblCommentary[[#This Row],[Date]],tblCommentary[[#This Row],[Date]]))</f>
        <v/>
      </c>
      <c r="F803" s="63">
        <f>IF(tblCommentary[[#This Row],[Date]]="","",tblCommentary[[#This Row],[Date]]&amp;"|"&amp;tblCommentary[[#This Row],[Seq_Day]])</f>
        <v/>
      </c>
    </row>
    <row r="804">
      <c r="A804" s="54" t="n"/>
      <c r="B804" s="61" t="n"/>
      <c r="C804" s="58" t="n"/>
      <c r="D804" s="58" t="n"/>
      <c r="E804" s="64">
        <f>IF(tblCommentary[[#This Row],[Date]]="","",COUNTIFS(INDEX(tblCommentary[Date],1):tblCommentary[[#This Row],[Date]],tblCommentary[[#This Row],[Date]]))</f>
        <v/>
      </c>
      <c r="F804" s="63">
        <f>IF(tblCommentary[[#This Row],[Date]]="","",tblCommentary[[#This Row],[Date]]&amp;"|"&amp;tblCommentary[[#This Row],[Seq_Day]])</f>
        <v/>
      </c>
    </row>
    <row r="805">
      <c r="A805" s="54" t="n"/>
      <c r="B805" s="61" t="n"/>
      <c r="C805" s="58" t="n"/>
      <c r="D805" s="58" t="n"/>
      <c r="E805" s="64">
        <f>IF(tblCommentary[[#This Row],[Date]]="","",COUNTIFS(INDEX(tblCommentary[Date],1):tblCommentary[[#This Row],[Date]],tblCommentary[[#This Row],[Date]]))</f>
        <v/>
      </c>
      <c r="F805" s="63">
        <f>IF(tblCommentary[[#This Row],[Date]]="","",tblCommentary[[#This Row],[Date]]&amp;"|"&amp;tblCommentary[[#This Row],[Seq_Day]])</f>
        <v/>
      </c>
    </row>
    <row r="806">
      <c r="A806" s="54" t="n"/>
      <c r="B806" s="61" t="n"/>
      <c r="C806" s="58" t="n"/>
      <c r="D806" s="58" t="n"/>
      <c r="E806" s="64">
        <f>IF(tblCommentary[[#This Row],[Date]]="","",COUNTIFS(INDEX(tblCommentary[Date],1):tblCommentary[[#This Row],[Date]],tblCommentary[[#This Row],[Date]]))</f>
        <v/>
      </c>
      <c r="F806" s="63">
        <f>IF(tblCommentary[[#This Row],[Date]]="","",tblCommentary[[#This Row],[Date]]&amp;"|"&amp;tblCommentary[[#This Row],[Seq_Day]])</f>
        <v/>
      </c>
    </row>
    <row r="807">
      <c r="A807" s="54" t="n"/>
      <c r="B807" s="61" t="n"/>
      <c r="C807" s="58" t="n"/>
      <c r="D807" s="58" t="n"/>
      <c r="E807" s="64">
        <f>IF(tblCommentary[[#This Row],[Date]]="","",COUNTIFS(INDEX(tblCommentary[Date],1):tblCommentary[[#This Row],[Date]],tblCommentary[[#This Row],[Date]]))</f>
        <v/>
      </c>
      <c r="F807" s="63">
        <f>IF(tblCommentary[[#This Row],[Date]]="","",tblCommentary[[#This Row],[Date]]&amp;"|"&amp;tblCommentary[[#This Row],[Seq_Day]])</f>
        <v/>
      </c>
    </row>
    <row r="808">
      <c r="A808" s="54" t="n"/>
      <c r="B808" s="61" t="n"/>
      <c r="C808" s="58" t="n"/>
      <c r="D808" s="58" t="n"/>
      <c r="E808" s="64">
        <f>IF(tblCommentary[[#This Row],[Date]]="","",COUNTIFS(INDEX(tblCommentary[Date],1):tblCommentary[[#This Row],[Date]],tblCommentary[[#This Row],[Date]]))</f>
        <v/>
      </c>
      <c r="F808" s="63">
        <f>IF(tblCommentary[[#This Row],[Date]]="","",tblCommentary[[#This Row],[Date]]&amp;"|"&amp;tblCommentary[[#This Row],[Seq_Day]])</f>
        <v/>
      </c>
    </row>
    <row r="809">
      <c r="A809" s="54" t="n"/>
      <c r="B809" s="61" t="n"/>
      <c r="C809" s="58" t="n"/>
      <c r="D809" s="58" t="n"/>
      <c r="E809" s="64">
        <f>IF(tblCommentary[[#This Row],[Date]]="","",COUNTIFS(INDEX(tblCommentary[Date],1):tblCommentary[[#This Row],[Date]],tblCommentary[[#This Row],[Date]]))</f>
        <v/>
      </c>
      <c r="F809" s="63">
        <f>IF(tblCommentary[[#This Row],[Date]]="","",tblCommentary[[#This Row],[Date]]&amp;"|"&amp;tblCommentary[[#This Row],[Seq_Day]])</f>
        <v/>
      </c>
    </row>
    <row r="810">
      <c r="A810" s="54" t="n"/>
      <c r="B810" s="61" t="n"/>
      <c r="C810" s="58" t="n"/>
      <c r="D810" s="58" t="n"/>
      <c r="E810" s="64">
        <f>IF(tblCommentary[[#This Row],[Date]]="","",COUNTIFS(INDEX(tblCommentary[Date],1):tblCommentary[[#This Row],[Date]],tblCommentary[[#This Row],[Date]]))</f>
        <v/>
      </c>
      <c r="F810" s="63">
        <f>IF(tblCommentary[[#This Row],[Date]]="","",tblCommentary[[#This Row],[Date]]&amp;"|"&amp;tblCommentary[[#This Row],[Seq_Day]])</f>
        <v/>
      </c>
    </row>
    <row r="811">
      <c r="A811" s="54" t="n"/>
      <c r="B811" s="61" t="n"/>
      <c r="C811" s="58" t="n"/>
      <c r="D811" s="58" t="n"/>
      <c r="E811" s="64">
        <f>IF(tblCommentary[[#This Row],[Date]]="","",COUNTIFS(INDEX(tblCommentary[Date],1):tblCommentary[[#This Row],[Date]],tblCommentary[[#This Row],[Date]]))</f>
        <v/>
      </c>
      <c r="F811" s="63">
        <f>IF(tblCommentary[[#This Row],[Date]]="","",tblCommentary[[#This Row],[Date]]&amp;"|"&amp;tblCommentary[[#This Row],[Seq_Day]])</f>
        <v/>
      </c>
    </row>
    <row r="812">
      <c r="A812" s="54" t="n"/>
      <c r="B812" s="61" t="n"/>
      <c r="C812" s="58" t="n"/>
      <c r="D812" s="58" t="n"/>
      <c r="E812" s="64">
        <f>IF(tblCommentary[[#This Row],[Date]]="","",COUNTIFS(INDEX(tblCommentary[Date],1):tblCommentary[[#This Row],[Date]],tblCommentary[[#This Row],[Date]]))</f>
        <v/>
      </c>
      <c r="F812" s="63">
        <f>IF(tblCommentary[[#This Row],[Date]]="","",tblCommentary[[#This Row],[Date]]&amp;"|"&amp;tblCommentary[[#This Row],[Seq_Day]])</f>
        <v/>
      </c>
    </row>
    <row r="813">
      <c r="A813" s="54" t="n"/>
      <c r="B813" s="61" t="n"/>
      <c r="C813" s="58" t="n"/>
      <c r="D813" s="58" t="n"/>
      <c r="E813" s="64">
        <f>IF(tblCommentary[[#This Row],[Date]]="","",COUNTIFS(INDEX(tblCommentary[Date],1):tblCommentary[[#This Row],[Date]],tblCommentary[[#This Row],[Date]]))</f>
        <v/>
      </c>
      <c r="F813" s="63">
        <f>IF(tblCommentary[[#This Row],[Date]]="","",tblCommentary[[#This Row],[Date]]&amp;"|"&amp;tblCommentary[[#This Row],[Seq_Day]])</f>
        <v/>
      </c>
    </row>
    <row r="814">
      <c r="A814" s="54" t="n"/>
      <c r="B814" s="61" t="n"/>
      <c r="C814" s="58" t="n"/>
      <c r="D814" s="58" t="n"/>
      <c r="E814" s="64">
        <f>IF(tblCommentary[[#This Row],[Date]]="","",COUNTIFS(INDEX(tblCommentary[Date],1):tblCommentary[[#This Row],[Date]],tblCommentary[[#This Row],[Date]]))</f>
        <v/>
      </c>
      <c r="F814" s="63">
        <f>IF(tblCommentary[[#This Row],[Date]]="","",tblCommentary[[#This Row],[Date]]&amp;"|"&amp;tblCommentary[[#This Row],[Seq_Day]])</f>
        <v/>
      </c>
    </row>
    <row r="815">
      <c r="A815" s="54" t="n"/>
      <c r="B815" s="61" t="n"/>
      <c r="C815" s="58" t="n"/>
      <c r="D815" s="58" t="n"/>
      <c r="E815" s="64">
        <f>IF(tblCommentary[[#This Row],[Date]]="","",COUNTIFS(INDEX(tblCommentary[Date],1):tblCommentary[[#This Row],[Date]],tblCommentary[[#This Row],[Date]]))</f>
        <v/>
      </c>
      <c r="F815" s="63">
        <f>IF(tblCommentary[[#This Row],[Date]]="","",tblCommentary[[#This Row],[Date]]&amp;"|"&amp;tblCommentary[[#This Row],[Seq_Day]])</f>
        <v/>
      </c>
    </row>
    <row r="816">
      <c r="A816" s="54" t="n"/>
      <c r="B816" s="61" t="n"/>
      <c r="C816" s="58" t="n"/>
      <c r="D816" s="58" t="n"/>
      <c r="E816" s="64">
        <f>IF(tblCommentary[[#This Row],[Date]]="","",COUNTIFS(INDEX(tblCommentary[Date],1):tblCommentary[[#This Row],[Date]],tblCommentary[[#This Row],[Date]]))</f>
        <v/>
      </c>
      <c r="F816" s="63">
        <f>IF(tblCommentary[[#This Row],[Date]]="","",tblCommentary[[#This Row],[Date]]&amp;"|"&amp;tblCommentary[[#This Row],[Seq_Day]])</f>
        <v/>
      </c>
    </row>
    <row r="817">
      <c r="A817" s="54" t="n"/>
      <c r="B817" s="61" t="n"/>
      <c r="C817" s="58" t="n"/>
      <c r="D817" s="58" t="n"/>
      <c r="E817" s="64">
        <f>IF(tblCommentary[[#This Row],[Date]]="","",COUNTIFS(INDEX(tblCommentary[Date],1):tblCommentary[[#This Row],[Date]],tblCommentary[[#This Row],[Date]]))</f>
        <v/>
      </c>
      <c r="F817" s="63">
        <f>IF(tblCommentary[[#This Row],[Date]]="","",tblCommentary[[#This Row],[Date]]&amp;"|"&amp;tblCommentary[[#This Row],[Seq_Day]])</f>
        <v/>
      </c>
    </row>
    <row r="818">
      <c r="A818" s="54" t="n"/>
      <c r="B818" s="61" t="n"/>
      <c r="C818" s="58" t="n"/>
      <c r="D818" s="58" t="n"/>
      <c r="E818" s="64">
        <f>IF(tblCommentary[[#This Row],[Date]]="","",COUNTIFS(INDEX(tblCommentary[Date],1):tblCommentary[[#This Row],[Date]],tblCommentary[[#This Row],[Date]]))</f>
        <v/>
      </c>
      <c r="F818" s="63">
        <f>IF(tblCommentary[[#This Row],[Date]]="","",tblCommentary[[#This Row],[Date]]&amp;"|"&amp;tblCommentary[[#This Row],[Seq_Day]])</f>
        <v/>
      </c>
    </row>
    <row r="819">
      <c r="A819" s="54" t="n"/>
      <c r="B819" s="61" t="n"/>
      <c r="C819" s="58" t="n"/>
      <c r="D819" s="58" t="n"/>
      <c r="E819" s="64">
        <f>IF(tblCommentary[[#This Row],[Date]]="","",COUNTIFS(INDEX(tblCommentary[Date],1):tblCommentary[[#This Row],[Date]],tblCommentary[[#This Row],[Date]]))</f>
        <v/>
      </c>
      <c r="F819" s="63">
        <f>IF(tblCommentary[[#This Row],[Date]]="","",tblCommentary[[#This Row],[Date]]&amp;"|"&amp;tblCommentary[[#This Row],[Seq_Day]])</f>
        <v/>
      </c>
    </row>
    <row r="820">
      <c r="A820" s="54" t="n"/>
      <c r="B820" s="61" t="n"/>
      <c r="C820" s="58" t="n"/>
      <c r="D820" s="58" t="n"/>
      <c r="E820" s="64">
        <f>IF(tblCommentary[[#This Row],[Date]]="","",COUNTIFS(INDEX(tblCommentary[Date],1):tblCommentary[[#This Row],[Date]],tblCommentary[[#This Row],[Date]]))</f>
        <v/>
      </c>
      <c r="F820" s="63">
        <f>IF(tblCommentary[[#This Row],[Date]]="","",tblCommentary[[#This Row],[Date]]&amp;"|"&amp;tblCommentary[[#This Row],[Seq_Day]])</f>
        <v/>
      </c>
    </row>
    <row r="821">
      <c r="A821" s="54" t="n"/>
      <c r="B821" s="61" t="n"/>
      <c r="C821" s="58" t="n"/>
      <c r="D821" s="58" t="n"/>
      <c r="E821" s="64">
        <f>IF(tblCommentary[[#This Row],[Date]]="","",COUNTIFS(INDEX(tblCommentary[Date],1):tblCommentary[[#This Row],[Date]],tblCommentary[[#This Row],[Date]]))</f>
        <v/>
      </c>
      <c r="F821" s="63">
        <f>IF(tblCommentary[[#This Row],[Date]]="","",tblCommentary[[#This Row],[Date]]&amp;"|"&amp;tblCommentary[[#This Row],[Seq_Day]])</f>
        <v/>
      </c>
    </row>
    <row r="822">
      <c r="A822" s="54" t="n"/>
      <c r="B822" s="61" t="n"/>
      <c r="C822" s="58" t="n"/>
      <c r="D822" s="58" t="n"/>
      <c r="E822" s="64">
        <f>IF(tblCommentary[[#This Row],[Date]]="","",COUNTIFS(INDEX(tblCommentary[Date],1):tblCommentary[[#This Row],[Date]],tblCommentary[[#This Row],[Date]]))</f>
        <v/>
      </c>
      <c r="F822" s="63">
        <f>IF(tblCommentary[[#This Row],[Date]]="","",tblCommentary[[#This Row],[Date]]&amp;"|"&amp;tblCommentary[[#This Row],[Seq_Day]])</f>
        <v/>
      </c>
    </row>
    <row r="823">
      <c r="A823" s="54" t="n"/>
      <c r="B823" s="61" t="n"/>
      <c r="C823" s="58" t="n"/>
      <c r="D823" s="58" t="n"/>
      <c r="E823" s="64">
        <f>IF(tblCommentary[[#This Row],[Date]]="","",COUNTIFS(INDEX(tblCommentary[Date],1):tblCommentary[[#This Row],[Date]],tblCommentary[[#This Row],[Date]]))</f>
        <v/>
      </c>
      <c r="F823" s="63">
        <f>IF(tblCommentary[[#This Row],[Date]]="","",tblCommentary[[#This Row],[Date]]&amp;"|"&amp;tblCommentary[[#This Row],[Seq_Day]])</f>
        <v/>
      </c>
    </row>
    <row r="824">
      <c r="A824" s="54" t="n"/>
      <c r="B824" s="61" t="n"/>
      <c r="C824" s="58" t="n"/>
      <c r="D824" s="58" t="n"/>
      <c r="E824" s="64">
        <f>IF(tblCommentary[[#This Row],[Date]]="","",COUNTIFS(INDEX(tblCommentary[Date],1):tblCommentary[[#This Row],[Date]],tblCommentary[[#This Row],[Date]]))</f>
        <v/>
      </c>
      <c r="F824" s="63">
        <f>IF(tblCommentary[[#This Row],[Date]]="","",tblCommentary[[#This Row],[Date]]&amp;"|"&amp;tblCommentary[[#This Row],[Seq_Day]])</f>
        <v/>
      </c>
    </row>
    <row r="825">
      <c r="A825" s="54" t="n"/>
      <c r="B825" s="61" t="n"/>
      <c r="C825" s="58" t="n"/>
      <c r="D825" s="58" t="n"/>
      <c r="E825" s="64">
        <f>IF(tblCommentary[[#This Row],[Date]]="","",COUNTIFS(INDEX(tblCommentary[Date],1):tblCommentary[[#This Row],[Date]],tblCommentary[[#This Row],[Date]]))</f>
        <v/>
      </c>
      <c r="F825" s="63">
        <f>IF(tblCommentary[[#This Row],[Date]]="","",tblCommentary[[#This Row],[Date]]&amp;"|"&amp;tblCommentary[[#This Row],[Seq_Day]])</f>
        <v/>
      </c>
    </row>
    <row r="826">
      <c r="A826" s="54" t="n"/>
      <c r="B826" s="61" t="n"/>
      <c r="C826" s="58" t="n"/>
      <c r="D826" s="58" t="n"/>
      <c r="E826" s="64">
        <f>IF(tblCommentary[[#This Row],[Date]]="","",COUNTIFS(INDEX(tblCommentary[Date],1):tblCommentary[[#This Row],[Date]],tblCommentary[[#This Row],[Date]]))</f>
        <v/>
      </c>
      <c r="F826" s="63">
        <f>IF(tblCommentary[[#This Row],[Date]]="","",tblCommentary[[#This Row],[Date]]&amp;"|"&amp;tblCommentary[[#This Row],[Seq_Day]])</f>
        <v/>
      </c>
    </row>
    <row r="827">
      <c r="A827" s="54" t="n"/>
      <c r="B827" s="61" t="n"/>
      <c r="C827" s="58" t="n"/>
      <c r="D827" s="58" t="n"/>
      <c r="E827" s="64">
        <f>IF(tblCommentary[[#This Row],[Date]]="","",COUNTIFS(INDEX(tblCommentary[Date],1):tblCommentary[[#This Row],[Date]],tblCommentary[[#This Row],[Date]]))</f>
        <v/>
      </c>
      <c r="F827" s="63">
        <f>IF(tblCommentary[[#This Row],[Date]]="","",tblCommentary[[#This Row],[Date]]&amp;"|"&amp;tblCommentary[[#This Row],[Seq_Day]])</f>
        <v/>
      </c>
    </row>
    <row r="828">
      <c r="A828" s="54" t="n"/>
      <c r="B828" s="61" t="n"/>
      <c r="C828" s="58" t="n"/>
      <c r="D828" s="58" t="n"/>
      <c r="E828" s="64">
        <f>IF(tblCommentary[[#This Row],[Date]]="","",COUNTIFS(INDEX(tblCommentary[Date],1):tblCommentary[[#This Row],[Date]],tblCommentary[[#This Row],[Date]]))</f>
        <v/>
      </c>
      <c r="F828" s="63">
        <f>IF(tblCommentary[[#This Row],[Date]]="","",tblCommentary[[#This Row],[Date]]&amp;"|"&amp;tblCommentary[[#This Row],[Seq_Day]])</f>
        <v/>
      </c>
    </row>
    <row r="829">
      <c r="A829" s="54" t="n"/>
      <c r="B829" s="61" t="n"/>
      <c r="C829" s="58" t="n"/>
      <c r="D829" s="58" t="n"/>
      <c r="E829" s="64">
        <f>IF(tblCommentary[[#This Row],[Date]]="","",COUNTIFS(INDEX(tblCommentary[Date],1):tblCommentary[[#This Row],[Date]],tblCommentary[[#This Row],[Date]]))</f>
        <v/>
      </c>
      <c r="F829" s="63">
        <f>IF(tblCommentary[[#This Row],[Date]]="","",tblCommentary[[#This Row],[Date]]&amp;"|"&amp;tblCommentary[[#This Row],[Seq_Day]])</f>
        <v/>
      </c>
    </row>
    <row r="830">
      <c r="A830" s="54" t="n"/>
      <c r="B830" s="61" t="n"/>
      <c r="C830" s="58" t="n"/>
      <c r="D830" s="58" t="n"/>
      <c r="E830" s="64">
        <f>IF(tblCommentary[[#This Row],[Date]]="","",COUNTIFS(INDEX(tblCommentary[Date],1):tblCommentary[[#This Row],[Date]],tblCommentary[[#This Row],[Date]]))</f>
        <v/>
      </c>
      <c r="F830" s="63">
        <f>IF(tblCommentary[[#This Row],[Date]]="","",tblCommentary[[#This Row],[Date]]&amp;"|"&amp;tblCommentary[[#This Row],[Seq_Day]])</f>
        <v/>
      </c>
    </row>
    <row r="831">
      <c r="A831" s="54" t="n"/>
      <c r="B831" s="61" t="n"/>
      <c r="C831" s="58" t="n"/>
      <c r="D831" s="58" t="n"/>
      <c r="E831" s="64">
        <f>IF(tblCommentary[[#This Row],[Date]]="","",COUNTIFS(INDEX(tblCommentary[Date],1):tblCommentary[[#This Row],[Date]],tblCommentary[[#This Row],[Date]]))</f>
        <v/>
      </c>
      <c r="F831" s="63">
        <f>IF(tblCommentary[[#This Row],[Date]]="","",tblCommentary[[#This Row],[Date]]&amp;"|"&amp;tblCommentary[[#This Row],[Seq_Day]])</f>
        <v/>
      </c>
    </row>
    <row r="832">
      <c r="A832" s="54" t="n"/>
      <c r="B832" s="61" t="n"/>
      <c r="C832" s="58" t="n"/>
      <c r="D832" s="58" t="n"/>
      <c r="E832" s="64">
        <f>IF(tblCommentary[[#This Row],[Date]]="","",COUNTIFS(INDEX(tblCommentary[Date],1):tblCommentary[[#This Row],[Date]],tblCommentary[[#This Row],[Date]]))</f>
        <v/>
      </c>
      <c r="F832" s="63">
        <f>IF(tblCommentary[[#This Row],[Date]]="","",tblCommentary[[#This Row],[Date]]&amp;"|"&amp;tblCommentary[[#This Row],[Seq_Day]])</f>
        <v/>
      </c>
    </row>
    <row r="833">
      <c r="A833" s="54" t="n"/>
      <c r="B833" s="61" t="n"/>
      <c r="C833" s="58" t="n"/>
      <c r="D833" s="58" t="n"/>
      <c r="E833" s="64">
        <f>IF(tblCommentary[[#This Row],[Date]]="","",COUNTIFS(INDEX(tblCommentary[Date],1):tblCommentary[[#This Row],[Date]],tblCommentary[[#This Row],[Date]]))</f>
        <v/>
      </c>
      <c r="F833" s="63">
        <f>IF(tblCommentary[[#This Row],[Date]]="","",tblCommentary[[#This Row],[Date]]&amp;"|"&amp;tblCommentary[[#This Row],[Seq_Day]])</f>
        <v/>
      </c>
    </row>
    <row r="834">
      <c r="A834" s="54" t="n"/>
      <c r="B834" s="61" t="n"/>
      <c r="C834" s="58" t="n"/>
      <c r="D834" s="58" t="n"/>
      <c r="E834" s="64">
        <f>IF(tblCommentary[[#This Row],[Date]]="","",COUNTIFS(INDEX(tblCommentary[Date],1):tblCommentary[[#This Row],[Date]],tblCommentary[[#This Row],[Date]]))</f>
        <v/>
      </c>
      <c r="F834" s="63">
        <f>IF(tblCommentary[[#This Row],[Date]]="","",tblCommentary[[#This Row],[Date]]&amp;"|"&amp;tblCommentary[[#This Row],[Seq_Day]])</f>
        <v/>
      </c>
    </row>
    <row r="835">
      <c r="A835" s="54" t="n"/>
      <c r="B835" s="61" t="n"/>
      <c r="C835" s="58" t="n"/>
      <c r="D835" s="58" t="n"/>
      <c r="E835" s="64">
        <f>IF(tblCommentary[[#This Row],[Date]]="","",COUNTIFS(INDEX(tblCommentary[Date],1):tblCommentary[[#This Row],[Date]],tblCommentary[[#This Row],[Date]]))</f>
        <v/>
      </c>
      <c r="F835" s="63">
        <f>IF(tblCommentary[[#This Row],[Date]]="","",tblCommentary[[#This Row],[Date]]&amp;"|"&amp;tblCommentary[[#This Row],[Seq_Day]])</f>
        <v/>
      </c>
    </row>
    <row r="836">
      <c r="A836" s="54" t="n"/>
      <c r="B836" s="61" t="n"/>
      <c r="C836" s="58" t="n"/>
      <c r="D836" s="58" t="n"/>
      <c r="E836" s="64">
        <f>IF(tblCommentary[[#This Row],[Date]]="","",COUNTIFS(INDEX(tblCommentary[Date],1):tblCommentary[[#This Row],[Date]],tblCommentary[[#This Row],[Date]]))</f>
        <v/>
      </c>
      <c r="F836" s="63">
        <f>IF(tblCommentary[[#This Row],[Date]]="","",tblCommentary[[#This Row],[Date]]&amp;"|"&amp;tblCommentary[[#This Row],[Seq_Day]])</f>
        <v/>
      </c>
    </row>
    <row r="837">
      <c r="A837" s="54" t="n"/>
      <c r="B837" s="61" t="n"/>
      <c r="C837" s="58" t="n"/>
      <c r="D837" s="58" t="n"/>
      <c r="E837" s="64">
        <f>IF(tblCommentary[[#This Row],[Date]]="","",COUNTIFS(INDEX(tblCommentary[Date],1):tblCommentary[[#This Row],[Date]],tblCommentary[[#This Row],[Date]]))</f>
        <v/>
      </c>
      <c r="F837" s="63">
        <f>IF(tblCommentary[[#This Row],[Date]]="","",tblCommentary[[#This Row],[Date]]&amp;"|"&amp;tblCommentary[[#This Row],[Seq_Day]])</f>
        <v/>
      </c>
    </row>
    <row r="838">
      <c r="A838" s="54" t="n"/>
      <c r="B838" s="61" t="n"/>
      <c r="C838" s="58" t="n"/>
      <c r="D838" s="58" t="n"/>
      <c r="E838" s="64">
        <f>IF(tblCommentary[[#This Row],[Date]]="","",COUNTIFS(INDEX(tblCommentary[Date],1):tblCommentary[[#This Row],[Date]],tblCommentary[[#This Row],[Date]]))</f>
        <v/>
      </c>
      <c r="F838" s="63">
        <f>IF(tblCommentary[[#This Row],[Date]]="","",tblCommentary[[#This Row],[Date]]&amp;"|"&amp;tblCommentary[[#This Row],[Seq_Day]])</f>
        <v/>
      </c>
    </row>
    <row r="839">
      <c r="A839" s="54" t="n"/>
      <c r="B839" s="61" t="n"/>
      <c r="C839" s="58" t="n"/>
      <c r="D839" s="58" t="n"/>
      <c r="E839" s="64">
        <f>IF(tblCommentary[[#This Row],[Date]]="","",COUNTIFS(INDEX(tblCommentary[Date],1):tblCommentary[[#This Row],[Date]],tblCommentary[[#This Row],[Date]]))</f>
        <v/>
      </c>
      <c r="F839" s="63">
        <f>IF(tblCommentary[[#This Row],[Date]]="","",tblCommentary[[#This Row],[Date]]&amp;"|"&amp;tblCommentary[[#This Row],[Seq_Day]])</f>
        <v/>
      </c>
    </row>
    <row r="840">
      <c r="A840" s="54" t="n"/>
      <c r="B840" s="61" t="n"/>
      <c r="C840" s="58" t="n"/>
      <c r="D840" s="58" t="n"/>
      <c r="E840" s="64">
        <f>IF(tblCommentary[[#This Row],[Date]]="","",COUNTIFS(INDEX(tblCommentary[Date],1):tblCommentary[[#This Row],[Date]],tblCommentary[[#This Row],[Date]]))</f>
        <v/>
      </c>
      <c r="F840" s="63">
        <f>IF(tblCommentary[[#This Row],[Date]]="","",tblCommentary[[#This Row],[Date]]&amp;"|"&amp;tblCommentary[[#This Row],[Seq_Day]])</f>
        <v/>
      </c>
    </row>
    <row r="841">
      <c r="A841" s="54" t="n"/>
      <c r="B841" s="61" t="n"/>
      <c r="C841" s="58" t="n"/>
      <c r="D841" s="58" t="n"/>
      <c r="E841" s="64">
        <f>IF(tblCommentary[[#This Row],[Date]]="","",COUNTIFS(INDEX(tblCommentary[Date],1):tblCommentary[[#This Row],[Date]],tblCommentary[[#This Row],[Date]]))</f>
        <v/>
      </c>
      <c r="F841" s="63">
        <f>IF(tblCommentary[[#This Row],[Date]]="","",tblCommentary[[#This Row],[Date]]&amp;"|"&amp;tblCommentary[[#This Row],[Seq_Day]])</f>
        <v/>
      </c>
    </row>
    <row r="842">
      <c r="A842" s="54" t="n"/>
      <c r="B842" s="61" t="n"/>
      <c r="C842" s="58" t="n"/>
      <c r="D842" s="58" t="n"/>
      <c r="E842" s="64">
        <f>IF(tblCommentary[[#This Row],[Date]]="","",COUNTIFS(INDEX(tblCommentary[Date],1):tblCommentary[[#This Row],[Date]],tblCommentary[[#This Row],[Date]]))</f>
        <v/>
      </c>
      <c r="F842" s="63">
        <f>IF(tblCommentary[[#This Row],[Date]]="","",tblCommentary[[#This Row],[Date]]&amp;"|"&amp;tblCommentary[[#This Row],[Seq_Day]])</f>
        <v/>
      </c>
    </row>
    <row r="843">
      <c r="A843" s="54" t="n"/>
      <c r="B843" s="61" t="n"/>
      <c r="C843" s="58" t="n"/>
      <c r="D843" s="58" t="n"/>
      <c r="E843" s="64">
        <f>IF(tblCommentary[[#This Row],[Date]]="","",COUNTIFS(INDEX(tblCommentary[Date],1):tblCommentary[[#This Row],[Date]],tblCommentary[[#This Row],[Date]]))</f>
        <v/>
      </c>
      <c r="F843" s="63">
        <f>IF(tblCommentary[[#This Row],[Date]]="","",tblCommentary[[#This Row],[Date]]&amp;"|"&amp;tblCommentary[[#This Row],[Seq_Day]])</f>
        <v/>
      </c>
    </row>
    <row r="844">
      <c r="A844" s="54" t="n"/>
      <c r="B844" s="61" t="n"/>
      <c r="C844" s="58" t="n"/>
      <c r="D844" s="58" t="n"/>
      <c r="E844" s="64">
        <f>IF(tblCommentary[[#This Row],[Date]]="","",COUNTIFS(INDEX(tblCommentary[Date],1):tblCommentary[[#This Row],[Date]],tblCommentary[[#This Row],[Date]]))</f>
        <v/>
      </c>
      <c r="F844" s="63">
        <f>IF(tblCommentary[[#This Row],[Date]]="","",tblCommentary[[#This Row],[Date]]&amp;"|"&amp;tblCommentary[[#This Row],[Seq_Day]])</f>
        <v/>
      </c>
    </row>
    <row r="845">
      <c r="A845" s="54" t="n"/>
      <c r="B845" s="61" t="n"/>
      <c r="C845" s="58" t="n"/>
      <c r="D845" s="58" t="n"/>
      <c r="E845" s="64">
        <f>IF(tblCommentary[[#This Row],[Date]]="","",COUNTIFS(INDEX(tblCommentary[Date],1):tblCommentary[[#This Row],[Date]],tblCommentary[[#This Row],[Date]]))</f>
        <v/>
      </c>
      <c r="F845" s="63">
        <f>IF(tblCommentary[[#This Row],[Date]]="","",tblCommentary[[#This Row],[Date]]&amp;"|"&amp;tblCommentary[[#This Row],[Seq_Day]])</f>
        <v/>
      </c>
    </row>
    <row r="846">
      <c r="A846" s="54" t="n"/>
      <c r="B846" s="61" t="n"/>
      <c r="C846" s="58" t="n"/>
      <c r="D846" s="58" t="n"/>
      <c r="E846" s="64">
        <f>IF(tblCommentary[[#This Row],[Date]]="","",COUNTIFS(INDEX(tblCommentary[Date],1):tblCommentary[[#This Row],[Date]],tblCommentary[[#This Row],[Date]]))</f>
        <v/>
      </c>
      <c r="F846" s="63">
        <f>IF(tblCommentary[[#This Row],[Date]]="","",tblCommentary[[#This Row],[Date]]&amp;"|"&amp;tblCommentary[[#This Row],[Seq_Day]])</f>
        <v/>
      </c>
    </row>
    <row r="847">
      <c r="A847" s="54" t="n"/>
      <c r="B847" s="61" t="n"/>
      <c r="C847" s="58" t="n"/>
      <c r="D847" s="58" t="n"/>
      <c r="E847" s="64">
        <f>IF(tblCommentary[[#This Row],[Date]]="","",COUNTIFS(INDEX(tblCommentary[Date],1):tblCommentary[[#This Row],[Date]],tblCommentary[[#This Row],[Date]]))</f>
        <v/>
      </c>
      <c r="F847" s="63">
        <f>IF(tblCommentary[[#This Row],[Date]]="","",tblCommentary[[#This Row],[Date]]&amp;"|"&amp;tblCommentary[[#This Row],[Seq_Day]])</f>
        <v/>
      </c>
    </row>
    <row r="848">
      <c r="A848" s="54" t="n"/>
      <c r="B848" s="61" t="n"/>
      <c r="C848" s="58" t="n"/>
      <c r="D848" s="58" t="n"/>
      <c r="E848" s="64">
        <f>IF(tblCommentary[[#This Row],[Date]]="","",COUNTIFS(INDEX(tblCommentary[Date],1):tblCommentary[[#This Row],[Date]],tblCommentary[[#This Row],[Date]]))</f>
        <v/>
      </c>
      <c r="F848" s="63">
        <f>IF(tblCommentary[[#This Row],[Date]]="","",tblCommentary[[#This Row],[Date]]&amp;"|"&amp;tblCommentary[[#This Row],[Seq_Day]])</f>
        <v/>
      </c>
    </row>
    <row r="849">
      <c r="A849" s="54" t="n"/>
      <c r="B849" s="61" t="n"/>
      <c r="C849" s="58" t="n"/>
      <c r="D849" s="58" t="n"/>
      <c r="E849" s="64">
        <f>IF(tblCommentary[[#This Row],[Date]]="","",COUNTIFS(INDEX(tblCommentary[Date],1):tblCommentary[[#This Row],[Date]],tblCommentary[[#This Row],[Date]]))</f>
        <v/>
      </c>
      <c r="F849" s="63">
        <f>IF(tblCommentary[[#This Row],[Date]]="","",tblCommentary[[#This Row],[Date]]&amp;"|"&amp;tblCommentary[[#This Row],[Seq_Day]])</f>
        <v/>
      </c>
    </row>
    <row r="850">
      <c r="A850" s="54" t="n"/>
      <c r="B850" s="61" t="n"/>
      <c r="C850" s="58" t="n"/>
      <c r="D850" s="58" t="n"/>
      <c r="E850" s="64">
        <f>IF(tblCommentary[[#This Row],[Date]]="","",COUNTIFS(INDEX(tblCommentary[Date],1):tblCommentary[[#This Row],[Date]],tblCommentary[[#This Row],[Date]]))</f>
        <v/>
      </c>
      <c r="F850" s="63">
        <f>IF(tblCommentary[[#This Row],[Date]]="","",tblCommentary[[#This Row],[Date]]&amp;"|"&amp;tblCommentary[[#This Row],[Seq_Day]])</f>
        <v/>
      </c>
    </row>
    <row r="851">
      <c r="A851" s="54" t="n"/>
      <c r="B851" s="61" t="n"/>
      <c r="C851" s="58" t="n"/>
      <c r="D851" s="58" t="n"/>
      <c r="E851" s="64">
        <f>IF(tblCommentary[[#This Row],[Date]]="","",COUNTIFS(INDEX(tblCommentary[Date],1):tblCommentary[[#This Row],[Date]],tblCommentary[[#This Row],[Date]]))</f>
        <v/>
      </c>
      <c r="F851" s="63">
        <f>IF(tblCommentary[[#This Row],[Date]]="","",tblCommentary[[#This Row],[Date]]&amp;"|"&amp;tblCommentary[[#This Row],[Seq_Day]])</f>
        <v/>
      </c>
    </row>
    <row r="852">
      <c r="A852" s="54" t="n"/>
      <c r="B852" s="61" t="n"/>
      <c r="C852" s="58" t="n"/>
      <c r="D852" s="58" t="n"/>
      <c r="E852" s="64">
        <f>IF(tblCommentary[[#This Row],[Date]]="","",COUNTIFS(INDEX(tblCommentary[Date],1):tblCommentary[[#This Row],[Date]],tblCommentary[[#This Row],[Date]]))</f>
        <v/>
      </c>
      <c r="F852" s="63">
        <f>IF(tblCommentary[[#This Row],[Date]]="","",tblCommentary[[#This Row],[Date]]&amp;"|"&amp;tblCommentary[[#This Row],[Seq_Day]])</f>
        <v/>
      </c>
    </row>
    <row r="853">
      <c r="A853" s="54" t="n"/>
      <c r="B853" s="61" t="n"/>
      <c r="C853" s="58" t="n"/>
      <c r="D853" s="58" t="n"/>
      <c r="E853" s="64">
        <f>IF(tblCommentary[[#This Row],[Date]]="","",COUNTIFS(INDEX(tblCommentary[Date],1):tblCommentary[[#This Row],[Date]],tblCommentary[[#This Row],[Date]]))</f>
        <v/>
      </c>
      <c r="F853" s="63">
        <f>IF(tblCommentary[[#This Row],[Date]]="","",tblCommentary[[#This Row],[Date]]&amp;"|"&amp;tblCommentary[[#This Row],[Seq_Day]])</f>
        <v/>
      </c>
    </row>
    <row r="854">
      <c r="A854" s="54" t="n"/>
      <c r="B854" s="61" t="n"/>
      <c r="C854" s="58" t="n"/>
      <c r="D854" s="58" t="n"/>
      <c r="E854" s="64">
        <f>IF(tblCommentary[[#This Row],[Date]]="","",COUNTIFS(INDEX(tblCommentary[Date],1):tblCommentary[[#This Row],[Date]],tblCommentary[[#This Row],[Date]]))</f>
        <v/>
      </c>
      <c r="F854" s="63">
        <f>IF(tblCommentary[[#This Row],[Date]]="","",tblCommentary[[#This Row],[Date]]&amp;"|"&amp;tblCommentary[[#This Row],[Seq_Day]])</f>
        <v/>
      </c>
    </row>
    <row r="855">
      <c r="A855" s="54" t="n"/>
      <c r="B855" s="61" t="n"/>
      <c r="C855" s="58" t="n"/>
      <c r="D855" s="58" t="n"/>
      <c r="E855" s="64">
        <f>IF(tblCommentary[[#This Row],[Date]]="","",COUNTIFS(INDEX(tblCommentary[Date],1):tblCommentary[[#This Row],[Date]],tblCommentary[[#This Row],[Date]]))</f>
        <v/>
      </c>
      <c r="F855" s="63">
        <f>IF(tblCommentary[[#This Row],[Date]]="","",tblCommentary[[#This Row],[Date]]&amp;"|"&amp;tblCommentary[[#This Row],[Seq_Day]])</f>
        <v/>
      </c>
    </row>
    <row r="856">
      <c r="A856" s="54" t="n"/>
      <c r="B856" s="61" t="n"/>
      <c r="C856" s="58" t="n"/>
      <c r="D856" s="58" t="n"/>
      <c r="E856" s="64">
        <f>IF(tblCommentary[[#This Row],[Date]]="","",COUNTIFS(INDEX(tblCommentary[Date],1):tblCommentary[[#This Row],[Date]],tblCommentary[[#This Row],[Date]]))</f>
        <v/>
      </c>
      <c r="F856" s="63">
        <f>IF(tblCommentary[[#This Row],[Date]]="","",tblCommentary[[#This Row],[Date]]&amp;"|"&amp;tblCommentary[[#This Row],[Seq_Day]])</f>
        <v/>
      </c>
    </row>
    <row r="857">
      <c r="A857" s="54" t="n"/>
      <c r="B857" s="61" t="n"/>
      <c r="C857" s="58" t="n"/>
      <c r="D857" s="58" t="n"/>
      <c r="E857" s="64">
        <f>IF(tblCommentary[[#This Row],[Date]]="","",COUNTIFS(INDEX(tblCommentary[Date],1):tblCommentary[[#This Row],[Date]],tblCommentary[[#This Row],[Date]]))</f>
        <v/>
      </c>
      <c r="F857" s="63">
        <f>IF(tblCommentary[[#This Row],[Date]]="","",tblCommentary[[#This Row],[Date]]&amp;"|"&amp;tblCommentary[[#This Row],[Seq_Day]])</f>
        <v/>
      </c>
    </row>
    <row r="858">
      <c r="A858" s="54" t="n"/>
      <c r="B858" s="61" t="n"/>
      <c r="C858" s="58" t="n"/>
      <c r="D858" s="58" t="n"/>
      <c r="E858" s="64">
        <f>IF(tblCommentary[[#This Row],[Date]]="","",COUNTIFS(INDEX(tblCommentary[Date],1):tblCommentary[[#This Row],[Date]],tblCommentary[[#This Row],[Date]]))</f>
        <v/>
      </c>
      <c r="F858" s="63">
        <f>IF(tblCommentary[[#This Row],[Date]]="","",tblCommentary[[#This Row],[Date]]&amp;"|"&amp;tblCommentary[[#This Row],[Seq_Day]])</f>
        <v/>
      </c>
    </row>
    <row r="859">
      <c r="A859" s="54" t="n"/>
      <c r="B859" s="61" t="n"/>
      <c r="C859" s="58" t="n"/>
      <c r="D859" s="58" t="n"/>
      <c r="E859" s="64">
        <f>IF(tblCommentary[[#This Row],[Date]]="","",COUNTIFS(INDEX(tblCommentary[Date],1):tblCommentary[[#This Row],[Date]],tblCommentary[[#This Row],[Date]]))</f>
        <v/>
      </c>
      <c r="F859" s="63">
        <f>IF(tblCommentary[[#This Row],[Date]]="","",tblCommentary[[#This Row],[Date]]&amp;"|"&amp;tblCommentary[[#This Row],[Seq_Day]])</f>
        <v/>
      </c>
    </row>
    <row r="860">
      <c r="A860" s="54" t="n"/>
      <c r="B860" s="61" t="n"/>
      <c r="C860" s="58" t="n"/>
      <c r="D860" s="58" t="n"/>
      <c r="E860" s="64">
        <f>IF(tblCommentary[[#This Row],[Date]]="","",COUNTIFS(INDEX(tblCommentary[Date],1):tblCommentary[[#This Row],[Date]],tblCommentary[[#This Row],[Date]]))</f>
        <v/>
      </c>
      <c r="F860" s="63">
        <f>IF(tblCommentary[[#This Row],[Date]]="","",tblCommentary[[#This Row],[Date]]&amp;"|"&amp;tblCommentary[[#This Row],[Seq_Day]])</f>
        <v/>
      </c>
    </row>
    <row r="861">
      <c r="A861" s="54" t="n"/>
      <c r="B861" s="61" t="n"/>
      <c r="C861" s="58" t="n"/>
      <c r="D861" s="58" t="n"/>
      <c r="E861" s="64">
        <f>IF(tblCommentary[[#This Row],[Date]]="","",COUNTIFS(INDEX(tblCommentary[Date],1):tblCommentary[[#This Row],[Date]],tblCommentary[[#This Row],[Date]]))</f>
        <v/>
      </c>
      <c r="F861" s="63">
        <f>IF(tblCommentary[[#This Row],[Date]]="","",tblCommentary[[#This Row],[Date]]&amp;"|"&amp;tblCommentary[[#This Row],[Seq_Day]])</f>
        <v/>
      </c>
    </row>
    <row r="862">
      <c r="A862" s="54" t="n"/>
      <c r="B862" s="61" t="n"/>
      <c r="C862" s="58" t="n"/>
      <c r="D862" s="58" t="n"/>
      <c r="E862" s="64">
        <f>IF(tblCommentary[[#This Row],[Date]]="","",COUNTIFS(INDEX(tblCommentary[Date],1):tblCommentary[[#This Row],[Date]],tblCommentary[[#This Row],[Date]]))</f>
        <v/>
      </c>
      <c r="F862" s="63">
        <f>IF(tblCommentary[[#This Row],[Date]]="","",tblCommentary[[#This Row],[Date]]&amp;"|"&amp;tblCommentary[[#This Row],[Seq_Day]])</f>
        <v/>
      </c>
    </row>
    <row r="863">
      <c r="A863" s="54" t="n"/>
      <c r="B863" s="61" t="n"/>
      <c r="C863" s="58" t="n"/>
      <c r="D863" s="58" t="n"/>
      <c r="E863" s="64">
        <f>IF(tblCommentary[[#This Row],[Date]]="","",COUNTIFS(INDEX(tblCommentary[Date],1):tblCommentary[[#This Row],[Date]],tblCommentary[[#This Row],[Date]]))</f>
        <v/>
      </c>
      <c r="F863" s="63">
        <f>IF(tblCommentary[[#This Row],[Date]]="","",tblCommentary[[#This Row],[Date]]&amp;"|"&amp;tblCommentary[[#This Row],[Seq_Day]])</f>
        <v/>
      </c>
    </row>
    <row r="864">
      <c r="A864" s="54" t="n"/>
      <c r="B864" s="61" t="n"/>
      <c r="C864" s="58" t="n"/>
      <c r="D864" s="58" t="n"/>
      <c r="E864" s="64">
        <f>IF(tblCommentary[[#This Row],[Date]]="","",COUNTIFS(INDEX(tblCommentary[Date],1):tblCommentary[[#This Row],[Date]],tblCommentary[[#This Row],[Date]]))</f>
        <v/>
      </c>
      <c r="F864" s="63">
        <f>IF(tblCommentary[[#This Row],[Date]]="","",tblCommentary[[#This Row],[Date]]&amp;"|"&amp;tblCommentary[[#This Row],[Seq_Day]])</f>
        <v/>
      </c>
    </row>
    <row r="865">
      <c r="A865" s="54" t="n"/>
      <c r="B865" s="61" t="n"/>
      <c r="C865" s="58" t="n"/>
      <c r="D865" s="58" t="n"/>
      <c r="E865" s="64">
        <f>IF(tblCommentary[[#This Row],[Date]]="","",COUNTIFS(INDEX(tblCommentary[Date],1):tblCommentary[[#This Row],[Date]],tblCommentary[[#This Row],[Date]]))</f>
        <v/>
      </c>
      <c r="F865" s="63">
        <f>IF(tblCommentary[[#This Row],[Date]]="","",tblCommentary[[#This Row],[Date]]&amp;"|"&amp;tblCommentary[[#This Row],[Seq_Day]])</f>
        <v/>
      </c>
    </row>
    <row r="866">
      <c r="A866" s="54" t="n"/>
      <c r="B866" s="61" t="n"/>
      <c r="C866" s="58" t="n"/>
      <c r="D866" s="58" t="n"/>
      <c r="E866" s="64">
        <f>IF(tblCommentary[[#This Row],[Date]]="","",COUNTIFS(INDEX(tblCommentary[Date],1):tblCommentary[[#This Row],[Date]],tblCommentary[[#This Row],[Date]]))</f>
        <v/>
      </c>
      <c r="F866" s="63">
        <f>IF(tblCommentary[[#This Row],[Date]]="","",tblCommentary[[#This Row],[Date]]&amp;"|"&amp;tblCommentary[[#This Row],[Seq_Day]])</f>
        <v/>
      </c>
    </row>
    <row r="867">
      <c r="A867" s="54" t="n"/>
      <c r="B867" s="61" t="n"/>
      <c r="C867" s="58" t="n"/>
      <c r="D867" s="58" t="n"/>
      <c r="E867" s="64">
        <f>IF(tblCommentary[[#This Row],[Date]]="","",COUNTIFS(INDEX(tblCommentary[Date],1):tblCommentary[[#This Row],[Date]],tblCommentary[[#This Row],[Date]]))</f>
        <v/>
      </c>
      <c r="F867" s="63">
        <f>IF(tblCommentary[[#This Row],[Date]]="","",tblCommentary[[#This Row],[Date]]&amp;"|"&amp;tblCommentary[[#This Row],[Seq_Day]])</f>
        <v/>
      </c>
    </row>
    <row r="868">
      <c r="A868" s="54" t="n"/>
      <c r="B868" s="61" t="n"/>
      <c r="C868" s="58" t="n"/>
      <c r="D868" s="58" t="n"/>
      <c r="E868" s="64">
        <f>IF(tblCommentary[[#This Row],[Date]]="","",COUNTIFS(INDEX(tblCommentary[Date],1):tblCommentary[[#This Row],[Date]],tblCommentary[[#This Row],[Date]]))</f>
        <v/>
      </c>
      <c r="F868" s="63">
        <f>IF(tblCommentary[[#This Row],[Date]]="","",tblCommentary[[#This Row],[Date]]&amp;"|"&amp;tblCommentary[[#This Row],[Seq_Day]])</f>
        <v/>
      </c>
    </row>
    <row r="869">
      <c r="A869" s="54" t="n"/>
      <c r="B869" s="61" t="n"/>
      <c r="C869" s="58" t="n"/>
      <c r="D869" s="58" t="n"/>
      <c r="E869" s="64">
        <f>IF(tblCommentary[[#This Row],[Date]]="","",COUNTIFS(INDEX(tblCommentary[Date],1):tblCommentary[[#This Row],[Date]],tblCommentary[[#This Row],[Date]]))</f>
        <v/>
      </c>
      <c r="F869" s="63">
        <f>IF(tblCommentary[[#This Row],[Date]]="","",tblCommentary[[#This Row],[Date]]&amp;"|"&amp;tblCommentary[[#This Row],[Seq_Day]])</f>
        <v/>
      </c>
    </row>
    <row r="870">
      <c r="A870" s="54" t="n"/>
      <c r="B870" s="61" t="n"/>
      <c r="C870" s="58" t="n"/>
      <c r="D870" s="58" t="n"/>
      <c r="E870" s="64">
        <f>IF(tblCommentary[[#This Row],[Date]]="","",COUNTIFS(INDEX(tblCommentary[Date],1):tblCommentary[[#This Row],[Date]],tblCommentary[[#This Row],[Date]]))</f>
        <v/>
      </c>
      <c r="F870" s="63">
        <f>IF(tblCommentary[[#This Row],[Date]]="","",tblCommentary[[#This Row],[Date]]&amp;"|"&amp;tblCommentary[[#This Row],[Seq_Day]])</f>
        <v/>
      </c>
    </row>
    <row r="871">
      <c r="A871" s="54" t="n"/>
      <c r="B871" s="61" t="n"/>
      <c r="C871" s="58" t="n"/>
      <c r="D871" s="58" t="n"/>
      <c r="E871" s="64">
        <f>IF(tblCommentary[[#This Row],[Date]]="","",COUNTIFS(INDEX(tblCommentary[Date],1):tblCommentary[[#This Row],[Date]],tblCommentary[[#This Row],[Date]]))</f>
        <v/>
      </c>
      <c r="F871" s="63">
        <f>IF(tblCommentary[[#This Row],[Date]]="","",tblCommentary[[#This Row],[Date]]&amp;"|"&amp;tblCommentary[[#This Row],[Seq_Day]])</f>
        <v/>
      </c>
    </row>
    <row r="872">
      <c r="A872" s="54" t="n"/>
      <c r="B872" s="61" t="n"/>
      <c r="C872" s="58" t="n"/>
      <c r="D872" s="58" t="n"/>
      <c r="E872" s="64">
        <f>IF(tblCommentary[[#This Row],[Date]]="","",COUNTIFS(INDEX(tblCommentary[Date],1):tblCommentary[[#This Row],[Date]],tblCommentary[[#This Row],[Date]]))</f>
        <v/>
      </c>
      <c r="F872" s="63">
        <f>IF(tblCommentary[[#This Row],[Date]]="","",tblCommentary[[#This Row],[Date]]&amp;"|"&amp;tblCommentary[[#This Row],[Seq_Day]])</f>
        <v/>
      </c>
    </row>
    <row r="873">
      <c r="A873" s="54" t="n"/>
      <c r="B873" s="61" t="n"/>
      <c r="C873" s="58" t="n"/>
      <c r="D873" s="58" t="n"/>
      <c r="E873" s="64">
        <f>IF(tblCommentary[[#This Row],[Date]]="","",COUNTIFS(INDEX(tblCommentary[Date],1):tblCommentary[[#This Row],[Date]],tblCommentary[[#This Row],[Date]]))</f>
        <v/>
      </c>
      <c r="F873" s="63">
        <f>IF(tblCommentary[[#This Row],[Date]]="","",tblCommentary[[#This Row],[Date]]&amp;"|"&amp;tblCommentary[[#This Row],[Seq_Day]])</f>
        <v/>
      </c>
    </row>
    <row r="874">
      <c r="A874" s="54" t="n"/>
      <c r="B874" s="61" t="n"/>
      <c r="C874" s="58" t="n"/>
      <c r="D874" s="58" t="n"/>
      <c r="E874" s="64">
        <f>IF(tblCommentary[[#This Row],[Date]]="","",COUNTIFS(INDEX(tblCommentary[Date],1):tblCommentary[[#This Row],[Date]],tblCommentary[[#This Row],[Date]]))</f>
        <v/>
      </c>
      <c r="F874" s="63">
        <f>IF(tblCommentary[[#This Row],[Date]]="","",tblCommentary[[#This Row],[Date]]&amp;"|"&amp;tblCommentary[[#This Row],[Seq_Day]])</f>
        <v/>
      </c>
    </row>
    <row r="875">
      <c r="A875" s="54" t="n"/>
      <c r="B875" s="61" t="n"/>
      <c r="C875" s="58" t="n"/>
      <c r="D875" s="58" t="n"/>
      <c r="E875" s="64">
        <f>IF(tblCommentary[[#This Row],[Date]]="","",COUNTIFS(INDEX(tblCommentary[Date],1):tblCommentary[[#This Row],[Date]],tblCommentary[[#This Row],[Date]]))</f>
        <v/>
      </c>
      <c r="F875" s="63">
        <f>IF(tblCommentary[[#This Row],[Date]]="","",tblCommentary[[#This Row],[Date]]&amp;"|"&amp;tblCommentary[[#This Row],[Seq_Day]])</f>
        <v/>
      </c>
    </row>
    <row r="876">
      <c r="A876" s="54" t="n"/>
      <c r="B876" s="61" t="n"/>
      <c r="C876" s="58" t="n"/>
      <c r="D876" s="58" t="n"/>
      <c r="E876" s="64">
        <f>IF(tblCommentary[[#This Row],[Date]]="","",COUNTIFS(INDEX(tblCommentary[Date],1):tblCommentary[[#This Row],[Date]],tblCommentary[[#This Row],[Date]]))</f>
        <v/>
      </c>
      <c r="F876" s="63">
        <f>IF(tblCommentary[[#This Row],[Date]]="","",tblCommentary[[#This Row],[Date]]&amp;"|"&amp;tblCommentary[[#This Row],[Seq_Day]])</f>
        <v/>
      </c>
    </row>
    <row r="877">
      <c r="A877" s="54" t="n"/>
      <c r="B877" s="61" t="n"/>
      <c r="C877" s="58" t="n"/>
      <c r="D877" s="58" t="n"/>
      <c r="E877" s="64">
        <f>IF(tblCommentary[[#This Row],[Date]]="","",COUNTIFS(INDEX(tblCommentary[Date],1):tblCommentary[[#This Row],[Date]],tblCommentary[[#This Row],[Date]]))</f>
        <v/>
      </c>
      <c r="F877" s="63">
        <f>IF(tblCommentary[[#This Row],[Date]]="","",tblCommentary[[#This Row],[Date]]&amp;"|"&amp;tblCommentary[[#This Row],[Seq_Day]])</f>
        <v/>
      </c>
    </row>
    <row r="878">
      <c r="A878" s="54" t="n"/>
      <c r="B878" s="61" t="n"/>
      <c r="C878" s="58" t="n"/>
      <c r="D878" s="58" t="n"/>
      <c r="E878" s="64">
        <f>IF(tblCommentary[[#This Row],[Date]]="","",COUNTIFS(INDEX(tblCommentary[Date],1):tblCommentary[[#This Row],[Date]],tblCommentary[[#This Row],[Date]]))</f>
        <v/>
      </c>
      <c r="F878" s="63">
        <f>IF(tblCommentary[[#This Row],[Date]]="","",tblCommentary[[#This Row],[Date]]&amp;"|"&amp;tblCommentary[[#This Row],[Seq_Day]])</f>
        <v/>
      </c>
    </row>
    <row r="879">
      <c r="A879" s="54" t="n"/>
      <c r="B879" s="61" t="n"/>
      <c r="C879" s="58" t="n"/>
      <c r="D879" s="58" t="n"/>
      <c r="E879" s="64">
        <f>IF(tblCommentary[[#This Row],[Date]]="","",COUNTIFS(INDEX(tblCommentary[Date],1):tblCommentary[[#This Row],[Date]],tblCommentary[[#This Row],[Date]]))</f>
        <v/>
      </c>
      <c r="F879" s="63">
        <f>IF(tblCommentary[[#This Row],[Date]]="","",tblCommentary[[#This Row],[Date]]&amp;"|"&amp;tblCommentary[[#This Row],[Seq_Day]])</f>
        <v/>
      </c>
    </row>
    <row r="880">
      <c r="A880" s="54" t="n"/>
      <c r="B880" s="61" t="n"/>
      <c r="C880" s="58" t="n"/>
      <c r="D880" s="58" t="n"/>
      <c r="E880" s="64">
        <f>IF(tblCommentary[[#This Row],[Date]]="","",COUNTIFS(INDEX(tblCommentary[Date],1):tblCommentary[[#This Row],[Date]],tblCommentary[[#This Row],[Date]]))</f>
        <v/>
      </c>
      <c r="F880" s="63">
        <f>IF(tblCommentary[[#This Row],[Date]]="","",tblCommentary[[#This Row],[Date]]&amp;"|"&amp;tblCommentary[[#This Row],[Seq_Day]])</f>
        <v/>
      </c>
    </row>
    <row r="881">
      <c r="A881" s="54" t="n"/>
      <c r="B881" s="61" t="n"/>
      <c r="C881" s="58" t="n"/>
      <c r="D881" s="58" t="n"/>
      <c r="E881" s="64">
        <f>IF(tblCommentary[[#This Row],[Date]]="","",COUNTIFS(INDEX(tblCommentary[Date],1):tblCommentary[[#This Row],[Date]],tblCommentary[[#This Row],[Date]]))</f>
        <v/>
      </c>
      <c r="F881" s="63">
        <f>IF(tblCommentary[[#This Row],[Date]]="","",tblCommentary[[#This Row],[Date]]&amp;"|"&amp;tblCommentary[[#This Row],[Seq_Day]])</f>
        <v/>
      </c>
    </row>
    <row r="882">
      <c r="A882" s="54" t="n"/>
      <c r="B882" s="61" t="n"/>
      <c r="C882" s="58" t="n"/>
      <c r="D882" s="58" t="n"/>
      <c r="E882" s="64">
        <f>IF(tblCommentary[[#This Row],[Date]]="","",COUNTIFS(INDEX(tblCommentary[Date],1):tblCommentary[[#This Row],[Date]],tblCommentary[[#This Row],[Date]]))</f>
        <v/>
      </c>
      <c r="F882" s="63">
        <f>IF(tblCommentary[[#This Row],[Date]]="","",tblCommentary[[#This Row],[Date]]&amp;"|"&amp;tblCommentary[[#This Row],[Seq_Day]])</f>
        <v/>
      </c>
    </row>
    <row r="883">
      <c r="A883" s="54" t="n"/>
      <c r="B883" s="61" t="n"/>
      <c r="C883" s="58" t="n"/>
      <c r="D883" s="58" t="n"/>
      <c r="E883" s="64">
        <f>IF(tblCommentary[[#This Row],[Date]]="","",COUNTIFS(INDEX(tblCommentary[Date],1):tblCommentary[[#This Row],[Date]],tblCommentary[[#This Row],[Date]]))</f>
        <v/>
      </c>
      <c r="F883" s="63">
        <f>IF(tblCommentary[[#This Row],[Date]]="","",tblCommentary[[#This Row],[Date]]&amp;"|"&amp;tblCommentary[[#This Row],[Seq_Day]])</f>
        <v/>
      </c>
    </row>
    <row r="884">
      <c r="A884" s="54" t="n"/>
      <c r="B884" s="61" t="n"/>
      <c r="C884" s="58" t="n"/>
      <c r="D884" s="58" t="n"/>
      <c r="E884" s="64">
        <f>IF(tblCommentary[[#This Row],[Date]]="","",COUNTIFS(INDEX(tblCommentary[Date],1):tblCommentary[[#This Row],[Date]],tblCommentary[[#This Row],[Date]]))</f>
        <v/>
      </c>
      <c r="F884" s="63">
        <f>IF(tblCommentary[[#This Row],[Date]]="","",tblCommentary[[#This Row],[Date]]&amp;"|"&amp;tblCommentary[[#This Row],[Seq_Day]])</f>
        <v/>
      </c>
    </row>
    <row r="885">
      <c r="A885" s="54" t="n"/>
      <c r="B885" s="61" t="n"/>
      <c r="C885" s="58" t="n"/>
      <c r="D885" s="58" t="n"/>
      <c r="E885" s="64">
        <f>IF(tblCommentary[[#This Row],[Date]]="","",COUNTIFS(INDEX(tblCommentary[Date],1):tblCommentary[[#This Row],[Date]],tblCommentary[[#This Row],[Date]]))</f>
        <v/>
      </c>
      <c r="F885" s="63">
        <f>IF(tblCommentary[[#This Row],[Date]]="","",tblCommentary[[#This Row],[Date]]&amp;"|"&amp;tblCommentary[[#This Row],[Seq_Day]])</f>
        <v/>
      </c>
    </row>
    <row r="886">
      <c r="A886" s="54" t="n"/>
      <c r="B886" s="61" t="n"/>
      <c r="C886" s="58" t="n"/>
      <c r="D886" s="58" t="n"/>
      <c r="E886" s="64">
        <f>IF(tblCommentary[[#This Row],[Date]]="","",COUNTIFS(INDEX(tblCommentary[Date],1):tblCommentary[[#This Row],[Date]],tblCommentary[[#This Row],[Date]]))</f>
        <v/>
      </c>
      <c r="F886" s="63">
        <f>IF(tblCommentary[[#This Row],[Date]]="","",tblCommentary[[#This Row],[Date]]&amp;"|"&amp;tblCommentary[[#This Row],[Seq_Day]])</f>
        <v/>
      </c>
    </row>
    <row r="887">
      <c r="A887" s="54" t="n"/>
      <c r="B887" s="61" t="n"/>
      <c r="C887" s="58" t="n"/>
      <c r="D887" s="58" t="n"/>
      <c r="E887" s="64">
        <f>IF(tblCommentary[[#This Row],[Date]]="","",COUNTIFS(INDEX(tblCommentary[Date],1):tblCommentary[[#This Row],[Date]],tblCommentary[[#This Row],[Date]]))</f>
        <v/>
      </c>
      <c r="F887" s="63">
        <f>IF(tblCommentary[[#This Row],[Date]]="","",tblCommentary[[#This Row],[Date]]&amp;"|"&amp;tblCommentary[[#This Row],[Seq_Day]])</f>
        <v/>
      </c>
    </row>
    <row r="888">
      <c r="A888" s="54" t="n"/>
      <c r="B888" s="61" t="n"/>
      <c r="C888" s="58" t="n"/>
      <c r="D888" s="58" t="n"/>
      <c r="E888" s="64">
        <f>IF(tblCommentary[[#This Row],[Date]]="","",COUNTIFS(INDEX(tblCommentary[Date],1):tblCommentary[[#This Row],[Date]],tblCommentary[[#This Row],[Date]]))</f>
        <v/>
      </c>
      <c r="F888" s="63">
        <f>IF(tblCommentary[[#This Row],[Date]]="","",tblCommentary[[#This Row],[Date]]&amp;"|"&amp;tblCommentary[[#This Row],[Seq_Day]])</f>
        <v/>
      </c>
    </row>
    <row r="889">
      <c r="A889" s="54" t="n"/>
      <c r="B889" s="61" t="n"/>
      <c r="C889" s="58" t="n"/>
      <c r="D889" s="58" t="n"/>
      <c r="E889" s="64">
        <f>IF(tblCommentary[[#This Row],[Date]]="","",COUNTIFS(INDEX(tblCommentary[Date],1):tblCommentary[[#This Row],[Date]],tblCommentary[[#This Row],[Date]]))</f>
        <v/>
      </c>
      <c r="F889" s="63">
        <f>IF(tblCommentary[[#This Row],[Date]]="","",tblCommentary[[#This Row],[Date]]&amp;"|"&amp;tblCommentary[[#This Row],[Seq_Day]])</f>
        <v/>
      </c>
    </row>
    <row r="890">
      <c r="A890" s="54" t="n"/>
      <c r="B890" s="61" t="n"/>
      <c r="C890" s="58" t="n"/>
      <c r="D890" s="58" t="n"/>
      <c r="E890" s="64">
        <f>IF(tblCommentary[[#This Row],[Date]]="","",COUNTIFS(INDEX(tblCommentary[Date],1):tblCommentary[[#This Row],[Date]],tblCommentary[[#This Row],[Date]]))</f>
        <v/>
      </c>
      <c r="F890" s="63">
        <f>IF(tblCommentary[[#This Row],[Date]]="","",tblCommentary[[#This Row],[Date]]&amp;"|"&amp;tblCommentary[[#This Row],[Seq_Day]])</f>
        <v/>
      </c>
    </row>
    <row r="891">
      <c r="A891" s="54" t="n"/>
      <c r="B891" s="61" t="n"/>
      <c r="C891" s="58" t="n"/>
      <c r="D891" s="58" t="n"/>
      <c r="E891" s="64">
        <f>IF(tblCommentary[[#This Row],[Date]]="","",COUNTIFS(INDEX(tblCommentary[Date],1):tblCommentary[[#This Row],[Date]],tblCommentary[[#This Row],[Date]]))</f>
        <v/>
      </c>
      <c r="F891" s="63">
        <f>IF(tblCommentary[[#This Row],[Date]]="","",tblCommentary[[#This Row],[Date]]&amp;"|"&amp;tblCommentary[[#This Row],[Seq_Day]])</f>
        <v/>
      </c>
    </row>
    <row r="892">
      <c r="A892" s="54" t="n"/>
      <c r="B892" s="61" t="n"/>
      <c r="C892" s="58" t="n"/>
      <c r="D892" s="58" t="n"/>
      <c r="E892" s="64">
        <f>IF(tblCommentary[[#This Row],[Date]]="","",COUNTIFS(INDEX(tblCommentary[Date],1):tblCommentary[[#This Row],[Date]],tblCommentary[[#This Row],[Date]]))</f>
        <v/>
      </c>
      <c r="F892" s="63">
        <f>IF(tblCommentary[[#This Row],[Date]]="","",tblCommentary[[#This Row],[Date]]&amp;"|"&amp;tblCommentary[[#This Row],[Seq_Day]])</f>
        <v/>
      </c>
    </row>
    <row r="893">
      <c r="A893" s="54" t="n"/>
      <c r="B893" s="61" t="n"/>
      <c r="C893" s="58" t="n"/>
      <c r="D893" s="58" t="n"/>
      <c r="E893" s="64">
        <f>IF(tblCommentary[[#This Row],[Date]]="","",COUNTIFS(INDEX(tblCommentary[Date],1):tblCommentary[[#This Row],[Date]],tblCommentary[[#This Row],[Date]]))</f>
        <v/>
      </c>
      <c r="F893" s="63">
        <f>IF(tblCommentary[[#This Row],[Date]]="","",tblCommentary[[#This Row],[Date]]&amp;"|"&amp;tblCommentary[[#This Row],[Seq_Day]])</f>
        <v/>
      </c>
    </row>
    <row r="894">
      <c r="A894" s="54" t="n"/>
      <c r="B894" s="61" t="n"/>
      <c r="C894" s="58" t="n"/>
      <c r="D894" s="58" t="n"/>
      <c r="E894" s="64">
        <f>IF(tblCommentary[[#This Row],[Date]]="","",COUNTIFS(INDEX(tblCommentary[Date],1):tblCommentary[[#This Row],[Date]],tblCommentary[[#This Row],[Date]]))</f>
        <v/>
      </c>
      <c r="F894" s="63">
        <f>IF(tblCommentary[[#This Row],[Date]]="","",tblCommentary[[#This Row],[Date]]&amp;"|"&amp;tblCommentary[[#This Row],[Seq_Day]])</f>
        <v/>
      </c>
    </row>
    <row r="895">
      <c r="A895" s="54" t="n"/>
      <c r="B895" s="61" t="n"/>
      <c r="C895" s="58" t="n"/>
      <c r="D895" s="58" t="n"/>
      <c r="E895" s="64">
        <f>IF(tblCommentary[[#This Row],[Date]]="","",COUNTIFS(INDEX(tblCommentary[Date],1):tblCommentary[[#This Row],[Date]],tblCommentary[[#This Row],[Date]]))</f>
        <v/>
      </c>
      <c r="F895" s="63">
        <f>IF(tblCommentary[[#This Row],[Date]]="","",tblCommentary[[#This Row],[Date]]&amp;"|"&amp;tblCommentary[[#This Row],[Seq_Day]])</f>
        <v/>
      </c>
    </row>
    <row r="896">
      <c r="A896" s="54" t="n"/>
      <c r="B896" s="61" t="n"/>
      <c r="C896" s="58" t="n"/>
      <c r="D896" s="58" t="n"/>
      <c r="E896" s="64">
        <f>IF(tblCommentary[[#This Row],[Date]]="","",COUNTIFS(INDEX(tblCommentary[Date],1):tblCommentary[[#This Row],[Date]],tblCommentary[[#This Row],[Date]]))</f>
        <v/>
      </c>
      <c r="F896" s="63">
        <f>IF(tblCommentary[[#This Row],[Date]]="","",tblCommentary[[#This Row],[Date]]&amp;"|"&amp;tblCommentary[[#This Row],[Seq_Day]])</f>
        <v/>
      </c>
    </row>
    <row r="897">
      <c r="A897" s="54" t="n"/>
      <c r="B897" s="61" t="n"/>
      <c r="C897" s="58" t="n"/>
      <c r="D897" s="58" t="n"/>
      <c r="E897" s="64">
        <f>IF(tblCommentary[[#This Row],[Date]]="","",COUNTIFS(INDEX(tblCommentary[Date],1):tblCommentary[[#This Row],[Date]],tblCommentary[[#This Row],[Date]]))</f>
        <v/>
      </c>
      <c r="F897" s="63">
        <f>IF(tblCommentary[[#This Row],[Date]]="","",tblCommentary[[#This Row],[Date]]&amp;"|"&amp;tblCommentary[[#This Row],[Seq_Day]])</f>
        <v/>
      </c>
    </row>
    <row r="898">
      <c r="A898" s="54" t="n"/>
      <c r="B898" s="61" t="n"/>
      <c r="C898" s="58" t="n"/>
      <c r="D898" s="58" t="n"/>
      <c r="E898" s="64">
        <f>IF(tblCommentary[[#This Row],[Date]]="","",COUNTIFS(INDEX(tblCommentary[Date],1):tblCommentary[[#This Row],[Date]],tblCommentary[[#This Row],[Date]]))</f>
        <v/>
      </c>
      <c r="F898" s="63">
        <f>IF(tblCommentary[[#This Row],[Date]]="","",tblCommentary[[#This Row],[Date]]&amp;"|"&amp;tblCommentary[[#This Row],[Seq_Day]])</f>
        <v/>
      </c>
    </row>
    <row r="899">
      <c r="A899" s="54" t="n"/>
      <c r="B899" s="61" t="n"/>
      <c r="C899" s="58" t="n"/>
      <c r="D899" s="58" t="n"/>
      <c r="E899" s="64">
        <f>IF(tblCommentary[[#This Row],[Date]]="","",COUNTIFS(INDEX(tblCommentary[Date],1):tblCommentary[[#This Row],[Date]],tblCommentary[[#This Row],[Date]]))</f>
        <v/>
      </c>
      <c r="F899" s="63">
        <f>IF(tblCommentary[[#This Row],[Date]]="","",tblCommentary[[#This Row],[Date]]&amp;"|"&amp;tblCommentary[[#This Row],[Seq_Day]])</f>
        <v/>
      </c>
    </row>
    <row r="900">
      <c r="A900" s="54" t="n"/>
      <c r="B900" s="61" t="n"/>
      <c r="C900" s="58" t="n"/>
      <c r="D900" s="58" t="n"/>
      <c r="E900" s="64">
        <f>IF(tblCommentary[[#This Row],[Date]]="","",COUNTIFS(INDEX(tblCommentary[Date],1):tblCommentary[[#This Row],[Date]],tblCommentary[[#This Row],[Date]]))</f>
        <v/>
      </c>
      <c r="F900" s="63">
        <f>IF(tblCommentary[[#This Row],[Date]]="","",tblCommentary[[#This Row],[Date]]&amp;"|"&amp;tblCommentary[[#This Row],[Seq_Day]])</f>
        <v/>
      </c>
    </row>
    <row r="901">
      <c r="A901" s="54" t="n"/>
      <c r="B901" s="61" t="n"/>
      <c r="C901" s="58" t="n"/>
      <c r="D901" s="58" t="n"/>
      <c r="E901" s="64">
        <f>IF(tblCommentary[[#This Row],[Date]]="","",COUNTIFS(INDEX(tblCommentary[Date],1):tblCommentary[[#This Row],[Date]],tblCommentary[[#This Row],[Date]]))</f>
        <v/>
      </c>
      <c r="F901" s="63">
        <f>IF(tblCommentary[[#This Row],[Date]]="","",tblCommentary[[#This Row],[Date]]&amp;"|"&amp;tblCommentary[[#This Row],[Seq_Day]])</f>
        <v/>
      </c>
    </row>
    <row r="902">
      <c r="A902" s="54" t="n"/>
      <c r="B902" s="61" t="n"/>
      <c r="C902" s="58" t="n"/>
      <c r="D902" s="58" t="n"/>
      <c r="E902" s="64">
        <f>IF(tblCommentary[[#This Row],[Date]]="","",COUNTIFS(INDEX(tblCommentary[Date],1):tblCommentary[[#This Row],[Date]],tblCommentary[[#This Row],[Date]]))</f>
        <v/>
      </c>
      <c r="F902" s="63">
        <f>IF(tblCommentary[[#This Row],[Date]]="","",tblCommentary[[#This Row],[Date]]&amp;"|"&amp;tblCommentary[[#This Row],[Seq_Day]])</f>
        <v/>
      </c>
    </row>
    <row r="903">
      <c r="A903" s="54" t="n"/>
      <c r="B903" s="61" t="n"/>
      <c r="C903" s="58" t="n"/>
      <c r="D903" s="58" t="n"/>
      <c r="E903" s="64">
        <f>IF(tblCommentary[[#This Row],[Date]]="","",COUNTIFS(INDEX(tblCommentary[Date],1):tblCommentary[[#This Row],[Date]],tblCommentary[[#This Row],[Date]]))</f>
        <v/>
      </c>
      <c r="F903" s="63">
        <f>IF(tblCommentary[[#This Row],[Date]]="","",tblCommentary[[#This Row],[Date]]&amp;"|"&amp;tblCommentary[[#This Row],[Seq_Day]])</f>
        <v/>
      </c>
    </row>
    <row r="904">
      <c r="A904" s="54" t="n"/>
      <c r="B904" s="61" t="n"/>
      <c r="C904" s="58" t="n"/>
      <c r="D904" s="58" t="n"/>
      <c r="E904" s="64">
        <f>IF(tblCommentary[[#This Row],[Date]]="","",COUNTIFS(INDEX(tblCommentary[Date],1):tblCommentary[[#This Row],[Date]],tblCommentary[[#This Row],[Date]]))</f>
        <v/>
      </c>
      <c r="F904" s="63">
        <f>IF(tblCommentary[[#This Row],[Date]]="","",tblCommentary[[#This Row],[Date]]&amp;"|"&amp;tblCommentary[[#This Row],[Seq_Day]])</f>
        <v/>
      </c>
    </row>
    <row r="905">
      <c r="A905" s="54" t="n"/>
      <c r="B905" s="61" t="n"/>
      <c r="C905" s="58" t="n"/>
      <c r="D905" s="58" t="n"/>
      <c r="E905" s="64">
        <f>IF(tblCommentary[[#This Row],[Date]]="","",COUNTIFS(INDEX(tblCommentary[Date],1):tblCommentary[[#This Row],[Date]],tblCommentary[[#This Row],[Date]]))</f>
        <v/>
      </c>
      <c r="F905" s="63">
        <f>IF(tblCommentary[[#This Row],[Date]]="","",tblCommentary[[#This Row],[Date]]&amp;"|"&amp;tblCommentary[[#This Row],[Seq_Day]])</f>
        <v/>
      </c>
    </row>
    <row r="906">
      <c r="A906" s="54" t="n"/>
      <c r="B906" s="61" t="n"/>
      <c r="C906" s="58" t="n"/>
      <c r="D906" s="58" t="n"/>
      <c r="E906" s="64">
        <f>IF(tblCommentary[[#This Row],[Date]]="","",COUNTIFS(INDEX(tblCommentary[Date],1):tblCommentary[[#This Row],[Date]],tblCommentary[[#This Row],[Date]]))</f>
        <v/>
      </c>
      <c r="F906" s="63">
        <f>IF(tblCommentary[[#This Row],[Date]]="","",tblCommentary[[#This Row],[Date]]&amp;"|"&amp;tblCommentary[[#This Row],[Seq_Day]])</f>
        <v/>
      </c>
    </row>
    <row r="907">
      <c r="A907" s="54" t="n"/>
      <c r="B907" s="61" t="n"/>
      <c r="C907" s="58" t="n"/>
      <c r="D907" s="58" t="n"/>
      <c r="E907" s="64">
        <f>IF(tblCommentary[[#This Row],[Date]]="","",COUNTIFS(INDEX(tblCommentary[Date],1):tblCommentary[[#This Row],[Date]],tblCommentary[[#This Row],[Date]]))</f>
        <v/>
      </c>
      <c r="F907" s="63">
        <f>IF(tblCommentary[[#This Row],[Date]]="","",tblCommentary[[#This Row],[Date]]&amp;"|"&amp;tblCommentary[[#This Row],[Seq_Day]])</f>
        <v/>
      </c>
    </row>
    <row r="908">
      <c r="A908" s="54" t="n"/>
      <c r="B908" s="61" t="n"/>
      <c r="C908" s="58" t="n"/>
      <c r="D908" s="58" t="n"/>
      <c r="E908" s="64">
        <f>IF(tblCommentary[[#This Row],[Date]]="","",COUNTIFS(INDEX(tblCommentary[Date],1):tblCommentary[[#This Row],[Date]],tblCommentary[[#This Row],[Date]]))</f>
        <v/>
      </c>
      <c r="F908" s="63">
        <f>IF(tblCommentary[[#This Row],[Date]]="","",tblCommentary[[#This Row],[Date]]&amp;"|"&amp;tblCommentary[[#This Row],[Seq_Day]])</f>
        <v/>
      </c>
    </row>
    <row r="909">
      <c r="A909" s="54" t="n"/>
      <c r="B909" s="61" t="n"/>
      <c r="C909" s="58" t="n"/>
      <c r="D909" s="58" t="n"/>
      <c r="E909" s="64">
        <f>IF(tblCommentary[[#This Row],[Date]]="","",COUNTIFS(INDEX(tblCommentary[Date],1):tblCommentary[[#This Row],[Date]],tblCommentary[[#This Row],[Date]]))</f>
        <v/>
      </c>
      <c r="F909" s="63">
        <f>IF(tblCommentary[[#This Row],[Date]]="","",tblCommentary[[#This Row],[Date]]&amp;"|"&amp;tblCommentary[[#This Row],[Seq_Day]])</f>
        <v/>
      </c>
    </row>
    <row r="910">
      <c r="A910" s="54" t="n"/>
      <c r="B910" s="61" t="n"/>
      <c r="C910" s="58" t="n"/>
      <c r="D910" s="58" t="n"/>
      <c r="E910" s="64">
        <f>IF(tblCommentary[[#This Row],[Date]]="","",COUNTIFS(INDEX(tblCommentary[Date],1):tblCommentary[[#This Row],[Date]],tblCommentary[[#This Row],[Date]]))</f>
        <v/>
      </c>
      <c r="F910" s="63">
        <f>IF(tblCommentary[[#This Row],[Date]]="","",tblCommentary[[#This Row],[Date]]&amp;"|"&amp;tblCommentary[[#This Row],[Seq_Day]])</f>
        <v/>
      </c>
    </row>
    <row r="911">
      <c r="A911" s="54" t="n"/>
      <c r="B911" s="61" t="n"/>
      <c r="C911" s="58" t="n"/>
      <c r="D911" s="58" t="n"/>
      <c r="E911" s="64">
        <f>IF(tblCommentary[[#This Row],[Date]]="","",COUNTIFS(INDEX(tblCommentary[Date],1):tblCommentary[[#This Row],[Date]],tblCommentary[[#This Row],[Date]]))</f>
        <v/>
      </c>
      <c r="F911" s="63">
        <f>IF(tblCommentary[[#This Row],[Date]]="","",tblCommentary[[#This Row],[Date]]&amp;"|"&amp;tblCommentary[[#This Row],[Seq_Day]])</f>
        <v/>
      </c>
    </row>
    <row r="912">
      <c r="A912" s="54" t="n"/>
      <c r="B912" s="61" t="n"/>
      <c r="C912" s="58" t="n"/>
      <c r="D912" s="58" t="n"/>
      <c r="E912" s="64">
        <f>IF(tblCommentary[[#This Row],[Date]]="","",COUNTIFS(INDEX(tblCommentary[Date],1):tblCommentary[[#This Row],[Date]],tblCommentary[[#This Row],[Date]]))</f>
        <v/>
      </c>
      <c r="F912" s="63">
        <f>IF(tblCommentary[[#This Row],[Date]]="","",tblCommentary[[#This Row],[Date]]&amp;"|"&amp;tblCommentary[[#This Row],[Seq_Day]])</f>
        <v/>
      </c>
    </row>
    <row r="913">
      <c r="A913" s="54" t="n"/>
      <c r="B913" s="61" t="n"/>
      <c r="C913" s="58" t="n"/>
      <c r="D913" s="58" t="n"/>
      <c r="E913" s="64">
        <f>IF(tblCommentary[[#This Row],[Date]]="","",COUNTIFS(INDEX(tblCommentary[Date],1):tblCommentary[[#This Row],[Date]],tblCommentary[[#This Row],[Date]]))</f>
        <v/>
      </c>
      <c r="F913" s="63">
        <f>IF(tblCommentary[[#This Row],[Date]]="","",tblCommentary[[#This Row],[Date]]&amp;"|"&amp;tblCommentary[[#This Row],[Seq_Day]])</f>
        <v/>
      </c>
    </row>
    <row r="914">
      <c r="A914" s="54" t="n"/>
      <c r="B914" s="61" t="n"/>
      <c r="C914" s="58" t="n"/>
      <c r="D914" s="58" t="n"/>
      <c r="E914" s="64">
        <f>IF(tblCommentary[[#This Row],[Date]]="","",COUNTIFS(INDEX(tblCommentary[Date],1):tblCommentary[[#This Row],[Date]],tblCommentary[[#This Row],[Date]]))</f>
        <v/>
      </c>
      <c r="F914" s="63">
        <f>IF(tblCommentary[[#This Row],[Date]]="","",tblCommentary[[#This Row],[Date]]&amp;"|"&amp;tblCommentary[[#This Row],[Seq_Day]])</f>
        <v/>
      </c>
    </row>
    <row r="915">
      <c r="A915" s="54" t="n"/>
      <c r="B915" s="61" t="n"/>
      <c r="C915" s="58" t="n"/>
      <c r="D915" s="58" t="n"/>
      <c r="E915" s="64">
        <f>IF(tblCommentary[[#This Row],[Date]]="","",COUNTIFS(INDEX(tblCommentary[Date],1):tblCommentary[[#This Row],[Date]],tblCommentary[[#This Row],[Date]]))</f>
        <v/>
      </c>
      <c r="F915" s="63">
        <f>IF(tblCommentary[[#This Row],[Date]]="","",tblCommentary[[#This Row],[Date]]&amp;"|"&amp;tblCommentary[[#This Row],[Seq_Day]])</f>
        <v/>
      </c>
    </row>
    <row r="916">
      <c r="A916" s="54" t="n"/>
      <c r="B916" s="61" t="n"/>
      <c r="C916" s="58" t="n"/>
      <c r="D916" s="58" t="n"/>
      <c r="E916" s="64">
        <f>IF(tblCommentary[[#This Row],[Date]]="","",COUNTIFS(INDEX(tblCommentary[Date],1):tblCommentary[[#This Row],[Date]],tblCommentary[[#This Row],[Date]]))</f>
        <v/>
      </c>
      <c r="F916" s="63">
        <f>IF(tblCommentary[[#This Row],[Date]]="","",tblCommentary[[#This Row],[Date]]&amp;"|"&amp;tblCommentary[[#This Row],[Seq_Day]])</f>
        <v/>
      </c>
    </row>
    <row r="917">
      <c r="A917" s="54" t="n"/>
      <c r="B917" s="61" t="n"/>
      <c r="C917" s="58" t="n"/>
      <c r="D917" s="58" t="n"/>
      <c r="E917" s="64">
        <f>IF(tblCommentary[[#This Row],[Date]]="","",COUNTIFS(INDEX(tblCommentary[Date],1):tblCommentary[[#This Row],[Date]],tblCommentary[[#This Row],[Date]]))</f>
        <v/>
      </c>
      <c r="F917" s="63">
        <f>IF(tblCommentary[[#This Row],[Date]]="","",tblCommentary[[#This Row],[Date]]&amp;"|"&amp;tblCommentary[[#This Row],[Seq_Day]])</f>
        <v/>
      </c>
    </row>
    <row r="918">
      <c r="A918" s="54" t="n"/>
      <c r="B918" s="61" t="n"/>
      <c r="C918" s="58" t="n"/>
      <c r="D918" s="58" t="n"/>
      <c r="E918" s="64">
        <f>IF(tblCommentary[[#This Row],[Date]]="","",COUNTIFS(INDEX(tblCommentary[Date],1):tblCommentary[[#This Row],[Date]],tblCommentary[[#This Row],[Date]]))</f>
        <v/>
      </c>
      <c r="F918" s="63">
        <f>IF(tblCommentary[[#This Row],[Date]]="","",tblCommentary[[#This Row],[Date]]&amp;"|"&amp;tblCommentary[[#This Row],[Seq_Day]])</f>
        <v/>
      </c>
    </row>
    <row r="919">
      <c r="A919" s="54" t="n"/>
      <c r="B919" s="61" t="n"/>
      <c r="C919" s="58" t="n"/>
      <c r="D919" s="58" t="n"/>
      <c r="E919" s="64">
        <f>IF(tblCommentary[[#This Row],[Date]]="","",COUNTIFS(INDEX(tblCommentary[Date],1):tblCommentary[[#This Row],[Date]],tblCommentary[[#This Row],[Date]]))</f>
        <v/>
      </c>
      <c r="F919" s="63">
        <f>IF(tblCommentary[[#This Row],[Date]]="","",tblCommentary[[#This Row],[Date]]&amp;"|"&amp;tblCommentary[[#This Row],[Seq_Day]])</f>
        <v/>
      </c>
    </row>
    <row r="920">
      <c r="A920" s="54" t="n"/>
      <c r="B920" s="61" t="n"/>
      <c r="C920" s="58" t="n"/>
      <c r="D920" s="58" t="n"/>
      <c r="E920" s="64">
        <f>IF(tblCommentary[[#This Row],[Date]]="","",COUNTIFS(INDEX(tblCommentary[Date],1):tblCommentary[[#This Row],[Date]],tblCommentary[[#This Row],[Date]]))</f>
        <v/>
      </c>
      <c r="F920" s="63">
        <f>IF(tblCommentary[[#This Row],[Date]]="","",tblCommentary[[#This Row],[Date]]&amp;"|"&amp;tblCommentary[[#This Row],[Seq_Day]])</f>
        <v/>
      </c>
    </row>
    <row r="921">
      <c r="A921" s="54" t="n"/>
      <c r="B921" s="61" t="n"/>
      <c r="C921" s="58" t="n"/>
      <c r="D921" s="58" t="n"/>
      <c r="E921" s="64">
        <f>IF(tblCommentary[[#This Row],[Date]]="","",COUNTIFS(INDEX(tblCommentary[Date],1):tblCommentary[[#This Row],[Date]],tblCommentary[[#This Row],[Date]]))</f>
        <v/>
      </c>
      <c r="F921" s="63">
        <f>IF(tblCommentary[[#This Row],[Date]]="","",tblCommentary[[#This Row],[Date]]&amp;"|"&amp;tblCommentary[[#This Row],[Seq_Day]])</f>
        <v/>
      </c>
    </row>
    <row r="922">
      <c r="A922" s="54" t="n"/>
      <c r="B922" s="61" t="n"/>
      <c r="C922" s="58" t="n"/>
      <c r="D922" s="58" t="n"/>
      <c r="E922" s="64">
        <f>IF(tblCommentary[[#This Row],[Date]]="","",COUNTIFS(INDEX(tblCommentary[Date],1):tblCommentary[[#This Row],[Date]],tblCommentary[[#This Row],[Date]]))</f>
        <v/>
      </c>
      <c r="F922" s="63">
        <f>IF(tblCommentary[[#This Row],[Date]]="","",tblCommentary[[#This Row],[Date]]&amp;"|"&amp;tblCommentary[[#This Row],[Seq_Day]])</f>
        <v/>
      </c>
    </row>
    <row r="923">
      <c r="A923" s="54" t="n"/>
      <c r="B923" s="61" t="n"/>
      <c r="C923" s="58" t="n"/>
      <c r="D923" s="58" t="n"/>
      <c r="E923" s="64">
        <f>IF(tblCommentary[[#This Row],[Date]]="","",COUNTIFS(INDEX(tblCommentary[Date],1):tblCommentary[[#This Row],[Date]],tblCommentary[[#This Row],[Date]]))</f>
        <v/>
      </c>
      <c r="F923" s="63">
        <f>IF(tblCommentary[[#This Row],[Date]]="","",tblCommentary[[#This Row],[Date]]&amp;"|"&amp;tblCommentary[[#This Row],[Seq_Day]])</f>
        <v/>
      </c>
    </row>
    <row r="924">
      <c r="A924" s="54" t="n"/>
      <c r="B924" s="61" t="n"/>
      <c r="C924" s="58" t="n"/>
      <c r="D924" s="58" t="n"/>
      <c r="E924" s="64">
        <f>IF(tblCommentary[[#This Row],[Date]]="","",COUNTIFS(INDEX(tblCommentary[Date],1):tblCommentary[[#This Row],[Date]],tblCommentary[[#This Row],[Date]]))</f>
        <v/>
      </c>
      <c r="F924" s="63">
        <f>IF(tblCommentary[[#This Row],[Date]]="","",tblCommentary[[#This Row],[Date]]&amp;"|"&amp;tblCommentary[[#This Row],[Seq_Day]])</f>
        <v/>
      </c>
    </row>
    <row r="925">
      <c r="A925" s="54" t="n"/>
      <c r="B925" s="61" t="n"/>
      <c r="C925" s="58" t="n"/>
      <c r="D925" s="58" t="n"/>
      <c r="E925" s="64">
        <f>IF(tblCommentary[[#This Row],[Date]]="","",COUNTIFS(INDEX(tblCommentary[Date],1):tblCommentary[[#This Row],[Date]],tblCommentary[[#This Row],[Date]]))</f>
        <v/>
      </c>
      <c r="F925" s="63">
        <f>IF(tblCommentary[[#This Row],[Date]]="","",tblCommentary[[#This Row],[Date]]&amp;"|"&amp;tblCommentary[[#This Row],[Seq_Day]])</f>
        <v/>
      </c>
    </row>
    <row r="926">
      <c r="A926" s="54" t="n"/>
      <c r="B926" s="61" t="n"/>
      <c r="C926" s="58" t="n"/>
      <c r="D926" s="58" t="n"/>
      <c r="E926" s="64">
        <f>IF(tblCommentary[[#This Row],[Date]]="","",COUNTIFS(INDEX(tblCommentary[Date],1):tblCommentary[[#This Row],[Date]],tblCommentary[[#This Row],[Date]]))</f>
        <v/>
      </c>
      <c r="F926" s="63">
        <f>IF(tblCommentary[[#This Row],[Date]]="","",tblCommentary[[#This Row],[Date]]&amp;"|"&amp;tblCommentary[[#This Row],[Seq_Day]])</f>
        <v/>
      </c>
    </row>
    <row r="927">
      <c r="A927" s="54" t="n"/>
      <c r="B927" s="61" t="n"/>
      <c r="C927" s="58" t="n"/>
      <c r="D927" s="58" t="n"/>
      <c r="E927" s="64">
        <f>IF(tblCommentary[[#This Row],[Date]]="","",COUNTIFS(INDEX(tblCommentary[Date],1):tblCommentary[[#This Row],[Date]],tblCommentary[[#This Row],[Date]]))</f>
        <v/>
      </c>
      <c r="F927" s="63">
        <f>IF(tblCommentary[[#This Row],[Date]]="","",tblCommentary[[#This Row],[Date]]&amp;"|"&amp;tblCommentary[[#This Row],[Seq_Day]])</f>
        <v/>
      </c>
    </row>
    <row r="928">
      <c r="A928" s="54" t="n"/>
      <c r="B928" s="61" t="n"/>
      <c r="C928" s="58" t="n"/>
      <c r="D928" s="58" t="n"/>
      <c r="E928" s="64">
        <f>IF(tblCommentary[[#This Row],[Date]]="","",COUNTIFS(INDEX(tblCommentary[Date],1):tblCommentary[[#This Row],[Date]],tblCommentary[[#This Row],[Date]]))</f>
        <v/>
      </c>
      <c r="F928" s="63">
        <f>IF(tblCommentary[[#This Row],[Date]]="","",tblCommentary[[#This Row],[Date]]&amp;"|"&amp;tblCommentary[[#This Row],[Seq_Day]])</f>
        <v/>
      </c>
    </row>
    <row r="929">
      <c r="A929" s="54" t="n"/>
      <c r="B929" s="61" t="n"/>
      <c r="C929" s="58" t="n"/>
      <c r="D929" s="58" t="n"/>
      <c r="E929" s="64">
        <f>IF(tblCommentary[[#This Row],[Date]]="","",COUNTIFS(INDEX(tblCommentary[Date],1):tblCommentary[[#This Row],[Date]],tblCommentary[[#This Row],[Date]]))</f>
        <v/>
      </c>
      <c r="F929" s="63">
        <f>IF(tblCommentary[[#This Row],[Date]]="","",tblCommentary[[#This Row],[Date]]&amp;"|"&amp;tblCommentary[[#This Row],[Seq_Day]])</f>
        <v/>
      </c>
    </row>
    <row r="930">
      <c r="A930" s="54" t="n"/>
      <c r="B930" s="61" t="n"/>
      <c r="C930" s="58" t="n"/>
      <c r="D930" s="58" t="n"/>
      <c r="E930" s="64">
        <f>IF(tblCommentary[[#This Row],[Date]]="","",COUNTIFS(INDEX(tblCommentary[Date],1):tblCommentary[[#This Row],[Date]],tblCommentary[[#This Row],[Date]]))</f>
        <v/>
      </c>
      <c r="F930" s="63">
        <f>IF(tblCommentary[[#This Row],[Date]]="","",tblCommentary[[#This Row],[Date]]&amp;"|"&amp;tblCommentary[[#This Row],[Seq_Day]])</f>
        <v/>
      </c>
    </row>
    <row r="931">
      <c r="A931" s="54" t="n"/>
      <c r="B931" s="61" t="n"/>
      <c r="C931" s="58" t="n"/>
      <c r="D931" s="58" t="n"/>
      <c r="E931" s="64">
        <f>IF(tblCommentary[[#This Row],[Date]]="","",COUNTIFS(INDEX(tblCommentary[Date],1):tblCommentary[[#This Row],[Date]],tblCommentary[[#This Row],[Date]]))</f>
        <v/>
      </c>
      <c r="F931" s="63">
        <f>IF(tblCommentary[[#This Row],[Date]]="","",tblCommentary[[#This Row],[Date]]&amp;"|"&amp;tblCommentary[[#This Row],[Seq_Day]])</f>
        <v/>
      </c>
    </row>
    <row r="932">
      <c r="A932" s="54" t="n"/>
      <c r="B932" s="61" t="n"/>
      <c r="C932" s="58" t="n"/>
      <c r="D932" s="58" t="n"/>
      <c r="E932" s="64">
        <f>IF(tblCommentary[[#This Row],[Date]]="","",COUNTIFS(INDEX(tblCommentary[Date],1):tblCommentary[[#This Row],[Date]],tblCommentary[[#This Row],[Date]]))</f>
        <v/>
      </c>
      <c r="F932" s="63">
        <f>IF(tblCommentary[[#This Row],[Date]]="","",tblCommentary[[#This Row],[Date]]&amp;"|"&amp;tblCommentary[[#This Row],[Seq_Day]])</f>
        <v/>
      </c>
    </row>
    <row r="933">
      <c r="A933" s="54" t="n"/>
      <c r="B933" s="61" t="n"/>
      <c r="C933" s="58" t="n"/>
      <c r="D933" s="58" t="n"/>
      <c r="E933" s="64">
        <f>IF(tblCommentary[[#This Row],[Date]]="","",COUNTIFS(INDEX(tblCommentary[Date],1):tblCommentary[[#This Row],[Date]],tblCommentary[[#This Row],[Date]]))</f>
        <v/>
      </c>
      <c r="F933" s="63">
        <f>IF(tblCommentary[[#This Row],[Date]]="","",tblCommentary[[#This Row],[Date]]&amp;"|"&amp;tblCommentary[[#This Row],[Seq_Day]])</f>
        <v/>
      </c>
    </row>
    <row r="934">
      <c r="A934" s="54" t="n"/>
      <c r="B934" s="61" t="n"/>
      <c r="C934" s="58" t="n"/>
      <c r="D934" s="58" t="n"/>
      <c r="E934" s="64">
        <f>IF(tblCommentary[[#This Row],[Date]]="","",COUNTIFS(INDEX(tblCommentary[Date],1):tblCommentary[[#This Row],[Date]],tblCommentary[[#This Row],[Date]]))</f>
        <v/>
      </c>
      <c r="F934" s="63">
        <f>IF(tblCommentary[[#This Row],[Date]]="","",tblCommentary[[#This Row],[Date]]&amp;"|"&amp;tblCommentary[[#This Row],[Seq_Day]])</f>
        <v/>
      </c>
    </row>
    <row r="935">
      <c r="A935" s="54" t="n"/>
      <c r="B935" s="61" t="n"/>
      <c r="C935" s="58" t="n"/>
      <c r="D935" s="58" t="n"/>
      <c r="E935" s="64">
        <f>IF(tblCommentary[[#This Row],[Date]]="","",COUNTIFS(INDEX(tblCommentary[Date],1):tblCommentary[[#This Row],[Date]],tblCommentary[[#This Row],[Date]]))</f>
        <v/>
      </c>
      <c r="F935" s="63">
        <f>IF(tblCommentary[[#This Row],[Date]]="","",tblCommentary[[#This Row],[Date]]&amp;"|"&amp;tblCommentary[[#This Row],[Seq_Day]])</f>
        <v/>
      </c>
    </row>
    <row r="936">
      <c r="A936" s="54" t="n"/>
      <c r="B936" s="61" t="n"/>
      <c r="C936" s="58" t="n"/>
      <c r="D936" s="58" t="n"/>
      <c r="E936" s="64">
        <f>IF(tblCommentary[[#This Row],[Date]]="","",COUNTIFS(INDEX(tblCommentary[Date],1):tblCommentary[[#This Row],[Date]],tblCommentary[[#This Row],[Date]]))</f>
        <v/>
      </c>
      <c r="F936" s="63">
        <f>IF(tblCommentary[[#This Row],[Date]]="","",tblCommentary[[#This Row],[Date]]&amp;"|"&amp;tblCommentary[[#This Row],[Seq_Day]])</f>
        <v/>
      </c>
    </row>
    <row r="937">
      <c r="A937" s="54" t="n"/>
      <c r="B937" s="61" t="n"/>
      <c r="C937" s="58" t="n"/>
      <c r="D937" s="58" t="n"/>
      <c r="E937" s="64">
        <f>IF(tblCommentary[[#This Row],[Date]]="","",COUNTIFS(INDEX(tblCommentary[Date],1):tblCommentary[[#This Row],[Date]],tblCommentary[[#This Row],[Date]]))</f>
        <v/>
      </c>
      <c r="F937" s="63">
        <f>IF(tblCommentary[[#This Row],[Date]]="","",tblCommentary[[#This Row],[Date]]&amp;"|"&amp;tblCommentary[[#This Row],[Seq_Day]])</f>
        <v/>
      </c>
    </row>
    <row r="938">
      <c r="A938" s="54" t="n"/>
      <c r="B938" s="61" t="n"/>
      <c r="C938" s="58" t="n"/>
      <c r="D938" s="58" t="n"/>
      <c r="E938" s="64">
        <f>IF(tblCommentary[[#This Row],[Date]]="","",COUNTIFS(INDEX(tblCommentary[Date],1):tblCommentary[[#This Row],[Date]],tblCommentary[[#This Row],[Date]]))</f>
        <v/>
      </c>
      <c r="F938" s="63">
        <f>IF(tblCommentary[[#This Row],[Date]]="","",tblCommentary[[#This Row],[Date]]&amp;"|"&amp;tblCommentary[[#This Row],[Seq_Day]])</f>
        <v/>
      </c>
    </row>
    <row r="939">
      <c r="A939" s="54" t="n"/>
      <c r="B939" s="61" t="n"/>
      <c r="C939" s="58" t="n"/>
      <c r="D939" s="58" t="n"/>
      <c r="E939" s="64">
        <f>IF(tblCommentary[[#This Row],[Date]]="","",COUNTIFS(INDEX(tblCommentary[Date],1):tblCommentary[[#This Row],[Date]],tblCommentary[[#This Row],[Date]]))</f>
        <v/>
      </c>
      <c r="F939" s="63">
        <f>IF(tblCommentary[[#This Row],[Date]]="","",tblCommentary[[#This Row],[Date]]&amp;"|"&amp;tblCommentary[[#This Row],[Seq_Day]])</f>
        <v/>
      </c>
    </row>
    <row r="940">
      <c r="A940" s="54" t="n"/>
      <c r="B940" s="61" t="n"/>
      <c r="C940" s="58" t="n"/>
      <c r="D940" s="58" t="n"/>
      <c r="E940" s="64">
        <f>IF(tblCommentary[[#This Row],[Date]]="","",COUNTIFS(INDEX(tblCommentary[Date],1):tblCommentary[[#This Row],[Date]],tblCommentary[[#This Row],[Date]]))</f>
        <v/>
      </c>
      <c r="F940" s="63">
        <f>IF(tblCommentary[[#This Row],[Date]]="","",tblCommentary[[#This Row],[Date]]&amp;"|"&amp;tblCommentary[[#This Row],[Seq_Day]])</f>
        <v/>
      </c>
    </row>
    <row r="941">
      <c r="A941" s="54" t="n"/>
      <c r="B941" s="61" t="n"/>
      <c r="C941" s="58" t="n"/>
      <c r="D941" s="58" t="n"/>
      <c r="E941" s="64">
        <f>IF(tblCommentary[[#This Row],[Date]]="","",COUNTIFS(INDEX(tblCommentary[Date],1):tblCommentary[[#This Row],[Date]],tblCommentary[[#This Row],[Date]]))</f>
        <v/>
      </c>
      <c r="F941" s="63">
        <f>IF(tblCommentary[[#This Row],[Date]]="","",tblCommentary[[#This Row],[Date]]&amp;"|"&amp;tblCommentary[[#This Row],[Seq_Day]])</f>
        <v/>
      </c>
    </row>
    <row r="942">
      <c r="A942" s="54" t="n"/>
      <c r="B942" s="61" t="n"/>
      <c r="C942" s="58" t="n"/>
      <c r="D942" s="58" t="n"/>
      <c r="E942" s="64">
        <f>IF(tblCommentary[[#This Row],[Date]]="","",COUNTIFS(INDEX(tblCommentary[Date],1):tblCommentary[[#This Row],[Date]],tblCommentary[[#This Row],[Date]]))</f>
        <v/>
      </c>
      <c r="F942" s="63">
        <f>IF(tblCommentary[[#This Row],[Date]]="","",tblCommentary[[#This Row],[Date]]&amp;"|"&amp;tblCommentary[[#This Row],[Seq_Day]])</f>
        <v/>
      </c>
    </row>
    <row r="943">
      <c r="A943" s="54" t="n"/>
      <c r="B943" s="61" t="n"/>
      <c r="C943" s="58" t="n"/>
      <c r="D943" s="58" t="n"/>
      <c r="E943" s="64">
        <f>IF(tblCommentary[[#This Row],[Date]]="","",COUNTIFS(INDEX(tblCommentary[Date],1):tblCommentary[[#This Row],[Date]],tblCommentary[[#This Row],[Date]]))</f>
        <v/>
      </c>
      <c r="F943" s="63">
        <f>IF(tblCommentary[[#This Row],[Date]]="","",tblCommentary[[#This Row],[Date]]&amp;"|"&amp;tblCommentary[[#This Row],[Seq_Day]])</f>
        <v/>
      </c>
    </row>
    <row r="944">
      <c r="A944" s="54" t="n"/>
      <c r="B944" s="61" t="n"/>
      <c r="C944" s="58" t="n"/>
      <c r="D944" s="58" t="n"/>
      <c r="E944" s="64">
        <f>IF(tblCommentary[[#This Row],[Date]]="","",COUNTIFS(INDEX(tblCommentary[Date],1):tblCommentary[[#This Row],[Date]],tblCommentary[[#This Row],[Date]]))</f>
        <v/>
      </c>
      <c r="F944" s="63">
        <f>IF(tblCommentary[[#This Row],[Date]]="","",tblCommentary[[#This Row],[Date]]&amp;"|"&amp;tblCommentary[[#This Row],[Seq_Day]])</f>
        <v/>
      </c>
    </row>
    <row r="945">
      <c r="A945" s="54" t="n"/>
      <c r="B945" s="61" t="n"/>
      <c r="C945" s="58" t="n"/>
      <c r="D945" s="58" t="n"/>
      <c r="E945" s="64">
        <f>IF(tblCommentary[[#This Row],[Date]]="","",COUNTIFS(INDEX(tblCommentary[Date],1):tblCommentary[[#This Row],[Date]],tblCommentary[[#This Row],[Date]]))</f>
        <v/>
      </c>
      <c r="F945" s="63">
        <f>IF(tblCommentary[[#This Row],[Date]]="","",tblCommentary[[#This Row],[Date]]&amp;"|"&amp;tblCommentary[[#This Row],[Seq_Day]])</f>
        <v/>
      </c>
    </row>
    <row r="946">
      <c r="A946" s="54" t="n"/>
      <c r="B946" s="61" t="n"/>
      <c r="C946" s="58" t="n"/>
      <c r="D946" s="58" t="n"/>
      <c r="E946" s="64">
        <f>IF(tblCommentary[[#This Row],[Date]]="","",COUNTIFS(INDEX(tblCommentary[Date],1):tblCommentary[[#This Row],[Date]],tblCommentary[[#This Row],[Date]]))</f>
        <v/>
      </c>
      <c r="F946" s="63">
        <f>IF(tblCommentary[[#This Row],[Date]]="","",tblCommentary[[#This Row],[Date]]&amp;"|"&amp;tblCommentary[[#This Row],[Seq_Day]])</f>
        <v/>
      </c>
    </row>
    <row r="947">
      <c r="A947" s="54" t="n"/>
      <c r="B947" s="61" t="n"/>
      <c r="C947" s="58" t="n"/>
      <c r="D947" s="58" t="n"/>
      <c r="E947" s="64">
        <f>IF(tblCommentary[[#This Row],[Date]]="","",COUNTIFS(INDEX(tblCommentary[Date],1):tblCommentary[[#This Row],[Date]],tblCommentary[[#This Row],[Date]]))</f>
        <v/>
      </c>
      <c r="F947" s="63">
        <f>IF(tblCommentary[[#This Row],[Date]]="","",tblCommentary[[#This Row],[Date]]&amp;"|"&amp;tblCommentary[[#This Row],[Seq_Day]])</f>
        <v/>
      </c>
    </row>
    <row r="948">
      <c r="A948" s="54" t="n"/>
      <c r="B948" s="61" t="n"/>
      <c r="C948" s="58" t="n"/>
      <c r="D948" s="58" t="n"/>
      <c r="E948" s="64">
        <f>IF(tblCommentary[[#This Row],[Date]]="","",COUNTIFS(INDEX(tblCommentary[Date],1):tblCommentary[[#This Row],[Date]],tblCommentary[[#This Row],[Date]]))</f>
        <v/>
      </c>
      <c r="F948" s="63">
        <f>IF(tblCommentary[[#This Row],[Date]]="","",tblCommentary[[#This Row],[Date]]&amp;"|"&amp;tblCommentary[[#This Row],[Seq_Day]])</f>
        <v/>
      </c>
    </row>
    <row r="949">
      <c r="A949" s="54" t="n"/>
      <c r="B949" s="61" t="n"/>
      <c r="C949" s="58" t="n"/>
      <c r="D949" s="58" t="n"/>
      <c r="E949" s="64">
        <f>IF(tblCommentary[[#This Row],[Date]]="","",COUNTIFS(INDEX(tblCommentary[Date],1):tblCommentary[[#This Row],[Date]],tblCommentary[[#This Row],[Date]]))</f>
        <v/>
      </c>
      <c r="F949" s="63">
        <f>IF(tblCommentary[[#This Row],[Date]]="","",tblCommentary[[#This Row],[Date]]&amp;"|"&amp;tblCommentary[[#This Row],[Seq_Day]])</f>
        <v/>
      </c>
    </row>
    <row r="950">
      <c r="A950" s="54" t="n"/>
      <c r="B950" s="61" t="n"/>
      <c r="C950" s="58" t="n"/>
      <c r="D950" s="58" t="n"/>
      <c r="E950" s="64">
        <f>IF(tblCommentary[[#This Row],[Date]]="","",COUNTIFS(INDEX(tblCommentary[Date],1):tblCommentary[[#This Row],[Date]],tblCommentary[[#This Row],[Date]]))</f>
        <v/>
      </c>
      <c r="F950" s="63">
        <f>IF(tblCommentary[[#This Row],[Date]]="","",tblCommentary[[#This Row],[Date]]&amp;"|"&amp;tblCommentary[[#This Row],[Seq_Day]])</f>
        <v/>
      </c>
    </row>
    <row r="951">
      <c r="A951" s="54" t="n"/>
      <c r="B951" s="61" t="n"/>
      <c r="C951" s="58" t="n"/>
      <c r="D951" s="58" t="n"/>
      <c r="E951" s="64">
        <f>IF(tblCommentary[[#This Row],[Date]]="","",COUNTIFS(INDEX(tblCommentary[Date],1):tblCommentary[[#This Row],[Date]],tblCommentary[[#This Row],[Date]]))</f>
        <v/>
      </c>
      <c r="F951" s="63">
        <f>IF(tblCommentary[[#This Row],[Date]]="","",tblCommentary[[#This Row],[Date]]&amp;"|"&amp;tblCommentary[[#This Row],[Seq_Day]])</f>
        <v/>
      </c>
    </row>
    <row r="952">
      <c r="A952" s="54" t="n"/>
      <c r="B952" s="61" t="n"/>
      <c r="C952" s="58" t="n"/>
      <c r="D952" s="58" t="n"/>
      <c r="E952" s="64">
        <f>IF(tblCommentary[[#This Row],[Date]]="","",COUNTIFS(INDEX(tblCommentary[Date],1):tblCommentary[[#This Row],[Date]],tblCommentary[[#This Row],[Date]]))</f>
        <v/>
      </c>
      <c r="F952" s="63">
        <f>IF(tblCommentary[[#This Row],[Date]]="","",tblCommentary[[#This Row],[Date]]&amp;"|"&amp;tblCommentary[[#This Row],[Seq_Day]])</f>
        <v/>
      </c>
    </row>
    <row r="953">
      <c r="A953" s="54" t="n"/>
      <c r="B953" s="61" t="n"/>
      <c r="C953" s="58" t="n"/>
      <c r="D953" s="58" t="n"/>
      <c r="E953" s="64">
        <f>IF(tblCommentary[[#This Row],[Date]]="","",COUNTIFS(INDEX(tblCommentary[Date],1):tblCommentary[[#This Row],[Date]],tblCommentary[[#This Row],[Date]]))</f>
        <v/>
      </c>
      <c r="F953" s="63">
        <f>IF(tblCommentary[[#This Row],[Date]]="","",tblCommentary[[#This Row],[Date]]&amp;"|"&amp;tblCommentary[[#This Row],[Seq_Day]])</f>
        <v/>
      </c>
    </row>
    <row r="954">
      <c r="A954" s="54" t="n"/>
      <c r="B954" s="61" t="n"/>
      <c r="C954" s="58" t="n"/>
      <c r="D954" s="58" t="n"/>
      <c r="E954" s="64">
        <f>IF(tblCommentary[[#This Row],[Date]]="","",COUNTIFS(INDEX(tblCommentary[Date],1):tblCommentary[[#This Row],[Date]],tblCommentary[[#This Row],[Date]]))</f>
        <v/>
      </c>
      <c r="F954" s="63">
        <f>IF(tblCommentary[[#This Row],[Date]]="","",tblCommentary[[#This Row],[Date]]&amp;"|"&amp;tblCommentary[[#This Row],[Seq_Day]])</f>
        <v/>
      </c>
    </row>
    <row r="955">
      <c r="A955" s="54" t="n"/>
      <c r="B955" s="61" t="n"/>
      <c r="C955" s="58" t="n"/>
      <c r="D955" s="58" t="n"/>
      <c r="E955" s="64">
        <f>IF(tblCommentary[[#This Row],[Date]]="","",COUNTIFS(INDEX(tblCommentary[Date],1):tblCommentary[[#This Row],[Date]],tblCommentary[[#This Row],[Date]]))</f>
        <v/>
      </c>
      <c r="F955" s="63">
        <f>IF(tblCommentary[[#This Row],[Date]]="","",tblCommentary[[#This Row],[Date]]&amp;"|"&amp;tblCommentary[[#This Row],[Seq_Day]])</f>
        <v/>
      </c>
    </row>
    <row r="956">
      <c r="A956" s="54" t="n"/>
      <c r="B956" s="61" t="n"/>
      <c r="C956" s="58" t="n"/>
      <c r="D956" s="58" t="n"/>
      <c r="E956" s="64">
        <f>IF(tblCommentary[[#This Row],[Date]]="","",COUNTIFS(INDEX(tblCommentary[Date],1):tblCommentary[[#This Row],[Date]],tblCommentary[[#This Row],[Date]]))</f>
        <v/>
      </c>
      <c r="F956" s="63">
        <f>IF(tblCommentary[[#This Row],[Date]]="","",tblCommentary[[#This Row],[Date]]&amp;"|"&amp;tblCommentary[[#This Row],[Seq_Day]])</f>
        <v/>
      </c>
    </row>
    <row r="957">
      <c r="A957" s="54" t="n"/>
      <c r="B957" s="61" t="n"/>
      <c r="C957" s="58" t="n"/>
      <c r="D957" s="58" t="n"/>
      <c r="E957" s="64">
        <f>IF(tblCommentary[[#This Row],[Date]]="","",COUNTIFS(INDEX(tblCommentary[Date],1):tblCommentary[[#This Row],[Date]],tblCommentary[[#This Row],[Date]]))</f>
        <v/>
      </c>
      <c r="F957" s="63">
        <f>IF(tblCommentary[[#This Row],[Date]]="","",tblCommentary[[#This Row],[Date]]&amp;"|"&amp;tblCommentary[[#This Row],[Seq_Day]])</f>
        <v/>
      </c>
    </row>
    <row r="958">
      <c r="A958" s="54" t="n"/>
      <c r="B958" s="61" t="n"/>
      <c r="C958" s="58" t="n"/>
      <c r="D958" s="58" t="n"/>
      <c r="E958" s="64">
        <f>IF(tblCommentary[[#This Row],[Date]]="","",COUNTIFS(INDEX(tblCommentary[Date],1):tblCommentary[[#This Row],[Date]],tblCommentary[[#This Row],[Date]]))</f>
        <v/>
      </c>
      <c r="F958" s="63">
        <f>IF(tblCommentary[[#This Row],[Date]]="","",tblCommentary[[#This Row],[Date]]&amp;"|"&amp;tblCommentary[[#This Row],[Seq_Day]])</f>
        <v/>
      </c>
    </row>
    <row r="959">
      <c r="A959" s="54" t="n"/>
      <c r="B959" s="61" t="n"/>
      <c r="C959" s="58" t="n"/>
      <c r="D959" s="58" t="n"/>
      <c r="E959" s="64">
        <f>IF(tblCommentary[[#This Row],[Date]]="","",COUNTIFS(INDEX(tblCommentary[Date],1):tblCommentary[[#This Row],[Date]],tblCommentary[[#This Row],[Date]]))</f>
        <v/>
      </c>
      <c r="F959" s="63">
        <f>IF(tblCommentary[[#This Row],[Date]]="","",tblCommentary[[#This Row],[Date]]&amp;"|"&amp;tblCommentary[[#This Row],[Seq_Day]])</f>
        <v/>
      </c>
    </row>
    <row r="960">
      <c r="A960" s="54" t="n"/>
      <c r="B960" s="61" t="n"/>
      <c r="C960" s="58" t="n"/>
      <c r="D960" s="58" t="n"/>
      <c r="E960" s="64">
        <f>IF(tblCommentary[[#This Row],[Date]]="","",COUNTIFS(INDEX(tblCommentary[Date],1):tblCommentary[[#This Row],[Date]],tblCommentary[[#This Row],[Date]]))</f>
        <v/>
      </c>
      <c r="F960" s="63">
        <f>IF(tblCommentary[[#This Row],[Date]]="","",tblCommentary[[#This Row],[Date]]&amp;"|"&amp;tblCommentary[[#This Row],[Seq_Day]])</f>
        <v/>
      </c>
    </row>
    <row r="961">
      <c r="A961" s="54" t="n"/>
      <c r="B961" s="61" t="n"/>
      <c r="C961" s="58" t="n"/>
      <c r="D961" s="58" t="n"/>
      <c r="E961" s="64">
        <f>IF(tblCommentary[[#This Row],[Date]]="","",COUNTIFS(INDEX(tblCommentary[Date],1):tblCommentary[[#This Row],[Date]],tblCommentary[[#This Row],[Date]]))</f>
        <v/>
      </c>
      <c r="F961" s="63">
        <f>IF(tblCommentary[[#This Row],[Date]]="","",tblCommentary[[#This Row],[Date]]&amp;"|"&amp;tblCommentary[[#This Row],[Seq_Day]])</f>
        <v/>
      </c>
    </row>
    <row r="962">
      <c r="A962" s="54" t="n"/>
      <c r="B962" s="61" t="n"/>
      <c r="C962" s="58" t="n"/>
      <c r="D962" s="58" t="n"/>
      <c r="E962" s="64">
        <f>IF(tblCommentary[[#This Row],[Date]]="","",COUNTIFS(INDEX(tblCommentary[Date],1):tblCommentary[[#This Row],[Date]],tblCommentary[[#This Row],[Date]]))</f>
        <v/>
      </c>
      <c r="F962" s="63">
        <f>IF(tblCommentary[[#This Row],[Date]]="","",tblCommentary[[#This Row],[Date]]&amp;"|"&amp;tblCommentary[[#This Row],[Seq_Day]])</f>
        <v/>
      </c>
    </row>
    <row r="963">
      <c r="A963" s="54" t="n"/>
      <c r="B963" s="61" t="n"/>
      <c r="C963" s="58" t="n"/>
      <c r="D963" s="58" t="n"/>
      <c r="E963" s="64">
        <f>IF(tblCommentary[[#This Row],[Date]]="","",COUNTIFS(INDEX(tblCommentary[Date],1):tblCommentary[[#This Row],[Date]],tblCommentary[[#This Row],[Date]]))</f>
        <v/>
      </c>
      <c r="F963" s="63">
        <f>IF(tblCommentary[[#This Row],[Date]]="","",tblCommentary[[#This Row],[Date]]&amp;"|"&amp;tblCommentary[[#This Row],[Seq_Day]])</f>
        <v/>
      </c>
    </row>
    <row r="964">
      <c r="A964" s="54" t="n"/>
      <c r="B964" s="61" t="n"/>
      <c r="C964" s="58" t="n"/>
      <c r="D964" s="58" t="n"/>
      <c r="E964" s="64">
        <f>IF(tblCommentary[[#This Row],[Date]]="","",COUNTIFS(INDEX(tblCommentary[Date],1):tblCommentary[[#This Row],[Date]],tblCommentary[[#This Row],[Date]]))</f>
        <v/>
      </c>
      <c r="F964" s="63">
        <f>IF(tblCommentary[[#This Row],[Date]]="","",tblCommentary[[#This Row],[Date]]&amp;"|"&amp;tblCommentary[[#This Row],[Seq_Day]])</f>
        <v/>
      </c>
    </row>
    <row r="965">
      <c r="A965" s="54" t="n"/>
      <c r="B965" s="61" t="n"/>
      <c r="C965" s="58" t="n"/>
      <c r="D965" s="58" t="n"/>
      <c r="E965" s="64">
        <f>IF(tblCommentary[[#This Row],[Date]]="","",COUNTIFS(INDEX(tblCommentary[Date],1):tblCommentary[[#This Row],[Date]],tblCommentary[[#This Row],[Date]]))</f>
        <v/>
      </c>
      <c r="F965" s="63">
        <f>IF(tblCommentary[[#This Row],[Date]]="","",tblCommentary[[#This Row],[Date]]&amp;"|"&amp;tblCommentary[[#This Row],[Seq_Day]])</f>
        <v/>
      </c>
    </row>
    <row r="966">
      <c r="A966" s="54" t="n"/>
      <c r="B966" s="61" t="n"/>
      <c r="C966" s="58" t="n"/>
      <c r="D966" s="58" t="n"/>
      <c r="E966" s="64">
        <f>IF(tblCommentary[[#This Row],[Date]]="","",COUNTIFS(INDEX(tblCommentary[Date],1):tblCommentary[[#This Row],[Date]],tblCommentary[[#This Row],[Date]]))</f>
        <v/>
      </c>
      <c r="F966" s="63">
        <f>IF(tblCommentary[[#This Row],[Date]]="","",tblCommentary[[#This Row],[Date]]&amp;"|"&amp;tblCommentary[[#This Row],[Seq_Day]])</f>
        <v/>
      </c>
    </row>
    <row r="967">
      <c r="A967" s="54" t="n"/>
      <c r="B967" s="61" t="n"/>
      <c r="C967" s="58" t="n"/>
      <c r="D967" s="58" t="n"/>
      <c r="E967" s="64">
        <f>IF(tblCommentary[[#This Row],[Date]]="","",COUNTIFS(INDEX(tblCommentary[Date],1):tblCommentary[[#This Row],[Date]],tblCommentary[[#This Row],[Date]]))</f>
        <v/>
      </c>
      <c r="F967" s="63">
        <f>IF(tblCommentary[[#This Row],[Date]]="","",tblCommentary[[#This Row],[Date]]&amp;"|"&amp;tblCommentary[[#This Row],[Seq_Day]])</f>
        <v/>
      </c>
    </row>
    <row r="968">
      <c r="A968" s="54" t="n"/>
      <c r="B968" s="61" t="n"/>
      <c r="C968" s="58" t="n"/>
      <c r="D968" s="58" t="n"/>
      <c r="E968" s="64">
        <f>IF(tblCommentary[[#This Row],[Date]]="","",COUNTIFS(INDEX(tblCommentary[Date],1):tblCommentary[[#This Row],[Date]],tblCommentary[[#This Row],[Date]]))</f>
        <v/>
      </c>
      <c r="F968" s="63">
        <f>IF(tblCommentary[[#This Row],[Date]]="","",tblCommentary[[#This Row],[Date]]&amp;"|"&amp;tblCommentary[[#This Row],[Seq_Day]])</f>
        <v/>
      </c>
    </row>
    <row r="969">
      <c r="A969" s="54" t="n"/>
      <c r="B969" s="61" t="n"/>
      <c r="C969" s="58" t="n"/>
      <c r="D969" s="58" t="n"/>
      <c r="E969" s="64">
        <f>IF(tblCommentary[[#This Row],[Date]]="","",COUNTIFS(INDEX(tblCommentary[Date],1):tblCommentary[[#This Row],[Date]],tblCommentary[[#This Row],[Date]]))</f>
        <v/>
      </c>
      <c r="F969" s="63">
        <f>IF(tblCommentary[[#This Row],[Date]]="","",tblCommentary[[#This Row],[Date]]&amp;"|"&amp;tblCommentary[[#This Row],[Seq_Day]])</f>
        <v/>
      </c>
    </row>
    <row r="970">
      <c r="A970" s="54" t="n"/>
      <c r="B970" s="61" t="n"/>
      <c r="C970" s="58" t="n"/>
      <c r="D970" s="58" t="n"/>
      <c r="E970" s="64">
        <f>IF(tblCommentary[[#This Row],[Date]]="","",COUNTIFS(INDEX(tblCommentary[Date],1):tblCommentary[[#This Row],[Date]],tblCommentary[[#This Row],[Date]]))</f>
        <v/>
      </c>
      <c r="F970" s="63">
        <f>IF(tblCommentary[[#This Row],[Date]]="","",tblCommentary[[#This Row],[Date]]&amp;"|"&amp;tblCommentary[[#This Row],[Seq_Day]])</f>
        <v/>
      </c>
    </row>
    <row r="971">
      <c r="A971" s="54" t="n"/>
      <c r="B971" s="61" t="n"/>
      <c r="C971" s="58" t="n"/>
      <c r="D971" s="58" t="n"/>
      <c r="E971" s="64">
        <f>IF(tblCommentary[[#This Row],[Date]]="","",COUNTIFS(INDEX(tblCommentary[Date],1):tblCommentary[[#This Row],[Date]],tblCommentary[[#This Row],[Date]]))</f>
        <v/>
      </c>
      <c r="F971" s="63">
        <f>IF(tblCommentary[[#This Row],[Date]]="","",tblCommentary[[#This Row],[Date]]&amp;"|"&amp;tblCommentary[[#This Row],[Seq_Day]])</f>
        <v/>
      </c>
    </row>
    <row r="972">
      <c r="A972" s="54" t="n"/>
      <c r="B972" s="61" t="n"/>
      <c r="C972" s="58" t="n"/>
      <c r="D972" s="58" t="n"/>
      <c r="E972" s="64">
        <f>IF(tblCommentary[[#This Row],[Date]]="","",COUNTIFS(INDEX(tblCommentary[Date],1):tblCommentary[[#This Row],[Date]],tblCommentary[[#This Row],[Date]]))</f>
        <v/>
      </c>
      <c r="F972" s="63">
        <f>IF(tblCommentary[[#This Row],[Date]]="","",tblCommentary[[#This Row],[Date]]&amp;"|"&amp;tblCommentary[[#This Row],[Seq_Day]])</f>
        <v/>
      </c>
    </row>
    <row r="973">
      <c r="A973" s="54" t="n"/>
      <c r="B973" s="61" t="n"/>
      <c r="C973" s="58" t="n"/>
      <c r="D973" s="58" t="n"/>
      <c r="E973" s="64">
        <f>IF(tblCommentary[[#This Row],[Date]]="","",COUNTIFS(INDEX(tblCommentary[Date],1):tblCommentary[[#This Row],[Date]],tblCommentary[[#This Row],[Date]]))</f>
        <v/>
      </c>
      <c r="F973" s="63">
        <f>IF(tblCommentary[[#This Row],[Date]]="","",tblCommentary[[#This Row],[Date]]&amp;"|"&amp;tblCommentary[[#This Row],[Seq_Day]])</f>
        <v/>
      </c>
    </row>
    <row r="974">
      <c r="A974" s="54" t="n"/>
      <c r="B974" s="61" t="n"/>
      <c r="C974" s="58" t="n"/>
      <c r="D974" s="58" t="n"/>
      <c r="E974" s="64">
        <f>IF(tblCommentary[[#This Row],[Date]]="","",COUNTIFS(INDEX(tblCommentary[Date],1):tblCommentary[[#This Row],[Date]],tblCommentary[[#This Row],[Date]]))</f>
        <v/>
      </c>
      <c r="F974" s="63">
        <f>IF(tblCommentary[[#This Row],[Date]]="","",tblCommentary[[#This Row],[Date]]&amp;"|"&amp;tblCommentary[[#This Row],[Seq_Day]])</f>
        <v/>
      </c>
    </row>
    <row r="975">
      <c r="A975" s="54" t="n"/>
      <c r="B975" s="61" t="n"/>
      <c r="C975" s="58" t="n"/>
      <c r="D975" s="58" t="n"/>
      <c r="E975" s="64">
        <f>IF(tblCommentary[[#This Row],[Date]]="","",COUNTIFS(INDEX(tblCommentary[Date],1):tblCommentary[[#This Row],[Date]],tblCommentary[[#This Row],[Date]]))</f>
        <v/>
      </c>
      <c r="F975" s="63">
        <f>IF(tblCommentary[[#This Row],[Date]]="","",tblCommentary[[#This Row],[Date]]&amp;"|"&amp;tblCommentary[[#This Row],[Seq_Day]])</f>
        <v/>
      </c>
    </row>
    <row r="976">
      <c r="A976" s="54" t="n"/>
      <c r="B976" s="61" t="n"/>
      <c r="C976" s="58" t="n"/>
      <c r="D976" s="58" t="n"/>
      <c r="E976" s="64">
        <f>IF(tblCommentary[[#This Row],[Date]]="","",COUNTIFS(INDEX(tblCommentary[Date],1):tblCommentary[[#This Row],[Date]],tblCommentary[[#This Row],[Date]]))</f>
        <v/>
      </c>
      <c r="F976" s="63">
        <f>IF(tblCommentary[[#This Row],[Date]]="","",tblCommentary[[#This Row],[Date]]&amp;"|"&amp;tblCommentary[[#This Row],[Seq_Day]])</f>
        <v/>
      </c>
    </row>
    <row r="977">
      <c r="A977" s="54" t="n"/>
      <c r="B977" s="61" t="n"/>
      <c r="C977" s="58" t="n"/>
      <c r="D977" s="58" t="n"/>
      <c r="E977" s="64">
        <f>IF(tblCommentary[[#This Row],[Date]]="","",COUNTIFS(INDEX(tblCommentary[Date],1):tblCommentary[[#This Row],[Date]],tblCommentary[[#This Row],[Date]]))</f>
        <v/>
      </c>
      <c r="F977" s="63">
        <f>IF(tblCommentary[[#This Row],[Date]]="","",tblCommentary[[#This Row],[Date]]&amp;"|"&amp;tblCommentary[[#This Row],[Seq_Day]])</f>
        <v/>
      </c>
    </row>
    <row r="978">
      <c r="A978" s="54" t="n"/>
      <c r="B978" s="61" t="n"/>
      <c r="C978" s="58" t="n"/>
      <c r="D978" s="58" t="n"/>
      <c r="E978" s="64">
        <f>IF(tblCommentary[[#This Row],[Date]]="","",COUNTIFS(INDEX(tblCommentary[Date],1):tblCommentary[[#This Row],[Date]],tblCommentary[[#This Row],[Date]]))</f>
        <v/>
      </c>
      <c r="F978" s="63">
        <f>IF(tblCommentary[[#This Row],[Date]]="","",tblCommentary[[#This Row],[Date]]&amp;"|"&amp;tblCommentary[[#This Row],[Seq_Day]])</f>
        <v/>
      </c>
    </row>
    <row r="979">
      <c r="A979" s="54" t="n"/>
      <c r="B979" s="61" t="n"/>
      <c r="C979" s="58" t="n"/>
      <c r="D979" s="58" t="n"/>
      <c r="E979" s="64">
        <f>IF(tblCommentary[[#This Row],[Date]]="","",COUNTIFS(INDEX(tblCommentary[Date],1):tblCommentary[[#This Row],[Date]],tblCommentary[[#This Row],[Date]]))</f>
        <v/>
      </c>
      <c r="F979" s="63">
        <f>IF(tblCommentary[[#This Row],[Date]]="","",tblCommentary[[#This Row],[Date]]&amp;"|"&amp;tblCommentary[[#This Row],[Seq_Day]])</f>
        <v/>
      </c>
    </row>
    <row r="980">
      <c r="A980" s="54" t="n"/>
      <c r="B980" s="61" t="n"/>
      <c r="C980" s="58" t="n"/>
      <c r="D980" s="58" t="n"/>
      <c r="E980" s="64">
        <f>IF(tblCommentary[[#This Row],[Date]]="","",COUNTIFS(INDEX(tblCommentary[Date],1):tblCommentary[[#This Row],[Date]],tblCommentary[[#This Row],[Date]]))</f>
        <v/>
      </c>
      <c r="F980" s="63">
        <f>IF(tblCommentary[[#This Row],[Date]]="","",tblCommentary[[#This Row],[Date]]&amp;"|"&amp;tblCommentary[[#This Row],[Seq_Day]])</f>
        <v/>
      </c>
    </row>
    <row r="981">
      <c r="A981" s="54" t="n"/>
      <c r="B981" s="61" t="n"/>
      <c r="C981" s="58" t="n"/>
      <c r="D981" s="58" t="n"/>
      <c r="E981" s="64">
        <f>IF(tblCommentary[[#This Row],[Date]]="","",COUNTIFS(INDEX(tblCommentary[Date],1):tblCommentary[[#This Row],[Date]],tblCommentary[[#This Row],[Date]]))</f>
        <v/>
      </c>
      <c r="F981" s="63">
        <f>IF(tblCommentary[[#This Row],[Date]]="","",tblCommentary[[#This Row],[Date]]&amp;"|"&amp;tblCommentary[[#This Row],[Seq_Day]])</f>
        <v/>
      </c>
    </row>
    <row r="982">
      <c r="A982" s="54" t="n"/>
      <c r="B982" s="61" t="n"/>
      <c r="C982" s="58" t="n"/>
      <c r="D982" s="58" t="n"/>
      <c r="E982" s="64">
        <f>IF(tblCommentary[[#This Row],[Date]]="","",COUNTIFS(INDEX(tblCommentary[Date],1):tblCommentary[[#This Row],[Date]],tblCommentary[[#This Row],[Date]]))</f>
        <v/>
      </c>
      <c r="F982" s="63">
        <f>IF(tblCommentary[[#This Row],[Date]]="","",tblCommentary[[#This Row],[Date]]&amp;"|"&amp;tblCommentary[[#This Row],[Seq_Day]])</f>
        <v/>
      </c>
    </row>
    <row r="983">
      <c r="A983" s="54" t="n"/>
      <c r="B983" s="61" t="n"/>
      <c r="C983" s="58" t="n"/>
      <c r="D983" s="58" t="n"/>
      <c r="E983" s="64">
        <f>IF(tblCommentary[[#This Row],[Date]]="","",COUNTIFS(INDEX(tblCommentary[Date],1):tblCommentary[[#This Row],[Date]],tblCommentary[[#This Row],[Date]]))</f>
        <v/>
      </c>
      <c r="F983" s="63">
        <f>IF(tblCommentary[[#This Row],[Date]]="","",tblCommentary[[#This Row],[Date]]&amp;"|"&amp;tblCommentary[[#This Row],[Seq_Day]])</f>
        <v/>
      </c>
    </row>
    <row r="984">
      <c r="A984" s="54" t="n"/>
      <c r="B984" s="61" t="n"/>
      <c r="C984" s="58" t="n"/>
      <c r="D984" s="58" t="n"/>
      <c r="E984" s="64">
        <f>IF(tblCommentary[[#This Row],[Date]]="","",COUNTIFS(INDEX(tblCommentary[Date],1):tblCommentary[[#This Row],[Date]],tblCommentary[[#This Row],[Date]]))</f>
        <v/>
      </c>
      <c r="F984" s="63">
        <f>IF(tblCommentary[[#This Row],[Date]]="","",tblCommentary[[#This Row],[Date]]&amp;"|"&amp;tblCommentary[[#This Row],[Seq_Day]])</f>
        <v/>
      </c>
    </row>
    <row r="985">
      <c r="A985" s="54" t="n"/>
      <c r="B985" s="61" t="n"/>
      <c r="C985" s="58" t="n"/>
      <c r="D985" s="58" t="n"/>
      <c r="E985" s="64">
        <f>IF(tblCommentary[[#This Row],[Date]]="","",COUNTIFS(INDEX(tblCommentary[Date],1):tblCommentary[[#This Row],[Date]],tblCommentary[[#This Row],[Date]]))</f>
        <v/>
      </c>
      <c r="F985" s="63">
        <f>IF(tblCommentary[[#This Row],[Date]]="","",tblCommentary[[#This Row],[Date]]&amp;"|"&amp;tblCommentary[[#This Row],[Seq_Day]])</f>
        <v/>
      </c>
    </row>
    <row r="986">
      <c r="A986" s="54" t="n"/>
      <c r="B986" s="61" t="n"/>
      <c r="C986" s="58" t="n"/>
      <c r="D986" s="58" t="n"/>
      <c r="E986" s="64">
        <f>IF(tblCommentary[[#This Row],[Date]]="","",COUNTIFS(INDEX(tblCommentary[Date],1):tblCommentary[[#This Row],[Date]],tblCommentary[[#This Row],[Date]]))</f>
        <v/>
      </c>
      <c r="F986" s="63">
        <f>IF(tblCommentary[[#This Row],[Date]]="","",tblCommentary[[#This Row],[Date]]&amp;"|"&amp;tblCommentary[[#This Row],[Seq_Day]])</f>
        <v/>
      </c>
    </row>
    <row r="987">
      <c r="A987" s="54" t="n"/>
      <c r="B987" s="61" t="n"/>
      <c r="C987" s="58" t="n"/>
      <c r="D987" s="58" t="n"/>
      <c r="E987" s="64">
        <f>IF(tblCommentary[[#This Row],[Date]]="","",COUNTIFS(INDEX(tblCommentary[Date],1):tblCommentary[[#This Row],[Date]],tblCommentary[[#This Row],[Date]]))</f>
        <v/>
      </c>
      <c r="F987" s="63">
        <f>IF(tblCommentary[[#This Row],[Date]]="","",tblCommentary[[#This Row],[Date]]&amp;"|"&amp;tblCommentary[[#This Row],[Seq_Day]])</f>
        <v/>
      </c>
    </row>
    <row r="988">
      <c r="A988" s="54" t="n"/>
      <c r="B988" s="61" t="n"/>
      <c r="C988" s="58" t="n"/>
      <c r="D988" s="58" t="n"/>
      <c r="E988" s="64">
        <f>IF(tblCommentary[[#This Row],[Date]]="","",COUNTIFS(INDEX(tblCommentary[Date],1):tblCommentary[[#This Row],[Date]],tblCommentary[[#This Row],[Date]]))</f>
        <v/>
      </c>
      <c r="F988" s="63">
        <f>IF(tblCommentary[[#This Row],[Date]]="","",tblCommentary[[#This Row],[Date]]&amp;"|"&amp;tblCommentary[[#This Row],[Seq_Day]])</f>
        <v/>
      </c>
    </row>
    <row r="989">
      <c r="A989" s="54" t="n"/>
      <c r="B989" s="61" t="n"/>
      <c r="C989" s="58" t="n"/>
      <c r="D989" s="58" t="n"/>
      <c r="E989" s="64">
        <f>IF(tblCommentary[[#This Row],[Date]]="","",COUNTIFS(INDEX(tblCommentary[Date],1):tblCommentary[[#This Row],[Date]],tblCommentary[[#This Row],[Date]]))</f>
        <v/>
      </c>
      <c r="F989" s="63">
        <f>IF(tblCommentary[[#This Row],[Date]]="","",tblCommentary[[#This Row],[Date]]&amp;"|"&amp;tblCommentary[[#This Row],[Seq_Day]])</f>
        <v/>
      </c>
    </row>
    <row r="990">
      <c r="A990" s="54" t="n"/>
      <c r="B990" s="61" t="n"/>
      <c r="C990" s="58" t="n"/>
      <c r="D990" s="58" t="n"/>
      <c r="E990" s="64">
        <f>IF(tblCommentary[[#This Row],[Date]]="","",COUNTIFS(INDEX(tblCommentary[Date],1):tblCommentary[[#This Row],[Date]],tblCommentary[[#This Row],[Date]]))</f>
        <v/>
      </c>
      <c r="F990" s="63">
        <f>IF(tblCommentary[[#This Row],[Date]]="","",tblCommentary[[#This Row],[Date]]&amp;"|"&amp;tblCommentary[[#This Row],[Seq_Day]])</f>
        <v/>
      </c>
    </row>
    <row r="991">
      <c r="A991" s="54" t="n"/>
      <c r="B991" s="61" t="n"/>
      <c r="C991" s="58" t="n"/>
      <c r="D991" s="58" t="n"/>
      <c r="E991" s="64">
        <f>IF(tblCommentary[[#This Row],[Date]]="","",COUNTIFS(INDEX(tblCommentary[Date],1):tblCommentary[[#This Row],[Date]],tblCommentary[[#This Row],[Date]]))</f>
        <v/>
      </c>
      <c r="F991" s="63">
        <f>IF(tblCommentary[[#This Row],[Date]]="","",tblCommentary[[#This Row],[Date]]&amp;"|"&amp;tblCommentary[[#This Row],[Seq_Day]])</f>
        <v/>
      </c>
    </row>
    <row r="992">
      <c r="A992" s="54" t="n"/>
      <c r="B992" s="61" t="n"/>
      <c r="C992" s="58" t="n"/>
      <c r="D992" s="58" t="n"/>
      <c r="E992" s="64">
        <f>IF(tblCommentary[[#This Row],[Date]]="","",COUNTIFS(INDEX(tblCommentary[Date],1):tblCommentary[[#This Row],[Date]],tblCommentary[[#This Row],[Date]]))</f>
        <v/>
      </c>
      <c r="F992" s="63">
        <f>IF(tblCommentary[[#This Row],[Date]]="","",tblCommentary[[#This Row],[Date]]&amp;"|"&amp;tblCommentary[[#This Row],[Seq_Day]])</f>
        <v/>
      </c>
    </row>
    <row r="993">
      <c r="A993" s="54" t="n"/>
      <c r="B993" s="61" t="n"/>
      <c r="C993" s="58" t="n"/>
      <c r="D993" s="58" t="n"/>
      <c r="E993" s="64">
        <f>IF(tblCommentary[[#This Row],[Date]]="","",COUNTIFS(INDEX(tblCommentary[Date],1):tblCommentary[[#This Row],[Date]],tblCommentary[[#This Row],[Date]]))</f>
        <v/>
      </c>
      <c r="F993" s="63">
        <f>IF(tblCommentary[[#This Row],[Date]]="","",tblCommentary[[#This Row],[Date]]&amp;"|"&amp;tblCommentary[[#This Row],[Seq_Day]])</f>
        <v/>
      </c>
    </row>
    <row r="994">
      <c r="A994" s="54" t="n"/>
      <c r="B994" s="61" t="n"/>
      <c r="C994" s="58" t="n"/>
      <c r="D994" s="58" t="n"/>
      <c r="E994" s="64">
        <f>IF(tblCommentary[[#This Row],[Date]]="","",COUNTIFS(INDEX(tblCommentary[Date],1):tblCommentary[[#This Row],[Date]],tblCommentary[[#This Row],[Date]]))</f>
        <v/>
      </c>
      <c r="F994" s="63">
        <f>IF(tblCommentary[[#This Row],[Date]]="","",tblCommentary[[#This Row],[Date]]&amp;"|"&amp;tblCommentary[[#This Row],[Seq_Day]])</f>
        <v/>
      </c>
    </row>
    <row r="995">
      <c r="A995" s="54" t="n"/>
      <c r="B995" s="61" t="n"/>
      <c r="C995" s="58" t="n"/>
      <c r="D995" s="58" t="n"/>
      <c r="E995" s="64">
        <f>IF(tblCommentary[[#This Row],[Date]]="","",COUNTIFS(INDEX(tblCommentary[Date],1):tblCommentary[[#This Row],[Date]],tblCommentary[[#This Row],[Date]]))</f>
        <v/>
      </c>
      <c r="F995" s="63">
        <f>IF(tblCommentary[[#This Row],[Date]]="","",tblCommentary[[#This Row],[Date]]&amp;"|"&amp;tblCommentary[[#This Row],[Seq_Day]])</f>
        <v/>
      </c>
    </row>
    <row r="996">
      <c r="A996" s="54" t="n"/>
      <c r="B996" s="61" t="n"/>
      <c r="C996" s="58" t="n"/>
      <c r="D996" s="58" t="n"/>
      <c r="E996" s="64">
        <f>IF(tblCommentary[[#This Row],[Date]]="","",COUNTIFS(INDEX(tblCommentary[Date],1):tblCommentary[[#This Row],[Date]],tblCommentary[[#This Row],[Date]]))</f>
        <v/>
      </c>
      <c r="F996" s="63">
        <f>IF(tblCommentary[[#This Row],[Date]]="","",tblCommentary[[#This Row],[Date]]&amp;"|"&amp;tblCommentary[[#This Row],[Seq_Day]])</f>
        <v/>
      </c>
    </row>
    <row r="997">
      <c r="A997" s="54" t="n"/>
      <c r="B997" s="61" t="n"/>
      <c r="C997" s="58" t="n"/>
      <c r="D997" s="58" t="n"/>
      <c r="E997" s="64">
        <f>IF(tblCommentary[[#This Row],[Date]]="","",COUNTIFS(INDEX(tblCommentary[Date],1):tblCommentary[[#This Row],[Date]],tblCommentary[[#This Row],[Date]]))</f>
        <v/>
      </c>
      <c r="F997" s="63">
        <f>IF(tblCommentary[[#This Row],[Date]]="","",tblCommentary[[#This Row],[Date]]&amp;"|"&amp;tblCommentary[[#This Row],[Seq_Day]])</f>
        <v/>
      </c>
    </row>
    <row r="998">
      <c r="A998" s="54" t="n"/>
      <c r="B998" s="61" t="n"/>
      <c r="C998" s="58" t="n"/>
      <c r="D998" s="58" t="n"/>
      <c r="E998" s="64">
        <f>IF(tblCommentary[[#This Row],[Date]]="","",COUNTIFS(INDEX(tblCommentary[Date],1):tblCommentary[[#This Row],[Date]],tblCommentary[[#This Row],[Date]]))</f>
        <v/>
      </c>
      <c r="F998" s="63">
        <f>IF(tblCommentary[[#This Row],[Date]]="","",tblCommentary[[#This Row],[Date]]&amp;"|"&amp;tblCommentary[[#This Row],[Seq_Day]])</f>
        <v/>
      </c>
    </row>
    <row r="999">
      <c r="A999" s="54" t="n"/>
      <c r="B999" s="61" t="n"/>
      <c r="C999" s="58" t="n"/>
      <c r="D999" s="58" t="n"/>
      <c r="E999" s="64">
        <f>IF(tblCommentary[[#This Row],[Date]]="","",COUNTIFS(INDEX(tblCommentary[Date],1):tblCommentary[[#This Row],[Date]],tblCommentary[[#This Row],[Date]]))</f>
        <v/>
      </c>
      <c r="F999" s="63">
        <f>IF(tblCommentary[[#This Row],[Date]]="","",tblCommentary[[#This Row],[Date]]&amp;"|"&amp;tblCommentary[[#This Row],[Seq_Day]])</f>
        <v/>
      </c>
    </row>
    <row r="1000">
      <c r="A1000" s="54" t="n"/>
      <c r="B1000" s="61" t="n"/>
      <c r="C1000" s="58" t="n"/>
      <c r="D1000" s="58" t="n"/>
      <c r="E1000" s="64">
        <f>IF(tblCommentary[[#This Row],[Date]]="","",COUNTIFS(INDEX(tblCommentary[Date],1):tblCommentary[[#This Row],[Date]],tblCommentary[[#This Row],[Date]]))</f>
        <v/>
      </c>
      <c r="F1000" s="63">
        <f>IF(tblCommentary[[#This Row],[Date]]="","",tblCommentary[[#This Row],[Date]]&amp;"|"&amp;tblCommentary[[#This Row],[Seq_Day]])</f>
        <v/>
      </c>
    </row>
    <row r="1001">
      <c r="A1001" s="54" t="n"/>
      <c r="B1001" s="61" t="n"/>
      <c r="C1001" s="58" t="n"/>
      <c r="D1001" s="58" t="n"/>
      <c r="E1001" s="64">
        <f>IF(tblCommentary[[#This Row],[Date]]="","",COUNTIFS(INDEX(tblCommentary[Date],1):tblCommentary[[#This Row],[Date]],tblCommentary[[#This Row],[Date]]))</f>
        <v/>
      </c>
      <c r="F1001" s="63">
        <f>IF(tblCommentary[[#This Row],[Date]]="","",tblCommentary[[#This Row],[Date]]&amp;"|"&amp;tblCommentary[[#This Row],[Seq_Day]])</f>
        <v/>
      </c>
    </row>
    <row r="1002">
      <c r="A1002" s="54" t="n"/>
      <c r="B1002" s="61" t="n"/>
      <c r="C1002" s="58" t="n"/>
      <c r="D1002" s="58" t="n"/>
      <c r="E1002" s="64">
        <f>IF(tblCommentary[[#This Row],[Date]]="","",COUNTIFS(INDEX(tblCommentary[Date],1):tblCommentary[[#This Row],[Date]],tblCommentary[[#This Row],[Date]]))</f>
        <v/>
      </c>
      <c r="F1002" s="63">
        <f>IF(tblCommentary[[#This Row],[Date]]="","",tblCommentary[[#This Row],[Date]]&amp;"|"&amp;tblCommentary[[#This Row],[Seq_Day]])</f>
        <v/>
      </c>
    </row>
    <row r="1003">
      <c r="A1003" s="54" t="n"/>
      <c r="B1003" s="61" t="n"/>
      <c r="C1003" s="58" t="n"/>
      <c r="D1003" s="58" t="n"/>
      <c r="E1003" s="64">
        <f>IF(tblCommentary[[#This Row],[Date]]="","",COUNTIFS(INDEX(tblCommentary[Date],1):tblCommentary[[#This Row],[Date]],tblCommentary[[#This Row],[Date]]))</f>
        <v/>
      </c>
      <c r="F1003" s="63">
        <f>IF(tblCommentary[[#This Row],[Date]]="","",tblCommentary[[#This Row],[Date]]&amp;"|"&amp;tblCommentary[[#This Row],[Seq_Day]])</f>
        <v/>
      </c>
    </row>
    <row r="1004">
      <c r="A1004" s="54" t="n"/>
      <c r="B1004" s="61" t="n"/>
      <c r="C1004" s="58" t="n"/>
      <c r="D1004" s="58" t="n"/>
      <c r="E1004" s="64">
        <f>IF(tblCommentary[[#This Row],[Date]]="","",COUNTIFS(INDEX(tblCommentary[Date],1):tblCommentary[[#This Row],[Date]],tblCommentary[[#This Row],[Date]]))</f>
        <v/>
      </c>
      <c r="F1004" s="63">
        <f>IF(tblCommentary[[#This Row],[Date]]="","",tblCommentary[[#This Row],[Date]]&amp;"|"&amp;tblCommentary[[#This Row],[Seq_Day]])</f>
        <v/>
      </c>
    </row>
    <row r="1005">
      <c r="A1005" s="54" t="n"/>
      <c r="B1005" s="61" t="n"/>
      <c r="C1005" s="58" t="n"/>
      <c r="D1005" s="58" t="n"/>
      <c r="E1005" s="64">
        <f>IF(tblCommentary[[#This Row],[Date]]="","",COUNTIFS(INDEX(tblCommentary[Date],1):tblCommentary[[#This Row],[Date]],tblCommentary[[#This Row],[Date]]))</f>
        <v/>
      </c>
      <c r="F1005" s="63">
        <f>IF(tblCommentary[[#This Row],[Date]]="","",tblCommentary[[#This Row],[Date]]&amp;"|"&amp;tblCommentary[[#This Row],[Seq_Day]])</f>
        <v/>
      </c>
    </row>
    <row r="1006">
      <c r="A1006" s="54" t="n"/>
      <c r="B1006" s="61" t="n"/>
      <c r="C1006" s="58" t="n"/>
      <c r="D1006" s="58" t="n"/>
      <c r="E1006" s="64">
        <f>IF(tblCommentary[[#This Row],[Date]]="","",COUNTIFS(INDEX(tblCommentary[Date],1):tblCommentary[[#This Row],[Date]],tblCommentary[[#This Row],[Date]]))</f>
        <v/>
      </c>
      <c r="F1006" s="63">
        <f>IF(tblCommentary[[#This Row],[Date]]="","",tblCommentary[[#This Row],[Date]]&amp;"|"&amp;tblCommentary[[#This Row],[Seq_Day]])</f>
        <v/>
      </c>
    </row>
    <row r="1007">
      <c r="A1007" s="54" t="n"/>
      <c r="B1007" s="61" t="n"/>
      <c r="C1007" s="58" t="n"/>
      <c r="D1007" s="58" t="n"/>
      <c r="E1007" s="64">
        <f>IF(tblCommentary[[#This Row],[Date]]="","",COUNTIFS(INDEX(tblCommentary[Date],1):tblCommentary[[#This Row],[Date]],tblCommentary[[#This Row],[Date]]))</f>
        <v/>
      </c>
      <c r="F1007" s="63">
        <f>IF(tblCommentary[[#This Row],[Date]]="","",tblCommentary[[#This Row],[Date]]&amp;"|"&amp;tblCommentary[[#This Row],[Seq_Day]])</f>
        <v/>
      </c>
    </row>
    <row r="1008">
      <c r="A1008" s="54" t="n"/>
      <c r="B1008" s="61" t="n"/>
      <c r="C1008" s="58" t="n"/>
      <c r="D1008" s="58" t="n"/>
      <c r="E1008" s="64">
        <f>IF(tblCommentary[[#This Row],[Date]]="","",COUNTIFS(INDEX(tblCommentary[Date],1):tblCommentary[[#This Row],[Date]],tblCommentary[[#This Row],[Date]]))</f>
        <v/>
      </c>
      <c r="F1008" s="63">
        <f>IF(tblCommentary[[#This Row],[Date]]="","",tblCommentary[[#This Row],[Date]]&amp;"|"&amp;tblCommentary[[#This Row],[Seq_Day]])</f>
        <v/>
      </c>
    </row>
    <row r="1009">
      <c r="A1009" s="54" t="n"/>
      <c r="B1009" s="61" t="n"/>
      <c r="C1009" s="58" t="n"/>
      <c r="D1009" s="58" t="n"/>
      <c r="E1009" s="64">
        <f>IF(tblCommentary[[#This Row],[Date]]="","",COUNTIFS(INDEX(tblCommentary[Date],1):tblCommentary[[#This Row],[Date]],tblCommentary[[#This Row],[Date]]))</f>
        <v/>
      </c>
      <c r="F1009" s="63">
        <f>IF(tblCommentary[[#This Row],[Date]]="","",tblCommentary[[#This Row],[Date]]&amp;"|"&amp;tblCommentary[[#This Row],[Seq_Day]])</f>
        <v/>
      </c>
    </row>
    <row r="1010">
      <c r="A1010" s="54" t="n"/>
      <c r="B1010" s="61" t="n"/>
      <c r="C1010" s="58" t="n"/>
      <c r="D1010" s="58" t="n"/>
      <c r="E1010" s="64">
        <f>IF(tblCommentary[[#This Row],[Date]]="","",COUNTIFS(INDEX(tblCommentary[Date],1):tblCommentary[[#This Row],[Date]],tblCommentary[[#This Row],[Date]]))</f>
        <v/>
      </c>
      <c r="F1010" s="63">
        <f>IF(tblCommentary[[#This Row],[Date]]="","",tblCommentary[[#This Row],[Date]]&amp;"|"&amp;tblCommentary[[#This Row],[Seq_Day]])</f>
        <v/>
      </c>
    </row>
    <row r="1011">
      <c r="A1011" s="54" t="n"/>
      <c r="B1011" s="61" t="n"/>
      <c r="C1011" s="58" t="n"/>
      <c r="D1011" s="58" t="n"/>
      <c r="E1011" s="64">
        <f>IF(tblCommentary[[#This Row],[Date]]="","",COUNTIFS(INDEX(tblCommentary[Date],1):tblCommentary[[#This Row],[Date]],tblCommentary[[#This Row],[Date]]))</f>
        <v/>
      </c>
      <c r="F1011" s="63">
        <f>IF(tblCommentary[[#This Row],[Date]]="","",tblCommentary[[#This Row],[Date]]&amp;"|"&amp;tblCommentary[[#This Row],[Seq_Day]])</f>
        <v/>
      </c>
    </row>
    <row r="1012">
      <c r="A1012" s="54" t="n"/>
      <c r="B1012" s="61" t="n"/>
      <c r="C1012" s="58" t="n"/>
      <c r="D1012" s="58" t="n"/>
      <c r="E1012" s="64">
        <f>IF(tblCommentary[[#This Row],[Date]]="","",COUNTIFS(INDEX(tblCommentary[Date],1):tblCommentary[[#This Row],[Date]],tblCommentary[[#This Row],[Date]]))</f>
        <v/>
      </c>
      <c r="F1012" s="63">
        <f>IF(tblCommentary[[#This Row],[Date]]="","",tblCommentary[[#This Row],[Date]]&amp;"|"&amp;tblCommentary[[#This Row],[Seq_Day]])</f>
        <v/>
      </c>
    </row>
    <row r="1013">
      <c r="A1013" s="54" t="n"/>
      <c r="B1013" s="61" t="n"/>
      <c r="C1013" s="58" t="n"/>
      <c r="D1013" s="58" t="n"/>
      <c r="E1013" s="64">
        <f>IF(tblCommentary[[#This Row],[Date]]="","",COUNTIFS(INDEX(tblCommentary[Date],1):tblCommentary[[#This Row],[Date]],tblCommentary[[#This Row],[Date]]))</f>
        <v/>
      </c>
      <c r="F1013" s="63">
        <f>IF(tblCommentary[[#This Row],[Date]]="","",tblCommentary[[#This Row],[Date]]&amp;"|"&amp;tblCommentary[[#This Row],[Seq_Day]])</f>
        <v/>
      </c>
    </row>
    <row r="1014">
      <c r="A1014" s="54" t="n"/>
      <c r="B1014" s="61" t="n"/>
      <c r="C1014" s="58" t="n"/>
      <c r="D1014" s="58" t="n"/>
      <c r="E1014" s="64">
        <f>IF(tblCommentary[[#This Row],[Date]]="","",COUNTIFS(INDEX(tblCommentary[Date],1):tblCommentary[[#This Row],[Date]],tblCommentary[[#This Row],[Date]]))</f>
        <v/>
      </c>
      <c r="F1014" s="63">
        <f>IF(tblCommentary[[#This Row],[Date]]="","",tblCommentary[[#This Row],[Date]]&amp;"|"&amp;tblCommentary[[#This Row],[Seq_Day]])</f>
        <v/>
      </c>
    </row>
    <row r="1015">
      <c r="A1015" s="54" t="n"/>
      <c r="B1015" s="61" t="n"/>
      <c r="C1015" s="58" t="n"/>
      <c r="D1015" s="58" t="n"/>
      <c r="E1015" s="64">
        <f>IF(tblCommentary[[#This Row],[Date]]="","",COUNTIFS(INDEX(tblCommentary[Date],1):tblCommentary[[#This Row],[Date]],tblCommentary[[#This Row],[Date]]))</f>
        <v/>
      </c>
      <c r="F1015" s="63">
        <f>IF(tblCommentary[[#This Row],[Date]]="","",tblCommentary[[#This Row],[Date]]&amp;"|"&amp;tblCommentary[[#This Row],[Seq_Day]])</f>
        <v/>
      </c>
    </row>
    <row r="1016">
      <c r="A1016" s="54" t="n"/>
      <c r="B1016" s="61" t="n"/>
      <c r="C1016" s="58" t="n"/>
      <c r="D1016" s="58" t="n"/>
      <c r="E1016" s="64">
        <f>IF(tblCommentary[[#This Row],[Date]]="","",COUNTIFS(INDEX(tblCommentary[Date],1):tblCommentary[[#This Row],[Date]],tblCommentary[[#This Row],[Date]]))</f>
        <v/>
      </c>
      <c r="F1016" s="63">
        <f>IF(tblCommentary[[#This Row],[Date]]="","",tblCommentary[[#This Row],[Date]]&amp;"|"&amp;tblCommentary[[#This Row],[Seq_Day]])</f>
        <v/>
      </c>
    </row>
    <row r="1017">
      <c r="A1017" s="54" t="n"/>
      <c r="B1017" s="61" t="n"/>
      <c r="C1017" s="58" t="n"/>
      <c r="D1017" s="58" t="n"/>
      <c r="E1017" s="64">
        <f>IF(tblCommentary[[#This Row],[Date]]="","",COUNTIFS(INDEX(tblCommentary[Date],1):tblCommentary[[#This Row],[Date]],tblCommentary[[#This Row],[Date]]))</f>
        <v/>
      </c>
      <c r="F1017" s="63">
        <f>IF(tblCommentary[[#This Row],[Date]]="","",tblCommentary[[#This Row],[Date]]&amp;"|"&amp;tblCommentary[[#This Row],[Seq_Day]])</f>
        <v/>
      </c>
    </row>
    <row r="1018">
      <c r="A1018" s="54" t="n"/>
      <c r="B1018" s="61" t="n"/>
      <c r="C1018" s="58" t="n"/>
      <c r="D1018" s="58" t="n"/>
      <c r="E1018" s="64">
        <f>IF(tblCommentary[[#This Row],[Date]]="","",COUNTIFS(INDEX(tblCommentary[Date],1):tblCommentary[[#This Row],[Date]],tblCommentary[[#This Row],[Date]]))</f>
        <v/>
      </c>
      <c r="F1018" s="63">
        <f>IF(tblCommentary[[#This Row],[Date]]="","",tblCommentary[[#This Row],[Date]]&amp;"|"&amp;tblCommentary[[#This Row],[Seq_Day]])</f>
        <v/>
      </c>
    </row>
    <row r="1019">
      <c r="A1019" s="54" t="n"/>
      <c r="B1019" s="61" t="n"/>
      <c r="C1019" s="58" t="n"/>
      <c r="D1019" s="58" t="n"/>
      <c r="E1019" s="64">
        <f>IF(tblCommentary[[#This Row],[Date]]="","",COUNTIFS(INDEX(tblCommentary[Date],1):tblCommentary[[#This Row],[Date]],tblCommentary[[#This Row],[Date]]))</f>
        <v/>
      </c>
      <c r="F1019" s="63">
        <f>IF(tblCommentary[[#This Row],[Date]]="","",tblCommentary[[#This Row],[Date]]&amp;"|"&amp;tblCommentary[[#This Row],[Seq_Day]])</f>
        <v/>
      </c>
    </row>
    <row r="1020">
      <c r="A1020" s="54" t="n"/>
      <c r="B1020" s="61" t="n"/>
      <c r="C1020" s="58" t="n"/>
      <c r="D1020" s="58" t="n"/>
      <c r="E1020" s="64">
        <f>IF(tblCommentary[[#This Row],[Date]]="","",COUNTIFS(INDEX(tblCommentary[Date],1):tblCommentary[[#This Row],[Date]],tblCommentary[[#This Row],[Date]]))</f>
        <v/>
      </c>
      <c r="F1020" s="63">
        <f>IF(tblCommentary[[#This Row],[Date]]="","",tblCommentary[[#This Row],[Date]]&amp;"|"&amp;tblCommentary[[#This Row],[Seq_Day]])</f>
        <v/>
      </c>
    </row>
    <row r="1021">
      <c r="A1021" s="54" t="n"/>
      <c r="B1021" s="61" t="n"/>
      <c r="C1021" s="58" t="n"/>
      <c r="D1021" s="58" t="n"/>
      <c r="E1021" s="64">
        <f>IF(tblCommentary[[#This Row],[Date]]="","",COUNTIFS(INDEX(tblCommentary[Date],1):tblCommentary[[#This Row],[Date]],tblCommentary[[#This Row],[Date]]))</f>
        <v/>
      </c>
      <c r="F1021" s="63">
        <f>IF(tblCommentary[[#This Row],[Date]]="","",tblCommentary[[#This Row],[Date]]&amp;"|"&amp;tblCommentary[[#This Row],[Seq_Day]])</f>
        <v/>
      </c>
    </row>
    <row r="1022">
      <c r="A1022" s="54" t="n"/>
      <c r="B1022" s="61" t="n"/>
      <c r="C1022" s="58" t="n"/>
      <c r="D1022" s="58" t="n"/>
      <c r="E1022" s="64">
        <f>IF(tblCommentary[[#This Row],[Date]]="","",COUNTIFS(INDEX(tblCommentary[Date],1):tblCommentary[[#This Row],[Date]],tblCommentary[[#This Row],[Date]]))</f>
        <v/>
      </c>
      <c r="F1022" s="63">
        <f>IF(tblCommentary[[#This Row],[Date]]="","",tblCommentary[[#This Row],[Date]]&amp;"|"&amp;tblCommentary[[#This Row],[Seq_Day]])</f>
        <v/>
      </c>
    </row>
    <row r="1023">
      <c r="A1023" s="54" t="n"/>
      <c r="B1023" s="61" t="n"/>
      <c r="C1023" s="58" t="n"/>
      <c r="D1023" s="58" t="n"/>
      <c r="E1023" s="64">
        <f>IF(tblCommentary[[#This Row],[Date]]="","",COUNTIFS(INDEX(tblCommentary[Date],1):tblCommentary[[#This Row],[Date]],tblCommentary[[#This Row],[Date]]))</f>
        <v/>
      </c>
      <c r="F1023" s="63">
        <f>IF(tblCommentary[[#This Row],[Date]]="","",tblCommentary[[#This Row],[Date]]&amp;"|"&amp;tblCommentary[[#This Row],[Seq_Day]])</f>
        <v/>
      </c>
    </row>
    <row r="1024">
      <c r="A1024" s="54" t="n"/>
      <c r="B1024" s="61" t="n"/>
      <c r="C1024" s="58" t="n"/>
      <c r="D1024" s="58" t="n"/>
      <c r="E1024" s="64">
        <f>IF(tblCommentary[[#This Row],[Date]]="","",COUNTIFS(INDEX(tblCommentary[Date],1):tblCommentary[[#This Row],[Date]],tblCommentary[[#This Row],[Date]]))</f>
        <v/>
      </c>
      <c r="F1024" s="63">
        <f>IF(tblCommentary[[#This Row],[Date]]="","",tblCommentary[[#This Row],[Date]]&amp;"|"&amp;tblCommentary[[#This Row],[Seq_Day]])</f>
        <v/>
      </c>
    </row>
    <row r="1025">
      <c r="A1025" s="54" t="n"/>
      <c r="B1025" s="61" t="n"/>
      <c r="C1025" s="58" t="n"/>
      <c r="D1025" s="58" t="n"/>
      <c r="E1025" s="64">
        <f>IF(tblCommentary[[#This Row],[Date]]="","",COUNTIFS(INDEX(tblCommentary[Date],1):tblCommentary[[#This Row],[Date]],tblCommentary[[#This Row],[Date]]))</f>
        <v/>
      </c>
      <c r="F1025" s="63">
        <f>IF(tblCommentary[[#This Row],[Date]]="","",tblCommentary[[#This Row],[Date]]&amp;"|"&amp;tblCommentary[[#This Row],[Seq_Day]])</f>
        <v/>
      </c>
    </row>
    <row r="1026">
      <c r="A1026" s="54" t="n"/>
      <c r="B1026" s="61" t="n"/>
      <c r="C1026" s="58" t="n"/>
      <c r="D1026" s="58" t="n"/>
      <c r="E1026" s="64">
        <f>IF(tblCommentary[[#This Row],[Date]]="","",COUNTIFS(INDEX(tblCommentary[Date],1):tblCommentary[[#This Row],[Date]],tblCommentary[[#This Row],[Date]]))</f>
        <v/>
      </c>
      <c r="F1026" s="63">
        <f>IF(tblCommentary[[#This Row],[Date]]="","",tblCommentary[[#This Row],[Date]]&amp;"|"&amp;tblCommentary[[#This Row],[Seq_Day]])</f>
        <v/>
      </c>
    </row>
    <row r="1027">
      <c r="A1027" s="54" t="n"/>
      <c r="B1027" s="61" t="n"/>
      <c r="C1027" s="58" t="n"/>
      <c r="D1027" s="58" t="n"/>
      <c r="E1027" s="64">
        <f>IF(tblCommentary[[#This Row],[Date]]="","",COUNTIFS(INDEX(tblCommentary[Date],1):tblCommentary[[#This Row],[Date]],tblCommentary[[#This Row],[Date]]))</f>
        <v/>
      </c>
      <c r="F1027" s="63">
        <f>IF(tblCommentary[[#This Row],[Date]]="","",tblCommentary[[#This Row],[Date]]&amp;"|"&amp;tblCommentary[[#This Row],[Seq_Day]])</f>
        <v/>
      </c>
    </row>
    <row r="1028">
      <c r="A1028" s="54" t="n"/>
      <c r="B1028" s="61" t="n"/>
      <c r="C1028" s="58" t="n"/>
      <c r="D1028" s="58" t="n"/>
      <c r="E1028" s="64">
        <f>IF(tblCommentary[[#This Row],[Date]]="","",COUNTIFS(INDEX(tblCommentary[Date],1):tblCommentary[[#This Row],[Date]],tblCommentary[[#This Row],[Date]]))</f>
        <v/>
      </c>
      <c r="F1028" s="63">
        <f>IF(tblCommentary[[#This Row],[Date]]="","",tblCommentary[[#This Row],[Date]]&amp;"|"&amp;tblCommentary[[#This Row],[Seq_Day]])</f>
        <v/>
      </c>
    </row>
    <row r="1029">
      <c r="A1029" s="54" t="n"/>
      <c r="B1029" s="61" t="n"/>
      <c r="C1029" s="58" t="n"/>
      <c r="D1029" s="58" t="n"/>
      <c r="E1029" s="64">
        <f>IF(tblCommentary[[#This Row],[Date]]="","",COUNTIFS(INDEX(tblCommentary[Date],1):tblCommentary[[#This Row],[Date]],tblCommentary[[#This Row],[Date]]))</f>
        <v/>
      </c>
      <c r="F1029" s="63">
        <f>IF(tblCommentary[[#This Row],[Date]]="","",tblCommentary[[#This Row],[Date]]&amp;"|"&amp;tblCommentary[[#This Row],[Seq_Day]])</f>
        <v/>
      </c>
    </row>
    <row r="1030">
      <c r="A1030" s="54" t="n"/>
      <c r="B1030" s="61" t="n"/>
      <c r="C1030" s="58" t="n"/>
      <c r="D1030" s="58" t="n"/>
      <c r="E1030" s="64">
        <f>IF(tblCommentary[[#This Row],[Date]]="","",COUNTIFS(INDEX(tblCommentary[Date],1):tblCommentary[[#This Row],[Date]],tblCommentary[[#This Row],[Date]]))</f>
        <v/>
      </c>
      <c r="F1030" s="63">
        <f>IF(tblCommentary[[#This Row],[Date]]="","",tblCommentary[[#This Row],[Date]]&amp;"|"&amp;tblCommentary[[#This Row],[Seq_Day]])</f>
        <v/>
      </c>
    </row>
    <row r="1031">
      <c r="A1031" s="54" t="n"/>
      <c r="B1031" s="61" t="n"/>
      <c r="C1031" s="58" t="n"/>
      <c r="D1031" s="58" t="n"/>
      <c r="E1031" s="64">
        <f>IF(tblCommentary[[#This Row],[Date]]="","",COUNTIFS(INDEX(tblCommentary[Date],1):tblCommentary[[#This Row],[Date]],tblCommentary[[#This Row],[Date]]))</f>
        <v/>
      </c>
      <c r="F1031" s="63">
        <f>IF(tblCommentary[[#This Row],[Date]]="","",tblCommentary[[#This Row],[Date]]&amp;"|"&amp;tblCommentary[[#This Row],[Seq_Day]])</f>
        <v/>
      </c>
    </row>
    <row r="1032">
      <c r="A1032" s="54" t="n"/>
      <c r="B1032" s="61" t="n"/>
      <c r="C1032" s="58" t="n"/>
      <c r="D1032" s="58" t="n"/>
      <c r="E1032" s="64">
        <f>IF(tblCommentary[[#This Row],[Date]]="","",COUNTIFS(INDEX(tblCommentary[Date],1):tblCommentary[[#This Row],[Date]],tblCommentary[[#This Row],[Date]]))</f>
        <v/>
      </c>
      <c r="F1032" s="63">
        <f>IF(tblCommentary[[#This Row],[Date]]="","",tblCommentary[[#This Row],[Date]]&amp;"|"&amp;tblCommentary[[#This Row],[Seq_Day]])</f>
        <v/>
      </c>
    </row>
    <row r="1033">
      <c r="A1033" s="54" t="n"/>
      <c r="B1033" s="61" t="n"/>
      <c r="C1033" s="58" t="n"/>
      <c r="D1033" s="58" t="n"/>
      <c r="E1033" s="64">
        <f>IF(tblCommentary[[#This Row],[Date]]="","",COUNTIFS(INDEX(tblCommentary[Date],1):tblCommentary[[#This Row],[Date]],tblCommentary[[#This Row],[Date]]))</f>
        <v/>
      </c>
      <c r="F1033" s="63">
        <f>IF(tblCommentary[[#This Row],[Date]]="","",tblCommentary[[#This Row],[Date]]&amp;"|"&amp;tblCommentary[[#This Row],[Seq_Day]])</f>
        <v/>
      </c>
    </row>
    <row r="1034">
      <c r="A1034" s="54" t="n"/>
      <c r="B1034" s="61" t="n"/>
      <c r="C1034" s="58" t="n"/>
      <c r="D1034" s="58" t="n"/>
      <c r="E1034" s="64">
        <f>IF(tblCommentary[[#This Row],[Date]]="","",COUNTIFS(INDEX(tblCommentary[Date],1):tblCommentary[[#This Row],[Date]],tblCommentary[[#This Row],[Date]]))</f>
        <v/>
      </c>
      <c r="F1034" s="63">
        <f>IF(tblCommentary[[#This Row],[Date]]="","",tblCommentary[[#This Row],[Date]]&amp;"|"&amp;tblCommentary[[#This Row],[Seq_Day]])</f>
        <v/>
      </c>
    </row>
    <row r="1035">
      <c r="A1035" s="54" t="n"/>
      <c r="B1035" s="61" t="n"/>
      <c r="C1035" s="58" t="n"/>
      <c r="D1035" s="58" t="n"/>
      <c r="E1035" s="64">
        <f>IF(tblCommentary[[#This Row],[Date]]="","",COUNTIFS(INDEX(tblCommentary[Date],1):tblCommentary[[#This Row],[Date]],tblCommentary[[#This Row],[Date]]))</f>
        <v/>
      </c>
      <c r="F1035" s="63">
        <f>IF(tblCommentary[[#This Row],[Date]]="","",tblCommentary[[#This Row],[Date]]&amp;"|"&amp;tblCommentary[[#This Row],[Seq_Day]])</f>
        <v/>
      </c>
    </row>
    <row r="1036">
      <c r="A1036" s="54" t="n"/>
      <c r="B1036" s="61" t="n"/>
      <c r="C1036" s="58" t="n"/>
      <c r="D1036" s="58" t="n"/>
      <c r="E1036" s="64">
        <f>IF(tblCommentary[[#This Row],[Date]]="","",COUNTIFS(INDEX(tblCommentary[Date],1):tblCommentary[[#This Row],[Date]],tblCommentary[[#This Row],[Date]]))</f>
        <v/>
      </c>
      <c r="F1036" s="63">
        <f>IF(tblCommentary[[#This Row],[Date]]="","",tblCommentary[[#This Row],[Date]]&amp;"|"&amp;tblCommentary[[#This Row],[Seq_Day]])</f>
        <v/>
      </c>
    </row>
    <row r="1037">
      <c r="A1037" s="54" t="n"/>
      <c r="B1037" s="61" t="n"/>
      <c r="C1037" s="58" t="n"/>
      <c r="D1037" s="58" t="n"/>
      <c r="E1037" s="64">
        <f>IF(tblCommentary[[#This Row],[Date]]="","",COUNTIFS(INDEX(tblCommentary[Date],1):tblCommentary[[#This Row],[Date]],tblCommentary[[#This Row],[Date]]))</f>
        <v/>
      </c>
      <c r="F1037" s="63">
        <f>IF(tblCommentary[[#This Row],[Date]]="","",tblCommentary[[#This Row],[Date]]&amp;"|"&amp;tblCommentary[[#This Row],[Seq_Day]])</f>
        <v/>
      </c>
    </row>
    <row r="1038">
      <c r="A1038" s="54" t="n"/>
      <c r="B1038" s="61" t="n"/>
      <c r="C1038" s="58" t="n"/>
      <c r="D1038" s="58" t="n"/>
      <c r="E1038" s="64">
        <f>IF(tblCommentary[[#This Row],[Date]]="","",COUNTIFS(INDEX(tblCommentary[Date],1):tblCommentary[[#This Row],[Date]],tblCommentary[[#This Row],[Date]]))</f>
        <v/>
      </c>
      <c r="F1038" s="63">
        <f>IF(tblCommentary[[#This Row],[Date]]="","",tblCommentary[[#This Row],[Date]]&amp;"|"&amp;tblCommentary[[#This Row],[Seq_Day]])</f>
        <v/>
      </c>
    </row>
    <row r="1039">
      <c r="A1039" s="54" t="n"/>
      <c r="B1039" s="61" t="n"/>
      <c r="C1039" s="58" t="n"/>
      <c r="D1039" s="58" t="n"/>
      <c r="E1039" s="64">
        <f>IF(tblCommentary[[#This Row],[Date]]="","",COUNTIFS(INDEX(tblCommentary[Date],1):tblCommentary[[#This Row],[Date]],tblCommentary[[#This Row],[Date]]))</f>
        <v/>
      </c>
      <c r="F1039" s="63">
        <f>IF(tblCommentary[[#This Row],[Date]]="","",tblCommentary[[#This Row],[Date]]&amp;"|"&amp;tblCommentary[[#This Row],[Seq_Day]])</f>
        <v/>
      </c>
    </row>
    <row r="1040">
      <c r="A1040" s="54" t="n"/>
      <c r="B1040" s="61" t="n"/>
      <c r="C1040" s="58" t="n"/>
      <c r="D1040" s="58" t="n"/>
      <c r="E1040" s="64">
        <f>IF(tblCommentary[[#This Row],[Date]]="","",COUNTIFS(INDEX(tblCommentary[Date],1):tblCommentary[[#This Row],[Date]],tblCommentary[[#This Row],[Date]]))</f>
        <v/>
      </c>
      <c r="F1040" s="63">
        <f>IF(tblCommentary[[#This Row],[Date]]="","",tblCommentary[[#This Row],[Date]]&amp;"|"&amp;tblCommentary[[#This Row],[Seq_Day]])</f>
        <v/>
      </c>
    </row>
    <row r="1041">
      <c r="A1041" s="54" t="n"/>
      <c r="B1041" s="61" t="n"/>
      <c r="C1041" s="58" t="n"/>
      <c r="D1041" s="58" t="n"/>
      <c r="E1041" s="64">
        <f>IF(tblCommentary[[#This Row],[Date]]="","",COUNTIFS(INDEX(tblCommentary[Date],1):tblCommentary[[#This Row],[Date]],tblCommentary[[#This Row],[Date]]))</f>
        <v/>
      </c>
      <c r="F1041" s="63">
        <f>IF(tblCommentary[[#This Row],[Date]]="","",tblCommentary[[#This Row],[Date]]&amp;"|"&amp;tblCommentary[[#This Row],[Seq_Day]])</f>
        <v/>
      </c>
    </row>
    <row r="1042">
      <c r="A1042" s="54" t="n"/>
      <c r="B1042" s="61" t="n"/>
      <c r="C1042" s="58" t="n"/>
      <c r="D1042" s="58" t="n"/>
      <c r="E1042" s="64">
        <f>IF(tblCommentary[[#This Row],[Date]]="","",COUNTIFS(INDEX(tblCommentary[Date],1):tblCommentary[[#This Row],[Date]],tblCommentary[[#This Row],[Date]]))</f>
        <v/>
      </c>
      <c r="F1042" s="63">
        <f>IF(tblCommentary[[#This Row],[Date]]="","",tblCommentary[[#This Row],[Date]]&amp;"|"&amp;tblCommentary[[#This Row],[Seq_Day]])</f>
        <v/>
      </c>
    </row>
    <row r="1043">
      <c r="A1043" s="54" t="n"/>
      <c r="B1043" s="61" t="n"/>
      <c r="C1043" s="58" t="n"/>
      <c r="D1043" s="58" t="n"/>
      <c r="E1043" s="64">
        <f>IF(tblCommentary[[#This Row],[Date]]="","",COUNTIFS(INDEX(tblCommentary[Date],1):tblCommentary[[#This Row],[Date]],tblCommentary[[#This Row],[Date]]))</f>
        <v/>
      </c>
      <c r="F1043" s="63">
        <f>IF(tblCommentary[[#This Row],[Date]]="","",tblCommentary[[#This Row],[Date]]&amp;"|"&amp;tblCommentary[[#This Row],[Seq_Day]])</f>
        <v/>
      </c>
    </row>
    <row r="1044">
      <c r="A1044" s="54" t="n"/>
      <c r="B1044" s="61" t="n"/>
      <c r="C1044" s="58" t="n"/>
      <c r="D1044" s="58" t="n"/>
      <c r="E1044" s="64">
        <f>IF(tblCommentary[[#This Row],[Date]]="","",COUNTIFS(INDEX(tblCommentary[Date],1):tblCommentary[[#This Row],[Date]],tblCommentary[[#This Row],[Date]]))</f>
        <v/>
      </c>
      <c r="F1044" s="63">
        <f>IF(tblCommentary[[#This Row],[Date]]="","",tblCommentary[[#This Row],[Date]]&amp;"|"&amp;tblCommentary[[#This Row],[Seq_Day]])</f>
        <v/>
      </c>
    </row>
    <row r="1045">
      <c r="A1045" s="54" t="n"/>
      <c r="B1045" s="61" t="n"/>
      <c r="C1045" s="58" t="n"/>
      <c r="D1045" s="58" t="n"/>
      <c r="E1045" s="64">
        <f>IF(tblCommentary[[#This Row],[Date]]="","",COUNTIFS(INDEX(tblCommentary[Date],1):tblCommentary[[#This Row],[Date]],tblCommentary[[#This Row],[Date]]))</f>
        <v/>
      </c>
      <c r="F1045" s="63">
        <f>IF(tblCommentary[[#This Row],[Date]]="","",tblCommentary[[#This Row],[Date]]&amp;"|"&amp;tblCommentary[[#This Row],[Seq_Day]])</f>
        <v/>
      </c>
    </row>
    <row r="1046">
      <c r="A1046" s="54" t="n"/>
      <c r="B1046" s="61" t="n"/>
      <c r="C1046" s="58" t="n"/>
      <c r="D1046" s="58" t="n"/>
      <c r="E1046" s="64">
        <f>IF(tblCommentary[[#This Row],[Date]]="","",COUNTIFS(INDEX(tblCommentary[Date],1):tblCommentary[[#This Row],[Date]],tblCommentary[[#This Row],[Date]]))</f>
        <v/>
      </c>
      <c r="F1046" s="63">
        <f>IF(tblCommentary[[#This Row],[Date]]="","",tblCommentary[[#This Row],[Date]]&amp;"|"&amp;tblCommentary[[#This Row],[Seq_Day]])</f>
        <v/>
      </c>
    </row>
    <row r="1047">
      <c r="A1047" s="54" t="n"/>
      <c r="B1047" s="61" t="n"/>
      <c r="C1047" s="58" t="n"/>
      <c r="D1047" s="58" t="n"/>
      <c r="E1047" s="64">
        <f>IF(tblCommentary[[#This Row],[Date]]="","",COUNTIFS(INDEX(tblCommentary[Date],1):tblCommentary[[#This Row],[Date]],tblCommentary[[#This Row],[Date]]))</f>
        <v/>
      </c>
      <c r="F1047" s="63">
        <f>IF(tblCommentary[[#This Row],[Date]]="","",tblCommentary[[#This Row],[Date]]&amp;"|"&amp;tblCommentary[[#This Row],[Seq_Day]])</f>
        <v/>
      </c>
    </row>
    <row r="1048">
      <c r="A1048" s="54" t="n"/>
      <c r="B1048" s="61" t="n"/>
      <c r="C1048" s="58" t="n"/>
      <c r="D1048" s="58" t="n"/>
      <c r="E1048" s="64">
        <f>IF(tblCommentary[[#This Row],[Date]]="","",COUNTIFS(INDEX(tblCommentary[Date],1):tblCommentary[[#This Row],[Date]],tblCommentary[[#This Row],[Date]]))</f>
        <v/>
      </c>
      <c r="F1048" s="63">
        <f>IF(tblCommentary[[#This Row],[Date]]="","",tblCommentary[[#This Row],[Date]]&amp;"|"&amp;tblCommentary[[#This Row],[Seq_Day]])</f>
        <v/>
      </c>
    </row>
    <row r="1049">
      <c r="A1049" s="54" t="n"/>
      <c r="B1049" s="61" t="n"/>
      <c r="C1049" s="58" t="n"/>
      <c r="D1049" s="58" t="n"/>
      <c r="E1049" s="64">
        <f>IF(tblCommentary[[#This Row],[Date]]="","",COUNTIFS(INDEX(tblCommentary[Date],1):tblCommentary[[#This Row],[Date]],tblCommentary[[#This Row],[Date]]))</f>
        <v/>
      </c>
      <c r="F1049" s="63">
        <f>IF(tblCommentary[[#This Row],[Date]]="","",tblCommentary[[#This Row],[Date]]&amp;"|"&amp;tblCommentary[[#This Row],[Seq_Day]])</f>
        <v/>
      </c>
    </row>
    <row r="1050">
      <c r="A1050" s="54" t="n"/>
      <c r="B1050" s="61" t="n"/>
      <c r="C1050" s="58" t="n"/>
      <c r="D1050" s="58" t="n"/>
      <c r="E1050" s="64">
        <f>IF(tblCommentary[[#This Row],[Date]]="","",COUNTIFS(INDEX(tblCommentary[Date],1):tblCommentary[[#This Row],[Date]],tblCommentary[[#This Row],[Date]]))</f>
        <v/>
      </c>
      <c r="F1050" s="63">
        <f>IF(tblCommentary[[#This Row],[Date]]="","",tblCommentary[[#This Row],[Date]]&amp;"|"&amp;tblCommentary[[#This Row],[Seq_Day]])</f>
        <v/>
      </c>
    </row>
    <row r="1051">
      <c r="A1051" s="54" t="n"/>
      <c r="B1051" s="61" t="n"/>
      <c r="C1051" s="58" t="n"/>
      <c r="D1051" s="58" t="n"/>
      <c r="E1051" s="64">
        <f>IF(tblCommentary[[#This Row],[Date]]="","",COUNTIFS(INDEX(tblCommentary[Date],1):tblCommentary[[#This Row],[Date]],tblCommentary[[#This Row],[Date]]))</f>
        <v/>
      </c>
      <c r="F1051" s="63">
        <f>IF(tblCommentary[[#This Row],[Date]]="","",tblCommentary[[#This Row],[Date]]&amp;"|"&amp;tblCommentary[[#This Row],[Seq_Day]])</f>
        <v/>
      </c>
    </row>
    <row r="1052">
      <c r="A1052" s="54" t="n"/>
      <c r="B1052" s="61" t="n"/>
      <c r="C1052" s="58" t="n"/>
      <c r="D1052" s="58" t="n"/>
      <c r="E1052" s="64">
        <f>IF(tblCommentary[[#This Row],[Date]]="","",COUNTIFS(INDEX(tblCommentary[Date],1):tblCommentary[[#This Row],[Date]],tblCommentary[[#This Row],[Date]]))</f>
        <v/>
      </c>
      <c r="F1052" s="63">
        <f>IF(tblCommentary[[#This Row],[Date]]="","",tblCommentary[[#This Row],[Date]]&amp;"|"&amp;tblCommentary[[#This Row],[Seq_Day]])</f>
        <v/>
      </c>
    </row>
    <row r="1053">
      <c r="A1053" s="54" t="n"/>
      <c r="B1053" s="61" t="n"/>
      <c r="C1053" s="58" t="n"/>
      <c r="D1053" s="58" t="n"/>
      <c r="E1053" s="64">
        <f>IF(tblCommentary[[#This Row],[Date]]="","",COUNTIFS(INDEX(tblCommentary[Date],1):tblCommentary[[#This Row],[Date]],tblCommentary[[#This Row],[Date]]))</f>
        <v/>
      </c>
      <c r="F1053" s="63">
        <f>IF(tblCommentary[[#This Row],[Date]]="","",tblCommentary[[#This Row],[Date]]&amp;"|"&amp;tblCommentary[[#This Row],[Seq_Day]])</f>
        <v/>
      </c>
    </row>
    <row r="1054">
      <c r="A1054" s="54" t="n"/>
      <c r="B1054" s="61" t="n"/>
      <c r="C1054" s="58" t="n"/>
      <c r="D1054" s="58" t="n"/>
      <c r="E1054" s="64">
        <f>IF(tblCommentary[[#This Row],[Date]]="","",COUNTIFS(INDEX(tblCommentary[Date],1):tblCommentary[[#This Row],[Date]],tblCommentary[[#This Row],[Date]]))</f>
        <v/>
      </c>
      <c r="F1054" s="63">
        <f>IF(tblCommentary[[#This Row],[Date]]="","",tblCommentary[[#This Row],[Date]]&amp;"|"&amp;tblCommentary[[#This Row],[Seq_Day]])</f>
        <v/>
      </c>
    </row>
    <row r="1055">
      <c r="A1055" s="54" t="n"/>
      <c r="B1055" s="61" t="n"/>
      <c r="C1055" s="58" t="n"/>
      <c r="D1055" s="58" t="n"/>
      <c r="E1055" s="64">
        <f>IF(tblCommentary[[#This Row],[Date]]="","",COUNTIFS(INDEX(tblCommentary[Date],1):tblCommentary[[#This Row],[Date]],tblCommentary[[#This Row],[Date]]))</f>
        <v/>
      </c>
      <c r="F1055" s="63">
        <f>IF(tblCommentary[[#This Row],[Date]]="","",tblCommentary[[#This Row],[Date]]&amp;"|"&amp;tblCommentary[[#This Row],[Seq_Day]])</f>
        <v/>
      </c>
    </row>
    <row r="1056">
      <c r="A1056" s="54" t="n"/>
      <c r="B1056" s="61" t="n"/>
      <c r="C1056" s="58" t="n"/>
      <c r="D1056" s="58" t="n"/>
      <c r="E1056" s="64">
        <f>IF(tblCommentary[[#This Row],[Date]]="","",COUNTIFS(INDEX(tblCommentary[Date],1):tblCommentary[[#This Row],[Date]],tblCommentary[[#This Row],[Date]]))</f>
        <v/>
      </c>
      <c r="F1056" s="63">
        <f>IF(tblCommentary[[#This Row],[Date]]="","",tblCommentary[[#This Row],[Date]]&amp;"|"&amp;tblCommentary[[#This Row],[Seq_Day]])</f>
        <v/>
      </c>
    </row>
    <row r="1057">
      <c r="A1057" s="54" t="n"/>
      <c r="B1057" s="61" t="n"/>
      <c r="C1057" s="58" t="n"/>
      <c r="D1057" s="58" t="n"/>
      <c r="E1057" s="64">
        <f>IF(tblCommentary[[#This Row],[Date]]="","",COUNTIFS(INDEX(tblCommentary[Date],1):tblCommentary[[#This Row],[Date]],tblCommentary[[#This Row],[Date]]))</f>
        <v/>
      </c>
      <c r="F1057" s="63">
        <f>IF(tblCommentary[[#This Row],[Date]]="","",tblCommentary[[#This Row],[Date]]&amp;"|"&amp;tblCommentary[[#This Row],[Seq_Day]])</f>
        <v/>
      </c>
    </row>
    <row r="1058">
      <c r="A1058" s="54" t="n"/>
      <c r="B1058" s="61" t="n"/>
      <c r="C1058" s="58" t="n"/>
      <c r="D1058" s="58" t="n"/>
      <c r="E1058" s="64">
        <f>IF(tblCommentary[[#This Row],[Date]]="","",COUNTIFS(INDEX(tblCommentary[Date],1):tblCommentary[[#This Row],[Date]],tblCommentary[[#This Row],[Date]]))</f>
        <v/>
      </c>
      <c r="F1058" s="63">
        <f>IF(tblCommentary[[#This Row],[Date]]="","",tblCommentary[[#This Row],[Date]]&amp;"|"&amp;tblCommentary[[#This Row],[Seq_Day]])</f>
        <v/>
      </c>
    </row>
    <row r="1059">
      <c r="A1059" s="54" t="n"/>
      <c r="B1059" s="61" t="n"/>
      <c r="C1059" s="58" t="n"/>
      <c r="D1059" s="58" t="n"/>
      <c r="E1059" s="64">
        <f>IF(tblCommentary[[#This Row],[Date]]="","",COUNTIFS(INDEX(tblCommentary[Date],1):tblCommentary[[#This Row],[Date]],tblCommentary[[#This Row],[Date]]))</f>
        <v/>
      </c>
      <c r="F1059" s="63">
        <f>IF(tblCommentary[[#This Row],[Date]]="","",tblCommentary[[#This Row],[Date]]&amp;"|"&amp;tblCommentary[[#This Row],[Seq_Day]])</f>
        <v/>
      </c>
    </row>
    <row r="1060">
      <c r="A1060" s="54" t="n"/>
      <c r="B1060" s="61" t="n"/>
      <c r="C1060" s="58" t="n"/>
      <c r="D1060" s="58" t="n"/>
      <c r="E1060" s="64">
        <f>IF(tblCommentary[[#This Row],[Date]]="","",COUNTIFS(INDEX(tblCommentary[Date],1):tblCommentary[[#This Row],[Date]],tblCommentary[[#This Row],[Date]]))</f>
        <v/>
      </c>
      <c r="F1060" s="63">
        <f>IF(tblCommentary[[#This Row],[Date]]="","",tblCommentary[[#This Row],[Date]]&amp;"|"&amp;tblCommentary[[#This Row],[Seq_Day]])</f>
        <v/>
      </c>
    </row>
    <row r="1061">
      <c r="A1061" s="54" t="n"/>
      <c r="B1061" s="61" t="n"/>
      <c r="C1061" s="58" t="n"/>
      <c r="D1061" s="58" t="n"/>
      <c r="E1061" s="64">
        <f>IF(tblCommentary[[#This Row],[Date]]="","",COUNTIFS(INDEX(tblCommentary[Date],1):tblCommentary[[#This Row],[Date]],tblCommentary[[#This Row],[Date]]))</f>
        <v/>
      </c>
      <c r="F1061" s="63">
        <f>IF(tblCommentary[[#This Row],[Date]]="","",tblCommentary[[#This Row],[Date]]&amp;"|"&amp;tblCommentary[[#This Row],[Seq_Day]])</f>
        <v/>
      </c>
    </row>
    <row r="1062">
      <c r="A1062" s="54" t="n"/>
      <c r="B1062" s="61" t="n"/>
      <c r="C1062" s="58" t="n"/>
      <c r="D1062" s="58" t="n"/>
      <c r="E1062" s="64">
        <f>IF(tblCommentary[[#This Row],[Date]]="","",COUNTIFS(INDEX(tblCommentary[Date],1):tblCommentary[[#This Row],[Date]],tblCommentary[[#This Row],[Date]]))</f>
        <v/>
      </c>
      <c r="F1062" s="63">
        <f>IF(tblCommentary[[#This Row],[Date]]="","",tblCommentary[[#This Row],[Date]]&amp;"|"&amp;tblCommentary[[#This Row],[Seq_Day]])</f>
        <v/>
      </c>
    </row>
    <row r="1063">
      <c r="A1063" s="54" t="n"/>
      <c r="B1063" s="61" t="n"/>
      <c r="C1063" s="58" t="n"/>
      <c r="D1063" s="58" t="n"/>
      <c r="E1063" s="64">
        <f>IF(tblCommentary[[#This Row],[Date]]="","",COUNTIFS(INDEX(tblCommentary[Date],1):tblCommentary[[#This Row],[Date]],tblCommentary[[#This Row],[Date]]))</f>
        <v/>
      </c>
      <c r="F1063" s="63">
        <f>IF(tblCommentary[[#This Row],[Date]]="","",tblCommentary[[#This Row],[Date]]&amp;"|"&amp;tblCommentary[[#This Row],[Seq_Day]])</f>
        <v/>
      </c>
    </row>
    <row r="1064">
      <c r="A1064" s="54" t="n"/>
      <c r="B1064" s="61" t="n"/>
      <c r="C1064" s="58" t="n"/>
      <c r="D1064" s="58" t="n"/>
      <c r="E1064" s="64">
        <f>IF(tblCommentary[[#This Row],[Date]]="","",COUNTIFS(INDEX(tblCommentary[Date],1):tblCommentary[[#This Row],[Date]],tblCommentary[[#This Row],[Date]]))</f>
        <v/>
      </c>
      <c r="F1064" s="63">
        <f>IF(tblCommentary[[#This Row],[Date]]="","",tblCommentary[[#This Row],[Date]]&amp;"|"&amp;tblCommentary[[#This Row],[Seq_Day]])</f>
        <v/>
      </c>
    </row>
    <row r="1065">
      <c r="A1065" s="54" t="n"/>
      <c r="B1065" s="61" t="n"/>
      <c r="C1065" s="58" t="n"/>
      <c r="D1065" s="58" t="n"/>
      <c r="E1065" s="64">
        <f>IF(tblCommentary[[#This Row],[Date]]="","",COUNTIFS(INDEX(tblCommentary[Date],1):tblCommentary[[#This Row],[Date]],tblCommentary[[#This Row],[Date]]))</f>
        <v/>
      </c>
      <c r="F1065" s="63">
        <f>IF(tblCommentary[[#This Row],[Date]]="","",tblCommentary[[#This Row],[Date]]&amp;"|"&amp;tblCommentary[[#This Row],[Seq_Day]])</f>
        <v/>
      </c>
    </row>
    <row r="1066">
      <c r="A1066" s="54" t="n"/>
      <c r="B1066" s="61" t="n"/>
      <c r="C1066" s="58" t="n"/>
      <c r="D1066" s="58" t="n"/>
      <c r="E1066" s="64">
        <f>IF(tblCommentary[[#This Row],[Date]]="","",COUNTIFS(INDEX(tblCommentary[Date],1):tblCommentary[[#This Row],[Date]],tblCommentary[[#This Row],[Date]]))</f>
        <v/>
      </c>
      <c r="F1066" s="63">
        <f>IF(tblCommentary[[#This Row],[Date]]="","",tblCommentary[[#This Row],[Date]]&amp;"|"&amp;tblCommentary[[#This Row],[Seq_Day]])</f>
        <v/>
      </c>
    </row>
    <row r="1067">
      <c r="A1067" s="54" t="n"/>
      <c r="B1067" s="61" t="n"/>
      <c r="C1067" s="58" t="n"/>
      <c r="D1067" s="58" t="n"/>
      <c r="E1067" s="64">
        <f>IF(tblCommentary[[#This Row],[Date]]="","",COUNTIFS(INDEX(tblCommentary[Date],1):tblCommentary[[#This Row],[Date]],tblCommentary[[#This Row],[Date]]))</f>
        <v/>
      </c>
      <c r="F1067" s="63">
        <f>IF(tblCommentary[[#This Row],[Date]]="","",tblCommentary[[#This Row],[Date]]&amp;"|"&amp;tblCommentary[[#This Row],[Seq_Day]])</f>
        <v/>
      </c>
    </row>
    <row r="1068">
      <c r="A1068" s="54" t="n"/>
      <c r="B1068" s="61" t="n"/>
      <c r="C1068" s="58" t="n"/>
      <c r="D1068" s="58" t="n"/>
      <c r="E1068" s="64">
        <f>IF(tblCommentary[[#This Row],[Date]]="","",COUNTIFS(INDEX(tblCommentary[Date],1):tblCommentary[[#This Row],[Date]],tblCommentary[[#This Row],[Date]]))</f>
        <v/>
      </c>
      <c r="F1068" s="63">
        <f>IF(tblCommentary[[#This Row],[Date]]="","",tblCommentary[[#This Row],[Date]]&amp;"|"&amp;tblCommentary[[#This Row],[Seq_Day]])</f>
        <v/>
      </c>
    </row>
    <row r="1069">
      <c r="A1069" s="54" t="n"/>
      <c r="B1069" s="61" t="n"/>
      <c r="C1069" s="58" t="n"/>
      <c r="D1069" s="58" t="n"/>
      <c r="E1069" s="64">
        <f>IF(tblCommentary[[#This Row],[Date]]="","",COUNTIFS(INDEX(tblCommentary[Date],1):tblCommentary[[#This Row],[Date]],tblCommentary[[#This Row],[Date]]))</f>
        <v/>
      </c>
      <c r="F1069" s="63">
        <f>IF(tblCommentary[[#This Row],[Date]]="","",tblCommentary[[#This Row],[Date]]&amp;"|"&amp;tblCommentary[[#This Row],[Seq_Day]])</f>
        <v/>
      </c>
    </row>
    <row r="1070">
      <c r="A1070" s="54" t="n"/>
      <c r="B1070" s="61" t="n"/>
      <c r="C1070" s="58" t="n"/>
      <c r="D1070" s="58" t="n"/>
      <c r="E1070" s="64">
        <f>IF(tblCommentary[[#This Row],[Date]]="","",COUNTIFS(INDEX(tblCommentary[Date],1):tblCommentary[[#This Row],[Date]],tblCommentary[[#This Row],[Date]]))</f>
        <v/>
      </c>
      <c r="F1070" s="63">
        <f>IF(tblCommentary[[#This Row],[Date]]="","",tblCommentary[[#This Row],[Date]]&amp;"|"&amp;tblCommentary[[#This Row],[Seq_Day]])</f>
        <v/>
      </c>
    </row>
    <row r="1071">
      <c r="A1071" s="54" t="n"/>
      <c r="B1071" s="61" t="n"/>
      <c r="C1071" s="58" t="n"/>
      <c r="D1071" s="58" t="n"/>
      <c r="E1071" s="64">
        <f>IF(tblCommentary[[#This Row],[Date]]="","",COUNTIFS(INDEX(tblCommentary[Date],1):tblCommentary[[#This Row],[Date]],tblCommentary[[#This Row],[Date]]))</f>
        <v/>
      </c>
      <c r="F1071" s="63">
        <f>IF(tblCommentary[[#This Row],[Date]]="","",tblCommentary[[#This Row],[Date]]&amp;"|"&amp;tblCommentary[[#This Row],[Seq_Day]])</f>
        <v/>
      </c>
    </row>
    <row r="1072">
      <c r="A1072" s="54" t="n"/>
      <c r="B1072" s="61" t="n"/>
      <c r="C1072" s="58" t="n"/>
      <c r="D1072" s="58" t="n"/>
      <c r="E1072" s="64">
        <f>IF(tblCommentary[[#This Row],[Date]]="","",COUNTIFS(INDEX(tblCommentary[Date],1):tblCommentary[[#This Row],[Date]],tblCommentary[[#This Row],[Date]]))</f>
        <v/>
      </c>
      <c r="F1072" s="63">
        <f>IF(tblCommentary[[#This Row],[Date]]="","",tblCommentary[[#This Row],[Date]]&amp;"|"&amp;tblCommentary[[#This Row],[Seq_Day]])</f>
        <v/>
      </c>
    </row>
    <row r="1073">
      <c r="A1073" s="54" t="n"/>
      <c r="B1073" s="61" t="n"/>
      <c r="C1073" s="58" t="n"/>
      <c r="D1073" s="58" t="n"/>
      <c r="E1073" s="64">
        <f>IF(tblCommentary[[#This Row],[Date]]="","",COUNTIFS(INDEX(tblCommentary[Date],1):tblCommentary[[#This Row],[Date]],tblCommentary[[#This Row],[Date]]))</f>
        <v/>
      </c>
      <c r="F1073" s="63">
        <f>IF(tblCommentary[[#This Row],[Date]]="","",tblCommentary[[#This Row],[Date]]&amp;"|"&amp;tblCommentary[[#This Row],[Seq_Day]])</f>
        <v/>
      </c>
    </row>
    <row r="1074">
      <c r="A1074" s="54" t="n"/>
      <c r="B1074" s="61" t="n"/>
      <c r="C1074" s="58" t="n"/>
      <c r="D1074" s="58" t="n"/>
      <c r="E1074" s="64">
        <f>IF(tblCommentary[[#This Row],[Date]]="","",COUNTIFS(INDEX(tblCommentary[Date],1):tblCommentary[[#This Row],[Date]],tblCommentary[[#This Row],[Date]]))</f>
        <v/>
      </c>
      <c r="F1074" s="63">
        <f>IF(tblCommentary[[#This Row],[Date]]="","",tblCommentary[[#This Row],[Date]]&amp;"|"&amp;tblCommentary[[#This Row],[Seq_Day]])</f>
        <v/>
      </c>
    </row>
    <row r="1075">
      <c r="A1075" s="54" t="n"/>
      <c r="B1075" s="61" t="n"/>
      <c r="C1075" s="58" t="n"/>
      <c r="D1075" s="58" t="n"/>
      <c r="E1075" s="64">
        <f>IF(tblCommentary[[#This Row],[Date]]="","",COUNTIFS(INDEX(tblCommentary[Date],1):tblCommentary[[#This Row],[Date]],tblCommentary[[#This Row],[Date]]))</f>
        <v/>
      </c>
      <c r="F1075" s="63">
        <f>IF(tblCommentary[[#This Row],[Date]]="","",tblCommentary[[#This Row],[Date]]&amp;"|"&amp;tblCommentary[[#This Row],[Seq_Day]])</f>
        <v/>
      </c>
    </row>
    <row r="1076">
      <c r="A1076" s="54" t="n"/>
      <c r="B1076" s="61" t="n"/>
      <c r="C1076" s="58" t="n"/>
      <c r="D1076" s="58" t="n"/>
      <c r="E1076" s="64">
        <f>IF(tblCommentary[[#This Row],[Date]]="","",COUNTIFS(INDEX(tblCommentary[Date],1):tblCommentary[[#This Row],[Date]],tblCommentary[[#This Row],[Date]]))</f>
        <v/>
      </c>
      <c r="F1076" s="63">
        <f>IF(tblCommentary[[#This Row],[Date]]="","",tblCommentary[[#This Row],[Date]]&amp;"|"&amp;tblCommentary[[#This Row],[Seq_Day]])</f>
        <v/>
      </c>
    </row>
    <row r="1077">
      <c r="A1077" s="54" t="n"/>
      <c r="B1077" s="61" t="n"/>
      <c r="C1077" s="58" t="n"/>
      <c r="D1077" s="58" t="n"/>
      <c r="E1077" s="64">
        <f>IF(tblCommentary[[#This Row],[Date]]="","",COUNTIFS(INDEX(tblCommentary[Date],1):tblCommentary[[#This Row],[Date]],tblCommentary[[#This Row],[Date]]))</f>
        <v/>
      </c>
      <c r="F1077" s="63">
        <f>IF(tblCommentary[[#This Row],[Date]]="","",tblCommentary[[#This Row],[Date]]&amp;"|"&amp;tblCommentary[[#This Row],[Seq_Day]])</f>
        <v/>
      </c>
    </row>
    <row r="1078">
      <c r="A1078" s="54" t="n"/>
      <c r="B1078" s="61" t="n"/>
      <c r="C1078" s="58" t="n"/>
      <c r="D1078" s="58" t="n"/>
      <c r="E1078" s="64">
        <f>IF(tblCommentary[[#This Row],[Date]]="","",COUNTIFS(INDEX(tblCommentary[Date],1):tblCommentary[[#This Row],[Date]],tblCommentary[[#This Row],[Date]]))</f>
        <v/>
      </c>
      <c r="F1078" s="63">
        <f>IF(tblCommentary[[#This Row],[Date]]="","",tblCommentary[[#This Row],[Date]]&amp;"|"&amp;tblCommentary[[#This Row],[Seq_Day]])</f>
        <v/>
      </c>
    </row>
    <row r="1079">
      <c r="A1079" s="54" t="n"/>
      <c r="B1079" s="61" t="n"/>
      <c r="C1079" s="58" t="n"/>
      <c r="D1079" s="58" t="n"/>
      <c r="E1079" s="64">
        <f>IF(tblCommentary[[#This Row],[Date]]="","",COUNTIFS(INDEX(tblCommentary[Date],1):tblCommentary[[#This Row],[Date]],tblCommentary[[#This Row],[Date]]))</f>
        <v/>
      </c>
      <c r="F1079" s="63">
        <f>IF(tblCommentary[[#This Row],[Date]]="","",tblCommentary[[#This Row],[Date]]&amp;"|"&amp;tblCommentary[[#This Row],[Seq_Day]])</f>
        <v/>
      </c>
    </row>
    <row r="1080">
      <c r="A1080" s="54" t="n"/>
      <c r="B1080" s="61" t="n"/>
      <c r="C1080" s="58" t="n"/>
      <c r="D1080" s="58" t="n"/>
      <c r="E1080" s="64">
        <f>IF(tblCommentary[[#This Row],[Date]]="","",COUNTIFS(INDEX(tblCommentary[Date],1):tblCommentary[[#This Row],[Date]],tblCommentary[[#This Row],[Date]]))</f>
        <v/>
      </c>
      <c r="F1080" s="63">
        <f>IF(tblCommentary[[#This Row],[Date]]="","",tblCommentary[[#This Row],[Date]]&amp;"|"&amp;tblCommentary[[#This Row],[Seq_Day]])</f>
        <v/>
      </c>
    </row>
    <row r="1081">
      <c r="A1081" s="54" t="n"/>
      <c r="B1081" s="61" t="n"/>
      <c r="C1081" s="58" t="n"/>
      <c r="D1081" s="58" t="n"/>
      <c r="E1081" s="64">
        <f>IF(tblCommentary[[#This Row],[Date]]="","",COUNTIFS(INDEX(tblCommentary[Date],1):tblCommentary[[#This Row],[Date]],tblCommentary[[#This Row],[Date]]))</f>
        <v/>
      </c>
      <c r="F1081" s="63">
        <f>IF(tblCommentary[[#This Row],[Date]]="","",tblCommentary[[#This Row],[Date]]&amp;"|"&amp;tblCommentary[[#This Row],[Seq_Day]])</f>
        <v/>
      </c>
    </row>
    <row r="1082">
      <c r="A1082" s="54" t="n"/>
      <c r="B1082" s="61" t="n"/>
      <c r="C1082" s="58" t="n"/>
      <c r="D1082" s="58" t="n"/>
      <c r="E1082" s="64">
        <f>IF(tblCommentary[[#This Row],[Date]]="","",COUNTIFS(INDEX(tblCommentary[Date],1):tblCommentary[[#This Row],[Date]],tblCommentary[[#This Row],[Date]]))</f>
        <v/>
      </c>
      <c r="F1082" s="63">
        <f>IF(tblCommentary[[#This Row],[Date]]="","",tblCommentary[[#This Row],[Date]]&amp;"|"&amp;tblCommentary[[#This Row],[Seq_Day]])</f>
        <v/>
      </c>
    </row>
    <row r="1083">
      <c r="A1083" s="54" t="n"/>
      <c r="B1083" s="61" t="n"/>
      <c r="C1083" s="58" t="n"/>
      <c r="D1083" s="58" t="n"/>
      <c r="E1083" s="64">
        <f>IF(tblCommentary[[#This Row],[Date]]="","",COUNTIFS(INDEX(tblCommentary[Date],1):tblCommentary[[#This Row],[Date]],tblCommentary[[#This Row],[Date]]))</f>
        <v/>
      </c>
      <c r="F1083" s="63">
        <f>IF(tblCommentary[[#This Row],[Date]]="","",tblCommentary[[#This Row],[Date]]&amp;"|"&amp;tblCommentary[[#This Row],[Seq_Day]])</f>
        <v/>
      </c>
    </row>
    <row r="1084">
      <c r="A1084" s="54" t="n"/>
      <c r="B1084" s="61" t="n"/>
      <c r="C1084" s="58" t="n"/>
      <c r="D1084" s="58" t="n"/>
      <c r="E1084" s="64">
        <f>IF(tblCommentary[[#This Row],[Date]]="","",COUNTIFS(INDEX(tblCommentary[Date],1):tblCommentary[[#This Row],[Date]],tblCommentary[[#This Row],[Date]]))</f>
        <v/>
      </c>
      <c r="F1084" s="63">
        <f>IF(tblCommentary[[#This Row],[Date]]="","",tblCommentary[[#This Row],[Date]]&amp;"|"&amp;tblCommentary[[#This Row],[Seq_Day]])</f>
        <v/>
      </c>
    </row>
    <row r="1085">
      <c r="A1085" s="54" t="n"/>
      <c r="B1085" s="61" t="n"/>
      <c r="C1085" s="58" t="n"/>
      <c r="D1085" s="58" t="n"/>
      <c r="E1085" s="64">
        <f>IF(tblCommentary[[#This Row],[Date]]="","",COUNTIFS(INDEX(tblCommentary[Date],1):tblCommentary[[#This Row],[Date]],tblCommentary[[#This Row],[Date]]))</f>
        <v/>
      </c>
      <c r="F1085" s="63">
        <f>IF(tblCommentary[[#This Row],[Date]]="","",tblCommentary[[#This Row],[Date]]&amp;"|"&amp;tblCommentary[[#This Row],[Seq_Day]])</f>
        <v/>
      </c>
    </row>
    <row r="1086">
      <c r="A1086" s="54" t="n"/>
      <c r="B1086" s="61" t="n"/>
      <c r="C1086" s="58" t="n"/>
      <c r="D1086" s="58" t="n"/>
      <c r="E1086" s="64">
        <f>IF(tblCommentary[[#This Row],[Date]]="","",COUNTIFS(INDEX(tblCommentary[Date],1):tblCommentary[[#This Row],[Date]],tblCommentary[[#This Row],[Date]]))</f>
        <v/>
      </c>
      <c r="F1086" s="63">
        <f>IF(tblCommentary[[#This Row],[Date]]="","",tblCommentary[[#This Row],[Date]]&amp;"|"&amp;tblCommentary[[#This Row],[Seq_Day]])</f>
        <v/>
      </c>
    </row>
    <row r="1087">
      <c r="A1087" s="54" t="n"/>
      <c r="B1087" s="61" t="n"/>
      <c r="C1087" s="58" t="n"/>
      <c r="D1087" s="58" t="n"/>
      <c r="E1087" s="64">
        <f>IF(tblCommentary[[#This Row],[Date]]="","",COUNTIFS(INDEX(tblCommentary[Date],1):tblCommentary[[#This Row],[Date]],tblCommentary[[#This Row],[Date]]))</f>
        <v/>
      </c>
      <c r="F1087" s="63">
        <f>IF(tblCommentary[[#This Row],[Date]]="","",tblCommentary[[#This Row],[Date]]&amp;"|"&amp;tblCommentary[[#This Row],[Seq_Day]])</f>
        <v/>
      </c>
    </row>
    <row r="1088">
      <c r="A1088" s="54" t="n"/>
      <c r="B1088" s="61" t="n"/>
      <c r="C1088" s="58" t="n"/>
      <c r="D1088" s="58" t="n"/>
      <c r="E1088" s="64">
        <f>IF(tblCommentary[[#This Row],[Date]]="","",COUNTIFS(INDEX(tblCommentary[Date],1):tblCommentary[[#This Row],[Date]],tblCommentary[[#This Row],[Date]]))</f>
        <v/>
      </c>
      <c r="F1088" s="63">
        <f>IF(tblCommentary[[#This Row],[Date]]="","",tblCommentary[[#This Row],[Date]]&amp;"|"&amp;tblCommentary[[#This Row],[Seq_Day]])</f>
        <v/>
      </c>
    </row>
    <row r="1089">
      <c r="A1089" s="54" t="n"/>
      <c r="B1089" s="61" t="n"/>
      <c r="C1089" s="58" t="n"/>
      <c r="D1089" s="58" t="n"/>
      <c r="E1089" s="64">
        <f>IF(tblCommentary[[#This Row],[Date]]="","",COUNTIFS(INDEX(tblCommentary[Date],1):tblCommentary[[#This Row],[Date]],tblCommentary[[#This Row],[Date]]))</f>
        <v/>
      </c>
      <c r="F1089" s="63">
        <f>IF(tblCommentary[[#This Row],[Date]]="","",tblCommentary[[#This Row],[Date]]&amp;"|"&amp;tblCommentary[[#This Row],[Seq_Day]])</f>
        <v/>
      </c>
    </row>
    <row r="1090">
      <c r="A1090" s="54" t="n"/>
      <c r="B1090" s="61" t="n"/>
      <c r="C1090" s="58" t="n"/>
      <c r="D1090" s="58" t="n"/>
      <c r="E1090" s="64">
        <f>IF(tblCommentary[[#This Row],[Date]]="","",COUNTIFS(INDEX(tblCommentary[Date],1):tblCommentary[[#This Row],[Date]],tblCommentary[[#This Row],[Date]]))</f>
        <v/>
      </c>
      <c r="F1090" s="63">
        <f>IF(tblCommentary[[#This Row],[Date]]="","",tblCommentary[[#This Row],[Date]]&amp;"|"&amp;tblCommentary[[#This Row],[Seq_Day]])</f>
        <v/>
      </c>
    </row>
    <row r="1091">
      <c r="A1091" s="54" t="n"/>
      <c r="B1091" s="61" t="n"/>
      <c r="C1091" s="58" t="n"/>
      <c r="D1091" s="58" t="n"/>
      <c r="E1091" s="64">
        <f>IF(tblCommentary[[#This Row],[Date]]="","",COUNTIFS(INDEX(tblCommentary[Date],1):tblCommentary[[#This Row],[Date]],tblCommentary[[#This Row],[Date]]))</f>
        <v/>
      </c>
      <c r="F1091" s="63">
        <f>IF(tblCommentary[[#This Row],[Date]]="","",tblCommentary[[#This Row],[Date]]&amp;"|"&amp;tblCommentary[[#This Row],[Seq_Day]])</f>
        <v/>
      </c>
    </row>
    <row r="1092">
      <c r="A1092" s="54" t="n"/>
      <c r="B1092" s="61" t="n"/>
      <c r="C1092" s="58" t="n"/>
      <c r="D1092" s="58" t="n"/>
      <c r="E1092" s="64">
        <f>IF(tblCommentary[[#This Row],[Date]]="","",COUNTIFS(INDEX(tblCommentary[Date],1):tblCommentary[[#This Row],[Date]],tblCommentary[[#This Row],[Date]]))</f>
        <v/>
      </c>
      <c r="F1092" s="63">
        <f>IF(tblCommentary[[#This Row],[Date]]="","",tblCommentary[[#This Row],[Date]]&amp;"|"&amp;tblCommentary[[#This Row],[Seq_Day]])</f>
        <v/>
      </c>
    </row>
    <row r="1093">
      <c r="A1093" s="54" t="n"/>
      <c r="B1093" s="61" t="n"/>
      <c r="C1093" s="58" t="n"/>
      <c r="D1093" s="58" t="n"/>
      <c r="E1093" s="64">
        <f>IF(tblCommentary[[#This Row],[Date]]="","",COUNTIFS(INDEX(tblCommentary[Date],1):tblCommentary[[#This Row],[Date]],tblCommentary[[#This Row],[Date]]))</f>
        <v/>
      </c>
      <c r="F1093" s="63">
        <f>IF(tblCommentary[[#This Row],[Date]]="","",tblCommentary[[#This Row],[Date]]&amp;"|"&amp;tblCommentary[[#This Row],[Seq_Day]])</f>
        <v/>
      </c>
    </row>
    <row r="1094">
      <c r="A1094" s="54" t="n"/>
      <c r="B1094" s="61" t="n"/>
      <c r="C1094" s="58" t="n"/>
      <c r="D1094" s="58" t="n"/>
      <c r="E1094" s="64">
        <f>IF(tblCommentary[[#This Row],[Date]]="","",COUNTIFS(INDEX(tblCommentary[Date],1):tblCommentary[[#This Row],[Date]],tblCommentary[[#This Row],[Date]]))</f>
        <v/>
      </c>
      <c r="F1094" s="63">
        <f>IF(tblCommentary[[#This Row],[Date]]="","",tblCommentary[[#This Row],[Date]]&amp;"|"&amp;tblCommentary[[#This Row],[Seq_Day]])</f>
        <v/>
      </c>
    </row>
    <row r="1095">
      <c r="A1095" s="54" t="n"/>
      <c r="B1095" s="61" t="n"/>
      <c r="C1095" s="58" t="n"/>
      <c r="D1095" s="58" t="n"/>
      <c r="E1095" s="64">
        <f>IF(tblCommentary[[#This Row],[Date]]="","",COUNTIFS(INDEX(tblCommentary[Date],1):tblCommentary[[#This Row],[Date]],tblCommentary[[#This Row],[Date]]))</f>
        <v/>
      </c>
      <c r="F1095" s="63">
        <f>IF(tblCommentary[[#This Row],[Date]]="","",tblCommentary[[#This Row],[Date]]&amp;"|"&amp;tblCommentary[[#This Row],[Seq_Day]])</f>
        <v/>
      </c>
    </row>
    <row r="1096">
      <c r="A1096" s="54" t="n"/>
      <c r="B1096" s="61" t="n"/>
      <c r="C1096" s="58" t="n"/>
      <c r="D1096" s="58" t="n"/>
      <c r="E1096" s="64">
        <f>IF(tblCommentary[[#This Row],[Date]]="","",COUNTIFS(INDEX(tblCommentary[Date],1):tblCommentary[[#This Row],[Date]],tblCommentary[[#This Row],[Date]]))</f>
        <v/>
      </c>
      <c r="F1096" s="63">
        <f>IF(tblCommentary[[#This Row],[Date]]="","",tblCommentary[[#This Row],[Date]]&amp;"|"&amp;tblCommentary[[#This Row],[Seq_Day]])</f>
        <v/>
      </c>
    </row>
    <row r="1097">
      <c r="A1097" s="54" t="n"/>
      <c r="B1097" s="61" t="n"/>
      <c r="C1097" s="58" t="n"/>
      <c r="D1097" s="58" t="n"/>
      <c r="E1097" s="64">
        <f>IF(tblCommentary[[#This Row],[Date]]="","",COUNTIFS(INDEX(tblCommentary[Date],1):tblCommentary[[#This Row],[Date]],tblCommentary[[#This Row],[Date]]))</f>
        <v/>
      </c>
      <c r="F1097" s="63">
        <f>IF(tblCommentary[[#This Row],[Date]]="","",tblCommentary[[#This Row],[Date]]&amp;"|"&amp;tblCommentary[[#This Row],[Seq_Day]])</f>
        <v/>
      </c>
    </row>
    <row r="1098">
      <c r="A1098" s="54" t="n"/>
      <c r="B1098" s="61" t="n"/>
      <c r="C1098" s="58" t="n"/>
      <c r="D1098" s="58" t="n"/>
      <c r="E1098" s="64">
        <f>IF(tblCommentary[[#This Row],[Date]]="","",COUNTIFS(INDEX(tblCommentary[Date],1):tblCommentary[[#This Row],[Date]],tblCommentary[[#This Row],[Date]]))</f>
        <v/>
      </c>
      <c r="F1098" s="63">
        <f>IF(tblCommentary[[#This Row],[Date]]="","",tblCommentary[[#This Row],[Date]]&amp;"|"&amp;tblCommentary[[#This Row],[Seq_Day]])</f>
        <v/>
      </c>
    </row>
    <row r="1099">
      <c r="A1099" s="54" t="n"/>
      <c r="B1099" s="61" t="n"/>
      <c r="C1099" s="58" t="n"/>
      <c r="D1099" s="58" t="n"/>
      <c r="E1099" s="64">
        <f>IF(tblCommentary[[#This Row],[Date]]="","",COUNTIFS(INDEX(tblCommentary[Date],1):tblCommentary[[#This Row],[Date]],tblCommentary[[#This Row],[Date]]))</f>
        <v/>
      </c>
      <c r="F1099" s="63">
        <f>IF(tblCommentary[[#This Row],[Date]]="","",tblCommentary[[#This Row],[Date]]&amp;"|"&amp;tblCommentary[[#This Row],[Seq_Day]])</f>
        <v/>
      </c>
    </row>
    <row r="1100">
      <c r="A1100" s="54" t="n"/>
      <c r="B1100" s="61" t="n"/>
      <c r="C1100" s="58" t="n"/>
      <c r="D1100" s="58" t="n"/>
      <c r="E1100" s="64">
        <f>IF(tblCommentary[[#This Row],[Date]]="","",COUNTIFS(INDEX(tblCommentary[Date],1):tblCommentary[[#This Row],[Date]],tblCommentary[[#This Row],[Date]]))</f>
        <v/>
      </c>
      <c r="F1100" s="63">
        <f>IF(tblCommentary[[#This Row],[Date]]="","",tblCommentary[[#This Row],[Date]]&amp;"|"&amp;tblCommentary[[#This Row],[Seq_Day]])</f>
        <v/>
      </c>
    </row>
    <row r="1101">
      <c r="A1101" s="54" t="n"/>
      <c r="B1101" s="61" t="n"/>
      <c r="C1101" s="58" t="n"/>
      <c r="D1101" s="58" t="n"/>
      <c r="E1101" s="64">
        <f>IF(tblCommentary[[#This Row],[Date]]="","",COUNTIFS(INDEX(tblCommentary[Date],1):tblCommentary[[#This Row],[Date]],tblCommentary[[#This Row],[Date]]))</f>
        <v/>
      </c>
      <c r="F1101" s="63">
        <f>IF(tblCommentary[[#This Row],[Date]]="","",tblCommentary[[#This Row],[Date]]&amp;"|"&amp;tblCommentary[[#This Row],[Seq_Day]])</f>
        <v/>
      </c>
    </row>
    <row r="1102">
      <c r="A1102" s="54" t="n"/>
      <c r="B1102" s="61" t="n"/>
      <c r="C1102" s="58" t="n"/>
      <c r="D1102" s="58" t="n"/>
      <c r="E1102" s="64">
        <f>IF(tblCommentary[[#This Row],[Date]]="","",COUNTIFS(INDEX(tblCommentary[Date],1):tblCommentary[[#This Row],[Date]],tblCommentary[[#This Row],[Date]]))</f>
        <v/>
      </c>
      <c r="F1102" s="63">
        <f>IF(tblCommentary[[#This Row],[Date]]="","",tblCommentary[[#This Row],[Date]]&amp;"|"&amp;tblCommentary[[#This Row],[Seq_Day]])</f>
        <v/>
      </c>
    </row>
    <row r="1103">
      <c r="A1103" s="54" t="n"/>
      <c r="B1103" s="61" t="n"/>
      <c r="C1103" s="58" t="n"/>
      <c r="D1103" s="58" t="n"/>
      <c r="E1103" s="64">
        <f>IF(tblCommentary[[#This Row],[Date]]="","",COUNTIFS(INDEX(tblCommentary[Date],1):tblCommentary[[#This Row],[Date]],tblCommentary[[#This Row],[Date]]))</f>
        <v/>
      </c>
      <c r="F1103" s="63">
        <f>IF(tblCommentary[[#This Row],[Date]]="","",tblCommentary[[#This Row],[Date]]&amp;"|"&amp;tblCommentary[[#This Row],[Seq_Day]])</f>
        <v/>
      </c>
    </row>
    <row r="1104">
      <c r="A1104" s="54" t="n"/>
      <c r="B1104" s="61" t="n"/>
      <c r="C1104" s="58" t="n"/>
      <c r="D1104" s="58" t="n"/>
      <c r="E1104" s="64">
        <f>IF(tblCommentary[[#This Row],[Date]]="","",COUNTIFS(INDEX(tblCommentary[Date],1):tblCommentary[[#This Row],[Date]],tblCommentary[[#This Row],[Date]]))</f>
        <v/>
      </c>
      <c r="F1104" s="63">
        <f>IF(tblCommentary[[#This Row],[Date]]="","",tblCommentary[[#This Row],[Date]]&amp;"|"&amp;tblCommentary[[#This Row],[Seq_Day]])</f>
        <v/>
      </c>
    </row>
    <row r="1105">
      <c r="A1105" s="54" t="n"/>
      <c r="B1105" s="61" t="n"/>
      <c r="C1105" s="58" t="n"/>
      <c r="D1105" s="58" t="n"/>
      <c r="E1105" s="64">
        <f>IF(tblCommentary[[#This Row],[Date]]="","",COUNTIFS(INDEX(tblCommentary[Date],1):tblCommentary[[#This Row],[Date]],tblCommentary[[#This Row],[Date]]))</f>
        <v/>
      </c>
      <c r="F1105" s="63">
        <f>IF(tblCommentary[[#This Row],[Date]]="","",tblCommentary[[#This Row],[Date]]&amp;"|"&amp;tblCommentary[[#This Row],[Seq_Day]])</f>
        <v/>
      </c>
    </row>
    <row r="1106">
      <c r="A1106" s="54" t="n"/>
      <c r="B1106" s="61" t="n"/>
      <c r="C1106" s="58" t="n"/>
      <c r="D1106" s="58" t="n"/>
      <c r="E1106" s="64">
        <f>IF(tblCommentary[[#This Row],[Date]]="","",COUNTIFS(INDEX(tblCommentary[Date],1):tblCommentary[[#This Row],[Date]],tblCommentary[[#This Row],[Date]]))</f>
        <v/>
      </c>
      <c r="F1106" s="63">
        <f>IF(tblCommentary[[#This Row],[Date]]="","",tblCommentary[[#This Row],[Date]]&amp;"|"&amp;tblCommentary[[#This Row],[Seq_Day]])</f>
        <v/>
      </c>
    </row>
    <row r="1107">
      <c r="A1107" s="54" t="n"/>
      <c r="B1107" s="61" t="n"/>
      <c r="C1107" s="58" t="n"/>
      <c r="D1107" s="58" t="n"/>
      <c r="E1107" s="64">
        <f>IF(tblCommentary[[#This Row],[Date]]="","",COUNTIFS(INDEX(tblCommentary[Date],1):tblCommentary[[#This Row],[Date]],tblCommentary[[#This Row],[Date]]))</f>
        <v/>
      </c>
      <c r="F1107" s="63">
        <f>IF(tblCommentary[[#This Row],[Date]]="","",tblCommentary[[#This Row],[Date]]&amp;"|"&amp;tblCommentary[[#This Row],[Seq_Day]])</f>
        <v/>
      </c>
    </row>
    <row r="1108">
      <c r="A1108" s="54" t="n"/>
      <c r="B1108" s="61" t="n"/>
      <c r="C1108" s="58" t="n"/>
      <c r="D1108" s="58" t="n"/>
      <c r="E1108" s="64">
        <f>IF(tblCommentary[[#This Row],[Date]]="","",COUNTIFS(INDEX(tblCommentary[Date],1):tblCommentary[[#This Row],[Date]],tblCommentary[[#This Row],[Date]]))</f>
        <v/>
      </c>
      <c r="F1108" s="63">
        <f>IF(tblCommentary[[#This Row],[Date]]="","",tblCommentary[[#This Row],[Date]]&amp;"|"&amp;tblCommentary[[#This Row],[Seq_Day]])</f>
        <v/>
      </c>
    </row>
    <row r="1109">
      <c r="A1109" s="54" t="n"/>
      <c r="B1109" s="61" t="n"/>
      <c r="C1109" s="58" t="n"/>
      <c r="D1109" s="58" t="n"/>
      <c r="E1109" s="64">
        <f>IF(tblCommentary[[#This Row],[Date]]="","",COUNTIFS(INDEX(tblCommentary[Date],1):tblCommentary[[#This Row],[Date]],tblCommentary[[#This Row],[Date]]))</f>
        <v/>
      </c>
      <c r="F1109" s="63">
        <f>IF(tblCommentary[[#This Row],[Date]]="","",tblCommentary[[#This Row],[Date]]&amp;"|"&amp;tblCommentary[[#This Row],[Seq_Day]])</f>
        <v/>
      </c>
    </row>
    <row r="1110">
      <c r="A1110" s="54" t="n"/>
      <c r="B1110" s="61" t="n"/>
      <c r="C1110" s="58" t="n"/>
      <c r="D1110" s="58" t="n"/>
      <c r="E1110" s="64">
        <f>IF(tblCommentary[[#This Row],[Date]]="","",COUNTIFS(INDEX(tblCommentary[Date],1):tblCommentary[[#This Row],[Date]],tblCommentary[[#This Row],[Date]]))</f>
        <v/>
      </c>
      <c r="F1110" s="63">
        <f>IF(tblCommentary[[#This Row],[Date]]="","",tblCommentary[[#This Row],[Date]]&amp;"|"&amp;tblCommentary[[#This Row],[Seq_Day]])</f>
        <v/>
      </c>
    </row>
    <row r="1111">
      <c r="A1111" s="54" t="n"/>
      <c r="B1111" s="61" t="n"/>
      <c r="C1111" s="58" t="n"/>
      <c r="D1111" s="58" t="n"/>
      <c r="E1111" s="64">
        <f>IF(tblCommentary[[#This Row],[Date]]="","",COUNTIFS(INDEX(tblCommentary[Date],1):tblCommentary[[#This Row],[Date]],tblCommentary[[#This Row],[Date]]))</f>
        <v/>
      </c>
      <c r="F1111" s="63">
        <f>IF(tblCommentary[[#This Row],[Date]]="","",tblCommentary[[#This Row],[Date]]&amp;"|"&amp;tblCommentary[[#This Row],[Seq_Day]])</f>
        <v/>
      </c>
    </row>
    <row r="1112">
      <c r="A1112" s="54" t="n"/>
      <c r="B1112" s="61" t="n"/>
      <c r="C1112" s="58" t="n"/>
      <c r="D1112" s="58" t="n"/>
      <c r="E1112" s="64">
        <f>IF(tblCommentary[[#This Row],[Date]]="","",COUNTIFS(INDEX(tblCommentary[Date],1):tblCommentary[[#This Row],[Date]],tblCommentary[[#This Row],[Date]]))</f>
        <v/>
      </c>
      <c r="F1112" s="63">
        <f>IF(tblCommentary[[#This Row],[Date]]="","",tblCommentary[[#This Row],[Date]]&amp;"|"&amp;tblCommentary[[#This Row],[Seq_Day]])</f>
        <v/>
      </c>
    </row>
    <row r="1113">
      <c r="A1113" s="54" t="n"/>
      <c r="B1113" s="61" t="n"/>
      <c r="C1113" s="58" t="n"/>
      <c r="D1113" s="58" t="n"/>
      <c r="E1113" s="64">
        <f>IF(tblCommentary[[#This Row],[Date]]="","",COUNTIFS(INDEX(tblCommentary[Date],1):tblCommentary[[#This Row],[Date]],tblCommentary[[#This Row],[Date]]))</f>
        <v/>
      </c>
      <c r="F1113" s="63">
        <f>IF(tblCommentary[[#This Row],[Date]]="","",tblCommentary[[#This Row],[Date]]&amp;"|"&amp;tblCommentary[[#This Row],[Seq_Day]])</f>
        <v/>
      </c>
    </row>
    <row r="1114">
      <c r="A1114" s="54" t="n"/>
      <c r="B1114" s="61" t="n"/>
      <c r="C1114" s="58" t="n"/>
      <c r="D1114" s="58" t="n"/>
      <c r="E1114" s="64">
        <f>IF(tblCommentary[[#This Row],[Date]]="","",COUNTIFS(INDEX(tblCommentary[Date],1):tblCommentary[[#This Row],[Date]],tblCommentary[[#This Row],[Date]]))</f>
        <v/>
      </c>
      <c r="F1114" s="63">
        <f>IF(tblCommentary[[#This Row],[Date]]="","",tblCommentary[[#This Row],[Date]]&amp;"|"&amp;tblCommentary[[#This Row],[Seq_Day]])</f>
        <v/>
      </c>
    </row>
    <row r="1115">
      <c r="A1115" s="54" t="n"/>
      <c r="B1115" s="61" t="n"/>
      <c r="C1115" s="58" t="n"/>
      <c r="D1115" s="58" t="n"/>
      <c r="E1115" s="64">
        <f>IF(tblCommentary[[#This Row],[Date]]="","",COUNTIFS(INDEX(tblCommentary[Date],1):tblCommentary[[#This Row],[Date]],tblCommentary[[#This Row],[Date]]))</f>
        <v/>
      </c>
      <c r="F1115" s="63">
        <f>IF(tblCommentary[[#This Row],[Date]]="","",tblCommentary[[#This Row],[Date]]&amp;"|"&amp;tblCommentary[[#This Row],[Seq_Day]])</f>
        <v/>
      </c>
    </row>
    <row r="1116">
      <c r="A1116" s="54" t="n"/>
      <c r="B1116" s="61" t="n"/>
      <c r="C1116" s="58" t="n"/>
      <c r="D1116" s="58" t="n"/>
      <c r="E1116" s="64">
        <f>IF(tblCommentary[[#This Row],[Date]]="","",COUNTIFS(INDEX(tblCommentary[Date],1):tblCommentary[[#This Row],[Date]],tblCommentary[[#This Row],[Date]]))</f>
        <v/>
      </c>
      <c r="F1116" s="63">
        <f>IF(tblCommentary[[#This Row],[Date]]="","",tblCommentary[[#This Row],[Date]]&amp;"|"&amp;tblCommentary[[#This Row],[Seq_Day]])</f>
        <v/>
      </c>
    </row>
    <row r="1117">
      <c r="A1117" s="54" t="n"/>
      <c r="B1117" s="61" t="n"/>
      <c r="C1117" s="58" t="n"/>
      <c r="D1117" s="58" t="n"/>
      <c r="E1117" s="64">
        <f>IF(tblCommentary[[#This Row],[Date]]="","",COUNTIFS(INDEX(tblCommentary[Date],1):tblCommentary[[#This Row],[Date]],tblCommentary[[#This Row],[Date]]))</f>
        <v/>
      </c>
      <c r="F1117" s="63">
        <f>IF(tblCommentary[[#This Row],[Date]]="","",tblCommentary[[#This Row],[Date]]&amp;"|"&amp;tblCommentary[[#This Row],[Seq_Day]])</f>
        <v/>
      </c>
    </row>
    <row r="1118">
      <c r="A1118" s="54" t="n"/>
      <c r="B1118" s="61" t="n"/>
      <c r="C1118" s="58" t="n"/>
      <c r="D1118" s="58" t="n"/>
      <c r="E1118" s="64">
        <f>IF(tblCommentary[[#This Row],[Date]]="","",COUNTIFS(INDEX(tblCommentary[Date],1):tblCommentary[[#This Row],[Date]],tblCommentary[[#This Row],[Date]]))</f>
        <v/>
      </c>
      <c r="F1118" s="63">
        <f>IF(tblCommentary[[#This Row],[Date]]="","",tblCommentary[[#This Row],[Date]]&amp;"|"&amp;tblCommentary[[#This Row],[Seq_Day]])</f>
        <v/>
      </c>
    </row>
    <row r="1119">
      <c r="A1119" s="54" t="n"/>
      <c r="B1119" s="61" t="n"/>
      <c r="C1119" s="58" t="n"/>
      <c r="D1119" s="58" t="n"/>
      <c r="E1119" s="64">
        <f>IF(tblCommentary[[#This Row],[Date]]="","",COUNTIFS(INDEX(tblCommentary[Date],1):tblCommentary[[#This Row],[Date]],tblCommentary[[#This Row],[Date]]))</f>
        <v/>
      </c>
      <c r="F1119" s="63">
        <f>IF(tblCommentary[[#This Row],[Date]]="","",tblCommentary[[#This Row],[Date]]&amp;"|"&amp;tblCommentary[[#This Row],[Seq_Day]])</f>
        <v/>
      </c>
    </row>
    <row r="1120">
      <c r="A1120" s="54" t="n"/>
      <c r="B1120" s="61" t="n"/>
      <c r="C1120" s="58" t="n"/>
      <c r="D1120" s="58" t="n"/>
      <c r="E1120" s="64">
        <f>IF(tblCommentary[[#This Row],[Date]]="","",COUNTIFS(INDEX(tblCommentary[Date],1):tblCommentary[[#This Row],[Date]],tblCommentary[[#This Row],[Date]]))</f>
        <v/>
      </c>
      <c r="F1120" s="63">
        <f>IF(tblCommentary[[#This Row],[Date]]="","",tblCommentary[[#This Row],[Date]]&amp;"|"&amp;tblCommentary[[#This Row],[Seq_Day]])</f>
        <v/>
      </c>
    </row>
    <row r="1121">
      <c r="A1121" s="54" t="n"/>
      <c r="B1121" s="61" t="n"/>
      <c r="C1121" s="58" t="n"/>
      <c r="D1121" s="58" t="n"/>
      <c r="E1121" s="64">
        <f>IF(tblCommentary[[#This Row],[Date]]="","",COUNTIFS(INDEX(tblCommentary[Date],1):tblCommentary[[#This Row],[Date]],tblCommentary[[#This Row],[Date]]))</f>
        <v/>
      </c>
      <c r="F1121" s="63">
        <f>IF(tblCommentary[[#This Row],[Date]]="","",tblCommentary[[#This Row],[Date]]&amp;"|"&amp;tblCommentary[[#This Row],[Seq_Day]])</f>
        <v/>
      </c>
    </row>
    <row r="1122">
      <c r="A1122" s="54" t="n"/>
      <c r="B1122" s="61" t="n"/>
      <c r="C1122" s="58" t="n"/>
      <c r="D1122" s="58" t="n"/>
      <c r="E1122" s="64">
        <f>IF(tblCommentary[[#This Row],[Date]]="","",COUNTIFS(INDEX(tblCommentary[Date],1):tblCommentary[[#This Row],[Date]],tblCommentary[[#This Row],[Date]]))</f>
        <v/>
      </c>
      <c r="F1122" s="63">
        <f>IF(tblCommentary[[#This Row],[Date]]="","",tblCommentary[[#This Row],[Date]]&amp;"|"&amp;tblCommentary[[#This Row],[Seq_Day]])</f>
        <v/>
      </c>
    </row>
    <row r="1123">
      <c r="A1123" s="54" t="n"/>
      <c r="B1123" s="61" t="n"/>
      <c r="C1123" s="58" t="n"/>
      <c r="D1123" s="58" t="n"/>
      <c r="E1123" s="64">
        <f>IF(tblCommentary[[#This Row],[Date]]="","",COUNTIFS(INDEX(tblCommentary[Date],1):tblCommentary[[#This Row],[Date]],tblCommentary[[#This Row],[Date]]))</f>
        <v/>
      </c>
      <c r="F1123" s="63">
        <f>IF(tblCommentary[[#This Row],[Date]]="","",tblCommentary[[#This Row],[Date]]&amp;"|"&amp;tblCommentary[[#This Row],[Seq_Day]])</f>
        <v/>
      </c>
    </row>
    <row r="1124">
      <c r="A1124" s="54" t="n"/>
      <c r="B1124" s="61" t="n"/>
      <c r="C1124" s="58" t="n"/>
      <c r="D1124" s="58" t="n"/>
      <c r="E1124" s="64">
        <f>IF(tblCommentary[[#This Row],[Date]]="","",COUNTIFS(INDEX(tblCommentary[Date],1):tblCommentary[[#This Row],[Date]],tblCommentary[[#This Row],[Date]]))</f>
        <v/>
      </c>
      <c r="F1124" s="63">
        <f>IF(tblCommentary[[#This Row],[Date]]="","",tblCommentary[[#This Row],[Date]]&amp;"|"&amp;tblCommentary[[#This Row],[Seq_Day]])</f>
        <v/>
      </c>
    </row>
    <row r="1125">
      <c r="A1125" s="54" t="n"/>
      <c r="B1125" s="61" t="n"/>
      <c r="C1125" s="58" t="n"/>
      <c r="D1125" s="58" t="n"/>
      <c r="E1125" s="64">
        <f>IF(tblCommentary[[#This Row],[Date]]="","",COUNTIFS(INDEX(tblCommentary[Date],1):tblCommentary[[#This Row],[Date]],tblCommentary[[#This Row],[Date]]))</f>
        <v/>
      </c>
      <c r="F1125" s="63">
        <f>IF(tblCommentary[[#This Row],[Date]]="","",tblCommentary[[#This Row],[Date]]&amp;"|"&amp;tblCommentary[[#This Row],[Seq_Day]])</f>
        <v/>
      </c>
    </row>
    <row r="1126">
      <c r="A1126" s="54" t="n"/>
      <c r="B1126" s="61" t="n"/>
      <c r="C1126" s="58" t="n"/>
      <c r="D1126" s="58" t="n"/>
      <c r="E1126" s="64">
        <f>IF(tblCommentary[[#This Row],[Date]]="","",COUNTIFS(INDEX(tblCommentary[Date],1):tblCommentary[[#This Row],[Date]],tblCommentary[[#This Row],[Date]]))</f>
        <v/>
      </c>
      <c r="F1126" s="63">
        <f>IF(tblCommentary[[#This Row],[Date]]="","",tblCommentary[[#This Row],[Date]]&amp;"|"&amp;tblCommentary[[#This Row],[Seq_Day]])</f>
        <v/>
      </c>
    </row>
    <row r="1127">
      <c r="A1127" s="54" t="n"/>
      <c r="B1127" s="61" t="n"/>
      <c r="C1127" s="58" t="n"/>
      <c r="D1127" s="58" t="n"/>
      <c r="E1127" s="64">
        <f>IF(tblCommentary[[#This Row],[Date]]="","",COUNTIFS(INDEX(tblCommentary[Date],1):tblCommentary[[#This Row],[Date]],tblCommentary[[#This Row],[Date]]))</f>
        <v/>
      </c>
      <c r="F1127" s="63">
        <f>IF(tblCommentary[[#This Row],[Date]]="","",tblCommentary[[#This Row],[Date]]&amp;"|"&amp;tblCommentary[[#This Row],[Seq_Day]])</f>
        <v/>
      </c>
    </row>
    <row r="1128">
      <c r="A1128" s="54" t="n"/>
      <c r="B1128" s="61" t="n"/>
      <c r="C1128" s="58" t="n"/>
      <c r="D1128" s="58" t="n"/>
      <c r="E1128" s="64">
        <f>IF(tblCommentary[[#This Row],[Date]]="","",COUNTIFS(INDEX(tblCommentary[Date],1):tblCommentary[[#This Row],[Date]],tblCommentary[[#This Row],[Date]]))</f>
        <v/>
      </c>
      <c r="F1128" s="63">
        <f>IF(tblCommentary[[#This Row],[Date]]="","",tblCommentary[[#This Row],[Date]]&amp;"|"&amp;tblCommentary[[#This Row],[Seq_Day]])</f>
        <v/>
      </c>
    </row>
    <row r="1129">
      <c r="A1129" s="54" t="n"/>
      <c r="B1129" s="61" t="n"/>
      <c r="C1129" s="58" t="n"/>
      <c r="D1129" s="58" t="n"/>
      <c r="E1129" s="64">
        <f>IF(tblCommentary[[#This Row],[Date]]="","",COUNTIFS(INDEX(tblCommentary[Date],1):tblCommentary[[#This Row],[Date]],tblCommentary[[#This Row],[Date]]))</f>
        <v/>
      </c>
      <c r="F1129" s="63">
        <f>IF(tblCommentary[[#This Row],[Date]]="","",tblCommentary[[#This Row],[Date]]&amp;"|"&amp;tblCommentary[[#This Row],[Seq_Day]])</f>
        <v/>
      </c>
    </row>
    <row r="1130">
      <c r="A1130" s="54" t="n"/>
      <c r="B1130" s="61" t="n"/>
      <c r="C1130" s="58" t="n"/>
      <c r="D1130" s="58" t="n"/>
      <c r="E1130" s="64">
        <f>IF(tblCommentary[[#This Row],[Date]]="","",COUNTIFS(INDEX(tblCommentary[Date],1):tblCommentary[[#This Row],[Date]],tblCommentary[[#This Row],[Date]]))</f>
        <v/>
      </c>
      <c r="F1130" s="63">
        <f>IF(tblCommentary[[#This Row],[Date]]="","",tblCommentary[[#This Row],[Date]]&amp;"|"&amp;tblCommentary[[#This Row],[Seq_Day]])</f>
        <v/>
      </c>
    </row>
    <row r="1131">
      <c r="A1131" s="54" t="n"/>
      <c r="B1131" s="61" t="n"/>
      <c r="C1131" s="58" t="n"/>
      <c r="D1131" s="58" t="n"/>
      <c r="E1131" s="64">
        <f>IF(tblCommentary[[#This Row],[Date]]="","",COUNTIFS(INDEX(tblCommentary[Date],1):tblCommentary[[#This Row],[Date]],tblCommentary[[#This Row],[Date]]))</f>
        <v/>
      </c>
      <c r="F1131" s="63">
        <f>IF(tblCommentary[[#This Row],[Date]]="","",tblCommentary[[#This Row],[Date]]&amp;"|"&amp;tblCommentary[[#This Row],[Seq_Day]])</f>
        <v/>
      </c>
    </row>
    <row r="1132">
      <c r="A1132" s="54" t="n"/>
      <c r="B1132" s="61" t="n"/>
      <c r="C1132" s="58" t="n"/>
      <c r="D1132" s="58" t="n"/>
      <c r="E1132" s="64">
        <f>IF(tblCommentary[[#This Row],[Date]]="","",COUNTIFS(INDEX(tblCommentary[Date],1):tblCommentary[[#This Row],[Date]],tblCommentary[[#This Row],[Date]]))</f>
        <v/>
      </c>
      <c r="F1132" s="63">
        <f>IF(tblCommentary[[#This Row],[Date]]="","",tblCommentary[[#This Row],[Date]]&amp;"|"&amp;tblCommentary[[#This Row],[Seq_Day]])</f>
        <v/>
      </c>
    </row>
    <row r="1133">
      <c r="A1133" s="54" t="n"/>
      <c r="B1133" s="61" t="n"/>
      <c r="C1133" s="58" t="n"/>
      <c r="D1133" s="58" t="n"/>
      <c r="E1133" s="64">
        <f>IF(tblCommentary[[#This Row],[Date]]="","",COUNTIFS(INDEX(tblCommentary[Date],1):tblCommentary[[#This Row],[Date]],tblCommentary[[#This Row],[Date]]))</f>
        <v/>
      </c>
      <c r="F1133" s="63">
        <f>IF(tblCommentary[[#This Row],[Date]]="","",tblCommentary[[#This Row],[Date]]&amp;"|"&amp;tblCommentary[[#This Row],[Seq_Day]])</f>
        <v/>
      </c>
    </row>
    <row r="1134">
      <c r="A1134" s="54" t="n"/>
      <c r="B1134" s="61" t="n"/>
      <c r="C1134" s="58" t="n"/>
      <c r="D1134" s="58" t="n"/>
      <c r="E1134" s="64">
        <f>IF(tblCommentary[[#This Row],[Date]]="","",COUNTIFS(INDEX(tblCommentary[Date],1):tblCommentary[[#This Row],[Date]],tblCommentary[[#This Row],[Date]]))</f>
        <v/>
      </c>
      <c r="F1134" s="63">
        <f>IF(tblCommentary[[#This Row],[Date]]="","",tblCommentary[[#This Row],[Date]]&amp;"|"&amp;tblCommentary[[#This Row],[Seq_Day]])</f>
        <v/>
      </c>
    </row>
    <row r="1135">
      <c r="A1135" s="54" t="n"/>
      <c r="B1135" s="61" t="n"/>
      <c r="C1135" s="58" t="n"/>
      <c r="D1135" s="58" t="n"/>
      <c r="E1135" s="64">
        <f>IF(tblCommentary[[#This Row],[Date]]="","",COUNTIFS(INDEX(tblCommentary[Date],1):tblCommentary[[#This Row],[Date]],tblCommentary[[#This Row],[Date]]))</f>
        <v/>
      </c>
      <c r="F1135" s="63">
        <f>IF(tblCommentary[[#This Row],[Date]]="","",tblCommentary[[#This Row],[Date]]&amp;"|"&amp;tblCommentary[[#This Row],[Seq_Day]])</f>
        <v/>
      </c>
    </row>
    <row r="1136">
      <c r="A1136" s="54" t="n"/>
      <c r="B1136" s="61" t="n"/>
      <c r="C1136" s="58" t="n"/>
      <c r="D1136" s="58" t="n"/>
      <c r="E1136" s="64">
        <f>IF(tblCommentary[[#This Row],[Date]]="","",COUNTIFS(INDEX(tblCommentary[Date],1):tblCommentary[[#This Row],[Date]],tblCommentary[[#This Row],[Date]]))</f>
        <v/>
      </c>
      <c r="F1136" s="63">
        <f>IF(tblCommentary[[#This Row],[Date]]="","",tblCommentary[[#This Row],[Date]]&amp;"|"&amp;tblCommentary[[#This Row],[Seq_Day]])</f>
        <v/>
      </c>
    </row>
    <row r="1137">
      <c r="A1137" s="54" t="n"/>
      <c r="B1137" s="61" t="n"/>
      <c r="C1137" s="58" t="n"/>
      <c r="D1137" s="58" t="n"/>
      <c r="E1137" s="64">
        <f>IF(tblCommentary[[#This Row],[Date]]="","",COUNTIFS(INDEX(tblCommentary[Date],1):tblCommentary[[#This Row],[Date]],tblCommentary[[#This Row],[Date]]))</f>
        <v/>
      </c>
      <c r="F1137" s="63">
        <f>IF(tblCommentary[[#This Row],[Date]]="","",tblCommentary[[#This Row],[Date]]&amp;"|"&amp;tblCommentary[[#This Row],[Seq_Day]])</f>
        <v/>
      </c>
    </row>
    <row r="1138">
      <c r="A1138" s="54" t="n"/>
      <c r="B1138" s="61" t="n"/>
      <c r="C1138" s="58" t="n"/>
      <c r="D1138" s="58" t="n"/>
      <c r="E1138" s="64">
        <f>IF(tblCommentary[[#This Row],[Date]]="","",COUNTIFS(INDEX(tblCommentary[Date],1):tblCommentary[[#This Row],[Date]],tblCommentary[[#This Row],[Date]]))</f>
        <v/>
      </c>
      <c r="F1138" s="63">
        <f>IF(tblCommentary[[#This Row],[Date]]="","",tblCommentary[[#This Row],[Date]]&amp;"|"&amp;tblCommentary[[#This Row],[Seq_Day]])</f>
        <v/>
      </c>
    </row>
    <row r="1139">
      <c r="A1139" s="54" t="n"/>
      <c r="B1139" s="61" t="n"/>
      <c r="C1139" s="58" t="n"/>
      <c r="D1139" s="58" t="n"/>
      <c r="E1139" s="64">
        <f>IF(tblCommentary[[#This Row],[Date]]="","",COUNTIFS(INDEX(tblCommentary[Date],1):tblCommentary[[#This Row],[Date]],tblCommentary[[#This Row],[Date]]))</f>
        <v/>
      </c>
      <c r="F1139" s="63">
        <f>IF(tblCommentary[[#This Row],[Date]]="","",tblCommentary[[#This Row],[Date]]&amp;"|"&amp;tblCommentary[[#This Row],[Seq_Day]])</f>
        <v/>
      </c>
    </row>
    <row r="1140">
      <c r="A1140" s="54" t="n"/>
      <c r="B1140" s="61" t="n"/>
      <c r="C1140" s="58" t="n"/>
      <c r="D1140" s="58" t="n"/>
      <c r="E1140" s="64">
        <f>IF(tblCommentary[[#This Row],[Date]]="","",COUNTIFS(INDEX(tblCommentary[Date],1):tblCommentary[[#This Row],[Date]],tblCommentary[[#This Row],[Date]]))</f>
        <v/>
      </c>
      <c r="F1140" s="63">
        <f>IF(tblCommentary[[#This Row],[Date]]="","",tblCommentary[[#This Row],[Date]]&amp;"|"&amp;tblCommentary[[#This Row],[Seq_Day]])</f>
        <v/>
      </c>
    </row>
    <row r="1141">
      <c r="A1141" s="54" t="n"/>
      <c r="B1141" s="61" t="n"/>
      <c r="C1141" s="58" t="n"/>
      <c r="D1141" s="58" t="n"/>
      <c r="E1141" s="64">
        <f>IF(tblCommentary[[#This Row],[Date]]="","",COUNTIFS(INDEX(tblCommentary[Date],1):tblCommentary[[#This Row],[Date]],tblCommentary[[#This Row],[Date]]))</f>
        <v/>
      </c>
      <c r="F1141" s="63">
        <f>IF(tblCommentary[[#This Row],[Date]]="","",tblCommentary[[#This Row],[Date]]&amp;"|"&amp;tblCommentary[[#This Row],[Seq_Day]])</f>
        <v/>
      </c>
    </row>
    <row r="1142">
      <c r="A1142" s="54" t="n"/>
      <c r="B1142" s="61" t="n"/>
      <c r="C1142" s="58" t="n"/>
      <c r="D1142" s="58" t="n"/>
      <c r="E1142" s="64">
        <f>IF(tblCommentary[[#This Row],[Date]]="","",COUNTIFS(INDEX(tblCommentary[Date],1):tblCommentary[[#This Row],[Date]],tblCommentary[[#This Row],[Date]]))</f>
        <v/>
      </c>
      <c r="F1142" s="63">
        <f>IF(tblCommentary[[#This Row],[Date]]="","",tblCommentary[[#This Row],[Date]]&amp;"|"&amp;tblCommentary[[#This Row],[Seq_Day]])</f>
        <v/>
      </c>
    </row>
    <row r="1143">
      <c r="A1143" s="54" t="n"/>
      <c r="B1143" s="61" t="n"/>
      <c r="C1143" s="58" t="n"/>
      <c r="D1143" s="58" t="n"/>
      <c r="E1143" s="64">
        <f>IF(tblCommentary[[#This Row],[Date]]="","",COUNTIFS(INDEX(tblCommentary[Date],1):tblCommentary[[#This Row],[Date]],tblCommentary[[#This Row],[Date]]))</f>
        <v/>
      </c>
      <c r="F1143" s="63">
        <f>IF(tblCommentary[[#This Row],[Date]]="","",tblCommentary[[#This Row],[Date]]&amp;"|"&amp;tblCommentary[[#This Row],[Seq_Day]])</f>
        <v/>
      </c>
    </row>
    <row r="1144">
      <c r="A1144" s="54" t="n"/>
      <c r="B1144" s="61" t="n"/>
      <c r="C1144" s="58" t="n"/>
      <c r="D1144" s="58" t="n"/>
      <c r="E1144" s="64">
        <f>IF(tblCommentary[[#This Row],[Date]]="","",COUNTIFS(INDEX(tblCommentary[Date],1):tblCommentary[[#This Row],[Date]],tblCommentary[[#This Row],[Date]]))</f>
        <v/>
      </c>
      <c r="F1144" s="63">
        <f>IF(tblCommentary[[#This Row],[Date]]="","",tblCommentary[[#This Row],[Date]]&amp;"|"&amp;tblCommentary[[#This Row],[Seq_Day]])</f>
        <v/>
      </c>
    </row>
    <row r="1145">
      <c r="A1145" s="54" t="n"/>
      <c r="B1145" s="61" t="n"/>
      <c r="C1145" s="58" t="n"/>
      <c r="D1145" s="58" t="n"/>
      <c r="E1145" s="64">
        <f>IF(tblCommentary[[#This Row],[Date]]="","",COUNTIFS(INDEX(tblCommentary[Date],1):tblCommentary[[#This Row],[Date]],tblCommentary[[#This Row],[Date]]))</f>
        <v/>
      </c>
      <c r="F1145" s="63">
        <f>IF(tblCommentary[[#This Row],[Date]]="","",tblCommentary[[#This Row],[Date]]&amp;"|"&amp;tblCommentary[[#This Row],[Seq_Day]])</f>
        <v/>
      </c>
    </row>
    <row r="1146">
      <c r="A1146" s="54" t="n"/>
      <c r="B1146" s="61" t="n"/>
      <c r="C1146" s="58" t="n"/>
      <c r="D1146" s="58" t="n"/>
      <c r="E1146" s="64">
        <f>IF(tblCommentary[[#This Row],[Date]]="","",COUNTIFS(INDEX(tblCommentary[Date],1):tblCommentary[[#This Row],[Date]],tblCommentary[[#This Row],[Date]]))</f>
        <v/>
      </c>
      <c r="F1146" s="63">
        <f>IF(tblCommentary[[#This Row],[Date]]="","",tblCommentary[[#This Row],[Date]]&amp;"|"&amp;tblCommentary[[#This Row],[Seq_Day]])</f>
        <v/>
      </c>
    </row>
    <row r="1147">
      <c r="A1147" s="54" t="n"/>
      <c r="B1147" s="61" t="n"/>
      <c r="C1147" s="58" t="n"/>
      <c r="D1147" s="58" t="n"/>
      <c r="E1147" s="64">
        <f>IF(tblCommentary[[#This Row],[Date]]="","",COUNTIFS(INDEX(tblCommentary[Date],1):tblCommentary[[#This Row],[Date]],tblCommentary[[#This Row],[Date]]))</f>
        <v/>
      </c>
      <c r="F1147" s="63">
        <f>IF(tblCommentary[[#This Row],[Date]]="","",tblCommentary[[#This Row],[Date]]&amp;"|"&amp;tblCommentary[[#This Row],[Seq_Day]])</f>
        <v/>
      </c>
    </row>
    <row r="1148">
      <c r="A1148" s="54" t="n"/>
      <c r="B1148" s="61" t="n"/>
      <c r="C1148" s="58" t="n"/>
      <c r="D1148" s="58" t="n"/>
      <c r="E1148" s="64">
        <f>IF(tblCommentary[[#This Row],[Date]]="","",COUNTIFS(INDEX(tblCommentary[Date],1):tblCommentary[[#This Row],[Date]],tblCommentary[[#This Row],[Date]]))</f>
        <v/>
      </c>
      <c r="F1148" s="63">
        <f>IF(tblCommentary[[#This Row],[Date]]="","",tblCommentary[[#This Row],[Date]]&amp;"|"&amp;tblCommentary[[#This Row],[Seq_Day]])</f>
        <v/>
      </c>
    </row>
    <row r="1149">
      <c r="A1149" s="54" t="n"/>
      <c r="B1149" s="61" t="n"/>
      <c r="C1149" s="58" t="n"/>
      <c r="D1149" s="58" t="n"/>
      <c r="E1149" s="64">
        <f>IF(tblCommentary[[#This Row],[Date]]="","",COUNTIFS(INDEX(tblCommentary[Date],1):tblCommentary[[#This Row],[Date]],tblCommentary[[#This Row],[Date]]))</f>
        <v/>
      </c>
      <c r="F1149" s="63">
        <f>IF(tblCommentary[[#This Row],[Date]]="","",tblCommentary[[#This Row],[Date]]&amp;"|"&amp;tblCommentary[[#This Row],[Seq_Day]])</f>
        <v/>
      </c>
    </row>
    <row r="1150">
      <c r="A1150" s="54" t="n"/>
      <c r="B1150" s="61" t="n"/>
      <c r="C1150" s="58" t="n"/>
      <c r="D1150" s="58" t="n"/>
      <c r="E1150" s="64">
        <f>IF(tblCommentary[[#This Row],[Date]]="","",COUNTIFS(INDEX(tblCommentary[Date],1):tblCommentary[[#This Row],[Date]],tblCommentary[[#This Row],[Date]]))</f>
        <v/>
      </c>
      <c r="F1150" s="63">
        <f>IF(tblCommentary[[#This Row],[Date]]="","",tblCommentary[[#This Row],[Date]]&amp;"|"&amp;tblCommentary[[#This Row],[Seq_Day]])</f>
        <v/>
      </c>
    </row>
    <row r="1151">
      <c r="A1151" s="54" t="n"/>
      <c r="B1151" s="61" t="n"/>
      <c r="C1151" s="58" t="n"/>
      <c r="D1151" s="58" t="n"/>
      <c r="E1151" s="64">
        <f>IF(tblCommentary[[#This Row],[Date]]="","",COUNTIFS(INDEX(tblCommentary[Date],1):tblCommentary[[#This Row],[Date]],tblCommentary[[#This Row],[Date]]))</f>
        <v/>
      </c>
      <c r="F1151" s="63">
        <f>IF(tblCommentary[[#This Row],[Date]]="","",tblCommentary[[#This Row],[Date]]&amp;"|"&amp;tblCommentary[[#This Row],[Seq_Day]])</f>
        <v/>
      </c>
    </row>
    <row r="1152">
      <c r="A1152" s="54" t="n"/>
      <c r="B1152" s="61" t="n"/>
      <c r="C1152" s="58" t="n"/>
      <c r="D1152" s="58" t="n"/>
      <c r="E1152" s="64">
        <f>IF(tblCommentary[[#This Row],[Date]]="","",COUNTIFS(INDEX(tblCommentary[Date],1):tblCommentary[[#This Row],[Date]],tblCommentary[[#This Row],[Date]]))</f>
        <v/>
      </c>
      <c r="F1152" s="63">
        <f>IF(tblCommentary[[#This Row],[Date]]="","",tblCommentary[[#This Row],[Date]]&amp;"|"&amp;tblCommentary[[#This Row],[Seq_Day]])</f>
        <v/>
      </c>
    </row>
    <row r="1153">
      <c r="A1153" s="54" t="n"/>
      <c r="B1153" s="61" t="n"/>
      <c r="C1153" s="58" t="n"/>
      <c r="D1153" s="58" t="n"/>
      <c r="E1153" s="64">
        <f>IF(tblCommentary[[#This Row],[Date]]="","",COUNTIFS(INDEX(tblCommentary[Date],1):tblCommentary[[#This Row],[Date]],tblCommentary[[#This Row],[Date]]))</f>
        <v/>
      </c>
      <c r="F1153" s="63">
        <f>IF(tblCommentary[[#This Row],[Date]]="","",tblCommentary[[#This Row],[Date]]&amp;"|"&amp;tblCommentary[[#This Row],[Seq_Day]])</f>
        <v/>
      </c>
    </row>
    <row r="1154">
      <c r="A1154" s="54" t="n"/>
      <c r="B1154" s="61" t="n"/>
      <c r="C1154" s="58" t="n"/>
      <c r="D1154" s="58" t="n"/>
      <c r="E1154" s="64">
        <f>IF(tblCommentary[[#This Row],[Date]]="","",COUNTIFS(INDEX(tblCommentary[Date],1):tblCommentary[[#This Row],[Date]],tblCommentary[[#This Row],[Date]]))</f>
        <v/>
      </c>
      <c r="F1154" s="63">
        <f>IF(tblCommentary[[#This Row],[Date]]="","",tblCommentary[[#This Row],[Date]]&amp;"|"&amp;tblCommentary[[#This Row],[Seq_Day]])</f>
        <v/>
      </c>
    </row>
    <row r="1155">
      <c r="A1155" s="54" t="n"/>
      <c r="B1155" s="61" t="n"/>
      <c r="C1155" s="58" t="n"/>
      <c r="D1155" s="58" t="n"/>
      <c r="E1155" s="64">
        <f>IF(tblCommentary[[#This Row],[Date]]="","",COUNTIFS(INDEX(tblCommentary[Date],1):tblCommentary[[#This Row],[Date]],tblCommentary[[#This Row],[Date]]))</f>
        <v/>
      </c>
      <c r="F1155" s="63">
        <f>IF(tblCommentary[[#This Row],[Date]]="","",tblCommentary[[#This Row],[Date]]&amp;"|"&amp;tblCommentary[[#This Row],[Seq_Day]])</f>
        <v/>
      </c>
    </row>
    <row r="1156">
      <c r="A1156" s="54" t="n"/>
      <c r="B1156" s="61" t="n"/>
      <c r="C1156" s="58" t="n"/>
      <c r="D1156" s="58" t="n"/>
      <c r="E1156" s="64">
        <f>IF(tblCommentary[[#This Row],[Date]]="","",COUNTIFS(INDEX(tblCommentary[Date],1):tblCommentary[[#This Row],[Date]],tblCommentary[[#This Row],[Date]]))</f>
        <v/>
      </c>
      <c r="F1156" s="63">
        <f>IF(tblCommentary[[#This Row],[Date]]="","",tblCommentary[[#This Row],[Date]]&amp;"|"&amp;tblCommentary[[#This Row],[Seq_Day]])</f>
        <v/>
      </c>
    </row>
    <row r="1157">
      <c r="A1157" s="54" t="n"/>
      <c r="B1157" s="61" t="n"/>
      <c r="C1157" s="58" t="n"/>
      <c r="D1157" s="58" t="n"/>
      <c r="E1157" s="64">
        <f>IF(tblCommentary[[#This Row],[Date]]="","",COUNTIFS(INDEX(tblCommentary[Date],1):tblCommentary[[#This Row],[Date]],tblCommentary[[#This Row],[Date]]))</f>
        <v/>
      </c>
      <c r="F1157" s="63">
        <f>IF(tblCommentary[[#This Row],[Date]]="","",tblCommentary[[#This Row],[Date]]&amp;"|"&amp;tblCommentary[[#This Row],[Seq_Day]])</f>
        <v/>
      </c>
    </row>
    <row r="1158">
      <c r="A1158" s="54" t="n"/>
      <c r="B1158" s="61" t="n"/>
      <c r="C1158" s="58" t="n"/>
      <c r="D1158" s="58" t="n"/>
      <c r="E1158" s="64">
        <f>IF(tblCommentary[[#This Row],[Date]]="","",COUNTIFS(INDEX(tblCommentary[Date],1):tblCommentary[[#This Row],[Date]],tblCommentary[[#This Row],[Date]]))</f>
        <v/>
      </c>
      <c r="F1158" s="63">
        <f>IF(tblCommentary[[#This Row],[Date]]="","",tblCommentary[[#This Row],[Date]]&amp;"|"&amp;tblCommentary[[#This Row],[Seq_Day]])</f>
        <v/>
      </c>
    </row>
    <row r="1159">
      <c r="A1159" s="54" t="n"/>
      <c r="B1159" s="61" t="n"/>
      <c r="C1159" s="58" t="n"/>
      <c r="D1159" s="58" t="n"/>
      <c r="E1159" s="64">
        <f>IF(tblCommentary[[#This Row],[Date]]="","",COUNTIFS(INDEX(tblCommentary[Date],1):tblCommentary[[#This Row],[Date]],tblCommentary[[#This Row],[Date]]))</f>
        <v/>
      </c>
      <c r="F1159" s="63">
        <f>IF(tblCommentary[[#This Row],[Date]]="","",tblCommentary[[#This Row],[Date]]&amp;"|"&amp;tblCommentary[[#This Row],[Seq_Day]])</f>
        <v/>
      </c>
    </row>
    <row r="1160">
      <c r="A1160" s="54" t="n"/>
      <c r="B1160" s="61" t="n"/>
      <c r="C1160" s="58" t="n"/>
      <c r="D1160" s="58" t="n"/>
      <c r="E1160" s="64">
        <f>IF(tblCommentary[[#This Row],[Date]]="","",COUNTIFS(INDEX(tblCommentary[Date],1):tblCommentary[[#This Row],[Date]],tblCommentary[[#This Row],[Date]]))</f>
        <v/>
      </c>
      <c r="F1160" s="63">
        <f>IF(tblCommentary[[#This Row],[Date]]="","",tblCommentary[[#This Row],[Date]]&amp;"|"&amp;tblCommentary[[#This Row],[Seq_Day]])</f>
        <v/>
      </c>
    </row>
    <row r="1161">
      <c r="A1161" s="54" t="n"/>
      <c r="B1161" s="61" t="n"/>
      <c r="C1161" s="58" t="n"/>
      <c r="D1161" s="58" t="n"/>
      <c r="E1161" s="64">
        <f>IF(tblCommentary[[#This Row],[Date]]="","",COUNTIFS(INDEX(tblCommentary[Date],1):tblCommentary[[#This Row],[Date]],tblCommentary[[#This Row],[Date]]))</f>
        <v/>
      </c>
      <c r="F1161" s="63">
        <f>IF(tblCommentary[[#This Row],[Date]]="","",tblCommentary[[#This Row],[Date]]&amp;"|"&amp;tblCommentary[[#This Row],[Seq_Day]])</f>
        <v/>
      </c>
    </row>
    <row r="1162">
      <c r="A1162" s="54" t="n"/>
      <c r="B1162" s="61" t="n"/>
      <c r="C1162" s="58" t="n"/>
      <c r="D1162" s="58" t="n"/>
      <c r="E1162" s="64">
        <f>IF(tblCommentary[[#This Row],[Date]]="","",COUNTIFS(INDEX(tblCommentary[Date],1):tblCommentary[[#This Row],[Date]],tblCommentary[[#This Row],[Date]]))</f>
        <v/>
      </c>
      <c r="F1162" s="63">
        <f>IF(tblCommentary[[#This Row],[Date]]="","",tblCommentary[[#This Row],[Date]]&amp;"|"&amp;tblCommentary[[#This Row],[Seq_Day]])</f>
        <v/>
      </c>
    </row>
    <row r="1163">
      <c r="A1163" s="54" t="n"/>
      <c r="B1163" s="61" t="n"/>
      <c r="C1163" s="58" t="n"/>
      <c r="D1163" s="58" t="n"/>
      <c r="E1163" s="64">
        <f>IF(tblCommentary[[#This Row],[Date]]="","",COUNTIFS(INDEX(tblCommentary[Date],1):tblCommentary[[#This Row],[Date]],tblCommentary[[#This Row],[Date]]))</f>
        <v/>
      </c>
      <c r="F1163" s="63">
        <f>IF(tblCommentary[[#This Row],[Date]]="","",tblCommentary[[#This Row],[Date]]&amp;"|"&amp;tblCommentary[[#This Row],[Seq_Day]])</f>
        <v/>
      </c>
    </row>
    <row r="1164">
      <c r="A1164" s="54" t="n"/>
      <c r="B1164" s="61" t="n"/>
      <c r="C1164" s="58" t="n"/>
      <c r="D1164" s="58" t="n"/>
      <c r="E1164" s="64">
        <f>IF(tblCommentary[[#This Row],[Date]]="","",COUNTIFS(INDEX(tblCommentary[Date],1):tblCommentary[[#This Row],[Date]],tblCommentary[[#This Row],[Date]]))</f>
        <v/>
      </c>
      <c r="F1164" s="63">
        <f>IF(tblCommentary[[#This Row],[Date]]="","",tblCommentary[[#This Row],[Date]]&amp;"|"&amp;tblCommentary[[#This Row],[Seq_Day]])</f>
        <v/>
      </c>
    </row>
    <row r="1165">
      <c r="A1165" s="54" t="n"/>
      <c r="B1165" s="61" t="n"/>
      <c r="C1165" s="58" t="n"/>
      <c r="D1165" s="58" t="n"/>
      <c r="E1165" s="64">
        <f>IF(tblCommentary[[#This Row],[Date]]="","",COUNTIFS(INDEX(tblCommentary[Date],1):tblCommentary[[#This Row],[Date]],tblCommentary[[#This Row],[Date]]))</f>
        <v/>
      </c>
      <c r="F1165" s="63">
        <f>IF(tblCommentary[[#This Row],[Date]]="","",tblCommentary[[#This Row],[Date]]&amp;"|"&amp;tblCommentary[[#This Row],[Seq_Day]])</f>
        <v/>
      </c>
    </row>
    <row r="1166">
      <c r="A1166" s="54" t="n"/>
      <c r="B1166" s="61" t="n"/>
      <c r="C1166" s="58" t="n"/>
      <c r="D1166" s="58" t="n"/>
      <c r="E1166" s="64">
        <f>IF(tblCommentary[[#This Row],[Date]]="","",COUNTIFS(INDEX(tblCommentary[Date],1):tblCommentary[[#This Row],[Date]],tblCommentary[[#This Row],[Date]]))</f>
        <v/>
      </c>
      <c r="F1166" s="63">
        <f>IF(tblCommentary[[#This Row],[Date]]="","",tblCommentary[[#This Row],[Date]]&amp;"|"&amp;tblCommentary[[#This Row],[Seq_Day]])</f>
        <v/>
      </c>
    </row>
    <row r="1167">
      <c r="A1167" s="54" t="n"/>
      <c r="B1167" s="61" t="n"/>
      <c r="C1167" s="58" t="n"/>
      <c r="D1167" s="58" t="n"/>
      <c r="E1167" s="64">
        <f>IF(tblCommentary[[#This Row],[Date]]="","",COUNTIFS(INDEX(tblCommentary[Date],1):tblCommentary[[#This Row],[Date]],tblCommentary[[#This Row],[Date]]))</f>
        <v/>
      </c>
      <c r="F1167" s="63">
        <f>IF(tblCommentary[[#This Row],[Date]]="","",tblCommentary[[#This Row],[Date]]&amp;"|"&amp;tblCommentary[[#This Row],[Seq_Day]])</f>
        <v/>
      </c>
    </row>
    <row r="1168">
      <c r="A1168" s="54" t="n"/>
      <c r="B1168" s="61" t="n"/>
      <c r="C1168" s="58" t="n"/>
      <c r="D1168" s="58" t="n"/>
      <c r="E1168" s="64">
        <f>IF(tblCommentary[[#This Row],[Date]]="","",COUNTIFS(INDEX(tblCommentary[Date],1):tblCommentary[[#This Row],[Date]],tblCommentary[[#This Row],[Date]]))</f>
        <v/>
      </c>
      <c r="F1168" s="63">
        <f>IF(tblCommentary[[#This Row],[Date]]="","",tblCommentary[[#This Row],[Date]]&amp;"|"&amp;tblCommentary[[#This Row],[Seq_Day]])</f>
        <v/>
      </c>
    </row>
    <row r="1169">
      <c r="A1169" s="54" t="n"/>
      <c r="B1169" s="61" t="n"/>
      <c r="C1169" s="58" t="n"/>
      <c r="D1169" s="58" t="n"/>
      <c r="E1169" s="64">
        <f>IF(tblCommentary[[#This Row],[Date]]="","",COUNTIFS(INDEX(tblCommentary[Date],1):tblCommentary[[#This Row],[Date]],tblCommentary[[#This Row],[Date]]))</f>
        <v/>
      </c>
      <c r="F1169" s="63">
        <f>IF(tblCommentary[[#This Row],[Date]]="","",tblCommentary[[#This Row],[Date]]&amp;"|"&amp;tblCommentary[[#This Row],[Seq_Day]])</f>
        <v/>
      </c>
    </row>
    <row r="1170">
      <c r="A1170" s="54" t="n"/>
      <c r="B1170" s="61" t="n"/>
      <c r="C1170" s="58" t="n"/>
      <c r="D1170" s="58" t="n"/>
      <c r="E1170" s="64">
        <f>IF(tblCommentary[[#This Row],[Date]]="","",COUNTIFS(INDEX(tblCommentary[Date],1):tblCommentary[[#This Row],[Date]],tblCommentary[[#This Row],[Date]]))</f>
        <v/>
      </c>
      <c r="F1170" s="63">
        <f>IF(tblCommentary[[#This Row],[Date]]="","",tblCommentary[[#This Row],[Date]]&amp;"|"&amp;tblCommentary[[#This Row],[Seq_Day]])</f>
        <v/>
      </c>
    </row>
    <row r="1171">
      <c r="A1171" s="54" t="n"/>
      <c r="B1171" s="61" t="n"/>
      <c r="C1171" s="58" t="n"/>
      <c r="D1171" s="58" t="n"/>
      <c r="E1171" s="64">
        <f>IF(tblCommentary[[#This Row],[Date]]="","",COUNTIFS(INDEX(tblCommentary[Date],1):tblCommentary[[#This Row],[Date]],tblCommentary[[#This Row],[Date]]))</f>
        <v/>
      </c>
      <c r="F1171" s="63">
        <f>IF(tblCommentary[[#This Row],[Date]]="","",tblCommentary[[#This Row],[Date]]&amp;"|"&amp;tblCommentary[[#This Row],[Seq_Day]])</f>
        <v/>
      </c>
    </row>
    <row r="1172">
      <c r="A1172" s="54" t="n"/>
      <c r="B1172" s="61" t="n"/>
      <c r="C1172" s="58" t="n"/>
      <c r="D1172" s="58" t="n"/>
      <c r="E1172" s="64">
        <f>IF(tblCommentary[[#This Row],[Date]]="","",COUNTIFS(INDEX(tblCommentary[Date],1):tblCommentary[[#This Row],[Date]],tblCommentary[[#This Row],[Date]]))</f>
        <v/>
      </c>
      <c r="F1172" s="63">
        <f>IF(tblCommentary[[#This Row],[Date]]="","",tblCommentary[[#This Row],[Date]]&amp;"|"&amp;tblCommentary[[#This Row],[Seq_Day]])</f>
        <v/>
      </c>
    </row>
    <row r="1173">
      <c r="A1173" s="54" t="n"/>
      <c r="B1173" s="61" t="n"/>
      <c r="C1173" s="58" t="n"/>
      <c r="D1173" s="58" t="n"/>
      <c r="E1173" s="64">
        <f>IF(tblCommentary[[#This Row],[Date]]="","",COUNTIFS(INDEX(tblCommentary[Date],1):tblCommentary[[#This Row],[Date]],tblCommentary[[#This Row],[Date]]))</f>
        <v/>
      </c>
      <c r="F1173" s="63">
        <f>IF(tblCommentary[[#This Row],[Date]]="","",tblCommentary[[#This Row],[Date]]&amp;"|"&amp;tblCommentary[[#This Row],[Seq_Day]])</f>
        <v/>
      </c>
    </row>
    <row r="1174">
      <c r="A1174" s="54" t="n"/>
      <c r="B1174" s="61" t="n"/>
      <c r="C1174" s="58" t="n"/>
      <c r="D1174" s="58" t="n"/>
      <c r="E1174" s="64">
        <f>IF(tblCommentary[[#This Row],[Date]]="","",COUNTIFS(INDEX(tblCommentary[Date],1):tblCommentary[[#This Row],[Date]],tblCommentary[[#This Row],[Date]]))</f>
        <v/>
      </c>
      <c r="F1174" s="63">
        <f>IF(tblCommentary[[#This Row],[Date]]="","",tblCommentary[[#This Row],[Date]]&amp;"|"&amp;tblCommentary[[#This Row],[Seq_Day]])</f>
        <v/>
      </c>
    </row>
    <row r="1175">
      <c r="A1175" s="54" t="n"/>
      <c r="B1175" s="61" t="n"/>
      <c r="C1175" s="58" t="n"/>
      <c r="D1175" s="58" t="n"/>
      <c r="E1175" s="64">
        <f>IF(tblCommentary[[#This Row],[Date]]="","",COUNTIFS(INDEX(tblCommentary[Date],1):tblCommentary[[#This Row],[Date]],tblCommentary[[#This Row],[Date]]))</f>
        <v/>
      </c>
      <c r="F1175" s="63">
        <f>IF(tblCommentary[[#This Row],[Date]]="","",tblCommentary[[#This Row],[Date]]&amp;"|"&amp;tblCommentary[[#This Row],[Seq_Day]])</f>
        <v/>
      </c>
    </row>
    <row r="1176">
      <c r="A1176" s="54" t="n"/>
      <c r="B1176" s="61" t="n"/>
      <c r="C1176" s="58" t="n"/>
      <c r="D1176" s="58" t="n"/>
      <c r="E1176" s="64">
        <f>IF(tblCommentary[[#This Row],[Date]]="","",COUNTIFS(INDEX(tblCommentary[Date],1):tblCommentary[[#This Row],[Date]],tblCommentary[[#This Row],[Date]]))</f>
        <v/>
      </c>
      <c r="F1176" s="63">
        <f>IF(tblCommentary[[#This Row],[Date]]="","",tblCommentary[[#This Row],[Date]]&amp;"|"&amp;tblCommentary[[#This Row],[Seq_Day]])</f>
        <v/>
      </c>
    </row>
    <row r="1177">
      <c r="A1177" s="54" t="n"/>
      <c r="B1177" s="61" t="n"/>
      <c r="C1177" s="58" t="n"/>
      <c r="D1177" s="58" t="n"/>
      <c r="E1177" s="64">
        <f>IF(tblCommentary[[#This Row],[Date]]="","",COUNTIFS(INDEX(tblCommentary[Date],1):tblCommentary[[#This Row],[Date]],tblCommentary[[#This Row],[Date]]))</f>
        <v/>
      </c>
      <c r="F1177" s="63">
        <f>IF(tblCommentary[[#This Row],[Date]]="","",tblCommentary[[#This Row],[Date]]&amp;"|"&amp;tblCommentary[[#This Row],[Seq_Day]])</f>
        <v/>
      </c>
    </row>
    <row r="1178">
      <c r="A1178" s="54" t="n"/>
      <c r="B1178" s="61" t="n"/>
      <c r="C1178" s="58" t="n"/>
      <c r="D1178" s="58" t="n"/>
      <c r="E1178" s="64">
        <f>IF(tblCommentary[[#This Row],[Date]]="","",COUNTIFS(INDEX(tblCommentary[Date],1):tblCommentary[[#This Row],[Date]],tblCommentary[[#This Row],[Date]]))</f>
        <v/>
      </c>
      <c r="F1178" s="63">
        <f>IF(tblCommentary[[#This Row],[Date]]="","",tblCommentary[[#This Row],[Date]]&amp;"|"&amp;tblCommentary[[#This Row],[Seq_Day]])</f>
        <v/>
      </c>
    </row>
    <row r="1179">
      <c r="A1179" s="54" t="n"/>
      <c r="B1179" s="61" t="n"/>
      <c r="C1179" s="58" t="n"/>
      <c r="D1179" s="58" t="n"/>
      <c r="E1179" s="64">
        <f>IF(tblCommentary[[#This Row],[Date]]="","",COUNTIFS(INDEX(tblCommentary[Date],1):tblCommentary[[#This Row],[Date]],tblCommentary[[#This Row],[Date]]))</f>
        <v/>
      </c>
      <c r="F1179" s="63">
        <f>IF(tblCommentary[[#This Row],[Date]]="","",tblCommentary[[#This Row],[Date]]&amp;"|"&amp;tblCommentary[[#This Row],[Seq_Day]])</f>
        <v/>
      </c>
    </row>
    <row r="1180">
      <c r="A1180" s="54" t="n"/>
      <c r="B1180" s="61" t="n"/>
      <c r="C1180" s="58" t="n"/>
      <c r="D1180" s="58" t="n"/>
      <c r="E1180" s="64">
        <f>IF(tblCommentary[[#This Row],[Date]]="","",COUNTIFS(INDEX(tblCommentary[Date],1):tblCommentary[[#This Row],[Date]],tblCommentary[[#This Row],[Date]]))</f>
        <v/>
      </c>
      <c r="F1180" s="63">
        <f>IF(tblCommentary[[#This Row],[Date]]="","",tblCommentary[[#This Row],[Date]]&amp;"|"&amp;tblCommentary[[#This Row],[Seq_Day]])</f>
        <v/>
      </c>
    </row>
    <row r="1181">
      <c r="A1181" s="54" t="n"/>
      <c r="B1181" s="61" t="n"/>
      <c r="C1181" s="58" t="n"/>
      <c r="D1181" s="58" t="n"/>
      <c r="E1181" s="64">
        <f>IF(tblCommentary[[#This Row],[Date]]="","",COUNTIFS(INDEX(tblCommentary[Date],1):tblCommentary[[#This Row],[Date]],tblCommentary[[#This Row],[Date]]))</f>
        <v/>
      </c>
      <c r="F1181" s="63">
        <f>IF(tblCommentary[[#This Row],[Date]]="","",tblCommentary[[#This Row],[Date]]&amp;"|"&amp;tblCommentary[[#This Row],[Seq_Day]])</f>
        <v/>
      </c>
    </row>
    <row r="1182">
      <c r="A1182" s="54" t="n"/>
      <c r="B1182" s="61" t="n"/>
      <c r="C1182" s="58" t="n"/>
      <c r="D1182" s="58" t="n"/>
      <c r="E1182" s="64">
        <f>IF(tblCommentary[[#This Row],[Date]]="","",COUNTIFS(INDEX(tblCommentary[Date],1):tblCommentary[[#This Row],[Date]],tblCommentary[[#This Row],[Date]]))</f>
        <v/>
      </c>
      <c r="F1182" s="63">
        <f>IF(tblCommentary[[#This Row],[Date]]="","",tblCommentary[[#This Row],[Date]]&amp;"|"&amp;tblCommentary[[#This Row],[Seq_Day]])</f>
        <v/>
      </c>
    </row>
    <row r="1183">
      <c r="A1183" s="54" t="n"/>
      <c r="B1183" s="61" t="n"/>
      <c r="C1183" s="58" t="n"/>
      <c r="D1183" s="58" t="n"/>
      <c r="E1183" s="64">
        <f>IF(tblCommentary[[#This Row],[Date]]="","",COUNTIFS(INDEX(tblCommentary[Date],1):tblCommentary[[#This Row],[Date]],tblCommentary[[#This Row],[Date]]))</f>
        <v/>
      </c>
      <c r="F1183" s="63">
        <f>IF(tblCommentary[[#This Row],[Date]]="","",tblCommentary[[#This Row],[Date]]&amp;"|"&amp;tblCommentary[[#This Row],[Seq_Day]])</f>
        <v/>
      </c>
    </row>
    <row r="1184">
      <c r="A1184" s="54" t="n"/>
      <c r="B1184" s="61" t="n"/>
      <c r="C1184" s="58" t="n"/>
      <c r="D1184" s="58" t="n"/>
      <c r="E1184" s="64">
        <f>IF(tblCommentary[[#This Row],[Date]]="","",COUNTIFS(INDEX(tblCommentary[Date],1):tblCommentary[[#This Row],[Date]],tblCommentary[[#This Row],[Date]]))</f>
        <v/>
      </c>
      <c r="F1184" s="63">
        <f>IF(tblCommentary[[#This Row],[Date]]="","",tblCommentary[[#This Row],[Date]]&amp;"|"&amp;tblCommentary[[#This Row],[Seq_Day]])</f>
        <v/>
      </c>
    </row>
    <row r="1185">
      <c r="A1185" s="54" t="n"/>
      <c r="B1185" s="61" t="n"/>
      <c r="C1185" s="58" t="n"/>
      <c r="D1185" s="58" t="n"/>
      <c r="E1185" s="64">
        <f>IF(tblCommentary[[#This Row],[Date]]="","",COUNTIFS(INDEX(tblCommentary[Date],1):tblCommentary[[#This Row],[Date]],tblCommentary[[#This Row],[Date]]))</f>
        <v/>
      </c>
      <c r="F1185" s="63">
        <f>IF(tblCommentary[[#This Row],[Date]]="","",tblCommentary[[#This Row],[Date]]&amp;"|"&amp;tblCommentary[[#This Row],[Seq_Day]])</f>
        <v/>
      </c>
    </row>
    <row r="1186">
      <c r="A1186" s="54" t="n"/>
      <c r="B1186" s="61" t="n"/>
      <c r="C1186" s="58" t="n"/>
      <c r="D1186" s="58" t="n"/>
      <c r="E1186" s="64">
        <f>IF(tblCommentary[[#This Row],[Date]]="","",COUNTIFS(INDEX(tblCommentary[Date],1):tblCommentary[[#This Row],[Date]],tblCommentary[[#This Row],[Date]]))</f>
        <v/>
      </c>
      <c r="F1186" s="63">
        <f>IF(tblCommentary[[#This Row],[Date]]="","",tblCommentary[[#This Row],[Date]]&amp;"|"&amp;tblCommentary[[#This Row],[Seq_Day]])</f>
        <v/>
      </c>
    </row>
    <row r="1187">
      <c r="A1187" s="54" t="n"/>
      <c r="B1187" s="61" t="n"/>
      <c r="C1187" s="58" t="n"/>
      <c r="D1187" s="58" t="n"/>
      <c r="E1187" s="64">
        <f>IF(tblCommentary[[#This Row],[Date]]="","",COUNTIFS(INDEX(tblCommentary[Date],1):tblCommentary[[#This Row],[Date]],tblCommentary[[#This Row],[Date]]))</f>
        <v/>
      </c>
      <c r="F1187" s="63">
        <f>IF(tblCommentary[[#This Row],[Date]]="","",tblCommentary[[#This Row],[Date]]&amp;"|"&amp;tblCommentary[[#This Row],[Seq_Day]])</f>
        <v/>
      </c>
    </row>
    <row r="1188">
      <c r="A1188" s="54" t="n"/>
      <c r="B1188" s="61" t="n"/>
      <c r="C1188" s="58" t="n"/>
      <c r="D1188" s="58" t="n"/>
      <c r="E1188" s="64">
        <f>IF(tblCommentary[[#This Row],[Date]]="","",COUNTIFS(INDEX(tblCommentary[Date],1):tblCommentary[[#This Row],[Date]],tblCommentary[[#This Row],[Date]]))</f>
        <v/>
      </c>
      <c r="F1188" s="63">
        <f>IF(tblCommentary[[#This Row],[Date]]="","",tblCommentary[[#This Row],[Date]]&amp;"|"&amp;tblCommentary[[#This Row],[Seq_Day]])</f>
        <v/>
      </c>
    </row>
    <row r="1189">
      <c r="A1189" s="54" t="n"/>
      <c r="B1189" s="61" t="n"/>
      <c r="C1189" s="58" t="n"/>
      <c r="D1189" s="58" t="n"/>
      <c r="E1189" s="64">
        <f>IF(tblCommentary[[#This Row],[Date]]="","",COUNTIFS(INDEX(tblCommentary[Date],1):tblCommentary[[#This Row],[Date]],tblCommentary[[#This Row],[Date]]))</f>
        <v/>
      </c>
      <c r="F1189" s="63">
        <f>IF(tblCommentary[[#This Row],[Date]]="","",tblCommentary[[#This Row],[Date]]&amp;"|"&amp;tblCommentary[[#This Row],[Seq_Day]])</f>
        <v/>
      </c>
    </row>
    <row r="1190">
      <c r="A1190" s="54" t="n"/>
      <c r="B1190" s="61" t="n"/>
      <c r="C1190" s="58" t="n"/>
      <c r="D1190" s="58" t="n"/>
      <c r="E1190" s="64">
        <f>IF(tblCommentary[[#This Row],[Date]]="","",COUNTIFS(INDEX(tblCommentary[Date],1):tblCommentary[[#This Row],[Date]],tblCommentary[[#This Row],[Date]]))</f>
        <v/>
      </c>
      <c r="F1190" s="63">
        <f>IF(tblCommentary[[#This Row],[Date]]="","",tblCommentary[[#This Row],[Date]]&amp;"|"&amp;tblCommentary[[#This Row],[Seq_Day]])</f>
        <v/>
      </c>
    </row>
    <row r="1191">
      <c r="A1191" s="54" t="n"/>
      <c r="B1191" s="61" t="n"/>
      <c r="C1191" s="58" t="n"/>
      <c r="D1191" s="58" t="n"/>
      <c r="E1191" s="64">
        <f>IF(tblCommentary[[#This Row],[Date]]="","",COUNTIFS(INDEX(tblCommentary[Date],1):tblCommentary[[#This Row],[Date]],tblCommentary[[#This Row],[Date]]))</f>
        <v/>
      </c>
      <c r="F1191" s="63">
        <f>IF(tblCommentary[[#This Row],[Date]]="","",tblCommentary[[#This Row],[Date]]&amp;"|"&amp;tblCommentary[[#This Row],[Seq_Day]])</f>
        <v/>
      </c>
    </row>
    <row r="1192">
      <c r="A1192" s="54" t="n"/>
      <c r="B1192" s="61" t="n"/>
      <c r="C1192" s="58" t="n"/>
      <c r="D1192" s="58" t="n"/>
      <c r="E1192" s="64">
        <f>IF(tblCommentary[[#This Row],[Date]]="","",COUNTIFS(INDEX(tblCommentary[Date],1):tblCommentary[[#This Row],[Date]],tblCommentary[[#This Row],[Date]]))</f>
        <v/>
      </c>
      <c r="F1192" s="63">
        <f>IF(tblCommentary[[#This Row],[Date]]="","",tblCommentary[[#This Row],[Date]]&amp;"|"&amp;tblCommentary[[#This Row],[Seq_Day]])</f>
        <v/>
      </c>
    </row>
    <row r="1193">
      <c r="A1193" s="54" t="n"/>
      <c r="B1193" s="61" t="n"/>
      <c r="C1193" s="58" t="n"/>
      <c r="D1193" s="58" t="n"/>
      <c r="E1193" s="64">
        <f>IF(tblCommentary[[#This Row],[Date]]="","",COUNTIFS(INDEX(tblCommentary[Date],1):tblCommentary[[#This Row],[Date]],tblCommentary[[#This Row],[Date]]))</f>
        <v/>
      </c>
      <c r="F1193" s="63">
        <f>IF(tblCommentary[[#This Row],[Date]]="","",tblCommentary[[#This Row],[Date]]&amp;"|"&amp;tblCommentary[[#This Row],[Seq_Day]])</f>
        <v/>
      </c>
    </row>
    <row r="1194">
      <c r="A1194" s="54" t="n"/>
      <c r="B1194" s="61" t="n"/>
      <c r="C1194" s="58" t="n"/>
      <c r="D1194" s="58" t="n"/>
      <c r="E1194" s="64">
        <f>IF(tblCommentary[[#This Row],[Date]]="","",COUNTIFS(INDEX(tblCommentary[Date],1):tblCommentary[[#This Row],[Date]],tblCommentary[[#This Row],[Date]]))</f>
        <v/>
      </c>
      <c r="F1194" s="63">
        <f>IF(tblCommentary[[#This Row],[Date]]="","",tblCommentary[[#This Row],[Date]]&amp;"|"&amp;tblCommentary[[#This Row],[Seq_Day]])</f>
        <v/>
      </c>
    </row>
    <row r="1195">
      <c r="A1195" s="54" t="n"/>
      <c r="B1195" s="61" t="n"/>
      <c r="C1195" s="58" t="n"/>
      <c r="D1195" s="58" t="n"/>
      <c r="E1195" s="64">
        <f>IF(tblCommentary[[#This Row],[Date]]="","",COUNTIFS(INDEX(tblCommentary[Date],1):tblCommentary[[#This Row],[Date]],tblCommentary[[#This Row],[Date]]))</f>
        <v/>
      </c>
      <c r="F1195" s="63">
        <f>IF(tblCommentary[[#This Row],[Date]]="","",tblCommentary[[#This Row],[Date]]&amp;"|"&amp;tblCommentary[[#This Row],[Seq_Day]])</f>
        <v/>
      </c>
    </row>
    <row r="1196">
      <c r="A1196" s="54" t="n"/>
      <c r="B1196" s="61" t="n"/>
      <c r="C1196" s="58" t="n"/>
      <c r="D1196" s="58" t="n"/>
      <c r="E1196" s="64">
        <f>IF(tblCommentary[[#This Row],[Date]]="","",COUNTIFS(INDEX(tblCommentary[Date],1):tblCommentary[[#This Row],[Date]],tblCommentary[[#This Row],[Date]]))</f>
        <v/>
      </c>
      <c r="F1196" s="63">
        <f>IF(tblCommentary[[#This Row],[Date]]="","",tblCommentary[[#This Row],[Date]]&amp;"|"&amp;tblCommentary[[#This Row],[Seq_Day]])</f>
        <v/>
      </c>
    </row>
    <row r="1197">
      <c r="A1197" s="54" t="n"/>
      <c r="B1197" s="61" t="n"/>
      <c r="C1197" s="58" t="n"/>
      <c r="D1197" s="58" t="n"/>
      <c r="E1197" s="64">
        <f>IF(tblCommentary[[#This Row],[Date]]="","",COUNTIFS(INDEX(tblCommentary[Date],1):tblCommentary[[#This Row],[Date]],tblCommentary[[#This Row],[Date]]))</f>
        <v/>
      </c>
      <c r="F1197" s="63">
        <f>IF(tblCommentary[[#This Row],[Date]]="","",tblCommentary[[#This Row],[Date]]&amp;"|"&amp;tblCommentary[[#This Row],[Seq_Day]])</f>
        <v/>
      </c>
    </row>
    <row r="1198">
      <c r="A1198" s="54" t="n"/>
      <c r="B1198" s="61" t="n"/>
      <c r="C1198" s="58" t="n"/>
      <c r="D1198" s="58" t="n"/>
      <c r="E1198" s="64">
        <f>IF(tblCommentary[[#This Row],[Date]]="","",COUNTIFS(INDEX(tblCommentary[Date],1):tblCommentary[[#This Row],[Date]],tblCommentary[[#This Row],[Date]]))</f>
        <v/>
      </c>
      <c r="F1198" s="63">
        <f>IF(tblCommentary[[#This Row],[Date]]="","",tblCommentary[[#This Row],[Date]]&amp;"|"&amp;tblCommentary[[#This Row],[Seq_Day]])</f>
        <v/>
      </c>
    </row>
    <row r="1199">
      <c r="A1199" s="54" t="n"/>
      <c r="B1199" s="61" t="n"/>
      <c r="C1199" s="58" t="n"/>
      <c r="D1199" s="58" t="n"/>
      <c r="E1199" s="64">
        <f>IF(tblCommentary[[#This Row],[Date]]="","",COUNTIFS(INDEX(tblCommentary[Date],1):tblCommentary[[#This Row],[Date]],tblCommentary[[#This Row],[Date]]))</f>
        <v/>
      </c>
      <c r="F1199" s="63">
        <f>IF(tblCommentary[[#This Row],[Date]]="","",tblCommentary[[#This Row],[Date]]&amp;"|"&amp;tblCommentary[[#This Row],[Seq_Day]])</f>
        <v/>
      </c>
    </row>
    <row r="1200">
      <c r="A1200" s="54" t="n"/>
      <c r="B1200" s="61" t="n"/>
      <c r="C1200" s="58" t="n"/>
      <c r="D1200" s="58" t="n"/>
      <c r="E1200" s="64">
        <f>IF(tblCommentary[[#This Row],[Date]]="","",COUNTIFS(INDEX(tblCommentary[Date],1):tblCommentary[[#This Row],[Date]],tblCommentary[[#This Row],[Date]]))</f>
        <v/>
      </c>
      <c r="F1200" s="63">
        <f>IF(tblCommentary[[#This Row],[Date]]="","",tblCommentary[[#This Row],[Date]]&amp;"|"&amp;tblCommentary[[#This Row],[Seq_Day]])</f>
        <v/>
      </c>
    </row>
    <row r="1201">
      <c r="A1201" s="54" t="n"/>
      <c r="B1201" s="61" t="n"/>
      <c r="C1201" s="58" t="n"/>
      <c r="D1201" s="58" t="n"/>
      <c r="E1201" s="64">
        <f>IF(tblCommentary[[#This Row],[Date]]="","",COUNTIFS(INDEX(tblCommentary[Date],1):tblCommentary[[#This Row],[Date]],tblCommentary[[#This Row],[Date]]))</f>
        <v/>
      </c>
      <c r="F1201" s="63">
        <f>IF(tblCommentary[[#This Row],[Date]]="","",tblCommentary[[#This Row],[Date]]&amp;"|"&amp;tblCommentary[[#This Row],[Seq_Day]])</f>
        <v/>
      </c>
    </row>
    <row r="1202">
      <c r="A1202" s="54" t="n"/>
      <c r="B1202" s="61" t="n"/>
      <c r="C1202" s="58" t="n"/>
      <c r="D1202" s="58" t="n"/>
      <c r="E1202" s="64">
        <f>IF(tblCommentary[[#This Row],[Date]]="","",COUNTIFS(INDEX(tblCommentary[Date],1):tblCommentary[[#This Row],[Date]],tblCommentary[[#This Row],[Date]]))</f>
        <v/>
      </c>
      <c r="F1202" s="63">
        <f>IF(tblCommentary[[#This Row],[Date]]="","",tblCommentary[[#This Row],[Date]]&amp;"|"&amp;tblCommentary[[#This Row],[Seq_Day]])</f>
        <v/>
      </c>
    </row>
    <row r="1203">
      <c r="A1203" s="54" t="n"/>
      <c r="B1203" s="61" t="n"/>
      <c r="C1203" s="58" t="n"/>
      <c r="D1203" s="58" t="n"/>
      <c r="E1203" s="64">
        <f>IF(tblCommentary[[#This Row],[Date]]="","",COUNTIFS(INDEX(tblCommentary[Date],1):tblCommentary[[#This Row],[Date]],tblCommentary[[#This Row],[Date]]))</f>
        <v/>
      </c>
      <c r="F1203" s="63">
        <f>IF(tblCommentary[[#This Row],[Date]]="","",tblCommentary[[#This Row],[Date]]&amp;"|"&amp;tblCommentary[[#This Row],[Seq_Day]])</f>
        <v/>
      </c>
    </row>
    <row r="1204">
      <c r="A1204" s="54" t="n"/>
      <c r="B1204" s="61" t="n"/>
      <c r="C1204" s="58" t="n"/>
      <c r="D1204" s="58" t="n"/>
      <c r="E1204" s="64">
        <f>IF(tblCommentary[[#This Row],[Date]]="","",COUNTIFS(INDEX(tblCommentary[Date],1):tblCommentary[[#This Row],[Date]],tblCommentary[[#This Row],[Date]]))</f>
        <v/>
      </c>
      <c r="F1204" s="63">
        <f>IF(tblCommentary[[#This Row],[Date]]="","",tblCommentary[[#This Row],[Date]]&amp;"|"&amp;tblCommentary[[#This Row],[Seq_Day]])</f>
        <v/>
      </c>
    </row>
    <row r="1205">
      <c r="A1205" s="54" t="n"/>
      <c r="B1205" s="61" t="n"/>
      <c r="C1205" s="58" t="n"/>
      <c r="D1205" s="58" t="n"/>
      <c r="E1205" s="64">
        <f>IF(tblCommentary[[#This Row],[Date]]="","",COUNTIFS(INDEX(tblCommentary[Date],1):tblCommentary[[#This Row],[Date]],tblCommentary[[#This Row],[Date]]))</f>
        <v/>
      </c>
      <c r="F1205" s="63">
        <f>IF(tblCommentary[[#This Row],[Date]]="","",tblCommentary[[#This Row],[Date]]&amp;"|"&amp;tblCommentary[[#This Row],[Seq_Day]])</f>
        <v/>
      </c>
    </row>
    <row r="1206">
      <c r="A1206" s="54" t="n"/>
      <c r="B1206" s="61" t="n"/>
      <c r="C1206" s="58" t="n"/>
      <c r="D1206" s="58" t="n"/>
      <c r="E1206" s="64">
        <f>IF(tblCommentary[[#This Row],[Date]]="","",COUNTIFS(INDEX(tblCommentary[Date],1):tblCommentary[[#This Row],[Date]],tblCommentary[[#This Row],[Date]]))</f>
        <v/>
      </c>
      <c r="F1206" s="63">
        <f>IF(tblCommentary[[#This Row],[Date]]="","",tblCommentary[[#This Row],[Date]]&amp;"|"&amp;tblCommentary[[#This Row],[Seq_Day]])</f>
        <v/>
      </c>
    </row>
    <row r="1207">
      <c r="A1207" s="54" t="n"/>
      <c r="B1207" s="61" t="n"/>
      <c r="C1207" s="58" t="n"/>
      <c r="D1207" s="58" t="n"/>
      <c r="E1207" s="64">
        <f>IF(tblCommentary[[#This Row],[Date]]="","",COUNTIFS(INDEX(tblCommentary[Date],1):tblCommentary[[#This Row],[Date]],tblCommentary[[#This Row],[Date]]))</f>
        <v/>
      </c>
      <c r="F1207" s="63">
        <f>IF(tblCommentary[[#This Row],[Date]]="","",tblCommentary[[#This Row],[Date]]&amp;"|"&amp;tblCommentary[[#This Row],[Seq_Day]])</f>
        <v/>
      </c>
    </row>
    <row r="1208">
      <c r="A1208" s="54" t="n"/>
      <c r="B1208" s="61" t="n"/>
      <c r="C1208" s="58" t="n"/>
      <c r="D1208" s="58" t="n"/>
      <c r="E1208" s="64">
        <f>IF(tblCommentary[[#This Row],[Date]]="","",COUNTIFS(INDEX(tblCommentary[Date],1):tblCommentary[[#This Row],[Date]],tblCommentary[[#This Row],[Date]]))</f>
        <v/>
      </c>
      <c r="F1208" s="63">
        <f>IF(tblCommentary[[#This Row],[Date]]="","",tblCommentary[[#This Row],[Date]]&amp;"|"&amp;tblCommentary[[#This Row],[Seq_Day]])</f>
        <v/>
      </c>
    </row>
    <row r="1209">
      <c r="A1209" s="54" t="n"/>
      <c r="B1209" s="61" t="n"/>
      <c r="C1209" s="58" t="n"/>
      <c r="D1209" s="58" t="n"/>
      <c r="E1209" s="64">
        <f>IF(tblCommentary[[#This Row],[Date]]="","",COUNTIFS(INDEX(tblCommentary[Date],1):tblCommentary[[#This Row],[Date]],tblCommentary[[#This Row],[Date]]))</f>
        <v/>
      </c>
      <c r="F1209" s="63">
        <f>IF(tblCommentary[[#This Row],[Date]]="","",tblCommentary[[#This Row],[Date]]&amp;"|"&amp;tblCommentary[[#This Row],[Seq_Day]])</f>
        <v/>
      </c>
    </row>
    <row r="1210">
      <c r="A1210" s="54" t="n"/>
      <c r="B1210" s="61" t="n"/>
      <c r="C1210" s="58" t="n"/>
      <c r="D1210" s="58" t="n"/>
      <c r="E1210" s="64">
        <f>IF(tblCommentary[[#This Row],[Date]]="","",COUNTIFS(INDEX(tblCommentary[Date],1):tblCommentary[[#This Row],[Date]],tblCommentary[[#This Row],[Date]]))</f>
        <v/>
      </c>
      <c r="F1210" s="63">
        <f>IF(tblCommentary[[#This Row],[Date]]="","",tblCommentary[[#This Row],[Date]]&amp;"|"&amp;tblCommentary[[#This Row],[Seq_Day]])</f>
        <v/>
      </c>
    </row>
    <row r="1211">
      <c r="A1211" s="54" t="n"/>
      <c r="B1211" s="61" t="n"/>
      <c r="C1211" s="58" t="n"/>
      <c r="D1211" s="58" t="n"/>
      <c r="E1211" s="64">
        <f>IF(tblCommentary[[#This Row],[Date]]="","",COUNTIFS(INDEX(tblCommentary[Date],1):tblCommentary[[#This Row],[Date]],tblCommentary[[#This Row],[Date]]))</f>
        <v/>
      </c>
      <c r="F1211" s="63">
        <f>IF(tblCommentary[[#This Row],[Date]]="","",tblCommentary[[#This Row],[Date]]&amp;"|"&amp;tblCommentary[[#This Row],[Seq_Day]])</f>
        <v/>
      </c>
    </row>
    <row r="1212">
      <c r="A1212" s="54" t="n"/>
      <c r="B1212" s="61" t="n"/>
      <c r="C1212" s="58" t="n"/>
      <c r="D1212" s="58" t="n"/>
      <c r="E1212" s="64">
        <f>IF(tblCommentary[[#This Row],[Date]]="","",COUNTIFS(INDEX(tblCommentary[Date],1):tblCommentary[[#This Row],[Date]],tblCommentary[[#This Row],[Date]]))</f>
        <v/>
      </c>
      <c r="F1212" s="63">
        <f>IF(tblCommentary[[#This Row],[Date]]="","",tblCommentary[[#This Row],[Date]]&amp;"|"&amp;tblCommentary[[#This Row],[Seq_Day]])</f>
        <v/>
      </c>
    </row>
    <row r="1213">
      <c r="A1213" s="54" t="n"/>
      <c r="B1213" s="61" t="n"/>
      <c r="C1213" s="58" t="n"/>
      <c r="D1213" s="58" t="n"/>
      <c r="E1213" s="64">
        <f>IF(tblCommentary[[#This Row],[Date]]="","",COUNTIFS(INDEX(tblCommentary[Date],1):tblCommentary[[#This Row],[Date]],tblCommentary[[#This Row],[Date]]))</f>
        <v/>
      </c>
      <c r="F1213" s="63">
        <f>IF(tblCommentary[[#This Row],[Date]]="","",tblCommentary[[#This Row],[Date]]&amp;"|"&amp;tblCommentary[[#This Row],[Seq_Day]])</f>
        <v/>
      </c>
    </row>
    <row r="1214">
      <c r="A1214" s="54" t="n"/>
      <c r="B1214" s="61" t="n"/>
      <c r="C1214" s="58" t="n"/>
      <c r="D1214" s="58" t="n"/>
      <c r="E1214" s="64">
        <f>IF(tblCommentary[[#This Row],[Date]]="","",COUNTIFS(INDEX(tblCommentary[Date],1):tblCommentary[[#This Row],[Date]],tblCommentary[[#This Row],[Date]]))</f>
        <v/>
      </c>
      <c r="F1214" s="63">
        <f>IF(tblCommentary[[#This Row],[Date]]="","",tblCommentary[[#This Row],[Date]]&amp;"|"&amp;tblCommentary[[#This Row],[Seq_Day]])</f>
        <v/>
      </c>
    </row>
    <row r="1215">
      <c r="A1215" s="54" t="n"/>
      <c r="B1215" s="61" t="n"/>
      <c r="C1215" s="58" t="n"/>
      <c r="D1215" s="58" t="n"/>
      <c r="E1215" s="64">
        <f>IF(tblCommentary[[#This Row],[Date]]="","",COUNTIFS(INDEX(tblCommentary[Date],1):tblCommentary[[#This Row],[Date]],tblCommentary[[#This Row],[Date]]))</f>
        <v/>
      </c>
      <c r="F1215" s="63">
        <f>IF(tblCommentary[[#This Row],[Date]]="","",tblCommentary[[#This Row],[Date]]&amp;"|"&amp;tblCommentary[[#This Row],[Seq_Day]])</f>
        <v/>
      </c>
    </row>
    <row r="1216">
      <c r="A1216" s="54" t="n"/>
      <c r="B1216" s="61" t="n"/>
      <c r="C1216" s="58" t="n"/>
      <c r="D1216" s="58" t="n"/>
      <c r="E1216" s="64">
        <f>IF(tblCommentary[[#This Row],[Date]]="","",COUNTIFS(INDEX(tblCommentary[Date],1):tblCommentary[[#This Row],[Date]],tblCommentary[[#This Row],[Date]]))</f>
        <v/>
      </c>
      <c r="F1216" s="63">
        <f>IF(tblCommentary[[#This Row],[Date]]="","",tblCommentary[[#This Row],[Date]]&amp;"|"&amp;tblCommentary[[#This Row],[Seq_Day]])</f>
        <v/>
      </c>
    </row>
    <row r="1217">
      <c r="A1217" s="54" t="n"/>
      <c r="B1217" s="61" t="n"/>
      <c r="C1217" s="58" t="n"/>
      <c r="D1217" s="58" t="n"/>
      <c r="E1217" s="64">
        <f>IF(tblCommentary[[#This Row],[Date]]="","",COUNTIFS(INDEX(tblCommentary[Date],1):tblCommentary[[#This Row],[Date]],tblCommentary[[#This Row],[Date]]))</f>
        <v/>
      </c>
      <c r="F1217" s="63">
        <f>IF(tblCommentary[[#This Row],[Date]]="","",tblCommentary[[#This Row],[Date]]&amp;"|"&amp;tblCommentary[[#This Row],[Seq_Day]])</f>
        <v/>
      </c>
    </row>
    <row r="1218">
      <c r="A1218" s="54" t="n"/>
      <c r="B1218" s="61" t="n"/>
      <c r="C1218" s="58" t="n"/>
      <c r="D1218" s="58" t="n"/>
      <c r="E1218" s="64">
        <f>IF(tblCommentary[[#This Row],[Date]]="","",COUNTIFS(INDEX(tblCommentary[Date],1):tblCommentary[[#This Row],[Date]],tblCommentary[[#This Row],[Date]]))</f>
        <v/>
      </c>
      <c r="F1218" s="63">
        <f>IF(tblCommentary[[#This Row],[Date]]="","",tblCommentary[[#This Row],[Date]]&amp;"|"&amp;tblCommentary[[#This Row],[Seq_Day]])</f>
        <v/>
      </c>
    </row>
    <row r="1219">
      <c r="A1219" s="54" t="n"/>
      <c r="B1219" s="61" t="n"/>
      <c r="C1219" s="58" t="n"/>
      <c r="D1219" s="58" t="n"/>
      <c r="E1219" s="64">
        <f>IF(tblCommentary[[#This Row],[Date]]="","",COUNTIFS(INDEX(tblCommentary[Date],1):tblCommentary[[#This Row],[Date]],tblCommentary[[#This Row],[Date]]))</f>
        <v/>
      </c>
      <c r="F1219" s="63">
        <f>IF(tblCommentary[[#This Row],[Date]]="","",tblCommentary[[#This Row],[Date]]&amp;"|"&amp;tblCommentary[[#This Row],[Seq_Day]])</f>
        <v/>
      </c>
    </row>
    <row r="1220">
      <c r="A1220" s="54" t="n"/>
      <c r="B1220" s="61" t="n"/>
      <c r="C1220" s="58" t="n"/>
      <c r="D1220" s="58" t="n"/>
      <c r="E1220" s="64">
        <f>IF(tblCommentary[[#This Row],[Date]]="","",COUNTIFS(INDEX(tblCommentary[Date],1):tblCommentary[[#This Row],[Date]],tblCommentary[[#This Row],[Date]]))</f>
        <v/>
      </c>
      <c r="F1220" s="63">
        <f>IF(tblCommentary[[#This Row],[Date]]="","",tblCommentary[[#This Row],[Date]]&amp;"|"&amp;tblCommentary[[#This Row],[Seq_Day]])</f>
        <v/>
      </c>
    </row>
    <row r="1221">
      <c r="A1221" s="54" t="n"/>
      <c r="B1221" s="61" t="n"/>
      <c r="C1221" s="58" t="n"/>
      <c r="D1221" s="58" t="n"/>
      <c r="E1221" s="64">
        <f>IF(tblCommentary[[#This Row],[Date]]="","",COUNTIFS(INDEX(tblCommentary[Date],1):tblCommentary[[#This Row],[Date]],tblCommentary[[#This Row],[Date]]))</f>
        <v/>
      </c>
      <c r="F1221" s="63">
        <f>IF(tblCommentary[[#This Row],[Date]]="","",tblCommentary[[#This Row],[Date]]&amp;"|"&amp;tblCommentary[[#This Row],[Seq_Day]])</f>
        <v/>
      </c>
    </row>
    <row r="1222">
      <c r="A1222" s="54" t="n"/>
      <c r="B1222" s="61" t="n"/>
      <c r="C1222" s="58" t="n"/>
      <c r="D1222" s="58" t="n"/>
      <c r="E1222" s="64">
        <f>IF(tblCommentary[[#This Row],[Date]]="","",COUNTIFS(INDEX(tblCommentary[Date],1):tblCommentary[[#This Row],[Date]],tblCommentary[[#This Row],[Date]]))</f>
        <v/>
      </c>
      <c r="F1222" s="63">
        <f>IF(tblCommentary[[#This Row],[Date]]="","",tblCommentary[[#This Row],[Date]]&amp;"|"&amp;tblCommentary[[#This Row],[Seq_Day]])</f>
        <v/>
      </c>
    </row>
    <row r="1223">
      <c r="A1223" s="54" t="n"/>
      <c r="B1223" s="61" t="n"/>
      <c r="C1223" s="58" t="n"/>
      <c r="D1223" s="58" t="n"/>
      <c r="E1223" s="64">
        <f>IF(tblCommentary[[#This Row],[Date]]="","",COUNTIFS(INDEX(tblCommentary[Date],1):tblCommentary[[#This Row],[Date]],tblCommentary[[#This Row],[Date]]))</f>
        <v/>
      </c>
      <c r="F1223" s="63">
        <f>IF(tblCommentary[[#This Row],[Date]]="","",tblCommentary[[#This Row],[Date]]&amp;"|"&amp;tblCommentary[[#This Row],[Seq_Day]])</f>
        <v/>
      </c>
    </row>
    <row r="1224">
      <c r="A1224" s="54" t="n"/>
      <c r="B1224" s="61" t="n"/>
      <c r="C1224" s="58" t="n"/>
      <c r="D1224" s="58" t="n"/>
      <c r="E1224" s="64">
        <f>IF(tblCommentary[[#This Row],[Date]]="","",COUNTIFS(INDEX(tblCommentary[Date],1):tblCommentary[[#This Row],[Date]],tblCommentary[[#This Row],[Date]]))</f>
        <v/>
      </c>
      <c r="F1224" s="63">
        <f>IF(tblCommentary[[#This Row],[Date]]="","",tblCommentary[[#This Row],[Date]]&amp;"|"&amp;tblCommentary[[#This Row],[Seq_Day]])</f>
        <v/>
      </c>
    </row>
    <row r="1225">
      <c r="A1225" s="54" t="n"/>
      <c r="B1225" s="61" t="n"/>
      <c r="C1225" s="58" t="n"/>
      <c r="D1225" s="58" t="n"/>
      <c r="E1225" s="64">
        <f>IF(tblCommentary[[#This Row],[Date]]="","",COUNTIFS(INDEX(tblCommentary[Date],1):tblCommentary[[#This Row],[Date]],tblCommentary[[#This Row],[Date]]))</f>
        <v/>
      </c>
      <c r="F1225" s="63">
        <f>IF(tblCommentary[[#This Row],[Date]]="","",tblCommentary[[#This Row],[Date]]&amp;"|"&amp;tblCommentary[[#This Row],[Seq_Day]])</f>
        <v/>
      </c>
    </row>
    <row r="1226">
      <c r="A1226" s="54" t="n"/>
      <c r="B1226" s="61" t="n"/>
      <c r="C1226" s="58" t="n"/>
      <c r="D1226" s="58" t="n"/>
      <c r="E1226" s="64">
        <f>IF(tblCommentary[[#This Row],[Date]]="","",COUNTIFS(INDEX(tblCommentary[Date],1):tblCommentary[[#This Row],[Date]],tblCommentary[[#This Row],[Date]]))</f>
        <v/>
      </c>
      <c r="F1226" s="63">
        <f>IF(tblCommentary[[#This Row],[Date]]="","",tblCommentary[[#This Row],[Date]]&amp;"|"&amp;tblCommentary[[#This Row],[Seq_Day]])</f>
        <v/>
      </c>
    </row>
    <row r="1227">
      <c r="A1227" s="54" t="n"/>
      <c r="B1227" s="61" t="n"/>
      <c r="C1227" s="58" t="n"/>
      <c r="D1227" s="58" t="n"/>
      <c r="E1227" s="64">
        <f>IF(tblCommentary[[#This Row],[Date]]="","",COUNTIFS(INDEX(tblCommentary[Date],1):tblCommentary[[#This Row],[Date]],tblCommentary[[#This Row],[Date]]))</f>
        <v/>
      </c>
      <c r="F1227" s="63">
        <f>IF(tblCommentary[[#This Row],[Date]]="","",tblCommentary[[#This Row],[Date]]&amp;"|"&amp;tblCommentary[[#This Row],[Seq_Day]])</f>
        <v/>
      </c>
    </row>
    <row r="1228">
      <c r="A1228" s="54" t="n"/>
      <c r="B1228" s="61" t="n"/>
      <c r="C1228" s="58" t="n"/>
      <c r="D1228" s="58" t="n"/>
      <c r="E1228" s="64">
        <f>IF(tblCommentary[[#This Row],[Date]]="","",COUNTIFS(INDEX(tblCommentary[Date],1):tblCommentary[[#This Row],[Date]],tblCommentary[[#This Row],[Date]]))</f>
        <v/>
      </c>
      <c r="F1228" s="63">
        <f>IF(tblCommentary[[#This Row],[Date]]="","",tblCommentary[[#This Row],[Date]]&amp;"|"&amp;tblCommentary[[#This Row],[Seq_Day]])</f>
        <v/>
      </c>
    </row>
    <row r="1229">
      <c r="A1229" s="54" t="n"/>
      <c r="B1229" s="61" t="n"/>
      <c r="C1229" s="58" t="n"/>
      <c r="D1229" s="58" t="n"/>
      <c r="E1229" s="64">
        <f>IF(tblCommentary[[#This Row],[Date]]="","",COUNTIFS(INDEX(tblCommentary[Date],1):tblCommentary[[#This Row],[Date]],tblCommentary[[#This Row],[Date]]))</f>
        <v/>
      </c>
      <c r="F1229" s="63">
        <f>IF(tblCommentary[[#This Row],[Date]]="","",tblCommentary[[#This Row],[Date]]&amp;"|"&amp;tblCommentary[[#This Row],[Seq_Day]])</f>
        <v/>
      </c>
    </row>
    <row r="1230">
      <c r="A1230" s="54" t="n"/>
      <c r="B1230" s="61" t="n"/>
      <c r="C1230" s="58" t="n"/>
      <c r="D1230" s="58" t="n"/>
      <c r="E1230" s="64">
        <f>IF(tblCommentary[[#This Row],[Date]]="","",COUNTIFS(INDEX(tblCommentary[Date],1):tblCommentary[[#This Row],[Date]],tblCommentary[[#This Row],[Date]]))</f>
        <v/>
      </c>
      <c r="F1230" s="63">
        <f>IF(tblCommentary[[#This Row],[Date]]="","",tblCommentary[[#This Row],[Date]]&amp;"|"&amp;tblCommentary[[#This Row],[Seq_Day]])</f>
        <v/>
      </c>
    </row>
    <row r="1231">
      <c r="A1231" s="54" t="n"/>
      <c r="B1231" s="61" t="n"/>
      <c r="C1231" s="58" t="n"/>
      <c r="D1231" s="58" t="n"/>
      <c r="E1231" s="64">
        <f>IF(tblCommentary[[#This Row],[Date]]="","",COUNTIFS(INDEX(tblCommentary[Date],1):tblCommentary[[#This Row],[Date]],tblCommentary[[#This Row],[Date]]))</f>
        <v/>
      </c>
      <c r="F1231" s="63">
        <f>IF(tblCommentary[[#This Row],[Date]]="","",tblCommentary[[#This Row],[Date]]&amp;"|"&amp;tblCommentary[[#This Row],[Seq_Day]])</f>
        <v/>
      </c>
    </row>
    <row r="1232">
      <c r="A1232" s="54" t="n"/>
      <c r="B1232" s="61" t="n"/>
      <c r="C1232" s="58" t="n"/>
      <c r="D1232" s="58" t="n"/>
      <c r="E1232" s="64">
        <f>IF(tblCommentary[[#This Row],[Date]]="","",COUNTIFS(INDEX(tblCommentary[Date],1):tblCommentary[[#This Row],[Date]],tblCommentary[[#This Row],[Date]]))</f>
        <v/>
      </c>
      <c r="F1232" s="63">
        <f>IF(tblCommentary[[#This Row],[Date]]="","",tblCommentary[[#This Row],[Date]]&amp;"|"&amp;tblCommentary[[#This Row],[Seq_Day]])</f>
        <v/>
      </c>
    </row>
    <row r="1233">
      <c r="A1233" s="54" t="n"/>
      <c r="B1233" s="61" t="n"/>
      <c r="C1233" s="58" t="n"/>
      <c r="D1233" s="58" t="n"/>
      <c r="E1233" s="64">
        <f>IF(tblCommentary[[#This Row],[Date]]="","",COUNTIFS(INDEX(tblCommentary[Date],1):tblCommentary[[#This Row],[Date]],tblCommentary[[#This Row],[Date]]))</f>
        <v/>
      </c>
      <c r="F1233" s="63">
        <f>IF(tblCommentary[[#This Row],[Date]]="","",tblCommentary[[#This Row],[Date]]&amp;"|"&amp;tblCommentary[[#This Row],[Seq_Day]])</f>
        <v/>
      </c>
    </row>
    <row r="1234">
      <c r="A1234" s="54" t="n"/>
      <c r="B1234" s="61" t="n"/>
      <c r="C1234" s="58" t="n"/>
      <c r="D1234" s="58" t="n"/>
      <c r="E1234" s="64">
        <f>IF(tblCommentary[[#This Row],[Date]]="","",COUNTIFS(INDEX(tblCommentary[Date],1):tblCommentary[[#This Row],[Date]],tblCommentary[[#This Row],[Date]]))</f>
        <v/>
      </c>
      <c r="F1234" s="63">
        <f>IF(tblCommentary[[#This Row],[Date]]="","",tblCommentary[[#This Row],[Date]]&amp;"|"&amp;tblCommentary[[#This Row],[Seq_Day]])</f>
        <v/>
      </c>
    </row>
    <row r="1235">
      <c r="A1235" s="54" t="n"/>
      <c r="B1235" s="61" t="n"/>
      <c r="C1235" s="58" t="n"/>
      <c r="D1235" s="58" t="n"/>
      <c r="E1235" s="64">
        <f>IF(tblCommentary[[#This Row],[Date]]="","",COUNTIFS(INDEX(tblCommentary[Date],1):tblCommentary[[#This Row],[Date]],tblCommentary[[#This Row],[Date]]))</f>
        <v/>
      </c>
      <c r="F1235" s="63">
        <f>IF(tblCommentary[[#This Row],[Date]]="","",tblCommentary[[#This Row],[Date]]&amp;"|"&amp;tblCommentary[[#This Row],[Seq_Day]])</f>
        <v/>
      </c>
    </row>
    <row r="1236">
      <c r="A1236" s="54" t="n"/>
      <c r="B1236" s="61" t="n"/>
      <c r="C1236" s="58" t="n"/>
      <c r="D1236" s="58" t="n"/>
      <c r="E1236" s="64">
        <f>IF(tblCommentary[[#This Row],[Date]]="","",COUNTIFS(INDEX(tblCommentary[Date],1):tblCommentary[[#This Row],[Date]],tblCommentary[[#This Row],[Date]]))</f>
        <v/>
      </c>
      <c r="F1236" s="63">
        <f>IF(tblCommentary[[#This Row],[Date]]="","",tblCommentary[[#This Row],[Date]]&amp;"|"&amp;tblCommentary[[#This Row],[Seq_Day]])</f>
        <v/>
      </c>
    </row>
    <row r="1237">
      <c r="A1237" s="54" t="n"/>
      <c r="B1237" s="61" t="n"/>
      <c r="C1237" s="58" t="n"/>
      <c r="D1237" s="58" t="n"/>
      <c r="E1237" s="64">
        <f>IF(tblCommentary[[#This Row],[Date]]="","",COUNTIFS(INDEX(tblCommentary[Date],1):tblCommentary[[#This Row],[Date]],tblCommentary[[#This Row],[Date]]))</f>
        <v/>
      </c>
      <c r="F1237" s="63">
        <f>IF(tblCommentary[[#This Row],[Date]]="","",tblCommentary[[#This Row],[Date]]&amp;"|"&amp;tblCommentary[[#This Row],[Seq_Day]])</f>
        <v/>
      </c>
    </row>
    <row r="1238">
      <c r="A1238" s="54" t="n"/>
      <c r="B1238" s="61" t="n"/>
      <c r="C1238" s="58" t="n"/>
      <c r="D1238" s="58" t="n"/>
      <c r="E1238" s="64">
        <f>IF(tblCommentary[[#This Row],[Date]]="","",COUNTIFS(INDEX(tblCommentary[Date],1):tblCommentary[[#This Row],[Date]],tblCommentary[[#This Row],[Date]]))</f>
        <v/>
      </c>
      <c r="F1238" s="63">
        <f>IF(tblCommentary[[#This Row],[Date]]="","",tblCommentary[[#This Row],[Date]]&amp;"|"&amp;tblCommentary[[#This Row],[Seq_Day]])</f>
        <v/>
      </c>
    </row>
    <row r="1239">
      <c r="A1239" s="54" t="n"/>
      <c r="B1239" s="61" t="n"/>
      <c r="C1239" s="58" t="n"/>
      <c r="D1239" s="58" t="n"/>
      <c r="E1239" s="64">
        <f>IF(tblCommentary[[#This Row],[Date]]="","",COUNTIFS(INDEX(tblCommentary[Date],1):tblCommentary[[#This Row],[Date]],tblCommentary[[#This Row],[Date]]))</f>
        <v/>
      </c>
      <c r="F1239" s="63">
        <f>IF(tblCommentary[[#This Row],[Date]]="","",tblCommentary[[#This Row],[Date]]&amp;"|"&amp;tblCommentary[[#This Row],[Seq_Day]])</f>
        <v/>
      </c>
    </row>
    <row r="1240">
      <c r="A1240" s="54" t="n"/>
      <c r="B1240" s="61" t="n"/>
      <c r="C1240" s="58" t="n"/>
      <c r="D1240" s="58" t="n"/>
      <c r="E1240" s="64">
        <f>IF(tblCommentary[[#This Row],[Date]]="","",COUNTIFS(INDEX(tblCommentary[Date],1):tblCommentary[[#This Row],[Date]],tblCommentary[[#This Row],[Date]]))</f>
        <v/>
      </c>
      <c r="F1240" s="63">
        <f>IF(tblCommentary[[#This Row],[Date]]="","",tblCommentary[[#This Row],[Date]]&amp;"|"&amp;tblCommentary[[#This Row],[Seq_Day]])</f>
        <v/>
      </c>
    </row>
    <row r="1241">
      <c r="A1241" s="54" t="n"/>
      <c r="B1241" s="61" t="n"/>
      <c r="C1241" s="58" t="n"/>
      <c r="D1241" s="58" t="n"/>
      <c r="E1241" s="64">
        <f>IF(tblCommentary[[#This Row],[Date]]="","",COUNTIFS(INDEX(tblCommentary[Date],1):tblCommentary[[#This Row],[Date]],tblCommentary[[#This Row],[Date]]))</f>
        <v/>
      </c>
      <c r="F1241" s="63">
        <f>IF(tblCommentary[[#This Row],[Date]]="","",tblCommentary[[#This Row],[Date]]&amp;"|"&amp;tblCommentary[[#This Row],[Seq_Day]])</f>
        <v/>
      </c>
    </row>
    <row r="1242">
      <c r="A1242" s="54" t="n"/>
      <c r="B1242" s="61" t="n"/>
      <c r="C1242" s="58" t="n"/>
      <c r="D1242" s="58" t="n"/>
      <c r="E1242" s="64">
        <f>IF(tblCommentary[[#This Row],[Date]]="","",COUNTIFS(INDEX(tblCommentary[Date],1):tblCommentary[[#This Row],[Date]],tblCommentary[[#This Row],[Date]]))</f>
        <v/>
      </c>
      <c r="F1242" s="63">
        <f>IF(tblCommentary[[#This Row],[Date]]="","",tblCommentary[[#This Row],[Date]]&amp;"|"&amp;tblCommentary[[#This Row],[Seq_Day]])</f>
        <v/>
      </c>
    </row>
    <row r="1243">
      <c r="A1243" s="54" t="n"/>
      <c r="B1243" s="61" t="n"/>
      <c r="C1243" s="58" t="n"/>
      <c r="D1243" s="58" t="n"/>
      <c r="E1243" s="64">
        <f>IF(tblCommentary[[#This Row],[Date]]="","",COUNTIFS(INDEX(tblCommentary[Date],1):tblCommentary[[#This Row],[Date]],tblCommentary[[#This Row],[Date]]))</f>
        <v/>
      </c>
      <c r="F1243" s="63">
        <f>IF(tblCommentary[[#This Row],[Date]]="","",tblCommentary[[#This Row],[Date]]&amp;"|"&amp;tblCommentary[[#This Row],[Seq_Day]])</f>
        <v/>
      </c>
    </row>
    <row r="1244">
      <c r="A1244" s="54" t="n"/>
      <c r="B1244" s="61" t="n"/>
      <c r="C1244" s="58" t="n"/>
      <c r="D1244" s="58" t="n"/>
      <c r="E1244" s="64">
        <f>IF(tblCommentary[[#This Row],[Date]]="","",COUNTIFS(INDEX(tblCommentary[Date],1):tblCommentary[[#This Row],[Date]],tblCommentary[[#This Row],[Date]]))</f>
        <v/>
      </c>
      <c r="F1244" s="63">
        <f>IF(tblCommentary[[#This Row],[Date]]="","",tblCommentary[[#This Row],[Date]]&amp;"|"&amp;tblCommentary[[#This Row],[Seq_Day]])</f>
        <v/>
      </c>
    </row>
    <row r="1245">
      <c r="A1245" s="54" t="n"/>
      <c r="B1245" s="61" t="n"/>
      <c r="C1245" s="58" t="n"/>
      <c r="D1245" s="58" t="n"/>
      <c r="E1245" s="64">
        <f>IF(tblCommentary[[#This Row],[Date]]="","",COUNTIFS(INDEX(tblCommentary[Date],1):tblCommentary[[#This Row],[Date]],tblCommentary[[#This Row],[Date]]))</f>
        <v/>
      </c>
      <c r="F1245" s="63">
        <f>IF(tblCommentary[[#This Row],[Date]]="","",tblCommentary[[#This Row],[Date]]&amp;"|"&amp;tblCommentary[[#This Row],[Seq_Day]])</f>
        <v/>
      </c>
    </row>
    <row r="1246">
      <c r="A1246" s="54" t="n"/>
      <c r="B1246" s="61" t="n"/>
      <c r="C1246" s="58" t="n"/>
      <c r="D1246" s="58" t="n"/>
      <c r="E1246" s="64">
        <f>IF(tblCommentary[[#This Row],[Date]]="","",COUNTIFS(INDEX(tblCommentary[Date],1):tblCommentary[[#This Row],[Date]],tblCommentary[[#This Row],[Date]]))</f>
        <v/>
      </c>
      <c r="F1246" s="63">
        <f>IF(tblCommentary[[#This Row],[Date]]="","",tblCommentary[[#This Row],[Date]]&amp;"|"&amp;tblCommentary[[#This Row],[Seq_Day]])</f>
        <v/>
      </c>
    </row>
    <row r="1247">
      <c r="A1247" s="54" t="n"/>
      <c r="B1247" s="61" t="n"/>
      <c r="C1247" s="58" t="n"/>
      <c r="D1247" s="58" t="n"/>
      <c r="E1247" s="64">
        <f>IF(tblCommentary[[#This Row],[Date]]="","",COUNTIFS(INDEX(tblCommentary[Date],1):tblCommentary[[#This Row],[Date]],tblCommentary[[#This Row],[Date]]))</f>
        <v/>
      </c>
      <c r="F1247" s="63">
        <f>IF(tblCommentary[[#This Row],[Date]]="","",tblCommentary[[#This Row],[Date]]&amp;"|"&amp;tblCommentary[[#This Row],[Seq_Day]])</f>
        <v/>
      </c>
    </row>
    <row r="1248">
      <c r="A1248" s="54" t="n"/>
      <c r="B1248" s="61" t="n"/>
      <c r="C1248" s="58" t="n"/>
      <c r="D1248" s="58" t="n"/>
      <c r="E1248" s="64">
        <f>IF(tblCommentary[[#This Row],[Date]]="","",COUNTIFS(INDEX(tblCommentary[Date],1):tblCommentary[[#This Row],[Date]],tblCommentary[[#This Row],[Date]]))</f>
        <v/>
      </c>
      <c r="F1248" s="63">
        <f>IF(tblCommentary[[#This Row],[Date]]="","",tblCommentary[[#This Row],[Date]]&amp;"|"&amp;tblCommentary[[#This Row],[Seq_Day]])</f>
        <v/>
      </c>
    </row>
    <row r="1249">
      <c r="A1249" s="54" t="n"/>
      <c r="B1249" s="61" t="n"/>
      <c r="C1249" s="58" t="n"/>
      <c r="D1249" s="58" t="n"/>
      <c r="E1249" s="64">
        <f>IF(tblCommentary[[#This Row],[Date]]="","",COUNTIFS(INDEX(tblCommentary[Date],1):tblCommentary[[#This Row],[Date]],tblCommentary[[#This Row],[Date]]))</f>
        <v/>
      </c>
      <c r="F1249" s="63">
        <f>IF(tblCommentary[[#This Row],[Date]]="","",tblCommentary[[#This Row],[Date]]&amp;"|"&amp;tblCommentary[[#This Row],[Seq_Day]])</f>
        <v/>
      </c>
    </row>
    <row r="1250">
      <c r="A1250" s="54" t="n"/>
      <c r="B1250" s="61" t="n"/>
      <c r="C1250" s="58" t="n"/>
      <c r="D1250" s="58" t="n"/>
      <c r="E1250" s="64">
        <f>IF(tblCommentary[[#This Row],[Date]]="","",COUNTIFS(INDEX(tblCommentary[Date],1):tblCommentary[[#This Row],[Date]],tblCommentary[[#This Row],[Date]]))</f>
        <v/>
      </c>
      <c r="F1250" s="63">
        <f>IF(tblCommentary[[#This Row],[Date]]="","",tblCommentary[[#This Row],[Date]]&amp;"|"&amp;tblCommentary[[#This Row],[Seq_Day]])</f>
        <v/>
      </c>
    </row>
    <row r="1251">
      <c r="A1251" s="54" t="n"/>
      <c r="B1251" s="61" t="n"/>
      <c r="C1251" s="58" t="n"/>
      <c r="D1251" s="58" t="n"/>
      <c r="E1251" s="64">
        <f>IF(tblCommentary[[#This Row],[Date]]="","",COUNTIFS(INDEX(tblCommentary[Date],1):tblCommentary[[#This Row],[Date]],tblCommentary[[#This Row],[Date]]))</f>
        <v/>
      </c>
      <c r="F1251" s="63">
        <f>IF(tblCommentary[[#This Row],[Date]]="","",tblCommentary[[#This Row],[Date]]&amp;"|"&amp;tblCommentary[[#This Row],[Seq_Day]])</f>
        <v/>
      </c>
    </row>
    <row r="1252">
      <c r="A1252" s="54" t="n"/>
      <c r="B1252" s="61" t="n"/>
      <c r="C1252" s="58" t="n"/>
      <c r="D1252" s="58" t="n"/>
      <c r="E1252" s="64">
        <f>IF(tblCommentary[[#This Row],[Date]]="","",COUNTIFS(INDEX(tblCommentary[Date],1):tblCommentary[[#This Row],[Date]],tblCommentary[[#This Row],[Date]]))</f>
        <v/>
      </c>
      <c r="F1252" s="63">
        <f>IF(tblCommentary[[#This Row],[Date]]="","",tblCommentary[[#This Row],[Date]]&amp;"|"&amp;tblCommentary[[#This Row],[Seq_Day]])</f>
        <v/>
      </c>
    </row>
    <row r="1253">
      <c r="A1253" s="54" t="n"/>
      <c r="B1253" s="61" t="n"/>
      <c r="C1253" s="58" t="n"/>
      <c r="D1253" s="58" t="n"/>
      <c r="E1253" s="64">
        <f>IF(tblCommentary[[#This Row],[Date]]="","",COUNTIFS(INDEX(tblCommentary[Date],1):tblCommentary[[#This Row],[Date]],tblCommentary[[#This Row],[Date]]))</f>
        <v/>
      </c>
      <c r="F1253" s="63">
        <f>IF(tblCommentary[[#This Row],[Date]]="","",tblCommentary[[#This Row],[Date]]&amp;"|"&amp;tblCommentary[[#This Row],[Seq_Day]])</f>
        <v/>
      </c>
    </row>
    <row r="1254">
      <c r="A1254" s="54" t="n"/>
      <c r="B1254" s="61" t="n"/>
      <c r="C1254" s="58" t="n"/>
      <c r="D1254" s="58" t="n"/>
      <c r="E1254" s="64">
        <f>IF(tblCommentary[[#This Row],[Date]]="","",COUNTIFS(INDEX(tblCommentary[Date],1):tblCommentary[[#This Row],[Date]],tblCommentary[[#This Row],[Date]]))</f>
        <v/>
      </c>
      <c r="F1254" s="63">
        <f>IF(tblCommentary[[#This Row],[Date]]="","",tblCommentary[[#This Row],[Date]]&amp;"|"&amp;tblCommentary[[#This Row],[Seq_Day]])</f>
        <v/>
      </c>
    </row>
    <row r="1255">
      <c r="A1255" s="54" t="n"/>
      <c r="B1255" s="61" t="n"/>
      <c r="C1255" s="58" t="n"/>
      <c r="D1255" s="58" t="n"/>
      <c r="E1255" s="64">
        <f>IF(tblCommentary[[#This Row],[Date]]="","",COUNTIFS(INDEX(tblCommentary[Date],1):tblCommentary[[#This Row],[Date]],tblCommentary[[#This Row],[Date]]))</f>
        <v/>
      </c>
      <c r="F1255" s="63">
        <f>IF(tblCommentary[[#This Row],[Date]]="","",tblCommentary[[#This Row],[Date]]&amp;"|"&amp;tblCommentary[[#This Row],[Seq_Day]])</f>
        <v/>
      </c>
    </row>
    <row r="1256">
      <c r="A1256" s="54" t="n"/>
      <c r="B1256" s="61" t="n"/>
      <c r="C1256" s="58" t="n"/>
      <c r="D1256" s="58" t="n"/>
      <c r="E1256" s="64">
        <f>IF(tblCommentary[[#This Row],[Date]]="","",COUNTIFS(INDEX(tblCommentary[Date],1):tblCommentary[[#This Row],[Date]],tblCommentary[[#This Row],[Date]]))</f>
        <v/>
      </c>
      <c r="F1256" s="63">
        <f>IF(tblCommentary[[#This Row],[Date]]="","",tblCommentary[[#This Row],[Date]]&amp;"|"&amp;tblCommentary[[#This Row],[Seq_Day]])</f>
        <v/>
      </c>
    </row>
    <row r="1257">
      <c r="A1257" s="54" t="n"/>
      <c r="B1257" s="61" t="n"/>
      <c r="C1257" s="58" t="n"/>
      <c r="D1257" s="58" t="n"/>
      <c r="E1257" s="64">
        <f>IF(tblCommentary[[#This Row],[Date]]="","",COUNTIFS(INDEX(tblCommentary[Date],1):tblCommentary[[#This Row],[Date]],tblCommentary[[#This Row],[Date]]))</f>
        <v/>
      </c>
      <c r="F1257" s="63">
        <f>IF(tblCommentary[[#This Row],[Date]]="","",tblCommentary[[#This Row],[Date]]&amp;"|"&amp;tblCommentary[[#This Row],[Seq_Day]])</f>
        <v/>
      </c>
    </row>
    <row r="1258">
      <c r="A1258" s="54" t="n"/>
      <c r="B1258" s="61" t="n"/>
      <c r="C1258" s="58" t="n"/>
      <c r="D1258" s="58" t="n"/>
      <c r="E1258" s="64">
        <f>IF(tblCommentary[[#This Row],[Date]]="","",COUNTIFS(INDEX(tblCommentary[Date],1):tblCommentary[[#This Row],[Date]],tblCommentary[[#This Row],[Date]]))</f>
        <v/>
      </c>
      <c r="F1258" s="63">
        <f>IF(tblCommentary[[#This Row],[Date]]="","",tblCommentary[[#This Row],[Date]]&amp;"|"&amp;tblCommentary[[#This Row],[Seq_Day]])</f>
        <v/>
      </c>
    </row>
    <row r="1259">
      <c r="A1259" s="54" t="n"/>
      <c r="B1259" s="61" t="n"/>
      <c r="C1259" s="58" t="n"/>
      <c r="D1259" s="58" t="n"/>
      <c r="E1259" s="64">
        <f>IF(tblCommentary[[#This Row],[Date]]="","",COUNTIFS(INDEX(tblCommentary[Date],1):tblCommentary[[#This Row],[Date]],tblCommentary[[#This Row],[Date]]))</f>
        <v/>
      </c>
      <c r="F1259" s="63">
        <f>IF(tblCommentary[[#This Row],[Date]]="","",tblCommentary[[#This Row],[Date]]&amp;"|"&amp;tblCommentary[[#This Row],[Seq_Day]])</f>
        <v/>
      </c>
    </row>
    <row r="1260">
      <c r="A1260" s="54" t="n"/>
      <c r="B1260" s="61" t="n"/>
      <c r="C1260" s="58" t="n"/>
      <c r="D1260" s="58" t="n"/>
      <c r="E1260" s="64">
        <f>IF(tblCommentary[[#This Row],[Date]]="","",COUNTIFS(INDEX(tblCommentary[Date],1):tblCommentary[[#This Row],[Date]],tblCommentary[[#This Row],[Date]]))</f>
        <v/>
      </c>
      <c r="F1260" s="63">
        <f>IF(tblCommentary[[#This Row],[Date]]="","",tblCommentary[[#This Row],[Date]]&amp;"|"&amp;tblCommentary[[#This Row],[Seq_Day]])</f>
        <v/>
      </c>
    </row>
    <row r="1261">
      <c r="A1261" s="54" t="n"/>
      <c r="B1261" s="61" t="n"/>
      <c r="C1261" s="58" t="n"/>
      <c r="D1261" s="58" t="n"/>
      <c r="E1261" s="64">
        <f>IF(tblCommentary[[#This Row],[Date]]="","",COUNTIFS(INDEX(tblCommentary[Date],1):tblCommentary[[#This Row],[Date]],tblCommentary[[#This Row],[Date]]))</f>
        <v/>
      </c>
      <c r="F1261" s="63">
        <f>IF(tblCommentary[[#This Row],[Date]]="","",tblCommentary[[#This Row],[Date]]&amp;"|"&amp;tblCommentary[[#This Row],[Seq_Day]])</f>
        <v/>
      </c>
    </row>
    <row r="1262">
      <c r="A1262" s="54" t="n"/>
      <c r="B1262" s="61" t="n"/>
      <c r="C1262" s="58" t="n"/>
      <c r="D1262" s="58" t="n"/>
      <c r="E1262" s="64">
        <f>IF(tblCommentary[[#This Row],[Date]]="","",COUNTIFS(INDEX(tblCommentary[Date],1):tblCommentary[[#This Row],[Date]],tblCommentary[[#This Row],[Date]]))</f>
        <v/>
      </c>
      <c r="F1262" s="63">
        <f>IF(tblCommentary[[#This Row],[Date]]="","",tblCommentary[[#This Row],[Date]]&amp;"|"&amp;tblCommentary[[#This Row],[Seq_Day]])</f>
        <v/>
      </c>
    </row>
    <row r="1263">
      <c r="A1263" s="54" t="n"/>
      <c r="B1263" s="61" t="n"/>
      <c r="C1263" s="58" t="n"/>
      <c r="D1263" s="58" t="n"/>
      <c r="E1263" s="64">
        <f>IF(tblCommentary[[#This Row],[Date]]="","",COUNTIFS(INDEX(tblCommentary[Date],1):tblCommentary[[#This Row],[Date]],tblCommentary[[#This Row],[Date]]))</f>
        <v/>
      </c>
      <c r="F1263" s="63">
        <f>IF(tblCommentary[[#This Row],[Date]]="","",tblCommentary[[#This Row],[Date]]&amp;"|"&amp;tblCommentary[[#This Row],[Seq_Day]])</f>
        <v/>
      </c>
    </row>
    <row r="1264">
      <c r="A1264" s="54" t="n"/>
      <c r="B1264" s="61" t="n"/>
      <c r="C1264" s="58" t="n"/>
      <c r="D1264" s="58" t="n"/>
      <c r="E1264" s="64">
        <f>IF(tblCommentary[[#This Row],[Date]]="","",COUNTIFS(INDEX(tblCommentary[Date],1):tblCommentary[[#This Row],[Date]],tblCommentary[[#This Row],[Date]]))</f>
        <v/>
      </c>
      <c r="F1264" s="63">
        <f>IF(tblCommentary[[#This Row],[Date]]="","",tblCommentary[[#This Row],[Date]]&amp;"|"&amp;tblCommentary[[#This Row],[Seq_Day]])</f>
        <v/>
      </c>
    </row>
    <row r="1265">
      <c r="A1265" s="54" t="n"/>
      <c r="B1265" s="61" t="n"/>
      <c r="C1265" s="58" t="n"/>
      <c r="D1265" s="58" t="n"/>
      <c r="E1265" s="64">
        <f>IF(tblCommentary[[#This Row],[Date]]="","",COUNTIFS(INDEX(tblCommentary[Date],1):tblCommentary[[#This Row],[Date]],tblCommentary[[#This Row],[Date]]))</f>
        <v/>
      </c>
      <c r="F1265" s="63">
        <f>IF(tblCommentary[[#This Row],[Date]]="","",tblCommentary[[#This Row],[Date]]&amp;"|"&amp;tblCommentary[[#This Row],[Seq_Day]])</f>
        <v/>
      </c>
    </row>
    <row r="1266">
      <c r="A1266" s="54" t="n"/>
      <c r="B1266" s="61" t="n"/>
      <c r="C1266" s="58" t="n"/>
      <c r="D1266" s="58" t="n"/>
      <c r="E1266" s="64">
        <f>IF(tblCommentary[[#This Row],[Date]]="","",COUNTIFS(INDEX(tblCommentary[Date],1):tblCommentary[[#This Row],[Date]],tblCommentary[[#This Row],[Date]]))</f>
        <v/>
      </c>
      <c r="F1266" s="63">
        <f>IF(tblCommentary[[#This Row],[Date]]="","",tblCommentary[[#This Row],[Date]]&amp;"|"&amp;tblCommentary[[#This Row],[Seq_Day]])</f>
        <v/>
      </c>
    </row>
    <row r="1267">
      <c r="A1267" s="54" t="n"/>
      <c r="B1267" s="61" t="n"/>
      <c r="C1267" s="58" t="n"/>
      <c r="D1267" s="58" t="n"/>
      <c r="E1267" s="64">
        <f>IF(tblCommentary[[#This Row],[Date]]="","",COUNTIFS(INDEX(tblCommentary[Date],1):tblCommentary[[#This Row],[Date]],tblCommentary[[#This Row],[Date]]))</f>
        <v/>
      </c>
      <c r="F1267" s="63">
        <f>IF(tblCommentary[[#This Row],[Date]]="","",tblCommentary[[#This Row],[Date]]&amp;"|"&amp;tblCommentary[[#This Row],[Seq_Day]])</f>
        <v/>
      </c>
    </row>
    <row r="1268">
      <c r="A1268" s="54" t="n"/>
      <c r="B1268" s="61" t="n"/>
      <c r="C1268" s="58" t="n"/>
      <c r="D1268" s="58" t="n"/>
      <c r="E1268" s="64">
        <f>IF(tblCommentary[[#This Row],[Date]]="","",COUNTIFS(INDEX(tblCommentary[Date],1):tblCommentary[[#This Row],[Date]],tblCommentary[[#This Row],[Date]]))</f>
        <v/>
      </c>
      <c r="F1268" s="63">
        <f>IF(tblCommentary[[#This Row],[Date]]="","",tblCommentary[[#This Row],[Date]]&amp;"|"&amp;tblCommentary[[#This Row],[Seq_Day]])</f>
        <v/>
      </c>
    </row>
    <row r="1269">
      <c r="A1269" s="54" t="n"/>
      <c r="B1269" s="61" t="n"/>
      <c r="C1269" s="58" t="n"/>
      <c r="D1269" s="58" t="n"/>
      <c r="E1269" s="64">
        <f>IF(tblCommentary[[#This Row],[Date]]="","",COUNTIFS(INDEX(tblCommentary[Date],1):tblCommentary[[#This Row],[Date]],tblCommentary[[#This Row],[Date]]))</f>
        <v/>
      </c>
      <c r="F1269" s="63">
        <f>IF(tblCommentary[[#This Row],[Date]]="","",tblCommentary[[#This Row],[Date]]&amp;"|"&amp;tblCommentary[[#This Row],[Seq_Day]])</f>
        <v/>
      </c>
    </row>
    <row r="1270">
      <c r="A1270" s="54" t="n"/>
      <c r="B1270" s="61" t="n"/>
      <c r="C1270" s="58" t="n"/>
      <c r="D1270" s="58" t="n"/>
      <c r="E1270" s="64">
        <f>IF(tblCommentary[[#This Row],[Date]]="","",COUNTIFS(INDEX(tblCommentary[Date],1):tblCommentary[[#This Row],[Date]],tblCommentary[[#This Row],[Date]]))</f>
        <v/>
      </c>
      <c r="F1270" s="63">
        <f>IF(tblCommentary[[#This Row],[Date]]="","",tblCommentary[[#This Row],[Date]]&amp;"|"&amp;tblCommentary[[#This Row],[Seq_Day]])</f>
        <v/>
      </c>
    </row>
    <row r="1271">
      <c r="A1271" s="54" t="n"/>
      <c r="B1271" s="61" t="n"/>
      <c r="C1271" s="58" t="n"/>
      <c r="D1271" s="58" t="n"/>
      <c r="E1271" s="64">
        <f>IF(tblCommentary[[#This Row],[Date]]="","",COUNTIFS(INDEX(tblCommentary[Date],1):tblCommentary[[#This Row],[Date]],tblCommentary[[#This Row],[Date]]))</f>
        <v/>
      </c>
      <c r="F1271" s="63">
        <f>IF(tblCommentary[[#This Row],[Date]]="","",tblCommentary[[#This Row],[Date]]&amp;"|"&amp;tblCommentary[[#This Row],[Seq_Day]])</f>
        <v/>
      </c>
    </row>
    <row r="1272">
      <c r="A1272" s="54" t="n"/>
      <c r="B1272" s="61" t="n"/>
      <c r="C1272" s="58" t="n"/>
      <c r="D1272" s="58" t="n"/>
      <c r="E1272" s="64">
        <f>IF(tblCommentary[[#This Row],[Date]]="","",COUNTIFS(INDEX(tblCommentary[Date],1):tblCommentary[[#This Row],[Date]],tblCommentary[[#This Row],[Date]]))</f>
        <v/>
      </c>
      <c r="F1272" s="63">
        <f>IF(tblCommentary[[#This Row],[Date]]="","",tblCommentary[[#This Row],[Date]]&amp;"|"&amp;tblCommentary[[#This Row],[Seq_Day]])</f>
        <v/>
      </c>
    </row>
    <row r="1273">
      <c r="A1273" s="54" t="n"/>
      <c r="B1273" s="61" t="n"/>
      <c r="C1273" s="58" t="n"/>
      <c r="D1273" s="58" t="n"/>
      <c r="E1273" s="64">
        <f>IF(tblCommentary[[#This Row],[Date]]="","",COUNTIFS(INDEX(tblCommentary[Date],1):tblCommentary[[#This Row],[Date]],tblCommentary[[#This Row],[Date]]))</f>
        <v/>
      </c>
      <c r="F1273" s="63">
        <f>IF(tblCommentary[[#This Row],[Date]]="","",tblCommentary[[#This Row],[Date]]&amp;"|"&amp;tblCommentary[[#This Row],[Seq_Day]])</f>
        <v/>
      </c>
    </row>
    <row r="1274">
      <c r="A1274" s="54" t="n"/>
      <c r="B1274" s="61" t="n"/>
      <c r="C1274" s="58" t="n"/>
      <c r="D1274" s="58" t="n"/>
      <c r="E1274" s="64">
        <f>IF(tblCommentary[[#This Row],[Date]]="","",COUNTIFS(INDEX(tblCommentary[Date],1):tblCommentary[[#This Row],[Date]],tblCommentary[[#This Row],[Date]]))</f>
        <v/>
      </c>
      <c r="F1274" s="63">
        <f>IF(tblCommentary[[#This Row],[Date]]="","",tblCommentary[[#This Row],[Date]]&amp;"|"&amp;tblCommentary[[#This Row],[Seq_Day]])</f>
        <v/>
      </c>
    </row>
    <row r="1275">
      <c r="A1275" s="54" t="n"/>
      <c r="B1275" s="61" t="n"/>
      <c r="C1275" s="58" t="n"/>
      <c r="D1275" s="58" t="n"/>
      <c r="E1275" s="64">
        <f>IF(tblCommentary[[#This Row],[Date]]="","",COUNTIFS(INDEX(tblCommentary[Date],1):tblCommentary[[#This Row],[Date]],tblCommentary[[#This Row],[Date]]))</f>
        <v/>
      </c>
      <c r="F1275" s="63">
        <f>IF(tblCommentary[[#This Row],[Date]]="","",tblCommentary[[#This Row],[Date]]&amp;"|"&amp;tblCommentary[[#This Row],[Seq_Day]])</f>
        <v/>
      </c>
    </row>
    <row r="1276">
      <c r="A1276" s="54" t="n"/>
      <c r="B1276" s="61" t="n"/>
      <c r="C1276" s="58" t="n"/>
      <c r="D1276" s="58" t="n"/>
      <c r="E1276" s="64">
        <f>IF(tblCommentary[[#This Row],[Date]]="","",COUNTIFS(INDEX(tblCommentary[Date],1):tblCommentary[[#This Row],[Date]],tblCommentary[[#This Row],[Date]]))</f>
        <v/>
      </c>
      <c r="F1276" s="63">
        <f>IF(tblCommentary[[#This Row],[Date]]="","",tblCommentary[[#This Row],[Date]]&amp;"|"&amp;tblCommentary[[#This Row],[Seq_Day]])</f>
        <v/>
      </c>
    </row>
    <row r="1277">
      <c r="A1277" s="54" t="n"/>
      <c r="B1277" s="61" t="n"/>
      <c r="C1277" s="58" t="n"/>
      <c r="D1277" s="58" t="n"/>
      <c r="E1277" s="64">
        <f>IF(tblCommentary[[#This Row],[Date]]="","",COUNTIFS(INDEX(tblCommentary[Date],1):tblCommentary[[#This Row],[Date]],tblCommentary[[#This Row],[Date]]))</f>
        <v/>
      </c>
      <c r="F1277" s="63">
        <f>IF(tblCommentary[[#This Row],[Date]]="","",tblCommentary[[#This Row],[Date]]&amp;"|"&amp;tblCommentary[[#This Row],[Seq_Day]])</f>
        <v/>
      </c>
    </row>
    <row r="1278">
      <c r="A1278" s="54" t="n"/>
      <c r="B1278" s="61" t="n"/>
      <c r="C1278" s="58" t="n"/>
      <c r="D1278" s="58" t="n"/>
      <c r="E1278" s="64">
        <f>IF(tblCommentary[[#This Row],[Date]]="","",COUNTIFS(INDEX(tblCommentary[Date],1):tblCommentary[[#This Row],[Date]],tblCommentary[[#This Row],[Date]]))</f>
        <v/>
      </c>
      <c r="F1278" s="63">
        <f>IF(tblCommentary[[#This Row],[Date]]="","",tblCommentary[[#This Row],[Date]]&amp;"|"&amp;tblCommentary[[#This Row],[Seq_Day]])</f>
        <v/>
      </c>
    </row>
    <row r="1279">
      <c r="A1279" s="54" t="n"/>
      <c r="B1279" s="61" t="n"/>
      <c r="C1279" s="58" t="n"/>
      <c r="D1279" s="58" t="n"/>
      <c r="E1279" s="64">
        <f>IF(tblCommentary[[#This Row],[Date]]="","",COUNTIFS(INDEX(tblCommentary[Date],1):tblCommentary[[#This Row],[Date]],tblCommentary[[#This Row],[Date]]))</f>
        <v/>
      </c>
      <c r="F1279" s="63">
        <f>IF(tblCommentary[[#This Row],[Date]]="","",tblCommentary[[#This Row],[Date]]&amp;"|"&amp;tblCommentary[[#This Row],[Seq_Day]])</f>
        <v/>
      </c>
    </row>
    <row r="1280">
      <c r="A1280" s="54" t="n"/>
      <c r="B1280" s="61" t="n"/>
      <c r="C1280" s="58" t="n"/>
      <c r="D1280" s="58" t="n"/>
      <c r="E1280" s="64">
        <f>IF(tblCommentary[[#This Row],[Date]]="","",COUNTIFS(INDEX(tblCommentary[Date],1):tblCommentary[[#This Row],[Date]],tblCommentary[[#This Row],[Date]]))</f>
        <v/>
      </c>
      <c r="F1280" s="63">
        <f>IF(tblCommentary[[#This Row],[Date]]="","",tblCommentary[[#This Row],[Date]]&amp;"|"&amp;tblCommentary[[#This Row],[Seq_Day]])</f>
        <v/>
      </c>
    </row>
    <row r="1281">
      <c r="A1281" s="54" t="n"/>
      <c r="B1281" s="61" t="n"/>
      <c r="C1281" s="58" t="n"/>
      <c r="D1281" s="58" t="n"/>
      <c r="E1281" s="64">
        <f>IF(tblCommentary[[#This Row],[Date]]="","",COUNTIFS(INDEX(tblCommentary[Date],1):tblCommentary[[#This Row],[Date]],tblCommentary[[#This Row],[Date]]))</f>
        <v/>
      </c>
      <c r="F1281" s="63">
        <f>IF(tblCommentary[[#This Row],[Date]]="","",tblCommentary[[#This Row],[Date]]&amp;"|"&amp;tblCommentary[[#This Row],[Seq_Day]])</f>
        <v/>
      </c>
    </row>
    <row r="1282">
      <c r="A1282" s="54" t="n"/>
      <c r="B1282" s="61" t="n"/>
      <c r="C1282" s="58" t="n"/>
      <c r="D1282" s="58" t="n"/>
      <c r="E1282" s="64">
        <f>IF(tblCommentary[[#This Row],[Date]]="","",COUNTIFS(INDEX(tblCommentary[Date],1):tblCommentary[[#This Row],[Date]],tblCommentary[[#This Row],[Date]]))</f>
        <v/>
      </c>
      <c r="F1282" s="63">
        <f>IF(tblCommentary[[#This Row],[Date]]="","",tblCommentary[[#This Row],[Date]]&amp;"|"&amp;tblCommentary[[#This Row],[Seq_Day]])</f>
        <v/>
      </c>
    </row>
    <row r="1283">
      <c r="A1283" s="54" t="n"/>
      <c r="B1283" s="61" t="n"/>
      <c r="C1283" s="58" t="n"/>
      <c r="D1283" s="58" t="n"/>
      <c r="E1283" s="64">
        <f>IF(tblCommentary[[#This Row],[Date]]="","",COUNTIFS(INDEX(tblCommentary[Date],1):tblCommentary[[#This Row],[Date]],tblCommentary[[#This Row],[Date]]))</f>
        <v/>
      </c>
      <c r="F1283" s="63">
        <f>IF(tblCommentary[[#This Row],[Date]]="","",tblCommentary[[#This Row],[Date]]&amp;"|"&amp;tblCommentary[[#This Row],[Seq_Day]])</f>
        <v/>
      </c>
    </row>
    <row r="1284">
      <c r="A1284" s="54" t="n"/>
      <c r="B1284" s="61" t="n"/>
      <c r="C1284" s="58" t="n"/>
      <c r="D1284" s="58" t="n"/>
      <c r="E1284" s="64">
        <f>IF(tblCommentary[[#This Row],[Date]]="","",COUNTIFS(INDEX(tblCommentary[Date],1):tblCommentary[[#This Row],[Date]],tblCommentary[[#This Row],[Date]]))</f>
        <v/>
      </c>
      <c r="F1284" s="63">
        <f>IF(tblCommentary[[#This Row],[Date]]="","",tblCommentary[[#This Row],[Date]]&amp;"|"&amp;tblCommentary[[#This Row],[Seq_Day]])</f>
        <v/>
      </c>
    </row>
    <row r="1285">
      <c r="A1285" s="54" t="n"/>
      <c r="B1285" s="61" t="n"/>
      <c r="C1285" s="58" t="n"/>
      <c r="D1285" s="58" t="n"/>
      <c r="E1285" s="64">
        <f>IF(tblCommentary[[#This Row],[Date]]="","",COUNTIFS(INDEX(tblCommentary[Date],1):tblCommentary[[#This Row],[Date]],tblCommentary[[#This Row],[Date]]))</f>
        <v/>
      </c>
      <c r="F1285" s="63">
        <f>IF(tblCommentary[[#This Row],[Date]]="","",tblCommentary[[#This Row],[Date]]&amp;"|"&amp;tblCommentary[[#This Row],[Seq_Day]])</f>
        <v/>
      </c>
    </row>
    <row r="1286">
      <c r="A1286" s="54" t="n"/>
      <c r="B1286" s="61" t="n"/>
      <c r="C1286" s="58" t="n"/>
      <c r="D1286" s="58" t="n"/>
      <c r="E1286" s="64">
        <f>IF(tblCommentary[[#This Row],[Date]]="","",COUNTIFS(INDEX(tblCommentary[Date],1):tblCommentary[[#This Row],[Date]],tblCommentary[[#This Row],[Date]]))</f>
        <v/>
      </c>
      <c r="F1286" s="63">
        <f>IF(tblCommentary[[#This Row],[Date]]="","",tblCommentary[[#This Row],[Date]]&amp;"|"&amp;tblCommentary[[#This Row],[Seq_Day]])</f>
        <v/>
      </c>
    </row>
    <row r="1287">
      <c r="A1287" s="54" t="n"/>
      <c r="B1287" s="61" t="n"/>
      <c r="C1287" s="58" t="n"/>
      <c r="D1287" s="58" t="n"/>
      <c r="E1287" s="64">
        <f>IF(tblCommentary[[#This Row],[Date]]="","",COUNTIFS(INDEX(tblCommentary[Date],1):tblCommentary[[#This Row],[Date]],tblCommentary[[#This Row],[Date]]))</f>
        <v/>
      </c>
      <c r="F1287" s="63">
        <f>IF(tblCommentary[[#This Row],[Date]]="","",tblCommentary[[#This Row],[Date]]&amp;"|"&amp;tblCommentary[[#This Row],[Seq_Day]])</f>
        <v/>
      </c>
    </row>
    <row r="1288">
      <c r="A1288" s="54" t="n"/>
      <c r="B1288" s="61" t="n"/>
      <c r="C1288" s="58" t="n"/>
      <c r="D1288" s="58" t="n"/>
      <c r="E1288" s="64">
        <f>IF(tblCommentary[[#This Row],[Date]]="","",COUNTIFS(INDEX(tblCommentary[Date],1):tblCommentary[[#This Row],[Date]],tblCommentary[[#This Row],[Date]]))</f>
        <v/>
      </c>
      <c r="F1288" s="63">
        <f>IF(tblCommentary[[#This Row],[Date]]="","",tblCommentary[[#This Row],[Date]]&amp;"|"&amp;tblCommentary[[#This Row],[Seq_Day]])</f>
        <v/>
      </c>
    </row>
    <row r="1289">
      <c r="A1289" s="54" t="n"/>
      <c r="B1289" s="61" t="n"/>
      <c r="C1289" s="58" t="n"/>
      <c r="D1289" s="58" t="n"/>
      <c r="E1289" s="64">
        <f>IF(tblCommentary[[#This Row],[Date]]="","",COUNTIFS(INDEX(tblCommentary[Date],1):tblCommentary[[#This Row],[Date]],tblCommentary[[#This Row],[Date]]))</f>
        <v/>
      </c>
      <c r="F1289" s="63">
        <f>IF(tblCommentary[[#This Row],[Date]]="","",tblCommentary[[#This Row],[Date]]&amp;"|"&amp;tblCommentary[[#This Row],[Seq_Day]])</f>
        <v/>
      </c>
    </row>
    <row r="1290">
      <c r="A1290" s="54" t="n"/>
      <c r="B1290" s="61" t="n"/>
      <c r="C1290" s="58" t="n"/>
      <c r="D1290" s="58" t="n"/>
      <c r="E1290" s="64">
        <f>IF(tblCommentary[[#This Row],[Date]]="","",COUNTIFS(INDEX(tblCommentary[Date],1):tblCommentary[[#This Row],[Date]],tblCommentary[[#This Row],[Date]]))</f>
        <v/>
      </c>
      <c r="F1290" s="63">
        <f>IF(tblCommentary[[#This Row],[Date]]="","",tblCommentary[[#This Row],[Date]]&amp;"|"&amp;tblCommentary[[#This Row],[Seq_Day]])</f>
        <v/>
      </c>
    </row>
    <row r="1291">
      <c r="A1291" s="54" t="n"/>
      <c r="B1291" s="61" t="n"/>
      <c r="C1291" s="58" t="n"/>
      <c r="D1291" s="58" t="n"/>
      <c r="E1291" s="64">
        <f>IF(tblCommentary[[#This Row],[Date]]="","",COUNTIFS(INDEX(tblCommentary[Date],1):tblCommentary[[#This Row],[Date]],tblCommentary[[#This Row],[Date]]))</f>
        <v/>
      </c>
      <c r="F1291" s="63">
        <f>IF(tblCommentary[[#This Row],[Date]]="","",tblCommentary[[#This Row],[Date]]&amp;"|"&amp;tblCommentary[[#This Row],[Seq_Day]])</f>
        <v/>
      </c>
    </row>
    <row r="1292">
      <c r="A1292" s="54" t="n"/>
      <c r="B1292" s="61" t="n"/>
      <c r="C1292" s="58" t="n"/>
      <c r="D1292" s="58" t="n"/>
      <c r="E1292" s="64">
        <f>IF(tblCommentary[[#This Row],[Date]]="","",COUNTIFS(INDEX(tblCommentary[Date],1):tblCommentary[[#This Row],[Date]],tblCommentary[[#This Row],[Date]]))</f>
        <v/>
      </c>
      <c r="F1292" s="63">
        <f>IF(tblCommentary[[#This Row],[Date]]="","",tblCommentary[[#This Row],[Date]]&amp;"|"&amp;tblCommentary[[#This Row],[Seq_Day]])</f>
        <v/>
      </c>
    </row>
    <row r="1293">
      <c r="A1293" s="54" t="n"/>
      <c r="B1293" s="61" t="n"/>
      <c r="C1293" s="58" t="n"/>
      <c r="D1293" s="58" t="n"/>
      <c r="E1293" s="64">
        <f>IF(tblCommentary[[#This Row],[Date]]="","",COUNTIFS(INDEX(tblCommentary[Date],1):tblCommentary[[#This Row],[Date]],tblCommentary[[#This Row],[Date]]))</f>
        <v/>
      </c>
      <c r="F1293" s="63">
        <f>IF(tblCommentary[[#This Row],[Date]]="","",tblCommentary[[#This Row],[Date]]&amp;"|"&amp;tblCommentary[[#This Row],[Seq_Day]])</f>
        <v/>
      </c>
    </row>
    <row r="1294">
      <c r="A1294" s="54" t="n"/>
      <c r="B1294" s="61" t="n"/>
      <c r="C1294" s="58" t="n"/>
      <c r="D1294" s="58" t="n"/>
      <c r="E1294" s="64">
        <f>IF(tblCommentary[[#This Row],[Date]]="","",COUNTIFS(INDEX(tblCommentary[Date],1):tblCommentary[[#This Row],[Date]],tblCommentary[[#This Row],[Date]]))</f>
        <v/>
      </c>
      <c r="F1294" s="63">
        <f>IF(tblCommentary[[#This Row],[Date]]="","",tblCommentary[[#This Row],[Date]]&amp;"|"&amp;tblCommentary[[#This Row],[Seq_Day]])</f>
        <v/>
      </c>
    </row>
    <row r="1295">
      <c r="A1295" s="54" t="n"/>
      <c r="B1295" s="61" t="n"/>
      <c r="C1295" s="58" t="n"/>
      <c r="D1295" s="58" t="n"/>
      <c r="E1295" s="64">
        <f>IF(tblCommentary[[#This Row],[Date]]="","",COUNTIFS(INDEX(tblCommentary[Date],1):tblCommentary[[#This Row],[Date]],tblCommentary[[#This Row],[Date]]))</f>
        <v/>
      </c>
      <c r="F1295" s="63">
        <f>IF(tblCommentary[[#This Row],[Date]]="","",tblCommentary[[#This Row],[Date]]&amp;"|"&amp;tblCommentary[[#This Row],[Seq_Day]])</f>
        <v/>
      </c>
    </row>
    <row r="1296">
      <c r="A1296" s="54" t="n"/>
      <c r="B1296" s="61" t="n"/>
      <c r="C1296" s="58" t="n"/>
      <c r="D1296" s="58" t="n"/>
      <c r="E1296" s="64">
        <f>IF(tblCommentary[[#This Row],[Date]]="","",COUNTIFS(INDEX(tblCommentary[Date],1):tblCommentary[[#This Row],[Date]],tblCommentary[[#This Row],[Date]]))</f>
        <v/>
      </c>
      <c r="F1296" s="63">
        <f>IF(tblCommentary[[#This Row],[Date]]="","",tblCommentary[[#This Row],[Date]]&amp;"|"&amp;tblCommentary[[#This Row],[Seq_Day]])</f>
        <v/>
      </c>
    </row>
    <row r="1297">
      <c r="A1297" s="54" t="n"/>
      <c r="B1297" s="61" t="n"/>
      <c r="C1297" s="58" t="n"/>
      <c r="D1297" s="58" t="n"/>
      <c r="E1297" s="64">
        <f>IF(tblCommentary[[#This Row],[Date]]="","",COUNTIFS(INDEX(tblCommentary[Date],1):tblCommentary[[#This Row],[Date]],tblCommentary[[#This Row],[Date]]))</f>
        <v/>
      </c>
      <c r="F1297" s="63">
        <f>IF(tblCommentary[[#This Row],[Date]]="","",tblCommentary[[#This Row],[Date]]&amp;"|"&amp;tblCommentary[[#This Row],[Seq_Day]])</f>
        <v/>
      </c>
    </row>
    <row r="1298">
      <c r="A1298" s="54" t="n"/>
      <c r="B1298" s="61" t="n"/>
      <c r="C1298" s="58" t="n"/>
      <c r="D1298" s="58" t="n"/>
      <c r="E1298" s="64">
        <f>IF(tblCommentary[[#This Row],[Date]]="","",COUNTIFS(INDEX(tblCommentary[Date],1):tblCommentary[[#This Row],[Date]],tblCommentary[[#This Row],[Date]]))</f>
        <v/>
      </c>
      <c r="F1298" s="63">
        <f>IF(tblCommentary[[#This Row],[Date]]="","",tblCommentary[[#This Row],[Date]]&amp;"|"&amp;tblCommentary[[#This Row],[Seq_Day]])</f>
        <v/>
      </c>
    </row>
    <row r="1299">
      <c r="A1299" s="54" t="n"/>
      <c r="B1299" s="61" t="n"/>
      <c r="C1299" s="58" t="n"/>
      <c r="D1299" s="58" t="n"/>
      <c r="E1299" s="64">
        <f>IF(tblCommentary[[#This Row],[Date]]="","",COUNTIFS(INDEX(tblCommentary[Date],1):tblCommentary[[#This Row],[Date]],tblCommentary[[#This Row],[Date]]))</f>
        <v/>
      </c>
      <c r="F1299" s="63">
        <f>IF(tblCommentary[[#This Row],[Date]]="","",tblCommentary[[#This Row],[Date]]&amp;"|"&amp;tblCommentary[[#This Row],[Seq_Day]])</f>
        <v/>
      </c>
    </row>
    <row r="1300">
      <c r="A1300" s="54" t="n"/>
      <c r="B1300" s="61" t="n"/>
      <c r="C1300" s="58" t="n"/>
      <c r="D1300" s="58" t="n"/>
      <c r="E1300" s="64">
        <f>IF(tblCommentary[[#This Row],[Date]]="","",COUNTIFS(INDEX(tblCommentary[Date],1):tblCommentary[[#This Row],[Date]],tblCommentary[[#This Row],[Date]]))</f>
        <v/>
      </c>
      <c r="F1300" s="63">
        <f>IF(tblCommentary[[#This Row],[Date]]="","",tblCommentary[[#This Row],[Date]]&amp;"|"&amp;tblCommentary[[#This Row],[Seq_Day]])</f>
        <v/>
      </c>
    </row>
    <row r="1301">
      <c r="A1301" s="54" t="n"/>
      <c r="B1301" s="61" t="n"/>
      <c r="C1301" s="58" t="n"/>
      <c r="D1301" s="58" t="n"/>
      <c r="E1301" s="64">
        <f>IF(tblCommentary[[#This Row],[Date]]="","",COUNTIFS(INDEX(tblCommentary[Date],1):tblCommentary[[#This Row],[Date]],tblCommentary[[#This Row],[Date]]))</f>
        <v/>
      </c>
      <c r="F1301" s="63">
        <f>IF(tblCommentary[[#This Row],[Date]]="","",tblCommentary[[#This Row],[Date]]&amp;"|"&amp;tblCommentary[[#This Row],[Seq_Day]])</f>
        <v/>
      </c>
    </row>
    <row r="1302">
      <c r="A1302" s="54" t="n"/>
      <c r="B1302" s="61" t="n"/>
      <c r="C1302" s="58" t="n"/>
      <c r="D1302" s="58" t="n"/>
      <c r="E1302" s="64">
        <f>IF(tblCommentary[[#This Row],[Date]]="","",COUNTIFS(INDEX(tblCommentary[Date],1):tblCommentary[[#This Row],[Date]],tblCommentary[[#This Row],[Date]]))</f>
        <v/>
      </c>
      <c r="F1302" s="63">
        <f>IF(tblCommentary[[#This Row],[Date]]="","",tblCommentary[[#This Row],[Date]]&amp;"|"&amp;tblCommentary[[#This Row],[Seq_Day]])</f>
        <v/>
      </c>
    </row>
    <row r="1303">
      <c r="A1303" s="54" t="n"/>
      <c r="B1303" s="61" t="n"/>
      <c r="C1303" s="58" t="n"/>
      <c r="D1303" s="58" t="n"/>
      <c r="E1303" s="64">
        <f>IF(tblCommentary[[#This Row],[Date]]="","",COUNTIFS(INDEX(tblCommentary[Date],1):tblCommentary[[#This Row],[Date]],tblCommentary[[#This Row],[Date]]))</f>
        <v/>
      </c>
      <c r="F1303" s="63">
        <f>IF(tblCommentary[[#This Row],[Date]]="","",tblCommentary[[#This Row],[Date]]&amp;"|"&amp;tblCommentary[[#This Row],[Seq_Day]])</f>
        <v/>
      </c>
    </row>
    <row r="1304">
      <c r="A1304" s="54" t="n"/>
      <c r="B1304" s="61" t="n"/>
      <c r="C1304" s="58" t="n"/>
      <c r="D1304" s="58" t="n"/>
      <c r="E1304" s="64">
        <f>IF(tblCommentary[[#This Row],[Date]]="","",COUNTIFS(INDEX(tblCommentary[Date],1):tblCommentary[[#This Row],[Date]],tblCommentary[[#This Row],[Date]]))</f>
        <v/>
      </c>
      <c r="F1304" s="63">
        <f>IF(tblCommentary[[#This Row],[Date]]="","",tblCommentary[[#This Row],[Date]]&amp;"|"&amp;tblCommentary[[#This Row],[Seq_Day]])</f>
        <v/>
      </c>
    </row>
    <row r="1305">
      <c r="A1305" s="54" t="n"/>
      <c r="B1305" s="61" t="n"/>
      <c r="C1305" s="58" t="n"/>
      <c r="D1305" s="58" t="n"/>
      <c r="E1305" s="64">
        <f>IF(tblCommentary[[#This Row],[Date]]="","",COUNTIFS(INDEX(tblCommentary[Date],1):tblCommentary[[#This Row],[Date]],tblCommentary[[#This Row],[Date]]))</f>
        <v/>
      </c>
      <c r="F1305" s="63">
        <f>IF(tblCommentary[[#This Row],[Date]]="","",tblCommentary[[#This Row],[Date]]&amp;"|"&amp;tblCommentary[[#This Row],[Seq_Day]])</f>
        <v/>
      </c>
    </row>
    <row r="1306">
      <c r="A1306" s="54" t="n"/>
      <c r="B1306" s="61" t="n"/>
      <c r="C1306" s="58" t="n"/>
      <c r="D1306" s="58" t="n"/>
      <c r="E1306" s="64">
        <f>IF(tblCommentary[[#This Row],[Date]]="","",COUNTIFS(INDEX(tblCommentary[Date],1):tblCommentary[[#This Row],[Date]],tblCommentary[[#This Row],[Date]]))</f>
        <v/>
      </c>
      <c r="F1306" s="63">
        <f>IF(tblCommentary[[#This Row],[Date]]="","",tblCommentary[[#This Row],[Date]]&amp;"|"&amp;tblCommentary[[#This Row],[Seq_Day]])</f>
        <v/>
      </c>
    </row>
    <row r="1307">
      <c r="A1307" s="54" t="n"/>
      <c r="B1307" s="61" t="n"/>
      <c r="C1307" s="58" t="n"/>
      <c r="D1307" s="58" t="n"/>
      <c r="E1307" s="64">
        <f>IF(tblCommentary[[#This Row],[Date]]="","",COUNTIFS(INDEX(tblCommentary[Date],1):tblCommentary[[#This Row],[Date]],tblCommentary[[#This Row],[Date]]))</f>
        <v/>
      </c>
      <c r="F1307" s="63">
        <f>IF(tblCommentary[[#This Row],[Date]]="","",tblCommentary[[#This Row],[Date]]&amp;"|"&amp;tblCommentary[[#This Row],[Seq_Day]])</f>
        <v/>
      </c>
    </row>
    <row r="1308">
      <c r="A1308" s="54" t="n"/>
      <c r="B1308" s="61" t="n"/>
      <c r="C1308" s="58" t="n"/>
      <c r="D1308" s="58" t="n"/>
      <c r="E1308" s="64">
        <f>IF(tblCommentary[[#This Row],[Date]]="","",COUNTIFS(INDEX(tblCommentary[Date],1):tblCommentary[[#This Row],[Date]],tblCommentary[[#This Row],[Date]]))</f>
        <v/>
      </c>
      <c r="F1308" s="63">
        <f>IF(tblCommentary[[#This Row],[Date]]="","",tblCommentary[[#This Row],[Date]]&amp;"|"&amp;tblCommentary[[#This Row],[Seq_Day]])</f>
        <v/>
      </c>
    </row>
    <row r="1309">
      <c r="A1309" s="54" t="n"/>
      <c r="B1309" s="61" t="n"/>
      <c r="C1309" s="58" t="n"/>
      <c r="D1309" s="58" t="n"/>
      <c r="E1309" s="64">
        <f>IF(tblCommentary[[#This Row],[Date]]="","",COUNTIFS(INDEX(tblCommentary[Date],1):tblCommentary[[#This Row],[Date]],tblCommentary[[#This Row],[Date]]))</f>
        <v/>
      </c>
      <c r="F1309" s="63">
        <f>IF(tblCommentary[[#This Row],[Date]]="","",tblCommentary[[#This Row],[Date]]&amp;"|"&amp;tblCommentary[[#This Row],[Seq_Day]])</f>
        <v/>
      </c>
    </row>
    <row r="1310">
      <c r="A1310" s="54" t="n"/>
      <c r="B1310" s="61" t="n"/>
      <c r="C1310" s="58" t="n"/>
      <c r="D1310" s="58" t="n"/>
      <c r="E1310" s="64">
        <f>IF(tblCommentary[[#This Row],[Date]]="","",COUNTIFS(INDEX(tblCommentary[Date],1):tblCommentary[[#This Row],[Date]],tblCommentary[[#This Row],[Date]]))</f>
        <v/>
      </c>
      <c r="F1310" s="63">
        <f>IF(tblCommentary[[#This Row],[Date]]="","",tblCommentary[[#This Row],[Date]]&amp;"|"&amp;tblCommentary[[#This Row],[Seq_Day]])</f>
        <v/>
      </c>
    </row>
    <row r="1311">
      <c r="A1311" s="54" t="n"/>
      <c r="B1311" s="61" t="n"/>
      <c r="C1311" s="58" t="n"/>
      <c r="D1311" s="58" t="n"/>
      <c r="E1311" s="64">
        <f>IF(tblCommentary[[#This Row],[Date]]="","",COUNTIFS(INDEX(tblCommentary[Date],1):tblCommentary[[#This Row],[Date]],tblCommentary[[#This Row],[Date]]))</f>
        <v/>
      </c>
      <c r="F1311" s="63">
        <f>IF(tblCommentary[[#This Row],[Date]]="","",tblCommentary[[#This Row],[Date]]&amp;"|"&amp;tblCommentary[[#This Row],[Seq_Day]])</f>
        <v/>
      </c>
    </row>
    <row r="1312">
      <c r="A1312" s="54" t="n"/>
      <c r="B1312" s="61" t="n"/>
      <c r="C1312" s="58" t="n"/>
      <c r="D1312" s="58" t="n"/>
      <c r="E1312" s="64">
        <f>IF(tblCommentary[[#This Row],[Date]]="","",COUNTIFS(INDEX(tblCommentary[Date],1):tblCommentary[[#This Row],[Date]],tblCommentary[[#This Row],[Date]]))</f>
        <v/>
      </c>
      <c r="F1312" s="63">
        <f>IF(tblCommentary[[#This Row],[Date]]="","",tblCommentary[[#This Row],[Date]]&amp;"|"&amp;tblCommentary[[#This Row],[Seq_Day]])</f>
        <v/>
      </c>
    </row>
    <row r="1313">
      <c r="A1313" s="54" t="n"/>
      <c r="B1313" s="61" t="n"/>
      <c r="C1313" s="58" t="n"/>
      <c r="D1313" s="58" t="n"/>
      <c r="E1313" s="64">
        <f>IF(tblCommentary[[#This Row],[Date]]="","",COUNTIFS(INDEX(tblCommentary[Date],1):tblCommentary[[#This Row],[Date]],tblCommentary[[#This Row],[Date]]))</f>
        <v/>
      </c>
      <c r="F1313" s="63">
        <f>IF(tblCommentary[[#This Row],[Date]]="","",tblCommentary[[#This Row],[Date]]&amp;"|"&amp;tblCommentary[[#This Row],[Seq_Day]])</f>
        <v/>
      </c>
    </row>
    <row r="1314">
      <c r="A1314" s="54" t="n"/>
      <c r="B1314" s="61" t="n"/>
      <c r="C1314" s="58" t="n"/>
      <c r="D1314" s="58" t="n"/>
      <c r="E1314" s="64">
        <f>IF(tblCommentary[[#This Row],[Date]]="","",COUNTIFS(INDEX(tblCommentary[Date],1):tblCommentary[[#This Row],[Date]],tblCommentary[[#This Row],[Date]]))</f>
        <v/>
      </c>
      <c r="F1314" s="63">
        <f>IF(tblCommentary[[#This Row],[Date]]="","",tblCommentary[[#This Row],[Date]]&amp;"|"&amp;tblCommentary[[#This Row],[Seq_Day]])</f>
        <v/>
      </c>
    </row>
    <row r="1315">
      <c r="A1315" s="54" t="n"/>
      <c r="B1315" s="61" t="n"/>
      <c r="C1315" s="58" t="n"/>
      <c r="D1315" s="58" t="n"/>
      <c r="E1315" s="64">
        <f>IF(tblCommentary[[#This Row],[Date]]="","",COUNTIFS(INDEX(tblCommentary[Date],1):tblCommentary[[#This Row],[Date]],tblCommentary[[#This Row],[Date]]))</f>
        <v/>
      </c>
      <c r="F1315" s="63">
        <f>IF(tblCommentary[[#This Row],[Date]]="","",tblCommentary[[#This Row],[Date]]&amp;"|"&amp;tblCommentary[[#This Row],[Seq_Day]])</f>
        <v/>
      </c>
    </row>
    <row r="1316">
      <c r="A1316" s="54" t="n"/>
      <c r="B1316" s="61" t="n"/>
      <c r="C1316" s="58" t="n"/>
      <c r="D1316" s="58" t="n"/>
      <c r="E1316" s="64">
        <f>IF(tblCommentary[[#This Row],[Date]]="","",COUNTIFS(INDEX(tblCommentary[Date],1):tblCommentary[[#This Row],[Date]],tblCommentary[[#This Row],[Date]]))</f>
        <v/>
      </c>
      <c r="F1316" s="63">
        <f>IF(tblCommentary[[#This Row],[Date]]="","",tblCommentary[[#This Row],[Date]]&amp;"|"&amp;tblCommentary[[#This Row],[Seq_Day]])</f>
        <v/>
      </c>
    </row>
    <row r="1317">
      <c r="A1317" s="54" t="n"/>
      <c r="B1317" s="61" t="n"/>
      <c r="C1317" s="58" t="n"/>
      <c r="D1317" s="58" t="n"/>
      <c r="E1317" s="64">
        <f>IF(tblCommentary[[#This Row],[Date]]="","",COUNTIFS(INDEX(tblCommentary[Date],1):tblCommentary[[#This Row],[Date]],tblCommentary[[#This Row],[Date]]))</f>
        <v/>
      </c>
      <c r="F1317" s="63">
        <f>IF(tblCommentary[[#This Row],[Date]]="","",tblCommentary[[#This Row],[Date]]&amp;"|"&amp;tblCommentary[[#This Row],[Seq_Day]])</f>
        <v/>
      </c>
    </row>
    <row r="1318">
      <c r="A1318" s="54" t="n"/>
      <c r="B1318" s="61" t="n"/>
      <c r="C1318" s="58" t="n"/>
      <c r="D1318" s="58" t="n"/>
      <c r="E1318" s="64">
        <f>IF(tblCommentary[[#This Row],[Date]]="","",COUNTIFS(INDEX(tblCommentary[Date],1):tblCommentary[[#This Row],[Date]],tblCommentary[[#This Row],[Date]]))</f>
        <v/>
      </c>
      <c r="F1318" s="63">
        <f>IF(tblCommentary[[#This Row],[Date]]="","",tblCommentary[[#This Row],[Date]]&amp;"|"&amp;tblCommentary[[#This Row],[Seq_Day]])</f>
        <v/>
      </c>
    </row>
    <row r="1319">
      <c r="A1319" s="54" t="n"/>
      <c r="B1319" s="61" t="n"/>
      <c r="C1319" s="58" t="n"/>
      <c r="D1319" s="58" t="n"/>
      <c r="E1319" s="64">
        <f>IF(tblCommentary[[#This Row],[Date]]="","",COUNTIFS(INDEX(tblCommentary[Date],1):tblCommentary[[#This Row],[Date]],tblCommentary[[#This Row],[Date]]))</f>
        <v/>
      </c>
      <c r="F1319" s="63">
        <f>IF(tblCommentary[[#This Row],[Date]]="","",tblCommentary[[#This Row],[Date]]&amp;"|"&amp;tblCommentary[[#This Row],[Seq_Day]])</f>
        <v/>
      </c>
    </row>
    <row r="1320">
      <c r="A1320" s="54" t="n"/>
      <c r="B1320" s="61" t="n"/>
      <c r="C1320" s="58" t="n"/>
      <c r="D1320" s="58" t="n"/>
      <c r="E1320" s="64">
        <f>IF(tblCommentary[[#This Row],[Date]]="","",COUNTIFS(INDEX(tblCommentary[Date],1):tblCommentary[[#This Row],[Date]],tblCommentary[[#This Row],[Date]]))</f>
        <v/>
      </c>
      <c r="F1320" s="63">
        <f>IF(tblCommentary[[#This Row],[Date]]="","",tblCommentary[[#This Row],[Date]]&amp;"|"&amp;tblCommentary[[#This Row],[Seq_Day]])</f>
        <v/>
      </c>
    </row>
    <row r="1321">
      <c r="A1321" s="54" t="n"/>
      <c r="B1321" s="61" t="n"/>
      <c r="C1321" s="58" t="n"/>
      <c r="D1321" s="58" t="n"/>
      <c r="E1321" s="64">
        <f>IF(tblCommentary[[#This Row],[Date]]="","",COUNTIFS(INDEX(tblCommentary[Date],1):tblCommentary[[#This Row],[Date]],tblCommentary[[#This Row],[Date]]))</f>
        <v/>
      </c>
      <c r="F1321" s="63">
        <f>IF(tblCommentary[[#This Row],[Date]]="","",tblCommentary[[#This Row],[Date]]&amp;"|"&amp;tblCommentary[[#This Row],[Seq_Day]])</f>
        <v/>
      </c>
    </row>
    <row r="1322">
      <c r="A1322" s="54" t="n"/>
      <c r="B1322" s="61" t="n"/>
      <c r="C1322" s="58" t="n"/>
      <c r="D1322" s="58" t="n"/>
      <c r="E1322" s="64">
        <f>IF(tblCommentary[[#This Row],[Date]]="","",COUNTIFS(INDEX(tblCommentary[Date],1):tblCommentary[[#This Row],[Date]],tblCommentary[[#This Row],[Date]]))</f>
        <v/>
      </c>
      <c r="F1322" s="63">
        <f>IF(tblCommentary[[#This Row],[Date]]="","",tblCommentary[[#This Row],[Date]]&amp;"|"&amp;tblCommentary[[#This Row],[Seq_Day]])</f>
        <v/>
      </c>
    </row>
    <row r="1323">
      <c r="A1323" s="54" t="n"/>
      <c r="B1323" s="61" t="n"/>
      <c r="C1323" s="58" t="n"/>
      <c r="D1323" s="58" t="n"/>
      <c r="E1323" s="64">
        <f>IF(tblCommentary[[#This Row],[Date]]="","",COUNTIFS(INDEX(tblCommentary[Date],1):tblCommentary[[#This Row],[Date]],tblCommentary[[#This Row],[Date]]))</f>
        <v/>
      </c>
      <c r="F1323" s="63">
        <f>IF(tblCommentary[[#This Row],[Date]]="","",tblCommentary[[#This Row],[Date]]&amp;"|"&amp;tblCommentary[[#This Row],[Seq_Day]])</f>
        <v/>
      </c>
    </row>
    <row r="1324">
      <c r="A1324" s="54" t="n"/>
      <c r="B1324" s="61" t="n"/>
      <c r="C1324" s="58" t="n"/>
      <c r="D1324" s="58" t="n"/>
      <c r="E1324" s="64">
        <f>IF(tblCommentary[[#This Row],[Date]]="","",COUNTIFS(INDEX(tblCommentary[Date],1):tblCommentary[[#This Row],[Date]],tblCommentary[[#This Row],[Date]]))</f>
        <v/>
      </c>
      <c r="F1324" s="63">
        <f>IF(tblCommentary[[#This Row],[Date]]="","",tblCommentary[[#This Row],[Date]]&amp;"|"&amp;tblCommentary[[#This Row],[Seq_Day]])</f>
        <v/>
      </c>
    </row>
    <row r="1325">
      <c r="A1325" s="54" t="n"/>
      <c r="B1325" s="61" t="n"/>
      <c r="C1325" s="58" t="n"/>
      <c r="D1325" s="58" t="n"/>
      <c r="E1325" s="64">
        <f>IF(tblCommentary[[#This Row],[Date]]="","",COUNTIFS(INDEX(tblCommentary[Date],1):tblCommentary[[#This Row],[Date]],tblCommentary[[#This Row],[Date]]))</f>
        <v/>
      </c>
      <c r="F1325" s="63">
        <f>IF(tblCommentary[[#This Row],[Date]]="","",tblCommentary[[#This Row],[Date]]&amp;"|"&amp;tblCommentary[[#This Row],[Seq_Day]])</f>
        <v/>
      </c>
    </row>
    <row r="1326">
      <c r="A1326" s="54" t="n"/>
      <c r="B1326" s="61" t="n"/>
      <c r="C1326" s="58" t="n"/>
      <c r="D1326" s="58" t="n"/>
      <c r="E1326" s="64">
        <f>IF(tblCommentary[[#This Row],[Date]]="","",COUNTIFS(INDEX(tblCommentary[Date],1):tblCommentary[[#This Row],[Date]],tblCommentary[[#This Row],[Date]]))</f>
        <v/>
      </c>
      <c r="F1326" s="63">
        <f>IF(tblCommentary[[#This Row],[Date]]="","",tblCommentary[[#This Row],[Date]]&amp;"|"&amp;tblCommentary[[#This Row],[Seq_Day]])</f>
        <v/>
      </c>
    </row>
    <row r="1327">
      <c r="A1327" s="54" t="n"/>
      <c r="B1327" s="61" t="n"/>
      <c r="C1327" s="58" t="n"/>
      <c r="D1327" s="58" t="n"/>
      <c r="E1327" s="64">
        <f>IF(tblCommentary[[#This Row],[Date]]="","",COUNTIFS(INDEX(tblCommentary[Date],1):tblCommentary[[#This Row],[Date]],tblCommentary[[#This Row],[Date]]))</f>
        <v/>
      </c>
      <c r="F1327" s="63">
        <f>IF(tblCommentary[[#This Row],[Date]]="","",tblCommentary[[#This Row],[Date]]&amp;"|"&amp;tblCommentary[[#This Row],[Seq_Day]])</f>
        <v/>
      </c>
    </row>
    <row r="1328">
      <c r="A1328" s="54" t="n"/>
      <c r="B1328" s="61" t="n"/>
      <c r="C1328" s="58" t="n"/>
      <c r="D1328" s="58" t="n"/>
      <c r="E1328" s="64">
        <f>IF(tblCommentary[[#This Row],[Date]]="","",COUNTIFS(INDEX(tblCommentary[Date],1):tblCommentary[[#This Row],[Date]],tblCommentary[[#This Row],[Date]]))</f>
        <v/>
      </c>
      <c r="F1328" s="63">
        <f>IF(tblCommentary[[#This Row],[Date]]="","",tblCommentary[[#This Row],[Date]]&amp;"|"&amp;tblCommentary[[#This Row],[Seq_Day]])</f>
        <v/>
      </c>
    </row>
    <row r="1329">
      <c r="A1329" s="54" t="n"/>
      <c r="B1329" s="61" t="n"/>
      <c r="C1329" s="58" t="n"/>
      <c r="D1329" s="58" t="n"/>
      <c r="E1329" s="64">
        <f>IF(tblCommentary[[#This Row],[Date]]="","",COUNTIFS(INDEX(tblCommentary[Date],1):tblCommentary[[#This Row],[Date]],tblCommentary[[#This Row],[Date]]))</f>
        <v/>
      </c>
      <c r="F1329" s="63">
        <f>IF(tblCommentary[[#This Row],[Date]]="","",tblCommentary[[#This Row],[Date]]&amp;"|"&amp;tblCommentary[[#This Row],[Seq_Day]])</f>
        <v/>
      </c>
    </row>
    <row r="1330">
      <c r="A1330" s="54" t="n"/>
      <c r="B1330" s="61" t="n"/>
      <c r="C1330" s="58" t="n"/>
      <c r="D1330" s="58" t="n"/>
      <c r="E1330" s="64">
        <f>IF(tblCommentary[[#This Row],[Date]]="","",COUNTIFS(INDEX(tblCommentary[Date],1):tblCommentary[[#This Row],[Date]],tblCommentary[[#This Row],[Date]]))</f>
        <v/>
      </c>
      <c r="F1330" s="63">
        <f>IF(tblCommentary[[#This Row],[Date]]="","",tblCommentary[[#This Row],[Date]]&amp;"|"&amp;tblCommentary[[#This Row],[Seq_Day]])</f>
        <v/>
      </c>
    </row>
    <row r="1331">
      <c r="A1331" s="54" t="n"/>
      <c r="B1331" s="61" t="n"/>
      <c r="C1331" s="58" t="n"/>
      <c r="D1331" s="58" t="n"/>
      <c r="E1331" s="64">
        <f>IF(tblCommentary[[#This Row],[Date]]="","",COUNTIFS(INDEX(tblCommentary[Date],1):tblCommentary[[#This Row],[Date]],tblCommentary[[#This Row],[Date]]))</f>
        <v/>
      </c>
      <c r="F1331" s="63">
        <f>IF(tblCommentary[[#This Row],[Date]]="","",tblCommentary[[#This Row],[Date]]&amp;"|"&amp;tblCommentary[[#This Row],[Seq_Day]])</f>
        <v/>
      </c>
    </row>
    <row r="1332">
      <c r="A1332" s="54" t="n"/>
      <c r="B1332" s="61" t="n"/>
      <c r="C1332" s="58" t="n"/>
      <c r="D1332" s="58" t="n"/>
      <c r="E1332" s="64">
        <f>IF(tblCommentary[[#This Row],[Date]]="","",COUNTIFS(INDEX(tblCommentary[Date],1):tblCommentary[[#This Row],[Date]],tblCommentary[[#This Row],[Date]]))</f>
        <v/>
      </c>
      <c r="F1332" s="63">
        <f>IF(tblCommentary[[#This Row],[Date]]="","",tblCommentary[[#This Row],[Date]]&amp;"|"&amp;tblCommentary[[#This Row],[Seq_Day]])</f>
        <v/>
      </c>
    </row>
    <row r="1333">
      <c r="A1333" s="54" t="n"/>
      <c r="B1333" s="61" t="n"/>
      <c r="C1333" s="58" t="n"/>
      <c r="D1333" s="58" t="n"/>
      <c r="E1333" s="64">
        <f>IF(tblCommentary[[#This Row],[Date]]="","",COUNTIFS(INDEX(tblCommentary[Date],1):tblCommentary[[#This Row],[Date]],tblCommentary[[#This Row],[Date]]))</f>
        <v/>
      </c>
      <c r="F1333" s="63">
        <f>IF(tblCommentary[[#This Row],[Date]]="","",tblCommentary[[#This Row],[Date]]&amp;"|"&amp;tblCommentary[[#This Row],[Seq_Day]])</f>
        <v/>
      </c>
    </row>
    <row r="1334">
      <c r="A1334" s="54" t="n"/>
      <c r="B1334" s="61" t="n"/>
      <c r="C1334" s="58" t="n"/>
      <c r="D1334" s="58" t="n"/>
      <c r="E1334" s="64">
        <f>IF(tblCommentary[[#This Row],[Date]]="","",COUNTIFS(INDEX(tblCommentary[Date],1):tblCommentary[[#This Row],[Date]],tblCommentary[[#This Row],[Date]]))</f>
        <v/>
      </c>
      <c r="F1334" s="63">
        <f>IF(tblCommentary[[#This Row],[Date]]="","",tblCommentary[[#This Row],[Date]]&amp;"|"&amp;tblCommentary[[#This Row],[Seq_Day]])</f>
        <v/>
      </c>
    </row>
    <row r="1335">
      <c r="A1335" s="54" t="n"/>
      <c r="B1335" s="61" t="n"/>
      <c r="C1335" s="58" t="n"/>
      <c r="D1335" s="58" t="n"/>
      <c r="E1335" s="64">
        <f>IF(tblCommentary[[#This Row],[Date]]="","",COUNTIFS(INDEX(tblCommentary[Date],1):tblCommentary[[#This Row],[Date]],tblCommentary[[#This Row],[Date]]))</f>
        <v/>
      </c>
      <c r="F1335" s="63">
        <f>IF(tblCommentary[[#This Row],[Date]]="","",tblCommentary[[#This Row],[Date]]&amp;"|"&amp;tblCommentary[[#This Row],[Seq_Day]])</f>
        <v/>
      </c>
    </row>
    <row r="1336">
      <c r="A1336" s="54" t="n"/>
      <c r="B1336" s="61" t="n"/>
      <c r="C1336" s="58" t="n"/>
      <c r="D1336" s="58" t="n"/>
      <c r="E1336" s="64">
        <f>IF(tblCommentary[[#This Row],[Date]]="","",COUNTIFS(INDEX(tblCommentary[Date],1):tblCommentary[[#This Row],[Date]],tblCommentary[[#This Row],[Date]]))</f>
        <v/>
      </c>
      <c r="F1336" s="63">
        <f>IF(tblCommentary[[#This Row],[Date]]="","",tblCommentary[[#This Row],[Date]]&amp;"|"&amp;tblCommentary[[#This Row],[Seq_Day]])</f>
        <v/>
      </c>
    </row>
    <row r="1337">
      <c r="A1337" s="54" t="n"/>
      <c r="B1337" s="61" t="n"/>
      <c r="C1337" s="58" t="n"/>
      <c r="D1337" s="58" t="n"/>
      <c r="E1337" s="64">
        <f>IF(tblCommentary[[#This Row],[Date]]="","",COUNTIFS(INDEX(tblCommentary[Date],1):tblCommentary[[#This Row],[Date]],tblCommentary[[#This Row],[Date]]))</f>
        <v/>
      </c>
      <c r="F1337" s="63">
        <f>IF(tblCommentary[[#This Row],[Date]]="","",tblCommentary[[#This Row],[Date]]&amp;"|"&amp;tblCommentary[[#This Row],[Seq_Day]])</f>
        <v/>
      </c>
    </row>
    <row r="1338">
      <c r="A1338" s="54" t="n"/>
      <c r="B1338" s="61" t="n"/>
      <c r="C1338" s="58" t="n"/>
      <c r="D1338" s="58" t="n"/>
      <c r="E1338" s="64">
        <f>IF(tblCommentary[[#This Row],[Date]]="","",COUNTIFS(INDEX(tblCommentary[Date],1):tblCommentary[[#This Row],[Date]],tblCommentary[[#This Row],[Date]]))</f>
        <v/>
      </c>
      <c r="F1338" s="63">
        <f>IF(tblCommentary[[#This Row],[Date]]="","",tblCommentary[[#This Row],[Date]]&amp;"|"&amp;tblCommentary[[#This Row],[Seq_Day]])</f>
        <v/>
      </c>
    </row>
    <row r="1339">
      <c r="A1339" s="54" t="n"/>
      <c r="B1339" s="61" t="n"/>
      <c r="C1339" s="58" t="n"/>
      <c r="D1339" s="58" t="n"/>
      <c r="E1339" s="64">
        <f>IF(tblCommentary[[#This Row],[Date]]="","",COUNTIFS(INDEX(tblCommentary[Date],1):tblCommentary[[#This Row],[Date]],tblCommentary[[#This Row],[Date]]))</f>
        <v/>
      </c>
      <c r="F1339" s="63">
        <f>IF(tblCommentary[[#This Row],[Date]]="","",tblCommentary[[#This Row],[Date]]&amp;"|"&amp;tblCommentary[[#This Row],[Seq_Day]])</f>
        <v/>
      </c>
    </row>
    <row r="1340">
      <c r="A1340" s="54" t="n"/>
      <c r="B1340" s="61" t="n"/>
      <c r="C1340" s="58" t="n"/>
      <c r="D1340" s="58" t="n"/>
      <c r="E1340" s="64">
        <f>IF(tblCommentary[[#This Row],[Date]]="","",COUNTIFS(INDEX(tblCommentary[Date],1):tblCommentary[[#This Row],[Date]],tblCommentary[[#This Row],[Date]]))</f>
        <v/>
      </c>
      <c r="F1340" s="63">
        <f>IF(tblCommentary[[#This Row],[Date]]="","",tblCommentary[[#This Row],[Date]]&amp;"|"&amp;tblCommentary[[#This Row],[Seq_Day]])</f>
        <v/>
      </c>
    </row>
    <row r="1341">
      <c r="A1341" s="54" t="n"/>
      <c r="B1341" s="61" t="n"/>
      <c r="C1341" s="58" t="n"/>
      <c r="D1341" s="58" t="n"/>
      <c r="E1341" s="64">
        <f>IF(tblCommentary[[#This Row],[Date]]="","",COUNTIFS(INDEX(tblCommentary[Date],1):tblCommentary[[#This Row],[Date]],tblCommentary[[#This Row],[Date]]))</f>
        <v/>
      </c>
      <c r="F1341" s="63">
        <f>IF(tblCommentary[[#This Row],[Date]]="","",tblCommentary[[#This Row],[Date]]&amp;"|"&amp;tblCommentary[[#This Row],[Seq_Day]])</f>
        <v/>
      </c>
    </row>
    <row r="1342">
      <c r="A1342" s="54" t="n"/>
      <c r="B1342" s="61" t="n"/>
      <c r="C1342" s="58" t="n"/>
      <c r="D1342" s="58" t="n"/>
      <c r="E1342" s="64">
        <f>IF(tblCommentary[[#This Row],[Date]]="","",COUNTIFS(INDEX(tblCommentary[Date],1):tblCommentary[[#This Row],[Date]],tblCommentary[[#This Row],[Date]]))</f>
        <v/>
      </c>
      <c r="F1342" s="63">
        <f>IF(tblCommentary[[#This Row],[Date]]="","",tblCommentary[[#This Row],[Date]]&amp;"|"&amp;tblCommentary[[#This Row],[Seq_Day]])</f>
        <v/>
      </c>
    </row>
    <row r="1343">
      <c r="A1343" s="54" t="n"/>
      <c r="B1343" s="61" t="n"/>
      <c r="C1343" s="58" t="n"/>
      <c r="D1343" s="58" t="n"/>
      <c r="E1343" s="64">
        <f>IF(tblCommentary[[#This Row],[Date]]="","",COUNTIFS(INDEX(tblCommentary[Date],1):tblCommentary[[#This Row],[Date]],tblCommentary[[#This Row],[Date]]))</f>
        <v/>
      </c>
      <c r="F1343" s="63">
        <f>IF(tblCommentary[[#This Row],[Date]]="","",tblCommentary[[#This Row],[Date]]&amp;"|"&amp;tblCommentary[[#This Row],[Seq_Day]])</f>
        <v/>
      </c>
    </row>
    <row r="1344">
      <c r="A1344" s="54" t="n"/>
      <c r="B1344" s="61" t="n"/>
      <c r="C1344" s="58" t="n"/>
      <c r="D1344" s="58" t="n"/>
      <c r="E1344" s="64">
        <f>IF(tblCommentary[[#This Row],[Date]]="","",COUNTIFS(INDEX(tblCommentary[Date],1):tblCommentary[[#This Row],[Date]],tblCommentary[[#This Row],[Date]]))</f>
        <v/>
      </c>
      <c r="F1344" s="63">
        <f>IF(tblCommentary[[#This Row],[Date]]="","",tblCommentary[[#This Row],[Date]]&amp;"|"&amp;tblCommentary[[#This Row],[Seq_Day]])</f>
        <v/>
      </c>
    </row>
    <row r="1345">
      <c r="A1345" s="54" t="n"/>
      <c r="B1345" s="61" t="n"/>
      <c r="C1345" s="58" t="n"/>
      <c r="D1345" s="58" t="n"/>
      <c r="E1345" s="64">
        <f>IF(tblCommentary[[#This Row],[Date]]="","",COUNTIFS(INDEX(tblCommentary[Date],1):tblCommentary[[#This Row],[Date]],tblCommentary[[#This Row],[Date]]))</f>
        <v/>
      </c>
      <c r="F1345" s="63">
        <f>IF(tblCommentary[[#This Row],[Date]]="","",tblCommentary[[#This Row],[Date]]&amp;"|"&amp;tblCommentary[[#This Row],[Seq_Day]])</f>
        <v/>
      </c>
    </row>
    <row r="1346">
      <c r="A1346" s="54" t="n"/>
      <c r="B1346" s="61" t="n"/>
      <c r="C1346" s="58" t="n"/>
      <c r="D1346" s="58" t="n"/>
      <c r="E1346" s="64">
        <f>IF(tblCommentary[[#This Row],[Date]]="","",COUNTIFS(INDEX(tblCommentary[Date],1):tblCommentary[[#This Row],[Date]],tblCommentary[[#This Row],[Date]]))</f>
        <v/>
      </c>
      <c r="F1346" s="63">
        <f>IF(tblCommentary[[#This Row],[Date]]="","",tblCommentary[[#This Row],[Date]]&amp;"|"&amp;tblCommentary[[#This Row],[Seq_Day]])</f>
        <v/>
      </c>
    </row>
    <row r="1347">
      <c r="A1347" s="54" t="n"/>
      <c r="B1347" s="61" t="n"/>
      <c r="C1347" s="58" t="n"/>
      <c r="D1347" s="58" t="n"/>
      <c r="E1347" s="64">
        <f>IF(tblCommentary[[#This Row],[Date]]="","",COUNTIFS(INDEX(tblCommentary[Date],1):tblCommentary[[#This Row],[Date]],tblCommentary[[#This Row],[Date]]))</f>
        <v/>
      </c>
      <c r="F1347" s="63">
        <f>IF(tblCommentary[[#This Row],[Date]]="","",tblCommentary[[#This Row],[Date]]&amp;"|"&amp;tblCommentary[[#This Row],[Seq_Day]])</f>
        <v/>
      </c>
    </row>
    <row r="1348">
      <c r="A1348" s="54" t="n"/>
      <c r="B1348" s="61" t="n"/>
      <c r="C1348" s="58" t="n"/>
      <c r="D1348" s="58" t="n"/>
      <c r="E1348" s="64">
        <f>IF(tblCommentary[[#This Row],[Date]]="","",COUNTIFS(INDEX(tblCommentary[Date],1):tblCommentary[[#This Row],[Date]],tblCommentary[[#This Row],[Date]]))</f>
        <v/>
      </c>
      <c r="F1348" s="63">
        <f>IF(tblCommentary[[#This Row],[Date]]="","",tblCommentary[[#This Row],[Date]]&amp;"|"&amp;tblCommentary[[#This Row],[Seq_Day]])</f>
        <v/>
      </c>
    </row>
    <row r="1349">
      <c r="A1349" s="54" t="n"/>
      <c r="B1349" s="61" t="n"/>
      <c r="C1349" s="58" t="n"/>
      <c r="D1349" s="58" t="n"/>
      <c r="E1349" s="64">
        <f>IF(tblCommentary[[#This Row],[Date]]="","",COUNTIFS(INDEX(tblCommentary[Date],1):tblCommentary[[#This Row],[Date]],tblCommentary[[#This Row],[Date]]))</f>
        <v/>
      </c>
      <c r="F1349" s="63">
        <f>IF(tblCommentary[[#This Row],[Date]]="","",tblCommentary[[#This Row],[Date]]&amp;"|"&amp;tblCommentary[[#This Row],[Seq_Day]])</f>
        <v/>
      </c>
    </row>
    <row r="1350">
      <c r="A1350" s="54" t="n"/>
      <c r="B1350" s="61" t="n"/>
      <c r="C1350" s="58" t="n"/>
      <c r="D1350" s="58" t="n"/>
      <c r="E1350" s="64">
        <f>IF(tblCommentary[[#This Row],[Date]]="","",COUNTIFS(INDEX(tblCommentary[Date],1):tblCommentary[[#This Row],[Date]],tblCommentary[[#This Row],[Date]]))</f>
        <v/>
      </c>
      <c r="F1350" s="63">
        <f>IF(tblCommentary[[#This Row],[Date]]="","",tblCommentary[[#This Row],[Date]]&amp;"|"&amp;tblCommentary[[#This Row],[Seq_Day]])</f>
        <v/>
      </c>
    </row>
    <row r="1351">
      <c r="A1351" s="54" t="n"/>
      <c r="B1351" s="61" t="n"/>
      <c r="C1351" s="58" t="n"/>
      <c r="D1351" s="58" t="n"/>
      <c r="E1351" s="64">
        <f>IF(tblCommentary[[#This Row],[Date]]="","",COUNTIFS(INDEX(tblCommentary[Date],1):tblCommentary[[#This Row],[Date]],tblCommentary[[#This Row],[Date]]))</f>
        <v/>
      </c>
      <c r="F1351" s="63">
        <f>IF(tblCommentary[[#This Row],[Date]]="","",tblCommentary[[#This Row],[Date]]&amp;"|"&amp;tblCommentary[[#This Row],[Seq_Day]])</f>
        <v/>
      </c>
    </row>
    <row r="1352">
      <c r="A1352" s="54" t="n"/>
      <c r="B1352" s="61" t="n"/>
      <c r="C1352" s="58" t="n"/>
      <c r="D1352" s="58" t="n"/>
      <c r="E1352" s="64">
        <f>IF(tblCommentary[[#This Row],[Date]]="","",COUNTIFS(INDEX(tblCommentary[Date],1):tblCommentary[[#This Row],[Date]],tblCommentary[[#This Row],[Date]]))</f>
        <v/>
      </c>
      <c r="F1352" s="63">
        <f>IF(tblCommentary[[#This Row],[Date]]="","",tblCommentary[[#This Row],[Date]]&amp;"|"&amp;tblCommentary[[#This Row],[Seq_Day]])</f>
        <v/>
      </c>
    </row>
    <row r="1353">
      <c r="A1353" s="54" t="n"/>
      <c r="B1353" s="61" t="n"/>
      <c r="C1353" s="58" t="n"/>
      <c r="D1353" s="58" t="n"/>
      <c r="E1353" s="64">
        <f>IF(tblCommentary[[#This Row],[Date]]="","",COUNTIFS(INDEX(tblCommentary[Date],1):tblCommentary[[#This Row],[Date]],tblCommentary[[#This Row],[Date]]))</f>
        <v/>
      </c>
      <c r="F1353" s="63">
        <f>IF(tblCommentary[[#This Row],[Date]]="","",tblCommentary[[#This Row],[Date]]&amp;"|"&amp;tblCommentary[[#This Row],[Seq_Day]])</f>
        <v/>
      </c>
    </row>
    <row r="1354">
      <c r="A1354" s="54" t="n"/>
      <c r="B1354" s="61" t="n"/>
      <c r="C1354" s="58" t="n"/>
      <c r="D1354" s="58" t="n"/>
      <c r="E1354" s="64">
        <f>IF(tblCommentary[[#This Row],[Date]]="","",COUNTIFS(INDEX(tblCommentary[Date],1):tblCommentary[[#This Row],[Date]],tblCommentary[[#This Row],[Date]]))</f>
        <v/>
      </c>
      <c r="F1354" s="63">
        <f>IF(tblCommentary[[#This Row],[Date]]="","",tblCommentary[[#This Row],[Date]]&amp;"|"&amp;tblCommentary[[#This Row],[Seq_Day]])</f>
        <v/>
      </c>
    </row>
    <row r="1355">
      <c r="A1355" s="54" t="n"/>
      <c r="B1355" s="61" t="n"/>
      <c r="C1355" s="58" t="n"/>
      <c r="D1355" s="58" t="n"/>
      <c r="E1355" s="64">
        <f>IF(tblCommentary[[#This Row],[Date]]="","",COUNTIFS(INDEX(tblCommentary[Date],1):tblCommentary[[#This Row],[Date]],tblCommentary[[#This Row],[Date]]))</f>
        <v/>
      </c>
      <c r="F1355" s="63">
        <f>IF(tblCommentary[[#This Row],[Date]]="","",tblCommentary[[#This Row],[Date]]&amp;"|"&amp;tblCommentary[[#This Row],[Seq_Day]])</f>
        <v/>
      </c>
    </row>
    <row r="1356">
      <c r="A1356" s="54" t="n"/>
      <c r="B1356" s="61" t="n"/>
      <c r="C1356" s="58" t="n"/>
      <c r="D1356" s="58" t="n"/>
      <c r="E1356" s="64">
        <f>IF(tblCommentary[[#This Row],[Date]]="","",COUNTIFS(INDEX(tblCommentary[Date],1):tblCommentary[[#This Row],[Date]],tblCommentary[[#This Row],[Date]]))</f>
        <v/>
      </c>
      <c r="F1356" s="63">
        <f>IF(tblCommentary[[#This Row],[Date]]="","",tblCommentary[[#This Row],[Date]]&amp;"|"&amp;tblCommentary[[#This Row],[Seq_Day]])</f>
        <v/>
      </c>
    </row>
    <row r="1357">
      <c r="A1357" s="54" t="n"/>
      <c r="B1357" s="61" t="n"/>
      <c r="C1357" s="58" t="n"/>
      <c r="D1357" s="58" t="n"/>
      <c r="E1357" s="64">
        <f>IF(tblCommentary[[#This Row],[Date]]="","",COUNTIFS(INDEX(tblCommentary[Date],1):tblCommentary[[#This Row],[Date]],tblCommentary[[#This Row],[Date]]))</f>
        <v/>
      </c>
      <c r="F1357" s="63">
        <f>IF(tblCommentary[[#This Row],[Date]]="","",tblCommentary[[#This Row],[Date]]&amp;"|"&amp;tblCommentary[[#This Row],[Seq_Day]])</f>
        <v/>
      </c>
    </row>
    <row r="1358">
      <c r="A1358" s="54" t="n"/>
      <c r="B1358" s="61" t="n"/>
      <c r="C1358" s="58" t="n"/>
      <c r="D1358" s="58" t="n"/>
      <c r="E1358" s="64">
        <f>IF(tblCommentary[[#This Row],[Date]]="","",COUNTIFS(INDEX(tblCommentary[Date],1):tblCommentary[[#This Row],[Date]],tblCommentary[[#This Row],[Date]]))</f>
        <v/>
      </c>
      <c r="F1358" s="63">
        <f>IF(tblCommentary[[#This Row],[Date]]="","",tblCommentary[[#This Row],[Date]]&amp;"|"&amp;tblCommentary[[#This Row],[Seq_Day]])</f>
        <v/>
      </c>
    </row>
    <row r="1359">
      <c r="A1359" s="54" t="n"/>
      <c r="B1359" s="61" t="n"/>
      <c r="C1359" s="58" t="n"/>
      <c r="D1359" s="58" t="n"/>
      <c r="E1359" s="64">
        <f>IF(tblCommentary[[#This Row],[Date]]="","",COUNTIFS(INDEX(tblCommentary[Date],1):tblCommentary[[#This Row],[Date]],tblCommentary[[#This Row],[Date]]))</f>
        <v/>
      </c>
      <c r="F1359" s="63">
        <f>IF(tblCommentary[[#This Row],[Date]]="","",tblCommentary[[#This Row],[Date]]&amp;"|"&amp;tblCommentary[[#This Row],[Seq_Day]])</f>
        <v/>
      </c>
    </row>
    <row r="1360">
      <c r="A1360" s="54" t="n"/>
      <c r="B1360" s="61" t="n"/>
      <c r="C1360" s="58" t="n"/>
      <c r="D1360" s="58" t="n"/>
      <c r="E1360" s="64">
        <f>IF(tblCommentary[[#This Row],[Date]]="","",COUNTIFS(INDEX(tblCommentary[Date],1):tblCommentary[[#This Row],[Date]],tblCommentary[[#This Row],[Date]]))</f>
        <v/>
      </c>
      <c r="F1360" s="63">
        <f>IF(tblCommentary[[#This Row],[Date]]="","",tblCommentary[[#This Row],[Date]]&amp;"|"&amp;tblCommentary[[#This Row],[Seq_Day]])</f>
        <v/>
      </c>
    </row>
    <row r="1361">
      <c r="A1361" s="54" t="n"/>
      <c r="B1361" s="61" t="n"/>
      <c r="C1361" s="58" t="n"/>
      <c r="D1361" s="58" t="n"/>
      <c r="E1361" s="64">
        <f>IF(tblCommentary[[#This Row],[Date]]="","",COUNTIFS(INDEX(tblCommentary[Date],1):tblCommentary[[#This Row],[Date]],tblCommentary[[#This Row],[Date]]))</f>
        <v/>
      </c>
      <c r="F1361" s="63">
        <f>IF(tblCommentary[[#This Row],[Date]]="","",tblCommentary[[#This Row],[Date]]&amp;"|"&amp;tblCommentary[[#This Row],[Seq_Day]])</f>
        <v/>
      </c>
    </row>
    <row r="1362">
      <c r="A1362" s="54" t="n"/>
      <c r="B1362" s="61" t="n"/>
      <c r="C1362" s="58" t="n"/>
      <c r="D1362" s="58" t="n"/>
      <c r="E1362" s="64">
        <f>IF(tblCommentary[[#This Row],[Date]]="","",COUNTIFS(INDEX(tblCommentary[Date],1):tblCommentary[[#This Row],[Date]],tblCommentary[[#This Row],[Date]]))</f>
        <v/>
      </c>
      <c r="F1362" s="63">
        <f>IF(tblCommentary[[#This Row],[Date]]="","",tblCommentary[[#This Row],[Date]]&amp;"|"&amp;tblCommentary[[#This Row],[Seq_Day]])</f>
        <v/>
      </c>
    </row>
    <row r="1363">
      <c r="A1363" s="54" t="n"/>
      <c r="B1363" s="61" t="n"/>
      <c r="C1363" s="58" t="n"/>
      <c r="D1363" s="58" t="n"/>
      <c r="E1363" s="64">
        <f>IF(tblCommentary[[#This Row],[Date]]="","",COUNTIFS(INDEX(tblCommentary[Date],1):tblCommentary[[#This Row],[Date]],tblCommentary[[#This Row],[Date]]))</f>
        <v/>
      </c>
      <c r="F1363" s="63">
        <f>IF(tblCommentary[[#This Row],[Date]]="","",tblCommentary[[#This Row],[Date]]&amp;"|"&amp;tblCommentary[[#This Row],[Seq_Day]])</f>
        <v/>
      </c>
    </row>
    <row r="1364">
      <c r="A1364" s="54" t="n"/>
      <c r="B1364" s="61" t="n"/>
      <c r="C1364" s="58" t="n"/>
      <c r="D1364" s="58" t="n"/>
      <c r="E1364" s="64">
        <f>IF(tblCommentary[[#This Row],[Date]]="","",COUNTIFS(INDEX(tblCommentary[Date],1):tblCommentary[[#This Row],[Date]],tblCommentary[[#This Row],[Date]]))</f>
        <v/>
      </c>
      <c r="F1364" s="63">
        <f>IF(tblCommentary[[#This Row],[Date]]="","",tblCommentary[[#This Row],[Date]]&amp;"|"&amp;tblCommentary[[#This Row],[Seq_Day]])</f>
        <v/>
      </c>
    </row>
    <row r="1365">
      <c r="A1365" s="54" t="n"/>
      <c r="B1365" s="61" t="n"/>
      <c r="C1365" s="58" t="n"/>
      <c r="D1365" s="58" t="n"/>
      <c r="E1365" s="64">
        <f>IF(tblCommentary[[#This Row],[Date]]="","",COUNTIFS(INDEX(tblCommentary[Date],1):tblCommentary[[#This Row],[Date]],tblCommentary[[#This Row],[Date]]))</f>
        <v/>
      </c>
      <c r="F1365" s="63">
        <f>IF(tblCommentary[[#This Row],[Date]]="","",tblCommentary[[#This Row],[Date]]&amp;"|"&amp;tblCommentary[[#This Row],[Seq_Day]])</f>
        <v/>
      </c>
    </row>
    <row r="1366">
      <c r="A1366" s="54" t="n"/>
      <c r="B1366" s="61" t="n"/>
      <c r="C1366" s="58" t="n"/>
      <c r="D1366" s="58" t="n"/>
      <c r="E1366" s="64">
        <f>IF(tblCommentary[[#This Row],[Date]]="","",COUNTIFS(INDEX(tblCommentary[Date],1):tblCommentary[[#This Row],[Date]],tblCommentary[[#This Row],[Date]]))</f>
        <v/>
      </c>
      <c r="F1366" s="63">
        <f>IF(tblCommentary[[#This Row],[Date]]="","",tblCommentary[[#This Row],[Date]]&amp;"|"&amp;tblCommentary[[#This Row],[Seq_Day]])</f>
        <v/>
      </c>
    </row>
    <row r="1367">
      <c r="A1367" s="54" t="n"/>
      <c r="B1367" s="61" t="n"/>
      <c r="C1367" s="58" t="n"/>
      <c r="D1367" s="58" t="n"/>
      <c r="E1367" s="64">
        <f>IF(tblCommentary[[#This Row],[Date]]="","",COUNTIFS(INDEX(tblCommentary[Date],1):tblCommentary[[#This Row],[Date]],tblCommentary[[#This Row],[Date]]))</f>
        <v/>
      </c>
      <c r="F1367" s="63">
        <f>IF(tblCommentary[[#This Row],[Date]]="","",tblCommentary[[#This Row],[Date]]&amp;"|"&amp;tblCommentary[[#This Row],[Seq_Day]])</f>
        <v/>
      </c>
    </row>
    <row r="1368">
      <c r="A1368" s="54" t="n"/>
      <c r="B1368" s="61" t="n"/>
      <c r="C1368" s="58" t="n"/>
      <c r="D1368" s="58" t="n"/>
      <c r="E1368" s="64">
        <f>IF(tblCommentary[[#This Row],[Date]]="","",COUNTIFS(INDEX(tblCommentary[Date],1):tblCommentary[[#This Row],[Date]],tblCommentary[[#This Row],[Date]]))</f>
        <v/>
      </c>
      <c r="F1368" s="63">
        <f>IF(tblCommentary[[#This Row],[Date]]="","",tblCommentary[[#This Row],[Date]]&amp;"|"&amp;tblCommentary[[#This Row],[Seq_Day]])</f>
        <v/>
      </c>
    </row>
    <row r="1369">
      <c r="A1369" s="54" t="n"/>
      <c r="B1369" s="61" t="n"/>
      <c r="C1369" s="58" t="n"/>
      <c r="D1369" s="58" t="n"/>
      <c r="E1369" s="64">
        <f>IF(tblCommentary[[#This Row],[Date]]="","",COUNTIFS(INDEX(tblCommentary[Date],1):tblCommentary[[#This Row],[Date]],tblCommentary[[#This Row],[Date]]))</f>
        <v/>
      </c>
      <c r="F1369" s="63">
        <f>IF(tblCommentary[[#This Row],[Date]]="","",tblCommentary[[#This Row],[Date]]&amp;"|"&amp;tblCommentary[[#This Row],[Seq_Day]])</f>
        <v/>
      </c>
    </row>
    <row r="1370">
      <c r="A1370" s="54" t="n"/>
      <c r="B1370" s="61" t="n"/>
      <c r="C1370" s="58" t="n"/>
      <c r="D1370" s="58" t="n"/>
      <c r="E1370" s="64">
        <f>IF(tblCommentary[[#This Row],[Date]]="","",COUNTIFS(INDEX(tblCommentary[Date],1):tblCommentary[[#This Row],[Date]],tblCommentary[[#This Row],[Date]]))</f>
        <v/>
      </c>
      <c r="F1370" s="63">
        <f>IF(tblCommentary[[#This Row],[Date]]="","",tblCommentary[[#This Row],[Date]]&amp;"|"&amp;tblCommentary[[#This Row],[Seq_Day]])</f>
        <v/>
      </c>
    </row>
    <row r="1371">
      <c r="A1371" s="54" t="n"/>
      <c r="B1371" s="61" t="n"/>
      <c r="C1371" s="58" t="n"/>
      <c r="D1371" s="58" t="n"/>
      <c r="E1371" s="64">
        <f>IF(tblCommentary[[#This Row],[Date]]="","",COUNTIFS(INDEX(tblCommentary[Date],1):tblCommentary[[#This Row],[Date]],tblCommentary[[#This Row],[Date]]))</f>
        <v/>
      </c>
      <c r="F1371" s="63">
        <f>IF(tblCommentary[[#This Row],[Date]]="","",tblCommentary[[#This Row],[Date]]&amp;"|"&amp;tblCommentary[[#This Row],[Seq_Day]])</f>
        <v/>
      </c>
    </row>
    <row r="1372">
      <c r="A1372" s="54" t="n"/>
      <c r="B1372" s="61" t="n"/>
      <c r="C1372" s="58" t="n"/>
      <c r="D1372" s="58" t="n"/>
      <c r="E1372" s="64">
        <f>IF(tblCommentary[[#This Row],[Date]]="","",COUNTIFS(INDEX(tblCommentary[Date],1):tblCommentary[[#This Row],[Date]],tblCommentary[[#This Row],[Date]]))</f>
        <v/>
      </c>
      <c r="F1372" s="63">
        <f>IF(tblCommentary[[#This Row],[Date]]="","",tblCommentary[[#This Row],[Date]]&amp;"|"&amp;tblCommentary[[#This Row],[Seq_Day]])</f>
        <v/>
      </c>
    </row>
    <row r="1373">
      <c r="A1373" s="54" t="n"/>
      <c r="B1373" s="61" t="n"/>
      <c r="C1373" s="58" t="n"/>
      <c r="D1373" s="58" t="n"/>
      <c r="E1373" s="64">
        <f>IF(tblCommentary[[#This Row],[Date]]="","",COUNTIFS(INDEX(tblCommentary[Date],1):tblCommentary[[#This Row],[Date]],tblCommentary[[#This Row],[Date]]))</f>
        <v/>
      </c>
      <c r="F1373" s="63">
        <f>IF(tblCommentary[[#This Row],[Date]]="","",tblCommentary[[#This Row],[Date]]&amp;"|"&amp;tblCommentary[[#This Row],[Seq_Day]])</f>
        <v/>
      </c>
    </row>
    <row r="1374">
      <c r="A1374" s="54" t="n"/>
      <c r="B1374" s="61" t="n"/>
      <c r="C1374" s="58" t="n"/>
      <c r="D1374" s="58" t="n"/>
      <c r="E1374" s="64">
        <f>IF(tblCommentary[[#This Row],[Date]]="","",COUNTIFS(INDEX(tblCommentary[Date],1):tblCommentary[[#This Row],[Date]],tblCommentary[[#This Row],[Date]]))</f>
        <v/>
      </c>
      <c r="F1374" s="63">
        <f>IF(tblCommentary[[#This Row],[Date]]="","",tblCommentary[[#This Row],[Date]]&amp;"|"&amp;tblCommentary[[#This Row],[Seq_Day]])</f>
        <v/>
      </c>
    </row>
    <row r="1375">
      <c r="A1375" s="54" t="n"/>
      <c r="B1375" s="61" t="n"/>
      <c r="C1375" s="58" t="n"/>
      <c r="D1375" s="58" t="n"/>
      <c r="E1375" s="64">
        <f>IF(tblCommentary[[#This Row],[Date]]="","",COUNTIFS(INDEX(tblCommentary[Date],1):tblCommentary[[#This Row],[Date]],tblCommentary[[#This Row],[Date]]))</f>
        <v/>
      </c>
      <c r="F1375" s="63">
        <f>IF(tblCommentary[[#This Row],[Date]]="","",tblCommentary[[#This Row],[Date]]&amp;"|"&amp;tblCommentary[[#This Row],[Seq_Day]])</f>
        <v/>
      </c>
    </row>
    <row r="1376">
      <c r="A1376" s="54" t="n"/>
      <c r="B1376" s="61" t="n"/>
      <c r="C1376" s="58" t="n"/>
      <c r="D1376" s="58" t="n"/>
      <c r="E1376" s="64">
        <f>IF(tblCommentary[[#This Row],[Date]]="","",COUNTIFS(INDEX(tblCommentary[Date],1):tblCommentary[[#This Row],[Date]],tblCommentary[[#This Row],[Date]]))</f>
        <v/>
      </c>
      <c r="F1376" s="63">
        <f>IF(tblCommentary[[#This Row],[Date]]="","",tblCommentary[[#This Row],[Date]]&amp;"|"&amp;tblCommentary[[#This Row],[Seq_Day]])</f>
        <v/>
      </c>
    </row>
    <row r="1377">
      <c r="A1377" s="54" t="n"/>
      <c r="B1377" s="61" t="n"/>
      <c r="C1377" s="58" t="n"/>
      <c r="D1377" s="58" t="n"/>
      <c r="E1377" s="64">
        <f>IF(tblCommentary[[#This Row],[Date]]="","",COUNTIFS(INDEX(tblCommentary[Date],1):tblCommentary[[#This Row],[Date]],tblCommentary[[#This Row],[Date]]))</f>
        <v/>
      </c>
      <c r="F1377" s="63">
        <f>IF(tblCommentary[[#This Row],[Date]]="","",tblCommentary[[#This Row],[Date]]&amp;"|"&amp;tblCommentary[[#This Row],[Seq_Day]])</f>
        <v/>
      </c>
    </row>
    <row r="1378">
      <c r="A1378" s="54" t="n"/>
      <c r="B1378" s="61" t="n"/>
      <c r="C1378" s="58" t="n"/>
      <c r="D1378" s="58" t="n"/>
      <c r="E1378" s="64">
        <f>IF(tblCommentary[[#This Row],[Date]]="","",COUNTIFS(INDEX(tblCommentary[Date],1):tblCommentary[[#This Row],[Date]],tblCommentary[[#This Row],[Date]]))</f>
        <v/>
      </c>
      <c r="F1378" s="63">
        <f>IF(tblCommentary[[#This Row],[Date]]="","",tblCommentary[[#This Row],[Date]]&amp;"|"&amp;tblCommentary[[#This Row],[Seq_Day]])</f>
        <v/>
      </c>
    </row>
    <row r="1379">
      <c r="A1379" s="54" t="n"/>
      <c r="B1379" s="61" t="n"/>
      <c r="C1379" s="58" t="n"/>
      <c r="D1379" s="58" t="n"/>
      <c r="E1379" s="64">
        <f>IF(tblCommentary[[#This Row],[Date]]="","",COUNTIFS(INDEX(tblCommentary[Date],1):tblCommentary[[#This Row],[Date]],tblCommentary[[#This Row],[Date]]))</f>
        <v/>
      </c>
      <c r="F1379" s="63">
        <f>IF(tblCommentary[[#This Row],[Date]]="","",tblCommentary[[#This Row],[Date]]&amp;"|"&amp;tblCommentary[[#This Row],[Seq_Day]])</f>
        <v/>
      </c>
    </row>
    <row r="1380">
      <c r="A1380" s="54" t="n"/>
      <c r="B1380" s="61" t="n"/>
      <c r="C1380" s="58" t="n"/>
      <c r="D1380" s="58" t="n"/>
      <c r="E1380" s="64">
        <f>IF(tblCommentary[[#This Row],[Date]]="","",COUNTIFS(INDEX(tblCommentary[Date],1):tblCommentary[[#This Row],[Date]],tblCommentary[[#This Row],[Date]]))</f>
        <v/>
      </c>
      <c r="F1380" s="63">
        <f>IF(tblCommentary[[#This Row],[Date]]="","",tblCommentary[[#This Row],[Date]]&amp;"|"&amp;tblCommentary[[#This Row],[Seq_Day]])</f>
        <v/>
      </c>
    </row>
    <row r="1381">
      <c r="A1381" s="54" t="n"/>
      <c r="B1381" s="61" t="n"/>
      <c r="C1381" s="58" t="n"/>
      <c r="D1381" s="58" t="n"/>
      <c r="E1381" s="64">
        <f>IF(tblCommentary[[#This Row],[Date]]="","",COUNTIFS(INDEX(tblCommentary[Date],1):tblCommentary[[#This Row],[Date]],tblCommentary[[#This Row],[Date]]))</f>
        <v/>
      </c>
      <c r="F1381" s="63">
        <f>IF(tblCommentary[[#This Row],[Date]]="","",tblCommentary[[#This Row],[Date]]&amp;"|"&amp;tblCommentary[[#This Row],[Seq_Day]])</f>
        <v/>
      </c>
    </row>
    <row r="1382">
      <c r="A1382" s="54" t="n"/>
      <c r="B1382" s="61" t="n"/>
      <c r="C1382" s="58" t="n"/>
      <c r="D1382" s="58" t="n"/>
      <c r="E1382" s="64">
        <f>IF(tblCommentary[[#This Row],[Date]]="","",COUNTIFS(INDEX(tblCommentary[Date],1):tblCommentary[[#This Row],[Date]],tblCommentary[[#This Row],[Date]]))</f>
        <v/>
      </c>
      <c r="F1382" s="63">
        <f>IF(tblCommentary[[#This Row],[Date]]="","",tblCommentary[[#This Row],[Date]]&amp;"|"&amp;tblCommentary[[#This Row],[Seq_Day]])</f>
        <v/>
      </c>
    </row>
    <row r="1383">
      <c r="A1383" s="54" t="n"/>
      <c r="B1383" s="61" t="n"/>
      <c r="C1383" s="58" t="n"/>
      <c r="D1383" s="58" t="n"/>
      <c r="E1383" s="64">
        <f>IF(tblCommentary[[#This Row],[Date]]="","",COUNTIFS(INDEX(tblCommentary[Date],1):tblCommentary[[#This Row],[Date]],tblCommentary[[#This Row],[Date]]))</f>
        <v/>
      </c>
      <c r="F1383" s="63">
        <f>IF(tblCommentary[[#This Row],[Date]]="","",tblCommentary[[#This Row],[Date]]&amp;"|"&amp;tblCommentary[[#This Row],[Seq_Day]])</f>
        <v/>
      </c>
    </row>
    <row r="1384">
      <c r="A1384" s="54" t="n"/>
      <c r="B1384" s="61" t="n"/>
      <c r="C1384" s="58" t="n"/>
      <c r="D1384" s="58" t="n"/>
      <c r="E1384" s="64">
        <f>IF(tblCommentary[[#This Row],[Date]]="","",COUNTIFS(INDEX(tblCommentary[Date],1):tblCommentary[[#This Row],[Date]],tblCommentary[[#This Row],[Date]]))</f>
        <v/>
      </c>
      <c r="F1384" s="63">
        <f>IF(tblCommentary[[#This Row],[Date]]="","",tblCommentary[[#This Row],[Date]]&amp;"|"&amp;tblCommentary[[#This Row],[Seq_Day]])</f>
        <v/>
      </c>
    </row>
    <row r="1385">
      <c r="A1385" s="54" t="n"/>
      <c r="B1385" s="61" t="n"/>
      <c r="C1385" s="58" t="n"/>
      <c r="D1385" s="58" t="n"/>
      <c r="E1385" s="64">
        <f>IF(tblCommentary[[#This Row],[Date]]="","",COUNTIFS(INDEX(tblCommentary[Date],1):tblCommentary[[#This Row],[Date]],tblCommentary[[#This Row],[Date]]))</f>
        <v/>
      </c>
      <c r="F1385" s="63">
        <f>IF(tblCommentary[[#This Row],[Date]]="","",tblCommentary[[#This Row],[Date]]&amp;"|"&amp;tblCommentary[[#This Row],[Seq_Day]])</f>
        <v/>
      </c>
    </row>
    <row r="1386">
      <c r="A1386" s="54" t="n"/>
      <c r="B1386" s="61" t="n"/>
      <c r="C1386" s="58" t="n"/>
      <c r="D1386" s="58" t="n"/>
      <c r="E1386" s="64">
        <f>IF(tblCommentary[[#This Row],[Date]]="","",COUNTIFS(INDEX(tblCommentary[Date],1):tblCommentary[[#This Row],[Date]],tblCommentary[[#This Row],[Date]]))</f>
        <v/>
      </c>
      <c r="F1386" s="63">
        <f>IF(tblCommentary[[#This Row],[Date]]="","",tblCommentary[[#This Row],[Date]]&amp;"|"&amp;tblCommentary[[#This Row],[Seq_Day]])</f>
        <v/>
      </c>
    </row>
    <row r="1387">
      <c r="A1387" s="54" t="n"/>
      <c r="B1387" s="61" t="n"/>
      <c r="C1387" s="58" t="n"/>
      <c r="D1387" s="58" t="n"/>
      <c r="E1387" s="64">
        <f>IF(tblCommentary[[#This Row],[Date]]="","",COUNTIFS(INDEX(tblCommentary[Date],1):tblCommentary[[#This Row],[Date]],tblCommentary[[#This Row],[Date]]))</f>
        <v/>
      </c>
      <c r="F1387" s="63">
        <f>IF(tblCommentary[[#This Row],[Date]]="","",tblCommentary[[#This Row],[Date]]&amp;"|"&amp;tblCommentary[[#This Row],[Seq_Day]])</f>
        <v/>
      </c>
    </row>
    <row r="1388">
      <c r="A1388" s="54" t="n"/>
      <c r="B1388" s="61" t="n"/>
      <c r="C1388" s="58" t="n"/>
      <c r="D1388" s="58" t="n"/>
      <c r="E1388" s="64">
        <f>IF(tblCommentary[[#This Row],[Date]]="","",COUNTIFS(INDEX(tblCommentary[Date],1):tblCommentary[[#This Row],[Date]],tblCommentary[[#This Row],[Date]]))</f>
        <v/>
      </c>
      <c r="F1388" s="63">
        <f>IF(tblCommentary[[#This Row],[Date]]="","",tblCommentary[[#This Row],[Date]]&amp;"|"&amp;tblCommentary[[#This Row],[Seq_Day]])</f>
        <v/>
      </c>
    </row>
    <row r="1389">
      <c r="A1389" s="54" t="n"/>
      <c r="B1389" s="61" t="n"/>
      <c r="C1389" s="58" t="n"/>
      <c r="D1389" s="58" t="n"/>
      <c r="E1389" s="64">
        <f>IF(tblCommentary[[#This Row],[Date]]="","",COUNTIFS(INDEX(tblCommentary[Date],1):tblCommentary[[#This Row],[Date]],tblCommentary[[#This Row],[Date]]))</f>
        <v/>
      </c>
      <c r="F1389" s="63">
        <f>IF(tblCommentary[[#This Row],[Date]]="","",tblCommentary[[#This Row],[Date]]&amp;"|"&amp;tblCommentary[[#This Row],[Seq_Day]])</f>
        <v/>
      </c>
    </row>
    <row r="1390">
      <c r="A1390" s="54" t="n"/>
      <c r="B1390" s="61" t="n"/>
      <c r="C1390" s="58" t="n"/>
      <c r="D1390" s="58" t="n"/>
      <c r="E1390" s="64">
        <f>IF(tblCommentary[[#This Row],[Date]]="","",COUNTIFS(INDEX(tblCommentary[Date],1):tblCommentary[[#This Row],[Date]],tblCommentary[[#This Row],[Date]]))</f>
        <v/>
      </c>
      <c r="F1390" s="63">
        <f>IF(tblCommentary[[#This Row],[Date]]="","",tblCommentary[[#This Row],[Date]]&amp;"|"&amp;tblCommentary[[#This Row],[Seq_Day]])</f>
        <v/>
      </c>
    </row>
    <row r="1391">
      <c r="A1391" s="54" t="n"/>
      <c r="B1391" s="61" t="n"/>
      <c r="C1391" s="58" t="n"/>
      <c r="D1391" s="58" t="n"/>
      <c r="E1391" s="64">
        <f>IF(tblCommentary[[#This Row],[Date]]="","",COUNTIFS(INDEX(tblCommentary[Date],1):tblCommentary[[#This Row],[Date]],tblCommentary[[#This Row],[Date]]))</f>
        <v/>
      </c>
      <c r="F1391" s="63">
        <f>IF(tblCommentary[[#This Row],[Date]]="","",tblCommentary[[#This Row],[Date]]&amp;"|"&amp;tblCommentary[[#This Row],[Seq_Day]])</f>
        <v/>
      </c>
    </row>
    <row r="1392">
      <c r="A1392" s="54" t="n"/>
      <c r="B1392" s="61" t="n"/>
      <c r="C1392" s="58" t="n"/>
      <c r="D1392" s="58" t="n"/>
      <c r="E1392" s="64">
        <f>IF(tblCommentary[[#This Row],[Date]]="","",COUNTIFS(INDEX(tblCommentary[Date],1):tblCommentary[[#This Row],[Date]],tblCommentary[[#This Row],[Date]]))</f>
        <v/>
      </c>
      <c r="F1392" s="63">
        <f>IF(tblCommentary[[#This Row],[Date]]="","",tblCommentary[[#This Row],[Date]]&amp;"|"&amp;tblCommentary[[#This Row],[Seq_Day]])</f>
        <v/>
      </c>
    </row>
    <row r="1393">
      <c r="A1393" s="54" t="n"/>
      <c r="B1393" s="61" t="n"/>
      <c r="C1393" s="58" t="n"/>
      <c r="D1393" s="58" t="n"/>
      <c r="E1393" s="64">
        <f>IF(tblCommentary[[#This Row],[Date]]="","",COUNTIFS(INDEX(tblCommentary[Date],1):tblCommentary[[#This Row],[Date]],tblCommentary[[#This Row],[Date]]))</f>
        <v/>
      </c>
      <c r="F1393" s="63">
        <f>IF(tblCommentary[[#This Row],[Date]]="","",tblCommentary[[#This Row],[Date]]&amp;"|"&amp;tblCommentary[[#This Row],[Seq_Day]])</f>
        <v/>
      </c>
    </row>
    <row r="1394">
      <c r="A1394" s="54" t="n"/>
      <c r="B1394" s="61" t="n"/>
      <c r="C1394" s="58" t="n"/>
      <c r="D1394" s="58" t="n"/>
      <c r="E1394" s="64">
        <f>IF(tblCommentary[[#This Row],[Date]]="","",COUNTIFS(INDEX(tblCommentary[Date],1):tblCommentary[[#This Row],[Date]],tblCommentary[[#This Row],[Date]]))</f>
        <v/>
      </c>
      <c r="F1394" s="63">
        <f>IF(tblCommentary[[#This Row],[Date]]="","",tblCommentary[[#This Row],[Date]]&amp;"|"&amp;tblCommentary[[#This Row],[Seq_Day]])</f>
        <v/>
      </c>
    </row>
    <row r="1395">
      <c r="A1395" s="54" t="n"/>
      <c r="B1395" s="61" t="n"/>
      <c r="C1395" s="58" t="n"/>
      <c r="D1395" s="58" t="n"/>
      <c r="E1395" s="64">
        <f>IF(tblCommentary[[#This Row],[Date]]="","",COUNTIFS(INDEX(tblCommentary[Date],1):tblCommentary[[#This Row],[Date]],tblCommentary[[#This Row],[Date]]))</f>
        <v/>
      </c>
      <c r="F1395" s="63">
        <f>IF(tblCommentary[[#This Row],[Date]]="","",tblCommentary[[#This Row],[Date]]&amp;"|"&amp;tblCommentary[[#This Row],[Seq_Day]])</f>
        <v/>
      </c>
    </row>
    <row r="1396">
      <c r="A1396" s="54" t="n"/>
      <c r="B1396" s="61" t="n"/>
      <c r="C1396" s="58" t="n"/>
      <c r="D1396" s="58" t="n"/>
      <c r="E1396" s="64">
        <f>IF(tblCommentary[[#This Row],[Date]]="","",COUNTIFS(INDEX(tblCommentary[Date],1):tblCommentary[[#This Row],[Date]],tblCommentary[[#This Row],[Date]]))</f>
        <v/>
      </c>
      <c r="F1396" s="63">
        <f>IF(tblCommentary[[#This Row],[Date]]="","",tblCommentary[[#This Row],[Date]]&amp;"|"&amp;tblCommentary[[#This Row],[Seq_Day]])</f>
        <v/>
      </c>
    </row>
    <row r="1397">
      <c r="A1397" s="54" t="n"/>
      <c r="B1397" s="61" t="n"/>
      <c r="C1397" s="58" t="n"/>
      <c r="D1397" s="58" t="n"/>
      <c r="E1397" s="64">
        <f>IF(tblCommentary[[#This Row],[Date]]="","",COUNTIFS(INDEX(tblCommentary[Date],1):tblCommentary[[#This Row],[Date]],tblCommentary[[#This Row],[Date]]))</f>
        <v/>
      </c>
      <c r="F1397" s="63">
        <f>IF(tblCommentary[[#This Row],[Date]]="","",tblCommentary[[#This Row],[Date]]&amp;"|"&amp;tblCommentary[[#This Row],[Seq_Day]])</f>
        <v/>
      </c>
    </row>
    <row r="1398">
      <c r="A1398" s="54" t="n"/>
      <c r="B1398" s="61" t="n"/>
      <c r="C1398" s="58" t="n"/>
      <c r="D1398" s="58" t="n"/>
      <c r="E1398" s="64">
        <f>IF(tblCommentary[[#This Row],[Date]]="","",COUNTIFS(INDEX(tblCommentary[Date],1):tblCommentary[[#This Row],[Date]],tblCommentary[[#This Row],[Date]]))</f>
        <v/>
      </c>
      <c r="F1398" s="63">
        <f>IF(tblCommentary[[#This Row],[Date]]="","",tblCommentary[[#This Row],[Date]]&amp;"|"&amp;tblCommentary[[#This Row],[Seq_Day]])</f>
        <v/>
      </c>
    </row>
    <row r="1399">
      <c r="A1399" s="54" t="n"/>
      <c r="B1399" s="61" t="n"/>
      <c r="C1399" s="58" t="n"/>
      <c r="D1399" s="58" t="n"/>
      <c r="E1399" s="64">
        <f>IF(tblCommentary[[#This Row],[Date]]="","",COUNTIFS(INDEX(tblCommentary[Date],1):tblCommentary[[#This Row],[Date]],tblCommentary[[#This Row],[Date]]))</f>
        <v/>
      </c>
      <c r="F1399" s="63">
        <f>IF(tblCommentary[[#This Row],[Date]]="","",tblCommentary[[#This Row],[Date]]&amp;"|"&amp;tblCommentary[[#This Row],[Seq_Day]])</f>
        <v/>
      </c>
    </row>
    <row r="1400">
      <c r="A1400" s="54" t="n"/>
      <c r="B1400" s="61" t="n"/>
      <c r="C1400" s="58" t="n"/>
      <c r="D1400" s="58" t="n"/>
      <c r="E1400" s="64">
        <f>IF(tblCommentary[[#This Row],[Date]]="","",COUNTIFS(INDEX(tblCommentary[Date],1):tblCommentary[[#This Row],[Date]],tblCommentary[[#This Row],[Date]]))</f>
        <v/>
      </c>
      <c r="F1400" s="63">
        <f>IF(tblCommentary[[#This Row],[Date]]="","",tblCommentary[[#This Row],[Date]]&amp;"|"&amp;tblCommentary[[#This Row],[Seq_Day]])</f>
        <v/>
      </c>
    </row>
    <row r="1401">
      <c r="A1401" s="54" t="n"/>
      <c r="B1401" s="61" t="n"/>
      <c r="C1401" s="58" t="n"/>
      <c r="D1401" s="58" t="n"/>
      <c r="E1401" s="64">
        <f>IF(tblCommentary[[#This Row],[Date]]="","",COUNTIFS(INDEX(tblCommentary[Date],1):tblCommentary[[#This Row],[Date]],tblCommentary[[#This Row],[Date]]))</f>
        <v/>
      </c>
      <c r="F1401" s="63">
        <f>IF(tblCommentary[[#This Row],[Date]]="","",tblCommentary[[#This Row],[Date]]&amp;"|"&amp;tblCommentary[[#This Row],[Seq_Day]])</f>
        <v/>
      </c>
    </row>
    <row r="1402">
      <c r="A1402" s="54" t="n"/>
      <c r="B1402" s="61" t="n"/>
      <c r="C1402" s="58" t="n"/>
      <c r="D1402" s="58" t="n"/>
      <c r="E1402" s="64">
        <f>IF(tblCommentary[[#This Row],[Date]]="","",COUNTIFS(INDEX(tblCommentary[Date],1):tblCommentary[[#This Row],[Date]],tblCommentary[[#This Row],[Date]]))</f>
        <v/>
      </c>
      <c r="F1402" s="63">
        <f>IF(tblCommentary[[#This Row],[Date]]="","",tblCommentary[[#This Row],[Date]]&amp;"|"&amp;tblCommentary[[#This Row],[Seq_Day]])</f>
        <v/>
      </c>
    </row>
    <row r="1403">
      <c r="A1403" s="54" t="n"/>
      <c r="B1403" s="61" t="n"/>
      <c r="C1403" s="58" t="n"/>
      <c r="D1403" s="58" t="n"/>
      <c r="E1403" s="64">
        <f>IF(tblCommentary[[#This Row],[Date]]="","",COUNTIFS(INDEX(tblCommentary[Date],1):tblCommentary[[#This Row],[Date]],tblCommentary[[#This Row],[Date]]))</f>
        <v/>
      </c>
      <c r="F1403" s="63">
        <f>IF(tblCommentary[[#This Row],[Date]]="","",tblCommentary[[#This Row],[Date]]&amp;"|"&amp;tblCommentary[[#This Row],[Seq_Day]])</f>
        <v/>
      </c>
    </row>
    <row r="1404">
      <c r="A1404" s="54" t="n"/>
      <c r="B1404" s="61" t="n"/>
      <c r="C1404" s="58" t="n"/>
      <c r="D1404" s="58" t="n"/>
      <c r="E1404" s="64">
        <f>IF(tblCommentary[[#This Row],[Date]]="","",COUNTIFS(INDEX(tblCommentary[Date],1):tblCommentary[[#This Row],[Date]],tblCommentary[[#This Row],[Date]]))</f>
        <v/>
      </c>
      <c r="F1404" s="63">
        <f>IF(tblCommentary[[#This Row],[Date]]="","",tblCommentary[[#This Row],[Date]]&amp;"|"&amp;tblCommentary[[#This Row],[Seq_Day]])</f>
        <v/>
      </c>
    </row>
    <row r="1405">
      <c r="A1405" s="54" t="n"/>
      <c r="B1405" s="61" t="n"/>
      <c r="C1405" s="58" t="n"/>
      <c r="D1405" s="58" t="n"/>
      <c r="E1405" s="64">
        <f>IF(tblCommentary[[#This Row],[Date]]="","",COUNTIFS(INDEX(tblCommentary[Date],1):tblCommentary[[#This Row],[Date]],tblCommentary[[#This Row],[Date]]))</f>
        <v/>
      </c>
      <c r="F1405" s="63">
        <f>IF(tblCommentary[[#This Row],[Date]]="","",tblCommentary[[#This Row],[Date]]&amp;"|"&amp;tblCommentary[[#This Row],[Seq_Day]])</f>
        <v/>
      </c>
    </row>
    <row r="1406">
      <c r="A1406" s="54" t="n"/>
      <c r="B1406" s="61" t="n"/>
      <c r="C1406" s="58" t="n"/>
      <c r="D1406" s="58" t="n"/>
      <c r="E1406" s="64">
        <f>IF(tblCommentary[[#This Row],[Date]]="","",COUNTIFS(INDEX(tblCommentary[Date],1):tblCommentary[[#This Row],[Date]],tblCommentary[[#This Row],[Date]]))</f>
        <v/>
      </c>
      <c r="F1406" s="63">
        <f>IF(tblCommentary[[#This Row],[Date]]="","",tblCommentary[[#This Row],[Date]]&amp;"|"&amp;tblCommentary[[#This Row],[Seq_Day]])</f>
        <v/>
      </c>
    </row>
    <row r="1407">
      <c r="A1407" s="54" t="n"/>
      <c r="B1407" s="61" t="n"/>
      <c r="C1407" s="58" t="n"/>
      <c r="D1407" s="58" t="n"/>
      <c r="E1407" s="64">
        <f>IF(tblCommentary[[#This Row],[Date]]="","",COUNTIFS(INDEX(tblCommentary[Date],1):tblCommentary[[#This Row],[Date]],tblCommentary[[#This Row],[Date]]))</f>
        <v/>
      </c>
      <c r="F1407" s="63">
        <f>IF(tblCommentary[[#This Row],[Date]]="","",tblCommentary[[#This Row],[Date]]&amp;"|"&amp;tblCommentary[[#This Row],[Seq_Day]])</f>
        <v/>
      </c>
    </row>
    <row r="1408">
      <c r="A1408" s="54" t="n"/>
      <c r="B1408" s="61" t="n"/>
      <c r="C1408" s="58" t="n"/>
      <c r="D1408" s="58" t="n"/>
      <c r="E1408" s="64">
        <f>IF(tblCommentary[[#This Row],[Date]]="","",COUNTIFS(INDEX(tblCommentary[Date],1):tblCommentary[[#This Row],[Date]],tblCommentary[[#This Row],[Date]]))</f>
        <v/>
      </c>
      <c r="F1408" s="63">
        <f>IF(tblCommentary[[#This Row],[Date]]="","",tblCommentary[[#This Row],[Date]]&amp;"|"&amp;tblCommentary[[#This Row],[Seq_Day]])</f>
        <v/>
      </c>
    </row>
    <row r="1409">
      <c r="A1409" s="54" t="n"/>
      <c r="B1409" s="61" t="n"/>
      <c r="C1409" s="58" t="n"/>
      <c r="D1409" s="58" t="n"/>
      <c r="E1409" s="64">
        <f>IF(tblCommentary[[#This Row],[Date]]="","",COUNTIFS(INDEX(tblCommentary[Date],1):tblCommentary[[#This Row],[Date]],tblCommentary[[#This Row],[Date]]))</f>
        <v/>
      </c>
      <c r="F1409" s="63">
        <f>IF(tblCommentary[[#This Row],[Date]]="","",tblCommentary[[#This Row],[Date]]&amp;"|"&amp;tblCommentary[[#This Row],[Seq_Day]])</f>
        <v/>
      </c>
    </row>
    <row r="1410">
      <c r="A1410" s="54" t="n"/>
      <c r="B1410" s="61" t="n"/>
      <c r="C1410" s="58" t="n"/>
      <c r="D1410" s="58" t="n"/>
      <c r="E1410" s="64">
        <f>IF(tblCommentary[[#This Row],[Date]]="","",COUNTIFS(INDEX(tblCommentary[Date],1):tblCommentary[[#This Row],[Date]],tblCommentary[[#This Row],[Date]]))</f>
        <v/>
      </c>
      <c r="F1410" s="63">
        <f>IF(tblCommentary[[#This Row],[Date]]="","",tblCommentary[[#This Row],[Date]]&amp;"|"&amp;tblCommentary[[#This Row],[Seq_Day]])</f>
        <v/>
      </c>
    </row>
    <row r="1411">
      <c r="A1411" s="54" t="n"/>
      <c r="B1411" s="61" t="n"/>
      <c r="C1411" s="58" t="n"/>
      <c r="D1411" s="58" t="n"/>
      <c r="E1411" s="64">
        <f>IF(tblCommentary[[#This Row],[Date]]="","",COUNTIFS(INDEX(tblCommentary[Date],1):tblCommentary[[#This Row],[Date]],tblCommentary[[#This Row],[Date]]))</f>
        <v/>
      </c>
      <c r="F1411" s="63">
        <f>IF(tblCommentary[[#This Row],[Date]]="","",tblCommentary[[#This Row],[Date]]&amp;"|"&amp;tblCommentary[[#This Row],[Seq_Day]])</f>
        <v/>
      </c>
    </row>
    <row r="1412">
      <c r="A1412" s="54" t="n"/>
      <c r="B1412" s="61" t="n"/>
      <c r="C1412" s="58" t="n"/>
      <c r="D1412" s="58" t="n"/>
      <c r="E1412" s="64">
        <f>IF(tblCommentary[[#This Row],[Date]]="","",COUNTIFS(INDEX(tblCommentary[Date],1):tblCommentary[[#This Row],[Date]],tblCommentary[[#This Row],[Date]]))</f>
        <v/>
      </c>
      <c r="F1412" s="63">
        <f>IF(tblCommentary[[#This Row],[Date]]="","",tblCommentary[[#This Row],[Date]]&amp;"|"&amp;tblCommentary[[#This Row],[Seq_Day]])</f>
        <v/>
      </c>
    </row>
    <row r="1413">
      <c r="A1413" s="54" t="n"/>
      <c r="B1413" s="61" t="n"/>
      <c r="C1413" s="58" t="n"/>
      <c r="D1413" s="58" t="n"/>
      <c r="E1413" s="64">
        <f>IF(tblCommentary[[#This Row],[Date]]="","",COUNTIFS(INDEX(tblCommentary[Date],1):tblCommentary[[#This Row],[Date]],tblCommentary[[#This Row],[Date]]))</f>
        <v/>
      </c>
      <c r="F1413" s="63">
        <f>IF(tblCommentary[[#This Row],[Date]]="","",tblCommentary[[#This Row],[Date]]&amp;"|"&amp;tblCommentary[[#This Row],[Seq_Day]])</f>
        <v/>
      </c>
    </row>
    <row r="1414">
      <c r="A1414" s="54" t="n"/>
      <c r="B1414" s="61" t="n"/>
      <c r="C1414" s="58" t="n"/>
      <c r="D1414" s="58" t="n"/>
      <c r="E1414" s="64">
        <f>IF(tblCommentary[[#This Row],[Date]]="","",COUNTIFS(INDEX(tblCommentary[Date],1):tblCommentary[[#This Row],[Date]],tblCommentary[[#This Row],[Date]]))</f>
        <v/>
      </c>
      <c r="F1414" s="63">
        <f>IF(tblCommentary[[#This Row],[Date]]="","",tblCommentary[[#This Row],[Date]]&amp;"|"&amp;tblCommentary[[#This Row],[Seq_Day]])</f>
        <v/>
      </c>
    </row>
    <row r="1415">
      <c r="A1415" s="54" t="n"/>
      <c r="B1415" s="61" t="n"/>
      <c r="C1415" s="58" t="n"/>
      <c r="D1415" s="58" t="n"/>
      <c r="E1415" s="64">
        <f>IF(tblCommentary[[#This Row],[Date]]="","",COUNTIFS(INDEX(tblCommentary[Date],1):tblCommentary[[#This Row],[Date]],tblCommentary[[#This Row],[Date]]))</f>
        <v/>
      </c>
      <c r="F1415" s="63">
        <f>IF(tblCommentary[[#This Row],[Date]]="","",tblCommentary[[#This Row],[Date]]&amp;"|"&amp;tblCommentary[[#This Row],[Seq_Day]])</f>
        <v/>
      </c>
    </row>
    <row r="1416">
      <c r="A1416" s="54" t="n"/>
      <c r="B1416" s="61" t="n"/>
      <c r="C1416" s="58" t="n"/>
      <c r="D1416" s="58" t="n"/>
      <c r="E1416" s="64">
        <f>IF(tblCommentary[[#This Row],[Date]]="","",COUNTIFS(INDEX(tblCommentary[Date],1):tblCommentary[[#This Row],[Date]],tblCommentary[[#This Row],[Date]]))</f>
        <v/>
      </c>
      <c r="F1416" s="63">
        <f>IF(tblCommentary[[#This Row],[Date]]="","",tblCommentary[[#This Row],[Date]]&amp;"|"&amp;tblCommentary[[#This Row],[Seq_Day]])</f>
        <v/>
      </c>
    </row>
    <row r="1417">
      <c r="A1417" s="54" t="n"/>
      <c r="B1417" s="61" t="n"/>
      <c r="C1417" s="58" t="n"/>
      <c r="D1417" s="58" t="n"/>
      <c r="E1417" s="64">
        <f>IF(tblCommentary[[#This Row],[Date]]="","",COUNTIFS(INDEX(tblCommentary[Date],1):tblCommentary[[#This Row],[Date]],tblCommentary[[#This Row],[Date]]))</f>
        <v/>
      </c>
      <c r="F1417" s="63">
        <f>IF(tblCommentary[[#This Row],[Date]]="","",tblCommentary[[#This Row],[Date]]&amp;"|"&amp;tblCommentary[[#This Row],[Seq_Day]])</f>
        <v/>
      </c>
    </row>
    <row r="1418">
      <c r="A1418" s="54" t="n"/>
      <c r="B1418" s="61" t="n"/>
      <c r="C1418" s="58" t="n"/>
      <c r="D1418" s="58" t="n"/>
      <c r="E1418" s="64">
        <f>IF(tblCommentary[[#This Row],[Date]]="","",COUNTIFS(INDEX(tblCommentary[Date],1):tblCommentary[[#This Row],[Date]],tblCommentary[[#This Row],[Date]]))</f>
        <v/>
      </c>
      <c r="F1418" s="63">
        <f>IF(tblCommentary[[#This Row],[Date]]="","",tblCommentary[[#This Row],[Date]]&amp;"|"&amp;tblCommentary[[#This Row],[Seq_Day]])</f>
        <v/>
      </c>
    </row>
    <row r="1419">
      <c r="A1419" s="54" t="n"/>
      <c r="B1419" s="61" t="n"/>
      <c r="C1419" s="58" t="n"/>
      <c r="D1419" s="58" t="n"/>
      <c r="E1419" s="64">
        <f>IF(tblCommentary[[#This Row],[Date]]="","",COUNTIFS(INDEX(tblCommentary[Date],1):tblCommentary[[#This Row],[Date]],tblCommentary[[#This Row],[Date]]))</f>
        <v/>
      </c>
      <c r="F1419" s="63">
        <f>IF(tblCommentary[[#This Row],[Date]]="","",tblCommentary[[#This Row],[Date]]&amp;"|"&amp;tblCommentary[[#This Row],[Seq_Day]])</f>
        <v/>
      </c>
    </row>
    <row r="1420">
      <c r="A1420" s="54" t="n"/>
      <c r="B1420" s="61" t="n"/>
      <c r="C1420" s="58" t="n"/>
      <c r="D1420" s="58" t="n"/>
      <c r="E1420" s="64">
        <f>IF(tblCommentary[[#This Row],[Date]]="","",COUNTIFS(INDEX(tblCommentary[Date],1):tblCommentary[[#This Row],[Date]],tblCommentary[[#This Row],[Date]]))</f>
        <v/>
      </c>
      <c r="F1420" s="63">
        <f>IF(tblCommentary[[#This Row],[Date]]="","",tblCommentary[[#This Row],[Date]]&amp;"|"&amp;tblCommentary[[#This Row],[Seq_Day]])</f>
        <v/>
      </c>
    </row>
    <row r="1421">
      <c r="A1421" s="54" t="n"/>
      <c r="B1421" s="61" t="n"/>
      <c r="C1421" s="58" t="n"/>
      <c r="D1421" s="58" t="n"/>
      <c r="E1421" s="64">
        <f>IF(tblCommentary[[#This Row],[Date]]="","",COUNTIFS(INDEX(tblCommentary[Date],1):tblCommentary[[#This Row],[Date]],tblCommentary[[#This Row],[Date]]))</f>
        <v/>
      </c>
      <c r="F1421" s="63">
        <f>IF(tblCommentary[[#This Row],[Date]]="","",tblCommentary[[#This Row],[Date]]&amp;"|"&amp;tblCommentary[[#This Row],[Seq_Day]])</f>
        <v/>
      </c>
    </row>
    <row r="1422">
      <c r="A1422" s="54" t="n"/>
      <c r="B1422" s="61" t="n"/>
      <c r="C1422" s="58" t="n"/>
      <c r="D1422" s="58" t="n"/>
      <c r="E1422" s="64">
        <f>IF(tblCommentary[[#This Row],[Date]]="","",COUNTIFS(INDEX(tblCommentary[Date],1):tblCommentary[[#This Row],[Date]],tblCommentary[[#This Row],[Date]]))</f>
        <v/>
      </c>
      <c r="F1422" s="63">
        <f>IF(tblCommentary[[#This Row],[Date]]="","",tblCommentary[[#This Row],[Date]]&amp;"|"&amp;tblCommentary[[#This Row],[Seq_Day]])</f>
        <v/>
      </c>
    </row>
    <row r="1423">
      <c r="A1423" s="54" t="n"/>
      <c r="B1423" s="61" t="n"/>
      <c r="C1423" s="58" t="n"/>
      <c r="D1423" s="58" t="n"/>
      <c r="E1423" s="64">
        <f>IF(tblCommentary[[#This Row],[Date]]="","",COUNTIFS(INDEX(tblCommentary[Date],1):tblCommentary[[#This Row],[Date]],tblCommentary[[#This Row],[Date]]))</f>
        <v/>
      </c>
      <c r="F1423" s="63">
        <f>IF(tblCommentary[[#This Row],[Date]]="","",tblCommentary[[#This Row],[Date]]&amp;"|"&amp;tblCommentary[[#This Row],[Seq_Day]])</f>
        <v/>
      </c>
    </row>
    <row r="1424">
      <c r="A1424" s="54" t="n"/>
      <c r="B1424" s="61" t="n"/>
      <c r="C1424" s="58" t="n"/>
      <c r="D1424" s="58" t="n"/>
      <c r="E1424" s="64">
        <f>IF(tblCommentary[[#This Row],[Date]]="","",COUNTIFS(INDEX(tblCommentary[Date],1):tblCommentary[[#This Row],[Date]],tblCommentary[[#This Row],[Date]]))</f>
        <v/>
      </c>
      <c r="F1424" s="63">
        <f>IF(tblCommentary[[#This Row],[Date]]="","",tblCommentary[[#This Row],[Date]]&amp;"|"&amp;tblCommentary[[#This Row],[Seq_Day]])</f>
        <v/>
      </c>
    </row>
    <row r="1425">
      <c r="A1425" s="54" t="n"/>
      <c r="B1425" s="61" t="n"/>
      <c r="C1425" s="58" t="n"/>
      <c r="D1425" s="58" t="n"/>
      <c r="E1425" s="64">
        <f>IF(tblCommentary[[#This Row],[Date]]="","",COUNTIFS(INDEX(tblCommentary[Date],1):tblCommentary[[#This Row],[Date]],tblCommentary[[#This Row],[Date]]))</f>
        <v/>
      </c>
      <c r="F1425" s="63">
        <f>IF(tblCommentary[[#This Row],[Date]]="","",tblCommentary[[#This Row],[Date]]&amp;"|"&amp;tblCommentary[[#This Row],[Seq_Day]])</f>
        <v/>
      </c>
    </row>
    <row r="1426">
      <c r="A1426" s="54" t="n"/>
      <c r="B1426" s="61" t="n"/>
      <c r="C1426" s="58" t="n"/>
      <c r="D1426" s="58" t="n"/>
      <c r="E1426" s="64">
        <f>IF(tblCommentary[[#This Row],[Date]]="","",COUNTIFS(INDEX(tblCommentary[Date],1):tblCommentary[[#This Row],[Date]],tblCommentary[[#This Row],[Date]]))</f>
        <v/>
      </c>
      <c r="F1426" s="63">
        <f>IF(tblCommentary[[#This Row],[Date]]="","",tblCommentary[[#This Row],[Date]]&amp;"|"&amp;tblCommentary[[#This Row],[Seq_Day]])</f>
        <v/>
      </c>
    </row>
    <row r="1427">
      <c r="A1427" s="54" t="n"/>
      <c r="B1427" s="61" t="n"/>
      <c r="C1427" s="58" t="n"/>
      <c r="D1427" s="58" t="n"/>
      <c r="E1427" s="64">
        <f>IF(tblCommentary[[#This Row],[Date]]="","",COUNTIFS(INDEX(tblCommentary[Date],1):tblCommentary[[#This Row],[Date]],tblCommentary[[#This Row],[Date]]))</f>
        <v/>
      </c>
      <c r="F1427" s="63">
        <f>IF(tblCommentary[[#This Row],[Date]]="","",tblCommentary[[#This Row],[Date]]&amp;"|"&amp;tblCommentary[[#This Row],[Seq_Day]])</f>
        <v/>
      </c>
    </row>
    <row r="1428">
      <c r="A1428" s="54" t="n"/>
      <c r="B1428" s="61" t="n"/>
      <c r="C1428" s="58" t="n"/>
      <c r="D1428" s="58" t="n"/>
      <c r="E1428" s="64">
        <f>IF(tblCommentary[[#This Row],[Date]]="","",COUNTIFS(INDEX(tblCommentary[Date],1):tblCommentary[[#This Row],[Date]],tblCommentary[[#This Row],[Date]]))</f>
        <v/>
      </c>
      <c r="F1428" s="63">
        <f>IF(tblCommentary[[#This Row],[Date]]="","",tblCommentary[[#This Row],[Date]]&amp;"|"&amp;tblCommentary[[#This Row],[Seq_Day]])</f>
        <v/>
      </c>
    </row>
    <row r="1429">
      <c r="A1429" s="54" t="n"/>
      <c r="B1429" s="61" t="n"/>
      <c r="C1429" s="58" t="n"/>
      <c r="D1429" s="58" t="n"/>
      <c r="E1429" s="64">
        <f>IF(tblCommentary[[#This Row],[Date]]="","",COUNTIFS(INDEX(tblCommentary[Date],1):tblCommentary[[#This Row],[Date]],tblCommentary[[#This Row],[Date]]))</f>
        <v/>
      </c>
      <c r="F1429" s="63">
        <f>IF(tblCommentary[[#This Row],[Date]]="","",tblCommentary[[#This Row],[Date]]&amp;"|"&amp;tblCommentary[[#This Row],[Seq_Day]])</f>
        <v/>
      </c>
    </row>
    <row r="1430">
      <c r="A1430" s="54" t="n"/>
      <c r="B1430" s="61" t="n"/>
      <c r="C1430" s="58" t="n"/>
      <c r="D1430" s="58" t="n"/>
      <c r="E1430" s="64">
        <f>IF(tblCommentary[[#This Row],[Date]]="","",COUNTIFS(INDEX(tblCommentary[Date],1):tblCommentary[[#This Row],[Date]],tblCommentary[[#This Row],[Date]]))</f>
        <v/>
      </c>
      <c r="F1430" s="63">
        <f>IF(tblCommentary[[#This Row],[Date]]="","",tblCommentary[[#This Row],[Date]]&amp;"|"&amp;tblCommentary[[#This Row],[Seq_Day]])</f>
        <v/>
      </c>
    </row>
    <row r="1431">
      <c r="A1431" s="54" t="n"/>
      <c r="B1431" s="61" t="n"/>
      <c r="C1431" s="58" t="n"/>
      <c r="D1431" s="58" t="n"/>
      <c r="E1431" s="64">
        <f>IF(tblCommentary[[#This Row],[Date]]="","",COUNTIFS(INDEX(tblCommentary[Date],1):tblCommentary[[#This Row],[Date]],tblCommentary[[#This Row],[Date]]))</f>
        <v/>
      </c>
      <c r="F1431" s="63">
        <f>IF(tblCommentary[[#This Row],[Date]]="","",tblCommentary[[#This Row],[Date]]&amp;"|"&amp;tblCommentary[[#This Row],[Seq_Day]])</f>
        <v/>
      </c>
    </row>
    <row r="1432">
      <c r="A1432" s="54" t="n"/>
      <c r="B1432" s="61" t="n"/>
      <c r="C1432" s="58" t="n"/>
      <c r="D1432" s="58" t="n"/>
      <c r="E1432" s="64">
        <f>IF(tblCommentary[[#This Row],[Date]]="","",COUNTIFS(INDEX(tblCommentary[Date],1):tblCommentary[[#This Row],[Date]],tblCommentary[[#This Row],[Date]]))</f>
        <v/>
      </c>
      <c r="F1432" s="63">
        <f>IF(tblCommentary[[#This Row],[Date]]="","",tblCommentary[[#This Row],[Date]]&amp;"|"&amp;tblCommentary[[#This Row],[Seq_Day]])</f>
        <v/>
      </c>
    </row>
    <row r="1433">
      <c r="A1433" s="54" t="n"/>
      <c r="B1433" s="61" t="n"/>
      <c r="C1433" s="58" t="n"/>
      <c r="D1433" s="58" t="n"/>
      <c r="E1433" s="64">
        <f>IF(tblCommentary[[#This Row],[Date]]="","",COUNTIFS(INDEX(tblCommentary[Date],1):tblCommentary[[#This Row],[Date]],tblCommentary[[#This Row],[Date]]))</f>
        <v/>
      </c>
      <c r="F1433" s="63">
        <f>IF(tblCommentary[[#This Row],[Date]]="","",tblCommentary[[#This Row],[Date]]&amp;"|"&amp;tblCommentary[[#This Row],[Seq_Day]])</f>
        <v/>
      </c>
    </row>
    <row r="1434">
      <c r="A1434" s="54" t="n"/>
      <c r="B1434" s="61" t="n"/>
      <c r="C1434" s="58" t="n"/>
      <c r="D1434" s="58" t="n"/>
      <c r="E1434" s="64">
        <f>IF(tblCommentary[[#This Row],[Date]]="","",COUNTIFS(INDEX(tblCommentary[Date],1):tblCommentary[[#This Row],[Date]],tblCommentary[[#This Row],[Date]]))</f>
        <v/>
      </c>
      <c r="F1434" s="63">
        <f>IF(tblCommentary[[#This Row],[Date]]="","",tblCommentary[[#This Row],[Date]]&amp;"|"&amp;tblCommentary[[#This Row],[Seq_Day]])</f>
        <v/>
      </c>
    </row>
    <row r="1435">
      <c r="A1435" s="54" t="n"/>
      <c r="B1435" s="61" t="n"/>
      <c r="C1435" s="58" t="n"/>
      <c r="D1435" s="58" t="n"/>
      <c r="E1435" s="64">
        <f>IF(tblCommentary[[#This Row],[Date]]="","",COUNTIFS(INDEX(tblCommentary[Date],1):tblCommentary[[#This Row],[Date]],tblCommentary[[#This Row],[Date]]))</f>
        <v/>
      </c>
      <c r="F1435" s="63">
        <f>IF(tblCommentary[[#This Row],[Date]]="","",tblCommentary[[#This Row],[Date]]&amp;"|"&amp;tblCommentary[[#This Row],[Seq_Day]])</f>
        <v/>
      </c>
    </row>
    <row r="1436">
      <c r="A1436" s="54" t="n"/>
      <c r="B1436" s="61" t="n"/>
      <c r="C1436" s="58" t="n"/>
      <c r="D1436" s="58" t="n"/>
      <c r="E1436" s="64">
        <f>IF(tblCommentary[[#This Row],[Date]]="","",COUNTIFS(INDEX(tblCommentary[Date],1):tblCommentary[[#This Row],[Date]],tblCommentary[[#This Row],[Date]]))</f>
        <v/>
      </c>
      <c r="F1436" s="63">
        <f>IF(tblCommentary[[#This Row],[Date]]="","",tblCommentary[[#This Row],[Date]]&amp;"|"&amp;tblCommentary[[#This Row],[Seq_Day]])</f>
        <v/>
      </c>
    </row>
    <row r="1437">
      <c r="A1437" s="54" t="n"/>
      <c r="B1437" s="61" t="n"/>
      <c r="C1437" s="58" t="n"/>
      <c r="D1437" s="58" t="n"/>
      <c r="E1437" s="64">
        <f>IF(tblCommentary[[#This Row],[Date]]="","",COUNTIFS(INDEX(tblCommentary[Date],1):tblCommentary[[#This Row],[Date]],tblCommentary[[#This Row],[Date]]))</f>
        <v/>
      </c>
      <c r="F1437" s="63">
        <f>IF(tblCommentary[[#This Row],[Date]]="","",tblCommentary[[#This Row],[Date]]&amp;"|"&amp;tblCommentary[[#This Row],[Seq_Day]])</f>
        <v/>
      </c>
    </row>
    <row r="1438">
      <c r="A1438" s="54" t="n"/>
      <c r="B1438" s="61" t="n"/>
      <c r="C1438" s="58" t="n"/>
      <c r="D1438" s="58" t="n"/>
      <c r="E1438" s="64">
        <f>IF(tblCommentary[[#This Row],[Date]]="","",COUNTIFS(INDEX(tblCommentary[Date],1):tblCommentary[[#This Row],[Date]],tblCommentary[[#This Row],[Date]]))</f>
        <v/>
      </c>
      <c r="F1438" s="63">
        <f>IF(tblCommentary[[#This Row],[Date]]="","",tblCommentary[[#This Row],[Date]]&amp;"|"&amp;tblCommentary[[#This Row],[Seq_Day]])</f>
        <v/>
      </c>
    </row>
    <row r="1439">
      <c r="A1439" s="54" t="n"/>
      <c r="B1439" s="61" t="n"/>
      <c r="C1439" s="58" t="n"/>
      <c r="D1439" s="58" t="n"/>
      <c r="E1439" s="64">
        <f>IF(tblCommentary[[#This Row],[Date]]="","",COUNTIFS(INDEX(tblCommentary[Date],1):tblCommentary[[#This Row],[Date]],tblCommentary[[#This Row],[Date]]))</f>
        <v/>
      </c>
      <c r="F1439" s="63">
        <f>IF(tblCommentary[[#This Row],[Date]]="","",tblCommentary[[#This Row],[Date]]&amp;"|"&amp;tblCommentary[[#This Row],[Seq_Day]])</f>
        <v/>
      </c>
    </row>
    <row r="1440">
      <c r="A1440" s="54" t="n"/>
      <c r="B1440" s="61" t="n"/>
      <c r="C1440" s="58" t="n"/>
      <c r="D1440" s="58" t="n"/>
      <c r="E1440" s="64">
        <f>IF(tblCommentary[[#This Row],[Date]]="","",COUNTIFS(INDEX(tblCommentary[Date],1):tblCommentary[[#This Row],[Date]],tblCommentary[[#This Row],[Date]]))</f>
        <v/>
      </c>
      <c r="F1440" s="63">
        <f>IF(tblCommentary[[#This Row],[Date]]="","",tblCommentary[[#This Row],[Date]]&amp;"|"&amp;tblCommentary[[#This Row],[Seq_Day]])</f>
        <v/>
      </c>
    </row>
    <row r="1441">
      <c r="A1441" s="54" t="n"/>
      <c r="B1441" s="61" t="n"/>
      <c r="C1441" s="58" t="n"/>
      <c r="D1441" s="58" t="n"/>
      <c r="E1441" s="64">
        <f>IF(tblCommentary[[#This Row],[Date]]="","",COUNTIFS(INDEX(tblCommentary[Date],1):tblCommentary[[#This Row],[Date]],tblCommentary[[#This Row],[Date]]))</f>
        <v/>
      </c>
      <c r="F1441" s="63">
        <f>IF(tblCommentary[[#This Row],[Date]]="","",tblCommentary[[#This Row],[Date]]&amp;"|"&amp;tblCommentary[[#This Row],[Seq_Day]])</f>
        <v/>
      </c>
    </row>
    <row r="1442">
      <c r="A1442" s="54" t="n"/>
      <c r="B1442" s="61" t="n"/>
      <c r="C1442" s="58" t="n"/>
      <c r="D1442" s="58" t="n"/>
      <c r="E1442" s="64">
        <f>IF(tblCommentary[[#This Row],[Date]]="","",COUNTIFS(INDEX(tblCommentary[Date],1):tblCommentary[[#This Row],[Date]],tblCommentary[[#This Row],[Date]]))</f>
        <v/>
      </c>
      <c r="F1442" s="63">
        <f>IF(tblCommentary[[#This Row],[Date]]="","",tblCommentary[[#This Row],[Date]]&amp;"|"&amp;tblCommentary[[#This Row],[Seq_Day]])</f>
        <v/>
      </c>
    </row>
    <row r="1443">
      <c r="A1443" s="54" t="n"/>
      <c r="B1443" s="61" t="n"/>
      <c r="C1443" s="58" t="n"/>
      <c r="D1443" s="58" t="n"/>
      <c r="E1443" s="64">
        <f>IF(tblCommentary[[#This Row],[Date]]="","",COUNTIFS(INDEX(tblCommentary[Date],1):tblCommentary[[#This Row],[Date]],tblCommentary[[#This Row],[Date]]))</f>
        <v/>
      </c>
      <c r="F1443" s="63">
        <f>IF(tblCommentary[[#This Row],[Date]]="","",tblCommentary[[#This Row],[Date]]&amp;"|"&amp;tblCommentary[[#This Row],[Seq_Day]])</f>
        <v/>
      </c>
    </row>
    <row r="1444">
      <c r="A1444" s="54" t="n"/>
      <c r="B1444" s="61" t="n"/>
      <c r="C1444" s="58" t="n"/>
      <c r="D1444" s="58" t="n"/>
      <c r="E1444" s="64">
        <f>IF(tblCommentary[[#This Row],[Date]]="","",COUNTIFS(INDEX(tblCommentary[Date],1):tblCommentary[[#This Row],[Date]],tblCommentary[[#This Row],[Date]]))</f>
        <v/>
      </c>
      <c r="F1444" s="63">
        <f>IF(tblCommentary[[#This Row],[Date]]="","",tblCommentary[[#This Row],[Date]]&amp;"|"&amp;tblCommentary[[#This Row],[Seq_Day]])</f>
        <v/>
      </c>
    </row>
    <row r="1445">
      <c r="A1445" s="54" t="n"/>
      <c r="B1445" s="61" t="n"/>
      <c r="C1445" s="58" t="n"/>
      <c r="D1445" s="58" t="n"/>
      <c r="E1445" s="64">
        <f>IF(tblCommentary[[#This Row],[Date]]="","",COUNTIFS(INDEX(tblCommentary[Date],1):tblCommentary[[#This Row],[Date]],tblCommentary[[#This Row],[Date]]))</f>
        <v/>
      </c>
      <c r="F1445" s="63">
        <f>IF(tblCommentary[[#This Row],[Date]]="","",tblCommentary[[#This Row],[Date]]&amp;"|"&amp;tblCommentary[[#This Row],[Seq_Day]])</f>
        <v/>
      </c>
    </row>
    <row r="1446">
      <c r="A1446" s="54" t="n"/>
      <c r="B1446" s="61" t="n"/>
      <c r="C1446" s="58" t="n"/>
      <c r="D1446" s="58" t="n"/>
      <c r="E1446" s="64">
        <f>IF(tblCommentary[[#This Row],[Date]]="","",COUNTIFS(INDEX(tblCommentary[Date],1):tblCommentary[[#This Row],[Date]],tblCommentary[[#This Row],[Date]]))</f>
        <v/>
      </c>
      <c r="F1446" s="63">
        <f>IF(tblCommentary[[#This Row],[Date]]="","",tblCommentary[[#This Row],[Date]]&amp;"|"&amp;tblCommentary[[#This Row],[Seq_Day]])</f>
        <v/>
      </c>
    </row>
    <row r="1447">
      <c r="A1447" s="54" t="n"/>
      <c r="B1447" s="61" t="n"/>
      <c r="C1447" s="58" t="n"/>
      <c r="D1447" s="58" t="n"/>
      <c r="E1447" s="64">
        <f>IF(tblCommentary[[#This Row],[Date]]="","",COUNTIFS(INDEX(tblCommentary[Date],1):tblCommentary[[#This Row],[Date]],tblCommentary[[#This Row],[Date]]))</f>
        <v/>
      </c>
      <c r="F1447" s="63">
        <f>IF(tblCommentary[[#This Row],[Date]]="","",tblCommentary[[#This Row],[Date]]&amp;"|"&amp;tblCommentary[[#This Row],[Seq_Day]])</f>
        <v/>
      </c>
    </row>
    <row r="1448">
      <c r="A1448" s="54" t="n"/>
      <c r="B1448" s="61" t="n"/>
      <c r="C1448" s="58" t="n"/>
      <c r="D1448" s="58" t="n"/>
      <c r="E1448" s="64">
        <f>IF(tblCommentary[[#This Row],[Date]]="","",COUNTIFS(INDEX(tblCommentary[Date],1):tblCommentary[[#This Row],[Date]],tblCommentary[[#This Row],[Date]]))</f>
        <v/>
      </c>
      <c r="F1448" s="63">
        <f>IF(tblCommentary[[#This Row],[Date]]="","",tblCommentary[[#This Row],[Date]]&amp;"|"&amp;tblCommentary[[#This Row],[Seq_Day]])</f>
        <v/>
      </c>
    </row>
    <row r="1449">
      <c r="A1449" s="54" t="n"/>
      <c r="B1449" s="61" t="n"/>
      <c r="C1449" s="58" t="n"/>
      <c r="D1449" s="58" t="n"/>
      <c r="E1449" s="64">
        <f>IF(tblCommentary[[#This Row],[Date]]="","",COUNTIFS(INDEX(tblCommentary[Date],1):tblCommentary[[#This Row],[Date]],tblCommentary[[#This Row],[Date]]))</f>
        <v/>
      </c>
      <c r="F1449" s="63">
        <f>IF(tblCommentary[[#This Row],[Date]]="","",tblCommentary[[#This Row],[Date]]&amp;"|"&amp;tblCommentary[[#This Row],[Seq_Day]])</f>
        <v/>
      </c>
    </row>
    <row r="1450">
      <c r="A1450" s="54" t="n"/>
      <c r="B1450" s="61" t="n"/>
      <c r="C1450" s="58" t="n"/>
      <c r="D1450" s="58" t="n"/>
      <c r="E1450" s="64">
        <f>IF(tblCommentary[[#This Row],[Date]]="","",COUNTIFS(INDEX(tblCommentary[Date],1):tblCommentary[[#This Row],[Date]],tblCommentary[[#This Row],[Date]]))</f>
        <v/>
      </c>
      <c r="F1450" s="63">
        <f>IF(tblCommentary[[#This Row],[Date]]="","",tblCommentary[[#This Row],[Date]]&amp;"|"&amp;tblCommentary[[#This Row],[Seq_Day]])</f>
        <v/>
      </c>
    </row>
    <row r="1451">
      <c r="A1451" s="54" t="n"/>
      <c r="B1451" s="61" t="n"/>
      <c r="C1451" s="58" t="n"/>
      <c r="D1451" s="58" t="n"/>
      <c r="E1451" s="64">
        <f>IF(tblCommentary[[#This Row],[Date]]="","",COUNTIFS(INDEX(tblCommentary[Date],1):tblCommentary[[#This Row],[Date]],tblCommentary[[#This Row],[Date]]))</f>
        <v/>
      </c>
      <c r="F1451" s="63">
        <f>IF(tblCommentary[[#This Row],[Date]]="","",tblCommentary[[#This Row],[Date]]&amp;"|"&amp;tblCommentary[[#This Row],[Seq_Day]])</f>
        <v/>
      </c>
    </row>
    <row r="1452">
      <c r="A1452" s="54" t="n"/>
      <c r="B1452" s="61" t="n"/>
      <c r="C1452" s="58" t="n"/>
      <c r="D1452" s="58" t="n"/>
      <c r="E1452" s="64">
        <f>IF(tblCommentary[[#This Row],[Date]]="","",COUNTIFS(INDEX(tblCommentary[Date],1):tblCommentary[[#This Row],[Date]],tblCommentary[[#This Row],[Date]]))</f>
        <v/>
      </c>
      <c r="F1452" s="63">
        <f>IF(tblCommentary[[#This Row],[Date]]="","",tblCommentary[[#This Row],[Date]]&amp;"|"&amp;tblCommentary[[#This Row],[Seq_Day]])</f>
        <v/>
      </c>
    </row>
    <row r="1453">
      <c r="A1453" s="54" t="n"/>
      <c r="B1453" s="61" t="n"/>
      <c r="C1453" s="58" t="n"/>
      <c r="D1453" s="58" t="n"/>
      <c r="E1453" s="64">
        <f>IF(tblCommentary[[#This Row],[Date]]="","",COUNTIFS(INDEX(tblCommentary[Date],1):tblCommentary[[#This Row],[Date]],tblCommentary[[#This Row],[Date]]))</f>
        <v/>
      </c>
      <c r="F1453" s="63">
        <f>IF(tblCommentary[[#This Row],[Date]]="","",tblCommentary[[#This Row],[Date]]&amp;"|"&amp;tblCommentary[[#This Row],[Seq_Day]])</f>
        <v/>
      </c>
    </row>
    <row r="1454">
      <c r="A1454" s="54" t="n"/>
      <c r="B1454" s="61" t="n"/>
      <c r="C1454" s="58" t="n"/>
      <c r="D1454" s="58" t="n"/>
      <c r="E1454" s="64">
        <f>IF(tblCommentary[[#This Row],[Date]]="","",COUNTIFS(INDEX(tblCommentary[Date],1):tblCommentary[[#This Row],[Date]],tblCommentary[[#This Row],[Date]]))</f>
        <v/>
      </c>
      <c r="F1454" s="63">
        <f>IF(tblCommentary[[#This Row],[Date]]="","",tblCommentary[[#This Row],[Date]]&amp;"|"&amp;tblCommentary[[#This Row],[Seq_Day]])</f>
        <v/>
      </c>
    </row>
    <row r="1455">
      <c r="A1455" s="54" t="n"/>
      <c r="B1455" s="61" t="n"/>
      <c r="C1455" s="58" t="n"/>
      <c r="D1455" s="58" t="n"/>
      <c r="E1455" s="64">
        <f>IF(tblCommentary[[#This Row],[Date]]="","",COUNTIFS(INDEX(tblCommentary[Date],1):tblCommentary[[#This Row],[Date]],tblCommentary[[#This Row],[Date]]))</f>
        <v/>
      </c>
      <c r="F1455" s="63">
        <f>IF(tblCommentary[[#This Row],[Date]]="","",tblCommentary[[#This Row],[Date]]&amp;"|"&amp;tblCommentary[[#This Row],[Seq_Day]])</f>
        <v/>
      </c>
    </row>
    <row r="1456">
      <c r="A1456" s="54" t="n"/>
      <c r="B1456" s="61" t="n"/>
      <c r="C1456" s="58" t="n"/>
      <c r="D1456" s="58" t="n"/>
      <c r="E1456" s="64">
        <f>IF(tblCommentary[[#This Row],[Date]]="","",COUNTIFS(INDEX(tblCommentary[Date],1):tblCommentary[[#This Row],[Date]],tblCommentary[[#This Row],[Date]]))</f>
        <v/>
      </c>
      <c r="F1456" s="63">
        <f>IF(tblCommentary[[#This Row],[Date]]="","",tblCommentary[[#This Row],[Date]]&amp;"|"&amp;tblCommentary[[#This Row],[Seq_Day]])</f>
        <v/>
      </c>
    </row>
    <row r="1457">
      <c r="A1457" s="54" t="n"/>
      <c r="B1457" s="61" t="n"/>
      <c r="C1457" s="58" t="n"/>
      <c r="D1457" s="58" t="n"/>
      <c r="E1457" s="64">
        <f>IF(tblCommentary[[#This Row],[Date]]="","",COUNTIFS(INDEX(tblCommentary[Date],1):tblCommentary[[#This Row],[Date]],tblCommentary[[#This Row],[Date]]))</f>
        <v/>
      </c>
      <c r="F1457" s="63">
        <f>IF(tblCommentary[[#This Row],[Date]]="","",tblCommentary[[#This Row],[Date]]&amp;"|"&amp;tblCommentary[[#This Row],[Seq_Day]])</f>
        <v/>
      </c>
    </row>
    <row r="1458">
      <c r="A1458" s="54" t="n"/>
      <c r="B1458" s="61" t="n"/>
      <c r="C1458" s="58" t="n"/>
      <c r="D1458" s="58" t="n"/>
      <c r="E1458" s="64">
        <f>IF(tblCommentary[[#This Row],[Date]]="","",COUNTIFS(INDEX(tblCommentary[Date],1):tblCommentary[[#This Row],[Date]],tblCommentary[[#This Row],[Date]]))</f>
        <v/>
      </c>
      <c r="F1458" s="63">
        <f>IF(tblCommentary[[#This Row],[Date]]="","",tblCommentary[[#This Row],[Date]]&amp;"|"&amp;tblCommentary[[#This Row],[Seq_Day]])</f>
        <v/>
      </c>
    </row>
    <row r="1459">
      <c r="A1459" s="54" t="n"/>
      <c r="B1459" s="61" t="n"/>
      <c r="C1459" s="58" t="n"/>
      <c r="D1459" s="58" t="n"/>
      <c r="E1459" s="64">
        <f>IF(tblCommentary[[#This Row],[Date]]="","",COUNTIFS(INDEX(tblCommentary[Date],1):tblCommentary[[#This Row],[Date]],tblCommentary[[#This Row],[Date]]))</f>
        <v/>
      </c>
      <c r="F1459" s="63">
        <f>IF(tblCommentary[[#This Row],[Date]]="","",tblCommentary[[#This Row],[Date]]&amp;"|"&amp;tblCommentary[[#This Row],[Seq_Day]])</f>
        <v/>
      </c>
    </row>
    <row r="1460">
      <c r="A1460" s="54" t="n"/>
      <c r="B1460" s="61" t="n"/>
      <c r="C1460" s="58" t="n"/>
      <c r="D1460" s="58" t="n"/>
      <c r="E1460" s="64">
        <f>IF(tblCommentary[[#This Row],[Date]]="","",COUNTIFS(INDEX(tblCommentary[Date],1):tblCommentary[[#This Row],[Date]],tblCommentary[[#This Row],[Date]]))</f>
        <v/>
      </c>
      <c r="F1460" s="63">
        <f>IF(tblCommentary[[#This Row],[Date]]="","",tblCommentary[[#This Row],[Date]]&amp;"|"&amp;tblCommentary[[#This Row],[Seq_Day]])</f>
        <v/>
      </c>
    </row>
    <row r="1461">
      <c r="A1461" s="54" t="n"/>
      <c r="B1461" s="61" t="n"/>
      <c r="C1461" s="58" t="n"/>
      <c r="D1461" s="58" t="n"/>
      <c r="E1461" s="64">
        <f>IF(tblCommentary[[#This Row],[Date]]="","",COUNTIFS(INDEX(tblCommentary[Date],1):tblCommentary[[#This Row],[Date]],tblCommentary[[#This Row],[Date]]))</f>
        <v/>
      </c>
      <c r="F1461" s="63">
        <f>IF(tblCommentary[[#This Row],[Date]]="","",tblCommentary[[#This Row],[Date]]&amp;"|"&amp;tblCommentary[[#This Row],[Seq_Day]])</f>
        <v/>
      </c>
    </row>
    <row r="1462">
      <c r="A1462" s="54" t="n"/>
      <c r="B1462" s="61" t="n"/>
      <c r="C1462" s="58" t="n"/>
      <c r="D1462" s="58" t="n"/>
      <c r="E1462" s="64">
        <f>IF(tblCommentary[[#This Row],[Date]]="","",COUNTIFS(INDEX(tblCommentary[Date],1):tblCommentary[[#This Row],[Date]],tblCommentary[[#This Row],[Date]]))</f>
        <v/>
      </c>
      <c r="F1462" s="63">
        <f>IF(tblCommentary[[#This Row],[Date]]="","",tblCommentary[[#This Row],[Date]]&amp;"|"&amp;tblCommentary[[#This Row],[Seq_Day]])</f>
        <v/>
      </c>
    </row>
    <row r="1463">
      <c r="A1463" s="54" t="n"/>
      <c r="B1463" s="61" t="n"/>
      <c r="C1463" s="58" t="n"/>
      <c r="D1463" s="58" t="n"/>
      <c r="E1463" s="64">
        <f>IF(tblCommentary[[#This Row],[Date]]="","",COUNTIFS(INDEX(tblCommentary[Date],1):tblCommentary[[#This Row],[Date]],tblCommentary[[#This Row],[Date]]))</f>
        <v/>
      </c>
      <c r="F1463" s="63">
        <f>IF(tblCommentary[[#This Row],[Date]]="","",tblCommentary[[#This Row],[Date]]&amp;"|"&amp;tblCommentary[[#This Row],[Seq_Day]])</f>
        <v/>
      </c>
    </row>
    <row r="1464">
      <c r="A1464" s="54" t="n"/>
      <c r="B1464" s="61" t="n"/>
      <c r="C1464" s="58" t="n"/>
      <c r="D1464" s="58" t="n"/>
      <c r="E1464" s="64">
        <f>IF(tblCommentary[[#This Row],[Date]]="","",COUNTIFS(INDEX(tblCommentary[Date],1):tblCommentary[[#This Row],[Date]],tblCommentary[[#This Row],[Date]]))</f>
        <v/>
      </c>
      <c r="F1464" s="63">
        <f>IF(tblCommentary[[#This Row],[Date]]="","",tblCommentary[[#This Row],[Date]]&amp;"|"&amp;tblCommentary[[#This Row],[Seq_Day]])</f>
        <v/>
      </c>
    </row>
    <row r="1465">
      <c r="A1465" s="54" t="n"/>
      <c r="B1465" s="61" t="n"/>
      <c r="C1465" s="58" t="n"/>
      <c r="D1465" s="58" t="n"/>
      <c r="E1465" s="64">
        <f>IF(tblCommentary[[#This Row],[Date]]="","",COUNTIFS(INDEX(tblCommentary[Date],1):tblCommentary[[#This Row],[Date]],tblCommentary[[#This Row],[Date]]))</f>
        <v/>
      </c>
      <c r="F1465" s="63">
        <f>IF(tblCommentary[[#This Row],[Date]]="","",tblCommentary[[#This Row],[Date]]&amp;"|"&amp;tblCommentary[[#This Row],[Seq_Day]])</f>
        <v/>
      </c>
    </row>
    <row r="1466">
      <c r="A1466" s="54" t="n"/>
      <c r="B1466" s="61" t="n"/>
      <c r="C1466" s="58" t="n"/>
      <c r="D1466" s="58" t="n"/>
      <c r="E1466" s="64">
        <f>IF(tblCommentary[[#This Row],[Date]]="","",COUNTIFS(INDEX(tblCommentary[Date],1):tblCommentary[[#This Row],[Date]],tblCommentary[[#This Row],[Date]]))</f>
        <v/>
      </c>
      <c r="F1466" s="63">
        <f>IF(tblCommentary[[#This Row],[Date]]="","",tblCommentary[[#This Row],[Date]]&amp;"|"&amp;tblCommentary[[#This Row],[Seq_Day]])</f>
        <v/>
      </c>
    </row>
    <row r="1467">
      <c r="A1467" s="54" t="n"/>
      <c r="B1467" s="61" t="n"/>
      <c r="C1467" s="58" t="n"/>
      <c r="D1467" s="58" t="n"/>
      <c r="E1467" s="64">
        <f>IF(tblCommentary[[#This Row],[Date]]="","",COUNTIFS(INDEX(tblCommentary[Date],1):tblCommentary[[#This Row],[Date]],tblCommentary[[#This Row],[Date]]))</f>
        <v/>
      </c>
      <c r="F1467" s="63">
        <f>IF(tblCommentary[[#This Row],[Date]]="","",tblCommentary[[#This Row],[Date]]&amp;"|"&amp;tblCommentary[[#This Row],[Seq_Day]])</f>
        <v/>
      </c>
    </row>
    <row r="1468">
      <c r="A1468" s="54" t="n"/>
      <c r="B1468" s="61" t="n"/>
      <c r="C1468" s="58" t="n"/>
      <c r="D1468" s="58" t="n"/>
      <c r="E1468" s="64">
        <f>IF(tblCommentary[[#This Row],[Date]]="","",COUNTIFS(INDEX(tblCommentary[Date],1):tblCommentary[[#This Row],[Date]],tblCommentary[[#This Row],[Date]]))</f>
        <v/>
      </c>
      <c r="F1468" s="63">
        <f>IF(tblCommentary[[#This Row],[Date]]="","",tblCommentary[[#This Row],[Date]]&amp;"|"&amp;tblCommentary[[#This Row],[Seq_Day]])</f>
        <v/>
      </c>
    </row>
    <row r="1469">
      <c r="A1469" s="54" t="n"/>
      <c r="B1469" s="61" t="n"/>
      <c r="C1469" s="58" t="n"/>
      <c r="D1469" s="58" t="n"/>
      <c r="E1469" s="64">
        <f>IF(tblCommentary[[#This Row],[Date]]="","",COUNTIFS(INDEX(tblCommentary[Date],1):tblCommentary[[#This Row],[Date]],tblCommentary[[#This Row],[Date]]))</f>
        <v/>
      </c>
      <c r="F1469" s="63">
        <f>IF(tblCommentary[[#This Row],[Date]]="","",tblCommentary[[#This Row],[Date]]&amp;"|"&amp;tblCommentary[[#This Row],[Seq_Day]])</f>
        <v/>
      </c>
    </row>
    <row r="1470">
      <c r="A1470" s="54" t="n"/>
      <c r="B1470" s="61" t="n"/>
      <c r="C1470" s="58" t="n"/>
      <c r="D1470" s="58" t="n"/>
      <c r="E1470" s="64">
        <f>IF(tblCommentary[[#This Row],[Date]]="","",COUNTIFS(INDEX(tblCommentary[Date],1):tblCommentary[[#This Row],[Date]],tblCommentary[[#This Row],[Date]]))</f>
        <v/>
      </c>
      <c r="F1470" s="63">
        <f>IF(tblCommentary[[#This Row],[Date]]="","",tblCommentary[[#This Row],[Date]]&amp;"|"&amp;tblCommentary[[#This Row],[Seq_Day]])</f>
        <v/>
      </c>
    </row>
    <row r="1471">
      <c r="A1471" s="54" t="n"/>
      <c r="B1471" s="61" t="n"/>
      <c r="C1471" s="58" t="n"/>
      <c r="D1471" s="58" t="n"/>
      <c r="E1471" s="64">
        <f>IF(tblCommentary[[#This Row],[Date]]="","",COUNTIFS(INDEX(tblCommentary[Date],1):tblCommentary[[#This Row],[Date]],tblCommentary[[#This Row],[Date]]))</f>
        <v/>
      </c>
      <c r="F1471" s="63">
        <f>IF(tblCommentary[[#This Row],[Date]]="","",tblCommentary[[#This Row],[Date]]&amp;"|"&amp;tblCommentary[[#This Row],[Seq_Day]])</f>
        <v/>
      </c>
    </row>
    <row r="1472">
      <c r="A1472" s="54" t="n"/>
      <c r="B1472" s="61" t="n"/>
      <c r="C1472" s="58" t="n"/>
      <c r="D1472" s="58" t="n"/>
      <c r="E1472" s="64">
        <f>IF(tblCommentary[[#This Row],[Date]]="","",COUNTIFS(INDEX(tblCommentary[Date],1):tblCommentary[[#This Row],[Date]],tblCommentary[[#This Row],[Date]]))</f>
        <v/>
      </c>
      <c r="F1472" s="63">
        <f>IF(tblCommentary[[#This Row],[Date]]="","",tblCommentary[[#This Row],[Date]]&amp;"|"&amp;tblCommentary[[#This Row],[Seq_Day]])</f>
        <v/>
      </c>
    </row>
    <row r="1473">
      <c r="A1473" s="54" t="n"/>
      <c r="B1473" s="61" t="n"/>
      <c r="C1473" s="58" t="n"/>
      <c r="D1473" s="58" t="n"/>
      <c r="E1473" s="64">
        <f>IF(tblCommentary[[#This Row],[Date]]="","",COUNTIFS(INDEX(tblCommentary[Date],1):tblCommentary[[#This Row],[Date]],tblCommentary[[#This Row],[Date]]))</f>
        <v/>
      </c>
      <c r="F1473" s="63">
        <f>IF(tblCommentary[[#This Row],[Date]]="","",tblCommentary[[#This Row],[Date]]&amp;"|"&amp;tblCommentary[[#This Row],[Seq_Day]])</f>
        <v/>
      </c>
    </row>
    <row r="1474">
      <c r="A1474" s="54" t="n"/>
      <c r="B1474" s="61" t="n"/>
      <c r="C1474" s="58" t="n"/>
      <c r="D1474" s="58" t="n"/>
      <c r="E1474" s="64">
        <f>IF(tblCommentary[[#This Row],[Date]]="","",COUNTIFS(INDEX(tblCommentary[Date],1):tblCommentary[[#This Row],[Date]],tblCommentary[[#This Row],[Date]]))</f>
        <v/>
      </c>
      <c r="F1474" s="63">
        <f>IF(tblCommentary[[#This Row],[Date]]="","",tblCommentary[[#This Row],[Date]]&amp;"|"&amp;tblCommentary[[#This Row],[Seq_Day]])</f>
        <v/>
      </c>
    </row>
    <row r="1475">
      <c r="A1475" s="54" t="n"/>
      <c r="B1475" s="61" t="n"/>
      <c r="C1475" s="58" t="n"/>
      <c r="D1475" s="58" t="n"/>
      <c r="E1475" s="64">
        <f>IF(tblCommentary[[#This Row],[Date]]="","",COUNTIFS(INDEX(tblCommentary[Date],1):tblCommentary[[#This Row],[Date]],tblCommentary[[#This Row],[Date]]))</f>
        <v/>
      </c>
      <c r="F1475" s="63">
        <f>IF(tblCommentary[[#This Row],[Date]]="","",tblCommentary[[#This Row],[Date]]&amp;"|"&amp;tblCommentary[[#This Row],[Seq_Day]])</f>
        <v/>
      </c>
    </row>
    <row r="1476">
      <c r="A1476" s="54" t="n"/>
      <c r="B1476" s="61" t="n"/>
      <c r="C1476" s="58" t="n"/>
      <c r="D1476" s="58" t="n"/>
      <c r="E1476" s="64">
        <f>IF(tblCommentary[[#This Row],[Date]]="","",COUNTIFS(INDEX(tblCommentary[Date],1):tblCommentary[[#This Row],[Date]],tblCommentary[[#This Row],[Date]]))</f>
        <v/>
      </c>
      <c r="F1476" s="63">
        <f>IF(tblCommentary[[#This Row],[Date]]="","",tblCommentary[[#This Row],[Date]]&amp;"|"&amp;tblCommentary[[#This Row],[Seq_Day]])</f>
        <v/>
      </c>
    </row>
    <row r="1477">
      <c r="A1477" s="54" t="n"/>
      <c r="B1477" s="61" t="n"/>
      <c r="C1477" s="58" t="n"/>
      <c r="D1477" s="58" t="n"/>
      <c r="E1477" s="64">
        <f>IF(tblCommentary[[#This Row],[Date]]="","",COUNTIFS(INDEX(tblCommentary[Date],1):tblCommentary[[#This Row],[Date]],tblCommentary[[#This Row],[Date]]))</f>
        <v/>
      </c>
      <c r="F1477" s="63">
        <f>IF(tblCommentary[[#This Row],[Date]]="","",tblCommentary[[#This Row],[Date]]&amp;"|"&amp;tblCommentary[[#This Row],[Seq_Day]])</f>
        <v/>
      </c>
    </row>
    <row r="1478">
      <c r="A1478" s="54" t="n"/>
      <c r="B1478" s="61" t="n"/>
      <c r="C1478" s="58" t="n"/>
      <c r="D1478" s="58" t="n"/>
      <c r="E1478" s="64">
        <f>IF(tblCommentary[[#This Row],[Date]]="","",COUNTIFS(INDEX(tblCommentary[Date],1):tblCommentary[[#This Row],[Date]],tblCommentary[[#This Row],[Date]]))</f>
        <v/>
      </c>
      <c r="F1478" s="63">
        <f>IF(tblCommentary[[#This Row],[Date]]="","",tblCommentary[[#This Row],[Date]]&amp;"|"&amp;tblCommentary[[#This Row],[Seq_Day]])</f>
        <v/>
      </c>
    </row>
    <row r="1479">
      <c r="A1479" s="54" t="n"/>
      <c r="B1479" s="61" t="n"/>
      <c r="C1479" s="58" t="n"/>
      <c r="D1479" s="58" t="n"/>
      <c r="E1479" s="64">
        <f>IF(tblCommentary[[#This Row],[Date]]="","",COUNTIFS(INDEX(tblCommentary[Date],1):tblCommentary[[#This Row],[Date]],tblCommentary[[#This Row],[Date]]))</f>
        <v/>
      </c>
      <c r="F1479" s="63">
        <f>IF(tblCommentary[[#This Row],[Date]]="","",tblCommentary[[#This Row],[Date]]&amp;"|"&amp;tblCommentary[[#This Row],[Seq_Day]])</f>
        <v/>
      </c>
    </row>
    <row r="1480">
      <c r="A1480" s="54" t="n"/>
      <c r="B1480" s="61" t="n"/>
      <c r="C1480" s="58" t="n"/>
      <c r="D1480" s="58" t="n"/>
      <c r="E1480" s="64">
        <f>IF(tblCommentary[[#This Row],[Date]]="","",COUNTIFS(INDEX(tblCommentary[Date],1):tblCommentary[[#This Row],[Date]],tblCommentary[[#This Row],[Date]]))</f>
        <v/>
      </c>
      <c r="F1480" s="63">
        <f>IF(tblCommentary[[#This Row],[Date]]="","",tblCommentary[[#This Row],[Date]]&amp;"|"&amp;tblCommentary[[#This Row],[Seq_Day]])</f>
        <v/>
      </c>
    </row>
    <row r="1481">
      <c r="A1481" s="54" t="n"/>
      <c r="B1481" s="61" t="n"/>
      <c r="C1481" s="58" t="n"/>
      <c r="D1481" s="58" t="n"/>
      <c r="E1481" s="64">
        <f>IF(tblCommentary[[#This Row],[Date]]="","",COUNTIFS(INDEX(tblCommentary[Date],1):tblCommentary[[#This Row],[Date]],tblCommentary[[#This Row],[Date]]))</f>
        <v/>
      </c>
      <c r="F1481" s="63">
        <f>IF(tblCommentary[[#This Row],[Date]]="","",tblCommentary[[#This Row],[Date]]&amp;"|"&amp;tblCommentary[[#This Row],[Seq_Day]])</f>
        <v/>
      </c>
    </row>
    <row r="1482">
      <c r="A1482" s="54" t="n"/>
      <c r="B1482" s="61" t="n"/>
      <c r="C1482" s="58" t="n"/>
      <c r="D1482" s="58" t="n"/>
      <c r="E1482" s="64">
        <f>IF(tblCommentary[[#This Row],[Date]]="","",COUNTIFS(INDEX(tblCommentary[Date],1):tblCommentary[[#This Row],[Date]],tblCommentary[[#This Row],[Date]]))</f>
        <v/>
      </c>
      <c r="F1482" s="63">
        <f>IF(tblCommentary[[#This Row],[Date]]="","",tblCommentary[[#This Row],[Date]]&amp;"|"&amp;tblCommentary[[#This Row],[Seq_Day]])</f>
        <v/>
      </c>
    </row>
    <row r="1483">
      <c r="A1483" s="54" t="n"/>
      <c r="B1483" s="61" t="n"/>
      <c r="C1483" s="58" t="n"/>
      <c r="D1483" s="58" t="n"/>
      <c r="E1483" s="64">
        <f>IF(tblCommentary[[#This Row],[Date]]="","",COUNTIFS(INDEX(tblCommentary[Date],1):tblCommentary[[#This Row],[Date]],tblCommentary[[#This Row],[Date]]))</f>
        <v/>
      </c>
      <c r="F1483" s="63">
        <f>IF(tblCommentary[[#This Row],[Date]]="","",tblCommentary[[#This Row],[Date]]&amp;"|"&amp;tblCommentary[[#This Row],[Seq_Day]])</f>
        <v/>
      </c>
    </row>
    <row r="1484">
      <c r="A1484" s="54" t="n"/>
      <c r="B1484" s="61" t="n"/>
      <c r="C1484" s="58" t="n"/>
      <c r="D1484" s="58" t="n"/>
      <c r="E1484" s="64">
        <f>IF(tblCommentary[[#This Row],[Date]]="","",COUNTIFS(INDEX(tblCommentary[Date],1):tblCommentary[[#This Row],[Date]],tblCommentary[[#This Row],[Date]]))</f>
        <v/>
      </c>
      <c r="F1484" s="63">
        <f>IF(tblCommentary[[#This Row],[Date]]="","",tblCommentary[[#This Row],[Date]]&amp;"|"&amp;tblCommentary[[#This Row],[Seq_Day]])</f>
        <v/>
      </c>
    </row>
    <row r="1485">
      <c r="A1485" s="54" t="n"/>
      <c r="B1485" s="61" t="n"/>
      <c r="C1485" s="58" t="n"/>
      <c r="D1485" s="58" t="n"/>
      <c r="E1485" s="64">
        <f>IF(tblCommentary[[#This Row],[Date]]="","",COUNTIFS(INDEX(tblCommentary[Date],1):tblCommentary[[#This Row],[Date]],tblCommentary[[#This Row],[Date]]))</f>
        <v/>
      </c>
      <c r="F1485" s="63">
        <f>IF(tblCommentary[[#This Row],[Date]]="","",tblCommentary[[#This Row],[Date]]&amp;"|"&amp;tblCommentary[[#This Row],[Seq_Day]])</f>
        <v/>
      </c>
    </row>
    <row r="1486">
      <c r="A1486" s="54" t="n"/>
      <c r="B1486" s="61" t="n"/>
      <c r="C1486" s="58" t="n"/>
      <c r="D1486" s="58" t="n"/>
      <c r="E1486" s="64">
        <f>IF(tblCommentary[[#This Row],[Date]]="","",COUNTIFS(INDEX(tblCommentary[Date],1):tblCommentary[[#This Row],[Date]],tblCommentary[[#This Row],[Date]]))</f>
        <v/>
      </c>
      <c r="F1486" s="63">
        <f>IF(tblCommentary[[#This Row],[Date]]="","",tblCommentary[[#This Row],[Date]]&amp;"|"&amp;tblCommentary[[#This Row],[Seq_Day]])</f>
        <v/>
      </c>
    </row>
    <row r="1487">
      <c r="A1487" s="54" t="n"/>
      <c r="B1487" s="61" t="n"/>
      <c r="C1487" s="58" t="n"/>
      <c r="D1487" s="58" t="n"/>
      <c r="E1487" s="64">
        <f>IF(tblCommentary[[#This Row],[Date]]="","",COUNTIFS(INDEX(tblCommentary[Date],1):tblCommentary[[#This Row],[Date]],tblCommentary[[#This Row],[Date]]))</f>
        <v/>
      </c>
      <c r="F1487" s="63">
        <f>IF(tblCommentary[[#This Row],[Date]]="","",tblCommentary[[#This Row],[Date]]&amp;"|"&amp;tblCommentary[[#This Row],[Seq_Day]])</f>
        <v/>
      </c>
    </row>
    <row r="1488">
      <c r="A1488" s="54" t="n"/>
      <c r="B1488" s="61" t="n"/>
      <c r="C1488" s="58" t="n"/>
      <c r="D1488" s="58" t="n"/>
      <c r="E1488" s="64">
        <f>IF(tblCommentary[[#This Row],[Date]]="","",COUNTIFS(INDEX(tblCommentary[Date],1):tblCommentary[[#This Row],[Date]],tblCommentary[[#This Row],[Date]]))</f>
        <v/>
      </c>
      <c r="F1488" s="63">
        <f>IF(tblCommentary[[#This Row],[Date]]="","",tblCommentary[[#This Row],[Date]]&amp;"|"&amp;tblCommentary[[#This Row],[Seq_Day]])</f>
        <v/>
      </c>
    </row>
    <row r="1489">
      <c r="A1489" s="54" t="n"/>
      <c r="B1489" s="61" t="n"/>
      <c r="C1489" s="58" t="n"/>
      <c r="D1489" s="58" t="n"/>
      <c r="E1489" s="64">
        <f>IF(tblCommentary[[#This Row],[Date]]="","",COUNTIFS(INDEX(tblCommentary[Date],1):tblCommentary[[#This Row],[Date]],tblCommentary[[#This Row],[Date]]))</f>
        <v/>
      </c>
      <c r="F1489" s="63">
        <f>IF(tblCommentary[[#This Row],[Date]]="","",tblCommentary[[#This Row],[Date]]&amp;"|"&amp;tblCommentary[[#This Row],[Seq_Day]])</f>
        <v/>
      </c>
    </row>
    <row r="1490">
      <c r="A1490" s="54" t="n"/>
      <c r="B1490" s="61" t="n"/>
      <c r="C1490" s="58" t="n"/>
      <c r="D1490" s="58" t="n"/>
      <c r="E1490" s="64">
        <f>IF(tblCommentary[[#This Row],[Date]]="","",COUNTIFS(INDEX(tblCommentary[Date],1):tblCommentary[[#This Row],[Date]],tblCommentary[[#This Row],[Date]]))</f>
        <v/>
      </c>
      <c r="F1490" s="63">
        <f>IF(tblCommentary[[#This Row],[Date]]="","",tblCommentary[[#This Row],[Date]]&amp;"|"&amp;tblCommentary[[#This Row],[Seq_Day]])</f>
        <v/>
      </c>
    </row>
    <row r="1491">
      <c r="A1491" s="54" t="n"/>
      <c r="B1491" s="61" t="n"/>
      <c r="C1491" s="58" t="n"/>
      <c r="D1491" s="58" t="n"/>
      <c r="E1491" s="64">
        <f>IF(tblCommentary[[#This Row],[Date]]="","",COUNTIFS(INDEX(tblCommentary[Date],1):tblCommentary[[#This Row],[Date]],tblCommentary[[#This Row],[Date]]))</f>
        <v/>
      </c>
      <c r="F1491" s="63">
        <f>IF(tblCommentary[[#This Row],[Date]]="","",tblCommentary[[#This Row],[Date]]&amp;"|"&amp;tblCommentary[[#This Row],[Seq_Day]])</f>
        <v/>
      </c>
    </row>
    <row r="1492">
      <c r="A1492" s="54" t="n"/>
      <c r="B1492" s="61" t="n"/>
      <c r="C1492" s="58" t="n"/>
      <c r="D1492" s="58" t="n"/>
      <c r="E1492" s="64">
        <f>IF(tblCommentary[[#This Row],[Date]]="","",COUNTIFS(INDEX(tblCommentary[Date],1):tblCommentary[[#This Row],[Date]],tblCommentary[[#This Row],[Date]]))</f>
        <v/>
      </c>
      <c r="F1492" s="63">
        <f>IF(tblCommentary[[#This Row],[Date]]="","",tblCommentary[[#This Row],[Date]]&amp;"|"&amp;tblCommentary[[#This Row],[Seq_Day]])</f>
        <v/>
      </c>
    </row>
    <row r="1493">
      <c r="A1493" s="54" t="n"/>
      <c r="B1493" s="61" t="n"/>
      <c r="C1493" s="58" t="n"/>
      <c r="D1493" s="58" t="n"/>
      <c r="E1493" s="64">
        <f>IF(tblCommentary[[#This Row],[Date]]="","",COUNTIFS(INDEX(tblCommentary[Date],1):tblCommentary[[#This Row],[Date]],tblCommentary[[#This Row],[Date]]))</f>
        <v/>
      </c>
      <c r="F1493" s="63">
        <f>IF(tblCommentary[[#This Row],[Date]]="","",tblCommentary[[#This Row],[Date]]&amp;"|"&amp;tblCommentary[[#This Row],[Seq_Day]])</f>
        <v/>
      </c>
    </row>
    <row r="1494">
      <c r="A1494" s="54" t="n"/>
      <c r="B1494" s="61" t="n"/>
      <c r="C1494" s="58" t="n"/>
      <c r="D1494" s="58" t="n"/>
      <c r="E1494" s="64">
        <f>IF(tblCommentary[[#This Row],[Date]]="","",COUNTIFS(INDEX(tblCommentary[Date],1):tblCommentary[[#This Row],[Date]],tblCommentary[[#This Row],[Date]]))</f>
        <v/>
      </c>
      <c r="F1494" s="63">
        <f>IF(tblCommentary[[#This Row],[Date]]="","",tblCommentary[[#This Row],[Date]]&amp;"|"&amp;tblCommentary[[#This Row],[Seq_Day]])</f>
        <v/>
      </c>
    </row>
    <row r="1495">
      <c r="A1495" s="54" t="n"/>
      <c r="B1495" s="61" t="n"/>
      <c r="C1495" s="58" t="n"/>
      <c r="D1495" s="58" t="n"/>
      <c r="E1495" s="64">
        <f>IF(tblCommentary[[#This Row],[Date]]="","",COUNTIFS(INDEX(tblCommentary[Date],1):tblCommentary[[#This Row],[Date]],tblCommentary[[#This Row],[Date]]))</f>
        <v/>
      </c>
      <c r="F1495" s="63">
        <f>IF(tblCommentary[[#This Row],[Date]]="","",tblCommentary[[#This Row],[Date]]&amp;"|"&amp;tblCommentary[[#This Row],[Seq_Day]])</f>
        <v/>
      </c>
    </row>
    <row r="1496">
      <c r="A1496" s="54" t="n"/>
      <c r="B1496" s="61" t="n"/>
      <c r="C1496" s="58" t="n"/>
      <c r="D1496" s="58" t="n"/>
      <c r="E1496" s="64">
        <f>IF(tblCommentary[[#This Row],[Date]]="","",COUNTIFS(INDEX(tblCommentary[Date],1):tblCommentary[[#This Row],[Date]],tblCommentary[[#This Row],[Date]]))</f>
        <v/>
      </c>
      <c r="F1496" s="63">
        <f>IF(tblCommentary[[#This Row],[Date]]="","",tblCommentary[[#This Row],[Date]]&amp;"|"&amp;tblCommentary[[#This Row],[Seq_Day]])</f>
        <v/>
      </c>
    </row>
    <row r="1497">
      <c r="A1497" s="54" t="n"/>
      <c r="B1497" s="61" t="n"/>
      <c r="C1497" s="58" t="n"/>
      <c r="D1497" s="58" t="n"/>
      <c r="E1497" s="64">
        <f>IF(tblCommentary[[#This Row],[Date]]="","",COUNTIFS(INDEX(tblCommentary[Date],1):tblCommentary[[#This Row],[Date]],tblCommentary[[#This Row],[Date]]))</f>
        <v/>
      </c>
      <c r="F1497" s="63">
        <f>IF(tblCommentary[[#This Row],[Date]]="","",tblCommentary[[#This Row],[Date]]&amp;"|"&amp;tblCommentary[[#This Row],[Seq_Day]])</f>
        <v/>
      </c>
    </row>
    <row r="1498">
      <c r="A1498" s="54" t="n"/>
      <c r="B1498" s="61" t="n"/>
      <c r="C1498" s="58" t="n"/>
      <c r="D1498" s="58" t="n"/>
      <c r="E1498" s="64">
        <f>IF(tblCommentary[[#This Row],[Date]]="","",COUNTIFS(INDEX(tblCommentary[Date],1):tblCommentary[[#This Row],[Date]],tblCommentary[[#This Row],[Date]]))</f>
        <v/>
      </c>
      <c r="F1498" s="63">
        <f>IF(tblCommentary[[#This Row],[Date]]="","",tblCommentary[[#This Row],[Date]]&amp;"|"&amp;tblCommentary[[#This Row],[Seq_Day]])</f>
        <v/>
      </c>
    </row>
    <row r="1499">
      <c r="A1499" s="54" t="n"/>
      <c r="B1499" s="61" t="n"/>
      <c r="C1499" s="58" t="n"/>
      <c r="D1499" s="58" t="n"/>
      <c r="E1499" s="64">
        <f>IF(tblCommentary[[#This Row],[Date]]="","",COUNTIFS(INDEX(tblCommentary[Date],1):tblCommentary[[#This Row],[Date]],tblCommentary[[#This Row],[Date]]))</f>
        <v/>
      </c>
      <c r="F1499" s="63">
        <f>IF(tblCommentary[[#This Row],[Date]]="","",tblCommentary[[#This Row],[Date]]&amp;"|"&amp;tblCommentary[[#This Row],[Seq_Day]])</f>
        <v/>
      </c>
    </row>
    <row r="1500">
      <c r="A1500" s="54" t="n"/>
      <c r="B1500" s="61" t="n"/>
      <c r="C1500" s="58" t="n"/>
      <c r="D1500" s="58" t="n"/>
      <c r="E1500" s="64">
        <f>IF(tblCommentary[[#This Row],[Date]]="","",COUNTIFS(INDEX(tblCommentary[Date],1):tblCommentary[[#This Row],[Date]],tblCommentary[[#This Row],[Date]]))</f>
        <v/>
      </c>
      <c r="F1500" s="63">
        <f>IF(tblCommentary[[#This Row],[Date]]="","",tblCommentary[[#This Row],[Date]]&amp;"|"&amp;tblCommentary[[#This Row],[Seq_Day]])</f>
        <v/>
      </c>
    </row>
    <row r="1501">
      <c r="A1501" s="54" t="n"/>
      <c r="B1501" s="61" t="n"/>
      <c r="C1501" s="58" t="n"/>
      <c r="D1501" s="58" t="n"/>
      <c r="E1501" s="64">
        <f>IF(tblCommentary[[#This Row],[Date]]="","",COUNTIFS(INDEX(tblCommentary[Date],1):tblCommentary[[#This Row],[Date]],tblCommentary[[#This Row],[Date]]))</f>
        <v/>
      </c>
      <c r="F1501" s="63">
        <f>IF(tblCommentary[[#This Row],[Date]]="","",tblCommentary[[#This Row],[Date]]&amp;"|"&amp;tblCommentary[[#This Row],[Seq_Day]])</f>
        <v/>
      </c>
    </row>
    <row r="1502">
      <c r="A1502" s="54" t="n"/>
      <c r="B1502" s="61" t="n"/>
      <c r="C1502" s="58" t="n"/>
      <c r="D1502" s="58" t="n"/>
      <c r="E1502" s="64">
        <f>IF(tblCommentary[[#This Row],[Date]]="","",COUNTIFS(INDEX(tblCommentary[Date],1):tblCommentary[[#This Row],[Date]],tblCommentary[[#This Row],[Date]]))</f>
        <v/>
      </c>
      <c r="F1502" s="63">
        <f>IF(tblCommentary[[#This Row],[Date]]="","",tblCommentary[[#This Row],[Date]]&amp;"|"&amp;tblCommentary[[#This Row],[Seq_Day]])</f>
        <v/>
      </c>
    </row>
    <row r="1503">
      <c r="A1503" s="54" t="n"/>
      <c r="B1503" s="61" t="n"/>
      <c r="C1503" s="58" t="n"/>
      <c r="D1503" s="58" t="n"/>
      <c r="E1503" s="64">
        <f>IF(tblCommentary[[#This Row],[Date]]="","",COUNTIFS(INDEX(tblCommentary[Date],1):tblCommentary[[#This Row],[Date]],tblCommentary[[#This Row],[Date]]))</f>
        <v/>
      </c>
      <c r="F1503" s="63">
        <f>IF(tblCommentary[[#This Row],[Date]]="","",tblCommentary[[#This Row],[Date]]&amp;"|"&amp;tblCommentary[[#This Row],[Seq_Day]])</f>
        <v/>
      </c>
    </row>
    <row r="1504">
      <c r="A1504" s="54" t="n"/>
      <c r="B1504" s="61" t="n"/>
      <c r="C1504" s="58" t="n"/>
      <c r="D1504" s="58" t="n"/>
      <c r="E1504" s="64">
        <f>IF(tblCommentary[[#This Row],[Date]]="","",COUNTIFS(INDEX(tblCommentary[Date],1):tblCommentary[[#This Row],[Date]],tblCommentary[[#This Row],[Date]]))</f>
        <v/>
      </c>
      <c r="F1504" s="63">
        <f>IF(tblCommentary[[#This Row],[Date]]="","",tblCommentary[[#This Row],[Date]]&amp;"|"&amp;tblCommentary[[#This Row],[Seq_Day]])</f>
        <v/>
      </c>
    </row>
    <row r="1505">
      <c r="A1505" s="54" t="n"/>
      <c r="B1505" s="61" t="n"/>
      <c r="C1505" s="58" t="n"/>
      <c r="D1505" s="58" t="n"/>
      <c r="E1505" s="64">
        <f>IF(tblCommentary[[#This Row],[Date]]="","",COUNTIFS(INDEX(tblCommentary[Date],1):tblCommentary[[#This Row],[Date]],tblCommentary[[#This Row],[Date]]))</f>
        <v/>
      </c>
      <c r="F1505" s="63">
        <f>IF(tblCommentary[[#This Row],[Date]]="","",tblCommentary[[#This Row],[Date]]&amp;"|"&amp;tblCommentary[[#This Row],[Seq_Day]])</f>
        <v/>
      </c>
    </row>
    <row r="1506">
      <c r="A1506" s="54" t="n"/>
      <c r="B1506" s="61" t="n"/>
      <c r="C1506" s="58" t="n"/>
      <c r="D1506" s="58" t="n"/>
      <c r="E1506" s="64">
        <f>IF(tblCommentary[[#This Row],[Date]]="","",COUNTIFS(INDEX(tblCommentary[Date],1):tblCommentary[[#This Row],[Date]],tblCommentary[[#This Row],[Date]]))</f>
        <v/>
      </c>
      <c r="F1506" s="63">
        <f>IF(tblCommentary[[#This Row],[Date]]="","",tblCommentary[[#This Row],[Date]]&amp;"|"&amp;tblCommentary[[#This Row],[Seq_Day]])</f>
        <v/>
      </c>
    </row>
    <row r="1507">
      <c r="A1507" s="54" t="n"/>
      <c r="B1507" s="61" t="n"/>
      <c r="C1507" s="58" t="n"/>
      <c r="D1507" s="58" t="n"/>
      <c r="E1507" s="64">
        <f>IF(tblCommentary[[#This Row],[Date]]="","",COUNTIFS(INDEX(tblCommentary[Date],1):tblCommentary[[#This Row],[Date]],tblCommentary[[#This Row],[Date]]))</f>
        <v/>
      </c>
      <c r="F1507" s="63">
        <f>IF(tblCommentary[[#This Row],[Date]]="","",tblCommentary[[#This Row],[Date]]&amp;"|"&amp;tblCommentary[[#This Row],[Seq_Day]])</f>
        <v/>
      </c>
    </row>
    <row r="1508">
      <c r="A1508" s="54" t="n"/>
      <c r="B1508" s="61" t="n"/>
      <c r="C1508" s="58" t="n"/>
      <c r="D1508" s="58" t="n"/>
      <c r="E1508" s="64">
        <f>IF(tblCommentary[[#This Row],[Date]]="","",COUNTIFS(INDEX(tblCommentary[Date],1):tblCommentary[[#This Row],[Date]],tblCommentary[[#This Row],[Date]]))</f>
        <v/>
      </c>
      <c r="F1508" s="63">
        <f>IF(tblCommentary[[#This Row],[Date]]="","",tblCommentary[[#This Row],[Date]]&amp;"|"&amp;tblCommentary[[#This Row],[Seq_Day]])</f>
        <v/>
      </c>
    </row>
    <row r="1509">
      <c r="A1509" s="54" t="n"/>
      <c r="B1509" s="61" t="n"/>
      <c r="C1509" s="58" t="n"/>
      <c r="D1509" s="58" t="n"/>
      <c r="E1509" s="64">
        <f>IF(tblCommentary[[#This Row],[Date]]="","",COUNTIFS(INDEX(tblCommentary[Date],1):tblCommentary[[#This Row],[Date]],tblCommentary[[#This Row],[Date]]))</f>
        <v/>
      </c>
      <c r="F1509" s="63">
        <f>IF(tblCommentary[[#This Row],[Date]]="","",tblCommentary[[#This Row],[Date]]&amp;"|"&amp;tblCommentary[[#This Row],[Seq_Day]])</f>
        <v/>
      </c>
    </row>
    <row r="1510">
      <c r="A1510" s="54" t="n"/>
      <c r="B1510" s="61" t="n"/>
      <c r="C1510" s="58" t="n"/>
      <c r="D1510" s="58" t="n"/>
      <c r="E1510" s="64">
        <f>IF(tblCommentary[[#This Row],[Date]]="","",COUNTIFS(INDEX(tblCommentary[Date],1):tblCommentary[[#This Row],[Date]],tblCommentary[[#This Row],[Date]]))</f>
        <v/>
      </c>
      <c r="F1510" s="63">
        <f>IF(tblCommentary[[#This Row],[Date]]="","",tblCommentary[[#This Row],[Date]]&amp;"|"&amp;tblCommentary[[#This Row],[Seq_Day]])</f>
        <v/>
      </c>
    </row>
    <row r="1511">
      <c r="A1511" s="54" t="n"/>
      <c r="B1511" s="61" t="n"/>
      <c r="C1511" s="58" t="n"/>
      <c r="D1511" s="58" t="n"/>
      <c r="E1511" s="64">
        <f>IF(tblCommentary[[#This Row],[Date]]="","",COUNTIFS(INDEX(tblCommentary[Date],1):tblCommentary[[#This Row],[Date]],tblCommentary[[#This Row],[Date]]))</f>
        <v/>
      </c>
      <c r="F1511" s="63">
        <f>IF(tblCommentary[[#This Row],[Date]]="","",tblCommentary[[#This Row],[Date]]&amp;"|"&amp;tblCommentary[[#This Row],[Seq_Day]])</f>
        <v/>
      </c>
    </row>
    <row r="1512">
      <c r="A1512" s="54" t="n"/>
      <c r="B1512" s="61" t="n"/>
      <c r="C1512" s="58" t="n"/>
      <c r="D1512" s="58" t="n"/>
      <c r="E1512" s="64">
        <f>IF(tblCommentary[[#This Row],[Date]]="","",COUNTIFS(INDEX(tblCommentary[Date],1):tblCommentary[[#This Row],[Date]],tblCommentary[[#This Row],[Date]]))</f>
        <v/>
      </c>
      <c r="F1512" s="63">
        <f>IF(tblCommentary[[#This Row],[Date]]="","",tblCommentary[[#This Row],[Date]]&amp;"|"&amp;tblCommentary[[#This Row],[Seq_Day]])</f>
        <v/>
      </c>
    </row>
    <row r="1513">
      <c r="A1513" s="54" t="n"/>
      <c r="B1513" s="61" t="n"/>
      <c r="C1513" s="58" t="n"/>
      <c r="D1513" s="58" t="n"/>
      <c r="E1513" s="64">
        <f>IF(tblCommentary[[#This Row],[Date]]="","",COUNTIFS(INDEX(tblCommentary[Date],1):tblCommentary[[#This Row],[Date]],tblCommentary[[#This Row],[Date]]))</f>
        <v/>
      </c>
      <c r="F1513" s="63">
        <f>IF(tblCommentary[[#This Row],[Date]]="","",tblCommentary[[#This Row],[Date]]&amp;"|"&amp;tblCommentary[[#This Row],[Seq_Day]])</f>
        <v/>
      </c>
    </row>
    <row r="1514">
      <c r="A1514" s="54" t="n"/>
      <c r="B1514" s="61" t="n"/>
      <c r="C1514" s="58" t="n"/>
      <c r="D1514" s="58" t="n"/>
      <c r="E1514" s="64">
        <f>IF(tblCommentary[[#This Row],[Date]]="","",COUNTIFS(INDEX(tblCommentary[Date],1):tblCommentary[[#This Row],[Date]],tblCommentary[[#This Row],[Date]]))</f>
        <v/>
      </c>
      <c r="F1514" s="63">
        <f>IF(tblCommentary[[#This Row],[Date]]="","",tblCommentary[[#This Row],[Date]]&amp;"|"&amp;tblCommentary[[#This Row],[Seq_Day]])</f>
        <v/>
      </c>
    </row>
    <row r="1515">
      <c r="A1515" s="54" t="n"/>
      <c r="B1515" s="61" t="n"/>
      <c r="C1515" s="58" t="n"/>
      <c r="D1515" s="58" t="n"/>
      <c r="E1515" s="64">
        <f>IF(tblCommentary[[#This Row],[Date]]="","",COUNTIFS(INDEX(tblCommentary[Date],1):tblCommentary[[#This Row],[Date]],tblCommentary[[#This Row],[Date]]))</f>
        <v/>
      </c>
      <c r="F1515" s="63">
        <f>IF(tblCommentary[[#This Row],[Date]]="","",tblCommentary[[#This Row],[Date]]&amp;"|"&amp;tblCommentary[[#This Row],[Seq_Day]])</f>
        <v/>
      </c>
    </row>
    <row r="1516">
      <c r="A1516" s="54" t="n"/>
      <c r="B1516" s="61" t="n"/>
      <c r="C1516" s="58" t="n"/>
      <c r="D1516" s="58" t="n"/>
      <c r="E1516" s="64">
        <f>IF(tblCommentary[[#This Row],[Date]]="","",COUNTIFS(INDEX(tblCommentary[Date],1):tblCommentary[[#This Row],[Date]],tblCommentary[[#This Row],[Date]]))</f>
        <v/>
      </c>
      <c r="F1516" s="63">
        <f>IF(tblCommentary[[#This Row],[Date]]="","",tblCommentary[[#This Row],[Date]]&amp;"|"&amp;tblCommentary[[#This Row],[Seq_Day]])</f>
        <v/>
      </c>
    </row>
    <row r="1517">
      <c r="A1517" s="54" t="n"/>
      <c r="B1517" s="61" t="n"/>
      <c r="C1517" s="58" t="n"/>
      <c r="D1517" s="58" t="n"/>
      <c r="E1517" s="64">
        <f>IF(tblCommentary[[#This Row],[Date]]="","",COUNTIFS(INDEX(tblCommentary[Date],1):tblCommentary[[#This Row],[Date]],tblCommentary[[#This Row],[Date]]))</f>
        <v/>
      </c>
      <c r="F1517" s="63">
        <f>IF(tblCommentary[[#This Row],[Date]]="","",tblCommentary[[#This Row],[Date]]&amp;"|"&amp;tblCommentary[[#This Row],[Seq_Day]])</f>
        <v/>
      </c>
    </row>
    <row r="1518">
      <c r="A1518" s="54" t="n"/>
      <c r="B1518" s="61" t="n"/>
      <c r="C1518" s="58" t="n"/>
      <c r="D1518" s="58" t="n"/>
      <c r="E1518" s="64">
        <f>IF(tblCommentary[[#This Row],[Date]]="","",COUNTIFS(INDEX(tblCommentary[Date],1):tblCommentary[[#This Row],[Date]],tblCommentary[[#This Row],[Date]]))</f>
        <v/>
      </c>
      <c r="F1518" s="63">
        <f>IF(tblCommentary[[#This Row],[Date]]="","",tblCommentary[[#This Row],[Date]]&amp;"|"&amp;tblCommentary[[#This Row],[Seq_Day]])</f>
        <v/>
      </c>
    </row>
    <row r="1519">
      <c r="A1519" s="54" t="n"/>
      <c r="B1519" s="61" t="n"/>
      <c r="C1519" s="58" t="n"/>
      <c r="D1519" s="58" t="n"/>
      <c r="E1519" s="64">
        <f>IF(tblCommentary[[#This Row],[Date]]="","",COUNTIFS(INDEX(tblCommentary[Date],1):tblCommentary[[#This Row],[Date]],tblCommentary[[#This Row],[Date]]))</f>
        <v/>
      </c>
      <c r="F1519" s="63">
        <f>IF(tblCommentary[[#This Row],[Date]]="","",tblCommentary[[#This Row],[Date]]&amp;"|"&amp;tblCommentary[[#This Row],[Seq_Day]])</f>
        <v/>
      </c>
    </row>
    <row r="1520">
      <c r="A1520" s="54" t="n"/>
      <c r="B1520" s="61" t="n"/>
      <c r="C1520" s="58" t="n"/>
      <c r="D1520" s="58" t="n"/>
      <c r="E1520" s="64">
        <f>IF(tblCommentary[[#This Row],[Date]]="","",COUNTIFS(INDEX(tblCommentary[Date],1):tblCommentary[[#This Row],[Date]],tblCommentary[[#This Row],[Date]]))</f>
        <v/>
      </c>
      <c r="F1520" s="63">
        <f>IF(tblCommentary[[#This Row],[Date]]="","",tblCommentary[[#This Row],[Date]]&amp;"|"&amp;tblCommentary[[#This Row],[Seq_Day]])</f>
        <v/>
      </c>
    </row>
    <row r="1521">
      <c r="A1521" s="54" t="n"/>
      <c r="B1521" s="61" t="n"/>
      <c r="C1521" s="58" t="n"/>
      <c r="D1521" s="58" t="n"/>
      <c r="E1521" s="64">
        <f>IF(tblCommentary[[#This Row],[Date]]="","",COUNTIFS(INDEX(tblCommentary[Date],1):tblCommentary[[#This Row],[Date]],tblCommentary[[#This Row],[Date]]))</f>
        <v/>
      </c>
      <c r="F1521" s="63">
        <f>IF(tblCommentary[[#This Row],[Date]]="","",tblCommentary[[#This Row],[Date]]&amp;"|"&amp;tblCommentary[[#This Row],[Seq_Day]])</f>
        <v/>
      </c>
    </row>
    <row r="1522">
      <c r="A1522" s="54" t="n"/>
      <c r="B1522" s="61" t="n"/>
      <c r="C1522" s="58" t="n"/>
      <c r="D1522" s="58" t="n"/>
      <c r="E1522" s="64">
        <f>IF(tblCommentary[[#This Row],[Date]]="","",COUNTIFS(INDEX(tblCommentary[Date],1):tblCommentary[[#This Row],[Date]],tblCommentary[[#This Row],[Date]]))</f>
        <v/>
      </c>
      <c r="F1522" s="63">
        <f>IF(tblCommentary[[#This Row],[Date]]="","",tblCommentary[[#This Row],[Date]]&amp;"|"&amp;tblCommentary[[#This Row],[Seq_Day]])</f>
        <v/>
      </c>
    </row>
    <row r="1523">
      <c r="A1523" s="54" t="n"/>
      <c r="B1523" s="61" t="n"/>
      <c r="C1523" s="58" t="n"/>
      <c r="D1523" s="58" t="n"/>
      <c r="E1523" s="64">
        <f>IF(tblCommentary[[#This Row],[Date]]="","",COUNTIFS(INDEX(tblCommentary[Date],1):tblCommentary[[#This Row],[Date]],tblCommentary[[#This Row],[Date]]))</f>
        <v/>
      </c>
      <c r="F1523" s="63">
        <f>IF(tblCommentary[[#This Row],[Date]]="","",tblCommentary[[#This Row],[Date]]&amp;"|"&amp;tblCommentary[[#This Row],[Seq_Day]])</f>
        <v/>
      </c>
    </row>
    <row r="1524">
      <c r="A1524" s="54" t="n"/>
      <c r="B1524" s="61" t="n"/>
      <c r="C1524" s="58" t="n"/>
      <c r="D1524" s="58" t="n"/>
      <c r="E1524" s="64">
        <f>IF(tblCommentary[[#This Row],[Date]]="","",COUNTIFS(INDEX(tblCommentary[Date],1):tblCommentary[[#This Row],[Date]],tblCommentary[[#This Row],[Date]]))</f>
        <v/>
      </c>
      <c r="F1524" s="63">
        <f>IF(tblCommentary[[#This Row],[Date]]="","",tblCommentary[[#This Row],[Date]]&amp;"|"&amp;tblCommentary[[#This Row],[Seq_Day]])</f>
        <v/>
      </c>
    </row>
    <row r="1525">
      <c r="A1525" s="54" t="n"/>
      <c r="B1525" s="61" t="n"/>
      <c r="C1525" s="58" t="n"/>
      <c r="D1525" s="58" t="n"/>
      <c r="E1525" s="64">
        <f>IF(tblCommentary[[#This Row],[Date]]="","",COUNTIFS(INDEX(tblCommentary[Date],1):tblCommentary[[#This Row],[Date]],tblCommentary[[#This Row],[Date]]))</f>
        <v/>
      </c>
      <c r="F1525" s="63">
        <f>IF(tblCommentary[[#This Row],[Date]]="","",tblCommentary[[#This Row],[Date]]&amp;"|"&amp;tblCommentary[[#This Row],[Seq_Day]])</f>
        <v/>
      </c>
    </row>
    <row r="1526">
      <c r="A1526" s="54" t="n"/>
      <c r="B1526" s="61" t="n"/>
      <c r="C1526" s="58" t="n"/>
      <c r="D1526" s="58" t="n"/>
      <c r="E1526" s="64">
        <f>IF(tblCommentary[[#This Row],[Date]]="","",COUNTIFS(INDEX(tblCommentary[Date],1):tblCommentary[[#This Row],[Date]],tblCommentary[[#This Row],[Date]]))</f>
        <v/>
      </c>
      <c r="F1526" s="63">
        <f>IF(tblCommentary[[#This Row],[Date]]="","",tblCommentary[[#This Row],[Date]]&amp;"|"&amp;tblCommentary[[#This Row],[Seq_Day]])</f>
        <v/>
      </c>
    </row>
    <row r="1527">
      <c r="A1527" s="54" t="n"/>
      <c r="B1527" s="61" t="n"/>
      <c r="C1527" s="58" t="n"/>
      <c r="D1527" s="58" t="n"/>
      <c r="E1527" s="64">
        <f>IF(tblCommentary[[#This Row],[Date]]="","",COUNTIFS(INDEX(tblCommentary[Date],1):tblCommentary[[#This Row],[Date]],tblCommentary[[#This Row],[Date]]))</f>
        <v/>
      </c>
      <c r="F1527" s="63">
        <f>IF(tblCommentary[[#This Row],[Date]]="","",tblCommentary[[#This Row],[Date]]&amp;"|"&amp;tblCommentary[[#This Row],[Seq_Day]])</f>
        <v/>
      </c>
    </row>
    <row r="1528">
      <c r="A1528" s="54" t="n"/>
      <c r="B1528" s="61" t="n"/>
      <c r="C1528" s="58" t="n"/>
      <c r="D1528" s="58" t="n"/>
      <c r="E1528" s="64">
        <f>IF(tblCommentary[[#This Row],[Date]]="","",COUNTIFS(INDEX(tblCommentary[Date],1):tblCommentary[[#This Row],[Date]],tblCommentary[[#This Row],[Date]]))</f>
        <v/>
      </c>
      <c r="F1528" s="63">
        <f>IF(tblCommentary[[#This Row],[Date]]="","",tblCommentary[[#This Row],[Date]]&amp;"|"&amp;tblCommentary[[#This Row],[Seq_Day]])</f>
        <v/>
      </c>
    </row>
    <row r="1529">
      <c r="A1529" s="54" t="n"/>
      <c r="B1529" s="61" t="n"/>
      <c r="C1529" s="58" t="n"/>
      <c r="D1529" s="58" t="n"/>
      <c r="E1529" s="64">
        <f>IF(tblCommentary[[#This Row],[Date]]="","",COUNTIFS(INDEX(tblCommentary[Date],1):tblCommentary[[#This Row],[Date]],tblCommentary[[#This Row],[Date]]))</f>
        <v/>
      </c>
      <c r="F1529" s="63">
        <f>IF(tblCommentary[[#This Row],[Date]]="","",tblCommentary[[#This Row],[Date]]&amp;"|"&amp;tblCommentary[[#This Row],[Seq_Day]])</f>
        <v/>
      </c>
    </row>
    <row r="1530">
      <c r="A1530" s="54" t="n"/>
      <c r="B1530" s="61" t="n"/>
      <c r="C1530" s="58" t="n"/>
      <c r="D1530" s="58" t="n"/>
      <c r="E1530" s="64">
        <f>IF(tblCommentary[[#This Row],[Date]]="","",COUNTIFS(INDEX(tblCommentary[Date],1):tblCommentary[[#This Row],[Date]],tblCommentary[[#This Row],[Date]]))</f>
        <v/>
      </c>
      <c r="F1530" s="63">
        <f>IF(tblCommentary[[#This Row],[Date]]="","",tblCommentary[[#This Row],[Date]]&amp;"|"&amp;tblCommentary[[#This Row],[Seq_Day]])</f>
        <v/>
      </c>
    </row>
    <row r="1531">
      <c r="A1531" s="54" t="n"/>
      <c r="B1531" s="61" t="n"/>
      <c r="C1531" s="58" t="n"/>
      <c r="D1531" s="58" t="n"/>
      <c r="E1531" s="64">
        <f>IF(tblCommentary[[#This Row],[Date]]="","",COUNTIFS(INDEX(tblCommentary[Date],1):tblCommentary[[#This Row],[Date]],tblCommentary[[#This Row],[Date]]))</f>
        <v/>
      </c>
      <c r="F1531" s="63">
        <f>IF(tblCommentary[[#This Row],[Date]]="","",tblCommentary[[#This Row],[Date]]&amp;"|"&amp;tblCommentary[[#This Row],[Seq_Day]])</f>
        <v/>
      </c>
    </row>
    <row r="1532">
      <c r="A1532" s="54" t="n"/>
      <c r="B1532" s="61" t="n"/>
      <c r="C1532" s="58" t="n"/>
      <c r="D1532" s="58" t="n"/>
      <c r="E1532" s="64">
        <f>IF(tblCommentary[[#This Row],[Date]]="","",COUNTIFS(INDEX(tblCommentary[Date],1):tblCommentary[[#This Row],[Date]],tblCommentary[[#This Row],[Date]]))</f>
        <v/>
      </c>
      <c r="F1532" s="63">
        <f>IF(tblCommentary[[#This Row],[Date]]="","",tblCommentary[[#This Row],[Date]]&amp;"|"&amp;tblCommentary[[#This Row],[Seq_Day]])</f>
        <v/>
      </c>
    </row>
    <row r="1533">
      <c r="A1533" s="54" t="n"/>
      <c r="B1533" s="61" t="n"/>
      <c r="C1533" s="58" t="n"/>
      <c r="D1533" s="58" t="n"/>
      <c r="E1533" s="64">
        <f>IF(tblCommentary[[#This Row],[Date]]="","",COUNTIFS(INDEX(tblCommentary[Date],1):tblCommentary[[#This Row],[Date]],tblCommentary[[#This Row],[Date]]))</f>
        <v/>
      </c>
      <c r="F1533" s="63">
        <f>IF(tblCommentary[[#This Row],[Date]]="","",tblCommentary[[#This Row],[Date]]&amp;"|"&amp;tblCommentary[[#This Row],[Seq_Day]])</f>
        <v/>
      </c>
    </row>
    <row r="1534">
      <c r="A1534" s="54" t="n"/>
      <c r="B1534" s="61" t="n"/>
      <c r="C1534" s="58" t="n"/>
      <c r="D1534" s="58" t="n"/>
      <c r="E1534" s="64">
        <f>IF(tblCommentary[[#This Row],[Date]]="","",COUNTIFS(INDEX(tblCommentary[Date],1):tblCommentary[[#This Row],[Date]],tblCommentary[[#This Row],[Date]]))</f>
        <v/>
      </c>
      <c r="F1534" s="63">
        <f>IF(tblCommentary[[#This Row],[Date]]="","",tblCommentary[[#This Row],[Date]]&amp;"|"&amp;tblCommentary[[#This Row],[Seq_Day]])</f>
        <v/>
      </c>
    </row>
    <row r="1535">
      <c r="A1535" s="54" t="n"/>
      <c r="B1535" s="61" t="n"/>
      <c r="C1535" s="58" t="n"/>
      <c r="D1535" s="58" t="n"/>
      <c r="E1535" s="64">
        <f>IF(tblCommentary[[#This Row],[Date]]="","",COUNTIFS(INDEX(tblCommentary[Date],1):tblCommentary[[#This Row],[Date]],tblCommentary[[#This Row],[Date]]))</f>
        <v/>
      </c>
      <c r="F1535" s="63">
        <f>IF(tblCommentary[[#This Row],[Date]]="","",tblCommentary[[#This Row],[Date]]&amp;"|"&amp;tblCommentary[[#This Row],[Seq_Day]])</f>
        <v/>
      </c>
    </row>
    <row r="1536">
      <c r="A1536" s="54" t="n"/>
      <c r="B1536" s="61" t="n"/>
      <c r="C1536" s="58" t="n"/>
      <c r="D1536" s="58" t="n"/>
      <c r="E1536" s="64">
        <f>IF(tblCommentary[[#This Row],[Date]]="","",COUNTIFS(INDEX(tblCommentary[Date],1):tblCommentary[[#This Row],[Date]],tblCommentary[[#This Row],[Date]]))</f>
        <v/>
      </c>
      <c r="F1536" s="63">
        <f>IF(tblCommentary[[#This Row],[Date]]="","",tblCommentary[[#This Row],[Date]]&amp;"|"&amp;tblCommentary[[#This Row],[Seq_Day]])</f>
        <v/>
      </c>
    </row>
    <row r="1537">
      <c r="A1537" s="54" t="n"/>
      <c r="B1537" s="61" t="n"/>
      <c r="C1537" s="58" t="n"/>
      <c r="D1537" s="58" t="n"/>
      <c r="E1537" s="64">
        <f>IF(tblCommentary[[#This Row],[Date]]="","",COUNTIFS(INDEX(tblCommentary[Date],1):tblCommentary[[#This Row],[Date]],tblCommentary[[#This Row],[Date]]))</f>
        <v/>
      </c>
      <c r="F1537" s="63">
        <f>IF(tblCommentary[[#This Row],[Date]]="","",tblCommentary[[#This Row],[Date]]&amp;"|"&amp;tblCommentary[[#This Row],[Seq_Day]])</f>
        <v/>
      </c>
    </row>
    <row r="1538">
      <c r="A1538" s="54" t="n"/>
      <c r="B1538" s="61" t="n"/>
      <c r="C1538" s="58" t="n"/>
      <c r="D1538" s="58" t="n"/>
      <c r="E1538" s="64">
        <f>IF(tblCommentary[[#This Row],[Date]]="","",COUNTIFS(INDEX(tblCommentary[Date],1):tblCommentary[[#This Row],[Date]],tblCommentary[[#This Row],[Date]]))</f>
        <v/>
      </c>
      <c r="F1538" s="63">
        <f>IF(tblCommentary[[#This Row],[Date]]="","",tblCommentary[[#This Row],[Date]]&amp;"|"&amp;tblCommentary[[#This Row],[Seq_Day]])</f>
        <v/>
      </c>
    </row>
    <row r="1539">
      <c r="A1539" s="54" t="n"/>
      <c r="B1539" s="61" t="n"/>
      <c r="C1539" s="58" t="n"/>
      <c r="D1539" s="58" t="n"/>
      <c r="E1539" s="64">
        <f>IF(tblCommentary[[#This Row],[Date]]="","",COUNTIFS(INDEX(tblCommentary[Date],1):tblCommentary[[#This Row],[Date]],tblCommentary[[#This Row],[Date]]))</f>
        <v/>
      </c>
      <c r="F1539" s="63">
        <f>IF(tblCommentary[[#This Row],[Date]]="","",tblCommentary[[#This Row],[Date]]&amp;"|"&amp;tblCommentary[[#This Row],[Seq_Day]])</f>
        <v/>
      </c>
    </row>
    <row r="1540">
      <c r="A1540" s="54" t="n"/>
      <c r="B1540" s="61" t="n"/>
      <c r="C1540" s="58" t="n"/>
      <c r="D1540" s="58" t="n"/>
      <c r="E1540" s="64">
        <f>IF(tblCommentary[[#This Row],[Date]]="","",COUNTIFS(INDEX(tblCommentary[Date],1):tblCommentary[[#This Row],[Date]],tblCommentary[[#This Row],[Date]]))</f>
        <v/>
      </c>
      <c r="F1540" s="63">
        <f>IF(tblCommentary[[#This Row],[Date]]="","",tblCommentary[[#This Row],[Date]]&amp;"|"&amp;tblCommentary[[#This Row],[Seq_Day]])</f>
        <v/>
      </c>
    </row>
    <row r="1541">
      <c r="A1541" s="54" t="n"/>
      <c r="B1541" s="61" t="n"/>
      <c r="C1541" s="58" t="n"/>
      <c r="D1541" s="58" t="n"/>
      <c r="E1541" s="64">
        <f>IF(tblCommentary[[#This Row],[Date]]="","",COUNTIFS(INDEX(tblCommentary[Date],1):tblCommentary[[#This Row],[Date]],tblCommentary[[#This Row],[Date]]))</f>
        <v/>
      </c>
      <c r="F1541" s="63">
        <f>IF(tblCommentary[[#This Row],[Date]]="","",tblCommentary[[#This Row],[Date]]&amp;"|"&amp;tblCommentary[[#This Row],[Seq_Day]])</f>
        <v/>
      </c>
    </row>
    <row r="1542">
      <c r="A1542" s="54" t="n"/>
      <c r="B1542" s="61" t="n"/>
      <c r="C1542" s="58" t="n"/>
      <c r="D1542" s="58" t="n"/>
      <c r="E1542" s="64">
        <f>IF(tblCommentary[[#This Row],[Date]]="","",COUNTIFS(INDEX(tblCommentary[Date],1):tblCommentary[[#This Row],[Date]],tblCommentary[[#This Row],[Date]]))</f>
        <v/>
      </c>
      <c r="F1542" s="63">
        <f>IF(tblCommentary[[#This Row],[Date]]="","",tblCommentary[[#This Row],[Date]]&amp;"|"&amp;tblCommentary[[#This Row],[Seq_Day]])</f>
        <v/>
      </c>
    </row>
    <row r="1543">
      <c r="A1543" s="54" t="n"/>
      <c r="B1543" s="61" t="n"/>
      <c r="C1543" s="58" t="n"/>
      <c r="D1543" s="58" t="n"/>
      <c r="E1543" s="64">
        <f>IF(tblCommentary[[#This Row],[Date]]="","",COUNTIFS(INDEX(tblCommentary[Date],1):tblCommentary[[#This Row],[Date]],tblCommentary[[#This Row],[Date]]))</f>
        <v/>
      </c>
      <c r="F1543" s="63">
        <f>IF(tblCommentary[[#This Row],[Date]]="","",tblCommentary[[#This Row],[Date]]&amp;"|"&amp;tblCommentary[[#This Row],[Seq_Day]])</f>
        <v/>
      </c>
    </row>
    <row r="1544">
      <c r="A1544" s="54" t="n"/>
      <c r="B1544" s="61" t="n"/>
      <c r="C1544" s="58" t="n"/>
      <c r="D1544" s="58" t="n"/>
      <c r="E1544" s="64">
        <f>IF(tblCommentary[[#This Row],[Date]]="","",COUNTIFS(INDEX(tblCommentary[Date],1):tblCommentary[[#This Row],[Date]],tblCommentary[[#This Row],[Date]]))</f>
        <v/>
      </c>
      <c r="F1544" s="63">
        <f>IF(tblCommentary[[#This Row],[Date]]="","",tblCommentary[[#This Row],[Date]]&amp;"|"&amp;tblCommentary[[#This Row],[Seq_Day]])</f>
        <v/>
      </c>
    </row>
    <row r="1545">
      <c r="A1545" s="54" t="n"/>
      <c r="B1545" s="61" t="n"/>
      <c r="C1545" s="58" t="n"/>
      <c r="D1545" s="58" t="n"/>
      <c r="E1545" s="64">
        <f>IF(tblCommentary[[#This Row],[Date]]="","",COUNTIFS(INDEX(tblCommentary[Date],1):tblCommentary[[#This Row],[Date]],tblCommentary[[#This Row],[Date]]))</f>
        <v/>
      </c>
      <c r="F1545" s="63">
        <f>IF(tblCommentary[[#This Row],[Date]]="","",tblCommentary[[#This Row],[Date]]&amp;"|"&amp;tblCommentary[[#This Row],[Seq_Day]])</f>
        <v/>
      </c>
    </row>
    <row r="1546">
      <c r="A1546" s="54" t="n"/>
      <c r="B1546" s="61" t="n"/>
      <c r="C1546" s="58" t="n"/>
      <c r="D1546" s="58" t="n"/>
      <c r="E1546" s="64">
        <f>IF(tblCommentary[[#This Row],[Date]]="","",COUNTIFS(INDEX(tblCommentary[Date],1):tblCommentary[[#This Row],[Date]],tblCommentary[[#This Row],[Date]]))</f>
        <v/>
      </c>
      <c r="F1546" s="63">
        <f>IF(tblCommentary[[#This Row],[Date]]="","",tblCommentary[[#This Row],[Date]]&amp;"|"&amp;tblCommentary[[#This Row],[Seq_Day]])</f>
        <v/>
      </c>
    </row>
    <row r="1547">
      <c r="A1547" s="54" t="n"/>
      <c r="B1547" s="61" t="n"/>
      <c r="C1547" s="58" t="n"/>
      <c r="D1547" s="58" t="n"/>
      <c r="E1547" s="64">
        <f>IF(tblCommentary[[#This Row],[Date]]="","",COUNTIFS(INDEX(tblCommentary[Date],1):tblCommentary[[#This Row],[Date]],tblCommentary[[#This Row],[Date]]))</f>
        <v/>
      </c>
      <c r="F1547" s="63">
        <f>IF(tblCommentary[[#This Row],[Date]]="","",tblCommentary[[#This Row],[Date]]&amp;"|"&amp;tblCommentary[[#This Row],[Seq_Day]])</f>
        <v/>
      </c>
    </row>
    <row r="1548">
      <c r="A1548" s="54" t="n"/>
      <c r="B1548" s="61" t="n"/>
      <c r="C1548" s="58" t="n"/>
      <c r="D1548" s="58" t="n"/>
      <c r="E1548" s="64">
        <f>IF(tblCommentary[[#This Row],[Date]]="","",COUNTIFS(INDEX(tblCommentary[Date],1):tblCommentary[[#This Row],[Date]],tblCommentary[[#This Row],[Date]]))</f>
        <v/>
      </c>
      <c r="F1548" s="63">
        <f>IF(tblCommentary[[#This Row],[Date]]="","",tblCommentary[[#This Row],[Date]]&amp;"|"&amp;tblCommentary[[#This Row],[Seq_Day]])</f>
        <v/>
      </c>
    </row>
    <row r="1549">
      <c r="A1549" s="54" t="n"/>
      <c r="B1549" s="61" t="n"/>
      <c r="C1549" s="58" t="n"/>
      <c r="D1549" s="58" t="n"/>
      <c r="E1549" s="64">
        <f>IF(tblCommentary[[#This Row],[Date]]="","",COUNTIFS(INDEX(tblCommentary[Date],1):tblCommentary[[#This Row],[Date]],tblCommentary[[#This Row],[Date]]))</f>
        <v/>
      </c>
      <c r="F1549" s="63">
        <f>IF(tblCommentary[[#This Row],[Date]]="","",tblCommentary[[#This Row],[Date]]&amp;"|"&amp;tblCommentary[[#This Row],[Seq_Day]])</f>
        <v/>
      </c>
    </row>
    <row r="1550">
      <c r="A1550" s="54" t="n"/>
      <c r="B1550" s="61" t="n"/>
      <c r="C1550" s="58" t="n"/>
      <c r="D1550" s="58" t="n"/>
      <c r="E1550" s="64">
        <f>IF(tblCommentary[[#This Row],[Date]]="","",COUNTIFS(INDEX(tblCommentary[Date],1):tblCommentary[[#This Row],[Date]],tblCommentary[[#This Row],[Date]]))</f>
        <v/>
      </c>
      <c r="F1550" s="63">
        <f>IF(tblCommentary[[#This Row],[Date]]="","",tblCommentary[[#This Row],[Date]]&amp;"|"&amp;tblCommentary[[#This Row],[Seq_Day]])</f>
        <v/>
      </c>
    </row>
    <row r="1551">
      <c r="A1551" s="54" t="n"/>
      <c r="B1551" s="61" t="n"/>
      <c r="C1551" s="58" t="n"/>
      <c r="D1551" s="58" t="n"/>
      <c r="E1551" s="64">
        <f>IF(tblCommentary[[#This Row],[Date]]="","",COUNTIFS(INDEX(tblCommentary[Date],1):tblCommentary[[#This Row],[Date]],tblCommentary[[#This Row],[Date]]))</f>
        <v/>
      </c>
      <c r="F1551" s="63">
        <f>IF(tblCommentary[[#This Row],[Date]]="","",tblCommentary[[#This Row],[Date]]&amp;"|"&amp;tblCommentary[[#This Row],[Seq_Day]])</f>
        <v/>
      </c>
    </row>
    <row r="1552">
      <c r="A1552" s="54" t="n"/>
      <c r="B1552" s="61" t="n"/>
      <c r="C1552" s="58" t="n"/>
      <c r="D1552" s="58" t="n"/>
      <c r="E1552" s="64">
        <f>IF(tblCommentary[[#This Row],[Date]]="","",COUNTIFS(INDEX(tblCommentary[Date],1):tblCommentary[[#This Row],[Date]],tblCommentary[[#This Row],[Date]]))</f>
        <v/>
      </c>
      <c r="F1552" s="63">
        <f>IF(tblCommentary[[#This Row],[Date]]="","",tblCommentary[[#This Row],[Date]]&amp;"|"&amp;tblCommentary[[#This Row],[Seq_Day]])</f>
        <v/>
      </c>
    </row>
    <row r="1553">
      <c r="A1553" s="54" t="n"/>
      <c r="B1553" s="61" t="n"/>
      <c r="C1553" s="58" t="n"/>
      <c r="D1553" s="58" t="n"/>
      <c r="E1553" s="64">
        <f>IF(tblCommentary[[#This Row],[Date]]="","",COUNTIFS(INDEX(tblCommentary[Date],1):tblCommentary[[#This Row],[Date]],tblCommentary[[#This Row],[Date]]))</f>
        <v/>
      </c>
      <c r="F1553" s="63">
        <f>IF(tblCommentary[[#This Row],[Date]]="","",tblCommentary[[#This Row],[Date]]&amp;"|"&amp;tblCommentary[[#This Row],[Seq_Day]])</f>
        <v/>
      </c>
    </row>
    <row r="1554">
      <c r="A1554" s="54" t="n"/>
      <c r="B1554" s="61" t="n"/>
      <c r="C1554" s="58" t="n"/>
      <c r="D1554" s="58" t="n"/>
      <c r="E1554" s="64">
        <f>IF(tblCommentary[[#This Row],[Date]]="","",COUNTIFS(INDEX(tblCommentary[Date],1):tblCommentary[[#This Row],[Date]],tblCommentary[[#This Row],[Date]]))</f>
        <v/>
      </c>
      <c r="F1554" s="63">
        <f>IF(tblCommentary[[#This Row],[Date]]="","",tblCommentary[[#This Row],[Date]]&amp;"|"&amp;tblCommentary[[#This Row],[Seq_Day]])</f>
        <v/>
      </c>
    </row>
    <row r="1555">
      <c r="A1555" s="54" t="n"/>
      <c r="B1555" s="61" t="n"/>
      <c r="C1555" s="58" t="n"/>
      <c r="D1555" s="58" t="n"/>
      <c r="E1555" s="64">
        <f>IF(tblCommentary[[#This Row],[Date]]="","",COUNTIFS(INDEX(tblCommentary[Date],1):tblCommentary[[#This Row],[Date]],tblCommentary[[#This Row],[Date]]))</f>
        <v/>
      </c>
      <c r="F1555" s="63">
        <f>IF(tblCommentary[[#This Row],[Date]]="","",tblCommentary[[#This Row],[Date]]&amp;"|"&amp;tblCommentary[[#This Row],[Seq_Day]])</f>
        <v/>
      </c>
    </row>
    <row r="1556">
      <c r="A1556" s="54" t="n"/>
      <c r="B1556" s="61" t="n"/>
      <c r="C1556" s="58" t="n"/>
      <c r="D1556" s="58" t="n"/>
      <c r="E1556" s="64">
        <f>IF(tblCommentary[[#This Row],[Date]]="","",COUNTIFS(INDEX(tblCommentary[Date],1):tblCommentary[[#This Row],[Date]],tblCommentary[[#This Row],[Date]]))</f>
        <v/>
      </c>
      <c r="F1556" s="63">
        <f>IF(tblCommentary[[#This Row],[Date]]="","",tblCommentary[[#This Row],[Date]]&amp;"|"&amp;tblCommentary[[#This Row],[Seq_Day]])</f>
        <v/>
      </c>
    </row>
    <row r="1557">
      <c r="A1557" s="54" t="n"/>
      <c r="B1557" s="61" t="n"/>
      <c r="C1557" s="58" t="n"/>
      <c r="D1557" s="58" t="n"/>
      <c r="E1557" s="64">
        <f>IF(tblCommentary[[#This Row],[Date]]="","",COUNTIFS(INDEX(tblCommentary[Date],1):tblCommentary[[#This Row],[Date]],tblCommentary[[#This Row],[Date]]))</f>
        <v/>
      </c>
      <c r="F1557" s="63">
        <f>IF(tblCommentary[[#This Row],[Date]]="","",tblCommentary[[#This Row],[Date]]&amp;"|"&amp;tblCommentary[[#This Row],[Seq_Day]])</f>
        <v/>
      </c>
    </row>
    <row r="1558">
      <c r="A1558" s="54" t="n"/>
      <c r="B1558" s="61" t="n"/>
      <c r="C1558" s="58" t="n"/>
      <c r="D1558" s="58" t="n"/>
      <c r="E1558" s="64">
        <f>IF(tblCommentary[[#This Row],[Date]]="","",COUNTIFS(INDEX(tblCommentary[Date],1):tblCommentary[[#This Row],[Date]],tblCommentary[[#This Row],[Date]]))</f>
        <v/>
      </c>
      <c r="F1558" s="63">
        <f>IF(tblCommentary[[#This Row],[Date]]="","",tblCommentary[[#This Row],[Date]]&amp;"|"&amp;tblCommentary[[#This Row],[Seq_Day]])</f>
        <v/>
      </c>
    </row>
    <row r="1559">
      <c r="A1559" s="54" t="n"/>
      <c r="B1559" s="61" t="n"/>
      <c r="C1559" s="58" t="n"/>
      <c r="D1559" s="58" t="n"/>
      <c r="E1559" s="64">
        <f>IF(tblCommentary[[#This Row],[Date]]="","",COUNTIFS(INDEX(tblCommentary[Date],1):tblCommentary[[#This Row],[Date]],tblCommentary[[#This Row],[Date]]))</f>
        <v/>
      </c>
      <c r="F1559" s="63">
        <f>IF(tblCommentary[[#This Row],[Date]]="","",tblCommentary[[#This Row],[Date]]&amp;"|"&amp;tblCommentary[[#This Row],[Seq_Day]])</f>
        <v/>
      </c>
    </row>
    <row r="1560">
      <c r="A1560" s="54" t="n"/>
      <c r="B1560" s="61" t="n"/>
      <c r="C1560" s="58" t="n"/>
      <c r="D1560" s="58" t="n"/>
      <c r="E1560" s="64">
        <f>IF(tblCommentary[[#This Row],[Date]]="","",COUNTIFS(INDEX(tblCommentary[Date],1):tblCommentary[[#This Row],[Date]],tblCommentary[[#This Row],[Date]]))</f>
        <v/>
      </c>
      <c r="F1560" s="63">
        <f>IF(tblCommentary[[#This Row],[Date]]="","",tblCommentary[[#This Row],[Date]]&amp;"|"&amp;tblCommentary[[#This Row],[Seq_Day]])</f>
        <v/>
      </c>
    </row>
    <row r="1561">
      <c r="A1561" s="54" t="n"/>
      <c r="B1561" s="61" t="n"/>
      <c r="C1561" s="58" t="n"/>
      <c r="D1561" s="58" t="n"/>
      <c r="E1561" s="64">
        <f>IF(tblCommentary[[#This Row],[Date]]="","",COUNTIFS(INDEX(tblCommentary[Date],1):tblCommentary[[#This Row],[Date]],tblCommentary[[#This Row],[Date]]))</f>
        <v/>
      </c>
      <c r="F1561" s="63">
        <f>IF(tblCommentary[[#This Row],[Date]]="","",tblCommentary[[#This Row],[Date]]&amp;"|"&amp;tblCommentary[[#This Row],[Seq_Day]])</f>
        <v/>
      </c>
    </row>
    <row r="1562">
      <c r="A1562" s="54" t="n"/>
      <c r="B1562" s="61" t="n"/>
      <c r="C1562" s="58" t="n"/>
      <c r="D1562" s="58" t="n"/>
      <c r="E1562" s="64">
        <f>IF(tblCommentary[[#This Row],[Date]]="","",COUNTIFS(INDEX(tblCommentary[Date],1):tblCommentary[[#This Row],[Date]],tblCommentary[[#This Row],[Date]]))</f>
        <v/>
      </c>
      <c r="F1562" s="63">
        <f>IF(tblCommentary[[#This Row],[Date]]="","",tblCommentary[[#This Row],[Date]]&amp;"|"&amp;tblCommentary[[#This Row],[Seq_Day]])</f>
        <v/>
      </c>
    </row>
    <row r="1563">
      <c r="A1563" s="54" t="n"/>
      <c r="B1563" s="61" t="n"/>
      <c r="C1563" s="58" t="n"/>
      <c r="D1563" s="58" t="n"/>
      <c r="E1563" s="64">
        <f>IF(tblCommentary[[#This Row],[Date]]="","",COUNTIFS(INDEX(tblCommentary[Date],1):tblCommentary[[#This Row],[Date]],tblCommentary[[#This Row],[Date]]))</f>
        <v/>
      </c>
      <c r="F1563" s="63">
        <f>IF(tblCommentary[[#This Row],[Date]]="","",tblCommentary[[#This Row],[Date]]&amp;"|"&amp;tblCommentary[[#This Row],[Seq_Day]])</f>
        <v/>
      </c>
    </row>
    <row r="1564">
      <c r="A1564" s="54" t="n"/>
      <c r="B1564" s="61" t="n"/>
      <c r="C1564" s="58" t="n"/>
      <c r="D1564" s="58" t="n"/>
      <c r="E1564" s="64">
        <f>IF(tblCommentary[[#This Row],[Date]]="","",COUNTIFS(INDEX(tblCommentary[Date],1):tblCommentary[[#This Row],[Date]],tblCommentary[[#This Row],[Date]]))</f>
        <v/>
      </c>
      <c r="F1564" s="63">
        <f>IF(tblCommentary[[#This Row],[Date]]="","",tblCommentary[[#This Row],[Date]]&amp;"|"&amp;tblCommentary[[#This Row],[Seq_Day]])</f>
        <v/>
      </c>
    </row>
    <row r="1565">
      <c r="A1565" s="54" t="n"/>
      <c r="B1565" s="61" t="n"/>
      <c r="C1565" s="58" t="n"/>
      <c r="D1565" s="58" t="n"/>
      <c r="E1565" s="64">
        <f>IF(tblCommentary[[#This Row],[Date]]="","",COUNTIFS(INDEX(tblCommentary[Date],1):tblCommentary[[#This Row],[Date]],tblCommentary[[#This Row],[Date]]))</f>
        <v/>
      </c>
      <c r="F1565" s="63">
        <f>IF(tblCommentary[[#This Row],[Date]]="","",tblCommentary[[#This Row],[Date]]&amp;"|"&amp;tblCommentary[[#This Row],[Seq_Day]])</f>
        <v/>
      </c>
    </row>
    <row r="1566">
      <c r="A1566" s="54" t="n"/>
      <c r="B1566" s="61" t="n"/>
      <c r="C1566" s="58" t="n"/>
      <c r="D1566" s="58" t="n"/>
      <c r="E1566" s="64">
        <f>IF(tblCommentary[[#This Row],[Date]]="","",COUNTIFS(INDEX(tblCommentary[Date],1):tblCommentary[[#This Row],[Date]],tblCommentary[[#This Row],[Date]]))</f>
        <v/>
      </c>
      <c r="F1566" s="63">
        <f>IF(tblCommentary[[#This Row],[Date]]="","",tblCommentary[[#This Row],[Date]]&amp;"|"&amp;tblCommentary[[#This Row],[Seq_Day]])</f>
        <v/>
      </c>
    </row>
    <row r="1567">
      <c r="A1567" s="54" t="n"/>
      <c r="B1567" s="61" t="n"/>
      <c r="C1567" s="58" t="n"/>
      <c r="D1567" s="58" t="n"/>
      <c r="E1567" s="64">
        <f>IF(tblCommentary[[#This Row],[Date]]="","",COUNTIFS(INDEX(tblCommentary[Date],1):tblCommentary[[#This Row],[Date]],tblCommentary[[#This Row],[Date]]))</f>
        <v/>
      </c>
      <c r="F1567" s="63">
        <f>IF(tblCommentary[[#This Row],[Date]]="","",tblCommentary[[#This Row],[Date]]&amp;"|"&amp;tblCommentary[[#This Row],[Seq_Day]])</f>
        <v/>
      </c>
    </row>
    <row r="1568">
      <c r="A1568" s="54" t="n"/>
      <c r="B1568" s="61" t="n"/>
      <c r="C1568" s="58" t="n"/>
      <c r="D1568" s="58" t="n"/>
      <c r="E1568" s="64">
        <f>IF(tblCommentary[[#This Row],[Date]]="","",COUNTIFS(INDEX(tblCommentary[Date],1):tblCommentary[[#This Row],[Date]],tblCommentary[[#This Row],[Date]]))</f>
        <v/>
      </c>
      <c r="F1568" s="63">
        <f>IF(tblCommentary[[#This Row],[Date]]="","",tblCommentary[[#This Row],[Date]]&amp;"|"&amp;tblCommentary[[#This Row],[Seq_Day]])</f>
        <v/>
      </c>
    </row>
    <row r="1569">
      <c r="A1569" s="54" t="n"/>
      <c r="B1569" s="61" t="n"/>
      <c r="C1569" s="58" t="n"/>
      <c r="D1569" s="58" t="n"/>
      <c r="E1569" s="64">
        <f>IF(tblCommentary[[#This Row],[Date]]="","",COUNTIFS(INDEX(tblCommentary[Date],1):tblCommentary[[#This Row],[Date]],tblCommentary[[#This Row],[Date]]))</f>
        <v/>
      </c>
      <c r="F1569" s="63">
        <f>IF(tblCommentary[[#This Row],[Date]]="","",tblCommentary[[#This Row],[Date]]&amp;"|"&amp;tblCommentary[[#This Row],[Seq_Day]])</f>
        <v/>
      </c>
    </row>
    <row r="1570">
      <c r="A1570" s="54" t="n"/>
      <c r="B1570" s="61" t="n"/>
      <c r="C1570" s="58" t="n"/>
      <c r="D1570" s="58" t="n"/>
      <c r="E1570" s="64">
        <f>IF(tblCommentary[[#This Row],[Date]]="","",COUNTIFS(INDEX(tblCommentary[Date],1):tblCommentary[[#This Row],[Date]],tblCommentary[[#This Row],[Date]]))</f>
        <v/>
      </c>
      <c r="F1570" s="63">
        <f>IF(tblCommentary[[#This Row],[Date]]="","",tblCommentary[[#This Row],[Date]]&amp;"|"&amp;tblCommentary[[#This Row],[Seq_Day]])</f>
        <v/>
      </c>
    </row>
    <row r="1571">
      <c r="A1571" s="54" t="n"/>
      <c r="B1571" s="61" t="n"/>
      <c r="C1571" s="58" t="n"/>
      <c r="D1571" s="58" t="n"/>
      <c r="E1571" s="64">
        <f>IF(tblCommentary[[#This Row],[Date]]="","",COUNTIFS(INDEX(tblCommentary[Date],1):tblCommentary[[#This Row],[Date]],tblCommentary[[#This Row],[Date]]))</f>
        <v/>
      </c>
      <c r="F1571" s="63">
        <f>IF(tblCommentary[[#This Row],[Date]]="","",tblCommentary[[#This Row],[Date]]&amp;"|"&amp;tblCommentary[[#This Row],[Seq_Day]])</f>
        <v/>
      </c>
    </row>
    <row r="1572">
      <c r="A1572" s="54" t="n"/>
      <c r="B1572" s="61" t="n"/>
      <c r="C1572" s="58" t="n"/>
      <c r="D1572" s="58" t="n"/>
      <c r="E1572" s="64">
        <f>IF(tblCommentary[[#This Row],[Date]]="","",COUNTIFS(INDEX(tblCommentary[Date],1):tblCommentary[[#This Row],[Date]],tblCommentary[[#This Row],[Date]]))</f>
        <v/>
      </c>
      <c r="F1572" s="63">
        <f>IF(tblCommentary[[#This Row],[Date]]="","",tblCommentary[[#This Row],[Date]]&amp;"|"&amp;tblCommentary[[#This Row],[Seq_Day]])</f>
        <v/>
      </c>
    </row>
    <row r="1573">
      <c r="A1573" s="54" t="n"/>
      <c r="B1573" s="61" t="n"/>
      <c r="C1573" s="58" t="n"/>
      <c r="D1573" s="58" t="n"/>
      <c r="E1573" s="64">
        <f>IF(tblCommentary[[#This Row],[Date]]="","",COUNTIFS(INDEX(tblCommentary[Date],1):tblCommentary[[#This Row],[Date]],tblCommentary[[#This Row],[Date]]))</f>
        <v/>
      </c>
      <c r="F1573" s="63">
        <f>IF(tblCommentary[[#This Row],[Date]]="","",tblCommentary[[#This Row],[Date]]&amp;"|"&amp;tblCommentary[[#This Row],[Seq_Day]])</f>
        <v/>
      </c>
    </row>
    <row r="1574">
      <c r="A1574" s="54" t="n"/>
      <c r="B1574" s="61" t="n"/>
      <c r="C1574" s="58" t="n"/>
      <c r="D1574" s="58" t="n"/>
      <c r="E1574" s="64">
        <f>IF(tblCommentary[[#This Row],[Date]]="","",COUNTIFS(INDEX(tblCommentary[Date],1):tblCommentary[[#This Row],[Date]],tblCommentary[[#This Row],[Date]]))</f>
        <v/>
      </c>
      <c r="F1574" s="63">
        <f>IF(tblCommentary[[#This Row],[Date]]="","",tblCommentary[[#This Row],[Date]]&amp;"|"&amp;tblCommentary[[#This Row],[Seq_Day]])</f>
        <v/>
      </c>
    </row>
    <row r="1575">
      <c r="A1575" s="54" t="n"/>
      <c r="B1575" s="61" t="n"/>
      <c r="C1575" s="58" t="n"/>
      <c r="D1575" s="58" t="n"/>
      <c r="E1575" s="64">
        <f>IF(tblCommentary[[#This Row],[Date]]="","",COUNTIFS(INDEX(tblCommentary[Date],1):tblCommentary[[#This Row],[Date]],tblCommentary[[#This Row],[Date]]))</f>
        <v/>
      </c>
      <c r="F1575" s="63">
        <f>IF(tblCommentary[[#This Row],[Date]]="","",tblCommentary[[#This Row],[Date]]&amp;"|"&amp;tblCommentary[[#This Row],[Seq_Day]])</f>
        <v/>
      </c>
    </row>
    <row r="1576">
      <c r="A1576" s="54" t="n"/>
      <c r="B1576" s="61" t="n"/>
      <c r="C1576" s="58" t="n"/>
      <c r="D1576" s="58" t="n"/>
      <c r="E1576" s="64">
        <f>IF(tblCommentary[[#This Row],[Date]]="","",COUNTIFS(INDEX(tblCommentary[Date],1):tblCommentary[[#This Row],[Date]],tblCommentary[[#This Row],[Date]]))</f>
        <v/>
      </c>
      <c r="F1576" s="63">
        <f>IF(tblCommentary[[#This Row],[Date]]="","",tblCommentary[[#This Row],[Date]]&amp;"|"&amp;tblCommentary[[#This Row],[Seq_Day]])</f>
        <v/>
      </c>
    </row>
    <row r="1577">
      <c r="A1577" s="54" t="n"/>
      <c r="B1577" s="61" t="n"/>
      <c r="C1577" s="58" t="n"/>
      <c r="D1577" s="58" t="n"/>
      <c r="E1577" s="64">
        <f>IF(tblCommentary[[#This Row],[Date]]="","",COUNTIFS(INDEX(tblCommentary[Date],1):tblCommentary[[#This Row],[Date]],tblCommentary[[#This Row],[Date]]))</f>
        <v/>
      </c>
      <c r="F1577" s="63">
        <f>IF(tblCommentary[[#This Row],[Date]]="","",tblCommentary[[#This Row],[Date]]&amp;"|"&amp;tblCommentary[[#This Row],[Seq_Day]])</f>
        <v/>
      </c>
    </row>
    <row r="1578">
      <c r="A1578" s="54" t="n"/>
      <c r="B1578" s="61" t="n"/>
      <c r="C1578" s="58" t="n"/>
      <c r="D1578" s="58" t="n"/>
      <c r="E1578" s="64">
        <f>IF(tblCommentary[[#This Row],[Date]]="","",COUNTIFS(INDEX(tblCommentary[Date],1):tblCommentary[[#This Row],[Date]],tblCommentary[[#This Row],[Date]]))</f>
        <v/>
      </c>
      <c r="F1578" s="63">
        <f>IF(tblCommentary[[#This Row],[Date]]="","",tblCommentary[[#This Row],[Date]]&amp;"|"&amp;tblCommentary[[#This Row],[Seq_Day]])</f>
        <v/>
      </c>
    </row>
    <row r="1579">
      <c r="A1579" s="54" t="n"/>
      <c r="B1579" s="61" t="n"/>
      <c r="C1579" s="58" t="n"/>
      <c r="D1579" s="58" t="n"/>
      <c r="E1579" s="64">
        <f>IF(tblCommentary[[#This Row],[Date]]="","",COUNTIFS(INDEX(tblCommentary[Date],1):tblCommentary[[#This Row],[Date]],tblCommentary[[#This Row],[Date]]))</f>
        <v/>
      </c>
      <c r="F1579" s="63">
        <f>IF(tblCommentary[[#This Row],[Date]]="","",tblCommentary[[#This Row],[Date]]&amp;"|"&amp;tblCommentary[[#This Row],[Seq_Day]])</f>
        <v/>
      </c>
    </row>
    <row r="1580">
      <c r="A1580" s="54" t="n"/>
      <c r="B1580" s="61" t="n"/>
      <c r="C1580" s="58" t="n"/>
      <c r="D1580" s="58" t="n"/>
      <c r="E1580" s="64">
        <f>IF(tblCommentary[[#This Row],[Date]]="","",COUNTIFS(INDEX(tblCommentary[Date],1):tblCommentary[[#This Row],[Date]],tblCommentary[[#This Row],[Date]]))</f>
        <v/>
      </c>
      <c r="F1580" s="63">
        <f>IF(tblCommentary[[#This Row],[Date]]="","",tblCommentary[[#This Row],[Date]]&amp;"|"&amp;tblCommentary[[#This Row],[Seq_Day]])</f>
        <v/>
      </c>
    </row>
    <row r="1581">
      <c r="A1581" s="54" t="n"/>
      <c r="B1581" s="61" t="n"/>
      <c r="C1581" s="58" t="n"/>
      <c r="D1581" s="58" t="n"/>
      <c r="E1581" s="64">
        <f>IF(tblCommentary[[#This Row],[Date]]="","",COUNTIFS(INDEX(tblCommentary[Date],1):tblCommentary[[#This Row],[Date]],tblCommentary[[#This Row],[Date]]))</f>
        <v/>
      </c>
      <c r="F1581" s="63">
        <f>IF(tblCommentary[[#This Row],[Date]]="","",tblCommentary[[#This Row],[Date]]&amp;"|"&amp;tblCommentary[[#This Row],[Seq_Day]])</f>
        <v/>
      </c>
    </row>
    <row r="1582">
      <c r="A1582" s="54" t="n"/>
      <c r="B1582" s="61" t="n"/>
      <c r="C1582" s="58" t="n"/>
      <c r="D1582" s="58" t="n"/>
      <c r="E1582" s="64">
        <f>IF(tblCommentary[[#This Row],[Date]]="","",COUNTIFS(INDEX(tblCommentary[Date],1):tblCommentary[[#This Row],[Date]],tblCommentary[[#This Row],[Date]]))</f>
        <v/>
      </c>
      <c r="F1582" s="63">
        <f>IF(tblCommentary[[#This Row],[Date]]="","",tblCommentary[[#This Row],[Date]]&amp;"|"&amp;tblCommentary[[#This Row],[Seq_Day]])</f>
        <v/>
      </c>
    </row>
    <row r="1583">
      <c r="A1583" s="54" t="n"/>
      <c r="B1583" s="61" t="n"/>
      <c r="C1583" s="58" t="n"/>
      <c r="D1583" s="58" t="n"/>
      <c r="E1583" s="64">
        <f>IF(tblCommentary[[#This Row],[Date]]="","",COUNTIFS(INDEX(tblCommentary[Date],1):tblCommentary[[#This Row],[Date]],tblCommentary[[#This Row],[Date]]))</f>
        <v/>
      </c>
      <c r="F1583" s="63">
        <f>IF(tblCommentary[[#This Row],[Date]]="","",tblCommentary[[#This Row],[Date]]&amp;"|"&amp;tblCommentary[[#This Row],[Seq_Day]])</f>
        <v/>
      </c>
    </row>
    <row r="1584">
      <c r="A1584" s="54" t="n"/>
      <c r="B1584" s="61" t="n"/>
      <c r="C1584" s="58" t="n"/>
      <c r="D1584" s="58" t="n"/>
      <c r="E1584" s="64">
        <f>IF(tblCommentary[[#This Row],[Date]]="","",COUNTIFS(INDEX(tblCommentary[Date],1):tblCommentary[[#This Row],[Date]],tblCommentary[[#This Row],[Date]]))</f>
        <v/>
      </c>
      <c r="F1584" s="63">
        <f>IF(tblCommentary[[#This Row],[Date]]="","",tblCommentary[[#This Row],[Date]]&amp;"|"&amp;tblCommentary[[#This Row],[Seq_Day]])</f>
        <v/>
      </c>
    </row>
    <row r="1585">
      <c r="A1585" s="54" t="n"/>
      <c r="B1585" s="61" t="n"/>
      <c r="C1585" s="58" t="n"/>
      <c r="D1585" s="58" t="n"/>
      <c r="E1585" s="64">
        <f>IF(tblCommentary[[#This Row],[Date]]="","",COUNTIFS(INDEX(tblCommentary[Date],1):tblCommentary[[#This Row],[Date]],tblCommentary[[#This Row],[Date]]))</f>
        <v/>
      </c>
      <c r="F1585" s="63">
        <f>IF(tblCommentary[[#This Row],[Date]]="","",tblCommentary[[#This Row],[Date]]&amp;"|"&amp;tblCommentary[[#This Row],[Seq_Day]])</f>
        <v/>
      </c>
    </row>
    <row r="1586">
      <c r="A1586" s="54" t="n"/>
      <c r="B1586" s="61" t="n"/>
      <c r="C1586" s="58" t="n"/>
      <c r="D1586" s="58" t="n"/>
      <c r="E1586" s="64">
        <f>IF(tblCommentary[[#This Row],[Date]]="","",COUNTIFS(INDEX(tblCommentary[Date],1):tblCommentary[[#This Row],[Date]],tblCommentary[[#This Row],[Date]]))</f>
        <v/>
      </c>
      <c r="F1586" s="63">
        <f>IF(tblCommentary[[#This Row],[Date]]="","",tblCommentary[[#This Row],[Date]]&amp;"|"&amp;tblCommentary[[#This Row],[Seq_Day]])</f>
        <v/>
      </c>
    </row>
    <row r="1587">
      <c r="A1587" s="54" t="n"/>
      <c r="B1587" s="61" t="n"/>
      <c r="C1587" s="58" t="n"/>
      <c r="D1587" s="58" t="n"/>
      <c r="E1587" s="64">
        <f>IF(tblCommentary[[#This Row],[Date]]="","",COUNTIFS(INDEX(tblCommentary[Date],1):tblCommentary[[#This Row],[Date]],tblCommentary[[#This Row],[Date]]))</f>
        <v/>
      </c>
      <c r="F1587" s="63">
        <f>IF(tblCommentary[[#This Row],[Date]]="","",tblCommentary[[#This Row],[Date]]&amp;"|"&amp;tblCommentary[[#This Row],[Seq_Day]])</f>
        <v/>
      </c>
    </row>
    <row r="1588">
      <c r="A1588" s="54" t="n"/>
      <c r="B1588" s="61" t="n"/>
      <c r="C1588" s="58" t="n"/>
      <c r="D1588" s="58" t="n"/>
      <c r="E1588" s="64">
        <f>IF(tblCommentary[[#This Row],[Date]]="","",COUNTIFS(INDEX(tblCommentary[Date],1):tblCommentary[[#This Row],[Date]],tblCommentary[[#This Row],[Date]]))</f>
        <v/>
      </c>
      <c r="F1588" s="63">
        <f>IF(tblCommentary[[#This Row],[Date]]="","",tblCommentary[[#This Row],[Date]]&amp;"|"&amp;tblCommentary[[#This Row],[Seq_Day]])</f>
        <v/>
      </c>
    </row>
    <row r="1589">
      <c r="A1589" s="54" t="n"/>
      <c r="B1589" s="61" t="n"/>
      <c r="C1589" s="58" t="n"/>
      <c r="D1589" s="58" t="n"/>
      <c r="E1589" s="64">
        <f>IF(tblCommentary[[#This Row],[Date]]="","",COUNTIFS(INDEX(tblCommentary[Date],1):tblCommentary[[#This Row],[Date]],tblCommentary[[#This Row],[Date]]))</f>
        <v/>
      </c>
      <c r="F1589" s="63">
        <f>IF(tblCommentary[[#This Row],[Date]]="","",tblCommentary[[#This Row],[Date]]&amp;"|"&amp;tblCommentary[[#This Row],[Seq_Day]])</f>
        <v/>
      </c>
    </row>
    <row r="1590">
      <c r="A1590" s="54" t="n"/>
      <c r="B1590" s="61" t="n"/>
      <c r="C1590" s="58" t="n"/>
      <c r="D1590" s="58" t="n"/>
      <c r="E1590" s="64">
        <f>IF(tblCommentary[[#This Row],[Date]]="","",COUNTIFS(INDEX(tblCommentary[Date],1):tblCommentary[[#This Row],[Date]],tblCommentary[[#This Row],[Date]]))</f>
        <v/>
      </c>
      <c r="F1590" s="63">
        <f>IF(tblCommentary[[#This Row],[Date]]="","",tblCommentary[[#This Row],[Date]]&amp;"|"&amp;tblCommentary[[#This Row],[Seq_Day]])</f>
        <v/>
      </c>
    </row>
    <row r="1591">
      <c r="A1591" s="54" t="n"/>
      <c r="B1591" s="61" t="n"/>
      <c r="C1591" s="58" t="n"/>
      <c r="D1591" s="58" t="n"/>
      <c r="E1591" s="64">
        <f>IF(tblCommentary[[#This Row],[Date]]="","",COUNTIFS(INDEX(tblCommentary[Date],1):tblCommentary[[#This Row],[Date]],tblCommentary[[#This Row],[Date]]))</f>
        <v/>
      </c>
      <c r="F1591" s="63">
        <f>IF(tblCommentary[[#This Row],[Date]]="","",tblCommentary[[#This Row],[Date]]&amp;"|"&amp;tblCommentary[[#This Row],[Seq_Day]])</f>
        <v/>
      </c>
    </row>
    <row r="1592">
      <c r="A1592" s="54" t="n"/>
      <c r="B1592" s="61" t="n"/>
      <c r="C1592" s="58" t="n"/>
      <c r="D1592" s="58" t="n"/>
      <c r="E1592" s="64">
        <f>IF(tblCommentary[[#This Row],[Date]]="","",COUNTIFS(INDEX(tblCommentary[Date],1):tblCommentary[[#This Row],[Date]],tblCommentary[[#This Row],[Date]]))</f>
        <v/>
      </c>
      <c r="F1592" s="63">
        <f>IF(tblCommentary[[#This Row],[Date]]="","",tblCommentary[[#This Row],[Date]]&amp;"|"&amp;tblCommentary[[#This Row],[Seq_Day]])</f>
        <v/>
      </c>
    </row>
    <row r="1593">
      <c r="A1593" s="54" t="n"/>
      <c r="B1593" s="61" t="n"/>
      <c r="C1593" s="58" t="n"/>
      <c r="D1593" s="58" t="n"/>
      <c r="E1593" s="64">
        <f>IF(tblCommentary[[#This Row],[Date]]="","",COUNTIFS(INDEX(tblCommentary[Date],1):tblCommentary[[#This Row],[Date]],tblCommentary[[#This Row],[Date]]))</f>
        <v/>
      </c>
      <c r="F1593" s="63">
        <f>IF(tblCommentary[[#This Row],[Date]]="","",tblCommentary[[#This Row],[Date]]&amp;"|"&amp;tblCommentary[[#This Row],[Seq_Day]])</f>
        <v/>
      </c>
    </row>
    <row r="1594">
      <c r="A1594" s="54" t="n"/>
      <c r="B1594" s="61" t="n"/>
      <c r="C1594" s="58" t="n"/>
      <c r="D1594" s="58" t="n"/>
      <c r="E1594" s="64">
        <f>IF(tblCommentary[[#This Row],[Date]]="","",COUNTIFS(INDEX(tblCommentary[Date],1):tblCommentary[[#This Row],[Date]],tblCommentary[[#This Row],[Date]]))</f>
        <v/>
      </c>
      <c r="F1594" s="63">
        <f>IF(tblCommentary[[#This Row],[Date]]="","",tblCommentary[[#This Row],[Date]]&amp;"|"&amp;tblCommentary[[#This Row],[Seq_Day]])</f>
        <v/>
      </c>
    </row>
    <row r="1595">
      <c r="A1595" s="54" t="n"/>
      <c r="B1595" s="61" t="n"/>
      <c r="C1595" s="58" t="n"/>
      <c r="D1595" s="58" t="n"/>
      <c r="E1595" s="64">
        <f>IF(tblCommentary[[#This Row],[Date]]="","",COUNTIFS(INDEX(tblCommentary[Date],1):tblCommentary[[#This Row],[Date]],tblCommentary[[#This Row],[Date]]))</f>
        <v/>
      </c>
      <c r="F1595" s="63">
        <f>IF(tblCommentary[[#This Row],[Date]]="","",tblCommentary[[#This Row],[Date]]&amp;"|"&amp;tblCommentary[[#This Row],[Seq_Day]])</f>
        <v/>
      </c>
    </row>
    <row r="1596">
      <c r="A1596" s="54" t="n"/>
      <c r="B1596" s="61" t="n"/>
      <c r="C1596" s="58" t="n"/>
      <c r="D1596" s="58" t="n"/>
      <c r="E1596" s="64">
        <f>IF(tblCommentary[[#This Row],[Date]]="","",COUNTIFS(INDEX(tblCommentary[Date],1):tblCommentary[[#This Row],[Date]],tblCommentary[[#This Row],[Date]]))</f>
        <v/>
      </c>
      <c r="F1596" s="63">
        <f>IF(tblCommentary[[#This Row],[Date]]="","",tblCommentary[[#This Row],[Date]]&amp;"|"&amp;tblCommentary[[#This Row],[Seq_Day]])</f>
        <v/>
      </c>
    </row>
    <row r="1597">
      <c r="A1597" s="54" t="n"/>
      <c r="B1597" s="61" t="n"/>
      <c r="C1597" s="58" t="n"/>
      <c r="D1597" s="58" t="n"/>
      <c r="E1597" s="64">
        <f>IF(tblCommentary[[#This Row],[Date]]="","",COUNTIFS(INDEX(tblCommentary[Date],1):tblCommentary[[#This Row],[Date]],tblCommentary[[#This Row],[Date]]))</f>
        <v/>
      </c>
      <c r="F1597" s="63">
        <f>IF(tblCommentary[[#This Row],[Date]]="","",tblCommentary[[#This Row],[Date]]&amp;"|"&amp;tblCommentary[[#This Row],[Seq_Day]])</f>
        <v/>
      </c>
    </row>
    <row r="1598">
      <c r="A1598" s="54" t="n"/>
      <c r="B1598" s="61" t="n"/>
      <c r="C1598" s="58" t="n"/>
      <c r="D1598" s="58" t="n"/>
      <c r="E1598" s="64">
        <f>IF(tblCommentary[[#This Row],[Date]]="","",COUNTIFS(INDEX(tblCommentary[Date],1):tblCommentary[[#This Row],[Date]],tblCommentary[[#This Row],[Date]]))</f>
        <v/>
      </c>
      <c r="F1598" s="63">
        <f>IF(tblCommentary[[#This Row],[Date]]="","",tblCommentary[[#This Row],[Date]]&amp;"|"&amp;tblCommentary[[#This Row],[Seq_Day]])</f>
        <v/>
      </c>
    </row>
    <row r="1599">
      <c r="A1599" s="54" t="n"/>
      <c r="B1599" s="61" t="n"/>
      <c r="C1599" s="58" t="n"/>
      <c r="D1599" s="58" t="n"/>
      <c r="E1599" s="64">
        <f>IF(tblCommentary[[#This Row],[Date]]="","",COUNTIFS(INDEX(tblCommentary[Date],1):tblCommentary[[#This Row],[Date]],tblCommentary[[#This Row],[Date]]))</f>
        <v/>
      </c>
      <c r="F1599" s="63">
        <f>IF(tblCommentary[[#This Row],[Date]]="","",tblCommentary[[#This Row],[Date]]&amp;"|"&amp;tblCommentary[[#This Row],[Seq_Day]])</f>
        <v/>
      </c>
    </row>
    <row r="1600">
      <c r="A1600" s="54" t="n"/>
      <c r="B1600" s="61" t="n"/>
      <c r="C1600" s="58" t="n"/>
      <c r="D1600" s="58" t="n"/>
      <c r="E1600" s="64">
        <f>IF(tblCommentary[[#This Row],[Date]]="","",COUNTIFS(INDEX(tblCommentary[Date],1):tblCommentary[[#This Row],[Date]],tblCommentary[[#This Row],[Date]]))</f>
        <v/>
      </c>
      <c r="F1600" s="63">
        <f>IF(tblCommentary[[#This Row],[Date]]="","",tblCommentary[[#This Row],[Date]]&amp;"|"&amp;tblCommentary[[#This Row],[Seq_Day]])</f>
        <v/>
      </c>
    </row>
    <row r="1601">
      <c r="A1601" s="54" t="n"/>
      <c r="B1601" s="61" t="n"/>
      <c r="C1601" s="58" t="n"/>
      <c r="D1601" s="58" t="n"/>
      <c r="E1601" s="64">
        <f>IF(tblCommentary[[#This Row],[Date]]="","",COUNTIFS(INDEX(tblCommentary[Date],1):tblCommentary[[#This Row],[Date]],tblCommentary[[#This Row],[Date]]))</f>
        <v/>
      </c>
      <c r="F1601" s="63">
        <f>IF(tblCommentary[[#This Row],[Date]]="","",tblCommentary[[#This Row],[Date]]&amp;"|"&amp;tblCommentary[[#This Row],[Seq_Day]])</f>
        <v/>
      </c>
    </row>
    <row r="1602">
      <c r="A1602" s="54" t="n"/>
      <c r="B1602" s="61" t="n"/>
      <c r="C1602" s="58" t="n"/>
      <c r="D1602" s="58" t="n"/>
      <c r="E1602" s="64">
        <f>IF(tblCommentary[[#This Row],[Date]]="","",COUNTIFS(INDEX(tblCommentary[Date],1):tblCommentary[[#This Row],[Date]],tblCommentary[[#This Row],[Date]]))</f>
        <v/>
      </c>
      <c r="F1602" s="63">
        <f>IF(tblCommentary[[#This Row],[Date]]="","",tblCommentary[[#This Row],[Date]]&amp;"|"&amp;tblCommentary[[#This Row],[Seq_Day]])</f>
        <v/>
      </c>
    </row>
    <row r="1603">
      <c r="A1603" s="54" t="n"/>
      <c r="B1603" s="61" t="n"/>
      <c r="C1603" s="58" t="n"/>
      <c r="D1603" s="58" t="n"/>
      <c r="E1603" s="64">
        <f>IF(tblCommentary[[#This Row],[Date]]="","",COUNTIFS(INDEX(tblCommentary[Date],1):tblCommentary[[#This Row],[Date]],tblCommentary[[#This Row],[Date]]))</f>
        <v/>
      </c>
      <c r="F1603" s="63">
        <f>IF(tblCommentary[[#This Row],[Date]]="","",tblCommentary[[#This Row],[Date]]&amp;"|"&amp;tblCommentary[[#This Row],[Seq_Day]])</f>
        <v/>
      </c>
    </row>
    <row r="1604">
      <c r="A1604" s="54" t="n"/>
      <c r="B1604" s="61" t="n"/>
      <c r="C1604" s="58" t="n"/>
      <c r="D1604" s="58" t="n"/>
      <c r="E1604" s="64">
        <f>IF(tblCommentary[[#This Row],[Date]]="","",COUNTIFS(INDEX(tblCommentary[Date],1):tblCommentary[[#This Row],[Date]],tblCommentary[[#This Row],[Date]]))</f>
        <v/>
      </c>
      <c r="F1604" s="63">
        <f>IF(tblCommentary[[#This Row],[Date]]="","",tblCommentary[[#This Row],[Date]]&amp;"|"&amp;tblCommentary[[#This Row],[Seq_Day]])</f>
        <v/>
      </c>
    </row>
    <row r="1605">
      <c r="A1605" s="54" t="n"/>
      <c r="B1605" s="61" t="n"/>
      <c r="C1605" s="58" t="n"/>
      <c r="D1605" s="58" t="n"/>
      <c r="E1605" s="64">
        <f>IF(tblCommentary[[#This Row],[Date]]="","",COUNTIFS(INDEX(tblCommentary[Date],1):tblCommentary[[#This Row],[Date]],tblCommentary[[#This Row],[Date]]))</f>
        <v/>
      </c>
      <c r="F1605" s="63">
        <f>IF(tblCommentary[[#This Row],[Date]]="","",tblCommentary[[#This Row],[Date]]&amp;"|"&amp;tblCommentary[[#This Row],[Seq_Day]])</f>
        <v/>
      </c>
    </row>
    <row r="1606">
      <c r="A1606" s="54" t="n"/>
      <c r="B1606" s="61" t="n"/>
      <c r="C1606" s="58" t="n"/>
      <c r="D1606" s="58" t="n"/>
      <c r="E1606" s="64">
        <f>IF(tblCommentary[[#This Row],[Date]]="","",COUNTIFS(INDEX(tblCommentary[Date],1):tblCommentary[[#This Row],[Date]],tblCommentary[[#This Row],[Date]]))</f>
        <v/>
      </c>
      <c r="F1606" s="63">
        <f>IF(tblCommentary[[#This Row],[Date]]="","",tblCommentary[[#This Row],[Date]]&amp;"|"&amp;tblCommentary[[#This Row],[Seq_Day]])</f>
        <v/>
      </c>
    </row>
    <row r="1607">
      <c r="A1607" s="54" t="n"/>
      <c r="B1607" s="61" t="n"/>
      <c r="C1607" s="58" t="n"/>
      <c r="D1607" s="58" t="n"/>
      <c r="E1607" s="64">
        <f>IF(tblCommentary[[#This Row],[Date]]="","",COUNTIFS(INDEX(tblCommentary[Date],1):tblCommentary[[#This Row],[Date]],tblCommentary[[#This Row],[Date]]))</f>
        <v/>
      </c>
      <c r="F1607" s="63">
        <f>IF(tblCommentary[[#This Row],[Date]]="","",tblCommentary[[#This Row],[Date]]&amp;"|"&amp;tblCommentary[[#This Row],[Seq_Day]])</f>
        <v/>
      </c>
    </row>
    <row r="1608">
      <c r="A1608" s="54" t="n"/>
      <c r="B1608" s="61" t="n"/>
      <c r="C1608" s="58" t="n"/>
      <c r="D1608" s="58" t="n"/>
      <c r="E1608" s="64">
        <f>IF(tblCommentary[[#This Row],[Date]]="","",COUNTIFS(INDEX(tblCommentary[Date],1):tblCommentary[[#This Row],[Date]],tblCommentary[[#This Row],[Date]]))</f>
        <v/>
      </c>
      <c r="F1608" s="63">
        <f>IF(tblCommentary[[#This Row],[Date]]="","",tblCommentary[[#This Row],[Date]]&amp;"|"&amp;tblCommentary[[#This Row],[Seq_Day]])</f>
        <v/>
      </c>
    </row>
    <row r="1609">
      <c r="A1609" s="54" t="n"/>
      <c r="B1609" s="61" t="n"/>
      <c r="C1609" s="58" t="n"/>
      <c r="D1609" s="58" t="n"/>
      <c r="E1609" s="64">
        <f>IF(tblCommentary[[#This Row],[Date]]="","",COUNTIFS(INDEX(tblCommentary[Date],1):tblCommentary[[#This Row],[Date]],tblCommentary[[#This Row],[Date]]))</f>
        <v/>
      </c>
      <c r="F1609" s="63">
        <f>IF(tblCommentary[[#This Row],[Date]]="","",tblCommentary[[#This Row],[Date]]&amp;"|"&amp;tblCommentary[[#This Row],[Seq_Day]])</f>
        <v/>
      </c>
    </row>
    <row r="1610">
      <c r="A1610" s="54" t="n"/>
      <c r="B1610" s="61" t="n"/>
      <c r="C1610" s="58" t="n"/>
      <c r="D1610" s="58" t="n"/>
      <c r="E1610" s="64">
        <f>IF(tblCommentary[[#This Row],[Date]]="","",COUNTIFS(INDEX(tblCommentary[Date],1):tblCommentary[[#This Row],[Date]],tblCommentary[[#This Row],[Date]]))</f>
        <v/>
      </c>
      <c r="F1610" s="63">
        <f>IF(tblCommentary[[#This Row],[Date]]="","",tblCommentary[[#This Row],[Date]]&amp;"|"&amp;tblCommentary[[#This Row],[Seq_Day]])</f>
        <v/>
      </c>
    </row>
    <row r="1611">
      <c r="A1611" s="54" t="n"/>
      <c r="B1611" s="61" t="n"/>
      <c r="C1611" s="58" t="n"/>
      <c r="D1611" s="58" t="n"/>
      <c r="E1611" s="64">
        <f>IF(tblCommentary[[#This Row],[Date]]="","",COUNTIFS(INDEX(tblCommentary[Date],1):tblCommentary[[#This Row],[Date]],tblCommentary[[#This Row],[Date]]))</f>
        <v/>
      </c>
      <c r="F1611" s="63">
        <f>IF(tblCommentary[[#This Row],[Date]]="","",tblCommentary[[#This Row],[Date]]&amp;"|"&amp;tblCommentary[[#This Row],[Seq_Day]])</f>
        <v/>
      </c>
    </row>
    <row r="1612">
      <c r="A1612" s="54" t="n"/>
      <c r="B1612" s="61" t="n"/>
      <c r="C1612" s="58" t="n"/>
      <c r="D1612" s="58" t="n"/>
      <c r="E1612" s="64">
        <f>IF(tblCommentary[[#This Row],[Date]]="","",COUNTIFS(INDEX(tblCommentary[Date],1):tblCommentary[[#This Row],[Date]],tblCommentary[[#This Row],[Date]]))</f>
        <v/>
      </c>
      <c r="F1612" s="63">
        <f>IF(tblCommentary[[#This Row],[Date]]="","",tblCommentary[[#This Row],[Date]]&amp;"|"&amp;tblCommentary[[#This Row],[Seq_Day]])</f>
        <v/>
      </c>
    </row>
    <row r="1613">
      <c r="A1613" s="54" t="n"/>
      <c r="B1613" s="61" t="n"/>
      <c r="C1613" s="58" t="n"/>
      <c r="D1613" s="58" t="n"/>
      <c r="E1613" s="64">
        <f>IF(tblCommentary[[#This Row],[Date]]="","",COUNTIFS(INDEX(tblCommentary[Date],1):tblCommentary[[#This Row],[Date]],tblCommentary[[#This Row],[Date]]))</f>
        <v/>
      </c>
      <c r="F1613" s="63">
        <f>IF(tblCommentary[[#This Row],[Date]]="","",tblCommentary[[#This Row],[Date]]&amp;"|"&amp;tblCommentary[[#This Row],[Seq_Day]])</f>
        <v/>
      </c>
    </row>
    <row r="1614">
      <c r="A1614" s="54" t="n"/>
      <c r="B1614" s="61" t="n"/>
      <c r="C1614" s="58" t="n"/>
      <c r="D1614" s="58" t="n"/>
      <c r="E1614" s="64">
        <f>IF(tblCommentary[[#This Row],[Date]]="","",COUNTIFS(INDEX(tblCommentary[Date],1):tblCommentary[[#This Row],[Date]],tblCommentary[[#This Row],[Date]]))</f>
        <v/>
      </c>
      <c r="F1614" s="63">
        <f>IF(tblCommentary[[#This Row],[Date]]="","",tblCommentary[[#This Row],[Date]]&amp;"|"&amp;tblCommentary[[#This Row],[Seq_Day]])</f>
        <v/>
      </c>
    </row>
    <row r="1615">
      <c r="A1615" s="54" t="n"/>
      <c r="B1615" s="61" t="n"/>
      <c r="C1615" s="58" t="n"/>
      <c r="D1615" s="58" t="n"/>
      <c r="E1615" s="64">
        <f>IF(tblCommentary[[#This Row],[Date]]="","",COUNTIFS(INDEX(tblCommentary[Date],1):tblCommentary[[#This Row],[Date]],tblCommentary[[#This Row],[Date]]))</f>
        <v/>
      </c>
      <c r="F1615" s="63">
        <f>IF(tblCommentary[[#This Row],[Date]]="","",tblCommentary[[#This Row],[Date]]&amp;"|"&amp;tblCommentary[[#This Row],[Seq_Day]])</f>
        <v/>
      </c>
    </row>
    <row r="1616">
      <c r="A1616" s="54" t="n"/>
      <c r="B1616" s="61" t="n"/>
      <c r="C1616" s="58" t="n"/>
      <c r="D1616" s="58" t="n"/>
      <c r="E1616" s="64">
        <f>IF(tblCommentary[[#This Row],[Date]]="","",COUNTIFS(INDEX(tblCommentary[Date],1):tblCommentary[[#This Row],[Date]],tblCommentary[[#This Row],[Date]]))</f>
        <v/>
      </c>
      <c r="F1616" s="63">
        <f>IF(tblCommentary[[#This Row],[Date]]="","",tblCommentary[[#This Row],[Date]]&amp;"|"&amp;tblCommentary[[#This Row],[Seq_Day]])</f>
        <v/>
      </c>
    </row>
    <row r="1617">
      <c r="A1617" s="54" t="n"/>
      <c r="B1617" s="61" t="n"/>
      <c r="C1617" s="58" t="n"/>
      <c r="D1617" s="58" t="n"/>
      <c r="E1617" s="64">
        <f>IF(tblCommentary[[#This Row],[Date]]="","",COUNTIFS(INDEX(tblCommentary[Date],1):tblCommentary[[#This Row],[Date]],tblCommentary[[#This Row],[Date]]))</f>
        <v/>
      </c>
      <c r="F1617" s="63">
        <f>IF(tblCommentary[[#This Row],[Date]]="","",tblCommentary[[#This Row],[Date]]&amp;"|"&amp;tblCommentary[[#This Row],[Seq_Day]])</f>
        <v/>
      </c>
    </row>
    <row r="1618">
      <c r="A1618" s="54" t="n"/>
      <c r="B1618" s="61" t="n"/>
      <c r="C1618" s="58" t="n"/>
      <c r="D1618" s="58" t="n"/>
      <c r="E1618" s="64">
        <f>IF(tblCommentary[[#This Row],[Date]]="","",COUNTIFS(INDEX(tblCommentary[Date],1):tblCommentary[[#This Row],[Date]],tblCommentary[[#This Row],[Date]]))</f>
        <v/>
      </c>
      <c r="F1618" s="63">
        <f>IF(tblCommentary[[#This Row],[Date]]="","",tblCommentary[[#This Row],[Date]]&amp;"|"&amp;tblCommentary[[#This Row],[Seq_Day]])</f>
        <v/>
      </c>
    </row>
    <row r="1619">
      <c r="A1619" s="54" t="n"/>
      <c r="B1619" s="61" t="n"/>
      <c r="C1619" s="58" t="n"/>
      <c r="D1619" s="58" t="n"/>
      <c r="E1619" s="64">
        <f>IF(tblCommentary[[#This Row],[Date]]="","",COUNTIFS(INDEX(tblCommentary[Date],1):tblCommentary[[#This Row],[Date]],tblCommentary[[#This Row],[Date]]))</f>
        <v/>
      </c>
      <c r="F1619" s="63">
        <f>IF(tblCommentary[[#This Row],[Date]]="","",tblCommentary[[#This Row],[Date]]&amp;"|"&amp;tblCommentary[[#This Row],[Seq_Day]])</f>
        <v/>
      </c>
    </row>
    <row r="1620">
      <c r="A1620" s="54" t="n"/>
      <c r="B1620" s="61" t="n"/>
      <c r="C1620" s="58" t="n"/>
      <c r="D1620" s="58" t="n"/>
      <c r="E1620" s="64">
        <f>IF(tblCommentary[[#This Row],[Date]]="","",COUNTIFS(INDEX(tblCommentary[Date],1):tblCommentary[[#This Row],[Date]],tblCommentary[[#This Row],[Date]]))</f>
        <v/>
      </c>
      <c r="F1620" s="63">
        <f>IF(tblCommentary[[#This Row],[Date]]="","",tblCommentary[[#This Row],[Date]]&amp;"|"&amp;tblCommentary[[#This Row],[Seq_Day]])</f>
        <v/>
      </c>
    </row>
    <row r="1621">
      <c r="A1621" s="54" t="n"/>
      <c r="B1621" s="61" t="n"/>
      <c r="C1621" s="58" t="n"/>
      <c r="D1621" s="58" t="n"/>
      <c r="E1621" s="64">
        <f>IF(tblCommentary[[#This Row],[Date]]="","",COUNTIFS(INDEX(tblCommentary[Date],1):tblCommentary[[#This Row],[Date]],tblCommentary[[#This Row],[Date]]))</f>
        <v/>
      </c>
      <c r="F1621" s="63">
        <f>IF(tblCommentary[[#This Row],[Date]]="","",tblCommentary[[#This Row],[Date]]&amp;"|"&amp;tblCommentary[[#This Row],[Seq_Day]])</f>
        <v/>
      </c>
    </row>
    <row r="1622">
      <c r="A1622" s="54" t="n"/>
      <c r="B1622" s="61" t="n"/>
      <c r="C1622" s="58" t="n"/>
      <c r="D1622" s="58" t="n"/>
      <c r="E1622" s="64">
        <f>IF(tblCommentary[[#This Row],[Date]]="","",COUNTIFS(INDEX(tblCommentary[Date],1):tblCommentary[[#This Row],[Date]],tblCommentary[[#This Row],[Date]]))</f>
        <v/>
      </c>
      <c r="F1622" s="63">
        <f>IF(tblCommentary[[#This Row],[Date]]="","",tblCommentary[[#This Row],[Date]]&amp;"|"&amp;tblCommentary[[#This Row],[Seq_Day]])</f>
        <v/>
      </c>
    </row>
    <row r="1623">
      <c r="A1623" s="54" t="n"/>
      <c r="B1623" s="61" t="n"/>
      <c r="C1623" s="58" t="n"/>
      <c r="D1623" s="58" t="n"/>
      <c r="E1623" s="64">
        <f>IF(tblCommentary[[#This Row],[Date]]="","",COUNTIFS(INDEX(tblCommentary[Date],1):tblCommentary[[#This Row],[Date]],tblCommentary[[#This Row],[Date]]))</f>
        <v/>
      </c>
      <c r="F1623" s="63">
        <f>IF(tblCommentary[[#This Row],[Date]]="","",tblCommentary[[#This Row],[Date]]&amp;"|"&amp;tblCommentary[[#This Row],[Seq_Day]])</f>
        <v/>
      </c>
    </row>
    <row r="1624">
      <c r="A1624" s="54" t="n"/>
      <c r="B1624" s="61" t="n"/>
      <c r="C1624" s="58" t="n"/>
      <c r="D1624" s="58" t="n"/>
      <c r="E1624" s="64">
        <f>IF(tblCommentary[[#This Row],[Date]]="","",COUNTIFS(INDEX(tblCommentary[Date],1):tblCommentary[[#This Row],[Date]],tblCommentary[[#This Row],[Date]]))</f>
        <v/>
      </c>
      <c r="F1624" s="63">
        <f>IF(tblCommentary[[#This Row],[Date]]="","",tblCommentary[[#This Row],[Date]]&amp;"|"&amp;tblCommentary[[#This Row],[Seq_Day]])</f>
        <v/>
      </c>
    </row>
    <row r="1625">
      <c r="A1625" s="54" t="n"/>
      <c r="B1625" s="61" t="n"/>
      <c r="C1625" s="58" t="n"/>
      <c r="D1625" s="58" t="n"/>
      <c r="E1625" s="64">
        <f>IF(tblCommentary[[#This Row],[Date]]="","",COUNTIFS(INDEX(tblCommentary[Date],1):tblCommentary[[#This Row],[Date]],tblCommentary[[#This Row],[Date]]))</f>
        <v/>
      </c>
      <c r="F1625" s="63">
        <f>IF(tblCommentary[[#This Row],[Date]]="","",tblCommentary[[#This Row],[Date]]&amp;"|"&amp;tblCommentary[[#This Row],[Seq_Day]])</f>
        <v/>
      </c>
    </row>
    <row r="1626">
      <c r="A1626" s="54" t="n"/>
      <c r="B1626" s="61" t="n"/>
      <c r="C1626" s="58" t="n"/>
      <c r="D1626" s="58" t="n"/>
      <c r="E1626" s="64">
        <f>IF(tblCommentary[[#This Row],[Date]]="","",COUNTIFS(INDEX(tblCommentary[Date],1):tblCommentary[[#This Row],[Date]],tblCommentary[[#This Row],[Date]]))</f>
        <v/>
      </c>
      <c r="F1626" s="63">
        <f>IF(tblCommentary[[#This Row],[Date]]="","",tblCommentary[[#This Row],[Date]]&amp;"|"&amp;tblCommentary[[#This Row],[Seq_Day]])</f>
        <v/>
      </c>
    </row>
    <row r="1627">
      <c r="A1627" s="54" t="n"/>
      <c r="B1627" s="61" t="n"/>
      <c r="C1627" s="58" t="n"/>
      <c r="D1627" s="58" t="n"/>
      <c r="E1627" s="64">
        <f>IF(tblCommentary[[#This Row],[Date]]="","",COUNTIFS(INDEX(tblCommentary[Date],1):tblCommentary[[#This Row],[Date]],tblCommentary[[#This Row],[Date]]))</f>
        <v/>
      </c>
      <c r="F1627" s="63">
        <f>IF(tblCommentary[[#This Row],[Date]]="","",tblCommentary[[#This Row],[Date]]&amp;"|"&amp;tblCommentary[[#This Row],[Seq_Day]])</f>
        <v/>
      </c>
    </row>
    <row r="1628">
      <c r="A1628" s="54" t="n"/>
      <c r="B1628" s="61" t="n"/>
      <c r="C1628" s="58" t="n"/>
      <c r="D1628" s="58" t="n"/>
      <c r="E1628" s="64">
        <f>IF(tblCommentary[[#This Row],[Date]]="","",COUNTIFS(INDEX(tblCommentary[Date],1):tblCommentary[[#This Row],[Date]],tblCommentary[[#This Row],[Date]]))</f>
        <v/>
      </c>
      <c r="F1628" s="63">
        <f>IF(tblCommentary[[#This Row],[Date]]="","",tblCommentary[[#This Row],[Date]]&amp;"|"&amp;tblCommentary[[#This Row],[Seq_Day]])</f>
        <v/>
      </c>
    </row>
    <row r="1629">
      <c r="A1629" s="54" t="n"/>
      <c r="B1629" s="61" t="n"/>
      <c r="C1629" s="58" t="n"/>
      <c r="D1629" s="58" t="n"/>
      <c r="E1629" s="64">
        <f>IF(tblCommentary[[#This Row],[Date]]="","",COUNTIFS(INDEX(tblCommentary[Date],1):tblCommentary[[#This Row],[Date]],tblCommentary[[#This Row],[Date]]))</f>
        <v/>
      </c>
      <c r="F1629" s="63">
        <f>IF(tblCommentary[[#This Row],[Date]]="","",tblCommentary[[#This Row],[Date]]&amp;"|"&amp;tblCommentary[[#This Row],[Seq_Day]])</f>
        <v/>
      </c>
    </row>
    <row r="1630">
      <c r="A1630" s="54" t="n"/>
      <c r="B1630" s="61" t="n"/>
      <c r="C1630" s="58" t="n"/>
      <c r="D1630" s="58" t="n"/>
      <c r="E1630" s="64">
        <f>IF(tblCommentary[[#This Row],[Date]]="","",COUNTIFS(INDEX(tblCommentary[Date],1):tblCommentary[[#This Row],[Date]],tblCommentary[[#This Row],[Date]]))</f>
        <v/>
      </c>
      <c r="F1630" s="63">
        <f>IF(tblCommentary[[#This Row],[Date]]="","",tblCommentary[[#This Row],[Date]]&amp;"|"&amp;tblCommentary[[#This Row],[Seq_Day]])</f>
        <v/>
      </c>
    </row>
    <row r="1631">
      <c r="A1631" s="54" t="n"/>
      <c r="B1631" s="61" t="n"/>
      <c r="C1631" s="58" t="n"/>
      <c r="D1631" s="58" t="n"/>
      <c r="E1631" s="64">
        <f>IF(tblCommentary[[#This Row],[Date]]="","",COUNTIFS(INDEX(tblCommentary[Date],1):tblCommentary[[#This Row],[Date]],tblCommentary[[#This Row],[Date]]))</f>
        <v/>
      </c>
      <c r="F1631" s="63">
        <f>IF(tblCommentary[[#This Row],[Date]]="","",tblCommentary[[#This Row],[Date]]&amp;"|"&amp;tblCommentary[[#This Row],[Seq_Day]])</f>
        <v/>
      </c>
    </row>
    <row r="1632">
      <c r="A1632" s="54" t="n"/>
      <c r="B1632" s="61" t="n"/>
      <c r="C1632" s="58" t="n"/>
      <c r="D1632" s="58" t="n"/>
      <c r="E1632" s="64">
        <f>IF(tblCommentary[[#This Row],[Date]]="","",COUNTIFS(INDEX(tblCommentary[Date],1):tblCommentary[[#This Row],[Date]],tblCommentary[[#This Row],[Date]]))</f>
        <v/>
      </c>
      <c r="F1632" s="63">
        <f>IF(tblCommentary[[#This Row],[Date]]="","",tblCommentary[[#This Row],[Date]]&amp;"|"&amp;tblCommentary[[#This Row],[Seq_Day]])</f>
        <v/>
      </c>
    </row>
    <row r="1633">
      <c r="A1633" s="54" t="n"/>
      <c r="B1633" s="61" t="n"/>
      <c r="C1633" s="58" t="n"/>
      <c r="D1633" s="58" t="n"/>
      <c r="E1633" s="64">
        <f>IF(tblCommentary[[#This Row],[Date]]="","",COUNTIFS(INDEX(tblCommentary[Date],1):tblCommentary[[#This Row],[Date]],tblCommentary[[#This Row],[Date]]))</f>
        <v/>
      </c>
      <c r="F1633" s="63">
        <f>IF(tblCommentary[[#This Row],[Date]]="","",tblCommentary[[#This Row],[Date]]&amp;"|"&amp;tblCommentary[[#This Row],[Seq_Day]])</f>
        <v/>
      </c>
    </row>
    <row r="1634">
      <c r="A1634" s="54" t="n"/>
      <c r="B1634" s="61" t="n"/>
      <c r="C1634" s="58" t="n"/>
      <c r="D1634" s="58" t="n"/>
      <c r="E1634" s="64">
        <f>IF(tblCommentary[[#This Row],[Date]]="","",COUNTIFS(INDEX(tblCommentary[Date],1):tblCommentary[[#This Row],[Date]],tblCommentary[[#This Row],[Date]]))</f>
        <v/>
      </c>
      <c r="F1634" s="63">
        <f>IF(tblCommentary[[#This Row],[Date]]="","",tblCommentary[[#This Row],[Date]]&amp;"|"&amp;tblCommentary[[#This Row],[Seq_Day]])</f>
        <v/>
      </c>
    </row>
    <row r="1635">
      <c r="A1635" s="54" t="n"/>
      <c r="B1635" s="61" t="n"/>
      <c r="C1635" s="58" t="n"/>
      <c r="D1635" s="58" t="n"/>
      <c r="E1635" s="64">
        <f>IF(tblCommentary[[#This Row],[Date]]="","",COUNTIFS(INDEX(tblCommentary[Date],1):tblCommentary[[#This Row],[Date]],tblCommentary[[#This Row],[Date]]))</f>
        <v/>
      </c>
      <c r="F1635" s="63">
        <f>IF(tblCommentary[[#This Row],[Date]]="","",tblCommentary[[#This Row],[Date]]&amp;"|"&amp;tblCommentary[[#This Row],[Seq_Day]])</f>
        <v/>
      </c>
    </row>
    <row r="1636">
      <c r="A1636" s="54" t="n"/>
      <c r="B1636" s="61" t="n"/>
      <c r="C1636" s="58" t="n"/>
      <c r="D1636" s="58" t="n"/>
      <c r="E1636" s="64">
        <f>IF(tblCommentary[[#This Row],[Date]]="","",COUNTIFS(INDEX(tblCommentary[Date],1):tblCommentary[[#This Row],[Date]],tblCommentary[[#This Row],[Date]]))</f>
        <v/>
      </c>
      <c r="F1636" s="63">
        <f>IF(tblCommentary[[#This Row],[Date]]="","",tblCommentary[[#This Row],[Date]]&amp;"|"&amp;tblCommentary[[#This Row],[Seq_Day]])</f>
        <v/>
      </c>
    </row>
    <row r="1637">
      <c r="A1637" s="54" t="n"/>
      <c r="B1637" s="61" t="n"/>
      <c r="C1637" s="58" t="n"/>
      <c r="D1637" s="58" t="n"/>
      <c r="E1637" s="64">
        <f>IF(tblCommentary[[#This Row],[Date]]="","",COUNTIFS(INDEX(tblCommentary[Date],1):tblCommentary[[#This Row],[Date]],tblCommentary[[#This Row],[Date]]))</f>
        <v/>
      </c>
      <c r="F1637" s="63">
        <f>IF(tblCommentary[[#This Row],[Date]]="","",tblCommentary[[#This Row],[Date]]&amp;"|"&amp;tblCommentary[[#This Row],[Seq_Day]])</f>
        <v/>
      </c>
    </row>
    <row r="1638">
      <c r="A1638" s="54" t="n"/>
      <c r="B1638" s="61" t="n"/>
      <c r="C1638" s="58" t="n"/>
      <c r="D1638" s="58" t="n"/>
      <c r="E1638" s="64">
        <f>IF(tblCommentary[[#This Row],[Date]]="","",COUNTIFS(INDEX(tblCommentary[Date],1):tblCommentary[[#This Row],[Date]],tblCommentary[[#This Row],[Date]]))</f>
        <v/>
      </c>
      <c r="F1638" s="63">
        <f>IF(tblCommentary[[#This Row],[Date]]="","",tblCommentary[[#This Row],[Date]]&amp;"|"&amp;tblCommentary[[#This Row],[Seq_Day]])</f>
        <v/>
      </c>
    </row>
    <row r="1639">
      <c r="A1639" s="54" t="n"/>
      <c r="B1639" s="61" t="n"/>
      <c r="C1639" s="58" t="n"/>
      <c r="D1639" s="58" t="n"/>
      <c r="E1639" s="64">
        <f>IF(tblCommentary[[#This Row],[Date]]="","",COUNTIFS(INDEX(tblCommentary[Date],1):tblCommentary[[#This Row],[Date]],tblCommentary[[#This Row],[Date]]))</f>
        <v/>
      </c>
      <c r="F1639" s="63">
        <f>IF(tblCommentary[[#This Row],[Date]]="","",tblCommentary[[#This Row],[Date]]&amp;"|"&amp;tblCommentary[[#This Row],[Seq_Day]])</f>
        <v/>
      </c>
    </row>
    <row r="1640">
      <c r="A1640" s="54" t="n"/>
      <c r="B1640" s="61" t="n"/>
      <c r="C1640" s="58" t="n"/>
      <c r="D1640" s="58" t="n"/>
      <c r="E1640" s="64">
        <f>IF(tblCommentary[[#This Row],[Date]]="","",COUNTIFS(INDEX(tblCommentary[Date],1):tblCommentary[[#This Row],[Date]],tblCommentary[[#This Row],[Date]]))</f>
        <v/>
      </c>
      <c r="F1640" s="63">
        <f>IF(tblCommentary[[#This Row],[Date]]="","",tblCommentary[[#This Row],[Date]]&amp;"|"&amp;tblCommentary[[#This Row],[Seq_Day]])</f>
        <v/>
      </c>
    </row>
    <row r="1641">
      <c r="A1641" s="54" t="n"/>
      <c r="B1641" s="61" t="n"/>
      <c r="C1641" s="58" t="n"/>
      <c r="D1641" s="58" t="n"/>
      <c r="E1641" s="64">
        <f>IF(tblCommentary[[#This Row],[Date]]="","",COUNTIFS(INDEX(tblCommentary[Date],1):tblCommentary[[#This Row],[Date]],tblCommentary[[#This Row],[Date]]))</f>
        <v/>
      </c>
      <c r="F1641" s="63">
        <f>IF(tblCommentary[[#This Row],[Date]]="","",tblCommentary[[#This Row],[Date]]&amp;"|"&amp;tblCommentary[[#This Row],[Seq_Day]])</f>
        <v/>
      </c>
    </row>
    <row r="1642">
      <c r="A1642" s="54" t="n"/>
      <c r="B1642" s="61" t="n"/>
      <c r="C1642" s="58" t="n"/>
      <c r="D1642" s="58" t="n"/>
      <c r="E1642" s="64">
        <f>IF(tblCommentary[[#This Row],[Date]]="","",COUNTIFS(INDEX(tblCommentary[Date],1):tblCommentary[[#This Row],[Date]],tblCommentary[[#This Row],[Date]]))</f>
        <v/>
      </c>
      <c r="F1642" s="63">
        <f>IF(tblCommentary[[#This Row],[Date]]="","",tblCommentary[[#This Row],[Date]]&amp;"|"&amp;tblCommentary[[#This Row],[Seq_Day]])</f>
        <v/>
      </c>
    </row>
    <row r="1643">
      <c r="A1643" s="54" t="n"/>
      <c r="B1643" s="61" t="n"/>
      <c r="C1643" s="58" t="n"/>
      <c r="D1643" s="58" t="n"/>
      <c r="E1643" s="64">
        <f>IF(tblCommentary[[#This Row],[Date]]="","",COUNTIFS(INDEX(tblCommentary[Date],1):tblCommentary[[#This Row],[Date]],tblCommentary[[#This Row],[Date]]))</f>
        <v/>
      </c>
      <c r="F1643" s="63">
        <f>IF(tblCommentary[[#This Row],[Date]]="","",tblCommentary[[#This Row],[Date]]&amp;"|"&amp;tblCommentary[[#This Row],[Seq_Day]])</f>
        <v/>
      </c>
    </row>
    <row r="1644">
      <c r="A1644" s="54" t="n"/>
      <c r="B1644" s="61" t="n"/>
      <c r="C1644" s="58" t="n"/>
      <c r="D1644" s="58" t="n"/>
      <c r="E1644" s="64">
        <f>IF(tblCommentary[[#This Row],[Date]]="","",COUNTIFS(INDEX(tblCommentary[Date],1):tblCommentary[[#This Row],[Date]],tblCommentary[[#This Row],[Date]]))</f>
        <v/>
      </c>
      <c r="F1644" s="63">
        <f>IF(tblCommentary[[#This Row],[Date]]="","",tblCommentary[[#This Row],[Date]]&amp;"|"&amp;tblCommentary[[#This Row],[Seq_Day]])</f>
        <v/>
      </c>
    </row>
    <row r="1645">
      <c r="A1645" s="54" t="n"/>
      <c r="B1645" s="61" t="n"/>
      <c r="C1645" s="58" t="n"/>
      <c r="D1645" s="58" t="n"/>
      <c r="E1645" s="64">
        <f>IF(tblCommentary[[#This Row],[Date]]="","",COUNTIFS(INDEX(tblCommentary[Date],1):tblCommentary[[#This Row],[Date]],tblCommentary[[#This Row],[Date]]))</f>
        <v/>
      </c>
      <c r="F1645" s="63">
        <f>IF(tblCommentary[[#This Row],[Date]]="","",tblCommentary[[#This Row],[Date]]&amp;"|"&amp;tblCommentary[[#This Row],[Seq_Day]])</f>
        <v/>
      </c>
    </row>
    <row r="1646">
      <c r="A1646" s="54" t="n"/>
      <c r="B1646" s="61" t="n"/>
      <c r="C1646" s="58" t="n"/>
      <c r="D1646" s="58" t="n"/>
      <c r="E1646" s="64">
        <f>IF(tblCommentary[[#This Row],[Date]]="","",COUNTIFS(INDEX(tblCommentary[Date],1):tblCommentary[[#This Row],[Date]],tblCommentary[[#This Row],[Date]]))</f>
        <v/>
      </c>
      <c r="F1646" s="63">
        <f>IF(tblCommentary[[#This Row],[Date]]="","",tblCommentary[[#This Row],[Date]]&amp;"|"&amp;tblCommentary[[#This Row],[Seq_Day]])</f>
        <v/>
      </c>
    </row>
    <row r="1647">
      <c r="A1647" s="54" t="n"/>
      <c r="B1647" s="61" t="n"/>
      <c r="C1647" s="58" t="n"/>
      <c r="D1647" s="58" t="n"/>
      <c r="E1647" s="64">
        <f>IF(tblCommentary[[#This Row],[Date]]="","",COUNTIFS(INDEX(tblCommentary[Date],1):tblCommentary[[#This Row],[Date]],tblCommentary[[#This Row],[Date]]))</f>
        <v/>
      </c>
      <c r="F1647" s="63">
        <f>IF(tblCommentary[[#This Row],[Date]]="","",tblCommentary[[#This Row],[Date]]&amp;"|"&amp;tblCommentary[[#This Row],[Seq_Day]])</f>
        <v/>
      </c>
    </row>
    <row r="1648">
      <c r="A1648" s="54" t="n"/>
      <c r="B1648" s="61" t="n"/>
      <c r="C1648" s="58" t="n"/>
      <c r="D1648" s="58" t="n"/>
      <c r="E1648" s="64">
        <f>IF(tblCommentary[[#This Row],[Date]]="","",COUNTIFS(INDEX(tblCommentary[Date],1):tblCommentary[[#This Row],[Date]],tblCommentary[[#This Row],[Date]]))</f>
        <v/>
      </c>
      <c r="F1648" s="63">
        <f>IF(tblCommentary[[#This Row],[Date]]="","",tblCommentary[[#This Row],[Date]]&amp;"|"&amp;tblCommentary[[#This Row],[Seq_Day]])</f>
        <v/>
      </c>
    </row>
    <row r="1649">
      <c r="A1649" s="54" t="n"/>
      <c r="B1649" s="61" t="n"/>
      <c r="C1649" s="58" t="n"/>
      <c r="D1649" s="58" t="n"/>
      <c r="E1649" s="64">
        <f>IF(tblCommentary[[#This Row],[Date]]="","",COUNTIFS(INDEX(tblCommentary[Date],1):tblCommentary[[#This Row],[Date]],tblCommentary[[#This Row],[Date]]))</f>
        <v/>
      </c>
      <c r="F1649" s="63">
        <f>IF(tblCommentary[[#This Row],[Date]]="","",tblCommentary[[#This Row],[Date]]&amp;"|"&amp;tblCommentary[[#This Row],[Seq_Day]])</f>
        <v/>
      </c>
    </row>
    <row r="1650">
      <c r="A1650" s="54" t="n"/>
      <c r="B1650" s="61" t="n"/>
      <c r="C1650" s="58" t="n"/>
      <c r="D1650" s="58" t="n"/>
      <c r="E1650" s="64">
        <f>IF(tblCommentary[[#This Row],[Date]]="","",COUNTIFS(INDEX(tblCommentary[Date],1):tblCommentary[[#This Row],[Date]],tblCommentary[[#This Row],[Date]]))</f>
        <v/>
      </c>
      <c r="F1650" s="63">
        <f>IF(tblCommentary[[#This Row],[Date]]="","",tblCommentary[[#This Row],[Date]]&amp;"|"&amp;tblCommentary[[#This Row],[Seq_Day]])</f>
        <v/>
      </c>
    </row>
    <row r="1651">
      <c r="A1651" s="54" t="n"/>
      <c r="B1651" s="61" t="n"/>
      <c r="C1651" s="58" t="n"/>
      <c r="D1651" s="58" t="n"/>
      <c r="E1651" s="64">
        <f>IF(tblCommentary[[#This Row],[Date]]="","",COUNTIFS(INDEX(tblCommentary[Date],1):tblCommentary[[#This Row],[Date]],tblCommentary[[#This Row],[Date]]))</f>
        <v/>
      </c>
      <c r="F1651" s="63">
        <f>IF(tblCommentary[[#This Row],[Date]]="","",tblCommentary[[#This Row],[Date]]&amp;"|"&amp;tblCommentary[[#This Row],[Seq_Day]])</f>
        <v/>
      </c>
    </row>
    <row r="1652">
      <c r="A1652" s="54" t="n"/>
      <c r="B1652" s="61" t="n"/>
      <c r="C1652" s="58" t="n"/>
      <c r="D1652" s="58" t="n"/>
      <c r="E1652" s="64">
        <f>IF(tblCommentary[[#This Row],[Date]]="","",COUNTIFS(INDEX(tblCommentary[Date],1):tblCommentary[[#This Row],[Date]],tblCommentary[[#This Row],[Date]]))</f>
        <v/>
      </c>
      <c r="F1652" s="63">
        <f>IF(tblCommentary[[#This Row],[Date]]="","",tblCommentary[[#This Row],[Date]]&amp;"|"&amp;tblCommentary[[#This Row],[Seq_Day]])</f>
        <v/>
      </c>
    </row>
    <row r="1653">
      <c r="A1653" s="54" t="n"/>
      <c r="B1653" s="61" t="n"/>
      <c r="C1653" s="58" t="n"/>
      <c r="D1653" s="58" t="n"/>
      <c r="E1653" s="64">
        <f>IF(tblCommentary[[#This Row],[Date]]="","",COUNTIFS(INDEX(tblCommentary[Date],1):tblCommentary[[#This Row],[Date]],tblCommentary[[#This Row],[Date]]))</f>
        <v/>
      </c>
      <c r="F1653" s="63">
        <f>IF(tblCommentary[[#This Row],[Date]]="","",tblCommentary[[#This Row],[Date]]&amp;"|"&amp;tblCommentary[[#This Row],[Seq_Day]])</f>
        <v/>
      </c>
    </row>
    <row r="1654">
      <c r="A1654" s="54" t="n"/>
      <c r="B1654" s="61" t="n"/>
      <c r="C1654" s="58" t="n"/>
      <c r="D1654" s="58" t="n"/>
      <c r="E1654" s="64">
        <f>IF(tblCommentary[[#This Row],[Date]]="","",COUNTIFS(INDEX(tblCommentary[Date],1):tblCommentary[[#This Row],[Date]],tblCommentary[[#This Row],[Date]]))</f>
        <v/>
      </c>
      <c r="F1654" s="63">
        <f>IF(tblCommentary[[#This Row],[Date]]="","",tblCommentary[[#This Row],[Date]]&amp;"|"&amp;tblCommentary[[#This Row],[Seq_Day]])</f>
        <v/>
      </c>
    </row>
    <row r="1655">
      <c r="A1655" s="54" t="n"/>
      <c r="B1655" s="61" t="n"/>
      <c r="C1655" s="58" t="n"/>
      <c r="D1655" s="58" t="n"/>
      <c r="E1655" s="64">
        <f>IF(tblCommentary[[#This Row],[Date]]="","",COUNTIFS(INDEX(tblCommentary[Date],1):tblCommentary[[#This Row],[Date]],tblCommentary[[#This Row],[Date]]))</f>
        <v/>
      </c>
      <c r="F1655" s="63">
        <f>IF(tblCommentary[[#This Row],[Date]]="","",tblCommentary[[#This Row],[Date]]&amp;"|"&amp;tblCommentary[[#This Row],[Seq_Day]])</f>
        <v/>
      </c>
    </row>
    <row r="1656">
      <c r="A1656" s="54" t="n"/>
      <c r="B1656" s="61" t="n"/>
      <c r="C1656" s="58" t="n"/>
      <c r="D1656" s="58" t="n"/>
      <c r="E1656" s="64">
        <f>IF(tblCommentary[[#This Row],[Date]]="","",COUNTIFS(INDEX(tblCommentary[Date],1):tblCommentary[[#This Row],[Date]],tblCommentary[[#This Row],[Date]]))</f>
        <v/>
      </c>
      <c r="F1656" s="63">
        <f>IF(tblCommentary[[#This Row],[Date]]="","",tblCommentary[[#This Row],[Date]]&amp;"|"&amp;tblCommentary[[#This Row],[Seq_Day]])</f>
        <v/>
      </c>
    </row>
    <row r="1657">
      <c r="A1657" s="54" t="n"/>
      <c r="B1657" s="61" t="n"/>
      <c r="C1657" s="58" t="n"/>
      <c r="D1657" s="58" t="n"/>
      <c r="E1657" s="64">
        <f>IF(tblCommentary[[#This Row],[Date]]="","",COUNTIFS(INDEX(tblCommentary[Date],1):tblCommentary[[#This Row],[Date]],tblCommentary[[#This Row],[Date]]))</f>
        <v/>
      </c>
      <c r="F1657" s="63">
        <f>IF(tblCommentary[[#This Row],[Date]]="","",tblCommentary[[#This Row],[Date]]&amp;"|"&amp;tblCommentary[[#This Row],[Seq_Day]])</f>
        <v/>
      </c>
    </row>
    <row r="1658">
      <c r="A1658" s="54" t="n"/>
      <c r="B1658" s="61" t="n"/>
      <c r="C1658" s="58" t="n"/>
      <c r="D1658" s="58" t="n"/>
      <c r="E1658" s="64">
        <f>IF(tblCommentary[[#This Row],[Date]]="","",COUNTIFS(INDEX(tblCommentary[Date],1):tblCommentary[[#This Row],[Date]],tblCommentary[[#This Row],[Date]]))</f>
        <v/>
      </c>
      <c r="F1658" s="63">
        <f>IF(tblCommentary[[#This Row],[Date]]="","",tblCommentary[[#This Row],[Date]]&amp;"|"&amp;tblCommentary[[#This Row],[Seq_Day]])</f>
        <v/>
      </c>
    </row>
    <row r="1659">
      <c r="A1659" s="54" t="n"/>
      <c r="B1659" s="61" t="n"/>
      <c r="C1659" s="58" t="n"/>
      <c r="D1659" s="58" t="n"/>
      <c r="E1659" s="64">
        <f>IF(tblCommentary[[#This Row],[Date]]="","",COUNTIFS(INDEX(tblCommentary[Date],1):tblCommentary[[#This Row],[Date]],tblCommentary[[#This Row],[Date]]))</f>
        <v/>
      </c>
      <c r="F1659" s="63">
        <f>IF(tblCommentary[[#This Row],[Date]]="","",tblCommentary[[#This Row],[Date]]&amp;"|"&amp;tblCommentary[[#This Row],[Seq_Day]])</f>
        <v/>
      </c>
    </row>
    <row r="1660">
      <c r="A1660" s="54" t="n"/>
      <c r="B1660" s="61" t="n"/>
      <c r="C1660" s="58" t="n"/>
      <c r="D1660" s="58" t="n"/>
      <c r="E1660" s="64">
        <f>IF(tblCommentary[[#This Row],[Date]]="","",COUNTIFS(INDEX(tblCommentary[Date],1):tblCommentary[[#This Row],[Date]],tblCommentary[[#This Row],[Date]]))</f>
        <v/>
      </c>
      <c r="F1660" s="63">
        <f>IF(tblCommentary[[#This Row],[Date]]="","",tblCommentary[[#This Row],[Date]]&amp;"|"&amp;tblCommentary[[#This Row],[Seq_Day]])</f>
        <v/>
      </c>
    </row>
    <row r="1661">
      <c r="A1661" s="54" t="n"/>
      <c r="B1661" s="61" t="n"/>
      <c r="C1661" s="58" t="n"/>
      <c r="D1661" s="58" t="n"/>
      <c r="E1661" s="64">
        <f>IF(tblCommentary[[#This Row],[Date]]="","",COUNTIFS(INDEX(tblCommentary[Date],1):tblCommentary[[#This Row],[Date]],tblCommentary[[#This Row],[Date]]))</f>
        <v/>
      </c>
      <c r="F1661" s="63">
        <f>IF(tblCommentary[[#This Row],[Date]]="","",tblCommentary[[#This Row],[Date]]&amp;"|"&amp;tblCommentary[[#This Row],[Seq_Day]])</f>
        <v/>
      </c>
    </row>
    <row r="1662">
      <c r="A1662" s="54" t="n"/>
      <c r="B1662" s="61" t="n"/>
      <c r="C1662" s="58" t="n"/>
      <c r="D1662" s="58" t="n"/>
      <c r="E1662" s="64">
        <f>IF(tblCommentary[[#This Row],[Date]]="","",COUNTIFS(INDEX(tblCommentary[Date],1):tblCommentary[[#This Row],[Date]],tblCommentary[[#This Row],[Date]]))</f>
        <v/>
      </c>
      <c r="F1662" s="63">
        <f>IF(tblCommentary[[#This Row],[Date]]="","",tblCommentary[[#This Row],[Date]]&amp;"|"&amp;tblCommentary[[#This Row],[Seq_Day]])</f>
        <v/>
      </c>
    </row>
    <row r="1663">
      <c r="A1663" s="54" t="n"/>
      <c r="B1663" s="61" t="n"/>
      <c r="C1663" s="58" t="n"/>
      <c r="D1663" s="58" t="n"/>
      <c r="E1663" s="64">
        <f>IF(tblCommentary[[#This Row],[Date]]="","",COUNTIFS(INDEX(tblCommentary[Date],1):tblCommentary[[#This Row],[Date]],tblCommentary[[#This Row],[Date]]))</f>
        <v/>
      </c>
      <c r="F1663" s="63">
        <f>IF(tblCommentary[[#This Row],[Date]]="","",tblCommentary[[#This Row],[Date]]&amp;"|"&amp;tblCommentary[[#This Row],[Seq_Day]])</f>
        <v/>
      </c>
    </row>
    <row r="1664">
      <c r="A1664" s="54" t="n"/>
      <c r="B1664" s="61" t="n"/>
      <c r="C1664" s="58" t="n"/>
      <c r="D1664" s="58" t="n"/>
      <c r="E1664" s="64">
        <f>IF(tblCommentary[[#This Row],[Date]]="","",COUNTIFS(INDEX(tblCommentary[Date],1):tblCommentary[[#This Row],[Date]],tblCommentary[[#This Row],[Date]]))</f>
        <v/>
      </c>
      <c r="F1664" s="63">
        <f>IF(tblCommentary[[#This Row],[Date]]="","",tblCommentary[[#This Row],[Date]]&amp;"|"&amp;tblCommentary[[#This Row],[Seq_Day]])</f>
        <v/>
      </c>
    </row>
    <row r="1665">
      <c r="A1665" s="54" t="n"/>
      <c r="B1665" s="61" t="n"/>
      <c r="C1665" s="58" t="n"/>
      <c r="D1665" s="58" t="n"/>
      <c r="E1665" s="64">
        <f>IF(tblCommentary[[#This Row],[Date]]="","",COUNTIFS(INDEX(tblCommentary[Date],1):tblCommentary[[#This Row],[Date]],tblCommentary[[#This Row],[Date]]))</f>
        <v/>
      </c>
      <c r="F1665" s="63">
        <f>IF(tblCommentary[[#This Row],[Date]]="","",tblCommentary[[#This Row],[Date]]&amp;"|"&amp;tblCommentary[[#This Row],[Seq_Day]])</f>
        <v/>
      </c>
    </row>
    <row r="1666">
      <c r="A1666" s="54" t="n"/>
      <c r="B1666" s="61" t="n"/>
      <c r="C1666" s="58" t="n"/>
      <c r="D1666" s="58" t="n"/>
      <c r="E1666" s="64">
        <f>IF(tblCommentary[[#This Row],[Date]]="","",COUNTIFS(INDEX(tblCommentary[Date],1):tblCommentary[[#This Row],[Date]],tblCommentary[[#This Row],[Date]]))</f>
        <v/>
      </c>
      <c r="F1666" s="63">
        <f>IF(tblCommentary[[#This Row],[Date]]="","",tblCommentary[[#This Row],[Date]]&amp;"|"&amp;tblCommentary[[#This Row],[Seq_Day]])</f>
        <v/>
      </c>
    </row>
    <row r="1667">
      <c r="A1667" s="54" t="n"/>
      <c r="B1667" s="61" t="n"/>
      <c r="C1667" s="58" t="n"/>
      <c r="D1667" s="58" t="n"/>
      <c r="E1667" s="64">
        <f>IF(tblCommentary[[#This Row],[Date]]="","",COUNTIFS(INDEX(tblCommentary[Date],1):tblCommentary[[#This Row],[Date]],tblCommentary[[#This Row],[Date]]))</f>
        <v/>
      </c>
      <c r="F1667" s="63">
        <f>IF(tblCommentary[[#This Row],[Date]]="","",tblCommentary[[#This Row],[Date]]&amp;"|"&amp;tblCommentary[[#This Row],[Seq_Day]])</f>
        <v/>
      </c>
    </row>
    <row r="1668">
      <c r="A1668" s="54" t="n"/>
      <c r="B1668" s="61" t="n"/>
      <c r="C1668" s="58" t="n"/>
      <c r="D1668" s="58" t="n"/>
      <c r="E1668" s="64">
        <f>IF(tblCommentary[[#This Row],[Date]]="","",COUNTIFS(INDEX(tblCommentary[Date],1):tblCommentary[[#This Row],[Date]],tblCommentary[[#This Row],[Date]]))</f>
        <v/>
      </c>
      <c r="F1668" s="63">
        <f>IF(tblCommentary[[#This Row],[Date]]="","",tblCommentary[[#This Row],[Date]]&amp;"|"&amp;tblCommentary[[#This Row],[Seq_Day]])</f>
        <v/>
      </c>
    </row>
    <row r="1669">
      <c r="A1669" s="54" t="n"/>
      <c r="B1669" s="61" t="n"/>
      <c r="C1669" s="58" t="n"/>
      <c r="D1669" s="58" t="n"/>
      <c r="E1669" s="64">
        <f>IF(tblCommentary[[#This Row],[Date]]="","",COUNTIFS(INDEX(tblCommentary[Date],1):tblCommentary[[#This Row],[Date]],tblCommentary[[#This Row],[Date]]))</f>
        <v/>
      </c>
      <c r="F1669" s="63">
        <f>IF(tblCommentary[[#This Row],[Date]]="","",tblCommentary[[#This Row],[Date]]&amp;"|"&amp;tblCommentary[[#This Row],[Seq_Day]])</f>
        <v/>
      </c>
    </row>
    <row r="1670">
      <c r="A1670" s="54" t="n"/>
      <c r="B1670" s="61" t="n"/>
      <c r="C1670" s="58" t="n"/>
      <c r="D1670" s="58" t="n"/>
      <c r="E1670" s="64">
        <f>IF(tblCommentary[[#This Row],[Date]]="","",COUNTIFS(INDEX(tblCommentary[Date],1):tblCommentary[[#This Row],[Date]],tblCommentary[[#This Row],[Date]]))</f>
        <v/>
      </c>
      <c r="F1670" s="63">
        <f>IF(tblCommentary[[#This Row],[Date]]="","",tblCommentary[[#This Row],[Date]]&amp;"|"&amp;tblCommentary[[#This Row],[Seq_Day]])</f>
        <v/>
      </c>
    </row>
    <row r="1671">
      <c r="A1671" s="54" t="n"/>
      <c r="B1671" s="61" t="n"/>
      <c r="C1671" s="58" t="n"/>
      <c r="D1671" s="58" t="n"/>
      <c r="E1671" s="64">
        <f>IF(tblCommentary[[#This Row],[Date]]="","",COUNTIFS(INDEX(tblCommentary[Date],1):tblCommentary[[#This Row],[Date]],tblCommentary[[#This Row],[Date]]))</f>
        <v/>
      </c>
      <c r="F1671" s="63">
        <f>IF(tblCommentary[[#This Row],[Date]]="","",tblCommentary[[#This Row],[Date]]&amp;"|"&amp;tblCommentary[[#This Row],[Seq_Day]])</f>
        <v/>
      </c>
    </row>
    <row r="1672">
      <c r="A1672" s="54" t="n"/>
      <c r="B1672" s="61" t="n"/>
      <c r="C1672" s="58" t="n"/>
      <c r="D1672" s="58" t="n"/>
      <c r="E1672" s="64">
        <f>IF(tblCommentary[[#This Row],[Date]]="","",COUNTIFS(INDEX(tblCommentary[Date],1):tblCommentary[[#This Row],[Date]],tblCommentary[[#This Row],[Date]]))</f>
        <v/>
      </c>
      <c r="F1672" s="63">
        <f>IF(tblCommentary[[#This Row],[Date]]="","",tblCommentary[[#This Row],[Date]]&amp;"|"&amp;tblCommentary[[#This Row],[Seq_Day]])</f>
        <v/>
      </c>
    </row>
    <row r="1673">
      <c r="A1673" s="54" t="n"/>
      <c r="B1673" s="61" t="n"/>
      <c r="C1673" s="58" t="n"/>
      <c r="D1673" s="58" t="n"/>
      <c r="E1673" s="64">
        <f>IF(tblCommentary[[#This Row],[Date]]="","",COUNTIFS(INDEX(tblCommentary[Date],1):tblCommentary[[#This Row],[Date]],tblCommentary[[#This Row],[Date]]))</f>
        <v/>
      </c>
      <c r="F1673" s="63">
        <f>IF(tblCommentary[[#This Row],[Date]]="","",tblCommentary[[#This Row],[Date]]&amp;"|"&amp;tblCommentary[[#This Row],[Seq_Day]])</f>
        <v/>
      </c>
    </row>
    <row r="1674">
      <c r="A1674" s="54" t="n"/>
      <c r="B1674" s="61" t="n"/>
      <c r="C1674" s="58" t="n"/>
      <c r="D1674" s="58" t="n"/>
      <c r="E1674" s="64">
        <f>IF(tblCommentary[[#This Row],[Date]]="","",COUNTIFS(INDEX(tblCommentary[Date],1):tblCommentary[[#This Row],[Date]],tblCommentary[[#This Row],[Date]]))</f>
        <v/>
      </c>
      <c r="F1674" s="63">
        <f>IF(tblCommentary[[#This Row],[Date]]="","",tblCommentary[[#This Row],[Date]]&amp;"|"&amp;tblCommentary[[#This Row],[Seq_Day]])</f>
        <v/>
      </c>
    </row>
    <row r="1675">
      <c r="A1675" s="54" t="n"/>
      <c r="B1675" s="61" t="n"/>
      <c r="C1675" s="58" t="n"/>
      <c r="D1675" s="58" t="n"/>
      <c r="E1675" s="64">
        <f>IF(tblCommentary[[#This Row],[Date]]="","",COUNTIFS(INDEX(tblCommentary[Date],1):tblCommentary[[#This Row],[Date]],tblCommentary[[#This Row],[Date]]))</f>
        <v/>
      </c>
      <c r="F1675" s="63">
        <f>IF(tblCommentary[[#This Row],[Date]]="","",tblCommentary[[#This Row],[Date]]&amp;"|"&amp;tblCommentary[[#This Row],[Seq_Day]])</f>
        <v/>
      </c>
    </row>
    <row r="1676">
      <c r="A1676" s="54" t="n"/>
      <c r="B1676" s="61" t="n"/>
      <c r="C1676" s="58" t="n"/>
      <c r="D1676" s="58" t="n"/>
      <c r="E1676" s="64">
        <f>IF(tblCommentary[[#This Row],[Date]]="","",COUNTIFS(INDEX(tblCommentary[Date],1):tblCommentary[[#This Row],[Date]],tblCommentary[[#This Row],[Date]]))</f>
        <v/>
      </c>
      <c r="F1676" s="63">
        <f>IF(tblCommentary[[#This Row],[Date]]="","",tblCommentary[[#This Row],[Date]]&amp;"|"&amp;tblCommentary[[#This Row],[Seq_Day]])</f>
        <v/>
      </c>
    </row>
    <row r="1677">
      <c r="A1677" s="54" t="n"/>
      <c r="B1677" s="61" t="n"/>
      <c r="C1677" s="58" t="n"/>
      <c r="D1677" s="58" t="n"/>
      <c r="E1677" s="64">
        <f>IF(tblCommentary[[#This Row],[Date]]="","",COUNTIFS(INDEX(tblCommentary[Date],1):tblCommentary[[#This Row],[Date]],tblCommentary[[#This Row],[Date]]))</f>
        <v/>
      </c>
      <c r="F1677" s="63">
        <f>IF(tblCommentary[[#This Row],[Date]]="","",tblCommentary[[#This Row],[Date]]&amp;"|"&amp;tblCommentary[[#This Row],[Seq_Day]])</f>
        <v/>
      </c>
    </row>
    <row r="1678">
      <c r="A1678" s="54" t="n"/>
      <c r="B1678" s="61" t="n"/>
      <c r="C1678" s="58" t="n"/>
      <c r="D1678" s="58" t="n"/>
      <c r="E1678" s="64">
        <f>IF(tblCommentary[[#This Row],[Date]]="","",COUNTIFS(INDEX(tblCommentary[Date],1):tblCommentary[[#This Row],[Date]],tblCommentary[[#This Row],[Date]]))</f>
        <v/>
      </c>
      <c r="F1678" s="63">
        <f>IF(tblCommentary[[#This Row],[Date]]="","",tblCommentary[[#This Row],[Date]]&amp;"|"&amp;tblCommentary[[#This Row],[Seq_Day]])</f>
        <v/>
      </c>
    </row>
    <row r="1679">
      <c r="A1679" s="54" t="n"/>
      <c r="B1679" s="61" t="n"/>
      <c r="C1679" s="58" t="n"/>
      <c r="D1679" s="58" t="n"/>
      <c r="E1679" s="64">
        <f>IF(tblCommentary[[#This Row],[Date]]="","",COUNTIFS(INDEX(tblCommentary[Date],1):tblCommentary[[#This Row],[Date]],tblCommentary[[#This Row],[Date]]))</f>
        <v/>
      </c>
      <c r="F1679" s="63">
        <f>IF(tblCommentary[[#This Row],[Date]]="","",tblCommentary[[#This Row],[Date]]&amp;"|"&amp;tblCommentary[[#This Row],[Seq_Day]])</f>
        <v/>
      </c>
    </row>
    <row r="1680">
      <c r="A1680" s="54" t="n"/>
      <c r="B1680" s="61" t="n"/>
      <c r="C1680" s="58" t="n"/>
      <c r="D1680" s="58" t="n"/>
      <c r="E1680" s="64">
        <f>IF(tblCommentary[[#This Row],[Date]]="","",COUNTIFS(INDEX(tblCommentary[Date],1):tblCommentary[[#This Row],[Date]],tblCommentary[[#This Row],[Date]]))</f>
        <v/>
      </c>
      <c r="F1680" s="63">
        <f>IF(tblCommentary[[#This Row],[Date]]="","",tblCommentary[[#This Row],[Date]]&amp;"|"&amp;tblCommentary[[#This Row],[Seq_Day]])</f>
        <v/>
      </c>
    </row>
    <row r="1681">
      <c r="A1681" s="54" t="n"/>
      <c r="B1681" s="61" t="n"/>
      <c r="C1681" s="58" t="n"/>
      <c r="D1681" s="58" t="n"/>
      <c r="E1681" s="64">
        <f>IF(tblCommentary[[#This Row],[Date]]="","",COUNTIFS(INDEX(tblCommentary[Date],1):tblCommentary[[#This Row],[Date]],tblCommentary[[#This Row],[Date]]))</f>
        <v/>
      </c>
      <c r="F1681" s="63">
        <f>IF(tblCommentary[[#This Row],[Date]]="","",tblCommentary[[#This Row],[Date]]&amp;"|"&amp;tblCommentary[[#This Row],[Seq_Day]])</f>
        <v/>
      </c>
    </row>
    <row r="1682">
      <c r="A1682" s="54" t="n"/>
      <c r="B1682" s="61" t="n"/>
      <c r="C1682" s="58" t="n"/>
      <c r="D1682" s="58" t="n"/>
      <c r="E1682" s="64">
        <f>IF(tblCommentary[[#This Row],[Date]]="","",COUNTIFS(INDEX(tblCommentary[Date],1):tblCommentary[[#This Row],[Date]],tblCommentary[[#This Row],[Date]]))</f>
        <v/>
      </c>
      <c r="F1682" s="63">
        <f>IF(tblCommentary[[#This Row],[Date]]="","",tblCommentary[[#This Row],[Date]]&amp;"|"&amp;tblCommentary[[#This Row],[Seq_Day]])</f>
        <v/>
      </c>
    </row>
    <row r="1683">
      <c r="A1683" s="54" t="n"/>
      <c r="B1683" s="61" t="n"/>
      <c r="C1683" s="58" t="n"/>
      <c r="D1683" s="58" t="n"/>
      <c r="E1683" s="64">
        <f>IF(tblCommentary[[#This Row],[Date]]="","",COUNTIFS(INDEX(tblCommentary[Date],1):tblCommentary[[#This Row],[Date]],tblCommentary[[#This Row],[Date]]))</f>
        <v/>
      </c>
      <c r="F1683" s="63">
        <f>IF(tblCommentary[[#This Row],[Date]]="","",tblCommentary[[#This Row],[Date]]&amp;"|"&amp;tblCommentary[[#This Row],[Seq_Day]])</f>
        <v/>
      </c>
    </row>
    <row r="1684">
      <c r="A1684" s="54" t="n"/>
      <c r="B1684" s="61" t="n"/>
      <c r="C1684" s="58" t="n"/>
      <c r="D1684" s="58" t="n"/>
      <c r="E1684" s="64">
        <f>IF(tblCommentary[[#This Row],[Date]]="","",COUNTIFS(INDEX(tblCommentary[Date],1):tblCommentary[[#This Row],[Date]],tblCommentary[[#This Row],[Date]]))</f>
        <v/>
      </c>
      <c r="F1684" s="63">
        <f>IF(tblCommentary[[#This Row],[Date]]="","",tblCommentary[[#This Row],[Date]]&amp;"|"&amp;tblCommentary[[#This Row],[Seq_Day]])</f>
        <v/>
      </c>
    </row>
    <row r="1685">
      <c r="A1685" s="54" t="n"/>
      <c r="B1685" s="61" t="n"/>
      <c r="C1685" s="58" t="n"/>
      <c r="D1685" s="58" t="n"/>
      <c r="E1685" s="64">
        <f>IF(tblCommentary[[#This Row],[Date]]="","",COUNTIFS(INDEX(tblCommentary[Date],1):tblCommentary[[#This Row],[Date]],tblCommentary[[#This Row],[Date]]))</f>
        <v/>
      </c>
      <c r="F1685" s="63">
        <f>IF(tblCommentary[[#This Row],[Date]]="","",tblCommentary[[#This Row],[Date]]&amp;"|"&amp;tblCommentary[[#This Row],[Seq_Day]])</f>
        <v/>
      </c>
    </row>
    <row r="1686">
      <c r="A1686" s="54" t="n"/>
      <c r="B1686" s="61" t="n"/>
      <c r="C1686" s="58" t="n"/>
      <c r="D1686" s="58" t="n"/>
      <c r="E1686" s="64">
        <f>IF(tblCommentary[[#This Row],[Date]]="","",COUNTIFS(INDEX(tblCommentary[Date],1):tblCommentary[[#This Row],[Date]],tblCommentary[[#This Row],[Date]]))</f>
        <v/>
      </c>
      <c r="F1686" s="63">
        <f>IF(tblCommentary[[#This Row],[Date]]="","",tblCommentary[[#This Row],[Date]]&amp;"|"&amp;tblCommentary[[#This Row],[Seq_Day]])</f>
        <v/>
      </c>
    </row>
    <row r="1687">
      <c r="A1687" s="54" t="n"/>
      <c r="B1687" s="61" t="n"/>
      <c r="C1687" s="58" t="n"/>
      <c r="D1687" s="58" t="n"/>
      <c r="E1687" s="64">
        <f>IF(tblCommentary[[#This Row],[Date]]="","",COUNTIFS(INDEX(tblCommentary[Date],1):tblCommentary[[#This Row],[Date]],tblCommentary[[#This Row],[Date]]))</f>
        <v/>
      </c>
      <c r="F1687" s="63">
        <f>IF(tblCommentary[[#This Row],[Date]]="","",tblCommentary[[#This Row],[Date]]&amp;"|"&amp;tblCommentary[[#This Row],[Seq_Day]])</f>
        <v/>
      </c>
    </row>
    <row r="1688">
      <c r="A1688" s="54" t="n"/>
      <c r="B1688" s="61" t="n"/>
      <c r="C1688" s="58" t="n"/>
      <c r="D1688" s="58" t="n"/>
      <c r="E1688" s="64">
        <f>IF(tblCommentary[[#This Row],[Date]]="","",COUNTIFS(INDEX(tblCommentary[Date],1):tblCommentary[[#This Row],[Date]],tblCommentary[[#This Row],[Date]]))</f>
        <v/>
      </c>
      <c r="F1688" s="63">
        <f>IF(tblCommentary[[#This Row],[Date]]="","",tblCommentary[[#This Row],[Date]]&amp;"|"&amp;tblCommentary[[#This Row],[Seq_Day]])</f>
        <v/>
      </c>
    </row>
    <row r="1689">
      <c r="A1689" s="54" t="n"/>
      <c r="B1689" s="61" t="n"/>
      <c r="C1689" s="58" t="n"/>
      <c r="D1689" s="58" t="n"/>
      <c r="E1689" s="64">
        <f>IF(tblCommentary[[#This Row],[Date]]="","",COUNTIFS(INDEX(tblCommentary[Date],1):tblCommentary[[#This Row],[Date]],tblCommentary[[#This Row],[Date]]))</f>
        <v/>
      </c>
      <c r="F1689" s="63">
        <f>IF(tblCommentary[[#This Row],[Date]]="","",tblCommentary[[#This Row],[Date]]&amp;"|"&amp;tblCommentary[[#This Row],[Seq_Day]])</f>
        <v/>
      </c>
    </row>
    <row r="1690">
      <c r="A1690" s="54" t="n"/>
      <c r="B1690" s="61" t="n"/>
      <c r="C1690" s="58" t="n"/>
      <c r="D1690" s="58" t="n"/>
      <c r="E1690" s="64">
        <f>IF(tblCommentary[[#This Row],[Date]]="","",COUNTIFS(INDEX(tblCommentary[Date],1):tblCommentary[[#This Row],[Date]],tblCommentary[[#This Row],[Date]]))</f>
        <v/>
      </c>
      <c r="F1690" s="63">
        <f>IF(tblCommentary[[#This Row],[Date]]="","",tblCommentary[[#This Row],[Date]]&amp;"|"&amp;tblCommentary[[#This Row],[Seq_Day]])</f>
        <v/>
      </c>
    </row>
    <row r="1691">
      <c r="A1691" s="54" t="n"/>
      <c r="B1691" s="61" t="n"/>
      <c r="C1691" s="58" t="n"/>
      <c r="D1691" s="58" t="n"/>
      <c r="E1691" s="64">
        <f>IF(tblCommentary[[#This Row],[Date]]="","",COUNTIFS(INDEX(tblCommentary[Date],1):tblCommentary[[#This Row],[Date]],tblCommentary[[#This Row],[Date]]))</f>
        <v/>
      </c>
      <c r="F1691" s="63">
        <f>IF(tblCommentary[[#This Row],[Date]]="","",tblCommentary[[#This Row],[Date]]&amp;"|"&amp;tblCommentary[[#This Row],[Seq_Day]])</f>
        <v/>
      </c>
    </row>
    <row r="1692">
      <c r="A1692" s="54" t="n"/>
      <c r="B1692" s="61" t="n"/>
      <c r="C1692" s="58" t="n"/>
      <c r="D1692" s="58" t="n"/>
      <c r="E1692" s="64">
        <f>IF(tblCommentary[[#This Row],[Date]]="","",COUNTIFS(INDEX(tblCommentary[Date],1):tblCommentary[[#This Row],[Date]],tblCommentary[[#This Row],[Date]]))</f>
        <v/>
      </c>
      <c r="F1692" s="63">
        <f>IF(tblCommentary[[#This Row],[Date]]="","",tblCommentary[[#This Row],[Date]]&amp;"|"&amp;tblCommentary[[#This Row],[Seq_Day]])</f>
        <v/>
      </c>
    </row>
    <row r="1693">
      <c r="A1693" s="54" t="n"/>
      <c r="B1693" s="61" t="n"/>
      <c r="C1693" s="58" t="n"/>
      <c r="D1693" s="58" t="n"/>
      <c r="E1693" s="64">
        <f>IF(tblCommentary[[#This Row],[Date]]="","",COUNTIFS(INDEX(tblCommentary[Date],1):tblCommentary[[#This Row],[Date]],tblCommentary[[#This Row],[Date]]))</f>
        <v/>
      </c>
      <c r="F1693" s="63">
        <f>IF(tblCommentary[[#This Row],[Date]]="","",tblCommentary[[#This Row],[Date]]&amp;"|"&amp;tblCommentary[[#This Row],[Seq_Day]])</f>
        <v/>
      </c>
    </row>
    <row r="1694">
      <c r="A1694" s="54" t="n"/>
      <c r="B1694" s="61" t="n"/>
      <c r="C1694" s="58" t="n"/>
      <c r="D1694" s="58" t="n"/>
      <c r="E1694" s="64">
        <f>IF(tblCommentary[[#This Row],[Date]]="","",COUNTIFS(INDEX(tblCommentary[Date],1):tblCommentary[[#This Row],[Date]],tblCommentary[[#This Row],[Date]]))</f>
        <v/>
      </c>
      <c r="F1694" s="63">
        <f>IF(tblCommentary[[#This Row],[Date]]="","",tblCommentary[[#This Row],[Date]]&amp;"|"&amp;tblCommentary[[#This Row],[Seq_Day]])</f>
        <v/>
      </c>
    </row>
    <row r="1695">
      <c r="A1695" s="54" t="n"/>
      <c r="B1695" s="61" t="n"/>
      <c r="C1695" s="58" t="n"/>
      <c r="D1695" s="58" t="n"/>
      <c r="E1695" s="64">
        <f>IF(tblCommentary[[#This Row],[Date]]="","",COUNTIFS(INDEX(tblCommentary[Date],1):tblCommentary[[#This Row],[Date]],tblCommentary[[#This Row],[Date]]))</f>
        <v/>
      </c>
      <c r="F1695" s="63">
        <f>IF(tblCommentary[[#This Row],[Date]]="","",tblCommentary[[#This Row],[Date]]&amp;"|"&amp;tblCommentary[[#This Row],[Seq_Day]])</f>
        <v/>
      </c>
    </row>
    <row r="1696">
      <c r="A1696" s="54" t="n"/>
      <c r="B1696" s="61" t="n"/>
      <c r="C1696" s="58" t="n"/>
      <c r="D1696" s="58" t="n"/>
      <c r="E1696" s="64">
        <f>IF(tblCommentary[[#This Row],[Date]]="","",COUNTIFS(INDEX(tblCommentary[Date],1):tblCommentary[[#This Row],[Date]],tblCommentary[[#This Row],[Date]]))</f>
        <v/>
      </c>
      <c r="F1696" s="63">
        <f>IF(tblCommentary[[#This Row],[Date]]="","",tblCommentary[[#This Row],[Date]]&amp;"|"&amp;tblCommentary[[#This Row],[Seq_Day]])</f>
        <v/>
      </c>
    </row>
    <row r="1697">
      <c r="A1697" s="54" t="n"/>
      <c r="B1697" s="61" t="n"/>
      <c r="C1697" s="58" t="n"/>
      <c r="D1697" s="58" t="n"/>
      <c r="E1697" s="64">
        <f>IF(tblCommentary[[#This Row],[Date]]="","",COUNTIFS(INDEX(tblCommentary[Date],1):tblCommentary[[#This Row],[Date]],tblCommentary[[#This Row],[Date]]))</f>
        <v/>
      </c>
      <c r="F1697" s="63">
        <f>IF(tblCommentary[[#This Row],[Date]]="","",tblCommentary[[#This Row],[Date]]&amp;"|"&amp;tblCommentary[[#This Row],[Seq_Day]])</f>
        <v/>
      </c>
    </row>
    <row r="1698">
      <c r="A1698" s="54" t="n"/>
      <c r="B1698" s="61" t="n"/>
      <c r="C1698" s="58" t="n"/>
      <c r="D1698" s="58" t="n"/>
      <c r="E1698" s="64">
        <f>IF(tblCommentary[[#This Row],[Date]]="","",COUNTIFS(INDEX(tblCommentary[Date],1):tblCommentary[[#This Row],[Date]],tblCommentary[[#This Row],[Date]]))</f>
        <v/>
      </c>
      <c r="F1698" s="63">
        <f>IF(tblCommentary[[#This Row],[Date]]="","",tblCommentary[[#This Row],[Date]]&amp;"|"&amp;tblCommentary[[#This Row],[Seq_Day]])</f>
        <v/>
      </c>
    </row>
    <row r="1699">
      <c r="A1699" s="54" t="n"/>
      <c r="B1699" s="61" t="n"/>
      <c r="C1699" s="58" t="n"/>
      <c r="D1699" s="58" t="n"/>
      <c r="E1699" s="64">
        <f>IF(tblCommentary[[#This Row],[Date]]="","",COUNTIFS(INDEX(tblCommentary[Date],1):tblCommentary[[#This Row],[Date]],tblCommentary[[#This Row],[Date]]))</f>
        <v/>
      </c>
      <c r="F1699" s="63">
        <f>IF(tblCommentary[[#This Row],[Date]]="","",tblCommentary[[#This Row],[Date]]&amp;"|"&amp;tblCommentary[[#This Row],[Seq_Day]])</f>
        <v/>
      </c>
    </row>
    <row r="1700">
      <c r="A1700" s="54" t="n"/>
      <c r="B1700" s="61" t="n"/>
      <c r="C1700" s="58" t="n"/>
      <c r="D1700" s="58" t="n"/>
      <c r="E1700" s="64">
        <f>IF(tblCommentary[[#This Row],[Date]]="","",COUNTIFS(INDEX(tblCommentary[Date],1):tblCommentary[[#This Row],[Date]],tblCommentary[[#This Row],[Date]]))</f>
        <v/>
      </c>
      <c r="F1700" s="63">
        <f>IF(tblCommentary[[#This Row],[Date]]="","",tblCommentary[[#This Row],[Date]]&amp;"|"&amp;tblCommentary[[#This Row],[Seq_Day]])</f>
        <v/>
      </c>
    </row>
    <row r="1701">
      <c r="A1701" s="54" t="n"/>
      <c r="B1701" s="61" t="n"/>
      <c r="C1701" s="58" t="n"/>
      <c r="D1701" s="58" t="n"/>
      <c r="E1701" s="64">
        <f>IF(tblCommentary[[#This Row],[Date]]="","",COUNTIFS(INDEX(tblCommentary[Date],1):tblCommentary[[#This Row],[Date]],tblCommentary[[#This Row],[Date]]))</f>
        <v/>
      </c>
      <c r="F1701" s="63">
        <f>IF(tblCommentary[[#This Row],[Date]]="","",tblCommentary[[#This Row],[Date]]&amp;"|"&amp;tblCommentary[[#This Row],[Seq_Day]])</f>
        <v/>
      </c>
    </row>
    <row r="1702">
      <c r="A1702" s="54" t="n"/>
      <c r="B1702" s="61" t="n"/>
      <c r="C1702" s="58" t="n"/>
      <c r="D1702" s="58" t="n"/>
      <c r="E1702" s="64">
        <f>IF(tblCommentary[[#This Row],[Date]]="","",COUNTIFS(INDEX(tblCommentary[Date],1):tblCommentary[[#This Row],[Date]],tblCommentary[[#This Row],[Date]]))</f>
        <v/>
      </c>
      <c r="F1702" s="63">
        <f>IF(tblCommentary[[#This Row],[Date]]="","",tblCommentary[[#This Row],[Date]]&amp;"|"&amp;tblCommentary[[#This Row],[Seq_Day]])</f>
        <v/>
      </c>
    </row>
    <row r="1703">
      <c r="A1703" s="54" t="n"/>
      <c r="B1703" s="61" t="n"/>
      <c r="C1703" s="58" t="n"/>
      <c r="D1703" s="58" t="n"/>
      <c r="E1703" s="64">
        <f>IF(tblCommentary[[#This Row],[Date]]="","",COUNTIFS(INDEX(tblCommentary[Date],1):tblCommentary[[#This Row],[Date]],tblCommentary[[#This Row],[Date]]))</f>
        <v/>
      </c>
      <c r="F1703" s="63">
        <f>IF(tblCommentary[[#This Row],[Date]]="","",tblCommentary[[#This Row],[Date]]&amp;"|"&amp;tblCommentary[[#This Row],[Seq_Day]])</f>
        <v/>
      </c>
    </row>
    <row r="1704">
      <c r="A1704" s="54" t="n"/>
      <c r="B1704" s="61" t="n"/>
      <c r="C1704" s="58" t="n"/>
      <c r="D1704" s="58" t="n"/>
      <c r="E1704" s="64">
        <f>IF(tblCommentary[[#This Row],[Date]]="","",COUNTIFS(INDEX(tblCommentary[Date],1):tblCommentary[[#This Row],[Date]],tblCommentary[[#This Row],[Date]]))</f>
        <v/>
      </c>
      <c r="F1704" s="63">
        <f>IF(tblCommentary[[#This Row],[Date]]="","",tblCommentary[[#This Row],[Date]]&amp;"|"&amp;tblCommentary[[#This Row],[Seq_Day]])</f>
        <v/>
      </c>
    </row>
    <row r="1705">
      <c r="A1705" s="54" t="n"/>
      <c r="B1705" s="61" t="n"/>
      <c r="C1705" s="58" t="n"/>
      <c r="D1705" s="58" t="n"/>
      <c r="E1705" s="64">
        <f>IF(tblCommentary[[#This Row],[Date]]="","",COUNTIFS(INDEX(tblCommentary[Date],1):tblCommentary[[#This Row],[Date]],tblCommentary[[#This Row],[Date]]))</f>
        <v/>
      </c>
      <c r="F1705" s="63">
        <f>IF(tblCommentary[[#This Row],[Date]]="","",tblCommentary[[#This Row],[Date]]&amp;"|"&amp;tblCommentary[[#This Row],[Seq_Day]])</f>
        <v/>
      </c>
    </row>
    <row r="1706">
      <c r="A1706" s="54" t="n"/>
      <c r="B1706" s="61" t="n"/>
      <c r="C1706" s="58" t="n"/>
      <c r="D1706" s="58" t="n"/>
      <c r="E1706" s="64">
        <f>IF(tblCommentary[[#This Row],[Date]]="","",COUNTIFS(INDEX(tblCommentary[Date],1):tblCommentary[[#This Row],[Date]],tblCommentary[[#This Row],[Date]]))</f>
        <v/>
      </c>
      <c r="F1706" s="63">
        <f>IF(tblCommentary[[#This Row],[Date]]="","",tblCommentary[[#This Row],[Date]]&amp;"|"&amp;tblCommentary[[#This Row],[Seq_Day]])</f>
        <v/>
      </c>
    </row>
    <row r="1707">
      <c r="A1707" s="54" t="n"/>
      <c r="B1707" s="61" t="n"/>
      <c r="C1707" s="58" t="n"/>
      <c r="D1707" s="58" t="n"/>
      <c r="E1707" s="64">
        <f>IF(tblCommentary[[#This Row],[Date]]="","",COUNTIFS(INDEX(tblCommentary[Date],1):tblCommentary[[#This Row],[Date]],tblCommentary[[#This Row],[Date]]))</f>
        <v/>
      </c>
      <c r="F1707" s="63">
        <f>IF(tblCommentary[[#This Row],[Date]]="","",tblCommentary[[#This Row],[Date]]&amp;"|"&amp;tblCommentary[[#This Row],[Seq_Day]])</f>
        <v/>
      </c>
    </row>
    <row r="1708">
      <c r="A1708" s="54" t="n"/>
      <c r="B1708" s="61" t="n"/>
      <c r="C1708" s="58" t="n"/>
      <c r="D1708" s="58" t="n"/>
      <c r="E1708" s="64">
        <f>IF(tblCommentary[[#This Row],[Date]]="","",COUNTIFS(INDEX(tblCommentary[Date],1):tblCommentary[[#This Row],[Date]],tblCommentary[[#This Row],[Date]]))</f>
        <v/>
      </c>
      <c r="F1708" s="63">
        <f>IF(tblCommentary[[#This Row],[Date]]="","",tblCommentary[[#This Row],[Date]]&amp;"|"&amp;tblCommentary[[#This Row],[Seq_Day]])</f>
        <v/>
      </c>
    </row>
    <row r="1709">
      <c r="A1709" s="54" t="n"/>
      <c r="B1709" s="61" t="n"/>
      <c r="C1709" s="58" t="n"/>
      <c r="D1709" s="58" t="n"/>
      <c r="E1709" s="64">
        <f>IF(tblCommentary[[#This Row],[Date]]="","",COUNTIFS(INDEX(tblCommentary[Date],1):tblCommentary[[#This Row],[Date]],tblCommentary[[#This Row],[Date]]))</f>
        <v/>
      </c>
      <c r="F1709" s="63">
        <f>IF(tblCommentary[[#This Row],[Date]]="","",tblCommentary[[#This Row],[Date]]&amp;"|"&amp;tblCommentary[[#This Row],[Seq_Day]])</f>
        <v/>
      </c>
    </row>
    <row r="1710">
      <c r="A1710" s="54" t="n"/>
      <c r="B1710" s="61" t="n"/>
      <c r="C1710" s="58" t="n"/>
      <c r="D1710" s="58" t="n"/>
      <c r="E1710" s="64">
        <f>IF(tblCommentary[[#This Row],[Date]]="","",COUNTIFS(INDEX(tblCommentary[Date],1):tblCommentary[[#This Row],[Date]],tblCommentary[[#This Row],[Date]]))</f>
        <v/>
      </c>
      <c r="F1710" s="63">
        <f>IF(tblCommentary[[#This Row],[Date]]="","",tblCommentary[[#This Row],[Date]]&amp;"|"&amp;tblCommentary[[#This Row],[Seq_Day]])</f>
        <v/>
      </c>
    </row>
    <row r="1711">
      <c r="A1711" s="54" t="n"/>
      <c r="B1711" s="61" t="n"/>
      <c r="C1711" s="58" t="n"/>
      <c r="D1711" s="58" t="n"/>
      <c r="E1711" s="64">
        <f>IF(tblCommentary[[#This Row],[Date]]="","",COUNTIFS(INDEX(tblCommentary[Date],1):tblCommentary[[#This Row],[Date]],tblCommentary[[#This Row],[Date]]))</f>
        <v/>
      </c>
      <c r="F1711" s="63">
        <f>IF(tblCommentary[[#This Row],[Date]]="","",tblCommentary[[#This Row],[Date]]&amp;"|"&amp;tblCommentary[[#This Row],[Seq_Day]])</f>
        <v/>
      </c>
    </row>
    <row r="1712">
      <c r="A1712" s="54" t="n"/>
      <c r="B1712" s="61" t="n"/>
      <c r="C1712" s="58" t="n"/>
      <c r="D1712" s="58" t="n"/>
      <c r="E1712" s="64">
        <f>IF(tblCommentary[[#This Row],[Date]]="","",COUNTIFS(INDEX(tblCommentary[Date],1):tblCommentary[[#This Row],[Date]],tblCommentary[[#This Row],[Date]]))</f>
        <v/>
      </c>
      <c r="F1712" s="63">
        <f>IF(tblCommentary[[#This Row],[Date]]="","",tblCommentary[[#This Row],[Date]]&amp;"|"&amp;tblCommentary[[#This Row],[Seq_Day]])</f>
        <v/>
      </c>
    </row>
    <row r="1713">
      <c r="A1713" s="54" t="n"/>
      <c r="B1713" s="61" t="n"/>
      <c r="C1713" s="58" t="n"/>
      <c r="D1713" s="58" t="n"/>
      <c r="E1713" s="64">
        <f>IF(tblCommentary[[#This Row],[Date]]="","",COUNTIFS(INDEX(tblCommentary[Date],1):tblCommentary[[#This Row],[Date]],tblCommentary[[#This Row],[Date]]))</f>
        <v/>
      </c>
      <c r="F1713" s="63">
        <f>IF(tblCommentary[[#This Row],[Date]]="","",tblCommentary[[#This Row],[Date]]&amp;"|"&amp;tblCommentary[[#This Row],[Seq_Day]])</f>
        <v/>
      </c>
    </row>
    <row r="1714">
      <c r="A1714" s="54" t="n"/>
      <c r="B1714" s="61" t="n"/>
      <c r="C1714" s="58" t="n"/>
      <c r="D1714" s="58" t="n"/>
      <c r="E1714" s="64">
        <f>IF(tblCommentary[[#This Row],[Date]]="","",COUNTIFS(INDEX(tblCommentary[Date],1):tblCommentary[[#This Row],[Date]],tblCommentary[[#This Row],[Date]]))</f>
        <v/>
      </c>
      <c r="F1714" s="63">
        <f>IF(tblCommentary[[#This Row],[Date]]="","",tblCommentary[[#This Row],[Date]]&amp;"|"&amp;tblCommentary[[#This Row],[Seq_Day]])</f>
        <v/>
      </c>
    </row>
    <row r="1715">
      <c r="A1715" s="54" t="n"/>
      <c r="B1715" s="61" t="n"/>
      <c r="C1715" s="58" t="n"/>
      <c r="D1715" s="58" t="n"/>
      <c r="E1715" s="64">
        <f>IF(tblCommentary[[#This Row],[Date]]="","",COUNTIFS(INDEX(tblCommentary[Date],1):tblCommentary[[#This Row],[Date]],tblCommentary[[#This Row],[Date]]))</f>
        <v/>
      </c>
      <c r="F1715" s="63">
        <f>IF(tblCommentary[[#This Row],[Date]]="","",tblCommentary[[#This Row],[Date]]&amp;"|"&amp;tblCommentary[[#This Row],[Seq_Day]])</f>
        <v/>
      </c>
    </row>
    <row r="1716">
      <c r="A1716" s="54" t="n"/>
      <c r="B1716" s="61" t="n"/>
      <c r="C1716" s="58" t="n"/>
      <c r="D1716" s="58" t="n"/>
      <c r="E1716" s="64">
        <f>IF(tblCommentary[[#This Row],[Date]]="","",COUNTIFS(INDEX(tblCommentary[Date],1):tblCommentary[[#This Row],[Date]],tblCommentary[[#This Row],[Date]]))</f>
        <v/>
      </c>
      <c r="F1716" s="63">
        <f>IF(tblCommentary[[#This Row],[Date]]="","",tblCommentary[[#This Row],[Date]]&amp;"|"&amp;tblCommentary[[#This Row],[Seq_Day]])</f>
        <v/>
      </c>
    </row>
    <row r="1717">
      <c r="A1717" s="54" t="n"/>
      <c r="B1717" s="61" t="n"/>
      <c r="C1717" s="58" t="n"/>
      <c r="D1717" s="58" t="n"/>
      <c r="E1717" s="64">
        <f>IF(tblCommentary[[#This Row],[Date]]="","",COUNTIFS(INDEX(tblCommentary[Date],1):tblCommentary[[#This Row],[Date]],tblCommentary[[#This Row],[Date]]))</f>
        <v/>
      </c>
      <c r="F1717" s="63">
        <f>IF(tblCommentary[[#This Row],[Date]]="","",tblCommentary[[#This Row],[Date]]&amp;"|"&amp;tblCommentary[[#This Row],[Seq_Day]])</f>
        <v/>
      </c>
    </row>
    <row r="1718">
      <c r="A1718" s="54" t="n"/>
      <c r="B1718" s="61" t="n"/>
      <c r="C1718" s="58" t="n"/>
      <c r="D1718" s="58" t="n"/>
      <c r="E1718" s="64">
        <f>IF(tblCommentary[[#This Row],[Date]]="","",COUNTIFS(INDEX(tblCommentary[Date],1):tblCommentary[[#This Row],[Date]],tblCommentary[[#This Row],[Date]]))</f>
        <v/>
      </c>
      <c r="F1718" s="63">
        <f>IF(tblCommentary[[#This Row],[Date]]="","",tblCommentary[[#This Row],[Date]]&amp;"|"&amp;tblCommentary[[#This Row],[Seq_Day]])</f>
        <v/>
      </c>
    </row>
    <row r="1719">
      <c r="A1719" s="54" t="n"/>
      <c r="B1719" s="61" t="n"/>
      <c r="C1719" s="58" t="n"/>
      <c r="D1719" s="58" t="n"/>
      <c r="E1719" s="64">
        <f>IF(tblCommentary[[#This Row],[Date]]="","",COUNTIFS(INDEX(tblCommentary[Date],1):tblCommentary[[#This Row],[Date]],tblCommentary[[#This Row],[Date]]))</f>
        <v/>
      </c>
      <c r="F1719" s="63">
        <f>IF(tblCommentary[[#This Row],[Date]]="","",tblCommentary[[#This Row],[Date]]&amp;"|"&amp;tblCommentary[[#This Row],[Seq_Day]])</f>
        <v/>
      </c>
    </row>
    <row r="1720">
      <c r="A1720" s="54" t="n"/>
      <c r="B1720" s="61" t="n"/>
      <c r="C1720" s="58" t="n"/>
      <c r="D1720" s="58" t="n"/>
      <c r="E1720" s="64">
        <f>IF(tblCommentary[[#This Row],[Date]]="","",COUNTIFS(INDEX(tblCommentary[Date],1):tblCommentary[[#This Row],[Date]],tblCommentary[[#This Row],[Date]]))</f>
        <v/>
      </c>
      <c r="F1720" s="63">
        <f>IF(tblCommentary[[#This Row],[Date]]="","",tblCommentary[[#This Row],[Date]]&amp;"|"&amp;tblCommentary[[#This Row],[Seq_Day]])</f>
        <v/>
      </c>
    </row>
    <row r="1721">
      <c r="A1721" s="54" t="n"/>
      <c r="B1721" s="61" t="n"/>
      <c r="C1721" s="58" t="n"/>
      <c r="D1721" s="58" t="n"/>
      <c r="E1721" s="64">
        <f>IF(tblCommentary[[#This Row],[Date]]="","",COUNTIFS(INDEX(tblCommentary[Date],1):tblCommentary[[#This Row],[Date]],tblCommentary[[#This Row],[Date]]))</f>
        <v/>
      </c>
      <c r="F1721" s="63">
        <f>IF(tblCommentary[[#This Row],[Date]]="","",tblCommentary[[#This Row],[Date]]&amp;"|"&amp;tblCommentary[[#This Row],[Seq_Day]])</f>
        <v/>
      </c>
    </row>
    <row r="1722">
      <c r="A1722" s="54" t="n"/>
      <c r="B1722" s="61" t="n"/>
      <c r="C1722" s="58" t="n"/>
      <c r="D1722" s="58" t="n"/>
      <c r="E1722" s="64">
        <f>IF(tblCommentary[[#This Row],[Date]]="","",COUNTIFS(INDEX(tblCommentary[Date],1):tblCommentary[[#This Row],[Date]],tblCommentary[[#This Row],[Date]]))</f>
        <v/>
      </c>
      <c r="F1722" s="63">
        <f>IF(tblCommentary[[#This Row],[Date]]="","",tblCommentary[[#This Row],[Date]]&amp;"|"&amp;tblCommentary[[#This Row],[Seq_Day]])</f>
        <v/>
      </c>
    </row>
    <row r="1723">
      <c r="A1723" s="54" t="n"/>
      <c r="B1723" s="61" t="n"/>
      <c r="C1723" s="58" t="n"/>
      <c r="D1723" s="58" t="n"/>
      <c r="E1723" s="64">
        <f>IF(tblCommentary[[#This Row],[Date]]="","",COUNTIFS(INDEX(tblCommentary[Date],1):tblCommentary[[#This Row],[Date]],tblCommentary[[#This Row],[Date]]))</f>
        <v/>
      </c>
      <c r="F1723" s="63">
        <f>IF(tblCommentary[[#This Row],[Date]]="","",tblCommentary[[#This Row],[Date]]&amp;"|"&amp;tblCommentary[[#This Row],[Seq_Day]])</f>
        <v/>
      </c>
    </row>
    <row r="1724">
      <c r="A1724" s="54" t="n"/>
      <c r="B1724" s="61" t="n"/>
      <c r="C1724" s="58" t="n"/>
      <c r="D1724" s="58" t="n"/>
      <c r="E1724" s="64">
        <f>IF(tblCommentary[[#This Row],[Date]]="","",COUNTIFS(INDEX(tblCommentary[Date],1):tblCommentary[[#This Row],[Date]],tblCommentary[[#This Row],[Date]]))</f>
        <v/>
      </c>
      <c r="F1724" s="63">
        <f>IF(tblCommentary[[#This Row],[Date]]="","",tblCommentary[[#This Row],[Date]]&amp;"|"&amp;tblCommentary[[#This Row],[Seq_Day]])</f>
        <v/>
      </c>
    </row>
    <row r="1725">
      <c r="A1725" s="54" t="n"/>
      <c r="B1725" s="61" t="n"/>
      <c r="C1725" s="58" t="n"/>
      <c r="D1725" s="58" t="n"/>
      <c r="E1725" s="64">
        <f>IF(tblCommentary[[#This Row],[Date]]="","",COUNTIFS(INDEX(tblCommentary[Date],1):tblCommentary[[#This Row],[Date]],tblCommentary[[#This Row],[Date]]))</f>
        <v/>
      </c>
      <c r="F1725" s="63">
        <f>IF(tblCommentary[[#This Row],[Date]]="","",tblCommentary[[#This Row],[Date]]&amp;"|"&amp;tblCommentary[[#This Row],[Seq_Day]])</f>
        <v/>
      </c>
    </row>
    <row r="1726">
      <c r="A1726" s="54" t="n"/>
      <c r="B1726" s="61" t="n"/>
      <c r="C1726" s="58" t="n"/>
      <c r="D1726" s="58" t="n"/>
      <c r="E1726" s="64">
        <f>IF(tblCommentary[[#This Row],[Date]]="","",COUNTIFS(INDEX(tblCommentary[Date],1):tblCommentary[[#This Row],[Date]],tblCommentary[[#This Row],[Date]]))</f>
        <v/>
      </c>
      <c r="F1726" s="63">
        <f>IF(tblCommentary[[#This Row],[Date]]="","",tblCommentary[[#This Row],[Date]]&amp;"|"&amp;tblCommentary[[#This Row],[Seq_Day]])</f>
        <v/>
      </c>
    </row>
    <row r="1727">
      <c r="A1727" s="54" t="n"/>
      <c r="B1727" s="61" t="n"/>
      <c r="C1727" s="58" t="n"/>
      <c r="D1727" s="58" t="n"/>
      <c r="E1727" s="64">
        <f>IF(tblCommentary[[#This Row],[Date]]="","",COUNTIFS(INDEX(tblCommentary[Date],1):tblCommentary[[#This Row],[Date]],tblCommentary[[#This Row],[Date]]))</f>
        <v/>
      </c>
      <c r="F1727" s="63">
        <f>IF(tblCommentary[[#This Row],[Date]]="","",tblCommentary[[#This Row],[Date]]&amp;"|"&amp;tblCommentary[[#This Row],[Seq_Day]])</f>
        <v/>
      </c>
    </row>
    <row r="1728">
      <c r="A1728" s="54" t="n"/>
      <c r="B1728" s="61" t="n"/>
      <c r="C1728" s="58" t="n"/>
      <c r="D1728" s="58" t="n"/>
      <c r="E1728" s="64">
        <f>IF(tblCommentary[[#This Row],[Date]]="","",COUNTIFS(INDEX(tblCommentary[Date],1):tblCommentary[[#This Row],[Date]],tblCommentary[[#This Row],[Date]]))</f>
        <v/>
      </c>
      <c r="F1728" s="63">
        <f>IF(tblCommentary[[#This Row],[Date]]="","",tblCommentary[[#This Row],[Date]]&amp;"|"&amp;tblCommentary[[#This Row],[Seq_Day]])</f>
        <v/>
      </c>
    </row>
    <row r="1729">
      <c r="A1729" s="54" t="n"/>
      <c r="B1729" s="61" t="n"/>
      <c r="C1729" s="58" t="n"/>
      <c r="D1729" s="58" t="n"/>
      <c r="E1729" s="64">
        <f>IF(tblCommentary[[#This Row],[Date]]="","",COUNTIFS(INDEX(tblCommentary[Date],1):tblCommentary[[#This Row],[Date]],tblCommentary[[#This Row],[Date]]))</f>
        <v/>
      </c>
      <c r="F1729" s="63">
        <f>IF(tblCommentary[[#This Row],[Date]]="","",tblCommentary[[#This Row],[Date]]&amp;"|"&amp;tblCommentary[[#This Row],[Seq_Day]])</f>
        <v/>
      </c>
    </row>
    <row r="1730">
      <c r="A1730" s="54" t="n"/>
      <c r="B1730" s="61" t="n"/>
      <c r="C1730" s="58" t="n"/>
      <c r="D1730" s="58" t="n"/>
      <c r="E1730" s="64">
        <f>IF(tblCommentary[[#This Row],[Date]]="","",COUNTIFS(INDEX(tblCommentary[Date],1):tblCommentary[[#This Row],[Date]],tblCommentary[[#This Row],[Date]]))</f>
        <v/>
      </c>
      <c r="F1730" s="63">
        <f>IF(tblCommentary[[#This Row],[Date]]="","",tblCommentary[[#This Row],[Date]]&amp;"|"&amp;tblCommentary[[#This Row],[Seq_Day]])</f>
        <v/>
      </c>
    </row>
    <row r="1731">
      <c r="A1731" s="54" t="n"/>
      <c r="B1731" s="61" t="n"/>
      <c r="C1731" s="58" t="n"/>
      <c r="D1731" s="58" t="n"/>
      <c r="E1731" s="64">
        <f>IF(tblCommentary[[#This Row],[Date]]="","",COUNTIFS(INDEX(tblCommentary[Date],1):tblCommentary[[#This Row],[Date]],tblCommentary[[#This Row],[Date]]))</f>
        <v/>
      </c>
      <c r="F1731" s="63">
        <f>IF(tblCommentary[[#This Row],[Date]]="","",tblCommentary[[#This Row],[Date]]&amp;"|"&amp;tblCommentary[[#This Row],[Seq_Day]])</f>
        <v/>
      </c>
    </row>
    <row r="1732">
      <c r="A1732" s="54" t="n"/>
      <c r="B1732" s="61" t="n"/>
      <c r="C1732" s="58" t="n"/>
      <c r="D1732" s="58" t="n"/>
      <c r="E1732" s="64">
        <f>IF(tblCommentary[[#This Row],[Date]]="","",COUNTIFS(INDEX(tblCommentary[Date],1):tblCommentary[[#This Row],[Date]],tblCommentary[[#This Row],[Date]]))</f>
        <v/>
      </c>
      <c r="F1732" s="63">
        <f>IF(tblCommentary[[#This Row],[Date]]="","",tblCommentary[[#This Row],[Date]]&amp;"|"&amp;tblCommentary[[#This Row],[Seq_Day]])</f>
        <v/>
      </c>
    </row>
    <row r="1733">
      <c r="A1733" s="54" t="n"/>
      <c r="B1733" s="61" t="n"/>
      <c r="C1733" s="58" t="n"/>
      <c r="D1733" s="58" t="n"/>
      <c r="E1733" s="64">
        <f>IF(tblCommentary[[#This Row],[Date]]="","",COUNTIFS(INDEX(tblCommentary[Date],1):tblCommentary[[#This Row],[Date]],tblCommentary[[#This Row],[Date]]))</f>
        <v/>
      </c>
      <c r="F1733" s="63">
        <f>IF(tblCommentary[[#This Row],[Date]]="","",tblCommentary[[#This Row],[Date]]&amp;"|"&amp;tblCommentary[[#This Row],[Seq_Day]])</f>
        <v/>
      </c>
    </row>
    <row r="1734">
      <c r="A1734" s="54" t="n"/>
      <c r="B1734" s="61" t="n"/>
      <c r="C1734" s="58" t="n"/>
      <c r="D1734" s="58" t="n"/>
      <c r="E1734" s="64">
        <f>IF(tblCommentary[[#This Row],[Date]]="","",COUNTIFS(INDEX(tblCommentary[Date],1):tblCommentary[[#This Row],[Date]],tblCommentary[[#This Row],[Date]]))</f>
        <v/>
      </c>
      <c r="F1734" s="63">
        <f>IF(tblCommentary[[#This Row],[Date]]="","",tblCommentary[[#This Row],[Date]]&amp;"|"&amp;tblCommentary[[#This Row],[Seq_Day]])</f>
        <v/>
      </c>
    </row>
    <row r="1735">
      <c r="A1735" s="54" t="n"/>
      <c r="B1735" s="61" t="n"/>
      <c r="C1735" s="58" t="n"/>
      <c r="D1735" s="58" t="n"/>
      <c r="E1735" s="64">
        <f>IF(tblCommentary[[#This Row],[Date]]="","",COUNTIFS(INDEX(tblCommentary[Date],1):tblCommentary[[#This Row],[Date]],tblCommentary[[#This Row],[Date]]))</f>
        <v/>
      </c>
      <c r="F1735" s="63">
        <f>IF(tblCommentary[[#This Row],[Date]]="","",tblCommentary[[#This Row],[Date]]&amp;"|"&amp;tblCommentary[[#This Row],[Seq_Day]])</f>
        <v/>
      </c>
    </row>
    <row r="1736">
      <c r="A1736" s="54" t="n"/>
      <c r="B1736" s="61" t="n"/>
      <c r="C1736" s="58" t="n"/>
      <c r="D1736" s="58" t="n"/>
      <c r="E1736" s="64">
        <f>IF(tblCommentary[[#This Row],[Date]]="","",COUNTIFS(INDEX(tblCommentary[Date],1):tblCommentary[[#This Row],[Date]],tblCommentary[[#This Row],[Date]]))</f>
        <v/>
      </c>
      <c r="F1736" s="63">
        <f>IF(tblCommentary[[#This Row],[Date]]="","",tblCommentary[[#This Row],[Date]]&amp;"|"&amp;tblCommentary[[#This Row],[Seq_Day]])</f>
        <v/>
      </c>
    </row>
    <row r="1737">
      <c r="A1737" s="54" t="n"/>
      <c r="B1737" s="61" t="n"/>
      <c r="C1737" s="58" t="n"/>
      <c r="D1737" s="58" t="n"/>
      <c r="E1737" s="64">
        <f>IF(tblCommentary[[#This Row],[Date]]="","",COUNTIFS(INDEX(tblCommentary[Date],1):tblCommentary[[#This Row],[Date]],tblCommentary[[#This Row],[Date]]))</f>
        <v/>
      </c>
      <c r="F1737" s="63">
        <f>IF(tblCommentary[[#This Row],[Date]]="","",tblCommentary[[#This Row],[Date]]&amp;"|"&amp;tblCommentary[[#This Row],[Seq_Day]])</f>
        <v/>
      </c>
    </row>
    <row r="1738">
      <c r="A1738" s="54" t="n"/>
      <c r="B1738" s="61" t="n"/>
      <c r="C1738" s="58" t="n"/>
      <c r="D1738" s="58" t="n"/>
      <c r="E1738" s="64">
        <f>IF(tblCommentary[[#This Row],[Date]]="","",COUNTIFS(INDEX(tblCommentary[Date],1):tblCommentary[[#This Row],[Date]],tblCommentary[[#This Row],[Date]]))</f>
        <v/>
      </c>
      <c r="F1738" s="63">
        <f>IF(tblCommentary[[#This Row],[Date]]="","",tblCommentary[[#This Row],[Date]]&amp;"|"&amp;tblCommentary[[#This Row],[Seq_Day]])</f>
        <v/>
      </c>
    </row>
    <row r="1739">
      <c r="A1739" s="54" t="n"/>
      <c r="B1739" s="61" t="n"/>
      <c r="C1739" s="58" t="n"/>
      <c r="D1739" s="58" t="n"/>
      <c r="E1739" s="64">
        <f>IF(tblCommentary[[#This Row],[Date]]="","",COUNTIFS(INDEX(tblCommentary[Date],1):tblCommentary[[#This Row],[Date]],tblCommentary[[#This Row],[Date]]))</f>
        <v/>
      </c>
      <c r="F1739" s="63">
        <f>IF(tblCommentary[[#This Row],[Date]]="","",tblCommentary[[#This Row],[Date]]&amp;"|"&amp;tblCommentary[[#This Row],[Seq_Day]])</f>
        <v/>
      </c>
    </row>
    <row r="1740">
      <c r="A1740" s="54" t="n"/>
      <c r="B1740" s="61" t="n"/>
      <c r="C1740" s="58" t="n"/>
      <c r="D1740" s="58" t="n"/>
      <c r="E1740" s="64">
        <f>IF(tblCommentary[[#This Row],[Date]]="","",COUNTIFS(INDEX(tblCommentary[Date],1):tblCommentary[[#This Row],[Date]],tblCommentary[[#This Row],[Date]]))</f>
        <v/>
      </c>
      <c r="F1740" s="63">
        <f>IF(tblCommentary[[#This Row],[Date]]="","",tblCommentary[[#This Row],[Date]]&amp;"|"&amp;tblCommentary[[#This Row],[Seq_Day]])</f>
        <v/>
      </c>
    </row>
    <row r="1741">
      <c r="A1741" s="54" t="n"/>
      <c r="B1741" s="61" t="n"/>
      <c r="C1741" s="58" t="n"/>
      <c r="D1741" s="58" t="n"/>
      <c r="E1741" s="64">
        <f>IF(tblCommentary[[#This Row],[Date]]="","",COUNTIFS(INDEX(tblCommentary[Date],1):tblCommentary[[#This Row],[Date]],tblCommentary[[#This Row],[Date]]))</f>
        <v/>
      </c>
      <c r="F1741" s="63">
        <f>IF(tblCommentary[[#This Row],[Date]]="","",tblCommentary[[#This Row],[Date]]&amp;"|"&amp;tblCommentary[[#This Row],[Seq_Day]])</f>
        <v/>
      </c>
    </row>
    <row r="1742">
      <c r="A1742" s="54" t="n"/>
      <c r="B1742" s="61" t="n"/>
      <c r="C1742" s="58" t="n"/>
      <c r="D1742" s="58" t="n"/>
      <c r="E1742" s="64">
        <f>IF(tblCommentary[[#This Row],[Date]]="","",COUNTIFS(INDEX(tblCommentary[Date],1):tblCommentary[[#This Row],[Date]],tblCommentary[[#This Row],[Date]]))</f>
        <v/>
      </c>
      <c r="F1742" s="63">
        <f>IF(tblCommentary[[#This Row],[Date]]="","",tblCommentary[[#This Row],[Date]]&amp;"|"&amp;tblCommentary[[#This Row],[Seq_Day]])</f>
        <v/>
      </c>
    </row>
    <row r="1743">
      <c r="A1743" s="54" t="n"/>
      <c r="B1743" s="61" t="n"/>
      <c r="C1743" s="58" t="n"/>
      <c r="D1743" s="58" t="n"/>
      <c r="E1743" s="64">
        <f>IF(tblCommentary[[#This Row],[Date]]="","",COUNTIFS(INDEX(tblCommentary[Date],1):tblCommentary[[#This Row],[Date]],tblCommentary[[#This Row],[Date]]))</f>
        <v/>
      </c>
      <c r="F1743" s="63">
        <f>IF(tblCommentary[[#This Row],[Date]]="","",tblCommentary[[#This Row],[Date]]&amp;"|"&amp;tblCommentary[[#This Row],[Seq_Day]])</f>
        <v/>
      </c>
    </row>
    <row r="1744">
      <c r="A1744" s="54" t="n"/>
      <c r="B1744" s="61" t="n"/>
      <c r="C1744" s="58" t="n"/>
      <c r="D1744" s="58" t="n"/>
      <c r="E1744" s="64">
        <f>IF(tblCommentary[[#This Row],[Date]]="","",COUNTIFS(INDEX(tblCommentary[Date],1):tblCommentary[[#This Row],[Date]],tblCommentary[[#This Row],[Date]]))</f>
        <v/>
      </c>
      <c r="F1744" s="63">
        <f>IF(tblCommentary[[#This Row],[Date]]="","",tblCommentary[[#This Row],[Date]]&amp;"|"&amp;tblCommentary[[#This Row],[Seq_Day]])</f>
        <v/>
      </c>
    </row>
    <row r="1745">
      <c r="A1745" s="54" t="n"/>
      <c r="B1745" s="61" t="n"/>
      <c r="C1745" s="58" t="n"/>
      <c r="D1745" s="58" t="n"/>
      <c r="E1745" s="64">
        <f>IF(tblCommentary[[#This Row],[Date]]="","",COUNTIFS(INDEX(tblCommentary[Date],1):tblCommentary[[#This Row],[Date]],tblCommentary[[#This Row],[Date]]))</f>
        <v/>
      </c>
      <c r="F1745" s="63">
        <f>IF(tblCommentary[[#This Row],[Date]]="","",tblCommentary[[#This Row],[Date]]&amp;"|"&amp;tblCommentary[[#This Row],[Seq_Day]])</f>
        <v/>
      </c>
    </row>
    <row r="1746">
      <c r="A1746" s="54" t="n"/>
      <c r="B1746" s="61" t="n"/>
      <c r="C1746" s="58" t="n"/>
      <c r="D1746" s="58" t="n"/>
      <c r="E1746" s="64">
        <f>IF(tblCommentary[[#This Row],[Date]]="","",COUNTIFS(INDEX(tblCommentary[Date],1):tblCommentary[[#This Row],[Date]],tblCommentary[[#This Row],[Date]]))</f>
        <v/>
      </c>
      <c r="F1746" s="63">
        <f>IF(tblCommentary[[#This Row],[Date]]="","",tblCommentary[[#This Row],[Date]]&amp;"|"&amp;tblCommentary[[#This Row],[Seq_Day]])</f>
        <v/>
      </c>
    </row>
    <row r="1747">
      <c r="A1747" s="54" t="n"/>
      <c r="B1747" s="61" t="n"/>
      <c r="C1747" s="58" t="n"/>
      <c r="D1747" s="58" t="n"/>
      <c r="E1747" s="64">
        <f>IF(tblCommentary[[#This Row],[Date]]="","",COUNTIFS(INDEX(tblCommentary[Date],1):tblCommentary[[#This Row],[Date]],tblCommentary[[#This Row],[Date]]))</f>
        <v/>
      </c>
      <c r="F1747" s="63">
        <f>IF(tblCommentary[[#This Row],[Date]]="","",tblCommentary[[#This Row],[Date]]&amp;"|"&amp;tblCommentary[[#This Row],[Seq_Day]])</f>
        <v/>
      </c>
    </row>
    <row r="1748">
      <c r="A1748" s="54" t="n"/>
      <c r="B1748" s="61" t="n"/>
      <c r="C1748" s="58" t="n"/>
      <c r="D1748" s="58" t="n"/>
      <c r="E1748" s="64">
        <f>IF(tblCommentary[[#This Row],[Date]]="","",COUNTIFS(INDEX(tblCommentary[Date],1):tblCommentary[[#This Row],[Date]],tblCommentary[[#This Row],[Date]]))</f>
        <v/>
      </c>
      <c r="F1748" s="63">
        <f>IF(tblCommentary[[#This Row],[Date]]="","",tblCommentary[[#This Row],[Date]]&amp;"|"&amp;tblCommentary[[#This Row],[Seq_Day]])</f>
        <v/>
      </c>
    </row>
    <row r="1749">
      <c r="A1749" s="54" t="n"/>
      <c r="B1749" s="61" t="n"/>
      <c r="C1749" s="58" t="n"/>
      <c r="D1749" s="58" t="n"/>
      <c r="E1749" s="64">
        <f>IF(tblCommentary[[#This Row],[Date]]="","",COUNTIFS(INDEX(tblCommentary[Date],1):tblCommentary[[#This Row],[Date]],tblCommentary[[#This Row],[Date]]))</f>
        <v/>
      </c>
      <c r="F1749" s="63">
        <f>IF(tblCommentary[[#This Row],[Date]]="","",tblCommentary[[#This Row],[Date]]&amp;"|"&amp;tblCommentary[[#This Row],[Seq_Day]])</f>
        <v/>
      </c>
    </row>
    <row r="1750">
      <c r="A1750" s="54" t="n"/>
      <c r="B1750" s="61" t="n"/>
      <c r="C1750" s="58" t="n"/>
      <c r="D1750" s="58" t="n"/>
      <c r="E1750" s="64">
        <f>IF(tblCommentary[[#This Row],[Date]]="","",COUNTIFS(INDEX(tblCommentary[Date],1):tblCommentary[[#This Row],[Date]],tblCommentary[[#This Row],[Date]]))</f>
        <v/>
      </c>
      <c r="F1750" s="63">
        <f>IF(tblCommentary[[#This Row],[Date]]="","",tblCommentary[[#This Row],[Date]]&amp;"|"&amp;tblCommentary[[#This Row],[Seq_Day]])</f>
        <v/>
      </c>
    </row>
    <row r="1751">
      <c r="A1751" s="54" t="n"/>
      <c r="B1751" s="61" t="n"/>
      <c r="C1751" s="58" t="n"/>
      <c r="D1751" s="58" t="n"/>
      <c r="E1751" s="64">
        <f>IF(tblCommentary[[#This Row],[Date]]="","",COUNTIFS(INDEX(tblCommentary[Date],1):tblCommentary[[#This Row],[Date]],tblCommentary[[#This Row],[Date]]))</f>
        <v/>
      </c>
      <c r="F1751" s="63">
        <f>IF(tblCommentary[[#This Row],[Date]]="","",tblCommentary[[#This Row],[Date]]&amp;"|"&amp;tblCommentary[[#This Row],[Seq_Day]])</f>
        <v/>
      </c>
    </row>
    <row r="1752">
      <c r="A1752" s="54" t="n"/>
      <c r="B1752" s="61" t="n"/>
      <c r="C1752" s="58" t="n"/>
      <c r="D1752" s="58" t="n"/>
      <c r="E1752" s="64">
        <f>IF(tblCommentary[[#This Row],[Date]]="","",COUNTIFS(INDEX(tblCommentary[Date],1):tblCommentary[[#This Row],[Date]],tblCommentary[[#This Row],[Date]]))</f>
        <v/>
      </c>
      <c r="F1752" s="63">
        <f>IF(tblCommentary[[#This Row],[Date]]="","",tblCommentary[[#This Row],[Date]]&amp;"|"&amp;tblCommentary[[#This Row],[Seq_Day]])</f>
        <v/>
      </c>
    </row>
    <row r="1753">
      <c r="A1753" s="54" t="n"/>
      <c r="B1753" s="61" t="n"/>
      <c r="C1753" s="58" t="n"/>
      <c r="D1753" s="58" t="n"/>
      <c r="E1753" s="64">
        <f>IF(tblCommentary[[#This Row],[Date]]="","",COUNTIFS(INDEX(tblCommentary[Date],1):tblCommentary[[#This Row],[Date]],tblCommentary[[#This Row],[Date]]))</f>
        <v/>
      </c>
      <c r="F1753" s="63">
        <f>IF(tblCommentary[[#This Row],[Date]]="","",tblCommentary[[#This Row],[Date]]&amp;"|"&amp;tblCommentary[[#This Row],[Seq_Day]])</f>
        <v/>
      </c>
    </row>
    <row r="1754">
      <c r="A1754" s="54" t="n"/>
      <c r="B1754" s="61" t="n"/>
      <c r="C1754" s="58" t="n"/>
      <c r="D1754" s="58" t="n"/>
      <c r="E1754" s="64">
        <f>IF(tblCommentary[[#This Row],[Date]]="","",COUNTIFS(INDEX(tblCommentary[Date],1):tblCommentary[[#This Row],[Date]],tblCommentary[[#This Row],[Date]]))</f>
        <v/>
      </c>
      <c r="F1754" s="63">
        <f>IF(tblCommentary[[#This Row],[Date]]="","",tblCommentary[[#This Row],[Date]]&amp;"|"&amp;tblCommentary[[#This Row],[Seq_Day]])</f>
        <v/>
      </c>
    </row>
    <row r="1755">
      <c r="A1755" s="54" t="n"/>
      <c r="B1755" s="61" t="n"/>
      <c r="C1755" s="58" t="n"/>
      <c r="D1755" s="58" t="n"/>
      <c r="E1755" s="64">
        <f>IF(tblCommentary[[#This Row],[Date]]="","",COUNTIFS(INDEX(tblCommentary[Date],1):tblCommentary[[#This Row],[Date]],tblCommentary[[#This Row],[Date]]))</f>
        <v/>
      </c>
      <c r="F1755" s="63">
        <f>IF(tblCommentary[[#This Row],[Date]]="","",tblCommentary[[#This Row],[Date]]&amp;"|"&amp;tblCommentary[[#This Row],[Seq_Day]])</f>
        <v/>
      </c>
    </row>
    <row r="1756">
      <c r="A1756" s="54" t="n"/>
      <c r="B1756" s="61" t="n"/>
      <c r="C1756" s="58" t="n"/>
      <c r="D1756" s="58" t="n"/>
      <c r="E1756" s="64">
        <f>IF(tblCommentary[[#This Row],[Date]]="","",COUNTIFS(INDEX(tblCommentary[Date],1):tblCommentary[[#This Row],[Date]],tblCommentary[[#This Row],[Date]]))</f>
        <v/>
      </c>
      <c r="F1756" s="63">
        <f>IF(tblCommentary[[#This Row],[Date]]="","",tblCommentary[[#This Row],[Date]]&amp;"|"&amp;tblCommentary[[#This Row],[Seq_Day]])</f>
        <v/>
      </c>
    </row>
    <row r="1757">
      <c r="A1757" s="54" t="n"/>
      <c r="B1757" s="61" t="n"/>
      <c r="C1757" s="58" t="n"/>
      <c r="D1757" s="58" t="n"/>
      <c r="E1757" s="64">
        <f>IF(tblCommentary[[#This Row],[Date]]="","",COUNTIFS(INDEX(tblCommentary[Date],1):tblCommentary[[#This Row],[Date]],tblCommentary[[#This Row],[Date]]))</f>
        <v/>
      </c>
      <c r="F1757" s="63">
        <f>IF(tblCommentary[[#This Row],[Date]]="","",tblCommentary[[#This Row],[Date]]&amp;"|"&amp;tblCommentary[[#This Row],[Seq_Day]])</f>
        <v/>
      </c>
    </row>
    <row r="1758">
      <c r="A1758" s="54" t="n"/>
      <c r="B1758" s="61" t="n"/>
      <c r="C1758" s="58" t="n"/>
      <c r="D1758" s="58" t="n"/>
      <c r="E1758" s="64">
        <f>IF(tblCommentary[[#This Row],[Date]]="","",COUNTIFS(INDEX(tblCommentary[Date],1):tblCommentary[[#This Row],[Date]],tblCommentary[[#This Row],[Date]]))</f>
        <v/>
      </c>
      <c r="F1758" s="63">
        <f>IF(tblCommentary[[#This Row],[Date]]="","",tblCommentary[[#This Row],[Date]]&amp;"|"&amp;tblCommentary[[#This Row],[Seq_Day]])</f>
        <v/>
      </c>
    </row>
    <row r="1759">
      <c r="A1759" s="54" t="n"/>
      <c r="B1759" s="61" t="n"/>
      <c r="C1759" s="58" t="n"/>
      <c r="D1759" s="58" t="n"/>
      <c r="E1759" s="64">
        <f>IF(tblCommentary[[#This Row],[Date]]="","",COUNTIFS(INDEX(tblCommentary[Date],1):tblCommentary[[#This Row],[Date]],tblCommentary[[#This Row],[Date]]))</f>
        <v/>
      </c>
      <c r="F1759" s="63">
        <f>IF(tblCommentary[[#This Row],[Date]]="","",tblCommentary[[#This Row],[Date]]&amp;"|"&amp;tblCommentary[[#This Row],[Seq_Day]])</f>
        <v/>
      </c>
    </row>
    <row r="1760">
      <c r="A1760" s="54" t="n"/>
      <c r="B1760" s="61" t="n"/>
      <c r="C1760" s="58" t="n"/>
      <c r="D1760" s="58" t="n"/>
      <c r="E1760" s="64">
        <f>IF(tblCommentary[[#This Row],[Date]]="","",COUNTIFS(INDEX(tblCommentary[Date],1):tblCommentary[[#This Row],[Date]],tblCommentary[[#This Row],[Date]]))</f>
        <v/>
      </c>
      <c r="F1760" s="63">
        <f>IF(tblCommentary[[#This Row],[Date]]="","",tblCommentary[[#This Row],[Date]]&amp;"|"&amp;tblCommentary[[#This Row],[Seq_Day]])</f>
        <v/>
      </c>
    </row>
    <row r="1761">
      <c r="A1761" s="54" t="n"/>
      <c r="B1761" s="61" t="n"/>
      <c r="C1761" s="58" t="n"/>
      <c r="D1761" s="58" t="n"/>
      <c r="E1761" s="64">
        <f>IF(tblCommentary[[#This Row],[Date]]="","",COUNTIFS(INDEX(tblCommentary[Date],1):tblCommentary[[#This Row],[Date]],tblCommentary[[#This Row],[Date]]))</f>
        <v/>
      </c>
      <c r="F1761" s="63">
        <f>IF(tblCommentary[[#This Row],[Date]]="","",tblCommentary[[#This Row],[Date]]&amp;"|"&amp;tblCommentary[[#This Row],[Seq_Day]])</f>
        <v/>
      </c>
    </row>
    <row r="1762">
      <c r="A1762" s="54" t="n"/>
      <c r="B1762" s="61" t="n"/>
      <c r="C1762" s="58" t="n"/>
      <c r="D1762" s="58" t="n"/>
      <c r="E1762" s="64">
        <f>IF(tblCommentary[[#This Row],[Date]]="","",COUNTIFS(INDEX(tblCommentary[Date],1):tblCommentary[[#This Row],[Date]],tblCommentary[[#This Row],[Date]]))</f>
        <v/>
      </c>
      <c r="F1762" s="63">
        <f>IF(tblCommentary[[#This Row],[Date]]="","",tblCommentary[[#This Row],[Date]]&amp;"|"&amp;tblCommentary[[#This Row],[Seq_Day]])</f>
        <v/>
      </c>
    </row>
    <row r="1763">
      <c r="A1763" s="54" t="n"/>
      <c r="B1763" s="61" t="n"/>
      <c r="C1763" s="58" t="n"/>
      <c r="D1763" s="58" t="n"/>
      <c r="E1763" s="64">
        <f>IF(tblCommentary[[#This Row],[Date]]="","",COUNTIFS(INDEX(tblCommentary[Date],1):tblCommentary[[#This Row],[Date]],tblCommentary[[#This Row],[Date]]))</f>
        <v/>
      </c>
      <c r="F1763" s="63">
        <f>IF(tblCommentary[[#This Row],[Date]]="","",tblCommentary[[#This Row],[Date]]&amp;"|"&amp;tblCommentary[[#This Row],[Seq_Day]])</f>
        <v/>
      </c>
    </row>
    <row r="1764">
      <c r="A1764" s="54" t="n"/>
      <c r="B1764" s="61" t="n"/>
      <c r="C1764" s="58" t="n"/>
      <c r="D1764" s="58" t="n"/>
      <c r="E1764" s="64">
        <f>IF(tblCommentary[[#This Row],[Date]]="","",COUNTIFS(INDEX(tblCommentary[Date],1):tblCommentary[[#This Row],[Date]],tblCommentary[[#This Row],[Date]]))</f>
        <v/>
      </c>
      <c r="F1764" s="63">
        <f>IF(tblCommentary[[#This Row],[Date]]="","",tblCommentary[[#This Row],[Date]]&amp;"|"&amp;tblCommentary[[#This Row],[Seq_Day]])</f>
        <v/>
      </c>
    </row>
    <row r="1765">
      <c r="A1765" s="54" t="n"/>
      <c r="B1765" s="61" t="n"/>
      <c r="C1765" s="58" t="n"/>
      <c r="D1765" s="58" t="n"/>
      <c r="E1765" s="64">
        <f>IF(tblCommentary[[#This Row],[Date]]="","",COUNTIFS(INDEX(tblCommentary[Date],1):tblCommentary[[#This Row],[Date]],tblCommentary[[#This Row],[Date]]))</f>
        <v/>
      </c>
      <c r="F1765" s="63">
        <f>IF(tblCommentary[[#This Row],[Date]]="","",tblCommentary[[#This Row],[Date]]&amp;"|"&amp;tblCommentary[[#This Row],[Seq_Day]])</f>
        <v/>
      </c>
    </row>
    <row r="1766">
      <c r="A1766" s="54" t="n"/>
      <c r="B1766" s="61" t="n"/>
      <c r="C1766" s="58" t="n"/>
      <c r="D1766" s="58" t="n"/>
      <c r="E1766" s="64">
        <f>IF(tblCommentary[[#This Row],[Date]]="","",COUNTIFS(INDEX(tblCommentary[Date],1):tblCommentary[[#This Row],[Date]],tblCommentary[[#This Row],[Date]]))</f>
        <v/>
      </c>
      <c r="F1766" s="63">
        <f>IF(tblCommentary[[#This Row],[Date]]="","",tblCommentary[[#This Row],[Date]]&amp;"|"&amp;tblCommentary[[#This Row],[Seq_Day]])</f>
        <v/>
      </c>
    </row>
    <row r="1767">
      <c r="A1767" s="54" t="n"/>
      <c r="B1767" s="61" t="n"/>
      <c r="C1767" s="58" t="n"/>
      <c r="D1767" s="58" t="n"/>
      <c r="E1767" s="64">
        <f>IF(tblCommentary[[#This Row],[Date]]="","",COUNTIFS(INDEX(tblCommentary[Date],1):tblCommentary[[#This Row],[Date]],tblCommentary[[#This Row],[Date]]))</f>
        <v/>
      </c>
      <c r="F1767" s="63">
        <f>IF(tblCommentary[[#This Row],[Date]]="","",tblCommentary[[#This Row],[Date]]&amp;"|"&amp;tblCommentary[[#This Row],[Seq_Day]])</f>
        <v/>
      </c>
    </row>
    <row r="1768">
      <c r="A1768" s="54" t="n"/>
      <c r="B1768" s="61" t="n"/>
      <c r="C1768" s="58" t="n"/>
      <c r="D1768" s="58" t="n"/>
      <c r="E1768" s="64">
        <f>IF(tblCommentary[[#This Row],[Date]]="","",COUNTIFS(INDEX(tblCommentary[Date],1):tblCommentary[[#This Row],[Date]],tblCommentary[[#This Row],[Date]]))</f>
        <v/>
      </c>
      <c r="F1768" s="63">
        <f>IF(tblCommentary[[#This Row],[Date]]="","",tblCommentary[[#This Row],[Date]]&amp;"|"&amp;tblCommentary[[#This Row],[Seq_Day]])</f>
        <v/>
      </c>
    </row>
    <row r="1769">
      <c r="A1769" s="54" t="n"/>
      <c r="B1769" s="61" t="n"/>
      <c r="C1769" s="58" t="n"/>
      <c r="D1769" s="58" t="n"/>
      <c r="E1769" s="64">
        <f>IF(tblCommentary[[#This Row],[Date]]="","",COUNTIFS(INDEX(tblCommentary[Date],1):tblCommentary[[#This Row],[Date]],tblCommentary[[#This Row],[Date]]))</f>
        <v/>
      </c>
      <c r="F1769" s="63">
        <f>IF(tblCommentary[[#This Row],[Date]]="","",tblCommentary[[#This Row],[Date]]&amp;"|"&amp;tblCommentary[[#This Row],[Seq_Day]])</f>
        <v/>
      </c>
    </row>
    <row r="1770">
      <c r="A1770" s="54" t="n"/>
      <c r="B1770" s="61" t="n"/>
      <c r="C1770" s="58" t="n"/>
      <c r="D1770" s="58" t="n"/>
      <c r="E1770" s="64">
        <f>IF(tblCommentary[[#This Row],[Date]]="","",COUNTIFS(INDEX(tblCommentary[Date],1):tblCommentary[[#This Row],[Date]],tblCommentary[[#This Row],[Date]]))</f>
        <v/>
      </c>
      <c r="F1770" s="63">
        <f>IF(tblCommentary[[#This Row],[Date]]="","",tblCommentary[[#This Row],[Date]]&amp;"|"&amp;tblCommentary[[#This Row],[Seq_Day]])</f>
        <v/>
      </c>
    </row>
    <row r="1771">
      <c r="A1771" s="54" t="n"/>
      <c r="B1771" s="61" t="n"/>
      <c r="C1771" s="58" t="n"/>
      <c r="D1771" s="58" t="n"/>
      <c r="E1771" s="64">
        <f>IF(tblCommentary[[#This Row],[Date]]="","",COUNTIFS(INDEX(tblCommentary[Date],1):tblCommentary[[#This Row],[Date]],tblCommentary[[#This Row],[Date]]))</f>
        <v/>
      </c>
      <c r="F1771" s="63">
        <f>IF(tblCommentary[[#This Row],[Date]]="","",tblCommentary[[#This Row],[Date]]&amp;"|"&amp;tblCommentary[[#This Row],[Seq_Day]])</f>
        <v/>
      </c>
    </row>
    <row r="1772">
      <c r="A1772" s="54" t="n"/>
      <c r="B1772" s="61" t="n"/>
      <c r="C1772" s="58" t="n"/>
      <c r="D1772" s="58" t="n"/>
      <c r="E1772" s="64">
        <f>IF(tblCommentary[[#This Row],[Date]]="","",COUNTIFS(INDEX(tblCommentary[Date],1):tblCommentary[[#This Row],[Date]],tblCommentary[[#This Row],[Date]]))</f>
        <v/>
      </c>
      <c r="F1772" s="63">
        <f>IF(tblCommentary[[#This Row],[Date]]="","",tblCommentary[[#This Row],[Date]]&amp;"|"&amp;tblCommentary[[#This Row],[Seq_Day]])</f>
        <v/>
      </c>
    </row>
    <row r="1773">
      <c r="A1773" s="54" t="n"/>
      <c r="B1773" s="61" t="n"/>
      <c r="C1773" s="58" t="n"/>
      <c r="D1773" s="58" t="n"/>
      <c r="E1773" s="64">
        <f>IF(tblCommentary[[#This Row],[Date]]="","",COUNTIFS(INDEX(tblCommentary[Date],1):tblCommentary[[#This Row],[Date]],tblCommentary[[#This Row],[Date]]))</f>
        <v/>
      </c>
      <c r="F1773" s="63">
        <f>IF(tblCommentary[[#This Row],[Date]]="","",tblCommentary[[#This Row],[Date]]&amp;"|"&amp;tblCommentary[[#This Row],[Seq_Day]])</f>
        <v/>
      </c>
    </row>
    <row r="1774">
      <c r="A1774" s="54" t="n"/>
      <c r="B1774" s="61" t="n"/>
      <c r="C1774" s="58" t="n"/>
      <c r="D1774" s="58" t="n"/>
      <c r="E1774" s="64">
        <f>IF(tblCommentary[[#This Row],[Date]]="","",COUNTIFS(INDEX(tblCommentary[Date],1):tblCommentary[[#This Row],[Date]],tblCommentary[[#This Row],[Date]]))</f>
        <v/>
      </c>
      <c r="F1774" s="63">
        <f>IF(tblCommentary[[#This Row],[Date]]="","",tblCommentary[[#This Row],[Date]]&amp;"|"&amp;tblCommentary[[#This Row],[Seq_Day]])</f>
        <v/>
      </c>
    </row>
    <row r="1775">
      <c r="A1775" s="54" t="n"/>
      <c r="B1775" s="61" t="n"/>
      <c r="C1775" s="58" t="n"/>
      <c r="D1775" s="58" t="n"/>
      <c r="E1775" s="64">
        <f>IF(tblCommentary[[#This Row],[Date]]="","",COUNTIFS(INDEX(tblCommentary[Date],1):tblCommentary[[#This Row],[Date]],tblCommentary[[#This Row],[Date]]))</f>
        <v/>
      </c>
      <c r="F1775" s="63">
        <f>IF(tblCommentary[[#This Row],[Date]]="","",tblCommentary[[#This Row],[Date]]&amp;"|"&amp;tblCommentary[[#This Row],[Seq_Day]])</f>
        <v/>
      </c>
    </row>
    <row r="1776">
      <c r="A1776" s="54" t="n"/>
      <c r="B1776" s="61" t="n"/>
      <c r="C1776" s="58" t="n"/>
      <c r="D1776" s="58" t="n"/>
      <c r="E1776" s="64">
        <f>IF(tblCommentary[[#This Row],[Date]]="","",COUNTIFS(INDEX(tblCommentary[Date],1):tblCommentary[[#This Row],[Date]],tblCommentary[[#This Row],[Date]]))</f>
        <v/>
      </c>
      <c r="F1776" s="63">
        <f>IF(tblCommentary[[#This Row],[Date]]="","",tblCommentary[[#This Row],[Date]]&amp;"|"&amp;tblCommentary[[#This Row],[Seq_Day]])</f>
        <v/>
      </c>
    </row>
    <row r="1777">
      <c r="A1777" s="54" t="n"/>
      <c r="B1777" s="61" t="n"/>
      <c r="C1777" s="58" t="n"/>
      <c r="D1777" s="58" t="n"/>
      <c r="E1777" s="64">
        <f>IF(tblCommentary[[#This Row],[Date]]="","",COUNTIFS(INDEX(tblCommentary[Date],1):tblCommentary[[#This Row],[Date]],tblCommentary[[#This Row],[Date]]))</f>
        <v/>
      </c>
      <c r="F1777" s="63">
        <f>IF(tblCommentary[[#This Row],[Date]]="","",tblCommentary[[#This Row],[Date]]&amp;"|"&amp;tblCommentary[[#This Row],[Seq_Day]])</f>
        <v/>
      </c>
    </row>
    <row r="1778">
      <c r="A1778" s="54" t="n"/>
      <c r="B1778" s="61" t="n"/>
      <c r="C1778" s="58" t="n"/>
      <c r="D1778" s="58" t="n"/>
      <c r="E1778" s="64">
        <f>IF(tblCommentary[[#This Row],[Date]]="","",COUNTIFS(INDEX(tblCommentary[Date],1):tblCommentary[[#This Row],[Date]],tblCommentary[[#This Row],[Date]]))</f>
        <v/>
      </c>
      <c r="F1778" s="63">
        <f>IF(tblCommentary[[#This Row],[Date]]="","",tblCommentary[[#This Row],[Date]]&amp;"|"&amp;tblCommentary[[#This Row],[Seq_Day]])</f>
        <v/>
      </c>
    </row>
    <row r="1779">
      <c r="A1779" s="54" t="n"/>
      <c r="B1779" s="61" t="n"/>
      <c r="C1779" s="58" t="n"/>
      <c r="D1779" s="58" t="n"/>
      <c r="E1779" s="64">
        <f>IF(tblCommentary[[#This Row],[Date]]="","",COUNTIFS(INDEX(tblCommentary[Date],1):tblCommentary[[#This Row],[Date]],tblCommentary[[#This Row],[Date]]))</f>
        <v/>
      </c>
      <c r="F1779" s="63">
        <f>IF(tblCommentary[[#This Row],[Date]]="","",tblCommentary[[#This Row],[Date]]&amp;"|"&amp;tblCommentary[[#This Row],[Seq_Day]])</f>
        <v/>
      </c>
    </row>
    <row r="1780">
      <c r="A1780" s="54" t="n"/>
      <c r="B1780" s="61" t="n"/>
      <c r="C1780" s="58" t="n"/>
      <c r="D1780" s="58" t="n"/>
      <c r="E1780" s="64">
        <f>IF(tblCommentary[[#This Row],[Date]]="","",COUNTIFS(INDEX(tblCommentary[Date],1):tblCommentary[[#This Row],[Date]],tblCommentary[[#This Row],[Date]]))</f>
        <v/>
      </c>
      <c r="F1780" s="63">
        <f>IF(tblCommentary[[#This Row],[Date]]="","",tblCommentary[[#This Row],[Date]]&amp;"|"&amp;tblCommentary[[#This Row],[Seq_Day]])</f>
        <v/>
      </c>
    </row>
    <row r="1781">
      <c r="A1781" s="54" t="n"/>
      <c r="B1781" s="61" t="n"/>
      <c r="C1781" s="58" t="n"/>
      <c r="D1781" s="58" t="n"/>
      <c r="E1781" s="64">
        <f>IF(tblCommentary[[#This Row],[Date]]="","",COUNTIFS(INDEX(tblCommentary[Date],1):tblCommentary[[#This Row],[Date]],tblCommentary[[#This Row],[Date]]))</f>
        <v/>
      </c>
      <c r="F1781" s="63">
        <f>IF(tblCommentary[[#This Row],[Date]]="","",tblCommentary[[#This Row],[Date]]&amp;"|"&amp;tblCommentary[[#This Row],[Seq_Day]])</f>
        <v/>
      </c>
    </row>
    <row r="1782">
      <c r="A1782" s="54" t="n"/>
      <c r="B1782" s="61" t="n"/>
      <c r="C1782" s="58" t="n"/>
      <c r="D1782" s="58" t="n"/>
      <c r="E1782" s="64">
        <f>IF(tblCommentary[[#This Row],[Date]]="","",COUNTIFS(INDEX(tblCommentary[Date],1):tblCommentary[[#This Row],[Date]],tblCommentary[[#This Row],[Date]]))</f>
        <v/>
      </c>
      <c r="F1782" s="63">
        <f>IF(tblCommentary[[#This Row],[Date]]="","",tblCommentary[[#This Row],[Date]]&amp;"|"&amp;tblCommentary[[#This Row],[Seq_Day]])</f>
        <v/>
      </c>
    </row>
    <row r="1783">
      <c r="A1783" s="54" t="n"/>
      <c r="B1783" s="61" t="n"/>
      <c r="C1783" s="58" t="n"/>
      <c r="D1783" s="58" t="n"/>
      <c r="E1783" s="64">
        <f>IF(tblCommentary[[#This Row],[Date]]="","",COUNTIFS(INDEX(tblCommentary[Date],1):tblCommentary[[#This Row],[Date]],tblCommentary[[#This Row],[Date]]))</f>
        <v/>
      </c>
      <c r="F1783" s="63">
        <f>IF(tblCommentary[[#This Row],[Date]]="","",tblCommentary[[#This Row],[Date]]&amp;"|"&amp;tblCommentary[[#This Row],[Seq_Day]])</f>
        <v/>
      </c>
    </row>
    <row r="1784">
      <c r="A1784" s="54" t="n"/>
      <c r="B1784" s="61" t="n"/>
      <c r="C1784" s="58" t="n"/>
      <c r="D1784" s="58" t="n"/>
      <c r="E1784" s="64">
        <f>IF(tblCommentary[[#This Row],[Date]]="","",COUNTIFS(INDEX(tblCommentary[Date],1):tblCommentary[[#This Row],[Date]],tblCommentary[[#This Row],[Date]]))</f>
        <v/>
      </c>
      <c r="F1784" s="63">
        <f>IF(tblCommentary[[#This Row],[Date]]="","",tblCommentary[[#This Row],[Date]]&amp;"|"&amp;tblCommentary[[#This Row],[Seq_Day]])</f>
        <v/>
      </c>
    </row>
    <row r="1785">
      <c r="A1785" s="54" t="n"/>
      <c r="B1785" s="61" t="n"/>
      <c r="C1785" s="58" t="n"/>
      <c r="D1785" s="58" t="n"/>
      <c r="E1785" s="64">
        <f>IF(tblCommentary[[#This Row],[Date]]="","",COUNTIFS(INDEX(tblCommentary[Date],1):tblCommentary[[#This Row],[Date]],tblCommentary[[#This Row],[Date]]))</f>
        <v/>
      </c>
      <c r="F1785" s="63">
        <f>IF(tblCommentary[[#This Row],[Date]]="","",tblCommentary[[#This Row],[Date]]&amp;"|"&amp;tblCommentary[[#This Row],[Seq_Day]])</f>
        <v/>
      </c>
    </row>
    <row r="1786">
      <c r="A1786" s="54" t="n"/>
      <c r="B1786" s="61" t="n"/>
      <c r="C1786" s="58" t="n"/>
      <c r="D1786" s="58" t="n"/>
      <c r="E1786" s="64">
        <f>IF(tblCommentary[[#This Row],[Date]]="","",COUNTIFS(INDEX(tblCommentary[Date],1):tblCommentary[[#This Row],[Date]],tblCommentary[[#This Row],[Date]]))</f>
        <v/>
      </c>
      <c r="F1786" s="63">
        <f>IF(tblCommentary[[#This Row],[Date]]="","",tblCommentary[[#This Row],[Date]]&amp;"|"&amp;tblCommentary[[#This Row],[Seq_Day]])</f>
        <v/>
      </c>
    </row>
    <row r="1787">
      <c r="A1787" s="54" t="n"/>
      <c r="B1787" s="61" t="n"/>
      <c r="C1787" s="58" t="n"/>
      <c r="D1787" s="58" t="n"/>
      <c r="E1787" s="64">
        <f>IF(tblCommentary[[#This Row],[Date]]="","",COUNTIFS(INDEX(tblCommentary[Date],1):tblCommentary[[#This Row],[Date]],tblCommentary[[#This Row],[Date]]))</f>
        <v/>
      </c>
      <c r="F1787" s="63">
        <f>IF(tblCommentary[[#This Row],[Date]]="","",tblCommentary[[#This Row],[Date]]&amp;"|"&amp;tblCommentary[[#This Row],[Seq_Day]])</f>
        <v/>
      </c>
    </row>
    <row r="1788">
      <c r="A1788" s="54" t="n"/>
      <c r="B1788" s="61" t="n"/>
      <c r="C1788" s="58" t="n"/>
      <c r="D1788" s="58" t="n"/>
      <c r="E1788" s="64">
        <f>IF(tblCommentary[[#This Row],[Date]]="","",COUNTIFS(INDEX(tblCommentary[Date],1):tblCommentary[[#This Row],[Date]],tblCommentary[[#This Row],[Date]]))</f>
        <v/>
      </c>
      <c r="F1788" s="63">
        <f>IF(tblCommentary[[#This Row],[Date]]="","",tblCommentary[[#This Row],[Date]]&amp;"|"&amp;tblCommentary[[#This Row],[Seq_Day]])</f>
        <v/>
      </c>
    </row>
    <row r="1789">
      <c r="A1789" s="54" t="n"/>
      <c r="B1789" s="61" t="n"/>
      <c r="C1789" s="58" t="n"/>
      <c r="D1789" s="58" t="n"/>
      <c r="E1789" s="64">
        <f>IF(tblCommentary[[#This Row],[Date]]="","",COUNTIFS(INDEX(tblCommentary[Date],1):tblCommentary[[#This Row],[Date]],tblCommentary[[#This Row],[Date]]))</f>
        <v/>
      </c>
      <c r="F1789" s="63">
        <f>IF(tblCommentary[[#This Row],[Date]]="","",tblCommentary[[#This Row],[Date]]&amp;"|"&amp;tblCommentary[[#This Row],[Seq_Day]])</f>
        <v/>
      </c>
    </row>
    <row r="1790">
      <c r="A1790" s="54" t="n"/>
      <c r="B1790" s="61" t="n"/>
      <c r="C1790" s="58" t="n"/>
      <c r="D1790" s="58" t="n"/>
      <c r="E1790" s="64">
        <f>IF(tblCommentary[[#This Row],[Date]]="","",COUNTIFS(INDEX(tblCommentary[Date],1):tblCommentary[[#This Row],[Date]],tblCommentary[[#This Row],[Date]]))</f>
        <v/>
      </c>
      <c r="F1790" s="63">
        <f>IF(tblCommentary[[#This Row],[Date]]="","",tblCommentary[[#This Row],[Date]]&amp;"|"&amp;tblCommentary[[#This Row],[Seq_Day]])</f>
        <v/>
      </c>
    </row>
    <row r="1791">
      <c r="A1791" s="54" t="n"/>
      <c r="B1791" s="61" t="n"/>
      <c r="C1791" s="58" t="n"/>
      <c r="D1791" s="58" t="n"/>
      <c r="E1791" s="64">
        <f>IF(tblCommentary[[#This Row],[Date]]="","",COUNTIFS(INDEX(tblCommentary[Date],1):tblCommentary[[#This Row],[Date]],tblCommentary[[#This Row],[Date]]))</f>
        <v/>
      </c>
      <c r="F1791" s="63">
        <f>IF(tblCommentary[[#This Row],[Date]]="","",tblCommentary[[#This Row],[Date]]&amp;"|"&amp;tblCommentary[[#This Row],[Seq_Day]])</f>
        <v/>
      </c>
    </row>
    <row r="1792">
      <c r="A1792" s="54" t="n"/>
      <c r="B1792" s="61" t="n"/>
      <c r="C1792" s="58" t="n"/>
      <c r="D1792" s="58" t="n"/>
      <c r="E1792" s="64">
        <f>IF(tblCommentary[[#This Row],[Date]]="","",COUNTIFS(INDEX(tblCommentary[Date],1):tblCommentary[[#This Row],[Date]],tblCommentary[[#This Row],[Date]]))</f>
        <v/>
      </c>
      <c r="F1792" s="63">
        <f>IF(tblCommentary[[#This Row],[Date]]="","",tblCommentary[[#This Row],[Date]]&amp;"|"&amp;tblCommentary[[#This Row],[Seq_Day]])</f>
        <v/>
      </c>
    </row>
    <row r="1793">
      <c r="A1793" s="54" t="n"/>
      <c r="B1793" s="61" t="n"/>
      <c r="C1793" s="58" t="n"/>
      <c r="D1793" s="58" t="n"/>
      <c r="E1793" s="64">
        <f>IF(tblCommentary[[#This Row],[Date]]="","",COUNTIFS(INDEX(tblCommentary[Date],1):tblCommentary[[#This Row],[Date]],tblCommentary[[#This Row],[Date]]))</f>
        <v/>
      </c>
      <c r="F1793" s="63">
        <f>IF(tblCommentary[[#This Row],[Date]]="","",tblCommentary[[#This Row],[Date]]&amp;"|"&amp;tblCommentary[[#This Row],[Seq_Day]])</f>
        <v/>
      </c>
    </row>
    <row r="1794">
      <c r="A1794" s="54" t="n"/>
      <c r="B1794" s="61" t="n"/>
      <c r="C1794" s="58" t="n"/>
      <c r="D1794" s="58" t="n"/>
      <c r="E1794" s="64">
        <f>IF(tblCommentary[[#This Row],[Date]]="","",COUNTIFS(INDEX(tblCommentary[Date],1):tblCommentary[[#This Row],[Date]],tblCommentary[[#This Row],[Date]]))</f>
        <v/>
      </c>
      <c r="F1794" s="63">
        <f>IF(tblCommentary[[#This Row],[Date]]="","",tblCommentary[[#This Row],[Date]]&amp;"|"&amp;tblCommentary[[#This Row],[Seq_Day]])</f>
        <v/>
      </c>
    </row>
    <row r="1795">
      <c r="A1795" s="54" t="n"/>
      <c r="B1795" s="61" t="n"/>
      <c r="C1795" s="58" t="n"/>
      <c r="D1795" s="58" t="n"/>
      <c r="E1795" s="64">
        <f>IF(tblCommentary[[#This Row],[Date]]="","",COUNTIFS(INDEX(tblCommentary[Date],1):tblCommentary[[#This Row],[Date]],tblCommentary[[#This Row],[Date]]))</f>
        <v/>
      </c>
      <c r="F1795" s="63">
        <f>IF(tblCommentary[[#This Row],[Date]]="","",tblCommentary[[#This Row],[Date]]&amp;"|"&amp;tblCommentary[[#This Row],[Seq_Day]])</f>
        <v/>
      </c>
    </row>
    <row r="1796">
      <c r="A1796" s="54" t="n"/>
      <c r="B1796" s="61" t="n"/>
      <c r="C1796" s="58" t="n"/>
      <c r="D1796" s="58" t="n"/>
      <c r="E1796" s="64">
        <f>IF(tblCommentary[[#This Row],[Date]]="","",COUNTIFS(INDEX(tblCommentary[Date],1):tblCommentary[[#This Row],[Date]],tblCommentary[[#This Row],[Date]]))</f>
        <v/>
      </c>
      <c r="F1796" s="63">
        <f>IF(tblCommentary[[#This Row],[Date]]="","",tblCommentary[[#This Row],[Date]]&amp;"|"&amp;tblCommentary[[#This Row],[Seq_Day]])</f>
        <v/>
      </c>
    </row>
    <row r="1797">
      <c r="A1797" s="54" t="n"/>
      <c r="B1797" s="61" t="n"/>
      <c r="C1797" s="58" t="n"/>
      <c r="D1797" s="58" t="n"/>
      <c r="E1797" s="64">
        <f>IF(tblCommentary[[#This Row],[Date]]="","",COUNTIFS(INDEX(tblCommentary[Date],1):tblCommentary[[#This Row],[Date]],tblCommentary[[#This Row],[Date]]))</f>
        <v/>
      </c>
      <c r="F1797" s="63">
        <f>IF(tblCommentary[[#This Row],[Date]]="","",tblCommentary[[#This Row],[Date]]&amp;"|"&amp;tblCommentary[[#This Row],[Seq_Day]])</f>
        <v/>
      </c>
    </row>
    <row r="1798">
      <c r="A1798" s="54" t="n"/>
      <c r="B1798" s="61" t="n"/>
      <c r="C1798" s="58" t="n"/>
      <c r="D1798" s="58" t="n"/>
      <c r="E1798" s="64">
        <f>IF(tblCommentary[[#This Row],[Date]]="","",COUNTIFS(INDEX(tblCommentary[Date],1):tblCommentary[[#This Row],[Date]],tblCommentary[[#This Row],[Date]]))</f>
        <v/>
      </c>
      <c r="F1798" s="63">
        <f>IF(tblCommentary[[#This Row],[Date]]="","",tblCommentary[[#This Row],[Date]]&amp;"|"&amp;tblCommentary[[#This Row],[Seq_Day]])</f>
        <v/>
      </c>
    </row>
    <row r="1799">
      <c r="A1799" s="54" t="n"/>
      <c r="B1799" s="61" t="n"/>
      <c r="C1799" s="58" t="n"/>
      <c r="D1799" s="58" t="n"/>
      <c r="E1799" s="64">
        <f>IF(tblCommentary[[#This Row],[Date]]="","",COUNTIFS(INDEX(tblCommentary[Date],1):tblCommentary[[#This Row],[Date]],tblCommentary[[#This Row],[Date]]))</f>
        <v/>
      </c>
      <c r="F1799" s="63">
        <f>IF(tblCommentary[[#This Row],[Date]]="","",tblCommentary[[#This Row],[Date]]&amp;"|"&amp;tblCommentary[[#This Row],[Seq_Day]])</f>
        <v/>
      </c>
    </row>
    <row r="1800">
      <c r="A1800" s="54" t="n"/>
      <c r="B1800" s="61" t="n"/>
      <c r="C1800" s="58" t="n"/>
      <c r="D1800" s="58" t="n"/>
      <c r="E1800" s="64">
        <f>IF(tblCommentary[[#This Row],[Date]]="","",COUNTIFS(INDEX(tblCommentary[Date],1):tblCommentary[[#This Row],[Date]],tblCommentary[[#This Row],[Date]]))</f>
        <v/>
      </c>
      <c r="F1800" s="63">
        <f>IF(tblCommentary[[#This Row],[Date]]="","",tblCommentary[[#This Row],[Date]]&amp;"|"&amp;tblCommentary[[#This Row],[Seq_Day]])</f>
        <v/>
      </c>
    </row>
    <row r="1801">
      <c r="A1801" s="54" t="n"/>
      <c r="B1801" s="61" t="n"/>
      <c r="C1801" s="58" t="n"/>
      <c r="D1801" s="58" t="n"/>
      <c r="E1801" s="64">
        <f>IF(tblCommentary[[#This Row],[Date]]="","",COUNTIFS(INDEX(tblCommentary[Date],1):tblCommentary[[#This Row],[Date]],tblCommentary[[#This Row],[Date]]))</f>
        <v/>
      </c>
      <c r="F1801" s="63">
        <f>IF(tblCommentary[[#This Row],[Date]]="","",tblCommentary[[#This Row],[Date]]&amp;"|"&amp;tblCommentary[[#This Row],[Seq_Day]])</f>
        <v/>
      </c>
    </row>
    <row r="1802">
      <c r="A1802" s="54" t="n"/>
      <c r="B1802" s="61" t="n"/>
      <c r="C1802" s="58" t="n"/>
      <c r="D1802" s="58" t="n"/>
      <c r="E1802" s="64">
        <f>IF(tblCommentary[[#This Row],[Date]]="","",COUNTIFS(INDEX(tblCommentary[Date],1):tblCommentary[[#This Row],[Date]],tblCommentary[[#This Row],[Date]]))</f>
        <v/>
      </c>
      <c r="F1802" s="63">
        <f>IF(tblCommentary[[#This Row],[Date]]="","",tblCommentary[[#This Row],[Date]]&amp;"|"&amp;tblCommentary[[#This Row],[Seq_Day]])</f>
        <v/>
      </c>
    </row>
    <row r="1803">
      <c r="A1803" s="54" t="n"/>
      <c r="B1803" s="61" t="n"/>
      <c r="C1803" s="58" t="n"/>
      <c r="D1803" s="58" t="n"/>
      <c r="E1803" s="64">
        <f>IF(tblCommentary[[#This Row],[Date]]="","",COUNTIFS(INDEX(tblCommentary[Date],1):tblCommentary[[#This Row],[Date]],tblCommentary[[#This Row],[Date]]))</f>
        <v/>
      </c>
      <c r="F1803" s="63">
        <f>IF(tblCommentary[[#This Row],[Date]]="","",tblCommentary[[#This Row],[Date]]&amp;"|"&amp;tblCommentary[[#This Row],[Seq_Day]])</f>
        <v/>
      </c>
    </row>
    <row r="1804">
      <c r="A1804" s="54" t="n"/>
      <c r="B1804" s="61" t="n"/>
      <c r="C1804" s="58" t="n"/>
      <c r="D1804" s="58" t="n"/>
      <c r="E1804" s="64">
        <f>IF(tblCommentary[[#This Row],[Date]]="","",COUNTIFS(INDEX(tblCommentary[Date],1):tblCommentary[[#This Row],[Date]],tblCommentary[[#This Row],[Date]]))</f>
        <v/>
      </c>
      <c r="F1804" s="63">
        <f>IF(tblCommentary[[#This Row],[Date]]="","",tblCommentary[[#This Row],[Date]]&amp;"|"&amp;tblCommentary[[#This Row],[Seq_Day]])</f>
        <v/>
      </c>
    </row>
    <row r="1805">
      <c r="A1805" s="54" t="n"/>
      <c r="B1805" s="61" t="n"/>
      <c r="C1805" s="58" t="n"/>
      <c r="D1805" s="58" t="n"/>
      <c r="E1805" s="64">
        <f>IF(tblCommentary[[#This Row],[Date]]="","",COUNTIFS(INDEX(tblCommentary[Date],1):tblCommentary[[#This Row],[Date]],tblCommentary[[#This Row],[Date]]))</f>
        <v/>
      </c>
      <c r="F1805" s="63">
        <f>IF(tblCommentary[[#This Row],[Date]]="","",tblCommentary[[#This Row],[Date]]&amp;"|"&amp;tblCommentary[[#This Row],[Seq_Day]])</f>
        <v/>
      </c>
    </row>
    <row r="1806">
      <c r="A1806" s="54" t="n"/>
      <c r="B1806" s="61" t="n"/>
      <c r="C1806" s="58" t="n"/>
      <c r="D1806" s="58" t="n"/>
      <c r="E1806" s="64">
        <f>IF(tblCommentary[[#This Row],[Date]]="","",COUNTIFS(INDEX(tblCommentary[Date],1):tblCommentary[[#This Row],[Date]],tblCommentary[[#This Row],[Date]]))</f>
        <v/>
      </c>
      <c r="F1806" s="63">
        <f>IF(tblCommentary[[#This Row],[Date]]="","",tblCommentary[[#This Row],[Date]]&amp;"|"&amp;tblCommentary[[#This Row],[Seq_Day]])</f>
        <v/>
      </c>
    </row>
    <row r="1807">
      <c r="A1807" s="54" t="n"/>
      <c r="B1807" s="61" t="n"/>
      <c r="C1807" s="58" t="n"/>
      <c r="D1807" s="58" t="n"/>
      <c r="E1807" s="64">
        <f>IF(tblCommentary[[#This Row],[Date]]="","",COUNTIFS(INDEX(tblCommentary[Date],1):tblCommentary[[#This Row],[Date]],tblCommentary[[#This Row],[Date]]))</f>
        <v/>
      </c>
      <c r="F1807" s="63">
        <f>IF(tblCommentary[[#This Row],[Date]]="","",tblCommentary[[#This Row],[Date]]&amp;"|"&amp;tblCommentary[[#This Row],[Seq_Day]])</f>
        <v/>
      </c>
    </row>
    <row r="1808">
      <c r="A1808" s="54" t="n"/>
      <c r="B1808" s="61" t="n"/>
      <c r="C1808" s="58" t="n"/>
      <c r="D1808" s="58" t="n"/>
      <c r="E1808" s="64">
        <f>IF(tblCommentary[[#This Row],[Date]]="","",COUNTIFS(INDEX(tblCommentary[Date],1):tblCommentary[[#This Row],[Date]],tblCommentary[[#This Row],[Date]]))</f>
        <v/>
      </c>
      <c r="F1808" s="63">
        <f>IF(tblCommentary[[#This Row],[Date]]="","",tblCommentary[[#This Row],[Date]]&amp;"|"&amp;tblCommentary[[#This Row],[Seq_Day]])</f>
        <v/>
      </c>
    </row>
    <row r="1809">
      <c r="A1809" s="54" t="n"/>
      <c r="B1809" s="61" t="n"/>
      <c r="C1809" s="58" t="n"/>
      <c r="D1809" s="58" t="n"/>
      <c r="E1809" s="64">
        <f>IF(tblCommentary[[#This Row],[Date]]="","",COUNTIFS(INDEX(tblCommentary[Date],1):tblCommentary[[#This Row],[Date]],tblCommentary[[#This Row],[Date]]))</f>
        <v/>
      </c>
      <c r="F1809" s="63">
        <f>IF(tblCommentary[[#This Row],[Date]]="","",tblCommentary[[#This Row],[Date]]&amp;"|"&amp;tblCommentary[[#This Row],[Seq_Day]])</f>
        <v/>
      </c>
    </row>
    <row r="1810">
      <c r="A1810" s="54" t="n"/>
      <c r="B1810" s="61" t="n"/>
      <c r="C1810" s="58" t="n"/>
      <c r="D1810" s="58" t="n"/>
      <c r="E1810" s="64">
        <f>IF(tblCommentary[[#This Row],[Date]]="","",COUNTIFS(INDEX(tblCommentary[Date],1):tblCommentary[[#This Row],[Date]],tblCommentary[[#This Row],[Date]]))</f>
        <v/>
      </c>
      <c r="F1810" s="63">
        <f>IF(tblCommentary[[#This Row],[Date]]="","",tblCommentary[[#This Row],[Date]]&amp;"|"&amp;tblCommentary[[#This Row],[Seq_Day]])</f>
        <v/>
      </c>
    </row>
    <row r="1811">
      <c r="A1811" s="54" t="n"/>
      <c r="B1811" s="61" t="n"/>
      <c r="C1811" s="58" t="n"/>
      <c r="D1811" s="58" t="n"/>
      <c r="E1811" s="64">
        <f>IF(tblCommentary[[#This Row],[Date]]="","",COUNTIFS(INDEX(tblCommentary[Date],1):tblCommentary[[#This Row],[Date]],tblCommentary[[#This Row],[Date]]))</f>
        <v/>
      </c>
      <c r="F1811" s="63">
        <f>IF(tblCommentary[[#This Row],[Date]]="","",tblCommentary[[#This Row],[Date]]&amp;"|"&amp;tblCommentary[[#This Row],[Seq_Day]])</f>
        <v/>
      </c>
    </row>
    <row r="1812">
      <c r="A1812" s="54" t="n"/>
      <c r="B1812" s="61" t="n"/>
      <c r="C1812" s="58" t="n"/>
      <c r="D1812" s="58" t="n"/>
      <c r="E1812" s="64">
        <f>IF(tblCommentary[[#This Row],[Date]]="","",COUNTIFS(INDEX(tblCommentary[Date],1):tblCommentary[[#This Row],[Date]],tblCommentary[[#This Row],[Date]]))</f>
        <v/>
      </c>
      <c r="F1812" s="63">
        <f>IF(tblCommentary[[#This Row],[Date]]="","",tblCommentary[[#This Row],[Date]]&amp;"|"&amp;tblCommentary[[#This Row],[Seq_Day]])</f>
        <v/>
      </c>
    </row>
    <row r="1813">
      <c r="A1813" s="54" t="n"/>
      <c r="B1813" s="61" t="n"/>
      <c r="C1813" s="58" t="n"/>
      <c r="D1813" s="58" t="n"/>
      <c r="E1813" s="64">
        <f>IF(tblCommentary[[#This Row],[Date]]="","",COUNTIFS(INDEX(tblCommentary[Date],1):tblCommentary[[#This Row],[Date]],tblCommentary[[#This Row],[Date]]))</f>
        <v/>
      </c>
      <c r="F1813" s="63">
        <f>IF(tblCommentary[[#This Row],[Date]]="","",tblCommentary[[#This Row],[Date]]&amp;"|"&amp;tblCommentary[[#This Row],[Seq_Day]])</f>
        <v/>
      </c>
    </row>
    <row r="1814">
      <c r="A1814" s="54" t="n"/>
      <c r="B1814" s="61" t="n"/>
      <c r="C1814" s="58" t="n"/>
      <c r="D1814" s="58" t="n"/>
      <c r="E1814" s="64">
        <f>IF(tblCommentary[[#This Row],[Date]]="","",COUNTIFS(INDEX(tblCommentary[Date],1):tblCommentary[[#This Row],[Date]],tblCommentary[[#This Row],[Date]]))</f>
        <v/>
      </c>
      <c r="F1814" s="63">
        <f>IF(tblCommentary[[#This Row],[Date]]="","",tblCommentary[[#This Row],[Date]]&amp;"|"&amp;tblCommentary[[#This Row],[Seq_Day]])</f>
        <v/>
      </c>
    </row>
    <row r="1815">
      <c r="A1815" s="54" t="n"/>
      <c r="B1815" s="61" t="n"/>
      <c r="C1815" s="58" t="n"/>
      <c r="D1815" s="58" t="n"/>
      <c r="E1815" s="64">
        <f>IF(tblCommentary[[#This Row],[Date]]="","",COUNTIFS(INDEX(tblCommentary[Date],1):tblCommentary[[#This Row],[Date]],tblCommentary[[#This Row],[Date]]))</f>
        <v/>
      </c>
      <c r="F1815" s="63">
        <f>IF(tblCommentary[[#This Row],[Date]]="","",tblCommentary[[#This Row],[Date]]&amp;"|"&amp;tblCommentary[[#This Row],[Seq_Day]])</f>
        <v/>
      </c>
    </row>
    <row r="1816">
      <c r="A1816" s="54" t="n"/>
      <c r="B1816" s="61" t="n"/>
      <c r="C1816" s="58" t="n"/>
      <c r="D1816" s="58" t="n"/>
      <c r="E1816" s="64">
        <f>IF(tblCommentary[[#This Row],[Date]]="","",COUNTIFS(INDEX(tblCommentary[Date],1):tblCommentary[[#This Row],[Date]],tblCommentary[[#This Row],[Date]]))</f>
        <v/>
      </c>
      <c r="F1816" s="63">
        <f>IF(tblCommentary[[#This Row],[Date]]="","",tblCommentary[[#This Row],[Date]]&amp;"|"&amp;tblCommentary[[#This Row],[Seq_Day]])</f>
        <v/>
      </c>
    </row>
    <row r="1817">
      <c r="A1817" s="54" t="n"/>
      <c r="B1817" s="61" t="n"/>
      <c r="C1817" s="58" t="n"/>
      <c r="D1817" s="58" t="n"/>
      <c r="E1817" s="64">
        <f>IF(tblCommentary[[#This Row],[Date]]="","",COUNTIFS(INDEX(tblCommentary[Date],1):tblCommentary[[#This Row],[Date]],tblCommentary[[#This Row],[Date]]))</f>
        <v/>
      </c>
      <c r="F1817" s="63">
        <f>IF(tblCommentary[[#This Row],[Date]]="","",tblCommentary[[#This Row],[Date]]&amp;"|"&amp;tblCommentary[[#This Row],[Seq_Day]])</f>
        <v/>
      </c>
    </row>
    <row r="1818">
      <c r="A1818" s="54" t="n"/>
      <c r="B1818" s="61" t="n"/>
      <c r="C1818" s="58" t="n"/>
      <c r="D1818" s="58" t="n"/>
      <c r="E1818" s="64">
        <f>IF(tblCommentary[[#This Row],[Date]]="","",COUNTIFS(INDEX(tblCommentary[Date],1):tblCommentary[[#This Row],[Date]],tblCommentary[[#This Row],[Date]]))</f>
        <v/>
      </c>
      <c r="F1818" s="63">
        <f>IF(tblCommentary[[#This Row],[Date]]="","",tblCommentary[[#This Row],[Date]]&amp;"|"&amp;tblCommentary[[#This Row],[Seq_Day]])</f>
        <v/>
      </c>
    </row>
    <row r="1819">
      <c r="A1819" s="54" t="n"/>
      <c r="B1819" s="61" t="n"/>
      <c r="C1819" s="58" t="n"/>
      <c r="D1819" s="58" t="n"/>
      <c r="E1819" s="64">
        <f>IF(tblCommentary[[#This Row],[Date]]="","",COUNTIFS(INDEX(tblCommentary[Date],1):tblCommentary[[#This Row],[Date]],tblCommentary[[#This Row],[Date]]))</f>
        <v/>
      </c>
      <c r="F1819" s="63">
        <f>IF(tblCommentary[[#This Row],[Date]]="","",tblCommentary[[#This Row],[Date]]&amp;"|"&amp;tblCommentary[[#This Row],[Seq_Day]])</f>
        <v/>
      </c>
    </row>
    <row r="1820">
      <c r="A1820" s="54" t="n"/>
      <c r="B1820" s="61" t="n"/>
      <c r="C1820" s="58" t="n"/>
      <c r="D1820" s="58" t="n"/>
      <c r="E1820" s="64">
        <f>IF(tblCommentary[[#This Row],[Date]]="","",COUNTIFS(INDEX(tblCommentary[Date],1):tblCommentary[[#This Row],[Date]],tblCommentary[[#This Row],[Date]]))</f>
        <v/>
      </c>
      <c r="F1820" s="63">
        <f>IF(tblCommentary[[#This Row],[Date]]="","",tblCommentary[[#This Row],[Date]]&amp;"|"&amp;tblCommentary[[#This Row],[Seq_Day]])</f>
        <v/>
      </c>
    </row>
    <row r="1821">
      <c r="A1821" s="54" t="n"/>
      <c r="B1821" s="61" t="n"/>
      <c r="C1821" s="58" t="n"/>
      <c r="D1821" s="58" t="n"/>
      <c r="E1821" s="64">
        <f>IF(tblCommentary[[#This Row],[Date]]="","",COUNTIFS(INDEX(tblCommentary[Date],1):tblCommentary[[#This Row],[Date]],tblCommentary[[#This Row],[Date]]))</f>
        <v/>
      </c>
      <c r="F1821" s="63">
        <f>IF(tblCommentary[[#This Row],[Date]]="","",tblCommentary[[#This Row],[Date]]&amp;"|"&amp;tblCommentary[[#This Row],[Seq_Day]])</f>
        <v/>
      </c>
    </row>
    <row r="1822">
      <c r="A1822" s="54" t="n"/>
      <c r="B1822" s="61" t="n"/>
      <c r="C1822" s="58" t="n"/>
      <c r="D1822" s="58" t="n"/>
      <c r="E1822" s="64">
        <f>IF(tblCommentary[[#This Row],[Date]]="","",COUNTIFS(INDEX(tblCommentary[Date],1):tblCommentary[[#This Row],[Date]],tblCommentary[[#This Row],[Date]]))</f>
        <v/>
      </c>
      <c r="F1822" s="63">
        <f>IF(tblCommentary[[#This Row],[Date]]="","",tblCommentary[[#This Row],[Date]]&amp;"|"&amp;tblCommentary[[#This Row],[Seq_Day]])</f>
        <v/>
      </c>
    </row>
    <row r="1823">
      <c r="A1823" s="54" t="n"/>
      <c r="B1823" s="61" t="n"/>
      <c r="C1823" s="58" t="n"/>
      <c r="D1823" s="58" t="n"/>
      <c r="E1823" s="64">
        <f>IF(tblCommentary[[#This Row],[Date]]="","",COUNTIFS(INDEX(tblCommentary[Date],1):tblCommentary[[#This Row],[Date]],tblCommentary[[#This Row],[Date]]))</f>
        <v/>
      </c>
      <c r="F1823" s="63">
        <f>IF(tblCommentary[[#This Row],[Date]]="","",tblCommentary[[#This Row],[Date]]&amp;"|"&amp;tblCommentary[[#This Row],[Seq_Day]])</f>
        <v/>
      </c>
    </row>
    <row r="1824">
      <c r="A1824" s="54" t="n"/>
      <c r="B1824" s="61" t="n"/>
      <c r="C1824" s="58" t="n"/>
      <c r="D1824" s="58" t="n"/>
      <c r="E1824" s="64">
        <f>IF(tblCommentary[[#This Row],[Date]]="","",COUNTIFS(INDEX(tblCommentary[Date],1):tblCommentary[[#This Row],[Date]],tblCommentary[[#This Row],[Date]]))</f>
        <v/>
      </c>
      <c r="F1824" s="63">
        <f>IF(tblCommentary[[#This Row],[Date]]="","",tblCommentary[[#This Row],[Date]]&amp;"|"&amp;tblCommentary[[#This Row],[Seq_Day]])</f>
        <v/>
      </c>
    </row>
    <row r="1825">
      <c r="A1825" s="54" t="n"/>
      <c r="B1825" s="61" t="n"/>
      <c r="C1825" s="58" t="n"/>
      <c r="D1825" s="58" t="n"/>
      <c r="E1825" s="64">
        <f>IF(tblCommentary[[#This Row],[Date]]="","",COUNTIFS(INDEX(tblCommentary[Date],1):tblCommentary[[#This Row],[Date]],tblCommentary[[#This Row],[Date]]))</f>
        <v/>
      </c>
      <c r="F1825" s="63">
        <f>IF(tblCommentary[[#This Row],[Date]]="","",tblCommentary[[#This Row],[Date]]&amp;"|"&amp;tblCommentary[[#This Row],[Seq_Day]])</f>
        <v/>
      </c>
    </row>
    <row r="1826">
      <c r="A1826" s="54" t="n"/>
      <c r="B1826" s="61" t="n"/>
      <c r="C1826" s="58" t="n"/>
      <c r="D1826" s="58" t="n"/>
      <c r="E1826" s="64">
        <f>IF(tblCommentary[[#This Row],[Date]]="","",COUNTIFS(INDEX(tblCommentary[Date],1):tblCommentary[[#This Row],[Date]],tblCommentary[[#This Row],[Date]]))</f>
        <v/>
      </c>
      <c r="F1826" s="63">
        <f>IF(tblCommentary[[#This Row],[Date]]="","",tblCommentary[[#This Row],[Date]]&amp;"|"&amp;tblCommentary[[#This Row],[Seq_Day]])</f>
        <v/>
      </c>
    </row>
    <row r="1827">
      <c r="A1827" s="54" t="n"/>
      <c r="B1827" s="61" t="n"/>
      <c r="C1827" s="58" t="n"/>
      <c r="D1827" s="58" t="n"/>
      <c r="E1827" s="64">
        <f>IF(tblCommentary[[#This Row],[Date]]="","",COUNTIFS(INDEX(tblCommentary[Date],1):tblCommentary[[#This Row],[Date]],tblCommentary[[#This Row],[Date]]))</f>
        <v/>
      </c>
      <c r="F1827" s="63">
        <f>IF(tblCommentary[[#This Row],[Date]]="","",tblCommentary[[#This Row],[Date]]&amp;"|"&amp;tblCommentary[[#This Row],[Seq_Day]])</f>
        <v/>
      </c>
    </row>
    <row r="1828">
      <c r="A1828" s="54" t="n"/>
      <c r="B1828" s="61" t="n"/>
      <c r="C1828" s="58" t="n"/>
      <c r="D1828" s="58" t="n"/>
      <c r="E1828" s="64">
        <f>IF(tblCommentary[[#This Row],[Date]]="","",COUNTIFS(INDEX(tblCommentary[Date],1):tblCommentary[[#This Row],[Date]],tblCommentary[[#This Row],[Date]]))</f>
        <v/>
      </c>
      <c r="F1828" s="63">
        <f>IF(tblCommentary[[#This Row],[Date]]="","",tblCommentary[[#This Row],[Date]]&amp;"|"&amp;tblCommentary[[#This Row],[Seq_Day]])</f>
        <v/>
      </c>
    </row>
    <row r="1829">
      <c r="A1829" s="54" t="n"/>
      <c r="B1829" s="61" t="n"/>
      <c r="C1829" s="58" t="n"/>
      <c r="D1829" s="58" t="n"/>
      <c r="E1829" s="64">
        <f>IF(tblCommentary[[#This Row],[Date]]="","",COUNTIFS(INDEX(tblCommentary[Date],1):tblCommentary[[#This Row],[Date]],tblCommentary[[#This Row],[Date]]))</f>
        <v/>
      </c>
      <c r="F1829" s="63">
        <f>IF(tblCommentary[[#This Row],[Date]]="","",tblCommentary[[#This Row],[Date]]&amp;"|"&amp;tblCommentary[[#This Row],[Seq_Day]])</f>
        <v/>
      </c>
    </row>
    <row r="1830">
      <c r="A1830" s="54" t="n"/>
      <c r="B1830" s="61" t="n"/>
      <c r="C1830" s="58" t="n"/>
      <c r="D1830" s="58" t="n"/>
      <c r="E1830" s="64">
        <f>IF(tblCommentary[[#This Row],[Date]]="","",COUNTIFS(INDEX(tblCommentary[Date],1):tblCommentary[[#This Row],[Date]],tblCommentary[[#This Row],[Date]]))</f>
        <v/>
      </c>
      <c r="F1830" s="63">
        <f>IF(tblCommentary[[#This Row],[Date]]="","",tblCommentary[[#This Row],[Date]]&amp;"|"&amp;tblCommentary[[#This Row],[Seq_Day]])</f>
        <v/>
      </c>
    </row>
    <row r="1831">
      <c r="A1831" s="54" t="n"/>
      <c r="B1831" s="61" t="n"/>
      <c r="C1831" s="58" t="n"/>
      <c r="D1831" s="58" t="n"/>
      <c r="E1831" s="64">
        <f>IF(tblCommentary[[#This Row],[Date]]="","",COUNTIFS(INDEX(tblCommentary[Date],1):tblCommentary[[#This Row],[Date]],tblCommentary[[#This Row],[Date]]))</f>
        <v/>
      </c>
      <c r="F1831" s="63">
        <f>IF(tblCommentary[[#This Row],[Date]]="","",tblCommentary[[#This Row],[Date]]&amp;"|"&amp;tblCommentary[[#This Row],[Seq_Day]])</f>
        <v/>
      </c>
    </row>
    <row r="1832">
      <c r="A1832" s="54" t="n"/>
      <c r="B1832" s="61" t="n"/>
      <c r="C1832" s="58" t="n"/>
      <c r="D1832" s="58" t="n"/>
      <c r="E1832" s="64">
        <f>IF(tblCommentary[[#This Row],[Date]]="","",COUNTIFS(INDEX(tblCommentary[Date],1):tblCommentary[[#This Row],[Date]],tblCommentary[[#This Row],[Date]]))</f>
        <v/>
      </c>
      <c r="F1832" s="63">
        <f>IF(tblCommentary[[#This Row],[Date]]="","",tblCommentary[[#This Row],[Date]]&amp;"|"&amp;tblCommentary[[#This Row],[Seq_Day]])</f>
        <v/>
      </c>
    </row>
    <row r="1833">
      <c r="A1833" s="54" t="n"/>
      <c r="B1833" s="61" t="n"/>
      <c r="C1833" s="58" t="n"/>
      <c r="D1833" s="58" t="n"/>
      <c r="E1833" s="64">
        <f>IF(tblCommentary[[#This Row],[Date]]="","",COUNTIFS(INDEX(tblCommentary[Date],1):tblCommentary[[#This Row],[Date]],tblCommentary[[#This Row],[Date]]))</f>
        <v/>
      </c>
      <c r="F1833" s="63">
        <f>IF(tblCommentary[[#This Row],[Date]]="","",tblCommentary[[#This Row],[Date]]&amp;"|"&amp;tblCommentary[[#This Row],[Seq_Day]])</f>
        <v/>
      </c>
    </row>
    <row r="1834">
      <c r="A1834" s="54" t="n"/>
      <c r="B1834" s="61" t="n"/>
      <c r="C1834" s="58" t="n"/>
      <c r="D1834" s="58" t="n"/>
      <c r="E1834" s="64">
        <f>IF(tblCommentary[[#This Row],[Date]]="","",COUNTIFS(INDEX(tblCommentary[Date],1):tblCommentary[[#This Row],[Date]],tblCommentary[[#This Row],[Date]]))</f>
        <v/>
      </c>
      <c r="F1834" s="63">
        <f>IF(tblCommentary[[#This Row],[Date]]="","",tblCommentary[[#This Row],[Date]]&amp;"|"&amp;tblCommentary[[#This Row],[Seq_Day]])</f>
        <v/>
      </c>
    </row>
    <row r="1835">
      <c r="A1835" s="54" t="n"/>
      <c r="B1835" s="61" t="n"/>
      <c r="C1835" s="58" t="n"/>
      <c r="D1835" s="58" t="n"/>
      <c r="E1835" s="64">
        <f>IF(tblCommentary[[#This Row],[Date]]="","",COUNTIFS(INDEX(tblCommentary[Date],1):tblCommentary[[#This Row],[Date]],tblCommentary[[#This Row],[Date]]))</f>
        <v/>
      </c>
      <c r="F1835" s="63">
        <f>IF(tblCommentary[[#This Row],[Date]]="","",tblCommentary[[#This Row],[Date]]&amp;"|"&amp;tblCommentary[[#This Row],[Seq_Day]])</f>
        <v/>
      </c>
    </row>
    <row r="1836">
      <c r="A1836" s="54" t="n"/>
      <c r="B1836" s="61" t="n"/>
      <c r="C1836" s="58" t="n"/>
      <c r="D1836" s="58" t="n"/>
      <c r="E1836" s="64">
        <f>IF(tblCommentary[[#This Row],[Date]]="","",COUNTIFS(INDEX(tblCommentary[Date],1):tblCommentary[[#This Row],[Date]],tblCommentary[[#This Row],[Date]]))</f>
        <v/>
      </c>
      <c r="F1836" s="63">
        <f>IF(tblCommentary[[#This Row],[Date]]="","",tblCommentary[[#This Row],[Date]]&amp;"|"&amp;tblCommentary[[#This Row],[Seq_Day]])</f>
        <v/>
      </c>
    </row>
    <row r="1837">
      <c r="A1837" s="54" t="n"/>
      <c r="B1837" s="61" t="n"/>
      <c r="C1837" s="58" t="n"/>
      <c r="D1837" s="58" t="n"/>
      <c r="E1837" s="64">
        <f>IF(tblCommentary[[#This Row],[Date]]="","",COUNTIFS(INDEX(tblCommentary[Date],1):tblCommentary[[#This Row],[Date]],tblCommentary[[#This Row],[Date]]))</f>
        <v/>
      </c>
      <c r="F1837" s="63">
        <f>IF(tblCommentary[[#This Row],[Date]]="","",tblCommentary[[#This Row],[Date]]&amp;"|"&amp;tblCommentary[[#This Row],[Seq_Day]])</f>
        <v/>
      </c>
    </row>
    <row r="1838">
      <c r="A1838" s="54" t="n"/>
      <c r="B1838" s="61" t="n"/>
      <c r="C1838" s="58" t="n"/>
      <c r="D1838" s="58" t="n"/>
      <c r="E1838" s="64">
        <f>IF(tblCommentary[[#This Row],[Date]]="","",COUNTIFS(INDEX(tblCommentary[Date],1):tblCommentary[[#This Row],[Date]],tblCommentary[[#This Row],[Date]]))</f>
        <v/>
      </c>
      <c r="F1838" s="63">
        <f>IF(tblCommentary[[#This Row],[Date]]="","",tblCommentary[[#This Row],[Date]]&amp;"|"&amp;tblCommentary[[#This Row],[Seq_Day]])</f>
        <v/>
      </c>
    </row>
    <row r="1839">
      <c r="A1839" s="54" t="n"/>
      <c r="B1839" s="61" t="n"/>
      <c r="C1839" s="58" t="n"/>
      <c r="D1839" s="58" t="n"/>
      <c r="E1839" s="64">
        <f>IF(tblCommentary[[#This Row],[Date]]="","",COUNTIFS(INDEX(tblCommentary[Date],1):tblCommentary[[#This Row],[Date]],tblCommentary[[#This Row],[Date]]))</f>
        <v/>
      </c>
      <c r="F1839" s="63">
        <f>IF(tblCommentary[[#This Row],[Date]]="","",tblCommentary[[#This Row],[Date]]&amp;"|"&amp;tblCommentary[[#This Row],[Seq_Day]])</f>
        <v/>
      </c>
    </row>
    <row r="1840">
      <c r="A1840" s="54" t="n"/>
      <c r="B1840" s="61" t="n"/>
      <c r="C1840" s="58" t="n"/>
      <c r="D1840" s="58" t="n"/>
      <c r="E1840" s="64">
        <f>IF(tblCommentary[[#This Row],[Date]]="","",COUNTIFS(INDEX(tblCommentary[Date],1):tblCommentary[[#This Row],[Date]],tblCommentary[[#This Row],[Date]]))</f>
        <v/>
      </c>
      <c r="F1840" s="63">
        <f>IF(tblCommentary[[#This Row],[Date]]="","",tblCommentary[[#This Row],[Date]]&amp;"|"&amp;tblCommentary[[#This Row],[Seq_Day]])</f>
        <v/>
      </c>
    </row>
    <row r="1841">
      <c r="A1841" s="54" t="n"/>
      <c r="B1841" s="61" t="n"/>
      <c r="C1841" s="58" t="n"/>
      <c r="D1841" s="58" t="n"/>
      <c r="E1841" s="64">
        <f>IF(tblCommentary[[#This Row],[Date]]="","",COUNTIFS(INDEX(tblCommentary[Date],1):tblCommentary[[#This Row],[Date]],tblCommentary[[#This Row],[Date]]))</f>
        <v/>
      </c>
      <c r="F1841" s="63">
        <f>IF(tblCommentary[[#This Row],[Date]]="","",tblCommentary[[#This Row],[Date]]&amp;"|"&amp;tblCommentary[[#This Row],[Seq_Day]])</f>
        <v/>
      </c>
    </row>
    <row r="1842">
      <c r="A1842" s="54" t="n"/>
      <c r="B1842" s="61" t="n"/>
      <c r="C1842" s="58" t="n"/>
      <c r="D1842" s="58" t="n"/>
      <c r="E1842" s="64">
        <f>IF(tblCommentary[[#This Row],[Date]]="","",COUNTIFS(INDEX(tblCommentary[Date],1):tblCommentary[[#This Row],[Date]],tblCommentary[[#This Row],[Date]]))</f>
        <v/>
      </c>
      <c r="F1842" s="63">
        <f>IF(tblCommentary[[#This Row],[Date]]="","",tblCommentary[[#This Row],[Date]]&amp;"|"&amp;tblCommentary[[#This Row],[Seq_Day]])</f>
        <v/>
      </c>
    </row>
    <row r="1843">
      <c r="A1843" s="54" t="n"/>
      <c r="B1843" s="61" t="n"/>
      <c r="C1843" s="58" t="n"/>
      <c r="D1843" s="58" t="n"/>
      <c r="E1843" s="64">
        <f>IF(tblCommentary[[#This Row],[Date]]="","",COUNTIFS(INDEX(tblCommentary[Date],1):tblCommentary[[#This Row],[Date]],tblCommentary[[#This Row],[Date]]))</f>
        <v/>
      </c>
      <c r="F1843" s="63">
        <f>IF(tblCommentary[[#This Row],[Date]]="","",tblCommentary[[#This Row],[Date]]&amp;"|"&amp;tblCommentary[[#This Row],[Seq_Day]])</f>
        <v/>
      </c>
    </row>
    <row r="1844">
      <c r="A1844" s="54" t="n"/>
      <c r="B1844" s="61" t="n"/>
      <c r="C1844" s="58" t="n"/>
      <c r="D1844" s="58" t="n"/>
      <c r="E1844" s="64">
        <f>IF(tblCommentary[[#This Row],[Date]]="","",COUNTIFS(INDEX(tblCommentary[Date],1):tblCommentary[[#This Row],[Date]],tblCommentary[[#This Row],[Date]]))</f>
        <v/>
      </c>
      <c r="F1844" s="63">
        <f>IF(tblCommentary[[#This Row],[Date]]="","",tblCommentary[[#This Row],[Date]]&amp;"|"&amp;tblCommentary[[#This Row],[Seq_Day]])</f>
        <v/>
      </c>
    </row>
    <row r="1845">
      <c r="A1845" s="54" t="n"/>
      <c r="B1845" s="61" t="n"/>
      <c r="C1845" s="58" t="n"/>
      <c r="D1845" s="58" t="n"/>
      <c r="E1845" s="64">
        <f>IF(tblCommentary[[#This Row],[Date]]="","",COUNTIFS(INDEX(tblCommentary[Date],1):tblCommentary[[#This Row],[Date]],tblCommentary[[#This Row],[Date]]))</f>
        <v/>
      </c>
      <c r="F1845" s="63">
        <f>IF(tblCommentary[[#This Row],[Date]]="","",tblCommentary[[#This Row],[Date]]&amp;"|"&amp;tblCommentary[[#This Row],[Seq_Day]])</f>
        <v/>
      </c>
    </row>
    <row r="1846">
      <c r="A1846" s="54" t="n"/>
      <c r="B1846" s="61" t="n"/>
      <c r="C1846" s="58" t="n"/>
      <c r="D1846" s="58" t="n"/>
      <c r="E1846" s="64">
        <f>IF(tblCommentary[[#This Row],[Date]]="","",COUNTIFS(INDEX(tblCommentary[Date],1):tblCommentary[[#This Row],[Date]],tblCommentary[[#This Row],[Date]]))</f>
        <v/>
      </c>
      <c r="F1846" s="63">
        <f>IF(tblCommentary[[#This Row],[Date]]="","",tblCommentary[[#This Row],[Date]]&amp;"|"&amp;tblCommentary[[#This Row],[Seq_Day]])</f>
        <v/>
      </c>
    </row>
    <row r="1847">
      <c r="A1847" s="54" t="n"/>
      <c r="B1847" s="61" t="n"/>
      <c r="C1847" s="58" t="n"/>
      <c r="D1847" s="58" t="n"/>
      <c r="E1847" s="64">
        <f>IF(tblCommentary[[#This Row],[Date]]="","",COUNTIFS(INDEX(tblCommentary[Date],1):tblCommentary[[#This Row],[Date]],tblCommentary[[#This Row],[Date]]))</f>
        <v/>
      </c>
      <c r="F1847" s="63">
        <f>IF(tblCommentary[[#This Row],[Date]]="","",tblCommentary[[#This Row],[Date]]&amp;"|"&amp;tblCommentary[[#This Row],[Seq_Day]])</f>
        <v/>
      </c>
    </row>
    <row r="1848">
      <c r="A1848" s="54" t="n"/>
      <c r="B1848" s="61" t="n"/>
      <c r="C1848" s="58" t="n"/>
      <c r="D1848" s="58" t="n"/>
      <c r="E1848" s="64">
        <f>IF(tblCommentary[[#This Row],[Date]]="","",COUNTIFS(INDEX(tblCommentary[Date],1):tblCommentary[[#This Row],[Date]],tblCommentary[[#This Row],[Date]]))</f>
        <v/>
      </c>
      <c r="F1848" s="63">
        <f>IF(tblCommentary[[#This Row],[Date]]="","",tblCommentary[[#This Row],[Date]]&amp;"|"&amp;tblCommentary[[#This Row],[Seq_Day]])</f>
        <v/>
      </c>
    </row>
    <row r="1849">
      <c r="A1849" s="54" t="n"/>
      <c r="B1849" s="61" t="n"/>
      <c r="C1849" s="58" t="n"/>
      <c r="D1849" s="58" t="n"/>
      <c r="E1849" s="64">
        <f>IF(tblCommentary[[#This Row],[Date]]="","",COUNTIFS(INDEX(tblCommentary[Date],1):tblCommentary[[#This Row],[Date]],tblCommentary[[#This Row],[Date]]))</f>
        <v/>
      </c>
      <c r="F1849" s="63">
        <f>IF(tblCommentary[[#This Row],[Date]]="","",tblCommentary[[#This Row],[Date]]&amp;"|"&amp;tblCommentary[[#This Row],[Seq_Day]])</f>
        <v/>
      </c>
    </row>
    <row r="1850">
      <c r="A1850" s="54" t="n"/>
      <c r="B1850" s="61" t="n"/>
      <c r="C1850" s="58" t="n"/>
      <c r="D1850" s="58" t="n"/>
      <c r="E1850" s="64">
        <f>IF(tblCommentary[[#This Row],[Date]]="","",COUNTIFS(INDEX(tblCommentary[Date],1):tblCommentary[[#This Row],[Date]],tblCommentary[[#This Row],[Date]]))</f>
        <v/>
      </c>
      <c r="F1850" s="63">
        <f>IF(tblCommentary[[#This Row],[Date]]="","",tblCommentary[[#This Row],[Date]]&amp;"|"&amp;tblCommentary[[#This Row],[Seq_Day]])</f>
        <v/>
      </c>
    </row>
    <row r="1851">
      <c r="A1851" s="54" t="n"/>
      <c r="B1851" s="61" t="n"/>
      <c r="C1851" s="58" t="n"/>
      <c r="D1851" s="58" t="n"/>
      <c r="E1851" s="64">
        <f>IF(tblCommentary[[#This Row],[Date]]="","",COUNTIFS(INDEX(tblCommentary[Date],1):tblCommentary[[#This Row],[Date]],tblCommentary[[#This Row],[Date]]))</f>
        <v/>
      </c>
      <c r="F1851" s="63">
        <f>IF(tblCommentary[[#This Row],[Date]]="","",tblCommentary[[#This Row],[Date]]&amp;"|"&amp;tblCommentary[[#This Row],[Seq_Day]])</f>
        <v/>
      </c>
    </row>
    <row r="1852">
      <c r="A1852" s="54" t="n"/>
      <c r="B1852" s="61" t="n"/>
      <c r="C1852" s="58" t="n"/>
      <c r="D1852" s="58" t="n"/>
      <c r="E1852" s="64">
        <f>IF(tblCommentary[[#This Row],[Date]]="","",COUNTIFS(INDEX(tblCommentary[Date],1):tblCommentary[[#This Row],[Date]],tblCommentary[[#This Row],[Date]]))</f>
        <v/>
      </c>
      <c r="F1852" s="63">
        <f>IF(tblCommentary[[#This Row],[Date]]="","",tblCommentary[[#This Row],[Date]]&amp;"|"&amp;tblCommentary[[#This Row],[Seq_Day]])</f>
        <v/>
      </c>
    </row>
    <row r="1853">
      <c r="A1853" s="54" t="n"/>
      <c r="B1853" s="61" t="n"/>
      <c r="C1853" s="58" t="n"/>
      <c r="D1853" s="58" t="n"/>
      <c r="E1853" s="64">
        <f>IF(tblCommentary[[#This Row],[Date]]="","",COUNTIFS(INDEX(tblCommentary[Date],1):tblCommentary[[#This Row],[Date]],tblCommentary[[#This Row],[Date]]))</f>
        <v/>
      </c>
      <c r="F1853" s="63">
        <f>IF(tblCommentary[[#This Row],[Date]]="","",tblCommentary[[#This Row],[Date]]&amp;"|"&amp;tblCommentary[[#This Row],[Seq_Day]])</f>
        <v/>
      </c>
    </row>
    <row r="1854">
      <c r="A1854" s="54" t="n"/>
      <c r="B1854" s="61" t="n"/>
      <c r="C1854" s="58" t="n"/>
      <c r="D1854" s="58" t="n"/>
      <c r="E1854" s="64">
        <f>IF(tblCommentary[[#This Row],[Date]]="","",COUNTIFS(INDEX(tblCommentary[Date],1):tblCommentary[[#This Row],[Date]],tblCommentary[[#This Row],[Date]]))</f>
        <v/>
      </c>
      <c r="F1854" s="63">
        <f>IF(tblCommentary[[#This Row],[Date]]="","",tblCommentary[[#This Row],[Date]]&amp;"|"&amp;tblCommentary[[#This Row],[Seq_Day]])</f>
        <v/>
      </c>
    </row>
    <row r="1855">
      <c r="A1855" s="54" t="n"/>
      <c r="B1855" s="61" t="n"/>
      <c r="C1855" s="58" t="n"/>
      <c r="D1855" s="58" t="n"/>
      <c r="E1855" s="64">
        <f>IF(tblCommentary[[#This Row],[Date]]="","",COUNTIFS(INDEX(tblCommentary[Date],1):tblCommentary[[#This Row],[Date]],tblCommentary[[#This Row],[Date]]))</f>
        <v/>
      </c>
      <c r="F1855" s="63">
        <f>IF(tblCommentary[[#This Row],[Date]]="","",tblCommentary[[#This Row],[Date]]&amp;"|"&amp;tblCommentary[[#This Row],[Seq_Day]])</f>
        <v/>
      </c>
    </row>
    <row r="1856">
      <c r="A1856" s="54" t="n"/>
      <c r="B1856" s="61" t="n"/>
      <c r="C1856" s="58" t="n"/>
      <c r="D1856" s="58" t="n"/>
      <c r="E1856" s="64">
        <f>IF(tblCommentary[[#This Row],[Date]]="","",COUNTIFS(INDEX(tblCommentary[Date],1):tblCommentary[[#This Row],[Date]],tblCommentary[[#This Row],[Date]]))</f>
        <v/>
      </c>
      <c r="F1856" s="63">
        <f>IF(tblCommentary[[#This Row],[Date]]="","",tblCommentary[[#This Row],[Date]]&amp;"|"&amp;tblCommentary[[#This Row],[Seq_Day]])</f>
        <v/>
      </c>
    </row>
    <row r="1857">
      <c r="A1857" s="54" t="n"/>
      <c r="B1857" s="61" t="n"/>
      <c r="C1857" s="58" t="n"/>
      <c r="D1857" s="58" t="n"/>
      <c r="E1857" s="64">
        <f>IF(tblCommentary[[#This Row],[Date]]="","",COUNTIFS(INDEX(tblCommentary[Date],1):tblCommentary[[#This Row],[Date]],tblCommentary[[#This Row],[Date]]))</f>
        <v/>
      </c>
      <c r="F1857" s="63">
        <f>IF(tblCommentary[[#This Row],[Date]]="","",tblCommentary[[#This Row],[Date]]&amp;"|"&amp;tblCommentary[[#This Row],[Seq_Day]])</f>
        <v/>
      </c>
    </row>
    <row r="1858">
      <c r="A1858" s="54" t="n"/>
      <c r="B1858" s="61" t="n"/>
      <c r="C1858" s="58" t="n"/>
      <c r="D1858" s="58" t="n"/>
      <c r="E1858" s="64">
        <f>IF(tblCommentary[[#This Row],[Date]]="","",COUNTIFS(INDEX(tblCommentary[Date],1):tblCommentary[[#This Row],[Date]],tblCommentary[[#This Row],[Date]]))</f>
        <v/>
      </c>
      <c r="F1858" s="63">
        <f>IF(tblCommentary[[#This Row],[Date]]="","",tblCommentary[[#This Row],[Date]]&amp;"|"&amp;tblCommentary[[#This Row],[Seq_Day]])</f>
        <v/>
      </c>
    </row>
    <row r="1859">
      <c r="A1859" s="54" t="n"/>
      <c r="B1859" s="61" t="n"/>
      <c r="C1859" s="58" t="n"/>
      <c r="D1859" s="58" t="n"/>
      <c r="E1859" s="64">
        <f>IF(tblCommentary[[#This Row],[Date]]="","",COUNTIFS(INDEX(tblCommentary[Date],1):tblCommentary[[#This Row],[Date]],tblCommentary[[#This Row],[Date]]))</f>
        <v/>
      </c>
      <c r="F1859" s="63">
        <f>IF(tblCommentary[[#This Row],[Date]]="","",tblCommentary[[#This Row],[Date]]&amp;"|"&amp;tblCommentary[[#This Row],[Seq_Day]])</f>
        <v/>
      </c>
    </row>
    <row r="1860">
      <c r="A1860" s="54" t="n"/>
      <c r="B1860" s="61" t="n"/>
      <c r="C1860" s="58" t="n"/>
      <c r="D1860" s="58" t="n"/>
      <c r="E1860" s="64">
        <f>IF(tblCommentary[[#This Row],[Date]]="","",COUNTIFS(INDEX(tblCommentary[Date],1):tblCommentary[[#This Row],[Date]],tblCommentary[[#This Row],[Date]]))</f>
        <v/>
      </c>
      <c r="F1860" s="63">
        <f>IF(tblCommentary[[#This Row],[Date]]="","",tblCommentary[[#This Row],[Date]]&amp;"|"&amp;tblCommentary[[#This Row],[Seq_Day]])</f>
        <v/>
      </c>
    </row>
    <row r="1861">
      <c r="A1861" s="54" t="n"/>
      <c r="B1861" s="61" t="n"/>
      <c r="C1861" s="58" t="n"/>
      <c r="D1861" s="58" t="n"/>
      <c r="E1861" s="64">
        <f>IF(tblCommentary[[#This Row],[Date]]="","",COUNTIFS(INDEX(tblCommentary[Date],1):tblCommentary[[#This Row],[Date]],tblCommentary[[#This Row],[Date]]))</f>
        <v/>
      </c>
      <c r="F1861" s="63">
        <f>IF(tblCommentary[[#This Row],[Date]]="","",tblCommentary[[#This Row],[Date]]&amp;"|"&amp;tblCommentary[[#This Row],[Seq_Day]])</f>
        <v/>
      </c>
    </row>
    <row r="1862">
      <c r="A1862" s="54" t="n"/>
      <c r="B1862" s="61" t="n"/>
      <c r="C1862" s="58" t="n"/>
      <c r="D1862" s="58" t="n"/>
      <c r="E1862" s="64">
        <f>IF(tblCommentary[[#This Row],[Date]]="","",COUNTIFS(INDEX(tblCommentary[Date],1):tblCommentary[[#This Row],[Date]],tblCommentary[[#This Row],[Date]]))</f>
        <v/>
      </c>
      <c r="F1862" s="63">
        <f>IF(tblCommentary[[#This Row],[Date]]="","",tblCommentary[[#This Row],[Date]]&amp;"|"&amp;tblCommentary[[#This Row],[Seq_Day]])</f>
        <v/>
      </c>
    </row>
    <row r="1863">
      <c r="A1863" s="54" t="n"/>
      <c r="B1863" s="61" t="n"/>
      <c r="C1863" s="58" t="n"/>
      <c r="D1863" s="58" t="n"/>
      <c r="E1863" s="64">
        <f>IF(tblCommentary[[#This Row],[Date]]="","",COUNTIFS(INDEX(tblCommentary[Date],1):tblCommentary[[#This Row],[Date]],tblCommentary[[#This Row],[Date]]))</f>
        <v/>
      </c>
      <c r="F1863" s="63">
        <f>IF(tblCommentary[[#This Row],[Date]]="","",tblCommentary[[#This Row],[Date]]&amp;"|"&amp;tblCommentary[[#This Row],[Seq_Day]])</f>
        <v/>
      </c>
    </row>
    <row r="1864">
      <c r="A1864" s="54" t="n"/>
      <c r="B1864" s="61" t="n"/>
      <c r="C1864" s="58" t="n"/>
      <c r="D1864" s="58" t="n"/>
      <c r="E1864" s="64">
        <f>IF(tblCommentary[[#This Row],[Date]]="","",COUNTIFS(INDEX(tblCommentary[Date],1):tblCommentary[[#This Row],[Date]],tblCommentary[[#This Row],[Date]]))</f>
        <v/>
      </c>
      <c r="F1864" s="63">
        <f>IF(tblCommentary[[#This Row],[Date]]="","",tblCommentary[[#This Row],[Date]]&amp;"|"&amp;tblCommentary[[#This Row],[Seq_Day]])</f>
        <v/>
      </c>
    </row>
    <row r="1865">
      <c r="A1865" s="54" t="n"/>
      <c r="B1865" s="61" t="n"/>
      <c r="C1865" s="58" t="n"/>
      <c r="D1865" s="58" t="n"/>
      <c r="E1865" s="64">
        <f>IF(tblCommentary[[#This Row],[Date]]="","",COUNTIFS(INDEX(tblCommentary[Date],1):tblCommentary[[#This Row],[Date]],tblCommentary[[#This Row],[Date]]))</f>
        <v/>
      </c>
      <c r="F1865" s="63">
        <f>IF(tblCommentary[[#This Row],[Date]]="","",tblCommentary[[#This Row],[Date]]&amp;"|"&amp;tblCommentary[[#This Row],[Seq_Day]])</f>
        <v/>
      </c>
    </row>
    <row r="1866">
      <c r="A1866" s="54" t="n"/>
      <c r="B1866" s="61" t="n"/>
      <c r="C1866" s="58" t="n"/>
      <c r="D1866" s="58" t="n"/>
      <c r="E1866" s="64">
        <f>IF(tblCommentary[[#This Row],[Date]]="","",COUNTIFS(INDEX(tblCommentary[Date],1):tblCommentary[[#This Row],[Date]],tblCommentary[[#This Row],[Date]]))</f>
        <v/>
      </c>
      <c r="F1866" s="63">
        <f>IF(tblCommentary[[#This Row],[Date]]="","",tblCommentary[[#This Row],[Date]]&amp;"|"&amp;tblCommentary[[#This Row],[Seq_Day]])</f>
        <v/>
      </c>
    </row>
    <row r="1867">
      <c r="A1867" s="54" t="n"/>
      <c r="B1867" s="61" t="n"/>
      <c r="C1867" s="58" t="n"/>
      <c r="D1867" s="58" t="n"/>
      <c r="E1867" s="64">
        <f>IF(tblCommentary[[#This Row],[Date]]="","",COUNTIFS(INDEX(tblCommentary[Date],1):tblCommentary[[#This Row],[Date]],tblCommentary[[#This Row],[Date]]))</f>
        <v/>
      </c>
      <c r="F1867" s="63">
        <f>IF(tblCommentary[[#This Row],[Date]]="","",tblCommentary[[#This Row],[Date]]&amp;"|"&amp;tblCommentary[[#This Row],[Seq_Day]])</f>
        <v/>
      </c>
    </row>
    <row r="1868">
      <c r="A1868" s="54" t="n"/>
      <c r="B1868" s="61" t="n"/>
      <c r="C1868" s="58" t="n"/>
      <c r="D1868" s="58" t="n"/>
      <c r="E1868" s="64">
        <f>IF(tblCommentary[[#This Row],[Date]]="","",COUNTIFS(INDEX(tblCommentary[Date],1):tblCommentary[[#This Row],[Date]],tblCommentary[[#This Row],[Date]]))</f>
        <v/>
      </c>
      <c r="F1868" s="63">
        <f>IF(tblCommentary[[#This Row],[Date]]="","",tblCommentary[[#This Row],[Date]]&amp;"|"&amp;tblCommentary[[#This Row],[Seq_Day]])</f>
        <v/>
      </c>
    </row>
    <row r="1869">
      <c r="A1869" s="54" t="n"/>
      <c r="B1869" s="61" t="n"/>
      <c r="C1869" s="58" t="n"/>
      <c r="D1869" s="58" t="n"/>
      <c r="E1869" s="64">
        <f>IF(tblCommentary[[#This Row],[Date]]="","",COUNTIFS(INDEX(tblCommentary[Date],1):tblCommentary[[#This Row],[Date]],tblCommentary[[#This Row],[Date]]))</f>
        <v/>
      </c>
      <c r="F1869" s="63">
        <f>IF(tblCommentary[[#This Row],[Date]]="","",tblCommentary[[#This Row],[Date]]&amp;"|"&amp;tblCommentary[[#This Row],[Seq_Day]])</f>
        <v/>
      </c>
    </row>
    <row r="1870">
      <c r="A1870" s="54" t="n"/>
      <c r="B1870" s="61" t="n"/>
      <c r="C1870" s="58" t="n"/>
      <c r="D1870" s="58" t="n"/>
      <c r="E1870" s="64">
        <f>IF(tblCommentary[[#This Row],[Date]]="","",COUNTIFS(INDEX(tblCommentary[Date],1):tblCommentary[[#This Row],[Date]],tblCommentary[[#This Row],[Date]]))</f>
        <v/>
      </c>
      <c r="F1870" s="63">
        <f>IF(tblCommentary[[#This Row],[Date]]="","",tblCommentary[[#This Row],[Date]]&amp;"|"&amp;tblCommentary[[#This Row],[Seq_Day]])</f>
        <v/>
      </c>
    </row>
    <row r="1871">
      <c r="A1871" s="54" t="n"/>
      <c r="B1871" s="61" t="n"/>
      <c r="C1871" s="58" t="n"/>
      <c r="D1871" s="58" t="n"/>
      <c r="E1871" s="64">
        <f>IF(tblCommentary[[#This Row],[Date]]="","",COUNTIFS(INDEX(tblCommentary[Date],1):tblCommentary[[#This Row],[Date]],tblCommentary[[#This Row],[Date]]))</f>
        <v/>
      </c>
      <c r="F1871" s="63">
        <f>IF(tblCommentary[[#This Row],[Date]]="","",tblCommentary[[#This Row],[Date]]&amp;"|"&amp;tblCommentary[[#This Row],[Seq_Day]])</f>
        <v/>
      </c>
    </row>
    <row r="1872">
      <c r="A1872" s="54" t="n"/>
      <c r="B1872" s="61" t="n"/>
      <c r="C1872" s="58" t="n"/>
      <c r="D1872" s="58" t="n"/>
      <c r="E1872" s="64">
        <f>IF(tblCommentary[[#This Row],[Date]]="","",COUNTIFS(INDEX(tblCommentary[Date],1):tblCommentary[[#This Row],[Date]],tblCommentary[[#This Row],[Date]]))</f>
        <v/>
      </c>
      <c r="F1872" s="63">
        <f>IF(tblCommentary[[#This Row],[Date]]="","",tblCommentary[[#This Row],[Date]]&amp;"|"&amp;tblCommentary[[#This Row],[Seq_Day]])</f>
        <v/>
      </c>
    </row>
    <row r="1873">
      <c r="A1873" s="54" t="n"/>
      <c r="B1873" s="61" t="n"/>
      <c r="C1873" s="58" t="n"/>
      <c r="D1873" s="58" t="n"/>
      <c r="E1873" s="64">
        <f>IF(tblCommentary[[#This Row],[Date]]="","",COUNTIFS(INDEX(tblCommentary[Date],1):tblCommentary[[#This Row],[Date]],tblCommentary[[#This Row],[Date]]))</f>
        <v/>
      </c>
      <c r="F1873" s="63">
        <f>IF(tblCommentary[[#This Row],[Date]]="","",tblCommentary[[#This Row],[Date]]&amp;"|"&amp;tblCommentary[[#This Row],[Seq_Day]])</f>
        <v/>
      </c>
    </row>
    <row r="1874">
      <c r="A1874" s="54" t="n"/>
      <c r="B1874" s="61" t="n"/>
      <c r="C1874" s="58" t="n"/>
      <c r="D1874" s="58" t="n"/>
      <c r="E1874" s="64">
        <f>IF(tblCommentary[[#This Row],[Date]]="","",COUNTIFS(INDEX(tblCommentary[Date],1):tblCommentary[[#This Row],[Date]],tblCommentary[[#This Row],[Date]]))</f>
        <v/>
      </c>
      <c r="F1874" s="63">
        <f>IF(tblCommentary[[#This Row],[Date]]="","",tblCommentary[[#This Row],[Date]]&amp;"|"&amp;tblCommentary[[#This Row],[Seq_Day]])</f>
        <v/>
      </c>
    </row>
    <row r="1875">
      <c r="A1875" s="54" t="n"/>
      <c r="B1875" s="61" t="n"/>
      <c r="C1875" s="58" t="n"/>
      <c r="D1875" s="58" t="n"/>
      <c r="E1875" s="64">
        <f>IF(tblCommentary[[#This Row],[Date]]="","",COUNTIFS(INDEX(tblCommentary[Date],1):tblCommentary[[#This Row],[Date]],tblCommentary[[#This Row],[Date]]))</f>
        <v/>
      </c>
      <c r="F1875" s="63">
        <f>IF(tblCommentary[[#This Row],[Date]]="","",tblCommentary[[#This Row],[Date]]&amp;"|"&amp;tblCommentary[[#This Row],[Seq_Day]])</f>
        <v/>
      </c>
    </row>
    <row r="1876">
      <c r="A1876" s="54" t="n"/>
      <c r="B1876" s="61" t="n"/>
      <c r="C1876" s="58" t="n"/>
      <c r="D1876" s="58" t="n"/>
      <c r="E1876" s="64">
        <f>IF(tblCommentary[[#This Row],[Date]]="","",COUNTIFS(INDEX(tblCommentary[Date],1):tblCommentary[[#This Row],[Date]],tblCommentary[[#This Row],[Date]]))</f>
        <v/>
      </c>
      <c r="F1876" s="63">
        <f>IF(tblCommentary[[#This Row],[Date]]="","",tblCommentary[[#This Row],[Date]]&amp;"|"&amp;tblCommentary[[#This Row],[Seq_Day]])</f>
        <v/>
      </c>
    </row>
    <row r="1877">
      <c r="A1877" s="54" t="n"/>
      <c r="B1877" s="61" t="n"/>
      <c r="C1877" s="58" t="n"/>
      <c r="D1877" s="58" t="n"/>
      <c r="E1877" s="64">
        <f>IF(tblCommentary[[#This Row],[Date]]="","",COUNTIFS(INDEX(tblCommentary[Date],1):tblCommentary[[#This Row],[Date]],tblCommentary[[#This Row],[Date]]))</f>
        <v/>
      </c>
      <c r="F1877" s="63">
        <f>IF(tblCommentary[[#This Row],[Date]]="","",tblCommentary[[#This Row],[Date]]&amp;"|"&amp;tblCommentary[[#This Row],[Seq_Day]])</f>
        <v/>
      </c>
    </row>
    <row r="1878">
      <c r="A1878" s="54" t="n"/>
      <c r="B1878" s="61" t="n"/>
      <c r="C1878" s="58" t="n"/>
      <c r="D1878" s="58" t="n"/>
      <c r="E1878" s="64">
        <f>IF(tblCommentary[[#This Row],[Date]]="","",COUNTIFS(INDEX(tblCommentary[Date],1):tblCommentary[[#This Row],[Date]],tblCommentary[[#This Row],[Date]]))</f>
        <v/>
      </c>
      <c r="F1878" s="63">
        <f>IF(tblCommentary[[#This Row],[Date]]="","",tblCommentary[[#This Row],[Date]]&amp;"|"&amp;tblCommentary[[#This Row],[Seq_Day]])</f>
        <v/>
      </c>
    </row>
    <row r="1879">
      <c r="A1879" s="54" t="n"/>
      <c r="B1879" s="61" t="n"/>
      <c r="C1879" s="58" t="n"/>
      <c r="D1879" s="58" t="n"/>
      <c r="E1879" s="64">
        <f>IF(tblCommentary[[#This Row],[Date]]="","",COUNTIFS(INDEX(tblCommentary[Date],1):tblCommentary[[#This Row],[Date]],tblCommentary[[#This Row],[Date]]))</f>
        <v/>
      </c>
      <c r="F1879" s="63">
        <f>IF(tblCommentary[[#This Row],[Date]]="","",tblCommentary[[#This Row],[Date]]&amp;"|"&amp;tblCommentary[[#This Row],[Seq_Day]])</f>
        <v/>
      </c>
    </row>
    <row r="1880">
      <c r="A1880" s="54" t="n"/>
      <c r="B1880" s="61" t="n"/>
      <c r="C1880" s="58" t="n"/>
      <c r="D1880" s="58" t="n"/>
      <c r="E1880" s="64">
        <f>IF(tblCommentary[[#This Row],[Date]]="","",COUNTIFS(INDEX(tblCommentary[Date],1):tblCommentary[[#This Row],[Date]],tblCommentary[[#This Row],[Date]]))</f>
        <v/>
      </c>
      <c r="F1880" s="63">
        <f>IF(tblCommentary[[#This Row],[Date]]="","",tblCommentary[[#This Row],[Date]]&amp;"|"&amp;tblCommentary[[#This Row],[Seq_Day]])</f>
        <v/>
      </c>
    </row>
    <row r="1881">
      <c r="A1881" s="54" t="n"/>
      <c r="B1881" s="61" t="n"/>
      <c r="C1881" s="58" t="n"/>
      <c r="D1881" s="58" t="n"/>
      <c r="E1881" s="64">
        <f>IF(tblCommentary[[#This Row],[Date]]="","",COUNTIFS(INDEX(tblCommentary[Date],1):tblCommentary[[#This Row],[Date]],tblCommentary[[#This Row],[Date]]))</f>
        <v/>
      </c>
      <c r="F1881" s="63">
        <f>IF(tblCommentary[[#This Row],[Date]]="","",tblCommentary[[#This Row],[Date]]&amp;"|"&amp;tblCommentary[[#This Row],[Seq_Day]])</f>
        <v/>
      </c>
    </row>
    <row r="1882">
      <c r="A1882" s="54" t="n"/>
      <c r="B1882" s="61" t="n"/>
      <c r="C1882" s="58" t="n"/>
      <c r="D1882" s="58" t="n"/>
      <c r="E1882" s="64">
        <f>IF(tblCommentary[[#This Row],[Date]]="","",COUNTIFS(INDEX(tblCommentary[Date],1):tblCommentary[[#This Row],[Date]],tblCommentary[[#This Row],[Date]]))</f>
        <v/>
      </c>
      <c r="F1882" s="63">
        <f>IF(tblCommentary[[#This Row],[Date]]="","",tblCommentary[[#This Row],[Date]]&amp;"|"&amp;tblCommentary[[#This Row],[Seq_Day]])</f>
        <v/>
      </c>
    </row>
    <row r="1883">
      <c r="A1883" s="54" t="n"/>
      <c r="B1883" s="61" t="n"/>
      <c r="C1883" s="58" t="n"/>
      <c r="D1883" s="58" t="n"/>
      <c r="E1883" s="64">
        <f>IF(tblCommentary[[#This Row],[Date]]="","",COUNTIFS(INDEX(tblCommentary[Date],1):tblCommentary[[#This Row],[Date]],tblCommentary[[#This Row],[Date]]))</f>
        <v/>
      </c>
      <c r="F1883" s="63">
        <f>IF(tblCommentary[[#This Row],[Date]]="","",tblCommentary[[#This Row],[Date]]&amp;"|"&amp;tblCommentary[[#This Row],[Seq_Day]])</f>
        <v/>
      </c>
    </row>
    <row r="1884">
      <c r="A1884" s="54" t="n"/>
      <c r="B1884" s="61" t="n"/>
      <c r="C1884" s="58" t="n"/>
      <c r="D1884" s="58" t="n"/>
      <c r="E1884" s="64">
        <f>IF(tblCommentary[[#This Row],[Date]]="","",COUNTIFS(INDEX(tblCommentary[Date],1):tblCommentary[[#This Row],[Date]],tblCommentary[[#This Row],[Date]]))</f>
        <v/>
      </c>
      <c r="F1884" s="63">
        <f>IF(tblCommentary[[#This Row],[Date]]="","",tblCommentary[[#This Row],[Date]]&amp;"|"&amp;tblCommentary[[#This Row],[Seq_Day]])</f>
        <v/>
      </c>
    </row>
    <row r="1885">
      <c r="A1885" s="54" t="n"/>
      <c r="B1885" s="61" t="n"/>
      <c r="C1885" s="58" t="n"/>
      <c r="D1885" s="58" t="n"/>
      <c r="E1885" s="64">
        <f>IF(tblCommentary[[#This Row],[Date]]="","",COUNTIFS(INDEX(tblCommentary[Date],1):tblCommentary[[#This Row],[Date]],tblCommentary[[#This Row],[Date]]))</f>
        <v/>
      </c>
      <c r="F1885" s="63">
        <f>IF(tblCommentary[[#This Row],[Date]]="","",tblCommentary[[#This Row],[Date]]&amp;"|"&amp;tblCommentary[[#This Row],[Seq_Day]])</f>
        <v/>
      </c>
    </row>
    <row r="1886">
      <c r="A1886" s="54" t="n"/>
      <c r="B1886" s="61" t="n"/>
      <c r="C1886" s="58" t="n"/>
      <c r="D1886" s="58" t="n"/>
      <c r="E1886" s="64">
        <f>IF(tblCommentary[[#This Row],[Date]]="","",COUNTIFS(INDEX(tblCommentary[Date],1):tblCommentary[[#This Row],[Date]],tblCommentary[[#This Row],[Date]]))</f>
        <v/>
      </c>
      <c r="F1886" s="63">
        <f>IF(tblCommentary[[#This Row],[Date]]="","",tblCommentary[[#This Row],[Date]]&amp;"|"&amp;tblCommentary[[#This Row],[Seq_Day]])</f>
        <v/>
      </c>
    </row>
    <row r="1887">
      <c r="A1887" s="54" t="n"/>
      <c r="B1887" s="61" t="n"/>
      <c r="C1887" s="58" t="n"/>
      <c r="D1887" s="58" t="n"/>
      <c r="E1887" s="64">
        <f>IF(tblCommentary[[#This Row],[Date]]="","",COUNTIFS(INDEX(tblCommentary[Date],1):tblCommentary[[#This Row],[Date]],tblCommentary[[#This Row],[Date]]))</f>
        <v/>
      </c>
      <c r="F1887" s="63">
        <f>IF(tblCommentary[[#This Row],[Date]]="","",tblCommentary[[#This Row],[Date]]&amp;"|"&amp;tblCommentary[[#This Row],[Seq_Day]])</f>
        <v/>
      </c>
    </row>
    <row r="1888">
      <c r="A1888" s="54" t="n"/>
      <c r="B1888" s="61" t="n"/>
      <c r="C1888" s="58" t="n"/>
      <c r="D1888" s="58" t="n"/>
      <c r="E1888" s="64">
        <f>IF(tblCommentary[[#This Row],[Date]]="","",COUNTIFS(INDEX(tblCommentary[Date],1):tblCommentary[[#This Row],[Date]],tblCommentary[[#This Row],[Date]]))</f>
        <v/>
      </c>
      <c r="F1888" s="63">
        <f>IF(tblCommentary[[#This Row],[Date]]="","",tblCommentary[[#This Row],[Date]]&amp;"|"&amp;tblCommentary[[#This Row],[Seq_Day]])</f>
        <v/>
      </c>
    </row>
    <row r="1889">
      <c r="A1889" s="54" t="n"/>
      <c r="B1889" s="61" t="n"/>
      <c r="C1889" s="58" t="n"/>
      <c r="D1889" s="58" t="n"/>
      <c r="E1889" s="64">
        <f>IF(tblCommentary[[#This Row],[Date]]="","",COUNTIFS(INDEX(tblCommentary[Date],1):tblCommentary[[#This Row],[Date]],tblCommentary[[#This Row],[Date]]))</f>
        <v/>
      </c>
      <c r="F1889" s="63">
        <f>IF(tblCommentary[[#This Row],[Date]]="","",tblCommentary[[#This Row],[Date]]&amp;"|"&amp;tblCommentary[[#This Row],[Seq_Day]])</f>
        <v/>
      </c>
    </row>
    <row r="1890">
      <c r="A1890" s="54" t="n"/>
      <c r="B1890" s="61" t="n"/>
      <c r="C1890" s="58" t="n"/>
      <c r="D1890" s="58" t="n"/>
      <c r="E1890" s="64">
        <f>IF(tblCommentary[[#This Row],[Date]]="","",COUNTIFS(INDEX(tblCommentary[Date],1):tblCommentary[[#This Row],[Date]],tblCommentary[[#This Row],[Date]]))</f>
        <v/>
      </c>
      <c r="F1890" s="63">
        <f>IF(tblCommentary[[#This Row],[Date]]="","",tblCommentary[[#This Row],[Date]]&amp;"|"&amp;tblCommentary[[#This Row],[Seq_Day]])</f>
        <v/>
      </c>
    </row>
    <row r="1891">
      <c r="A1891" s="54" t="n"/>
      <c r="B1891" s="61" t="n"/>
      <c r="C1891" s="58" t="n"/>
      <c r="D1891" s="58" t="n"/>
      <c r="E1891" s="64">
        <f>IF(tblCommentary[[#This Row],[Date]]="","",COUNTIFS(INDEX(tblCommentary[Date],1):tblCommentary[[#This Row],[Date]],tblCommentary[[#This Row],[Date]]))</f>
        <v/>
      </c>
      <c r="F1891" s="63">
        <f>IF(tblCommentary[[#This Row],[Date]]="","",tblCommentary[[#This Row],[Date]]&amp;"|"&amp;tblCommentary[[#This Row],[Seq_Day]])</f>
        <v/>
      </c>
    </row>
    <row r="1892">
      <c r="A1892" s="54" t="n"/>
      <c r="B1892" s="61" t="n"/>
      <c r="C1892" s="58" t="n"/>
      <c r="D1892" s="58" t="n"/>
      <c r="E1892" s="64">
        <f>IF(tblCommentary[[#This Row],[Date]]="","",COUNTIFS(INDEX(tblCommentary[Date],1):tblCommentary[[#This Row],[Date]],tblCommentary[[#This Row],[Date]]))</f>
        <v/>
      </c>
      <c r="F1892" s="63">
        <f>IF(tblCommentary[[#This Row],[Date]]="","",tblCommentary[[#This Row],[Date]]&amp;"|"&amp;tblCommentary[[#This Row],[Seq_Day]])</f>
        <v/>
      </c>
    </row>
    <row r="1893">
      <c r="A1893" s="54" t="n"/>
      <c r="B1893" s="61" t="n"/>
      <c r="C1893" s="58" t="n"/>
      <c r="D1893" s="58" t="n"/>
      <c r="E1893" s="64">
        <f>IF(tblCommentary[[#This Row],[Date]]="","",COUNTIFS(INDEX(tblCommentary[Date],1):tblCommentary[[#This Row],[Date]],tblCommentary[[#This Row],[Date]]))</f>
        <v/>
      </c>
      <c r="F1893" s="63">
        <f>IF(tblCommentary[[#This Row],[Date]]="","",tblCommentary[[#This Row],[Date]]&amp;"|"&amp;tblCommentary[[#This Row],[Seq_Day]])</f>
        <v/>
      </c>
    </row>
    <row r="1894">
      <c r="A1894" s="54" t="n"/>
      <c r="B1894" s="61" t="n"/>
      <c r="C1894" s="58" t="n"/>
      <c r="D1894" s="58" t="n"/>
      <c r="E1894" s="64">
        <f>IF(tblCommentary[[#This Row],[Date]]="","",COUNTIFS(INDEX(tblCommentary[Date],1):tblCommentary[[#This Row],[Date]],tblCommentary[[#This Row],[Date]]))</f>
        <v/>
      </c>
      <c r="F1894" s="63">
        <f>IF(tblCommentary[[#This Row],[Date]]="","",tblCommentary[[#This Row],[Date]]&amp;"|"&amp;tblCommentary[[#This Row],[Seq_Day]])</f>
        <v/>
      </c>
    </row>
    <row r="1895">
      <c r="A1895" s="54" t="n"/>
      <c r="B1895" s="61" t="n"/>
      <c r="C1895" s="58" t="n"/>
      <c r="D1895" s="58" t="n"/>
      <c r="E1895" s="64">
        <f>IF(tblCommentary[[#This Row],[Date]]="","",COUNTIFS(INDEX(tblCommentary[Date],1):tblCommentary[[#This Row],[Date]],tblCommentary[[#This Row],[Date]]))</f>
        <v/>
      </c>
      <c r="F1895" s="63">
        <f>IF(tblCommentary[[#This Row],[Date]]="","",tblCommentary[[#This Row],[Date]]&amp;"|"&amp;tblCommentary[[#This Row],[Seq_Day]])</f>
        <v/>
      </c>
    </row>
    <row r="1896">
      <c r="A1896" s="54" t="n"/>
      <c r="B1896" s="61" t="n"/>
      <c r="C1896" s="58" t="n"/>
      <c r="D1896" s="58" t="n"/>
      <c r="E1896" s="64">
        <f>IF(tblCommentary[[#This Row],[Date]]="","",COUNTIFS(INDEX(tblCommentary[Date],1):tblCommentary[[#This Row],[Date]],tblCommentary[[#This Row],[Date]]))</f>
        <v/>
      </c>
      <c r="F1896" s="63">
        <f>IF(tblCommentary[[#This Row],[Date]]="","",tblCommentary[[#This Row],[Date]]&amp;"|"&amp;tblCommentary[[#This Row],[Seq_Day]])</f>
        <v/>
      </c>
    </row>
    <row r="1897">
      <c r="A1897" s="54" t="n"/>
      <c r="B1897" s="61" t="n"/>
      <c r="C1897" s="58" t="n"/>
      <c r="D1897" s="58" t="n"/>
      <c r="E1897" s="64">
        <f>IF(tblCommentary[[#This Row],[Date]]="","",COUNTIFS(INDEX(tblCommentary[Date],1):tblCommentary[[#This Row],[Date]],tblCommentary[[#This Row],[Date]]))</f>
        <v/>
      </c>
      <c r="F1897" s="63">
        <f>IF(tblCommentary[[#This Row],[Date]]="","",tblCommentary[[#This Row],[Date]]&amp;"|"&amp;tblCommentary[[#This Row],[Seq_Day]])</f>
        <v/>
      </c>
    </row>
    <row r="1898">
      <c r="A1898" s="54" t="n"/>
      <c r="B1898" s="61" t="n"/>
      <c r="C1898" s="58" t="n"/>
      <c r="D1898" s="58" t="n"/>
      <c r="E1898" s="64">
        <f>IF(tblCommentary[[#This Row],[Date]]="","",COUNTIFS(INDEX(tblCommentary[Date],1):tblCommentary[[#This Row],[Date]],tblCommentary[[#This Row],[Date]]))</f>
        <v/>
      </c>
      <c r="F1898" s="63">
        <f>IF(tblCommentary[[#This Row],[Date]]="","",tblCommentary[[#This Row],[Date]]&amp;"|"&amp;tblCommentary[[#This Row],[Seq_Day]])</f>
        <v/>
      </c>
    </row>
    <row r="1899">
      <c r="A1899" s="54" t="n"/>
      <c r="B1899" s="61" t="n"/>
      <c r="C1899" s="58" t="n"/>
      <c r="D1899" s="58" t="n"/>
      <c r="E1899" s="64">
        <f>IF(tblCommentary[[#This Row],[Date]]="","",COUNTIFS(INDEX(tblCommentary[Date],1):tblCommentary[[#This Row],[Date]],tblCommentary[[#This Row],[Date]]))</f>
        <v/>
      </c>
      <c r="F1899" s="63">
        <f>IF(tblCommentary[[#This Row],[Date]]="","",tblCommentary[[#This Row],[Date]]&amp;"|"&amp;tblCommentary[[#This Row],[Seq_Day]])</f>
        <v/>
      </c>
    </row>
    <row r="1900">
      <c r="A1900" s="54" t="n"/>
      <c r="B1900" s="61" t="n"/>
      <c r="C1900" s="58" t="n"/>
      <c r="D1900" s="58" t="n"/>
      <c r="E1900" s="64">
        <f>IF(tblCommentary[[#This Row],[Date]]="","",COUNTIFS(INDEX(tblCommentary[Date],1):tblCommentary[[#This Row],[Date]],tblCommentary[[#This Row],[Date]]))</f>
        <v/>
      </c>
      <c r="F1900" s="63">
        <f>IF(tblCommentary[[#This Row],[Date]]="","",tblCommentary[[#This Row],[Date]]&amp;"|"&amp;tblCommentary[[#This Row],[Seq_Day]])</f>
        <v/>
      </c>
    </row>
    <row r="1901">
      <c r="A1901" s="54" t="n"/>
      <c r="B1901" s="61" t="n"/>
      <c r="C1901" s="58" t="n"/>
      <c r="D1901" s="58" t="n"/>
      <c r="E1901" s="64">
        <f>IF(tblCommentary[[#This Row],[Date]]="","",COUNTIFS(INDEX(tblCommentary[Date],1):tblCommentary[[#This Row],[Date]],tblCommentary[[#This Row],[Date]]))</f>
        <v/>
      </c>
      <c r="F1901" s="63">
        <f>IF(tblCommentary[[#This Row],[Date]]="","",tblCommentary[[#This Row],[Date]]&amp;"|"&amp;tblCommentary[[#This Row],[Seq_Day]])</f>
        <v/>
      </c>
    </row>
    <row r="1902">
      <c r="A1902" s="54" t="n"/>
      <c r="B1902" s="61" t="n"/>
      <c r="C1902" s="58" t="n"/>
      <c r="D1902" s="58" t="n"/>
      <c r="E1902" s="64">
        <f>IF(tblCommentary[[#This Row],[Date]]="","",COUNTIFS(INDEX(tblCommentary[Date],1):tblCommentary[[#This Row],[Date]],tblCommentary[[#This Row],[Date]]))</f>
        <v/>
      </c>
      <c r="F1902" s="63">
        <f>IF(tblCommentary[[#This Row],[Date]]="","",tblCommentary[[#This Row],[Date]]&amp;"|"&amp;tblCommentary[[#This Row],[Seq_Day]])</f>
        <v/>
      </c>
    </row>
    <row r="1903">
      <c r="A1903" s="54" t="n"/>
      <c r="B1903" s="61" t="n"/>
      <c r="C1903" s="58" t="n"/>
      <c r="D1903" s="58" t="n"/>
      <c r="E1903" s="64">
        <f>IF(tblCommentary[[#This Row],[Date]]="","",COUNTIFS(INDEX(tblCommentary[Date],1):tblCommentary[[#This Row],[Date]],tblCommentary[[#This Row],[Date]]))</f>
        <v/>
      </c>
      <c r="F1903" s="63">
        <f>IF(tblCommentary[[#This Row],[Date]]="","",tblCommentary[[#This Row],[Date]]&amp;"|"&amp;tblCommentary[[#This Row],[Seq_Day]])</f>
        <v/>
      </c>
    </row>
    <row r="1904">
      <c r="A1904" s="54" t="n"/>
      <c r="B1904" s="61" t="n"/>
      <c r="C1904" s="58" t="n"/>
      <c r="D1904" s="58" t="n"/>
      <c r="E1904" s="64">
        <f>IF(tblCommentary[[#This Row],[Date]]="","",COUNTIFS(INDEX(tblCommentary[Date],1):tblCommentary[[#This Row],[Date]],tblCommentary[[#This Row],[Date]]))</f>
        <v/>
      </c>
      <c r="F1904" s="63">
        <f>IF(tblCommentary[[#This Row],[Date]]="","",tblCommentary[[#This Row],[Date]]&amp;"|"&amp;tblCommentary[[#This Row],[Seq_Day]])</f>
        <v/>
      </c>
    </row>
    <row r="1905">
      <c r="A1905" s="54" t="n"/>
      <c r="B1905" s="61" t="n"/>
      <c r="C1905" s="58" t="n"/>
      <c r="D1905" s="58" t="n"/>
      <c r="E1905" s="64">
        <f>IF(tblCommentary[[#This Row],[Date]]="","",COUNTIFS(INDEX(tblCommentary[Date],1):tblCommentary[[#This Row],[Date]],tblCommentary[[#This Row],[Date]]))</f>
        <v/>
      </c>
      <c r="F1905" s="63">
        <f>IF(tblCommentary[[#This Row],[Date]]="","",tblCommentary[[#This Row],[Date]]&amp;"|"&amp;tblCommentary[[#This Row],[Seq_Day]])</f>
        <v/>
      </c>
    </row>
    <row r="1906">
      <c r="A1906" s="54" t="n"/>
      <c r="B1906" s="61" t="n"/>
      <c r="C1906" s="58" t="n"/>
      <c r="D1906" s="58" t="n"/>
      <c r="E1906" s="64">
        <f>IF(tblCommentary[[#This Row],[Date]]="","",COUNTIFS(INDEX(tblCommentary[Date],1):tblCommentary[[#This Row],[Date]],tblCommentary[[#This Row],[Date]]))</f>
        <v/>
      </c>
      <c r="F1906" s="63">
        <f>IF(tblCommentary[[#This Row],[Date]]="","",tblCommentary[[#This Row],[Date]]&amp;"|"&amp;tblCommentary[[#This Row],[Seq_Day]])</f>
        <v/>
      </c>
    </row>
    <row r="1907">
      <c r="A1907" s="54" t="n"/>
      <c r="B1907" s="61" t="n"/>
      <c r="C1907" s="58" t="n"/>
      <c r="D1907" s="58" t="n"/>
      <c r="E1907" s="64">
        <f>IF(tblCommentary[[#This Row],[Date]]="","",COUNTIFS(INDEX(tblCommentary[Date],1):tblCommentary[[#This Row],[Date]],tblCommentary[[#This Row],[Date]]))</f>
        <v/>
      </c>
      <c r="F1907" s="63">
        <f>IF(tblCommentary[[#This Row],[Date]]="","",tblCommentary[[#This Row],[Date]]&amp;"|"&amp;tblCommentary[[#This Row],[Seq_Day]])</f>
        <v/>
      </c>
    </row>
    <row r="1908">
      <c r="A1908" s="54" t="n"/>
      <c r="B1908" s="61" t="n"/>
      <c r="C1908" s="58" t="n"/>
      <c r="D1908" s="58" t="n"/>
      <c r="E1908" s="64">
        <f>IF(tblCommentary[[#This Row],[Date]]="","",COUNTIFS(INDEX(tblCommentary[Date],1):tblCommentary[[#This Row],[Date]],tblCommentary[[#This Row],[Date]]))</f>
        <v/>
      </c>
      <c r="F1908" s="63">
        <f>IF(tblCommentary[[#This Row],[Date]]="","",tblCommentary[[#This Row],[Date]]&amp;"|"&amp;tblCommentary[[#This Row],[Seq_Day]])</f>
        <v/>
      </c>
    </row>
    <row r="1909">
      <c r="A1909" s="54" t="n"/>
      <c r="B1909" s="61" t="n"/>
      <c r="C1909" s="58" t="n"/>
      <c r="D1909" s="58" t="n"/>
      <c r="E1909" s="64">
        <f>IF(tblCommentary[[#This Row],[Date]]="","",COUNTIFS(INDEX(tblCommentary[Date],1):tblCommentary[[#This Row],[Date]],tblCommentary[[#This Row],[Date]]))</f>
        <v/>
      </c>
      <c r="F1909" s="63">
        <f>IF(tblCommentary[[#This Row],[Date]]="","",tblCommentary[[#This Row],[Date]]&amp;"|"&amp;tblCommentary[[#This Row],[Seq_Day]])</f>
        <v/>
      </c>
    </row>
    <row r="1910">
      <c r="A1910" s="54" t="n"/>
      <c r="B1910" s="61" t="n"/>
      <c r="C1910" s="58" t="n"/>
      <c r="D1910" s="58" t="n"/>
      <c r="E1910" s="64">
        <f>IF(tblCommentary[[#This Row],[Date]]="","",COUNTIFS(INDEX(tblCommentary[Date],1):tblCommentary[[#This Row],[Date]],tblCommentary[[#This Row],[Date]]))</f>
        <v/>
      </c>
      <c r="F1910" s="63">
        <f>IF(tblCommentary[[#This Row],[Date]]="","",tblCommentary[[#This Row],[Date]]&amp;"|"&amp;tblCommentary[[#This Row],[Seq_Day]])</f>
        <v/>
      </c>
    </row>
    <row r="1911">
      <c r="A1911" s="54" t="n"/>
      <c r="B1911" s="61" t="n"/>
      <c r="C1911" s="58" t="n"/>
      <c r="D1911" s="58" t="n"/>
      <c r="E1911" s="64">
        <f>IF(tblCommentary[[#This Row],[Date]]="","",COUNTIFS(INDEX(tblCommentary[Date],1):tblCommentary[[#This Row],[Date]],tblCommentary[[#This Row],[Date]]))</f>
        <v/>
      </c>
      <c r="F1911" s="63">
        <f>IF(tblCommentary[[#This Row],[Date]]="","",tblCommentary[[#This Row],[Date]]&amp;"|"&amp;tblCommentary[[#This Row],[Seq_Day]])</f>
        <v/>
      </c>
    </row>
    <row r="1912">
      <c r="A1912" s="54" t="n"/>
      <c r="B1912" s="61" t="n"/>
      <c r="C1912" s="58" t="n"/>
      <c r="D1912" s="58" t="n"/>
      <c r="E1912" s="64">
        <f>IF(tblCommentary[[#This Row],[Date]]="","",COUNTIFS(INDEX(tblCommentary[Date],1):tblCommentary[[#This Row],[Date]],tblCommentary[[#This Row],[Date]]))</f>
        <v/>
      </c>
      <c r="F1912" s="63">
        <f>IF(tblCommentary[[#This Row],[Date]]="","",tblCommentary[[#This Row],[Date]]&amp;"|"&amp;tblCommentary[[#This Row],[Seq_Day]])</f>
        <v/>
      </c>
    </row>
    <row r="1913">
      <c r="A1913" s="54" t="n"/>
      <c r="B1913" s="61" t="n"/>
      <c r="C1913" s="58" t="n"/>
      <c r="D1913" s="58" t="n"/>
      <c r="E1913" s="64">
        <f>IF(tblCommentary[[#This Row],[Date]]="","",COUNTIFS(INDEX(tblCommentary[Date],1):tblCommentary[[#This Row],[Date]],tblCommentary[[#This Row],[Date]]))</f>
        <v/>
      </c>
      <c r="F1913" s="63">
        <f>IF(tblCommentary[[#This Row],[Date]]="","",tblCommentary[[#This Row],[Date]]&amp;"|"&amp;tblCommentary[[#This Row],[Seq_Day]])</f>
        <v/>
      </c>
    </row>
    <row r="1914">
      <c r="A1914" s="54" t="n"/>
      <c r="B1914" s="61" t="n"/>
      <c r="C1914" s="58" t="n"/>
      <c r="D1914" s="58" t="n"/>
      <c r="E1914" s="64">
        <f>IF(tblCommentary[[#This Row],[Date]]="","",COUNTIFS(INDEX(tblCommentary[Date],1):tblCommentary[[#This Row],[Date]],tblCommentary[[#This Row],[Date]]))</f>
        <v/>
      </c>
      <c r="F1914" s="63">
        <f>IF(tblCommentary[[#This Row],[Date]]="","",tblCommentary[[#This Row],[Date]]&amp;"|"&amp;tblCommentary[[#This Row],[Seq_Day]])</f>
        <v/>
      </c>
    </row>
    <row r="1915">
      <c r="A1915" s="54" t="n"/>
      <c r="B1915" s="61" t="n"/>
      <c r="C1915" s="58" t="n"/>
      <c r="D1915" s="58" t="n"/>
      <c r="E1915" s="64">
        <f>IF(tblCommentary[[#This Row],[Date]]="","",COUNTIFS(INDEX(tblCommentary[Date],1):tblCommentary[[#This Row],[Date]],tblCommentary[[#This Row],[Date]]))</f>
        <v/>
      </c>
      <c r="F1915" s="63">
        <f>IF(tblCommentary[[#This Row],[Date]]="","",tblCommentary[[#This Row],[Date]]&amp;"|"&amp;tblCommentary[[#This Row],[Seq_Day]])</f>
        <v/>
      </c>
    </row>
    <row r="1916">
      <c r="A1916" s="54" t="n"/>
      <c r="B1916" s="61" t="n"/>
      <c r="C1916" s="58" t="n"/>
      <c r="D1916" s="58" t="n"/>
      <c r="E1916" s="64">
        <f>IF(tblCommentary[[#This Row],[Date]]="","",COUNTIFS(INDEX(tblCommentary[Date],1):tblCommentary[[#This Row],[Date]],tblCommentary[[#This Row],[Date]]))</f>
        <v/>
      </c>
      <c r="F1916" s="63">
        <f>IF(tblCommentary[[#This Row],[Date]]="","",tblCommentary[[#This Row],[Date]]&amp;"|"&amp;tblCommentary[[#This Row],[Seq_Day]])</f>
        <v/>
      </c>
    </row>
    <row r="1917">
      <c r="A1917" s="54" t="n"/>
      <c r="B1917" s="61" t="n"/>
      <c r="C1917" s="58" t="n"/>
      <c r="D1917" s="58" t="n"/>
      <c r="E1917" s="64">
        <f>IF(tblCommentary[[#This Row],[Date]]="","",COUNTIFS(INDEX(tblCommentary[Date],1):tblCommentary[[#This Row],[Date]],tblCommentary[[#This Row],[Date]]))</f>
        <v/>
      </c>
      <c r="F1917" s="63">
        <f>IF(tblCommentary[[#This Row],[Date]]="","",tblCommentary[[#This Row],[Date]]&amp;"|"&amp;tblCommentary[[#This Row],[Seq_Day]])</f>
        <v/>
      </c>
    </row>
    <row r="1918">
      <c r="A1918" s="54" t="n"/>
      <c r="B1918" s="61" t="n"/>
      <c r="C1918" s="58" t="n"/>
      <c r="D1918" s="58" t="n"/>
      <c r="E1918" s="64">
        <f>IF(tblCommentary[[#This Row],[Date]]="","",COUNTIFS(INDEX(tblCommentary[Date],1):tblCommentary[[#This Row],[Date]],tblCommentary[[#This Row],[Date]]))</f>
        <v/>
      </c>
      <c r="F1918" s="63">
        <f>IF(tblCommentary[[#This Row],[Date]]="","",tblCommentary[[#This Row],[Date]]&amp;"|"&amp;tblCommentary[[#This Row],[Seq_Day]])</f>
        <v/>
      </c>
    </row>
    <row r="1919">
      <c r="A1919" s="54" t="n"/>
      <c r="B1919" s="61" t="n"/>
      <c r="C1919" s="58" t="n"/>
      <c r="D1919" s="58" t="n"/>
      <c r="E1919" s="64">
        <f>IF(tblCommentary[[#This Row],[Date]]="","",COUNTIFS(INDEX(tblCommentary[Date],1):tblCommentary[[#This Row],[Date]],tblCommentary[[#This Row],[Date]]))</f>
        <v/>
      </c>
      <c r="F1919" s="63">
        <f>IF(tblCommentary[[#This Row],[Date]]="","",tblCommentary[[#This Row],[Date]]&amp;"|"&amp;tblCommentary[[#This Row],[Seq_Day]])</f>
        <v/>
      </c>
    </row>
    <row r="1920">
      <c r="A1920" s="54" t="n"/>
      <c r="B1920" s="61" t="n"/>
      <c r="C1920" s="58" t="n"/>
      <c r="D1920" s="58" t="n"/>
      <c r="E1920" s="64">
        <f>IF(tblCommentary[[#This Row],[Date]]="","",COUNTIFS(INDEX(tblCommentary[Date],1):tblCommentary[[#This Row],[Date]],tblCommentary[[#This Row],[Date]]))</f>
        <v/>
      </c>
      <c r="F1920" s="63">
        <f>IF(tblCommentary[[#This Row],[Date]]="","",tblCommentary[[#This Row],[Date]]&amp;"|"&amp;tblCommentary[[#This Row],[Seq_Day]])</f>
        <v/>
      </c>
    </row>
    <row r="1921">
      <c r="A1921" s="54" t="n"/>
      <c r="B1921" s="61" t="n"/>
      <c r="C1921" s="58" t="n"/>
      <c r="D1921" s="58" t="n"/>
      <c r="E1921" s="64">
        <f>IF(tblCommentary[[#This Row],[Date]]="","",COUNTIFS(INDEX(tblCommentary[Date],1):tblCommentary[[#This Row],[Date]],tblCommentary[[#This Row],[Date]]))</f>
        <v/>
      </c>
      <c r="F1921" s="63">
        <f>IF(tblCommentary[[#This Row],[Date]]="","",tblCommentary[[#This Row],[Date]]&amp;"|"&amp;tblCommentary[[#This Row],[Seq_Day]])</f>
        <v/>
      </c>
    </row>
    <row r="1922">
      <c r="A1922" s="54" t="n"/>
      <c r="B1922" s="61" t="n"/>
      <c r="C1922" s="58" t="n"/>
      <c r="D1922" s="58" t="n"/>
      <c r="E1922" s="64">
        <f>IF(tblCommentary[[#This Row],[Date]]="","",COUNTIFS(INDEX(tblCommentary[Date],1):tblCommentary[[#This Row],[Date]],tblCommentary[[#This Row],[Date]]))</f>
        <v/>
      </c>
      <c r="F1922" s="63">
        <f>IF(tblCommentary[[#This Row],[Date]]="","",tblCommentary[[#This Row],[Date]]&amp;"|"&amp;tblCommentary[[#This Row],[Seq_Day]])</f>
        <v/>
      </c>
    </row>
    <row r="1923">
      <c r="A1923" s="54" t="n"/>
      <c r="B1923" s="61" t="n"/>
      <c r="C1923" s="58" t="n"/>
      <c r="D1923" s="58" t="n"/>
      <c r="E1923" s="64">
        <f>IF(tblCommentary[[#This Row],[Date]]="","",COUNTIFS(INDEX(tblCommentary[Date],1):tblCommentary[[#This Row],[Date]],tblCommentary[[#This Row],[Date]]))</f>
        <v/>
      </c>
      <c r="F1923" s="63">
        <f>IF(tblCommentary[[#This Row],[Date]]="","",tblCommentary[[#This Row],[Date]]&amp;"|"&amp;tblCommentary[[#This Row],[Seq_Day]])</f>
        <v/>
      </c>
    </row>
    <row r="1924">
      <c r="A1924" s="54" t="n"/>
      <c r="B1924" s="61" t="n"/>
      <c r="C1924" s="58" t="n"/>
      <c r="D1924" s="58" t="n"/>
      <c r="E1924" s="64">
        <f>IF(tblCommentary[[#This Row],[Date]]="","",COUNTIFS(INDEX(tblCommentary[Date],1):tblCommentary[[#This Row],[Date]],tblCommentary[[#This Row],[Date]]))</f>
        <v/>
      </c>
      <c r="F1924" s="63">
        <f>IF(tblCommentary[[#This Row],[Date]]="","",tblCommentary[[#This Row],[Date]]&amp;"|"&amp;tblCommentary[[#This Row],[Seq_Day]])</f>
        <v/>
      </c>
    </row>
    <row r="1925">
      <c r="A1925" s="54" t="n"/>
      <c r="B1925" s="61" t="n"/>
      <c r="C1925" s="58" t="n"/>
      <c r="D1925" s="58" t="n"/>
      <c r="E1925" s="64">
        <f>IF(tblCommentary[[#This Row],[Date]]="","",COUNTIFS(INDEX(tblCommentary[Date],1):tblCommentary[[#This Row],[Date]],tblCommentary[[#This Row],[Date]]))</f>
        <v/>
      </c>
      <c r="F1925" s="63">
        <f>IF(tblCommentary[[#This Row],[Date]]="","",tblCommentary[[#This Row],[Date]]&amp;"|"&amp;tblCommentary[[#This Row],[Seq_Day]])</f>
        <v/>
      </c>
    </row>
    <row r="1926">
      <c r="A1926" s="54" t="n"/>
      <c r="B1926" s="61" t="n"/>
      <c r="C1926" s="58" t="n"/>
      <c r="D1926" s="58" t="n"/>
      <c r="E1926" s="64">
        <f>IF(tblCommentary[[#This Row],[Date]]="","",COUNTIFS(INDEX(tblCommentary[Date],1):tblCommentary[[#This Row],[Date]],tblCommentary[[#This Row],[Date]]))</f>
        <v/>
      </c>
      <c r="F1926" s="63">
        <f>IF(tblCommentary[[#This Row],[Date]]="","",tblCommentary[[#This Row],[Date]]&amp;"|"&amp;tblCommentary[[#This Row],[Seq_Day]])</f>
        <v/>
      </c>
    </row>
    <row r="1927">
      <c r="A1927" s="54" t="n"/>
      <c r="B1927" s="61" t="n"/>
      <c r="C1927" s="58" t="n"/>
      <c r="D1927" s="58" t="n"/>
      <c r="E1927" s="64">
        <f>IF(tblCommentary[[#This Row],[Date]]="","",COUNTIFS(INDEX(tblCommentary[Date],1):tblCommentary[[#This Row],[Date]],tblCommentary[[#This Row],[Date]]))</f>
        <v/>
      </c>
      <c r="F1927" s="63">
        <f>IF(tblCommentary[[#This Row],[Date]]="","",tblCommentary[[#This Row],[Date]]&amp;"|"&amp;tblCommentary[[#This Row],[Seq_Day]])</f>
        <v/>
      </c>
    </row>
    <row r="1928">
      <c r="A1928" s="54" t="n"/>
      <c r="B1928" s="61" t="n"/>
      <c r="C1928" s="58" t="n"/>
      <c r="D1928" s="58" t="n"/>
      <c r="E1928" s="64">
        <f>IF(tblCommentary[[#This Row],[Date]]="","",COUNTIFS(INDEX(tblCommentary[Date],1):tblCommentary[[#This Row],[Date]],tblCommentary[[#This Row],[Date]]))</f>
        <v/>
      </c>
      <c r="F1928" s="63">
        <f>IF(tblCommentary[[#This Row],[Date]]="","",tblCommentary[[#This Row],[Date]]&amp;"|"&amp;tblCommentary[[#This Row],[Seq_Day]])</f>
        <v/>
      </c>
    </row>
    <row r="1929">
      <c r="A1929" s="54" t="n"/>
      <c r="B1929" s="61" t="n"/>
      <c r="C1929" s="58" t="n"/>
      <c r="D1929" s="58" t="n"/>
      <c r="E1929" s="64">
        <f>IF(tblCommentary[[#This Row],[Date]]="","",COUNTIFS(INDEX(tblCommentary[Date],1):tblCommentary[[#This Row],[Date]],tblCommentary[[#This Row],[Date]]))</f>
        <v/>
      </c>
      <c r="F1929" s="63">
        <f>IF(tblCommentary[[#This Row],[Date]]="","",tblCommentary[[#This Row],[Date]]&amp;"|"&amp;tblCommentary[[#This Row],[Seq_Day]])</f>
        <v/>
      </c>
    </row>
    <row r="1930">
      <c r="A1930" s="54" t="n"/>
      <c r="B1930" s="61" t="n"/>
      <c r="C1930" s="58" t="n"/>
      <c r="D1930" s="58" t="n"/>
      <c r="E1930" s="64">
        <f>IF(tblCommentary[[#This Row],[Date]]="","",COUNTIFS(INDEX(tblCommentary[Date],1):tblCommentary[[#This Row],[Date]],tblCommentary[[#This Row],[Date]]))</f>
        <v/>
      </c>
      <c r="F1930" s="63">
        <f>IF(tblCommentary[[#This Row],[Date]]="","",tblCommentary[[#This Row],[Date]]&amp;"|"&amp;tblCommentary[[#This Row],[Seq_Day]])</f>
        <v/>
      </c>
    </row>
    <row r="1931">
      <c r="A1931" s="54" t="n"/>
      <c r="B1931" s="61" t="n"/>
      <c r="C1931" s="58" t="n"/>
      <c r="D1931" s="58" t="n"/>
      <c r="E1931" s="64">
        <f>IF(tblCommentary[[#This Row],[Date]]="","",COUNTIFS(INDEX(tblCommentary[Date],1):tblCommentary[[#This Row],[Date]],tblCommentary[[#This Row],[Date]]))</f>
        <v/>
      </c>
      <c r="F1931" s="63">
        <f>IF(tblCommentary[[#This Row],[Date]]="","",tblCommentary[[#This Row],[Date]]&amp;"|"&amp;tblCommentary[[#This Row],[Seq_Day]])</f>
        <v/>
      </c>
    </row>
    <row r="1932">
      <c r="A1932" s="54" t="n"/>
      <c r="B1932" s="61" t="n"/>
      <c r="C1932" s="58" t="n"/>
      <c r="D1932" s="58" t="n"/>
      <c r="E1932" s="64">
        <f>IF(tblCommentary[[#This Row],[Date]]="","",COUNTIFS(INDEX(tblCommentary[Date],1):tblCommentary[[#This Row],[Date]],tblCommentary[[#This Row],[Date]]))</f>
        <v/>
      </c>
      <c r="F1932" s="63">
        <f>IF(tblCommentary[[#This Row],[Date]]="","",tblCommentary[[#This Row],[Date]]&amp;"|"&amp;tblCommentary[[#This Row],[Seq_Day]])</f>
        <v/>
      </c>
    </row>
    <row r="1933">
      <c r="A1933" s="54" t="n"/>
      <c r="B1933" s="61" t="n"/>
      <c r="C1933" s="58" t="n"/>
      <c r="D1933" s="58" t="n"/>
      <c r="E1933" s="64">
        <f>IF(tblCommentary[[#This Row],[Date]]="","",COUNTIFS(INDEX(tblCommentary[Date],1):tblCommentary[[#This Row],[Date]],tblCommentary[[#This Row],[Date]]))</f>
        <v/>
      </c>
      <c r="F1933" s="63">
        <f>IF(tblCommentary[[#This Row],[Date]]="","",tblCommentary[[#This Row],[Date]]&amp;"|"&amp;tblCommentary[[#This Row],[Seq_Day]])</f>
        <v/>
      </c>
    </row>
    <row r="1934">
      <c r="A1934" s="54" t="n"/>
      <c r="B1934" s="61" t="n"/>
      <c r="C1934" s="58" t="n"/>
      <c r="D1934" s="58" t="n"/>
      <c r="E1934" s="64">
        <f>IF(tblCommentary[[#This Row],[Date]]="","",COUNTIFS(INDEX(tblCommentary[Date],1):tblCommentary[[#This Row],[Date]],tblCommentary[[#This Row],[Date]]))</f>
        <v/>
      </c>
      <c r="F1934" s="63">
        <f>IF(tblCommentary[[#This Row],[Date]]="","",tblCommentary[[#This Row],[Date]]&amp;"|"&amp;tblCommentary[[#This Row],[Seq_Day]])</f>
        <v/>
      </c>
    </row>
    <row r="1935">
      <c r="A1935" s="54" t="n"/>
      <c r="B1935" s="61" t="n"/>
      <c r="C1935" s="58" t="n"/>
      <c r="D1935" s="58" t="n"/>
      <c r="E1935" s="64">
        <f>IF(tblCommentary[[#This Row],[Date]]="","",COUNTIFS(INDEX(tblCommentary[Date],1):tblCommentary[[#This Row],[Date]],tblCommentary[[#This Row],[Date]]))</f>
        <v/>
      </c>
      <c r="F1935" s="63">
        <f>IF(tblCommentary[[#This Row],[Date]]="","",tblCommentary[[#This Row],[Date]]&amp;"|"&amp;tblCommentary[[#This Row],[Seq_Day]])</f>
        <v/>
      </c>
    </row>
    <row r="1936">
      <c r="A1936" s="54" t="n"/>
      <c r="B1936" s="61" t="n"/>
      <c r="C1936" s="58" t="n"/>
      <c r="D1936" s="58" t="n"/>
      <c r="E1936" s="64">
        <f>IF(tblCommentary[[#This Row],[Date]]="","",COUNTIFS(INDEX(tblCommentary[Date],1):tblCommentary[[#This Row],[Date]],tblCommentary[[#This Row],[Date]]))</f>
        <v/>
      </c>
      <c r="F1936" s="63">
        <f>IF(tblCommentary[[#This Row],[Date]]="","",tblCommentary[[#This Row],[Date]]&amp;"|"&amp;tblCommentary[[#This Row],[Seq_Day]])</f>
        <v/>
      </c>
    </row>
    <row r="1937">
      <c r="A1937" s="54" t="n"/>
      <c r="B1937" s="61" t="n"/>
      <c r="C1937" s="58" t="n"/>
      <c r="D1937" s="58" t="n"/>
      <c r="E1937" s="64">
        <f>IF(tblCommentary[[#This Row],[Date]]="","",COUNTIFS(INDEX(tblCommentary[Date],1):tblCommentary[[#This Row],[Date]],tblCommentary[[#This Row],[Date]]))</f>
        <v/>
      </c>
      <c r="F1937" s="63">
        <f>IF(tblCommentary[[#This Row],[Date]]="","",tblCommentary[[#This Row],[Date]]&amp;"|"&amp;tblCommentary[[#This Row],[Seq_Day]])</f>
        <v/>
      </c>
    </row>
    <row r="1938">
      <c r="A1938" s="54" t="n"/>
      <c r="B1938" s="61" t="n"/>
      <c r="C1938" s="58" t="n"/>
      <c r="D1938" s="58" t="n"/>
      <c r="E1938" s="64">
        <f>IF(tblCommentary[[#This Row],[Date]]="","",COUNTIFS(INDEX(tblCommentary[Date],1):tblCommentary[[#This Row],[Date]],tblCommentary[[#This Row],[Date]]))</f>
        <v/>
      </c>
      <c r="F1938" s="63">
        <f>IF(tblCommentary[[#This Row],[Date]]="","",tblCommentary[[#This Row],[Date]]&amp;"|"&amp;tblCommentary[[#This Row],[Seq_Day]])</f>
        <v/>
      </c>
    </row>
    <row r="1939">
      <c r="A1939" s="54" t="n"/>
      <c r="B1939" s="61" t="n"/>
      <c r="C1939" s="58" t="n"/>
      <c r="D1939" s="58" t="n"/>
      <c r="E1939" s="64">
        <f>IF(tblCommentary[[#This Row],[Date]]="","",COUNTIFS(INDEX(tblCommentary[Date],1):tblCommentary[[#This Row],[Date]],tblCommentary[[#This Row],[Date]]))</f>
        <v/>
      </c>
      <c r="F1939" s="63">
        <f>IF(tblCommentary[[#This Row],[Date]]="","",tblCommentary[[#This Row],[Date]]&amp;"|"&amp;tblCommentary[[#This Row],[Seq_Day]])</f>
        <v/>
      </c>
    </row>
    <row r="1940">
      <c r="A1940" s="54" t="n"/>
      <c r="B1940" s="61" t="n"/>
      <c r="C1940" s="58" t="n"/>
      <c r="D1940" s="58" t="n"/>
      <c r="E1940" s="64">
        <f>IF(tblCommentary[[#This Row],[Date]]="","",COUNTIFS(INDEX(tblCommentary[Date],1):tblCommentary[[#This Row],[Date]],tblCommentary[[#This Row],[Date]]))</f>
        <v/>
      </c>
      <c r="F1940" s="63">
        <f>IF(tblCommentary[[#This Row],[Date]]="","",tblCommentary[[#This Row],[Date]]&amp;"|"&amp;tblCommentary[[#This Row],[Seq_Day]])</f>
        <v/>
      </c>
    </row>
    <row r="1941">
      <c r="A1941" s="54" t="n"/>
      <c r="B1941" s="61" t="n"/>
      <c r="C1941" s="58" t="n"/>
      <c r="D1941" s="58" t="n"/>
      <c r="E1941" s="64">
        <f>IF(tblCommentary[[#This Row],[Date]]="","",COUNTIFS(INDEX(tblCommentary[Date],1):tblCommentary[[#This Row],[Date]],tblCommentary[[#This Row],[Date]]))</f>
        <v/>
      </c>
      <c r="F1941" s="63">
        <f>IF(tblCommentary[[#This Row],[Date]]="","",tblCommentary[[#This Row],[Date]]&amp;"|"&amp;tblCommentary[[#This Row],[Seq_Day]])</f>
        <v/>
      </c>
    </row>
    <row r="1942">
      <c r="A1942" s="54" t="n"/>
      <c r="B1942" s="61" t="n"/>
      <c r="C1942" s="58" t="n"/>
      <c r="D1942" s="58" t="n"/>
      <c r="E1942" s="64">
        <f>IF(tblCommentary[[#This Row],[Date]]="","",COUNTIFS(INDEX(tblCommentary[Date],1):tblCommentary[[#This Row],[Date]],tblCommentary[[#This Row],[Date]]))</f>
        <v/>
      </c>
      <c r="F1942" s="63">
        <f>IF(tblCommentary[[#This Row],[Date]]="","",tblCommentary[[#This Row],[Date]]&amp;"|"&amp;tblCommentary[[#This Row],[Seq_Day]])</f>
        <v/>
      </c>
    </row>
    <row r="1943">
      <c r="A1943" s="54" t="n"/>
      <c r="B1943" s="61" t="n"/>
      <c r="C1943" s="58" t="n"/>
      <c r="D1943" s="58" t="n"/>
      <c r="E1943" s="64">
        <f>IF(tblCommentary[[#This Row],[Date]]="","",COUNTIFS(INDEX(tblCommentary[Date],1):tblCommentary[[#This Row],[Date]],tblCommentary[[#This Row],[Date]]))</f>
        <v/>
      </c>
      <c r="F1943" s="63">
        <f>IF(tblCommentary[[#This Row],[Date]]="","",tblCommentary[[#This Row],[Date]]&amp;"|"&amp;tblCommentary[[#This Row],[Seq_Day]])</f>
        <v/>
      </c>
    </row>
    <row r="1944">
      <c r="A1944" s="54" t="n"/>
      <c r="B1944" s="61" t="n"/>
      <c r="C1944" s="58" t="n"/>
      <c r="D1944" s="58" t="n"/>
      <c r="E1944" s="64">
        <f>IF(tblCommentary[[#This Row],[Date]]="","",COUNTIFS(INDEX(tblCommentary[Date],1):tblCommentary[[#This Row],[Date]],tblCommentary[[#This Row],[Date]]))</f>
        <v/>
      </c>
      <c r="F1944" s="63">
        <f>IF(tblCommentary[[#This Row],[Date]]="","",tblCommentary[[#This Row],[Date]]&amp;"|"&amp;tblCommentary[[#This Row],[Seq_Day]])</f>
        <v/>
      </c>
    </row>
    <row r="1945">
      <c r="A1945" s="54" t="n"/>
      <c r="B1945" s="61" t="n"/>
      <c r="C1945" s="58" t="n"/>
      <c r="D1945" s="58" t="n"/>
      <c r="E1945" s="64">
        <f>IF(tblCommentary[[#This Row],[Date]]="","",COUNTIFS(INDEX(tblCommentary[Date],1):tblCommentary[[#This Row],[Date]],tblCommentary[[#This Row],[Date]]))</f>
        <v/>
      </c>
      <c r="F1945" s="63">
        <f>IF(tblCommentary[[#This Row],[Date]]="","",tblCommentary[[#This Row],[Date]]&amp;"|"&amp;tblCommentary[[#This Row],[Seq_Day]])</f>
        <v/>
      </c>
    </row>
    <row r="1946">
      <c r="A1946" s="54" t="n"/>
      <c r="B1946" s="61" t="n"/>
      <c r="C1946" s="58" t="n"/>
      <c r="D1946" s="58" t="n"/>
      <c r="E1946" s="64">
        <f>IF(tblCommentary[[#This Row],[Date]]="","",COUNTIFS(INDEX(tblCommentary[Date],1):tblCommentary[[#This Row],[Date]],tblCommentary[[#This Row],[Date]]))</f>
        <v/>
      </c>
      <c r="F1946" s="63">
        <f>IF(tblCommentary[[#This Row],[Date]]="","",tblCommentary[[#This Row],[Date]]&amp;"|"&amp;tblCommentary[[#This Row],[Seq_Day]])</f>
        <v/>
      </c>
    </row>
    <row r="1947">
      <c r="A1947" s="54" t="n"/>
      <c r="B1947" s="61" t="n"/>
      <c r="C1947" s="58" t="n"/>
      <c r="D1947" s="58" t="n"/>
      <c r="E1947" s="64">
        <f>IF(tblCommentary[[#This Row],[Date]]="","",COUNTIFS(INDEX(tblCommentary[Date],1):tblCommentary[[#This Row],[Date]],tblCommentary[[#This Row],[Date]]))</f>
        <v/>
      </c>
      <c r="F1947" s="63">
        <f>IF(tblCommentary[[#This Row],[Date]]="","",tblCommentary[[#This Row],[Date]]&amp;"|"&amp;tblCommentary[[#This Row],[Seq_Day]])</f>
        <v/>
      </c>
    </row>
    <row r="1948">
      <c r="A1948" s="54" t="n"/>
      <c r="B1948" s="61" t="n"/>
      <c r="C1948" s="58" t="n"/>
      <c r="D1948" s="58" t="n"/>
      <c r="E1948" s="64">
        <f>IF(tblCommentary[[#This Row],[Date]]="","",COUNTIFS(INDEX(tblCommentary[Date],1):tblCommentary[[#This Row],[Date]],tblCommentary[[#This Row],[Date]]))</f>
        <v/>
      </c>
      <c r="F1948" s="63">
        <f>IF(tblCommentary[[#This Row],[Date]]="","",tblCommentary[[#This Row],[Date]]&amp;"|"&amp;tblCommentary[[#This Row],[Seq_Day]])</f>
        <v/>
      </c>
    </row>
    <row r="1949">
      <c r="A1949" s="54" t="n"/>
      <c r="B1949" s="61" t="n"/>
      <c r="C1949" s="58" t="n"/>
      <c r="D1949" s="58" t="n"/>
      <c r="E1949" s="64">
        <f>IF(tblCommentary[[#This Row],[Date]]="","",COUNTIFS(INDEX(tblCommentary[Date],1):tblCommentary[[#This Row],[Date]],tblCommentary[[#This Row],[Date]]))</f>
        <v/>
      </c>
      <c r="F1949" s="63">
        <f>IF(tblCommentary[[#This Row],[Date]]="","",tblCommentary[[#This Row],[Date]]&amp;"|"&amp;tblCommentary[[#This Row],[Seq_Day]])</f>
        <v/>
      </c>
    </row>
    <row r="1950">
      <c r="A1950" s="54" t="n"/>
      <c r="B1950" s="61" t="n"/>
      <c r="C1950" s="58" t="n"/>
      <c r="D1950" s="58" t="n"/>
      <c r="E1950" s="64">
        <f>IF(tblCommentary[[#This Row],[Date]]="","",COUNTIFS(INDEX(tblCommentary[Date],1):tblCommentary[[#This Row],[Date]],tblCommentary[[#This Row],[Date]]))</f>
        <v/>
      </c>
      <c r="F1950" s="63">
        <f>IF(tblCommentary[[#This Row],[Date]]="","",tblCommentary[[#This Row],[Date]]&amp;"|"&amp;tblCommentary[[#This Row],[Seq_Day]])</f>
        <v/>
      </c>
    </row>
    <row r="1951">
      <c r="A1951" s="54" t="n"/>
      <c r="B1951" s="61" t="n"/>
      <c r="C1951" s="58" t="n"/>
      <c r="D1951" s="58" t="n"/>
      <c r="E1951" s="64">
        <f>IF(tblCommentary[[#This Row],[Date]]="","",COUNTIFS(INDEX(tblCommentary[Date],1):tblCommentary[[#This Row],[Date]],tblCommentary[[#This Row],[Date]]))</f>
        <v/>
      </c>
      <c r="F1951" s="63">
        <f>IF(tblCommentary[[#This Row],[Date]]="","",tblCommentary[[#This Row],[Date]]&amp;"|"&amp;tblCommentary[[#This Row],[Seq_Day]])</f>
        <v/>
      </c>
    </row>
    <row r="1952">
      <c r="A1952" s="54" t="n"/>
      <c r="B1952" s="61" t="n"/>
      <c r="C1952" s="58" t="n"/>
      <c r="D1952" s="58" t="n"/>
      <c r="E1952" s="64">
        <f>IF(tblCommentary[[#This Row],[Date]]="","",COUNTIFS(INDEX(tblCommentary[Date],1):tblCommentary[[#This Row],[Date]],tblCommentary[[#This Row],[Date]]))</f>
        <v/>
      </c>
      <c r="F1952" s="63">
        <f>IF(tblCommentary[[#This Row],[Date]]="","",tblCommentary[[#This Row],[Date]]&amp;"|"&amp;tblCommentary[[#This Row],[Seq_Day]])</f>
        <v/>
      </c>
    </row>
    <row r="1953">
      <c r="A1953" s="54" t="n"/>
      <c r="B1953" s="61" t="n"/>
      <c r="C1953" s="58" t="n"/>
      <c r="D1953" s="58" t="n"/>
      <c r="E1953" s="64">
        <f>IF(tblCommentary[[#This Row],[Date]]="","",COUNTIFS(INDEX(tblCommentary[Date],1):tblCommentary[[#This Row],[Date]],tblCommentary[[#This Row],[Date]]))</f>
        <v/>
      </c>
      <c r="F1953" s="63">
        <f>IF(tblCommentary[[#This Row],[Date]]="","",tblCommentary[[#This Row],[Date]]&amp;"|"&amp;tblCommentary[[#This Row],[Seq_Day]])</f>
        <v/>
      </c>
    </row>
    <row r="1954">
      <c r="A1954" s="54" t="n"/>
      <c r="B1954" s="61" t="n"/>
      <c r="C1954" s="58" t="n"/>
      <c r="D1954" s="58" t="n"/>
      <c r="E1954" s="64">
        <f>IF(tblCommentary[[#This Row],[Date]]="","",COUNTIFS(INDEX(tblCommentary[Date],1):tblCommentary[[#This Row],[Date]],tblCommentary[[#This Row],[Date]]))</f>
        <v/>
      </c>
      <c r="F1954" s="63">
        <f>IF(tblCommentary[[#This Row],[Date]]="","",tblCommentary[[#This Row],[Date]]&amp;"|"&amp;tblCommentary[[#This Row],[Seq_Day]])</f>
        <v/>
      </c>
    </row>
    <row r="1955">
      <c r="A1955" s="54" t="n"/>
      <c r="B1955" s="61" t="n"/>
      <c r="C1955" s="58" t="n"/>
      <c r="D1955" s="58" t="n"/>
      <c r="E1955" s="64">
        <f>IF(tblCommentary[[#This Row],[Date]]="","",COUNTIFS(INDEX(tblCommentary[Date],1):tblCommentary[[#This Row],[Date]],tblCommentary[[#This Row],[Date]]))</f>
        <v/>
      </c>
      <c r="F1955" s="63">
        <f>IF(tblCommentary[[#This Row],[Date]]="","",tblCommentary[[#This Row],[Date]]&amp;"|"&amp;tblCommentary[[#This Row],[Seq_Day]])</f>
        <v/>
      </c>
    </row>
    <row r="1956">
      <c r="A1956" s="54" t="n"/>
      <c r="B1956" s="61" t="n"/>
      <c r="C1956" s="58" t="n"/>
      <c r="D1956" s="58" t="n"/>
      <c r="E1956" s="64">
        <f>IF(tblCommentary[[#This Row],[Date]]="","",COUNTIFS(INDEX(tblCommentary[Date],1):tblCommentary[[#This Row],[Date]],tblCommentary[[#This Row],[Date]]))</f>
        <v/>
      </c>
      <c r="F1956" s="63">
        <f>IF(tblCommentary[[#This Row],[Date]]="","",tblCommentary[[#This Row],[Date]]&amp;"|"&amp;tblCommentary[[#This Row],[Seq_Day]])</f>
        <v/>
      </c>
    </row>
    <row r="1957">
      <c r="A1957" s="54" t="n"/>
      <c r="B1957" s="61" t="n"/>
      <c r="C1957" s="58" t="n"/>
      <c r="D1957" s="58" t="n"/>
      <c r="E1957" s="64">
        <f>IF(tblCommentary[[#This Row],[Date]]="","",COUNTIFS(INDEX(tblCommentary[Date],1):tblCommentary[[#This Row],[Date]],tblCommentary[[#This Row],[Date]]))</f>
        <v/>
      </c>
      <c r="F1957" s="63">
        <f>IF(tblCommentary[[#This Row],[Date]]="","",tblCommentary[[#This Row],[Date]]&amp;"|"&amp;tblCommentary[[#This Row],[Seq_Day]])</f>
        <v/>
      </c>
    </row>
    <row r="1958">
      <c r="A1958" s="54" t="n"/>
      <c r="B1958" s="61" t="n"/>
      <c r="C1958" s="58" t="n"/>
      <c r="D1958" s="58" t="n"/>
      <c r="E1958" s="64">
        <f>IF(tblCommentary[[#This Row],[Date]]="","",COUNTIFS(INDEX(tblCommentary[Date],1):tblCommentary[[#This Row],[Date]],tblCommentary[[#This Row],[Date]]))</f>
        <v/>
      </c>
      <c r="F1958" s="63">
        <f>IF(tblCommentary[[#This Row],[Date]]="","",tblCommentary[[#This Row],[Date]]&amp;"|"&amp;tblCommentary[[#This Row],[Seq_Day]])</f>
        <v/>
      </c>
    </row>
    <row r="1959">
      <c r="A1959" s="54" t="n"/>
      <c r="B1959" s="61" t="n"/>
      <c r="C1959" s="58" t="n"/>
      <c r="D1959" s="58" t="n"/>
      <c r="E1959" s="64">
        <f>IF(tblCommentary[[#This Row],[Date]]="","",COUNTIFS(INDEX(tblCommentary[Date],1):tblCommentary[[#This Row],[Date]],tblCommentary[[#This Row],[Date]]))</f>
        <v/>
      </c>
      <c r="F1959" s="63">
        <f>IF(tblCommentary[[#This Row],[Date]]="","",tblCommentary[[#This Row],[Date]]&amp;"|"&amp;tblCommentary[[#This Row],[Seq_Day]])</f>
        <v/>
      </c>
    </row>
    <row r="1960">
      <c r="A1960" s="54" t="n"/>
      <c r="B1960" s="61" t="n"/>
      <c r="C1960" s="58" t="n"/>
      <c r="D1960" s="58" t="n"/>
      <c r="E1960" s="64">
        <f>IF(tblCommentary[[#This Row],[Date]]="","",COUNTIFS(INDEX(tblCommentary[Date],1):tblCommentary[[#This Row],[Date]],tblCommentary[[#This Row],[Date]]))</f>
        <v/>
      </c>
      <c r="F1960" s="63">
        <f>IF(tblCommentary[[#This Row],[Date]]="","",tblCommentary[[#This Row],[Date]]&amp;"|"&amp;tblCommentary[[#This Row],[Seq_Day]])</f>
        <v/>
      </c>
    </row>
    <row r="1961">
      <c r="A1961" s="54" t="n"/>
      <c r="B1961" s="61" t="n"/>
      <c r="C1961" s="58" t="n"/>
      <c r="D1961" s="58" t="n"/>
      <c r="E1961" s="64">
        <f>IF(tblCommentary[[#This Row],[Date]]="","",COUNTIFS(INDEX(tblCommentary[Date],1):tblCommentary[[#This Row],[Date]],tblCommentary[[#This Row],[Date]]))</f>
        <v/>
      </c>
      <c r="F1961" s="63">
        <f>IF(tblCommentary[[#This Row],[Date]]="","",tblCommentary[[#This Row],[Date]]&amp;"|"&amp;tblCommentary[[#This Row],[Seq_Day]])</f>
        <v/>
      </c>
    </row>
    <row r="1962">
      <c r="A1962" s="54" t="n"/>
      <c r="B1962" s="61" t="n"/>
      <c r="C1962" s="58" t="n"/>
      <c r="D1962" s="58" t="n"/>
      <c r="E1962" s="64">
        <f>IF(tblCommentary[[#This Row],[Date]]="","",COUNTIFS(INDEX(tblCommentary[Date],1):tblCommentary[[#This Row],[Date]],tblCommentary[[#This Row],[Date]]))</f>
        <v/>
      </c>
      <c r="F1962" s="63">
        <f>IF(tblCommentary[[#This Row],[Date]]="","",tblCommentary[[#This Row],[Date]]&amp;"|"&amp;tblCommentary[[#This Row],[Seq_Day]])</f>
        <v/>
      </c>
    </row>
    <row r="1963">
      <c r="A1963" s="54" t="n"/>
      <c r="B1963" s="61" t="n"/>
      <c r="C1963" s="58" t="n"/>
      <c r="D1963" s="58" t="n"/>
      <c r="E1963" s="64">
        <f>IF(tblCommentary[[#This Row],[Date]]="","",COUNTIFS(INDEX(tblCommentary[Date],1):tblCommentary[[#This Row],[Date]],tblCommentary[[#This Row],[Date]]))</f>
        <v/>
      </c>
      <c r="F1963" s="63">
        <f>IF(tblCommentary[[#This Row],[Date]]="","",tblCommentary[[#This Row],[Date]]&amp;"|"&amp;tblCommentary[[#This Row],[Seq_Day]])</f>
        <v/>
      </c>
    </row>
    <row r="1964">
      <c r="A1964" s="54" t="n"/>
      <c r="B1964" s="61" t="n"/>
      <c r="C1964" s="58" t="n"/>
      <c r="D1964" s="58" t="n"/>
      <c r="E1964" s="64">
        <f>IF(tblCommentary[[#This Row],[Date]]="","",COUNTIFS(INDEX(tblCommentary[Date],1):tblCommentary[[#This Row],[Date]],tblCommentary[[#This Row],[Date]]))</f>
        <v/>
      </c>
      <c r="F1964" s="63">
        <f>IF(tblCommentary[[#This Row],[Date]]="","",tblCommentary[[#This Row],[Date]]&amp;"|"&amp;tblCommentary[[#This Row],[Seq_Day]])</f>
        <v/>
      </c>
    </row>
    <row r="1965">
      <c r="A1965" s="54" t="n"/>
      <c r="B1965" s="61" t="n"/>
      <c r="C1965" s="58" t="n"/>
      <c r="D1965" s="58" t="n"/>
      <c r="E1965" s="64">
        <f>IF(tblCommentary[[#This Row],[Date]]="","",COUNTIFS(INDEX(tblCommentary[Date],1):tblCommentary[[#This Row],[Date]],tblCommentary[[#This Row],[Date]]))</f>
        <v/>
      </c>
      <c r="F1965" s="63">
        <f>IF(tblCommentary[[#This Row],[Date]]="","",tblCommentary[[#This Row],[Date]]&amp;"|"&amp;tblCommentary[[#This Row],[Seq_Day]])</f>
        <v/>
      </c>
    </row>
    <row r="1966">
      <c r="A1966" s="54" t="n"/>
      <c r="B1966" s="61" t="n"/>
      <c r="C1966" s="58" t="n"/>
      <c r="D1966" s="58" t="n"/>
      <c r="E1966" s="64">
        <f>IF(tblCommentary[[#This Row],[Date]]="","",COUNTIFS(INDEX(tblCommentary[Date],1):tblCommentary[[#This Row],[Date]],tblCommentary[[#This Row],[Date]]))</f>
        <v/>
      </c>
      <c r="F1966" s="63">
        <f>IF(tblCommentary[[#This Row],[Date]]="","",tblCommentary[[#This Row],[Date]]&amp;"|"&amp;tblCommentary[[#This Row],[Seq_Day]])</f>
        <v/>
      </c>
    </row>
    <row r="1967">
      <c r="A1967" s="54" t="n"/>
      <c r="B1967" s="61" t="n"/>
      <c r="C1967" s="58" t="n"/>
      <c r="D1967" s="58" t="n"/>
      <c r="E1967" s="64">
        <f>IF(tblCommentary[[#This Row],[Date]]="","",COUNTIFS(INDEX(tblCommentary[Date],1):tblCommentary[[#This Row],[Date]],tblCommentary[[#This Row],[Date]]))</f>
        <v/>
      </c>
      <c r="F1967" s="63">
        <f>IF(tblCommentary[[#This Row],[Date]]="","",tblCommentary[[#This Row],[Date]]&amp;"|"&amp;tblCommentary[[#This Row],[Seq_Day]])</f>
        <v/>
      </c>
    </row>
    <row r="1968">
      <c r="A1968" s="54" t="n"/>
      <c r="B1968" s="61" t="n"/>
      <c r="C1968" s="58" t="n"/>
      <c r="D1968" s="58" t="n"/>
      <c r="E1968" s="64">
        <f>IF(tblCommentary[[#This Row],[Date]]="","",COUNTIFS(INDEX(tblCommentary[Date],1):tblCommentary[[#This Row],[Date]],tblCommentary[[#This Row],[Date]]))</f>
        <v/>
      </c>
      <c r="F1968" s="63">
        <f>IF(tblCommentary[[#This Row],[Date]]="","",tblCommentary[[#This Row],[Date]]&amp;"|"&amp;tblCommentary[[#This Row],[Seq_Day]])</f>
        <v/>
      </c>
    </row>
    <row r="1969">
      <c r="A1969" s="54" t="n"/>
      <c r="B1969" s="61" t="n"/>
      <c r="C1969" s="58" t="n"/>
      <c r="D1969" s="58" t="n"/>
      <c r="E1969" s="64">
        <f>IF(tblCommentary[[#This Row],[Date]]="","",COUNTIFS(INDEX(tblCommentary[Date],1):tblCommentary[[#This Row],[Date]],tblCommentary[[#This Row],[Date]]))</f>
        <v/>
      </c>
      <c r="F1969" s="63">
        <f>IF(tblCommentary[[#This Row],[Date]]="","",tblCommentary[[#This Row],[Date]]&amp;"|"&amp;tblCommentary[[#This Row],[Seq_Day]])</f>
        <v/>
      </c>
    </row>
    <row r="1970">
      <c r="A1970" s="54" t="n"/>
      <c r="B1970" s="61" t="n"/>
      <c r="C1970" s="58" t="n"/>
      <c r="D1970" s="58" t="n"/>
      <c r="E1970" s="64">
        <f>IF(tblCommentary[[#This Row],[Date]]="","",COUNTIFS(INDEX(tblCommentary[Date],1):tblCommentary[[#This Row],[Date]],tblCommentary[[#This Row],[Date]]))</f>
        <v/>
      </c>
      <c r="F1970" s="63">
        <f>IF(tblCommentary[[#This Row],[Date]]="","",tblCommentary[[#This Row],[Date]]&amp;"|"&amp;tblCommentary[[#This Row],[Seq_Day]])</f>
        <v/>
      </c>
    </row>
    <row r="1971">
      <c r="A1971" s="54" t="n"/>
      <c r="B1971" s="61" t="n"/>
      <c r="C1971" s="58" t="n"/>
      <c r="D1971" s="58" t="n"/>
      <c r="E1971" s="64">
        <f>IF(tblCommentary[[#This Row],[Date]]="","",COUNTIFS(INDEX(tblCommentary[Date],1):tblCommentary[[#This Row],[Date]],tblCommentary[[#This Row],[Date]]))</f>
        <v/>
      </c>
      <c r="F1971" s="63">
        <f>IF(tblCommentary[[#This Row],[Date]]="","",tblCommentary[[#This Row],[Date]]&amp;"|"&amp;tblCommentary[[#This Row],[Seq_Day]])</f>
        <v/>
      </c>
    </row>
    <row r="1972">
      <c r="A1972" s="54" t="n"/>
      <c r="B1972" s="61" t="n"/>
      <c r="C1972" s="58" t="n"/>
      <c r="D1972" s="58" t="n"/>
      <c r="E1972" s="64">
        <f>IF(tblCommentary[[#This Row],[Date]]="","",COUNTIFS(INDEX(tblCommentary[Date],1):tblCommentary[[#This Row],[Date]],tblCommentary[[#This Row],[Date]]))</f>
        <v/>
      </c>
      <c r="F1972" s="63">
        <f>IF(tblCommentary[[#This Row],[Date]]="","",tblCommentary[[#This Row],[Date]]&amp;"|"&amp;tblCommentary[[#This Row],[Seq_Day]])</f>
        <v/>
      </c>
    </row>
    <row r="1973">
      <c r="A1973" s="54" t="n"/>
      <c r="B1973" s="61" t="n"/>
      <c r="C1973" s="58" t="n"/>
      <c r="D1973" s="58" t="n"/>
      <c r="E1973" s="64">
        <f>IF(tblCommentary[[#This Row],[Date]]="","",COUNTIFS(INDEX(tblCommentary[Date],1):tblCommentary[[#This Row],[Date]],tblCommentary[[#This Row],[Date]]))</f>
        <v/>
      </c>
      <c r="F1973" s="63">
        <f>IF(tblCommentary[[#This Row],[Date]]="","",tblCommentary[[#This Row],[Date]]&amp;"|"&amp;tblCommentary[[#This Row],[Seq_Day]])</f>
        <v/>
      </c>
    </row>
    <row r="1974">
      <c r="A1974" s="54" t="n"/>
      <c r="B1974" s="61" t="n"/>
      <c r="C1974" s="58" t="n"/>
      <c r="D1974" s="58" t="n"/>
      <c r="E1974" s="64">
        <f>IF(tblCommentary[[#This Row],[Date]]="","",COUNTIFS(INDEX(tblCommentary[Date],1):tblCommentary[[#This Row],[Date]],tblCommentary[[#This Row],[Date]]))</f>
        <v/>
      </c>
      <c r="F1974" s="63">
        <f>IF(tblCommentary[[#This Row],[Date]]="","",tblCommentary[[#This Row],[Date]]&amp;"|"&amp;tblCommentary[[#This Row],[Seq_Day]])</f>
        <v/>
      </c>
    </row>
    <row r="1975">
      <c r="A1975" s="54" t="n"/>
      <c r="B1975" s="61" t="n"/>
      <c r="C1975" s="58" t="n"/>
      <c r="D1975" s="58" t="n"/>
      <c r="E1975" s="64">
        <f>IF(tblCommentary[[#This Row],[Date]]="","",COUNTIFS(INDEX(tblCommentary[Date],1):tblCommentary[[#This Row],[Date]],tblCommentary[[#This Row],[Date]]))</f>
        <v/>
      </c>
      <c r="F1975" s="63">
        <f>IF(tblCommentary[[#This Row],[Date]]="","",tblCommentary[[#This Row],[Date]]&amp;"|"&amp;tblCommentary[[#This Row],[Seq_Day]])</f>
        <v/>
      </c>
    </row>
    <row r="1976">
      <c r="A1976" s="54" t="n"/>
      <c r="B1976" s="61" t="n"/>
      <c r="C1976" s="58" t="n"/>
      <c r="D1976" s="58" t="n"/>
      <c r="E1976" s="64">
        <f>IF(tblCommentary[[#This Row],[Date]]="","",COUNTIFS(INDEX(tblCommentary[Date],1):tblCommentary[[#This Row],[Date]],tblCommentary[[#This Row],[Date]]))</f>
        <v/>
      </c>
      <c r="F1976" s="63">
        <f>IF(tblCommentary[[#This Row],[Date]]="","",tblCommentary[[#This Row],[Date]]&amp;"|"&amp;tblCommentary[[#This Row],[Seq_Day]])</f>
        <v/>
      </c>
    </row>
    <row r="1977">
      <c r="A1977" s="54" t="n"/>
      <c r="B1977" s="61" t="n"/>
      <c r="C1977" s="58" t="n"/>
      <c r="D1977" s="58" t="n"/>
      <c r="E1977" s="64">
        <f>IF(tblCommentary[[#This Row],[Date]]="","",COUNTIFS(INDEX(tblCommentary[Date],1):tblCommentary[[#This Row],[Date]],tblCommentary[[#This Row],[Date]]))</f>
        <v/>
      </c>
      <c r="F1977" s="63">
        <f>IF(tblCommentary[[#This Row],[Date]]="","",tblCommentary[[#This Row],[Date]]&amp;"|"&amp;tblCommentary[[#This Row],[Seq_Day]])</f>
        <v/>
      </c>
    </row>
    <row r="1978">
      <c r="A1978" s="54" t="n"/>
      <c r="B1978" s="61" t="n"/>
      <c r="C1978" s="58" t="n"/>
      <c r="D1978" s="58" t="n"/>
      <c r="E1978" s="64">
        <f>IF(tblCommentary[[#This Row],[Date]]="","",COUNTIFS(INDEX(tblCommentary[Date],1):tblCommentary[[#This Row],[Date]],tblCommentary[[#This Row],[Date]]))</f>
        <v/>
      </c>
      <c r="F1978" s="63">
        <f>IF(tblCommentary[[#This Row],[Date]]="","",tblCommentary[[#This Row],[Date]]&amp;"|"&amp;tblCommentary[[#This Row],[Seq_Day]])</f>
        <v/>
      </c>
    </row>
    <row r="1979">
      <c r="A1979" s="54" t="n"/>
      <c r="B1979" s="61" t="n"/>
      <c r="C1979" s="58" t="n"/>
      <c r="D1979" s="58" t="n"/>
      <c r="E1979" s="64">
        <f>IF(tblCommentary[[#This Row],[Date]]="","",COUNTIFS(INDEX(tblCommentary[Date],1):tblCommentary[[#This Row],[Date]],tblCommentary[[#This Row],[Date]]))</f>
        <v/>
      </c>
      <c r="F1979" s="63">
        <f>IF(tblCommentary[[#This Row],[Date]]="","",tblCommentary[[#This Row],[Date]]&amp;"|"&amp;tblCommentary[[#This Row],[Seq_Day]])</f>
        <v/>
      </c>
    </row>
    <row r="1980">
      <c r="A1980" s="54" t="n"/>
      <c r="B1980" s="61" t="n"/>
      <c r="C1980" s="58" t="n"/>
      <c r="D1980" s="58" t="n"/>
      <c r="E1980" s="64">
        <f>IF(tblCommentary[[#This Row],[Date]]="","",COUNTIFS(INDEX(tblCommentary[Date],1):tblCommentary[[#This Row],[Date]],tblCommentary[[#This Row],[Date]]))</f>
        <v/>
      </c>
      <c r="F1980" s="63">
        <f>IF(tblCommentary[[#This Row],[Date]]="","",tblCommentary[[#This Row],[Date]]&amp;"|"&amp;tblCommentary[[#This Row],[Seq_Day]])</f>
        <v/>
      </c>
    </row>
    <row r="1981">
      <c r="A1981" s="54" t="n"/>
      <c r="B1981" s="61" t="n"/>
      <c r="C1981" s="58" t="n"/>
      <c r="D1981" s="58" t="n"/>
      <c r="E1981" s="64">
        <f>IF(tblCommentary[[#This Row],[Date]]="","",COUNTIFS(INDEX(tblCommentary[Date],1):tblCommentary[[#This Row],[Date]],tblCommentary[[#This Row],[Date]]))</f>
        <v/>
      </c>
      <c r="F1981" s="63">
        <f>IF(tblCommentary[[#This Row],[Date]]="","",tblCommentary[[#This Row],[Date]]&amp;"|"&amp;tblCommentary[[#This Row],[Seq_Day]])</f>
        <v/>
      </c>
    </row>
    <row r="1982">
      <c r="A1982" s="54" t="n"/>
      <c r="B1982" s="61" t="n"/>
      <c r="C1982" s="58" t="n"/>
      <c r="D1982" s="58" t="n"/>
      <c r="E1982" s="64">
        <f>IF(tblCommentary[[#This Row],[Date]]="","",COUNTIFS(INDEX(tblCommentary[Date],1):tblCommentary[[#This Row],[Date]],tblCommentary[[#This Row],[Date]]))</f>
        <v/>
      </c>
      <c r="F1982" s="63">
        <f>IF(tblCommentary[[#This Row],[Date]]="","",tblCommentary[[#This Row],[Date]]&amp;"|"&amp;tblCommentary[[#This Row],[Seq_Day]])</f>
        <v/>
      </c>
    </row>
    <row r="1983">
      <c r="A1983" s="54" t="n"/>
      <c r="B1983" s="61" t="n"/>
      <c r="C1983" s="58" t="n"/>
      <c r="D1983" s="58" t="n"/>
      <c r="E1983" s="64">
        <f>IF(tblCommentary[[#This Row],[Date]]="","",COUNTIFS(INDEX(tblCommentary[Date],1):tblCommentary[[#This Row],[Date]],tblCommentary[[#This Row],[Date]]))</f>
        <v/>
      </c>
      <c r="F1983" s="63">
        <f>IF(tblCommentary[[#This Row],[Date]]="","",tblCommentary[[#This Row],[Date]]&amp;"|"&amp;tblCommentary[[#This Row],[Seq_Day]])</f>
        <v/>
      </c>
    </row>
    <row r="1984">
      <c r="A1984" s="54" t="n"/>
      <c r="B1984" s="61" t="n"/>
      <c r="C1984" s="58" t="n"/>
      <c r="D1984" s="58" t="n"/>
      <c r="E1984" s="64">
        <f>IF(tblCommentary[[#This Row],[Date]]="","",COUNTIFS(INDEX(tblCommentary[Date],1):tblCommentary[[#This Row],[Date]],tblCommentary[[#This Row],[Date]]))</f>
        <v/>
      </c>
      <c r="F1984" s="63">
        <f>IF(tblCommentary[[#This Row],[Date]]="","",tblCommentary[[#This Row],[Date]]&amp;"|"&amp;tblCommentary[[#This Row],[Seq_Day]])</f>
        <v/>
      </c>
    </row>
    <row r="1985">
      <c r="A1985" s="54" t="n"/>
      <c r="B1985" s="61" t="n"/>
      <c r="C1985" s="58" t="n"/>
      <c r="D1985" s="58" t="n"/>
      <c r="E1985" s="64">
        <f>IF(tblCommentary[[#This Row],[Date]]="","",COUNTIFS(INDEX(tblCommentary[Date],1):tblCommentary[[#This Row],[Date]],tblCommentary[[#This Row],[Date]]))</f>
        <v/>
      </c>
      <c r="F1985" s="63">
        <f>IF(tblCommentary[[#This Row],[Date]]="","",tblCommentary[[#This Row],[Date]]&amp;"|"&amp;tblCommentary[[#This Row],[Seq_Day]])</f>
        <v/>
      </c>
    </row>
    <row r="1986">
      <c r="A1986" s="54" t="n"/>
      <c r="B1986" s="61" t="n"/>
      <c r="C1986" s="58" t="n"/>
      <c r="D1986" s="58" t="n"/>
      <c r="E1986" s="64">
        <f>IF(tblCommentary[[#This Row],[Date]]="","",COUNTIFS(INDEX(tblCommentary[Date],1):tblCommentary[[#This Row],[Date]],tblCommentary[[#This Row],[Date]]))</f>
        <v/>
      </c>
      <c r="F1986" s="63">
        <f>IF(tblCommentary[[#This Row],[Date]]="","",tblCommentary[[#This Row],[Date]]&amp;"|"&amp;tblCommentary[[#This Row],[Seq_Day]])</f>
        <v/>
      </c>
    </row>
    <row r="1987">
      <c r="A1987" s="54" t="n"/>
      <c r="B1987" s="61" t="n"/>
      <c r="C1987" s="58" t="n"/>
      <c r="D1987" s="58" t="n"/>
      <c r="E1987" s="64">
        <f>IF(tblCommentary[[#This Row],[Date]]="","",COUNTIFS(INDEX(tblCommentary[Date],1):tblCommentary[[#This Row],[Date]],tblCommentary[[#This Row],[Date]]))</f>
        <v/>
      </c>
      <c r="F1987" s="63">
        <f>IF(tblCommentary[[#This Row],[Date]]="","",tblCommentary[[#This Row],[Date]]&amp;"|"&amp;tblCommentary[[#This Row],[Seq_Day]])</f>
        <v/>
      </c>
    </row>
    <row r="1988">
      <c r="A1988" s="54" t="n"/>
      <c r="B1988" s="61" t="n"/>
      <c r="C1988" s="58" t="n"/>
      <c r="D1988" s="58" t="n"/>
      <c r="E1988" s="64">
        <f>IF(tblCommentary[[#This Row],[Date]]="","",COUNTIFS(INDEX(tblCommentary[Date],1):tblCommentary[[#This Row],[Date]],tblCommentary[[#This Row],[Date]]))</f>
        <v/>
      </c>
      <c r="F1988" s="63">
        <f>IF(tblCommentary[[#This Row],[Date]]="","",tblCommentary[[#This Row],[Date]]&amp;"|"&amp;tblCommentary[[#This Row],[Seq_Day]])</f>
        <v/>
      </c>
    </row>
    <row r="1989">
      <c r="A1989" s="54" t="n"/>
      <c r="B1989" s="61" t="n"/>
      <c r="C1989" s="58" t="n"/>
      <c r="D1989" s="58" t="n"/>
      <c r="E1989" s="64">
        <f>IF(tblCommentary[[#This Row],[Date]]="","",COUNTIFS(INDEX(tblCommentary[Date],1):tblCommentary[[#This Row],[Date]],tblCommentary[[#This Row],[Date]]))</f>
        <v/>
      </c>
      <c r="F1989" s="63">
        <f>IF(tblCommentary[[#This Row],[Date]]="","",tblCommentary[[#This Row],[Date]]&amp;"|"&amp;tblCommentary[[#This Row],[Seq_Day]])</f>
        <v/>
      </c>
    </row>
    <row r="1990">
      <c r="A1990" s="54" t="n"/>
      <c r="B1990" s="61" t="n"/>
      <c r="C1990" s="58" t="n"/>
      <c r="D1990" s="58" t="n"/>
      <c r="E1990" s="64">
        <f>IF(tblCommentary[[#This Row],[Date]]="","",COUNTIFS(INDEX(tblCommentary[Date],1):tblCommentary[[#This Row],[Date]],tblCommentary[[#This Row],[Date]]))</f>
        <v/>
      </c>
      <c r="F1990" s="63">
        <f>IF(tblCommentary[[#This Row],[Date]]="","",tblCommentary[[#This Row],[Date]]&amp;"|"&amp;tblCommentary[[#This Row],[Seq_Day]])</f>
        <v/>
      </c>
    </row>
    <row r="1991">
      <c r="A1991" s="54" t="n"/>
      <c r="B1991" s="61" t="n"/>
      <c r="C1991" s="58" t="n"/>
      <c r="D1991" s="58" t="n"/>
      <c r="E1991" s="64">
        <f>IF(tblCommentary[[#This Row],[Date]]="","",COUNTIFS(INDEX(tblCommentary[Date],1):tblCommentary[[#This Row],[Date]],tblCommentary[[#This Row],[Date]]))</f>
        <v/>
      </c>
      <c r="F1991" s="63">
        <f>IF(tblCommentary[[#This Row],[Date]]="","",tblCommentary[[#This Row],[Date]]&amp;"|"&amp;tblCommentary[[#This Row],[Seq_Day]])</f>
        <v/>
      </c>
    </row>
    <row r="1992">
      <c r="A1992" s="54" t="n"/>
      <c r="B1992" s="61" t="n"/>
      <c r="C1992" s="58" t="n"/>
      <c r="D1992" s="58" t="n"/>
      <c r="E1992" s="64">
        <f>IF(tblCommentary[[#This Row],[Date]]="","",COUNTIFS(INDEX(tblCommentary[Date],1):tblCommentary[[#This Row],[Date]],tblCommentary[[#This Row],[Date]]))</f>
        <v/>
      </c>
      <c r="F1992" s="63">
        <f>IF(tblCommentary[[#This Row],[Date]]="","",tblCommentary[[#This Row],[Date]]&amp;"|"&amp;tblCommentary[[#This Row],[Seq_Day]])</f>
        <v/>
      </c>
    </row>
    <row r="1993">
      <c r="A1993" s="54" t="n"/>
      <c r="B1993" s="61" t="n"/>
      <c r="C1993" s="58" t="n"/>
      <c r="D1993" s="58" t="n"/>
      <c r="E1993" s="64">
        <f>IF(tblCommentary[[#This Row],[Date]]="","",COUNTIFS(INDEX(tblCommentary[Date],1):tblCommentary[[#This Row],[Date]],tblCommentary[[#This Row],[Date]]))</f>
        <v/>
      </c>
      <c r="F1993" s="63">
        <f>IF(tblCommentary[[#This Row],[Date]]="","",tblCommentary[[#This Row],[Date]]&amp;"|"&amp;tblCommentary[[#This Row],[Seq_Day]])</f>
        <v/>
      </c>
    </row>
    <row r="1994">
      <c r="A1994" s="54" t="n"/>
      <c r="B1994" s="61" t="n"/>
      <c r="C1994" s="58" t="n"/>
      <c r="D1994" s="58" t="n"/>
      <c r="E1994" s="64">
        <f>IF(tblCommentary[[#This Row],[Date]]="","",COUNTIFS(INDEX(tblCommentary[Date],1):tblCommentary[[#This Row],[Date]],tblCommentary[[#This Row],[Date]]))</f>
        <v/>
      </c>
      <c r="F1994" s="63">
        <f>IF(tblCommentary[[#This Row],[Date]]="","",tblCommentary[[#This Row],[Date]]&amp;"|"&amp;tblCommentary[[#This Row],[Seq_Day]])</f>
        <v/>
      </c>
    </row>
    <row r="1995">
      <c r="A1995" s="54" t="n"/>
      <c r="B1995" s="61" t="n"/>
      <c r="C1995" s="58" t="n"/>
      <c r="D1995" s="58" t="n"/>
      <c r="E1995" s="64">
        <f>IF(tblCommentary[[#This Row],[Date]]="","",COUNTIFS(INDEX(tblCommentary[Date],1):tblCommentary[[#This Row],[Date]],tblCommentary[[#This Row],[Date]]))</f>
        <v/>
      </c>
      <c r="F1995" s="63">
        <f>IF(tblCommentary[[#This Row],[Date]]="","",tblCommentary[[#This Row],[Date]]&amp;"|"&amp;tblCommentary[[#This Row],[Seq_Day]])</f>
        <v/>
      </c>
    </row>
    <row r="1996">
      <c r="A1996" s="54" t="n"/>
      <c r="B1996" s="61" t="n"/>
      <c r="C1996" s="58" t="n"/>
      <c r="D1996" s="58" t="n"/>
      <c r="E1996" s="64">
        <f>IF(tblCommentary[[#This Row],[Date]]="","",COUNTIFS(INDEX(tblCommentary[Date],1):tblCommentary[[#This Row],[Date]],tblCommentary[[#This Row],[Date]]))</f>
        <v/>
      </c>
      <c r="F1996" s="63">
        <f>IF(tblCommentary[[#This Row],[Date]]="","",tblCommentary[[#This Row],[Date]]&amp;"|"&amp;tblCommentary[[#This Row],[Seq_Day]])</f>
        <v/>
      </c>
    </row>
    <row r="1997">
      <c r="A1997" s="54" t="n"/>
      <c r="B1997" s="61" t="n"/>
      <c r="C1997" s="58" t="n"/>
      <c r="D1997" s="58" t="n"/>
      <c r="E1997" s="64">
        <f>IF(tblCommentary[[#This Row],[Date]]="","",COUNTIFS(INDEX(tblCommentary[Date],1):tblCommentary[[#This Row],[Date]],tblCommentary[[#This Row],[Date]]))</f>
        <v/>
      </c>
      <c r="F1997" s="63">
        <f>IF(tblCommentary[[#This Row],[Date]]="","",tblCommentary[[#This Row],[Date]]&amp;"|"&amp;tblCommentary[[#This Row],[Seq_Day]])</f>
        <v/>
      </c>
    </row>
    <row r="1998">
      <c r="A1998" s="54" t="n"/>
      <c r="B1998" s="61" t="n"/>
      <c r="C1998" s="58" t="n"/>
      <c r="D1998" s="58" t="n"/>
      <c r="E1998" s="64">
        <f>IF(tblCommentary[[#This Row],[Date]]="","",COUNTIFS(INDEX(tblCommentary[Date],1):tblCommentary[[#This Row],[Date]],tblCommentary[[#This Row],[Date]]))</f>
        <v/>
      </c>
      <c r="F1998" s="63">
        <f>IF(tblCommentary[[#This Row],[Date]]="","",tblCommentary[[#This Row],[Date]]&amp;"|"&amp;tblCommentary[[#This Row],[Seq_Day]])</f>
        <v/>
      </c>
    </row>
    <row r="1999">
      <c r="A1999" s="54" t="n"/>
      <c r="B1999" s="61" t="n"/>
      <c r="C1999" s="58" t="n"/>
      <c r="D1999" s="58" t="n"/>
      <c r="E1999" s="64">
        <f>IF(tblCommentary[[#This Row],[Date]]="","",COUNTIFS(INDEX(tblCommentary[Date],1):tblCommentary[[#This Row],[Date]],tblCommentary[[#This Row],[Date]]))</f>
        <v/>
      </c>
      <c r="F1999" s="63">
        <f>IF(tblCommentary[[#This Row],[Date]]="","",tblCommentary[[#This Row],[Date]]&amp;"|"&amp;tblCommentary[[#This Row],[Seq_Day]])</f>
        <v/>
      </c>
    </row>
    <row r="2000">
      <c r="A2000" s="54" t="n"/>
      <c r="B2000" s="61" t="n"/>
      <c r="C2000" s="58" t="n"/>
      <c r="D2000" s="58" t="n"/>
      <c r="E2000" s="64">
        <f>IF(tblCommentary[[#This Row],[Date]]="","",COUNTIFS(INDEX(tblCommentary[Date],1):tblCommentary[[#This Row],[Date]],tblCommentary[[#This Row],[Date]]))</f>
        <v/>
      </c>
      <c r="F2000" s="63">
        <f>IF(tblCommentary[[#This Row],[Date]]="","",tblCommentary[[#This Row],[Date]]&amp;"|"&amp;tblCommentary[[#This Row],[Seq_Day]])</f>
        <v/>
      </c>
    </row>
    <row r="2001">
      <c r="A2001" s="54" t="n"/>
      <c r="B2001" s="61" t="n"/>
      <c r="C2001" s="58" t="n"/>
      <c r="D2001" s="58" t="n"/>
      <c r="E2001" s="64">
        <f>IF(tblCommentary[[#This Row],[Date]]="","",COUNTIFS(INDEX(tblCommentary[Date],1):tblCommentary[[#This Row],[Date]],tblCommentary[[#This Row],[Date]]))</f>
        <v/>
      </c>
      <c r="F2001" s="63">
        <f>IF(tblCommentary[[#This Row],[Date]]="","",tblCommentary[[#This Row],[Date]]&amp;"|"&amp;tblCommentary[[#This Row],[Seq_Day]])</f>
        <v/>
      </c>
    </row>
    <row r="2002">
      <c r="A2002" s="54" t="n"/>
      <c r="B2002" s="61" t="n"/>
      <c r="C2002" s="58" t="n"/>
      <c r="D2002" s="58" t="n"/>
      <c r="E2002" s="64">
        <f>IF(tblCommentary[[#This Row],[Date]]="","",COUNTIFS(INDEX(tblCommentary[Date],1):tblCommentary[[#This Row],[Date]],tblCommentary[[#This Row],[Date]]))</f>
        <v/>
      </c>
      <c r="F2002" s="63">
        <f>IF(tblCommentary[[#This Row],[Date]]="","",tblCommentary[[#This Row],[Date]]&amp;"|"&amp;tblCommentary[[#This Row],[Seq_Day]])</f>
        <v/>
      </c>
    </row>
    <row r="2003">
      <c r="A2003" s="54" t="n"/>
      <c r="B2003" s="61" t="n"/>
      <c r="C2003" s="58" t="n"/>
      <c r="D2003" s="58" t="n"/>
      <c r="E2003" s="64">
        <f>IF(tblCommentary[[#This Row],[Date]]="","",COUNTIFS(INDEX(tblCommentary[Date],1):tblCommentary[[#This Row],[Date]],tblCommentary[[#This Row],[Date]]))</f>
        <v/>
      </c>
      <c r="F2003" s="63">
        <f>IF(tblCommentary[[#This Row],[Date]]="","",tblCommentary[[#This Row],[Date]]&amp;"|"&amp;tblCommentary[[#This Row],[Seq_Day]])</f>
        <v/>
      </c>
    </row>
    <row r="2004">
      <c r="A2004" s="54" t="n"/>
      <c r="B2004" s="61" t="n"/>
      <c r="C2004" s="58" t="n"/>
      <c r="D2004" s="58" t="n"/>
      <c r="E2004" s="64">
        <f>IF(tblCommentary[[#This Row],[Date]]="","",COUNTIFS(INDEX(tblCommentary[Date],1):tblCommentary[[#This Row],[Date]],tblCommentary[[#This Row],[Date]]))</f>
        <v/>
      </c>
      <c r="F2004" s="63">
        <f>IF(tblCommentary[[#This Row],[Date]]="","",tblCommentary[[#This Row],[Date]]&amp;"|"&amp;tblCommentary[[#This Row],[Seq_Day]])</f>
        <v/>
      </c>
    </row>
    <row r="2005">
      <c r="A2005" s="54" t="n"/>
      <c r="B2005" s="61" t="n"/>
      <c r="C2005" s="58" t="n"/>
      <c r="D2005" s="58" t="n"/>
      <c r="E2005" s="64">
        <f>IF(tblCommentary[[#This Row],[Date]]="","",COUNTIFS(INDEX(tblCommentary[Date],1):tblCommentary[[#This Row],[Date]],tblCommentary[[#This Row],[Date]]))</f>
        <v/>
      </c>
      <c r="F2005" s="63">
        <f>IF(tblCommentary[[#This Row],[Date]]="","",tblCommentary[[#This Row],[Date]]&amp;"|"&amp;tblCommentary[[#This Row],[Seq_Day]])</f>
        <v/>
      </c>
    </row>
    <row r="2006">
      <c r="A2006" s="54" t="n"/>
      <c r="B2006" s="61" t="n"/>
      <c r="C2006" s="58" t="n"/>
      <c r="D2006" s="58" t="n"/>
      <c r="E2006" s="64">
        <f>IF(tblCommentary[[#This Row],[Date]]="","",COUNTIFS(INDEX(tblCommentary[Date],1):tblCommentary[[#This Row],[Date]],tblCommentary[[#This Row],[Date]]))</f>
        <v/>
      </c>
      <c r="F2006" s="63">
        <f>IF(tblCommentary[[#This Row],[Date]]="","",tblCommentary[[#This Row],[Date]]&amp;"|"&amp;tblCommentary[[#This Row],[Seq_Day]])</f>
        <v/>
      </c>
    </row>
    <row r="2007">
      <c r="A2007" s="54" t="n"/>
      <c r="B2007" s="61" t="n"/>
      <c r="C2007" s="58" t="n"/>
      <c r="D2007" s="58" t="n"/>
      <c r="E2007" s="64">
        <f>IF(tblCommentary[[#This Row],[Date]]="","",COUNTIFS(INDEX(tblCommentary[Date],1):tblCommentary[[#This Row],[Date]],tblCommentary[[#This Row],[Date]]))</f>
        <v/>
      </c>
      <c r="F2007" s="63">
        <f>IF(tblCommentary[[#This Row],[Date]]="","",tblCommentary[[#This Row],[Date]]&amp;"|"&amp;tblCommentary[[#This Row],[Seq_Day]])</f>
        <v/>
      </c>
    </row>
    <row r="2008">
      <c r="A2008" s="54" t="n"/>
      <c r="B2008" s="61" t="n"/>
      <c r="C2008" s="58" t="n"/>
      <c r="D2008" s="58" t="n"/>
      <c r="E2008" s="64">
        <f>IF(tblCommentary[[#This Row],[Date]]="","",COUNTIFS(INDEX(tblCommentary[Date],1):tblCommentary[[#This Row],[Date]],tblCommentary[[#This Row],[Date]]))</f>
        <v/>
      </c>
      <c r="F2008" s="63">
        <f>IF(tblCommentary[[#This Row],[Date]]="","",tblCommentary[[#This Row],[Date]]&amp;"|"&amp;tblCommentary[[#This Row],[Seq_Day]])</f>
        <v/>
      </c>
    </row>
    <row r="2009">
      <c r="A2009" s="54" t="n"/>
      <c r="B2009" s="61" t="n"/>
      <c r="C2009" s="58" t="n"/>
      <c r="D2009" s="58" t="n"/>
      <c r="E2009" s="64">
        <f>IF(tblCommentary[[#This Row],[Date]]="","",COUNTIFS(INDEX(tblCommentary[Date],1):tblCommentary[[#This Row],[Date]],tblCommentary[[#This Row],[Date]]))</f>
        <v/>
      </c>
      <c r="F2009" s="63">
        <f>IF(tblCommentary[[#This Row],[Date]]="","",tblCommentary[[#This Row],[Date]]&amp;"|"&amp;tblCommentary[[#This Row],[Seq_Day]])</f>
        <v/>
      </c>
    </row>
    <row r="2010">
      <c r="A2010" s="54" t="n"/>
      <c r="B2010" s="61" t="n"/>
      <c r="C2010" s="58" t="n"/>
      <c r="D2010" s="58" t="n"/>
      <c r="E2010" s="64">
        <f>IF(tblCommentary[[#This Row],[Date]]="","",COUNTIFS(INDEX(tblCommentary[Date],1):tblCommentary[[#This Row],[Date]],tblCommentary[[#This Row],[Date]]))</f>
        <v/>
      </c>
      <c r="F2010" s="63">
        <f>IF(tblCommentary[[#This Row],[Date]]="","",tblCommentary[[#This Row],[Date]]&amp;"|"&amp;tblCommentary[[#This Row],[Seq_Day]])</f>
        <v/>
      </c>
    </row>
    <row r="2011">
      <c r="A2011" s="54" t="n"/>
      <c r="B2011" s="61" t="n"/>
      <c r="C2011" s="58" t="n"/>
      <c r="D2011" s="58" t="n"/>
      <c r="E2011" s="64">
        <f>IF(tblCommentary[[#This Row],[Date]]="","",COUNTIFS(INDEX(tblCommentary[Date],1):tblCommentary[[#This Row],[Date]],tblCommentary[[#This Row],[Date]]))</f>
        <v/>
      </c>
      <c r="F2011" s="63">
        <f>IF(tblCommentary[[#This Row],[Date]]="","",tblCommentary[[#This Row],[Date]]&amp;"|"&amp;tblCommentary[[#This Row],[Seq_Day]])</f>
        <v/>
      </c>
    </row>
    <row r="2012">
      <c r="A2012" s="54" t="n"/>
      <c r="B2012" s="61" t="n"/>
      <c r="C2012" s="58" t="n"/>
      <c r="D2012" s="58" t="n"/>
      <c r="E2012" s="64">
        <f>IF(tblCommentary[[#This Row],[Date]]="","",COUNTIFS(INDEX(tblCommentary[Date],1):tblCommentary[[#This Row],[Date]],tblCommentary[[#This Row],[Date]]))</f>
        <v/>
      </c>
      <c r="F2012" s="63">
        <f>IF(tblCommentary[[#This Row],[Date]]="","",tblCommentary[[#This Row],[Date]]&amp;"|"&amp;tblCommentary[[#This Row],[Seq_Day]])</f>
        <v/>
      </c>
    </row>
    <row r="2013">
      <c r="A2013" s="54" t="n"/>
      <c r="B2013" s="61" t="n"/>
      <c r="C2013" s="58" t="n"/>
      <c r="D2013" s="58" t="n"/>
      <c r="E2013" s="64">
        <f>IF(tblCommentary[[#This Row],[Date]]="","",COUNTIFS(INDEX(tblCommentary[Date],1):tblCommentary[[#This Row],[Date]],tblCommentary[[#This Row],[Date]]))</f>
        <v/>
      </c>
      <c r="F2013" s="63">
        <f>IF(tblCommentary[[#This Row],[Date]]="","",tblCommentary[[#This Row],[Date]]&amp;"|"&amp;tblCommentary[[#This Row],[Seq_Day]])</f>
        <v/>
      </c>
    </row>
    <row r="2014">
      <c r="A2014" s="54" t="n"/>
      <c r="B2014" s="61" t="n"/>
      <c r="C2014" s="58" t="n"/>
      <c r="D2014" s="58" t="n"/>
      <c r="E2014" s="64">
        <f>IF(tblCommentary[[#This Row],[Date]]="","",COUNTIFS(INDEX(tblCommentary[Date],1):tblCommentary[[#This Row],[Date]],tblCommentary[[#This Row],[Date]]))</f>
        <v/>
      </c>
      <c r="F2014" s="63">
        <f>IF(tblCommentary[[#This Row],[Date]]="","",tblCommentary[[#This Row],[Date]]&amp;"|"&amp;tblCommentary[[#This Row],[Seq_Day]])</f>
        <v/>
      </c>
    </row>
    <row r="2015">
      <c r="A2015" s="54" t="n"/>
      <c r="B2015" s="61" t="n"/>
      <c r="C2015" s="58" t="n"/>
      <c r="D2015" s="58" t="n"/>
      <c r="E2015" s="64">
        <f>IF(tblCommentary[[#This Row],[Date]]="","",COUNTIFS(INDEX(tblCommentary[Date],1):tblCommentary[[#This Row],[Date]],tblCommentary[[#This Row],[Date]]))</f>
        <v/>
      </c>
      <c r="F2015" s="63">
        <f>IF(tblCommentary[[#This Row],[Date]]="","",tblCommentary[[#This Row],[Date]]&amp;"|"&amp;tblCommentary[[#This Row],[Seq_Day]])</f>
        <v/>
      </c>
    </row>
    <row r="2016">
      <c r="A2016" s="54" t="n"/>
      <c r="B2016" s="61" t="n"/>
      <c r="C2016" s="58" t="n"/>
      <c r="D2016" s="58" t="n"/>
      <c r="E2016" s="64">
        <f>IF(tblCommentary[[#This Row],[Date]]="","",COUNTIFS(INDEX(tblCommentary[Date],1):tblCommentary[[#This Row],[Date]],tblCommentary[[#This Row],[Date]]))</f>
        <v/>
      </c>
      <c r="F2016" s="63">
        <f>IF(tblCommentary[[#This Row],[Date]]="","",tblCommentary[[#This Row],[Date]]&amp;"|"&amp;tblCommentary[[#This Row],[Seq_Day]])</f>
        <v/>
      </c>
    </row>
    <row r="2017">
      <c r="A2017" s="54" t="n"/>
      <c r="B2017" s="61" t="n"/>
      <c r="C2017" s="58" t="n"/>
      <c r="D2017" s="58" t="n"/>
      <c r="E2017" s="64">
        <f>IF(tblCommentary[[#This Row],[Date]]="","",COUNTIFS(INDEX(tblCommentary[Date],1):tblCommentary[[#This Row],[Date]],tblCommentary[[#This Row],[Date]]))</f>
        <v/>
      </c>
      <c r="F2017" s="63">
        <f>IF(tblCommentary[[#This Row],[Date]]="","",tblCommentary[[#This Row],[Date]]&amp;"|"&amp;tblCommentary[[#This Row],[Seq_Day]])</f>
        <v/>
      </c>
    </row>
    <row r="2018">
      <c r="A2018" s="54" t="n"/>
      <c r="B2018" s="61" t="n"/>
      <c r="C2018" s="58" t="n"/>
      <c r="D2018" s="58" t="n"/>
      <c r="E2018" s="64">
        <f>IF(tblCommentary[[#This Row],[Date]]="","",COUNTIFS(INDEX(tblCommentary[Date],1):tblCommentary[[#This Row],[Date]],tblCommentary[[#This Row],[Date]]))</f>
        <v/>
      </c>
      <c r="F2018" s="63">
        <f>IF(tblCommentary[[#This Row],[Date]]="","",tblCommentary[[#This Row],[Date]]&amp;"|"&amp;tblCommentary[[#This Row],[Seq_Day]])</f>
        <v/>
      </c>
    </row>
    <row r="2019">
      <c r="A2019" s="54" t="n"/>
      <c r="B2019" s="61" t="n"/>
      <c r="C2019" s="58" t="n"/>
      <c r="D2019" s="58" t="n"/>
      <c r="E2019" s="64">
        <f>IF(tblCommentary[[#This Row],[Date]]="","",COUNTIFS(INDEX(tblCommentary[Date],1):tblCommentary[[#This Row],[Date]],tblCommentary[[#This Row],[Date]]))</f>
        <v/>
      </c>
      <c r="F2019" s="63">
        <f>IF(tblCommentary[[#This Row],[Date]]="","",tblCommentary[[#This Row],[Date]]&amp;"|"&amp;tblCommentary[[#This Row],[Seq_Day]])</f>
        <v/>
      </c>
    </row>
    <row r="2020">
      <c r="A2020" s="54" t="n"/>
      <c r="B2020" s="61" t="n"/>
      <c r="C2020" s="58" t="n"/>
      <c r="D2020" s="58" t="n"/>
      <c r="E2020" s="64">
        <f>IF(tblCommentary[[#This Row],[Date]]="","",COUNTIFS(INDEX(tblCommentary[Date],1):tblCommentary[[#This Row],[Date]],tblCommentary[[#This Row],[Date]]))</f>
        <v/>
      </c>
      <c r="F2020" s="63">
        <f>IF(tblCommentary[[#This Row],[Date]]="","",tblCommentary[[#This Row],[Date]]&amp;"|"&amp;tblCommentary[[#This Row],[Seq_Day]])</f>
        <v/>
      </c>
    </row>
    <row r="2021">
      <c r="A2021" s="54" t="n"/>
      <c r="B2021" s="61" t="n"/>
      <c r="C2021" s="58" t="n"/>
      <c r="D2021" s="58" t="n"/>
      <c r="E2021" s="64">
        <f>IF(tblCommentary[[#This Row],[Date]]="","",COUNTIFS(INDEX(tblCommentary[Date],1):tblCommentary[[#This Row],[Date]],tblCommentary[[#This Row],[Date]]))</f>
        <v/>
      </c>
      <c r="F2021" s="63">
        <f>IF(tblCommentary[[#This Row],[Date]]="","",tblCommentary[[#This Row],[Date]]&amp;"|"&amp;tblCommentary[[#This Row],[Seq_Day]])</f>
        <v/>
      </c>
    </row>
    <row r="2022">
      <c r="A2022" s="54" t="n"/>
      <c r="B2022" s="61" t="n"/>
      <c r="C2022" s="58" t="n"/>
      <c r="D2022" s="58" t="n"/>
      <c r="E2022" s="64">
        <f>IF(tblCommentary[[#This Row],[Date]]="","",COUNTIFS(INDEX(tblCommentary[Date],1):tblCommentary[[#This Row],[Date]],tblCommentary[[#This Row],[Date]]))</f>
        <v/>
      </c>
      <c r="F2022" s="63">
        <f>IF(tblCommentary[[#This Row],[Date]]="","",tblCommentary[[#This Row],[Date]]&amp;"|"&amp;tblCommentary[[#This Row],[Seq_Day]])</f>
        <v/>
      </c>
    </row>
    <row r="2023">
      <c r="A2023" s="54" t="n"/>
      <c r="B2023" s="61" t="n"/>
      <c r="C2023" s="58" t="n"/>
      <c r="D2023" s="58" t="n"/>
      <c r="E2023" s="64">
        <f>IF(tblCommentary[[#This Row],[Date]]="","",COUNTIFS(INDEX(tblCommentary[Date],1):tblCommentary[[#This Row],[Date]],tblCommentary[[#This Row],[Date]]))</f>
        <v/>
      </c>
      <c r="F2023" s="63">
        <f>IF(tblCommentary[[#This Row],[Date]]="","",tblCommentary[[#This Row],[Date]]&amp;"|"&amp;tblCommentary[[#This Row],[Seq_Day]])</f>
        <v/>
      </c>
    </row>
    <row r="2024">
      <c r="A2024" s="54" t="n"/>
      <c r="B2024" s="61" t="n"/>
      <c r="C2024" s="58" t="n"/>
      <c r="D2024" s="58" t="n"/>
      <c r="E2024" s="64">
        <f>IF(tblCommentary[[#This Row],[Date]]="","",COUNTIFS(INDEX(tblCommentary[Date],1):tblCommentary[[#This Row],[Date]],tblCommentary[[#This Row],[Date]]))</f>
        <v/>
      </c>
      <c r="F2024" s="63">
        <f>IF(tblCommentary[[#This Row],[Date]]="","",tblCommentary[[#This Row],[Date]]&amp;"|"&amp;tblCommentary[[#This Row],[Seq_Day]])</f>
        <v/>
      </c>
    </row>
    <row r="2025">
      <c r="A2025" s="54" t="n"/>
      <c r="B2025" s="61" t="n"/>
      <c r="C2025" s="58" t="n"/>
      <c r="D2025" s="58" t="n"/>
      <c r="E2025" s="64">
        <f>IF(tblCommentary[[#This Row],[Date]]="","",COUNTIFS(INDEX(tblCommentary[Date],1):tblCommentary[[#This Row],[Date]],tblCommentary[[#This Row],[Date]]))</f>
        <v/>
      </c>
      <c r="F2025" s="63">
        <f>IF(tblCommentary[[#This Row],[Date]]="","",tblCommentary[[#This Row],[Date]]&amp;"|"&amp;tblCommentary[[#This Row],[Seq_Day]])</f>
        <v/>
      </c>
    </row>
    <row r="2026">
      <c r="A2026" s="54" t="n"/>
      <c r="B2026" s="61" t="n"/>
      <c r="C2026" s="58" t="n"/>
      <c r="D2026" s="58" t="n"/>
      <c r="E2026" s="64">
        <f>IF(tblCommentary[[#This Row],[Date]]="","",COUNTIFS(INDEX(tblCommentary[Date],1):tblCommentary[[#This Row],[Date]],tblCommentary[[#This Row],[Date]]))</f>
        <v/>
      </c>
      <c r="F2026" s="63">
        <f>IF(tblCommentary[[#This Row],[Date]]="","",tblCommentary[[#This Row],[Date]]&amp;"|"&amp;tblCommentary[[#This Row],[Seq_Day]])</f>
        <v/>
      </c>
    </row>
    <row r="2027">
      <c r="A2027" s="54" t="n"/>
      <c r="B2027" s="61" t="n"/>
      <c r="C2027" s="58" t="n"/>
      <c r="D2027" s="58" t="n"/>
      <c r="E2027" s="64">
        <f>IF(tblCommentary[[#This Row],[Date]]="","",COUNTIFS(INDEX(tblCommentary[Date],1):tblCommentary[[#This Row],[Date]],tblCommentary[[#This Row],[Date]]))</f>
        <v/>
      </c>
      <c r="F2027" s="63">
        <f>IF(tblCommentary[[#This Row],[Date]]="","",tblCommentary[[#This Row],[Date]]&amp;"|"&amp;tblCommentary[[#This Row],[Seq_Day]])</f>
        <v/>
      </c>
    </row>
    <row r="2028">
      <c r="A2028" s="54" t="n"/>
      <c r="B2028" s="61" t="n"/>
      <c r="C2028" s="58" t="n"/>
      <c r="D2028" s="58" t="n"/>
      <c r="E2028" s="64">
        <f>IF(tblCommentary[[#This Row],[Date]]="","",COUNTIFS(INDEX(tblCommentary[Date],1):tblCommentary[[#This Row],[Date]],tblCommentary[[#This Row],[Date]]))</f>
        <v/>
      </c>
      <c r="F2028" s="63">
        <f>IF(tblCommentary[[#This Row],[Date]]="","",tblCommentary[[#This Row],[Date]]&amp;"|"&amp;tblCommentary[[#This Row],[Seq_Day]])</f>
        <v/>
      </c>
    </row>
    <row r="2029">
      <c r="A2029" s="54" t="n"/>
      <c r="B2029" s="61" t="n"/>
      <c r="C2029" s="58" t="n"/>
      <c r="D2029" s="58" t="n"/>
      <c r="E2029" s="64">
        <f>IF(tblCommentary[[#This Row],[Date]]="","",COUNTIFS(INDEX(tblCommentary[Date],1):tblCommentary[[#This Row],[Date]],tblCommentary[[#This Row],[Date]]))</f>
        <v/>
      </c>
      <c r="F2029" s="63">
        <f>IF(tblCommentary[[#This Row],[Date]]="","",tblCommentary[[#This Row],[Date]]&amp;"|"&amp;tblCommentary[[#This Row],[Seq_Day]])</f>
        <v/>
      </c>
    </row>
    <row r="2030">
      <c r="A2030" s="54" t="n"/>
      <c r="B2030" s="61" t="n"/>
      <c r="C2030" s="58" t="n"/>
      <c r="D2030" s="58" t="n"/>
      <c r="E2030" s="64">
        <f>IF(tblCommentary[[#This Row],[Date]]="","",COUNTIFS(INDEX(tblCommentary[Date],1):tblCommentary[[#This Row],[Date]],tblCommentary[[#This Row],[Date]]))</f>
        <v/>
      </c>
      <c r="F2030" s="63">
        <f>IF(tblCommentary[[#This Row],[Date]]="","",tblCommentary[[#This Row],[Date]]&amp;"|"&amp;tblCommentary[[#This Row],[Seq_Day]])</f>
        <v/>
      </c>
    </row>
    <row r="2031">
      <c r="A2031" s="54" t="n"/>
      <c r="B2031" s="61" t="n"/>
      <c r="C2031" s="58" t="n"/>
      <c r="D2031" s="58" t="n"/>
      <c r="E2031" s="64">
        <f>IF(tblCommentary[[#This Row],[Date]]="","",COUNTIFS(INDEX(tblCommentary[Date],1):tblCommentary[[#This Row],[Date]],tblCommentary[[#This Row],[Date]]))</f>
        <v/>
      </c>
      <c r="F2031" s="63">
        <f>IF(tblCommentary[[#This Row],[Date]]="","",tblCommentary[[#This Row],[Date]]&amp;"|"&amp;tblCommentary[[#This Row],[Seq_Day]])</f>
        <v/>
      </c>
    </row>
    <row r="2032">
      <c r="A2032" s="54" t="n"/>
      <c r="B2032" s="61" t="n"/>
      <c r="C2032" s="58" t="n"/>
      <c r="D2032" s="58" t="n"/>
      <c r="E2032" s="64">
        <f>IF(tblCommentary[[#This Row],[Date]]="","",COUNTIFS(INDEX(tblCommentary[Date],1):tblCommentary[[#This Row],[Date]],tblCommentary[[#This Row],[Date]]))</f>
        <v/>
      </c>
      <c r="F2032" s="63">
        <f>IF(tblCommentary[[#This Row],[Date]]="","",tblCommentary[[#This Row],[Date]]&amp;"|"&amp;tblCommentary[[#This Row],[Seq_Day]])</f>
        <v/>
      </c>
    </row>
    <row r="2033">
      <c r="A2033" s="54" t="n"/>
      <c r="B2033" s="61" t="n"/>
      <c r="C2033" s="58" t="n"/>
      <c r="D2033" s="58" t="n"/>
      <c r="E2033" s="64">
        <f>IF(tblCommentary[[#This Row],[Date]]="","",COUNTIFS(INDEX(tblCommentary[Date],1):tblCommentary[[#This Row],[Date]],tblCommentary[[#This Row],[Date]]))</f>
        <v/>
      </c>
      <c r="F2033" s="63">
        <f>IF(tblCommentary[[#This Row],[Date]]="","",tblCommentary[[#This Row],[Date]]&amp;"|"&amp;tblCommentary[[#This Row],[Seq_Day]])</f>
        <v/>
      </c>
    </row>
    <row r="2034">
      <c r="A2034" s="54" t="n"/>
      <c r="B2034" s="61" t="n"/>
      <c r="C2034" s="58" t="n"/>
      <c r="D2034" s="58" t="n"/>
      <c r="E2034" s="64">
        <f>IF(tblCommentary[[#This Row],[Date]]="","",COUNTIFS(INDEX(tblCommentary[Date],1):tblCommentary[[#This Row],[Date]],tblCommentary[[#This Row],[Date]]))</f>
        <v/>
      </c>
      <c r="F2034" s="63">
        <f>IF(tblCommentary[[#This Row],[Date]]="","",tblCommentary[[#This Row],[Date]]&amp;"|"&amp;tblCommentary[[#This Row],[Seq_Day]])</f>
        <v/>
      </c>
    </row>
    <row r="2035">
      <c r="A2035" s="54" t="n"/>
      <c r="B2035" s="61" t="n"/>
      <c r="C2035" s="58" t="n"/>
      <c r="D2035" s="58" t="n"/>
      <c r="E2035" s="64">
        <f>IF(tblCommentary[[#This Row],[Date]]="","",COUNTIFS(INDEX(tblCommentary[Date],1):tblCommentary[[#This Row],[Date]],tblCommentary[[#This Row],[Date]]))</f>
        <v/>
      </c>
      <c r="F2035" s="63">
        <f>IF(tblCommentary[[#This Row],[Date]]="","",tblCommentary[[#This Row],[Date]]&amp;"|"&amp;tblCommentary[[#This Row],[Seq_Day]])</f>
        <v/>
      </c>
    </row>
    <row r="2036">
      <c r="A2036" s="54" t="n"/>
      <c r="B2036" s="61" t="n"/>
      <c r="C2036" s="58" t="n"/>
      <c r="D2036" s="58" t="n"/>
      <c r="E2036" s="64">
        <f>IF(tblCommentary[[#This Row],[Date]]="","",COUNTIFS(INDEX(tblCommentary[Date],1):tblCommentary[[#This Row],[Date]],tblCommentary[[#This Row],[Date]]))</f>
        <v/>
      </c>
      <c r="F2036" s="63">
        <f>IF(tblCommentary[[#This Row],[Date]]="","",tblCommentary[[#This Row],[Date]]&amp;"|"&amp;tblCommentary[[#This Row],[Seq_Day]])</f>
        <v/>
      </c>
    </row>
    <row r="2037">
      <c r="A2037" s="54" t="n"/>
      <c r="B2037" s="61" t="n"/>
      <c r="C2037" s="58" t="n"/>
      <c r="D2037" s="58" t="n"/>
      <c r="E2037" s="64">
        <f>IF(tblCommentary[[#This Row],[Date]]="","",COUNTIFS(INDEX(tblCommentary[Date],1):tblCommentary[[#This Row],[Date]],tblCommentary[[#This Row],[Date]]))</f>
        <v/>
      </c>
      <c r="F2037" s="63">
        <f>IF(tblCommentary[[#This Row],[Date]]="","",tblCommentary[[#This Row],[Date]]&amp;"|"&amp;tblCommentary[[#This Row],[Seq_Day]])</f>
        <v/>
      </c>
    </row>
    <row r="2038">
      <c r="A2038" s="54" t="n"/>
      <c r="B2038" s="61" t="n"/>
      <c r="C2038" s="58" t="n"/>
      <c r="D2038" s="58" t="n"/>
      <c r="E2038" s="64">
        <f>IF(tblCommentary[[#This Row],[Date]]="","",COUNTIFS(INDEX(tblCommentary[Date],1):tblCommentary[[#This Row],[Date]],tblCommentary[[#This Row],[Date]]))</f>
        <v/>
      </c>
      <c r="F2038" s="63">
        <f>IF(tblCommentary[[#This Row],[Date]]="","",tblCommentary[[#This Row],[Date]]&amp;"|"&amp;tblCommentary[[#This Row],[Seq_Day]])</f>
        <v/>
      </c>
    </row>
    <row r="2039">
      <c r="A2039" s="54" t="n"/>
      <c r="B2039" s="61" t="n"/>
      <c r="C2039" s="58" t="n"/>
      <c r="D2039" s="58" t="n"/>
      <c r="E2039" s="64">
        <f>IF(tblCommentary[[#This Row],[Date]]="","",COUNTIFS(INDEX(tblCommentary[Date],1):tblCommentary[[#This Row],[Date]],tblCommentary[[#This Row],[Date]]))</f>
        <v/>
      </c>
      <c r="F2039" s="63">
        <f>IF(tblCommentary[[#This Row],[Date]]="","",tblCommentary[[#This Row],[Date]]&amp;"|"&amp;tblCommentary[[#This Row],[Seq_Day]])</f>
        <v/>
      </c>
    </row>
    <row r="2040">
      <c r="A2040" s="54" t="n"/>
      <c r="B2040" s="61" t="n"/>
      <c r="C2040" s="58" t="n"/>
      <c r="D2040" s="58" t="n"/>
      <c r="E2040" s="64">
        <f>IF(tblCommentary[[#This Row],[Date]]="","",COUNTIFS(INDEX(tblCommentary[Date],1):tblCommentary[[#This Row],[Date]],tblCommentary[[#This Row],[Date]]))</f>
        <v/>
      </c>
      <c r="F2040" s="63">
        <f>IF(tblCommentary[[#This Row],[Date]]="","",tblCommentary[[#This Row],[Date]]&amp;"|"&amp;tblCommentary[[#This Row],[Seq_Day]])</f>
        <v/>
      </c>
    </row>
    <row r="2041">
      <c r="A2041" s="54" t="n"/>
      <c r="B2041" s="61" t="n"/>
      <c r="C2041" s="58" t="n"/>
      <c r="D2041" s="58" t="n"/>
      <c r="E2041" s="64">
        <f>IF(tblCommentary[[#This Row],[Date]]="","",COUNTIFS(INDEX(tblCommentary[Date],1):tblCommentary[[#This Row],[Date]],tblCommentary[[#This Row],[Date]]))</f>
        <v/>
      </c>
      <c r="F2041" s="63">
        <f>IF(tblCommentary[[#This Row],[Date]]="","",tblCommentary[[#This Row],[Date]]&amp;"|"&amp;tblCommentary[[#This Row],[Seq_Day]])</f>
        <v/>
      </c>
    </row>
    <row r="2042">
      <c r="A2042" s="54" t="n"/>
      <c r="B2042" s="61" t="n"/>
      <c r="C2042" s="58" t="n"/>
      <c r="D2042" s="58" t="n"/>
      <c r="E2042" s="64">
        <f>IF(tblCommentary[[#This Row],[Date]]="","",COUNTIFS(INDEX(tblCommentary[Date],1):tblCommentary[[#This Row],[Date]],tblCommentary[[#This Row],[Date]]))</f>
        <v/>
      </c>
      <c r="F2042" s="63">
        <f>IF(tblCommentary[[#This Row],[Date]]="","",tblCommentary[[#This Row],[Date]]&amp;"|"&amp;tblCommentary[[#This Row],[Seq_Day]])</f>
        <v/>
      </c>
    </row>
    <row r="2043">
      <c r="A2043" s="54" t="n"/>
      <c r="B2043" s="61" t="n"/>
      <c r="C2043" s="58" t="n"/>
      <c r="D2043" s="58" t="n"/>
      <c r="E2043" s="64">
        <f>IF(tblCommentary[[#This Row],[Date]]="","",COUNTIFS(INDEX(tblCommentary[Date],1):tblCommentary[[#This Row],[Date]],tblCommentary[[#This Row],[Date]]))</f>
        <v/>
      </c>
      <c r="F2043" s="63">
        <f>IF(tblCommentary[[#This Row],[Date]]="","",tblCommentary[[#This Row],[Date]]&amp;"|"&amp;tblCommentary[[#This Row],[Seq_Day]])</f>
        <v/>
      </c>
    </row>
    <row r="2044">
      <c r="A2044" s="54" t="n"/>
      <c r="B2044" s="61" t="n"/>
      <c r="C2044" s="58" t="n"/>
      <c r="D2044" s="58" t="n"/>
      <c r="E2044" s="64">
        <f>IF(tblCommentary[[#This Row],[Date]]="","",COUNTIFS(INDEX(tblCommentary[Date],1):tblCommentary[[#This Row],[Date]],tblCommentary[[#This Row],[Date]]))</f>
        <v/>
      </c>
      <c r="F2044" s="63">
        <f>IF(tblCommentary[[#This Row],[Date]]="","",tblCommentary[[#This Row],[Date]]&amp;"|"&amp;tblCommentary[[#This Row],[Seq_Day]])</f>
        <v/>
      </c>
    </row>
    <row r="2045">
      <c r="A2045" s="54" t="n"/>
      <c r="B2045" s="61" t="n"/>
      <c r="C2045" s="58" t="n"/>
      <c r="D2045" s="58" t="n"/>
      <c r="E2045" s="64">
        <f>IF(tblCommentary[[#This Row],[Date]]="","",COUNTIFS(INDEX(tblCommentary[Date],1):tblCommentary[[#This Row],[Date]],tblCommentary[[#This Row],[Date]]))</f>
        <v/>
      </c>
      <c r="F2045" s="63">
        <f>IF(tblCommentary[[#This Row],[Date]]="","",tblCommentary[[#This Row],[Date]]&amp;"|"&amp;tblCommentary[[#This Row],[Seq_Day]])</f>
        <v/>
      </c>
    </row>
    <row r="2046">
      <c r="A2046" s="54" t="n"/>
      <c r="B2046" s="61" t="n"/>
      <c r="C2046" s="58" t="n"/>
      <c r="D2046" s="58" t="n"/>
      <c r="E2046" s="64">
        <f>IF(tblCommentary[[#This Row],[Date]]="","",COUNTIFS(INDEX(tblCommentary[Date],1):tblCommentary[[#This Row],[Date]],tblCommentary[[#This Row],[Date]]))</f>
        <v/>
      </c>
      <c r="F2046" s="63">
        <f>IF(tblCommentary[[#This Row],[Date]]="","",tblCommentary[[#This Row],[Date]]&amp;"|"&amp;tblCommentary[[#This Row],[Seq_Day]])</f>
        <v/>
      </c>
    </row>
    <row r="2047">
      <c r="A2047" s="54" t="n"/>
      <c r="B2047" s="61" t="n"/>
      <c r="C2047" s="58" t="n"/>
      <c r="D2047" s="58" t="n"/>
      <c r="E2047" s="64">
        <f>IF(tblCommentary[[#This Row],[Date]]="","",COUNTIFS(INDEX(tblCommentary[Date],1):tblCommentary[[#This Row],[Date]],tblCommentary[[#This Row],[Date]]))</f>
        <v/>
      </c>
      <c r="F2047" s="63">
        <f>IF(tblCommentary[[#This Row],[Date]]="","",tblCommentary[[#This Row],[Date]]&amp;"|"&amp;tblCommentary[[#This Row],[Seq_Day]])</f>
        <v/>
      </c>
    </row>
    <row r="2048">
      <c r="A2048" s="54" t="n"/>
      <c r="B2048" s="61" t="n"/>
      <c r="C2048" s="58" t="n"/>
      <c r="D2048" s="58" t="n"/>
      <c r="E2048" s="64">
        <f>IF(tblCommentary[[#This Row],[Date]]="","",COUNTIFS(INDEX(tblCommentary[Date],1):tblCommentary[[#This Row],[Date]],tblCommentary[[#This Row],[Date]]))</f>
        <v/>
      </c>
      <c r="F2048" s="63">
        <f>IF(tblCommentary[[#This Row],[Date]]="","",tblCommentary[[#This Row],[Date]]&amp;"|"&amp;tblCommentary[[#This Row],[Seq_Day]])</f>
        <v/>
      </c>
    </row>
    <row r="2049">
      <c r="A2049" s="54" t="n"/>
      <c r="B2049" s="61" t="n"/>
      <c r="C2049" s="58" t="n"/>
      <c r="D2049" s="58" t="n"/>
      <c r="E2049" s="64">
        <f>IF(tblCommentary[[#This Row],[Date]]="","",COUNTIFS(INDEX(tblCommentary[Date],1):tblCommentary[[#This Row],[Date]],tblCommentary[[#This Row],[Date]]))</f>
        <v/>
      </c>
      <c r="F2049" s="63">
        <f>IF(tblCommentary[[#This Row],[Date]]="","",tblCommentary[[#This Row],[Date]]&amp;"|"&amp;tblCommentary[[#This Row],[Seq_Day]])</f>
        <v/>
      </c>
    </row>
    <row r="2050">
      <c r="A2050" s="54" t="n"/>
      <c r="B2050" s="61" t="n"/>
      <c r="C2050" s="58" t="n"/>
      <c r="D2050" s="58" t="n"/>
      <c r="E2050" s="64">
        <f>IF(tblCommentary[[#This Row],[Date]]="","",COUNTIFS(INDEX(tblCommentary[Date],1):tblCommentary[[#This Row],[Date]],tblCommentary[[#This Row],[Date]]))</f>
        <v/>
      </c>
      <c r="F2050" s="63">
        <f>IF(tblCommentary[[#This Row],[Date]]="","",tblCommentary[[#This Row],[Date]]&amp;"|"&amp;tblCommentary[[#This Row],[Seq_Day]])</f>
        <v/>
      </c>
    </row>
    <row r="2051">
      <c r="A2051" s="54" t="n"/>
      <c r="B2051" s="61" t="n"/>
      <c r="C2051" s="58" t="n"/>
      <c r="D2051" s="58" t="n"/>
      <c r="E2051" s="64">
        <f>IF(tblCommentary[[#This Row],[Date]]="","",COUNTIFS(INDEX(tblCommentary[Date],1):tblCommentary[[#This Row],[Date]],tblCommentary[[#This Row],[Date]]))</f>
        <v/>
      </c>
      <c r="F2051" s="63">
        <f>IF(tblCommentary[[#This Row],[Date]]="","",tblCommentary[[#This Row],[Date]]&amp;"|"&amp;tblCommentary[[#This Row],[Seq_Day]])</f>
        <v/>
      </c>
    </row>
    <row r="2052">
      <c r="A2052" s="54" t="n"/>
      <c r="B2052" s="61" t="n"/>
      <c r="C2052" s="58" t="n"/>
      <c r="D2052" s="58" t="n"/>
      <c r="E2052" s="64">
        <f>IF(tblCommentary[[#This Row],[Date]]="","",COUNTIFS(INDEX(tblCommentary[Date],1):tblCommentary[[#This Row],[Date]],tblCommentary[[#This Row],[Date]]))</f>
        <v/>
      </c>
      <c r="F2052" s="63">
        <f>IF(tblCommentary[[#This Row],[Date]]="","",tblCommentary[[#This Row],[Date]]&amp;"|"&amp;tblCommentary[[#This Row],[Seq_Day]])</f>
        <v/>
      </c>
    </row>
    <row r="2053">
      <c r="A2053" s="54" t="n"/>
      <c r="B2053" s="61" t="n"/>
      <c r="C2053" s="58" t="n"/>
      <c r="D2053" s="58" t="n"/>
      <c r="E2053" s="64">
        <f>IF(tblCommentary[[#This Row],[Date]]="","",COUNTIFS(INDEX(tblCommentary[Date],1):tblCommentary[[#This Row],[Date]],tblCommentary[[#This Row],[Date]]))</f>
        <v/>
      </c>
      <c r="F2053" s="63">
        <f>IF(tblCommentary[[#This Row],[Date]]="","",tblCommentary[[#This Row],[Date]]&amp;"|"&amp;tblCommentary[[#This Row],[Seq_Day]])</f>
        <v/>
      </c>
    </row>
    <row r="2054">
      <c r="A2054" s="54" t="n"/>
      <c r="B2054" s="61" t="n"/>
      <c r="C2054" s="58" t="n"/>
      <c r="D2054" s="58" t="n"/>
      <c r="E2054" s="64">
        <f>IF(tblCommentary[[#This Row],[Date]]="","",COUNTIFS(INDEX(tblCommentary[Date],1):tblCommentary[[#This Row],[Date]],tblCommentary[[#This Row],[Date]]))</f>
        <v/>
      </c>
      <c r="F2054" s="63">
        <f>IF(tblCommentary[[#This Row],[Date]]="","",tblCommentary[[#This Row],[Date]]&amp;"|"&amp;tblCommentary[[#This Row],[Seq_Day]])</f>
        <v/>
      </c>
    </row>
    <row r="2055">
      <c r="A2055" s="54" t="n"/>
      <c r="B2055" s="61" t="n"/>
      <c r="C2055" s="58" t="n"/>
      <c r="D2055" s="58" t="n"/>
      <c r="E2055" s="64">
        <f>IF(tblCommentary[[#This Row],[Date]]="","",COUNTIFS(INDEX(tblCommentary[Date],1):tblCommentary[[#This Row],[Date]],tblCommentary[[#This Row],[Date]]))</f>
        <v/>
      </c>
      <c r="F2055" s="63">
        <f>IF(tblCommentary[[#This Row],[Date]]="","",tblCommentary[[#This Row],[Date]]&amp;"|"&amp;tblCommentary[[#This Row],[Seq_Day]])</f>
        <v/>
      </c>
    </row>
    <row r="2056">
      <c r="A2056" s="54" t="n"/>
      <c r="B2056" s="61" t="n"/>
      <c r="C2056" s="58" t="n"/>
      <c r="D2056" s="58" t="n"/>
      <c r="E2056" s="64">
        <f>IF(tblCommentary[[#This Row],[Date]]="","",COUNTIFS(INDEX(tblCommentary[Date],1):tblCommentary[[#This Row],[Date]],tblCommentary[[#This Row],[Date]]))</f>
        <v/>
      </c>
      <c r="F2056" s="63">
        <f>IF(tblCommentary[[#This Row],[Date]]="","",tblCommentary[[#This Row],[Date]]&amp;"|"&amp;tblCommentary[[#This Row],[Seq_Day]])</f>
        <v/>
      </c>
    </row>
    <row r="2057">
      <c r="A2057" s="54" t="n"/>
      <c r="B2057" s="61" t="n"/>
      <c r="C2057" s="58" t="n"/>
      <c r="D2057" s="58" t="n"/>
      <c r="E2057" s="64">
        <f>IF(tblCommentary[[#This Row],[Date]]="","",COUNTIFS(INDEX(tblCommentary[Date],1):tblCommentary[[#This Row],[Date]],tblCommentary[[#This Row],[Date]]))</f>
        <v/>
      </c>
      <c r="F2057" s="63">
        <f>IF(tblCommentary[[#This Row],[Date]]="","",tblCommentary[[#This Row],[Date]]&amp;"|"&amp;tblCommentary[[#This Row],[Seq_Day]])</f>
        <v/>
      </c>
    </row>
    <row r="2058">
      <c r="A2058" s="54" t="n"/>
      <c r="B2058" s="61" t="n"/>
      <c r="C2058" s="58" t="n"/>
      <c r="D2058" s="58" t="n"/>
      <c r="E2058" s="64">
        <f>IF(tblCommentary[[#This Row],[Date]]="","",COUNTIFS(INDEX(tblCommentary[Date],1):tblCommentary[[#This Row],[Date]],tblCommentary[[#This Row],[Date]]))</f>
        <v/>
      </c>
      <c r="F2058" s="63">
        <f>IF(tblCommentary[[#This Row],[Date]]="","",tblCommentary[[#This Row],[Date]]&amp;"|"&amp;tblCommentary[[#This Row],[Seq_Day]])</f>
        <v/>
      </c>
    </row>
    <row r="2059">
      <c r="A2059" s="54" t="n"/>
      <c r="B2059" s="61" t="n"/>
      <c r="C2059" s="58" t="n"/>
      <c r="D2059" s="58" t="n"/>
      <c r="E2059" s="64">
        <f>IF(tblCommentary[[#This Row],[Date]]="","",COUNTIFS(INDEX(tblCommentary[Date],1):tblCommentary[[#This Row],[Date]],tblCommentary[[#This Row],[Date]]))</f>
        <v/>
      </c>
      <c r="F2059" s="63">
        <f>IF(tblCommentary[[#This Row],[Date]]="","",tblCommentary[[#This Row],[Date]]&amp;"|"&amp;tblCommentary[[#This Row],[Seq_Day]])</f>
        <v/>
      </c>
    </row>
    <row r="2060">
      <c r="A2060" s="54" t="n"/>
      <c r="B2060" s="61" t="n"/>
      <c r="C2060" s="58" t="n"/>
      <c r="D2060" s="58" t="n"/>
      <c r="E2060" s="64">
        <f>IF(tblCommentary[[#This Row],[Date]]="","",COUNTIFS(INDEX(tblCommentary[Date],1):tblCommentary[[#This Row],[Date]],tblCommentary[[#This Row],[Date]]))</f>
        <v/>
      </c>
      <c r="F2060" s="63">
        <f>IF(tblCommentary[[#This Row],[Date]]="","",tblCommentary[[#This Row],[Date]]&amp;"|"&amp;tblCommentary[[#This Row],[Seq_Day]])</f>
        <v/>
      </c>
    </row>
    <row r="2061">
      <c r="A2061" s="54" t="n"/>
      <c r="B2061" s="61" t="n"/>
      <c r="C2061" s="58" t="n"/>
      <c r="D2061" s="58" t="n"/>
      <c r="E2061" s="64">
        <f>IF(tblCommentary[[#This Row],[Date]]="","",COUNTIFS(INDEX(tblCommentary[Date],1):tblCommentary[[#This Row],[Date]],tblCommentary[[#This Row],[Date]]))</f>
        <v/>
      </c>
      <c r="F2061" s="63">
        <f>IF(tblCommentary[[#This Row],[Date]]="","",tblCommentary[[#This Row],[Date]]&amp;"|"&amp;tblCommentary[[#This Row],[Seq_Day]])</f>
        <v/>
      </c>
    </row>
    <row r="2062">
      <c r="A2062" s="54" t="n"/>
      <c r="B2062" s="61" t="n"/>
      <c r="C2062" s="58" t="n"/>
      <c r="D2062" s="58" t="n"/>
      <c r="E2062" s="64">
        <f>IF(tblCommentary[[#This Row],[Date]]="","",COUNTIFS(INDEX(tblCommentary[Date],1):tblCommentary[[#This Row],[Date]],tblCommentary[[#This Row],[Date]]))</f>
        <v/>
      </c>
      <c r="F2062" s="63">
        <f>IF(tblCommentary[[#This Row],[Date]]="","",tblCommentary[[#This Row],[Date]]&amp;"|"&amp;tblCommentary[[#This Row],[Seq_Day]])</f>
        <v/>
      </c>
    </row>
    <row r="2063">
      <c r="A2063" s="54" t="n"/>
      <c r="B2063" s="61" t="n"/>
      <c r="C2063" s="58" t="n"/>
      <c r="D2063" s="58" t="n"/>
      <c r="E2063" s="64">
        <f>IF(tblCommentary[[#This Row],[Date]]="","",COUNTIFS(INDEX(tblCommentary[Date],1):tblCommentary[[#This Row],[Date]],tblCommentary[[#This Row],[Date]]))</f>
        <v/>
      </c>
      <c r="F2063" s="63">
        <f>IF(tblCommentary[[#This Row],[Date]]="","",tblCommentary[[#This Row],[Date]]&amp;"|"&amp;tblCommentary[[#This Row],[Seq_Day]])</f>
        <v/>
      </c>
    </row>
    <row r="2064">
      <c r="A2064" s="54" t="n"/>
      <c r="B2064" s="61" t="n"/>
      <c r="C2064" s="58" t="n"/>
      <c r="D2064" s="58" t="n"/>
      <c r="E2064" s="64">
        <f>IF(tblCommentary[[#This Row],[Date]]="","",COUNTIFS(INDEX(tblCommentary[Date],1):tblCommentary[[#This Row],[Date]],tblCommentary[[#This Row],[Date]]))</f>
        <v/>
      </c>
      <c r="F2064" s="63">
        <f>IF(tblCommentary[[#This Row],[Date]]="","",tblCommentary[[#This Row],[Date]]&amp;"|"&amp;tblCommentary[[#This Row],[Seq_Day]])</f>
        <v/>
      </c>
    </row>
    <row r="2065">
      <c r="A2065" s="54" t="n"/>
      <c r="B2065" s="61" t="n"/>
      <c r="C2065" s="58" t="n"/>
      <c r="D2065" s="58" t="n"/>
      <c r="E2065" s="64">
        <f>IF(tblCommentary[[#This Row],[Date]]="","",COUNTIFS(INDEX(tblCommentary[Date],1):tblCommentary[[#This Row],[Date]],tblCommentary[[#This Row],[Date]]))</f>
        <v/>
      </c>
      <c r="F2065" s="63">
        <f>IF(tblCommentary[[#This Row],[Date]]="","",tblCommentary[[#This Row],[Date]]&amp;"|"&amp;tblCommentary[[#This Row],[Seq_Day]])</f>
        <v/>
      </c>
    </row>
    <row r="2066">
      <c r="A2066" s="54" t="n"/>
      <c r="B2066" s="61" t="n"/>
      <c r="C2066" s="58" t="n"/>
      <c r="D2066" s="58" t="n"/>
      <c r="E2066" s="64">
        <f>IF(tblCommentary[[#This Row],[Date]]="","",COUNTIFS(INDEX(tblCommentary[Date],1):tblCommentary[[#This Row],[Date]],tblCommentary[[#This Row],[Date]]))</f>
        <v/>
      </c>
      <c r="F2066" s="63">
        <f>IF(tblCommentary[[#This Row],[Date]]="","",tblCommentary[[#This Row],[Date]]&amp;"|"&amp;tblCommentary[[#This Row],[Seq_Day]])</f>
        <v/>
      </c>
    </row>
    <row r="2067">
      <c r="A2067" s="54" t="n"/>
      <c r="B2067" s="61" t="n"/>
      <c r="C2067" s="58" t="n"/>
      <c r="D2067" s="58" t="n"/>
      <c r="E2067" s="64">
        <f>IF(tblCommentary[[#This Row],[Date]]="","",COUNTIFS(INDEX(tblCommentary[Date],1):tblCommentary[[#This Row],[Date]],tblCommentary[[#This Row],[Date]]))</f>
        <v/>
      </c>
      <c r="F2067" s="63">
        <f>IF(tblCommentary[[#This Row],[Date]]="","",tblCommentary[[#This Row],[Date]]&amp;"|"&amp;tblCommentary[[#This Row],[Seq_Day]])</f>
        <v/>
      </c>
    </row>
    <row r="2068">
      <c r="A2068" s="54" t="n"/>
      <c r="B2068" s="61" t="n"/>
      <c r="C2068" s="58" t="n"/>
      <c r="D2068" s="58" t="n"/>
      <c r="E2068" s="64">
        <f>IF(tblCommentary[[#This Row],[Date]]="","",COUNTIFS(INDEX(tblCommentary[Date],1):tblCommentary[[#This Row],[Date]],tblCommentary[[#This Row],[Date]]))</f>
        <v/>
      </c>
      <c r="F2068" s="63">
        <f>IF(tblCommentary[[#This Row],[Date]]="","",tblCommentary[[#This Row],[Date]]&amp;"|"&amp;tblCommentary[[#This Row],[Seq_Day]])</f>
        <v/>
      </c>
    </row>
    <row r="2069">
      <c r="A2069" s="54" t="n"/>
      <c r="B2069" s="61" t="n"/>
      <c r="C2069" s="58" t="n"/>
      <c r="D2069" s="58" t="n"/>
      <c r="E2069" s="64">
        <f>IF(tblCommentary[[#This Row],[Date]]="","",COUNTIFS(INDEX(tblCommentary[Date],1):tblCommentary[[#This Row],[Date]],tblCommentary[[#This Row],[Date]]))</f>
        <v/>
      </c>
      <c r="F2069" s="63">
        <f>IF(tblCommentary[[#This Row],[Date]]="","",tblCommentary[[#This Row],[Date]]&amp;"|"&amp;tblCommentary[[#This Row],[Seq_Day]])</f>
        <v/>
      </c>
    </row>
    <row r="2070">
      <c r="A2070" s="54" t="n"/>
      <c r="B2070" s="61" t="n"/>
      <c r="C2070" s="58" t="n"/>
      <c r="D2070" s="58" t="n"/>
      <c r="E2070" s="64">
        <f>IF(tblCommentary[[#This Row],[Date]]="","",COUNTIFS(INDEX(tblCommentary[Date],1):tblCommentary[[#This Row],[Date]],tblCommentary[[#This Row],[Date]]))</f>
        <v/>
      </c>
      <c r="F2070" s="63">
        <f>IF(tblCommentary[[#This Row],[Date]]="","",tblCommentary[[#This Row],[Date]]&amp;"|"&amp;tblCommentary[[#This Row],[Seq_Day]])</f>
        <v/>
      </c>
    </row>
    <row r="2071">
      <c r="A2071" s="54" t="n"/>
      <c r="B2071" s="61" t="n"/>
      <c r="C2071" s="58" t="n"/>
      <c r="D2071" s="58" t="n"/>
      <c r="E2071" s="64">
        <f>IF(tblCommentary[[#This Row],[Date]]="","",COUNTIFS(INDEX(tblCommentary[Date],1):tblCommentary[[#This Row],[Date]],tblCommentary[[#This Row],[Date]]))</f>
        <v/>
      </c>
      <c r="F2071" s="63">
        <f>IF(tblCommentary[[#This Row],[Date]]="","",tblCommentary[[#This Row],[Date]]&amp;"|"&amp;tblCommentary[[#This Row],[Seq_Day]])</f>
        <v/>
      </c>
    </row>
    <row r="2072">
      <c r="A2072" s="54" t="n"/>
      <c r="B2072" s="61" t="n"/>
      <c r="C2072" s="58" t="n"/>
      <c r="D2072" s="58" t="n"/>
      <c r="E2072" s="64">
        <f>IF(tblCommentary[[#This Row],[Date]]="","",COUNTIFS(INDEX(tblCommentary[Date],1):tblCommentary[[#This Row],[Date]],tblCommentary[[#This Row],[Date]]))</f>
        <v/>
      </c>
      <c r="F2072" s="63">
        <f>IF(tblCommentary[[#This Row],[Date]]="","",tblCommentary[[#This Row],[Date]]&amp;"|"&amp;tblCommentary[[#This Row],[Seq_Day]])</f>
        <v/>
      </c>
    </row>
    <row r="2073">
      <c r="A2073" s="54" t="n"/>
      <c r="B2073" s="61" t="n"/>
      <c r="C2073" s="58" t="n"/>
      <c r="D2073" s="58" t="n"/>
      <c r="E2073" s="64">
        <f>IF(tblCommentary[[#This Row],[Date]]="","",COUNTIFS(INDEX(tblCommentary[Date],1):tblCommentary[[#This Row],[Date]],tblCommentary[[#This Row],[Date]]))</f>
        <v/>
      </c>
      <c r="F2073" s="63">
        <f>IF(tblCommentary[[#This Row],[Date]]="","",tblCommentary[[#This Row],[Date]]&amp;"|"&amp;tblCommentary[[#This Row],[Seq_Day]])</f>
        <v/>
      </c>
    </row>
    <row r="2074">
      <c r="A2074" s="54" t="n"/>
      <c r="B2074" s="61" t="n"/>
      <c r="C2074" s="58" t="n"/>
      <c r="D2074" s="58" t="n"/>
      <c r="E2074" s="64">
        <f>IF(tblCommentary[[#This Row],[Date]]="","",COUNTIFS(INDEX(tblCommentary[Date],1):tblCommentary[[#This Row],[Date]],tblCommentary[[#This Row],[Date]]))</f>
        <v/>
      </c>
      <c r="F2074" s="63">
        <f>IF(tblCommentary[[#This Row],[Date]]="","",tblCommentary[[#This Row],[Date]]&amp;"|"&amp;tblCommentary[[#This Row],[Seq_Day]])</f>
        <v/>
      </c>
    </row>
    <row r="2075">
      <c r="A2075" s="54" t="n"/>
      <c r="B2075" s="61" t="n"/>
      <c r="C2075" s="58" t="n"/>
      <c r="D2075" s="58" t="n"/>
      <c r="E2075" s="64">
        <f>IF(tblCommentary[[#This Row],[Date]]="","",COUNTIFS(INDEX(tblCommentary[Date],1):tblCommentary[[#This Row],[Date]],tblCommentary[[#This Row],[Date]]))</f>
        <v/>
      </c>
      <c r="F2075" s="63">
        <f>IF(tblCommentary[[#This Row],[Date]]="","",tblCommentary[[#This Row],[Date]]&amp;"|"&amp;tblCommentary[[#This Row],[Seq_Day]])</f>
        <v/>
      </c>
    </row>
    <row r="2076">
      <c r="A2076" s="54" t="n"/>
      <c r="B2076" s="61" t="n"/>
      <c r="C2076" s="58" t="n"/>
      <c r="D2076" s="58" t="n"/>
      <c r="E2076" s="64">
        <f>IF(tblCommentary[[#This Row],[Date]]="","",COUNTIFS(INDEX(tblCommentary[Date],1):tblCommentary[[#This Row],[Date]],tblCommentary[[#This Row],[Date]]))</f>
        <v/>
      </c>
      <c r="F2076" s="63">
        <f>IF(tblCommentary[[#This Row],[Date]]="","",tblCommentary[[#This Row],[Date]]&amp;"|"&amp;tblCommentary[[#This Row],[Seq_Day]])</f>
        <v/>
      </c>
    </row>
    <row r="2077">
      <c r="A2077" s="54" t="n"/>
      <c r="B2077" s="61" t="n"/>
      <c r="C2077" s="58" t="n"/>
      <c r="D2077" s="58" t="n"/>
      <c r="E2077" s="64">
        <f>IF(tblCommentary[[#This Row],[Date]]="","",COUNTIFS(INDEX(tblCommentary[Date],1):tblCommentary[[#This Row],[Date]],tblCommentary[[#This Row],[Date]]))</f>
        <v/>
      </c>
      <c r="F2077" s="63">
        <f>IF(tblCommentary[[#This Row],[Date]]="","",tblCommentary[[#This Row],[Date]]&amp;"|"&amp;tblCommentary[[#This Row],[Seq_Day]])</f>
        <v/>
      </c>
    </row>
    <row r="2078">
      <c r="A2078" s="54" t="n"/>
      <c r="B2078" s="61" t="n"/>
      <c r="C2078" s="58" t="n"/>
      <c r="D2078" s="58" t="n"/>
      <c r="E2078" s="64">
        <f>IF(tblCommentary[[#This Row],[Date]]="","",COUNTIFS(INDEX(tblCommentary[Date],1):tblCommentary[[#This Row],[Date]],tblCommentary[[#This Row],[Date]]))</f>
        <v/>
      </c>
      <c r="F2078" s="63">
        <f>IF(tblCommentary[[#This Row],[Date]]="","",tblCommentary[[#This Row],[Date]]&amp;"|"&amp;tblCommentary[[#This Row],[Seq_Day]])</f>
        <v/>
      </c>
    </row>
    <row r="2079">
      <c r="A2079" s="54" t="n"/>
      <c r="B2079" s="61" t="n"/>
      <c r="C2079" s="58" t="n"/>
      <c r="D2079" s="58" t="n"/>
      <c r="E2079" s="64">
        <f>IF(tblCommentary[[#This Row],[Date]]="","",COUNTIFS(INDEX(tblCommentary[Date],1):tblCommentary[[#This Row],[Date]],tblCommentary[[#This Row],[Date]]))</f>
        <v/>
      </c>
      <c r="F2079" s="63">
        <f>IF(tblCommentary[[#This Row],[Date]]="","",tblCommentary[[#This Row],[Date]]&amp;"|"&amp;tblCommentary[[#This Row],[Seq_Day]])</f>
        <v/>
      </c>
    </row>
    <row r="2080">
      <c r="A2080" s="54" t="n"/>
      <c r="B2080" s="61" t="n"/>
      <c r="C2080" s="58" t="n"/>
      <c r="D2080" s="58" t="n"/>
      <c r="E2080" s="64">
        <f>IF(tblCommentary[[#This Row],[Date]]="","",COUNTIFS(INDEX(tblCommentary[Date],1):tblCommentary[[#This Row],[Date]],tblCommentary[[#This Row],[Date]]))</f>
        <v/>
      </c>
      <c r="F2080" s="63">
        <f>IF(tblCommentary[[#This Row],[Date]]="","",tblCommentary[[#This Row],[Date]]&amp;"|"&amp;tblCommentary[[#This Row],[Seq_Day]])</f>
        <v/>
      </c>
    </row>
    <row r="2081">
      <c r="A2081" s="54" t="n"/>
      <c r="B2081" s="61" t="n"/>
      <c r="C2081" s="58" t="n"/>
      <c r="D2081" s="58" t="n"/>
      <c r="E2081" s="64">
        <f>IF(tblCommentary[[#This Row],[Date]]="","",COUNTIFS(INDEX(tblCommentary[Date],1):tblCommentary[[#This Row],[Date]],tblCommentary[[#This Row],[Date]]))</f>
        <v/>
      </c>
      <c r="F2081" s="63">
        <f>IF(tblCommentary[[#This Row],[Date]]="","",tblCommentary[[#This Row],[Date]]&amp;"|"&amp;tblCommentary[[#This Row],[Seq_Day]])</f>
        <v/>
      </c>
    </row>
    <row r="2082">
      <c r="A2082" s="54" t="n"/>
      <c r="B2082" s="61" t="n"/>
      <c r="C2082" s="58" t="n"/>
      <c r="D2082" s="58" t="n"/>
      <c r="E2082" s="64">
        <f>IF(tblCommentary[[#This Row],[Date]]="","",COUNTIFS(INDEX(tblCommentary[Date],1):tblCommentary[[#This Row],[Date]],tblCommentary[[#This Row],[Date]]))</f>
        <v/>
      </c>
      <c r="F2082" s="63">
        <f>IF(tblCommentary[[#This Row],[Date]]="","",tblCommentary[[#This Row],[Date]]&amp;"|"&amp;tblCommentary[[#This Row],[Seq_Day]])</f>
        <v/>
      </c>
    </row>
    <row r="2083">
      <c r="A2083" s="54" t="n"/>
      <c r="B2083" s="61" t="n"/>
      <c r="C2083" s="58" t="n"/>
      <c r="D2083" s="58" t="n"/>
      <c r="E2083" s="64">
        <f>IF(tblCommentary[[#This Row],[Date]]="","",COUNTIFS(INDEX(tblCommentary[Date],1):tblCommentary[[#This Row],[Date]],tblCommentary[[#This Row],[Date]]))</f>
        <v/>
      </c>
      <c r="F2083" s="63">
        <f>IF(tblCommentary[[#This Row],[Date]]="","",tblCommentary[[#This Row],[Date]]&amp;"|"&amp;tblCommentary[[#This Row],[Seq_Day]])</f>
        <v/>
      </c>
    </row>
    <row r="2084">
      <c r="A2084" s="54" t="n"/>
      <c r="B2084" s="61" t="n"/>
      <c r="C2084" s="58" t="n"/>
      <c r="D2084" s="58" t="n"/>
      <c r="E2084" s="64">
        <f>IF(tblCommentary[[#This Row],[Date]]="","",COUNTIFS(INDEX(tblCommentary[Date],1):tblCommentary[[#This Row],[Date]],tblCommentary[[#This Row],[Date]]))</f>
        <v/>
      </c>
      <c r="F2084" s="63">
        <f>IF(tblCommentary[[#This Row],[Date]]="","",tblCommentary[[#This Row],[Date]]&amp;"|"&amp;tblCommentary[[#This Row],[Seq_Day]])</f>
        <v/>
      </c>
    </row>
    <row r="2085">
      <c r="A2085" s="54" t="n"/>
      <c r="B2085" s="61" t="n"/>
      <c r="C2085" s="58" t="n"/>
      <c r="D2085" s="58" t="n"/>
      <c r="E2085" s="64">
        <f>IF(tblCommentary[[#This Row],[Date]]="","",COUNTIFS(INDEX(tblCommentary[Date],1):tblCommentary[[#This Row],[Date]],tblCommentary[[#This Row],[Date]]))</f>
        <v/>
      </c>
      <c r="F2085" s="63">
        <f>IF(tblCommentary[[#This Row],[Date]]="","",tblCommentary[[#This Row],[Date]]&amp;"|"&amp;tblCommentary[[#This Row],[Seq_Day]])</f>
        <v/>
      </c>
    </row>
    <row r="2086">
      <c r="A2086" s="54" t="n"/>
      <c r="B2086" s="61" t="n"/>
      <c r="C2086" s="58" t="n"/>
      <c r="D2086" s="58" t="n"/>
      <c r="E2086" s="64">
        <f>IF(tblCommentary[[#This Row],[Date]]="","",COUNTIFS(INDEX(tblCommentary[Date],1):tblCommentary[[#This Row],[Date]],tblCommentary[[#This Row],[Date]]))</f>
        <v/>
      </c>
      <c r="F2086" s="63">
        <f>IF(tblCommentary[[#This Row],[Date]]="","",tblCommentary[[#This Row],[Date]]&amp;"|"&amp;tblCommentary[[#This Row],[Seq_Day]])</f>
        <v/>
      </c>
    </row>
    <row r="2087">
      <c r="A2087" s="54" t="n"/>
      <c r="B2087" s="61" t="n"/>
      <c r="C2087" s="58" t="n"/>
      <c r="D2087" s="58" t="n"/>
      <c r="E2087" s="64">
        <f>IF(tblCommentary[[#This Row],[Date]]="","",COUNTIFS(INDEX(tblCommentary[Date],1):tblCommentary[[#This Row],[Date]],tblCommentary[[#This Row],[Date]]))</f>
        <v/>
      </c>
      <c r="F2087" s="63">
        <f>IF(tblCommentary[[#This Row],[Date]]="","",tblCommentary[[#This Row],[Date]]&amp;"|"&amp;tblCommentary[[#This Row],[Seq_Day]])</f>
        <v/>
      </c>
    </row>
    <row r="2088">
      <c r="A2088" s="54" t="n"/>
      <c r="B2088" s="61" t="n"/>
      <c r="C2088" s="58" t="n"/>
      <c r="D2088" s="58" t="n"/>
      <c r="E2088" s="64">
        <f>IF(tblCommentary[[#This Row],[Date]]="","",COUNTIFS(INDEX(tblCommentary[Date],1):tblCommentary[[#This Row],[Date]],tblCommentary[[#This Row],[Date]]))</f>
        <v/>
      </c>
      <c r="F2088" s="63">
        <f>IF(tblCommentary[[#This Row],[Date]]="","",tblCommentary[[#This Row],[Date]]&amp;"|"&amp;tblCommentary[[#This Row],[Seq_Day]])</f>
        <v/>
      </c>
    </row>
    <row r="2089">
      <c r="A2089" s="54" t="n"/>
      <c r="B2089" s="61" t="n"/>
      <c r="C2089" s="58" t="n"/>
      <c r="D2089" s="58" t="n"/>
      <c r="E2089" s="64">
        <f>IF(tblCommentary[[#This Row],[Date]]="","",COUNTIFS(INDEX(tblCommentary[Date],1):tblCommentary[[#This Row],[Date]],tblCommentary[[#This Row],[Date]]))</f>
        <v/>
      </c>
      <c r="F2089" s="63">
        <f>IF(tblCommentary[[#This Row],[Date]]="","",tblCommentary[[#This Row],[Date]]&amp;"|"&amp;tblCommentary[[#This Row],[Seq_Day]])</f>
        <v/>
      </c>
    </row>
    <row r="2090">
      <c r="A2090" s="54" t="n"/>
      <c r="B2090" s="61" t="n"/>
      <c r="C2090" s="58" t="n"/>
      <c r="D2090" s="58" t="n"/>
      <c r="E2090" s="64">
        <f>IF(tblCommentary[[#This Row],[Date]]="","",COUNTIFS(INDEX(tblCommentary[Date],1):tblCommentary[[#This Row],[Date]],tblCommentary[[#This Row],[Date]]))</f>
        <v/>
      </c>
      <c r="F2090" s="63">
        <f>IF(tblCommentary[[#This Row],[Date]]="","",tblCommentary[[#This Row],[Date]]&amp;"|"&amp;tblCommentary[[#This Row],[Seq_Day]])</f>
        <v/>
      </c>
    </row>
    <row r="2091">
      <c r="A2091" s="54" t="n"/>
      <c r="B2091" s="61" t="n"/>
      <c r="C2091" s="58" t="n"/>
      <c r="D2091" s="58" t="n"/>
      <c r="E2091" s="64">
        <f>IF(tblCommentary[[#This Row],[Date]]="","",COUNTIFS(INDEX(tblCommentary[Date],1):tblCommentary[[#This Row],[Date]],tblCommentary[[#This Row],[Date]]))</f>
        <v/>
      </c>
      <c r="F2091" s="63">
        <f>IF(tblCommentary[[#This Row],[Date]]="","",tblCommentary[[#This Row],[Date]]&amp;"|"&amp;tblCommentary[[#This Row],[Seq_Day]])</f>
        <v/>
      </c>
    </row>
    <row r="2092">
      <c r="A2092" s="54" t="n"/>
      <c r="B2092" s="61" t="n"/>
      <c r="C2092" s="58" t="n"/>
      <c r="D2092" s="58" t="n"/>
      <c r="E2092" s="64">
        <f>IF(tblCommentary[[#This Row],[Date]]="","",COUNTIFS(INDEX(tblCommentary[Date],1):tblCommentary[[#This Row],[Date]],tblCommentary[[#This Row],[Date]]))</f>
        <v/>
      </c>
      <c r="F2092" s="63">
        <f>IF(tblCommentary[[#This Row],[Date]]="","",tblCommentary[[#This Row],[Date]]&amp;"|"&amp;tblCommentary[[#This Row],[Seq_Day]])</f>
        <v/>
      </c>
    </row>
    <row r="2093">
      <c r="A2093" s="54" t="n"/>
      <c r="B2093" s="61" t="n"/>
      <c r="C2093" s="58" t="n"/>
      <c r="D2093" s="58" t="n"/>
      <c r="E2093" s="64">
        <f>IF(tblCommentary[[#This Row],[Date]]="","",COUNTIFS(INDEX(tblCommentary[Date],1):tblCommentary[[#This Row],[Date]],tblCommentary[[#This Row],[Date]]))</f>
        <v/>
      </c>
      <c r="F2093" s="63">
        <f>IF(tblCommentary[[#This Row],[Date]]="","",tblCommentary[[#This Row],[Date]]&amp;"|"&amp;tblCommentary[[#This Row],[Seq_Day]])</f>
        <v/>
      </c>
    </row>
    <row r="2094">
      <c r="A2094" s="54" t="n"/>
      <c r="B2094" s="61" t="n"/>
      <c r="C2094" s="58" t="n"/>
      <c r="D2094" s="58" t="n"/>
      <c r="E2094" s="64">
        <f>IF(tblCommentary[[#This Row],[Date]]="","",COUNTIFS(INDEX(tblCommentary[Date],1):tblCommentary[[#This Row],[Date]],tblCommentary[[#This Row],[Date]]))</f>
        <v/>
      </c>
      <c r="F2094" s="63">
        <f>IF(tblCommentary[[#This Row],[Date]]="","",tblCommentary[[#This Row],[Date]]&amp;"|"&amp;tblCommentary[[#This Row],[Seq_Day]])</f>
        <v/>
      </c>
    </row>
    <row r="2095">
      <c r="A2095" s="54" t="n"/>
      <c r="B2095" s="61" t="n"/>
      <c r="C2095" s="58" t="n"/>
      <c r="D2095" s="58" t="n"/>
      <c r="E2095" s="64">
        <f>IF(tblCommentary[[#This Row],[Date]]="","",COUNTIFS(INDEX(tblCommentary[Date],1):tblCommentary[[#This Row],[Date]],tblCommentary[[#This Row],[Date]]))</f>
        <v/>
      </c>
      <c r="F2095" s="63">
        <f>IF(tblCommentary[[#This Row],[Date]]="","",tblCommentary[[#This Row],[Date]]&amp;"|"&amp;tblCommentary[[#This Row],[Seq_Day]])</f>
        <v/>
      </c>
    </row>
    <row r="2096">
      <c r="A2096" s="54" t="n"/>
      <c r="B2096" s="61" t="n"/>
      <c r="C2096" s="58" t="n"/>
      <c r="D2096" s="58" t="n"/>
      <c r="E2096" s="64">
        <f>IF(tblCommentary[[#This Row],[Date]]="","",COUNTIFS(INDEX(tblCommentary[Date],1):tblCommentary[[#This Row],[Date]],tblCommentary[[#This Row],[Date]]))</f>
        <v/>
      </c>
      <c r="F2096" s="63">
        <f>IF(tblCommentary[[#This Row],[Date]]="","",tblCommentary[[#This Row],[Date]]&amp;"|"&amp;tblCommentary[[#This Row],[Seq_Day]])</f>
        <v/>
      </c>
    </row>
    <row r="2097">
      <c r="A2097" s="54" t="n"/>
      <c r="B2097" s="61" t="n"/>
      <c r="C2097" s="58" t="n"/>
      <c r="D2097" s="58" t="n"/>
      <c r="E2097" s="64">
        <f>IF(tblCommentary[[#This Row],[Date]]="","",COUNTIFS(INDEX(tblCommentary[Date],1):tblCommentary[[#This Row],[Date]],tblCommentary[[#This Row],[Date]]))</f>
        <v/>
      </c>
      <c r="F2097" s="63">
        <f>IF(tblCommentary[[#This Row],[Date]]="","",tblCommentary[[#This Row],[Date]]&amp;"|"&amp;tblCommentary[[#This Row],[Seq_Day]])</f>
        <v/>
      </c>
    </row>
    <row r="2098">
      <c r="A2098" s="54" t="n"/>
      <c r="B2098" s="61" t="n"/>
      <c r="C2098" s="58" t="n"/>
      <c r="D2098" s="58" t="n"/>
      <c r="E2098" s="64">
        <f>IF(tblCommentary[[#This Row],[Date]]="","",COUNTIFS(INDEX(tblCommentary[Date],1):tblCommentary[[#This Row],[Date]],tblCommentary[[#This Row],[Date]]))</f>
        <v/>
      </c>
      <c r="F2098" s="63">
        <f>IF(tblCommentary[[#This Row],[Date]]="","",tblCommentary[[#This Row],[Date]]&amp;"|"&amp;tblCommentary[[#This Row],[Seq_Day]])</f>
        <v/>
      </c>
    </row>
    <row r="2099">
      <c r="A2099" s="54" t="n"/>
      <c r="B2099" s="61" t="n"/>
      <c r="C2099" s="58" t="n"/>
      <c r="D2099" s="58" t="n"/>
      <c r="E2099" s="64">
        <f>IF(tblCommentary[[#This Row],[Date]]="","",COUNTIFS(INDEX(tblCommentary[Date],1):tblCommentary[[#This Row],[Date]],tblCommentary[[#This Row],[Date]]))</f>
        <v/>
      </c>
      <c r="F2099" s="63">
        <f>IF(tblCommentary[[#This Row],[Date]]="","",tblCommentary[[#This Row],[Date]]&amp;"|"&amp;tblCommentary[[#This Row],[Seq_Day]])</f>
        <v/>
      </c>
    </row>
    <row r="2100">
      <c r="A2100" s="54" t="n"/>
      <c r="B2100" s="61" t="n"/>
      <c r="C2100" s="58" t="n"/>
      <c r="D2100" s="58" t="n"/>
      <c r="E2100" s="64">
        <f>IF(tblCommentary[[#This Row],[Date]]="","",COUNTIFS(INDEX(tblCommentary[Date],1):tblCommentary[[#This Row],[Date]],tblCommentary[[#This Row],[Date]]))</f>
        <v/>
      </c>
      <c r="F2100" s="63">
        <f>IF(tblCommentary[[#This Row],[Date]]="","",tblCommentary[[#This Row],[Date]]&amp;"|"&amp;tblCommentary[[#This Row],[Seq_Day]])</f>
        <v/>
      </c>
    </row>
    <row r="2101">
      <c r="A2101" s="54" t="n"/>
      <c r="B2101" s="61" t="n"/>
      <c r="C2101" s="58" t="n"/>
      <c r="D2101" s="58" t="n"/>
      <c r="E2101" s="64">
        <f>IF(tblCommentary[[#This Row],[Date]]="","",COUNTIFS(INDEX(tblCommentary[Date],1):tblCommentary[[#This Row],[Date]],tblCommentary[[#This Row],[Date]]))</f>
        <v/>
      </c>
      <c r="F2101" s="63">
        <f>IF(tblCommentary[[#This Row],[Date]]="","",tblCommentary[[#This Row],[Date]]&amp;"|"&amp;tblCommentary[[#This Row],[Seq_Day]])</f>
        <v/>
      </c>
    </row>
    <row r="2102">
      <c r="A2102" s="54" t="n"/>
      <c r="B2102" s="61" t="n"/>
      <c r="C2102" s="58" t="n"/>
      <c r="D2102" s="58" t="n"/>
      <c r="E2102" s="64">
        <f>IF(tblCommentary[[#This Row],[Date]]="","",COUNTIFS(INDEX(tblCommentary[Date],1):tblCommentary[[#This Row],[Date]],tblCommentary[[#This Row],[Date]]))</f>
        <v/>
      </c>
      <c r="F2102" s="63">
        <f>IF(tblCommentary[[#This Row],[Date]]="","",tblCommentary[[#This Row],[Date]]&amp;"|"&amp;tblCommentary[[#This Row],[Seq_Day]])</f>
        <v/>
      </c>
    </row>
    <row r="2103">
      <c r="A2103" s="54" t="n"/>
      <c r="B2103" s="61" t="n"/>
      <c r="C2103" s="58" t="n"/>
      <c r="D2103" s="58" t="n"/>
      <c r="E2103" s="64">
        <f>IF(tblCommentary[[#This Row],[Date]]="","",COUNTIFS(INDEX(tblCommentary[Date],1):tblCommentary[[#This Row],[Date]],tblCommentary[[#This Row],[Date]]))</f>
        <v/>
      </c>
      <c r="F2103" s="63">
        <f>IF(tblCommentary[[#This Row],[Date]]="","",tblCommentary[[#This Row],[Date]]&amp;"|"&amp;tblCommentary[[#This Row],[Seq_Day]])</f>
        <v/>
      </c>
    </row>
    <row r="2104">
      <c r="A2104" s="54" t="n"/>
      <c r="B2104" s="61" t="n"/>
      <c r="C2104" s="58" t="n"/>
      <c r="D2104" s="58" t="n"/>
      <c r="E2104" s="64">
        <f>IF(tblCommentary[[#This Row],[Date]]="","",COUNTIFS(INDEX(tblCommentary[Date],1):tblCommentary[[#This Row],[Date]],tblCommentary[[#This Row],[Date]]))</f>
        <v/>
      </c>
      <c r="F2104" s="63">
        <f>IF(tblCommentary[[#This Row],[Date]]="","",tblCommentary[[#This Row],[Date]]&amp;"|"&amp;tblCommentary[[#This Row],[Seq_Day]])</f>
        <v/>
      </c>
    </row>
    <row r="2105">
      <c r="A2105" s="54" t="n"/>
      <c r="B2105" s="61" t="n"/>
      <c r="C2105" s="58" t="n"/>
      <c r="D2105" s="58" t="n"/>
      <c r="E2105" s="64">
        <f>IF(tblCommentary[[#This Row],[Date]]="","",COUNTIFS(INDEX(tblCommentary[Date],1):tblCommentary[[#This Row],[Date]],tblCommentary[[#This Row],[Date]]))</f>
        <v/>
      </c>
      <c r="F2105" s="63">
        <f>IF(tblCommentary[[#This Row],[Date]]="","",tblCommentary[[#This Row],[Date]]&amp;"|"&amp;tblCommentary[[#This Row],[Seq_Day]])</f>
        <v/>
      </c>
    </row>
    <row r="2106">
      <c r="A2106" s="54" t="n"/>
      <c r="B2106" s="61" t="n"/>
      <c r="C2106" s="58" t="n"/>
      <c r="D2106" s="58" t="n"/>
      <c r="E2106" s="64">
        <f>IF(tblCommentary[[#This Row],[Date]]="","",COUNTIFS(INDEX(tblCommentary[Date],1):tblCommentary[[#This Row],[Date]],tblCommentary[[#This Row],[Date]]))</f>
        <v/>
      </c>
      <c r="F2106" s="63">
        <f>IF(tblCommentary[[#This Row],[Date]]="","",tblCommentary[[#This Row],[Date]]&amp;"|"&amp;tblCommentary[[#This Row],[Seq_Day]])</f>
        <v/>
      </c>
    </row>
    <row r="2107">
      <c r="A2107" s="54" t="n"/>
      <c r="B2107" s="61" t="n"/>
      <c r="C2107" s="58" t="n"/>
      <c r="D2107" s="58" t="n"/>
      <c r="E2107" s="64">
        <f>IF(tblCommentary[[#This Row],[Date]]="","",COUNTIFS(INDEX(tblCommentary[Date],1):tblCommentary[[#This Row],[Date]],tblCommentary[[#This Row],[Date]]))</f>
        <v/>
      </c>
      <c r="F2107" s="63">
        <f>IF(tblCommentary[[#This Row],[Date]]="","",tblCommentary[[#This Row],[Date]]&amp;"|"&amp;tblCommentary[[#This Row],[Seq_Day]])</f>
        <v/>
      </c>
    </row>
    <row r="2108">
      <c r="A2108" s="54" t="n"/>
      <c r="B2108" s="61" t="n"/>
      <c r="C2108" s="58" t="n"/>
      <c r="D2108" s="58" t="n"/>
      <c r="E2108" s="64">
        <f>IF(tblCommentary[[#This Row],[Date]]="","",COUNTIFS(INDEX(tblCommentary[Date],1):tblCommentary[[#This Row],[Date]],tblCommentary[[#This Row],[Date]]))</f>
        <v/>
      </c>
      <c r="F2108" s="63">
        <f>IF(tblCommentary[[#This Row],[Date]]="","",tblCommentary[[#This Row],[Date]]&amp;"|"&amp;tblCommentary[[#This Row],[Seq_Day]])</f>
        <v/>
      </c>
    </row>
    <row r="2109">
      <c r="A2109" s="54" t="n"/>
      <c r="B2109" s="61" t="n"/>
      <c r="C2109" s="58" t="n"/>
      <c r="D2109" s="58" t="n"/>
      <c r="E2109" s="64">
        <f>IF(tblCommentary[[#This Row],[Date]]="","",COUNTIFS(INDEX(tblCommentary[Date],1):tblCommentary[[#This Row],[Date]],tblCommentary[[#This Row],[Date]]))</f>
        <v/>
      </c>
      <c r="F2109" s="63">
        <f>IF(tblCommentary[[#This Row],[Date]]="","",tblCommentary[[#This Row],[Date]]&amp;"|"&amp;tblCommentary[[#This Row],[Seq_Day]])</f>
        <v/>
      </c>
    </row>
    <row r="2110">
      <c r="A2110" s="54" t="n"/>
      <c r="B2110" s="61" t="n"/>
      <c r="C2110" s="58" t="n"/>
      <c r="D2110" s="58" t="n"/>
      <c r="E2110" s="64">
        <f>IF(tblCommentary[[#This Row],[Date]]="","",COUNTIFS(INDEX(tblCommentary[Date],1):tblCommentary[[#This Row],[Date]],tblCommentary[[#This Row],[Date]]))</f>
        <v/>
      </c>
      <c r="F2110" s="63">
        <f>IF(tblCommentary[[#This Row],[Date]]="","",tblCommentary[[#This Row],[Date]]&amp;"|"&amp;tblCommentary[[#This Row],[Seq_Day]])</f>
        <v/>
      </c>
    </row>
    <row r="2111">
      <c r="A2111" s="54" t="n"/>
      <c r="B2111" s="61" t="n"/>
      <c r="C2111" s="58" t="n"/>
      <c r="D2111" s="58" t="n"/>
      <c r="E2111" s="64">
        <f>IF(tblCommentary[[#This Row],[Date]]="","",COUNTIFS(INDEX(tblCommentary[Date],1):tblCommentary[[#This Row],[Date]],tblCommentary[[#This Row],[Date]]))</f>
        <v/>
      </c>
      <c r="F2111" s="63">
        <f>IF(tblCommentary[[#This Row],[Date]]="","",tblCommentary[[#This Row],[Date]]&amp;"|"&amp;tblCommentary[[#This Row],[Seq_Day]])</f>
        <v/>
      </c>
    </row>
    <row r="2112">
      <c r="A2112" s="54" t="n"/>
      <c r="B2112" s="61" t="n"/>
      <c r="C2112" s="58" t="n"/>
      <c r="D2112" s="58" t="n"/>
      <c r="E2112" s="64">
        <f>IF(tblCommentary[[#This Row],[Date]]="","",COUNTIFS(INDEX(tblCommentary[Date],1):tblCommentary[[#This Row],[Date]],tblCommentary[[#This Row],[Date]]))</f>
        <v/>
      </c>
      <c r="F2112" s="63">
        <f>IF(tblCommentary[[#This Row],[Date]]="","",tblCommentary[[#This Row],[Date]]&amp;"|"&amp;tblCommentary[[#This Row],[Seq_Day]])</f>
        <v/>
      </c>
    </row>
    <row r="2113">
      <c r="A2113" s="54" t="n"/>
      <c r="B2113" s="61" t="n"/>
      <c r="C2113" s="58" t="n"/>
      <c r="D2113" s="58" t="n"/>
      <c r="E2113" s="64">
        <f>IF(tblCommentary[[#This Row],[Date]]="","",COUNTIFS(INDEX(tblCommentary[Date],1):tblCommentary[[#This Row],[Date]],tblCommentary[[#This Row],[Date]]))</f>
        <v/>
      </c>
      <c r="F2113" s="63">
        <f>IF(tblCommentary[[#This Row],[Date]]="","",tblCommentary[[#This Row],[Date]]&amp;"|"&amp;tblCommentary[[#This Row],[Seq_Day]])</f>
        <v/>
      </c>
    </row>
    <row r="2114">
      <c r="A2114" s="54" t="n"/>
      <c r="B2114" s="61" t="n"/>
      <c r="C2114" s="58" t="n"/>
      <c r="D2114" s="58" t="n"/>
      <c r="E2114" s="64">
        <f>IF(tblCommentary[[#This Row],[Date]]="","",COUNTIFS(INDEX(tblCommentary[Date],1):tblCommentary[[#This Row],[Date]],tblCommentary[[#This Row],[Date]]))</f>
        <v/>
      </c>
      <c r="F2114" s="63">
        <f>IF(tblCommentary[[#This Row],[Date]]="","",tblCommentary[[#This Row],[Date]]&amp;"|"&amp;tblCommentary[[#This Row],[Seq_Day]])</f>
        <v/>
      </c>
    </row>
    <row r="2115">
      <c r="A2115" s="54" t="n"/>
      <c r="B2115" s="61" t="n"/>
      <c r="C2115" s="58" t="n"/>
      <c r="D2115" s="58" t="n"/>
      <c r="E2115" s="64">
        <f>IF(tblCommentary[[#This Row],[Date]]="","",COUNTIFS(INDEX(tblCommentary[Date],1):tblCommentary[[#This Row],[Date]],tblCommentary[[#This Row],[Date]]))</f>
        <v/>
      </c>
      <c r="F2115" s="63">
        <f>IF(tblCommentary[[#This Row],[Date]]="","",tblCommentary[[#This Row],[Date]]&amp;"|"&amp;tblCommentary[[#This Row],[Seq_Day]])</f>
        <v/>
      </c>
    </row>
    <row r="2116">
      <c r="A2116" s="54" t="n"/>
      <c r="B2116" s="61" t="n"/>
      <c r="C2116" s="58" t="n"/>
      <c r="D2116" s="58" t="n"/>
      <c r="E2116" s="64">
        <f>IF(tblCommentary[[#This Row],[Date]]="","",COUNTIFS(INDEX(tblCommentary[Date],1):tblCommentary[[#This Row],[Date]],tblCommentary[[#This Row],[Date]]))</f>
        <v/>
      </c>
      <c r="F2116" s="63">
        <f>IF(tblCommentary[[#This Row],[Date]]="","",tblCommentary[[#This Row],[Date]]&amp;"|"&amp;tblCommentary[[#This Row],[Seq_Day]])</f>
        <v/>
      </c>
    </row>
    <row r="2117">
      <c r="A2117" s="54" t="n"/>
      <c r="B2117" s="61" t="n"/>
      <c r="C2117" s="58" t="n"/>
      <c r="D2117" s="58" t="n"/>
      <c r="E2117" s="64">
        <f>IF(tblCommentary[[#This Row],[Date]]="","",COUNTIFS(INDEX(tblCommentary[Date],1):tblCommentary[[#This Row],[Date]],tblCommentary[[#This Row],[Date]]))</f>
        <v/>
      </c>
      <c r="F2117" s="63">
        <f>IF(tblCommentary[[#This Row],[Date]]="","",tblCommentary[[#This Row],[Date]]&amp;"|"&amp;tblCommentary[[#This Row],[Seq_Day]])</f>
        <v/>
      </c>
    </row>
    <row r="2118">
      <c r="A2118" s="54" t="n"/>
      <c r="B2118" s="61" t="n"/>
      <c r="C2118" s="58" t="n"/>
      <c r="D2118" s="58" t="n"/>
      <c r="E2118" s="64">
        <f>IF(tblCommentary[[#This Row],[Date]]="","",COUNTIFS(INDEX(tblCommentary[Date],1):tblCommentary[[#This Row],[Date]],tblCommentary[[#This Row],[Date]]))</f>
        <v/>
      </c>
      <c r="F2118" s="63">
        <f>IF(tblCommentary[[#This Row],[Date]]="","",tblCommentary[[#This Row],[Date]]&amp;"|"&amp;tblCommentary[[#This Row],[Seq_Day]])</f>
        <v/>
      </c>
    </row>
    <row r="2119">
      <c r="A2119" s="54" t="n"/>
      <c r="B2119" s="61" t="n"/>
      <c r="C2119" s="58" t="n"/>
      <c r="D2119" s="58" t="n"/>
      <c r="E2119" s="64">
        <f>IF(tblCommentary[[#This Row],[Date]]="","",COUNTIFS(INDEX(tblCommentary[Date],1):tblCommentary[[#This Row],[Date]],tblCommentary[[#This Row],[Date]]))</f>
        <v/>
      </c>
      <c r="F2119" s="63">
        <f>IF(tblCommentary[[#This Row],[Date]]="","",tblCommentary[[#This Row],[Date]]&amp;"|"&amp;tblCommentary[[#This Row],[Seq_Day]])</f>
        <v/>
      </c>
    </row>
    <row r="2120">
      <c r="A2120" s="54" t="n"/>
      <c r="B2120" s="61" t="n"/>
      <c r="C2120" s="58" t="n"/>
      <c r="D2120" s="58" t="n"/>
      <c r="E2120" s="64">
        <f>IF(tblCommentary[[#This Row],[Date]]="","",COUNTIFS(INDEX(tblCommentary[Date],1):tblCommentary[[#This Row],[Date]],tblCommentary[[#This Row],[Date]]))</f>
        <v/>
      </c>
      <c r="F2120" s="63">
        <f>IF(tblCommentary[[#This Row],[Date]]="","",tblCommentary[[#This Row],[Date]]&amp;"|"&amp;tblCommentary[[#This Row],[Seq_Day]])</f>
        <v/>
      </c>
    </row>
    <row r="2121">
      <c r="A2121" s="54" t="n"/>
      <c r="B2121" s="61" t="n"/>
      <c r="C2121" s="58" t="n"/>
      <c r="D2121" s="58" t="n"/>
      <c r="E2121" s="64">
        <f>IF(tblCommentary[[#This Row],[Date]]="","",COUNTIFS(INDEX(tblCommentary[Date],1):tblCommentary[[#This Row],[Date]],tblCommentary[[#This Row],[Date]]))</f>
        <v/>
      </c>
      <c r="F2121" s="63">
        <f>IF(tblCommentary[[#This Row],[Date]]="","",tblCommentary[[#This Row],[Date]]&amp;"|"&amp;tblCommentary[[#This Row],[Seq_Day]])</f>
        <v/>
      </c>
    </row>
    <row r="2122">
      <c r="A2122" s="54" t="n"/>
      <c r="B2122" s="61" t="n"/>
      <c r="C2122" s="58" t="n"/>
      <c r="D2122" s="58" t="n"/>
      <c r="E2122" s="64">
        <f>IF(tblCommentary[[#This Row],[Date]]="","",COUNTIFS(INDEX(tblCommentary[Date],1):tblCommentary[[#This Row],[Date]],tblCommentary[[#This Row],[Date]]))</f>
        <v/>
      </c>
      <c r="F2122" s="63">
        <f>IF(tblCommentary[[#This Row],[Date]]="","",tblCommentary[[#This Row],[Date]]&amp;"|"&amp;tblCommentary[[#This Row],[Seq_Day]])</f>
        <v/>
      </c>
    </row>
    <row r="2123">
      <c r="A2123" s="54" t="n"/>
      <c r="B2123" s="61" t="n"/>
      <c r="C2123" s="58" t="n"/>
      <c r="D2123" s="58" t="n"/>
      <c r="E2123" s="64">
        <f>IF(tblCommentary[[#This Row],[Date]]="","",COUNTIFS(INDEX(tblCommentary[Date],1):tblCommentary[[#This Row],[Date]],tblCommentary[[#This Row],[Date]]))</f>
        <v/>
      </c>
      <c r="F2123" s="63">
        <f>IF(tblCommentary[[#This Row],[Date]]="","",tblCommentary[[#This Row],[Date]]&amp;"|"&amp;tblCommentary[[#This Row],[Seq_Day]])</f>
        <v/>
      </c>
    </row>
    <row r="2124">
      <c r="A2124" s="54" t="n"/>
      <c r="B2124" s="61" t="n"/>
      <c r="C2124" s="58" t="n"/>
      <c r="D2124" s="58" t="n"/>
      <c r="E2124" s="64">
        <f>IF(tblCommentary[[#This Row],[Date]]="","",COUNTIFS(INDEX(tblCommentary[Date],1):tblCommentary[[#This Row],[Date]],tblCommentary[[#This Row],[Date]]))</f>
        <v/>
      </c>
      <c r="F2124" s="63">
        <f>IF(tblCommentary[[#This Row],[Date]]="","",tblCommentary[[#This Row],[Date]]&amp;"|"&amp;tblCommentary[[#This Row],[Seq_Day]])</f>
        <v/>
      </c>
    </row>
    <row r="2125">
      <c r="A2125" s="54" t="n"/>
      <c r="B2125" s="61" t="n"/>
      <c r="C2125" s="58" t="n"/>
      <c r="D2125" s="58" t="n"/>
      <c r="E2125" s="64">
        <f>IF(tblCommentary[[#This Row],[Date]]="","",COUNTIFS(INDEX(tblCommentary[Date],1):tblCommentary[[#This Row],[Date]],tblCommentary[[#This Row],[Date]]))</f>
        <v/>
      </c>
      <c r="F2125" s="63">
        <f>IF(tblCommentary[[#This Row],[Date]]="","",tblCommentary[[#This Row],[Date]]&amp;"|"&amp;tblCommentary[[#This Row],[Seq_Day]])</f>
        <v/>
      </c>
    </row>
    <row r="2126">
      <c r="A2126" s="54" t="n"/>
      <c r="B2126" s="61" t="n"/>
      <c r="C2126" s="58" t="n"/>
      <c r="D2126" s="58" t="n"/>
      <c r="E2126" s="64">
        <f>IF(tblCommentary[[#This Row],[Date]]="","",COUNTIFS(INDEX(tblCommentary[Date],1):tblCommentary[[#This Row],[Date]],tblCommentary[[#This Row],[Date]]))</f>
        <v/>
      </c>
      <c r="F2126" s="63">
        <f>IF(tblCommentary[[#This Row],[Date]]="","",tblCommentary[[#This Row],[Date]]&amp;"|"&amp;tblCommentary[[#This Row],[Seq_Day]])</f>
        <v/>
      </c>
    </row>
    <row r="2127">
      <c r="A2127" s="54" t="n"/>
      <c r="B2127" s="61" t="n"/>
      <c r="C2127" s="58" t="n"/>
      <c r="D2127" s="58" t="n"/>
      <c r="E2127" s="64">
        <f>IF(tblCommentary[[#This Row],[Date]]="","",COUNTIFS(INDEX(tblCommentary[Date],1):tblCommentary[[#This Row],[Date]],tblCommentary[[#This Row],[Date]]))</f>
        <v/>
      </c>
      <c r="F2127" s="63">
        <f>IF(tblCommentary[[#This Row],[Date]]="","",tblCommentary[[#This Row],[Date]]&amp;"|"&amp;tblCommentary[[#This Row],[Seq_Day]])</f>
        <v/>
      </c>
    </row>
    <row r="2128">
      <c r="A2128" s="54" t="n"/>
      <c r="B2128" s="61" t="n"/>
      <c r="C2128" s="58" t="n"/>
      <c r="D2128" s="58" t="n"/>
      <c r="E2128" s="64">
        <f>IF(tblCommentary[[#This Row],[Date]]="","",COUNTIFS(INDEX(tblCommentary[Date],1):tblCommentary[[#This Row],[Date]],tblCommentary[[#This Row],[Date]]))</f>
        <v/>
      </c>
      <c r="F2128" s="63">
        <f>IF(tblCommentary[[#This Row],[Date]]="","",tblCommentary[[#This Row],[Date]]&amp;"|"&amp;tblCommentary[[#This Row],[Seq_Day]])</f>
        <v/>
      </c>
    </row>
    <row r="2129">
      <c r="A2129" s="54" t="n"/>
      <c r="B2129" s="61" t="n"/>
      <c r="C2129" s="58" t="n"/>
      <c r="D2129" s="58" t="n"/>
      <c r="E2129" s="64">
        <f>IF(tblCommentary[[#This Row],[Date]]="","",COUNTIFS(INDEX(tblCommentary[Date],1):tblCommentary[[#This Row],[Date]],tblCommentary[[#This Row],[Date]]))</f>
        <v/>
      </c>
      <c r="F2129" s="63">
        <f>IF(tblCommentary[[#This Row],[Date]]="","",tblCommentary[[#This Row],[Date]]&amp;"|"&amp;tblCommentary[[#This Row],[Seq_Day]])</f>
        <v/>
      </c>
    </row>
    <row r="2130">
      <c r="A2130" s="54" t="n"/>
      <c r="B2130" s="61" t="n"/>
      <c r="C2130" s="58" t="n"/>
      <c r="D2130" s="58" t="n"/>
      <c r="E2130" s="64">
        <f>IF(tblCommentary[[#This Row],[Date]]="","",COUNTIFS(INDEX(tblCommentary[Date],1):tblCommentary[[#This Row],[Date]],tblCommentary[[#This Row],[Date]]))</f>
        <v/>
      </c>
      <c r="F2130" s="63">
        <f>IF(tblCommentary[[#This Row],[Date]]="","",tblCommentary[[#This Row],[Date]]&amp;"|"&amp;tblCommentary[[#This Row],[Seq_Day]])</f>
        <v/>
      </c>
    </row>
    <row r="2131">
      <c r="A2131" s="54" t="n"/>
      <c r="B2131" s="61" t="n"/>
      <c r="C2131" s="58" t="n"/>
      <c r="D2131" s="58" t="n"/>
      <c r="E2131" s="64">
        <f>IF(tblCommentary[[#This Row],[Date]]="","",COUNTIFS(INDEX(tblCommentary[Date],1):tblCommentary[[#This Row],[Date]],tblCommentary[[#This Row],[Date]]))</f>
        <v/>
      </c>
      <c r="F2131" s="63">
        <f>IF(tblCommentary[[#This Row],[Date]]="","",tblCommentary[[#This Row],[Date]]&amp;"|"&amp;tblCommentary[[#This Row],[Seq_Day]])</f>
        <v/>
      </c>
    </row>
    <row r="2132">
      <c r="A2132" s="54" t="n"/>
      <c r="B2132" s="61" t="n"/>
      <c r="C2132" s="58" t="n"/>
      <c r="D2132" s="58" t="n"/>
      <c r="E2132" s="64">
        <f>IF(tblCommentary[[#This Row],[Date]]="","",COUNTIFS(INDEX(tblCommentary[Date],1):tblCommentary[[#This Row],[Date]],tblCommentary[[#This Row],[Date]]))</f>
        <v/>
      </c>
      <c r="F2132" s="63">
        <f>IF(tblCommentary[[#This Row],[Date]]="","",tblCommentary[[#This Row],[Date]]&amp;"|"&amp;tblCommentary[[#This Row],[Seq_Day]])</f>
        <v/>
      </c>
    </row>
    <row r="2133">
      <c r="A2133" s="54" t="n"/>
      <c r="B2133" s="61" t="n"/>
      <c r="C2133" s="58" t="n"/>
      <c r="D2133" s="58" t="n"/>
      <c r="E2133" s="64">
        <f>IF(tblCommentary[[#This Row],[Date]]="","",COUNTIFS(INDEX(tblCommentary[Date],1):tblCommentary[[#This Row],[Date]],tblCommentary[[#This Row],[Date]]))</f>
        <v/>
      </c>
      <c r="F2133" s="63">
        <f>IF(tblCommentary[[#This Row],[Date]]="","",tblCommentary[[#This Row],[Date]]&amp;"|"&amp;tblCommentary[[#This Row],[Seq_Day]])</f>
        <v/>
      </c>
    </row>
    <row r="2134">
      <c r="A2134" s="54" t="n"/>
      <c r="B2134" s="61" t="n"/>
      <c r="C2134" s="58" t="n"/>
      <c r="D2134" s="58" t="n"/>
      <c r="E2134" s="64">
        <f>IF(tblCommentary[[#This Row],[Date]]="","",COUNTIFS(INDEX(tblCommentary[Date],1):tblCommentary[[#This Row],[Date]],tblCommentary[[#This Row],[Date]]))</f>
        <v/>
      </c>
      <c r="F2134" s="63">
        <f>IF(tblCommentary[[#This Row],[Date]]="","",tblCommentary[[#This Row],[Date]]&amp;"|"&amp;tblCommentary[[#This Row],[Seq_Day]])</f>
        <v/>
      </c>
    </row>
    <row r="2135">
      <c r="A2135" s="54" t="n"/>
      <c r="B2135" s="61" t="n"/>
      <c r="C2135" s="58" t="n"/>
      <c r="D2135" s="58" t="n"/>
      <c r="E2135" s="64">
        <f>IF(tblCommentary[[#This Row],[Date]]="","",COUNTIFS(INDEX(tblCommentary[Date],1):tblCommentary[[#This Row],[Date]],tblCommentary[[#This Row],[Date]]))</f>
        <v/>
      </c>
      <c r="F2135" s="63">
        <f>IF(tblCommentary[[#This Row],[Date]]="","",tblCommentary[[#This Row],[Date]]&amp;"|"&amp;tblCommentary[[#This Row],[Seq_Day]])</f>
        <v/>
      </c>
    </row>
    <row r="2136">
      <c r="A2136" s="54" t="n"/>
      <c r="B2136" s="61" t="n"/>
      <c r="C2136" s="58" t="n"/>
      <c r="D2136" s="58" t="n"/>
      <c r="E2136" s="64">
        <f>IF(tblCommentary[[#This Row],[Date]]="","",COUNTIFS(INDEX(tblCommentary[Date],1):tblCommentary[[#This Row],[Date]],tblCommentary[[#This Row],[Date]]))</f>
        <v/>
      </c>
      <c r="F2136" s="63">
        <f>IF(tblCommentary[[#This Row],[Date]]="","",tblCommentary[[#This Row],[Date]]&amp;"|"&amp;tblCommentary[[#This Row],[Seq_Day]])</f>
        <v/>
      </c>
    </row>
    <row r="2137">
      <c r="A2137" s="54" t="n"/>
      <c r="B2137" s="61" t="n"/>
      <c r="C2137" s="58" t="n"/>
      <c r="D2137" s="58" t="n"/>
      <c r="E2137" s="64">
        <f>IF(tblCommentary[[#This Row],[Date]]="","",COUNTIFS(INDEX(tblCommentary[Date],1):tblCommentary[[#This Row],[Date]],tblCommentary[[#This Row],[Date]]))</f>
        <v/>
      </c>
      <c r="F2137" s="63">
        <f>IF(tblCommentary[[#This Row],[Date]]="","",tblCommentary[[#This Row],[Date]]&amp;"|"&amp;tblCommentary[[#This Row],[Seq_Day]])</f>
        <v/>
      </c>
    </row>
    <row r="2138">
      <c r="A2138" s="54" t="n"/>
      <c r="B2138" s="61" t="n"/>
      <c r="C2138" s="58" t="n"/>
      <c r="D2138" s="58" t="n"/>
      <c r="E2138" s="64">
        <f>IF(tblCommentary[[#This Row],[Date]]="","",COUNTIFS(INDEX(tblCommentary[Date],1):tblCommentary[[#This Row],[Date]],tblCommentary[[#This Row],[Date]]))</f>
        <v/>
      </c>
      <c r="F2138" s="63">
        <f>IF(tblCommentary[[#This Row],[Date]]="","",tblCommentary[[#This Row],[Date]]&amp;"|"&amp;tblCommentary[[#This Row],[Seq_Day]])</f>
        <v/>
      </c>
    </row>
    <row r="2139">
      <c r="A2139" s="54" t="n"/>
      <c r="B2139" s="61" t="n"/>
      <c r="C2139" s="58" t="n"/>
      <c r="D2139" s="58" t="n"/>
      <c r="E2139" s="64">
        <f>IF(tblCommentary[[#This Row],[Date]]="","",COUNTIFS(INDEX(tblCommentary[Date],1):tblCommentary[[#This Row],[Date]],tblCommentary[[#This Row],[Date]]))</f>
        <v/>
      </c>
      <c r="F2139" s="63">
        <f>IF(tblCommentary[[#This Row],[Date]]="","",tblCommentary[[#This Row],[Date]]&amp;"|"&amp;tblCommentary[[#This Row],[Seq_Day]])</f>
        <v/>
      </c>
    </row>
    <row r="2140">
      <c r="A2140" s="54" t="n"/>
      <c r="B2140" s="61" t="n"/>
      <c r="C2140" s="58" t="n"/>
      <c r="D2140" s="58" t="n"/>
      <c r="E2140" s="64">
        <f>IF(tblCommentary[[#This Row],[Date]]="","",COUNTIFS(INDEX(tblCommentary[Date],1):tblCommentary[[#This Row],[Date]],tblCommentary[[#This Row],[Date]]))</f>
        <v/>
      </c>
      <c r="F2140" s="63">
        <f>IF(tblCommentary[[#This Row],[Date]]="","",tblCommentary[[#This Row],[Date]]&amp;"|"&amp;tblCommentary[[#This Row],[Seq_Day]])</f>
        <v/>
      </c>
    </row>
    <row r="2141">
      <c r="A2141" s="54" t="n"/>
      <c r="B2141" s="61" t="n"/>
      <c r="C2141" s="58" t="n"/>
      <c r="D2141" s="58" t="n"/>
      <c r="E2141" s="64">
        <f>IF(tblCommentary[[#This Row],[Date]]="","",COUNTIFS(INDEX(tblCommentary[Date],1):tblCommentary[[#This Row],[Date]],tblCommentary[[#This Row],[Date]]))</f>
        <v/>
      </c>
      <c r="F2141" s="63">
        <f>IF(tblCommentary[[#This Row],[Date]]="","",tblCommentary[[#This Row],[Date]]&amp;"|"&amp;tblCommentary[[#This Row],[Seq_Day]])</f>
        <v/>
      </c>
    </row>
    <row r="2142">
      <c r="A2142" s="54" t="n"/>
      <c r="B2142" s="61" t="n"/>
      <c r="C2142" s="58" t="n"/>
      <c r="D2142" s="58" t="n"/>
      <c r="E2142" s="64">
        <f>IF(tblCommentary[[#This Row],[Date]]="","",COUNTIFS(INDEX(tblCommentary[Date],1):tblCommentary[[#This Row],[Date]],tblCommentary[[#This Row],[Date]]))</f>
        <v/>
      </c>
      <c r="F2142" s="63">
        <f>IF(tblCommentary[[#This Row],[Date]]="","",tblCommentary[[#This Row],[Date]]&amp;"|"&amp;tblCommentary[[#This Row],[Seq_Day]])</f>
        <v/>
      </c>
    </row>
    <row r="2143">
      <c r="A2143" s="54" t="n"/>
      <c r="B2143" s="61" t="n"/>
      <c r="C2143" s="58" t="n"/>
      <c r="D2143" s="58" t="n"/>
      <c r="E2143" s="64">
        <f>IF(tblCommentary[[#This Row],[Date]]="","",COUNTIFS(INDEX(tblCommentary[Date],1):tblCommentary[[#This Row],[Date]],tblCommentary[[#This Row],[Date]]))</f>
        <v/>
      </c>
      <c r="F2143" s="63">
        <f>IF(tblCommentary[[#This Row],[Date]]="","",tblCommentary[[#This Row],[Date]]&amp;"|"&amp;tblCommentary[[#This Row],[Seq_Day]])</f>
        <v/>
      </c>
    </row>
    <row r="2144">
      <c r="A2144" s="54" t="n"/>
      <c r="B2144" s="61" t="n"/>
      <c r="C2144" s="58" t="n"/>
      <c r="D2144" s="58" t="n"/>
      <c r="E2144" s="64">
        <f>IF(tblCommentary[[#This Row],[Date]]="","",COUNTIFS(INDEX(tblCommentary[Date],1):tblCommentary[[#This Row],[Date]],tblCommentary[[#This Row],[Date]]))</f>
        <v/>
      </c>
      <c r="F2144" s="63">
        <f>IF(tblCommentary[[#This Row],[Date]]="","",tblCommentary[[#This Row],[Date]]&amp;"|"&amp;tblCommentary[[#This Row],[Seq_Day]])</f>
        <v/>
      </c>
    </row>
    <row r="2145">
      <c r="A2145" s="54" t="n"/>
      <c r="B2145" s="61" t="n"/>
      <c r="C2145" s="58" t="n"/>
      <c r="D2145" s="58" t="n"/>
      <c r="E2145" s="64">
        <f>IF(tblCommentary[[#This Row],[Date]]="","",COUNTIFS(INDEX(tblCommentary[Date],1):tblCommentary[[#This Row],[Date]],tblCommentary[[#This Row],[Date]]))</f>
        <v/>
      </c>
      <c r="F2145" s="63">
        <f>IF(tblCommentary[[#This Row],[Date]]="","",tblCommentary[[#This Row],[Date]]&amp;"|"&amp;tblCommentary[[#This Row],[Seq_Day]])</f>
        <v/>
      </c>
    </row>
    <row r="2146">
      <c r="A2146" s="54" t="n"/>
      <c r="B2146" s="61" t="n"/>
      <c r="C2146" s="58" t="n"/>
      <c r="D2146" s="58" t="n"/>
      <c r="E2146" s="64">
        <f>IF(tblCommentary[[#This Row],[Date]]="","",COUNTIFS(INDEX(tblCommentary[Date],1):tblCommentary[[#This Row],[Date]],tblCommentary[[#This Row],[Date]]))</f>
        <v/>
      </c>
      <c r="F2146" s="63">
        <f>IF(tblCommentary[[#This Row],[Date]]="","",tblCommentary[[#This Row],[Date]]&amp;"|"&amp;tblCommentary[[#This Row],[Seq_Day]])</f>
        <v/>
      </c>
    </row>
    <row r="2147">
      <c r="A2147" s="54" t="n"/>
      <c r="B2147" s="61" t="n"/>
      <c r="C2147" s="58" t="n"/>
      <c r="D2147" s="58" t="n"/>
      <c r="E2147" s="64">
        <f>IF(tblCommentary[[#This Row],[Date]]="","",COUNTIFS(INDEX(tblCommentary[Date],1):tblCommentary[[#This Row],[Date]],tblCommentary[[#This Row],[Date]]))</f>
        <v/>
      </c>
      <c r="F2147" s="63">
        <f>IF(tblCommentary[[#This Row],[Date]]="","",tblCommentary[[#This Row],[Date]]&amp;"|"&amp;tblCommentary[[#This Row],[Seq_Day]])</f>
        <v/>
      </c>
    </row>
    <row r="2148">
      <c r="A2148" s="54" t="n"/>
      <c r="B2148" s="61" t="n"/>
      <c r="C2148" s="58" t="n"/>
      <c r="D2148" s="58" t="n"/>
      <c r="E2148" s="64">
        <f>IF(tblCommentary[[#This Row],[Date]]="","",COUNTIFS(INDEX(tblCommentary[Date],1):tblCommentary[[#This Row],[Date]],tblCommentary[[#This Row],[Date]]))</f>
        <v/>
      </c>
      <c r="F2148" s="63">
        <f>IF(tblCommentary[[#This Row],[Date]]="","",tblCommentary[[#This Row],[Date]]&amp;"|"&amp;tblCommentary[[#This Row],[Seq_Day]])</f>
        <v/>
      </c>
    </row>
    <row r="2149">
      <c r="A2149" s="54" t="n"/>
      <c r="B2149" s="61" t="n"/>
      <c r="C2149" s="58" t="n"/>
      <c r="D2149" s="58" t="n"/>
      <c r="E2149" s="64">
        <f>IF(tblCommentary[[#This Row],[Date]]="","",COUNTIFS(INDEX(tblCommentary[Date],1):tblCommentary[[#This Row],[Date]],tblCommentary[[#This Row],[Date]]))</f>
        <v/>
      </c>
      <c r="F2149" s="63">
        <f>IF(tblCommentary[[#This Row],[Date]]="","",tblCommentary[[#This Row],[Date]]&amp;"|"&amp;tblCommentary[[#This Row],[Seq_Day]])</f>
        <v/>
      </c>
    </row>
    <row r="2150">
      <c r="A2150" s="54" t="n"/>
      <c r="B2150" s="61" t="n"/>
      <c r="C2150" s="58" t="n"/>
      <c r="D2150" s="58" t="n"/>
      <c r="E2150" s="64">
        <f>IF(tblCommentary[[#This Row],[Date]]="","",COUNTIFS(INDEX(tblCommentary[Date],1):tblCommentary[[#This Row],[Date]],tblCommentary[[#This Row],[Date]]))</f>
        <v/>
      </c>
      <c r="F2150" s="63">
        <f>IF(tblCommentary[[#This Row],[Date]]="","",tblCommentary[[#This Row],[Date]]&amp;"|"&amp;tblCommentary[[#This Row],[Seq_Day]])</f>
        <v/>
      </c>
    </row>
    <row r="2151">
      <c r="A2151" s="54" t="n"/>
      <c r="B2151" s="61" t="n"/>
      <c r="C2151" s="58" t="n"/>
      <c r="D2151" s="58" t="n"/>
      <c r="E2151" s="64">
        <f>IF(tblCommentary[[#This Row],[Date]]="","",COUNTIFS(INDEX(tblCommentary[Date],1):tblCommentary[[#This Row],[Date]],tblCommentary[[#This Row],[Date]]))</f>
        <v/>
      </c>
      <c r="F2151" s="63">
        <f>IF(tblCommentary[[#This Row],[Date]]="","",tblCommentary[[#This Row],[Date]]&amp;"|"&amp;tblCommentary[[#This Row],[Seq_Day]])</f>
        <v/>
      </c>
    </row>
    <row r="2152">
      <c r="A2152" s="54" t="n"/>
      <c r="B2152" s="61" t="n"/>
      <c r="C2152" s="58" t="n"/>
      <c r="D2152" s="58" t="n"/>
      <c r="E2152" s="64">
        <f>IF(tblCommentary[[#This Row],[Date]]="","",COUNTIFS(INDEX(tblCommentary[Date],1):tblCommentary[[#This Row],[Date]],tblCommentary[[#This Row],[Date]]))</f>
        <v/>
      </c>
      <c r="F2152" s="63">
        <f>IF(tblCommentary[[#This Row],[Date]]="","",tblCommentary[[#This Row],[Date]]&amp;"|"&amp;tblCommentary[[#This Row],[Seq_Day]])</f>
        <v/>
      </c>
    </row>
    <row r="2153">
      <c r="A2153" s="54" t="n"/>
      <c r="B2153" s="61" t="n"/>
      <c r="C2153" s="58" t="n"/>
      <c r="D2153" s="58" t="n"/>
      <c r="E2153" s="64">
        <f>IF(tblCommentary[[#This Row],[Date]]="","",COUNTIFS(INDEX(tblCommentary[Date],1):tblCommentary[[#This Row],[Date]],tblCommentary[[#This Row],[Date]]))</f>
        <v/>
      </c>
      <c r="F2153" s="63">
        <f>IF(tblCommentary[[#This Row],[Date]]="","",tblCommentary[[#This Row],[Date]]&amp;"|"&amp;tblCommentary[[#This Row],[Seq_Day]])</f>
        <v/>
      </c>
    </row>
    <row r="2154">
      <c r="A2154" s="54" t="n"/>
      <c r="B2154" s="61" t="n"/>
      <c r="C2154" s="58" t="n"/>
      <c r="D2154" s="58" t="n"/>
      <c r="E2154" s="64">
        <f>IF(tblCommentary[[#This Row],[Date]]="","",COUNTIFS(INDEX(tblCommentary[Date],1):tblCommentary[[#This Row],[Date]],tblCommentary[[#This Row],[Date]]))</f>
        <v/>
      </c>
      <c r="F2154" s="63">
        <f>IF(tblCommentary[[#This Row],[Date]]="","",tblCommentary[[#This Row],[Date]]&amp;"|"&amp;tblCommentary[[#This Row],[Seq_Day]])</f>
        <v/>
      </c>
    </row>
    <row r="2155">
      <c r="A2155" s="54" t="n"/>
      <c r="B2155" s="61" t="n"/>
      <c r="C2155" s="58" t="n"/>
      <c r="D2155" s="58" t="n"/>
      <c r="E2155" s="64">
        <f>IF(tblCommentary[[#This Row],[Date]]="","",COUNTIFS(INDEX(tblCommentary[Date],1):tblCommentary[[#This Row],[Date]],tblCommentary[[#This Row],[Date]]))</f>
        <v/>
      </c>
      <c r="F2155" s="63">
        <f>IF(tblCommentary[[#This Row],[Date]]="","",tblCommentary[[#This Row],[Date]]&amp;"|"&amp;tblCommentary[[#This Row],[Seq_Day]])</f>
        <v/>
      </c>
    </row>
    <row r="2156">
      <c r="A2156" s="54" t="n"/>
      <c r="B2156" s="61" t="n"/>
      <c r="C2156" s="58" t="n"/>
      <c r="D2156" s="58" t="n"/>
      <c r="E2156" s="64">
        <f>IF(tblCommentary[[#This Row],[Date]]="","",COUNTIFS(INDEX(tblCommentary[Date],1):tblCommentary[[#This Row],[Date]],tblCommentary[[#This Row],[Date]]))</f>
        <v/>
      </c>
      <c r="F2156" s="63">
        <f>IF(tblCommentary[[#This Row],[Date]]="","",tblCommentary[[#This Row],[Date]]&amp;"|"&amp;tblCommentary[[#This Row],[Seq_Day]])</f>
        <v/>
      </c>
    </row>
    <row r="2157">
      <c r="A2157" s="54" t="n"/>
      <c r="B2157" s="61" t="n"/>
      <c r="C2157" s="58" t="n"/>
      <c r="D2157" s="58" t="n"/>
      <c r="E2157" s="64">
        <f>IF(tblCommentary[[#This Row],[Date]]="","",COUNTIFS(INDEX(tblCommentary[Date],1):tblCommentary[[#This Row],[Date]],tblCommentary[[#This Row],[Date]]))</f>
        <v/>
      </c>
      <c r="F2157" s="63">
        <f>IF(tblCommentary[[#This Row],[Date]]="","",tblCommentary[[#This Row],[Date]]&amp;"|"&amp;tblCommentary[[#This Row],[Seq_Day]])</f>
        <v/>
      </c>
    </row>
    <row r="2158">
      <c r="A2158" s="54" t="n"/>
      <c r="B2158" s="61" t="n"/>
      <c r="C2158" s="58" t="n"/>
      <c r="D2158" s="58" t="n"/>
      <c r="E2158" s="64">
        <f>IF(tblCommentary[[#This Row],[Date]]="","",COUNTIFS(INDEX(tblCommentary[Date],1):tblCommentary[[#This Row],[Date]],tblCommentary[[#This Row],[Date]]))</f>
        <v/>
      </c>
      <c r="F2158" s="63">
        <f>IF(tblCommentary[[#This Row],[Date]]="","",tblCommentary[[#This Row],[Date]]&amp;"|"&amp;tblCommentary[[#This Row],[Seq_Day]])</f>
        <v/>
      </c>
    </row>
    <row r="2159">
      <c r="A2159" s="54" t="n"/>
      <c r="B2159" s="61" t="n"/>
      <c r="C2159" s="58" t="n"/>
      <c r="D2159" s="58" t="n"/>
      <c r="E2159" s="64">
        <f>IF(tblCommentary[[#This Row],[Date]]="","",COUNTIFS(INDEX(tblCommentary[Date],1):tblCommentary[[#This Row],[Date]],tblCommentary[[#This Row],[Date]]))</f>
        <v/>
      </c>
      <c r="F2159" s="63">
        <f>IF(tblCommentary[[#This Row],[Date]]="","",tblCommentary[[#This Row],[Date]]&amp;"|"&amp;tblCommentary[[#This Row],[Seq_Day]])</f>
        <v/>
      </c>
    </row>
    <row r="2160">
      <c r="A2160" s="54" t="n"/>
      <c r="B2160" s="61" t="n"/>
      <c r="C2160" s="58" t="n"/>
      <c r="D2160" s="58" t="n"/>
      <c r="E2160" s="64">
        <f>IF(tblCommentary[[#This Row],[Date]]="","",COUNTIFS(INDEX(tblCommentary[Date],1):tblCommentary[[#This Row],[Date]],tblCommentary[[#This Row],[Date]]))</f>
        <v/>
      </c>
      <c r="F2160" s="63">
        <f>IF(tblCommentary[[#This Row],[Date]]="","",tblCommentary[[#This Row],[Date]]&amp;"|"&amp;tblCommentary[[#This Row],[Seq_Day]])</f>
        <v/>
      </c>
    </row>
    <row r="2161">
      <c r="A2161" s="54" t="n"/>
      <c r="B2161" s="61" t="n"/>
      <c r="C2161" s="58" t="n"/>
      <c r="D2161" s="58" t="n"/>
      <c r="E2161" s="64">
        <f>IF(tblCommentary[[#This Row],[Date]]="","",COUNTIFS(INDEX(tblCommentary[Date],1):tblCommentary[[#This Row],[Date]],tblCommentary[[#This Row],[Date]]))</f>
        <v/>
      </c>
      <c r="F2161" s="63">
        <f>IF(tblCommentary[[#This Row],[Date]]="","",tblCommentary[[#This Row],[Date]]&amp;"|"&amp;tblCommentary[[#This Row],[Seq_Day]])</f>
        <v/>
      </c>
    </row>
    <row r="2162">
      <c r="A2162" s="54" t="n"/>
      <c r="B2162" s="61" t="n"/>
      <c r="C2162" s="58" t="n"/>
      <c r="D2162" s="58" t="n"/>
      <c r="E2162" s="64">
        <f>IF(tblCommentary[[#This Row],[Date]]="","",COUNTIFS(INDEX(tblCommentary[Date],1):tblCommentary[[#This Row],[Date]],tblCommentary[[#This Row],[Date]]))</f>
        <v/>
      </c>
      <c r="F2162" s="63">
        <f>IF(tblCommentary[[#This Row],[Date]]="","",tblCommentary[[#This Row],[Date]]&amp;"|"&amp;tblCommentary[[#This Row],[Seq_Day]])</f>
        <v/>
      </c>
    </row>
    <row r="2163">
      <c r="A2163" s="54" t="n"/>
      <c r="B2163" s="61" t="n"/>
      <c r="C2163" s="58" t="n"/>
      <c r="D2163" s="58" t="n"/>
      <c r="E2163" s="64">
        <f>IF(tblCommentary[[#This Row],[Date]]="","",COUNTIFS(INDEX(tblCommentary[Date],1):tblCommentary[[#This Row],[Date]],tblCommentary[[#This Row],[Date]]))</f>
        <v/>
      </c>
      <c r="F2163" s="63">
        <f>IF(tblCommentary[[#This Row],[Date]]="","",tblCommentary[[#This Row],[Date]]&amp;"|"&amp;tblCommentary[[#This Row],[Seq_Day]])</f>
        <v/>
      </c>
    </row>
    <row r="2164">
      <c r="A2164" s="54" t="n"/>
      <c r="B2164" s="61" t="n"/>
      <c r="C2164" s="58" t="n"/>
      <c r="D2164" s="58" t="n"/>
      <c r="E2164" s="64">
        <f>IF(tblCommentary[[#This Row],[Date]]="","",COUNTIFS(INDEX(tblCommentary[Date],1):tblCommentary[[#This Row],[Date]],tblCommentary[[#This Row],[Date]]))</f>
        <v/>
      </c>
      <c r="F2164" s="63">
        <f>IF(tblCommentary[[#This Row],[Date]]="","",tblCommentary[[#This Row],[Date]]&amp;"|"&amp;tblCommentary[[#This Row],[Seq_Day]])</f>
        <v/>
      </c>
    </row>
    <row r="2165">
      <c r="A2165" s="54" t="n"/>
      <c r="B2165" s="61" t="n"/>
      <c r="C2165" s="58" t="n"/>
      <c r="D2165" s="58" t="n"/>
      <c r="E2165" s="64">
        <f>IF(tblCommentary[[#This Row],[Date]]="","",COUNTIFS(INDEX(tblCommentary[Date],1):tblCommentary[[#This Row],[Date]],tblCommentary[[#This Row],[Date]]))</f>
        <v/>
      </c>
      <c r="F2165" s="63">
        <f>IF(tblCommentary[[#This Row],[Date]]="","",tblCommentary[[#This Row],[Date]]&amp;"|"&amp;tblCommentary[[#This Row],[Seq_Day]])</f>
        <v/>
      </c>
    </row>
    <row r="2166">
      <c r="A2166" s="54" t="n"/>
      <c r="B2166" s="61" t="n"/>
      <c r="C2166" s="58" t="n"/>
      <c r="D2166" s="58" t="n"/>
      <c r="E2166" s="64">
        <f>IF(tblCommentary[[#This Row],[Date]]="","",COUNTIFS(INDEX(tblCommentary[Date],1):tblCommentary[[#This Row],[Date]],tblCommentary[[#This Row],[Date]]))</f>
        <v/>
      </c>
      <c r="F2166" s="63">
        <f>IF(tblCommentary[[#This Row],[Date]]="","",tblCommentary[[#This Row],[Date]]&amp;"|"&amp;tblCommentary[[#This Row],[Seq_Day]])</f>
        <v/>
      </c>
    </row>
    <row r="2167">
      <c r="A2167" s="54" t="n"/>
      <c r="B2167" s="61" t="n"/>
      <c r="C2167" s="58" t="n"/>
      <c r="D2167" s="58" t="n"/>
      <c r="E2167" s="64">
        <f>IF(tblCommentary[[#This Row],[Date]]="","",COUNTIFS(INDEX(tblCommentary[Date],1):tblCommentary[[#This Row],[Date]],tblCommentary[[#This Row],[Date]]))</f>
        <v/>
      </c>
      <c r="F2167" s="63">
        <f>IF(tblCommentary[[#This Row],[Date]]="","",tblCommentary[[#This Row],[Date]]&amp;"|"&amp;tblCommentary[[#This Row],[Seq_Day]])</f>
        <v/>
      </c>
    </row>
    <row r="2168">
      <c r="A2168" s="54" t="n"/>
      <c r="B2168" s="61" t="n"/>
      <c r="C2168" s="58" t="n"/>
      <c r="D2168" s="58" t="n"/>
      <c r="E2168" s="64">
        <f>IF(tblCommentary[[#This Row],[Date]]="","",COUNTIFS(INDEX(tblCommentary[Date],1):tblCommentary[[#This Row],[Date]],tblCommentary[[#This Row],[Date]]))</f>
        <v/>
      </c>
      <c r="F2168" s="63">
        <f>IF(tblCommentary[[#This Row],[Date]]="","",tblCommentary[[#This Row],[Date]]&amp;"|"&amp;tblCommentary[[#This Row],[Seq_Day]])</f>
        <v/>
      </c>
    </row>
    <row r="2169">
      <c r="A2169" s="54" t="n"/>
      <c r="B2169" s="61" t="n"/>
      <c r="C2169" s="58" t="n"/>
      <c r="D2169" s="58" t="n"/>
      <c r="E2169" s="64">
        <f>IF(tblCommentary[[#This Row],[Date]]="","",COUNTIFS(INDEX(tblCommentary[Date],1):tblCommentary[[#This Row],[Date]],tblCommentary[[#This Row],[Date]]))</f>
        <v/>
      </c>
      <c r="F2169" s="63">
        <f>IF(tblCommentary[[#This Row],[Date]]="","",tblCommentary[[#This Row],[Date]]&amp;"|"&amp;tblCommentary[[#This Row],[Seq_Day]])</f>
        <v/>
      </c>
    </row>
    <row r="2170">
      <c r="A2170" s="54" t="n"/>
      <c r="B2170" s="61" t="n"/>
      <c r="C2170" s="58" t="n"/>
      <c r="D2170" s="58" t="n"/>
      <c r="E2170" s="64">
        <f>IF(tblCommentary[[#This Row],[Date]]="","",COUNTIFS(INDEX(tblCommentary[Date],1):tblCommentary[[#This Row],[Date]],tblCommentary[[#This Row],[Date]]))</f>
        <v/>
      </c>
      <c r="F2170" s="63">
        <f>IF(tblCommentary[[#This Row],[Date]]="","",tblCommentary[[#This Row],[Date]]&amp;"|"&amp;tblCommentary[[#This Row],[Seq_Day]])</f>
        <v/>
      </c>
    </row>
    <row r="2171">
      <c r="A2171" s="54" t="n"/>
      <c r="B2171" s="61" t="n"/>
      <c r="C2171" s="58" t="n"/>
      <c r="D2171" s="58" t="n"/>
      <c r="E2171" s="64">
        <f>IF(tblCommentary[[#This Row],[Date]]="","",COUNTIFS(INDEX(tblCommentary[Date],1):tblCommentary[[#This Row],[Date]],tblCommentary[[#This Row],[Date]]))</f>
        <v/>
      </c>
      <c r="F2171" s="63">
        <f>IF(tblCommentary[[#This Row],[Date]]="","",tblCommentary[[#This Row],[Date]]&amp;"|"&amp;tblCommentary[[#This Row],[Seq_Day]])</f>
        <v/>
      </c>
    </row>
    <row r="2172">
      <c r="A2172" s="54" t="n"/>
      <c r="B2172" s="61" t="n"/>
      <c r="C2172" s="58" t="n"/>
      <c r="D2172" s="58" t="n"/>
      <c r="E2172" s="64">
        <f>IF(tblCommentary[[#This Row],[Date]]="","",COUNTIFS(INDEX(tblCommentary[Date],1):tblCommentary[[#This Row],[Date]],tblCommentary[[#This Row],[Date]]))</f>
        <v/>
      </c>
      <c r="F2172" s="63">
        <f>IF(tblCommentary[[#This Row],[Date]]="","",tblCommentary[[#This Row],[Date]]&amp;"|"&amp;tblCommentary[[#This Row],[Seq_Day]])</f>
        <v/>
      </c>
    </row>
    <row r="2173">
      <c r="A2173" s="54" t="n"/>
      <c r="B2173" s="61" t="n"/>
      <c r="C2173" s="58" t="n"/>
      <c r="D2173" s="58" t="n"/>
      <c r="E2173" s="64">
        <f>IF(tblCommentary[[#This Row],[Date]]="","",COUNTIFS(INDEX(tblCommentary[Date],1):tblCommentary[[#This Row],[Date]],tblCommentary[[#This Row],[Date]]))</f>
        <v/>
      </c>
      <c r="F2173" s="63">
        <f>IF(tblCommentary[[#This Row],[Date]]="","",tblCommentary[[#This Row],[Date]]&amp;"|"&amp;tblCommentary[[#This Row],[Seq_Day]])</f>
        <v/>
      </c>
    </row>
    <row r="2174">
      <c r="A2174" s="54" t="n"/>
      <c r="B2174" s="61" t="n"/>
      <c r="C2174" s="58" t="n"/>
      <c r="D2174" s="58" t="n"/>
      <c r="E2174" s="64">
        <f>IF(tblCommentary[[#This Row],[Date]]="","",COUNTIFS(INDEX(tblCommentary[Date],1):tblCommentary[[#This Row],[Date]],tblCommentary[[#This Row],[Date]]))</f>
        <v/>
      </c>
      <c r="F2174" s="63">
        <f>IF(tblCommentary[[#This Row],[Date]]="","",tblCommentary[[#This Row],[Date]]&amp;"|"&amp;tblCommentary[[#This Row],[Seq_Day]])</f>
        <v/>
      </c>
    </row>
    <row r="2175">
      <c r="A2175" s="54" t="n"/>
      <c r="B2175" s="61" t="n"/>
      <c r="C2175" s="58" t="n"/>
      <c r="D2175" s="58" t="n"/>
      <c r="E2175" s="64">
        <f>IF(tblCommentary[[#This Row],[Date]]="","",COUNTIFS(INDEX(tblCommentary[Date],1):tblCommentary[[#This Row],[Date]],tblCommentary[[#This Row],[Date]]))</f>
        <v/>
      </c>
      <c r="F2175" s="63">
        <f>IF(tblCommentary[[#This Row],[Date]]="","",tblCommentary[[#This Row],[Date]]&amp;"|"&amp;tblCommentary[[#This Row],[Seq_Day]])</f>
        <v/>
      </c>
    </row>
    <row r="2176">
      <c r="A2176" s="54" t="n"/>
      <c r="B2176" s="61" t="n"/>
      <c r="C2176" s="58" t="n"/>
      <c r="D2176" s="58" t="n"/>
      <c r="E2176" s="64">
        <f>IF(tblCommentary[[#This Row],[Date]]="","",COUNTIFS(INDEX(tblCommentary[Date],1):tblCommentary[[#This Row],[Date]],tblCommentary[[#This Row],[Date]]))</f>
        <v/>
      </c>
      <c r="F2176" s="63">
        <f>IF(tblCommentary[[#This Row],[Date]]="","",tblCommentary[[#This Row],[Date]]&amp;"|"&amp;tblCommentary[[#This Row],[Seq_Day]])</f>
        <v/>
      </c>
    </row>
    <row r="2177">
      <c r="A2177" s="54" t="n"/>
      <c r="B2177" s="61" t="n"/>
      <c r="C2177" s="58" t="n"/>
      <c r="D2177" s="58" t="n"/>
      <c r="E2177" s="64">
        <f>IF(tblCommentary[[#This Row],[Date]]="","",COUNTIFS(INDEX(tblCommentary[Date],1):tblCommentary[[#This Row],[Date]],tblCommentary[[#This Row],[Date]]))</f>
        <v/>
      </c>
      <c r="F2177" s="63">
        <f>IF(tblCommentary[[#This Row],[Date]]="","",tblCommentary[[#This Row],[Date]]&amp;"|"&amp;tblCommentary[[#This Row],[Seq_Day]])</f>
        <v/>
      </c>
    </row>
    <row r="2178">
      <c r="A2178" s="54" t="n"/>
      <c r="B2178" s="61" t="n"/>
      <c r="C2178" s="58" t="n"/>
      <c r="D2178" s="58" t="n"/>
      <c r="E2178" s="64">
        <f>IF(tblCommentary[[#This Row],[Date]]="","",COUNTIFS(INDEX(tblCommentary[Date],1):tblCommentary[[#This Row],[Date]],tblCommentary[[#This Row],[Date]]))</f>
        <v/>
      </c>
      <c r="F2178" s="63">
        <f>IF(tblCommentary[[#This Row],[Date]]="","",tblCommentary[[#This Row],[Date]]&amp;"|"&amp;tblCommentary[[#This Row],[Seq_Day]])</f>
        <v/>
      </c>
    </row>
    <row r="2179">
      <c r="A2179" s="54" t="n"/>
      <c r="B2179" s="61" t="n"/>
      <c r="C2179" s="58" t="n"/>
      <c r="D2179" s="58" t="n"/>
      <c r="E2179" s="64">
        <f>IF(tblCommentary[[#This Row],[Date]]="","",COUNTIFS(INDEX(tblCommentary[Date],1):tblCommentary[[#This Row],[Date]],tblCommentary[[#This Row],[Date]]))</f>
        <v/>
      </c>
      <c r="F2179" s="63">
        <f>IF(tblCommentary[[#This Row],[Date]]="","",tblCommentary[[#This Row],[Date]]&amp;"|"&amp;tblCommentary[[#This Row],[Seq_Day]])</f>
        <v/>
      </c>
    </row>
    <row r="2180">
      <c r="A2180" s="54" t="n"/>
      <c r="B2180" s="61" t="n"/>
      <c r="C2180" s="58" t="n"/>
      <c r="D2180" s="58" t="n"/>
      <c r="E2180" s="64">
        <f>IF(tblCommentary[[#This Row],[Date]]="","",COUNTIFS(INDEX(tblCommentary[Date],1):tblCommentary[[#This Row],[Date]],tblCommentary[[#This Row],[Date]]))</f>
        <v/>
      </c>
      <c r="F2180" s="63">
        <f>IF(tblCommentary[[#This Row],[Date]]="","",tblCommentary[[#This Row],[Date]]&amp;"|"&amp;tblCommentary[[#This Row],[Seq_Day]])</f>
        <v/>
      </c>
    </row>
    <row r="2181">
      <c r="A2181" s="54" t="n"/>
      <c r="B2181" s="61" t="n"/>
      <c r="C2181" s="58" t="n"/>
      <c r="D2181" s="58" t="n"/>
      <c r="E2181" s="64">
        <f>IF(tblCommentary[[#This Row],[Date]]="","",COUNTIFS(INDEX(tblCommentary[Date],1):tblCommentary[[#This Row],[Date]],tblCommentary[[#This Row],[Date]]))</f>
        <v/>
      </c>
      <c r="F2181" s="63">
        <f>IF(tblCommentary[[#This Row],[Date]]="","",tblCommentary[[#This Row],[Date]]&amp;"|"&amp;tblCommentary[[#This Row],[Seq_Day]])</f>
        <v/>
      </c>
    </row>
    <row r="2182">
      <c r="A2182" s="54" t="n"/>
      <c r="B2182" s="61" t="n"/>
      <c r="C2182" s="58" t="n"/>
      <c r="D2182" s="58" t="n"/>
      <c r="E2182" s="64">
        <f>IF(tblCommentary[[#This Row],[Date]]="","",COUNTIFS(INDEX(tblCommentary[Date],1):tblCommentary[[#This Row],[Date]],tblCommentary[[#This Row],[Date]]))</f>
        <v/>
      </c>
      <c r="F2182" s="63">
        <f>IF(tblCommentary[[#This Row],[Date]]="","",tblCommentary[[#This Row],[Date]]&amp;"|"&amp;tblCommentary[[#This Row],[Seq_Day]])</f>
        <v/>
      </c>
    </row>
    <row r="2183">
      <c r="A2183" s="54" t="n"/>
      <c r="B2183" s="61" t="n"/>
      <c r="C2183" s="58" t="n"/>
      <c r="D2183" s="58" t="n"/>
      <c r="E2183" s="64">
        <f>IF(tblCommentary[[#This Row],[Date]]="","",COUNTIFS(INDEX(tblCommentary[Date],1):tblCommentary[[#This Row],[Date]],tblCommentary[[#This Row],[Date]]))</f>
        <v/>
      </c>
      <c r="F2183" s="63">
        <f>IF(tblCommentary[[#This Row],[Date]]="","",tblCommentary[[#This Row],[Date]]&amp;"|"&amp;tblCommentary[[#This Row],[Seq_Day]])</f>
        <v/>
      </c>
    </row>
    <row r="2184">
      <c r="A2184" s="54" t="n"/>
      <c r="B2184" s="61" t="n"/>
      <c r="C2184" s="58" t="n"/>
      <c r="D2184" s="58" t="n"/>
      <c r="E2184" s="64">
        <f>IF(tblCommentary[[#This Row],[Date]]="","",COUNTIFS(INDEX(tblCommentary[Date],1):tblCommentary[[#This Row],[Date]],tblCommentary[[#This Row],[Date]]))</f>
        <v/>
      </c>
      <c r="F2184" s="63">
        <f>IF(tblCommentary[[#This Row],[Date]]="","",tblCommentary[[#This Row],[Date]]&amp;"|"&amp;tblCommentary[[#This Row],[Seq_Day]])</f>
        <v/>
      </c>
    </row>
    <row r="2185">
      <c r="A2185" s="54" t="n"/>
      <c r="B2185" s="61" t="n"/>
      <c r="C2185" s="58" t="n"/>
      <c r="D2185" s="58" t="n"/>
      <c r="E2185" s="64">
        <f>IF(tblCommentary[[#This Row],[Date]]="","",COUNTIFS(INDEX(tblCommentary[Date],1):tblCommentary[[#This Row],[Date]],tblCommentary[[#This Row],[Date]]))</f>
        <v/>
      </c>
      <c r="F2185" s="63">
        <f>IF(tblCommentary[[#This Row],[Date]]="","",tblCommentary[[#This Row],[Date]]&amp;"|"&amp;tblCommentary[[#This Row],[Seq_Day]])</f>
        <v/>
      </c>
    </row>
    <row r="2186">
      <c r="A2186" s="54" t="n"/>
      <c r="B2186" s="61" t="n"/>
      <c r="C2186" s="58" t="n"/>
      <c r="D2186" s="58" t="n"/>
      <c r="E2186" s="64">
        <f>IF(tblCommentary[[#This Row],[Date]]="","",COUNTIFS(INDEX(tblCommentary[Date],1):tblCommentary[[#This Row],[Date]],tblCommentary[[#This Row],[Date]]))</f>
        <v/>
      </c>
      <c r="F2186" s="63">
        <f>IF(tblCommentary[[#This Row],[Date]]="","",tblCommentary[[#This Row],[Date]]&amp;"|"&amp;tblCommentary[[#This Row],[Seq_Day]])</f>
        <v/>
      </c>
    </row>
    <row r="2187">
      <c r="A2187" s="54" t="n"/>
      <c r="B2187" s="61" t="n"/>
      <c r="C2187" s="58" t="n"/>
      <c r="D2187" s="58" t="n"/>
      <c r="E2187" s="64">
        <f>IF(tblCommentary[[#This Row],[Date]]="","",COUNTIFS(INDEX(tblCommentary[Date],1):tblCommentary[[#This Row],[Date]],tblCommentary[[#This Row],[Date]]))</f>
        <v/>
      </c>
      <c r="F2187" s="63">
        <f>IF(tblCommentary[[#This Row],[Date]]="","",tblCommentary[[#This Row],[Date]]&amp;"|"&amp;tblCommentary[[#This Row],[Seq_Day]])</f>
        <v/>
      </c>
    </row>
    <row r="2188">
      <c r="A2188" s="54" t="n"/>
      <c r="B2188" s="61" t="n"/>
      <c r="C2188" s="58" t="n"/>
      <c r="D2188" s="58" t="n"/>
      <c r="E2188" s="64">
        <f>IF(tblCommentary[[#This Row],[Date]]="","",COUNTIFS(INDEX(tblCommentary[Date],1):tblCommentary[[#This Row],[Date]],tblCommentary[[#This Row],[Date]]))</f>
        <v/>
      </c>
      <c r="F2188" s="63">
        <f>IF(tblCommentary[[#This Row],[Date]]="","",tblCommentary[[#This Row],[Date]]&amp;"|"&amp;tblCommentary[[#This Row],[Seq_Day]])</f>
        <v/>
      </c>
    </row>
    <row r="2189">
      <c r="A2189" s="54" t="n"/>
      <c r="B2189" s="61" t="n"/>
      <c r="C2189" s="58" t="n"/>
      <c r="D2189" s="58" t="n"/>
      <c r="E2189" s="64">
        <f>IF(tblCommentary[[#This Row],[Date]]="","",COUNTIFS(INDEX(tblCommentary[Date],1):tblCommentary[[#This Row],[Date]],tblCommentary[[#This Row],[Date]]))</f>
        <v/>
      </c>
      <c r="F2189" s="63">
        <f>IF(tblCommentary[[#This Row],[Date]]="","",tblCommentary[[#This Row],[Date]]&amp;"|"&amp;tblCommentary[[#This Row],[Seq_Day]])</f>
        <v/>
      </c>
    </row>
    <row r="2190">
      <c r="A2190" s="54" t="n"/>
      <c r="B2190" s="61" t="n"/>
      <c r="C2190" s="58" t="n"/>
      <c r="D2190" s="58" t="n"/>
      <c r="E2190" s="64">
        <f>IF(tblCommentary[[#This Row],[Date]]="","",COUNTIFS(INDEX(tblCommentary[Date],1):tblCommentary[[#This Row],[Date]],tblCommentary[[#This Row],[Date]]))</f>
        <v/>
      </c>
      <c r="F2190" s="63">
        <f>IF(tblCommentary[[#This Row],[Date]]="","",tblCommentary[[#This Row],[Date]]&amp;"|"&amp;tblCommentary[[#This Row],[Seq_Day]])</f>
        <v/>
      </c>
    </row>
    <row r="2191">
      <c r="A2191" s="54" t="n"/>
      <c r="B2191" s="61" t="n"/>
      <c r="C2191" s="58" t="n"/>
      <c r="D2191" s="58" t="n"/>
      <c r="E2191" s="64">
        <f>IF(tblCommentary[[#This Row],[Date]]="","",COUNTIFS(INDEX(tblCommentary[Date],1):tblCommentary[[#This Row],[Date]],tblCommentary[[#This Row],[Date]]))</f>
        <v/>
      </c>
      <c r="F2191" s="63">
        <f>IF(tblCommentary[[#This Row],[Date]]="","",tblCommentary[[#This Row],[Date]]&amp;"|"&amp;tblCommentary[[#This Row],[Seq_Day]])</f>
        <v/>
      </c>
    </row>
    <row r="2192">
      <c r="A2192" s="54" t="n"/>
      <c r="B2192" s="61" t="n"/>
      <c r="C2192" s="58" t="n"/>
      <c r="D2192" s="58" t="n"/>
      <c r="E2192" s="64">
        <f>IF(tblCommentary[[#This Row],[Date]]="","",COUNTIFS(INDEX(tblCommentary[Date],1):tblCommentary[[#This Row],[Date]],tblCommentary[[#This Row],[Date]]))</f>
        <v/>
      </c>
      <c r="F2192" s="63">
        <f>IF(tblCommentary[[#This Row],[Date]]="","",tblCommentary[[#This Row],[Date]]&amp;"|"&amp;tblCommentary[[#This Row],[Seq_Day]])</f>
        <v/>
      </c>
    </row>
    <row r="2193">
      <c r="A2193" s="54" t="n"/>
      <c r="B2193" s="61" t="n"/>
      <c r="C2193" s="58" t="n"/>
      <c r="D2193" s="58" t="n"/>
      <c r="E2193" s="64">
        <f>IF(tblCommentary[[#This Row],[Date]]="","",COUNTIFS(INDEX(tblCommentary[Date],1):tblCommentary[[#This Row],[Date]],tblCommentary[[#This Row],[Date]]))</f>
        <v/>
      </c>
      <c r="F2193" s="63">
        <f>IF(tblCommentary[[#This Row],[Date]]="","",tblCommentary[[#This Row],[Date]]&amp;"|"&amp;tblCommentary[[#This Row],[Seq_Day]])</f>
        <v/>
      </c>
    </row>
    <row r="2194">
      <c r="A2194" s="54" t="n"/>
      <c r="B2194" s="61" t="n"/>
      <c r="C2194" s="58" t="n"/>
      <c r="D2194" s="58" t="n"/>
      <c r="E2194" s="64">
        <f>IF(tblCommentary[[#This Row],[Date]]="","",COUNTIFS(INDEX(tblCommentary[Date],1):tblCommentary[[#This Row],[Date]],tblCommentary[[#This Row],[Date]]))</f>
        <v/>
      </c>
      <c r="F2194" s="63">
        <f>IF(tblCommentary[[#This Row],[Date]]="","",tblCommentary[[#This Row],[Date]]&amp;"|"&amp;tblCommentary[[#This Row],[Seq_Day]])</f>
        <v/>
      </c>
    </row>
    <row r="2195">
      <c r="A2195" s="54" t="n"/>
      <c r="B2195" s="61" t="n"/>
      <c r="C2195" s="58" t="n"/>
      <c r="D2195" s="58" t="n"/>
      <c r="E2195" s="64">
        <f>IF(tblCommentary[[#This Row],[Date]]="","",COUNTIFS(INDEX(tblCommentary[Date],1):tblCommentary[[#This Row],[Date]],tblCommentary[[#This Row],[Date]]))</f>
        <v/>
      </c>
      <c r="F2195" s="63">
        <f>IF(tblCommentary[[#This Row],[Date]]="","",tblCommentary[[#This Row],[Date]]&amp;"|"&amp;tblCommentary[[#This Row],[Seq_Day]])</f>
        <v/>
      </c>
    </row>
    <row r="2196">
      <c r="A2196" s="54" t="n"/>
      <c r="B2196" s="61" t="n"/>
      <c r="C2196" s="58" t="n"/>
      <c r="D2196" s="58" t="n"/>
      <c r="E2196" s="64">
        <f>IF(tblCommentary[[#This Row],[Date]]="","",COUNTIFS(INDEX(tblCommentary[Date],1):tblCommentary[[#This Row],[Date]],tblCommentary[[#This Row],[Date]]))</f>
        <v/>
      </c>
      <c r="F2196" s="63">
        <f>IF(tblCommentary[[#This Row],[Date]]="","",tblCommentary[[#This Row],[Date]]&amp;"|"&amp;tblCommentary[[#This Row],[Seq_Day]])</f>
        <v/>
      </c>
    </row>
    <row r="2197">
      <c r="A2197" s="54" t="n"/>
      <c r="B2197" s="61" t="n"/>
      <c r="C2197" s="58" t="n"/>
      <c r="D2197" s="58" t="n"/>
      <c r="E2197" s="64">
        <f>IF(tblCommentary[[#This Row],[Date]]="","",COUNTIFS(INDEX(tblCommentary[Date],1):tblCommentary[[#This Row],[Date]],tblCommentary[[#This Row],[Date]]))</f>
        <v/>
      </c>
      <c r="F2197" s="63">
        <f>IF(tblCommentary[[#This Row],[Date]]="","",tblCommentary[[#This Row],[Date]]&amp;"|"&amp;tblCommentary[[#This Row],[Seq_Day]])</f>
        <v/>
      </c>
    </row>
    <row r="2198">
      <c r="A2198" s="54" t="n"/>
      <c r="B2198" s="61" t="n"/>
      <c r="C2198" s="58" t="n"/>
      <c r="D2198" s="58" t="n"/>
      <c r="E2198" s="64">
        <f>IF(tblCommentary[[#This Row],[Date]]="","",COUNTIFS(INDEX(tblCommentary[Date],1):tblCommentary[[#This Row],[Date]],tblCommentary[[#This Row],[Date]]))</f>
        <v/>
      </c>
      <c r="F2198" s="63">
        <f>IF(tblCommentary[[#This Row],[Date]]="","",tblCommentary[[#This Row],[Date]]&amp;"|"&amp;tblCommentary[[#This Row],[Seq_Day]])</f>
        <v/>
      </c>
    </row>
    <row r="2199">
      <c r="A2199" s="54" t="n"/>
      <c r="B2199" s="61" t="n"/>
      <c r="C2199" s="58" t="n"/>
      <c r="D2199" s="58" t="n"/>
      <c r="E2199" s="64">
        <f>IF(tblCommentary[[#This Row],[Date]]="","",COUNTIFS(INDEX(tblCommentary[Date],1):tblCommentary[[#This Row],[Date]],tblCommentary[[#This Row],[Date]]))</f>
        <v/>
      </c>
      <c r="F2199" s="63">
        <f>IF(tblCommentary[[#This Row],[Date]]="","",tblCommentary[[#This Row],[Date]]&amp;"|"&amp;tblCommentary[[#This Row],[Seq_Day]])</f>
        <v/>
      </c>
    </row>
    <row r="2200">
      <c r="A2200" s="54" t="n"/>
      <c r="B2200" s="61" t="n"/>
      <c r="C2200" s="58" t="n"/>
      <c r="D2200" s="58" t="n"/>
      <c r="E2200" s="64">
        <f>IF(tblCommentary[[#This Row],[Date]]="","",COUNTIFS(INDEX(tblCommentary[Date],1):tblCommentary[[#This Row],[Date]],tblCommentary[[#This Row],[Date]]))</f>
        <v/>
      </c>
      <c r="F2200" s="63">
        <f>IF(tblCommentary[[#This Row],[Date]]="","",tblCommentary[[#This Row],[Date]]&amp;"|"&amp;tblCommentary[[#This Row],[Seq_Day]])</f>
        <v/>
      </c>
    </row>
    <row r="2201">
      <c r="A2201" s="54" t="n"/>
      <c r="B2201" s="61" t="n"/>
      <c r="C2201" s="58" t="n"/>
      <c r="D2201" s="58" t="n"/>
      <c r="E2201" s="64">
        <f>IF(tblCommentary[[#This Row],[Date]]="","",COUNTIFS(INDEX(tblCommentary[Date],1):tblCommentary[[#This Row],[Date]],tblCommentary[[#This Row],[Date]]))</f>
        <v/>
      </c>
      <c r="F2201" s="63">
        <f>IF(tblCommentary[[#This Row],[Date]]="","",tblCommentary[[#This Row],[Date]]&amp;"|"&amp;tblCommentary[[#This Row],[Seq_Day]])</f>
        <v/>
      </c>
    </row>
    <row r="2202">
      <c r="A2202" s="54" t="n"/>
      <c r="B2202" s="61" t="n"/>
      <c r="C2202" s="58" t="n"/>
      <c r="D2202" s="58" t="n"/>
      <c r="E2202" s="64">
        <f>IF(tblCommentary[[#This Row],[Date]]="","",COUNTIFS(INDEX(tblCommentary[Date],1):tblCommentary[[#This Row],[Date]],tblCommentary[[#This Row],[Date]]))</f>
        <v/>
      </c>
      <c r="F2202" s="63">
        <f>IF(tblCommentary[[#This Row],[Date]]="","",tblCommentary[[#This Row],[Date]]&amp;"|"&amp;tblCommentary[[#This Row],[Seq_Day]])</f>
        <v/>
      </c>
    </row>
    <row r="2203">
      <c r="A2203" s="54" t="n"/>
      <c r="B2203" s="61" t="n"/>
      <c r="C2203" s="58" t="n"/>
      <c r="D2203" s="58" t="n"/>
      <c r="E2203" s="64">
        <f>IF(tblCommentary[[#This Row],[Date]]="","",COUNTIFS(INDEX(tblCommentary[Date],1):tblCommentary[[#This Row],[Date]],tblCommentary[[#This Row],[Date]]))</f>
        <v/>
      </c>
      <c r="F2203" s="63">
        <f>IF(tblCommentary[[#This Row],[Date]]="","",tblCommentary[[#This Row],[Date]]&amp;"|"&amp;tblCommentary[[#This Row],[Seq_Day]])</f>
        <v/>
      </c>
    </row>
    <row r="2204">
      <c r="A2204" s="54" t="n"/>
      <c r="B2204" s="61" t="n"/>
      <c r="C2204" s="58" t="n"/>
      <c r="D2204" s="58" t="n"/>
      <c r="E2204" s="64">
        <f>IF(tblCommentary[[#This Row],[Date]]="","",COUNTIFS(INDEX(tblCommentary[Date],1):tblCommentary[[#This Row],[Date]],tblCommentary[[#This Row],[Date]]))</f>
        <v/>
      </c>
      <c r="F2204" s="63">
        <f>IF(tblCommentary[[#This Row],[Date]]="","",tblCommentary[[#This Row],[Date]]&amp;"|"&amp;tblCommentary[[#This Row],[Seq_Day]])</f>
        <v/>
      </c>
    </row>
    <row r="2205">
      <c r="A2205" s="54" t="n"/>
      <c r="B2205" s="61" t="n"/>
      <c r="C2205" s="58" t="n"/>
      <c r="D2205" s="58" t="n"/>
      <c r="E2205" s="64">
        <f>IF(tblCommentary[[#This Row],[Date]]="","",COUNTIFS(INDEX(tblCommentary[Date],1):tblCommentary[[#This Row],[Date]],tblCommentary[[#This Row],[Date]]))</f>
        <v/>
      </c>
      <c r="F2205" s="63">
        <f>IF(tblCommentary[[#This Row],[Date]]="","",tblCommentary[[#This Row],[Date]]&amp;"|"&amp;tblCommentary[[#This Row],[Seq_Day]])</f>
        <v/>
      </c>
    </row>
    <row r="2206">
      <c r="A2206" s="54" t="n"/>
      <c r="B2206" s="61" t="n"/>
      <c r="C2206" s="58" t="n"/>
      <c r="D2206" s="58" t="n"/>
      <c r="E2206" s="64">
        <f>IF(tblCommentary[[#This Row],[Date]]="","",COUNTIFS(INDEX(tblCommentary[Date],1):tblCommentary[[#This Row],[Date]],tblCommentary[[#This Row],[Date]]))</f>
        <v/>
      </c>
      <c r="F2206" s="63">
        <f>IF(tblCommentary[[#This Row],[Date]]="","",tblCommentary[[#This Row],[Date]]&amp;"|"&amp;tblCommentary[[#This Row],[Seq_Day]])</f>
        <v/>
      </c>
    </row>
    <row r="2207">
      <c r="A2207" s="54" t="n"/>
      <c r="B2207" s="61" t="n"/>
      <c r="C2207" s="58" t="n"/>
      <c r="D2207" s="58" t="n"/>
      <c r="E2207" s="64">
        <f>IF(tblCommentary[[#This Row],[Date]]="","",COUNTIFS(INDEX(tblCommentary[Date],1):tblCommentary[[#This Row],[Date]],tblCommentary[[#This Row],[Date]]))</f>
        <v/>
      </c>
      <c r="F2207" s="63">
        <f>IF(tblCommentary[[#This Row],[Date]]="","",tblCommentary[[#This Row],[Date]]&amp;"|"&amp;tblCommentary[[#This Row],[Seq_Day]])</f>
        <v/>
      </c>
    </row>
    <row r="2208">
      <c r="A2208" s="54" t="n"/>
      <c r="B2208" s="61" t="n"/>
      <c r="C2208" s="58" t="n"/>
      <c r="D2208" s="58" t="n"/>
      <c r="E2208" s="64">
        <f>IF(tblCommentary[[#This Row],[Date]]="","",COUNTIFS(INDEX(tblCommentary[Date],1):tblCommentary[[#This Row],[Date]],tblCommentary[[#This Row],[Date]]))</f>
        <v/>
      </c>
      <c r="F2208" s="63">
        <f>IF(tblCommentary[[#This Row],[Date]]="","",tblCommentary[[#This Row],[Date]]&amp;"|"&amp;tblCommentary[[#This Row],[Seq_Day]])</f>
        <v/>
      </c>
    </row>
    <row r="2209">
      <c r="A2209" s="54" t="n"/>
      <c r="B2209" s="61" t="n"/>
      <c r="C2209" s="58" t="n"/>
      <c r="D2209" s="58" t="n"/>
      <c r="E2209" s="64">
        <f>IF(tblCommentary[[#This Row],[Date]]="","",COUNTIFS(INDEX(tblCommentary[Date],1):tblCommentary[[#This Row],[Date]],tblCommentary[[#This Row],[Date]]))</f>
        <v/>
      </c>
      <c r="F2209" s="63">
        <f>IF(tblCommentary[[#This Row],[Date]]="","",tblCommentary[[#This Row],[Date]]&amp;"|"&amp;tblCommentary[[#This Row],[Seq_Day]])</f>
        <v/>
      </c>
    </row>
    <row r="2210">
      <c r="A2210" s="54" t="n"/>
      <c r="B2210" s="61" t="n"/>
      <c r="C2210" s="58" t="n"/>
      <c r="D2210" s="58" t="n"/>
      <c r="E2210" s="64">
        <f>IF(tblCommentary[[#This Row],[Date]]="","",COUNTIFS(INDEX(tblCommentary[Date],1):tblCommentary[[#This Row],[Date]],tblCommentary[[#This Row],[Date]]))</f>
        <v/>
      </c>
      <c r="F2210" s="63">
        <f>IF(tblCommentary[[#This Row],[Date]]="","",tblCommentary[[#This Row],[Date]]&amp;"|"&amp;tblCommentary[[#This Row],[Seq_Day]])</f>
        <v/>
      </c>
    </row>
    <row r="2211">
      <c r="A2211" s="54" t="n"/>
      <c r="B2211" s="61" t="n"/>
      <c r="C2211" s="58" t="n"/>
      <c r="D2211" s="58" t="n"/>
      <c r="E2211" s="64">
        <f>IF(tblCommentary[[#This Row],[Date]]="","",COUNTIFS(INDEX(tblCommentary[Date],1):tblCommentary[[#This Row],[Date]],tblCommentary[[#This Row],[Date]]))</f>
        <v/>
      </c>
      <c r="F2211" s="63">
        <f>IF(tblCommentary[[#This Row],[Date]]="","",tblCommentary[[#This Row],[Date]]&amp;"|"&amp;tblCommentary[[#This Row],[Seq_Day]])</f>
        <v/>
      </c>
    </row>
    <row r="2212">
      <c r="A2212" s="54" t="n"/>
      <c r="B2212" s="61" t="n"/>
      <c r="C2212" s="58" t="n"/>
      <c r="D2212" s="58" t="n"/>
      <c r="E2212" s="64">
        <f>IF(tblCommentary[[#This Row],[Date]]="","",COUNTIFS(INDEX(tblCommentary[Date],1):tblCommentary[[#This Row],[Date]],tblCommentary[[#This Row],[Date]]))</f>
        <v/>
      </c>
      <c r="F2212" s="63">
        <f>IF(tblCommentary[[#This Row],[Date]]="","",tblCommentary[[#This Row],[Date]]&amp;"|"&amp;tblCommentary[[#This Row],[Seq_Day]])</f>
        <v/>
      </c>
    </row>
    <row r="2213">
      <c r="A2213" s="54" t="n"/>
      <c r="B2213" s="61" t="n"/>
      <c r="C2213" s="58" t="n"/>
      <c r="D2213" s="58" t="n"/>
      <c r="E2213" s="64">
        <f>IF(tblCommentary[[#This Row],[Date]]="","",COUNTIFS(INDEX(tblCommentary[Date],1):tblCommentary[[#This Row],[Date]],tblCommentary[[#This Row],[Date]]))</f>
        <v/>
      </c>
      <c r="F2213" s="63">
        <f>IF(tblCommentary[[#This Row],[Date]]="","",tblCommentary[[#This Row],[Date]]&amp;"|"&amp;tblCommentary[[#This Row],[Seq_Day]])</f>
        <v/>
      </c>
    </row>
    <row r="2214">
      <c r="A2214" s="54" t="n"/>
      <c r="B2214" s="61" t="n"/>
      <c r="C2214" s="58" t="n"/>
      <c r="D2214" s="58" t="n"/>
      <c r="E2214" s="64">
        <f>IF(tblCommentary[[#This Row],[Date]]="","",COUNTIFS(INDEX(tblCommentary[Date],1):tblCommentary[[#This Row],[Date]],tblCommentary[[#This Row],[Date]]))</f>
        <v/>
      </c>
      <c r="F2214" s="63">
        <f>IF(tblCommentary[[#This Row],[Date]]="","",tblCommentary[[#This Row],[Date]]&amp;"|"&amp;tblCommentary[[#This Row],[Seq_Day]])</f>
        <v/>
      </c>
    </row>
    <row r="2215">
      <c r="A2215" s="54" t="n"/>
      <c r="B2215" s="61" t="n"/>
      <c r="C2215" s="58" t="n"/>
      <c r="D2215" s="58" t="n"/>
      <c r="E2215" s="64">
        <f>IF(tblCommentary[[#This Row],[Date]]="","",COUNTIFS(INDEX(tblCommentary[Date],1):tblCommentary[[#This Row],[Date]],tblCommentary[[#This Row],[Date]]))</f>
        <v/>
      </c>
      <c r="F2215" s="63">
        <f>IF(tblCommentary[[#This Row],[Date]]="","",tblCommentary[[#This Row],[Date]]&amp;"|"&amp;tblCommentary[[#This Row],[Seq_Day]])</f>
        <v/>
      </c>
    </row>
    <row r="2216">
      <c r="A2216" s="54" t="n"/>
      <c r="B2216" s="61" t="n"/>
      <c r="C2216" s="58" t="n"/>
      <c r="D2216" s="58" t="n"/>
      <c r="E2216" s="64">
        <f>IF(tblCommentary[[#This Row],[Date]]="","",COUNTIFS(INDEX(tblCommentary[Date],1):tblCommentary[[#This Row],[Date]],tblCommentary[[#This Row],[Date]]))</f>
        <v/>
      </c>
      <c r="F2216" s="63">
        <f>IF(tblCommentary[[#This Row],[Date]]="","",tblCommentary[[#This Row],[Date]]&amp;"|"&amp;tblCommentary[[#This Row],[Seq_Day]])</f>
        <v/>
      </c>
    </row>
    <row r="2217">
      <c r="A2217" s="54" t="n"/>
      <c r="B2217" s="61" t="n"/>
      <c r="C2217" s="58" t="n"/>
      <c r="D2217" s="58" t="n"/>
      <c r="E2217" s="64">
        <f>IF(tblCommentary[[#This Row],[Date]]="","",COUNTIFS(INDEX(tblCommentary[Date],1):tblCommentary[[#This Row],[Date]],tblCommentary[[#This Row],[Date]]))</f>
        <v/>
      </c>
      <c r="F2217" s="63">
        <f>IF(tblCommentary[[#This Row],[Date]]="","",tblCommentary[[#This Row],[Date]]&amp;"|"&amp;tblCommentary[[#This Row],[Seq_Day]])</f>
        <v/>
      </c>
    </row>
    <row r="2218">
      <c r="A2218" s="54" t="n"/>
      <c r="B2218" s="61" t="n"/>
      <c r="C2218" s="58" t="n"/>
      <c r="D2218" s="58" t="n"/>
      <c r="E2218" s="64">
        <f>IF(tblCommentary[[#This Row],[Date]]="","",COUNTIFS(INDEX(tblCommentary[Date],1):tblCommentary[[#This Row],[Date]],tblCommentary[[#This Row],[Date]]))</f>
        <v/>
      </c>
      <c r="F2218" s="63">
        <f>IF(tblCommentary[[#This Row],[Date]]="","",tblCommentary[[#This Row],[Date]]&amp;"|"&amp;tblCommentary[[#This Row],[Seq_Day]])</f>
        <v/>
      </c>
    </row>
    <row r="2219">
      <c r="A2219" s="54" t="n"/>
      <c r="B2219" s="61" t="n"/>
      <c r="C2219" s="58" t="n"/>
      <c r="D2219" s="58" t="n"/>
      <c r="E2219" s="64">
        <f>IF(tblCommentary[[#This Row],[Date]]="","",COUNTIFS(INDEX(tblCommentary[Date],1):tblCommentary[[#This Row],[Date]],tblCommentary[[#This Row],[Date]]))</f>
        <v/>
      </c>
      <c r="F2219" s="63">
        <f>IF(tblCommentary[[#This Row],[Date]]="","",tblCommentary[[#This Row],[Date]]&amp;"|"&amp;tblCommentary[[#This Row],[Seq_Day]])</f>
        <v/>
      </c>
    </row>
    <row r="2220">
      <c r="A2220" s="54" t="n"/>
      <c r="B2220" s="61" t="n"/>
      <c r="C2220" s="58" t="n"/>
      <c r="D2220" s="58" t="n"/>
      <c r="E2220" s="64">
        <f>IF(tblCommentary[[#This Row],[Date]]="","",COUNTIFS(INDEX(tblCommentary[Date],1):tblCommentary[[#This Row],[Date]],tblCommentary[[#This Row],[Date]]))</f>
        <v/>
      </c>
      <c r="F2220" s="63">
        <f>IF(tblCommentary[[#This Row],[Date]]="","",tblCommentary[[#This Row],[Date]]&amp;"|"&amp;tblCommentary[[#This Row],[Seq_Day]])</f>
        <v/>
      </c>
    </row>
    <row r="2221">
      <c r="A2221" s="54" t="n"/>
      <c r="B2221" s="61" t="n"/>
      <c r="C2221" s="58" t="n"/>
      <c r="D2221" s="58" t="n"/>
      <c r="E2221" s="64">
        <f>IF(tblCommentary[[#This Row],[Date]]="","",COUNTIFS(INDEX(tblCommentary[Date],1):tblCommentary[[#This Row],[Date]],tblCommentary[[#This Row],[Date]]))</f>
        <v/>
      </c>
      <c r="F2221" s="63">
        <f>IF(tblCommentary[[#This Row],[Date]]="","",tblCommentary[[#This Row],[Date]]&amp;"|"&amp;tblCommentary[[#This Row],[Seq_Day]])</f>
        <v/>
      </c>
    </row>
    <row r="2222">
      <c r="A2222" s="54" t="n"/>
      <c r="B2222" s="61" t="n"/>
      <c r="C2222" s="58" t="n"/>
      <c r="D2222" s="58" t="n"/>
      <c r="E2222" s="64">
        <f>IF(tblCommentary[[#This Row],[Date]]="","",COUNTIFS(INDEX(tblCommentary[Date],1):tblCommentary[[#This Row],[Date]],tblCommentary[[#This Row],[Date]]))</f>
        <v/>
      </c>
      <c r="F2222" s="63">
        <f>IF(tblCommentary[[#This Row],[Date]]="","",tblCommentary[[#This Row],[Date]]&amp;"|"&amp;tblCommentary[[#This Row],[Seq_Day]])</f>
        <v/>
      </c>
    </row>
    <row r="2223">
      <c r="A2223" s="54" t="n"/>
      <c r="B2223" s="61" t="n"/>
      <c r="C2223" s="58" t="n"/>
      <c r="D2223" s="58" t="n"/>
      <c r="E2223" s="64">
        <f>IF(tblCommentary[[#This Row],[Date]]="","",COUNTIFS(INDEX(tblCommentary[Date],1):tblCommentary[[#This Row],[Date]],tblCommentary[[#This Row],[Date]]))</f>
        <v/>
      </c>
      <c r="F2223" s="63">
        <f>IF(tblCommentary[[#This Row],[Date]]="","",tblCommentary[[#This Row],[Date]]&amp;"|"&amp;tblCommentary[[#This Row],[Seq_Day]])</f>
        <v/>
      </c>
    </row>
    <row r="2224">
      <c r="A2224" s="54" t="n"/>
      <c r="B2224" s="61" t="n"/>
      <c r="C2224" s="58" t="n"/>
      <c r="D2224" s="58" t="n"/>
      <c r="E2224" s="64">
        <f>IF(tblCommentary[[#This Row],[Date]]="","",COUNTIFS(INDEX(tblCommentary[Date],1):tblCommentary[[#This Row],[Date]],tblCommentary[[#This Row],[Date]]))</f>
        <v/>
      </c>
      <c r="F2224" s="63">
        <f>IF(tblCommentary[[#This Row],[Date]]="","",tblCommentary[[#This Row],[Date]]&amp;"|"&amp;tblCommentary[[#This Row],[Seq_Day]])</f>
        <v/>
      </c>
    </row>
    <row r="2225">
      <c r="A2225" s="54" t="n"/>
      <c r="B2225" s="61" t="n"/>
      <c r="C2225" s="58" t="n"/>
      <c r="D2225" s="58" t="n"/>
      <c r="E2225" s="64">
        <f>IF(tblCommentary[[#This Row],[Date]]="","",COUNTIFS(INDEX(tblCommentary[Date],1):tblCommentary[[#This Row],[Date]],tblCommentary[[#This Row],[Date]]))</f>
        <v/>
      </c>
      <c r="F2225" s="63">
        <f>IF(tblCommentary[[#This Row],[Date]]="","",tblCommentary[[#This Row],[Date]]&amp;"|"&amp;tblCommentary[[#This Row],[Seq_Day]])</f>
        <v/>
      </c>
    </row>
    <row r="2226">
      <c r="A2226" s="54" t="n"/>
      <c r="B2226" s="61" t="n"/>
      <c r="C2226" s="58" t="n"/>
      <c r="D2226" s="58" t="n"/>
      <c r="E2226" s="64">
        <f>IF(tblCommentary[[#This Row],[Date]]="","",COUNTIFS(INDEX(tblCommentary[Date],1):tblCommentary[[#This Row],[Date]],tblCommentary[[#This Row],[Date]]))</f>
        <v/>
      </c>
      <c r="F2226" s="63">
        <f>IF(tblCommentary[[#This Row],[Date]]="","",tblCommentary[[#This Row],[Date]]&amp;"|"&amp;tblCommentary[[#This Row],[Seq_Day]])</f>
        <v/>
      </c>
    </row>
    <row r="2227">
      <c r="A2227" s="54" t="n"/>
      <c r="B2227" s="61" t="n"/>
      <c r="C2227" s="58" t="n"/>
      <c r="D2227" s="58" t="n"/>
      <c r="E2227" s="64">
        <f>IF(tblCommentary[[#This Row],[Date]]="","",COUNTIFS(INDEX(tblCommentary[Date],1):tblCommentary[[#This Row],[Date]],tblCommentary[[#This Row],[Date]]))</f>
        <v/>
      </c>
      <c r="F2227" s="63">
        <f>IF(tblCommentary[[#This Row],[Date]]="","",tblCommentary[[#This Row],[Date]]&amp;"|"&amp;tblCommentary[[#This Row],[Seq_Day]])</f>
        <v/>
      </c>
    </row>
    <row r="2228">
      <c r="A2228" s="54" t="n"/>
      <c r="B2228" s="61" t="n"/>
      <c r="C2228" s="58" t="n"/>
      <c r="D2228" s="58" t="n"/>
      <c r="E2228" s="64">
        <f>IF(tblCommentary[[#This Row],[Date]]="","",COUNTIFS(INDEX(tblCommentary[Date],1):tblCommentary[[#This Row],[Date]],tblCommentary[[#This Row],[Date]]))</f>
        <v/>
      </c>
      <c r="F2228" s="63">
        <f>IF(tblCommentary[[#This Row],[Date]]="","",tblCommentary[[#This Row],[Date]]&amp;"|"&amp;tblCommentary[[#This Row],[Seq_Day]])</f>
        <v/>
      </c>
    </row>
    <row r="2229">
      <c r="A2229" s="54" t="n"/>
      <c r="B2229" s="61" t="n"/>
      <c r="C2229" s="58" t="n"/>
      <c r="D2229" s="58" t="n"/>
      <c r="E2229" s="64">
        <f>IF(tblCommentary[[#This Row],[Date]]="","",COUNTIFS(INDEX(tblCommentary[Date],1):tblCommentary[[#This Row],[Date]],tblCommentary[[#This Row],[Date]]))</f>
        <v/>
      </c>
      <c r="F2229" s="63">
        <f>IF(tblCommentary[[#This Row],[Date]]="","",tblCommentary[[#This Row],[Date]]&amp;"|"&amp;tblCommentary[[#This Row],[Seq_Day]])</f>
        <v/>
      </c>
    </row>
    <row r="2230">
      <c r="A2230" s="54" t="n"/>
      <c r="B2230" s="61" t="n"/>
      <c r="C2230" s="58" t="n"/>
      <c r="D2230" s="58" t="n"/>
      <c r="E2230" s="64">
        <f>IF(tblCommentary[[#This Row],[Date]]="","",COUNTIFS(INDEX(tblCommentary[Date],1):tblCommentary[[#This Row],[Date]],tblCommentary[[#This Row],[Date]]))</f>
        <v/>
      </c>
      <c r="F2230" s="63">
        <f>IF(tblCommentary[[#This Row],[Date]]="","",tblCommentary[[#This Row],[Date]]&amp;"|"&amp;tblCommentary[[#This Row],[Seq_Day]])</f>
        <v/>
      </c>
    </row>
    <row r="2231">
      <c r="A2231" s="54" t="n"/>
      <c r="B2231" s="61" t="n"/>
      <c r="C2231" s="58" t="n"/>
      <c r="D2231" s="58" t="n"/>
      <c r="E2231" s="64">
        <f>IF(tblCommentary[[#This Row],[Date]]="","",COUNTIFS(INDEX(tblCommentary[Date],1):tblCommentary[[#This Row],[Date]],tblCommentary[[#This Row],[Date]]))</f>
        <v/>
      </c>
      <c r="F2231" s="63">
        <f>IF(tblCommentary[[#This Row],[Date]]="","",tblCommentary[[#This Row],[Date]]&amp;"|"&amp;tblCommentary[[#This Row],[Seq_Day]])</f>
        <v/>
      </c>
    </row>
    <row r="2232">
      <c r="A2232" s="54" t="n"/>
      <c r="B2232" s="61" t="n"/>
      <c r="C2232" s="58" t="n"/>
      <c r="D2232" s="58" t="n"/>
      <c r="E2232" s="64">
        <f>IF(tblCommentary[[#This Row],[Date]]="","",COUNTIFS(INDEX(tblCommentary[Date],1):tblCommentary[[#This Row],[Date]],tblCommentary[[#This Row],[Date]]))</f>
        <v/>
      </c>
      <c r="F2232" s="63">
        <f>IF(tblCommentary[[#This Row],[Date]]="","",tblCommentary[[#This Row],[Date]]&amp;"|"&amp;tblCommentary[[#This Row],[Seq_Day]])</f>
        <v/>
      </c>
    </row>
    <row r="2233">
      <c r="A2233" s="54" t="n"/>
      <c r="B2233" s="61" t="n"/>
      <c r="C2233" s="58" t="n"/>
      <c r="D2233" s="58" t="n"/>
      <c r="E2233" s="64">
        <f>IF(tblCommentary[[#This Row],[Date]]="","",COUNTIFS(INDEX(tblCommentary[Date],1):tblCommentary[[#This Row],[Date]],tblCommentary[[#This Row],[Date]]))</f>
        <v/>
      </c>
      <c r="F2233" s="63">
        <f>IF(tblCommentary[[#This Row],[Date]]="","",tblCommentary[[#This Row],[Date]]&amp;"|"&amp;tblCommentary[[#This Row],[Seq_Day]])</f>
        <v/>
      </c>
    </row>
    <row r="2234">
      <c r="A2234" s="54" t="n"/>
      <c r="B2234" s="61" t="n"/>
      <c r="C2234" s="58" t="n"/>
      <c r="D2234" s="58" t="n"/>
      <c r="E2234" s="64">
        <f>IF(tblCommentary[[#This Row],[Date]]="","",COUNTIFS(INDEX(tblCommentary[Date],1):tblCommentary[[#This Row],[Date]],tblCommentary[[#This Row],[Date]]))</f>
        <v/>
      </c>
      <c r="F2234" s="63">
        <f>IF(tblCommentary[[#This Row],[Date]]="","",tblCommentary[[#This Row],[Date]]&amp;"|"&amp;tblCommentary[[#This Row],[Seq_Day]])</f>
        <v/>
      </c>
    </row>
    <row r="2235">
      <c r="A2235" s="54" t="n"/>
      <c r="B2235" s="61" t="n"/>
      <c r="C2235" s="58" t="n"/>
      <c r="D2235" s="58" t="n"/>
      <c r="E2235" s="64">
        <f>IF(tblCommentary[[#This Row],[Date]]="","",COUNTIFS(INDEX(tblCommentary[Date],1):tblCommentary[[#This Row],[Date]],tblCommentary[[#This Row],[Date]]))</f>
        <v/>
      </c>
      <c r="F2235" s="63">
        <f>IF(tblCommentary[[#This Row],[Date]]="","",tblCommentary[[#This Row],[Date]]&amp;"|"&amp;tblCommentary[[#This Row],[Seq_Day]])</f>
        <v/>
      </c>
    </row>
    <row r="2236">
      <c r="A2236" s="54" t="n"/>
      <c r="B2236" s="61" t="n"/>
      <c r="C2236" s="58" t="n"/>
      <c r="D2236" s="58" t="n"/>
      <c r="E2236" s="64">
        <f>IF(tblCommentary[[#This Row],[Date]]="","",COUNTIFS(INDEX(tblCommentary[Date],1):tblCommentary[[#This Row],[Date]],tblCommentary[[#This Row],[Date]]))</f>
        <v/>
      </c>
      <c r="F2236" s="63">
        <f>IF(tblCommentary[[#This Row],[Date]]="","",tblCommentary[[#This Row],[Date]]&amp;"|"&amp;tblCommentary[[#This Row],[Seq_Day]])</f>
        <v/>
      </c>
    </row>
    <row r="2237">
      <c r="A2237" s="54" t="n"/>
      <c r="B2237" s="61" t="n"/>
      <c r="C2237" s="58" t="n"/>
      <c r="D2237" s="58" t="n"/>
      <c r="E2237" s="64">
        <f>IF(tblCommentary[[#This Row],[Date]]="","",COUNTIFS(INDEX(tblCommentary[Date],1):tblCommentary[[#This Row],[Date]],tblCommentary[[#This Row],[Date]]))</f>
        <v/>
      </c>
      <c r="F2237" s="63">
        <f>IF(tblCommentary[[#This Row],[Date]]="","",tblCommentary[[#This Row],[Date]]&amp;"|"&amp;tblCommentary[[#This Row],[Seq_Day]])</f>
        <v/>
      </c>
    </row>
    <row r="2238">
      <c r="A2238" s="54" t="n"/>
      <c r="B2238" s="61" t="n"/>
      <c r="C2238" s="58" t="n"/>
      <c r="D2238" s="58" t="n"/>
      <c r="E2238" s="64">
        <f>IF(tblCommentary[[#This Row],[Date]]="","",COUNTIFS(INDEX(tblCommentary[Date],1):tblCommentary[[#This Row],[Date]],tblCommentary[[#This Row],[Date]]))</f>
        <v/>
      </c>
      <c r="F2238" s="63">
        <f>IF(tblCommentary[[#This Row],[Date]]="","",tblCommentary[[#This Row],[Date]]&amp;"|"&amp;tblCommentary[[#This Row],[Seq_Day]])</f>
        <v/>
      </c>
    </row>
    <row r="2239">
      <c r="A2239" s="54" t="n"/>
      <c r="B2239" s="61" t="n"/>
      <c r="C2239" s="58" t="n"/>
      <c r="D2239" s="58" t="n"/>
      <c r="E2239" s="64">
        <f>IF(tblCommentary[[#This Row],[Date]]="","",COUNTIFS(INDEX(tblCommentary[Date],1):tblCommentary[[#This Row],[Date]],tblCommentary[[#This Row],[Date]]))</f>
        <v/>
      </c>
      <c r="F2239" s="63">
        <f>IF(tblCommentary[[#This Row],[Date]]="","",tblCommentary[[#This Row],[Date]]&amp;"|"&amp;tblCommentary[[#This Row],[Seq_Day]])</f>
        <v/>
      </c>
    </row>
    <row r="2240">
      <c r="A2240" s="54" t="n"/>
      <c r="B2240" s="61" t="n"/>
      <c r="C2240" s="58" t="n"/>
      <c r="D2240" s="58" t="n"/>
      <c r="E2240" s="64">
        <f>IF(tblCommentary[[#This Row],[Date]]="","",COUNTIFS(INDEX(tblCommentary[Date],1):tblCommentary[[#This Row],[Date]],tblCommentary[[#This Row],[Date]]))</f>
        <v/>
      </c>
      <c r="F2240" s="63">
        <f>IF(tblCommentary[[#This Row],[Date]]="","",tblCommentary[[#This Row],[Date]]&amp;"|"&amp;tblCommentary[[#This Row],[Seq_Day]])</f>
        <v/>
      </c>
    </row>
    <row r="2241">
      <c r="A2241" s="54" t="n"/>
      <c r="B2241" s="61" t="n"/>
      <c r="C2241" s="58" t="n"/>
      <c r="D2241" s="58" t="n"/>
      <c r="E2241" s="64">
        <f>IF(tblCommentary[[#This Row],[Date]]="","",COUNTIFS(INDEX(tblCommentary[Date],1):tblCommentary[[#This Row],[Date]],tblCommentary[[#This Row],[Date]]))</f>
        <v/>
      </c>
      <c r="F2241" s="63">
        <f>IF(tblCommentary[[#This Row],[Date]]="","",tblCommentary[[#This Row],[Date]]&amp;"|"&amp;tblCommentary[[#This Row],[Seq_Day]])</f>
        <v/>
      </c>
    </row>
    <row r="2242">
      <c r="A2242" s="54" t="n"/>
      <c r="B2242" s="61" t="n"/>
      <c r="C2242" s="58" t="n"/>
      <c r="D2242" s="58" t="n"/>
      <c r="E2242" s="64">
        <f>IF(tblCommentary[[#This Row],[Date]]="","",COUNTIFS(INDEX(tblCommentary[Date],1):tblCommentary[[#This Row],[Date]],tblCommentary[[#This Row],[Date]]))</f>
        <v/>
      </c>
      <c r="F2242" s="63">
        <f>IF(tblCommentary[[#This Row],[Date]]="","",tblCommentary[[#This Row],[Date]]&amp;"|"&amp;tblCommentary[[#This Row],[Seq_Day]])</f>
        <v/>
      </c>
    </row>
    <row r="2243">
      <c r="A2243" s="54" t="n"/>
      <c r="B2243" s="61" t="n"/>
      <c r="C2243" s="58" t="n"/>
      <c r="D2243" s="58" t="n"/>
      <c r="E2243" s="64">
        <f>IF(tblCommentary[[#This Row],[Date]]="","",COUNTIFS(INDEX(tblCommentary[Date],1):tblCommentary[[#This Row],[Date]],tblCommentary[[#This Row],[Date]]))</f>
        <v/>
      </c>
      <c r="F2243" s="63">
        <f>IF(tblCommentary[[#This Row],[Date]]="","",tblCommentary[[#This Row],[Date]]&amp;"|"&amp;tblCommentary[[#This Row],[Seq_Day]])</f>
        <v/>
      </c>
    </row>
    <row r="2244">
      <c r="A2244" s="54" t="n"/>
      <c r="B2244" s="61" t="n"/>
      <c r="C2244" s="58" t="n"/>
      <c r="D2244" s="58" t="n"/>
      <c r="E2244" s="64">
        <f>IF(tblCommentary[[#This Row],[Date]]="","",COUNTIFS(INDEX(tblCommentary[Date],1):tblCommentary[[#This Row],[Date]],tblCommentary[[#This Row],[Date]]))</f>
        <v/>
      </c>
      <c r="F2244" s="63">
        <f>IF(tblCommentary[[#This Row],[Date]]="","",tblCommentary[[#This Row],[Date]]&amp;"|"&amp;tblCommentary[[#This Row],[Seq_Day]])</f>
        <v/>
      </c>
    </row>
    <row r="2245">
      <c r="A2245" s="54" t="n"/>
      <c r="B2245" s="61" t="n"/>
      <c r="C2245" s="58" t="n"/>
      <c r="D2245" s="58" t="n"/>
      <c r="E2245" s="64">
        <f>IF(tblCommentary[[#This Row],[Date]]="","",COUNTIFS(INDEX(tblCommentary[Date],1):tblCommentary[[#This Row],[Date]],tblCommentary[[#This Row],[Date]]))</f>
        <v/>
      </c>
      <c r="F2245" s="63">
        <f>IF(tblCommentary[[#This Row],[Date]]="","",tblCommentary[[#This Row],[Date]]&amp;"|"&amp;tblCommentary[[#This Row],[Seq_Day]])</f>
        <v/>
      </c>
    </row>
    <row r="2246">
      <c r="A2246" s="54" t="n"/>
      <c r="B2246" s="61" t="n"/>
      <c r="C2246" s="58" t="n"/>
      <c r="D2246" s="58" t="n"/>
      <c r="E2246" s="64">
        <f>IF(tblCommentary[[#This Row],[Date]]="","",COUNTIFS(INDEX(tblCommentary[Date],1):tblCommentary[[#This Row],[Date]],tblCommentary[[#This Row],[Date]]))</f>
        <v/>
      </c>
      <c r="F2246" s="63">
        <f>IF(tblCommentary[[#This Row],[Date]]="","",tblCommentary[[#This Row],[Date]]&amp;"|"&amp;tblCommentary[[#This Row],[Seq_Day]])</f>
        <v/>
      </c>
    </row>
    <row r="2247">
      <c r="A2247" s="54" t="n"/>
      <c r="B2247" s="61" t="n"/>
      <c r="C2247" s="58" t="n"/>
      <c r="D2247" s="58" t="n"/>
      <c r="E2247" s="64">
        <f>IF(tblCommentary[[#This Row],[Date]]="","",COUNTIFS(INDEX(tblCommentary[Date],1):tblCommentary[[#This Row],[Date]],tblCommentary[[#This Row],[Date]]))</f>
        <v/>
      </c>
      <c r="F2247" s="63">
        <f>IF(tblCommentary[[#This Row],[Date]]="","",tblCommentary[[#This Row],[Date]]&amp;"|"&amp;tblCommentary[[#This Row],[Seq_Day]])</f>
        <v/>
      </c>
    </row>
    <row r="2248">
      <c r="A2248" s="54" t="n"/>
      <c r="B2248" s="61" t="n"/>
      <c r="C2248" s="58" t="n"/>
      <c r="D2248" s="58" t="n"/>
      <c r="E2248" s="64">
        <f>IF(tblCommentary[[#This Row],[Date]]="","",COUNTIFS(INDEX(tblCommentary[Date],1):tblCommentary[[#This Row],[Date]],tblCommentary[[#This Row],[Date]]))</f>
        <v/>
      </c>
      <c r="F2248" s="63">
        <f>IF(tblCommentary[[#This Row],[Date]]="","",tblCommentary[[#This Row],[Date]]&amp;"|"&amp;tblCommentary[[#This Row],[Seq_Day]])</f>
        <v/>
      </c>
    </row>
    <row r="2249">
      <c r="A2249" s="54" t="n"/>
      <c r="B2249" s="61" t="n"/>
      <c r="C2249" s="58" t="n"/>
      <c r="D2249" s="58" t="n"/>
      <c r="E2249" s="64">
        <f>IF(tblCommentary[[#This Row],[Date]]="","",COUNTIFS(INDEX(tblCommentary[Date],1):tblCommentary[[#This Row],[Date]],tblCommentary[[#This Row],[Date]]))</f>
        <v/>
      </c>
      <c r="F2249" s="63">
        <f>IF(tblCommentary[[#This Row],[Date]]="","",tblCommentary[[#This Row],[Date]]&amp;"|"&amp;tblCommentary[[#This Row],[Seq_Day]])</f>
        <v/>
      </c>
    </row>
    <row r="2250">
      <c r="A2250" s="54" t="n"/>
      <c r="B2250" s="61" t="n"/>
      <c r="C2250" s="58" t="n"/>
      <c r="D2250" s="58" t="n"/>
      <c r="E2250" s="64">
        <f>IF(tblCommentary[[#This Row],[Date]]="","",COUNTIFS(INDEX(tblCommentary[Date],1):tblCommentary[[#This Row],[Date]],tblCommentary[[#This Row],[Date]]))</f>
        <v/>
      </c>
      <c r="F2250" s="63">
        <f>IF(tblCommentary[[#This Row],[Date]]="","",tblCommentary[[#This Row],[Date]]&amp;"|"&amp;tblCommentary[[#This Row],[Seq_Day]])</f>
        <v/>
      </c>
    </row>
    <row r="2251">
      <c r="A2251" s="54" t="n"/>
      <c r="B2251" s="61" t="n"/>
      <c r="C2251" s="58" t="n"/>
      <c r="D2251" s="58" t="n"/>
      <c r="E2251" s="64">
        <f>IF(tblCommentary[[#This Row],[Date]]="","",COUNTIFS(INDEX(tblCommentary[Date],1):tblCommentary[[#This Row],[Date]],tblCommentary[[#This Row],[Date]]))</f>
        <v/>
      </c>
      <c r="F2251" s="63">
        <f>IF(tblCommentary[[#This Row],[Date]]="","",tblCommentary[[#This Row],[Date]]&amp;"|"&amp;tblCommentary[[#This Row],[Seq_Day]])</f>
        <v/>
      </c>
    </row>
    <row r="2252">
      <c r="A2252" s="54" t="n"/>
      <c r="B2252" s="61" t="n"/>
      <c r="C2252" s="58" t="n"/>
      <c r="D2252" s="58" t="n"/>
      <c r="E2252" s="64">
        <f>IF(tblCommentary[[#This Row],[Date]]="","",COUNTIFS(INDEX(tblCommentary[Date],1):tblCommentary[[#This Row],[Date]],tblCommentary[[#This Row],[Date]]))</f>
        <v/>
      </c>
      <c r="F2252" s="63">
        <f>IF(tblCommentary[[#This Row],[Date]]="","",tblCommentary[[#This Row],[Date]]&amp;"|"&amp;tblCommentary[[#This Row],[Seq_Day]])</f>
        <v/>
      </c>
    </row>
    <row r="2253">
      <c r="A2253" s="54" t="n"/>
      <c r="B2253" s="61" t="n"/>
      <c r="C2253" s="58" t="n"/>
      <c r="D2253" s="58" t="n"/>
      <c r="E2253" s="64">
        <f>IF(tblCommentary[[#This Row],[Date]]="","",COUNTIFS(INDEX(tblCommentary[Date],1):tblCommentary[[#This Row],[Date]],tblCommentary[[#This Row],[Date]]))</f>
        <v/>
      </c>
      <c r="F2253" s="63">
        <f>IF(tblCommentary[[#This Row],[Date]]="","",tblCommentary[[#This Row],[Date]]&amp;"|"&amp;tblCommentary[[#This Row],[Seq_Day]])</f>
        <v/>
      </c>
    </row>
    <row r="2254">
      <c r="A2254" s="54" t="n"/>
      <c r="B2254" s="61" t="n"/>
      <c r="C2254" s="58" t="n"/>
      <c r="D2254" s="58" t="n"/>
      <c r="E2254" s="64">
        <f>IF(tblCommentary[[#This Row],[Date]]="","",COUNTIFS(INDEX(tblCommentary[Date],1):tblCommentary[[#This Row],[Date]],tblCommentary[[#This Row],[Date]]))</f>
        <v/>
      </c>
      <c r="F2254" s="63">
        <f>IF(tblCommentary[[#This Row],[Date]]="","",tblCommentary[[#This Row],[Date]]&amp;"|"&amp;tblCommentary[[#This Row],[Seq_Day]])</f>
        <v/>
      </c>
    </row>
    <row r="2255">
      <c r="A2255" s="54" t="n"/>
      <c r="B2255" s="61" t="n"/>
      <c r="C2255" s="58" t="n"/>
      <c r="D2255" s="58" t="n"/>
      <c r="E2255" s="64">
        <f>IF(tblCommentary[[#This Row],[Date]]="","",COUNTIFS(INDEX(tblCommentary[Date],1):tblCommentary[[#This Row],[Date]],tblCommentary[[#This Row],[Date]]))</f>
        <v/>
      </c>
      <c r="F2255" s="63">
        <f>IF(tblCommentary[[#This Row],[Date]]="","",tblCommentary[[#This Row],[Date]]&amp;"|"&amp;tblCommentary[[#This Row],[Seq_Day]])</f>
        <v/>
      </c>
    </row>
    <row r="2256">
      <c r="A2256" s="54" t="n"/>
      <c r="B2256" s="61" t="n"/>
      <c r="C2256" s="58" t="n"/>
      <c r="D2256" s="58" t="n"/>
      <c r="E2256" s="64">
        <f>IF(tblCommentary[[#This Row],[Date]]="","",COUNTIFS(INDEX(tblCommentary[Date],1):tblCommentary[[#This Row],[Date]],tblCommentary[[#This Row],[Date]]))</f>
        <v/>
      </c>
      <c r="F2256" s="63">
        <f>IF(tblCommentary[[#This Row],[Date]]="","",tblCommentary[[#This Row],[Date]]&amp;"|"&amp;tblCommentary[[#This Row],[Seq_Day]])</f>
        <v/>
      </c>
    </row>
    <row r="2257">
      <c r="A2257" s="54" t="n"/>
      <c r="B2257" s="61" t="n"/>
      <c r="C2257" s="58" t="n"/>
      <c r="D2257" s="58" t="n"/>
      <c r="E2257" s="64">
        <f>IF(tblCommentary[[#This Row],[Date]]="","",COUNTIFS(INDEX(tblCommentary[Date],1):tblCommentary[[#This Row],[Date]],tblCommentary[[#This Row],[Date]]))</f>
        <v/>
      </c>
      <c r="F2257" s="63">
        <f>IF(tblCommentary[[#This Row],[Date]]="","",tblCommentary[[#This Row],[Date]]&amp;"|"&amp;tblCommentary[[#This Row],[Seq_Day]])</f>
        <v/>
      </c>
    </row>
    <row r="2258">
      <c r="A2258" s="54" t="n"/>
      <c r="B2258" s="61" t="n"/>
      <c r="C2258" s="58" t="n"/>
      <c r="D2258" s="58" t="n"/>
      <c r="E2258" s="64">
        <f>IF(tblCommentary[[#This Row],[Date]]="","",COUNTIFS(INDEX(tblCommentary[Date],1):tblCommentary[[#This Row],[Date]],tblCommentary[[#This Row],[Date]]))</f>
        <v/>
      </c>
      <c r="F2258" s="63">
        <f>IF(tblCommentary[[#This Row],[Date]]="","",tblCommentary[[#This Row],[Date]]&amp;"|"&amp;tblCommentary[[#This Row],[Seq_Day]])</f>
        <v/>
      </c>
    </row>
    <row r="2259">
      <c r="A2259" s="54" t="n"/>
      <c r="B2259" s="61" t="n"/>
      <c r="C2259" s="58" t="n"/>
      <c r="D2259" s="58" t="n"/>
      <c r="E2259" s="64">
        <f>IF(tblCommentary[[#This Row],[Date]]="","",COUNTIFS(INDEX(tblCommentary[Date],1):tblCommentary[[#This Row],[Date]],tblCommentary[[#This Row],[Date]]))</f>
        <v/>
      </c>
      <c r="F2259" s="63">
        <f>IF(tblCommentary[[#This Row],[Date]]="","",tblCommentary[[#This Row],[Date]]&amp;"|"&amp;tblCommentary[[#This Row],[Seq_Day]])</f>
        <v/>
      </c>
    </row>
    <row r="2260">
      <c r="A2260" s="54" t="n"/>
      <c r="B2260" s="61" t="n"/>
      <c r="C2260" s="58" t="n"/>
      <c r="D2260" s="58" t="n"/>
      <c r="E2260" s="64">
        <f>IF(tblCommentary[[#This Row],[Date]]="","",COUNTIFS(INDEX(tblCommentary[Date],1):tblCommentary[[#This Row],[Date]],tblCommentary[[#This Row],[Date]]))</f>
        <v/>
      </c>
      <c r="F2260" s="63">
        <f>IF(tblCommentary[[#This Row],[Date]]="","",tblCommentary[[#This Row],[Date]]&amp;"|"&amp;tblCommentary[[#This Row],[Seq_Day]])</f>
        <v/>
      </c>
    </row>
    <row r="2261">
      <c r="A2261" s="54" t="n"/>
      <c r="B2261" s="61" t="n"/>
      <c r="C2261" s="58" t="n"/>
      <c r="D2261" s="58" t="n"/>
      <c r="E2261" s="64">
        <f>IF(tblCommentary[[#This Row],[Date]]="","",COUNTIFS(INDEX(tblCommentary[Date],1):tblCommentary[[#This Row],[Date]],tblCommentary[[#This Row],[Date]]))</f>
        <v/>
      </c>
      <c r="F2261" s="63">
        <f>IF(tblCommentary[[#This Row],[Date]]="","",tblCommentary[[#This Row],[Date]]&amp;"|"&amp;tblCommentary[[#This Row],[Seq_Day]])</f>
        <v/>
      </c>
    </row>
    <row r="2262">
      <c r="A2262" s="54" t="n"/>
      <c r="B2262" s="61" t="n"/>
      <c r="C2262" s="58" t="n"/>
      <c r="D2262" s="58" t="n"/>
      <c r="E2262" s="64">
        <f>IF(tblCommentary[[#This Row],[Date]]="","",COUNTIFS(INDEX(tblCommentary[Date],1):tblCommentary[[#This Row],[Date]],tblCommentary[[#This Row],[Date]]))</f>
        <v/>
      </c>
      <c r="F2262" s="63">
        <f>IF(tblCommentary[[#This Row],[Date]]="","",tblCommentary[[#This Row],[Date]]&amp;"|"&amp;tblCommentary[[#This Row],[Seq_Day]])</f>
        <v/>
      </c>
    </row>
    <row r="2263">
      <c r="A2263" s="54" t="n"/>
      <c r="B2263" s="61" t="n"/>
      <c r="C2263" s="58" t="n"/>
      <c r="D2263" s="58" t="n"/>
      <c r="E2263" s="64">
        <f>IF(tblCommentary[[#This Row],[Date]]="","",COUNTIFS(INDEX(tblCommentary[Date],1):tblCommentary[[#This Row],[Date]],tblCommentary[[#This Row],[Date]]))</f>
        <v/>
      </c>
      <c r="F2263" s="63">
        <f>IF(tblCommentary[[#This Row],[Date]]="","",tblCommentary[[#This Row],[Date]]&amp;"|"&amp;tblCommentary[[#This Row],[Seq_Day]])</f>
        <v/>
      </c>
    </row>
    <row r="2264">
      <c r="A2264" s="54" t="n"/>
      <c r="B2264" s="61" t="n"/>
      <c r="C2264" s="58" t="n"/>
      <c r="D2264" s="58" t="n"/>
      <c r="E2264" s="64">
        <f>IF(tblCommentary[[#This Row],[Date]]="","",COUNTIFS(INDEX(tblCommentary[Date],1):tblCommentary[[#This Row],[Date]],tblCommentary[[#This Row],[Date]]))</f>
        <v/>
      </c>
      <c r="F2264" s="63">
        <f>IF(tblCommentary[[#This Row],[Date]]="","",tblCommentary[[#This Row],[Date]]&amp;"|"&amp;tblCommentary[[#This Row],[Seq_Day]])</f>
        <v/>
      </c>
    </row>
    <row r="2265">
      <c r="A2265" s="54" t="n"/>
      <c r="B2265" s="61" t="n"/>
      <c r="C2265" s="58" t="n"/>
      <c r="D2265" s="58" t="n"/>
      <c r="E2265" s="64">
        <f>IF(tblCommentary[[#This Row],[Date]]="","",COUNTIFS(INDEX(tblCommentary[Date],1):tblCommentary[[#This Row],[Date]],tblCommentary[[#This Row],[Date]]))</f>
        <v/>
      </c>
      <c r="F2265" s="63">
        <f>IF(tblCommentary[[#This Row],[Date]]="","",tblCommentary[[#This Row],[Date]]&amp;"|"&amp;tblCommentary[[#This Row],[Seq_Day]])</f>
        <v/>
      </c>
    </row>
    <row r="2266">
      <c r="A2266" s="54" t="n"/>
      <c r="B2266" s="61" t="n"/>
      <c r="C2266" s="58" t="n"/>
      <c r="D2266" s="58" t="n"/>
      <c r="E2266" s="64">
        <f>IF(tblCommentary[[#This Row],[Date]]="","",COUNTIFS(INDEX(tblCommentary[Date],1):tblCommentary[[#This Row],[Date]],tblCommentary[[#This Row],[Date]]))</f>
        <v/>
      </c>
      <c r="F2266" s="63">
        <f>IF(tblCommentary[[#This Row],[Date]]="","",tblCommentary[[#This Row],[Date]]&amp;"|"&amp;tblCommentary[[#This Row],[Seq_Day]])</f>
        <v/>
      </c>
    </row>
    <row r="2267">
      <c r="A2267" s="54" t="n"/>
      <c r="B2267" s="61" t="n"/>
      <c r="C2267" s="58" t="n"/>
      <c r="D2267" s="58" t="n"/>
      <c r="E2267" s="64">
        <f>IF(tblCommentary[[#This Row],[Date]]="","",COUNTIFS(INDEX(tblCommentary[Date],1):tblCommentary[[#This Row],[Date]],tblCommentary[[#This Row],[Date]]))</f>
        <v/>
      </c>
      <c r="F2267" s="63">
        <f>IF(tblCommentary[[#This Row],[Date]]="","",tblCommentary[[#This Row],[Date]]&amp;"|"&amp;tblCommentary[[#This Row],[Seq_Day]])</f>
        <v/>
      </c>
    </row>
    <row r="2268">
      <c r="A2268" s="54" t="n"/>
      <c r="B2268" s="61" t="n"/>
      <c r="C2268" s="58" t="n"/>
      <c r="D2268" s="58" t="n"/>
      <c r="E2268" s="64">
        <f>IF(tblCommentary[[#This Row],[Date]]="","",COUNTIFS(INDEX(tblCommentary[Date],1):tblCommentary[[#This Row],[Date]],tblCommentary[[#This Row],[Date]]))</f>
        <v/>
      </c>
      <c r="F2268" s="63">
        <f>IF(tblCommentary[[#This Row],[Date]]="","",tblCommentary[[#This Row],[Date]]&amp;"|"&amp;tblCommentary[[#This Row],[Seq_Day]])</f>
        <v/>
      </c>
    </row>
    <row r="2269">
      <c r="A2269" s="54" t="n"/>
      <c r="B2269" s="61" t="n"/>
      <c r="C2269" s="58" t="n"/>
      <c r="D2269" s="58" t="n"/>
      <c r="E2269" s="64">
        <f>IF(tblCommentary[[#This Row],[Date]]="","",COUNTIFS(INDEX(tblCommentary[Date],1):tblCommentary[[#This Row],[Date]],tblCommentary[[#This Row],[Date]]))</f>
        <v/>
      </c>
      <c r="F2269" s="63">
        <f>IF(tblCommentary[[#This Row],[Date]]="","",tblCommentary[[#This Row],[Date]]&amp;"|"&amp;tblCommentary[[#This Row],[Seq_Day]])</f>
        <v/>
      </c>
    </row>
    <row r="2270">
      <c r="A2270" s="54" t="n"/>
      <c r="B2270" s="61" t="n"/>
      <c r="C2270" s="58" t="n"/>
      <c r="D2270" s="58" t="n"/>
      <c r="E2270" s="64">
        <f>IF(tblCommentary[[#This Row],[Date]]="","",COUNTIFS(INDEX(tblCommentary[Date],1):tblCommentary[[#This Row],[Date]],tblCommentary[[#This Row],[Date]]))</f>
        <v/>
      </c>
      <c r="F2270" s="63">
        <f>IF(tblCommentary[[#This Row],[Date]]="","",tblCommentary[[#This Row],[Date]]&amp;"|"&amp;tblCommentary[[#This Row],[Seq_Day]])</f>
        <v/>
      </c>
    </row>
    <row r="2271">
      <c r="A2271" s="54" t="n"/>
      <c r="B2271" s="61" t="n"/>
      <c r="C2271" s="58" t="n"/>
      <c r="D2271" s="58" t="n"/>
      <c r="E2271" s="64">
        <f>IF(tblCommentary[[#This Row],[Date]]="","",COUNTIFS(INDEX(tblCommentary[Date],1):tblCommentary[[#This Row],[Date]],tblCommentary[[#This Row],[Date]]))</f>
        <v/>
      </c>
      <c r="F2271" s="63">
        <f>IF(tblCommentary[[#This Row],[Date]]="","",tblCommentary[[#This Row],[Date]]&amp;"|"&amp;tblCommentary[[#This Row],[Seq_Day]])</f>
        <v/>
      </c>
    </row>
    <row r="2272">
      <c r="A2272" s="54" t="n"/>
      <c r="B2272" s="61" t="n"/>
      <c r="C2272" s="58" t="n"/>
      <c r="D2272" s="58" t="n"/>
      <c r="E2272" s="64">
        <f>IF(tblCommentary[[#This Row],[Date]]="","",COUNTIFS(INDEX(tblCommentary[Date],1):tblCommentary[[#This Row],[Date]],tblCommentary[[#This Row],[Date]]))</f>
        <v/>
      </c>
      <c r="F2272" s="63">
        <f>IF(tblCommentary[[#This Row],[Date]]="","",tblCommentary[[#This Row],[Date]]&amp;"|"&amp;tblCommentary[[#This Row],[Seq_Day]])</f>
        <v/>
      </c>
    </row>
    <row r="2273">
      <c r="A2273" s="54" t="n"/>
      <c r="B2273" s="61" t="n"/>
      <c r="C2273" s="58" t="n"/>
      <c r="D2273" s="58" t="n"/>
      <c r="E2273" s="64">
        <f>IF(tblCommentary[[#This Row],[Date]]="","",COUNTIFS(INDEX(tblCommentary[Date],1):tblCommentary[[#This Row],[Date]],tblCommentary[[#This Row],[Date]]))</f>
        <v/>
      </c>
      <c r="F2273" s="63">
        <f>IF(tblCommentary[[#This Row],[Date]]="","",tblCommentary[[#This Row],[Date]]&amp;"|"&amp;tblCommentary[[#This Row],[Seq_Day]])</f>
        <v/>
      </c>
    </row>
    <row r="2274">
      <c r="A2274" s="54" t="n"/>
      <c r="B2274" s="61" t="n"/>
      <c r="C2274" s="58" t="n"/>
      <c r="D2274" s="58" t="n"/>
      <c r="E2274" s="64">
        <f>IF(tblCommentary[[#This Row],[Date]]="","",COUNTIFS(INDEX(tblCommentary[Date],1):tblCommentary[[#This Row],[Date]],tblCommentary[[#This Row],[Date]]))</f>
        <v/>
      </c>
      <c r="F2274" s="63">
        <f>IF(tblCommentary[[#This Row],[Date]]="","",tblCommentary[[#This Row],[Date]]&amp;"|"&amp;tblCommentary[[#This Row],[Seq_Day]])</f>
        <v/>
      </c>
    </row>
    <row r="2275">
      <c r="A2275" s="54" t="n"/>
      <c r="B2275" s="61" t="n"/>
      <c r="C2275" s="58" t="n"/>
      <c r="D2275" s="58" t="n"/>
      <c r="E2275" s="64">
        <f>IF(tblCommentary[[#This Row],[Date]]="","",COUNTIFS(INDEX(tblCommentary[Date],1):tblCommentary[[#This Row],[Date]],tblCommentary[[#This Row],[Date]]))</f>
        <v/>
      </c>
      <c r="F2275" s="63">
        <f>IF(tblCommentary[[#This Row],[Date]]="","",tblCommentary[[#This Row],[Date]]&amp;"|"&amp;tblCommentary[[#This Row],[Seq_Day]])</f>
        <v/>
      </c>
    </row>
    <row r="2276">
      <c r="A2276" s="54" t="n"/>
      <c r="B2276" s="61" t="n"/>
      <c r="C2276" s="58" t="n"/>
      <c r="D2276" s="58" t="n"/>
      <c r="E2276" s="64">
        <f>IF(tblCommentary[[#This Row],[Date]]="","",COUNTIFS(INDEX(tblCommentary[Date],1):tblCommentary[[#This Row],[Date]],tblCommentary[[#This Row],[Date]]))</f>
        <v/>
      </c>
      <c r="F2276" s="63">
        <f>IF(tblCommentary[[#This Row],[Date]]="","",tblCommentary[[#This Row],[Date]]&amp;"|"&amp;tblCommentary[[#This Row],[Seq_Day]])</f>
        <v/>
      </c>
    </row>
    <row r="2277">
      <c r="A2277" s="54" t="n"/>
      <c r="B2277" s="61" t="n"/>
      <c r="C2277" s="58" t="n"/>
      <c r="D2277" s="58" t="n"/>
      <c r="E2277" s="64">
        <f>IF(tblCommentary[[#This Row],[Date]]="","",COUNTIFS(INDEX(tblCommentary[Date],1):tblCommentary[[#This Row],[Date]],tblCommentary[[#This Row],[Date]]))</f>
        <v/>
      </c>
      <c r="F2277" s="63">
        <f>IF(tblCommentary[[#This Row],[Date]]="","",tblCommentary[[#This Row],[Date]]&amp;"|"&amp;tblCommentary[[#This Row],[Seq_Day]])</f>
        <v/>
      </c>
    </row>
    <row r="2278">
      <c r="A2278" s="54" t="n"/>
      <c r="B2278" s="61" t="n"/>
      <c r="C2278" s="58" t="n"/>
      <c r="D2278" s="58" t="n"/>
      <c r="E2278" s="64">
        <f>IF(tblCommentary[[#This Row],[Date]]="","",COUNTIFS(INDEX(tblCommentary[Date],1):tblCommentary[[#This Row],[Date]],tblCommentary[[#This Row],[Date]]))</f>
        <v/>
      </c>
      <c r="F2278" s="63">
        <f>IF(tblCommentary[[#This Row],[Date]]="","",tblCommentary[[#This Row],[Date]]&amp;"|"&amp;tblCommentary[[#This Row],[Seq_Day]])</f>
        <v/>
      </c>
    </row>
    <row r="2279">
      <c r="A2279" s="54" t="n"/>
      <c r="B2279" s="61" t="n"/>
      <c r="C2279" s="58" t="n"/>
      <c r="D2279" s="58" t="n"/>
      <c r="E2279" s="64">
        <f>IF(tblCommentary[[#This Row],[Date]]="","",COUNTIFS(INDEX(tblCommentary[Date],1):tblCommentary[[#This Row],[Date]],tblCommentary[[#This Row],[Date]]))</f>
        <v/>
      </c>
      <c r="F2279" s="63">
        <f>IF(tblCommentary[[#This Row],[Date]]="","",tblCommentary[[#This Row],[Date]]&amp;"|"&amp;tblCommentary[[#This Row],[Seq_Day]])</f>
        <v/>
      </c>
    </row>
    <row r="2280">
      <c r="A2280" s="54" t="n"/>
      <c r="B2280" s="61" t="n"/>
      <c r="C2280" s="58" t="n"/>
      <c r="D2280" s="58" t="n"/>
      <c r="E2280" s="64">
        <f>IF(tblCommentary[[#This Row],[Date]]="","",COUNTIFS(INDEX(tblCommentary[Date],1):tblCommentary[[#This Row],[Date]],tblCommentary[[#This Row],[Date]]))</f>
        <v/>
      </c>
      <c r="F2280" s="63">
        <f>IF(tblCommentary[[#This Row],[Date]]="","",tblCommentary[[#This Row],[Date]]&amp;"|"&amp;tblCommentary[[#This Row],[Seq_Day]])</f>
        <v/>
      </c>
    </row>
    <row r="2281">
      <c r="A2281" s="54" t="n"/>
      <c r="B2281" s="61" t="n"/>
      <c r="C2281" s="58" t="n"/>
      <c r="D2281" s="58" t="n"/>
      <c r="E2281" s="64">
        <f>IF(tblCommentary[[#This Row],[Date]]="","",COUNTIFS(INDEX(tblCommentary[Date],1):tblCommentary[[#This Row],[Date]],tblCommentary[[#This Row],[Date]]))</f>
        <v/>
      </c>
      <c r="F2281" s="63">
        <f>IF(tblCommentary[[#This Row],[Date]]="","",tblCommentary[[#This Row],[Date]]&amp;"|"&amp;tblCommentary[[#This Row],[Seq_Day]])</f>
        <v/>
      </c>
    </row>
    <row r="2282">
      <c r="A2282" s="54" t="n"/>
      <c r="B2282" s="61" t="n"/>
      <c r="C2282" s="58" t="n"/>
      <c r="D2282" s="58" t="n"/>
      <c r="E2282" s="64">
        <f>IF(tblCommentary[[#This Row],[Date]]="","",COUNTIFS(INDEX(tblCommentary[Date],1):tblCommentary[[#This Row],[Date]],tblCommentary[[#This Row],[Date]]))</f>
        <v/>
      </c>
      <c r="F2282" s="63">
        <f>IF(tblCommentary[[#This Row],[Date]]="","",tblCommentary[[#This Row],[Date]]&amp;"|"&amp;tblCommentary[[#This Row],[Seq_Day]])</f>
        <v/>
      </c>
    </row>
    <row r="2283">
      <c r="A2283" s="54" t="n"/>
      <c r="B2283" s="61" t="n"/>
      <c r="C2283" s="58" t="n"/>
      <c r="D2283" s="58" t="n"/>
      <c r="E2283" s="64">
        <f>IF(tblCommentary[[#This Row],[Date]]="","",COUNTIFS(INDEX(tblCommentary[Date],1):tblCommentary[[#This Row],[Date]],tblCommentary[[#This Row],[Date]]))</f>
        <v/>
      </c>
      <c r="F2283" s="63">
        <f>IF(tblCommentary[[#This Row],[Date]]="","",tblCommentary[[#This Row],[Date]]&amp;"|"&amp;tblCommentary[[#This Row],[Seq_Day]])</f>
        <v/>
      </c>
    </row>
    <row r="2284">
      <c r="A2284" s="54" t="n"/>
      <c r="B2284" s="61" t="n"/>
      <c r="C2284" s="58" t="n"/>
      <c r="D2284" s="58" t="n"/>
      <c r="E2284" s="64">
        <f>IF(tblCommentary[[#This Row],[Date]]="","",COUNTIFS(INDEX(tblCommentary[Date],1):tblCommentary[[#This Row],[Date]],tblCommentary[[#This Row],[Date]]))</f>
        <v/>
      </c>
      <c r="F2284" s="63">
        <f>IF(tblCommentary[[#This Row],[Date]]="","",tblCommentary[[#This Row],[Date]]&amp;"|"&amp;tblCommentary[[#This Row],[Seq_Day]])</f>
        <v/>
      </c>
    </row>
    <row r="2285">
      <c r="A2285" s="54" t="n"/>
      <c r="B2285" s="61" t="n"/>
      <c r="C2285" s="58" t="n"/>
      <c r="D2285" s="58" t="n"/>
      <c r="E2285" s="64">
        <f>IF(tblCommentary[[#This Row],[Date]]="","",COUNTIFS(INDEX(tblCommentary[Date],1):tblCommentary[[#This Row],[Date]],tblCommentary[[#This Row],[Date]]))</f>
        <v/>
      </c>
      <c r="F2285" s="63">
        <f>IF(tblCommentary[[#This Row],[Date]]="","",tblCommentary[[#This Row],[Date]]&amp;"|"&amp;tblCommentary[[#This Row],[Seq_Day]])</f>
        <v/>
      </c>
    </row>
    <row r="2286">
      <c r="A2286" s="54" t="n"/>
      <c r="B2286" s="61" t="n"/>
      <c r="C2286" s="58" t="n"/>
      <c r="D2286" s="58" t="n"/>
      <c r="E2286" s="64">
        <f>IF(tblCommentary[[#This Row],[Date]]="","",COUNTIFS(INDEX(tblCommentary[Date],1):tblCommentary[[#This Row],[Date]],tblCommentary[[#This Row],[Date]]))</f>
        <v/>
      </c>
      <c r="F2286" s="63">
        <f>IF(tblCommentary[[#This Row],[Date]]="","",tblCommentary[[#This Row],[Date]]&amp;"|"&amp;tblCommentary[[#This Row],[Seq_Day]])</f>
        <v/>
      </c>
    </row>
    <row r="2287">
      <c r="A2287" s="54" t="n"/>
      <c r="B2287" s="61" t="n"/>
      <c r="C2287" s="58" t="n"/>
      <c r="D2287" s="58" t="n"/>
      <c r="E2287" s="64">
        <f>IF(tblCommentary[[#This Row],[Date]]="","",COUNTIFS(INDEX(tblCommentary[Date],1):tblCommentary[[#This Row],[Date]],tblCommentary[[#This Row],[Date]]))</f>
        <v/>
      </c>
      <c r="F2287" s="63">
        <f>IF(tblCommentary[[#This Row],[Date]]="","",tblCommentary[[#This Row],[Date]]&amp;"|"&amp;tblCommentary[[#This Row],[Seq_Day]])</f>
        <v/>
      </c>
    </row>
    <row r="2288">
      <c r="A2288" s="54" t="n"/>
      <c r="B2288" s="61" t="n"/>
      <c r="C2288" s="58" t="n"/>
      <c r="D2288" s="58" t="n"/>
      <c r="E2288" s="64">
        <f>IF(tblCommentary[[#This Row],[Date]]="","",COUNTIFS(INDEX(tblCommentary[Date],1):tblCommentary[[#This Row],[Date]],tblCommentary[[#This Row],[Date]]))</f>
        <v/>
      </c>
      <c r="F2288" s="63">
        <f>IF(tblCommentary[[#This Row],[Date]]="","",tblCommentary[[#This Row],[Date]]&amp;"|"&amp;tblCommentary[[#This Row],[Seq_Day]])</f>
        <v/>
      </c>
    </row>
    <row r="2289">
      <c r="A2289" s="54" t="n"/>
      <c r="B2289" s="61" t="n"/>
      <c r="C2289" s="58" t="n"/>
      <c r="D2289" s="58" t="n"/>
      <c r="E2289" s="64">
        <f>IF(tblCommentary[[#This Row],[Date]]="","",COUNTIFS(INDEX(tblCommentary[Date],1):tblCommentary[[#This Row],[Date]],tblCommentary[[#This Row],[Date]]))</f>
        <v/>
      </c>
      <c r="F2289" s="63">
        <f>IF(tblCommentary[[#This Row],[Date]]="","",tblCommentary[[#This Row],[Date]]&amp;"|"&amp;tblCommentary[[#This Row],[Seq_Day]])</f>
        <v/>
      </c>
    </row>
    <row r="2290">
      <c r="A2290" s="54" t="n"/>
      <c r="B2290" s="61" t="n"/>
      <c r="C2290" s="58" t="n"/>
      <c r="D2290" s="58" t="n"/>
      <c r="E2290" s="64">
        <f>IF(tblCommentary[[#This Row],[Date]]="","",COUNTIFS(INDEX(tblCommentary[Date],1):tblCommentary[[#This Row],[Date]],tblCommentary[[#This Row],[Date]]))</f>
        <v/>
      </c>
      <c r="F2290" s="63">
        <f>IF(tblCommentary[[#This Row],[Date]]="","",tblCommentary[[#This Row],[Date]]&amp;"|"&amp;tblCommentary[[#This Row],[Seq_Day]])</f>
        <v/>
      </c>
    </row>
    <row r="2291">
      <c r="A2291" s="54" t="n"/>
      <c r="B2291" s="61" t="n"/>
      <c r="C2291" s="58" t="n"/>
      <c r="D2291" s="58" t="n"/>
      <c r="E2291" s="64">
        <f>IF(tblCommentary[[#This Row],[Date]]="","",COUNTIFS(INDEX(tblCommentary[Date],1):tblCommentary[[#This Row],[Date]],tblCommentary[[#This Row],[Date]]))</f>
        <v/>
      </c>
      <c r="F2291" s="63">
        <f>IF(tblCommentary[[#This Row],[Date]]="","",tblCommentary[[#This Row],[Date]]&amp;"|"&amp;tblCommentary[[#This Row],[Seq_Day]])</f>
        <v/>
      </c>
    </row>
    <row r="2292">
      <c r="A2292" s="54" t="n"/>
      <c r="B2292" s="61" t="n"/>
      <c r="C2292" s="58" t="n"/>
      <c r="D2292" s="58" t="n"/>
      <c r="E2292" s="64">
        <f>IF(tblCommentary[[#This Row],[Date]]="","",COUNTIFS(INDEX(tblCommentary[Date],1):tblCommentary[[#This Row],[Date]],tblCommentary[[#This Row],[Date]]))</f>
        <v/>
      </c>
      <c r="F2292" s="63">
        <f>IF(tblCommentary[[#This Row],[Date]]="","",tblCommentary[[#This Row],[Date]]&amp;"|"&amp;tblCommentary[[#This Row],[Seq_Day]])</f>
        <v/>
      </c>
    </row>
    <row r="2293">
      <c r="A2293" s="54" t="n"/>
      <c r="B2293" s="61" t="n"/>
      <c r="C2293" s="58" t="n"/>
      <c r="D2293" s="58" t="n"/>
      <c r="E2293" s="64">
        <f>IF(tblCommentary[[#This Row],[Date]]="","",COUNTIFS(INDEX(tblCommentary[Date],1):tblCommentary[[#This Row],[Date]],tblCommentary[[#This Row],[Date]]))</f>
        <v/>
      </c>
      <c r="F2293" s="63">
        <f>IF(tblCommentary[[#This Row],[Date]]="","",tblCommentary[[#This Row],[Date]]&amp;"|"&amp;tblCommentary[[#This Row],[Seq_Day]])</f>
        <v/>
      </c>
    </row>
    <row r="2294">
      <c r="A2294" s="54" t="n"/>
      <c r="B2294" s="61" t="n"/>
      <c r="C2294" s="58" t="n"/>
      <c r="D2294" s="58" t="n"/>
      <c r="E2294" s="64">
        <f>IF(tblCommentary[[#This Row],[Date]]="","",COUNTIFS(INDEX(tblCommentary[Date],1):tblCommentary[[#This Row],[Date]],tblCommentary[[#This Row],[Date]]))</f>
        <v/>
      </c>
      <c r="F2294" s="63">
        <f>IF(tblCommentary[[#This Row],[Date]]="","",tblCommentary[[#This Row],[Date]]&amp;"|"&amp;tblCommentary[[#This Row],[Seq_Day]])</f>
        <v/>
      </c>
    </row>
    <row r="2295">
      <c r="A2295" s="54" t="n"/>
      <c r="B2295" s="61" t="n"/>
      <c r="C2295" s="58" t="n"/>
      <c r="D2295" s="58" t="n"/>
      <c r="E2295" s="64">
        <f>IF(tblCommentary[[#This Row],[Date]]="","",COUNTIFS(INDEX(tblCommentary[Date],1):tblCommentary[[#This Row],[Date]],tblCommentary[[#This Row],[Date]]))</f>
        <v/>
      </c>
      <c r="F2295" s="63">
        <f>IF(tblCommentary[[#This Row],[Date]]="","",tblCommentary[[#This Row],[Date]]&amp;"|"&amp;tblCommentary[[#This Row],[Seq_Day]])</f>
        <v/>
      </c>
    </row>
    <row r="2296">
      <c r="A2296" s="54" t="n"/>
      <c r="B2296" s="61" t="n"/>
      <c r="C2296" s="58" t="n"/>
      <c r="D2296" s="58" t="n"/>
      <c r="E2296" s="64">
        <f>IF(tblCommentary[[#This Row],[Date]]="","",COUNTIFS(INDEX(tblCommentary[Date],1):tblCommentary[[#This Row],[Date]],tblCommentary[[#This Row],[Date]]))</f>
        <v/>
      </c>
      <c r="F2296" s="63">
        <f>IF(tblCommentary[[#This Row],[Date]]="","",tblCommentary[[#This Row],[Date]]&amp;"|"&amp;tblCommentary[[#This Row],[Seq_Day]])</f>
        <v/>
      </c>
    </row>
    <row r="2297">
      <c r="A2297" s="54" t="n"/>
      <c r="B2297" s="61" t="n"/>
      <c r="C2297" s="58" t="n"/>
      <c r="D2297" s="58" t="n"/>
      <c r="E2297" s="64">
        <f>IF(tblCommentary[[#This Row],[Date]]="","",COUNTIFS(INDEX(tblCommentary[Date],1):tblCommentary[[#This Row],[Date]],tblCommentary[[#This Row],[Date]]))</f>
        <v/>
      </c>
      <c r="F2297" s="63">
        <f>IF(tblCommentary[[#This Row],[Date]]="","",tblCommentary[[#This Row],[Date]]&amp;"|"&amp;tblCommentary[[#This Row],[Seq_Day]])</f>
        <v/>
      </c>
    </row>
    <row r="2298">
      <c r="A2298" s="54" t="n"/>
      <c r="B2298" s="61" t="n"/>
      <c r="C2298" s="58" t="n"/>
      <c r="D2298" s="58" t="n"/>
      <c r="E2298" s="64">
        <f>IF(tblCommentary[[#This Row],[Date]]="","",COUNTIFS(INDEX(tblCommentary[Date],1):tblCommentary[[#This Row],[Date]],tblCommentary[[#This Row],[Date]]))</f>
        <v/>
      </c>
      <c r="F2298" s="63">
        <f>IF(tblCommentary[[#This Row],[Date]]="","",tblCommentary[[#This Row],[Date]]&amp;"|"&amp;tblCommentary[[#This Row],[Seq_Day]])</f>
        <v/>
      </c>
    </row>
    <row r="2299">
      <c r="A2299" s="54" t="n"/>
      <c r="B2299" s="61" t="n"/>
      <c r="C2299" s="58" t="n"/>
      <c r="D2299" s="58" t="n"/>
      <c r="E2299" s="64">
        <f>IF(tblCommentary[[#This Row],[Date]]="","",COUNTIFS(INDEX(tblCommentary[Date],1):tblCommentary[[#This Row],[Date]],tblCommentary[[#This Row],[Date]]))</f>
        <v/>
      </c>
      <c r="F2299" s="63">
        <f>IF(tblCommentary[[#This Row],[Date]]="","",tblCommentary[[#This Row],[Date]]&amp;"|"&amp;tblCommentary[[#This Row],[Seq_Day]])</f>
        <v/>
      </c>
    </row>
    <row r="2300">
      <c r="A2300" s="54" t="n"/>
      <c r="B2300" s="61" t="n"/>
      <c r="C2300" s="58" t="n"/>
      <c r="D2300" s="58" t="n"/>
      <c r="E2300" s="64">
        <f>IF(tblCommentary[[#This Row],[Date]]="","",COUNTIFS(INDEX(tblCommentary[Date],1):tblCommentary[[#This Row],[Date]],tblCommentary[[#This Row],[Date]]))</f>
        <v/>
      </c>
      <c r="F2300" s="63">
        <f>IF(tblCommentary[[#This Row],[Date]]="","",tblCommentary[[#This Row],[Date]]&amp;"|"&amp;tblCommentary[[#This Row],[Seq_Day]])</f>
        <v/>
      </c>
    </row>
    <row r="2301">
      <c r="A2301" s="54" t="n"/>
      <c r="B2301" s="61" t="n"/>
      <c r="C2301" s="58" t="n"/>
      <c r="D2301" s="58" t="n"/>
      <c r="E2301" s="64">
        <f>IF(tblCommentary[[#This Row],[Date]]="","",COUNTIFS(INDEX(tblCommentary[Date],1):tblCommentary[[#This Row],[Date]],tblCommentary[[#This Row],[Date]]))</f>
        <v/>
      </c>
      <c r="F2301" s="63">
        <f>IF(tblCommentary[[#This Row],[Date]]="","",tblCommentary[[#This Row],[Date]]&amp;"|"&amp;tblCommentary[[#This Row],[Seq_Day]])</f>
        <v/>
      </c>
    </row>
    <row r="2302">
      <c r="A2302" s="54" t="n"/>
      <c r="B2302" s="61" t="n"/>
      <c r="C2302" s="58" t="n"/>
      <c r="D2302" s="58" t="n"/>
      <c r="E2302" s="64">
        <f>IF(tblCommentary[[#This Row],[Date]]="","",COUNTIFS(INDEX(tblCommentary[Date],1):tblCommentary[[#This Row],[Date]],tblCommentary[[#This Row],[Date]]))</f>
        <v/>
      </c>
      <c r="F2302" s="63">
        <f>IF(tblCommentary[[#This Row],[Date]]="","",tblCommentary[[#This Row],[Date]]&amp;"|"&amp;tblCommentary[[#This Row],[Seq_Day]])</f>
        <v/>
      </c>
    </row>
    <row r="2303">
      <c r="A2303" s="54" t="n"/>
      <c r="B2303" s="61" t="n"/>
      <c r="C2303" s="58" t="n"/>
      <c r="D2303" s="58" t="n"/>
      <c r="E2303" s="64">
        <f>IF(tblCommentary[[#This Row],[Date]]="","",COUNTIFS(INDEX(tblCommentary[Date],1):tblCommentary[[#This Row],[Date]],tblCommentary[[#This Row],[Date]]))</f>
        <v/>
      </c>
      <c r="F2303" s="63">
        <f>IF(tblCommentary[[#This Row],[Date]]="","",tblCommentary[[#This Row],[Date]]&amp;"|"&amp;tblCommentary[[#This Row],[Seq_Day]])</f>
        <v/>
      </c>
    </row>
    <row r="2304">
      <c r="A2304" s="54" t="n"/>
      <c r="B2304" s="61" t="n"/>
      <c r="C2304" s="58" t="n"/>
      <c r="D2304" s="58" t="n"/>
      <c r="E2304" s="64">
        <f>IF(tblCommentary[[#This Row],[Date]]="","",COUNTIFS(INDEX(tblCommentary[Date],1):tblCommentary[[#This Row],[Date]],tblCommentary[[#This Row],[Date]]))</f>
        <v/>
      </c>
      <c r="F2304" s="63">
        <f>IF(tblCommentary[[#This Row],[Date]]="","",tblCommentary[[#This Row],[Date]]&amp;"|"&amp;tblCommentary[[#This Row],[Seq_Day]])</f>
        <v/>
      </c>
    </row>
    <row r="2305">
      <c r="A2305" s="54" t="n"/>
      <c r="B2305" s="61" t="n"/>
      <c r="C2305" s="58" t="n"/>
      <c r="D2305" s="58" t="n"/>
      <c r="E2305" s="64">
        <f>IF(tblCommentary[[#This Row],[Date]]="","",COUNTIFS(INDEX(tblCommentary[Date],1):tblCommentary[[#This Row],[Date]],tblCommentary[[#This Row],[Date]]))</f>
        <v/>
      </c>
      <c r="F2305" s="63">
        <f>IF(tblCommentary[[#This Row],[Date]]="","",tblCommentary[[#This Row],[Date]]&amp;"|"&amp;tblCommentary[[#This Row],[Seq_Day]])</f>
        <v/>
      </c>
    </row>
    <row r="2306">
      <c r="A2306" s="54" t="n"/>
      <c r="B2306" s="61" t="n"/>
      <c r="C2306" s="58" t="n"/>
      <c r="D2306" s="58" t="n"/>
      <c r="E2306" s="64">
        <f>IF(tblCommentary[[#This Row],[Date]]="","",COUNTIFS(INDEX(tblCommentary[Date],1):tblCommentary[[#This Row],[Date]],tblCommentary[[#This Row],[Date]]))</f>
        <v/>
      </c>
      <c r="F2306" s="63">
        <f>IF(tblCommentary[[#This Row],[Date]]="","",tblCommentary[[#This Row],[Date]]&amp;"|"&amp;tblCommentary[[#This Row],[Seq_Day]])</f>
        <v/>
      </c>
    </row>
    <row r="2307">
      <c r="A2307" s="54" t="n"/>
      <c r="B2307" s="61" t="n"/>
      <c r="C2307" s="58" t="n"/>
      <c r="D2307" s="58" t="n"/>
      <c r="E2307" s="64">
        <f>IF(tblCommentary[[#This Row],[Date]]="","",COUNTIFS(INDEX(tblCommentary[Date],1):tblCommentary[[#This Row],[Date]],tblCommentary[[#This Row],[Date]]))</f>
        <v/>
      </c>
      <c r="F2307" s="63">
        <f>IF(tblCommentary[[#This Row],[Date]]="","",tblCommentary[[#This Row],[Date]]&amp;"|"&amp;tblCommentary[[#This Row],[Seq_Day]])</f>
        <v/>
      </c>
    </row>
    <row r="2308">
      <c r="A2308" s="54" t="n"/>
      <c r="B2308" s="61" t="n"/>
      <c r="C2308" s="58" t="n"/>
      <c r="D2308" s="58" t="n"/>
      <c r="E2308" s="64">
        <f>IF(tblCommentary[[#This Row],[Date]]="","",COUNTIFS(INDEX(tblCommentary[Date],1):tblCommentary[[#This Row],[Date]],tblCommentary[[#This Row],[Date]]))</f>
        <v/>
      </c>
      <c r="F2308" s="63">
        <f>IF(tblCommentary[[#This Row],[Date]]="","",tblCommentary[[#This Row],[Date]]&amp;"|"&amp;tblCommentary[[#This Row],[Seq_Day]])</f>
        <v/>
      </c>
    </row>
    <row r="2309">
      <c r="A2309" s="54" t="n"/>
      <c r="B2309" s="61" t="n"/>
      <c r="C2309" s="58" t="n"/>
      <c r="D2309" s="58" t="n"/>
      <c r="E2309" s="64">
        <f>IF(tblCommentary[[#This Row],[Date]]="","",COUNTIFS(INDEX(tblCommentary[Date],1):tblCommentary[[#This Row],[Date]],tblCommentary[[#This Row],[Date]]))</f>
        <v/>
      </c>
      <c r="F2309" s="63">
        <f>IF(tblCommentary[[#This Row],[Date]]="","",tblCommentary[[#This Row],[Date]]&amp;"|"&amp;tblCommentary[[#This Row],[Seq_Day]])</f>
        <v/>
      </c>
    </row>
    <row r="2310">
      <c r="A2310" s="54" t="n"/>
      <c r="B2310" s="61" t="n"/>
      <c r="C2310" s="58" t="n"/>
      <c r="D2310" s="58" t="n"/>
      <c r="E2310" s="64">
        <f>IF(tblCommentary[[#This Row],[Date]]="","",COUNTIFS(INDEX(tblCommentary[Date],1):tblCommentary[[#This Row],[Date]],tblCommentary[[#This Row],[Date]]))</f>
        <v/>
      </c>
      <c r="F2310" s="63">
        <f>IF(tblCommentary[[#This Row],[Date]]="","",tblCommentary[[#This Row],[Date]]&amp;"|"&amp;tblCommentary[[#This Row],[Seq_Day]])</f>
        <v/>
      </c>
    </row>
    <row r="2311">
      <c r="A2311" s="54" t="n"/>
      <c r="B2311" s="61" t="n"/>
      <c r="C2311" s="58" t="n"/>
      <c r="D2311" s="58" t="n"/>
      <c r="E2311" s="64">
        <f>IF(tblCommentary[[#This Row],[Date]]="","",COUNTIFS(INDEX(tblCommentary[Date],1):tblCommentary[[#This Row],[Date]],tblCommentary[[#This Row],[Date]]))</f>
        <v/>
      </c>
      <c r="F2311" s="63">
        <f>IF(tblCommentary[[#This Row],[Date]]="","",tblCommentary[[#This Row],[Date]]&amp;"|"&amp;tblCommentary[[#This Row],[Seq_Day]])</f>
        <v/>
      </c>
    </row>
    <row r="2312">
      <c r="A2312" s="54" t="n"/>
      <c r="B2312" s="61" t="n"/>
      <c r="C2312" s="58" t="n"/>
      <c r="D2312" s="58" t="n"/>
      <c r="E2312" s="64">
        <f>IF(tblCommentary[[#This Row],[Date]]="","",COUNTIFS(INDEX(tblCommentary[Date],1):tblCommentary[[#This Row],[Date]],tblCommentary[[#This Row],[Date]]))</f>
        <v/>
      </c>
      <c r="F2312" s="63">
        <f>IF(tblCommentary[[#This Row],[Date]]="","",tblCommentary[[#This Row],[Date]]&amp;"|"&amp;tblCommentary[[#This Row],[Seq_Day]])</f>
        <v/>
      </c>
    </row>
    <row r="2313">
      <c r="A2313" s="54" t="n"/>
      <c r="B2313" s="61" t="n"/>
      <c r="C2313" s="58" t="n"/>
      <c r="D2313" s="58" t="n"/>
      <c r="E2313" s="64">
        <f>IF(tblCommentary[[#This Row],[Date]]="","",COUNTIFS(INDEX(tblCommentary[Date],1):tblCommentary[[#This Row],[Date]],tblCommentary[[#This Row],[Date]]))</f>
        <v/>
      </c>
      <c r="F2313" s="63">
        <f>IF(tblCommentary[[#This Row],[Date]]="","",tblCommentary[[#This Row],[Date]]&amp;"|"&amp;tblCommentary[[#This Row],[Seq_Day]])</f>
        <v/>
      </c>
    </row>
    <row r="2314">
      <c r="A2314" s="54" t="n"/>
      <c r="B2314" s="61" t="n"/>
      <c r="C2314" s="58" t="n"/>
      <c r="D2314" s="58" t="n"/>
      <c r="E2314" s="64">
        <f>IF(tblCommentary[[#This Row],[Date]]="","",COUNTIFS(INDEX(tblCommentary[Date],1):tblCommentary[[#This Row],[Date]],tblCommentary[[#This Row],[Date]]))</f>
        <v/>
      </c>
      <c r="F2314" s="63">
        <f>IF(tblCommentary[[#This Row],[Date]]="","",tblCommentary[[#This Row],[Date]]&amp;"|"&amp;tblCommentary[[#This Row],[Seq_Day]])</f>
        <v/>
      </c>
    </row>
    <row r="2315">
      <c r="A2315" s="54" t="n"/>
      <c r="B2315" s="61" t="n"/>
      <c r="C2315" s="58" t="n"/>
      <c r="D2315" s="58" t="n"/>
      <c r="E2315" s="64">
        <f>IF(tblCommentary[[#This Row],[Date]]="","",COUNTIFS(INDEX(tblCommentary[Date],1):tblCommentary[[#This Row],[Date]],tblCommentary[[#This Row],[Date]]))</f>
        <v/>
      </c>
      <c r="F2315" s="63">
        <f>IF(tblCommentary[[#This Row],[Date]]="","",tblCommentary[[#This Row],[Date]]&amp;"|"&amp;tblCommentary[[#This Row],[Seq_Day]])</f>
        <v/>
      </c>
    </row>
    <row r="2316">
      <c r="A2316" s="54" t="n"/>
      <c r="B2316" s="61" t="n"/>
      <c r="C2316" s="58" t="n"/>
      <c r="D2316" s="58" t="n"/>
      <c r="E2316" s="64">
        <f>IF(tblCommentary[[#This Row],[Date]]="","",COUNTIFS(INDEX(tblCommentary[Date],1):tblCommentary[[#This Row],[Date]],tblCommentary[[#This Row],[Date]]))</f>
        <v/>
      </c>
      <c r="F2316" s="63">
        <f>IF(tblCommentary[[#This Row],[Date]]="","",tblCommentary[[#This Row],[Date]]&amp;"|"&amp;tblCommentary[[#This Row],[Seq_Day]])</f>
        <v/>
      </c>
    </row>
    <row r="2317">
      <c r="A2317" s="54" t="n"/>
      <c r="B2317" s="61" t="n"/>
      <c r="C2317" s="58" t="n"/>
      <c r="D2317" s="58" t="n"/>
      <c r="E2317" s="64">
        <f>IF(tblCommentary[[#This Row],[Date]]="","",COUNTIFS(INDEX(tblCommentary[Date],1):tblCommentary[[#This Row],[Date]],tblCommentary[[#This Row],[Date]]))</f>
        <v/>
      </c>
      <c r="F2317" s="63">
        <f>IF(tblCommentary[[#This Row],[Date]]="","",tblCommentary[[#This Row],[Date]]&amp;"|"&amp;tblCommentary[[#This Row],[Seq_Day]])</f>
        <v/>
      </c>
    </row>
    <row r="2318">
      <c r="A2318" s="54" t="n"/>
      <c r="B2318" s="61" t="n"/>
      <c r="C2318" s="58" t="n"/>
      <c r="D2318" s="58" t="n"/>
      <c r="E2318" s="64">
        <f>IF(tblCommentary[[#This Row],[Date]]="","",COUNTIFS(INDEX(tblCommentary[Date],1):tblCommentary[[#This Row],[Date]],tblCommentary[[#This Row],[Date]]))</f>
        <v/>
      </c>
      <c r="F2318" s="63">
        <f>IF(tblCommentary[[#This Row],[Date]]="","",tblCommentary[[#This Row],[Date]]&amp;"|"&amp;tblCommentary[[#This Row],[Seq_Day]])</f>
        <v/>
      </c>
    </row>
    <row r="2319">
      <c r="A2319" s="54" t="n"/>
      <c r="B2319" s="61" t="n"/>
      <c r="C2319" s="58" t="n"/>
      <c r="D2319" s="58" t="n"/>
      <c r="E2319" s="64">
        <f>IF(tblCommentary[[#This Row],[Date]]="","",COUNTIFS(INDEX(tblCommentary[Date],1):tblCommentary[[#This Row],[Date]],tblCommentary[[#This Row],[Date]]))</f>
        <v/>
      </c>
      <c r="F2319" s="63">
        <f>IF(tblCommentary[[#This Row],[Date]]="","",tblCommentary[[#This Row],[Date]]&amp;"|"&amp;tblCommentary[[#This Row],[Seq_Day]])</f>
        <v/>
      </c>
    </row>
    <row r="2320">
      <c r="A2320" s="54" t="n"/>
      <c r="B2320" s="61" t="n"/>
      <c r="C2320" s="58" t="n"/>
      <c r="D2320" s="58" t="n"/>
      <c r="E2320" s="64">
        <f>IF(tblCommentary[[#This Row],[Date]]="","",COUNTIFS(INDEX(tblCommentary[Date],1):tblCommentary[[#This Row],[Date]],tblCommentary[[#This Row],[Date]]))</f>
        <v/>
      </c>
      <c r="F2320" s="63">
        <f>IF(tblCommentary[[#This Row],[Date]]="","",tblCommentary[[#This Row],[Date]]&amp;"|"&amp;tblCommentary[[#This Row],[Seq_Day]])</f>
        <v/>
      </c>
    </row>
    <row r="2321">
      <c r="A2321" s="54" t="n"/>
      <c r="B2321" s="61" t="n"/>
      <c r="C2321" s="58" t="n"/>
      <c r="D2321" s="58" t="n"/>
      <c r="E2321" s="64">
        <f>IF(tblCommentary[[#This Row],[Date]]="","",COUNTIFS(INDEX(tblCommentary[Date],1):tblCommentary[[#This Row],[Date]],tblCommentary[[#This Row],[Date]]))</f>
        <v/>
      </c>
      <c r="F2321" s="63">
        <f>IF(tblCommentary[[#This Row],[Date]]="","",tblCommentary[[#This Row],[Date]]&amp;"|"&amp;tblCommentary[[#This Row],[Seq_Day]])</f>
        <v/>
      </c>
    </row>
    <row r="2322">
      <c r="A2322" s="54" t="n"/>
      <c r="B2322" s="61" t="n"/>
      <c r="C2322" s="58" t="n"/>
      <c r="D2322" s="58" t="n"/>
      <c r="E2322" s="64">
        <f>IF(tblCommentary[[#This Row],[Date]]="","",COUNTIFS(INDEX(tblCommentary[Date],1):tblCommentary[[#This Row],[Date]],tblCommentary[[#This Row],[Date]]))</f>
        <v/>
      </c>
      <c r="F2322" s="63">
        <f>IF(tblCommentary[[#This Row],[Date]]="","",tblCommentary[[#This Row],[Date]]&amp;"|"&amp;tblCommentary[[#This Row],[Seq_Day]])</f>
        <v/>
      </c>
    </row>
    <row r="2323">
      <c r="A2323" s="54" t="n"/>
      <c r="B2323" s="61" t="n"/>
      <c r="C2323" s="58" t="n"/>
      <c r="D2323" s="58" t="n"/>
      <c r="E2323" s="64">
        <f>IF(tblCommentary[[#This Row],[Date]]="","",COUNTIFS(INDEX(tblCommentary[Date],1):tblCommentary[[#This Row],[Date]],tblCommentary[[#This Row],[Date]]))</f>
        <v/>
      </c>
      <c r="F2323" s="63">
        <f>IF(tblCommentary[[#This Row],[Date]]="","",tblCommentary[[#This Row],[Date]]&amp;"|"&amp;tblCommentary[[#This Row],[Seq_Day]])</f>
        <v/>
      </c>
    </row>
    <row r="2324">
      <c r="A2324" s="54" t="n"/>
      <c r="B2324" s="61" t="n"/>
      <c r="C2324" s="58" t="n"/>
      <c r="D2324" s="58" t="n"/>
      <c r="E2324" s="64">
        <f>IF(tblCommentary[[#This Row],[Date]]="","",COUNTIFS(INDEX(tblCommentary[Date],1):tblCommentary[[#This Row],[Date]],tblCommentary[[#This Row],[Date]]))</f>
        <v/>
      </c>
      <c r="F2324" s="63">
        <f>IF(tblCommentary[[#This Row],[Date]]="","",tblCommentary[[#This Row],[Date]]&amp;"|"&amp;tblCommentary[[#This Row],[Seq_Day]])</f>
        <v/>
      </c>
    </row>
    <row r="2325">
      <c r="A2325" s="54" t="n"/>
      <c r="B2325" s="61" t="n"/>
      <c r="C2325" s="58" t="n"/>
      <c r="D2325" s="58" t="n"/>
      <c r="E2325" s="64">
        <f>IF(tblCommentary[[#This Row],[Date]]="","",COUNTIFS(INDEX(tblCommentary[Date],1):tblCommentary[[#This Row],[Date]],tblCommentary[[#This Row],[Date]]))</f>
        <v/>
      </c>
      <c r="F2325" s="63">
        <f>IF(tblCommentary[[#This Row],[Date]]="","",tblCommentary[[#This Row],[Date]]&amp;"|"&amp;tblCommentary[[#This Row],[Seq_Day]])</f>
        <v/>
      </c>
    </row>
    <row r="2326">
      <c r="A2326" s="54" t="n"/>
      <c r="B2326" s="61" t="n"/>
      <c r="C2326" s="58" t="n"/>
      <c r="D2326" s="58" t="n"/>
      <c r="E2326" s="64">
        <f>IF(tblCommentary[[#This Row],[Date]]="","",COUNTIFS(INDEX(tblCommentary[Date],1):tblCommentary[[#This Row],[Date]],tblCommentary[[#This Row],[Date]]))</f>
        <v/>
      </c>
      <c r="F2326" s="63">
        <f>IF(tblCommentary[[#This Row],[Date]]="","",tblCommentary[[#This Row],[Date]]&amp;"|"&amp;tblCommentary[[#This Row],[Seq_Day]])</f>
        <v/>
      </c>
    </row>
    <row r="2327">
      <c r="A2327" s="54" t="n"/>
      <c r="B2327" s="61" t="n"/>
      <c r="C2327" s="58" t="n"/>
      <c r="D2327" s="58" t="n"/>
      <c r="E2327" s="64">
        <f>IF(tblCommentary[[#This Row],[Date]]="","",COUNTIFS(INDEX(tblCommentary[Date],1):tblCommentary[[#This Row],[Date]],tblCommentary[[#This Row],[Date]]))</f>
        <v/>
      </c>
      <c r="F2327" s="63">
        <f>IF(tblCommentary[[#This Row],[Date]]="","",tblCommentary[[#This Row],[Date]]&amp;"|"&amp;tblCommentary[[#This Row],[Seq_Day]])</f>
        <v/>
      </c>
    </row>
    <row r="2328">
      <c r="A2328" s="54" t="n"/>
      <c r="B2328" s="61" t="n"/>
      <c r="C2328" s="58" t="n"/>
      <c r="D2328" s="58" t="n"/>
      <c r="E2328" s="64">
        <f>IF(tblCommentary[[#This Row],[Date]]="","",COUNTIFS(INDEX(tblCommentary[Date],1):tblCommentary[[#This Row],[Date]],tblCommentary[[#This Row],[Date]]))</f>
        <v/>
      </c>
      <c r="F2328" s="63">
        <f>IF(tblCommentary[[#This Row],[Date]]="","",tblCommentary[[#This Row],[Date]]&amp;"|"&amp;tblCommentary[[#This Row],[Seq_Day]])</f>
        <v/>
      </c>
    </row>
    <row r="2329">
      <c r="A2329" s="54" t="n"/>
      <c r="B2329" s="61" t="n"/>
      <c r="C2329" s="58" t="n"/>
      <c r="D2329" s="58" t="n"/>
      <c r="E2329" s="64">
        <f>IF(tblCommentary[[#This Row],[Date]]="","",COUNTIFS(INDEX(tblCommentary[Date],1):tblCommentary[[#This Row],[Date]],tblCommentary[[#This Row],[Date]]))</f>
        <v/>
      </c>
      <c r="F2329" s="63">
        <f>IF(tblCommentary[[#This Row],[Date]]="","",tblCommentary[[#This Row],[Date]]&amp;"|"&amp;tblCommentary[[#This Row],[Seq_Day]])</f>
        <v/>
      </c>
    </row>
    <row r="2330">
      <c r="A2330" s="54" t="n"/>
      <c r="B2330" s="61" t="n"/>
      <c r="C2330" s="58" t="n"/>
      <c r="D2330" s="58" t="n"/>
      <c r="E2330" s="64">
        <f>IF(tblCommentary[[#This Row],[Date]]="","",COUNTIFS(INDEX(tblCommentary[Date],1):tblCommentary[[#This Row],[Date]],tblCommentary[[#This Row],[Date]]))</f>
        <v/>
      </c>
      <c r="F2330" s="63">
        <f>IF(tblCommentary[[#This Row],[Date]]="","",tblCommentary[[#This Row],[Date]]&amp;"|"&amp;tblCommentary[[#This Row],[Seq_Day]])</f>
        <v/>
      </c>
    </row>
    <row r="2331">
      <c r="A2331" s="54" t="n"/>
      <c r="B2331" s="61" t="n"/>
      <c r="C2331" s="58" t="n"/>
      <c r="D2331" s="58" t="n"/>
      <c r="E2331" s="64">
        <f>IF(tblCommentary[[#This Row],[Date]]="","",COUNTIFS(INDEX(tblCommentary[Date],1):tblCommentary[[#This Row],[Date]],tblCommentary[[#This Row],[Date]]))</f>
        <v/>
      </c>
      <c r="F2331" s="63">
        <f>IF(tblCommentary[[#This Row],[Date]]="","",tblCommentary[[#This Row],[Date]]&amp;"|"&amp;tblCommentary[[#This Row],[Seq_Day]])</f>
        <v/>
      </c>
    </row>
    <row r="2332">
      <c r="A2332" s="54" t="n"/>
      <c r="B2332" s="61" t="n"/>
      <c r="C2332" s="58" t="n"/>
      <c r="D2332" s="58" t="n"/>
      <c r="E2332" s="64">
        <f>IF(tblCommentary[[#This Row],[Date]]="","",COUNTIFS(INDEX(tblCommentary[Date],1):tblCommentary[[#This Row],[Date]],tblCommentary[[#This Row],[Date]]))</f>
        <v/>
      </c>
      <c r="F2332" s="63">
        <f>IF(tblCommentary[[#This Row],[Date]]="","",tblCommentary[[#This Row],[Date]]&amp;"|"&amp;tblCommentary[[#This Row],[Seq_Day]])</f>
        <v/>
      </c>
    </row>
    <row r="2333">
      <c r="A2333" s="54" t="n"/>
      <c r="B2333" s="61" t="n"/>
      <c r="C2333" s="58" t="n"/>
      <c r="D2333" s="58" t="n"/>
      <c r="E2333" s="64">
        <f>IF(tblCommentary[[#This Row],[Date]]="","",COUNTIFS(INDEX(tblCommentary[Date],1):tblCommentary[[#This Row],[Date]],tblCommentary[[#This Row],[Date]]))</f>
        <v/>
      </c>
      <c r="F2333" s="63">
        <f>IF(tblCommentary[[#This Row],[Date]]="","",tblCommentary[[#This Row],[Date]]&amp;"|"&amp;tblCommentary[[#This Row],[Seq_Day]])</f>
        <v/>
      </c>
    </row>
    <row r="2334">
      <c r="A2334" s="54" t="n"/>
      <c r="B2334" s="61" t="n"/>
      <c r="C2334" s="58" t="n"/>
      <c r="D2334" s="58" t="n"/>
      <c r="E2334" s="64">
        <f>IF(tblCommentary[[#This Row],[Date]]="","",COUNTIFS(INDEX(tblCommentary[Date],1):tblCommentary[[#This Row],[Date]],tblCommentary[[#This Row],[Date]]))</f>
        <v/>
      </c>
      <c r="F2334" s="63">
        <f>IF(tblCommentary[[#This Row],[Date]]="","",tblCommentary[[#This Row],[Date]]&amp;"|"&amp;tblCommentary[[#This Row],[Seq_Day]])</f>
        <v/>
      </c>
    </row>
    <row r="2335">
      <c r="A2335" s="54" t="n"/>
      <c r="B2335" s="61" t="n"/>
      <c r="C2335" s="58" t="n"/>
      <c r="D2335" s="58" t="n"/>
      <c r="E2335" s="64">
        <f>IF(tblCommentary[[#This Row],[Date]]="","",COUNTIFS(INDEX(tblCommentary[Date],1):tblCommentary[[#This Row],[Date]],tblCommentary[[#This Row],[Date]]))</f>
        <v/>
      </c>
      <c r="F2335" s="63">
        <f>IF(tblCommentary[[#This Row],[Date]]="","",tblCommentary[[#This Row],[Date]]&amp;"|"&amp;tblCommentary[[#This Row],[Seq_Day]])</f>
        <v/>
      </c>
    </row>
    <row r="2336">
      <c r="A2336" s="54" t="n"/>
      <c r="B2336" s="61" t="n"/>
      <c r="C2336" s="58" t="n"/>
      <c r="D2336" s="58" t="n"/>
      <c r="E2336" s="64">
        <f>IF(tblCommentary[[#This Row],[Date]]="","",COUNTIFS(INDEX(tblCommentary[Date],1):tblCommentary[[#This Row],[Date]],tblCommentary[[#This Row],[Date]]))</f>
        <v/>
      </c>
      <c r="F2336" s="63">
        <f>IF(tblCommentary[[#This Row],[Date]]="","",tblCommentary[[#This Row],[Date]]&amp;"|"&amp;tblCommentary[[#This Row],[Seq_Day]])</f>
        <v/>
      </c>
    </row>
    <row r="2337">
      <c r="A2337" s="54" t="n"/>
      <c r="B2337" s="61" t="n"/>
      <c r="C2337" s="58" t="n"/>
      <c r="D2337" s="58" t="n"/>
      <c r="E2337" s="64">
        <f>IF(tblCommentary[[#This Row],[Date]]="","",COUNTIFS(INDEX(tblCommentary[Date],1):tblCommentary[[#This Row],[Date]],tblCommentary[[#This Row],[Date]]))</f>
        <v/>
      </c>
      <c r="F2337" s="63">
        <f>IF(tblCommentary[[#This Row],[Date]]="","",tblCommentary[[#This Row],[Date]]&amp;"|"&amp;tblCommentary[[#This Row],[Seq_Day]])</f>
        <v/>
      </c>
    </row>
    <row r="2338">
      <c r="A2338" s="54" t="n"/>
      <c r="B2338" s="61" t="n"/>
      <c r="C2338" s="58" t="n"/>
      <c r="D2338" s="58" t="n"/>
      <c r="E2338" s="64">
        <f>IF(tblCommentary[[#This Row],[Date]]="","",COUNTIFS(INDEX(tblCommentary[Date],1):tblCommentary[[#This Row],[Date]],tblCommentary[[#This Row],[Date]]))</f>
        <v/>
      </c>
      <c r="F2338" s="63">
        <f>IF(tblCommentary[[#This Row],[Date]]="","",tblCommentary[[#This Row],[Date]]&amp;"|"&amp;tblCommentary[[#This Row],[Seq_Day]])</f>
        <v/>
      </c>
    </row>
    <row r="2339">
      <c r="A2339" s="54" t="n"/>
      <c r="B2339" s="61" t="n"/>
      <c r="C2339" s="58" t="n"/>
      <c r="D2339" s="58" t="n"/>
      <c r="E2339" s="64">
        <f>IF(tblCommentary[[#This Row],[Date]]="","",COUNTIFS(INDEX(tblCommentary[Date],1):tblCommentary[[#This Row],[Date]],tblCommentary[[#This Row],[Date]]))</f>
        <v/>
      </c>
      <c r="F2339" s="63">
        <f>IF(tblCommentary[[#This Row],[Date]]="","",tblCommentary[[#This Row],[Date]]&amp;"|"&amp;tblCommentary[[#This Row],[Seq_Day]])</f>
        <v/>
      </c>
    </row>
    <row r="2340">
      <c r="A2340" s="54" t="n"/>
      <c r="B2340" s="61" t="n"/>
      <c r="C2340" s="58" t="n"/>
      <c r="D2340" s="58" t="n"/>
      <c r="E2340" s="64">
        <f>IF(tblCommentary[[#This Row],[Date]]="","",COUNTIFS(INDEX(tblCommentary[Date],1):tblCommentary[[#This Row],[Date]],tblCommentary[[#This Row],[Date]]))</f>
        <v/>
      </c>
      <c r="F2340" s="63">
        <f>IF(tblCommentary[[#This Row],[Date]]="","",tblCommentary[[#This Row],[Date]]&amp;"|"&amp;tblCommentary[[#This Row],[Seq_Day]])</f>
        <v/>
      </c>
    </row>
    <row r="2341">
      <c r="A2341" s="54" t="n"/>
      <c r="B2341" s="61" t="n"/>
      <c r="C2341" s="58" t="n"/>
      <c r="D2341" s="58" t="n"/>
      <c r="E2341" s="64">
        <f>IF(tblCommentary[[#This Row],[Date]]="","",COUNTIFS(INDEX(tblCommentary[Date],1):tblCommentary[[#This Row],[Date]],tblCommentary[[#This Row],[Date]]))</f>
        <v/>
      </c>
      <c r="F2341" s="63">
        <f>IF(tblCommentary[[#This Row],[Date]]="","",tblCommentary[[#This Row],[Date]]&amp;"|"&amp;tblCommentary[[#This Row],[Seq_Day]])</f>
        <v/>
      </c>
    </row>
    <row r="2342">
      <c r="A2342" s="54" t="n"/>
      <c r="B2342" s="61" t="n"/>
      <c r="C2342" s="58" t="n"/>
      <c r="D2342" s="58" t="n"/>
      <c r="E2342" s="64">
        <f>IF(tblCommentary[[#This Row],[Date]]="","",COUNTIFS(INDEX(tblCommentary[Date],1):tblCommentary[[#This Row],[Date]],tblCommentary[[#This Row],[Date]]))</f>
        <v/>
      </c>
      <c r="F2342" s="63">
        <f>IF(tblCommentary[[#This Row],[Date]]="","",tblCommentary[[#This Row],[Date]]&amp;"|"&amp;tblCommentary[[#This Row],[Seq_Day]])</f>
        <v/>
      </c>
    </row>
    <row r="2343">
      <c r="A2343" s="54" t="n"/>
      <c r="B2343" s="61" t="n"/>
      <c r="C2343" s="58" t="n"/>
      <c r="D2343" s="58" t="n"/>
      <c r="E2343" s="64">
        <f>IF(tblCommentary[[#This Row],[Date]]="","",COUNTIFS(INDEX(tblCommentary[Date],1):tblCommentary[[#This Row],[Date]],tblCommentary[[#This Row],[Date]]))</f>
        <v/>
      </c>
      <c r="F2343" s="63">
        <f>IF(tblCommentary[[#This Row],[Date]]="","",tblCommentary[[#This Row],[Date]]&amp;"|"&amp;tblCommentary[[#This Row],[Seq_Day]])</f>
        <v/>
      </c>
    </row>
    <row r="2344">
      <c r="A2344" s="54" t="n"/>
      <c r="B2344" s="61" t="n"/>
      <c r="C2344" s="58" t="n"/>
      <c r="D2344" s="58" t="n"/>
      <c r="E2344" s="64">
        <f>IF(tblCommentary[[#This Row],[Date]]="","",COUNTIFS(INDEX(tblCommentary[Date],1):tblCommentary[[#This Row],[Date]],tblCommentary[[#This Row],[Date]]))</f>
        <v/>
      </c>
      <c r="F2344" s="63">
        <f>IF(tblCommentary[[#This Row],[Date]]="","",tblCommentary[[#This Row],[Date]]&amp;"|"&amp;tblCommentary[[#This Row],[Seq_Day]])</f>
        <v/>
      </c>
    </row>
    <row r="2345">
      <c r="A2345" s="54" t="n"/>
      <c r="B2345" s="61" t="n"/>
      <c r="C2345" s="58" t="n"/>
      <c r="D2345" s="58" t="n"/>
      <c r="E2345" s="64">
        <f>IF(tblCommentary[[#This Row],[Date]]="","",COUNTIFS(INDEX(tblCommentary[Date],1):tblCommentary[[#This Row],[Date]],tblCommentary[[#This Row],[Date]]))</f>
        <v/>
      </c>
      <c r="F2345" s="63">
        <f>IF(tblCommentary[[#This Row],[Date]]="","",tblCommentary[[#This Row],[Date]]&amp;"|"&amp;tblCommentary[[#This Row],[Seq_Day]])</f>
        <v/>
      </c>
    </row>
    <row r="2346">
      <c r="A2346" s="54" t="n"/>
      <c r="B2346" s="61" t="n"/>
      <c r="C2346" s="58" t="n"/>
      <c r="D2346" s="58" t="n"/>
      <c r="E2346" s="64">
        <f>IF(tblCommentary[[#This Row],[Date]]="","",COUNTIFS(INDEX(tblCommentary[Date],1):tblCommentary[[#This Row],[Date]],tblCommentary[[#This Row],[Date]]))</f>
        <v/>
      </c>
      <c r="F2346" s="63">
        <f>IF(tblCommentary[[#This Row],[Date]]="","",tblCommentary[[#This Row],[Date]]&amp;"|"&amp;tblCommentary[[#This Row],[Seq_Day]])</f>
        <v/>
      </c>
    </row>
    <row r="2347">
      <c r="A2347" s="54" t="n"/>
      <c r="B2347" s="61" t="n"/>
      <c r="C2347" s="58" t="n"/>
      <c r="D2347" s="58" t="n"/>
      <c r="E2347" s="64">
        <f>IF(tblCommentary[[#This Row],[Date]]="","",COUNTIFS(INDEX(tblCommentary[Date],1):tblCommentary[[#This Row],[Date]],tblCommentary[[#This Row],[Date]]))</f>
        <v/>
      </c>
      <c r="F2347" s="63">
        <f>IF(tblCommentary[[#This Row],[Date]]="","",tblCommentary[[#This Row],[Date]]&amp;"|"&amp;tblCommentary[[#This Row],[Seq_Day]])</f>
        <v/>
      </c>
    </row>
    <row r="2348">
      <c r="A2348" s="54" t="n"/>
      <c r="B2348" s="61" t="n"/>
      <c r="C2348" s="58" t="n"/>
      <c r="D2348" s="58" t="n"/>
      <c r="E2348" s="64">
        <f>IF(tblCommentary[[#This Row],[Date]]="","",COUNTIFS(INDEX(tblCommentary[Date],1):tblCommentary[[#This Row],[Date]],tblCommentary[[#This Row],[Date]]))</f>
        <v/>
      </c>
      <c r="F2348" s="63">
        <f>IF(tblCommentary[[#This Row],[Date]]="","",tblCommentary[[#This Row],[Date]]&amp;"|"&amp;tblCommentary[[#This Row],[Seq_Day]])</f>
        <v/>
      </c>
    </row>
    <row r="2349">
      <c r="A2349" s="54" t="n"/>
      <c r="B2349" s="61" t="n"/>
      <c r="C2349" s="58" t="n"/>
      <c r="D2349" s="58" t="n"/>
      <c r="E2349" s="64">
        <f>IF(tblCommentary[[#This Row],[Date]]="","",COUNTIFS(INDEX(tblCommentary[Date],1):tblCommentary[[#This Row],[Date]],tblCommentary[[#This Row],[Date]]))</f>
        <v/>
      </c>
      <c r="F2349" s="63">
        <f>IF(tblCommentary[[#This Row],[Date]]="","",tblCommentary[[#This Row],[Date]]&amp;"|"&amp;tblCommentary[[#This Row],[Seq_Day]])</f>
        <v/>
      </c>
    </row>
    <row r="2350">
      <c r="A2350" s="54" t="n"/>
      <c r="B2350" s="61" t="n"/>
      <c r="C2350" s="58" t="n"/>
      <c r="D2350" s="58" t="n"/>
      <c r="E2350" s="64">
        <f>IF(tblCommentary[[#This Row],[Date]]="","",COUNTIFS(INDEX(tblCommentary[Date],1):tblCommentary[[#This Row],[Date]],tblCommentary[[#This Row],[Date]]))</f>
        <v/>
      </c>
      <c r="F2350" s="63">
        <f>IF(tblCommentary[[#This Row],[Date]]="","",tblCommentary[[#This Row],[Date]]&amp;"|"&amp;tblCommentary[[#This Row],[Seq_Day]])</f>
        <v/>
      </c>
    </row>
    <row r="2351">
      <c r="A2351" s="54" t="n"/>
      <c r="B2351" s="61" t="n"/>
      <c r="C2351" s="58" t="n"/>
      <c r="D2351" s="58" t="n"/>
      <c r="E2351" s="64">
        <f>IF(tblCommentary[[#This Row],[Date]]="","",COUNTIFS(INDEX(tblCommentary[Date],1):tblCommentary[[#This Row],[Date]],tblCommentary[[#This Row],[Date]]))</f>
        <v/>
      </c>
      <c r="F2351" s="63">
        <f>IF(tblCommentary[[#This Row],[Date]]="","",tblCommentary[[#This Row],[Date]]&amp;"|"&amp;tblCommentary[[#This Row],[Seq_Day]])</f>
        <v/>
      </c>
    </row>
    <row r="2352">
      <c r="A2352" s="54" t="n"/>
      <c r="B2352" s="61" t="n"/>
      <c r="C2352" s="58" t="n"/>
      <c r="D2352" s="58" t="n"/>
      <c r="E2352" s="64">
        <f>IF(tblCommentary[[#This Row],[Date]]="","",COUNTIFS(INDEX(tblCommentary[Date],1):tblCommentary[[#This Row],[Date]],tblCommentary[[#This Row],[Date]]))</f>
        <v/>
      </c>
      <c r="F2352" s="63">
        <f>IF(tblCommentary[[#This Row],[Date]]="","",tblCommentary[[#This Row],[Date]]&amp;"|"&amp;tblCommentary[[#This Row],[Seq_Day]])</f>
        <v/>
      </c>
    </row>
    <row r="2353">
      <c r="A2353" s="54" t="n"/>
      <c r="B2353" s="61" t="n"/>
      <c r="C2353" s="58" t="n"/>
      <c r="D2353" s="58" t="n"/>
      <c r="E2353" s="64">
        <f>IF(tblCommentary[[#This Row],[Date]]="","",COUNTIFS(INDEX(tblCommentary[Date],1):tblCommentary[[#This Row],[Date]],tblCommentary[[#This Row],[Date]]))</f>
        <v/>
      </c>
      <c r="F2353" s="63">
        <f>IF(tblCommentary[[#This Row],[Date]]="","",tblCommentary[[#This Row],[Date]]&amp;"|"&amp;tblCommentary[[#This Row],[Seq_Day]])</f>
        <v/>
      </c>
    </row>
    <row r="2354">
      <c r="A2354" s="54" t="n"/>
      <c r="B2354" s="61" t="n"/>
      <c r="C2354" s="58" t="n"/>
      <c r="D2354" s="58" t="n"/>
      <c r="E2354" s="64">
        <f>IF(tblCommentary[[#This Row],[Date]]="","",COUNTIFS(INDEX(tblCommentary[Date],1):tblCommentary[[#This Row],[Date]],tblCommentary[[#This Row],[Date]]))</f>
        <v/>
      </c>
      <c r="F2354" s="63">
        <f>IF(tblCommentary[[#This Row],[Date]]="","",tblCommentary[[#This Row],[Date]]&amp;"|"&amp;tblCommentary[[#This Row],[Seq_Day]])</f>
        <v/>
      </c>
    </row>
    <row r="2355">
      <c r="A2355" s="54" t="n"/>
      <c r="B2355" s="61" t="n"/>
      <c r="C2355" s="58" t="n"/>
      <c r="D2355" s="58" t="n"/>
      <c r="E2355" s="64">
        <f>IF(tblCommentary[[#This Row],[Date]]="","",COUNTIFS(INDEX(tblCommentary[Date],1):tblCommentary[[#This Row],[Date]],tblCommentary[[#This Row],[Date]]))</f>
        <v/>
      </c>
      <c r="F2355" s="63">
        <f>IF(tblCommentary[[#This Row],[Date]]="","",tblCommentary[[#This Row],[Date]]&amp;"|"&amp;tblCommentary[[#This Row],[Seq_Day]])</f>
        <v/>
      </c>
    </row>
    <row r="2356">
      <c r="A2356" s="54" t="n"/>
      <c r="B2356" s="61" t="n"/>
      <c r="C2356" s="58" t="n"/>
      <c r="D2356" s="58" t="n"/>
      <c r="E2356" s="64">
        <f>IF(tblCommentary[[#This Row],[Date]]="","",COUNTIFS(INDEX(tblCommentary[Date],1):tblCommentary[[#This Row],[Date]],tblCommentary[[#This Row],[Date]]))</f>
        <v/>
      </c>
      <c r="F2356" s="63">
        <f>IF(tblCommentary[[#This Row],[Date]]="","",tblCommentary[[#This Row],[Date]]&amp;"|"&amp;tblCommentary[[#This Row],[Seq_Day]])</f>
        <v/>
      </c>
    </row>
    <row r="2357">
      <c r="A2357" s="54" t="n"/>
      <c r="B2357" s="61" t="n"/>
      <c r="C2357" s="58" t="n"/>
      <c r="D2357" s="58" t="n"/>
      <c r="E2357" s="64">
        <f>IF(tblCommentary[[#This Row],[Date]]="","",COUNTIFS(INDEX(tblCommentary[Date],1):tblCommentary[[#This Row],[Date]],tblCommentary[[#This Row],[Date]]))</f>
        <v/>
      </c>
      <c r="F2357" s="63">
        <f>IF(tblCommentary[[#This Row],[Date]]="","",tblCommentary[[#This Row],[Date]]&amp;"|"&amp;tblCommentary[[#This Row],[Seq_Day]])</f>
        <v/>
      </c>
    </row>
    <row r="2358">
      <c r="A2358" s="54" t="n"/>
      <c r="B2358" s="61" t="n"/>
      <c r="C2358" s="58" t="n"/>
      <c r="D2358" s="58" t="n"/>
      <c r="E2358" s="64">
        <f>IF(tblCommentary[[#This Row],[Date]]="","",COUNTIFS(INDEX(tblCommentary[Date],1):tblCommentary[[#This Row],[Date]],tblCommentary[[#This Row],[Date]]))</f>
        <v/>
      </c>
      <c r="F2358" s="63">
        <f>IF(tblCommentary[[#This Row],[Date]]="","",tblCommentary[[#This Row],[Date]]&amp;"|"&amp;tblCommentary[[#This Row],[Seq_Day]])</f>
        <v/>
      </c>
    </row>
    <row r="2359">
      <c r="A2359" s="54" t="n"/>
      <c r="B2359" s="61" t="n"/>
      <c r="C2359" s="58" t="n"/>
      <c r="D2359" s="58" t="n"/>
      <c r="E2359" s="64">
        <f>IF(tblCommentary[[#This Row],[Date]]="","",COUNTIFS(INDEX(tblCommentary[Date],1):tblCommentary[[#This Row],[Date]],tblCommentary[[#This Row],[Date]]))</f>
        <v/>
      </c>
      <c r="F2359" s="63">
        <f>IF(tblCommentary[[#This Row],[Date]]="","",tblCommentary[[#This Row],[Date]]&amp;"|"&amp;tblCommentary[[#This Row],[Seq_Day]])</f>
        <v/>
      </c>
    </row>
    <row r="2360">
      <c r="A2360" s="54" t="n"/>
      <c r="B2360" s="61" t="n"/>
      <c r="C2360" s="58" t="n"/>
      <c r="D2360" s="58" t="n"/>
      <c r="E2360" s="64">
        <f>IF(tblCommentary[[#This Row],[Date]]="","",COUNTIFS(INDEX(tblCommentary[Date],1):tblCommentary[[#This Row],[Date]],tblCommentary[[#This Row],[Date]]))</f>
        <v/>
      </c>
      <c r="F2360" s="63">
        <f>IF(tblCommentary[[#This Row],[Date]]="","",tblCommentary[[#This Row],[Date]]&amp;"|"&amp;tblCommentary[[#This Row],[Seq_Day]])</f>
        <v/>
      </c>
    </row>
    <row r="2361">
      <c r="A2361" s="54" t="n"/>
      <c r="B2361" s="61" t="n"/>
      <c r="C2361" s="58" t="n"/>
      <c r="D2361" s="58" t="n"/>
      <c r="E2361" s="64">
        <f>IF(tblCommentary[[#This Row],[Date]]="","",COUNTIFS(INDEX(tblCommentary[Date],1):tblCommentary[[#This Row],[Date]],tblCommentary[[#This Row],[Date]]))</f>
        <v/>
      </c>
      <c r="F2361" s="63">
        <f>IF(tblCommentary[[#This Row],[Date]]="","",tblCommentary[[#This Row],[Date]]&amp;"|"&amp;tblCommentary[[#This Row],[Seq_Day]])</f>
        <v/>
      </c>
    </row>
    <row r="2362">
      <c r="A2362" s="54" t="n"/>
      <c r="B2362" s="61" t="n"/>
      <c r="C2362" s="58" t="n"/>
      <c r="D2362" s="58" t="n"/>
      <c r="E2362" s="64">
        <f>IF(tblCommentary[[#This Row],[Date]]="","",COUNTIFS(INDEX(tblCommentary[Date],1):tblCommentary[[#This Row],[Date]],tblCommentary[[#This Row],[Date]]))</f>
        <v/>
      </c>
      <c r="F2362" s="63">
        <f>IF(tblCommentary[[#This Row],[Date]]="","",tblCommentary[[#This Row],[Date]]&amp;"|"&amp;tblCommentary[[#This Row],[Seq_Day]])</f>
        <v/>
      </c>
    </row>
    <row r="2363">
      <c r="A2363" s="54" t="n"/>
      <c r="B2363" s="61" t="n"/>
      <c r="C2363" s="58" t="n"/>
      <c r="D2363" s="58" t="n"/>
      <c r="E2363" s="64">
        <f>IF(tblCommentary[[#This Row],[Date]]="","",COUNTIFS(INDEX(tblCommentary[Date],1):tblCommentary[[#This Row],[Date]],tblCommentary[[#This Row],[Date]]))</f>
        <v/>
      </c>
      <c r="F2363" s="63">
        <f>IF(tblCommentary[[#This Row],[Date]]="","",tblCommentary[[#This Row],[Date]]&amp;"|"&amp;tblCommentary[[#This Row],[Seq_Day]])</f>
        <v/>
      </c>
    </row>
    <row r="2364">
      <c r="A2364" s="54" t="n"/>
      <c r="B2364" s="61" t="n"/>
      <c r="C2364" s="58" t="n"/>
      <c r="D2364" s="58" t="n"/>
      <c r="E2364" s="64">
        <f>IF(tblCommentary[[#This Row],[Date]]="","",COUNTIFS(INDEX(tblCommentary[Date],1):tblCommentary[[#This Row],[Date]],tblCommentary[[#This Row],[Date]]))</f>
        <v/>
      </c>
      <c r="F2364" s="63">
        <f>IF(tblCommentary[[#This Row],[Date]]="","",tblCommentary[[#This Row],[Date]]&amp;"|"&amp;tblCommentary[[#This Row],[Seq_Day]])</f>
        <v/>
      </c>
    </row>
    <row r="2365">
      <c r="A2365" s="54" t="n"/>
      <c r="B2365" s="61" t="n"/>
      <c r="C2365" s="58" t="n"/>
      <c r="D2365" s="58" t="n"/>
      <c r="E2365" s="64">
        <f>IF(tblCommentary[[#This Row],[Date]]="","",COUNTIFS(INDEX(tblCommentary[Date],1):tblCommentary[[#This Row],[Date]],tblCommentary[[#This Row],[Date]]))</f>
        <v/>
      </c>
      <c r="F2365" s="63">
        <f>IF(tblCommentary[[#This Row],[Date]]="","",tblCommentary[[#This Row],[Date]]&amp;"|"&amp;tblCommentary[[#This Row],[Seq_Day]])</f>
        <v/>
      </c>
    </row>
    <row r="2366">
      <c r="A2366" s="54" t="n"/>
      <c r="B2366" s="61" t="n"/>
      <c r="C2366" s="58" t="n"/>
      <c r="D2366" s="58" t="n"/>
      <c r="E2366" s="64">
        <f>IF(tblCommentary[[#This Row],[Date]]="","",COUNTIFS(INDEX(tblCommentary[Date],1):tblCommentary[[#This Row],[Date]],tblCommentary[[#This Row],[Date]]))</f>
        <v/>
      </c>
      <c r="F2366" s="63">
        <f>IF(tblCommentary[[#This Row],[Date]]="","",tblCommentary[[#This Row],[Date]]&amp;"|"&amp;tblCommentary[[#This Row],[Seq_Day]])</f>
        <v/>
      </c>
    </row>
    <row r="2367">
      <c r="A2367" s="54" t="n"/>
      <c r="B2367" s="61" t="n"/>
      <c r="C2367" s="58" t="n"/>
      <c r="D2367" s="58" t="n"/>
      <c r="E2367" s="64">
        <f>IF(tblCommentary[[#This Row],[Date]]="","",COUNTIFS(INDEX(tblCommentary[Date],1):tblCommentary[[#This Row],[Date]],tblCommentary[[#This Row],[Date]]))</f>
        <v/>
      </c>
      <c r="F2367" s="63">
        <f>IF(tblCommentary[[#This Row],[Date]]="","",tblCommentary[[#This Row],[Date]]&amp;"|"&amp;tblCommentary[[#This Row],[Seq_Day]])</f>
        <v/>
      </c>
    </row>
    <row r="2368">
      <c r="A2368" s="54" t="n"/>
      <c r="B2368" s="61" t="n"/>
      <c r="C2368" s="58" t="n"/>
      <c r="D2368" s="58" t="n"/>
      <c r="E2368" s="64">
        <f>IF(tblCommentary[[#This Row],[Date]]="","",COUNTIFS(INDEX(tblCommentary[Date],1):tblCommentary[[#This Row],[Date]],tblCommentary[[#This Row],[Date]]))</f>
        <v/>
      </c>
      <c r="F2368" s="63">
        <f>IF(tblCommentary[[#This Row],[Date]]="","",tblCommentary[[#This Row],[Date]]&amp;"|"&amp;tblCommentary[[#This Row],[Seq_Day]])</f>
        <v/>
      </c>
    </row>
    <row r="2369">
      <c r="A2369" s="54" t="n"/>
      <c r="B2369" s="61" t="n"/>
      <c r="C2369" s="58" t="n"/>
      <c r="D2369" s="58" t="n"/>
      <c r="E2369" s="64">
        <f>IF(tblCommentary[[#This Row],[Date]]="","",COUNTIFS(INDEX(tblCommentary[Date],1):tblCommentary[[#This Row],[Date]],tblCommentary[[#This Row],[Date]]))</f>
        <v/>
      </c>
      <c r="F2369" s="63">
        <f>IF(tblCommentary[[#This Row],[Date]]="","",tblCommentary[[#This Row],[Date]]&amp;"|"&amp;tblCommentary[[#This Row],[Seq_Day]])</f>
        <v/>
      </c>
    </row>
    <row r="2370">
      <c r="A2370" s="54" t="n"/>
      <c r="B2370" s="61" t="n"/>
      <c r="C2370" s="58" t="n"/>
      <c r="D2370" s="58" t="n"/>
      <c r="E2370" s="64">
        <f>IF(tblCommentary[[#This Row],[Date]]="","",COUNTIFS(INDEX(tblCommentary[Date],1):tblCommentary[[#This Row],[Date]],tblCommentary[[#This Row],[Date]]))</f>
        <v/>
      </c>
      <c r="F2370" s="63">
        <f>IF(tblCommentary[[#This Row],[Date]]="","",tblCommentary[[#This Row],[Date]]&amp;"|"&amp;tblCommentary[[#This Row],[Seq_Day]])</f>
        <v/>
      </c>
    </row>
    <row r="2371">
      <c r="A2371" s="54" t="n"/>
      <c r="B2371" s="61" t="n"/>
      <c r="C2371" s="58" t="n"/>
      <c r="D2371" s="58" t="n"/>
      <c r="E2371" s="64">
        <f>IF(tblCommentary[[#This Row],[Date]]="","",COUNTIFS(INDEX(tblCommentary[Date],1):tblCommentary[[#This Row],[Date]],tblCommentary[[#This Row],[Date]]))</f>
        <v/>
      </c>
      <c r="F2371" s="63">
        <f>IF(tblCommentary[[#This Row],[Date]]="","",tblCommentary[[#This Row],[Date]]&amp;"|"&amp;tblCommentary[[#This Row],[Seq_Day]])</f>
        <v/>
      </c>
    </row>
    <row r="2372">
      <c r="A2372" s="54" t="n"/>
      <c r="B2372" s="61" t="n"/>
      <c r="C2372" s="58" t="n"/>
      <c r="D2372" s="58" t="n"/>
      <c r="E2372" s="64">
        <f>IF(tblCommentary[[#This Row],[Date]]="","",COUNTIFS(INDEX(tblCommentary[Date],1):tblCommentary[[#This Row],[Date]],tblCommentary[[#This Row],[Date]]))</f>
        <v/>
      </c>
      <c r="F2372" s="63">
        <f>IF(tblCommentary[[#This Row],[Date]]="","",tblCommentary[[#This Row],[Date]]&amp;"|"&amp;tblCommentary[[#This Row],[Seq_Day]])</f>
        <v/>
      </c>
    </row>
    <row r="2373">
      <c r="A2373" s="54" t="n"/>
      <c r="B2373" s="61" t="n"/>
      <c r="C2373" s="58" t="n"/>
      <c r="D2373" s="58" t="n"/>
      <c r="E2373" s="64">
        <f>IF(tblCommentary[[#This Row],[Date]]="","",COUNTIFS(INDEX(tblCommentary[Date],1):tblCommentary[[#This Row],[Date]],tblCommentary[[#This Row],[Date]]))</f>
        <v/>
      </c>
      <c r="F2373" s="63">
        <f>IF(tblCommentary[[#This Row],[Date]]="","",tblCommentary[[#This Row],[Date]]&amp;"|"&amp;tblCommentary[[#This Row],[Seq_Day]])</f>
        <v/>
      </c>
    </row>
    <row r="2374">
      <c r="A2374" s="54" t="n"/>
      <c r="B2374" s="61" t="n"/>
      <c r="C2374" s="58" t="n"/>
      <c r="D2374" s="58" t="n"/>
      <c r="E2374" s="64">
        <f>IF(tblCommentary[[#This Row],[Date]]="","",COUNTIFS(INDEX(tblCommentary[Date],1):tblCommentary[[#This Row],[Date]],tblCommentary[[#This Row],[Date]]))</f>
        <v/>
      </c>
      <c r="F2374" s="63">
        <f>IF(tblCommentary[[#This Row],[Date]]="","",tblCommentary[[#This Row],[Date]]&amp;"|"&amp;tblCommentary[[#This Row],[Seq_Day]])</f>
        <v/>
      </c>
    </row>
    <row r="2375">
      <c r="A2375" s="54" t="n"/>
      <c r="B2375" s="61" t="n"/>
      <c r="C2375" s="58" t="n"/>
      <c r="D2375" s="58" t="n"/>
      <c r="E2375" s="64">
        <f>IF(tblCommentary[[#This Row],[Date]]="","",COUNTIFS(INDEX(tblCommentary[Date],1):tblCommentary[[#This Row],[Date]],tblCommentary[[#This Row],[Date]]))</f>
        <v/>
      </c>
      <c r="F2375" s="63">
        <f>IF(tblCommentary[[#This Row],[Date]]="","",tblCommentary[[#This Row],[Date]]&amp;"|"&amp;tblCommentary[[#This Row],[Seq_Day]])</f>
        <v/>
      </c>
    </row>
    <row r="2376">
      <c r="A2376" s="54" t="n"/>
      <c r="B2376" s="61" t="n"/>
      <c r="C2376" s="58" t="n"/>
      <c r="D2376" s="58" t="n"/>
      <c r="E2376" s="64">
        <f>IF(tblCommentary[[#This Row],[Date]]="","",COUNTIFS(INDEX(tblCommentary[Date],1):tblCommentary[[#This Row],[Date]],tblCommentary[[#This Row],[Date]]))</f>
        <v/>
      </c>
      <c r="F2376" s="63">
        <f>IF(tblCommentary[[#This Row],[Date]]="","",tblCommentary[[#This Row],[Date]]&amp;"|"&amp;tblCommentary[[#This Row],[Seq_Day]])</f>
        <v/>
      </c>
    </row>
    <row r="2377">
      <c r="A2377" s="54" t="n"/>
      <c r="B2377" s="61" t="n"/>
      <c r="C2377" s="58" t="n"/>
      <c r="D2377" s="58" t="n"/>
      <c r="E2377" s="64">
        <f>IF(tblCommentary[[#This Row],[Date]]="","",COUNTIFS(INDEX(tblCommentary[Date],1):tblCommentary[[#This Row],[Date]],tblCommentary[[#This Row],[Date]]))</f>
        <v/>
      </c>
      <c r="F2377" s="63">
        <f>IF(tblCommentary[[#This Row],[Date]]="","",tblCommentary[[#This Row],[Date]]&amp;"|"&amp;tblCommentary[[#This Row],[Seq_Day]])</f>
        <v/>
      </c>
    </row>
    <row r="2378">
      <c r="A2378" s="54" t="n"/>
      <c r="B2378" s="61" t="n"/>
      <c r="C2378" s="58" t="n"/>
      <c r="D2378" s="58" t="n"/>
      <c r="E2378" s="64">
        <f>IF(tblCommentary[[#This Row],[Date]]="","",COUNTIFS(INDEX(tblCommentary[Date],1):tblCommentary[[#This Row],[Date]],tblCommentary[[#This Row],[Date]]))</f>
        <v/>
      </c>
      <c r="F2378" s="63">
        <f>IF(tblCommentary[[#This Row],[Date]]="","",tblCommentary[[#This Row],[Date]]&amp;"|"&amp;tblCommentary[[#This Row],[Seq_Day]])</f>
        <v/>
      </c>
    </row>
    <row r="2379">
      <c r="A2379" s="54" t="n"/>
      <c r="B2379" s="61" t="n"/>
      <c r="C2379" s="58" t="n"/>
      <c r="D2379" s="58" t="n"/>
      <c r="E2379" s="64">
        <f>IF(tblCommentary[[#This Row],[Date]]="","",COUNTIFS(INDEX(tblCommentary[Date],1):tblCommentary[[#This Row],[Date]],tblCommentary[[#This Row],[Date]]))</f>
        <v/>
      </c>
      <c r="F2379" s="63">
        <f>IF(tblCommentary[[#This Row],[Date]]="","",tblCommentary[[#This Row],[Date]]&amp;"|"&amp;tblCommentary[[#This Row],[Seq_Day]])</f>
        <v/>
      </c>
    </row>
    <row r="2380">
      <c r="A2380" s="54" t="n"/>
      <c r="B2380" s="61" t="n"/>
      <c r="C2380" s="58" t="n"/>
      <c r="D2380" s="58" t="n"/>
      <c r="E2380" s="64">
        <f>IF(tblCommentary[[#This Row],[Date]]="","",COUNTIFS(INDEX(tblCommentary[Date],1):tblCommentary[[#This Row],[Date]],tblCommentary[[#This Row],[Date]]))</f>
        <v/>
      </c>
      <c r="F2380" s="63">
        <f>IF(tblCommentary[[#This Row],[Date]]="","",tblCommentary[[#This Row],[Date]]&amp;"|"&amp;tblCommentary[[#This Row],[Seq_Day]])</f>
        <v/>
      </c>
    </row>
    <row r="2381">
      <c r="A2381" s="54" t="n"/>
      <c r="B2381" s="61" t="n"/>
      <c r="C2381" s="58" t="n"/>
      <c r="D2381" s="58" t="n"/>
      <c r="E2381" s="64">
        <f>IF(tblCommentary[[#This Row],[Date]]="","",COUNTIFS(INDEX(tblCommentary[Date],1):tblCommentary[[#This Row],[Date]],tblCommentary[[#This Row],[Date]]))</f>
        <v/>
      </c>
      <c r="F2381" s="63">
        <f>IF(tblCommentary[[#This Row],[Date]]="","",tblCommentary[[#This Row],[Date]]&amp;"|"&amp;tblCommentary[[#This Row],[Seq_Day]])</f>
        <v/>
      </c>
    </row>
    <row r="2382">
      <c r="A2382" s="54" t="n"/>
      <c r="B2382" s="61" t="n"/>
      <c r="C2382" s="58" t="n"/>
      <c r="D2382" s="58" t="n"/>
      <c r="E2382" s="64">
        <f>IF(tblCommentary[[#This Row],[Date]]="","",COUNTIFS(INDEX(tblCommentary[Date],1):tblCommentary[[#This Row],[Date]],tblCommentary[[#This Row],[Date]]))</f>
        <v/>
      </c>
      <c r="F2382" s="63">
        <f>IF(tblCommentary[[#This Row],[Date]]="","",tblCommentary[[#This Row],[Date]]&amp;"|"&amp;tblCommentary[[#This Row],[Seq_Day]])</f>
        <v/>
      </c>
    </row>
    <row r="2383">
      <c r="A2383" s="54" t="n"/>
      <c r="B2383" s="61" t="n"/>
      <c r="C2383" s="58" t="n"/>
      <c r="D2383" s="58" t="n"/>
      <c r="E2383" s="64">
        <f>IF(tblCommentary[[#This Row],[Date]]="","",COUNTIFS(INDEX(tblCommentary[Date],1):tblCommentary[[#This Row],[Date]],tblCommentary[[#This Row],[Date]]))</f>
        <v/>
      </c>
      <c r="F2383" s="63">
        <f>IF(tblCommentary[[#This Row],[Date]]="","",tblCommentary[[#This Row],[Date]]&amp;"|"&amp;tblCommentary[[#This Row],[Seq_Day]])</f>
        <v/>
      </c>
    </row>
    <row r="2384">
      <c r="A2384" s="54" t="n"/>
      <c r="B2384" s="61" t="n"/>
      <c r="C2384" s="58" t="n"/>
      <c r="D2384" s="58" t="n"/>
      <c r="E2384" s="64">
        <f>IF(tblCommentary[[#This Row],[Date]]="","",COUNTIFS(INDEX(tblCommentary[Date],1):tblCommentary[[#This Row],[Date]],tblCommentary[[#This Row],[Date]]))</f>
        <v/>
      </c>
      <c r="F2384" s="63">
        <f>IF(tblCommentary[[#This Row],[Date]]="","",tblCommentary[[#This Row],[Date]]&amp;"|"&amp;tblCommentary[[#This Row],[Seq_Day]])</f>
        <v/>
      </c>
    </row>
    <row r="2385">
      <c r="A2385" s="54" t="n"/>
      <c r="B2385" s="61" t="n"/>
      <c r="C2385" s="58" t="n"/>
      <c r="D2385" s="58" t="n"/>
      <c r="E2385" s="64">
        <f>IF(tblCommentary[[#This Row],[Date]]="","",COUNTIFS(INDEX(tblCommentary[Date],1):tblCommentary[[#This Row],[Date]],tblCommentary[[#This Row],[Date]]))</f>
        <v/>
      </c>
      <c r="F2385" s="63">
        <f>IF(tblCommentary[[#This Row],[Date]]="","",tblCommentary[[#This Row],[Date]]&amp;"|"&amp;tblCommentary[[#This Row],[Seq_Day]])</f>
        <v/>
      </c>
    </row>
    <row r="2386">
      <c r="A2386" s="54" t="n"/>
      <c r="B2386" s="61" t="n"/>
      <c r="C2386" s="58" t="n"/>
      <c r="D2386" s="58" t="n"/>
      <c r="E2386" s="64">
        <f>IF(tblCommentary[[#This Row],[Date]]="","",COUNTIFS(INDEX(tblCommentary[Date],1):tblCommentary[[#This Row],[Date]],tblCommentary[[#This Row],[Date]]))</f>
        <v/>
      </c>
      <c r="F2386" s="63">
        <f>IF(tblCommentary[[#This Row],[Date]]="","",tblCommentary[[#This Row],[Date]]&amp;"|"&amp;tblCommentary[[#This Row],[Seq_Day]])</f>
        <v/>
      </c>
    </row>
    <row r="2387">
      <c r="A2387" s="54" t="n"/>
      <c r="B2387" s="61" t="n"/>
      <c r="C2387" s="58" t="n"/>
      <c r="D2387" s="58" t="n"/>
      <c r="E2387" s="64">
        <f>IF(tblCommentary[[#This Row],[Date]]="","",COUNTIFS(INDEX(tblCommentary[Date],1):tblCommentary[[#This Row],[Date]],tblCommentary[[#This Row],[Date]]))</f>
        <v/>
      </c>
      <c r="F2387" s="63">
        <f>IF(tblCommentary[[#This Row],[Date]]="","",tblCommentary[[#This Row],[Date]]&amp;"|"&amp;tblCommentary[[#This Row],[Seq_Day]])</f>
        <v/>
      </c>
    </row>
    <row r="2388">
      <c r="A2388" s="54" t="n"/>
      <c r="B2388" s="61" t="n"/>
      <c r="C2388" s="58" t="n"/>
      <c r="D2388" s="58" t="n"/>
      <c r="E2388" s="64">
        <f>IF(tblCommentary[[#This Row],[Date]]="","",COUNTIFS(INDEX(tblCommentary[Date],1):tblCommentary[[#This Row],[Date]],tblCommentary[[#This Row],[Date]]))</f>
        <v/>
      </c>
      <c r="F2388" s="63">
        <f>IF(tblCommentary[[#This Row],[Date]]="","",tblCommentary[[#This Row],[Date]]&amp;"|"&amp;tblCommentary[[#This Row],[Seq_Day]])</f>
        <v/>
      </c>
    </row>
    <row r="2389">
      <c r="A2389" s="54" t="n"/>
      <c r="B2389" s="61" t="n"/>
      <c r="C2389" s="58" t="n"/>
      <c r="D2389" s="58" t="n"/>
      <c r="E2389" s="64">
        <f>IF(tblCommentary[[#This Row],[Date]]="","",COUNTIFS(INDEX(tblCommentary[Date],1):tblCommentary[[#This Row],[Date]],tblCommentary[[#This Row],[Date]]))</f>
        <v/>
      </c>
      <c r="F2389" s="63">
        <f>IF(tblCommentary[[#This Row],[Date]]="","",tblCommentary[[#This Row],[Date]]&amp;"|"&amp;tblCommentary[[#This Row],[Seq_Day]])</f>
        <v/>
      </c>
    </row>
    <row r="2390">
      <c r="A2390" s="54" t="n"/>
      <c r="B2390" s="61" t="n"/>
      <c r="C2390" s="58" t="n"/>
      <c r="D2390" s="58" t="n"/>
      <c r="E2390" s="64">
        <f>IF(tblCommentary[[#This Row],[Date]]="","",COUNTIFS(INDEX(tblCommentary[Date],1):tblCommentary[[#This Row],[Date]],tblCommentary[[#This Row],[Date]]))</f>
        <v/>
      </c>
      <c r="F2390" s="63">
        <f>IF(tblCommentary[[#This Row],[Date]]="","",tblCommentary[[#This Row],[Date]]&amp;"|"&amp;tblCommentary[[#This Row],[Seq_Day]])</f>
        <v/>
      </c>
    </row>
    <row r="2391">
      <c r="A2391" s="54" t="n"/>
      <c r="B2391" s="61" t="n"/>
      <c r="C2391" s="58" t="n"/>
      <c r="D2391" s="58" t="n"/>
      <c r="E2391" s="64">
        <f>IF(tblCommentary[[#This Row],[Date]]="","",COUNTIFS(INDEX(tblCommentary[Date],1):tblCommentary[[#This Row],[Date]],tblCommentary[[#This Row],[Date]]))</f>
        <v/>
      </c>
      <c r="F2391" s="63">
        <f>IF(tblCommentary[[#This Row],[Date]]="","",tblCommentary[[#This Row],[Date]]&amp;"|"&amp;tblCommentary[[#This Row],[Seq_Day]])</f>
        <v/>
      </c>
    </row>
    <row r="2392">
      <c r="A2392" s="54" t="n"/>
      <c r="B2392" s="61" t="n"/>
      <c r="C2392" s="58" t="n"/>
      <c r="D2392" s="58" t="n"/>
      <c r="E2392" s="64">
        <f>IF(tblCommentary[[#This Row],[Date]]="","",COUNTIFS(INDEX(tblCommentary[Date],1):tblCommentary[[#This Row],[Date]],tblCommentary[[#This Row],[Date]]))</f>
        <v/>
      </c>
      <c r="F2392" s="63">
        <f>IF(tblCommentary[[#This Row],[Date]]="","",tblCommentary[[#This Row],[Date]]&amp;"|"&amp;tblCommentary[[#This Row],[Seq_Day]])</f>
        <v/>
      </c>
    </row>
    <row r="2393">
      <c r="A2393" s="54" t="n"/>
      <c r="B2393" s="61" t="n"/>
      <c r="C2393" s="58" t="n"/>
      <c r="D2393" s="58" t="n"/>
      <c r="E2393" s="64">
        <f>IF(tblCommentary[[#This Row],[Date]]="","",COUNTIFS(INDEX(tblCommentary[Date],1):tblCommentary[[#This Row],[Date]],tblCommentary[[#This Row],[Date]]))</f>
        <v/>
      </c>
      <c r="F2393" s="63">
        <f>IF(tblCommentary[[#This Row],[Date]]="","",tblCommentary[[#This Row],[Date]]&amp;"|"&amp;tblCommentary[[#This Row],[Seq_Day]])</f>
        <v/>
      </c>
    </row>
    <row r="2394">
      <c r="A2394" s="54" t="n"/>
      <c r="B2394" s="61" t="n"/>
      <c r="C2394" s="58" t="n"/>
      <c r="D2394" s="58" t="n"/>
      <c r="E2394" s="64">
        <f>IF(tblCommentary[[#This Row],[Date]]="","",COUNTIFS(INDEX(tblCommentary[Date],1):tblCommentary[[#This Row],[Date]],tblCommentary[[#This Row],[Date]]))</f>
        <v/>
      </c>
      <c r="F2394" s="63">
        <f>IF(tblCommentary[[#This Row],[Date]]="","",tblCommentary[[#This Row],[Date]]&amp;"|"&amp;tblCommentary[[#This Row],[Seq_Day]])</f>
        <v/>
      </c>
    </row>
    <row r="2395">
      <c r="A2395" s="54" t="n"/>
      <c r="B2395" s="61" t="n"/>
      <c r="C2395" s="58" t="n"/>
      <c r="D2395" s="58" t="n"/>
      <c r="E2395" s="64">
        <f>IF(tblCommentary[[#This Row],[Date]]="","",COUNTIFS(INDEX(tblCommentary[Date],1):tblCommentary[[#This Row],[Date]],tblCommentary[[#This Row],[Date]]))</f>
        <v/>
      </c>
      <c r="F2395" s="63">
        <f>IF(tblCommentary[[#This Row],[Date]]="","",tblCommentary[[#This Row],[Date]]&amp;"|"&amp;tblCommentary[[#This Row],[Seq_Day]])</f>
        <v/>
      </c>
    </row>
    <row r="2396">
      <c r="A2396" s="54" t="n"/>
      <c r="B2396" s="61" t="n"/>
      <c r="C2396" s="58" t="n"/>
      <c r="D2396" s="58" t="n"/>
      <c r="E2396" s="64">
        <f>IF(tblCommentary[[#This Row],[Date]]="","",COUNTIFS(INDEX(tblCommentary[Date],1):tblCommentary[[#This Row],[Date]],tblCommentary[[#This Row],[Date]]))</f>
        <v/>
      </c>
      <c r="F2396" s="63">
        <f>IF(tblCommentary[[#This Row],[Date]]="","",tblCommentary[[#This Row],[Date]]&amp;"|"&amp;tblCommentary[[#This Row],[Seq_Day]])</f>
        <v/>
      </c>
    </row>
    <row r="2397">
      <c r="A2397" s="54" t="n"/>
      <c r="B2397" s="61" t="n"/>
      <c r="C2397" s="58" t="n"/>
      <c r="D2397" s="58" t="n"/>
      <c r="E2397" s="64">
        <f>IF(tblCommentary[[#This Row],[Date]]="","",COUNTIFS(INDEX(tblCommentary[Date],1):tblCommentary[[#This Row],[Date]],tblCommentary[[#This Row],[Date]]))</f>
        <v/>
      </c>
      <c r="F2397" s="63">
        <f>IF(tblCommentary[[#This Row],[Date]]="","",tblCommentary[[#This Row],[Date]]&amp;"|"&amp;tblCommentary[[#This Row],[Seq_Day]])</f>
        <v/>
      </c>
    </row>
    <row r="2398">
      <c r="A2398" s="54" t="n"/>
      <c r="B2398" s="61" t="n"/>
      <c r="C2398" s="58" t="n"/>
      <c r="D2398" s="58" t="n"/>
      <c r="E2398" s="64">
        <f>IF(tblCommentary[[#This Row],[Date]]="","",COUNTIFS(INDEX(tblCommentary[Date],1):tblCommentary[[#This Row],[Date]],tblCommentary[[#This Row],[Date]]))</f>
        <v/>
      </c>
      <c r="F2398" s="63">
        <f>IF(tblCommentary[[#This Row],[Date]]="","",tblCommentary[[#This Row],[Date]]&amp;"|"&amp;tblCommentary[[#This Row],[Seq_Day]])</f>
        <v/>
      </c>
    </row>
    <row r="2399">
      <c r="A2399" s="54" t="n"/>
      <c r="B2399" s="61" t="n"/>
      <c r="C2399" s="58" t="n"/>
      <c r="D2399" s="58" t="n"/>
      <c r="E2399" s="64">
        <f>IF(tblCommentary[[#This Row],[Date]]="","",COUNTIFS(INDEX(tblCommentary[Date],1):tblCommentary[[#This Row],[Date]],tblCommentary[[#This Row],[Date]]))</f>
        <v/>
      </c>
      <c r="F2399" s="63">
        <f>IF(tblCommentary[[#This Row],[Date]]="","",tblCommentary[[#This Row],[Date]]&amp;"|"&amp;tblCommentary[[#This Row],[Seq_Day]])</f>
        <v/>
      </c>
    </row>
    <row r="2400">
      <c r="A2400" s="54" t="n"/>
      <c r="B2400" s="61" t="n"/>
      <c r="C2400" s="58" t="n"/>
      <c r="D2400" s="58" t="n"/>
      <c r="E2400" s="64">
        <f>IF(tblCommentary[[#This Row],[Date]]="","",COUNTIFS(INDEX(tblCommentary[Date],1):tblCommentary[[#This Row],[Date]],tblCommentary[[#This Row],[Date]]))</f>
        <v/>
      </c>
      <c r="F2400" s="63">
        <f>IF(tblCommentary[[#This Row],[Date]]="","",tblCommentary[[#This Row],[Date]]&amp;"|"&amp;tblCommentary[[#This Row],[Seq_Day]])</f>
        <v/>
      </c>
    </row>
    <row r="2401">
      <c r="A2401" s="54" t="n"/>
      <c r="B2401" s="61" t="n"/>
      <c r="C2401" s="58" t="n"/>
      <c r="D2401" s="58" t="n"/>
      <c r="E2401" s="64">
        <f>IF(tblCommentary[[#This Row],[Date]]="","",COUNTIFS(INDEX(tblCommentary[Date],1):tblCommentary[[#This Row],[Date]],tblCommentary[[#This Row],[Date]]))</f>
        <v/>
      </c>
      <c r="F2401" s="63">
        <f>IF(tblCommentary[[#This Row],[Date]]="","",tblCommentary[[#This Row],[Date]]&amp;"|"&amp;tblCommentary[[#This Row],[Seq_Day]])</f>
        <v/>
      </c>
    </row>
    <row r="2402">
      <c r="A2402" s="54" t="n"/>
      <c r="B2402" s="61" t="n"/>
      <c r="C2402" s="58" t="n"/>
      <c r="D2402" s="58" t="n"/>
      <c r="E2402" s="64">
        <f>IF(tblCommentary[[#This Row],[Date]]="","",COUNTIFS(INDEX(tblCommentary[Date],1):tblCommentary[[#This Row],[Date]],tblCommentary[[#This Row],[Date]]))</f>
        <v/>
      </c>
      <c r="F2402" s="63">
        <f>IF(tblCommentary[[#This Row],[Date]]="","",tblCommentary[[#This Row],[Date]]&amp;"|"&amp;tblCommentary[[#This Row],[Seq_Day]])</f>
        <v/>
      </c>
    </row>
    <row r="2403">
      <c r="A2403" s="54" t="n"/>
      <c r="B2403" s="61" t="n"/>
      <c r="C2403" s="58" t="n"/>
      <c r="D2403" s="58" t="n"/>
      <c r="E2403" s="64">
        <f>IF(tblCommentary[[#This Row],[Date]]="","",COUNTIFS(INDEX(tblCommentary[Date],1):tblCommentary[[#This Row],[Date]],tblCommentary[[#This Row],[Date]]))</f>
        <v/>
      </c>
      <c r="F2403" s="63">
        <f>IF(tblCommentary[[#This Row],[Date]]="","",tblCommentary[[#This Row],[Date]]&amp;"|"&amp;tblCommentary[[#This Row],[Seq_Day]])</f>
        <v/>
      </c>
    </row>
    <row r="2404">
      <c r="A2404" s="54" t="n"/>
      <c r="B2404" s="61" t="n"/>
      <c r="C2404" s="58" t="n"/>
      <c r="D2404" s="58" t="n"/>
      <c r="E2404" s="64">
        <f>IF(tblCommentary[[#This Row],[Date]]="","",COUNTIFS(INDEX(tblCommentary[Date],1):tblCommentary[[#This Row],[Date]],tblCommentary[[#This Row],[Date]]))</f>
        <v/>
      </c>
      <c r="F2404" s="63">
        <f>IF(tblCommentary[[#This Row],[Date]]="","",tblCommentary[[#This Row],[Date]]&amp;"|"&amp;tblCommentary[[#This Row],[Seq_Day]])</f>
        <v/>
      </c>
    </row>
    <row r="2405">
      <c r="A2405" s="54" t="n"/>
      <c r="B2405" s="61" t="n"/>
      <c r="C2405" s="58" t="n"/>
      <c r="D2405" s="58" t="n"/>
      <c r="E2405" s="64">
        <f>IF(tblCommentary[[#This Row],[Date]]="","",COUNTIFS(INDEX(tblCommentary[Date],1):tblCommentary[[#This Row],[Date]],tblCommentary[[#This Row],[Date]]))</f>
        <v/>
      </c>
      <c r="F2405" s="63">
        <f>IF(tblCommentary[[#This Row],[Date]]="","",tblCommentary[[#This Row],[Date]]&amp;"|"&amp;tblCommentary[[#This Row],[Seq_Day]])</f>
        <v/>
      </c>
    </row>
    <row r="2406">
      <c r="A2406" s="54" t="n"/>
      <c r="B2406" s="61" t="n"/>
      <c r="C2406" s="58" t="n"/>
      <c r="D2406" s="58" t="n"/>
      <c r="E2406" s="64">
        <f>IF(tblCommentary[[#This Row],[Date]]="","",COUNTIFS(INDEX(tblCommentary[Date],1):tblCommentary[[#This Row],[Date]],tblCommentary[[#This Row],[Date]]))</f>
        <v/>
      </c>
      <c r="F2406" s="63">
        <f>IF(tblCommentary[[#This Row],[Date]]="","",tblCommentary[[#This Row],[Date]]&amp;"|"&amp;tblCommentary[[#This Row],[Seq_Day]])</f>
        <v/>
      </c>
    </row>
    <row r="2407">
      <c r="A2407" s="54" t="n"/>
      <c r="B2407" s="61" t="n"/>
      <c r="C2407" s="58" t="n"/>
      <c r="D2407" s="58" t="n"/>
      <c r="E2407" s="64">
        <f>IF(tblCommentary[[#This Row],[Date]]="","",COUNTIFS(INDEX(tblCommentary[Date],1):tblCommentary[[#This Row],[Date]],tblCommentary[[#This Row],[Date]]))</f>
        <v/>
      </c>
      <c r="F2407" s="63">
        <f>IF(tblCommentary[[#This Row],[Date]]="","",tblCommentary[[#This Row],[Date]]&amp;"|"&amp;tblCommentary[[#This Row],[Seq_Day]])</f>
        <v/>
      </c>
    </row>
    <row r="2408">
      <c r="A2408" s="54" t="n"/>
      <c r="B2408" s="61" t="n"/>
      <c r="C2408" s="58" t="n"/>
      <c r="D2408" s="58" t="n"/>
      <c r="E2408" s="64">
        <f>IF(tblCommentary[[#This Row],[Date]]="","",COUNTIFS(INDEX(tblCommentary[Date],1):tblCommentary[[#This Row],[Date]],tblCommentary[[#This Row],[Date]]))</f>
        <v/>
      </c>
      <c r="F2408" s="63">
        <f>IF(tblCommentary[[#This Row],[Date]]="","",tblCommentary[[#This Row],[Date]]&amp;"|"&amp;tblCommentary[[#This Row],[Seq_Day]])</f>
        <v/>
      </c>
    </row>
    <row r="2409">
      <c r="A2409" s="54" t="n"/>
      <c r="B2409" s="61" t="n"/>
      <c r="C2409" s="58" t="n"/>
      <c r="D2409" s="58" t="n"/>
      <c r="E2409" s="64">
        <f>IF(tblCommentary[[#This Row],[Date]]="","",COUNTIFS(INDEX(tblCommentary[Date],1):tblCommentary[[#This Row],[Date]],tblCommentary[[#This Row],[Date]]))</f>
        <v/>
      </c>
      <c r="F2409" s="63">
        <f>IF(tblCommentary[[#This Row],[Date]]="","",tblCommentary[[#This Row],[Date]]&amp;"|"&amp;tblCommentary[[#This Row],[Seq_Day]])</f>
        <v/>
      </c>
    </row>
    <row r="2410">
      <c r="A2410" s="54" t="n"/>
      <c r="B2410" s="61" t="n"/>
      <c r="C2410" s="58" t="n"/>
      <c r="D2410" s="58" t="n"/>
      <c r="E2410" s="64">
        <f>IF(tblCommentary[[#This Row],[Date]]="","",COUNTIFS(INDEX(tblCommentary[Date],1):tblCommentary[[#This Row],[Date]],tblCommentary[[#This Row],[Date]]))</f>
        <v/>
      </c>
      <c r="F2410" s="63">
        <f>IF(tblCommentary[[#This Row],[Date]]="","",tblCommentary[[#This Row],[Date]]&amp;"|"&amp;tblCommentary[[#This Row],[Seq_Day]])</f>
        <v/>
      </c>
    </row>
    <row r="2411">
      <c r="A2411" s="54" t="n"/>
      <c r="B2411" s="61" t="n"/>
      <c r="C2411" s="58" t="n"/>
      <c r="D2411" s="58" t="n"/>
      <c r="E2411" s="64">
        <f>IF(tblCommentary[[#This Row],[Date]]="","",COUNTIFS(INDEX(tblCommentary[Date],1):tblCommentary[[#This Row],[Date]],tblCommentary[[#This Row],[Date]]))</f>
        <v/>
      </c>
      <c r="F2411" s="63">
        <f>IF(tblCommentary[[#This Row],[Date]]="","",tblCommentary[[#This Row],[Date]]&amp;"|"&amp;tblCommentary[[#This Row],[Seq_Day]])</f>
        <v/>
      </c>
    </row>
    <row r="2412">
      <c r="A2412" s="54" t="n"/>
      <c r="B2412" s="61" t="n"/>
      <c r="C2412" s="58" t="n"/>
      <c r="D2412" s="58" t="n"/>
      <c r="E2412" s="64">
        <f>IF(tblCommentary[[#This Row],[Date]]="","",COUNTIFS(INDEX(tblCommentary[Date],1):tblCommentary[[#This Row],[Date]],tblCommentary[[#This Row],[Date]]))</f>
        <v/>
      </c>
      <c r="F2412" s="63">
        <f>IF(tblCommentary[[#This Row],[Date]]="","",tblCommentary[[#This Row],[Date]]&amp;"|"&amp;tblCommentary[[#This Row],[Seq_Day]])</f>
        <v/>
      </c>
    </row>
    <row r="2413">
      <c r="A2413" s="54" t="n"/>
      <c r="B2413" s="61" t="n"/>
      <c r="C2413" s="58" t="n"/>
      <c r="D2413" s="58" t="n"/>
      <c r="E2413" s="64">
        <f>IF(tblCommentary[[#This Row],[Date]]="","",COUNTIFS(INDEX(tblCommentary[Date],1):tblCommentary[[#This Row],[Date]],tblCommentary[[#This Row],[Date]]))</f>
        <v/>
      </c>
      <c r="F2413" s="63">
        <f>IF(tblCommentary[[#This Row],[Date]]="","",tblCommentary[[#This Row],[Date]]&amp;"|"&amp;tblCommentary[[#This Row],[Seq_Day]])</f>
        <v/>
      </c>
    </row>
    <row r="2414">
      <c r="A2414" s="54" t="n"/>
      <c r="B2414" s="61" t="n"/>
      <c r="C2414" s="58" t="n"/>
      <c r="D2414" s="58" t="n"/>
      <c r="E2414" s="64">
        <f>IF(tblCommentary[[#This Row],[Date]]="","",COUNTIFS(INDEX(tblCommentary[Date],1):tblCommentary[[#This Row],[Date]],tblCommentary[[#This Row],[Date]]))</f>
        <v/>
      </c>
      <c r="F2414" s="63">
        <f>IF(tblCommentary[[#This Row],[Date]]="","",tblCommentary[[#This Row],[Date]]&amp;"|"&amp;tblCommentary[[#This Row],[Seq_Day]])</f>
        <v/>
      </c>
    </row>
    <row r="2415">
      <c r="A2415" s="54" t="n"/>
      <c r="B2415" s="61" t="n"/>
      <c r="C2415" s="58" t="n"/>
      <c r="D2415" s="58" t="n"/>
      <c r="E2415" s="64">
        <f>IF(tblCommentary[[#This Row],[Date]]="","",COUNTIFS(INDEX(tblCommentary[Date],1):tblCommentary[[#This Row],[Date]],tblCommentary[[#This Row],[Date]]))</f>
        <v/>
      </c>
      <c r="F2415" s="63">
        <f>IF(tblCommentary[[#This Row],[Date]]="","",tblCommentary[[#This Row],[Date]]&amp;"|"&amp;tblCommentary[[#This Row],[Seq_Day]])</f>
        <v/>
      </c>
    </row>
    <row r="2416">
      <c r="A2416" s="54" t="n"/>
      <c r="B2416" s="61" t="n"/>
      <c r="C2416" s="58" t="n"/>
      <c r="D2416" s="58" t="n"/>
      <c r="E2416" s="64">
        <f>IF(tblCommentary[[#This Row],[Date]]="","",COUNTIFS(INDEX(tblCommentary[Date],1):tblCommentary[[#This Row],[Date]],tblCommentary[[#This Row],[Date]]))</f>
        <v/>
      </c>
      <c r="F2416" s="63">
        <f>IF(tblCommentary[[#This Row],[Date]]="","",tblCommentary[[#This Row],[Date]]&amp;"|"&amp;tblCommentary[[#This Row],[Seq_Day]])</f>
        <v/>
      </c>
    </row>
    <row r="2417">
      <c r="A2417" s="54" t="n"/>
      <c r="B2417" s="61" t="n"/>
      <c r="C2417" s="58" t="n"/>
      <c r="D2417" s="58" t="n"/>
      <c r="E2417" s="64">
        <f>IF(tblCommentary[[#This Row],[Date]]="","",COUNTIFS(INDEX(tblCommentary[Date],1):tblCommentary[[#This Row],[Date]],tblCommentary[[#This Row],[Date]]))</f>
        <v/>
      </c>
      <c r="F2417" s="63">
        <f>IF(tblCommentary[[#This Row],[Date]]="","",tblCommentary[[#This Row],[Date]]&amp;"|"&amp;tblCommentary[[#This Row],[Seq_Day]])</f>
        <v/>
      </c>
    </row>
    <row r="2418">
      <c r="A2418" s="54" t="n"/>
      <c r="B2418" s="61" t="n"/>
      <c r="C2418" s="58" t="n"/>
      <c r="D2418" s="58" t="n"/>
      <c r="E2418" s="64">
        <f>IF(tblCommentary[[#This Row],[Date]]="","",COUNTIFS(INDEX(tblCommentary[Date],1):tblCommentary[[#This Row],[Date]],tblCommentary[[#This Row],[Date]]))</f>
        <v/>
      </c>
      <c r="F2418" s="63">
        <f>IF(tblCommentary[[#This Row],[Date]]="","",tblCommentary[[#This Row],[Date]]&amp;"|"&amp;tblCommentary[[#This Row],[Seq_Day]])</f>
        <v/>
      </c>
    </row>
    <row r="2419">
      <c r="A2419" s="54" t="n"/>
      <c r="B2419" s="61" t="n"/>
      <c r="C2419" s="58" t="n"/>
      <c r="D2419" s="58" t="n"/>
      <c r="E2419" s="64">
        <f>IF(tblCommentary[[#This Row],[Date]]="","",COUNTIFS(INDEX(tblCommentary[Date],1):tblCommentary[[#This Row],[Date]],tblCommentary[[#This Row],[Date]]))</f>
        <v/>
      </c>
      <c r="F2419" s="63">
        <f>IF(tblCommentary[[#This Row],[Date]]="","",tblCommentary[[#This Row],[Date]]&amp;"|"&amp;tblCommentary[[#This Row],[Seq_Day]])</f>
        <v/>
      </c>
    </row>
    <row r="2420">
      <c r="A2420" s="54" t="n"/>
      <c r="B2420" s="61" t="n"/>
      <c r="C2420" s="58" t="n"/>
      <c r="D2420" s="58" t="n"/>
      <c r="E2420" s="64">
        <f>IF(tblCommentary[[#This Row],[Date]]="","",COUNTIFS(INDEX(tblCommentary[Date],1):tblCommentary[[#This Row],[Date]],tblCommentary[[#This Row],[Date]]))</f>
        <v/>
      </c>
      <c r="F2420" s="63">
        <f>IF(tblCommentary[[#This Row],[Date]]="","",tblCommentary[[#This Row],[Date]]&amp;"|"&amp;tblCommentary[[#This Row],[Seq_Day]])</f>
        <v/>
      </c>
    </row>
    <row r="2421">
      <c r="A2421" s="54" t="n"/>
      <c r="B2421" s="61" t="n"/>
      <c r="C2421" s="58" t="n"/>
      <c r="D2421" s="58" t="n"/>
      <c r="E2421" s="64">
        <f>IF(tblCommentary[[#This Row],[Date]]="","",COUNTIFS(INDEX(tblCommentary[Date],1):tblCommentary[[#This Row],[Date]],tblCommentary[[#This Row],[Date]]))</f>
        <v/>
      </c>
      <c r="F2421" s="63">
        <f>IF(tblCommentary[[#This Row],[Date]]="","",tblCommentary[[#This Row],[Date]]&amp;"|"&amp;tblCommentary[[#This Row],[Seq_Day]])</f>
        <v/>
      </c>
    </row>
    <row r="2422">
      <c r="A2422" s="54" t="n"/>
      <c r="B2422" s="61" t="n"/>
      <c r="C2422" s="58" t="n"/>
      <c r="D2422" s="58" t="n"/>
      <c r="E2422" s="64">
        <f>IF(tblCommentary[[#This Row],[Date]]="","",COUNTIFS(INDEX(tblCommentary[Date],1):tblCommentary[[#This Row],[Date]],tblCommentary[[#This Row],[Date]]))</f>
        <v/>
      </c>
      <c r="F2422" s="63">
        <f>IF(tblCommentary[[#This Row],[Date]]="","",tblCommentary[[#This Row],[Date]]&amp;"|"&amp;tblCommentary[[#This Row],[Seq_Day]])</f>
        <v/>
      </c>
    </row>
    <row r="2423">
      <c r="A2423" s="54" t="n"/>
      <c r="B2423" s="61" t="n"/>
      <c r="C2423" s="58" t="n"/>
      <c r="D2423" s="58" t="n"/>
      <c r="E2423" s="64">
        <f>IF(tblCommentary[[#This Row],[Date]]="","",COUNTIFS(INDEX(tblCommentary[Date],1):tblCommentary[[#This Row],[Date]],tblCommentary[[#This Row],[Date]]))</f>
        <v/>
      </c>
      <c r="F2423" s="63">
        <f>IF(tblCommentary[[#This Row],[Date]]="","",tblCommentary[[#This Row],[Date]]&amp;"|"&amp;tblCommentary[[#This Row],[Seq_Day]])</f>
        <v/>
      </c>
    </row>
    <row r="2424">
      <c r="A2424" s="54" t="n"/>
      <c r="B2424" s="61" t="n"/>
      <c r="C2424" s="58" t="n"/>
      <c r="D2424" s="58" t="n"/>
      <c r="E2424" s="64">
        <f>IF(tblCommentary[[#This Row],[Date]]="","",COUNTIFS(INDEX(tblCommentary[Date],1):tblCommentary[[#This Row],[Date]],tblCommentary[[#This Row],[Date]]))</f>
        <v/>
      </c>
      <c r="F2424" s="63">
        <f>IF(tblCommentary[[#This Row],[Date]]="","",tblCommentary[[#This Row],[Date]]&amp;"|"&amp;tblCommentary[[#This Row],[Seq_Day]])</f>
        <v/>
      </c>
    </row>
    <row r="2425">
      <c r="A2425" s="54" t="n"/>
      <c r="B2425" s="61" t="n"/>
      <c r="C2425" s="58" t="n"/>
      <c r="D2425" s="58" t="n"/>
      <c r="E2425" s="64">
        <f>IF(tblCommentary[[#This Row],[Date]]="","",COUNTIFS(INDEX(tblCommentary[Date],1):tblCommentary[[#This Row],[Date]],tblCommentary[[#This Row],[Date]]))</f>
        <v/>
      </c>
      <c r="F2425" s="63">
        <f>IF(tblCommentary[[#This Row],[Date]]="","",tblCommentary[[#This Row],[Date]]&amp;"|"&amp;tblCommentary[[#This Row],[Seq_Day]])</f>
        <v/>
      </c>
    </row>
    <row r="2426">
      <c r="A2426" s="54" t="n"/>
      <c r="B2426" s="61" t="n"/>
      <c r="C2426" s="58" t="n"/>
      <c r="D2426" s="58" t="n"/>
      <c r="E2426" s="64">
        <f>IF(tblCommentary[[#This Row],[Date]]="","",COUNTIFS(INDEX(tblCommentary[Date],1):tblCommentary[[#This Row],[Date]],tblCommentary[[#This Row],[Date]]))</f>
        <v/>
      </c>
      <c r="F2426" s="63">
        <f>IF(tblCommentary[[#This Row],[Date]]="","",tblCommentary[[#This Row],[Date]]&amp;"|"&amp;tblCommentary[[#This Row],[Seq_Day]])</f>
        <v/>
      </c>
    </row>
    <row r="2427">
      <c r="A2427" s="54" t="n"/>
      <c r="B2427" s="61" t="n"/>
      <c r="C2427" s="58" t="n"/>
      <c r="D2427" s="58" t="n"/>
      <c r="E2427" s="64">
        <f>IF(tblCommentary[[#This Row],[Date]]="","",COUNTIFS(INDEX(tblCommentary[Date],1):tblCommentary[[#This Row],[Date]],tblCommentary[[#This Row],[Date]]))</f>
        <v/>
      </c>
      <c r="F2427" s="63">
        <f>IF(tblCommentary[[#This Row],[Date]]="","",tblCommentary[[#This Row],[Date]]&amp;"|"&amp;tblCommentary[[#This Row],[Seq_Day]])</f>
        <v/>
      </c>
    </row>
    <row r="2428">
      <c r="A2428" s="54" t="n"/>
      <c r="B2428" s="61" t="n"/>
      <c r="C2428" s="58" t="n"/>
      <c r="D2428" s="58" t="n"/>
      <c r="E2428" s="64">
        <f>IF(tblCommentary[[#This Row],[Date]]="","",COUNTIFS(INDEX(tblCommentary[Date],1):tblCommentary[[#This Row],[Date]],tblCommentary[[#This Row],[Date]]))</f>
        <v/>
      </c>
      <c r="F2428" s="63">
        <f>IF(tblCommentary[[#This Row],[Date]]="","",tblCommentary[[#This Row],[Date]]&amp;"|"&amp;tblCommentary[[#This Row],[Seq_Day]])</f>
        <v/>
      </c>
    </row>
    <row r="2429">
      <c r="A2429" s="54" t="n"/>
      <c r="B2429" s="61" t="n"/>
      <c r="C2429" s="58" t="n"/>
      <c r="D2429" s="58" t="n"/>
      <c r="E2429" s="64">
        <f>IF(tblCommentary[[#This Row],[Date]]="","",COUNTIFS(INDEX(tblCommentary[Date],1):tblCommentary[[#This Row],[Date]],tblCommentary[[#This Row],[Date]]))</f>
        <v/>
      </c>
      <c r="F2429" s="63">
        <f>IF(tblCommentary[[#This Row],[Date]]="","",tblCommentary[[#This Row],[Date]]&amp;"|"&amp;tblCommentary[[#This Row],[Seq_Day]])</f>
        <v/>
      </c>
    </row>
    <row r="2430">
      <c r="A2430" s="54" t="n"/>
      <c r="B2430" s="61" t="n"/>
      <c r="C2430" s="58" t="n"/>
      <c r="D2430" s="58" t="n"/>
      <c r="E2430" s="64">
        <f>IF(tblCommentary[[#This Row],[Date]]="","",COUNTIFS(INDEX(tblCommentary[Date],1):tblCommentary[[#This Row],[Date]],tblCommentary[[#This Row],[Date]]))</f>
        <v/>
      </c>
      <c r="F2430" s="63">
        <f>IF(tblCommentary[[#This Row],[Date]]="","",tblCommentary[[#This Row],[Date]]&amp;"|"&amp;tblCommentary[[#This Row],[Seq_Day]])</f>
        <v/>
      </c>
    </row>
    <row r="2431">
      <c r="A2431" s="54" t="n"/>
      <c r="B2431" s="61" t="n"/>
      <c r="C2431" s="58" t="n"/>
      <c r="D2431" s="58" t="n"/>
      <c r="E2431" s="64">
        <f>IF(tblCommentary[[#This Row],[Date]]="","",COUNTIFS(INDEX(tblCommentary[Date],1):tblCommentary[[#This Row],[Date]],tblCommentary[[#This Row],[Date]]))</f>
        <v/>
      </c>
      <c r="F2431" s="63">
        <f>IF(tblCommentary[[#This Row],[Date]]="","",tblCommentary[[#This Row],[Date]]&amp;"|"&amp;tblCommentary[[#This Row],[Seq_Day]])</f>
        <v/>
      </c>
    </row>
    <row r="2432">
      <c r="A2432" s="54" t="n"/>
      <c r="B2432" s="61" t="n"/>
      <c r="C2432" s="58" t="n"/>
      <c r="D2432" s="58" t="n"/>
      <c r="E2432" s="64">
        <f>IF(tblCommentary[[#This Row],[Date]]="","",COUNTIFS(INDEX(tblCommentary[Date],1):tblCommentary[[#This Row],[Date]],tblCommentary[[#This Row],[Date]]))</f>
        <v/>
      </c>
      <c r="F2432" s="63">
        <f>IF(tblCommentary[[#This Row],[Date]]="","",tblCommentary[[#This Row],[Date]]&amp;"|"&amp;tblCommentary[[#This Row],[Seq_Day]])</f>
        <v/>
      </c>
    </row>
    <row r="2433">
      <c r="A2433" s="54" t="n"/>
      <c r="B2433" s="61" t="n"/>
      <c r="C2433" s="58" t="n"/>
      <c r="D2433" s="58" t="n"/>
      <c r="E2433" s="64">
        <f>IF(tblCommentary[[#This Row],[Date]]="","",COUNTIFS(INDEX(tblCommentary[Date],1):tblCommentary[[#This Row],[Date]],tblCommentary[[#This Row],[Date]]))</f>
        <v/>
      </c>
      <c r="F2433" s="63">
        <f>IF(tblCommentary[[#This Row],[Date]]="","",tblCommentary[[#This Row],[Date]]&amp;"|"&amp;tblCommentary[[#This Row],[Seq_Day]])</f>
        <v/>
      </c>
    </row>
    <row r="2434">
      <c r="A2434" s="54" t="n"/>
      <c r="B2434" s="61" t="n"/>
      <c r="C2434" s="58" t="n"/>
      <c r="D2434" s="58" t="n"/>
      <c r="E2434" s="64">
        <f>IF(tblCommentary[[#This Row],[Date]]="","",COUNTIFS(INDEX(tblCommentary[Date],1):tblCommentary[[#This Row],[Date]],tblCommentary[[#This Row],[Date]]))</f>
        <v/>
      </c>
      <c r="F2434" s="63">
        <f>IF(tblCommentary[[#This Row],[Date]]="","",tblCommentary[[#This Row],[Date]]&amp;"|"&amp;tblCommentary[[#This Row],[Seq_Day]])</f>
        <v/>
      </c>
    </row>
    <row r="2435">
      <c r="A2435" s="54" t="n"/>
      <c r="B2435" s="61" t="n"/>
      <c r="C2435" s="58" t="n"/>
      <c r="D2435" s="58" t="n"/>
      <c r="E2435" s="64">
        <f>IF(tblCommentary[[#This Row],[Date]]="","",COUNTIFS(INDEX(tblCommentary[Date],1):tblCommentary[[#This Row],[Date]],tblCommentary[[#This Row],[Date]]))</f>
        <v/>
      </c>
      <c r="F2435" s="63">
        <f>IF(tblCommentary[[#This Row],[Date]]="","",tblCommentary[[#This Row],[Date]]&amp;"|"&amp;tblCommentary[[#This Row],[Seq_Day]])</f>
        <v/>
      </c>
    </row>
    <row r="2436">
      <c r="A2436" s="54" t="n"/>
      <c r="B2436" s="61" t="n"/>
      <c r="C2436" s="58" t="n"/>
      <c r="D2436" s="58" t="n"/>
      <c r="E2436" s="64">
        <f>IF(tblCommentary[[#This Row],[Date]]="","",COUNTIFS(INDEX(tblCommentary[Date],1):tblCommentary[[#This Row],[Date]],tblCommentary[[#This Row],[Date]]))</f>
        <v/>
      </c>
      <c r="F2436" s="63">
        <f>IF(tblCommentary[[#This Row],[Date]]="","",tblCommentary[[#This Row],[Date]]&amp;"|"&amp;tblCommentary[[#This Row],[Seq_Day]])</f>
        <v/>
      </c>
    </row>
    <row r="2437">
      <c r="A2437" s="54" t="n"/>
      <c r="B2437" s="61" t="n"/>
      <c r="C2437" s="58" t="n"/>
      <c r="D2437" s="58" t="n"/>
      <c r="E2437" s="64">
        <f>IF(tblCommentary[[#This Row],[Date]]="","",COUNTIFS(INDEX(tblCommentary[Date],1):tblCommentary[[#This Row],[Date]],tblCommentary[[#This Row],[Date]]))</f>
        <v/>
      </c>
      <c r="F2437" s="63">
        <f>IF(tblCommentary[[#This Row],[Date]]="","",tblCommentary[[#This Row],[Date]]&amp;"|"&amp;tblCommentary[[#This Row],[Seq_Day]])</f>
        <v/>
      </c>
    </row>
    <row r="2438">
      <c r="A2438" s="54" t="n"/>
      <c r="B2438" s="61" t="n"/>
      <c r="C2438" s="58" t="n"/>
      <c r="D2438" s="58" t="n"/>
      <c r="E2438" s="64">
        <f>IF(tblCommentary[[#This Row],[Date]]="","",COUNTIFS(INDEX(tblCommentary[Date],1):tblCommentary[[#This Row],[Date]],tblCommentary[[#This Row],[Date]]))</f>
        <v/>
      </c>
      <c r="F2438" s="63">
        <f>IF(tblCommentary[[#This Row],[Date]]="","",tblCommentary[[#This Row],[Date]]&amp;"|"&amp;tblCommentary[[#This Row],[Seq_Day]])</f>
        <v/>
      </c>
    </row>
    <row r="2439">
      <c r="A2439" s="54" t="n"/>
      <c r="B2439" s="61" t="n"/>
      <c r="C2439" s="58" t="n"/>
      <c r="D2439" s="58" t="n"/>
      <c r="E2439" s="64">
        <f>IF(tblCommentary[[#This Row],[Date]]="","",COUNTIFS(INDEX(tblCommentary[Date],1):tblCommentary[[#This Row],[Date]],tblCommentary[[#This Row],[Date]]))</f>
        <v/>
      </c>
      <c r="F2439" s="63">
        <f>IF(tblCommentary[[#This Row],[Date]]="","",tblCommentary[[#This Row],[Date]]&amp;"|"&amp;tblCommentary[[#This Row],[Seq_Day]])</f>
        <v/>
      </c>
    </row>
    <row r="2440">
      <c r="A2440" s="54" t="n"/>
      <c r="B2440" s="61" t="n"/>
      <c r="C2440" s="58" t="n"/>
      <c r="D2440" s="58" t="n"/>
      <c r="E2440" s="64">
        <f>IF(tblCommentary[[#This Row],[Date]]="","",COUNTIFS(INDEX(tblCommentary[Date],1):tblCommentary[[#This Row],[Date]],tblCommentary[[#This Row],[Date]]))</f>
        <v/>
      </c>
      <c r="F2440" s="63">
        <f>IF(tblCommentary[[#This Row],[Date]]="","",tblCommentary[[#This Row],[Date]]&amp;"|"&amp;tblCommentary[[#This Row],[Seq_Day]])</f>
        <v/>
      </c>
    </row>
    <row r="2441">
      <c r="A2441" s="54" t="n"/>
      <c r="B2441" s="61" t="n"/>
      <c r="C2441" s="58" t="n"/>
      <c r="D2441" s="58" t="n"/>
      <c r="E2441" s="64">
        <f>IF(tblCommentary[[#This Row],[Date]]="","",COUNTIFS(INDEX(tblCommentary[Date],1):tblCommentary[[#This Row],[Date]],tblCommentary[[#This Row],[Date]]))</f>
        <v/>
      </c>
      <c r="F2441" s="63">
        <f>IF(tblCommentary[[#This Row],[Date]]="","",tblCommentary[[#This Row],[Date]]&amp;"|"&amp;tblCommentary[[#This Row],[Seq_Day]])</f>
        <v/>
      </c>
    </row>
    <row r="2442">
      <c r="A2442" s="54" t="n"/>
      <c r="B2442" s="61" t="n"/>
      <c r="C2442" s="58" t="n"/>
      <c r="D2442" s="58" t="n"/>
      <c r="E2442" s="64">
        <f>IF(tblCommentary[[#This Row],[Date]]="","",COUNTIFS(INDEX(tblCommentary[Date],1):tblCommentary[[#This Row],[Date]],tblCommentary[[#This Row],[Date]]))</f>
        <v/>
      </c>
      <c r="F2442" s="63">
        <f>IF(tblCommentary[[#This Row],[Date]]="","",tblCommentary[[#This Row],[Date]]&amp;"|"&amp;tblCommentary[[#This Row],[Seq_Day]])</f>
        <v/>
      </c>
    </row>
    <row r="2443">
      <c r="A2443" s="54" t="n"/>
      <c r="B2443" s="61" t="n"/>
      <c r="C2443" s="58" t="n"/>
      <c r="D2443" s="58" t="n"/>
      <c r="E2443" s="64">
        <f>IF(tblCommentary[[#This Row],[Date]]="","",COUNTIFS(INDEX(tblCommentary[Date],1):tblCommentary[[#This Row],[Date]],tblCommentary[[#This Row],[Date]]))</f>
        <v/>
      </c>
      <c r="F2443" s="63">
        <f>IF(tblCommentary[[#This Row],[Date]]="","",tblCommentary[[#This Row],[Date]]&amp;"|"&amp;tblCommentary[[#This Row],[Seq_Day]])</f>
        <v/>
      </c>
    </row>
    <row r="2444">
      <c r="A2444" s="54" t="n"/>
      <c r="B2444" s="61" t="n"/>
      <c r="C2444" s="58" t="n"/>
      <c r="D2444" s="58" t="n"/>
      <c r="E2444" s="64">
        <f>IF(tblCommentary[[#This Row],[Date]]="","",COUNTIFS(INDEX(tblCommentary[Date],1):tblCommentary[[#This Row],[Date]],tblCommentary[[#This Row],[Date]]))</f>
        <v/>
      </c>
      <c r="F2444" s="63">
        <f>IF(tblCommentary[[#This Row],[Date]]="","",tblCommentary[[#This Row],[Date]]&amp;"|"&amp;tblCommentary[[#This Row],[Seq_Day]])</f>
        <v/>
      </c>
    </row>
    <row r="2445">
      <c r="A2445" s="54" t="n"/>
      <c r="B2445" s="61" t="n"/>
      <c r="C2445" s="58" t="n"/>
      <c r="D2445" s="58" t="n"/>
      <c r="E2445" s="64">
        <f>IF(tblCommentary[[#This Row],[Date]]="","",COUNTIFS(INDEX(tblCommentary[Date],1):tblCommentary[[#This Row],[Date]],tblCommentary[[#This Row],[Date]]))</f>
        <v/>
      </c>
      <c r="F2445" s="63">
        <f>IF(tblCommentary[[#This Row],[Date]]="","",tblCommentary[[#This Row],[Date]]&amp;"|"&amp;tblCommentary[[#This Row],[Seq_Day]])</f>
        <v/>
      </c>
    </row>
    <row r="2446">
      <c r="A2446" s="54" t="n"/>
      <c r="B2446" s="61" t="n"/>
      <c r="C2446" s="58" t="n"/>
      <c r="D2446" s="58" t="n"/>
      <c r="E2446" s="64">
        <f>IF(tblCommentary[[#This Row],[Date]]="","",COUNTIFS(INDEX(tblCommentary[Date],1):tblCommentary[[#This Row],[Date]],tblCommentary[[#This Row],[Date]]))</f>
        <v/>
      </c>
      <c r="F2446" s="63">
        <f>IF(tblCommentary[[#This Row],[Date]]="","",tblCommentary[[#This Row],[Date]]&amp;"|"&amp;tblCommentary[[#This Row],[Seq_Day]])</f>
        <v/>
      </c>
    </row>
    <row r="2447">
      <c r="A2447" s="54" t="n"/>
      <c r="B2447" s="61" t="n"/>
      <c r="C2447" s="58" t="n"/>
      <c r="D2447" s="58" t="n"/>
      <c r="E2447" s="64">
        <f>IF(tblCommentary[[#This Row],[Date]]="","",COUNTIFS(INDEX(tblCommentary[Date],1):tblCommentary[[#This Row],[Date]],tblCommentary[[#This Row],[Date]]))</f>
        <v/>
      </c>
      <c r="F2447" s="63">
        <f>IF(tblCommentary[[#This Row],[Date]]="","",tblCommentary[[#This Row],[Date]]&amp;"|"&amp;tblCommentary[[#This Row],[Seq_Day]])</f>
        <v/>
      </c>
    </row>
    <row r="2448">
      <c r="A2448" s="54" t="n"/>
      <c r="B2448" s="61" t="n"/>
      <c r="C2448" s="58" t="n"/>
      <c r="D2448" s="58" t="n"/>
      <c r="E2448" s="64">
        <f>IF(tblCommentary[[#This Row],[Date]]="","",COUNTIFS(INDEX(tblCommentary[Date],1):tblCommentary[[#This Row],[Date]],tblCommentary[[#This Row],[Date]]))</f>
        <v/>
      </c>
      <c r="F2448" s="63">
        <f>IF(tblCommentary[[#This Row],[Date]]="","",tblCommentary[[#This Row],[Date]]&amp;"|"&amp;tblCommentary[[#This Row],[Seq_Day]])</f>
        <v/>
      </c>
    </row>
    <row r="2449">
      <c r="A2449" s="54" t="n"/>
      <c r="B2449" s="61" t="n"/>
      <c r="C2449" s="58" t="n"/>
      <c r="D2449" s="58" t="n"/>
      <c r="E2449" s="64">
        <f>IF(tblCommentary[[#This Row],[Date]]="","",COUNTIFS(INDEX(tblCommentary[Date],1):tblCommentary[[#This Row],[Date]],tblCommentary[[#This Row],[Date]]))</f>
        <v/>
      </c>
      <c r="F2449" s="63">
        <f>IF(tblCommentary[[#This Row],[Date]]="","",tblCommentary[[#This Row],[Date]]&amp;"|"&amp;tblCommentary[[#This Row],[Seq_Day]])</f>
        <v/>
      </c>
    </row>
    <row r="2450">
      <c r="A2450" s="54" t="n"/>
      <c r="B2450" s="61" t="n"/>
      <c r="C2450" s="58" t="n"/>
      <c r="D2450" s="58" t="n"/>
      <c r="E2450" s="64">
        <f>IF(tblCommentary[[#This Row],[Date]]="","",COUNTIFS(INDEX(tblCommentary[Date],1):tblCommentary[[#This Row],[Date]],tblCommentary[[#This Row],[Date]]))</f>
        <v/>
      </c>
      <c r="F2450" s="63">
        <f>IF(tblCommentary[[#This Row],[Date]]="","",tblCommentary[[#This Row],[Date]]&amp;"|"&amp;tblCommentary[[#This Row],[Seq_Day]])</f>
        <v/>
      </c>
    </row>
    <row r="2451">
      <c r="A2451" s="54" t="n"/>
      <c r="B2451" s="61" t="n"/>
      <c r="C2451" s="58" t="n"/>
      <c r="D2451" s="58" t="n"/>
      <c r="E2451" s="64">
        <f>IF(tblCommentary[[#This Row],[Date]]="","",COUNTIFS(INDEX(tblCommentary[Date],1):tblCommentary[[#This Row],[Date]],tblCommentary[[#This Row],[Date]]))</f>
        <v/>
      </c>
      <c r="F2451" s="63">
        <f>IF(tblCommentary[[#This Row],[Date]]="","",tblCommentary[[#This Row],[Date]]&amp;"|"&amp;tblCommentary[[#This Row],[Seq_Day]])</f>
        <v/>
      </c>
    </row>
    <row r="2452">
      <c r="A2452" s="54" t="n"/>
      <c r="B2452" s="61" t="n"/>
      <c r="C2452" s="58" t="n"/>
      <c r="D2452" s="58" t="n"/>
      <c r="E2452" s="64">
        <f>IF(tblCommentary[[#This Row],[Date]]="","",COUNTIFS(INDEX(tblCommentary[Date],1):tblCommentary[[#This Row],[Date]],tblCommentary[[#This Row],[Date]]))</f>
        <v/>
      </c>
      <c r="F2452" s="63">
        <f>IF(tblCommentary[[#This Row],[Date]]="","",tblCommentary[[#This Row],[Date]]&amp;"|"&amp;tblCommentary[[#This Row],[Seq_Day]])</f>
        <v/>
      </c>
    </row>
    <row r="2453">
      <c r="A2453" s="54" t="n"/>
      <c r="B2453" s="61" t="n"/>
      <c r="C2453" s="58" t="n"/>
      <c r="D2453" s="58" t="n"/>
      <c r="E2453" s="64">
        <f>IF(tblCommentary[[#This Row],[Date]]="","",COUNTIFS(INDEX(tblCommentary[Date],1):tblCommentary[[#This Row],[Date]],tblCommentary[[#This Row],[Date]]))</f>
        <v/>
      </c>
      <c r="F2453" s="63">
        <f>IF(tblCommentary[[#This Row],[Date]]="","",tblCommentary[[#This Row],[Date]]&amp;"|"&amp;tblCommentary[[#This Row],[Seq_Day]])</f>
        <v/>
      </c>
    </row>
    <row r="2454">
      <c r="A2454" s="54" t="n"/>
      <c r="B2454" s="61" t="n"/>
      <c r="C2454" s="58" t="n"/>
      <c r="D2454" s="58" t="n"/>
      <c r="E2454" s="64">
        <f>IF(tblCommentary[[#This Row],[Date]]="","",COUNTIFS(INDEX(tblCommentary[Date],1):tblCommentary[[#This Row],[Date]],tblCommentary[[#This Row],[Date]]))</f>
        <v/>
      </c>
      <c r="F2454" s="63">
        <f>IF(tblCommentary[[#This Row],[Date]]="","",tblCommentary[[#This Row],[Date]]&amp;"|"&amp;tblCommentary[[#This Row],[Seq_Day]])</f>
        <v/>
      </c>
    </row>
    <row r="2455">
      <c r="A2455" s="54" t="n"/>
      <c r="B2455" s="61" t="n"/>
      <c r="C2455" s="58" t="n"/>
      <c r="D2455" s="58" t="n"/>
      <c r="E2455" s="64">
        <f>IF(tblCommentary[[#This Row],[Date]]="","",COUNTIFS(INDEX(tblCommentary[Date],1):tblCommentary[[#This Row],[Date]],tblCommentary[[#This Row],[Date]]))</f>
        <v/>
      </c>
      <c r="F2455" s="63">
        <f>IF(tblCommentary[[#This Row],[Date]]="","",tblCommentary[[#This Row],[Date]]&amp;"|"&amp;tblCommentary[[#This Row],[Seq_Day]])</f>
        <v/>
      </c>
    </row>
    <row r="2456">
      <c r="A2456" s="54" t="n"/>
      <c r="B2456" s="61" t="n"/>
      <c r="C2456" s="58" t="n"/>
      <c r="D2456" s="58" t="n"/>
      <c r="E2456" s="64">
        <f>IF(tblCommentary[[#This Row],[Date]]="","",COUNTIFS(INDEX(tblCommentary[Date],1):tblCommentary[[#This Row],[Date]],tblCommentary[[#This Row],[Date]]))</f>
        <v/>
      </c>
      <c r="F2456" s="63">
        <f>IF(tblCommentary[[#This Row],[Date]]="","",tblCommentary[[#This Row],[Date]]&amp;"|"&amp;tblCommentary[[#This Row],[Seq_Day]])</f>
        <v/>
      </c>
    </row>
    <row r="2457">
      <c r="A2457" s="54" t="n"/>
      <c r="B2457" s="61" t="n"/>
      <c r="C2457" s="58" t="n"/>
      <c r="D2457" s="58" t="n"/>
      <c r="E2457" s="64">
        <f>IF(tblCommentary[[#This Row],[Date]]="","",COUNTIFS(INDEX(tblCommentary[Date],1):tblCommentary[[#This Row],[Date]],tblCommentary[[#This Row],[Date]]))</f>
        <v/>
      </c>
      <c r="F2457" s="63">
        <f>IF(tblCommentary[[#This Row],[Date]]="","",tblCommentary[[#This Row],[Date]]&amp;"|"&amp;tblCommentary[[#This Row],[Seq_Day]])</f>
        <v/>
      </c>
    </row>
    <row r="2458">
      <c r="A2458" s="54" t="n"/>
      <c r="B2458" s="61" t="n"/>
      <c r="C2458" s="58" t="n"/>
      <c r="D2458" s="58" t="n"/>
      <c r="E2458" s="64">
        <f>IF(tblCommentary[[#This Row],[Date]]="","",COUNTIFS(INDEX(tblCommentary[Date],1):tblCommentary[[#This Row],[Date]],tblCommentary[[#This Row],[Date]]))</f>
        <v/>
      </c>
      <c r="F2458" s="63">
        <f>IF(tblCommentary[[#This Row],[Date]]="","",tblCommentary[[#This Row],[Date]]&amp;"|"&amp;tblCommentary[[#This Row],[Seq_Day]])</f>
        <v/>
      </c>
    </row>
    <row r="2459">
      <c r="A2459" s="54" t="n"/>
      <c r="B2459" s="61" t="n"/>
      <c r="C2459" s="58" t="n"/>
      <c r="D2459" s="58" t="n"/>
      <c r="E2459" s="64">
        <f>IF(tblCommentary[[#This Row],[Date]]="","",COUNTIFS(INDEX(tblCommentary[Date],1):tblCommentary[[#This Row],[Date]],tblCommentary[[#This Row],[Date]]))</f>
        <v/>
      </c>
      <c r="F2459" s="63">
        <f>IF(tblCommentary[[#This Row],[Date]]="","",tblCommentary[[#This Row],[Date]]&amp;"|"&amp;tblCommentary[[#This Row],[Seq_Day]])</f>
        <v/>
      </c>
    </row>
    <row r="2460">
      <c r="A2460" s="54" t="n"/>
      <c r="B2460" s="61" t="n"/>
      <c r="C2460" s="58" t="n"/>
      <c r="D2460" s="58" t="n"/>
      <c r="E2460" s="64">
        <f>IF(tblCommentary[[#This Row],[Date]]="","",COUNTIFS(INDEX(tblCommentary[Date],1):tblCommentary[[#This Row],[Date]],tblCommentary[[#This Row],[Date]]))</f>
        <v/>
      </c>
      <c r="F2460" s="63">
        <f>IF(tblCommentary[[#This Row],[Date]]="","",tblCommentary[[#This Row],[Date]]&amp;"|"&amp;tblCommentary[[#This Row],[Seq_Day]])</f>
        <v/>
      </c>
    </row>
    <row r="2461">
      <c r="A2461" s="54" t="n"/>
      <c r="B2461" s="61" t="n"/>
      <c r="C2461" s="58" t="n"/>
      <c r="D2461" s="58" t="n"/>
      <c r="E2461" s="64">
        <f>IF(tblCommentary[[#This Row],[Date]]="","",COUNTIFS(INDEX(tblCommentary[Date],1):tblCommentary[[#This Row],[Date]],tblCommentary[[#This Row],[Date]]))</f>
        <v/>
      </c>
      <c r="F2461" s="63">
        <f>IF(tblCommentary[[#This Row],[Date]]="","",tblCommentary[[#This Row],[Date]]&amp;"|"&amp;tblCommentary[[#This Row],[Seq_Day]])</f>
        <v/>
      </c>
    </row>
    <row r="2462">
      <c r="A2462" s="54" t="n"/>
      <c r="B2462" s="61" t="n"/>
      <c r="C2462" s="58" t="n"/>
      <c r="D2462" s="58" t="n"/>
      <c r="E2462" s="64">
        <f>IF(tblCommentary[[#This Row],[Date]]="","",COUNTIFS(INDEX(tblCommentary[Date],1):tblCommentary[[#This Row],[Date]],tblCommentary[[#This Row],[Date]]))</f>
        <v/>
      </c>
      <c r="F2462" s="63">
        <f>IF(tblCommentary[[#This Row],[Date]]="","",tblCommentary[[#This Row],[Date]]&amp;"|"&amp;tblCommentary[[#This Row],[Seq_Day]])</f>
        <v/>
      </c>
    </row>
    <row r="2463">
      <c r="A2463" s="54" t="n"/>
      <c r="B2463" s="61" t="n"/>
      <c r="C2463" s="58" t="n"/>
      <c r="D2463" s="58" t="n"/>
      <c r="E2463" s="64">
        <f>IF(tblCommentary[[#This Row],[Date]]="","",COUNTIFS(INDEX(tblCommentary[Date],1):tblCommentary[[#This Row],[Date]],tblCommentary[[#This Row],[Date]]))</f>
        <v/>
      </c>
      <c r="F2463" s="63">
        <f>IF(tblCommentary[[#This Row],[Date]]="","",tblCommentary[[#This Row],[Date]]&amp;"|"&amp;tblCommentary[[#This Row],[Seq_Day]])</f>
        <v/>
      </c>
    </row>
    <row r="2464">
      <c r="A2464" s="54" t="n"/>
      <c r="B2464" s="61" t="n"/>
      <c r="C2464" s="58" t="n"/>
      <c r="D2464" s="58" t="n"/>
      <c r="E2464" s="64">
        <f>IF(tblCommentary[[#This Row],[Date]]="","",COUNTIFS(INDEX(tblCommentary[Date],1):tblCommentary[[#This Row],[Date]],tblCommentary[[#This Row],[Date]]))</f>
        <v/>
      </c>
      <c r="F2464" s="63">
        <f>IF(tblCommentary[[#This Row],[Date]]="","",tblCommentary[[#This Row],[Date]]&amp;"|"&amp;tblCommentary[[#This Row],[Seq_Day]])</f>
        <v/>
      </c>
    </row>
    <row r="2465">
      <c r="A2465" s="54" t="n"/>
      <c r="B2465" s="61" t="n"/>
      <c r="C2465" s="58" t="n"/>
      <c r="D2465" s="58" t="n"/>
      <c r="E2465" s="64">
        <f>IF(tblCommentary[[#This Row],[Date]]="","",COUNTIFS(INDEX(tblCommentary[Date],1):tblCommentary[[#This Row],[Date]],tblCommentary[[#This Row],[Date]]))</f>
        <v/>
      </c>
      <c r="F2465" s="63">
        <f>IF(tblCommentary[[#This Row],[Date]]="","",tblCommentary[[#This Row],[Date]]&amp;"|"&amp;tblCommentary[[#This Row],[Seq_Day]])</f>
        <v/>
      </c>
    </row>
    <row r="2466">
      <c r="A2466" s="54" t="n"/>
      <c r="B2466" s="61" t="n"/>
      <c r="C2466" s="58" t="n"/>
      <c r="D2466" s="58" t="n"/>
      <c r="E2466" s="64">
        <f>IF(tblCommentary[[#This Row],[Date]]="","",COUNTIFS(INDEX(tblCommentary[Date],1):tblCommentary[[#This Row],[Date]],tblCommentary[[#This Row],[Date]]))</f>
        <v/>
      </c>
      <c r="F2466" s="63">
        <f>IF(tblCommentary[[#This Row],[Date]]="","",tblCommentary[[#This Row],[Date]]&amp;"|"&amp;tblCommentary[[#This Row],[Seq_Day]])</f>
        <v/>
      </c>
    </row>
    <row r="2467">
      <c r="A2467" s="54" t="n"/>
      <c r="B2467" s="61" t="n"/>
      <c r="C2467" s="58" t="n"/>
      <c r="D2467" s="58" t="n"/>
      <c r="E2467" s="64">
        <f>IF(tblCommentary[[#This Row],[Date]]="","",COUNTIFS(INDEX(tblCommentary[Date],1):tblCommentary[[#This Row],[Date]],tblCommentary[[#This Row],[Date]]))</f>
        <v/>
      </c>
      <c r="F2467" s="63">
        <f>IF(tblCommentary[[#This Row],[Date]]="","",tblCommentary[[#This Row],[Date]]&amp;"|"&amp;tblCommentary[[#This Row],[Seq_Day]])</f>
        <v/>
      </c>
    </row>
    <row r="2468">
      <c r="A2468" s="54" t="n"/>
      <c r="B2468" s="61" t="n"/>
      <c r="C2468" s="58" t="n"/>
      <c r="D2468" s="58" t="n"/>
      <c r="E2468" s="64">
        <f>IF(tblCommentary[[#This Row],[Date]]="","",COUNTIFS(INDEX(tblCommentary[Date],1):tblCommentary[[#This Row],[Date]],tblCommentary[[#This Row],[Date]]))</f>
        <v/>
      </c>
      <c r="F2468" s="63">
        <f>IF(tblCommentary[[#This Row],[Date]]="","",tblCommentary[[#This Row],[Date]]&amp;"|"&amp;tblCommentary[[#This Row],[Seq_Day]])</f>
        <v/>
      </c>
    </row>
    <row r="2469">
      <c r="A2469" s="54" t="n"/>
      <c r="B2469" s="61" t="n"/>
      <c r="C2469" s="58" t="n"/>
      <c r="D2469" s="58" t="n"/>
      <c r="E2469" s="64">
        <f>IF(tblCommentary[[#This Row],[Date]]="","",COUNTIFS(INDEX(tblCommentary[Date],1):tblCommentary[[#This Row],[Date]],tblCommentary[[#This Row],[Date]]))</f>
        <v/>
      </c>
      <c r="F2469" s="63">
        <f>IF(tblCommentary[[#This Row],[Date]]="","",tblCommentary[[#This Row],[Date]]&amp;"|"&amp;tblCommentary[[#This Row],[Seq_Day]])</f>
        <v/>
      </c>
    </row>
    <row r="2470">
      <c r="A2470" s="54" t="n"/>
      <c r="B2470" s="61" t="n"/>
      <c r="C2470" s="58" t="n"/>
      <c r="D2470" s="58" t="n"/>
      <c r="E2470" s="64">
        <f>IF(tblCommentary[[#This Row],[Date]]="","",COUNTIFS(INDEX(tblCommentary[Date],1):tblCommentary[[#This Row],[Date]],tblCommentary[[#This Row],[Date]]))</f>
        <v/>
      </c>
      <c r="F2470" s="63">
        <f>IF(tblCommentary[[#This Row],[Date]]="","",tblCommentary[[#This Row],[Date]]&amp;"|"&amp;tblCommentary[[#This Row],[Seq_Day]])</f>
        <v/>
      </c>
    </row>
    <row r="2471">
      <c r="A2471" s="54" t="n"/>
      <c r="B2471" s="61" t="n"/>
      <c r="C2471" s="58" t="n"/>
      <c r="D2471" s="58" t="n"/>
      <c r="E2471" s="64">
        <f>IF(tblCommentary[[#This Row],[Date]]="","",COUNTIFS(INDEX(tblCommentary[Date],1):tblCommentary[[#This Row],[Date]],tblCommentary[[#This Row],[Date]]))</f>
        <v/>
      </c>
      <c r="F2471" s="63">
        <f>IF(tblCommentary[[#This Row],[Date]]="","",tblCommentary[[#This Row],[Date]]&amp;"|"&amp;tblCommentary[[#This Row],[Seq_Day]])</f>
        <v/>
      </c>
    </row>
    <row r="2472">
      <c r="A2472" s="54" t="n"/>
      <c r="B2472" s="61" t="n"/>
      <c r="C2472" s="58" t="n"/>
      <c r="D2472" s="58" t="n"/>
      <c r="E2472" s="64">
        <f>IF(tblCommentary[[#This Row],[Date]]="","",COUNTIFS(INDEX(tblCommentary[Date],1):tblCommentary[[#This Row],[Date]],tblCommentary[[#This Row],[Date]]))</f>
        <v/>
      </c>
      <c r="F2472" s="63">
        <f>IF(tblCommentary[[#This Row],[Date]]="","",tblCommentary[[#This Row],[Date]]&amp;"|"&amp;tblCommentary[[#This Row],[Seq_Day]])</f>
        <v/>
      </c>
    </row>
    <row r="2473">
      <c r="A2473" s="54" t="n"/>
      <c r="B2473" s="61" t="n"/>
      <c r="C2473" s="58" t="n"/>
      <c r="D2473" s="58" t="n"/>
      <c r="E2473" s="64">
        <f>IF(tblCommentary[[#This Row],[Date]]="","",COUNTIFS(INDEX(tblCommentary[Date],1):tblCommentary[[#This Row],[Date]],tblCommentary[[#This Row],[Date]]))</f>
        <v/>
      </c>
      <c r="F2473" s="63">
        <f>IF(tblCommentary[[#This Row],[Date]]="","",tblCommentary[[#This Row],[Date]]&amp;"|"&amp;tblCommentary[[#This Row],[Seq_Day]])</f>
        <v/>
      </c>
    </row>
    <row r="2474">
      <c r="A2474" s="54" t="n"/>
      <c r="B2474" s="61" t="n"/>
      <c r="C2474" s="58" t="n"/>
      <c r="D2474" s="58" t="n"/>
      <c r="E2474" s="64">
        <f>IF(tblCommentary[[#This Row],[Date]]="","",COUNTIFS(INDEX(tblCommentary[Date],1):tblCommentary[[#This Row],[Date]],tblCommentary[[#This Row],[Date]]))</f>
        <v/>
      </c>
      <c r="F2474" s="63">
        <f>IF(tblCommentary[[#This Row],[Date]]="","",tblCommentary[[#This Row],[Date]]&amp;"|"&amp;tblCommentary[[#This Row],[Seq_Day]])</f>
        <v/>
      </c>
    </row>
    <row r="2475">
      <c r="A2475" s="54" t="n"/>
      <c r="B2475" s="61" t="n"/>
      <c r="C2475" s="58" t="n"/>
      <c r="D2475" s="58" t="n"/>
      <c r="E2475" s="64">
        <f>IF(tblCommentary[[#This Row],[Date]]="","",COUNTIFS(INDEX(tblCommentary[Date],1):tblCommentary[[#This Row],[Date]],tblCommentary[[#This Row],[Date]]))</f>
        <v/>
      </c>
      <c r="F2475" s="63">
        <f>IF(tblCommentary[[#This Row],[Date]]="","",tblCommentary[[#This Row],[Date]]&amp;"|"&amp;tblCommentary[[#This Row],[Seq_Day]])</f>
        <v/>
      </c>
    </row>
    <row r="2476">
      <c r="A2476" s="54" t="n"/>
      <c r="B2476" s="61" t="n"/>
      <c r="C2476" s="58" t="n"/>
      <c r="D2476" s="58" t="n"/>
      <c r="E2476" s="64">
        <f>IF(tblCommentary[[#This Row],[Date]]="","",COUNTIFS(INDEX(tblCommentary[Date],1):tblCommentary[[#This Row],[Date]],tblCommentary[[#This Row],[Date]]))</f>
        <v/>
      </c>
      <c r="F2476" s="63">
        <f>IF(tblCommentary[[#This Row],[Date]]="","",tblCommentary[[#This Row],[Date]]&amp;"|"&amp;tblCommentary[[#This Row],[Seq_Day]])</f>
        <v/>
      </c>
    </row>
    <row r="2477">
      <c r="A2477" s="54" t="n"/>
      <c r="B2477" s="61" t="n"/>
      <c r="C2477" s="58" t="n"/>
      <c r="D2477" s="58" t="n"/>
      <c r="E2477" s="64">
        <f>IF(tblCommentary[[#This Row],[Date]]="","",COUNTIFS(INDEX(tblCommentary[Date],1):tblCommentary[[#This Row],[Date]],tblCommentary[[#This Row],[Date]]))</f>
        <v/>
      </c>
      <c r="F2477" s="63">
        <f>IF(tblCommentary[[#This Row],[Date]]="","",tblCommentary[[#This Row],[Date]]&amp;"|"&amp;tblCommentary[[#This Row],[Seq_Day]])</f>
        <v/>
      </c>
    </row>
    <row r="2478">
      <c r="A2478" s="54" t="n"/>
      <c r="B2478" s="61" t="n"/>
      <c r="C2478" s="58" t="n"/>
      <c r="D2478" s="58" t="n"/>
      <c r="E2478" s="64">
        <f>IF(tblCommentary[[#This Row],[Date]]="","",COUNTIFS(INDEX(tblCommentary[Date],1):tblCommentary[[#This Row],[Date]],tblCommentary[[#This Row],[Date]]))</f>
        <v/>
      </c>
      <c r="F2478" s="63">
        <f>IF(tblCommentary[[#This Row],[Date]]="","",tblCommentary[[#This Row],[Date]]&amp;"|"&amp;tblCommentary[[#This Row],[Seq_Day]])</f>
        <v/>
      </c>
    </row>
    <row r="2479">
      <c r="A2479" s="54" t="n"/>
      <c r="B2479" s="61" t="n"/>
      <c r="C2479" s="58" t="n"/>
      <c r="D2479" s="58" t="n"/>
      <c r="E2479" s="64">
        <f>IF(tblCommentary[[#This Row],[Date]]="","",COUNTIFS(INDEX(tblCommentary[Date],1):tblCommentary[[#This Row],[Date]],tblCommentary[[#This Row],[Date]]))</f>
        <v/>
      </c>
      <c r="F2479" s="63">
        <f>IF(tblCommentary[[#This Row],[Date]]="","",tblCommentary[[#This Row],[Date]]&amp;"|"&amp;tblCommentary[[#This Row],[Seq_Day]])</f>
        <v/>
      </c>
    </row>
    <row r="2480">
      <c r="A2480" s="54" t="n"/>
      <c r="B2480" s="61" t="n"/>
      <c r="C2480" s="58" t="n"/>
      <c r="D2480" s="58" t="n"/>
      <c r="E2480" s="64">
        <f>IF(tblCommentary[[#This Row],[Date]]="","",COUNTIFS(INDEX(tblCommentary[Date],1):tblCommentary[[#This Row],[Date]],tblCommentary[[#This Row],[Date]]))</f>
        <v/>
      </c>
      <c r="F2480" s="63">
        <f>IF(tblCommentary[[#This Row],[Date]]="","",tblCommentary[[#This Row],[Date]]&amp;"|"&amp;tblCommentary[[#This Row],[Seq_Day]])</f>
        <v/>
      </c>
    </row>
    <row r="2481">
      <c r="A2481" s="54" t="n"/>
      <c r="B2481" s="61" t="n"/>
      <c r="C2481" s="58" t="n"/>
      <c r="D2481" s="58" t="n"/>
      <c r="E2481" s="64">
        <f>IF(tblCommentary[[#This Row],[Date]]="","",COUNTIFS(INDEX(tblCommentary[Date],1):tblCommentary[[#This Row],[Date]],tblCommentary[[#This Row],[Date]]))</f>
        <v/>
      </c>
      <c r="F2481" s="63">
        <f>IF(tblCommentary[[#This Row],[Date]]="","",tblCommentary[[#This Row],[Date]]&amp;"|"&amp;tblCommentary[[#This Row],[Seq_Day]])</f>
        <v/>
      </c>
    </row>
    <row r="2482">
      <c r="A2482" s="54" t="n"/>
      <c r="B2482" s="61" t="n"/>
      <c r="C2482" s="58" t="n"/>
      <c r="D2482" s="58" t="n"/>
      <c r="E2482" s="64">
        <f>IF(tblCommentary[[#This Row],[Date]]="","",COUNTIFS(INDEX(tblCommentary[Date],1):tblCommentary[[#This Row],[Date]],tblCommentary[[#This Row],[Date]]))</f>
        <v/>
      </c>
      <c r="F2482" s="63">
        <f>IF(tblCommentary[[#This Row],[Date]]="","",tblCommentary[[#This Row],[Date]]&amp;"|"&amp;tblCommentary[[#This Row],[Seq_Day]])</f>
        <v/>
      </c>
    </row>
    <row r="2483">
      <c r="A2483" s="54" t="n"/>
      <c r="B2483" s="61" t="n"/>
      <c r="C2483" s="58" t="n"/>
      <c r="D2483" s="58" t="n"/>
      <c r="E2483" s="64">
        <f>IF(tblCommentary[[#This Row],[Date]]="","",COUNTIFS(INDEX(tblCommentary[Date],1):tblCommentary[[#This Row],[Date]],tblCommentary[[#This Row],[Date]]))</f>
        <v/>
      </c>
      <c r="F2483" s="63">
        <f>IF(tblCommentary[[#This Row],[Date]]="","",tblCommentary[[#This Row],[Date]]&amp;"|"&amp;tblCommentary[[#This Row],[Seq_Day]])</f>
        <v/>
      </c>
    </row>
    <row r="2484">
      <c r="A2484" s="54" t="n"/>
      <c r="B2484" s="61" t="n"/>
      <c r="C2484" s="58" t="n"/>
      <c r="D2484" s="58" t="n"/>
      <c r="E2484" s="64">
        <f>IF(tblCommentary[[#This Row],[Date]]="","",COUNTIFS(INDEX(tblCommentary[Date],1):tblCommentary[[#This Row],[Date]],tblCommentary[[#This Row],[Date]]))</f>
        <v/>
      </c>
      <c r="F2484" s="63">
        <f>IF(tblCommentary[[#This Row],[Date]]="","",tblCommentary[[#This Row],[Date]]&amp;"|"&amp;tblCommentary[[#This Row],[Seq_Day]])</f>
        <v/>
      </c>
    </row>
    <row r="2485">
      <c r="A2485" s="54" t="n"/>
      <c r="B2485" s="61" t="n"/>
      <c r="C2485" s="58" t="n"/>
      <c r="D2485" s="58" t="n"/>
      <c r="E2485" s="64">
        <f>IF(tblCommentary[[#This Row],[Date]]="","",COUNTIFS(INDEX(tblCommentary[Date],1):tblCommentary[[#This Row],[Date]],tblCommentary[[#This Row],[Date]]))</f>
        <v/>
      </c>
      <c r="F2485" s="63">
        <f>IF(tblCommentary[[#This Row],[Date]]="","",tblCommentary[[#This Row],[Date]]&amp;"|"&amp;tblCommentary[[#This Row],[Seq_Day]])</f>
        <v/>
      </c>
    </row>
    <row r="2486">
      <c r="A2486" s="54" t="n"/>
      <c r="B2486" s="61" t="n"/>
      <c r="C2486" s="58" t="n"/>
      <c r="D2486" s="58" t="n"/>
      <c r="E2486" s="64">
        <f>IF(tblCommentary[[#This Row],[Date]]="","",COUNTIFS(INDEX(tblCommentary[Date],1):tblCommentary[[#This Row],[Date]],tblCommentary[[#This Row],[Date]]))</f>
        <v/>
      </c>
      <c r="F2486" s="63">
        <f>IF(tblCommentary[[#This Row],[Date]]="","",tblCommentary[[#This Row],[Date]]&amp;"|"&amp;tblCommentary[[#This Row],[Seq_Day]])</f>
        <v/>
      </c>
    </row>
    <row r="2487">
      <c r="A2487" s="54" t="n"/>
      <c r="B2487" s="61" t="n"/>
      <c r="C2487" s="58" t="n"/>
      <c r="D2487" s="58" t="n"/>
      <c r="E2487" s="64">
        <f>IF(tblCommentary[[#This Row],[Date]]="","",COUNTIFS(INDEX(tblCommentary[Date],1):tblCommentary[[#This Row],[Date]],tblCommentary[[#This Row],[Date]]))</f>
        <v/>
      </c>
      <c r="F2487" s="63">
        <f>IF(tblCommentary[[#This Row],[Date]]="","",tblCommentary[[#This Row],[Date]]&amp;"|"&amp;tblCommentary[[#This Row],[Seq_Day]])</f>
        <v/>
      </c>
    </row>
    <row r="2488">
      <c r="A2488" s="54" t="n"/>
      <c r="B2488" s="61" t="n"/>
      <c r="C2488" s="58" t="n"/>
      <c r="D2488" s="58" t="n"/>
      <c r="E2488" s="64">
        <f>IF(tblCommentary[[#This Row],[Date]]="","",COUNTIFS(INDEX(tblCommentary[Date],1):tblCommentary[[#This Row],[Date]],tblCommentary[[#This Row],[Date]]))</f>
        <v/>
      </c>
      <c r="F2488" s="63">
        <f>IF(tblCommentary[[#This Row],[Date]]="","",tblCommentary[[#This Row],[Date]]&amp;"|"&amp;tblCommentary[[#This Row],[Seq_Day]])</f>
        <v/>
      </c>
    </row>
    <row r="2489">
      <c r="A2489" s="54" t="n"/>
      <c r="B2489" s="61" t="n"/>
      <c r="C2489" s="58" t="n"/>
      <c r="D2489" s="58" t="n"/>
      <c r="E2489" s="64">
        <f>IF(tblCommentary[[#This Row],[Date]]="","",COUNTIFS(INDEX(tblCommentary[Date],1):tblCommentary[[#This Row],[Date]],tblCommentary[[#This Row],[Date]]))</f>
        <v/>
      </c>
      <c r="F2489" s="63">
        <f>IF(tblCommentary[[#This Row],[Date]]="","",tblCommentary[[#This Row],[Date]]&amp;"|"&amp;tblCommentary[[#This Row],[Seq_Day]])</f>
        <v/>
      </c>
    </row>
    <row r="2490">
      <c r="A2490" s="54" t="n"/>
      <c r="B2490" s="61" t="n"/>
      <c r="C2490" s="58" t="n"/>
      <c r="D2490" s="58" t="n"/>
      <c r="E2490" s="64">
        <f>IF(tblCommentary[[#This Row],[Date]]="","",COUNTIFS(INDEX(tblCommentary[Date],1):tblCommentary[[#This Row],[Date]],tblCommentary[[#This Row],[Date]]))</f>
        <v/>
      </c>
      <c r="F2490" s="63">
        <f>IF(tblCommentary[[#This Row],[Date]]="","",tblCommentary[[#This Row],[Date]]&amp;"|"&amp;tblCommentary[[#This Row],[Seq_Day]])</f>
        <v/>
      </c>
    </row>
    <row r="2491">
      <c r="A2491" s="54" t="n"/>
      <c r="B2491" s="61" t="n"/>
      <c r="C2491" s="58" t="n"/>
      <c r="D2491" s="58" t="n"/>
      <c r="E2491" s="64">
        <f>IF(tblCommentary[[#This Row],[Date]]="","",COUNTIFS(INDEX(tblCommentary[Date],1):tblCommentary[[#This Row],[Date]],tblCommentary[[#This Row],[Date]]))</f>
        <v/>
      </c>
      <c r="F2491" s="63">
        <f>IF(tblCommentary[[#This Row],[Date]]="","",tblCommentary[[#This Row],[Date]]&amp;"|"&amp;tblCommentary[[#This Row],[Seq_Day]])</f>
        <v/>
      </c>
    </row>
    <row r="2492">
      <c r="A2492" s="54" t="n"/>
      <c r="B2492" s="61" t="n"/>
      <c r="C2492" s="58" t="n"/>
      <c r="D2492" s="58" t="n"/>
      <c r="E2492" s="64">
        <f>IF(tblCommentary[[#This Row],[Date]]="","",COUNTIFS(INDEX(tblCommentary[Date],1):tblCommentary[[#This Row],[Date]],tblCommentary[[#This Row],[Date]]))</f>
        <v/>
      </c>
      <c r="F2492" s="63">
        <f>IF(tblCommentary[[#This Row],[Date]]="","",tblCommentary[[#This Row],[Date]]&amp;"|"&amp;tblCommentary[[#This Row],[Seq_Day]])</f>
        <v/>
      </c>
    </row>
    <row r="2493">
      <c r="A2493" s="54" t="n"/>
      <c r="B2493" s="61" t="n"/>
      <c r="C2493" s="58" t="n"/>
      <c r="D2493" s="58" t="n"/>
      <c r="E2493" s="64">
        <f>IF(tblCommentary[[#This Row],[Date]]="","",COUNTIFS(INDEX(tblCommentary[Date],1):tblCommentary[[#This Row],[Date]],tblCommentary[[#This Row],[Date]]))</f>
        <v/>
      </c>
      <c r="F2493" s="63">
        <f>IF(tblCommentary[[#This Row],[Date]]="","",tblCommentary[[#This Row],[Date]]&amp;"|"&amp;tblCommentary[[#This Row],[Seq_Day]])</f>
        <v/>
      </c>
    </row>
    <row r="2494">
      <c r="A2494" s="54" t="n"/>
      <c r="B2494" s="61" t="n"/>
      <c r="C2494" s="58" t="n"/>
      <c r="D2494" s="58" t="n"/>
      <c r="E2494" s="64">
        <f>IF(tblCommentary[[#This Row],[Date]]="","",COUNTIFS(INDEX(tblCommentary[Date],1):tblCommentary[[#This Row],[Date]],tblCommentary[[#This Row],[Date]]))</f>
        <v/>
      </c>
      <c r="F2494" s="63">
        <f>IF(tblCommentary[[#This Row],[Date]]="","",tblCommentary[[#This Row],[Date]]&amp;"|"&amp;tblCommentary[[#This Row],[Seq_Day]])</f>
        <v/>
      </c>
    </row>
    <row r="2495">
      <c r="A2495" s="54" t="n"/>
      <c r="B2495" s="61" t="n"/>
      <c r="C2495" s="58" t="n"/>
      <c r="D2495" s="58" t="n"/>
      <c r="E2495" s="64">
        <f>IF(tblCommentary[[#This Row],[Date]]="","",COUNTIFS(INDEX(tblCommentary[Date],1):tblCommentary[[#This Row],[Date]],tblCommentary[[#This Row],[Date]]))</f>
        <v/>
      </c>
      <c r="F2495" s="63">
        <f>IF(tblCommentary[[#This Row],[Date]]="","",tblCommentary[[#This Row],[Date]]&amp;"|"&amp;tblCommentary[[#This Row],[Seq_Day]])</f>
        <v/>
      </c>
    </row>
    <row r="2496">
      <c r="A2496" s="54" t="n"/>
      <c r="B2496" s="61" t="n"/>
      <c r="C2496" s="58" t="n"/>
      <c r="D2496" s="58" t="n"/>
      <c r="E2496" s="64">
        <f>IF(tblCommentary[[#This Row],[Date]]="","",COUNTIFS(INDEX(tblCommentary[Date],1):tblCommentary[[#This Row],[Date]],tblCommentary[[#This Row],[Date]]))</f>
        <v/>
      </c>
      <c r="F2496" s="63">
        <f>IF(tblCommentary[[#This Row],[Date]]="","",tblCommentary[[#This Row],[Date]]&amp;"|"&amp;tblCommentary[[#This Row],[Seq_Day]])</f>
        <v/>
      </c>
    </row>
    <row r="2497">
      <c r="A2497" s="54" t="n"/>
      <c r="B2497" s="61" t="n"/>
      <c r="C2497" s="58" t="n"/>
      <c r="D2497" s="58" t="n"/>
      <c r="E2497" s="64">
        <f>IF(tblCommentary[[#This Row],[Date]]="","",COUNTIFS(INDEX(tblCommentary[Date],1):tblCommentary[[#This Row],[Date]],tblCommentary[[#This Row],[Date]]))</f>
        <v/>
      </c>
      <c r="F2497" s="63">
        <f>IF(tblCommentary[[#This Row],[Date]]="","",tblCommentary[[#This Row],[Date]]&amp;"|"&amp;tblCommentary[[#This Row],[Seq_Day]])</f>
        <v/>
      </c>
    </row>
    <row r="2498">
      <c r="A2498" s="54" t="n"/>
      <c r="B2498" s="61" t="n"/>
      <c r="C2498" s="58" t="n"/>
      <c r="D2498" s="58" t="n"/>
      <c r="E2498" s="64">
        <f>IF(tblCommentary[[#This Row],[Date]]="","",COUNTIFS(INDEX(tblCommentary[Date],1):tblCommentary[[#This Row],[Date]],tblCommentary[[#This Row],[Date]]))</f>
        <v/>
      </c>
      <c r="F2498" s="63">
        <f>IF(tblCommentary[[#This Row],[Date]]="","",tblCommentary[[#This Row],[Date]]&amp;"|"&amp;tblCommentary[[#This Row],[Seq_Day]])</f>
        <v/>
      </c>
    </row>
    <row r="2499">
      <c r="A2499" s="54" t="n"/>
      <c r="B2499" s="61" t="n"/>
      <c r="C2499" s="58" t="n"/>
      <c r="D2499" s="58" t="n"/>
      <c r="E2499" s="64">
        <f>IF(tblCommentary[[#This Row],[Date]]="","",COUNTIFS(INDEX(tblCommentary[Date],1):tblCommentary[[#This Row],[Date]],tblCommentary[[#This Row],[Date]]))</f>
        <v/>
      </c>
      <c r="F2499" s="63">
        <f>IF(tblCommentary[[#This Row],[Date]]="","",tblCommentary[[#This Row],[Date]]&amp;"|"&amp;tblCommentary[[#This Row],[Seq_Day]])</f>
        <v/>
      </c>
    </row>
    <row r="2500">
      <c r="A2500" s="54" t="n"/>
      <c r="B2500" s="61" t="n"/>
      <c r="C2500" s="58" t="n"/>
      <c r="D2500" s="58" t="n"/>
      <c r="E2500" s="64">
        <f>IF(tblCommentary[[#This Row],[Date]]="","",COUNTIFS(INDEX(tblCommentary[Date],1):tblCommentary[[#This Row],[Date]],tblCommentary[[#This Row],[Date]]))</f>
        <v/>
      </c>
      <c r="F2500" s="63">
        <f>IF(tblCommentary[[#This Row],[Date]]="","",tblCommentary[[#This Row],[Date]]&amp;"|"&amp;tblCommentary[[#This Row],[Seq_Day]])</f>
        <v/>
      </c>
    </row>
    <row r="2501">
      <c r="A2501" s="54" t="n"/>
      <c r="B2501" s="61" t="n"/>
      <c r="C2501" s="58" t="n"/>
      <c r="D2501" s="58" t="n"/>
      <c r="E2501" s="64">
        <f>IF(tblCommentary[[#This Row],[Date]]="","",COUNTIFS(INDEX(tblCommentary[Date],1):tblCommentary[[#This Row],[Date]],tblCommentary[[#This Row],[Date]]))</f>
        <v/>
      </c>
      <c r="F2501" s="63">
        <f>IF(tblCommentary[[#This Row],[Date]]="","",tblCommentary[[#This Row],[Date]]&amp;"|"&amp;tblCommentary[[#This Row],[Seq_Day]])</f>
        <v/>
      </c>
    </row>
    <row r="2502">
      <c r="A2502" s="54" t="n"/>
      <c r="B2502" s="61" t="n"/>
      <c r="C2502" s="58" t="n"/>
      <c r="D2502" s="58" t="n"/>
      <c r="E2502" s="64">
        <f>IF(tblCommentary[[#This Row],[Date]]="","",COUNTIFS(INDEX(tblCommentary[Date],1):tblCommentary[[#This Row],[Date]],tblCommentary[[#This Row],[Date]]))</f>
        <v/>
      </c>
      <c r="F2502" s="63">
        <f>IF(tblCommentary[[#This Row],[Date]]="","",tblCommentary[[#This Row],[Date]]&amp;"|"&amp;tblCommentary[[#This Row],[Seq_Day]])</f>
        <v/>
      </c>
    </row>
    <row r="2503">
      <c r="A2503" s="54" t="n"/>
      <c r="B2503" s="61" t="n"/>
      <c r="C2503" s="58" t="n"/>
      <c r="D2503" s="58" t="n"/>
      <c r="E2503" s="64">
        <f>IF(tblCommentary[[#This Row],[Date]]="","",COUNTIFS(INDEX(tblCommentary[Date],1):tblCommentary[[#This Row],[Date]],tblCommentary[[#This Row],[Date]]))</f>
        <v/>
      </c>
      <c r="F2503" s="63">
        <f>IF(tblCommentary[[#This Row],[Date]]="","",tblCommentary[[#This Row],[Date]]&amp;"|"&amp;tblCommentary[[#This Row],[Seq_Day]])</f>
        <v/>
      </c>
    </row>
    <row r="2504">
      <c r="A2504" s="54" t="n"/>
      <c r="B2504" s="61" t="n"/>
      <c r="C2504" s="58" t="n"/>
      <c r="D2504" s="58" t="n"/>
      <c r="E2504" s="64">
        <f>IF(tblCommentary[[#This Row],[Date]]="","",COUNTIFS(INDEX(tblCommentary[Date],1):tblCommentary[[#This Row],[Date]],tblCommentary[[#This Row],[Date]]))</f>
        <v/>
      </c>
      <c r="F2504" s="63">
        <f>IF(tblCommentary[[#This Row],[Date]]="","",tblCommentary[[#This Row],[Date]]&amp;"|"&amp;tblCommentary[[#This Row],[Seq_Day]])</f>
        <v/>
      </c>
    </row>
    <row r="2505">
      <c r="A2505" s="54" t="n"/>
      <c r="B2505" s="61" t="n"/>
      <c r="C2505" s="58" t="n"/>
      <c r="D2505" s="58" t="n"/>
      <c r="E2505" s="64">
        <f>IF(tblCommentary[[#This Row],[Date]]="","",COUNTIFS(INDEX(tblCommentary[Date],1):tblCommentary[[#This Row],[Date]],tblCommentary[[#This Row],[Date]]))</f>
        <v/>
      </c>
      <c r="F2505" s="63">
        <f>IF(tblCommentary[[#This Row],[Date]]="","",tblCommentary[[#This Row],[Date]]&amp;"|"&amp;tblCommentary[[#This Row],[Seq_Day]])</f>
        <v/>
      </c>
    </row>
    <row r="2506">
      <c r="A2506" s="54" t="n"/>
      <c r="B2506" s="61" t="n"/>
      <c r="C2506" s="58" t="n"/>
      <c r="D2506" s="58" t="n"/>
      <c r="E2506" s="64">
        <f>IF(tblCommentary[[#This Row],[Date]]="","",COUNTIFS(INDEX(tblCommentary[Date],1):tblCommentary[[#This Row],[Date]],tblCommentary[[#This Row],[Date]]))</f>
        <v/>
      </c>
      <c r="F2506" s="63">
        <f>IF(tblCommentary[[#This Row],[Date]]="","",tblCommentary[[#This Row],[Date]]&amp;"|"&amp;tblCommentary[[#This Row],[Seq_Day]])</f>
        <v/>
      </c>
    </row>
    <row r="2507">
      <c r="A2507" s="54" t="n"/>
      <c r="B2507" s="61" t="n"/>
      <c r="C2507" s="58" t="n"/>
      <c r="D2507" s="58" t="n"/>
      <c r="E2507" s="64">
        <f>IF(tblCommentary[[#This Row],[Date]]="","",COUNTIFS(INDEX(tblCommentary[Date],1):tblCommentary[[#This Row],[Date]],tblCommentary[[#This Row],[Date]]))</f>
        <v/>
      </c>
      <c r="F2507" s="63">
        <f>IF(tblCommentary[[#This Row],[Date]]="","",tblCommentary[[#This Row],[Date]]&amp;"|"&amp;tblCommentary[[#This Row],[Seq_Day]])</f>
        <v/>
      </c>
    </row>
    <row r="2508">
      <c r="A2508" s="54" t="n"/>
      <c r="B2508" s="61" t="n"/>
      <c r="C2508" s="58" t="n"/>
      <c r="D2508" s="58" t="n"/>
      <c r="E2508" s="64">
        <f>IF(tblCommentary[[#This Row],[Date]]="","",COUNTIFS(INDEX(tblCommentary[Date],1):tblCommentary[[#This Row],[Date]],tblCommentary[[#This Row],[Date]]))</f>
        <v/>
      </c>
      <c r="F2508" s="63">
        <f>IF(tblCommentary[[#This Row],[Date]]="","",tblCommentary[[#This Row],[Date]]&amp;"|"&amp;tblCommentary[[#This Row],[Seq_Day]])</f>
        <v/>
      </c>
    </row>
    <row r="2509">
      <c r="A2509" s="54" t="n"/>
      <c r="B2509" s="61" t="n"/>
      <c r="C2509" s="58" t="n"/>
      <c r="D2509" s="58" t="n"/>
      <c r="E2509" s="64">
        <f>IF(tblCommentary[[#This Row],[Date]]="","",COUNTIFS(INDEX(tblCommentary[Date],1):tblCommentary[[#This Row],[Date]],tblCommentary[[#This Row],[Date]]))</f>
        <v/>
      </c>
      <c r="F2509" s="63">
        <f>IF(tblCommentary[[#This Row],[Date]]="","",tblCommentary[[#This Row],[Date]]&amp;"|"&amp;tblCommentary[[#This Row],[Seq_Day]])</f>
        <v/>
      </c>
    </row>
    <row r="2510">
      <c r="A2510" s="54" t="n"/>
      <c r="B2510" s="61" t="n"/>
      <c r="C2510" s="58" t="n"/>
      <c r="D2510" s="58" t="n"/>
      <c r="E2510" s="64">
        <f>IF(tblCommentary[[#This Row],[Date]]="","",COUNTIFS(INDEX(tblCommentary[Date],1):tblCommentary[[#This Row],[Date]],tblCommentary[[#This Row],[Date]]))</f>
        <v/>
      </c>
      <c r="F2510" s="63">
        <f>IF(tblCommentary[[#This Row],[Date]]="","",tblCommentary[[#This Row],[Date]]&amp;"|"&amp;tblCommentary[[#This Row],[Seq_Day]])</f>
        <v/>
      </c>
    </row>
    <row r="2511">
      <c r="A2511" s="54" t="n"/>
      <c r="B2511" s="61" t="n"/>
      <c r="C2511" s="58" t="n"/>
      <c r="D2511" s="58" t="n"/>
      <c r="E2511" s="64">
        <f>IF(tblCommentary[[#This Row],[Date]]="","",COUNTIFS(INDEX(tblCommentary[Date],1):tblCommentary[[#This Row],[Date]],tblCommentary[[#This Row],[Date]]))</f>
        <v/>
      </c>
      <c r="F2511" s="63">
        <f>IF(tblCommentary[[#This Row],[Date]]="","",tblCommentary[[#This Row],[Date]]&amp;"|"&amp;tblCommentary[[#This Row],[Seq_Day]])</f>
        <v/>
      </c>
    </row>
    <row r="2512">
      <c r="A2512" s="54" t="n"/>
      <c r="B2512" s="61" t="n"/>
      <c r="C2512" s="58" t="n"/>
      <c r="D2512" s="58" t="n"/>
      <c r="E2512" s="64">
        <f>IF(tblCommentary[[#This Row],[Date]]="","",COUNTIFS(INDEX(tblCommentary[Date],1):tblCommentary[[#This Row],[Date]],tblCommentary[[#This Row],[Date]]))</f>
        <v/>
      </c>
      <c r="F2512" s="63">
        <f>IF(tblCommentary[[#This Row],[Date]]="","",tblCommentary[[#This Row],[Date]]&amp;"|"&amp;tblCommentary[[#This Row],[Seq_Day]])</f>
        <v/>
      </c>
    </row>
    <row r="2513">
      <c r="A2513" s="54" t="n"/>
      <c r="B2513" s="61" t="n"/>
      <c r="C2513" s="58" t="n"/>
      <c r="D2513" s="58" t="n"/>
      <c r="E2513" s="64">
        <f>IF(tblCommentary[[#This Row],[Date]]="","",COUNTIFS(INDEX(tblCommentary[Date],1):tblCommentary[[#This Row],[Date]],tblCommentary[[#This Row],[Date]]))</f>
        <v/>
      </c>
      <c r="F2513" s="63">
        <f>IF(tblCommentary[[#This Row],[Date]]="","",tblCommentary[[#This Row],[Date]]&amp;"|"&amp;tblCommentary[[#This Row],[Seq_Day]])</f>
        <v/>
      </c>
    </row>
    <row r="2514">
      <c r="A2514" s="54" t="n"/>
      <c r="B2514" s="61" t="n"/>
      <c r="C2514" s="58" t="n"/>
      <c r="D2514" s="58" t="n"/>
      <c r="E2514" s="64">
        <f>IF(tblCommentary[[#This Row],[Date]]="","",COUNTIFS(INDEX(tblCommentary[Date],1):tblCommentary[[#This Row],[Date]],tblCommentary[[#This Row],[Date]]))</f>
        <v/>
      </c>
      <c r="F2514" s="63">
        <f>IF(tblCommentary[[#This Row],[Date]]="","",tblCommentary[[#This Row],[Date]]&amp;"|"&amp;tblCommentary[[#This Row],[Seq_Day]])</f>
        <v/>
      </c>
    </row>
    <row r="2515">
      <c r="A2515" s="54" t="n"/>
      <c r="B2515" s="61" t="n"/>
      <c r="C2515" s="58" t="n"/>
      <c r="D2515" s="58" t="n"/>
      <c r="E2515" s="64">
        <f>IF(tblCommentary[[#This Row],[Date]]="","",COUNTIFS(INDEX(tblCommentary[Date],1):tblCommentary[[#This Row],[Date]],tblCommentary[[#This Row],[Date]]))</f>
        <v/>
      </c>
      <c r="F2515" s="63">
        <f>IF(tblCommentary[[#This Row],[Date]]="","",tblCommentary[[#This Row],[Date]]&amp;"|"&amp;tblCommentary[[#This Row],[Seq_Day]])</f>
        <v/>
      </c>
    </row>
    <row r="2516">
      <c r="A2516" s="54" t="n"/>
      <c r="B2516" s="61" t="n"/>
      <c r="C2516" s="58" t="n"/>
      <c r="D2516" s="58" t="n"/>
      <c r="E2516" s="64">
        <f>IF(tblCommentary[[#This Row],[Date]]="","",COUNTIFS(INDEX(tblCommentary[Date],1):tblCommentary[[#This Row],[Date]],tblCommentary[[#This Row],[Date]]))</f>
        <v/>
      </c>
      <c r="F2516" s="63">
        <f>IF(tblCommentary[[#This Row],[Date]]="","",tblCommentary[[#This Row],[Date]]&amp;"|"&amp;tblCommentary[[#This Row],[Seq_Day]])</f>
        <v/>
      </c>
    </row>
    <row r="2517">
      <c r="A2517" s="54" t="n"/>
      <c r="B2517" s="61" t="n"/>
      <c r="C2517" s="58" t="n"/>
      <c r="D2517" s="58" t="n"/>
      <c r="E2517" s="64">
        <f>IF(tblCommentary[[#This Row],[Date]]="","",COUNTIFS(INDEX(tblCommentary[Date],1):tblCommentary[[#This Row],[Date]],tblCommentary[[#This Row],[Date]]))</f>
        <v/>
      </c>
      <c r="F2517" s="63">
        <f>IF(tblCommentary[[#This Row],[Date]]="","",tblCommentary[[#This Row],[Date]]&amp;"|"&amp;tblCommentary[[#This Row],[Seq_Day]])</f>
        <v/>
      </c>
    </row>
    <row r="2518">
      <c r="A2518" s="54" t="n"/>
      <c r="B2518" s="61" t="n"/>
      <c r="C2518" s="58" t="n"/>
      <c r="D2518" s="58" t="n"/>
      <c r="E2518" s="64">
        <f>IF(tblCommentary[[#This Row],[Date]]="","",COUNTIFS(INDEX(tblCommentary[Date],1):tblCommentary[[#This Row],[Date]],tblCommentary[[#This Row],[Date]]))</f>
        <v/>
      </c>
      <c r="F2518" s="63">
        <f>IF(tblCommentary[[#This Row],[Date]]="","",tblCommentary[[#This Row],[Date]]&amp;"|"&amp;tblCommentary[[#This Row],[Seq_Day]])</f>
        <v/>
      </c>
    </row>
    <row r="2519">
      <c r="A2519" s="54" t="n"/>
      <c r="B2519" s="61" t="n"/>
      <c r="C2519" s="58" t="n"/>
      <c r="D2519" s="58" t="n"/>
      <c r="E2519" s="64">
        <f>IF(tblCommentary[[#This Row],[Date]]="","",COUNTIFS(INDEX(tblCommentary[Date],1):tblCommentary[[#This Row],[Date]],tblCommentary[[#This Row],[Date]]))</f>
        <v/>
      </c>
      <c r="F2519" s="63">
        <f>IF(tblCommentary[[#This Row],[Date]]="","",tblCommentary[[#This Row],[Date]]&amp;"|"&amp;tblCommentary[[#This Row],[Seq_Day]])</f>
        <v/>
      </c>
    </row>
    <row r="2520">
      <c r="A2520" s="54" t="n"/>
      <c r="B2520" s="61" t="n"/>
      <c r="C2520" s="58" t="n"/>
      <c r="D2520" s="58" t="n"/>
      <c r="E2520" s="64">
        <f>IF(tblCommentary[[#This Row],[Date]]="","",COUNTIFS(INDEX(tblCommentary[Date],1):tblCommentary[[#This Row],[Date]],tblCommentary[[#This Row],[Date]]))</f>
        <v/>
      </c>
      <c r="F2520" s="63">
        <f>IF(tblCommentary[[#This Row],[Date]]="","",tblCommentary[[#This Row],[Date]]&amp;"|"&amp;tblCommentary[[#This Row],[Seq_Day]])</f>
        <v/>
      </c>
    </row>
    <row r="2521">
      <c r="A2521" s="54" t="n"/>
      <c r="B2521" s="61" t="n"/>
      <c r="C2521" s="58" t="n"/>
      <c r="D2521" s="58" t="n"/>
      <c r="E2521" s="64">
        <f>IF(tblCommentary[[#This Row],[Date]]="","",COUNTIFS(INDEX(tblCommentary[Date],1):tblCommentary[[#This Row],[Date]],tblCommentary[[#This Row],[Date]]))</f>
        <v/>
      </c>
      <c r="F2521" s="63">
        <f>IF(tblCommentary[[#This Row],[Date]]="","",tblCommentary[[#This Row],[Date]]&amp;"|"&amp;tblCommentary[[#This Row],[Seq_Day]])</f>
        <v/>
      </c>
    </row>
    <row r="2522">
      <c r="A2522" s="54" t="n"/>
      <c r="B2522" s="61" t="n"/>
      <c r="C2522" s="58" t="n"/>
      <c r="D2522" s="58" t="n"/>
      <c r="E2522" s="64">
        <f>IF(tblCommentary[[#This Row],[Date]]="","",COUNTIFS(INDEX(tblCommentary[Date],1):tblCommentary[[#This Row],[Date]],tblCommentary[[#This Row],[Date]]))</f>
        <v/>
      </c>
      <c r="F2522" s="63">
        <f>IF(tblCommentary[[#This Row],[Date]]="","",tblCommentary[[#This Row],[Date]]&amp;"|"&amp;tblCommentary[[#This Row],[Seq_Day]])</f>
        <v/>
      </c>
    </row>
    <row r="2523">
      <c r="A2523" s="54" t="n"/>
      <c r="B2523" s="61" t="n"/>
      <c r="C2523" s="58" t="n"/>
      <c r="D2523" s="58" t="n"/>
      <c r="E2523" s="64">
        <f>IF(tblCommentary[[#This Row],[Date]]="","",COUNTIFS(INDEX(tblCommentary[Date],1):tblCommentary[[#This Row],[Date]],tblCommentary[[#This Row],[Date]]))</f>
        <v/>
      </c>
      <c r="F2523" s="63">
        <f>IF(tblCommentary[[#This Row],[Date]]="","",tblCommentary[[#This Row],[Date]]&amp;"|"&amp;tblCommentary[[#This Row],[Seq_Day]])</f>
        <v/>
      </c>
    </row>
    <row r="2524">
      <c r="A2524" s="54" t="n"/>
      <c r="B2524" s="61" t="n"/>
      <c r="C2524" s="58" t="n"/>
      <c r="D2524" s="58" t="n"/>
      <c r="E2524" s="64">
        <f>IF(tblCommentary[[#This Row],[Date]]="","",COUNTIFS(INDEX(tblCommentary[Date],1):tblCommentary[[#This Row],[Date]],tblCommentary[[#This Row],[Date]]))</f>
        <v/>
      </c>
      <c r="F2524" s="63">
        <f>IF(tblCommentary[[#This Row],[Date]]="","",tblCommentary[[#This Row],[Date]]&amp;"|"&amp;tblCommentary[[#This Row],[Seq_Day]])</f>
        <v/>
      </c>
    </row>
    <row r="2525">
      <c r="A2525" s="54" t="n"/>
      <c r="B2525" s="61" t="n"/>
      <c r="C2525" s="58" t="n"/>
      <c r="D2525" s="58" t="n"/>
      <c r="E2525" s="64">
        <f>IF(tblCommentary[[#This Row],[Date]]="","",COUNTIFS(INDEX(tblCommentary[Date],1):tblCommentary[[#This Row],[Date]],tblCommentary[[#This Row],[Date]]))</f>
        <v/>
      </c>
      <c r="F2525" s="63">
        <f>IF(tblCommentary[[#This Row],[Date]]="","",tblCommentary[[#This Row],[Date]]&amp;"|"&amp;tblCommentary[[#This Row],[Seq_Day]])</f>
        <v/>
      </c>
    </row>
    <row r="2526">
      <c r="A2526" s="54" t="n"/>
      <c r="B2526" s="61" t="n"/>
      <c r="C2526" s="58" t="n"/>
      <c r="D2526" s="58" t="n"/>
      <c r="E2526" s="64">
        <f>IF(tblCommentary[[#This Row],[Date]]="","",COUNTIFS(INDEX(tblCommentary[Date],1):tblCommentary[[#This Row],[Date]],tblCommentary[[#This Row],[Date]]))</f>
        <v/>
      </c>
      <c r="F2526" s="63">
        <f>IF(tblCommentary[[#This Row],[Date]]="","",tblCommentary[[#This Row],[Date]]&amp;"|"&amp;tblCommentary[[#This Row],[Seq_Day]])</f>
        <v/>
      </c>
    </row>
    <row r="2527">
      <c r="A2527" s="54" t="n"/>
      <c r="B2527" s="61" t="n"/>
      <c r="C2527" s="58" t="n"/>
      <c r="D2527" s="58" t="n"/>
      <c r="E2527" s="64">
        <f>IF(tblCommentary[[#This Row],[Date]]="","",COUNTIFS(INDEX(tblCommentary[Date],1):tblCommentary[[#This Row],[Date]],tblCommentary[[#This Row],[Date]]))</f>
        <v/>
      </c>
      <c r="F2527" s="63">
        <f>IF(tblCommentary[[#This Row],[Date]]="","",tblCommentary[[#This Row],[Date]]&amp;"|"&amp;tblCommentary[[#This Row],[Seq_Day]])</f>
        <v/>
      </c>
    </row>
    <row r="2528">
      <c r="A2528" s="54" t="n"/>
      <c r="B2528" s="61" t="n"/>
      <c r="C2528" s="58" t="n"/>
      <c r="D2528" s="58" t="n"/>
      <c r="E2528" s="64">
        <f>IF(tblCommentary[[#This Row],[Date]]="","",COUNTIFS(INDEX(tblCommentary[Date],1):tblCommentary[[#This Row],[Date]],tblCommentary[[#This Row],[Date]]))</f>
        <v/>
      </c>
      <c r="F2528" s="63">
        <f>IF(tblCommentary[[#This Row],[Date]]="","",tblCommentary[[#This Row],[Date]]&amp;"|"&amp;tblCommentary[[#This Row],[Seq_Day]])</f>
        <v/>
      </c>
    </row>
    <row r="2529">
      <c r="A2529" s="54" t="n"/>
      <c r="B2529" s="61" t="n"/>
      <c r="C2529" s="58" t="n"/>
      <c r="D2529" s="58" t="n"/>
      <c r="E2529" s="64">
        <f>IF(tblCommentary[[#This Row],[Date]]="","",COUNTIFS(INDEX(tblCommentary[Date],1):tblCommentary[[#This Row],[Date]],tblCommentary[[#This Row],[Date]]))</f>
        <v/>
      </c>
      <c r="F2529" s="63">
        <f>IF(tblCommentary[[#This Row],[Date]]="","",tblCommentary[[#This Row],[Date]]&amp;"|"&amp;tblCommentary[[#This Row],[Seq_Day]])</f>
        <v/>
      </c>
    </row>
    <row r="2530">
      <c r="A2530" s="54" t="n"/>
      <c r="B2530" s="61" t="n"/>
      <c r="C2530" s="58" t="n"/>
      <c r="D2530" s="58" t="n"/>
      <c r="E2530" s="64">
        <f>IF(tblCommentary[[#This Row],[Date]]="","",COUNTIFS(INDEX(tblCommentary[Date],1):tblCommentary[[#This Row],[Date]],tblCommentary[[#This Row],[Date]]))</f>
        <v/>
      </c>
      <c r="F2530" s="63">
        <f>IF(tblCommentary[[#This Row],[Date]]="","",tblCommentary[[#This Row],[Date]]&amp;"|"&amp;tblCommentary[[#This Row],[Seq_Day]])</f>
        <v/>
      </c>
    </row>
    <row r="2531">
      <c r="A2531" s="54" t="n"/>
      <c r="B2531" s="61" t="n"/>
      <c r="C2531" s="58" t="n"/>
      <c r="D2531" s="58" t="n"/>
      <c r="E2531" s="64">
        <f>IF(tblCommentary[[#This Row],[Date]]="","",COUNTIFS(INDEX(tblCommentary[Date],1):tblCommentary[[#This Row],[Date]],tblCommentary[[#This Row],[Date]]))</f>
        <v/>
      </c>
      <c r="F2531" s="63">
        <f>IF(tblCommentary[[#This Row],[Date]]="","",tblCommentary[[#This Row],[Date]]&amp;"|"&amp;tblCommentary[[#This Row],[Seq_Day]])</f>
        <v/>
      </c>
    </row>
    <row r="2532">
      <c r="A2532" s="54" t="n"/>
      <c r="B2532" s="61" t="n"/>
      <c r="C2532" s="58" t="n"/>
      <c r="D2532" s="58" t="n"/>
      <c r="E2532" s="64">
        <f>IF(tblCommentary[[#This Row],[Date]]="","",COUNTIFS(INDEX(tblCommentary[Date],1):tblCommentary[[#This Row],[Date]],tblCommentary[[#This Row],[Date]]))</f>
        <v/>
      </c>
      <c r="F2532" s="63">
        <f>IF(tblCommentary[[#This Row],[Date]]="","",tblCommentary[[#This Row],[Date]]&amp;"|"&amp;tblCommentary[[#This Row],[Seq_Day]])</f>
        <v/>
      </c>
    </row>
    <row r="2533">
      <c r="A2533" s="54" t="n"/>
      <c r="B2533" s="61" t="n"/>
      <c r="C2533" s="58" t="n"/>
      <c r="D2533" s="58" t="n"/>
      <c r="E2533" s="64">
        <f>IF(tblCommentary[[#This Row],[Date]]="","",COUNTIFS(INDEX(tblCommentary[Date],1):tblCommentary[[#This Row],[Date]],tblCommentary[[#This Row],[Date]]))</f>
        <v/>
      </c>
      <c r="F2533" s="63">
        <f>IF(tblCommentary[[#This Row],[Date]]="","",tblCommentary[[#This Row],[Date]]&amp;"|"&amp;tblCommentary[[#This Row],[Seq_Day]])</f>
        <v/>
      </c>
    </row>
    <row r="2534">
      <c r="A2534" s="54" t="n"/>
      <c r="B2534" s="61" t="n"/>
      <c r="C2534" s="58" t="n"/>
      <c r="D2534" s="58" t="n"/>
      <c r="E2534" s="64">
        <f>IF(tblCommentary[[#This Row],[Date]]="","",COUNTIFS(INDEX(tblCommentary[Date],1):tblCommentary[[#This Row],[Date]],tblCommentary[[#This Row],[Date]]))</f>
        <v/>
      </c>
      <c r="F2534" s="63">
        <f>IF(tblCommentary[[#This Row],[Date]]="","",tblCommentary[[#This Row],[Date]]&amp;"|"&amp;tblCommentary[[#This Row],[Seq_Day]])</f>
        <v/>
      </c>
    </row>
    <row r="2535">
      <c r="A2535" s="54" t="n"/>
      <c r="B2535" s="61" t="n"/>
      <c r="C2535" s="58" t="n"/>
      <c r="D2535" s="58" t="n"/>
      <c r="E2535" s="64">
        <f>IF(tblCommentary[[#This Row],[Date]]="","",COUNTIFS(INDEX(tblCommentary[Date],1):tblCommentary[[#This Row],[Date]],tblCommentary[[#This Row],[Date]]))</f>
        <v/>
      </c>
      <c r="F2535" s="63">
        <f>IF(tblCommentary[[#This Row],[Date]]="","",tblCommentary[[#This Row],[Date]]&amp;"|"&amp;tblCommentary[[#This Row],[Seq_Day]])</f>
        <v/>
      </c>
    </row>
    <row r="2536">
      <c r="A2536" s="54" t="n"/>
      <c r="B2536" s="61" t="n"/>
      <c r="C2536" s="58" t="n"/>
      <c r="D2536" s="58" t="n"/>
      <c r="E2536" s="64">
        <f>IF(tblCommentary[[#This Row],[Date]]="","",COUNTIFS(INDEX(tblCommentary[Date],1):tblCommentary[[#This Row],[Date]],tblCommentary[[#This Row],[Date]]))</f>
        <v/>
      </c>
      <c r="F2536" s="63">
        <f>IF(tblCommentary[[#This Row],[Date]]="","",tblCommentary[[#This Row],[Date]]&amp;"|"&amp;tblCommentary[[#This Row],[Seq_Day]])</f>
        <v/>
      </c>
    </row>
    <row r="2537">
      <c r="A2537" s="54" t="n"/>
      <c r="B2537" s="61" t="n"/>
      <c r="C2537" s="58" t="n"/>
      <c r="D2537" s="58" t="n"/>
      <c r="E2537" s="64">
        <f>IF(tblCommentary[[#This Row],[Date]]="","",COUNTIFS(INDEX(tblCommentary[Date],1):tblCommentary[[#This Row],[Date]],tblCommentary[[#This Row],[Date]]))</f>
        <v/>
      </c>
      <c r="F2537" s="63">
        <f>IF(tblCommentary[[#This Row],[Date]]="","",tblCommentary[[#This Row],[Date]]&amp;"|"&amp;tblCommentary[[#This Row],[Seq_Day]])</f>
        <v/>
      </c>
    </row>
    <row r="2538">
      <c r="A2538" s="54" t="n"/>
      <c r="B2538" s="61" t="n"/>
      <c r="C2538" s="58" t="n"/>
      <c r="D2538" s="58" t="n"/>
      <c r="E2538" s="64">
        <f>IF(tblCommentary[[#This Row],[Date]]="","",COUNTIFS(INDEX(tblCommentary[Date],1):tblCommentary[[#This Row],[Date]],tblCommentary[[#This Row],[Date]]))</f>
        <v/>
      </c>
      <c r="F2538" s="63">
        <f>IF(tblCommentary[[#This Row],[Date]]="","",tblCommentary[[#This Row],[Date]]&amp;"|"&amp;tblCommentary[[#This Row],[Seq_Day]])</f>
        <v/>
      </c>
    </row>
    <row r="2539">
      <c r="A2539" s="54" t="n"/>
      <c r="B2539" s="61" t="n"/>
      <c r="C2539" s="58" t="n"/>
      <c r="D2539" s="58" t="n"/>
      <c r="E2539" s="64">
        <f>IF(tblCommentary[[#This Row],[Date]]="","",COUNTIFS(INDEX(tblCommentary[Date],1):tblCommentary[[#This Row],[Date]],tblCommentary[[#This Row],[Date]]))</f>
        <v/>
      </c>
      <c r="F2539" s="63">
        <f>IF(tblCommentary[[#This Row],[Date]]="","",tblCommentary[[#This Row],[Date]]&amp;"|"&amp;tblCommentary[[#This Row],[Seq_Day]])</f>
        <v/>
      </c>
    </row>
    <row r="2540">
      <c r="A2540" s="54" t="n"/>
      <c r="B2540" s="61" t="n"/>
      <c r="C2540" s="58" t="n"/>
      <c r="D2540" s="58" t="n"/>
      <c r="E2540" s="64">
        <f>IF(tblCommentary[[#This Row],[Date]]="","",COUNTIFS(INDEX(tblCommentary[Date],1):tblCommentary[[#This Row],[Date]],tblCommentary[[#This Row],[Date]]))</f>
        <v/>
      </c>
      <c r="F2540" s="63">
        <f>IF(tblCommentary[[#This Row],[Date]]="","",tblCommentary[[#This Row],[Date]]&amp;"|"&amp;tblCommentary[[#This Row],[Seq_Day]])</f>
        <v/>
      </c>
    </row>
    <row r="2541">
      <c r="A2541" s="54" t="n"/>
      <c r="B2541" s="61" t="n"/>
      <c r="C2541" s="58" t="n"/>
      <c r="D2541" s="58" t="n"/>
      <c r="E2541" s="64">
        <f>IF(tblCommentary[[#This Row],[Date]]="","",COUNTIFS(INDEX(tblCommentary[Date],1):tblCommentary[[#This Row],[Date]],tblCommentary[[#This Row],[Date]]))</f>
        <v/>
      </c>
      <c r="F2541" s="63">
        <f>IF(tblCommentary[[#This Row],[Date]]="","",tblCommentary[[#This Row],[Date]]&amp;"|"&amp;tblCommentary[[#This Row],[Seq_Day]])</f>
        <v/>
      </c>
    </row>
    <row r="2542">
      <c r="A2542" s="54" t="n"/>
      <c r="B2542" s="61" t="n"/>
      <c r="C2542" s="58" t="n"/>
      <c r="D2542" s="58" t="n"/>
      <c r="E2542" s="64">
        <f>IF(tblCommentary[[#This Row],[Date]]="","",COUNTIFS(INDEX(tblCommentary[Date],1):tblCommentary[[#This Row],[Date]],tblCommentary[[#This Row],[Date]]))</f>
        <v/>
      </c>
      <c r="F2542" s="63">
        <f>IF(tblCommentary[[#This Row],[Date]]="","",tblCommentary[[#This Row],[Date]]&amp;"|"&amp;tblCommentary[[#This Row],[Seq_Day]])</f>
        <v/>
      </c>
    </row>
    <row r="2543">
      <c r="A2543" s="54" t="n"/>
      <c r="B2543" s="61" t="n"/>
      <c r="C2543" s="58" t="n"/>
      <c r="D2543" s="58" t="n"/>
      <c r="E2543" s="64">
        <f>IF(tblCommentary[[#This Row],[Date]]="","",COUNTIFS(INDEX(tblCommentary[Date],1):tblCommentary[[#This Row],[Date]],tblCommentary[[#This Row],[Date]]))</f>
        <v/>
      </c>
      <c r="F2543" s="63">
        <f>IF(tblCommentary[[#This Row],[Date]]="","",tblCommentary[[#This Row],[Date]]&amp;"|"&amp;tblCommentary[[#This Row],[Seq_Day]])</f>
        <v/>
      </c>
    </row>
    <row r="2544">
      <c r="A2544" s="54" t="n"/>
      <c r="B2544" s="61" t="n"/>
      <c r="C2544" s="58" t="n"/>
      <c r="D2544" s="58" t="n"/>
      <c r="E2544" s="64">
        <f>IF(tblCommentary[[#This Row],[Date]]="","",COUNTIFS(INDEX(tblCommentary[Date],1):tblCommentary[[#This Row],[Date]],tblCommentary[[#This Row],[Date]]))</f>
        <v/>
      </c>
      <c r="F2544" s="63">
        <f>IF(tblCommentary[[#This Row],[Date]]="","",tblCommentary[[#This Row],[Date]]&amp;"|"&amp;tblCommentary[[#This Row],[Seq_Day]])</f>
        <v/>
      </c>
    </row>
    <row r="2545">
      <c r="A2545" s="54" t="n"/>
      <c r="B2545" s="61" t="n"/>
      <c r="C2545" s="58" t="n"/>
      <c r="D2545" s="58" t="n"/>
      <c r="E2545" s="64">
        <f>IF(tblCommentary[[#This Row],[Date]]="","",COUNTIFS(INDEX(tblCommentary[Date],1):tblCommentary[[#This Row],[Date]],tblCommentary[[#This Row],[Date]]))</f>
        <v/>
      </c>
      <c r="F2545" s="63">
        <f>IF(tblCommentary[[#This Row],[Date]]="","",tblCommentary[[#This Row],[Date]]&amp;"|"&amp;tblCommentary[[#This Row],[Seq_Day]])</f>
        <v/>
      </c>
    </row>
    <row r="2546">
      <c r="A2546" s="54" t="n"/>
      <c r="B2546" s="61" t="n"/>
      <c r="C2546" s="58" t="n"/>
      <c r="D2546" s="58" t="n"/>
      <c r="E2546" s="64">
        <f>IF(tblCommentary[[#This Row],[Date]]="","",COUNTIFS(INDEX(tblCommentary[Date],1):tblCommentary[[#This Row],[Date]],tblCommentary[[#This Row],[Date]]))</f>
        <v/>
      </c>
      <c r="F2546" s="63">
        <f>IF(tblCommentary[[#This Row],[Date]]="","",tblCommentary[[#This Row],[Date]]&amp;"|"&amp;tblCommentary[[#This Row],[Seq_Day]])</f>
        <v/>
      </c>
    </row>
    <row r="2547">
      <c r="A2547" s="54" t="n"/>
      <c r="B2547" s="61" t="n"/>
      <c r="C2547" s="58" t="n"/>
      <c r="D2547" s="58" t="n"/>
      <c r="E2547" s="64">
        <f>IF(tblCommentary[[#This Row],[Date]]="","",COUNTIFS(INDEX(tblCommentary[Date],1):tblCommentary[[#This Row],[Date]],tblCommentary[[#This Row],[Date]]))</f>
        <v/>
      </c>
      <c r="F2547" s="63">
        <f>IF(tblCommentary[[#This Row],[Date]]="","",tblCommentary[[#This Row],[Date]]&amp;"|"&amp;tblCommentary[[#This Row],[Seq_Day]])</f>
        <v/>
      </c>
    </row>
    <row r="2548">
      <c r="A2548" s="54" t="n"/>
      <c r="B2548" s="61" t="n"/>
      <c r="C2548" s="58" t="n"/>
      <c r="D2548" s="58" t="n"/>
      <c r="E2548" s="64">
        <f>IF(tblCommentary[[#This Row],[Date]]="","",COUNTIFS(INDEX(tblCommentary[Date],1):tblCommentary[[#This Row],[Date]],tblCommentary[[#This Row],[Date]]))</f>
        <v/>
      </c>
      <c r="F2548" s="63">
        <f>IF(tblCommentary[[#This Row],[Date]]="","",tblCommentary[[#This Row],[Date]]&amp;"|"&amp;tblCommentary[[#This Row],[Seq_Day]])</f>
        <v/>
      </c>
    </row>
    <row r="2549">
      <c r="A2549" s="54" t="n"/>
      <c r="B2549" s="61" t="n"/>
      <c r="C2549" s="58" t="n"/>
      <c r="D2549" s="58" t="n"/>
      <c r="E2549" s="64">
        <f>IF(tblCommentary[[#This Row],[Date]]="","",COUNTIFS(INDEX(tblCommentary[Date],1):tblCommentary[[#This Row],[Date]],tblCommentary[[#This Row],[Date]]))</f>
        <v/>
      </c>
      <c r="F2549" s="63">
        <f>IF(tblCommentary[[#This Row],[Date]]="","",tblCommentary[[#This Row],[Date]]&amp;"|"&amp;tblCommentary[[#This Row],[Seq_Day]])</f>
        <v/>
      </c>
    </row>
    <row r="2550">
      <c r="A2550" s="54" t="n"/>
      <c r="B2550" s="61" t="n"/>
      <c r="C2550" s="58" t="n"/>
      <c r="D2550" s="58" t="n"/>
      <c r="E2550" s="64">
        <f>IF(tblCommentary[[#This Row],[Date]]="","",COUNTIFS(INDEX(tblCommentary[Date],1):tblCommentary[[#This Row],[Date]],tblCommentary[[#This Row],[Date]]))</f>
        <v/>
      </c>
      <c r="F2550" s="63">
        <f>IF(tblCommentary[[#This Row],[Date]]="","",tblCommentary[[#This Row],[Date]]&amp;"|"&amp;tblCommentary[[#This Row],[Seq_Day]])</f>
        <v/>
      </c>
    </row>
    <row r="2551">
      <c r="A2551" s="54" t="n"/>
      <c r="B2551" s="61" t="n"/>
      <c r="C2551" s="58" t="n"/>
      <c r="D2551" s="58" t="n"/>
      <c r="E2551" s="64">
        <f>IF(tblCommentary[[#This Row],[Date]]="","",COUNTIFS(INDEX(tblCommentary[Date],1):tblCommentary[[#This Row],[Date]],tblCommentary[[#This Row],[Date]]))</f>
        <v/>
      </c>
      <c r="F2551" s="63">
        <f>IF(tblCommentary[[#This Row],[Date]]="","",tblCommentary[[#This Row],[Date]]&amp;"|"&amp;tblCommentary[[#This Row],[Seq_Day]])</f>
        <v/>
      </c>
    </row>
    <row r="2552">
      <c r="A2552" s="54" t="n"/>
      <c r="B2552" s="61" t="n"/>
      <c r="C2552" s="58" t="n"/>
      <c r="D2552" s="58" t="n"/>
      <c r="E2552" s="64">
        <f>IF(tblCommentary[[#This Row],[Date]]="","",COUNTIFS(INDEX(tblCommentary[Date],1):tblCommentary[[#This Row],[Date]],tblCommentary[[#This Row],[Date]]))</f>
        <v/>
      </c>
      <c r="F2552" s="63">
        <f>IF(tblCommentary[[#This Row],[Date]]="","",tblCommentary[[#This Row],[Date]]&amp;"|"&amp;tblCommentary[[#This Row],[Seq_Day]])</f>
        <v/>
      </c>
    </row>
    <row r="2553">
      <c r="A2553" s="54" t="n"/>
      <c r="B2553" s="61" t="n"/>
      <c r="C2553" s="58" t="n"/>
      <c r="D2553" s="58" t="n"/>
      <c r="E2553" s="64">
        <f>IF(tblCommentary[[#This Row],[Date]]="","",COUNTIFS(INDEX(tblCommentary[Date],1):tblCommentary[[#This Row],[Date]],tblCommentary[[#This Row],[Date]]))</f>
        <v/>
      </c>
      <c r="F2553" s="63">
        <f>IF(tblCommentary[[#This Row],[Date]]="","",tblCommentary[[#This Row],[Date]]&amp;"|"&amp;tblCommentary[[#This Row],[Seq_Day]])</f>
        <v/>
      </c>
    </row>
    <row r="2554">
      <c r="A2554" s="54" t="n"/>
      <c r="B2554" s="61" t="n"/>
      <c r="C2554" s="58" t="n"/>
      <c r="D2554" s="58" t="n"/>
      <c r="E2554" s="64">
        <f>IF(tblCommentary[[#This Row],[Date]]="","",COUNTIFS(INDEX(tblCommentary[Date],1):tblCommentary[[#This Row],[Date]],tblCommentary[[#This Row],[Date]]))</f>
        <v/>
      </c>
      <c r="F2554" s="63">
        <f>IF(tblCommentary[[#This Row],[Date]]="","",tblCommentary[[#This Row],[Date]]&amp;"|"&amp;tblCommentary[[#This Row],[Seq_Day]])</f>
        <v/>
      </c>
    </row>
    <row r="2555">
      <c r="A2555" s="54" t="n"/>
      <c r="B2555" s="61" t="n"/>
      <c r="C2555" s="58" t="n"/>
      <c r="D2555" s="58" t="n"/>
      <c r="E2555" s="64">
        <f>IF(tblCommentary[[#This Row],[Date]]="","",COUNTIFS(INDEX(tblCommentary[Date],1):tblCommentary[[#This Row],[Date]],tblCommentary[[#This Row],[Date]]))</f>
        <v/>
      </c>
      <c r="F2555" s="63">
        <f>IF(tblCommentary[[#This Row],[Date]]="","",tblCommentary[[#This Row],[Date]]&amp;"|"&amp;tblCommentary[[#This Row],[Seq_Day]])</f>
        <v/>
      </c>
    </row>
    <row r="2556">
      <c r="A2556" s="54" t="n"/>
      <c r="B2556" s="61" t="n"/>
      <c r="C2556" s="58" t="n"/>
      <c r="D2556" s="58" t="n"/>
      <c r="E2556" s="64">
        <f>IF(tblCommentary[[#This Row],[Date]]="","",COUNTIFS(INDEX(tblCommentary[Date],1):tblCommentary[[#This Row],[Date]],tblCommentary[[#This Row],[Date]]))</f>
        <v/>
      </c>
      <c r="F2556" s="63">
        <f>IF(tblCommentary[[#This Row],[Date]]="","",tblCommentary[[#This Row],[Date]]&amp;"|"&amp;tblCommentary[[#This Row],[Seq_Day]])</f>
        <v/>
      </c>
    </row>
    <row r="2557">
      <c r="A2557" s="54" t="n"/>
      <c r="B2557" s="61" t="n"/>
      <c r="C2557" s="58" t="n"/>
      <c r="D2557" s="58" t="n"/>
      <c r="E2557" s="64">
        <f>IF(tblCommentary[[#This Row],[Date]]="","",COUNTIFS(INDEX(tblCommentary[Date],1):tblCommentary[[#This Row],[Date]],tblCommentary[[#This Row],[Date]]))</f>
        <v/>
      </c>
      <c r="F2557" s="63">
        <f>IF(tblCommentary[[#This Row],[Date]]="","",tblCommentary[[#This Row],[Date]]&amp;"|"&amp;tblCommentary[[#This Row],[Seq_Day]])</f>
        <v/>
      </c>
    </row>
    <row r="2558">
      <c r="A2558" s="54" t="n"/>
      <c r="B2558" s="61" t="n"/>
      <c r="C2558" s="58" t="n"/>
      <c r="D2558" s="58" t="n"/>
      <c r="E2558" s="64">
        <f>IF(tblCommentary[[#This Row],[Date]]="","",COUNTIFS(INDEX(tblCommentary[Date],1):tblCommentary[[#This Row],[Date]],tblCommentary[[#This Row],[Date]]))</f>
        <v/>
      </c>
      <c r="F2558" s="63">
        <f>IF(tblCommentary[[#This Row],[Date]]="","",tblCommentary[[#This Row],[Date]]&amp;"|"&amp;tblCommentary[[#This Row],[Seq_Day]])</f>
        <v/>
      </c>
    </row>
    <row r="2559">
      <c r="A2559" s="54" t="n"/>
      <c r="B2559" s="61" t="n"/>
      <c r="C2559" s="58" t="n"/>
      <c r="D2559" s="58" t="n"/>
      <c r="E2559" s="64">
        <f>IF(tblCommentary[[#This Row],[Date]]="","",COUNTIFS(INDEX(tblCommentary[Date],1):tblCommentary[[#This Row],[Date]],tblCommentary[[#This Row],[Date]]))</f>
        <v/>
      </c>
      <c r="F2559" s="63">
        <f>IF(tblCommentary[[#This Row],[Date]]="","",tblCommentary[[#This Row],[Date]]&amp;"|"&amp;tblCommentary[[#This Row],[Seq_Day]])</f>
        <v/>
      </c>
    </row>
    <row r="2560">
      <c r="A2560" s="54" t="n"/>
      <c r="B2560" s="61" t="n"/>
      <c r="C2560" s="58" t="n"/>
      <c r="D2560" s="58" t="n"/>
      <c r="E2560" s="64">
        <f>IF(tblCommentary[[#This Row],[Date]]="","",COUNTIFS(INDEX(tblCommentary[Date],1):tblCommentary[[#This Row],[Date]],tblCommentary[[#This Row],[Date]]))</f>
        <v/>
      </c>
      <c r="F2560" s="63">
        <f>IF(tblCommentary[[#This Row],[Date]]="","",tblCommentary[[#This Row],[Date]]&amp;"|"&amp;tblCommentary[[#This Row],[Seq_Day]])</f>
        <v/>
      </c>
    </row>
    <row r="2561">
      <c r="A2561" s="54" t="n"/>
      <c r="B2561" s="61" t="n"/>
      <c r="C2561" s="58" t="n"/>
      <c r="D2561" s="58" t="n"/>
      <c r="E2561" s="64">
        <f>IF(tblCommentary[[#This Row],[Date]]="","",COUNTIFS(INDEX(tblCommentary[Date],1):tblCommentary[[#This Row],[Date]],tblCommentary[[#This Row],[Date]]))</f>
        <v/>
      </c>
      <c r="F2561" s="63">
        <f>IF(tblCommentary[[#This Row],[Date]]="","",tblCommentary[[#This Row],[Date]]&amp;"|"&amp;tblCommentary[[#This Row],[Seq_Day]])</f>
        <v/>
      </c>
    </row>
    <row r="2562">
      <c r="A2562" s="54" t="n"/>
      <c r="B2562" s="61" t="n"/>
      <c r="C2562" s="58" t="n"/>
      <c r="D2562" s="58" t="n"/>
      <c r="E2562" s="64">
        <f>IF(tblCommentary[[#This Row],[Date]]="","",COUNTIFS(INDEX(tblCommentary[Date],1):tblCommentary[[#This Row],[Date]],tblCommentary[[#This Row],[Date]]))</f>
        <v/>
      </c>
      <c r="F2562" s="63">
        <f>IF(tblCommentary[[#This Row],[Date]]="","",tblCommentary[[#This Row],[Date]]&amp;"|"&amp;tblCommentary[[#This Row],[Seq_Day]])</f>
        <v/>
      </c>
    </row>
    <row r="2563">
      <c r="A2563" s="54" t="n"/>
      <c r="B2563" s="61" t="n"/>
      <c r="C2563" s="58" t="n"/>
      <c r="D2563" s="58" t="n"/>
      <c r="E2563" s="64">
        <f>IF(tblCommentary[[#This Row],[Date]]="","",COUNTIFS(INDEX(tblCommentary[Date],1):tblCommentary[[#This Row],[Date]],tblCommentary[[#This Row],[Date]]))</f>
        <v/>
      </c>
      <c r="F2563" s="63">
        <f>IF(tblCommentary[[#This Row],[Date]]="","",tblCommentary[[#This Row],[Date]]&amp;"|"&amp;tblCommentary[[#This Row],[Seq_Day]])</f>
        <v/>
      </c>
    </row>
    <row r="2564">
      <c r="A2564" s="54" t="n"/>
      <c r="B2564" s="61" t="n"/>
      <c r="C2564" s="58" t="n"/>
      <c r="D2564" s="58" t="n"/>
      <c r="E2564" s="64">
        <f>IF(tblCommentary[[#This Row],[Date]]="","",COUNTIFS(INDEX(tblCommentary[Date],1):tblCommentary[[#This Row],[Date]],tblCommentary[[#This Row],[Date]]))</f>
        <v/>
      </c>
      <c r="F2564" s="63">
        <f>IF(tblCommentary[[#This Row],[Date]]="","",tblCommentary[[#This Row],[Date]]&amp;"|"&amp;tblCommentary[[#This Row],[Seq_Day]])</f>
        <v/>
      </c>
    </row>
    <row r="2565">
      <c r="A2565" s="54" t="n"/>
      <c r="B2565" s="61" t="n"/>
      <c r="C2565" s="58" t="n"/>
      <c r="D2565" s="58" t="n"/>
      <c r="E2565" s="64">
        <f>IF(tblCommentary[[#This Row],[Date]]="","",COUNTIFS(INDEX(tblCommentary[Date],1):tblCommentary[[#This Row],[Date]],tblCommentary[[#This Row],[Date]]))</f>
        <v/>
      </c>
      <c r="F2565" s="63">
        <f>IF(tblCommentary[[#This Row],[Date]]="","",tblCommentary[[#This Row],[Date]]&amp;"|"&amp;tblCommentary[[#This Row],[Seq_Day]])</f>
        <v/>
      </c>
    </row>
    <row r="2566">
      <c r="A2566" s="54" t="n"/>
      <c r="B2566" s="61" t="n"/>
      <c r="C2566" s="58" t="n"/>
      <c r="D2566" s="58" t="n"/>
      <c r="E2566" s="64">
        <f>IF(tblCommentary[[#This Row],[Date]]="","",COUNTIFS(INDEX(tblCommentary[Date],1):tblCommentary[[#This Row],[Date]],tblCommentary[[#This Row],[Date]]))</f>
        <v/>
      </c>
      <c r="F2566" s="63">
        <f>IF(tblCommentary[[#This Row],[Date]]="","",tblCommentary[[#This Row],[Date]]&amp;"|"&amp;tblCommentary[[#This Row],[Seq_Day]])</f>
        <v/>
      </c>
    </row>
    <row r="2567">
      <c r="A2567" s="54" t="n"/>
      <c r="B2567" s="61" t="n"/>
      <c r="C2567" s="58" t="n"/>
      <c r="D2567" s="58" t="n"/>
      <c r="E2567" s="64">
        <f>IF(tblCommentary[[#This Row],[Date]]="","",COUNTIFS(INDEX(tblCommentary[Date],1):tblCommentary[[#This Row],[Date]],tblCommentary[[#This Row],[Date]]))</f>
        <v/>
      </c>
      <c r="F2567" s="63">
        <f>IF(tblCommentary[[#This Row],[Date]]="","",tblCommentary[[#This Row],[Date]]&amp;"|"&amp;tblCommentary[[#This Row],[Seq_Day]])</f>
        <v/>
      </c>
    </row>
    <row r="2568">
      <c r="A2568" s="54" t="n"/>
      <c r="B2568" s="61" t="n"/>
      <c r="C2568" s="58" t="n"/>
      <c r="D2568" s="58" t="n"/>
      <c r="E2568" s="64">
        <f>IF(tblCommentary[[#This Row],[Date]]="","",COUNTIFS(INDEX(tblCommentary[Date],1):tblCommentary[[#This Row],[Date]],tblCommentary[[#This Row],[Date]]))</f>
        <v/>
      </c>
      <c r="F2568" s="63">
        <f>IF(tblCommentary[[#This Row],[Date]]="","",tblCommentary[[#This Row],[Date]]&amp;"|"&amp;tblCommentary[[#This Row],[Seq_Day]])</f>
        <v/>
      </c>
    </row>
    <row r="2569">
      <c r="A2569" s="54" t="n"/>
      <c r="B2569" s="61" t="n"/>
      <c r="C2569" s="58" t="n"/>
      <c r="D2569" s="58" t="n"/>
      <c r="E2569" s="64">
        <f>IF(tblCommentary[[#This Row],[Date]]="","",COUNTIFS(INDEX(tblCommentary[Date],1):tblCommentary[[#This Row],[Date]],tblCommentary[[#This Row],[Date]]))</f>
        <v/>
      </c>
      <c r="F2569" s="63">
        <f>IF(tblCommentary[[#This Row],[Date]]="","",tblCommentary[[#This Row],[Date]]&amp;"|"&amp;tblCommentary[[#This Row],[Seq_Day]])</f>
        <v/>
      </c>
    </row>
    <row r="2570">
      <c r="A2570" s="54" t="n"/>
      <c r="B2570" s="61" t="n"/>
      <c r="C2570" s="58" t="n"/>
      <c r="D2570" s="58" t="n"/>
      <c r="E2570" s="64">
        <f>IF(tblCommentary[[#This Row],[Date]]="","",COUNTIFS(INDEX(tblCommentary[Date],1):tblCommentary[[#This Row],[Date]],tblCommentary[[#This Row],[Date]]))</f>
        <v/>
      </c>
      <c r="F2570" s="63">
        <f>IF(tblCommentary[[#This Row],[Date]]="","",tblCommentary[[#This Row],[Date]]&amp;"|"&amp;tblCommentary[[#This Row],[Seq_Day]])</f>
        <v/>
      </c>
    </row>
    <row r="2571">
      <c r="A2571" s="54" t="n"/>
      <c r="B2571" s="61" t="n"/>
      <c r="C2571" s="58" t="n"/>
      <c r="D2571" s="58" t="n"/>
      <c r="E2571" s="64">
        <f>IF(tblCommentary[[#This Row],[Date]]="","",COUNTIFS(INDEX(tblCommentary[Date],1):tblCommentary[[#This Row],[Date]],tblCommentary[[#This Row],[Date]]))</f>
        <v/>
      </c>
      <c r="F2571" s="63">
        <f>IF(tblCommentary[[#This Row],[Date]]="","",tblCommentary[[#This Row],[Date]]&amp;"|"&amp;tblCommentary[[#This Row],[Seq_Day]])</f>
        <v/>
      </c>
    </row>
    <row r="2572">
      <c r="A2572" s="54" t="n"/>
      <c r="B2572" s="61" t="n"/>
      <c r="C2572" s="58" t="n"/>
      <c r="D2572" s="58" t="n"/>
      <c r="E2572" s="64">
        <f>IF(tblCommentary[[#This Row],[Date]]="","",COUNTIFS(INDEX(tblCommentary[Date],1):tblCommentary[[#This Row],[Date]],tblCommentary[[#This Row],[Date]]))</f>
        <v/>
      </c>
      <c r="F2572" s="63">
        <f>IF(tblCommentary[[#This Row],[Date]]="","",tblCommentary[[#This Row],[Date]]&amp;"|"&amp;tblCommentary[[#This Row],[Seq_Day]])</f>
        <v/>
      </c>
    </row>
    <row r="2573">
      <c r="A2573" s="54" t="n"/>
      <c r="B2573" s="61" t="n"/>
      <c r="C2573" s="58" t="n"/>
      <c r="D2573" s="58" t="n"/>
      <c r="E2573" s="64">
        <f>IF(tblCommentary[[#This Row],[Date]]="","",COUNTIFS(INDEX(tblCommentary[Date],1):tblCommentary[[#This Row],[Date]],tblCommentary[[#This Row],[Date]]))</f>
        <v/>
      </c>
      <c r="F2573" s="63">
        <f>IF(tblCommentary[[#This Row],[Date]]="","",tblCommentary[[#This Row],[Date]]&amp;"|"&amp;tblCommentary[[#This Row],[Seq_Day]])</f>
        <v/>
      </c>
    </row>
    <row r="2574">
      <c r="A2574" s="54" t="n"/>
      <c r="B2574" s="61" t="n"/>
      <c r="C2574" s="58" t="n"/>
      <c r="D2574" s="58" t="n"/>
      <c r="E2574" s="64">
        <f>IF(tblCommentary[[#This Row],[Date]]="","",COUNTIFS(INDEX(tblCommentary[Date],1):tblCommentary[[#This Row],[Date]],tblCommentary[[#This Row],[Date]]))</f>
        <v/>
      </c>
      <c r="F2574" s="63">
        <f>IF(tblCommentary[[#This Row],[Date]]="","",tblCommentary[[#This Row],[Date]]&amp;"|"&amp;tblCommentary[[#This Row],[Seq_Day]])</f>
        <v/>
      </c>
    </row>
    <row r="2575">
      <c r="A2575" s="54" t="n"/>
      <c r="B2575" s="61" t="n"/>
      <c r="C2575" s="58" t="n"/>
      <c r="D2575" s="58" t="n"/>
      <c r="E2575" s="64">
        <f>IF(tblCommentary[[#This Row],[Date]]="","",COUNTIFS(INDEX(tblCommentary[Date],1):tblCommentary[[#This Row],[Date]],tblCommentary[[#This Row],[Date]]))</f>
        <v/>
      </c>
      <c r="F2575" s="63">
        <f>IF(tblCommentary[[#This Row],[Date]]="","",tblCommentary[[#This Row],[Date]]&amp;"|"&amp;tblCommentary[[#This Row],[Seq_Day]])</f>
        <v/>
      </c>
    </row>
    <row r="2576">
      <c r="A2576" s="54" t="n"/>
      <c r="B2576" s="61" t="n"/>
      <c r="C2576" s="58" t="n"/>
      <c r="D2576" s="58" t="n"/>
      <c r="E2576" s="64">
        <f>IF(tblCommentary[[#This Row],[Date]]="","",COUNTIFS(INDEX(tblCommentary[Date],1):tblCommentary[[#This Row],[Date]],tblCommentary[[#This Row],[Date]]))</f>
        <v/>
      </c>
      <c r="F2576" s="63">
        <f>IF(tblCommentary[[#This Row],[Date]]="","",tblCommentary[[#This Row],[Date]]&amp;"|"&amp;tblCommentary[[#This Row],[Seq_Day]])</f>
        <v/>
      </c>
    </row>
    <row r="2577">
      <c r="A2577" s="54" t="n"/>
      <c r="B2577" s="61" t="n"/>
      <c r="C2577" s="58" t="n"/>
      <c r="D2577" s="58" t="n"/>
      <c r="E2577" s="64">
        <f>IF(tblCommentary[[#This Row],[Date]]="","",COUNTIFS(INDEX(tblCommentary[Date],1):tblCommentary[[#This Row],[Date]],tblCommentary[[#This Row],[Date]]))</f>
        <v/>
      </c>
      <c r="F2577" s="63">
        <f>IF(tblCommentary[[#This Row],[Date]]="","",tblCommentary[[#This Row],[Date]]&amp;"|"&amp;tblCommentary[[#This Row],[Seq_Day]])</f>
        <v/>
      </c>
    </row>
    <row r="2578">
      <c r="A2578" s="54" t="n"/>
      <c r="B2578" s="61" t="n"/>
      <c r="C2578" s="58" t="n"/>
      <c r="D2578" s="58" t="n"/>
      <c r="E2578" s="64">
        <f>IF(tblCommentary[[#This Row],[Date]]="","",COUNTIFS(INDEX(tblCommentary[Date],1):tblCommentary[[#This Row],[Date]],tblCommentary[[#This Row],[Date]]))</f>
        <v/>
      </c>
      <c r="F2578" s="63">
        <f>IF(tblCommentary[[#This Row],[Date]]="","",tblCommentary[[#This Row],[Date]]&amp;"|"&amp;tblCommentary[[#This Row],[Seq_Day]])</f>
        <v/>
      </c>
    </row>
    <row r="2579">
      <c r="A2579" s="54" t="n"/>
      <c r="B2579" s="61" t="n"/>
      <c r="C2579" s="58" t="n"/>
      <c r="D2579" s="58" t="n"/>
      <c r="E2579" s="64">
        <f>IF(tblCommentary[[#This Row],[Date]]="","",COUNTIFS(INDEX(tblCommentary[Date],1):tblCommentary[[#This Row],[Date]],tblCommentary[[#This Row],[Date]]))</f>
        <v/>
      </c>
      <c r="F2579" s="63">
        <f>IF(tblCommentary[[#This Row],[Date]]="","",tblCommentary[[#This Row],[Date]]&amp;"|"&amp;tblCommentary[[#This Row],[Seq_Day]])</f>
        <v/>
      </c>
    </row>
    <row r="2580">
      <c r="A2580" s="54" t="n"/>
      <c r="B2580" s="61" t="n"/>
      <c r="C2580" s="58" t="n"/>
      <c r="D2580" s="58" t="n"/>
      <c r="E2580" s="64">
        <f>IF(tblCommentary[[#This Row],[Date]]="","",COUNTIFS(INDEX(tblCommentary[Date],1):tblCommentary[[#This Row],[Date]],tblCommentary[[#This Row],[Date]]))</f>
        <v/>
      </c>
      <c r="F2580" s="63">
        <f>IF(tblCommentary[[#This Row],[Date]]="","",tblCommentary[[#This Row],[Date]]&amp;"|"&amp;tblCommentary[[#This Row],[Seq_Day]])</f>
        <v/>
      </c>
    </row>
    <row r="2581">
      <c r="A2581" s="54" t="n"/>
      <c r="B2581" s="61" t="n"/>
      <c r="C2581" s="58" t="n"/>
      <c r="D2581" s="58" t="n"/>
      <c r="E2581" s="64">
        <f>IF(tblCommentary[[#This Row],[Date]]="","",COUNTIFS(INDEX(tblCommentary[Date],1):tblCommentary[[#This Row],[Date]],tblCommentary[[#This Row],[Date]]))</f>
        <v/>
      </c>
      <c r="F2581" s="63">
        <f>IF(tblCommentary[[#This Row],[Date]]="","",tblCommentary[[#This Row],[Date]]&amp;"|"&amp;tblCommentary[[#This Row],[Seq_Day]])</f>
        <v/>
      </c>
    </row>
    <row r="2582">
      <c r="A2582" s="54" t="n"/>
      <c r="B2582" s="61" t="n"/>
      <c r="C2582" s="58" t="n"/>
      <c r="D2582" s="58" t="n"/>
      <c r="E2582" s="64">
        <f>IF(tblCommentary[[#This Row],[Date]]="","",COUNTIFS(INDEX(tblCommentary[Date],1):tblCommentary[[#This Row],[Date]],tblCommentary[[#This Row],[Date]]))</f>
        <v/>
      </c>
      <c r="F2582" s="63">
        <f>IF(tblCommentary[[#This Row],[Date]]="","",tblCommentary[[#This Row],[Date]]&amp;"|"&amp;tblCommentary[[#This Row],[Seq_Day]])</f>
        <v/>
      </c>
    </row>
    <row r="2583">
      <c r="A2583" s="54" t="n"/>
      <c r="B2583" s="61" t="n"/>
      <c r="C2583" s="58" t="n"/>
      <c r="D2583" s="58" t="n"/>
      <c r="E2583" s="64">
        <f>IF(tblCommentary[[#This Row],[Date]]="","",COUNTIFS(INDEX(tblCommentary[Date],1):tblCommentary[[#This Row],[Date]],tblCommentary[[#This Row],[Date]]))</f>
        <v/>
      </c>
      <c r="F2583" s="63">
        <f>IF(tblCommentary[[#This Row],[Date]]="","",tblCommentary[[#This Row],[Date]]&amp;"|"&amp;tblCommentary[[#This Row],[Seq_Day]])</f>
        <v/>
      </c>
    </row>
    <row r="2584">
      <c r="A2584" s="54" t="n"/>
      <c r="B2584" s="61" t="n"/>
      <c r="C2584" s="58" t="n"/>
      <c r="D2584" s="58" t="n"/>
      <c r="E2584" s="64">
        <f>IF(tblCommentary[[#This Row],[Date]]="","",COUNTIFS(INDEX(tblCommentary[Date],1):tblCommentary[[#This Row],[Date]],tblCommentary[[#This Row],[Date]]))</f>
        <v/>
      </c>
      <c r="F2584" s="63">
        <f>IF(tblCommentary[[#This Row],[Date]]="","",tblCommentary[[#This Row],[Date]]&amp;"|"&amp;tblCommentary[[#This Row],[Seq_Day]])</f>
        <v/>
      </c>
    </row>
    <row r="2585">
      <c r="A2585" s="54" t="n"/>
      <c r="B2585" s="61" t="n"/>
      <c r="C2585" s="58" t="n"/>
      <c r="D2585" s="58" t="n"/>
      <c r="E2585" s="64">
        <f>IF(tblCommentary[[#This Row],[Date]]="","",COUNTIFS(INDEX(tblCommentary[Date],1):tblCommentary[[#This Row],[Date]],tblCommentary[[#This Row],[Date]]))</f>
        <v/>
      </c>
      <c r="F2585" s="63">
        <f>IF(tblCommentary[[#This Row],[Date]]="","",tblCommentary[[#This Row],[Date]]&amp;"|"&amp;tblCommentary[[#This Row],[Seq_Day]])</f>
        <v/>
      </c>
    </row>
    <row r="2586">
      <c r="A2586" s="54" t="n"/>
      <c r="B2586" s="61" t="n"/>
      <c r="C2586" s="58" t="n"/>
      <c r="D2586" s="58" t="n"/>
      <c r="E2586" s="64">
        <f>IF(tblCommentary[[#This Row],[Date]]="","",COUNTIFS(INDEX(tblCommentary[Date],1):tblCommentary[[#This Row],[Date]],tblCommentary[[#This Row],[Date]]))</f>
        <v/>
      </c>
      <c r="F2586" s="63">
        <f>IF(tblCommentary[[#This Row],[Date]]="","",tblCommentary[[#This Row],[Date]]&amp;"|"&amp;tblCommentary[[#This Row],[Seq_Day]])</f>
        <v/>
      </c>
    </row>
    <row r="2587">
      <c r="A2587" s="54" t="n"/>
      <c r="B2587" s="61" t="n"/>
      <c r="C2587" s="58" t="n"/>
      <c r="D2587" s="58" t="n"/>
      <c r="E2587" s="64">
        <f>IF(tblCommentary[[#This Row],[Date]]="","",COUNTIFS(INDEX(tblCommentary[Date],1):tblCommentary[[#This Row],[Date]],tblCommentary[[#This Row],[Date]]))</f>
        <v/>
      </c>
      <c r="F2587" s="63">
        <f>IF(tblCommentary[[#This Row],[Date]]="","",tblCommentary[[#This Row],[Date]]&amp;"|"&amp;tblCommentary[[#This Row],[Seq_Day]])</f>
        <v/>
      </c>
    </row>
    <row r="2588">
      <c r="A2588" s="54" t="n"/>
      <c r="B2588" s="61" t="n"/>
      <c r="C2588" s="58" t="n"/>
      <c r="D2588" s="58" t="n"/>
      <c r="E2588" s="64">
        <f>IF(tblCommentary[[#This Row],[Date]]="","",COUNTIFS(INDEX(tblCommentary[Date],1):tblCommentary[[#This Row],[Date]],tblCommentary[[#This Row],[Date]]))</f>
        <v/>
      </c>
      <c r="F2588" s="63">
        <f>IF(tblCommentary[[#This Row],[Date]]="","",tblCommentary[[#This Row],[Date]]&amp;"|"&amp;tblCommentary[[#This Row],[Seq_Day]])</f>
        <v/>
      </c>
    </row>
    <row r="2589">
      <c r="A2589" s="54" t="n"/>
      <c r="B2589" s="61" t="n"/>
      <c r="C2589" s="58" t="n"/>
      <c r="D2589" s="58" t="n"/>
      <c r="E2589" s="64">
        <f>IF(tblCommentary[[#This Row],[Date]]="","",COUNTIFS(INDEX(tblCommentary[Date],1):tblCommentary[[#This Row],[Date]],tblCommentary[[#This Row],[Date]]))</f>
        <v/>
      </c>
      <c r="F2589" s="63">
        <f>IF(tblCommentary[[#This Row],[Date]]="","",tblCommentary[[#This Row],[Date]]&amp;"|"&amp;tblCommentary[[#This Row],[Seq_Day]])</f>
        <v/>
      </c>
    </row>
    <row r="2590">
      <c r="A2590" s="54" t="n"/>
      <c r="B2590" s="61" t="n"/>
      <c r="C2590" s="58" t="n"/>
      <c r="D2590" s="58" t="n"/>
      <c r="E2590" s="64">
        <f>IF(tblCommentary[[#This Row],[Date]]="","",COUNTIFS(INDEX(tblCommentary[Date],1):tblCommentary[[#This Row],[Date]],tblCommentary[[#This Row],[Date]]))</f>
        <v/>
      </c>
      <c r="F2590" s="63">
        <f>IF(tblCommentary[[#This Row],[Date]]="","",tblCommentary[[#This Row],[Date]]&amp;"|"&amp;tblCommentary[[#This Row],[Seq_Day]])</f>
        <v/>
      </c>
    </row>
    <row r="2591">
      <c r="A2591" s="54" t="n"/>
      <c r="B2591" s="61" t="n"/>
      <c r="C2591" s="58" t="n"/>
      <c r="D2591" s="58" t="n"/>
      <c r="E2591" s="64">
        <f>IF(tblCommentary[[#This Row],[Date]]="","",COUNTIFS(INDEX(tblCommentary[Date],1):tblCommentary[[#This Row],[Date]],tblCommentary[[#This Row],[Date]]))</f>
        <v/>
      </c>
      <c r="F2591" s="63">
        <f>IF(tblCommentary[[#This Row],[Date]]="","",tblCommentary[[#This Row],[Date]]&amp;"|"&amp;tblCommentary[[#This Row],[Seq_Day]])</f>
        <v/>
      </c>
    </row>
    <row r="2592">
      <c r="A2592" s="54" t="n"/>
      <c r="B2592" s="61" t="n"/>
      <c r="C2592" s="58" t="n"/>
      <c r="D2592" s="58" t="n"/>
      <c r="E2592" s="64">
        <f>IF(tblCommentary[[#This Row],[Date]]="","",COUNTIFS(INDEX(tblCommentary[Date],1):tblCommentary[[#This Row],[Date]],tblCommentary[[#This Row],[Date]]))</f>
        <v/>
      </c>
      <c r="F2592" s="63">
        <f>IF(tblCommentary[[#This Row],[Date]]="","",tblCommentary[[#This Row],[Date]]&amp;"|"&amp;tblCommentary[[#This Row],[Seq_Day]])</f>
        <v/>
      </c>
    </row>
    <row r="2593">
      <c r="A2593" s="54" t="n"/>
      <c r="B2593" s="61" t="n"/>
      <c r="C2593" s="58" t="n"/>
      <c r="D2593" s="58" t="n"/>
      <c r="E2593" s="64">
        <f>IF(tblCommentary[[#This Row],[Date]]="","",COUNTIFS(INDEX(tblCommentary[Date],1):tblCommentary[[#This Row],[Date]],tblCommentary[[#This Row],[Date]]))</f>
        <v/>
      </c>
      <c r="F2593" s="63">
        <f>IF(tblCommentary[[#This Row],[Date]]="","",tblCommentary[[#This Row],[Date]]&amp;"|"&amp;tblCommentary[[#This Row],[Seq_Day]])</f>
        <v/>
      </c>
    </row>
    <row r="2594">
      <c r="A2594" s="54" t="n"/>
      <c r="B2594" s="61" t="n"/>
      <c r="C2594" s="58" t="n"/>
      <c r="D2594" s="58" t="n"/>
      <c r="E2594" s="64">
        <f>IF(tblCommentary[[#This Row],[Date]]="","",COUNTIFS(INDEX(tblCommentary[Date],1):tblCommentary[[#This Row],[Date]],tblCommentary[[#This Row],[Date]]))</f>
        <v/>
      </c>
      <c r="F2594" s="63">
        <f>IF(tblCommentary[[#This Row],[Date]]="","",tblCommentary[[#This Row],[Date]]&amp;"|"&amp;tblCommentary[[#This Row],[Seq_Day]])</f>
        <v/>
      </c>
    </row>
    <row r="2595">
      <c r="A2595" s="54" t="n"/>
      <c r="B2595" s="61" t="n"/>
      <c r="C2595" s="58" t="n"/>
      <c r="D2595" s="58" t="n"/>
      <c r="E2595" s="64">
        <f>IF(tblCommentary[[#This Row],[Date]]="","",COUNTIFS(INDEX(tblCommentary[Date],1):tblCommentary[[#This Row],[Date]],tblCommentary[[#This Row],[Date]]))</f>
        <v/>
      </c>
      <c r="F2595" s="63">
        <f>IF(tblCommentary[[#This Row],[Date]]="","",tblCommentary[[#This Row],[Date]]&amp;"|"&amp;tblCommentary[[#This Row],[Seq_Day]])</f>
        <v/>
      </c>
    </row>
    <row r="2596">
      <c r="A2596" s="54" t="n"/>
      <c r="B2596" s="61" t="n"/>
      <c r="C2596" s="58" t="n"/>
      <c r="D2596" s="58" t="n"/>
      <c r="E2596" s="64">
        <f>IF(tblCommentary[[#This Row],[Date]]="","",COUNTIFS(INDEX(tblCommentary[Date],1):tblCommentary[[#This Row],[Date]],tblCommentary[[#This Row],[Date]]))</f>
        <v/>
      </c>
      <c r="F2596" s="63">
        <f>IF(tblCommentary[[#This Row],[Date]]="","",tblCommentary[[#This Row],[Date]]&amp;"|"&amp;tblCommentary[[#This Row],[Seq_Day]])</f>
        <v/>
      </c>
    </row>
    <row r="2597">
      <c r="A2597" s="54" t="n"/>
      <c r="B2597" s="61" t="n"/>
      <c r="C2597" s="58" t="n"/>
      <c r="D2597" s="58" t="n"/>
      <c r="E2597" s="64">
        <f>IF(tblCommentary[[#This Row],[Date]]="","",COUNTIFS(INDEX(tblCommentary[Date],1):tblCommentary[[#This Row],[Date]],tblCommentary[[#This Row],[Date]]))</f>
        <v/>
      </c>
      <c r="F2597" s="63">
        <f>IF(tblCommentary[[#This Row],[Date]]="","",tblCommentary[[#This Row],[Date]]&amp;"|"&amp;tblCommentary[[#This Row],[Seq_Day]])</f>
        <v/>
      </c>
    </row>
    <row r="2598">
      <c r="A2598" s="54" t="n"/>
      <c r="B2598" s="61" t="n"/>
      <c r="C2598" s="58" t="n"/>
      <c r="D2598" s="58" t="n"/>
      <c r="E2598" s="64">
        <f>IF(tblCommentary[[#This Row],[Date]]="","",COUNTIFS(INDEX(tblCommentary[Date],1):tblCommentary[[#This Row],[Date]],tblCommentary[[#This Row],[Date]]))</f>
        <v/>
      </c>
      <c r="F2598" s="63">
        <f>IF(tblCommentary[[#This Row],[Date]]="","",tblCommentary[[#This Row],[Date]]&amp;"|"&amp;tblCommentary[[#This Row],[Seq_Day]])</f>
        <v/>
      </c>
    </row>
    <row r="2599">
      <c r="A2599" s="54" t="n"/>
      <c r="B2599" s="61" t="n"/>
      <c r="C2599" s="58" t="n"/>
      <c r="D2599" s="58" t="n"/>
      <c r="E2599" s="64">
        <f>IF(tblCommentary[[#This Row],[Date]]="","",COUNTIFS(INDEX(tblCommentary[Date],1):tblCommentary[[#This Row],[Date]],tblCommentary[[#This Row],[Date]]))</f>
        <v/>
      </c>
      <c r="F2599" s="63">
        <f>IF(tblCommentary[[#This Row],[Date]]="","",tblCommentary[[#This Row],[Date]]&amp;"|"&amp;tblCommentary[[#This Row],[Seq_Day]])</f>
        <v/>
      </c>
    </row>
    <row r="2600">
      <c r="A2600" s="54" t="n"/>
      <c r="B2600" s="61" t="n"/>
      <c r="C2600" s="58" t="n"/>
      <c r="D2600" s="58" t="n"/>
      <c r="E2600" s="64">
        <f>IF(tblCommentary[[#This Row],[Date]]="","",COUNTIFS(INDEX(tblCommentary[Date],1):tblCommentary[[#This Row],[Date]],tblCommentary[[#This Row],[Date]]))</f>
        <v/>
      </c>
      <c r="F2600" s="63">
        <f>IF(tblCommentary[[#This Row],[Date]]="","",tblCommentary[[#This Row],[Date]]&amp;"|"&amp;tblCommentary[[#This Row],[Seq_Day]])</f>
        <v/>
      </c>
    </row>
    <row r="2601">
      <c r="A2601" s="54" t="n"/>
      <c r="B2601" s="61" t="n"/>
      <c r="C2601" s="58" t="n"/>
      <c r="D2601" s="58" t="n"/>
      <c r="E2601" s="64">
        <f>IF(tblCommentary[[#This Row],[Date]]="","",COUNTIFS(INDEX(tblCommentary[Date],1):tblCommentary[[#This Row],[Date]],tblCommentary[[#This Row],[Date]]))</f>
        <v/>
      </c>
      <c r="F2601" s="63">
        <f>IF(tblCommentary[[#This Row],[Date]]="","",tblCommentary[[#This Row],[Date]]&amp;"|"&amp;tblCommentary[[#This Row],[Seq_Day]])</f>
        <v/>
      </c>
    </row>
    <row r="2602">
      <c r="A2602" s="54" t="n"/>
      <c r="B2602" s="61" t="n"/>
      <c r="C2602" s="58" t="n"/>
      <c r="D2602" s="58" t="n"/>
      <c r="E2602" s="64">
        <f>IF(tblCommentary[[#This Row],[Date]]="","",COUNTIFS(INDEX(tblCommentary[Date],1):tblCommentary[[#This Row],[Date]],tblCommentary[[#This Row],[Date]]))</f>
        <v/>
      </c>
      <c r="F2602" s="63">
        <f>IF(tblCommentary[[#This Row],[Date]]="","",tblCommentary[[#This Row],[Date]]&amp;"|"&amp;tblCommentary[[#This Row],[Seq_Day]])</f>
        <v/>
      </c>
    </row>
    <row r="2603">
      <c r="A2603" s="54" t="n"/>
      <c r="B2603" s="61" t="n"/>
      <c r="C2603" s="58" t="n"/>
      <c r="D2603" s="58" t="n"/>
      <c r="E2603" s="64">
        <f>IF(tblCommentary[[#This Row],[Date]]="","",COUNTIFS(INDEX(tblCommentary[Date],1):tblCommentary[[#This Row],[Date]],tblCommentary[[#This Row],[Date]]))</f>
        <v/>
      </c>
      <c r="F2603" s="63">
        <f>IF(tblCommentary[[#This Row],[Date]]="","",tblCommentary[[#This Row],[Date]]&amp;"|"&amp;tblCommentary[[#This Row],[Seq_Day]])</f>
        <v/>
      </c>
    </row>
    <row r="2604">
      <c r="A2604" s="54" t="n"/>
      <c r="B2604" s="61" t="n"/>
      <c r="C2604" s="58" t="n"/>
      <c r="D2604" s="58" t="n"/>
      <c r="E2604" s="64">
        <f>IF(tblCommentary[[#This Row],[Date]]="","",COUNTIFS(INDEX(tblCommentary[Date],1):tblCommentary[[#This Row],[Date]],tblCommentary[[#This Row],[Date]]))</f>
        <v/>
      </c>
      <c r="F2604" s="63">
        <f>IF(tblCommentary[[#This Row],[Date]]="","",tblCommentary[[#This Row],[Date]]&amp;"|"&amp;tblCommentary[[#This Row],[Seq_Day]])</f>
        <v/>
      </c>
    </row>
    <row r="2605">
      <c r="A2605" s="54" t="n"/>
      <c r="B2605" s="61" t="n"/>
      <c r="C2605" s="58" t="n"/>
      <c r="D2605" s="58" t="n"/>
      <c r="E2605" s="64">
        <f>IF(tblCommentary[[#This Row],[Date]]="","",COUNTIFS(INDEX(tblCommentary[Date],1):tblCommentary[[#This Row],[Date]],tblCommentary[[#This Row],[Date]]))</f>
        <v/>
      </c>
      <c r="F2605" s="63">
        <f>IF(tblCommentary[[#This Row],[Date]]="","",tblCommentary[[#This Row],[Date]]&amp;"|"&amp;tblCommentary[[#This Row],[Seq_Day]])</f>
        <v/>
      </c>
    </row>
    <row r="2606">
      <c r="A2606" s="54" t="n"/>
      <c r="B2606" s="61" t="n"/>
      <c r="C2606" s="58" t="n"/>
      <c r="D2606" s="58" t="n"/>
      <c r="E2606" s="64">
        <f>IF(tblCommentary[[#This Row],[Date]]="","",COUNTIFS(INDEX(tblCommentary[Date],1):tblCommentary[[#This Row],[Date]],tblCommentary[[#This Row],[Date]]))</f>
        <v/>
      </c>
      <c r="F2606" s="63">
        <f>IF(tblCommentary[[#This Row],[Date]]="","",tblCommentary[[#This Row],[Date]]&amp;"|"&amp;tblCommentary[[#This Row],[Seq_Day]])</f>
        <v/>
      </c>
    </row>
    <row r="2607">
      <c r="A2607" s="54" t="n"/>
      <c r="B2607" s="61" t="n"/>
      <c r="C2607" s="58" t="n"/>
      <c r="D2607" s="58" t="n"/>
      <c r="E2607" s="64">
        <f>IF(tblCommentary[[#This Row],[Date]]="","",COUNTIFS(INDEX(tblCommentary[Date],1):tblCommentary[[#This Row],[Date]],tblCommentary[[#This Row],[Date]]))</f>
        <v/>
      </c>
      <c r="F2607" s="63">
        <f>IF(tblCommentary[[#This Row],[Date]]="","",tblCommentary[[#This Row],[Date]]&amp;"|"&amp;tblCommentary[[#This Row],[Seq_Day]])</f>
        <v/>
      </c>
    </row>
    <row r="2608">
      <c r="A2608" s="54" t="n"/>
      <c r="B2608" s="61" t="n"/>
      <c r="C2608" s="58" t="n"/>
      <c r="D2608" s="58" t="n"/>
      <c r="E2608" s="64">
        <f>IF(tblCommentary[[#This Row],[Date]]="","",COUNTIFS(INDEX(tblCommentary[Date],1):tblCommentary[[#This Row],[Date]],tblCommentary[[#This Row],[Date]]))</f>
        <v/>
      </c>
      <c r="F2608" s="63">
        <f>IF(tblCommentary[[#This Row],[Date]]="","",tblCommentary[[#This Row],[Date]]&amp;"|"&amp;tblCommentary[[#This Row],[Seq_Day]])</f>
        <v/>
      </c>
    </row>
    <row r="2609">
      <c r="A2609" s="54" t="n"/>
      <c r="B2609" s="61" t="n"/>
      <c r="C2609" s="58" t="n"/>
      <c r="D2609" s="58" t="n"/>
      <c r="E2609" s="64">
        <f>IF(tblCommentary[[#This Row],[Date]]="","",COUNTIFS(INDEX(tblCommentary[Date],1):tblCommentary[[#This Row],[Date]],tblCommentary[[#This Row],[Date]]))</f>
        <v/>
      </c>
      <c r="F2609" s="63">
        <f>IF(tblCommentary[[#This Row],[Date]]="","",tblCommentary[[#This Row],[Date]]&amp;"|"&amp;tblCommentary[[#This Row],[Seq_Day]])</f>
        <v/>
      </c>
    </row>
    <row r="2610">
      <c r="A2610" s="54" t="n"/>
      <c r="B2610" s="61" t="n"/>
      <c r="C2610" s="58" t="n"/>
      <c r="D2610" s="58" t="n"/>
      <c r="E2610" s="64">
        <f>IF(tblCommentary[[#This Row],[Date]]="","",COUNTIFS(INDEX(tblCommentary[Date],1):tblCommentary[[#This Row],[Date]],tblCommentary[[#This Row],[Date]]))</f>
        <v/>
      </c>
      <c r="F2610" s="63">
        <f>IF(tblCommentary[[#This Row],[Date]]="","",tblCommentary[[#This Row],[Date]]&amp;"|"&amp;tblCommentary[[#This Row],[Seq_Day]])</f>
        <v/>
      </c>
    </row>
    <row r="2611">
      <c r="A2611" s="54" t="n"/>
      <c r="B2611" s="61" t="n"/>
      <c r="C2611" s="58" t="n"/>
      <c r="D2611" s="58" t="n"/>
      <c r="E2611" s="64">
        <f>IF(tblCommentary[[#This Row],[Date]]="","",COUNTIFS(INDEX(tblCommentary[Date],1):tblCommentary[[#This Row],[Date]],tblCommentary[[#This Row],[Date]]))</f>
        <v/>
      </c>
      <c r="F2611" s="63">
        <f>IF(tblCommentary[[#This Row],[Date]]="","",tblCommentary[[#This Row],[Date]]&amp;"|"&amp;tblCommentary[[#This Row],[Seq_Day]])</f>
        <v/>
      </c>
    </row>
    <row r="2612">
      <c r="A2612" s="54" t="n"/>
      <c r="B2612" s="61" t="n"/>
      <c r="C2612" s="58" t="n"/>
      <c r="D2612" s="58" t="n"/>
      <c r="E2612" s="64">
        <f>IF(tblCommentary[[#This Row],[Date]]="","",COUNTIFS(INDEX(tblCommentary[Date],1):tblCommentary[[#This Row],[Date]],tblCommentary[[#This Row],[Date]]))</f>
        <v/>
      </c>
      <c r="F2612" s="63">
        <f>IF(tblCommentary[[#This Row],[Date]]="","",tblCommentary[[#This Row],[Date]]&amp;"|"&amp;tblCommentary[[#This Row],[Seq_Day]])</f>
        <v/>
      </c>
    </row>
    <row r="2613">
      <c r="A2613" s="54" t="n"/>
      <c r="B2613" s="61" t="n"/>
      <c r="C2613" s="58" t="n"/>
      <c r="D2613" s="58" t="n"/>
      <c r="E2613" s="64">
        <f>IF(tblCommentary[[#This Row],[Date]]="","",COUNTIFS(INDEX(tblCommentary[Date],1):tblCommentary[[#This Row],[Date]],tblCommentary[[#This Row],[Date]]))</f>
        <v/>
      </c>
      <c r="F2613" s="63">
        <f>IF(tblCommentary[[#This Row],[Date]]="","",tblCommentary[[#This Row],[Date]]&amp;"|"&amp;tblCommentary[[#This Row],[Seq_Day]])</f>
        <v/>
      </c>
    </row>
    <row r="2614">
      <c r="A2614" s="54" t="n"/>
      <c r="B2614" s="61" t="n"/>
      <c r="C2614" s="58" t="n"/>
      <c r="D2614" s="58" t="n"/>
      <c r="E2614" s="64">
        <f>IF(tblCommentary[[#This Row],[Date]]="","",COUNTIFS(INDEX(tblCommentary[Date],1):tblCommentary[[#This Row],[Date]],tblCommentary[[#This Row],[Date]]))</f>
        <v/>
      </c>
      <c r="F2614" s="63">
        <f>IF(tblCommentary[[#This Row],[Date]]="","",tblCommentary[[#This Row],[Date]]&amp;"|"&amp;tblCommentary[[#This Row],[Seq_Day]])</f>
        <v/>
      </c>
    </row>
    <row r="2615">
      <c r="A2615" s="54" t="n"/>
      <c r="B2615" s="61" t="n"/>
      <c r="C2615" s="58" t="n"/>
      <c r="D2615" s="58" t="n"/>
      <c r="E2615" s="64">
        <f>IF(tblCommentary[[#This Row],[Date]]="","",COUNTIFS(INDEX(tblCommentary[Date],1):tblCommentary[[#This Row],[Date]],tblCommentary[[#This Row],[Date]]))</f>
        <v/>
      </c>
      <c r="F2615" s="63">
        <f>IF(tblCommentary[[#This Row],[Date]]="","",tblCommentary[[#This Row],[Date]]&amp;"|"&amp;tblCommentary[[#This Row],[Seq_Day]])</f>
        <v/>
      </c>
    </row>
    <row r="2616">
      <c r="A2616" s="54" t="n"/>
      <c r="B2616" s="61" t="n"/>
      <c r="C2616" s="58" t="n"/>
      <c r="D2616" s="58" t="n"/>
      <c r="E2616" s="64">
        <f>IF(tblCommentary[[#This Row],[Date]]="","",COUNTIFS(INDEX(tblCommentary[Date],1):tblCommentary[[#This Row],[Date]],tblCommentary[[#This Row],[Date]]))</f>
        <v/>
      </c>
      <c r="F2616" s="63">
        <f>IF(tblCommentary[[#This Row],[Date]]="","",tblCommentary[[#This Row],[Date]]&amp;"|"&amp;tblCommentary[[#This Row],[Seq_Day]])</f>
        <v/>
      </c>
    </row>
    <row r="2617">
      <c r="A2617" s="54" t="n"/>
      <c r="B2617" s="61" t="n"/>
      <c r="C2617" s="58" t="n"/>
      <c r="D2617" s="58" t="n"/>
      <c r="E2617" s="64">
        <f>IF(tblCommentary[[#This Row],[Date]]="","",COUNTIFS(INDEX(tblCommentary[Date],1):tblCommentary[[#This Row],[Date]],tblCommentary[[#This Row],[Date]]))</f>
        <v/>
      </c>
      <c r="F2617" s="63">
        <f>IF(tblCommentary[[#This Row],[Date]]="","",tblCommentary[[#This Row],[Date]]&amp;"|"&amp;tblCommentary[[#This Row],[Seq_Day]])</f>
        <v/>
      </c>
    </row>
    <row r="2618">
      <c r="A2618" s="54" t="n"/>
      <c r="B2618" s="61" t="n"/>
      <c r="C2618" s="58" t="n"/>
      <c r="D2618" s="58" t="n"/>
      <c r="E2618" s="64">
        <f>IF(tblCommentary[[#This Row],[Date]]="","",COUNTIFS(INDEX(tblCommentary[Date],1):tblCommentary[[#This Row],[Date]],tblCommentary[[#This Row],[Date]]))</f>
        <v/>
      </c>
      <c r="F2618" s="63">
        <f>IF(tblCommentary[[#This Row],[Date]]="","",tblCommentary[[#This Row],[Date]]&amp;"|"&amp;tblCommentary[[#This Row],[Seq_Day]])</f>
        <v/>
      </c>
    </row>
    <row r="2619">
      <c r="A2619" s="54" t="n"/>
      <c r="B2619" s="61" t="n"/>
      <c r="C2619" s="58" t="n"/>
      <c r="D2619" s="58" t="n"/>
      <c r="E2619" s="64">
        <f>IF(tblCommentary[[#This Row],[Date]]="","",COUNTIFS(INDEX(tblCommentary[Date],1):tblCommentary[[#This Row],[Date]],tblCommentary[[#This Row],[Date]]))</f>
        <v/>
      </c>
      <c r="F2619" s="63">
        <f>IF(tblCommentary[[#This Row],[Date]]="","",tblCommentary[[#This Row],[Date]]&amp;"|"&amp;tblCommentary[[#This Row],[Seq_Day]])</f>
        <v/>
      </c>
    </row>
    <row r="2620">
      <c r="A2620" s="54" t="n"/>
      <c r="B2620" s="61" t="n"/>
      <c r="C2620" s="58" t="n"/>
      <c r="D2620" s="58" t="n"/>
      <c r="E2620" s="64">
        <f>IF(tblCommentary[[#This Row],[Date]]="","",COUNTIFS(INDEX(tblCommentary[Date],1):tblCommentary[[#This Row],[Date]],tblCommentary[[#This Row],[Date]]))</f>
        <v/>
      </c>
      <c r="F2620" s="63">
        <f>IF(tblCommentary[[#This Row],[Date]]="","",tblCommentary[[#This Row],[Date]]&amp;"|"&amp;tblCommentary[[#This Row],[Seq_Day]])</f>
        <v/>
      </c>
    </row>
    <row r="2621">
      <c r="A2621" s="54" t="n"/>
      <c r="B2621" s="61" t="n"/>
      <c r="C2621" s="58" t="n"/>
      <c r="D2621" s="58" t="n"/>
      <c r="E2621" s="64">
        <f>IF(tblCommentary[[#This Row],[Date]]="","",COUNTIFS(INDEX(tblCommentary[Date],1):tblCommentary[[#This Row],[Date]],tblCommentary[[#This Row],[Date]]))</f>
        <v/>
      </c>
      <c r="F2621" s="63">
        <f>IF(tblCommentary[[#This Row],[Date]]="","",tblCommentary[[#This Row],[Date]]&amp;"|"&amp;tblCommentary[[#This Row],[Seq_Day]])</f>
        <v/>
      </c>
    </row>
    <row r="2622">
      <c r="A2622" s="54" t="n"/>
      <c r="B2622" s="61" t="n"/>
      <c r="C2622" s="58" t="n"/>
      <c r="D2622" s="58" t="n"/>
      <c r="E2622" s="64">
        <f>IF(tblCommentary[[#This Row],[Date]]="","",COUNTIFS(INDEX(tblCommentary[Date],1):tblCommentary[[#This Row],[Date]],tblCommentary[[#This Row],[Date]]))</f>
        <v/>
      </c>
      <c r="F2622" s="63">
        <f>IF(tblCommentary[[#This Row],[Date]]="","",tblCommentary[[#This Row],[Date]]&amp;"|"&amp;tblCommentary[[#This Row],[Seq_Day]])</f>
        <v/>
      </c>
    </row>
    <row r="2623">
      <c r="A2623" s="54" t="n"/>
      <c r="B2623" s="61" t="n"/>
      <c r="C2623" s="58" t="n"/>
      <c r="D2623" s="58" t="n"/>
      <c r="E2623" s="64">
        <f>IF(tblCommentary[[#This Row],[Date]]="","",COUNTIFS(INDEX(tblCommentary[Date],1):tblCommentary[[#This Row],[Date]],tblCommentary[[#This Row],[Date]]))</f>
        <v/>
      </c>
      <c r="F2623" s="63">
        <f>IF(tblCommentary[[#This Row],[Date]]="","",tblCommentary[[#This Row],[Date]]&amp;"|"&amp;tblCommentary[[#This Row],[Seq_Day]])</f>
        <v/>
      </c>
    </row>
    <row r="2624">
      <c r="A2624" s="54" t="n"/>
      <c r="B2624" s="61" t="n"/>
      <c r="C2624" s="58" t="n"/>
      <c r="D2624" s="58" t="n"/>
      <c r="E2624" s="64">
        <f>IF(tblCommentary[[#This Row],[Date]]="","",COUNTIFS(INDEX(tblCommentary[Date],1):tblCommentary[[#This Row],[Date]],tblCommentary[[#This Row],[Date]]))</f>
        <v/>
      </c>
      <c r="F2624" s="63">
        <f>IF(tblCommentary[[#This Row],[Date]]="","",tblCommentary[[#This Row],[Date]]&amp;"|"&amp;tblCommentary[[#This Row],[Seq_Day]])</f>
        <v/>
      </c>
    </row>
    <row r="2625">
      <c r="A2625" s="54" t="n"/>
      <c r="B2625" s="61" t="n"/>
      <c r="C2625" s="58" t="n"/>
      <c r="D2625" s="58" t="n"/>
      <c r="E2625" s="64">
        <f>IF(tblCommentary[[#This Row],[Date]]="","",COUNTIFS(INDEX(tblCommentary[Date],1):tblCommentary[[#This Row],[Date]],tblCommentary[[#This Row],[Date]]))</f>
        <v/>
      </c>
      <c r="F2625" s="63">
        <f>IF(tblCommentary[[#This Row],[Date]]="","",tblCommentary[[#This Row],[Date]]&amp;"|"&amp;tblCommentary[[#This Row],[Seq_Day]])</f>
        <v/>
      </c>
    </row>
    <row r="2626">
      <c r="A2626" s="54" t="n"/>
      <c r="B2626" s="61" t="n"/>
      <c r="C2626" s="58" t="n"/>
      <c r="D2626" s="58" t="n"/>
      <c r="E2626" s="64">
        <f>IF(tblCommentary[[#This Row],[Date]]="","",COUNTIFS(INDEX(tblCommentary[Date],1):tblCommentary[[#This Row],[Date]],tblCommentary[[#This Row],[Date]]))</f>
        <v/>
      </c>
      <c r="F2626" s="63">
        <f>IF(tblCommentary[[#This Row],[Date]]="","",tblCommentary[[#This Row],[Date]]&amp;"|"&amp;tblCommentary[[#This Row],[Seq_Day]])</f>
        <v/>
      </c>
    </row>
    <row r="2627">
      <c r="A2627" s="54" t="n"/>
      <c r="B2627" s="61" t="n"/>
      <c r="C2627" s="58" t="n"/>
      <c r="D2627" s="58" t="n"/>
      <c r="E2627" s="64">
        <f>IF(tblCommentary[[#This Row],[Date]]="","",COUNTIFS(INDEX(tblCommentary[Date],1):tblCommentary[[#This Row],[Date]],tblCommentary[[#This Row],[Date]]))</f>
        <v/>
      </c>
      <c r="F2627" s="63">
        <f>IF(tblCommentary[[#This Row],[Date]]="","",tblCommentary[[#This Row],[Date]]&amp;"|"&amp;tblCommentary[[#This Row],[Seq_Day]])</f>
        <v/>
      </c>
    </row>
    <row r="2628">
      <c r="A2628" s="54" t="n"/>
      <c r="B2628" s="61" t="n"/>
      <c r="C2628" s="58" t="n"/>
      <c r="D2628" s="58" t="n"/>
      <c r="E2628" s="64">
        <f>IF(tblCommentary[[#This Row],[Date]]="","",COUNTIFS(INDEX(tblCommentary[Date],1):tblCommentary[[#This Row],[Date]],tblCommentary[[#This Row],[Date]]))</f>
        <v/>
      </c>
      <c r="F2628" s="63">
        <f>IF(tblCommentary[[#This Row],[Date]]="","",tblCommentary[[#This Row],[Date]]&amp;"|"&amp;tblCommentary[[#This Row],[Seq_Day]])</f>
        <v/>
      </c>
    </row>
    <row r="2629">
      <c r="A2629" s="54" t="n"/>
      <c r="B2629" s="61" t="n"/>
      <c r="C2629" s="58" t="n"/>
      <c r="D2629" s="58" t="n"/>
      <c r="E2629" s="64">
        <f>IF(tblCommentary[[#This Row],[Date]]="","",COUNTIFS(INDEX(tblCommentary[Date],1):tblCommentary[[#This Row],[Date]],tblCommentary[[#This Row],[Date]]))</f>
        <v/>
      </c>
      <c r="F2629" s="63">
        <f>IF(tblCommentary[[#This Row],[Date]]="","",tblCommentary[[#This Row],[Date]]&amp;"|"&amp;tblCommentary[[#This Row],[Seq_Day]])</f>
        <v/>
      </c>
    </row>
    <row r="2630">
      <c r="A2630" s="54" t="n"/>
      <c r="B2630" s="61" t="n"/>
      <c r="C2630" s="58" t="n"/>
      <c r="D2630" s="58" t="n"/>
      <c r="E2630" s="64">
        <f>IF(tblCommentary[[#This Row],[Date]]="","",COUNTIFS(INDEX(tblCommentary[Date],1):tblCommentary[[#This Row],[Date]],tblCommentary[[#This Row],[Date]]))</f>
        <v/>
      </c>
      <c r="F2630" s="63">
        <f>IF(tblCommentary[[#This Row],[Date]]="","",tblCommentary[[#This Row],[Date]]&amp;"|"&amp;tblCommentary[[#This Row],[Seq_Day]])</f>
        <v/>
      </c>
    </row>
    <row r="2631">
      <c r="A2631" s="54" t="n"/>
      <c r="B2631" s="61" t="n"/>
      <c r="C2631" s="58" t="n"/>
      <c r="D2631" s="58" t="n"/>
      <c r="E2631" s="64">
        <f>IF(tblCommentary[[#This Row],[Date]]="","",COUNTIFS(INDEX(tblCommentary[Date],1):tblCommentary[[#This Row],[Date]],tblCommentary[[#This Row],[Date]]))</f>
        <v/>
      </c>
      <c r="F2631" s="63">
        <f>IF(tblCommentary[[#This Row],[Date]]="","",tblCommentary[[#This Row],[Date]]&amp;"|"&amp;tblCommentary[[#This Row],[Seq_Day]])</f>
        <v/>
      </c>
    </row>
    <row r="2632">
      <c r="A2632" s="54" t="n"/>
      <c r="B2632" s="61" t="n"/>
      <c r="C2632" s="58" t="n"/>
      <c r="D2632" s="58" t="n"/>
      <c r="E2632" s="64">
        <f>IF(tblCommentary[[#This Row],[Date]]="","",COUNTIFS(INDEX(tblCommentary[Date],1):tblCommentary[[#This Row],[Date]],tblCommentary[[#This Row],[Date]]))</f>
        <v/>
      </c>
      <c r="F2632" s="63">
        <f>IF(tblCommentary[[#This Row],[Date]]="","",tblCommentary[[#This Row],[Date]]&amp;"|"&amp;tblCommentary[[#This Row],[Seq_Day]])</f>
        <v/>
      </c>
    </row>
    <row r="2633">
      <c r="A2633" s="54" t="n"/>
      <c r="B2633" s="61" t="n"/>
      <c r="C2633" s="58" t="n"/>
      <c r="D2633" s="58" t="n"/>
      <c r="E2633" s="64">
        <f>IF(tblCommentary[[#This Row],[Date]]="","",COUNTIFS(INDEX(tblCommentary[Date],1):tblCommentary[[#This Row],[Date]],tblCommentary[[#This Row],[Date]]))</f>
        <v/>
      </c>
      <c r="F2633" s="63">
        <f>IF(tblCommentary[[#This Row],[Date]]="","",tblCommentary[[#This Row],[Date]]&amp;"|"&amp;tblCommentary[[#This Row],[Seq_Day]])</f>
        <v/>
      </c>
    </row>
    <row r="2634">
      <c r="A2634" s="54" t="n"/>
      <c r="B2634" s="61" t="n"/>
      <c r="C2634" s="58" t="n"/>
      <c r="D2634" s="58" t="n"/>
      <c r="E2634" s="64">
        <f>IF(tblCommentary[[#This Row],[Date]]="","",COUNTIFS(INDEX(tblCommentary[Date],1):tblCommentary[[#This Row],[Date]],tblCommentary[[#This Row],[Date]]))</f>
        <v/>
      </c>
      <c r="F2634" s="63">
        <f>IF(tblCommentary[[#This Row],[Date]]="","",tblCommentary[[#This Row],[Date]]&amp;"|"&amp;tblCommentary[[#This Row],[Seq_Day]])</f>
        <v/>
      </c>
    </row>
    <row r="2635">
      <c r="A2635" s="54" t="n"/>
      <c r="B2635" s="61" t="n"/>
      <c r="C2635" s="58" t="n"/>
      <c r="D2635" s="58" t="n"/>
      <c r="E2635" s="64">
        <f>IF(tblCommentary[[#This Row],[Date]]="","",COUNTIFS(INDEX(tblCommentary[Date],1):tblCommentary[[#This Row],[Date]],tblCommentary[[#This Row],[Date]]))</f>
        <v/>
      </c>
      <c r="F2635" s="63">
        <f>IF(tblCommentary[[#This Row],[Date]]="","",tblCommentary[[#This Row],[Date]]&amp;"|"&amp;tblCommentary[[#This Row],[Seq_Day]])</f>
        <v/>
      </c>
    </row>
    <row r="2636">
      <c r="A2636" s="54" t="n"/>
      <c r="B2636" s="61" t="n"/>
      <c r="C2636" s="58" t="n"/>
      <c r="D2636" s="58" t="n"/>
      <c r="E2636" s="64">
        <f>IF(tblCommentary[[#This Row],[Date]]="","",COUNTIFS(INDEX(tblCommentary[Date],1):tblCommentary[[#This Row],[Date]],tblCommentary[[#This Row],[Date]]))</f>
        <v/>
      </c>
      <c r="F2636" s="63">
        <f>IF(tblCommentary[[#This Row],[Date]]="","",tblCommentary[[#This Row],[Date]]&amp;"|"&amp;tblCommentary[[#This Row],[Seq_Day]])</f>
        <v/>
      </c>
    </row>
    <row r="2637">
      <c r="A2637" s="54" t="n"/>
      <c r="B2637" s="61" t="n"/>
      <c r="C2637" s="58" t="n"/>
      <c r="D2637" s="58" t="n"/>
      <c r="E2637" s="64">
        <f>IF(tblCommentary[[#This Row],[Date]]="","",COUNTIFS(INDEX(tblCommentary[Date],1):tblCommentary[[#This Row],[Date]],tblCommentary[[#This Row],[Date]]))</f>
        <v/>
      </c>
      <c r="F2637" s="63">
        <f>IF(tblCommentary[[#This Row],[Date]]="","",tblCommentary[[#This Row],[Date]]&amp;"|"&amp;tblCommentary[[#This Row],[Seq_Day]])</f>
        <v/>
      </c>
    </row>
    <row r="2638">
      <c r="A2638" s="54" t="n"/>
      <c r="B2638" s="61" t="n"/>
      <c r="C2638" s="58" t="n"/>
      <c r="D2638" s="58" t="n"/>
      <c r="E2638" s="64">
        <f>IF(tblCommentary[[#This Row],[Date]]="","",COUNTIFS(INDEX(tblCommentary[Date],1):tblCommentary[[#This Row],[Date]],tblCommentary[[#This Row],[Date]]))</f>
        <v/>
      </c>
      <c r="F2638" s="63">
        <f>IF(tblCommentary[[#This Row],[Date]]="","",tblCommentary[[#This Row],[Date]]&amp;"|"&amp;tblCommentary[[#This Row],[Seq_Day]])</f>
        <v/>
      </c>
    </row>
    <row r="2639">
      <c r="A2639" s="54" t="n"/>
      <c r="B2639" s="61" t="n"/>
      <c r="C2639" s="58" t="n"/>
      <c r="D2639" s="58" t="n"/>
      <c r="E2639" s="64">
        <f>IF(tblCommentary[[#This Row],[Date]]="","",COUNTIFS(INDEX(tblCommentary[Date],1):tblCommentary[[#This Row],[Date]],tblCommentary[[#This Row],[Date]]))</f>
        <v/>
      </c>
      <c r="F2639" s="63">
        <f>IF(tblCommentary[[#This Row],[Date]]="","",tblCommentary[[#This Row],[Date]]&amp;"|"&amp;tblCommentary[[#This Row],[Seq_Day]])</f>
        <v/>
      </c>
    </row>
    <row r="2640">
      <c r="A2640" s="54" t="n"/>
      <c r="B2640" s="61" t="n"/>
      <c r="C2640" s="58" t="n"/>
      <c r="D2640" s="58" t="n"/>
      <c r="E2640" s="64">
        <f>IF(tblCommentary[[#This Row],[Date]]="","",COUNTIFS(INDEX(tblCommentary[Date],1):tblCommentary[[#This Row],[Date]],tblCommentary[[#This Row],[Date]]))</f>
        <v/>
      </c>
      <c r="F2640" s="63">
        <f>IF(tblCommentary[[#This Row],[Date]]="","",tblCommentary[[#This Row],[Date]]&amp;"|"&amp;tblCommentary[[#This Row],[Seq_Day]])</f>
        <v/>
      </c>
    </row>
    <row r="2641">
      <c r="A2641" s="54" t="n"/>
      <c r="B2641" s="61" t="n"/>
      <c r="C2641" s="58" t="n"/>
      <c r="D2641" s="58" t="n"/>
      <c r="E2641" s="64">
        <f>IF(tblCommentary[[#This Row],[Date]]="","",COUNTIFS(INDEX(tblCommentary[Date],1):tblCommentary[[#This Row],[Date]],tblCommentary[[#This Row],[Date]]))</f>
        <v/>
      </c>
      <c r="F2641" s="63">
        <f>IF(tblCommentary[[#This Row],[Date]]="","",tblCommentary[[#This Row],[Date]]&amp;"|"&amp;tblCommentary[[#This Row],[Seq_Day]])</f>
        <v/>
      </c>
    </row>
    <row r="2642">
      <c r="A2642" s="54" t="n"/>
      <c r="B2642" s="61" t="n"/>
      <c r="C2642" s="58" t="n"/>
      <c r="D2642" s="58" t="n"/>
      <c r="E2642" s="64">
        <f>IF(tblCommentary[[#This Row],[Date]]="","",COUNTIFS(INDEX(tblCommentary[Date],1):tblCommentary[[#This Row],[Date]],tblCommentary[[#This Row],[Date]]))</f>
        <v/>
      </c>
      <c r="F2642" s="63">
        <f>IF(tblCommentary[[#This Row],[Date]]="","",tblCommentary[[#This Row],[Date]]&amp;"|"&amp;tblCommentary[[#This Row],[Seq_Day]])</f>
        <v/>
      </c>
    </row>
    <row r="2643">
      <c r="A2643" s="54" t="n"/>
      <c r="B2643" s="61" t="n"/>
      <c r="C2643" s="58" t="n"/>
      <c r="D2643" s="58" t="n"/>
      <c r="E2643" s="64">
        <f>IF(tblCommentary[[#This Row],[Date]]="","",COUNTIFS(INDEX(tblCommentary[Date],1):tblCommentary[[#This Row],[Date]],tblCommentary[[#This Row],[Date]]))</f>
        <v/>
      </c>
      <c r="F2643" s="63">
        <f>IF(tblCommentary[[#This Row],[Date]]="","",tblCommentary[[#This Row],[Date]]&amp;"|"&amp;tblCommentary[[#This Row],[Seq_Day]])</f>
        <v/>
      </c>
    </row>
    <row r="2644">
      <c r="A2644" s="54" t="n"/>
      <c r="B2644" s="61" t="n"/>
      <c r="C2644" s="58" t="n"/>
      <c r="D2644" s="58" t="n"/>
      <c r="E2644" s="64">
        <f>IF(tblCommentary[[#This Row],[Date]]="","",COUNTIFS(INDEX(tblCommentary[Date],1):tblCommentary[[#This Row],[Date]],tblCommentary[[#This Row],[Date]]))</f>
        <v/>
      </c>
      <c r="F2644" s="63">
        <f>IF(tblCommentary[[#This Row],[Date]]="","",tblCommentary[[#This Row],[Date]]&amp;"|"&amp;tblCommentary[[#This Row],[Seq_Day]])</f>
        <v/>
      </c>
    </row>
    <row r="2645">
      <c r="A2645" s="54" t="n"/>
      <c r="B2645" s="61" t="n"/>
      <c r="C2645" s="58" t="n"/>
      <c r="D2645" s="58" t="n"/>
      <c r="E2645" s="64">
        <f>IF(tblCommentary[[#This Row],[Date]]="","",COUNTIFS(INDEX(tblCommentary[Date],1):tblCommentary[[#This Row],[Date]],tblCommentary[[#This Row],[Date]]))</f>
        <v/>
      </c>
      <c r="F2645" s="63">
        <f>IF(tblCommentary[[#This Row],[Date]]="","",tblCommentary[[#This Row],[Date]]&amp;"|"&amp;tblCommentary[[#This Row],[Seq_Day]])</f>
        <v/>
      </c>
    </row>
    <row r="2646">
      <c r="A2646" s="54" t="n"/>
      <c r="B2646" s="61" t="n"/>
      <c r="C2646" s="58" t="n"/>
      <c r="D2646" s="58" t="n"/>
      <c r="E2646" s="64">
        <f>IF(tblCommentary[[#This Row],[Date]]="","",COUNTIFS(INDEX(tblCommentary[Date],1):tblCommentary[[#This Row],[Date]],tblCommentary[[#This Row],[Date]]))</f>
        <v/>
      </c>
      <c r="F2646" s="63">
        <f>IF(tblCommentary[[#This Row],[Date]]="","",tblCommentary[[#This Row],[Date]]&amp;"|"&amp;tblCommentary[[#This Row],[Seq_Day]])</f>
        <v/>
      </c>
    </row>
    <row r="2647">
      <c r="A2647" s="54" t="n"/>
      <c r="B2647" s="61" t="n"/>
      <c r="C2647" s="58" t="n"/>
      <c r="D2647" s="58" t="n"/>
      <c r="E2647" s="64">
        <f>IF(tblCommentary[[#This Row],[Date]]="","",COUNTIFS(INDEX(tblCommentary[Date],1):tblCommentary[[#This Row],[Date]],tblCommentary[[#This Row],[Date]]))</f>
        <v/>
      </c>
      <c r="F2647" s="63">
        <f>IF(tblCommentary[[#This Row],[Date]]="","",tblCommentary[[#This Row],[Date]]&amp;"|"&amp;tblCommentary[[#This Row],[Seq_Day]])</f>
        <v/>
      </c>
    </row>
    <row r="2648">
      <c r="A2648" s="54" t="n"/>
      <c r="B2648" s="61" t="n"/>
      <c r="C2648" s="58" t="n"/>
      <c r="D2648" s="58" t="n"/>
      <c r="E2648" s="64">
        <f>IF(tblCommentary[[#This Row],[Date]]="","",COUNTIFS(INDEX(tblCommentary[Date],1):tblCommentary[[#This Row],[Date]],tblCommentary[[#This Row],[Date]]))</f>
        <v/>
      </c>
      <c r="F2648" s="63">
        <f>IF(tblCommentary[[#This Row],[Date]]="","",tblCommentary[[#This Row],[Date]]&amp;"|"&amp;tblCommentary[[#This Row],[Seq_Day]])</f>
        <v/>
      </c>
    </row>
    <row r="2649">
      <c r="A2649" s="54" t="n"/>
      <c r="B2649" s="61" t="n"/>
      <c r="C2649" s="58" t="n"/>
      <c r="D2649" s="58" t="n"/>
      <c r="E2649" s="64">
        <f>IF(tblCommentary[[#This Row],[Date]]="","",COUNTIFS(INDEX(tblCommentary[Date],1):tblCommentary[[#This Row],[Date]],tblCommentary[[#This Row],[Date]]))</f>
        <v/>
      </c>
      <c r="F2649" s="63">
        <f>IF(tblCommentary[[#This Row],[Date]]="","",tblCommentary[[#This Row],[Date]]&amp;"|"&amp;tblCommentary[[#This Row],[Seq_Day]])</f>
        <v/>
      </c>
    </row>
    <row r="2650">
      <c r="A2650" s="54" t="n"/>
      <c r="B2650" s="61" t="n"/>
      <c r="C2650" s="58" t="n"/>
      <c r="D2650" s="58" t="n"/>
      <c r="E2650" s="64">
        <f>IF(tblCommentary[[#This Row],[Date]]="","",COUNTIFS(INDEX(tblCommentary[Date],1):tblCommentary[[#This Row],[Date]],tblCommentary[[#This Row],[Date]]))</f>
        <v/>
      </c>
      <c r="F2650" s="63">
        <f>IF(tblCommentary[[#This Row],[Date]]="","",tblCommentary[[#This Row],[Date]]&amp;"|"&amp;tblCommentary[[#This Row],[Seq_Day]])</f>
        <v/>
      </c>
    </row>
    <row r="2651">
      <c r="A2651" s="54" t="n"/>
      <c r="B2651" s="61" t="n"/>
      <c r="C2651" s="58" t="n"/>
      <c r="D2651" s="58" t="n"/>
      <c r="E2651" s="64">
        <f>IF(tblCommentary[[#This Row],[Date]]="","",COUNTIFS(INDEX(tblCommentary[Date],1):tblCommentary[[#This Row],[Date]],tblCommentary[[#This Row],[Date]]))</f>
        <v/>
      </c>
      <c r="F2651" s="63">
        <f>IF(tblCommentary[[#This Row],[Date]]="","",tblCommentary[[#This Row],[Date]]&amp;"|"&amp;tblCommentary[[#This Row],[Seq_Day]])</f>
        <v/>
      </c>
    </row>
    <row r="2652">
      <c r="A2652" s="54" t="n"/>
      <c r="B2652" s="61" t="n"/>
      <c r="C2652" s="58" t="n"/>
      <c r="D2652" s="58" t="n"/>
      <c r="E2652" s="64">
        <f>IF(tblCommentary[[#This Row],[Date]]="","",COUNTIFS(INDEX(tblCommentary[Date],1):tblCommentary[[#This Row],[Date]],tblCommentary[[#This Row],[Date]]))</f>
        <v/>
      </c>
      <c r="F2652" s="63">
        <f>IF(tblCommentary[[#This Row],[Date]]="","",tblCommentary[[#This Row],[Date]]&amp;"|"&amp;tblCommentary[[#This Row],[Seq_Day]])</f>
        <v/>
      </c>
    </row>
    <row r="2653">
      <c r="A2653" s="54" t="n"/>
      <c r="B2653" s="61" t="n"/>
      <c r="C2653" s="58" t="n"/>
      <c r="D2653" s="58" t="n"/>
      <c r="E2653" s="64">
        <f>IF(tblCommentary[[#This Row],[Date]]="","",COUNTIFS(INDEX(tblCommentary[Date],1):tblCommentary[[#This Row],[Date]],tblCommentary[[#This Row],[Date]]))</f>
        <v/>
      </c>
      <c r="F2653" s="63">
        <f>IF(tblCommentary[[#This Row],[Date]]="","",tblCommentary[[#This Row],[Date]]&amp;"|"&amp;tblCommentary[[#This Row],[Seq_Day]])</f>
        <v/>
      </c>
    </row>
    <row r="2654">
      <c r="A2654" s="54" t="n"/>
      <c r="B2654" s="61" t="n"/>
      <c r="C2654" s="58" t="n"/>
      <c r="D2654" s="58" t="n"/>
      <c r="E2654" s="64">
        <f>IF(tblCommentary[[#This Row],[Date]]="","",COUNTIFS(INDEX(tblCommentary[Date],1):tblCommentary[[#This Row],[Date]],tblCommentary[[#This Row],[Date]]))</f>
        <v/>
      </c>
      <c r="F2654" s="63">
        <f>IF(tblCommentary[[#This Row],[Date]]="","",tblCommentary[[#This Row],[Date]]&amp;"|"&amp;tblCommentary[[#This Row],[Seq_Day]])</f>
        <v/>
      </c>
    </row>
    <row r="2655">
      <c r="A2655" s="54" t="n"/>
      <c r="B2655" s="61" t="n"/>
      <c r="C2655" s="58" t="n"/>
      <c r="D2655" s="58" t="n"/>
      <c r="E2655" s="64">
        <f>IF(tblCommentary[[#This Row],[Date]]="","",COUNTIFS(INDEX(tblCommentary[Date],1):tblCommentary[[#This Row],[Date]],tblCommentary[[#This Row],[Date]]))</f>
        <v/>
      </c>
      <c r="F2655" s="63">
        <f>IF(tblCommentary[[#This Row],[Date]]="","",tblCommentary[[#This Row],[Date]]&amp;"|"&amp;tblCommentary[[#This Row],[Seq_Day]])</f>
        <v/>
      </c>
    </row>
    <row r="2656">
      <c r="A2656" s="54" t="n"/>
      <c r="B2656" s="61" t="n"/>
      <c r="C2656" s="58" t="n"/>
      <c r="D2656" s="58" t="n"/>
      <c r="E2656" s="64">
        <f>IF(tblCommentary[[#This Row],[Date]]="","",COUNTIFS(INDEX(tblCommentary[Date],1):tblCommentary[[#This Row],[Date]],tblCommentary[[#This Row],[Date]]))</f>
        <v/>
      </c>
      <c r="F2656" s="63">
        <f>IF(tblCommentary[[#This Row],[Date]]="","",tblCommentary[[#This Row],[Date]]&amp;"|"&amp;tblCommentary[[#This Row],[Seq_Day]])</f>
        <v/>
      </c>
    </row>
    <row r="2657">
      <c r="A2657" s="54" t="n"/>
      <c r="B2657" s="61" t="n"/>
      <c r="C2657" s="58" t="n"/>
      <c r="D2657" s="58" t="n"/>
      <c r="E2657" s="64">
        <f>IF(tblCommentary[[#This Row],[Date]]="","",COUNTIFS(INDEX(tblCommentary[Date],1):tblCommentary[[#This Row],[Date]],tblCommentary[[#This Row],[Date]]))</f>
        <v/>
      </c>
      <c r="F2657" s="63">
        <f>IF(tblCommentary[[#This Row],[Date]]="","",tblCommentary[[#This Row],[Date]]&amp;"|"&amp;tblCommentary[[#This Row],[Seq_Day]])</f>
        <v/>
      </c>
    </row>
    <row r="2658">
      <c r="A2658" s="54" t="n"/>
      <c r="B2658" s="61" t="n"/>
      <c r="C2658" s="58" t="n"/>
      <c r="D2658" s="58" t="n"/>
      <c r="E2658" s="64">
        <f>IF(tblCommentary[[#This Row],[Date]]="","",COUNTIFS(INDEX(tblCommentary[Date],1):tblCommentary[[#This Row],[Date]],tblCommentary[[#This Row],[Date]]))</f>
        <v/>
      </c>
      <c r="F2658" s="63">
        <f>IF(tblCommentary[[#This Row],[Date]]="","",tblCommentary[[#This Row],[Date]]&amp;"|"&amp;tblCommentary[[#This Row],[Seq_Day]])</f>
        <v/>
      </c>
    </row>
    <row r="2659">
      <c r="A2659" s="54" t="n"/>
      <c r="B2659" s="61" t="n"/>
      <c r="C2659" s="58" t="n"/>
      <c r="D2659" s="58" t="n"/>
      <c r="E2659" s="64">
        <f>IF(tblCommentary[[#This Row],[Date]]="","",COUNTIFS(INDEX(tblCommentary[Date],1):tblCommentary[[#This Row],[Date]],tblCommentary[[#This Row],[Date]]))</f>
        <v/>
      </c>
      <c r="F2659" s="63">
        <f>IF(tblCommentary[[#This Row],[Date]]="","",tblCommentary[[#This Row],[Date]]&amp;"|"&amp;tblCommentary[[#This Row],[Seq_Day]])</f>
        <v/>
      </c>
    </row>
    <row r="2660">
      <c r="A2660" s="54" t="n"/>
      <c r="B2660" s="61" t="n"/>
      <c r="C2660" s="58" t="n"/>
      <c r="D2660" s="58" t="n"/>
      <c r="E2660" s="64">
        <f>IF(tblCommentary[[#This Row],[Date]]="","",COUNTIFS(INDEX(tblCommentary[Date],1):tblCommentary[[#This Row],[Date]],tblCommentary[[#This Row],[Date]]))</f>
        <v/>
      </c>
      <c r="F2660" s="63">
        <f>IF(tblCommentary[[#This Row],[Date]]="","",tblCommentary[[#This Row],[Date]]&amp;"|"&amp;tblCommentary[[#This Row],[Seq_Day]])</f>
        <v/>
      </c>
    </row>
    <row r="2661">
      <c r="A2661" s="54" t="n"/>
      <c r="B2661" s="61" t="n"/>
      <c r="C2661" s="58" t="n"/>
      <c r="D2661" s="58" t="n"/>
      <c r="E2661" s="64">
        <f>IF(tblCommentary[[#This Row],[Date]]="","",COUNTIFS(INDEX(tblCommentary[Date],1):tblCommentary[[#This Row],[Date]],tblCommentary[[#This Row],[Date]]))</f>
        <v/>
      </c>
      <c r="F2661" s="63">
        <f>IF(tblCommentary[[#This Row],[Date]]="","",tblCommentary[[#This Row],[Date]]&amp;"|"&amp;tblCommentary[[#This Row],[Seq_Day]])</f>
        <v/>
      </c>
    </row>
    <row r="2662">
      <c r="A2662" s="54" t="n"/>
      <c r="B2662" s="61" t="n"/>
      <c r="C2662" s="58" t="n"/>
      <c r="D2662" s="58" t="n"/>
      <c r="E2662" s="64">
        <f>IF(tblCommentary[[#This Row],[Date]]="","",COUNTIFS(INDEX(tblCommentary[Date],1):tblCommentary[[#This Row],[Date]],tblCommentary[[#This Row],[Date]]))</f>
        <v/>
      </c>
      <c r="F2662" s="63">
        <f>IF(tblCommentary[[#This Row],[Date]]="","",tblCommentary[[#This Row],[Date]]&amp;"|"&amp;tblCommentary[[#This Row],[Seq_Day]])</f>
        <v/>
      </c>
    </row>
    <row r="2663">
      <c r="A2663" s="54" t="n"/>
      <c r="B2663" s="61" t="n"/>
      <c r="C2663" s="58" t="n"/>
      <c r="D2663" s="58" t="n"/>
      <c r="E2663" s="64">
        <f>IF(tblCommentary[[#This Row],[Date]]="","",COUNTIFS(INDEX(tblCommentary[Date],1):tblCommentary[[#This Row],[Date]],tblCommentary[[#This Row],[Date]]))</f>
        <v/>
      </c>
      <c r="F2663" s="63">
        <f>IF(tblCommentary[[#This Row],[Date]]="","",tblCommentary[[#This Row],[Date]]&amp;"|"&amp;tblCommentary[[#This Row],[Seq_Day]])</f>
        <v/>
      </c>
    </row>
    <row r="2664">
      <c r="A2664" s="54" t="n"/>
      <c r="B2664" s="61" t="n"/>
      <c r="C2664" s="58" t="n"/>
      <c r="D2664" s="58" t="n"/>
      <c r="E2664" s="64">
        <f>IF(tblCommentary[[#This Row],[Date]]="","",COUNTIFS(INDEX(tblCommentary[Date],1):tblCommentary[[#This Row],[Date]],tblCommentary[[#This Row],[Date]]))</f>
        <v/>
      </c>
      <c r="F2664" s="63">
        <f>IF(tblCommentary[[#This Row],[Date]]="","",tblCommentary[[#This Row],[Date]]&amp;"|"&amp;tblCommentary[[#This Row],[Seq_Day]])</f>
        <v/>
      </c>
    </row>
    <row r="2665">
      <c r="A2665" s="54" t="n"/>
      <c r="B2665" s="61" t="n"/>
      <c r="C2665" s="58" t="n"/>
      <c r="D2665" s="58" t="n"/>
      <c r="E2665" s="64">
        <f>IF(tblCommentary[[#This Row],[Date]]="","",COUNTIFS(INDEX(tblCommentary[Date],1):tblCommentary[[#This Row],[Date]],tblCommentary[[#This Row],[Date]]))</f>
        <v/>
      </c>
      <c r="F2665" s="63">
        <f>IF(tblCommentary[[#This Row],[Date]]="","",tblCommentary[[#This Row],[Date]]&amp;"|"&amp;tblCommentary[[#This Row],[Seq_Day]])</f>
        <v/>
      </c>
    </row>
    <row r="2666">
      <c r="A2666" s="54" t="n"/>
      <c r="B2666" s="61" t="n"/>
      <c r="C2666" s="58" t="n"/>
      <c r="D2666" s="58" t="n"/>
      <c r="E2666" s="64">
        <f>IF(tblCommentary[[#This Row],[Date]]="","",COUNTIFS(INDEX(tblCommentary[Date],1):tblCommentary[[#This Row],[Date]],tblCommentary[[#This Row],[Date]]))</f>
        <v/>
      </c>
      <c r="F2666" s="63">
        <f>IF(tblCommentary[[#This Row],[Date]]="","",tblCommentary[[#This Row],[Date]]&amp;"|"&amp;tblCommentary[[#This Row],[Seq_Day]])</f>
        <v/>
      </c>
    </row>
    <row r="2667">
      <c r="A2667" s="54" t="n"/>
      <c r="B2667" s="61" t="n"/>
      <c r="C2667" s="58" t="n"/>
      <c r="D2667" s="58" t="n"/>
      <c r="E2667" s="64">
        <f>IF(tblCommentary[[#This Row],[Date]]="","",COUNTIFS(INDEX(tblCommentary[Date],1):tblCommentary[[#This Row],[Date]],tblCommentary[[#This Row],[Date]]))</f>
        <v/>
      </c>
      <c r="F2667" s="63">
        <f>IF(tblCommentary[[#This Row],[Date]]="","",tblCommentary[[#This Row],[Date]]&amp;"|"&amp;tblCommentary[[#This Row],[Seq_Day]])</f>
        <v/>
      </c>
    </row>
    <row r="2668">
      <c r="A2668" s="54" t="n"/>
      <c r="B2668" s="61" t="n"/>
      <c r="C2668" s="58" t="n"/>
      <c r="D2668" s="58" t="n"/>
      <c r="E2668" s="64">
        <f>IF(tblCommentary[[#This Row],[Date]]="","",COUNTIFS(INDEX(tblCommentary[Date],1):tblCommentary[[#This Row],[Date]],tblCommentary[[#This Row],[Date]]))</f>
        <v/>
      </c>
      <c r="F2668" s="63">
        <f>IF(tblCommentary[[#This Row],[Date]]="","",tblCommentary[[#This Row],[Date]]&amp;"|"&amp;tblCommentary[[#This Row],[Seq_Day]])</f>
        <v/>
      </c>
    </row>
    <row r="2669">
      <c r="A2669" s="54" t="n"/>
      <c r="B2669" s="61" t="n"/>
      <c r="C2669" s="58" t="n"/>
      <c r="D2669" s="58" t="n"/>
      <c r="E2669" s="64">
        <f>IF(tblCommentary[[#This Row],[Date]]="","",COUNTIFS(INDEX(tblCommentary[Date],1):tblCommentary[[#This Row],[Date]],tblCommentary[[#This Row],[Date]]))</f>
        <v/>
      </c>
      <c r="F2669" s="63">
        <f>IF(tblCommentary[[#This Row],[Date]]="","",tblCommentary[[#This Row],[Date]]&amp;"|"&amp;tblCommentary[[#This Row],[Seq_Day]])</f>
        <v/>
      </c>
    </row>
    <row r="2670">
      <c r="A2670" s="54" t="n"/>
      <c r="B2670" s="61" t="n"/>
      <c r="C2670" s="58" t="n"/>
      <c r="D2670" s="58" t="n"/>
      <c r="E2670" s="64">
        <f>IF(tblCommentary[[#This Row],[Date]]="","",COUNTIFS(INDEX(tblCommentary[Date],1):tblCommentary[[#This Row],[Date]],tblCommentary[[#This Row],[Date]]))</f>
        <v/>
      </c>
      <c r="F2670" s="63">
        <f>IF(tblCommentary[[#This Row],[Date]]="","",tblCommentary[[#This Row],[Date]]&amp;"|"&amp;tblCommentary[[#This Row],[Seq_Day]])</f>
        <v/>
      </c>
    </row>
    <row r="2671">
      <c r="A2671" s="54" t="n"/>
      <c r="B2671" s="61" t="n"/>
      <c r="C2671" s="58" t="n"/>
      <c r="D2671" s="58" t="n"/>
      <c r="E2671" s="64">
        <f>IF(tblCommentary[[#This Row],[Date]]="","",COUNTIFS(INDEX(tblCommentary[Date],1):tblCommentary[[#This Row],[Date]],tblCommentary[[#This Row],[Date]]))</f>
        <v/>
      </c>
      <c r="F2671" s="63">
        <f>IF(tblCommentary[[#This Row],[Date]]="","",tblCommentary[[#This Row],[Date]]&amp;"|"&amp;tblCommentary[[#This Row],[Seq_Day]])</f>
        <v/>
      </c>
    </row>
    <row r="2672">
      <c r="A2672" s="54" t="n"/>
      <c r="B2672" s="61" t="n"/>
      <c r="C2672" s="58" t="n"/>
      <c r="D2672" s="58" t="n"/>
      <c r="E2672" s="64">
        <f>IF(tblCommentary[[#This Row],[Date]]="","",COUNTIFS(INDEX(tblCommentary[Date],1):tblCommentary[[#This Row],[Date]],tblCommentary[[#This Row],[Date]]))</f>
        <v/>
      </c>
      <c r="F2672" s="63">
        <f>IF(tblCommentary[[#This Row],[Date]]="","",tblCommentary[[#This Row],[Date]]&amp;"|"&amp;tblCommentary[[#This Row],[Seq_Day]])</f>
        <v/>
      </c>
    </row>
    <row r="2673">
      <c r="A2673" s="54" t="n"/>
      <c r="B2673" s="61" t="n"/>
      <c r="C2673" s="58" t="n"/>
      <c r="D2673" s="58" t="n"/>
      <c r="E2673" s="64">
        <f>IF(tblCommentary[[#This Row],[Date]]="","",COUNTIFS(INDEX(tblCommentary[Date],1):tblCommentary[[#This Row],[Date]],tblCommentary[[#This Row],[Date]]))</f>
        <v/>
      </c>
      <c r="F2673" s="63">
        <f>IF(tblCommentary[[#This Row],[Date]]="","",tblCommentary[[#This Row],[Date]]&amp;"|"&amp;tblCommentary[[#This Row],[Seq_Day]])</f>
        <v/>
      </c>
    </row>
    <row r="2674">
      <c r="A2674" s="54" t="n"/>
      <c r="B2674" s="61" t="n"/>
      <c r="C2674" s="58" t="n"/>
      <c r="D2674" s="58" t="n"/>
      <c r="E2674" s="64">
        <f>IF(tblCommentary[[#This Row],[Date]]="","",COUNTIFS(INDEX(tblCommentary[Date],1):tblCommentary[[#This Row],[Date]],tblCommentary[[#This Row],[Date]]))</f>
        <v/>
      </c>
      <c r="F2674" s="63">
        <f>IF(tblCommentary[[#This Row],[Date]]="","",tblCommentary[[#This Row],[Date]]&amp;"|"&amp;tblCommentary[[#This Row],[Seq_Day]])</f>
        <v/>
      </c>
    </row>
    <row r="2675">
      <c r="A2675" s="54" t="n"/>
      <c r="B2675" s="61" t="n"/>
      <c r="C2675" s="58" t="n"/>
      <c r="D2675" s="58" t="n"/>
      <c r="E2675" s="64">
        <f>IF(tblCommentary[[#This Row],[Date]]="","",COUNTIFS(INDEX(tblCommentary[Date],1):tblCommentary[[#This Row],[Date]],tblCommentary[[#This Row],[Date]]))</f>
        <v/>
      </c>
      <c r="F2675" s="63">
        <f>IF(tblCommentary[[#This Row],[Date]]="","",tblCommentary[[#This Row],[Date]]&amp;"|"&amp;tblCommentary[[#This Row],[Seq_Day]])</f>
        <v/>
      </c>
    </row>
    <row r="2676">
      <c r="A2676" s="54" t="n"/>
      <c r="B2676" s="61" t="n"/>
      <c r="C2676" s="58" t="n"/>
      <c r="D2676" s="58" t="n"/>
      <c r="E2676" s="64">
        <f>IF(tblCommentary[[#This Row],[Date]]="","",COUNTIFS(INDEX(tblCommentary[Date],1):tblCommentary[[#This Row],[Date]],tblCommentary[[#This Row],[Date]]))</f>
        <v/>
      </c>
      <c r="F2676" s="63">
        <f>IF(tblCommentary[[#This Row],[Date]]="","",tblCommentary[[#This Row],[Date]]&amp;"|"&amp;tblCommentary[[#This Row],[Seq_Day]])</f>
        <v/>
      </c>
    </row>
    <row r="2677">
      <c r="A2677" s="54" t="n"/>
      <c r="B2677" s="61" t="n"/>
      <c r="C2677" s="58" t="n"/>
      <c r="D2677" s="58" t="n"/>
      <c r="E2677" s="64">
        <f>IF(tblCommentary[[#This Row],[Date]]="","",COUNTIFS(INDEX(tblCommentary[Date],1):tblCommentary[[#This Row],[Date]],tblCommentary[[#This Row],[Date]]))</f>
        <v/>
      </c>
      <c r="F2677" s="63">
        <f>IF(tblCommentary[[#This Row],[Date]]="","",tblCommentary[[#This Row],[Date]]&amp;"|"&amp;tblCommentary[[#This Row],[Seq_Day]])</f>
        <v/>
      </c>
    </row>
    <row r="2678">
      <c r="A2678" s="54" t="n"/>
      <c r="B2678" s="61" t="n"/>
      <c r="C2678" s="58" t="n"/>
      <c r="D2678" s="58" t="n"/>
      <c r="E2678" s="64">
        <f>IF(tblCommentary[[#This Row],[Date]]="","",COUNTIFS(INDEX(tblCommentary[Date],1):tblCommentary[[#This Row],[Date]],tblCommentary[[#This Row],[Date]]))</f>
        <v/>
      </c>
      <c r="F2678" s="63">
        <f>IF(tblCommentary[[#This Row],[Date]]="","",tblCommentary[[#This Row],[Date]]&amp;"|"&amp;tblCommentary[[#This Row],[Seq_Day]])</f>
        <v/>
      </c>
    </row>
    <row r="2679">
      <c r="A2679" s="54" t="n"/>
      <c r="B2679" s="61" t="n"/>
      <c r="C2679" s="58" t="n"/>
      <c r="D2679" s="58" t="n"/>
      <c r="E2679" s="64">
        <f>IF(tblCommentary[[#This Row],[Date]]="","",COUNTIFS(INDEX(tblCommentary[Date],1):tblCommentary[[#This Row],[Date]],tblCommentary[[#This Row],[Date]]))</f>
        <v/>
      </c>
      <c r="F2679" s="63">
        <f>IF(tblCommentary[[#This Row],[Date]]="","",tblCommentary[[#This Row],[Date]]&amp;"|"&amp;tblCommentary[[#This Row],[Seq_Day]])</f>
        <v/>
      </c>
    </row>
    <row r="2680">
      <c r="A2680" s="54" t="n"/>
      <c r="B2680" s="61" t="n"/>
      <c r="C2680" s="58" t="n"/>
      <c r="D2680" s="58" t="n"/>
      <c r="E2680" s="64">
        <f>IF(tblCommentary[[#This Row],[Date]]="","",COUNTIFS(INDEX(tblCommentary[Date],1):tblCommentary[[#This Row],[Date]],tblCommentary[[#This Row],[Date]]))</f>
        <v/>
      </c>
      <c r="F2680" s="63">
        <f>IF(tblCommentary[[#This Row],[Date]]="","",tblCommentary[[#This Row],[Date]]&amp;"|"&amp;tblCommentary[[#This Row],[Seq_Day]])</f>
        <v/>
      </c>
    </row>
    <row r="2681">
      <c r="A2681" s="54" t="n"/>
      <c r="B2681" s="61" t="n"/>
      <c r="C2681" s="58" t="n"/>
      <c r="D2681" s="58" t="n"/>
      <c r="E2681" s="64">
        <f>IF(tblCommentary[[#This Row],[Date]]="","",COUNTIFS(INDEX(tblCommentary[Date],1):tblCommentary[[#This Row],[Date]],tblCommentary[[#This Row],[Date]]))</f>
        <v/>
      </c>
      <c r="F2681" s="63">
        <f>IF(tblCommentary[[#This Row],[Date]]="","",tblCommentary[[#This Row],[Date]]&amp;"|"&amp;tblCommentary[[#This Row],[Seq_Day]])</f>
        <v/>
      </c>
    </row>
    <row r="2682">
      <c r="A2682" s="54" t="n"/>
      <c r="B2682" s="61" t="n"/>
      <c r="C2682" s="58" t="n"/>
      <c r="D2682" s="58" t="n"/>
      <c r="E2682" s="64">
        <f>IF(tblCommentary[[#This Row],[Date]]="","",COUNTIFS(INDEX(tblCommentary[Date],1):tblCommentary[[#This Row],[Date]],tblCommentary[[#This Row],[Date]]))</f>
        <v/>
      </c>
      <c r="F2682" s="63">
        <f>IF(tblCommentary[[#This Row],[Date]]="","",tblCommentary[[#This Row],[Date]]&amp;"|"&amp;tblCommentary[[#This Row],[Seq_Day]])</f>
        <v/>
      </c>
    </row>
    <row r="2683">
      <c r="A2683" s="54" t="n"/>
      <c r="B2683" s="61" t="n"/>
      <c r="C2683" s="58" t="n"/>
      <c r="D2683" s="58" t="n"/>
      <c r="E2683" s="64">
        <f>IF(tblCommentary[[#This Row],[Date]]="","",COUNTIFS(INDEX(tblCommentary[Date],1):tblCommentary[[#This Row],[Date]],tblCommentary[[#This Row],[Date]]))</f>
        <v/>
      </c>
      <c r="F2683" s="63">
        <f>IF(tblCommentary[[#This Row],[Date]]="","",tblCommentary[[#This Row],[Date]]&amp;"|"&amp;tblCommentary[[#This Row],[Seq_Day]])</f>
        <v/>
      </c>
    </row>
    <row r="2684">
      <c r="A2684" s="54" t="n"/>
      <c r="B2684" s="61" t="n"/>
      <c r="C2684" s="58" t="n"/>
      <c r="D2684" s="58" t="n"/>
      <c r="E2684" s="64">
        <f>IF(tblCommentary[[#This Row],[Date]]="","",COUNTIFS(INDEX(tblCommentary[Date],1):tblCommentary[[#This Row],[Date]],tblCommentary[[#This Row],[Date]]))</f>
        <v/>
      </c>
      <c r="F2684" s="63">
        <f>IF(tblCommentary[[#This Row],[Date]]="","",tblCommentary[[#This Row],[Date]]&amp;"|"&amp;tblCommentary[[#This Row],[Seq_Day]])</f>
        <v/>
      </c>
    </row>
    <row r="2685">
      <c r="A2685" s="54" t="n"/>
      <c r="B2685" s="61" t="n"/>
      <c r="C2685" s="58" t="n"/>
      <c r="D2685" s="58" t="n"/>
      <c r="E2685" s="64">
        <f>IF(tblCommentary[[#This Row],[Date]]="","",COUNTIFS(INDEX(tblCommentary[Date],1):tblCommentary[[#This Row],[Date]],tblCommentary[[#This Row],[Date]]))</f>
        <v/>
      </c>
      <c r="F2685" s="63">
        <f>IF(tblCommentary[[#This Row],[Date]]="","",tblCommentary[[#This Row],[Date]]&amp;"|"&amp;tblCommentary[[#This Row],[Seq_Day]])</f>
        <v/>
      </c>
    </row>
    <row r="2686">
      <c r="A2686" s="54" t="n"/>
      <c r="B2686" s="61" t="n"/>
      <c r="C2686" s="58" t="n"/>
      <c r="D2686" s="58" t="n"/>
      <c r="E2686" s="64">
        <f>IF(tblCommentary[[#This Row],[Date]]="","",COUNTIFS(INDEX(tblCommentary[Date],1):tblCommentary[[#This Row],[Date]],tblCommentary[[#This Row],[Date]]))</f>
        <v/>
      </c>
      <c r="F2686" s="63">
        <f>IF(tblCommentary[[#This Row],[Date]]="","",tblCommentary[[#This Row],[Date]]&amp;"|"&amp;tblCommentary[[#This Row],[Seq_Day]])</f>
        <v/>
      </c>
    </row>
    <row r="2687">
      <c r="A2687" s="54" t="n"/>
      <c r="B2687" s="61" t="n"/>
      <c r="C2687" s="58" t="n"/>
      <c r="D2687" s="58" t="n"/>
      <c r="E2687" s="64">
        <f>IF(tblCommentary[[#This Row],[Date]]="","",COUNTIFS(INDEX(tblCommentary[Date],1):tblCommentary[[#This Row],[Date]],tblCommentary[[#This Row],[Date]]))</f>
        <v/>
      </c>
      <c r="F2687" s="63">
        <f>IF(tblCommentary[[#This Row],[Date]]="","",tblCommentary[[#This Row],[Date]]&amp;"|"&amp;tblCommentary[[#This Row],[Seq_Day]])</f>
        <v/>
      </c>
    </row>
    <row r="2688">
      <c r="A2688" s="54" t="n"/>
      <c r="B2688" s="61" t="n"/>
      <c r="C2688" s="58" t="n"/>
      <c r="D2688" s="58" t="n"/>
      <c r="E2688" s="64">
        <f>IF(tblCommentary[[#This Row],[Date]]="","",COUNTIFS(INDEX(tblCommentary[Date],1):tblCommentary[[#This Row],[Date]],tblCommentary[[#This Row],[Date]]))</f>
        <v/>
      </c>
      <c r="F2688" s="63">
        <f>IF(tblCommentary[[#This Row],[Date]]="","",tblCommentary[[#This Row],[Date]]&amp;"|"&amp;tblCommentary[[#This Row],[Seq_Day]])</f>
        <v/>
      </c>
    </row>
    <row r="2689">
      <c r="A2689" s="54" t="n"/>
      <c r="B2689" s="61" t="n"/>
      <c r="C2689" s="58" t="n"/>
      <c r="D2689" s="58" t="n"/>
      <c r="E2689" s="64">
        <f>IF(tblCommentary[[#This Row],[Date]]="","",COUNTIFS(INDEX(tblCommentary[Date],1):tblCommentary[[#This Row],[Date]],tblCommentary[[#This Row],[Date]]))</f>
        <v/>
      </c>
      <c r="F2689" s="63">
        <f>IF(tblCommentary[[#This Row],[Date]]="","",tblCommentary[[#This Row],[Date]]&amp;"|"&amp;tblCommentary[[#This Row],[Seq_Day]])</f>
        <v/>
      </c>
    </row>
    <row r="2690">
      <c r="A2690" s="54" t="n"/>
      <c r="B2690" s="61" t="n"/>
      <c r="C2690" s="58" t="n"/>
      <c r="D2690" s="58" t="n"/>
      <c r="E2690" s="64">
        <f>IF(tblCommentary[[#This Row],[Date]]="","",COUNTIFS(INDEX(tblCommentary[Date],1):tblCommentary[[#This Row],[Date]],tblCommentary[[#This Row],[Date]]))</f>
        <v/>
      </c>
      <c r="F2690" s="63">
        <f>IF(tblCommentary[[#This Row],[Date]]="","",tblCommentary[[#This Row],[Date]]&amp;"|"&amp;tblCommentary[[#This Row],[Seq_Day]])</f>
        <v/>
      </c>
    </row>
    <row r="2691">
      <c r="A2691" s="54" t="n"/>
      <c r="B2691" s="61" t="n"/>
      <c r="C2691" s="58" t="n"/>
      <c r="D2691" s="58" t="n"/>
      <c r="E2691" s="64">
        <f>IF(tblCommentary[[#This Row],[Date]]="","",COUNTIFS(INDEX(tblCommentary[Date],1):tblCommentary[[#This Row],[Date]],tblCommentary[[#This Row],[Date]]))</f>
        <v/>
      </c>
      <c r="F2691" s="63">
        <f>IF(tblCommentary[[#This Row],[Date]]="","",tblCommentary[[#This Row],[Date]]&amp;"|"&amp;tblCommentary[[#This Row],[Seq_Day]])</f>
        <v/>
      </c>
    </row>
    <row r="2692">
      <c r="A2692" s="54" t="n"/>
      <c r="B2692" s="61" t="n"/>
      <c r="C2692" s="58" t="n"/>
      <c r="D2692" s="58" t="n"/>
      <c r="E2692" s="64">
        <f>IF(tblCommentary[[#This Row],[Date]]="","",COUNTIFS(INDEX(tblCommentary[Date],1):tblCommentary[[#This Row],[Date]],tblCommentary[[#This Row],[Date]]))</f>
        <v/>
      </c>
      <c r="F2692" s="63">
        <f>IF(tblCommentary[[#This Row],[Date]]="","",tblCommentary[[#This Row],[Date]]&amp;"|"&amp;tblCommentary[[#This Row],[Seq_Day]])</f>
        <v/>
      </c>
    </row>
    <row r="2693">
      <c r="A2693" s="54" t="n"/>
      <c r="B2693" s="61" t="n"/>
      <c r="C2693" s="58" t="n"/>
      <c r="D2693" s="58" t="n"/>
      <c r="E2693" s="64">
        <f>IF(tblCommentary[[#This Row],[Date]]="","",COUNTIFS(INDEX(tblCommentary[Date],1):tblCommentary[[#This Row],[Date]],tblCommentary[[#This Row],[Date]]))</f>
        <v/>
      </c>
      <c r="F2693" s="63">
        <f>IF(tblCommentary[[#This Row],[Date]]="","",tblCommentary[[#This Row],[Date]]&amp;"|"&amp;tblCommentary[[#This Row],[Seq_Day]])</f>
        <v/>
      </c>
    </row>
    <row r="2694">
      <c r="A2694" s="54" t="n"/>
      <c r="B2694" s="61" t="n"/>
      <c r="C2694" s="58" t="n"/>
      <c r="D2694" s="58" t="n"/>
      <c r="E2694" s="64">
        <f>IF(tblCommentary[[#This Row],[Date]]="","",COUNTIFS(INDEX(tblCommentary[Date],1):tblCommentary[[#This Row],[Date]],tblCommentary[[#This Row],[Date]]))</f>
        <v/>
      </c>
      <c r="F2694" s="63">
        <f>IF(tblCommentary[[#This Row],[Date]]="","",tblCommentary[[#This Row],[Date]]&amp;"|"&amp;tblCommentary[[#This Row],[Seq_Day]])</f>
        <v/>
      </c>
    </row>
    <row r="2695">
      <c r="A2695" s="54" t="n"/>
      <c r="B2695" s="61" t="n"/>
      <c r="C2695" s="58" t="n"/>
      <c r="D2695" s="58" t="n"/>
      <c r="E2695" s="64">
        <f>IF(tblCommentary[[#This Row],[Date]]="","",COUNTIFS(INDEX(tblCommentary[Date],1):tblCommentary[[#This Row],[Date]],tblCommentary[[#This Row],[Date]]))</f>
        <v/>
      </c>
      <c r="F2695" s="63">
        <f>IF(tblCommentary[[#This Row],[Date]]="","",tblCommentary[[#This Row],[Date]]&amp;"|"&amp;tblCommentary[[#This Row],[Seq_Day]])</f>
        <v/>
      </c>
    </row>
    <row r="2696">
      <c r="A2696" s="54" t="n"/>
      <c r="B2696" s="61" t="n"/>
      <c r="C2696" s="58" t="n"/>
      <c r="D2696" s="58" t="n"/>
      <c r="E2696" s="64">
        <f>IF(tblCommentary[[#This Row],[Date]]="","",COUNTIFS(INDEX(tblCommentary[Date],1):tblCommentary[[#This Row],[Date]],tblCommentary[[#This Row],[Date]]))</f>
        <v/>
      </c>
      <c r="F2696" s="63">
        <f>IF(tblCommentary[[#This Row],[Date]]="","",tblCommentary[[#This Row],[Date]]&amp;"|"&amp;tblCommentary[[#This Row],[Seq_Day]])</f>
        <v/>
      </c>
    </row>
    <row r="2697">
      <c r="A2697" s="54" t="n"/>
      <c r="B2697" s="61" t="n"/>
      <c r="C2697" s="58" t="n"/>
      <c r="D2697" s="58" t="n"/>
      <c r="E2697" s="64">
        <f>IF(tblCommentary[[#This Row],[Date]]="","",COUNTIFS(INDEX(tblCommentary[Date],1):tblCommentary[[#This Row],[Date]],tblCommentary[[#This Row],[Date]]))</f>
        <v/>
      </c>
      <c r="F2697" s="63">
        <f>IF(tblCommentary[[#This Row],[Date]]="","",tblCommentary[[#This Row],[Date]]&amp;"|"&amp;tblCommentary[[#This Row],[Seq_Day]])</f>
        <v/>
      </c>
    </row>
    <row r="2698">
      <c r="A2698" s="54" t="n"/>
      <c r="B2698" s="61" t="n"/>
      <c r="C2698" s="58" t="n"/>
      <c r="D2698" s="58" t="n"/>
      <c r="E2698" s="64">
        <f>IF(tblCommentary[[#This Row],[Date]]="","",COUNTIFS(INDEX(tblCommentary[Date],1):tblCommentary[[#This Row],[Date]],tblCommentary[[#This Row],[Date]]))</f>
        <v/>
      </c>
      <c r="F2698" s="63">
        <f>IF(tblCommentary[[#This Row],[Date]]="","",tblCommentary[[#This Row],[Date]]&amp;"|"&amp;tblCommentary[[#This Row],[Seq_Day]])</f>
        <v/>
      </c>
    </row>
    <row r="2699">
      <c r="A2699" s="54" t="n"/>
      <c r="B2699" s="61" t="n"/>
      <c r="C2699" s="58" t="n"/>
      <c r="D2699" s="58" t="n"/>
      <c r="E2699" s="64">
        <f>IF(tblCommentary[[#This Row],[Date]]="","",COUNTIFS(INDEX(tblCommentary[Date],1):tblCommentary[[#This Row],[Date]],tblCommentary[[#This Row],[Date]]))</f>
        <v/>
      </c>
      <c r="F2699" s="63">
        <f>IF(tblCommentary[[#This Row],[Date]]="","",tblCommentary[[#This Row],[Date]]&amp;"|"&amp;tblCommentary[[#This Row],[Seq_Day]])</f>
        <v/>
      </c>
    </row>
    <row r="2700">
      <c r="A2700" s="54" t="n"/>
      <c r="B2700" s="61" t="n"/>
      <c r="C2700" s="58" t="n"/>
      <c r="D2700" s="58" t="n"/>
      <c r="E2700" s="64">
        <f>IF(tblCommentary[[#This Row],[Date]]="","",COUNTIFS(INDEX(tblCommentary[Date],1):tblCommentary[[#This Row],[Date]],tblCommentary[[#This Row],[Date]]))</f>
        <v/>
      </c>
      <c r="F2700" s="63">
        <f>IF(tblCommentary[[#This Row],[Date]]="","",tblCommentary[[#This Row],[Date]]&amp;"|"&amp;tblCommentary[[#This Row],[Seq_Day]])</f>
        <v/>
      </c>
    </row>
    <row r="2701">
      <c r="A2701" s="54" t="n"/>
      <c r="B2701" s="61" t="n"/>
      <c r="C2701" s="58" t="n"/>
      <c r="D2701" s="58" t="n"/>
      <c r="E2701" s="64">
        <f>IF(tblCommentary[[#This Row],[Date]]="","",COUNTIFS(INDEX(tblCommentary[Date],1):tblCommentary[[#This Row],[Date]],tblCommentary[[#This Row],[Date]]))</f>
        <v/>
      </c>
      <c r="F2701" s="63">
        <f>IF(tblCommentary[[#This Row],[Date]]="","",tblCommentary[[#This Row],[Date]]&amp;"|"&amp;tblCommentary[[#This Row],[Seq_Day]])</f>
        <v/>
      </c>
    </row>
    <row r="2702">
      <c r="A2702" s="54" t="n"/>
      <c r="B2702" s="61" t="n"/>
      <c r="C2702" s="58" t="n"/>
      <c r="D2702" s="58" t="n"/>
      <c r="E2702" s="64">
        <f>IF(tblCommentary[[#This Row],[Date]]="","",COUNTIFS(INDEX(tblCommentary[Date],1):tblCommentary[[#This Row],[Date]],tblCommentary[[#This Row],[Date]]))</f>
        <v/>
      </c>
      <c r="F2702" s="63">
        <f>IF(tblCommentary[[#This Row],[Date]]="","",tblCommentary[[#This Row],[Date]]&amp;"|"&amp;tblCommentary[[#This Row],[Seq_Day]])</f>
        <v/>
      </c>
    </row>
    <row r="2703">
      <c r="A2703" s="54" t="n"/>
      <c r="B2703" s="61" t="n"/>
      <c r="C2703" s="58" t="n"/>
      <c r="D2703" s="58" t="n"/>
      <c r="E2703" s="64">
        <f>IF(tblCommentary[[#This Row],[Date]]="","",COUNTIFS(INDEX(tblCommentary[Date],1):tblCommentary[[#This Row],[Date]],tblCommentary[[#This Row],[Date]]))</f>
        <v/>
      </c>
      <c r="F2703" s="63">
        <f>IF(tblCommentary[[#This Row],[Date]]="","",tblCommentary[[#This Row],[Date]]&amp;"|"&amp;tblCommentary[[#This Row],[Seq_Day]])</f>
        <v/>
      </c>
    </row>
    <row r="2704">
      <c r="A2704" s="54" t="n"/>
      <c r="B2704" s="61" t="n"/>
      <c r="C2704" s="58" t="n"/>
      <c r="D2704" s="58" t="n"/>
      <c r="E2704" s="64">
        <f>IF(tblCommentary[[#This Row],[Date]]="","",COUNTIFS(INDEX(tblCommentary[Date],1):tblCommentary[[#This Row],[Date]],tblCommentary[[#This Row],[Date]]))</f>
        <v/>
      </c>
      <c r="F2704" s="63">
        <f>IF(tblCommentary[[#This Row],[Date]]="","",tblCommentary[[#This Row],[Date]]&amp;"|"&amp;tblCommentary[[#This Row],[Seq_Day]])</f>
        <v/>
      </c>
    </row>
    <row r="2705">
      <c r="A2705" s="54" t="n"/>
      <c r="B2705" s="61" t="n"/>
      <c r="C2705" s="58" t="n"/>
      <c r="D2705" s="58" t="n"/>
      <c r="E2705" s="64">
        <f>IF(tblCommentary[[#This Row],[Date]]="","",COUNTIFS(INDEX(tblCommentary[Date],1):tblCommentary[[#This Row],[Date]],tblCommentary[[#This Row],[Date]]))</f>
        <v/>
      </c>
      <c r="F2705" s="63">
        <f>IF(tblCommentary[[#This Row],[Date]]="","",tblCommentary[[#This Row],[Date]]&amp;"|"&amp;tblCommentary[[#This Row],[Seq_Day]])</f>
        <v/>
      </c>
    </row>
    <row r="2706">
      <c r="A2706" s="54" t="n"/>
      <c r="B2706" s="61" t="n"/>
      <c r="C2706" s="58" t="n"/>
      <c r="D2706" s="58" t="n"/>
      <c r="E2706" s="64">
        <f>IF(tblCommentary[[#This Row],[Date]]="","",COUNTIFS(INDEX(tblCommentary[Date],1):tblCommentary[[#This Row],[Date]],tblCommentary[[#This Row],[Date]]))</f>
        <v/>
      </c>
      <c r="F2706" s="63">
        <f>IF(tblCommentary[[#This Row],[Date]]="","",tblCommentary[[#This Row],[Date]]&amp;"|"&amp;tblCommentary[[#This Row],[Seq_Day]])</f>
        <v/>
      </c>
    </row>
    <row r="2707">
      <c r="A2707" s="54" t="n"/>
      <c r="B2707" s="61" t="n"/>
      <c r="C2707" s="58" t="n"/>
      <c r="D2707" s="58" t="n"/>
      <c r="E2707" s="64">
        <f>IF(tblCommentary[[#This Row],[Date]]="","",COUNTIFS(INDEX(tblCommentary[Date],1):tblCommentary[[#This Row],[Date]],tblCommentary[[#This Row],[Date]]))</f>
        <v/>
      </c>
      <c r="F2707" s="63">
        <f>IF(tblCommentary[[#This Row],[Date]]="","",tblCommentary[[#This Row],[Date]]&amp;"|"&amp;tblCommentary[[#This Row],[Seq_Day]])</f>
        <v/>
      </c>
    </row>
    <row r="2708">
      <c r="A2708" s="54" t="n"/>
      <c r="B2708" s="61" t="n"/>
      <c r="C2708" s="58" t="n"/>
      <c r="D2708" s="58" t="n"/>
      <c r="E2708" s="64">
        <f>IF(tblCommentary[[#This Row],[Date]]="","",COUNTIFS(INDEX(tblCommentary[Date],1):tblCommentary[[#This Row],[Date]],tblCommentary[[#This Row],[Date]]))</f>
        <v/>
      </c>
      <c r="F2708" s="63">
        <f>IF(tblCommentary[[#This Row],[Date]]="","",tblCommentary[[#This Row],[Date]]&amp;"|"&amp;tblCommentary[[#This Row],[Seq_Day]])</f>
        <v/>
      </c>
    </row>
    <row r="2709">
      <c r="A2709" s="54" t="n"/>
      <c r="B2709" s="61" t="n"/>
      <c r="C2709" s="58" t="n"/>
      <c r="D2709" s="58" t="n"/>
      <c r="E2709" s="64">
        <f>IF(tblCommentary[[#This Row],[Date]]="","",COUNTIFS(INDEX(tblCommentary[Date],1):tblCommentary[[#This Row],[Date]],tblCommentary[[#This Row],[Date]]))</f>
        <v/>
      </c>
      <c r="F2709" s="63">
        <f>IF(tblCommentary[[#This Row],[Date]]="","",tblCommentary[[#This Row],[Date]]&amp;"|"&amp;tblCommentary[[#This Row],[Seq_Day]])</f>
        <v/>
      </c>
    </row>
    <row r="2710">
      <c r="A2710" s="54" t="n"/>
      <c r="B2710" s="61" t="n"/>
      <c r="C2710" s="58" t="n"/>
      <c r="D2710" s="58" t="n"/>
      <c r="E2710" s="64">
        <f>IF(tblCommentary[[#This Row],[Date]]="","",COUNTIFS(INDEX(tblCommentary[Date],1):tblCommentary[[#This Row],[Date]],tblCommentary[[#This Row],[Date]]))</f>
        <v/>
      </c>
      <c r="F2710" s="63">
        <f>IF(tblCommentary[[#This Row],[Date]]="","",tblCommentary[[#This Row],[Date]]&amp;"|"&amp;tblCommentary[[#This Row],[Seq_Day]])</f>
        <v/>
      </c>
    </row>
    <row r="2711">
      <c r="A2711" s="54" t="n"/>
      <c r="B2711" s="61" t="n"/>
      <c r="C2711" s="58" t="n"/>
      <c r="D2711" s="58" t="n"/>
      <c r="E2711" s="64">
        <f>IF(tblCommentary[[#This Row],[Date]]="","",COUNTIFS(INDEX(tblCommentary[Date],1):tblCommentary[[#This Row],[Date]],tblCommentary[[#This Row],[Date]]))</f>
        <v/>
      </c>
      <c r="F2711" s="63">
        <f>IF(tblCommentary[[#This Row],[Date]]="","",tblCommentary[[#This Row],[Date]]&amp;"|"&amp;tblCommentary[[#This Row],[Seq_Day]])</f>
        <v/>
      </c>
    </row>
    <row r="2712">
      <c r="A2712" s="54" t="n"/>
      <c r="B2712" s="61" t="n"/>
      <c r="C2712" s="58" t="n"/>
      <c r="D2712" s="58" t="n"/>
      <c r="E2712" s="64">
        <f>IF(tblCommentary[[#This Row],[Date]]="","",COUNTIFS(INDEX(tblCommentary[Date],1):tblCommentary[[#This Row],[Date]],tblCommentary[[#This Row],[Date]]))</f>
        <v/>
      </c>
      <c r="F2712" s="63">
        <f>IF(tblCommentary[[#This Row],[Date]]="","",tblCommentary[[#This Row],[Date]]&amp;"|"&amp;tblCommentary[[#This Row],[Seq_Day]])</f>
        <v/>
      </c>
    </row>
    <row r="2713">
      <c r="A2713" s="54" t="n"/>
      <c r="B2713" s="61" t="n"/>
      <c r="C2713" s="58" t="n"/>
      <c r="D2713" s="58" t="n"/>
      <c r="E2713" s="64">
        <f>IF(tblCommentary[[#This Row],[Date]]="","",COUNTIFS(INDEX(tblCommentary[Date],1):tblCommentary[[#This Row],[Date]],tblCommentary[[#This Row],[Date]]))</f>
        <v/>
      </c>
      <c r="F2713" s="63">
        <f>IF(tblCommentary[[#This Row],[Date]]="","",tblCommentary[[#This Row],[Date]]&amp;"|"&amp;tblCommentary[[#This Row],[Seq_Day]])</f>
        <v/>
      </c>
    </row>
    <row r="2714">
      <c r="A2714" s="54" t="n"/>
      <c r="B2714" s="61" t="n"/>
      <c r="C2714" s="58" t="n"/>
      <c r="D2714" s="58" t="n"/>
      <c r="E2714" s="64">
        <f>IF(tblCommentary[[#This Row],[Date]]="","",COUNTIFS(INDEX(tblCommentary[Date],1):tblCommentary[[#This Row],[Date]],tblCommentary[[#This Row],[Date]]))</f>
        <v/>
      </c>
      <c r="F2714" s="63">
        <f>IF(tblCommentary[[#This Row],[Date]]="","",tblCommentary[[#This Row],[Date]]&amp;"|"&amp;tblCommentary[[#This Row],[Seq_Day]])</f>
        <v/>
      </c>
    </row>
    <row r="2715">
      <c r="A2715" s="54" t="n"/>
      <c r="B2715" s="61" t="n"/>
      <c r="C2715" s="58" t="n"/>
      <c r="D2715" s="58" t="n"/>
      <c r="E2715" s="64">
        <f>IF(tblCommentary[[#This Row],[Date]]="","",COUNTIFS(INDEX(tblCommentary[Date],1):tblCommentary[[#This Row],[Date]],tblCommentary[[#This Row],[Date]]))</f>
        <v/>
      </c>
      <c r="F2715" s="63">
        <f>IF(tblCommentary[[#This Row],[Date]]="","",tblCommentary[[#This Row],[Date]]&amp;"|"&amp;tblCommentary[[#This Row],[Seq_Day]])</f>
        <v/>
      </c>
    </row>
    <row r="2716">
      <c r="A2716" s="54" t="n"/>
      <c r="B2716" s="61" t="n"/>
      <c r="C2716" s="58" t="n"/>
      <c r="D2716" s="58" t="n"/>
      <c r="E2716" s="64">
        <f>IF(tblCommentary[[#This Row],[Date]]="","",COUNTIFS(INDEX(tblCommentary[Date],1):tblCommentary[[#This Row],[Date]],tblCommentary[[#This Row],[Date]]))</f>
        <v/>
      </c>
      <c r="F2716" s="63">
        <f>IF(tblCommentary[[#This Row],[Date]]="","",tblCommentary[[#This Row],[Date]]&amp;"|"&amp;tblCommentary[[#This Row],[Seq_Day]])</f>
        <v/>
      </c>
    </row>
    <row r="2717">
      <c r="A2717" s="54" t="n"/>
      <c r="B2717" s="61" t="n"/>
      <c r="C2717" s="58" t="n"/>
      <c r="D2717" s="58" t="n"/>
      <c r="E2717" s="64">
        <f>IF(tblCommentary[[#This Row],[Date]]="","",COUNTIFS(INDEX(tblCommentary[Date],1):tblCommentary[[#This Row],[Date]],tblCommentary[[#This Row],[Date]]))</f>
        <v/>
      </c>
      <c r="F2717" s="63">
        <f>IF(tblCommentary[[#This Row],[Date]]="","",tblCommentary[[#This Row],[Date]]&amp;"|"&amp;tblCommentary[[#This Row],[Seq_Day]])</f>
        <v/>
      </c>
    </row>
    <row r="2718">
      <c r="A2718" s="54" t="n"/>
      <c r="B2718" s="61" t="n"/>
      <c r="C2718" s="58" t="n"/>
      <c r="D2718" s="58" t="n"/>
      <c r="E2718" s="64">
        <f>IF(tblCommentary[[#This Row],[Date]]="","",COUNTIFS(INDEX(tblCommentary[Date],1):tblCommentary[[#This Row],[Date]],tblCommentary[[#This Row],[Date]]))</f>
        <v/>
      </c>
      <c r="F2718" s="63">
        <f>IF(tblCommentary[[#This Row],[Date]]="","",tblCommentary[[#This Row],[Date]]&amp;"|"&amp;tblCommentary[[#This Row],[Seq_Day]])</f>
        <v/>
      </c>
    </row>
    <row r="2719">
      <c r="A2719" s="54" t="n"/>
      <c r="B2719" s="61" t="n"/>
      <c r="C2719" s="58" t="n"/>
      <c r="D2719" s="58" t="n"/>
      <c r="E2719" s="64">
        <f>IF(tblCommentary[[#This Row],[Date]]="","",COUNTIFS(INDEX(tblCommentary[Date],1):tblCommentary[[#This Row],[Date]],tblCommentary[[#This Row],[Date]]))</f>
        <v/>
      </c>
      <c r="F2719" s="63">
        <f>IF(tblCommentary[[#This Row],[Date]]="","",tblCommentary[[#This Row],[Date]]&amp;"|"&amp;tblCommentary[[#This Row],[Seq_Day]])</f>
        <v/>
      </c>
    </row>
    <row r="2720">
      <c r="A2720" s="54" t="n"/>
      <c r="B2720" s="61" t="n"/>
      <c r="C2720" s="58" t="n"/>
      <c r="D2720" s="58" t="n"/>
      <c r="E2720" s="64">
        <f>IF(tblCommentary[[#This Row],[Date]]="","",COUNTIFS(INDEX(tblCommentary[Date],1):tblCommentary[[#This Row],[Date]],tblCommentary[[#This Row],[Date]]))</f>
        <v/>
      </c>
      <c r="F2720" s="63">
        <f>IF(tblCommentary[[#This Row],[Date]]="","",tblCommentary[[#This Row],[Date]]&amp;"|"&amp;tblCommentary[[#This Row],[Seq_Day]])</f>
        <v/>
      </c>
    </row>
    <row r="2721">
      <c r="A2721" s="54" t="n"/>
      <c r="B2721" s="61" t="n"/>
      <c r="C2721" s="58" t="n"/>
      <c r="D2721" s="58" t="n"/>
      <c r="E2721" s="64">
        <f>IF(tblCommentary[[#This Row],[Date]]="","",COUNTIFS(INDEX(tblCommentary[Date],1):tblCommentary[[#This Row],[Date]],tblCommentary[[#This Row],[Date]]))</f>
        <v/>
      </c>
      <c r="F2721" s="63">
        <f>IF(tblCommentary[[#This Row],[Date]]="","",tblCommentary[[#This Row],[Date]]&amp;"|"&amp;tblCommentary[[#This Row],[Seq_Day]])</f>
        <v/>
      </c>
    </row>
    <row r="2722">
      <c r="A2722" s="54" t="n"/>
      <c r="B2722" s="61" t="n"/>
      <c r="C2722" s="58" t="n"/>
      <c r="D2722" s="58" t="n"/>
      <c r="E2722" s="64">
        <f>IF(tblCommentary[[#This Row],[Date]]="","",COUNTIFS(INDEX(tblCommentary[Date],1):tblCommentary[[#This Row],[Date]],tblCommentary[[#This Row],[Date]]))</f>
        <v/>
      </c>
      <c r="F2722" s="63">
        <f>IF(tblCommentary[[#This Row],[Date]]="","",tblCommentary[[#This Row],[Date]]&amp;"|"&amp;tblCommentary[[#This Row],[Seq_Day]])</f>
        <v/>
      </c>
    </row>
    <row r="2723">
      <c r="A2723" s="54" t="n"/>
      <c r="B2723" s="61" t="n"/>
      <c r="C2723" s="58" t="n"/>
      <c r="D2723" s="58" t="n"/>
      <c r="E2723" s="64">
        <f>IF(tblCommentary[[#This Row],[Date]]="","",COUNTIFS(INDEX(tblCommentary[Date],1):tblCommentary[[#This Row],[Date]],tblCommentary[[#This Row],[Date]]))</f>
        <v/>
      </c>
      <c r="F2723" s="63">
        <f>IF(tblCommentary[[#This Row],[Date]]="","",tblCommentary[[#This Row],[Date]]&amp;"|"&amp;tblCommentary[[#This Row],[Seq_Day]])</f>
        <v/>
      </c>
    </row>
    <row r="2724">
      <c r="A2724" s="54" t="n"/>
      <c r="B2724" s="61" t="n"/>
      <c r="C2724" s="58" t="n"/>
      <c r="D2724" s="58" t="n"/>
      <c r="E2724" s="64">
        <f>IF(tblCommentary[[#This Row],[Date]]="","",COUNTIFS(INDEX(tblCommentary[Date],1):tblCommentary[[#This Row],[Date]],tblCommentary[[#This Row],[Date]]))</f>
        <v/>
      </c>
      <c r="F2724" s="63">
        <f>IF(tblCommentary[[#This Row],[Date]]="","",tblCommentary[[#This Row],[Date]]&amp;"|"&amp;tblCommentary[[#This Row],[Seq_Day]])</f>
        <v/>
      </c>
    </row>
    <row r="2725">
      <c r="A2725" s="54" t="n"/>
      <c r="B2725" s="61" t="n"/>
      <c r="C2725" s="58" t="n"/>
      <c r="D2725" s="58" t="n"/>
      <c r="E2725" s="64">
        <f>IF(tblCommentary[[#This Row],[Date]]="","",COUNTIFS(INDEX(tblCommentary[Date],1):tblCommentary[[#This Row],[Date]],tblCommentary[[#This Row],[Date]]))</f>
        <v/>
      </c>
      <c r="F2725" s="63">
        <f>IF(tblCommentary[[#This Row],[Date]]="","",tblCommentary[[#This Row],[Date]]&amp;"|"&amp;tblCommentary[[#This Row],[Seq_Day]])</f>
        <v/>
      </c>
    </row>
    <row r="2726">
      <c r="A2726" s="54" t="n"/>
      <c r="B2726" s="61" t="n"/>
      <c r="C2726" s="58" t="n"/>
      <c r="D2726" s="58" t="n"/>
      <c r="E2726" s="64">
        <f>IF(tblCommentary[[#This Row],[Date]]="","",COUNTIFS(INDEX(tblCommentary[Date],1):tblCommentary[[#This Row],[Date]],tblCommentary[[#This Row],[Date]]))</f>
        <v/>
      </c>
      <c r="F2726" s="63">
        <f>IF(tblCommentary[[#This Row],[Date]]="","",tblCommentary[[#This Row],[Date]]&amp;"|"&amp;tblCommentary[[#This Row],[Seq_Day]])</f>
        <v/>
      </c>
    </row>
    <row r="2727">
      <c r="A2727" s="54" t="n"/>
      <c r="B2727" s="61" t="n"/>
      <c r="C2727" s="58" t="n"/>
      <c r="D2727" s="58" t="n"/>
      <c r="E2727" s="64">
        <f>IF(tblCommentary[[#This Row],[Date]]="","",COUNTIFS(INDEX(tblCommentary[Date],1):tblCommentary[[#This Row],[Date]],tblCommentary[[#This Row],[Date]]))</f>
        <v/>
      </c>
      <c r="F2727" s="63">
        <f>IF(tblCommentary[[#This Row],[Date]]="","",tblCommentary[[#This Row],[Date]]&amp;"|"&amp;tblCommentary[[#This Row],[Seq_Day]])</f>
        <v/>
      </c>
    </row>
    <row r="2728">
      <c r="A2728" s="54" t="n"/>
      <c r="B2728" s="61" t="n"/>
      <c r="C2728" s="58" t="n"/>
      <c r="D2728" s="58" t="n"/>
      <c r="E2728" s="64">
        <f>IF(tblCommentary[[#This Row],[Date]]="","",COUNTIFS(INDEX(tblCommentary[Date],1):tblCommentary[[#This Row],[Date]],tblCommentary[[#This Row],[Date]]))</f>
        <v/>
      </c>
      <c r="F2728" s="63">
        <f>IF(tblCommentary[[#This Row],[Date]]="","",tblCommentary[[#This Row],[Date]]&amp;"|"&amp;tblCommentary[[#This Row],[Seq_Day]])</f>
        <v/>
      </c>
    </row>
    <row r="2729">
      <c r="A2729" s="54" t="n"/>
      <c r="B2729" s="61" t="n"/>
      <c r="C2729" s="58" t="n"/>
      <c r="D2729" s="58" t="n"/>
      <c r="E2729" s="64">
        <f>IF(tblCommentary[[#This Row],[Date]]="","",COUNTIFS(INDEX(tblCommentary[Date],1):tblCommentary[[#This Row],[Date]],tblCommentary[[#This Row],[Date]]))</f>
        <v/>
      </c>
      <c r="F2729" s="63">
        <f>IF(tblCommentary[[#This Row],[Date]]="","",tblCommentary[[#This Row],[Date]]&amp;"|"&amp;tblCommentary[[#This Row],[Seq_Day]])</f>
        <v/>
      </c>
    </row>
    <row r="2730">
      <c r="A2730" s="54" t="n"/>
      <c r="B2730" s="61" t="n"/>
      <c r="C2730" s="58" t="n"/>
      <c r="D2730" s="58" t="n"/>
      <c r="E2730" s="64">
        <f>IF(tblCommentary[[#This Row],[Date]]="","",COUNTIFS(INDEX(tblCommentary[Date],1):tblCommentary[[#This Row],[Date]],tblCommentary[[#This Row],[Date]]))</f>
        <v/>
      </c>
      <c r="F2730" s="63">
        <f>IF(tblCommentary[[#This Row],[Date]]="","",tblCommentary[[#This Row],[Date]]&amp;"|"&amp;tblCommentary[[#This Row],[Seq_Day]])</f>
        <v/>
      </c>
    </row>
    <row r="2731">
      <c r="A2731" s="54" t="n"/>
      <c r="B2731" s="61" t="n"/>
      <c r="C2731" s="58" t="n"/>
      <c r="D2731" s="58" t="n"/>
      <c r="E2731" s="64">
        <f>IF(tblCommentary[[#This Row],[Date]]="","",COUNTIFS(INDEX(tblCommentary[Date],1):tblCommentary[[#This Row],[Date]],tblCommentary[[#This Row],[Date]]))</f>
        <v/>
      </c>
      <c r="F2731" s="63">
        <f>IF(tblCommentary[[#This Row],[Date]]="","",tblCommentary[[#This Row],[Date]]&amp;"|"&amp;tblCommentary[[#This Row],[Seq_Day]])</f>
        <v/>
      </c>
    </row>
    <row r="2732">
      <c r="A2732" s="54" t="n"/>
      <c r="B2732" s="61" t="n"/>
      <c r="C2732" s="58" t="n"/>
      <c r="D2732" s="58" t="n"/>
      <c r="E2732" s="64">
        <f>IF(tblCommentary[[#This Row],[Date]]="","",COUNTIFS(INDEX(tblCommentary[Date],1):tblCommentary[[#This Row],[Date]],tblCommentary[[#This Row],[Date]]))</f>
        <v/>
      </c>
      <c r="F2732" s="63">
        <f>IF(tblCommentary[[#This Row],[Date]]="","",tblCommentary[[#This Row],[Date]]&amp;"|"&amp;tblCommentary[[#This Row],[Seq_Day]])</f>
        <v/>
      </c>
    </row>
    <row r="2733">
      <c r="A2733" s="54" t="n"/>
      <c r="B2733" s="61" t="n"/>
      <c r="C2733" s="58" t="n"/>
      <c r="D2733" s="58" t="n"/>
      <c r="E2733" s="64">
        <f>IF(tblCommentary[[#This Row],[Date]]="","",COUNTIFS(INDEX(tblCommentary[Date],1):tblCommentary[[#This Row],[Date]],tblCommentary[[#This Row],[Date]]))</f>
        <v/>
      </c>
      <c r="F2733" s="63">
        <f>IF(tblCommentary[[#This Row],[Date]]="","",tblCommentary[[#This Row],[Date]]&amp;"|"&amp;tblCommentary[[#This Row],[Seq_Day]])</f>
        <v/>
      </c>
    </row>
    <row r="2734">
      <c r="A2734" s="54" t="n"/>
      <c r="B2734" s="61" t="n"/>
      <c r="C2734" s="58" t="n"/>
      <c r="D2734" s="58" t="n"/>
      <c r="E2734" s="64">
        <f>IF(tblCommentary[[#This Row],[Date]]="","",COUNTIFS(INDEX(tblCommentary[Date],1):tblCommentary[[#This Row],[Date]],tblCommentary[[#This Row],[Date]]))</f>
        <v/>
      </c>
      <c r="F2734" s="63">
        <f>IF(tblCommentary[[#This Row],[Date]]="","",tblCommentary[[#This Row],[Date]]&amp;"|"&amp;tblCommentary[[#This Row],[Seq_Day]])</f>
        <v/>
      </c>
    </row>
    <row r="2735">
      <c r="A2735" s="54" t="n"/>
      <c r="B2735" s="61" t="n"/>
      <c r="C2735" s="58" t="n"/>
      <c r="D2735" s="58" t="n"/>
      <c r="E2735" s="64">
        <f>IF(tblCommentary[[#This Row],[Date]]="","",COUNTIFS(INDEX(tblCommentary[Date],1):tblCommentary[[#This Row],[Date]],tblCommentary[[#This Row],[Date]]))</f>
        <v/>
      </c>
      <c r="F2735" s="63">
        <f>IF(tblCommentary[[#This Row],[Date]]="","",tblCommentary[[#This Row],[Date]]&amp;"|"&amp;tblCommentary[[#This Row],[Seq_Day]])</f>
        <v/>
      </c>
    </row>
    <row r="2736">
      <c r="A2736" s="54" t="n"/>
      <c r="B2736" s="61" t="n"/>
      <c r="C2736" s="58" t="n"/>
      <c r="D2736" s="58" t="n"/>
      <c r="E2736" s="64">
        <f>IF(tblCommentary[[#This Row],[Date]]="","",COUNTIFS(INDEX(tblCommentary[Date],1):tblCommentary[[#This Row],[Date]],tblCommentary[[#This Row],[Date]]))</f>
        <v/>
      </c>
      <c r="F2736" s="63">
        <f>IF(tblCommentary[[#This Row],[Date]]="","",tblCommentary[[#This Row],[Date]]&amp;"|"&amp;tblCommentary[[#This Row],[Seq_Day]])</f>
        <v/>
      </c>
    </row>
    <row r="2737">
      <c r="A2737" s="54" t="n"/>
      <c r="B2737" s="61" t="n"/>
      <c r="C2737" s="58" t="n"/>
      <c r="D2737" s="58" t="n"/>
      <c r="E2737" s="64">
        <f>IF(tblCommentary[[#This Row],[Date]]="","",COUNTIFS(INDEX(tblCommentary[Date],1):tblCommentary[[#This Row],[Date]],tblCommentary[[#This Row],[Date]]))</f>
        <v/>
      </c>
      <c r="F2737" s="63">
        <f>IF(tblCommentary[[#This Row],[Date]]="","",tblCommentary[[#This Row],[Date]]&amp;"|"&amp;tblCommentary[[#This Row],[Seq_Day]])</f>
        <v/>
      </c>
    </row>
    <row r="2738">
      <c r="A2738" s="54" t="n"/>
      <c r="B2738" s="61" t="n"/>
      <c r="C2738" s="58" t="n"/>
      <c r="D2738" s="58" t="n"/>
      <c r="E2738" s="64">
        <f>IF(tblCommentary[[#This Row],[Date]]="","",COUNTIFS(INDEX(tblCommentary[Date],1):tblCommentary[[#This Row],[Date]],tblCommentary[[#This Row],[Date]]))</f>
        <v/>
      </c>
      <c r="F2738" s="63">
        <f>IF(tblCommentary[[#This Row],[Date]]="","",tblCommentary[[#This Row],[Date]]&amp;"|"&amp;tblCommentary[[#This Row],[Seq_Day]])</f>
        <v/>
      </c>
    </row>
    <row r="2739">
      <c r="A2739" s="54" t="n"/>
      <c r="B2739" s="61" t="n"/>
      <c r="C2739" s="58" t="n"/>
      <c r="D2739" s="58" t="n"/>
      <c r="E2739" s="64">
        <f>IF(tblCommentary[[#This Row],[Date]]="","",COUNTIFS(INDEX(tblCommentary[Date],1):tblCommentary[[#This Row],[Date]],tblCommentary[[#This Row],[Date]]))</f>
        <v/>
      </c>
      <c r="F2739" s="63">
        <f>IF(tblCommentary[[#This Row],[Date]]="","",tblCommentary[[#This Row],[Date]]&amp;"|"&amp;tblCommentary[[#This Row],[Seq_Day]])</f>
        <v/>
      </c>
    </row>
    <row r="2740">
      <c r="A2740" s="54" t="n"/>
      <c r="B2740" s="61" t="n"/>
      <c r="C2740" s="58" t="n"/>
      <c r="D2740" s="58" t="n"/>
      <c r="E2740" s="64">
        <f>IF(tblCommentary[[#This Row],[Date]]="","",COUNTIFS(INDEX(tblCommentary[Date],1):tblCommentary[[#This Row],[Date]],tblCommentary[[#This Row],[Date]]))</f>
        <v/>
      </c>
      <c r="F2740" s="63">
        <f>IF(tblCommentary[[#This Row],[Date]]="","",tblCommentary[[#This Row],[Date]]&amp;"|"&amp;tblCommentary[[#This Row],[Seq_Day]])</f>
        <v/>
      </c>
    </row>
    <row r="2741">
      <c r="A2741" s="54" t="n"/>
      <c r="B2741" s="61" t="n"/>
      <c r="C2741" s="58" t="n"/>
      <c r="D2741" s="58" t="n"/>
      <c r="E2741" s="64">
        <f>IF(tblCommentary[[#This Row],[Date]]="","",COUNTIFS(INDEX(tblCommentary[Date],1):tblCommentary[[#This Row],[Date]],tblCommentary[[#This Row],[Date]]))</f>
        <v/>
      </c>
      <c r="F2741" s="63">
        <f>IF(tblCommentary[[#This Row],[Date]]="","",tblCommentary[[#This Row],[Date]]&amp;"|"&amp;tblCommentary[[#This Row],[Seq_Day]])</f>
        <v/>
      </c>
    </row>
    <row r="2742">
      <c r="A2742" s="54" t="n"/>
      <c r="B2742" s="61" t="n"/>
      <c r="C2742" s="58" t="n"/>
      <c r="D2742" s="58" t="n"/>
      <c r="E2742" s="64">
        <f>IF(tblCommentary[[#This Row],[Date]]="","",COUNTIFS(INDEX(tblCommentary[Date],1):tblCommentary[[#This Row],[Date]],tblCommentary[[#This Row],[Date]]))</f>
        <v/>
      </c>
      <c r="F2742" s="63">
        <f>IF(tblCommentary[[#This Row],[Date]]="","",tblCommentary[[#This Row],[Date]]&amp;"|"&amp;tblCommentary[[#This Row],[Seq_Day]])</f>
        <v/>
      </c>
    </row>
    <row r="2743">
      <c r="A2743" s="54" t="n"/>
      <c r="B2743" s="61" t="n"/>
      <c r="C2743" s="58" t="n"/>
      <c r="D2743" s="58" t="n"/>
      <c r="E2743" s="64">
        <f>IF(tblCommentary[[#This Row],[Date]]="","",COUNTIFS(INDEX(tblCommentary[Date],1):tblCommentary[[#This Row],[Date]],tblCommentary[[#This Row],[Date]]))</f>
        <v/>
      </c>
      <c r="F2743" s="63">
        <f>IF(tblCommentary[[#This Row],[Date]]="","",tblCommentary[[#This Row],[Date]]&amp;"|"&amp;tblCommentary[[#This Row],[Seq_Day]])</f>
        <v/>
      </c>
    </row>
    <row r="2744">
      <c r="A2744" s="54" t="n"/>
      <c r="B2744" s="61" t="n"/>
      <c r="C2744" s="58" t="n"/>
      <c r="D2744" s="58" t="n"/>
      <c r="E2744" s="64">
        <f>IF(tblCommentary[[#This Row],[Date]]="","",COUNTIFS(INDEX(tblCommentary[Date],1):tblCommentary[[#This Row],[Date]],tblCommentary[[#This Row],[Date]]))</f>
        <v/>
      </c>
      <c r="F2744" s="63">
        <f>IF(tblCommentary[[#This Row],[Date]]="","",tblCommentary[[#This Row],[Date]]&amp;"|"&amp;tblCommentary[[#This Row],[Seq_Day]])</f>
        <v/>
      </c>
    </row>
    <row r="2745">
      <c r="A2745" s="54" t="n"/>
      <c r="B2745" s="61" t="n"/>
      <c r="C2745" s="58" t="n"/>
      <c r="D2745" s="58" t="n"/>
      <c r="E2745" s="64">
        <f>IF(tblCommentary[[#This Row],[Date]]="","",COUNTIFS(INDEX(tblCommentary[Date],1):tblCommentary[[#This Row],[Date]],tblCommentary[[#This Row],[Date]]))</f>
        <v/>
      </c>
      <c r="F2745" s="63">
        <f>IF(tblCommentary[[#This Row],[Date]]="","",tblCommentary[[#This Row],[Date]]&amp;"|"&amp;tblCommentary[[#This Row],[Seq_Day]])</f>
        <v/>
      </c>
    </row>
    <row r="2746">
      <c r="A2746" s="54" t="n"/>
      <c r="B2746" s="61" t="n"/>
      <c r="C2746" s="58" t="n"/>
      <c r="D2746" s="58" t="n"/>
      <c r="E2746" s="64">
        <f>IF(tblCommentary[[#This Row],[Date]]="","",COUNTIFS(INDEX(tblCommentary[Date],1):tblCommentary[[#This Row],[Date]],tblCommentary[[#This Row],[Date]]))</f>
        <v/>
      </c>
      <c r="F2746" s="63">
        <f>IF(tblCommentary[[#This Row],[Date]]="","",tblCommentary[[#This Row],[Date]]&amp;"|"&amp;tblCommentary[[#This Row],[Seq_Day]])</f>
        <v/>
      </c>
    </row>
    <row r="2747">
      <c r="A2747" s="54" t="n"/>
      <c r="B2747" s="61" t="n"/>
      <c r="C2747" s="58" t="n"/>
      <c r="D2747" s="58" t="n"/>
      <c r="E2747" s="64">
        <f>IF(tblCommentary[[#This Row],[Date]]="","",COUNTIFS(INDEX(tblCommentary[Date],1):tblCommentary[[#This Row],[Date]],tblCommentary[[#This Row],[Date]]))</f>
        <v/>
      </c>
      <c r="F2747" s="63">
        <f>IF(tblCommentary[[#This Row],[Date]]="","",tblCommentary[[#This Row],[Date]]&amp;"|"&amp;tblCommentary[[#This Row],[Seq_Day]])</f>
        <v/>
      </c>
    </row>
    <row r="2748">
      <c r="A2748" s="54" t="n"/>
      <c r="B2748" s="61" t="n"/>
      <c r="C2748" s="58" t="n"/>
      <c r="D2748" s="58" t="n"/>
      <c r="E2748" s="64">
        <f>IF(tblCommentary[[#This Row],[Date]]="","",COUNTIFS(INDEX(tblCommentary[Date],1):tblCommentary[[#This Row],[Date]],tblCommentary[[#This Row],[Date]]))</f>
        <v/>
      </c>
      <c r="F2748" s="63">
        <f>IF(tblCommentary[[#This Row],[Date]]="","",tblCommentary[[#This Row],[Date]]&amp;"|"&amp;tblCommentary[[#This Row],[Seq_Day]])</f>
        <v/>
      </c>
    </row>
    <row r="2749">
      <c r="A2749" s="54" t="n"/>
      <c r="B2749" s="61" t="n"/>
      <c r="C2749" s="58" t="n"/>
      <c r="D2749" s="58" t="n"/>
      <c r="E2749" s="64">
        <f>IF(tblCommentary[[#This Row],[Date]]="","",COUNTIFS(INDEX(tblCommentary[Date],1):tblCommentary[[#This Row],[Date]],tblCommentary[[#This Row],[Date]]))</f>
        <v/>
      </c>
      <c r="F2749" s="63">
        <f>IF(tblCommentary[[#This Row],[Date]]="","",tblCommentary[[#This Row],[Date]]&amp;"|"&amp;tblCommentary[[#This Row],[Seq_Day]])</f>
        <v/>
      </c>
    </row>
    <row r="2750">
      <c r="A2750" s="54" t="n"/>
      <c r="B2750" s="61" t="n"/>
      <c r="C2750" s="58" t="n"/>
      <c r="D2750" s="58" t="n"/>
      <c r="E2750" s="64">
        <f>IF(tblCommentary[[#This Row],[Date]]="","",COUNTIFS(INDEX(tblCommentary[Date],1):tblCommentary[[#This Row],[Date]],tblCommentary[[#This Row],[Date]]))</f>
        <v/>
      </c>
      <c r="F2750" s="63">
        <f>IF(tblCommentary[[#This Row],[Date]]="","",tblCommentary[[#This Row],[Date]]&amp;"|"&amp;tblCommentary[[#This Row],[Seq_Day]])</f>
        <v/>
      </c>
    </row>
    <row r="2751">
      <c r="A2751" s="54" t="n"/>
      <c r="B2751" s="61" t="n"/>
      <c r="C2751" s="58" t="n"/>
      <c r="D2751" s="58" t="n"/>
      <c r="E2751" s="64">
        <f>IF(tblCommentary[[#This Row],[Date]]="","",COUNTIFS(INDEX(tblCommentary[Date],1):tblCommentary[[#This Row],[Date]],tblCommentary[[#This Row],[Date]]))</f>
        <v/>
      </c>
      <c r="F2751" s="63">
        <f>IF(tblCommentary[[#This Row],[Date]]="","",tblCommentary[[#This Row],[Date]]&amp;"|"&amp;tblCommentary[[#This Row],[Seq_Day]])</f>
        <v/>
      </c>
    </row>
    <row r="2752">
      <c r="A2752" s="54" t="n"/>
      <c r="B2752" s="61" t="n"/>
      <c r="C2752" s="58" t="n"/>
      <c r="D2752" s="58" t="n"/>
      <c r="E2752" s="64">
        <f>IF(tblCommentary[[#This Row],[Date]]="","",COUNTIFS(INDEX(tblCommentary[Date],1):tblCommentary[[#This Row],[Date]],tblCommentary[[#This Row],[Date]]))</f>
        <v/>
      </c>
      <c r="F2752" s="63">
        <f>IF(tblCommentary[[#This Row],[Date]]="","",tblCommentary[[#This Row],[Date]]&amp;"|"&amp;tblCommentary[[#This Row],[Seq_Day]])</f>
        <v/>
      </c>
    </row>
    <row r="2753">
      <c r="A2753" s="54" t="n"/>
      <c r="B2753" s="61" t="n"/>
      <c r="C2753" s="58" t="n"/>
      <c r="D2753" s="58" t="n"/>
      <c r="E2753" s="64">
        <f>IF(tblCommentary[[#This Row],[Date]]="","",COUNTIFS(INDEX(tblCommentary[Date],1):tblCommentary[[#This Row],[Date]],tblCommentary[[#This Row],[Date]]))</f>
        <v/>
      </c>
      <c r="F2753" s="63">
        <f>IF(tblCommentary[[#This Row],[Date]]="","",tblCommentary[[#This Row],[Date]]&amp;"|"&amp;tblCommentary[[#This Row],[Seq_Day]])</f>
        <v/>
      </c>
    </row>
    <row r="2754">
      <c r="A2754" s="54" t="n"/>
      <c r="B2754" s="61" t="n"/>
      <c r="C2754" s="58" t="n"/>
      <c r="D2754" s="58" t="n"/>
      <c r="E2754" s="64">
        <f>IF(tblCommentary[[#This Row],[Date]]="","",COUNTIFS(INDEX(tblCommentary[Date],1):tblCommentary[[#This Row],[Date]],tblCommentary[[#This Row],[Date]]))</f>
        <v/>
      </c>
      <c r="F2754" s="63">
        <f>IF(tblCommentary[[#This Row],[Date]]="","",tblCommentary[[#This Row],[Date]]&amp;"|"&amp;tblCommentary[[#This Row],[Seq_Day]])</f>
        <v/>
      </c>
    </row>
    <row r="2755">
      <c r="A2755" s="54" t="n"/>
      <c r="B2755" s="61" t="n"/>
      <c r="C2755" s="58" t="n"/>
      <c r="D2755" s="58" t="n"/>
      <c r="E2755" s="64">
        <f>IF(tblCommentary[[#This Row],[Date]]="","",COUNTIFS(INDEX(tblCommentary[Date],1):tblCommentary[[#This Row],[Date]],tblCommentary[[#This Row],[Date]]))</f>
        <v/>
      </c>
      <c r="F2755" s="63">
        <f>IF(tblCommentary[[#This Row],[Date]]="","",tblCommentary[[#This Row],[Date]]&amp;"|"&amp;tblCommentary[[#This Row],[Seq_Day]])</f>
        <v/>
      </c>
    </row>
    <row r="2756">
      <c r="A2756" s="54" t="n"/>
      <c r="B2756" s="61" t="n"/>
      <c r="C2756" s="58" t="n"/>
      <c r="D2756" s="58" t="n"/>
      <c r="E2756" s="64">
        <f>IF(tblCommentary[[#This Row],[Date]]="","",COUNTIFS(INDEX(tblCommentary[Date],1):tblCommentary[[#This Row],[Date]],tblCommentary[[#This Row],[Date]]))</f>
        <v/>
      </c>
      <c r="F2756" s="63">
        <f>IF(tblCommentary[[#This Row],[Date]]="","",tblCommentary[[#This Row],[Date]]&amp;"|"&amp;tblCommentary[[#This Row],[Seq_Day]])</f>
        <v/>
      </c>
    </row>
    <row r="2757">
      <c r="A2757" s="54" t="n"/>
      <c r="B2757" s="61" t="n"/>
      <c r="C2757" s="58" t="n"/>
      <c r="D2757" s="58" t="n"/>
      <c r="E2757" s="64">
        <f>IF(tblCommentary[[#This Row],[Date]]="","",COUNTIFS(INDEX(tblCommentary[Date],1):tblCommentary[[#This Row],[Date]],tblCommentary[[#This Row],[Date]]))</f>
        <v/>
      </c>
      <c r="F2757" s="63">
        <f>IF(tblCommentary[[#This Row],[Date]]="","",tblCommentary[[#This Row],[Date]]&amp;"|"&amp;tblCommentary[[#This Row],[Seq_Day]])</f>
        <v/>
      </c>
    </row>
    <row r="2758">
      <c r="A2758" s="54" t="n"/>
      <c r="B2758" s="61" t="n"/>
      <c r="C2758" s="58" t="n"/>
      <c r="D2758" s="58" t="n"/>
      <c r="E2758" s="64">
        <f>IF(tblCommentary[[#This Row],[Date]]="","",COUNTIFS(INDEX(tblCommentary[Date],1):tblCommentary[[#This Row],[Date]],tblCommentary[[#This Row],[Date]]))</f>
        <v/>
      </c>
      <c r="F2758" s="63">
        <f>IF(tblCommentary[[#This Row],[Date]]="","",tblCommentary[[#This Row],[Date]]&amp;"|"&amp;tblCommentary[[#This Row],[Seq_Day]])</f>
        <v/>
      </c>
    </row>
    <row r="2759">
      <c r="A2759" s="54" t="n"/>
      <c r="B2759" s="61" t="n"/>
      <c r="C2759" s="58" t="n"/>
      <c r="D2759" s="58" t="n"/>
      <c r="E2759" s="64">
        <f>IF(tblCommentary[[#This Row],[Date]]="","",COUNTIFS(INDEX(tblCommentary[Date],1):tblCommentary[[#This Row],[Date]],tblCommentary[[#This Row],[Date]]))</f>
        <v/>
      </c>
      <c r="F2759" s="63">
        <f>IF(tblCommentary[[#This Row],[Date]]="","",tblCommentary[[#This Row],[Date]]&amp;"|"&amp;tblCommentary[[#This Row],[Seq_Day]])</f>
        <v/>
      </c>
    </row>
    <row r="2760">
      <c r="A2760" s="54" t="n"/>
      <c r="B2760" s="61" t="n"/>
      <c r="C2760" s="58" t="n"/>
      <c r="D2760" s="58" t="n"/>
      <c r="E2760" s="64">
        <f>IF(tblCommentary[[#This Row],[Date]]="","",COUNTIFS(INDEX(tblCommentary[Date],1):tblCommentary[[#This Row],[Date]],tblCommentary[[#This Row],[Date]]))</f>
        <v/>
      </c>
      <c r="F2760" s="63">
        <f>IF(tblCommentary[[#This Row],[Date]]="","",tblCommentary[[#This Row],[Date]]&amp;"|"&amp;tblCommentary[[#This Row],[Seq_Day]])</f>
        <v/>
      </c>
    </row>
    <row r="2761">
      <c r="A2761" s="54" t="n"/>
      <c r="B2761" s="61" t="n"/>
      <c r="C2761" s="58" t="n"/>
      <c r="D2761" s="58" t="n"/>
      <c r="E2761" s="64">
        <f>IF(tblCommentary[[#This Row],[Date]]="","",COUNTIFS(INDEX(tblCommentary[Date],1):tblCommentary[[#This Row],[Date]],tblCommentary[[#This Row],[Date]]))</f>
        <v/>
      </c>
      <c r="F2761" s="63">
        <f>IF(tblCommentary[[#This Row],[Date]]="","",tblCommentary[[#This Row],[Date]]&amp;"|"&amp;tblCommentary[[#This Row],[Seq_Day]])</f>
        <v/>
      </c>
    </row>
    <row r="2762">
      <c r="A2762" s="54" t="n"/>
      <c r="B2762" s="61" t="n"/>
      <c r="C2762" s="58" t="n"/>
      <c r="D2762" s="58" t="n"/>
      <c r="E2762" s="64">
        <f>IF(tblCommentary[[#This Row],[Date]]="","",COUNTIFS(INDEX(tblCommentary[Date],1):tblCommentary[[#This Row],[Date]],tblCommentary[[#This Row],[Date]]))</f>
        <v/>
      </c>
      <c r="F2762" s="63">
        <f>IF(tblCommentary[[#This Row],[Date]]="","",tblCommentary[[#This Row],[Date]]&amp;"|"&amp;tblCommentary[[#This Row],[Seq_Day]])</f>
        <v/>
      </c>
    </row>
    <row r="2763">
      <c r="A2763" s="54" t="n"/>
      <c r="B2763" s="61" t="n"/>
      <c r="C2763" s="58" t="n"/>
      <c r="D2763" s="58" t="n"/>
      <c r="E2763" s="64">
        <f>IF(tblCommentary[[#This Row],[Date]]="","",COUNTIFS(INDEX(tblCommentary[Date],1):tblCommentary[[#This Row],[Date]],tblCommentary[[#This Row],[Date]]))</f>
        <v/>
      </c>
      <c r="F2763" s="63">
        <f>IF(tblCommentary[[#This Row],[Date]]="","",tblCommentary[[#This Row],[Date]]&amp;"|"&amp;tblCommentary[[#This Row],[Seq_Day]])</f>
        <v/>
      </c>
    </row>
    <row r="2764">
      <c r="A2764" s="54" t="n"/>
      <c r="B2764" s="61" t="n"/>
      <c r="C2764" s="58" t="n"/>
      <c r="D2764" s="58" t="n"/>
      <c r="E2764" s="64">
        <f>IF(tblCommentary[[#This Row],[Date]]="","",COUNTIFS(INDEX(tblCommentary[Date],1):tblCommentary[[#This Row],[Date]],tblCommentary[[#This Row],[Date]]))</f>
        <v/>
      </c>
      <c r="F2764" s="63">
        <f>IF(tblCommentary[[#This Row],[Date]]="","",tblCommentary[[#This Row],[Date]]&amp;"|"&amp;tblCommentary[[#This Row],[Seq_Day]])</f>
        <v/>
      </c>
    </row>
    <row r="2765">
      <c r="A2765" s="54" t="n"/>
      <c r="B2765" s="61" t="n"/>
      <c r="C2765" s="58" t="n"/>
      <c r="D2765" s="58" t="n"/>
      <c r="E2765" s="64">
        <f>IF(tblCommentary[[#This Row],[Date]]="","",COUNTIFS(INDEX(tblCommentary[Date],1):tblCommentary[[#This Row],[Date]],tblCommentary[[#This Row],[Date]]))</f>
        <v/>
      </c>
      <c r="F2765" s="63">
        <f>IF(tblCommentary[[#This Row],[Date]]="","",tblCommentary[[#This Row],[Date]]&amp;"|"&amp;tblCommentary[[#This Row],[Seq_Day]])</f>
        <v/>
      </c>
    </row>
    <row r="2766">
      <c r="A2766" s="54" t="n"/>
      <c r="B2766" s="61" t="n"/>
      <c r="C2766" s="58" t="n"/>
      <c r="D2766" s="58" t="n"/>
      <c r="E2766" s="64">
        <f>IF(tblCommentary[[#This Row],[Date]]="","",COUNTIFS(INDEX(tblCommentary[Date],1):tblCommentary[[#This Row],[Date]],tblCommentary[[#This Row],[Date]]))</f>
        <v/>
      </c>
      <c r="F2766" s="63">
        <f>IF(tblCommentary[[#This Row],[Date]]="","",tblCommentary[[#This Row],[Date]]&amp;"|"&amp;tblCommentary[[#This Row],[Seq_Day]])</f>
        <v/>
      </c>
    </row>
    <row r="2767">
      <c r="A2767" s="54" t="n"/>
      <c r="B2767" s="61" t="n"/>
      <c r="C2767" s="58" t="n"/>
      <c r="D2767" s="58" t="n"/>
      <c r="E2767" s="64">
        <f>IF(tblCommentary[[#This Row],[Date]]="","",COUNTIFS(INDEX(tblCommentary[Date],1):tblCommentary[[#This Row],[Date]],tblCommentary[[#This Row],[Date]]))</f>
        <v/>
      </c>
      <c r="F2767" s="63">
        <f>IF(tblCommentary[[#This Row],[Date]]="","",tblCommentary[[#This Row],[Date]]&amp;"|"&amp;tblCommentary[[#This Row],[Seq_Day]])</f>
        <v/>
      </c>
    </row>
    <row r="2768">
      <c r="A2768" s="54" t="n"/>
      <c r="B2768" s="61" t="n"/>
      <c r="C2768" s="58" t="n"/>
      <c r="D2768" s="58" t="n"/>
      <c r="E2768" s="64">
        <f>IF(tblCommentary[[#This Row],[Date]]="","",COUNTIFS(INDEX(tblCommentary[Date],1):tblCommentary[[#This Row],[Date]],tblCommentary[[#This Row],[Date]]))</f>
        <v/>
      </c>
      <c r="F2768" s="63">
        <f>IF(tblCommentary[[#This Row],[Date]]="","",tblCommentary[[#This Row],[Date]]&amp;"|"&amp;tblCommentary[[#This Row],[Seq_Day]])</f>
        <v/>
      </c>
    </row>
    <row r="2769">
      <c r="A2769" s="54" t="n"/>
      <c r="B2769" s="61" t="n"/>
      <c r="C2769" s="58" t="n"/>
      <c r="D2769" s="58" t="n"/>
      <c r="E2769" s="64">
        <f>IF(tblCommentary[[#This Row],[Date]]="","",COUNTIFS(INDEX(tblCommentary[Date],1):tblCommentary[[#This Row],[Date]],tblCommentary[[#This Row],[Date]]))</f>
        <v/>
      </c>
      <c r="F2769" s="63">
        <f>IF(tblCommentary[[#This Row],[Date]]="","",tblCommentary[[#This Row],[Date]]&amp;"|"&amp;tblCommentary[[#This Row],[Seq_Day]])</f>
        <v/>
      </c>
    </row>
    <row r="2770">
      <c r="A2770" s="54" t="n"/>
      <c r="B2770" s="61" t="n"/>
      <c r="C2770" s="58" t="n"/>
      <c r="D2770" s="58" t="n"/>
      <c r="E2770" s="64">
        <f>IF(tblCommentary[[#This Row],[Date]]="","",COUNTIFS(INDEX(tblCommentary[Date],1):tblCommentary[[#This Row],[Date]],tblCommentary[[#This Row],[Date]]))</f>
        <v/>
      </c>
      <c r="F2770" s="63">
        <f>IF(tblCommentary[[#This Row],[Date]]="","",tblCommentary[[#This Row],[Date]]&amp;"|"&amp;tblCommentary[[#This Row],[Seq_Day]])</f>
        <v/>
      </c>
    </row>
    <row r="2771">
      <c r="A2771" s="54" t="n"/>
      <c r="B2771" s="61" t="n"/>
      <c r="C2771" s="58" t="n"/>
      <c r="D2771" s="58" t="n"/>
      <c r="E2771" s="64">
        <f>IF(tblCommentary[[#This Row],[Date]]="","",COUNTIFS(INDEX(tblCommentary[Date],1):tblCommentary[[#This Row],[Date]],tblCommentary[[#This Row],[Date]]))</f>
        <v/>
      </c>
      <c r="F2771" s="63">
        <f>IF(tblCommentary[[#This Row],[Date]]="","",tblCommentary[[#This Row],[Date]]&amp;"|"&amp;tblCommentary[[#This Row],[Seq_Day]])</f>
        <v/>
      </c>
    </row>
    <row r="2772">
      <c r="A2772" s="54" t="n"/>
      <c r="B2772" s="61" t="n"/>
      <c r="C2772" s="58" t="n"/>
      <c r="D2772" s="58" t="n"/>
      <c r="E2772" s="64">
        <f>IF(tblCommentary[[#This Row],[Date]]="","",COUNTIFS(INDEX(tblCommentary[Date],1):tblCommentary[[#This Row],[Date]],tblCommentary[[#This Row],[Date]]))</f>
        <v/>
      </c>
      <c r="F2772" s="63">
        <f>IF(tblCommentary[[#This Row],[Date]]="","",tblCommentary[[#This Row],[Date]]&amp;"|"&amp;tblCommentary[[#This Row],[Seq_Day]])</f>
        <v/>
      </c>
    </row>
    <row r="2773">
      <c r="A2773" s="54" t="n"/>
      <c r="B2773" s="61" t="n"/>
      <c r="C2773" s="58" t="n"/>
      <c r="D2773" s="58" t="n"/>
      <c r="E2773" s="64">
        <f>IF(tblCommentary[[#This Row],[Date]]="","",COUNTIFS(INDEX(tblCommentary[Date],1):tblCommentary[[#This Row],[Date]],tblCommentary[[#This Row],[Date]]))</f>
        <v/>
      </c>
      <c r="F2773" s="63">
        <f>IF(tblCommentary[[#This Row],[Date]]="","",tblCommentary[[#This Row],[Date]]&amp;"|"&amp;tblCommentary[[#This Row],[Seq_Day]])</f>
        <v/>
      </c>
    </row>
    <row r="2774">
      <c r="A2774" s="54" t="n"/>
      <c r="B2774" s="61" t="n"/>
      <c r="C2774" s="58" t="n"/>
      <c r="D2774" s="58" t="n"/>
      <c r="E2774" s="64">
        <f>IF(tblCommentary[[#This Row],[Date]]="","",COUNTIFS(INDEX(tblCommentary[Date],1):tblCommentary[[#This Row],[Date]],tblCommentary[[#This Row],[Date]]))</f>
        <v/>
      </c>
      <c r="F2774" s="63">
        <f>IF(tblCommentary[[#This Row],[Date]]="","",tblCommentary[[#This Row],[Date]]&amp;"|"&amp;tblCommentary[[#This Row],[Seq_Day]])</f>
        <v/>
      </c>
    </row>
    <row r="2775">
      <c r="A2775" s="54" t="n"/>
      <c r="B2775" s="61" t="n"/>
      <c r="C2775" s="58" t="n"/>
      <c r="D2775" s="58" t="n"/>
      <c r="E2775" s="64">
        <f>IF(tblCommentary[[#This Row],[Date]]="","",COUNTIFS(INDEX(tblCommentary[Date],1):tblCommentary[[#This Row],[Date]],tblCommentary[[#This Row],[Date]]))</f>
        <v/>
      </c>
      <c r="F2775" s="63">
        <f>IF(tblCommentary[[#This Row],[Date]]="","",tblCommentary[[#This Row],[Date]]&amp;"|"&amp;tblCommentary[[#This Row],[Seq_Day]])</f>
        <v/>
      </c>
    </row>
    <row r="2776">
      <c r="A2776" s="54" t="n"/>
      <c r="B2776" s="61" t="n"/>
      <c r="C2776" s="58" t="n"/>
      <c r="D2776" s="58" t="n"/>
      <c r="E2776" s="64">
        <f>IF(tblCommentary[[#This Row],[Date]]="","",COUNTIFS(INDEX(tblCommentary[Date],1):tblCommentary[[#This Row],[Date]],tblCommentary[[#This Row],[Date]]))</f>
        <v/>
      </c>
      <c r="F2776" s="63">
        <f>IF(tblCommentary[[#This Row],[Date]]="","",tblCommentary[[#This Row],[Date]]&amp;"|"&amp;tblCommentary[[#This Row],[Seq_Day]])</f>
        <v/>
      </c>
    </row>
    <row r="2777">
      <c r="A2777" s="54" t="n"/>
      <c r="B2777" s="61" t="n"/>
      <c r="C2777" s="58" t="n"/>
      <c r="D2777" s="58" t="n"/>
      <c r="E2777" s="64">
        <f>IF(tblCommentary[[#This Row],[Date]]="","",COUNTIFS(INDEX(tblCommentary[Date],1):tblCommentary[[#This Row],[Date]],tblCommentary[[#This Row],[Date]]))</f>
        <v/>
      </c>
      <c r="F2777" s="63">
        <f>IF(tblCommentary[[#This Row],[Date]]="","",tblCommentary[[#This Row],[Date]]&amp;"|"&amp;tblCommentary[[#This Row],[Seq_Day]])</f>
        <v/>
      </c>
    </row>
    <row r="2778">
      <c r="A2778" s="54" t="n"/>
      <c r="B2778" s="61" t="n"/>
      <c r="C2778" s="58" t="n"/>
      <c r="D2778" s="58" t="n"/>
      <c r="E2778" s="64">
        <f>IF(tblCommentary[[#This Row],[Date]]="","",COUNTIFS(INDEX(tblCommentary[Date],1):tblCommentary[[#This Row],[Date]],tblCommentary[[#This Row],[Date]]))</f>
        <v/>
      </c>
      <c r="F2778" s="63">
        <f>IF(tblCommentary[[#This Row],[Date]]="","",tblCommentary[[#This Row],[Date]]&amp;"|"&amp;tblCommentary[[#This Row],[Seq_Day]])</f>
        <v/>
      </c>
    </row>
    <row r="2779">
      <c r="A2779" s="54" t="n"/>
      <c r="B2779" s="61" t="n"/>
      <c r="C2779" s="58" t="n"/>
      <c r="D2779" s="58" t="n"/>
      <c r="E2779" s="64">
        <f>IF(tblCommentary[[#This Row],[Date]]="","",COUNTIFS(INDEX(tblCommentary[Date],1):tblCommentary[[#This Row],[Date]],tblCommentary[[#This Row],[Date]]))</f>
        <v/>
      </c>
      <c r="F2779" s="63">
        <f>IF(tblCommentary[[#This Row],[Date]]="","",tblCommentary[[#This Row],[Date]]&amp;"|"&amp;tblCommentary[[#This Row],[Seq_Day]])</f>
        <v/>
      </c>
    </row>
    <row r="2780">
      <c r="A2780" s="54" t="n"/>
      <c r="B2780" s="61" t="n"/>
      <c r="C2780" s="58" t="n"/>
      <c r="D2780" s="58" t="n"/>
      <c r="E2780" s="64">
        <f>IF(tblCommentary[[#This Row],[Date]]="","",COUNTIFS(INDEX(tblCommentary[Date],1):tblCommentary[[#This Row],[Date]],tblCommentary[[#This Row],[Date]]))</f>
        <v/>
      </c>
      <c r="F2780" s="63">
        <f>IF(tblCommentary[[#This Row],[Date]]="","",tblCommentary[[#This Row],[Date]]&amp;"|"&amp;tblCommentary[[#This Row],[Seq_Day]])</f>
        <v/>
      </c>
    </row>
    <row r="2781">
      <c r="A2781" s="54" t="n"/>
      <c r="B2781" s="61" t="n"/>
      <c r="C2781" s="58" t="n"/>
      <c r="D2781" s="58" t="n"/>
      <c r="E2781" s="64">
        <f>IF(tblCommentary[[#This Row],[Date]]="","",COUNTIFS(INDEX(tblCommentary[Date],1):tblCommentary[[#This Row],[Date]],tblCommentary[[#This Row],[Date]]))</f>
        <v/>
      </c>
      <c r="F2781" s="63">
        <f>IF(tblCommentary[[#This Row],[Date]]="","",tblCommentary[[#This Row],[Date]]&amp;"|"&amp;tblCommentary[[#This Row],[Seq_Day]])</f>
        <v/>
      </c>
    </row>
    <row r="2782">
      <c r="A2782" s="54" t="n"/>
      <c r="B2782" s="61" t="n"/>
      <c r="C2782" s="58" t="n"/>
      <c r="D2782" s="58" t="n"/>
      <c r="E2782" s="64">
        <f>IF(tblCommentary[[#This Row],[Date]]="","",COUNTIFS(INDEX(tblCommentary[Date],1):tblCommentary[[#This Row],[Date]],tblCommentary[[#This Row],[Date]]))</f>
        <v/>
      </c>
      <c r="F2782" s="63">
        <f>IF(tblCommentary[[#This Row],[Date]]="","",tblCommentary[[#This Row],[Date]]&amp;"|"&amp;tblCommentary[[#This Row],[Seq_Day]])</f>
        <v/>
      </c>
    </row>
    <row r="2783">
      <c r="A2783" s="54" t="n"/>
      <c r="B2783" s="61" t="n"/>
      <c r="C2783" s="58" t="n"/>
      <c r="D2783" s="58" t="n"/>
      <c r="E2783" s="64">
        <f>IF(tblCommentary[[#This Row],[Date]]="","",COUNTIFS(INDEX(tblCommentary[Date],1):tblCommentary[[#This Row],[Date]],tblCommentary[[#This Row],[Date]]))</f>
        <v/>
      </c>
      <c r="F2783" s="63">
        <f>IF(tblCommentary[[#This Row],[Date]]="","",tblCommentary[[#This Row],[Date]]&amp;"|"&amp;tblCommentary[[#This Row],[Seq_Day]])</f>
        <v/>
      </c>
    </row>
    <row r="2784">
      <c r="A2784" s="54" t="n"/>
      <c r="B2784" s="61" t="n"/>
      <c r="C2784" s="58" t="n"/>
      <c r="D2784" s="58" t="n"/>
      <c r="E2784" s="64">
        <f>IF(tblCommentary[[#This Row],[Date]]="","",COUNTIFS(INDEX(tblCommentary[Date],1):tblCommentary[[#This Row],[Date]],tblCommentary[[#This Row],[Date]]))</f>
        <v/>
      </c>
      <c r="F2784" s="63">
        <f>IF(tblCommentary[[#This Row],[Date]]="","",tblCommentary[[#This Row],[Date]]&amp;"|"&amp;tblCommentary[[#This Row],[Seq_Day]])</f>
        <v/>
      </c>
    </row>
    <row r="2785">
      <c r="A2785" s="54" t="n"/>
      <c r="B2785" s="61" t="n"/>
      <c r="C2785" s="58" t="n"/>
      <c r="D2785" s="58" t="n"/>
      <c r="E2785" s="64">
        <f>IF(tblCommentary[[#This Row],[Date]]="","",COUNTIFS(INDEX(tblCommentary[Date],1):tblCommentary[[#This Row],[Date]],tblCommentary[[#This Row],[Date]]))</f>
        <v/>
      </c>
      <c r="F2785" s="63">
        <f>IF(tblCommentary[[#This Row],[Date]]="","",tblCommentary[[#This Row],[Date]]&amp;"|"&amp;tblCommentary[[#This Row],[Seq_Day]])</f>
        <v/>
      </c>
    </row>
    <row r="2786">
      <c r="A2786" s="54" t="n"/>
      <c r="B2786" s="61" t="n"/>
      <c r="C2786" s="58" t="n"/>
      <c r="D2786" s="58" t="n"/>
      <c r="E2786" s="64">
        <f>IF(tblCommentary[[#This Row],[Date]]="","",COUNTIFS(INDEX(tblCommentary[Date],1):tblCommentary[[#This Row],[Date]],tblCommentary[[#This Row],[Date]]))</f>
        <v/>
      </c>
      <c r="F2786" s="63">
        <f>IF(tblCommentary[[#This Row],[Date]]="","",tblCommentary[[#This Row],[Date]]&amp;"|"&amp;tblCommentary[[#This Row],[Seq_Day]])</f>
        <v/>
      </c>
    </row>
    <row r="2787">
      <c r="A2787" s="54" t="n"/>
      <c r="B2787" s="61" t="n"/>
      <c r="C2787" s="58" t="n"/>
      <c r="D2787" s="58" t="n"/>
      <c r="E2787" s="64">
        <f>IF(tblCommentary[[#This Row],[Date]]="","",COUNTIFS(INDEX(tblCommentary[Date],1):tblCommentary[[#This Row],[Date]],tblCommentary[[#This Row],[Date]]))</f>
        <v/>
      </c>
      <c r="F2787" s="63">
        <f>IF(tblCommentary[[#This Row],[Date]]="","",tblCommentary[[#This Row],[Date]]&amp;"|"&amp;tblCommentary[[#This Row],[Seq_Day]])</f>
        <v/>
      </c>
    </row>
    <row r="2788">
      <c r="A2788" s="54" t="n"/>
      <c r="B2788" s="61" t="n"/>
      <c r="C2788" s="58" t="n"/>
      <c r="D2788" s="58" t="n"/>
      <c r="E2788" s="64">
        <f>IF(tblCommentary[[#This Row],[Date]]="","",COUNTIFS(INDEX(tblCommentary[Date],1):tblCommentary[[#This Row],[Date]],tblCommentary[[#This Row],[Date]]))</f>
        <v/>
      </c>
      <c r="F2788" s="63">
        <f>IF(tblCommentary[[#This Row],[Date]]="","",tblCommentary[[#This Row],[Date]]&amp;"|"&amp;tblCommentary[[#This Row],[Seq_Day]])</f>
        <v/>
      </c>
    </row>
    <row r="2789">
      <c r="A2789" s="54" t="n"/>
      <c r="B2789" s="61" t="n"/>
      <c r="C2789" s="58" t="n"/>
      <c r="D2789" s="58" t="n"/>
      <c r="E2789" s="64">
        <f>IF(tblCommentary[[#This Row],[Date]]="","",COUNTIFS(INDEX(tblCommentary[Date],1):tblCommentary[[#This Row],[Date]],tblCommentary[[#This Row],[Date]]))</f>
        <v/>
      </c>
      <c r="F2789" s="63">
        <f>IF(tblCommentary[[#This Row],[Date]]="","",tblCommentary[[#This Row],[Date]]&amp;"|"&amp;tblCommentary[[#This Row],[Seq_Day]])</f>
        <v/>
      </c>
    </row>
    <row r="2790">
      <c r="A2790" s="54" t="n"/>
      <c r="B2790" s="61" t="n"/>
      <c r="C2790" s="58" t="n"/>
      <c r="D2790" s="58" t="n"/>
      <c r="E2790" s="64">
        <f>IF(tblCommentary[[#This Row],[Date]]="","",COUNTIFS(INDEX(tblCommentary[Date],1):tblCommentary[[#This Row],[Date]],tblCommentary[[#This Row],[Date]]))</f>
        <v/>
      </c>
      <c r="F2790" s="63">
        <f>IF(tblCommentary[[#This Row],[Date]]="","",tblCommentary[[#This Row],[Date]]&amp;"|"&amp;tblCommentary[[#This Row],[Seq_Day]])</f>
        <v/>
      </c>
    </row>
    <row r="2791">
      <c r="A2791" s="54" t="n"/>
      <c r="B2791" s="61" t="n"/>
      <c r="C2791" s="58" t="n"/>
      <c r="D2791" s="58" t="n"/>
      <c r="E2791" s="64">
        <f>IF(tblCommentary[[#This Row],[Date]]="","",COUNTIFS(INDEX(tblCommentary[Date],1):tblCommentary[[#This Row],[Date]],tblCommentary[[#This Row],[Date]]))</f>
        <v/>
      </c>
      <c r="F2791" s="63">
        <f>IF(tblCommentary[[#This Row],[Date]]="","",tblCommentary[[#This Row],[Date]]&amp;"|"&amp;tblCommentary[[#This Row],[Seq_Day]])</f>
        <v/>
      </c>
    </row>
    <row r="2792">
      <c r="A2792" s="54" t="n"/>
      <c r="B2792" s="61" t="n"/>
      <c r="C2792" s="58" t="n"/>
      <c r="D2792" s="58" t="n"/>
      <c r="E2792" s="64">
        <f>IF(tblCommentary[[#This Row],[Date]]="","",COUNTIFS(INDEX(tblCommentary[Date],1):tblCommentary[[#This Row],[Date]],tblCommentary[[#This Row],[Date]]))</f>
        <v/>
      </c>
      <c r="F2792" s="63">
        <f>IF(tblCommentary[[#This Row],[Date]]="","",tblCommentary[[#This Row],[Date]]&amp;"|"&amp;tblCommentary[[#This Row],[Seq_Day]])</f>
        <v/>
      </c>
    </row>
    <row r="2793">
      <c r="A2793" s="54" t="n"/>
      <c r="B2793" s="61" t="n"/>
      <c r="C2793" s="58" t="n"/>
      <c r="D2793" s="58" t="n"/>
      <c r="E2793" s="64">
        <f>IF(tblCommentary[[#This Row],[Date]]="","",COUNTIFS(INDEX(tblCommentary[Date],1):tblCommentary[[#This Row],[Date]],tblCommentary[[#This Row],[Date]]))</f>
        <v/>
      </c>
      <c r="F2793" s="63">
        <f>IF(tblCommentary[[#This Row],[Date]]="","",tblCommentary[[#This Row],[Date]]&amp;"|"&amp;tblCommentary[[#This Row],[Seq_Day]])</f>
        <v/>
      </c>
    </row>
    <row r="2794">
      <c r="A2794" s="54" t="n"/>
      <c r="B2794" s="61" t="n"/>
      <c r="C2794" s="58" t="n"/>
      <c r="D2794" s="58" t="n"/>
      <c r="E2794" s="64">
        <f>IF(tblCommentary[[#This Row],[Date]]="","",COUNTIFS(INDEX(tblCommentary[Date],1):tblCommentary[[#This Row],[Date]],tblCommentary[[#This Row],[Date]]))</f>
        <v/>
      </c>
      <c r="F2794" s="63">
        <f>IF(tblCommentary[[#This Row],[Date]]="","",tblCommentary[[#This Row],[Date]]&amp;"|"&amp;tblCommentary[[#This Row],[Seq_Day]])</f>
        <v/>
      </c>
    </row>
    <row r="2795">
      <c r="A2795" s="54" t="n"/>
      <c r="B2795" s="61" t="n"/>
      <c r="C2795" s="58" t="n"/>
      <c r="D2795" s="58" t="n"/>
      <c r="E2795" s="64">
        <f>IF(tblCommentary[[#This Row],[Date]]="","",COUNTIFS(INDEX(tblCommentary[Date],1):tblCommentary[[#This Row],[Date]],tblCommentary[[#This Row],[Date]]))</f>
        <v/>
      </c>
      <c r="F2795" s="63">
        <f>IF(tblCommentary[[#This Row],[Date]]="","",tblCommentary[[#This Row],[Date]]&amp;"|"&amp;tblCommentary[[#This Row],[Seq_Day]])</f>
        <v/>
      </c>
    </row>
    <row r="2796">
      <c r="A2796" s="54" t="n"/>
      <c r="B2796" s="61" t="n"/>
      <c r="C2796" s="58" t="n"/>
      <c r="D2796" s="58" t="n"/>
      <c r="E2796" s="64">
        <f>IF(tblCommentary[[#This Row],[Date]]="","",COUNTIFS(INDEX(tblCommentary[Date],1):tblCommentary[[#This Row],[Date]],tblCommentary[[#This Row],[Date]]))</f>
        <v/>
      </c>
      <c r="F2796" s="63">
        <f>IF(tblCommentary[[#This Row],[Date]]="","",tblCommentary[[#This Row],[Date]]&amp;"|"&amp;tblCommentary[[#This Row],[Seq_Day]])</f>
        <v/>
      </c>
    </row>
    <row r="2797">
      <c r="A2797" s="54" t="n"/>
      <c r="B2797" s="61" t="n"/>
      <c r="C2797" s="58" t="n"/>
      <c r="D2797" s="58" t="n"/>
      <c r="E2797" s="64">
        <f>IF(tblCommentary[[#This Row],[Date]]="","",COUNTIFS(INDEX(tblCommentary[Date],1):tblCommentary[[#This Row],[Date]],tblCommentary[[#This Row],[Date]]))</f>
        <v/>
      </c>
      <c r="F2797" s="63">
        <f>IF(tblCommentary[[#This Row],[Date]]="","",tblCommentary[[#This Row],[Date]]&amp;"|"&amp;tblCommentary[[#This Row],[Seq_Day]])</f>
        <v/>
      </c>
    </row>
    <row r="2798">
      <c r="A2798" s="54" t="n"/>
      <c r="B2798" s="61" t="n"/>
      <c r="C2798" s="58" t="n"/>
      <c r="D2798" s="58" t="n"/>
      <c r="E2798" s="64">
        <f>IF(tblCommentary[[#This Row],[Date]]="","",COUNTIFS(INDEX(tblCommentary[Date],1):tblCommentary[[#This Row],[Date]],tblCommentary[[#This Row],[Date]]))</f>
        <v/>
      </c>
      <c r="F2798" s="63">
        <f>IF(tblCommentary[[#This Row],[Date]]="","",tblCommentary[[#This Row],[Date]]&amp;"|"&amp;tblCommentary[[#This Row],[Seq_Day]])</f>
        <v/>
      </c>
    </row>
    <row r="2799">
      <c r="A2799" s="54" t="n"/>
      <c r="B2799" s="61" t="n"/>
      <c r="C2799" s="58" t="n"/>
      <c r="D2799" s="58" t="n"/>
      <c r="E2799" s="64">
        <f>IF(tblCommentary[[#This Row],[Date]]="","",COUNTIFS(INDEX(tblCommentary[Date],1):tblCommentary[[#This Row],[Date]],tblCommentary[[#This Row],[Date]]))</f>
        <v/>
      </c>
      <c r="F2799" s="63">
        <f>IF(tblCommentary[[#This Row],[Date]]="","",tblCommentary[[#This Row],[Date]]&amp;"|"&amp;tblCommentary[[#This Row],[Seq_Day]])</f>
        <v/>
      </c>
    </row>
    <row r="2800">
      <c r="A2800" s="54" t="n"/>
      <c r="B2800" s="61" t="n"/>
      <c r="C2800" s="58" t="n"/>
      <c r="D2800" s="58" t="n"/>
      <c r="E2800" s="64">
        <f>IF(tblCommentary[[#This Row],[Date]]="","",COUNTIFS(INDEX(tblCommentary[Date],1):tblCommentary[[#This Row],[Date]],tblCommentary[[#This Row],[Date]]))</f>
        <v/>
      </c>
      <c r="F2800" s="63">
        <f>IF(tblCommentary[[#This Row],[Date]]="","",tblCommentary[[#This Row],[Date]]&amp;"|"&amp;tblCommentary[[#This Row],[Seq_Day]])</f>
        <v/>
      </c>
    </row>
    <row r="2801">
      <c r="A2801" s="54" t="n"/>
      <c r="B2801" s="61" t="n"/>
      <c r="C2801" s="58" t="n"/>
      <c r="D2801" s="58" t="n"/>
      <c r="E2801" s="64">
        <f>IF(tblCommentary[[#This Row],[Date]]="","",COUNTIFS(INDEX(tblCommentary[Date],1):tblCommentary[[#This Row],[Date]],tblCommentary[[#This Row],[Date]]))</f>
        <v/>
      </c>
      <c r="F2801" s="63">
        <f>IF(tblCommentary[[#This Row],[Date]]="","",tblCommentary[[#This Row],[Date]]&amp;"|"&amp;tblCommentary[[#This Row],[Seq_Day]])</f>
        <v/>
      </c>
    </row>
    <row r="2802">
      <c r="A2802" s="54" t="n"/>
      <c r="B2802" s="61" t="n"/>
      <c r="C2802" s="58" t="n"/>
      <c r="D2802" s="58" t="n"/>
      <c r="E2802" s="64">
        <f>IF(tblCommentary[[#This Row],[Date]]="","",COUNTIFS(INDEX(tblCommentary[Date],1):tblCommentary[[#This Row],[Date]],tblCommentary[[#This Row],[Date]]))</f>
        <v/>
      </c>
      <c r="F2802" s="63">
        <f>IF(tblCommentary[[#This Row],[Date]]="","",tblCommentary[[#This Row],[Date]]&amp;"|"&amp;tblCommentary[[#This Row],[Seq_Day]])</f>
        <v/>
      </c>
    </row>
    <row r="2803">
      <c r="A2803" s="54" t="n"/>
      <c r="B2803" s="61" t="n"/>
      <c r="C2803" s="58" t="n"/>
      <c r="D2803" s="58" t="n"/>
      <c r="E2803" s="64">
        <f>IF(tblCommentary[[#This Row],[Date]]="","",COUNTIFS(INDEX(tblCommentary[Date],1):tblCommentary[[#This Row],[Date]],tblCommentary[[#This Row],[Date]]))</f>
        <v/>
      </c>
      <c r="F2803" s="63">
        <f>IF(tblCommentary[[#This Row],[Date]]="","",tblCommentary[[#This Row],[Date]]&amp;"|"&amp;tblCommentary[[#This Row],[Seq_Day]])</f>
        <v/>
      </c>
    </row>
    <row r="2804">
      <c r="A2804" s="54" t="n"/>
      <c r="B2804" s="61" t="n"/>
      <c r="C2804" s="58" t="n"/>
      <c r="D2804" s="58" t="n"/>
      <c r="E2804" s="64">
        <f>IF(tblCommentary[[#This Row],[Date]]="","",COUNTIFS(INDEX(tblCommentary[Date],1):tblCommentary[[#This Row],[Date]],tblCommentary[[#This Row],[Date]]))</f>
        <v/>
      </c>
      <c r="F2804" s="63">
        <f>IF(tblCommentary[[#This Row],[Date]]="","",tblCommentary[[#This Row],[Date]]&amp;"|"&amp;tblCommentary[[#This Row],[Seq_Day]])</f>
        <v/>
      </c>
    </row>
    <row r="2805">
      <c r="A2805" s="54" t="n"/>
      <c r="B2805" s="61" t="n"/>
      <c r="C2805" s="58" t="n"/>
      <c r="D2805" s="58" t="n"/>
      <c r="E2805" s="64">
        <f>IF(tblCommentary[[#This Row],[Date]]="","",COUNTIFS(INDEX(tblCommentary[Date],1):tblCommentary[[#This Row],[Date]],tblCommentary[[#This Row],[Date]]))</f>
        <v/>
      </c>
      <c r="F2805" s="63">
        <f>IF(tblCommentary[[#This Row],[Date]]="","",tblCommentary[[#This Row],[Date]]&amp;"|"&amp;tblCommentary[[#This Row],[Seq_Day]])</f>
        <v/>
      </c>
    </row>
    <row r="2806">
      <c r="A2806" s="54" t="n"/>
      <c r="B2806" s="61" t="n"/>
      <c r="C2806" s="58" t="n"/>
      <c r="D2806" s="58" t="n"/>
      <c r="E2806" s="64">
        <f>IF(tblCommentary[[#This Row],[Date]]="","",COUNTIFS(INDEX(tblCommentary[Date],1):tblCommentary[[#This Row],[Date]],tblCommentary[[#This Row],[Date]]))</f>
        <v/>
      </c>
      <c r="F2806" s="63">
        <f>IF(tblCommentary[[#This Row],[Date]]="","",tblCommentary[[#This Row],[Date]]&amp;"|"&amp;tblCommentary[[#This Row],[Seq_Day]])</f>
        <v/>
      </c>
    </row>
    <row r="2807">
      <c r="A2807" s="54" t="n"/>
      <c r="B2807" s="61" t="n"/>
      <c r="C2807" s="58" t="n"/>
      <c r="D2807" s="58" t="n"/>
      <c r="E2807" s="64">
        <f>IF(tblCommentary[[#This Row],[Date]]="","",COUNTIFS(INDEX(tblCommentary[Date],1):tblCommentary[[#This Row],[Date]],tblCommentary[[#This Row],[Date]]))</f>
        <v/>
      </c>
      <c r="F2807" s="63">
        <f>IF(tblCommentary[[#This Row],[Date]]="","",tblCommentary[[#This Row],[Date]]&amp;"|"&amp;tblCommentary[[#This Row],[Seq_Day]])</f>
        <v/>
      </c>
    </row>
    <row r="2808">
      <c r="A2808" s="54" t="n"/>
      <c r="B2808" s="61" t="n"/>
      <c r="C2808" s="58" t="n"/>
      <c r="D2808" s="58" t="n"/>
      <c r="E2808" s="64">
        <f>IF(tblCommentary[[#This Row],[Date]]="","",COUNTIFS(INDEX(tblCommentary[Date],1):tblCommentary[[#This Row],[Date]],tblCommentary[[#This Row],[Date]]))</f>
        <v/>
      </c>
      <c r="F2808" s="63">
        <f>IF(tblCommentary[[#This Row],[Date]]="","",tblCommentary[[#This Row],[Date]]&amp;"|"&amp;tblCommentary[[#This Row],[Seq_Day]])</f>
        <v/>
      </c>
    </row>
    <row r="2809">
      <c r="A2809" s="54" t="n"/>
      <c r="B2809" s="61" t="n"/>
      <c r="C2809" s="58" t="n"/>
      <c r="D2809" s="58" t="n"/>
      <c r="E2809" s="64">
        <f>IF(tblCommentary[[#This Row],[Date]]="","",COUNTIFS(INDEX(tblCommentary[Date],1):tblCommentary[[#This Row],[Date]],tblCommentary[[#This Row],[Date]]))</f>
        <v/>
      </c>
      <c r="F2809" s="63">
        <f>IF(tblCommentary[[#This Row],[Date]]="","",tblCommentary[[#This Row],[Date]]&amp;"|"&amp;tblCommentary[[#This Row],[Seq_Day]])</f>
        <v/>
      </c>
    </row>
    <row r="2810">
      <c r="A2810" s="54" t="n"/>
      <c r="B2810" s="61" t="n"/>
      <c r="C2810" s="58" t="n"/>
      <c r="D2810" s="58" t="n"/>
      <c r="E2810" s="64">
        <f>IF(tblCommentary[[#This Row],[Date]]="","",COUNTIFS(INDEX(tblCommentary[Date],1):tblCommentary[[#This Row],[Date]],tblCommentary[[#This Row],[Date]]))</f>
        <v/>
      </c>
      <c r="F2810" s="63">
        <f>IF(tblCommentary[[#This Row],[Date]]="","",tblCommentary[[#This Row],[Date]]&amp;"|"&amp;tblCommentary[[#This Row],[Seq_Day]])</f>
        <v/>
      </c>
    </row>
    <row r="2811">
      <c r="A2811" s="54" t="n"/>
      <c r="B2811" s="61" t="n"/>
      <c r="C2811" s="58" t="n"/>
      <c r="D2811" s="58" t="n"/>
      <c r="E2811" s="64">
        <f>IF(tblCommentary[[#This Row],[Date]]="","",COUNTIFS(INDEX(tblCommentary[Date],1):tblCommentary[[#This Row],[Date]],tblCommentary[[#This Row],[Date]]))</f>
        <v/>
      </c>
      <c r="F2811" s="63">
        <f>IF(tblCommentary[[#This Row],[Date]]="","",tblCommentary[[#This Row],[Date]]&amp;"|"&amp;tblCommentary[[#This Row],[Seq_Day]])</f>
        <v/>
      </c>
    </row>
    <row r="2812">
      <c r="A2812" s="54" t="n"/>
      <c r="B2812" s="61" t="n"/>
      <c r="C2812" s="58" t="n"/>
      <c r="D2812" s="58" t="n"/>
      <c r="E2812" s="64">
        <f>IF(tblCommentary[[#This Row],[Date]]="","",COUNTIFS(INDEX(tblCommentary[Date],1):tblCommentary[[#This Row],[Date]],tblCommentary[[#This Row],[Date]]))</f>
        <v/>
      </c>
      <c r="F2812" s="63">
        <f>IF(tblCommentary[[#This Row],[Date]]="","",tblCommentary[[#This Row],[Date]]&amp;"|"&amp;tblCommentary[[#This Row],[Seq_Day]])</f>
        <v/>
      </c>
    </row>
    <row r="2813">
      <c r="A2813" s="54" t="n"/>
      <c r="B2813" s="61" t="n"/>
      <c r="C2813" s="58" t="n"/>
      <c r="D2813" s="58" t="n"/>
      <c r="E2813" s="64">
        <f>IF(tblCommentary[[#This Row],[Date]]="","",COUNTIFS(INDEX(tblCommentary[Date],1):tblCommentary[[#This Row],[Date]],tblCommentary[[#This Row],[Date]]))</f>
        <v/>
      </c>
      <c r="F2813" s="63">
        <f>IF(tblCommentary[[#This Row],[Date]]="","",tblCommentary[[#This Row],[Date]]&amp;"|"&amp;tblCommentary[[#This Row],[Seq_Day]])</f>
        <v/>
      </c>
    </row>
    <row r="2814">
      <c r="A2814" s="54" t="n"/>
      <c r="B2814" s="61" t="n"/>
      <c r="C2814" s="58" t="n"/>
      <c r="D2814" s="58" t="n"/>
      <c r="E2814" s="64">
        <f>IF(tblCommentary[[#This Row],[Date]]="","",COUNTIFS(INDEX(tblCommentary[Date],1):tblCommentary[[#This Row],[Date]],tblCommentary[[#This Row],[Date]]))</f>
        <v/>
      </c>
      <c r="F2814" s="63">
        <f>IF(tblCommentary[[#This Row],[Date]]="","",tblCommentary[[#This Row],[Date]]&amp;"|"&amp;tblCommentary[[#This Row],[Seq_Day]])</f>
        <v/>
      </c>
    </row>
    <row r="2815">
      <c r="A2815" s="54" t="n"/>
      <c r="B2815" s="61" t="n"/>
      <c r="C2815" s="58" t="n"/>
      <c r="D2815" s="58" t="n"/>
      <c r="E2815" s="64">
        <f>IF(tblCommentary[[#This Row],[Date]]="","",COUNTIFS(INDEX(tblCommentary[Date],1):tblCommentary[[#This Row],[Date]],tblCommentary[[#This Row],[Date]]))</f>
        <v/>
      </c>
      <c r="F2815" s="63">
        <f>IF(tblCommentary[[#This Row],[Date]]="","",tblCommentary[[#This Row],[Date]]&amp;"|"&amp;tblCommentary[[#This Row],[Seq_Day]])</f>
        <v/>
      </c>
    </row>
    <row r="2816">
      <c r="A2816" s="54" t="n"/>
      <c r="B2816" s="61" t="n"/>
      <c r="C2816" s="58" t="n"/>
      <c r="D2816" s="58" t="n"/>
      <c r="E2816" s="64">
        <f>IF(tblCommentary[[#This Row],[Date]]="","",COUNTIFS(INDEX(tblCommentary[Date],1):tblCommentary[[#This Row],[Date]],tblCommentary[[#This Row],[Date]]))</f>
        <v/>
      </c>
      <c r="F2816" s="63">
        <f>IF(tblCommentary[[#This Row],[Date]]="","",tblCommentary[[#This Row],[Date]]&amp;"|"&amp;tblCommentary[[#This Row],[Seq_Day]])</f>
        <v/>
      </c>
    </row>
    <row r="2817">
      <c r="A2817" s="54" t="n"/>
      <c r="B2817" s="61" t="n"/>
      <c r="C2817" s="58" t="n"/>
      <c r="D2817" s="58" t="n"/>
      <c r="E2817" s="64">
        <f>IF(tblCommentary[[#This Row],[Date]]="","",COUNTIFS(INDEX(tblCommentary[Date],1):tblCommentary[[#This Row],[Date]],tblCommentary[[#This Row],[Date]]))</f>
        <v/>
      </c>
      <c r="F2817" s="63">
        <f>IF(tblCommentary[[#This Row],[Date]]="","",tblCommentary[[#This Row],[Date]]&amp;"|"&amp;tblCommentary[[#This Row],[Seq_Day]])</f>
        <v/>
      </c>
    </row>
    <row r="2818">
      <c r="A2818" s="54" t="n"/>
      <c r="B2818" s="61" t="n"/>
      <c r="C2818" s="58" t="n"/>
      <c r="D2818" s="58" t="n"/>
      <c r="E2818" s="64">
        <f>IF(tblCommentary[[#This Row],[Date]]="","",COUNTIFS(INDEX(tblCommentary[Date],1):tblCommentary[[#This Row],[Date]],tblCommentary[[#This Row],[Date]]))</f>
        <v/>
      </c>
      <c r="F2818" s="63">
        <f>IF(tblCommentary[[#This Row],[Date]]="","",tblCommentary[[#This Row],[Date]]&amp;"|"&amp;tblCommentary[[#This Row],[Seq_Day]])</f>
        <v/>
      </c>
    </row>
    <row r="2819">
      <c r="A2819" s="54" t="n"/>
      <c r="B2819" s="61" t="n"/>
      <c r="C2819" s="58" t="n"/>
      <c r="D2819" s="58" t="n"/>
      <c r="E2819" s="64">
        <f>IF(tblCommentary[[#This Row],[Date]]="","",COUNTIFS(INDEX(tblCommentary[Date],1):tblCommentary[[#This Row],[Date]],tblCommentary[[#This Row],[Date]]))</f>
        <v/>
      </c>
      <c r="F2819" s="63">
        <f>IF(tblCommentary[[#This Row],[Date]]="","",tblCommentary[[#This Row],[Date]]&amp;"|"&amp;tblCommentary[[#This Row],[Seq_Day]])</f>
        <v/>
      </c>
    </row>
    <row r="2820">
      <c r="A2820" s="54" t="n"/>
      <c r="B2820" s="61" t="n"/>
      <c r="C2820" s="58" t="n"/>
      <c r="D2820" s="58" t="n"/>
      <c r="E2820" s="64">
        <f>IF(tblCommentary[[#This Row],[Date]]="","",COUNTIFS(INDEX(tblCommentary[Date],1):tblCommentary[[#This Row],[Date]],tblCommentary[[#This Row],[Date]]))</f>
        <v/>
      </c>
      <c r="F2820" s="63">
        <f>IF(tblCommentary[[#This Row],[Date]]="","",tblCommentary[[#This Row],[Date]]&amp;"|"&amp;tblCommentary[[#This Row],[Seq_Day]])</f>
        <v/>
      </c>
    </row>
    <row r="2821">
      <c r="A2821" s="54" t="n"/>
      <c r="B2821" s="61" t="n"/>
      <c r="C2821" s="58" t="n"/>
      <c r="D2821" s="58" t="n"/>
      <c r="E2821" s="64">
        <f>IF(tblCommentary[[#This Row],[Date]]="","",COUNTIFS(INDEX(tblCommentary[Date],1):tblCommentary[[#This Row],[Date]],tblCommentary[[#This Row],[Date]]))</f>
        <v/>
      </c>
      <c r="F2821" s="63">
        <f>IF(tblCommentary[[#This Row],[Date]]="","",tblCommentary[[#This Row],[Date]]&amp;"|"&amp;tblCommentary[[#This Row],[Seq_Day]])</f>
        <v/>
      </c>
    </row>
    <row r="2822">
      <c r="A2822" s="54" t="n"/>
      <c r="B2822" s="61" t="n"/>
      <c r="C2822" s="58" t="n"/>
      <c r="D2822" s="58" t="n"/>
      <c r="E2822" s="64">
        <f>IF(tblCommentary[[#This Row],[Date]]="","",COUNTIFS(INDEX(tblCommentary[Date],1):tblCommentary[[#This Row],[Date]],tblCommentary[[#This Row],[Date]]))</f>
        <v/>
      </c>
      <c r="F2822" s="63">
        <f>IF(tblCommentary[[#This Row],[Date]]="","",tblCommentary[[#This Row],[Date]]&amp;"|"&amp;tblCommentary[[#This Row],[Seq_Day]])</f>
        <v/>
      </c>
    </row>
    <row r="2823">
      <c r="A2823" s="54" t="n"/>
      <c r="B2823" s="61" t="n"/>
      <c r="C2823" s="58" t="n"/>
      <c r="D2823" s="58" t="n"/>
      <c r="E2823" s="64">
        <f>IF(tblCommentary[[#This Row],[Date]]="","",COUNTIFS(INDEX(tblCommentary[Date],1):tblCommentary[[#This Row],[Date]],tblCommentary[[#This Row],[Date]]))</f>
        <v/>
      </c>
      <c r="F2823" s="63">
        <f>IF(tblCommentary[[#This Row],[Date]]="","",tblCommentary[[#This Row],[Date]]&amp;"|"&amp;tblCommentary[[#This Row],[Seq_Day]])</f>
        <v/>
      </c>
    </row>
    <row r="2824">
      <c r="A2824" s="54" t="n"/>
      <c r="B2824" s="61" t="n"/>
      <c r="C2824" s="58" t="n"/>
      <c r="D2824" s="58" t="n"/>
      <c r="E2824" s="64">
        <f>IF(tblCommentary[[#This Row],[Date]]="","",COUNTIFS(INDEX(tblCommentary[Date],1):tblCommentary[[#This Row],[Date]],tblCommentary[[#This Row],[Date]]))</f>
        <v/>
      </c>
      <c r="F2824" s="63">
        <f>IF(tblCommentary[[#This Row],[Date]]="","",tblCommentary[[#This Row],[Date]]&amp;"|"&amp;tblCommentary[[#This Row],[Seq_Day]])</f>
        <v/>
      </c>
    </row>
    <row r="2825">
      <c r="A2825" s="54" t="n"/>
      <c r="B2825" s="61" t="n"/>
      <c r="C2825" s="58" t="n"/>
      <c r="D2825" s="58" t="n"/>
      <c r="E2825" s="64">
        <f>IF(tblCommentary[[#This Row],[Date]]="","",COUNTIFS(INDEX(tblCommentary[Date],1):tblCommentary[[#This Row],[Date]],tblCommentary[[#This Row],[Date]]))</f>
        <v/>
      </c>
      <c r="F2825" s="63">
        <f>IF(tblCommentary[[#This Row],[Date]]="","",tblCommentary[[#This Row],[Date]]&amp;"|"&amp;tblCommentary[[#This Row],[Seq_Day]])</f>
        <v/>
      </c>
    </row>
    <row r="2826">
      <c r="A2826" s="54" t="n"/>
      <c r="B2826" s="61" t="n"/>
      <c r="C2826" s="58" t="n"/>
      <c r="D2826" s="58" t="n"/>
      <c r="E2826" s="64">
        <f>IF(tblCommentary[[#This Row],[Date]]="","",COUNTIFS(INDEX(tblCommentary[Date],1):tblCommentary[[#This Row],[Date]],tblCommentary[[#This Row],[Date]]))</f>
        <v/>
      </c>
      <c r="F2826" s="63">
        <f>IF(tblCommentary[[#This Row],[Date]]="","",tblCommentary[[#This Row],[Date]]&amp;"|"&amp;tblCommentary[[#This Row],[Seq_Day]])</f>
        <v/>
      </c>
    </row>
    <row r="2827">
      <c r="A2827" s="54" t="n"/>
      <c r="B2827" s="61" t="n"/>
      <c r="C2827" s="58" t="n"/>
      <c r="D2827" s="58" t="n"/>
      <c r="E2827" s="64">
        <f>IF(tblCommentary[[#This Row],[Date]]="","",COUNTIFS(INDEX(tblCommentary[Date],1):tblCommentary[[#This Row],[Date]],tblCommentary[[#This Row],[Date]]))</f>
        <v/>
      </c>
      <c r="F2827" s="63">
        <f>IF(tblCommentary[[#This Row],[Date]]="","",tblCommentary[[#This Row],[Date]]&amp;"|"&amp;tblCommentary[[#This Row],[Seq_Day]])</f>
        <v/>
      </c>
    </row>
    <row r="2828">
      <c r="A2828" s="54" t="n"/>
      <c r="B2828" s="61" t="n"/>
      <c r="C2828" s="58" t="n"/>
      <c r="D2828" s="58" t="n"/>
      <c r="E2828" s="64">
        <f>IF(tblCommentary[[#This Row],[Date]]="","",COUNTIFS(INDEX(tblCommentary[Date],1):tblCommentary[[#This Row],[Date]],tblCommentary[[#This Row],[Date]]))</f>
        <v/>
      </c>
      <c r="F2828" s="63">
        <f>IF(tblCommentary[[#This Row],[Date]]="","",tblCommentary[[#This Row],[Date]]&amp;"|"&amp;tblCommentary[[#This Row],[Seq_Day]])</f>
        <v/>
      </c>
    </row>
    <row r="2829">
      <c r="A2829" s="54" t="n"/>
      <c r="B2829" s="61" t="n"/>
      <c r="C2829" s="58" t="n"/>
      <c r="D2829" s="58" t="n"/>
      <c r="E2829" s="64">
        <f>IF(tblCommentary[[#This Row],[Date]]="","",COUNTIFS(INDEX(tblCommentary[Date],1):tblCommentary[[#This Row],[Date]],tblCommentary[[#This Row],[Date]]))</f>
        <v/>
      </c>
      <c r="F2829" s="63">
        <f>IF(tblCommentary[[#This Row],[Date]]="","",tblCommentary[[#This Row],[Date]]&amp;"|"&amp;tblCommentary[[#This Row],[Seq_Day]])</f>
        <v/>
      </c>
    </row>
    <row r="2830">
      <c r="A2830" s="54" t="n"/>
      <c r="B2830" s="61" t="n"/>
      <c r="C2830" s="58" t="n"/>
      <c r="D2830" s="58" t="n"/>
      <c r="E2830" s="64">
        <f>IF(tblCommentary[[#This Row],[Date]]="","",COUNTIFS(INDEX(tblCommentary[Date],1):tblCommentary[[#This Row],[Date]],tblCommentary[[#This Row],[Date]]))</f>
        <v/>
      </c>
      <c r="F2830" s="63">
        <f>IF(tblCommentary[[#This Row],[Date]]="","",tblCommentary[[#This Row],[Date]]&amp;"|"&amp;tblCommentary[[#This Row],[Seq_Day]])</f>
        <v/>
      </c>
    </row>
    <row r="2831">
      <c r="A2831" s="54" t="n"/>
      <c r="B2831" s="61" t="n"/>
      <c r="C2831" s="58" t="n"/>
      <c r="D2831" s="58" t="n"/>
      <c r="E2831" s="64">
        <f>IF(tblCommentary[[#This Row],[Date]]="","",COUNTIFS(INDEX(tblCommentary[Date],1):tblCommentary[[#This Row],[Date]],tblCommentary[[#This Row],[Date]]))</f>
        <v/>
      </c>
      <c r="F2831" s="63">
        <f>IF(tblCommentary[[#This Row],[Date]]="","",tblCommentary[[#This Row],[Date]]&amp;"|"&amp;tblCommentary[[#This Row],[Seq_Day]])</f>
        <v/>
      </c>
    </row>
    <row r="2832">
      <c r="A2832" s="54" t="n"/>
      <c r="B2832" s="61" t="n"/>
      <c r="C2832" s="58" t="n"/>
      <c r="D2832" s="58" t="n"/>
      <c r="E2832" s="64">
        <f>IF(tblCommentary[[#This Row],[Date]]="","",COUNTIFS(INDEX(tblCommentary[Date],1):tblCommentary[[#This Row],[Date]],tblCommentary[[#This Row],[Date]]))</f>
        <v/>
      </c>
      <c r="F2832" s="63">
        <f>IF(tblCommentary[[#This Row],[Date]]="","",tblCommentary[[#This Row],[Date]]&amp;"|"&amp;tblCommentary[[#This Row],[Seq_Day]])</f>
        <v/>
      </c>
    </row>
    <row r="2833">
      <c r="A2833" s="54" t="n"/>
      <c r="B2833" s="61" t="n"/>
      <c r="C2833" s="58" t="n"/>
      <c r="D2833" s="58" t="n"/>
      <c r="E2833" s="64">
        <f>IF(tblCommentary[[#This Row],[Date]]="","",COUNTIFS(INDEX(tblCommentary[Date],1):tblCommentary[[#This Row],[Date]],tblCommentary[[#This Row],[Date]]))</f>
        <v/>
      </c>
      <c r="F2833" s="63">
        <f>IF(tblCommentary[[#This Row],[Date]]="","",tblCommentary[[#This Row],[Date]]&amp;"|"&amp;tblCommentary[[#This Row],[Seq_Day]])</f>
        <v/>
      </c>
    </row>
    <row r="2834">
      <c r="A2834" s="54" t="n"/>
      <c r="B2834" s="61" t="n"/>
      <c r="C2834" s="58" t="n"/>
      <c r="D2834" s="58" t="n"/>
      <c r="E2834" s="64">
        <f>IF(tblCommentary[[#This Row],[Date]]="","",COUNTIFS(INDEX(tblCommentary[Date],1):tblCommentary[[#This Row],[Date]],tblCommentary[[#This Row],[Date]]))</f>
        <v/>
      </c>
      <c r="F2834" s="63">
        <f>IF(tblCommentary[[#This Row],[Date]]="","",tblCommentary[[#This Row],[Date]]&amp;"|"&amp;tblCommentary[[#This Row],[Seq_Day]])</f>
        <v/>
      </c>
    </row>
    <row r="2835">
      <c r="A2835" s="54" t="n"/>
      <c r="B2835" s="61" t="n"/>
      <c r="C2835" s="58" t="n"/>
      <c r="D2835" s="58" t="n"/>
      <c r="E2835" s="64">
        <f>IF(tblCommentary[[#This Row],[Date]]="","",COUNTIFS(INDEX(tblCommentary[Date],1):tblCommentary[[#This Row],[Date]],tblCommentary[[#This Row],[Date]]))</f>
        <v/>
      </c>
      <c r="F2835" s="63">
        <f>IF(tblCommentary[[#This Row],[Date]]="","",tblCommentary[[#This Row],[Date]]&amp;"|"&amp;tblCommentary[[#This Row],[Seq_Day]])</f>
        <v/>
      </c>
    </row>
    <row r="2836">
      <c r="A2836" s="54" t="n"/>
      <c r="B2836" s="61" t="n"/>
      <c r="C2836" s="58" t="n"/>
      <c r="D2836" s="58" t="n"/>
      <c r="E2836" s="64">
        <f>IF(tblCommentary[[#This Row],[Date]]="","",COUNTIFS(INDEX(tblCommentary[Date],1):tblCommentary[[#This Row],[Date]],tblCommentary[[#This Row],[Date]]))</f>
        <v/>
      </c>
      <c r="F2836" s="63">
        <f>IF(tblCommentary[[#This Row],[Date]]="","",tblCommentary[[#This Row],[Date]]&amp;"|"&amp;tblCommentary[[#This Row],[Seq_Day]])</f>
        <v/>
      </c>
    </row>
    <row r="2837">
      <c r="A2837" s="54" t="n"/>
      <c r="B2837" s="61" t="n"/>
      <c r="C2837" s="58" t="n"/>
      <c r="D2837" s="58" t="n"/>
      <c r="E2837" s="64">
        <f>IF(tblCommentary[[#This Row],[Date]]="","",COUNTIFS(INDEX(tblCommentary[Date],1):tblCommentary[[#This Row],[Date]],tblCommentary[[#This Row],[Date]]))</f>
        <v/>
      </c>
      <c r="F2837" s="63">
        <f>IF(tblCommentary[[#This Row],[Date]]="","",tblCommentary[[#This Row],[Date]]&amp;"|"&amp;tblCommentary[[#This Row],[Seq_Day]])</f>
        <v/>
      </c>
    </row>
    <row r="2838">
      <c r="A2838" s="54" t="n"/>
      <c r="B2838" s="61" t="n"/>
      <c r="C2838" s="58" t="n"/>
      <c r="D2838" s="58" t="n"/>
      <c r="E2838" s="64">
        <f>IF(tblCommentary[[#This Row],[Date]]="","",COUNTIFS(INDEX(tblCommentary[Date],1):tblCommentary[[#This Row],[Date]],tblCommentary[[#This Row],[Date]]))</f>
        <v/>
      </c>
      <c r="F2838" s="63">
        <f>IF(tblCommentary[[#This Row],[Date]]="","",tblCommentary[[#This Row],[Date]]&amp;"|"&amp;tblCommentary[[#This Row],[Seq_Day]])</f>
        <v/>
      </c>
    </row>
    <row r="2839">
      <c r="A2839" s="54" t="n"/>
      <c r="B2839" s="61" t="n"/>
      <c r="C2839" s="58" t="n"/>
      <c r="D2839" s="58" t="n"/>
      <c r="E2839" s="64">
        <f>IF(tblCommentary[[#This Row],[Date]]="","",COUNTIFS(INDEX(tblCommentary[Date],1):tblCommentary[[#This Row],[Date]],tblCommentary[[#This Row],[Date]]))</f>
        <v/>
      </c>
      <c r="F2839" s="63">
        <f>IF(tblCommentary[[#This Row],[Date]]="","",tblCommentary[[#This Row],[Date]]&amp;"|"&amp;tblCommentary[[#This Row],[Seq_Day]])</f>
        <v/>
      </c>
    </row>
    <row r="2840">
      <c r="A2840" s="54" t="n"/>
      <c r="B2840" s="61" t="n"/>
      <c r="C2840" s="58" t="n"/>
      <c r="D2840" s="58" t="n"/>
      <c r="E2840" s="64">
        <f>IF(tblCommentary[[#This Row],[Date]]="","",COUNTIFS(INDEX(tblCommentary[Date],1):tblCommentary[[#This Row],[Date]],tblCommentary[[#This Row],[Date]]))</f>
        <v/>
      </c>
      <c r="F2840" s="63">
        <f>IF(tblCommentary[[#This Row],[Date]]="","",tblCommentary[[#This Row],[Date]]&amp;"|"&amp;tblCommentary[[#This Row],[Seq_Day]])</f>
        <v/>
      </c>
    </row>
    <row r="2841">
      <c r="A2841" s="54" t="n"/>
      <c r="B2841" s="61" t="n"/>
      <c r="C2841" s="58" t="n"/>
      <c r="D2841" s="58" t="n"/>
      <c r="E2841" s="64">
        <f>IF(tblCommentary[[#This Row],[Date]]="","",COUNTIFS(INDEX(tblCommentary[Date],1):tblCommentary[[#This Row],[Date]],tblCommentary[[#This Row],[Date]]))</f>
        <v/>
      </c>
      <c r="F2841" s="63">
        <f>IF(tblCommentary[[#This Row],[Date]]="","",tblCommentary[[#This Row],[Date]]&amp;"|"&amp;tblCommentary[[#This Row],[Seq_Day]])</f>
        <v/>
      </c>
    </row>
    <row r="2842">
      <c r="A2842" s="54" t="n"/>
      <c r="B2842" s="61" t="n"/>
      <c r="C2842" s="58" t="n"/>
      <c r="D2842" s="58" t="n"/>
      <c r="E2842" s="64">
        <f>IF(tblCommentary[[#This Row],[Date]]="","",COUNTIFS(INDEX(tblCommentary[Date],1):tblCommentary[[#This Row],[Date]],tblCommentary[[#This Row],[Date]]))</f>
        <v/>
      </c>
      <c r="F2842" s="63">
        <f>IF(tblCommentary[[#This Row],[Date]]="","",tblCommentary[[#This Row],[Date]]&amp;"|"&amp;tblCommentary[[#This Row],[Seq_Day]])</f>
        <v/>
      </c>
    </row>
    <row r="2843">
      <c r="A2843" s="54" t="n"/>
      <c r="B2843" s="61" t="n"/>
      <c r="C2843" s="58" t="n"/>
      <c r="D2843" s="58" t="n"/>
      <c r="E2843" s="64">
        <f>IF(tblCommentary[[#This Row],[Date]]="","",COUNTIFS(INDEX(tblCommentary[Date],1):tblCommentary[[#This Row],[Date]],tblCommentary[[#This Row],[Date]]))</f>
        <v/>
      </c>
      <c r="F2843" s="63">
        <f>IF(tblCommentary[[#This Row],[Date]]="","",tblCommentary[[#This Row],[Date]]&amp;"|"&amp;tblCommentary[[#This Row],[Seq_Day]])</f>
        <v/>
      </c>
    </row>
    <row r="2844">
      <c r="A2844" s="54" t="n"/>
      <c r="B2844" s="61" t="n"/>
      <c r="C2844" s="58" t="n"/>
      <c r="D2844" s="58" t="n"/>
      <c r="E2844" s="64">
        <f>IF(tblCommentary[[#This Row],[Date]]="","",COUNTIFS(INDEX(tblCommentary[Date],1):tblCommentary[[#This Row],[Date]],tblCommentary[[#This Row],[Date]]))</f>
        <v/>
      </c>
      <c r="F2844" s="63">
        <f>IF(tblCommentary[[#This Row],[Date]]="","",tblCommentary[[#This Row],[Date]]&amp;"|"&amp;tblCommentary[[#This Row],[Seq_Day]])</f>
        <v/>
      </c>
    </row>
    <row r="2845">
      <c r="A2845" s="54" t="n"/>
      <c r="B2845" s="61" t="n"/>
      <c r="C2845" s="58" t="n"/>
      <c r="D2845" s="58" t="n"/>
      <c r="E2845" s="64">
        <f>IF(tblCommentary[[#This Row],[Date]]="","",COUNTIFS(INDEX(tblCommentary[Date],1):tblCommentary[[#This Row],[Date]],tblCommentary[[#This Row],[Date]]))</f>
        <v/>
      </c>
      <c r="F2845" s="63">
        <f>IF(tblCommentary[[#This Row],[Date]]="","",tblCommentary[[#This Row],[Date]]&amp;"|"&amp;tblCommentary[[#This Row],[Seq_Day]])</f>
        <v/>
      </c>
    </row>
    <row r="2846">
      <c r="A2846" s="54" t="n"/>
      <c r="B2846" s="61" t="n"/>
      <c r="C2846" s="58" t="n"/>
      <c r="D2846" s="58" t="n"/>
      <c r="E2846" s="64">
        <f>IF(tblCommentary[[#This Row],[Date]]="","",COUNTIFS(INDEX(tblCommentary[Date],1):tblCommentary[[#This Row],[Date]],tblCommentary[[#This Row],[Date]]))</f>
        <v/>
      </c>
      <c r="F2846" s="63">
        <f>IF(tblCommentary[[#This Row],[Date]]="","",tblCommentary[[#This Row],[Date]]&amp;"|"&amp;tblCommentary[[#This Row],[Seq_Day]])</f>
        <v/>
      </c>
    </row>
    <row r="2847">
      <c r="A2847" s="54" t="n"/>
      <c r="B2847" s="61" t="n"/>
      <c r="C2847" s="58" t="n"/>
      <c r="D2847" s="58" t="n"/>
      <c r="E2847" s="64">
        <f>IF(tblCommentary[[#This Row],[Date]]="","",COUNTIFS(INDEX(tblCommentary[Date],1):tblCommentary[[#This Row],[Date]],tblCommentary[[#This Row],[Date]]))</f>
        <v/>
      </c>
      <c r="F2847" s="63">
        <f>IF(tblCommentary[[#This Row],[Date]]="","",tblCommentary[[#This Row],[Date]]&amp;"|"&amp;tblCommentary[[#This Row],[Seq_Day]])</f>
        <v/>
      </c>
    </row>
    <row r="2848">
      <c r="A2848" s="54" t="n"/>
      <c r="B2848" s="61" t="n"/>
      <c r="C2848" s="58" t="n"/>
      <c r="D2848" s="58" t="n"/>
      <c r="E2848" s="64">
        <f>IF(tblCommentary[[#This Row],[Date]]="","",COUNTIFS(INDEX(tblCommentary[Date],1):tblCommentary[[#This Row],[Date]],tblCommentary[[#This Row],[Date]]))</f>
        <v/>
      </c>
      <c r="F2848" s="63">
        <f>IF(tblCommentary[[#This Row],[Date]]="","",tblCommentary[[#This Row],[Date]]&amp;"|"&amp;tblCommentary[[#This Row],[Seq_Day]])</f>
        <v/>
      </c>
    </row>
    <row r="2849">
      <c r="A2849" s="54" t="n"/>
      <c r="B2849" s="61" t="n"/>
      <c r="C2849" s="58" t="n"/>
      <c r="D2849" s="58" t="n"/>
      <c r="E2849" s="64">
        <f>IF(tblCommentary[[#This Row],[Date]]="","",COUNTIFS(INDEX(tblCommentary[Date],1):tblCommentary[[#This Row],[Date]],tblCommentary[[#This Row],[Date]]))</f>
        <v/>
      </c>
      <c r="F2849" s="63">
        <f>IF(tblCommentary[[#This Row],[Date]]="","",tblCommentary[[#This Row],[Date]]&amp;"|"&amp;tblCommentary[[#This Row],[Seq_Day]])</f>
        <v/>
      </c>
    </row>
    <row r="2850">
      <c r="A2850" s="54" t="n"/>
      <c r="B2850" s="61" t="n"/>
      <c r="C2850" s="58" t="n"/>
      <c r="D2850" s="58" t="n"/>
      <c r="E2850" s="64">
        <f>IF(tblCommentary[[#This Row],[Date]]="","",COUNTIFS(INDEX(tblCommentary[Date],1):tblCommentary[[#This Row],[Date]],tblCommentary[[#This Row],[Date]]))</f>
        <v/>
      </c>
      <c r="F2850" s="63">
        <f>IF(tblCommentary[[#This Row],[Date]]="","",tblCommentary[[#This Row],[Date]]&amp;"|"&amp;tblCommentary[[#This Row],[Seq_Day]])</f>
        <v/>
      </c>
    </row>
    <row r="2851">
      <c r="A2851" s="54" t="n"/>
      <c r="B2851" s="61" t="n"/>
      <c r="C2851" s="58" t="n"/>
      <c r="D2851" s="58" t="n"/>
      <c r="E2851" s="64">
        <f>IF(tblCommentary[[#This Row],[Date]]="","",COUNTIFS(INDEX(tblCommentary[Date],1):tblCommentary[[#This Row],[Date]],tblCommentary[[#This Row],[Date]]))</f>
        <v/>
      </c>
      <c r="F2851" s="63">
        <f>IF(tblCommentary[[#This Row],[Date]]="","",tblCommentary[[#This Row],[Date]]&amp;"|"&amp;tblCommentary[[#This Row],[Seq_Day]])</f>
        <v/>
      </c>
    </row>
    <row r="2852">
      <c r="A2852" s="54" t="n"/>
      <c r="B2852" s="61" t="n"/>
      <c r="C2852" s="58" t="n"/>
      <c r="D2852" s="58" t="n"/>
      <c r="E2852" s="64">
        <f>IF(tblCommentary[[#This Row],[Date]]="","",COUNTIFS(INDEX(tblCommentary[Date],1):tblCommentary[[#This Row],[Date]],tblCommentary[[#This Row],[Date]]))</f>
        <v/>
      </c>
      <c r="F2852" s="63">
        <f>IF(tblCommentary[[#This Row],[Date]]="","",tblCommentary[[#This Row],[Date]]&amp;"|"&amp;tblCommentary[[#This Row],[Seq_Day]])</f>
        <v/>
      </c>
    </row>
    <row r="2853">
      <c r="A2853" s="54" t="n"/>
      <c r="B2853" s="61" t="n"/>
      <c r="C2853" s="58" t="n"/>
      <c r="D2853" s="58" t="n"/>
      <c r="E2853" s="64">
        <f>IF(tblCommentary[[#This Row],[Date]]="","",COUNTIFS(INDEX(tblCommentary[Date],1):tblCommentary[[#This Row],[Date]],tblCommentary[[#This Row],[Date]]))</f>
        <v/>
      </c>
      <c r="F2853" s="63">
        <f>IF(tblCommentary[[#This Row],[Date]]="","",tblCommentary[[#This Row],[Date]]&amp;"|"&amp;tblCommentary[[#This Row],[Seq_Day]])</f>
        <v/>
      </c>
    </row>
    <row r="2854">
      <c r="A2854" s="54" t="n"/>
      <c r="B2854" s="61" t="n"/>
      <c r="C2854" s="58" t="n"/>
      <c r="D2854" s="58" t="n"/>
      <c r="E2854" s="64">
        <f>IF(tblCommentary[[#This Row],[Date]]="","",COUNTIFS(INDEX(tblCommentary[Date],1):tblCommentary[[#This Row],[Date]],tblCommentary[[#This Row],[Date]]))</f>
        <v/>
      </c>
      <c r="F2854" s="63">
        <f>IF(tblCommentary[[#This Row],[Date]]="","",tblCommentary[[#This Row],[Date]]&amp;"|"&amp;tblCommentary[[#This Row],[Seq_Day]])</f>
        <v/>
      </c>
    </row>
    <row r="2855">
      <c r="A2855" s="54" t="n"/>
      <c r="B2855" s="61" t="n"/>
      <c r="C2855" s="58" t="n"/>
      <c r="D2855" s="58" t="n"/>
      <c r="E2855" s="64">
        <f>IF(tblCommentary[[#This Row],[Date]]="","",COUNTIFS(INDEX(tblCommentary[Date],1):tblCommentary[[#This Row],[Date]],tblCommentary[[#This Row],[Date]]))</f>
        <v/>
      </c>
      <c r="F2855" s="63">
        <f>IF(tblCommentary[[#This Row],[Date]]="","",tblCommentary[[#This Row],[Date]]&amp;"|"&amp;tblCommentary[[#This Row],[Seq_Day]])</f>
        <v/>
      </c>
    </row>
    <row r="2856">
      <c r="A2856" s="54" t="n"/>
      <c r="B2856" s="61" t="n"/>
      <c r="C2856" s="58" t="n"/>
      <c r="D2856" s="58" t="n"/>
      <c r="E2856" s="64">
        <f>IF(tblCommentary[[#This Row],[Date]]="","",COUNTIFS(INDEX(tblCommentary[Date],1):tblCommentary[[#This Row],[Date]],tblCommentary[[#This Row],[Date]]))</f>
        <v/>
      </c>
      <c r="F2856" s="63">
        <f>IF(tblCommentary[[#This Row],[Date]]="","",tblCommentary[[#This Row],[Date]]&amp;"|"&amp;tblCommentary[[#This Row],[Seq_Day]])</f>
        <v/>
      </c>
    </row>
    <row r="2857">
      <c r="A2857" s="54" t="n"/>
      <c r="B2857" s="61" t="n"/>
      <c r="C2857" s="58" t="n"/>
      <c r="D2857" s="58" t="n"/>
      <c r="E2857" s="64">
        <f>IF(tblCommentary[[#This Row],[Date]]="","",COUNTIFS(INDEX(tblCommentary[Date],1):tblCommentary[[#This Row],[Date]],tblCommentary[[#This Row],[Date]]))</f>
        <v/>
      </c>
      <c r="F2857" s="63">
        <f>IF(tblCommentary[[#This Row],[Date]]="","",tblCommentary[[#This Row],[Date]]&amp;"|"&amp;tblCommentary[[#This Row],[Seq_Day]])</f>
        <v/>
      </c>
    </row>
    <row r="2858">
      <c r="A2858" s="54" t="n"/>
      <c r="B2858" s="61" t="n"/>
      <c r="C2858" s="58" t="n"/>
      <c r="D2858" s="58" t="n"/>
      <c r="E2858" s="64">
        <f>IF(tblCommentary[[#This Row],[Date]]="","",COUNTIFS(INDEX(tblCommentary[Date],1):tblCommentary[[#This Row],[Date]],tblCommentary[[#This Row],[Date]]))</f>
        <v/>
      </c>
      <c r="F2858" s="63">
        <f>IF(tblCommentary[[#This Row],[Date]]="","",tblCommentary[[#This Row],[Date]]&amp;"|"&amp;tblCommentary[[#This Row],[Seq_Day]])</f>
        <v/>
      </c>
    </row>
    <row r="2859">
      <c r="A2859" s="54" t="n"/>
      <c r="B2859" s="61" t="n"/>
      <c r="C2859" s="58" t="n"/>
      <c r="D2859" s="58" t="n"/>
      <c r="E2859" s="64">
        <f>IF(tblCommentary[[#This Row],[Date]]="","",COUNTIFS(INDEX(tblCommentary[Date],1):tblCommentary[[#This Row],[Date]],tblCommentary[[#This Row],[Date]]))</f>
        <v/>
      </c>
      <c r="F2859" s="63">
        <f>IF(tblCommentary[[#This Row],[Date]]="","",tblCommentary[[#This Row],[Date]]&amp;"|"&amp;tblCommentary[[#This Row],[Seq_Day]])</f>
        <v/>
      </c>
    </row>
    <row r="2860">
      <c r="A2860" s="54" t="n"/>
      <c r="B2860" s="61" t="n"/>
      <c r="C2860" s="58" t="n"/>
      <c r="D2860" s="58" t="n"/>
      <c r="E2860" s="64">
        <f>IF(tblCommentary[[#This Row],[Date]]="","",COUNTIFS(INDEX(tblCommentary[Date],1):tblCommentary[[#This Row],[Date]],tblCommentary[[#This Row],[Date]]))</f>
        <v/>
      </c>
      <c r="F2860" s="63">
        <f>IF(tblCommentary[[#This Row],[Date]]="","",tblCommentary[[#This Row],[Date]]&amp;"|"&amp;tblCommentary[[#This Row],[Seq_Day]])</f>
        <v/>
      </c>
    </row>
    <row r="2861">
      <c r="A2861" s="54" t="n"/>
      <c r="B2861" s="61" t="n"/>
      <c r="C2861" s="58" t="n"/>
      <c r="D2861" s="58" t="n"/>
      <c r="E2861" s="64">
        <f>IF(tblCommentary[[#This Row],[Date]]="","",COUNTIFS(INDEX(tblCommentary[Date],1):tblCommentary[[#This Row],[Date]],tblCommentary[[#This Row],[Date]]))</f>
        <v/>
      </c>
      <c r="F2861" s="63">
        <f>IF(tblCommentary[[#This Row],[Date]]="","",tblCommentary[[#This Row],[Date]]&amp;"|"&amp;tblCommentary[[#This Row],[Seq_Day]])</f>
        <v/>
      </c>
    </row>
    <row r="2862">
      <c r="A2862" s="54" t="n"/>
      <c r="B2862" s="61" t="n"/>
      <c r="C2862" s="58" t="n"/>
      <c r="D2862" s="58" t="n"/>
      <c r="E2862" s="64">
        <f>IF(tblCommentary[[#This Row],[Date]]="","",COUNTIFS(INDEX(tblCommentary[Date],1):tblCommentary[[#This Row],[Date]],tblCommentary[[#This Row],[Date]]))</f>
        <v/>
      </c>
      <c r="F2862" s="63">
        <f>IF(tblCommentary[[#This Row],[Date]]="","",tblCommentary[[#This Row],[Date]]&amp;"|"&amp;tblCommentary[[#This Row],[Seq_Day]])</f>
        <v/>
      </c>
    </row>
    <row r="2863">
      <c r="A2863" s="54" t="n"/>
      <c r="B2863" s="61" t="n"/>
      <c r="C2863" s="58" t="n"/>
      <c r="D2863" s="58" t="n"/>
      <c r="E2863" s="64">
        <f>IF(tblCommentary[[#This Row],[Date]]="","",COUNTIFS(INDEX(tblCommentary[Date],1):tblCommentary[[#This Row],[Date]],tblCommentary[[#This Row],[Date]]))</f>
        <v/>
      </c>
      <c r="F2863" s="63">
        <f>IF(tblCommentary[[#This Row],[Date]]="","",tblCommentary[[#This Row],[Date]]&amp;"|"&amp;tblCommentary[[#This Row],[Seq_Day]])</f>
        <v/>
      </c>
    </row>
    <row r="2864">
      <c r="A2864" s="54" t="n"/>
      <c r="B2864" s="61" t="n"/>
      <c r="C2864" s="58" t="n"/>
      <c r="D2864" s="58" t="n"/>
      <c r="E2864" s="64">
        <f>IF(tblCommentary[[#This Row],[Date]]="","",COUNTIFS(INDEX(tblCommentary[Date],1):tblCommentary[[#This Row],[Date]],tblCommentary[[#This Row],[Date]]))</f>
        <v/>
      </c>
      <c r="F2864" s="63">
        <f>IF(tblCommentary[[#This Row],[Date]]="","",tblCommentary[[#This Row],[Date]]&amp;"|"&amp;tblCommentary[[#This Row],[Seq_Day]])</f>
        <v/>
      </c>
    </row>
    <row r="2865">
      <c r="A2865" s="54" t="n"/>
      <c r="B2865" s="61" t="n"/>
      <c r="C2865" s="58" t="n"/>
      <c r="D2865" s="58" t="n"/>
      <c r="E2865" s="64">
        <f>IF(tblCommentary[[#This Row],[Date]]="","",COUNTIFS(INDEX(tblCommentary[Date],1):tblCommentary[[#This Row],[Date]],tblCommentary[[#This Row],[Date]]))</f>
        <v/>
      </c>
      <c r="F2865" s="63">
        <f>IF(tblCommentary[[#This Row],[Date]]="","",tblCommentary[[#This Row],[Date]]&amp;"|"&amp;tblCommentary[[#This Row],[Seq_Day]])</f>
        <v/>
      </c>
    </row>
    <row r="2866">
      <c r="A2866" s="54" t="n"/>
      <c r="B2866" s="61" t="n"/>
      <c r="C2866" s="58" t="n"/>
      <c r="D2866" s="58" t="n"/>
      <c r="E2866" s="64">
        <f>IF(tblCommentary[[#This Row],[Date]]="","",COUNTIFS(INDEX(tblCommentary[Date],1):tblCommentary[[#This Row],[Date]],tblCommentary[[#This Row],[Date]]))</f>
        <v/>
      </c>
      <c r="F2866" s="63">
        <f>IF(tblCommentary[[#This Row],[Date]]="","",tblCommentary[[#This Row],[Date]]&amp;"|"&amp;tblCommentary[[#This Row],[Seq_Day]])</f>
        <v/>
      </c>
    </row>
    <row r="2867">
      <c r="A2867" s="54" t="n"/>
      <c r="B2867" s="61" t="n"/>
      <c r="C2867" s="58" t="n"/>
      <c r="D2867" s="58" t="n"/>
      <c r="E2867" s="64">
        <f>IF(tblCommentary[[#This Row],[Date]]="","",COUNTIFS(INDEX(tblCommentary[Date],1):tblCommentary[[#This Row],[Date]],tblCommentary[[#This Row],[Date]]))</f>
        <v/>
      </c>
      <c r="F2867" s="63">
        <f>IF(tblCommentary[[#This Row],[Date]]="","",tblCommentary[[#This Row],[Date]]&amp;"|"&amp;tblCommentary[[#This Row],[Seq_Day]])</f>
        <v/>
      </c>
    </row>
    <row r="2868">
      <c r="A2868" s="54" t="n"/>
      <c r="B2868" s="61" t="n"/>
      <c r="C2868" s="58" t="n"/>
      <c r="D2868" s="58" t="n"/>
      <c r="E2868" s="64">
        <f>IF(tblCommentary[[#This Row],[Date]]="","",COUNTIFS(INDEX(tblCommentary[Date],1):tblCommentary[[#This Row],[Date]],tblCommentary[[#This Row],[Date]]))</f>
        <v/>
      </c>
      <c r="F2868" s="63">
        <f>IF(tblCommentary[[#This Row],[Date]]="","",tblCommentary[[#This Row],[Date]]&amp;"|"&amp;tblCommentary[[#This Row],[Seq_Day]])</f>
        <v/>
      </c>
    </row>
    <row r="2869">
      <c r="A2869" s="54" t="n"/>
      <c r="B2869" s="61" t="n"/>
      <c r="C2869" s="58" t="n"/>
      <c r="D2869" s="58" t="n"/>
      <c r="E2869" s="64">
        <f>IF(tblCommentary[[#This Row],[Date]]="","",COUNTIFS(INDEX(tblCommentary[Date],1):tblCommentary[[#This Row],[Date]],tblCommentary[[#This Row],[Date]]))</f>
        <v/>
      </c>
      <c r="F2869" s="63">
        <f>IF(tblCommentary[[#This Row],[Date]]="","",tblCommentary[[#This Row],[Date]]&amp;"|"&amp;tblCommentary[[#This Row],[Seq_Day]])</f>
        <v/>
      </c>
    </row>
    <row r="2870">
      <c r="A2870" s="54" t="n"/>
      <c r="B2870" s="61" t="n"/>
      <c r="C2870" s="58" t="n"/>
      <c r="D2870" s="58" t="n"/>
      <c r="E2870" s="64">
        <f>IF(tblCommentary[[#This Row],[Date]]="","",COUNTIFS(INDEX(tblCommentary[Date],1):tblCommentary[[#This Row],[Date]],tblCommentary[[#This Row],[Date]]))</f>
        <v/>
      </c>
      <c r="F2870" s="63">
        <f>IF(tblCommentary[[#This Row],[Date]]="","",tblCommentary[[#This Row],[Date]]&amp;"|"&amp;tblCommentary[[#This Row],[Seq_Day]])</f>
        <v/>
      </c>
    </row>
    <row r="2871">
      <c r="A2871" s="54" t="n"/>
      <c r="B2871" s="61" t="n"/>
      <c r="C2871" s="58" t="n"/>
      <c r="D2871" s="58" t="n"/>
      <c r="E2871" s="64">
        <f>IF(tblCommentary[[#This Row],[Date]]="","",COUNTIFS(INDEX(tblCommentary[Date],1):tblCommentary[[#This Row],[Date]],tblCommentary[[#This Row],[Date]]))</f>
        <v/>
      </c>
      <c r="F2871" s="63">
        <f>IF(tblCommentary[[#This Row],[Date]]="","",tblCommentary[[#This Row],[Date]]&amp;"|"&amp;tblCommentary[[#This Row],[Seq_Day]])</f>
        <v/>
      </c>
    </row>
    <row r="2872">
      <c r="A2872" s="54" t="n"/>
      <c r="B2872" s="61" t="n"/>
      <c r="C2872" s="58" t="n"/>
      <c r="D2872" s="58" t="n"/>
      <c r="E2872" s="64">
        <f>IF(tblCommentary[[#This Row],[Date]]="","",COUNTIFS(INDEX(tblCommentary[Date],1):tblCommentary[[#This Row],[Date]],tblCommentary[[#This Row],[Date]]))</f>
        <v/>
      </c>
      <c r="F2872" s="63">
        <f>IF(tblCommentary[[#This Row],[Date]]="","",tblCommentary[[#This Row],[Date]]&amp;"|"&amp;tblCommentary[[#This Row],[Seq_Day]])</f>
        <v/>
      </c>
    </row>
    <row r="2873">
      <c r="A2873" s="54" t="n"/>
      <c r="B2873" s="61" t="n"/>
      <c r="C2873" s="58" t="n"/>
      <c r="D2873" s="58" t="n"/>
      <c r="E2873" s="64">
        <f>IF(tblCommentary[[#This Row],[Date]]="","",COUNTIFS(INDEX(tblCommentary[Date],1):tblCommentary[[#This Row],[Date]],tblCommentary[[#This Row],[Date]]))</f>
        <v/>
      </c>
      <c r="F2873" s="63">
        <f>IF(tblCommentary[[#This Row],[Date]]="","",tblCommentary[[#This Row],[Date]]&amp;"|"&amp;tblCommentary[[#This Row],[Seq_Day]])</f>
        <v/>
      </c>
    </row>
    <row r="2874">
      <c r="A2874" s="54" t="n"/>
      <c r="B2874" s="61" t="n"/>
      <c r="C2874" s="58" t="n"/>
      <c r="D2874" s="58" t="n"/>
      <c r="E2874" s="64">
        <f>IF(tblCommentary[[#This Row],[Date]]="","",COUNTIFS(INDEX(tblCommentary[Date],1):tblCommentary[[#This Row],[Date]],tblCommentary[[#This Row],[Date]]))</f>
        <v/>
      </c>
      <c r="F2874" s="63">
        <f>IF(tblCommentary[[#This Row],[Date]]="","",tblCommentary[[#This Row],[Date]]&amp;"|"&amp;tblCommentary[[#This Row],[Seq_Day]])</f>
        <v/>
      </c>
    </row>
    <row r="2875">
      <c r="A2875" s="54" t="n"/>
      <c r="B2875" s="61" t="n"/>
      <c r="C2875" s="58" t="n"/>
      <c r="D2875" s="58" t="n"/>
      <c r="E2875" s="64">
        <f>IF(tblCommentary[[#This Row],[Date]]="","",COUNTIFS(INDEX(tblCommentary[Date],1):tblCommentary[[#This Row],[Date]],tblCommentary[[#This Row],[Date]]))</f>
        <v/>
      </c>
      <c r="F2875" s="63">
        <f>IF(tblCommentary[[#This Row],[Date]]="","",tblCommentary[[#This Row],[Date]]&amp;"|"&amp;tblCommentary[[#This Row],[Seq_Day]])</f>
        <v/>
      </c>
    </row>
    <row r="2876">
      <c r="A2876" s="54" t="n"/>
      <c r="B2876" s="61" t="n"/>
      <c r="C2876" s="58" t="n"/>
      <c r="D2876" s="58" t="n"/>
      <c r="E2876" s="64">
        <f>IF(tblCommentary[[#This Row],[Date]]="","",COUNTIFS(INDEX(tblCommentary[Date],1):tblCommentary[[#This Row],[Date]],tblCommentary[[#This Row],[Date]]))</f>
        <v/>
      </c>
      <c r="F2876" s="63">
        <f>IF(tblCommentary[[#This Row],[Date]]="","",tblCommentary[[#This Row],[Date]]&amp;"|"&amp;tblCommentary[[#This Row],[Seq_Day]])</f>
        <v/>
      </c>
    </row>
    <row r="2877">
      <c r="A2877" s="54" t="n"/>
      <c r="B2877" s="61" t="n"/>
      <c r="C2877" s="58" t="n"/>
      <c r="D2877" s="58" t="n"/>
      <c r="E2877" s="64">
        <f>IF(tblCommentary[[#This Row],[Date]]="","",COUNTIFS(INDEX(tblCommentary[Date],1):tblCommentary[[#This Row],[Date]],tblCommentary[[#This Row],[Date]]))</f>
        <v/>
      </c>
      <c r="F2877" s="63">
        <f>IF(tblCommentary[[#This Row],[Date]]="","",tblCommentary[[#This Row],[Date]]&amp;"|"&amp;tblCommentary[[#This Row],[Seq_Day]])</f>
        <v/>
      </c>
    </row>
    <row r="2878">
      <c r="A2878" s="54" t="n"/>
      <c r="B2878" s="61" t="n"/>
      <c r="C2878" s="58" t="n"/>
      <c r="D2878" s="58" t="n"/>
      <c r="E2878" s="64">
        <f>IF(tblCommentary[[#This Row],[Date]]="","",COUNTIFS(INDEX(tblCommentary[Date],1):tblCommentary[[#This Row],[Date]],tblCommentary[[#This Row],[Date]]))</f>
        <v/>
      </c>
      <c r="F2878" s="63">
        <f>IF(tblCommentary[[#This Row],[Date]]="","",tblCommentary[[#This Row],[Date]]&amp;"|"&amp;tblCommentary[[#This Row],[Seq_Day]])</f>
        <v/>
      </c>
    </row>
    <row r="2879">
      <c r="A2879" s="54" t="n"/>
      <c r="B2879" s="61" t="n"/>
      <c r="C2879" s="58" t="n"/>
      <c r="D2879" s="58" t="n"/>
      <c r="E2879" s="64">
        <f>IF(tblCommentary[[#This Row],[Date]]="","",COUNTIFS(INDEX(tblCommentary[Date],1):tblCommentary[[#This Row],[Date]],tblCommentary[[#This Row],[Date]]))</f>
        <v/>
      </c>
      <c r="F2879" s="63">
        <f>IF(tblCommentary[[#This Row],[Date]]="","",tblCommentary[[#This Row],[Date]]&amp;"|"&amp;tblCommentary[[#This Row],[Seq_Day]])</f>
        <v/>
      </c>
    </row>
    <row r="2880">
      <c r="A2880" s="54" t="n"/>
      <c r="B2880" s="61" t="n"/>
      <c r="C2880" s="58" t="n"/>
      <c r="D2880" s="58" t="n"/>
      <c r="E2880" s="64">
        <f>IF(tblCommentary[[#This Row],[Date]]="","",COUNTIFS(INDEX(tblCommentary[Date],1):tblCommentary[[#This Row],[Date]],tblCommentary[[#This Row],[Date]]))</f>
        <v/>
      </c>
      <c r="F2880" s="63">
        <f>IF(tblCommentary[[#This Row],[Date]]="","",tblCommentary[[#This Row],[Date]]&amp;"|"&amp;tblCommentary[[#This Row],[Seq_Day]])</f>
        <v/>
      </c>
    </row>
    <row r="2881">
      <c r="A2881" s="54" t="n"/>
      <c r="B2881" s="61" t="n"/>
      <c r="C2881" s="58" t="n"/>
      <c r="D2881" s="58" t="n"/>
      <c r="E2881" s="64">
        <f>IF(tblCommentary[[#This Row],[Date]]="","",COUNTIFS(INDEX(tblCommentary[Date],1):tblCommentary[[#This Row],[Date]],tblCommentary[[#This Row],[Date]]))</f>
        <v/>
      </c>
      <c r="F2881" s="63">
        <f>IF(tblCommentary[[#This Row],[Date]]="","",tblCommentary[[#This Row],[Date]]&amp;"|"&amp;tblCommentary[[#This Row],[Seq_Day]])</f>
        <v/>
      </c>
    </row>
    <row r="2882">
      <c r="A2882" s="54" t="n"/>
      <c r="B2882" s="61" t="n"/>
      <c r="C2882" s="58" t="n"/>
      <c r="D2882" s="58" t="n"/>
      <c r="E2882" s="64">
        <f>IF(tblCommentary[[#This Row],[Date]]="","",COUNTIFS(INDEX(tblCommentary[Date],1):tblCommentary[[#This Row],[Date]],tblCommentary[[#This Row],[Date]]))</f>
        <v/>
      </c>
      <c r="F2882" s="63">
        <f>IF(tblCommentary[[#This Row],[Date]]="","",tblCommentary[[#This Row],[Date]]&amp;"|"&amp;tblCommentary[[#This Row],[Seq_Day]])</f>
        <v/>
      </c>
    </row>
    <row r="2883">
      <c r="A2883" s="54" t="n"/>
      <c r="B2883" s="61" t="n"/>
      <c r="C2883" s="58" t="n"/>
      <c r="D2883" s="58" t="n"/>
      <c r="E2883" s="64">
        <f>IF(tblCommentary[[#This Row],[Date]]="","",COUNTIFS(INDEX(tblCommentary[Date],1):tblCommentary[[#This Row],[Date]],tblCommentary[[#This Row],[Date]]))</f>
        <v/>
      </c>
      <c r="F2883" s="63">
        <f>IF(tblCommentary[[#This Row],[Date]]="","",tblCommentary[[#This Row],[Date]]&amp;"|"&amp;tblCommentary[[#This Row],[Seq_Day]])</f>
        <v/>
      </c>
    </row>
    <row r="2884">
      <c r="A2884" s="54" t="n"/>
      <c r="B2884" s="61" t="n"/>
      <c r="C2884" s="58" t="n"/>
      <c r="D2884" s="58" t="n"/>
      <c r="E2884" s="64">
        <f>IF(tblCommentary[[#This Row],[Date]]="","",COUNTIFS(INDEX(tblCommentary[Date],1):tblCommentary[[#This Row],[Date]],tblCommentary[[#This Row],[Date]]))</f>
        <v/>
      </c>
      <c r="F2884" s="63">
        <f>IF(tblCommentary[[#This Row],[Date]]="","",tblCommentary[[#This Row],[Date]]&amp;"|"&amp;tblCommentary[[#This Row],[Seq_Day]])</f>
        <v/>
      </c>
    </row>
    <row r="2885">
      <c r="A2885" s="54" t="n"/>
      <c r="B2885" s="61" t="n"/>
      <c r="C2885" s="58" t="n"/>
      <c r="D2885" s="58" t="n"/>
      <c r="E2885" s="64">
        <f>IF(tblCommentary[[#This Row],[Date]]="","",COUNTIFS(INDEX(tblCommentary[Date],1):tblCommentary[[#This Row],[Date]],tblCommentary[[#This Row],[Date]]))</f>
        <v/>
      </c>
      <c r="F2885" s="63">
        <f>IF(tblCommentary[[#This Row],[Date]]="","",tblCommentary[[#This Row],[Date]]&amp;"|"&amp;tblCommentary[[#This Row],[Seq_Day]])</f>
        <v/>
      </c>
    </row>
    <row r="2886">
      <c r="A2886" s="54" t="n"/>
      <c r="B2886" s="61" t="n"/>
      <c r="C2886" s="58" t="n"/>
      <c r="D2886" s="58" t="n"/>
      <c r="E2886" s="64">
        <f>IF(tblCommentary[[#This Row],[Date]]="","",COUNTIFS(INDEX(tblCommentary[Date],1):tblCommentary[[#This Row],[Date]],tblCommentary[[#This Row],[Date]]))</f>
        <v/>
      </c>
      <c r="F2886" s="63">
        <f>IF(tblCommentary[[#This Row],[Date]]="","",tblCommentary[[#This Row],[Date]]&amp;"|"&amp;tblCommentary[[#This Row],[Seq_Day]])</f>
        <v/>
      </c>
    </row>
    <row r="2887">
      <c r="A2887" s="54" t="n"/>
      <c r="B2887" s="61" t="n"/>
      <c r="C2887" s="58" t="n"/>
      <c r="D2887" s="58" t="n"/>
      <c r="E2887" s="64">
        <f>IF(tblCommentary[[#This Row],[Date]]="","",COUNTIFS(INDEX(tblCommentary[Date],1):tblCommentary[[#This Row],[Date]],tblCommentary[[#This Row],[Date]]))</f>
        <v/>
      </c>
      <c r="F2887" s="63">
        <f>IF(tblCommentary[[#This Row],[Date]]="","",tblCommentary[[#This Row],[Date]]&amp;"|"&amp;tblCommentary[[#This Row],[Seq_Day]])</f>
        <v/>
      </c>
    </row>
    <row r="2888">
      <c r="A2888" s="54" t="n"/>
      <c r="B2888" s="61" t="n"/>
      <c r="C2888" s="58" t="n"/>
      <c r="D2888" s="58" t="n"/>
      <c r="E2888" s="64">
        <f>IF(tblCommentary[[#This Row],[Date]]="","",COUNTIFS(INDEX(tblCommentary[Date],1):tblCommentary[[#This Row],[Date]],tblCommentary[[#This Row],[Date]]))</f>
        <v/>
      </c>
      <c r="F2888" s="63">
        <f>IF(tblCommentary[[#This Row],[Date]]="","",tblCommentary[[#This Row],[Date]]&amp;"|"&amp;tblCommentary[[#This Row],[Seq_Day]])</f>
        <v/>
      </c>
    </row>
    <row r="2889">
      <c r="A2889" s="54" t="n"/>
      <c r="B2889" s="61" t="n"/>
      <c r="C2889" s="58" t="n"/>
      <c r="D2889" s="58" t="n"/>
      <c r="E2889" s="64">
        <f>IF(tblCommentary[[#This Row],[Date]]="","",COUNTIFS(INDEX(tblCommentary[Date],1):tblCommentary[[#This Row],[Date]],tblCommentary[[#This Row],[Date]]))</f>
        <v/>
      </c>
      <c r="F2889" s="63">
        <f>IF(tblCommentary[[#This Row],[Date]]="","",tblCommentary[[#This Row],[Date]]&amp;"|"&amp;tblCommentary[[#This Row],[Seq_Day]])</f>
        <v/>
      </c>
    </row>
    <row r="2890">
      <c r="A2890" s="54" t="n"/>
      <c r="B2890" s="61" t="n"/>
      <c r="C2890" s="58" t="n"/>
      <c r="D2890" s="58" t="n"/>
      <c r="E2890" s="64">
        <f>IF(tblCommentary[[#This Row],[Date]]="","",COUNTIFS(INDEX(tblCommentary[Date],1):tblCommentary[[#This Row],[Date]],tblCommentary[[#This Row],[Date]]))</f>
        <v/>
      </c>
      <c r="F2890" s="63">
        <f>IF(tblCommentary[[#This Row],[Date]]="","",tblCommentary[[#This Row],[Date]]&amp;"|"&amp;tblCommentary[[#This Row],[Seq_Day]])</f>
        <v/>
      </c>
    </row>
    <row r="2891">
      <c r="A2891" s="54" t="n"/>
      <c r="B2891" s="61" t="n"/>
      <c r="C2891" s="58" t="n"/>
      <c r="D2891" s="58" t="n"/>
      <c r="E2891" s="64">
        <f>IF(tblCommentary[[#This Row],[Date]]="","",COUNTIFS(INDEX(tblCommentary[Date],1):tblCommentary[[#This Row],[Date]],tblCommentary[[#This Row],[Date]]))</f>
        <v/>
      </c>
      <c r="F2891" s="63">
        <f>IF(tblCommentary[[#This Row],[Date]]="","",tblCommentary[[#This Row],[Date]]&amp;"|"&amp;tblCommentary[[#This Row],[Seq_Day]])</f>
        <v/>
      </c>
    </row>
    <row r="2892">
      <c r="A2892" s="54" t="n"/>
      <c r="B2892" s="61" t="n"/>
      <c r="C2892" s="58" t="n"/>
      <c r="D2892" s="58" t="n"/>
      <c r="E2892" s="64">
        <f>IF(tblCommentary[[#This Row],[Date]]="","",COUNTIFS(INDEX(tblCommentary[Date],1):tblCommentary[[#This Row],[Date]],tblCommentary[[#This Row],[Date]]))</f>
        <v/>
      </c>
      <c r="F2892" s="63">
        <f>IF(tblCommentary[[#This Row],[Date]]="","",tblCommentary[[#This Row],[Date]]&amp;"|"&amp;tblCommentary[[#This Row],[Seq_Day]])</f>
        <v/>
      </c>
    </row>
    <row r="2893">
      <c r="A2893" s="54" t="n"/>
      <c r="B2893" s="61" t="n"/>
      <c r="C2893" s="58" t="n"/>
      <c r="D2893" s="58" t="n"/>
      <c r="E2893" s="64">
        <f>IF(tblCommentary[[#This Row],[Date]]="","",COUNTIFS(INDEX(tblCommentary[Date],1):tblCommentary[[#This Row],[Date]],tblCommentary[[#This Row],[Date]]))</f>
        <v/>
      </c>
      <c r="F2893" s="63">
        <f>IF(tblCommentary[[#This Row],[Date]]="","",tblCommentary[[#This Row],[Date]]&amp;"|"&amp;tblCommentary[[#This Row],[Seq_Day]])</f>
        <v/>
      </c>
    </row>
    <row r="2894">
      <c r="A2894" s="54" t="n"/>
      <c r="B2894" s="61" t="n"/>
      <c r="C2894" s="58" t="n"/>
      <c r="D2894" s="58" t="n"/>
      <c r="E2894" s="64">
        <f>IF(tblCommentary[[#This Row],[Date]]="","",COUNTIFS(INDEX(tblCommentary[Date],1):tblCommentary[[#This Row],[Date]],tblCommentary[[#This Row],[Date]]))</f>
        <v/>
      </c>
      <c r="F2894" s="63">
        <f>IF(tblCommentary[[#This Row],[Date]]="","",tblCommentary[[#This Row],[Date]]&amp;"|"&amp;tblCommentary[[#This Row],[Seq_Day]])</f>
        <v/>
      </c>
    </row>
    <row r="2895">
      <c r="A2895" s="54" t="n"/>
      <c r="B2895" s="61" t="n"/>
      <c r="C2895" s="58" t="n"/>
      <c r="D2895" s="58" t="n"/>
      <c r="E2895" s="64">
        <f>IF(tblCommentary[[#This Row],[Date]]="","",COUNTIFS(INDEX(tblCommentary[Date],1):tblCommentary[[#This Row],[Date]],tblCommentary[[#This Row],[Date]]))</f>
        <v/>
      </c>
      <c r="F2895" s="63">
        <f>IF(tblCommentary[[#This Row],[Date]]="","",tblCommentary[[#This Row],[Date]]&amp;"|"&amp;tblCommentary[[#This Row],[Seq_Day]])</f>
        <v/>
      </c>
    </row>
    <row r="2896">
      <c r="A2896" s="54" t="n"/>
      <c r="B2896" s="61" t="n"/>
      <c r="C2896" s="58" t="n"/>
      <c r="D2896" s="58" t="n"/>
      <c r="E2896" s="64">
        <f>IF(tblCommentary[[#This Row],[Date]]="","",COUNTIFS(INDEX(tblCommentary[Date],1):tblCommentary[[#This Row],[Date]],tblCommentary[[#This Row],[Date]]))</f>
        <v/>
      </c>
      <c r="F2896" s="63">
        <f>IF(tblCommentary[[#This Row],[Date]]="","",tblCommentary[[#This Row],[Date]]&amp;"|"&amp;tblCommentary[[#This Row],[Seq_Day]])</f>
        <v/>
      </c>
    </row>
    <row r="2897">
      <c r="A2897" s="54" t="n"/>
      <c r="B2897" s="61" t="n"/>
      <c r="C2897" s="58" t="n"/>
      <c r="D2897" s="58" t="n"/>
      <c r="E2897" s="64">
        <f>IF(tblCommentary[[#This Row],[Date]]="","",COUNTIFS(INDEX(tblCommentary[Date],1):tblCommentary[[#This Row],[Date]],tblCommentary[[#This Row],[Date]]))</f>
        <v/>
      </c>
      <c r="F2897" s="63">
        <f>IF(tblCommentary[[#This Row],[Date]]="","",tblCommentary[[#This Row],[Date]]&amp;"|"&amp;tblCommentary[[#This Row],[Seq_Day]])</f>
        <v/>
      </c>
    </row>
    <row r="2898">
      <c r="A2898" s="54" t="n"/>
      <c r="B2898" s="61" t="n"/>
      <c r="C2898" s="58" t="n"/>
      <c r="D2898" s="58" t="n"/>
      <c r="E2898" s="64">
        <f>IF(tblCommentary[[#This Row],[Date]]="","",COUNTIFS(INDEX(tblCommentary[Date],1):tblCommentary[[#This Row],[Date]],tblCommentary[[#This Row],[Date]]))</f>
        <v/>
      </c>
      <c r="F2898" s="63">
        <f>IF(tblCommentary[[#This Row],[Date]]="","",tblCommentary[[#This Row],[Date]]&amp;"|"&amp;tblCommentary[[#This Row],[Seq_Day]])</f>
        <v/>
      </c>
    </row>
    <row r="2899">
      <c r="A2899" s="54" t="n"/>
      <c r="B2899" s="61" t="n"/>
      <c r="C2899" s="58" t="n"/>
      <c r="D2899" s="58" t="n"/>
      <c r="E2899" s="64">
        <f>IF(tblCommentary[[#This Row],[Date]]="","",COUNTIFS(INDEX(tblCommentary[Date],1):tblCommentary[[#This Row],[Date]],tblCommentary[[#This Row],[Date]]))</f>
        <v/>
      </c>
      <c r="F2899" s="63">
        <f>IF(tblCommentary[[#This Row],[Date]]="","",tblCommentary[[#This Row],[Date]]&amp;"|"&amp;tblCommentary[[#This Row],[Seq_Day]])</f>
        <v/>
      </c>
    </row>
    <row r="2900">
      <c r="A2900" s="54" t="n"/>
      <c r="B2900" s="61" t="n"/>
      <c r="C2900" s="58" t="n"/>
      <c r="D2900" s="58" t="n"/>
      <c r="E2900" s="64">
        <f>IF(tblCommentary[[#This Row],[Date]]="","",COUNTIFS(INDEX(tblCommentary[Date],1):tblCommentary[[#This Row],[Date]],tblCommentary[[#This Row],[Date]]))</f>
        <v/>
      </c>
      <c r="F2900" s="63">
        <f>IF(tblCommentary[[#This Row],[Date]]="","",tblCommentary[[#This Row],[Date]]&amp;"|"&amp;tblCommentary[[#This Row],[Seq_Day]])</f>
        <v/>
      </c>
    </row>
    <row r="2901">
      <c r="A2901" s="54" t="n"/>
      <c r="B2901" s="61" t="n"/>
      <c r="C2901" s="58" t="n"/>
      <c r="D2901" s="58" t="n"/>
      <c r="E2901" s="64">
        <f>IF(tblCommentary[[#This Row],[Date]]="","",COUNTIFS(INDEX(tblCommentary[Date],1):tblCommentary[[#This Row],[Date]],tblCommentary[[#This Row],[Date]]))</f>
        <v/>
      </c>
      <c r="F2901" s="63">
        <f>IF(tblCommentary[[#This Row],[Date]]="","",tblCommentary[[#This Row],[Date]]&amp;"|"&amp;tblCommentary[[#This Row],[Seq_Day]])</f>
        <v/>
      </c>
    </row>
    <row r="2902">
      <c r="A2902" s="54" t="n"/>
      <c r="B2902" s="61" t="n"/>
      <c r="C2902" s="58" t="n"/>
      <c r="D2902" s="58" t="n"/>
      <c r="E2902" s="64">
        <f>IF(tblCommentary[[#This Row],[Date]]="","",COUNTIFS(INDEX(tblCommentary[Date],1):tblCommentary[[#This Row],[Date]],tblCommentary[[#This Row],[Date]]))</f>
        <v/>
      </c>
      <c r="F2902" s="63">
        <f>IF(tblCommentary[[#This Row],[Date]]="","",tblCommentary[[#This Row],[Date]]&amp;"|"&amp;tblCommentary[[#This Row],[Seq_Day]])</f>
        <v/>
      </c>
    </row>
    <row r="2903">
      <c r="A2903" s="54" t="n"/>
      <c r="B2903" s="61" t="n"/>
      <c r="C2903" s="58" t="n"/>
      <c r="D2903" s="58" t="n"/>
      <c r="E2903" s="64">
        <f>IF(tblCommentary[[#This Row],[Date]]="","",COUNTIFS(INDEX(tblCommentary[Date],1):tblCommentary[[#This Row],[Date]],tblCommentary[[#This Row],[Date]]))</f>
        <v/>
      </c>
      <c r="F2903" s="63">
        <f>IF(tblCommentary[[#This Row],[Date]]="","",tblCommentary[[#This Row],[Date]]&amp;"|"&amp;tblCommentary[[#This Row],[Seq_Day]])</f>
        <v/>
      </c>
    </row>
    <row r="2904">
      <c r="A2904" s="54" t="n"/>
      <c r="B2904" s="61" t="n"/>
      <c r="C2904" s="58" t="n"/>
      <c r="D2904" s="58" t="n"/>
      <c r="E2904" s="64">
        <f>IF(tblCommentary[[#This Row],[Date]]="","",COUNTIFS(INDEX(tblCommentary[Date],1):tblCommentary[[#This Row],[Date]],tblCommentary[[#This Row],[Date]]))</f>
        <v/>
      </c>
      <c r="F2904" s="63">
        <f>IF(tblCommentary[[#This Row],[Date]]="","",tblCommentary[[#This Row],[Date]]&amp;"|"&amp;tblCommentary[[#This Row],[Seq_Day]])</f>
        <v/>
      </c>
    </row>
    <row r="2905">
      <c r="A2905" s="54" t="n"/>
      <c r="B2905" s="61" t="n"/>
      <c r="C2905" s="58" t="n"/>
      <c r="D2905" s="58" t="n"/>
      <c r="E2905" s="64">
        <f>IF(tblCommentary[[#This Row],[Date]]="","",COUNTIFS(INDEX(tblCommentary[Date],1):tblCommentary[[#This Row],[Date]],tblCommentary[[#This Row],[Date]]))</f>
        <v/>
      </c>
      <c r="F2905" s="63">
        <f>IF(tblCommentary[[#This Row],[Date]]="","",tblCommentary[[#This Row],[Date]]&amp;"|"&amp;tblCommentary[[#This Row],[Seq_Day]])</f>
        <v/>
      </c>
    </row>
    <row r="2906">
      <c r="A2906" s="54" t="n"/>
      <c r="B2906" s="61" t="n"/>
      <c r="C2906" s="58" t="n"/>
      <c r="D2906" s="58" t="n"/>
      <c r="E2906" s="64">
        <f>IF(tblCommentary[[#This Row],[Date]]="","",COUNTIFS(INDEX(tblCommentary[Date],1):tblCommentary[[#This Row],[Date]],tblCommentary[[#This Row],[Date]]))</f>
        <v/>
      </c>
      <c r="F2906" s="63">
        <f>IF(tblCommentary[[#This Row],[Date]]="","",tblCommentary[[#This Row],[Date]]&amp;"|"&amp;tblCommentary[[#This Row],[Seq_Day]])</f>
        <v/>
      </c>
    </row>
    <row r="2907">
      <c r="A2907" s="54" t="n"/>
      <c r="B2907" s="61" t="n"/>
      <c r="C2907" s="58" t="n"/>
      <c r="D2907" s="58" t="n"/>
      <c r="E2907" s="64">
        <f>IF(tblCommentary[[#This Row],[Date]]="","",COUNTIFS(INDEX(tblCommentary[Date],1):tblCommentary[[#This Row],[Date]],tblCommentary[[#This Row],[Date]]))</f>
        <v/>
      </c>
      <c r="F2907" s="63">
        <f>IF(tblCommentary[[#This Row],[Date]]="","",tblCommentary[[#This Row],[Date]]&amp;"|"&amp;tblCommentary[[#This Row],[Seq_Day]])</f>
        <v/>
      </c>
    </row>
    <row r="2908">
      <c r="A2908" s="54" t="n"/>
      <c r="B2908" s="61" t="n"/>
      <c r="C2908" s="58" t="n"/>
      <c r="D2908" s="58" t="n"/>
      <c r="E2908" s="64">
        <f>IF(tblCommentary[[#This Row],[Date]]="","",COUNTIFS(INDEX(tblCommentary[Date],1):tblCommentary[[#This Row],[Date]],tblCommentary[[#This Row],[Date]]))</f>
        <v/>
      </c>
      <c r="F2908" s="63">
        <f>IF(tblCommentary[[#This Row],[Date]]="","",tblCommentary[[#This Row],[Date]]&amp;"|"&amp;tblCommentary[[#This Row],[Seq_Day]])</f>
        <v/>
      </c>
    </row>
    <row r="2909">
      <c r="A2909" s="54" t="n"/>
      <c r="B2909" s="61" t="n"/>
      <c r="C2909" s="58" t="n"/>
      <c r="D2909" s="58" t="n"/>
      <c r="E2909" s="64">
        <f>IF(tblCommentary[[#This Row],[Date]]="","",COUNTIFS(INDEX(tblCommentary[Date],1):tblCommentary[[#This Row],[Date]],tblCommentary[[#This Row],[Date]]))</f>
        <v/>
      </c>
      <c r="F2909" s="63">
        <f>IF(tblCommentary[[#This Row],[Date]]="","",tblCommentary[[#This Row],[Date]]&amp;"|"&amp;tblCommentary[[#This Row],[Seq_Day]])</f>
        <v/>
      </c>
    </row>
    <row r="2910">
      <c r="A2910" s="54" t="n"/>
      <c r="B2910" s="61" t="n"/>
      <c r="C2910" s="58" t="n"/>
      <c r="D2910" s="58" t="n"/>
      <c r="E2910" s="64">
        <f>IF(tblCommentary[[#This Row],[Date]]="","",COUNTIFS(INDEX(tblCommentary[Date],1):tblCommentary[[#This Row],[Date]],tblCommentary[[#This Row],[Date]]))</f>
        <v/>
      </c>
      <c r="F2910" s="63">
        <f>IF(tblCommentary[[#This Row],[Date]]="","",tblCommentary[[#This Row],[Date]]&amp;"|"&amp;tblCommentary[[#This Row],[Seq_Day]])</f>
        <v/>
      </c>
    </row>
    <row r="2911">
      <c r="A2911" s="54" t="n"/>
      <c r="B2911" s="61" t="n"/>
      <c r="C2911" s="58" t="n"/>
      <c r="D2911" s="58" t="n"/>
      <c r="E2911" s="64">
        <f>IF(tblCommentary[[#This Row],[Date]]="","",COUNTIFS(INDEX(tblCommentary[Date],1):tblCommentary[[#This Row],[Date]],tblCommentary[[#This Row],[Date]]))</f>
        <v/>
      </c>
      <c r="F2911" s="63">
        <f>IF(tblCommentary[[#This Row],[Date]]="","",tblCommentary[[#This Row],[Date]]&amp;"|"&amp;tblCommentary[[#This Row],[Seq_Day]])</f>
        <v/>
      </c>
    </row>
    <row r="2912">
      <c r="A2912" s="54" t="n"/>
      <c r="B2912" s="61" t="n"/>
      <c r="C2912" s="58" t="n"/>
      <c r="D2912" s="58" t="n"/>
      <c r="E2912" s="64">
        <f>IF(tblCommentary[[#This Row],[Date]]="","",COUNTIFS(INDEX(tblCommentary[Date],1):tblCommentary[[#This Row],[Date]],tblCommentary[[#This Row],[Date]]))</f>
        <v/>
      </c>
      <c r="F2912" s="63">
        <f>IF(tblCommentary[[#This Row],[Date]]="","",tblCommentary[[#This Row],[Date]]&amp;"|"&amp;tblCommentary[[#This Row],[Seq_Day]])</f>
        <v/>
      </c>
    </row>
    <row r="2913">
      <c r="A2913" s="54" t="n"/>
      <c r="B2913" s="61" t="n"/>
      <c r="C2913" s="58" t="n"/>
      <c r="D2913" s="58" t="n"/>
      <c r="E2913" s="64">
        <f>IF(tblCommentary[[#This Row],[Date]]="","",COUNTIFS(INDEX(tblCommentary[Date],1):tblCommentary[[#This Row],[Date]],tblCommentary[[#This Row],[Date]]))</f>
        <v/>
      </c>
      <c r="F2913" s="63">
        <f>IF(tblCommentary[[#This Row],[Date]]="","",tblCommentary[[#This Row],[Date]]&amp;"|"&amp;tblCommentary[[#This Row],[Seq_Day]])</f>
        <v/>
      </c>
    </row>
    <row r="2914">
      <c r="A2914" s="54" t="n"/>
      <c r="B2914" s="61" t="n"/>
      <c r="C2914" s="58" t="n"/>
      <c r="D2914" s="58" t="n"/>
      <c r="E2914" s="64">
        <f>IF(tblCommentary[[#This Row],[Date]]="","",COUNTIFS(INDEX(tblCommentary[Date],1):tblCommentary[[#This Row],[Date]],tblCommentary[[#This Row],[Date]]))</f>
        <v/>
      </c>
      <c r="F2914" s="63">
        <f>IF(tblCommentary[[#This Row],[Date]]="","",tblCommentary[[#This Row],[Date]]&amp;"|"&amp;tblCommentary[[#This Row],[Seq_Day]])</f>
        <v/>
      </c>
    </row>
    <row r="2915">
      <c r="A2915" s="54" t="n"/>
      <c r="B2915" s="61" t="n"/>
      <c r="C2915" s="58" t="n"/>
      <c r="D2915" s="58" t="n"/>
      <c r="E2915" s="64">
        <f>IF(tblCommentary[[#This Row],[Date]]="","",COUNTIFS(INDEX(tblCommentary[Date],1):tblCommentary[[#This Row],[Date]],tblCommentary[[#This Row],[Date]]))</f>
        <v/>
      </c>
      <c r="F2915" s="63">
        <f>IF(tblCommentary[[#This Row],[Date]]="","",tblCommentary[[#This Row],[Date]]&amp;"|"&amp;tblCommentary[[#This Row],[Seq_Day]])</f>
        <v/>
      </c>
    </row>
    <row r="2916">
      <c r="A2916" s="54" t="n"/>
      <c r="B2916" s="61" t="n"/>
      <c r="C2916" s="58" t="n"/>
      <c r="D2916" s="58" t="n"/>
      <c r="E2916" s="64">
        <f>IF(tblCommentary[[#This Row],[Date]]="","",COUNTIFS(INDEX(tblCommentary[Date],1):tblCommentary[[#This Row],[Date]],tblCommentary[[#This Row],[Date]]))</f>
        <v/>
      </c>
      <c r="F2916" s="63">
        <f>IF(tblCommentary[[#This Row],[Date]]="","",tblCommentary[[#This Row],[Date]]&amp;"|"&amp;tblCommentary[[#This Row],[Seq_Day]])</f>
        <v/>
      </c>
    </row>
    <row r="2917">
      <c r="A2917" s="54" t="n"/>
      <c r="B2917" s="61" t="n"/>
      <c r="C2917" s="58" t="n"/>
      <c r="D2917" s="58" t="n"/>
      <c r="E2917" s="64">
        <f>IF(tblCommentary[[#This Row],[Date]]="","",COUNTIFS(INDEX(tblCommentary[Date],1):tblCommentary[[#This Row],[Date]],tblCommentary[[#This Row],[Date]]))</f>
        <v/>
      </c>
      <c r="F2917" s="63">
        <f>IF(tblCommentary[[#This Row],[Date]]="","",tblCommentary[[#This Row],[Date]]&amp;"|"&amp;tblCommentary[[#This Row],[Seq_Day]])</f>
        <v/>
      </c>
    </row>
    <row r="2918">
      <c r="A2918" s="54" t="n"/>
      <c r="B2918" s="61" t="n"/>
      <c r="C2918" s="58" t="n"/>
      <c r="D2918" s="58" t="n"/>
      <c r="E2918" s="64">
        <f>IF(tblCommentary[[#This Row],[Date]]="","",COUNTIFS(INDEX(tblCommentary[Date],1):tblCommentary[[#This Row],[Date]],tblCommentary[[#This Row],[Date]]))</f>
        <v/>
      </c>
      <c r="F2918" s="63">
        <f>IF(tblCommentary[[#This Row],[Date]]="","",tblCommentary[[#This Row],[Date]]&amp;"|"&amp;tblCommentary[[#This Row],[Seq_Day]])</f>
        <v/>
      </c>
    </row>
    <row r="2919">
      <c r="A2919" s="54" t="n"/>
      <c r="B2919" s="61" t="n"/>
      <c r="C2919" s="58" t="n"/>
      <c r="D2919" s="58" t="n"/>
      <c r="E2919" s="64">
        <f>IF(tblCommentary[[#This Row],[Date]]="","",COUNTIFS(INDEX(tblCommentary[Date],1):tblCommentary[[#This Row],[Date]],tblCommentary[[#This Row],[Date]]))</f>
        <v/>
      </c>
      <c r="F2919" s="63">
        <f>IF(tblCommentary[[#This Row],[Date]]="","",tblCommentary[[#This Row],[Date]]&amp;"|"&amp;tblCommentary[[#This Row],[Seq_Day]])</f>
        <v/>
      </c>
    </row>
    <row r="2920">
      <c r="A2920" s="54" t="n"/>
      <c r="B2920" s="61" t="n"/>
      <c r="C2920" s="58" t="n"/>
      <c r="D2920" s="58" t="n"/>
      <c r="E2920" s="64">
        <f>IF(tblCommentary[[#This Row],[Date]]="","",COUNTIFS(INDEX(tblCommentary[Date],1):tblCommentary[[#This Row],[Date]],tblCommentary[[#This Row],[Date]]))</f>
        <v/>
      </c>
      <c r="F2920" s="63">
        <f>IF(tblCommentary[[#This Row],[Date]]="","",tblCommentary[[#This Row],[Date]]&amp;"|"&amp;tblCommentary[[#This Row],[Seq_Day]])</f>
        <v/>
      </c>
    </row>
    <row r="2921">
      <c r="A2921" s="54" t="n"/>
      <c r="B2921" s="61" t="n"/>
      <c r="C2921" s="58" t="n"/>
      <c r="D2921" s="58" t="n"/>
      <c r="E2921" s="64">
        <f>IF(tblCommentary[[#This Row],[Date]]="","",COUNTIFS(INDEX(tblCommentary[Date],1):tblCommentary[[#This Row],[Date]],tblCommentary[[#This Row],[Date]]))</f>
        <v/>
      </c>
      <c r="F2921" s="63">
        <f>IF(tblCommentary[[#This Row],[Date]]="","",tblCommentary[[#This Row],[Date]]&amp;"|"&amp;tblCommentary[[#This Row],[Seq_Day]])</f>
        <v/>
      </c>
    </row>
    <row r="2922">
      <c r="A2922" s="54" t="n"/>
      <c r="B2922" s="61" t="n"/>
      <c r="C2922" s="58" t="n"/>
      <c r="D2922" s="58" t="n"/>
      <c r="E2922" s="64">
        <f>IF(tblCommentary[[#This Row],[Date]]="","",COUNTIFS(INDEX(tblCommentary[Date],1):tblCommentary[[#This Row],[Date]],tblCommentary[[#This Row],[Date]]))</f>
        <v/>
      </c>
      <c r="F2922" s="63">
        <f>IF(tblCommentary[[#This Row],[Date]]="","",tblCommentary[[#This Row],[Date]]&amp;"|"&amp;tblCommentary[[#This Row],[Seq_Day]])</f>
        <v/>
      </c>
    </row>
    <row r="2923">
      <c r="A2923" s="54" t="n"/>
      <c r="B2923" s="61" t="n"/>
      <c r="C2923" s="58" t="n"/>
      <c r="D2923" s="58" t="n"/>
      <c r="E2923" s="64">
        <f>IF(tblCommentary[[#This Row],[Date]]="","",COUNTIFS(INDEX(tblCommentary[Date],1):tblCommentary[[#This Row],[Date]],tblCommentary[[#This Row],[Date]]))</f>
        <v/>
      </c>
      <c r="F2923" s="63">
        <f>IF(tblCommentary[[#This Row],[Date]]="","",tblCommentary[[#This Row],[Date]]&amp;"|"&amp;tblCommentary[[#This Row],[Seq_Day]])</f>
        <v/>
      </c>
    </row>
    <row r="2924">
      <c r="A2924" s="54" t="n"/>
      <c r="B2924" s="61" t="n"/>
      <c r="C2924" s="58" t="n"/>
      <c r="D2924" s="58" t="n"/>
      <c r="E2924" s="64">
        <f>IF(tblCommentary[[#This Row],[Date]]="","",COUNTIFS(INDEX(tblCommentary[Date],1):tblCommentary[[#This Row],[Date]],tblCommentary[[#This Row],[Date]]))</f>
        <v/>
      </c>
      <c r="F2924" s="63">
        <f>IF(tblCommentary[[#This Row],[Date]]="","",tblCommentary[[#This Row],[Date]]&amp;"|"&amp;tblCommentary[[#This Row],[Seq_Day]])</f>
        <v/>
      </c>
    </row>
    <row r="2925">
      <c r="A2925" s="54" t="n"/>
      <c r="B2925" s="61" t="n"/>
      <c r="C2925" s="58" t="n"/>
      <c r="D2925" s="58" t="n"/>
      <c r="E2925" s="64">
        <f>IF(tblCommentary[[#This Row],[Date]]="","",COUNTIFS(INDEX(tblCommentary[Date],1):tblCommentary[[#This Row],[Date]],tblCommentary[[#This Row],[Date]]))</f>
        <v/>
      </c>
      <c r="F2925" s="63">
        <f>IF(tblCommentary[[#This Row],[Date]]="","",tblCommentary[[#This Row],[Date]]&amp;"|"&amp;tblCommentary[[#This Row],[Seq_Day]])</f>
        <v/>
      </c>
    </row>
    <row r="2926">
      <c r="A2926" s="54" t="n"/>
      <c r="B2926" s="61" t="n"/>
      <c r="C2926" s="58" t="n"/>
      <c r="D2926" s="58" t="n"/>
      <c r="E2926" s="64">
        <f>IF(tblCommentary[[#This Row],[Date]]="","",COUNTIFS(INDEX(tblCommentary[Date],1):tblCommentary[[#This Row],[Date]],tblCommentary[[#This Row],[Date]]))</f>
        <v/>
      </c>
      <c r="F2926" s="63">
        <f>IF(tblCommentary[[#This Row],[Date]]="","",tblCommentary[[#This Row],[Date]]&amp;"|"&amp;tblCommentary[[#This Row],[Seq_Day]])</f>
        <v/>
      </c>
    </row>
    <row r="2927">
      <c r="A2927" s="54" t="n"/>
      <c r="B2927" s="61" t="n"/>
      <c r="C2927" s="58" t="n"/>
      <c r="D2927" s="58" t="n"/>
      <c r="E2927" s="64">
        <f>IF(tblCommentary[[#This Row],[Date]]="","",COUNTIFS(INDEX(tblCommentary[Date],1):tblCommentary[[#This Row],[Date]],tblCommentary[[#This Row],[Date]]))</f>
        <v/>
      </c>
      <c r="F2927" s="63">
        <f>IF(tblCommentary[[#This Row],[Date]]="","",tblCommentary[[#This Row],[Date]]&amp;"|"&amp;tblCommentary[[#This Row],[Seq_Day]])</f>
        <v/>
      </c>
    </row>
    <row r="2928">
      <c r="A2928" s="54" t="n"/>
      <c r="B2928" s="61" t="n"/>
      <c r="C2928" s="58" t="n"/>
      <c r="D2928" s="58" t="n"/>
      <c r="E2928" s="64">
        <f>IF(tblCommentary[[#This Row],[Date]]="","",COUNTIFS(INDEX(tblCommentary[Date],1):tblCommentary[[#This Row],[Date]],tblCommentary[[#This Row],[Date]]))</f>
        <v/>
      </c>
      <c r="F2928" s="63">
        <f>IF(tblCommentary[[#This Row],[Date]]="","",tblCommentary[[#This Row],[Date]]&amp;"|"&amp;tblCommentary[[#This Row],[Seq_Day]])</f>
        <v/>
      </c>
    </row>
    <row r="2929">
      <c r="A2929" s="54" t="n"/>
      <c r="B2929" s="61" t="n"/>
      <c r="C2929" s="58" t="n"/>
      <c r="D2929" s="58" t="n"/>
      <c r="E2929" s="64">
        <f>IF(tblCommentary[[#This Row],[Date]]="","",COUNTIFS(INDEX(tblCommentary[Date],1):tblCommentary[[#This Row],[Date]],tblCommentary[[#This Row],[Date]]))</f>
        <v/>
      </c>
      <c r="F2929" s="63">
        <f>IF(tblCommentary[[#This Row],[Date]]="","",tblCommentary[[#This Row],[Date]]&amp;"|"&amp;tblCommentary[[#This Row],[Seq_Day]])</f>
        <v/>
      </c>
    </row>
    <row r="2930">
      <c r="A2930" s="54" t="n"/>
      <c r="B2930" s="61" t="n"/>
      <c r="C2930" s="58" t="n"/>
      <c r="D2930" s="58" t="n"/>
      <c r="E2930" s="64">
        <f>IF(tblCommentary[[#This Row],[Date]]="","",COUNTIFS(INDEX(tblCommentary[Date],1):tblCommentary[[#This Row],[Date]],tblCommentary[[#This Row],[Date]]))</f>
        <v/>
      </c>
      <c r="F2930" s="63">
        <f>IF(tblCommentary[[#This Row],[Date]]="","",tblCommentary[[#This Row],[Date]]&amp;"|"&amp;tblCommentary[[#This Row],[Seq_Day]])</f>
        <v/>
      </c>
    </row>
    <row r="2931">
      <c r="A2931" s="54" t="n"/>
      <c r="B2931" s="61" t="n"/>
      <c r="C2931" s="58" t="n"/>
      <c r="D2931" s="58" t="n"/>
      <c r="E2931" s="64">
        <f>IF(tblCommentary[[#This Row],[Date]]="","",COUNTIFS(INDEX(tblCommentary[Date],1):tblCommentary[[#This Row],[Date]],tblCommentary[[#This Row],[Date]]))</f>
        <v/>
      </c>
      <c r="F2931" s="63">
        <f>IF(tblCommentary[[#This Row],[Date]]="","",tblCommentary[[#This Row],[Date]]&amp;"|"&amp;tblCommentary[[#This Row],[Seq_Day]])</f>
        <v/>
      </c>
    </row>
    <row r="2932">
      <c r="A2932" s="54" t="n"/>
      <c r="B2932" s="61" t="n"/>
      <c r="C2932" s="58" t="n"/>
      <c r="D2932" s="58" t="n"/>
      <c r="E2932" s="64">
        <f>IF(tblCommentary[[#This Row],[Date]]="","",COUNTIFS(INDEX(tblCommentary[Date],1):tblCommentary[[#This Row],[Date]],tblCommentary[[#This Row],[Date]]))</f>
        <v/>
      </c>
      <c r="F2932" s="63">
        <f>IF(tblCommentary[[#This Row],[Date]]="","",tblCommentary[[#This Row],[Date]]&amp;"|"&amp;tblCommentary[[#This Row],[Seq_Day]])</f>
        <v/>
      </c>
    </row>
    <row r="2933">
      <c r="A2933" s="54" t="n"/>
      <c r="B2933" s="61" t="n"/>
      <c r="C2933" s="58" t="n"/>
      <c r="D2933" s="58" t="n"/>
      <c r="E2933" s="64">
        <f>IF(tblCommentary[[#This Row],[Date]]="","",COUNTIFS(INDEX(tblCommentary[Date],1):tblCommentary[[#This Row],[Date]],tblCommentary[[#This Row],[Date]]))</f>
        <v/>
      </c>
      <c r="F2933" s="63">
        <f>IF(tblCommentary[[#This Row],[Date]]="","",tblCommentary[[#This Row],[Date]]&amp;"|"&amp;tblCommentary[[#This Row],[Seq_Day]])</f>
        <v/>
      </c>
    </row>
    <row r="2934">
      <c r="A2934" s="54" t="n"/>
      <c r="B2934" s="61" t="n"/>
      <c r="C2934" s="58" t="n"/>
      <c r="D2934" s="58" t="n"/>
      <c r="E2934" s="64">
        <f>IF(tblCommentary[[#This Row],[Date]]="","",COUNTIFS(INDEX(tblCommentary[Date],1):tblCommentary[[#This Row],[Date]],tblCommentary[[#This Row],[Date]]))</f>
        <v/>
      </c>
      <c r="F2934" s="63">
        <f>IF(tblCommentary[[#This Row],[Date]]="","",tblCommentary[[#This Row],[Date]]&amp;"|"&amp;tblCommentary[[#This Row],[Seq_Day]])</f>
        <v/>
      </c>
    </row>
    <row r="2935">
      <c r="A2935" s="54" t="n"/>
      <c r="B2935" s="61" t="n"/>
      <c r="C2935" s="58" t="n"/>
      <c r="D2935" s="58" t="n"/>
      <c r="E2935" s="64">
        <f>IF(tblCommentary[[#This Row],[Date]]="","",COUNTIFS(INDEX(tblCommentary[Date],1):tblCommentary[[#This Row],[Date]],tblCommentary[[#This Row],[Date]]))</f>
        <v/>
      </c>
      <c r="F2935" s="63">
        <f>IF(tblCommentary[[#This Row],[Date]]="","",tblCommentary[[#This Row],[Date]]&amp;"|"&amp;tblCommentary[[#This Row],[Seq_Day]])</f>
        <v/>
      </c>
    </row>
    <row r="2936">
      <c r="A2936" s="54" t="n"/>
      <c r="B2936" s="61" t="n"/>
      <c r="C2936" s="58" t="n"/>
      <c r="D2936" s="58" t="n"/>
      <c r="E2936" s="64">
        <f>IF(tblCommentary[[#This Row],[Date]]="","",COUNTIFS(INDEX(tblCommentary[Date],1):tblCommentary[[#This Row],[Date]],tblCommentary[[#This Row],[Date]]))</f>
        <v/>
      </c>
      <c r="F2936" s="63">
        <f>IF(tblCommentary[[#This Row],[Date]]="","",tblCommentary[[#This Row],[Date]]&amp;"|"&amp;tblCommentary[[#This Row],[Seq_Day]])</f>
        <v/>
      </c>
    </row>
    <row r="2937">
      <c r="A2937" s="54" t="n"/>
      <c r="B2937" s="61" t="n"/>
      <c r="C2937" s="58" t="n"/>
      <c r="D2937" s="58" t="n"/>
      <c r="E2937" s="64">
        <f>IF(tblCommentary[[#This Row],[Date]]="","",COUNTIFS(INDEX(tblCommentary[Date],1):tblCommentary[[#This Row],[Date]],tblCommentary[[#This Row],[Date]]))</f>
        <v/>
      </c>
      <c r="F2937" s="63">
        <f>IF(tblCommentary[[#This Row],[Date]]="","",tblCommentary[[#This Row],[Date]]&amp;"|"&amp;tblCommentary[[#This Row],[Seq_Day]])</f>
        <v/>
      </c>
    </row>
    <row r="2938">
      <c r="A2938" s="54" t="n"/>
      <c r="B2938" s="61" t="n"/>
      <c r="C2938" s="58" t="n"/>
      <c r="D2938" s="58" t="n"/>
      <c r="E2938" s="64">
        <f>IF(tblCommentary[[#This Row],[Date]]="","",COUNTIFS(INDEX(tblCommentary[Date],1):tblCommentary[[#This Row],[Date]],tblCommentary[[#This Row],[Date]]))</f>
        <v/>
      </c>
      <c r="F2938" s="63">
        <f>IF(tblCommentary[[#This Row],[Date]]="","",tblCommentary[[#This Row],[Date]]&amp;"|"&amp;tblCommentary[[#This Row],[Seq_Day]])</f>
        <v/>
      </c>
    </row>
    <row r="2939">
      <c r="A2939" s="54" t="n"/>
      <c r="B2939" s="61" t="n"/>
      <c r="C2939" s="58" t="n"/>
      <c r="D2939" s="58" t="n"/>
      <c r="E2939" s="64">
        <f>IF(tblCommentary[[#This Row],[Date]]="","",COUNTIFS(INDEX(tblCommentary[Date],1):tblCommentary[[#This Row],[Date]],tblCommentary[[#This Row],[Date]]))</f>
        <v/>
      </c>
      <c r="F2939" s="63">
        <f>IF(tblCommentary[[#This Row],[Date]]="","",tblCommentary[[#This Row],[Date]]&amp;"|"&amp;tblCommentary[[#This Row],[Seq_Day]])</f>
        <v/>
      </c>
    </row>
    <row r="2940">
      <c r="A2940" s="54" t="n"/>
      <c r="B2940" s="61" t="n"/>
      <c r="C2940" s="58" t="n"/>
      <c r="D2940" s="58" t="n"/>
      <c r="E2940" s="64">
        <f>IF(tblCommentary[[#This Row],[Date]]="","",COUNTIFS(INDEX(tblCommentary[Date],1):tblCommentary[[#This Row],[Date]],tblCommentary[[#This Row],[Date]]))</f>
        <v/>
      </c>
      <c r="F2940" s="63">
        <f>IF(tblCommentary[[#This Row],[Date]]="","",tblCommentary[[#This Row],[Date]]&amp;"|"&amp;tblCommentary[[#This Row],[Seq_Day]])</f>
        <v/>
      </c>
    </row>
    <row r="2941">
      <c r="A2941" s="54" t="n"/>
      <c r="B2941" s="61" t="n"/>
      <c r="C2941" s="58" t="n"/>
      <c r="D2941" s="58" t="n"/>
      <c r="E2941" s="64">
        <f>IF(tblCommentary[[#This Row],[Date]]="","",COUNTIFS(INDEX(tblCommentary[Date],1):tblCommentary[[#This Row],[Date]],tblCommentary[[#This Row],[Date]]))</f>
        <v/>
      </c>
      <c r="F2941" s="63">
        <f>IF(tblCommentary[[#This Row],[Date]]="","",tblCommentary[[#This Row],[Date]]&amp;"|"&amp;tblCommentary[[#This Row],[Seq_Day]])</f>
        <v/>
      </c>
    </row>
    <row r="2942">
      <c r="A2942" s="54" t="n"/>
      <c r="B2942" s="61" t="n"/>
      <c r="C2942" s="58" t="n"/>
      <c r="D2942" s="58" t="n"/>
      <c r="E2942" s="64">
        <f>IF(tblCommentary[[#This Row],[Date]]="","",COUNTIFS(INDEX(tblCommentary[Date],1):tblCommentary[[#This Row],[Date]],tblCommentary[[#This Row],[Date]]))</f>
        <v/>
      </c>
      <c r="F2942" s="63">
        <f>IF(tblCommentary[[#This Row],[Date]]="","",tblCommentary[[#This Row],[Date]]&amp;"|"&amp;tblCommentary[[#This Row],[Seq_Day]])</f>
        <v/>
      </c>
    </row>
    <row r="2943">
      <c r="A2943" s="54" t="n"/>
      <c r="B2943" s="61" t="n"/>
      <c r="C2943" s="58" t="n"/>
      <c r="D2943" s="58" t="n"/>
      <c r="E2943" s="64">
        <f>IF(tblCommentary[[#This Row],[Date]]="","",COUNTIFS(INDEX(tblCommentary[Date],1):tblCommentary[[#This Row],[Date]],tblCommentary[[#This Row],[Date]]))</f>
        <v/>
      </c>
      <c r="F2943" s="63">
        <f>IF(tblCommentary[[#This Row],[Date]]="","",tblCommentary[[#This Row],[Date]]&amp;"|"&amp;tblCommentary[[#This Row],[Seq_Day]])</f>
        <v/>
      </c>
    </row>
    <row r="2944">
      <c r="A2944" s="54" t="n"/>
      <c r="B2944" s="61" t="n"/>
      <c r="C2944" s="58" t="n"/>
      <c r="D2944" s="58" t="n"/>
      <c r="E2944" s="64">
        <f>IF(tblCommentary[[#This Row],[Date]]="","",COUNTIFS(INDEX(tblCommentary[Date],1):tblCommentary[[#This Row],[Date]],tblCommentary[[#This Row],[Date]]))</f>
        <v/>
      </c>
      <c r="F2944" s="63">
        <f>IF(tblCommentary[[#This Row],[Date]]="","",tblCommentary[[#This Row],[Date]]&amp;"|"&amp;tblCommentary[[#This Row],[Seq_Day]])</f>
        <v/>
      </c>
    </row>
    <row r="2945">
      <c r="A2945" s="54" t="n"/>
      <c r="B2945" s="61" t="n"/>
      <c r="C2945" s="58" t="n"/>
      <c r="D2945" s="58" t="n"/>
      <c r="E2945" s="64">
        <f>IF(tblCommentary[[#This Row],[Date]]="","",COUNTIFS(INDEX(tblCommentary[Date],1):tblCommentary[[#This Row],[Date]],tblCommentary[[#This Row],[Date]]))</f>
        <v/>
      </c>
      <c r="F2945" s="63">
        <f>IF(tblCommentary[[#This Row],[Date]]="","",tblCommentary[[#This Row],[Date]]&amp;"|"&amp;tblCommentary[[#This Row],[Seq_Day]])</f>
        <v/>
      </c>
    </row>
    <row r="2946">
      <c r="A2946" s="54" t="n"/>
      <c r="B2946" s="61" t="n"/>
      <c r="C2946" s="58" t="n"/>
      <c r="D2946" s="58" t="n"/>
      <c r="E2946" s="64">
        <f>IF(tblCommentary[[#This Row],[Date]]="","",COUNTIFS(INDEX(tblCommentary[Date],1):tblCommentary[[#This Row],[Date]],tblCommentary[[#This Row],[Date]]))</f>
        <v/>
      </c>
      <c r="F2946" s="63">
        <f>IF(tblCommentary[[#This Row],[Date]]="","",tblCommentary[[#This Row],[Date]]&amp;"|"&amp;tblCommentary[[#This Row],[Seq_Day]])</f>
        <v/>
      </c>
    </row>
    <row r="2947">
      <c r="A2947" s="54" t="n"/>
      <c r="B2947" s="61" t="n"/>
      <c r="C2947" s="58" t="n"/>
      <c r="D2947" s="58" t="n"/>
      <c r="E2947" s="64">
        <f>IF(tblCommentary[[#This Row],[Date]]="","",COUNTIFS(INDEX(tblCommentary[Date],1):tblCommentary[[#This Row],[Date]],tblCommentary[[#This Row],[Date]]))</f>
        <v/>
      </c>
      <c r="F2947" s="63">
        <f>IF(tblCommentary[[#This Row],[Date]]="","",tblCommentary[[#This Row],[Date]]&amp;"|"&amp;tblCommentary[[#This Row],[Seq_Day]])</f>
        <v/>
      </c>
    </row>
    <row r="2948">
      <c r="A2948" s="54" t="n"/>
      <c r="B2948" s="61" t="n"/>
      <c r="C2948" s="58" t="n"/>
      <c r="D2948" s="58" t="n"/>
      <c r="E2948" s="64">
        <f>IF(tblCommentary[[#This Row],[Date]]="","",COUNTIFS(INDEX(tblCommentary[Date],1):tblCommentary[[#This Row],[Date]],tblCommentary[[#This Row],[Date]]))</f>
        <v/>
      </c>
      <c r="F2948" s="63">
        <f>IF(tblCommentary[[#This Row],[Date]]="","",tblCommentary[[#This Row],[Date]]&amp;"|"&amp;tblCommentary[[#This Row],[Seq_Day]])</f>
        <v/>
      </c>
    </row>
    <row r="2949">
      <c r="A2949" s="54" t="n"/>
      <c r="B2949" s="61" t="n"/>
      <c r="C2949" s="58" t="n"/>
      <c r="D2949" s="58" t="n"/>
      <c r="E2949" s="64">
        <f>IF(tblCommentary[[#This Row],[Date]]="","",COUNTIFS(INDEX(tblCommentary[Date],1):tblCommentary[[#This Row],[Date]],tblCommentary[[#This Row],[Date]]))</f>
        <v/>
      </c>
      <c r="F2949" s="63">
        <f>IF(tblCommentary[[#This Row],[Date]]="","",tblCommentary[[#This Row],[Date]]&amp;"|"&amp;tblCommentary[[#This Row],[Seq_Day]])</f>
        <v/>
      </c>
    </row>
    <row r="2950">
      <c r="A2950" s="54" t="n"/>
      <c r="B2950" s="61" t="n"/>
      <c r="C2950" s="58" t="n"/>
      <c r="D2950" s="58" t="n"/>
      <c r="E2950" s="64">
        <f>IF(tblCommentary[[#This Row],[Date]]="","",COUNTIFS(INDEX(tblCommentary[Date],1):tblCommentary[[#This Row],[Date]],tblCommentary[[#This Row],[Date]]))</f>
        <v/>
      </c>
      <c r="F2950" s="63">
        <f>IF(tblCommentary[[#This Row],[Date]]="","",tblCommentary[[#This Row],[Date]]&amp;"|"&amp;tblCommentary[[#This Row],[Seq_Day]])</f>
        <v/>
      </c>
    </row>
    <row r="2951">
      <c r="A2951" s="54" t="n"/>
      <c r="B2951" s="61" t="n"/>
      <c r="C2951" s="58" t="n"/>
      <c r="D2951" s="58" t="n"/>
      <c r="E2951" s="64">
        <f>IF(tblCommentary[[#This Row],[Date]]="","",COUNTIFS(INDEX(tblCommentary[Date],1):tblCommentary[[#This Row],[Date]],tblCommentary[[#This Row],[Date]]))</f>
        <v/>
      </c>
      <c r="F2951" s="63">
        <f>IF(tblCommentary[[#This Row],[Date]]="","",tblCommentary[[#This Row],[Date]]&amp;"|"&amp;tblCommentary[[#This Row],[Seq_Day]])</f>
        <v/>
      </c>
    </row>
    <row r="2952">
      <c r="A2952" s="54" t="n"/>
      <c r="B2952" s="61" t="n"/>
      <c r="C2952" s="58" t="n"/>
      <c r="D2952" s="58" t="n"/>
      <c r="E2952" s="64">
        <f>IF(tblCommentary[[#This Row],[Date]]="","",COUNTIFS(INDEX(tblCommentary[Date],1):tblCommentary[[#This Row],[Date]],tblCommentary[[#This Row],[Date]]))</f>
        <v/>
      </c>
      <c r="F2952" s="63">
        <f>IF(tblCommentary[[#This Row],[Date]]="","",tblCommentary[[#This Row],[Date]]&amp;"|"&amp;tblCommentary[[#This Row],[Seq_Day]])</f>
        <v/>
      </c>
    </row>
    <row r="2953">
      <c r="A2953" s="54" t="n"/>
      <c r="B2953" s="61" t="n"/>
      <c r="C2953" s="58" t="n"/>
      <c r="D2953" s="58" t="n"/>
      <c r="E2953" s="64">
        <f>IF(tblCommentary[[#This Row],[Date]]="","",COUNTIFS(INDEX(tblCommentary[Date],1):tblCommentary[[#This Row],[Date]],tblCommentary[[#This Row],[Date]]))</f>
        <v/>
      </c>
      <c r="F2953" s="63">
        <f>IF(tblCommentary[[#This Row],[Date]]="","",tblCommentary[[#This Row],[Date]]&amp;"|"&amp;tblCommentary[[#This Row],[Seq_Day]])</f>
        <v/>
      </c>
    </row>
    <row r="2954">
      <c r="A2954" s="54" t="n"/>
      <c r="B2954" s="61" t="n"/>
      <c r="C2954" s="58" t="n"/>
      <c r="D2954" s="58" t="n"/>
      <c r="E2954" s="64">
        <f>IF(tblCommentary[[#This Row],[Date]]="","",COUNTIFS(INDEX(tblCommentary[Date],1):tblCommentary[[#This Row],[Date]],tblCommentary[[#This Row],[Date]]))</f>
        <v/>
      </c>
      <c r="F2954" s="63">
        <f>IF(tblCommentary[[#This Row],[Date]]="","",tblCommentary[[#This Row],[Date]]&amp;"|"&amp;tblCommentary[[#This Row],[Seq_Day]])</f>
        <v/>
      </c>
    </row>
    <row r="2955">
      <c r="A2955" s="54" t="n"/>
      <c r="B2955" s="61" t="n"/>
      <c r="C2955" s="58" t="n"/>
      <c r="D2955" s="58" t="n"/>
      <c r="E2955" s="64">
        <f>IF(tblCommentary[[#This Row],[Date]]="","",COUNTIFS(INDEX(tblCommentary[Date],1):tblCommentary[[#This Row],[Date]],tblCommentary[[#This Row],[Date]]))</f>
        <v/>
      </c>
      <c r="F2955" s="63">
        <f>IF(tblCommentary[[#This Row],[Date]]="","",tblCommentary[[#This Row],[Date]]&amp;"|"&amp;tblCommentary[[#This Row],[Seq_Day]])</f>
        <v/>
      </c>
    </row>
    <row r="2956">
      <c r="A2956" s="54" t="n"/>
      <c r="B2956" s="61" t="n"/>
      <c r="C2956" s="58" t="n"/>
      <c r="D2956" s="58" t="n"/>
      <c r="E2956" s="64">
        <f>IF(tblCommentary[[#This Row],[Date]]="","",COUNTIFS(INDEX(tblCommentary[Date],1):tblCommentary[[#This Row],[Date]],tblCommentary[[#This Row],[Date]]))</f>
        <v/>
      </c>
      <c r="F2956" s="63">
        <f>IF(tblCommentary[[#This Row],[Date]]="","",tblCommentary[[#This Row],[Date]]&amp;"|"&amp;tblCommentary[[#This Row],[Seq_Day]])</f>
        <v/>
      </c>
    </row>
    <row r="2957">
      <c r="A2957" s="54" t="n"/>
      <c r="B2957" s="61" t="n"/>
      <c r="C2957" s="58" t="n"/>
      <c r="D2957" s="58" t="n"/>
      <c r="E2957" s="64">
        <f>IF(tblCommentary[[#This Row],[Date]]="","",COUNTIFS(INDEX(tblCommentary[Date],1):tblCommentary[[#This Row],[Date]],tblCommentary[[#This Row],[Date]]))</f>
        <v/>
      </c>
      <c r="F2957" s="63">
        <f>IF(tblCommentary[[#This Row],[Date]]="","",tblCommentary[[#This Row],[Date]]&amp;"|"&amp;tblCommentary[[#This Row],[Seq_Day]])</f>
        <v/>
      </c>
    </row>
    <row r="2958">
      <c r="A2958" s="54" t="n"/>
      <c r="B2958" s="61" t="n"/>
      <c r="C2958" s="58" t="n"/>
      <c r="D2958" s="58" t="n"/>
      <c r="E2958" s="64">
        <f>IF(tblCommentary[[#This Row],[Date]]="","",COUNTIFS(INDEX(tblCommentary[Date],1):tblCommentary[[#This Row],[Date]],tblCommentary[[#This Row],[Date]]))</f>
        <v/>
      </c>
      <c r="F2958" s="63">
        <f>IF(tblCommentary[[#This Row],[Date]]="","",tblCommentary[[#This Row],[Date]]&amp;"|"&amp;tblCommentary[[#This Row],[Seq_Day]])</f>
        <v/>
      </c>
    </row>
    <row r="2959">
      <c r="A2959" s="54" t="n"/>
      <c r="B2959" s="61" t="n"/>
      <c r="C2959" s="58" t="n"/>
      <c r="D2959" s="58" t="n"/>
      <c r="E2959" s="64">
        <f>IF(tblCommentary[[#This Row],[Date]]="","",COUNTIFS(INDEX(tblCommentary[Date],1):tblCommentary[[#This Row],[Date]],tblCommentary[[#This Row],[Date]]))</f>
        <v/>
      </c>
      <c r="F2959" s="63">
        <f>IF(tblCommentary[[#This Row],[Date]]="","",tblCommentary[[#This Row],[Date]]&amp;"|"&amp;tblCommentary[[#This Row],[Seq_Day]])</f>
        <v/>
      </c>
    </row>
    <row r="2960">
      <c r="A2960" s="54" t="n"/>
      <c r="B2960" s="61" t="n"/>
      <c r="C2960" s="58" t="n"/>
      <c r="D2960" s="58" t="n"/>
      <c r="E2960" s="64">
        <f>IF(tblCommentary[[#This Row],[Date]]="","",COUNTIFS(INDEX(tblCommentary[Date],1):tblCommentary[[#This Row],[Date]],tblCommentary[[#This Row],[Date]]))</f>
        <v/>
      </c>
      <c r="F2960" s="63">
        <f>IF(tblCommentary[[#This Row],[Date]]="","",tblCommentary[[#This Row],[Date]]&amp;"|"&amp;tblCommentary[[#This Row],[Seq_Day]])</f>
        <v/>
      </c>
    </row>
    <row r="2961">
      <c r="A2961" s="54" t="n"/>
      <c r="B2961" s="61" t="n"/>
      <c r="C2961" s="58" t="n"/>
      <c r="D2961" s="58" t="n"/>
      <c r="E2961" s="64">
        <f>IF(tblCommentary[[#This Row],[Date]]="","",COUNTIFS(INDEX(tblCommentary[Date],1):tblCommentary[[#This Row],[Date]],tblCommentary[[#This Row],[Date]]))</f>
        <v/>
      </c>
      <c r="F2961" s="63">
        <f>IF(tblCommentary[[#This Row],[Date]]="","",tblCommentary[[#This Row],[Date]]&amp;"|"&amp;tblCommentary[[#This Row],[Seq_Day]])</f>
        <v/>
      </c>
    </row>
    <row r="2962">
      <c r="A2962" s="54" t="n"/>
      <c r="B2962" s="61" t="n"/>
      <c r="C2962" s="58" t="n"/>
      <c r="D2962" s="58" t="n"/>
      <c r="E2962" s="64">
        <f>IF(tblCommentary[[#This Row],[Date]]="","",COUNTIFS(INDEX(tblCommentary[Date],1):tblCommentary[[#This Row],[Date]],tblCommentary[[#This Row],[Date]]))</f>
        <v/>
      </c>
      <c r="F2962" s="63">
        <f>IF(tblCommentary[[#This Row],[Date]]="","",tblCommentary[[#This Row],[Date]]&amp;"|"&amp;tblCommentary[[#This Row],[Seq_Day]])</f>
        <v/>
      </c>
    </row>
    <row r="2963">
      <c r="A2963" s="54" t="n"/>
      <c r="B2963" s="61" t="n"/>
      <c r="C2963" s="58" t="n"/>
      <c r="D2963" s="58" t="n"/>
      <c r="E2963" s="64">
        <f>IF(tblCommentary[[#This Row],[Date]]="","",COUNTIFS(INDEX(tblCommentary[Date],1):tblCommentary[[#This Row],[Date]],tblCommentary[[#This Row],[Date]]))</f>
        <v/>
      </c>
      <c r="F2963" s="63">
        <f>IF(tblCommentary[[#This Row],[Date]]="","",tblCommentary[[#This Row],[Date]]&amp;"|"&amp;tblCommentary[[#This Row],[Seq_Day]])</f>
        <v/>
      </c>
    </row>
    <row r="2964">
      <c r="A2964" s="54" t="n"/>
      <c r="B2964" s="61" t="n"/>
      <c r="C2964" s="58" t="n"/>
      <c r="D2964" s="58" t="n"/>
      <c r="E2964" s="64">
        <f>IF(tblCommentary[[#This Row],[Date]]="","",COUNTIFS(INDEX(tblCommentary[Date],1):tblCommentary[[#This Row],[Date]],tblCommentary[[#This Row],[Date]]))</f>
        <v/>
      </c>
      <c r="F2964" s="63">
        <f>IF(tblCommentary[[#This Row],[Date]]="","",tblCommentary[[#This Row],[Date]]&amp;"|"&amp;tblCommentary[[#This Row],[Seq_Day]])</f>
        <v/>
      </c>
    </row>
    <row r="2965">
      <c r="A2965" s="54" t="n"/>
      <c r="B2965" s="61" t="n"/>
      <c r="C2965" s="58" t="n"/>
      <c r="D2965" s="58" t="n"/>
      <c r="E2965" s="64">
        <f>IF(tblCommentary[[#This Row],[Date]]="","",COUNTIFS(INDEX(tblCommentary[Date],1):tblCommentary[[#This Row],[Date]],tblCommentary[[#This Row],[Date]]))</f>
        <v/>
      </c>
      <c r="F2965" s="63">
        <f>IF(tblCommentary[[#This Row],[Date]]="","",tblCommentary[[#This Row],[Date]]&amp;"|"&amp;tblCommentary[[#This Row],[Seq_Day]])</f>
        <v/>
      </c>
    </row>
    <row r="2966">
      <c r="A2966" s="54" t="n"/>
      <c r="B2966" s="61" t="n"/>
      <c r="C2966" s="58" t="n"/>
      <c r="D2966" s="58" t="n"/>
      <c r="E2966" s="64">
        <f>IF(tblCommentary[[#This Row],[Date]]="","",COUNTIFS(INDEX(tblCommentary[Date],1):tblCommentary[[#This Row],[Date]],tblCommentary[[#This Row],[Date]]))</f>
        <v/>
      </c>
      <c r="F2966" s="63">
        <f>IF(tblCommentary[[#This Row],[Date]]="","",tblCommentary[[#This Row],[Date]]&amp;"|"&amp;tblCommentary[[#This Row],[Seq_Day]])</f>
        <v/>
      </c>
    </row>
    <row r="2967">
      <c r="A2967" s="54" t="n"/>
      <c r="B2967" s="61" t="n"/>
      <c r="C2967" s="58" t="n"/>
      <c r="D2967" s="58" t="n"/>
      <c r="E2967" s="64">
        <f>IF(tblCommentary[[#This Row],[Date]]="","",COUNTIFS(INDEX(tblCommentary[Date],1):tblCommentary[[#This Row],[Date]],tblCommentary[[#This Row],[Date]]))</f>
        <v/>
      </c>
      <c r="F2967" s="63">
        <f>IF(tblCommentary[[#This Row],[Date]]="","",tblCommentary[[#This Row],[Date]]&amp;"|"&amp;tblCommentary[[#This Row],[Seq_Day]])</f>
        <v/>
      </c>
    </row>
    <row r="2968">
      <c r="A2968" s="54" t="n"/>
      <c r="B2968" s="61" t="n"/>
      <c r="C2968" s="58" t="n"/>
      <c r="D2968" s="58" t="n"/>
      <c r="E2968" s="64">
        <f>IF(tblCommentary[[#This Row],[Date]]="","",COUNTIFS(INDEX(tblCommentary[Date],1):tblCommentary[[#This Row],[Date]],tblCommentary[[#This Row],[Date]]))</f>
        <v/>
      </c>
      <c r="F2968" s="63">
        <f>IF(tblCommentary[[#This Row],[Date]]="","",tblCommentary[[#This Row],[Date]]&amp;"|"&amp;tblCommentary[[#This Row],[Seq_Day]])</f>
        <v/>
      </c>
    </row>
    <row r="2969">
      <c r="A2969" s="54" t="n"/>
      <c r="B2969" s="61" t="n"/>
      <c r="C2969" s="58" t="n"/>
      <c r="D2969" s="58" t="n"/>
      <c r="E2969" s="64">
        <f>IF(tblCommentary[[#This Row],[Date]]="","",COUNTIFS(INDEX(tblCommentary[Date],1):tblCommentary[[#This Row],[Date]],tblCommentary[[#This Row],[Date]]))</f>
        <v/>
      </c>
      <c r="F2969" s="63">
        <f>IF(tblCommentary[[#This Row],[Date]]="","",tblCommentary[[#This Row],[Date]]&amp;"|"&amp;tblCommentary[[#This Row],[Seq_Day]])</f>
        <v/>
      </c>
    </row>
    <row r="2970">
      <c r="A2970" s="54" t="n"/>
      <c r="B2970" s="61" t="n"/>
      <c r="C2970" s="58" t="n"/>
      <c r="D2970" s="58" t="n"/>
      <c r="E2970" s="64">
        <f>IF(tblCommentary[[#This Row],[Date]]="","",COUNTIFS(INDEX(tblCommentary[Date],1):tblCommentary[[#This Row],[Date]],tblCommentary[[#This Row],[Date]]))</f>
        <v/>
      </c>
      <c r="F2970" s="63">
        <f>IF(tblCommentary[[#This Row],[Date]]="","",tblCommentary[[#This Row],[Date]]&amp;"|"&amp;tblCommentary[[#This Row],[Seq_Day]])</f>
        <v/>
      </c>
    </row>
    <row r="2971">
      <c r="A2971" s="54" t="n"/>
      <c r="B2971" s="61" t="n"/>
      <c r="C2971" s="58" t="n"/>
      <c r="D2971" s="58" t="n"/>
      <c r="E2971" s="64">
        <f>IF(tblCommentary[[#This Row],[Date]]="","",COUNTIFS(INDEX(tblCommentary[Date],1):tblCommentary[[#This Row],[Date]],tblCommentary[[#This Row],[Date]]))</f>
        <v/>
      </c>
      <c r="F2971" s="63">
        <f>IF(tblCommentary[[#This Row],[Date]]="","",tblCommentary[[#This Row],[Date]]&amp;"|"&amp;tblCommentary[[#This Row],[Seq_Day]])</f>
        <v/>
      </c>
    </row>
    <row r="2972">
      <c r="A2972" s="54" t="n"/>
      <c r="B2972" s="61" t="n"/>
      <c r="C2972" s="58" t="n"/>
      <c r="D2972" s="58" t="n"/>
      <c r="E2972" s="64">
        <f>IF(tblCommentary[[#This Row],[Date]]="","",COUNTIFS(INDEX(tblCommentary[Date],1):tblCommentary[[#This Row],[Date]],tblCommentary[[#This Row],[Date]]))</f>
        <v/>
      </c>
      <c r="F2972" s="63">
        <f>IF(tblCommentary[[#This Row],[Date]]="","",tblCommentary[[#This Row],[Date]]&amp;"|"&amp;tblCommentary[[#This Row],[Seq_Day]])</f>
        <v/>
      </c>
    </row>
    <row r="2973">
      <c r="A2973" s="54" t="n"/>
      <c r="B2973" s="61" t="n"/>
      <c r="C2973" s="58" t="n"/>
      <c r="D2973" s="58" t="n"/>
      <c r="E2973" s="64">
        <f>IF(tblCommentary[[#This Row],[Date]]="","",COUNTIFS(INDEX(tblCommentary[Date],1):tblCommentary[[#This Row],[Date]],tblCommentary[[#This Row],[Date]]))</f>
        <v/>
      </c>
      <c r="F2973" s="63">
        <f>IF(tblCommentary[[#This Row],[Date]]="","",tblCommentary[[#This Row],[Date]]&amp;"|"&amp;tblCommentary[[#This Row],[Seq_Day]])</f>
        <v/>
      </c>
    </row>
    <row r="2974">
      <c r="A2974" s="54" t="n"/>
      <c r="B2974" s="61" t="n"/>
      <c r="C2974" s="58" t="n"/>
      <c r="D2974" s="58" t="n"/>
      <c r="E2974" s="64">
        <f>IF(tblCommentary[[#This Row],[Date]]="","",COUNTIFS(INDEX(tblCommentary[Date],1):tblCommentary[[#This Row],[Date]],tblCommentary[[#This Row],[Date]]))</f>
        <v/>
      </c>
      <c r="F2974" s="63">
        <f>IF(tblCommentary[[#This Row],[Date]]="","",tblCommentary[[#This Row],[Date]]&amp;"|"&amp;tblCommentary[[#This Row],[Seq_Day]])</f>
        <v/>
      </c>
    </row>
    <row r="2975">
      <c r="A2975" s="54" t="n"/>
      <c r="B2975" s="61" t="n"/>
      <c r="C2975" s="58" t="n"/>
      <c r="D2975" s="58" t="n"/>
      <c r="E2975" s="64">
        <f>IF(tblCommentary[[#This Row],[Date]]="","",COUNTIFS(INDEX(tblCommentary[Date],1):tblCommentary[[#This Row],[Date]],tblCommentary[[#This Row],[Date]]))</f>
        <v/>
      </c>
      <c r="F2975" s="63">
        <f>IF(tblCommentary[[#This Row],[Date]]="","",tblCommentary[[#This Row],[Date]]&amp;"|"&amp;tblCommentary[[#This Row],[Seq_Day]])</f>
        <v/>
      </c>
    </row>
    <row r="2976">
      <c r="A2976" s="54" t="n"/>
      <c r="B2976" s="61" t="n"/>
      <c r="C2976" s="58" t="n"/>
      <c r="D2976" s="58" t="n"/>
      <c r="E2976" s="64">
        <f>IF(tblCommentary[[#This Row],[Date]]="","",COUNTIFS(INDEX(tblCommentary[Date],1):tblCommentary[[#This Row],[Date]],tblCommentary[[#This Row],[Date]]))</f>
        <v/>
      </c>
      <c r="F2976" s="63">
        <f>IF(tblCommentary[[#This Row],[Date]]="","",tblCommentary[[#This Row],[Date]]&amp;"|"&amp;tblCommentary[[#This Row],[Seq_Day]])</f>
        <v/>
      </c>
    </row>
    <row r="2977">
      <c r="A2977" s="54" t="n"/>
      <c r="B2977" s="61" t="n"/>
      <c r="C2977" s="58" t="n"/>
      <c r="D2977" s="58" t="n"/>
      <c r="E2977" s="64">
        <f>IF(tblCommentary[[#This Row],[Date]]="","",COUNTIFS(INDEX(tblCommentary[Date],1):tblCommentary[[#This Row],[Date]],tblCommentary[[#This Row],[Date]]))</f>
        <v/>
      </c>
      <c r="F2977" s="63">
        <f>IF(tblCommentary[[#This Row],[Date]]="","",tblCommentary[[#This Row],[Date]]&amp;"|"&amp;tblCommentary[[#This Row],[Seq_Day]])</f>
        <v/>
      </c>
    </row>
    <row r="2978">
      <c r="A2978" s="54" t="n"/>
      <c r="B2978" s="61" t="n"/>
      <c r="C2978" s="58" t="n"/>
      <c r="D2978" s="58" t="n"/>
      <c r="E2978" s="64">
        <f>IF(tblCommentary[[#This Row],[Date]]="","",COUNTIFS(INDEX(tblCommentary[Date],1):tblCommentary[[#This Row],[Date]],tblCommentary[[#This Row],[Date]]))</f>
        <v/>
      </c>
      <c r="F2978" s="63">
        <f>IF(tblCommentary[[#This Row],[Date]]="","",tblCommentary[[#This Row],[Date]]&amp;"|"&amp;tblCommentary[[#This Row],[Seq_Day]])</f>
        <v/>
      </c>
    </row>
    <row r="2979">
      <c r="A2979" s="54" t="n"/>
      <c r="B2979" s="61" t="n"/>
      <c r="C2979" s="58" t="n"/>
      <c r="D2979" s="58" t="n"/>
      <c r="E2979" s="64">
        <f>IF(tblCommentary[[#This Row],[Date]]="","",COUNTIFS(INDEX(tblCommentary[Date],1):tblCommentary[[#This Row],[Date]],tblCommentary[[#This Row],[Date]]))</f>
        <v/>
      </c>
      <c r="F2979" s="63">
        <f>IF(tblCommentary[[#This Row],[Date]]="","",tblCommentary[[#This Row],[Date]]&amp;"|"&amp;tblCommentary[[#This Row],[Seq_Day]])</f>
        <v/>
      </c>
    </row>
    <row r="2980">
      <c r="A2980" s="54" t="n"/>
      <c r="B2980" s="61" t="n"/>
      <c r="C2980" s="58" t="n"/>
      <c r="D2980" s="58" t="n"/>
      <c r="E2980" s="64">
        <f>IF(tblCommentary[[#This Row],[Date]]="","",COUNTIFS(INDEX(tblCommentary[Date],1):tblCommentary[[#This Row],[Date]],tblCommentary[[#This Row],[Date]]))</f>
        <v/>
      </c>
      <c r="F2980" s="63">
        <f>IF(tblCommentary[[#This Row],[Date]]="","",tblCommentary[[#This Row],[Date]]&amp;"|"&amp;tblCommentary[[#This Row],[Seq_Day]])</f>
        <v/>
      </c>
    </row>
    <row r="2981">
      <c r="A2981" s="54" t="n"/>
      <c r="B2981" s="61" t="n"/>
      <c r="C2981" s="58" t="n"/>
      <c r="D2981" s="58" t="n"/>
      <c r="E2981" s="64">
        <f>IF(tblCommentary[[#This Row],[Date]]="","",COUNTIFS(INDEX(tblCommentary[Date],1):tblCommentary[[#This Row],[Date]],tblCommentary[[#This Row],[Date]]))</f>
        <v/>
      </c>
      <c r="F2981" s="63">
        <f>IF(tblCommentary[[#This Row],[Date]]="","",tblCommentary[[#This Row],[Date]]&amp;"|"&amp;tblCommentary[[#This Row],[Seq_Day]])</f>
        <v/>
      </c>
    </row>
    <row r="2982">
      <c r="A2982" s="54" t="n"/>
      <c r="B2982" s="61" t="n"/>
      <c r="C2982" s="58" t="n"/>
      <c r="D2982" s="58" t="n"/>
      <c r="E2982" s="64">
        <f>IF(tblCommentary[[#This Row],[Date]]="","",COUNTIFS(INDEX(tblCommentary[Date],1):tblCommentary[[#This Row],[Date]],tblCommentary[[#This Row],[Date]]))</f>
        <v/>
      </c>
      <c r="F2982" s="63">
        <f>IF(tblCommentary[[#This Row],[Date]]="","",tblCommentary[[#This Row],[Date]]&amp;"|"&amp;tblCommentary[[#This Row],[Seq_Day]])</f>
        <v/>
      </c>
    </row>
    <row r="2983">
      <c r="A2983" s="54" t="n"/>
      <c r="B2983" s="61" t="n"/>
      <c r="C2983" s="58" t="n"/>
      <c r="D2983" s="58" t="n"/>
      <c r="E2983" s="64">
        <f>IF(tblCommentary[[#This Row],[Date]]="","",COUNTIFS(INDEX(tblCommentary[Date],1):tblCommentary[[#This Row],[Date]],tblCommentary[[#This Row],[Date]]))</f>
        <v/>
      </c>
      <c r="F2983" s="63">
        <f>IF(tblCommentary[[#This Row],[Date]]="","",tblCommentary[[#This Row],[Date]]&amp;"|"&amp;tblCommentary[[#This Row],[Seq_Day]])</f>
        <v/>
      </c>
    </row>
    <row r="2984">
      <c r="A2984" s="54" t="n"/>
      <c r="B2984" s="61" t="n"/>
      <c r="C2984" s="58" t="n"/>
      <c r="D2984" s="58" t="n"/>
      <c r="E2984" s="64">
        <f>IF(tblCommentary[[#This Row],[Date]]="","",COUNTIFS(INDEX(tblCommentary[Date],1):tblCommentary[[#This Row],[Date]],tblCommentary[[#This Row],[Date]]))</f>
        <v/>
      </c>
      <c r="F2984" s="63">
        <f>IF(tblCommentary[[#This Row],[Date]]="","",tblCommentary[[#This Row],[Date]]&amp;"|"&amp;tblCommentary[[#This Row],[Seq_Day]])</f>
        <v/>
      </c>
    </row>
    <row r="2985">
      <c r="A2985" s="54" t="n"/>
      <c r="B2985" s="61" t="n"/>
      <c r="C2985" s="58" t="n"/>
      <c r="D2985" s="58" t="n"/>
      <c r="E2985" s="64">
        <f>IF(tblCommentary[[#This Row],[Date]]="","",COUNTIFS(INDEX(tblCommentary[Date],1):tblCommentary[[#This Row],[Date]],tblCommentary[[#This Row],[Date]]))</f>
        <v/>
      </c>
      <c r="F2985" s="63">
        <f>IF(tblCommentary[[#This Row],[Date]]="","",tblCommentary[[#This Row],[Date]]&amp;"|"&amp;tblCommentary[[#This Row],[Seq_Day]])</f>
        <v/>
      </c>
    </row>
    <row r="2986">
      <c r="A2986" s="54" t="n"/>
      <c r="B2986" s="61" t="n"/>
      <c r="C2986" s="58" t="n"/>
      <c r="D2986" s="58" t="n"/>
      <c r="E2986" s="64">
        <f>IF(tblCommentary[[#This Row],[Date]]="","",COUNTIFS(INDEX(tblCommentary[Date],1):tblCommentary[[#This Row],[Date]],tblCommentary[[#This Row],[Date]]))</f>
        <v/>
      </c>
      <c r="F2986" s="63">
        <f>IF(tblCommentary[[#This Row],[Date]]="","",tblCommentary[[#This Row],[Date]]&amp;"|"&amp;tblCommentary[[#This Row],[Seq_Day]])</f>
        <v/>
      </c>
    </row>
    <row r="2987">
      <c r="A2987" s="54" t="n"/>
      <c r="B2987" s="61" t="n"/>
      <c r="C2987" s="58" t="n"/>
      <c r="D2987" s="58" t="n"/>
      <c r="E2987" s="64">
        <f>IF(tblCommentary[[#This Row],[Date]]="","",COUNTIFS(INDEX(tblCommentary[Date],1):tblCommentary[[#This Row],[Date]],tblCommentary[[#This Row],[Date]]))</f>
        <v/>
      </c>
      <c r="F2987" s="63">
        <f>IF(tblCommentary[[#This Row],[Date]]="","",tblCommentary[[#This Row],[Date]]&amp;"|"&amp;tblCommentary[[#This Row],[Seq_Day]])</f>
        <v/>
      </c>
    </row>
    <row r="2988">
      <c r="A2988" s="54" t="n"/>
      <c r="B2988" s="61" t="n"/>
      <c r="C2988" s="58" t="n"/>
      <c r="D2988" s="58" t="n"/>
      <c r="E2988" s="64">
        <f>IF(tblCommentary[[#This Row],[Date]]="","",COUNTIFS(INDEX(tblCommentary[Date],1):tblCommentary[[#This Row],[Date]],tblCommentary[[#This Row],[Date]]))</f>
        <v/>
      </c>
      <c r="F2988" s="63">
        <f>IF(tblCommentary[[#This Row],[Date]]="","",tblCommentary[[#This Row],[Date]]&amp;"|"&amp;tblCommentary[[#This Row],[Seq_Day]])</f>
        <v/>
      </c>
    </row>
    <row r="2989">
      <c r="A2989" s="54" t="n"/>
      <c r="B2989" s="61" t="n"/>
      <c r="C2989" s="58" t="n"/>
      <c r="D2989" s="58" t="n"/>
      <c r="E2989" s="64">
        <f>IF(tblCommentary[[#This Row],[Date]]="","",COUNTIFS(INDEX(tblCommentary[Date],1):tblCommentary[[#This Row],[Date]],tblCommentary[[#This Row],[Date]]))</f>
        <v/>
      </c>
      <c r="F2989" s="63">
        <f>IF(tblCommentary[[#This Row],[Date]]="","",tblCommentary[[#This Row],[Date]]&amp;"|"&amp;tblCommentary[[#This Row],[Seq_Day]])</f>
        <v/>
      </c>
    </row>
    <row r="2990">
      <c r="A2990" s="54" t="n"/>
      <c r="B2990" s="61" t="n"/>
      <c r="C2990" s="58" t="n"/>
      <c r="D2990" s="58" t="n"/>
      <c r="E2990" s="64">
        <f>IF(tblCommentary[[#This Row],[Date]]="","",COUNTIFS(INDEX(tblCommentary[Date],1):tblCommentary[[#This Row],[Date]],tblCommentary[[#This Row],[Date]]))</f>
        <v/>
      </c>
      <c r="F2990" s="63">
        <f>IF(tblCommentary[[#This Row],[Date]]="","",tblCommentary[[#This Row],[Date]]&amp;"|"&amp;tblCommentary[[#This Row],[Seq_Day]])</f>
        <v/>
      </c>
    </row>
    <row r="2991">
      <c r="A2991" s="54" t="n"/>
      <c r="B2991" s="61" t="n"/>
      <c r="C2991" s="58" t="n"/>
      <c r="D2991" s="58" t="n"/>
      <c r="E2991" s="64">
        <f>IF(tblCommentary[[#This Row],[Date]]="","",COUNTIFS(INDEX(tblCommentary[Date],1):tblCommentary[[#This Row],[Date]],tblCommentary[[#This Row],[Date]]))</f>
        <v/>
      </c>
      <c r="F2991" s="63">
        <f>IF(tblCommentary[[#This Row],[Date]]="","",tblCommentary[[#This Row],[Date]]&amp;"|"&amp;tblCommentary[[#This Row],[Seq_Day]])</f>
        <v/>
      </c>
    </row>
    <row r="2992">
      <c r="A2992" s="54" t="n"/>
      <c r="B2992" s="61" t="n"/>
      <c r="C2992" s="58" t="n"/>
      <c r="D2992" s="58" t="n"/>
      <c r="E2992" s="64">
        <f>IF(tblCommentary[[#This Row],[Date]]="","",COUNTIFS(INDEX(tblCommentary[Date],1):tblCommentary[[#This Row],[Date]],tblCommentary[[#This Row],[Date]]))</f>
        <v/>
      </c>
      <c r="F2992" s="63">
        <f>IF(tblCommentary[[#This Row],[Date]]="","",tblCommentary[[#This Row],[Date]]&amp;"|"&amp;tblCommentary[[#This Row],[Seq_Day]])</f>
        <v/>
      </c>
    </row>
    <row r="2993">
      <c r="A2993" s="54" t="n"/>
      <c r="B2993" s="61" t="n"/>
      <c r="C2993" s="58" t="n"/>
      <c r="D2993" s="58" t="n"/>
      <c r="E2993" s="64">
        <f>IF(tblCommentary[[#This Row],[Date]]="","",COUNTIFS(INDEX(tblCommentary[Date],1):tblCommentary[[#This Row],[Date]],tblCommentary[[#This Row],[Date]]))</f>
        <v/>
      </c>
      <c r="F2993" s="63">
        <f>IF(tblCommentary[[#This Row],[Date]]="","",tblCommentary[[#This Row],[Date]]&amp;"|"&amp;tblCommentary[[#This Row],[Seq_Day]])</f>
        <v/>
      </c>
    </row>
    <row r="2994">
      <c r="A2994" s="54" t="n"/>
      <c r="B2994" s="61" t="n"/>
      <c r="C2994" s="58" t="n"/>
      <c r="D2994" s="58" t="n"/>
      <c r="E2994" s="64">
        <f>IF(tblCommentary[[#This Row],[Date]]="","",COUNTIFS(INDEX(tblCommentary[Date],1):tblCommentary[[#This Row],[Date]],tblCommentary[[#This Row],[Date]]))</f>
        <v/>
      </c>
      <c r="F2994" s="63">
        <f>IF(tblCommentary[[#This Row],[Date]]="","",tblCommentary[[#This Row],[Date]]&amp;"|"&amp;tblCommentary[[#This Row],[Seq_Day]])</f>
        <v/>
      </c>
    </row>
    <row r="2995">
      <c r="A2995" s="54" t="n"/>
      <c r="B2995" s="61" t="n"/>
      <c r="C2995" s="58" t="n"/>
      <c r="D2995" s="58" t="n"/>
      <c r="E2995" s="64">
        <f>IF(tblCommentary[[#This Row],[Date]]="","",COUNTIFS(INDEX(tblCommentary[Date],1):tblCommentary[[#This Row],[Date]],tblCommentary[[#This Row],[Date]]))</f>
        <v/>
      </c>
      <c r="F2995" s="63">
        <f>IF(tblCommentary[[#This Row],[Date]]="","",tblCommentary[[#This Row],[Date]]&amp;"|"&amp;tblCommentary[[#This Row],[Seq_Day]])</f>
        <v/>
      </c>
    </row>
    <row r="2996">
      <c r="A2996" s="54" t="n"/>
      <c r="B2996" s="61" t="n"/>
      <c r="C2996" s="58" t="n"/>
      <c r="D2996" s="58" t="n"/>
      <c r="E2996" s="64">
        <f>IF(tblCommentary[[#This Row],[Date]]="","",COUNTIFS(INDEX(tblCommentary[Date],1):tblCommentary[[#This Row],[Date]],tblCommentary[[#This Row],[Date]]))</f>
        <v/>
      </c>
      <c r="F2996" s="63">
        <f>IF(tblCommentary[[#This Row],[Date]]="","",tblCommentary[[#This Row],[Date]]&amp;"|"&amp;tblCommentary[[#This Row],[Seq_Day]])</f>
        <v/>
      </c>
    </row>
    <row r="2997">
      <c r="A2997" s="54" t="n"/>
      <c r="B2997" s="61" t="n"/>
      <c r="C2997" s="58" t="n"/>
      <c r="D2997" s="58" t="n"/>
      <c r="E2997" s="64">
        <f>IF(tblCommentary[[#This Row],[Date]]="","",COUNTIFS(INDEX(tblCommentary[Date],1):tblCommentary[[#This Row],[Date]],tblCommentary[[#This Row],[Date]]))</f>
        <v/>
      </c>
      <c r="F2997" s="63">
        <f>IF(tblCommentary[[#This Row],[Date]]="","",tblCommentary[[#This Row],[Date]]&amp;"|"&amp;tblCommentary[[#This Row],[Seq_Day]])</f>
        <v/>
      </c>
    </row>
    <row r="2998">
      <c r="A2998" s="54" t="n"/>
      <c r="B2998" s="61" t="n"/>
      <c r="C2998" s="58" t="n"/>
      <c r="D2998" s="58" t="n"/>
      <c r="E2998" s="64">
        <f>IF(tblCommentary[[#This Row],[Date]]="","",COUNTIFS(INDEX(tblCommentary[Date],1):tblCommentary[[#This Row],[Date]],tblCommentary[[#This Row],[Date]]))</f>
        <v/>
      </c>
      <c r="F2998" s="63">
        <f>IF(tblCommentary[[#This Row],[Date]]="","",tblCommentary[[#This Row],[Date]]&amp;"|"&amp;tblCommentary[[#This Row],[Seq_Day]])</f>
        <v/>
      </c>
    </row>
    <row r="2999">
      <c r="A2999" s="54" t="n"/>
      <c r="B2999" s="61" t="n"/>
      <c r="C2999" s="58" t="n"/>
      <c r="D2999" s="58" t="n"/>
      <c r="E2999" s="64">
        <f>IF(tblCommentary[[#This Row],[Date]]="","",COUNTIFS(INDEX(tblCommentary[Date],1):tblCommentary[[#This Row],[Date]],tblCommentary[[#This Row],[Date]]))</f>
        <v/>
      </c>
      <c r="F2999" s="63">
        <f>IF(tblCommentary[[#This Row],[Date]]="","",tblCommentary[[#This Row],[Date]]&amp;"|"&amp;tblCommentary[[#This Row],[Seq_Day]])</f>
        <v/>
      </c>
    </row>
    <row r="3000">
      <c r="A3000" s="54" t="n"/>
      <c r="B3000" s="61" t="n"/>
      <c r="C3000" s="58" t="n"/>
      <c r="D3000" s="58" t="n"/>
      <c r="E3000" s="64">
        <f>IF(tblCommentary[[#This Row],[Date]]="","",COUNTIFS(INDEX(tblCommentary[Date],1):tblCommentary[[#This Row],[Date]],tblCommentary[[#This Row],[Date]]))</f>
        <v/>
      </c>
      <c r="F3000" s="63">
        <f>IF(tblCommentary[[#This Row],[Date]]="","",tblCommentary[[#This Row],[Date]]&amp;"|"&amp;tblCommentary[[#This Row],[Seq_Day]])</f>
        <v/>
      </c>
    </row>
    <row r="3001">
      <c r="A3001" s="54" t="n"/>
      <c r="B3001" s="61" t="n"/>
      <c r="C3001" s="58" t="n"/>
      <c r="D3001" s="58" t="n"/>
      <c r="E3001" s="64">
        <f>IF(tblCommentary[[#This Row],[Date]]="","",COUNTIFS(INDEX(tblCommentary[Date],1):tblCommentary[[#This Row],[Date]],tblCommentary[[#This Row],[Date]]))</f>
        <v/>
      </c>
      <c r="F3001" s="63">
        <f>IF(tblCommentary[[#This Row],[Date]]="","",tblCommentary[[#This Row],[Date]]&amp;"|"&amp;tblCommentary[[#This Row],[Seq_Day]])</f>
        <v/>
      </c>
    </row>
    <row r="3002">
      <c r="A3002" s="54" t="n"/>
      <c r="B3002" s="61" t="n"/>
      <c r="C3002" s="58" t="n"/>
      <c r="D3002" s="58" t="n"/>
      <c r="E3002" s="64">
        <f>IF(tblCommentary[[#This Row],[Date]]="","",COUNTIFS(INDEX(tblCommentary[Date],1):tblCommentary[[#This Row],[Date]],tblCommentary[[#This Row],[Date]]))</f>
        <v/>
      </c>
      <c r="F3002" s="63">
        <f>IF(tblCommentary[[#This Row],[Date]]="","",tblCommentary[[#This Row],[Date]]&amp;"|"&amp;tblCommentary[[#This Row],[Seq_Day]])</f>
        <v/>
      </c>
    </row>
    <row r="3003">
      <c r="A3003" s="54" t="n"/>
      <c r="B3003" s="61" t="n"/>
      <c r="C3003" s="58" t="n"/>
      <c r="D3003" s="58" t="n"/>
      <c r="E3003" s="64">
        <f>IF(tblCommentary[[#This Row],[Date]]="","",COUNTIFS(INDEX(tblCommentary[Date],1):tblCommentary[[#This Row],[Date]],tblCommentary[[#This Row],[Date]]))</f>
        <v/>
      </c>
      <c r="F3003" s="63">
        <f>IF(tblCommentary[[#This Row],[Date]]="","",tblCommentary[[#This Row],[Date]]&amp;"|"&amp;tblCommentary[[#This Row],[Seq_Day]])</f>
        <v/>
      </c>
    </row>
    <row r="3004">
      <c r="A3004" s="54" t="n"/>
      <c r="B3004" s="61" t="n"/>
      <c r="C3004" s="58" t="n"/>
      <c r="D3004" s="58" t="n"/>
      <c r="E3004" s="64">
        <f>IF(tblCommentary[[#This Row],[Date]]="","",COUNTIFS(INDEX(tblCommentary[Date],1):tblCommentary[[#This Row],[Date]],tblCommentary[[#This Row],[Date]]))</f>
        <v/>
      </c>
      <c r="F3004" s="63">
        <f>IF(tblCommentary[[#This Row],[Date]]="","",tblCommentary[[#This Row],[Date]]&amp;"|"&amp;tblCommentary[[#This Row],[Seq_Day]])</f>
        <v/>
      </c>
    </row>
    <row r="3005">
      <c r="A3005" s="54" t="n"/>
      <c r="B3005" s="61" t="n"/>
      <c r="C3005" s="58" t="n"/>
      <c r="D3005" s="58" t="n"/>
      <c r="E3005" s="64">
        <f>IF(tblCommentary[[#This Row],[Date]]="","",COUNTIFS(INDEX(tblCommentary[Date],1):tblCommentary[[#This Row],[Date]],tblCommentary[[#This Row],[Date]]))</f>
        <v/>
      </c>
      <c r="F3005" s="63">
        <f>IF(tblCommentary[[#This Row],[Date]]="","",tblCommentary[[#This Row],[Date]]&amp;"|"&amp;tblCommentary[[#This Row],[Seq_Day]])</f>
        <v/>
      </c>
    </row>
  </sheetData>
  <dataValidations count="2">
    <dataValidation sqref="A6:A3005" showDropDown="0" showInputMessage="0" showErrorMessage="1" allowBlank="1" errorTitle="Date outside the reporting year" error="Dates must fall in the reporting year: rows outside it are not counted in any KPI. Click No and correct the date." type="date" errorStyle="warning" operator="between">
      <formula1>=cfg_YearStart</formula1>
      <formula2>=cfg_YearEnd</formula2>
    </dataValidation>
    <dataValidation sqref="B6:B3005" showDropDown="0" showInputMessage="0" showErrorMessage="1" allowBlank="1" errorTitle="Not in list" error="Choose a value from the list (edit the Lists sheet to add one)." type="list">
      <formula1>=lst_Area</formula1>
    </dataValidation>
  </dataValidation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7F7F7F"/>
    <outlinePr summaryBelow="1" summaryRight="1"/>
    <pageSetUpPr/>
  </sheetPr>
  <dimension ref="A1:O29"/>
  <sheetViews>
    <sheetView workbookViewId="0">
      <selection activeCell="A1" sqref="A1"/>
    </sheetView>
  </sheetViews>
  <sheetFormatPr baseColWidth="8" defaultRowHeight="15"/>
  <cols>
    <col width="60" customWidth="1" min="1" max="1"/>
    <col width="30" customWidth="1" min="2" max="2"/>
    <col width="18" customWidth="1" min="3" max="3"/>
    <col width="32" customWidth="1" min="5" max="5"/>
    <col width="13.7" customWidth="1" min="6" max="6"/>
    <col width="17.3" customWidth="1" min="7" max="7"/>
    <col width="11" customWidth="1" min="8" max="8"/>
    <col width="11.9" customWidth="1" min="9" max="9"/>
    <col width="11" customWidth="1" min="11" max="11"/>
    <col width="16.4" customWidth="1" min="12" max="12"/>
    <col width="19.1" customWidth="1" min="13" max="13"/>
    <col width="18.2" customWidth="1" min="14" max="14"/>
    <col width="13.7" customWidth="1" min="15" max="15"/>
  </cols>
  <sheetData>
    <row r="1">
      <c r="A1" s="50" t="inlineStr">
        <is>
          <t>Config</t>
        </is>
      </c>
    </row>
    <row r="2">
      <c r="A2" s="6" t="inlineStr">
        <is>
          <t>Site settings and opening balances. Names in column C are used by the formulas.</t>
        </is>
      </c>
    </row>
    <row r="3">
      <c r="E3" s="68" t="inlineStr">
        <is>
          <t>Stockpile opening balances: surveyed tonnes at the start of Survey_Date (1 January if blank); spare rows for stockpiles opened later</t>
        </is>
      </c>
      <c r="K3" s="68" t="inlineStr">
        <is>
          <t>Monthly safety history for months without daily Safety rows (prior year, and this year before go-live), for rolling 12-month rates</t>
        </is>
      </c>
    </row>
    <row r="4" ht="30" customHeight="1">
      <c r="A4" s="8" t="inlineStr">
        <is>
          <t>Setting</t>
        </is>
      </c>
      <c r="B4" s="8" t="inlineStr">
        <is>
          <t>Value</t>
        </is>
      </c>
      <c r="C4" s="8" t="inlineStr">
        <is>
          <t>Name</t>
        </is>
      </c>
      <c r="E4" s="51" t="inlineStr">
        <is>
          <t>Stockpile</t>
        </is>
      </c>
      <c r="F4" s="51" t="inlineStr">
        <is>
          <t>Opening_t (t)</t>
        </is>
      </c>
      <c r="G4" s="51" t="inlineStr">
        <is>
          <t>Opening_gpt (g/t)</t>
        </is>
      </c>
      <c r="H4" s="51" t="inlineStr">
        <is>
          <t>Plant_Feed</t>
        </is>
      </c>
      <c r="I4" s="51" t="inlineStr">
        <is>
          <t>Survey_Date</t>
        </is>
      </c>
      <c r="K4" s="51" t="inlineStr">
        <is>
          <t>Month</t>
        </is>
      </c>
      <c r="L4" s="51" t="inlineStr">
        <is>
          <t>Hours worked (h)</t>
        </is>
      </c>
      <c r="M4" s="51" t="inlineStr">
        <is>
          <t>Recordable injuries</t>
        </is>
      </c>
      <c r="N4" s="51" t="inlineStr">
        <is>
          <t>Lost time injuries</t>
        </is>
      </c>
      <c r="O4" s="51" t="inlineStr">
        <is>
          <t>Used in rates</t>
        </is>
      </c>
    </row>
    <row r="5">
      <c r="A5" t="inlineStr">
        <is>
          <t>Site</t>
        </is>
      </c>
      <c r="B5" s="69" t="inlineStr">
        <is>
          <t>Mako Gold Mine</t>
        </is>
      </c>
      <c r="C5" s="36" t="inlineStr">
        <is>
          <t>cfg_Site</t>
        </is>
      </c>
      <c r="E5" s="52" t="inlineStr">
        <is>
          <t>Stockpile</t>
        </is>
      </c>
      <c r="F5" s="52" t="inlineStr">
        <is>
          <t>Opening_t</t>
        </is>
      </c>
      <c r="G5" s="52" t="inlineStr">
        <is>
          <t>Opening_gpt</t>
        </is>
      </c>
      <c r="H5" s="52" t="inlineStr">
        <is>
          <t>Plant_Feed</t>
        </is>
      </c>
      <c r="I5" s="52" t="inlineStr">
        <is>
          <t>Survey_Date</t>
        </is>
      </c>
      <c r="K5" s="52" t="inlineStr">
        <is>
          <t>Month</t>
        </is>
      </c>
      <c r="L5" s="52" t="inlineStr">
        <is>
          <t>Hours_Total</t>
        </is>
      </c>
      <c r="M5" s="52" t="inlineStr">
        <is>
          <t>Recordables</t>
        </is>
      </c>
      <c r="N5" s="52" t="inlineStr">
        <is>
          <t>LTI</t>
        </is>
      </c>
      <c r="O5" s="53" t="inlineStr">
        <is>
          <t>Use</t>
        </is>
      </c>
    </row>
    <row r="6">
      <c r="A6" t="inlineStr">
        <is>
          <t>Company</t>
        </is>
      </c>
      <c r="B6" s="69" t="inlineStr">
        <is>
          <t>Petowal Mining Company S.A.</t>
        </is>
      </c>
      <c r="C6" s="36" t="inlineStr">
        <is>
          <t>cfg_Company</t>
        </is>
      </c>
      <c r="E6" s="58" t="inlineStr">
        <is>
          <t>ROM Pad</t>
        </is>
      </c>
      <c r="F6" s="55" t="n">
        <v>0</v>
      </c>
      <c r="G6" s="56" t="n">
        <v>0</v>
      </c>
      <c r="H6" s="61" t="inlineStr">
        <is>
          <t>Y</t>
        </is>
      </c>
      <c r="I6" s="54" t="n"/>
      <c r="K6" s="54" t="n">
        <v>45658</v>
      </c>
      <c r="L6" s="57" t="n"/>
      <c r="M6" s="62" t="n"/>
      <c r="N6" s="62" t="n"/>
      <c r="O6" s="64">
        <f>IF(tblSafetyHistory[[#This Row],[Month]]="","",IF(COUNTIFS(tblSafety[Date],"&gt;="&amp;tblSafetyHistory[[#This Row],[Month]],tblSafety[Date],"&lt;="&amp;EOMONTH(tblSafetyHistory[[#This Row],[Month]],0),tblSafety[Hours_Total],"&gt;0")=0,1,0))</f>
        <v/>
      </c>
    </row>
    <row r="7">
      <c r="A7" t="inlineStr">
        <is>
          <t>Report title</t>
        </is>
      </c>
      <c r="B7" s="69" t="inlineStr">
        <is>
          <t>Mako Gold Mine daily production report</t>
        </is>
      </c>
      <c r="C7" s="36" t="inlineStr">
        <is>
          <t>cfg_ReportTitle</t>
        </is>
      </c>
      <c r="E7" s="58" t="inlineStr">
        <is>
          <t>Stockpile HG</t>
        </is>
      </c>
      <c r="F7" s="55" t="n">
        <v>0</v>
      </c>
      <c r="G7" s="56" t="n">
        <v>0</v>
      </c>
      <c r="H7" s="61" t="inlineStr">
        <is>
          <t>N</t>
        </is>
      </c>
      <c r="I7" s="54" t="n"/>
      <c r="K7" s="54" t="n">
        <v>45689</v>
      </c>
      <c r="L7" s="57" t="n"/>
      <c r="M7" s="62" t="n"/>
      <c r="N7" s="62" t="n"/>
      <c r="O7" s="64">
        <f>IF(tblSafetyHistory[[#This Row],[Month]]="","",IF(COUNTIFS(tblSafety[Date],"&gt;="&amp;tblSafetyHistory[[#This Row],[Month]],tblSafety[Date],"&lt;="&amp;EOMONTH(tblSafetyHistory[[#This Row],[Month]],0),tblSafety[Hours_Total],"&gt;0")=0,1,0))</f>
        <v/>
      </c>
    </row>
    <row r="8">
      <c r="A8" t="inlineStr">
        <is>
          <t>Date of last LTI before this year</t>
        </is>
      </c>
      <c r="B8" s="70" t="n"/>
      <c r="C8" s="36" t="inlineStr">
        <is>
          <t>cfg_PriorLTIDate</t>
        </is>
      </c>
      <c r="E8" s="58" t="inlineStr">
        <is>
          <t>Stockpile MG</t>
        </is>
      </c>
      <c r="F8" s="55" t="n">
        <v>0</v>
      </c>
      <c r="G8" s="56" t="n">
        <v>0</v>
      </c>
      <c r="H8" s="61" t="inlineStr">
        <is>
          <t>N</t>
        </is>
      </c>
      <c r="I8" s="54" t="n"/>
      <c r="K8" s="54" t="n">
        <v>45717</v>
      </c>
      <c r="L8" s="57" t="n"/>
      <c r="M8" s="62" t="n"/>
      <c r="N8" s="62" t="n"/>
      <c r="O8" s="64">
        <f>IF(tblSafetyHistory[[#This Row],[Month]]="","",IF(COUNTIFS(tblSafety[Date],"&gt;="&amp;tblSafetyHistory[[#This Row],[Month]],tblSafety[Date],"&lt;="&amp;EOMONTH(tblSafetyHistory[[#This Row],[Month]],0),tblSafety[Hours_Total],"&gt;0")=0,1,0))</f>
        <v/>
      </c>
    </row>
    <row r="9">
      <c r="A9" t="inlineStr">
        <is>
          <t>Troy ounce (g)</t>
        </is>
      </c>
      <c r="B9" s="71" t="n">
        <v>31.1035</v>
      </c>
      <c r="C9" s="36" t="inlineStr">
        <is>
          <t>cfg_TroyOz</t>
        </is>
      </c>
      <c r="E9" s="58" t="inlineStr">
        <is>
          <t>Stockpile LG</t>
        </is>
      </c>
      <c r="F9" s="55" t="n">
        <v>0</v>
      </c>
      <c r="G9" s="56" t="n">
        <v>0</v>
      </c>
      <c r="H9" s="61" t="inlineStr">
        <is>
          <t>N</t>
        </is>
      </c>
      <c r="I9" s="54" t="n"/>
      <c r="K9" s="54" t="n">
        <v>45748</v>
      </c>
      <c r="L9" s="57" t="n"/>
      <c r="M9" s="62" t="n"/>
      <c r="N9" s="62" t="n"/>
      <c r="O9" s="64">
        <f>IF(tblSafetyHistory[[#This Row],[Month]]="","",IF(COUNTIFS(tblSafety[Date],"&gt;="&amp;tblSafetyHistory[[#This Row],[Month]],tblSafety[Date],"&lt;="&amp;EOMONTH(tblSafetyHistory[[#This Row],[Month]],0),tblSafety[Hours_Total],"&gt;0")=0,1,0))</f>
        <v/>
      </c>
    </row>
    <row r="10">
      <c r="A10" t="inlineStr">
        <is>
          <t>Hours per day (fleet and mill calendar hours)</t>
        </is>
      </c>
      <c r="B10" s="72" t="n">
        <v>24</v>
      </c>
      <c r="C10" s="36" t="inlineStr">
        <is>
          <t>cfg_HoursPerDay</t>
        </is>
      </c>
      <c r="E10" s="58" t="inlineStr">
        <is>
          <t>Mineralised Waste Dump</t>
        </is>
      </c>
      <c r="F10" s="55" t="n">
        <v>0</v>
      </c>
      <c r="G10" s="56" t="n">
        <v>0</v>
      </c>
      <c r="H10" s="61" t="inlineStr">
        <is>
          <t>N</t>
        </is>
      </c>
      <c r="I10" s="54" t="n"/>
      <c r="K10" s="54" t="n">
        <v>45778</v>
      </c>
      <c r="L10" s="57" t="n"/>
      <c r="M10" s="62" t="n"/>
      <c r="N10" s="62" t="n"/>
      <c r="O10" s="64">
        <f>IF(tblSafetyHistory[[#This Row],[Month]]="","",IF(COUNTIFS(tblSafety[Date],"&gt;="&amp;tblSafetyHistory[[#This Row],[Month]],tblSafety[Date],"&lt;="&amp;EOMONTH(tblSafetyHistory[[#This Row],[Month]],0),tblSafety[Hours_Total],"&gt;0")=0,1,0))</f>
        <v/>
      </c>
    </row>
    <row r="11">
      <c r="A11" t="inlineStr">
        <is>
          <t>Injury rate basis, hours (TRIFR and LTIFR are injuries per this many hours)</t>
        </is>
      </c>
      <c r="B11" s="72" t="n">
        <v>1000000</v>
      </c>
      <c r="C11" s="36" t="inlineStr">
        <is>
          <t>cfg_RateBasisHours</t>
        </is>
      </c>
      <c r="E11" s="58" t="n"/>
      <c r="F11" s="55" t="n"/>
      <c r="G11" s="56" t="n"/>
      <c r="H11" s="61" t="n"/>
      <c r="I11" s="54" t="n"/>
      <c r="K11" s="54" t="n">
        <v>45809</v>
      </c>
      <c r="L11" s="57" t="n"/>
      <c r="M11" s="62" t="n"/>
      <c r="N11" s="62" t="n"/>
      <c r="O11" s="64">
        <f>IF(tblSafetyHistory[[#This Row],[Month]]="","",IF(COUNTIFS(tblSafety[Date],"&gt;="&amp;tblSafetyHistory[[#This Row],[Month]],tblSafety[Date],"&lt;="&amp;EOMONTH(tblSafetyHistory[[#This Row],[Month]],0),tblSafety[Hours_Total],"&gt;0")=0,1,0))</f>
        <v/>
      </c>
    </row>
    <row r="12">
      <c r="E12" s="58" t="n"/>
      <c r="F12" s="55" t="n"/>
      <c r="G12" s="56" t="n"/>
      <c r="H12" s="61" t="n"/>
      <c r="I12" s="54" t="n"/>
      <c r="K12" s="54" t="n">
        <v>45839</v>
      </c>
      <c r="L12" s="57" t="n"/>
      <c r="M12" s="62" t="n"/>
      <c r="N12" s="62" t="n"/>
      <c r="O12" s="64">
        <f>IF(tblSafetyHistory[[#This Row],[Month]]="","",IF(COUNTIFS(tblSafety[Date],"&gt;="&amp;tblSafetyHistory[[#This Row],[Month]],tblSafety[Date],"&lt;="&amp;EOMONTH(tblSafetyHistory[[#This Row],[Month]],0),tblSafety[Hours_Total],"&gt;0")=0,1,0))</f>
        <v/>
      </c>
    </row>
    <row r="13">
      <c r="A13" s="73" t="inlineStr">
        <is>
          <t>Calculated (do not type here)</t>
        </is>
      </c>
      <c r="E13" s="58" t="n"/>
      <c r="F13" s="55" t="n"/>
      <c r="G13" s="56" t="n"/>
      <c r="H13" s="61" t="n"/>
      <c r="I13" s="54" t="n"/>
      <c r="K13" s="54" t="n">
        <v>45870</v>
      </c>
      <c r="L13" s="57" t="n"/>
      <c r="M13" s="62" t="n"/>
      <c r="N13" s="62" t="n"/>
      <c r="O13" s="64">
        <f>IF(tblSafetyHistory[[#This Row],[Month]]="","",IF(COUNTIFS(tblSafety[Date],"&gt;="&amp;tblSafetyHistory[[#This Row],[Month]],tblSafety[Date],"&lt;="&amp;EOMONTH(tblSafetyHistory[[#This Row],[Month]],0),tblSafety[Hours_Total],"&gt;0")=0,1,0))</f>
        <v/>
      </c>
    </row>
    <row r="14">
      <c r="A14" t="inlineStr">
        <is>
          <t>Reporting year (from the generator; run build_workbook.py --year to change)</t>
        </is>
      </c>
      <c r="B14" s="74">
        <f>YEAR(INDEX(cd_Date,1))</f>
        <v/>
      </c>
      <c r="C14" s="36" t="inlineStr">
        <is>
          <t>cfg_Year</t>
        </is>
      </c>
      <c r="E14" s="58" t="n"/>
      <c r="F14" s="55" t="n"/>
      <c r="G14" s="56" t="n"/>
      <c r="H14" s="61" t="n"/>
      <c r="I14" s="54" t="n"/>
      <c r="K14" s="54" t="n">
        <v>45901</v>
      </c>
      <c r="L14" s="57" t="n"/>
      <c r="M14" s="62" t="n"/>
      <c r="N14" s="62" t="n"/>
      <c r="O14" s="64">
        <f>IF(tblSafetyHistory[[#This Row],[Month]]="","",IF(COUNTIFS(tblSafety[Date],"&gt;="&amp;tblSafetyHistory[[#This Row],[Month]],tblSafety[Date],"&lt;="&amp;EOMONTH(tblSafetyHistory[[#This Row],[Month]],0),tblSafety[Hours_Total],"&gt;0")=0,1,0))</f>
        <v/>
      </c>
    </row>
    <row r="15">
      <c r="A15" t="inlineStr">
        <is>
          <t>Year start</t>
        </is>
      </c>
      <c r="B15" s="75">
        <f>DATE(cfg_Year,1,1)</f>
        <v/>
      </c>
      <c r="C15" s="36" t="inlineStr">
        <is>
          <t>cfg_YearStart</t>
        </is>
      </c>
      <c r="E15" s="58" t="n"/>
      <c r="F15" s="55" t="n"/>
      <c r="G15" s="56" t="n"/>
      <c r="H15" s="61" t="n"/>
      <c r="I15" s="54" t="n"/>
      <c r="K15" s="54" t="n">
        <v>45931</v>
      </c>
      <c r="L15" s="57" t="n"/>
      <c r="M15" s="62" t="n"/>
      <c r="N15" s="62" t="n"/>
      <c r="O15" s="64">
        <f>IF(tblSafetyHistory[[#This Row],[Month]]="","",IF(COUNTIFS(tblSafety[Date],"&gt;="&amp;tblSafetyHistory[[#This Row],[Month]],tblSafety[Date],"&lt;="&amp;EOMONTH(tblSafetyHistory[[#This Row],[Month]],0),tblSafety[Hours_Total],"&gt;0")=0,1,0))</f>
        <v/>
      </c>
    </row>
    <row r="16">
      <c r="A16" t="inlineStr">
        <is>
          <t>Year end</t>
        </is>
      </c>
      <c r="B16" s="75">
        <f>DATE(cfg_Year,12,31)</f>
        <v/>
      </c>
      <c r="C16" s="36" t="inlineStr">
        <is>
          <t>cfg_YearEnd</t>
        </is>
      </c>
      <c r="K16" s="54" t="n">
        <v>45962</v>
      </c>
      <c r="L16" s="57" t="n"/>
      <c r="M16" s="62" t="n"/>
      <c r="N16" s="62" t="n"/>
      <c r="O16" s="64">
        <f>IF(tblSafetyHistory[[#This Row],[Month]]="","",IF(COUNTIFS(tblSafety[Date],"&gt;="&amp;tblSafetyHistory[[#This Row],[Month]],tblSafety[Date],"&lt;="&amp;EOMONTH(tblSafetyHistory[[#This Row],[Month]],0),tblSafety[Hours_Total],"&gt;0")=0,1,0))</f>
        <v/>
      </c>
    </row>
    <row r="17">
      <c r="A17" t="inlineStr">
        <is>
          <t>Last date with plant data</t>
        </is>
      </c>
      <c r="B17" s="75">
        <f>SUMPRODUCT(MAX((tblPlant[Milled_t]&lt;&gt;"")*tblPlant[Date]))</f>
        <v/>
      </c>
      <c r="C17" s="36" t="inlineStr">
        <is>
          <t>cfg_LastDataDate</t>
        </is>
      </c>
      <c r="K17" s="54" t="n">
        <v>45992</v>
      </c>
      <c r="L17" s="57" t="n"/>
      <c r="M17" s="62" t="n"/>
      <c r="N17" s="62" t="n"/>
      <c r="O17" s="64">
        <f>IF(tblSafetyHistory[[#This Row],[Month]]="","",IF(COUNTIFS(tblSafety[Date],"&gt;="&amp;tblSafetyHistory[[#This Row],[Month]],tblSafety[Date],"&lt;="&amp;EOMONTH(tblSafetyHistory[[#This Row],[Month]],0),tblSafety[Hours_Total],"&gt;0")=0,1,0))</f>
        <v/>
      </c>
    </row>
    <row r="18">
      <c r="A18" t="inlineStr">
        <is>
          <t>Plant feed stockpile check</t>
        </is>
      </c>
      <c r="B18" s="76">
        <f>IF(COUNTIF(tblStockpiles[Plant_Feed],"Y")=1,"OK","Exactly one stockpile must have Plant_Feed = Y")</f>
        <v/>
      </c>
      <c r="C18" s="36" t="inlineStr">
        <is>
          <t>cfg_FeedCheck</t>
        </is>
      </c>
      <c r="K18" s="54" t="n">
        <v>46023</v>
      </c>
      <c r="L18" s="57" t="n"/>
      <c r="M18" s="62" t="n"/>
      <c r="N18" s="62" t="n"/>
      <c r="O18" s="64">
        <f>IF(tblSafetyHistory[[#This Row],[Month]]="","",IF(COUNTIFS(tblSafety[Date],"&gt;="&amp;tblSafetyHistory[[#This Row],[Month]],tblSafety[Date],"&lt;="&amp;EOMONTH(tblSafetyHistory[[#This Row],[Month]],0),tblSafety[Hours_Total],"&gt;0")=0,1,0))</f>
        <v/>
      </c>
    </row>
    <row r="19">
      <c r="A19" t="inlineStr">
        <is>
          <t>Year check</t>
        </is>
      </c>
      <c r="B19" s="76">
        <f>IF(cfg_Year&lt;&gt;YEAR(INDEX(cd_Date,1)),"Year mismatch: rebuild the workbook with build_workbook.py --year","")</f>
        <v/>
      </c>
      <c r="C19" s="36" t="inlineStr">
        <is>
          <t>cfg_YearCheck</t>
        </is>
      </c>
      <c r="K19" s="54" t="n">
        <v>46054</v>
      </c>
      <c r="L19" s="57" t="n"/>
      <c r="M19" s="62" t="n"/>
      <c r="N19" s="62" t="n"/>
      <c r="O19" s="64">
        <f>IF(tblSafetyHistory[[#This Row],[Month]]="","",IF(COUNTIFS(tblSafety[Date],"&gt;="&amp;tblSafetyHistory[[#This Row],[Month]],tblSafety[Date],"&lt;="&amp;EOMONTH(tblSafetyHistory[[#This Row],[Month]],0),tblSafety[Hours_Total],"&gt;0")=0,1,0))</f>
        <v/>
      </c>
    </row>
    <row r="20">
      <c r="K20" s="54" t="n">
        <v>46082</v>
      </c>
      <c r="L20" s="57" t="n"/>
      <c r="M20" s="62" t="n"/>
      <c r="N20" s="62" t="n"/>
      <c r="O20" s="64">
        <f>IF(tblSafetyHistory[[#This Row],[Month]]="","",IF(COUNTIFS(tblSafety[Date],"&gt;="&amp;tblSafetyHistory[[#This Row],[Month]],tblSafety[Date],"&lt;="&amp;EOMONTH(tblSafetyHistory[[#This Row],[Month]],0),tblSafety[Hours_Total],"&gt;0")=0,1,0))</f>
        <v/>
      </c>
    </row>
    <row r="21">
      <c r="K21" s="54" t="n">
        <v>46113</v>
      </c>
      <c r="L21" s="57" t="n"/>
      <c r="M21" s="62" t="n"/>
      <c r="N21" s="62" t="n"/>
      <c r="O21" s="64">
        <f>IF(tblSafetyHistory[[#This Row],[Month]]="","",IF(COUNTIFS(tblSafety[Date],"&gt;="&amp;tblSafetyHistory[[#This Row],[Month]],tblSafety[Date],"&lt;="&amp;EOMONTH(tblSafetyHistory[[#This Row],[Month]],0),tblSafety[Hours_Total],"&gt;0")=0,1,0))</f>
        <v/>
      </c>
    </row>
    <row r="22">
      <c r="K22" s="54" t="n">
        <v>46143</v>
      </c>
      <c r="L22" s="57" t="n"/>
      <c r="M22" s="62" t="n"/>
      <c r="N22" s="62" t="n"/>
      <c r="O22" s="64">
        <f>IF(tblSafetyHistory[[#This Row],[Month]]="","",IF(COUNTIFS(tblSafety[Date],"&gt;="&amp;tblSafetyHistory[[#This Row],[Month]],tblSafety[Date],"&lt;="&amp;EOMONTH(tblSafetyHistory[[#This Row],[Month]],0),tblSafety[Hours_Total],"&gt;0")=0,1,0))</f>
        <v/>
      </c>
    </row>
    <row r="23">
      <c r="K23" s="54" t="n">
        <v>46174</v>
      </c>
      <c r="L23" s="57" t="n"/>
      <c r="M23" s="62" t="n"/>
      <c r="N23" s="62" t="n"/>
      <c r="O23" s="64">
        <f>IF(tblSafetyHistory[[#This Row],[Month]]="","",IF(COUNTIFS(tblSafety[Date],"&gt;="&amp;tblSafetyHistory[[#This Row],[Month]],tblSafety[Date],"&lt;="&amp;EOMONTH(tblSafetyHistory[[#This Row],[Month]],0),tblSafety[Hours_Total],"&gt;0")=0,1,0))</f>
        <v/>
      </c>
    </row>
    <row r="24">
      <c r="K24" s="54" t="n">
        <v>46204</v>
      </c>
      <c r="L24" s="57" t="n"/>
      <c r="M24" s="62" t="n"/>
      <c r="N24" s="62" t="n"/>
      <c r="O24" s="64">
        <f>IF(tblSafetyHistory[[#This Row],[Month]]="","",IF(COUNTIFS(tblSafety[Date],"&gt;="&amp;tblSafetyHistory[[#This Row],[Month]],tblSafety[Date],"&lt;="&amp;EOMONTH(tblSafetyHistory[[#This Row],[Month]],0),tblSafety[Hours_Total],"&gt;0")=0,1,0))</f>
        <v/>
      </c>
    </row>
    <row r="25">
      <c r="K25" s="54" t="n">
        <v>46235</v>
      </c>
      <c r="L25" s="57" t="n"/>
      <c r="M25" s="62" t="n"/>
      <c r="N25" s="62" t="n"/>
      <c r="O25" s="64">
        <f>IF(tblSafetyHistory[[#This Row],[Month]]="","",IF(COUNTIFS(tblSafety[Date],"&gt;="&amp;tblSafetyHistory[[#This Row],[Month]],tblSafety[Date],"&lt;="&amp;EOMONTH(tblSafetyHistory[[#This Row],[Month]],0),tblSafety[Hours_Total],"&gt;0")=0,1,0))</f>
        <v/>
      </c>
    </row>
    <row r="26">
      <c r="K26" s="54" t="n">
        <v>46266</v>
      </c>
      <c r="L26" s="57" t="n"/>
      <c r="M26" s="62" t="n"/>
      <c r="N26" s="62" t="n"/>
      <c r="O26" s="64">
        <f>IF(tblSafetyHistory[[#This Row],[Month]]="","",IF(COUNTIFS(tblSafety[Date],"&gt;="&amp;tblSafetyHistory[[#This Row],[Month]],tblSafety[Date],"&lt;="&amp;EOMONTH(tblSafetyHistory[[#This Row],[Month]],0),tblSafety[Hours_Total],"&gt;0")=0,1,0))</f>
        <v/>
      </c>
    </row>
    <row r="27">
      <c r="K27" s="54" t="n">
        <v>46296</v>
      </c>
      <c r="L27" s="57" t="n"/>
      <c r="M27" s="62" t="n"/>
      <c r="N27" s="62" t="n"/>
      <c r="O27" s="64">
        <f>IF(tblSafetyHistory[[#This Row],[Month]]="","",IF(COUNTIFS(tblSafety[Date],"&gt;="&amp;tblSafetyHistory[[#This Row],[Month]],tblSafety[Date],"&lt;="&amp;EOMONTH(tblSafetyHistory[[#This Row],[Month]],0),tblSafety[Hours_Total],"&gt;0")=0,1,0))</f>
        <v/>
      </c>
    </row>
    <row r="28">
      <c r="K28" s="54" t="n">
        <v>46327</v>
      </c>
      <c r="L28" s="57" t="n"/>
      <c r="M28" s="62" t="n"/>
      <c r="N28" s="62" t="n"/>
      <c r="O28" s="64">
        <f>IF(tblSafetyHistory[[#This Row],[Month]]="","",IF(COUNTIFS(tblSafety[Date],"&gt;="&amp;tblSafetyHistory[[#This Row],[Month]],tblSafety[Date],"&lt;="&amp;EOMONTH(tblSafetyHistory[[#This Row],[Month]],0),tblSafety[Hours_Total],"&gt;0")=0,1,0))</f>
        <v/>
      </c>
    </row>
    <row r="29">
      <c r="K29" s="54" t="n">
        <v>46357</v>
      </c>
      <c r="L29" s="57" t="n"/>
      <c r="M29" s="62" t="n"/>
      <c r="N29" s="62" t="n"/>
      <c r="O29" s="64">
        <f>IF(tblSafetyHistory[[#This Row],[Month]]="","",IF(COUNTIFS(tblSafety[Date],"&gt;="&amp;tblSafetyHistory[[#This Row],[Month]],tblSafety[Date],"&lt;="&amp;EOMONTH(tblSafetyHistory[[#This Row],[Month]],0),tblSafety[Hours_Total],"&gt;0")=0,1,0))</f>
        <v/>
      </c>
    </row>
  </sheetData>
  <conditionalFormatting sqref="B18">
    <cfRule type="expression" priority="1" dxfId="1">
      <formula>B18&lt;&gt;"OK"</formula>
    </cfRule>
  </conditionalFormatting>
  <conditionalFormatting sqref="B19">
    <cfRule type="expression" priority="2" dxfId="1">
      <formula>B19&lt;&gt;""</formula>
    </cfRule>
  </conditionalFormatting>
  <conditionalFormatting sqref="K6:K29">
    <cfRule type="expression" priority="3" dxfId="0">
      <formula>COUNTIF($K$6:$K$29,$K6)&gt;1</formula>
    </cfRule>
  </conditionalFormatting>
  <dataValidations count="8">
    <dataValidation sqref="F6:F15" showDropDown="0" showInputMessage="1" showErrorMessage="1" allowBlank="1" errorTitle="Outside expected range" error="Expected between 0 and 5,000,000. Click Yes to keep the value if it is correct." promptTitle="Opening_t" prompt="Surveyed tonnes at the start of Survey_Date (1 January if blank); movements before that day are not part of the balance" type="decimal" errorStyle="warning" operator="between">
      <formula1>0</formula1>
      <formula2>5000000</formula2>
    </dataValidation>
    <dataValidation sqref="G6:G15" showDropDown="0" showInputMessage="1" showErrorMessage="1" allowBlank="1" errorTitle="Outside expected range" error="Expected between 0 and 50. Click Yes to keep the value if it is correct." promptTitle="Opening_gpt" prompt="Grade of the opening balance" type="decimal" errorStyle="warning" operator="between">
      <formula1>0</formula1>
      <formula2>50</formula2>
    </dataValidation>
    <dataValidation sqref="H6:H15" showDropDown="0" showInputMessage="1" showErrorMessage="1" allowBlank="1" errorTitle="Not in list" error="Choose a value from the list (edit the Lists sheet to add one)." promptTitle="Plant_Feed" prompt="Y for exactly one stockpile: the plant draws its feed from it (milled tonnes less direct tip are deducted, so its balance includes ore tipped to the crusher but not yet milled)" type="list">
      <formula1>=lst_Yes_No</formula1>
    </dataValidation>
    <dataValidation sqref="I6:I15" showDropDown="0" showInputMessage="1" showErrorMessage="1" allowBlank="1" errorTitle="Date outside the reporting year" error="Dates must fall in the reporting year: rows outside it are not counted in any KPI. Click No and correct the date." promptTitle="Survey_Date" prompt="Day the opening balance applies to (balance at the start of that day; blank = 1 January). After a re-survey enter the new tonnes, grade and date here" type="date" errorStyle="warning" operator="between">
      <formula1>=cfg_YearStart</formula1>
      <formula2>=cfg_YearEnd</formula2>
    </dataValidation>
    <dataValidation sqref="K6:K29" showDropDown="0" showInputMessage="1" showErrorMessage="1" allowBlank="1" errorTitle="Duplicate date" error="This date already has a row in the table. Enter the values on the existing row." promptTitle="Month" prompt="First day of the month" type="custom" errorStyle="stop">
      <formula1>COUNTIF($K$6:$K$29,K6)=1</formula1>
    </dataValidation>
    <dataValidation sqref="L6:L29" showDropDown="0" showInputMessage="0" showErrorMessage="1" allowBlank="1" errorTitle="Outside expected range" error="Expected between 0 and 2,000,000. Click Yes to keep the value if it is correct." type="decimal" errorStyle="warning" operator="between">
      <formula1>0</formula1>
      <formula2>2000000</formula2>
    </dataValidation>
    <dataValidation sqref="M6:M29" showDropDown="0" showInputMessage="0" showErrorMessage="1" allowBlank="1" errorTitle="Outside expected range" error="Expected between 0 and 100. Click Yes to keep the value if it is correct." type="whole" errorStyle="warning" operator="between">
      <formula1>0</formula1>
      <formula2>100</formula2>
    </dataValidation>
    <dataValidation sqref="N6:N29" showDropDown="0" showInputMessage="0" showErrorMessage="1" allowBlank="1" errorTitle="Outside expected range" error="Expected between 0 and 100. Click Yes to keep the value if it is correct." type="whole" errorStyle="warning" operator="between">
      <formula1>0</formula1>
      <formula2>100</formula2>
    </dataValidation>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14.xml><?xml version="1.0" encoding="utf-8"?>
<worksheet xmlns="http://schemas.openxmlformats.org/spreadsheetml/2006/main">
  <sheetPr>
    <tabColor rgb="007F7F7F"/>
    <outlinePr summaryBelow="1" summaryRight="1"/>
    <pageSetUpPr/>
  </sheetPr>
  <dimension ref="A1:V16"/>
  <sheetViews>
    <sheetView workbookViewId="0">
      <pane ySplit="5" topLeftCell="A6" activePane="bottomLeft" state="frozen"/>
      <selection pane="bottomLeft" activeCell="A1" sqref="A1"/>
    </sheetView>
  </sheetViews>
  <sheetFormatPr baseColWidth="8" defaultRowHeight="15"/>
  <cols>
    <col width="16" customWidth="1" min="1" max="1"/>
    <col width="19" customWidth="1" min="3" max="3"/>
    <col width="16" customWidth="1" min="5" max="5"/>
    <col width="16" customWidth="1" min="7" max="7"/>
    <col width="16" customWidth="1" min="9" max="9"/>
    <col width="16" customWidth="1" min="11" max="11"/>
    <col width="16" customWidth="1" min="13" max="13"/>
    <col width="16" customWidth="1" min="15" max="15"/>
    <col width="26" customWidth="1" min="18" max="18"/>
    <col width="11" customWidth="1" min="19" max="19"/>
    <col width="26" customWidth="1" min="21" max="21"/>
    <col width="11" customWidth="1" min="22" max="22"/>
  </cols>
  <sheetData>
    <row r="1">
      <c r="A1" s="50" t="inlineStr">
        <is>
          <t>Lists</t>
        </is>
      </c>
    </row>
    <row r="2">
      <c r="A2" s="6" t="inlineStr">
        <is>
          <t>Drop-down values. Add rows at the bottom of a list; do not rename headers. Every list is referenced by name (lst_...) in data validation.</t>
        </is>
      </c>
    </row>
    <row r="3"/>
    <row r="4" ht="30" customHeight="1">
      <c r="A4" s="51" t="inlineStr">
        <is>
          <t>Shift</t>
        </is>
      </c>
      <c r="C4" s="51" t="inlineStr">
        <is>
          <t>Material</t>
        </is>
      </c>
      <c r="E4" s="51" t="inlineStr">
        <is>
          <t>Area</t>
        </is>
      </c>
      <c r="G4" s="51" t="inlineStr">
        <is>
          <t>Equipment Class</t>
        </is>
      </c>
      <c r="I4" s="51" t="inlineStr">
        <is>
          <t>Gold Movement Type</t>
        </is>
      </c>
      <c r="K4" s="51" t="inlineStr">
        <is>
          <t>Yes No</t>
        </is>
      </c>
      <c r="M4" s="51" t="inlineStr">
        <is>
          <t>Source Type</t>
        </is>
      </c>
      <c r="O4" s="51" t="inlineStr">
        <is>
          <t>Destination Type</t>
        </is>
      </c>
      <c r="R4" s="51" t="inlineStr">
        <is>
          <t>Source</t>
        </is>
      </c>
      <c r="S4" s="51" t="inlineStr">
        <is>
          <t>Type</t>
        </is>
      </c>
      <c r="U4" s="51" t="inlineStr">
        <is>
          <t>Destination</t>
        </is>
      </c>
      <c r="V4" s="51" t="inlineStr">
        <is>
          <t>Type</t>
        </is>
      </c>
    </row>
    <row r="5">
      <c r="A5" s="52" t="inlineStr">
        <is>
          <t>Shift</t>
        </is>
      </c>
      <c r="C5" s="52" t="inlineStr">
        <is>
          <t>Material</t>
        </is>
      </c>
      <c r="E5" s="52" t="inlineStr">
        <is>
          <t>Area</t>
        </is>
      </c>
      <c r="G5" s="52" t="inlineStr">
        <is>
          <t>Equipment_Class</t>
        </is>
      </c>
      <c r="I5" s="52" t="inlineStr">
        <is>
          <t>Gold_Movement_Type</t>
        </is>
      </c>
      <c r="K5" s="52" t="inlineStr">
        <is>
          <t>Yes_No</t>
        </is>
      </c>
      <c r="M5" s="52" t="inlineStr">
        <is>
          <t>Source_Type</t>
        </is>
      </c>
      <c r="O5" s="52" t="inlineStr">
        <is>
          <t>Destination_Type</t>
        </is>
      </c>
      <c r="R5" s="52" t="inlineStr">
        <is>
          <t>Source</t>
        </is>
      </c>
      <c r="S5" s="52" t="inlineStr">
        <is>
          <t>Type</t>
        </is>
      </c>
      <c r="U5" s="52" t="inlineStr">
        <is>
          <t>Destination</t>
        </is>
      </c>
      <c r="V5" s="52" t="inlineStr">
        <is>
          <t>Type</t>
        </is>
      </c>
    </row>
    <row r="6">
      <c r="A6" s="58" t="inlineStr">
        <is>
          <t>Day</t>
        </is>
      </c>
      <c r="C6" s="58" t="inlineStr">
        <is>
          <t>Ore HG</t>
        </is>
      </c>
      <c r="E6" s="58" t="inlineStr">
        <is>
          <t>Safety</t>
        </is>
      </c>
      <c r="G6" s="58" t="inlineStr">
        <is>
          <t>Excavator</t>
        </is>
      </c>
      <c r="I6" s="58" t="inlineStr">
        <is>
          <t>Shipment</t>
        </is>
      </c>
      <c r="K6" s="58" t="inlineStr">
        <is>
          <t>Y</t>
        </is>
      </c>
      <c r="M6" s="58" t="inlineStr">
        <is>
          <t>Pit</t>
        </is>
      </c>
      <c r="O6" s="58" t="inlineStr">
        <is>
          <t>Stockpile</t>
        </is>
      </c>
      <c r="R6" s="58" t="inlineStr">
        <is>
          <t>Petowal Pit</t>
        </is>
      </c>
      <c r="S6" s="61" t="inlineStr">
        <is>
          <t>Pit</t>
        </is>
      </c>
      <c r="U6" s="58" t="inlineStr">
        <is>
          <t>ROM Pad</t>
        </is>
      </c>
      <c r="V6" s="61" t="inlineStr">
        <is>
          <t>Stockpile</t>
        </is>
      </c>
    </row>
    <row r="7">
      <c r="A7" s="58" t="inlineStr">
        <is>
          <t>Night</t>
        </is>
      </c>
      <c r="C7" s="58" t="inlineStr">
        <is>
          <t>Ore MG</t>
        </is>
      </c>
      <c r="E7" s="58" t="inlineStr">
        <is>
          <t>Mining</t>
        </is>
      </c>
      <c r="G7" s="58" t="inlineStr">
        <is>
          <t>Haul Truck</t>
        </is>
      </c>
      <c r="I7" s="58" t="inlineStr">
        <is>
          <t>Sale</t>
        </is>
      </c>
      <c r="K7" s="58" t="inlineStr">
        <is>
          <t>N</t>
        </is>
      </c>
      <c r="M7" s="58" t="inlineStr">
        <is>
          <t>Stockpile</t>
        </is>
      </c>
      <c r="O7" s="58" t="inlineStr">
        <is>
          <t>Plant</t>
        </is>
      </c>
      <c r="R7" s="58" t="inlineStr">
        <is>
          <t>Satellite Pit</t>
        </is>
      </c>
      <c r="S7" s="61" t="inlineStr">
        <is>
          <t>Pit</t>
        </is>
      </c>
      <c r="U7" s="58" t="inlineStr">
        <is>
          <t>Crusher Direct Tip</t>
        </is>
      </c>
      <c r="V7" s="61" t="inlineStr">
        <is>
          <t>Plant</t>
        </is>
      </c>
    </row>
    <row r="8">
      <c r="C8" s="58" t="inlineStr">
        <is>
          <t>Ore LG</t>
        </is>
      </c>
      <c r="E8" s="58" t="inlineStr">
        <is>
          <t>Geology</t>
        </is>
      </c>
      <c r="G8" s="58" t="inlineStr">
        <is>
          <t>Drill</t>
        </is>
      </c>
      <c r="O8" s="58" t="inlineStr">
        <is>
          <t>Waste</t>
        </is>
      </c>
      <c r="R8" s="58" t="inlineStr">
        <is>
          <t>ROM Pad</t>
        </is>
      </c>
      <c r="S8" s="61" t="inlineStr">
        <is>
          <t>Stockpile</t>
        </is>
      </c>
      <c r="U8" s="58" t="inlineStr">
        <is>
          <t>Stockpile HG</t>
        </is>
      </c>
      <c r="V8" s="61" t="inlineStr">
        <is>
          <t>Stockpile</t>
        </is>
      </c>
    </row>
    <row r="9">
      <c r="C9" s="58" t="inlineStr">
        <is>
          <t>Mineralised Waste</t>
        </is>
      </c>
      <c r="E9" s="58" t="inlineStr">
        <is>
          <t>Processing</t>
        </is>
      </c>
      <c r="G9" s="58" t="inlineStr">
        <is>
          <t>Dozer</t>
        </is>
      </c>
      <c r="R9" s="58" t="inlineStr">
        <is>
          <t>Stockpile HG</t>
        </is>
      </c>
      <c r="S9" s="61" t="inlineStr">
        <is>
          <t>Stockpile</t>
        </is>
      </c>
      <c r="U9" s="58" t="inlineStr">
        <is>
          <t>Stockpile MG</t>
        </is>
      </c>
      <c r="V9" s="61" t="inlineStr">
        <is>
          <t>Stockpile</t>
        </is>
      </c>
    </row>
    <row r="10">
      <c r="C10" s="58" t="inlineStr">
        <is>
          <t>Waste</t>
        </is>
      </c>
      <c r="E10" s="58" t="inlineStr">
        <is>
          <t>Maintenance</t>
        </is>
      </c>
      <c r="G10" s="58" t="inlineStr">
        <is>
          <t>Grader</t>
        </is>
      </c>
      <c r="R10" s="58" t="inlineStr">
        <is>
          <t>Stockpile MG</t>
        </is>
      </c>
      <c r="S10" s="61" t="inlineStr">
        <is>
          <t>Stockpile</t>
        </is>
      </c>
      <c r="U10" s="58" t="inlineStr">
        <is>
          <t>Stockpile LG</t>
        </is>
      </c>
      <c r="V10" s="61" t="inlineStr">
        <is>
          <t>Stockpile</t>
        </is>
      </c>
    </row>
    <row r="11">
      <c r="C11" s="58" t="inlineStr">
        <is>
          <t>Topsoil</t>
        </is>
      </c>
      <c r="E11" s="58" t="inlineStr">
        <is>
          <t>Environment</t>
        </is>
      </c>
      <c r="G11" s="58" t="inlineStr">
        <is>
          <t>Water Cart</t>
        </is>
      </c>
      <c r="R11" s="58" t="inlineStr">
        <is>
          <t>Stockpile LG</t>
        </is>
      </c>
      <c r="S11" s="61" t="inlineStr">
        <is>
          <t>Stockpile</t>
        </is>
      </c>
      <c r="U11" s="58" t="inlineStr">
        <is>
          <t>Mineralised Waste Dump</t>
        </is>
      </c>
      <c r="V11" s="61" t="inlineStr">
        <is>
          <t>Stockpile</t>
        </is>
      </c>
    </row>
    <row r="12">
      <c r="E12" s="58" t="inlineStr">
        <is>
          <t>Community</t>
        </is>
      </c>
      <c r="G12" s="58" t="inlineStr">
        <is>
          <t>Wheel Loader</t>
        </is>
      </c>
      <c r="R12" s="58" t="inlineStr">
        <is>
          <t>Mineralised Waste Dump</t>
        </is>
      </c>
      <c r="S12" s="61" t="inlineStr">
        <is>
          <t>Stockpile</t>
        </is>
      </c>
      <c r="U12" s="58" t="inlineStr">
        <is>
          <t>Waste Dump</t>
        </is>
      </c>
      <c r="V12" s="61" t="inlineStr">
        <is>
          <t>Waste</t>
        </is>
      </c>
    </row>
    <row r="13">
      <c r="E13" s="58" t="inlineStr">
        <is>
          <t>Supply</t>
        </is>
      </c>
      <c r="G13" s="58" t="inlineStr">
        <is>
          <t>Ancillary</t>
        </is>
      </c>
      <c r="U13" s="58" t="inlineStr">
        <is>
          <t>TSF Wall</t>
        </is>
      </c>
      <c r="V13" s="61" t="inlineStr">
        <is>
          <t>Waste</t>
        </is>
      </c>
    </row>
    <row r="14">
      <c r="E14" s="58" t="inlineStr">
        <is>
          <t>People</t>
        </is>
      </c>
      <c r="U14" s="58" t="inlineStr">
        <is>
          <t>Topsoil Stockpile</t>
        </is>
      </c>
      <c r="V14" s="61" t="inlineStr">
        <is>
          <t>Waste</t>
        </is>
      </c>
    </row>
    <row r="15">
      <c r="E15" s="58" t="inlineStr">
        <is>
          <t>Projects</t>
        </is>
      </c>
    </row>
    <row r="16">
      <c r="E16" s="58" t="inlineStr">
        <is>
          <t>General</t>
        </is>
      </c>
    </row>
  </sheetData>
  <conditionalFormatting sqref="S6:S12">
    <cfRule type="expression" priority="1" dxfId="0">
      <formula>AND($R6&lt;&gt;"",$S6="")</formula>
    </cfRule>
  </conditionalFormatting>
  <conditionalFormatting sqref="V6:V14">
    <cfRule type="expression" priority="2" dxfId="0">
      <formula>AND($U6&lt;&gt;"",$V6="")</formula>
    </cfRule>
  </conditionalFormatting>
  <dataValidations count="2">
    <dataValidation sqref="S6:S12" showDropDown="0" showInputMessage="1" showErrorMessage="1" allowBlank="1" errorTitle="Not in list" error="Choose a value from the list (edit the Lists sheet to add one)." promptTitle="Type" prompt="Pit = ex-pit (counts to TMM and strip ratio); Stockpile = rehandle. Required: a source without a type is excluded from every KPI" type="list">
      <formula1>=lst_Source_Type</formula1>
    </dataValidation>
    <dataValidation sqref="V6:V14" showDropDown="0" showInputMessage="1" showErrorMessage="1" allowBlank="1" errorTitle="Not in list" error="Choose a value from the list (edit the Lists sheet to add one)." promptTitle="Type" prompt="Stockpile = enters a stockpile balance; Plant = direct tip to crusher; Waste = dump. Required" type="list">
      <formula1>=lst_Destination_Type</formula1>
    </dataValidation>
  </dataValidations>
  <pageMargins left="0.75" right="0.75" top="1" bottom="1" header="0.5" footer="0.5"/>
  <tableParts count="10">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s>
</worksheet>
</file>

<file path=xl/worksheets/sheet15.xml><?xml version="1.0" encoding="utf-8"?>
<worksheet xmlns="http://schemas.openxmlformats.org/spreadsheetml/2006/main">
  <sheetPr>
    <tabColor rgb="003A3A3A"/>
    <outlinePr summaryBelow="1" summaryRight="1"/>
    <pageSetUpPr/>
  </sheetPr>
  <dimension ref="A1:KT3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 width="12" customWidth="1" min="112" max="112"/>
    <col width="12" customWidth="1" min="113" max="113"/>
    <col width="12" customWidth="1" min="114" max="114"/>
    <col width="12" customWidth="1" min="115" max="115"/>
    <col width="12" customWidth="1" min="116" max="116"/>
    <col width="12" customWidth="1" min="117" max="117"/>
    <col width="12" customWidth="1" min="118" max="118"/>
    <col width="12" customWidth="1" min="119" max="119"/>
    <col width="12" customWidth="1" min="120" max="120"/>
    <col width="12" customWidth="1" min="121" max="121"/>
    <col width="12" customWidth="1" min="122" max="122"/>
    <col width="12" customWidth="1" min="123" max="123"/>
    <col width="12" customWidth="1" min="124" max="124"/>
    <col width="12" customWidth="1" min="125" max="125"/>
    <col width="12" customWidth="1" min="126" max="126"/>
    <col width="12" customWidth="1" min="127" max="127"/>
    <col width="12" customWidth="1" min="128" max="128"/>
    <col width="12" customWidth="1" min="129" max="129"/>
    <col width="12" customWidth="1" min="130" max="130"/>
    <col width="12" customWidth="1" min="131" max="131"/>
    <col width="12" customWidth="1" min="132" max="132"/>
    <col width="12" customWidth="1" min="133" max="133"/>
    <col width="12" customWidth="1" min="134" max="134"/>
    <col width="12" customWidth="1" min="135" max="135"/>
    <col width="12" customWidth="1" min="136" max="136"/>
    <col width="12" customWidth="1" min="137" max="137"/>
    <col width="12" customWidth="1" min="138" max="138"/>
    <col width="12" customWidth="1" min="139" max="139"/>
    <col width="12" customWidth="1" min="140" max="140"/>
    <col width="12" customWidth="1" min="141" max="141"/>
    <col width="12" customWidth="1" min="142" max="142"/>
    <col width="12" customWidth="1" min="143" max="143"/>
    <col width="12" customWidth="1" min="144" max="144"/>
    <col width="12" customWidth="1" min="145" max="145"/>
    <col width="12" customWidth="1" min="146" max="146"/>
    <col width="12" customWidth="1" min="147" max="147"/>
    <col width="12" customWidth="1" min="148" max="148"/>
    <col width="12" customWidth="1" min="149" max="149"/>
    <col width="12" customWidth="1" min="150" max="150"/>
    <col width="12" customWidth="1" min="151" max="151"/>
    <col width="12" customWidth="1" min="152" max="152"/>
    <col width="12" customWidth="1" min="153" max="153"/>
    <col width="12" customWidth="1" min="154" max="154"/>
    <col width="12" customWidth="1" min="155" max="155"/>
    <col width="12" customWidth="1" min="156" max="156"/>
    <col width="12" customWidth="1" min="157" max="157"/>
    <col width="12" customWidth="1" min="158" max="158"/>
    <col width="12" customWidth="1" min="159" max="159"/>
    <col width="12" customWidth="1" min="160" max="160"/>
    <col width="12" customWidth="1" min="161" max="161"/>
    <col width="12" customWidth="1" min="162" max="162"/>
    <col width="12" customWidth="1" min="163" max="163"/>
    <col width="12" customWidth="1" min="164" max="164"/>
    <col width="12" customWidth="1" min="165" max="165"/>
    <col width="12" customWidth="1" min="166" max="166"/>
    <col width="12" customWidth="1" min="167" max="167"/>
    <col width="12" customWidth="1" min="168" max="168"/>
    <col width="12" customWidth="1" min="169" max="169"/>
    <col width="12" customWidth="1" min="170" max="170"/>
    <col width="12" customWidth="1" min="171" max="171"/>
    <col width="12" customWidth="1" min="172" max="172"/>
    <col width="12" customWidth="1" min="173" max="173"/>
    <col width="12" customWidth="1" min="174" max="174"/>
    <col width="12" customWidth="1" min="175" max="175"/>
    <col width="12" customWidth="1" min="176" max="176"/>
    <col width="12" customWidth="1" min="177" max="177"/>
    <col width="12" customWidth="1" min="178" max="178"/>
    <col width="12" customWidth="1" min="179" max="179"/>
    <col width="12" customWidth="1" min="180" max="180"/>
    <col width="12" customWidth="1" min="181" max="181"/>
    <col width="12" customWidth="1" min="182" max="182"/>
    <col width="12" customWidth="1" min="183" max="183"/>
    <col width="12" customWidth="1" min="184" max="184"/>
    <col width="12" customWidth="1" min="185" max="185"/>
    <col width="12" customWidth="1" min="186" max="186"/>
    <col width="12" customWidth="1" min="187" max="187"/>
    <col width="12" customWidth="1" min="188" max="188"/>
    <col width="12" customWidth="1" min="189" max="189"/>
    <col width="12" customWidth="1" min="190" max="190"/>
    <col width="12" customWidth="1" min="191" max="191"/>
    <col width="12" customWidth="1" min="192" max="192"/>
    <col width="12" customWidth="1" min="193" max="193"/>
    <col width="12" customWidth="1" min="194" max="194"/>
    <col width="12" customWidth="1" min="195" max="195"/>
    <col width="12" customWidth="1" min="196" max="196"/>
    <col width="12" customWidth="1" min="197" max="197"/>
    <col width="12" customWidth="1" min="198" max="198"/>
    <col width="12" customWidth="1" min="199" max="199"/>
    <col width="12" customWidth="1" min="200" max="200"/>
    <col width="12" customWidth="1" min="201" max="201"/>
    <col width="12" customWidth="1" min="202" max="202"/>
    <col width="12" customWidth="1" min="203" max="203"/>
    <col width="12" customWidth="1" min="204" max="204"/>
    <col width="12" customWidth="1" min="205" max="205"/>
    <col width="12" customWidth="1" min="206" max="206"/>
    <col width="12" customWidth="1" min="207" max="207"/>
    <col width="12" customWidth="1" min="208" max="208"/>
    <col width="12" customWidth="1" min="209" max="209"/>
    <col width="12" customWidth="1" min="210" max="210"/>
    <col width="12" customWidth="1" min="211" max="211"/>
    <col width="12" customWidth="1" min="212" max="212"/>
    <col width="12" customWidth="1" min="213" max="213"/>
    <col width="12" customWidth="1" min="214" max="214"/>
    <col width="12" customWidth="1" min="215" max="215"/>
    <col width="12" customWidth="1" min="216" max="216"/>
    <col width="12" customWidth="1" min="217" max="217"/>
    <col width="12" customWidth="1" min="218" max="218"/>
    <col width="12" customWidth="1" min="219" max="219"/>
    <col width="12" customWidth="1" min="220" max="220"/>
    <col width="12" customWidth="1" min="221" max="221"/>
    <col width="12" customWidth="1" min="222" max="222"/>
    <col width="12" customWidth="1" min="223" max="223"/>
    <col width="12" customWidth="1" min="224" max="224"/>
    <col width="12" customWidth="1" min="225" max="225"/>
    <col width="12" customWidth="1" min="226" max="226"/>
    <col width="12" customWidth="1" min="227" max="227"/>
    <col width="12" customWidth="1" min="228" max="228"/>
    <col width="12" customWidth="1" min="229" max="229"/>
    <col width="12" customWidth="1" min="230" max="230"/>
    <col width="12" customWidth="1" min="231" max="231"/>
    <col width="12" customWidth="1" min="232" max="232"/>
    <col width="12" customWidth="1" min="233" max="233"/>
    <col width="12" customWidth="1" min="234" max="234"/>
    <col width="12" customWidth="1" min="235" max="235"/>
    <col width="12" customWidth="1" min="236" max="236"/>
    <col width="12" customWidth="1" min="237" max="237"/>
    <col width="12" customWidth="1" min="238" max="238"/>
    <col width="12" customWidth="1" min="239" max="239"/>
    <col width="12" customWidth="1" min="240" max="240"/>
    <col width="12" customWidth="1" min="241" max="241"/>
    <col width="12" customWidth="1" min="242" max="242"/>
    <col width="12" customWidth="1" min="243" max="243"/>
    <col width="12" customWidth="1" min="244" max="244"/>
    <col width="12" customWidth="1" min="245" max="245"/>
    <col width="12" customWidth="1" min="246" max="246"/>
    <col width="12" customWidth="1" min="247" max="247"/>
    <col width="12" customWidth="1" min="248" max="248"/>
    <col width="12" customWidth="1" min="249" max="249"/>
    <col width="12" customWidth="1" min="250" max="250"/>
    <col width="12" customWidth="1" min="251" max="251"/>
    <col width="12" customWidth="1" min="252" max="252"/>
    <col width="12" customWidth="1" min="253" max="253"/>
    <col width="12" customWidth="1" min="254" max="254"/>
    <col width="12" customWidth="1" min="255" max="255"/>
    <col width="12" customWidth="1" min="256" max="256"/>
    <col width="12" customWidth="1" min="257" max="257"/>
    <col width="12" customWidth="1" min="258" max="258"/>
    <col width="12" customWidth="1" min="259" max="259"/>
    <col width="12" customWidth="1" min="260" max="260"/>
    <col width="12" customWidth="1" min="261" max="261"/>
    <col width="12" customWidth="1" min="262" max="262"/>
    <col width="12" customWidth="1" min="263" max="263"/>
    <col width="12" customWidth="1" min="264" max="264"/>
    <col width="12" customWidth="1" min="265" max="265"/>
    <col width="12" customWidth="1" min="266" max="266"/>
    <col width="12" customWidth="1" min="267" max="267"/>
    <col width="12" customWidth="1" min="268" max="268"/>
    <col width="12" customWidth="1" min="269" max="269"/>
    <col width="12" customWidth="1" min="270" max="270"/>
    <col width="12" customWidth="1" min="271" max="271"/>
    <col width="12" customWidth="1" min="272" max="272"/>
    <col width="12" customWidth="1" min="273" max="273"/>
    <col width="12" customWidth="1" min="274" max="274"/>
    <col width="12" customWidth="1" min="275" max="275"/>
    <col width="12" customWidth="1" min="276" max="276"/>
    <col width="12" customWidth="1" min="277" max="277"/>
    <col width="12" customWidth="1" min="278" max="278"/>
    <col width="12" customWidth="1" min="279" max="279"/>
    <col width="12" customWidth="1" min="280" max="280"/>
    <col width="12" customWidth="1" min="281" max="281"/>
    <col width="12" customWidth="1" min="282" max="282"/>
    <col width="12" customWidth="1" min="283" max="283"/>
    <col width="12" customWidth="1" min="284" max="284"/>
    <col width="12" customWidth="1" min="285" max="285"/>
    <col width="12" customWidth="1" min="286" max="286"/>
    <col width="12" customWidth="1" min="287" max="287"/>
    <col width="12" customWidth="1" min="288" max="288"/>
    <col width="12" customWidth="1" min="289" max="289"/>
    <col width="12" customWidth="1" min="290" max="290"/>
    <col width="12" customWidth="1" min="291" max="291"/>
    <col width="12" customWidth="1" min="292" max="292"/>
    <col width="12" customWidth="1" min="293" max="293"/>
    <col width="12" customWidth="1" min="294" max="294"/>
    <col width="12" customWidth="1" min="295" max="295"/>
    <col width="12" customWidth="1" min="296" max="296"/>
    <col width="12" customWidth="1" min="297" max="297"/>
    <col width="12" customWidth="1" min="298" max="298"/>
    <col width="12" customWidth="1" min="299" max="299"/>
    <col width="12" customWidth="1" min="300" max="300"/>
    <col width="12" customWidth="1" min="301" max="301"/>
    <col width="12" customWidth="1" min="302" max="302"/>
    <col width="12" customWidth="1" min="303" max="303"/>
    <col width="12" customWidth="1" min="304" max="304"/>
    <col width="12" customWidth="1" min="305" max="305"/>
    <col width="12" customWidth="1" min="306" max="306"/>
  </cols>
  <sheetData>
    <row r="1" ht="42" customHeight="1">
      <c r="A1" s="77" t="inlineStr">
        <is>
          <t>Date</t>
        </is>
      </c>
      <c r="B1" s="77" t="inlineStr">
        <is>
          <t>Month</t>
        </is>
      </c>
      <c r="C1" s="77" t="inlineStr">
        <is>
          <t>Day</t>
        </is>
      </c>
      <c r="D1" s="77" t="inlineStr">
        <is>
          <t>Days_In_Month</t>
        </is>
      </c>
      <c r="E1" s="77" t="inlineStr">
        <is>
          <t>Month_Start</t>
        </is>
      </c>
      <c r="F1" s="77" t="inlineStr">
        <is>
          <t>Ore_Mined_t</t>
        </is>
      </c>
      <c r="G1" s="77" t="inlineStr">
        <is>
          <t>Ore_Mined_t_MTD</t>
        </is>
      </c>
      <c r="H1" s="77" t="inlineStr">
        <is>
          <t>Ore_Mined_t_YTD</t>
        </is>
      </c>
      <c r="I1" s="77" t="inlineStr">
        <is>
          <t>Ore_Mined_oz</t>
        </is>
      </c>
      <c r="J1" s="77" t="inlineStr">
        <is>
          <t>Ore_Mined_oz_MTD</t>
        </is>
      </c>
      <c r="K1" s="77" t="inlineStr">
        <is>
          <t>Ore_Mined_oz_YTD</t>
        </is>
      </c>
      <c r="L1" s="77" t="inlineStr">
        <is>
          <t>Ore_Graded_t</t>
        </is>
      </c>
      <c r="M1" s="77" t="inlineStr">
        <is>
          <t>Ore_Graded_t_MTD</t>
        </is>
      </c>
      <c r="N1" s="77" t="inlineStr">
        <is>
          <t>Ore_Graded_t_YTD</t>
        </is>
      </c>
      <c r="O1" s="77" t="inlineStr">
        <is>
          <t>Ore_Grade_gpt</t>
        </is>
      </c>
      <c r="P1" s="77" t="inlineStr">
        <is>
          <t>Ore_Grade_gpt_MTD</t>
        </is>
      </c>
      <c r="Q1" s="77" t="inlineStr">
        <is>
          <t>Ore_Grade_gpt_YTD</t>
        </is>
      </c>
      <c r="R1" s="77" t="inlineStr">
        <is>
          <t>Ore_Ungraded_t</t>
        </is>
      </c>
      <c r="S1" s="77" t="inlineStr">
        <is>
          <t>Ore_Ungraded_t_MTD</t>
        </is>
      </c>
      <c r="T1" s="77" t="inlineStr">
        <is>
          <t>Ore_Ungraded_t_YTD</t>
        </is>
      </c>
      <c r="U1" s="77" t="inlineStr">
        <is>
          <t>Waste_t</t>
        </is>
      </c>
      <c r="V1" s="77" t="inlineStr">
        <is>
          <t>Waste_t_MTD</t>
        </is>
      </c>
      <c r="W1" s="77" t="inlineStr">
        <is>
          <t>Waste_t_YTD</t>
        </is>
      </c>
      <c r="X1" s="77" t="inlineStr">
        <is>
          <t>TMM_t</t>
        </is>
      </c>
      <c r="Y1" s="77" t="inlineStr">
        <is>
          <t>TMM_t_MTD</t>
        </is>
      </c>
      <c r="Z1" s="77" t="inlineStr">
        <is>
          <t>TMM_t_YTD</t>
        </is>
      </c>
      <c r="AA1" s="77" t="inlineStr">
        <is>
          <t>Strip_Ratio</t>
        </is>
      </c>
      <c r="AB1" s="77" t="inlineStr">
        <is>
          <t>Strip_Ratio_MTD</t>
        </is>
      </c>
      <c r="AC1" s="77" t="inlineStr">
        <is>
          <t>Strip_Ratio_YTD</t>
        </is>
      </c>
      <c r="AD1" s="77" t="inlineStr">
        <is>
          <t>Rehandle_t</t>
        </is>
      </c>
      <c r="AE1" s="77" t="inlineStr">
        <is>
          <t>Rehandle_t_MTD</t>
        </is>
      </c>
      <c r="AF1" s="77" t="inlineStr">
        <is>
          <t>Rehandle_t_YTD</t>
        </is>
      </c>
      <c r="AG1" s="77" t="inlineStr">
        <is>
          <t>Moved_Total_t</t>
        </is>
      </c>
      <c r="AH1" s="77" t="inlineStr">
        <is>
          <t>Moved_Total_t_MTD</t>
        </is>
      </c>
      <c r="AI1" s="77" t="inlineStr">
        <is>
          <t>Moved_Total_t_YTD</t>
        </is>
      </c>
      <c r="AJ1" s="77" t="inlineStr">
        <is>
          <t>Unclassified_t</t>
        </is>
      </c>
      <c r="AK1" s="77" t="inlineStr">
        <is>
          <t>Unclassified_t_MTD</t>
        </is>
      </c>
      <c r="AL1" s="77" t="inlineStr">
        <is>
          <t>Unclassified_t_YTD</t>
        </is>
      </c>
      <c r="AM1" s="77" t="inlineStr">
        <is>
          <t>Drill_m</t>
        </is>
      </c>
      <c r="AN1" s="77" t="inlineStr">
        <is>
          <t>Drill_m_MTD</t>
        </is>
      </c>
      <c r="AO1" s="77" t="inlineStr">
        <is>
          <t>Drill_m_YTD</t>
        </is>
      </c>
      <c r="AP1" s="77" t="inlineStr">
        <is>
          <t>GC_Drill_m</t>
        </is>
      </c>
      <c r="AQ1" s="77" t="inlineStr">
        <is>
          <t>GC_Drill_m_MTD</t>
        </is>
      </c>
      <c r="AR1" s="77" t="inlineStr">
        <is>
          <t>GC_Drill_m_YTD</t>
        </is>
      </c>
      <c r="AS1" s="77" t="inlineStr">
        <is>
          <t>Blast_t</t>
        </is>
      </c>
      <c r="AT1" s="77" t="inlineStr">
        <is>
          <t>Blast_t_MTD</t>
        </is>
      </c>
      <c r="AU1" s="77" t="inlineStr">
        <is>
          <t>Blast_t_YTD</t>
        </is>
      </c>
      <c r="AV1" s="77" t="inlineStr">
        <is>
          <t>Explosives_kg</t>
        </is>
      </c>
      <c r="AW1" s="77" t="inlineStr">
        <is>
          <t>Explosives_kg_MTD</t>
        </is>
      </c>
      <c r="AX1" s="77" t="inlineStr">
        <is>
          <t>Explosives_kg_YTD</t>
        </is>
      </c>
      <c r="AY1" s="77" t="inlineStr">
        <is>
          <t>Powder_Factor_kgpt</t>
        </is>
      </c>
      <c r="AZ1" s="77" t="inlineStr">
        <is>
          <t>Powder_Factor_kgpt_MTD</t>
        </is>
      </c>
      <c r="BA1" s="77" t="inlineStr">
        <is>
          <t>Powder_Factor_kgpt_YTD</t>
        </is>
      </c>
      <c r="BB1" s="77" t="inlineStr">
        <is>
          <t>Diesel_Mining_L</t>
        </is>
      </c>
      <c r="BC1" s="77" t="inlineStr">
        <is>
          <t>Diesel_Mining_L_MTD</t>
        </is>
      </c>
      <c r="BD1" s="77" t="inlineStr">
        <is>
          <t>Diesel_Mining_L_YTD</t>
        </is>
      </c>
      <c r="BE1" s="77" t="inlineStr">
        <is>
          <t>Dewatering_m3</t>
        </is>
      </c>
      <c r="BF1" s="77" t="inlineStr">
        <is>
          <t>Dewatering_m3_MTD</t>
        </is>
      </c>
      <c r="BG1" s="77" t="inlineStr">
        <is>
          <t>Dewatering_m3_YTD</t>
        </is>
      </c>
      <c r="BH1" s="77" t="inlineStr">
        <is>
          <t>Exc_Calendar_h</t>
        </is>
      </c>
      <c r="BI1" s="77" t="inlineStr">
        <is>
          <t>Exc_Calendar_h_MTD</t>
        </is>
      </c>
      <c r="BJ1" s="77" t="inlineStr">
        <is>
          <t>Exc_Calendar_h_YTD</t>
        </is>
      </c>
      <c r="BK1" s="77" t="inlineStr">
        <is>
          <t>Exc_Available_h</t>
        </is>
      </c>
      <c r="BL1" s="77" t="inlineStr">
        <is>
          <t>Exc_Available_h_MTD</t>
        </is>
      </c>
      <c r="BM1" s="77" t="inlineStr">
        <is>
          <t>Exc_Available_h_YTD</t>
        </is>
      </c>
      <c r="BN1" s="77" t="inlineStr">
        <is>
          <t>Exc_Operating_h</t>
        </is>
      </c>
      <c r="BO1" s="77" t="inlineStr">
        <is>
          <t>Exc_Operating_h_MTD</t>
        </is>
      </c>
      <c r="BP1" s="77" t="inlineStr">
        <is>
          <t>Exc_Operating_h_YTD</t>
        </is>
      </c>
      <c r="BQ1" s="77" t="inlineStr">
        <is>
          <t>Exc_Availability_pct</t>
        </is>
      </c>
      <c r="BR1" s="77" t="inlineStr">
        <is>
          <t>Exc_Availability_pct_MTD</t>
        </is>
      </c>
      <c r="BS1" s="77" t="inlineStr">
        <is>
          <t>Exc_Availability_pct_YTD</t>
        </is>
      </c>
      <c r="BT1" s="77" t="inlineStr">
        <is>
          <t>Exc_Utilisation_pct</t>
        </is>
      </c>
      <c r="BU1" s="77" t="inlineStr">
        <is>
          <t>Exc_Utilisation_pct_MTD</t>
        </is>
      </c>
      <c r="BV1" s="77" t="inlineStr">
        <is>
          <t>Exc_Utilisation_pct_YTD</t>
        </is>
      </c>
      <c r="BW1" s="77" t="inlineStr">
        <is>
          <t>Trk_Calendar_h</t>
        </is>
      </c>
      <c r="BX1" s="77" t="inlineStr">
        <is>
          <t>Trk_Calendar_h_MTD</t>
        </is>
      </c>
      <c r="BY1" s="77" t="inlineStr">
        <is>
          <t>Trk_Calendar_h_YTD</t>
        </is>
      </c>
      <c r="BZ1" s="77" t="inlineStr">
        <is>
          <t>Trk_Available_h</t>
        </is>
      </c>
      <c r="CA1" s="77" t="inlineStr">
        <is>
          <t>Trk_Available_h_MTD</t>
        </is>
      </c>
      <c r="CB1" s="77" t="inlineStr">
        <is>
          <t>Trk_Available_h_YTD</t>
        </is>
      </c>
      <c r="CC1" s="77" t="inlineStr">
        <is>
          <t>Trk_Operating_h</t>
        </is>
      </c>
      <c r="CD1" s="77" t="inlineStr">
        <is>
          <t>Trk_Operating_h_MTD</t>
        </is>
      </c>
      <c r="CE1" s="77" t="inlineStr">
        <is>
          <t>Trk_Operating_h_YTD</t>
        </is>
      </c>
      <c r="CF1" s="77" t="inlineStr">
        <is>
          <t>Trk_Availability_pct</t>
        </is>
      </c>
      <c r="CG1" s="77" t="inlineStr">
        <is>
          <t>Trk_Availability_pct_MTD</t>
        </is>
      </c>
      <c r="CH1" s="77" t="inlineStr">
        <is>
          <t>Trk_Availability_pct_YTD</t>
        </is>
      </c>
      <c r="CI1" s="77" t="inlineStr">
        <is>
          <t>Trk_Utilisation_pct</t>
        </is>
      </c>
      <c r="CJ1" s="77" t="inlineStr">
        <is>
          <t>Trk_Utilisation_pct_MTD</t>
        </is>
      </c>
      <c r="CK1" s="77" t="inlineStr">
        <is>
          <t>Trk_Utilisation_pct_YTD</t>
        </is>
      </c>
      <c r="CL1" s="77" t="inlineStr">
        <is>
          <t>Exc_Productivity_tph</t>
        </is>
      </c>
      <c r="CM1" s="77" t="inlineStr">
        <is>
          <t>Exc_Productivity_tph_MTD</t>
        </is>
      </c>
      <c r="CN1" s="77" t="inlineStr">
        <is>
          <t>Exc_Productivity_tph_YTD</t>
        </is>
      </c>
      <c r="CO1" s="77" t="inlineStr">
        <is>
          <t>Trk_Productivity_tph</t>
        </is>
      </c>
      <c r="CP1" s="77" t="inlineStr">
        <is>
          <t>Trk_Productivity_tph_MTD</t>
        </is>
      </c>
      <c r="CQ1" s="77" t="inlineStr">
        <is>
          <t>Trk_Productivity_tph_YTD</t>
        </is>
      </c>
      <c r="CR1" s="77" t="inlineStr">
        <is>
          <t>Crushed_t</t>
        </is>
      </c>
      <c r="CS1" s="77" t="inlineStr">
        <is>
          <t>Crushed_t_MTD</t>
        </is>
      </c>
      <c r="CT1" s="77" t="inlineStr">
        <is>
          <t>Crushed_t_YTD</t>
        </is>
      </c>
      <c r="CU1" s="77" t="inlineStr">
        <is>
          <t>Milled_t</t>
        </is>
      </c>
      <c r="CV1" s="77" t="inlineStr">
        <is>
          <t>Milled_t_MTD</t>
        </is>
      </c>
      <c r="CW1" s="77" t="inlineStr">
        <is>
          <t>Milled_t_YTD</t>
        </is>
      </c>
      <c r="CX1" s="77" t="inlineStr">
        <is>
          <t>Feed_oz</t>
        </is>
      </c>
      <c r="CY1" s="77" t="inlineStr">
        <is>
          <t>Feed_oz_MTD</t>
        </is>
      </c>
      <c r="CZ1" s="77" t="inlineStr">
        <is>
          <t>Feed_oz_YTD</t>
        </is>
      </c>
      <c r="DA1" s="77" t="inlineStr">
        <is>
          <t>Tails_oz</t>
        </is>
      </c>
      <c r="DB1" s="77" t="inlineStr">
        <is>
          <t>Tails_oz_MTD</t>
        </is>
      </c>
      <c r="DC1" s="77" t="inlineStr">
        <is>
          <t>Tails_oz_YTD</t>
        </is>
      </c>
      <c r="DD1" s="77" t="inlineStr">
        <is>
          <t>Recovered_oz</t>
        </is>
      </c>
      <c r="DE1" s="77" t="inlineStr">
        <is>
          <t>Recovered_oz_MTD</t>
        </is>
      </c>
      <c r="DF1" s="77" t="inlineStr">
        <is>
          <t>Recovered_oz_YTD</t>
        </is>
      </c>
      <c r="DG1" s="77" t="inlineStr">
        <is>
          <t>Milled_Graded_t</t>
        </is>
      </c>
      <c r="DH1" s="77" t="inlineStr">
        <is>
          <t>Milled_Graded_t_MTD</t>
        </is>
      </c>
      <c r="DI1" s="77" t="inlineStr">
        <is>
          <t>Milled_Graded_t_YTD</t>
        </is>
      </c>
      <c r="DJ1" s="77" t="inlineStr">
        <is>
          <t>Milled_Tails_Graded_t</t>
        </is>
      </c>
      <c r="DK1" s="77" t="inlineStr">
        <is>
          <t>Milled_Tails_Graded_t_MTD</t>
        </is>
      </c>
      <c r="DL1" s="77" t="inlineStr">
        <is>
          <t>Milled_Tails_Graded_t_YTD</t>
        </is>
      </c>
      <c r="DM1" s="77" t="inlineStr">
        <is>
          <t>Feed_Recon_oz</t>
        </is>
      </c>
      <c r="DN1" s="77" t="inlineStr">
        <is>
          <t>Feed_Recon_oz_MTD</t>
        </is>
      </c>
      <c r="DO1" s="77" t="inlineStr">
        <is>
          <t>Feed_Recon_oz_YTD</t>
        </is>
      </c>
      <c r="DP1" s="77" t="inlineStr">
        <is>
          <t>Milled_Timed_t</t>
        </is>
      </c>
      <c r="DQ1" s="77" t="inlineStr">
        <is>
          <t>Milled_Timed_t_MTD</t>
        </is>
      </c>
      <c r="DR1" s="77" t="inlineStr">
        <is>
          <t>Milled_Timed_t_YTD</t>
        </is>
      </c>
      <c r="DS1" s="77" t="inlineStr">
        <is>
          <t>Head_Grade_gpt</t>
        </is>
      </c>
      <c r="DT1" s="77" t="inlineStr">
        <is>
          <t>Head_Grade_gpt_MTD</t>
        </is>
      </c>
      <c r="DU1" s="77" t="inlineStr">
        <is>
          <t>Head_Grade_gpt_YTD</t>
        </is>
      </c>
      <c r="DV1" s="77" t="inlineStr">
        <is>
          <t>Tails_Grade_gpt</t>
        </is>
      </c>
      <c r="DW1" s="77" t="inlineStr">
        <is>
          <t>Tails_Grade_gpt_MTD</t>
        </is>
      </c>
      <c r="DX1" s="77" t="inlineStr">
        <is>
          <t>Tails_Grade_gpt_YTD</t>
        </is>
      </c>
      <c r="DY1" s="77" t="inlineStr">
        <is>
          <t>Recovery_pct</t>
        </is>
      </c>
      <c r="DZ1" s="77" t="inlineStr">
        <is>
          <t>Recovery_pct_MTD</t>
        </is>
      </c>
      <c r="EA1" s="77" t="inlineStr">
        <is>
          <t>Recovery_pct_YTD</t>
        </is>
      </c>
      <c r="EB1" s="77" t="inlineStr">
        <is>
          <t>Gravity_Gold_oz</t>
        </is>
      </c>
      <c r="EC1" s="77" t="inlineStr">
        <is>
          <t>Gravity_Gold_oz_MTD</t>
        </is>
      </c>
      <c r="ED1" s="77" t="inlineStr">
        <is>
          <t>Gravity_Gold_oz_YTD</t>
        </is>
      </c>
      <c r="EE1" s="77" t="inlineStr">
        <is>
          <t>Gravity_Share_pct</t>
        </is>
      </c>
      <c r="EF1" s="77" t="inlineStr">
        <is>
          <t>Gravity_Share_pct_MTD</t>
        </is>
      </c>
      <c r="EG1" s="77" t="inlineStr">
        <is>
          <t>Gravity_Share_pct_YTD</t>
        </is>
      </c>
      <c r="EH1" s="77" t="inlineStr">
        <is>
          <t>Gold_Poured_oz</t>
        </is>
      </c>
      <c r="EI1" s="77" t="inlineStr">
        <is>
          <t>Gold_Poured_oz_MTD</t>
        </is>
      </c>
      <c r="EJ1" s="77" t="inlineStr">
        <is>
          <t>Gold_Poured_oz_YTD</t>
        </is>
      </c>
      <c r="EK1" s="77" t="inlineStr">
        <is>
          <t>Mill_Run_h</t>
        </is>
      </c>
      <c r="EL1" s="77" t="inlineStr">
        <is>
          <t>Mill_Run_h_MTD</t>
        </is>
      </c>
      <c r="EM1" s="77" t="inlineStr">
        <is>
          <t>Mill_Run_h_YTD</t>
        </is>
      </c>
      <c r="EN1" s="77" t="inlineStr">
        <is>
          <t>Mill_Planned_Maint_h</t>
        </is>
      </c>
      <c r="EO1" s="77" t="inlineStr">
        <is>
          <t>Mill_Planned_Maint_h_MTD</t>
        </is>
      </c>
      <c r="EP1" s="77" t="inlineStr">
        <is>
          <t>Mill_Planned_Maint_h_YTD</t>
        </is>
      </c>
      <c r="EQ1" s="77" t="inlineStr">
        <is>
          <t>Mill_Unplanned_Down_h</t>
        </is>
      </c>
      <c r="ER1" s="77" t="inlineStr">
        <is>
          <t>Mill_Unplanned_Down_h_MTD</t>
        </is>
      </c>
      <c r="ES1" s="77" t="inlineStr">
        <is>
          <t>Mill_Unplanned_Down_h_YTD</t>
        </is>
      </c>
      <c r="ET1" s="77" t="inlineStr">
        <is>
          <t>Mill_Calendar_h</t>
        </is>
      </c>
      <c r="EU1" s="77" t="inlineStr">
        <is>
          <t>Mill_Calendar_h_MTD</t>
        </is>
      </c>
      <c r="EV1" s="77" t="inlineStr">
        <is>
          <t>Mill_Calendar_h_YTD</t>
        </is>
      </c>
      <c r="EW1" s="77" t="inlineStr">
        <is>
          <t>Crusher_Run_h</t>
        </is>
      </c>
      <c r="EX1" s="77" t="inlineStr">
        <is>
          <t>Crusher_Run_h_MTD</t>
        </is>
      </c>
      <c r="EY1" s="77" t="inlineStr">
        <is>
          <t>Crusher_Run_h_YTD</t>
        </is>
      </c>
      <c r="EZ1" s="77" t="inlineStr">
        <is>
          <t>Throughput_tph</t>
        </is>
      </c>
      <c r="FA1" s="77" t="inlineStr">
        <is>
          <t>Throughput_tph_MTD</t>
        </is>
      </c>
      <c r="FB1" s="77" t="inlineStr">
        <is>
          <t>Throughput_tph_YTD</t>
        </is>
      </c>
      <c r="FC1" s="77" t="inlineStr">
        <is>
          <t>Mill_Availability_pct</t>
        </is>
      </c>
      <c r="FD1" s="77" t="inlineStr">
        <is>
          <t>Mill_Availability_pct_MTD</t>
        </is>
      </c>
      <c r="FE1" s="77" t="inlineStr">
        <is>
          <t>Mill_Availability_pct_YTD</t>
        </is>
      </c>
      <c r="FF1" s="77" t="inlineStr">
        <is>
          <t>Mill_Utilisation_pct</t>
        </is>
      </c>
      <c r="FG1" s="77" t="inlineStr">
        <is>
          <t>Mill_Utilisation_pct_MTD</t>
        </is>
      </c>
      <c r="FH1" s="77" t="inlineStr">
        <is>
          <t>Mill_Utilisation_pct_YTD</t>
        </is>
      </c>
      <c r="FI1" s="77" t="inlineStr">
        <is>
          <t>Cyanide_kg</t>
        </is>
      </c>
      <c r="FJ1" s="77" t="inlineStr">
        <is>
          <t>Cyanide_kg_MTD</t>
        </is>
      </c>
      <c r="FK1" s="77" t="inlineStr">
        <is>
          <t>Cyanide_kg_YTD</t>
        </is>
      </c>
      <c r="FL1" s="77" t="inlineStr">
        <is>
          <t>Lime_kg</t>
        </is>
      </c>
      <c r="FM1" s="77" t="inlineStr">
        <is>
          <t>Lime_kg_MTD</t>
        </is>
      </c>
      <c r="FN1" s="77" t="inlineStr">
        <is>
          <t>Lime_kg_YTD</t>
        </is>
      </c>
      <c r="FO1" s="77" t="inlineStr">
        <is>
          <t>Grinding_Media_kg</t>
        </is>
      </c>
      <c r="FP1" s="77" t="inlineStr">
        <is>
          <t>Grinding_Media_kg_MTD</t>
        </is>
      </c>
      <c r="FQ1" s="77" t="inlineStr">
        <is>
          <t>Grinding_Media_kg_YTD</t>
        </is>
      </c>
      <c r="FR1" s="77" t="inlineStr">
        <is>
          <t>Power_kWh</t>
        </is>
      </c>
      <c r="FS1" s="77" t="inlineStr">
        <is>
          <t>Power_kWh_MTD</t>
        </is>
      </c>
      <c r="FT1" s="77" t="inlineStr">
        <is>
          <t>Power_kWh_YTD</t>
        </is>
      </c>
      <c r="FU1" s="77" t="inlineStr">
        <is>
          <t>Raw_Water_m3</t>
        </is>
      </c>
      <c r="FV1" s="77" t="inlineStr">
        <is>
          <t>Raw_Water_m3_MTD</t>
        </is>
      </c>
      <c r="FW1" s="77" t="inlineStr">
        <is>
          <t>Raw_Water_m3_YTD</t>
        </is>
      </c>
      <c r="FX1" s="77" t="inlineStr">
        <is>
          <t>Cyanide_kgpt</t>
        </is>
      </c>
      <c r="FY1" s="77" t="inlineStr">
        <is>
          <t>Cyanide_kgpt_MTD</t>
        </is>
      </c>
      <c r="FZ1" s="77" t="inlineStr">
        <is>
          <t>Cyanide_kgpt_YTD</t>
        </is>
      </c>
      <c r="GA1" s="77" t="inlineStr">
        <is>
          <t>Lime_kgpt</t>
        </is>
      </c>
      <c r="GB1" s="77" t="inlineStr">
        <is>
          <t>Lime_kgpt_MTD</t>
        </is>
      </c>
      <c r="GC1" s="77" t="inlineStr">
        <is>
          <t>Lime_kgpt_YTD</t>
        </is>
      </c>
      <c r="GD1" s="77" t="inlineStr">
        <is>
          <t>Media_kgpt</t>
        </is>
      </c>
      <c r="GE1" s="77" t="inlineStr">
        <is>
          <t>Media_kgpt_MTD</t>
        </is>
      </c>
      <c r="GF1" s="77" t="inlineStr">
        <is>
          <t>Media_kgpt_YTD</t>
        </is>
      </c>
      <c r="GG1" s="77" t="inlineStr">
        <is>
          <t>Power_kWhpt</t>
        </is>
      </c>
      <c r="GH1" s="77" t="inlineStr">
        <is>
          <t>Power_kWhpt_MTD</t>
        </is>
      </c>
      <c r="GI1" s="77" t="inlineStr">
        <is>
          <t>Power_kWhpt_YTD</t>
        </is>
      </c>
      <c r="GJ1" s="77" t="inlineStr">
        <is>
          <t>Water_m3pt</t>
        </is>
      </c>
      <c r="GK1" s="77" t="inlineStr">
        <is>
          <t>Water_m3pt_MTD</t>
        </is>
      </c>
      <c r="GL1" s="77" t="inlineStr">
        <is>
          <t>Water_m3pt_YTD</t>
        </is>
      </c>
      <c r="GM1" s="77" t="inlineStr">
        <is>
          <t>GIC_oz</t>
        </is>
      </c>
      <c r="GN1" s="77" t="inlineStr">
        <is>
          <t>Gold_Shipped_oz</t>
        </is>
      </c>
      <c r="GO1" s="77" t="inlineStr">
        <is>
          <t>Gold_Shipped_oz_MTD</t>
        </is>
      </c>
      <c r="GP1" s="77" t="inlineStr">
        <is>
          <t>Gold_Shipped_oz_YTD</t>
        </is>
      </c>
      <c r="GQ1" s="77" t="inlineStr">
        <is>
          <t>Gold_Sold_oz</t>
        </is>
      </c>
      <c r="GR1" s="77" t="inlineStr">
        <is>
          <t>Gold_Sold_oz_MTD</t>
        </is>
      </c>
      <c r="GS1" s="77" t="inlineStr">
        <is>
          <t>Gold_Sold_oz_YTD</t>
        </is>
      </c>
      <c r="GT1" s="77" t="inlineStr">
        <is>
          <t>Dore_Shipped_kg</t>
        </is>
      </c>
      <c r="GU1" s="77" t="inlineStr">
        <is>
          <t>Dore_Shipped_kg_MTD</t>
        </is>
      </c>
      <c r="GV1" s="77" t="inlineStr">
        <is>
          <t>Dore_Shipped_kg_YTD</t>
        </is>
      </c>
      <c r="GW1" s="77" t="inlineStr">
        <is>
          <t>Hours_Worked</t>
        </is>
      </c>
      <c r="GX1" s="77" t="inlineStr">
        <is>
          <t>Hours_Worked_MTD</t>
        </is>
      </c>
      <c r="GY1" s="77" t="inlineStr">
        <is>
          <t>Hours_Worked_YTD</t>
        </is>
      </c>
      <c r="GZ1" s="77" t="inlineStr">
        <is>
          <t>Fatality</t>
        </is>
      </c>
      <c r="HA1" s="77" t="inlineStr">
        <is>
          <t>Fatality_MTD</t>
        </is>
      </c>
      <c r="HB1" s="77" t="inlineStr">
        <is>
          <t>Fatality_YTD</t>
        </is>
      </c>
      <c r="HC1" s="77" t="inlineStr">
        <is>
          <t>LTI</t>
        </is>
      </c>
      <c r="HD1" s="77" t="inlineStr">
        <is>
          <t>LTI_MTD</t>
        </is>
      </c>
      <c r="HE1" s="77" t="inlineStr">
        <is>
          <t>LTI_YTD</t>
        </is>
      </c>
      <c r="HF1" s="77" t="inlineStr">
        <is>
          <t>RWI</t>
        </is>
      </c>
      <c r="HG1" s="77" t="inlineStr">
        <is>
          <t>RWI_MTD</t>
        </is>
      </c>
      <c r="HH1" s="77" t="inlineStr">
        <is>
          <t>RWI_YTD</t>
        </is>
      </c>
      <c r="HI1" s="77" t="inlineStr">
        <is>
          <t>MTI</t>
        </is>
      </c>
      <c r="HJ1" s="77" t="inlineStr">
        <is>
          <t>MTI_MTD</t>
        </is>
      </c>
      <c r="HK1" s="77" t="inlineStr">
        <is>
          <t>MTI_YTD</t>
        </is>
      </c>
      <c r="HL1" s="77" t="inlineStr">
        <is>
          <t>FAI</t>
        </is>
      </c>
      <c r="HM1" s="77" t="inlineStr">
        <is>
          <t>FAI_MTD</t>
        </is>
      </c>
      <c r="HN1" s="77" t="inlineStr">
        <is>
          <t>FAI_YTD</t>
        </is>
      </c>
      <c r="HO1" s="77" t="inlineStr">
        <is>
          <t>Recordables</t>
        </is>
      </c>
      <c r="HP1" s="77" t="inlineStr">
        <is>
          <t>Recordables_MTD</t>
        </is>
      </c>
      <c r="HQ1" s="77" t="inlineStr">
        <is>
          <t>Recordables_YTD</t>
        </is>
      </c>
      <c r="HR1" s="77" t="inlineStr">
        <is>
          <t>Near_Miss</t>
        </is>
      </c>
      <c r="HS1" s="77" t="inlineStr">
        <is>
          <t>Near_Miss_MTD</t>
        </is>
      </c>
      <c r="HT1" s="77" t="inlineStr">
        <is>
          <t>Near_Miss_YTD</t>
        </is>
      </c>
      <c r="HU1" s="77" t="inlineStr">
        <is>
          <t>Hazard_Reports</t>
        </is>
      </c>
      <c r="HV1" s="77" t="inlineStr">
        <is>
          <t>Hazard_Reports_MTD</t>
        </is>
      </c>
      <c r="HW1" s="77" t="inlineStr">
        <is>
          <t>Hazard_Reports_YTD</t>
        </is>
      </c>
      <c r="HX1" s="77" t="inlineStr">
        <is>
          <t>HPI</t>
        </is>
      </c>
      <c r="HY1" s="77" t="inlineStr">
        <is>
          <t>HPI_MTD</t>
        </is>
      </c>
      <c r="HZ1" s="77" t="inlineStr">
        <is>
          <t>HPI_YTD</t>
        </is>
      </c>
      <c r="IA1" s="77" t="inlineStr">
        <is>
          <t>Env_Incidents</t>
        </is>
      </c>
      <c r="IB1" s="77" t="inlineStr">
        <is>
          <t>Env_Incidents_MTD</t>
        </is>
      </c>
      <c r="IC1" s="77" t="inlineStr">
        <is>
          <t>Env_Incidents_YTD</t>
        </is>
      </c>
      <c r="ID1" s="77" t="inlineStr">
        <is>
          <t>Community_Incidents</t>
        </is>
      </c>
      <c r="IE1" s="77" t="inlineStr">
        <is>
          <t>Community_Incidents_MTD</t>
        </is>
      </c>
      <c r="IF1" s="77" t="inlineStr">
        <is>
          <t>Community_Incidents_YTD</t>
        </is>
      </c>
      <c r="IG1" s="77" t="inlineStr">
        <is>
          <t>Vehicle_Incidents</t>
        </is>
      </c>
      <c r="IH1" s="77" t="inlineStr">
        <is>
          <t>Vehicle_Incidents_MTD</t>
        </is>
      </c>
      <c r="II1" s="77" t="inlineStr">
        <is>
          <t>Vehicle_Incidents_YTD</t>
        </is>
      </c>
      <c r="IJ1" s="77" t="inlineStr">
        <is>
          <t>Toolbox_Talks</t>
        </is>
      </c>
      <c r="IK1" s="77" t="inlineStr">
        <is>
          <t>Toolbox_Talks_MTD</t>
        </is>
      </c>
      <c r="IL1" s="77" t="inlineStr">
        <is>
          <t>Toolbox_Talks_YTD</t>
        </is>
      </c>
      <c r="IM1" s="77" t="inlineStr">
        <is>
          <t>Inspections</t>
        </is>
      </c>
      <c r="IN1" s="77" t="inlineStr">
        <is>
          <t>Inspections_MTD</t>
        </is>
      </c>
      <c r="IO1" s="77" t="inlineStr">
        <is>
          <t>Inspections_YTD</t>
        </is>
      </c>
      <c r="IP1" s="77" t="inlineStr">
        <is>
          <t>TRIFR_12m</t>
        </is>
      </c>
      <c r="IQ1" s="77" t="inlineStr">
        <is>
          <t>LTIFR_12m</t>
        </is>
      </c>
      <c r="IR1" s="77" t="inlineStr">
        <is>
          <t>Days_Since_LTI</t>
        </is>
      </c>
      <c r="IS1" s="78" t="inlineStr">
        <is>
          <t>Bud_Ore_Mined_t_Month</t>
        </is>
      </c>
      <c r="IT1" s="78" t="inlineStr">
        <is>
          <t>Bud_Ore_Mined_t_MTD</t>
        </is>
      </c>
      <c r="IU1" s="78" t="inlineStr">
        <is>
          <t>Bud_Ore_Mined_t_YTD</t>
        </is>
      </c>
      <c r="IV1" s="78" t="inlineStr">
        <is>
          <t>Bud_Ore_Mined_oz_Month</t>
        </is>
      </c>
      <c r="IW1" s="78" t="inlineStr">
        <is>
          <t>Bud_Ore_Mined_oz_MTD</t>
        </is>
      </c>
      <c r="IX1" s="78" t="inlineStr">
        <is>
          <t>Bud_Ore_Mined_oz_YTD</t>
        </is>
      </c>
      <c r="IY1" s="78" t="inlineStr">
        <is>
          <t>Bud_Ore_Graded_t_Month</t>
        </is>
      </c>
      <c r="IZ1" s="78" t="inlineStr">
        <is>
          <t>Bud_Ore_Graded_t_MTD</t>
        </is>
      </c>
      <c r="JA1" s="78" t="inlineStr">
        <is>
          <t>Bud_Ore_Graded_t_YTD</t>
        </is>
      </c>
      <c r="JB1" s="78" t="inlineStr">
        <is>
          <t>Bud_Ore_Grade_gpt_Month</t>
        </is>
      </c>
      <c r="JC1" s="78" t="inlineStr">
        <is>
          <t>Bud_Ore_Grade_gpt_MTD</t>
        </is>
      </c>
      <c r="JD1" s="78" t="inlineStr">
        <is>
          <t>Bud_Ore_Grade_gpt_YTD</t>
        </is>
      </c>
      <c r="JE1" s="78" t="inlineStr">
        <is>
          <t>Bud_Waste_t_Month</t>
        </is>
      </c>
      <c r="JF1" s="78" t="inlineStr">
        <is>
          <t>Bud_Waste_t_MTD</t>
        </is>
      </c>
      <c r="JG1" s="78" t="inlineStr">
        <is>
          <t>Bud_Waste_t_YTD</t>
        </is>
      </c>
      <c r="JH1" s="78" t="inlineStr">
        <is>
          <t>Bud_TMM_t_Month</t>
        </is>
      </c>
      <c r="JI1" s="78" t="inlineStr">
        <is>
          <t>Bud_TMM_t_MTD</t>
        </is>
      </c>
      <c r="JJ1" s="78" t="inlineStr">
        <is>
          <t>Bud_TMM_t_YTD</t>
        </is>
      </c>
      <c r="JK1" s="78" t="inlineStr">
        <is>
          <t>Bud_Strip_Ratio_Month</t>
        </is>
      </c>
      <c r="JL1" s="78" t="inlineStr">
        <is>
          <t>Bud_Strip_Ratio_MTD</t>
        </is>
      </c>
      <c r="JM1" s="78" t="inlineStr">
        <is>
          <t>Bud_Strip_Ratio_YTD</t>
        </is>
      </c>
      <c r="JN1" s="78" t="inlineStr">
        <is>
          <t>Bud_Drill_m_Month</t>
        </is>
      </c>
      <c r="JO1" s="78" t="inlineStr">
        <is>
          <t>Bud_Drill_m_MTD</t>
        </is>
      </c>
      <c r="JP1" s="78" t="inlineStr">
        <is>
          <t>Bud_Drill_m_YTD</t>
        </is>
      </c>
      <c r="JQ1" s="78" t="inlineStr">
        <is>
          <t>Bud_Diesel_Mining_L_Month</t>
        </is>
      </c>
      <c r="JR1" s="78" t="inlineStr">
        <is>
          <t>Bud_Diesel_Mining_L_MTD</t>
        </is>
      </c>
      <c r="JS1" s="78" t="inlineStr">
        <is>
          <t>Bud_Diesel_Mining_L_YTD</t>
        </is>
      </c>
      <c r="JT1" s="78" t="inlineStr">
        <is>
          <t>Bud_Milled_t_Month</t>
        </is>
      </c>
      <c r="JU1" s="78" t="inlineStr">
        <is>
          <t>Bud_Milled_t_MTD</t>
        </is>
      </c>
      <c r="JV1" s="78" t="inlineStr">
        <is>
          <t>Bud_Milled_t_YTD</t>
        </is>
      </c>
      <c r="JW1" s="78" t="inlineStr">
        <is>
          <t>Bud_Feed_oz_Month</t>
        </is>
      </c>
      <c r="JX1" s="78" t="inlineStr">
        <is>
          <t>Bud_Feed_oz_MTD</t>
        </is>
      </c>
      <c r="JY1" s="78" t="inlineStr">
        <is>
          <t>Bud_Feed_oz_YTD</t>
        </is>
      </c>
      <c r="JZ1" s="78" t="inlineStr">
        <is>
          <t>Bud_Recovered_oz_Month</t>
        </is>
      </c>
      <c r="KA1" s="78" t="inlineStr">
        <is>
          <t>Bud_Recovered_oz_MTD</t>
        </is>
      </c>
      <c r="KB1" s="78" t="inlineStr">
        <is>
          <t>Bud_Recovered_oz_YTD</t>
        </is>
      </c>
      <c r="KC1" s="78" t="inlineStr">
        <is>
          <t>Bud_Milled_Graded_t_Month</t>
        </is>
      </c>
      <c r="KD1" s="78" t="inlineStr">
        <is>
          <t>Bud_Milled_Graded_t_MTD</t>
        </is>
      </c>
      <c r="KE1" s="78" t="inlineStr">
        <is>
          <t>Bud_Milled_Graded_t_YTD</t>
        </is>
      </c>
      <c r="KF1" s="78" t="inlineStr">
        <is>
          <t>Bud_Feed_Recon_oz_Month</t>
        </is>
      </c>
      <c r="KG1" s="78" t="inlineStr">
        <is>
          <t>Bud_Feed_Recon_oz_MTD</t>
        </is>
      </c>
      <c r="KH1" s="78" t="inlineStr">
        <is>
          <t>Bud_Feed_Recon_oz_YTD</t>
        </is>
      </c>
      <c r="KI1" s="78" t="inlineStr">
        <is>
          <t>Bud_Head_Grade_gpt_Month</t>
        </is>
      </c>
      <c r="KJ1" s="78" t="inlineStr">
        <is>
          <t>Bud_Head_Grade_gpt_MTD</t>
        </is>
      </c>
      <c r="KK1" s="78" t="inlineStr">
        <is>
          <t>Bud_Head_Grade_gpt_YTD</t>
        </is>
      </c>
      <c r="KL1" s="78" t="inlineStr">
        <is>
          <t>Bud_Recovery_pct_Month</t>
        </is>
      </c>
      <c r="KM1" s="78" t="inlineStr">
        <is>
          <t>Bud_Recovery_pct_MTD</t>
        </is>
      </c>
      <c r="KN1" s="78" t="inlineStr">
        <is>
          <t>Bud_Recovery_pct_YTD</t>
        </is>
      </c>
      <c r="KO1" s="78" t="inlineStr">
        <is>
          <t>Bud_Gold_Poured_oz_Month</t>
        </is>
      </c>
      <c r="KP1" s="78" t="inlineStr">
        <is>
          <t>Bud_Gold_Poured_oz_MTD</t>
        </is>
      </c>
      <c r="KQ1" s="78" t="inlineStr">
        <is>
          <t>Bud_Gold_Poured_oz_YTD</t>
        </is>
      </c>
      <c r="KR1" s="78" t="inlineStr">
        <is>
          <t>Bud_Hours_Worked_Month</t>
        </is>
      </c>
      <c r="KS1" s="78" t="inlineStr">
        <is>
          <t>Bud_Hours_Worked_MTD</t>
        </is>
      </c>
      <c r="KT1" s="78" t="inlineStr">
        <is>
          <t>Bud_Hours_Worked_YTD</t>
        </is>
      </c>
    </row>
    <row r="2">
      <c r="A2" s="54" t="n">
        <v>46023</v>
      </c>
      <c r="B2">
        <f>MONTH($A2)</f>
        <v/>
      </c>
      <c r="C2">
        <f>DAY($A2)</f>
        <v/>
      </c>
      <c r="D2">
        <f>DAY(EOMONTH($A2,0))</f>
        <v/>
      </c>
      <c r="E2" s="54">
        <f>DATE(YEAR($A2),MONTH($A2),1)</f>
        <v/>
      </c>
      <c r="F2" s="55">
        <f>SUMIFS(tblMovement[Tonnes_t],tblMovement[Date],$A2,tblMovement[Is_Ore],1,tblMovement[Source_Type],"Pit")</f>
        <v/>
      </c>
      <c r="G2" s="55">
        <f>$F2</f>
        <v/>
      </c>
      <c r="H2" s="55">
        <f>$F2</f>
        <v/>
      </c>
      <c r="I2" s="55">
        <f>SUMIFS(tblMovement[Ore_oz],tblMovement[Date],$A2,tblMovement[Source_Type],"Pit")</f>
        <v/>
      </c>
      <c r="J2" s="55">
        <f>$I2</f>
        <v/>
      </c>
      <c r="K2" s="55">
        <f>$I2</f>
        <v/>
      </c>
      <c r="L2" s="55">
        <f>SUMIFS(tblMovement[Tonnes_t],tblMovement[Date],$A2,tblMovement[Is_Ore],1,tblMovement[Source_Type],"Pit",tblMovement[Grade_gpt],"&lt;&gt;")</f>
        <v/>
      </c>
      <c r="M2" s="55">
        <f>$L2</f>
        <v/>
      </c>
      <c r="N2" s="55">
        <f>$L2</f>
        <v/>
      </c>
      <c r="O2" s="56">
        <f>IFERROR(IF(($L2)&gt;0,($I2*cfg_TroyOz)/($L2),""),"")</f>
        <v/>
      </c>
      <c r="P2" s="56">
        <f>IFERROR(IF(($M2)&gt;0,($J2*cfg_TroyOz)/($M2),""),"")</f>
        <v/>
      </c>
      <c r="Q2" s="56">
        <f>IFERROR(IF(($N2)&gt;0,($K2*cfg_TroyOz)/($N2),""),"")</f>
        <v/>
      </c>
      <c r="R2" s="55">
        <f>$F2-$L2</f>
        <v/>
      </c>
      <c r="S2" s="55">
        <f>$R2</f>
        <v/>
      </c>
      <c r="T2" s="55">
        <f>$R2</f>
        <v/>
      </c>
      <c r="U2" s="55">
        <f>SUMIFS(tblMovement[Tonnes_t],tblMovement[Date],$A2,tblMovement[Is_Ore],0,tblMovement[Source_Type],"Pit")</f>
        <v/>
      </c>
      <c r="V2" s="55">
        <f>$U2</f>
        <v/>
      </c>
      <c r="W2" s="55">
        <f>$U2</f>
        <v/>
      </c>
      <c r="X2" s="55">
        <f>$F2+$U2</f>
        <v/>
      </c>
      <c r="Y2" s="55">
        <f>$X2</f>
        <v/>
      </c>
      <c r="Z2" s="55">
        <f>$X2</f>
        <v/>
      </c>
      <c r="AA2" s="56">
        <f>IFERROR(IF(($F2)&gt;0,($U2)/($F2),""),"")</f>
        <v/>
      </c>
      <c r="AB2" s="56">
        <f>IFERROR(IF(($G2)&gt;0,($V2)/($G2),""),"")</f>
        <v/>
      </c>
      <c r="AC2" s="56">
        <f>IFERROR(IF(($H2)&gt;0,($W2)/($H2),""),"")</f>
        <v/>
      </c>
      <c r="AD2" s="55">
        <f>SUMIFS(tblMovement[Tonnes_t],tblMovement[Date],$A2,tblMovement[Source_Type],"Stockpile")</f>
        <v/>
      </c>
      <c r="AE2" s="55">
        <f>$AD2</f>
        <v/>
      </c>
      <c r="AF2" s="55">
        <f>$AD2</f>
        <v/>
      </c>
      <c r="AG2" s="55">
        <f>SUMIFS(tblMovement[Tonnes_t],tblMovement[Date],$A2)</f>
        <v/>
      </c>
      <c r="AH2" s="55">
        <f>$AG2</f>
        <v/>
      </c>
      <c r="AI2" s="55">
        <f>$AG2</f>
        <v/>
      </c>
      <c r="AJ2" s="55">
        <f>$AG2-$X2-$AD2</f>
        <v/>
      </c>
      <c r="AK2" s="55">
        <f>$AJ2</f>
        <v/>
      </c>
      <c r="AL2" s="55">
        <f>$AJ2</f>
        <v/>
      </c>
      <c r="AM2" s="55">
        <f>SUMIFS(tblMiningDaily[Drill_m],tblMiningDaily[Date],$A2)</f>
        <v/>
      </c>
      <c r="AN2" s="55">
        <f>$AM2</f>
        <v/>
      </c>
      <c r="AO2" s="55">
        <f>$AM2</f>
        <v/>
      </c>
      <c r="AP2" s="55">
        <f>SUMIFS(tblMiningDaily[GC_Drill_m],tblMiningDaily[Date],$A2)</f>
        <v/>
      </c>
      <c r="AQ2" s="55">
        <f>$AP2</f>
        <v/>
      </c>
      <c r="AR2" s="55">
        <f>$AP2</f>
        <v/>
      </c>
      <c r="AS2" s="55">
        <f>SUMIFS(tblMiningDaily[Blast_t],tblMiningDaily[Date],$A2)</f>
        <v/>
      </c>
      <c r="AT2" s="55">
        <f>$AS2</f>
        <v/>
      </c>
      <c r="AU2" s="55">
        <f>$AS2</f>
        <v/>
      </c>
      <c r="AV2" s="55">
        <f>SUMIFS(tblMiningDaily[Explosives_kg],tblMiningDaily[Date],$A2)</f>
        <v/>
      </c>
      <c r="AW2" s="55">
        <f>$AV2</f>
        <v/>
      </c>
      <c r="AX2" s="55">
        <f>$AV2</f>
        <v/>
      </c>
      <c r="AY2" s="56">
        <f>IFERROR(IF(($AS2)&gt;0,($AV2)/($AS2),""),"")</f>
        <v/>
      </c>
      <c r="AZ2" s="56">
        <f>IFERROR(IF(($AT2)&gt;0,($AW2)/($AT2),""),"")</f>
        <v/>
      </c>
      <c r="BA2" s="56">
        <f>IFERROR(IF(($AU2)&gt;0,($AX2)/($AU2),""),"")</f>
        <v/>
      </c>
      <c r="BB2" s="55">
        <f>SUMIFS(tblMiningDaily[Diesel_L],tblMiningDaily[Date],$A2)</f>
        <v/>
      </c>
      <c r="BC2" s="55">
        <f>$BB2</f>
        <v/>
      </c>
      <c r="BD2" s="55">
        <f>$BB2</f>
        <v/>
      </c>
      <c r="BE2" s="55">
        <f>SUMIFS(tblMiningDaily[Dewatering_m3],tblMiningDaily[Date],$A2)</f>
        <v/>
      </c>
      <c r="BF2" s="55">
        <f>$BE2</f>
        <v/>
      </c>
      <c r="BG2" s="55">
        <f>$BE2</f>
        <v/>
      </c>
      <c r="BH2" s="57">
        <f>SUMIFS(tblFleet[Calendar_h],tblFleet[Date],$A2,tblFleet[Equipment_Class],"Excavator")</f>
        <v/>
      </c>
      <c r="BI2" s="57">
        <f>$BH2</f>
        <v/>
      </c>
      <c r="BJ2" s="57">
        <f>$BH2</f>
        <v/>
      </c>
      <c r="BK2" s="57">
        <f>SUMIFS(tblFleet[Available_h],tblFleet[Date],$A2,tblFleet[Equipment_Class],"Excavator")</f>
        <v/>
      </c>
      <c r="BL2" s="57">
        <f>$BK2</f>
        <v/>
      </c>
      <c r="BM2" s="57">
        <f>$BK2</f>
        <v/>
      </c>
      <c r="BN2" s="57">
        <f>SUMIFS(tblFleet[Operating_h],tblFleet[Date],$A2,tblFleet[Equipment_Class],"Excavator")</f>
        <v/>
      </c>
      <c r="BO2" s="57">
        <f>$BN2</f>
        <v/>
      </c>
      <c r="BP2" s="57">
        <f>$BN2</f>
        <v/>
      </c>
      <c r="BQ2" s="67">
        <f>IFERROR(IF(($BH2)&gt;0,($BK2)/($BH2),""),"")</f>
        <v/>
      </c>
      <c r="BR2" s="67">
        <f>IFERROR(IF(($BI2)&gt;0,($BL2)/($BI2),""),"")</f>
        <v/>
      </c>
      <c r="BS2" s="67">
        <f>IFERROR(IF(($BJ2)&gt;0,($BM2)/($BJ2),""),"")</f>
        <v/>
      </c>
      <c r="BT2" s="67">
        <f>IFERROR(IF(($BK2)&gt;0,($BN2)/($BK2),""),"")</f>
        <v/>
      </c>
      <c r="BU2" s="67">
        <f>IFERROR(IF(($BL2)&gt;0,($BO2)/($BL2),""),"")</f>
        <v/>
      </c>
      <c r="BV2" s="67">
        <f>IFERROR(IF(($BM2)&gt;0,($BP2)/($BM2),""),"")</f>
        <v/>
      </c>
      <c r="BW2" s="57">
        <f>SUMIFS(tblFleet[Calendar_h],tblFleet[Date],$A2,tblFleet[Equipment_Class],"Haul Truck")</f>
        <v/>
      </c>
      <c r="BX2" s="57">
        <f>$BW2</f>
        <v/>
      </c>
      <c r="BY2" s="57">
        <f>$BW2</f>
        <v/>
      </c>
      <c r="BZ2" s="57">
        <f>SUMIFS(tblFleet[Available_h],tblFleet[Date],$A2,tblFleet[Equipment_Class],"Haul Truck")</f>
        <v/>
      </c>
      <c r="CA2" s="57">
        <f>$BZ2</f>
        <v/>
      </c>
      <c r="CB2" s="57">
        <f>$BZ2</f>
        <v/>
      </c>
      <c r="CC2" s="57">
        <f>SUMIFS(tblFleet[Operating_h],tblFleet[Date],$A2,tblFleet[Equipment_Class],"Haul Truck")</f>
        <v/>
      </c>
      <c r="CD2" s="57">
        <f>$CC2</f>
        <v/>
      </c>
      <c r="CE2" s="57">
        <f>$CC2</f>
        <v/>
      </c>
      <c r="CF2" s="67">
        <f>IFERROR(IF(($BW2)&gt;0,($BZ2)/($BW2),""),"")</f>
        <v/>
      </c>
      <c r="CG2" s="67">
        <f>IFERROR(IF(($BX2)&gt;0,($CA2)/($BX2),""),"")</f>
        <v/>
      </c>
      <c r="CH2" s="67">
        <f>IFERROR(IF(($BY2)&gt;0,($CB2)/($BY2),""),"")</f>
        <v/>
      </c>
      <c r="CI2" s="67">
        <f>IFERROR(IF(($BZ2)&gt;0,($CC2)/($BZ2),""),"")</f>
        <v/>
      </c>
      <c r="CJ2" s="67">
        <f>IFERROR(IF(($CA2)&gt;0,($CD2)/($CA2),""),"")</f>
        <v/>
      </c>
      <c r="CK2" s="67">
        <f>IFERROR(IF(($CB2)&gt;0,($CE2)/($CB2),""),"")</f>
        <v/>
      </c>
      <c r="CL2" s="55">
        <f>IFERROR(IF(($BN2)&gt;0,($X2+$AD2)/($BN2),""),"")</f>
        <v/>
      </c>
      <c r="CM2" s="55">
        <f>IFERROR(IF(($BO2)&gt;0,($Y2+$AE2)/($BO2),""),"")</f>
        <v/>
      </c>
      <c r="CN2" s="55">
        <f>IFERROR(IF(($BP2)&gt;0,($Z2+$AF2)/($BP2),""),"")</f>
        <v/>
      </c>
      <c r="CO2" s="55">
        <f>IFERROR(IF(($CC2)&gt;0,($X2+$AD2)/($CC2),""),"")</f>
        <v/>
      </c>
      <c r="CP2" s="55">
        <f>IFERROR(IF(($CD2)&gt;0,($Y2+$AE2)/($CD2),""),"")</f>
        <v/>
      </c>
      <c r="CQ2" s="55">
        <f>IFERROR(IF(($CE2)&gt;0,($Z2+$AF2)/($CE2),""),"")</f>
        <v/>
      </c>
      <c r="CR2" s="55">
        <f>SUMIFS(tblPlant[Crushed_t],tblPlant[Date],$A2)</f>
        <v/>
      </c>
      <c r="CS2" s="55">
        <f>$CR2</f>
        <v/>
      </c>
      <c r="CT2" s="55">
        <f>$CR2</f>
        <v/>
      </c>
      <c r="CU2" s="55">
        <f>SUMIFS(tblPlant[Milled_t],tblPlant[Date],$A2)</f>
        <v/>
      </c>
      <c r="CV2" s="55">
        <f>$CU2</f>
        <v/>
      </c>
      <c r="CW2" s="55">
        <f>$CU2</f>
        <v/>
      </c>
      <c r="CX2" s="55">
        <f>SUMIFS(tblPlant[Feed_oz],tblPlant[Date],$A2)</f>
        <v/>
      </c>
      <c r="CY2" s="55">
        <f>$CX2</f>
        <v/>
      </c>
      <c r="CZ2" s="55">
        <f>$CX2</f>
        <v/>
      </c>
      <c r="DA2" s="55">
        <f>SUMIFS(tblPlant[Tails_oz],tblPlant[Date],$A2)</f>
        <v/>
      </c>
      <c r="DB2" s="55">
        <f>$DA2</f>
        <v/>
      </c>
      <c r="DC2" s="55">
        <f>$DA2</f>
        <v/>
      </c>
      <c r="DD2" s="55">
        <f>SUMIFS(tblPlant[Recovered_oz],tblPlant[Date],$A2)</f>
        <v/>
      </c>
      <c r="DE2" s="55">
        <f>$DD2</f>
        <v/>
      </c>
      <c r="DF2" s="55">
        <f>$DD2</f>
        <v/>
      </c>
      <c r="DG2" s="55">
        <f>SUMIFS(tblPlant[Milled_t],tblPlant[Date],$A2,tblPlant[Head_Grade_gpt],"&lt;&gt;")</f>
        <v/>
      </c>
      <c r="DH2" s="55">
        <f>$DG2</f>
        <v/>
      </c>
      <c r="DI2" s="55">
        <f>$DG2</f>
        <v/>
      </c>
      <c r="DJ2" s="55">
        <f>SUMIFS(tblPlant[Milled_t],tblPlant[Date],$A2,tblPlant[Tails_Grade_gpt],"&lt;&gt;")</f>
        <v/>
      </c>
      <c r="DK2" s="55">
        <f>$DJ2</f>
        <v/>
      </c>
      <c r="DL2" s="55">
        <f>$DJ2</f>
        <v/>
      </c>
      <c r="DM2" s="55">
        <f>SUMIFS(tblPlant[Feed_oz],tblPlant[Date],$A2,tblPlant[Tails_Grade_gpt],"&lt;&gt;")</f>
        <v/>
      </c>
      <c r="DN2" s="55">
        <f>$DM2</f>
        <v/>
      </c>
      <c r="DO2" s="55">
        <f>$DM2</f>
        <v/>
      </c>
      <c r="DP2" s="55">
        <f>SUMIFS(tblPlant[Milled_t],tblPlant[Date],$A2,tblPlant[Mill_Run_h],"&lt;&gt;")</f>
        <v/>
      </c>
      <c r="DQ2" s="55">
        <f>$DP2</f>
        <v/>
      </c>
      <c r="DR2" s="55">
        <f>$DP2</f>
        <v/>
      </c>
      <c r="DS2" s="56">
        <f>IFERROR(IF(($DG2)&gt;0,($CX2*cfg_TroyOz)/($DG2),""),"")</f>
        <v/>
      </c>
      <c r="DT2" s="56">
        <f>IFERROR(IF(($DH2)&gt;0,($CY2*cfg_TroyOz)/($DH2),""),"")</f>
        <v/>
      </c>
      <c r="DU2" s="56">
        <f>IFERROR(IF(($DI2)&gt;0,($CZ2*cfg_TroyOz)/($DI2),""),"")</f>
        <v/>
      </c>
      <c r="DV2" s="56">
        <f>IFERROR(IF(($DJ2)&gt;0,($DA2*cfg_TroyOz)/($DJ2),""),"")</f>
        <v/>
      </c>
      <c r="DW2" s="56">
        <f>IFERROR(IF(($DK2)&gt;0,($DB2*cfg_TroyOz)/($DK2),""),"")</f>
        <v/>
      </c>
      <c r="DX2" s="56">
        <f>IFERROR(IF(($DL2)&gt;0,($DC2*cfg_TroyOz)/($DL2),""),"")</f>
        <v/>
      </c>
      <c r="DY2" s="67">
        <f>IFERROR(IF(($DM2)&gt;0,($DD2)/($DM2),""),"")</f>
        <v/>
      </c>
      <c r="DZ2" s="67">
        <f>IFERROR(IF(($DN2)&gt;0,($DE2)/($DN2),""),"")</f>
        <v/>
      </c>
      <c r="EA2" s="67">
        <f>IFERROR(IF(($DO2)&gt;0,($DF2)/($DO2),""),"")</f>
        <v/>
      </c>
      <c r="EB2" s="55">
        <f>SUMIFS(tblPlant[Gravity_Gold_oz],tblPlant[Date],$A2)</f>
        <v/>
      </c>
      <c r="EC2" s="55">
        <f>$EB2</f>
        <v/>
      </c>
      <c r="ED2" s="55">
        <f>$EB2</f>
        <v/>
      </c>
      <c r="EE2" s="67">
        <f>IFERROR(IF(($DD2)&gt;0,($EB2)/($DD2),""),"")</f>
        <v/>
      </c>
      <c r="EF2" s="67">
        <f>IFERROR(IF(($DE2)&gt;0,($EC2)/($DE2),""),"")</f>
        <v/>
      </c>
      <c r="EG2" s="67">
        <f>IFERROR(IF(($DF2)&gt;0,($ED2)/($DF2),""),"")</f>
        <v/>
      </c>
      <c r="EH2" s="55">
        <f>SUMIFS(tblPlant[Gold_Poured_oz],tblPlant[Date],$A2)</f>
        <v/>
      </c>
      <c r="EI2" s="55">
        <f>$EH2</f>
        <v/>
      </c>
      <c r="EJ2" s="55">
        <f>$EH2</f>
        <v/>
      </c>
      <c r="EK2" s="57">
        <f>SUMIFS(tblPlant[Mill_Run_h],tblPlant[Date],$A2)</f>
        <v/>
      </c>
      <c r="EL2" s="57">
        <f>$EK2</f>
        <v/>
      </c>
      <c r="EM2" s="57">
        <f>$EK2</f>
        <v/>
      </c>
      <c r="EN2" s="57">
        <f>SUMIFS(tblPlant[Mill_Planned_Maint_h],tblPlant[Date],$A2)</f>
        <v/>
      </c>
      <c r="EO2" s="57">
        <f>$EN2</f>
        <v/>
      </c>
      <c r="EP2" s="57">
        <f>$EN2</f>
        <v/>
      </c>
      <c r="EQ2" s="57">
        <f>SUMIFS(tblPlant[Mill_Unplanned_Down_h],tblPlant[Date],$A2)</f>
        <v/>
      </c>
      <c r="ER2" s="57">
        <f>$EQ2</f>
        <v/>
      </c>
      <c r="ES2" s="57">
        <f>$EQ2</f>
        <v/>
      </c>
      <c r="ET2" s="57">
        <f>IF(COUNTIFS(tblPlant[Date],$A2,tblPlant[Mill_Run_h],"&lt;&gt;")+COUNTIFS(tblPlant[Date],$A2,tblPlant[Mill_Planned_Maint_h],"&lt;&gt;")+COUNTIFS(tblPlant[Date],$A2,tblPlant[Mill_Unplanned_Down_h],"&lt;&gt;")&gt;0,cfg_HoursPerDay,0)</f>
        <v/>
      </c>
      <c r="EU2" s="57">
        <f>$ET2</f>
        <v/>
      </c>
      <c r="EV2" s="57">
        <f>$ET2</f>
        <v/>
      </c>
      <c r="EW2" s="57">
        <f>SUMIFS(tblPlant[Crusher_Run_h],tblPlant[Date],$A2)</f>
        <v/>
      </c>
      <c r="EX2" s="57">
        <f>$EW2</f>
        <v/>
      </c>
      <c r="EY2" s="57">
        <f>$EW2</f>
        <v/>
      </c>
      <c r="EZ2" s="55">
        <f>IFERROR(IF(($EK2)&gt;0,($DP2)/($EK2),""),"")</f>
        <v/>
      </c>
      <c r="FA2" s="55">
        <f>IFERROR(IF(($EL2)&gt;0,($DQ2)/($EL2),""),"")</f>
        <v/>
      </c>
      <c r="FB2" s="55">
        <f>IFERROR(IF(($EM2)&gt;0,($DR2)/($EM2),""),"")</f>
        <v/>
      </c>
      <c r="FC2" s="67">
        <f>IFERROR(IF(($ET2)&gt;0,($ET2-$EN2-$EQ2)/($ET2),""),"")</f>
        <v/>
      </c>
      <c r="FD2" s="67">
        <f>IFERROR(IF(($EU2)&gt;0,($EU2-$EO2-$ER2)/($EU2),""),"")</f>
        <v/>
      </c>
      <c r="FE2" s="67">
        <f>IFERROR(IF(($EV2)&gt;0,($EV2-$EP2-$ES2)/($EV2),""),"")</f>
        <v/>
      </c>
      <c r="FF2" s="67">
        <f>IFERROR(IF(($ET2-$EN2-$EQ2)&gt;0,($EK2)/($ET2-$EN2-$EQ2),""),"")</f>
        <v/>
      </c>
      <c r="FG2" s="67">
        <f>IFERROR(IF(($EU2-$EO2-$ER2)&gt;0,($EL2)/($EU2-$EO2-$ER2),""),"")</f>
        <v/>
      </c>
      <c r="FH2" s="67">
        <f>IFERROR(IF(($EV2-$EP2-$ES2)&gt;0,($EM2)/($EV2-$EP2-$ES2),""),"")</f>
        <v/>
      </c>
      <c r="FI2" s="55">
        <f>SUMIFS(tblPlant[Cyanide_kg],tblPlant[Date],$A2)</f>
        <v/>
      </c>
      <c r="FJ2" s="55">
        <f>$FI2</f>
        <v/>
      </c>
      <c r="FK2" s="55">
        <f>$FI2</f>
        <v/>
      </c>
      <c r="FL2" s="55">
        <f>SUMIFS(tblPlant[Lime_kg],tblPlant[Date],$A2)</f>
        <v/>
      </c>
      <c r="FM2" s="55">
        <f>$FL2</f>
        <v/>
      </c>
      <c r="FN2" s="55">
        <f>$FL2</f>
        <v/>
      </c>
      <c r="FO2" s="55">
        <f>SUMIFS(tblPlant[Grinding_Media_kg],tblPlant[Date],$A2)</f>
        <v/>
      </c>
      <c r="FP2" s="55">
        <f>$FO2</f>
        <v/>
      </c>
      <c r="FQ2" s="55">
        <f>$FO2</f>
        <v/>
      </c>
      <c r="FR2" s="55">
        <f>SUMIFS(tblPlant[Power_kWh],tblPlant[Date],$A2)</f>
        <v/>
      </c>
      <c r="FS2" s="55">
        <f>$FR2</f>
        <v/>
      </c>
      <c r="FT2" s="55">
        <f>$FR2</f>
        <v/>
      </c>
      <c r="FU2" s="55">
        <f>SUMIFS(tblPlant[Raw_Water_m3],tblPlant[Date],$A2)</f>
        <v/>
      </c>
      <c r="FV2" s="55">
        <f>$FU2</f>
        <v/>
      </c>
      <c r="FW2" s="55">
        <f>$FU2</f>
        <v/>
      </c>
      <c r="FX2" s="56">
        <f>IFERROR(IF(($CU2)&gt;0,($FI2)/($CU2),""),"")</f>
        <v/>
      </c>
      <c r="FY2" s="56">
        <f>IFERROR(IF(($CV2)&gt;0,($FJ2)/($CV2),""),"")</f>
        <v/>
      </c>
      <c r="FZ2" s="56">
        <f>IFERROR(IF(($CW2)&gt;0,($FK2)/($CW2),""),"")</f>
        <v/>
      </c>
      <c r="GA2" s="56">
        <f>IFERROR(IF(($CU2)&gt;0,($FL2)/($CU2),""),"")</f>
        <v/>
      </c>
      <c r="GB2" s="56">
        <f>IFERROR(IF(($CV2)&gt;0,($FM2)/($CV2),""),"")</f>
        <v/>
      </c>
      <c r="GC2" s="56">
        <f>IFERROR(IF(($CW2)&gt;0,($FN2)/($CW2),""),"")</f>
        <v/>
      </c>
      <c r="GD2" s="56">
        <f>IFERROR(IF(($CU2)&gt;0,($FO2)/($CU2),""),"")</f>
        <v/>
      </c>
      <c r="GE2" s="56">
        <f>IFERROR(IF(($CV2)&gt;0,($FP2)/($CV2),""),"")</f>
        <v/>
      </c>
      <c r="GF2" s="56">
        <f>IFERROR(IF(($CW2)&gt;0,($FQ2)/($CW2),""),"")</f>
        <v/>
      </c>
      <c r="GG2" s="79">
        <f>IFERROR(IF(($CU2)&gt;0,($FR2)/($CU2),""),"")</f>
        <v/>
      </c>
      <c r="GH2" s="79">
        <f>IFERROR(IF(($CV2)&gt;0,($FS2)/($CV2),""),"")</f>
        <v/>
      </c>
      <c r="GI2" s="79">
        <f>IFERROR(IF(($CW2)&gt;0,($FT2)/($CW2),""),"")</f>
        <v/>
      </c>
      <c r="GJ2" s="56">
        <f>IFERROR(IF(($CU2)&gt;0,($FU2)/($CU2),""),"")</f>
        <v/>
      </c>
      <c r="GK2" s="56">
        <f>IFERROR(IF(($CV2)&gt;0,($FV2)/($CV2),""),"")</f>
        <v/>
      </c>
      <c r="GL2" s="56">
        <f>IFERROR(IF(($CW2)&gt;0,($FW2)/($CW2),""),"")</f>
        <v/>
      </c>
      <c r="GM2" s="55">
        <f>IF(SUMIFS(tblPlant[GIC_oz],tblPlant[Date],$A2)&gt;0,SUMIFS(tblPlant[GIC_oz],tblPlant[Date],$A2),"")</f>
        <v/>
      </c>
      <c r="GN2" s="55">
        <f>SUMIFS(tblGold[Gold_oz],tblGold[Date],$A2,tblGold[Type],"Shipment")</f>
        <v/>
      </c>
      <c r="GO2" s="55">
        <f>$GN2</f>
        <v/>
      </c>
      <c r="GP2" s="55">
        <f>$GN2</f>
        <v/>
      </c>
      <c r="GQ2" s="55">
        <f>SUMIFS(tblGold[Gold_oz],tblGold[Date],$A2,tblGold[Type],"Sale")</f>
        <v/>
      </c>
      <c r="GR2" s="55">
        <f>$GQ2</f>
        <v/>
      </c>
      <c r="GS2" s="55">
        <f>$GQ2</f>
        <v/>
      </c>
      <c r="GT2" s="55">
        <f>SUMIFS(tblGold[Dore_kg],tblGold[Date],$A2,tblGold[Type],"Shipment")</f>
        <v/>
      </c>
      <c r="GU2" s="55">
        <f>$GT2</f>
        <v/>
      </c>
      <c r="GV2" s="55">
        <f>$GT2</f>
        <v/>
      </c>
      <c r="GW2" s="57">
        <f>SUMIFS(tblSafety[Hours_Total],tblSafety[Date],$A2)</f>
        <v/>
      </c>
      <c r="GX2" s="57">
        <f>$GW2</f>
        <v/>
      </c>
      <c r="GY2" s="57">
        <f>$GW2</f>
        <v/>
      </c>
      <c r="GZ2" s="62">
        <f>SUMIFS(tblSafety[Fatality],tblSafety[Date],$A2)</f>
        <v/>
      </c>
      <c r="HA2" s="62">
        <f>$GZ2</f>
        <v/>
      </c>
      <c r="HB2" s="62">
        <f>$GZ2</f>
        <v/>
      </c>
      <c r="HC2" s="62">
        <f>SUMIFS(tblSafety[LTI],tblSafety[Date],$A2)</f>
        <v/>
      </c>
      <c r="HD2" s="62">
        <f>$HC2</f>
        <v/>
      </c>
      <c r="HE2" s="62">
        <f>$HC2</f>
        <v/>
      </c>
      <c r="HF2" s="62">
        <f>SUMIFS(tblSafety[RWI],tblSafety[Date],$A2)</f>
        <v/>
      </c>
      <c r="HG2" s="62">
        <f>$HF2</f>
        <v/>
      </c>
      <c r="HH2" s="62">
        <f>$HF2</f>
        <v/>
      </c>
      <c r="HI2" s="62">
        <f>SUMIFS(tblSafety[MTI],tblSafety[Date],$A2)</f>
        <v/>
      </c>
      <c r="HJ2" s="62">
        <f>$HI2</f>
        <v/>
      </c>
      <c r="HK2" s="62">
        <f>$HI2</f>
        <v/>
      </c>
      <c r="HL2" s="62">
        <f>SUMIFS(tblSafety[FAI],tblSafety[Date],$A2)</f>
        <v/>
      </c>
      <c r="HM2" s="62">
        <f>$HL2</f>
        <v/>
      </c>
      <c r="HN2" s="62">
        <f>$HL2</f>
        <v/>
      </c>
      <c r="HO2" s="62">
        <f>SUMIFS(tblSafety[Recordables],tblSafety[Date],$A2)</f>
        <v/>
      </c>
      <c r="HP2" s="62">
        <f>$HO2</f>
        <v/>
      </c>
      <c r="HQ2" s="62">
        <f>$HO2</f>
        <v/>
      </c>
      <c r="HR2" s="62">
        <f>SUMIFS(tblSafety[Near_Miss],tblSafety[Date],$A2)</f>
        <v/>
      </c>
      <c r="HS2" s="62">
        <f>$HR2</f>
        <v/>
      </c>
      <c r="HT2" s="62">
        <f>$HR2</f>
        <v/>
      </c>
      <c r="HU2" s="62">
        <f>SUMIFS(tblSafety[Hazard_Reports],tblSafety[Date],$A2)</f>
        <v/>
      </c>
      <c r="HV2" s="62">
        <f>$HU2</f>
        <v/>
      </c>
      <c r="HW2" s="62">
        <f>$HU2</f>
        <v/>
      </c>
      <c r="HX2" s="62">
        <f>SUMIFS(tblSafety[HPI],tblSafety[Date],$A2)</f>
        <v/>
      </c>
      <c r="HY2" s="62">
        <f>$HX2</f>
        <v/>
      </c>
      <c r="HZ2" s="62">
        <f>$HX2</f>
        <v/>
      </c>
      <c r="IA2" s="62">
        <f>SUMIFS(tblSafety[Env_Incidents],tblSafety[Date],$A2)</f>
        <v/>
      </c>
      <c r="IB2" s="62">
        <f>$IA2</f>
        <v/>
      </c>
      <c r="IC2" s="62">
        <f>$IA2</f>
        <v/>
      </c>
      <c r="ID2" s="62">
        <f>SUMIFS(tblSafety[Community_Incidents],tblSafety[Date],$A2)</f>
        <v/>
      </c>
      <c r="IE2" s="62">
        <f>$ID2</f>
        <v/>
      </c>
      <c r="IF2" s="62">
        <f>$ID2</f>
        <v/>
      </c>
      <c r="IG2" s="62">
        <f>SUMIFS(tblSafety[Vehicle_Incidents],tblSafety[Date],$A2)</f>
        <v/>
      </c>
      <c r="IH2" s="62">
        <f>$IG2</f>
        <v/>
      </c>
      <c r="II2" s="62">
        <f>$IG2</f>
        <v/>
      </c>
      <c r="IJ2" s="62">
        <f>SUMIFS(tblSafety[Toolbox_Talks],tblSafety[Date],$A2)</f>
        <v/>
      </c>
      <c r="IK2" s="62">
        <f>$IJ2</f>
        <v/>
      </c>
      <c r="IL2" s="62">
        <f>$IJ2</f>
        <v/>
      </c>
      <c r="IM2" s="62">
        <f>SUMIFS(tblSafety[Inspections],tblSafety[Date],$A2)</f>
        <v/>
      </c>
      <c r="IN2" s="62">
        <f>$IM2</f>
        <v/>
      </c>
      <c r="IO2" s="62">
        <f>$IM2</f>
        <v/>
      </c>
      <c r="IP2" s="56">
        <f>IFERROR((SUMIFS(tblSafety[Recordables],tblSafety[Date],"&gt;="&amp;EDATE($E2,-12),tblSafety[Date],"&lt;="&amp;$A2)+SUMIFS(tblSafetyHistory[Recordables],tblSafetyHistory[Month],"&gt;="&amp;EDATE($E2,-12),tblSafetyHistory[Month],"&lt;"&amp;$E2,tblSafetyHistory[Use],1))/(SUMIFS(tblSafety[Hours_Total],tblSafety[Date],"&gt;="&amp;EDATE($E2,-12),tblSafety[Date],"&lt;="&amp;$A2)+SUMIFS(tblSafetyHistory[Hours_Total],tblSafetyHistory[Month],"&gt;="&amp;EDATE($E2,-12),tblSafetyHistory[Month],"&lt;"&amp;$E2,tblSafetyHistory[Use],1))*cfg_RateBasisHours,"")</f>
        <v/>
      </c>
      <c r="IQ2" s="56">
        <f>IFERROR((SUMIFS(tblSafety[LTI],tblSafety[Date],"&gt;="&amp;EDATE($E2,-12),tblSafety[Date],"&lt;="&amp;$A2)+SUMIFS(tblSafetyHistory[LTI],tblSafetyHistory[Month],"&gt;="&amp;EDATE($E2,-12),tblSafetyHistory[Month],"&lt;"&amp;$E2,tblSafetyHistory[Use],1))/(SUMIFS(tblSafety[Hours_Total],tblSafety[Date],"&gt;="&amp;EDATE($E2,-12),tblSafety[Date],"&lt;="&amp;$A2)+SUMIFS(tblSafetyHistory[Hours_Total],tblSafetyHistory[Month],"&gt;="&amp;EDATE($E2,-12),tblSafetyHistory[Month],"&lt;"&amp;$E2,tblSafetyHistory[Use],1))*cfg_RateBasisHours,"")</f>
        <v/>
      </c>
      <c r="IR2" s="62">
        <f>IF(MAX(N(cfg_PriorLTIDate),_xlfn.MAXIFS(tblSafety[Date],tblSafety[LTI],"&gt;0",tblSafety[Date],"&lt;="&amp;$A2))=0,"",$A2-MAX(N(cfg_PriorLTIDate),_xlfn.MAXIFS(tblSafety[Date],tblSafety[LTI],"&gt;0",tblSafety[Date],"&lt;="&amp;$A2)))</f>
        <v/>
      </c>
      <c r="IS2" s="55">
        <f>SUMIFS(tblBudget[Ore_Mined_t],tblBudget[Month],$E2)</f>
        <v/>
      </c>
      <c r="IT2" s="55">
        <f>$IS2*$C2/$D2</f>
        <v/>
      </c>
      <c r="IU2" s="55">
        <f>SUMIFS(tblBudget[Ore_Mined_t],tblBudget[Month],"&lt;"&amp;$E2)+$IT2</f>
        <v/>
      </c>
      <c r="IV2" s="55">
        <f>SUMIFS(tblBudget[Ore_oz],tblBudget[Month],$E2)</f>
        <v/>
      </c>
      <c r="IW2" s="55">
        <f>$IV2*$C2/$D2</f>
        <v/>
      </c>
      <c r="IX2" s="55">
        <f>SUMIFS(tblBudget[Ore_oz],tblBudget[Month],"&lt;"&amp;$E2)+$IW2</f>
        <v/>
      </c>
      <c r="IY2" s="55">
        <f>SUMIFS(tblBudget[Ore_Mined_t],tblBudget[Month],$E2)</f>
        <v/>
      </c>
      <c r="IZ2" s="55">
        <f>$IY2*$C2/$D2</f>
        <v/>
      </c>
      <c r="JA2" s="55">
        <f>SUMIFS(tblBudget[Ore_Mined_t],tblBudget[Month],"&lt;"&amp;$E2)+$IZ2</f>
        <v/>
      </c>
      <c r="JB2" s="56">
        <f>IFERROR(IF(($IY2)&gt;0,($IV2*cfg_TroyOz)/($IY2),""),"")</f>
        <v/>
      </c>
      <c r="JC2" s="56">
        <f>IFERROR(IF(($IZ2)&gt;0,($IW2*cfg_TroyOz)/($IZ2),""),"")</f>
        <v/>
      </c>
      <c r="JD2" s="56">
        <f>IFERROR(IF(($JA2)&gt;0,($IX2*cfg_TroyOz)/($JA2),""),"")</f>
        <v/>
      </c>
      <c r="JE2" s="55">
        <f>SUMIFS(tblBudget[Waste_t],tblBudget[Month],$E2)</f>
        <v/>
      </c>
      <c r="JF2" s="55">
        <f>$JE2*$C2/$D2</f>
        <v/>
      </c>
      <c r="JG2" s="55">
        <f>SUMIFS(tblBudget[Waste_t],tblBudget[Month],"&lt;"&amp;$E2)+$JF2</f>
        <v/>
      </c>
      <c r="JH2" s="55">
        <f>SUMIFS(tblBudget[TMM_t],tblBudget[Month],$E2)</f>
        <v/>
      </c>
      <c r="JI2" s="55">
        <f>$JH2*$C2/$D2</f>
        <v/>
      </c>
      <c r="JJ2" s="55">
        <f>SUMIFS(tblBudget[TMM_t],tblBudget[Month],"&lt;"&amp;$E2)+$JI2</f>
        <v/>
      </c>
      <c r="JK2" s="56">
        <f>IFERROR(IF(($IS2)&gt;0,($JE2)/($IS2),""),"")</f>
        <v/>
      </c>
      <c r="JL2" s="56">
        <f>IFERROR(IF(($IT2)&gt;0,($JF2)/($IT2),""),"")</f>
        <v/>
      </c>
      <c r="JM2" s="56">
        <f>IFERROR(IF(($IU2)&gt;0,($JG2)/($IU2),""),"")</f>
        <v/>
      </c>
      <c r="JN2" s="55">
        <f>SUMIFS(tblBudget[Drill_m],tblBudget[Month],$E2)</f>
        <v/>
      </c>
      <c r="JO2" s="55">
        <f>$JN2*$C2/$D2</f>
        <v/>
      </c>
      <c r="JP2" s="55">
        <f>SUMIFS(tblBudget[Drill_m],tblBudget[Month],"&lt;"&amp;$E2)+$JO2</f>
        <v/>
      </c>
      <c r="JQ2" s="55">
        <f>SUMIFS(tblBudget[Diesel_L],tblBudget[Month],$E2)</f>
        <v/>
      </c>
      <c r="JR2" s="55">
        <f>$JQ2*$C2/$D2</f>
        <v/>
      </c>
      <c r="JS2" s="55">
        <f>SUMIFS(tblBudget[Diesel_L],tblBudget[Month],"&lt;"&amp;$E2)+$JR2</f>
        <v/>
      </c>
      <c r="JT2" s="55">
        <f>SUMIFS(tblBudget[Milled_t],tblBudget[Month],$E2)</f>
        <v/>
      </c>
      <c r="JU2" s="55">
        <f>$JT2*$C2/$D2</f>
        <v/>
      </c>
      <c r="JV2" s="55">
        <f>SUMIFS(tblBudget[Milled_t],tblBudget[Month],"&lt;"&amp;$E2)+$JU2</f>
        <v/>
      </c>
      <c r="JW2" s="55">
        <f>SUMIFS(tblBudget[Feed_oz],tblBudget[Month],$E2)</f>
        <v/>
      </c>
      <c r="JX2" s="55">
        <f>$JW2*$C2/$D2</f>
        <v/>
      </c>
      <c r="JY2" s="55">
        <f>SUMIFS(tblBudget[Feed_oz],tblBudget[Month],"&lt;"&amp;$E2)+$JX2</f>
        <v/>
      </c>
      <c r="JZ2" s="55">
        <f>SUMIFS(tblBudget[Recovered_oz],tblBudget[Month],$E2)</f>
        <v/>
      </c>
      <c r="KA2" s="55">
        <f>$JZ2*$C2/$D2</f>
        <v/>
      </c>
      <c r="KB2" s="55">
        <f>SUMIFS(tblBudget[Recovered_oz],tblBudget[Month],"&lt;"&amp;$E2)+$KA2</f>
        <v/>
      </c>
      <c r="KC2" s="55">
        <f>SUMIFS(tblBudget[Milled_t],tblBudget[Month],$E2)</f>
        <v/>
      </c>
      <c r="KD2" s="55">
        <f>$KC2*$C2/$D2</f>
        <v/>
      </c>
      <c r="KE2" s="55">
        <f>SUMIFS(tblBudget[Milled_t],tblBudget[Month],"&lt;"&amp;$E2)+$KD2</f>
        <v/>
      </c>
      <c r="KF2" s="55">
        <f>SUMIFS(tblBudget[Feed_oz],tblBudget[Month],$E2)</f>
        <v/>
      </c>
      <c r="KG2" s="55">
        <f>$KF2*$C2/$D2</f>
        <v/>
      </c>
      <c r="KH2" s="55">
        <f>SUMIFS(tblBudget[Feed_oz],tblBudget[Month],"&lt;"&amp;$E2)+$KG2</f>
        <v/>
      </c>
      <c r="KI2" s="56">
        <f>IFERROR(IF(($KC2)&gt;0,($JW2*cfg_TroyOz)/($KC2),""),"")</f>
        <v/>
      </c>
      <c r="KJ2" s="56">
        <f>IFERROR(IF(($KD2)&gt;0,($JX2*cfg_TroyOz)/($KD2),""),"")</f>
        <v/>
      </c>
      <c r="KK2" s="56">
        <f>IFERROR(IF(($KE2)&gt;0,($JY2*cfg_TroyOz)/($KE2),""),"")</f>
        <v/>
      </c>
      <c r="KL2" s="67">
        <f>IFERROR(IF(($KF2)&gt;0,($JZ2)/($KF2),""),"")</f>
        <v/>
      </c>
      <c r="KM2" s="67">
        <f>IFERROR(IF(($KG2)&gt;0,($KA2)/($KG2),""),"")</f>
        <v/>
      </c>
      <c r="KN2" s="67">
        <f>IFERROR(IF(($KH2)&gt;0,($KB2)/($KH2),""),"")</f>
        <v/>
      </c>
      <c r="KO2" s="55">
        <f>SUMIFS(tblBudget[Gold_Poured_oz],tblBudget[Month],$E2)</f>
        <v/>
      </c>
      <c r="KP2" s="55">
        <f>$KO2*$C2/$D2</f>
        <v/>
      </c>
      <c r="KQ2" s="55">
        <f>SUMIFS(tblBudget[Gold_Poured_oz],tblBudget[Month],"&lt;"&amp;$E2)+$KP2</f>
        <v/>
      </c>
      <c r="KR2" s="57">
        <f>SUMIFS(tblBudget[Hours_Worked],tblBudget[Month],$E2)</f>
        <v/>
      </c>
      <c r="KS2" s="57">
        <f>$KR2*$C2/$D2</f>
        <v/>
      </c>
      <c r="KT2" s="57">
        <f>SUMIFS(tblBudget[Hours_Worked],tblBudget[Month],"&lt;"&amp;$E2)+$KS2</f>
        <v/>
      </c>
    </row>
    <row r="3">
      <c r="A3" s="54" t="n">
        <v>46024</v>
      </c>
      <c r="B3">
        <f>MONTH($A3)</f>
        <v/>
      </c>
      <c r="C3">
        <f>DAY($A3)</f>
        <v/>
      </c>
      <c r="D3">
        <f>DAY(EOMONTH($A3,0))</f>
        <v/>
      </c>
      <c r="E3" s="54">
        <f>DATE(YEAR($A3),MONTH($A3),1)</f>
        <v/>
      </c>
      <c r="F3" s="55">
        <f>SUMIFS(tblMovement[Tonnes_t],tblMovement[Date],$A3,tblMovement[Is_Ore],1,tblMovement[Source_Type],"Pit")</f>
        <v/>
      </c>
      <c r="G3" s="55">
        <f>IF($B3=$B2,$G2,0)+$F3</f>
        <v/>
      </c>
      <c r="H3" s="55">
        <f>$H2+$F3</f>
        <v/>
      </c>
      <c r="I3" s="55">
        <f>SUMIFS(tblMovement[Ore_oz],tblMovement[Date],$A3,tblMovement[Source_Type],"Pit")</f>
        <v/>
      </c>
      <c r="J3" s="55">
        <f>IF($B3=$B2,$J2,0)+$I3</f>
        <v/>
      </c>
      <c r="K3" s="55">
        <f>$K2+$I3</f>
        <v/>
      </c>
      <c r="L3" s="55">
        <f>SUMIFS(tblMovement[Tonnes_t],tblMovement[Date],$A3,tblMovement[Is_Ore],1,tblMovement[Source_Type],"Pit",tblMovement[Grade_gpt],"&lt;&gt;")</f>
        <v/>
      </c>
      <c r="M3" s="55">
        <f>IF($B3=$B2,$M2,0)+$L3</f>
        <v/>
      </c>
      <c r="N3" s="55">
        <f>$N2+$L3</f>
        <v/>
      </c>
      <c r="O3" s="56">
        <f>IFERROR(IF(($L3)&gt;0,($I3*cfg_TroyOz)/($L3),""),"")</f>
        <v/>
      </c>
      <c r="P3" s="56">
        <f>IFERROR(IF(($M3)&gt;0,($J3*cfg_TroyOz)/($M3),""),"")</f>
        <v/>
      </c>
      <c r="Q3" s="56">
        <f>IFERROR(IF(($N3)&gt;0,($K3*cfg_TroyOz)/($N3),""),"")</f>
        <v/>
      </c>
      <c r="R3" s="55">
        <f>$F3-$L3</f>
        <v/>
      </c>
      <c r="S3" s="55">
        <f>IF($B3=$B2,$S2,0)+$R3</f>
        <v/>
      </c>
      <c r="T3" s="55">
        <f>$T2+$R3</f>
        <v/>
      </c>
      <c r="U3" s="55">
        <f>SUMIFS(tblMovement[Tonnes_t],tblMovement[Date],$A3,tblMovement[Is_Ore],0,tblMovement[Source_Type],"Pit")</f>
        <v/>
      </c>
      <c r="V3" s="55">
        <f>IF($B3=$B2,$V2,0)+$U3</f>
        <v/>
      </c>
      <c r="W3" s="55">
        <f>$W2+$U3</f>
        <v/>
      </c>
      <c r="X3" s="55">
        <f>$F3+$U3</f>
        <v/>
      </c>
      <c r="Y3" s="55">
        <f>IF($B3=$B2,$Y2,0)+$X3</f>
        <v/>
      </c>
      <c r="Z3" s="55">
        <f>$Z2+$X3</f>
        <v/>
      </c>
      <c r="AA3" s="56">
        <f>IFERROR(IF(($F3)&gt;0,($U3)/($F3),""),"")</f>
        <v/>
      </c>
      <c r="AB3" s="56">
        <f>IFERROR(IF(($G3)&gt;0,($V3)/($G3),""),"")</f>
        <v/>
      </c>
      <c r="AC3" s="56">
        <f>IFERROR(IF(($H3)&gt;0,($W3)/($H3),""),"")</f>
        <v/>
      </c>
      <c r="AD3" s="55">
        <f>SUMIFS(tblMovement[Tonnes_t],tblMovement[Date],$A3,tblMovement[Source_Type],"Stockpile")</f>
        <v/>
      </c>
      <c r="AE3" s="55">
        <f>IF($B3=$B2,$AE2,0)+$AD3</f>
        <v/>
      </c>
      <c r="AF3" s="55">
        <f>$AF2+$AD3</f>
        <v/>
      </c>
      <c r="AG3" s="55">
        <f>SUMIFS(tblMovement[Tonnes_t],tblMovement[Date],$A3)</f>
        <v/>
      </c>
      <c r="AH3" s="55">
        <f>IF($B3=$B2,$AH2,0)+$AG3</f>
        <v/>
      </c>
      <c r="AI3" s="55">
        <f>$AI2+$AG3</f>
        <v/>
      </c>
      <c r="AJ3" s="55">
        <f>$AG3-$X3-$AD3</f>
        <v/>
      </c>
      <c r="AK3" s="55">
        <f>IF($B3=$B2,$AK2,0)+$AJ3</f>
        <v/>
      </c>
      <c r="AL3" s="55">
        <f>$AL2+$AJ3</f>
        <v/>
      </c>
      <c r="AM3" s="55">
        <f>SUMIFS(tblMiningDaily[Drill_m],tblMiningDaily[Date],$A3)</f>
        <v/>
      </c>
      <c r="AN3" s="55">
        <f>IF($B3=$B2,$AN2,0)+$AM3</f>
        <v/>
      </c>
      <c r="AO3" s="55">
        <f>$AO2+$AM3</f>
        <v/>
      </c>
      <c r="AP3" s="55">
        <f>SUMIFS(tblMiningDaily[GC_Drill_m],tblMiningDaily[Date],$A3)</f>
        <v/>
      </c>
      <c r="AQ3" s="55">
        <f>IF($B3=$B2,$AQ2,0)+$AP3</f>
        <v/>
      </c>
      <c r="AR3" s="55">
        <f>$AR2+$AP3</f>
        <v/>
      </c>
      <c r="AS3" s="55">
        <f>SUMIFS(tblMiningDaily[Blast_t],tblMiningDaily[Date],$A3)</f>
        <v/>
      </c>
      <c r="AT3" s="55">
        <f>IF($B3=$B2,$AT2,0)+$AS3</f>
        <v/>
      </c>
      <c r="AU3" s="55">
        <f>$AU2+$AS3</f>
        <v/>
      </c>
      <c r="AV3" s="55">
        <f>SUMIFS(tblMiningDaily[Explosives_kg],tblMiningDaily[Date],$A3)</f>
        <v/>
      </c>
      <c r="AW3" s="55">
        <f>IF($B3=$B2,$AW2,0)+$AV3</f>
        <v/>
      </c>
      <c r="AX3" s="55">
        <f>$AX2+$AV3</f>
        <v/>
      </c>
      <c r="AY3" s="56">
        <f>IFERROR(IF(($AS3)&gt;0,($AV3)/($AS3),""),"")</f>
        <v/>
      </c>
      <c r="AZ3" s="56">
        <f>IFERROR(IF(($AT3)&gt;0,($AW3)/($AT3),""),"")</f>
        <v/>
      </c>
      <c r="BA3" s="56">
        <f>IFERROR(IF(($AU3)&gt;0,($AX3)/($AU3),""),"")</f>
        <v/>
      </c>
      <c r="BB3" s="55">
        <f>SUMIFS(tblMiningDaily[Diesel_L],tblMiningDaily[Date],$A3)</f>
        <v/>
      </c>
      <c r="BC3" s="55">
        <f>IF($B3=$B2,$BC2,0)+$BB3</f>
        <v/>
      </c>
      <c r="BD3" s="55">
        <f>$BD2+$BB3</f>
        <v/>
      </c>
      <c r="BE3" s="55">
        <f>SUMIFS(tblMiningDaily[Dewatering_m3],tblMiningDaily[Date],$A3)</f>
        <v/>
      </c>
      <c r="BF3" s="55">
        <f>IF($B3=$B2,$BF2,0)+$BE3</f>
        <v/>
      </c>
      <c r="BG3" s="55">
        <f>$BG2+$BE3</f>
        <v/>
      </c>
      <c r="BH3" s="57">
        <f>SUMIFS(tblFleet[Calendar_h],tblFleet[Date],$A3,tblFleet[Equipment_Class],"Excavator")</f>
        <v/>
      </c>
      <c r="BI3" s="57">
        <f>IF($B3=$B2,$BI2,0)+$BH3</f>
        <v/>
      </c>
      <c r="BJ3" s="57">
        <f>$BJ2+$BH3</f>
        <v/>
      </c>
      <c r="BK3" s="57">
        <f>SUMIFS(tblFleet[Available_h],tblFleet[Date],$A3,tblFleet[Equipment_Class],"Excavator")</f>
        <v/>
      </c>
      <c r="BL3" s="57">
        <f>IF($B3=$B2,$BL2,0)+$BK3</f>
        <v/>
      </c>
      <c r="BM3" s="57">
        <f>$BM2+$BK3</f>
        <v/>
      </c>
      <c r="BN3" s="57">
        <f>SUMIFS(tblFleet[Operating_h],tblFleet[Date],$A3,tblFleet[Equipment_Class],"Excavator")</f>
        <v/>
      </c>
      <c r="BO3" s="57">
        <f>IF($B3=$B2,$BO2,0)+$BN3</f>
        <v/>
      </c>
      <c r="BP3" s="57">
        <f>$BP2+$BN3</f>
        <v/>
      </c>
      <c r="BQ3" s="67">
        <f>IFERROR(IF(($BH3)&gt;0,($BK3)/($BH3),""),"")</f>
        <v/>
      </c>
      <c r="BR3" s="67">
        <f>IFERROR(IF(($BI3)&gt;0,($BL3)/($BI3),""),"")</f>
        <v/>
      </c>
      <c r="BS3" s="67">
        <f>IFERROR(IF(($BJ3)&gt;0,($BM3)/($BJ3),""),"")</f>
        <v/>
      </c>
      <c r="BT3" s="67">
        <f>IFERROR(IF(($BK3)&gt;0,($BN3)/($BK3),""),"")</f>
        <v/>
      </c>
      <c r="BU3" s="67">
        <f>IFERROR(IF(($BL3)&gt;0,($BO3)/($BL3),""),"")</f>
        <v/>
      </c>
      <c r="BV3" s="67">
        <f>IFERROR(IF(($BM3)&gt;0,($BP3)/($BM3),""),"")</f>
        <v/>
      </c>
      <c r="BW3" s="57">
        <f>SUMIFS(tblFleet[Calendar_h],tblFleet[Date],$A3,tblFleet[Equipment_Class],"Haul Truck")</f>
        <v/>
      </c>
      <c r="BX3" s="57">
        <f>IF($B3=$B2,$BX2,0)+$BW3</f>
        <v/>
      </c>
      <c r="BY3" s="57">
        <f>$BY2+$BW3</f>
        <v/>
      </c>
      <c r="BZ3" s="57">
        <f>SUMIFS(tblFleet[Available_h],tblFleet[Date],$A3,tblFleet[Equipment_Class],"Haul Truck")</f>
        <v/>
      </c>
      <c r="CA3" s="57">
        <f>IF($B3=$B2,$CA2,0)+$BZ3</f>
        <v/>
      </c>
      <c r="CB3" s="57">
        <f>$CB2+$BZ3</f>
        <v/>
      </c>
      <c r="CC3" s="57">
        <f>SUMIFS(tblFleet[Operating_h],tblFleet[Date],$A3,tblFleet[Equipment_Class],"Haul Truck")</f>
        <v/>
      </c>
      <c r="CD3" s="57">
        <f>IF($B3=$B2,$CD2,0)+$CC3</f>
        <v/>
      </c>
      <c r="CE3" s="57">
        <f>$CE2+$CC3</f>
        <v/>
      </c>
      <c r="CF3" s="67">
        <f>IFERROR(IF(($BW3)&gt;0,($BZ3)/($BW3),""),"")</f>
        <v/>
      </c>
      <c r="CG3" s="67">
        <f>IFERROR(IF(($BX3)&gt;0,($CA3)/($BX3),""),"")</f>
        <v/>
      </c>
      <c r="CH3" s="67">
        <f>IFERROR(IF(($BY3)&gt;0,($CB3)/($BY3),""),"")</f>
        <v/>
      </c>
      <c r="CI3" s="67">
        <f>IFERROR(IF(($BZ3)&gt;0,($CC3)/($BZ3),""),"")</f>
        <v/>
      </c>
      <c r="CJ3" s="67">
        <f>IFERROR(IF(($CA3)&gt;0,($CD3)/($CA3),""),"")</f>
        <v/>
      </c>
      <c r="CK3" s="67">
        <f>IFERROR(IF(($CB3)&gt;0,($CE3)/($CB3),""),"")</f>
        <v/>
      </c>
      <c r="CL3" s="55">
        <f>IFERROR(IF(($BN3)&gt;0,($X3+$AD3)/($BN3),""),"")</f>
        <v/>
      </c>
      <c r="CM3" s="55">
        <f>IFERROR(IF(($BO3)&gt;0,($Y3+$AE3)/($BO3),""),"")</f>
        <v/>
      </c>
      <c r="CN3" s="55">
        <f>IFERROR(IF(($BP3)&gt;0,($Z3+$AF3)/($BP3),""),"")</f>
        <v/>
      </c>
      <c r="CO3" s="55">
        <f>IFERROR(IF(($CC3)&gt;0,($X3+$AD3)/($CC3),""),"")</f>
        <v/>
      </c>
      <c r="CP3" s="55">
        <f>IFERROR(IF(($CD3)&gt;0,($Y3+$AE3)/($CD3),""),"")</f>
        <v/>
      </c>
      <c r="CQ3" s="55">
        <f>IFERROR(IF(($CE3)&gt;0,($Z3+$AF3)/($CE3),""),"")</f>
        <v/>
      </c>
      <c r="CR3" s="55">
        <f>SUMIFS(tblPlant[Crushed_t],tblPlant[Date],$A3)</f>
        <v/>
      </c>
      <c r="CS3" s="55">
        <f>IF($B3=$B2,$CS2,0)+$CR3</f>
        <v/>
      </c>
      <c r="CT3" s="55">
        <f>$CT2+$CR3</f>
        <v/>
      </c>
      <c r="CU3" s="55">
        <f>SUMIFS(tblPlant[Milled_t],tblPlant[Date],$A3)</f>
        <v/>
      </c>
      <c r="CV3" s="55">
        <f>IF($B3=$B2,$CV2,0)+$CU3</f>
        <v/>
      </c>
      <c r="CW3" s="55">
        <f>$CW2+$CU3</f>
        <v/>
      </c>
      <c r="CX3" s="55">
        <f>SUMIFS(tblPlant[Feed_oz],tblPlant[Date],$A3)</f>
        <v/>
      </c>
      <c r="CY3" s="55">
        <f>IF($B3=$B2,$CY2,0)+$CX3</f>
        <v/>
      </c>
      <c r="CZ3" s="55">
        <f>$CZ2+$CX3</f>
        <v/>
      </c>
      <c r="DA3" s="55">
        <f>SUMIFS(tblPlant[Tails_oz],tblPlant[Date],$A3)</f>
        <v/>
      </c>
      <c r="DB3" s="55">
        <f>IF($B3=$B2,$DB2,0)+$DA3</f>
        <v/>
      </c>
      <c r="DC3" s="55">
        <f>$DC2+$DA3</f>
        <v/>
      </c>
      <c r="DD3" s="55">
        <f>SUMIFS(tblPlant[Recovered_oz],tblPlant[Date],$A3)</f>
        <v/>
      </c>
      <c r="DE3" s="55">
        <f>IF($B3=$B2,$DE2,0)+$DD3</f>
        <v/>
      </c>
      <c r="DF3" s="55">
        <f>$DF2+$DD3</f>
        <v/>
      </c>
      <c r="DG3" s="55">
        <f>SUMIFS(tblPlant[Milled_t],tblPlant[Date],$A3,tblPlant[Head_Grade_gpt],"&lt;&gt;")</f>
        <v/>
      </c>
      <c r="DH3" s="55">
        <f>IF($B3=$B2,$DH2,0)+$DG3</f>
        <v/>
      </c>
      <c r="DI3" s="55">
        <f>$DI2+$DG3</f>
        <v/>
      </c>
      <c r="DJ3" s="55">
        <f>SUMIFS(tblPlant[Milled_t],tblPlant[Date],$A3,tblPlant[Tails_Grade_gpt],"&lt;&gt;")</f>
        <v/>
      </c>
      <c r="DK3" s="55">
        <f>IF($B3=$B2,$DK2,0)+$DJ3</f>
        <v/>
      </c>
      <c r="DL3" s="55">
        <f>$DL2+$DJ3</f>
        <v/>
      </c>
      <c r="DM3" s="55">
        <f>SUMIFS(tblPlant[Feed_oz],tblPlant[Date],$A3,tblPlant[Tails_Grade_gpt],"&lt;&gt;")</f>
        <v/>
      </c>
      <c r="DN3" s="55">
        <f>IF($B3=$B2,$DN2,0)+$DM3</f>
        <v/>
      </c>
      <c r="DO3" s="55">
        <f>$DO2+$DM3</f>
        <v/>
      </c>
      <c r="DP3" s="55">
        <f>SUMIFS(tblPlant[Milled_t],tblPlant[Date],$A3,tblPlant[Mill_Run_h],"&lt;&gt;")</f>
        <v/>
      </c>
      <c r="DQ3" s="55">
        <f>IF($B3=$B2,$DQ2,0)+$DP3</f>
        <v/>
      </c>
      <c r="DR3" s="55">
        <f>$DR2+$DP3</f>
        <v/>
      </c>
      <c r="DS3" s="56">
        <f>IFERROR(IF(($DG3)&gt;0,($CX3*cfg_TroyOz)/($DG3),""),"")</f>
        <v/>
      </c>
      <c r="DT3" s="56">
        <f>IFERROR(IF(($DH3)&gt;0,($CY3*cfg_TroyOz)/($DH3),""),"")</f>
        <v/>
      </c>
      <c r="DU3" s="56">
        <f>IFERROR(IF(($DI3)&gt;0,($CZ3*cfg_TroyOz)/($DI3),""),"")</f>
        <v/>
      </c>
      <c r="DV3" s="56">
        <f>IFERROR(IF(($DJ3)&gt;0,($DA3*cfg_TroyOz)/($DJ3),""),"")</f>
        <v/>
      </c>
      <c r="DW3" s="56">
        <f>IFERROR(IF(($DK3)&gt;0,($DB3*cfg_TroyOz)/($DK3),""),"")</f>
        <v/>
      </c>
      <c r="DX3" s="56">
        <f>IFERROR(IF(($DL3)&gt;0,($DC3*cfg_TroyOz)/($DL3),""),"")</f>
        <v/>
      </c>
      <c r="DY3" s="67">
        <f>IFERROR(IF(($DM3)&gt;0,($DD3)/($DM3),""),"")</f>
        <v/>
      </c>
      <c r="DZ3" s="67">
        <f>IFERROR(IF(($DN3)&gt;0,($DE3)/($DN3),""),"")</f>
        <v/>
      </c>
      <c r="EA3" s="67">
        <f>IFERROR(IF(($DO3)&gt;0,($DF3)/($DO3),""),"")</f>
        <v/>
      </c>
      <c r="EB3" s="55">
        <f>SUMIFS(tblPlant[Gravity_Gold_oz],tblPlant[Date],$A3)</f>
        <v/>
      </c>
      <c r="EC3" s="55">
        <f>IF($B3=$B2,$EC2,0)+$EB3</f>
        <v/>
      </c>
      <c r="ED3" s="55">
        <f>$ED2+$EB3</f>
        <v/>
      </c>
      <c r="EE3" s="67">
        <f>IFERROR(IF(($DD3)&gt;0,($EB3)/($DD3),""),"")</f>
        <v/>
      </c>
      <c r="EF3" s="67">
        <f>IFERROR(IF(($DE3)&gt;0,($EC3)/($DE3),""),"")</f>
        <v/>
      </c>
      <c r="EG3" s="67">
        <f>IFERROR(IF(($DF3)&gt;0,($ED3)/($DF3),""),"")</f>
        <v/>
      </c>
      <c r="EH3" s="55">
        <f>SUMIFS(tblPlant[Gold_Poured_oz],tblPlant[Date],$A3)</f>
        <v/>
      </c>
      <c r="EI3" s="55">
        <f>IF($B3=$B2,$EI2,0)+$EH3</f>
        <v/>
      </c>
      <c r="EJ3" s="55">
        <f>$EJ2+$EH3</f>
        <v/>
      </c>
      <c r="EK3" s="57">
        <f>SUMIFS(tblPlant[Mill_Run_h],tblPlant[Date],$A3)</f>
        <v/>
      </c>
      <c r="EL3" s="57">
        <f>IF($B3=$B2,$EL2,0)+$EK3</f>
        <v/>
      </c>
      <c r="EM3" s="57">
        <f>$EM2+$EK3</f>
        <v/>
      </c>
      <c r="EN3" s="57">
        <f>SUMIFS(tblPlant[Mill_Planned_Maint_h],tblPlant[Date],$A3)</f>
        <v/>
      </c>
      <c r="EO3" s="57">
        <f>IF($B3=$B2,$EO2,0)+$EN3</f>
        <v/>
      </c>
      <c r="EP3" s="57">
        <f>$EP2+$EN3</f>
        <v/>
      </c>
      <c r="EQ3" s="57">
        <f>SUMIFS(tblPlant[Mill_Unplanned_Down_h],tblPlant[Date],$A3)</f>
        <v/>
      </c>
      <c r="ER3" s="57">
        <f>IF($B3=$B2,$ER2,0)+$EQ3</f>
        <v/>
      </c>
      <c r="ES3" s="57">
        <f>$ES2+$EQ3</f>
        <v/>
      </c>
      <c r="ET3" s="57">
        <f>IF(COUNTIFS(tblPlant[Date],$A3,tblPlant[Mill_Run_h],"&lt;&gt;")+COUNTIFS(tblPlant[Date],$A3,tblPlant[Mill_Planned_Maint_h],"&lt;&gt;")+COUNTIFS(tblPlant[Date],$A3,tblPlant[Mill_Unplanned_Down_h],"&lt;&gt;")&gt;0,cfg_HoursPerDay,0)</f>
        <v/>
      </c>
      <c r="EU3" s="57">
        <f>IF($B3=$B2,$EU2,0)+$ET3</f>
        <v/>
      </c>
      <c r="EV3" s="57">
        <f>$EV2+$ET3</f>
        <v/>
      </c>
      <c r="EW3" s="57">
        <f>SUMIFS(tblPlant[Crusher_Run_h],tblPlant[Date],$A3)</f>
        <v/>
      </c>
      <c r="EX3" s="57">
        <f>IF($B3=$B2,$EX2,0)+$EW3</f>
        <v/>
      </c>
      <c r="EY3" s="57">
        <f>$EY2+$EW3</f>
        <v/>
      </c>
      <c r="EZ3" s="55">
        <f>IFERROR(IF(($EK3)&gt;0,($DP3)/($EK3),""),"")</f>
        <v/>
      </c>
      <c r="FA3" s="55">
        <f>IFERROR(IF(($EL3)&gt;0,($DQ3)/($EL3),""),"")</f>
        <v/>
      </c>
      <c r="FB3" s="55">
        <f>IFERROR(IF(($EM3)&gt;0,($DR3)/($EM3),""),"")</f>
        <v/>
      </c>
      <c r="FC3" s="67">
        <f>IFERROR(IF(($ET3)&gt;0,($ET3-$EN3-$EQ3)/($ET3),""),"")</f>
        <v/>
      </c>
      <c r="FD3" s="67">
        <f>IFERROR(IF(($EU3)&gt;0,($EU3-$EO3-$ER3)/($EU3),""),"")</f>
        <v/>
      </c>
      <c r="FE3" s="67">
        <f>IFERROR(IF(($EV3)&gt;0,($EV3-$EP3-$ES3)/($EV3),""),"")</f>
        <v/>
      </c>
      <c r="FF3" s="67">
        <f>IFERROR(IF(($ET3-$EN3-$EQ3)&gt;0,($EK3)/($ET3-$EN3-$EQ3),""),"")</f>
        <v/>
      </c>
      <c r="FG3" s="67">
        <f>IFERROR(IF(($EU3-$EO3-$ER3)&gt;0,($EL3)/($EU3-$EO3-$ER3),""),"")</f>
        <v/>
      </c>
      <c r="FH3" s="67">
        <f>IFERROR(IF(($EV3-$EP3-$ES3)&gt;0,($EM3)/($EV3-$EP3-$ES3),""),"")</f>
        <v/>
      </c>
      <c r="FI3" s="55">
        <f>SUMIFS(tblPlant[Cyanide_kg],tblPlant[Date],$A3)</f>
        <v/>
      </c>
      <c r="FJ3" s="55">
        <f>IF($B3=$B2,$FJ2,0)+$FI3</f>
        <v/>
      </c>
      <c r="FK3" s="55">
        <f>$FK2+$FI3</f>
        <v/>
      </c>
      <c r="FL3" s="55">
        <f>SUMIFS(tblPlant[Lime_kg],tblPlant[Date],$A3)</f>
        <v/>
      </c>
      <c r="FM3" s="55">
        <f>IF($B3=$B2,$FM2,0)+$FL3</f>
        <v/>
      </c>
      <c r="FN3" s="55">
        <f>$FN2+$FL3</f>
        <v/>
      </c>
      <c r="FO3" s="55">
        <f>SUMIFS(tblPlant[Grinding_Media_kg],tblPlant[Date],$A3)</f>
        <v/>
      </c>
      <c r="FP3" s="55">
        <f>IF($B3=$B2,$FP2,0)+$FO3</f>
        <v/>
      </c>
      <c r="FQ3" s="55">
        <f>$FQ2+$FO3</f>
        <v/>
      </c>
      <c r="FR3" s="55">
        <f>SUMIFS(tblPlant[Power_kWh],tblPlant[Date],$A3)</f>
        <v/>
      </c>
      <c r="FS3" s="55">
        <f>IF($B3=$B2,$FS2,0)+$FR3</f>
        <v/>
      </c>
      <c r="FT3" s="55">
        <f>$FT2+$FR3</f>
        <v/>
      </c>
      <c r="FU3" s="55">
        <f>SUMIFS(tblPlant[Raw_Water_m3],tblPlant[Date],$A3)</f>
        <v/>
      </c>
      <c r="FV3" s="55">
        <f>IF($B3=$B2,$FV2,0)+$FU3</f>
        <v/>
      </c>
      <c r="FW3" s="55">
        <f>$FW2+$FU3</f>
        <v/>
      </c>
      <c r="FX3" s="56">
        <f>IFERROR(IF(($CU3)&gt;0,($FI3)/($CU3),""),"")</f>
        <v/>
      </c>
      <c r="FY3" s="56">
        <f>IFERROR(IF(($CV3)&gt;0,($FJ3)/($CV3),""),"")</f>
        <v/>
      </c>
      <c r="FZ3" s="56">
        <f>IFERROR(IF(($CW3)&gt;0,($FK3)/($CW3),""),"")</f>
        <v/>
      </c>
      <c r="GA3" s="56">
        <f>IFERROR(IF(($CU3)&gt;0,($FL3)/($CU3),""),"")</f>
        <v/>
      </c>
      <c r="GB3" s="56">
        <f>IFERROR(IF(($CV3)&gt;0,($FM3)/($CV3),""),"")</f>
        <v/>
      </c>
      <c r="GC3" s="56">
        <f>IFERROR(IF(($CW3)&gt;0,($FN3)/($CW3),""),"")</f>
        <v/>
      </c>
      <c r="GD3" s="56">
        <f>IFERROR(IF(($CU3)&gt;0,($FO3)/($CU3),""),"")</f>
        <v/>
      </c>
      <c r="GE3" s="56">
        <f>IFERROR(IF(($CV3)&gt;0,($FP3)/($CV3),""),"")</f>
        <v/>
      </c>
      <c r="GF3" s="56">
        <f>IFERROR(IF(($CW3)&gt;0,($FQ3)/($CW3),""),"")</f>
        <v/>
      </c>
      <c r="GG3" s="79">
        <f>IFERROR(IF(($CU3)&gt;0,($FR3)/($CU3),""),"")</f>
        <v/>
      </c>
      <c r="GH3" s="79">
        <f>IFERROR(IF(($CV3)&gt;0,($FS3)/($CV3),""),"")</f>
        <v/>
      </c>
      <c r="GI3" s="79">
        <f>IFERROR(IF(($CW3)&gt;0,($FT3)/($CW3),""),"")</f>
        <v/>
      </c>
      <c r="GJ3" s="56">
        <f>IFERROR(IF(($CU3)&gt;0,($FU3)/($CU3),""),"")</f>
        <v/>
      </c>
      <c r="GK3" s="56">
        <f>IFERROR(IF(($CV3)&gt;0,($FV3)/($CV3),""),"")</f>
        <v/>
      </c>
      <c r="GL3" s="56">
        <f>IFERROR(IF(($CW3)&gt;0,($FW3)/($CW3),""),"")</f>
        <v/>
      </c>
      <c r="GM3" s="55">
        <f>IF(SUMIFS(tblPlant[GIC_oz],tblPlant[Date],$A3)&gt;0,SUMIFS(tblPlant[GIC_oz],tblPlant[Date],$A3),"")</f>
        <v/>
      </c>
      <c r="GN3" s="55">
        <f>SUMIFS(tblGold[Gold_oz],tblGold[Date],$A3,tblGold[Type],"Shipment")</f>
        <v/>
      </c>
      <c r="GO3" s="55">
        <f>IF($B3=$B2,$GO2,0)+$GN3</f>
        <v/>
      </c>
      <c r="GP3" s="55">
        <f>$GP2+$GN3</f>
        <v/>
      </c>
      <c r="GQ3" s="55">
        <f>SUMIFS(tblGold[Gold_oz],tblGold[Date],$A3,tblGold[Type],"Sale")</f>
        <v/>
      </c>
      <c r="GR3" s="55">
        <f>IF($B3=$B2,$GR2,0)+$GQ3</f>
        <v/>
      </c>
      <c r="GS3" s="55">
        <f>$GS2+$GQ3</f>
        <v/>
      </c>
      <c r="GT3" s="55">
        <f>SUMIFS(tblGold[Dore_kg],tblGold[Date],$A3,tblGold[Type],"Shipment")</f>
        <v/>
      </c>
      <c r="GU3" s="55">
        <f>IF($B3=$B2,$GU2,0)+$GT3</f>
        <v/>
      </c>
      <c r="GV3" s="55">
        <f>$GV2+$GT3</f>
        <v/>
      </c>
      <c r="GW3" s="57">
        <f>SUMIFS(tblSafety[Hours_Total],tblSafety[Date],$A3)</f>
        <v/>
      </c>
      <c r="GX3" s="57">
        <f>IF($B3=$B2,$GX2,0)+$GW3</f>
        <v/>
      </c>
      <c r="GY3" s="57">
        <f>$GY2+$GW3</f>
        <v/>
      </c>
      <c r="GZ3" s="62">
        <f>SUMIFS(tblSafety[Fatality],tblSafety[Date],$A3)</f>
        <v/>
      </c>
      <c r="HA3" s="62">
        <f>IF($B3=$B2,$HA2,0)+$GZ3</f>
        <v/>
      </c>
      <c r="HB3" s="62">
        <f>$HB2+$GZ3</f>
        <v/>
      </c>
      <c r="HC3" s="62">
        <f>SUMIFS(tblSafety[LTI],tblSafety[Date],$A3)</f>
        <v/>
      </c>
      <c r="HD3" s="62">
        <f>IF($B3=$B2,$HD2,0)+$HC3</f>
        <v/>
      </c>
      <c r="HE3" s="62">
        <f>$HE2+$HC3</f>
        <v/>
      </c>
      <c r="HF3" s="62">
        <f>SUMIFS(tblSafety[RWI],tblSafety[Date],$A3)</f>
        <v/>
      </c>
      <c r="HG3" s="62">
        <f>IF($B3=$B2,$HG2,0)+$HF3</f>
        <v/>
      </c>
      <c r="HH3" s="62">
        <f>$HH2+$HF3</f>
        <v/>
      </c>
      <c r="HI3" s="62">
        <f>SUMIFS(tblSafety[MTI],tblSafety[Date],$A3)</f>
        <v/>
      </c>
      <c r="HJ3" s="62">
        <f>IF($B3=$B2,$HJ2,0)+$HI3</f>
        <v/>
      </c>
      <c r="HK3" s="62">
        <f>$HK2+$HI3</f>
        <v/>
      </c>
      <c r="HL3" s="62">
        <f>SUMIFS(tblSafety[FAI],tblSafety[Date],$A3)</f>
        <v/>
      </c>
      <c r="HM3" s="62">
        <f>IF($B3=$B2,$HM2,0)+$HL3</f>
        <v/>
      </c>
      <c r="HN3" s="62">
        <f>$HN2+$HL3</f>
        <v/>
      </c>
      <c r="HO3" s="62">
        <f>SUMIFS(tblSafety[Recordables],tblSafety[Date],$A3)</f>
        <v/>
      </c>
      <c r="HP3" s="62">
        <f>IF($B3=$B2,$HP2,0)+$HO3</f>
        <v/>
      </c>
      <c r="HQ3" s="62">
        <f>$HQ2+$HO3</f>
        <v/>
      </c>
      <c r="HR3" s="62">
        <f>SUMIFS(tblSafety[Near_Miss],tblSafety[Date],$A3)</f>
        <v/>
      </c>
      <c r="HS3" s="62">
        <f>IF($B3=$B2,$HS2,0)+$HR3</f>
        <v/>
      </c>
      <c r="HT3" s="62">
        <f>$HT2+$HR3</f>
        <v/>
      </c>
      <c r="HU3" s="62">
        <f>SUMIFS(tblSafety[Hazard_Reports],tblSafety[Date],$A3)</f>
        <v/>
      </c>
      <c r="HV3" s="62">
        <f>IF($B3=$B2,$HV2,0)+$HU3</f>
        <v/>
      </c>
      <c r="HW3" s="62">
        <f>$HW2+$HU3</f>
        <v/>
      </c>
      <c r="HX3" s="62">
        <f>SUMIFS(tblSafety[HPI],tblSafety[Date],$A3)</f>
        <v/>
      </c>
      <c r="HY3" s="62">
        <f>IF($B3=$B2,$HY2,0)+$HX3</f>
        <v/>
      </c>
      <c r="HZ3" s="62">
        <f>$HZ2+$HX3</f>
        <v/>
      </c>
      <c r="IA3" s="62">
        <f>SUMIFS(tblSafety[Env_Incidents],tblSafety[Date],$A3)</f>
        <v/>
      </c>
      <c r="IB3" s="62">
        <f>IF($B3=$B2,$IB2,0)+$IA3</f>
        <v/>
      </c>
      <c r="IC3" s="62">
        <f>$IC2+$IA3</f>
        <v/>
      </c>
      <c r="ID3" s="62">
        <f>SUMIFS(tblSafety[Community_Incidents],tblSafety[Date],$A3)</f>
        <v/>
      </c>
      <c r="IE3" s="62">
        <f>IF($B3=$B2,$IE2,0)+$ID3</f>
        <v/>
      </c>
      <c r="IF3" s="62">
        <f>$IF2+$ID3</f>
        <v/>
      </c>
      <c r="IG3" s="62">
        <f>SUMIFS(tblSafety[Vehicle_Incidents],tblSafety[Date],$A3)</f>
        <v/>
      </c>
      <c r="IH3" s="62">
        <f>IF($B3=$B2,$IH2,0)+$IG3</f>
        <v/>
      </c>
      <c r="II3" s="62">
        <f>$II2+$IG3</f>
        <v/>
      </c>
      <c r="IJ3" s="62">
        <f>SUMIFS(tblSafety[Toolbox_Talks],tblSafety[Date],$A3)</f>
        <v/>
      </c>
      <c r="IK3" s="62">
        <f>IF($B3=$B2,$IK2,0)+$IJ3</f>
        <v/>
      </c>
      <c r="IL3" s="62">
        <f>$IL2+$IJ3</f>
        <v/>
      </c>
      <c r="IM3" s="62">
        <f>SUMIFS(tblSafety[Inspections],tblSafety[Date],$A3)</f>
        <v/>
      </c>
      <c r="IN3" s="62">
        <f>IF($B3=$B2,$IN2,0)+$IM3</f>
        <v/>
      </c>
      <c r="IO3" s="62">
        <f>$IO2+$IM3</f>
        <v/>
      </c>
      <c r="IP3" s="56">
        <f>IFERROR((SUMIFS(tblSafety[Recordables],tblSafety[Date],"&gt;="&amp;EDATE($E3,-12),tblSafety[Date],"&lt;="&amp;$A3)+SUMIFS(tblSafetyHistory[Recordables],tblSafetyHistory[Month],"&gt;="&amp;EDATE($E3,-12),tblSafetyHistory[Month],"&lt;"&amp;$E3,tblSafetyHistory[Use],1))/(SUMIFS(tblSafety[Hours_Total],tblSafety[Date],"&gt;="&amp;EDATE($E3,-12),tblSafety[Date],"&lt;="&amp;$A3)+SUMIFS(tblSafetyHistory[Hours_Total],tblSafetyHistory[Month],"&gt;="&amp;EDATE($E3,-12),tblSafetyHistory[Month],"&lt;"&amp;$E3,tblSafetyHistory[Use],1))*cfg_RateBasisHours,"")</f>
        <v/>
      </c>
      <c r="IQ3" s="56">
        <f>IFERROR((SUMIFS(tblSafety[LTI],tblSafety[Date],"&gt;="&amp;EDATE($E3,-12),tblSafety[Date],"&lt;="&amp;$A3)+SUMIFS(tblSafetyHistory[LTI],tblSafetyHistory[Month],"&gt;="&amp;EDATE($E3,-12),tblSafetyHistory[Month],"&lt;"&amp;$E3,tblSafetyHistory[Use],1))/(SUMIFS(tblSafety[Hours_Total],tblSafety[Date],"&gt;="&amp;EDATE($E3,-12),tblSafety[Date],"&lt;="&amp;$A3)+SUMIFS(tblSafetyHistory[Hours_Total],tblSafetyHistory[Month],"&gt;="&amp;EDATE($E3,-12),tblSafetyHistory[Month],"&lt;"&amp;$E3,tblSafetyHistory[Use],1))*cfg_RateBasisHours,"")</f>
        <v/>
      </c>
      <c r="IR3" s="62">
        <f>IF(MAX(N(cfg_PriorLTIDate),_xlfn.MAXIFS(tblSafety[Date],tblSafety[LTI],"&gt;0",tblSafety[Date],"&lt;="&amp;$A3))=0,"",$A3-MAX(N(cfg_PriorLTIDate),_xlfn.MAXIFS(tblSafety[Date],tblSafety[LTI],"&gt;0",tblSafety[Date],"&lt;="&amp;$A3)))</f>
        <v/>
      </c>
      <c r="IS3" s="55">
        <f>SUMIFS(tblBudget[Ore_Mined_t],tblBudget[Month],$E3)</f>
        <v/>
      </c>
      <c r="IT3" s="55">
        <f>$IS3*$C3/$D3</f>
        <v/>
      </c>
      <c r="IU3" s="55">
        <f>SUMIFS(tblBudget[Ore_Mined_t],tblBudget[Month],"&lt;"&amp;$E3)+$IT3</f>
        <v/>
      </c>
      <c r="IV3" s="55">
        <f>SUMIFS(tblBudget[Ore_oz],tblBudget[Month],$E3)</f>
        <v/>
      </c>
      <c r="IW3" s="55">
        <f>$IV3*$C3/$D3</f>
        <v/>
      </c>
      <c r="IX3" s="55">
        <f>SUMIFS(tblBudget[Ore_oz],tblBudget[Month],"&lt;"&amp;$E3)+$IW3</f>
        <v/>
      </c>
      <c r="IY3" s="55">
        <f>SUMIFS(tblBudget[Ore_Mined_t],tblBudget[Month],$E3)</f>
        <v/>
      </c>
      <c r="IZ3" s="55">
        <f>$IY3*$C3/$D3</f>
        <v/>
      </c>
      <c r="JA3" s="55">
        <f>SUMIFS(tblBudget[Ore_Mined_t],tblBudget[Month],"&lt;"&amp;$E3)+$IZ3</f>
        <v/>
      </c>
      <c r="JB3" s="56">
        <f>IFERROR(IF(($IY3)&gt;0,($IV3*cfg_TroyOz)/($IY3),""),"")</f>
        <v/>
      </c>
      <c r="JC3" s="56">
        <f>IFERROR(IF(($IZ3)&gt;0,($IW3*cfg_TroyOz)/($IZ3),""),"")</f>
        <v/>
      </c>
      <c r="JD3" s="56">
        <f>IFERROR(IF(($JA3)&gt;0,($IX3*cfg_TroyOz)/($JA3),""),"")</f>
        <v/>
      </c>
      <c r="JE3" s="55">
        <f>SUMIFS(tblBudget[Waste_t],tblBudget[Month],$E3)</f>
        <v/>
      </c>
      <c r="JF3" s="55">
        <f>$JE3*$C3/$D3</f>
        <v/>
      </c>
      <c r="JG3" s="55">
        <f>SUMIFS(tblBudget[Waste_t],tblBudget[Month],"&lt;"&amp;$E3)+$JF3</f>
        <v/>
      </c>
      <c r="JH3" s="55">
        <f>SUMIFS(tblBudget[TMM_t],tblBudget[Month],$E3)</f>
        <v/>
      </c>
      <c r="JI3" s="55">
        <f>$JH3*$C3/$D3</f>
        <v/>
      </c>
      <c r="JJ3" s="55">
        <f>SUMIFS(tblBudget[TMM_t],tblBudget[Month],"&lt;"&amp;$E3)+$JI3</f>
        <v/>
      </c>
      <c r="JK3" s="56">
        <f>IFERROR(IF(($IS3)&gt;0,($JE3)/($IS3),""),"")</f>
        <v/>
      </c>
      <c r="JL3" s="56">
        <f>IFERROR(IF(($IT3)&gt;0,($JF3)/($IT3),""),"")</f>
        <v/>
      </c>
      <c r="JM3" s="56">
        <f>IFERROR(IF(($IU3)&gt;0,($JG3)/($IU3),""),"")</f>
        <v/>
      </c>
      <c r="JN3" s="55">
        <f>SUMIFS(tblBudget[Drill_m],tblBudget[Month],$E3)</f>
        <v/>
      </c>
      <c r="JO3" s="55">
        <f>$JN3*$C3/$D3</f>
        <v/>
      </c>
      <c r="JP3" s="55">
        <f>SUMIFS(tblBudget[Drill_m],tblBudget[Month],"&lt;"&amp;$E3)+$JO3</f>
        <v/>
      </c>
      <c r="JQ3" s="55">
        <f>SUMIFS(tblBudget[Diesel_L],tblBudget[Month],$E3)</f>
        <v/>
      </c>
      <c r="JR3" s="55">
        <f>$JQ3*$C3/$D3</f>
        <v/>
      </c>
      <c r="JS3" s="55">
        <f>SUMIFS(tblBudget[Diesel_L],tblBudget[Month],"&lt;"&amp;$E3)+$JR3</f>
        <v/>
      </c>
      <c r="JT3" s="55">
        <f>SUMIFS(tblBudget[Milled_t],tblBudget[Month],$E3)</f>
        <v/>
      </c>
      <c r="JU3" s="55">
        <f>$JT3*$C3/$D3</f>
        <v/>
      </c>
      <c r="JV3" s="55">
        <f>SUMIFS(tblBudget[Milled_t],tblBudget[Month],"&lt;"&amp;$E3)+$JU3</f>
        <v/>
      </c>
      <c r="JW3" s="55">
        <f>SUMIFS(tblBudget[Feed_oz],tblBudget[Month],$E3)</f>
        <v/>
      </c>
      <c r="JX3" s="55">
        <f>$JW3*$C3/$D3</f>
        <v/>
      </c>
      <c r="JY3" s="55">
        <f>SUMIFS(tblBudget[Feed_oz],tblBudget[Month],"&lt;"&amp;$E3)+$JX3</f>
        <v/>
      </c>
      <c r="JZ3" s="55">
        <f>SUMIFS(tblBudget[Recovered_oz],tblBudget[Month],$E3)</f>
        <v/>
      </c>
      <c r="KA3" s="55">
        <f>$JZ3*$C3/$D3</f>
        <v/>
      </c>
      <c r="KB3" s="55">
        <f>SUMIFS(tblBudget[Recovered_oz],tblBudget[Month],"&lt;"&amp;$E3)+$KA3</f>
        <v/>
      </c>
      <c r="KC3" s="55">
        <f>SUMIFS(tblBudget[Milled_t],tblBudget[Month],$E3)</f>
        <v/>
      </c>
      <c r="KD3" s="55">
        <f>$KC3*$C3/$D3</f>
        <v/>
      </c>
      <c r="KE3" s="55">
        <f>SUMIFS(tblBudget[Milled_t],tblBudget[Month],"&lt;"&amp;$E3)+$KD3</f>
        <v/>
      </c>
      <c r="KF3" s="55">
        <f>SUMIFS(tblBudget[Feed_oz],tblBudget[Month],$E3)</f>
        <v/>
      </c>
      <c r="KG3" s="55">
        <f>$KF3*$C3/$D3</f>
        <v/>
      </c>
      <c r="KH3" s="55">
        <f>SUMIFS(tblBudget[Feed_oz],tblBudget[Month],"&lt;"&amp;$E3)+$KG3</f>
        <v/>
      </c>
      <c r="KI3" s="56">
        <f>IFERROR(IF(($KC3)&gt;0,($JW3*cfg_TroyOz)/($KC3),""),"")</f>
        <v/>
      </c>
      <c r="KJ3" s="56">
        <f>IFERROR(IF(($KD3)&gt;0,($JX3*cfg_TroyOz)/($KD3),""),"")</f>
        <v/>
      </c>
      <c r="KK3" s="56">
        <f>IFERROR(IF(($KE3)&gt;0,($JY3*cfg_TroyOz)/($KE3),""),"")</f>
        <v/>
      </c>
      <c r="KL3" s="67">
        <f>IFERROR(IF(($KF3)&gt;0,($JZ3)/($KF3),""),"")</f>
        <v/>
      </c>
      <c r="KM3" s="67">
        <f>IFERROR(IF(($KG3)&gt;0,($KA3)/($KG3),""),"")</f>
        <v/>
      </c>
      <c r="KN3" s="67">
        <f>IFERROR(IF(($KH3)&gt;0,($KB3)/($KH3),""),"")</f>
        <v/>
      </c>
      <c r="KO3" s="55">
        <f>SUMIFS(tblBudget[Gold_Poured_oz],tblBudget[Month],$E3)</f>
        <v/>
      </c>
      <c r="KP3" s="55">
        <f>$KO3*$C3/$D3</f>
        <v/>
      </c>
      <c r="KQ3" s="55">
        <f>SUMIFS(tblBudget[Gold_Poured_oz],tblBudget[Month],"&lt;"&amp;$E3)+$KP3</f>
        <v/>
      </c>
      <c r="KR3" s="57">
        <f>SUMIFS(tblBudget[Hours_Worked],tblBudget[Month],$E3)</f>
        <v/>
      </c>
      <c r="KS3" s="57">
        <f>$KR3*$C3/$D3</f>
        <v/>
      </c>
      <c r="KT3" s="57">
        <f>SUMIFS(tblBudget[Hours_Worked],tblBudget[Month],"&lt;"&amp;$E3)+$KS3</f>
        <v/>
      </c>
    </row>
    <row r="4">
      <c r="A4" s="54" t="n">
        <v>46025</v>
      </c>
      <c r="B4">
        <f>MONTH($A4)</f>
        <v/>
      </c>
      <c r="C4">
        <f>DAY($A4)</f>
        <v/>
      </c>
      <c r="D4">
        <f>DAY(EOMONTH($A4,0))</f>
        <v/>
      </c>
      <c r="E4" s="54">
        <f>DATE(YEAR($A4),MONTH($A4),1)</f>
        <v/>
      </c>
      <c r="F4" s="55">
        <f>SUMIFS(tblMovement[Tonnes_t],tblMovement[Date],$A4,tblMovement[Is_Ore],1,tblMovement[Source_Type],"Pit")</f>
        <v/>
      </c>
      <c r="G4" s="55">
        <f>IF($B4=$B3,$G3,0)+$F4</f>
        <v/>
      </c>
      <c r="H4" s="55">
        <f>$H3+$F4</f>
        <v/>
      </c>
      <c r="I4" s="55">
        <f>SUMIFS(tblMovement[Ore_oz],tblMovement[Date],$A4,tblMovement[Source_Type],"Pit")</f>
        <v/>
      </c>
      <c r="J4" s="55">
        <f>IF($B4=$B3,$J3,0)+$I4</f>
        <v/>
      </c>
      <c r="K4" s="55">
        <f>$K3+$I4</f>
        <v/>
      </c>
      <c r="L4" s="55">
        <f>SUMIFS(tblMovement[Tonnes_t],tblMovement[Date],$A4,tblMovement[Is_Ore],1,tblMovement[Source_Type],"Pit",tblMovement[Grade_gpt],"&lt;&gt;")</f>
        <v/>
      </c>
      <c r="M4" s="55">
        <f>IF($B4=$B3,$M3,0)+$L4</f>
        <v/>
      </c>
      <c r="N4" s="55">
        <f>$N3+$L4</f>
        <v/>
      </c>
      <c r="O4" s="56">
        <f>IFERROR(IF(($L4)&gt;0,($I4*cfg_TroyOz)/($L4),""),"")</f>
        <v/>
      </c>
      <c r="P4" s="56">
        <f>IFERROR(IF(($M4)&gt;0,($J4*cfg_TroyOz)/($M4),""),"")</f>
        <v/>
      </c>
      <c r="Q4" s="56">
        <f>IFERROR(IF(($N4)&gt;0,($K4*cfg_TroyOz)/($N4),""),"")</f>
        <v/>
      </c>
      <c r="R4" s="55">
        <f>$F4-$L4</f>
        <v/>
      </c>
      <c r="S4" s="55">
        <f>IF($B4=$B3,$S3,0)+$R4</f>
        <v/>
      </c>
      <c r="T4" s="55">
        <f>$T3+$R4</f>
        <v/>
      </c>
      <c r="U4" s="55">
        <f>SUMIFS(tblMovement[Tonnes_t],tblMovement[Date],$A4,tblMovement[Is_Ore],0,tblMovement[Source_Type],"Pit")</f>
        <v/>
      </c>
      <c r="V4" s="55">
        <f>IF($B4=$B3,$V3,0)+$U4</f>
        <v/>
      </c>
      <c r="W4" s="55">
        <f>$W3+$U4</f>
        <v/>
      </c>
      <c r="X4" s="55">
        <f>$F4+$U4</f>
        <v/>
      </c>
      <c r="Y4" s="55">
        <f>IF($B4=$B3,$Y3,0)+$X4</f>
        <v/>
      </c>
      <c r="Z4" s="55">
        <f>$Z3+$X4</f>
        <v/>
      </c>
      <c r="AA4" s="56">
        <f>IFERROR(IF(($F4)&gt;0,($U4)/($F4),""),"")</f>
        <v/>
      </c>
      <c r="AB4" s="56">
        <f>IFERROR(IF(($G4)&gt;0,($V4)/($G4),""),"")</f>
        <v/>
      </c>
      <c r="AC4" s="56">
        <f>IFERROR(IF(($H4)&gt;0,($W4)/($H4),""),"")</f>
        <v/>
      </c>
      <c r="AD4" s="55">
        <f>SUMIFS(tblMovement[Tonnes_t],tblMovement[Date],$A4,tblMovement[Source_Type],"Stockpile")</f>
        <v/>
      </c>
      <c r="AE4" s="55">
        <f>IF($B4=$B3,$AE3,0)+$AD4</f>
        <v/>
      </c>
      <c r="AF4" s="55">
        <f>$AF3+$AD4</f>
        <v/>
      </c>
      <c r="AG4" s="55">
        <f>SUMIFS(tblMovement[Tonnes_t],tblMovement[Date],$A4)</f>
        <v/>
      </c>
      <c r="AH4" s="55">
        <f>IF($B4=$B3,$AH3,0)+$AG4</f>
        <v/>
      </c>
      <c r="AI4" s="55">
        <f>$AI3+$AG4</f>
        <v/>
      </c>
      <c r="AJ4" s="55">
        <f>$AG4-$X4-$AD4</f>
        <v/>
      </c>
      <c r="AK4" s="55">
        <f>IF($B4=$B3,$AK3,0)+$AJ4</f>
        <v/>
      </c>
      <c r="AL4" s="55">
        <f>$AL3+$AJ4</f>
        <v/>
      </c>
      <c r="AM4" s="55">
        <f>SUMIFS(tblMiningDaily[Drill_m],tblMiningDaily[Date],$A4)</f>
        <v/>
      </c>
      <c r="AN4" s="55">
        <f>IF($B4=$B3,$AN3,0)+$AM4</f>
        <v/>
      </c>
      <c r="AO4" s="55">
        <f>$AO3+$AM4</f>
        <v/>
      </c>
      <c r="AP4" s="55">
        <f>SUMIFS(tblMiningDaily[GC_Drill_m],tblMiningDaily[Date],$A4)</f>
        <v/>
      </c>
      <c r="AQ4" s="55">
        <f>IF($B4=$B3,$AQ3,0)+$AP4</f>
        <v/>
      </c>
      <c r="AR4" s="55">
        <f>$AR3+$AP4</f>
        <v/>
      </c>
      <c r="AS4" s="55">
        <f>SUMIFS(tblMiningDaily[Blast_t],tblMiningDaily[Date],$A4)</f>
        <v/>
      </c>
      <c r="AT4" s="55">
        <f>IF($B4=$B3,$AT3,0)+$AS4</f>
        <v/>
      </c>
      <c r="AU4" s="55">
        <f>$AU3+$AS4</f>
        <v/>
      </c>
      <c r="AV4" s="55">
        <f>SUMIFS(tblMiningDaily[Explosives_kg],tblMiningDaily[Date],$A4)</f>
        <v/>
      </c>
      <c r="AW4" s="55">
        <f>IF($B4=$B3,$AW3,0)+$AV4</f>
        <v/>
      </c>
      <c r="AX4" s="55">
        <f>$AX3+$AV4</f>
        <v/>
      </c>
      <c r="AY4" s="56">
        <f>IFERROR(IF(($AS4)&gt;0,($AV4)/($AS4),""),"")</f>
        <v/>
      </c>
      <c r="AZ4" s="56">
        <f>IFERROR(IF(($AT4)&gt;0,($AW4)/($AT4),""),"")</f>
        <v/>
      </c>
      <c r="BA4" s="56">
        <f>IFERROR(IF(($AU4)&gt;0,($AX4)/($AU4),""),"")</f>
        <v/>
      </c>
      <c r="BB4" s="55">
        <f>SUMIFS(tblMiningDaily[Diesel_L],tblMiningDaily[Date],$A4)</f>
        <v/>
      </c>
      <c r="BC4" s="55">
        <f>IF($B4=$B3,$BC3,0)+$BB4</f>
        <v/>
      </c>
      <c r="BD4" s="55">
        <f>$BD3+$BB4</f>
        <v/>
      </c>
      <c r="BE4" s="55">
        <f>SUMIFS(tblMiningDaily[Dewatering_m3],tblMiningDaily[Date],$A4)</f>
        <v/>
      </c>
      <c r="BF4" s="55">
        <f>IF($B4=$B3,$BF3,0)+$BE4</f>
        <v/>
      </c>
      <c r="BG4" s="55">
        <f>$BG3+$BE4</f>
        <v/>
      </c>
      <c r="BH4" s="57">
        <f>SUMIFS(tblFleet[Calendar_h],tblFleet[Date],$A4,tblFleet[Equipment_Class],"Excavator")</f>
        <v/>
      </c>
      <c r="BI4" s="57">
        <f>IF($B4=$B3,$BI3,0)+$BH4</f>
        <v/>
      </c>
      <c r="BJ4" s="57">
        <f>$BJ3+$BH4</f>
        <v/>
      </c>
      <c r="BK4" s="57">
        <f>SUMIFS(tblFleet[Available_h],tblFleet[Date],$A4,tblFleet[Equipment_Class],"Excavator")</f>
        <v/>
      </c>
      <c r="BL4" s="57">
        <f>IF($B4=$B3,$BL3,0)+$BK4</f>
        <v/>
      </c>
      <c r="BM4" s="57">
        <f>$BM3+$BK4</f>
        <v/>
      </c>
      <c r="BN4" s="57">
        <f>SUMIFS(tblFleet[Operating_h],tblFleet[Date],$A4,tblFleet[Equipment_Class],"Excavator")</f>
        <v/>
      </c>
      <c r="BO4" s="57">
        <f>IF($B4=$B3,$BO3,0)+$BN4</f>
        <v/>
      </c>
      <c r="BP4" s="57">
        <f>$BP3+$BN4</f>
        <v/>
      </c>
      <c r="BQ4" s="67">
        <f>IFERROR(IF(($BH4)&gt;0,($BK4)/($BH4),""),"")</f>
        <v/>
      </c>
      <c r="BR4" s="67">
        <f>IFERROR(IF(($BI4)&gt;0,($BL4)/($BI4),""),"")</f>
        <v/>
      </c>
      <c r="BS4" s="67">
        <f>IFERROR(IF(($BJ4)&gt;0,($BM4)/($BJ4),""),"")</f>
        <v/>
      </c>
      <c r="BT4" s="67">
        <f>IFERROR(IF(($BK4)&gt;0,($BN4)/($BK4),""),"")</f>
        <v/>
      </c>
      <c r="BU4" s="67">
        <f>IFERROR(IF(($BL4)&gt;0,($BO4)/($BL4),""),"")</f>
        <v/>
      </c>
      <c r="BV4" s="67">
        <f>IFERROR(IF(($BM4)&gt;0,($BP4)/($BM4),""),"")</f>
        <v/>
      </c>
      <c r="BW4" s="57">
        <f>SUMIFS(tblFleet[Calendar_h],tblFleet[Date],$A4,tblFleet[Equipment_Class],"Haul Truck")</f>
        <v/>
      </c>
      <c r="BX4" s="57">
        <f>IF($B4=$B3,$BX3,0)+$BW4</f>
        <v/>
      </c>
      <c r="BY4" s="57">
        <f>$BY3+$BW4</f>
        <v/>
      </c>
      <c r="BZ4" s="57">
        <f>SUMIFS(tblFleet[Available_h],tblFleet[Date],$A4,tblFleet[Equipment_Class],"Haul Truck")</f>
        <v/>
      </c>
      <c r="CA4" s="57">
        <f>IF($B4=$B3,$CA3,0)+$BZ4</f>
        <v/>
      </c>
      <c r="CB4" s="57">
        <f>$CB3+$BZ4</f>
        <v/>
      </c>
      <c r="CC4" s="57">
        <f>SUMIFS(tblFleet[Operating_h],tblFleet[Date],$A4,tblFleet[Equipment_Class],"Haul Truck")</f>
        <v/>
      </c>
      <c r="CD4" s="57">
        <f>IF($B4=$B3,$CD3,0)+$CC4</f>
        <v/>
      </c>
      <c r="CE4" s="57">
        <f>$CE3+$CC4</f>
        <v/>
      </c>
      <c r="CF4" s="67">
        <f>IFERROR(IF(($BW4)&gt;0,($BZ4)/($BW4),""),"")</f>
        <v/>
      </c>
      <c r="CG4" s="67">
        <f>IFERROR(IF(($BX4)&gt;0,($CA4)/($BX4),""),"")</f>
        <v/>
      </c>
      <c r="CH4" s="67">
        <f>IFERROR(IF(($BY4)&gt;0,($CB4)/($BY4),""),"")</f>
        <v/>
      </c>
      <c r="CI4" s="67">
        <f>IFERROR(IF(($BZ4)&gt;0,($CC4)/($BZ4),""),"")</f>
        <v/>
      </c>
      <c r="CJ4" s="67">
        <f>IFERROR(IF(($CA4)&gt;0,($CD4)/($CA4),""),"")</f>
        <v/>
      </c>
      <c r="CK4" s="67">
        <f>IFERROR(IF(($CB4)&gt;0,($CE4)/($CB4),""),"")</f>
        <v/>
      </c>
      <c r="CL4" s="55">
        <f>IFERROR(IF(($BN4)&gt;0,($X4+$AD4)/($BN4),""),"")</f>
        <v/>
      </c>
      <c r="CM4" s="55">
        <f>IFERROR(IF(($BO4)&gt;0,($Y4+$AE4)/($BO4),""),"")</f>
        <v/>
      </c>
      <c r="CN4" s="55">
        <f>IFERROR(IF(($BP4)&gt;0,($Z4+$AF4)/($BP4),""),"")</f>
        <v/>
      </c>
      <c r="CO4" s="55">
        <f>IFERROR(IF(($CC4)&gt;0,($X4+$AD4)/($CC4),""),"")</f>
        <v/>
      </c>
      <c r="CP4" s="55">
        <f>IFERROR(IF(($CD4)&gt;0,($Y4+$AE4)/($CD4),""),"")</f>
        <v/>
      </c>
      <c r="CQ4" s="55">
        <f>IFERROR(IF(($CE4)&gt;0,($Z4+$AF4)/($CE4),""),"")</f>
        <v/>
      </c>
      <c r="CR4" s="55">
        <f>SUMIFS(tblPlant[Crushed_t],tblPlant[Date],$A4)</f>
        <v/>
      </c>
      <c r="CS4" s="55">
        <f>IF($B4=$B3,$CS3,0)+$CR4</f>
        <v/>
      </c>
      <c r="CT4" s="55">
        <f>$CT3+$CR4</f>
        <v/>
      </c>
      <c r="CU4" s="55">
        <f>SUMIFS(tblPlant[Milled_t],tblPlant[Date],$A4)</f>
        <v/>
      </c>
      <c r="CV4" s="55">
        <f>IF($B4=$B3,$CV3,0)+$CU4</f>
        <v/>
      </c>
      <c r="CW4" s="55">
        <f>$CW3+$CU4</f>
        <v/>
      </c>
      <c r="CX4" s="55">
        <f>SUMIFS(tblPlant[Feed_oz],tblPlant[Date],$A4)</f>
        <v/>
      </c>
      <c r="CY4" s="55">
        <f>IF($B4=$B3,$CY3,0)+$CX4</f>
        <v/>
      </c>
      <c r="CZ4" s="55">
        <f>$CZ3+$CX4</f>
        <v/>
      </c>
      <c r="DA4" s="55">
        <f>SUMIFS(tblPlant[Tails_oz],tblPlant[Date],$A4)</f>
        <v/>
      </c>
      <c r="DB4" s="55">
        <f>IF($B4=$B3,$DB3,0)+$DA4</f>
        <v/>
      </c>
      <c r="DC4" s="55">
        <f>$DC3+$DA4</f>
        <v/>
      </c>
      <c r="DD4" s="55">
        <f>SUMIFS(tblPlant[Recovered_oz],tblPlant[Date],$A4)</f>
        <v/>
      </c>
      <c r="DE4" s="55">
        <f>IF($B4=$B3,$DE3,0)+$DD4</f>
        <v/>
      </c>
      <c r="DF4" s="55">
        <f>$DF3+$DD4</f>
        <v/>
      </c>
      <c r="DG4" s="55">
        <f>SUMIFS(tblPlant[Milled_t],tblPlant[Date],$A4,tblPlant[Head_Grade_gpt],"&lt;&gt;")</f>
        <v/>
      </c>
      <c r="DH4" s="55">
        <f>IF($B4=$B3,$DH3,0)+$DG4</f>
        <v/>
      </c>
      <c r="DI4" s="55">
        <f>$DI3+$DG4</f>
        <v/>
      </c>
      <c r="DJ4" s="55">
        <f>SUMIFS(tblPlant[Milled_t],tblPlant[Date],$A4,tblPlant[Tails_Grade_gpt],"&lt;&gt;")</f>
        <v/>
      </c>
      <c r="DK4" s="55">
        <f>IF($B4=$B3,$DK3,0)+$DJ4</f>
        <v/>
      </c>
      <c r="DL4" s="55">
        <f>$DL3+$DJ4</f>
        <v/>
      </c>
      <c r="DM4" s="55">
        <f>SUMIFS(tblPlant[Feed_oz],tblPlant[Date],$A4,tblPlant[Tails_Grade_gpt],"&lt;&gt;")</f>
        <v/>
      </c>
      <c r="DN4" s="55">
        <f>IF($B4=$B3,$DN3,0)+$DM4</f>
        <v/>
      </c>
      <c r="DO4" s="55">
        <f>$DO3+$DM4</f>
        <v/>
      </c>
      <c r="DP4" s="55">
        <f>SUMIFS(tblPlant[Milled_t],tblPlant[Date],$A4,tblPlant[Mill_Run_h],"&lt;&gt;")</f>
        <v/>
      </c>
      <c r="DQ4" s="55">
        <f>IF($B4=$B3,$DQ3,0)+$DP4</f>
        <v/>
      </c>
      <c r="DR4" s="55">
        <f>$DR3+$DP4</f>
        <v/>
      </c>
      <c r="DS4" s="56">
        <f>IFERROR(IF(($DG4)&gt;0,($CX4*cfg_TroyOz)/($DG4),""),"")</f>
        <v/>
      </c>
      <c r="DT4" s="56">
        <f>IFERROR(IF(($DH4)&gt;0,($CY4*cfg_TroyOz)/($DH4),""),"")</f>
        <v/>
      </c>
      <c r="DU4" s="56">
        <f>IFERROR(IF(($DI4)&gt;0,($CZ4*cfg_TroyOz)/($DI4),""),"")</f>
        <v/>
      </c>
      <c r="DV4" s="56">
        <f>IFERROR(IF(($DJ4)&gt;0,($DA4*cfg_TroyOz)/($DJ4),""),"")</f>
        <v/>
      </c>
      <c r="DW4" s="56">
        <f>IFERROR(IF(($DK4)&gt;0,($DB4*cfg_TroyOz)/($DK4),""),"")</f>
        <v/>
      </c>
      <c r="DX4" s="56">
        <f>IFERROR(IF(($DL4)&gt;0,($DC4*cfg_TroyOz)/($DL4),""),"")</f>
        <v/>
      </c>
      <c r="DY4" s="67">
        <f>IFERROR(IF(($DM4)&gt;0,($DD4)/($DM4),""),"")</f>
        <v/>
      </c>
      <c r="DZ4" s="67">
        <f>IFERROR(IF(($DN4)&gt;0,($DE4)/($DN4),""),"")</f>
        <v/>
      </c>
      <c r="EA4" s="67">
        <f>IFERROR(IF(($DO4)&gt;0,($DF4)/($DO4),""),"")</f>
        <v/>
      </c>
      <c r="EB4" s="55">
        <f>SUMIFS(tblPlant[Gravity_Gold_oz],tblPlant[Date],$A4)</f>
        <v/>
      </c>
      <c r="EC4" s="55">
        <f>IF($B4=$B3,$EC3,0)+$EB4</f>
        <v/>
      </c>
      <c r="ED4" s="55">
        <f>$ED3+$EB4</f>
        <v/>
      </c>
      <c r="EE4" s="67">
        <f>IFERROR(IF(($DD4)&gt;0,($EB4)/($DD4),""),"")</f>
        <v/>
      </c>
      <c r="EF4" s="67">
        <f>IFERROR(IF(($DE4)&gt;0,($EC4)/($DE4),""),"")</f>
        <v/>
      </c>
      <c r="EG4" s="67">
        <f>IFERROR(IF(($DF4)&gt;0,($ED4)/($DF4),""),"")</f>
        <v/>
      </c>
      <c r="EH4" s="55">
        <f>SUMIFS(tblPlant[Gold_Poured_oz],tblPlant[Date],$A4)</f>
        <v/>
      </c>
      <c r="EI4" s="55">
        <f>IF($B4=$B3,$EI3,0)+$EH4</f>
        <v/>
      </c>
      <c r="EJ4" s="55">
        <f>$EJ3+$EH4</f>
        <v/>
      </c>
      <c r="EK4" s="57">
        <f>SUMIFS(tblPlant[Mill_Run_h],tblPlant[Date],$A4)</f>
        <v/>
      </c>
      <c r="EL4" s="57">
        <f>IF($B4=$B3,$EL3,0)+$EK4</f>
        <v/>
      </c>
      <c r="EM4" s="57">
        <f>$EM3+$EK4</f>
        <v/>
      </c>
      <c r="EN4" s="57">
        <f>SUMIFS(tblPlant[Mill_Planned_Maint_h],tblPlant[Date],$A4)</f>
        <v/>
      </c>
      <c r="EO4" s="57">
        <f>IF($B4=$B3,$EO3,0)+$EN4</f>
        <v/>
      </c>
      <c r="EP4" s="57">
        <f>$EP3+$EN4</f>
        <v/>
      </c>
      <c r="EQ4" s="57">
        <f>SUMIFS(tblPlant[Mill_Unplanned_Down_h],tblPlant[Date],$A4)</f>
        <v/>
      </c>
      <c r="ER4" s="57">
        <f>IF($B4=$B3,$ER3,0)+$EQ4</f>
        <v/>
      </c>
      <c r="ES4" s="57">
        <f>$ES3+$EQ4</f>
        <v/>
      </c>
      <c r="ET4" s="57">
        <f>IF(COUNTIFS(tblPlant[Date],$A4,tblPlant[Mill_Run_h],"&lt;&gt;")+COUNTIFS(tblPlant[Date],$A4,tblPlant[Mill_Planned_Maint_h],"&lt;&gt;")+COUNTIFS(tblPlant[Date],$A4,tblPlant[Mill_Unplanned_Down_h],"&lt;&gt;")&gt;0,cfg_HoursPerDay,0)</f>
        <v/>
      </c>
      <c r="EU4" s="57">
        <f>IF($B4=$B3,$EU3,0)+$ET4</f>
        <v/>
      </c>
      <c r="EV4" s="57">
        <f>$EV3+$ET4</f>
        <v/>
      </c>
      <c r="EW4" s="57">
        <f>SUMIFS(tblPlant[Crusher_Run_h],tblPlant[Date],$A4)</f>
        <v/>
      </c>
      <c r="EX4" s="57">
        <f>IF($B4=$B3,$EX3,0)+$EW4</f>
        <v/>
      </c>
      <c r="EY4" s="57">
        <f>$EY3+$EW4</f>
        <v/>
      </c>
      <c r="EZ4" s="55">
        <f>IFERROR(IF(($EK4)&gt;0,($DP4)/($EK4),""),"")</f>
        <v/>
      </c>
      <c r="FA4" s="55">
        <f>IFERROR(IF(($EL4)&gt;0,($DQ4)/($EL4),""),"")</f>
        <v/>
      </c>
      <c r="FB4" s="55">
        <f>IFERROR(IF(($EM4)&gt;0,($DR4)/($EM4),""),"")</f>
        <v/>
      </c>
      <c r="FC4" s="67">
        <f>IFERROR(IF(($ET4)&gt;0,($ET4-$EN4-$EQ4)/($ET4),""),"")</f>
        <v/>
      </c>
      <c r="FD4" s="67">
        <f>IFERROR(IF(($EU4)&gt;0,($EU4-$EO4-$ER4)/($EU4),""),"")</f>
        <v/>
      </c>
      <c r="FE4" s="67">
        <f>IFERROR(IF(($EV4)&gt;0,($EV4-$EP4-$ES4)/($EV4),""),"")</f>
        <v/>
      </c>
      <c r="FF4" s="67">
        <f>IFERROR(IF(($ET4-$EN4-$EQ4)&gt;0,($EK4)/($ET4-$EN4-$EQ4),""),"")</f>
        <v/>
      </c>
      <c r="FG4" s="67">
        <f>IFERROR(IF(($EU4-$EO4-$ER4)&gt;0,($EL4)/($EU4-$EO4-$ER4),""),"")</f>
        <v/>
      </c>
      <c r="FH4" s="67">
        <f>IFERROR(IF(($EV4-$EP4-$ES4)&gt;0,($EM4)/($EV4-$EP4-$ES4),""),"")</f>
        <v/>
      </c>
      <c r="FI4" s="55">
        <f>SUMIFS(tblPlant[Cyanide_kg],tblPlant[Date],$A4)</f>
        <v/>
      </c>
      <c r="FJ4" s="55">
        <f>IF($B4=$B3,$FJ3,0)+$FI4</f>
        <v/>
      </c>
      <c r="FK4" s="55">
        <f>$FK3+$FI4</f>
        <v/>
      </c>
      <c r="FL4" s="55">
        <f>SUMIFS(tblPlant[Lime_kg],tblPlant[Date],$A4)</f>
        <v/>
      </c>
      <c r="FM4" s="55">
        <f>IF($B4=$B3,$FM3,0)+$FL4</f>
        <v/>
      </c>
      <c r="FN4" s="55">
        <f>$FN3+$FL4</f>
        <v/>
      </c>
      <c r="FO4" s="55">
        <f>SUMIFS(tblPlant[Grinding_Media_kg],tblPlant[Date],$A4)</f>
        <v/>
      </c>
      <c r="FP4" s="55">
        <f>IF($B4=$B3,$FP3,0)+$FO4</f>
        <v/>
      </c>
      <c r="FQ4" s="55">
        <f>$FQ3+$FO4</f>
        <v/>
      </c>
      <c r="FR4" s="55">
        <f>SUMIFS(tblPlant[Power_kWh],tblPlant[Date],$A4)</f>
        <v/>
      </c>
      <c r="FS4" s="55">
        <f>IF($B4=$B3,$FS3,0)+$FR4</f>
        <v/>
      </c>
      <c r="FT4" s="55">
        <f>$FT3+$FR4</f>
        <v/>
      </c>
      <c r="FU4" s="55">
        <f>SUMIFS(tblPlant[Raw_Water_m3],tblPlant[Date],$A4)</f>
        <v/>
      </c>
      <c r="FV4" s="55">
        <f>IF($B4=$B3,$FV3,0)+$FU4</f>
        <v/>
      </c>
      <c r="FW4" s="55">
        <f>$FW3+$FU4</f>
        <v/>
      </c>
      <c r="FX4" s="56">
        <f>IFERROR(IF(($CU4)&gt;0,($FI4)/($CU4),""),"")</f>
        <v/>
      </c>
      <c r="FY4" s="56">
        <f>IFERROR(IF(($CV4)&gt;0,($FJ4)/($CV4),""),"")</f>
        <v/>
      </c>
      <c r="FZ4" s="56">
        <f>IFERROR(IF(($CW4)&gt;0,($FK4)/($CW4),""),"")</f>
        <v/>
      </c>
      <c r="GA4" s="56">
        <f>IFERROR(IF(($CU4)&gt;0,($FL4)/($CU4),""),"")</f>
        <v/>
      </c>
      <c r="GB4" s="56">
        <f>IFERROR(IF(($CV4)&gt;0,($FM4)/($CV4),""),"")</f>
        <v/>
      </c>
      <c r="GC4" s="56">
        <f>IFERROR(IF(($CW4)&gt;0,($FN4)/($CW4),""),"")</f>
        <v/>
      </c>
      <c r="GD4" s="56">
        <f>IFERROR(IF(($CU4)&gt;0,($FO4)/($CU4),""),"")</f>
        <v/>
      </c>
      <c r="GE4" s="56">
        <f>IFERROR(IF(($CV4)&gt;0,($FP4)/($CV4),""),"")</f>
        <v/>
      </c>
      <c r="GF4" s="56">
        <f>IFERROR(IF(($CW4)&gt;0,($FQ4)/($CW4),""),"")</f>
        <v/>
      </c>
      <c r="GG4" s="79">
        <f>IFERROR(IF(($CU4)&gt;0,($FR4)/($CU4),""),"")</f>
        <v/>
      </c>
      <c r="GH4" s="79">
        <f>IFERROR(IF(($CV4)&gt;0,($FS4)/($CV4),""),"")</f>
        <v/>
      </c>
      <c r="GI4" s="79">
        <f>IFERROR(IF(($CW4)&gt;0,($FT4)/($CW4),""),"")</f>
        <v/>
      </c>
      <c r="GJ4" s="56">
        <f>IFERROR(IF(($CU4)&gt;0,($FU4)/($CU4),""),"")</f>
        <v/>
      </c>
      <c r="GK4" s="56">
        <f>IFERROR(IF(($CV4)&gt;0,($FV4)/($CV4),""),"")</f>
        <v/>
      </c>
      <c r="GL4" s="56">
        <f>IFERROR(IF(($CW4)&gt;0,($FW4)/($CW4),""),"")</f>
        <v/>
      </c>
      <c r="GM4" s="55">
        <f>IF(SUMIFS(tblPlant[GIC_oz],tblPlant[Date],$A4)&gt;0,SUMIFS(tblPlant[GIC_oz],tblPlant[Date],$A4),"")</f>
        <v/>
      </c>
      <c r="GN4" s="55">
        <f>SUMIFS(tblGold[Gold_oz],tblGold[Date],$A4,tblGold[Type],"Shipment")</f>
        <v/>
      </c>
      <c r="GO4" s="55">
        <f>IF($B4=$B3,$GO3,0)+$GN4</f>
        <v/>
      </c>
      <c r="GP4" s="55">
        <f>$GP3+$GN4</f>
        <v/>
      </c>
      <c r="GQ4" s="55">
        <f>SUMIFS(tblGold[Gold_oz],tblGold[Date],$A4,tblGold[Type],"Sale")</f>
        <v/>
      </c>
      <c r="GR4" s="55">
        <f>IF($B4=$B3,$GR3,0)+$GQ4</f>
        <v/>
      </c>
      <c r="GS4" s="55">
        <f>$GS3+$GQ4</f>
        <v/>
      </c>
      <c r="GT4" s="55">
        <f>SUMIFS(tblGold[Dore_kg],tblGold[Date],$A4,tblGold[Type],"Shipment")</f>
        <v/>
      </c>
      <c r="GU4" s="55">
        <f>IF($B4=$B3,$GU3,0)+$GT4</f>
        <v/>
      </c>
      <c r="GV4" s="55">
        <f>$GV3+$GT4</f>
        <v/>
      </c>
      <c r="GW4" s="57">
        <f>SUMIFS(tblSafety[Hours_Total],tblSafety[Date],$A4)</f>
        <v/>
      </c>
      <c r="GX4" s="57">
        <f>IF($B4=$B3,$GX3,0)+$GW4</f>
        <v/>
      </c>
      <c r="GY4" s="57">
        <f>$GY3+$GW4</f>
        <v/>
      </c>
      <c r="GZ4" s="62">
        <f>SUMIFS(tblSafety[Fatality],tblSafety[Date],$A4)</f>
        <v/>
      </c>
      <c r="HA4" s="62">
        <f>IF($B4=$B3,$HA3,0)+$GZ4</f>
        <v/>
      </c>
      <c r="HB4" s="62">
        <f>$HB3+$GZ4</f>
        <v/>
      </c>
      <c r="HC4" s="62">
        <f>SUMIFS(tblSafety[LTI],tblSafety[Date],$A4)</f>
        <v/>
      </c>
      <c r="HD4" s="62">
        <f>IF($B4=$B3,$HD3,0)+$HC4</f>
        <v/>
      </c>
      <c r="HE4" s="62">
        <f>$HE3+$HC4</f>
        <v/>
      </c>
      <c r="HF4" s="62">
        <f>SUMIFS(tblSafety[RWI],tblSafety[Date],$A4)</f>
        <v/>
      </c>
      <c r="HG4" s="62">
        <f>IF($B4=$B3,$HG3,0)+$HF4</f>
        <v/>
      </c>
      <c r="HH4" s="62">
        <f>$HH3+$HF4</f>
        <v/>
      </c>
      <c r="HI4" s="62">
        <f>SUMIFS(tblSafety[MTI],tblSafety[Date],$A4)</f>
        <v/>
      </c>
      <c r="HJ4" s="62">
        <f>IF($B4=$B3,$HJ3,0)+$HI4</f>
        <v/>
      </c>
      <c r="HK4" s="62">
        <f>$HK3+$HI4</f>
        <v/>
      </c>
      <c r="HL4" s="62">
        <f>SUMIFS(tblSafety[FAI],tblSafety[Date],$A4)</f>
        <v/>
      </c>
      <c r="HM4" s="62">
        <f>IF($B4=$B3,$HM3,0)+$HL4</f>
        <v/>
      </c>
      <c r="HN4" s="62">
        <f>$HN3+$HL4</f>
        <v/>
      </c>
      <c r="HO4" s="62">
        <f>SUMIFS(tblSafety[Recordables],tblSafety[Date],$A4)</f>
        <v/>
      </c>
      <c r="HP4" s="62">
        <f>IF($B4=$B3,$HP3,0)+$HO4</f>
        <v/>
      </c>
      <c r="HQ4" s="62">
        <f>$HQ3+$HO4</f>
        <v/>
      </c>
      <c r="HR4" s="62">
        <f>SUMIFS(tblSafety[Near_Miss],tblSafety[Date],$A4)</f>
        <v/>
      </c>
      <c r="HS4" s="62">
        <f>IF($B4=$B3,$HS3,0)+$HR4</f>
        <v/>
      </c>
      <c r="HT4" s="62">
        <f>$HT3+$HR4</f>
        <v/>
      </c>
      <c r="HU4" s="62">
        <f>SUMIFS(tblSafety[Hazard_Reports],tblSafety[Date],$A4)</f>
        <v/>
      </c>
      <c r="HV4" s="62">
        <f>IF($B4=$B3,$HV3,0)+$HU4</f>
        <v/>
      </c>
      <c r="HW4" s="62">
        <f>$HW3+$HU4</f>
        <v/>
      </c>
      <c r="HX4" s="62">
        <f>SUMIFS(tblSafety[HPI],tblSafety[Date],$A4)</f>
        <v/>
      </c>
      <c r="HY4" s="62">
        <f>IF($B4=$B3,$HY3,0)+$HX4</f>
        <v/>
      </c>
      <c r="HZ4" s="62">
        <f>$HZ3+$HX4</f>
        <v/>
      </c>
      <c r="IA4" s="62">
        <f>SUMIFS(tblSafety[Env_Incidents],tblSafety[Date],$A4)</f>
        <v/>
      </c>
      <c r="IB4" s="62">
        <f>IF($B4=$B3,$IB3,0)+$IA4</f>
        <v/>
      </c>
      <c r="IC4" s="62">
        <f>$IC3+$IA4</f>
        <v/>
      </c>
      <c r="ID4" s="62">
        <f>SUMIFS(tblSafety[Community_Incidents],tblSafety[Date],$A4)</f>
        <v/>
      </c>
      <c r="IE4" s="62">
        <f>IF($B4=$B3,$IE3,0)+$ID4</f>
        <v/>
      </c>
      <c r="IF4" s="62">
        <f>$IF3+$ID4</f>
        <v/>
      </c>
      <c r="IG4" s="62">
        <f>SUMIFS(tblSafety[Vehicle_Incidents],tblSafety[Date],$A4)</f>
        <v/>
      </c>
      <c r="IH4" s="62">
        <f>IF($B4=$B3,$IH3,0)+$IG4</f>
        <v/>
      </c>
      <c r="II4" s="62">
        <f>$II3+$IG4</f>
        <v/>
      </c>
      <c r="IJ4" s="62">
        <f>SUMIFS(tblSafety[Toolbox_Talks],tblSafety[Date],$A4)</f>
        <v/>
      </c>
      <c r="IK4" s="62">
        <f>IF($B4=$B3,$IK3,0)+$IJ4</f>
        <v/>
      </c>
      <c r="IL4" s="62">
        <f>$IL3+$IJ4</f>
        <v/>
      </c>
      <c r="IM4" s="62">
        <f>SUMIFS(tblSafety[Inspections],tblSafety[Date],$A4)</f>
        <v/>
      </c>
      <c r="IN4" s="62">
        <f>IF($B4=$B3,$IN3,0)+$IM4</f>
        <v/>
      </c>
      <c r="IO4" s="62">
        <f>$IO3+$IM4</f>
        <v/>
      </c>
      <c r="IP4" s="56">
        <f>IFERROR((SUMIFS(tblSafety[Recordables],tblSafety[Date],"&gt;="&amp;EDATE($E4,-12),tblSafety[Date],"&lt;="&amp;$A4)+SUMIFS(tblSafetyHistory[Recordables],tblSafetyHistory[Month],"&gt;="&amp;EDATE($E4,-12),tblSafetyHistory[Month],"&lt;"&amp;$E4,tblSafetyHistory[Use],1))/(SUMIFS(tblSafety[Hours_Total],tblSafety[Date],"&gt;="&amp;EDATE($E4,-12),tblSafety[Date],"&lt;="&amp;$A4)+SUMIFS(tblSafetyHistory[Hours_Total],tblSafetyHistory[Month],"&gt;="&amp;EDATE($E4,-12),tblSafetyHistory[Month],"&lt;"&amp;$E4,tblSafetyHistory[Use],1))*cfg_RateBasisHours,"")</f>
        <v/>
      </c>
      <c r="IQ4" s="56">
        <f>IFERROR((SUMIFS(tblSafety[LTI],tblSafety[Date],"&gt;="&amp;EDATE($E4,-12),tblSafety[Date],"&lt;="&amp;$A4)+SUMIFS(tblSafetyHistory[LTI],tblSafetyHistory[Month],"&gt;="&amp;EDATE($E4,-12),tblSafetyHistory[Month],"&lt;"&amp;$E4,tblSafetyHistory[Use],1))/(SUMIFS(tblSafety[Hours_Total],tblSafety[Date],"&gt;="&amp;EDATE($E4,-12),tblSafety[Date],"&lt;="&amp;$A4)+SUMIFS(tblSafetyHistory[Hours_Total],tblSafetyHistory[Month],"&gt;="&amp;EDATE($E4,-12),tblSafetyHistory[Month],"&lt;"&amp;$E4,tblSafetyHistory[Use],1))*cfg_RateBasisHours,"")</f>
        <v/>
      </c>
      <c r="IR4" s="62">
        <f>IF(MAX(N(cfg_PriorLTIDate),_xlfn.MAXIFS(tblSafety[Date],tblSafety[LTI],"&gt;0",tblSafety[Date],"&lt;="&amp;$A4))=0,"",$A4-MAX(N(cfg_PriorLTIDate),_xlfn.MAXIFS(tblSafety[Date],tblSafety[LTI],"&gt;0",tblSafety[Date],"&lt;="&amp;$A4)))</f>
        <v/>
      </c>
      <c r="IS4" s="55">
        <f>SUMIFS(tblBudget[Ore_Mined_t],tblBudget[Month],$E4)</f>
        <v/>
      </c>
      <c r="IT4" s="55">
        <f>$IS4*$C4/$D4</f>
        <v/>
      </c>
      <c r="IU4" s="55">
        <f>SUMIFS(tblBudget[Ore_Mined_t],tblBudget[Month],"&lt;"&amp;$E4)+$IT4</f>
        <v/>
      </c>
      <c r="IV4" s="55">
        <f>SUMIFS(tblBudget[Ore_oz],tblBudget[Month],$E4)</f>
        <v/>
      </c>
      <c r="IW4" s="55">
        <f>$IV4*$C4/$D4</f>
        <v/>
      </c>
      <c r="IX4" s="55">
        <f>SUMIFS(tblBudget[Ore_oz],tblBudget[Month],"&lt;"&amp;$E4)+$IW4</f>
        <v/>
      </c>
      <c r="IY4" s="55">
        <f>SUMIFS(tblBudget[Ore_Mined_t],tblBudget[Month],$E4)</f>
        <v/>
      </c>
      <c r="IZ4" s="55">
        <f>$IY4*$C4/$D4</f>
        <v/>
      </c>
      <c r="JA4" s="55">
        <f>SUMIFS(tblBudget[Ore_Mined_t],tblBudget[Month],"&lt;"&amp;$E4)+$IZ4</f>
        <v/>
      </c>
      <c r="JB4" s="56">
        <f>IFERROR(IF(($IY4)&gt;0,($IV4*cfg_TroyOz)/($IY4),""),"")</f>
        <v/>
      </c>
      <c r="JC4" s="56">
        <f>IFERROR(IF(($IZ4)&gt;0,($IW4*cfg_TroyOz)/($IZ4),""),"")</f>
        <v/>
      </c>
      <c r="JD4" s="56">
        <f>IFERROR(IF(($JA4)&gt;0,($IX4*cfg_TroyOz)/($JA4),""),"")</f>
        <v/>
      </c>
      <c r="JE4" s="55">
        <f>SUMIFS(tblBudget[Waste_t],tblBudget[Month],$E4)</f>
        <v/>
      </c>
      <c r="JF4" s="55">
        <f>$JE4*$C4/$D4</f>
        <v/>
      </c>
      <c r="JG4" s="55">
        <f>SUMIFS(tblBudget[Waste_t],tblBudget[Month],"&lt;"&amp;$E4)+$JF4</f>
        <v/>
      </c>
      <c r="JH4" s="55">
        <f>SUMIFS(tblBudget[TMM_t],tblBudget[Month],$E4)</f>
        <v/>
      </c>
      <c r="JI4" s="55">
        <f>$JH4*$C4/$D4</f>
        <v/>
      </c>
      <c r="JJ4" s="55">
        <f>SUMIFS(tblBudget[TMM_t],tblBudget[Month],"&lt;"&amp;$E4)+$JI4</f>
        <v/>
      </c>
      <c r="JK4" s="56">
        <f>IFERROR(IF(($IS4)&gt;0,($JE4)/($IS4),""),"")</f>
        <v/>
      </c>
      <c r="JL4" s="56">
        <f>IFERROR(IF(($IT4)&gt;0,($JF4)/($IT4),""),"")</f>
        <v/>
      </c>
      <c r="JM4" s="56">
        <f>IFERROR(IF(($IU4)&gt;0,($JG4)/($IU4),""),"")</f>
        <v/>
      </c>
      <c r="JN4" s="55">
        <f>SUMIFS(tblBudget[Drill_m],tblBudget[Month],$E4)</f>
        <v/>
      </c>
      <c r="JO4" s="55">
        <f>$JN4*$C4/$D4</f>
        <v/>
      </c>
      <c r="JP4" s="55">
        <f>SUMIFS(tblBudget[Drill_m],tblBudget[Month],"&lt;"&amp;$E4)+$JO4</f>
        <v/>
      </c>
      <c r="JQ4" s="55">
        <f>SUMIFS(tblBudget[Diesel_L],tblBudget[Month],$E4)</f>
        <v/>
      </c>
      <c r="JR4" s="55">
        <f>$JQ4*$C4/$D4</f>
        <v/>
      </c>
      <c r="JS4" s="55">
        <f>SUMIFS(tblBudget[Diesel_L],tblBudget[Month],"&lt;"&amp;$E4)+$JR4</f>
        <v/>
      </c>
      <c r="JT4" s="55">
        <f>SUMIFS(tblBudget[Milled_t],tblBudget[Month],$E4)</f>
        <v/>
      </c>
      <c r="JU4" s="55">
        <f>$JT4*$C4/$D4</f>
        <v/>
      </c>
      <c r="JV4" s="55">
        <f>SUMIFS(tblBudget[Milled_t],tblBudget[Month],"&lt;"&amp;$E4)+$JU4</f>
        <v/>
      </c>
      <c r="JW4" s="55">
        <f>SUMIFS(tblBudget[Feed_oz],tblBudget[Month],$E4)</f>
        <v/>
      </c>
      <c r="JX4" s="55">
        <f>$JW4*$C4/$D4</f>
        <v/>
      </c>
      <c r="JY4" s="55">
        <f>SUMIFS(tblBudget[Feed_oz],tblBudget[Month],"&lt;"&amp;$E4)+$JX4</f>
        <v/>
      </c>
      <c r="JZ4" s="55">
        <f>SUMIFS(tblBudget[Recovered_oz],tblBudget[Month],$E4)</f>
        <v/>
      </c>
      <c r="KA4" s="55">
        <f>$JZ4*$C4/$D4</f>
        <v/>
      </c>
      <c r="KB4" s="55">
        <f>SUMIFS(tblBudget[Recovered_oz],tblBudget[Month],"&lt;"&amp;$E4)+$KA4</f>
        <v/>
      </c>
      <c r="KC4" s="55">
        <f>SUMIFS(tblBudget[Milled_t],tblBudget[Month],$E4)</f>
        <v/>
      </c>
      <c r="KD4" s="55">
        <f>$KC4*$C4/$D4</f>
        <v/>
      </c>
      <c r="KE4" s="55">
        <f>SUMIFS(tblBudget[Milled_t],tblBudget[Month],"&lt;"&amp;$E4)+$KD4</f>
        <v/>
      </c>
      <c r="KF4" s="55">
        <f>SUMIFS(tblBudget[Feed_oz],tblBudget[Month],$E4)</f>
        <v/>
      </c>
      <c r="KG4" s="55">
        <f>$KF4*$C4/$D4</f>
        <v/>
      </c>
      <c r="KH4" s="55">
        <f>SUMIFS(tblBudget[Feed_oz],tblBudget[Month],"&lt;"&amp;$E4)+$KG4</f>
        <v/>
      </c>
      <c r="KI4" s="56">
        <f>IFERROR(IF(($KC4)&gt;0,($JW4*cfg_TroyOz)/($KC4),""),"")</f>
        <v/>
      </c>
      <c r="KJ4" s="56">
        <f>IFERROR(IF(($KD4)&gt;0,($JX4*cfg_TroyOz)/($KD4),""),"")</f>
        <v/>
      </c>
      <c r="KK4" s="56">
        <f>IFERROR(IF(($KE4)&gt;0,($JY4*cfg_TroyOz)/($KE4),""),"")</f>
        <v/>
      </c>
      <c r="KL4" s="67">
        <f>IFERROR(IF(($KF4)&gt;0,($JZ4)/($KF4),""),"")</f>
        <v/>
      </c>
      <c r="KM4" s="67">
        <f>IFERROR(IF(($KG4)&gt;0,($KA4)/($KG4),""),"")</f>
        <v/>
      </c>
      <c r="KN4" s="67">
        <f>IFERROR(IF(($KH4)&gt;0,($KB4)/($KH4),""),"")</f>
        <v/>
      </c>
      <c r="KO4" s="55">
        <f>SUMIFS(tblBudget[Gold_Poured_oz],tblBudget[Month],$E4)</f>
        <v/>
      </c>
      <c r="KP4" s="55">
        <f>$KO4*$C4/$D4</f>
        <v/>
      </c>
      <c r="KQ4" s="55">
        <f>SUMIFS(tblBudget[Gold_Poured_oz],tblBudget[Month],"&lt;"&amp;$E4)+$KP4</f>
        <v/>
      </c>
      <c r="KR4" s="57">
        <f>SUMIFS(tblBudget[Hours_Worked],tblBudget[Month],$E4)</f>
        <v/>
      </c>
      <c r="KS4" s="57">
        <f>$KR4*$C4/$D4</f>
        <v/>
      </c>
      <c r="KT4" s="57">
        <f>SUMIFS(tblBudget[Hours_Worked],tblBudget[Month],"&lt;"&amp;$E4)+$KS4</f>
        <v/>
      </c>
    </row>
    <row r="5">
      <c r="A5" s="54" t="n">
        <v>46026</v>
      </c>
      <c r="B5">
        <f>MONTH($A5)</f>
        <v/>
      </c>
      <c r="C5">
        <f>DAY($A5)</f>
        <v/>
      </c>
      <c r="D5">
        <f>DAY(EOMONTH($A5,0))</f>
        <v/>
      </c>
      <c r="E5" s="54">
        <f>DATE(YEAR($A5),MONTH($A5),1)</f>
        <v/>
      </c>
      <c r="F5" s="55">
        <f>SUMIFS(tblMovement[Tonnes_t],tblMovement[Date],$A5,tblMovement[Is_Ore],1,tblMovement[Source_Type],"Pit")</f>
        <v/>
      </c>
      <c r="G5" s="55">
        <f>IF($B5=$B4,$G4,0)+$F5</f>
        <v/>
      </c>
      <c r="H5" s="55">
        <f>$H4+$F5</f>
        <v/>
      </c>
      <c r="I5" s="55">
        <f>SUMIFS(tblMovement[Ore_oz],tblMovement[Date],$A5,tblMovement[Source_Type],"Pit")</f>
        <v/>
      </c>
      <c r="J5" s="55">
        <f>IF($B5=$B4,$J4,0)+$I5</f>
        <v/>
      </c>
      <c r="K5" s="55">
        <f>$K4+$I5</f>
        <v/>
      </c>
      <c r="L5" s="55">
        <f>SUMIFS(tblMovement[Tonnes_t],tblMovement[Date],$A5,tblMovement[Is_Ore],1,tblMovement[Source_Type],"Pit",tblMovement[Grade_gpt],"&lt;&gt;")</f>
        <v/>
      </c>
      <c r="M5" s="55">
        <f>IF($B5=$B4,$M4,0)+$L5</f>
        <v/>
      </c>
      <c r="N5" s="55">
        <f>$N4+$L5</f>
        <v/>
      </c>
      <c r="O5" s="56">
        <f>IFERROR(IF(($L5)&gt;0,($I5*cfg_TroyOz)/($L5),""),"")</f>
        <v/>
      </c>
      <c r="P5" s="56">
        <f>IFERROR(IF(($M5)&gt;0,($J5*cfg_TroyOz)/($M5),""),"")</f>
        <v/>
      </c>
      <c r="Q5" s="56">
        <f>IFERROR(IF(($N5)&gt;0,($K5*cfg_TroyOz)/($N5),""),"")</f>
        <v/>
      </c>
      <c r="R5" s="55">
        <f>$F5-$L5</f>
        <v/>
      </c>
      <c r="S5" s="55">
        <f>IF($B5=$B4,$S4,0)+$R5</f>
        <v/>
      </c>
      <c r="T5" s="55">
        <f>$T4+$R5</f>
        <v/>
      </c>
      <c r="U5" s="55">
        <f>SUMIFS(tblMovement[Tonnes_t],tblMovement[Date],$A5,tblMovement[Is_Ore],0,tblMovement[Source_Type],"Pit")</f>
        <v/>
      </c>
      <c r="V5" s="55">
        <f>IF($B5=$B4,$V4,0)+$U5</f>
        <v/>
      </c>
      <c r="W5" s="55">
        <f>$W4+$U5</f>
        <v/>
      </c>
      <c r="X5" s="55">
        <f>$F5+$U5</f>
        <v/>
      </c>
      <c r="Y5" s="55">
        <f>IF($B5=$B4,$Y4,0)+$X5</f>
        <v/>
      </c>
      <c r="Z5" s="55">
        <f>$Z4+$X5</f>
        <v/>
      </c>
      <c r="AA5" s="56">
        <f>IFERROR(IF(($F5)&gt;0,($U5)/($F5),""),"")</f>
        <v/>
      </c>
      <c r="AB5" s="56">
        <f>IFERROR(IF(($G5)&gt;0,($V5)/($G5),""),"")</f>
        <v/>
      </c>
      <c r="AC5" s="56">
        <f>IFERROR(IF(($H5)&gt;0,($W5)/($H5),""),"")</f>
        <v/>
      </c>
      <c r="AD5" s="55">
        <f>SUMIFS(tblMovement[Tonnes_t],tblMovement[Date],$A5,tblMovement[Source_Type],"Stockpile")</f>
        <v/>
      </c>
      <c r="AE5" s="55">
        <f>IF($B5=$B4,$AE4,0)+$AD5</f>
        <v/>
      </c>
      <c r="AF5" s="55">
        <f>$AF4+$AD5</f>
        <v/>
      </c>
      <c r="AG5" s="55">
        <f>SUMIFS(tblMovement[Tonnes_t],tblMovement[Date],$A5)</f>
        <v/>
      </c>
      <c r="AH5" s="55">
        <f>IF($B5=$B4,$AH4,0)+$AG5</f>
        <v/>
      </c>
      <c r="AI5" s="55">
        <f>$AI4+$AG5</f>
        <v/>
      </c>
      <c r="AJ5" s="55">
        <f>$AG5-$X5-$AD5</f>
        <v/>
      </c>
      <c r="AK5" s="55">
        <f>IF($B5=$B4,$AK4,0)+$AJ5</f>
        <v/>
      </c>
      <c r="AL5" s="55">
        <f>$AL4+$AJ5</f>
        <v/>
      </c>
      <c r="AM5" s="55">
        <f>SUMIFS(tblMiningDaily[Drill_m],tblMiningDaily[Date],$A5)</f>
        <v/>
      </c>
      <c r="AN5" s="55">
        <f>IF($B5=$B4,$AN4,0)+$AM5</f>
        <v/>
      </c>
      <c r="AO5" s="55">
        <f>$AO4+$AM5</f>
        <v/>
      </c>
      <c r="AP5" s="55">
        <f>SUMIFS(tblMiningDaily[GC_Drill_m],tblMiningDaily[Date],$A5)</f>
        <v/>
      </c>
      <c r="AQ5" s="55">
        <f>IF($B5=$B4,$AQ4,0)+$AP5</f>
        <v/>
      </c>
      <c r="AR5" s="55">
        <f>$AR4+$AP5</f>
        <v/>
      </c>
      <c r="AS5" s="55">
        <f>SUMIFS(tblMiningDaily[Blast_t],tblMiningDaily[Date],$A5)</f>
        <v/>
      </c>
      <c r="AT5" s="55">
        <f>IF($B5=$B4,$AT4,0)+$AS5</f>
        <v/>
      </c>
      <c r="AU5" s="55">
        <f>$AU4+$AS5</f>
        <v/>
      </c>
      <c r="AV5" s="55">
        <f>SUMIFS(tblMiningDaily[Explosives_kg],tblMiningDaily[Date],$A5)</f>
        <v/>
      </c>
      <c r="AW5" s="55">
        <f>IF($B5=$B4,$AW4,0)+$AV5</f>
        <v/>
      </c>
      <c r="AX5" s="55">
        <f>$AX4+$AV5</f>
        <v/>
      </c>
      <c r="AY5" s="56">
        <f>IFERROR(IF(($AS5)&gt;0,($AV5)/($AS5),""),"")</f>
        <v/>
      </c>
      <c r="AZ5" s="56">
        <f>IFERROR(IF(($AT5)&gt;0,($AW5)/($AT5),""),"")</f>
        <v/>
      </c>
      <c r="BA5" s="56">
        <f>IFERROR(IF(($AU5)&gt;0,($AX5)/($AU5),""),"")</f>
        <v/>
      </c>
      <c r="BB5" s="55">
        <f>SUMIFS(tblMiningDaily[Diesel_L],tblMiningDaily[Date],$A5)</f>
        <v/>
      </c>
      <c r="BC5" s="55">
        <f>IF($B5=$B4,$BC4,0)+$BB5</f>
        <v/>
      </c>
      <c r="BD5" s="55">
        <f>$BD4+$BB5</f>
        <v/>
      </c>
      <c r="BE5" s="55">
        <f>SUMIFS(tblMiningDaily[Dewatering_m3],tblMiningDaily[Date],$A5)</f>
        <v/>
      </c>
      <c r="BF5" s="55">
        <f>IF($B5=$B4,$BF4,0)+$BE5</f>
        <v/>
      </c>
      <c r="BG5" s="55">
        <f>$BG4+$BE5</f>
        <v/>
      </c>
      <c r="BH5" s="57">
        <f>SUMIFS(tblFleet[Calendar_h],tblFleet[Date],$A5,tblFleet[Equipment_Class],"Excavator")</f>
        <v/>
      </c>
      <c r="BI5" s="57">
        <f>IF($B5=$B4,$BI4,0)+$BH5</f>
        <v/>
      </c>
      <c r="BJ5" s="57">
        <f>$BJ4+$BH5</f>
        <v/>
      </c>
      <c r="BK5" s="57">
        <f>SUMIFS(tblFleet[Available_h],tblFleet[Date],$A5,tblFleet[Equipment_Class],"Excavator")</f>
        <v/>
      </c>
      <c r="BL5" s="57">
        <f>IF($B5=$B4,$BL4,0)+$BK5</f>
        <v/>
      </c>
      <c r="BM5" s="57">
        <f>$BM4+$BK5</f>
        <v/>
      </c>
      <c r="BN5" s="57">
        <f>SUMIFS(tblFleet[Operating_h],tblFleet[Date],$A5,tblFleet[Equipment_Class],"Excavator")</f>
        <v/>
      </c>
      <c r="BO5" s="57">
        <f>IF($B5=$B4,$BO4,0)+$BN5</f>
        <v/>
      </c>
      <c r="BP5" s="57">
        <f>$BP4+$BN5</f>
        <v/>
      </c>
      <c r="BQ5" s="67">
        <f>IFERROR(IF(($BH5)&gt;0,($BK5)/($BH5),""),"")</f>
        <v/>
      </c>
      <c r="BR5" s="67">
        <f>IFERROR(IF(($BI5)&gt;0,($BL5)/($BI5),""),"")</f>
        <v/>
      </c>
      <c r="BS5" s="67">
        <f>IFERROR(IF(($BJ5)&gt;0,($BM5)/($BJ5),""),"")</f>
        <v/>
      </c>
      <c r="BT5" s="67">
        <f>IFERROR(IF(($BK5)&gt;0,($BN5)/($BK5),""),"")</f>
        <v/>
      </c>
      <c r="BU5" s="67">
        <f>IFERROR(IF(($BL5)&gt;0,($BO5)/($BL5),""),"")</f>
        <v/>
      </c>
      <c r="BV5" s="67">
        <f>IFERROR(IF(($BM5)&gt;0,($BP5)/($BM5),""),"")</f>
        <v/>
      </c>
      <c r="BW5" s="57">
        <f>SUMIFS(tblFleet[Calendar_h],tblFleet[Date],$A5,tblFleet[Equipment_Class],"Haul Truck")</f>
        <v/>
      </c>
      <c r="BX5" s="57">
        <f>IF($B5=$B4,$BX4,0)+$BW5</f>
        <v/>
      </c>
      <c r="BY5" s="57">
        <f>$BY4+$BW5</f>
        <v/>
      </c>
      <c r="BZ5" s="57">
        <f>SUMIFS(tblFleet[Available_h],tblFleet[Date],$A5,tblFleet[Equipment_Class],"Haul Truck")</f>
        <v/>
      </c>
      <c r="CA5" s="57">
        <f>IF($B5=$B4,$CA4,0)+$BZ5</f>
        <v/>
      </c>
      <c r="CB5" s="57">
        <f>$CB4+$BZ5</f>
        <v/>
      </c>
      <c r="CC5" s="57">
        <f>SUMIFS(tblFleet[Operating_h],tblFleet[Date],$A5,tblFleet[Equipment_Class],"Haul Truck")</f>
        <v/>
      </c>
      <c r="CD5" s="57">
        <f>IF($B5=$B4,$CD4,0)+$CC5</f>
        <v/>
      </c>
      <c r="CE5" s="57">
        <f>$CE4+$CC5</f>
        <v/>
      </c>
      <c r="CF5" s="67">
        <f>IFERROR(IF(($BW5)&gt;0,($BZ5)/($BW5),""),"")</f>
        <v/>
      </c>
      <c r="CG5" s="67">
        <f>IFERROR(IF(($BX5)&gt;0,($CA5)/($BX5),""),"")</f>
        <v/>
      </c>
      <c r="CH5" s="67">
        <f>IFERROR(IF(($BY5)&gt;0,($CB5)/($BY5),""),"")</f>
        <v/>
      </c>
      <c r="CI5" s="67">
        <f>IFERROR(IF(($BZ5)&gt;0,($CC5)/($BZ5),""),"")</f>
        <v/>
      </c>
      <c r="CJ5" s="67">
        <f>IFERROR(IF(($CA5)&gt;0,($CD5)/($CA5),""),"")</f>
        <v/>
      </c>
      <c r="CK5" s="67">
        <f>IFERROR(IF(($CB5)&gt;0,($CE5)/($CB5),""),"")</f>
        <v/>
      </c>
      <c r="CL5" s="55">
        <f>IFERROR(IF(($BN5)&gt;0,($X5+$AD5)/($BN5),""),"")</f>
        <v/>
      </c>
      <c r="CM5" s="55">
        <f>IFERROR(IF(($BO5)&gt;0,($Y5+$AE5)/($BO5),""),"")</f>
        <v/>
      </c>
      <c r="CN5" s="55">
        <f>IFERROR(IF(($BP5)&gt;0,($Z5+$AF5)/($BP5),""),"")</f>
        <v/>
      </c>
      <c r="CO5" s="55">
        <f>IFERROR(IF(($CC5)&gt;0,($X5+$AD5)/($CC5),""),"")</f>
        <v/>
      </c>
      <c r="CP5" s="55">
        <f>IFERROR(IF(($CD5)&gt;0,($Y5+$AE5)/($CD5),""),"")</f>
        <v/>
      </c>
      <c r="CQ5" s="55">
        <f>IFERROR(IF(($CE5)&gt;0,($Z5+$AF5)/($CE5),""),"")</f>
        <v/>
      </c>
      <c r="CR5" s="55">
        <f>SUMIFS(tblPlant[Crushed_t],tblPlant[Date],$A5)</f>
        <v/>
      </c>
      <c r="CS5" s="55">
        <f>IF($B5=$B4,$CS4,0)+$CR5</f>
        <v/>
      </c>
      <c r="CT5" s="55">
        <f>$CT4+$CR5</f>
        <v/>
      </c>
      <c r="CU5" s="55">
        <f>SUMIFS(tblPlant[Milled_t],tblPlant[Date],$A5)</f>
        <v/>
      </c>
      <c r="CV5" s="55">
        <f>IF($B5=$B4,$CV4,0)+$CU5</f>
        <v/>
      </c>
      <c r="CW5" s="55">
        <f>$CW4+$CU5</f>
        <v/>
      </c>
      <c r="CX5" s="55">
        <f>SUMIFS(tblPlant[Feed_oz],tblPlant[Date],$A5)</f>
        <v/>
      </c>
      <c r="CY5" s="55">
        <f>IF($B5=$B4,$CY4,0)+$CX5</f>
        <v/>
      </c>
      <c r="CZ5" s="55">
        <f>$CZ4+$CX5</f>
        <v/>
      </c>
      <c r="DA5" s="55">
        <f>SUMIFS(tblPlant[Tails_oz],tblPlant[Date],$A5)</f>
        <v/>
      </c>
      <c r="DB5" s="55">
        <f>IF($B5=$B4,$DB4,0)+$DA5</f>
        <v/>
      </c>
      <c r="DC5" s="55">
        <f>$DC4+$DA5</f>
        <v/>
      </c>
      <c r="DD5" s="55">
        <f>SUMIFS(tblPlant[Recovered_oz],tblPlant[Date],$A5)</f>
        <v/>
      </c>
      <c r="DE5" s="55">
        <f>IF($B5=$B4,$DE4,0)+$DD5</f>
        <v/>
      </c>
      <c r="DF5" s="55">
        <f>$DF4+$DD5</f>
        <v/>
      </c>
      <c r="DG5" s="55">
        <f>SUMIFS(tblPlant[Milled_t],tblPlant[Date],$A5,tblPlant[Head_Grade_gpt],"&lt;&gt;")</f>
        <v/>
      </c>
      <c r="DH5" s="55">
        <f>IF($B5=$B4,$DH4,0)+$DG5</f>
        <v/>
      </c>
      <c r="DI5" s="55">
        <f>$DI4+$DG5</f>
        <v/>
      </c>
      <c r="DJ5" s="55">
        <f>SUMIFS(tblPlant[Milled_t],tblPlant[Date],$A5,tblPlant[Tails_Grade_gpt],"&lt;&gt;")</f>
        <v/>
      </c>
      <c r="DK5" s="55">
        <f>IF($B5=$B4,$DK4,0)+$DJ5</f>
        <v/>
      </c>
      <c r="DL5" s="55">
        <f>$DL4+$DJ5</f>
        <v/>
      </c>
      <c r="DM5" s="55">
        <f>SUMIFS(tblPlant[Feed_oz],tblPlant[Date],$A5,tblPlant[Tails_Grade_gpt],"&lt;&gt;")</f>
        <v/>
      </c>
      <c r="DN5" s="55">
        <f>IF($B5=$B4,$DN4,0)+$DM5</f>
        <v/>
      </c>
      <c r="DO5" s="55">
        <f>$DO4+$DM5</f>
        <v/>
      </c>
      <c r="DP5" s="55">
        <f>SUMIFS(tblPlant[Milled_t],tblPlant[Date],$A5,tblPlant[Mill_Run_h],"&lt;&gt;")</f>
        <v/>
      </c>
      <c r="DQ5" s="55">
        <f>IF($B5=$B4,$DQ4,0)+$DP5</f>
        <v/>
      </c>
      <c r="DR5" s="55">
        <f>$DR4+$DP5</f>
        <v/>
      </c>
      <c r="DS5" s="56">
        <f>IFERROR(IF(($DG5)&gt;0,($CX5*cfg_TroyOz)/($DG5),""),"")</f>
        <v/>
      </c>
      <c r="DT5" s="56">
        <f>IFERROR(IF(($DH5)&gt;0,($CY5*cfg_TroyOz)/($DH5),""),"")</f>
        <v/>
      </c>
      <c r="DU5" s="56">
        <f>IFERROR(IF(($DI5)&gt;0,($CZ5*cfg_TroyOz)/($DI5),""),"")</f>
        <v/>
      </c>
      <c r="DV5" s="56">
        <f>IFERROR(IF(($DJ5)&gt;0,($DA5*cfg_TroyOz)/($DJ5),""),"")</f>
        <v/>
      </c>
      <c r="DW5" s="56">
        <f>IFERROR(IF(($DK5)&gt;0,($DB5*cfg_TroyOz)/($DK5),""),"")</f>
        <v/>
      </c>
      <c r="DX5" s="56">
        <f>IFERROR(IF(($DL5)&gt;0,($DC5*cfg_TroyOz)/($DL5),""),"")</f>
        <v/>
      </c>
      <c r="DY5" s="67">
        <f>IFERROR(IF(($DM5)&gt;0,($DD5)/($DM5),""),"")</f>
        <v/>
      </c>
      <c r="DZ5" s="67">
        <f>IFERROR(IF(($DN5)&gt;0,($DE5)/($DN5),""),"")</f>
        <v/>
      </c>
      <c r="EA5" s="67">
        <f>IFERROR(IF(($DO5)&gt;0,($DF5)/($DO5),""),"")</f>
        <v/>
      </c>
      <c r="EB5" s="55">
        <f>SUMIFS(tblPlant[Gravity_Gold_oz],tblPlant[Date],$A5)</f>
        <v/>
      </c>
      <c r="EC5" s="55">
        <f>IF($B5=$B4,$EC4,0)+$EB5</f>
        <v/>
      </c>
      <c r="ED5" s="55">
        <f>$ED4+$EB5</f>
        <v/>
      </c>
      <c r="EE5" s="67">
        <f>IFERROR(IF(($DD5)&gt;0,($EB5)/($DD5),""),"")</f>
        <v/>
      </c>
      <c r="EF5" s="67">
        <f>IFERROR(IF(($DE5)&gt;0,($EC5)/($DE5),""),"")</f>
        <v/>
      </c>
      <c r="EG5" s="67">
        <f>IFERROR(IF(($DF5)&gt;0,($ED5)/($DF5),""),"")</f>
        <v/>
      </c>
      <c r="EH5" s="55">
        <f>SUMIFS(tblPlant[Gold_Poured_oz],tblPlant[Date],$A5)</f>
        <v/>
      </c>
      <c r="EI5" s="55">
        <f>IF($B5=$B4,$EI4,0)+$EH5</f>
        <v/>
      </c>
      <c r="EJ5" s="55">
        <f>$EJ4+$EH5</f>
        <v/>
      </c>
      <c r="EK5" s="57">
        <f>SUMIFS(tblPlant[Mill_Run_h],tblPlant[Date],$A5)</f>
        <v/>
      </c>
      <c r="EL5" s="57">
        <f>IF($B5=$B4,$EL4,0)+$EK5</f>
        <v/>
      </c>
      <c r="EM5" s="57">
        <f>$EM4+$EK5</f>
        <v/>
      </c>
      <c r="EN5" s="57">
        <f>SUMIFS(tblPlant[Mill_Planned_Maint_h],tblPlant[Date],$A5)</f>
        <v/>
      </c>
      <c r="EO5" s="57">
        <f>IF($B5=$B4,$EO4,0)+$EN5</f>
        <v/>
      </c>
      <c r="EP5" s="57">
        <f>$EP4+$EN5</f>
        <v/>
      </c>
      <c r="EQ5" s="57">
        <f>SUMIFS(tblPlant[Mill_Unplanned_Down_h],tblPlant[Date],$A5)</f>
        <v/>
      </c>
      <c r="ER5" s="57">
        <f>IF($B5=$B4,$ER4,0)+$EQ5</f>
        <v/>
      </c>
      <c r="ES5" s="57">
        <f>$ES4+$EQ5</f>
        <v/>
      </c>
      <c r="ET5" s="57">
        <f>IF(COUNTIFS(tblPlant[Date],$A5,tblPlant[Mill_Run_h],"&lt;&gt;")+COUNTIFS(tblPlant[Date],$A5,tblPlant[Mill_Planned_Maint_h],"&lt;&gt;")+COUNTIFS(tblPlant[Date],$A5,tblPlant[Mill_Unplanned_Down_h],"&lt;&gt;")&gt;0,cfg_HoursPerDay,0)</f>
        <v/>
      </c>
      <c r="EU5" s="57">
        <f>IF($B5=$B4,$EU4,0)+$ET5</f>
        <v/>
      </c>
      <c r="EV5" s="57">
        <f>$EV4+$ET5</f>
        <v/>
      </c>
      <c r="EW5" s="57">
        <f>SUMIFS(tblPlant[Crusher_Run_h],tblPlant[Date],$A5)</f>
        <v/>
      </c>
      <c r="EX5" s="57">
        <f>IF($B5=$B4,$EX4,0)+$EW5</f>
        <v/>
      </c>
      <c r="EY5" s="57">
        <f>$EY4+$EW5</f>
        <v/>
      </c>
      <c r="EZ5" s="55">
        <f>IFERROR(IF(($EK5)&gt;0,($DP5)/($EK5),""),"")</f>
        <v/>
      </c>
      <c r="FA5" s="55">
        <f>IFERROR(IF(($EL5)&gt;0,($DQ5)/($EL5),""),"")</f>
        <v/>
      </c>
      <c r="FB5" s="55">
        <f>IFERROR(IF(($EM5)&gt;0,($DR5)/($EM5),""),"")</f>
        <v/>
      </c>
      <c r="FC5" s="67">
        <f>IFERROR(IF(($ET5)&gt;0,($ET5-$EN5-$EQ5)/($ET5),""),"")</f>
        <v/>
      </c>
      <c r="FD5" s="67">
        <f>IFERROR(IF(($EU5)&gt;0,($EU5-$EO5-$ER5)/($EU5),""),"")</f>
        <v/>
      </c>
      <c r="FE5" s="67">
        <f>IFERROR(IF(($EV5)&gt;0,($EV5-$EP5-$ES5)/($EV5),""),"")</f>
        <v/>
      </c>
      <c r="FF5" s="67">
        <f>IFERROR(IF(($ET5-$EN5-$EQ5)&gt;0,($EK5)/($ET5-$EN5-$EQ5),""),"")</f>
        <v/>
      </c>
      <c r="FG5" s="67">
        <f>IFERROR(IF(($EU5-$EO5-$ER5)&gt;0,($EL5)/($EU5-$EO5-$ER5),""),"")</f>
        <v/>
      </c>
      <c r="FH5" s="67">
        <f>IFERROR(IF(($EV5-$EP5-$ES5)&gt;0,($EM5)/($EV5-$EP5-$ES5),""),"")</f>
        <v/>
      </c>
      <c r="FI5" s="55">
        <f>SUMIFS(tblPlant[Cyanide_kg],tblPlant[Date],$A5)</f>
        <v/>
      </c>
      <c r="FJ5" s="55">
        <f>IF($B5=$B4,$FJ4,0)+$FI5</f>
        <v/>
      </c>
      <c r="FK5" s="55">
        <f>$FK4+$FI5</f>
        <v/>
      </c>
      <c r="FL5" s="55">
        <f>SUMIFS(tblPlant[Lime_kg],tblPlant[Date],$A5)</f>
        <v/>
      </c>
      <c r="FM5" s="55">
        <f>IF($B5=$B4,$FM4,0)+$FL5</f>
        <v/>
      </c>
      <c r="FN5" s="55">
        <f>$FN4+$FL5</f>
        <v/>
      </c>
      <c r="FO5" s="55">
        <f>SUMIFS(tblPlant[Grinding_Media_kg],tblPlant[Date],$A5)</f>
        <v/>
      </c>
      <c r="FP5" s="55">
        <f>IF($B5=$B4,$FP4,0)+$FO5</f>
        <v/>
      </c>
      <c r="FQ5" s="55">
        <f>$FQ4+$FO5</f>
        <v/>
      </c>
      <c r="FR5" s="55">
        <f>SUMIFS(tblPlant[Power_kWh],tblPlant[Date],$A5)</f>
        <v/>
      </c>
      <c r="FS5" s="55">
        <f>IF($B5=$B4,$FS4,0)+$FR5</f>
        <v/>
      </c>
      <c r="FT5" s="55">
        <f>$FT4+$FR5</f>
        <v/>
      </c>
      <c r="FU5" s="55">
        <f>SUMIFS(tblPlant[Raw_Water_m3],tblPlant[Date],$A5)</f>
        <v/>
      </c>
      <c r="FV5" s="55">
        <f>IF($B5=$B4,$FV4,0)+$FU5</f>
        <v/>
      </c>
      <c r="FW5" s="55">
        <f>$FW4+$FU5</f>
        <v/>
      </c>
      <c r="FX5" s="56">
        <f>IFERROR(IF(($CU5)&gt;0,($FI5)/($CU5),""),"")</f>
        <v/>
      </c>
      <c r="FY5" s="56">
        <f>IFERROR(IF(($CV5)&gt;0,($FJ5)/($CV5),""),"")</f>
        <v/>
      </c>
      <c r="FZ5" s="56">
        <f>IFERROR(IF(($CW5)&gt;0,($FK5)/($CW5),""),"")</f>
        <v/>
      </c>
      <c r="GA5" s="56">
        <f>IFERROR(IF(($CU5)&gt;0,($FL5)/($CU5),""),"")</f>
        <v/>
      </c>
      <c r="GB5" s="56">
        <f>IFERROR(IF(($CV5)&gt;0,($FM5)/($CV5),""),"")</f>
        <v/>
      </c>
      <c r="GC5" s="56">
        <f>IFERROR(IF(($CW5)&gt;0,($FN5)/($CW5),""),"")</f>
        <v/>
      </c>
      <c r="GD5" s="56">
        <f>IFERROR(IF(($CU5)&gt;0,($FO5)/($CU5),""),"")</f>
        <v/>
      </c>
      <c r="GE5" s="56">
        <f>IFERROR(IF(($CV5)&gt;0,($FP5)/($CV5),""),"")</f>
        <v/>
      </c>
      <c r="GF5" s="56">
        <f>IFERROR(IF(($CW5)&gt;0,($FQ5)/($CW5),""),"")</f>
        <v/>
      </c>
      <c r="GG5" s="79">
        <f>IFERROR(IF(($CU5)&gt;0,($FR5)/($CU5),""),"")</f>
        <v/>
      </c>
      <c r="GH5" s="79">
        <f>IFERROR(IF(($CV5)&gt;0,($FS5)/($CV5),""),"")</f>
        <v/>
      </c>
      <c r="GI5" s="79">
        <f>IFERROR(IF(($CW5)&gt;0,($FT5)/($CW5),""),"")</f>
        <v/>
      </c>
      <c r="GJ5" s="56">
        <f>IFERROR(IF(($CU5)&gt;0,($FU5)/($CU5),""),"")</f>
        <v/>
      </c>
      <c r="GK5" s="56">
        <f>IFERROR(IF(($CV5)&gt;0,($FV5)/($CV5),""),"")</f>
        <v/>
      </c>
      <c r="GL5" s="56">
        <f>IFERROR(IF(($CW5)&gt;0,($FW5)/($CW5),""),"")</f>
        <v/>
      </c>
      <c r="GM5" s="55">
        <f>IF(SUMIFS(tblPlant[GIC_oz],tblPlant[Date],$A5)&gt;0,SUMIFS(tblPlant[GIC_oz],tblPlant[Date],$A5),"")</f>
        <v/>
      </c>
      <c r="GN5" s="55">
        <f>SUMIFS(tblGold[Gold_oz],tblGold[Date],$A5,tblGold[Type],"Shipment")</f>
        <v/>
      </c>
      <c r="GO5" s="55">
        <f>IF($B5=$B4,$GO4,0)+$GN5</f>
        <v/>
      </c>
      <c r="GP5" s="55">
        <f>$GP4+$GN5</f>
        <v/>
      </c>
      <c r="GQ5" s="55">
        <f>SUMIFS(tblGold[Gold_oz],tblGold[Date],$A5,tblGold[Type],"Sale")</f>
        <v/>
      </c>
      <c r="GR5" s="55">
        <f>IF($B5=$B4,$GR4,0)+$GQ5</f>
        <v/>
      </c>
      <c r="GS5" s="55">
        <f>$GS4+$GQ5</f>
        <v/>
      </c>
      <c r="GT5" s="55">
        <f>SUMIFS(tblGold[Dore_kg],tblGold[Date],$A5,tblGold[Type],"Shipment")</f>
        <v/>
      </c>
      <c r="GU5" s="55">
        <f>IF($B5=$B4,$GU4,0)+$GT5</f>
        <v/>
      </c>
      <c r="GV5" s="55">
        <f>$GV4+$GT5</f>
        <v/>
      </c>
      <c r="GW5" s="57">
        <f>SUMIFS(tblSafety[Hours_Total],tblSafety[Date],$A5)</f>
        <v/>
      </c>
      <c r="GX5" s="57">
        <f>IF($B5=$B4,$GX4,0)+$GW5</f>
        <v/>
      </c>
      <c r="GY5" s="57">
        <f>$GY4+$GW5</f>
        <v/>
      </c>
      <c r="GZ5" s="62">
        <f>SUMIFS(tblSafety[Fatality],tblSafety[Date],$A5)</f>
        <v/>
      </c>
      <c r="HA5" s="62">
        <f>IF($B5=$B4,$HA4,0)+$GZ5</f>
        <v/>
      </c>
      <c r="HB5" s="62">
        <f>$HB4+$GZ5</f>
        <v/>
      </c>
      <c r="HC5" s="62">
        <f>SUMIFS(tblSafety[LTI],tblSafety[Date],$A5)</f>
        <v/>
      </c>
      <c r="HD5" s="62">
        <f>IF($B5=$B4,$HD4,0)+$HC5</f>
        <v/>
      </c>
      <c r="HE5" s="62">
        <f>$HE4+$HC5</f>
        <v/>
      </c>
      <c r="HF5" s="62">
        <f>SUMIFS(tblSafety[RWI],tblSafety[Date],$A5)</f>
        <v/>
      </c>
      <c r="HG5" s="62">
        <f>IF($B5=$B4,$HG4,0)+$HF5</f>
        <v/>
      </c>
      <c r="HH5" s="62">
        <f>$HH4+$HF5</f>
        <v/>
      </c>
      <c r="HI5" s="62">
        <f>SUMIFS(tblSafety[MTI],tblSafety[Date],$A5)</f>
        <v/>
      </c>
      <c r="HJ5" s="62">
        <f>IF($B5=$B4,$HJ4,0)+$HI5</f>
        <v/>
      </c>
      <c r="HK5" s="62">
        <f>$HK4+$HI5</f>
        <v/>
      </c>
      <c r="HL5" s="62">
        <f>SUMIFS(tblSafety[FAI],tblSafety[Date],$A5)</f>
        <v/>
      </c>
      <c r="HM5" s="62">
        <f>IF($B5=$B4,$HM4,0)+$HL5</f>
        <v/>
      </c>
      <c r="HN5" s="62">
        <f>$HN4+$HL5</f>
        <v/>
      </c>
      <c r="HO5" s="62">
        <f>SUMIFS(tblSafety[Recordables],tblSafety[Date],$A5)</f>
        <v/>
      </c>
      <c r="HP5" s="62">
        <f>IF($B5=$B4,$HP4,0)+$HO5</f>
        <v/>
      </c>
      <c r="HQ5" s="62">
        <f>$HQ4+$HO5</f>
        <v/>
      </c>
      <c r="HR5" s="62">
        <f>SUMIFS(tblSafety[Near_Miss],tblSafety[Date],$A5)</f>
        <v/>
      </c>
      <c r="HS5" s="62">
        <f>IF($B5=$B4,$HS4,0)+$HR5</f>
        <v/>
      </c>
      <c r="HT5" s="62">
        <f>$HT4+$HR5</f>
        <v/>
      </c>
      <c r="HU5" s="62">
        <f>SUMIFS(tblSafety[Hazard_Reports],tblSafety[Date],$A5)</f>
        <v/>
      </c>
      <c r="HV5" s="62">
        <f>IF($B5=$B4,$HV4,0)+$HU5</f>
        <v/>
      </c>
      <c r="HW5" s="62">
        <f>$HW4+$HU5</f>
        <v/>
      </c>
      <c r="HX5" s="62">
        <f>SUMIFS(tblSafety[HPI],tblSafety[Date],$A5)</f>
        <v/>
      </c>
      <c r="HY5" s="62">
        <f>IF($B5=$B4,$HY4,0)+$HX5</f>
        <v/>
      </c>
      <c r="HZ5" s="62">
        <f>$HZ4+$HX5</f>
        <v/>
      </c>
      <c r="IA5" s="62">
        <f>SUMIFS(tblSafety[Env_Incidents],tblSafety[Date],$A5)</f>
        <v/>
      </c>
      <c r="IB5" s="62">
        <f>IF($B5=$B4,$IB4,0)+$IA5</f>
        <v/>
      </c>
      <c r="IC5" s="62">
        <f>$IC4+$IA5</f>
        <v/>
      </c>
      <c r="ID5" s="62">
        <f>SUMIFS(tblSafety[Community_Incidents],tblSafety[Date],$A5)</f>
        <v/>
      </c>
      <c r="IE5" s="62">
        <f>IF($B5=$B4,$IE4,0)+$ID5</f>
        <v/>
      </c>
      <c r="IF5" s="62">
        <f>$IF4+$ID5</f>
        <v/>
      </c>
      <c r="IG5" s="62">
        <f>SUMIFS(tblSafety[Vehicle_Incidents],tblSafety[Date],$A5)</f>
        <v/>
      </c>
      <c r="IH5" s="62">
        <f>IF($B5=$B4,$IH4,0)+$IG5</f>
        <v/>
      </c>
      <c r="II5" s="62">
        <f>$II4+$IG5</f>
        <v/>
      </c>
      <c r="IJ5" s="62">
        <f>SUMIFS(tblSafety[Toolbox_Talks],tblSafety[Date],$A5)</f>
        <v/>
      </c>
      <c r="IK5" s="62">
        <f>IF($B5=$B4,$IK4,0)+$IJ5</f>
        <v/>
      </c>
      <c r="IL5" s="62">
        <f>$IL4+$IJ5</f>
        <v/>
      </c>
      <c r="IM5" s="62">
        <f>SUMIFS(tblSafety[Inspections],tblSafety[Date],$A5)</f>
        <v/>
      </c>
      <c r="IN5" s="62">
        <f>IF($B5=$B4,$IN4,0)+$IM5</f>
        <v/>
      </c>
      <c r="IO5" s="62">
        <f>$IO4+$IM5</f>
        <v/>
      </c>
      <c r="IP5" s="56">
        <f>IFERROR((SUMIFS(tblSafety[Recordables],tblSafety[Date],"&gt;="&amp;EDATE($E5,-12),tblSafety[Date],"&lt;="&amp;$A5)+SUMIFS(tblSafetyHistory[Recordables],tblSafetyHistory[Month],"&gt;="&amp;EDATE($E5,-12),tblSafetyHistory[Month],"&lt;"&amp;$E5,tblSafetyHistory[Use],1))/(SUMIFS(tblSafety[Hours_Total],tblSafety[Date],"&gt;="&amp;EDATE($E5,-12),tblSafety[Date],"&lt;="&amp;$A5)+SUMIFS(tblSafetyHistory[Hours_Total],tblSafetyHistory[Month],"&gt;="&amp;EDATE($E5,-12),tblSafetyHistory[Month],"&lt;"&amp;$E5,tblSafetyHistory[Use],1))*cfg_RateBasisHours,"")</f>
        <v/>
      </c>
      <c r="IQ5" s="56">
        <f>IFERROR((SUMIFS(tblSafety[LTI],tblSafety[Date],"&gt;="&amp;EDATE($E5,-12),tblSafety[Date],"&lt;="&amp;$A5)+SUMIFS(tblSafetyHistory[LTI],tblSafetyHistory[Month],"&gt;="&amp;EDATE($E5,-12),tblSafetyHistory[Month],"&lt;"&amp;$E5,tblSafetyHistory[Use],1))/(SUMIFS(tblSafety[Hours_Total],tblSafety[Date],"&gt;="&amp;EDATE($E5,-12),tblSafety[Date],"&lt;="&amp;$A5)+SUMIFS(tblSafetyHistory[Hours_Total],tblSafetyHistory[Month],"&gt;="&amp;EDATE($E5,-12),tblSafetyHistory[Month],"&lt;"&amp;$E5,tblSafetyHistory[Use],1))*cfg_RateBasisHours,"")</f>
        <v/>
      </c>
      <c r="IR5" s="62">
        <f>IF(MAX(N(cfg_PriorLTIDate),_xlfn.MAXIFS(tblSafety[Date],tblSafety[LTI],"&gt;0",tblSafety[Date],"&lt;="&amp;$A5))=0,"",$A5-MAX(N(cfg_PriorLTIDate),_xlfn.MAXIFS(tblSafety[Date],tblSafety[LTI],"&gt;0",tblSafety[Date],"&lt;="&amp;$A5)))</f>
        <v/>
      </c>
      <c r="IS5" s="55">
        <f>SUMIFS(tblBudget[Ore_Mined_t],tblBudget[Month],$E5)</f>
        <v/>
      </c>
      <c r="IT5" s="55">
        <f>$IS5*$C5/$D5</f>
        <v/>
      </c>
      <c r="IU5" s="55">
        <f>SUMIFS(tblBudget[Ore_Mined_t],tblBudget[Month],"&lt;"&amp;$E5)+$IT5</f>
        <v/>
      </c>
      <c r="IV5" s="55">
        <f>SUMIFS(tblBudget[Ore_oz],tblBudget[Month],$E5)</f>
        <v/>
      </c>
      <c r="IW5" s="55">
        <f>$IV5*$C5/$D5</f>
        <v/>
      </c>
      <c r="IX5" s="55">
        <f>SUMIFS(tblBudget[Ore_oz],tblBudget[Month],"&lt;"&amp;$E5)+$IW5</f>
        <v/>
      </c>
      <c r="IY5" s="55">
        <f>SUMIFS(tblBudget[Ore_Mined_t],tblBudget[Month],$E5)</f>
        <v/>
      </c>
      <c r="IZ5" s="55">
        <f>$IY5*$C5/$D5</f>
        <v/>
      </c>
      <c r="JA5" s="55">
        <f>SUMIFS(tblBudget[Ore_Mined_t],tblBudget[Month],"&lt;"&amp;$E5)+$IZ5</f>
        <v/>
      </c>
      <c r="JB5" s="56">
        <f>IFERROR(IF(($IY5)&gt;0,($IV5*cfg_TroyOz)/($IY5),""),"")</f>
        <v/>
      </c>
      <c r="JC5" s="56">
        <f>IFERROR(IF(($IZ5)&gt;0,($IW5*cfg_TroyOz)/($IZ5),""),"")</f>
        <v/>
      </c>
      <c r="JD5" s="56">
        <f>IFERROR(IF(($JA5)&gt;0,($IX5*cfg_TroyOz)/($JA5),""),"")</f>
        <v/>
      </c>
      <c r="JE5" s="55">
        <f>SUMIFS(tblBudget[Waste_t],tblBudget[Month],$E5)</f>
        <v/>
      </c>
      <c r="JF5" s="55">
        <f>$JE5*$C5/$D5</f>
        <v/>
      </c>
      <c r="JG5" s="55">
        <f>SUMIFS(tblBudget[Waste_t],tblBudget[Month],"&lt;"&amp;$E5)+$JF5</f>
        <v/>
      </c>
      <c r="JH5" s="55">
        <f>SUMIFS(tblBudget[TMM_t],tblBudget[Month],$E5)</f>
        <v/>
      </c>
      <c r="JI5" s="55">
        <f>$JH5*$C5/$D5</f>
        <v/>
      </c>
      <c r="JJ5" s="55">
        <f>SUMIFS(tblBudget[TMM_t],tblBudget[Month],"&lt;"&amp;$E5)+$JI5</f>
        <v/>
      </c>
      <c r="JK5" s="56">
        <f>IFERROR(IF(($IS5)&gt;0,($JE5)/($IS5),""),"")</f>
        <v/>
      </c>
      <c r="JL5" s="56">
        <f>IFERROR(IF(($IT5)&gt;0,($JF5)/($IT5),""),"")</f>
        <v/>
      </c>
      <c r="JM5" s="56">
        <f>IFERROR(IF(($IU5)&gt;0,($JG5)/($IU5),""),"")</f>
        <v/>
      </c>
      <c r="JN5" s="55">
        <f>SUMIFS(tblBudget[Drill_m],tblBudget[Month],$E5)</f>
        <v/>
      </c>
      <c r="JO5" s="55">
        <f>$JN5*$C5/$D5</f>
        <v/>
      </c>
      <c r="JP5" s="55">
        <f>SUMIFS(tblBudget[Drill_m],tblBudget[Month],"&lt;"&amp;$E5)+$JO5</f>
        <v/>
      </c>
      <c r="JQ5" s="55">
        <f>SUMIFS(tblBudget[Diesel_L],tblBudget[Month],$E5)</f>
        <v/>
      </c>
      <c r="JR5" s="55">
        <f>$JQ5*$C5/$D5</f>
        <v/>
      </c>
      <c r="JS5" s="55">
        <f>SUMIFS(tblBudget[Diesel_L],tblBudget[Month],"&lt;"&amp;$E5)+$JR5</f>
        <v/>
      </c>
      <c r="JT5" s="55">
        <f>SUMIFS(tblBudget[Milled_t],tblBudget[Month],$E5)</f>
        <v/>
      </c>
      <c r="JU5" s="55">
        <f>$JT5*$C5/$D5</f>
        <v/>
      </c>
      <c r="JV5" s="55">
        <f>SUMIFS(tblBudget[Milled_t],tblBudget[Month],"&lt;"&amp;$E5)+$JU5</f>
        <v/>
      </c>
      <c r="JW5" s="55">
        <f>SUMIFS(tblBudget[Feed_oz],tblBudget[Month],$E5)</f>
        <v/>
      </c>
      <c r="JX5" s="55">
        <f>$JW5*$C5/$D5</f>
        <v/>
      </c>
      <c r="JY5" s="55">
        <f>SUMIFS(tblBudget[Feed_oz],tblBudget[Month],"&lt;"&amp;$E5)+$JX5</f>
        <v/>
      </c>
      <c r="JZ5" s="55">
        <f>SUMIFS(tblBudget[Recovered_oz],tblBudget[Month],$E5)</f>
        <v/>
      </c>
      <c r="KA5" s="55">
        <f>$JZ5*$C5/$D5</f>
        <v/>
      </c>
      <c r="KB5" s="55">
        <f>SUMIFS(tblBudget[Recovered_oz],tblBudget[Month],"&lt;"&amp;$E5)+$KA5</f>
        <v/>
      </c>
      <c r="KC5" s="55">
        <f>SUMIFS(tblBudget[Milled_t],tblBudget[Month],$E5)</f>
        <v/>
      </c>
      <c r="KD5" s="55">
        <f>$KC5*$C5/$D5</f>
        <v/>
      </c>
      <c r="KE5" s="55">
        <f>SUMIFS(tblBudget[Milled_t],tblBudget[Month],"&lt;"&amp;$E5)+$KD5</f>
        <v/>
      </c>
      <c r="KF5" s="55">
        <f>SUMIFS(tblBudget[Feed_oz],tblBudget[Month],$E5)</f>
        <v/>
      </c>
      <c r="KG5" s="55">
        <f>$KF5*$C5/$D5</f>
        <v/>
      </c>
      <c r="KH5" s="55">
        <f>SUMIFS(tblBudget[Feed_oz],tblBudget[Month],"&lt;"&amp;$E5)+$KG5</f>
        <v/>
      </c>
      <c r="KI5" s="56">
        <f>IFERROR(IF(($KC5)&gt;0,($JW5*cfg_TroyOz)/($KC5),""),"")</f>
        <v/>
      </c>
      <c r="KJ5" s="56">
        <f>IFERROR(IF(($KD5)&gt;0,($JX5*cfg_TroyOz)/($KD5),""),"")</f>
        <v/>
      </c>
      <c r="KK5" s="56">
        <f>IFERROR(IF(($KE5)&gt;0,($JY5*cfg_TroyOz)/($KE5),""),"")</f>
        <v/>
      </c>
      <c r="KL5" s="67">
        <f>IFERROR(IF(($KF5)&gt;0,($JZ5)/($KF5),""),"")</f>
        <v/>
      </c>
      <c r="KM5" s="67">
        <f>IFERROR(IF(($KG5)&gt;0,($KA5)/($KG5),""),"")</f>
        <v/>
      </c>
      <c r="KN5" s="67">
        <f>IFERROR(IF(($KH5)&gt;0,($KB5)/($KH5),""),"")</f>
        <v/>
      </c>
      <c r="KO5" s="55">
        <f>SUMIFS(tblBudget[Gold_Poured_oz],tblBudget[Month],$E5)</f>
        <v/>
      </c>
      <c r="KP5" s="55">
        <f>$KO5*$C5/$D5</f>
        <v/>
      </c>
      <c r="KQ5" s="55">
        <f>SUMIFS(tblBudget[Gold_Poured_oz],tblBudget[Month],"&lt;"&amp;$E5)+$KP5</f>
        <v/>
      </c>
      <c r="KR5" s="57">
        <f>SUMIFS(tblBudget[Hours_Worked],tblBudget[Month],$E5)</f>
        <v/>
      </c>
      <c r="KS5" s="57">
        <f>$KR5*$C5/$D5</f>
        <v/>
      </c>
      <c r="KT5" s="57">
        <f>SUMIFS(tblBudget[Hours_Worked],tblBudget[Month],"&lt;"&amp;$E5)+$KS5</f>
        <v/>
      </c>
    </row>
    <row r="6">
      <c r="A6" s="54" t="n">
        <v>46027</v>
      </c>
      <c r="B6">
        <f>MONTH($A6)</f>
        <v/>
      </c>
      <c r="C6">
        <f>DAY($A6)</f>
        <v/>
      </c>
      <c r="D6">
        <f>DAY(EOMONTH($A6,0))</f>
        <v/>
      </c>
      <c r="E6" s="54">
        <f>DATE(YEAR($A6),MONTH($A6),1)</f>
        <v/>
      </c>
      <c r="F6" s="55">
        <f>SUMIFS(tblMovement[Tonnes_t],tblMovement[Date],$A6,tblMovement[Is_Ore],1,tblMovement[Source_Type],"Pit")</f>
        <v/>
      </c>
      <c r="G6" s="55">
        <f>IF($B6=$B5,$G5,0)+$F6</f>
        <v/>
      </c>
      <c r="H6" s="55">
        <f>$H5+$F6</f>
        <v/>
      </c>
      <c r="I6" s="55">
        <f>SUMIFS(tblMovement[Ore_oz],tblMovement[Date],$A6,tblMovement[Source_Type],"Pit")</f>
        <v/>
      </c>
      <c r="J6" s="55">
        <f>IF($B6=$B5,$J5,0)+$I6</f>
        <v/>
      </c>
      <c r="K6" s="55">
        <f>$K5+$I6</f>
        <v/>
      </c>
      <c r="L6" s="55">
        <f>SUMIFS(tblMovement[Tonnes_t],tblMovement[Date],$A6,tblMovement[Is_Ore],1,tblMovement[Source_Type],"Pit",tblMovement[Grade_gpt],"&lt;&gt;")</f>
        <v/>
      </c>
      <c r="M6" s="55">
        <f>IF($B6=$B5,$M5,0)+$L6</f>
        <v/>
      </c>
      <c r="N6" s="55">
        <f>$N5+$L6</f>
        <v/>
      </c>
      <c r="O6" s="56">
        <f>IFERROR(IF(($L6)&gt;0,($I6*cfg_TroyOz)/($L6),""),"")</f>
        <v/>
      </c>
      <c r="P6" s="56">
        <f>IFERROR(IF(($M6)&gt;0,($J6*cfg_TroyOz)/($M6),""),"")</f>
        <v/>
      </c>
      <c r="Q6" s="56">
        <f>IFERROR(IF(($N6)&gt;0,($K6*cfg_TroyOz)/($N6),""),"")</f>
        <v/>
      </c>
      <c r="R6" s="55">
        <f>$F6-$L6</f>
        <v/>
      </c>
      <c r="S6" s="55">
        <f>IF($B6=$B5,$S5,0)+$R6</f>
        <v/>
      </c>
      <c r="T6" s="55">
        <f>$T5+$R6</f>
        <v/>
      </c>
      <c r="U6" s="55">
        <f>SUMIFS(tblMovement[Tonnes_t],tblMovement[Date],$A6,tblMovement[Is_Ore],0,tblMovement[Source_Type],"Pit")</f>
        <v/>
      </c>
      <c r="V6" s="55">
        <f>IF($B6=$B5,$V5,0)+$U6</f>
        <v/>
      </c>
      <c r="W6" s="55">
        <f>$W5+$U6</f>
        <v/>
      </c>
      <c r="X6" s="55">
        <f>$F6+$U6</f>
        <v/>
      </c>
      <c r="Y6" s="55">
        <f>IF($B6=$B5,$Y5,0)+$X6</f>
        <v/>
      </c>
      <c r="Z6" s="55">
        <f>$Z5+$X6</f>
        <v/>
      </c>
      <c r="AA6" s="56">
        <f>IFERROR(IF(($F6)&gt;0,($U6)/($F6),""),"")</f>
        <v/>
      </c>
      <c r="AB6" s="56">
        <f>IFERROR(IF(($G6)&gt;0,($V6)/($G6),""),"")</f>
        <v/>
      </c>
      <c r="AC6" s="56">
        <f>IFERROR(IF(($H6)&gt;0,($W6)/($H6),""),"")</f>
        <v/>
      </c>
      <c r="AD6" s="55">
        <f>SUMIFS(tblMovement[Tonnes_t],tblMovement[Date],$A6,tblMovement[Source_Type],"Stockpile")</f>
        <v/>
      </c>
      <c r="AE6" s="55">
        <f>IF($B6=$B5,$AE5,0)+$AD6</f>
        <v/>
      </c>
      <c r="AF6" s="55">
        <f>$AF5+$AD6</f>
        <v/>
      </c>
      <c r="AG6" s="55">
        <f>SUMIFS(tblMovement[Tonnes_t],tblMovement[Date],$A6)</f>
        <v/>
      </c>
      <c r="AH6" s="55">
        <f>IF($B6=$B5,$AH5,0)+$AG6</f>
        <v/>
      </c>
      <c r="AI6" s="55">
        <f>$AI5+$AG6</f>
        <v/>
      </c>
      <c r="AJ6" s="55">
        <f>$AG6-$X6-$AD6</f>
        <v/>
      </c>
      <c r="AK6" s="55">
        <f>IF($B6=$B5,$AK5,0)+$AJ6</f>
        <v/>
      </c>
      <c r="AL6" s="55">
        <f>$AL5+$AJ6</f>
        <v/>
      </c>
      <c r="AM6" s="55">
        <f>SUMIFS(tblMiningDaily[Drill_m],tblMiningDaily[Date],$A6)</f>
        <v/>
      </c>
      <c r="AN6" s="55">
        <f>IF($B6=$B5,$AN5,0)+$AM6</f>
        <v/>
      </c>
      <c r="AO6" s="55">
        <f>$AO5+$AM6</f>
        <v/>
      </c>
      <c r="AP6" s="55">
        <f>SUMIFS(tblMiningDaily[GC_Drill_m],tblMiningDaily[Date],$A6)</f>
        <v/>
      </c>
      <c r="AQ6" s="55">
        <f>IF($B6=$B5,$AQ5,0)+$AP6</f>
        <v/>
      </c>
      <c r="AR6" s="55">
        <f>$AR5+$AP6</f>
        <v/>
      </c>
      <c r="AS6" s="55">
        <f>SUMIFS(tblMiningDaily[Blast_t],tblMiningDaily[Date],$A6)</f>
        <v/>
      </c>
      <c r="AT6" s="55">
        <f>IF($B6=$B5,$AT5,0)+$AS6</f>
        <v/>
      </c>
      <c r="AU6" s="55">
        <f>$AU5+$AS6</f>
        <v/>
      </c>
      <c r="AV6" s="55">
        <f>SUMIFS(tblMiningDaily[Explosives_kg],tblMiningDaily[Date],$A6)</f>
        <v/>
      </c>
      <c r="AW6" s="55">
        <f>IF($B6=$B5,$AW5,0)+$AV6</f>
        <v/>
      </c>
      <c r="AX6" s="55">
        <f>$AX5+$AV6</f>
        <v/>
      </c>
      <c r="AY6" s="56">
        <f>IFERROR(IF(($AS6)&gt;0,($AV6)/($AS6),""),"")</f>
        <v/>
      </c>
      <c r="AZ6" s="56">
        <f>IFERROR(IF(($AT6)&gt;0,($AW6)/($AT6),""),"")</f>
        <v/>
      </c>
      <c r="BA6" s="56">
        <f>IFERROR(IF(($AU6)&gt;0,($AX6)/($AU6),""),"")</f>
        <v/>
      </c>
      <c r="BB6" s="55">
        <f>SUMIFS(tblMiningDaily[Diesel_L],tblMiningDaily[Date],$A6)</f>
        <v/>
      </c>
      <c r="BC6" s="55">
        <f>IF($B6=$B5,$BC5,0)+$BB6</f>
        <v/>
      </c>
      <c r="BD6" s="55">
        <f>$BD5+$BB6</f>
        <v/>
      </c>
      <c r="BE6" s="55">
        <f>SUMIFS(tblMiningDaily[Dewatering_m3],tblMiningDaily[Date],$A6)</f>
        <v/>
      </c>
      <c r="BF6" s="55">
        <f>IF($B6=$B5,$BF5,0)+$BE6</f>
        <v/>
      </c>
      <c r="BG6" s="55">
        <f>$BG5+$BE6</f>
        <v/>
      </c>
      <c r="BH6" s="57">
        <f>SUMIFS(tblFleet[Calendar_h],tblFleet[Date],$A6,tblFleet[Equipment_Class],"Excavator")</f>
        <v/>
      </c>
      <c r="BI6" s="57">
        <f>IF($B6=$B5,$BI5,0)+$BH6</f>
        <v/>
      </c>
      <c r="BJ6" s="57">
        <f>$BJ5+$BH6</f>
        <v/>
      </c>
      <c r="BK6" s="57">
        <f>SUMIFS(tblFleet[Available_h],tblFleet[Date],$A6,tblFleet[Equipment_Class],"Excavator")</f>
        <v/>
      </c>
      <c r="BL6" s="57">
        <f>IF($B6=$B5,$BL5,0)+$BK6</f>
        <v/>
      </c>
      <c r="BM6" s="57">
        <f>$BM5+$BK6</f>
        <v/>
      </c>
      <c r="BN6" s="57">
        <f>SUMIFS(tblFleet[Operating_h],tblFleet[Date],$A6,tblFleet[Equipment_Class],"Excavator")</f>
        <v/>
      </c>
      <c r="BO6" s="57">
        <f>IF($B6=$B5,$BO5,0)+$BN6</f>
        <v/>
      </c>
      <c r="BP6" s="57">
        <f>$BP5+$BN6</f>
        <v/>
      </c>
      <c r="BQ6" s="67">
        <f>IFERROR(IF(($BH6)&gt;0,($BK6)/($BH6),""),"")</f>
        <v/>
      </c>
      <c r="BR6" s="67">
        <f>IFERROR(IF(($BI6)&gt;0,($BL6)/($BI6),""),"")</f>
        <v/>
      </c>
      <c r="BS6" s="67">
        <f>IFERROR(IF(($BJ6)&gt;0,($BM6)/($BJ6),""),"")</f>
        <v/>
      </c>
      <c r="BT6" s="67">
        <f>IFERROR(IF(($BK6)&gt;0,($BN6)/($BK6),""),"")</f>
        <v/>
      </c>
      <c r="BU6" s="67">
        <f>IFERROR(IF(($BL6)&gt;0,($BO6)/($BL6),""),"")</f>
        <v/>
      </c>
      <c r="BV6" s="67">
        <f>IFERROR(IF(($BM6)&gt;0,($BP6)/($BM6),""),"")</f>
        <v/>
      </c>
      <c r="BW6" s="57">
        <f>SUMIFS(tblFleet[Calendar_h],tblFleet[Date],$A6,tblFleet[Equipment_Class],"Haul Truck")</f>
        <v/>
      </c>
      <c r="BX6" s="57">
        <f>IF($B6=$B5,$BX5,0)+$BW6</f>
        <v/>
      </c>
      <c r="BY6" s="57">
        <f>$BY5+$BW6</f>
        <v/>
      </c>
      <c r="BZ6" s="57">
        <f>SUMIFS(tblFleet[Available_h],tblFleet[Date],$A6,tblFleet[Equipment_Class],"Haul Truck")</f>
        <v/>
      </c>
      <c r="CA6" s="57">
        <f>IF($B6=$B5,$CA5,0)+$BZ6</f>
        <v/>
      </c>
      <c r="CB6" s="57">
        <f>$CB5+$BZ6</f>
        <v/>
      </c>
      <c r="CC6" s="57">
        <f>SUMIFS(tblFleet[Operating_h],tblFleet[Date],$A6,tblFleet[Equipment_Class],"Haul Truck")</f>
        <v/>
      </c>
      <c r="CD6" s="57">
        <f>IF($B6=$B5,$CD5,0)+$CC6</f>
        <v/>
      </c>
      <c r="CE6" s="57">
        <f>$CE5+$CC6</f>
        <v/>
      </c>
      <c r="CF6" s="67">
        <f>IFERROR(IF(($BW6)&gt;0,($BZ6)/($BW6),""),"")</f>
        <v/>
      </c>
      <c r="CG6" s="67">
        <f>IFERROR(IF(($BX6)&gt;0,($CA6)/($BX6),""),"")</f>
        <v/>
      </c>
      <c r="CH6" s="67">
        <f>IFERROR(IF(($BY6)&gt;0,($CB6)/($BY6),""),"")</f>
        <v/>
      </c>
      <c r="CI6" s="67">
        <f>IFERROR(IF(($BZ6)&gt;0,($CC6)/($BZ6),""),"")</f>
        <v/>
      </c>
      <c r="CJ6" s="67">
        <f>IFERROR(IF(($CA6)&gt;0,($CD6)/($CA6),""),"")</f>
        <v/>
      </c>
      <c r="CK6" s="67">
        <f>IFERROR(IF(($CB6)&gt;0,($CE6)/($CB6),""),"")</f>
        <v/>
      </c>
      <c r="CL6" s="55">
        <f>IFERROR(IF(($BN6)&gt;0,($X6+$AD6)/($BN6),""),"")</f>
        <v/>
      </c>
      <c r="CM6" s="55">
        <f>IFERROR(IF(($BO6)&gt;0,($Y6+$AE6)/($BO6),""),"")</f>
        <v/>
      </c>
      <c r="CN6" s="55">
        <f>IFERROR(IF(($BP6)&gt;0,($Z6+$AF6)/($BP6),""),"")</f>
        <v/>
      </c>
      <c r="CO6" s="55">
        <f>IFERROR(IF(($CC6)&gt;0,($X6+$AD6)/($CC6),""),"")</f>
        <v/>
      </c>
      <c r="CP6" s="55">
        <f>IFERROR(IF(($CD6)&gt;0,($Y6+$AE6)/($CD6),""),"")</f>
        <v/>
      </c>
      <c r="CQ6" s="55">
        <f>IFERROR(IF(($CE6)&gt;0,($Z6+$AF6)/($CE6),""),"")</f>
        <v/>
      </c>
      <c r="CR6" s="55">
        <f>SUMIFS(tblPlant[Crushed_t],tblPlant[Date],$A6)</f>
        <v/>
      </c>
      <c r="CS6" s="55">
        <f>IF($B6=$B5,$CS5,0)+$CR6</f>
        <v/>
      </c>
      <c r="CT6" s="55">
        <f>$CT5+$CR6</f>
        <v/>
      </c>
      <c r="CU6" s="55">
        <f>SUMIFS(tblPlant[Milled_t],tblPlant[Date],$A6)</f>
        <v/>
      </c>
      <c r="CV6" s="55">
        <f>IF($B6=$B5,$CV5,0)+$CU6</f>
        <v/>
      </c>
      <c r="CW6" s="55">
        <f>$CW5+$CU6</f>
        <v/>
      </c>
      <c r="CX6" s="55">
        <f>SUMIFS(tblPlant[Feed_oz],tblPlant[Date],$A6)</f>
        <v/>
      </c>
      <c r="CY6" s="55">
        <f>IF($B6=$B5,$CY5,0)+$CX6</f>
        <v/>
      </c>
      <c r="CZ6" s="55">
        <f>$CZ5+$CX6</f>
        <v/>
      </c>
      <c r="DA6" s="55">
        <f>SUMIFS(tblPlant[Tails_oz],tblPlant[Date],$A6)</f>
        <v/>
      </c>
      <c r="DB6" s="55">
        <f>IF($B6=$B5,$DB5,0)+$DA6</f>
        <v/>
      </c>
      <c r="DC6" s="55">
        <f>$DC5+$DA6</f>
        <v/>
      </c>
      <c r="DD6" s="55">
        <f>SUMIFS(tblPlant[Recovered_oz],tblPlant[Date],$A6)</f>
        <v/>
      </c>
      <c r="DE6" s="55">
        <f>IF($B6=$B5,$DE5,0)+$DD6</f>
        <v/>
      </c>
      <c r="DF6" s="55">
        <f>$DF5+$DD6</f>
        <v/>
      </c>
      <c r="DG6" s="55">
        <f>SUMIFS(tblPlant[Milled_t],tblPlant[Date],$A6,tblPlant[Head_Grade_gpt],"&lt;&gt;")</f>
        <v/>
      </c>
      <c r="DH6" s="55">
        <f>IF($B6=$B5,$DH5,0)+$DG6</f>
        <v/>
      </c>
      <c r="DI6" s="55">
        <f>$DI5+$DG6</f>
        <v/>
      </c>
      <c r="DJ6" s="55">
        <f>SUMIFS(tblPlant[Milled_t],tblPlant[Date],$A6,tblPlant[Tails_Grade_gpt],"&lt;&gt;")</f>
        <v/>
      </c>
      <c r="DK6" s="55">
        <f>IF($B6=$B5,$DK5,0)+$DJ6</f>
        <v/>
      </c>
      <c r="DL6" s="55">
        <f>$DL5+$DJ6</f>
        <v/>
      </c>
      <c r="DM6" s="55">
        <f>SUMIFS(tblPlant[Feed_oz],tblPlant[Date],$A6,tblPlant[Tails_Grade_gpt],"&lt;&gt;")</f>
        <v/>
      </c>
      <c r="DN6" s="55">
        <f>IF($B6=$B5,$DN5,0)+$DM6</f>
        <v/>
      </c>
      <c r="DO6" s="55">
        <f>$DO5+$DM6</f>
        <v/>
      </c>
      <c r="DP6" s="55">
        <f>SUMIFS(tblPlant[Milled_t],tblPlant[Date],$A6,tblPlant[Mill_Run_h],"&lt;&gt;")</f>
        <v/>
      </c>
      <c r="DQ6" s="55">
        <f>IF($B6=$B5,$DQ5,0)+$DP6</f>
        <v/>
      </c>
      <c r="DR6" s="55">
        <f>$DR5+$DP6</f>
        <v/>
      </c>
      <c r="DS6" s="56">
        <f>IFERROR(IF(($DG6)&gt;0,($CX6*cfg_TroyOz)/($DG6),""),"")</f>
        <v/>
      </c>
      <c r="DT6" s="56">
        <f>IFERROR(IF(($DH6)&gt;0,($CY6*cfg_TroyOz)/($DH6),""),"")</f>
        <v/>
      </c>
      <c r="DU6" s="56">
        <f>IFERROR(IF(($DI6)&gt;0,($CZ6*cfg_TroyOz)/($DI6),""),"")</f>
        <v/>
      </c>
      <c r="DV6" s="56">
        <f>IFERROR(IF(($DJ6)&gt;0,($DA6*cfg_TroyOz)/($DJ6),""),"")</f>
        <v/>
      </c>
      <c r="DW6" s="56">
        <f>IFERROR(IF(($DK6)&gt;0,($DB6*cfg_TroyOz)/($DK6),""),"")</f>
        <v/>
      </c>
      <c r="DX6" s="56">
        <f>IFERROR(IF(($DL6)&gt;0,($DC6*cfg_TroyOz)/($DL6),""),"")</f>
        <v/>
      </c>
      <c r="DY6" s="67">
        <f>IFERROR(IF(($DM6)&gt;0,($DD6)/($DM6),""),"")</f>
        <v/>
      </c>
      <c r="DZ6" s="67">
        <f>IFERROR(IF(($DN6)&gt;0,($DE6)/($DN6),""),"")</f>
        <v/>
      </c>
      <c r="EA6" s="67">
        <f>IFERROR(IF(($DO6)&gt;0,($DF6)/($DO6),""),"")</f>
        <v/>
      </c>
      <c r="EB6" s="55">
        <f>SUMIFS(tblPlant[Gravity_Gold_oz],tblPlant[Date],$A6)</f>
        <v/>
      </c>
      <c r="EC6" s="55">
        <f>IF($B6=$B5,$EC5,0)+$EB6</f>
        <v/>
      </c>
      <c r="ED6" s="55">
        <f>$ED5+$EB6</f>
        <v/>
      </c>
      <c r="EE6" s="67">
        <f>IFERROR(IF(($DD6)&gt;0,($EB6)/($DD6),""),"")</f>
        <v/>
      </c>
      <c r="EF6" s="67">
        <f>IFERROR(IF(($DE6)&gt;0,($EC6)/($DE6),""),"")</f>
        <v/>
      </c>
      <c r="EG6" s="67">
        <f>IFERROR(IF(($DF6)&gt;0,($ED6)/($DF6),""),"")</f>
        <v/>
      </c>
      <c r="EH6" s="55">
        <f>SUMIFS(tblPlant[Gold_Poured_oz],tblPlant[Date],$A6)</f>
        <v/>
      </c>
      <c r="EI6" s="55">
        <f>IF($B6=$B5,$EI5,0)+$EH6</f>
        <v/>
      </c>
      <c r="EJ6" s="55">
        <f>$EJ5+$EH6</f>
        <v/>
      </c>
      <c r="EK6" s="57">
        <f>SUMIFS(tblPlant[Mill_Run_h],tblPlant[Date],$A6)</f>
        <v/>
      </c>
      <c r="EL6" s="57">
        <f>IF($B6=$B5,$EL5,0)+$EK6</f>
        <v/>
      </c>
      <c r="EM6" s="57">
        <f>$EM5+$EK6</f>
        <v/>
      </c>
      <c r="EN6" s="57">
        <f>SUMIFS(tblPlant[Mill_Planned_Maint_h],tblPlant[Date],$A6)</f>
        <v/>
      </c>
      <c r="EO6" s="57">
        <f>IF($B6=$B5,$EO5,0)+$EN6</f>
        <v/>
      </c>
      <c r="EP6" s="57">
        <f>$EP5+$EN6</f>
        <v/>
      </c>
      <c r="EQ6" s="57">
        <f>SUMIFS(tblPlant[Mill_Unplanned_Down_h],tblPlant[Date],$A6)</f>
        <v/>
      </c>
      <c r="ER6" s="57">
        <f>IF($B6=$B5,$ER5,0)+$EQ6</f>
        <v/>
      </c>
      <c r="ES6" s="57">
        <f>$ES5+$EQ6</f>
        <v/>
      </c>
      <c r="ET6" s="57">
        <f>IF(COUNTIFS(tblPlant[Date],$A6,tblPlant[Mill_Run_h],"&lt;&gt;")+COUNTIFS(tblPlant[Date],$A6,tblPlant[Mill_Planned_Maint_h],"&lt;&gt;")+COUNTIFS(tblPlant[Date],$A6,tblPlant[Mill_Unplanned_Down_h],"&lt;&gt;")&gt;0,cfg_HoursPerDay,0)</f>
        <v/>
      </c>
      <c r="EU6" s="57">
        <f>IF($B6=$B5,$EU5,0)+$ET6</f>
        <v/>
      </c>
      <c r="EV6" s="57">
        <f>$EV5+$ET6</f>
        <v/>
      </c>
      <c r="EW6" s="57">
        <f>SUMIFS(tblPlant[Crusher_Run_h],tblPlant[Date],$A6)</f>
        <v/>
      </c>
      <c r="EX6" s="57">
        <f>IF($B6=$B5,$EX5,0)+$EW6</f>
        <v/>
      </c>
      <c r="EY6" s="57">
        <f>$EY5+$EW6</f>
        <v/>
      </c>
      <c r="EZ6" s="55">
        <f>IFERROR(IF(($EK6)&gt;0,($DP6)/($EK6),""),"")</f>
        <v/>
      </c>
      <c r="FA6" s="55">
        <f>IFERROR(IF(($EL6)&gt;0,($DQ6)/($EL6),""),"")</f>
        <v/>
      </c>
      <c r="FB6" s="55">
        <f>IFERROR(IF(($EM6)&gt;0,($DR6)/($EM6),""),"")</f>
        <v/>
      </c>
      <c r="FC6" s="67">
        <f>IFERROR(IF(($ET6)&gt;0,($ET6-$EN6-$EQ6)/($ET6),""),"")</f>
        <v/>
      </c>
      <c r="FD6" s="67">
        <f>IFERROR(IF(($EU6)&gt;0,($EU6-$EO6-$ER6)/($EU6),""),"")</f>
        <v/>
      </c>
      <c r="FE6" s="67">
        <f>IFERROR(IF(($EV6)&gt;0,($EV6-$EP6-$ES6)/($EV6),""),"")</f>
        <v/>
      </c>
      <c r="FF6" s="67">
        <f>IFERROR(IF(($ET6-$EN6-$EQ6)&gt;0,($EK6)/($ET6-$EN6-$EQ6),""),"")</f>
        <v/>
      </c>
      <c r="FG6" s="67">
        <f>IFERROR(IF(($EU6-$EO6-$ER6)&gt;0,($EL6)/($EU6-$EO6-$ER6),""),"")</f>
        <v/>
      </c>
      <c r="FH6" s="67">
        <f>IFERROR(IF(($EV6-$EP6-$ES6)&gt;0,($EM6)/($EV6-$EP6-$ES6),""),"")</f>
        <v/>
      </c>
      <c r="FI6" s="55">
        <f>SUMIFS(tblPlant[Cyanide_kg],tblPlant[Date],$A6)</f>
        <v/>
      </c>
      <c r="FJ6" s="55">
        <f>IF($B6=$B5,$FJ5,0)+$FI6</f>
        <v/>
      </c>
      <c r="FK6" s="55">
        <f>$FK5+$FI6</f>
        <v/>
      </c>
      <c r="FL6" s="55">
        <f>SUMIFS(tblPlant[Lime_kg],tblPlant[Date],$A6)</f>
        <v/>
      </c>
      <c r="FM6" s="55">
        <f>IF($B6=$B5,$FM5,0)+$FL6</f>
        <v/>
      </c>
      <c r="FN6" s="55">
        <f>$FN5+$FL6</f>
        <v/>
      </c>
      <c r="FO6" s="55">
        <f>SUMIFS(tblPlant[Grinding_Media_kg],tblPlant[Date],$A6)</f>
        <v/>
      </c>
      <c r="FP6" s="55">
        <f>IF($B6=$B5,$FP5,0)+$FO6</f>
        <v/>
      </c>
      <c r="FQ6" s="55">
        <f>$FQ5+$FO6</f>
        <v/>
      </c>
      <c r="FR6" s="55">
        <f>SUMIFS(tblPlant[Power_kWh],tblPlant[Date],$A6)</f>
        <v/>
      </c>
      <c r="FS6" s="55">
        <f>IF($B6=$B5,$FS5,0)+$FR6</f>
        <v/>
      </c>
      <c r="FT6" s="55">
        <f>$FT5+$FR6</f>
        <v/>
      </c>
      <c r="FU6" s="55">
        <f>SUMIFS(tblPlant[Raw_Water_m3],tblPlant[Date],$A6)</f>
        <v/>
      </c>
      <c r="FV6" s="55">
        <f>IF($B6=$B5,$FV5,0)+$FU6</f>
        <v/>
      </c>
      <c r="FW6" s="55">
        <f>$FW5+$FU6</f>
        <v/>
      </c>
      <c r="FX6" s="56">
        <f>IFERROR(IF(($CU6)&gt;0,($FI6)/($CU6),""),"")</f>
        <v/>
      </c>
      <c r="FY6" s="56">
        <f>IFERROR(IF(($CV6)&gt;0,($FJ6)/($CV6),""),"")</f>
        <v/>
      </c>
      <c r="FZ6" s="56">
        <f>IFERROR(IF(($CW6)&gt;0,($FK6)/($CW6),""),"")</f>
        <v/>
      </c>
      <c r="GA6" s="56">
        <f>IFERROR(IF(($CU6)&gt;0,($FL6)/($CU6),""),"")</f>
        <v/>
      </c>
      <c r="GB6" s="56">
        <f>IFERROR(IF(($CV6)&gt;0,($FM6)/($CV6),""),"")</f>
        <v/>
      </c>
      <c r="GC6" s="56">
        <f>IFERROR(IF(($CW6)&gt;0,($FN6)/($CW6),""),"")</f>
        <v/>
      </c>
      <c r="GD6" s="56">
        <f>IFERROR(IF(($CU6)&gt;0,($FO6)/($CU6),""),"")</f>
        <v/>
      </c>
      <c r="GE6" s="56">
        <f>IFERROR(IF(($CV6)&gt;0,($FP6)/($CV6),""),"")</f>
        <v/>
      </c>
      <c r="GF6" s="56">
        <f>IFERROR(IF(($CW6)&gt;0,($FQ6)/($CW6),""),"")</f>
        <v/>
      </c>
      <c r="GG6" s="79">
        <f>IFERROR(IF(($CU6)&gt;0,($FR6)/($CU6),""),"")</f>
        <v/>
      </c>
      <c r="GH6" s="79">
        <f>IFERROR(IF(($CV6)&gt;0,($FS6)/($CV6),""),"")</f>
        <v/>
      </c>
      <c r="GI6" s="79">
        <f>IFERROR(IF(($CW6)&gt;0,($FT6)/($CW6),""),"")</f>
        <v/>
      </c>
      <c r="GJ6" s="56">
        <f>IFERROR(IF(($CU6)&gt;0,($FU6)/($CU6),""),"")</f>
        <v/>
      </c>
      <c r="GK6" s="56">
        <f>IFERROR(IF(($CV6)&gt;0,($FV6)/($CV6),""),"")</f>
        <v/>
      </c>
      <c r="GL6" s="56">
        <f>IFERROR(IF(($CW6)&gt;0,($FW6)/($CW6),""),"")</f>
        <v/>
      </c>
      <c r="GM6" s="55">
        <f>IF(SUMIFS(tblPlant[GIC_oz],tblPlant[Date],$A6)&gt;0,SUMIFS(tblPlant[GIC_oz],tblPlant[Date],$A6),"")</f>
        <v/>
      </c>
      <c r="GN6" s="55">
        <f>SUMIFS(tblGold[Gold_oz],tblGold[Date],$A6,tblGold[Type],"Shipment")</f>
        <v/>
      </c>
      <c r="GO6" s="55">
        <f>IF($B6=$B5,$GO5,0)+$GN6</f>
        <v/>
      </c>
      <c r="GP6" s="55">
        <f>$GP5+$GN6</f>
        <v/>
      </c>
      <c r="GQ6" s="55">
        <f>SUMIFS(tblGold[Gold_oz],tblGold[Date],$A6,tblGold[Type],"Sale")</f>
        <v/>
      </c>
      <c r="GR6" s="55">
        <f>IF($B6=$B5,$GR5,0)+$GQ6</f>
        <v/>
      </c>
      <c r="GS6" s="55">
        <f>$GS5+$GQ6</f>
        <v/>
      </c>
      <c r="GT6" s="55">
        <f>SUMIFS(tblGold[Dore_kg],tblGold[Date],$A6,tblGold[Type],"Shipment")</f>
        <v/>
      </c>
      <c r="GU6" s="55">
        <f>IF($B6=$B5,$GU5,0)+$GT6</f>
        <v/>
      </c>
      <c r="GV6" s="55">
        <f>$GV5+$GT6</f>
        <v/>
      </c>
      <c r="GW6" s="57">
        <f>SUMIFS(tblSafety[Hours_Total],tblSafety[Date],$A6)</f>
        <v/>
      </c>
      <c r="GX6" s="57">
        <f>IF($B6=$B5,$GX5,0)+$GW6</f>
        <v/>
      </c>
      <c r="GY6" s="57">
        <f>$GY5+$GW6</f>
        <v/>
      </c>
      <c r="GZ6" s="62">
        <f>SUMIFS(tblSafety[Fatality],tblSafety[Date],$A6)</f>
        <v/>
      </c>
      <c r="HA6" s="62">
        <f>IF($B6=$B5,$HA5,0)+$GZ6</f>
        <v/>
      </c>
      <c r="HB6" s="62">
        <f>$HB5+$GZ6</f>
        <v/>
      </c>
      <c r="HC6" s="62">
        <f>SUMIFS(tblSafety[LTI],tblSafety[Date],$A6)</f>
        <v/>
      </c>
      <c r="HD6" s="62">
        <f>IF($B6=$B5,$HD5,0)+$HC6</f>
        <v/>
      </c>
      <c r="HE6" s="62">
        <f>$HE5+$HC6</f>
        <v/>
      </c>
      <c r="HF6" s="62">
        <f>SUMIFS(tblSafety[RWI],tblSafety[Date],$A6)</f>
        <v/>
      </c>
      <c r="HG6" s="62">
        <f>IF($B6=$B5,$HG5,0)+$HF6</f>
        <v/>
      </c>
      <c r="HH6" s="62">
        <f>$HH5+$HF6</f>
        <v/>
      </c>
      <c r="HI6" s="62">
        <f>SUMIFS(tblSafety[MTI],tblSafety[Date],$A6)</f>
        <v/>
      </c>
      <c r="HJ6" s="62">
        <f>IF($B6=$B5,$HJ5,0)+$HI6</f>
        <v/>
      </c>
      <c r="HK6" s="62">
        <f>$HK5+$HI6</f>
        <v/>
      </c>
      <c r="HL6" s="62">
        <f>SUMIFS(tblSafety[FAI],tblSafety[Date],$A6)</f>
        <v/>
      </c>
      <c r="HM6" s="62">
        <f>IF($B6=$B5,$HM5,0)+$HL6</f>
        <v/>
      </c>
      <c r="HN6" s="62">
        <f>$HN5+$HL6</f>
        <v/>
      </c>
      <c r="HO6" s="62">
        <f>SUMIFS(tblSafety[Recordables],tblSafety[Date],$A6)</f>
        <v/>
      </c>
      <c r="HP6" s="62">
        <f>IF($B6=$B5,$HP5,0)+$HO6</f>
        <v/>
      </c>
      <c r="HQ6" s="62">
        <f>$HQ5+$HO6</f>
        <v/>
      </c>
      <c r="HR6" s="62">
        <f>SUMIFS(tblSafety[Near_Miss],tblSafety[Date],$A6)</f>
        <v/>
      </c>
      <c r="HS6" s="62">
        <f>IF($B6=$B5,$HS5,0)+$HR6</f>
        <v/>
      </c>
      <c r="HT6" s="62">
        <f>$HT5+$HR6</f>
        <v/>
      </c>
      <c r="HU6" s="62">
        <f>SUMIFS(tblSafety[Hazard_Reports],tblSafety[Date],$A6)</f>
        <v/>
      </c>
      <c r="HV6" s="62">
        <f>IF($B6=$B5,$HV5,0)+$HU6</f>
        <v/>
      </c>
      <c r="HW6" s="62">
        <f>$HW5+$HU6</f>
        <v/>
      </c>
      <c r="HX6" s="62">
        <f>SUMIFS(tblSafety[HPI],tblSafety[Date],$A6)</f>
        <v/>
      </c>
      <c r="HY6" s="62">
        <f>IF($B6=$B5,$HY5,0)+$HX6</f>
        <v/>
      </c>
      <c r="HZ6" s="62">
        <f>$HZ5+$HX6</f>
        <v/>
      </c>
      <c r="IA6" s="62">
        <f>SUMIFS(tblSafety[Env_Incidents],tblSafety[Date],$A6)</f>
        <v/>
      </c>
      <c r="IB6" s="62">
        <f>IF($B6=$B5,$IB5,0)+$IA6</f>
        <v/>
      </c>
      <c r="IC6" s="62">
        <f>$IC5+$IA6</f>
        <v/>
      </c>
      <c r="ID6" s="62">
        <f>SUMIFS(tblSafety[Community_Incidents],tblSafety[Date],$A6)</f>
        <v/>
      </c>
      <c r="IE6" s="62">
        <f>IF($B6=$B5,$IE5,0)+$ID6</f>
        <v/>
      </c>
      <c r="IF6" s="62">
        <f>$IF5+$ID6</f>
        <v/>
      </c>
      <c r="IG6" s="62">
        <f>SUMIFS(tblSafety[Vehicle_Incidents],tblSafety[Date],$A6)</f>
        <v/>
      </c>
      <c r="IH6" s="62">
        <f>IF($B6=$B5,$IH5,0)+$IG6</f>
        <v/>
      </c>
      <c r="II6" s="62">
        <f>$II5+$IG6</f>
        <v/>
      </c>
      <c r="IJ6" s="62">
        <f>SUMIFS(tblSafety[Toolbox_Talks],tblSafety[Date],$A6)</f>
        <v/>
      </c>
      <c r="IK6" s="62">
        <f>IF($B6=$B5,$IK5,0)+$IJ6</f>
        <v/>
      </c>
      <c r="IL6" s="62">
        <f>$IL5+$IJ6</f>
        <v/>
      </c>
      <c r="IM6" s="62">
        <f>SUMIFS(tblSafety[Inspections],tblSafety[Date],$A6)</f>
        <v/>
      </c>
      <c r="IN6" s="62">
        <f>IF($B6=$B5,$IN5,0)+$IM6</f>
        <v/>
      </c>
      <c r="IO6" s="62">
        <f>$IO5+$IM6</f>
        <v/>
      </c>
      <c r="IP6" s="56">
        <f>IFERROR((SUMIFS(tblSafety[Recordables],tblSafety[Date],"&gt;="&amp;EDATE($E6,-12),tblSafety[Date],"&lt;="&amp;$A6)+SUMIFS(tblSafetyHistory[Recordables],tblSafetyHistory[Month],"&gt;="&amp;EDATE($E6,-12),tblSafetyHistory[Month],"&lt;"&amp;$E6,tblSafetyHistory[Use],1))/(SUMIFS(tblSafety[Hours_Total],tblSafety[Date],"&gt;="&amp;EDATE($E6,-12),tblSafety[Date],"&lt;="&amp;$A6)+SUMIFS(tblSafetyHistory[Hours_Total],tblSafetyHistory[Month],"&gt;="&amp;EDATE($E6,-12),tblSafetyHistory[Month],"&lt;"&amp;$E6,tblSafetyHistory[Use],1))*cfg_RateBasisHours,"")</f>
        <v/>
      </c>
      <c r="IQ6" s="56">
        <f>IFERROR((SUMIFS(tblSafety[LTI],tblSafety[Date],"&gt;="&amp;EDATE($E6,-12),tblSafety[Date],"&lt;="&amp;$A6)+SUMIFS(tblSafetyHistory[LTI],tblSafetyHistory[Month],"&gt;="&amp;EDATE($E6,-12),tblSafetyHistory[Month],"&lt;"&amp;$E6,tblSafetyHistory[Use],1))/(SUMIFS(tblSafety[Hours_Total],tblSafety[Date],"&gt;="&amp;EDATE($E6,-12),tblSafety[Date],"&lt;="&amp;$A6)+SUMIFS(tblSafetyHistory[Hours_Total],tblSafetyHistory[Month],"&gt;="&amp;EDATE($E6,-12),tblSafetyHistory[Month],"&lt;"&amp;$E6,tblSafetyHistory[Use],1))*cfg_RateBasisHours,"")</f>
        <v/>
      </c>
      <c r="IR6" s="62">
        <f>IF(MAX(N(cfg_PriorLTIDate),_xlfn.MAXIFS(tblSafety[Date],tblSafety[LTI],"&gt;0",tblSafety[Date],"&lt;="&amp;$A6))=0,"",$A6-MAX(N(cfg_PriorLTIDate),_xlfn.MAXIFS(tblSafety[Date],tblSafety[LTI],"&gt;0",tblSafety[Date],"&lt;="&amp;$A6)))</f>
        <v/>
      </c>
      <c r="IS6" s="55">
        <f>SUMIFS(tblBudget[Ore_Mined_t],tblBudget[Month],$E6)</f>
        <v/>
      </c>
      <c r="IT6" s="55">
        <f>$IS6*$C6/$D6</f>
        <v/>
      </c>
      <c r="IU6" s="55">
        <f>SUMIFS(tblBudget[Ore_Mined_t],tblBudget[Month],"&lt;"&amp;$E6)+$IT6</f>
        <v/>
      </c>
      <c r="IV6" s="55">
        <f>SUMIFS(tblBudget[Ore_oz],tblBudget[Month],$E6)</f>
        <v/>
      </c>
      <c r="IW6" s="55">
        <f>$IV6*$C6/$D6</f>
        <v/>
      </c>
      <c r="IX6" s="55">
        <f>SUMIFS(tblBudget[Ore_oz],tblBudget[Month],"&lt;"&amp;$E6)+$IW6</f>
        <v/>
      </c>
      <c r="IY6" s="55">
        <f>SUMIFS(tblBudget[Ore_Mined_t],tblBudget[Month],$E6)</f>
        <v/>
      </c>
      <c r="IZ6" s="55">
        <f>$IY6*$C6/$D6</f>
        <v/>
      </c>
      <c r="JA6" s="55">
        <f>SUMIFS(tblBudget[Ore_Mined_t],tblBudget[Month],"&lt;"&amp;$E6)+$IZ6</f>
        <v/>
      </c>
      <c r="JB6" s="56">
        <f>IFERROR(IF(($IY6)&gt;0,($IV6*cfg_TroyOz)/($IY6),""),"")</f>
        <v/>
      </c>
      <c r="JC6" s="56">
        <f>IFERROR(IF(($IZ6)&gt;0,($IW6*cfg_TroyOz)/($IZ6),""),"")</f>
        <v/>
      </c>
      <c r="JD6" s="56">
        <f>IFERROR(IF(($JA6)&gt;0,($IX6*cfg_TroyOz)/($JA6),""),"")</f>
        <v/>
      </c>
      <c r="JE6" s="55">
        <f>SUMIFS(tblBudget[Waste_t],tblBudget[Month],$E6)</f>
        <v/>
      </c>
      <c r="JF6" s="55">
        <f>$JE6*$C6/$D6</f>
        <v/>
      </c>
      <c r="JG6" s="55">
        <f>SUMIFS(tblBudget[Waste_t],tblBudget[Month],"&lt;"&amp;$E6)+$JF6</f>
        <v/>
      </c>
      <c r="JH6" s="55">
        <f>SUMIFS(tblBudget[TMM_t],tblBudget[Month],$E6)</f>
        <v/>
      </c>
      <c r="JI6" s="55">
        <f>$JH6*$C6/$D6</f>
        <v/>
      </c>
      <c r="JJ6" s="55">
        <f>SUMIFS(tblBudget[TMM_t],tblBudget[Month],"&lt;"&amp;$E6)+$JI6</f>
        <v/>
      </c>
      <c r="JK6" s="56">
        <f>IFERROR(IF(($IS6)&gt;0,($JE6)/($IS6),""),"")</f>
        <v/>
      </c>
      <c r="JL6" s="56">
        <f>IFERROR(IF(($IT6)&gt;0,($JF6)/($IT6),""),"")</f>
        <v/>
      </c>
      <c r="JM6" s="56">
        <f>IFERROR(IF(($IU6)&gt;0,($JG6)/($IU6),""),"")</f>
        <v/>
      </c>
      <c r="JN6" s="55">
        <f>SUMIFS(tblBudget[Drill_m],tblBudget[Month],$E6)</f>
        <v/>
      </c>
      <c r="JO6" s="55">
        <f>$JN6*$C6/$D6</f>
        <v/>
      </c>
      <c r="JP6" s="55">
        <f>SUMIFS(tblBudget[Drill_m],tblBudget[Month],"&lt;"&amp;$E6)+$JO6</f>
        <v/>
      </c>
      <c r="JQ6" s="55">
        <f>SUMIFS(tblBudget[Diesel_L],tblBudget[Month],$E6)</f>
        <v/>
      </c>
      <c r="JR6" s="55">
        <f>$JQ6*$C6/$D6</f>
        <v/>
      </c>
      <c r="JS6" s="55">
        <f>SUMIFS(tblBudget[Diesel_L],tblBudget[Month],"&lt;"&amp;$E6)+$JR6</f>
        <v/>
      </c>
      <c r="JT6" s="55">
        <f>SUMIFS(tblBudget[Milled_t],tblBudget[Month],$E6)</f>
        <v/>
      </c>
      <c r="JU6" s="55">
        <f>$JT6*$C6/$D6</f>
        <v/>
      </c>
      <c r="JV6" s="55">
        <f>SUMIFS(tblBudget[Milled_t],tblBudget[Month],"&lt;"&amp;$E6)+$JU6</f>
        <v/>
      </c>
      <c r="JW6" s="55">
        <f>SUMIFS(tblBudget[Feed_oz],tblBudget[Month],$E6)</f>
        <v/>
      </c>
      <c r="JX6" s="55">
        <f>$JW6*$C6/$D6</f>
        <v/>
      </c>
      <c r="JY6" s="55">
        <f>SUMIFS(tblBudget[Feed_oz],tblBudget[Month],"&lt;"&amp;$E6)+$JX6</f>
        <v/>
      </c>
      <c r="JZ6" s="55">
        <f>SUMIFS(tblBudget[Recovered_oz],tblBudget[Month],$E6)</f>
        <v/>
      </c>
      <c r="KA6" s="55">
        <f>$JZ6*$C6/$D6</f>
        <v/>
      </c>
      <c r="KB6" s="55">
        <f>SUMIFS(tblBudget[Recovered_oz],tblBudget[Month],"&lt;"&amp;$E6)+$KA6</f>
        <v/>
      </c>
      <c r="KC6" s="55">
        <f>SUMIFS(tblBudget[Milled_t],tblBudget[Month],$E6)</f>
        <v/>
      </c>
      <c r="KD6" s="55">
        <f>$KC6*$C6/$D6</f>
        <v/>
      </c>
      <c r="KE6" s="55">
        <f>SUMIFS(tblBudget[Milled_t],tblBudget[Month],"&lt;"&amp;$E6)+$KD6</f>
        <v/>
      </c>
      <c r="KF6" s="55">
        <f>SUMIFS(tblBudget[Feed_oz],tblBudget[Month],$E6)</f>
        <v/>
      </c>
      <c r="KG6" s="55">
        <f>$KF6*$C6/$D6</f>
        <v/>
      </c>
      <c r="KH6" s="55">
        <f>SUMIFS(tblBudget[Feed_oz],tblBudget[Month],"&lt;"&amp;$E6)+$KG6</f>
        <v/>
      </c>
      <c r="KI6" s="56">
        <f>IFERROR(IF(($KC6)&gt;0,($JW6*cfg_TroyOz)/($KC6),""),"")</f>
        <v/>
      </c>
      <c r="KJ6" s="56">
        <f>IFERROR(IF(($KD6)&gt;0,($JX6*cfg_TroyOz)/($KD6),""),"")</f>
        <v/>
      </c>
      <c r="KK6" s="56">
        <f>IFERROR(IF(($KE6)&gt;0,($JY6*cfg_TroyOz)/($KE6),""),"")</f>
        <v/>
      </c>
      <c r="KL6" s="67">
        <f>IFERROR(IF(($KF6)&gt;0,($JZ6)/($KF6),""),"")</f>
        <v/>
      </c>
      <c r="KM6" s="67">
        <f>IFERROR(IF(($KG6)&gt;0,($KA6)/($KG6),""),"")</f>
        <v/>
      </c>
      <c r="KN6" s="67">
        <f>IFERROR(IF(($KH6)&gt;0,($KB6)/($KH6),""),"")</f>
        <v/>
      </c>
      <c r="KO6" s="55">
        <f>SUMIFS(tblBudget[Gold_Poured_oz],tblBudget[Month],$E6)</f>
        <v/>
      </c>
      <c r="KP6" s="55">
        <f>$KO6*$C6/$D6</f>
        <v/>
      </c>
      <c r="KQ6" s="55">
        <f>SUMIFS(tblBudget[Gold_Poured_oz],tblBudget[Month],"&lt;"&amp;$E6)+$KP6</f>
        <v/>
      </c>
      <c r="KR6" s="57">
        <f>SUMIFS(tblBudget[Hours_Worked],tblBudget[Month],$E6)</f>
        <v/>
      </c>
      <c r="KS6" s="57">
        <f>$KR6*$C6/$D6</f>
        <v/>
      </c>
      <c r="KT6" s="57">
        <f>SUMIFS(tblBudget[Hours_Worked],tblBudget[Month],"&lt;"&amp;$E6)+$KS6</f>
        <v/>
      </c>
    </row>
    <row r="7">
      <c r="A7" s="54" t="n">
        <v>46028</v>
      </c>
      <c r="B7">
        <f>MONTH($A7)</f>
        <v/>
      </c>
      <c r="C7">
        <f>DAY($A7)</f>
        <v/>
      </c>
      <c r="D7">
        <f>DAY(EOMONTH($A7,0))</f>
        <v/>
      </c>
      <c r="E7" s="54">
        <f>DATE(YEAR($A7),MONTH($A7),1)</f>
        <v/>
      </c>
      <c r="F7" s="55">
        <f>SUMIFS(tblMovement[Tonnes_t],tblMovement[Date],$A7,tblMovement[Is_Ore],1,tblMovement[Source_Type],"Pit")</f>
        <v/>
      </c>
      <c r="G7" s="55">
        <f>IF($B7=$B6,$G6,0)+$F7</f>
        <v/>
      </c>
      <c r="H7" s="55">
        <f>$H6+$F7</f>
        <v/>
      </c>
      <c r="I7" s="55">
        <f>SUMIFS(tblMovement[Ore_oz],tblMovement[Date],$A7,tblMovement[Source_Type],"Pit")</f>
        <v/>
      </c>
      <c r="J7" s="55">
        <f>IF($B7=$B6,$J6,0)+$I7</f>
        <v/>
      </c>
      <c r="K7" s="55">
        <f>$K6+$I7</f>
        <v/>
      </c>
      <c r="L7" s="55">
        <f>SUMIFS(tblMovement[Tonnes_t],tblMovement[Date],$A7,tblMovement[Is_Ore],1,tblMovement[Source_Type],"Pit",tblMovement[Grade_gpt],"&lt;&gt;")</f>
        <v/>
      </c>
      <c r="M7" s="55">
        <f>IF($B7=$B6,$M6,0)+$L7</f>
        <v/>
      </c>
      <c r="N7" s="55">
        <f>$N6+$L7</f>
        <v/>
      </c>
      <c r="O7" s="56">
        <f>IFERROR(IF(($L7)&gt;0,($I7*cfg_TroyOz)/($L7),""),"")</f>
        <v/>
      </c>
      <c r="P7" s="56">
        <f>IFERROR(IF(($M7)&gt;0,($J7*cfg_TroyOz)/($M7),""),"")</f>
        <v/>
      </c>
      <c r="Q7" s="56">
        <f>IFERROR(IF(($N7)&gt;0,($K7*cfg_TroyOz)/($N7),""),"")</f>
        <v/>
      </c>
      <c r="R7" s="55">
        <f>$F7-$L7</f>
        <v/>
      </c>
      <c r="S7" s="55">
        <f>IF($B7=$B6,$S6,0)+$R7</f>
        <v/>
      </c>
      <c r="T7" s="55">
        <f>$T6+$R7</f>
        <v/>
      </c>
      <c r="U7" s="55">
        <f>SUMIFS(tblMovement[Tonnes_t],tblMovement[Date],$A7,tblMovement[Is_Ore],0,tblMovement[Source_Type],"Pit")</f>
        <v/>
      </c>
      <c r="V7" s="55">
        <f>IF($B7=$B6,$V6,0)+$U7</f>
        <v/>
      </c>
      <c r="W7" s="55">
        <f>$W6+$U7</f>
        <v/>
      </c>
      <c r="X7" s="55">
        <f>$F7+$U7</f>
        <v/>
      </c>
      <c r="Y7" s="55">
        <f>IF($B7=$B6,$Y6,0)+$X7</f>
        <v/>
      </c>
      <c r="Z7" s="55">
        <f>$Z6+$X7</f>
        <v/>
      </c>
      <c r="AA7" s="56">
        <f>IFERROR(IF(($F7)&gt;0,($U7)/($F7),""),"")</f>
        <v/>
      </c>
      <c r="AB7" s="56">
        <f>IFERROR(IF(($G7)&gt;0,($V7)/($G7),""),"")</f>
        <v/>
      </c>
      <c r="AC7" s="56">
        <f>IFERROR(IF(($H7)&gt;0,($W7)/($H7),""),"")</f>
        <v/>
      </c>
      <c r="AD7" s="55">
        <f>SUMIFS(tblMovement[Tonnes_t],tblMovement[Date],$A7,tblMovement[Source_Type],"Stockpile")</f>
        <v/>
      </c>
      <c r="AE7" s="55">
        <f>IF($B7=$B6,$AE6,0)+$AD7</f>
        <v/>
      </c>
      <c r="AF7" s="55">
        <f>$AF6+$AD7</f>
        <v/>
      </c>
      <c r="AG7" s="55">
        <f>SUMIFS(tblMovement[Tonnes_t],tblMovement[Date],$A7)</f>
        <v/>
      </c>
      <c r="AH7" s="55">
        <f>IF($B7=$B6,$AH6,0)+$AG7</f>
        <v/>
      </c>
      <c r="AI7" s="55">
        <f>$AI6+$AG7</f>
        <v/>
      </c>
      <c r="AJ7" s="55">
        <f>$AG7-$X7-$AD7</f>
        <v/>
      </c>
      <c r="AK7" s="55">
        <f>IF($B7=$B6,$AK6,0)+$AJ7</f>
        <v/>
      </c>
      <c r="AL7" s="55">
        <f>$AL6+$AJ7</f>
        <v/>
      </c>
      <c r="AM7" s="55">
        <f>SUMIFS(tblMiningDaily[Drill_m],tblMiningDaily[Date],$A7)</f>
        <v/>
      </c>
      <c r="AN7" s="55">
        <f>IF($B7=$B6,$AN6,0)+$AM7</f>
        <v/>
      </c>
      <c r="AO7" s="55">
        <f>$AO6+$AM7</f>
        <v/>
      </c>
      <c r="AP7" s="55">
        <f>SUMIFS(tblMiningDaily[GC_Drill_m],tblMiningDaily[Date],$A7)</f>
        <v/>
      </c>
      <c r="AQ7" s="55">
        <f>IF($B7=$B6,$AQ6,0)+$AP7</f>
        <v/>
      </c>
      <c r="AR7" s="55">
        <f>$AR6+$AP7</f>
        <v/>
      </c>
      <c r="AS7" s="55">
        <f>SUMIFS(tblMiningDaily[Blast_t],tblMiningDaily[Date],$A7)</f>
        <v/>
      </c>
      <c r="AT7" s="55">
        <f>IF($B7=$B6,$AT6,0)+$AS7</f>
        <v/>
      </c>
      <c r="AU7" s="55">
        <f>$AU6+$AS7</f>
        <v/>
      </c>
      <c r="AV7" s="55">
        <f>SUMIFS(tblMiningDaily[Explosives_kg],tblMiningDaily[Date],$A7)</f>
        <v/>
      </c>
      <c r="AW7" s="55">
        <f>IF($B7=$B6,$AW6,0)+$AV7</f>
        <v/>
      </c>
      <c r="AX7" s="55">
        <f>$AX6+$AV7</f>
        <v/>
      </c>
      <c r="AY7" s="56">
        <f>IFERROR(IF(($AS7)&gt;0,($AV7)/($AS7),""),"")</f>
        <v/>
      </c>
      <c r="AZ7" s="56">
        <f>IFERROR(IF(($AT7)&gt;0,($AW7)/($AT7),""),"")</f>
        <v/>
      </c>
      <c r="BA7" s="56">
        <f>IFERROR(IF(($AU7)&gt;0,($AX7)/($AU7),""),"")</f>
        <v/>
      </c>
      <c r="BB7" s="55">
        <f>SUMIFS(tblMiningDaily[Diesel_L],tblMiningDaily[Date],$A7)</f>
        <v/>
      </c>
      <c r="BC7" s="55">
        <f>IF($B7=$B6,$BC6,0)+$BB7</f>
        <v/>
      </c>
      <c r="BD7" s="55">
        <f>$BD6+$BB7</f>
        <v/>
      </c>
      <c r="BE7" s="55">
        <f>SUMIFS(tblMiningDaily[Dewatering_m3],tblMiningDaily[Date],$A7)</f>
        <v/>
      </c>
      <c r="BF7" s="55">
        <f>IF($B7=$B6,$BF6,0)+$BE7</f>
        <v/>
      </c>
      <c r="BG7" s="55">
        <f>$BG6+$BE7</f>
        <v/>
      </c>
      <c r="BH7" s="57">
        <f>SUMIFS(tblFleet[Calendar_h],tblFleet[Date],$A7,tblFleet[Equipment_Class],"Excavator")</f>
        <v/>
      </c>
      <c r="BI7" s="57">
        <f>IF($B7=$B6,$BI6,0)+$BH7</f>
        <v/>
      </c>
      <c r="BJ7" s="57">
        <f>$BJ6+$BH7</f>
        <v/>
      </c>
      <c r="BK7" s="57">
        <f>SUMIFS(tblFleet[Available_h],tblFleet[Date],$A7,tblFleet[Equipment_Class],"Excavator")</f>
        <v/>
      </c>
      <c r="BL7" s="57">
        <f>IF($B7=$B6,$BL6,0)+$BK7</f>
        <v/>
      </c>
      <c r="BM7" s="57">
        <f>$BM6+$BK7</f>
        <v/>
      </c>
      <c r="BN7" s="57">
        <f>SUMIFS(tblFleet[Operating_h],tblFleet[Date],$A7,tblFleet[Equipment_Class],"Excavator")</f>
        <v/>
      </c>
      <c r="BO7" s="57">
        <f>IF($B7=$B6,$BO6,0)+$BN7</f>
        <v/>
      </c>
      <c r="BP7" s="57">
        <f>$BP6+$BN7</f>
        <v/>
      </c>
      <c r="BQ7" s="67">
        <f>IFERROR(IF(($BH7)&gt;0,($BK7)/($BH7),""),"")</f>
        <v/>
      </c>
      <c r="BR7" s="67">
        <f>IFERROR(IF(($BI7)&gt;0,($BL7)/($BI7),""),"")</f>
        <v/>
      </c>
      <c r="BS7" s="67">
        <f>IFERROR(IF(($BJ7)&gt;0,($BM7)/($BJ7),""),"")</f>
        <v/>
      </c>
      <c r="BT7" s="67">
        <f>IFERROR(IF(($BK7)&gt;0,($BN7)/($BK7),""),"")</f>
        <v/>
      </c>
      <c r="BU7" s="67">
        <f>IFERROR(IF(($BL7)&gt;0,($BO7)/($BL7),""),"")</f>
        <v/>
      </c>
      <c r="BV7" s="67">
        <f>IFERROR(IF(($BM7)&gt;0,($BP7)/($BM7),""),"")</f>
        <v/>
      </c>
      <c r="BW7" s="57">
        <f>SUMIFS(tblFleet[Calendar_h],tblFleet[Date],$A7,tblFleet[Equipment_Class],"Haul Truck")</f>
        <v/>
      </c>
      <c r="BX7" s="57">
        <f>IF($B7=$B6,$BX6,0)+$BW7</f>
        <v/>
      </c>
      <c r="BY7" s="57">
        <f>$BY6+$BW7</f>
        <v/>
      </c>
      <c r="BZ7" s="57">
        <f>SUMIFS(tblFleet[Available_h],tblFleet[Date],$A7,tblFleet[Equipment_Class],"Haul Truck")</f>
        <v/>
      </c>
      <c r="CA7" s="57">
        <f>IF($B7=$B6,$CA6,0)+$BZ7</f>
        <v/>
      </c>
      <c r="CB7" s="57">
        <f>$CB6+$BZ7</f>
        <v/>
      </c>
      <c r="CC7" s="57">
        <f>SUMIFS(tblFleet[Operating_h],tblFleet[Date],$A7,tblFleet[Equipment_Class],"Haul Truck")</f>
        <v/>
      </c>
      <c r="CD7" s="57">
        <f>IF($B7=$B6,$CD6,0)+$CC7</f>
        <v/>
      </c>
      <c r="CE7" s="57">
        <f>$CE6+$CC7</f>
        <v/>
      </c>
      <c r="CF7" s="67">
        <f>IFERROR(IF(($BW7)&gt;0,($BZ7)/($BW7),""),"")</f>
        <v/>
      </c>
      <c r="CG7" s="67">
        <f>IFERROR(IF(($BX7)&gt;0,($CA7)/($BX7),""),"")</f>
        <v/>
      </c>
      <c r="CH7" s="67">
        <f>IFERROR(IF(($BY7)&gt;0,($CB7)/($BY7),""),"")</f>
        <v/>
      </c>
      <c r="CI7" s="67">
        <f>IFERROR(IF(($BZ7)&gt;0,($CC7)/($BZ7),""),"")</f>
        <v/>
      </c>
      <c r="CJ7" s="67">
        <f>IFERROR(IF(($CA7)&gt;0,($CD7)/($CA7),""),"")</f>
        <v/>
      </c>
      <c r="CK7" s="67">
        <f>IFERROR(IF(($CB7)&gt;0,($CE7)/($CB7),""),"")</f>
        <v/>
      </c>
      <c r="CL7" s="55">
        <f>IFERROR(IF(($BN7)&gt;0,($X7+$AD7)/($BN7),""),"")</f>
        <v/>
      </c>
      <c r="CM7" s="55">
        <f>IFERROR(IF(($BO7)&gt;0,($Y7+$AE7)/($BO7),""),"")</f>
        <v/>
      </c>
      <c r="CN7" s="55">
        <f>IFERROR(IF(($BP7)&gt;0,($Z7+$AF7)/($BP7),""),"")</f>
        <v/>
      </c>
      <c r="CO7" s="55">
        <f>IFERROR(IF(($CC7)&gt;0,($X7+$AD7)/($CC7),""),"")</f>
        <v/>
      </c>
      <c r="CP7" s="55">
        <f>IFERROR(IF(($CD7)&gt;0,($Y7+$AE7)/($CD7),""),"")</f>
        <v/>
      </c>
      <c r="CQ7" s="55">
        <f>IFERROR(IF(($CE7)&gt;0,($Z7+$AF7)/($CE7),""),"")</f>
        <v/>
      </c>
      <c r="CR7" s="55">
        <f>SUMIFS(tblPlant[Crushed_t],tblPlant[Date],$A7)</f>
        <v/>
      </c>
      <c r="CS7" s="55">
        <f>IF($B7=$B6,$CS6,0)+$CR7</f>
        <v/>
      </c>
      <c r="CT7" s="55">
        <f>$CT6+$CR7</f>
        <v/>
      </c>
      <c r="CU7" s="55">
        <f>SUMIFS(tblPlant[Milled_t],tblPlant[Date],$A7)</f>
        <v/>
      </c>
      <c r="CV7" s="55">
        <f>IF($B7=$B6,$CV6,0)+$CU7</f>
        <v/>
      </c>
      <c r="CW7" s="55">
        <f>$CW6+$CU7</f>
        <v/>
      </c>
      <c r="CX7" s="55">
        <f>SUMIFS(tblPlant[Feed_oz],tblPlant[Date],$A7)</f>
        <v/>
      </c>
      <c r="CY7" s="55">
        <f>IF($B7=$B6,$CY6,0)+$CX7</f>
        <v/>
      </c>
      <c r="CZ7" s="55">
        <f>$CZ6+$CX7</f>
        <v/>
      </c>
      <c r="DA7" s="55">
        <f>SUMIFS(tblPlant[Tails_oz],tblPlant[Date],$A7)</f>
        <v/>
      </c>
      <c r="DB7" s="55">
        <f>IF($B7=$B6,$DB6,0)+$DA7</f>
        <v/>
      </c>
      <c r="DC7" s="55">
        <f>$DC6+$DA7</f>
        <v/>
      </c>
      <c r="DD7" s="55">
        <f>SUMIFS(tblPlant[Recovered_oz],tblPlant[Date],$A7)</f>
        <v/>
      </c>
      <c r="DE7" s="55">
        <f>IF($B7=$B6,$DE6,0)+$DD7</f>
        <v/>
      </c>
      <c r="DF7" s="55">
        <f>$DF6+$DD7</f>
        <v/>
      </c>
      <c r="DG7" s="55">
        <f>SUMIFS(tblPlant[Milled_t],tblPlant[Date],$A7,tblPlant[Head_Grade_gpt],"&lt;&gt;")</f>
        <v/>
      </c>
      <c r="DH7" s="55">
        <f>IF($B7=$B6,$DH6,0)+$DG7</f>
        <v/>
      </c>
      <c r="DI7" s="55">
        <f>$DI6+$DG7</f>
        <v/>
      </c>
      <c r="DJ7" s="55">
        <f>SUMIFS(tblPlant[Milled_t],tblPlant[Date],$A7,tblPlant[Tails_Grade_gpt],"&lt;&gt;")</f>
        <v/>
      </c>
      <c r="DK7" s="55">
        <f>IF($B7=$B6,$DK6,0)+$DJ7</f>
        <v/>
      </c>
      <c r="DL7" s="55">
        <f>$DL6+$DJ7</f>
        <v/>
      </c>
      <c r="DM7" s="55">
        <f>SUMIFS(tblPlant[Feed_oz],tblPlant[Date],$A7,tblPlant[Tails_Grade_gpt],"&lt;&gt;")</f>
        <v/>
      </c>
      <c r="DN7" s="55">
        <f>IF($B7=$B6,$DN6,0)+$DM7</f>
        <v/>
      </c>
      <c r="DO7" s="55">
        <f>$DO6+$DM7</f>
        <v/>
      </c>
      <c r="DP7" s="55">
        <f>SUMIFS(tblPlant[Milled_t],tblPlant[Date],$A7,tblPlant[Mill_Run_h],"&lt;&gt;")</f>
        <v/>
      </c>
      <c r="DQ7" s="55">
        <f>IF($B7=$B6,$DQ6,0)+$DP7</f>
        <v/>
      </c>
      <c r="DR7" s="55">
        <f>$DR6+$DP7</f>
        <v/>
      </c>
      <c r="DS7" s="56">
        <f>IFERROR(IF(($DG7)&gt;0,($CX7*cfg_TroyOz)/($DG7),""),"")</f>
        <v/>
      </c>
      <c r="DT7" s="56">
        <f>IFERROR(IF(($DH7)&gt;0,($CY7*cfg_TroyOz)/($DH7),""),"")</f>
        <v/>
      </c>
      <c r="DU7" s="56">
        <f>IFERROR(IF(($DI7)&gt;0,($CZ7*cfg_TroyOz)/($DI7),""),"")</f>
        <v/>
      </c>
      <c r="DV7" s="56">
        <f>IFERROR(IF(($DJ7)&gt;0,($DA7*cfg_TroyOz)/($DJ7),""),"")</f>
        <v/>
      </c>
      <c r="DW7" s="56">
        <f>IFERROR(IF(($DK7)&gt;0,($DB7*cfg_TroyOz)/($DK7),""),"")</f>
        <v/>
      </c>
      <c r="DX7" s="56">
        <f>IFERROR(IF(($DL7)&gt;0,($DC7*cfg_TroyOz)/($DL7),""),"")</f>
        <v/>
      </c>
      <c r="DY7" s="67">
        <f>IFERROR(IF(($DM7)&gt;0,($DD7)/($DM7),""),"")</f>
        <v/>
      </c>
      <c r="DZ7" s="67">
        <f>IFERROR(IF(($DN7)&gt;0,($DE7)/($DN7),""),"")</f>
        <v/>
      </c>
      <c r="EA7" s="67">
        <f>IFERROR(IF(($DO7)&gt;0,($DF7)/($DO7),""),"")</f>
        <v/>
      </c>
      <c r="EB7" s="55">
        <f>SUMIFS(tblPlant[Gravity_Gold_oz],tblPlant[Date],$A7)</f>
        <v/>
      </c>
      <c r="EC7" s="55">
        <f>IF($B7=$B6,$EC6,0)+$EB7</f>
        <v/>
      </c>
      <c r="ED7" s="55">
        <f>$ED6+$EB7</f>
        <v/>
      </c>
      <c r="EE7" s="67">
        <f>IFERROR(IF(($DD7)&gt;0,($EB7)/($DD7),""),"")</f>
        <v/>
      </c>
      <c r="EF7" s="67">
        <f>IFERROR(IF(($DE7)&gt;0,($EC7)/($DE7),""),"")</f>
        <v/>
      </c>
      <c r="EG7" s="67">
        <f>IFERROR(IF(($DF7)&gt;0,($ED7)/($DF7),""),"")</f>
        <v/>
      </c>
      <c r="EH7" s="55">
        <f>SUMIFS(tblPlant[Gold_Poured_oz],tblPlant[Date],$A7)</f>
        <v/>
      </c>
      <c r="EI7" s="55">
        <f>IF($B7=$B6,$EI6,0)+$EH7</f>
        <v/>
      </c>
      <c r="EJ7" s="55">
        <f>$EJ6+$EH7</f>
        <v/>
      </c>
      <c r="EK7" s="57">
        <f>SUMIFS(tblPlant[Mill_Run_h],tblPlant[Date],$A7)</f>
        <v/>
      </c>
      <c r="EL7" s="57">
        <f>IF($B7=$B6,$EL6,0)+$EK7</f>
        <v/>
      </c>
      <c r="EM7" s="57">
        <f>$EM6+$EK7</f>
        <v/>
      </c>
      <c r="EN7" s="57">
        <f>SUMIFS(tblPlant[Mill_Planned_Maint_h],tblPlant[Date],$A7)</f>
        <v/>
      </c>
      <c r="EO7" s="57">
        <f>IF($B7=$B6,$EO6,0)+$EN7</f>
        <v/>
      </c>
      <c r="EP7" s="57">
        <f>$EP6+$EN7</f>
        <v/>
      </c>
      <c r="EQ7" s="57">
        <f>SUMIFS(tblPlant[Mill_Unplanned_Down_h],tblPlant[Date],$A7)</f>
        <v/>
      </c>
      <c r="ER7" s="57">
        <f>IF($B7=$B6,$ER6,0)+$EQ7</f>
        <v/>
      </c>
      <c r="ES7" s="57">
        <f>$ES6+$EQ7</f>
        <v/>
      </c>
      <c r="ET7" s="57">
        <f>IF(COUNTIFS(tblPlant[Date],$A7,tblPlant[Mill_Run_h],"&lt;&gt;")+COUNTIFS(tblPlant[Date],$A7,tblPlant[Mill_Planned_Maint_h],"&lt;&gt;")+COUNTIFS(tblPlant[Date],$A7,tblPlant[Mill_Unplanned_Down_h],"&lt;&gt;")&gt;0,cfg_HoursPerDay,0)</f>
        <v/>
      </c>
      <c r="EU7" s="57">
        <f>IF($B7=$B6,$EU6,0)+$ET7</f>
        <v/>
      </c>
      <c r="EV7" s="57">
        <f>$EV6+$ET7</f>
        <v/>
      </c>
      <c r="EW7" s="57">
        <f>SUMIFS(tblPlant[Crusher_Run_h],tblPlant[Date],$A7)</f>
        <v/>
      </c>
      <c r="EX7" s="57">
        <f>IF($B7=$B6,$EX6,0)+$EW7</f>
        <v/>
      </c>
      <c r="EY7" s="57">
        <f>$EY6+$EW7</f>
        <v/>
      </c>
      <c r="EZ7" s="55">
        <f>IFERROR(IF(($EK7)&gt;0,($DP7)/($EK7),""),"")</f>
        <v/>
      </c>
      <c r="FA7" s="55">
        <f>IFERROR(IF(($EL7)&gt;0,($DQ7)/($EL7),""),"")</f>
        <v/>
      </c>
      <c r="FB7" s="55">
        <f>IFERROR(IF(($EM7)&gt;0,($DR7)/($EM7),""),"")</f>
        <v/>
      </c>
      <c r="FC7" s="67">
        <f>IFERROR(IF(($ET7)&gt;0,($ET7-$EN7-$EQ7)/($ET7),""),"")</f>
        <v/>
      </c>
      <c r="FD7" s="67">
        <f>IFERROR(IF(($EU7)&gt;0,($EU7-$EO7-$ER7)/($EU7),""),"")</f>
        <v/>
      </c>
      <c r="FE7" s="67">
        <f>IFERROR(IF(($EV7)&gt;0,($EV7-$EP7-$ES7)/($EV7),""),"")</f>
        <v/>
      </c>
      <c r="FF7" s="67">
        <f>IFERROR(IF(($ET7-$EN7-$EQ7)&gt;0,($EK7)/($ET7-$EN7-$EQ7),""),"")</f>
        <v/>
      </c>
      <c r="FG7" s="67">
        <f>IFERROR(IF(($EU7-$EO7-$ER7)&gt;0,($EL7)/($EU7-$EO7-$ER7),""),"")</f>
        <v/>
      </c>
      <c r="FH7" s="67">
        <f>IFERROR(IF(($EV7-$EP7-$ES7)&gt;0,($EM7)/($EV7-$EP7-$ES7),""),"")</f>
        <v/>
      </c>
      <c r="FI7" s="55">
        <f>SUMIFS(tblPlant[Cyanide_kg],tblPlant[Date],$A7)</f>
        <v/>
      </c>
      <c r="FJ7" s="55">
        <f>IF($B7=$B6,$FJ6,0)+$FI7</f>
        <v/>
      </c>
      <c r="FK7" s="55">
        <f>$FK6+$FI7</f>
        <v/>
      </c>
      <c r="FL7" s="55">
        <f>SUMIFS(tblPlant[Lime_kg],tblPlant[Date],$A7)</f>
        <v/>
      </c>
      <c r="FM7" s="55">
        <f>IF($B7=$B6,$FM6,0)+$FL7</f>
        <v/>
      </c>
      <c r="FN7" s="55">
        <f>$FN6+$FL7</f>
        <v/>
      </c>
      <c r="FO7" s="55">
        <f>SUMIFS(tblPlant[Grinding_Media_kg],tblPlant[Date],$A7)</f>
        <v/>
      </c>
      <c r="FP7" s="55">
        <f>IF($B7=$B6,$FP6,0)+$FO7</f>
        <v/>
      </c>
      <c r="FQ7" s="55">
        <f>$FQ6+$FO7</f>
        <v/>
      </c>
      <c r="FR7" s="55">
        <f>SUMIFS(tblPlant[Power_kWh],tblPlant[Date],$A7)</f>
        <v/>
      </c>
      <c r="FS7" s="55">
        <f>IF($B7=$B6,$FS6,0)+$FR7</f>
        <v/>
      </c>
      <c r="FT7" s="55">
        <f>$FT6+$FR7</f>
        <v/>
      </c>
      <c r="FU7" s="55">
        <f>SUMIFS(tblPlant[Raw_Water_m3],tblPlant[Date],$A7)</f>
        <v/>
      </c>
      <c r="FV7" s="55">
        <f>IF($B7=$B6,$FV6,0)+$FU7</f>
        <v/>
      </c>
      <c r="FW7" s="55">
        <f>$FW6+$FU7</f>
        <v/>
      </c>
      <c r="FX7" s="56">
        <f>IFERROR(IF(($CU7)&gt;0,($FI7)/($CU7),""),"")</f>
        <v/>
      </c>
      <c r="FY7" s="56">
        <f>IFERROR(IF(($CV7)&gt;0,($FJ7)/($CV7),""),"")</f>
        <v/>
      </c>
      <c r="FZ7" s="56">
        <f>IFERROR(IF(($CW7)&gt;0,($FK7)/($CW7),""),"")</f>
        <v/>
      </c>
      <c r="GA7" s="56">
        <f>IFERROR(IF(($CU7)&gt;0,($FL7)/($CU7),""),"")</f>
        <v/>
      </c>
      <c r="GB7" s="56">
        <f>IFERROR(IF(($CV7)&gt;0,($FM7)/($CV7),""),"")</f>
        <v/>
      </c>
      <c r="GC7" s="56">
        <f>IFERROR(IF(($CW7)&gt;0,($FN7)/($CW7),""),"")</f>
        <v/>
      </c>
      <c r="GD7" s="56">
        <f>IFERROR(IF(($CU7)&gt;0,($FO7)/($CU7),""),"")</f>
        <v/>
      </c>
      <c r="GE7" s="56">
        <f>IFERROR(IF(($CV7)&gt;0,($FP7)/($CV7),""),"")</f>
        <v/>
      </c>
      <c r="GF7" s="56">
        <f>IFERROR(IF(($CW7)&gt;0,($FQ7)/($CW7),""),"")</f>
        <v/>
      </c>
      <c r="GG7" s="79">
        <f>IFERROR(IF(($CU7)&gt;0,($FR7)/($CU7),""),"")</f>
        <v/>
      </c>
      <c r="GH7" s="79">
        <f>IFERROR(IF(($CV7)&gt;0,($FS7)/($CV7),""),"")</f>
        <v/>
      </c>
      <c r="GI7" s="79">
        <f>IFERROR(IF(($CW7)&gt;0,($FT7)/($CW7),""),"")</f>
        <v/>
      </c>
      <c r="GJ7" s="56">
        <f>IFERROR(IF(($CU7)&gt;0,($FU7)/($CU7),""),"")</f>
        <v/>
      </c>
      <c r="GK7" s="56">
        <f>IFERROR(IF(($CV7)&gt;0,($FV7)/($CV7),""),"")</f>
        <v/>
      </c>
      <c r="GL7" s="56">
        <f>IFERROR(IF(($CW7)&gt;0,($FW7)/($CW7),""),"")</f>
        <v/>
      </c>
      <c r="GM7" s="55">
        <f>IF(SUMIFS(tblPlant[GIC_oz],tblPlant[Date],$A7)&gt;0,SUMIFS(tblPlant[GIC_oz],tblPlant[Date],$A7),"")</f>
        <v/>
      </c>
      <c r="GN7" s="55">
        <f>SUMIFS(tblGold[Gold_oz],tblGold[Date],$A7,tblGold[Type],"Shipment")</f>
        <v/>
      </c>
      <c r="GO7" s="55">
        <f>IF($B7=$B6,$GO6,0)+$GN7</f>
        <v/>
      </c>
      <c r="GP7" s="55">
        <f>$GP6+$GN7</f>
        <v/>
      </c>
      <c r="GQ7" s="55">
        <f>SUMIFS(tblGold[Gold_oz],tblGold[Date],$A7,tblGold[Type],"Sale")</f>
        <v/>
      </c>
      <c r="GR7" s="55">
        <f>IF($B7=$B6,$GR6,0)+$GQ7</f>
        <v/>
      </c>
      <c r="GS7" s="55">
        <f>$GS6+$GQ7</f>
        <v/>
      </c>
      <c r="GT7" s="55">
        <f>SUMIFS(tblGold[Dore_kg],tblGold[Date],$A7,tblGold[Type],"Shipment")</f>
        <v/>
      </c>
      <c r="GU7" s="55">
        <f>IF($B7=$B6,$GU6,0)+$GT7</f>
        <v/>
      </c>
      <c r="GV7" s="55">
        <f>$GV6+$GT7</f>
        <v/>
      </c>
      <c r="GW7" s="57">
        <f>SUMIFS(tblSafety[Hours_Total],tblSafety[Date],$A7)</f>
        <v/>
      </c>
      <c r="GX7" s="57">
        <f>IF($B7=$B6,$GX6,0)+$GW7</f>
        <v/>
      </c>
      <c r="GY7" s="57">
        <f>$GY6+$GW7</f>
        <v/>
      </c>
      <c r="GZ7" s="62">
        <f>SUMIFS(tblSafety[Fatality],tblSafety[Date],$A7)</f>
        <v/>
      </c>
      <c r="HA7" s="62">
        <f>IF($B7=$B6,$HA6,0)+$GZ7</f>
        <v/>
      </c>
      <c r="HB7" s="62">
        <f>$HB6+$GZ7</f>
        <v/>
      </c>
      <c r="HC7" s="62">
        <f>SUMIFS(tblSafety[LTI],tblSafety[Date],$A7)</f>
        <v/>
      </c>
      <c r="HD7" s="62">
        <f>IF($B7=$B6,$HD6,0)+$HC7</f>
        <v/>
      </c>
      <c r="HE7" s="62">
        <f>$HE6+$HC7</f>
        <v/>
      </c>
      <c r="HF7" s="62">
        <f>SUMIFS(tblSafety[RWI],tblSafety[Date],$A7)</f>
        <v/>
      </c>
      <c r="HG7" s="62">
        <f>IF($B7=$B6,$HG6,0)+$HF7</f>
        <v/>
      </c>
      <c r="HH7" s="62">
        <f>$HH6+$HF7</f>
        <v/>
      </c>
      <c r="HI7" s="62">
        <f>SUMIFS(tblSafety[MTI],tblSafety[Date],$A7)</f>
        <v/>
      </c>
      <c r="HJ7" s="62">
        <f>IF($B7=$B6,$HJ6,0)+$HI7</f>
        <v/>
      </c>
      <c r="HK7" s="62">
        <f>$HK6+$HI7</f>
        <v/>
      </c>
      <c r="HL7" s="62">
        <f>SUMIFS(tblSafety[FAI],tblSafety[Date],$A7)</f>
        <v/>
      </c>
      <c r="HM7" s="62">
        <f>IF($B7=$B6,$HM6,0)+$HL7</f>
        <v/>
      </c>
      <c r="HN7" s="62">
        <f>$HN6+$HL7</f>
        <v/>
      </c>
      <c r="HO7" s="62">
        <f>SUMIFS(tblSafety[Recordables],tblSafety[Date],$A7)</f>
        <v/>
      </c>
      <c r="HP7" s="62">
        <f>IF($B7=$B6,$HP6,0)+$HO7</f>
        <v/>
      </c>
      <c r="HQ7" s="62">
        <f>$HQ6+$HO7</f>
        <v/>
      </c>
      <c r="HR7" s="62">
        <f>SUMIFS(tblSafety[Near_Miss],tblSafety[Date],$A7)</f>
        <v/>
      </c>
      <c r="HS7" s="62">
        <f>IF($B7=$B6,$HS6,0)+$HR7</f>
        <v/>
      </c>
      <c r="HT7" s="62">
        <f>$HT6+$HR7</f>
        <v/>
      </c>
      <c r="HU7" s="62">
        <f>SUMIFS(tblSafety[Hazard_Reports],tblSafety[Date],$A7)</f>
        <v/>
      </c>
      <c r="HV7" s="62">
        <f>IF($B7=$B6,$HV6,0)+$HU7</f>
        <v/>
      </c>
      <c r="HW7" s="62">
        <f>$HW6+$HU7</f>
        <v/>
      </c>
      <c r="HX7" s="62">
        <f>SUMIFS(tblSafety[HPI],tblSafety[Date],$A7)</f>
        <v/>
      </c>
      <c r="HY7" s="62">
        <f>IF($B7=$B6,$HY6,0)+$HX7</f>
        <v/>
      </c>
      <c r="HZ7" s="62">
        <f>$HZ6+$HX7</f>
        <v/>
      </c>
      <c r="IA7" s="62">
        <f>SUMIFS(tblSafety[Env_Incidents],tblSafety[Date],$A7)</f>
        <v/>
      </c>
      <c r="IB7" s="62">
        <f>IF($B7=$B6,$IB6,0)+$IA7</f>
        <v/>
      </c>
      <c r="IC7" s="62">
        <f>$IC6+$IA7</f>
        <v/>
      </c>
      <c r="ID7" s="62">
        <f>SUMIFS(tblSafety[Community_Incidents],tblSafety[Date],$A7)</f>
        <v/>
      </c>
      <c r="IE7" s="62">
        <f>IF($B7=$B6,$IE6,0)+$ID7</f>
        <v/>
      </c>
      <c r="IF7" s="62">
        <f>$IF6+$ID7</f>
        <v/>
      </c>
      <c r="IG7" s="62">
        <f>SUMIFS(tblSafety[Vehicle_Incidents],tblSafety[Date],$A7)</f>
        <v/>
      </c>
      <c r="IH7" s="62">
        <f>IF($B7=$B6,$IH6,0)+$IG7</f>
        <v/>
      </c>
      <c r="II7" s="62">
        <f>$II6+$IG7</f>
        <v/>
      </c>
      <c r="IJ7" s="62">
        <f>SUMIFS(tblSafety[Toolbox_Talks],tblSafety[Date],$A7)</f>
        <v/>
      </c>
      <c r="IK7" s="62">
        <f>IF($B7=$B6,$IK6,0)+$IJ7</f>
        <v/>
      </c>
      <c r="IL7" s="62">
        <f>$IL6+$IJ7</f>
        <v/>
      </c>
      <c r="IM7" s="62">
        <f>SUMIFS(tblSafety[Inspections],tblSafety[Date],$A7)</f>
        <v/>
      </c>
      <c r="IN7" s="62">
        <f>IF($B7=$B6,$IN6,0)+$IM7</f>
        <v/>
      </c>
      <c r="IO7" s="62">
        <f>$IO6+$IM7</f>
        <v/>
      </c>
      <c r="IP7" s="56">
        <f>IFERROR((SUMIFS(tblSafety[Recordables],tblSafety[Date],"&gt;="&amp;EDATE($E7,-12),tblSafety[Date],"&lt;="&amp;$A7)+SUMIFS(tblSafetyHistory[Recordables],tblSafetyHistory[Month],"&gt;="&amp;EDATE($E7,-12),tblSafetyHistory[Month],"&lt;"&amp;$E7,tblSafetyHistory[Use],1))/(SUMIFS(tblSafety[Hours_Total],tblSafety[Date],"&gt;="&amp;EDATE($E7,-12),tblSafety[Date],"&lt;="&amp;$A7)+SUMIFS(tblSafetyHistory[Hours_Total],tblSafetyHistory[Month],"&gt;="&amp;EDATE($E7,-12),tblSafetyHistory[Month],"&lt;"&amp;$E7,tblSafetyHistory[Use],1))*cfg_RateBasisHours,"")</f>
        <v/>
      </c>
      <c r="IQ7" s="56">
        <f>IFERROR((SUMIFS(tblSafety[LTI],tblSafety[Date],"&gt;="&amp;EDATE($E7,-12),tblSafety[Date],"&lt;="&amp;$A7)+SUMIFS(tblSafetyHistory[LTI],tblSafetyHistory[Month],"&gt;="&amp;EDATE($E7,-12),tblSafetyHistory[Month],"&lt;"&amp;$E7,tblSafetyHistory[Use],1))/(SUMIFS(tblSafety[Hours_Total],tblSafety[Date],"&gt;="&amp;EDATE($E7,-12),tblSafety[Date],"&lt;="&amp;$A7)+SUMIFS(tblSafetyHistory[Hours_Total],tblSafetyHistory[Month],"&gt;="&amp;EDATE($E7,-12),tblSafetyHistory[Month],"&lt;"&amp;$E7,tblSafetyHistory[Use],1))*cfg_RateBasisHours,"")</f>
        <v/>
      </c>
      <c r="IR7" s="62">
        <f>IF(MAX(N(cfg_PriorLTIDate),_xlfn.MAXIFS(tblSafety[Date],tblSafety[LTI],"&gt;0",tblSafety[Date],"&lt;="&amp;$A7))=0,"",$A7-MAX(N(cfg_PriorLTIDate),_xlfn.MAXIFS(tblSafety[Date],tblSafety[LTI],"&gt;0",tblSafety[Date],"&lt;="&amp;$A7)))</f>
        <v/>
      </c>
      <c r="IS7" s="55">
        <f>SUMIFS(tblBudget[Ore_Mined_t],tblBudget[Month],$E7)</f>
        <v/>
      </c>
      <c r="IT7" s="55">
        <f>$IS7*$C7/$D7</f>
        <v/>
      </c>
      <c r="IU7" s="55">
        <f>SUMIFS(tblBudget[Ore_Mined_t],tblBudget[Month],"&lt;"&amp;$E7)+$IT7</f>
        <v/>
      </c>
      <c r="IV7" s="55">
        <f>SUMIFS(tblBudget[Ore_oz],tblBudget[Month],$E7)</f>
        <v/>
      </c>
      <c r="IW7" s="55">
        <f>$IV7*$C7/$D7</f>
        <v/>
      </c>
      <c r="IX7" s="55">
        <f>SUMIFS(tblBudget[Ore_oz],tblBudget[Month],"&lt;"&amp;$E7)+$IW7</f>
        <v/>
      </c>
      <c r="IY7" s="55">
        <f>SUMIFS(tblBudget[Ore_Mined_t],tblBudget[Month],$E7)</f>
        <v/>
      </c>
      <c r="IZ7" s="55">
        <f>$IY7*$C7/$D7</f>
        <v/>
      </c>
      <c r="JA7" s="55">
        <f>SUMIFS(tblBudget[Ore_Mined_t],tblBudget[Month],"&lt;"&amp;$E7)+$IZ7</f>
        <v/>
      </c>
      <c r="JB7" s="56">
        <f>IFERROR(IF(($IY7)&gt;0,($IV7*cfg_TroyOz)/($IY7),""),"")</f>
        <v/>
      </c>
      <c r="JC7" s="56">
        <f>IFERROR(IF(($IZ7)&gt;0,($IW7*cfg_TroyOz)/($IZ7),""),"")</f>
        <v/>
      </c>
      <c r="JD7" s="56">
        <f>IFERROR(IF(($JA7)&gt;0,($IX7*cfg_TroyOz)/($JA7),""),"")</f>
        <v/>
      </c>
      <c r="JE7" s="55">
        <f>SUMIFS(tblBudget[Waste_t],tblBudget[Month],$E7)</f>
        <v/>
      </c>
      <c r="JF7" s="55">
        <f>$JE7*$C7/$D7</f>
        <v/>
      </c>
      <c r="JG7" s="55">
        <f>SUMIFS(tblBudget[Waste_t],tblBudget[Month],"&lt;"&amp;$E7)+$JF7</f>
        <v/>
      </c>
      <c r="JH7" s="55">
        <f>SUMIFS(tblBudget[TMM_t],tblBudget[Month],$E7)</f>
        <v/>
      </c>
      <c r="JI7" s="55">
        <f>$JH7*$C7/$D7</f>
        <v/>
      </c>
      <c r="JJ7" s="55">
        <f>SUMIFS(tblBudget[TMM_t],tblBudget[Month],"&lt;"&amp;$E7)+$JI7</f>
        <v/>
      </c>
      <c r="JK7" s="56">
        <f>IFERROR(IF(($IS7)&gt;0,($JE7)/($IS7),""),"")</f>
        <v/>
      </c>
      <c r="JL7" s="56">
        <f>IFERROR(IF(($IT7)&gt;0,($JF7)/($IT7),""),"")</f>
        <v/>
      </c>
      <c r="JM7" s="56">
        <f>IFERROR(IF(($IU7)&gt;0,($JG7)/($IU7),""),"")</f>
        <v/>
      </c>
      <c r="JN7" s="55">
        <f>SUMIFS(tblBudget[Drill_m],tblBudget[Month],$E7)</f>
        <v/>
      </c>
      <c r="JO7" s="55">
        <f>$JN7*$C7/$D7</f>
        <v/>
      </c>
      <c r="JP7" s="55">
        <f>SUMIFS(tblBudget[Drill_m],tblBudget[Month],"&lt;"&amp;$E7)+$JO7</f>
        <v/>
      </c>
      <c r="JQ7" s="55">
        <f>SUMIFS(tblBudget[Diesel_L],tblBudget[Month],$E7)</f>
        <v/>
      </c>
      <c r="JR7" s="55">
        <f>$JQ7*$C7/$D7</f>
        <v/>
      </c>
      <c r="JS7" s="55">
        <f>SUMIFS(tblBudget[Diesel_L],tblBudget[Month],"&lt;"&amp;$E7)+$JR7</f>
        <v/>
      </c>
      <c r="JT7" s="55">
        <f>SUMIFS(tblBudget[Milled_t],tblBudget[Month],$E7)</f>
        <v/>
      </c>
      <c r="JU7" s="55">
        <f>$JT7*$C7/$D7</f>
        <v/>
      </c>
      <c r="JV7" s="55">
        <f>SUMIFS(tblBudget[Milled_t],tblBudget[Month],"&lt;"&amp;$E7)+$JU7</f>
        <v/>
      </c>
      <c r="JW7" s="55">
        <f>SUMIFS(tblBudget[Feed_oz],tblBudget[Month],$E7)</f>
        <v/>
      </c>
      <c r="JX7" s="55">
        <f>$JW7*$C7/$D7</f>
        <v/>
      </c>
      <c r="JY7" s="55">
        <f>SUMIFS(tblBudget[Feed_oz],tblBudget[Month],"&lt;"&amp;$E7)+$JX7</f>
        <v/>
      </c>
      <c r="JZ7" s="55">
        <f>SUMIFS(tblBudget[Recovered_oz],tblBudget[Month],$E7)</f>
        <v/>
      </c>
      <c r="KA7" s="55">
        <f>$JZ7*$C7/$D7</f>
        <v/>
      </c>
      <c r="KB7" s="55">
        <f>SUMIFS(tblBudget[Recovered_oz],tblBudget[Month],"&lt;"&amp;$E7)+$KA7</f>
        <v/>
      </c>
      <c r="KC7" s="55">
        <f>SUMIFS(tblBudget[Milled_t],tblBudget[Month],$E7)</f>
        <v/>
      </c>
      <c r="KD7" s="55">
        <f>$KC7*$C7/$D7</f>
        <v/>
      </c>
      <c r="KE7" s="55">
        <f>SUMIFS(tblBudget[Milled_t],tblBudget[Month],"&lt;"&amp;$E7)+$KD7</f>
        <v/>
      </c>
      <c r="KF7" s="55">
        <f>SUMIFS(tblBudget[Feed_oz],tblBudget[Month],$E7)</f>
        <v/>
      </c>
      <c r="KG7" s="55">
        <f>$KF7*$C7/$D7</f>
        <v/>
      </c>
      <c r="KH7" s="55">
        <f>SUMIFS(tblBudget[Feed_oz],tblBudget[Month],"&lt;"&amp;$E7)+$KG7</f>
        <v/>
      </c>
      <c r="KI7" s="56">
        <f>IFERROR(IF(($KC7)&gt;0,($JW7*cfg_TroyOz)/($KC7),""),"")</f>
        <v/>
      </c>
      <c r="KJ7" s="56">
        <f>IFERROR(IF(($KD7)&gt;0,($JX7*cfg_TroyOz)/($KD7),""),"")</f>
        <v/>
      </c>
      <c r="KK7" s="56">
        <f>IFERROR(IF(($KE7)&gt;0,($JY7*cfg_TroyOz)/($KE7),""),"")</f>
        <v/>
      </c>
      <c r="KL7" s="67">
        <f>IFERROR(IF(($KF7)&gt;0,($JZ7)/($KF7),""),"")</f>
        <v/>
      </c>
      <c r="KM7" s="67">
        <f>IFERROR(IF(($KG7)&gt;0,($KA7)/($KG7),""),"")</f>
        <v/>
      </c>
      <c r="KN7" s="67">
        <f>IFERROR(IF(($KH7)&gt;0,($KB7)/($KH7),""),"")</f>
        <v/>
      </c>
      <c r="KO7" s="55">
        <f>SUMIFS(tblBudget[Gold_Poured_oz],tblBudget[Month],$E7)</f>
        <v/>
      </c>
      <c r="KP7" s="55">
        <f>$KO7*$C7/$D7</f>
        <v/>
      </c>
      <c r="KQ7" s="55">
        <f>SUMIFS(tblBudget[Gold_Poured_oz],tblBudget[Month],"&lt;"&amp;$E7)+$KP7</f>
        <v/>
      </c>
      <c r="KR7" s="57">
        <f>SUMIFS(tblBudget[Hours_Worked],tblBudget[Month],$E7)</f>
        <v/>
      </c>
      <c r="KS7" s="57">
        <f>$KR7*$C7/$D7</f>
        <v/>
      </c>
      <c r="KT7" s="57">
        <f>SUMIFS(tblBudget[Hours_Worked],tblBudget[Month],"&lt;"&amp;$E7)+$KS7</f>
        <v/>
      </c>
    </row>
    <row r="8">
      <c r="A8" s="54" t="n">
        <v>46029</v>
      </c>
      <c r="B8">
        <f>MONTH($A8)</f>
        <v/>
      </c>
      <c r="C8">
        <f>DAY($A8)</f>
        <v/>
      </c>
      <c r="D8">
        <f>DAY(EOMONTH($A8,0))</f>
        <v/>
      </c>
      <c r="E8" s="54">
        <f>DATE(YEAR($A8),MONTH($A8),1)</f>
        <v/>
      </c>
      <c r="F8" s="55">
        <f>SUMIFS(tblMovement[Tonnes_t],tblMovement[Date],$A8,tblMovement[Is_Ore],1,tblMovement[Source_Type],"Pit")</f>
        <v/>
      </c>
      <c r="G8" s="55">
        <f>IF($B8=$B7,$G7,0)+$F8</f>
        <v/>
      </c>
      <c r="H8" s="55">
        <f>$H7+$F8</f>
        <v/>
      </c>
      <c r="I8" s="55">
        <f>SUMIFS(tblMovement[Ore_oz],tblMovement[Date],$A8,tblMovement[Source_Type],"Pit")</f>
        <v/>
      </c>
      <c r="J8" s="55">
        <f>IF($B8=$B7,$J7,0)+$I8</f>
        <v/>
      </c>
      <c r="K8" s="55">
        <f>$K7+$I8</f>
        <v/>
      </c>
      <c r="L8" s="55">
        <f>SUMIFS(tblMovement[Tonnes_t],tblMovement[Date],$A8,tblMovement[Is_Ore],1,tblMovement[Source_Type],"Pit",tblMovement[Grade_gpt],"&lt;&gt;")</f>
        <v/>
      </c>
      <c r="M8" s="55">
        <f>IF($B8=$B7,$M7,0)+$L8</f>
        <v/>
      </c>
      <c r="N8" s="55">
        <f>$N7+$L8</f>
        <v/>
      </c>
      <c r="O8" s="56">
        <f>IFERROR(IF(($L8)&gt;0,($I8*cfg_TroyOz)/($L8),""),"")</f>
        <v/>
      </c>
      <c r="P8" s="56">
        <f>IFERROR(IF(($M8)&gt;0,($J8*cfg_TroyOz)/($M8),""),"")</f>
        <v/>
      </c>
      <c r="Q8" s="56">
        <f>IFERROR(IF(($N8)&gt;0,($K8*cfg_TroyOz)/($N8),""),"")</f>
        <v/>
      </c>
      <c r="R8" s="55">
        <f>$F8-$L8</f>
        <v/>
      </c>
      <c r="S8" s="55">
        <f>IF($B8=$B7,$S7,0)+$R8</f>
        <v/>
      </c>
      <c r="T8" s="55">
        <f>$T7+$R8</f>
        <v/>
      </c>
      <c r="U8" s="55">
        <f>SUMIFS(tblMovement[Tonnes_t],tblMovement[Date],$A8,tblMovement[Is_Ore],0,tblMovement[Source_Type],"Pit")</f>
        <v/>
      </c>
      <c r="V8" s="55">
        <f>IF($B8=$B7,$V7,0)+$U8</f>
        <v/>
      </c>
      <c r="W8" s="55">
        <f>$W7+$U8</f>
        <v/>
      </c>
      <c r="X8" s="55">
        <f>$F8+$U8</f>
        <v/>
      </c>
      <c r="Y8" s="55">
        <f>IF($B8=$B7,$Y7,0)+$X8</f>
        <v/>
      </c>
      <c r="Z8" s="55">
        <f>$Z7+$X8</f>
        <v/>
      </c>
      <c r="AA8" s="56">
        <f>IFERROR(IF(($F8)&gt;0,($U8)/($F8),""),"")</f>
        <v/>
      </c>
      <c r="AB8" s="56">
        <f>IFERROR(IF(($G8)&gt;0,($V8)/($G8),""),"")</f>
        <v/>
      </c>
      <c r="AC8" s="56">
        <f>IFERROR(IF(($H8)&gt;0,($W8)/($H8),""),"")</f>
        <v/>
      </c>
      <c r="AD8" s="55">
        <f>SUMIFS(tblMovement[Tonnes_t],tblMovement[Date],$A8,tblMovement[Source_Type],"Stockpile")</f>
        <v/>
      </c>
      <c r="AE8" s="55">
        <f>IF($B8=$B7,$AE7,0)+$AD8</f>
        <v/>
      </c>
      <c r="AF8" s="55">
        <f>$AF7+$AD8</f>
        <v/>
      </c>
      <c r="AG8" s="55">
        <f>SUMIFS(tblMovement[Tonnes_t],tblMovement[Date],$A8)</f>
        <v/>
      </c>
      <c r="AH8" s="55">
        <f>IF($B8=$B7,$AH7,0)+$AG8</f>
        <v/>
      </c>
      <c r="AI8" s="55">
        <f>$AI7+$AG8</f>
        <v/>
      </c>
      <c r="AJ8" s="55">
        <f>$AG8-$X8-$AD8</f>
        <v/>
      </c>
      <c r="AK8" s="55">
        <f>IF($B8=$B7,$AK7,0)+$AJ8</f>
        <v/>
      </c>
      <c r="AL8" s="55">
        <f>$AL7+$AJ8</f>
        <v/>
      </c>
      <c r="AM8" s="55">
        <f>SUMIFS(tblMiningDaily[Drill_m],tblMiningDaily[Date],$A8)</f>
        <v/>
      </c>
      <c r="AN8" s="55">
        <f>IF($B8=$B7,$AN7,0)+$AM8</f>
        <v/>
      </c>
      <c r="AO8" s="55">
        <f>$AO7+$AM8</f>
        <v/>
      </c>
      <c r="AP8" s="55">
        <f>SUMIFS(tblMiningDaily[GC_Drill_m],tblMiningDaily[Date],$A8)</f>
        <v/>
      </c>
      <c r="AQ8" s="55">
        <f>IF($B8=$B7,$AQ7,0)+$AP8</f>
        <v/>
      </c>
      <c r="AR8" s="55">
        <f>$AR7+$AP8</f>
        <v/>
      </c>
      <c r="AS8" s="55">
        <f>SUMIFS(tblMiningDaily[Blast_t],tblMiningDaily[Date],$A8)</f>
        <v/>
      </c>
      <c r="AT8" s="55">
        <f>IF($B8=$B7,$AT7,0)+$AS8</f>
        <v/>
      </c>
      <c r="AU8" s="55">
        <f>$AU7+$AS8</f>
        <v/>
      </c>
      <c r="AV8" s="55">
        <f>SUMIFS(tblMiningDaily[Explosives_kg],tblMiningDaily[Date],$A8)</f>
        <v/>
      </c>
      <c r="AW8" s="55">
        <f>IF($B8=$B7,$AW7,0)+$AV8</f>
        <v/>
      </c>
      <c r="AX8" s="55">
        <f>$AX7+$AV8</f>
        <v/>
      </c>
      <c r="AY8" s="56">
        <f>IFERROR(IF(($AS8)&gt;0,($AV8)/($AS8),""),"")</f>
        <v/>
      </c>
      <c r="AZ8" s="56">
        <f>IFERROR(IF(($AT8)&gt;0,($AW8)/($AT8),""),"")</f>
        <v/>
      </c>
      <c r="BA8" s="56">
        <f>IFERROR(IF(($AU8)&gt;0,($AX8)/($AU8),""),"")</f>
        <v/>
      </c>
      <c r="BB8" s="55">
        <f>SUMIFS(tblMiningDaily[Diesel_L],tblMiningDaily[Date],$A8)</f>
        <v/>
      </c>
      <c r="BC8" s="55">
        <f>IF($B8=$B7,$BC7,0)+$BB8</f>
        <v/>
      </c>
      <c r="BD8" s="55">
        <f>$BD7+$BB8</f>
        <v/>
      </c>
      <c r="BE8" s="55">
        <f>SUMIFS(tblMiningDaily[Dewatering_m3],tblMiningDaily[Date],$A8)</f>
        <v/>
      </c>
      <c r="BF8" s="55">
        <f>IF($B8=$B7,$BF7,0)+$BE8</f>
        <v/>
      </c>
      <c r="BG8" s="55">
        <f>$BG7+$BE8</f>
        <v/>
      </c>
      <c r="BH8" s="57">
        <f>SUMIFS(tblFleet[Calendar_h],tblFleet[Date],$A8,tblFleet[Equipment_Class],"Excavator")</f>
        <v/>
      </c>
      <c r="BI8" s="57">
        <f>IF($B8=$B7,$BI7,0)+$BH8</f>
        <v/>
      </c>
      <c r="BJ8" s="57">
        <f>$BJ7+$BH8</f>
        <v/>
      </c>
      <c r="BK8" s="57">
        <f>SUMIFS(tblFleet[Available_h],tblFleet[Date],$A8,tblFleet[Equipment_Class],"Excavator")</f>
        <v/>
      </c>
      <c r="BL8" s="57">
        <f>IF($B8=$B7,$BL7,0)+$BK8</f>
        <v/>
      </c>
      <c r="BM8" s="57">
        <f>$BM7+$BK8</f>
        <v/>
      </c>
      <c r="BN8" s="57">
        <f>SUMIFS(tblFleet[Operating_h],tblFleet[Date],$A8,tblFleet[Equipment_Class],"Excavator")</f>
        <v/>
      </c>
      <c r="BO8" s="57">
        <f>IF($B8=$B7,$BO7,0)+$BN8</f>
        <v/>
      </c>
      <c r="BP8" s="57">
        <f>$BP7+$BN8</f>
        <v/>
      </c>
      <c r="BQ8" s="67">
        <f>IFERROR(IF(($BH8)&gt;0,($BK8)/($BH8),""),"")</f>
        <v/>
      </c>
      <c r="BR8" s="67">
        <f>IFERROR(IF(($BI8)&gt;0,($BL8)/($BI8),""),"")</f>
        <v/>
      </c>
      <c r="BS8" s="67">
        <f>IFERROR(IF(($BJ8)&gt;0,($BM8)/($BJ8),""),"")</f>
        <v/>
      </c>
      <c r="BT8" s="67">
        <f>IFERROR(IF(($BK8)&gt;0,($BN8)/($BK8),""),"")</f>
        <v/>
      </c>
      <c r="BU8" s="67">
        <f>IFERROR(IF(($BL8)&gt;0,($BO8)/($BL8),""),"")</f>
        <v/>
      </c>
      <c r="BV8" s="67">
        <f>IFERROR(IF(($BM8)&gt;0,($BP8)/($BM8),""),"")</f>
        <v/>
      </c>
      <c r="BW8" s="57">
        <f>SUMIFS(tblFleet[Calendar_h],tblFleet[Date],$A8,tblFleet[Equipment_Class],"Haul Truck")</f>
        <v/>
      </c>
      <c r="BX8" s="57">
        <f>IF($B8=$B7,$BX7,0)+$BW8</f>
        <v/>
      </c>
      <c r="BY8" s="57">
        <f>$BY7+$BW8</f>
        <v/>
      </c>
      <c r="BZ8" s="57">
        <f>SUMIFS(tblFleet[Available_h],tblFleet[Date],$A8,tblFleet[Equipment_Class],"Haul Truck")</f>
        <v/>
      </c>
      <c r="CA8" s="57">
        <f>IF($B8=$B7,$CA7,0)+$BZ8</f>
        <v/>
      </c>
      <c r="CB8" s="57">
        <f>$CB7+$BZ8</f>
        <v/>
      </c>
      <c r="CC8" s="57">
        <f>SUMIFS(tblFleet[Operating_h],tblFleet[Date],$A8,tblFleet[Equipment_Class],"Haul Truck")</f>
        <v/>
      </c>
      <c r="CD8" s="57">
        <f>IF($B8=$B7,$CD7,0)+$CC8</f>
        <v/>
      </c>
      <c r="CE8" s="57">
        <f>$CE7+$CC8</f>
        <v/>
      </c>
      <c r="CF8" s="67">
        <f>IFERROR(IF(($BW8)&gt;0,($BZ8)/($BW8),""),"")</f>
        <v/>
      </c>
      <c r="CG8" s="67">
        <f>IFERROR(IF(($BX8)&gt;0,($CA8)/($BX8),""),"")</f>
        <v/>
      </c>
      <c r="CH8" s="67">
        <f>IFERROR(IF(($BY8)&gt;0,($CB8)/($BY8),""),"")</f>
        <v/>
      </c>
      <c r="CI8" s="67">
        <f>IFERROR(IF(($BZ8)&gt;0,($CC8)/($BZ8),""),"")</f>
        <v/>
      </c>
      <c r="CJ8" s="67">
        <f>IFERROR(IF(($CA8)&gt;0,($CD8)/($CA8),""),"")</f>
        <v/>
      </c>
      <c r="CK8" s="67">
        <f>IFERROR(IF(($CB8)&gt;0,($CE8)/($CB8),""),"")</f>
        <v/>
      </c>
      <c r="CL8" s="55">
        <f>IFERROR(IF(($BN8)&gt;0,($X8+$AD8)/($BN8),""),"")</f>
        <v/>
      </c>
      <c r="CM8" s="55">
        <f>IFERROR(IF(($BO8)&gt;0,($Y8+$AE8)/($BO8),""),"")</f>
        <v/>
      </c>
      <c r="CN8" s="55">
        <f>IFERROR(IF(($BP8)&gt;0,($Z8+$AF8)/($BP8),""),"")</f>
        <v/>
      </c>
      <c r="CO8" s="55">
        <f>IFERROR(IF(($CC8)&gt;0,($X8+$AD8)/($CC8),""),"")</f>
        <v/>
      </c>
      <c r="CP8" s="55">
        <f>IFERROR(IF(($CD8)&gt;0,($Y8+$AE8)/($CD8),""),"")</f>
        <v/>
      </c>
      <c r="CQ8" s="55">
        <f>IFERROR(IF(($CE8)&gt;0,($Z8+$AF8)/($CE8),""),"")</f>
        <v/>
      </c>
      <c r="CR8" s="55">
        <f>SUMIFS(tblPlant[Crushed_t],tblPlant[Date],$A8)</f>
        <v/>
      </c>
      <c r="CS8" s="55">
        <f>IF($B8=$B7,$CS7,0)+$CR8</f>
        <v/>
      </c>
      <c r="CT8" s="55">
        <f>$CT7+$CR8</f>
        <v/>
      </c>
      <c r="CU8" s="55">
        <f>SUMIFS(tblPlant[Milled_t],tblPlant[Date],$A8)</f>
        <v/>
      </c>
      <c r="CV8" s="55">
        <f>IF($B8=$B7,$CV7,0)+$CU8</f>
        <v/>
      </c>
      <c r="CW8" s="55">
        <f>$CW7+$CU8</f>
        <v/>
      </c>
      <c r="CX8" s="55">
        <f>SUMIFS(tblPlant[Feed_oz],tblPlant[Date],$A8)</f>
        <v/>
      </c>
      <c r="CY8" s="55">
        <f>IF($B8=$B7,$CY7,0)+$CX8</f>
        <v/>
      </c>
      <c r="CZ8" s="55">
        <f>$CZ7+$CX8</f>
        <v/>
      </c>
      <c r="DA8" s="55">
        <f>SUMIFS(tblPlant[Tails_oz],tblPlant[Date],$A8)</f>
        <v/>
      </c>
      <c r="DB8" s="55">
        <f>IF($B8=$B7,$DB7,0)+$DA8</f>
        <v/>
      </c>
      <c r="DC8" s="55">
        <f>$DC7+$DA8</f>
        <v/>
      </c>
      <c r="DD8" s="55">
        <f>SUMIFS(tblPlant[Recovered_oz],tblPlant[Date],$A8)</f>
        <v/>
      </c>
      <c r="DE8" s="55">
        <f>IF($B8=$B7,$DE7,0)+$DD8</f>
        <v/>
      </c>
      <c r="DF8" s="55">
        <f>$DF7+$DD8</f>
        <v/>
      </c>
      <c r="DG8" s="55">
        <f>SUMIFS(tblPlant[Milled_t],tblPlant[Date],$A8,tblPlant[Head_Grade_gpt],"&lt;&gt;")</f>
        <v/>
      </c>
      <c r="DH8" s="55">
        <f>IF($B8=$B7,$DH7,0)+$DG8</f>
        <v/>
      </c>
      <c r="DI8" s="55">
        <f>$DI7+$DG8</f>
        <v/>
      </c>
      <c r="DJ8" s="55">
        <f>SUMIFS(tblPlant[Milled_t],tblPlant[Date],$A8,tblPlant[Tails_Grade_gpt],"&lt;&gt;")</f>
        <v/>
      </c>
      <c r="DK8" s="55">
        <f>IF($B8=$B7,$DK7,0)+$DJ8</f>
        <v/>
      </c>
      <c r="DL8" s="55">
        <f>$DL7+$DJ8</f>
        <v/>
      </c>
      <c r="DM8" s="55">
        <f>SUMIFS(tblPlant[Feed_oz],tblPlant[Date],$A8,tblPlant[Tails_Grade_gpt],"&lt;&gt;")</f>
        <v/>
      </c>
      <c r="DN8" s="55">
        <f>IF($B8=$B7,$DN7,0)+$DM8</f>
        <v/>
      </c>
      <c r="DO8" s="55">
        <f>$DO7+$DM8</f>
        <v/>
      </c>
      <c r="DP8" s="55">
        <f>SUMIFS(tblPlant[Milled_t],tblPlant[Date],$A8,tblPlant[Mill_Run_h],"&lt;&gt;")</f>
        <v/>
      </c>
      <c r="DQ8" s="55">
        <f>IF($B8=$B7,$DQ7,0)+$DP8</f>
        <v/>
      </c>
      <c r="DR8" s="55">
        <f>$DR7+$DP8</f>
        <v/>
      </c>
      <c r="DS8" s="56">
        <f>IFERROR(IF(($DG8)&gt;0,($CX8*cfg_TroyOz)/($DG8),""),"")</f>
        <v/>
      </c>
      <c r="DT8" s="56">
        <f>IFERROR(IF(($DH8)&gt;0,($CY8*cfg_TroyOz)/($DH8),""),"")</f>
        <v/>
      </c>
      <c r="DU8" s="56">
        <f>IFERROR(IF(($DI8)&gt;0,($CZ8*cfg_TroyOz)/($DI8),""),"")</f>
        <v/>
      </c>
      <c r="DV8" s="56">
        <f>IFERROR(IF(($DJ8)&gt;0,($DA8*cfg_TroyOz)/($DJ8),""),"")</f>
        <v/>
      </c>
      <c r="DW8" s="56">
        <f>IFERROR(IF(($DK8)&gt;0,($DB8*cfg_TroyOz)/($DK8),""),"")</f>
        <v/>
      </c>
      <c r="DX8" s="56">
        <f>IFERROR(IF(($DL8)&gt;0,($DC8*cfg_TroyOz)/($DL8),""),"")</f>
        <v/>
      </c>
      <c r="DY8" s="67">
        <f>IFERROR(IF(($DM8)&gt;0,($DD8)/($DM8),""),"")</f>
        <v/>
      </c>
      <c r="DZ8" s="67">
        <f>IFERROR(IF(($DN8)&gt;0,($DE8)/($DN8),""),"")</f>
        <v/>
      </c>
      <c r="EA8" s="67">
        <f>IFERROR(IF(($DO8)&gt;0,($DF8)/($DO8),""),"")</f>
        <v/>
      </c>
      <c r="EB8" s="55">
        <f>SUMIFS(tblPlant[Gravity_Gold_oz],tblPlant[Date],$A8)</f>
        <v/>
      </c>
      <c r="EC8" s="55">
        <f>IF($B8=$B7,$EC7,0)+$EB8</f>
        <v/>
      </c>
      <c r="ED8" s="55">
        <f>$ED7+$EB8</f>
        <v/>
      </c>
      <c r="EE8" s="67">
        <f>IFERROR(IF(($DD8)&gt;0,($EB8)/($DD8),""),"")</f>
        <v/>
      </c>
      <c r="EF8" s="67">
        <f>IFERROR(IF(($DE8)&gt;0,($EC8)/($DE8),""),"")</f>
        <v/>
      </c>
      <c r="EG8" s="67">
        <f>IFERROR(IF(($DF8)&gt;0,($ED8)/($DF8),""),"")</f>
        <v/>
      </c>
      <c r="EH8" s="55">
        <f>SUMIFS(tblPlant[Gold_Poured_oz],tblPlant[Date],$A8)</f>
        <v/>
      </c>
      <c r="EI8" s="55">
        <f>IF($B8=$B7,$EI7,0)+$EH8</f>
        <v/>
      </c>
      <c r="EJ8" s="55">
        <f>$EJ7+$EH8</f>
        <v/>
      </c>
      <c r="EK8" s="57">
        <f>SUMIFS(tblPlant[Mill_Run_h],tblPlant[Date],$A8)</f>
        <v/>
      </c>
      <c r="EL8" s="57">
        <f>IF($B8=$B7,$EL7,0)+$EK8</f>
        <v/>
      </c>
      <c r="EM8" s="57">
        <f>$EM7+$EK8</f>
        <v/>
      </c>
      <c r="EN8" s="57">
        <f>SUMIFS(tblPlant[Mill_Planned_Maint_h],tblPlant[Date],$A8)</f>
        <v/>
      </c>
      <c r="EO8" s="57">
        <f>IF($B8=$B7,$EO7,0)+$EN8</f>
        <v/>
      </c>
      <c r="EP8" s="57">
        <f>$EP7+$EN8</f>
        <v/>
      </c>
      <c r="EQ8" s="57">
        <f>SUMIFS(tblPlant[Mill_Unplanned_Down_h],tblPlant[Date],$A8)</f>
        <v/>
      </c>
      <c r="ER8" s="57">
        <f>IF($B8=$B7,$ER7,0)+$EQ8</f>
        <v/>
      </c>
      <c r="ES8" s="57">
        <f>$ES7+$EQ8</f>
        <v/>
      </c>
      <c r="ET8" s="57">
        <f>IF(COUNTIFS(tblPlant[Date],$A8,tblPlant[Mill_Run_h],"&lt;&gt;")+COUNTIFS(tblPlant[Date],$A8,tblPlant[Mill_Planned_Maint_h],"&lt;&gt;")+COUNTIFS(tblPlant[Date],$A8,tblPlant[Mill_Unplanned_Down_h],"&lt;&gt;")&gt;0,cfg_HoursPerDay,0)</f>
        <v/>
      </c>
      <c r="EU8" s="57">
        <f>IF($B8=$B7,$EU7,0)+$ET8</f>
        <v/>
      </c>
      <c r="EV8" s="57">
        <f>$EV7+$ET8</f>
        <v/>
      </c>
      <c r="EW8" s="57">
        <f>SUMIFS(tblPlant[Crusher_Run_h],tblPlant[Date],$A8)</f>
        <v/>
      </c>
      <c r="EX8" s="57">
        <f>IF($B8=$B7,$EX7,0)+$EW8</f>
        <v/>
      </c>
      <c r="EY8" s="57">
        <f>$EY7+$EW8</f>
        <v/>
      </c>
      <c r="EZ8" s="55">
        <f>IFERROR(IF(($EK8)&gt;0,($DP8)/($EK8),""),"")</f>
        <v/>
      </c>
      <c r="FA8" s="55">
        <f>IFERROR(IF(($EL8)&gt;0,($DQ8)/($EL8),""),"")</f>
        <v/>
      </c>
      <c r="FB8" s="55">
        <f>IFERROR(IF(($EM8)&gt;0,($DR8)/($EM8),""),"")</f>
        <v/>
      </c>
      <c r="FC8" s="67">
        <f>IFERROR(IF(($ET8)&gt;0,($ET8-$EN8-$EQ8)/($ET8),""),"")</f>
        <v/>
      </c>
      <c r="FD8" s="67">
        <f>IFERROR(IF(($EU8)&gt;0,($EU8-$EO8-$ER8)/($EU8),""),"")</f>
        <v/>
      </c>
      <c r="FE8" s="67">
        <f>IFERROR(IF(($EV8)&gt;0,($EV8-$EP8-$ES8)/($EV8),""),"")</f>
        <v/>
      </c>
      <c r="FF8" s="67">
        <f>IFERROR(IF(($ET8-$EN8-$EQ8)&gt;0,($EK8)/($ET8-$EN8-$EQ8),""),"")</f>
        <v/>
      </c>
      <c r="FG8" s="67">
        <f>IFERROR(IF(($EU8-$EO8-$ER8)&gt;0,($EL8)/($EU8-$EO8-$ER8),""),"")</f>
        <v/>
      </c>
      <c r="FH8" s="67">
        <f>IFERROR(IF(($EV8-$EP8-$ES8)&gt;0,($EM8)/($EV8-$EP8-$ES8),""),"")</f>
        <v/>
      </c>
      <c r="FI8" s="55">
        <f>SUMIFS(tblPlant[Cyanide_kg],tblPlant[Date],$A8)</f>
        <v/>
      </c>
      <c r="FJ8" s="55">
        <f>IF($B8=$B7,$FJ7,0)+$FI8</f>
        <v/>
      </c>
      <c r="FK8" s="55">
        <f>$FK7+$FI8</f>
        <v/>
      </c>
      <c r="FL8" s="55">
        <f>SUMIFS(tblPlant[Lime_kg],tblPlant[Date],$A8)</f>
        <v/>
      </c>
      <c r="FM8" s="55">
        <f>IF($B8=$B7,$FM7,0)+$FL8</f>
        <v/>
      </c>
      <c r="FN8" s="55">
        <f>$FN7+$FL8</f>
        <v/>
      </c>
      <c r="FO8" s="55">
        <f>SUMIFS(tblPlant[Grinding_Media_kg],tblPlant[Date],$A8)</f>
        <v/>
      </c>
      <c r="FP8" s="55">
        <f>IF($B8=$B7,$FP7,0)+$FO8</f>
        <v/>
      </c>
      <c r="FQ8" s="55">
        <f>$FQ7+$FO8</f>
        <v/>
      </c>
      <c r="FR8" s="55">
        <f>SUMIFS(tblPlant[Power_kWh],tblPlant[Date],$A8)</f>
        <v/>
      </c>
      <c r="FS8" s="55">
        <f>IF($B8=$B7,$FS7,0)+$FR8</f>
        <v/>
      </c>
      <c r="FT8" s="55">
        <f>$FT7+$FR8</f>
        <v/>
      </c>
      <c r="FU8" s="55">
        <f>SUMIFS(tblPlant[Raw_Water_m3],tblPlant[Date],$A8)</f>
        <v/>
      </c>
      <c r="FV8" s="55">
        <f>IF($B8=$B7,$FV7,0)+$FU8</f>
        <v/>
      </c>
      <c r="FW8" s="55">
        <f>$FW7+$FU8</f>
        <v/>
      </c>
      <c r="FX8" s="56">
        <f>IFERROR(IF(($CU8)&gt;0,($FI8)/($CU8),""),"")</f>
        <v/>
      </c>
      <c r="FY8" s="56">
        <f>IFERROR(IF(($CV8)&gt;0,($FJ8)/($CV8),""),"")</f>
        <v/>
      </c>
      <c r="FZ8" s="56">
        <f>IFERROR(IF(($CW8)&gt;0,($FK8)/($CW8),""),"")</f>
        <v/>
      </c>
      <c r="GA8" s="56">
        <f>IFERROR(IF(($CU8)&gt;0,($FL8)/($CU8),""),"")</f>
        <v/>
      </c>
      <c r="GB8" s="56">
        <f>IFERROR(IF(($CV8)&gt;0,($FM8)/($CV8),""),"")</f>
        <v/>
      </c>
      <c r="GC8" s="56">
        <f>IFERROR(IF(($CW8)&gt;0,($FN8)/($CW8),""),"")</f>
        <v/>
      </c>
      <c r="GD8" s="56">
        <f>IFERROR(IF(($CU8)&gt;0,($FO8)/($CU8),""),"")</f>
        <v/>
      </c>
      <c r="GE8" s="56">
        <f>IFERROR(IF(($CV8)&gt;0,($FP8)/($CV8),""),"")</f>
        <v/>
      </c>
      <c r="GF8" s="56">
        <f>IFERROR(IF(($CW8)&gt;0,($FQ8)/($CW8),""),"")</f>
        <v/>
      </c>
      <c r="GG8" s="79">
        <f>IFERROR(IF(($CU8)&gt;0,($FR8)/($CU8),""),"")</f>
        <v/>
      </c>
      <c r="GH8" s="79">
        <f>IFERROR(IF(($CV8)&gt;0,($FS8)/($CV8),""),"")</f>
        <v/>
      </c>
      <c r="GI8" s="79">
        <f>IFERROR(IF(($CW8)&gt;0,($FT8)/($CW8),""),"")</f>
        <v/>
      </c>
      <c r="GJ8" s="56">
        <f>IFERROR(IF(($CU8)&gt;0,($FU8)/($CU8),""),"")</f>
        <v/>
      </c>
      <c r="GK8" s="56">
        <f>IFERROR(IF(($CV8)&gt;0,($FV8)/($CV8),""),"")</f>
        <v/>
      </c>
      <c r="GL8" s="56">
        <f>IFERROR(IF(($CW8)&gt;0,($FW8)/($CW8),""),"")</f>
        <v/>
      </c>
      <c r="GM8" s="55">
        <f>IF(SUMIFS(tblPlant[GIC_oz],tblPlant[Date],$A8)&gt;0,SUMIFS(tblPlant[GIC_oz],tblPlant[Date],$A8),"")</f>
        <v/>
      </c>
      <c r="GN8" s="55">
        <f>SUMIFS(tblGold[Gold_oz],tblGold[Date],$A8,tblGold[Type],"Shipment")</f>
        <v/>
      </c>
      <c r="GO8" s="55">
        <f>IF($B8=$B7,$GO7,0)+$GN8</f>
        <v/>
      </c>
      <c r="GP8" s="55">
        <f>$GP7+$GN8</f>
        <v/>
      </c>
      <c r="GQ8" s="55">
        <f>SUMIFS(tblGold[Gold_oz],tblGold[Date],$A8,tblGold[Type],"Sale")</f>
        <v/>
      </c>
      <c r="GR8" s="55">
        <f>IF($B8=$B7,$GR7,0)+$GQ8</f>
        <v/>
      </c>
      <c r="GS8" s="55">
        <f>$GS7+$GQ8</f>
        <v/>
      </c>
      <c r="GT8" s="55">
        <f>SUMIFS(tblGold[Dore_kg],tblGold[Date],$A8,tblGold[Type],"Shipment")</f>
        <v/>
      </c>
      <c r="GU8" s="55">
        <f>IF($B8=$B7,$GU7,0)+$GT8</f>
        <v/>
      </c>
      <c r="GV8" s="55">
        <f>$GV7+$GT8</f>
        <v/>
      </c>
      <c r="GW8" s="57">
        <f>SUMIFS(tblSafety[Hours_Total],tblSafety[Date],$A8)</f>
        <v/>
      </c>
      <c r="GX8" s="57">
        <f>IF($B8=$B7,$GX7,0)+$GW8</f>
        <v/>
      </c>
      <c r="GY8" s="57">
        <f>$GY7+$GW8</f>
        <v/>
      </c>
      <c r="GZ8" s="62">
        <f>SUMIFS(tblSafety[Fatality],tblSafety[Date],$A8)</f>
        <v/>
      </c>
      <c r="HA8" s="62">
        <f>IF($B8=$B7,$HA7,0)+$GZ8</f>
        <v/>
      </c>
      <c r="HB8" s="62">
        <f>$HB7+$GZ8</f>
        <v/>
      </c>
      <c r="HC8" s="62">
        <f>SUMIFS(tblSafety[LTI],tblSafety[Date],$A8)</f>
        <v/>
      </c>
      <c r="HD8" s="62">
        <f>IF($B8=$B7,$HD7,0)+$HC8</f>
        <v/>
      </c>
      <c r="HE8" s="62">
        <f>$HE7+$HC8</f>
        <v/>
      </c>
      <c r="HF8" s="62">
        <f>SUMIFS(tblSafety[RWI],tblSafety[Date],$A8)</f>
        <v/>
      </c>
      <c r="HG8" s="62">
        <f>IF($B8=$B7,$HG7,0)+$HF8</f>
        <v/>
      </c>
      <c r="HH8" s="62">
        <f>$HH7+$HF8</f>
        <v/>
      </c>
      <c r="HI8" s="62">
        <f>SUMIFS(tblSafety[MTI],tblSafety[Date],$A8)</f>
        <v/>
      </c>
      <c r="HJ8" s="62">
        <f>IF($B8=$B7,$HJ7,0)+$HI8</f>
        <v/>
      </c>
      <c r="HK8" s="62">
        <f>$HK7+$HI8</f>
        <v/>
      </c>
      <c r="HL8" s="62">
        <f>SUMIFS(tblSafety[FAI],tblSafety[Date],$A8)</f>
        <v/>
      </c>
      <c r="HM8" s="62">
        <f>IF($B8=$B7,$HM7,0)+$HL8</f>
        <v/>
      </c>
      <c r="HN8" s="62">
        <f>$HN7+$HL8</f>
        <v/>
      </c>
      <c r="HO8" s="62">
        <f>SUMIFS(tblSafety[Recordables],tblSafety[Date],$A8)</f>
        <v/>
      </c>
      <c r="HP8" s="62">
        <f>IF($B8=$B7,$HP7,0)+$HO8</f>
        <v/>
      </c>
      <c r="HQ8" s="62">
        <f>$HQ7+$HO8</f>
        <v/>
      </c>
      <c r="HR8" s="62">
        <f>SUMIFS(tblSafety[Near_Miss],tblSafety[Date],$A8)</f>
        <v/>
      </c>
      <c r="HS8" s="62">
        <f>IF($B8=$B7,$HS7,0)+$HR8</f>
        <v/>
      </c>
      <c r="HT8" s="62">
        <f>$HT7+$HR8</f>
        <v/>
      </c>
      <c r="HU8" s="62">
        <f>SUMIFS(tblSafety[Hazard_Reports],tblSafety[Date],$A8)</f>
        <v/>
      </c>
      <c r="HV8" s="62">
        <f>IF($B8=$B7,$HV7,0)+$HU8</f>
        <v/>
      </c>
      <c r="HW8" s="62">
        <f>$HW7+$HU8</f>
        <v/>
      </c>
      <c r="HX8" s="62">
        <f>SUMIFS(tblSafety[HPI],tblSafety[Date],$A8)</f>
        <v/>
      </c>
      <c r="HY8" s="62">
        <f>IF($B8=$B7,$HY7,0)+$HX8</f>
        <v/>
      </c>
      <c r="HZ8" s="62">
        <f>$HZ7+$HX8</f>
        <v/>
      </c>
      <c r="IA8" s="62">
        <f>SUMIFS(tblSafety[Env_Incidents],tblSafety[Date],$A8)</f>
        <v/>
      </c>
      <c r="IB8" s="62">
        <f>IF($B8=$B7,$IB7,0)+$IA8</f>
        <v/>
      </c>
      <c r="IC8" s="62">
        <f>$IC7+$IA8</f>
        <v/>
      </c>
      <c r="ID8" s="62">
        <f>SUMIFS(tblSafety[Community_Incidents],tblSafety[Date],$A8)</f>
        <v/>
      </c>
      <c r="IE8" s="62">
        <f>IF($B8=$B7,$IE7,0)+$ID8</f>
        <v/>
      </c>
      <c r="IF8" s="62">
        <f>$IF7+$ID8</f>
        <v/>
      </c>
      <c r="IG8" s="62">
        <f>SUMIFS(tblSafety[Vehicle_Incidents],tblSafety[Date],$A8)</f>
        <v/>
      </c>
      <c r="IH8" s="62">
        <f>IF($B8=$B7,$IH7,0)+$IG8</f>
        <v/>
      </c>
      <c r="II8" s="62">
        <f>$II7+$IG8</f>
        <v/>
      </c>
      <c r="IJ8" s="62">
        <f>SUMIFS(tblSafety[Toolbox_Talks],tblSafety[Date],$A8)</f>
        <v/>
      </c>
      <c r="IK8" s="62">
        <f>IF($B8=$B7,$IK7,0)+$IJ8</f>
        <v/>
      </c>
      <c r="IL8" s="62">
        <f>$IL7+$IJ8</f>
        <v/>
      </c>
      <c r="IM8" s="62">
        <f>SUMIFS(tblSafety[Inspections],tblSafety[Date],$A8)</f>
        <v/>
      </c>
      <c r="IN8" s="62">
        <f>IF($B8=$B7,$IN7,0)+$IM8</f>
        <v/>
      </c>
      <c r="IO8" s="62">
        <f>$IO7+$IM8</f>
        <v/>
      </c>
      <c r="IP8" s="56">
        <f>IFERROR((SUMIFS(tblSafety[Recordables],tblSafety[Date],"&gt;="&amp;EDATE($E8,-12),tblSafety[Date],"&lt;="&amp;$A8)+SUMIFS(tblSafetyHistory[Recordables],tblSafetyHistory[Month],"&gt;="&amp;EDATE($E8,-12),tblSafetyHistory[Month],"&lt;"&amp;$E8,tblSafetyHistory[Use],1))/(SUMIFS(tblSafety[Hours_Total],tblSafety[Date],"&gt;="&amp;EDATE($E8,-12),tblSafety[Date],"&lt;="&amp;$A8)+SUMIFS(tblSafetyHistory[Hours_Total],tblSafetyHistory[Month],"&gt;="&amp;EDATE($E8,-12),tblSafetyHistory[Month],"&lt;"&amp;$E8,tblSafetyHistory[Use],1))*cfg_RateBasisHours,"")</f>
        <v/>
      </c>
      <c r="IQ8" s="56">
        <f>IFERROR((SUMIFS(tblSafety[LTI],tblSafety[Date],"&gt;="&amp;EDATE($E8,-12),tblSafety[Date],"&lt;="&amp;$A8)+SUMIFS(tblSafetyHistory[LTI],tblSafetyHistory[Month],"&gt;="&amp;EDATE($E8,-12),tblSafetyHistory[Month],"&lt;"&amp;$E8,tblSafetyHistory[Use],1))/(SUMIFS(tblSafety[Hours_Total],tblSafety[Date],"&gt;="&amp;EDATE($E8,-12),tblSafety[Date],"&lt;="&amp;$A8)+SUMIFS(tblSafetyHistory[Hours_Total],tblSafetyHistory[Month],"&gt;="&amp;EDATE($E8,-12),tblSafetyHistory[Month],"&lt;"&amp;$E8,tblSafetyHistory[Use],1))*cfg_RateBasisHours,"")</f>
        <v/>
      </c>
      <c r="IR8" s="62">
        <f>IF(MAX(N(cfg_PriorLTIDate),_xlfn.MAXIFS(tblSafety[Date],tblSafety[LTI],"&gt;0",tblSafety[Date],"&lt;="&amp;$A8))=0,"",$A8-MAX(N(cfg_PriorLTIDate),_xlfn.MAXIFS(tblSafety[Date],tblSafety[LTI],"&gt;0",tblSafety[Date],"&lt;="&amp;$A8)))</f>
        <v/>
      </c>
      <c r="IS8" s="55">
        <f>SUMIFS(tblBudget[Ore_Mined_t],tblBudget[Month],$E8)</f>
        <v/>
      </c>
      <c r="IT8" s="55">
        <f>$IS8*$C8/$D8</f>
        <v/>
      </c>
      <c r="IU8" s="55">
        <f>SUMIFS(tblBudget[Ore_Mined_t],tblBudget[Month],"&lt;"&amp;$E8)+$IT8</f>
        <v/>
      </c>
      <c r="IV8" s="55">
        <f>SUMIFS(tblBudget[Ore_oz],tblBudget[Month],$E8)</f>
        <v/>
      </c>
      <c r="IW8" s="55">
        <f>$IV8*$C8/$D8</f>
        <v/>
      </c>
      <c r="IX8" s="55">
        <f>SUMIFS(tblBudget[Ore_oz],tblBudget[Month],"&lt;"&amp;$E8)+$IW8</f>
        <v/>
      </c>
      <c r="IY8" s="55">
        <f>SUMIFS(tblBudget[Ore_Mined_t],tblBudget[Month],$E8)</f>
        <v/>
      </c>
      <c r="IZ8" s="55">
        <f>$IY8*$C8/$D8</f>
        <v/>
      </c>
      <c r="JA8" s="55">
        <f>SUMIFS(tblBudget[Ore_Mined_t],tblBudget[Month],"&lt;"&amp;$E8)+$IZ8</f>
        <v/>
      </c>
      <c r="JB8" s="56">
        <f>IFERROR(IF(($IY8)&gt;0,($IV8*cfg_TroyOz)/($IY8),""),"")</f>
        <v/>
      </c>
      <c r="JC8" s="56">
        <f>IFERROR(IF(($IZ8)&gt;0,($IW8*cfg_TroyOz)/($IZ8),""),"")</f>
        <v/>
      </c>
      <c r="JD8" s="56">
        <f>IFERROR(IF(($JA8)&gt;0,($IX8*cfg_TroyOz)/($JA8),""),"")</f>
        <v/>
      </c>
      <c r="JE8" s="55">
        <f>SUMIFS(tblBudget[Waste_t],tblBudget[Month],$E8)</f>
        <v/>
      </c>
      <c r="JF8" s="55">
        <f>$JE8*$C8/$D8</f>
        <v/>
      </c>
      <c r="JG8" s="55">
        <f>SUMIFS(tblBudget[Waste_t],tblBudget[Month],"&lt;"&amp;$E8)+$JF8</f>
        <v/>
      </c>
      <c r="JH8" s="55">
        <f>SUMIFS(tblBudget[TMM_t],tblBudget[Month],$E8)</f>
        <v/>
      </c>
      <c r="JI8" s="55">
        <f>$JH8*$C8/$D8</f>
        <v/>
      </c>
      <c r="JJ8" s="55">
        <f>SUMIFS(tblBudget[TMM_t],tblBudget[Month],"&lt;"&amp;$E8)+$JI8</f>
        <v/>
      </c>
      <c r="JK8" s="56">
        <f>IFERROR(IF(($IS8)&gt;0,($JE8)/($IS8),""),"")</f>
        <v/>
      </c>
      <c r="JL8" s="56">
        <f>IFERROR(IF(($IT8)&gt;0,($JF8)/($IT8),""),"")</f>
        <v/>
      </c>
      <c r="JM8" s="56">
        <f>IFERROR(IF(($IU8)&gt;0,($JG8)/($IU8),""),"")</f>
        <v/>
      </c>
      <c r="JN8" s="55">
        <f>SUMIFS(tblBudget[Drill_m],tblBudget[Month],$E8)</f>
        <v/>
      </c>
      <c r="JO8" s="55">
        <f>$JN8*$C8/$D8</f>
        <v/>
      </c>
      <c r="JP8" s="55">
        <f>SUMIFS(tblBudget[Drill_m],tblBudget[Month],"&lt;"&amp;$E8)+$JO8</f>
        <v/>
      </c>
      <c r="JQ8" s="55">
        <f>SUMIFS(tblBudget[Diesel_L],tblBudget[Month],$E8)</f>
        <v/>
      </c>
      <c r="JR8" s="55">
        <f>$JQ8*$C8/$D8</f>
        <v/>
      </c>
      <c r="JS8" s="55">
        <f>SUMIFS(tblBudget[Diesel_L],tblBudget[Month],"&lt;"&amp;$E8)+$JR8</f>
        <v/>
      </c>
      <c r="JT8" s="55">
        <f>SUMIFS(tblBudget[Milled_t],tblBudget[Month],$E8)</f>
        <v/>
      </c>
      <c r="JU8" s="55">
        <f>$JT8*$C8/$D8</f>
        <v/>
      </c>
      <c r="JV8" s="55">
        <f>SUMIFS(tblBudget[Milled_t],tblBudget[Month],"&lt;"&amp;$E8)+$JU8</f>
        <v/>
      </c>
      <c r="JW8" s="55">
        <f>SUMIFS(tblBudget[Feed_oz],tblBudget[Month],$E8)</f>
        <v/>
      </c>
      <c r="JX8" s="55">
        <f>$JW8*$C8/$D8</f>
        <v/>
      </c>
      <c r="JY8" s="55">
        <f>SUMIFS(tblBudget[Feed_oz],tblBudget[Month],"&lt;"&amp;$E8)+$JX8</f>
        <v/>
      </c>
      <c r="JZ8" s="55">
        <f>SUMIFS(tblBudget[Recovered_oz],tblBudget[Month],$E8)</f>
        <v/>
      </c>
      <c r="KA8" s="55">
        <f>$JZ8*$C8/$D8</f>
        <v/>
      </c>
      <c r="KB8" s="55">
        <f>SUMIFS(tblBudget[Recovered_oz],tblBudget[Month],"&lt;"&amp;$E8)+$KA8</f>
        <v/>
      </c>
      <c r="KC8" s="55">
        <f>SUMIFS(tblBudget[Milled_t],tblBudget[Month],$E8)</f>
        <v/>
      </c>
      <c r="KD8" s="55">
        <f>$KC8*$C8/$D8</f>
        <v/>
      </c>
      <c r="KE8" s="55">
        <f>SUMIFS(tblBudget[Milled_t],tblBudget[Month],"&lt;"&amp;$E8)+$KD8</f>
        <v/>
      </c>
      <c r="KF8" s="55">
        <f>SUMIFS(tblBudget[Feed_oz],tblBudget[Month],$E8)</f>
        <v/>
      </c>
      <c r="KG8" s="55">
        <f>$KF8*$C8/$D8</f>
        <v/>
      </c>
      <c r="KH8" s="55">
        <f>SUMIFS(tblBudget[Feed_oz],tblBudget[Month],"&lt;"&amp;$E8)+$KG8</f>
        <v/>
      </c>
      <c r="KI8" s="56">
        <f>IFERROR(IF(($KC8)&gt;0,($JW8*cfg_TroyOz)/($KC8),""),"")</f>
        <v/>
      </c>
      <c r="KJ8" s="56">
        <f>IFERROR(IF(($KD8)&gt;0,($JX8*cfg_TroyOz)/($KD8),""),"")</f>
        <v/>
      </c>
      <c r="KK8" s="56">
        <f>IFERROR(IF(($KE8)&gt;0,($JY8*cfg_TroyOz)/($KE8),""),"")</f>
        <v/>
      </c>
      <c r="KL8" s="67">
        <f>IFERROR(IF(($KF8)&gt;0,($JZ8)/($KF8),""),"")</f>
        <v/>
      </c>
      <c r="KM8" s="67">
        <f>IFERROR(IF(($KG8)&gt;0,($KA8)/($KG8),""),"")</f>
        <v/>
      </c>
      <c r="KN8" s="67">
        <f>IFERROR(IF(($KH8)&gt;0,($KB8)/($KH8),""),"")</f>
        <v/>
      </c>
      <c r="KO8" s="55">
        <f>SUMIFS(tblBudget[Gold_Poured_oz],tblBudget[Month],$E8)</f>
        <v/>
      </c>
      <c r="KP8" s="55">
        <f>$KO8*$C8/$D8</f>
        <v/>
      </c>
      <c r="KQ8" s="55">
        <f>SUMIFS(tblBudget[Gold_Poured_oz],tblBudget[Month],"&lt;"&amp;$E8)+$KP8</f>
        <v/>
      </c>
      <c r="KR8" s="57">
        <f>SUMIFS(tblBudget[Hours_Worked],tblBudget[Month],$E8)</f>
        <v/>
      </c>
      <c r="KS8" s="57">
        <f>$KR8*$C8/$D8</f>
        <v/>
      </c>
      <c r="KT8" s="57">
        <f>SUMIFS(tblBudget[Hours_Worked],tblBudget[Month],"&lt;"&amp;$E8)+$KS8</f>
        <v/>
      </c>
    </row>
    <row r="9">
      <c r="A9" s="54" t="n">
        <v>46030</v>
      </c>
      <c r="B9">
        <f>MONTH($A9)</f>
        <v/>
      </c>
      <c r="C9">
        <f>DAY($A9)</f>
        <v/>
      </c>
      <c r="D9">
        <f>DAY(EOMONTH($A9,0))</f>
        <v/>
      </c>
      <c r="E9" s="54">
        <f>DATE(YEAR($A9),MONTH($A9),1)</f>
        <v/>
      </c>
      <c r="F9" s="55">
        <f>SUMIFS(tblMovement[Tonnes_t],tblMovement[Date],$A9,tblMovement[Is_Ore],1,tblMovement[Source_Type],"Pit")</f>
        <v/>
      </c>
      <c r="G9" s="55">
        <f>IF($B9=$B8,$G8,0)+$F9</f>
        <v/>
      </c>
      <c r="H9" s="55">
        <f>$H8+$F9</f>
        <v/>
      </c>
      <c r="I9" s="55">
        <f>SUMIFS(tblMovement[Ore_oz],tblMovement[Date],$A9,tblMovement[Source_Type],"Pit")</f>
        <v/>
      </c>
      <c r="J9" s="55">
        <f>IF($B9=$B8,$J8,0)+$I9</f>
        <v/>
      </c>
      <c r="K9" s="55">
        <f>$K8+$I9</f>
        <v/>
      </c>
      <c r="L9" s="55">
        <f>SUMIFS(tblMovement[Tonnes_t],tblMovement[Date],$A9,tblMovement[Is_Ore],1,tblMovement[Source_Type],"Pit",tblMovement[Grade_gpt],"&lt;&gt;")</f>
        <v/>
      </c>
      <c r="M9" s="55">
        <f>IF($B9=$B8,$M8,0)+$L9</f>
        <v/>
      </c>
      <c r="N9" s="55">
        <f>$N8+$L9</f>
        <v/>
      </c>
      <c r="O9" s="56">
        <f>IFERROR(IF(($L9)&gt;0,($I9*cfg_TroyOz)/($L9),""),"")</f>
        <v/>
      </c>
      <c r="P9" s="56">
        <f>IFERROR(IF(($M9)&gt;0,($J9*cfg_TroyOz)/($M9),""),"")</f>
        <v/>
      </c>
      <c r="Q9" s="56">
        <f>IFERROR(IF(($N9)&gt;0,($K9*cfg_TroyOz)/($N9),""),"")</f>
        <v/>
      </c>
      <c r="R9" s="55">
        <f>$F9-$L9</f>
        <v/>
      </c>
      <c r="S9" s="55">
        <f>IF($B9=$B8,$S8,0)+$R9</f>
        <v/>
      </c>
      <c r="T9" s="55">
        <f>$T8+$R9</f>
        <v/>
      </c>
      <c r="U9" s="55">
        <f>SUMIFS(tblMovement[Tonnes_t],tblMovement[Date],$A9,tblMovement[Is_Ore],0,tblMovement[Source_Type],"Pit")</f>
        <v/>
      </c>
      <c r="V9" s="55">
        <f>IF($B9=$B8,$V8,0)+$U9</f>
        <v/>
      </c>
      <c r="W9" s="55">
        <f>$W8+$U9</f>
        <v/>
      </c>
      <c r="X9" s="55">
        <f>$F9+$U9</f>
        <v/>
      </c>
      <c r="Y9" s="55">
        <f>IF($B9=$B8,$Y8,0)+$X9</f>
        <v/>
      </c>
      <c r="Z9" s="55">
        <f>$Z8+$X9</f>
        <v/>
      </c>
      <c r="AA9" s="56">
        <f>IFERROR(IF(($F9)&gt;0,($U9)/($F9),""),"")</f>
        <v/>
      </c>
      <c r="AB9" s="56">
        <f>IFERROR(IF(($G9)&gt;0,($V9)/($G9),""),"")</f>
        <v/>
      </c>
      <c r="AC9" s="56">
        <f>IFERROR(IF(($H9)&gt;0,($W9)/($H9),""),"")</f>
        <v/>
      </c>
      <c r="AD9" s="55">
        <f>SUMIFS(tblMovement[Tonnes_t],tblMovement[Date],$A9,tblMovement[Source_Type],"Stockpile")</f>
        <v/>
      </c>
      <c r="AE9" s="55">
        <f>IF($B9=$B8,$AE8,0)+$AD9</f>
        <v/>
      </c>
      <c r="AF9" s="55">
        <f>$AF8+$AD9</f>
        <v/>
      </c>
      <c r="AG9" s="55">
        <f>SUMIFS(tblMovement[Tonnes_t],tblMovement[Date],$A9)</f>
        <v/>
      </c>
      <c r="AH9" s="55">
        <f>IF($B9=$B8,$AH8,0)+$AG9</f>
        <v/>
      </c>
      <c r="AI9" s="55">
        <f>$AI8+$AG9</f>
        <v/>
      </c>
      <c r="AJ9" s="55">
        <f>$AG9-$X9-$AD9</f>
        <v/>
      </c>
      <c r="AK9" s="55">
        <f>IF($B9=$B8,$AK8,0)+$AJ9</f>
        <v/>
      </c>
      <c r="AL9" s="55">
        <f>$AL8+$AJ9</f>
        <v/>
      </c>
      <c r="AM9" s="55">
        <f>SUMIFS(tblMiningDaily[Drill_m],tblMiningDaily[Date],$A9)</f>
        <v/>
      </c>
      <c r="AN9" s="55">
        <f>IF($B9=$B8,$AN8,0)+$AM9</f>
        <v/>
      </c>
      <c r="AO9" s="55">
        <f>$AO8+$AM9</f>
        <v/>
      </c>
      <c r="AP9" s="55">
        <f>SUMIFS(tblMiningDaily[GC_Drill_m],tblMiningDaily[Date],$A9)</f>
        <v/>
      </c>
      <c r="AQ9" s="55">
        <f>IF($B9=$B8,$AQ8,0)+$AP9</f>
        <v/>
      </c>
      <c r="AR9" s="55">
        <f>$AR8+$AP9</f>
        <v/>
      </c>
      <c r="AS9" s="55">
        <f>SUMIFS(tblMiningDaily[Blast_t],tblMiningDaily[Date],$A9)</f>
        <v/>
      </c>
      <c r="AT9" s="55">
        <f>IF($B9=$B8,$AT8,0)+$AS9</f>
        <v/>
      </c>
      <c r="AU9" s="55">
        <f>$AU8+$AS9</f>
        <v/>
      </c>
      <c r="AV9" s="55">
        <f>SUMIFS(tblMiningDaily[Explosives_kg],tblMiningDaily[Date],$A9)</f>
        <v/>
      </c>
      <c r="AW9" s="55">
        <f>IF($B9=$B8,$AW8,0)+$AV9</f>
        <v/>
      </c>
      <c r="AX9" s="55">
        <f>$AX8+$AV9</f>
        <v/>
      </c>
      <c r="AY9" s="56">
        <f>IFERROR(IF(($AS9)&gt;0,($AV9)/($AS9),""),"")</f>
        <v/>
      </c>
      <c r="AZ9" s="56">
        <f>IFERROR(IF(($AT9)&gt;0,($AW9)/($AT9),""),"")</f>
        <v/>
      </c>
      <c r="BA9" s="56">
        <f>IFERROR(IF(($AU9)&gt;0,($AX9)/($AU9),""),"")</f>
        <v/>
      </c>
      <c r="BB9" s="55">
        <f>SUMIFS(tblMiningDaily[Diesel_L],tblMiningDaily[Date],$A9)</f>
        <v/>
      </c>
      <c r="BC9" s="55">
        <f>IF($B9=$B8,$BC8,0)+$BB9</f>
        <v/>
      </c>
      <c r="BD9" s="55">
        <f>$BD8+$BB9</f>
        <v/>
      </c>
      <c r="BE9" s="55">
        <f>SUMIFS(tblMiningDaily[Dewatering_m3],tblMiningDaily[Date],$A9)</f>
        <v/>
      </c>
      <c r="BF9" s="55">
        <f>IF($B9=$B8,$BF8,0)+$BE9</f>
        <v/>
      </c>
      <c r="BG9" s="55">
        <f>$BG8+$BE9</f>
        <v/>
      </c>
      <c r="BH9" s="57">
        <f>SUMIFS(tblFleet[Calendar_h],tblFleet[Date],$A9,tblFleet[Equipment_Class],"Excavator")</f>
        <v/>
      </c>
      <c r="BI9" s="57">
        <f>IF($B9=$B8,$BI8,0)+$BH9</f>
        <v/>
      </c>
      <c r="BJ9" s="57">
        <f>$BJ8+$BH9</f>
        <v/>
      </c>
      <c r="BK9" s="57">
        <f>SUMIFS(tblFleet[Available_h],tblFleet[Date],$A9,tblFleet[Equipment_Class],"Excavator")</f>
        <v/>
      </c>
      <c r="BL9" s="57">
        <f>IF($B9=$B8,$BL8,0)+$BK9</f>
        <v/>
      </c>
      <c r="BM9" s="57">
        <f>$BM8+$BK9</f>
        <v/>
      </c>
      <c r="BN9" s="57">
        <f>SUMIFS(tblFleet[Operating_h],tblFleet[Date],$A9,tblFleet[Equipment_Class],"Excavator")</f>
        <v/>
      </c>
      <c r="BO9" s="57">
        <f>IF($B9=$B8,$BO8,0)+$BN9</f>
        <v/>
      </c>
      <c r="BP9" s="57">
        <f>$BP8+$BN9</f>
        <v/>
      </c>
      <c r="BQ9" s="67">
        <f>IFERROR(IF(($BH9)&gt;0,($BK9)/($BH9),""),"")</f>
        <v/>
      </c>
      <c r="BR9" s="67">
        <f>IFERROR(IF(($BI9)&gt;0,($BL9)/($BI9),""),"")</f>
        <v/>
      </c>
      <c r="BS9" s="67">
        <f>IFERROR(IF(($BJ9)&gt;0,($BM9)/($BJ9),""),"")</f>
        <v/>
      </c>
      <c r="BT9" s="67">
        <f>IFERROR(IF(($BK9)&gt;0,($BN9)/($BK9),""),"")</f>
        <v/>
      </c>
      <c r="BU9" s="67">
        <f>IFERROR(IF(($BL9)&gt;0,($BO9)/($BL9),""),"")</f>
        <v/>
      </c>
      <c r="BV9" s="67">
        <f>IFERROR(IF(($BM9)&gt;0,($BP9)/($BM9),""),"")</f>
        <v/>
      </c>
      <c r="BW9" s="57">
        <f>SUMIFS(tblFleet[Calendar_h],tblFleet[Date],$A9,tblFleet[Equipment_Class],"Haul Truck")</f>
        <v/>
      </c>
      <c r="BX9" s="57">
        <f>IF($B9=$B8,$BX8,0)+$BW9</f>
        <v/>
      </c>
      <c r="BY9" s="57">
        <f>$BY8+$BW9</f>
        <v/>
      </c>
      <c r="BZ9" s="57">
        <f>SUMIFS(tblFleet[Available_h],tblFleet[Date],$A9,tblFleet[Equipment_Class],"Haul Truck")</f>
        <v/>
      </c>
      <c r="CA9" s="57">
        <f>IF($B9=$B8,$CA8,0)+$BZ9</f>
        <v/>
      </c>
      <c r="CB9" s="57">
        <f>$CB8+$BZ9</f>
        <v/>
      </c>
      <c r="CC9" s="57">
        <f>SUMIFS(tblFleet[Operating_h],tblFleet[Date],$A9,tblFleet[Equipment_Class],"Haul Truck")</f>
        <v/>
      </c>
      <c r="CD9" s="57">
        <f>IF($B9=$B8,$CD8,0)+$CC9</f>
        <v/>
      </c>
      <c r="CE9" s="57">
        <f>$CE8+$CC9</f>
        <v/>
      </c>
      <c r="CF9" s="67">
        <f>IFERROR(IF(($BW9)&gt;0,($BZ9)/($BW9),""),"")</f>
        <v/>
      </c>
      <c r="CG9" s="67">
        <f>IFERROR(IF(($BX9)&gt;0,($CA9)/($BX9),""),"")</f>
        <v/>
      </c>
      <c r="CH9" s="67">
        <f>IFERROR(IF(($BY9)&gt;0,($CB9)/($BY9),""),"")</f>
        <v/>
      </c>
      <c r="CI9" s="67">
        <f>IFERROR(IF(($BZ9)&gt;0,($CC9)/($BZ9),""),"")</f>
        <v/>
      </c>
      <c r="CJ9" s="67">
        <f>IFERROR(IF(($CA9)&gt;0,($CD9)/($CA9),""),"")</f>
        <v/>
      </c>
      <c r="CK9" s="67">
        <f>IFERROR(IF(($CB9)&gt;0,($CE9)/($CB9),""),"")</f>
        <v/>
      </c>
      <c r="CL9" s="55">
        <f>IFERROR(IF(($BN9)&gt;0,($X9+$AD9)/($BN9),""),"")</f>
        <v/>
      </c>
      <c r="CM9" s="55">
        <f>IFERROR(IF(($BO9)&gt;0,($Y9+$AE9)/($BO9),""),"")</f>
        <v/>
      </c>
      <c r="CN9" s="55">
        <f>IFERROR(IF(($BP9)&gt;0,($Z9+$AF9)/($BP9),""),"")</f>
        <v/>
      </c>
      <c r="CO9" s="55">
        <f>IFERROR(IF(($CC9)&gt;0,($X9+$AD9)/($CC9),""),"")</f>
        <v/>
      </c>
      <c r="CP9" s="55">
        <f>IFERROR(IF(($CD9)&gt;0,($Y9+$AE9)/($CD9),""),"")</f>
        <v/>
      </c>
      <c r="CQ9" s="55">
        <f>IFERROR(IF(($CE9)&gt;0,($Z9+$AF9)/($CE9),""),"")</f>
        <v/>
      </c>
      <c r="CR9" s="55">
        <f>SUMIFS(tblPlant[Crushed_t],tblPlant[Date],$A9)</f>
        <v/>
      </c>
      <c r="CS9" s="55">
        <f>IF($B9=$B8,$CS8,0)+$CR9</f>
        <v/>
      </c>
      <c r="CT9" s="55">
        <f>$CT8+$CR9</f>
        <v/>
      </c>
      <c r="CU9" s="55">
        <f>SUMIFS(tblPlant[Milled_t],tblPlant[Date],$A9)</f>
        <v/>
      </c>
      <c r="CV9" s="55">
        <f>IF($B9=$B8,$CV8,0)+$CU9</f>
        <v/>
      </c>
      <c r="CW9" s="55">
        <f>$CW8+$CU9</f>
        <v/>
      </c>
      <c r="CX9" s="55">
        <f>SUMIFS(tblPlant[Feed_oz],tblPlant[Date],$A9)</f>
        <v/>
      </c>
      <c r="CY9" s="55">
        <f>IF($B9=$B8,$CY8,0)+$CX9</f>
        <v/>
      </c>
      <c r="CZ9" s="55">
        <f>$CZ8+$CX9</f>
        <v/>
      </c>
      <c r="DA9" s="55">
        <f>SUMIFS(tblPlant[Tails_oz],tblPlant[Date],$A9)</f>
        <v/>
      </c>
      <c r="DB9" s="55">
        <f>IF($B9=$B8,$DB8,0)+$DA9</f>
        <v/>
      </c>
      <c r="DC9" s="55">
        <f>$DC8+$DA9</f>
        <v/>
      </c>
      <c r="DD9" s="55">
        <f>SUMIFS(tblPlant[Recovered_oz],tblPlant[Date],$A9)</f>
        <v/>
      </c>
      <c r="DE9" s="55">
        <f>IF($B9=$B8,$DE8,0)+$DD9</f>
        <v/>
      </c>
      <c r="DF9" s="55">
        <f>$DF8+$DD9</f>
        <v/>
      </c>
      <c r="DG9" s="55">
        <f>SUMIFS(tblPlant[Milled_t],tblPlant[Date],$A9,tblPlant[Head_Grade_gpt],"&lt;&gt;")</f>
        <v/>
      </c>
      <c r="DH9" s="55">
        <f>IF($B9=$B8,$DH8,0)+$DG9</f>
        <v/>
      </c>
      <c r="DI9" s="55">
        <f>$DI8+$DG9</f>
        <v/>
      </c>
      <c r="DJ9" s="55">
        <f>SUMIFS(tblPlant[Milled_t],tblPlant[Date],$A9,tblPlant[Tails_Grade_gpt],"&lt;&gt;")</f>
        <v/>
      </c>
      <c r="DK9" s="55">
        <f>IF($B9=$B8,$DK8,0)+$DJ9</f>
        <v/>
      </c>
      <c r="DL9" s="55">
        <f>$DL8+$DJ9</f>
        <v/>
      </c>
      <c r="DM9" s="55">
        <f>SUMIFS(tblPlant[Feed_oz],tblPlant[Date],$A9,tblPlant[Tails_Grade_gpt],"&lt;&gt;")</f>
        <v/>
      </c>
      <c r="DN9" s="55">
        <f>IF($B9=$B8,$DN8,0)+$DM9</f>
        <v/>
      </c>
      <c r="DO9" s="55">
        <f>$DO8+$DM9</f>
        <v/>
      </c>
      <c r="DP9" s="55">
        <f>SUMIFS(tblPlant[Milled_t],tblPlant[Date],$A9,tblPlant[Mill_Run_h],"&lt;&gt;")</f>
        <v/>
      </c>
      <c r="DQ9" s="55">
        <f>IF($B9=$B8,$DQ8,0)+$DP9</f>
        <v/>
      </c>
      <c r="DR9" s="55">
        <f>$DR8+$DP9</f>
        <v/>
      </c>
      <c r="DS9" s="56">
        <f>IFERROR(IF(($DG9)&gt;0,($CX9*cfg_TroyOz)/($DG9),""),"")</f>
        <v/>
      </c>
      <c r="DT9" s="56">
        <f>IFERROR(IF(($DH9)&gt;0,($CY9*cfg_TroyOz)/($DH9),""),"")</f>
        <v/>
      </c>
      <c r="DU9" s="56">
        <f>IFERROR(IF(($DI9)&gt;0,($CZ9*cfg_TroyOz)/($DI9),""),"")</f>
        <v/>
      </c>
      <c r="DV9" s="56">
        <f>IFERROR(IF(($DJ9)&gt;0,($DA9*cfg_TroyOz)/($DJ9),""),"")</f>
        <v/>
      </c>
      <c r="DW9" s="56">
        <f>IFERROR(IF(($DK9)&gt;0,($DB9*cfg_TroyOz)/($DK9),""),"")</f>
        <v/>
      </c>
      <c r="DX9" s="56">
        <f>IFERROR(IF(($DL9)&gt;0,($DC9*cfg_TroyOz)/($DL9),""),"")</f>
        <v/>
      </c>
      <c r="DY9" s="67">
        <f>IFERROR(IF(($DM9)&gt;0,($DD9)/($DM9),""),"")</f>
        <v/>
      </c>
      <c r="DZ9" s="67">
        <f>IFERROR(IF(($DN9)&gt;0,($DE9)/($DN9),""),"")</f>
        <v/>
      </c>
      <c r="EA9" s="67">
        <f>IFERROR(IF(($DO9)&gt;0,($DF9)/($DO9),""),"")</f>
        <v/>
      </c>
      <c r="EB9" s="55">
        <f>SUMIFS(tblPlant[Gravity_Gold_oz],tblPlant[Date],$A9)</f>
        <v/>
      </c>
      <c r="EC9" s="55">
        <f>IF($B9=$B8,$EC8,0)+$EB9</f>
        <v/>
      </c>
      <c r="ED9" s="55">
        <f>$ED8+$EB9</f>
        <v/>
      </c>
      <c r="EE9" s="67">
        <f>IFERROR(IF(($DD9)&gt;0,($EB9)/($DD9),""),"")</f>
        <v/>
      </c>
      <c r="EF9" s="67">
        <f>IFERROR(IF(($DE9)&gt;0,($EC9)/($DE9),""),"")</f>
        <v/>
      </c>
      <c r="EG9" s="67">
        <f>IFERROR(IF(($DF9)&gt;0,($ED9)/($DF9),""),"")</f>
        <v/>
      </c>
      <c r="EH9" s="55">
        <f>SUMIFS(tblPlant[Gold_Poured_oz],tblPlant[Date],$A9)</f>
        <v/>
      </c>
      <c r="EI9" s="55">
        <f>IF($B9=$B8,$EI8,0)+$EH9</f>
        <v/>
      </c>
      <c r="EJ9" s="55">
        <f>$EJ8+$EH9</f>
        <v/>
      </c>
      <c r="EK9" s="57">
        <f>SUMIFS(tblPlant[Mill_Run_h],tblPlant[Date],$A9)</f>
        <v/>
      </c>
      <c r="EL9" s="57">
        <f>IF($B9=$B8,$EL8,0)+$EK9</f>
        <v/>
      </c>
      <c r="EM9" s="57">
        <f>$EM8+$EK9</f>
        <v/>
      </c>
      <c r="EN9" s="57">
        <f>SUMIFS(tblPlant[Mill_Planned_Maint_h],tblPlant[Date],$A9)</f>
        <v/>
      </c>
      <c r="EO9" s="57">
        <f>IF($B9=$B8,$EO8,0)+$EN9</f>
        <v/>
      </c>
      <c r="EP9" s="57">
        <f>$EP8+$EN9</f>
        <v/>
      </c>
      <c r="EQ9" s="57">
        <f>SUMIFS(tblPlant[Mill_Unplanned_Down_h],tblPlant[Date],$A9)</f>
        <v/>
      </c>
      <c r="ER9" s="57">
        <f>IF($B9=$B8,$ER8,0)+$EQ9</f>
        <v/>
      </c>
      <c r="ES9" s="57">
        <f>$ES8+$EQ9</f>
        <v/>
      </c>
      <c r="ET9" s="57">
        <f>IF(COUNTIFS(tblPlant[Date],$A9,tblPlant[Mill_Run_h],"&lt;&gt;")+COUNTIFS(tblPlant[Date],$A9,tblPlant[Mill_Planned_Maint_h],"&lt;&gt;")+COUNTIFS(tblPlant[Date],$A9,tblPlant[Mill_Unplanned_Down_h],"&lt;&gt;")&gt;0,cfg_HoursPerDay,0)</f>
        <v/>
      </c>
      <c r="EU9" s="57">
        <f>IF($B9=$B8,$EU8,0)+$ET9</f>
        <v/>
      </c>
      <c r="EV9" s="57">
        <f>$EV8+$ET9</f>
        <v/>
      </c>
      <c r="EW9" s="57">
        <f>SUMIFS(tblPlant[Crusher_Run_h],tblPlant[Date],$A9)</f>
        <v/>
      </c>
      <c r="EX9" s="57">
        <f>IF($B9=$B8,$EX8,0)+$EW9</f>
        <v/>
      </c>
      <c r="EY9" s="57">
        <f>$EY8+$EW9</f>
        <v/>
      </c>
      <c r="EZ9" s="55">
        <f>IFERROR(IF(($EK9)&gt;0,($DP9)/($EK9),""),"")</f>
        <v/>
      </c>
      <c r="FA9" s="55">
        <f>IFERROR(IF(($EL9)&gt;0,($DQ9)/($EL9),""),"")</f>
        <v/>
      </c>
      <c r="FB9" s="55">
        <f>IFERROR(IF(($EM9)&gt;0,($DR9)/($EM9),""),"")</f>
        <v/>
      </c>
      <c r="FC9" s="67">
        <f>IFERROR(IF(($ET9)&gt;0,($ET9-$EN9-$EQ9)/($ET9),""),"")</f>
        <v/>
      </c>
      <c r="FD9" s="67">
        <f>IFERROR(IF(($EU9)&gt;0,($EU9-$EO9-$ER9)/($EU9),""),"")</f>
        <v/>
      </c>
      <c r="FE9" s="67">
        <f>IFERROR(IF(($EV9)&gt;0,($EV9-$EP9-$ES9)/($EV9),""),"")</f>
        <v/>
      </c>
      <c r="FF9" s="67">
        <f>IFERROR(IF(($ET9-$EN9-$EQ9)&gt;0,($EK9)/($ET9-$EN9-$EQ9),""),"")</f>
        <v/>
      </c>
      <c r="FG9" s="67">
        <f>IFERROR(IF(($EU9-$EO9-$ER9)&gt;0,($EL9)/($EU9-$EO9-$ER9),""),"")</f>
        <v/>
      </c>
      <c r="FH9" s="67">
        <f>IFERROR(IF(($EV9-$EP9-$ES9)&gt;0,($EM9)/($EV9-$EP9-$ES9),""),"")</f>
        <v/>
      </c>
      <c r="FI9" s="55">
        <f>SUMIFS(tblPlant[Cyanide_kg],tblPlant[Date],$A9)</f>
        <v/>
      </c>
      <c r="FJ9" s="55">
        <f>IF($B9=$B8,$FJ8,0)+$FI9</f>
        <v/>
      </c>
      <c r="FK9" s="55">
        <f>$FK8+$FI9</f>
        <v/>
      </c>
      <c r="FL9" s="55">
        <f>SUMIFS(tblPlant[Lime_kg],tblPlant[Date],$A9)</f>
        <v/>
      </c>
      <c r="FM9" s="55">
        <f>IF($B9=$B8,$FM8,0)+$FL9</f>
        <v/>
      </c>
      <c r="FN9" s="55">
        <f>$FN8+$FL9</f>
        <v/>
      </c>
      <c r="FO9" s="55">
        <f>SUMIFS(tblPlant[Grinding_Media_kg],tblPlant[Date],$A9)</f>
        <v/>
      </c>
      <c r="FP9" s="55">
        <f>IF($B9=$B8,$FP8,0)+$FO9</f>
        <v/>
      </c>
      <c r="FQ9" s="55">
        <f>$FQ8+$FO9</f>
        <v/>
      </c>
      <c r="FR9" s="55">
        <f>SUMIFS(tblPlant[Power_kWh],tblPlant[Date],$A9)</f>
        <v/>
      </c>
      <c r="FS9" s="55">
        <f>IF($B9=$B8,$FS8,0)+$FR9</f>
        <v/>
      </c>
      <c r="FT9" s="55">
        <f>$FT8+$FR9</f>
        <v/>
      </c>
      <c r="FU9" s="55">
        <f>SUMIFS(tblPlant[Raw_Water_m3],tblPlant[Date],$A9)</f>
        <v/>
      </c>
      <c r="FV9" s="55">
        <f>IF($B9=$B8,$FV8,0)+$FU9</f>
        <v/>
      </c>
      <c r="FW9" s="55">
        <f>$FW8+$FU9</f>
        <v/>
      </c>
      <c r="FX9" s="56">
        <f>IFERROR(IF(($CU9)&gt;0,($FI9)/($CU9),""),"")</f>
        <v/>
      </c>
      <c r="FY9" s="56">
        <f>IFERROR(IF(($CV9)&gt;0,($FJ9)/($CV9),""),"")</f>
        <v/>
      </c>
      <c r="FZ9" s="56">
        <f>IFERROR(IF(($CW9)&gt;0,($FK9)/($CW9),""),"")</f>
        <v/>
      </c>
      <c r="GA9" s="56">
        <f>IFERROR(IF(($CU9)&gt;0,($FL9)/($CU9),""),"")</f>
        <v/>
      </c>
      <c r="GB9" s="56">
        <f>IFERROR(IF(($CV9)&gt;0,($FM9)/($CV9),""),"")</f>
        <v/>
      </c>
      <c r="GC9" s="56">
        <f>IFERROR(IF(($CW9)&gt;0,($FN9)/($CW9),""),"")</f>
        <v/>
      </c>
      <c r="GD9" s="56">
        <f>IFERROR(IF(($CU9)&gt;0,($FO9)/($CU9),""),"")</f>
        <v/>
      </c>
      <c r="GE9" s="56">
        <f>IFERROR(IF(($CV9)&gt;0,($FP9)/($CV9),""),"")</f>
        <v/>
      </c>
      <c r="GF9" s="56">
        <f>IFERROR(IF(($CW9)&gt;0,($FQ9)/($CW9),""),"")</f>
        <v/>
      </c>
      <c r="GG9" s="79">
        <f>IFERROR(IF(($CU9)&gt;0,($FR9)/($CU9),""),"")</f>
        <v/>
      </c>
      <c r="GH9" s="79">
        <f>IFERROR(IF(($CV9)&gt;0,($FS9)/($CV9),""),"")</f>
        <v/>
      </c>
      <c r="GI9" s="79">
        <f>IFERROR(IF(($CW9)&gt;0,($FT9)/($CW9),""),"")</f>
        <v/>
      </c>
      <c r="GJ9" s="56">
        <f>IFERROR(IF(($CU9)&gt;0,($FU9)/($CU9),""),"")</f>
        <v/>
      </c>
      <c r="GK9" s="56">
        <f>IFERROR(IF(($CV9)&gt;0,($FV9)/($CV9),""),"")</f>
        <v/>
      </c>
      <c r="GL9" s="56">
        <f>IFERROR(IF(($CW9)&gt;0,($FW9)/($CW9),""),"")</f>
        <v/>
      </c>
      <c r="GM9" s="55">
        <f>IF(SUMIFS(tblPlant[GIC_oz],tblPlant[Date],$A9)&gt;0,SUMIFS(tblPlant[GIC_oz],tblPlant[Date],$A9),"")</f>
        <v/>
      </c>
      <c r="GN9" s="55">
        <f>SUMIFS(tblGold[Gold_oz],tblGold[Date],$A9,tblGold[Type],"Shipment")</f>
        <v/>
      </c>
      <c r="GO9" s="55">
        <f>IF($B9=$B8,$GO8,0)+$GN9</f>
        <v/>
      </c>
      <c r="GP9" s="55">
        <f>$GP8+$GN9</f>
        <v/>
      </c>
      <c r="GQ9" s="55">
        <f>SUMIFS(tblGold[Gold_oz],tblGold[Date],$A9,tblGold[Type],"Sale")</f>
        <v/>
      </c>
      <c r="GR9" s="55">
        <f>IF($B9=$B8,$GR8,0)+$GQ9</f>
        <v/>
      </c>
      <c r="GS9" s="55">
        <f>$GS8+$GQ9</f>
        <v/>
      </c>
      <c r="GT9" s="55">
        <f>SUMIFS(tblGold[Dore_kg],tblGold[Date],$A9,tblGold[Type],"Shipment")</f>
        <v/>
      </c>
      <c r="GU9" s="55">
        <f>IF($B9=$B8,$GU8,0)+$GT9</f>
        <v/>
      </c>
      <c r="GV9" s="55">
        <f>$GV8+$GT9</f>
        <v/>
      </c>
      <c r="GW9" s="57">
        <f>SUMIFS(tblSafety[Hours_Total],tblSafety[Date],$A9)</f>
        <v/>
      </c>
      <c r="GX9" s="57">
        <f>IF($B9=$B8,$GX8,0)+$GW9</f>
        <v/>
      </c>
      <c r="GY9" s="57">
        <f>$GY8+$GW9</f>
        <v/>
      </c>
      <c r="GZ9" s="62">
        <f>SUMIFS(tblSafety[Fatality],tblSafety[Date],$A9)</f>
        <v/>
      </c>
      <c r="HA9" s="62">
        <f>IF($B9=$B8,$HA8,0)+$GZ9</f>
        <v/>
      </c>
      <c r="HB9" s="62">
        <f>$HB8+$GZ9</f>
        <v/>
      </c>
      <c r="HC9" s="62">
        <f>SUMIFS(tblSafety[LTI],tblSafety[Date],$A9)</f>
        <v/>
      </c>
      <c r="HD9" s="62">
        <f>IF($B9=$B8,$HD8,0)+$HC9</f>
        <v/>
      </c>
      <c r="HE9" s="62">
        <f>$HE8+$HC9</f>
        <v/>
      </c>
      <c r="HF9" s="62">
        <f>SUMIFS(tblSafety[RWI],tblSafety[Date],$A9)</f>
        <v/>
      </c>
      <c r="HG9" s="62">
        <f>IF($B9=$B8,$HG8,0)+$HF9</f>
        <v/>
      </c>
      <c r="HH9" s="62">
        <f>$HH8+$HF9</f>
        <v/>
      </c>
      <c r="HI9" s="62">
        <f>SUMIFS(tblSafety[MTI],tblSafety[Date],$A9)</f>
        <v/>
      </c>
      <c r="HJ9" s="62">
        <f>IF($B9=$B8,$HJ8,0)+$HI9</f>
        <v/>
      </c>
      <c r="HK9" s="62">
        <f>$HK8+$HI9</f>
        <v/>
      </c>
      <c r="HL9" s="62">
        <f>SUMIFS(tblSafety[FAI],tblSafety[Date],$A9)</f>
        <v/>
      </c>
      <c r="HM9" s="62">
        <f>IF($B9=$B8,$HM8,0)+$HL9</f>
        <v/>
      </c>
      <c r="HN9" s="62">
        <f>$HN8+$HL9</f>
        <v/>
      </c>
      <c r="HO9" s="62">
        <f>SUMIFS(tblSafety[Recordables],tblSafety[Date],$A9)</f>
        <v/>
      </c>
      <c r="HP9" s="62">
        <f>IF($B9=$B8,$HP8,0)+$HO9</f>
        <v/>
      </c>
      <c r="HQ9" s="62">
        <f>$HQ8+$HO9</f>
        <v/>
      </c>
      <c r="HR9" s="62">
        <f>SUMIFS(tblSafety[Near_Miss],tblSafety[Date],$A9)</f>
        <v/>
      </c>
      <c r="HS9" s="62">
        <f>IF($B9=$B8,$HS8,0)+$HR9</f>
        <v/>
      </c>
      <c r="HT9" s="62">
        <f>$HT8+$HR9</f>
        <v/>
      </c>
      <c r="HU9" s="62">
        <f>SUMIFS(tblSafety[Hazard_Reports],tblSafety[Date],$A9)</f>
        <v/>
      </c>
      <c r="HV9" s="62">
        <f>IF($B9=$B8,$HV8,0)+$HU9</f>
        <v/>
      </c>
      <c r="HW9" s="62">
        <f>$HW8+$HU9</f>
        <v/>
      </c>
      <c r="HX9" s="62">
        <f>SUMIFS(tblSafety[HPI],tblSafety[Date],$A9)</f>
        <v/>
      </c>
      <c r="HY9" s="62">
        <f>IF($B9=$B8,$HY8,0)+$HX9</f>
        <v/>
      </c>
      <c r="HZ9" s="62">
        <f>$HZ8+$HX9</f>
        <v/>
      </c>
      <c r="IA9" s="62">
        <f>SUMIFS(tblSafety[Env_Incidents],tblSafety[Date],$A9)</f>
        <v/>
      </c>
      <c r="IB9" s="62">
        <f>IF($B9=$B8,$IB8,0)+$IA9</f>
        <v/>
      </c>
      <c r="IC9" s="62">
        <f>$IC8+$IA9</f>
        <v/>
      </c>
      <c r="ID9" s="62">
        <f>SUMIFS(tblSafety[Community_Incidents],tblSafety[Date],$A9)</f>
        <v/>
      </c>
      <c r="IE9" s="62">
        <f>IF($B9=$B8,$IE8,0)+$ID9</f>
        <v/>
      </c>
      <c r="IF9" s="62">
        <f>$IF8+$ID9</f>
        <v/>
      </c>
      <c r="IG9" s="62">
        <f>SUMIFS(tblSafety[Vehicle_Incidents],tblSafety[Date],$A9)</f>
        <v/>
      </c>
      <c r="IH9" s="62">
        <f>IF($B9=$B8,$IH8,0)+$IG9</f>
        <v/>
      </c>
      <c r="II9" s="62">
        <f>$II8+$IG9</f>
        <v/>
      </c>
      <c r="IJ9" s="62">
        <f>SUMIFS(tblSafety[Toolbox_Talks],tblSafety[Date],$A9)</f>
        <v/>
      </c>
      <c r="IK9" s="62">
        <f>IF($B9=$B8,$IK8,0)+$IJ9</f>
        <v/>
      </c>
      <c r="IL9" s="62">
        <f>$IL8+$IJ9</f>
        <v/>
      </c>
      <c r="IM9" s="62">
        <f>SUMIFS(tblSafety[Inspections],tblSafety[Date],$A9)</f>
        <v/>
      </c>
      <c r="IN9" s="62">
        <f>IF($B9=$B8,$IN8,0)+$IM9</f>
        <v/>
      </c>
      <c r="IO9" s="62">
        <f>$IO8+$IM9</f>
        <v/>
      </c>
      <c r="IP9" s="56">
        <f>IFERROR((SUMIFS(tblSafety[Recordables],tblSafety[Date],"&gt;="&amp;EDATE($E9,-12),tblSafety[Date],"&lt;="&amp;$A9)+SUMIFS(tblSafetyHistory[Recordables],tblSafetyHistory[Month],"&gt;="&amp;EDATE($E9,-12),tblSafetyHistory[Month],"&lt;"&amp;$E9,tblSafetyHistory[Use],1))/(SUMIFS(tblSafety[Hours_Total],tblSafety[Date],"&gt;="&amp;EDATE($E9,-12),tblSafety[Date],"&lt;="&amp;$A9)+SUMIFS(tblSafetyHistory[Hours_Total],tblSafetyHistory[Month],"&gt;="&amp;EDATE($E9,-12),tblSafetyHistory[Month],"&lt;"&amp;$E9,tblSafetyHistory[Use],1))*cfg_RateBasisHours,"")</f>
        <v/>
      </c>
      <c r="IQ9" s="56">
        <f>IFERROR((SUMIFS(tblSafety[LTI],tblSafety[Date],"&gt;="&amp;EDATE($E9,-12),tblSafety[Date],"&lt;="&amp;$A9)+SUMIFS(tblSafetyHistory[LTI],tblSafetyHistory[Month],"&gt;="&amp;EDATE($E9,-12),tblSafetyHistory[Month],"&lt;"&amp;$E9,tblSafetyHistory[Use],1))/(SUMIFS(tblSafety[Hours_Total],tblSafety[Date],"&gt;="&amp;EDATE($E9,-12),tblSafety[Date],"&lt;="&amp;$A9)+SUMIFS(tblSafetyHistory[Hours_Total],tblSafetyHistory[Month],"&gt;="&amp;EDATE($E9,-12),tblSafetyHistory[Month],"&lt;"&amp;$E9,tblSafetyHistory[Use],1))*cfg_RateBasisHours,"")</f>
        <v/>
      </c>
      <c r="IR9" s="62">
        <f>IF(MAX(N(cfg_PriorLTIDate),_xlfn.MAXIFS(tblSafety[Date],tblSafety[LTI],"&gt;0",tblSafety[Date],"&lt;="&amp;$A9))=0,"",$A9-MAX(N(cfg_PriorLTIDate),_xlfn.MAXIFS(tblSafety[Date],tblSafety[LTI],"&gt;0",tblSafety[Date],"&lt;="&amp;$A9)))</f>
        <v/>
      </c>
      <c r="IS9" s="55">
        <f>SUMIFS(tblBudget[Ore_Mined_t],tblBudget[Month],$E9)</f>
        <v/>
      </c>
      <c r="IT9" s="55">
        <f>$IS9*$C9/$D9</f>
        <v/>
      </c>
      <c r="IU9" s="55">
        <f>SUMIFS(tblBudget[Ore_Mined_t],tblBudget[Month],"&lt;"&amp;$E9)+$IT9</f>
        <v/>
      </c>
      <c r="IV9" s="55">
        <f>SUMIFS(tblBudget[Ore_oz],tblBudget[Month],$E9)</f>
        <v/>
      </c>
      <c r="IW9" s="55">
        <f>$IV9*$C9/$D9</f>
        <v/>
      </c>
      <c r="IX9" s="55">
        <f>SUMIFS(tblBudget[Ore_oz],tblBudget[Month],"&lt;"&amp;$E9)+$IW9</f>
        <v/>
      </c>
      <c r="IY9" s="55">
        <f>SUMIFS(tblBudget[Ore_Mined_t],tblBudget[Month],$E9)</f>
        <v/>
      </c>
      <c r="IZ9" s="55">
        <f>$IY9*$C9/$D9</f>
        <v/>
      </c>
      <c r="JA9" s="55">
        <f>SUMIFS(tblBudget[Ore_Mined_t],tblBudget[Month],"&lt;"&amp;$E9)+$IZ9</f>
        <v/>
      </c>
      <c r="JB9" s="56">
        <f>IFERROR(IF(($IY9)&gt;0,($IV9*cfg_TroyOz)/($IY9),""),"")</f>
        <v/>
      </c>
      <c r="JC9" s="56">
        <f>IFERROR(IF(($IZ9)&gt;0,($IW9*cfg_TroyOz)/($IZ9),""),"")</f>
        <v/>
      </c>
      <c r="JD9" s="56">
        <f>IFERROR(IF(($JA9)&gt;0,($IX9*cfg_TroyOz)/($JA9),""),"")</f>
        <v/>
      </c>
      <c r="JE9" s="55">
        <f>SUMIFS(tblBudget[Waste_t],tblBudget[Month],$E9)</f>
        <v/>
      </c>
      <c r="JF9" s="55">
        <f>$JE9*$C9/$D9</f>
        <v/>
      </c>
      <c r="JG9" s="55">
        <f>SUMIFS(tblBudget[Waste_t],tblBudget[Month],"&lt;"&amp;$E9)+$JF9</f>
        <v/>
      </c>
      <c r="JH9" s="55">
        <f>SUMIFS(tblBudget[TMM_t],tblBudget[Month],$E9)</f>
        <v/>
      </c>
      <c r="JI9" s="55">
        <f>$JH9*$C9/$D9</f>
        <v/>
      </c>
      <c r="JJ9" s="55">
        <f>SUMIFS(tblBudget[TMM_t],tblBudget[Month],"&lt;"&amp;$E9)+$JI9</f>
        <v/>
      </c>
      <c r="JK9" s="56">
        <f>IFERROR(IF(($IS9)&gt;0,($JE9)/($IS9),""),"")</f>
        <v/>
      </c>
      <c r="JL9" s="56">
        <f>IFERROR(IF(($IT9)&gt;0,($JF9)/($IT9),""),"")</f>
        <v/>
      </c>
      <c r="JM9" s="56">
        <f>IFERROR(IF(($IU9)&gt;0,($JG9)/($IU9),""),"")</f>
        <v/>
      </c>
      <c r="JN9" s="55">
        <f>SUMIFS(tblBudget[Drill_m],tblBudget[Month],$E9)</f>
        <v/>
      </c>
      <c r="JO9" s="55">
        <f>$JN9*$C9/$D9</f>
        <v/>
      </c>
      <c r="JP9" s="55">
        <f>SUMIFS(tblBudget[Drill_m],tblBudget[Month],"&lt;"&amp;$E9)+$JO9</f>
        <v/>
      </c>
      <c r="JQ9" s="55">
        <f>SUMIFS(tblBudget[Diesel_L],tblBudget[Month],$E9)</f>
        <v/>
      </c>
      <c r="JR9" s="55">
        <f>$JQ9*$C9/$D9</f>
        <v/>
      </c>
      <c r="JS9" s="55">
        <f>SUMIFS(tblBudget[Diesel_L],tblBudget[Month],"&lt;"&amp;$E9)+$JR9</f>
        <v/>
      </c>
      <c r="JT9" s="55">
        <f>SUMIFS(tblBudget[Milled_t],tblBudget[Month],$E9)</f>
        <v/>
      </c>
      <c r="JU9" s="55">
        <f>$JT9*$C9/$D9</f>
        <v/>
      </c>
      <c r="JV9" s="55">
        <f>SUMIFS(tblBudget[Milled_t],tblBudget[Month],"&lt;"&amp;$E9)+$JU9</f>
        <v/>
      </c>
      <c r="JW9" s="55">
        <f>SUMIFS(tblBudget[Feed_oz],tblBudget[Month],$E9)</f>
        <v/>
      </c>
      <c r="JX9" s="55">
        <f>$JW9*$C9/$D9</f>
        <v/>
      </c>
      <c r="JY9" s="55">
        <f>SUMIFS(tblBudget[Feed_oz],tblBudget[Month],"&lt;"&amp;$E9)+$JX9</f>
        <v/>
      </c>
      <c r="JZ9" s="55">
        <f>SUMIFS(tblBudget[Recovered_oz],tblBudget[Month],$E9)</f>
        <v/>
      </c>
      <c r="KA9" s="55">
        <f>$JZ9*$C9/$D9</f>
        <v/>
      </c>
      <c r="KB9" s="55">
        <f>SUMIFS(tblBudget[Recovered_oz],tblBudget[Month],"&lt;"&amp;$E9)+$KA9</f>
        <v/>
      </c>
      <c r="KC9" s="55">
        <f>SUMIFS(tblBudget[Milled_t],tblBudget[Month],$E9)</f>
        <v/>
      </c>
      <c r="KD9" s="55">
        <f>$KC9*$C9/$D9</f>
        <v/>
      </c>
      <c r="KE9" s="55">
        <f>SUMIFS(tblBudget[Milled_t],tblBudget[Month],"&lt;"&amp;$E9)+$KD9</f>
        <v/>
      </c>
      <c r="KF9" s="55">
        <f>SUMIFS(tblBudget[Feed_oz],tblBudget[Month],$E9)</f>
        <v/>
      </c>
      <c r="KG9" s="55">
        <f>$KF9*$C9/$D9</f>
        <v/>
      </c>
      <c r="KH9" s="55">
        <f>SUMIFS(tblBudget[Feed_oz],tblBudget[Month],"&lt;"&amp;$E9)+$KG9</f>
        <v/>
      </c>
      <c r="KI9" s="56">
        <f>IFERROR(IF(($KC9)&gt;0,($JW9*cfg_TroyOz)/($KC9),""),"")</f>
        <v/>
      </c>
      <c r="KJ9" s="56">
        <f>IFERROR(IF(($KD9)&gt;0,($JX9*cfg_TroyOz)/($KD9),""),"")</f>
        <v/>
      </c>
      <c r="KK9" s="56">
        <f>IFERROR(IF(($KE9)&gt;0,($JY9*cfg_TroyOz)/($KE9),""),"")</f>
        <v/>
      </c>
      <c r="KL9" s="67">
        <f>IFERROR(IF(($KF9)&gt;0,($JZ9)/($KF9),""),"")</f>
        <v/>
      </c>
      <c r="KM9" s="67">
        <f>IFERROR(IF(($KG9)&gt;0,($KA9)/($KG9),""),"")</f>
        <v/>
      </c>
      <c r="KN9" s="67">
        <f>IFERROR(IF(($KH9)&gt;0,($KB9)/($KH9),""),"")</f>
        <v/>
      </c>
      <c r="KO9" s="55">
        <f>SUMIFS(tblBudget[Gold_Poured_oz],tblBudget[Month],$E9)</f>
        <v/>
      </c>
      <c r="KP9" s="55">
        <f>$KO9*$C9/$D9</f>
        <v/>
      </c>
      <c r="KQ9" s="55">
        <f>SUMIFS(tblBudget[Gold_Poured_oz],tblBudget[Month],"&lt;"&amp;$E9)+$KP9</f>
        <v/>
      </c>
      <c r="KR9" s="57">
        <f>SUMIFS(tblBudget[Hours_Worked],tblBudget[Month],$E9)</f>
        <v/>
      </c>
      <c r="KS9" s="57">
        <f>$KR9*$C9/$D9</f>
        <v/>
      </c>
      <c r="KT9" s="57">
        <f>SUMIFS(tblBudget[Hours_Worked],tblBudget[Month],"&lt;"&amp;$E9)+$KS9</f>
        <v/>
      </c>
    </row>
    <row r="10">
      <c r="A10" s="54" t="n">
        <v>46031</v>
      </c>
      <c r="B10">
        <f>MONTH($A10)</f>
        <v/>
      </c>
      <c r="C10">
        <f>DAY($A10)</f>
        <v/>
      </c>
      <c r="D10">
        <f>DAY(EOMONTH($A10,0))</f>
        <v/>
      </c>
      <c r="E10" s="54">
        <f>DATE(YEAR($A10),MONTH($A10),1)</f>
        <v/>
      </c>
      <c r="F10" s="55">
        <f>SUMIFS(tblMovement[Tonnes_t],tblMovement[Date],$A10,tblMovement[Is_Ore],1,tblMovement[Source_Type],"Pit")</f>
        <v/>
      </c>
      <c r="G10" s="55">
        <f>IF($B10=$B9,$G9,0)+$F10</f>
        <v/>
      </c>
      <c r="H10" s="55">
        <f>$H9+$F10</f>
        <v/>
      </c>
      <c r="I10" s="55">
        <f>SUMIFS(tblMovement[Ore_oz],tblMovement[Date],$A10,tblMovement[Source_Type],"Pit")</f>
        <v/>
      </c>
      <c r="J10" s="55">
        <f>IF($B10=$B9,$J9,0)+$I10</f>
        <v/>
      </c>
      <c r="K10" s="55">
        <f>$K9+$I10</f>
        <v/>
      </c>
      <c r="L10" s="55">
        <f>SUMIFS(tblMovement[Tonnes_t],tblMovement[Date],$A10,tblMovement[Is_Ore],1,tblMovement[Source_Type],"Pit",tblMovement[Grade_gpt],"&lt;&gt;")</f>
        <v/>
      </c>
      <c r="M10" s="55">
        <f>IF($B10=$B9,$M9,0)+$L10</f>
        <v/>
      </c>
      <c r="N10" s="55">
        <f>$N9+$L10</f>
        <v/>
      </c>
      <c r="O10" s="56">
        <f>IFERROR(IF(($L10)&gt;0,($I10*cfg_TroyOz)/($L10),""),"")</f>
        <v/>
      </c>
      <c r="P10" s="56">
        <f>IFERROR(IF(($M10)&gt;0,($J10*cfg_TroyOz)/($M10),""),"")</f>
        <v/>
      </c>
      <c r="Q10" s="56">
        <f>IFERROR(IF(($N10)&gt;0,($K10*cfg_TroyOz)/($N10),""),"")</f>
        <v/>
      </c>
      <c r="R10" s="55">
        <f>$F10-$L10</f>
        <v/>
      </c>
      <c r="S10" s="55">
        <f>IF($B10=$B9,$S9,0)+$R10</f>
        <v/>
      </c>
      <c r="T10" s="55">
        <f>$T9+$R10</f>
        <v/>
      </c>
      <c r="U10" s="55">
        <f>SUMIFS(tblMovement[Tonnes_t],tblMovement[Date],$A10,tblMovement[Is_Ore],0,tblMovement[Source_Type],"Pit")</f>
        <v/>
      </c>
      <c r="V10" s="55">
        <f>IF($B10=$B9,$V9,0)+$U10</f>
        <v/>
      </c>
      <c r="W10" s="55">
        <f>$W9+$U10</f>
        <v/>
      </c>
      <c r="X10" s="55">
        <f>$F10+$U10</f>
        <v/>
      </c>
      <c r="Y10" s="55">
        <f>IF($B10=$B9,$Y9,0)+$X10</f>
        <v/>
      </c>
      <c r="Z10" s="55">
        <f>$Z9+$X10</f>
        <v/>
      </c>
      <c r="AA10" s="56">
        <f>IFERROR(IF(($F10)&gt;0,($U10)/($F10),""),"")</f>
        <v/>
      </c>
      <c r="AB10" s="56">
        <f>IFERROR(IF(($G10)&gt;0,($V10)/($G10),""),"")</f>
        <v/>
      </c>
      <c r="AC10" s="56">
        <f>IFERROR(IF(($H10)&gt;0,($W10)/($H10),""),"")</f>
        <v/>
      </c>
      <c r="AD10" s="55">
        <f>SUMIFS(tblMovement[Tonnes_t],tblMovement[Date],$A10,tblMovement[Source_Type],"Stockpile")</f>
        <v/>
      </c>
      <c r="AE10" s="55">
        <f>IF($B10=$B9,$AE9,0)+$AD10</f>
        <v/>
      </c>
      <c r="AF10" s="55">
        <f>$AF9+$AD10</f>
        <v/>
      </c>
      <c r="AG10" s="55">
        <f>SUMIFS(tblMovement[Tonnes_t],tblMovement[Date],$A10)</f>
        <v/>
      </c>
      <c r="AH10" s="55">
        <f>IF($B10=$B9,$AH9,0)+$AG10</f>
        <v/>
      </c>
      <c r="AI10" s="55">
        <f>$AI9+$AG10</f>
        <v/>
      </c>
      <c r="AJ10" s="55">
        <f>$AG10-$X10-$AD10</f>
        <v/>
      </c>
      <c r="AK10" s="55">
        <f>IF($B10=$B9,$AK9,0)+$AJ10</f>
        <v/>
      </c>
      <c r="AL10" s="55">
        <f>$AL9+$AJ10</f>
        <v/>
      </c>
      <c r="AM10" s="55">
        <f>SUMIFS(tblMiningDaily[Drill_m],tblMiningDaily[Date],$A10)</f>
        <v/>
      </c>
      <c r="AN10" s="55">
        <f>IF($B10=$B9,$AN9,0)+$AM10</f>
        <v/>
      </c>
      <c r="AO10" s="55">
        <f>$AO9+$AM10</f>
        <v/>
      </c>
      <c r="AP10" s="55">
        <f>SUMIFS(tblMiningDaily[GC_Drill_m],tblMiningDaily[Date],$A10)</f>
        <v/>
      </c>
      <c r="AQ10" s="55">
        <f>IF($B10=$B9,$AQ9,0)+$AP10</f>
        <v/>
      </c>
      <c r="AR10" s="55">
        <f>$AR9+$AP10</f>
        <v/>
      </c>
      <c r="AS10" s="55">
        <f>SUMIFS(tblMiningDaily[Blast_t],tblMiningDaily[Date],$A10)</f>
        <v/>
      </c>
      <c r="AT10" s="55">
        <f>IF($B10=$B9,$AT9,0)+$AS10</f>
        <v/>
      </c>
      <c r="AU10" s="55">
        <f>$AU9+$AS10</f>
        <v/>
      </c>
      <c r="AV10" s="55">
        <f>SUMIFS(tblMiningDaily[Explosives_kg],tblMiningDaily[Date],$A10)</f>
        <v/>
      </c>
      <c r="AW10" s="55">
        <f>IF($B10=$B9,$AW9,0)+$AV10</f>
        <v/>
      </c>
      <c r="AX10" s="55">
        <f>$AX9+$AV10</f>
        <v/>
      </c>
      <c r="AY10" s="56">
        <f>IFERROR(IF(($AS10)&gt;0,($AV10)/($AS10),""),"")</f>
        <v/>
      </c>
      <c r="AZ10" s="56">
        <f>IFERROR(IF(($AT10)&gt;0,($AW10)/($AT10),""),"")</f>
        <v/>
      </c>
      <c r="BA10" s="56">
        <f>IFERROR(IF(($AU10)&gt;0,($AX10)/($AU10),""),"")</f>
        <v/>
      </c>
      <c r="BB10" s="55">
        <f>SUMIFS(tblMiningDaily[Diesel_L],tblMiningDaily[Date],$A10)</f>
        <v/>
      </c>
      <c r="BC10" s="55">
        <f>IF($B10=$B9,$BC9,0)+$BB10</f>
        <v/>
      </c>
      <c r="BD10" s="55">
        <f>$BD9+$BB10</f>
        <v/>
      </c>
      <c r="BE10" s="55">
        <f>SUMIFS(tblMiningDaily[Dewatering_m3],tblMiningDaily[Date],$A10)</f>
        <v/>
      </c>
      <c r="BF10" s="55">
        <f>IF($B10=$B9,$BF9,0)+$BE10</f>
        <v/>
      </c>
      <c r="BG10" s="55">
        <f>$BG9+$BE10</f>
        <v/>
      </c>
      <c r="BH10" s="57">
        <f>SUMIFS(tblFleet[Calendar_h],tblFleet[Date],$A10,tblFleet[Equipment_Class],"Excavator")</f>
        <v/>
      </c>
      <c r="BI10" s="57">
        <f>IF($B10=$B9,$BI9,0)+$BH10</f>
        <v/>
      </c>
      <c r="BJ10" s="57">
        <f>$BJ9+$BH10</f>
        <v/>
      </c>
      <c r="BK10" s="57">
        <f>SUMIFS(tblFleet[Available_h],tblFleet[Date],$A10,tblFleet[Equipment_Class],"Excavator")</f>
        <v/>
      </c>
      <c r="BL10" s="57">
        <f>IF($B10=$B9,$BL9,0)+$BK10</f>
        <v/>
      </c>
      <c r="BM10" s="57">
        <f>$BM9+$BK10</f>
        <v/>
      </c>
      <c r="BN10" s="57">
        <f>SUMIFS(tblFleet[Operating_h],tblFleet[Date],$A10,tblFleet[Equipment_Class],"Excavator")</f>
        <v/>
      </c>
      <c r="BO10" s="57">
        <f>IF($B10=$B9,$BO9,0)+$BN10</f>
        <v/>
      </c>
      <c r="BP10" s="57">
        <f>$BP9+$BN10</f>
        <v/>
      </c>
      <c r="BQ10" s="67">
        <f>IFERROR(IF(($BH10)&gt;0,($BK10)/($BH10),""),"")</f>
        <v/>
      </c>
      <c r="BR10" s="67">
        <f>IFERROR(IF(($BI10)&gt;0,($BL10)/($BI10),""),"")</f>
        <v/>
      </c>
      <c r="BS10" s="67">
        <f>IFERROR(IF(($BJ10)&gt;0,($BM10)/($BJ10),""),"")</f>
        <v/>
      </c>
      <c r="BT10" s="67">
        <f>IFERROR(IF(($BK10)&gt;0,($BN10)/($BK10),""),"")</f>
        <v/>
      </c>
      <c r="BU10" s="67">
        <f>IFERROR(IF(($BL10)&gt;0,($BO10)/($BL10),""),"")</f>
        <v/>
      </c>
      <c r="BV10" s="67">
        <f>IFERROR(IF(($BM10)&gt;0,($BP10)/($BM10),""),"")</f>
        <v/>
      </c>
      <c r="BW10" s="57">
        <f>SUMIFS(tblFleet[Calendar_h],tblFleet[Date],$A10,tblFleet[Equipment_Class],"Haul Truck")</f>
        <v/>
      </c>
      <c r="BX10" s="57">
        <f>IF($B10=$B9,$BX9,0)+$BW10</f>
        <v/>
      </c>
      <c r="BY10" s="57">
        <f>$BY9+$BW10</f>
        <v/>
      </c>
      <c r="BZ10" s="57">
        <f>SUMIFS(tblFleet[Available_h],tblFleet[Date],$A10,tblFleet[Equipment_Class],"Haul Truck")</f>
        <v/>
      </c>
      <c r="CA10" s="57">
        <f>IF($B10=$B9,$CA9,0)+$BZ10</f>
        <v/>
      </c>
      <c r="CB10" s="57">
        <f>$CB9+$BZ10</f>
        <v/>
      </c>
      <c r="CC10" s="57">
        <f>SUMIFS(tblFleet[Operating_h],tblFleet[Date],$A10,tblFleet[Equipment_Class],"Haul Truck")</f>
        <v/>
      </c>
      <c r="CD10" s="57">
        <f>IF($B10=$B9,$CD9,0)+$CC10</f>
        <v/>
      </c>
      <c r="CE10" s="57">
        <f>$CE9+$CC10</f>
        <v/>
      </c>
      <c r="CF10" s="67">
        <f>IFERROR(IF(($BW10)&gt;0,($BZ10)/($BW10),""),"")</f>
        <v/>
      </c>
      <c r="CG10" s="67">
        <f>IFERROR(IF(($BX10)&gt;0,($CA10)/($BX10),""),"")</f>
        <v/>
      </c>
      <c r="CH10" s="67">
        <f>IFERROR(IF(($BY10)&gt;0,($CB10)/($BY10),""),"")</f>
        <v/>
      </c>
      <c r="CI10" s="67">
        <f>IFERROR(IF(($BZ10)&gt;0,($CC10)/($BZ10),""),"")</f>
        <v/>
      </c>
      <c r="CJ10" s="67">
        <f>IFERROR(IF(($CA10)&gt;0,($CD10)/($CA10),""),"")</f>
        <v/>
      </c>
      <c r="CK10" s="67">
        <f>IFERROR(IF(($CB10)&gt;0,($CE10)/($CB10),""),"")</f>
        <v/>
      </c>
      <c r="CL10" s="55">
        <f>IFERROR(IF(($BN10)&gt;0,($X10+$AD10)/($BN10),""),"")</f>
        <v/>
      </c>
      <c r="CM10" s="55">
        <f>IFERROR(IF(($BO10)&gt;0,($Y10+$AE10)/($BO10),""),"")</f>
        <v/>
      </c>
      <c r="CN10" s="55">
        <f>IFERROR(IF(($BP10)&gt;0,($Z10+$AF10)/($BP10),""),"")</f>
        <v/>
      </c>
      <c r="CO10" s="55">
        <f>IFERROR(IF(($CC10)&gt;0,($X10+$AD10)/($CC10),""),"")</f>
        <v/>
      </c>
      <c r="CP10" s="55">
        <f>IFERROR(IF(($CD10)&gt;0,($Y10+$AE10)/($CD10),""),"")</f>
        <v/>
      </c>
      <c r="CQ10" s="55">
        <f>IFERROR(IF(($CE10)&gt;0,($Z10+$AF10)/($CE10),""),"")</f>
        <v/>
      </c>
      <c r="CR10" s="55">
        <f>SUMIFS(tblPlant[Crushed_t],tblPlant[Date],$A10)</f>
        <v/>
      </c>
      <c r="CS10" s="55">
        <f>IF($B10=$B9,$CS9,0)+$CR10</f>
        <v/>
      </c>
      <c r="CT10" s="55">
        <f>$CT9+$CR10</f>
        <v/>
      </c>
      <c r="CU10" s="55">
        <f>SUMIFS(tblPlant[Milled_t],tblPlant[Date],$A10)</f>
        <v/>
      </c>
      <c r="CV10" s="55">
        <f>IF($B10=$B9,$CV9,0)+$CU10</f>
        <v/>
      </c>
      <c r="CW10" s="55">
        <f>$CW9+$CU10</f>
        <v/>
      </c>
      <c r="CX10" s="55">
        <f>SUMIFS(tblPlant[Feed_oz],tblPlant[Date],$A10)</f>
        <v/>
      </c>
      <c r="CY10" s="55">
        <f>IF($B10=$B9,$CY9,0)+$CX10</f>
        <v/>
      </c>
      <c r="CZ10" s="55">
        <f>$CZ9+$CX10</f>
        <v/>
      </c>
      <c r="DA10" s="55">
        <f>SUMIFS(tblPlant[Tails_oz],tblPlant[Date],$A10)</f>
        <v/>
      </c>
      <c r="DB10" s="55">
        <f>IF($B10=$B9,$DB9,0)+$DA10</f>
        <v/>
      </c>
      <c r="DC10" s="55">
        <f>$DC9+$DA10</f>
        <v/>
      </c>
      <c r="DD10" s="55">
        <f>SUMIFS(tblPlant[Recovered_oz],tblPlant[Date],$A10)</f>
        <v/>
      </c>
      <c r="DE10" s="55">
        <f>IF($B10=$B9,$DE9,0)+$DD10</f>
        <v/>
      </c>
      <c r="DF10" s="55">
        <f>$DF9+$DD10</f>
        <v/>
      </c>
      <c r="DG10" s="55">
        <f>SUMIFS(tblPlant[Milled_t],tblPlant[Date],$A10,tblPlant[Head_Grade_gpt],"&lt;&gt;")</f>
        <v/>
      </c>
      <c r="DH10" s="55">
        <f>IF($B10=$B9,$DH9,0)+$DG10</f>
        <v/>
      </c>
      <c r="DI10" s="55">
        <f>$DI9+$DG10</f>
        <v/>
      </c>
      <c r="DJ10" s="55">
        <f>SUMIFS(tblPlant[Milled_t],tblPlant[Date],$A10,tblPlant[Tails_Grade_gpt],"&lt;&gt;")</f>
        <v/>
      </c>
      <c r="DK10" s="55">
        <f>IF($B10=$B9,$DK9,0)+$DJ10</f>
        <v/>
      </c>
      <c r="DL10" s="55">
        <f>$DL9+$DJ10</f>
        <v/>
      </c>
      <c r="DM10" s="55">
        <f>SUMIFS(tblPlant[Feed_oz],tblPlant[Date],$A10,tblPlant[Tails_Grade_gpt],"&lt;&gt;")</f>
        <v/>
      </c>
      <c r="DN10" s="55">
        <f>IF($B10=$B9,$DN9,0)+$DM10</f>
        <v/>
      </c>
      <c r="DO10" s="55">
        <f>$DO9+$DM10</f>
        <v/>
      </c>
      <c r="DP10" s="55">
        <f>SUMIFS(tblPlant[Milled_t],tblPlant[Date],$A10,tblPlant[Mill_Run_h],"&lt;&gt;")</f>
        <v/>
      </c>
      <c r="DQ10" s="55">
        <f>IF($B10=$B9,$DQ9,0)+$DP10</f>
        <v/>
      </c>
      <c r="DR10" s="55">
        <f>$DR9+$DP10</f>
        <v/>
      </c>
      <c r="DS10" s="56">
        <f>IFERROR(IF(($DG10)&gt;0,($CX10*cfg_TroyOz)/($DG10),""),"")</f>
        <v/>
      </c>
      <c r="DT10" s="56">
        <f>IFERROR(IF(($DH10)&gt;0,($CY10*cfg_TroyOz)/($DH10),""),"")</f>
        <v/>
      </c>
      <c r="DU10" s="56">
        <f>IFERROR(IF(($DI10)&gt;0,($CZ10*cfg_TroyOz)/($DI10),""),"")</f>
        <v/>
      </c>
      <c r="DV10" s="56">
        <f>IFERROR(IF(($DJ10)&gt;0,($DA10*cfg_TroyOz)/($DJ10),""),"")</f>
        <v/>
      </c>
      <c r="DW10" s="56">
        <f>IFERROR(IF(($DK10)&gt;0,($DB10*cfg_TroyOz)/($DK10),""),"")</f>
        <v/>
      </c>
      <c r="DX10" s="56">
        <f>IFERROR(IF(($DL10)&gt;0,($DC10*cfg_TroyOz)/($DL10),""),"")</f>
        <v/>
      </c>
      <c r="DY10" s="67">
        <f>IFERROR(IF(($DM10)&gt;0,($DD10)/($DM10),""),"")</f>
        <v/>
      </c>
      <c r="DZ10" s="67">
        <f>IFERROR(IF(($DN10)&gt;0,($DE10)/($DN10),""),"")</f>
        <v/>
      </c>
      <c r="EA10" s="67">
        <f>IFERROR(IF(($DO10)&gt;0,($DF10)/($DO10),""),"")</f>
        <v/>
      </c>
      <c r="EB10" s="55">
        <f>SUMIFS(tblPlant[Gravity_Gold_oz],tblPlant[Date],$A10)</f>
        <v/>
      </c>
      <c r="EC10" s="55">
        <f>IF($B10=$B9,$EC9,0)+$EB10</f>
        <v/>
      </c>
      <c r="ED10" s="55">
        <f>$ED9+$EB10</f>
        <v/>
      </c>
      <c r="EE10" s="67">
        <f>IFERROR(IF(($DD10)&gt;0,($EB10)/($DD10),""),"")</f>
        <v/>
      </c>
      <c r="EF10" s="67">
        <f>IFERROR(IF(($DE10)&gt;0,($EC10)/($DE10),""),"")</f>
        <v/>
      </c>
      <c r="EG10" s="67">
        <f>IFERROR(IF(($DF10)&gt;0,($ED10)/($DF10),""),"")</f>
        <v/>
      </c>
      <c r="EH10" s="55">
        <f>SUMIFS(tblPlant[Gold_Poured_oz],tblPlant[Date],$A10)</f>
        <v/>
      </c>
      <c r="EI10" s="55">
        <f>IF($B10=$B9,$EI9,0)+$EH10</f>
        <v/>
      </c>
      <c r="EJ10" s="55">
        <f>$EJ9+$EH10</f>
        <v/>
      </c>
      <c r="EK10" s="57">
        <f>SUMIFS(tblPlant[Mill_Run_h],tblPlant[Date],$A10)</f>
        <v/>
      </c>
      <c r="EL10" s="57">
        <f>IF($B10=$B9,$EL9,0)+$EK10</f>
        <v/>
      </c>
      <c r="EM10" s="57">
        <f>$EM9+$EK10</f>
        <v/>
      </c>
      <c r="EN10" s="57">
        <f>SUMIFS(tblPlant[Mill_Planned_Maint_h],tblPlant[Date],$A10)</f>
        <v/>
      </c>
      <c r="EO10" s="57">
        <f>IF($B10=$B9,$EO9,0)+$EN10</f>
        <v/>
      </c>
      <c r="EP10" s="57">
        <f>$EP9+$EN10</f>
        <v/>
      </c>
      <c r="EQ10" s="57">
        <f>SUMIFS(tblPlant[Mill_Unplanned_Down_h],tblPlant[Date],$A10)</f>
        <v/>
      </c>
      <c r="ER10" s="57">
        <f>IF($B10=$B9,$ER9,0)+$EQ10</f>
        <v/>
      </c>
      <c r="ES10" s="57">
        <f>$ES9+$EQ10</f>
        <v/>
      </c>
      <c r="ET10" s="57">
        <f>IF(COUNTIFS(tblPlant[Date],$A10,tblPlant[Mill_Run_h],"&lt;&gt;")+COUNTIFS(tblPlant[Date],$A10,tblPlant[Mill_Planned_Maint_h],"&lt;&gt;")+COUNTIFS(tblPlant[Date],$A10,tblPlant[Mill_Unplanned_Down_h],"&lt;&gt;")&gt;0,cfg_HoursPerDay,0)</f>
        <v/>
      </c>
      <c r="EU10" s="57">
        <f>IF($B10=$B9,$EU9,0)+$ET10</f>
        <v/>
      </c>
      <c r="EV10" s="57">
        <f>$EV9+$ET10</f>
        <v/>
      </c>
      <c r="EW10" s="57">
        <f>SUMIFS(tblPlant[Crusher_Run_h],tblPlant[Date],$A10)</f>
        <v/>
      </c>
      <c r="EX10" s="57">
        <f>IF($B10=$B9,$EX9,0)+$EW10</f>
        <v/>
      </c>
      <c r="EY10" s="57">
        <f>$EY9+$EW10</f>
        <v/>
      </c>
      <c r="EZ10" s="55">
        <f>IFERROR(IF(($EK10)&gt;0,($DP10)/($EK10),""),"")</f>
        <v/>
      </c>
      <c r="FA10" s="55">
        <f>IFERROR(IF(($EL10)&gt;0,($DQ10)/($EL10),""),"")</f>
        <v/>
      </c>
      <c r="FB10" s="55">
        <f>IFERROR(IF(($EM10)&gt;0,($DR10)/($EM10),""),"")</f>
        <v/>
      </c>
      <c r="FC10" s="67">
        <f>IFERROR(IF(($ET10)&gt;0,($ET10-$EN10-$EQ10)/($ET10),""),"")</f>
        <v/>
      </c>
      <c r="FD10" s="67">
        <f>IFERROR(IF(($EU10)&gt;0,($EU10-$EO10-$ER10)/($EU10),""),"")</f>
        <v/>
      </c>
      <c r="FE10" s="67">
        <f>IFERROR(IF(($EV10)&gt;0,($EV10-$EP10-$ES10)/($EV10),""),"")</f>
        <v/>
      </c>
      <c r="FF10" s="67">
        <f>IFERROR(IF(($ET10-$EN10-$EQ10)&gt;0,($EK10)/($ET10-$EN10-$EQ10),""),"")</f>
        <v/>
      </c>
      <c r="FG10" s="67">
        <f>IFERROR(IF(($EU10-$EO10-$ER10)&gt;0,($EL10)/($EU10-$EO10-$ER10),""),"")</f>
        <v/>
      </c>
      <c r="FH10" s="67">
        <f>IFERROR(IF(($EV10-$EP10-$ES10)&gt;0,($EM10)/($EV10-$EP10-$ES10),""),"")</f>
        <v/>
      </c>
      <c r="FI10" s="55">
        <f>SUMIFS(tblPlant[Cyanide_kg],tblPlant[Date],$A10)</f>
        <v/>
      </c>
      <c r="FJ10" s="55">
        <f>IF($B10=$B9,$FJ9,0)+$FI10</f>
        <v/>
      </c>
      <c r="FK10" s="55">
        <f>$FK9+$FI10</f>
        <v/>
      </c>
      <c r="FL10" s="55">
        <f>SUMIFS(tblPlant[Lime_kg],tblPlant[Date],$A10)</f>
        <v/>
      </c>
      <c r="FM10" s="55">
        <f>IF($B10=$B9,$FM9,0)+$FL10</f>
        <v/>
      </c>
      <c r="FN10" s="55">
        <f>$FN9+$FL10</f>
        <v/>
      </c>
      <c r="FO10" s="55">
        <f>SUMIFS(tblPlant[Grinding_Media_kg],tblPlant[Date],$A10)</f>
        <v/>
      </c>
      <c r="FP10" s="55">
        <f>IF($B10=$B9,$FP9,0)+$FO10</f>
        <v/>
      </c>
      <c r="FQ10" s="55">
        <f>$FQ9+$FO10</f>
        <v/>
      </c>
      <c r="FR10" s="55">
        <f>SUMIFS(tblPlant[Power_kWh],tblPlant[Date],$A10)</f>
        <v/>
      </c>
      <c r="FS10" s="55">
        <f>IF($B10=$B9,$FS9,0)+$FR10</f>
        <v/>
      </c>
      <c r="FT10" s="55">
        <f>$FT9+$FR10</f>
        <v/>
      </c>
      <c r="FU10" s="55">
        <f>SUMIFS(tblPlant[Raw_Water_m3],tblPlant[Date],$A10)</f>
        <v/>
      </c>
      <c r="FV10" s="55">
        <f>IF($B10=$B9,$FV9,0)+$FU10</f>
        <v/>
      </c>
      <c r="FW10" s="55">
        <f>$FW9+$FU10</f>
        <v/>
      </c>
      <c r="FX10" s="56">
        <f>IFERROR(IF(($CU10)&gt;0,($FI10)/($CU10),""),"")</f>
        <v/>
      </c>
      <c r="FY10" s="56">
        <f>IFERROR(IF(($CV10)&gt;0,($FJ10)/($CV10),""),"")</f>
        <v/>
      </c>
      <c r="FZ10" s="56">
        <f>IFERROR(IF(($CW10)&gt;0,($FK10)/($CW10),""),"")</f>
        <v/>
      </c>
      <c r="GA10" s="56">
        <f>IFERROR(IF(($CU10)&gt;0,($FL10)/($CU10),""),"")</f>
        <v/>
      </c>
      <c r="GB10" s="56">
        <f>IFERROR(IF(($CV10)&gt;0,($FM10)/($CV10),""),"")</f>
        <v/>
      </c>
      <c r="GC10" s="56">
        <f>IFERROR(IF(($CW10)&gt;0,($FN10)/($CW10),""),"")</f>
        <v/>
      </c>
      <c r="GD10" s="56">
        <f>IFERROR(IF(($CU10)&gt;0,($FO10)/($CU10),""),"")</f>
        <v/>
      </c>
      <c r="GE10" s="56">
        <f>IFERROR(IF(($CV10)&gt;0,($FP10)/($CV10),""),"")</f>
        <v/>
      </c>
      <c r="GF10" s="56">
        <f>IFERROR(IF(($CW10)&gt;0,($FQ10)/($CW10),""),"")</f>
        <v/>
      </c>
      <c r="GG10" s="79">
        <f>IFERROR(IF(($CU10)&gt;0,($FR10)/($CU10),""),"")</f>
        <v/>
      </c>
      <c r="GH10" s="79">
        <f>IFERROR(IF(($CV10)&gt;0,($FS10)/($CV10),""),"")</f>
        <v/>
      </c>
      <c r="GI10" s="79">
        <f>IFERROR(IF(($CW10)&gt;0,($FT10)/($CW10),""),"")</f>
        <v/>
      </c>
      <c r="GJ10" s="56">
        <f>IFERROR(IF(($CU10)&gt;0,($FU10)/($CU10),""),"")</f>
        <v/>
      </c>
      <c r="GK10" s="56">
        <f>IFERROR(IF(($CV10)&gt;0,($FV10)/($CV10),""),"")</f>
        <v/>
      </c>
      <c r="GL10" s="56">
        <f>IFERROR(IF(($CW10)&gt;0,($FW10)/($CW10),""),"")</f>
        <v/>
      </c>
      <c r="GM10" s="55">
        <f>IF(SUMIFS(tblPlant[GIC_oz],tblPlant[Date],$A10)&gt;0,SUMIFS(tblPlant[GIC_oz],tblPlant[Date],$A10),"")</f>
        <v/>
      </c>
      <c r="GN10" s="55">
        <f>SUMIFS(tblGold[Gold_oz],tblGold[Date],$A10,tblGold[Type],"Shipment")</f>
        <v/>
      </c>
      <c r="GO10" s="55">
        <f>IF($B10=$B9,$GO9,0)+$GN10</f>
        <v/>
      </c>
      <c r="GP10" s="55">
        <f>$GP9+$GN10</f>
        <v/>
      </c>
      <c r="GQ10" s="55">
        <f>SUMIFS(tblGold[Gold_oz],tblGold[Date],$A10,tblGold[Type],"Sale")</f>
        <v/>
      </c>
      <c r="GR10" s="55">
        <f>IF($B10=$B9,$GR9,0)+$GQ10</f>
        <v/>
      </c>
      <c r="GS10" s="55">
        <f>$GS9+$GQ10</f>
        <v/>
      </c>
      <c r="GT10" s="55">
        <f>SUMIFS(tblGold[Dore_kg],tblGold[Date],$A10,tblGold[Type],"Shipment")</f>
        <v/>
      </c>
      <c r="GU10" s="55">
        <f>IF($B10=$B9,$GU9,0)+$GT10</f>
        <v/>
      </c>
      <c r="GV10" s="55">
        <f>$GV9+$GT10</f>
        <v/>
      </c>
      <c r="GW10" s="57">
        <f>SUMIFS(tblSafety[Hours_Total],tblSafety[Date],$A10)</f>
        <v/>
      </c>
      <c r="GX10" s="57">
        <f>IF($B10=$B9,$GX9,0)+$GW10</f>
        <v/>
      </c>
      <c r="GY10" s="57">
        <f>$GY9+$GW10</f>
        <v/>
      </c>
      <c r="GZ10" s="62">
        <f>SUMIFS(tblSafety[Fatality],tblSafety[Date],$A10)</f>
        <v/>
      </c>
      <c r="HA10" s="62">
        <f>IF($B10=$B9,$HA9,0)+$GZ10</f>
        <v/>
      </c>
      <c r="HB10" s="62">
        <f>$HB9+$GZ10</f>
        <v/>
      </c>
      <c r="HC10" s="62">
        <f>SUMIFS(tblSafety[LTI],tblSafety[Date],$A10)</f>
        <v/>
      </c>
      <c r="HD10" s="62">
        <f>IF($B10=$B9,$HD9,0)+$HC10</f>
        <v/>
      </c>
      <c r="HE10" s="62">
        <f>$HE9+$HC10</f>
        <v/>
      </c>
      <c r="HF10" s="62">
        <f>SUMIFS(tblSafety[RWI],tblSafety[Date],$A10)</f>
        <v/>
      </c>
      <c r="HG10" s="62">
        <f>IF($B10=$B9,$HG9,0)+$HF10</f>
        <v/>
      </c>
      <c r="HH10" s="62">
        <f>$HH9+$HF10</f>
        <v/>
      </c>
      <c r="HI10" s="62">
        <f>SUMIFS(tblSafety[MTI],tblSafety[Date],$A10)</f>
        <v/>
      </c>
      <c r="HJ10" s="62">
        <f>IF($B10=$B9,$HJ9,0)+$HI10</f>
        <v/>
      </c>
      <c r="HK10" s="62">
        <f>$HK9+$HI10</f>
        <v/>
      </c>
      <c r="HL10" s="62">
        <f>SUMIFS(tblSafety[FAI],tblSafety[Date],$A10)</f>
        <v/>
      </c>
      <c r="HM10" s="62">
        <f>IF($B10=$B9,$HM9,0)+$HL10</f>
        <v/>
      </c>
      <c r="HN10" s="62">
        <f>$HN9+$HL10</f>
        <v/>
      </c>
      <c r="HO10" s="62">
        <f>SUMIFS(tblSafety[Recordables],tblSafety[Date],$A10)</f>
        <v/>
      </c>
      <c r="HP10" s="62">
        <f>IF($B10=$B9,$HP9,0)+$HO10</f>
        <v/>
      </c>
      <c r="HQ10" s="62">
        <f>$HQ9+$HO10</f>
        <v/>
      </c>
      <c r="HR10" s="62">
        <f>SUMIFS(tblSafety[Near_Miss],tblSafety[Date],$A10)</f>
        <v/>
      </c>
      <c r="HS10" s="62">
        <f>IF($B10=$B9,$HS9,0)+$HR10</f>
        <v/>
      </c>
      <c r="HT10" s="62">
        <f>$HT9+$HR10</f>
        <v/>
      </c>
      <c r="HU10" s="62">
        <f>SUMIFS(tblSafety[Hazard_Reports],tblSafety[Date],$A10)</f>
        <v/>
      </c>
      <c r="HV10" s="62">
        <f>IF($B10=$B9,$HV9,0)+$HU10</f>
        <v/>
      </c>
      <c r="HW10" s="62">
        <f>$HW9+$HU10</f>
        <v/>
      </c>
      <c r="HX10" s="62">
        <f>SUMIFS(tblSafety[HPI],tblSafety[Date],$A10)</f>
        <v/>
      </c>
      <c r="HY10" s="62">
        <f>IF($B10=$B9,$HY9,0)+$HX10</f>
        <v/>
      </c>
      <c r="HZ10" s="62">
        <f>$HZ9+$HX10</f>
        <v/>
      </c>
      <c r="IA10" s="62">
        <f>SUMIFS(tblSafety[Env_Incidents],tblSafety[Date],$A10)</f>
        <v/>
      </c>
      <c r="IB10" s="62">
        <f>IF($B10=$B9,$IB9,0)+$IA10</f>
        <v/>
      </c>
      <c r="IC10" s="62">
        <f>$IC9+$IA10</f>
        <v/>
      </c>
      <c r="ID10" s="62">
        <f>SUMIFS(tblSafety[Community_Incidents],tblSafety[Date],$A10)</f>
        <v/>
      </c>
      <c r="IE10" s="62">
        <f>IF($B10=$B9,$IE9,0)+$ID10</f>
        <v/>
      </c>
      <c r="IF10" s="62">
        <f>$IF9+$ID10</f>
        <v/>
      </c>
      <c r="IG10" s="62">
        <f>SUMIFS(tblSafety[Vehicle_Incidents],tblSafety[Date],$A10)</f>
        <v/>
      </c>
      <c r="IH10" s="62">
        <f>IF($B10=$B9,$IH9,0)+$IG10</f>
        <v/>
      </c>
      <c r="II10" s="62">
        <f>$II9+$IG10</f>
        <v/>
      </c>
      <c r="IJ10" s="62">
        <f>SUMIFS(tblSafety[Toolbox_Talks],tblSafety[Date],$A10)</f>
        <v/>
      </c>
      <c r="IK10" s="62">
        <f>IF($B10=$B9,$IK9,0)+$IJ10</f>
        <v/>
      </c>
      <c r="IL10" s="62">
        <f>$IL9+$IJ10</f>
        <v/>
      </c>
      <c r="IM10" s="62">
        <f>SUMIFS(tblSafety[Inspections],tblSafety[Date],$A10)</f>
        <v/>
      </c>
      <c r="IN10" s="62">
        <f>IF($B10=$B9,$IN9,0)+$IM10</f>
        <v/>
      </c>
      <c r="IO10" s="62">
        <f>$IO9+$IM10</f>
        <v/>
      </c>
      <c r="IP10" s="56">
        <f>IFERROR((SUMIFS(tblSafety[Recordables],tblSafety[Date],"&gt;="&amp;EDATE($E10,-12),tblSafety[Date],"&lt;="&amp;$A10)+SUMIFS(tblSafetyHistory[Recordables],tblSafetyHistory[Month],"&gt;="&amp;EDATE($E10,-12),tblSafetyHistory[Month],"&lt;"&amp;$E10,tblSafetyHistory[Use],1))/(SUMIFS(tblSafety[Hours_Total],tblSafety[Date],"&gt;="&amp;EDATE($E10,-12),tblSafety[Date],"&lt;="&amp;$A10)+SUMIFS(tblSafetyHistory[Hours_Total],tblSafetyHistory[Month],"&gt;="&amp;EDATE($E10,-12),tblSafetyHistory[Month],"&lt;"&amp;$E10,tblSafetyHistory[Use],1))*cfg_RateBasisHours,"")</f>
        <v/>
      </c>
      <c r="IQ10" s="56">
        <f>IFERROR((SUMIFS(tblSafety[LTI],tblSafety[Date],"&gt;="&amp;EDATE($E10,-12),tblSafety[Date],"&lt;="&amp;$A10)+SUMIFS(tblSafetyHistory[LTI],tblSafetyHistory[Month],"&gt;="&amp;EDATE($E10,-12),tblSafetyHistory[Month],"&lt;"&amp;$E10,tblSafetyHistory[Use],1))/(SUMIFS(tblSafety[Hours_Total],tblSafety[Date],"&gt;="&amp;EDATE($E10,-12),tblSafety[Date],"&lt;="&amp;$A10)+SUMIFS(tblSafetyHistory[Hours_Total],tblSafetyHistory[Month],"&gt;="&amp;EDATE($E10,-12),tblSafetyHistory[Month],"&lt;"&amp;$E10,tblSafetyHistory[Use],1))*cfg_RateBasisHours,"")</f>
        <v/>
      </c>
      <c r="IR10" s="62">
        <f>IF(MAX(N(cfg_PriorLTIDate),_xlfn.MAXIFS(tblSafety[Date],tblSafety[LTI],"&gt;0",tblSafety[Date],"&lt;="&amp;$A10))=0,"",$A10-MAX(N(cfg_PriorLTIDate),_xlfn.MAXIFS(tblSafety[Date],tblSafety[LTI],"&gt;0",tblSafety[Date],"&lt;="&amp;$A10)))</f>
        <v/>
      </c>
      <c r="IS10" s="55">
        <f>SUMIFS(tblBudget[Ore_Mined_t],tblBudget[Month],$E10)</f>
        <v/>
      </c>
      <c r="IT10" s="55">
        <f>$IS10*$C10/$D10</f>
        <v/>
      </c>
      <c r="IU10" s="55">
        <f>SUMIFS(tblBudget[Ore_Mined_t],tblBudget[Month],"&lt;"&amp;$E10)+$IT10</f>
        <v/>
      </c>
      <c r="IV10" s="55">
        <f>SUMIFS(tblBudget[Ore_oz],tblBudget[Month],$E10)</f>
        <v/>
      </c>
      <c r="IW10" s="55">
        <f>$IV10*$C10/$D10</f>
        <v/>
      </c>
      <c r="IX10" s="55">
        <f>SUMIFS(tblBudget[Ore_oz],tblBudget[Month],"&lt;"&amp;$E10)+$IW10</f>
        <v/>
      </c>
      <c r="IY10" s="55">
        <f>SUMIFS(tblBudget[Ore_Mined_t],tblBudget[Month],$E10)</f>
        <v/>
      </c>
      <c r="IZ10" s="55">
        <f>$IY10*$C10/$D10</f>
        <v/>
      </c>
      <c r="JA10" s="55">
        <f>SUMIFS(tblBudget[Ore_Mined_t],tblBudget[Month],"&lt;"&amp;$E10)+$IZ10</f>
        <v/>
      </c>
      <c r="JB10" s="56">
        <f>IFERROR(IF(($IY10)&gt;0,($IV10*cfg_TroyOz)/($IY10),""),"")</f>
        <v/>
      </c>
      <c r="JC10" s="56">
        <f>IFERROR(IF(($IZ10)&gt;0,($IW10*cfg_TroyOz)/($IZ10),""),"")</f>
        <v/>
      </c>
      <c r="JD10" s="56">
        <f>IFERROR(IF(($JA10)&gt;0,($IX10*cfg_TroyOz)/($JA10),""),"")</f>
        <v/>
      </c>
      <c r="JE10" s="55">
        <f>SUMIFS(tblBudget[Waste_t],tblBudget[Month],$E10)</f>
        <v/>
      </c>
      <c r="JF10" s="55">
        <f>$JE10*$C10/$D10</f>
        <v/>
      </c>
      <c r="JG10" s="55">
        <f>SUMIFS(tblBudget[Waste_t],tblBudget[Month],"&lt;"&amp;$E10)+$JF10</f>
        <v/>
      </c>
      <c r="JH10" s="55">
        <f>SUMIFS(tblBudget[TMM_t],tblBudget[Month],$E10)</f>
        <v/>
      </c>
      <c r="JI10" s="55">
        <f>$JH10*$C10/$D10</f>
        <v/>
      </c>
      <c r="JJ10" s="55">
        <f>SUMIFS(tblBudget[TMM_t],tblBudget[Month],"&lt;"&amp;$E10)+$JI10</f>
        <v/>
      </c>
      <c r="JK10" s="56">
        <f>IFERROR(IF(($IS10)&gt;0,($JE10)/($IS10),""),"")</f>
        <v/>
      </c>
      <c r="JL10" s="56">
        <f>IFERROR(IF(($IT10)&gt;0,($JF10)/($IT10),""),"")</f>
        <v/>
      </c>
      <c r="JM10" s="56">
        <f>IFERROR(IF(($IU10)&gt;0,($JG10)/($IU10),""),"")</f>
        <v/>
      </c>
      <c r="JN10" s="55">
        <f>SUMIFS(tblBudget[Drill_m],tblBudget[Month],$E10)</f>
        <v/>
      </c>
      <c r="JO10" s="55">
        <f>$JN10*$C10/$D10</f>
        <v/>
      </c>
      <c r="JP10" s="55">
        <f>SUMIFS(tblBudget[Drill_m],tblBudget[Month],"&lt;"&amp;$E10)+$JO10</f>
        <v/>
      </c>
      <c r="JQ10" s="55">
        <f>SUMIFS(tblBudget[Diesel_L],tblBudget[Month],$E10)</f>
        <v/>
      </c>
      <c r="JR10" s="55">
        <f>$JQ10*$C10/$D10</f>
        <v/>
      </c>
      <c r="JS10" s="55">
        <f>SUMIFS(tblBudget[Diesel_L],tblBudget[Month],"&lt;"&amp;$E10)+$JR10</f>
        <v/>
      </c>
      <c r="JT10" s="55">
        <f>SUMIFS(tblBudget[Milled_t],tblBudget[Month],$E10)</f>
        <v/>
      </c>
      <c r="JU10" s="55">
        <f>$JT10*$C10/$D10</f>
        <v/>
      </c>
      <c r="JV10" s="55">
        <f>SUMIFS(tblBudget[Milled_t],tblBudget[Month],"&lt;"&amp;$E10)+$JU10</f>
        <v/>
      </c>
      <c r="JW10" s="55">
        <f>SUMIFS(tblBudget[Feed_oz],tblBudget[Month],$E10)</f>
        <v/>
      </c>
      <c r="JX10" s="55">
        <f>$JW10*$C10/$D10</f>
        <v/>
      </c>
      <c r="JY10" s="55">
        <f>SUMIFS(tblBudget[Feed_oz],tblBudget[Month],"&lt;"&amp;$E10)+$JX10</f>
        <v/>
      </c>
      <c r="JZ10" s="55">
        <f>SUMIFS(tblBudget[Recovered_oz],tblBudget[Month],$E10)</f>
        <v/>
      </c>
      <c r="KA10" s="55">
        <f>$JZ10*$C10/$D10</f>
        <v/>
      </c>
      <c r="KB10" s="55">
        <f>SUMIFS(tblBudget[Recovered_oz],tblBudget[Month],"&lt;"&amp;$E10)+$KA10</f>
        <v/>
      </c>
      <c r="KC10" s="55">
        <f>SUMIFS(tblBudget[Milled_t],tblBudget[Month],$E10)</f>
        <v/>
      </c>
      <c r="KD10" s="55">
        <f>$KC10*$C10/$D10</f>
        <v/>
      </c>
      <c r="KE10" s="55">
        <f>SUMIFS(tblBudget[Milled_t],tblBudget[Month],"&lt;"&amp;$E10)+$KD10</f>
        <v/>
      </c>
      <c r="KF10" s="55">
        <f>SUMIFS(tblBudget[Feed_oz],tblBudget[Month],$E10)</f>
        <v/>
      </c>
      <c r="KG10" s="55">
        <f>$KF10*$C10/$D10</f>
        <v/>
      </c>
      <c r="KH10" s="55">
        <f>SUMIFS(tblBudget[Feed_oz],tblBudget[Month],"&lt;"&amp;$E10)+$KG10</f>
        <v/>
      </c>
      <c r="KI10" s="56">
        <f>IFERROR(IF(($KC10)&gt;0,($JW10*cfg_TroyOz)/($KC10),""),"")</f>
        <v/>
      </c>
      <c r="KJ10" s="56">
        <f>IFERROR(IF(($KD10)&gt;0,($JX10*cfg_TroyOz)/($KD10),""),"")</f>
        <v/>
      </c>
      <c r="KK10" s="56">
        <f>IFERROR(IF(($KE10)&gt;0,($JY10*cfg_TroyOz)/($KE10),""),"")</f>
        <v/>
      </c>
      <c r="KL10" s="67">
        <f>IFERROR(IF(($KF10)&gt;0,($JZ10)/($KF10),""),"")</f>
        <v/>
      </c>
      <c r="KM10" s="67">
        <f>IFERROR(IF(($KG10)&gt;0,($KA10)/($KG10),""),"")</f>
        <v/>
      </c>
      <c r="KN10" s="67">
        <f>IFERROR(IF(($KH10)&gt;0,($KB10)/($KH10),""),"")</f>
        <v/>
      </c>
      <c r="KO10" s="55">
        <f>SUMIFS(tblBudget[Gold_Poured_oz],tblBudget[Month],$E10)</f>
        <v/>
      </c>
      <c r="KP10" s="55">
        <f>$KO10*$C10/$D10</f>
        <v/>
      </c>
      <c r="KQ10" s="55">
        <f>SUMIFS(tblBudget[Gold_Poured_oz],tblBudget[Month],"&lt;"&amp;$E10)+$KP10</f>
        <v/>
      </c>
      <c r="KR10" s="57">
        <f>SUMIFS(tblBudget[Hours_Worked],tblBudget[Month],$E10)</f>
        <v/>
      </c>
      <c r="KS10" s="57">
        <f>$KR10*$C10/$D10</f>
        <v/>
      </c>
      <c r="KT10" s="57">
        <f>SUMIFS(tblBudget[Hours_Worked],tblBudget[Month],"&lt;"&amp;$E10)+$KS10</f>
        <v/>
      </c>
    </row>
    <row r="11">
      <c r="A11" s="54" t="n">
        <v>46032</v>
      </c>
      <c r="B11">
        <f>MONTH($A11)</f>
        <v/>
      </c>
      <c r="C11">
        <f>DAY($A11)</f>
        <v/>
      </c>
      <c r="D11">
        <f>DAY(EOMONTH($A11,0))</f>
        <v/>
      </c>
      <c r="E11" s="54">
        <f>DATE(YEAR($A11),MONTH($A11),1)</f>
        <v/>
      </c>
      <c r="F11" s="55">
        <f>SUMIFS(tblMovement[Tonnes_t],tblMovement[Date],$A11,tblMovement[Is_Ore],1,tblMovement[Source_Type],"Pit")</f>
        <v/>
      </c>
      <c r="G11" s="55">
        <f>IF($B11=$B10,$G10,0)+$F11</f>
        <v/>
      </c>
      <c r="H11" s="55">
        <f>$H10+$F11</f>
        <v/>
      </c>
      <c r="I11" s="55">
        <f>SUMIFS(tblMovement[Ore_oz],tblMovement[Date],$A11,tblMovement[Source_Type],"Pit")</f>
        <v/>
      </c>
      <c r="J11" s="55">
        <f>IF($B11=$B10,$J10,0)+$I11</f>
        <v/>
      </c>
      <c r="K11" s="55">
        <f>$K10+$I11</f>
        <v/>
      </c>
      <c r="L11" s="55">
        <f>SUMIFS(tblMovement[Tonnes_t],tblMovement[Date],$A11,tblMovement[Is_Ore],1,tblMovement[Source_Type],"Pit",tblMovement[Grade_gpt],"&lt;&gt;")</f>
        <v/>
      </c>
      <c r="M11" s="55">
        <f>IF($B11=$B10,$M10,0)+$L11</f>
        <v/>
      </c>
      <c r="N11" s="55">
        <f>$N10+$L11</f>
        <v/>
      </c>
      <c r="O11" s="56">
        <f>IFERROR(IF(($L11)&gt;0,($I11*cfg_TroyOz)/($L11),""),"")</f>
        <v/>
      </c>
      <c r="P11" s="56">
        <f>IFERROR(IF(($M11)&gt;0,($J11*cfg_TroyOz)/($M11),""),"")</f>
        <v/>
      </c>
      <c r="Q11" s="56">
        <f>IFERROR(IF(($N11)&gt;0,($K11*cfg_TroyOz)/($N11),""),"")</f>
        <v/>
      </c>
      <c r="R11" s="55">
        <f>$F11-$L11</f>
        <v/>
      </c>
      <c r="S11" s="55">
        <f>IF($B11=$B10,$S10,0)+$R11</f>
        <v/>
      </c>
      <c r="T11" s="55">
        <f>$T10+$R11</f>
        <v/>
      </c>
      <c r="U11" s="55">
        <f>SUMIFS(tblMovement[Tonnes_t],tblMovement[Date],$A11,tblMovement[Is_Ore],0,tblMovement[Source_Type],"Pit")</f>
        <v/>
      </c>
      <c r="V11" s="55">
        <f>IF($B11=$B10,$V10,0)+$U11</f>
        <v/>
      </c>
      <c r="W11" s="55">
        <f>$W10+$U11</f>
        <v/>
      </c>
      <c r="X11" s="55">
        <f>$F11+$U11</f>
        <v/>
      </c>
      <c r="Y11" s="55">
        <f>IF($B11=$B10,$Y10,0)+$X11</f>
        <v/>
      </c>
      <c r="Z11" s="55">
        <f>$Z10+$X11</f>
        <v/>
      </c>
      <c r="AA11" s="56">
        <f>IFERROR(IF(($F11)&gt;0,($U11)/($F11),""),"")</f>
        <v/>
      </c>
      <c r="AB11" s="56">
        <f>IFERROR(IF(($G11)&gt;0,($V11)/($G11),""),"")</f>
        <v/>
      </c>
      <c r="AC11" s="56">
        <f>IFERROR(IF(($H11)&gt;0,($W11)/($H11),""),"")</f>
        <v/>
      </c>
      <c r="AD11" s="55">
        <f>SUMIFS(tblMovement[Tonnes_t],tblMovement[Date],$A11,tblMovement[Source_Type],"Stockpile")</f>
        <v/>
      </c>
      <c r="AE11" s="55">
        <f>IF($B11=$B10,$AE10,0)+$AD11</f>
        <v/>
      </c>
      <c r="AF11" s="55">
        <f>$AF10+$AD11</f>
        <v/>
      </c>
      <c r="AG11" s="55">
        <f>SUMIFS(tblMovement[Tonnes_t],tblMovement[Date],$A11)</f>
        <v/>
      </c>
      <c r="AH11" s="55">
        <f>IF($B11=$B10,$AH10,0)+$AG11</f>
        <v/>
      </c>
      <c r="AI11" s="55">
        <f>$AI10+$AG11</f>
        <v/>
      </c>
      <c r="AJ11" s="55">
        <f>$AG11-$X11-$AD11</f>
        <v/>
      </c>
      <c r="AK11" s="55">
        <f>IF($B11=$B10,$AK10,0)+$AJ11</f>
        <v/>
      </c>
      <c r="AL11" s="55">
        <f>$AL10+$AJ11</f>
        <v/>
      </c>
      <c r="AM11" s="55">
        <f>SUMIFS(tblMiningDaily[Drill_m],tblMiningDaily[Date],$A11)</f>
        <v/>
      </c>
      <c r="AN11" s="55">
        <f>IF($B11=$B10,$AN10,0)+$AM11</f>
        <v/>
      </c>
      <c r="AO11" s="55">
        <f>$AO10+$AM11</f>
        <v/>
      </c>
      <c r="AP11" s="55">
        <f>SUMIFS(tblMiningDaily[GC_Drill_m],tblMiningDaily[Date],$A11)</f>
        <v/>
      </c>
      <c r="AQ11" s="55">
        <f>IF($B11=$B10,$AQ10,0)+$AP11</f>
        <v/>
      </c>
      <c r="AR11" s="55">
        <f>$AR10+$AP11</f>
        <v/>
      </c>
      <c r="AS11" s="55">
        <f>SUMIFS(tblMiningDaily[Blast_t],tblMiningDaily[Date],$A11)</f>
        <v/>
      </c>
      <c r="AT11" s="55">
        <f>IF($B11=$B10,$AT10,0)+$AS11</f>
        <v/>
      </c>
      <c r="AU11" s="55">
        <f>$AU10+$AS11</f>
        <v/>
      </c>
      <c r="AV11" s="55">
        <f>SUMIFS(tblMiningDaily[Explosives_kg],tblMiningDaily[Date],$A11)</f>
        <v/>
      </c>
      <c r="AW11" s="55">
        <f>IF($B11=$B10,$AW10,0)+$AV11</f>
        <v/>
      </c>
      <c r="AX11" s="55">
        <f>$AX10+$AV11</f>
        <v/>
      </c>
      <c r="AY11" s="56">
        <f>IFERROR(IF(($AS11)&gt;0,($AV11)/($AS11),""),"")</f>
        <v/>
      </c>
      <c r="AZ11" s="56">
        <f>IFERROR(IF(($AT11)&gt;0,($AW11)/($AT11),""),"")</f>
        <v/>
      </c>
      <c r="BA11" s="56">
        <f>IFERROR(IF(($AU11)&gt;0,($AX11)/($AU11),""),"")</f>
        <v/>
      </c>
      <c r="BB11" s="55">
        <f>SUMIFS(tblMiningDaily[Diesel_L],tblMiningDaily[Date],$A11)</f>
        <v/>
      </c>
      <c r="BC11" s="55">
        <f>IF($B11=$B10,$BC10,0)+$BB11</f>
        <v/>
      </c>
      <c r="BD11" s="55">
        <f>$BD10+$BB11</f>
        <v/>
      </c>
      <c r="BE11" s="55">
        <f>SUMIFS(tblMiningDaily[Dewatering_m3],tblMiningDaily[Date],$A11)</f>
        <v/>
      </c>
      <c r="BF11" s="55">
        <f>IF($B11=$B10,$BF10,0)+$BE11</f>
        <v/>
      </c>
      <c r="BG11" s="55">
        <f>$BG10+$BE11</f>
        <v/>
      </c>
      <c r="BH11" s="57">
        <f>SUMIFS(tblFleet[Calendar_h],tblFleet[Date],$A11,tblFleet[Equipment_Class],"Excavator")</f>
        <v/>
      </c>
      <c r="BI11" s="57">
        <f>IF($B11=$B10,$BI10,0)+$BH11</f>
        <v/>
      </c>
      <c r="BJ11" s="57">
        <f>$BJ10+$BH11</f>
        <v/>
      </c>
      <c r="BK11" s="57">
        <f>SUMIFS(tblFleet[Available_h],tblFleet[Date],$A11,tblFleet[Equipment_Class],"Excavator")</f>
        <v/>
      </c>
      <c r="BL11" s="57">
        <f>IF($B11=$B10,$BL10,0)+$BK11</f>
        <v/>
      </c>
      <c r="BM11" s="57">
        <f>$BM10+$BK11</f>
        <v/>
      </c>
      <c r="BN11" s="57">
        <f>SUMIFS(tblFleet[Operating_h],tblFleet[Date],$A11,tblFleet[Equipment_Class],"Excavator")</f>
        <v/>
      </c>
      <c r="BO11" s="57">
        <f>IF($B11=$B10,$BO10,0)+$BN11</f>
        <v/>
      </c>
      <c r="BP11" s="57">
        <f>$BP10+$BN11</f>
        <v/>
      </c>
      <c r="BQ11" s="67">
        <f>IFERROR(IF(($BH11)&gt;0,($BK11)/($BH11),""),"")</f>
        <v/>
      </c>
      <c r="BR11" s="67">
        <f>IFERROR(IF(($BI11)&gt;0,($BL11)/($BI11),""),"")</f>
        <v/>
      </c>
      <c r="BS11" s="67">
        <f>IFERROR(IF(($BJ11)&gt;0,($BM11)/($BJ11),""),"")</f>
        <v/>
      </c>
      <c r="BT11" s="67">
        <f>IFERROR(IF(($BK11)&gt;0,($BN11)/($BK11),""),"")</f>
        <v/>
      </c>
      <c r="BU11" s="67">
        <f>IFERROR(IF(($BL11)&gt;0,($BO11)/($BL11),""),"")</f>
        <v/>
      </c>
      <c r="BV11" s="67">
        <f>IFERROR(IF(($BM11)&gt;0,($BP11)/($BM11),""),"")</f>
        <v/>
      </c>
      <c r="BW11" s="57">
        <f>SUMIFS(tblFleet[Calendar_h],tblFleet[Date],$A11,tblFleet[Equipment_Class],"Haul Truck")</f>
        <v/>
      </c>
      <c r="BX11" s="57">
        <f>IF($B11=$B10,$BX10,0)+$BW11</f>
        <v/>
      </c>
      <c r="BY11" s="57">
        <f>$BY10+$BW11</f>
        <v/>
      </c>
      <c r="BZ11" s="57">
        <f>SUMIFS(tblFleet[Available_h],tblFleet[Date],$A11,tblFleet[Equipment_Class],"Haul Truck")</f>
        <v/>
      </c>
      <c r="CA11" s="57">
        <f>IF($B11=$B10,$CA10,0)+$BZ11</f>
        <v/>
      </c>
      <c r="CB11" s="57">
        <f>$CB10+$BZ11</f>
        <v/>
      </c>
      <c r="CC11" s="57">
        <f>SUMIFS(tblFleet[Operating_h],tblFleet[Date],$A11,tblFleet[Equipment_Class],"Haul Truck")</f>
        <v/>
      </c>
      <c r="CD11" s="57">
        <f>IF($B11=$B10,$CD10,0)+$CC11</f>
        <v/>
      </c>
      <c r="CE11" s="57">
        <f>$CE10+$CC11</f>
        <v/>
      </c>
      <c r="CF11" s="67">
        <f>IFERROR(IF(($BW11)&gt;0,($BZ11)/($BW11),""),"")</f>
        <v/>
      </c>
      <c r="CG11" s="67">
        <f>IFERROR(IF(($BX11)&gt;0,($CA11)/($BX11),""),"")</f>
        <v/>
      </c>
      <c r="CH11" s="67">
        <f>IFERROR(IF(($BY11)&gt;0,($CB11)/($BY11),""),"")</f>
        <v/>
      </c>
      <c r="CI11" s="67">
        <f>IFERROR(IF(($BZ11)&gt;0,($CC11)/($BZ11),""),"")</f>
        <v/>
      </c>
      <c r="CJ11" s="67">
        <f>IFERROR(IF(($CA11)&gt;0,($CD11)/($CA11),""),"")</f>
        <v/>
      </c>
      <c r="CK11" s="67">
        <f>IFERROR(IF(($CB11)&gt;0,($CE11)/($CB11),""),"")</f>
        <v/>
      </c>
      <c r="CL11" s="55">
        <f>IFERROR(IF(($BN11)&gt;0,($X11+$AD11)/($BN11),""),"")</f>
        <v/>
      </c>
      <c r="CM11" s="55">
        <f>IFERROR(IF(($BO11)&gt;0,($Y11+$AE11)/($BO11),""),"")</f>
        <v/>
      </c>
      <c r="CN11" s="55">
        <f>IFERROR(IF(($BP11)&gt;0,($Z11+$AF11)/($BP11),""),"")</f>
        <v/>
      </c>
      <c r="CO11" s="55">
        <f>IFERROR(IF(($CC11)&gt;0,($X11+$AD11)/($CC11),""),"")</f>
        <v/>
      </c>
      <c r="CP11" s="55">
        <f>IFERROR(IF(($CD11)&gt;0,($Y11+$AE11)/($CD11),""),"")</f>
        <v/>
      </c>
      <c r="CQ11" s="55">
        <f>IFERROR(IF(($CE11)&gt;0,($Z11+$AF11)/($CE11),""),"")</f>
        <v/>
      </c>
      <c r="CR11" s="55">
        <f>SUMIFS(tblPlant[Crushed_t],tblPlant[Date],$A11)</f>
        <v/>
      </c>
      <c r="CS11" s="55">
        <f>IF($B11=$B10,$CS10,0)+$CR11</f>
        <v/>
      </c>
      <c r="CT11" s="55">
        <f>$CT10+$CR11</f>
        <v/>
      </c>
      <c r="CU11" s="55">
        <f>SUMIFS(tblPlant[Milled_t],tblPlant[Date],$A11)</f>
        <v/>
      </c>
      <c r="CV11" s="55">
        <f>IF($B11=$B10,$CV10,0)+$CU11</f>
        <v/>
      </c>
      <c r="CW11" s="55">
        <f>$CW10+$CU11</f>
        <v/>
      </c>
      <c r="CX11" s="55">
        <f>SUMIFS(tblPlant[Feed_oz],tblPlant[Date],$A11)</f>
        <v/>
      </c>
      <c r="CY11" s="55">
        <f>IF($B11=$B10,$CY10,0)+$CX11</f>
        <v/>
      </c>
      <c r="CZ11" s="55">
        <f>$CZ10+$CX11</f>
        <v/>
      </c>
      <c r="DA11" s="55">
        <f>SUMIFS(tblPlant[Tails_oz],tblPlant[Date],$A11)</f>
        <v/>
      </c>
      <c r="DB11" s="55">
        <f>IF($B11=$B10,$DB10,0)+$DA11</f>
        <v/>
      </c>
      <c r="DC11" s="55">
        <f>$DC10+$DA11</f>
        <v/>
      </c>
      <c r="DD11" s="55">
        <f>SUMIFS(tblPlant[Recovered_oz],tblPlant[Date],$A11)</f>
        <v/>
      </c>
      <c r="DE11" s="55">
        <f>IF($B11=$B10,$DE10,0)+$DD11</f>
        <v/>
      </c>
      <c r="DF11" s="55">
        <f>$DF10+$DD11</f>
        <v/>
      </c>
      <c r="DG11" s="55">
        <f>SUMIFS(tblPlant[Milled_t],tblPlant[Date],$A11,tblPlant[Head_Grade_gpt],"&lt;&gt;")</f>
        <v/>
      </c>
      <c r="DH11" s="55">
        <f>IF($B11=$B10,$DH10,0)+$DG11</f>
        <v/>
      </c>
      <c r="DI11" s="55">
        <f>$DI10+$DG11</f>
        <v/>
      </c>
      <c r="DJ11" s="55">
        <f>SUMIFS(tblPlant[Milled_t],tblPlant[Date],$A11,tblPlant[Tails_Grade_gpt],"&lt;&gt;")</f>
        <v/>
      </c>
      <c r="DK11" s="55">
        <f>IF($B11=$B10,$DK10,0)+$DJ11</f>
        <v/>
      </c>
      <c r="DL11" s="55">
        <f>$DL10+$DJ11</f>
        <v/>
      </c>
      <c r="DM11" s="55">
        <f>SUMIFS(tblPlant[Feed_oz],tblPlant[Date],$A11,tblPlant[Tails_Grade_gpt],"&lt;&gt;")</f>
        <v/>
      </c>
      <c r="DN11" s="55">
        <f>IF($B11=$B10,$DN10,0)+$DM11</f>
        <v/>
      </c>
      <c r="DO11" s="55">
        <f>$DO10+$DM11</f>
        <v/>
      </c>
      <c r="DP11" s="55">
        <f>SUMIFS(tblPlant[Milled_t],tblPlant[Date],$A11,tblPlant[Mill_Run_h],"&lt;&gt;")</f>
        <v/>
      </c>
      <c r="DQ11" s="55">
        <f>IF($B11=$B10,$DQ10,0)+$DP11</f>
        <v/>
      </c>
      <c r="DR11" s="55">
        <f>$DR10+$DP11</f>
        <v/>
      </c>
      <c r="DS11" s="56">
        <f>IFERROR(IF(($DG11)&gt;0,($CX11*cfg_TroyOz)/($DG11),""),"")</f>
        <v/>
      </c>
      <c r="DT11" s="56">
        <f>IFERROR(IF(($DH11)&gt;0,($CY11*cfg_TroyOz)/($DH11),""),"")</f>
        <v/>
      </c>
      <c r="DU11" s="56">
        <f>IFERROR(IF(($DI11)&gt;0,($CZ11*cfg_TroyOz)/($DI11),""),"")</f>
        <v/>
      </c>
      <c r="DV11" s="56">
        <f>IFERROR(IF(($DJ11)&gt;0,($DA11*cfg_TroyOz)/($DJ11),""),"")</f>
        <v/>
      </c>
      <c r="DW11" s="56">
        <f>IFERROR(IF(($DK11)&gt;0,($DB11*cfg_TroyOz)/($DK11),""),"")</f>
        <v/>
      </c>
      <c r="DX11" s="56">
        <f>IFERROR(IF(($DL11)&gt;0,($DC11*cfg_TroyOz)/($DL11),""),"")</f>
        <v/>
      </c>
      <c r="DY11" s="67">
        <f>IFERROR(IF(($DM11)&gt;0,($DD11)/($DM11),""),"")</f>
        <v/>
      </c>
      <c r="DZ11" s="67">
        <f>IFERROR(IF(($DN11)&gt;0,($DE11)/($DN11),""),"")</f>
        <v/>
      </c>
      <c r="EA11" s="67">
        <f>IFERROR(IF(($DO11)&gt;0,($DF11)/($DO11),""),"")</f>
        <v/>
      </c>
      <c r="EB11" s="55">
        <f>SUMIFS(tblPlant[Gravity_Gold_oz],tblPlant[Date],$A11)</f>
        <v/>
      </c>
      <c r="EC11" s="55">
        <f>IF($B11=$B10,$EC10,0)+$EB11</f>
        <v/>
      </c>
      <c r="ED11" s="55">
        <f>$ED10+$EB11</f>
        <v/>
      </c>
      <c r="EE11" s="67">
        <f>IFERROR(IF(($DD11)&gt;0,($EB11)/($DD11),""),"")</f>
        <v/>
      </c>
      <c r="EF11" s="67">
        <f>IFERROR(IF(($DE11)&gt;0,($EC11)/($DE11),""),"")</f>
        <v/>
      </c>
      <c r="EG11" s="67">
        <f>IFERROR(IF(($DF11)&gt;0,($ED11)/($DF11),""),"")</f>
        <v/>
      </c>
      <c r="EH11" s="55">
        <f>SUMIFS(tblPlant[Gold_Poured_oz],tblPlant[Date],$A11)</f>
        <v/>
      </c>
      <c r="EI11" s="55">
        <f>IF($B11=$B10,$EI10,0)+$EH11</f>
        <v/>
      </c>
      <c r="EJ11" s="55">
        <f>$EJ10+$EH11</f>
        <v/>
      </c>
      <c r="EK11" s="57">
        <f>SUMIFS(tblPlant[Mill_Run_h],tblPlant[Date],$A11)</f>
        <v/>
      </c>
      <c r="EL11" s="57">
        <f>IF($B11=$B10,$EL10,0)+$EK11</f>
        <v/>
      </c>
      <c r="EM11" s="57">
        <f>$EM10+$EK11</f>
        <v/>
      </c>
      <c r="EN11" s="57">
        <f>SUMIFS(tblPlant[Mill_Planned_Maint_h],tblPlant[Date],$A11)</f>
        <v/>
      </c>
      <c r="EO11" s="57">
        <f>IF($B11=$B10,$EO10,0)+$EN11</f>
        <v/>
      </c>
      <c r="EP11" s="57">
        <f>$EP10+$EN11</f>
        <v/>
      </c>
      <c r="EQ11" s="57">
        <f>SUMIFS(tblPlant[Mill_Unplanned_Down_h],tblPlant[Date],$A11)</f>
        <v/>
      </c>
      <c r="ER11" s="57">
        <f>IF($B11=$B10,$ER10,0)+$EQ11</f>
        <v/>
      </c>
      <c r="ES11" s="57">
        <f>$ES10+$EQ11</f>
        <v/>
      </c>
      <c r="ET11" s="57">
        <f>IF(COUNTIFS(tblPlant[Date],$A11,tblPlant[Mill_Run_h],"&lt;&gt;")+COUNTIFS(tblPlant[Date],$A11,tblPlant[Mill_Planned_Maint_h],"&lt;&gt;")+COUNTIFS(tblPlant[Date],$A11,tblPlant[Mill_Unplanned_Down_h],"&lt;&gt;")&gt;0,cfg_HoursPerDay,0)</f>
        <v/>
      </c>
      <c r="EU11" s="57">
        <f>IF($B11=$B10,$EU10,0)+$ET11</f>
        <v/>
      </c>
      <c r="EV11" s="57">
        <f>$EV10+$ET11</f>
        <v/>
      </c>
      <c r="EW11" s="57">
        <f>SUMIFS(tblPlant[Crusher_Run_h],tblPlant[Date],$A11)</f>
        <v/>
      </c>
      <c r="EX11" s="57">
        <f>IF($B11=$B10,$EX10,0)+$EW11</f>
        <v/>
      </c>
      <c r="EY11" s="57">
        <f>$EY10+$EW11</f>
        <v/>
      </c>
      <c r="EZ11" s="55">
        <f>IFERROR(IF(($EK11)&gt;0,($DP11)/($EK11),""),"")</f>
        <v/>
      </c>
      <c r="FA11" s="55">
        <f>IFERROR(IF(($EL11)&gt;0,($DQ11)/($EL11),""),"")</f>
        <v/>
      </c>
      <c r="FB11" s="55">
        <f>IFERROR(IF(($EM11)&gt;0,($DR11)/($EM11),""),"")</f>
        <v/>
      </c>
      <c r="FC11" s="67">
        <f>IFERROR(IF(($ET11)&gt;0,($ET11-$EN11-$EQ11)/($ET11),""),"")</f>
        <v/>
      </c>
      <c r="FD11" s="67">
        <f>IFERROR(IF(($EU11)&gt;0,($EU11-$EO11-$ER11)/($EU11),""),"")</f>
        <v/>
      </c>
      <c r="FE11" s="67">
        <f>IFERROR(IF(($EV11)&gt;0,($EV11-$EP11-$ES11)/($EV11),""),"")</f>
        <v/>
      </c>
      <c r="FF11" s="67">
        <f>IFERROR(IF(($ET11-$EN11-$EQ11)&gt;0,($EK11)/($ET11-$EN11-$EQ11),""),"")</f>
        <v/>
      </c>
      <c r="FG11" s="67">
        <f>IFERROR(IF(($EU11-$EO11-$ER11)&gt;0,($EL11)/($EU11-$EO11-$ER11),""),"")</f>
        <v/>
      </c>
      <c r="FH11" s="67">
        <f>IFERROR(IF(($EV11-$EP11-$ES11)&gt;0,($EM11)/($EV11-$EP11-$ES11),""),"")</f>
        <v/>
      </c>
      <c r="FI11" s="55">
        <f>SUMIFS(tblPlant[Cyanide_kg],tblPlant[Date],$A11)</f>
        <v/>
      </c>
      <c r="FJ11" s="55">
        <f>IF($B11=$B10,$FJ10,0)+$FI11</f>
        <v/>
      </c>
      <c r="FK11" s="55">
        <f>$FK10+$FI11</f>
        <v/>
      </c>
      <c r="FL11" s="55">
        <f>SUMIFS(tblPlant[Lime_kg],tblPlant[Date],$A11)</f>
        <v/>
      </c>
      <c r="FM11" s="55">
        <f>IF($B11=$B10,$FM10,0)+$FL11</f>
        <v/>
      </c>
      <c r="FN11" s="55">
        <f>$FN10+$FL11</f>
        <v/>
      </c>
      <c r="FO11" s="55">
        <f>SUMIFS(tblPlant[Grinding_Media_kg],tblPlant[Date],$A11)</f>
        <v/>
      </c>
      <c r="FP11" s="55">
        <f>IF($B11=$B10,$FP10,0)+$FO11</f>
        <v/>
      </c>
      <c r="FQ11" s="55">
        <f>$FQ10+$FO11</f>
        <v/>
      </c>
      <c r="FR11" s="55">
        <f>SUMIFS(tblPlant[Power_kWh],tblPlant[Date],$A11)</f>
        <v/>
      </c>
      <c r="FS11" s="55">
        <f>IF($B11=$B10,$FS10,0)+$FR11</f>
        <v/>
      </c>
      <c r="FT11" s="55">
        <f>$FT10+$FR11</f>
        <v/>
      </c>
      <c r="FU11" s="55">
        <f>SUMIFS(tblPlant[Raw_Water_m3],tblPlant[Date],$A11)</f>
        <v/>
      </c>
      <c r="FV11" s="55">
        <f>IF($B11=$B10,$FV10,0)+$FU11</f>
        <v/>
      </c>
      <c r="FW11" s="55">
        <f>$FW10+$FU11</f>
        <v/>
      </c>
      <c r="FX11" s="56">
        <f>IFERROR(IF(($CU11)&gt;0,($FI11)/($CU11),""),"")</f>
        <v/>
      </c>
      <c r="FY11" s="56">
        <f>IFERROR(IF(($CV11)&gt;0,($FJ11)/($CV11),""),"")</f>
        <v/>
      </c>
      <c r="FZ11" s="56">
        <f>IFERROR(IF(($CW11)&gt;0,($FK11)/($CW11),""),"")</f>
        <v/>
      </c>
      <c r="GA11" s="56">
        <f>IFERROR(IF(($CU11)&gt;0,($FL11)/($CU11),""),"")</f>
        <v/>
      </c>
      <c r="GB11" s="56">
        <f>IFERROR(IF(($CV11)&gt;0,($FM11)/($CV11),""),"")</f>
        <v/>
      </c>
      <c r="GC11" s="56">
        <f>IFERROR(IF(($CW11)&gt;0,($FN11)/($CW11),""),"")</f>
        <v/>
      </c>
      <c r="GD11" s="56">
        <f>IFERROR(IF(($CU11)&gt;0,($FO11)/($CU11),""),"")</f>
        <v/>
      </c>
      <c r="GE11" s="56">
        <f>IFERROR(IF(($CV11)&gt;0,($FP11)/($CV11),""),"")</f>
        <v/>
      </c>
      <c r="GF11" s="56">
        <f>IFERROR(IF(($CW11)&gt;0,($FQ11)/($CW11),""),"")</f>
        <v/>
      </c>
      <c r="GG11" s="79">
        <f>IFERROR(IF(($CU11)&gt;0,($FR11)/($CU11),""),"")</f>
        <v/>
      </c>
      <c r="GH11" s="79">
        <f>IFERROR(IF(($CV11)&gt;0,($FS11)/($CV11),""),"")</f>
        <v/>
      </c>
      <c r="GI11" s="79">
        <f>IFERROR(IF(($CW11)&gt;0,($FT11)/($CW11),""),"")</f>
        <v/>
      </c>
      <c r="GJ11" s="56">
        <f>IFERROR(IF(($CU11)&gt;0,($FU11)/($CU11),""),"")</f>
        <v/>
      </c>
      <c r="GK11" s="56">
        <f>IFERROR(IF(($CV11)&gt;0,($FV11)/($CV11),""),"")</f>
        <v/>
      </c>
      <c r="GL11" s="56">
        <f>IFERROR(IF(($CW11)&gt;0,($FW11)/($CW11),""),"")</f>
        <v/>
      </c>
      <c r="GM11" s="55">
        <f>IF(SUMIFS(tblPlant[GIC_oz],tblPlant[Date],$A11)&gt;0,SUMIFS(tblPlant[GIC_oz],tblPlant[Date],$A11),"")</f>
        <v/>
      </c>
      <c r="GN11" s="55">
        <f>SUMIFS(tblGold[Gold_oz],tblGold[Date],$A11,tblGold[Type],"Shipment")</f>
        <v/>
      </c>
      <c r="GO11" s="55">
        <f>IF($B11=$B10,$GO10,0)+$GN11</f>
        <v/>
      </c>
      <c r="GP11" s="55">
        <f>$GP10+$GN11</f>
        <v/>
      </c>
      <c r="GQ11" s="55">
        <f>SUMIFS(tblGold[Gold_oz],tblGold[Date],$A11,tblGold[Type],"Sale")</f>
        <v/>
      </c>
      <c r="GR11" s="55">
        <f>IF($B11=$B10,$GR10,0)+$GQ11</f>
        <v/>
      </c>
      <c r="GS11" s="55">
        <f>$GS10+$GQ11</f>
        <v/>
      </c>
      <c r="GT11" s="55">
        <f>SUMIFS(tblGold[Dore_kg],tblGold[Date],$A11,tblGold[Type],"Shipment")</f>
        <v/>
      </c>
      <c r="GU11" s="55">
        <f>IF($B11=$B10,$GU10,0)+$GT11</f>
        <v/>
      </c>
      <c r="GV11" s="55">
        <f>$GV10+$GT11</f>
        <v/>
      </c>
      <c r="GW11" s="57">
        <f>SUMIFS(tblSafety[Hours_Total],tblSafety[Date],$A11)</f>
        <v/>
      </c>
      <c r="GX11" s="57">
        <f>IF($B11=$B10,$GX10,0)+$GW11</f>
        <v/>
      </c>
      <c r="GY11" s="57">
        <f>$GY10+$GW11</f>
        <v/>
      </c>
      <c r="GZ11" s="62">
        <f>SUMIFS(tblSafety[Fatality],tblSafety[Date],$A11)</f>
        <v/>
      </c>
      <c r="HA11" s="62">
        <f>IF($B11=$B10,$HA10,0)+$GZ11</f>
        <v/>
      </c>
      <c r="HB11" s="62">
        <f>$HB10+$GZ11</f>
        <v/>
      </c>
      <c r="HC11" s="62">
        <f>SUMIFS(tblSafety[LTI],tblSafety[Date],$A11)</f>
        <v/>
      </c>
      <c r="HD11" s="62">
        <f>IF($B11=$B10,$HD10,0)+$HC11</f>
        <v/>
      </c>
      <c r="HE11" s="62">
        <f>$HE10+$HC11</f>
        <v/>
      </c>
      <c r="HF11" s="62">
        <f>SUMIFS(tblSafety[RWI],tblSafety[Date],$A11)</f>
        <v/>
      </c>
      <c r="HG11" s="62">
        <f>IF($B11=$B10,$HG10,0)+$HF11</f>
        <v/>
      </c>
      <c r="HH11" s="62">
        <f>$HH10+$HF11</f>
        <v/>
      </c>
      <c r="HI11" s="62">
        <f>SUMIFS(tblSafety[MTI],tblSafety[Date],$A11)</f>
        <v/>
      </c>
      <c r="HJ11" s="62">
        <f>IF($B11=$B10,$HJ10,0)+$HI11</f>
        <v/>
      </c>
      <c r="HK11" s="62">
        <f>$HK10+$HI11</f>
        <v/>
      </c>
      <c r="HL11" s="62">
        <f>SUMIFS(tblSafety[FAI],tblSafety[Date],$A11)</f>
        <v/>
      </c>
      <c r="HM11" s="62">
        <f>IF($B11=$B10,$HM10,0)+$HL11</f>
        <v/>
      </c>
      <c r="HN11" s="62">
        <f>$HN10+$HL11</f>
        <v/>
      </c>
      <c r="HO11" s="62">
        <f>SUMIFS(tblSafety[Recordables],tblSafety[Date],$A11)</f>
        <v/>
      </c>
      <c r="HP11" s="62">
        <f>IF($B11=$B10,$HP10,0)+$HO11</f>
        <v/>
      </c>
      <c r="HQ11" s="62">
        <f>$HQ10+$HO11</f>
        <v/>
      </c>
      <c r="HR11" s="62">
        <f>SUMIFS(tblSafety[Near_Miss],tblSafety[Date],$A11)</f>
        <v/>
      </c>
      <c r="HS11" s="62">
        <f>IF($B11=$B10,$HS10,0)+$HR11</f>
        <v/>
      </c>
      <c r="HT11" s="62">
        <f>$HT10+$HR11</f>
        <v/>
      </c>
      <c r="HU11" s="62">
        <f>SUMIFS(tblSafety[Hazard_Reports],tblSafety[Date],$A11)</f>
        <v/>
      </c>
      <c r="HV11" s="62">
        <f>IF($B11=$B10,$HV10,0)+$HU11</f>
        <v/>
      </c>
      <c r="HW11" s="62">
        <f>$HW10+$HU11</f>
        <v/>
      </c>
      <c r="HX11" s="62">
        <f>SUMIFS(tblSafety[HPI],tblSafety[Date],$A11)</f>
        <v/>
      </c>
      <c r="HY11" s="62">
        <f>IF($B11=$B10,$HY10,0)+$HX11</f>
        <v/>
      </c>
      <c r="HZ11" s="62">
        <f>$HZ10+$HX11</f>
        <v/>
      </c>
      <c r="IA11" s="62">
        <f>SUMIFS(tblSafety[Env_Incidents],tblSafety[Date],$A11)</f>
        <v/>
      </c>
      <c r="IB11" s="62">
        <f>IF($B11=$B10,$IB10,0)+$IA11</f>
        <v/>
      </c>
      <c r="IC11" s="62">
        <f>$IC10+$IA11</f>
        <v/>
      </c>
      <c r="ID11" s="62">
        <f>SUMIFS(tblSafety[Community_Incidents],tblSafety[Date],$A11)</f>
        <v/>
      </c>
      <c r="IE11" s="62">
        <f>IF($B11=$B10,$IE10,0)+$ID11</f>
        <v/>
      </c>
      <c r="IF11" s="62">
        <f>$IF10+$ID11</f>
        <v/>
      </c>
      <c r="IG11" s="62">
        <f>SUMIFS(tblSafety[Vehicle_Incidents],tblSafety[Date],$A11)</f>
        <v/>
      </c>
      <c r="IH11" s="62">
        <f>IF($B11=$B10,$IH10,0)+$IG11</f>
        <v/>
      </c>
      <c r="II11" s="62">
        <f>$II10+$IG11</f>
        <v/>
      </c>
      <c r="IJ11" s="62">
        <f>SUMIFS(tblSafety[Toolbox_Talks],tblSafety[Date],$A11)</f>
        <v/>
      </c>
      <c r="IK11" s="62">
        <f>IF($B11=$B10,$IK10,0)+$IJ11</f>
        <v/>
      </c>
      <c r="IL11" s="62">
        <f>$IL10+$IJ11</f>
        <v/>
      </c>
      <c r="IM11" s="62">
        <f>SUMIFS(tblSafety[Inspections],tblSafety[Date],$A11)</f>
        <v/>
      </c>
      <c r="IN11" s="62">
        <f>IF($B11=$B10,$IN10,0)+$IM11</f>
        <v/>
      </c>
      <c r="IO11" s="62">
        <f>$IO10+$IM11</f>
        <v/>
      </c>
      <c r="IP11" s="56">
        <f>IFERROR((SUMIFS(tblSafety[Recordables],tblSafety[Date],"&gt;="&amp;EDATE($E11,-12),tblSafety[Date],"&lt;="&amp;$A11)+SUMIFS(tblSafetyHistory[Recordables],tblSafetyHistory[Month],"&gt;="&amp;EDATE($E11,-12),tblSafetyHistory[Month],"&lt;"&amp;$E11,tblSafetyHistory[Use],1))/(SUMIFS(tblSafety[Hours_Total],tblSafety[Date],"&gt;="&amp;EDATE($E11,-12),tblSafety[Date],"&lt;="&amp;$A11)+SUMIFS(tblSafetyHistory[Hours_Total],tblSafetyHistory[Month],"&gt;="&amp;EDATE($E11,-12),tblSafetyHistory[Month],"&lt;"&amp;$E11,tblSafetyHistory[Use],1))*cfg_RateBasisHours,"")</f>
        <v/>
      </c>
      <c r="IQ11" s="56">
        <f>IFERROR((SUMIFS(tblSafety[LTI],tblSafety[Date],"&gt;="&amp;EDATE($E11,-12),tblSafety[Date],"&lt;="&amp;$A11)+SUMIFS(tblSafetyHistory[LTI],tblSafetyHistory[Month],"&gt;="&amp;EDATE($E11,-12),tblSafetyHistory[Month],"&lt;"&amp;$E11,tblSafetyHistory[Use],1))/(SUMIFS(tblSafety[Hours_Total],tblSafety[Date],"&gt;="&amp;EDATE($E11,-12),tblSafety[Date],"&lt;="&amp;$A11)+SUMIFS(tblSafetyHistory[Hours_Total],tblSafetyHistory[Month],"&gt;="&amp;EDATE($E11,-12),tblSafetyHistory[Month],"&lt;"&amp;$E11,tblSafetyHistory[Use],1))*cfg_RateBasisHours,"")</f>
        <v/>
      </c>
      <c r="IR11" s="62">
        <f>IF(MAX(N(cfg_PriorLTIDate),_xlfn.MAXIFS(tblSafety[Date],tblSafety[LTI],"&gt;0",tblSafety[Date],"&lt;="&amp;$A11))=0,"",$A11-MAX(N(cfg_PriorLTIDate),_xlfn.MAXIFS(tblSafety[Date],tblSafety[LTI],"&gt;0",tblSafety[Date],"&lt;="&amp;$A11)))</f>
        <v/>
      </c>
      <c r="IS11" s="55">
        <f>SUMIFS(tblBudget[Ore_Mined_t],tblBudget[Month],$E11)</f>
        <v/>
      </c>
      <c r="IT11" s="55">
        <f>$IS11*$C11/$D11</f>
        <v/>
      </c>
      <c r="IU11" s="55">
        <f>SUMIFS(tblBudget[Ore_Mined_t],tblBudget[Month],"&lt;"&amp;$E11)+$IT11</f>
        <v/>
      </c>
      <c r="IV11" s="55">
        <f>SUMIFS(tblBudget[Ore_oz],tblBudget[Month],$E11)</f>
        <v/>
      </c>
      <c r="IW11" s="55">
        <f>$IV11*$C11/$D11</f>
        <v/>
      </c>
      <c r="IX11" s="55">
        <f>SUMIFS(tblBudget[Ore_oz],tblBudget[Month],"&lt;"&amp;$E11)+$IW11</f>
        <v/>
      </c>
      <c r="IY11" s="55">
        <f>SUMIFS(tblBudget[Ore_Mined_t],tblBudget[Month],$E11)</f>
        <v/>
      </c>
      <c r="IZ11" s="55">
        <f>$IY11*$C11/$D11</f>
        <v/>
      </c>
      <c r="JA11" s="55">
        <f>SUMIFS(tblBudget[Ore_Mined_t],tblBudget[Month],"&lt;"&amp;$E11)+$IZ11</f>
        <v/>
      </c>
      <c r="JB11" s="56">
        <f>IFERROR(IF(($IY11)&gt;0,($IV11*cfg_TroyOz)/($IY11),""),"")</f>
        <v/>
      </c>
      <c r="JC11" s="56">
        <f>IFERROR(IF(($IZ11)&gt;0,($IW11*cfg_TroyOz)/($IZ11),""),"")</f>
        <v/>
      </c>
      <c r="JD11" s="56">
        <f>IFERROR(IF(($JA11)&gt;0,($IX11*cfg_TroyOz)/($JA11),""),"")</f>
        <v/>
      </c>
      <c r="JE11" s="55">
        <f>SUMIFS(tblBudget[Waste_t],tblBudget[Month],$E11)</f>
        <v/>
      </c>
      <c r="JF11" s="55">
        <f>$JE11*$C11/$D11</f>
        <v/>
      </c>
      <c r="JG11" s="55">
        <f>SUMIFS(tblBudget[Waste_t],tblBudget[Month],"&lt;"&amp;$E11)+$JF11</f>
        <v/>
      </c>
      <c r="JH11" s="55">
        <f>SUMIFS(tblBudget[TMM_t],tblBudget[Month],$E11)</f>
        <v/>
      </c>
      <c r="JI11" s="55">
        <f>$JH11*$C11/$D11</f>
        <v/>
      </c>
      <c r="JJ11" s="55">
        <f>SUMIFS(tblBudget[TMM_t],tblBudget[Month],"&lt;"&amp;$E11)+$JI11</f>
        <v/>
      </c>
      <c r="JK11" s="56">
        <f>IFERROR(IF(($IS11)&gt;0,($JE11)/($IS11),""),"")</f>
        <v/>
      </c>
      <c r="JL11" s="56">
        <f>IFERROR(IF(($IT11)&gt;0,($JF11)/($IT11),""),"")</f>
        <v/>
      </c>
      <c r="JM11" s="56">
        <f>IFERROR(IF(($IU11)&gt;0,($JG11)/($IU11),""),"")</f>
        <v/>
      </c>
      <c r="JN11" s="55">
        <f>SUMIFS(tblBudget[Drill_m],tblBudget[Month],$E11)</f>
        <v/>
      </c>
      <c r="JO11" s="55">
        <f>$JN11*$C11/$D11</f>
        <v/>
      </c>
      <c r="JP11" s="55">
        <f>SUMIFS(tblBudget[Drill_m],tblBudget[Month],"&lt;"&amp;$E11)+$JO11</f>
        <v/>
      </c>
      <c r="JQ11" s="55">
        <f>SUMIFS(tblBudget[Diesel_L],tblBudget[Month],$E11)</f>
        <v/>
      </c>
      <c r="JR11" s="55">
        <f>$JQ11*$C11/$D11</f>
        <v/>
      </c>
      <c r="JS11" s="55">
        <f>SUMIFS(tblBudget[Diesel_L],tblBudget[Month],"&lt;"&amp;$E11)+$JR11</f>
        <v/>
      </c>
      <c r="JT11" s="55">
        <f>SUMIFS(tblBudget[Milled_t],tblBudget[Month],$E11)</f>
        <v/>
      </c>
      <c r="JU11" s="55">
        <f>$JT11*$C11/$D11</f>
        <v/>
      </c>
      <c r="JV11" s="55">
        <f>SUMIFS(tblBudget[Milled_t],tblBudget[Month],"&lt;"&amp;$E11)+$JU11</f>
        <v/>
      </c>
      <c r="JW11" s="55">
        <f>SUMIFS(tblBudget[Feed_oz],tblBudget[Month],$E11)</f>
        <v/>
      </c>
      <c r="JX11" s="55">
        <f>$JW11*$C11/$D11</f>
        <v/>
      </c>
      <c r="JY11" s="55">
        <f>SUMIFS(tblBudget[Feed_oz],tblBudget[Month],"&lt;"&amp;$E11)+$JX11</f>
        <v/>
      </c>
      <c r="JZ11" s="55">
        <f>SUMIFS(tblBudget[Recovered_oz],tblBudget[Month],$E11)</f>
        <v/>
      </c>
      <c r="KA11" s="55">
        <f>$JZ11*$C11/$D11</f>
        <v/>
      </c>
      <c r="KB11" s="55">
        <f>SUMIFS(tblBudget[Recovered_oz],tblBudget[Month],"&lt;"&amp;$E11)+$KA11</f>
        <v/>
      </c>
      <c r="KC11" s="55">
        <f>SUMIFS(tblBudget[Milled_t],tblBudget[Month],$E11)</f>
        <v/>
      </c>
      <c r="KD11" s="55">
        <f>$KC11*$C11/$D11</f>
        <v/>
      </c>
      <c r="KE11" s="55">
        <f>SUMIFS(tblBudget[Milled_t],tblBudget[Month],"&lt;"&amp;$E11)+$KD11</f>
        <v/>
      </c>
      <c r="KF11" s="55">
        <f>SUMIFS(tblBudget[Feed_oz],tblBudget[Month],$E11)</f>
        <v/>
      </c>
      <c r="KG11" s="55">
        <f>$KF11*$C11/$D11</f>
        <v/>
      </c>
      <c r="KH11" s="55">
        <f>SUMIFS(tblBudget[Feed_oz],tblBudget[Month],"&lt;"&amp;$E11)+$KG11</f>
        <v/>
      </c>
      <c r="KI11" s="56">
        <f>IFERROR(IF(($KC11)&gt;0,($JW11*cfg_TroyOz)/($KC11),""),"")</f>
        <v/>
      </c>
      <c r="KJ11" s="56">
        <f>IFERROR(IF(($KD11)&gt;0,($JX11*cfg_TroyOz)/($KD11),""),"")</f>
        <v/>
      </c>
      <c r="KK11" s="56">
        <f>IFERROR(IF(($KE11)&gt;0,($JY11*cfg_TroyOz)/($KE11),""),"")</f>
        <v/>
      </c>
      <c r="KL11" s="67">
        <f>IFERROR(IF(($KF11)&gt;0,($JZ11)/($KF11),""),"")</f>
        <v/>
      </c>
      <c r="KM11" s="67">
        <f>IFERROR(IF(($KG11)&gt;0,($KA11)/($KG11),""),"")</f>
        <v/>
      </c>
      <c r="KN11" s="67">
        <f>IFERROR(IF(($KH11)&gt;0,($KB11)/($KH11),""),"")</f>
        <v/>
      </c>
      <c r="KO11" s="55">
        <f>SUMIFS(tblBudget[Gold_Poured_oz],tblBudget[Month],$E11)</f>
        <v/>
      </c>
      <c r="KP11" s="55">
        <f>$KO11*$C11/$D11</f>
        <v/>
      </c>
      <c r="KQ11" s="55">
        <f>SUMIFS(tblBudget[Gold_Poured_oz],tblBudget[Month],"&lt;"&amp;$E11)+$KP11</f>
        <v/>
      </c>
      <c r="KR11" s="57">
        <f>SUMIFS(tblBudget[Hours_Worked],tblBudget[Month],$E11)</f>
        <v/>
      </c>
      <c r="KS11" s="57">
        <f>$KR11*$C11/$D11</f>
        <v/>
      </c>
      <c r="KT11" s="57">
        <f>SUMIFS(tblBudget[Hours_Worked],tblBudget[Month],"&lt;"&amp;$E11)+$KS11</f>
        <v/>
      </c>
    </row>
    <row r="12">
      <c r="A12" s="54" t="n">
        <v>46033</v>
      </c>
      <c r="B12">
        <f>MONTH($A12)</f>
        <v/>
      </c>
      <c r="C12">
        <f>DAY($A12)</f>
        <v/>
      </c>
      <c r="D12">
        <f>DAY(EOMONTH($A12,0))</f>
        <v/>
      </c>
      <c r="E12" s="54">
        <f>DATE(YEAR($A12),MONTH($A12),1)</f>
        <v/>
      </c>
      <c r="F12" s="55">
        <f>SUMIFS(tblMovement[Tonnes_t],tblMovement[Date],$A12,tblMovement[Is_Ore],1,tblMovement[Source_Type],"Pit")</f>
        <v/>
      </c>
      <c r="G12" s="55">
        <f>IF($B12=$B11,$G11,0)+$F12</f>
        <v/>
      </c>
      <c r="H12" s="55">
        <f>$H11+$F12</f>
        <v/>
      </c>
      <c r="I12" s="55">
        <f>SUMIFS(tblMovement[Ore_oz],tblMovement[Date],$A12,tblMovement[Source_Type],"Pit")</f>
        <v/>
      </c>
      <c r="J12" s="55">
        <f>IF($B12=$B11,$J11,0)+$I12</f>
        <v/>
      </c>
      <c r="K12" s="55">
        <f>$K11+$I12</f>
        <v/>
      </c>
      <c r="L12" s="55">
        <f>SUMIFS(tblMovement[Tonnes_t],tblMovement[Date],$A12,tblMovement[Is_Ore],1,tblMovement[Source_Type],"Pit",tblMovement[Grade_gpt],"&lt;&gt;")</f>
        <v/>
      </c>
      <c r="M12" s="55">
        <f>IF($B12=$B11,$M11,0)+$L12</f>
        <v/>
      </c>
      <c r="N12" s="55">
        <f>$N11+$L12</f>
        <v/>
      </c>
      <c r="O12" s="56">
        <f>IFERROR(IF(($L12)&gt;0,($I12*cfg_TroyOz)/($L12),""),"")</f>
        <v/>
      </c>
      <c r="P12" s="56">
        <f>IFERROR(IF(($M12)&gt;0,($J12*cfg_TroyOz)/($M12),""),"")</f>
        <v/>
      </c>
      <c r="Q12" s="56">
        <f>IFERROR(IF(($N12)&gt;0,($K12*cfg_TroyOz)/($N12),""),"")</f>
        <v/>
      </c>
      <c r="R12" s="55">
        <f>$F12-$L12</f>
        <v/>
      </c>
      <c r="S12" s="55">
        <f>IF($B12=$B11,$S11,0)+$R12</f>
        <v/>
      </c>
      <c r="T12" s="55">
        <f>$T11+$R12</f>
        <v/>
      </c>
      <c r="U12" s="55">
        <f>SUMIFS(tblMovement[Tonnes_t],tblMovement[Date],$A12,tblMovement[Is_Ore],0,tblMovement[Source_Type],"Pit")</f>
        <v/>
      </c>
      <c r="V12" s="55">
        <f>IF($B12=$B11,$V11,0)+$U12</f>
        <v/>
      </c>
      <c r="W12" s="55">
        <f>$W11+$U12</f>
        <v/>
      </c>
      <c r="X12" s="55">
        <f>$F12+$U12</f>
        <v/>
      </c>
      <c r="Y12" s="55">
        <f>IF($B12=$B11,$Y11,0)+$X12</f>
        <v/>
      </c>
      <c r="Z12" s="55">
        <f>$Z11+$X12</f>
        <v/>
      </c>
      <c r="AA12" s="56">
        <f>IFERROR(IF(($F12)&gt;0,($U12)/($F12),""),"")</f>
        <v/>
      </c>
      <c r="AB12" s="56">
        <f>IFERROR(IF(($G12)&gt;0,($V12)/($G12),""),"")</f>
        <v/>
      </c>
      <c r="AC12" s="56">
        <f>IFERROR(IF(($H12)&gt;0,($W12)/($H12),""),"")</f>
        <v/>
      </c>
      <c r="AD12" s="55">
        <f>SUMIFS(tblMovement[Tonnes_t],tblMovement[Date],$A12,tblMovement[Source_Type],"Stockpile")</f>
        <v/>
      </c>
      <c r="AE12" s="55">
        <f>IF($B12=$B11,$AE11,0)+$AD12</f>
        <v/>
      </c>
      <c r="AF12" s="55">
        <f>$AF11+$AD12</f>
        <v/>
      </c>
      <c r="AG12" s="55">
        <f>SUMIFS(tblMovement[Tonnes_t],tblMovement[Date],$A12)</f>
        <v/>
      </c>
      <c r="AH12" s="55">
        <f>IF($B12=$B11,$AH11,0)+$AG12</f>
        <v/>
      </c>
      <c r="AI12" s="55">
        <f>$AI11+$AG12</f>
        <v/>
      </c>
      <c r="AJ12" s="55">
        <f>$AG12-$X12-$AD12</f>
        <v/>
      </c>
      <c r="AK12" s="55">
        <f>IF($B12=$B11,$AK11,0)+$AJ12</f>
        <v/>
      </c>
      <c r="AL12" s="55">
        <f>$AL11+$AJ12</f>
        <v/>
      </c>
      <c r="AM12" s="55">
        <f>SUMIFS(tblMiningDaily[Drill_m],tblMiningDaily[Date],$A12)</f>
        <v/>
      </c>
      <c r="AN12" s="55">
        <f>IF($B12=$B11,$AN11,0)+$AM12</f>
        <v/>
      </c>
      <c r="AO12" s="55">
        <f>$AO11+$AM12</f>
        <v/>
      </c>
      <c r="AP12" s="55">
        <f>SUMIFS(tblMiningDaily[GC_Drill_m],tblMiningDaily[Date],$A12)</f>
        <v/>
      </c>
      <c r="AQ12" s="55">
        <f>IF($B12=$B11,$AQ11,0)+$AP12</f>
        <v/>
      </c>
      <c r="AR12" s="55">
        <f>$AR11+$AP12</f>
        <v/>
      </c>
      <c r="AS12" s="55">
        <f>SUMIFS(tblMiningDaily[Blast_t],tblMiningDaily[Date],$A12)</f>
        <v/>
      </c>
      <c r="AT12" s="55">
        <f>IF($B12=$B11,$AT11,0)+$AS12</f>
        <v/>
      </c>
      <c r="AU12" s="55">
        <f>$AU11+$AS12</f>
        <v/>
      </c>
      <c r="AV12" s="55">
        <f>SUMIFS(tblMiningDaily[Explosives_kg],tblMiningDaily[Date],$A12)</f>
        <v/>
      </c>
      <c r="AW12" s="55">
        <f>IF($B12=$B11,$AW11,0)+$AV12</f>
        <v/>
      </c>
      <c r="AX12" s="55">
        <f>$AX11+$AV12</f>
        <v/>
      </c>
      <c r="AY12" s="56">
        <f>IFERROR(IF(($AS12)&gt;0,($AV12)/($AS12),""),"")</f>
        <v/>
      </c>
      <c r="AZ12" s="56">
        <f>IFERROR(IF(($AT12)&gt;0,($AW12)/($AT12),""),"")</f>
        <v/>
      </c>
      <c r="BA12" s="56">
        <f>IFERROR(IF(($AU12)&gt;0,($AX12)/($AU12),""),"")</f>
        <v/>
      </c>
      <c r="BB12" s="55">
        <f>SUMIFS(tblMiningDaily[Diesel_L],tblMiningDaily[Date],$A12)</f>
        <v/>
      </c>
      <c r="BC12" s="55">
        <f>IF($B12=$B11,$BC11,0)+$BB12</f>
        <v/>
      </c>
      <c r="BD12" s="55">
        <f>$BD11+$BB12</f>
        <v/>
      </c>
      <c r="BE12" s="55">
        <f>SUMIFS(tblMiningDaily[Dewatering_m3],tblMiningDaily[Date],$A12)</f>
        <v/>
      </c>
      <c r="BF12" s="55">
        <f>IF($B12=$B11,$BF11,0)+$BE12</f>
        <v/>
      </c>
      <c r="BG12" s="55">
        <f>$BG11+$BE12</f>
        <v/>
      </c>
      <c r="BH12" s="57">
        <f>SUMIFS(tblFleet[Calendar_h],tblFleet[Date],$A12,tblFleet[Equipment_Class],"Excavator")</f>
        <v/>
      </c>
      <c r="BI12" s="57">
        <f>IF($B12=$B11,$BI11,0)+$BH12</f>
        <v/>
      </c>
      <c r="BJ12" s="57">
        <f>$BJ11+$BH12</f>
        <v/>
      </c>
      <c r="BK12" s="57">
        <f>SUMIFS(tblFleet[Available_h],tblFleet[Date],$A12,tblFleet[Equipment_Class],"Excavator")</f>
        <v/>
      </c>
      <c r="BL12" s="57">
        <f>IF($B12=$B11,$BL11,0)+$BK12</f>
        <v/>
      </c>
      <c r="BM12" s="57">
        <f>$BM11+$BK12</f>
        <v/>
      </c>
      <c r="BN12" s="57">
        <f>SUMIFS(tblFleet[Operating_h],tblFleet[Date],$A12,tblFleet[Equipment_Class],"Excavator")</f>
        <v/>
      </c>
      <c r="BO12" s="57">
        <f>IF($B12=$B11,$BO11,0)+$BN12</f>
        <v/>
      </c>
      <c r="BP12" s="57">
        <f>$BP11+$BN12</f>
        <v/>
      </c>
      <c r="BQ12" s="67">
        <f>IFERROR(IF(($BH12)&gt;0,($BK12)/($BH12),""),"")</f>
        <v/>
      </c>
      <c r="BR12" s="67">
        <f>IFERROR(IF(($BI12)&gt;0,($BL12)/($BI12),""),"")</f>
        <v/>
      </c>
      <c r="BS12" s="67">
        <f>IFERROR(IF(($BJ12)&gt;0,($BM12)/($BJ12),""),"")</f>
        <v/>
      </c>
      <c r="BT12" s="67">
        <f>IFERROR(IF(($BK12)&gt;0,($BN12)/($BK12),""),"")</f>
        <v/>
      </c>
      <c r="BU12" s="67">
        <f>IFERROR(IF(($BL12)&gt;0,($BO12)/($BL12),""),"")</f>
        <v/>
      </c>
      <c r="BV12" s="67">
        <f>IFERROR(IF(($BM12)&gt;0,($BP12)/($BM12),""),"")</f>
        <v/>
      </c>
      <c r="BW12" s="57">
        <f>SUMIFS(tblFleet[Calendar_h],tblFleet[Date],$A12,tblFleet[Equipment_Class],"Haul Truck")</f>
        <v/>
      </c>
      <c r="BX12" s="57">
        <f>IF($B12=$B11,$BX11,0)+$BW12</f>
        <v/>
      </c>
      <c r="BY12" s="57">
        <f>$BY11+$BW12</f>
        <v/>
      </c>
      <c r="BZ12" s="57">
        <f>SUMIFS(tblFleet[Available_h],tblFleet[Date],$A12,tblFleet[Equipment_Class],"Haul Truck")</f>
        <v/>
      </c>
      <c r="CA12" s="57">
        <f>IF($B12=$B11,$CA11,0)+$BZ12</f>
        <v/>
      </c>
      <c r="CB12" s="57">
        <f>$CB11+$BZ12</f>
        <v/>
      </c>
      <c r="CC12" s="57">
        <f>SUMIFS(tblFleet[Operating_h],tblFleet[Date],$A12,tblFleet[Equipment_Class],"Haul Truck")</f>
        <v/>
      </c>
      <c r="CD12" s="57">
        <f>IF($B12=$B11,$CD11,0)+$CC12</f>
        <v/>
      </c>
      <c r="CE12" s="57">
        <f>$CE11+$CC12</f>
        <v/>
      </c>
      <c r="CF12" s="67">
        <f>IFERROR(IF(($BW12)&gt;0,($BZ12)/($BW12),""),"")</f>
        <v/>
      </c>
      <c r="CG12" s="67">
        <f>IFERROR(IF(($BX12)&gt;0,($CA12)/($BX12),""),"")</f>
        <v/>
      </c>
      <c r="CH12" s="67">
        <f>IFERROR(IF(($BY12)&gt;0,($CB12)/($BY12),""),"")</f>
        <v/>
      </c>
      <c r="CI12" s="67">
        <f>IFERROR(IF(($BZ12)&gt;0,($CC12)/($BZ12),""),"")</f>
        <v/>
      </c>
      <c r="CJ12" s="67">
        <f>IFERROR(IF(($CA12)&gt;0,($CD12)/($CA12),""),"")</f>
        <v/>
      </c>
      <c r="CK12" s="67">
        <f>IFERROR(IF(($CB12)&gt;0,($CE12)/($CB12),""),"")</f>
        <v/>
      </c>
      <c r="CL12" s="55">
        <f>IFERROR(IF(($BN12)&gt;0,($X12+$AD12)/($BN12),""),"")</f>
        <v/>
      </c>
      <c r="CM12" s="55">
        <f>IFERROR(IF(($BO12)&gt;0,($Y12+$AE12)/($BO12),""),"")</f>
        <v/>
      </c>
      <c r="CN12" s="55">
        <f>IFERROR(IF(($BP12)&gt;0,($Z12+$AF12)/($BP12),""),"")</f>
        <v/>
      </c>
      <c r="CO12" s="55">
        <f>IFERROR(IF(($CC12)&gt;0,($X12+$AD12)/($CC12),""),"")</f>
        <v/>
      </c>
      <c r="CP12" s="55">
        <f>IFERROR(IF(($CD12)&gt;0,($Y12+$AE12)/($CD12),""),"")</f>
        <v/>
      </c>
      <c r="CQ12" s="55">
        <f>IFERROR(IF(($CE12)&gt;0,($Z12+$AF12)/($CE12),""),"")</f>
        <v/>
      </c>
      <c r="CR12" s="55">
        <f>SUMIFS(tblPlant[Crushed_t],tblPlant[Date],$A12)</f>
        <v/>
      </c>
      <c r="CS12" s="55">
        <f>IF($B12=$B11,$CS11,0)+$CR12</f>
        <v/>
      </c>
      <c r="CT12" s="55">
        <f>$CT11+$CR12</f>
        <v/>
      </c>
      <c r="CU12" s="55">
        <f>SUMIFS(tblPlant[Milled_t],tblPlant[Date],$A12)</f>
        <v/>
      </c>
      <c r="CV12" s="55">
        <f>IF($B12=$B11,$CV11,0)+$CU12</f>
        <v/>
      </c>
      <c r="CW12" s="55">
        <f>$CW11+$CU12</f>
        <v/>
      </c>
      <c r="CX12" s="55">
        <f>SUMIFS(tblPlant[Feed_oz],tblPlant[Date],$A12)</f>
        <v/>
      </c>
      <c r="CY12" s="55">
        <f>IF($B12=$B11,$CY11,0)+$CX12</f>
        <v/>
      </c>
      <c r="CZ12" s="55">
        <f>$CZ11+$CX12</f>
        <v/>
      </c>
      <c r="DA12" s="55">
        <f>SUMIFS(tblPlant[Tails_oz],tblPlant[Date],$A12)</f>
        <v/>
      </c>
      <c r="DB12" s="55">
        <f>IF($B12=$B11,$DB11,0)+$DA12</f>
        <v/>
      </c>
      <c r="DC12" s="55">
        <f>$DC11+$DA12</f>
        <v/>
      </c>
      <c r="DD12" s="55">
        <f>SUMIFS(tblPlant[Recovered_oz],tblPlant[Date],$A12)</f>
        <v/>
      </c>
      <c r="DE12" s="55">
        <f>IF($B12=$B11,$DE11,0)+$DD12</f>
        <v/>
      </c>
      <c r="DF12" s="55">
        <f>$DF11+$DD12</f>
        <v/>
      </c>
      <c r="DG12" s="55">
        <f>SUMIFS(tblPlant[Milled_t],tblPlant[Date],$A12,tblPlant[Head_Grade_gpt],"&lt;&gt;")</f>
        <v/>
      </c>
      <c r="DH12" s="55">
        <f>IF($B12=$B11,$DH11,0)+$DG12</f>
        <v/>
      </c>
      <c r="DI12" s="55">
        <f>$DI11+$DG12</f>
        <v/>
      </c>
      <c r="DJ12" s="55">
        <f>SUMIFS(tblPlant[Milled_t],tblPlant[Date],$A12,tblPlant[Tails_Grade_gpt],"&lt;&gt;")</f>
        <v/>
      </c>
      <c r="DK12" s="55">
        <f>IF($B12=$B11,$DK11,0)+$DJ12</f>
        <v/>
      </c>
      <c r="DL12" s="55">
        <f>$DL11+$DJ12</f>
        <v/>
      </c>
      <c r="DM12" s="55">
        <f>SUMIFS(tblPlant[Feed_oz],tblPlant[Date],$A12,tblPlant[Tails_Grade_gpt],"&lt;&gt;")</f>
        <v/>
      </c>
      <c r="DN12" s="55">
        <f>IF($B12=$B11,$DN11,0)+$DM12</f>
        <v/>
      </c>
      <c r="DO12" s="55">
        <f>$DO11+$DM12</f>
        <v/>
      </c>
      <c r="DP12" s="55">
        <f>SUMIFS(tblPlant[Milled_t],tblPlant[Date],$A12,tblPlant[Mill_Run_h],"&lt;&gt;")</f>
        <v/>
      </c>
      <c r="DQ12" s="55">
        <f>IF($B12=$B11,$DQ11,0)+$DP12</f>
        <v/>
      </c>
      <c r="DR12" s="55">
        <f>$DR11+$DP12</f>
        <v/>
      </c>
      <c r="DS12" s="56">
        <f>IFERROR(IF(($DG12)&gt;0,($CX12*cfg_TroyOz)/($DG12),""),"")</f>
        <v/>
      </c>
      <c r="DT12" s="56">
        <f>IFERROR(IF(($DH12)&gt;0,($CY12*cfg_TroyOz)/($DH12),""),"")</f>
        <v/>
      </c>
      <c r="DU12" s="56">
        <f>IFERROR(IF(($DI12)&gt;0,($CZ12*cfg_TroyOz)/($DI12),""),"")</f>
        <v/>
      </c>
      <c r="DV12" s="56">
        <f>IFERROR(IF(($DJ12)&gt;0,($DA12*cfg_TroyOz)/($DJ12),""),"")</f>
        <v/>
      </c>
      <c r="DW12" s="56">
        <f>IFERROR(IF(($DK12)&gt;0,($DB12*cfg_TroyOz)/($DK12),""),"")</f>
        <v/>
      </c>
      <c r="DX12" s="56">
        <f>IFERROR(IF(($DL12)&gt;0,($DC12*cfg_TroyOz)/($DL12),""),"")</f>
        <v/>
      </c>
      <c r="DY12" s="67">
        <f>IFERROR(IF(($DM12)&gt;0,($DD12)/($DM12),""),"")</f>
        <v/>
      </c>
      <c r="DZ12" s="67">
        <f>IFERROR(IF(($DN12)&gt;0,($DE12)/($DN12),""),"")</f>
        <v/>
      </c>
      <c r="EA12" s="67">
        <f>IFERROR(IF(($DO12)&gt;0,($DF12)/($DO12),""),"")</f>
        <v/>
      </c>
      <c r="EB12" s="55">
        <f>SUMIFS(tblPlant[Gravity_Gold_oz],tblPlant[Date],$A12)</f>
        <v/>
      </c>
      <c r="EC12" s="55">
        <f>IF($B12=$B11,$EC11,0)+$EB12</f>
        <v/>
      </c>
      <c r="ED12" s="55">
        <f>$ED11+$EB12</f>
        <v/>
      </c>
      <c r="EE12" s="67">
        <f>IFERROR(IF(($DD12)&gt;0,($EB12)/($DD12),""),"")</f>
        <v/>
      </c>
      <c r="EF12" s="67">
        <f>IFERROR(IF(($DE12)&gt;0,($EC12)/($DE12),""),"")</f>
        <v/>
      </c>
      <c r="EG12" s="67">
        <f>IFERROR(IF(($DF12)&gt;0,($ED12)/($DF12),""),"")</f>
        <v/>
      </c>
      <c r="EH12" s="55">
        <f>SUMIFS(tblPlant[Gold_Poured_oz],tblPlant[Date],$A12)</f>
        <v/>
      </c>
      <c r="EI12" s="55">
        <f>IF($B12=$B11,$EI11,0)+$EH12</f>
        <v/>
      </c>
      <c r="EJ12" s="55">
        <f>$EJ11+$EH12</f>
        <v/>
      </c>
      <c r="EK12" s="57">
        <f>SUMIFS(tblPlant[Mill_Run_h],tblPlant[Date],$A12)</f>
        <v/>
      </c>
      <c r="EL12" s="57">
        <f>IF($B12=$B11,$EL11,0)+$EK12</f>
        <v/>
      </c>
      <c r="EM12" s="57">
        <f>$EM11+$EK12</f>
        <v/>
      </c>
      <c r="EN12" s="57">
        <f>SUMIFS(tblPlant[Mill_Planned_Maint_h],tblPlant[Date],$A12)</f>
        <v/>
      </c>
      <c r="EO12" s="57">
        <f>IF($B12=$B11,$EO11,0)+$EN12</f>
        <v/>
      </c>
      <c r="EP12" s="57">
        <f>$EP11+$EN12</f>
        <v/>
      </c>
      <c r="EQ12" s="57">
        <f>SUMIFS(tblPlant[Mill_Unplanned_Down_h],tblPlant[Date],$A12)</f>
        <v/>
      </c>
      <c r="ER12" s="57">
        <f>IF($B12=$B11,$ER11,0)+$EQ12</f>
        <v/>
      </c>
      <c r="ES12" s="57">
        <f>$ES11+$EQ12</f>
        <v/>
      </c>
      <c r="ET12" s="57">
        <f>IF(COUNTIFS(tblPlant[Date],$A12,tblPlant[Mill_Run_h],"&lt;&gt;")+COUNTIFS(tblPlant[Date],$A12,tblPlant[Mill_Planned_Maint_h],"&lt;&gt;")+COUNTIFS(tblPlant[Date],$A12,tblPlant[Mill_Unplanned_Down_h],"&lt;&gt;")&gt;0,cfg_HoursPerDay,0)</f>
        <v/>
      </c>
      <c r="EU12" s="57">
        <f>IF($B12=$B11,$EU11,0)+$ET12</f>
        <v/>
      </c>
      <c r="EV12" s="57">
        <f>$EV11+$ET12</f>
        <v/>
      </c>
      <c r="EW12" s="57">
        <f>SUMIFS(tblPlant[Crusher_Run_h],tblPlant[Date],$A12)</f>
        <v/>
      </c>
      <c r="EX12" s="57">
        <f>IF($B12=$B11,$EX11,0)+$EW12</f>
        <v/>
      </c>
      <c r="EY12" s="57">
        <f>$EY11+$EW12</f>
        <v/>
      </c>
      <c r="EZ12" s="55">
        <f>IFERROR(IF(($EK12)&gt;0,($DP12)/($EK12),""),"")</f>
        <v/>
      </c>
      <c r="FA12" s="55">
        <f>IFERROR(IF(($EL12)&gt;0,($DQ12)/($EL12),""),"")</f>
        <v/>
      </c>
      <c r="FB12" s="55">
        <f>IFERROR(IF(($EM12)&gt;0,($DR12)/($EM12),""),"")</f>
        <v/>
      </c>
      <c r="FC12" s="67">
        <f>IFERROR(IF(($ET12)&gt;0,($ET12-$EN12-$EQ12)/($ET12),""),"")</f>
        <v/>
      </c>
      <c r="FD12" s="67">
        <f>IFERROR(IF(($EU12)&gt;0,($EU12-$EO12-$ER12)/($EU12),""),"")</f>
        <v/>
      </c>
      <c r="FE12" s="67">
        <f>IFERROR(IF(($EV12)&gt;0,($EV12-$EP12-$ES12)/($EV12),""),"")</f>
        <v/>
      </c>
      <c r="FF12" s="67">
        <f>IFERROR(IF(($ET12-$EN12-$EQ12)&gt;0,($EK12)/($ET12-$EN12-$EQ12),""),"")</f>
        <v/>
      </c>
      <c r="FG12" s="67">
        <f>IFERROR(IF(($EU12-$EO12-$ER12)&gt;0,($EL12)/($EU12-$EO12-$ER12),""),"")</f>
        <v/>
      </c>
      <c r="FH12" s="67">
        <f>IFERROR(IF(($EV12-$EP12-$ES12)&gt;0,($EM12)/($EV12-$EP12-$ES12),""),"")</f>
        <v/>
      </c>
      <c r="FI12" s="55">
        <f>SUMIFS(tblPlant[Cyanide_kg],tblPlant[Date],$A12)</f>
        <v/>
      </c>
      <c r="FJ12" s="55">
        <f>IF($B12=$B11,$FJ11,0)+$FI12</f>
        <v/>
      </c>
      <c r="FK12" s="55">
        <f>$FK11+$FI12</f>
        <v/>
      </c>
      <c r="FL12" s="55">
        <f>SUMIFS(tblPlant[Lime_kg],tblPlant[Date],$A12)</f>
        <v/>
      </c>
      <c r="FM12" s="55">
        <f>IF($B12=$B11,$FM11,0)+$FL12</f>
        <v/>
      </c>
      <c r="FN12" s="55">
        <f>$FN11+$FL12</f>
        <v/>
      </c>
      <c r="FO12" s="55">
        <f>SUMIFS(tblPlant[Grinding_Media_kg],tblPlant[Date],$A12)</f>
        <v/>
      </c>
      <c r="FP12" s="55">
        <f>IF($B12=$B11,$FP11,0)+$FO12</f>
        <v/>
      </c>
      <c r="FQ12" s="55">
        <f>$FQ11+$FO12</f>
        <v/>
      </c>
      <c r="FR12" s="55">
        <f>SUMIFS(tblPlant[Power_kWh],tblPlant[Date],$A12)</f>
        <v/>
      </c>
      <c r="FS12" s="55">
        <f>IF($B12=$B11,$FS11,0)+$FR12</f>
        <v/>
      </c>
      <c r="FT12" s="55">
        <f>$FT11+$FR12</f>
        <v/>
      </c>
      <c r="FU12" s="55">
        <f>SUMIFS(tblPlant[Raw_Water_m3],tblPlant[Date],$A12)</f>
        <v/>
      </c>
      <c r="FV12" s="55">
        <f>IF($B12=$B11,$FV11,0)+$FU12</f>
        <v/>
      </c>
      <c r="FW12" s="55">
        <f>$FW11+$FU12</f>
        <v/>
      </c>
      <c r="FX12" s="56">
        <f>IFERROR(IF(($CU12)&gt;0,($FI12)/($CU12),""),"")</f>
        <v/>
      </c>
      <c r="FY12" s="56">
        <f>IFERROR(IF(($CV12)&gt;0,($FJ12)/($CV12),""),"")</f>
        <v/>
      </c>
      <c r="FZ12" s="56">
        <f>IFERROR(IF(($CW12)&gt;0,($FK12)/($CW12),""),"")</f>
        <v/>
      </c>
      <c r="GA12" s="56">
        <f>IFERROR(IF(($CU12)&gt;0,($FL12)/($CU12),""),"")</f>
        <v/>
      </c>
      <c r="GB12" s="56">
        <f>IFERROR(IF(($CV12)&gt;0,($FM12)/($CV12),""),"")</f>
        <v/>
      </c>
      <c r="GC12" s="56">
        <f>IFERROR(IF(($CW12)&gt;0,($FN12)/($CW12),""),"")</f>
        <v/>
      </c>
      <c r="GD12" s="56">
        <f>IFERROR(IF(($CU12)&gt;0,($FO12)/($CU12),""),"")</f>
        <v/>
      </c>
      <c r="GE12" s="56">
        <f>IFERROR(IF(($CV12)&gt;0,($FP12)/($CV12),""),"")</f>
        <v/>
      </c>
      <c r="GF12" s="56">
        <f>IFERROR(IF(($CW12)&gt;0,($FQ12)/($CW12),""),"")</f>
        <v/>
      </c>
      <c r="GG12" s="79">
        <f>IFERROR(IF(($CU12)&gt;0,($FR12)/($CU12),""),"")</f>
        <v/>
      </c>
      <c r="GH12" s="79">
        <f>IFERROR(IF(($CV12)&gt;0,($FS12)/($CV12),""),"")</f>
        <v/>
      </c>
      <c r="GI12" s="79">
        <f>IFERROR(IF(($CW12)&gt;0,($FT12)/($CW12),""),"")</f>
        <v/>
      </c>
      <c r="GJ12" s="56">
        <f>IFERROR(IF(($CU12)&gt;0,($FU12)/($CU12),""),"")</f>
        <v/>
      </c>
      <c r="GK12" s="56">
        <f>IFERROR(IF(($CV12)&gt;0,($FV12)/($CV12),""),"")</f>
        <v/>
      </c>
      <c r="GL12" s="56">
        <f>IFERROR(IF(($CW12)&gt;0,($FW12)/($CW12),""),"")</f>
        <v/>
      </c>
      <c r="GM12" s="55">
        <f>IF(SUMIFS(tblPlant[GIC_oz],tblPlant[Date],$A12)&gt;0,SUMIFS(tblPlant[GIC_oz],tblPlant[Date],$A12),"")</f>
        <v/>
      </c>
      <c r="GN12" s="55">
        <f>SUMIFS(tblGold[Gold_oz],tblGold[Date],$A12,tblGold[Type],"Shipment")</f>
        <v/>
      </c>
      <c r="GO12" s="55">
        <f>IF($B12=$B11,$GO11,0)+$GN12</f>
        <v/>
      </c>
      <c r="GP12" s="55">
        <f>$GP11+$GN12</f>
        <v/>
      </c>
      <c r="GQ12" s="55">
        <f>SUMIFS(tblGold[Gold_oz],tblGold[Date],$A12,tblGold[Type],"Sale")</f>
        <v/>
      </c>
      <c r="GR12" s="55">
        <f>IF($B12=$B11,$GR11,0)+$GQ12</f>
        <v/>
      </c>
      <c r="GS12" s="55">
        <f>$GS11+$GQ12</f>
        <v/>
      </c>
      <c r="GT12" s="55">
        <f>SUMIFS(tblGold[Dore_kg],tblGold[Date],$A12,tblGold[Type],"Shipment")</f>
        <v/>
      </c>
      <c r="GU12" s="55">
        <f>IF($B12=$B11,$GU11,0)+$GT12</f>
        <v/>
      </c>
      <c r="GV12" s="55">
        <f>$GV11+$GT12</f>
        <v/>
      </c>
      <c r="GW12" s="57">
        <f>SUMIFS(tblSafety[Hours_Total],tblSafety[Date],$A12)</f>
        <v/>
      </c>
      <c r="GX12" s="57">
        <f>IF($B12=$B11,$GX11,0)+$GW12</f>
        <v/>
      </c>
      <c r="GY12" s="57">
        <f>$GY11+$GW12</f>
        <v/>
      </c>
      <c r="GZ12" s="62">
        <f>SUMIFS(tblSafety[Fatality],tblSafety[Date],$A12)</f>
        <v/>
      </c>
      <c r="HA12" s="62">
        <f>IF($B12=$B11,$HA11,0)+$GZ12</f>
        <v/>
      </c>
      <c r="HB12" s="62">
        <f>$HB11+$GZ12</f>
        <v/>
      </c>
      <c r="HC12" s="62">
        <f>SUMIFS(tblSafety[LTI],tblSafety[Date],$A12)</f>
        <v/>
      </c>
      <c r="HD12" s="62">
        <f>IF($B12=$B11,$HD11,0)+$HC12</f>
        <v/>
      </c>
      <c r="HE12" s="62">
        <f>$HE11+$HC12</f>
        <v/>
      </c>
      <c r="HF12" s="62">
        <f>SUMIFS(tblSafety[RWI],tblSafety[Date],$A12)</f>
        <v/>
      </c>
      <c r="HG12" s="62">
        <f>IF($B12=$B11,$HG11,0)+$HF12</f>
        <v/>
      </c>
      <c r="HH12" s="62">
        <f>$HH11+$HF12</f>
        <v/>
      </c>
      <c r="HI12" s="62">
        <f>SUMIFS(tblSafety[MTI],tblSafety[Date],$A12)</f>
        <v/>
      </c>
      <c r="HJ12" s="62">
        <f>IF($B12=$B11,$HJ11,0)+$HI12</f>
        <v/>
      </c>
      <c r="HK12" s="62">
        <f>$HK11+$HI12</f>
        <v/>
      </c>
      <c r="HL12" s="62">
        <f>SUMIFS(tblSafety[FAI],tblSafety[Date],$A12)</f>
        <v/>
      </c>
      <c r="HM12" s="62">
        <f>IF($B12=$B11,$HM11,0)+$HL12</f>
        <v/>
      </c>
      <c r="HN12" s="62">
        <f>$HN11+$HL12</f>
        <v/>
      </c>
      <c r="HO12" s="62">
        <f>SUMIFS(tblSafety[Recordables],tblSafety[Date],$A12)</f>
        <v/>
      </c>
      <c r="HP12" s="62">
        <f>IF($B12=$B11,$HP11,0)+$HO12</f>
        <v/>
      </c>
      <c r="HQ12" s="62">
        <f>$HQ11+$HO12</f>
        <v/>
      </c>
      <c r="HR12" s="62">
        <f>SUMIFS(tblSafety[Near_Miss],tblSafety[Date],$A12)</f>
        <v/>
      </c>
      <c r="HS12" s="62">
        <f>IF($B12=$B11,$HS11,0)+$HR12</f>
        <v/>
      </c>
      <c r="HT12" s="62">
        <f>$HT11+$HR12</f>
        <v/>
      </c>
      <c r="HU12" s="62">
        <f>SUMIFS(tblSafety[Hazard_Reports],tblSafety[Date],$A12)</f>
        <v/>
      </c>
      <c r="HV12" s="62">
        <f>IF($B12=$B11,$HV11,0)+$HU12</f>
        <v/>
      </c>
      <c r="HW12" s="62">
        <f>$HW11+$HU12</f>
        <v/>
      </c>
      <c r="HX12" s="62">
        <f>SUMIFS(tblSafety[HPI],tblSafety[Date],$A12)</f>
        <v/>
      </c>
      <c r="HY12" s="62">
        <f>IF($B12=$B11,$HY11,0)+$HX12</f>
        <v/>
      </c>
      <c r="HZ12" s="62">
        <f>$HZ11+$HX12</f>
        <v/>
      </c>
      <c r="IA12" s="62">
        <f>SUMIFS(tblSafety[Env_Incidents],tblSafety[Date],$A12)</f>
        <v/>
      </c>
      <c r="IB12" s="62">
        <f>IF($B12=$B11,$IB11,0)+$IA12</f>
        <v/>
      </c>
      <c r="IC12" s="62">
        <f>$IC11+$IA12</f>
        <v/>
      </c>
      <c r="ID12" s="62">
        <f>SUMIFS(tblSafety[Community_Incidents],tblSafety[Date],$A12)</f>
        <v/>
      </c>
      <c r="IE12" s="62">
        <f>IF($B12=$B11,$IE11,0)+$ID12</f>
        <v/>
      </c>
      <c r="IF12" s="62">
        <f>$IF11+$ID12</f>
        <v/>
      </c>
      <c r="IG12" s="62">
        <f>SUMIFS(tblSafety[Vehicle_Incidents],tblSafety[Date],$A12)</f>
        <v/>
      </c>
      <c r="IH12" s="62">
        <f>IF($B12=$B11,$IH11,0)+$IG12</f>
        <v/>
      </c>
      <c r="II12" s="62">
        <f>$II11+$IG12</f>
        <v/>
      </c>
      <c r="IJ12" s="62">
        <f>SUMIFS(tblSafety[Toolbox_Talks],tblSafety[Date],$A12)</f>
        <v/>
      </c>
      <c r="IK12" s="62">
        <f>IF($B12=$B11,$IK11,0)+$IJ12</f>
        <v/>
      </c>
      <c r="IL12" s="62">
        <f>$IL11+$IJ12</f>
        <v/>
      </c>
      <c r="IM12" s="62">
        <f>SUMIFS(tblSafety[Inspections],tblSafety[Date],$A12)</f>
        <v/>
      </c>
      <c r="IN12" s="62">
        <f>IF($B12=$B11,$IN11,0)+$IM12</f>
        <v/>
      </c>
      <c r="IO12" s="62">
        <f>$IO11+$IM12</f>
        <v/>
      </c>
      <c r="IP12" s="56">
        <f>IFERROR((SUMIFS(tblSafety[Recordables],tblSafety[Date],"&gt;="&amp;EDATE($E12,-12),tblSafety[Date],"&lt;="&amp;$A12)+SUMIFS(tblSafetyHistory[Recordables],tblSafetyHistory[Month],"&gt;="&amp;EDATE($E12,-12),tblSafetyHistory[Month],"&lt;"&amp;$E12,tblSafetyHistory[Use],1))/(SUMIFS(tblSafety[Hours_Total],tblSafety[Date],"&gt;="&amp;EDATE($E12,-12),tblSafety[Date],"&lt;="&amp;$A12)+SUMIFS(tblSafetyHistory[Hours_Total],tblSafetyHistory[Month],"&gt;="&amp;EDATE($E12,-12),tblSafetyHistory[Month],"&lt;"&amp;$E12,tblSafetyHistory[Use],1))*cfg_RateBasisHours,"")</f>
        <v/>
      </c>
      <c r="IQ12" s="56">
        <f>IFERROR((SUMIFS(tblSafety[LTI],tblSafety[Date],"&gt;="&amp;EDATE($E12,-12),tblSafety[Date],"&lt;="&amp;$A12)+SUMIFS(tblSafetyHistory[LTI],tblSafetyHistory[Month],"&gt;="&amp;EDATE($E12,-12),tblSafetyHistory[Month],"&lt;"&amp;$E12,tblSafetyHistory[Use],1))/(SUMIFS(tblSafety[Hours_Total],tblSafety[Date],"&gt;="&amp;EDATE($E12,-12),tblSafety[Date],"&lt;="&amp;$A12)+SUMIFS(tblSafetyHistory[Hours_Total],tblSafetyHistory[Month],"&gt;="&amp;EDATE($E12,-12),tblSafetyHistory[Month],"&lt;"&amp;$E12,tblSafetyHistory[Use],1))*cfg_RateBasisHours,"")</f>
        <v/>
      </c>
      <c r="IR12" s="62">
        <f>IF(MAX(N(cfg_PriorLTIDate),_xlfn.MAXIFS(tblSafety[Date],tblSafety[LTI],"&gt;0",tblSafety[Date],"&lt;="&amp;$A12))=0,"",$A12-MAX(N(cfg_PriorLTIDate),_xlfn.MAXIFS(tblSafety[Date],tblSafety[LTI],"&gt;0",tblSafety[Date],"&lt;="&amp;$A12)))</f>
        <v/>
      </c>
      <c r="IS12" s="55">
        <f>SUMIFS(tblBudget[Ore_Mined_t],tblBudget[Month],$E12)</f>
        <v/>
      </c>
      <c r="IT12" s="55">
        <f>$IS12*$C12/$D12</f>
        <v/>
      </c>
      <c r="IU12" s="55">
        <f>SUMIFS(tblBudget[Ore_Mined_t],tblBudget[Month],"&lt;"&amp;$E12)+$IT12</f>
        <v/>
      </c>
      <c r="IV12" s="55">
        <f>SUMIFS(tblBudget[Ore_oz],tblBudget[Month],$E12)</f>
        <v/>
      </c>
      <c r="IW12" s="55">
        <f>$IV12*$C12/$D12</f>
        <v/>
      </c>
      <c r="IX12" s="55">
        <f>SUMIFS(tblBudget[Ore_oz],tblBudget[Month],"&lt;"&amp;$E12)+$IW12</f>
        <v/>
      </c>
      <c r="IY12" s="55">
        <f>SUMIFS(tblBudget[Ore_Mined_t],tblBudget[Month],$E12)</f>
        <v/>
      </c>
      <c r="IZ12" s="55">
        <f>$IY12*$C12/$D12</f>
        <v/>
      </c>
      <c r="JA12" s="55">
        <f>SUMIFS(tblBudget[Ore_Mined_t],tblBudget[Month],"&lt;"&amp;$E12)+$IZ12</f>
        <v/>
      </c>
      <c r="JB12" s="56">
        <f>IFERROR(IF(($IY12)&gt;0,($IV12*cfg_TroyOz)/($IY12),""),"")</f>
        <v/>
      </c>
      <c r="JC12" s="56">
        <f>IFERROR(IF(($IZ12)&gt;0,($IW12*cfg_TroyOz)/($IZ12),""),"")</f>
        <v/>
      </c>
      <c r="JD12" s="56">
        <f>IFERROR(IF(($JA12)&gt;0,($IX12*cfg_TroyOz)/($JA12),""),"")</f>
        <v/>
      </c>
      <c r="JE12" s="55">
        <f>SUMIFS(tblBudget[Waste_t],tblBudget[Month],$E12)</f>
        <v/>
      </c>
      <c r="JF12" s="55">
        <f>$JE12*$C12/$D12</f>
        <v/>
      </c>
      <c r="JG12" s="55">
        <f>SUMIFS(tblBudget[Waste_t],tblBudget[Month],"&lt;"&amp;$E12)+$JF12</f>
        <v/>
      </c>
      <c r="JH12" s="55">
        <f>SUMIFS(tblBudget[TMM_t],tblBudget[Month],$E12)</f>
        <v/>
      </c>
      <c r="JI12" s="55">
        <f>$JH12*$C12/$D12</f>
        <v/>
      </c>
      <c r="JJ12" s="55">
        <f>SUMIFS(tblBudget[TMM_t],tblBudget[Month],"&lt;"&amp;$E12)+$JI12</f>
        <v/>
      </c>
      <c r="JK12" s="56">
        <f>IFERROR(IF(($IS12)&gt;0,($JE12)/($IS12),""),"")</f>
        <v/>
      </c>
      <c r="JL12" s="56">
        <f>IFERROR(IF(($IT12)&gt;0,($JF12)/($IT12),""),"")</f>
        <v/>
      </c>
      <c r="JM12" s="56">
        <f>IFERROR(IF(($IU12)&gt;0,($JG12)/($IU12),""),"")</f>
        <v/>
      </c>
      <c r="JN12" s="55">
        <f>SUMIFS(tblBudget[Drill_m],tblBudget[Month],$E12)</f>
        <v/>
      </c>
      <c r="JO12" s="55">
        <f>$JN12*$C12/$D12</f>
        <v/>
      </c>
      <c r="JP12" s="55">
        <f>SUMIFS(tblBudget[Drill_m],tblBudget[Month],"&lt;"&amp;$E12)+$JO12</f>
        <v/>
      </c>
      <c r="JQ12" s="55">
        <f>SUMIFS(tblBudget[Diesel_L],tblBudget[Month],$E12)</f>
        <v/>
      </c>
      <c r="JR12" s="55">
        <f>$JQ12*$C12/$D12</f>
        <v/>
      </c>
      <c r="JS12" s="55">
        <f>SUMIFS(tblBudget[Diesel_L],tblBudget[Month],"&lt;"&amp;$E12)+$JR12</f>
        <v/>
      </c>
      <c r="JT12" s="55">
        <f>SUMIFS(tblBudget[Milled_t],tblBudget[Month],$E12)</f>
        <v/>
      </c>
      <c r="JU12" s="55">
        <f>$JT12*$C12/$D12</f>
        <v/>
      </c>
      <c r="JV12" s="55">
        <f>SUMIFS(tblBudget[Milled_t],tblBudget[Month],"&lt;"&amp;$E12)+$JU12</f>
        <v/>
      </c>
      <c r="JW12" s="55">
        <f>SUMIFS(tblBudget[Feed_oz],tblBudget[Month],$E12)</f>
        <v/>
      </c>
      <c r="JX12" s="55">
        <f>$JW12*$C12/$D12</f>
        <v/>
      </c>
      <c r="JY12" s="55">
        <f>SUMIFS(tblBudget[Feed_oz],tblBudget[Month],"&lt;"&amp;$E12)+$JX12</f>
        <v/>
      </c>
      <c r="JZ12" s="55">
        <f>SUMIFS(tblBudget[Recovered_oz],tblBudget[Month],$E12)</f>
        <v/>
      </c>
      <c r="KA12" s="55">
        <f>$JZ12*$C12/$D12</f>
        <v/>
      </c>
      <c r="KB12" s="55">
        <f>SUMIFS(tblBudget[Recovered_oz],tblBudget[Month],"&lt;"&amp;$E12)+$KA12</f>
        <v/>
      </c>
      <c r="KC12" s="55">
        <f>SUMIFS(tblBudget[Milled_t],tblBudget[Month],$E12)</f>
        <v/>
      </c>
      <c r="KD12" s="55">
        <f>$KC12*$C12/$D12</f>
        <v/>
      </c>
      <c r="KE12" s="55">
        <f>SUMIFS(tblBudget[Milled_t],tblBudget[Month],"&lt;"&amp;$E12)+$KD12</f>
        <v/>
      </c>
      <c r="KF12" s="55">
        <f>SUMIFS(tblBudget[Feed_oz],tblBudget[Month],$E12)</f>
        <v/>
      </c>
      <c r="KG12" s="55">
        <f>$KF12*$C12/$D12</f>
        <v/>
      </c>
      <c r="KH12" s="55">
        <f>SUMIFS(tblBudget[Feed_oz],tblBudget[Month],"&lt;"&amp;$E12)+$KG12</f>
        <v/>
      </c>
      <c r="KI12" s="56">
        <f>IFERROR(IF(($KC12)&gt;0,($JW12*cfg_TroyOz)/($KC12),""),"")</f>
        <v/>
      </c>
      <c r="KJ12" s="56">
        <f>IFERROR(IF(($KD12)&gt;0,($JX12*cfg_TroyOz)/($KD12),""),"")</f>
        <v/>
      </c>
      <c r="KK12" s="56">
        <f>IFERROR(IF(($KE12)&gt;0,($JY12*cfg_TroyOz)/($KE12),""),"")</f>
        <v/>
      </c>
      <c r="KL12" s="67">
        <f>IFERROR(IF(($KF12)&gt;0,($JZ12)/($KF12),""),"")</f>
        <v/>
      </c>
      <c r="KM12" s="67">
        <f>IFERROR(IF(($KG12)&gt;0,($KA12)/($KG12),""),"")</f>
        <v/>
      </c>
      <c r="KN12" s="67">
        <f>IFERROR(IF(($KH12)&gt;0,($KB12)/($KH12),""),"")</f>
        <v/>
      </c>
      <c r="KO12" s="55">
        <f>SUMIFS(tblBudget[Gold_Poured_oz],tblBudget[Month],$E12)</f>
        <v/>
      </c>
      <c r="KP12" s="55">
        <f>$KO12*$C12/$D12</f>
        <v/>
      </c>
      <c r="KQ12" s="55">
        <f>SUMIFS(tblBudget[Gold_Poured_oz],tblBudget[Month],"&lt;"&amp;$E12)+$KP12</f>
        <v/>
      </c>
      <c r="KR12" s="57">
        <f>SUMIFS(tblBudget[Hours_Worked],tblBudget[Month],$E12)</f>
        <v/>
      </c>
      <c r="KS12" s="57">
        <f>$KR12*$C12/$D12</f>
        <v/>
      </c>
      <c r="KT12" s="57">
        <f>SUMIFS(tblBudget[Hours_Worked],tblBudget[Month],"&lt;"&amp;$E12)+$KS12</f>
        <v/>
      </c>
    </row>
    <row r="13">
      <c r="A13" s="54" t="n">
        <v>46034</v>
      </c>
      <c r="B13">
        <f>MONTH($A13)</f>
        <v/>
      </c>
      <c r="C13">
        <f>DAY($A13)</f>
        <v/>
      </c>
      <c r="D13">
        <f>DAY(EOMONTH($A13,0))</f>
        <v/>
      </c>
      <c r="E13" s="54">
        <f>DATE(YEAR($A13),MONTH($A13),1)</f>
        <v/>
      </c>
      <c r="F13" s="55">
        <f>SUMIFS(tblMovement[Tonnes_t],tblMovement[Date],$A13,tblMovement[Is_Ore],1,tblMovement[Source_Type],"Pit")</f>
        <v/>
      </c>
      <c r="G13" s="55">
        <f>IF($B13=$B12,$G12,0)+$F13</f>
        <v/>
      </c>
      <c r="H13" s="55">
        <f>$H12+$F13</f>
        <v/>
      </c>
      <c r="I13" s="55">
        <f>SUMIFS(tblMovement[Ore_oz],tblMovement[Date],$A13,tblMovement[Source_Type],"Pit")</f>
        <v/>
      </c>
      <c r="J13" s="55">
        <f>IF($B13=$B12,$J12,0)+$I13</f>
        <v/>
      </c>
      <c r="K13" s="55">
        <f>$K12+$I13</f>
        <v/>
      </c>
      <c r="L13" s="55">
        <f>SUMIFS(tblMovement[Tonnes_t],tblMovement[Date],$A13,tblMovement[Is_Ore],1,tblMovement[Source_Type],"Pit",tblMovement[Grade_gpt],"&lt;&gt;")</f>
        <v/>
      </c>
      <c r="M13" s="55">
        <f>IF($B13=$B12,$M12,0)+$L13</f>
        <v/>
      </c>
      <c r="N13" s="55">
        <f>$N12+$L13</f>
        <v/>
      </c>
      <c r="O13" s="56">
        <f>IFERROR(IF(($L13)&gt;0,($I13*cfg_TroyOz)/($L13),""),"")</f>
        <v/>
      </c>
      <c r="P13" s="56">
        <f>IFERROR(IF(($M13)&gt;0,($J13*cfg_TroyOz)/($M13),""),"")</f>
        <v/>
      </c>
      <c r="Q13" s="56">
        <f>IFERROR(IF(($N13)&gt;0,($K13*cfg_TroyOz)/($N13),""),"")</f>
        <v/>
      </c>
      <c r="R13" s="55">
        <f>$F13-$L13</f>
        <v/>
      </c>
      <c r="S13" s="55">
        <f>IF($B13=$B12,$S12,0)+$R13</f>
        <v/>
      </c>
      <c r="T13" s="55">
        <f>$T12+$R13</f>
        <v/>
      </c>
      <c r="U13" s="55">
        <f>SUMIFS(tblMovement[Tonnes_t],tblMovement[Date],$A13,tblMovement[Is_Ore],0,tblMovement[Source_Type],"Pit")</f>
        <v/>
      </c>
      <c r="V13" s="55">
        <f>IF($B13=$B12,$V12,0)+$U13</f>
        <v/>
      </c>
      <c r="W13" s="55">
        <f>$W12+$U13</f>
        <v/>
      </c>
      <c r="X13" s="55">
        <f>$F13+$U13</f>
        <v/>
      </c>
      <c r="Y13" s="55">
        <f>IF($B13=$B12,$Y12,0)+$X13</f>
        <v/>
      </c>
      <c r="Z13" s="55">
        <f>$Z12+$X13</f>
        <v/>
      </c>
      <c r="AA13" s="56">
        <f>IFERROR(IF(($F13)&gt;0,($U13)/($F13),""),"")</f>
        <v/>
      </c>
      <c r="AB13" s="56">
        <f>IFERROR(IF(($G13)&gt;0,($V13)/($G13),""),"")</f>
        <v/>
      </c>
      <c r="AC13" s="56">
        <f>IFERROR(IF(($H13)&gt;0,($W13)/($H13),""),"")</f>
        <v/>
      </c>
      <c r="AD13" s="55">
        <f>SUMIFS(tblMovement[Tonnes_t],tblMovement[Date],$A13,tblMovement[Source_Type],"Stockpile")</f>
        <v/>
      </c>
      <c r="AE13" s="55">
        <f>IF($B13=$B12,$AE12,0)+$AD13</f>
        <v/>
      </c>
      <c r="AF13" s="55">
        <f>$AF12+$AD13</f>
        <v/>
      </c>
      <c r="AG13" s="55">
        <f>SUMIFS(tblMovement[Tonnes_t],tblMovement[Date],$A13)</f>
        <v/>
      </c>
      <c r="AH13" s="55">
        <f>IF($B13=$B12,$AH12,0)+$AG13</f>
        <v/>
      </c>
      <c r="AI13" s="55">
        <f>$AI12+$AG13</f>
        <v/>
      </c>
      <c r="AJ13" s="55">
        <f>$AG13-$X13-$AD13</f>
        <v/>
      </c>
      <c r="AK13" s="55">
        <f>IF($B13=$B12,$AK12,0)+$AJ13</f>
        <v/>
      </c>
      <c r="AL13" s="55">
        <f>$AL12+$AJ13</f>
        <v/>
      </c>
      <c r="AM13" s="55">
        <f>SUMIFS(tblMiningDaily[Drill_m],tblMiningDaily[Date],$A13)</f>
        <v/>
      </c>
      <c r="AN13" s="55">
        <f>IF($B13=$B12,$AN12,0)+$AM13</f>
        <v/>
      </c>
      <c r="AO13" s="55">
        <f>$AO12+$AM13</f>
        <v/>
      </c>
      <c r="AP13" s="55">
        <f>SUMIFS(tblMiningDaily[GC_Drill_m],tblMiningDaily[Date],$A13)</f>
        <v/>
      </c>
      <c r="AQ13" s="55">
        <f>IF($B13=$B12,$AQ12,0)+$AP13</f>
        <v/>
      </c>
      <c r="AR13" s="55">
        <f>$AR12+$AP13</f>
        <v/>
      </c>
      <c r="AS13" s="55">
        <f>SUMIFS(tblMiningDaily[Blast_t],tblMiningDaily[Date],$A13)</f>
        <v/>
      </c>
      <c r="AT13" s="55">
        <f>IF($B13=$B12,$AT12,0)+$AS13</f>
        <v/>
      </c>
      <c r="AU13" s="55">
        <f>$AU12+$AS13</f>
        <v/>
      </c>
      <c r="AV13" s="55">
        <f>SUMIFS(tblMiningDaily[Explosives_kg],tblMiningDaily[Date],$A13)</f>
        <v/>
      </c>
      <c r="AW13" s="55">
        <f>IF($B13=$B12,$AW12,0)+$AV13</f>
        <v/>
      </c>
      <c r="AX13" s="55">
        <f>$AX12+$AV13</f>
        <v/>
      </c>
      <c r="AY13" s="56">
        <f>IFERROR(IF(($AS13)&gt;0,($AV13)/($AS13),""),"")</f>
        <v/>
      </c>
      <c r="AZ13" s="56">
        <f>IFERROR(IF(($AT13)&gt;0,($AW13)/($AT13),""),"")</f>
        <v/>
      </c>
      <c r="BA13" s="56">
        <f>IFERROR(IF(($AU13)&gt;0,($AX13)/($AU13),""),"")</f>
        <v/>
      </c>
      <c r="BB13" s="55">
        <f>SUMIFS(tblMiningDaily[Diesel_L],tblMiningDaily[Date],$A13)</f>
        <v/>
      </c>
      <c r="BC13" s="55">
        <f>IF($B13=$B12,$BC12,0)+$BB13</f>
        <v/>
      </c>
      <c r="BD13" s="55">
        <f>$BD12+$BB13</f>
        <v/>
      </c>
      <c r="BE13" s="55">
        <f>SUMIFS(tblMiningDaily[Dewatering_m3],tblMiningDaily[Date],$A13)</f>
        <v/>
      </c>
      <c r="BF13" s="55">
        <f>IF($B13=$B12,$BF12,0)+$BE13</f>
        <v/>
      </c>
      <c r="BG13" s="55">
        <f>$BG12+$BE13</f>
        <v/>
      </c>
      <c r="BH13" s="57">
        <f>SUMIFS(tblFleet[Calendar_h],tblFleet[Date],$A13,tblFleet[Equipment_Class],"Excavator")</f>
        <v/>
      </c>
      <c r="BI13" s="57">
        <f>IF($B13=$B12,$BI12,0)+$BH13</f>
        <v/>
      </c>
      <c r="BJ13" s="57">
        <f>$BJ12+$BH13</f>
        <v/>
      </c>
      <c r="BK13" s="57">
        <f>SUMIFS(tblFleet[Available_h],tblFleet[Date],$A13,tblFleet[Equipment_Class],"Excavator")</f>
        <v/>
      </c>
      <c r="BL13" s="57">
        <f>IF($B13=$B12,$BL12,0)+$BK13</f>
        <v/>
      </c>
      <c r="BM13" s="57">
        <f>$BM12+$BK13</f>
        <v/>
      </c>
      <c r="BN13" s="57">
        <f>SUMIFS(tblFleet[Operating_h],tblFleet[Date],$A13,tblFleet[Equipment_Class],"Excavator")</f>
        <v/>
      </c>
      <c r="BO13" s="57">
        <f>IF($B13=$B12,$BO12,0)+$BN13</f>
        <v/>
      </c>
      <c r="BP13" s="57">
        <f>$BP12+$BN13</f>
        <v/>
      </c>
      <c r="BQ13" s="67">
        <f>IFERROR(IF(($BH13)&gt;0,($BK13)/($BH13),""),"")</f>
        <v/>
      </c>
      <c r="BR13" s="67">
        <f>IFERROR(IF(($BI13)&gt;0,($BL13)/($BI13),""),"")</f>
        <v/>
      </c>
      <c r="BS13" s="67">
        <f>IFERROR(IF(($BJ13)&gt;0,($BM13)/($BJ13),""),"")</f>
        <v/>
      </c>
      <c r="BT13" s="67">
        <f>IFERROR(IF(($BK13)&gt;0,($BN13)/($BK13),""),"")</f>
        <v/>
      </c>
      <c r="BU13" s="67">
        <f>IFERROR(IF(($BL13)&gt;0,($BO13)/($BL13),""),"")</f>
        <v/>
      </c>
      <c r="BV13" s="67">
        <f>IFERROR(IF(($BM13)&gt;0,($BP13)/($BM13),""),"")</f>
        <v/>
      </c>
      <c r="BW13" s="57">
        <f>SUMIFS(tblFleet[Calendar_h],tblFleet[Date],$A13,tblFleet[Equipment_Class],"Haul Truck")</f>
        <v/>
      </c>
      <c r="BX13" s="57">
        <f>IF($B13=$B12,$BX12,0)+$BW13</f>
        <v/>
      </c>
      <c r="BY13" s="57">
        <f>$BY12+$BW13</f>
        <v/>
      </c>
      <c r="BZ13" s="57">
        <f>SUMIFS(tblFleet[Available_h],tblFleet[Date],$A13,tblFleet[Equipment_Class],"Haul Truck")</f>
        <v/>
      </c>
      <c r="CA13" s="57">
        <f>IF($B13=$B12,$CA12,0)+$BZ13</f>
        <v/>
      </c>
      <c r="CB13" s="57">
        <f>$CB12+$BZ13</f>
        <v/>
      </c>
      <c r="CC13" s="57">
        <f>SUMIFS(tblFleet[Operating_h],tblFleet[Date],$A13,tblFleet[Equipment_Class],"Haul Truck")</f>
        <v/>
      </c>
      <c r="CD13" s="57">
        <f>IF($B13=$B12,$CD12,0)+$CC13</f>
        <v/>
      </c>
      <c r="CE13" s="57">
        <f>$CE12+$CC13</f>
        <v/>
      </c>
      <c r="CF13" s="67">
        <f>IFERROR(IF(($BW13)&gt;0,($BZ13)/($BW13),""),"")</f>
        <v/>
      </c>
      <c r="CG13" s="67">
        <f>IFERROR(IF(($BX13)&gt;0,($CA13)/($BX13),""),"")</f>
        <v/>
      </c>
      <c r="CH13" s="67">
        <f>IFERROR(IF(($BY13)&gt;0,($CB13)/($BY13),""),"")</f>
        <v/>
      </c>
      <c r="CI13" s="67">
        <f>IFERROR(IF(($BZ13)&gt;0,($CC13)/($BZ13),""),"")</f>
        <v/>
      </c>
      <c r="CJ13" s="67">
        <f>IFERROR(IF(($CA13)&gt;0,($CD13)/($CA13),""),"")</f>
        <v/>
      </c>
      <c r="CK13" s="67">
        <f>IFERROR(IF(($CB13)&gt;0,($CE13)/($CB13),""),"")</f>
        <v/>
      </c>
      <c r="CL13" s="55">
        <f>IFERROR(IF(($BN13)&gt;0,($X13+$AD13)/($BN13),""),"")</f>
        <v/>
      </c>
      <c r="CM13" s="55">
        <f>IFERROR(IF(($BO13)&gt;0,($Y13+$AE13)/($BO13),""),"")</f>
        <v/>
      </c>
      <c r="CN13" s="55">
        <f>IFERROR(IF(($BP13)&gt;0,($Z13+$AF13)/($BP13),""),"")</f>
        <v/>
      </c>
      <c r="CO13" s="55">
        <f>IFERROR(IF(($CC13)&gt;0,($X13+$AD13)/($CC13),""),"")</f>
        <v/>
      </c>
      <c r="CP13" s="55">
        <f>IFERROR(IF(($CD13)&gt;0,($Y13+$AE13)/($CD13),""),"")</f>
        <v/>
      </c>
      <c r="CQ13" s="55">
        <f>IFERROR(IF(($CE13)&gt;0,($Z13+$AF13)/($CE13),""),"")</f>
        <v/>
      </c>
      <c r="CR13" s="55">
        <f>SUMIFS(tblPlant[Crushed_t],tblPlant[Date],$A13)</f>
        <v/>
      </c>
      <c r="CS13" s="55">
        <f>IF($B13=$B12,$CS12,0)+$CR13</f>
        <v/>
      </c>
      <c r="CT13" s="55">
        <f>$CT12+$CR13</f>
        <v/>
      </c>
      <c r="CU13" s="55">
        <f>SUMIFS(tblPlant[Milled_t],tblPlant[Date],$A13)</f>
        <v/>
      </c>
      <c r="CV13" s="55">
        <f>IF($B13=$B12,$CV12,0)+$CU13</f>
        <v/>
      </c>
      <c r="CW13" s="55">
        <f>$CW12+$CU13</f>
        <v/>
      </c>
      <c r="CX13" s="55">
        <f>SUMIFS(tblPlant[Feed_oz],tblPlant[Date],$A13)</f>
        <v/>
      </c>
      <c r="CY13" s="55">
        <f>IF($B13=$B12,$CY12,0)+$CX13</f>
        <v/>
      </c>
      <c r="CZ13" s="55">
        <f>$CZ12+$CX13</f>
        <v/>
      </c>
      <c r="DA13" s="55">
        <f>SUMIFS(tblPlant[Tails_oz],tblPlant[Date],$A13)</f>
        <v/>
      </c>
      <c r="DB13" s="55">
        <f>IF($B13=$B12,$DB12,0)+$DA13</f>
        <v/>
      </c>
      <c r="DC13" s="55">
        <f>$DC12+$DA13</f>
        <v/>
      </c>
      <c r="DD13" s="55">
        <f>SUMIFS(tblPlant[Recovered_oz],tblPlant[Date],$A13)</f>
        <v/>
      </c>
      <c r="DE13" s="55">
        <f>IF($B13=$B12,$DE12,0)+$DD13</f>
        <v/>
      </c>
      <c r="DF13" s="55">
        <f>$DF12+$DD13</f>
        <v/>
      </c>
      <c r="DG13" s="55">
        <f>SUMIFS(tblPlant[Milled_t],tblPlant[Date],$A13,tblPlant[Head_Grade_gpt],"&lt;&gt;")</f>
        <v/>
      </c>
      <c r="DH13" s="55">
        <f>IF($B13=$B12,$DH12,0)+$DG13</f>
        <v/>
      </c>
      <c r="DI13" s="55">
        <f>$DI12+$DG13</f>
        <v/>
      </c>
      <c r="DJ13" s="55">
        <f>SUMIFS(tblPlant[Milled_t],tblPlant[Date],$A13,tblPlant[Tails_Grade_gpt],"&lt;&gt;")</f>
        <v/>
      </c>
      <c r="DK13" s="55">
        <f>IF($B13=$B12,$DK12,0)+$DJ13</f>
        <v/>
      </c>
      <c r="DL13" s="55">
        <f>$DL12+$DJ13</f>
        <v/>
      </c>
      <c r="DM13" s="55">
        <f>SUMIFS(tblPlant[Feed_oz],tblPlant[Date],$A13,tblPlant[Tails_Grade_gpt],"&lt;&gt;")</f>
        <v/>
      </c>
      <c r="DN13" s="55">
        <f>IF($B13=$B12,$DN12,0)+$DM13</f>
        <v/>
      </c>
      <c r="DO13" s="55">
        <f>$DO12+$DM13</f>
        <v/>
      </c>
      <c r="DP13" s="55">
        <f>SUMIFS(tblPlant[Milled_t],tblPlant[Date],$A13,tblPlant[Mill_Run_h],"&lt;&gt;")</f>
        <v/>
      </c>
      <c r="DQ13" s="55">
        <f>IF($B13=$B12,$DQ12,0)+$DP13</f>
        <v/>
      </c>
      <c r="DR13" s="55">
        <f>$DR12+$DP13</f>
        <v/>
      </c>
      <c r="DS13" s="56">
        <f>IFERROR(IF(($DG13)&gt;0,($CX13*cfg_TroyOz)/($DG13),""),"")</f>
        <v/>
      </c>
      <c r="DT13" s="56">
        <f>IFERROR(IF(($DH13)&gt;0,($CY13*cfg_TroyOz)/($DH13),""),"")</f>
        <v/>
      </c>
      <c r="DU13" s="56">
        <f>IFERROR(IF(($DI13)&gt;0,($CZ13*cfg_TroyOz)/($DI13),""),"")</f>
        <v/>
      </c>
      <c r="DV13" s="56">
        <f>IFERROR(IF(($DJ13)&gt;0,($DA13*cfg_TroyOz)/($DJ13),""),"")</f>
        <v/>
      </c>
      <c r="DW13" s="56">
        <f>IFERROR(IF(($DK13)&gt;0,($DB13*cfg_TroyOz)/($DK13),""),"")</f>
        <v/>
      </c>
      <c r="DX13" s="56">
        <f>IFERROR(IF(($DL13)&gt;0,($DC13*cfg_TroyOz)/($DL13),""),"")</f>
        <v/>
      </c>
      <c r="DY13" s="67">
        <f>IFERROR(IF(($DM13)&gt;0,($DD13)/($DM13),""),"")</f>
        <v/>
      </c>
      <c r="DZ13" s="67">
        <f>IFERROR(IF(($DN13)&gt;0,($DE13)/($DN13),""),"")</f>
        <v/>
      </c>
      <c r="EA13" s="67">
        <f>IFERROR(IF(($DO13)&gt;0,($DF13)/($DO13),""),"")</f>
        <v/>
      </c>
      <c r="EB13" s="55">
        <f>SUMIFS(tblPlant[Gravity_Gold_oz],tblPlant[Date],$A13)</f>
        <v/>
      </c>
      <c r="EC13" s="55">
        <f>IF($B13=$B12,$EC12,0)+$EB13</f>
        <v/>
      </c>
      <c r="ED13" s="55">
        <f>$ED12+$EB13</f>
        <v/>
      </c>
      <c r="EE13" s="67">
        <f>IFERROR(IF(($DD13)&gt;0,($EB13)/($DD13),""),"")</f>
        <v/>
      </c>
      <c r="EF13" s="67">
        <f>IFERROR(IF(($DE13)&gt;0,($EC13)/($DE13),""),"")</f>
        <v/>
      </c>
      <c r="EG13" s="67">
        <f>IFERROR(IF(($DF13)&gt;0,($ED13)/($DF13),""),"")</f>
        <v/>
      </c>
      <c r="EH13" s="55">
        <f>SUMIFS(tblPlant[Gold_Poured_oz],tblPlant[Date],$A13)</f>
        <v/>
      </c>
      <c r="EI13" s="55">
        <f>IF($B13=$B12,$EI12,0)+$EH13</f>
        <v/>
      </c>
      <c r="EJ13" s="55">
        <f>$EJ12+$EH13</f>
        <v/>
      </c>
      <c r="EK13" s="57">
        <f>SUMIFS(tblPlant[Mill_Run_h],tblPlant[Date],$A13)</f>
        <v/>
      </c>
      <c r="EL13" s="57">
        <f>IF($B13=$B12,$EL12,0)+$EK13</f>
        <v/>
      </c>
      <c r="EM13" s="57">
        <f>$EM12+$EK13</f>
        <v/>
      </c>
      <c r="EN13" s="57">
        <f>SUMIFS(tblPlant[Mill_Planned_Maint_h],tblPlant[Date],$A13)</f>
        <v/>
      </c>
      <c r="EO13" s="57">
        <f>IF($B13=$B12,$EO12,0)+$EN13</f>
        <v/>
      </c>
      <c r="EP13" s="57">
        <f>$EP12+$EN13</f>
        <v/>
      </c>
      <c r="EQ13" s="57">
        <f>SUMIFS(tblPlant[Mill_Unplanned_Down_h],tblPlant[Date],$A13)</f>
        <v/>
      </c>
      <c r="ER13" s="57">
        <f>IF($B13=$B12,$ER12,0)+$EQ13</f>
        <v/>
      </c>
      <c r="ES13" s="57">
        <f>$ES12+$EQ13</f>
        <v/>
      </c>
      <c r="ET13" s="57">
        <f>IF(COUNTIFS(tblPlant[Date],$A13,tblPlant[Mill_Run_h],"&lt;&gt;")+COUNTIFS(tblPlant[Date],$A13,tblPlant[Mill_Planned_Maint_h],"&lt;&gt;")+COUNTIFS(tblPlant[Date],$A13,tblPlant[Mill_Unplanned_Down_h],"&lt;&gt;")&gt;0,cfg_HoursPerDay,0)</f>
        <v/>
      </c>
      <c r="EU13" s="57">
        <f>IF($B13=$B12,$EU12,0)+$ET13</f>
        <v/>
      </c>
      <c r="EV13" s="57">
        <f>$EV12+$ET13</f>
        <v/>
      </c>
      <c r="EW13" s="57">
        <f>SUMIFS(tblPlant[Crusher_Run_h],tblPlant[Date],$A13)</f>
        <v/>
      </c>
      <c r="EX13" s="57">
        <f>IF($B13=$B12,$EX12,0)+$EW13</f>
        <v/>
      </c>
      <c r="EY13" s="57">
        <f>$EY12+$EW13</f>
        <v/>
      </c>
      <c r="EZ13" s="55">
        <f>IFERROR(IF(($EK13)&gt;0,($DP13)/($EK13),""),"")</f>
        <v/>
      </c>
      <c r="FA13" s="55">
        <f>IFERROR(IF(($EL13)&gt;0,($DQ13)/($EL13),""),"")</f>
        <v/>
      </c>
      <c r="FB13" s="55">
        <f>IFERROR(IF(($EM13)&gt;0,($DR13)/($EM13),""),"")</f>
        <v/>
      </c>
      <c r="FC13" s="67">
        <f>IFERROR(IF(($ET13)&gt;0,($ET13-$EN13-$EQ13)/($ET13),""),"")</f>
        <v/>
      </c>
      <c r="FD13" s="67">
        <f>IFERROR(IF(($EU13)&gt;0,($EU13-$EO13-$ER13)/($EU13),""),"")</f>
        <v/>
      </c>
      <c r="FE13" s="67">
        <f>IFERROR(IF(($EV13)&gt;0,($EV13-$EP13-$ES13)/($EV13),""),"")</f>
        <v/>
      </c>
      <c r="FF13" s="67">
        <f>IFERROR(IF(($ET13-$EN13-$EQ13)&gt;0,($EK13)/($ET13-$EN13-$EQ13),""),"")</f>
        <v/>
      </c>
      <c r="FG13" s="67">
        <f>IFERROR(IF(($EU13-$EO13-$ER13)&gt;0,($EL13)/($EU13-$EO13-$ER13),""),"")</f>
        <v/>
      </c>
      <c r="FH13" s="67">
        <f>IFERROR(IF(($EV13-$EP13-$ES13)&gt;0,($EM13)/($EV13-$EP13-$ES13),""),"")</f>
        <v/>
      </c>
      <c r="FI13" s="55">
        <f>SUMIFS(tblPlant[Cyanide_kg],tblPlant[Date],$A13)</f>
        <v/>
      </c>
      <c r="FJ13" s="55">
        <f>IF($B13=$B12,$FJ12,0)+$FI13</f>
        <v/>
      </c>
      <c r="FK13" s="55">
        <f>$FK12+$FI13</f>
        <v/>
      </c>
      <c r="FL13" s="55">
        <f>SUMIFS(tblPlant[Lime_kg],tblPlant[Date],$A13)</f>
        <v/>
      </c>
      <c r="FM13" s="55">
        <f>IF($B13=$B12,$FM12,0)+$FL13</f>
        <v/>
      </c>
      <c r="FN13" s="55">
        <f>$FN12+$FL13</f>
        <v/>
      </c>
      <c r="FO13" s="55">
        <f>SUMIFS(tblPlant[Grinding_Media_kg],tblPlant[Date],$A13)</f>
        <v/>
      </c>
      <c r="FP13" s="55">
        <f>IF($B13=$B12,$FP12,0)+$FO13</f>
        <v/>
      </c>
      <c r="FQ13" s="55">
        <f>$FQ12+$FO13</f>
        <v/>
      </c>
      <c r="FR13" s="55">
        <f>SUMIFS(tblPlant[Power_kWh],tblPlant[Date],$A13)</f>
        <v/>
      </c>
      <c r="FS13" s="55">
        <f>IF($B13=$B12,$FS12,0)+$FR13</f>
        <v/>
      </c>
      <c r="FT13" s="55">
        <f>$FT12+$FR13</f>
        <v/>
      </c>
      <c r="FU13" s="55">
        <f>SUMIFS(tblPlant[Raw_Water_m3],tblPlant[Date],$A13)</f>
        <v/>
      </c>
      <c r="FV13" s="55">
        <f>IF($B13=$B12,$FV12,0)+$FU13</f>
        <v/>
      </c>
      <c r="FW13" s="55">
        <f>$FW12+$FU13</f>
        <v/>
      </c>
      <c r="FX13" s="56">
        <f>IFERROR(IF(($CU13)&gt;0,($FI13)/($CU13),""),"")</f>
        <v/>
      </c>
      <c r="FY13" s="56">
        <f>IFERROR(IF(($CV13)&gt;0,($FJ13)/($CV13),""),"")</f>
        <v/>
      </c>
      <c r="FZ13" s="56">
        <f>IFERROR(IF(($CW13)&gt;0,($FK13)/($CW13),""),"")</f>
        <v/>
      </c>
      <c r="GA13" s="56">
        <f>IFERROR(IF(($CU13)&gt;0,($FL13)/($CU13),""),"")</f>
        <v/>
      </c>
      <c r="GB13" s="56">
        <f>IFERROR(IF(($CV13)&gt;0,($FM13)/($CV13),""),"")</f>
        <v/>
      </c>
      <c r="GC13" s="56">
        <f>IFERROR(IF(($CW13)&gt;0,($FN13)/($CW13),""),"")</f>
        <v/>
      </c>
      <c r="GD13" s="56">
        <f>IFERROR(IF(($CU13)&gt;0,($FO13)/($CU13),""),"")</f>
        <v/>
      </c>
      <c r="GE13" s="56">
        <f>IFERROR(IF(($CV13)&gt;0,($FP13)/($CV13),""),"")</f>
        <v/>
      </c>
      <c r="GF13" s="56">
        <f>IFERROR(IF(($CW13)&gt;0,($FQ13)/($CW13),""),"")</f>
        <v/>
      </c>
      <c r="GG13" s="79">
        <f>IFERROR(IF(($CU13)&gt;0,($FR13)/($CU13),""),"")</f>
        <v/>
      </c>
      <c r="GH13" s="79">
        <f>IFERROR(IF(($CV13)&gt;0,($FS13)/($CV13),""),"")</f>
        <v/>
      </c>
      <c r="GI13" s="79">
        <f>IFERROR(IF(($CW13)&gt;0,($FT13)/($CW13),""),"")</f>
        <v/>
      </c>
      <c r="GJ13" s="56">
        <f>IFERROR(IF(($CU13)&gt;0,($FU13)/($CU13),""),"")</f>
        <v/>
      </c>
      <c r="GK13" s="56">
        <f>IFERROR(IF(($CV13)&gt;0,($FV13)/($CV13),""),"")</f>
        <v/>
      </c>
      <c r="GL13" s="56">
        <f>IFERROR(IF(($CW13)&gt;0,($FW13)/($CW13),""),"")</f>
        <v/>
      </c>
      <c r="GM13" s="55">
        <f>IF(SUMIFS(tblPlant[GIC_oz],tblPlant[Date],$A13)&gt;0,SUMIFS(tblPlant[GIC_oz],tblPlant[Date],$A13),"")</f>
        <v/>
      </c>
      <c r="GN13" s="55">
        <f>SUMIFS(tblGold[Gold_oz],tblGold[Date],$A13,tblGold[Type],"Shipment")</f>
        <v/>
      </c>
      <c r="GO13" s="55">
        <f>IF($B13=$B12,$GO12,0)+$GN13</f>
        <v/>
      </c>
      <c r="GP13" s="55">
        <f>$GP12+$GN13</f>
        <v/>
      </c>
      <c r="GQ13" s="55">
        <f>SUMIFS(tblGold[Gold_oz],tblGold[Date],$A13,tblGold[Type],"Sale")</f>
        <v/>
      </c>
      <c r="GR13" s="55">
        <f>IF($B13=$B12,$GR12,0)+$GQ13</f>
        <v/>
      </c>
      <c r="GS13" s="55">
        <f>$GS12+$GQ13</f>
        <v/>
      </c>
      <c r="GT13" s="55">
        <f>SUMIFS(tblGold[Dore_kg],tblGold[Date],$A13,tblGold[Type],"Shipment")</f>
        <v/>
      </c>
      <c r="GU13" s="55">
        <f>IF($B13=$B12,$GU12,0)+$GT13</f>
        <v/>
      </c>
      <c r="GV13" s="55">
        <f>$GV12+$GT13</f>
        <v/>
      </c>
      <c r="GW13" s="57">
        <f>SUMIFS(tblSafety[Hours_Total],tblSafety[Date],$A13)</f>
        <v/>
      </c>
      <c r="GX13" s="57">
        <f>IF($B13=$B12,$GX12,0)+$GW13</f>
        <v/>
      </c>
      <c r="GY13" s="57">
        <f>$GY12+$GW13</f>
        <v/>
      </c>
      <c r="GZ13" s="62">
        <f>SUMIFS(tblSafety[Fatality],tblSafety[Date],$A13)</f>
        <v/>
      </c>
      <c r="HA13" s="62">
        <f>IF($B13=$B12,$HA12,0)+$GZ13</f>
        <v/>
      </c>
      <c r="HB13" s="62">
        <f>$HB12+$GZ13</f>
        <v/>
      </c>
      <c r="HC13" s="62">
        <f>SUMIFS(tblSafety[LTI],tblSafety[Date],$A13)</f>
        <v/>
      </c>
      <c r="HD13" s="62">
        <f>IF($B13=$B12,$HD12,0)+$HC13</f>
        <v/>
      </c>
      <c r="HE13" s="62">
        <f>$HE12+$HC13</f>
        <v/>
      </c>
      <c r="HF13" s="62">
        <f>SUMIFS(tblSafety[RWI],tblSafety[Date],$A13)</f>
        <v/>
      </c>
      <c r="HG13" s="62">
        <f>IF($B13=$B12,$HG12,0)+$HF13</f>
        <v/>
      </c>
      <c r="HH13" s="62">
        <f>$HH12+$HF13</f>
        <v/>
      </c>
      <c r="HI13" s="62">
        <f>SUMIFS(tblSafety[MTI],tblSafety[Date],$A13)</f>
        <v/>
      </c>
      <c r="HJ13" s="62">
        <f>IF($B13=$B12,$HJ12,0)+$HI13</f>
        <v/>
      </c>
      <c r="HK13" s="62">
        <f>$HK12+$HI13</f>
        <v/>
      </c>
      <c r="HL13" s="62">
        <f>SUMIFS(tblSafety[FAI],tblSafety[Date],$A13)</f>
        <v/>
      </c>
      <c r="HM13" s="62">
        <f>IF($B13=$B12,$HM12,0)+$HL13</f>
        <v/>
      </c>
      <c r="HN13" s="62">
        <f>$HN12+$HL13</f>
        <v/>
      </c>
      <c r="HO13" s="62">
        <f>SUMIFS(tblSafety[Recordables],tblSafety[Date],$A13)</f>
        <v/>
      </c>
      <c r="HP13" s="62">
        <f>IF($B13=$B12,$HP12,0)+$HO13</f>
        <v/>
      </c>
      <c r="HQ13" s="62">
        <f>$HQ12+$HO13</f>
        <v/>
      </c>
      <c r="HR13" s="62">
        <f>SUMIFS(tblSafety[Near_Miss],tblSafety[Date],$A13)</f>
        <v/>
      </c>
      <c r="HS13" s="62">
        <f>IF($B13=$B12,$HS12,0)+$HR13</f>
        <v/>
      </c>
      <c r="HT13" s="62">
        <f>$HT12+$HR13</f>
        <v/>
      </c>
      <c r="HU13" s="62">
        <f>SUMIFS(tblSafety[Hazard_Reports],tblSafety[Date],$A13)</f>
        <v/>
      </c>
      <c r="HV13" s="62">
        <f>IF($B13=$B12,$HV12,0)+$HU13</f>
        <v/>
      </c>
      <c r="HW13" s="62">
        <f>$HW12+$HU13</f>
        <v/>
      </c>
      <c r="HX13" s="62">
        <f>SUMIFS(tblSafety[HPI],tblSafety[Date],$A13)</f>
        <v/>
      </c>
      <c r="HY13" s="62">
        <f>IF($B13=$B12,$HY12,0)+$HX13</f>
        <v/>
      </c>
      <c r="HZ13" s="62">
        <f>$HZ12+$HX13</f>
        <v/>
      </c>
      <c r="IA13" s="62">
        <f>SUMIFS(tblSafety[Env_Incidents],tblSafety[Date],$A13)</f>
        <v/>
      </c>
      <c r="IB13" s="62">
        <f>IF($B13=$B12,$IB12,0)+$IA13</f>
        <v/>
      </c>
      <c r="IC13" s="62">
        <f>$IC12+$IA13</f>
        <v/>
      </c>
      <c r="ID13" s="62">
        <f>SUMIFS(tblSafety[Community_Incidents],tblSafety[Date],$A13)</f>
        <v/>
      </c>
      <c r="IE13" s="62">
        <f>IF($B13=$B12,$IE12,0)+$ID13</f>
        <v/>
      </c>
      <c r="IF13" s="62">
        <f>$IF12+$ID13</f>
        <v/>
      </c>
      <c r="IG13" s="62">
        <f>SUMIFS(tblSafety[Vehicle_Incidents],tblSafety[Date],$A13)</f>
        <v/>
      </c>
      <c r="IH13" s="62">
        <f>IF($B13=$B12,$IH12,0)+$IG13</f>
        <v/>
      </c>
      <c r="II13" s="62">
        <f>$II12+$IG13</f>
        <v/>
      </c>
      <c r="IJ13" s="62">
        <f>SUMIFS(tblSafety[Toolbox_Talks],tblSafety[Date],$A13)</f>
        <v/>
      </c>
      <c r="IK13" s="62">
        <f>IF($B13=$B12,$IK12,0)+$IJ13</f>
        <v/>
      </c>
      <c r="IL13" s="62">
        <f>$IL12+$IJ13</f>
        <v/>
      </c>
      <c r="IM13" s="62">
        <f>SUMIFS(tblSafety[Inspections],tblSafety[Date],$A13)</f>
        <v/>
      </c>
      <c r="IN13" s="62">
        <f>IF($B13=$B12,$IN12,0)+$IM13</f>
        <v/>
      </c>
      <c r="IO13" s="62">
        <f>$IO12+$IM13</f>
        <v/>
      </c>
      <c r="IP13" s="56">
        <f>IFERROR((SUMIFS(tblSafety[Recordables],tblSafety[Date],"&gt;="&amp;EDATE($E13,-12),tblSafety[Date],"&lt;="&amp;$A13)+SUMIFS(tblSafetyHistory[Recordables],tblSafetyHistory[Month],"&gt;="&amp;EDATE($E13,-12),tblSafetyHistory[Month],"&lt;"&amp;$E13,tblSafetyHistory[Use],1))/(SUMIFS(tblSafety[Hours_Total],tblSafety[Date],"&gt;="&amp;EDATE($E13,-12),tblSafety[Date],"&lt;="&amp;$A13)+SUMIFS(tblSafetyHistory[Hours_Total],tblSafetyHistory[Month],"&gt;="&amp;EDATE($E13,-12),tblSafetyHistory[Month],"&lt;"&amp;$E13,tblSafetyHistory[Use],1))*cfg_RateBasisHours,"")</f>
        <v/>
      </c>
      <c r="IQ13" s="56">
        <f>IFERROR((SUMIFS(tblSafety[LTI],tblSafety[Date],"&gt;="&amp;EDATE($E13,-12),tblSafety[Date],"&lt;="&amp;$A13)+SUMIFS(tblSafetyHistory[LTI],tblSafetyHistory[Month],"&gt;="&amp;EDATE($E13,-12),tblSafetyHistory[Month],"&lt;"&amp;$E13,tblSafetyHistory[Use],1))/(SUMIFS(tblSafety[Hours_Total],tblSafety[Date],"&gt;="&amp;EDATE($E13,-12),tblSafety[Date],"&lt;="&amp;$A13)+SUMIFS(tblSafetyHistory[Hours_Total],tblSafetyHistory[Month],"&gt;="&amp;EDATE($E13,-12),tblSafetyHistory[Month],"&lt;"&amp;$E13,tblSafetyHistory[Use],1))*cfg_RateBasisHours,"")</f>
        <v/>
      </c>
      <c r="IR13" s="62">
        <f>IF(MAX(N(cfg_PriorLTIDate),_xlfn.MAXIFS(tblSafety[Date],tblSafety[LTI],"&gt;0",tblSafety[Date],"&lt;="&amp;$A13))=0,"",$A13-MAX(N(cfg_PriorLTIDate),_xlfn.MAXIFS(tblSafety[Date],tblSafety[LTI],"&gt;0",tblSafety[Date],"&lt;="&amp;$A13)))</f>
        <v/>
      </c>
      <c r="IS13" s="55">
        <f>SUMIFS(tblBudget[Ore_Mined_t],tblBudget[Month],$E13)</f>
        <v/>
      </c>
      <c r="IT13" s="55">
        <f>$IS13*$C13/$D13</f>
        <v/>
      </c>
      <c r="IU13" s="55">
        <f>SUMIFS(tblBudget[Ore_Mined_t],tblBudget[Month],"&lt;"&amp;$E13)+$IT13</f>
        <v/>
      </c>
      <c r="IV13" s="55">
        <f>SUMIFS(tblBudget[Ore_oz],tblBudget[Month],$E13)</f>
        <v/>
      </c>
      <c r="IW13" s="55">
        <f>$IV13*$C13/$D13</f>
        <v/>
      </c>
      <c r="IX13" s="55">
        <f>SUMIFS(tblBudget[Ore_oz],tblBudget[Month],"&lt;"&amp;$E13)+$IW13</f>
        <v/>
      </c>
      <c r="IY13" s="55">
        <f>SUMIFS(tblBudget[Ore_Mined_t],tblBudget[Month],$E13)</f>
        <v/>
      </c>
      <c r="IZ13" s="55">
        <f>$IY13*$C13/$D13</f>
        <v/>
      </c>
      <c r="JA13" s="55">
        <f>SUMIFS(tblBudget[Ore_Mined_t],tblBudget[Month],"&lt;"&amp;$E13)+$IZ13</f>
        <v/>
      </c>
      <c r="JB13" s="56">
        <f>IFERROR(IF(($IY13)&gt;0,($IV13*cfg_TroyOz)/($IY13),""),"")</f>
        <v/>
      </c>
      <c r="JC13" s="56">
        <f>IFERROR(IF(($IZ13)&gt;0,($IW13*cfg_TroyOz)/($IZ13),""),"")</f>
        <v/>
      </c>
      <c r="JD13" s="56">
        <f>IFERROR(IF(($JA13)&gt;0,($IX13*cfg_TroyOz)/($JA13),""),"")</f>
        <v/>
      </c>
      <c r="JE13" s="55">
        <f>SUMIFS(tblBudget[Waste_t],tblBudget[Month],$E13)</f>
        <v/>
      </c>
      <c r="JF13" s="55">
        <f>$JE13*$C13/$D13</f>
        <v/>
      </c>
      <c r="JG13" s="55">
        <f>SUMIFS(tblBudget[Waste_t],tblBudget[Month],"&lt;"&amp;$E13)+$JF13</f>
        <v/>
      </c>
      <c r="JH13" s="55">
        <f>SUMIFS(tblBudget[TMM_t],tblBudget[Month],$E13)</f>
        <v/>
      </c>
      <c r="JI13" s="55">
        <f>$JH13*$C13/$D13</f>
        <v/>
      </c>
      <c r="JJ13" s="55">
        <f>SUMIFS(tblBudget[TMM_t],tblBudget[Month],"&lt;"&amp;$E13)+$JI13</f>
        <v/>
      </c>
      <c r="JK13" s="56">
        <f>IFERROR(IF(($IS13)&gt;0,($JE13)/($IS13),""),"")</f>
        <v/>
      </c>
      <c r="JL13" s="56">
        <f>IFERROR(IF(($IT13)&gt;0,($JF13)/($IT13),""),"")</f>
        <v/>
      </c>
      <c r="JM13" s="56">
        <f>IFERROR(IF(($IU13)&gt;0,($JG13)/($IU13),""),"")</f>
        <v/>
      </c>
      <c r="JN13" s="55">
        <f>SUMIFS(tblBudget[Drill_m],tblBudget[Month],$E13)</f>
        <v/>
      </c>
      <c r="JO13" s="55">
        <f>$JN13*$C13/$D13</f>
        <v/>
      </c>
      <c r="JP13" s="55">
        <f>SUMIFS(tblBudget[Drill_m],tblBudget[Month],"&lt;"&amp;$E13)+$JO13</f>
        <v/>
      </c>
      <c r="JQ13" s="55">
        <f>SUMIFS(tblBudget[Diesel_L],tblBudget[Month],$E13)</f>
        <v/>
      </c>
      <c r="JR13" s="55">
        <f>$JQ13*$C13/$D13</f>
        <v/>
      </c>
      <c r="JS13" s="55">
        <f>SUMIFS(tblBudget[Diesel_L],tblBudget[Month],"&lt;"&amp;$E13)+$JR13</f>
        <v/>
      </c>
      <c r="JT13" s="55">
        <f>SUMIFS(tblBudget[Milled_t],tblBudget[Month],$E13)</f>
        <v/>
      </c>
      <c r="JU13" s="55">
        <f>$JT13*$C13/$D13</f>
        <v/>
      </c>
      <c r="JV13" s="55">
        <f>SUMIFS(tblBudget[Milled_t],tblBudget[Month],"&lt;"&amp;$E13)+$JU13</f>
        <v/>
      </c>
      <c r="JW13" s="55">
        <f>SUMIFS(tblBudget[Feed_oz],tblBudget[Month],$E13)</f>
        <v/>
      </c>
      <c r="JX13" s="55">
        <f>$JW13*$C13/$D13</f>
        <v/>
      </c>
      <c r="JY13" s="55">
        <f>SUMIFS(tblBudget[Feed_oz],tblBudget[Month],"&lt;"&amp;$E13)+$JX13</f>
        <v/>
      </c>
      <c r="JZ13" s="55">
        <f>SUMIFS(tblBudget[Recovered_oz],tblBudget[Month],$E13)</f>
        <v/>
      </c>
      <c r="KA13" s="55">
        <f>$JZ13*$C13/$D13</f>
        <v/>
      </c>
      <c r="KB13" s="55">
        <f>SUMIFS(tblBudget[Recovered_oz],tblBudget[Month],"&lt;"&amp;$E13)+$KA13</f>
        <v/>
      </c>
      <c r="KC13" s="55">
        <f>SUMIFS(tblBudget[Milled_t],tblBudget[Month],$E13)</f>
        <v/>
      </c>
      <c r="KD13" s="55">
        <f>$KC13*$C13/$D13</f>
        <v/>
      </c>
      <c r="KE13" s="55">
        <f>SUMIFS(tblBudget[Milled_t],tblBudget[Month],"&lt;"&amp;$E13)+$KD13</f>
        <v/>
      </c>
      <c r="KF13" s="55">
        <f>SUMIFS(tblBudget[Feed_oz],tblBudget[Month],$E13)</f>
        <v/>
      </c>
      <c r="KG13" s="55">
        <f>$KF13*$C13/$D13</f>
        <v/>
      </c>
      <c r="KH13" s="55">
        <f>SUMIFS(tblBudget[Feed_oz],tblBudget[Month],"&lt;"&amp;$E13)+$KG13</f>
        <v/>
      </c>
      <c r="KI13" s="56">
        <f>IFERROR(IF(($KC13)&gt;0,($JW13*cfg_TroyOz)/($KC13),""),"")</f>
        <v/>
      </c>
      <c r="KJ13" s="56">
        <f>IFERROR(IF(($KD13)&gt;0,($JX13*cfg_TroyOz)/($KD13),""),"")</f>
        <v/>
      </c>
      <c r="KK13" s="56">
        <f>IFERROR(IF(($KE13)&gt;0,($JY13*cfg_TroyOz)/($KE13),""),"")</f>
        <v/>
      </c>
      <c r="KL13" s="67">
        <f>IFERROR(IF(($KF13)&gt;0,($JZ13)/($KF13),""),"")</f>
        <v/>
      </c>
      <c r="KM13" s="67">
        <f>IFERROR(IF(($KG13)&gt;0,($KA13)/($KG13),""),"")</f>
        <v/>
      </c>
      <c r="KN13" s="67">
        <f>IFERROR(IF(($KH13)&gt;0,($KB13)/($KH13),""),"")</f>
        <v/>
      </c>
      <c r="KO13" s="55">
        <f>SUMIFS(tblBudget[Gold_Poured_oz],tblBudget[Month],$E13)</f>
        <v/>
      </c>
      <c r="KP13" s="55">
        <f>$KO13*$C13/$D13</f>
        <v/>
      </c>
      <c r="KQ13" s="55">
        <f>SUMIFS(tblBudget[Gold_Poured_oz],tblBudget[Month],"&lt;"&amp;$E13)+$KP13</f>
        <v/>
      </c>
      <c r="KR13" s="57">
        <f>SUMIFS(tblBudget[Hours_Worked],tblBudget[Month],$E13)</f>
        <v/>
      </c>
      <c r="KS13" s="57">
        <f>$KR13*$C13/$D13</f>
        <v/>
      </c>
      <c r="KT13" s="57">
        <f>SUMIFS(tblBudget[Hours_Worked],tblBudget[Month],"&lt;"&amp;$E13)+$KS13</f>
        <v/>
      </c>
    </row>
    <row r="14">
      <c r="A14" s="54" t="n">
        <v>46035</v>
      </c>
      <c r="B14">
        <f>MONTH($A14)</f>
        <v/>
      </c>
      <c r="C14">
        <f>DAY($A14)</f>
        <v/>
      </c>
      <c r="D14">
        <f>DAY(EOMONTH($A14,0))</f>
        <v/>
      </c>
      <c r="E14" s="54">
        <f>DATE(YEAR($A14),MONTH($A14),1)</f>
        <v/>
      </c>
      <c r="F14" s="55">
        <f>SUMIFS(tblMovement[Tonnes_t],tblMovement[Date],$A14,tblMovement[Is_Ore],1,tblMovement[Source_Type],"Pit")</f>
        <v/>
      </c>
      <c r="G14" s="55">
        <f>IF($B14=$B13,$G13,0)+$F14</f>
        <v/>
      </c>
      <c r="H14" s="55">
        <f>$H13+$F14</f>
        <v/>
      </c>
      <c r="I14" s="55">
        <f>SUMIFS(tblMovement[Ore_oz],tblMovement[Date],$A14,tblMovement[Source_Type],"Pit")</f>
        <v/>
      </c>
      <c r="J14" s="55">
        <f>IF($B14=$B13,$J13,0)+$I14</f>
        <v/>
      </c>
      <c r="K14" s="55">
        <f>$K13+$I14</f>
        <v/>
      </c>
      <c r="L14" s="55">
        <f>SUMIFS(tblMovement[Tonnes_t],tblMovement[Date],$A14,tblMovement[Is_Ore],1,tblMovement[Source_Type],"Pit",tblMovement[Grade_gpt],"&lt;&gt;")</f>
        <v/>
      </c>
      <c r="M14" s="55">
        <f>IF($B14=$B13,$M13,0)+$L14</f>
        <v/>
      </c>
      <c r="N14" s="55">
        <f>$N13+$L14</f>
        <v/>
      </c>
      <c r="O14" s="56">
        <f>IFERROR(IF(($L14)&gt;0,($I14*cfg_TroyOz)/($L14),""),"")</f>
        <v/>
      </c>
      <c r="P14" s="56">
        <f>IFERROR(IF(($M14)&gt;0,($J14*cfg_TroyOz)/($M14),""),"")</f>
        <v/>
      </c>
      <c r="Q14" s="56">
        <f>IFERROR(IF(($N14)&gt;0,($K14*cfg_TroyOz)/($N14),""),"")</f>
        <v/>
      </c>
      <c r="R14" s="55">
        <f>$F14-$L14</f>
        <v/>
      </c>
      <c r="S14" s="55">
        <f>IF($B14=$B13,$S13,0)+$R14</f>
        <v/>
      </c>
      <c r="T14" s="55">
        <f>$T13+$R14</f>
        <v/>
      </c>
      <c r="U14" s="55">
        <f>SUMIFS(tblMovement[Tonnes_t],tblMovement[Date],$A14,tblMovement[Is_Ore],0,tblMovement[Source_Type],"Pit")</f>
        <v/>
      </c>
      <c r="V14" s="55">
        <f>IF($B14=$B13,$V13,0)+$U14</f>
        <v/>
      </c>
      <c r="W14" s="55">
        <f>$W13+$U14</f>
        <v/>
      </c>
      <c r="X14" s="55">
        <f>$F14+$U14</f>
        <v/>
      </c>
      <c r="Y14" s="55">
        <f>IF($B14=$B13,$Y13,0)+$X14</f>
        <v/>
      </c>
      <c r="Z14" s="55">
        <f>$Z13+$X14</f>
        <v/>
      </c>
      <c r="AA14" s="56">
        <f>IFERROR(IF(($F14)&gt;0,($U14)/($F14),""),"")</f>
        <v/>
      </c>
      <c r="AB14" s="56">
        <f>IFERROR(IF(($G14)&gt;0,($V14)/($G14),""),"")</f>
        <v/>
      </c>
      <c r="AC14" s="56">
        <f>IFERROR(IF(($H14)&gt;0,($W14)/($H14),""),"")</f>
        <v/>
      </c>
      <c r="AD14" s="55">
        <f>SUMIFS(tblMovement[Tonnes_t],tblMovement[Date],$A14,tblMovement[Source_Type],"Stockpile")</f>
        <v/>
      </c>
      <c r="AE14" s="55">
        <f>IF($B14=$B13,$AE13,0)+$AD14</f>
        <v/>
      </c>
      <c r="AF14" s="55">
        <f>$AF13+$AD14</f>
        <v/>
      </c>
      <c r="AG14" s="55">
        <f>SUMIFS(tblMovement[Tonnes_t],tblMovement[Date],$A14)</f>
        <v/>
      </c>
      <c r="AH14" s="55">
        <f>IF($B14=$B13,$AH13,0)+$AG14</f>
        <v/>
      </c>
      <c r="AI14" s="55">
        <f>$AI13+$AG14</f>
        <v/>
      </c>
      <c r="AJ14" s="55">
        <f>$AG14-$X14-$AD14</f>
        <v/>
      </c>
      <c r="AK14" s="55">
        <f>IF($B14=$B13,$AK13,0)+$AJ14</f>
        <v/>
      </c>
      <c r="AL14" s="55">
        <f>$AL13+$AJ14</f>
        <v/>
      </c>
      <c r="AM14" s="55">
        <f>SUMIFS(tblMiningDaily[Drill_m],tblMiningDaily[Date],$A14)</f>
        <v/>
      </c>
      <c r="AN14" s="55">
        <f>IF($B14=$B13,$AN13,0)+$AM14</f>
        <v/>
      </c>
      <c r="AO14" s="55">
        <f>$AO13+$AM14</f>
        <v/>
      </c>
      <c r="AP14" s="55">
        <f>SUMIFS(tblMiningDaily[GC_Drill_m],tblMiningDaily[Date],$A14)</f>
        <v/>
      </c>
      <c r="AQ14" s="55">
        <f>IF($B14=$B13,$AQ13,0)+$AP14</f>
        <v/>
      </c>
      <c r="AR14" s="55">
        <f>$AR13+$AP14</f>
        <v/>
      </c>
      <c r="AS14" s="55">
        <f>SUMIFS(tblMiningDaily[Blast_t],tblMiningDaily[Date],$A14)</f>
        <v/>
      </c>
      <c r="AT14" s="55">
        <f>IF($B14=$B13,$AT13,0)+$AS14</f>
        <v/>
      </c>
      <c r="AU14" s="55">
        <f>$AU13+$AS14</f>
        <v/>
      </c>
      <c r="AV14" s="55">
        <f>SUMIFS(tblMiningDaily[Explosives_kg],tblMiningDaily[Date],$A14)</f>
        <v/>
      </c>
      <c r="AW14" s="55">
        <f>IF($B14=$B13,$AW13,0)+$AV14</f>
        <v/>
      </c>
      <c r="AX14" s="55">
        <f>$AX13+$AV14</f>
        <v/>
      </c>
      <c r="AY14" s="56">
        <f>IFERROR(IF(($AS14)&gt;0,($AV14)/($AS14),""),"")</f>
        <v/>
      </c>
      <c r="AZ14" s="56">
        <f>IFERROR(IF(($AT14)&gt;0,($AW14)/($AT14),""),"")</f>
        <v/>
      </c>
      <c r="BA14" s="56">
        <f>IFERROR(IF(($AU14)&gt;0,($AX14)/($AU14),""),"")</f>
        <v/>
      </c>
      <c r="BB14" s="55">
        <f>SUMIFS(tblMiningDaily[Diesel_L],tblMiningDaily[Date],$A14)</f>
        <v/>
      </c>
      <c r="BC14" s="55">
        <f>IF($B14=$B13,$BC13,0)+$BB14</f>
        <v/>
      </c>
      <c r="BD14" s="55">
        <f>$BD13+$BB14</f>
        <v/>
      </c>
      <c r="BE14" s="55">
        <f>SUMIFS(tblMiningDaily[Dewatering_m3],tblMiningDaily[Date],$A14)</f>
        <v/>
      </c>
      <c r="BF14" s="55">
        <f>IF($B14=$B13,$BF13,0)+$BE14</f>
        <v/>
      </c>
      <c r="BG14" s="55">
        <f>$BG13+$BE14</f>
        <v/>
      </c>
      <c r="BH14" s="57">
        <f>SUMIFS(tblFleet[Calendar_h],tblFleet[Date],$A14,tblFleet[Equipment_Class],"Excavator")</f>
        <v/>
      </c>
      <c r="BI14" s="57">
        <f>IF($B14=$B13,$BI13,0)+$BH14</f>
        <v/>
      </c>
      <c r="BJ14" s="57">
        <f>$BJ13+$BH14</f>
        <v/>
      </c>
      <c r="BK14" s="57">
        <f>SUMIFS(tblFleet[Available_h],tblFleet[Date],$A14,tblFleet[Equipment_Class],"Excavator")</f>
        <v/>
      </c>
      <c r="BL14" s="57">
        <f>IF($B14=$B13,$BL13,0)+$BK14</f>
        <v/>
      </c>
      <c r="BM14" s="57">
        <f>$BM13+$BK14</f>
        <v/>
      </c>
      <c r="BN14" s="57">
        <f>SUMIFS(tblFleet[Operating_h],tblFleet[Date],$A14,tblFleet[Equipment_Class],"Excavator")</f>
        <v/>
      </c>
      <c r="BO14" s="57">
        <f>IF($B14=$B13,$BO13,0)+$BN14</f>
        <v/>
      </c>
      <c r="BP14" s="57">
        <f>$BP13+$BN14</f>
        <v/>
      </c>
      <c r="BQ14" s="67">
        <f>IFERROR(IF(($BH14)&gt;0,($BK14)/($BH14),""),"")</f>
        <v/>
      </c>
      <c r="BR14" s="67">
        <f>IFERROR(IF(($BI14)&gt;0,($BL14)/($BI14),""),"")</f>
        <v/>
      </c>
      <c r="BS14" s="67">
        <f>IFERROR(IF(($BJ14)&gt;0,($BM14)/($BJ14),""),"")</f>
        <v/>
      </c>
      <c r="BT14" s="67">
        <f>IFERROR(IF(($BK14)&gt;0,($BN14)/($BK14),""),"")</f>
        <v/>
      </c>
      <c r="BU14" s="67">
        <f>IFERROR(IF(($BL14)&gt;0,($BO14)/($BL14),""),"")</f>
        <v/>
      </c>
      <c r="BV14" s="67">
        <f>IFERROR(IF(($BM14)&gt;0,($BP14)/($BM14),""),"")</f>
        <v/>
      </c>
      <c r="BW14" s="57">
        <f>SUMIFS(tblFleet[Calendar_h],tblFleet[Date],$A14,tblFleet[Equipment_Class],"Haul Truck")</f>
        <v/>
      </c>
      <c r="BX14" s="57">
        <f>IF($B14=$B13,$BX13,0)+$BW14</f>
        <v/>
      </c>
      <c r="BY14" s="57">
        <f>$BY13+$BW14</f>
        <v/>
      </c>
      <c r="BZ14" s="57">
        <f>SUMIFS(tblFleet[Available_h],tblFleet[Date],$A14,tblFleet[Equipment_Class],"Haul Truck")</f>
        <v/>
      </c>
      <c r="CA14" s="57">
        <f>IF($B14=$B13,$CA13,0)+$BZ14</f>
        <v/>
      </c>
      <c r="CB14" s="57">
        <f>$CB13+$BZ14</f>
        <v/>
      </c>
      <c r="CC14" s="57">
        <f>SUMIFS(tblFleet[Operating_h],tblFleet[Date],$A14,tblFleet[Equipment_Class],"Haul Truck")</f>
        <v/>
      </c>
      <c r="CD14" s="57">
        <f>IF($B14=$B13,$CD13,0)+$CC14</f>
        <v/>
      </c>
      <c r="CE14" s="57">
        <f>$CE13+$CC14</f>
        <v/>
      </c>
      <c r="CF14" s="67">
        <f>IFERROR(IF(($BW14)&gt;0,($BZ14)/($BW14),""),"")</f>
        <v/>
      </c>
      <c r="CG14" s="67">
        <f>IFERROR(IF(($BX14)&gt;0,($CA14)/($BX14),""),"")</f>
        <v/>
      </c>
      <c r="CH14" s="67">
        <f>IFERROR(IF(($BY14)&gt;0,($CB14)/($BY14),""),"")</f>
        <v/>
      </c>
      <c r="CI14" s="67">
        <f>IFERROR(IF(($BZ14)&gt;0,($CC14)/($BZ14),""),"")</f>
        <v/>
      </c>
      <c r="CJ14" s="67">
        <f>IFERROR(IF(($CA14)&gt;0,($CD14)/($CA14),""),"")</f>
        <v/>
      </c>
      <c r="CK14" s="67">
        <f>IFERROR(IF(($CB14)&gt;0,($CE14)/($CB14),""),"")</f>
        <v/>
      </c>
      <c r="CL14" s="55">
        <f>IFERROR(IF(($BN14)&gt;0,($X14+$AD14)/($BN14),""),"")</f>
        <v/>
      </c>
      <c r="CM14" s="55">
        <f>IFERROR(IF(($BO14)&gt;0,($Y14+$AE14)/($BO14),""),"")</f>
        <v/>
      </c>
      <c r="CN14" s="55">
        <f>IFERROR(IF(($BP14)&gt;0,($Z14+$AF14)/($BP14),""),"")</f>
        <v/>
      </c>
      <c r="CO14" s="55">
        <f>IFERROR(IF(($CC14)&gt;0,($X14+$AD14)/($CC14),""),"")</f>
        <v/>
      </c>
      <c r="CP14" s="55">
        <f>IFERROR(IF(($CD14)&gt;0,($Y14+$AE14)/($CD14),""),"")</f>
        <v/>
      </c>
      <c r="CQ14" s="55">
        <f>IFERROR(IF(($CE14)&gt;0,($Z14+$AF14)/($CE14),""),"")</f>
        <v/>
      </c>
      <c r="CR14" s="55">
        <f>SUMIFS(tblPlant[Crushed_t],tblPlant[Date],$A14)</f>
        <v/>
      </c>
      <c r="CS14" s="55">
        <f>IF($B14=$B13,$CS13,0)+$CR14</f>
        <v/>
      </c>
      <c r="CT14" s="55">
        <f>$CT13+$CR14</f>
        <v/>
      </c>
      <c r="CU14" s="55">
        <f>SUMIFS(tblPlant[Milled_t],tblPlant[Date],$A14)</f>
        <v/>
      </c>
      <c r="CV14" s="55">
        <f>IF($B14=$B13,$CV13,0)+$CU14</f>
        <v/>
      </c>
      <c r="CW14" s="55">
        <f>$CW13+$CU14</f>
        <v/>
      </c>
      <c r="CX14" s="55">
        <f>SUMIFS(tblPlant[Feed_oz],tblPlant[Date],$A14)</f>
        <v/>
      </c>
      <c r="CY14" s="55">
        <f>IF($B14=$B13,$CY13,0)+$CX14</f>
        <v/>
      </c>
      <c r="CZ14" s="55">
        <f>$CZ13+$CX14</f>
        <v/>
      </c>
      <c r="DA14" s="55">
        <f>SUMIFS(tblPlant[Tails_oz],tblPlant[Date],$A14)</f>
        <v/>
      </c>
      <c r="DB14" s="55">
        <f>IF($B14=$B13,$DB13,0)+$DA14</f>
        <v/>
      </c>
      <c r="DC14" s="55">
        <f>$DC13+$DA14</f>
        <v/>
      </c>
      <c r="DD14" s="55">
        <f>SUMIFS(tblPlant[Recovered_oz],tblPlant[Date],$A14)</f>
        <v/>
      </c>
      <c r="DE14" s="55">
        <f>IF($B14=$B13,$DE13,0)+$DD14</f>
        <v/>
      </c>
      <c r="DF14" s="55">
        <f>$DF13+$DD14</f>
        <v/>
      </c>
      <c r="DG14" s="55">
        <f>SUMIFS(tblPlant[Milled_t],tblPlant[Date],$A14,tblPlant[Head_Grade_gpt],"&lt;&gt;")</f>
        <v/>
      </c>
      <c r="DH14" s="55">
        <f>IF($B14=$B13,$DH13,0)+$DG14</f>
        <v/>
      </c>
      <c r="DI14" s="55">
        <f>$DI13+$DG14</f>
        <v/>
      </c>
      <c r="DJ14" s="55">
        <f>SUMIFS(tblPlant[Milled_t],tblPlant[Date],$A14,tblPlant[Tails_Grade_gpt],"&lt;&gt;")</f>
        <v/>
      </c>
      <c r="DK14" s="55">
        <f>IF($B14=$B13,$DK13,0)+$DJ14</f>
        <v/>
      </c>
      <c r="DL14" s="55">
        <f>$DL13+$DJ14</f>
        <v/>
      </c>
      <c r="DM14" s="55">
        <f>SUMIFS(tblPlant[Feed_oz],tblPlant[Date],$A14,tblPlant[Tails_Grade_gpt],"&lt;&gt;")</f>
        <v/>
      </c>
      <c r="DN14" s="55">
        <f>IF($B14=$B13,$DN13,0)+$DM14</f>
        <v/>
      </c>
      <c r="DO14" s="55">
        <f>$DO13+$DM14</f>
        <v/>
      </c>
      <c r="DP14" s="55">
        <f>SUMIFS(tblPlant[Milled_t],tblPlant[Date],$A14,tblPlant[Mill_Run_h],"&lt;&gt;")</f>
        <v/>
      </c>
      <c r="DQ14" s="55">
        <f>IF($B14=$B13,$DQ13,0)+$DP14</f>
        <v/>
      </c>
      <c r="DR14" s="55">
        <f>$DR13+$DP14</f>
        <v/>
      </c>
      <c r="DS14" s="56">
        <f>IFERROR(IF(($DG14)&gt;0,($CX14*cfg_TroyOz)/($DG14),""),"")</f>
        <v/>
      </c>
      <c r="DT14" s="56">
        <f>IFERROR(IF(($DH14)&gt;0,($CY14*cfg_TroyOz)/($DH14),""),"")</f>
        <v/>
      </c>
      <c r="DU14" s="56">
        <f>IFERROR(IF(($DI14)&gt;0,($CZ14*cfg_TroyOz)/($DI14),""),"")</f>
        <v/>
      </c>
      <c r="DV14" s="56">
        <f>IFERROR(IF(($DJ14)&gt;0,($DA14*cfg_TroyOz)/($DJ14),""),"")</f>
        <v/>
      </c>
      <c r="DW14" s="56">
        <f>IFERROR(IF(($DK14)&gt;0,($DB14*cfg_TroyOz)/($DK14),""),"")</f>
        <v/>
      </c>
      <c r="DX14" s="56">
        <f>IFERROR(IF(($DL14)&gt;0,($DC14*cfg_TroyOz)/($DL14),""),"")</f>
        <v/>
      </c>
      <c r="DY14" s="67">
        <f>IFERROR(IF(($DM14)&gt;0,($DD14)/($DM14),""),"")</f>
        <v/>
      </c>
      <c r="DZ14" s="67">
        <f>IFERROR(IF(($DN14)&gt;0,($DE14)/($DN14),""),"")</f>
        <v/>
      </c>
      <c r="EA14" s="67">
        <f>IFERROR(IF(($DO14)&gt;0,($DF14)/($DO14),""),"")</f>
        <v/>
      </c>
      <c r="EB14" s="55">
        <f>SUMIFS(tblPlant[Gravity_Gold_oz],tblPlant[Date],$A14)</f>
        <v/>
      </c>
      <c r="EC14" s="55">
        <f>IF($B14=$B13,$EC13,0)+$EB14</f>
        <v/>
      </c>
      <c r="ED14" s="55">
        <f>$ED13+$EB14</f>
        <v/>
      </c>
      <c r="EE14" s="67">
        <f>IFERROR(IF(($DD14)&gt;0,($EB14)/($DD14),""),"")</f>
        <v/>
      </c>
      <c r="EF14" s="67">
        <f>IFERROR(IF(($DE14)&gt;0,($EC14)/($DE14),""),"")</f>
        <v/>
      </c>
      <c r="EG14" s="67">
        <f>IFERROR(IF(($DF14)&gt;0,($ED14)/($DF14),""),"")</f>
        <v/>
      </c>
      <c r="EH14" s="55">
        <f>SUMIFS(tblPlant[Gold_Poured_oz],tblPlant[Date],$A14)</f>
        <v/>
      </c>
      <c r="EI14" s="55">
        <f>IF($B14=$B13,$EI13,0)+$EH14</f>
        <v/>
      </c>
      <c r="EJ14" s="55">
        <f>$EJ13+$EH14</f>
        <v/>
      </c>
      <c r="EK14" s="57">
        <f>SUMIFS(tblPlant[Mill_Run_h],tblPlant[Date],$A14)</f>
        <v/>
      </c>
      <c r="EL14" s="57">
        <f>IF($B14=$B13,$EL13,0)+$EK14</f>
        <v/>
      </c>
      <c r="EM14" s="57">
        <f>$EM13+$EK14</f>
        <v/>
      </c>
      <c r="EN14" s="57">
        <f>SUMIFS(tblPlant[Mill_Planned_Maint_h],tblPlant[Date],$A14)</f>
        <v/>
      </c>
      <c r="EO14" s="57">
        <f>IF($B14=$B13,$EO13,0)+$EN14</f>
        <v/>
      </c>
      <c r="EP14" s="57">
        <f>$EP13+$EN14</f>
        <v/>
      </c>
      <c r="EQ14" s="57">
        <f>SUMIFS(tblPlant[Mill_Unplanned_Down_h],tblPlant[Date],$A14)</f>
        <v/>
      </c>
      <c r="ER14" s="57">
        <f>IF($B14=$B13,$ER13,0)+$EQ14</f>
        <v/>
      </c>
      <c r="ES14" s="57">
        <f>$ES13+$EQ14</f>
        <v/>
      </c>
      <c r="ET14" s="57">
        <f>IF(COUNTIFS(tblPlant[Date],$A14,tblPlant[Mill_Run_h],"&lt;&gt;")+COUNTIFS(tblPlant[Date],$A14,tblPlant[Mill_Planned_Maint_h],"&lt;&gt;")+COUNTIFS(tblPlant[Date],$A14,tblPlant[Mill_Unplanned_Down_h],"&lt;&gt;")&gt;0,cfg_HoursPerDay,0)</f>
        <v/>
      </c>
      <c r="EU14" s="57">
        <f>IF($B14=$B13,$EU13,0)+$ET14</f>
        <v/>
      </c>
      <c r="EV14" s="57">
        <f>$EV13+$ET14</f>
        <v/>
      </c>
      <c r="EW14" s="57">
        <f>SUMIFS(tblPlant[Crusher_Run_h],tblPlant[Date],$A14)</f>
        <v/>
      </c>
      <c r="EX14" s="57">
        <f>IF($B14=$B13,$EX13,0)+$EW14</f>
        <v/>
      </c>
      <c r="EY14" s="57">
        <f>$EY13+$EW14</f>
        <v/>
      </c>
      <c r="EZ14" s="55">
        <f>IFERROR(IF(($EK14)&gt;0,($DP14)/($EK14),""),"")</f>
        <v/>
      </c>
      <c r="FA14" s="55">
        <f>IFERROR(IF(($EL14)&gt;0,($DQ14)/($EL14),""),"")</f>
        <v/>
      </c>
      <c r="FB14" s="55">
        <f>IFERROR(IF(($EM14)&gt;0,($DR14)/($EM14),""),"")</f>
        <v/>
      </c>
      <c r="FC14" s="67">
        <f>IFERROR(IF(($ET14)&gt;0,($ET14-$EN14-$EQ14)/($ET14),""),"")</f>
        <v/>
      </c>
      <c r="FD14" s="67">
        <f>IFERROR(IF(($EU14)&gt;0,($EU14-$EO14-$ER14)/($EU14),""),"")</f>
        <v/>
      </c>
      <c r="FE14" s="67">
        <f>IFERROR(IF(($EV14)&gt;0,($EV14-$EP14-$ES14)/($EV14),""),"")</f>
        <v/>
      </c>
      <c r="FF14" s="67">
        <f>IFERROR(IF(($ET14-$EN14-$EQ14)&gt;0,($EK14)/($ET14-$EN14-$EQ14),""),"")</f>
        <v/>
      </c>
      <c r="FG14" s="67">
        <f>IFERROR(IF(($EU14-$EO14-$ER14)&gt;0,($EL14)/($EU14-$EO14-$ER14),""),"")</f>
        <v/>
      </c>
      <c r="FH14" s="67">
        <f>IFERROR(IF(($EV14-$EP14-$ES14)&gt;0,($EM14)/($EV14-$EP14-$ES14),""),"")</f>
        <v/>
      </c>
      <c r="FI14" s="55">
        <f>SUMIFS(tblPlant[Cyanide_kg],tblPlant[Date],$A14)</f>
        <v/>
      </c>
      <c r="FJ14" s="55">
        <f>IF($B14=$B13,$FJ13,0)+$FI14</f>
        <v/>
      </c>
      <c r="FK14" s="55">
        <f>$FK13+$FI14</f>
        <v/>
      </c>
      <c r="FL14" s="55">
        <f>SUMIFS(tblPlant[Lime_kg],tblPlant[Date],$A14)</f>
        <v/>
      </c>
      <c r="FM14" s="55">
        <f>IF($B14=$B13,$FM13,0)+$FL14</f>
        <v/>
      </c>
      <c r="FN14" s="55">
        <f>$FN13+$FL14</f>
        <v/>
      </c>
      <c r="FO14" s="55">
        <f>SUMIFS(tblPlant[Grinding_Media_kg],tblPlant[Date],$A14)</f>
        <v/>
      </c>
      <c r="FP14" s="55">
        <f>IF($B14=$B13,$FP13,0)+$FO14</f>
        <v/>
      </c>
      <c r="FQ14" s="55">
        <f>$FQ13+$FO14</f>
        <v/>
      </c>
      <c r="FR14" s="55">
        <f>SUMIFS(tblPlant[Power_kWh],tblPlant[Date],$A14)</f>
        <v/>
      </c>
      <c r="FS14" s="55">
        <f>IF($B14=$B13,$FS13,0)+$FR14</f>
        <v/>
      </c>
      <c r="FT14" s="55">
        <f>$FT13+$FR14</f>
        <v/>
      </c>
      <c r="FU14" s="55">
        <f>SUMIFS(tblPlant[Raw_Water_m3],tblPlant[Date],$A14)</f>
        <v/>
      </c>
      <c r="FV14" s="55">
        <f>IF($B14=$B13,$FV13,0)+$FU14</f>
        <v/>
      </c>
      <c r="FW14" s="55">
        <f>$FW13+$FU14</f>
        <v/>
      </c>
      <c r="FX14" s="56">
        <f>IFERROR(IF(($CU14)&gt;0,($FI14)/($CU14),""),"")</f>
        <v/>
      </c>
      <c r="FY14" s="56">
        <f>IFERROR(IF(($CV14)&gt;0,($FJ14)/($CV14),""),"")</f>
        <v/>
      </c>
      <c r="FZ14" s="56">
        <f>IFERROR(IF(($CW14)&gt;0,($FK14)/($CW14),""),"")</f>
        <v/>
      </c>
      <c r="GA14" s="56">
        <f>IFERROR(IF(($CU14)&gt;0,($FL14)/($CU14),""),"")</f>
        <v/>
      </c>
      <c r="GB14" s="56">
        <f>IFERROR(IF(($CV14)&gt;0,($FM14)/($CV14),""),"")</f>
        <v/>
      </c>
      <c r="GC14" s="56">
        <f>IFERROR(IF(($CW14)&gt;0,($FN14)/($CW14),""),"")</f>
        <v/>
      </c>
      <c r="GD14" s="56">
        <f>IFERROR(IF(($CU14)&gt;0,($FO14)/($CU14),""),"")</f>
        <v/>
      </c>
      <c r="GE14" s="56">
        <f>IFERROR(IF(($CV14)&gt;0,($FP14)/($CV14),""),"")</f>
        <v/>
      </c>
      <c r="GF14" s="56">
        <f>IFERROR(IF(($CW14)&gt;0,($FQ14)/($CW14),""),"")</f>
        <v/>
      </c>
      <c r="GG14" s="79">
        <f>IFERROR(IF(($CU14)&gt;0,($FR14)/($CU14),""),"")</f>
        <v/>
      </c>
      <c r="GH14" s="79">
        <f>IFERROR(IF(($CV14)&gt;0,($FS14)/($CV14),""),"")</f>
        <v/>
      </c>
      <c r="GI14" s="79">
        <f>IFERROR(IF(($CW14)&gt;0,($FT14)/($CW14),""),"")</f>
        <v/>
      </c>
      <c r="GJ14" s="56">
        <f>IFERROR(IF(($CU14)&gt;0,($FU14)/($CU14),""),"")</f>
        <v/>
      </c>
      <c r="GK14" s="56">
        <f>IFERROR(IF(($CV14)&gt;0,($FV14)/($CV14),""),"")</f>
        <v/>
      </c>
      <c r="GL14" s="56">
        <f>IFERROR(IF(($CW14)&gt;0,($FW14)/($CW14),""),"")</f>
        <v/>
      </c>
      <c r="GM14" s="55">
        <f>IF(SUMIFS(tblPlant[GIC_oz],tblPlant[Date],$A14)&gt;0,SUMIFS(tblPlant[GIC_oz],tblPlant[Date],$A14),"")</f>
        <v/>
      </c>
      <c r="GN14" s="55">
        <f>SUMIFS(tblGold[Gold_oz],tblGold[Date],$A14,tblGold[Type],"Shipment")</f>
        <v/>
      </c>
      <c r="GO14" s="55">
        <f>IF($B14=$B13,$GO13,0)+$GN14</f>
        <v/>
      </c>
      <c r="GP14" s="55">
        <f>$GP13+$GN14</f>
        <v/>
      </c>
      <c r="GQ14" s="55">
        <f>SUMIFS(tblGold[Gold_oz],tblGold[Date],$A14,tblGold[Type],"Sale")</f>
        <v/>
      </c>
      <c r="GR14" s="55">
        <f>IF($B14=$B13,$GR13,0)+$GQ14</f>
        <v/>
      </c>
      <c r="GS14" s="55">
        <f>$GS13+$GQ14</f>
        <v/>
      </c>
      <c r="GT14" s="55">
        <f>SUMIFS(tblGold[Dore_kg],tblGold[Date],$A14,tblGold[Type],"Shipment")</f>
        <v/>
      </c>
      <c r="GU14" s="55">
        <f>IF($B14=$B13,$GU13,0)+$GT14</f>
        <v/>
      </c>
      <c r="GV14" s="55">
        <f>$GV13+$GT14</f>
        <v/>
      </c>
      <c r="GW14" s="57">
        <f>SUMIFS(tblSafety[Hours_Total],tblSafety[Date],$A14)</f>
        <v/>
      </c>
      <c r="GX14" s="57">
        <f>IF($B14=$B13,$GX13,0)+$GW14</f>
        <v/>
      </c>
      <c r="GY14" s="57">
        <f>$GY13+$GW14</f>
        <v/>
      </c>
      <c r="GZ14" s="62">
        <f>SUMIFS(tblSafety[Fatality],tblSafety[Date],$A14)</f>
        <v/>
      </c>
      <c r="HA14" s="62">
        <f>IF($B14=$B13,$HA13,0)+$GZ14</f>
        <v/>
      </c>
      <c r="HB14" s="62">
        <f>$HB13+$GZ14</f>
        <v/>
      </c>
      <c r="HC14" s="62">
        <f>SUMIFS(tblSafety[LTI],tblSafety[Date],$A14)</f>
        <v/>
      </c>
      <c r="HD14" s="62">
        <f>IF($B14=$B13,$HD13,0)+$HC14</f>
        <v/>
      </c>
      <c r="HE14" s="62">
        <f>$HE13+$HC14</f>
        <v/>
      </c>
      <c r="HF14" s="62">
        <f>SUMIFS(tblSafety[RWI],tblSafety[Date],$A14)</f>
        <v/>
      </c>
      <c r="HG14" s="62">
        <f>IF($B14=$B13,$HG13,0)+$HF14</f>
        <v/>
      </c>
      <c r="HH14" s="62">
        <f>$HH13+$HF14</f>
        <v/>
      </c>
      <c r="HI14" s="62">
        <f>SUMIFS(tblSafety[MTI],tblSafety[Date],$A14)</f>
        <v/>
      </c>
      <c r="HJ14" s="62">
        <f>IF($B14=$B13,$HJ13,0)+$HI14</f>
        <v/>
      </c>
      <c r="HK14" s="62">
        <f>$HK13+$HI14</f>
        <v/>
      </c>
      <c r="HL14" s="62">
        <f>SUMIFS(tblSafety[FAI],tblSafety[Date],$A14)</f>
        <v/>
      </c>
      <c r="HM14" s="62">
        <f>IF($B14=$B13,$HM13,0)+$HL14</f>
        <v/>
      </c>
      <c r="HN14" s="62">
        <f>$HN13+$HL14</f>
        <v/>
      </c>
      <c r="HO14" s="62">
        <f>SUMIFS(tblSafety[Recordables],tblSafety[Date],$A14)</f>
        <v/>
      </c>
      <c r="HP14" s="62">
        <f>IF($B14=$B13,$HP13,0)+$HO14</f>
        <v/>
      </c>
      <c r="HQ14" s="62">
        <f>$HQ13+$HO14</f>
        <v/>
      </c>
      <c r="HR14" s="62">
        <f>SUMIFS(tblSafety[Near_Miss],tblSafety[Date],$A14)</f>
        <v/>
      </c>
      <c r="HS14" s="62">
        <f>IF($B14=$B13,$HS13,0)+$HR14</f>
        <v/>
      </c>
      <c r="HT14" s="62">
        <f>$HT13+$HR14</f>
        <v/>
      </c>
      <c r="HU14" s="62">
        <f>SUMIFS(tblSafety[Hazard_Reports],tblSafety[Date],$A14)</f>
        <v/>
      </c>
      <c r="HV14" s="62">
        <f>IF($B14=$B13,$HV13,0)+$HU14</f>
        <v/>
      </c>
      <c r="HW14" s="62">
        <f>$HW13+$HU14</f>
        <v/>
      </c>
      <c r="HX14" s="62">
        <f>SUMIFS(tblSafety[HPI],tblSafety[Date],$A14)</f>
        <v/>
      </c>
      <c r="HY14" s="62">
        <f>IF($B14=$B13,$HY13,0)+$HX14</f>
        <v/>
      </c>
      <c r="HZ14" s="62">
        <f>$HZ13+$HX14</f>
        <v/>
      </c>
      <c r="IA14" s="62">
        <f>SUMIFS(tblSafety[Env_Incidents],tblSafety[Date],$A14)</f>
        <v/>
      </c>
      <c r="IB14" s="62">
        <f>IF($B14=$B13,$IB13,0)+$IA14</f>
        <v/>
      </c>
      <c r="IC14" s="62">
        <f>$IC13+$IA14</f>
        <v/>
      </c>
      <c r="ID14" s="62">
        <f>SUMIFS(tblSafety[Community_Incidents],tblSafety[Date],$A14)</f>
        <v/>
      </c>
      <c r="IE14" s="62">
        <f>IF($B14=$B13,$IE13,0)+$ID14</f>
        <v/>
      </c>
      <c r="IF14" s="62">
        <f>$IF13+$ID14</f>
        <v/>
      </c>
      <c r="IG14" s="62">
        <f>SUMIFS(tblSafety[Vehicle_Incidents],tblSafety[Date],$A14)</f>
        <v/>
      </c>
      <c r="IH14" s="62">
        <f>IF($B14=$B13,$IH13,0)+$IG14</f>
        <v/>
      </c>
      <c r="II14" s="62">
        <f>$II13+$IG14</f>
        <v/>
      </c>
      <c r="IJ14" s="62">
        <f>SUMIFS(tblSafety[Toolbox_Talks],tblSafety[Date],$A14)</f>
        <v/>
      </c>
      <c r="IK14" s="62">
        <f>IF($B14=$B13,$IK13,0)+$IJ14</f>
        <v/>
      </c>
      <c r="IL14" s="62">
        <f>$IL13+$IJ14</f>
        <v/>
      </c>
      <c r="IM14" s="62">
        <f>SUMIFS(tblSafety[Inspections],tblSafety[Date],$A14)</f>
        <v/>
      </c>
      <c r="IN14" s="62">
        <f>IF($B14=$B13,$IN13,0)+$IM14</f>
        <v/>
      </c>
      <c r="IO14" s="62">
        <f>$IO13+$IM14</f>
        <v/>
      </c>
      <c r="IP14" s="56">
        <f>IFERROR((SUMIFS(tblSafety[Recordables],tblSafety[Date],"&gt;="&amp;EDATE($E14,-12),tblSafety[Date],"&lt;="&amp;$A14)+SUMIFS(tblSafetyHistory[Recordables],tblSafetyHistory[Month],"&gt;="&amp;EDATE($E14,-12),tblSafetyHistory[Month],"&lt;"&amp;$E14,tblSafetyHistory[Use],1))/(SUMIFS(tblSafety[Hours_Total],tblSafety[Date],"&gt;="&amp;EDATE($E14,-12),tblSafety[Date],"&lt;="&amp;$A14)+SUMIFS(tblSafetyHistory[Hours_Total],tblSafetyHistory[Month],"&gt;="&amp;EDATE($E14,-12),tblSafetyHistory[Month],"&lt;"&amp;$E14,tblSafetyHistory[Use],1))*cfg_RateBasisHours,"")</f>
        <v/>
      </c>
      <c r="IQ14" s="56">
        <f>IFERROR((SUMIFS(tblSafety[LTI],tblSafety[Date],"&gt;="&amp;EDATE($E14,-12),tblSafety[Date],"&lt;="&amp;$A14)+SUMIFS(tblSafetyHistory[LTI],tblSafetyHistory[Month],"&gt;="&amp;EDATE($E14,-12),tblSafetyHistory[Month],"&lt;"&amp;$E14,tblSafetyHistory[Use],1))/(SUMIFS(tblSafety[Hours_Total],tblSafety[Date],"&gt;="&amp;EDATE($E14,-12),tblSafety[Date],"&lt;="&amp;$A14)+SUMIFS(tblSafetyHistory[Hours_Total],tblSafetyHistory[Month],"&gt;="&amp;EDATE($E14,-12),tblSafetyHistory[Month],"&lt;"&amp;$E14,tblSafetyHistory[Use],1))*cfg_RateBasisHours,"")</f>
        <v/>
      </c>
      <c r="IR14" s="62">
        <f>IF(MAX(N(cfg_PriorLTIDate),_xlfn.MAXIFS(tblSafety[Date],tblSafety[LTI],"&gt;0",tblSafety[Date],"&lt;="&amp;$A14))=0,"",$A14-MAX(N(cfg_PriorLTIDate),_xlfn.MAXIFS(tblSafety[Date],tblSafety[LTI],"&gt;0",tblSafety[Date],"&lt;="&amp;$A14)))</f>
        <v/>
      </c>
      <c r="IS14" s="55">
        <f>SUMIFS(tblBudget[Ore_Mined_t],tblBudget[Month],$E14)</f>
        <v/>
      </c>
      <c r="IT14" s="55">
        <f>$IS14*$C14/$D14</f>
        <v/>
      </c>
      <c r="IU14" s="55">
        <f>SUMIFS(tblBudget[Ore_Mined_t],tblBudget[Month],"&lt;"&amp;$E14)+$IT14</f>
        <v/>
      </c>
      <c r="IV14" s="55">
        <f>SUMIFS(tblBudget[Ore_oz],tblBudget[Month],$E14)</f>
        <v/>
      </c>
      <c r="IW14" s="55">
        <f>$IV14*$C14/$D14</f>
        <v/>
      </c>
      <c r="IX14" s="55">
        <f>SUMIFS(tblBudget[Ore_oz],tblBudget[Month],"&lt;"&amp;$E14)+$IW14</f>
        <v/>
      </c>
      <c r="IY14" s="55">
        <f>SUMIFS(tblBudget[Ore_Mined_t],tblBudget[Month],$E14)</f>
        <v/>
      </c>
      <c r="IZ14" s="55">
        <f>$IY14*$C14/$D14</f>
        <v/>
      </c>
      <c r="JA14" s="55">
        <f>SUMIFS(tblBudget[Ore_Mined_t],tblBudget[Month],"&lt;"&amp;$E14)+$IZ14</f>
        <v/>
      </c>
      <c r="JB14" s="56">
        <f>IFERROR(IF(($IY14)&gt;0,($IV14*cfg_TroyOz)/($IY14),""),"")</f>
        <v/>
      </c>
      <c r="JC14" s="56">
        <f>IFERROR(IF(($IZ14)&gt;0,($IW14*cfg_TroyOz)/($IZ14),""),"")</f>
        <v/>
      </c>
      <c r="JD14" s="56">
        <f>IFERROR(IF(($JA14)&gt;0,($IX14*cfg_TroyOz)/($JA14),""),"")</f>
        <v/>
      </c>
      <c r="JE14" s="55">
        <f>SUMIFS(tblBudget[Waste_t],tblBudget[Month],$E14)</f>
        <v/>
      </c>
      <c r="JF14" s="55">
        <f>$JE14*$C14/$D14</f>
        <v/>
      </c>
      <c r="JG14" s="55">
        <f>SUMIFS(tblBudget[Waste_t],tblBudget[Month],"&lt;"&amp;$E14)+$JF14</f>
        <v/>
      </c>
      <c r="JH14" s="55">
        <f>SUMIFS(tblBudget[TMM_t],tblBudget[Month],$E14)</f>
        <v/>
      </c>
      <c r="JI14" s="55">
        <f>$JH14*$C14/$D14</f>
        <v/>
      </c>
      <c r="JJ14" s="55">
        <f>SUMIFS(tblBudget[TMM_t],tblBudget[Month],"&lt;"&amp;$E14)+$JI14</f>
        <v/>
      </c>
      <c r="JK14" s="56">
        <f>IFERROR(IF(($IS14)&gt;0,($JE14)/($IS14),""),"")</f>
        <v/>
      </c>
      <c r="JL14" s="56">
        <f>IFERROR(IF(($IT14)&gt;0,($JF14)/($IT14),""),"")</f>
        <v/>
      </c>
      <c r="JM14" s="56">
        <f>IFERROR(IF(($IU14)&gt;0,($JG14)/($IU14),""),"")</f>
        <v/>
      </c>
      <c r="JN14" s="55">
        <f>SUMIFS(tblBudget[Drill_m],tblBudget[Month],$E14)</f>
        <v/>
      </c>
      <c r="JO14" s="55">
        <f>$JN14*$C14/$D14</f>
        <v/>
      </c>
      <c r="JP14" s="55">
        <f>SUMIFS(tblBudget[Drill_m],tblBudget[Month],"&lt;"&amp;$E14)+$JO14</f>
        <v/>
      </c>
      <c r="JQ14" s="55">
        <f>SUMIFS(tblBudget[Diesel_L],tblBudget[Month],$E14)</f>
        <v/>
      </c>
      <c r="JR14" s="55">
        <f>$JQ14*$C14/$D14</f>
        <v/>
      </c>
      <c r="JS14" s="55">
        <f>SUMIFS(tblBudget[Diesel_L],tblBudget[Month],"&lt;"&amp;$E14)+$JR14</f>
        <v/>
      </c>
      <c r="JT14" s="55">
        <f>SUMIFS(tblBudget[Milled_t],tblBudget[Month],$E14)</f>
        <v/>
      </c>
      <c r="JU14" s="55">
        <f>$JT14*$C14/$D14</f>
        <v/>
      </c>
      <c r="JV14" s="55">
        <f>SUMIFS(tblBudget[Milled_t],tblBudget[Month],"&lt;"&amp;$E14)+$JU14</f>
        <v/>
      </c>
      <c r="JW14" s="55">
        <f>SUMIFS(tblBudget[Feed_oz],tblBudget[Month],$E14)</f>
        <v/>
      </c>
      <c r="JX14" s="55">
        <f>$JW14*$C14/$D14</f>
        <v/>
      </c>
      <c r="JY14" s="55">
        <f>SUMIFS(tblBudget[Feed_oz],tblBudget[Month],"&lt;"&amp;$E14)+$JX14</f>
        <v/>
      </c>
      <c r="JZ14" s="55">
        <f>SUMIFS(tblBudget[Recovered_oz],tblBudget[Month],$E14)</f>
        <v/>
      </c>
      <c r="KA14" s="55">
        <f>$JZ14*$C14/$D14</f>
        <v/>
      </c>
      <c r="KB14" s="55">
        <f>SUMIFS(tblBudget[Recovered_oz],tblBudget[Month],"&lt;"&amp;$E14)+$KA14</f>
        <v/>
      </c>
      <c r="KC14" s="55">
        <f>SUMIFS(tblBudget[Milled_t],tblBudget[Month],$E14)</f>
        <v/>
      </c>
      <c r="KD14" s="55">
        <f>$KC14*$C14/$D14</f>
        <v/>
      </c>
      <c r="KE14" s="55">
        <f>SUMIFS(tblBudget[Milled_t],tblBudget[Month],"&lt;"&amp;$E14)+$KD14</f>
        <v/>
      </c>
      <c r="KF14" s="55">
        <f>SUMIFS(tblBudget[Feed_oz],tblBudget[Month],$E14)</f>
        <v/>
      </c>
      <c r="KG14" s="55">
        <f>$KF14*$C14/$D14</f>
        <v/>
      </c>
      <c r="KH14" s="55">
        <f>SUMIFS(tblBudget[Feed_oz],tblBudget[Month],"&lt;"&amp;$E14)+$KG14</f>
        <v/>
      </c>
      <c r="KI14" s="56">
        <f>IFERROR(IF(($KC14)&gt;0,($JW14*cfg_TroyOz)/($KC14),""),"")</f>
        <v/>
      </c>
      <c r="KJ14" s="56">
        <f>IFERROR(IF(($KD14)&gt;0,($JX14*cfg_TroyOz)/($KD14),""),"")</f>
        <v/>
      </c>
      <c r="KK14" s="56">
        <f>IFERROR(IF(($KE14)&gt;0,($JY14*cfg_TroyOz)/($KE14),""),"")</f>
        <v/>
      </c>
      <c r="KL14" s="67">
        <f>IFERROR(IF(($KF14)&gt;0,($JZ14)/($KF14),""),"")</f>
        <v/>
      </c>
      <c r="KM14" s="67">
        <f>IFERROR(IF(($KG14)&gt;0,($KA14)/($KG14),""),"")</f>
        <v/>
      </c>
      <c r="KN14" s="67">
        <f>IFERROR(IF(($KH14)&gt;0,($KB14)/($KH14),""),"")</f>
        <v/>
      </c>
      <c r="KO14" s="55">
        <f>SUMIFS(tblBudget[Gold_Poured_oz],tblBudget[Month],$E14)</f>
        <v/>
      </c>
      <c r="KP14" s="55">
        <f>$KO14*$C14/$D14</f>
        <v/>
      </c>
      <c r="KQ14" s="55">
        <f>SUMIFS(tblBudget[Gold_Poured_oz],tblBudget[Month],"&lt;"&amp;$E14)+$KP14</f>
        <v/>
      </c>
      <c r="KR14" s="57">
        <f>SUMIFS(tblBudget[Hours_Worked],tblBudget[Month],$E14)</f>
        <v/>
      </c>
      <c r="KS14" s="57">
        <f>$KR14*$C14/$D14</f>
        <v/>
      </c>
      <c r="KT14" s="57">
        <f>SUMIFS(tblBudget[Hours_Worked],tblBudget[Month],"&lt;"&amp;$E14)+$KS14</f>
        <v/>
      </c>
    </row>
    <row r="15">
      <c r="A15" s="54" t="n">
        <v>46036</v>
      </c>
      <c r="B15">
        <f>MONTH($A15)</f>
        <v/>
      </c>
      <c r="C15">
        <f>DAY($A15)</f>
        <v/>
      </c>
      <c r="D15">
        <f>DAY(EOMONTH($A15,0))</f>
        <v/>
      </c>
      <c r="E15" s="54">
        <f>DATE(YEAR($A15),MONTH($A15),1)</f>
        <v/>
      </c>
      <c r="F15" s="55">
        <f>SUMIFS(tblMovement[Tonnes_t],tblMovement[Date],$A15,tblMovement[Is_Ore],1,tblMovement[Source_Type],"Pit")</f>
        <v/>
      </c>
      <c r="G15" s="55">
        <f>IF($B15=$B14,$G14,0)+$F15</f>
        <v/>
      </c>
      <c r="H15" s="55">
        <f>$H14+$F15</f>
        <v/>
      </c>
      <c r="I15" s="55">
        <f>SUMIFS(tblMovement[Ore_oz],tblMovement[Date],$A15,tblMovement[Source_Type],"Pit")</f>
        <v/>
      </c>
      <c r="J15" s="55">
        <f>IF($B15=$B14,$J14,0)+$I15</f>
        <v/>
      </c>
      <c r="K15" s="55">
        <f>$K14+$I15</f>
        <v/>
      </c>
      <c r="L15" s="55">
        <f>SUMIFS(tblMovement[Tonnes_t],tblMovement[Date],$A15,tblMovement[Is_Ore],1,tblMovement[Source_Type],"Pit",tblMovement[Grade_gpt],"&lt;&gt;")</f>
        <v/>
      </c>
      <c r="M15" s="55">
        <f>IF($B15=$B14,$M14,0)+$L15</f>
        <v/>
      </c>
      <c r="N15" s="55">
        <f>$N14+$L15</f>
        <v/>
      </c>
      <c r="O15" s="56">
        <f>IFERROR(IF(($L15)&gt;0,($I15*cfg_TroyOz)/($L15),""),"")</f>
        <v/>
      </c>
      <c r="P15" s="56">
        <f>IFERROR(IF(($M15)&gt;0,($J15*cfg_TroyOz)/($M15),""),"")</f>
        <v/>
      </c>
      <c r="Q15" s="56">
        <f>IFERROR(IF(($N15)&gt;0,($K15*cfg_TroyOz)/($N15),""),"")</f>
        <v/>
      </c>
      <c r="R15" s="55">
        <f>$F15-$L15</f>
        <v/>
      </c>
      <c r="S15" s="55">
        <f>IF($B15=$B14,$S14,0)+$R15</f>
        <v/>
      </c>
      <c r="T15" s="55">
        <f>$T14+$R15</f>
        <v/>
      </c>
      <c r="U15" s="55">
        <f>SUMIFS(tblMovement[Tonnes_t],tblMovement[Date],$A15,tblMovement[Is_Ore],0,tblMovement[Source_Type],"Pit")</f>
        <v/>
      </c>
      <c r="V15" s="55">
        <f>IF($B15=$B14,$V14,0)+$U15</f>
        <v/>
      </c>
      <c r="W15" s="55">
        <f>$W14+$U15</f>
        <v/>
      </c>
      <c r="X15" s="55">
        <f>$F15+$U15</f>
        <v/>
      </c>
      <c r="Y15" s="55">
        <f>IF($B15=$B14,$Y14,0)+$X15</f>
        <v/>
      </c>
      <c r="Z15" s="55">
        <f>$Z14+$X15</f>
        <v/>
      </c>
      <c r="AA15" s="56">
        <f>IFERROR(IF(($F15)&gt;0,($U15)/($F15),""),"")</f>
        <v/>
      </c>
      <c r="AB15" s="56">
        <f>IFERROR(IF(($G15)&gt;0,($V15)/($G15),""),"")</f>
        <v/>
      </c>
      <c r="AC15" s="56">
        <f>IFERROR(IF(($H15)&gt;0,($W15)/($H15),""),"")</f>
        <v/>
      </c>
      <c r="AD15" s="55">
        <f>SUMIFS(tblMovement[Tonnes_t],tblMovement[Date],$A15,tblMovement[Source_Type],"Stockpile")</f>
        <v/>
      </c>
      <c r="AE15" s="55">
        <f>IF($B15=$B14,$AE14,0)+$AD15</f>
        <v/>
      </c>
      <c r="AF15" s="55">
        <f>$AF14+$AD15</f>
        <v/>
      </c>
      <c r="AG15" s="55">
        <f>SUMIFS(tblMovement[Tonnes_t],tblMovement[Date],$A15)</f>
        <v/>
      </c>
      <c r="AH15" s="55">
        <f>IF($B15=$B14,$AH14,0)+$AG15</f>
        <v/>
      </c>
      <c r="AI15" s="55">
        <f>$AI14+$AG15</f>
        <v/>
      </c>
      <c r="AJ15" s="55">
        <f>$AG15-$X15-$AD15</f>
        <v/>
      </c>
      <c r="AK15" s="55">
        <f>IF($B15=$B14,$AK14,0)+$AJ15</f>
        <v/>
      </c>
      <c r="AL15" s="55">
        <f>$AL14+$AJ15</f>
        <v/>
      </c>
      <c r="AM15" s="55">
        <f>SUMIFS(tblMiningDaily[Drill_m],tblMiningDaily[Date],$A15)</f>
        <v/>
      </c>
      <c r="AN15" s="55">
        <f>IF($B15=$B14,$AN14,0)+$AM15</f>
        <v/>
      </c>
      <c r="AO15" s="55">
        <f>$AO14+$AM15</f>
        <v/>
      </c>
      <c r="AP15" s="55">
        <f>SUMIFS(tblMiningDaily[GC_Drill_m],tblMiningDaily[Date],$A15)</f>
        <v/>
      </c>
      <c r="AQ15" s="55">
        <f>IF($B15=$B14,$AQ14,0)+$AP15</f>
        <v/>
      </c>
      <c r="AR15" s="55">
        <f>$AR14+$AP15</f>
        <v/>
      </c>
      <c r="AS15" s="55">
        <f>SUMIFS(tblMiningDaily[Blast_t],tblMiningDaily[Date],$A15)</f>
        <v/>
      </c>
      <c r="AT15" s="55">
        <f>IF($B15=$B14,$AT14,0)+$AS15</f>
        <v/>
      </c>
      <c r="AU15" s="55">
        <f>$AU14+$AS15</f>
        <v/>
      </c>
      <c r="AV15" s="55">
        <f>SUMIFS(tblMiningDaily[Explosives_kg],tblMiningDaily[Date],$A15)</f>
        <v/>
      </c>
      <c r="AW15" s="55">
        <f>IF($B15=$B14,$AW14,0)+$AV15</f>
        <v/>
      </c>
      <c r="AX15" s="55">
        <f>$AX14+$AV15</f>
        <v/>
      </c>
      <c r="AY15" s="56">
        <f>IFERROR(IF(($AS15)&gt;0,($AV15)/($AS15),""),"")</f>
        <v/>
      </c>
      <c r="AZ15" s="56">
        <f>IFERROR(IF(($AT15)&gt;0,($AW15)/($AT15),""),"")</f>
        <v/>
      </c>
      <c r="BA15" s="56">
        <f>IFERROR(IF(($AU15)&gt;0,($AX15)/($AU15),""),"")</f>
        <v/>
      </c>
      <c r="BB15" s="55">
        <f>SUMIFS(tblMiningDaily[Diesel_L],tblMiningDaily[Date],$A15)</f>
        <v/>
      </c>
      <c r="BC15" s="55">
        <f>IF($B15=$B14,$BC14,0)+$BB15</f>
        <v/>
      </c>
      <c r="BD15" s="55">
        <f>$BD14+$BB15</f>
        <v/>
      </c>
      <c r="BE15" s="55">
        <f>SUMIFS(tblMiningDaily[Dewatering_m3],tblMiningDaily[Date],$A15)</f>
        <v/>
      </c>
      <c r="BF15" s="55">
        <f>IF($B15=$B14,$BF14,0)+$BE15</f>
        <v/>
      </c>
      <c r="BG15" s="55">
        <f>$BG14+$BE15</f>
        <v/>
      </c>
      <c r="BH15" s="57">
        <f>SUMIFS(tblFleet[Calendar_h],tblFleet[Date],$A15,tblFleet[Equipment_Class],"Excavator")</f>
        <v/>
      </c>
      <c r="BI15" s="57">
        <f>IF($B15=$B14,$BI14,0)+$BH15</f>
        <v/>
      </c>
      <c r="BJ15" s="57">
        <f>$BJ14+$BH15</f>
        <v/>
      </c>
      <c r="BK15" s="57">
        <f>SUMIFS(tblFleet[Available_h],tblFleet[Date],$A15,tblFleet[Equipment_Class],"Excavator")</f>
        <v/>
      </c>
      <c r="BL15" s="57">
        <f>IF($B15=$B14,$BL14,0)+$BK15</f>
        <v/>
      </c>
      <c r="BM15" s="57">
        <f>$BM14+$BK15</f>
        <v/>
      </c>
      <c r="BN15" s="57">
        <f>SUMIFS(tblFleet[Operating_h],tblFleet[Date],$A15,tblFleet[Equipment_Class],"Excavator")</f>
        <v/>
      </c>
      <c r="BO15" s="57">
        <f>IF($B15=$B14,$BO14,0)+$BN15</f>
        <v/>
      </c>
      <c r="BP15" s="57">
        <f>$BP14+$BN15</f>
        <v/>
      </c>
      <c r="BQ15" s="67">
        <f>IFERROR(IF(($BH15)&gt;0,($BK15)/($BH15),""),"")</f>
        <v/>
      </c>
      <c r="BR15" s="67">
        <f>IFERROR(IF(($BI15)&gt;0,($BL15)/($BI15),""),"")</f>
        <v/>
      </c>
      <c r="BS15" s="67">
        <f>IFERROR(IF(($BJ15)&gt;0,($BM15)/($BJ15),""),"")</f>
        <v/>
      </c>
      <c r="BT15" s="67">
        <f>IFERROR(IF(($BK15)&gt;0,($BN15)/($BK15),""),"")</f>
        <v/>
      </c>
      <c r="BU15" s="67">
        <f>IFERROR(IF(($BL15)&gt;0,($BO15)/($BL15),""),"")</f>
        <v/>
      </c>
      <c r="BV15" s="67">
        <f>IFERROR(IF(($BM15)&gt;0,($BP15)/($BM15),""),"")</f>
        <v/>
      </c>
      <c r="BW15" s="57">
        <f>SUMIFS(tblFleet[Calendar_h],tblFleet[Date],$A15,tblFleet[Equipment_Class],"Haul Truck")</f>
        <v/>
      </c>
      <c r="BX15" s="57">
        <f>IF($B15=$B14,$BX14,0)+$BW15</f>
        <v/>
      </c>
      <c r="BY15" s="57">
        <f>$BY14+$BW15</f>
        <v/>
      </c>
      <c r="BZ15" s="57">
        <f>SUMIFS(tblFleet[Available_h],tblFleet[Date],$A15,tblFleet[Equipment_Class],"Haul Truck")</f>
        <v/>
      </c>
      <c r="CA15" s="57">
        <f>IF($B15=$B14,$CA14,0)+$BZ15</f>
        <v/>
      </c>
      <c r="CB15" s="57">
        <f>$CB14+$BZ15</f>
        <v/>
      </c>
      <c r="CC15" s="57">
        <f>SUMIFS(tblFleet[Operating_h],tblFleet[Date],$A15,tblFleet[Equipment_Class],"Haul Truck")</f>
        <v/>
      </c>
      <c r="CD15" s="57">
        <f>IF($B15=$B14,$CD14,0)+$CC15</f>
        <v/>
      </c>
      <c r="CE15" s="57">
        <f>$CE14+$CC15</f>
        <v/>
      </c>
      <c r="CF15" s="67">
        <f>IFERROR(IF(($BW15)&gt;0,($BZ15)/($BW15),""),"")</f>
        <v/>
      </c>
      <c r="CG15" s="67">
        <f>IFERROR(IF(($BX15)&gt;0,($CA15)/($BX15),""),"")</f>
        <v/>
      </c>
      <c r="CH15" s="67">
        <f>IFERROR(IF(($BY15)&gt;0,($CB15)/($BY15),""),"")</f>
        <v/>
      </c>
      <c r="CI15" s="67">
        <f>IFERROR(IF(($BZ15)&gt;0,($CC15)/($BZ15),""),"")</f>
        <v/>
      </c>
      <c r="CJ15" s="67">
        <f>IFERROR(IF(($CA15)&gt;0,($CD15)/($CA15),""),"")</f>
        <v/>
      </c>
      <c r="CK15" s="67">
        <f>IFERROR(IF(($CB15)&gt;0,($CE15)/($CB15),""),"")</f>
        <v/>
      </c>
      <c r="CL15" s="55">
        <f>IFERROR(IF(($BN15)&gt;0,($X15+$AD15)/($BN15),""),"")</f>
        <v/>
      </c>
      <c r="CM15" s="55">
        <f>IFERROR(IF(($BO15)&gt;0,($Y15+$AE15)/($BO15),""),"")</f>
        <v/>
      </c>
      <c r="CN15" s="55">
        <f>IFERROR(IF(($BP15)&gt;0,($Z15+$AF15)/($BP15),""),"")</f>
        <v/>
      </c>
      <c r="CO15" s="55">
        <f>IFERROR(IF(($CC15)&gt;0,($X15+$AD15)/($CC15),""),"")</f>
        <v/>
      </c>
      <c r="CP15" s="55">
        <f>IFERROR(IF(($CD15)&gt;0,($Y15+$AE15)/($CD15),""),"")</f>
        <v/>
      </c>
      <c r="CQ15" s="55">
        <f>IFERROR(IF(($CE15)&gt;0,($Z15+$AF15)/($CE15),""),"")</f>
        <v/>
      </c>
      <c r="CR15" s="55">
        <f>SUMIFS(tblPlant[Crushed_t],tblPlant[Date],$A15)</f>
        <v/>
      </c>
      <c r="CS15" s="55">
        <f>IF($B15=$B14,$CS14,0)+$CR15</f>
        <v/>
      </c>
      <c r="CT15" s="55">
        <f>$CT14+$CR15</f>
        <v/>
      </c>
      <c r="CU15" s="55">
        <f>SUMIFS(tblPlant[Milled_t],tblPlant[Date],$A15)</f>
        <v/>
      </c>
      <c r="CV15" s="55">
        <f>IF($B15=$B14,$CV14,0)+$CU15</f>
        <v/>
      </c>
      <c r="CW15" s="55">
        <f>$CW14+$CU15</f>
        <v/>
      </c>
      <c r="CX15" s="55">
        <f>SUMIFS(tblPlant[Feed_oz],tblPlant[Date],$A15)</f>
        <v/>
      </c>
      <c r="CY15" s="55">
        <f>IF($B15=$B14,$CY14,0)+$CX15</f>
        <v/>
      </c>
      <c r="CZ15" s="55">
        <f>$CZ14+$CX15</f>
        <v/>
      </c>
      <c r="DA15" s="55">
        <f>SUMIFS(tblPlant[Tails_oz],tblPlant[Date],$A15)</f>
        <v/>
      </c>
      <c r="DB15" s="55">
        <f>IF($B15=$B14,$DB14,0)+$DA15</f>
        <v/>
      </c>
      <c r="DC15" s="55">
        <f>$DC14+$DA15</f>
        <v/>
      </c>
      <c r="DD15" s="55">
        <f>SUMIFS(tblPlant[Recovered_oz],tblPlant[Date],$A15)</f>
        <v/>
      </c>
      <c r="DE15" s="55">
        <f>IF($B15=$B14,$DE14,0)+$DD15</f>
        <v/>
      </c>
      <c r="DF15" s="55">
        <f>$DF14+$DD15</f>
        <v/>
      </c>
      <c r="DG15" s="55">
        <f>SUMIFS(tblPlant[Milled_t],tblPlant[Date],$A15,tblPlant[Head_Grade_gpt],"&lt;&gt;")</f>
        <v/>
      </c>
      <c r="DH15" s="55">
        <f>IF($B15=$B14,$DH14,0)+$DG15</f>
        <v/>
      </c>
      <c r="DI15" s="55">
        <f>$DI14+$DG15</f>
        <v/>
      </c>
      <c r="DJ15" s="55">
        <f>SUMIFS(tblPlant[Milled_t],tblPlant[Date],$A15,tblPlant[Tails_Grade_gpt],"&lt;&gt;")</f>
        <v/>
      </c>
      <c r="DK15" s="55">
        <f>IF($B15=$B14,$DK14,0)+$DJ15</f>
        <v/>
      </c>
      <c r="DL15" s="55">
        <f>$DL14+$DJ15</f>
        <v/>
      </c>
      <c r="DM15" s="55">
        <f>SUMIFS(tblPlant[Feed_oz],tblPlant[Date],$A15,tblPlant[Tails_Grade_gpt],"&lt;&gt;")</f>
        <v/>
      </c>
      <c r="DN15" s="55">
        <f>IF($B15=$B14,$DN14,0)+$DM15</f>
        <v/>
      </c>
      <c r="DO15" s="55">
        <f>$DO14+$DM15</f>
        <v/>
      </c>
      <c r="DP15" s="55">
        <f>SUMIFS(tblPlant[Milled_t],tblPlant[Date],$A15,tblPlant[Mill_Run_h],"&lt;&gt;")</f>
        <v/>
      </c>
      <c r="DQ15" s="55">
        <f>IF($B15=$B14,$DQ14,0)+$DP15</f>
        <v/>
      </c>
      <c r="DR15" s="55">
        <f>$DR14+$DP15</f>
        <v/>
      </c>
      <c r="DS15" s="56">
        <f>IFERROR(IF(($DG15)&gt;0,($CX15*cfg_TroyOz)/($DG15),""),"")</f>
        <v/>
      </c>
      <c r="DT15" s="56">
        <f>IFERROR(IF(($DH15)&gt;0,($CY15*cfg_TroyOz)/($DH15),""),"")</f>
        <v/>
      </c>
      <c r="DU15" s="56">
        <f>IFERROR(IF(($DI15)&gt;0,($CZ15*cfg_TroyOz)/($DI15),""),"")</f>
        <v/>
      </c>
      <c r="DV15" s="56">
        <f>IFERROR(IF(($DJ15)&gt;0,($DA15*cfg_TroyOz)/($DJ15),""),"")</f>
        <v/>
      </c>
      <c r="DW15" s="56">
        <f>IFERROR(IF(($DK15)&gt;0,($DB15*cfg_TroyOz)/($DK15),""),"")</f>
        <v/>
      </c>
      <c r="DX15" s="56">
        <f>IFERROR(IF(($DL15)&gt;0,($DC15*cfg_TroyOz)/($DL15),""),"")</f>
        <v/>
      </c>
      <c r="DY15" s="67">
        <f>IFERROR(IF(($DM15)&gt;0,($DD15)/($DM15),""),"")</f>
        <v/>
      </c>
      <c r="DZ15" s="67">
        <f>IFERROR(IF(($DN15)&gt;0,($DE15)/($DN15),""),"")</f>
        <v/>
      </c>
      <c r="EA15" s="67">
        <f>IFERROR(IF(($DO15)&gt;0,($DF15)/($DO15),""),"")</f>
        <v/>
      </c>
      <c r="EB15" s="55">
        <f>SUMIFS(tblPlant[Gravity_Gold_oz],tblPlant[Date],$A15)</f>
        <v/>
      </c>
      <c r="EC15" s="55">
        <f>IF($B15=$B14,$EC14,0)+$EB15</f>
        <v/>
      </c>
      <c r="ED15" s="55">
        <f>$ED14+$EB15</f>
        <v/>
      </c>
      <c r="EE15" s="67">
        <f>IFERROR(IF(($DD15)&gt;0,($EB15)/($DD15),""),"")</f>
        <v/>
      </c>
      <c r="EF15" s="67">
        <f>IFERROR(IF(($DE15)&gt;0,($EC15)/($DE15),""),"")</f>
        <v/>
      </c>
      <c r="EG15" s="67">
        <f>IFERROR(IF(($DF15)&gt;0,($ED15)/($DF15),""),"")</f>
        <v/>
      </c>
      <c r="EH15" s="55">
        <f>SUMIFS(tblPlant[Gold_Poured_oz],tblPlant[Date],$A15)</f>
        <v/>
      </c>
      <c r="EI15" s="55">
        <f>IF($B15=$B14,$EI14,0)+$EH15</f>
        <v/>
      </c>
      <c r="EJ15" s="55">
        <f>$EJ14+$EH15</f>
        <v/>
      </c>
      <c r="EK15" s="57">
        <f>SUMIFS(tblPlant[Mill_Run_h],tblPlant[Date],$A15)</f>
        <v/>
      </c>
      <c r="EL15" s="57">
        <f>IF($B15=$B14,$EL14,0)+$EK15</f>
        <v/>
      </c>
      <c r="EM15" s="57">
        <f>$EM14+$EK15</f>
        <v/>
      </c>
      <c r="EN15" s="57">
        <f>SUMIFS(tblPlant[Mill_Planned_Maint_h],tblPlant[Date],$A15)</f>
        <v/>
      </c>
      <c r="EO15" s="57">
        <f>IF($B15=$B14,$EO14,0)+$EN15</f>
        <v/>
      </c>
      <c r="EP15" s="57">
        <f>$EP14+$EN15</f>
        <v/>
      </c>
      <c r="EQ15" s="57">
        <f>SUMIFS(tblPlant[Mill_Unplanned_Down_h],tblPlant[Date],$A15)</f>
        <v/>
      </c>
      <c r="ER15" s="57">
        <f>IF($B15=$B14,$ER14,0)+$EQ15</f>
        <v/>
      </c>
      <c r="ES15" s="57">
        <f>$ES14+$EQ15</f>
        <v/>
      </c>
      <c r="ET15" s="57">
        <f>IF(COUNTIFS(tblPlant[Date],$A15,tblPlant[Mill_Run_h],"&lt;&gt;")+COUNTIFS(tblPlant[Date],$A15,tblPlant[Mill_Planned_Maint_h],"&lt;&gt;")+COUNTIFS(tblPlant[Date],$A15,tblPlant[Mill_Unplanned_Down_h],"&lt;&gt;")&gt;0,cfg_HoursPerDay,0)</f>
        <v/>
      </c>
      <c r="EU15" s="57">
        <f>IF($B15=$B14,$EU14,0)+$ET15</f>
        <v/>
      </c>
      <c r="EV15" s="57">
        <f>$EV14+$ET15</f>
        <v/>
      </c>
      <c r="EW15" s="57">
        <f>SUMIFS(tblPlant[Crusher_Run_h],tblPlant[Date],$A15)</f>
        <v/>
      </c>
      <c r="EX15" s="57">
        <f>IF($B15=$B14,$EX14,0)+$EW15</f>
        <v/>
      </c>
      <c r="EY15" s="57">
        <f>$EY14+$EW15</f>
        <v/>
      </c>
      <c r="EZ15" s="55">
        <f>IFERROR(IF(($EK15)&gt;0,($DP15)/($EK15),""),"")</f>
        <v/>
      </c>
      <c r="FA15" s="55">
        <f>IFERROR(IF(($EL15)&gt;0,($DQ15)/($EL15),""),"")</f>
        <v/>
      </c>
      <c r="FB15" s="55">
        <f>IFERROR(IF(($EM15)&gt;0,($DR15)/($EM15),""),"")</f>
        <v/>
      </c>
      <c r="FC15" s="67">
        <f>IFERROR(IF(($ET15)&gt;0,($ET15-$EN15-$EQ15)/($ET15),""),"")</f>
        <v/>
      </c>
      <c r="FD15" s="67">
        <f>IFERROR(IF(($EU15)&gt;0,($EU15-$EO15-$ER15)/($EU15),""),"")</f>
        <v/>
      </c>
      <c r="FE15" s="67">
        <f>IFERROR(IF(($EV15)&gt;0,($EV15-$EP15-$ES15)/($EV15),""),"")</f>
        <v/>
      </c>
      <c r="FF15" s="67">
        <f>IFERROR(IF(($ET15-$EN15-$EQ15)&gt;0,($EK15)/($ET15-$EN15-$EQ15),""),"")</f>
        <v/>
      </c>
      <c r="FG15" s="67">
        <f>IFERROR(IF(($EU15-$EO15-$ER15)&gt;0,($EL15)/($EU15-$EO15-$ER15),""),"")</f>
        <v/>
      </c>
      <c r="FH15" s="67">
        <f>IFERROR(IF(($EV15-$EP15-$ES15)&gt;0,($EM15)/($EV15-$EP15-$ES15),""),"")</f>
        <v/>
      </c>
      <c r="FI15" s="55">
        <f>SUMIFS(tblPlant[Cyanide_kg],tblPlant[Date],$A15)</f>
        <v/>
      </c>
      <c r="FJ15" s="55">
        <f>IF($B15=$B14,$FJ14,0)+$FI15</f>
        <v/>
      </c>
      <c r="FK15" s="55">
        <f>$FK14+$FI15</f>
        <v/>
      </c>
      <c r="FL15" s="55">
        <f>SUMIFS(tblPlant[Lime_kg],tblPlant[Date],$A15)</f>
        <v/>
      </c>
      <c r="FM15" s="55">
        <f>IF($B15=$B14,$FM14,0)+$FL15</f>
        <v/>
      </c>
      <c r="FN15" s="55">
        <f>$FN14+$FL15</f>
        <v/>
      </c>
      <c r="FO15" s="55">
        <f>SUMIFS(tblPlant[Grinding_Media_kg],tblPlant[Date],$A15)</f>
        <v/>
      </c>
      <c r="FP15" s="55">
        <f>IF($B15=$B14,$FP14,0)+$FO15</f>
        <v/>
      </c>
      <c r="FQ15" s="55">
        <f>$FQ14+$FO15</f>
        <v/>
      </c>
      <c r="FR15" s="55">
        <f>SUMIFS(tblPlant[Power_kWh],tblPlant[Date],$A15)</f>
        <v/>
      </c>
      <c r="FS15" s="55">
        <f>IF($B15=$B14,$FS14,0)+$FR15</f>
        <v/>
      </c>
      <c r="FT15" s="55">
        <f>$FT14+$FR15</f>
        <v/>
      </c>
      <c r="FU15" s="55">
        <f>SUMIFS(tblPlant[Raw_Water_m3],tblPlant[Date],$A15)</f>
        <v/>
      </c>
      <c r="FV15" s="55">
        <f>IF($B15=$B14,$FV14,0)+$FU15</f>
        <v/>
      </c>
      <c r="FW15" s="55">
        <f>$FW14+$FU15</f>
        <v/>
      </c>
      <c r="FX15" s="56">
        <f>IFERROR(IF(($CU15)&gt;0,($FI15)/($CU15),""),"")</f>
        <v/>
      </c>
      <c r="FY15" s="56">
        <f>IFERROR(IF(($CV15)&gt;0,($FJ15)/($CV15),""),"")</f>
        <v/>
      </c>
      <c r="FZ15" s="56">
        <f>IFERROR(IF(($CW15)&gt;0,($FK15)/($CW15),""),"")</f>
        <v/>
      </c>
      <c r="GA15" s="56">
        <f>IFERROR(IF(($CU15)&gt;0,($FL15)/($CU15),""),"")</f>
        <v/>
      </c>
      <c r="GB15" s="56">
        <f>IFERROR(IF(($CV15)&gt;0,($FM15)/($CV15),""),"")</f>
        <v/>
      </c>
      <c r="GC15" s="56">
        <f>IFERROR(IF(($CW15)&gt;0,($FN15)/($CW15),""),"")</f>
        <v/>
      </c>
      <c r="GD15" s="56">
        <f>IFERROR(IF(($CU15)&gt;0,($FO15)/($CU15),""),"")</f>
        <v/>
      </c>
      <c r="GE15" s="56">
        <f>IFERROR(IF(($CV15)&gt;0,($FP15)/($CV15),""),"")</f>
        <v/>
      </c>
      <c r="GF15" s="56">
        <f>IFERROR(IF(($CW15)&gt;0,($FQ15)/($CW15),""),"")</f>
        <v/>
      </c>
      <c r="GG15" s="79">
        <f>IFERROR(IF(($CU15)&gt;0,($FR15)/($CU15),""),"")</f>
        <v/>
      </c>
      <c r="GH15" s="79">
        <f>IFERROR(IF(($CV15)&gt;0,($FS15)/($CV15),""),"")</f>
        <v/>
      </c>
      <c r="GI15" s="79">
        <f>IFERROR(IF(($CW15)&gt;0,($FT15)/($CW15),""),"")</f>
        <v/>
      </c>
      <c r="GJ15" s="56">
        <f>IFERROR(IF(($CU15)&gt;0,($FU15)/($CU15),""),"")</f>
        <v/>
      </c>
      <c r="GK15" s="56">
        <f>IFERROR(IF(($CV15)&gt;0,($FV15)/($CV15),""),"")</f>
        <v/>
      </c>
      <c r="GL15" s="56">
        <f>IFERROR(IF(($CW15)&gt;0,($FW15)/($CW15),""),"")</f>
        <v/>
      </c>
      <c r="GM15" s="55">
        <f>IF(SUMIFS(tblPlant[GIC_oz],tblPlant[Date],$A15)&gt;0,SUMIFS(tblPlant[GIC_oz],tblPlant[Date],$A15),"")</f>
        <v/>
      </c>
      <c r="GN15" s="55">
        <f>SUMIFS(tblGold[Gold_oz],tblGold[Date],$A15,tblGold[Type],"Shipment")</f>
        <v/>
      </c>
      <c r="GO15" s="55">
        <f>IF($B15=$B14,$GO14,0)+$GN15</f>
        <v/>
      </c>
      <c r="GP15" s="55">
        <f>$GP14+$GN15</f>
        <v/>
      </c>
      <c r="GQ15" s="55">
        <f>SUMIFS(tblGold[Gold_oz],tblGold[Date],$A15,tblGold[Type],"Sale")</f>
        <v/>
      </c>
      <c r="GR15" s="55">
        <f>IF($B15=$B14,$GR14,0)+$GQ15</f>
        <v/>
      </c>
      <c r="GS15" s="55">
        <f>$GS14+$GQ15</f>
        <v/>
      </c>
      <c r="GT15" s="55">
        <f>SUMIFS(tblGold[Dore_kg],tblGold[Date],$A15,tblGold[Type],"Shipment")</f>
        <v/>
      </c>
      <c r="GU15" s="55">
        <f>IF($B15=$B14,$GU14,0)+$GT15</f>
        <v/>
      </c>
      <c r="GV15" s="55">
        <f>$GV14+$GT15</f>
        <v/>
      </c>
      <c r="GW15" s="57">
        <f>SUMIFS(tblSafety[Hours_Total],tblSafety[Date],$A15)</f>
        <v/>
      </c>
      <c r="GX15" s="57">
        <f>IF($B15=$B14,$GX14,0)+$GW15</f>
        <v/>
      </c>
      <c r="GY15" s="57">
        <f>$GY14+$GW15</f>
        <v/>
      </c>
      <c r="GZ15" s="62">
        <f>SUMIFS(tblSafety[Fatality],tblSafety[Date],$A15)</f>
        <v/>
      </c>
      <c r="HA15" s="62">
        <f>IF($B15=$B14,$HA14,0)+$GZ15</f>
        <v/>
      </c>
      <c r="HB15" s="62">
        <f>$HB14+$GZ15</f>
        <v/>
      </c>
      <c r="HC15" s="62">
        <f>SUMIFS(tblSafety[LTI],tblSafety[Date],$A15)</f>
        <v/>
      </c>
      <c r="HD15" s="62">
        <f>IF($B15=$B14,$HD14,0)+$HC15</f>
        <v/>
      </c>
      <c r="HE15" s="62">
        <f>$HE14+$HC15</f>
        <v/>
      </c>
      <c r="HF15" s="62">
        <f>SUMIFS(tblSafety[RWI],tblSafety[Date],$A15)</f>
        <v/>
      </c>
      <c r="HG15" s="62">
        <f>IF($B15=$B14,$HG14,0)+$HF15</f>
        <v/>
      </c>
      <c r="HH15" s="62">
        <f>$HH14+$HF15</f>
        <v/>
      </c>
      <c r="HI15" s="62">
        <f>SUMIFS(tblSafety[MTI],tblSafety[Date],$A15)</f>
        <v/>
      </c>
      <c r="HJ15" s="62">
        <f>IF($B15=$B14,$HJ14,0)+$HI15</f>
        <v/>
      </c>
      <c r="HK15" s="62">
        <f>$HK14+$HI15</f>
        <v/>
      </c>
      <c r="HL15" s="62">
        <f>SUMIFS(tblSafety[FAI],tblSafety[Date],$A15)</f>
        <v/>
      </c>
      <c r="HM15" s="62">
        <f>IF($B15=$B14,$HM14,0)+$HL15</f>
        <v/>
      </c>
      <c r="HN15" s="62">
        <f>$HN14+$HL15</f>
        <v/>
      </c>
      <c r="HO15" s="62">
        <f>SUMIFS(tblSafety[Recordables],tblSafety[Date],$A15)</f>
        <v/>
      </c>
      <c r="HP15" s="62">
        <f>IF($B15=$B14,$HP14,0)+$HO15</f>
        <v/>
      </c>
      <c r="HQ15" s="62">
        <f>$HQ14+$HO15</f>
        <v/>
      </c>
      <c r="HR15" s="62">
        <f>SUMIFS(tblSafety[Near_Miss],tblSafety[Date],$A15)</f>
        <v/>
      </c>
      <c r="HS15" s="62">
        <f>IF($B15=$B14,$HS14,0)+$HR15</f>
        <v/>
      </c>
      <c r="HT15" s="62">
        <f>$HT14+$HR15</f>
        <v/>
      </c>
      <c r="HU15" s="62">
        <f>SUMIFS(tblSafety[Hazard_Reports],tblSafety[Date],$A15)</f>
        <v/>
      </c>
      <c r="HV15" s="62">
        <f>IF($B15=$B14,$HV14,0)+$HU15</f>
        <v/>
      </c>
      <c r="HW15" s="62">
        <f>$HW14+$HU15</f>
        <v/>
      </c>
      <c r="HX15" s="62">
        <f>SUMIFS(tblSafety[HPI],tblSafety[Date],$A15)</f>
        <v/>
      </c>
      <c r="HY15" s="62">
        <f>IF($B15=$B14,$HY14,0)+$HX15</f>
        <v/>
      </c>
      <c r="HZ15" s="62">
        <f>$HZ14+$HX15</f>
        <v/>
      </c>
      <c r="IA15" s="62">
        <f>SUMIFS(tblSafety[Env_Incidents],tblSafety[Date],$A15)</f>
        <v/>
      </c>
      <c r="IB15" s="62">
        <f>IF($B15=$B14,$IB14,0)+$IA15</f>
        <v/>
      </c>
      <c r="IC15" s="62">
        <f>$IC14+$IA15</f>
        <v/>
      </c>
      <c r="ID15" s="62">
        <f>SUMIFS(tblSafety[Community_Incidents],tblSafety[Date],$A15)</f>
        <v/>
      </c>
      <c r="IE15" s="62">
        <f>IF($B15=$B14,$IE14,0)+$ID15</f>
        <v/>
      </c>
      <c r="IF15" s="62">
        <f>$IF14+$ID15</f>
        <v/>
      </c>
      <c r="IG15" s="62">
        <f>SUMIFS(tblSafety[Vehicle_Incidents],tblSafety[Date],$A15)</f>
        <v/>
      </c>
      <c r="IH15" s="62">
        <f>IF($B15=$B14,$IH14,0)+$IG15</f>
        <v/>
      </c>
      <c r="II15" s="62">
        <f>$II14+$IG15</f>
        <v/>
      </c>
      <c r="IJ15" s="62">
        <f>SUMIFS(tblSafety[Toolbox_Talks],tblSafety[Date],$A15)</f>
        <v/>
      </c>
      <c r="IK15" s="62">
        <f>IF($B15=$B14,$IK14,0)+$IJ15</f>
        <v/>
      </c>
      <c r="IL15" s="62">
        <f>$IL14+$IJ15</f>
        <v/>
      </c>
      <c r="IM15" s="62">
        <f>SUMIFS(tblSafety[Inspections],tblSafety[Date],$A15)</f>
        <v/>
      </c>
      <c r="IN15" s="62">
        <f>IF($B15=$B14,$IN14,0)+$IM15</f>
        <v/>
      </c>
      <c r="IO15" s="62">
        <f>$IO14+$IM15</f>
        <v/>
      </c>
      <c r="IP15" s="56">
        <f>IFERROR((SUMIFS(tblSafety[Recordables],tblSafety[Date],"&gt;="&amp;EDATE($E15,-12),tblSafety[Date],"&lt;="&amp;$A15)+SUMIFS(tblSafetyHistory[Recordables],tblSafetyHistory[Month],"&gt;="&amp;EDATE($E15,-12),tblSafetyHistory[Month],"&lt;"&amp;$E15,tblSafetyHistory[Use],1))/(SUMIFS(tblSafety[Hours_Total],tblSafety[Date],"&gt;="&amp;EDATE($E15,-12),tblSafety[Date],"&lt;="&amp;$A15)+SUMIFS(tblSafetyHistory[Hours_Total],tblSafetyHistory[Month],"&gt;="&amp;EDATE($E15,-12),tblSafetyHistory[Month],"&lt;"&amp;$E15,tblSafetyHistory[Use],1))*cfg_RateBasisHours,"")</f>
        <v/>
      </c>
      <c r="IQ15" s="56">
        <f>IFERROR((SUMIFS(tblSafety[LTI],tblSafety[Date],"&gt;="&amp;EDATE($E15,-12),tblSafety[Date],"&lt;="&amp;$A15)+SUMIFS(tblSafetyHistory[LTI],tblSafetyHistory[Month],"&gt;="&amp;EDATE($E15,-12),tblSafetyHistory[Month],"&lt;"&amp;$E15,tblSafetyHistory[Use],1))/(SUMIFS(tblSafety[Hours_Total],tblSafety[Date],"&gt;="&amp;EDATE($E15,-12),tblSafety[Date],"&lt;="&amp;$A15)+SUMIFS(tblSafetyHistory[Hours_Total],tblSafetyHistory[Month],"&gt;="&amp;EDATE($E15,-12),tblSafetyHistory[Month],"&lt;"&amp;$E15,tblSafetyHistory[Use],1))*cfg_RateBasisHours,"")</f>
        <v/>
      </c>
      <c r="IR15" s="62">
        <f>IF(MAX(N(cfg_PriorLTIDate),_xlfn.MAXIFS(tblSafety[Date],tblSafety[LTI],"&gt;0",tblSafety[Date],"&lt;="&amp;$A15))=0,"",$A15-MAX(N(cfg_PriorLTIDate),_xlfn.MAXIFS(tblSafety[Date],tblSafety[LTI],"&gt;0",tblSafety[Date],"&lt;="&amp;$A15)))</f>
        <v/>
      </c>
      <c r="IS15" s="55">
        <f>SUMIFS(tblBudget[Ore_Mined_t],tblBudget[Month],$E15)</f>
        <v/>
      </c>
      <c r="IT15" s="55">
        <f>$IS15*$C15/$D15</f>
        <v/>
      </c>
      <c r="IU15" s="55">
        <f>SUMIFS(tblBudget[Ore_Mined_t],tblBudget[Month],"&lt;"&amp;$E15)+$IT15</f>
        <v/>
      </c>
      <c r="IV15" s="55">
        <f>SUMIFS(tblBudget[Ore_oz],tblBudget[Month],$E15)</f>
        <v/>
      </c>
      <c r="IW15" s="55">
        <f>$IV15*$C15/$D15</f>
        <v/>
      </c>
      <c r="IX15" s="55">
        <f>SUMIFS(tblBudget[Ore_oz],tblBudget[Month],"&lt;"&amp;$E15)+$IW15</f>
        <v/>
      </c>
      <c r="IY15" s="55">
        <f>SUMIFS(tblBudget[Ore_Mined_t],tblBudget[Month],$E15)</f>
        <v/>
      </c>
      <c r="IZ15" s="55">
        <f>$IY15*$C15/$D15</f>
        <v/>
      </c>
      <c r="JA15" s="55">
        <f>SUMIFS(tblBudget[Ore_Mined_t],tblBudget[Month],"&lt;"&amp;$E15)+$IZ15</f>
        <v/>
      </c>
      <c r="JB15" s="56">
        <f>IFERROR(IF(($IY15)&gt;0,($IV15*cfg_TroyOz)/($IY15),""),"")</f>
        <v/>
      </c>
      <c r="JC15" s="56">
        <f>IFERROR(IF(($IZ15)&gt;0,($IW15*cfg_TroyOz)/($IZ15),""),"")</f>
        <v/>
      </c>
      <c r="JD15" s="56">
        <f>IFERROR(IF(($JA15)&gt;0,($IX15*cfg_TroyOz)/($JA15),""),"")</f>
        <v/>
      </c>
      <c r="JE15" s="55">
        <f>SUMIFS(tblBudget[Waste_t],tblBudget[Month],$E15)</f>
        <v/>
      </c>
      <c r="JF15" s="55">
        <f>$JE15*$C15/$D15</f>
        <v/>
      </c>
      <c r="JG15" s="55">
        <f>SUMIFS(tblBudget[Waste_t],tblBudget[Month],"&lt;"&amp;$E15)+$JF15</f>
        <v/>
      </c>
      <c r="JH15" s="55">
        <f>SUMIFS(tblBudget[TMM_t],tblBudget[Month],$E15)</f>
        <v/>
      </c>
      <c r="JI15" s="55">
        <f>$JH15*$C15/$D15</f>
        <v/>
      </c>
      <c r="JJ15" s="55">
        <f>SUMIFS(tblBudget[TMM_t],tblBudget[Month],"&lt;"&amp;$E15)+$JI15</f>
        <v/>
      </c>
      <c r="JK15" s="56">
        <f>IFERROR(IF(($IS15)&gt;0,($JE15)/($IS15),""),"")</f>
        <v/>
      </c>
      <c r="JL15" s="56">
        <f>IFERROR(IF(($IT15)&gt;0,($JF15)/($IT15),""),"")</f>
        <v/>
      </c>
      <c r="JM15" s="56">
        <f>IFERROR(IF(($IU15)&gt;0,($JG15)/($IU15),""),"")</f>
        <v/>
      </c>
      <c r="JN15" s="55">
        <f>SUMIFS(tblBudget[Drill_m],tblBudget[Month],$E15)</f>
        <v/>
      </c>
      <c r="JO15" s="55">
        <f>$JN15*$C15/$D15</f>
        <v/>
      </c>
      <c r="JP15" s="55">
        <f>SUMIFS(tblBudget[Drill_m],tblBudget[Month],"&lt;"&amp;$E15)+$JO15</f>
        <v/>
      </c>
      <c r="JQ15" s="55">
        <f>SUMIFS(tblBudget[Diesel_L],tblBudget[Month],$E15)</f>
        <v/>
      </c>
      <c r="JR15" s="55">
        <f>$JQ15*$C15/$D15</f>
        <v/>
      </c>
      <c r="JS15" s="55">
        <f>SUMIFS(tblBudget[Diesel_L],tblBudget[Month],"&lt;"&amp;$E15)+$JR15</f>
        <v/>
      </c>
      <c r="JT15" s="55">
        <f>SUMIFS(tblBudget[Milled_t],tblBudget[Month],$E15)</f>
        <v/>
      </c>
      <c r="JU15" s="55">
        <f>$JT15*$C15/$D15</f>
        <v/>
      </c>
      <c r="JV15" s="55">
        <f>SUMIFS(tblBudget[Milled_t],tblBudget[Month],"&lt;"&amp;$E15)+$JU15</f>
        <v/>
      </c>
      <c r="JW15" s="55">
        <f>SUMIFS(tblBudget[Feed_oz],tblBudget[Month],$E15)</f>
        <v/>
      </c>
      <c r="JX15" s="55">
        <f>$JW15*$C15/$D15</f>
        <v/>
      </c>
      <c r="JY15" s="55">
        <f>SUMIFS(tblBudget[Feed_oz],tblBudget[Month],"&lt;"&amp;$E15)+$JX15</f>
        <v/>
      </c>
      <c r="JZ15" s="55">
        <f>SUMIFS(tblBudget[Recovered_oz],tblBudget[Month],$E15)</f>
        <v/>
      </c>
      <c r="KA15" s="55">
        <f>$JZ15*$C15/$D15</f>
        <v/>
      </c>
      <c r="KB15" s="55">
        <f>SUMIFS(tblBudget[Recovered_oz],tblBudget[Month],"&lt;"&amp;$E15)+$KA15</f>
        <v/>
      </c>
      <c r="KC15" s="55">
        <f>SUMIFS(tblBudget[Milled_t],tblBudget[Month],$E15)</f>
        <v/>
      </c>
      <c r="KD15" s="55">
        <f>$KC15*$C15/$D15</f>
        <v/>
      </c>
      <c r="KE15" s="55">
        <f>SUMIFS(tblBudget[Milled_t],tblBudget[Month],"&lt;"&amp;$E15)+$KD15</f>
        <v/>
      </c>
      <c r="KF15" s="55">
        <f>SUMIFS(tblBudget[Feed_oz],tblBudget[Month],$E15)</f>
        <v/>
      </c>
      <c r="KG15" s="55">
        <f>$KF15*$C15/$D15</f>
        <v/>
      </c>
      <c r="KH15" s="55">
        <f>SUMIFS(tblBudget[Feed_oz],tblBudget[Month],"&lt;"&amp;$E15)+$KG15</f>
        <v/>
      </c>
      <c r="KI15" s="56">
        <f>IFERROR(IF(($KC15)&gt;0,($JW15*cfg_TroyOz)/($KC15),""),"")</f>
        <v/>
      </c>
      <c r="KJ15" s="56">
        <f>IFERROR(IF(($KD15)&gt;0,($JX15*cfg_TroyOz)/($KD15),""),"")</f>
        <v/>
      </c>
      <c r="KK15" s="56">
        <f>IFERROR(IF(($KE15)&gt;0,($JY15*cfg_TroyOz)/($KE15),""),"")</f>
        <v/>
      </c>
      <c r="KL15" s="67">
        <f>IFERROR(IF(($KF15)&gt;0,($JZ15)/($KF15),""),"")</f>
        <v/>
      </c>
      <c r="KM15" s="67">
        <f>IFERROR(IF(($KG15)&gt;0,($KA15)/($KG15),""),"")</f>
        <v/>
      </c>
      <c r="KN15" s="67">
        <f>IFERROR(IF(($KH15)&gt;0,($KB15)/($KH15),""),"")</f>
        <v/>
      </c>
      <c r="KO15" s="55">
        <f>SUMIFS(tblBudget[Gold_Poured_oz],tblBudget[Month],$E15)</f>
        <v/>
      </c>
      <c r="KP15" s="55">
        <f>$KO15*$C15/$D15</f>
        <v/>
      </c>
      <c r="KQ15" s="55">
        <f>SUMIFS(tblBudget[Gold_Poured_oz],tblBudget[Month],"&lt;"&amp;$E15)+$KP15</f>
        <v/>
      </c>
      <c r="KR15" s="57">
        <f>SUMIFS(tblBudget[Hours_Worked],tblBudget[Month],$E15)</f>
        <v/>
      </c>
      <c r="KS15" s="57">
        <f>$KR15*$C15/$D15</f>
        <v/>
      </c>
      <c r="KT15" s="57">
        <f>SUMIFS(tblBudget[Hours_Worked],tblBudget[Month],"&lt;"&amp;$E15)+$KS15</f>
        <v/>
      </c>
    </row>
    <row r="16">
      <c r="A16" s="54" t="n">
        <v>46037</v>
      </c>
      <c r="B16">
        <f>MONTH($A16)</f>
        <v/>
      </c>
      <c r="C16">
        <f>DAY($A16)</f>
        <v/>
      </c>
      <c r="D16">
        <f>DAY(EOMONTH($A16,0))</f>
        <v/>
      </c>
      <c r="E16" s="54">
        <f>DATE(YEAR($A16),MONTH($A16),1)</f>
        <v/>
      </c>
      <c r="F16" s="55">
        <f>SUMIFS(tblMovement[Tonnes_t],tblMovement[Date],$A16,tblMovement[Is_Ore],1,tblMovement[Source_Type],"Pit")</f>
        <v/>
      </c>
      <c r="G16" s="55">
        <f>IF($B16=$B15,$G15,0)+$F16</f>
        <v/>
      </c>
      <c r="H16" s="55">
        <f>$H15+$F16</f>
        <v/>
      </c>
      <c r="I16" s="55">
        <f>SUMIFS(tblMovement[Ore_oz],tblMovement[Date],$A16,tblMovement[Source_Type],"Pit")</f>
        <v/>
      </c>
      <c r="J16" s="55">
        <f>IF($B16=$B15,$J15,0)+$I16</f>
        <v/>
      </c>
      <c r="K16" s="55">
        <f>$K15+$I16</f>
        <v/>
      </c>
      <c r="L16" s="55">
        <f>SUMIFS(tblMovement[Tonnes_t],tblMovement[Date],$A16,tblMovement[Is_Ore],1,tblMovement[Source_Type],"Pit",tblMovement[Grade_gpt],"&lt;&gt;")</f>
        <v/>
      </c>
      <c r="M16" s="55">
        <f>IF($B16=$B15,$M15,0)+$L16</f>
        <v/>
      </c>
      <c r="N16" s="55">
        <f>$N15+$L16</f>
        <v/>
      </c>
      <c r="O16" s="56">
        <f>IFERROR(IF(($L16)&gt;0,($I16*cfg_TroyOz)/($L16),""),"")</f>
        <v/>
      </c>
      <c r="P16" s="56">
        <f>IFERROR(IF(($M16)&gt;0,($J16*cfg_TroyOz)/($M16),""),"")</f>
        <v/>
      </c>
      <c r="Q16" s="56">
        <f>IFERROR(IF(($N16)&gt;0,($K16*cfg_TroyOz)/($N16),""),"")</f>
        <v/>
      </c>
      <c r="R16" s="55">
        <f>$F16-$L16</f>
        <v/>
      </c>
      <c r="S16" s="55">
        <f>IF($B16=$B15,$S15,0)+$R16</f>
        <v/>
      </c>
      <c r="T16" s="55">
        <f>$T15+$R16</f>
        <v/>
      </c>
      <c r="U16" s="55">
        <f>SUMIFS(tblMovement[Tonnes_t],tblMovement[Date],$A16,tblMovement[Is_Ore],0,tblMovement[Source_Type],"Pit")</f>
        <v/>
      </c>
      <c r="V16" s="55">
        <f>IF($B16=$B15,$V15,0)+$U16</f>
        <v/>
      </c>
      <c r="W16" s="55">
        <f>$W15+$U16</f>
        <v/>
      </c>
      <c r="X16" s="55">
        <f>$F16+$U16</f>
        <v/>
      </c>
      <c r="Y16" s="55">
        <f>IF($B16=$B15,$Y15,0)+$X16</f>
        <v/>
      </c>
      <c r="Z16" s="55">
        <f>$Z15+$X16</f>
        <v/>
      </c>
      <c r="AA16" s="56">
        <f>IFERROR(IF(($F16)&gt;0,($U16)/($F16),""),"")</f>
        <v/>
      </c>
      <c r="AB16" s="56">
        <f>IFERROR(IF(($G16)&gt;0,($V16)/($G16),""),"")</f>
        <v/>
      </c>
      <c r="AC16" s="56">
        <f>IFERROR(IF(($H16)&gt;0,($W16)/($H16),""),"")</f>
        <v/>
      </c>
      <c r="AD16" s="55">
        <f>SUMIFS(tblMovement[Tonnes_t],tblMovement[Date],$A16,tblMovement[Source_Type],"Stockpile")</f>
        <v/>
      </c>
      <c r="AE16" s="55">
        <f>IF($B16=$B15,$AE15,0)+$AD16</f>
        <v/>
      </c>
      <c r="AF16" s="55">
        <f>$AF15+$AD16</f>
        <v/>
      </c>
      <c r="AG16" s="55">
        <f>SUMIFS(tblMovement[Tonnes_t],tblMovement[Date],$A16)</f>
        <v/>
      </c>
      <c r="AH16" s="55">
        <f>IF($B16=$B15,$AH15,0)+$AG16</f>
        <v/>
      </c>
      <c r="AI16" s="55">
        <f>$AI15+$AG16</f>
        <v/>
      </c>
      <c r="AJ16" s="55">
        <f>$AG16-$X16-$AD16</f>
        <v/>
      </c>
      <c r="AK16" s="55">
        <f>IF($B16=$B15,$AK15,0)+$AJ16</f>
        <v/>
      </c>
      <c r="AL16" s="55">
        <f>$AL15+$AJ16</f>
        <v/>
      </c>
      <c r="AM16" s="55">
        <f>SUMIFS(tblMiningDaily[Drill_m],tblMiningDaily[Date],$A16)</f>
        <v/>
      </c>
      <c r="AN16" s="55">
        <f>IF($B16=$B15,$AN15,0)+$AM16</f>
        <v/>
      </c>
      <c r="AO16" s="55">
        <f>$AO15+$AM16</f>
        <v/>
      </c>
      <c r="AP16" s="55">
        <f>SUMIFS(tblMiningDaily[GC_Drill_m],tblMiningDaily[Date],$A16)</f>
        <v/>
      </c>
      <c r="AQ16" s="55">
        <f>IF($B16=$B15,$AQ15,0)+$AP16</f>
        <v/>
      </c>
      <c r="AR16" s="55">
        <f>$AR15+$AP16</f>
        <v/>
      </c>
      <c r="AS16" s="55">
        <f>SUMIFS(tblMiningDaily[Blast_t],tblMiningDaily[Date],$A16)</f>
        <v/>
      </c>
      <c r="AT16" s="55">
        <f>IF($B16=$B15,$AT15,0)+$AS16</f>
        <v/>
      </c>
      <c r="AU16" s="55">
        <f>$AU15+$AS16</f>
        <v/>
      </c>
      <c r="AV16" s="55">
        <f>SUMIFS(tblMiningDaily[Explosives_kg],tblMiningDaily[Date],$A16)</f>
        <v/>
      </c>
      <c r="AW16" s="55">
        <f>IF($B16=$B15,$AW15,0)+$AV16</f>
        <v/>
      </c>
      <c r="AX16" s="55">
        <f>$AX15+$AV16</f>
        <v/>
      </c>
      <c r="AY16" s="56">
        <f>IFERROR(IF(($AS16)&gt;0,($AV16)/($AS16),""),"")</f>
        <v/>
      </c>
      <c r="AZ16" s="56">
        <f>IFERROR(IF(($AT16)&gt;0,($AW16)/($AT16),""),"")</f>
        <v/>
      </c>
      <c r="BA16" s="56">
        <f>IFERROR(IF(($AU16)&gt;0,($AX16)/($AU16),""),"")</f>
        <v/>
      </c>
      <c r="BB16" s="55">
        <f>SUMIFS(tblMiningDaily[Diesel_L],tblMiningDaily[Date],$A16)</f>
        <v/>
      </c>
      <c r="BC16" s="55">
        <f>IF($B16=$B15,$BC15,0)+$BB16</f>
        <v/>
      </c>
      <c r="BD16" s="55">
        <f>$BD15+$BB16</f>
        <v/>
      </c>
      <c r="BE16" s="55">
        <f>SUMIFS(tblMiningDaily[Dewatering_m3],tblMiningDaily[Date],$A16)</f>
        <v/>
      </c>
      <c r="BF16" s="55">
        <f>IF($B16=$B15,$BF15,0)+$BE16</f>
        <v/>
      </c>
      <c r="BG16" s="55">
        <f>$BG15+$BE16</f>
        <v/>
      </c>
      <c r="BH16" s="57">
        <f>SUMIFS(tblFleet[Calendar_h],tblFleet[Date],$A16,tblFleet[Equipment_Class],"Excavator")</f>
        <v/>
      </c>
      <c r="BI16" s="57">
        <f>IF($B16=$B15,$BI15,0)+$BH16</f>
        <v/>
      </c>
      <c r="BJ16" s="57">
        <f>$BJ15+$BH16</f>
        <v/>
      </c>
      <c r="BK16" s="57">
        <f>SUMIFS(tblFleet[Available_h],tblFleet[Date],$A16,tblFleet[Equipment_Class],"Excavator")</f>
        <v/>
      </c>
      <c r="BL16" s="57">
        <f>IF($B16=$B15,$BL15,0)+$BK16</f>
        <v/>
      </c>
      <c r="BM16" s="57">
        <f>$BM15+$BK16</f>
        <v/>
      </c>
      <c r="BN16" s="57">
        <f>SUMIFS(tblFleet[Operating_h],tblFleet[Date],$A16,tblFleet[Equipment_Class],"Excavator")</f>
        <v/>
      </c>
      <c r="BO16" s="57">
        <f>IF($B16=$B15,$BO15,0)+$BN16</f>
        <v/>
      </c>
      <c r="BP16" s="57">
        <f>$BP15+$BN16</f>
        <v/>
      </c>
      <c r="BQ16" s="67">
        <f>IFERROR(IF(($BH16)&gt;0,($BK16)/($BH16),""),"")</f>
        <v/>
      </c>
      <c r="BR16" s="67">
        <f>IFERROR(IF(($BI16)&gt;0,($BL16)/($BI16),""),"")</f>
        <v/>
      </c>
      <c r="BS16" s="67">
        <f>IFERROR(IF(($BJ16)&gt;0,($BM16)/($BJ16),""),"")</f>
        <v/>
      </c>
      <c r="BT16" s="67">
        <f>IFERROR(IF(($BK16)&gt;0,($BN16)/($BK16),""),"")</f>
        <v/>
      </c>
      <c r="BU16" s="67">
        <f>IFERROR(IF(($BL16)&gt;0,($BO16)/($BL16),""),"")</f>
        <v/>
      </c>
      <c r="BV16" s="67">
        <f>IFERROR(IF(($BM16)&gt;0,($BP16)/($BM16),""),"")</f>
        <v/>
      </c>
      <c r="BW16" s="57">
        <f>SUMIFS(tblFleet[Calendar_h],tblFleet[Date],$A16,tblFleet[Equipment_Class],"Haul Truck")</f>
        <v/>
      </c>
      <c r="BX16" s="57">
        <f>IF($B16=$B15,$BX15,0)+$BW16</f>
        <v/>
      </c>
      <c r="BY16" s="57">
        <f>$BY15+$BW16</f>
        <v/>
      </c>
      <c r="BZ16" s="57">
        <f>SUMIFS(tblFleet[Available_h],tblFleet[Date],$A16,tblFleet[Equipment_Class],"Haul Truck")</f>
        <v/>
      </c>
      <c r="CA16" s="57">
        <f>IF($B16=$B15,$CA15,0)+$BZ16</f>
        <v/>
      </c>
      <c r="CB16" s="57">
        <f>$CB15+$BZ16</f>
        <v/>
      </c>
      <c r="CC16" s="57">
        <f>SUMIFS(tblFleet[Operating_h],tblFleet[Date],$A16,tblFleet[Equipment_Class],"Haul Truck")</f>
        <v/>
      </c>
      <c r="CD16" s="57">
        <f>IF($B16=$B15,$CD15,0)+$CC16</f>
        <v/>
      </c>
      <c r="CE16" s="57">
        <f>$CE15+$CC16</f>
        <v/>
      </c>
      <c r="CF16" s="67">
        <f>IFERROR(IF(($BW16)&gt;0,($BZ16)/($BW16),""),"")</f>
        <v/>
      </c>
      <c r="CG16" s="67">
        <f>IFERROR(IF(($BX16)&gt;0,($CA16)/($BX16),""),"")</f>
        <v/>
      </c>
      <c r="CH16" s="67">
        <f>IFERROR(IF(($BY16)&gt;0,($CB16)/($BY16),""),"")</f>
        <v/>
      </c>
      <c r="CI16" s="67">
        <f>IFERROR(IF(($BZ16)&gt;0,($CC16)/($BZ16),""),"")</f>
        <v/>
      </c>
      <c r="CJ16" s="67">
        <f>IFERROR(IF(($CA16)&gt;0,($CD16)/($CA16),""),"")</f>
        <v/>
      </c>
      <c r="CK16" s="67">
        <f>IFERROR(IF(($CB16)&gt;0,($CE16)/($CB16),""),"")</f>
        <v/>
      </c>
      <c r="CL16" s="55">
        <f>IFERROR(IF(($BN16)&gt;0,($X16+$AD16)/($BN16),""),"")</f>
        <v/>
      </c>
      <c r="CM16" s="55">
        <f>IFERROR(IF(($BO16)&gt;0,($Y16+$AE16)/($BO16),""),"")</f>
        <v/>
      </c>
      <c r="CN16" s="55">
        <f>IFERROR(IF(($BP16)&gt;0,($Z16+$AF16)/($BP16),""),"")</f>
        <v/>
      </c>
      <c r="CO16" s="55">
        <f>IFERROR(IF(($CC16)&gt;0,($X16+$AD16)/($CC16),""),"")</f>
        <v/>
      </c>
      <c r="CP16" s="55">
        <f>IFERROR(IF(($CD16)&gt;0,($Y16+$AE16)/($CD16),""),"")</f>
        <v/>
      </c>
      <c r="CQ16" s="55">
        <f>IFERROR(IF(($CE16)&gt;0,($Z16+$AF16)/($CE16),""),"")</f>
        <v/>
      </c>
      <c r="CR16" s="55">
        <f>SUMIFS(tblPlant[Crushed_t],tblPlant[Date],$A16)</f>
        <v/>
      </c>
      <c r="CS16" s="55">
        <f>IF($B16=$B15,$CS15,0)+$CR16</f>
        <v/>
      </c>
      <c r="CT16" s="55">
        <f>$CT15+$CR16</f>
        <v/>
      </c>
      <c r="CU16" s="55">
        <f>SUMIFS(tblPlant[Milled_t],tblPlant[Date],$A16)</f>
        <v/>
      </c>
      <c r="CV16" s="55">
        <f>IF($B16=$B15,$CV15,0)+$CU16</f>
        <v/>
      </c>
      <c r="CW16" s="55">
        <f>$CW15+$CU16</f>
        <v/>
      </c>
      <c r="CX16" s="55">
        <f>SUMIFS(tblPlant[Feed_oz],tblPlant[Date],$A16)</f>
        <v/>
      </c>
      <c r="CY16" s="55">
        <f>IF($B16=$B15,$CY15,0)+$CX16</f>
        <v/>
      </c>
      <c r="CZ16" s="55">
        <f>$CZ15+$CX16</f>
        <v/>
      </c>
      <c r="DA16" s="55">
        <f>SUMIFS(tblPlant[Tails_oz],tblPlant[Date],$A16)</f>
        <v/>
      </c>
      <c r="DB16" s="55">
        <f>IF($B16=$B15,$DB15,0)+$DA16</f>
        <v/>
      </c>
      <c r="DC16" s="55">
        <f>$DC15+$DA16</f>
        <v/>
      </c>
      <c r="DD16" s="55">
        <f>SUMIFS(tblPlant[Recovered_oz],tblPlant[Date],$A16)</f>
        <v/>
      </c>
      <c r="DE16" s="55">
        <f>IF($B16=$B15,$DE15,0)+$DD16</f>
        <v/>
      </c>
      <c r="DF16" s="55">
        <f>$DF15+$DD16</f>
        <v/>
      </c>
      <c r="DG16" s="55">
        <f>SUMIFS(tblPlant[Milled_t],tblPlant[Date],$A16,tblPlant[Head_Grade_gpt],"&lt;&gt;")</f>
        <v/>
      </c>
      <c r="DH16" s="55">
        <f>IF($B16=$B15,$DH15,0)+$DG16</f>
        <v/>
      </c>
      <c r="DI16" s="55">
        <f>$DI15+$DG16</f>
        <v/>
      </c>
      <c r="DJ16" s="55">
        <f>SUMIFS(tblPlant[Milled_t],tblPlant[Date],$A16,tblPlant[Tails_Grade_gpt],"&lt;&gt;")</f>
        <v/>
      </c>
      <c r="DK16" s="55">
        <f>IF($B16=$B15,$DK15,0)+$DJ16</f>
        <v/>
      </c>
      <c r="DL16" s="55">
        <f>$DL15+$DJ16</f>
        <v/>
      </c>
      <c r="DM16" s="55">
        <f>SUMIFS(tblPlant[Feed_oz],tblPlant[Date],$A16,tblPlant[Tails_Grade_gpt],"&lt;&gt;")</f>
        <v/>
      </c>
      <c r="DN16" s="55">
        <f>IF($B16=$B15,$DN15,0)+$DM16</f>
        <v/>
      </c>
      <c r="DO16" s="55">
        <f>$DO15+$DM16</f>
        <v/>
      </c>
      <c r="DP16" s="55">
        <f>SUMIFS(tblPlant[Milled_t],tblPlant[Date],$A16,tblPlant[Mill_Run_h],"&lt;&gt;")</f>
        <v/>
      </c>
      <c r="DQ16" s="55">
        <f>IF($B16=$B15,$DQ15,0)+$DP16</f>
        <v/>
      </c>
      <c r="DR16" s="55">
        <f>$DR15+$DP16</f>
        <v/>
      </c>
      <c r="DS16" s="56">
        <f>IFERROR(IF(($DG16)&gt;0,($CX16*cfg_TroyOz)/($DG16),""),"")</f>
        <v/>
      </c>
      <c r="DT16" s="56">
        <f>IFERROR(IF(($DH16)&gt;0,($CY16*cfg_TroyOz)/($DH16),""),"")</f>
        <v/>
      </c>
      <c r="DU16" s="56">
        <f>IFERROR(IF(($DI16)&gt;0,($CZ16*cfg_TroyOz)/($DI16),""),"")</f>
        <v/>
      </c>
      <c r="DV16" s="56">
        <f>IFERROR(IF(($DJ16)&gt;0,($DA16*cfg_TroyOz)/($DJ16),""),"")</f>
        <v/>
      </c>
      <c r="DW16" s="56">
        <f>IFERROR(IF(($DK16)&gt;0,($DB16*cfg_TroyOz)/($DK16),""),"")</f>
        <v/>
      </c>
      <c r="DX16" s="56">
        <f>IFERROR(IF(($DL16)&gt;0,($DC16*cfg_TroyOz)/($DL16),""),"")</f>
        <v/>
      </c>
      <c r="DY16" s="67">
        <f>IFERROR(IF(($DM16)&gt;0,($DD16)/($DM16),""),"")</f>
        <v/>
      </c>
      <c r="DZ16" s="67">
        <f>IFERROR(IF(($DN16)&gt;0,($DE16)/($DN16),""),"")</f>
        <v/>
      </c>
      <c r="EA16" s="67">
        <f>IFERROR(IF(($DO16)&gt;0,($DF16)/($DO16),""),"")</f>
        <v/>
      </c>
      <c r="EB16" s="55">
        <f>SUMIFS(tblPlant[Gravity_Gold_oz],tblPlant[Date],$A16)</f>
        <v/>
      </c>
      <c r="EC16" s="55">
        <f>IF($B16=$B15,$EC15,0)+$EB16</f>
        <v/>
      </c>
      <c r="ED16" s="55">
        <f>$ED15+$EB16</f>
        <v/>
      </c>
      <c r="EE16" s="67">
        <f>IFERROR(IF(($DD16)&gt;0,($EB16)/($DD16),""),"")</f>
        <v/>
      </c>
      <c r="EF16" s="67">
        <f>IFERROR(IF(($DE16)&gt;0,($EC16)/($DE16),""),"")</f>
        <v/>
      </c>
      <c r="EG16" s="67">
        <f>IFERROR(IF(($DF16)&gt;0,($ED16)/($DF16),""),"")</f>
        <v/>
      </c>
      <c r="EH16" s="55">
        <f>SUMIFS(tblPlant[Gold_Poured_oz],tblPlant[Date],$A16)</f>
        <v/>
      </c>
      <c r="EI16" s="55">
        <f>IF($B16=$B15,$EI15,0)+$EH16</f>
        <v/>
      </c>
      <c r="EJ16" s="55">
        <f>$EJ15+$EH16</f>
        <v/>
      </c>
      <c r="EK16" s="57">
        <f>SUMIFS(tblPlant[Mill_Run_h],tblPlant[Date],$A16)</f>
        <v/>
      </c>
      <c r="EL16" s="57">
        <f>IF($B16=$B15,$EL15,0)+$EK16</f>
        <v/>
      </c>
      <c r="EM16" s="57">
        <f>$EM15+$EK16</f>
        <v/>
      </c>
      <c r="EN16" s="57">
        <f>SUMIFS(tblPlant[Mill_Planned_Maint_h],tblPlant[Date],$A16)</f>
        <v/>
      </c>
      <c r="EO16" s="57">
        <f>IF($B16=$B15,$EO15,0)+$EN16</f>
        <v/>
      </c>
      <c r="EP16" s="57">
        <f>$EP15+$EN16</f>
        <v/>
      </c>
      <c r="EQ16" s="57">
        <f>SUMIFS(tblPlant[Mill_Unplanned_Down_h],tblPlant[Date],$A16)</f>
        <v/>
      </c>
      <c r="ER16" s="57">
        <f>IF($B16=$B15,$ER15,0)+$EQ16</f>
        <v/>
      </c>
      <c r="ES16" s="57">
        <f>$ES15+$EQ16</f>
        <v/>
      </c>
      <c r="ET16" s="57">
        <f>IF(COUNTIFS(tblPlant[Date],$A16,tblPlant[Mill_Run_h],"&lt;&gt;")+COUNTIFS(tblPlant[Date],$A16,tblPlant[Mill_Planned_Maint_h],"&lt;&gt;")+COUNTIFS(tblPlant[Date],$A16,tblPlant[Mill_Unplanned_Down_h],"&lt;&gt;")&gt;0,cfg_HoursPerDay,0)</f>
        <v/>
      </c>
      <c r="EU16" s="57">
        <f>IF($B16=$B15,$EU15,0)+$ET16</f>
        <v/>
      </c>
      <c r="EV16" s="57">
        <f>$EV15+$ET16</f>
        <v/>
      </c>
      <c r="EW16" s="57">
        <f>SUMIFS(tblPlant[Crusher_Run_h],tblPlant[Date],$A16)</f>
        <v/>
      </c>
      <c r="EX16" s="57">
        <f>IF($B16=$B15,$EX15,0)+$EW16</f>
        <v/>
      </c>
      <c r="EY16" s="57">
        <f>$EY15+$EW16</f>
        <v/>
      </c>
      <c r="EZ16" s="55">
        <f>IFERROR(IF(($EK16)&gt;0,($DP16)/($EK16),""),"")</f>
        <v/>
      </c>
      <c r="FA16" s="55">
        <f>IFERROR(IF(($EL16)&gt;0,($DQ16)/($EL16),""),"")</f>
        <v/>
      </c>
      <c r="FB16" s="55">
        <f>IFERROR(IF(($EM16)&gt;0,($DR16)/($EM16),""),"")</f>
        <v/>
      </c>
      <c r="FC16" s="67">
        <f>IFERROR(IF(($ET16)&gt;0,($ET16-$EN16-$EQ16)/($ET16),""),"")</f>
        <v/>
      </c>
      <c r="FD16" s="67">
        <f>IFERROR(IF(($EU16)&gt;0,($EU16-$EO16-$ER16)/($EU16),""),"")</f>
        <v/>
      </c>
      <c r="FE16" s="67">
        <f>IFERROR(IF(($EV16)&gt;0,($EV16-$EP16-$ES16)/($EV16),""),"")</f>
        <v/>
      </c>
      <c r="FF16" s="67">
        <f>IFERROR(IF(($ET16-$EN16-$EQ16)&gt;0,($EK16)/($ET16-$EN16-$EQ16),""),"")</f>
        <v/>
      </c>
      <c r="FG16" s="67">
        <f>IFERROR(IF(($EU16-$EO16-$ER16)&gt;0,($EL16)/($EU16-$EO16-$ER16),""),"")</f>
        <v/>
      </c>
      <c r="FH16" s="67">
        <f>IFERROR(IF(($EV16-$EP16-$ES16)&gt;0,($EM16)/($EV16-$EP16-$ES16),""),"")</f>
        <v/>
      </c>
      <c r="FI16" s="55">
        <f>SUMIFS(tblPlant[Cyanide_kg],tblPlant[Date],$A16)</f>
        <v/>
      </c>
      <c r="FJ16" s="55">
        <f>IF($B16=$B15,$FJ15,0)+$FI16</f>
        <v/>
      </c>
      <c r="FK16" s="55">
        <f>$FK15+$FI16</f>
        <v/>
      </c>
      <c r="FL16" s="55">
        <f>SUMIFS(tblPlant[Lime_kg],tblPlant[Date],$A16)</f>
        <v/>
      </c>
      <c r="FM16" s="55">
        <f>IF($B16=$B15,$FM15,0)+$FL16</f>
        <v/>
      </c>
      <c r="FN16" s="55">
        <f>$FN15+$FL16</f>
        <v/>
      </c>
      <c r="FO16" s="55">
        <f>SUMIFS(tblPlant[Grinding_Media_kg],tblPlant[Date],$A16)</f>
        <v/>
      </c>
      <c r="FP16" s="55">
        <f>IF($B16=$B15,$FP15,0)+$FO16</f>
        <v/>
      </c>
      <c r="FQ16" s="55">
        <f>$FQ15+$FO16</f>
        <v/>
      </c>
      <c r="FR16" s="55">
        <f>SUMIFS(tblPlant[Power_kWh],tblPlant[Date],$A16)</f>
        <v/>
      </c>
      <c r="FS16" s="55">
        <f>IF($B16=$B15,$FS15,0)+$FR16</f>
        <v/>
      </c>
      <c r="FT16" s="55">
        <f>$FT15+$FR16</f>
        <v/>
      </c>
      <c r="FU16" s="55">
        <f>SUMIFS(tblPlant[Raw_Water_m3],tblPlant[Date],$A16)</f>
        <v/>
      </c>
      <c r="FV16" s="55">
        <f>IF($B16=$B15,$FV15,0)+$FU16</f>
        <v/>
      </c>
      <c r="FW16" s="55">
        <f>$FW15+$FU16</f>
        <v/>
      </c>
      <c r="FX16" s="56">
        <f>IFERROR(IF(($CU16)&gt;0,($FI16)/($CU16),""),"")</f>
        <v/>
      </c>
      <c r="FY16" s="56">
        <f>IFERROR(IF(($CV16)&gt;0,($FJ16)/($CV16),""),"")</f>
        <v/>
      </c>
      <c r="FZ16" s="56">
        <f>IFERROR(IF(($CW16)&gt;0,($FK16)/($CW16),""),"")</f>
        <v/>
      </c>
      <c r="GA16" s="56">
        <f>IFERROR(IF(($CU16)&gt;0,($FL16)/($CU16),""),"")</f>
        <v/>
      </c>
      <c r="GB16" s="56">
        <f>IFERROR(IF(($CV16)&gt;0,($FM16)/($CV16),""),"")</f>
        <v/>
      </c>
      <c r="GC16" s="56">
        <f>IFERROR(IF(($CW16)&gt;0,($FN16)/($CW16),""),"")</f>
        <v/>
      </c>
      <c r="GD16" s="56">
        <f>IFERROR(IF(($CU16)&gt;0,($FO16)/($CU16),""),"")</f>
        <v/>
      </c>
      <c r="GE16" s="56">
        <f>IFERROR(IF(($CV16)&gt;0,($FP16)/($CV16),""),"")</f>
        <v/>
      </c>
      <c r="GF16" s="56">
        <f>IFERROR(IF(($CW16)&gt;0,($FQ16)/($CW16),""),"")</f>
        <v/>
      </c>
      <c r="GG16" s="79">
        <f>IFERROR(IF(($CU16)&gt;0,($FR16)/($CU16),""),"")</f>
        <v/>
      </c>
      <c r="GH16" s="79">
        <f>IFERROR(IF(($CV16)&gt;0,($FS16)/($CV16),""),"")</f>
        <v/>
      </c>
      <c r="GI16" s="79">
        <f>IFERROR(IF(($CW16)&gt;0,($FT16)/($CW16),""),"")</f>
        <v/>
      </c>
      <c r="GJ16" s="56">
        <f>IFERROR(IF(($CU16)&gt;0,($FU16)/($CU16),""),"")</f>
        <v/>
      </c>
      <c r="GK16" s="56">
        <f>IFERROR(IF(($CV16)&gt;0,($FV16)/($CV16),""),"")</f>
        <v/>
      </c>
      <c r="GL16" s="56">
        <f>IFERROR(IF(($CW16)&gt;0,($FW16)/($CW16),""),"")</f>
        <v/>
      </c>
      <c r="GM16" s="55">
        <f>IF(SUMIFS(tblPlant[GIC_oz],tblPlant[Date],$A16)&gt;0,SUMIFS(tblPlant[GIC_oz],tblPlant[Date],$A16),"")</f>
        <v/>
      </c>
      <c r="GN16" s="55">
        <f>SUMIFS(tblGold[Gold_oz],tblGold[Date],$A16,tblGold[Type],"Shipment")</f>
        <v/>
      </c>
      <c r="GO16" s="55">
        <f>IF($B16=$B15,$GO15,0)+$GN16</f>
        <v/>
      </c>
      <c r="GP16" s="55">
        <f>$GP15+$GN16</f>
        <v/>
      </c>
      <c r="GQ16" s="55">
        <f>SUMIFS(tblGold[Gold_oz],tblGold[Date],$A16,tblGold[Type],"Sale")</f>
        <v/>
      </c>
      <c r="GR16" s="55">
        <f>IF($B16=$B15,$GR15,0)+$GQ16</f>
        <v/>
      </c>
      <c r="GS16" s="55">
        <f>$GS15+$GQ16</f>
        <v/>
      </c>
      <c r="GT16" s="55">
        <f>SUMIFS(tblGold[Dore_kg],tblGold[Date],$A16,tblGold[Type],"Shipment")</f>
        <v/>
      </c>
      <c r="GU16" s="55">
        <f>IF($B16=$B15,$GU15,0)+$GT16</f>
        <v/>
      </c>
      <c r="GV16" s="55">
        <f>$GV15+$GT16</f>
        <v/>
      </c>
      <c r="GW16" s="57">
        <f>SUMIFS(tblSafety[Hours_Total],tblSafety[Date],$A16)</f>
        <v/>
      </c>
      <c r="GX16" s="57">
        <f>IF($B16=$B15,$GX15,0)+$GW16</f>
        <v/>
      </c>
      <c r="GY16" s="57">
        <f>$GY15+$GW16</f>
        <v/>
      </c>
      <c r="GZ16" s="62">
        <f>SUMIFS(tblSafety[Fatality],tblSafety[Date],$A16)</f>
        <v/>
      </c>
      <c r="HA16" s="62">
        <f>IF($B16=$B15,$HA15,0)+$GZ16</f>
        <v/>
      </c>
      <c r="HB16" s="62">
        <f>$HB15+$GZ16</f>
        <v/>
      </c>
      <c r="HC16" s="62">
        <f>SUMIFS(tblSafety[LTI],tblSafety[Date],$A16)</f>
        <v/>
      </c>
      <c r="HD16" s="62">
        <f>IF($B16=$B15,$HD15,0)+$HC16</f>
        <v/>
      </c>
      <c r="HE16" s="62">
        <f>$HE15+$HC16</f>
        <v/>
      </c>
      <c r="HF16" s="62">
        <f>SUMIFS(tblSafety[RWI],tblSafety[Date],$A16)</f>
        <v/>
      </c>
      <c r="HG16" s="62">
        <f>IF($B16=$B15,$HG15,0)+$HF16</f>
        <v/>
      </c>
      <c r="HH16" s="62">
        <f>$HH15+$HF16</f>
        <v/>
      </c>
      <c r="HI16" s="62">
        <f>SUMIFS(tblSafety[MTI],tblSafety[Date],$A16)</f>
        <v/>
      </c>
      <c r="HJ16" s="62">
        <f>IF($B16=$B15,$HJ15,0)+$HI16</f>
        <v/>
      </c>
      <c r="HK16" s="62">
        <f>$HK15+$HI16</f>
        <v/>
      </c>
      <c r="HL16" s="62">
        <f>SUMIFS(tblSafety[FAI],tblSafety[Date],$A16)</f>
        <v/>
      </c>
      <c r="HM16" s="62">
        <f>IF($B16=$B15,$HM15,0)+$HL16</f>
        <v/>
      </c>
      <c r="HN16" s="62">
        <f>$HN15+$HL16</f>
        <v/>
      </c>
      <c r="HO16" s="62">
        <f>SUMIFS(tblSafety[Recordables],tblSafety[Date],$A16)</f>
        <v/>
      </c>
      <c r="HP16" s="62">
        <f>IF($B16=$B15,$HP15,0)+$HO16</f>
        <v/>
      </c>
      <c r="HQ16" s="62">
        <f>$HQ15+$HO16</f>
        <v/>
      </c>
      <c r="HR16" s="62">
        <f>SUMIFS(tblSafety[Near_Miss],tblSafety[Date],$A16)</f>
        <v/>
      </c>
      <c r="HS16" s="62">
        <f>IF($B16=$B15,$HS15,0)+$HR16</f>
        <v/>
      </c>
      <c r="HT16" s="62">
        <f>$HT15+$HR16</f>
        <v/>
      </c>
      <c r="HU16" s="62">
        <f>SUMIFS(tblSafety[Hazard_Reports],tblSafety[Date],$A16)</f>
        <v/>
      </c>
      <c r="HV16" s="62">
        <f>IF($B16=$B15,$HV15,0)+$HU16</f>
        <v/>
      </c>
      <c r="HW16" s="62">
        <f>$HW15+$HU16</f>
        <v/>
      </c>
      <c r="HX16" s="62">
        <f>SUMIFS(tblSafety[HPI],tblSafety[Date],$A16)</f>
        <v/>
      </c>
      <c r="HY16" s="62">
        <f>IF($B16=$B15,$HY15,0)+$HX16</f>
        <v/>
      </c>
      <c r="HZ16" s="62">
        <f>$HZ15+$HX16</f>
        <v/>
      </c>
      <c r="IA16" s="62">
        <f>SUMIFS(tblSafety[Env_Incidents],tblSafety[Date],$A16)</f>
        <v/>
      </c>
      <c r="IB16" s="62">
        <f>IF($B16=$B15,$IB15,0)+$IA16</f>
        <v/>
      </c>
      <c r="IC16" s="62">
        <f>$IC15+$IA16</f>
        <v/>
      </c>
      <c r="ID16" s="62">
        <f>SUMIFS(tblSafety[Community_Incidents],tblSafety[Date],$A16)</f>
        <v/>
      </c>
      <c r="IE16" s="62">
        <f>IF($B16=$B15,$IE15,0)+$ID16</f>
        <v/>
      </c>
      <c r="IF16" s="62">
        <f>$IF15+$ID16</f>
        <v/>
      </c>
      <c r="IG16" s="62">
        <f>SUMIFS(tblSafety[Vehicle_Incidents],tblSafety[Date],$A16)</f>
        <v/>
      </c>
      <c r="IH16" s="62">
        <f>IF($B16=$B15,$IH15,0)+$IG16</f>
        <v/>
      </c>
      <c r="II16" s="62">
        <f>$II15+$IG16</f>
        <v/>
      </c>
      <c r="IJ16" s="62">
        <f>SUMIFS(tblSafety[Toolbox_Talks],tblSafety[Date],$A16)</f>
        <v/>
      </c>
      <c r="IK16" s="62">
        <f>IF($B16=$B15,$IK15,0)+$IJ16</f>
        <v/>
      </c>
      <c r="IL16" s="62">
        <f>$IL15+$IJ16</f>
        <v/>
      </c>
      <c r="IM16" s="62">
        <f>SUMIFS(tblSafety[Inspections],tblSafety[Date],$A16)</f>
        <v/>
      </c>
      <c r="IN16" s="62">
        <f>IF($B16=$B15,$IN15,0)+$IM16</f>
        <v/>
      </c>
      <c r="IO16" s="62">
        <f>$IO15+$IM16</f>
        <v/>
      </c>
      <c r="IP16" s="56">
        <f>IFERROR((SUMIFS(tblSafety[Recordables],tblSafety[Date],"&gt;="&amp;EDATE($E16,-12),tblSafety[Date],"&lt;="&amp;$A16)+SUMIFS(tblSafetyHistory[Recordables],tblSafetyHistory[Month],"&gt;="&amp;EDATE($E16,-12),tblSafetyHistory[Month],"&lt;"&amp;$E16,tblSafetyHistory[Use],1))/(SUMIFS(tblSafety[Hours_Total],tblSafety[Date],"&gt;="&amp;EDATE($E16,-12),tblSafety[Date],"&lt;="&amp;$A16)+SUMIFS(tblSafetyHistory[Hours_Total],tblSafetyHistory[Month],"&gt;="&amp;EDATE($E16,-12),tblSafetyHistory[Month],"&lt;"&amp;$E16,tblSafetyHistory[Use],1))*cfg_RateBasisHours,"")</f>
        <v/>
      </c>
      <c r="IQ16" s="56">
        <f>IFERROR((SUMIFS(tblSafety[LTI],tblSafety[Date],"&gt;="&amp;EDATE($E16,-12),tblSafety[Date],"&lt;="&amp;$A16)+SUMIFS(tblSafetyHistory[LTI],tblSafetyHistory[Month],"&gt;="&amp;EDATE($E16,-12),tblSafetyHistory[Month],"&lt;"&amp;$E16,tblSafetyHistory[Use],1))/(SUMIFS(tblSafety[Hours_Total],tblSafety[Date],"&gt;="&amp;EDATE($E16,-12),tblSafety[Date],"&lt;="&amp;$A16)+SUMIFS(tblSafetyHistory[Hours_Total],tblSafetyHistory[Month],"&gt;="&amp;EDATE($E16,-12),tblSafetyHistory[Month],"&lt;"&amp;$E16,tblSafetyHistory[Use],1))*cfg_RateBasisHours,"")</f>
        <v/>
      </c>
      <c r="IR16" s="62">
        <f>IF(MAX(N(cfg_PriorLTIDate),_xlfn.MAXIFS(tblSafety[Date],tblSafety[LTI],"&gt;0",tblSafety[Date],"&lt;="&amp;$A16))=0,"",$A16-MAX(N(cfg_PriorLTIDate),_xlfn.MAXIFS(tblSafety[Date],tblSafety[LTI],"&gt;0",tblSafety[Date],"&lt;="&amp;$A16)))</f>
        <v/>
      </c>
      <c r="IS16" s="55">
        <f>SUMIFS(tblBudget[Ore_Mined_t],tblBudget[Month],$E16)</f>
        <v/>
      </c>
      <c r="IT16" s="55">
        <f>$IS16*$C16/$D16</f>
        <v/>
      </c>
      <c r="IU16" s="55">
        <f>SUMIFS(tblBudget[Ore_Mined_t],tblBudget[Month],"&lt;"&amp;$E16)+$IT16</f>
        <v/>
      </c>
      <c r="IV16" s="55">
        <f>SUMIFS(tblBudget[Ore_oz],tblBudget[Month],$E16)</f>
        <v/>
      </c>
      <c r="IW16" s="55">
        <f>$IV16*$C16/$D16</f>
        <v/>
      </c>
      <c r="IX16" s="55">
        <f>SUMIFS(tblBudget[Ore_oz],tblBudget[Month],"&lt;"&amp;$E16)+$IW16</f>
        <v/>
      </c>
      <c r="IY16" s="55">
        <f>SUMIFS(tblBudget[Ore_Mined_t],tblBudget[Month],$E16)</f>
        <v/>
      </c>
      <c r="IZ16" s="55">
        <f>$IY16*$C16/$D16</f>
        <v/>
      </c>
      <c r="JA16" s="55">
        <f>SUMIFS(tblBudget[Ore_Mined_t],tblBudget[Month],"&lt;"&amp;$E16)+$IZ16</f>
        <v/>
      </c>
      <c r="JB16" s="56">
        <f>IFERROR(IF(($IY16)&gt;0,($IV16*cfg_TroyOz)/($IY16),""),"")</f>
        <v/>
      </c>
      <c r="JC16" s="56">
        <f>IFERROR(IF(($IZ16)&gt;0,($IW16*cfg_TroyOz)/($IZ16),""),"")</f>
        <v/>
      </c>
      <c r="JD16" s="56">
        <f>IFERROR(IF(($JA16)&gt;0,($IX16*cfg_TroyOz)/($JA16),""),"")</f>
        <v/>
      </c>
      <c r="JE16" s="55">
        <f>SUMIFS(tblBudget[Waste_t],tblBudget[Month],$E16)</f>
        <v/>
      </c>
      <c r="JF16" s="55">
        <f>$JE16*$C16/$D16</f>
        <v/>
      </c>
      <c r="JG16" s="55">
        <f>SUMIFS(tblBudget[Waste_t],tblBudget[Month],"&lt;"&amp;$E16)+$JF16</f>
        <v/>
      </c>
      <c r="JH16" s="55">
        <f>SUMIFS(tblBudget[TMM_t],tblBudget[Month],$E16)</f>
        <v/>
      </c>
      <c r="JI16" s="55">
        <f>$JH16*$C16/$D16</f>
        <v/>
      </c>
      <c r="JJ16" s="55">
        <f>SUMIFS(tblBudget[TMM_t],tblBudget[Month],"&lt;"&amp;$E16)+$JI16</f>
        <v/>
      </c>
      <c r="JK16" s="56">
        <f>IFERROR(IF(($IS16)&gt;0,($JE16)/($IS16),""),"")</f>
        <v/>
      </c>
      <c r="JL16" s="56">
        <f>IFERROR(IF(($IT16)&gt;0,($JF16)/($IT16),""),"")</f>
        <v/>
      </c>
      <c r="JM16" s="56">
        <f>IFERROR(IF(($IU16)&gt;0,($JG16)/($IU16),""),"")</f>
        <v/>
      </c>
      <c r="JN16" s="55">
        <f>SUMIFS(tblBudget[Drill_m],tblBudget[Month],$E16)</f>
        <v/>
      </c>
      <c r="JO16" s="55">
        <f>$JN16*$C16/$D16</f>
        <v/>
      </c>
      <c r="JP16" s="55">
        <f>SUMIFS(tblBudget[Drill_m],tblBudget[Month],"&lt;"&amp;$E16)+$JO16</f>
        <v/>
      </c>
      <c r="JQ16" s="55">
        <f>SUMIFS(tblBudget[Diesel_L],tblBudget[Month],$E16)</f>
        <v/>
      </c>
      <c r="JR16" s="55">
        <f>$JQ16*$C16/$D16</f>
        <v/>
      </c>
      <c r="JS16" s="55">
        <f>SUMIFS(tblBudget[Diesel_L],tblBudget[Month],"&lt;"&amp;$E16)+$JR16</f>
        <v/>
      </c>
      <c r="JT16" s="55">
        <f>SUMIFS(tblBudget[Milled_t],tblBudget[Month],$E16)</f>
        <v/>
      </c>
      <c r="JU16" s="55">
        <f>$JT16*$C16/$D16</f>
        <v/>
      </c>
      <c r="JV16" s="55">
        <f>SUMIFS(tblBudget[Milled_t],tblBudget[Month],"&lt;"&amp;$E16)+$JU16</f>
        <v/>
      </c>
      <c r="JW16" s="55">
        <f>SUMIFS(tblBudget[Feed_oz],tblBudget[Month],$E16)</f>
        <v/>
      </c>
      <c r="JX16" s="55">
        <f>$JW16*$C16/$D16</f>
        <v/>
      </c>
      <c r="JY16" s="55">
        <f>SUMIFS(tblBudget[Feed_oz],tblBudget[Month],"&lt;"&amp;$E16)+$JX16</f>
        <v/>
      </c>
      <c r="JZ16" s="55">
        <f>SUMIFS(tblBudget[Recovered_oz],tblBudget[Month],$E16)</f>
        <v/>
      </c>
      <c r="KA16" s="55">
        <f>$JZ16*$C16/$D16</f>
        <v/>
      </c>
      <c r="KB16" s="55">
        <f>SUMIFS(tblBudget[Recovered_oz],tblBudget[Month],"&lt;"&amp;$E16)+$KA16</f>
        <v/>
      </c>
      <c r="KC16" s="55">
        <f>SUMIFS(tblBudget[Milled_t],tblBudget[Month],$E16)</f>
        <v/>
      </c>
      <c r="KD16" s="55">
        <f>$KC16*$C16/$D16</f>
        <v/>
      </c>
      <c r="KE16" s="55">
        <f>SUMIFS(tblBudget[Milled_t],tblBudget[Month],"&lt;"&amp;$E16)+$KD16</f>
        <v/>
      </c>
      <c r="KF16" s="55">
        <f>SUMIFS(tblBudget[Feed_oz],tblBudget[Month],$E16)</f>
        <v/>
      </c>
      <c r="KG16" s="55">
        <f>$KF16*$C16/$D16</f>
        <v/>
      </c>
      <c r="KH16" s="55">
        <f>SUMIFS(tblBudget[Feed_oz],tblBudget[Month],"&lt;"&amp;$E16)+$KG16</f>
        <v/>
      </c>
      <c r="KI16" s="56">
        <f>IFERROR(IF(($KC16)&gt;0,($JW16*cfg_TroyOz)/($KC16),""),"")</f>
        <v/>
      </c>
      <c r="KJ16" s="56">
        <f>IFERROR(IF(($KD16)&gt;0,($JX16*cfg_TroyOz)/($KD16),""),"")</f>
        <v/>
      </c>
      <c r="KK16" s="56">
        <f>IFERROR(IF(($KE16)&gt;0,($JY16*cfg_TroyOz)/($KE16),""),"")</f>
        <v/>
      </c>
      <c r="KL16" s="67">
        <f>IFERROR(IF(($KF16)&gt;0,($JZ16)/($KF16),""),"")</f>
        <v/>
      </c>
      <c r="KM16" s="67">
        <f>IFERROR(IF(($KG16)&gt;0,($KA16)/($KG16),""),"")</f>
        <v/>
      </c>
      <c r="KN16" s="67">
        <f>IFERROR(IF(($KH16)&gt;0,($KB16)/($KH16),""),"")</f>
        <v/>
      </c>
      <c r="KO16" s="55">
        <f>SUMIFS(tblBudget[Gold_Poured_oz],tblBudget[Month],$E16)</f>
        <v/>
      </c>
      <c r="KP16" s="55">
        <f>$KO16*$C16/$D16</f>
        <v/>
      </c>
      <c r="KQ16" s="55">
        <f>SUMIFS(tblBudget[Gold_Poured_oz],tblBudget[Month],"&lt;"&amp;$E16)+$KP16</f>
        <v/>
      </c>
      <c r="KR16" s="57">
        <f>SUMIFS(tblBudget[Hours_Worked],tblBudget[Month],$E16)</f>
        <v/>
      </c>
      <c r="KS16" s="57">
        <f>$KR16*$C16/$D16</f>
        <v/>
      </c>
      <c r="KT16" s="57">
        <f>SUMIFS(tblBudget[Hours_Worked],tblBudget[Month],"&lt;"&amp;$E16)+$KS16</f>
        <v/>
      </c>
    </row>
    <row r="17">
      <c r="A17" s="54" t="n">
        <v>46038</v>
      </c>
      <c r="B17">
        <f>MONTH($A17)</f>
        <v/>
      </c>
      <c r="C17">
        <f>DAY($A17)</f>
        <v/>
      </c>
      <c r="D17">
        <f>DAY(EOMONTH($A17,0))</f>
        <v/>
      </c>
      <c r="E17" s="54">
        <f>DATE(YEAR($A17),MONTH($A17),1)</f>
        <v/>
      </c>
      <c r="F17" s="55">
        <f>SUMIFS(tblMovement[Tonnes_t],tblMovement[Date],$A17,tblMovement[Is_Ore],1,tblMovement[Source_Type],"Pit")</f>
        <v/>
      </c>
      <c r="G17" s="55">
        <f>IF($B17=$B16,$G16,0)+$F17</f>
        <v/>
      </c>
      <c r="H17" s="55">
        <f>$H16+$F17</f>
        <v/>
      </c>
      <c r="I17" s="55">
        <f>SUMIFS(tblMovement[Ore_oz],tblMovement[Date],$A17,tblMovement[Source_Type],"Pit")</f>
        <v/>
      </c>
      <c r="J17" s="55">
        <f>IF($B17=$B16,$J16,0)+$I17</f>
        <v/>
      </c>
      <c r="K17" s="55">
        <f>$K16+$I17</f>
        <v/>
      </c>
      <c r="L17" s="55">
        <f>SUMIFS(tblMovement[Tonnes_t],tblMovement[Date],$A17,tblMovement[Is_Ore],1,tblMovement[Source_Type],"Pit",tblMovement[Grade_gpt],"&lt;&gt;")</f>
        <v/>
      </c>
      <c r="M17" s="55">
        <f>IF($B17=$B16,$M16,0)+$L17</f>
        <v/>
      </c>
      <c r="N17" s="55">
        <f>$N16+$L17</f>
        <v/>
      </c>
      <c r="O17" s="56">
        <f>IFERROR(IF(($L17)&gt;0,($I17*cfg_TroyOz)/($L17),""),"")</f>
        <v/>
      </c>
      <c r="P17" s="56">
        <f>IFERROR(IF(($M17)&gt;0,($J17*cfg_TroyOz)/($M17),""),"")</f>
        <v/>
      </c>
      <c r="Q17" s="56">
        <f>IFERROR(IF(($N17)&gt;0,($K17*cfg_TroyOz)/($N17),""),"")</f>
        <v/>
      </c>
      <c r="R17" s="55">
        <f>$F17-$L17</f>
        <v/>
      </c>
      <c r="S17" s="55">
        <f>IF($B17=$B16,$S16,0)+$R17</f>
        <v/>
      </c>
      <c r="T17" s="55">
        <f>$T16+$R17</f>
        <v/>
      </c>
      <c r="U17" s="55">
        <f>SUMIFS(tblMovement[Tonnes_t],tblMovement[Date],$A17,tblMovement[Is_Ore],0,tblMovement[Source_Type],"Pit")</f>
        <v/>
      </c>
      <c r="V17" s="55">
        <f>IF($B17=$B16,$V16,0)+$U17</f>
        <v/>
      </c>
      <c r="W17" s="55">
        <f>$W16+$U17</f>
        <v/>
      </c>
      <c r="X17" s="55">
        <f>$F17+$U17</f>
        <v/>
      </c>
      <c r="Y17" s="55">
        <f>IF($B17=$B16,$Y16,0)+$X17</f>
        <v/>
      </c>
      <c r="Z17" s="55">
        <f>$Z16+$X17</f>
        <v/>
      </c>
      <c r="AA17" s="56">
        <f>IFERROR(IF(($F17)&gt;0,($U17)/($F17),""),"")</f>
        <v/>
      </c>
      <c r="AB17" s="56">
        <f>IFERROR(IF(($G17)&gt;0,($V17)/($G17),""),"")</f>
        <v/>
      </c>
      <c r="AC17" s="56">
        <f>IFERROR(IF(($H17)&gt;0,($W17)/($H17),""),"")</f>
        <v/>
      </c>
      <c r="AD17" s="55">
        <f>SUMIFS(tblMovement[Tonnes_t],tblMovement[Date],$A17,tblMovement[Source_Type],"Stockpile")</f>
        <v/>
      </c>
      <c r="AE17" s="55">
        <f>IF($B17=$B16,$AE16,0)+$AD17</f>
        <v/>
      </c>
      <c r="AF17" s="55">
        <f>$AF16+$AD17</f>
        <v/>
      </c>
      <c r="AG17" s="55">
        <f>SUMIFS(tblMovement[Tonnes_t],tblMovement[Date],$A17)</f>
        <v/>
      </c>
      <c r="AH17" s="55">
        <f>IF($B17=$B16,$AH16,0)+$AG17</f>
        <v/>
      </c>
      <c r="AI17" s="55">
        <f>$AI16+$AG17</f>
        <v/>
      </c>
      <c r="AJ17" s="55">
        <f>$AG17-$X17-$AD17</f>
        <v/>
      </c>
      <c r="AK17" s="55">
        <f>IF($B17=$B16,$AK16,0)+$AJ17</f>
        <v/>
      </c>
      <c r="AL17" s="55">
        <f>$AL16+$AJ17</f>
        <v/>
      </c>
      <c r="AM17" s="55">
        <f>SUMIFS(tblMiningDaily[Drill_m],tblMiningDaily[Date],$A17)</f>
        <v/>
      </c>
      <c r="AN17" s="55">
        <f>IF($B17=$B16,$AN16,0)+$AM17</f>
        <v/>
      </c>
      <c r="AO17" s="55">
        <f>$AO16+$AM17</f>
        <v/>
      </c>
      <c r="AP17" s="55">
        <f>SUMIFS(tblMiningDaily[GC_Drill_m],tblMiningDaily[Date],$A17)</f>
        <v/>
      </c>
      <c r="AQ17" s="55">
        <f>IF($B17=$B16,$AQ16,0)+$AP17</f>
        <v/>
      </c>
      <c r="AR17" s="55">
        <f>$AR16+$AP17</f>
        <v/>
      </c>
      <c r="AS17" s="55">
        <f>SUMIFS(tblMiningDaily[Blast_t],tblMiningDaily[Date],$A17)</f>
        <v/>
      </c>
      <c r="AT17" s="55">
        <f>IF($B17=$B16,$AT16,0)+$AS17</f>
        <v/>
      </c>
      <c r="AU17" s="55">
        <f>$AU16+$AS17</f>
        <v/>
      </c>
      <c r="AV17" s="55">
        <f>SUMIFS(tblMiningDaily[Explosives_kg],tblMiningDaily[Date],$A17)</f>
        <v/>
      </c>
      <c r="AW17" s="55">
        <f>IF($B17=$B16,$AW16,0)+$AV17</f>
        <v/>
      </c>
      <c r="AX17" s="55">
        <f>$AX16+$AV17</f>
        <v/>
      </c>
      <c r="AY17" s="56">
        <f>IFERROR(IF(($AS17)&gt;0,($AV17)/($AS17),""),"")</f>
        <v/>
      </c>
      <c r="AZ17" s="56">
        <f>IFERROR(IF(($AT17)&gt;0,($AW17)/($AT17),""),"")</f>
        <v/>
      </c>
      <c r="BA17" s="56">
        <f>IFERROR(IF(($AU17)&gt;0,($AX17)/($AU17),""),"")</f>
        <v/>
      </c>
      <c r="BB17" s="55">
        <f>SUMIFS(tblMiningDaily[Diesel_L],tblMiningDaily[Date],$A17)</f>
        <v/>
      </c>
      <c r="BC17" s="55">
        <f>IF($B17=$B16,$BC16,0)+$BB17</f>
        <v/>
      </c>
      <c r="BD17" s="55">
        <f>$BD16+$BB17</f>
        <v/>
      </c>
      <c r="BE17" s="55">
        <f>SUMIFS(tblMiningDaily[Dewatering_m3],tblMiningDaily[Date],$A17)</f>
        <v/>
      </c>
      <c r="BF17" s="55">
        <f>IF($B17=$B16,$BF16,0)+$BE17</f>
        <v/>
      </c>
      <c r="BG17" s="55">
        <f>$BG16+$BE17</f>
        <v/>
      </c>
      <c r="BH17" s="57">
        <f>SUMIFS(tblFleet[Calendar_h],tblFleet[Date],$A17,tblFleet[Equipment_Class],"Excavator")</f>
        <v/>
      </c>
      <c r="BI17" s="57">
        <f>IF($B17=$B16,$BI16,0)+$BH17</f>
        <v/>
      </c>
      <c r="BJ17" s="57">
        <f>$BJ16+$BH17</f>
        <v/>
      </c>
      <c r="BK17" s="57">
        <f>SUMIFS(tblFleet[Available_h],tblFleet[Date],$A17,tblFleet[Equipment_Class],"Excavator")</f>
        <v/>
      </c>
      <c r="BL17" s="57">
        <f>IF($B17=$B16,$BL16,0)+$BK17</f>
        <v/>
      </c>
      <c r="BM17" s="57">
        <f>$BM16+$BK17</f>
        <v/>
      </c>
      <c r="BN17" s="57">
        <f>SUMIFS(tblFleet[Operating_h],tblFleet[Date],$A17,tblFleet[Equipment_Class],"Excavator")</f>
        <v/>
      </c>
      <c r="BO17" s="57">
        <f>IF($B17=$B16,$BO16,0)+$BN17</f>
        <v/>
      </c>
      <c r="BP17" s="57">
        <f>$BP16+$BN17</f>
        <v/>
      </c>
      <c r="BQ17" s="67">
        <f>IFERROR(IF(($BH17)&gt;0,($BK17)/($BH17),""),"")</f>
        <v/>
      </c>
      <c r="BR17" s="67">
        <f>IFERROR(IF(($BI17)&gt;0,($BL17)/($BI17),""),"")</f>
        <v/>
      </c>
      <c r="BS17" s="67">
        <f>IFERROR(IF(($BJ17)&gt;0,($BM17)/($BJ17),""),"")</f>
        <v/>
      </c>
      <c r="BT17" s="67">
        <f>IFERROR(IF(($BK17)&gt;0,($BN17)/($BK17),""),"")</f>
        <v/>
      </c>
      <c r="BU17" s="67">
        <f>IFERROR(IF(($BL17)&gt;0,($BO17)/($BL17),""),"")</f>
        <v/>
      </c>
      <c r="BV17" s="67">
        <f>IFERROR(IF(($BM17)&gt;0,($BP17)/($BM17),""),"")</f>
        <v/>
      </c>
      <c r="BW17" s="57">
        <f>SUMIFS(tblFleet[Calendar_h],tblFleet[Date],$A17,tblFleet[Equipment_Class],"Haul Truck")</f>
        <v/>
      </c>
      <c r="BX17" s="57">
        <f>IF($B17=$B16,$BX16,0)+$BW17</f>
        <v/>
      </c>
      <c r="BY17" s="57">
        <f>$BY16+$BW17</f>
        <v/>
      </c>
      <c r="BZ17" s="57">
        <f>SUMIFS(tblFleet[Available_h],tblFleet[Date],$A17,tblFleet[Equipment_Class],"Haul Truck")</f>
        <v/>
      </c>
      <c r="CA17" s="57">
        <f>IF($B17=$B16,$CA16,0)+$BZ17</f>
        <v/>
      </c>
      <c r="CB17" s="57">
        <f>$CB16+$BZ17</f>
        <v/>
      </c>
      <c r="CC17" s="57">
        <f>SUMIFS(tblFleet[Operating_h],tblFleet[Date],$A17,tblFleet[Equipment_Class],"Haul Truck")</f>
        <v/>
      </c>
      <c r="CD17" s="57">
        <f>IF($B17=$B16,$CD16,0)+$CC17</f>
        <v/>
      </c>
      <c r="CE17" s="57">
        <f>$CE16+$CC17</f>
        <v/>
      </c>
      <c r="CF17" s="67">
        <f>IFERROR(IF(($BW17)&gt;0,($BZ17)/($BW17),""),"")</f>
        <v/>
      </c>
      <c r="CG17" s="67">
        <f>IFERROR(IF(($BX17)&gt;0,($CA17)/($BX17),""),"")</f>
        <v/>
      </c>
      <c r="CH17" s="67">
        <f>IFERROR(IF(($BY17)&gt;0,($CB17)/($BY17),""),"")</f>
        <v/>
      </c>
      <c r="CI17" s="67">
        <f>IFERROR(IF(($BZ17)&gt;0,($CC17)/($BZ17),""),"")</f>
        <v/>
      </c>
      <c r="CJ17" s="67">
        <f>IFERROR(IF(($CA17)&gt;0,($CD17)/($CA17),""),"")</f>
        <v/>
      </c>
      <c r="CK17" s="67">
        <f>IFERROR(IF(($CB17)&gt;0,($CE17)/($CB17),""),"")</f>
        <v/>
      </c>
      <c r="CL17" s="55">
        <f>IFERROR(IF(($BN17)&gt;0,($X17+$AD17)/($BN17),""),"")</f>
        <v/>
      </c>
      <c r="CM17" s="55">
        <f>IFERROR(IF(($BO17)&gt;0,($Y17+$AE17)/($BO17),""),"")</f>
        <v/>
      </c>
      <c r="CN17" s="55">
        <f>IFERROR(IF(($BP17)&gt;0,($Z17+$AF17)/($BP17),""),"")</f>
        <v/>
      </c>
      <c r="CO17" s="55">
        <f>IFERROR(IF(($CC17)&gt;0,($X17+$AD17)/($CC17),""),"")</f>
        <v/>
      </c>
      <c r="CP17" s="55">
        <f>IFERROR(IF(($CD17)&gt;0,($Y17+$AE17)/($CD17),""),"")</f>
        <v/>
      </c>
      <c r="CQ17" s="55">
        <f>IFERROR(IF(($CE17)&gt;0,($Z17+$AF17)/($CE17),""),"")</f>
        <v/>
      </c>
      <c r="CR17" s="55">
        <f>SUMIFS(tblPlant[Crushed_t],tblPlant[Date],$A17)</f>
        <v/>
      </c>
      <c r="CS17" s="55">
        <f>IF($B17=$B16,$CS16,0)+$CR17</f>
        <v/>
      </c>
      <c r="CT17" s="55">
        <f>$CT16+$CR17</f>
        <v/>
      </c>
      <c r="CU17" s="55">
        <f>SUMIFS(tblPlant[Milled_t],tblPlant[Date],$A17)</f>
        <v/>
      </c>
      <c r="CV17" s="55">
        <f>IF($B17=$B16,$CV16,0)+$CU17</f>
        <v/>
      </c>
      <c r="CW17" s="55">
        <f>$CW16+$CU17</f>
        <v/>
      </c>
      <c r="CX17" s="55">
        <f>SUMIFS(tblPlant[Feed_oz],tblPlant[Date],$A17)</f>
        <v/>
      </c>
      <c r="CY17" s="55">
        <f>IF($B17=$B16,$CY16,0)+$CX17</f>
        <v/>
      </c>
      <c r="CZ17" s="55">
        <f>$CZ16+$CX17</f>
        <v/>
      </c>
      <c r="DA17" s="55">
        <f>SUMIFS(tblPlant[Tails_oz],tblPlant[Date],$A17)</f>
        <v/>
      </c>
      <c r="DB17" s="55">
        <f>IF($B17=$B16,$DB16,0)+$DA17</f>
        <v/>
      </c>
      <c r="DC17" s="55">
        <f>$DC16+$DA17</f>
        <v/>
      </c>
      <c r="DD17" s="55">
        <f>SUMIFS(tblPlant[Recovered_oz],tblPlant[Date],$A17)</f>
        <v/>
      </c>
      <c r="DE17" s="55">
        <f>IF($B17=$B16,$DE16,0)+$DD17</f>
        <v/>
      </c>
      <c r="DF17" s="55">
        <f>$DF16+$DD17</f>
        <v/>
      </c>
      <c r="DG17" s="55">
        <f>SUMIFS(tblPlant[Milled_t],tblPlant[Date],$A17,tblPlant[Head_Grade_gpt],"&lt;&gt;")</f>
        <v/>
      </c>
      <c r="DH17" s="55">
        <f>IF($B17=$B16,$DH16,0)+$DG17</f>
        <v/>
      </c>
      <c r="DI17" s="55">
        <f>$DI16+$DG17</f>
        <v/>
      </c>
      <c r="DJ17" s="55">
        <f>SUMIFS(tblPlant[Milled_t],tblPlant[Date],$A17,tblPlant[Tails_Grade_gpt],"&lt;&gt;")</f>
        <v/>
      </c>
      <c r="DK17" s="55">
        <f>IF($B17=$B16,$DK16,0)+$DJ17</f>
        <v/>
      </c>
      <c r="DL17" s="55">
        <f>$DL16+$DJ17</f>
        <v/>
      </c>
      <c r="DM17" s="55">
        <f>SUMIFS(tblPlant[Feed_oz],tblPlant[Date],$A17,tblPlant[Tails_Grade_gpt],"&lt;&gt;")</f>
        <v/>
      </c>
      <c r="DN17" s="55">
        <f>IF($B17=$B16,$DN16,0)+$DM17</f>
        <v/>
      </c>
      <c r="DO17" s="55">
        <f>$DO16+$DM17</f>
        <v/>
      </c>
      <c r="DP17" s="55">
        <f>SUMIFS(tblPlant[Milled_t],tblPlant[Date],$A17,tblPlant[Mill_Run_h],"&lt;&gt;")</f>
        <v/>
      </c>
      <c r="DQ17" s="55">
        <f>IF($B17=$B16,$DQ16,0)+$DP17</f>
        <v/>
      </c>
      <c r="DR17" s="55">
        <f>$DR16+$DP17</f>
        <v/>
      </c>
      <c r="DS17" s="56">
        <f>IFERROR(IF(($DG17)&gt;0,($CX17*cfg_TroyOz)/($DG17),""),"")</f>
        <v/>
      </c>
      <c r="DT17" s="56">
        <f>IFERROR(IF(($DH17)&gt;0,($CY17*cfg_TroyOz)/($DH17),""),"")</f>
        <v/>
      </c>
      <c r="DU17" s="56">
        <f>IFERROR(IF(($DI17)&gt;0,($CZ17*cfg_TroyOz)/($DI17),""),"")</f>
        <v/>
      </c>
      <c r="DV17" s="56">
        <f>IFERROR(IF(($DJ17)&gt;0,($DA17*cfg_TroyOz)/($DJ17),""),"")</f>
        <v/>
      </c>
      <c r="DW17" s="56">
        <f>IFERROR(IF(($DK17)&gt;0,($DB17*cfg_TroyOz)/($DK17),""),"")</f>
        <v/>
      </c>
      <c r="DX17" s="56">
        <f>IFERROR(IF(($DL17)&gt;0,($DC17*cfg_TroyOz)/($DL17),""),"")</f>
        <v/>
      </c>
      <c r="DY17" s="67">
        <f>IFERROR(IF(($DM17)&gt;0,($DD17)/($DM17),""),"")</f>
        <v/>
      </c>
      <c r="DZ17" s="67">
        <f>IFERROR(IF(($DN17)&gt;0,($DE17)/($DN17),""),"")</f>
        <v/>
      </c>
      <c r="EA17" s="67">
        <f>IFERROR(IF(($DO17)&gt;0,($DF17)/($DO17),""),"")</f>
        <v/>
      </c>
      <c r="EB17" s="55">
        <f>SUMIFS(tblPlant[Gravity_Gold_oz],tblPlant[Date],$A17)</f>
        <v/>
      </c>
      <c r="EC17" s="55">
        <f>IF($B17=$B16,$EC16,0)+$EB17</f>
        <v/>
      </c>
      <c r="ED17" s="55">
        <f>$ED16+$EB17</f>
        <v/>
      </c>
      <c r="EE17" s="67">
        <f>IFERROR(IF(($DD17)&gt;0,($EB17)/($DD17),""),"")</f>
        <v/>
      </c>
      <c r="EF17" s="67">
        <f>IFERROR(IF(($DE17)&gt;0,($EC17)/($DE17),""),"")</f>
        <v/>
      </c>
      <c r="EG17" s="67">
        <f>IFERROR(IF(($DF17)&gt;0,($ED17)/($DF17),""),"")</f>
        <v/>
      </c>
      <c r="EH17" s="55">
        <f>SUMIFS(tblPlant[Gold_Poured_oz],tblPlant[Date],$A17)</f>
        <v/>
      </c>
      <c r="EI17" s="55">
        <f>IF($B17=$B16,$EI16,0)+$EH17</f>
        <v/>
      </c>
      <c r="EJ17" s="55">
        <f>$EJ16+$EH17</f>
        <v/>
      </c>
      <c r="EK17" s="57">
        <f>SUMIFS(tblPlant[Mill_Run_h],tblPlant[Date],$A17)</f>
        <v/>
      </c>
      <c r="EL17" s="57">
        <f>IF($B17=$B16,$EL16,0)+$EK17</f>
        <v/>
      </c>
      <c r="EM17" s="57">
        <f>$EM16+$EK17</f>
        <v/>
      </c>
      <c r="EN17" s="57">
        <f>SUMIFS(tblPlant[Mill_Planned_Maint_h],tblPlant[Date],$A17)</f>
        <v/>
      </c>
      <c r="EO17" s="57">
        <f>IF($B17=$B16,$EO16,0)+$EN17</f>
        <v/>
      </c>
      <c r="EP17" s="57">
        <f>$EP16+$EN17</f>
        <v/>
      </c>
      <c r="EQ17" s="57">
        <f>SUMIFS(tblPlant[Mill_Unplanned_Down_h],tblPlant[Date],$A17)</f>
        <v/>
      </c>
      <c r="ER17" s="57">
        <f>IF($B17=$B16,$ER16,0)+$EQ17</f>
        <v/>
      </c>
      <c r="ES17" s="57">
        <f>$ES16+$EQ17</f>
        <v/>
      </c>
      <c r="ET17" s="57">
        <f>IF(COUNTIFS(tblPlant[Date],$A17,tblPlant[Mill_Run_h],"&lt;&gt;")+COUNTIFS(tblPlant[Date],$A17,tblPlant[Mill_Planned_Maint_h],"&lt;&gt;")+COUNTIFS(tblPlant[Date],$A17,tblPlant[Mill_Unplanned_Down_h],"&lt;&gt;")&gt;0,cfg_HoursPerDay,0)</f>
        <v/>
      </c>
      <c r="EU17" s="57">
        <f>IF($B17=$B16,$EU16,0)+$ET17</f>
        <v/>
      </c>
      <c r="EV17" s="57">
        <f>$EV16+$ET17</f>
        <v/>
      </c>
      <c r="EW17" s="57">
        <f>SUMIFS(tblPlant[Crusher_Run_h],tblPlant[Date],$A17)</f>
        <v/>
      </c>
      <c r="EX17" s="57">
        <f>IF($B17=$B16,$EX16,0)+$EW17</f>
        <v/>
      </c>
      <c r="EY17" s="57">
        <f>$EY16+$EW17</f>
        <v/>
      </c>
      <c r="EZ17" s="55">
        <f>IFERROR(IF(($EK17)&gt;0,($DP17)/($EK17),""),"")</f>
        <v/>
      </c>
      <c r="FA17" s="55">
        <f>IFERROR(IF(($EL17)&gt;0,($DQ17)/($EL17),""),"")</f>
        <v/>
      </c>
      <c r="FB17" s="55">
        <f>IFERROR(IF(($EM17)&gt;0,($DR17)/($EM17),""),"")</f>
        <v/>
      </c>
      <c r="FC17" s="67">
        <f>IFERROR(IF(($ET17)&gt;0,($ET17-$EN17-$EQ17)/($ET17),""),"")</f>
        <v/>
      </c>
      <c r="FD17" s="67">
        <f>IFERROR(IF(($EU17)&gt;0,($EU17-$EO17-$ER17)/($EU17),""),"")</f>
        <v/>
      </c>
      <c r="FE17" s="67">
        <f>IFERROR(IF(($EV17)&gt;0,($EV17-$EP17-$ES17)/($EV17),""),"")</f>
        <v/>
      </c>
      <c r="FF17" s="67">
        <f>IFERROR(IF(($ET17-$EN17-$EQ17)&gt;0,($EK17)/($ET17-$EN17-$EQ17),""),"")</f>
        <v/>
      </c>
      <c r="FG17" s="67">
        <f>IFERROR(IF(($EU17-$EO17-$ER17)&gt;0,($EL17)/($EU17-$EO17-$ER17),""),"")</f>
        <v/>
      </c>
      <c r="FH17" s="67">
        <f>IFERROR(IF(($EV17-$EP17-$ES17)&gt;0,($EM17)/($EV17-$EP17-$ES17),""),"")</f>
        <v/>
      </c>
      <c r="FI17" s="55">
        <f>SUMIFS(tblPlant[Cyanide_kg],tblPlant[Date],$A17)</f>
        <v/>
      </c>
      <c r="FJ17" s="55">
        <f>IF($B17=$B16,$FJ16,0)+$FI17</f>
        <v/>
      </c>
      <c r="FK17" s="55">
        <f>$FK16+$FI17</f>
        <v/>
      </c>
      <c r="FL17" s="55">
        <f>SUMIFS(tblPlant[Lime_kg],tblPlant[Date],$A17)</f>
        <v/>
      </c>
      <c r="FM17" s="55">
        <f>IF($B17=$B16,$FM16,0)+$FL17</f>
        <v/>
      </c>
      <c r="FN17" s="55">
        <f>$FN16+$FL17</f>
        <v/>
      </c>
      <c r="FO17" s="55">
        <f>SUMIFS(tblPlant[Grinding_Media_kg],tblPlant[Date],$A17)</f>
        <v/>
      </c>
      <c r="FP17" s="55">
        <f>IF($B17=$B16,$FP16,0)+$FO17</f>
        <v/>
      </c>
      <c r="FQ17" s="55">
        <f>$FQ16+$FO17</f>
        <v/>
      </c>
      <c r="FR17" s="55">
        <f>SUMIFS(tblPlant[Power_kWh],tblPlant[Date],$A17)</f>
        <v/>
      </c>
      <c r="FS17" s="55">
        <f>IF($B17=$B16,$FS16,0)+$FR17</f>
        <v/>
      </c>
      <c r="FT17" s="55">
        <f>$FT16+$FR17</f>
        <v/>
      </c>
      <c r="FU17" s="55">
        <f>SUMIFS(tblPlant[Raw_Water_m3],tblPlant[Date],$A17)</f>
        <v/>
      </c>
      <c r="FV17" s="55">
        <f>IF($B17=$B16,$FV16,0)+$FU17</f>
        <v/>
      </c>
      <c r="FW17" s="55">
        <f>$FW16+$FU17</f>
        <v/>
      </c>
      <c r="FX17" s="56">
        <f>IFERROR(IF(($CU17)&gt;0,($FI17)/($CU17),""),"")</f>
        <v/>
      </c>
      <c r="FY17" s="56">
        <f>IFERROR(IF(($CV17)&gt;0,($FJ17)/($CV17),""),"")</f>
        <v/>
      </c>
      <c r="FZ17" s="56">
        <f>IFERROR(IF(($CW17)&gt;0,($FK17)/($CW17),""),"")</f>
        <v/>
      </c>
      <c r="GA17" s="56">
        <f>IFERROR(IF(($CU17)&gt;0,($FL17)/($CU17),""),"")</f>
        <v/>
      </c>
      <c r="GB17" s="56">
        <f>IFERROR(IF(($CV17)&gt;0,($FM17)/($CV17),""),"")</f>
        <v/>
      </c>
      <c r="GC17" s="56">
        <f>IFERROR(IF(($CW17)&gt;0,($FN17)/($CW17),""),"")</f>
        <v/>
      </c>
      <c r="GD17" s="56">
        <f>IFERROR(IF(($CU17)&gt;0,($FO17)/($CU17),""),"")</f>
        <v/>
      </c>
      <c r="GE17" s="56">
        <f>IFERROR(IF(($CV17)&gt;0,($FP17)/($CV17),""),"")</f>
        <v/>
      </c>
      <c r="GF17" s="56">
        <f>IFERROR(IF(($CW17)&gt;0,($FQ17)/($CW17),""),"")</f>
        <v/>
      </c>
      <c r="GG17" s="79">
        <f>IFERROR(IF(($CU17)&gt;0,($FR17)/($CU17),""),"")</f>
        <v/>
      </c>
      <c r="GH17" s="79">
        <f>IFERROR(IF(($CV17)&gt;0,($FS17)/($CV17),""),"")</f>
        <v/>
      </c>
      <c r="GI17" s="79">
        <f>IFERROR(IF(($CW17)&gt;0,($FT17)/($CW17),""),"")</f>
        <v/>
      </c>
      <c r="GJ17" s="56">
        <f>IFERROR(IF(($CU17)&gt;0,($FU17)/($CU17),""),"")</f>
        <v/>
      </c>
      <c r="GK17" s="56">
        <f>IFERROR(IF(($CV17)&gt;0,($FV17)/($CV17),""),"")</f>
        <v/>
      </c>
      <c r="GL17" s="56">
        <f>IFERROR(IF(($CW17)&gt;0,($FW17)/($CW17),""),"")</f>
        <v/>
      </c>
      <c r="GM17" s="55">
        <f>IF(SUMIFS(tblPlant[GIC_oz],tblPlant[Date],$A17)&gt;0,SUMIFS(tblPlant[GIC_oz],tblPlant[Date],$A17),"")</f>
        <v/>
      </c>
      <c r="GN17" s="55">
        <f>SUMIFS(tblGold[Gold_oz],tblGold[Date],$A17,tblGold[Type],"Shipment")</f>
        <v/>
      </c>
      <c r="GO17" s="55">
        <f>IF($B17=$B16,$GO16,0)+$GN17</f>
        <v/>
      </c>
      <c r="GP17" s="55">
        <f>$GP16+$GN17</f>
        <v/>
      </c>
      <c r="GQ17" s="55">
        <f>SUMIFS(tblGold[Gold_oz],tblGold[Date],$A17,tblGold[Type],"Sale")</f>
        <v/>
      </c>
      <c r="GR17" s="55">
        <f>IF($B17=$B16,$GR16,0)+$GQ17</f>
        <v/>
      </c>
      <c r="GS17" s="55">
        <f>$GS16+$GQ17</f>
        <v/>
      </c>
      <c r="GT17" s="55">
        <f>SUMIFS(tblGold[Dore_kg],tblGold[Date],$A17,tblGold[Type],"Shipment")</f>
        <v/>
      </c>
      <c r="GU17" s="55">
        <f>IF($B17=$B16,$GU16,0)+$GT17</f>
        <v/>
      </c>
      <c r="GV17" s="55">
        <f>$GV16+$GT17</f>
        <v/>
      </c>
      <c r="GW17" s="57">
        <f>SUMIFS(tblSafety[Hours_Total],tblSafety[Date],$A17)</f>
        <v/>
      </c>
      <c r="GX17" s="57">
        <f>IF($B17=$B16,$GX16,0)+$GW17</f>
        <v/>
      </c>
      <c r="GY17" s="57">
        <f>$GY16+$GW17</f>
        <v/>
      </c>
      <c r="GZ17" s="62">
        <f>SUMIFS(tblSafety[Fatality],tblSafety[Date],$A17)</f>
        <v/>
      </c>
      <c r="HA17" s="62">
        <f>IF($B17=$B16,$HA16,0)+$GZ17</f>
        <v/>
      </c>
      <c r="HB17" s="62">
        <f>$HB16+$GZ17</f>
        <v/>
      </c>
      <c r="HC17" s="62">
        <f>SUMIFS(tblSafety[LTI],tblSafety[Date],$A17)</f>
        <v/>
      </c>
      <c r="HD17" s="62">
        <f>IF($B17=$B16,$HD16,0)+$HC17</f>
        <v/>
      </c>
      <c r="HE17" s="62">
        <f>$HE16+$HC17</f>
        <v/>
      </c>
      <c r="HF17" s="62">
        <f>SUMIFS(tblSafety[RWI],tblSafety[Date],$A17)</f>
        <v/>
      </c>
      <c r="HG17" s="62">
        <f>IF($B17=$B16,$HG16,0)+$HF17</f>
        <v/>
      </c>
      <c r="HH17" s="62">
        <f>$HH16+$HF17</f>
        <v/>
      </c>
      <c r="HI17" s="62">
        <f>SUMIFS(tblSafety[MTI],tblSafety[Date],$A17)</f>
        <v/>
      </c>
      <c r="HJ17" s="62">
        <f>IF($B17=$B16,$HJ16,0)+$HI17</f>
        <v/>
      </c>
      <c r="HK17" s="62">
        <f>$HK16+$HI17</f>
        <v/>
      </c>
      <c r="HL17" s="62">
        <f>SUMIFS(tblSafety[FAI],tblSafety[Date],$A17)</f>
        <v/>
      </c>
      <c r="HM17" s="62">
        <f>IF($B17=$B16,$HM16,0)+$HL17</f>
        <v/>
      </c>
      <c r="HN17" s="62">
        <f>$HN16+$HL17</f>
        <v/>
      </c>
      <c r="HO17" s="62">
        <f>SUMIFS(tblSafety[Recordables],tblSafety[Date],$A17)</f>
        <v/>
      </c>
      <c r="HP17" s="62">
        <f>IF($B17=$B16,$HP16,0)+$HO17</f>
        <v/>
      </c>
      <c r="HQ17" s="62">
        <f>$HQ16+$HO17</f>
        <v/>
      </c>
      <c r="HR17" s="62">
        <f>SUMIFS(tblSafety[Near_Miss],tblSafety[Date],$A17)</f>
        <v/>
      </c>
      <c r="HS17" s="62">
        <f>IF($B17=$B16,$HS16,0)+$HR17</f>
        <v/>
      </c>
      <c r="HT17" s="62">
        <f>$HT16+$HR17</f>
        <v/>
      </c>
      <c r="HU17" s="62">
        <f>SUMIFS(tblSafety[Hazard_Reports],tblSafety[Date],$A17)</f>
        <v/>
      </c>
      <c r="HV17" s="62">
        <f>IF($B17=$B16,$HV16,0)+$HU17</f>
        <v/>
      </c>
      <c r="HW17" s="62">
        <f>$HW16+$HU17</f>
        <v/>
      </c>
      <c r="HX17" s="62">
        <f>SUMIFS(tblSafety[HPI],tblSafety[Date],$A17)</f>
        <v/>
      </c>
      <c r="HY17" s="62">
        <f>IF($B17=$B16,$HY16,0)+$HX17</f>
        <v/>
      </c>
      <c r="HZ17" s="62">
        <f>$HZ16+$HX17</f>
        <v/>
      </c>
      <c r="IA17" s="62">
        <f>SUMIFS(tblSafety[Env_Incidents],tblSafety[Date],$A17)</f>
        <v/>
      </c>
      <c r="IB17" s="62">
        <f>IF($B17=$B16,$IB16,0)+$IA17</f>
        <v/>
      </c>
      <c r="IC17" s="62">
        <f>$IC16+$IA17</f>
        <v/>
      </c>
      <c r="ID17" s="62">
        <f>SUMIFS(tblSafety[Community_Incidents],tblSafety[Date],$A17)</f>
        <v/>
      </c>
      <c r="IE17" s="62">
        <f>IF($B17=$B16,$IE16,0)+$ID17</f>
        <v/>
      </c>
      <c r="IF17" s="62">
        <f>$IF16+$ID17</f>
        <v/>
      </c>
      <c r="IG17" s="62">
        <f>SUMIFS(tblSafety[Vehicle_Incidents],tblSafety[Date],$A17)</f>
        <v/>
      </c>
      <c r="IH17" s="62">
        <f>IF($B17=$B16,$IH16,0)+$IG17</f>
        <v/>
      </c>
      <c r="II17" s="62">
        <f>$II16+$IG17</f>
        <v/>
      </c>
      <c r="IJ17" s="62">
        <f>SUMIFS(tblSafety[Toolbox_Talks],tblSafety[Date],$A17)</f>
        <v/>
      </c>
      <c r="IK17" s="62">
        <f>IF($B17=$B16,$IK16,0)+$IJ17</f>
        <v/>
      </c>
      <c r="IL17" s="62">
        <f>$IL16+$IJ17</f>
        <v/>
      </c>
      <c r="IM17" s="62">
        <f>SUMIFS(tblSafety[Inspections],tblSafety[Date],$A17)</f>
        <v/>
      </c>
      <c r="IN17" s="62">
        <f>IF($B17=$B16,$IN16,0)+$IM17</f>
        <v/>
      </c>
      <c r="IO17" s="62">
        <f>$IO16+$IM17</f>
        <v/>
      </c>
      <c r="IP17" s="56">
        <f>IFERROR((SUMIFS(tblSafety[Recordables],tblSafety[Date],"&gt;="&amp;EDATE($E17,-12),tblSafety[Date],"&lt;="&amp;$A17)+SUMIFS(tblSafetyHistory[Recordables],tblSafetyHistory[Month],"&gt;="&amp;EDATE($E17,-12),tblSafetyHistory[Month],"&lt;"&amp;$E17,tblSafetyHistory[Use],1))/(SUMIFS(tblSafety[Hours_Total],tblSafety[Date],"&gt;="&amp;EDATE($E17,-12),tblSafety[Date],"&lt;="&amp;$A17)+SUMIFS(tblSafetyHistory[Hours_Total],tblSafetyHistory[Month],"&gt;="&amp;EDATE($E17,-12),tblSafetyHistory[Month],"&lt;"&amp;$E17,tblSafetyHistory[Use],1))*cfg_RateBasisHours,"")</f>
        <v/>
      </c>
      <c r="IQ17" s="56">
        <f>IFERROR((SUMIFS(tblSafety[LTI],tblSafety[Date],"&gt;="&amp;EDATE($E17,-12),tblSafety[Date],"&lt;="&amp;$A17)+SUMIFS(tblSafetyHistory[LTI],tblSafetyHistory[Month],"&gt;="&amp;EDATE($E17,-12),tblSafetyHistory[Month],"&lt;"&amp;$E17,tblSafetyHistory[Use],1))/(SUMIFS(tblSafety[Hours_Total],tblSafety[Date],"&gt;="&amp;EDATE($E17,-12),tblSafety[Date],"&lt;="&amp;$A17)+SUMIFS(tblSafetyHistory[Hours_Total],tblSafetyHistory[Month],"&gt;="&amp;EDATE($E17,-12),tblSafetyHistory[Month],"&lt;"&amp;$E17,tblSafetyHistory[Use],1))*cfg_RateBasisHours,"")</f>
        <v/>
      </c>
      <c r="IR17" s="62">
        <f>IF(MAX(N(cfg_PriorLTIDate),_xlfn.MAXIFS(tblSafety[Date],tblSafety[LTI],"&gt;0",tblSafety[Date],"&lt;="&amp;$A17))=0,"",$A17-MAX(N(cfg_PriorLTIDate),_xlfn.MAXIFS(tblSafety[Date],tblSafety[LTI],"&gt;0",tblSafety[Date],"&lt;="&amp;$A17)))</f>
        <v/>
      </c>
      <c r="IS17" s="55">
        <f>SUMIFS(tblBudget[Ore_Mined_t],tblBudget[Month],$E17)</f>
        <v/>
      </c>
      <c r="IT17" s="55">
        <f>$IS17*$C17/$D17</f>
        <v/>
      </c>
      <c r="IU17" s="55">
        <f>SUMIFS(tblBudget[Ore_Mined_t],tblBudget[Month],"&lt;"&amp;$E17)+$IT17</f>
        <v/>
      </c>
      <c r="IV17" s="55">
        <f>SUMIFS(tblBudget[Ore_oz],tblBudget[Month],$E17)</f>
        <v/>
      </c>
      <c r="IW17" s="55">
        <f>$IV17*$C17/$D17</f>
        <v/>
      </c>
      <c r="IX17" s="55">
        <f>SUMIFS(tblBudget[Ore_oz],tblBudget[Month],"&lt;"&amp;$E17)+$IW17</f>
        <v/>
      </c>
      <c r="IY17" s="55">
        <f>SUMIFS(tblBudget[Ore_Mined_t],tblBudget[Month],$E17)</f>
        <v/>
      </c>
      <c r="IZ17" s="55">
        <f>$IY17*$C17/$D17</f>
        <v/>
      </c>
      <c r="JA17" s="55">
        <f>SUMIFS(tblBudget[Ore_Mined_t],tblBudget[Month],"&lt;"&amp;$E17)+$IZ17</f>
        <v/>
      </c>
      <c r="JB17" s="56">
        <f>IFERROR(IF(($IY17)&gt;0,($IV17*cfg_TroyOz)/($IY17),""),"")</f>
        <v/>
      </c>
      <c r="JC17" s="56">
        <f>IFERROR(IF(($IZ17)&gt;0,($IW17*cfg_TroyOz)/($IZ17),""),"")</f>
        <v/>
      </c>
      <c r="JD17" s="56">
        <f>IFERROR(IF(($JA17)&gt;0,($IX17*cfg_TroyOz)/($JA17),""),"")</f>
        <v/>
      </c>
      <c r="JE17" s="55">
        <f>SUMIFS(tblBudget[Waste_t],tblBudget[Month],$E17)</f>
        <v/>
      </c>
      <c r="JF17" s="55">
        <f>$JE17*$C17/$D17</f>
        <v/>
      </c>
      <c r="JG17" s="55">
        <f>SUMIFS(tblBudget[Waste_t],tblBudget[Month],"&lt;"&amp;$E17)+$JF17</f>
        <v/>
      </c>
      <c r="JH17" s="55">
        <f>SUMIFS(tblBudget[TMM_t],tblBudget[Month],$E17)</f>
        <v/>
      </c>
      <c r="JI17" s="55">
        <f>$JH17*$C17/$D17</f>
        <v/>
      </c>
      <c r="JJ17" s="55">
        <f>SUMIFS(tblBudget[TMM_t],tblBudget[Month],"&lt;"&amp;$E17)+$JI17</f>
        <v/>
      </c>
      <c r="JK17" s="56">
        <f>IFERROR(IF(($IS17)&gt;0,($JE17)/($IS17),""),"")</f>
        <v/>
      </c>
      <c r="JL17" s="56">
        <f>IFERROR(IF(($IT17)&gt;0,($JF17)/($IT17),""),"")</f>
        <v/>
      </c>
      <c r="JM17" s="56">
        <f>IFERROR(IF(($IU17)&gt;0,($JG17)/($IU17),""),"")</f>
        <v/>
      </c>
      <c r="JN17" s="55">
        <f>SUMIFS(tblBudget[Drill_m],tblBudget[Month],$E17)</f>
        <v/>
      </c>
      <c r="JO17" s="55">
        <f>$JN17*$C17/$D17</f>
        <v/>
      </c>
      <c r="JP17" s="55">
        <f>SUMIFS(tblBudget[Drill_m],tblBudget[Month],"&lt;"&amp;$E17)+$JO17</f>
        <v/>
      </c>
      <c r="JQ17" s="55">
        <f>SUMIFS(tblBudget[Diesel_L],tblBudget[Month],$E17)</f>
        <v/>
      </c>
      <c r="JR17" s="55">
        <f>$JQ17*$C17/$D17</f>
        <v/>
      </c>
      <c r="JS17" s="55">
        <f>SUMIFS(tblBudget[Diesel_L],tblBudget[Month],"&lt;"&amp;$E17)+$JR17</f>
        <v/>
      </c>
      <c r="JT17" s="55">
        <f>SUMIFS(tblBudget[Milled_t],tblBudget[Month],$E17)</f>
        <v/>
      </c>
      <c r="JU17" s="55">
        <f>$JT17*$C17/$D17</f>
        <v/>
      </c>
      <c r="JV17" s="55">
        <f>SUMIFS(tblBudget[Milled_t],tblBudget[Month],"&lt;"&amp;$E17)+$JU17</f>
        <v/>
      </c>
      <c r="JW17" s="55">
        <f>SUMIFS(tblBudget[Feed_oz],tblBudget[Month],$E17)</f>
        <v/>
      </c>
      <c r="JX17" s="55">
        <f>$JW17*$C17/$D17</f>
        <v/>
      </c>
      <c r="JY17" s="55">
        <f>SUMIFS(tblBudget[Feed_oz],tblBudget[Month],"&lt;"&amp;$E17)+$JX17</f>
        <v/>
      </c>
      <c r="JZ17" s="55">
        <f>SUMIFS(tblBudget[Recovered_oz],tblBudget[Month],$E17)</f>
        <v/>
      </c>
      <c r="KA17" s="55">
        <f>$JZ17*$C17/$D17</f>
        <v/>
      </c>
      <c r="KB17" s="55">
        <f>SUMIFS(tblBudget[Recovered_oz],tblBudget[Month],"&lt;"&amp;$E17)+$KA17</f>
        <v/>
      </c>
      <c r="KC17" s="55">
        <f>SUMIFS(tblBudget[Milled_t],tblBudget[Month],$E17)</f>
        <v/>
      </c>
      <c r="KD17" s="55">
        <f>$KC17*$C17/$D17</f>
        <v/>
      </c>
      <c r="KE17" s="55">
        <f>SUMIFS(tblBudget[Milled_t],tblBudget[Month],"&lt;"&amp;$E17)+$KD17</f>
        <v/>
      </c>
      <c r="KF17" s="55">
        <f>SUMIFS(tblBudget[Feed_oz],tblBudget[Month],$E17)</f>
        <v/>
      </c>
      <c r="KG17" s="55">
        <f>$KF17*$C17/$D17</f>
        <v/>
      </c>
      <c r="KH17" s="55">
        <f>SUMIFS(tblBudget[Feed_oz],tblBudget[Month],"&lt;"&amp;$E17)+$KG17</f>
        <v/>
      </c>
      <c r="KI17" s="56">
        <f>IFERROR(IF(($KC17)&gt;0,($JW17*cfg_TroyOz)/($KC17),""),"")</f>
        <v/>
      </c>
      <c r="KJ17" s="56">
        <f>IFERROR(IF(($KD17)&gt;0,($JX17*cfg_TroyOz)/($KD17),""),"")</f>
        <v/>
      </c>
      <c r="KK17" s="56">
        <f>IFERROR(IF(($KE17)&gt;0,($JY17*cfg_TroyOz)/($KE17),""),"")</f>
        <v/>
      </c>
      <c r="KL17" s="67">
        <f>IFERROR(IF(($KF17)&gt;0,($JZ17)/($KF17),""),"")</f>
        <v/>
      </c>
      <c r="KM17" s="67">
        <f>IFERROR(IF(($KG17)&gt;0,($KA17)/($KG17),""),"")</f>
        <v/>
      </c>
      <c r="KN17" s="67">
        <f>IFERROR(IF(($KH17)&gt;0,($KB17)/($KH17),""),"")</f>
        <v/>
      </c>
      <c r="KO17" s="55">
        <f>SUMIFS(tblBudget[Gold_Poured_oz],tblBudget[Month],$E17)</f>
        <v/>
      </c>
      <c r="KP17" s="55">
        <f>$KO17*$C17/$D17</f>
        <v/>
      </c>
      <c r="KQ17" s="55">
        <f>SUMIFS(tblBudget[Gold_Poured_oz],tblBudget[Month],"&lt;"&amp;$E17)+$KP17</f>
        <v/>
      </c>
      <c r="KR17" s="57">
        <f>SUMIFS(tblBudget[Hours_Worked],tblBudget[Month],$E17)</f>
        <v/>
      </c>
      <c r="KS17" s="57">
        <f>$KR17*$C17/$D17</f>
        <v/>
      </c>
      <c r="KT17" s="57">
        <f>SUMIFS(tblBudget[Hours_Worked],tblBudget[Month],"&lt;"&amp;$E17)+$KS17</f>
        <v/>
      </c>
    </row>
    <row r="18">
      <c r="A18" s="54" t="n">
        <v>46039</v>
      </c>
      <c r="B18">
        <f>MONTH($A18)</f>
        <v/>
      </c>
      <c r="C18">
        <f>DAY($A18)</f>
        <v/>
      </c>
      <c r="D18">
        <f>DAY(EOMONTH($A18,0))</f>
        <v/>
      </c>
      <c r="E18" s="54">
        <f>DATE(YEAR($A18),MONTH($A18),1)</f>
        <v/>
      </c>
      <c r="F18" s="55">
        <f>SUMIFS(tblMovement[Tonnes_t],tblMovement[Date],$A18,tblMovement[Is_Ore],1,tblMovement[Source_Type],"Pit")</f>
        <v/>
      </c>
      <c r="G18" s="55">
        <f>IF($B18=$B17,$G17,0)+$F18</f>
        <v/>
      </c>
      <c r="H18" s="55">
        <f>$H17+$F18</f>
        <v/>
      </c>
      <c r="I18" s="55">
        <f>SUMIFS(tblMovement[Ore_oz],tblMovement[Date],$A18,tblMovement[Source_Type],"Pit")</f>
        <v/>
      </c>
      <c r="J18" s="55">
        <f>IF($B18=$B17,$J17,0)+$I18</f>
        <v/>
      </c>
      <c r="K18" s="55">
        <f>$K17+$I18</f>
        <v/>
      </c>
      <c r="L18" s="55">
        <f>SUMIFS(tblMovement[Tonnes_t],tblMovement[Date],$A18,tblMovement[Is_Ore],1,tblMovement[Source_Type],"Pit",tblMovement[Grade_gpt],"&lt;&gt;")</f>
        <v/>
      </c>
      <c r="M18" s="55">
        <f>IF($B18=$B17,$M17,0)+$L18</f>
        <v/>
      </c>
      <c r="N18" s="55">
        <f>$N17+$L18</f>
        <v/>
      </c>
      <c r="O18" s="56">
        <f>IFERROR(IF(($L18)&gt;0,($I18*cfg_TroyOz)/($L18),""),"")</f>
        <v/>
      </c>
      <c r="P18" s="56">
        <f>IFERROR(IF(($M18)&gt;0,($J18*cfg_TroyOz)/($M18),""),"")</f>
        <v/>
      </c>
      <c r="Q18" s="56">
        <f>IFERROR(IF(($N18)&gt;0,($K18*cfg_TroyOz)/($N18),""),"")</f>
        <v/>
      </c>
      <c r="R18" s="55">
        <f>$F18-$L18</f>
        <v/>
      </c>
      <c r="S18" s="55">
        <f>IF($B18=$B17,$S17,0)+$R18</f>
        <v/>
      </c>
      <c r="T18" s="55">
        <f>$T17+$R18</f>
        <v/>
      </c>
      <c r="U18" s="55">
        <f>SUMIFS(tblMovement[Tonnes_t],tblMovement[Date],$A18,tblMovement[Is_Ore],0,tblMovement[Source_Type],"Pit")</f>
        <v/>
      </c>
      <c r="V18" s="55">
        <f>IF($B18=$B17,$V17,0)+$U18</f>
        <v/>
      </c>
      <c r="W18" s="55">
        <f>$W17+$U18</f>
        <v/>
      </c>
      <c r="X18" s="55">
        <f>$F18+$U18</f>
        <v/>
      </c>
      <c r="Y18" s="55">
        <f>IF($B18=$B17,$Y17,0)+$X18</f>
        <v/>
      </c>
      <c r="Z18" s="55">
        <f>$Z17+$X18</f>
        <v/>
      </c>
      <c r="AA18" s="56">
        <f>IFERROR(IF(($F18)&gt;0,($U18)/($F18),""),"")</f>
        <v/>
      </c>
      <c r="AB18" s="56">
        <f>IFERROR(IF(($G18)&gt;0,($V18)/($G18),""),"")</f>
        <v/>
      </c>
      <c r="AC18" s="56">
        <f>IFERROR(IF(($H18)&gt;0,($W18)/($H18),""),"")</f>
        <v/>
      </c>
      <c r="AD18" s="55">
        <f>SUMIFS(tblMovement[Tonnes_t],tblMovement[Date],$A18,tblMovement[Source_Type],"Stockpile")</f>
        <v/>
      </c>
      <c r="AE18" s="55">
        <f>IF($B18=$B17,$AE17,0)+$AD18</f>
        <v/>
      </c>
      <c r="AF18" s="55">
        <f>$AF17+$AD18</f>
        <v/>
      </c>
      <c r="AG18" s="55">
        <f>SUMIFS(tblMovement[Tonnes_t],tblMovement[Date],$A18)</f>
        <v/>
      </c>
      <c r="AH18" s="55">
        <f>IF($B18=$B17,$AH17,0)+$AG18</f>
        <v/>
      </c>
      <c r="AI18" s="55">
        <f>$AI17+$AG18</f>
        <v/>
      </c>
      <c r="AJ18" s="55">
        <f>$AG18-$X18-$AD18</f>
        <v/>
      </c>
      <c r="AK18" s="55">
        <f>IF($B18=$B17,$AK17,0)+$AJ18</f>
        <v/>
      </c>
      <c r="AL18" s="55">
        <f>$AL17+$AJ18</f>
        <v/>
      </c>
      <c r="AM18" s="55">
        <f>SUMIFS(tblMiningDaily[Drill_m],tblMiningDaily[Date],$A18)</f>
        <v/>
      </c>
      <c r="AN18" s="55">
        <f>IF($B18=$B17,$AN17,0)+$AM18</f>
        <v/>
      </c>
      <c r="AO18" s="55">
        <f>$AO17+$AM18</f>
        <v/>
      </c>
      <c r="AP18" s="55">
        <f>SUMIFS(tblMiningDaily[GC_Drill_m],tblMiningDaily[Date],$A18)</f>
        <v/>
      </c>
      <c r="AQ18" s="55">
        <f>IF($B18=$B17,$AQ17,0)+$AP18</f>
        <v/>
      </c>
      <c r="AR18" s="55">
        <f>$AR17+$AP18</f>
        <v/>
      </c>
      <c r="AS18" s="55">
        <f>SUMIFS(tblMiningDaily[Blast_t],tblMiningDaily[Date],$A18)</f>
        <v/>
      </c>
      <c r="AT18" s="55">
        <f>IF($B18=$B17,$AT17,0)+$AS18</f>
        <v/>
      </c>
      <c r="AU18" s="55">
        <f>$AU17+$AS18</f>
        <v/>
      </c>
      <c r="AV18" s="55">
        <f>SUMIFS(tblMiningDaily[Explosives_kg],tblMiningDaily[Date],$A18)</f>
        <v/>
      </c>
      <c r="AW18" s="55">
        <f>IF($B18=$B17,$AW17,0)+$AV18</f>
        <v/>
      </c>
      <c r="AX18" s="55">
        <f>$AX17+$AV18</f>
        <v/>
      </c>
      <c r="AY18" s="56">
        <f>IFERROR(IF(($AS18)&gt;0,($AV18)/($AS18),""),"")</f>
        <v/>
      </c>
      <c r="AZ18" s="56">
        <f>IFERROR(IF(($AT18)&gt;0,($AW18)/($AT18),""),"")</f>
        <v/>
      </c>
      <c r="BA18" s="56">
        <f>IFERROR(IF(($AU18)&gt;0,($AX18)/($AU18),""),"")</f>
        <v/>
      </c>
      <c r="BB18" s="55">
        <f>SUMIFS(tblMiningDaily[Diesel_L],tblMiningDaily[Date],$A18)</f>
        <v/>
      </c>
      <c r="BC18" s="55">
        <f>IF($B18=$B17,$BC17,0)+$BB18</f>
        <v/>
      </c>
      <c r="BD18" s="55">
        <f>$BD17+$BB18</f>
        <v/>
      </c>
      <c r="BE18" s="55">
        <f>SUMIFS(tblMiningDaily[Dewatering_m3],tblMiningDaily[Date],$A18)</f>
        <v/>
      </c>
      <c r="BF18" s="55">
        <f>IF($B18=$B17,$BF17,0)+$BE18</f>
        <v/>
      </c>
      <c r="BG18" s="55">
        <f>$BG17+$BE18</f>
        <v/>
      </c>
      <c r="BH18" s="57">
        <f>SUMIFS(tblFleet[Calendar_h],tblFleet[Date],$A18,tblFleet[Equipment_Class],"Excavator")</f>
        <v/>
      </c>
      <c r="BI18" s="57">
        <f>IF($B18=$B17,$BI17,0)+$BH18</f>
        <v/>
      </c>
      <c r="BJ18" s="57">
        <f>$BJ17+$BH18</f>
        <v/>
      </c>
      <c r="BK18" s="57">
        <f>SUMIFS(tblFleet[Available_h],tblFleet[Date],$A18,tblFleet[Equipment_Class],"Excavator")</f>
        <v/>
      </c>
      <c r="BL18" s="57">
        <f>IF($B18=$B17,$BL17,0)+$BK18</f>
        <v/>
      </c>
      <c r="BM18" s="57">
        <f>$BM17+$BK18</f>
        <v/>
      </c>
      <c r="BN18" s="57">
        <f>SUMIFS(tblFleet[Operating_h],tblFleet[Date],$A18,tblFleet[Equipment_Class],"Excavator")</f>
        <v/>
      </c>
      <c r="BO18" s="57">
        <f>IF($B18=$B17,$BO17,0)+$BN18</f>
        <v/>
      </c>
      <c r="BP18" s="57">
        <f>$BP17+$BN18</f>
        <v/>
      </c>
      <c r="BQ18" s="67">
        <f>IFERROR(IF(($BH18)&gt;0,($BK18)/($BH18),""),"")</f>
        <v/>
      </c>
      <c r="BR18" s="67">
        <f>IFERROR(IF(($BI18)&gt;0,($BL18)/($BI18),""),"")</f>
        <v/>
      </c>
      <c r="BS18" s="67">
        <f>IFERROR(IF(($BJ18)&gt;0,($BM18)/($BJ18),""),"")</f>
        <v/>
      </c>
      <c r="BT18" s="67">
        <f>IFERROR(IF(($BK18)&gt;0,($BN18)/($BK18),""),"")</f>
        <v/>
      </c>
      <c r="BU18" s="67">
        <f>IFERROR(IF(($BL18)&gt;0,($BO18)/($BL18),""),"")</f>
        <v/>
      </c>
      <c r="BV18" s="67">
        <f>IFERROR(IF(($BM18)&gt;0,($BP18)/($BM18),""),"")</f>
        <v/>
      </c>
      <c r="BW18" s="57">
        <f>SUMIFS(tblFleet[Calendar_h],tblFleet[Date],$A18,tblFleet[Equipment_Class],"Haul Truck")</f>
        <v/>
      </c>
      <c r="BX18" s="57">
        <f>IF($B18=$B17,$BX17,0)+$BW18</f>
        <v/>
      </c>
      <c r="BY18" s="57">
        <f>$BY17+$BW18</f>
        <v/>
      </c>
      <c r="BZ18" s="57">
        <f>SUMIFS(tblFleet[Available_h],tblFleet[Date],$A18,tblFleet[Equipment_Class],"Haul Truck")</f>
        <v/>
      </c>
      <c r="CA18" s="57">
        <f>IF($B18=$B17,$CA17,0)+$BZ18</f>
        <v/>
      </c>
      <c r="CB18" s="57">
        <f>$CB17+$BZ18</f>
        <v/>
      </c>
      <c r="CC18" s="57">
        <f>SUMIFS(tblFleet[Operating_h],tblFleet[Date],$A18,tblFleet[Equipment_Class],"Haul Truck")</f>
        <v/>
      </c>
      <c r="CD18" s="57">
        <f>IF($B18=$B17,$CD17,0)+$CC18</f>
        <v/>
      </c>
      <c r="CE18" s="57">
        <f>$CE17+$CC18</f>
        <v/>
      </c>
      <c r="CF18" s="67">
        <f>IFERROR(IF(($BW18)&gt;0,($BZ18)/($BW18),""),"")</f>
        <v/>
      </c>
      <c r="CG18" s="67">
        <f>IFERROR(IF(($BX18)&gt;0,($CA18)/($BX18),""),"")</f>
        <v/>
      </c>
      <c r="CH18" s="67">
        <f>IFERROR(IF(($BY18)&gt;0,($CB18)/($BY18),""),"")</f>
        <v/>
      </c>
      <c r="CI18" s="67">
        <f>IFERROR(IF(($BZ18)&gt;0,($CC18)/($BZ18),""),"")</f>
        <v/>
      </c>
      <c r="CJ18" s="67">
        <f>IFERROR(IF(($CA18)&gt;0,($CD18)/($CA18),""),"")</f>
        <v/>
      </c>
      <c r="CK18" s="67">
        <f>IFERROR(IF(($CB18)&gt;0,($CE18)/($CB18),""),"")</f>
        <v/>
      </c>
      <c r="CL18" s="55">
        <f>IFERROR(IF(($BN18)&gt;0,($X18+$AD18)/($BN18),""),"")</f>
        <v/>
      </c>
      <c r="CM18" s="55">
        <f>IFERROR(IF(($BO18)&gt;0,($Y18+$AE18)/($BO18),""),"")</f>
        <v/>
      </c>
      <c r="CN18" s="55">
        <f>IFERROR(IF(($BP18)&gt;0,($Z18+$AF18)/($BP18),""),"")</f>
        <v/>
      </c>
      <c r="CO18" s="55">
        <f>IFERROR(IF(($CC18)&gt;0,($X18+$AD18)/($CC18),""),"")</f>
        <v/>
      </c>
      <c r="CP18" s="55">
        <f>IFERROR(IF(($CD18)&gt;0,($Y18+$AE18)/($CD18),""),"")</f>
        <v/>
      </c>
      <c r="CQ18" s="55">
        <f>IFERROR(IF(($CE18)&gt;0,($Z18+$AF18)/($CE18),""),"")</f>
        <v/>
      </c>
      <c r="CR18" s="55">
        <f>SUMIFS(tblPlant[Crushed_t],tblPlant[Date],$A18)</f>
        <v/>
      </c>
      <c r="CS18" s="55">
        <f>IF($B18=$B17,$CS17,0)+$CR18</f>
        <v/>
      </c>
      <c r="CT18" s="55">
        <f>$CT17+$CR18</f>
        <v/>
      </c>
      <c r="CU18" s="55">
        <f>SUMIFS(tblPlant[Milled_t],tblPlant[Date],$A18)</f>
        <v/>
      </c>
      <c r="CV18" s="55">
        <f>IF($B18=$B17,$CV17,0)+$CU18</f>
        <v/>
      </c>
      <c r="CW18" s="55">
        <f>$CW17+$CU18</f>
        <v/>
      </c>
      <c r="CX18" s="55">
        <f>SUMIFS(tblPlant[Feed_oz],tblPlant[Date],$A18)</f>
        <v/>
      </c>
      <c r="CY18" s="55">
        <f>IF($B18=$B17,$CY17,0)+$CX18</f>
        <v/>
      </c>
      <c r="CZ18" s="55">
        <f>$CZ17+$CX18</f>
        <v/>
      </c>
      <c r="DA18" s="55">
        <f>SUMIFS(tblPlant[Tails_oz],tblPlant[Date],$A18)</f>
        <v/>
      </c>
      <c r="DB18" s="55">
        <f>IF($B18=$B17,$DB17,0)+$DA18</f>
        <v/>
      </c>
      <c r="DC18" s="55">
        <f>$DC17+$DA18</f>
        <v/>
      </c>
      <c r="DD18" s="55">
        <f>SUMIFS(tblPlant[Recovered_oz],tblPlant[Date],$A18)</f>
        <v/>
      </c>
      <c r="DE18" s="55">
        <f>IF($B18=$B17,$DE17,0)+$DD18</f>
        <v/>
      </c>
      <c r="DF18" s="55">
        <f>$DF17+$DD18</f>
        <v/>
      </c>
      <c r="DG18" s="55">
        <f>SUMIFS(tblPlant[Milled_t],tblPlant[Date],$A18,tblPlant[Head_Grade_gpt],"&lt;&gt;")</f>
        <v/>
      </c>
      <c r="DH18" s="55">
        <f>IF($B18=$B17,$DH17,0)+$DG18</f>
        <v/>
      </c>
      <c r="DI18" s="55">
        <f>$DI17+$DG18</f>
        <v/>
      </c>
      <c r="DJ18" s="55">
        <f>SUMIFS(tblPlant[Milled_t],tblPlant[Date],$A18,tblPlant[Tails_Grade_gpt],"&lt;&gt;")</f>
        <v/>
      </c>
      <c r="DK18" s="55">
        <f>IF($B18=$B17,$DK17,0)+$DJ18</f>
        <v/>
      </c>
      <c r="DL18" s="55">
        <f>$DL17+$DJ18</f>
        <v/>
      </c>
      <c r="DM18" s="55">
        <f>SUMIFS(tblPlant[Feed_oz],tblPlant[Date],$A18,tblPlant[Tails_Grade_gpt],"&lt;&gt;")</f>
        <v/>
      </c>
      <c r="DN18" s="55">
        <f>IF($B18=$B17,$DN17,0)+$DM18</f>
        <v/>
      </c>
      <c r="DO18" s="55">
        <f>$DO17+$DM18</f>
        <v/>
      </c>
      <c r="DP18" s="55">
        <f>SUMIFS(tblPlant[Milled_t],tblPlant[Date],$A18,tblPlant[Mill_Run_h],"&lt;&gt;")</f>
        <v/>
      </c>
      <c r="DQ18" s="55">
        <f>IF($B18=$B17,$DQ17,0)+$DP18</f>
        <v/>
      </c>
      <c r="DR18" s="55">
        <f>$DR17+$DP18</f>
        <v/>
      </c>
      <c r="DS18" s="56">
        <f>IFERROR(IF(($DG18)&gt;0,($CX18*cfg_TroyOz)/($DG18),""),"")</f>
        <v/>
      </c>
      <c r="DT18" s="56">
        <f>IFERROR(IF(($DH18)&gt;0,($CY18*cfg_TroyOz)/($DH18),""),"")</f>
        <v/>
      </c>
      <c r="DU18" s="56">
        <f>IFERROR(IF(($DI18)&gt;0,($CZ18*cfg_TroyOz)/($DI18),""),"")</f>
        <v/>
      </c>
      <c r="DV18" s="56">
        <f>IFERROR(IF(($DJ18)&gt;0,($DA18*cfg_TroyOz)/($DJ18),""),"")</f>
        <v/>
      </c>
      <c r="DW18" s="56">
        <f>IFERROR(IF(($DK18)&gt;0,($DB18*cfg_TroyOz)/($DK18),""),"")</f>
        <v/>
      </c>
      <c r="DX18" s="56">
        <f>IFERROR(IF(($DL18)&gt;0,($DC18*cfg_TroyOz)/($DL18),""),"")</f>
        <v/>
      </c>
      <c r="DY18" s="67">
        <f>IFERROR(IF(($DM18)&gt;0,($DD18)/($DM18),""),"")</f>
        <v/>
      </c>
      <c r="DZ18" s="67">
        <f>IFERROR(IF(($DN18)&gt;0,($DE18)/($DN18),""),"")</f>
        <v/>
      </c>
      <c r="EA18" s="67">
        <f>IFERROR(IF(($DO18)&gt;0,($DF18)/($DO18),""),"")</f>
        <v/>
      </c>
      <c r="EB18" s="55">
        <f>SUMIFS(tblPlant[Gravity_Gold_oz],tblPlant[Date],$A18)</f>
        <v/>
      </c>
      <c r="EC18" s="55">
        <f>IF($B18=$B17,$EC17,0)+$EB18</f>
        <v/>
      </c>
      <c r="ED18" s="55">
        <f>$ED17+$EB18</f>
        <v/>
      </c>
      <c r="EE18" s="67">
        <f>IFERROR(IF(($DD18)&gt;0,($EB18)/($DD18),""),"")</f>
        <v/>
      </c>
      <c r="EF18" s="67">
        <f>IFERROR(IF(($DE18)&gt;0,($EC18)/($DE18),""),"")</f>
        <v/>
      </c>
      <c r="EG18" s="67">
        <f>IFERROR(IF(($DF18)&gt;0,($ED18)/($DF18),""),"")</f>
        <v/>
      </c>
      <c r="EH18" s="55">
        <f>SUMIFS(tblPlant[Gold_Poured_oz],tblPlant[Date],$A18)</f>
        <v/>
      </c>
      <c r="EI18" s="55">
        <f>IF($B18=$B17,$EI17,0)+$EH18</f>
        <v/>
      </c>
      <c r="EJ18" s="55">
        <f>$EJ17+$EH18</f>
        <v/>
      </c>
      <c r="EK18" s="57">
        <f>SUMIFS(tblPlant[Mill_Run_h],tblPlant[Date],$A18)</f>
        <v/>
      </c>
      <c r="EL18" s="57">
        <f>IF($B18=$B17,$EL17,0)+$EK18</f>
        <v/>
      </c>
      <c r="EM18" s="57">
        <f>$EM17+$EK18</f>
        <v/>
      </c>
      <c r="EN18" s="57">
        <f>SUMIFS(tblPlant[Mill_Planned_Maint_h],tblPlant[Date],$A18)</f>
        <v/>
      </c>
      <c r="EO18" s="57">
        <f>IF($B18=$B17,$EO17,0)+$EN18</f>
        <v/>
      </c>
      <c r="EP18" s="57">
        <f>$EP17+$EN18</f>
        <v/>
      </c>
      <c r="EQ18" s="57">
        <f>SUMIFS(tblPlant[Mill_Unplanned_Down_h],tblPlant[Date],$A18)</f>
        <v/>
      </c>
      <c r="ER18" s="57">
        <f>IF($B18=$B17,$ER17,0)+$EQ18</f>
        <v/>
      </c>
      <c r="ES18" s="57">
        <f>$ES17+$EQ18</f>
        <v/>
      </c>
      <c r="ET18" s="57">
        <f>IF(COUNTIFS(tblPlant[Date],$A18,tblPlant[Mill_Run_h],"&lt;&gt;")+COUNTIFS(tblPlant[Date],$A18,tblPlant[Mill_Planned_Maint_h],"&lt;&gt;")+COUNTIFS(tblPlant[Date],$A18,tblPlant[Mill_Unplanned_Down_h],"&lt;&gt;")&gt;0,cfg_HoursPerDay,0)</f>
        <v/>
      </c>
      <c r="EU18" s="57">
        <f>IF($B18=$B17,$EU17,0)+$ET18</f>
        <v/>
      </c>
      <c r="EV18" s="57">
        <f>$EV17+$ET18</f>
        <v/>
      </c>
      <c r="EW18" s="57">
        <f>SUMIFS(tblPlant[Crusher_Run_h],tblPlant[Date],$A18)</f>
        <v/>
      </c>
      <c r="EX18" s="57">
        <f>IF($B18=$B17,$EX17,0)+$EW18</f>
        <v/>
      </c>
      <c r="EY18" s="57">
        <f>$EY17+$EW18</f>
        <v/>
      </c>
      <c r="EZ18" s="55">
        <f>IFERROR(IF(($EK18)&gt;0,($DP18)/($EK18),""),"")</f>
        <v/>
      </c>
      <c r="FA18" s="55">
        <f>IFERROR(IF(($EL18)&gt;0,($DQ18)/($EL18),""),"")</f>
        <v/>
      </c>
      <c r="FB18" s="55">
        <f>IFERROR(IF(($EM18)&gt;0,($DR18)/($EM18),""),"")</f>
        <v/>
      </c>
      <c r="FC18" s="67">
        <f>IFERROR(IF(($ET18)&gt;0,($ET18-$EN18-$EQ18)/($ET18),""),"")</f>
        <v/>
      </c>
      <c r="FD18" s="67">
        <f>IFERROR(IF(($EU18)&gt;0,($EU18-$EO18-$ER18)/($EU18),""),"")</f>
        <v/>
      </c>
      <c r="FE18" s="67">
        <f>IFERROR(IF(($EV18)&gt;0,($EV18-$EP18-$ES18)/($EV18),""),"")</f>
        <v/>
      </c>
      <c r="FF18" s="67">
        <f>IFERROR(IF(($ET18-$EN18-$EQ18)&gt;0,($EK18)/($ET18-$EN18-$EQ18),""),"")</f>
        <v/>
      </c>
      <c r="FG18" s="67">
        <f>IFERROR(IF(($EU18-$EO18-$ER18)&gt;0,($EL18)/($EU18-$EO18-$ER18),""),"")</f>
        <v/>
      </c>
      <c r="FH18" s="67">
        <f>IFERROR(IF(($EV18-$EP18-$ES18)&gt;0,($EM18)/($EV18-$EP18-$ES18),""),"")</f>
        <v/>
      </c>
      <c r="FI18" s="55">
        <f>SUMIFS(tblPlant[Cyanide_kg],tblPlant[Date],$A18)</f>
        <v/>
      </c>
      <c r="FJ18" s="55">
        <f>IF($B18=$B17,$FJ17,0)+$FI18</f>
        <v/>
      </c>
      <c r="FK18" s="55">
        <f>$FK17+$FI18</f>
        <v/>
      </c>
      <c r="FL18" s="55">
        <f>SUMIFS(tblPlant[Lime_kg],tblPlant[Date],$A18)</f>
        <v/>
      </c>
      <c r="FM18" s="55">
        <f>IF($B18=$B17,$FM17,0)+$FL18</f>
        <v/>
      </c>
      <c r="FN18" s="55">
        <f>$FN17+$FL18</f>
        <v/>
      </c>
      <c r="FO18" s="55">
        <f>SUMIFS(tblPlant[Grinding_Media_kg],tblPlant[Date],$A18)</f>
        <v/>
      </c>
      <c r="FP18" s="55">
        <f>IF($B18=$B17,$FP17,0)+$FO18</f>
        <v/>
      </c>
      <c r="FQ18" s="55">
        <f>$FQ17+$FO18</f>
        <v/>
      </c>
      <c r="FR18" s="55">
        <f>SUMIFS(tblPlant[Power_kWh],tblPlant[Date],$A18)</f>
        <v/>
      </c>
      <c r="FS18" s="55">
        <f>IF($B18=$B17,$FS17,0)+$FR18</f>
        <v/>
      </c>
      <c r="FT18" s="55">
        <f>$FT17+$FR18</f>
        <v/>
      </c>
      <c r="FU18" s="55">
        <f>SUMIFS(tblPlant[Raw_Water_m3],tblPlant[Date],$A18)</f>
        <v/>
      </c>
      <c r="FV18" s="55">
        <f>IF($B18=$B17,$FV17,0)+$FU18</f>
        <v/>
      </c>
      <c r="FW18" s="55">
        <f>$FW17+$FU18</f>
        <v/>
      </c>
      <c r="FX18" s="56">
        <f>IFERROR(IF(($CU18)&gt;0,($FI18)/($CU18),""),"")</f>
        <v/>
      </c>
      <c r="FY18" s="56">
        <f>IFERROR(IF(($CV18)&gt;0,($FJ18)/($CV18),""),"")</f>
        <v/>
      </c>
      <c r="FZ18" s="56">
        <f>IFERROR(IF(($CW18)&gt;0,($FK18)/($CW18),""),"")</f>
        <v/>
      </c>
      <c r="GA18" s="56">
        <f>IFERROR(IF(($CU18)&gt;0,($FL18)/($CU18),""),"")</f>
        <v/>
      </c>
      <c r="GB18" s="56">
        <f>IFERROR(IF(($CV18)&gt;0,($FM18)/($CV18),""),"")</f>
        <v/>
      </c>
      <c r="GC18" s="56">
        <f>IFERROR(IF(($CW18)&gt;0,($FN18)/($CW18),""),"")</f>
        <v/>
      </c>
      <c r="GD18" s="56">
        <f>IFERROR(IF(($CU18)&gt;0,($FO18)/($CU18),""),"")</f>
        <v/>
      </c>
      <c r="GE18" s="56">
        <f>IFERROR(IF(($CV18)&gt;0,($FP18)/($CV18),""),"")</f>
        <v/>
      </c>
      <c r="GF18" s="56">
        <f>IFERROR(IF(($CW18)&gt;0,($FQ18)/($CW18),""),"")</f>
        <v/>
      </c>
      <c r="GG18" s="79">
        <f>IFERROR(IF(($CU18)&gt;0,($FR18)/($CU18),""),"")</f>
        <v/>
      </c>
      <c r="GH18" s="79">
        <f>IFERROR(IF(($CV18)&gt;0,($FS18)/($CV18),""),"")</f>
        <v/>
      </c>
      <c r="GI18" s="79">
        <f>IFERROR(IF(($CW18)&gt;0,($FT18)/($CW18),""),"")</f>
        <v/>
      </c>
      <c r="GJ18" s="56">
        <f>IFERROR(IF(($CU18)&gt;0,($FU18)/($CU18),""),"")</f>
        <v/>
      </c>
      <c r="GK18" s="56">
        <f>IFERROR(IF(($CV18)&gt;0,($FV18)/($CV18),""),"")</f>
        <v/>
      </c>
      <c r="GL18" s="56">
        <f>IFERROR(IF(($CW18)&gt;0,($FW18)/($CW18),""),"")</f>
        <v/>
      </c>
      <c r="GM18" s="55">
        <f>IF(SUMIFS(tblPlant[GIC_oz],tblPlant[Date],$A18)&gt;0,SUMIFS(tblPlant[GIC_oz],tblPlant[Date],$A18),"")</f>
        <v/>
      </c>
      <c r="GN18" s="55">
        <f>SUMIFS(tblGold[Gold_oz],tblGold[Date],$A18,tblGold[Type],"Shipment")</f>
        <v/>
      </c>
      <c r="GO18" s="55">
        <f>IF($B18=$B17,$GO17,0)+$GN18</f>
        <v/>
      </c>
      <c r="GP18" s="55">
        <f>$GP17+$GN18</f>
        <v/>
      </c>
      <c r="GQ18" s="55">
        <f>SUMIFS(tblGold[Gold_oz],tblGold[Date],$A18,tblGold[Type],"Sale")</f>
        <v/>
      </c>
      <c r="GR18" s="55">
        <f>IF($B18=$B17,$GR17,0)+$GQ18</f>
        <v/>
      </c>
      <c r="GS18" s="55">
        <f>$GS17+$GQ18</f>
        <v/>
      </c>
      <c r="GT18" s="55">
        <f>SUMIFS(tblGold[Dore_kg],tblGold[Date],$A18,tblGold[Type],"Shipment")</f>
        <v/>
      </c>
      <c r="GU18" s="55">
        <f>IF($B18=$B17,$GU17,0)+$GT18</f>
        <v/>
      </c>
      <c r="GV18" s="55">
        <f>$GV17+$GT18</f>
        <v/>
      </c>
      <c r="GW18" s="57">
        <f>SUMIFS(tblSafety[Hours_Total],tblSafety[Date],$A18)</f>
        <v/>
      </c>
      <c r="GX18" s="57">
        <f>IF($B18=$B17,$GX17,0)+$GW18</f>
        <v/>
      </c>
      <c r="GY18" s="57">
        <f>$GY17+$GW18</f>
        <v/>
      </c>
      <c r="GZ18" s="62">
        <f>SUMIFS(tblSafety[Fatality],tblSafety[Date],$A18)</f>
        <v/>
      </c>
      <c r="HA18" s="62">
        <f>IF($B18=$B17,$HA17,0)+$GZ18</f>
        <v/>
      </c>
      <c r="HB18" s="62">
        <f>$HB17+$GZ18</f>
        <v/>
      </c>
      <c r="HC18" s="62">
        <f>SUMIFS(tblSafety[LTI],tblSafety[Date],$A18)</f>
        <v/>
      </c>
      <c r="HD18" s="62">
        <f>IF($B18=$B17,$HD17,0)+$HC18</f>
        <v/>
      </c>
      <c r="HE18" s="62">
        <f>$HE17+$HC18</f>
        <v/>
      </c>
      <c r="HF18" s="62">
        <f>SUMIFS(tblSafety[RWI],tblSafety[Date],$A18)</f>
        <v/>
      </c>
      <c r="HG18" s="62">
        <f>IF($B18=$B17,$HG17,0)+$HF18</f>
        <v/>
      </c>
      <c r="HH18" s="62">
        <f>$HH17+$HF18</f>
        <v/>
      </c>
      <c r="HI18" s="62">
        <f>SUMIFS(tblSafety[MTI],tblSafety[Date],$A18)</f>
        <v/>
      </c>
      <c r="HJ18" s="62">
        <f>IF($B18=$B17,$HJ17,0)+$HI18</f>
        <v/>
      </c>
      <c r="HK18" s="62">
        <f>$HK17+$HI18</f>
        <v/>
      </c>
      <c r="HL18" s="62">
        <f>SUMIFS(tblSafety[FAI],tblSafety[Date],$A18)</f>
        <v/>
      </c>
      <c r="HM18" s="62">
        <f>IF($B18=$B17,$HM17,0)+$HL18</f>
        <v/>
      </c>
      <c r="HN18" s="62">
        <f>$HN17+$HL18</f>
        <v/>
      </c>
      <c r="HO18" s="62">
        <f>SUMIFS(tblSafety[Recordables],tblSafety[Date],$A18)</f>
        <v/>
      </c>
      <c r="HP18" s="62">
        <f>IF($B18=$B17,$HP17,0)+$HO18</f>
        <v/>
      </c>
      <c r="HQ18" s="62">
        <f>$HQ17+$HO18</f>
        <v/>
      </c>
      <c r="HR18" s="62">
        <f>SUMIFS(tblSafety[Near_Miss],tblSafety[Date],$A18)</f>
        <v/>
      </c>
      <c r="HS18" s="62">
        <f>IF($B18=$B17,$HS17,0)+$HR18</f>
        <v/>
      </c>
      <c r="HT18" s="62">
        <f>$HT17+$HR18</f>
        <v/>
      </c>
      <c r="HU18" s="62">
        <f>SUMIFS(tblSafety[Hazard_Reports],tblSafety[Date],$A18)</f>
        <v/>
      </c>
      <c r="HV18" s="62">
        <f>IF($B18=$B17,$HV17,0)+$HU18</f>
        <v/>
      </c>
      <c r="HW18" s="62">
        <f>$HW17+$HU18</f>
        <v/>
      </c>
      <c r="HX18" s="62">
        <f>SUMIFS(tblSafety[HPI],tblSafety[Date],$A18)</f>
        <v/>
      </c>
      <c r="HY18" s="62">
        <f>IF($B18=$B17,$HY17,0)+$HX18</f>
        <v/>
      </c>
      <c r="HZ18" s="62">
        <f>$HZ17+$HX18</f>
        <v/>
      </c>
      <c r="IA18" s="62">
        <f>SUMIFS(tblSafety[Env_Incidents],tblSafety[Date],$A18)</f>
        <v/>
      </c>
      <c r="IB18" s="62">
        <f>IF($B18=$B17,$IB17,0)+$IA18</f>
        <v/>
      </c>
      <c r="IC18" s="62">
        <f>$IC17+$IA18</f>
        <v/>
      </c>
      <c r="ID18" s="62">
        <f>SUMIFS(tblSafety[Community_Incidents],tblSafety[Date],$A18)</f>
        <v/>
      </c>
      <c r="IE18" s="62">
        <f>IF($B18=$B17,$IE17,0)+$ID18</f>
        <v/>
      </c>
      <c r="IF18" s="62">
        <f>$IF17+$ID18</f>
        <v/>
      </c>
      <c r="IG18" s="62">
        <f>SUMIFS(tblSafety[Vehicle_Incidents],tblSafety[Date],$A18)</f>
        <v/>
      </c>
      <c r="IH18" s="62">
        <f>IF($B18=$B17,$IH17,0)+$IG18</f>
        <v/>
      </c>
      <c r="II18" s="62">
        <f>$II17+$IG18</f>
        <v/>
      </c>
      <c r="IJ18" s="62">
        <f>SUMIFS(tblSafety[Toolbox_Talks],tblSafety[Date],$A18)</f>
        <v/>
      </c>
      <c r="IK18" s="62">
        <f>IF($B18=$B17,$IK17,0)+$IJ18</f>
        <v/>
      </c>
      <c r="IL18" s="62">
        <f>$IL17+$IJ18</f>
        <v/>
      </c>
      <c r="IM18" s="62">
        <f>SUMIFS(tblSafety[Inspections],tblSafety[Date],$A18)</f>
        <v/>
      </c>
      <c r="IN18" s="62">
        <f>IF($B18=$B17,$IN17,0)+$IM18</f>
        <v/>
      </c>
      <c r="IO18" s="62">
        <f>$IO17+$IM18</f>
        <v/>
      </c>
      <c r="IP18" s="56">
        <f>IFERROR((SUMIFS(tblSafety[Recordables],tblSafety[Date],"&gt;="&amp;EDATE($E18,-12),tblSafety[Date],"&lt;="&amp;$A18)+SUMIFS(tblSafetyHistory[Recordables],tblSafetyHistory[Month],"&gt;="&amp;EDATE($E18,-12),tblSafetyHistory[Month],"&lt;"&amp;$E18,tblSafetyHistory[Use],1))/(SUMIFS(tblSafety[Hours_Total],tblSafety[Date],"&gt;="&amp;EDATE($E18,-12),tblSafety[Date],"&lt;="&amp;$A18)+SUMIFS(tblSafetyHistory[Hours_Total],tblSafetyHistory[Month],"&gt;="&amp;EDATE($E18,-12),tblSafetyHistory[Month],"&lt;"&amp;$E18,tblSafetyHistory[Use],1))*cfg_RateBasisHours,"")</f>
        <v/>
      </c>
      <c r="IQ18" s="56">
        <f>IFERROR((SUMIFS(tblSafety[LTI],tblSafety[Date],"&gt;="&amp;EDATE($E18,-12),tblSafety[Date],"&lt;="&amp;$A18)+SUMIFS(tblSafetyHistory[LTI],tblSafetyHistory[Month],"&gt;="&amp;EDATE($E18,-12),tblSafetyHistory[Month],"&lt;"&amp;$E18,tblSafetyHistory[Use],1))/(SUMIFS(tblSafety[Hours_Total],tblSafety[Date],"&gt;="&amp;EDATE($E18,-12),tblSafety[Date],"&lt;="&amp;$A18)+SUMIFS(tblSafetyHistory[Hours_Total],tblSafetyHistory[Month],"&gt;="&amp;EDATE($E18,-12),tblSafetyHistory[Month],"&lt;"&amp;$E18,tblSafetyHistory[Use],1))*cfg_RateBasisHours,"")</f>
        <v/>
      </c>
      <c r="IR18" s="62">
        <f>IF(MAX(N(cfg_PriorLTIDate),_xlfn.MAXIFS(tblSafety[Date],tblSafety[LTI],"&gt;0",tblSafety[Date],"&lt;="&amp;$A18))=0,"",$A18-MAX(N(cfg_PriorLTIDate),_xlfn.MAXIFS(tblSafety[Date],tblSafety[LTI],"&gt;0",tblSafety[Date],"&lt;="&amp;$A18)))</f>
        <v/>
      </c>
      <c r="IS18" s="55">
        <f>SUMIFS(tblBudget[Ore_Mined_t],tblBudget[Month],$E18)</f>
        <v/>
      </c>
      <c r="IT18" s="55">
        <f>$IS18*$C18/$D18</f>
        <v/>
      </c>
      <c r="IU18" s="55">
        <f>SUMIFS(tblBudget[Ore_Mined_t],tblBudget[Month],"&lt;"&amp;$E18)+$IT18</f>
        <v/>
      </c>
      <c r="IV18" s="55">
        <f>SUMIFS(tblBudget[Ore_oz],tblBudget[Month],$E18)</f>
        <v/>
      </c>
      <c r="IW18" s="55">
        <f>$IV18*$C18/$D18</f>
        <v/>
      </c>
      <c r="IX18" s="55">
        <f>SUMIFS(tblBudget[Ore_oz],tblBudget[Month],"&lt;"&amp;$E18)+$IW18</f>
        <v/>
      </c>
      <c r="IY18" s="55">
        <f>SUMIFS(tblBudget[Ore_Mined_t],tblBudget[Month],$E18)</f>
        <v/>
      </c>
      <c r="IZ18" s="55">
        <f>$IY18*$C18/$D18</f>
        <v/>
      </c>
      <c r="JA18" s="55">
        <f>SUMIFS(tblBudget[Ore_Mined_t],tblBudget[Month],"&lt;"&amp;$E18)+$IZ18</f>
        <v/>
      </c>
      <c r="JB18" s="56">
        <f>IFERROR(IF(($IY18)&gt;0,($IV18*cfg_TroyOz)/($IY18),""),"")</f>
        <v/>
      </c>
      <c r="JC18" s="56">
        <f>IFERROR(IF(($IZ18)&gt;0,($IW18*cfg_TroyOz)/($IZ18),""),"")</f>
        <v/>
      </c>
      <c r="JD18" s="56">
        <f>IFERROR(IF(($JA18)&gt;0,($IX18*cfg_TroyOz)/($JA18),""),"")</f>
        <v/>
      </c>
      <c r="JE18" s="55">
        <f>SUMIFS(tblBudget[Waste_t],tblBudget[Month],$E18)</f>
        <v/>
      </c>
      <c r="JF18" s="55">
        <f>$JE18*$C18/$D18</f>
        <v/>
      </c>
      <c r="JG18" s="55">
        <f>SUMIFS(tblBudget[Waste_t],tblBudget[Month],"&lt;"&amp;$E18)+$JF18</f>
        <v/>
      </c>
      <c r="JH18" s="55">
        <f>SUMIFS(tblBudget[TMM_t],tblBudget[Month],$E18)</f>
        <v/>
      </c>
      <c r="JI18" s="55">
        <f>$JH18*$C18/$D18</f>
        <v/>
      </c>
      <c r="JJ18" s="55">
        <f>SUMIFS(tblBudget[TMM_t],tblBudget[Month],"&lt;"&amp;$E18)+$JI18</f>
        <v/>
      </c>
      <c r="JK18" s="56">
        <f>IFERROR(IF(($IS18)&gt;0,($JE18)/($IS18),""),"")</f>
        <v/>
      </c>
      <c r="JL18" s="56">
        <f>IFERROR(IF(($IT18)&gt;0,($JF18)/($IT18),""),"")</f>
        <v/>
      </c>
      <c r="JM18" s="56">
        <f>IFERROR(IF(($IU18)&gt;0,($JG18)/($IU18),""),"")</f>
        <v/>
      </c>
      <c r="JN18" s="55">
        <f>SUMIFS(tblBudget[Drill_m],tblBudget[Month],$E18)</f>
        <v/>
      </c>
      <c r="JO18" s="55">
        <f>$JN18*$C18/$D18</f>
        <v/>
      </c>
      <c r="JP18" s="55">
        <f>SUMIFS(tblBudget[Drill_m],tblBudget[Month],"&lt;"&amp;$E18)+$JO18</f>
        <v/>
      </c>
      <c r="JQ18" s="55">
        <f>SUMIFS(tblBudget[Diesel_L],tblBudget[Month],$E18)</f>
        <v/>
      </c>
      <c r="JR18" s="55">
        <f>$JQ18*$C18/$D18</f>
        <v/>
      </c>
      <c r="JS18" s="55">
        <f>SUMIFS(tblBudget[Diesel_L],tblBudget[Month],"&lt;"&amp;$E18)+$JR18</f>
        <v/>
      </c>
      <c r="JT18" s="55">
        <f>SUMIFS(tblBudget[Milled_t],tblBudget[Month],$E18)</f>
        <v/>
      </c>
      <c r="JU18" s="55">
        <f>$JT18*$C18/$D18</f>
        <v/>
      </c>
      <c r="JV18" s="55">
        <f>SUMIFS(tblBudget[Milled_t],tblBudget[Month],"&lt;"&amp;$E18)+$JU18</f>
        <v/>
      </c>
      <c r="JW18" s="55">
        <f>SUMIFS(tblBudget[Feed_oz],tblBudget[Month],$E18)</f>
        <v/>
      </c>
      <c r="JX18" s="55">
        <f>$JW18*$C18/$D18</f>
        <v/>
      </c>
      <c r="JY18" s="55">
        <f>SUMIFS(tblBudget[Feed_oz],tblBudget[Month],"&lt;"&amp;$E18)+$JX18</f>
        <v/>
      </c>
      <c r="JZ18" s="55">
        <f>SUMIFS(tblBudget[Recovered_oz],tblBudget[Month],$E18)</f>
        <v/>
      </c>
      <c r="KA18" s="55">
        <f>$JZ18*$C18/$D18</f>
        <v/>
      </c>
      <c r="KB18" s="55">
        <f>SUMIFS(tblBudget[Recovered_oz],tblBudget[Month],"&lt;"&amp;$E18)+$KA18</f>
        <v/>
      </c>
      <c r="KC18" s="55">
        <f>SUMIFS(tblBudget[Milled_t],tblBudget[Month],$E18)</f>
        <v/>
      </c>
      <c r="KD18" s="55">
        <f>$KC18*$C18/$D18</f>
        <v/>
      </c>
      <c r="KE18" s="55">
        <f>SUMIFS(tblBudget[Milled_t],tblBudget[Month],"&lt;"&amp;$E18)+$KD18</f>
        <v/>
      </c>
      <c r="KF18" s="55">
        <f>SUMIFS(tblBudget[Feed_oz],tblBudget[Month],$E18)</f>
        <v/>
      </c>
      <c r="KG18" s="55">
        <f>$KF18*$C18/$D18</f>
        <v/>
      </c>
      <c r="KH18" s="55">
        <f>SUMIFS(tblBudget[Feed_oz],tblBudget[Month],"&lt;"&amp;$E18)+$KG18</f>
        <v/>
      </c>
      <c r="KI18" s="56">
        <f>IFERROR(IF(($KC18)&gt;0,($JW18*cfg_TroyOz)/($KC18),""),"")</f>
        <v/>
      </c>
      <c r="KJ18" s="56">
        <f>IFERROR(IF(($KD18)&gt;0,($JX18*cfg_TroyOz)/($KD18),""),"")</f>
        <v/>
      </c>
      <c r="KK18" s="56">
        <f>IFERROR(IF(($KE18)&gt;0,($JY18*cfg_TroyOz)/($KE18),""),"")</f>
        <v/>
      </c>
      <c r="KL18" s="67">
        <f>IFERROR(IF(($KF18)&gt;0,($JZ18)/($KF18),""),"")</f>
        <v/>
      </c>
      <c r="KM18" s="67">
        <f>IFERROR(IF(($KG18)&gt;0,($KA18)/($KG18),""),"")</f>
        <v/>
      </c>
      <c r="KN18" s="67">
        <f>IFERROR(IF(($KH18)&gt;0,($KB18)/($KH18),""),"")</f>
        <v/>
      </c>
      <c r="KO18" s="55">
        <f>SUMIFS(tblBudget[Gold_Poured_oz],tblBudget[Month],$E18)</f>
        <v/>
      </c>
      <c r="KP18" s="55">
        <f>$KO18*$C18/$D18</f>
        <v/>
      </c>
      <c r="KQ18" s="55">
        <f>SUMIFS(tblBudget[Gold_Poured_oz],tblBudget[Month],"&lt;"&amp;$E18)+$KP18</f>
        <v/>
      </c>
      <c r="KR18" s="57">
        <f>SUMIFS(tblBudget[Hours_Worked],tblBudget[Month],$E18)</f>
        <v/>
      </c>
      <c r="KS18" s="57">
        <f>$KR18*$C18/$D18</f>
        <v/>
      </c>
      <c r="KT18" s="57">
        <f>SUMIFS(tblBudget[Hours_Worked],tblBudget[Month],"&lt;"&amp;$E18)+$KS18</f>
        <v/>
      </c>
    </row>
    <row r="19">
      <c r="A19" s="54" t="n">
        <v>46040</v>
      </c>
      <c r="B19">
        <f>MONTH($A19)</f>
        <v/>
      </c>
      <c r="C19">
        <f>DAY($A19)</f>
        <v/>
      </c>
      <c r="D19">
        <f>DAY(EOMONTH($A19,0))</f>
        <v/>
      </c>
      <c r="E19" s="54">
        <f>DATE(YEAR($A19),MONTH($A19),1)</f>
        <v/>
      </c>
      <c r="F19" s="55">
        <f>SUMIFS(tblMovement[Tonnes_t],tblMovement[Date],$A19,tblMovement[Is_Ore],1,tblMovement[Source_Type],"Pit")</f>
        <v/>
      </c>
      <c r="G19" s="55">
        <f>IF($B19=$B18,$G18,0)+$F19</f>
        <v/>
      </c>
      <c r="H19" s="55">
        <f>$H18+$F19</f>
        <v/>
      </c>
      <c r="I19" s="55">
        <f>SUMIFS(tblMovement[Ore_oz],tblMovement[Date],$A19,tblMovement[Source_Type],"Pit")</f>
        <v/>
      </c>
      <c r="J19" s="55">
        <f>IF($B19=$B18,$J18,0)+$I19</f>
        <v/>
      </c>
      <c r="K19" s="55">
        <f>$K18+$I19</f>
        <v/>
      </c>
      <c r="L19" s="55">
        <f>SUMIFS(tblMovement[Tonnes_t],tblMovement[Date],$A19,tblMovement[Is_Ore],1,tblMovement[Source_Type],"Pit",tblMovement[Grade_gpt],"&lt;&gt;")</f>
        <v/>
      </c>
      <c r="M19" s="55">
        <f>IF($B19=$B18,$M18,0)+$L19</f>
        <v/>
      </c>
      <c r="N19" s="55">
        <f>$N18+$L19</f>
        <v/>
      </c>
      <c r="O19" s="56">
        <f>IFERROR(IF(($L19)&gt;0,($I19*cfg_TroyOz)/($L19),""),"")</f>
        <v/>
      </c>
      <c r="P19" s="56">
        <f>IFERROR(IF(($M19)&gt;0,($J19*cfg_TroyOz)/($M19),""),"")</f>
        <v/>
      </c>
      <c r="Q19" s="56">
        <f>IFERROR(IF(($N19)&gt;0,($K19*cfg_TroyOz)/($N19),""),"")</f>
        <v/>
      </c>
      <c r="R19" s="55">
        <f>$F19-$L19</f>
        <v/>
      </c>
      <c r="S19" s="55">
        <f>IF($B19=$B18,$S18,0)+$R19</f>
        <v/>
      </c>
      <c r="T19" s="55">
        <f>$T18+$R19</f>
        <v/>
      </c>
      <c r="U19" s="55">
        <f>SUMIFS(tblMovement[Tonnes_t],tblMovement[Date],$A19,tblMovement[Is_Ore],0,tblMovement[Source_Type],"Pit")</f>
        <v/>
      </c>
      <c r="V19" s="55">
        <f>IF($B19=$B18,$V18,0)+$U19</f>
        <v/>
      </c>
      <c r="W19" s="55">
        <f>$W18+$U19</f>
        <v/>
      </c>
      <c r="X19" s="55">
        <f>$F19+$U19</f>
        <v/>
      </c>
      <c r="Y19" s="55">
        <f>IF($B19=$B18,$Y18,0)+$X19</f>
        <v/>
      </c>
      <c r="Z19" s="55">
        <f>$Z18+$X19</f>
        <v/>
      </c>
      <c r="AA19" s="56">
        <f>IFERROR(IF(($F19)&gt;0,($U19)/($F19),""),"")</f>
        <v/>
      </c>
      <c r="AB19" s="56">
        <f>IFERROR(IF(($G19)&gt;0,($V19)/($G19),""),"")</f>
        <v/>
      </c>
      <c r="AC19" s="56">
        <f>IFERROR(IF(($H19)&gt;0,($W19)/($H19),""),"")</f>
        <v/>
      </c>
      <c r="AD19" s="55">
        <f>SUMIFS(tblMovement[Tonnes_t],tblMovement[Date],$A19,tblMovement[Source_Type],"Stockpile")</f>
        <v/>
      </c>
      <c r="AE19" s="55">
        <f>IF($B19=$B18,$AE18,0)+$AD19</f>
        <v/>
      </c>
      <c r="AF19" s="55">
        <f>$AF18+$AD19</f>
        <v/>
      </c>
      <c r="AG19" s="55">
        <f>SUMIFS(tblMovement[Tonnes_t],tblMovement[Date],$A19)</f>
        <v/>
      </c>
      <c r="AH19" s="55">
        <f>IF($B19=$B18,$AH18,0)+$AG19</f>
        <v/>
      </c>
      <c r="AI19" s="55">
        <f>$AI18+$AG19</f>
        <v/>
      </c>
      <c r="AJ19" s="55">
        <f>$AG19-$X19-$AD19</f>
        <v/>
      </c>
      <c r="AK19" s="55">
        <f>IF($B19=$B18,$AK18,0)+$AJ19</f>
        <v/>
      </c>
      <c r="AL19" s="55">
        <f>$AL18+$AJ19</f>
        <v/>
      </c>
      <c r="AM19" s="55">
        <f>SUMIFS(tblMiningDaily[Drill_m],tblMiningDaily[Date],$A19)</f>
        <v/>
      </c>
      <c r="AN19" s="55">
        <f>IF($B19=$B18,$AN18,0)+$AM19</f>
        <v/>
      </c>
      <c r="AO19" s="55">
        <f>$AO18+$AM19</f>
        <v/>
      </c>
      <c r="AP19" s="55">
        <f>SUMIFS(tblMiningDaily[GC_Drill_m],tblMiningDaily[Date],$A19)</f>
        <v/>
      </c>
      <c r="AQ19" s="55">
        <f>IF($B19=$B18,$AQ18,0)+$AP19</f>
        <v/>
      </c>
      <c r="AR19" s="55">
        <f>$AR18+$AP19</f>
        <v/>
      </c>
      <c r="AS19" s="55">
        <f>SUMIFS(tblMiningDaily[Blast_t],tblMiningDaily[Date],$A19)</f>
        <v/>
      </c>
      <c r="AT19" s="55">
        <f>IF($B19=$B18,$AT18,0)+$AS19</f>
        <v/>
      </c>
      <c r="AU19" s="55">
        <f>$AU18+$AS19</f>
        <v/>
      </c>
      <c r="AV19" s="55">
        <f>SUMIFS(tblMiningDaily[Explosives_kg],tblMiningDaily[Date],$A19)</f>
        <v/>
      </c>
      <c r="AW19" s="55">
        <f>IF($B19=$B18,$AW18,0)+$AV19</f>
        <v/>
      </c>
      <c r="AX19" s="55">
        <f>$AX18+$AV19</f>
        <v/>
      </c>
      <c r="AY19" s="56">
        <f>IFERROR(IF(($AS19)&gt;0,($AV19)/($AS19),""),"")</f>
        <v/>
      </c>
      <c r="AZ19" s="56">
        <f>IFERROR(IF(($AT19)&gt;0,($AW19)/($AT19),""),"")</f>
        <v/>
      </c>
      <c r="BA19" s="56">
        <f>IFERROR(IF(($AU19)&gt;0,($AX19)/($AU19),""),"")</f>
        <v/>
      </c>
      <c r="BB19" s="55">
        <f>SUMIFS(tblMiningDaily[Diesel_L],tblMiningDaily[Date],$A19)</f>
        <v/>
      </c>
      <c r="BC19" s="55">
        <f>IF($B19=$B18,$BC18,0)+$BB19</f>
        <v/>
      </c>
      <c r="BD19" s="55">
        <f>$BD18+$BB19</f>
        <v/>
      </c>
      <c r="BE19" s="55">
        <f>SUMIFS(tblMiningDaily[Dewatering_m3],tblMiningDaily[Date],$A19)</f>
        <v/>
      </c>
      <c r="BF19" s="55">
        <f>IF($B19=$B18,$BF18,0)+$BE19</f>
        <v/>
      </c>
      <c r="BG19" s="55">
        <f>$BG18+$BE19</f>
        <v/>
      </c>
      <c r="BH19" s="57">
        <f>SUMIFS(tblFleet[Calendar_h],tblFleet[Date],$A19,tblFleet[Equipment_Class],"Excavator")</f>
        <v/>
      </c>
      <c r="BI19" s="57">
        <f>IF($B19=$B18,$BI18,0)+$BH19</f>
        <v/>
      </c>
      <c r="BJ19" s="57">
        <f>$BJ18+$BH19</f>
        <v/>
      </c>
      <c r="BK19" s="57">
        <f>SUMIFS(tblFleet[Available_h],tblFleet[Date],$A19,tblFleet[Equipment_Class],"Excavator")</f>
        <v/>
      </c>
      <c r="BL19" s="57">
        <f>IF($B19=$B18,$BL18,0)+$BK19</f>
        <v/>
      </c>
      <c r="BM19" s="57">
        <f>$BM18+$BK19</f>
        <v/>
      </c>
      <c r="BN19" s="57">
        <f>SUMIFS(tblFleet[Operating_h],tblFleet[Date],$A19,tblFleet[Equipment_Class],"Excavator")</f>
        <v/>
      </c>
      <c r="BO19" s="57">
        <f>IF($B19=$B18,$BO18,0)+$BN19</f>
        <v/>
      </c>
      <c r="BP19" s="57">
        <f>$BP18+$BN19</f>
        <v/>
      </c>
      <c r="BQ19" s="67">
        <f>IFERROR(IF(($BH19)&gt;0,($BK19)/($BH19),""),"")</f>
        <v/>
      </c>
      <c r="BR19" s="67">
        <f>IFERROR(IF(($BI19)&gt;0,($BL19)/($BI19),""),"")</f>
        <v/>
      </c>
      <c r="BS19" s="67">
        <f>IFERROR(IF(($BJ19)&gt;0,($BM19)/($BJ19),""),"")</f>
        <v/>
      </c>
      <c r="BT19" s="67">
        <f>IFERROR(IF(($BK19)&gt;0,($BN19)/($BK19),""),"")</f>
        <v/>
      </c>
      <c r="BU19" s="67">
        <f>IFERROR(IF(($BL19)&gt;0,($BO19)/($BL19),""),"")</f>
        <v/>
      </c>
      <c r="BV19" s="67">
        <f>IFERROR(IF(($BM19)&gt;0,($BP19)/($BM19),""),"")</f>
        <v/>
      </c>
      <c r="BW19" s="57">
        <f>SUMIFS(tblFleet[Calendar_h],tblFleet[Date],$A19,tblFleet[Equipment_Class],"Haul Truck")</f>
        <v/>
      </c>
      <c r="BX19" s="57">
        <f>IF($B19=$B18,$BX18,0)+$BW19</f>
        <v/>
      </c>
      <c r="BY19" s="57">
        <f>$BY18+$BW19</f>
        <v/>
      </c>
      <c r="BZ19" s="57">
        <f>SUMIFS(tblFleet[Available_h],tblFleet[Date],$A19,tblFleet[Equipment_Class],"Haul Truck")</f>
        <v/>
      </c>
      <c r="CA19" s="57">
        <f>IF($B19=$B18,$CA18,0)+$BZ19</f>
        <v/>
      </c>
      <c r="CB19" s="57">
        <f>$CB18+$BZ19</f>
        <v/>
      </c>
      <c r="CC19" s="57">
        <f>SUMIFS(tblFleet[Operating_h],tblFleet[Date],$A19,tblFleet[Equipment_Class],"Haul Truck")</f>
        <v/>
      </c>
      <c r="CD19" s="57">
        <f>IF($B19=$B18,$CD18,0)+$CC19</f>
        <v/>
      </c>
      <c r="CE19" s="57">
        <f>$CE18+$CC19</f>
        <v/>
      </c>
      <c r="CF19" s="67">
        <f>IFERROR(IF(($BW19)&gt;0,($BZ19)/($BW19),""),"")</f>
        <v/>
      </c>
      <c r="CG19" s="67">
        <f>IFERROR(IF(($BX19)&gt;0,($CA19)/($BX19),""),"")</f>
        <v/>
      </c>
      <c r="CH19" s="67">
        <f>IFERROR(IF(($BY19)&gt;0,($CB19)/($BY19),""),"")</f>
        <v/>
      </c>
      <c r="CI19" s="67">
        <f>IFERROR(IF(($BZ19)&gt;0,($CC19)/($BZ19),""),"")</f>
        <v/>
      </c>
      <c r="CJ19" s="67">
        <f>IFERROR(IF(($CA19)&gt;0,($CD19)/($CA19),""),"")</f>
        <v/>
      </c>
      <c r="CK19" s="67">
        <f>IFERROR(IF(($CB19)&gt;0,($CE19)/($CB19),""),"")</f>
        <v/>
      </c>
      <c r="CL19" s="55">
        <f>IFERROR(IF(($BN19)&gt;0,($X19+$AD19)/($BN19),""),"")</f>
        <v/>
      </c>
      <c r="CM19" s="55">
        <f>IFERROR(IF(($BO19)&gt;0,($Y19+$AE19)/($BO19),""),"")</f>
        <v/>
      </c>
      <c r="CN19" s="55">
        <f>IFERROR(IF(($BP19)&gt;0,($Z19+$AF19)/($BP19),""),"")</f>
        <v/>
      </c>
      <c r="CO19" s="55">
        <f>IFERROR(IF(($CC19)&gt;0,($X19+$AD19)/($CC19),""),"")</f>
        <v/>
      </c>
      <c r="CP19" s="55">
        <f>IFERROR(IF(($CD19)&gt;0,($Y19+$AE19)/($CD19),""),"")</f>
        <v/>
      </c>
      <c r="CQ19" s="55">
        <f>IFERROR(IF(($CE19)&gt;0,($Z19+$AF19)/($CE19),""),"")</f>
        <v/>
      </c>
      <c r="CR19" s="55">
        <f>SUMIFS(tblPlant[Crushed_t],tblPlant[Date],$A19)</f>
        <v/>
      </c>
      <c r="CS19" s="55">
        <f>IF($B19=$B18,$CS18,0)+$CR19</f>
        <v/>
      </c>
      <c r="CT19" s="55">
        <f>$CT18+$CR19</f>
        <v/>
      </c>
      <c r="CU19" s="55">
        <f>SUMIFS(tblPlant[Milled_t],tblPlant[Date],$A19)</f>
        <v/>
      </c>
      <c r="CV19" s="55">
        <f>IF($B19=$B18,$CV18,0)+$CU19</f>
        <v/>
      </c>
      <c r="CW19" s="55">
        <f>$CW18+$CU19</f>
        <v/>
      </c>
      <c r="CX19" s="55">
        <f>SUMIFS(tblPlant[Feed_oz],tblPlant[Date],$A19)</f>
        <v/>
      </c>
      <c r="CY19" s="55">
        <f>IF($B19=$B18,$CY18,0)+$CX19</f>
        <v/>
      </c>
      <c r="CZ19" s="55">
        <f>$CZ18+$CX19</f>
        <v/>
      </c>
      <c r="DA19" s="55">
        <f>SUMIFS(tblPlant[Tails_oz],tblPlant[Date],$A19)</f>
        <v/>
      </c>
      <c r="DB19" s="55">
        <f>IF($B19=$B18,$DB18,0)+$DA19</f>
        <v/>
      </c>
      <c r="DC19" s="55">
        <f>$DC18+$DA19</f>
        <v/>
      </c>
      <c r="DD19" s="55">
        <f>SUMIFS(tblPlant[Recovered_oz],tblPlant[Date],$A19)</f>
        <v/>
      </c>
      <c r="DE19" s="55">
        <f>IF($B19=$B18,$DE18,0)+$DD19</f>
        <v/>
      </c>
      <c r="DF19" s="55">
        <f>$DF18+$DD19</f>
        <v/>
      </c>
      <c r="DG19" s="55">
        <f>SUMIFS(tblPlant[Milled_t],tblPlant[Date],$A19,tblPlant[Head_Grade_gpt],"&lt;&gt;")</f>
        <v/>
      </c>
      <c r="DH19" s="55">
        <f>IF($B19=$B18,$DH18,0)+$DG19</f>
        <v/>
      </c>
      <c r="DI19" s="55">
        <f>$DI18+$DG19</f>
        <v/>
      </c>
      <c r="DJ19" s="55">
        <f>SUMIFS(tblPlant[Milled_t],tblPlant[Date],$A19,tblPlant[Tails_Grade_gpt],"&lt;&gt;")</f>
        <v/>
      </c>
      <c r="DK19" s="55">
        <f>IF($B19=$B18,$DK18,0)+$DJ19</f>
        <v/>
      </c>
      <c r="DL19" s="55">
        <f>$DL18+$DJ19</f>
        <v/>
      </c>
      <c r="DM19" s="55">
        <f>SUMIFS(tblPlant[Feed_oz],tblPlant[Date],$A19,tblPlant[Tails_Grade_gpt],"&lt;&gt;")</f>
        <v/>
      </c>
      <c r="DN19" s="55">
        <f>IF($B19=$B18,$DN18,0)+$DM19</f>
        <v/>
      </c>
      <c r="DO19" s="55">
        <f>$DO18+$DM19</f>
        <v/>
      </c>
      <c r="DP19" s="55">
        <f>SUMIFS(tblPlant[Milled_t],tblPlant[Date],$A19,tblPlant[Mill_Run_h],"&lt;&gt;")</f>
        <v/>
      </c>
      <c r="DQ19" s="55">
        <f>IF($B19=$B18,$DQ18,0)+$DP19</f>
        <v/>
      </c>
      <c r="DR19" s="55">
        <f>$DR18+$DP19</f>
        <v/>
      </c>
      <c r="DS19" s="56">
        <f>IFERROR(IF(($DG19)&gt;0,($CX19*cfg_TroyOz)/($DG19),""),"")</f>
        <v/>
      </c>
      <c r="DT19" s="56">
        <f>IFERROR(IF(($DH19)&gt;0,($CY19*cfg_TroyOz)/($DH19),""),"")</f>
        <v/>
      </c>
      <c r="DU19" s="56">
        <f>IFERROR(IF(($DI19)&gt;0,($CZ19*cfg_TroyOz)/($DI19),""),"")</f>
        <v/>
      </c>
      <c r="DV19" s="56">
        <f>IFERROR(IF(($DJ19)&gt;0,($DA19*cfg_TroyOz)/($DJ19),""),"")</f>
        <v/>
      </c>
      <c r="DW19" s="56">
        <f>IFERROR(IF(($DK19)&gt;0,($DB19*cfg_TroyOz)/($DK19),""),"")</f>
        <v/>
      </c>
      <c r="DX19" s="56">
        <f>IFERROR(IF(($DL19)&gt;0,($DC19*cfg_TroyOz)/($DL19),""),"")</f>
        <v/>
      </c>
      <c r="DY19" s="67">
        <f>IFERROR(IF(($DM19)&gt;0,($DD19)/($DM19),""),"")</f>
        <v/>
      </c>
      <c r="DZ19" s="67">
        <f>IFERROR(IF(($DN19)&gt;0,($DE19)/($DN19),""),"")</f>
        <v/>
      </c>
      <c r="EA19" s="67">
        <f>IFERROR(IF(($DO19)&gt;0,($DF19)/($DO19),""),"")</f>
        <v/>
      </c>
      <c r="EB19" s="55">
        <f>SUMIFS(tblPlant[Gravity_Gold_oz],tblPlant[Date],$A19)</f>
        <v/>
      </c>
      <c r="EC19" s="55">
        <f>IF($B19=$B18,$EC18,0)+$EB19</f>
        <v/>
      </c>
      <c r="ED19" s="55">
        <f>$ED18+$EB19</f>
        <v/>
      </c>
      <c r="EE19" s="67">
        <f>IFERROR(IF(($DD19)&gt;0,($EB19)/($DD19),""),"")</f>
        <v/>
      </c>
      <c r="EF19" s="67">
        <f>IFERROR(IF(($DE19)&gt;0,($EC19)/($DE19),""),"")</f>
        <v/>
      </c>
      <c r="EG19" s="67">
        <f>IFERROR(IF(($DF19)&gt;0,($ED19)/($DF19),""),"")</f>
        <v/>
      </c>
      <c r="EH19" s="55">
        <f>SUMIFS(tblPlant[Gold_Poured_oz],tblPlant[Date],$A19)</f>
        <v/>
      </c>
      <c r="EI19" s="55">
        <f>IF($B19=$B18,$EI18,0)+$EH19</f>
        <v/>
      </c>
      <c r="EJ19" s="55">
        <f>$EJ18+$EH19</f>
        <v/>
      </c>
      <c r="EK19" s="57">
        <f>SUMIFS(tblPlant[Mill_Run_h],tblPlant[Date],$A19)</f>
        <v/>
      </c>
      <c r="EL19" s="57">
        <f>IF($B19=$B18,$EL18,0)+$EK19</f>
        <v/>
      </c>
      <c r="EM19" s="57">
        <f>$EM18+$EK19</f>
        <v/>
      </c>
      <c r="EN19" s="57">
        <f>SUMIFS(tblPlant[Mill_Planned_Maint_h],tblPlant[Date],$A19)</f>
        <v/>
      </c>
      <c r="EO19" s="57">
        <f>IF($B19=$B18,$EO18,0)+$EN19</f>
        <v/>
      </c>
      <c r="EP19" s="57">
        <f>$EP18+$EN19</f>
        <v/>
      </c>
      <c r="EQ19" s="57">
        <f>SUMIFS(tblPlant[Mill_Unplanned_Down_h],tblPlant[Date],$A19)</f>
        <v/>
      </c>
      <c r="ER19" s="57">
        <f>IF($B19=$B18,$ER18,0)+$EQ19</f>
        <v/>
      </c>
      <c r="ES19" s="57">
        <f>$ES18+$EQ19</f>
        <v/>
      </c>
      <c r="ET19" s="57">
        <f>IF(COUNTIFS(tblPlant[Date],$A19,tblPlant[Mill_Run_h],"&lt;&gt;")+COUNTIFS(tblPlant[Date],$A19,tblPlant[Mill_Planned_Maint_h],"&lt;&gt;")+COUNTIFS(tblPlant[Date],$A19,tblPlant[Mill_Unplanned_Down_h],"&lt;&gt;")&gt;0,cfg_HoursPerDay,0)</f>
        <v/>
      </c>
      <c r="EU19" s="57">
        <f>IF($B19=$B18,$EU18,0)+$ET19</f>
        <v/>
      </c>
      <c r="EV19" s="57">
        <f>$EV18+$ET19</f>
        <v/>
      </c>
      <c r="EW19" s="57">
        <f>SUMIFS(tblPlant[Crusher_Run_h],tblPlant[Date],$A19)</f>
        <v/>
      </c>
      <c r="EX19" s="57">
        <f>IF($B19=$B18,$EX18,0)+$EW19</f>
        <v/>
      </c>
      <c r="EY19" s="57">
        <f>$EY18+$EW19</f>
        <v/>
      </c>
      <c r="EZ19" s="55">
        <f>IFERROR(IF(($EK19)&gt;0,($DP19)/($EK19),""),"")</f>
        <v/>
      </c>
      <c r="FA19" s="55">
        <f>IFERROR(IF(($EL19)&gt;0,($DQ19)/($EL19),""),"")</f>
        <v/>
      </c>
      <c r="FB19" s="55">
        <f>IFERROR(IF(($EM19)&gt;0,($DR19)/($EM19),""),"")</f>
        <v/>
      </c>
      <c r="FC19" s="67">
        <f>IFERROR(IF(($ET19)&gt;0,($ET19-$EN19-$EQ19)/($ET19),""),"")</f>
        <v/>
      </c>
      <c r="FD19" s="67">
        <f>IFERROR(IF(($EU19)&gt;0,($EU19-$EO19-$ER19)/($EU19),""),"")</f>
        <v/>
      </c>
      <c r="FE19" s="67">
        <f>IFERROR(IF(($EV19)&gt;0,($EV19-$EP19-$ES19)/($EV19),""),"")</f>
        <v/>
      </c>
      <c r="FF19" s="67">
        <f>IFERROR(IF(($ET19-$EN19-$EQ19)&gt;0,($EK19)/($ET19-$EN19-$EQ19),""),"")</f>
        <v/>
      </c>
      <c r="FG19" s="67">
        <f>IFERROR(IF(($EU19-$EO19-$ER19)&gt;0,($EL19)/($EU19-$EO19-$ER19),""),"")</f>
        <v/>
      </c>
      <c r="FH19" s="67">
        <f>IFERROR(IF(($EV19-$EP19-$ES19)&gt;0,($EM19)/($EV19-$EP19-$ES19),""),"")</f>
        <v/>
      </c>
      <c r="FI19" s="55">
        <f>SUMIFS(tblPlant[Cyanide_kg],tblPlant[Date],$A19)</f>
        <v/>
      </c>
      <c r="FJ19" s="55">
        <f>IF($B19=$B18,$FJ18,0)+$FI19</f>
        <v/>
      </c>
      <c r="FK19" s="55">
        <f>$FK18+$FI19</f>
        <v/>
      </c>
      <c r="FL19" s="55">
        <f>SUMIFS(tblPlant[Lime_kg],tblPlant[Date],$A19)</f>
        <v/>
      </c>
      <c r="FM19" s="55">
        <f>IF($B19=$B18,$FM18,0)+$FL19</f>
        <v/>
      </c>
      <c r="FN19" s="55">
        <f>$FN18+$FL19</f>
        <v/>
      </c>
      <c r="FO19" s="55">
        <f>SUMIFS(tblPlant[Grinding_Media_kg],tblPlant[Date],$A19)</f>
        <v/>
      </c>
      <c r="FP19" s="55">
        <f>IF($B19=$B18,$FP18,0)+$FO19</f>
        <v/>
      </c>
      <c r="FQ19" s="55">
        <f>$FQ18+$FO19</f>
        <v/>
      </c>
      <c r="FR19" s="55">
        <f>SUMIFS(tblPlant[Power_kWh],tblPlant[Date],$A19)</f>
        <v/>
      </c>
      <c r="FS19" s="55">
        <f>IF($B19=$B18,$FS18,0)+$FR19</f>
        <v/>
      </c>
      <c r="FT19" s="55">
        <f>$FT18+$FR19</f>
        <v/>
      </c>
      <c r="FU19" s="55">
        <f>SUMIFS(tblPlant[Raw_Water_m3],tblPlant[Date],$A19)</f>
        <v/>
      </c>
      <c r="FV19" s="55">
        <f>IF($B19=$B18,$FV18,0)+$FU19</f>
        <v/>
      </c>
      <c r="FW19" s="55">
        <f>$FW18+$FU19</f>
        <v/>
      </c>
      <c r="FX19" s="56">
        <f>IFERROR(IF(($CU19)&gt;0,($FI19)/($CU19),""),"")</f>
        <v/>
      </c>
      <c r="FY19" s="56">
        <f>IFERROR(IF(($CV19)&gt;0,($FJ19)/($CV19),""),"")</f>
        <v/>
      </c>
      <c r="FZ19" s="56">
        <f>IFERROR(IF(($CW19)&gt;0,($FK19)/($CW19),""),"")</f>
        <v/>
      </c>
      <c r="GA19" s="56">
        <f>IFERROR(IF(($CU19)&gt;0,($FL19)/($CU19),""),"")</f>
        <v/>
      </c>
      <c r="GB19" s="56">
        <f>IFERROR(IF(($CV19)&gt;0,($FM19)/($CV19),""),"")</f>
        <v/>
      </c>
      <c r="GC19" s="56">
        <f>IFERROR(IF(($CW19)&gt;0,($FN19)/($CW19),""),"")</f>
        <v/>
      </c>
      <c r="GD19" s="56">
        <f>IFERROR(IF(($CU19)&gt;0,($FO19)/($CU19),""),"")</f>
        <v/>
      </c>
      <c r="GE19" s="56">
        <f>IFERROR(IF(($CV19)&gt;0,($FP19)/($CV19),""),"")</f>
        <v/>
      </c>
      <c r="GF19" s="56">
        <f>IFERROR(IF(($CW19)&gt;0,($FQ19)/($CW19),""),"")</f>
        <v/>
      </c>
      <c r="GG19" s="79">
        <f>IFERROR(IF(($CU19)&gt;0,($FR19)/($CU19),""),"")</f>
        <v/>
      </c>
      <c r="GH19" s="79">
        <f>IFERROR(IF(($CV19)&gt;0,($FS19)/($CV19),""),"")</f>
        <v/>
      </c>
      <c r="GI19" s="79">
        <f>IFERROR(IF(($CW19)&gt;0,($FT19)/($CW19),""),"")</f>
        <v/>
      </c>
      <c r="GJ19" s="56">
        <f>IFERROR(IF(($CU19)&gt;0,($FU19)/($CU19),""),"")</f>
        <v/>
      </c>
      <c r="GK19" s="56">
        <f>IFERROR(IF(($CV19)&gt;0,($FV19)/($CV19),""),"")</f>
        <v/>
      </c>
      <c r="GL19" s="56">
        <f>IFERROR(IF(($CW19)&gt;0,($FW19)/($CW19),""),"")</f>
        <v/>
      </c>
      <c r="GM19" s="55">
        <f>IF(SUMIFS(tblPlant[GIC_oz],tblPlant[Date],$A19)&gt;0,SUMIFS(tblPlant[GIC_oz],tblPlant[Date],$A19),"")</f>
        <v/>
      </c>
      <c r="GN19" s="55">
        <f>SUMIFS(tblGold[Gold_oz],tblGold[Date],$A19,tblGold[Type],"Shipment")</f>
        <v/>
      </c>
      <c r="GO19" s="55">
        <f>IF($B19=$B18,$GO18,0)+$GN19</f>
        <v/>
      </c>
      <c r="GP19" s="55">
        <f>$GP18+$GN19</f>
        <v/>
      </c>
      <c r="GQ19" s="55">
        <f>SUMIFS(tblGold[Gold_oz],tblGold[Date],$A19,tblGold[Type],"Sale")</f>
        <v/>
      </c>
      <c r="GR19" s="55">
        <f>IF($B19=$B18,$GR18,0)+$GQ19</f>
        <v/>
      </c>
      <c r="GS19" s="55">
        <f>$GS18+$GQ19</f>
        <v/>
      </c>
      <c r="GT19" s="55">
        <f>SUMIFS(tblGold[Dore_kg],tblGold[Date],$A19,tblGold[Type],"Shipment")</f>
        <v/>
      </c>
      <c r="GU19" s="55">
        <f>IF($B19=$B18,$GU18,0)+$GT19</f>
        <v/>
      </c>
      <c r="GV19" s="55">
        <f>$GV18+$GT19</f>
        <v/>
      </c>
      <c r="GW19" s="57">
        <f>SUMIFS(tblSafety[Hours_Total],tblSafety[Date],$A19)</f>
        <v/>
      </c>
      <c r="GX19" s="57">
        <f>IF($B19=$B18,$GX18,0)+$GW19</f>
        <v/>
      </c>
      <c r="GY19" s="57">
        <f>$GY18+$GW19</f>
        <v/>
      </c>
      <c r="GZ19" s="62">
        <f>SUMIFS(tblSafety[Fatality],tblSafety[Date],$A19)</f>
        <v/>
      </c>
      <c r="HA19" s="62">
        <f>IF($B19=$B18,$HA18,0)+$GZ19</f>
        <v/>
      </c>
      <c r="HB19" s="62">
        <f>$HB18+$GZ19</f>
        <v/>
      </c>
      <c r="HC19" s="62">
        <f>SUMIFS(tblSafety[LTI],tblSafety[Date],$A19)</f>
        <v/>
      </c>
      <c r="HD19" s="62">
        <f>IF($B19=$B18,$HD18,0)+$HC19</f>
        <v/>
      </c>
      <c r="HE19" s="62">
        <f>$HE18+$HC19</f>
        <v/>
      </c>
      <c r="HF19" s="62">
        <f>SUMIFS(tblSafety[RWI],tblSafety[Date],$A19)</f>
        <v/>
      </c>
      <c r="HG19" s="62">
        <f>IF($B19=$B18,$HG18,0)+$HF19</f>
        <v/>
      </c>
      <c r="HH19" s="62">
        <f>$HH18+$HF19</f>
        <v/>
      </c>
      <c r="HI19" s="62">
        <f>SUMIFS(tblSafety[MTI],tblSafety[Date],$A19)</f>
        <v/>
      </c>
      <c r="HJ19" s="62">
        <f>IF($B19=$B18,$HJ18,0)+$HI19</f>
        <v/>
      </c>
      <c r="HK19" s="62">
        <f>$HK18+$HI19</f>
        <v/>
      </c>
      <c r="HL19" s="62">
        <f>SUMIFS(tblSafety[FAI],tblSafety[Date],$A19)</f>
        <v/>
      </c>
      <c r="HM19" s="62">
        <f>IF($B19=$B18,$HM18,0)+$HL19</f>
        <v/>
      </c>
      <c r="HN19" s="62">
        <f>$HN18+$HL19</f>
        <v/>
      </c>
      <c r="HO19" s="62">
        <f>SUMIFS(tblSafety[Recordables],tblSafety[Date],$A19)</f>
        <v/>
      </c>
      <c r="HP19" s="62">
        <f>IF($B19=$B18,$HP18,0)+$HO19</f>
        <v/>
      </c>
      <c r="HQ19" s="62">
        <f>$HQ18+$HO19</f>
        <v/>
      </c>
      <c r="HR19" s="62">
        <f>SUMIFS(tblSafety[Near_Miss],tblSafety[Date],$A19)</f>
        <v/>
      </c>
      <c r="HS19" s="62">
        <f>IF($B19=$B18,$HS18,0)+$HR19</f>
        <v/>
      </c>
      <c r="HT19" s="62">
        <f>$HT18+$HR19</f>
        <v/>
      </c>
      <c r="HU19" s="62">
        <f>SUMIFS(tblSafety[Hazard_Reports],tblSafety[Date],$A19)</f>
        <v/>
      </c>
      <c r="HV19" s="62">
        <f>IF($B19=$B18,$HV18,0)+$HU19</f>
        <v/>
      </c>
      <c r="HW19" s="62">
        <f>$HW18+$HU19</f>
        <v/>
      </c>
      <c r="HX19" s="62">
        <f>SUMIFS(tblSafety[HPI],tblSafety[Date],$A19)</f>
        <v/>
      </c>
      <c r="HY19" s="62">
        <f>IF($B19=$B18,$HY18,0)+$HX19</f>
        <v/>
      </c>
      <c r="HZ19" s="62">
        <f>$HZ18+$HX19</f>
        <v/>
      </c>
      <c r="IA19" s="62">
        <f>SUMIFS(tblSafety[Env_Incidents],tblSafety[Date],$A19)</f>
        <v/>
      </c>
      <c r="IB19" s="62">
        <f>IF($B19=$B18,$IB18,0)+$IA19</f>
        <v/>
      </c>
      <c r="IC19" s="62">
        <f>$IC18+$IA19</f>
        <v/>
      </c>
      <c r="ID19" s="62">
        <f>SUMIFS(tblSafety[Community_Incidents],tblSafety[Date],$A19)</f>
        <v/>
      </c>
      <c r="IE19" s="62">
        <f>IF($B19=$B18,$IE18,0)+$ID19</f>
        <v/>
      </c>
      <c r="IF19" s="62">
        <f>$IF18+$ID19</f>
        <v/>
      </c>
      <c r="IG19" s="62">
        <f>SUMIFS(tblSafety[Vehicle_Incidents],tblSafety[Date],$A19)</f>
        <v/>
      </c>
      <c r="IH19" s="62">
        <f>IF($B19=$B18,$IH18,0)+$IG19</f>
        <v/>
      </c>
      <c r="II19" s="62">
        <f>$II18+$IG19</f>
        <v/>
      </c>
      <c r="IJ19" s="62">
        <f>SUMIFS(tblSafety[Toolbox_Talks],tblSafety[Date],$A19)</f>
        <v/>
      </c>
      <c r="IK19" s="62">
        <f>IF($B19=$B18,$IK18,0)+$IJ19</f>
        <v/>
      </c>
      <c r="IL19" s="62">
        <f>$IL18+$IJ19</f>
        <v/>
      </c>
      <c r="IM19" s="62">
        <f>SUMIFS(tblSafety[Inspections],tblSafety[Date],$A19)</f>
        <v/>
      </c>
      <c r="IN19" s="62">
        <f>IF($B19=$B18,$IN18,0)+$IM19</f>
        <v/>
      </c>
      <c r="IO19" s="62">
        <f>$IO18+$IM19</f>
        <v/>
      </c>
      <c r="IP19" s="56">
        <f>IFERROR((SUMIFS(tblSafety[Recordables],tblSafety[Date],"&gt;="&amp;EDATE($E19,-12),tblSafety[Date],"&lt;="&amp;$A19)+SUMIFS(tblSafetyHistory[Recordables],tblSafetyHistory[Month],"&gt;="&amp;EDATE($E19,-12),tblSafetyHistory[Month],"&lt;"&amp;$E19,tblSafetyHistory[Use],1))/(SUMIFS(tblSafety[Hours_Total],tblSafety[Date],"&gt;="&amp;EDATE($E19,-12),tblSafety[Date],"&lt;="&amp;$A19)+SUMIFS(tblSafetyHistory[Hours_Total],tblSafetyHistory[Month],"&gt;="&amp;EDATE($E19,-12),tblSafetyHistory[Month],"&lt;"&amp;$E19,tblSafetyHistory[Use],1))*cfg_RateBasisHours,"")</f>
        <v/>
      </c>
      <c r="IQ19" s="56">
        <f>IFERROR((SUMIFS(tblSafety[LTI],tblSafety[Date],"&gt;="&amp;EDATE($E19,-12),tblSafety[Date],"&lt;="&amp;$A19)+SUMIFS(tblSafetyHistory[LTI],tblSafetyHistory[Month],"&gt;="&amp;EDATE($E19,-12),tblSafetyHistory[Month],"&lt;"&amp;$E19,tblSafetyHistory[Use],1))/(SUMIFS(tblSafety[Hours_Total],tblSafety[Date],"&gt;="&amp;EDATE($E19,-12),tblSafety[Date],"&lt;="&amp;$A19)+SUMIFS(tblSafetyHistory[Hours_Total],tblSafetyHistory[Month],"&gt;="&amp;EDATE($E19,-12),tblSafetyHistory[Month],"&lt;"&amp;$E19,tblSafetyHistory[Use],1))*cfg_RateBasisHours,"")</f>
        <v/>
      </c>
      <c r="IR19" s="62">
        <f>IF(MAX(N(cfg_PriorLTIDate),_xlfn.MAXIFS(tblSafety[Date],tblSafety[LTI],"&gt;0",tblSafety[Date],"&lt;="&amp;$A19))=0,"",$A19-MAX(N(cfg_PriorLTIDate),_xlfn.MAXIFS(tblSafety[Date],tblSafety[LTI],"&gt;0",tblSafety[Date],"&lt;="&amp;$A19)))</f>
        <v/>
      </c>
      <c r="IS19" s="55">
        <f>SUMIFS(tblBudget[Ore_Mined_t],tblBudget[Month],$E19)</f>
        <v/>
      </c>
      <c r="IT19" s="55">
        <f>$IS19*$C19/$D19</f>
        <v/>
      </c>
      <c r="IU19" s="55">
        <f>SUMIFS(tblBudget[Ore_Mined_t],tblBudget[Month],"&lt;"&amp;$E19)+$IT19</f>
        <v/>
      </c>
      <c r="IV19" s="55">
        <f>SUMIFS(tblBudget[Ore_oz],tblBudget[Month],$E19)</f>
        <v/>
      </c>
      <c r="IW19" s="55">
        <f>$IV19*$C19/$D19</f>
        <v/>
      </c>
      <c r="IX19" s="55">
        <f>SUMIFS(tblBudget[Ore_oz],tblBudget[Month],"&lt;"&amp;$E19)+$IW19</f>
        <v/>
      </c>
      <c r="IY19" s="55">
        <f>SUMIFS(tblBudget[Ore_Mined_t],tblBudget[Month],$E19)</f>
        <v/>
      </c>
      <c r="IZ19" s="55">
        <f>$IY19*$C19/$D19</f>
        <v/>
      </c>
      <c r="JA19" s="55">
        <f>SUMIFS(tblBudget[Ore_Mined_t],tblBudget[Month],"&lt;"&amp;$E19)+$IZ19</f>
        <v/>
      </c>
      <c r="JB19" s="56">
        <f>IFERROR(IF(($IY19)&gt;0,($IV19*cfg_TroyOz)/($IY19),""),"")</f>
        <v/>
      </c>
      <c r="JC19" s="56">
        <f>IFERROR(IF(($IZ19)&gt;0,($IW19*cfg_TroyOz)/($IZ19),""),"")</f>
        <v/>
      </c>
      <c r="JD19" s="56">
        <f>IFERROR(IF(($JA19)&gt;0,($IX19*cfg_TroyOz)/($JA19),""),"")</f>
        <v/>
      </c>
      <c r="JE19" s="55">
        <f>SUMIFS(tblBudget[Waste_t],tblBudget[Month],$E19)</f>
        <v/>
      </c>
      <c r="JF19" s="55">
        <f>$JE19*$C19/$D19</f>
        <v/>
      </c>
      <c r="JG19" s="55">
        <f>SUMIFS(tblBudget[Waste_t],tblBudget[Month],"&lt;"&amp;$E19)+$JF19</f>
        <v/>
      </c>
      <c r="JH19" s="55">
        <f>SUMIFS(tblBudget[TMM_t],tblBudget[Month],$E19)</f>
        <v/>
      </c>
      <c r="JI19" s="55">
        <f>$JH19*$C19/$D19</f>
        <v/>
      </c>
      <c r="JJ19" s="55">
        <f>SUMIFS(tblBudget[TMM_t],tblBudget[Month],"&lt;"&amp;$E19)+$JI19</f>
        <v/>
      </c>
      <c r="JK19" s="56">
        <f>IFERROR(IF(($IS19)&gt;0,($JE19)/($IS19),""),"")</f>
        <v/>
      </c>
      <c r="JL19" s="56">
        <f>IFERROR(IF(($IT19)&gt;0,($JF19)/($IT19),""),"")</f>
        <v/>
      </c>
      <c r="JM19" s="56">
        <f>IFERROR(IF(($IU19)&gt;0,($JG19)/($IU19),""),"")</f>
        <v/>
      </c>
      <c r="JN19" s="55">
        <f>SUMIFS(tblBudget[Drill_m],tblBudget[Month],$E19)</f>
        <v/>
      </c>
      <c r="JO19" s="55">
        <f>$JN19*$C19/$D19</f>
        <v/>
      </c>
      <c r="JP19" s="55">
        <f>SUMIFS(tblBudget[Drill_m],tblBudget[Month],"&lt;"&amp;$E19)+$JO19</f>
        <v/>
      </c>
      <c r="JQ19" s="55">
        <f>SUMIFS(tblBudget[Diesel_L],tblBudget[Month],$E19)</f>
        <v/>
      </c>
      <c r="JR19" s="55">
        <f>$JQ19*$C19/$D19</f>
        <v/>
      </c>
      <c r="JS19" s="55">
        <f>SUMIFS(tblBudget[Diesel_L],tblBudget[Month],"&lt;"&amp;$E19)+$JR19</f>
        <v/>
      </c>
      <c r="JT19" s="55">
        <f>SUMIFS(tblBudget[Milled_t],tblBudget[Month],$E19)</f>
        <v/>
      </c>
      <c r="JU19" s="55">
        <f>$JT19*$C19/$D19</f>
        <v/>
      </c>
      <c r="JV19" s="55">
        <f>SUMIFS(tblBudget[Milled_t],tblBudget[Month],"&lt;"&amp;$E19)+$JU19</f>
        <v/>
      </c>
      <c r="JW19" s="55">
        <f>SUMIFS(tblBudget[Feed_oz],tblBudget[Month],$E19)</f>
        <v/>
      </c>
      <c r="JX19" s="55">
        <f>$JW19*$C19/$D19</f>
        <v/>
      </c>
      <c r="JY19" s="55">
        <f>SUMIFS(tblBudget[Feed_oz],tblBudget[Month],"&lt;"&amp;$E19)+$JX19</f>
        <v/>
      </c>
      <c r="JZ19" s="55">
        <f>SUMIFS(tblBudget[Recovered_oz],tblBudget[Month],$E19)</f>
        <v/>
      </c>
      <c r="KA19" s="55">
        <f>$JZ19*$C19/$D19</f>
        <v/>
      </c>
      <c r="KB19" s="55">
        <f>SUMIFS(tblBudget[Recovered_oz],tblBudget[Month],"&lt;"&amp;$E19)+$KA19</f>
        <v/>
      </c>
      <c r="KC19" s="55">
        <f>SUMIFS(tblBudget[Milled_t],tblBudget[Month],$E19)</f>
        <v/>
      </c>
      <c r="KD19" s="55">
        <f>$KC19*$C19/$D19</f>
        <v/>
      </c>
      <c r="KE19" s="55">
        <f>SUMIFS(tblBudget[Milled_t],tblBudget[Month],"&lt;"&amp;$E19)+$KD19</f>
        <v/>
      </c>
      <c r="KF19" s="55">
        <f>SUMIFS(tblBudget[Feed_oz],tblBudget[Month],$E19)</f>
        <v/>
      </c>
      <c r="KG19" s="55">
        <f>$KF19*$C19/$D19</f>
        <v/>
      </c>
      <c r="KH19" s="55">
        <f>SUMIFS(tblBudget[Feed_oz],tblBudget[Month],"&lt;"&amp;$E19)+$KG19</f>
        <v/>
      </c>
      <c r="KI19" s="56">
        <f>IFERROR(IF(($KC19)&gt;0,($JW19*cfg_TroyOz)/($KC19),""),"")</f>
        <v/>
      </c>
      <c r="KJ19" s="56">
        <f>IFERROR(IF(($KD19)&gt;0,($JX19*cfg_TroyOz)/($KD19),""),"")</f>
        <v/>
      </c>
      <c r="KK19" s="56">
        <f>IFERROR(IF(($KE19)&gt;0,($JY19*cfg_TroyOz)/($KE19),""),"")</f>
        <v/>
      </c>
      <c r="KL19" s="67">
        <f>IFERROR(IF(($KF19)&gt;0,($JZ19)/($KF19),""),"")</f>
        <v/>
      </c>
      <c r="KM19" s="67">
        <f>IFERROR(IF(($KG19)&gt;0,($KA19)/($KG19),""),"")</f>
        <v/>
      </c>
      <c r="KN19" s="67">
        <f>IFERROR(IF(($KH19)&gt;0,($KB19)/($KH19),""),"")</f>
        <v/>
      </c>
      <c r="KO19" s="55">
        <f>SUMIFS(tblBudget[Gold_Poured_oz],tblBudget[Month],$E19)</f>
        <v/>
      </c>
      <c r="KP19" s="55">
        <f>$KO19*$C19/$D19</f>
        <v/>
      </c>
      <c r="KQ19" s="55">
        <f>SUMIFS(tblBudget[Gold_Poured_oz],tblBudget[Month],"&lt;"&amp;$E19)+$KP19</f>
        <v/>
      </c>
      <c r="KR19" s="57">
        <f>SUMIFS(tblBudget[Hours_Worked],tblBudget[Month],$E19)</f>
        <v/>
      </c>
      <c r="KS19" s="57">
        <f>$KR19*$C19/$D19</f>
        <v/>
      </c>
      <c r="KT19" s="57">
        <f>SUMIFS(tblBudget[Hours_Worked],tblBudget[Month],"&lt;"&amp;$E19)+$KS19</f>
        <v/>
      </c>
    </row>
    <row r="20">
      <c r="A20" s="54" t="n">
        <v>46041</v>
      </c>
      <c r="B20">
        <f>MONTH($A20)</f>
        <v/>
      </c>
      <c r="C20">
        <f>DAY($A20)</f>
        <v/>
      </c>
      <c r="D20">
        <f>DAY(EOMONTH($A20,0))</f>
        <v/>
      </c>
      <c r="E20" s="54">
        <f>DATE(YEAR($A20),MONTH($A20),1)</f>
        <v/>
      </c>
      <c r="F20" s="55">
        <f>SUMIFS(tblMovement[Tonnes_t],tblMovement[Date],$A20,tblMovement[Is_Ore],1,tblMovement[Source_Type],"Pit")</f>
        <v/>
      </c>
      <c r="G20" s="55">
        <f>IF($B20=$B19,$G19,0)+$F20</f>
        <v/>
      </c>
      <c r="H20" s="55">
        <f>$H19+$F20</f>
        <v/>
      </c>
      <c r="I20" s="55">
        <f>SUMIFS(tblMovement[Ore_oz],tblMovement[Date],$A20,tblMovement[Source_Type],"Pit")</f>
        <v/>
      </c>
      <c r="J20" s="55">
        <f>IF($B20=$B19,$J19,0)+$I20</f>
        <v/>
      </c>
      <c r="K20" s="55">
        <f>$K19+$I20</f>
        <v/>
      </c>
      <c r="L20" s="55">
        <f>SUMIFS(tblMovement[Tonnes_t],tblMovement[Date],$A20,tblMovement[Is_Ore],1,tblMovement[Source_Type],"Pit",tblMovement[Grade_gpt],"&lt;&gt;")</f>
        <v/>
      </c>
      <c r="M20" s="55">
        <f>IF($B20=$B19,$M19,0)+$L20</f>
        <v/>
      </c>
      <c r="N20" s="55">
        <f>$N19+$L20</f>
        <v/>
      </c>
      <c r="O20" s="56">
        <f>IFERROR(IF(($L20)&gt;0,($I20*cfg_TroyOz)/($L20),""),"")</f>
        <v/>
      </c>
      <c r="P20" s="56">
        <f>IFERROR(IF(($M20)&gt;0,($J20*cfg_TroyOz)/($M20),""),"")</f>
        <v/>
      </c>
      <c r="Q20" s="56">
        <f>IFERROR(IF(($N20)&gt;0,($K20*cfg_TroyOz)/($N20),""),"")</f>
        <v/>
      </c>
      <c r="R20" s="55">
        <f>$F20-$L20</f>
        <v/>
      </c>
      <c r="S20" s="55">
        <f>IF($B20=$B19,$S19,0)+$R20</f>
        <v/>
      </c>
      <c r="T20" s="55">
        <f>$T19+$R20</f>
        <v/>
      </c>
      <c r="U20" s="55">
        <f>SUMIFS(tblMovement[Tonnes_t],tblMovement[Date],$A20,tblMovement[Is_Ore],0,tblMovement[Source_Type],"Pit")</f>
        <v/>
      </c>
      <c r="V20" s="55">
        <f>IF($B20=$B19,$V19,0)+$U20</f>
        <v/>
      </c>
      <c r="W20" s="55">
        <f>$W19+$U20</f>
        <v/>
      </c>
      <c r="X20" s="55">
        <f>$F20+$U20</f>
        <v/>
      </c>
      <c r="Y20" s="55">
        <f>IF($B20=$B19,$Y19,0)+$X20</f>
        <v/>
      </c>
      <c r="Z20" s="55">
        <f>$Z19+$X20</f>
        <v/>
      </c>
      <c r="AA20" s="56">
        <f>IFERROR(IF(($F20)&gt;0,($U20)/($F20),""),"")</f>
        <v/>
      </c>
      <c r="AB20" s="56">
        <f>IFERROR(IF(($G20)&gt;0,($V20)/($G20),""),"")</f>
        <v/>
      </c>
      <c r="AC20" s="56">
        <f>IFERROR(IF(($H20)&gt;0,($W20)/($H20),""),"")</f>
        <v/>
      </c>
      <c r="AD20" s="55">
        <f>SUMIFS(tblMovement[Tonnes_t],tblMovement[Date],$A20,tblMovement[Source_Type],"Stockpile")</f>
        <v/>
      </c>
      <c r="AE20" s="55">
        <f>IF($B20=$B19,$AE19,0)+$AD20</f>
        <v/>
      </c>
      <c r="AF20" s="55">
        <f>$AF19+$AD20</f>
        <v/>
      </c>
      <c r="AG20" s="55">
        <f>SUMIFS(tblMovement[Tonnes_t],tblMovement[Date],$A20)</f>
        <v/>
      </c>
      <c r="AH20" s="55">
        <f>IF($B20=$B19,$AH19,0)+$AG20</f>
        <v/>
      </c>
      <c r="AI20" s="55">
        <f>$AI19+$AG20</f>
        <v/>
      </c>
      <c r="AJ20" s="55">
        <f>$AG20-$X20-$AD20</f>
        <v/>
      </c>
      <c r="AK20" s="55">
        <f>IF($B20=$B19,$AK19,0)+$AJ20</f>
        <v/>
      </c>
      <c r="AL20" s="55">
        <f>$AL19+$AJ20</f>
        <v/>
      </c>
      <c r="AM20" s="55">
        <f>SUMIFS(tblMiningDaily[Drill_m],tblMiningDaily[Date],$A20)</f>
        <v/>
      </c>
      <c r="AN20" s="55">
        <f>IF($B20=$B19,$AN19,0)+$AM20</f>
        <v/>
      </c>
      <c r="AO20" s="55">
        <f>$AO19+$AM20</f>
        <v/>
      </c>
      <c r="AP20" s="55">
        <f>SUMIFS(tblMiningDaily[GC_Drill_m],tblMiningDaily[Date],$A20)</f>
        <v/>
      </c>
      <c r="AQ20" s="55">
        <f>IF($B20=$B19,$AQ19,0)+$AP20</f>
        <v/>
      </c>
      <c r="AR20" s="55">
        <f>$AR19+$AP20</f>
        <v/>
      </c>
      <c r="AS20" s="55">
        <f>SUMIFS(tblMiningDaily[Blast_t],tblMiningDaily[Date],$A20)</f>
        <v/>
      </c>
      <c r="AT20" s="55">
        <f>IF($B20=$B19,$AT19,0)+$AS20</f>
        <v/>
      </c>
      <c r="AU20" s="55">
        <f>$AU19+$AS20</f>
        <v/>
      </c>
      <c r="AV20" s="55">
        <f>SUMIFS(tblMiningDaily[Explosives_kg],tblMiningDaily[Date],$A20)</f>
        <v/>
      </c>
      <c r="AW20" s="55">
        <f>IF($B20=$B19,$AW19,0)+$AV20</f>
        <v/>
      </c>
      <c r="AX20" s="55">
        <f>$AX19+$AV20</f>
        <v/>
      </c>
      <c r="AY20" s="56">
        <f>IFERROR(IF(($AS20)&gt;0,($AV20)/($AS20),""),"")</f>
        <v/>
      </c>
      <c r="AZ20" s="56">
        <f>IFERROR(IF(($AT20)&gt;0,($AW20)/($AT20),""),"")</f>
        <v/>
      </c>
      <c r="BA20" s="56">
        <f>IFERROR(IF(($AU20)&gt;0,($AX20)/($AU20),""),"")</f>
        <v/>
      </c>
      <c r="BB20" s="55">
        <f>SUMIFS(tblMiningDaily[Diesel_L],tblMiningDaily[Date],$A20)</f>
        <v/>
      </c>
      <c r="BC20" s="55">
        <f>IF($B20=$B19,$BC19,0)+$BB20</f>
        <v/>
      </c>
      <c r="BD20" s="55">
        <f>$BD19+$BB20</f>
        <v/>
      </c>
      <c r="BE20" s="55">
        <f>SUMIFS(tblMiningDaily[Dewatering_m3],tblMiningDaily[Date],$A20)</f>
        <v/>
      </c>
      <c r="BF20" s="55">
        <f>IF($B20=$B19,$BF19,0)+$BE20</f>
        <v/>
      </c>
      <c r="BG20" s="55">
        <f>$BG19+$BE20</f>
        <v/>
      </c>
      <c r="BH20" s="57">
        <f>SUMIFS(tblFleet[Calendar_h],tblFleet[Date],$A20,tblFleet[Equipment_Class],"Excavator")</f>
        <v/>
      </c>
      <c r="BI20" s="57">
        <f>IF($B20=$B19,$BI19,0)+$BH20</f>
        <v/>
      </c>
      <c r="BJ20" s="57">
        <f>$BJ19+$BH20</f>
        <v/>
      </c>
      <c r="BK20" s="57">
        <f>SUMIFS(tblFleet[Available_h],tblFleet[Date],$A20,tblFleet[Equipment_Class],"Excavator")</f>
        <v/>
      </c>
      <c r="BL20" s="57">
        <f>IF($B20=$B19,$BL19,0)+$BK20</f>
        <v/>
      </c>
      <c r="BM20" s="57">
        <f>$BM19+$BK20</f>
        <v/>
      </c>
      <c r="BN20" s="57">
        <f>SUMIFS(tblFleet[Operating_h],tblFleet[Date],$A20,tblFleet[Equipment_Class],"Excavator")</f>
        <v/>
      </c>
      <c r="BO20" s="57">
        <f>IF($B20=$B19,$BO19,0)+$BN20</f>
        <v/>
      </c>
      <c r="BP20" s="57">
        <f>$BP19+$BN20</f>
        <v/>
      </c>
      <c r="BQ20" s="67">
        <f>IFERROR(IF(($BH20)&gt;0,($BK20)/($BH20),""),"")</f>
        <v/>
      </c>
      <c r="BR20" s="67">
        <f>IFERROR(IF(($BI20)&gt;0,($BL20)/($BI20),""),"")</f>
        <v/>
      </c>
      <c r="BS20" s="67">
        <f>IFERROR(IF(($BJ20)&gt;0,($BM20)/($BJ20),""),"")</f>
        <v/>
      </c>
      <c r="BT20" s="67">
        <f>IFERROR(IF(($BK20)&gt;0,($BN20)/($BK20),""),"")</f>
        <v/>
      </c>
      <c r="BU20" s="67">
        <f>IFERROR(IF(($BL20)&gt;0,($BO20)/($BL20),""),"")</f>
        <v/>
      </c>
      <c r="BV20" s="67">
        <f>IFERROR(IF(($BM20)&gt;0,($BP20)/($BM20),""),"")</f>
        <v/>
      </c>
      <c r="BW20" s="57">
        <f>SUMIFS(tblFleet[Calendar_h],tblFleet[Date],$A20,tblFleet[Equipment_Class],"Haul Truck")</f>
        <v/>
      </c>
      <c r="BX20" s="57">
        <f>IF($B20=$B19,$BX19,0)+$BW20</f>
        <v/>
      </c>
      <c r="BY20" s="57">
        <f>$BY19+$BW20</f>
        <v/>
      </c>
      <c r="BZ20" s="57">
        <f>SUMIFS(tblFleet[Available_h],tblFleet[Date],$A20,tblFleet[Equipment_Class],"Haul Truck")</f>
        <v/>
      </c>
      <c r="CA20" s="57">
        <f>IF($B20=$B19,$CA19,0)+$BZ20</f>
        <v/>
      </c>
      <c r="CB20" s="57">
        <f>$CB19+$BZ20</f>
        <v/>
      </c>
      <c r="CC20" s="57">
        <f>SUMIFS(tblFleet[Operating_h],tblFleet[Date],$A20,tblFleet[Equipment_Class],"Haul Truck")</f>
        <v/>
      </c>
      <c r="CD20" s="57">
        <f>IF($B20=$B19,$CD19,0)+$CC20</f>
        <v/>
      </c>
      <c r="CE20" s="57">
        <f>$CE19+$CC20</f>
        <v/>
      </c>
      <c r="CF20" s="67">
        <f>IFERROR(IF(($BW20)&gt;0,($BZ20)/($BW20),""),"")</f>
        <v/>
      </c>
      <c r="CG20" s="67">
        <f>IFERROR(IF(($BX20)&gt;0,($CA20)/($BX20),""),"")</f>
        <v/>
      </c>
      <c r="CH20" s="67">
        <f>IFERROR(IF(($BY20)&gt;0,($CB20)/($BY20),""),"")</f>
        <v/>
      </c>
      <c r="CI20" s="67">
        <f>IFERROR(IF(($BZ20)&gt;0,($CC20)/($BZ20),""),"")</f>
        <v/>
      </c>
      <c r="CJ20" s="67">
        <f>IFERROR(IF(($CA20)&gt;0,($CD20)/($CA20),""),"")</f>
        <v/>
      </c>
      <c r="CK20" s="67">
        <f>IFERROR(IF(($CB20)&gt;0,($CE20)/($CB20),""),"")</f>
        <v/>
      </c>
      <c r="CL20" s="55">
        <f>IFERROR(IF(($BN20)&gt;0,($X20+$AD20)/($BN20),""),"")</f>
        <v/>
      </c>
      <c r="CM20" s="55">
        <f>IFERROR(IF(($BO20)&gt;0,($Y20+$AE20)/($BO20),""),"")</f>
        <v/>
      </c>
      <c r="CN20" s="55">
        <f>IFERROR(IF(($BP20)&gt;0,($Z20+$AF20)/($BP20),""),"")</f>
        <v/>
      </c>
      <c r="CO20" s="55">
        <f>IFERROR(IF(($CC20)&gt;0,($X20+$AD20)/($CC20),""),"")</f>
        <v/>
      </c>
      <c r="CP20" s="55">
        <f>IFERROR(IF(($CD20)&gt;0,($Y20+$AE20)/($CD20),""),"")</f>
        <v/>
      </c>
      <c r="CQ20" s="55">
        <f>IFERROR(IF(($CE20)&gt;0,($Z20+$AF20)/($CE20),""),"")</f>
        <v/>
      </c>
      <c r="CR20" s="55">
        <f>SUMIFS(tblPlant[Crushed_t],tblPlant[Date],$A20)</f>
        <v/>
      </c>
      <c r="CS20" s="55">
        <f>IF($B20=$B19,$CS19,0)+$CR20</f>
        <v/>
      </c>
      <c r="CT20" s="55">
        <f>$CT19+$CR20</f>
        <v/>
      </c>
      <c r="CU20" s="55">
        <f>SUMIFS(tblPlant[Milled_t],tblPlant[Date],$A20)</f>
        <v/>
      </c>
      <c r="CV20" s="55">
        <f>IF($B20=$B19,$CV19,0)+$CU20</f>
        <v/>
      </c>
      <c r="CW20" s="55">
        <f>$CW19+$CU20</f>
        <v/>
      </c>
      <c r="CX20" s="55">
        <f>SUMIFS(tblPlant[Feed_oz],tblPlant[Date],$A20)</f>
        <v/>
      </c>
      <c r="CY20" s="55">
        <f>IF($B20=$B19,$CY19,0)+$CX20</f>
        <v/>
      </c>
      <c r="CZ20" s="55">
        <f>$CZ19+$CX20</f>
        <v/>
      </c>
      <c r="DA20" s="55">
        <f>SUMIFS(tblPlant[Tails_oz],tblPlant[Date],$A20)</f>
        <v/>
      </c>
      <c r="DB20" s="55">
        <f>IF($B20=$B19,$DB19,0)+$DA20</f>
        <v/>
      </c>
      <c r="DC20" s="55">
        <f>$DC19+$DA20</f>
        <v/>
      </c>
      <c r="DD20" s="55">
        <f>SUMIFS(tblPlant[Recovered_oz],tblPlant[Date],$A20)</f>
        <v/>
      </c>
      <c r="DE20" s="55">
        <f>IF($B20=$B19,$DE19,0)+$DD20</f>
        <v/>
      </c>
      <c r="DF20" s="55">
        <f>$DF19+$DD20</f>
        <v/>
      </c>
      <c r="DG20" s="55">
        <f>SUMIFS(tblPlant[Milled_t],tblPlant[Date],$A20,tblPlant[Head_Grade_gpt],"&lt;&gt;")</f>
        <v/>
      </c>
      <c r="DH20" s="55">
        <f>IF($B20=$B19,$DH19,0)+$DG20</f>
        <v/>
      </c>
      <c r="DI20" s="55">
        <f>$DI19+$DG20</f>
        <v/>
      </c>
      <c r="DJ20" s="55">
        <f>SUMIFS(tblPlant[Milled_t],tblPlant[Date],$A20,tblPlant[Tails_Grade_gpt],"&lt;&gt;")</f>
        <v/>
      </c>
      <c r="DK20" s="55">
        <f>IF($B20=$B19,$DK19,0)+$DJ20</f>
        <v/>
      </c>
      <c r="DL20" s="55">
        <f>$DL19+$DJ20</f>
        <v/>
      </c>
      <c r="DM20" s="55">
        <f>SUMIFS(tblPlant[Feed_oz],tblPlant[Date],$A20,tblPlant[Tails_Grade_gpt],"&lt;&gt;")</f>
        <v/>
      </c>
      <c r="DN20" s="55">
        <f>IF($B20=$B19,$DN19,0)+$DM20</f>
        <v/>
      </c>
      <c r="DO20" s="55">
        <f>$DO19+$DM20</f>
        <v/>
      </c>
      <c r="DP20" s="55">
        <f>SUMIFS(tblPlant[Milled_t],tblPlant[Date],$A20,tblPlant[Mill_Run_h],"&lt;&gt;")</f>
        <v/>
      </c>
      <c r="DQ20" s="55">
        <f>IF($B20=$B19,$DQ19,0)+$DP20</f>
        <v/>
      </c>
      <c r="DR20" s="55">
        <f>$DR19+$DP20</f>
        <v/>
      </c>
      <c r="DS20" s="56">
        <f>IFERROR(IF(($DG20)&gt;0,($CX20*cfg_TroyOz)/($DG20),""),"")</f>
        <v/>
      </c>
      <c r="DT20" s="56">
        <f>IFERROR(IF(($DH20)&gt;0,($CY20*cfg_TroyOz)/($DH20),""),"")</f>
        <v/>
      </c>
      <c r="DU20" s="56">
        <f>IFERROR(IF(($DI20)&gt;0,($CZ20*cfg_TroyOz)/($DI20),""),"")</f>
        <v/>
      </c>
      <c r="DV20" s="56">
        <f>IFERROR(IF(($DJ20)&gt;0,($DA20*cfg_TroyOz)/($DJ20),""),"")</f>
        <v/>
      </c>
      <c r="DW20" s="56">
        <f>IFERROR(IF(($DK20)&gt;0,($DB20*cfg_TroyOz)/($DK20),""),"")</f>
        <v/>
      </c>
      <c r="DX20" s="56">
        <f>IFERROR(IF(($DL20)&gt;0,($DC20*cfg_TroyOz)/($DL20),""),"")</f>
        <v/>
      </c>
      <c r="DY20" s="67">
        <f>IFERROR(IF(($DM20)&gt;0,($DD20)/($DM20),""),"")</f>
        <v/>
      </c>
      <c r="DZ20" s="67">
        <f>IFERROR(IF(($DN20)&gt;0,($DE20)/($DN20),""),"")</f>
        <v/>
      </c>
      <c r="EA20" s="67">
        <f>IFERROR(IF(($DO20)&gt;0,($DF20)/($DO20),""),"")</f>
        <v/>
      </c>
      <c r="EB20" s="55">
        <f>SUMIFS(tblPlant[Gravity_Gold_oz],tblPlant[Date],$A20)</f>
        <v/>
      </c>
      <c r="EC20" s="55">
        <f>IF($B20=$B19,$EC19,0)+$EB20</f>
        <v/>
      </c>
      <c r="ED20" s="55">
        <f>$ED19+$EB20</f>
        <v/>
      </c>
      <c r="EE20" s="67">
        <f>IFERROR(IF(($DD20)&gt;0,($EB20)/($DD20),""),"")</f>
        <v/>
      </c>
      <c r="EF20" s="67">
        <f>IFERROR(IF(($DE20)&gt;0,($EC20)/($DE20),""),"")</f>
        <v/>
      </c>
      <c r="EG20" s="67">
        <f>IFERROR(IF(($DF20)&gt;0,($ED20)/($DF20),""),"")</f>
        <v/>
      </c>
      <c r="EH20" s="55">
        <f>SUMIFS(tblPlant[Gold_Poured_oz],tblPlant[Date],$A20)</f>
        <v/>
      </c>
      <c r="EI20" s="55">
        <f>IF($B20=$B19,$EI19,0)+$EH20</f>
        <v/>
      </c>
      <c r="EJ20" s="55">
        <f>$EJ19+$EH20</f>
        <v/>
      </c>
      <c r="EK20" s="57">
        <f>SUMIFS(tblPlant[Mill_Run_h],tblPlant[Date],$A20)</f>
        <v/>
      </c>
      <c r="EL20" s="57">
        <f>IF($B20=$B19,$EL19,0)+$EK20</f>
        <v/>
      </c>
      <c r="EM20" s="57">
        <f>$EM19+$EK20</f>
        <v/>
      </c>
      <c r="EN20" s="57">
        <f>SUMIFS(tblPlant[Mill_Planned_Maint_h],tblPlant[Date],$A20)</f>
        <v/>
      </c>
      <c r="EO20" s="57">
        <f>IF($B20=$B19,$EO19,0)+$EN20</f>
        <v/>
      </c>
      <c r="EP20" s="57">
        <f>$EP19+$EN20</f>
        <v/>
      </c>
      <c r="EQ20" s="57">
        <f>SUMIFS(tblPlant[Mill_Unplanned_Down_h],tblPlant[Date],$A20)</f>
        <v/>
      </c>
      <c r="ER20" s="57">
        <f>IF($B20=$B19,$ER19,0)+$EQ20</f>
        <v/>
      </c>
      <c r="ES20" s="57">
        <f>$ES19+$EQ20</f>
        <v/>
      </c>
      <c r="ET20" s="57">
        <f>IF(COUNTIFS(tblPlant[Date],$A20,tblPlant[Mill_Run_h],"&lt;&gt;")+COUNTIFS(tblPlant[Date],$A20,tblPlant[Mill_Planned_Maint_h],"&lt;&gt;")+COUNTIFS(tblPlant[Date],$A20,tblPlant[Mill_Unplanned_Down_h],"&lt;&gt;")&gt;0,cfg_HoursPerDay,0)</f>
        <v/>
      </c>
      <c r="EU20" s="57">
        <f>IF($B20=$B19,$EU19,0)+$ET20</f>
        <v/>
      </c>
      <c r="EV20" s="57">
        <f>$EV19+$ET20</f>
        <v/>
      </c>
      <c r="EW20" s="57">
        <f>SUMIFS(tblPlant[Crusher_Run_h],tblPlant[Date],$A20)</f>
        <v/>
      </c>
      <c r="EX20" s="57">
        <f>IF($B20=$B19,$EX19,0)+$EW20</f>
        <v/>
      </c>
      <c r="EY20" s="57">
        <f>$EY19+$EW20</f>
        <v/>
      </c>
      <c r="EZ20" s="55">
        <f>IFERROR(IF(($EK20)&gt;0,($DP20)/($EK20),""),"")</f>
        <v/>
      </c>
      <c r="FA20" s="55">
        <f>IFERROR(IF(($EL20)&gt;0,($DQ20)/($EL20),""),"")</f>
        <v/>
      </c>
      <c r="FB20" s="55">
        <f>IFERROR(IF(($EM20)&gt;0,($DR20)/($EM20),""),"")</f>
        <v/>
      </c>
      <c r="FC20" s="67">
        <f>IFERROR(IF(($ET20)&gt;0,($ET20-$EN20-$EQ20)/($ET20),""),"")</f>
        <v/>
      </c>
      <c r="FD20" s="67">
        <f>IFERROR(IF(($EU20)&gt;0,($EU20-$EO20-$ER20)/($EU20),""),"")</f>
        <v/>
      </c>
      <c r="FE20" s="67">
        <f>IFERROR(IF(($EV20)&gt;0,($EV20-$EP20-$ES20)/($EV20),""),"")</f>
        <v/>
      </c>
      <c r="FF20" s="67">
        <f>IFERROR(IF(($ET20-$EN20-$EQ20)&gt;0,($EK20)/($ET20-$EN20-$EQ20),""),"")</f>
        <v/>
      </c>
      <c r="FG20" s="67">
        <f>IFERROR(IF(($EU20-$EO20-$ER20)&gt;0,($EL20)/($EU20-$EO20-$ER20),""),"")</f>
        <v/>
      </c>
      <c r="FH20" s="67">
        <f>IFERROR(IF(($EV20-$EP20-$ES20)&gt;0,($EM20)/($EV20-$EP20-$ES20),""),"")</f>
        <v/>
      </c>
      <c r="FI20" s="55">
        <f>SUMIFS(tblPlant[Cyanide_kg],tblPlant[Date],$A20)</f>
        <v/>
      </c>
      <c r="FJ20" s="55">
        <f>IF($B20=$B19,$FJ19,0)+$FI20</f>
        <v/>
      </c>
      <c r="FK20" s="55">
        <f>$FK19+$FI20</f>
        <v/>
      </c>
      <c r="FL20" s="55">
        <f>SUMIFS(tblPlant[Lime_kg],tblPlant[Date],$A20)</f>
        <v/>
      </c>
      <c r="FM20" s="55">
        <f>IF($B20=$B19,$FM19,0)+$FL20</f>
        <v/>
      </c>
      <c r="FN20" s="55">
        <f>$FN19+$FL20</f>
        <v/>
      </c>
      <c r="FO20" s="55">
        <f>SUMIFS(tblPlant[Grinding_Media_kg],tblPlant[Date],$A20)</f>
        <v/>
      </c>
      <c r="FP20" s="55">
        <f>IF($B20=$B19,$FP19,0)+$FO20</f>
        <v/>
      </c>
      <c r="FQ20" s="55">
        <f>$FQ19+$FO20</f>
        <v/>
      </c>
      <c r="FR20" s="55">
        <f>SUMIFS(tblPlant[Power_kWh],tblPlant[Date],$A20)</f>
        <v/>
      </c>
      <c r="FS20" s="55">
        <f>IF($B20=$B19,$FS19,0)+$FR20</f>
        <v/>
      </c>
      <c r="FT20" s="55">
        <f>$FT19+$FR20</f>
        <v/>
      </c>
      <c r="FU20" s="55">
        <f>SUMIFS(tblPlant[Raw_Water_m3],tblPlant[Date],$A20)</f>
        <v/>
      </c>
      <c r="FV20" s="55">
        <f>IF($B20=$B19,$FV19,0)+$FU20</f>
        <v/>
      </c>
      <c r="FW20" s="55">
        <f>$FW19+$FU20</f>
        <v/>
      </c>
      <c r="FX20" s="56">
        <f>IFERROR(IF(($CU20)&gt;0,($FI20)/($CU20),""),"")</f>
        <v/>
      </c>
      <c r="FY20" s="56">
        <f>IFERROR(IF(($CV20)&gt;0,($FJ20)/($CV20),""),"")</f>
        <v/>
      </c>
      <c r="FZ20" s="56">
        <f>IFERROR(IF(($CW20)&gt;0,($FK20)/($CW20),""),"")</f>
        <v/>
      </c>
      <c r="GA20" s="56">
        <f>IFERROR(IF(($CU20)&gt;0,($FL20)/($CU20),""),"")</f>
        <v/>
      </c>
      <c r="GB20" s="56">
        <f>IFERROR(IF(($CV20)&gt;0,($FM20)/($CV20),""),"")</f>
        <v/>
      </c>
      <c r="GC20" s="56">
        <f>IFERROR(IF(($CW20)&gt;0,($FN20)/($CW20),""),"")</f>
        <v/>
      </c>
      <c r="GD20" s="56">
        <f>IFERROR(IF(($CU20)&gt;0,($FO20)/($CU20),""),"")</f>
        <v/>
      </c>
      <c r="GE20" s="56">
        <f>IFERROR(IF(($CV20)&gt;0,($FP20)/($CV20),""),"")</f>
        <v/>
      </c>
      <c r="GF20" s="56">
        <f>IFERROR(IF(($CW20)&gt;0,($FQ20)/($CW20),""),"")</f>
        <v/>
      </c>
      <c r="GG20" s="79">
        <f>IFERROR(IF(($CU20)&gt;0,($FR20)/($CU20),""),"")</f>
        <v/>
      </c>
      <c r="GH20" s="79">
        <f>IFERROR(IF(($CV20)&gt;0,($FS20)/($CV20),""),"")</f>
        <v/>
      </c>
      <c r="GI20" s="79">
        <f>IFERROR(IF(($CW20)&gt;0,($FT20)/($CW20),""),"")</f>
        <v/>
      </c>
      <c r="GJ20" s="56">
        <f>IFERROR(IF(($CU20)&gt;0,($FU20)/($CU20),""),"")</f>
        <v/>
      </c>
      <c r="GK20" s="56">
        <f>IFERROR(IF(($CV20)&gt;0,($FV20)/($CV20),""),"")</f>
        <v/>
      </c>
      <c r="GL20" s="56">
        <f>IFERROR(IF(($CW20)&gt;0,($FW20)/($CW20),""),"")</f>
        <v/>
      </c>
      <c r="GM20" s="55">
        <f>IF(SUMIFS(tblPlant[GIC_oz],tblPlant[Date],$A20)&gt;0,SUMIFS(tblPlant[GIC_oz],tblPlant[Date],$A20),"")</f>
        <v/>
      </c>
      <c r="GN20" s="55">
        <f>SUMIFS(tblGold[Gold_oz],tblGold[Date],$A20,tblGold[Type],"Shipment")</f>
        <v/>
      </c>
      <c r="GO20" s="55">
        <f>IF($B20=$B19,$GO19,0)+$GN20</f>
        <v/>
      </c>
      <c r="GP20" s="55">
        <f>$GP19+$GN20</f>
        <v/>
      </c>
      <c r="GQ20" s="55">
        <f>SUMIFS(tblGold[Gold_oz],tblGold[Date],$A20,tblGold[Type],"Sale")</f>
        <v/>
      </c>
      <c r="GR20" s="55">
        <f>IF($B20=$B19,$GR19,0)+$GQ20</f>
        <v/>
      </c>
      <c r="GS20" s="55">
        <f>$GS19+$GQ20</f>
        <v/>
      </c>
      <c r="GT20" s="55">
        <f>SUMIFS(tblGold[Dore_kg],tblGold[Date],$A20,tblGold[Type],"Shipment")</f>
        <v/>
      </c>
      <c r="GU20" s="55">
        <f>IF($B20=$B19,$GU19,0)+$GT20</f>
        <v/>
      </c>
      <c r="GV20" s="55">
        <f>$GV19+$GT20</f>
        <v/>
      </c>
      <c r="GW20" s="57">
        <f>SUMIFS(tblSafety[Hours_Total],tblSafety[Date],$A20)</f>
        <v/>
      </c>
      <c r="GX20" s="57">
        <f>IF($B20=$B19,$GX19,0)+$GW20</f>
        <v/>
      </c>
      <c r="GY20" s="57">
        <f>$GY19+$GW20</f>
        <v/>
      </c>
      <c r="GZ20" s="62">
        <f>SUMIFS(tblSafety[Fatality],tblSafety[Date],$A20)</f>
        <v/>
      </c>
      <c r="HA20" s="62">
        <f>IF($B20=$B19,$HA19,0)+$GZ20</f>
        <v/>
      </c>
      <c r="HB20" s="62">
        <f>$HB19+$GZ20</f>
        <v/>
      </c>
      <c r="HC20" s="62">
        <f>SUMIFS(tblSafety[LTI],tblSafety[Date],$A20)</f>
        <v/>
      </c>
      <c r="HD20" s="62">
        <f>IF($B20=$B19,$HD19,0)+$HC20</f>
        <v/>
      </c>
      <c r="HE20" s="62">
        <f>$HE19+$HC20</f>
        <v/>
      </c>
      <c r="HF20" s="62">
        <f>SUMIFS(tblSafety[RWI],tblSafety[Date],$A20)</f>
        <v/>
      </c>
      <c r="HG20" s="62">
        <f>IF($B20=$B19,$HG19,0)+$HF20</f>
        <v/>
      </c>
      <c r="HH20" s="62">
        <f>$HH19+$HF20</f>
        <v/>
      </c>
      <c r="HI20" s="62">
        <f>SUMIFS(tblSafety[MTI],tblSafety[Date],$A20)</f>
        <v/>
      </c>
      <c r="HJ20" s="62">
        <f>IF($B20=$B19,$HJ19,0)+$HI20</f>
        <v/>
      </c>
      <c r="HK20" s="62">
        <f>$HK19+$HI20</f>
        <v/>
      </c>
      <c r="HL20" s="62">
        <f>SUMIFS(tblSafety[FAI],tblSafety[Date],$A20)</f>
        <v/>
      </c>
      <c r="HM20" s="62">
        <f>IF($B20=$B19,$HM19,0)+$HL20</f>
        <v/>
      </c>
      <c r="HN20" s="62">
        <f>$HN19+$HL20</f>
        <v/>
      </c>
      <c r="HO20" s="62">
        <f>SUMIFS(tblSafety[Recordables],tblSafety[Date],$A20)</f>
        <v/>
      </c>
      <c r="HP20" s="62">
        <f>IF($B20=$B19,$HP19,0)+$HO20</f>
        <v/>
      </c>
      <c r="HQ20" s="62">
        <f>$HQ19+$HO20</f>
        <v/>
      </c>
      <c r="HR20" s="62">
        <f>SUMIFS(tblSafety[Near_Miss],tblSafety[Date],$A20)</f>
        <v/>
      </c>
      <c r="HS20" s="62">
        <f>IF($B20=$B19,$HS19,0)+$HR20</f>
        <v/>
      </c>
      <c r="HT20" s="62">
        <f>$HT19+$HR20</f>
        <v/>
      </c>
      <c r="HU20" s="62">
        <f>SUMIFS(tblSafety[Hazard_Reports],tblSafety[Date],$A20)</f>
        <v/>
      </c>
      <c r="HV20" s="62">
        <f>IF($B20=$B19,$HV19,0)+$HU20</f>
        <v/>
      </c>
      <c r="HW20" s="62">
        <f>$HW19+$HU20</f>
        <v/>
      </c>
      <c r="HX20" s="62">
        <f>SUMIFS(tblSafety[HPI],tblSafety[Date],$A20)</f>
        <v/>
      </c>
      <c r="HY20" s="62">
        <f>IF($B20=$B19,$HY19,0)+$HX20</f>
        <v/>
      </c>
      <c r="HZ20" s="62">
        <f>$HZ19+$HX20</f>
        <v/>
      </c>
      <c r="IA20" s="62">
        <f>SUMIFS(tblSafety[Env_Incidents],tblSafety[Date],$A20)</f>
        <v/>
      </c>
      <c r="IB20" s="62">
        <f>IF($B20=$B19,$IB19,0)+$IA20</f>
        <v/>
      </c>
      <c r="IC20" s="62">
        <f>$IC19+$IA20</f>
        <v/>
      </c>
      <c r="ID20" s="62">
        <f>SUMIFS(tblSafety[Community_Incidents],tblSafety[Date],$A20)</f>
        <v/>
      </c>
      <c r="IE20" s="62">
        <f>IF($B20=$B19,$IE19,0)+$ID20</f>
        <v/>
      </c>
      <c r="IF20" s="62">
        <f>$IF19+$ID20</f>
        <v/>
      </c>
      <c r="IG20" s="62">
        <f>SUMIFS(tblSafety[Vehicle_Incidents],tblSafety[Date],$A20)</f>
        <v/>
      </c>
      <c r="IH20" s="62">
        <f>IF($B20=$B19,$IH19,0)+$IG20</f>
        <v/>
      </c>
      <c r="II20" s="62">
        <f>$II19+$IG20</f>
        <v/>
      </c>
      <c r="IJ20" s="62">
        <f>SUMIFS(tblSafety[Toolbox_Talks],tblSafety[Date],$A20)</f>
        <v/>
      </c>
      <c r="IK20" s="62">
        <f>IF($B20=$B19,$IK19,0)+$IJ20</f>
        <v/>
      </c>
      <c r="IL20" s="62">
        <f>$IL19+$IJ20</f>
        <v/>
      </c>
      <c r="IM20" s="62">
        <f>SUMIFS(tblSafety[Inspections],tblSafety[Date],$A20)</f>
        <v/>
      </c>
      <c r="IN20" s="62">
        <f>IF($B20=$B19,$IN19,0)+$IM20</f>
        <v/>
      </c>
      <c r="IO20" s="62">
        <f>$IO19+$IM20</f>
        <v/>
      </c>
      <c r="IP20" s="56">
        <f>IFERROR((SUMIFS(tblSafety[Recordables],tblSafety[Date],"&gt;="&amp;EDATE($E20,-12),tblSafety[Date],"&lt;="&amp;$A20)+SUMIFS(tblSafetyHistory[Recordables],tblSafetyHistory[Month],"&gt;="&amp;EDATE($E20,-12),tblSafetyHistory[Month],"&lt;"&amp;$E20,tblSafetyHistory[Use],1))/(SUMIFS(tblSafety[Hours_Total],tblSafety[Date],"&gt;="&amp;EDATE($E20,-12),tblSafety[Date],"&lt;="&amp;$A20)+SUMIFS(tblSafetyHistory[Hours_Total],tblSafetyHistory[Month],"&gt;="&amp;EDATE($E20,-12),tblSafetyHistory[Month],"&lt;"&amp;$E20,tblSafetyHistory[Use],1))*cfg_RateBasisHours,"")</f>
        <v/>
      </c>
      <c r="IQ20" s="56">
        <f>IFERROR((SUMIFS(tblSafety[LTI],tblSafety[Date],"&gt;="&amp;EDATE($E20,-12),tblSafety[Date],"&lt;="&amp;$A20)+SUMIFS(tblSafetyHistory[LTI],tblSafetyHistory[Month],"&gt;="&amp;EDATE($E20,-12),tblSafetyHistory[Month],"&lt;"&amp;$E20,tblSafetyHistory[Use],1))/(SUMIFS(tblSafety[Hours_Total],tblSafety[Date],"&gt;="&amp;EDATE($E20,-12),tblSafety[Date],"&lt;="&amp;$A20)+SUMIFS(tblSafetyHistory[Hours_Total],tblSafetyHistory[Month],"&gt;="&amp;EDATE($E20,-12),tblSafetyHistory[Month],"&lt;"&amp;$E20,tblSafetyHistory[Use],1))*cfg_RateBasisHours,"")</f>
        <v/>
      </c>
      <c r="IR20" s="62">
        <f>IF(MAX(N(cfg_PriorLTIDate),_xlfn.MAXIFS(tblSafety[Date],tblSafety[LTI],"&gt;0",tblSafety[Date],"&lt;="&amp;$A20))=0,"",$A20-MAX(N(cfg_PriorLTIDate),_xlfn.MAXIFS(tblSafety[Date],tblSafety[LTI],"&gt;0",tblSafety[Date],"&lt;="&amp;$A20)))</f>
        <v/>
      </c>
      <c r="IS20" s="55">
        <f>SUMIFS(tblBudget[Ore_Mined_t],tblBudget[Month],$E20)</f>
        <v/>
      </c>
      <c r="IT20" s="55">
        <f>$IS20*$C20/$D20</f>
        <v/>
      </c>
      <c r="IU20" s="55">
        <f>SUMIFS(tblBudget[Ore_Mined_t],tblBudget[Month],"&lt;"&amp;$E20)+$IT20</f>
        <v/>
      </c>
      <c r="IV20" s="55">
        <f>SUMIFS(tblBudget[Ore_oz],tblBudget[Month],$E20)</f>
        <v/>
      </c>
      <c r="IW20" s="55">
        <f>$IV20*$C20/$D20</f>
        <v/>
      </c>
      <c r="IX20" s="55">
        <f>SUMIFS(tblBudget[Ore_oz],tblBudget[Month],"&lt;"&amp;$E20)+$IW20</f>
        <v/>
      </c>
      <c r="IY20" s="55">
        <f>SUMIFS(tblBudget[Ore_Mined_t],tblBudget[Month],$E20)</f>
        <v/>
      </c>
      <c r="IZ20" s="55">
        <f>$IY20*$C20/$D20</f>
        <v/>
      </c>
      <c r="JA20" s="55">
        <f>SUMIFS(tblBudget[Ore_Mined_t],tblBudget[Month],"&lt;"&amp;$E20)+$IZ20</f>
        <v/>
      </c>
      <c r="JB20" s="56">
        <f>IFERROR(IF(($IY20)&gt;0,($IV20*cfg_TroyOz)/($IY20),""),"")</f>
        <v/>
      </c>
      <c r="JC20" s="56">
        <f>IFERROR(IF(($IZ20)&gt;0,($IW20*cfg_TroyOz)/($IZ20),""),"")</f>
        <v/>
      </c>
      <c r="JD20" s="56">
        <f>IFERROR(IF(($JA20)&gt;0,($IX20*cfg_TroyOz)/($JA20),""),"")</f>
        <v/>
      </c>
      <c r="JE20" s="55">
        <f>SUMIFS(tblBudget[Waste_t],tblBudget[Month],$E20)</f>
        <v/>
      </c>
      <c r="JF20" s="55">
        <f>$JE20*$C20/$D20</f>
        <v/>
      </c>
      <c r="JG20" s="55">
        <f>SUMIFS(tblBudget[Waste_t],tblBudget[Month],"&lt;"&amp;$E20)+$JF20</f>
        <v/>
      </c>
      <c r="JH20" s="55">
        <f>SUMIFS(tblBudget[TMM_t],tblBudget[Month],$E20)</f>
        <v/>
      </c>
      <c r="JI20" s="55">
        <f>$JH20*$C20/$D20</f>
        <v/>
      </c>
      <c r="JJ20" s="55">
        <f>SUMIFS(tblBudget[TMM_t],tblBudget[Month],"&lt;"&amp;$E20)+$JI20</f>
        <v/>
      </c>
      <c r="JK20" s="56">
        <f>IFERROR(IF(($IS20)&gt;0,($JE20)/($IS20),""),"")</f>
        <v/>
      </c>
      <c r="JL20" s="56">
        <f>IFERROR(IF(($IT20)&gt;0,($JF20)/($IT20),""),"")</f>
        <v/>
      </c>
      <c r="JM20" s="56">
        <f>IFERROR(IF(($IU20)&gt;0,($JG20)/($IU20),""),"")</f>
        <v/>
      </c>
      <c r="JN20" s="55">
        <f>SUMIFS(tblBudget[Drill_m],tblBudget[Month],$E20)</f>
        <v/>
      </c>
      <c r="JO20" s="55">
        <f>$JN20*$C20/$D20</f>
        <v/>
      </c>
      <c r="JP20" s="55">
        <f>SUMIFS(tblBudget[Drill_m],tblBudget[Month],"&lt;"&amp;$E20)+$JO20</f>
        <v/>
      </c>
      <c r="JQ20" s="55">
        <f>SUMIFS(tblBudget[Diesel_L],tblBudget[Month],$E20)</f>
        <v/>
      </c>
      <c r="JR20" s="55">
        <f>$JQ20*$C20/$D20</f>
        <v/>
      </c>
      <c r="JS20" s="55">
        <f>SUMIFS(tblBudget[Diesel_L],tblBudget[Month],"&lt;"&amp;$E20)+$JR20</f>
        <v/>
      </c>
      <c r="JT20" s="55">
        <f>SUMIFS(tblBudget[Milled_t],tblBudget[Month],$E20)</f>
        <v/>
      </c>
      <c r="JU20" s="55">
        <f>$JT20*$C20/$D20</f>
        <v/>
      </c>
      <c r="JV20" s="55">
        <f>SUMIFS(tblBudget[Milled_t],tblBudget[Month],"&lt;"&amp;$E20)+$JU20</f>
        <v/>
      </c>
      <c r="JW20" s="55">
        <f>SUMIFS(tblBudget[Feed_oz],tblBudget[Month],$E20)</f>
        <v/>
      </c>
      <c r="JX20" s="55">
        <f>$JW20*$C20/$D20</f>
        <v/>
      </c>
      <c r="JY20" s="55">
        <f>SUMIFS(tblBudget[Feed_oz],tblBudget[Month],"&lt;"&amp;$E20)+$JX20</f>
        <v/>
      </c>
      <c r="JZ20" s="55">
        <f>SUMIFS(tblBudget[Recovered_oz],tblBudget[Month],$E20)</f>
        <v/>
      </c>
      <c r="KA20" s="55">
        <f>$JZ20*$C20/$D20</f>
        <v/>
      </c>
      <c r="KB20" s="55">
        <f>SUMIFS(tblBudget[Recovered_oz],tblBudget[Month],"&lt;"&amp;$E20)+$KA20</f>
        <v/>
      </c>
      <c r="KC20" s="55">
        <f>SUMIFS(tblBudget[Milled_t],tblBudget[Month],$E20)</f>
        <v/>
      </c>
      <c r="KD20" s="55">
        <f>$KC20*$C20/$D20</f>
        <v/>
      </c>
      <c r="KE20" s="55">
        <f>SUMIFS(tblBudget[Milled_t],tblBudget[Month],"&lt;"&amp;$E20)+$KD20</f>
        <v/>
      </c>
      <c r="KF20" s="55">
        <f>SUMIFS(tblBudget[Feed_oz],tblBudget[Month],$E20)</f>
        <v/>
      </c>
      <c r="KG20" s="55">
        <f>$KF20*$C20/$D20</f>
        <v/>
      </c>
      <c r="KH20" s="55">
        <f>SUMIFS(tblBudget[Feed_oz],tblBudget[Month],"&lt;"&amp;$E20)+$KG20</f>
        <v/>
      </c>
      <c r="KI20" s="56">
        <f>IFERROR(IF(($KC20)&gt;0,($JW20*cfg_TroyOz)/($KC20),""),"")</f>
        <v/>
      </c>
      <c r="KJ20" s="56">
        <f>IFERROR(IF(($KD20)&gt;0,($JX20*cfg_TroyOz)/($KD20),""),"")</f>
        <v/>
      </c>
      <c r="KK20" s="56">
        <f>IFERROR(IF(($KE20)&gt;0,($JY20*cfg_TroyOz)/($KE20),""),"")</f>
        <v/>
      </c>
      <c r="KL20" s="67">
        <f>IFERROR(IF(($KF20)&gt;0,($JZ20)/($KF20),""),"")</f>
        <v/>
      </c>
      <c r="KM20" s="67">
        <f>IFERROR(IF(($KG20)&gt;0,($KA20)/($KG20),""),"")</f>
        <v/>
      </c>
      <c r="KN20" s="67">
        <f>IFERROR(IF(($KH20)&gt;0,($KB20)/($KH20),""),"")</f>
        <v/>
      </c>
      <c r="KO20" s="55">
        <f>SUMIFS(tblBudget[Gold_Poured_oz],tblBudget[Month],$E20)</f>
        <v/>
      </c>
      <c r="KP20" s="55">
        <f>$KO20*$C20/$D20</f>
        <v/>
      </c>
      <c r="KQ20" s="55">
        <f>SUMIFS(tblBudget[Gold_Poured_oz],tblBudget[Month],"&lt;"&amp;$E20)+$KP20</f>
        <v/>
      </c>
      <c r="KR20" s="57">
        <f>SUMIFS(tblBudget[Hours_Worked],tblBudget[Month],$E20)</f>
        <v/>
      </c>
      <c r="KS20" s="57">
        <f>$KR20*$C20/$D20</f>
        <v/>
      </c>
      <c r="KT20" s="57">
        <f>SUMIFS(tblBudget[Hours_Worked],tblBudget[Month],"&lt;"&amp;$E20)+$KS20</f>
        <v/>
      </c>
    </row>
    <row r="21">
      <c r="A21" s="54" t="n">
        <v>46042</v>
      </c>
      <c r="B21">
        <f>MONTH($A21)</f>
        <v/>
      </c>
      <c r="C21">
        <f>DAY($A21)</f>
        <v/>
      </c>
      <c r="D21">
        <f>DAY(EOMONTH($A21,0))</f>
        <v/>
      </c>
      <c r="E21" s="54">
        <f>DATE(YEAR($A21),MONTH($A21),1)</f>
        <v/>
      </c>
      <c r="F21" s="55">
        <f>SUMIFS(tblMovement[Tonnes_t],tblMovement[Date],$A21,tblMovement[Is_Ore],1,tblMovement[Source_Type],"Pit")</f>
        <v/>
      </c>
      <c r="G21" s="55">
        <f>IF($B21=$B20,$G20,0)+$F21</f>
        <v/>
      </c>
      <c r="H21" s="55">
        <f>$H20+$F21</f>
        <v/>
      </c>
      <c r="I21" s="55">
        <f>SUMIFS(tblMovement[Ore_oz],tblMovement[Date],$A21,tblMovement[Source_Type],"Pit")</f>
        <v/>
      </c>
      <c r="J21" s="55">
        <f>IF($B21=$B20,$J20,0)+$I21</f>
        <v/>
      </c>
      <c r="K21" s="55">
        <f>$K20+$I21</f>
        <v/>
      </c>
      <c r="L21" s="55">
        <f>SUMIFS(tblMovement[Tonnes_t],tblMovement[Date],$A21,tblMovement[Is_Ore],1,tblMovement[Source_Type],"Pit",tblMovement[Grade_gpt],"&lt;&gt;")</f>
        <v/>
      </c>
      <c r="M21" s="55">
        <f>IF($B21=$B20,$M20,0)+$L21</f>
        <v/>
      </c>
      <c r="N21" s="55">
        <f>$N20+$L21</f>
        <v/>
      </c>
      <c r="O21" s="56">
        <f>IFERROR(IF(($L21)&gt;0,($I21*cfg_TroyOz)/($L21),""),"")</f>
        <v/>
      </c>
      <c r="P21" s="56">
        <f>IFERROR(IF(($M21)&gt;0,($J21*cfg_TroyOz)/($M21),""),"")</f>
        <v/>
      </c>
      <c r="Q21" s="56">
        <f>IFERROR(IF(($N21)&gt;0,($K21*cfg_TroyOz)/($N21),""),"")</f>
        <v/>
      </c>
      <c r="R21" s="55">
        <f>$F21-$L21</f>
        <v/>
      </c>
      <c r="S21" s="55">
        <f>IF($B21=$B20,$S20,0)+$R21</f>
        <v/>
      </c>
      <c r="T21" s="55">
        <f>$T20+$R21</f>
        <v/>
      </c>
      <c r="U21" s="55">
        <f>SUMIFS(tblMovement[Tonnes_t],tblMovement[Date],$A21,tblMovement[Is_Ore],0,tblMovement[Source_Type],"Pit")</f>
        <v/>
      </c>
      <c r="V21" s="55">
        <f>IF($B21=$B20,$V20,0)+$U21</f>
        <v/>
      </c>
      <c r="W21" s="55">
        <f>$W20+$U21</f>
        <v/>
      </c>
      <c r="X21" s="55">
        <f>$F21+$U21</f>
        <v/>
      </c>
      <c r="Y21" s="55">
        <f>IF($B21=$B20,$Y20,0)+$X21</f>
        <v/>
      </c>
      <c r="Z21" s="55">
        <f>$Z20+$X21</f>
        <v/>
      </c>
      <c r="AA21" s="56">
        <f>IFERROR(IF(($F21)&gt;0,($U21)/($F21),""),"")</f>
        <v/>
      </c>
      <c r="AB21" s="56">
        <f>IFERROR(IF(($G21)&gt;0,($V21)/($G21),""),"")</f>
        <v/>
      </c>
      <c r="AC21" s="56">
        <f>IFERROR(IF(($H21)&gt;0,($W21)/($H21),""),"")</f>
        <v/>
      </c>
      <c r="AD21" s="55">
        <f>SUMIFS(tblMovement[Tonnes_t],tblMovement[Date],$A21,tblMovement[Source_Type],"Stockpile")</f>
        <v/>
      </c>
      <c r="AE21" s="55">
        <f>IF($B21=$B20,$AE20,0)+$AD21</f>
        <v/>
      </c>
      <c r="AF21" s="55">
        <f>$AF20+$AD21</f>
        <v/>
      </c>
      <c r="AG21" s="55">
        <f>SUMIFS(tblMovement[Tonnes_t],tblMovement[Date],$A21)</f>
        <v/>
      </c>
      <c r="AH21" s="55">
        <f>IF($B21=$B20,$AH20,0)+$AG21</f>
        <v/>
      </c>
      <c r="AI21" s="55">
        <f>$AI20+$AG21</f>
        <v/>
      </c>
      <c r="AJ21" s="55">
        <f>$AG21-$X21-$AD21</f>
        <v/>
      </c>
      <c r="AK21" s="55">
        <f>IF($B21=$B20,$AK20,0)+$AJ21</f>
        <v/>
      </c>
      <c r="AL21" s="55">
        <f>$AL20+$AJ21</f>
        <v/>
      </c>
      <c r="AM21" s="55">
        <f>SUMIFS(tblMiningDaily[Drill_m],tblMiningDaily[Date],$A21)</f>
        <v/>
      </c>
      <c r="AN21" s="55">
        <f>IF($B21=$B20,$AN20,0)+$AM21</f>
        <v/>
      </c>
      <c r="AO21" s="55">
        <f>$AO20+$AM21</f>
        <v/>
      </c>
      <c r="AP21" s="55">
        <f>SUMIFS(tblMiningDaily[GC_Drill_m],tblMiningDaily[Date],$A21)</f>
        <v/>
      </c>
      <c r="AQ21" s="55">
        <f>IF($B21=$B20,$AQ20,0)+$AP21</f>
        <v/>
      </c>
      <c r="AR21" s="55">
        <f>$AR20+$AP21</f>
        <v/>
      </c>
      <c r="AS21" s="55">
        <f>SUMIFS(tblMiningDaily[Blast_t],tblMiningDaily[Date],$A21)</f>
        <v/>
      </c>
      <c r="AT21" s="55">
        <f>IF($B21=$B20,$AT20,0)+$AS21</f>
        <v/>
      </c>
      <c r="AU21" s="55">
        <f>$AU20+$AS21</f>
        <v/>
      </c>
      <c r="AV21" s="55">
        <f>SUMIFS(tblMiningDaily[Explosives_kg],tblMiningDaily[Date],$A21)</f>
        <v/>
      </c>
      <c r="AW21" s="55">
        <f>IF($B21=$B20,$AW20,0)+$AV21</f>
        <v/>
      </c>
      <c r="AX21" s="55">
        <f>$AX20+$AV21</f>
        <v/>
      </c>
      <c r="AY21" s="56">
        <f>IFERROR(IF(($AS21)&gt;0,($AV21)/($AS21),""),"")</f>
        <v/>
      </c>
      <c r="AZ21" s="56">
        <f>IFERROR(IF(($AT21)&gt;0,($AW21)/($AT21),""),"")</f>
        <v/>
      </c>
      <c r="BA21" s="56">
        <f>IFERROR(IF(($AU21)&gt;0,($AX21)/($AU21),""),"")</f>
        <v/>
      </c>
      <c r="BB21" s="55">
        <f>SUMIFS(tblMiningDaily[Diesel_L],tblMiningDaily[Date],$A21)</f>
        <v/>
      </c>
      <c r="BC21" s="55">
        <f>IF($B21=$B20,$BC20,0)+$BB21</f>
        <v/>
      </c>
      <c r="BD21" s="55">
        <f>$BD20+$BB21</f>
        <v/>
      </c>
      <c r="BE21" s="55">
        <f>SUMIFS(tblMiningDaily[Dewatering_m3],tblMiningDaily[Date],$A21)</f>
        <v/>
      </c>
      <c r="BF21" s="55">
        <f>IF($B21=$B20,$BF20,0)+$BE21</f>
        <v/>
      </c>
      <c r="BG21" s="55">
        <f>$BG20+$BE21</f>
        <v/>
      </c>
      <c r="BH21" s="57">
        <f>SUMIFS(tblFleet[Calendar_h],tblFleet[Date],$A21,tblFleet[Equipment_Class],"Excavator")</f>
        <v/>
      </c>
      <c r="BI21" s="57">
        <f>IF($B21=$B20,$BI20,0)+$BH21</f>
        <v/>
      </c>
      <c r="BJ21" s="57">
        <f>$BJ20+$BH21</f>
        <v/>
      </c>
      <c r="BK21" s="57">
        <f>SUMIFS(tblFleet[Available_h],tblFleet[Date],$A21,tblFleet[Equipment_Class],"Excavator")</f>
        <v/>
      </c>
      <c r="BL21" s="57">
        <f>IF($B21=$B20,$BL20,0)+$BK21</f>
        <v/>
      </c>
      <c r="BM21" s="57">
        <f>$BM20+$BK21</f>
        <v/>
      </c>
      <c r="BN21" s="57">
        <f>SUMIFS(tblFleet[Operating_h],tblFleet[Date],$A21,tblFleet[Equipment_Class],"Excavator")</f>
        <v/>
      </c>
      <c r="BO21" s="57">
        <f>IF($B21=$B20,$BO20,0)+$BN21</f>
        <v/>
      </c>
      <c r="BP21" s="57">
        <f>$BP20+$BN21</f>
        <v/>
      </c>
      <c r="BQ21" s="67">
        <f>IFERROR(IF(($BH21)&gt;0,($BK21)/($BH21),""),"")</f>
        <v/>
      </c>
      <c r="BR21" s="67">
        <f>IFERROR(IF(($BI21)&gt;0,($BL21)/($BI21),""),"")</f>
        <v/>
      </c>
      <c r="BS21" s="67">
        <f>IFERROR(IF(($BJ21)&gt;0,($BM21)/($BJ21),""),"")</f>
        <v/>
      </c>
      <c r="BT21" s="67">
        <f>IFERROR(IF(($BK21)&gt;0,($BN21)/($BK21),""),"")</f>
        <v/>
      </c>
      <c r="BU21" s="67">
        <f>IFERROR(IF(($BL21)&gt;0,($BO21)/($BL21),""),"")</f>
        <v/>
      </c>
      <c r="BV21" s="67">
        <f>IFERROR(IF(($BM21)&gt;0,($BP21)/($BM21),""),"")</f>
        <v/>
      </c>
      <c r="BW21" s="57">
        <f>SUMIFS(tblFleet[Calendar_h],tblFleet[Date],$A21,tblFleet[Equipment_Class],"Haul Truck")</f>
        <v/>
      </c>
      <c r="BX21" s="57">
        <f>IF($B21=$B20,$BX20,0)+$BW21</f>
        <v/>
      </c>
      <c r="BY21" s="57">
        <f>$BY20+$BW21</f>
        <v/>
      </c>
      <c r="BZ21" s="57">
        <f>SUMIFS(tblFleet[Available_h],tblFleet[Date],$A21,tblFleet[Equipment_Class],"Haul Truck")</f>
        <v/>
      </c>
      <c r="CA21" s="57">
        <f>IF($B21=$B20,$CA20,0)+$BZ21</f>
        <v/>
      </c>
      <c r="CB21" s="57">
        <f>$CB20+$BZ21</f>
        <v/>
      </c>
      <c r="CC21" s="57">
        <f>SUMIFS(tblFleet[Operating_h],tblFleet[Date],$A21,tblFleet[Equipment_Class],"Haul Truck")</f>
        <v/>
      </c>
      <c r="CD21" s="57">
        <f>IF($B21=$B20,$CD20,0)+$CC21</f>
        <v/>
      </c>
      <c r="CE21" s="57">
        <f>$CE20+$CC21</f>
        <v/>
      </c>
      <c r="CF21" s="67">
        <f>IFERROR(IF(($BW21)&gt;0,($BZ21)/($BW21),""),"")</f>
        <v/>
      </c>
      <c r="CG21" s="67">
        <f>IFERROR(IF(($BX21)&gt;0,($CA21)/($BX21),""),"")</f>
        <v/>
      </c>
      <c r="CH21" s="67">
        <f>IFERROR(IF(($BY21)&gt;0,($CB21)/($BY21),""),"")</f>
        <v/>
      </c>
      <c r="CI21" s="67">
        <f>IFERROR(IF(($BZ21)&gt;0,($CC21)/($BZ21),""),"")</f>
        <v/>
      </c>
      <c r="CJ21" s="67">
        <f>IFERROR(IF(($CA21)&gt;0,($CD21)/($CA21),""),"")</f>
        <v/>
      </c>
      <c r="CK21" s="67">
        <f>IFERROR(IF(($CB21)&gt;0,($CE21)/($CB21),""),"")</f>
        <v/>
      </c>
      <c r="CL21" s="55">
        <f>IFERROR(IF(($BN21)&gt;0,($X21+$AD21)/($BN21),""),"")</f>
        <v/>
      </c>
      <c r="CM21" s="55">
        <f>IFERROR(IF(($BO21)&gt;0,($Y21+$AE21)/($BO21),""),"")</f>
        <v/>
      </c>
      <c r="CN21" s="55">
        <f>IFERROR(IF(($BP21)&gt;0,($Z21+$AF21)/($BP21),""),"")</f>
        <v/>
      </c>
      <c r="CO21" s="55">
        <f>IFERROR(IF(($CC21)&gt;0,($X21+$AD21)/($CC21),""),"")</f>
        <v/>
      </c>
      <c r="CP21" s="55">
        <f>IFERROR(IF(($CD21)&gt;0,($Y21+$AE21)/($CD21),""),"")</f>
        <v/>
      </c>
      <c r="CQ21" s="55">
        <f>IFERROR(IF(($CE21)&gt;0,($Z21+$AF21)/($CE21),""),"")</f>
        <v/>
      </c>
      <c r="CR21" s="55">
        <f>SUMIFS(tblPlant[Crushed_t],tblPlant[Date],$A21)</f>
        <v/>
      </c>
      <c r="CS21" s="55">
        <f>IF($B21=$B20,$CS20,0)+$CR21</f>
        <v/>
      </c>
      <c r="CT21" s="55">
        <f>$CT20+$CR21</f>
        <v/>
      </c>
      <c r="CU21" s="55">
        <f>SUMIFS(tblPlant[Milled_t],tblPlant[Date],$A21)</f>
        <v/>
      </c>
      <c r="CV21" s="55">
        <f>IF($B21=$B20,$CV20,0)+$CU21</f>
        <v/>
      </c>
      <c r="CW21" s="55">
        <f>$CW20+$CU21</f>
        <v/>
      </c>
      <c r="CX21" s="55">
        <f>SUMIFS(tblPlant[Feed_oz],tblPlant[Date],$A21)</f>
        <v/>
      </c>
      <c r="CY21" s="55">
        <f>IF($B21=$B20,$CY20,0)+$CX21</f>
        <v/>
      </c>
      <c r="CZ21" s="55">
        <f>$CZ20+$CX21</f>
        <v/>
      </c>
      <c r="DA21" s="55">
        <f>SUMIFS(tblPlant[Tails_oz],tblPlant[Date],$A21)</f>
        <v/>
      </c>
      <c r="DB21" s="55">
        <f>IF($B21=$B20,$DB20,0)+$DA21</f>
        <v/>
      </c>
      <c r="DC21" s="55">
        <f>$DC20+$DA21</f>
        <v/>
      </c>
      <c r="DD21" s="55">
        <f>SUMIFS(tblPlant[Recovered_oz],tblPlant[Date],$A21)</f>
        <v/>
      </c>
      <c r="DE21" s="55">
        <f>IF($B21=$B20,$DE20,0)+$DD21</f>
        <v/>
      </c>
      <c r="DF21" s="55">
        <f>$DF20+$DD21</f>
        <v/>
      </c>
      <c r="DG21" s="55">
        <f>SUMIFS(tblPlant[Milled_t],tblPlant[Date],$A21,tblPlant[Head_Grade_gpt],"&lt;&gt;")</f>
        <v/>
      </c>
      <c r="DH21" s="55">
        <f>IF($B21=$B20,$DH20,0)+$DG21</f>
        <v/>
      </c>
      <c r="DI21" s="55">
        <f>$DI20+$DG21</f>
        <v/>
      </c>
      <c r="DJ21" s="55">
        <f>SUMIFS(tblPlant[Milled_t],tblPlant[Date],$A21,tblPlant[Tails_Grade_gpt],"&lt;&gt;")</f>
        <v/>
      </c>
      <c r="DK21" s="55">
        <f>IF($B21=$B20,$DK20,0)+$DJ21</f>
        <v/>
      </c>
      <c r="DL21" s="55">
        <f>$DL20+$DJ21</f>
        <v/>
      </c>
      <c r="DM21" s="55">
        <f>SUMIFS(tblPlant[Feed_oz],tblPlant[Date],$A21,tblPlant[Tails_Grade_gpt],"&lt;&gt;")</f>
        <v/>
      </c>
      <c r="DN21" s="55">
        <f>IF($B21=$B20,$DN20,0)+$DM21</f>
        <v/>
      </c>
      <c r="DO21" s="55">
        <f>$DO20+$DM21</f>
        <v/>
      </c>
      <c r="DP21" s="55">
        <f>SUMIFS(tblPlant[Milled_t],tblPlant[Date],$A21,tblPlant[Mill_Run_h],"&lt;&gt;")</f>
        <v/>
      </c>
      <c r="DQ21" s="55">
        <f>IF($B21=$B20,$DQ20,0)+$DP21</f>
        <v/>
      </c>
      <c r="DR21" s="55">
        <f>$DR20+$DP21</f>
        <v/>
      </c>
      <c r="DS21" s="56">
        <f>IFERROR(IF(($DG21)&gt;0,($CX21*cfg_TroyOz)/($DG21),""),"")</f>
        <v/>
      </c>
      <c r="DT21" s="56">
        <f>IFERROR(IF(($DH21)&gt;0,($CY21*cfg_TroyOz)/($DH21),""),"")</f>
        <v/>
      </c>
      <c r="DU21" s="56">
        <f>IFERROR(IF(($DI21)&gt;0,($CZ21*cfg_TroyOz)/($DI21),""),"")</f>
        <v/>
      </c>
      <c r="DV21" s="56">
        <f>IFERROR(IF(($DJ21)&gt;0,($DA21*cfg_TroyOz)/($DJ21),""),"")</f>
        <v/>
      </c>
      <c r="DW21" s="56">
        <f>IFERROR(IF(($DK21)&gt;0,($DB21*cfg_TroyOz)/($DK21),""),"")</f>
        <v/>
      </c>
      <c r="DX21" s="56">
        <f>IFERROR(IF(($DL21)&gt;0,($DC21*cfg_TroyOz)/($DL21),""),"")</f>
        <v/>
      </c>
      <c r="DY21" s="67">
        <f>IFERROR(IF(($DM21)&gt;0,($DD21)/($DM21),""),"")</f>
        <v/>
      </c>
      <c r="DZ21" s="67">
        <f>IFERROR(IF(($DN21)&gt;0,($DE21)/($DN21),""),"")</f>
        <v/>
      </c>
      <c r="EA21" s="67">
        <f>IFERROR(IF(($DO21)&gt;0,($DF21)/($DO21),""),"")</f>
        <v/>
      </c>
      <c r="EB21" s="55">
        <f>SUMIFS(tblPlant[Gravity_Gold_oz],tblPlant[Date],$A21)</f>
        <v/>
      </c>
      <c r="EC21" s="55">
        <f>IF($B21=$B20,$EC20,0)+$EB21</f>
        <v/>
      </c>
      <c r="ED21" s="55">
        <f>$ED20+$EB21</f>
        <v/>
      </c>
      <c r="EE21" s="67">
        <f>IFERROR(IF(($DD21)&gt;0,($EB21)/($DD21),""),"")</f>
        <v/>
      </c>
      <c r="EF21" s="67">
        <f>IFERROR(IF(($DE21)&gt;0,($EC21)/($DE21),""),"")</f>
        <v/>
      </c>
      <c r="EG21" s="67">
        <f>IFERROR(IF(($DF21)&gt;0,($ED21)/($DF21),""),"")</f>
        <v/>
      </c>
      <c r="EH21" s="55">
        <f>SUMIFS(tblPlant[Gold_Poured_oz],tblPlant[Date],$A21)</f>
        <v/>
      </c>
      <c r="EI21" s="55">
        <f>IF($B21=$B20,$EI20,0)+$EH21</f>
        <v/>
      </c>
      <c r="EJ21" s="55">
        <f>$EJ20+$EH21</f>
        <v/>
      </c>
      <c r="EK21" s="57">
        <f>SUMIFS(tblPlant[Mill_Run_h],tblPlant[Date],$A21)</f>
        <v/>
      </c>
      <c r="EL21" s="57">
        <f>IF($B21=$B20,$EL20,0)+$EK21</f>
        <v/>
      </c>
      <c r="EM21" s="57">
        <f>$EM20+$EK21</f>
        <v/>
      </c>
      <c r="EN21" s="57">
        <f>SUMIFS(tblPlant[Mill_Planned_Maint_h],tblPlant[Date],$A21)</f>
        <v/>
      </c>
      <c r="EO21" s="57">
        <f>IF($B21=$B20,$EO20,0)+$EN21</f>
        <v/>
      </c>
      <c r="EP21" s="57">
        <f>$EP20+$EN21</f>
        <v/>
      </c>
      <c r="EQ21" s="57">
        <f>SUMIFS(tblPlant[Mill_Unplanned_Down_h],tblPlant[Date],$A21)</f>
        <v/>
      </c>
      <c r="ER21" s="57">
        <f>IF($B21=$B20,$ER20,0)+$EQ21</f>
        <v/>
      </c>
      <c r="ES21" s="57">
        <f>$ES20+$EQ21</f>
        <v/>
      </c>
      <c r="ET21" s="57">
        <f>IF(COUNTIFS(tblPlant[Date],$A21,tblPlant[Mill_Run_h],"&lt;&gt;")+COUNTIFS(tblPlant[Date],$A21,tblPlant[Mill_Planned_Maint_h],"&lt;&gt;")+COUNTIFS(tblPlant[Date],$A21,tblPlant[Mill_Unplanned_Down_h],"&lt;&gt;")&gt;0,cfg_HoursPerDay,0)</f>
        <v/>
      </c>
      <c r="EU21" s="57">
        <f>IF($B21=$B20,$EU20,0)+$ET21</f>
        <v/>
      </c>
      <c r="EV21" s="57">
        <f>$EV20+$ET21</f>
        <v/>
      </c>
      <c r="EW21" s="57">
        <f>SUMIFS(tblPlant[Crusher_Run_h],tblPlant[Date],$A21)</f>
        <v/>
      </c>
      <c r="EX21" s="57">
        <f>IF($B21=$B20,$EX20,0)+$EW21</f>
        <v/>
      </c>
      <c r="EY21" s="57">
        <f>$EY20+$EW21</f>
        <v/>
      </c>
      <c r="EZ21" s="55">
        <f>IFERROR(IF(($EK21)&gt;0,($DP21)/($EK21),""),"")</f>
        <v/>
      </c>
      <c r="FA21" s="55">
        <f>IFERROR(IF(($EL21)&gt;0,($DQ21)/($EL21),""),"")</f>
        <v/>
      </c>
      <c r="FB21" s="55">
        <f>IFERROR(IF(($EM21)&gt;0,($DR21)/($EM21),""),"")</f>
        <v/>
      </c>
      <c r="FC21" s="67">
        <f>IFERROR(IF(($ET21)&gt;0,($ET21-$EN21-$EQ21)/($ET21),""),"")</f>
        <v/>
      </c>
      <c r="FD21" s="67">
        <f>IFERROR(IF(($EU21)&gt;0,($EU21-$EO21-$ER21)/($EU21),""),"")</f>
        <v/>
      </c>
      <c r="FE21" s="67">
        <f>IFERROR(IF(($EV21)&gt;0,($EV21-$EP21-$ES21)/($EV21),""),"")</f>
        <v/>
      </c>
      <c r="FF21" s="67">
        <f>IFERROR(IF(($ET21-$EN21-$EQ21)&gt;0,($EK21)/($ET21-$EN21-$EQ21),""),"")</f>
        <v/>
      </c>
      <c r="FG21" s="67">
        <f>IFERROR(IF(($EU21-$EO21-$ER21)&gt;0,($EL21)/($EU21-$EO21-$ER21),""),"")</f>
        <v/>
      </c>
      <c r="FH21" s="67">
        <f>IFERROR(IF(($EV21-$EP21-$ES21)&gt;0,($EM21)/($EV21-$EP21-$ES21),""),"")</f>
        <v/>
      </c>
      <c r="FI21" s="55">
        <f>SUMIFS(tblPlant[Cyanide_kg],tblPlant[Date],$A21)</f>
        <v/>
      </c>
      <c r="FJ21" s="55">
        <f>IF($B21=$B20,$FJ20,0)+$FI21</f>
        <v/>
      </c>
      <c r="FK21" s="55">
        <f>$FK20+$FI21</f>
        <v/>
      </c>
      <c r="FL21" s="55">
        <f>SUMIFS(tblPlant[Lime_kg],tblPlant[Date],$A21)</f>
        <v/>
      </c>
      <c r="FM21" s="55">
        <f>IF($B21=$B20,$FM20,0)+$FL21</f>
        <v/>
      </c>
      <c r="FN21" s="55">
        <f>$FN20+$FL21</f>
        <v/>
      </c>
      <c r="FO21" s="55">
        <f>SUMIFS(tblPlant[Grinding_Media_kg],tblPlant[Date],$A21)</f>
        <v/>
      </c>
      <c r="FP21" s="55">
        <f>IF($B21=$B20,$FP20,0)+$FO21</f>
        <v/>
      </c>
      <c r="FQ21" s="55">
        <f>$FQ20+$FO21</f>
        <v/>
      </c>
      <c r="FR21" s="55">
        <f>SUMIFS(tblPlant[Power_kWh],tblPlant[Date],$A21)</f>
        <v/>
      </c>
      <c r="FS21" s="55">
        <f>IF($B21=$B20,$FS20,0)+$FR21</f>
        <v/>
      </c>
      <c r="FT21" s="55">
        <f>$FT20+$FR21</f>
        <v/>
      </c>
      <c r="FU21" s="55">
        <f>SUMIFS(tblPlant[Raw_Water_m3],tblPlant[Date],$A21)</f>
        <v/>
      </c>
      <c r="FV21" s="55">
        <f>IF($B21=$B20,$FV20,0)+$FU21</f>
        <v/>
      </c>
      <c r="FW21" s="55">
        <f>$FW20+$FU21</f>
        <v/>
      </c>
      <c r="FX21" s="56">
        <f>IFERROR(IF(($CU21)&gt;0,($FI21)/($CU21),""),"")</f>
        <v/>
      </c>
      <c r="FY21" s="56">
        <f>IFERROR(IF(($CV21)&gt;0,($FJ21)/($CV21),""),"")</f>
        <v/>
      </c>
      <c r="FZ21" s="56">
        <f>IFERROR(IF(($CW21)&gt;0,($FK21)/($CW21),""),"")</f>
        <v/>
      </c>
      <c r="GA21" s="56">
        <f>IFERROR(IF(($CU21)&gt;0,($FL21)/($CU21),""),"")</f>
        <v/>
      </c>
      <c r="GB21" s="56">
        <f>IFERROR(IF(($CV21)&gt;0,($FM21)/($CV21),""),"")</f>
        <v/>
      </c>
      <c r="GC21" s="56">
        <f>IFERROR(IF(($CW21)&gt;0,($FN21)/($CW21),""),"")</f>
        <v/>
      </c>
      <c r="GD21" s="56">
        <f>IFERROR(IF(($CU21)&gt;0,($FO21)/($CU21),""),"")</f>
        <v/>
      </c>
      <c r="GE21" s="56">
        <f>IFERROR(IF(($CV21)&gt;0,($FP21)/($CV21),""),"")</f>
        <v/>
      </c>
      <c r="GF21" s="56">
        <f>IFERROR(IF(($CW21)&gt;0,($FQ21)/($CW21),""),"")</f>
        <v/>
      </c>
      <c r="GG21" s="79">
        <f>IFERROR(IF(($CU21)&gt;0,($FR21)/($CU21),""),"")</f>
        <v/>
      </c>
      <c r="GH21" s="79">
        <f>IFERROR(IF(($CV21)&gt;0,($FS21)/($CV21),""),"")</f>
        <v/>
      </c>
      <c r="GI21" s="79">
        <f>IFERROR(IF(($CW21)&gt;0,($FT21)/($CW21),""),"")</f>
        <v/>
      </c>
      <c r="GJ21" s="56">
        <f>IFERROR(IF(($CU21)&gt;0,($FU21)/($CU21),""),"")</f>
        <v/>
      </c>
      <c r="GK21" s="56">
        <f>IFERROR(IF(($CV21)&gt;0,($FV21)/($CV21),""),"")</f>
        <v/>
      </c>
      <c r="GL21" s="56">
        <f>IFERROR(IF(($CW21)&gt;0,($FW21)/($CW21),""),"")</f>
        <v/>
      </c>
      <c r="GM21" s="55">
        <f>IF(SUMIFS(tblPlant[GIC_oz],tblPlant[Date],$A21)&gt;0,SUMIFS(tblPlant[GIC_oz],tblPlant[Date],$A21),"")</f>
        <v/>
      </c>
      <c r="GN21" s="55">
        <f>SUMIFS(tblGold[Gold_oz],tblGold[Date],$A21,tblGold[Type],"Shipment")</f>
        <v/>
      </c>
      <c r="GO21" s="55">
        <f>IF($B21=$B20,$GO20,0)+$GN21</f>
        <v/>
      </c>
      <c r="GP21" s="55">
        <f>$GP20+$GN21</f>
        <v/>
      </c>
      <c r="GQ21" s="55">
        <f>SUMIFS(tblGold[Gold_oz],tblGold[Date],$A21,tblGold[Type],"Sale")</f>
        <v/>
      </c>
      <c r="GR21" s="55">
        <f>IF($B21=$B20,$GR20,0)+$GQ21</f>
        <v/>
      </c>
      <c r="GS21" s="55">
        <f>$GS20+$GQ21</f>
        <v/>
      </c>
      <c r="GT21" s="55">
        <f>SUMIFS(tblGold[Dore_kg],tblGold[Date],$A21,tblGold[Type],"Shipment")</f>
        <v/>
      </c>
      <c r="GU21" s="55">
        <f>IF($B21=$B20,$GU20,0)+$GT21</f>
        <v/>
      </c>
      <c r="GV21" s="55">
        <f>$GV20+$GT21</f>
        <v/>
      </c>
      <c r="GW21" s="57">
        <f>SUMIFS(tblSafety[Hours_Total],tblSafety[Date],$A21)</f>
        <v/>
      </c>
      <c r="GX21" s="57">
        <f>IF($B21=$B20,$GX20,0)+$GW21</f>
        <v/>
      </c>
      <c r="GY21" s="57">
        <f>$GY20+$GW21</f>
        <v/>
      </c>
      <c r="GZ21" s="62">
        <f>SUMIFS(tblSafety[Fatality],tblSafety[Date],$A21)</f>
        <v/>
      </c>
      <c r="HA21" s="62">
        <f>IF($B21=$B20,$HA20,0)+$GZ21</f>
        <v/>
      </c>
      <c r="HB21" s="62">
        <f>$HB20+$GZ21</f>
        <v/>
      </c>
      <c r="HC21" s="62">
        <f>SUMIFS(tblSafety[LTI],tblSafety[Date],$A21)</f>
        <v/>
      </c>
      <c r="HD21" s="62">
        <f>IF($B21=$B20,$HD20,0)+$HC21</f>
        <v/>
      </c>
      <c r="HE21" s="62">
        <f>$HE20+$HC21</f>
        <v/>
      </c>
      <c r="HF21" s="62">
        <f>SUMIFS(tblSafety[RWI],tblSafety[Date],$A21)</f>
        <v/>
      </c>
      <c r="HG21" s="62">
        <f>IF($B21=$B20,$HG20,0)+$HF21</f>
        <v/>
      </c>
      <c r="HH21" s="62">
        <f>$HH20+$HF21</f>
        <v/>
      </c>
      <c r="HI21" s="62">
        <f>SUMIFS(tblSafety[MTI],tblSafety[Date],$A21)</f>
        <v/>
      </c>
      <c r="HJ21" s="62">
        <f>IF($B21=$B20,$HJ20,0)+$HI21</f>
        <v/>
      </c>
      <c r="HK21" s="62">
        <f>$HK20+$HI21</f>
        <v/>
      </c>
      <c r="HL21" s="62">
        <f>SUMIFS(tblSafety[FAI],tblSafety[Date],$A21)</f>
        <v/>
      </c>
      <c r="HM21" s="62">
        <f>IF($B21=$B20,$HM20,0)+$HL21</f>
        <v/>
      </c>
      <c r="HN21" s="62">
        <f>$HN20+$HL21</f>
        <v/>
      </c>
      <c r="HO21" s="62">
        <f>SUMIFS(tblSafety[Recordables],tblSafety[Date],$A21)</f>
        <v/>
      </c>
      <c r="HP21" s="62">
        <f>IF($B21=$B20,$HP20,0)+$HO21</f>
        <v/>
      </c>
      <c r="HQ21" s="62">
        <f>$HQ20+$HO21</f>
        <v/>
      </c>
      <c r="HR21" s="62">
        <f>SUMIFS(tblSafety[Near_Miss],tblSafety[Date],$A21)</f>
        <v/>
      </c>
      <c r="HS21" s="62">
        <f>IF($B21=$B20,$HS20,0)+$HR21</f>
        <v/>
      </c>
      <c r="HT21" s="62">
        <f>$HT20+$HR21</f>
        <v/>
      </c>
      <c r="HU21" s="62">
        <f>SUMIFS(tblSafety[Hazard_Reports],tblSafety[Date],$A21)</f>
        <v/>
      </c>
      <c r="HV21" s="62">
        <f>IF($B21=$B20,$HV20,0)+$HU21</f>
        <v/>
      </c>
      <c r="HW21" s="62">
        <f>$HW20+$HU21</f>
        <v/>
      </c>
      <c r="HX21" s="62">
        <f>SUMIFS(tblSafety[HPI],tblSafety[Date],$A21)</f>
        <v/>
      </c>
      <c r="HY21" s="62">
        <f>IF($B21=$B20,$HY20,0)+$HX21</f>
        <v/>
      </c>
      <c r="HZ21" s="62">
        <f>$HZ20+$HX21</f>
        <v/>
      </c>
      <c r="IA21" s="62">
        <f>SUMIFS(tblSafety[Env_Incidents],tblSafety[Date],$A21)</f>
        <v/>
      </c>
      <c r="IB21" s="62">
        <f>IF($B21=$B20,$IB20,0)+$IA21</f>
        <v/>
      </c>
      <c r="IC21" s="62">
        <f>$IC20+$IA21</f>
        <v/>
      </c>
      <c r="ID21" s="62">
        <f>SUMIFS(tblSafety[Community_Incidents],tblSafety[Date],$A21)</f>
        <v/>
      </c>
      <c r="IE21" s="62">
        <f>IF($B21=$B20,$IE20,0)+$ID21</f>
        <v/>
      </c>
      <c r="IF21" s="62">
        <f>$IF20+$ID21</f>
        <v/>
      </c>
      <c r="IG21" s="62">
        <f>SUMIFS(tblSafety[Vehicle_Incidents],tblSafety[Date],$A21)</f>
        <v/>
      </c>
      <c r="IH21" s="62">
        <f>IF($B21=$B20,$IH20,0)+$IG21</f>
        <v/>
      </c>
      <c r="II21" s="62">
        <f>$II20+$IG21</f>
        <v/>
      </c>
      <c r="IJ21" s="62">
        <f>SUMIFS(tblSafety[Toolbox_Talks],tblSafety[Date],$A21)</f>
        <v/>
      </c>
      <c r="IK21" s="62">
        <f>IF($B21=$B20,$IK20,0)+$IJ21</f>
        <v/>
      </c>
      <c r="IL21" s="62">
        <f>$IL20+$IJ21</f>
        <v/>
      </c>
      <c r="IM21" s="62">
        <f>SUMIFS(tblSafety[Inspections],tblSafety[Date],$A21)</f>
        <v/>
      </c>
      <c r="IN21" s="62">
        <f>IF($B21=$B20,$IN20,0)+$IM21</f>
        <v/>
      </c>
      <c r="IO21" s="62">
        <f>$IO20+$IM21</f>
        <v/>
      </c>
      <c r="IP21" s="56">
        <f>IFERROR((SUMIFS(tblSafety[Recordables],tblSafety[Date],"&gt;="&amp;EDATE($E21,-12),tblSafety[Date],"&lt;="&amp;$A21)+SUMIFS(tblSafetyHistory[Recordables],tblSafetyHistory[Month],"&gt;="&amp;EDATE($E21,-12),tblSafetyHistory[Month],"&lt;"&amp;$E21,tblSafetyHistory[Use],1))/(SUMIFS(tblSafety[Hours_Total],tblSafety[Date],"&gt;="&amp;EDATE($E21,-12),tblSafety[Date],"&lt;="&amp;$A21)+SUMIFS(tblSafetyHistory[Hours_Total],tblSafetyHistory[Month],"&gt;="&amp;EDATE($E21,-12),tblSafetyHistory[Month],"&lt;"&amp;$E21,tblSafetyHistory[Use],1))*cfg_RateBasisHours,"")</f>
        <v/>
      </c>
      <c r="IQ21" s="56">
        <f>IFERROR((SUMIFS(tblSafety[LTI],tblSafety[Date],"&gt;="&amp;EDATE($E21,-12),tblSafety[Date],"&lt;="&amp;$A21)+SUMIFS(tblSafetyHistory[LTI],tblSafetyHistory[Month],"&gt;="&amp;EDATE($E21,-12),tblSafetyHistory[Month],"&lt;"&amp;$E21,tblSafetyHistory[Use],1))/(SUMIFS(tblSafety[Hours_Total],tblSafety[Date],"&gt;="&amp;EDATE($E21,-12),tblSafety[Date],"&lt;="&amp;$A21)+SUMIFS(tblSafetyHistory[Hours_Total],tblSafetyHistory[Month],"&gt;="&amp;EDATE($E21,-12),tblSafetyHistory[Month],"&lt;"&amp;$E21,tblSafetyHistory[Use],1))*cfg_RateBasisHours,"")</f>
        <v/>
      </c>
      <c r="IR21" s="62">
        <f>IF(MAX(N(cfg_PriorLTIDate),_xlfn.MAXIFS(tblSafety[Date],tblSafety[LTI],"&gt;0",tblSafety[Date],"&lt;="&amp;$A21))=0,"",$A21-MAX(N(cfg_PriorLTIDate),_xlfn.MAXIFS(tblSafety[Date],tblSafety[LTI],"&gt;0",tblSafety[Date],"&lt;="&amp;$A21)))</f>
        <v/>
      </c>
      <c r="IS21" s="55">
        <f>SUMIFS(tblBudget[Ore_Mined_t],tblBudget[Month],$E21)</f>
        <v/>
      </c>
      <c r="IT21" s="55">
        <f>$IS21*$C21/$D21</f>
        <v/>
      </c>
      <c r="IU21" s="55">
        <f>SUMIFS(tblBudget[Ore_Mined_t],tblBudget[Month],"&lt;"&amp;$E21)+$IT21</f>
        <v/>
      </c>
      <c r="IV21" s="55">
        <f>SUMIFS(tblBudget[Ore_oz],tblBudget[Month],$E21)</f>
        <v/>
      </c>
      <c r="IW21" s="55">
        <f>$IV21*$C21/$D21</f>
        <v/>
      </c>
      <c r="IX21" s="55">
        <f>SUMIFS(tblBudget[Ore_oz],tblBudget[Month],"&lt;"&amp;$E21)+$IW21</f>
        <v/>
      </c>
      <c r="IY21" s="55">
        <f>SUMIFS(tblBudget[Ore_Mined_t],tblBudget[Month],$E21)</f>
        <v/>
      </c>
      <c r="IZ21" s="55">
        <f>$IY21*$C21/$D21</f>
        <v/>
      </c>
      <c r="JA21" s="55">
        <f>SUMIFS(tblBudget[Ore_Mined_t],tblBudget[Month],"&lt;"&amp;$E21)+$IZ21</f>
        <v/>
      </c>
      <c r="JB21" s="56">
        <f>IFERROR(IF(($IY21)&gt;0,($IV21*cfg_TroyOz)/($IY21),""),"")</f>
        <v/>
      </c>
      <c r="JC21" s="56">
        <f>IFERROR(IF(($IZ21)&gt;0,($IW21*cfg_TroyOz)/($IZ21),""),"")</f>
        <v/>
      </c>
      <c r="JD21" s="56">
        <f>IFERROR(IF(($JA21)&gt;0,($IX21*cfg_TroyOz)/($JA21),""),"")</f>
        <v/>
      </c>
      <c r="JE21" s="55">
        <f>SUMIFS(tblBudget[Waste_t],tblBudget[Month],$E21)</f>
        <v/>
      </c>
      <c r="JF21" s="55">
        <f>$JE21*$C21/$D21</f>
        <v/>
      </c>
      <c r="JG21" s="55">
        <f>SUMIFS(tblBudget[Waste_t],tblBudget[Month],"&lt;"&amp;$E21)+$JF21</f>
        <v/>
      </c>
      <c r="JH21" s="55">
        <f>SUMIFS(tblBudget[TMM_t],tblBudget[Month],$E21)</f>
        <v/>
      </c>
      <c r="JI21" s="55">
        <f>$JH21*$C21/$D21</f>
        <v/>
      </c>
      <c r="JJ21" s="55">
        <f>SUMIFS(tblBudget[TMM_t],tblBudget[Month],"&lt;"&amp;$E21)+$JI21</f>
        <v/>
      </c>
      <c r="JK21" s="56">
        <f>IFERROR(IF(($IS21)&gt;0,($JE21)/($IS21),""),"")</f>
        <v/>
      </c>
      <c r="JL21" s="56">
        <f>IFERROR(IF(($IT21)&gt;0,($JF21)/($IT21),""),"")</f>
        <v/>
      </c>
      <c r="JM21" s="56">
        <f>IFERROR(IF(($IU21)&gt;0,($JG21)/($IU21),""),"")</f>
        <v/>
      </c>
      <c r="JN21" s="55">
        <f>SUMIFS(tblBudget[Drill_m],tblBudget[Month],$E21)</f>
        <v/>
      </c>
      <c r="JO21" s="55">
        <f>$JN21*$C21/$D21</f>
        <v/>
      </c>
      <c r="JP21" s="55">
        <f>SUMIFS(tblBudget[Drill_m],tblBudget[Month],"&lt;"&amp;$E21)+$JO21</f>
        <v/>
      </c>
      <c r="JQ21" s="55">
        <f>SUMIFS(tblBudget[Diesel_L],tblBudget[Month],$E21)</f>
        <v/>
      </c>
      <c r="JR21" s="55">
        <f>$JQ21*$C21/$D21</f>
        <v/>
      </c>
      <c r="JS21" s="55">
        <f>SUMIFS(tblBudget[Diesel_L],tblBudget[Month],"&lt;"&amp;$E21)+$JR21</f>
        <v/>
      </c>
      <c r="JT21" s="55">
        <f>SUMIFS(tblBudget[Milled_t],tblBudget[Month],$E21)</f>
        <v/>
      </c>
      <c r="JU21" s="55">
        <f>$JT21*$C21/$D21</f>
        <v/>
      </c>
      <c r="JV21" s="55">
        <f>SUMIFS(tblBudget[Milled_t],tblBudget[Month],"&lt;"&amp;$E21)+$JU21</f>
        <v/>
      </c>
      <c r="JW21" s="55">
        <f>SUMIFS(tblBudget[Feed_oz],tblBudget[Month],$E21)</f>
        <v/>
      </c>
      <c r="JX21" s="55">
        <f>$JW21*$C21/$D21</f>
        <v/>
      </c>
      <c r="JY21" s="55">
        <f>SUMIFS(tblBudget[Feed_oz],tblBudget[Month],"&lt;"&amp;$E21)+$JX21</f>
        <v/>
      </c>
      <c r="JZ21" s="55">
        <f>SUMIFS(tblBudget[Recovered_oz],tblBudget[Month],$E21)</f>
        <v/>
      </c>
      <c r="KA21" s="55">
        <f>$JZ21*$C21/$D21</f>
        <v/>
      </c>
      <c r="KB21" s="55">
        <f>SUMIFS(tblBudget[Recovered_oz],tblBudget[Month],"&lt;"&amp;$E21)+$KA21</f>
        <v/>
      </c>
      <c r="KC21" s="55">
        <f>SUMIFS(tblBudget[Milled_t],tblBudget[Month],$E21)</f>
        <v/>
      </c>
      <c r="KD21" s="55">
        <f>$KC21*$C21/$D21</f>
        <v/>
      </c>
      <c r="KE21" s="55">
        <f>SUMIFS(tblBudget[Milled_t],tblBudget[Month],"&lt;"&amp;$E21)+$KD21</f>
        <v/>
      </c>
      <c r="KF21" s="55">
        <f>SUMIFS(tblBudget[Feed_oz],tblBudget[Month],$E21)</f>
        <v/>
      </c>
      <c r="KG21" s="55">
        <f>$KF21*$C21/$D21</f>
        <v/>
      </c>
      <c r="KH21" s="55">
        <f>SUMIFS(tblBudget[Feed_oz],tblBudget[Month],"&lt;"&amp;$E21)+$KG21</f>
        <v/>
      </c>
      <c r="KI21" s="56">
        <f>IFERROR(IF(($KC21)&gt;0,($JW21*cfg_TroyOz)/($KC21),""),"")</f>
        <v/>
      </c>
      <c r="KJ21" s="56">
        <f>IFERROR(IF(($KD21)&gt;0,($JX21*cfg_TroyOz)/($KD21),""),"")</f>
        <v/>
      </c>
      <c r="KK21" s="56">
        <f>IFERROR(IF(($KE21)&gt;0,($JY21*cfg_TroyOz)/($KE21),""),"")</f>
        <v/>
      </c>
      <c r="KL21" s="67">
        <f>IFERROR(IF(($KF21)&gt;0,($JZ21)/($KF21),""),"")</f>
        <v/>
      </c>
      <c r="KM21" s="67">
        <f>IFERROR(IF(($KG21)&gt;0,($KA21)/($KG21),""),"")</f>
        <v/>
      </c>
      <c r="KN21" s="67">
        <f>IFERROR(IF(($KH21)&gt;0,($KB21)/($KH21),""),"")</f>
        <v/>
      </c>
      <c r="KO21" s="55">
        <f>SUMIFS(tblBudget[Gold_Poured_oz],tblBudget[Month],$E21)</f>
        <v/>
      </c>
      <c r="KP21" s="55">
        <f>$KO21*$C21/$D21</f>
        <v/>
      </c>
      <c r="KQ21" s="55">
        <f>SUMIFS(tblBudget[Gold_Poured_oz],tblBudget[Month],"&lt;"&amp;$E21)+$KP21</f>
        <v/>
      </c>
      <c r="KR21" s="57">
        <f>SUMIFS(tblBudget[Hours_Worked],tblBudget[Month],$E21)</f>
        <v/>
      </c>
      <c r="KS21" s="57">
        <f>$KR21*$C21/$D21</f>
        <v/>
      </c>
      <c r="KT21" s="57">
        <f>SUMIFS(tblBudget[Hours_Worked],tblBudget[Month],"&lt;"&amp;$E21)+$KS21</f>
        <v/>
      </c>
    </row>
    <row r="22">
      <c r="A22" s="54" t="n">
        <v>46043</v>
      </c>
      <c r="B22">
        <f>MONTH($A22)</f>
        <v/>
      </c>
      <c r="C22">
        <f>DAY($A22)</f>
        <v/>
      </c>
      <c r="D22">
        <f>DAY(EOMONTH($A22,0))</f>
        <v/>
      </c>
      <c r="E22" s="54">
        <f>DATE(YEAR($A22),MONTH($A22),1)</f>
        <v/>
      </c>
      <c r="F22" s="55">
        <f>SUMIFS(tblMovement[Tonnes_t],tblMovement[Date],$A22,tblMovement[Is_Ore],1,tblMovement[Source_Type],"Pit")</f>
        <v/>
      </c>
      <c r="G22" s="55">
        <f>IF($B22=$B21,$G21,0)+$F22</f>
        <v/>
      </c>
      <c r="H22" s="55">
        <f>$H21+$F22</f>
        <v/>
      </c>
      <c r="I22" s="55">
        <f>SUMIFS(tblMovement[Ore_oz],tblMovement[Date],$A22,tblMovement[Source_Type],"Pit")</f>
        <v/>
      </c>
      <c r="J22" s="55">
        <f>IF($B22=$B21,$J21,0)+$I22</f>
        <v/>
      </c>
      <c r="K22" s="55">
        <f>$K21+$I22</f>
        <v/>
      </c>
      <c r="L22" s="55">
        <f>SUMIFS(tblMovement[Tonnes_t],tblMovement[Date],$A22,tblMovement[Is_Ore],1,tblMovement[Source_Type],"Pit",tblMovement[Grade_gpt],"&lt;&gt;")</f>
        <v/>
      </c>
      <c r="M22" s="55">
        <f>IF($B22=$B21,$M21,0)+$L22</f>
        <v/>
      </c>
      <c r="N22" s="55">
        <f>$N21+$L22</f>
        <v/>
      </c>
      <c r="O22" s="56">
        <f>IFERROR(IF(($L22)&gt;0,($I22*cfg_TroyOz)/($L22),""),"")</f>
        <v/>
      </c>
      <c r="P22" s="56">
        <f>IFERROR(IF(($M22)&gt;0,($J22*cfg_TroyOz)/($M22),""),"")</f>
        <v/>
      </c>
      <c r="Q22" s="56">
        <f>IFERROR(IF(($N22)&gt;0,($K22*cfg_TroyOz)/($N22),""),"")</f>
        <v/>
      </c>
      <c r="R22" s="55">
        <f>$F22-$L22</f>
        <v/>
      </c>
      <c r="S22" s="55">
        <f>IF($B22=$B21,$S21,0)+$R22</f>
        <v/>
      </c>
      <c r="T22" s="55">
        <f>$T21+$R22</f>
        <v/>
      </c>
      <c r="U22" s="55">
        <f>SUMIFS(tblMovement[Tonnes_t],tblMovement[Date],$A22,tblMovement[Is_Ore],0,tblMovement[Source_Type],"Pit")</f>
        <v/>
      </c>
      <c r="V22" s="55">
        <f>IF($B22=$B21,$V21,0)+$U22</f>
        <v/>
      </c>
      <c r="W22" s="55">
        <f>$W21+$U22</f>
        <v/>
      </c>
      <c r="X22" s="55">
        <f>$F22+$U22</f>
        <v/>
      </c>
      <c r="Y22" s="55">
        <f>IF($B22=$B21,$Y21,0)+$X22</f>
        <v/>
      </c>
      <c r="Z22" s="55">
        <f>$Z21+$X22</f>
        <v/>
      </c>
      <c r="AA22" s="56">
        <f>IFERROR(IF(($F22)&gt;0,($U22)/($F22),""),"")</f>
        <v/>
      </c>
      <c r="AB22" s="56">
        <f>IFERROR(IF(($G22)&gt;0,($V22)/($G22),""),"")</f>
        <v/>
      </c>
      <c r="AC22" s="56">
        <f>IFERROR(IF(($H22)&gt;0,($W22)/($H22),""),"")</f>
        <v/>
      </c>
      <c r="AD22" s="55">
        <f>SUMIFS(tblMovement[Tonnes_t],tblMovement[Date],$A22,tblMovement[Source_Type],"Stockpile")</f>
        <v/>
      </c>
      <c r="AE22" s="55">
        <f>IF($B22=$B21,$AE21,0)+$AD22</f>
        <v/>
      </c>
      <c r="AF22" s="55">
        <f>$AF21+$AD22</f>
        <v/>
      </c>
      <c r="AG22" s="55">
        <f>SUMIFS(tblMovement[Tonnes_t],tblMovement[Date],$A22)</f>
        <v/>
      </c>
      <c r="AH22" s="55">
        <f>IF($B22=$B21,$AH21,0)+$AG22</f>
        <v/>
      </c>
      <c r="AI22" s="55">
        <f>$AI21+$AG22</f>
        <v/>
      </c>
      <c r="AJ22" s="55">
        <f>$AG22-$X22-$AD22</f>
        <v/>
      </c>
      <c r="AK22" s="55">
        <f>IF($B22=$B21,$AK21,0)+$AJ22</f>
        <v/>
      </c>
      <c r="AL22" s="55">
        <f>$AL21+$AJ22</f>
        <v/>
      </c>
      <c r="AM22" s="55">
        <f>SUMIFS(tblMiningDaily[Drill_m],tblMiningDaily[Date],$A22)</f>
        <v/>
      </c>
      <c r="AN22" s="55">
        <f>IF($B22=$B21,$AN21,0)+$AM22</f>
        <v/>
      </c>
      <c r="AO22" s="55">
        <f>$AO21+$AM22</f>
        <v/>
      </c>
      <c r="AP22" s="55">
        <f>SUMIFS(tblMiningDaily[GC_Drill_m],tblMiningDaily[Date],$A22)</f>
        <v/>
      </c>
      <c r="AQ22" s="55">
        <f>IF($B22=$B21,$AQ21,0)+$AP22</f>
        <v/>
      </c>
      <c r="AR22" s="55">
        <f>$AR21+$AP22</f>
        <v/>
      </c>
      <c r="AS22" s="55">
        <f>SUMIFS(tblMiningDaily[Blast_t],tblMiningDaily[Date],$A22)</f>
        <v/>
      </c>
      <c r="AT22" s="55">
        <f>IF($B22=$B21,$AT21,0)+$AS22</f>
        <v/>
      </c>
      <c r="AU22" s="55">
        <f>$AU21+$AS22</f>
        <v/>
      </c>
      <c r="AV22" s="55">
        <f>SUMIFS(tblMiningDaily[Explosives_kg],tblMiningDaily[Date],$A22)</f>
        <v/>
      </c>
      <c r="AW22" s="55">
        <f>IF($B22=$B21,$AW21,0)+$AV22</f>
        <v/>
      </c>
      <c r="AX22" s="55">
        <f>$AX21+$AV22</f>
        <v/>
      </c>
      <c r="AY22" s="56">
        <f>IFERROR(IF(($AS22)&gt;0,($AV22)/($AS22),""),"")</f>
        <v/>
      </c>
      <c r="AZ22" s="56">
        <f>IFERROR(IF(($AT22)&gt;0,($AW22)/($AT22),""),"")</f>
        <v/>
      </c>
      <c r="BA22" s="56">
        <f>IFERROR(IF(($AU22)&gt;0,($AX22)/($AU22),""),"")</f>
        <v/>
      </c>
      <c r="BB22" s="55">
        <f>SUMIFS(tblMiningDaily[Diesel_L],tblMiningDaily[Date],$A22)</f>
        <v/>
      </c>
      <c r="BC22" s="55">
        <f>IF($B22=$B21,$BC21,0)+$BB22</f>
        <v/>
      </c>
      <c r="BD22" s="55">
        <f>$BD21+$BB22</f>
        <v/>
      </c>
      <c r="BE22" s="55">
        <f>SUMIFS(tblMiningDaily[Dewatering_m3],tblMiningDaily[Date],$A22)</f>
        <v/>
      </c>
      <c r="BF22" s="55">
        <f>IF($B22=$B21,$BF21,0)+$BE22</f>
        <v/>
      </c>
      <c r="BG22" s="55">
        <f>$BG21+$BE22</f>
        <v/>
      </c>
      <c r="BH22" s="57">
        <f>SUMIFS(tblFleet[Calendar_h],tblFleet[Date],$A22,tblFleet[Equipment_Class],"Excavator")</f>
        <v/>
      </c>
      <c r="BI22" s="57">
        <f>IF($B22=$B21,$BI21,0)+$BH22</f>
        <v/>
      </c>
      <c r="BJ22" s="57">
        <f>$BJ21+$BH22</f>
        <v/>
      </c>
      <c r="BK22" s="57">
        <f>SUMIFS(tblFleet[Available_h],tblFleet[Date],$A22,tblFleet[Equipment_Class],"Excavator")</f>
        <v/>
      </c>
      <c r="BL22" s="57">
        <f>IF($B22=$B21,$BL21,0)+$BK22</f>
        <v/>
      </c>
      <c r="BM22" s="57">
        <f>$BM21+$BK22</f>
        <v/>
      </c>
      <c r="BN22" s="57">
        <f>SUMIFS(tblFleet[Operating_h],tblFleet[Date],$A22,tblFleet[Equipment_Class],"Excavator")</f>
        <v/>
      </c>
      <c r="BO22" s="57">
        <f>IF($B22=$B21,$BO21,0)+$BN22</f>
        <v/>
      </c>
      <c r="BP22" s="57">
        <f>$BP21+$BN22</f>
        <v/>
      </c>
      <c r="BQ22" s="67">
        <f>IFERROR(IF(($BH22)&gt;0,($BK22)/($BH22),""),"")</f>
        <v/>
      </c>
      <c r="BR22" s="67">
        <f>IFERROR(IF(($BI22)&gt;0,($BL22)/($BI22),""),"")</f>
        <v/>
      </c>
      <c r="BS22" s="67">
        <f>IFERROR(IF(($BJ22)&gt;0,($BM22)/($BJ22),""),"")</f>
        <v/>
      </c>
      <c r="BT22" s="67">
        <f>IFERROR(IF(($BK22)&gt;0,($BN22)/($BK22),""),"")</f>
        <v/>
      </c>
      <c r="BU22" s="67">
        <f>IFERROR(IF(($BL22)&gt;0,($BO22)/($BL22),""),"")</f>
        <v/>
      </c>
      <c r="BV22" s="67">
        <f>IFERROR(IF(($BM22)&gt;0,($BP22)/($BM22),""),"")</f>
        <v/>
      </c>
      <c r="BW22" s="57">
        <f>SUMIFS(tblFleet[Calendar_h],tblFleet[Date],$A22,tblFleet[Equipment_Class],"Haul Truck")</f>
        <v/>
      </c>
      <c r="BX22" s="57">
        <f>IF($B22=$B21,$BX21,0)+$BW22</f>
        <v/>
      </c>
      <c r="BY22" s="57">
        <f>$BY21+$BW22</f>
        <v/>
      </c>
      <c r="BZ22" s="57">
        <f>SUMIFS(tblFleet[Available_h],tblFleet[Date],$A22,tblFleet[Equipment_Class],"Haul Truck")</f>
        <v/>
      </c>
      <c r="CA22" s="57">
        <f>IF($B22=$B21,$CA21,0)+$BZ22</f>
        <v/>
      </c>
      <c r="CB22" s="57">
        <f>$CB21+$BZ22</f>
        <v/>
      </c>
      <c r="CC22" s="57">
        <f>SUMIFS(tblFleet[Operating_h],tblFleet[Date],$A22,tblFleet[Equipment_Class],"Haul Truck")</f>
        <v/>
      </c>
      <c r="CD22" s="57">
        <f>IF($B22=$B21,$CD21,0)+$CC22</f>
        <v/>
      </c>
      <c r="CE22" s="57">
        <f>$CE21+$CC22</f>
        <v/>
      </c>
      <c r="CF22" s="67">
        <f>IFERROR(IF(($BW22)&gt;0,($BZ22)/($BW22),""),"")</f>
        <v/>
      </c>
      <c r="CG22" s="67">
        <f>IFERROR(IF(($BX22)&gt;0,($CA22)/($BX22),""),"")</f>
        <v/>
      </c>
      <c r="CH22" s="67">
        <f>IFERROR(IF(($BY22)&gt;0,($CB22)/($BY22),""),"")</f>
        <v/>
      </c>
      <c r="CI22" s="67">
        <f>IFERROR(IF(($BZ22)&gt;0,($CC22)/($BZ22),""),"")</f>
        <v/>
      </c>
      <c r="CJ22" s="67">
        <f>IFERROR(IF(($CA22)&gt;0,($CD22)/($CA22),""),"")</f>
        <v/>
      </c>
      <c r="CK22" s="67">
        <f>IFERROR(IF(($CB22)&gt;0,($CE22)/($CB22),""),"")</f>
        <v/>
      </c>
      <c r="CL22" s="55">
        <f>IFERROR(IF(($BN22)&gt;0,($X22+$AD22)/($BN22),""),"")</f>
        <v/>
      </c>
      <c r="CM22" s="55">
        <f>IFERROR(IF(($BO22)&gt;0,($Y22+$AE22)/($BO22),""),"")</f>
        <v/>
      </c>
      <c r="CN22" s="55">
        <f>IFERROR(IF(($BP22)&gt;0,($Z22+$AF22)/($BP22),""),"")</f>
        <v/>
      </c>
      <c r="CO22" s="55">
        <f>IFERROR(IF(($CC22)&gt;0,($X22+$AD22)/($CC22),""),"")</f>
        <v/>
      </c>
      <c r="CP22" s="55">
        <f>IFERROR(IF(($CD22)&gt;0,($Y22+$AE22)/($CD22),""),"")</f>
        <v/>
      </c>
      <c r="CQ22" s="55">
        <f>IFERROR(IF(($CE22)&gt;0,($Z22+$AF22)/($CE22),""),"")</f>
        <v/>
      </c>
      <c r="CR22" s="55">
        <f>SUMIFS(tblPlant[Crushed_t],tblPlant[Date],$A22)</f>
        <v/>
      </c>
      <c r="CS22" s="55">
        <f>IF($B22=$B21,$CS21,0)+$CR22</f>
        <v/>
      </c>
      <c r="CT22" s="55">
        <f>$CT21+$CR22</f>
        <v/>
      </c>
      <c r="CU22" s="55">
        <f>SUMIFS(tblPlant[Milled_t],tblPlant[Date],$A22)</f>
        <v/>
      </c>
      <c r="CV22" s="55">
        <f>IF($B22=$B21,$CV21,0)+$CU22</f>
        <v/>
      </c>
      <c r="CW22" s="55">
        <f>$CW21+$CU22</f>
        <v/>
      </c>
      <c r="CX22" s="55">
        <f>SUMIFS(tblPlant[Feed_oz],tblPlant[Date],$A22)</f>
        <v/>
      </c>
      <c r="CY22" s="55">
        <f>IF($B22=$B21,$CY21,0)+$CX22</f>
        <v/>
      </c>
      <c r="CZ22" s="55">
        <f>$CZ21+$CX22</f>
        <v/>
      </c>
      <c r="DA22" s="55">
        <f>SUMIFS(tblPlant[Tails_oz],tblPlant[Date],$A22)</f>
        <v/>
      </c>
      <c r="DB22" s="55">
        <f>IF($B22=$B21,$DB21,0)+$DA22</f>
        <v/>
      </c>
      <c r="DC22" s="55">
        <f>$DC21+$DA22</f>
        <v/>
      </c>
      <c r="DD22" s="55">
        <f>SUMIFS(tblPlant[Recovered_oz],tblPlant[Date],$A22)</f>
        <v/>
      </c>
      <c r="DE22" s="55">
        <f>IF($B22=$B21,$DE21,0)+$DD22</f>
        <v/>
      </c>
      <c r="DF22" s="55">
        <f>$DF21+$DD22</f>
        <v/>
      </c>
      <c r="DG22" s="55">
        <f>SUMIFS(tblPlant[Milled_t],tblPlant[Date],$A22,tblPlant[Head_Grade_gpt],"&lt;&gt;")</f>
        <v/>
      </c>
      <c r="DH22" s="55">
        <f>IF($B22=$B21,$DH21,0)+$DG22</f>
        <v/>
      </c>
      <c r="DI22" s="55">
        <f>$DI21+$DG22</f>
        <v/>
      </c>
      <c r="DJ22" s="55">
        <f>SUMIFS(tblPlant[Milled_t],tblPlant[Date],$A22,tblPlant[Tails_Grade_gpt],"&lt;&gt;")</f>
        <v/>
      </c>
      <c r="DK22" s="55">
        <f>IF($B22=$B21,$DK21,0)+$DJ22</f>
        <v/>
      </c>
      <c r="DL22" s="55">
        <f>$DL21+$DJ22</f>
        <v/>
      </c>
      <c r="DM22" s="55">
        <f>SUMIFS(tblPlant[Feed_oz],tblPlant[Date],$A22,tblPlant[Tails_Grade_gpt],"&lt;&gt;")</f>
        <v/>
      </c>
      <c r="DN22" s="55">
        <f>IF($B22=$B21,$DN21,0)+$DM22</f>
        <v/>
      </c>
      <c r="DO22" s="55">
        <f>$DO21+$DM22</f>
        <v/>
      </c>
      <c r="DP22" s="55">
        <f>SUMIFS(tblPlant[Milled_t],tblPlant[Date],$A22,tblPlant[Mill_Run_h],"&lt;&gt;")</f>
        <v/>
      </c>
      <c r="DQ22" s="55">
        <f>IF($B22=$B21,$DQ21,0)+$DP22</f>
        <v/>
      </c>
      <c r="DR22" s="55">
        <f>$DR21+$DP22</f>
        <v/>
      </c>
      <c r="DS22" s="56">
        <f>IFERROR(IF(($DG22)&gt;0,($CX22*cfg_TroyOz)/($DG22),""),"")</f>
        <v/>
      </c>
      <c r="DT22" s="56">
        <f>IFERROR(IF(($DH22)&gt;0,($CY22*cfg_TroyOz)/($DH22),""),"")</f>
        <v/>
      </c>
      <c r="DU22" s="56">
        <f>IFERROR(IF(($DI22)&gt;0,($CZ22*cfg_TroyOz)/($DI22),""),"")</f>
        <v/>
      </c>
      <c r="DV22" s="56">
        <f>IFERROR(IF(($DJ22)&gt;0,($DA22*cfg_TroyOz)/($DJ22),""),"")</f>
        <v/>
      </c>
      <c r="DW22" s="56">
        <f>IFERROR(IF(($DK22)&gt;0,($DB22*cfg_TroyOz)/($DK22),""),"")</f>
        <v/>
      </c>
      <c r="DX22" s="56">
        <f>IFERROR(IF(($DL22)&gt;0,($DC22*cfg_TroyOz)/($DL22),""),"")</f>
        <v/>
      </c>
      <c r="DY22" s="67">
        <f>IFERROR(IF(($DM22)&gt;0,($DD22)/($DM22),""),"")</f>
        <v/>
      </c>
      <c r="DZ22" s="67">
        <f>IFERROR(IF(($DN22)&gt;0,($DE22)/($DN22),""),"")</f>
        <v/>
      </c>
      <c r="EA22" s="67">
        <f>IFERROR(IF(($DO22)&gt;0,($DF22)/($DO22),""),"")</f>
        <v/>
      </c>
      <c r="EB22" s="55">
        <f>SUMIFS(tblPlant[Gravity_Gold_oz],tblPlant[Date],$A22)</f>
        <v/>
      </c>
      <c r="EC22" s="55">
        <f>IF($B22=$B21,$EC21,0)+$EB22</f>
        <v/>
      </c>
      <c r="ED22" s="55">
        <f>$ED21+$EB22</f>
        <v/>
      </c>
      <c r="EE22" s="67">
        <f>IFERROR(IF(($DD22)&gt;0,($EB22)/($DD22),""),"")</f>
        <v/>
      </c>
      <c r="EF22" s="67">
        <f>IFERROR(IF(($DE22)&gt;0,($EC22)/($DE22),""),"")</f>
        <v/>
      </c>
      <c r="EG22" s="67">
        <f>IFERROR(IF(($DF22)&gt;0,($ED22)/($DF22),""),"")</f>
        <v/>
      </c>
      <c r="EH22" s="55">
        <f>SUMIFS(tblPlant[Gold_Poured_oz],tblPlant[Date],$A22)</f>
        <v/>
      </c>
      <c r="EI22" s="55">
        <f>IF($B22=$B21,$EI21,0)+$EH22</f>
        <v/>
      </c>
      <c r="EJ22" s="55">
        <f>$EJ21+$EH22</f>
        <v/>
      </c>
      <c r="EK22" s="57">
        <f>SUMIFS(tblPlant[Mill_Run_h],tblPlant[Date],$A22)</f>
        <v/>
      </c>
      <c r="EL22" s="57">
        <f>IF($B22=$B21,$EL21,0)+$EK22</f>
        <v/>
      </c>
      <c r="EM22" s="57">
        <f>$EM21+$EK22</f>
        <v/>
      </c>
      <c r="EN22" s="57">
        <f>SUMIFS(tblPlant[Mill_Planned_Maint_h],tblPlant[Date],$A22)</f>
        <v/>
      </c>
      <c r="EO22" s="57">
        <f>IF($B22=$B21,$EO21,0)+$EN22</f>
        <v/>
      </c>
      <c r="EP22" s="57">
        <f>$EP21+$EN22</f>
        <v/>
      </c>
      <c r="EQ22" s="57">
        <f>SUMIFS(tblPlant[Mill_Unplanned_Down_h],tblPlant[Date],$A22)</f>
        <v/>
      </c>
      <c r="ER22" s="57">
        <f>IF($B22=$B21,$ER21,0)+$EQ22</f>
        <v/>
      </c>
      <c r="ES22" s="57">
        <f>$ES21+$EQ22</f>
        <v/>
      </c>
      <c r="ET22" s="57">
        <f>IF(COUNTIFS(tblPlant[Date],$A22,tblPlant[Mill_Run_h],"&lt;&gt;")+COUNTIFS(tblPlant[Date],$A22,tblPlant[Mill_Planned_Maint_h],"&lt;&gt;")+COUNTIFS(tblPlant[Date],$A22,tblPlant[Mill_Unplanned_Down_h],"&lt;&gt;")&gt;0,cfg_HoursPerDay,0)</f>
        <v/>
      </c>
      <c r="EU22" s="57">
        <f>IF($B22=$B21,$EU21,0)+$ET22</f>
        <v/>
      </c>
      <c r="EV22" s="57">
        <f>$EV21+$ET22</f>
        <v/>
      </c>
      <c r="EW22" s="57">
        <f>SUMIFS(tblPlant[Crusher_Run_h],tblPlant[Date],$A22)</f>
        <v/>
      </c>
      <c r="EX22" s="57">
        <f>IF($B22=$B21,$EX21,0)+$EW22</f>
        <v/>
      </c>
      <c r="EY22" s="57">
        <f>$EY21+$EW22</f>
        <v/>
      </c>
      <c r="EZ22" s="55">
        <f>IFERROR(IF(($EK22)&gt;0,($DP22)/($EK22),""),"")</f>
        <v/>
      </c>
      <c r="FA22" s="55">
        <f>IFERROR(IF(($EL22)&gt;0,($DQ22)/($EL22),""),"")</f>
        <v/>
      </c>
      <c r="FB22" s="55">
        <f>IFERROR(IF(($EM22)&gt;0,($DR22)/($EM22),""),"")</f>
        <v/>
      </c>
      <c r="FC22" s="67">
        <f>IFERROR(IF(($ET22)&gt;0,($ET22-$EN22-$EQ22)/($ET22),""),"")</f>
        <v/>
      </c>
      <c r="FD22" s="67">
        <f>IFERROR(IF(($EU22)&gt;0,($EU22-$EO22-$ER22)/($EU22),""),"")</f>
        <v/>
      </c>
      <c r="FE22" s="67">
        <f>IFERROR(IF(($EV22)&gt;0,($EV22-$EP22-$ES22)/($EV22),""),"")</f>
        <v/>
      </c>
      <c r="FF22" s="67">
        <f>IFERROR(IF(($ET22-$EN22-$EQ22)&gt;0,($EK22)/($ET22-$EN22-$EQ22),""),"")</f>
        <v/>
      </c>
      <c r="FG22" s="67">
        <f>IFERROR(IF(($EU22-$EO22-$ER22)&gt;0,($EL22)/($EU22-$EO22-$ER22),""),"")</f>
        <v/>
      </c>
      <c r="FH22" s="67">
        <f>IFERROR(IF(($EV22-$EP22-$ES22)&gt;0,($EM22)/($EV22-$EP22-$ES22),""),"")</f>
        <v/>
      </c>
      <c r="FI22" s="55">
        <f>SUMIFS(tblPlant[Cyanide_kg],tblPlant[Date],$A22)</f>
        <v/>
      </c>
      <c r="FJ22" s="55">
        <f>IF($B22=$B21,$FJ21,0)+$FI22</f>
        <v/>
      </c>
      <c r="FK22" s="55">
        <f>$FK21+$FI22</f>
        <v/>
      </c>
      <c r="FL22" s="55">
        <f>SUMIFS(tblPlant[Lime_kg],tblPlant[Date],$A22)</f>
        <v/>
      </c>
      <c r="FM22" s="55">
        <f>IF($B22=$B21,$FM21,0)+$FL22</f>
        <v/>
      </c>
      <c r="FN22" s="55">
        <f>$FN21+$FL22</f>
        <v/>
      </c>
      <c r="FO22" s="55">
        <f>SUMIFS(tblPlant[Grinding_Media_kg],tblPlant[Date],$A22)</f>
        <v/>
      </c>
      <c r="FP22" s="55">
        <f>IF($B22=$B21,$FP21,0)+$FO22</f>
        <v/>
      </c>
      <c r="FQ22" s="55">
        <f>$FQ21+$FO22</f>
        <v/>
      </c>
      <c r="FR22" s="55">
        <f>SUMIFS(tblPlant[Power_kWh],tblPlant[Date],$A22)</f>
        <v/>
      </c>
      <c r="FS22" s="55">
        <f>IF($B22=$B21,$FS21,0)+$FR22</f>
        <v/>
      </c>
      <c r="FT22" s="55">
        <f>$FT21+$FR22</f>
        <v/>
      </c>
      <c r="FU22" s="55">
        <f>SUMIFS(tblPlant[Raw_Water_m3],tblPlant[Date],$A22)</f>
        <v/>
      </c>
      <c r="FV22" s="55">
        <f>IF($B22=$B21,$FV21,0)+$FU22</f>
        <v/>
      </c>
      <c r="FW22" s="55">
        <f>$FW21+$FU22</f>
        <v/>
      </c>
      <c r="FX22" s="56">
        <f>IFERROR(IF(($CU22)&gt;0,($FI22)/($CU22),""),"")</f>
        <v/>
      </c>
      <c r="FY22" s="56">
        <f>IFERROR(IF(($CV22)&gt;0,($FJ22)/($CV22),""),"")</f>
        <v/>
      </c>
      <c r="FZ22" s="56">
        <f>IFERROR(IF(($CW22)&gt;0,($FK22)/($CW22),""),"")</f>
        <v/>
      </c>
      <c r="GA22" s="56">
        <f>IFERROR(IF(($CU22)&gt;0,($FL22)/($CU22),""),"")</f>
        <v/>
      </c>
      <c r="GB22" s="56">
        <f>IFERROR(IF(($CV22)&gt;0,($FM22)/($CV22),""),"")</f>
        <v/>
      </c>
      <c r="GC22" s="56">
        <f>IFERROR(IF(($CW22)&gt;0,($FN22)/($CW22),""),"")</f>
        <v/>
      </c>
      <c r="GD22" s="56">
        <f>IFERROR(IF(($CU22)&gt;0,($FO22)/($CU22),""),"")</f>
        <v/>
      </c>
      <c r="GE22" s="56">
        <f>IFERROR(IF(($CV22)&gt;0,($FP22)/($CV22),""),"")</f>
        <v/>
      </c>
      <c r="GF22" s="56">
        <f>IFERROR(IF(($CW22)&gt;0,($FQ22)/($CW22),""),"")</f>
        <v/>
      </c>
      <c r="GG22" s="79">
        <f>IFERROR(IF(($CU22)&gt;0,($FR22)/($CU22),""),"")</f>
        <v/>
      </c>
      <c r="GH22" s="79">
        <f>IFERROR(IF(($CV22)&gt;0,($FS22)/($CV22),""),"")</f>
        <v/>
      </c>
      <c r="GI22" s="79">
        <f>IFERROR(IF(($CW22)&gt;0,($FT22)/($CW22),""),"")</f>
        <v/>
      </c>
      <c r="GJ22" s="56">
        <f>IFERROR(IF(($CU22)&gt;0,($FU22)/($CU22),""),"")</f>
        <v/>
      </c>
      <c r="GK22" s="56">
        <f>IFERROR(IF(($CV22)&gt;0,($FV22)/($CV22),""),"")</f>
        <v/>
      </c>
      <c r="GL22" s="56">
        <f>IFERROR(IF(($CW22)&gt;0,($FW22)/($CW22),""),"")</f>
        <v/>
      </c>
      <c r="GM22" s="55">
        <f>IF(SUMIFS(tblPlant[GIC_oz],tblPlant[Date],$A22)&gt;0,SUMIFS(tblPlant[GIC_oz],tblPlant[Date],$A22),"")</f>
        <v/>
      </c>
      <c r="GN22" s="55">
        <f>SUMIFS(tblGold[Gold_oz],tblGold[Date],$A22,tblGold[Type],"Shipment")</f>
        <v/>
      </c>
      <c r="GO22" s="55">
        <f>IF($B22=$B21,$GO21,0)+$GN22</f>
        <v/>
      </c>
      <c r="GP22" s="55">
        <f>$GP21+$GN22</f>
        <v/>
      </c>
      <c r="GQ22" s="55">
        <f>SUMIFS(tblGold[Gold_oz],tblGold[Date],$A22,tblGold[Type],"Sale")</f>
        <v/>
      </c>
      <c r="GR22" s="55">
        <f>IF($B22=$B21,$GR21,0)+$GQ22</f>
        <v/>
      </c>
      <c r="GS22" s="55">
        <f>$GS21+$GQ22</f>
        <v/>
      </c>
      <c r="GT22" s="55">
        <f>SUMIFS(tblGold[Dore_kg],tblGold[Date],$A22,tblGold[Type],"Shipment")</f>
        <v/>
      </c>
      <c r="GU22" s="55">
        <f>IF($B22=$B21,$GU21,0)+$GT22</f>
        <v/>
      </c>
      <c r="GV22" s="55">
        <f>$GV21+$GT22</f>
        <v/>
      </c>
      <c r="GW22" s="57">
        <f>SUMIFS(tblSafety[Hours_Total],tblSafety[Date],$A22)</f>
        <v/>
      </c>
      <c r="GX22" s="57">
        <f>IF($B22=$B21,$GX21,0)+$GW22</f>
        <v/>
      </c>
      <c r="GY22" s="57">
        <f>$GY21+$GW22</f>
        <v/>
      </c>
      <c r="GZ22" s="62">
        <f>SUMIFS(tblSafety[Fatality],tblSafety[Date],$A22)</f>
        <v/>
      </c>
      <c r="HA22" s="62">
        <f>IF($B22=$B21,$HA21,0)+$GZ22</f>
        <v/>
      </c>
      <c r="HB22" s="62">
        <f>$HB21+$GZ22</f>
        <v/>
      </c>
      <c r="HC22" s="62">
        <f>SUMIFS(tblSafety[LTI],tblSafety[Date],$A22)</f>
        <v/>
      </c>
      <c r="HD22" s="62">
        <f>IF($B22=$B21,$HD21,0)+$HC22</f>
        <v/>
      </c>
      <c r="HE22" s="62">
        <f>$HE21+$HC22</f>
        <v/>
      </c>
      <c r="HF22" s="62">
        <f>SUMIFS(tblSafety[RWI],tblSafety[Date],$A22)</f>
        <v/>
      </c>
      <c r="HG22" s="62">
        <f>IF($B22=$B21,$HG21,0)+$HF22</f>
        <v/>
      </c>
      <c r="HH22" s="62">
        <f>$HH21+$HF22</f>
        <v/>
      </c>
      <c r="HI22" s="62">
        <f>SUMIFS(tblSafety[MTI],tblSafety[Date],$A22)</f>
        <v/>
      </c>
      <c r="HJ22" s="62">
        <f>IF($B22=$B21,$HJ21,0)+$HI22</f>
        <v/>
      </c>
      <c r="HK22" s="62">
        <f>$HK21+$HI22</f>
        <v/>
      </c>
      <c r="HL22" s="62">
        <f>SUMIFS(tblSafety[FAI],tblSafety[Date],$A22)</f>
        <v/>
      </c>
      <c r="HM22" s="62">
        <f>IF($B22=$B21,$HM21,0)+$HL22</f>
        <v/>
      </c>
      <c r="HN22" s="62">
        <f>$HN21+$HL22</f>
        <v/>
      </c>
      <c r="HO22" s="62">
        <f>SUMIFS(tblSafety[Recordables],tblSafety[Date],$A22)</f>
        <v/>
      </c>
      <c r="HP22" s="62">
        <f>IF($B22=$B21,$HP21,0)+$HO22</f>
        <v/>
      </c>
      <c r="HQ22" s="62">
        <f>$HQ21+$HO22</f>
        <v/>
      </c>
      <c r="HR22" s="62">
        <f>SUMIFS(tblSafety[Near_Miss],tblSafety[Date],$A22)</f>
        <v/>
      </c>
      <c r="HS22" s="62">
        <f>IF($B22=$B21,$HS21,0)+$HR22</f>
        <v/>
      </c>
      <c r="HT22" s="62">
        <f>$HT21+$HR22</f>
        <v/>
      </c>
      <c r="HU22" s="62">
        <f>SUMIFS(tblSafety[Hazard_Reports],tblSafety[Date],$A22)</f>
        <v/>
      </c>
      <c r="HV22" s="62">
        <f>IF($B22=$B21,$HV21,0)+$HU22</f>
        <v/>
      </c>
      <c r="HW22" s="62">
        <f>$HW21+$HU22</f>
        <v/>
      </c>
      <c r="HX22" s="62">
        <f>SUMIFS(tblSafety[HPI],tblSafety[Date],$A22)</f>
        <v/>
      </c>
      <c r="HY22" s="62">
        <f>IF($B22=$B21,$HY21,0)+$HX22</f>
        <v/>
      </c>
      <c r="HZ22" s="62">
        <f>$HZ21+$HX22</f>
        <v/>
      </c>
      <c r="IA22" s="62">
        <f>SUMIFS(tblSafety[Env_Incidents],tblSafety[Date],$A22)</f>
        <v/>
      </c>
      <c r="IB22" s="62">
        <f>IF($B22=$B21,$IB21,0)+$IA22</f>
        <v/>
      </c>
      <c r="IC22" s="62">
        <f>$IC21+$IA22</f>
        <v/>
      </c>
      <c r="ID22" s="62">
        <f>SUMIFS(tblSafety[Community_Incidents],tblSafety[Date],$A22)</f>
        <v/>
      </c>
      <c r="IE22" s="62">
        <f>IF($B22=$B21,$IE21,0)+$ID22</f>
        <v/>
      </c>
      <c r="IF22" s="62">
        <f>$IF21+$ID22</f>
        <v/>
      </c>
      <c r="IG22" s="62">
        <f>SUMIFS(tblSafety[Vehicle_Incidents],tblSafety[Date],$A22)</f>
        <v/>
      </c>
      <c r="IH22" s="62">
        <f>IF($B22=$B21,$IH21,0)+$IG22</f>
        <v/>
      </c>
      <c r="II22" s="62">
        <f>$II21+$IG22</f>
        <v/>
      </c>
      <c r="IJ22" s="62">
        <f>SUMIFS(tblSafety[Toolbox_Talks],tblSafety[Date],$A22)</f>
        <v/>
      </c>
      <c r="IK22" s="62">
        <f>IF($B22=$B21,$IK21,0)+$IJ22</f>
        <v/>
      </c>
      <c r="IL22" s="62">
        <f>$IL21+$IJ22</f>
        <v/>
      </c>
      <c r="IM22" s="62">
        <f>SUMIFS(tblSafety[Inspections],tblSafety[Date],$A22)</f>
        <v/>
      </c>
      <c r="IN22" s="62">
        <f>IF($B22=$B21,$IN21,0)+$IM22</f>
        <v/>
      </c>
      <c r="IO22" s="62">
        <f>$IO21+$IM22</f>
        <v/>
      </c>
      <c r="IP22" s="56">
        <f>IFERROR((SUMIFS(tblSafety[Recordables],tblSafety[Date],"&gt;="&amp;EDATE($E22,-12),tblSafety[Date],"&lt;="&amp;$A22)+SUMIFS(tblSafetyHistory[Recordables],tblSafetyHistory[Month],"&gt;="&amp;EDATE($E22,-12),tblSafetyHistory[Month],"&lt;"&amp;$E22,tblSafetyHistory[Use],1))/(SUMIFS(tblSafety[Hours_Total],tblSafety[Date],"&gt;="&amp;EDATE($E22,-12),tblSafety[Date],"&lt;="&amp;$A22)+SUMIFS(tblSafetyHistory[Hours_Total],tblSafetyHistory[Month],"&gt;="&amp;EDATE($E22,-12),tblSafetyHistory[Month],"&lt;"&amp;$E22,tblSafetyHistory[Use],1))*cfg_RateBasisHours,"")</f>
        <v/>
      </c>
      <c r="IQ22" s="56">
        <f>IFERROR((SUMIFS(tblSafety[LTI],tblSafety[Date],"&gt;="&amp;EDATE($E22,-12),tblSafety[Date],"&lt;="&amp;$A22)+SUMIFS(tblSafetyHistory[LTI],tblSafetyHistory[Month],"&gt;="&amp;EDATE($E22,-12),tblSafetyHistory[Month],"&lt;"&amp;$E22,tblSafetyHistory[Use],1))/(SUMIFS(tblSafety[Hours_Total],tblSafety[Date],"&gt;="&amp;EDATE($E22,-12),tblSafety[Date],"&lt;="&amp;$A22)+SUMIFS(tblSafetyHistory[Hours_Total],tblSafetyHistory[Month],"&gt;="&amp;EDATE($E22,-12),tblSafetyHistory[Month],"&lt;"&amp;$E22,tblSafetyHistory[Use],1))*cfg_RateBasisHours,"")</f>
        <v/>
      </c>
      <c r="IR22" s="62">
        <f>IF(MAX(N(cfg_PriorLTIDate),_xlfn.MAXIFS(tblSafety[Date],tblSafety[LTI],"&gt;0",tblSafety[Date],"&lt;="&amp;$A22))=0,"",$A22-MAX(N(cfg_PriorLTIDate),_xlfn.MAXIFS(tblSafety[Date],tblSafety[LTI],"&gt;0",tblSafety[Date],"&lt;="&amp;$A22)))</f>
        <v/>
      </c>
      <c r="IS22" s="55">
        <f>SUMIFS(tblBudget[Ore_Mined_t],tblBudget[Month],$E22)</f>
        <v/>
      </c>
      <c r="IT22" s="55">
        <f>$IS22*$C22/$D22</f>
        <v/>
      </c>
      <c r="IU22" s="55">
        <f>SUMIFS(tblBudget[Ore_Mined_t],tblBudget[Month],"&lt;"&amp;$E22)+$IT22</f>
        <v/>
      </c>
      <c r="IV22" s="55">
        <f>SUMIFS(tblBudget[Ore_oz],tblBudget[Month],$E22)</f>
        <v/>
      </c>
      <c r="IW22" s="55">
        <f>$IV22*$C22/$D22</f>
        <v/>
      </c>
      <c r="IX22" s="55">
        <f>SUMIFS(tblBudget[Ore_oz],tblBudget[Month],"&lt;"&amp;$E22)+$IW22</f>
        <v/>
      </c>
      <c r="IY22" s="55">
        <f>SUMIFS(tblBudget[Ore_Mined_t],tblBudget[Month],$E22)</f>
        <v/>
      </c>
      <c r="IZ22" s="55">
        <f>$IY22*$C22/$D22</f>
        <v/>
      </c>
      <c r="JA22" s="55">
        <f>SUMIFS(tblBudget[Ore_Mined_t],tblBudget[Month],"&lt;"&amp;$E22)+$IZ22</f>
        <v/>
      </c>
      <c r="JB22" s="56">
        <f>IFERROR(IF(($IY22)&gt;0,($IV22*cfg_TroyOz)/($IY22),""),"")</f>
        <v/>
      </c>
      <c r="JC22" s="56">
        <f>IFERROR(IF(($IZ22)&gt;0,($IW22*cfg_TroyOz)/($IZ22),""),"")</f>
        <v/>
      </c>
      <c r="JD22" s="56">
        <f>IFERROR(IF(($JA22)&gt;0,($IX22*cfg_TroyOz)/($JA22),""),"")</f>
        <v/>
      </c>
      <c r="JE22" s="55">
        <f>SUMIFS(tblBudget[Waste_t],tblBudget[Month],$E22)</f>
        <v/>
      </c>
      <c r="JF22" s="55">
        <f>$JE22*$C22/$D22</f>
        <v/>
      </c>
      <c r="JG22" s="55">
        <f>SUMIFS(tblBudget[Waste_t],tblBudget[Month],"&lt;"&amp;$E22)+$JF22</f>
        <v/>
      </c>
      <c r="JH22" s="55">
        <f>SUMIFS(tblBudget[TMM_t],tblBudget[Month],$E22)</f>
        <v/>
      </c>
      <c r="JI22" s="55">
        <f>$JH22*$C22/$D22</f>
        <v/>
      </c>
      <c r="JJ22" s="55">
        <f>SUMIFS(tblBudget[TMM_t],tblBudget[Month],"&lt;"&amp;$E22)+$JI22</f>
        <v/>
      </c>
      <c r="JK22" s="56">
        <f>IFERROR(IF(($IS22)&gt;0,($JE22)/($IS22),""),"")</f>
        <v/>
      </c>
      <c r="JL22" s="56">
        <f>IFERROR(IF(($IT22)&gt;0,($JF22)/($IT22),""),"")</f>
        <v/>
      </c>
      <c r="JM22" s="56">
        <f>IFERROR(IF(($IU22)&gt;0,($JG22)/($IU22),""),"")</f>
        <v/>
      </c>
      <c r="JN22" s="55">
        <f>SUMIFS(tblBudget[Drill_m],tblBudget[Month],$E22)</f>
        <v/>
      </c>
      <c r="JO22" s="55">
        <f>$JN22*$C22/$D22</f>
        <v/>
      </c>
      <c r="JP22" s="55">
        <f>SUMIFS(tblBudget[Drill_m],tblBudget[Month],"&lt;"&amp;$E22)+$JO22</f>
        <v/>
      </c>
      <c r="JQ22" s="55">
        <f>SUMIFS(tblBudget[Diesel_L],tblBudget[Month],$E22)</f>
        <v/>
      </c>
      <c r="JR22" s="55">
        <f>$JQ22*$C22/$D22</f>
        <v/>
      </c>
      <c r="JS22" s="55">
        <f>SUMIFS(tblBudget[Diesel_L],tblBudget[Month],"&lt;"&amp;$E22)+$JR22</f>
        <v/>
      </c>
      <c r="JT22" s="55">
        <f>SUMIFS(tblBudget[Milled_t],tblBudget[Month],$E22)</f>
        <v/>
      </c>
      <c r="JU22" s="55">
        <f>$JT22*$C22/$D22</f>
        <v/>
      </c>
      <c r="JV22" s="55">
        <f>SUMIFS(tblBudget[Milled_t],tblBudget[Month],"&lt;"&amp;$E22)+$JU22</f>
        <v/>
      </c>
      <c r="JW22" s="55">
        <f>SUMIFS(tblBudget[Feed_oz],tblBudget[Month],$E22)</f>
        <v/>
      </c>
      <c r="JX22" s="55">
        <f>$JW22*$C22/$D22</f>
        <v/>
      </c>
      <c r="JY22" s="55">
        <f>SUMIFS(tblBudget[Feed_oz],tblBudget[Month],"&lt;"&amp;$E22)+$JX22</f>
        <v/>
      </c>
      <c r="JZ22" s="55">
        <f>SUMIFS(tblBudget[Recovered_oz],tblBudget[Month],$E22)</f>
        <v/>
      </c>
      <c r="KA22" s="55">
        <f>$JZ22*$C22/$D22</f>
        <v/>
      </c>
      <c r="KB22" s="55">
        <f>SUMIFS(tblBudget[Recovered_oz],tblBudget[Month],"&lt;"&amp;$E22)+$KA22</f>
        <v/>
      </c>
      <c r="KC22" s="55">
        <f>SUMIFS(tblBudget[Milled_t],tblBudget[Month],$E22)</f>
        <v/>
      </c>
      <c r="KD22" s="55">
        <f>$KC22*$C22/$D22</f>
        <v/>
      </c>
      <c r="KE22" s="55">
        <f>SUMIFS(tblBudget[Milled_t],tblBudget[Month],"&lt;"&amp;$E22)+$KD22</f>
        <v/>
      </c>
      <c r="KF22" s="55">
        <f>SUMIFS(tblBudget[Feed_oz],tblBudget[Month],$E22)</f>
        <v/>
      </c>
      <c r="KG22" s="55">
        <f>$KF22*$C22/$D22</f>
        <v/>
      </c>
      <c r="KH22" s="55">
        <f>SUMIFS(tblBudget[Feed_oz],tblBudget[Month],"&lt;"&amp;$E22)+$KG22</f>
        <v/>
      </c>
      <c r="KI22" s="56">
        <f>IFERROR(IF(($KC22)&gt;0,($JW22*cfg_TroyOz)/($KC22),""),"")</f>
        <v/>
      </c>
      <c r="KJ22" s="56">
        <f>IFERROR(IF(($KD22)&gt;0,($JX22*cfg_TroyOz)/($KD22),""),"")</f>
        <v/>
      </c>
      <c r="KK22" s="56">
        <f>IFERROR(IF(($KE22)&gt;0,($JY22*cfg_TroyOz)/($KE22),""),"")</f>
        <v/>
      </c>
      <c r="KL22" s="67">
        <f>IFERROR(IF(($KF22)&gt;0,($JZ22)/($KF22),""),"")</f>
        <v/>
      </c>
      <c r="KM22" s="67">
        <f>IFERROR(IF(($KG22)&gt;0,($KA22)/($KG22),""),"")</f>
        <v/>
      </c>
      <c r="KN22" s="67">
        <f>IFERROR(IF(($KH22)&gt;0,($KB22)/($KH22),""),"")</f>
        <v/>
      </c>
      <c r="KO22" s="55">
        <f>SUMIFS(tblBudget[Gold_Poured_oz],tblBudget[Month],$E22)</f>
        <v/>
      </c>
      <c r="KP22" s="55">
        <f>$KO22*$C22/$D22</f>
        <v/>
      </c>
      <c r="KQ22" s="55">
        <f>SUMIFS(tblBudget[Gold_Poured_oz],tblBudget[Month],"&lt;"&amp;$E22)+$KP22</f>
        <v/>
      </c>
      <c r="KR22" s="57">
        <f>SUMIFS(tblBudget[Hours_Worked],tblBudget[Month],$E22)</f>
        <v/>
      </c>
      <c r="KS22" s="57">
        <f>$KR22*$C22/$D22</f>
        <v/>
      </c>
      <c r="KT22" s="57">
        <f>SUMIFS(tblBudget[Hours_Worked],tblBudget[Month],"&lt;"&amp;$E22)+$KS22</f>
        <v/>
      </c>
    </row>
    <row r="23">
      <c r="A23" s="54" t="n">
        <v>46044</v>
      </c>
      <c r="B23">
        <f>MONTH($A23)</f>
        <v/>
      </c>
      <c r="C23">
        <f>DAY($A23)</f>
        <v/>
      </c>
      <c r="D23">
        <f>DAY(EOMONTH($A23,0))</f>
        <v/>
      </c>
      <c r="E23" s="54">
        <f>DATE(YEAR($A23),MONTH($A23),1)</f>
        <v/>
      </c>
      <c r="F23" s="55">
        <f>SUMIFS(tblMovement[Tonnes_t],tblMovement[Date],$A23,tblMovement[Is_Ore],1,tblMovement[Source_Type],"Pit")</f>
        <v/>
      </c>
      <c r="G23" s="55">
        <f>IF($B23=$B22,$G22,0)+$F23</f>
        <v/>
      </c>
      <c r="H23" s="55">
        <f>$H22+$F23</f>
        <v/>
      </c>
      <c r="I23" s="55">
        <f>SUMIFS(tblMovement[Ore_oz],tblMovement[Date],$A23,tblMovement[Source_Type],"Pit")</f>
        <v/>
      </c>
      <c r="J23" s="55">
        <f>IF($B23=$B22,$J22,0)+$I23</f>
        <v/>
      </c>
      <c r="K23" s="55">
        <f>$K22+$I23</f>
        <v/>
      </c>
      <c r="L23" s="55">
        <f>SUMIFS(tblMovement[Tonnes_t],tblMovement[Date],$A23,tblMovement[Is_Ore],1,tblMovement[Source_Type],"Pit",tblMovement[Grade_gpt],"&lt;&gt;")</f>
        <v/>
      </c>
      <c r="M23" s="55">
        <f>IF($B23=$B22,$M22,0)+$L23</f>
        <v/>
      </c>
      <c r="N23" s="55">
        <f>$N22+$L23</f>
        <v/>
      </c>
      <c r="O23" s="56">
        <f>IFERROR(IF(($L23)&gt;0,($I23*cfg_TroyOz)/($L23),""),"")</f>
        <v/>
      </c>
      <c r="P23" s="56">
        <f>IFERROR(IF(($M23)&gt;0,($J23*cfg_TroyOz)/($M23),""),"")</f>
        <v/>
      </c>
      <c r="Q23" s="56">
        <f>IFERROR(IF(($N23)&gt;0,($K23*cfg_TroyOz)/($N23),""),"")</f>
        <v/>
      </c>
      <c r="R23" s="55">
        <f>$F23-$L23</f>
        <v/>
      </c>
      <c r="S23" s="55">
        <f>IF($B23=$B22,$S22,0)+$R23</f>
        <v/>
      </c>
      <c r="T23" s="55">
        <f>$T22+$R23</f>
        <v/>
      </c>
      <c r="U23" s="55">
        <f>SUMIFS(tblMovement[Tonnes_t],tblMovement[Date],$A23,tblMovement[Is_Ore],0,tblMovement[Source_Type],"Pit")</f>
        <v/>
      </c>
      <c r="V23" s="55">
        <f>IF($B23=$B22,$V22,0)+$U23</f>
        <v/>
      </c>
      <c r="W23" s="55">
        <f>$W22+$U23</f>
        <v/>
      </c>
      <c r="X23" s="55">
        <f>$F23+$U23</f>
        <v/>
      </c>
      <c r="Y23" s="55">
        <f>IF($B23=$B22,$Y22,0)+$X23</f>
        <v/>
      </c>
      <c r="Z23" s="55">
        <f>$Z22+$X23</f>
        <v/>
      </c>
      <c r="AA23" s="56">
        <f>IFERROR(IF(($F23)&gt;0,($U23)/($F23),""),"")</f>
        <v/>
      </c>
      <c r="AB23" s="56">
        <f>IFERROR(IF(($G23)&gt;0,($V23)/($G23),""),"")</f>
        <v/>
      </c>
      <c r="AC23" s="56">
        <f>IFERROR(IF(($H23)&gt;0,($W23)/($H23),""),"")</f>
        <v/>
      </c>
      <c r="AD23" s="55">
        <f>SUMIFS(tblMovement[Tonnes_t],tblMovement[Date],$A23,tblMovement[Source_Type],"Stockpile")</f>
        <v/>
      </c>
      <c r="AE23" s="55">
        <f>IF($B23=$B22,$AE22,0)+$AD23</f>
        <v/>
      </c>
      <c r="AF23" s="55">
        <f>$AF22+$AD23</f>
        <v/>
      </c>
      <c r="AG23" s="55">
        <f>SUMIFS(tblMovement[Tonnes_t],tblMovement[Date],$A23)</f>
        <v/>
      </c>
      <c r="AH23" s="55">
        <f>IF($B23=$B22,$AH22,0)+$AG23</f>
        <v/>
      </c>
      <c r="AI23" s="55">
        <f>$AI22+$AG23</f>
        <v/>
      </c>
      <c r="AJ23" s="55">
        <f>$AG23-$X23-$AD23</f>
        <v/>
      </c>
      <c r="AK23" s="55">
        <f>IF($B23=$B22,$AK22,0)+$AJ23</f>
        <v/>
      </c>
      <c r="AL23" s="55">
        <f>$AL22+$AJ23</f>
        <v/>
      </c>
      <c r="AM23" s="55">
        <f>SUMIFS(tblMiningDaily[Drill_m],tblMiningDaily[Date],$A23)</f>
        <v/>
      </c>
      <c r="AN23" s="55">
        <f>IF($B23=$B22,$AN22,0)+$AM23</f>
        <v/>
      </c>
      <c r="AO23" s="55">
        <f>$AO22+$AM23</f>
        <v/>
      </c>
      <c r="AP23" s="55">
        <f>SUMIFS(tblMiningDaily[GC_Drill_m],tblMiningDaily[Date],$A23)</f>
        <v/>
      </c>
      <c r="AQ23" s="55">
        <f>IF($B23=$B22,$AQ22,0)+$AP23</f>
        <v/>
      </c>
      <c r="AR23" s="55">
        <f>$AR22+$AP23</f>
        <v/>
      </c>
      <c r="AS23" s="55">
        <f>SUMIFS(tblMiningDaily[Blast_t],tblMiningDaily[Date],$A23)</f>
        <v/>
      </c>
      <c r="AT23" s="55">
        <f>IF($B23=$B22,$AT22,0)+$AS23</f>
        <v/>
      </c>
      <c r="AU23" s="55">
        <f>$AU22+$AS23</f>
        <v/>
      </c>
      <c r="AV23" s="55">
        <f>SUMIFS(tblMiningDaily[Explosives_kg],tblMiningDaily[Date],$A23)</f>
        <v/>
      </c>
      <c r="AW23" s="55">
        <f>IF($B23=$B22,$AW22,0)+$AV23</f>
        <v/>
      </c>
      <c r="AX23" s="55">
        <f>$AX22+$AV23</f>
        <v/>
      </c>
      <c r="AY23" s="56">
        <f>IFERROR(IF(($AS23)&gt;0,($AV23)/($AS23),""),"")</f>
        <v/>
      </c>
      <c r="AZ23" s="56">
        <f>IFERROR(IF(($AT23)&gt;0,($AW23)/($AT23),""),"")</f>
        <v/>
      </c>
      <c r="BA23" s="56">
        <f>IFERROR(IF(($AU23)&gt;0,($AX23)/($AU23),""),"")</f>
        <v/>
      </c>
      <c r="BB23" s="55">
        <f>SUMIFS(tblMiningDaily[Diesel_L],tblMiningDaily[Date],$A23)</f>
        <v/>
      </c>
      <c r="BC23" s="55">
        <f>IF($B23=$B22,$BC22,0)+$BB23</f>
        <v/>
      </c>
      <c r="BD23" s="55">
        <f>$BD22+$BB23</f>
        <v/>
      </c>
      <c r="BE23" s="55">
        <f>SUMIFS(tblMiningDaily[Dewatering_m3],tblMiningDaily[Date],$A23)</f>
        <v/>
      </c>
      <c r="BF23" s="55">
        <f>IF($B23=$B22,$BF22,0)+$BE23</f>
        <v/>
      </c>
      <c r="BG23" s="55">
        <f>$BG22+$BE23</f>
        <v/>
      </c>
      <c r="BH23" s="57">
        <f>SUMIFS(tblFleet[Calendar_h],tblFleet[Date],$A23,tblFleet[Equipment_Class],"Excavator")</f>
        <v/>
      </c>
      <c r="BI23" s="57">
        <f>IF($B23=$B22,$BI22,0)+$BH23</f>
        <v/>
      </c>
      <c r="BJ23" s="57">
        <f>$BJ22+$BH23</f>
        <v/>
      </c>
      <c r="BK23" s="57">
        <f>SUMIFS(tblFleet[Available_h],tblFleet[Date],$A23,tblFleet[Equipment_Class],"Excavator")</f>
        <v/>
      </c>
      <c r="BL23" s="57">
        <f>IF($B23=$B22,$BL22,0)+$BK23</f>
        <v/>
      </c>
      <c r="BM23" s="57">
        <f>$BM22+$BK23</f>
        <v/>
      </c>
      <c r="BN23" s="57">
        <f>SUMIFS(tblFleet[Operating_h],tblFleet[Date],$A23,tblFleet[Equipment_Class],"Excavator")</f>
        <v/>
      </c>
      <c r="BO23" s="57">
        <f>IF($B23=$B22,$BO22,0)+$BN23</f>
        <v/>
      </c>
      <c r="BP23" s="57">
        <f>$BP22+$BN23</f>
        <v/>
      </c>
      <c r="BQ23" s="67">
        <f>IFERROR(IF(($BH23)&gt;0,($BK23)/($BH23),""),"")</f>
        <v/>
      </c>
      <c r="BR23" s="67">
        <f>IFERROR(IF(($BI23)&gt;0,($BL23)/($BI23),""),"")</f>
        <v/>
      </c>
      <c r="BS23" s="67">
        <f>IFERROR(IF(($BJ23)&gt;0,($BM23)/($BJ23),""),"")</f>
        <v/>
      </c>
      <c r="BT23" s="67">
        <f>IFERROR(IF(($BK23)&gt;0,($BN23)/($BK23),""),"")</f>
        <v/>
      </c>
      <c r="BU23" s="67">
        <f>IFERROR(IF(($BL23)&gt;0,($BO23)/($BL23),""),"")</f>
        <v/>
      </c>
      <c r="BV23" s="67">
        <f>IFERROR(IF(($BM23)&gt;0,($BP23)/($BM23),""),"")</f>
        <v/>
      </c>
      <c r="BW23" s="57">
        <f>SUMIFS(tblFleet[Calendar_h],tblFleet[Date],$A23,tblFleet[Equipment_Class],"Haul Truck")</f>
        <v/>
      </c>
      <c r="BX23" s="57">
        <f>IF($B23=$B22,$BX22,0)+$BW23</f>
        <v/>
      </c>
      <c r="BY23" s="57">
        <f>$BY22+$BW23</f>
        <v/>
      </c>
      <c r="BZ23" s="57">
        <f>SUMIFS(tblFleet[Available_h],tblFleet[Date],$A23,tblFleet[Equipment_Class],"Haul Truck")</f>
        <v/>
      </c>
      <c r="CA23" s="57">
        <f>IF($B23=$B22,$CA22,0)+$BZ23</f>
        <v/>
      </c>
      <c r="CB23" s="57">
        <f>$CB22+$BZ23</f>
        <v/>
      </c>
      <c r="CC23" s="57">
        <f>SUMIFS(tblFleet[Operating_h],tblFleet[Date],$A23,tblFleet[Equipment_Class],"Haul Truck")</f>
        <v/>
      </c>
      <c r="CD23" s="57">
        <f>IF($B23=$B22,$CD22,0)+$CC23</f>
        <v/>
      </c>
      <c r="CE23" s="57">
        <f>$CE22+$CC23</f>
        <v/>
      </c>
      <c r="CF23" s="67">
        <f>IFERROR(IF(($BW23)&gt;0,($BZ23)/($BW23),""),"")</f>
        <v/>
      </c>
      <c r="CG23" s="67">
        <f>IFERROR(IF(($BX23)&gt;0,($CA23)/($BX23),""),"")</f>
        <v/>
      </c>
      <c r="CH23" s="67">
        <f>IFERROR(IF(($BY23)&gt;0,($CB23)/($BY23),""),"")</f>
        <v/>
      </c>
      <c r="CI23" s="67">
        <f>IFERROR(IF(($BZ23)&gt;0,($CC23)/($BZ23),""),"")</f>
        <v/>
      </c>
      <c r="CJ23" s="67">
        <f>IFERROR(IF(($CA23)&gt;0,($CD23)/($CA23),""),"")</f>
        <v/>
      </c>
      <c r="CK23" s="67">
        <f>IFERROR(IF(($CB23)&gt;0,($CE23)/($CB23),""),"")</f>
        <v/>
      </c>
      <c r="CL23" s="55">
        <f>IFERROR(IF(($BN23)&gt;0,($X23+$AD23)/($BN23),""),"")</f>
        <v/>
      </c>
      <c r="CM23" s="55">
        <f>IFERROR(IF(($BO23)&gt;0,($Y23+$AE23)/($BO23),""),"")</f>
        <v/>
      </c>
      <c r="CN23" s="55">
        <f>IFERROR(IF(($BP23)&gt;0,($Z23+$AF23)/($BP23),""),"")</f>
        <v/>
      </c>
      <c r="CO23" s="55">
        <f>IFERROR(IF(($CC23)&gt;0,($X23+$AD23)/($CC23),""),"")</f>
        <v/>
      </c>
      <c r="CP23" s="55">
        <f>IFERROR(IF(($CD23)&gt;0,($Y23+$AE23)/($CD23),""),"")</f>
        <v/>
      </c>
      <c r="CQ23" s="55">
        <f>IFERROR(IF(($CE23)&gt;0,($Z23+$AF23)/($CE23),""),"")</f>
        <v/>
      </c>
      <c r="CR23" s="55">
        <f>SUMIFS(tblPlant[Crushed_t],tblPlant[Date],$A23)</f>
        <v/>
      </c>
      <c r="CS23" s="55">
        <f>IF($B23=$B22,$CS22,0)+$CR23</f>
        <v/>
      </c>
      <c r="CT23" s="55">
        <f>$CT22+$CR23</f>
        <v/>
      </c>
      <c r="CU23" s="55">
        <f>SUMIFS(tblPlant[Milled_t],tblPlant[Date],$A23)</f>
        <v/>
      </c>
      <c r="CV23" s="55">
        <f>IF($B23=$B22,$CV22,0)+$CU23</f>
        <v/>
      </c>
      <c r="CW23" s="55">
        <f>$CW22+$CU23</f>
        <v/>
      </c>
      <c r="CX23" s="55">
        <f>SUMIFS(tblPlant[Feed_oz],tblPlant[Date],$A23)</f>
        <v/>
      </c>
      <c r="CY23" s="55">
        <f>IF($B23=$B22,$CY22,0)+$CX23</f>
        <v/>
      </c>
      <c r="CZ23" s="55">
        <f>$CZ22+$CX23</f>
        <v/>
      </c>
      <c r="DA23" s="55">
        <f>SUMIFS(tblPlant[Tails_oz],tblPlant[Date],$A23)</f>
        <v/>
      </c>
      <c r="DB23" s="55">
        <f>IF($B23=$B22,$DB22,0)+$DA23</f>
        <v/>
      </c>
      <c r="DC23" s="55">
        <f>$DC22+$DA23</f>
        <v/>
      </c>
      <c r="DD23" s="55">
        <f>SUMIFS(tblPlant[Recovered_oz],tblPlant[Date],$A23)</f>
        <v/>
      </c>
      <c r="DE23" s="55">
        <f>IF($B23=$B22,$DE22,0)+$DD23</f>
        <v/>
      </c>
      <c r="DF23" s="55">
        <f>$DF22+$DD23</f>
        <v/>
      </c>
      <c r="DG23" s="55">
        <f>SUMIFS(tblPlant[Milled_t],tblPlant[Date],$A23,tblPlant[Head_Grade_gpt],"&lt;&gt;")</f>
        <v/>
      </c>
      <c r="DH23" s="55">
        <f>IF($B23=$B22,$DH22,0)+$DG23</f>
        <v/>
      </c>
      <c r="DI23" s="55">
        <f>$DI22+$DG23</f>
        <v/>
      </c>
      <c r="DJ23" s="55">
        <f>SUMIFS(tblPlant[Milled_t],tblPlant[Date],$A23,tblPlant[Tails_Grade_gpt],"&lt;&gt;")</f>
        <v/>
      </c>
      <c r="DK23" s="55">
        <f>IF($B23=$B22,$DK22,0)+$DJ23</f>
        <v/>
      </c>
      <c r="DL23" s="55">
        <f>$DL22+$DJ23</f>
        <v/>
      </c>
      <c r="DM23" s="55">
        <f>SUMIFS(tblPlant[Feed_oz],tblPlant[Date],$A23,tblPlant[Tails_Grade_gpt],"&lt;&gt;")</f>
        <v/>
      </c>
      <c r="DN23" s="55">
        <f>IF($B23=$B22,$DN22,0)+$DM23</f>
        <v/>
      </c>
      <c r="DO23" s="55">
        <f>$DO22+$DM23</f>
        <v/>
      </c>
      <c r="DP23" s="55">
        <f>SUMIFS(tblPlant[Milled_t],tblPlant[Date],$A23,tblPlant[Mill_Run_h],"&lt;&gt;")</f>
        <v/>
      </c>
      <c r="DQ23" s="55">
        <f>IF($B23=$B22,$DQ22,0)+$DP23</f>
        <v/>
      </c>
      <c r="DR23" s="55">
        <f>$DR22+$DP23</f>
        <v/>
      </c>
      <c r="DS23" s="56">
        <f>IFERROR(IF(($DG23)&gt;0,($CX23*cfg_TroyOz)/($DG23),""),"")</f>
        <v/>
      </c>
      <c r="DT23" s="56">
        <f>IFERROR(IF(($DH23)&gt;0,($CY23*cfg_TroyOz)/($DH23),""),"")</f>
        <v/>
      </c>
      <c r="DU23" s="56">
        <f>IFERROR(IF(($DI23)&gt;0,($CZ23*cfg_TroyOz)/($DI23),""),"")</f>
        <v/>
      </c>
      <c r="DV23" s="56">
        <f>IFERROR(IF(($DJ23)&gt;0,($DA23*cfg_TroyOz)/($DJ23),""),"")</f>
        <v/>
      </c>
      <c r="DW23" s="56">
        <f>IFERROR(IF(($DK23)&gt;0,($DB23*cfg_TroyOz)/($DK23),""),"")</f>
        <v/>
      </c>
      <c r="DX23" s="56">
        <f>IFERROR(IF(($DL23)&gt;0,($DC23*cfg_TroyOz)/($DL23),""),"")</f>
        <v/>
      </c>
      <c r="DY23" s="67">
        <f>IFERROR(IF(($DM23)&gt;0,($DD23)/($DM23),""),"")</f>
        <v/>
      </c>
      <c r="DZ23" s="67">
        <f>IFERROR(IF(($DN23)&gt;0,($DE23)/($DN23),""),"")</f>
        <v/>
      </c>
      <c r="EA23" s="67">
        <f>IFERROR(IF(($DO23)&gt;0,($DF23)/($DO23),""),"")</f>
        <v/>
      </c>
      <c r="EB23" s="55">
        <f>SUMIFS(tblPlant[Gravity_Gold_oz],tblPlant[Date],$A23)</f>
        <v/>
      </c>
      <c r="EC23" s="55">
        <f>IF($B23=$B22,$EC22,0)+$EB23</f>
        <v/>
      </c>
      <c r="ED23" s="55">
        <f>$ED22+$EB23</f>
        <v/>
      </c>
      <c r="EE23" s="67">
        <f>IFERROR(IF(($DD23)&gt;0,($EB23)/($DD23),""),"")</f>
        <v/>
      </c>
      <c r="EF23" s="67">
        <f>IFERROR(IF(($DE23)&gt;0,($EC23)/($DE23),""),"")</f>
        <v/>
      </c>
      <c r="EG23" s="67">
        <f>IFERROR(IF(($DF23)&gt;0,($ED23)/($DF23),""),"")</f>
        <v/>
      </c>
      <c r="EH23" s="55">
        <f>SUMIFS(tblPlant[Gold_Poured_oz],tblPlant[Date],$A23)</f>
        <v/>
      </c>
      <c r="EI23" s="55">
        <f>IF($B23=$B22,$EI22,0)+$EH23</f>
        <v/>
      </c>
      <c r="EJ23" s="55">
        <f>$EJ22+$EH23</f>
        <v/>
      </c>
      <c r="EK23" s="57">
        <f>SUMIFS(tblPlant[Mill_Run_h],tblPlant[Date],$A23)</f>
        <v/>
      </c>
      <c r="EL23" s="57">
        <f>IF($B23=$B22,$EL22,0)+$EK23</f>
        <v/>
      </c>
      <c r="EM23" s="57">
        <f>$EM22+$EK23</f>
        <v/>
      </c>
      <c r="EN23" s="57">
        <f>SUMIFS(tblPlant[Mill_Planned_Maint_h],tblPlant[Date],$A23)</f>
        <v/>
      </c>
      <c r="EO23" s="57">
        <f>IF($B23=$B22,$EO22,0)+$EN23</f>
        <v/>
      </c>
      <c r="EP23" s="57">
        <f>$EP22+$EN23</f>
        <v/>
      </c>
      <c r="EQ23" s="57">
        <f>SUMIFS(tblPlant[Mill_Unplanned_Down_h],tblPlant[Date],$A23)</f>
        <v/>
      </c>
      <c r="ER23" s="57">
        <f>IF($B23=$B22,$ER22,0)+$EQ23</f>
        <v/>
      </c>
      <c r="ES23" s="57">
        <f>$ES22+$EQ23</f>
        <v/>
      </c>
      <c r="ET23" s="57">
        <f>IF(COUNTIFS(tblPlant[Date],$A23,tblPlant[Mill_Run_h],"&lt;&gt;")+COUNTIFS(tblPlant[Date],$A23,tblPlant[Mill_Planned_Maint_h],"&lt;&gt;")+COUNTIFS(tblPlant[Date],$A23,tblPlant[Mill_Unplanned_Down_h],"&lt;&gt;")&gt;0,cfg_HoursPerDay,0)</f>
        <v/>
      </c>
      <c r="EU23" s="57">
        <f>IF($B23=$B22,$EU22,0)+$ET23</f>
        <v/>
      </c>
      <c r="EV23" s="57">
        <f>$EV22+$ET23</f>
        <v/>
      </c>
      <c r="EW23" s="57">
        <f>SUMIFS(tblPlant[Crusher_Run_h],tblPlant[Date],$A23)</f>
        <v/>
      </c>
      <c r="EX23" s="57">
        <f>IF($B23=$B22,$EX22,0)+$EW23</f>
        <v/>
      </c>
      <c r="EY23" s="57">
        <f>$EY22+$EW23</f>
        <v/>
      </c>
      <c r="EZ23" s="55">
        <f>IFERROR(IF(($EK23)&gt;0,($DP23)/($EK23),""),"")</f>
        <v/>
      </c>
      <c r="FA23" s="55">
        <f>IFERROR(IF(($EL23)&gt;0,($DQ23)/($EL23),""),"")</f>
        <v/>
      </c>
      <c r="FB23" s="55">
        <f>IFERROR(IF(($EM23)&gt;0,($DR23)/($EM23),""),"")</f>
        <v/>
      </c>
      <c r="FC23" s="67">
        <f>IFERROR(IF(($ET23)&gt;0,($ET23-$EN23-$EQ23)/($ET23),""),"")</f>
        <v/>
      </c>
      <c r="FD23" s="67">
        <f>IFERROR(IF(($EU23)&gt;0,($EU23-$EO23-$ER23)/($EU23),""),"")</f>
        <v/>
      </c>
      <c r="FE23" s="67">
        <f>IFERROR(IF(($EV23)&gt;0,($EV23-$EP23-$ES23)/($EV23),""),"")</f>
        <v/>
      </c>
      <c r="FF23" s="67">
        <f>IFERROR(IF(($ET23-$EN23-$EQ23)&gt;0,($EK23)/($ET23-$EN23-$EQ23),""),"")</f>
        <v/>
      </c>
      <c r="FG23" s="67">
        <f>IFERROR(IF(($EU23-$EO23-$ER23)&gt;0,($EL23)/($EU23-$EO23-$ER23),""),"")</f>
        <v/>
      </c>
      <c r="FH23" s="67">
        <f>IFERROR(IF(($EV23-$EP23-$ES23)&gt;0,($EM23)/($EV23-$EP23-$ES23),""),"")</f>
        <v/>
      </c>
      <c r="FI23" s="55">
        <f>SUMIFS(tblPlant[Cyanide_kg],tblPlant[Date],$A23)</f>
        <v/>
      </c>
      <c r="FJ23" s="55">
        <f>IF($B23=$B22,$FJ22,0)+$FI23</f>
        <v/>
      </c>
      <c r="FK23" s="55">
        <f>$FK22+$FI23</f>
        <v/>
      </c>
      <c r="FL23" s="55">
        <f>SUMIFS(tblPlant[Lime_kg],tblPlant[Date],$A23)</f>
        <v/>
      </c>
      <c r="FM23" s="55">
        <f>IF($B23=$B22,$FM22,0)+$FL23</f>
        <v/>
      </c>
      <c r="FN23" s="55">
        <f>$FN22+$FL23</f>
        <v/>
      </c>
      <c r="FO23" s="55">
        <f>SUMIFS(tblPlant[Grinding_Media_kg],tblPlant[Date],$A23)</f>
        <v/>
      </c>
      <c r="FP23" s="55">
        <f>IF($B23=$B22,$FP22,0)+$FO23</f>
        <v/>
      </c>
      <c r="FQ23" s="55">
        <f>$FQ22+$FO23</f>
        <v/>
      </c>
      <c r="FR23" s="55">
        <f>SUMIFS(tblPlant[Power_kWh],tblPlant[Date],$A23)</f>
        <v/>
      </c>
      <c r="FS23" s="55">
        <f>IF($B23=$B22,$FS22,0)+$FR23</f>
        <v/>
      </c>
      <c r="FT23" s="55">
        <f>$FT22+$FR23</f>
        <v/>
      </c>
      <c r="FU23" s="55">
        <f>SUMIFS(tblPlant[Raw_Water_m3],tblPlant[Date],$A23)</f>
        <v/>
      </c>
      <c r="FV23" s="55">
        <f>IF($B23=$B22,$FV22,0)+$FU23</f>
        <v/>
      </c>
      <c r="FW23" s="55">
        <f>$FW22+$FU23</f>
        <v/>
      </c>
      <c r="FX23" s="56">
        <f>IFERROR(IF(($CU23)&gt;0,($FI23)/($CU23),""),"")</f>
        <v/>
      </c>
      <c r="FY23" s="56">
        <f>IFERROR(IF(($CV23)&gt;0,($FJ23)/($CV23),""),"")</f>
        <v/>
      </c>
      <c r="FZ23" s="56">
        <f>IFERROR(IF(($CW23)&gt;0,($FK23)/($CW23),""),"")</f>
        <v/>
      </c>
      <c r="GA23" s="56">
        <f>IFERROR(IF(($CU23)&gt;0,($FL23)/($CU23),""),"")</f>
        <v/>
      </c>
      <c r="GB23" s="56">
        <f>IFERROR(IF(($CV23)&gt;0,($FM23)/($CV23),""),"")</f>
        <v/>
      </c>
      <c r="GC23" s="56">
        <f>IFERROR(IF(($CW23)&gt;0,($FN23)/($CW23),""),"")</f>
        <v/>
      </c>
      <c r="GD23" s="56">
        <f>IFERROR(IF(($CU23)&gt;0,($FO23)/($CU23),""),"")</f>
        <v/>
      </c>
      <c r="GE23" s="56">
        <f>IFERROR(IF(($CV23)&gt;0,($FP23)/($CV23),""),"")</f>
        <v/>
      </c>
      <c r="GF23" s="56">
        <f>IFERROR(IF(($CW23)&gt;0,($FQ23)/($CW23),""),"")</f>
        <v/>
      </c>
      <c r="GG23" s="79">
        <f>IFERROR(IF(($CU23)&gt;0,($FR23)/($CU23),""),"")</f>
        <v/>
      </c>
      <c r="GH23" s="79">
        <f>IFERROR(IF(($CV23)&gt;0,($FS23)/($CV23),""),"")</f>
        <v/>
      </c>
      <c r="GI23" s="79">
        <f>IFERROR(IF(($CW23)&gt;0,($FT23)/($CW23),""),"")</f>
        <v/>
      </c>
      <c r="GJ23" s="56">
        <f>IFERROR(IF(($CU23)&gt;0,($FU23)/($CU23),""),"")</f>
        <v/>
      </c>
      <c r="GK23" s="56">
        <f>IFERROR(IF(($CV23)&gt;0,($FV23)/($CV23),""),"")</f>
        <v/>
      </c>
      <c r="GL23" s="56">
        <f>IFERROR(IF(($CW23)&gt;0,($FW23)/($CW23),""),"")</f>
        <v/>
      </c>
      <c r="GM23" s="55">
        <f>IF(SUMIFS(tblPlant[GIC_oz],tblPlant[Date],$A23)&gt;0,SUMIFS(tblPlant[GIC_oz],tblPlant[Date],$A23),"")</f>
        <v/>
      </c>
      <c r="GN23" s="55">
        <f>SUMIFS(tblGold[Gold_oz],tblGold[Date],$A23,tblGold[Type],"Shipment")</f>
        <v/>
      </c>
      <c r="GO23" s="55">
        <f>IF($B23=$B22,$GO22,0)+$GN23</f>
        <v/>
      </c>
      <c r="GP23" s="55">
        <f>$GP22+$GN23</f>
        <v/>
      </c>
      <c r="GQ23" s="55">
        <f>SUMIFS(tblGold[Gold_oz],tblGold[Date],$A23,tblGold[Type],"Sale")</f>
        <v/>
      </c>
      <c r="GR23" s="55">
        <f>IF($B23=$B22,$GR22,0)+$GQ23</f>
        <v/>
      </c>
      <c r="GS23" s="55">
        <f>$GS22+$GQ23</f>
        <v/>
      </c>
      <c r="GT23" s="55">
        <f>SUMIFS(tblGold[Dore_kg],tblGold[Date],$A23,tblGold[Type],"Shipment")</f>
        <v/>
      </c>
      <c r="GU23" s="55">
        <f>IF($B23=$B22,$GU22,0)+$GT23</f>
        <v/>
      </c>
      <c r="GV23" s="55">
        <f>$GV22+$GT23</f>
        <v/>
      </c>
      <c r="GW23" s="57">
        <f>SUMIFS(tblSafety[Hours_Total],tblSafety[Date],$A23)</f>
        <v/>
      </c>
      <c r="GX23" s="57">
        <f>IF($B23=$B22,$GX22,0)+$GW23</f>
        <v/>
      </c>
      <c r="GY23" s="57">
        <f>$GY22+$GW23</f>
        <v/>
      </c>
      <c r="GZ23" s="62">
        <f>SUMIFS(tblSafety[Fatality],tblSafety[Date],$A23)</f>
        <v/>
      </c>
      <c r="HA23" s="62">
        <f>IF($B23=$B22,$HA22,0)+$GZ23</f>
        <v/>
      </c>
      <c r="HB23" s="62">
        <f>$HB22+$GZ23</f>
        <v/>
      </c>
      <c r="HC23" s="62">
        <f>SUMIFS(tblSafety[LTI],tblSafety[Date],$A23)</f>
        <v/>
      </c>
      <c r="HD23" s="62">
        <f>IF($B23=$B22,$HD22,0)+$HC23</f>
        <v/>
      </c>
      <c r="HE23" s="62">
        <f>$HE22+$HC23</f>
        <v/>
      </c>
      <c r="HF23" s="62">
        <f>SUMIFS(tblSafety[RWI],tblSafety[Date],$A23)</f>
        <v/>
      </c>
      <c r="HG23" s="62">
        <f>IF($B23=$B22,$HG22,0)+$HF23</f>
        <v/>
      </c>
      <c r="HH23" s="62">
        <f>$HH22+$HF23</f>
        <v/>
      </c>
      <c r="HI23" s="62">
        <f>SUMIFS(tblSafety[MTI],tblSafety[Date],$A23)</f>
        <v/>
      </c>
      <c r="HJ23" s="62">
        <f>IF($B23=$B22,$HJ22,0)+$HI23</f>
        <v/>
      </c>
      <c r="HK23" s="62">
        <f>$HK22+$HI23</f>
        <v/>
      </c>
      <c r="HL23" s="62">
        <f>SUMIFS(tblSafety[FAI],tblSafety[Date],$A23)</f>
        <v/>
      </c>
      <c r="HM23" s="62">
        <f>IF($B23=$B22,$HM22,0)+$HL23</f>
        <v/>
      </c>
      <c r="HN23" s="62">
        <f>$HN22+$HL23</f>
        <v/>
      </c>
      <c r="HO23" s="62">
        <f>SUMIFS(tblSafety[Recordables],tblSafety[Date],$A23)</f>
        <v/>
      </c>
      <c r="HP23" s="62">
        <f>IF($B23=$B22,$HP22,0)+$HO23</f>
        <v/>
      </c>
      <c r="HQ23" s="62">
        <f>$HQ22+$HO23</f>
        <v/>
      </c>
      <c r="HR23" s="62">
        <f>SUMIFS(tblSafety[Near_Miss],tblSafety[Date],$A23)</f>
        <v/>
      </c>
      <c r="HS23" s="62">
        <f>IF($B23=$B22,$HS22,0)+$HR23</f>
        <v/>
      </c>
      <c r="HT23" s="62">
        <f>$HT22+$HR23</f>
        <v/>
      </c>
      <c r="HU23" s="62">
        <f>SUMIFS(tblSafety[Hazard_Reports],tblSafety[Date],$A23)</f>
        <v/>
      </c>
      <c r="HV23" s="62">
        <f>IF($B23=$B22,$HV22,0)+$HU23</f>
        <v/>
      </c>
      <c r="HW23" s="62">
        <f>$HW22+$HU23</f>
        <v/>
      </c>
      <c r="HX23" s="62">
        <f>SUMIFS(tblSafety[HPI],tblSafety[Date],$A23)</f>
        <v/>
      </c>
      <c r="HY23" s="62">
        <f>IF($B23=$B22,$HY22,0)+$HX23</f>
        <v/>
      </c>
      <c r="HZ23" s="62">
        <f>$HZ22+$HX23</f>
        <v/>
      </c>
      <c r="IA23" s="62">
        <f>SUMIFS(tblSafety[Env_Incidents],tblSafety[Date],$A23)</f>
        <v/>
      </c>
      <c r="IB23" s="62">
        <f>IF($B23=$B22,$IB22,0)+$IA23</f>
        <v/>
      </c>
      <c r="IC23" s="62">
        <f>$IC22+$IA23</f>
        <v/>
      </c>
      <c r="ID23" s="62">
        <f>SUMIFS(tblSafety[Community_Incidents],tblSafety[Date],$A23)</f>
        <v/>
      </c>
      <c r="IE23" s="62">
        <f>IF($B23=$B22,$IE22,0)+$ID23</f>
        <v/>
      </c>
      <c r="IF23" s="62">
        <f>$IF22+$ID23</f>
        <v/>
      </c>
      <c r="IG23" s="62">
        <f>SUMIFS(tblSafety[Vehicle_Incidents],tblSafety[Date],$A23)</f>
        <v/>
      </c>
      <c r="IH23" s="62">
        <f>IF($B23=$B22,$IH22,0)+$IG23</f>
        <v/>
      </c>
      <c r="II23" s="62">
        <f>$II22+$IG23</f>
        <v/>
      </c>
      <c r="IJ23" s="62">
        <f>SUMIFS(tblSafety[Toolbox_Talks],tblSafety[Date],$A23)</f>
        <v/>
      </c>
      <c r="IK23" s="62">
        <f>IF($B23=$B22,$IK22,0)+$IJ23</f>
        <v/>
      </c>
      <c r="IL23" s="62">
        <f>$IL22+$IJ23</f>
        <v/>
      </c>
      <c r="IM23" s="62">
        <f>SUMIFS(tblSafety[Inspections],tblSafety[Date],$A23)</f>
        <v/>
      </c>
      <c r="IN23" s="62">
        <f>IF($B23=$B22,$IN22,0)+$IM23</f>
        <v/>
      </c>
      <c r="IO23" s="62">
        <f>$IO22+$IM23</f>
        <v/>
      </c>
      <c r="IP23" s="56">
        <f>IFERROR((SUMIFS(tblSafety[Recordables],tblSafety[Date],"&gt;="&amp;EDATE($E23,-12),tblSafety[Date],"&lt;="&amp;$A23)+SUMIFS(tblSafetyHistory[Recordables],tblSafetyHistory[Month],"&gt;="&amp;EDATE($E23,-12),tblSafetyHistory[Month],"&lt;"&amp;$E23,tblSafetyHistory[Use],1))/(SUMIFS(tblSafety[Hours_Total],tblSafety[Date],"&gt;="&amp;EDATE($E23,-12),tblSafety[Date],"&lt;="&amp;$A23)+SUMIFS(tblSafetyHistory[Hours_Total],tblSafetyHistory[Month],"&gt;="&amp;EDATE($E23,-12),tblSafetyHistory[Month],"&lt;"&amp;$E23,tblSafetyHistory[Use],1))*cfg_RateBasisHours,"")</f>
        <v/>
      </c>
      <c r="IQ23" s="56">
        <f>IFERROR((SUMIFS(tblSafety[LTI],tblSafety[Date],"&gt;="&amp;EDATE($E23,-12),tblSafety[Date],"&lt;="&amp;$A23)+SUMIFS(tblSafetyHistory[LTI],tblSafetyHistory[Month],"&gt;="&amp;EDATE($E23,-12),tblSafetyHistory[Month],"&lt;"&amp;$E23,tblSafetyHistory[Use],1))/(SUMIFS(tblSafety[Hours_Total],tblSafety[Date],"&gt;="&amp;EDATE($E23,-12),tblSafety[Date],"&lt;="&amp;$A23)+SUMIFS(tblSafetyHistory[Hours_Total],tblSafetyHistory[Month],"&gt;="&amp;EDATE($E23,-12),tblSafetyHistory[Month],"&lt;"&amp;$E23,tblSafetyHistory[Use],1))*cfg_RateBasisHours,"")</f>
        <v/>
      </c>
      <c r="IR23" s="62">
        <f>IF(MAX(N(cfg_PriorLTIDate),_xlfn.MAXIFS(tblSafety[Date],tblSafety[LTI],"&gt;0",tblSafety[Date],"&lt;="&amp;$A23))=0,"",$A23-MAX(N(cfg_PriorLTIDate),_xlfn.MAXIFS(tblSafety[Date],tblSafety[LTI],"&gt;0",tblSafety[Date],"&lt;="&amp;$A23)))</f>
        <v/>
      </c>
      <c r="IS23" s="55">
        <f>SUMIFS(tblBudget[Ore_Mined_t],tblBudget[Month],$E23)</f>
        <v/>
      </c>
      <c r="IT23" s="55">
        <f>$IS23*$C23/$D23</f>
        <v/>
      </c>
      <c r="IU23" s="55">
        <f>SUMIFS(tblBudget[Ore_Mined_t],tblBudget[Month],"&lt;"&amp;$E23)+$IT23</f>
        <v/>
      </c>
      <c r="IV23" s="55">
        <f>SUMIFS(tblBudget[Ore_oz],tblBudget[Month],$E23)</f>
        <v/>
      </c>
      <c r="IW23" s="55">
        <f>$IV23*$C23/$D23</f>
        <v/>
      </c>
      <c r="IX23" s="55">
        <f>SUMIFS(tblBudget[Ore_oz],tblBudget[Month],"&lt;"&amp;$E23)+$IW23</f>
        <v/>
      </c>
      <c r="IY23" s="55">
        <f>SUMIFS(tblBudget[Ore_Mined_t],tblBudget[Month],$E23)</f>
        <v/>
      </c>
      <c r="IZ23" s="55">
        <f>$IY23*$C23/$D23</f>
        <v/>
      </c>
      <c r="JA23" s="55">
        <f>SUMIFS(tblBudget[Ore_Mined_t],tblBudget[Month],"&lt;"&amp;$E23)+$IZ23</f>
        <v/>
      </c>
      <c r="JB23" s="56">
        <f>IFERROR(IF(($IY23)&gt;0,($IV23*cfg_TroyOz)/($IY23),""),"")</f>
        <v/>
      </c>
      <c r="JC23" s="56">
        <f>IFERROR(IF(($IZ23)&gt;0,($IW23*cfg_TroyOz)/($IZ23),""),"")</f>
        <v/>
      </c>
      <c r="JD23" s="56">
        <f>IFERROR(IF(($JA23)&gt;0,($IX23*cfg_TroyOz)/($JA23),""),"")</f>
        <v/>
      </c>
      <c r="JE23" s="55">
        <f>SUMIFS(tblBudget[Waste_t],tblBudget[Month],$E23)</f>
        <v/>
      </c>
      <c r="JF23" s="55">
        <f>$JE23*$C23/$D23</f>
        <v/>
      </c>
      <c r="JG23" s="55">
        <f>SUMIFS(tblBudget[Waste_t],tblBudget[Month],"&lt;"&amp;$E23)+$JF23</f>
        <v/>
      </c>
      <c r="JH23" s="55">
        <f>SUMIFS(tblBudget[TMM_t],tblBudget[Month],$E23)</f>
        <v/>
      </c>
      <c r="JI23" s="55">
        <f>$JH23*$C23/$D23</f>
        <v/>
      </c>
      <c r="JJ23" s="55">
        <f>SUMIFS(tblBudget[TMM_t],tblBudget[Month],"&lt;"&amp;$E23)+$JI23</f>
        <v/>
      </c>
      <c r="JK23" s="56">
        <f>IFERROR(IF(($IS23)&gt;0,($JE23)/($IS23),""),"")</f>
        <v/>
      </c>
      <c r="JL23" s="56">
        <f>IFERROR(IF(($IT23)&gt;0,($JF23)/($IT23),""),"")</f>
        <v/>
      </c>
      <c r="JM23" s="56">
        <f>IFERROR(IF(($IU23)&gt;0,($JG23)/($IU23),""),"")</f>
        <v/>
      </c>
      <c r="JN23" s="55">
        <f>SUMIFS(tblBudget[Drill_m],tblBudget[Month],$E23)</f>
        <v/>
      </c>
      <c r="JO23" s="55">
        <f>$JN23*$C23/$D23</f>
        <v/>
      </c>
      <c r="JP23" s="55">
        <f>SUMIFS(tblBudget[Drill_m],tblBudget[Month],"&lt;"&amp;$E23)+$JO23</f>
        <v/>
      </c>
      <c r="JQ23" s="55">
        <f>SUMIFS(tblBudget[Diesel_L],tblBudget[Month],$E23)</f>
        <v/>
      </c>
      <c r="JR23" s="55">
        <f>$JQ23*$C23/$D23</f>
        <v/>
      </c>
      <c r="JS23" s="55">
        <f>SUMIFS(tblBudget[Diesel_L],tblBudget[Month],"&lt;"&amp;$E23)+$JR23</f>
        <v/>
      </c>
      <c r="JT23" s="55">
        <f>SUMIFS(tblBudget[Milled_t],tblBudget[Month],$E23)</f>
        <v/>
      </c>
      <c r="JU23" s="55">
        <f>$JT23*$C23/$D23</f>
        <v/>
      </c>
      <c r="JV23" s="55">
        <f>SUMIFS(tblBudget[Milled_t],tblBudget[Month],"&lt;"&amp;$E23)+$JU23</f>
        <v/>
      </c>
      <c r="JW23" s="55">
        <f>SUMIFS(tblBudget[Feed_oz],tblBudget[Month],$E23)</f>
        <v/>
      </c>
      <c r="JX23" s="55">
        <f>$JW23*$C23/$D23</f>
        <v/>
      </c>
      <c r="JY23" s="55">
        <f>SUMIFS(tblBudget[Feed_oz],tblBudget[Month],"&lt;"&amp;$E23)+$JX23</f>
        <v/>
      </c>
      <c r="JZ23" s="55">
        <f>SUMIFS(tblBudget[Recovered_oz],tblBudget[Month],$E23)</f>
        <v/>
      </c>
      <c r="KA23" s="55">
        <f>$JZ23*$C23/$D23</f>
        <v/>
      </c>
      <c r="KB23" s="55">
        <f>SUMIFS(tblBudget[Recovered_oz],tblBudget[Month],"&lt;"&amp;$E23)+$KA23</f>
        <v/>
      </c>
      <c r="KC23" s="55">
        <f>SUMIFS(tblBudget[Milled_t],tblBudget[Month],$E23)</f>
        <v/>
      </c>
      <c r="KD23" s="55">
        <f>$KC23*$C23/$D23</f>
        <v/>
      </c>
      <c r="KE23" s="55">
        <f>SUMIFS(tblBudget[Milled_t],tblBudget[Month],"&lt;"&amp;$E23)+$KD23</f>
        <v/>
      </c>
      <c r="KF23" s="55">
        <f>SUMIFS(tblBudget[Feed_oz],tblBudget[Month],$E23)</f>
        <v/>
      </c>
      <c r="KG23" s="55">
        <f>$KF23*$C23/$D23</f>
        <v/>
      </c>
      <c r="KH23" s="55">
        <f>SUMIFS(tblBudget[Feed_oz],tblBudget[Month],"&lt;"&amp;$E23)+$KG23</f>
        <v/>
      </c>
      <c r="KI23" s="56">
        <f>IFERROR(IF(($KC23)&gt;0,($JW23*cfg_TroyOz)/($KC23),""),"")</f>
        <v/>
      </c>
      <c r="KJ23" s="56">
        <f>IFERROR(IF(($KD23)&gt;0,($JX23*cfg_TroyOz)/($KD23),""),"")</f>
        <v/>
      </c>
      <c r="KK23" s="56">
        <f>IFERROR(IF(($KE23)&gt;0,($JY23*cfg_TroyOz)/($KE23),""),"")</f>
        <v/>
      </c>
      <c r="KL23" s="67">
        <f>IFERROR(IF(($KF23)&gt;0,($JZ23)/($KF23),""),"")</f>
        <v/>
      </c>
      <c r="KM23" s="67">
        <f>IFERROR(IF(($KG23)&gt;0,($KA23)/($KG23),""),"")</f>
        <v/>
      </c>
      <c r="KN23" s="67">
        <f>IFERROR(IF(($KH23)&gt;0,($KB23)/($KH23),""),"")</f>
        <v/>
      </c>
      <c r="KO23" s="55">
        <f>SUMIFS(tblBudget[Gold_Poured_oz],tblBudget[Month],$E23)</f>
        <v/>
      </c>
      <c r="KP23" s="55">
        <f>$KO23*$C23/$D23</f>
        <v/>
      </c>
      <c r="KQ23" s="55">
        <f>SUMIFS(tblBudget[Gold_Poured_oz],tblBudget[Month],"&lt;"&amp;$E23)+$KP23</f>
        <v/>
      </c>
      <c r="KR23" s="57">
        <f>SUMIFS(tblBudget[Hours_Worked],tblBudget[Month],$E23)</f>
        <v/>
      </c>
      <c r="KS23" s="57">
        <f>$KR23*$C23/$D23</f>
        <v/>
      </c>
      <c r="KT23" s="57">
        <f>SUMIFS(tblBudget[Hours_Worked],tblBudget[Month],"&lt;"&amp;$E23)+$KS23</f>
        <v/>
      </c>
    </row>
    <row r="24">
      <c r="A24" s="54" t="n">
        <v>46045</v>
      </c>
      <c r="B24">
        <f>MONTH($A24)</f>
        <v/>
      </c>
      <c r="C24">
        <f>DAY($A24)</f>
        <v/>
      </c>
      <c r="D24">
        <f>DAY(EOMONTH($A24,0))</f>
        <v/>
      </c>
      <c r="E24" s="54">
        <f>DATE(YEAR($A24),MONTH($A24),1)</f>
        <v/>
      </c>
      <c r="F24" s="55">
        <f>SUMIFS(tblMovement[Tonnes_t],tblMovement[Date],$A24,tblMovement[Is_Ore],1,tblMovement[Source_Type],"Pit")</f>
        <v/>
      </c>
      <c r="G24" s="55">
        <f>IF($B24=$B23,$G23,0)+$F24</f>
        <v/>
      </c>
      <c r="H24" s="55">
        <f>$H23+$F24</f>
        <v/>
      </c>
      <c r="I24" s="55">
        <f>SUMIFS(tblMovement[Ore_oz],tblMovement[Date],$A24,tblMovement[Source_Type],"Pit")</f>
        <v/>
      </c>
      <c r="J24" s="55">
        <f>IF($B24=$B23,$J23,0)+$I24</f>
        <v/>
      </c>
      <c r="K24" s="55">
        <f>$K23+$I24</f>
        <v/>
      </c>
      <c r="L24" s="55">
        <f>SUMIFS(tblMovement[Tonnes_t],tblMovement[Date],$A24,tblMovement[Is_Ore],1,tblMovement[Source_Type],"Pit",tblMovement[Grade_gpt],"&lt;&gt;")</f>
        <v/>
      </c>
      <c r="M24" s="55">
        <f>IF($B24=$B23,$M23,0)+$L24</f>
        <v/>
      </c>
      <c r="N24" s="55">
        <f>$N23+$L24</f>
        <v/>
      </c>
      <c r="O24" s="56">
        <f>IFERROR(IF(($L24)&gt;0,($I24*cfg_TroyOz)/($L24),""),"")</f>
        <v/>
      </c>
      <c r="P24" s="56">
        <f>IFERROR(IF(($M24)&gt;0,($J24*cfg_TroyOz)/($M24),""),"")</f>
        <v/>
      </c>
      <c r="Q24" s="56">
        <f>IFERROR(IF(($N24)&gt;0,($K24*cfg_TroyOz)/($N24),""),"")</f>
        <v/>
      </c>
      <c r="R24" s="55">
        <f>$F24-$L24</f>
        <v/>
      </c>
      <c r="S24" s="55">
        <f>IF($B24=$B23,$S23,0)+$R24</f>
        <v/>
      </c>
      <c r="T24" s="55">
        <f>$T23+$R24</f>
        <v/>
      </c>
      <c r="U24" s="55">
        <f>SUMIFS(tblMovement[Tonnes_t],tblMovement[Date],$A24,tblMovement[Is_Ore],0,tblMovement[Source_Type],"Pit")</f>
        <v/>
      </c>
      <c r="V24" s="55">
        <f>IF($B24=$B23,$V23,0)+$U24</f>
        <v/>
      </c>
      <c r="W24" s="55">
        <f>$W23+$U24</f>
        <v/>
      </c>
      <c r="X24" s="55">
        <f>$F24+$U24</f>
        <v/>
      </c>
      <c r="Y24" s="55">
        <f>IF($B24=$B23,$Y23,0)+$X24</f>
        <v/>
      </c>
      <c r="Z24" s="55">
        <f>$Z23+$X24</f>
        <v/>
      </c>
      <c r="AA24" s="56">
        <f>IFERROR(IF(($F24)&gt;0,($U24)/($F24),""),"")</f>
        <v/>
      </c>
      <c r="AB24" s="56">
        <f>IFERROR(IF(($G24)&gt;0,($V24)/($G24),""),"")</f>
        <v/>
      </c>
      <c r="AC24" s="56">
        <f>IFERROR(IF(($H24)&gt;0,($W24)/($H24),""),"")</f>
        <v/>
      </c>
      <c r="AD24" s="55">
        <f>SUMIFS(tblMovement[Tonnes_t],tblMovement[Date],$A24,tblMovement[Source_Type],"Stockpile")</f>
        <v/>
      </c>
      <c r="AE24" s="55">
        <f>IF($B24=$B23,$AE23,0)+$AD24</f>
        <v/>
      </c>
      <c r="AF24" s="55">
        <f>$AF23+$AD24</f>
        <v/>
      </c>
      <c r="AG24" s="55">
        <f>SUMIFS(tblMovement[Tonnes_t],tblMovement[Date],$A24)</f>
        <v/>
      </c>
      <c r="AH24" s="55">
        <f>IF($B24=$B23,$AH23,0)+$AG24</f>
        <v/>
      </c>
      <c r="AI24" s="55">
        <f>$AI23+$AG24</f>
        <v/>
      </c>
      <c r="AJ24" s="55">
        <f>$AG24-$X24-$AD24</f>
        <v/>
      </c>
      <c r="AK24" s="55">
        <f>IF($B24=$B23,$AK23,0)+$AJ24</f>
        <v/>
      </c>
      <c r="AL24" s="55">
        <f>$AL23+$AJ24</f>
        <v/>
      </c>
      <c r="AM24" s="55">
        <f>SUMIFS(tblMiningDaily[Drill_m],tblMiningDaily[Date],$A24)</f>
        <v/>
      </c>
      <c r="AN24" s="55">
        <f>IF($B24=$B23,$AN23,0)+$AM24</f>
        <v/>
      </c>
      <c r="AO24" s="55">
        <f>$AO23+$AM24</f>
        <v/>
      </c>
      <c r="AP24" s="55">
        <f>SUMIFS(tblMiningDaily[GC_Drill_m],tblMiningDaily[Date],$A24)</f>
        <v/>
      </c>
      <c r="AQ24" s="55">
        <f>IF($B24=$B23,$AQ23,0)+$AP24</f>
        <v/>
      </c>
      <c r="AR24" s="55">
        <f>$AR23+$AP24</f>
        <v/>
      </c>
      <c r="AS24" s="55">
        <f>SUMIFS(tblMiningDaily[Blast_t],tblMiningDaily[Date],$A24)</f>
        <v/>
      </c>
      <c r="AT24" s="55">
        <f>IF($B24=$B23,$AT23,0)+$AS24</f>
        <v/>
      </c>
      <c r="AU24" s="55">
        <f>$AU23+$AS24</f>
        <v/>
      </c>
      <c r="AV24" s="55">
        <f>SUMIFS(tblMiningDaily[Explosives_kg],tblMiningDaily[Date],$A24)</f>
        <v/>
      </c>
      <c r="AW24" s="55">
        <f>IF($B24=$B23,$AW23,0)+$AV24</f>
        <v/>
      </c>
      <c r="AX24" s="55">
        <f>$AX23+$AV24</f>
        <v/>
      </c>
      <c r="AY24" s="56">
        <f>IFERROR(IF(($AS24)&gt;0,($AV24)/($AS24),""),"")</f>
        <v/>
      </c>
      <c r="AZ24" s="56">
        <f>IFERROR(IF(($AT24)&gt;0,($AW24)/($AT24),""),"")</f>
        <v/>
      </c>
      <c r="BA24" s="56">
        <f>IFERROR(IF(($AU24)&gt;0,($AX24)/($AU24),""),"")</f>
        <v/>
      </c>
      <c r="BB24" s="55">
        <f>SUMIFS(tblMiningDaily[Diesel_L],tblMiningDaily[Date],$A24)</f>
        <v/>
      </c>
      <c r="BC24" s="55">
        <f>IF($B24=$B23,$BC23,0)+$BB24</f>
        <v/>
      </c>
      <c r="BD24" s="55">
        <f>$BD23+$BB24</f>
        <v/>
      </c>
      <c r="BE24" s="55">
        <f>SUMIFS(tblMiningDaily[Dewatering_m3],tblMiningDaily[Date],$A24)</f>
        <v/>
      </c>
      <c r="BF24" s="55">
        <f>IF($B24=$B23,$BF23,0)+$BE24</f>
        <v/>
      </c>
      <c r="BG24" s="55">
        <f>$BG23+$BE24</f>
        <v/>
      </c>
      <c r="BH24" s="57">
        <f>SUMIFS(tblFleet[Calendar_h],tblFleet[Date],$A24,tblFleet[Equipment_Class],"Excavator")</f>
        <v/>
      </c>
      <c r="BI24" s="57">
        <f>IF($B24=$B23,$BI23,0)+$BH24</f>
        <v/>
      </c>
      <c r="BJ24" s="57">
        <f>$BJ23+$BH24</f>
        <v/>
      </c>
      <c r="BK24" s="57">
        <f>SUMIFS(tblFleet[Available_h],tblFleet[Date],$A24,tblFleet[Equipment_Class],"Excavator")</f>
        <v/>
      </c>
      <c r="BL24" s="57">
        <f>IF($B24=$B23,$BL23,0)+$BK24</f>
        <v/>
      </c>
      <c r="BM24" s="57">
        <f>$BM23+$BK24</f>
        <v/>
      </c>
      <c r="BN24" s="57">
        <f>SUMIFS(tblFleet[Operating_h],tblFleet[Date],$A24,tblFleet[Equipment_Class],"Excavator")</f>
        <v/>
      </c>
      <c r="BO24" s="57">
        <f>IF($B24=$B23,$BO23,0)+$BN24</f>
        <v/>
      </c>
      <c r="BP24" s="57">
        <f>$BP23+$BN24</f>
        <v/>
      </c>
      <c r="BQ24" s="67">
        <f>IFERROR(IF(($BH24)&gt;0,($BK24)/($BH24),""),"")</f>
        <v/>
      </c>
      <c r="BR24" s="67">
        <f>IFERROR(IF(($BI24)&gt;0,($BL24)/($BI24),""),"")</f>
        <v/>
      </c>
      <c r="BS24" s="67">
        <f>IFERROR(IF(($BJ24)&gt;0,($BM24)/($BJ24),""),"")</f>
        <v/>
      </c>
      <c r="BT24" s="67">
        <f>IFERROR(IF(($BK24)&gt;0,($BN24)/($BK24),""),"")</f>
        <v/>
      </c>
      <c r="BU24" s="67">
        <f>IFERROR(IF(($BL24)&gt;0,($BO24)/($BL24),""),"")</f>
        <v/>
      </c>
      <c r="BV24" s="67">
        <f>IFERROR(IF(($BM24)&gt;0,($BP24)/($BM24),""),"")</f>
        <v/>
      </c>
      <c r="BW24" s="57">
        <f>SUMIFS(tblFleet[Calendar_h],tblFleet[Date],$A24,tblFleet[Equipment_Class],"Haul Truck")</f>
        <v/>
      </c>
      <c r="BX24" s="57">
        <f>IF($B24=$B23,$BX23,0)+$BW24</f>
        <v/>
      </c>
      <c r="BY24" s="57">
        <f>$BY23+$BW24</f>
        <v/>
      </c>
      <c r="BZ24" s="57">
        <f>SUMIFS(tblFleet[Available_h],tblFleet[Date],$A24,tblFleet[Equipment_Class],"Haul Truck")</f>
        <v/>
      </c>
      <c r="CA24" s="57">
        <f>IF($B24=$B23,$CA23,0)+$BZ24</f>
        <v/>
      </c>
      <c r="CB24" s="57">
        <f>$CB23+$BZ24</f>
        <v/>
      </c>
      <c r="CC24" s="57">
        <f>SUMIFS(tblFleet[Operating_h],tblFleet[Date],$A24,tblFleet[Equipment_Class],"Haul Truck")</f>
        <v/>
      </c>
      <c r="CD24" s="57">
        <f>IF($B24=$B23,$CD23,0)+$CC24</f>
        <v/>
      </c>
      <c r="CE24" s="57">
        <f>$CE23+$CC24</f>
        <v/>
      </c>
      <c r="CF24" s="67">
        <f>IFERROR(IF(($BW24)&gt;0,($BZ24)/($BW24),""),"")</f>
        <v/>
      </c>
      <c r="CG24" s="67">
        <f>IFERROR(IF(($BX24)&gt;0,($CA24)/($BX24),""),"")</f>
        <v/>
      </c>
      <c r="CH24" s="67">
        <f>IFERROR(IF(($BY24)&gt;0,($CB24)/($BY24),""),"")</f>
        <v/>
      </c>
      <c r="CI24" s="67">
        <f>IFERROR(IF(($BZ24)&gt;0,($CC24)/($BZ24),""),"")</f>
        <v/>
      </c>
      <c r="CJ24" s="67">
        <f>IFERROR(IF(($CA24)&gt;0,($CD24)/($CA24),""),"")</f>
        <v/>
      </c>
      <c r="CK24" s="67">
        <f>IFERROR(IF(($CB24)&gt;0,($CE24)/($CB24),""),"")</f>
        <v/>
      </c>
      <c r="CL24" s="55">
        <f>IFERROR(IF(($BN24)&gt;0,($X24+$AD24)/($BN24),""),"")</f>
        <v/>
      </c>
      <c r="CM24" s="55">
        <f>IFERROR(IF(($BO24)&gt;0,($Y24+$AE24)/($BO24),""),"")</f>
        <v/>
      </c>
      <c r="CN24" s="55">
        <f>IFERROR(IF(($BP24)&gt;0,($Z24+$AF24)/($BP24),""),"")</f>
        <v/>
      </c>
      <c r="CO24" s="55">
        <f>IFERROR(IF(($CC24)&gt;0,($X24+$AD24)/($CC24),""),"")</f>
        <v/>
      </c>
      <c r="CP24" s="55">
        <f>IFERROR(IF(($CD24)&gt;0,($Y24+$AE24)/($CD24),""),"")</f>
        <v/>
      </c>
      <c r="CQ24" s="55">
        <f>IFERROR(IF(($CE24)&gt;0,($Z24+$AF24)/($CE24),""),"")</f>
        <v/>
      </c>
      <c r="CR24" s="55">
        <f>SUMIFS(tblPlant[Crushed_t],tblPlant[Date],$A24)</f>
        <v/>
      </c>
      <c r="CS24" s="55">
        <f>IF($B24=$B23,$CS23,0)+$CR24</f>
        <v/>
      </c>
      <c r="CT24" s="55">
        <f>$CT23+$CR24</f>
        <v/>
      </c>
      <c r="CU24" s="55">
        <f>SUMIFS(tblPlant[Milled_t],tblPlant[Date],$A24)</f>
        <v/>
      </c>
      <c r="CV24" s="55">
        <f>IF($B24=$B23,$CV23,0)+$CU24</f>
        <v/>
      </c>
      <c r="CW24" s="55">
        <f>$CW23+$CU24</f>
        <v/>
      </c>
      <c r="CX24" s="55">
        <f>SUMIFS(tblPlant[Feed_oz],tblPlant[Date],$A24)</f>
        <v/>
      </c>
      <c r="CY24" s="55">
        <f>IF($B24=$B23,$CY23,0)+$CX24</f>
        <v/>
      </c>
      <c r="CZ24" s="55">
        <f>$CZ23+$CX24</f>
        <v/>
      </c>
      <c r="DA24" s="55">
        <f>SUMIFS(tblPlant[Tails_oz],tblPlant[Date],$A24)</f>
        <v/>
      </c>
      <c r="DB24" s="55">
        <f>IF($B24=$B23,$DB23,0)+$DA24</f>
        <v/>
      </c>
      <c r="DC24" s="55">
        <f>$DC23+$DA24</f>
        <v/>
      </c>
      <c r="DD24" s="55">
        <f>SUMIFS(tblPlant[Recovered_oz],tblPlant[Date],$A24)</f>
        <v/>
      </c>
      <c r="DE24" s="55">
        <f>IF($B24=$B23,$DE23,0)+$DD24</f>
        <v/>
      </c>
      <c r="DF24" s="55">
        <f>$DF23+$DD24</f>
        <v/>
      </c>
      <c r="DG24" s="55">
        <f>SUMIFS(tblPlant[Milled_t],tblPlant[Date],$A24,tblPlant[Head_Grade_gpt],"&lt;&gt;")</f>
        <v/>
      </c>
      <c r="DH24" s="55">
        <f>IF($B24=$B23,$DH23,0)+$DG24</f>
        <v/>
      </c>
      <c r="DI24" s="55">
        <f>$DI23+$DG24</f>
        <v/>
      </c>
      <c r="DJ24" s="55">
        <f>SUMIFS(tblPlant[Milled_t],tblPlant[Date],$A24,tblPlant[Tails_Grade_gpt],"&lt;&gt;")</f>
        <v/>
      </c>
      <c r="DK24" s="55">
        <f>IF($B24=$B23,$DK23,0)+$DJ24</f>
        <v/>
      </c>
      <c r="DL24" s="55">
        <f>$DL23+$DJ24</f>
        <v/>
      </c>
      <c r="DM24" s="55">
        <f>SUMIFS(tblPlant[Feed_oz],tblPlant[Date],$A24,tblPlant[Tails_Grade_gpt],"&lt;&gt;")</f>
        <v/>
      </c>
      <c r="DN24" s="55">
        <f>IF($B24=$B23,$DN23,0)+$DM24</f>
        <v/>
      </c>
      <c r="DO24" s="55">
        <f>$DO23+$DM24</f>
        <v/>
      </c>
      <c r="DP24" s="55">
        <f>SUMIFS(tblPlant[Milled_t],tblPlant[Date],$A24,tblPlant[Mill_Run_h],"&lt;&gt;")</f>
        <v/>
      </c>
      <c r="DQ24" s="55">
        <f>IF($B24=$B23,$DQ23,0)+$DP24</f>
        <v/>
      </c>
      <c r="DR24" s="55">
        <f>$DR23+$DP24</f>
        <v/>
      </c>
      <c r="DS24" s="56">
        <f>IFERROR(IF(($DG24)&gt;0,($CX24*cfg_TroyOz)/($DG24),""),"")</f>
        <v/>
      </c>
      <c r="DT24" s="56">
        <f>IFERROR(IF(($DH24)&gt;0,($CY24*cfg_TroyOz)/($DH24),""),"")</f>
        <v/>
      </c>
      <c r="DU24" s="56">
        <f>IFERROR(IF(($DI24)&gt;0,($CZ24*cfg_TroyOz)/($DI24),""),"")</f>
        <v/>
      </c>
      <c r="DV24" s="56">
        <f>IFERROR(IF(($DJ24)&gt;0,($DA24*cfg_TroyOz)/($DJ24),""),"")</f>
        <v/>
      </c>
      <c r="DW24" s="56">
        <f>IFERROR(IF(($DK24)&gt;0,($DB24*cfg_TroyOz)/($DK24),""),"")</f>
        <v/>
      </c>
      <c r="DX24" s="56">
        <f>IFERROR(IF(($DL24)&gt;0,($DC24*cfg_TroyOz)/($DL24),""),"")</f>
        <v/>
      </c>
      <c r="DY24" s="67">
        <f>IFERROR(IF(($DM24)&gt;0,($DD24)/($DM24),""),"")</f>
        <v/>
      </c>
      <c r="DZ24" s="67">
        <f>IFERROR(IF(($DN24)&gt;0,($DE24)/($DN24),""),"")</f>
        <v/>
      </c>
      <c r="EA24" s="67">
        <f>IFERROR(IF(($DO24)&gt;0,($DF24)/($DO24),""),"")</f>
        <v/>
      </c>
      <c r="EB24" s="55">
        <f>SUMIFS(tblPlant[Gravity_Gold_oz],tblPlant[Date],$A24)</f>
        <v/>
      </c>
      <c r="EC24" s="55">
        <f>IF($B24=$B23,$EC23,0)+$EB24</f>
        <v/>
      </c>
      <c r="ED24" s="55">
        <f>$ED23+$EB24</f>
        <v/>
      </c>
      <c r="EE24" s="67">
        <f>IFERROR(IF(($DD24)&gt;0,($EB24)/($DD24),""),"")</f>
        <v/>
      </c>
      <c r="EF24" s="67">
        <f>IFERROR(IF(($DE24)&gt;0,($EC24)/($DE24),""),"")</f>
        <v/>
      </c>
      <c r="EG24" s="67">
        <f>IFERROR(IF(($DF24)&gt;0,($ED24)/($DF24),""),"")</f>
        <v/>
      </c>
      <c r="EH24" s="55">
        <f>SUMIFS(tblPlant[Gold_Poured_oz],tblPlant[Date],$A24)</f>
        <v/>
      </c>
      <c r="EI24" s="55">
        <f>IF($B24=$B23,$EI23,0)+$EH24</f>
        <v/>
      </c>
      <c r="EJ24" s="55">
        <f>$EJ23+$EH24</f>
        <v/>
      </c>
      <c r="EK24" s="57">
        <f>SUMIFS(tblPlant[Mill_Run_h],tblPlant[Date],$A24)</f>
        <v/>
      </c>
      <c r="EL24" s="57">
        <f>IF($B24=$B23,$EL23,0)+$EK24</f>
        <v/>
      </c>
      <c r="EM24" s="57">
        <f>$EM23+$EK24</f>
        <v/>
      </c>
      <c r="EN24" s="57">
        <f>SUMIFS(tblPlant[Mill_Planned_Maint_h],tblPlant[Date],$A24)</f>
        <v/>
      </c>
      <c r="EO24" s="57">
        <f>IF($B24=$B23,$EO23,0)+$EN24</f>
        <v/>
      </c>
      <c r="EP24" s="57">
        <f>$EP23+$EN24</f>
        <v/>
      </c>
      <c r="EQ24" s="57">
        <f>SUMIFS(tblPlant[Mill_Unplanned_Down_h],tblPlant[Date],$A24)</f>
        <v/>
      </c>
      <c r="ER24" s="57">
        <f>IF($B24=$B23,$ER23,0)+$EQ24</f>
        <v/>
      </c>
      <c r="ES24" s="57">
        <f>$ES23+$EQ24</f>
        <v/>
      </c>
      <c r="ET24" s="57">
        <f>IF(COUNTIFS(tblPlant[Date],$A24,tblPlant[Mill_Run_h],"&lt;&gt;")+COUNTIFS(tblPlant[Date],$A24,tblPlant[Mill_Planned_Maint_h],"&lt;&gt;")+COUNTIFS(tblPlant[Date],$A24,tblPlant[Mill_Unplanned_Down_h],"&lt;&gt;")&gt;0,cfg_HoursPerDay,0)</f>
        <v/>
      </c>
      <c r="EU24" s="57">
        <f>IF($B24=$B23,$EU23,0)+$ET24</f>
        <v/>
      </c>
      <c r="EV24" s="57">
        <f>$EV23+$ET24</f>
        <v/>
      </c>
      <c r="EW24" s="57">
        <f>SUMIFS(tblPlant[Crusher_Run_h],tblPlant[Date],$A24)</f>
        <v/>
      </c>
      <c r="EX24" s="57">
        <f>IF($B24=$B23,$EX23,0)+$EW24</f>
        <v/>
      </c>
      <c r="EY24" s="57">
        <f>$EY23+$EW24</f>
        <v/>
      </c>
      <c r="EZ24" s="55">
        <f>IFERROR(IF(($EK24)&gt;0,($DP24)/($EK24),""),"")</f>
        <v/>
      </c>
      <c r="FA24" s="55">
        <f>IFERROR(IF(($EL24)&gt;0,($DQ24)/($EL24),""),"")</f>
        <v/>
      </c>
      <c r="FB24" s="55">
        <f>IFERROR(IF(($EM24)&gt;0,($DR24)/($EM24),""),"")</f>
        <v/>
      </c>
      <c r="FC24" s="67">
        <f>IFERROR(IF(($ET24)&gt;0,($ET24-$EN24-$EQ24)/($ET24),""),"")</f>
        <v/>
      </c>
      <c r="FD24" s="67">
        <f>IFERROR(IF(($EU24)&gt;0,($EU24-$EO24-$ER24)/($EU24),""),"")</f>
        <v/>
      </c>
      <c r="FE24" s="67">
        <f>IFERROR(IF(($EV24)&gt;0,($EV24-$EP24-$ES24)/($EV24),""),"")</f>
        <v/>
      </c>
      <c r="FF24" s="67">
        <f>IFERROR(IF(($ET24-$EN24-$EQ24)&gt;0,($EK24)/($ET24-$EN24-$EQ24),""),"")</f>
        <v/>
      </c>
      <c r="FG24" s="67">
        <f>IFERROR(IF(($EU24-$EO24-$ER24)&gt;0,($EL24)/($EU24-$EO24-$ER24),""),"")</f>
        <v/>
      </c>
      <c r="FH24" s="67">
        <f>IFERROR(IF(($EV24-$EP24-$ES24)&gt;0,($EM24)/($EV24-$EP24-$ES24),""),"")</f>
        <v/>
      </c>
      <c r="FI24" s="55">
        <f>SUMIFS(tblPlant[Cyanide_kg],tblPlant[Date],$A24)</f>
        <v/>
      </c>
      <c r="FJ24" s="55">
        <f>IF($B24=$B23,$FJ23,0)+$FI24</f>
        <v/>
      </c>
      <c r="FK24" s="55">
        <f>$FK23+$FI24</f>
        <v/>
      </c>
      <c r="FL24" s="55">
        <f>SUMIFS(tblPlant[Lime_kg],tblPlant[Date],$A24)</f>
        <v/>
      </c>
      <c r="FM24" s="55">
        <f>IF($B24=$B23,$FM23,0)+$FL24</f>
        <v/>
      </c>
      <c r="FN24" s="55">
        <f>$FN23+$FL24</f>
        <v/>
      </c>
      <c r="FO24" s="55">
        <f>SUMIFS(tblPlant[Grinding_Media_kg],tblPlant[Date],$A24)</f>
        <v/>
      </c>
      <c r="FP24" s="55">
        <f>IF($B24=$B23,$FP23,0)+$FO24</f>
        <v/>
      </c>
      <c r="FQ24" s="55">
        <f>$FQ23+$FO24</f>
        <v/>
      </c>
      <c r="FR24" s="55">
        <f>SUMIFS(tblPlant[Power_kWh],tblPlant[Date],$A24)</f>
        <v/>
      </c>
      <c r="FS24" s="55">
        <f>IF($B24=$B23,$FS23,0)+$FR24</f>
        <v/>
      </c>
      <c r="FT24" s="55">
        <f>$FT23+$FR24</f>
        <v/>
      </c>
      <c r="FU24" s="55">
        <f>SUMIFS(tblPlant[Raw_Water_m3],tblPlant[Date],$A24)</f>
        <v/>
      </c>
      <c r="FV24" s="55">
        <f>IF($B24=$B23,$FV23,0)+$FU24</f>
        <v/>
      </c>
      <c r="FW24" s="55">
        <f>$FW23+$FU24</f>
        <v/>
      </c>
      <c r="FX24" s="56">
        <f>IFERROR(IF(($CU24)&gt;0,($FI24)/($CU24),""),"")</f>
        <v/>
      </c>
      <c r="FY24" s="56">
        <f>IFERROR(IF(($CV24)&gt;0,($FJ24)/($CV24),""),"")</f>
        <v/>
      </c>
      <c r="FZ24" s="56">
        <f>IFERROR(IF(($CW24)&gt;0,($FK24)/($CW24),""),"")</f>
        <v/>
      </c>
      <c r="GA24" s="56">
        <f>IFERROR(IF(($CU24)&gt;0,($FL24)/($CU24),""),"")</f>
        <v/>
      </c>
      <c r="GB24" s="56">
        <f>IFERROR(IF(($CV24)&gt;0,($FM24)/($CV24),""),"")</f>
        <v/>
      </c>
      <c r="GC24" s="56">
        <f>IFERROR(IF(($CW24)&gt;0,($FN24)/($CW24),""),"")</f>
        <v/>
      </c>
      <c r="GD24" s="56">
        <f>IFERROR(IF(($CU24)&gt;0,($FO24)/($CU24),""),"")</f>
        <v/>
      </c>
      <c r="GE24" s="56">
        <f>IFERROR(IF(($CV24)&gt;0,($FP24)/($CV24),""),"")</f>
        <v/>
      </c>
      <c r="GF24" s="56">
        <f>IFERROR(IF(($CW24)&gt;0,($FQ24)/($CW24),""),"")</f>
        <v/>
      </c>
      <c r="GG24" s="79">
        <f>IFERROR(IF(($CU24)&gt;0,($FR24)/($CU24),""),"")</f>
        <v/>
      </c>
      <c r="GH24" s="79">
        <f>IFERROR(IF(($CV24)&gt;0,($FS24)/($CV24),""),"")</f>
        <v/>
      </c>
      <c r="GI24" s="79">
        <f>IFERROR(IF(($CW24)&gt;0,($FT24)/($CW24),""),"")</f>
        <v/>
      </c>
      <c r="GJ24" s="56">
        <f>IFERROR(IF(($CU24)&gt;0,($FU24)/($CU24),""),"")</f>
        <v/>
      </c>
      <c r="GK24" s="56">
        <f>IFERROR(IF(($CV24)&gt;0,($FV24)/($CV24),""),"")</f>
        <v/>
      </c>
      <c r="GL24" s="56">
        <f>IFERROR(IF(($CW24)&gt;0,($FW24)/($CW24),""),"")</f>
        <v/>
      </c>
      <c r="GM24" s="55">
        <f>IF(SUMIFS(tblPlant[GIC_oz],tblPlant[Date],$A24)&gt;0,SUMIFS(tblPlant[GIC_oz],tblPlant[Date],$A24),"")</f>
        <v/>
      </c>
      <c r="GN24" s="55">
        <f>SUMIFS(tblGold[Gold_oz],tblGold[Date],$A24,tblGold[Type],"Shipment")</f>
        <v/>
      </c>
      <c r="GO24" s="55">
        <f>IF($B24=$B23,$GO23,0)+$GN24</f>
        <v/>
      </c>
      <c r="GP24" s="55">
        <f>$GP23+$GN24</f>
        <v/>
      </c>
      <c r="GQ24" s="55">
        <f>SUMIFS(tblGold[Gold_oz],tblGold[Date],$A24,tblGold[Type],"Sale")</f>
        <v/>
      </c>
      <c r="GR24" s="55">
        <f>IF($B24=$B23,$GR23,0)+$GQ24</f>
        <v/>
      </c>
      <c r="GS24" s="55">
        <f>$GS23+$GQ24</f>
        <v/>
      </c>
      <c r="GT24" s="55">
        <f>SUMIFS(tblGold[Dore_kg],tblGold[Date],$A24,tblGold[Type],"Shipment")</f>
        <v/>
      </c>
      <c r="GU24" s="55">
        <f>IF($B24=$B23,$GU23,0)+$GT24</f>
        <v/>
      </c>
      <c r="GV24" s="55">
        <f>$GV23+$GT24</f>
        <v/>
      </c>
      <c r="GW24" s="57">
        <f>SUMIFS(tblSafety[Hours_Total],tblSafety[Date],$A24)</f>
        <v/>
      </c>
      <c r="GX24" s="57">
        <f>IF($B24=$B23,$GX23,0)+$GW24</f>
        <v/>
      </c>
      <c r="GY24" s="57">
        <f>$GY23+$GW24</f>
        <v/>
      </c>
      <c r="GZ24" s="62">
        <f>SUMIFS(tblSafety[Fatality],tblSafety[Date],$A24)</f>
        <v/>
      </c>
      <c r="HA24" s="62">
        <f>IF($B24=$B23,$HA23,0)+$GZ24</f>
        <v/>
      </c>
      <c r="HB24" s="62">
        <f>$HB23+$GZ24</f>
        <v/>
      </c>
      <c r="HC24" s="62">
        <f>SUMIFS(tblSafety[LTI],tblSafety[Date],$A24)</f>
        <v/>
      </c>
      <c r="HD24" s="62">
        <f>IF($B24=$B23,$HD23,0)+$HC24</f>
        <v/>
      </c>
      <c r="HE24" s="62">
        <f>$HE23+$HC24</f>
        <v/>
      </c>
      <c r="HF24" s="62">
        <f>SUMIFS(tblSafety[RWI],tblSafety[Date],$A24)</f>
        <v/>
      </c>
      <c r="HG24" s="62">
        <f>IF($B24=$B23,$HG23,0)+$HF24</f>
        <v/>
      </c>
      <c r="HH24" s="62">
        <f>$HH23+$HF24</f>
        <v/>
      </c>
      <c r="HI24" s="62">
        <f>SUMIFS(tblSafety[MTI],tblSafety[Date],$A24)</f>
        <v/>
      </c>
      <c r="HJ24" s="62">
        <f>IF($B24=$B23,$HJ23,0)+$HI24</f>
        <v/>
      </c>
      <c r="HK24" s="62">
        <f>$HK23+$HI24</f>
        <v/>
      </c>
      <c r="HL24" s="62">
        <f>SUMIFS(tblSafety[FAI],tblSafety[Date],$A24)</f>
        <v/>
      </c>
      <c r="HM24" s="62">
        <f>IF($B24=$B23,$HM23,0)+$HL24</f>
        <v/>
      </c>
      <c r="HN24" s="62">
        <f>$HN23+$HL24</f>
        <v/>
      </c>
      <c r="HO24" s="62">
        <f>SUMIFS(tblSafety[Recordables],tblSafety[Date],$A24)</f>
        <v/>
      </c>
      <c r="HP24" s="62">
        <f>IF($B24=$B23,$HP23,0)+$HO24</f>
        <v/>
      </c>
      <c r="HQ24" s="62">
        <f>$HQ23+$HO24</f>
        <v/>
      </c>
      <c r="HR24" s="62">
        <f>SUMIFS(tblSafety[Near_Miss],tblSafety[Date],$A24)</f>
        <v/>
      </c>
      <c r="HS24" s="62">
        <f>IF($B24=$B23,$HS23,0)+$HR24</f>
        <v/>
      </c>
      <c r="HT24" s="62">
        <f>$HT23+$HR24</f>
        <v/>
      </c>
      <c r="HU24" s="62">
        <f>SUMIFS(tblSafety[Hazard_Reports],tblSafety[Date],$A24)</f>
        <v/>
      </c>
      <c r="HV24" s="62">
        <f>IF($B24=$B23,$HV23,0)+$HU24</f>
        <v/>
      </c>
      <c r="HW24" s="62">
        <f>$HW23+$HU24</f>
        <v/>
      </c>
      <c r="HX24" s="62">
        <f>SUMIFS(tblSafety[HPI],tblSafety[Date],$A24)</f>
        <v/>
      </c>
      <c r="HY24" s="62">
        <f>IF($B24=$B23,$HY23,0)+$HX24</f>
        <v/>
      </c>
      <c r="HZ24" s="62">
        <f>$HZ23+$HX24</f>
        <v/>
      </c>
      <c r="IA24" s="62">
        <f>SUMIFS(tblSafety[Env_Incidents],tblSafety[Date],$A24)</f>
        <v/>
      </c>
      <c r="IB24" s="62">
        <f>IF($B24=$B23,$IB23,0)+$IA24</f>
        <v/>
      </c>
      <c r="IC24" s="62">
        <f>$IC23+$IA24</f>
        <v/>
      </c>
      <c r="ID24" s="62">
        <f>SUMIFS(tblSafety[Community_Incidents],tblSafety[Date],$A24)</f>
        <v/>
      </c>
      <c r="IE24" s="62">
        <f>IF($B24=$B23,$IE23,0)+$ID24</f>
        <v/>
      </c>
      <c r="IF24" s="62">
        <f>$IF23+$ID24</f>
        <v/>
      </c>
      <c r="IG24" s="62">
        <f>SUMIFS(tblSafety[Vehicle_Incidents],tblSafety[Date],$A24)</f>
        <v/>
      </c>
      <c r="IH24" s="62">
        <f>IF($B24=$B23,$IH23,0)+$IG24</f>
        <v/>
      </c>
      <c r="II24" s="62">
        <f>$II23+$IG24</f>
        <v/>
      </c>
      <c r="IJ24" s="62">
        <f>SUMIFS(tblSafety[Toolbox_Talks],tblSafety[Date],$A24)</f>
        <v/>
      </c>
      <c r="IK24" s="62">
        <f>IF($B24=$B23,$IK23,0)+$IJ24</f>
        <v/>
      </c>
      <c r="IL24" s="62">
        <f>$IL23+$IJ24</f>
        <v/>
      </c>
      <c r="IM24" s="62">
        <f>SUMIFS(tblSafety[Inspections],tblSafety[Date],$A24)</f>
        <v/>
      </c>
      <c r="IN24" s="62">
        <f>IF($B24=$B23,$IN23,0)+$IM24</f>
        <v/>
      </c>
      <c r="IO24" s="62">
        <f>$IO23+$IM24</f>
        <v/>
      </c>
      <c r="IP24" s="56">
        <f>IFERROR((SUMIFS(tblSafety[Recordables],tblSafety[Date],"&gt;="&amp;EDATE($E24,-12),tblSafety[Date],"&lt;="&amp;$A24)+SUMIFS(tblSafetyHistory[Recordables],tblSafetyHistory[Month],"&gt;="&amp;EDATE($E24,-12),tblSafetyHistory[Month],"&lt;"&amp;$E24,tblSafetyHistory[Use],1))/(SUMIFS(tblSafety[Hours_Total],tblSafety[Date],"&gt;="&amp;EDATE($E24,-12),tblSafety[Date],"&lt;="&amp;$A24)+SUMIFS(tblSafetyHistory[Hours_Total],tblSafetyHistory[Month],"&gt;="&amp;EDATE($E24,-12),tblSafetyHistory[Month],"&lt;"&amp;$E24,tblSafetyHistory[Use],1))*cfg_RateBasisHours,"")</f>
        <v/>
      </c>
      <c r="IQ24" s="56">
        <f>IFERROR((SUMIFS(tblSafety[LTI],tblSafety[Date],"&gt;="&amp;EDATE($E24,-12),tblSafety[Date],"&lt;="&amp;$A24)+SUMIFS(tblSafetyHistory[LTI],tblSafetyHistory[Month],"&gt;="&amp;EDATE($E24,-12),tblSafetyHistory[Month],"&lt;"&amp;$E24,tblSafetyHistory[Use],1))/(SUMIFS(tblSafety[Hours_Total],tblSafety[Date],"&gt;="&amp;EDATE($E24,-12),tblSafety[Date],"&lt;="&amp;$A24)+SUMIFS(tblSafetyHistory[Hours_Total],tblSafetyHistory[Month],"&gt;="&amp;EDATE($E24,-12),tblSafetyHistory[Month],"&lt;"&amp;$E24,tblSafetyHistory[Use],1))*cfg_RateBasisHours,"")</f>
        <v/>
      </c>
      <c r="IR24" s="62">
        <f>IF(MAX(N(cfg_PriorLTIDate),_xlfn.MAXIFS(tblSafety[Date],tblSafety[LTI],"&gt;0",tblSafety[Date],"&lt;="&amp;$A24))=0,"",$A24-MAX(N(cfg_PriorLTIDate),_xlfn.MAXIFS(tblSafety[Date],tblSafety[LTI],"&gt;0",tblSafety[Date],"&lt;="&amp;$A24)))</f>
        <v/>
      </c>
      <c r="IS24" s="55">
        <f>SUMIFS(tblBudget[Ore_Mined_t],tblBudget[Month],$E24)</f>
        <v/>
      </c>
      <c r="IT24" s="55">
        <f>$IS24*$C24/$D24</f>
        <v/>
      </c>
      <c r="IU24" s="55">
        <f>SUMIFS(tblBudget[Ore_Mined_t],tblBudget[Month],"&lt;"&amp;$E24)+$IT24</f>
        <v/>
      </c>
      <c r="IV24" s="55">
        <f>SUMIFS(tblBudget[Ore_oz],tblBudget[Month],$E24)</f>
        <v/>
      </c>
      <c r="IW24" s="55">
        <f>$IV24*$C24/$D24</f>
        <v/>
      </c>
      <c r="IX24" s="55">
        <f>SUMIFS(tblBudget[Ore_oz],tblBudget[Month],"&lt;"&amp;$E24)+$IW24</f>
        <v/>
      </c>
      <c r="IY24" s="55">
        <f>SUMIFS(tblBudget[Ore_Mined_t],tblBudget[Month],$E24)</f>
        <v/>
      </c>
      <c r="IZ24" s="55">
        <f>$IY24*$C24/$D24</f>
        <v/>
      </c>
      <c r="JA24" s="55">
        <f>SUMIFS(tblBudget[Ore_Mined_t],tblBudget[Month],"&lt;"&amp;$E24)+$IZ24</f>
        <v/>
      </c>
      <c r="JB24" s="56">
        <f>IFERROR(IF(($IY24)&gt;0,($IV24*cfg_TroyOz)/($IY24),""),"")</f>
        <v/>
      </c>
      <c r="JC24" s="56">
        <f>IFERROR(IF(($IZ24)&gt;0,($IW24*cfg_TroyOz)/($IZ24),""),"")</f>
        <v/>
      </c>
      <c r="JD24" s="56">
        <f>IFERROR(IF(($JA24)&gt;0,($IX24*cfg_TroyOz)/($JA24),""),"")</f>
        <v/>
      </c>
      <c r="JE24" s="55">
        <f>SUMIFS(tblBudget[Waste_t],tblBudget[Month],$E24)</f>
        <v/>
      </c>
      <c r="JF24" s="55">
        <f>$JE24*$C24/$D24</f>
        <v/>
      </c>
      <c r="JG24" s="55">
        <f>SUMIFS(tblBudget[Waste_t],tblBudget[Month],"&lt;"&amp;$E24)+$JF24</f>
        <v/>
      </c>
      <c r="JH24" s="55">
        <f>SUMIFS(tblBudget[TMM_t],tblBudget[Month],$E24)</f>
        <v/>
      </c>
      <c r="JI24" s="55">
        <f>$JH24*$C24/$D24</f>
        <v/>
      </c>
      <c r="JJ24" s="55">
        <f>SUMIFS(tblBudget[TMM_t],tblBudget[Month],"&lt;"&amp;$E24)+$JI24</f>
        <v/>
      </c>
      <c r="JK24" s="56">
        <f>IFERROR(IF(($IS24)&gt;0,($JE24)/($IS24),""),"")</f>
        <v/>
      </c>
      <c r="JL24" s="56">
        <f>IFERROR(IF(($IT24)&gt;0,($JF24)/($IT24),""),"")</f>
        <v/>
      </c>
      <c r="JM24" s="56">
        <f>IFERROR(IF(($IU24)&gt;0,($JG24)/($IU24),""),"")</f>
        <v/>
      </c>
      <c r="JN24" s="55">
        <f>SUMIFS(tblBudget[Drill_m],tblBudget[Month],$E24)</f>
        <v/>
      </c>
      <c r="JO24" s="55">
        <f>$JN24*$C24/$D24</f>
        <v/>
      </c>
      <c r="JP24" s="55">
        <f>SUMIFS(tblBudget[Drill_m],tblBudget[Month],"&lt;"&amp;$E24)+$JO24</f>
        <v/>
      </c>
      <c r="JQ24" s="55">
        <f>SUMIFS(tblBudget[Diesel_L],tblBudget[Month],$E24)</f>
        <v/>
      </c>
      <c r="JR24" s="55">
        <f>$JQ24*$C24/$D24</f>
        <v/>
      </c>
      <c r="JS24" s="55">
        <f>SUMIFS(tblBudget[Diesel_L],tblBudget[Month],"&lt;"&amp;$E24)+$JR24</f>
        <v/>
      </c>
      <c r="JT24" s="55">
        <f>SUMIFS(tblBudget[Milled_t],tblBudget[Month],$E24)</f>
        <v/>
      </c>
      <c r="JU24" s="55">
        <f>$JT24*$C24/$D24</f>
        <v/>
      </c>
      <c r="JV24" s="55">
        <f>SUMIFS(tblBudget[Milled_t],tblBudget[Month],"&lt;"&amp;$E24)+$JU24</f>
        <v/>
      </c>
      <c r="JW24" s="55">
        <f>SUMIFS(tblBudget[Feed_oz],tblBudget[Month],$E24)</f>
        <v/>
      </c>
      <c r="JX24" s="55">
        <f>$JW24*$C24/$D24</f>
        <v/>
      </c>
      <c r="JY24" s="55">
        <f>SUMIFS(tblBudget[Feed_oz],tblBudget[Month],"&lt;"&amp;$E24)+$JX24</f>
        <v/>
      </c>
      <c r="JZ24" s="55">
        <f>SUMIFS(tblBudget[Recovered_oz],tblBudget[Month],$E24)</f>
        <v/>
      </c>
      <c r="KA24" s="55">
        <f>$JZ24*$C24/$D24</f>
        <v/>
      </c>
      <c r="KB24" s="55">
        <f>SUMIFS(tblBudget[Recovered_oz],tblBudget[Month],"&lt;"&amp;$E24)+$KA24</f>
        <v/>
      </c>
      <c r="KC24" s="55">
        <f>SUMIFS(tblBudget[Milled_t],tblBudget[Month],$E24)</f>
        <v/>
      </c>
      <c r="KD24" s="55">
        <f>$KC24*$C24/$D24</f>
        <v/>
      </c>
      <c r="KE24" s="55">
        <f>SUMIFS(tblBudget[Milled_t],tblBudget[Month],"&lt;"&amp;$E24)+$KD24</f>
        <v/>
      </c>
      <c r="KF24" s="55">
        <f>SUMIFS(tblBudget[Feed_oz],tblBudget[Month],$E24)</f>
        <v/>
      </c>
      <c r="KG24" s="55">
        <f>$KF24*$C24/$D24</f>
        <v/>
      </c>
      <c r="KH24" s="55">
        <f>SUMIFS(tblBudget[Feed_oz],tblBudget[Month],"&lt;"&amp;$E24)+$KG24</f>
        <v/>
      </c>
      <c r="KI24" s="56">
        <f>IFERROR(IF(($KC24)&gt;0,($JW24*cfg_TroyOz)/($KC24),""),"")</f>
        <v/>
      </c>
      <c r="KJ24" s="56">
        <f>IFERROR(IF(($KD24)&gt;0,($JX24*cfg_TroyOz)/($KD24),""),"")</f>
        <v/>
      </c>
      <c r="KK24" s="56">
        <f>IFERROR(IF(($KE24)&gt;0,($JY24*cfg_TroyOz)/($KE24),""),"")</f>
        <v/>
      </c>
      <c r="KL24" s="67">
        <f>IFERROR(IF(($KF24)&gt;0,($JZ24)/($KF24),""),"")</f>
        <v/>
      </c>
      <c r="KM24" s="67">
        <f>IFERROR(IF(($KG24)&gt;0,($KA24)/($KG24),""),"")</f>
        <v/>
      </c>
      <c r="KN24" s="67">
        <f>IFERROR(IF(($KH24)&gt;0,($KB24)/($KH24),""),"")</f>
        <v/>
      </c>
      <c r="KO24" s="55">
        <f>SUMIFS(tblBudget[Gold_Poured_oz],tblBudget[Month],$E24)</f>
        <v/>
      </c>
      <c r="KP24" s="55">
        <f>$KO24*$C24/$D24</f>
        <v/>
      </c>
      <c r="KQ24" s="55">
        <f>SUMIFS(tblBudget[Gold_Poured_oz],tblBudget[Month],"&lt;"&amp;$E24)+$KP24</f>
        <v/>
      </c>
      <c r="KR24" s="57">
        <f>SUMIFS(tblBudget[Hours_Worked],tblBudget[Month],$E24)</f>
        <v/>
      </c>
      <c r="KS24" s="57">
        <f>$KR24*$C24/$D24</f>
        <v/>
      </c>
      <c r="KT24" s="57">
        <f>SUMIFS(tblBudget[Hours_Worked],tblBudget[Month],"&lt;"&amp;$E24)+$KS24</f>
        <v/>
      </c>
    </row>
    <row r="25">
      <c r="A25" s="54" t="n">
        <v>46046</v>
      </c>
      <c r="B25">
        <f>MONTH($A25)</f>
        <v/>
      </c>
      <c r="C25">
        <f>DAY($A25)</f>
        <v/>
      </c>
      <c r="D25">
        <f>DAY(EOMONTH($A25,0))</f>
        <v/>
      </c>
      <c r="E25" s="54">
        <f>DATE(YEAR($A25),MONTH($A25),1)</f>
        <v/>
      </c>
      <c r="F25" s="55">
        <f>SUMIFS(tblMovement[Tonnes_t],tblMovement[Date],$A25,tblMovement[Is_Ore],1,tblMovement[Source_Type],"Pit")</f>
        <v/>
      </c>
      <c r="G25" s="55">
        <f>IF($B25=$B24,$G24,0)+$F25</f>
        <v/>
      </c>
      <c r="H25" s="55">
        <f>$H24+$F25</f>
        <v/>
      </c>
      <c r="I25" s="55">
        <f>SUMIFS(tblMovement[Ore_oz],tblMovement[Date],$A25,tblMovement[Source_Type],"Pit")</f>
        <v/>
      </c>
      <c r="J25" s="55">
        <f>IF($B25=$B24,$J24,0)+$I25</f>
        <v/>
      </c>
      <c r="K25" s="55">
        <f>$K24+$I25</f>
        <v/>
      </c>
      <c r="L25" s="55">
        <f>SUMIFS(tblMovement[Tonnes_t],tblMovement[Date],$A25,tblMovement[Is_Ore],1,tblMovement[Source_Type],"Pit",tblMovement[Grade_gpt],"&lt;&gt;")</f>
        <v/>
      </c>
      <c r="M25" s="55">
        <f>IF($B25=$B24,$M24,0)+$L25</f>
        <v/>
      </c>
      <c r="N25" s="55">
        <f>$N24+$L25</f>
        <v/>
      </c>
      <c r="O25" s="56">
        <f>IFERROR(IF(($L25)&gt;0,($I25*cfg_TroyOz)/($L25),""),"")</f>
        <v/>
      </c>
      <c r="P25" s="56">
        <f>IFERROR(IF(($M25)&gt;0,($J25*cfg_TroyOz)/($M25),""),"")</f>
        <v/>
      </c>
      <c r="Q25" s="56">
        <f>IFERROR(IF(($N25)&gt;0,($K25*cfg_TroyOz)/($N25),""),"")</f>
        <v/>
      </c>
      <c r="R25" s="55">
        <f>$F25-$L25</f>
        <v/>
      </c>
      <c r="S25" s="55">
        <f>IF($B25=$B24,$S24,0)+$R25</f>
        <v/>
      </c>
      <c r="T25" s="55">
        <f>$T24+$R25</f>
        <v/>
      </c>
      <c r="U25" s="55">
        <f>SUMIFS(tblMovement[Tonnes_t],tblMovement[Date],$A25,tblMovement[Is_Ore],0,tblMovement[Source_Type],"Pit")</f>
        <v/>
      </c>
      <c r="V25" s="55">
        <f>IF($B25=$B24,$V24,0)+$U25</f>
        <v/>
      </c>
      <c r="W25" s="55">
        <f>$W24+$U25</f>
        <v/>
      </c>
      <c r="X25" s="55">
        <f>$F25+$U25</f>
        <v/>
      </c>
      <c r="Y25" s="55">
        <f>IF($B25=$B24,$Y24,0)+$X25</f>
        <v/>
      </c>
      <c r="Z25" s="55">
        <f>$Z24+$X25</f>
        <v/>
      </c>
      <c r="AA25" s="56">
        <f>IFERROR(IF(($F25)&gt;0,($U25)/($F25),""),"")</f>
        <v/>
      </c>
      <c r="AB25" s="56">
        <f>IFERROR(IF(($G25)&gt;0,($V25)/($G25),""),"")</f>
        <v/>
      </c>
      <c r="AC25" s="56">
        <f>IFERROR(IF(($H25)&gt;0,($W25)/($H25),""),"")</f>
        <v/>
      </c>
      <c r="AD25" s="55">
        <f>SUMIFS(tblMovement[Tonnes_t],tblMovement[Date],$A25,tblMovement[Source_Type],"Stockpile")</f>
        <v/>
      </c>
      <c r="AE25" s="55">
        <f>IF($B25=$B24,$AE24,0)+$AD25</f>
        <v/>
      </c>
      <c r="AF25" s="55">
        <f>$AF24+$AD25</f>
        <v/>
      </c>
      <c r="AG25" s="55">
        <f>SUMIFS(tblMovement[Tonnes_t],tblMovement[Date],$A25)</f>
        <v/>
      </c>
      <c r="AH25" s="55">
        <f>IF($B25=$B24,$AH24,0)+$AG25</f>
        <v/>
      </c>
      <c r="AI25" s="55">
        <f>$AI24+$AG25</f>
        <v/>
      </c>
      <c r="AJ25" s="55">
        <f>$AG25-$X25-$AD25</f>
        <v/>
      </c>
      <c r="AK25" s="55">
        <f>IF($B25=$B24,$AK24,0)+$AJ25</f>
        <v/>
      </c>
      <c r="AL25" s="55">
        <f>$AL24+$AJ25</f>
        <v/>
      </c>
      <c r="AM25" s="55">
        <f>SUMIFS(tblMiningDaily[Drill_m],tblMiningDaily[Date],$A25)</f>
        <v/>
      </c>
      <c r="AN25" s="55">
        <f>IF($B25=$B24,$AN24,0)+$AM25</f>
        <v/>
      </c>
      <c r="AO25" s="55">
        <f>$AO24+$AM25</f>
        <v/>
      </c>
      <c r="AP25" s="55">
        <f>SUMIFS(tblMiningDaily[GC_Drill_m],tblMiningDaily[Date],$A25)</f>
        <v/>
      </c>
      <c r="AQ25" s="55">
        <f>IF($B25=$B24,$AQ24,0)+$AP25</f>
        <v/>
      </c>
      <c r="AR25" s="55">
        <f>$AR24+$AP25</f>
        <v/>
      </c>
      <c r="AS25" s="55">
        <f>SUMIFS(tblMiningDaily[Blast_t],tblMiningDaily[Date],$A25)</f>
        <v/>
      </c>
      <c r="AT25" s="55">
        <f>IF($B25=$B24,$AT24,0)+$AS25</f>
        <v/>
      </c>
      <c r="AU25" s="55">
        <f>$AU24+$AS25</f>
        <v/>
      </c>
      <c r="AV25" s="55">
        <f>SUMIFS(tblMiningDaily[Explosives_kg],tblMiningDaily[Date],$A25)</f>
        <v/>
      </c>
      <c r="AW25" s="55">
        <f>IF($B25=$B24,$AW24,0)+$AV25</f>
        <v/>
      </c>
      <c r="AX25" s="55">
        <f>$AX24+$AV25</f>
        <v/>
      </c>
      <c r="AY25" s="56">
        <f>IFERROR(IF(($AS25)&gt;0,($AV25)/($AS25),""),"")</f>
        <v/>
      </c>
      <c r="AZ25" s="56">
        <f>IFERROR(IF(($AT25)&gt;0,($AW25)/($AT25),""),"")</f>
        <v/>
      </c>
      <c r="BA25" s="56">
        <f>IFERROR(IF(($AU25)&gt;0,($AX25)/($AU25),""),"")</f>
        <v/>
      </c>
      <c r="BB25" s="55">
        <f>SUMIFS(tblMiningDaily[Diesel_L],tblMiningDaily[Date],$A25)</f>
        <v/>
      </c>
      <c r="BC25" s="55">
        <f>IF($B25=$B24,$BC24,0)+$BB25</f>
        <v/>
      </c>
      <c r="BD25" s="55">
        <f>$BD24+$BB25</f>
        <v/>
      </c>
      <c r="BE25" s="55">
        <f>SUMIFS(tblMiningDaily[Dewatering_m3],tblMiningDaily[Date],$A25)</f>
        <v/>
      </c>
      <c r="BF25" s="55">
        <f>IF($B25=$B24,$BF24,0)+$BE25</f>
        <v/>
      </c>
      <c r="BG25" s="55">
        <f>$BG24+$BE25</f>
        <v/>
      </c>
      <c r="BH25" s="57">
        <f>SUMIFS(tblFleet[Calendar_h],tblFleet[Date],$A25,tblFleet[Equipment_Class],"Excavator")</f>
        <v/>
      </c>
      <c r="BI25" s="57">
        <f>IF($B25=$B24,$BI24,0)+$BH25</f>
        <v/>
      </c>
      <c r="BJ25" s="57">
        <f>$BJ24+$BH25</f>
        <v/>
      </c>
      <c r="BK25" s="57">
        <f>SUMIFS(tblFleet[Available_h],tblFleet[Date],$A25,tblFleet[Equipment_Class],"Excavator")</f>
        <v/>
      </c>
      <c r="BL25" s="57">
        <f>IF($B25=$B24,$BL24,0)+$BK25</f>
        <v/>
      </c>
      <c r="BM25" s="57">
        <f>$BM24+$BK25</f>
        <v/>
      </c>
      <c r="BN25" s="57">
        <f>SUMIFS(tblFleet[Operating_h],tblFleet[Date],$A25,tblFleet[Equipment_Class],"Excavator")</f>
        <v/>
      </c>
      <c r="BO25" s="57">
        <f>IF($B25=$B24,$BO24,0)+$BN25</f>
        <v/>
      </c>
      <c r="BP25" s="57">
        <f>$BP24+$BN25</f>
        <v/>
      </c>
      <c r="BQ25" s="67">
        <f>IFERROR(IF(($BH25)&gt;0,($BK25)/($BH25),""),"")</f>
        <v/>
      </c>
      <c r="BR25" s="67">
        <f>IFERROR(IF(($BI25)&gt;0,($BL25)/($BI25),""),"")</f>
        <v/>
      </c>
      <c r="BS25" s="67">
        <f>IFERROR(IF(($BJ25)&gt;0,($BM25)/($BJ25),""),"")</f>
        <v/>
      </c>
      <c r="BT25" s="67">
        <f>IFERROR(IF(($BK25)&gt;0,($BN25)/($BK25),""),"")</f>
        <v/>
      </c>
      <c r="BU25" s="67">
        <f>IFERROR(IF(($BL25)&gt;0,($BO25)/($BL25),""),"")</f>
        <v/>
      </c>
      <c r="BV25" s="67">
        <f>IFERROR(IF(($BM25)&gt;0,($BP25)/($BM25),""),"")</f>
        <v/>
      </c>
      <c r="BW25" s="57">
        <f>SUMIFS(tblFleet[Calendar_h],tblFleet[Date],$A25,tblFleet[Equipment_Class],"Haul Truck")</f>
        <v/>
      </c>
      <c r="BX25" s="57">
        <f>IF($B25=$B24,$BX24,0)+$BW25</f>
        <v/>
      </c>
      <c r="BY25" s="57">
        <f>$BY24+$BW25</f>
        <v/>
      </c>
      <c r="BZ25" s="57">
        <f>SUMIFS(tblFleet[Available_h],tblFleet[Date],$A25,tblFleet[Equipment_Class],"Haul Truck")</f>
        <v/>
      </c>
      <c r="CA25" s="57">
        <f>IF($B25=$B24,$CA24,0)+$BZ25</f>
        <v/>
      </c>
      <c r="CB25" s="57">
        <f>$CB24+$BZ25</f>
        <v/>
      </c>
      <c r="CC25" s="57">
        <f>SUMIFS(tblFleet[Operating_h],tblFleet[Date],$A25,tblFleet[Equipment_Class],"Haul Truck")</f>
        <v/>
      </c>
      <c r="CD25" s="57">
        <f>IF($B25=$B24,$CD24,0)+$CC25</f>
        <v/>
      </c>
      <c r="CE25" s="57">
        <f>$CE24+$CC25</f>
        <v/>
      </c>
      <c r="CF25" s="67">
        <f>IFERROR(IF(($BW25)&gt;0,($BZ25)/($BW25),""),"")</f>
        <v/>
      </c>
      <c r="CG25" s="67">
        <f>IFERROR(IF(($BX25)&gt;0,($CA25)/($BX25),""),"")</f>
        <v/>
      </c>
      <c r="CH25" s="67">
        <f>IFERROR(IF(($BY25)&gt;0,($CB25)/($BY25),""),"")</f>
        <v/>
      </c>
      <c r="CI25" s="67">
        <f>IFERROR(IF(($BZ25)&gt;0,($CC25)/($BZ25),""),"")</f>
        <v/>
      </c>
      <c r="CJ25" s="67">
        <f>IFERROR(IF(($CA25)&gt;0,($CD25)/($CA25),""),"")</f>
        <v/>
      </c>
      <c r="CK25" s="67">
        <f>IFERROR(IF(($CB25)&gt;0,($CE25)/($CB25),""),"")</f>
        <v/>
      </c>
      <c r="CL25" s="55">
        <f>IFERROR(IF(($BN25)&gt;0,($X25+$AD25)/($BN25),""),"")</f>
        <v/>
      </c>
      <c r="CM25" s="55">
        <f>IFERROR(IF(($BO25)&gt;0,($Y25+$AE25)/($BO25),""),"")</f>
        <v/>
      </c>
      <c r="CN25" s="55">
        <f>IFERROR(IF(($BP25)&gt;0,($Z25+$AF25)/($BP25),""),"")</f>
        <v/>
      </c>
      <c r="CO25" s="55">
        <f>IFERROR(IF(($CC25)&gt;0,($X25+$AD25)/($CC25),""),"")</f>
        <v/>
      </c>
      <c r="CP25" s="55">
        <f>IFERROR(IF(($CD25)&gt;0,($Y25+$AE25)/($CD25),""),"")</f>
        <v/>
      </c>
      <c r="CQ25" s="55">
        <f>IFERROR(IF(($CE25)&gt;0,($Z25+$AF25)/($CE25),""),"")</f>
        <v/>
      </c>
      <c r="CR25" s="55">
        <f>SUMIFS(tblPlant[Crushed_t],tblPlant[Date],$A25)</f>
        <v/>
      </c>
      <c r="CS25" s="55">
        <f>IF($B25=$B24,$CS24,0)+$CR25</f>
        <v/>
      </c>
      <c r="CT25" s="55">
        <f>$CT24+$CR25</f>
        <v/>
      </c>
      <c r="CU25" s="55">
        <f>SUMIFS(tblPlant[Milled_t],tblPlant[Date],$A25)</f>
        <v/>
      </c>
      <c r="CV25" s="55">
        <f>IF($B25=$B24,$CV24,0)+$CU25</f>
        <v/>
      </c>
      <c r="CW25" s="55">
        <f>$CW24+$CU25</f>
        <v/>
      </c>
      <c r="CX25" s="55">
        <f>SUMIFS(tblPlant[Feed_oz],tblPlant[Date],$A25)</f>
        <v/>
      </c>
      <c r="CY25" s="55">
        <f>IF($B25=$B24,$CY24,0)+$CX25</f>
        <v/>
      </c>
      <c r="CZ25" s="55">
        <f>$CZ24+$CX25</f>
        <v/>
      </c>
      <c r="DA25" s="55">
        <f>SUMIFS(tblPlant[Tails_oz],tblPlant[Date],$A25)</f>
        <v/>
      </c>
      <c r="DB25" s="55">
        <f>IF($B25=$B24,$DB24,0)+$DA25</f>
        <v/>
      </c>
      <c r="DC25" s="55">
        <f>$DC24+$DA25</f>
        <v/>
      </c>
      <c r="DD25" s="55">
        <f>SUMIFS(tblPlant[Recovered_oz],tblPlant[Date],$A25)</f>
        <v/>
      </c>
      <c r="DE25" s="55">
        <f>IF($B25=$B24,$DE24,0)+$DD25</f>
        <v/>
      </c>
      <c r="DF25" s="55">
        <f>$DF24+$DD25</f>
        <v/>
      </c>
      <c r="DG25" s="55">
        <f>SUMIFS(tblPlant[Milled_t],tblPlant[Date],$A25,tblPlant[Head_Grade_gpt],"&lt;&gt;")</f>
        <v/>
      </c>
      <c r="DH25" s="55">
        <f>IF($B25=$B24,$DH24,0)+$DG25</f>
        <v/>
      </c>
      <c r="DI25" s="55">
        <f>$DI24+$DG25</f>
        <v/>
      </c>
      <c r="DJ25" s="55">
        <f>SUMIFS(tblPlant[Milled_t],tblPlant[Date],$A25,tblPlant[Tails_Grade_gpt],"&lt;&gt;")</f>
        <v/>
      </c>
      <c r="DK25" s="55">
        <f>IF($B25=$B24,$DK24,0)+$DJ25</f>
        <v/>
      </c>
      <c r="DL25" s="55">
        <f>$DL24+$DJ25</f>
        <v/>
      </c>
      <c r="DM25" s="55">
        <f>SUMIFS(tblPlant[Feed_oz],tblPlant[Date],$A25,tblPlant[Tails_Grade_gpt],"&lt;&gt;")</f>
        <v/>
      </c>
      <c r="DN25" s="55">
        <f>IF($B25=$B24,$DN24,0)+$DM25</f>
        <v/>
      </c>
      <c r="DO25" s="55">
        <f>$DO24+$DM25</f>
        <v/>
      </c>
      <c r="DP25" s="55">
        <f>SUMIFS(tblPlant[Milled_t],tblPlant[Date],$A25,tblPlant[Mill_Run_h],"&lt;&gt;")</f>
        <v/>
      </c>
      <c r="DQ25" s="55">
        <f>IF($B25=$B24,$DQ24,0)+$DP25</f>
        <v/>
      </c>
      <c r="DR25" s="55">
        <f>$DR24+$DP25</f>
        <v/>
      </c>
      <c r="DS25" s="56">
        <f>IFERROR(IF(($DG25)&gt;0,($CX25*cfg_TroyOz)/($DG25),""),"")</f>
        <v/>
      </c>
      <c r="DT25" s="56">
        <f>IFERROR(IF(($DH25)&gt;0,($CY25*cfg_TroyOz)/($DH25),""),"")</f>
        <v/>
      </c>
      <c r="DU25" s="56">
        <f>IFERROR(IF(($DI25)&gt;0,($CZ25*cfg_TroyOz)/($DI25),""),"")</f>
        <v/>
      </c>
      <c r="DV25" s="56">
        <f>IFERROR(IF(($DJ25)&gt;0,($DA25*cfg_TroyOz)/($DJ25),""),"")</f>
        <v/>
      </c>
      <c r="DW25" s="56">
        <f>IFERROR(IF(($DK25)&gt;0,($DB25*cfg_TroyOz)/($DK25),""),"")</f>
        <v/>
      </c>
      <c r="DX25" s="56">
        <f>IFERROR(IF(($DL25)&gt;0,($DC25*cfg_TroyOz)/($DL25),""),"")</f>
        <v/>
      </c>
      <c r="DY25" s="67">
        <f>IFERROR(IF(($DM25)&gt;0,($DD25)/($DM25),""),"")</f>
        <v/>
      </c>
      <c r="DZ25" s="67">
        <f>IFERROR(IF(($DN25)&gt;0,($DE25)/($DN25),""),"")</f>
        <v/>
      </c>
      <c r="EA25" s="67">
        <f>IFERROR(IF(($DO25)&gt;0,($DF25)/($DO25),""),"")</f>
        <v/>
      </c>
      <c r="EB25" s="55">
        <f>SUMIFS(tblPlant[Gravity_Gold_oz],tblPlant[Date],$A25)</f>
        <v/>
      </c>
      <c r="EC25" s="55">
        <f>IF($B25=$B24,$EC24,0)+$EB25</f>
        <v/>
      </c>
      <c r="ED25" s="55">
        <f>$ED24+$EB25</f>
        <v/>
      </c>
      <c r="EE25" s="67">
        <f>IFERROR(IF(($DD25)&gt;0,($EB25)/($DD25),""),"")</f>
        <v/>
      </c>
      <c r="EF25" s="67">
        <f>IFERROR(IF(($DE25)&gt;0,($EC25)/($DE25),""),"")</f>
        <v/>
      </c>
      <c r="EG25" s="67">
        <f>IFERROR(IF(($DF25)&gt;0,($ED25)/($DF25),""),"")</f>
        <v/>
      </c>
      <c r="EH25" s="55">
        <f>SUMIFS(tblPlant[Gold_Poured_oz],tblPlant[Date],$A25)</f>
        <v/>
      </c>
      <c r="EI25" s="55">
        <f>IF($B25=$B24,$EI24,0)+$EH25</f>
        <v/>
      </c>
      <c r="EJ25" s="55">
        <f>$EJ24+$EH25</f>
        <v/>
      </c>
      <c r="EK25" s="57">
        <f>SUMIFS(tblPlant[Mill_Run_h],tblPlant[Date],$A25)</f>
        <v/>
      </c>
      <c r="EL25" s="57">
        <f>IF($B25=$B24,$EL24,0)+$EK25</f>
        <v/>
      </c>
      <c r="EM25" s="57">
        <f>$EM24+$EK25</f>
        <v/>
      </c>
      <c r="EN25" s="57">
        <f>SUMIFS(tblPlant[Mill_Planned_Maint_h],tblPlant[Date],$A25)</f>
        <v/>
      </c>
      <c r="EO25" s="57">
        <f>IF($B25=$B24,$EO24,0)+$EN25</f>
        <v/>
      </c>
      <c r="EP25" s="57">
        <f>$EP24+$EN25</f>
        <v/>
      </c>
      <c r="EQ25" s="57">
        <f>SUMIFS(tblPlant[Mill_Unplanned_Down_h],tblPlant[Date],$A25)</f>
        <v/>
      </c>
      <c r="ER25" s="57">
        <f>IF($B25=$B24,$ER24,0)+$EQ25</f>
        <v/>
      </c>
      <c r="ES25" s="57">
        <f>$ES24+$EQ25</f>
        <v/>
      </c>
      <c r="ET25" s="57">
        <f>IF(COUNTIFS(tblPlant[Date],$A25,tblPlant[Mill_Run_h],"&lt;&gt;")+COUNTIFS(tblPlant[Date],$A25,tblPlant[Mill_Planned_Maint_h],"&lt;&gt;")+COUNTIFS(tblPlant[Date],$A25,tblPlant[Mill_Unplanned_Down_h],"&lt;&gt;")&gt;0,cfg_HoursPerDay,0)</f>
        <v/>
      </c>
      <c r="EU25" s="57">
        <f>IF($B25=$B24,$EU24,0)+$ET25</f>
        <v/>
      </c>
      <c r="EV25" s="57">
        <f>$EV24+$ET25</f>
        <v/>
      </c>
      <c r="EW25" s="57">
        <f>SUMIFS(tblPlant[Crusher_Run_h],tblPlant[Date],$A25)</f>
        <v/>
      </c>
      <c r="EX25" s="57">
        <f>IF($B25=$B24,$EX24,0)+$EW25</f>
        <v/>
      </c>
      <c r="EY25" s="57">
        <f>$EY24+$EW25</f>
        <v/>
      </c>
      <c r="EZ25" s="55">
        <f>IFERROR(IF(($EK25)&gt;0,($DP25)/($EK25),""),"")</f>
        <v/>
      </c>
      <c r="FA25" s="55">
        <f>IFERROR(IF(($EL25)&gt;0,($DQ25)/($EL25),""),"")</f>
        <v/>
      </c>
      <c r="FB25" s="55">
        <f>IFERROR(IF(($EM25)&gt;0,($DR25)/($EM25),""),"")</f>
        <v/>
      </c>
      <c r="FC25" s="67">
        <f>IFERROR(IF(($ET25)&gt;0,($ET25-$EN25-$EQ25)/($ET25),""),"")</f>
        <v/>
      </c>
      <c r="FD25" s="67">
        <f>IFERROR(IF(($EU25)&gt;0,($EU25-$EO25-$ER25)/($EU25),""),"")</f>
        <v/>
      </c>
      <c r="FE25" s="67">
        <f>IFERROR(IF(($EV25)&gt;0,($EV25-$EP25-$ES25)/($EV25),""),"")</f>
        <v/>
      </c>
      <c r="FF25" s="67">
        <f>IFERROR(IF(($ET25-$EN25-$EQ25)&gt;0,($EK25)/($ET25-$EN25-$EQ25),""),"")</f>
        <v/>
      </c>
      <c r="FG25" s="67">
        <f>IFERROR(IF(($EU25-$EO25-$ER25)&gt;0,($EL25)/($EU25-$EO25-$ER25),""),"")</f>
        <v/>
      </c>
      <c r="FH25" s="67">
        <f>IFERROR(IF(($EV25-$EP25-$ES25)&gt;0,($EM25)/($EV25-$EP25-$ES25),""),"")</f>
        <v/>
      </c>
      <c r="FI25" s="55">
        <f>SUMIFS(tblPlant[Cyanide_kg],tblPlant[Date],$A25)</f>
        <v/>
      </c>
      <c r="FJ25" s="55">
        <f>IF($B25=$B24,$FJ24,0)+$FI25</f>
        <v/>
      </c>
      <c r="FK25" s="55">
        <f>$FK24+$FI25</f>
        <v/>
      </c>
      <c r="FL25" s="55">
        <f>SUMIFS(tblPlant[Lime_kg],tblPlant[Date],$A25)</f>
        <v/>
      </c>
      <c r="FM25" s="55">
        <f>IF($B25=$B24,$FM24,0)+$FL25</f>
        <v/>
      </c>
      <c r="FN25" s="55">
        <f>$FN24+$FL25</f>
        <v/>
      </c>
      <c r="FO25" s="55">
        <f>SUMIFS(tblPlant[Grinding_Media_kg],tblPlant[Date],$A25)</f>
        <v/>
      </c>
      <c r="FP25" s="55">
        <f>IF($B25=$B24,$FP24,0)+$FO25</f>
        <v/>
      </c>
      <c r="FQ25" s="55">
        <f>$FQ24+$FO25</f>
        <v/>
      </c>
      <c r="FR25" s="55">
        <f>SUMIFS(tblPlant[Power_kWh],tblPlant[Date],$A25)</f>
        <v/>
      </c>
      <c r="FS25" s="55">
        <f>IF($B25=$B24,$FS24,0)+$FR25</f>
        <v/>
      </c>
      <c r="FT25" s="55">
        <f>$FT24+$FR25</f>
        <v/>
      </c>
      <c r="FU25" s="55">
        <f>SUMIFS(tblPlant[Raw_Water_m3],tblPlant[Date],$A25)</f>
        <v/>
      </c>
      <c r="FV25" s="55">
        <f>IF($B25=$B24,$FV24,0)+$FU25</f>
        <v/>
      </c>
      <c r="FW25" s="55">
        <f>$FW24+$FU25</f>
        <v/>
      </c>
      <c r="FX25" s="56">
        <f>IFERROR(IF(($CU25)&gt;0,($FI25)/($CU25),""),"")</f>
        <v/>
      </c>
      <c r="FY25" s="56">
        <f>IFERROR(IF(($CV25)&gt;0,($FJ25)/($CV25),""),"")</f>
        <v/>
      </c>
      <c r="FZ25" s="56">
        <f>IFERROR(IF(($CW25)&gt;0,($FK25)/($CW25),""),"")</f>
        <v/>
      </c>
      <c r="GA25" s="56">
        <f>IFERROR(IF(($CU25)&gt;0,($FL25)/($CU25),""),"")</f>
        <v/>
      </c>
      <c r="GB25" s="56">
        <f>IFERROR(IF(($CV25)&gt;0,($FM25)/($CV25),""),"")</f>
        <v/>
      </c>
      <c r="GC25" s="56">
        <f>IFERROR(IF(($CW25)&gt;0,($FN25)/($CW25),""),"")</f>
        <v/>
      </c>
      <c r="GD25" s="56">
        <f>IFERROR(IF(($CU25)&gt;0,($FO25)/($CU25),""),"")</f>
        <v/>
      </c>
      <c r="GE25" s="56">
        <f>IFERROR(IF(($CV25)&gt;0,($FP25)/($CV25),""),"")</f>
        <v/>
      </c>
      <c r="GF25" s="56">
        <f>IFERROR(IF(($CW25)&gt;0,($FQ25)/($CW25),""),"")</f>
        <v/>
      </c>
      <c r="GG25" s="79">
        <f>IFERROR(IF(($CU25)&gt;0,($FR25)/($CU25),""),"")</f>
        <v/>
      </c>
      <c r="GH25" s="79">
        <f>IFERROR(IF(($CV25)&gt;0,($FS25)/($CV25),""),"")</f>
        <v/>
      </c>
      <c r="GI25" s="79">
        <f>IFERROR(IF(($CW25)&gt;0,($FT25)/($CW25),""),"")</f>
        <v/>
      </c>
      <c r="GJ25" s="56">
        <f>IFERROR(IF(($CU25)&gt;0,($FU25)/($CU25),""),"")</f>
        <v/>
      </c>
      <c r="GK25" s="56">
        <f>IFERROR(IF(($CV25)&gt;0,($FV25)/($CV25),""),"")</f>
        <v/>
      </c>
      <c r="GL25" s="56">
        <f>IFERROR(IF(($CW25)&gt;0,($FW25)/($CW25),""),"")</f>
        <v/>
      </c>
      <c r="GM25" s="55">
        <f>IF(SUMIFS(tblPlant[GIC_oz],tblPlant[Date],$A25)&gt;0,SUMIFS(tblPlant[GIC_oz],tblPlant[Date],$A25),"")</f>
        <v/>
      </c>
      <c r="GN25" s="55">
        <f>SUMIFS(tblGold[Gold_oz],tblGold[Date],$A25,tblGold[Type],"Shipment")</f>
        <v/>
      </c>
      <c r="GO25" s="55">
        <f>IF($B25=$B24,$GO24,0)+$GN25</f>
        <v/>
      </c>
      <c r="GP25" s="55">
        <f>$GP24+$GN25</f>
        <v/>
      </c>
      <c r="GQ25" s="55">
        <f>SUMIFS(tblGold[Gold_oz],tblGold[Date],$A25,tblGold[Type],"Sale")</f>
        <v/>
      </c>
      <c r="GR25" s="55">
        <f>IF($B25=$B24,$GR24,0)+$GQ25</f>
        <v/>
      </c>
      <c r="GS25" s="55">
        <f>$GS24+$GQ25</f>
        <v/>
      </c>
      <c r="GT25" s="55">
        <f>SUMIFS(tblGold[Dore_kg],tblGold[Date],$A25,tblGold[Type],"Shipment")</f>
        <v/>
      </c>
      <c r="GU25" s="55">
        <f>IF($B25=$B24,$GU24,0)+$GT25</f>
        <v/>
      </c>
      <c r="GV25" s="55">
        <f>$GV24+$GT25</f>
        <v/>
      </c>
      <c r="GW25" s="57">
        <f>SUMIFS(tblSafety[Hours_Total],tblSafety[Date],$A25)</f>
        <v/>
      </c>
      <c r="GX25" s="57">
        <f>IF($B25=$B24,$GX24,0)+$GW25</f>
        <v/>
      </c>
      <c r="GY25" s="57">
        <f>$GY24+$GW25</f>
        <v/>
      </c>
      <c r="GZ25" s="62">
        <f>SUMIFS(tblSafety[Fatality],tblSafety[Date],$A25)</f>
        <v/>
      </c>
      <c r="HA25" s="62">
        <f>IF($B25=$B24,$HA24,0)+$GZ25</f>
        <v/>
      </c>
      <c r="HB25" s="62">
        <f>$HB24+$GZ25</f>
        <v/>
      </c>
      <c r="HC25" s="62">
        <f>SUMIFS(tblSafety[LTI],tblSafety[Date],$A25)</f>
        <v/>
      </c>
      <c r="HD25" s="62">
        <f>IF($B25=$B24,$HD24,0)+$HC25</f>
        <v/>
      </c>
      <c r="HE25" s="62">
        <f>$HE24+$HC25</f>
        <v/>
      </c>
      <c r="HF25" s="62">
        <f>SUMIFS(tblSafety[RWI],tblSafety[Date],$A25)</f>
        <v/>
      </c>
      <c r="HG25" s="62">
        <f>IF($B25=$B24,$HG24,0)+$HF25</f>
        <v/>
      </c>
      <c r="HH25" s="62">
        <f>$HH24+$HF25</f>
        <v/>
      </c>
      <c r="HI25" s="62">
        <f>SUMIFS(tblSafety[MTI],tblSafety[Date],$A25)</f>
        <v/>
      </c>
      <c r="HJ25" s="62">
        <f>IF($B25=$B24,$HJ24,0)+$HI25</f>
        <v/>
      </c>
      <c r="HK25" s="62">
        <f>$HK24+$HI25</f>
        <v/>
      </c>
      <c r="HL25" s="62">
        <f>SUMIFS(tblSafety[FAI],tblSafety[Date],$A25)</f>
        <v/>
      </c>
      <c r="HM25" s="62">
        <f>IF($B25=$B24,$HM24,0)+$HL25</f>
        <v/>
      </c>
      <c r="HN25" s="62">
        <f>$HN24+$HL25</f>
        <v/>
      </c>
      <c r="HO25" s="62">
        <f>SUMIFS(tblSafety[Recordables],tblSafety[Date],$A25)</f>
        <v/>
      </c>
      <c r="HP25" s="62">
        <f>IF($B25=$B24,$HP24,0)+$HO25</f>
        <v/>
      </c>
      <c r="HQ25" s="62">
        <f>$HQ24+$HO25</f>
        <v/>
      </c>
      <c r="HR25" s="62">
        <f>SUMIFS(tblSafety[Near_Miss],tblSafety[Date],$A25)</f>
        <v/>
      </c>
      <c r="HS25" s="62">
        <f>IF($B25=$B24,$HS24,0)+$HR25</f>
        <v/>
      </c>
      <c r="HT25" s="62">
        <f>$HT24+$HR25</f>
        <v/>
      </c>
      <c r="HU25" s="62">
        <f>SUMIFS(tblSafety[Hazard_Reports],tblSafety[Date],$A25)</f>
        <v/>
      </c>
      <c r="HV25" s="62">
        <f>IF($B25=$B24,$HV24,0)+$HU25</f>
        <v/>
      </c>
      <c r="HW25" s="62">
        <f>$HW24+$HU25</f>
        <v/>
      </c>
      <c r="HX25" s="62">
        <f>SUMIFS(tblSafety[HPI],tblSafety[Date],$A25)</f>
        <v/>
      </c>
      <c r="HY25" s="62">
        <f>IF($B25=$B24,$HY24,0)+$HX25</f>
        <v/>
      </c>
      <c r="HZ25" s="62">
        <f>$HZ24+$HX25</f>
        <v/>
      </c>
      <c r="IA25" s="62">
        <f>SUMIFS(tblSafety[Env_Incidents],tblSafety[Date],$A25)</f>
        <v/>
      </c>
      <c r="IB25" s="62">
        <f>IF($B25=$B24,$IB24,0)+$IA25</f>
        <v/>
      </c>
      <c r="IC25" s="62">
        <f>$IC24+$IA25</f>
        <v/>
      </c>
      <c r="ID25" s="62">
        <f>SUMIFS(tblSafety[Community_Incidents],tblSafety[Date],$A25)</f>
        <v/>
      </c>
      <c r="IE25" s="62">
        <f>IF($B25=$B24,$IE24,0)+$ID25</f>
        <v/>
      </c>
      <c r="IF25" s="62">
        <f>$IF24+$ID25</f>
        <v/>
      </c>
      <c r="IG25" s="62">
        <f>SUMIFS(tblSafety[Vehicle_Incidents],tblSafety[Date],$A25)</f>
        <v/>
      </c>
      <c r="IH25" s="62">
        <f>IF($B25=$B24,$IH24,0)+$IG25</f>
        <v/>
      </c>
      <c r="II25" s="62">
        <f>$II24+$IG25</f>
        <v/>
      </c>
      <c r="IJ25" s="62">
        <f>SUMIFS(tblSafety[Toolbox_Talks],tblSafety[Date],$A25)</f>
        <v/>
      </c>
      <c r="IK25" s="62">
        <f>IF($B25=$B24,$IK24,0)+$IJ25</f>
        <v/>
      </c>
      <c r="IL25" s="62">
        <f>$IL24+$IJ25</f>
        <v/>
      </c>
      <c r="IM25" s="62">
        <f>SUMIFS(tblSafety[Inspections],tblSafety[Date],$A25)</f>
        <v/>
      </c>
      <c r="IN25" s="62">
        <f>IF($B25=$B24,$IN24,0)+$IM25</f>
        <v/>
      </c>
      <c r="IO25" s="62">
        <f>$IO24+$IM25</f>
        <v/>
      </c>
      <c r="IP25" s="56">
        <f>IFERROR((SUMIFS(tblSafety[Recordables],tblSafety[Date],"&gt;="&amp;EDATE($E25,-12),tblSafety[Date],"&lt;="&amp;$A25)+SUMIFS(tblSafetyHistory[Recordables],tblSafetyHistory[Month],"&gt;="&amp;EDATE($E25,-12),tblSafetyHistory[Month],"&lt;"&amp;$E25,tblSafetyHistory[Use],1))/(SUMIFS(tblSafety[Hours_Total],tblSafety[Date],"&gt;="&amp;EDATE($E25,-12),tblSafety[Date],"&lt;="&amp;$A25)+SUMIFS(tblSafetyHistory[Hours_Total],tblSafetyHistory[Month],"&gt;="&amp;EDATE($E25,-12),tblSafetyHistory[Month],"&lt;"&amp;$E25,tblSafetyHistory[Use],1))*cfg_RateBasisHours,"")</f>
        <v/>
      </c>
      <c r="IQ25" s="56">
        <f>IFERROR((SUMIFS(tblSafety[LTI],tblSafety[Date],"&gt;="&amp;EDATE($E25,-12),tblSafety[Date],"&lt;="&amp;$A25)+SUMIFS(tblSafetyHistory[LTI],tblSafetyHistory[Month],"&gt;="&amp;EDATE($E25,-12),tblSafetyHistory[Month],"&lt;"&amp;$E25,tblSafetyHistory[Use],1))/(SUMIFS(tblSafety[Hours_Total],tblSafety[Date],"&gt;="&amp;EDATE($E25,-12),tblSafety[Date],"&lt;="&amp;$A25)+SUMIFS(tblSafetyHistory[Hours_Total],tblSafetyHistory[Month],"&gt;="&amp;EDATE($E25,-12),tblSafetyHistory[Month],"&lt;"&amp;$E25,tblSafetyHistory[Use],1))*cfg_RateBasisHours,"")</f>
        <v/>
      </c>
      <c r="IR25" s="62">
        <f>IF(MAX(N(cfg_PriorLTIDate),_xlfn.MAXIFS(tblSafety[Date],tblSafety[LTI],"&gt;0",tblSafety[Date],"&lt;="&amp;$A25))=0,"",$A25-MAX(N(cfg_PriorLTIDate),_xlfn.MAXIFS(tblSafety[Date],tblSafety[LTI],"&gt;0",tblSafety[Date],"&lt;="&amp;$A25)))</f>
        <v/>
      </c>
      <c r="IS25" s="55">
        <f>SUMIFS(tblBudget[Ore_Mined_t],tblBudget[Month],$E25)</f>
        <v/>
      </c>
      <c r="IT25" s="55">
        <f>$IS25*$C25/$D25</f>
        <v/>
      </c>
      <c r="IU25" s="55">
        <f>SUMIFS(tblBudget[Ore_Mined_t],tblBudget[Month],"&lt;"&amp;$E25)+$IT25</f>
        <v/>
      </c>
      <c r="IV25" s="55">
        <f>SUMIFS(tblBudget[Ore_oz],tblBudget[Month],$E25)</f>
        <v/>
      </c>
      <c r="IW25" s="55">
        <f>$IV25*$C25/$D25</f>
        <v/>
      </c>
      <c r="IX25" s="55">
        <f>SUMIFS(tblBudget[Ore_oz],tblBudget[Month],"&lt;"&amp;$E25)+$IW25</f>
        <v/>
      </c>
      <c r="IY25" s="55">
        <f>SUMIFS(tblBudget[Ore_Mined_t],tblBudget[Month],$E25)</f>
        <v/>
      </c>
      <c r="IZ25" s="55">
        <f>$IY25*$C25/$D25</f>
        <v/>
      </c>
      <c r="JA25" s="55">
        <f>SUMIFS(tblBudget[Ore_Mined_t],tblBudget[Month],"&lt;"&amp;$E25)+$IZ25</f>
        <v/>
      </c>
      <c r="JB25" s="56">
        <f>IFERROR(IF(($IY25)&gt;0,($IV25*cfg_TroyOz)/($IY25),""),"")</f>
        <v/>
      </c>
      <c r="JC25" s="56">
        <f>IFERROR(IF(($IZ25)&gt;0,($IW25*cfg_TroyOz)/($IZ25),""),"")</f>
        <v/>
      </c>
      <c r="JD25" s="56">
        <f>IFERROR(IF(($JA25)&gt;0,($IX25*cfg_TroyOz)/($JA25),""),"")</f>
        <v/>
      </c>
      <c r="JE25" s="55">
        <f>SUMIFS(tblBudget[Waste_t],tblBudget[Month],$E25)</f>
        <v/>
      </c>
      <c r="JF25" s="55">
        <f>$JE25*$C25/$D25</f>
        <v/>
      </c>
      <c r="JG25" s="55">
        <f>SUMIFS(tblBudget[Waste_t],tblBudget[Month],"&lt;"&amp;$E25)+$JF25</f>
        <v/>
      </c>
      <c r="JH25" s="55">
        <f>SUMIFS(tblBudget[TMM_t],tblBudget[Month],$E25)</f>
        <v/>
      </c>
      <c r="JI25" s="55">
        <f>$JH25*$C25/$D25</f>
        <v/>
      </c>
      <c r="JJ25" s="55">
        <f>SUMIFS(tblBudget[TMM_t],tblBudget[Month],"&lt;"&amp;$E25)+$JI25</f>
        <v/>
      </c>
      <c r="JK25" s="56">
        <f>IFERROR(IF(($IS25)&gt;0,($JE25)/($IS25),""),"")</f>
        <v/>
      </c>
      <c r="JL25" s="56">
        <f>IFERROR(IF(($IT25)&gt;0,($JF25)/($IT25),""),"")</f>
        <v/>
      </c>
      <c r="JM25" s="56">
        <f>IFERROR(IF(($IU25)&gt;0,($JG25)/($IU25),""),"")</f>
        <v/>
      </c>
      <c r="JN25" s="55">
        <f>SUMIFS(tblBudget[Drill_m],tblBudget[Month],$E25)</f>
        <v/>
      </c>
      <c r="JO25" s="55">
        <f>$JN25*$C25/$D25</f>
        <v/>
      </c>
      <c r="JP25" s="55">
        <f>SUMIFS(tblBudget[Drill_m],tblBudget[Month],"&lt;"&amp;$E25)+$JO25</f>
        <v/>
      </c>
      <c r="JQ25" s="55">
        <f>SUMIFS(tblBudget[Diesel_L],tblBudget[Month],$E25)</f>
        <v/>
      </c>
      <c r="JR25" s="55">
        <f>$JQ25*$C25/$D25</f>
        <v/>
      </c>
      <c r="JS25" s="55">
        <f>SUMIFS(tblBudget[Diesel_L],tblBudget[Month],"&lt;"&amp;$E25)+$JR25</f>
        <v/>
      </c>
      <c r="JT25" s="55">
        <f>SUMIFS(tblBudget[Milled_t],tblBudget[Month],$E25)</f>
        <v/>
      </c>
      <c r="JU25" s="55">
        <f>$JT25*$C25/$D25</f>
        <v/>
      </c>
      <c r="JV25" s="55">
        <f>SUMIFS(tblBudget[Milled_t],tblBudget[Month],"&lt;"&amp;$E25)+$JU25</f>
        <v/>
      </c>
      <c r="JW25" s="55">
        <f>SUMIFS(tblBudget[Feed_oz],tblBudget[Month],$E25)</f>
        <v/>
      </c>
      <c r="JX25" s="55">
        <f>$JW25*$C25/$D25</f>
        <v/>
      </c>
      <c r="JY25" s="55">
        <f>SUMIFS(tblBudget[Feed_oz],tblBudget[Month],"&lt;"&amp;$E25)+$JX25</f>
        <v/>
      </c>
      <c r="JZ25" s="55">
        <f>SUMIFS(tblBudget[Recovered_oz],tblBudget[Month],$E25)</f>
        <v/>
      </c>
      <c r="KA25" s="55">
        <f>$JZ25*$C25/$D25</f>
        <v/>
      </c>
      <c r="KB25" s="55">
        <f>SUMIFS(tblBudget[Recovered_oz],tblBudget[Month],"&lt;"&amp;$E25)+$KA25</f>
        <v/>
      </c>
      <c r="KC25" s="55">
        <f>SUMIFS(tblBudget[Milled_t],tblBudget[Month],$E25)</f>
        <v/>
      </c>
      <c r="KD25" s="55">
        <f>$KC25*$C25/$D25</f>
        <v/>
      </c>
      <c r="KE25" s="55">
        <f>SUMIFS(tblBudget[Milled_t],tblBudget[Month],"&lt;"&amp;$E25)+$KD25</f>
        <v/>
      </c>
      <c r="KF25" s="55">
        <f>SUMIFS(tblBudget[Feed_oz],tblBudget[Month],$E25)</f>
        <v/>
      </c>
      <c r="KG25" s="55">
        <f>$KF25*$C25/$D25</f>
        <v/>
      </c>
      <c r="KH25" s="55">
        <f>SUMIFS(tblBudget[Feed_oz],tblBudget[Month],"&lt;"&amp;$E25)+$KG25</f>
        <v/>
      </c>
      <c r="KI25" s="56">
        <f>IFERROR(IF(($KC25)&gt;0,($JW25*cfg_TroyOz)/($KC25),""),"")</f>
        <v/>
      </c>
      <c r="KJ25" s="56">
        <f>IFERROR(IF(($KD25)&gt;0,($JX25*cfg_TroyOz)/($KD25),""),"")</f>
        <v/>
      </c>
      <c r="KK25" s="56">
        <f>IFERROR(IF(($KE25)&gt;0,($JY25*cfg_TroyOz)/($KE25),""),"")</f>
        <v/>
      </c>
      <c r="KL25" s="67">
        <f>IFERROR(IF(($KF25)&gt;0,($JZ25)/($KF25),""),"")</f>
        <v/>
      </c>
      <c r="KM25" s="67">
        <f>IFERROR(IF(($KG25)&gt;0,($KA25)/($KG25),""),"")</f>
        <v/>
      </c>
      <c r="KN25" s="67">
        <f>IFERROR(IF(($KH25)&gt;0,($KB25)/($KH25),""),"")</f>
        <v/>
      </c>
      <c r="KO25" s="55">
        <f>SUMIFS(tblBudget[Gold_Poured_oz],tblBudget[Month],$E25)</f>
        <v/>
      </c>
      <c r="KP25" s="55">
        <f>$KO25*$C25/$D25</f>
        <v/>
      </c>
      <c r="KQ25" s="55">
        <f>SUMIFS(tblBudget[Gold_Poured_oz],tblBudget[Month],"&lt;"&amp;$E25)+$KP25</f>
        <v/>
      </c>
      <c r="KR25" s="57">
        <f>SUMIFS(tblBudget[Hours_Worked],tblBudget[Month],$E25)</f>
        <v/>
      </c>
      <c r="KS25" s="57">
        <f>$KR25*$C25/$D25</f>
        <v/>
      </c>
      <c r="KT25" s="57">
        <f>SUMIFS(tblBudget[Hours_Worked],tblBudget[Month],"&lt;"&amp;$E25)+$KS25</f>
        <v/>
      </c>
    </row>
    <row r="26">
      <c r="A26" s="54" t="n">
        <v>46047</v>
      </c>
      <c r="B26">
        <f>MONTH($A26)</f>
        <v/>
      </c>
      <c r="C26">
        <f>DAY($A26)</f>
        <v/>
      </c>
      <c r="D26">
        <f>DAY(EOMONTH($A26,0))</f>
        <v/>
      </c>
      <c r="E26" s="54">
        <f>DATE(YEAR($A26),MONTH($A26),1)</f>
        <v/>
      </c>
      <c r="F26" s="55">
        <f>SUMIFS(tblMovement[Tonnes_t],tblMovement[Date],$A26,tblMovement[Is_Ore],1,tblMovement[Source_Type],"Pit")</f>
        <v/>
      </c>
      <c r="G26" s="55">
        <f>IF($B26=$B25,$G25,0)+$F26</f>
        <v/>
      </c>
      <c r="H26" s="55">
        <f>$H25+$F26</f>
        <v/>
      </c>
      <c r="I26" s="55">
        <f>SUMIFS(tblMovement[Ore_oz],tblMovement[Date],$A26,tblMovement[Source_Type],"Pit")</f>
        <v/>
      </c>
      <c r="J26" s="55">
        <f>IF($B26=$B25,$J25,0)+$I26</f>
        <v/>
      </c>
      <c r="K26" s="55">
        <f>$K25+$I26</f>
        <v/>
      </c>
      <c r="L26" s="55">
        <f>SUMIFS(tblMovement[Tonnes_t],tblMovement[Date],$A26,tblMovement[Is_Ore],1,tblMovement[Source_Type],"Pit",tblMovement[Grade_gpt],"&lt;&gt;")</f>
        <v/>
      </c>
      <c r="M26" s="55">
        <f>IF($B26=$B25,$M25,0)+$L26</f>
        <v/>
      </c>
      <c r="N26" s="55">
        <f>$N25+$L26</f>
        <v/>
      </c>
      <c r="O26" s="56">
        <f>IFERROR(IF(($L26)&gt;0,($I26*cfg_TroyOz)/($L26),""),"")</f>
        <v/>
      </c>
      <c r="P26" s="56">
        <f>IFERROR(IF(($M26)&gt;0,($J26*cfg_TroyOz)/($M26),""),"")</f>
        <v/>
      </c>
      <c r="Q26" s="56">
        <f>IFERROR(IF(($N26)&gt;0,($K26*cfg_TroyOz)/($N26),""),"")</f>
        <v/>
      </c>
      <c r="R26" s="55">
        <f>$F26-$L26</f>
        <v/>
      </c>
      <c r="S26" s="55">
        <f>IF($B26=$B25,$S25,0)+$R26</f>
        <v/>
      </c>
      <c r="T26" s="55">
        <f>$T25+$R26</f>
        <v/>
      </c>
      <c r="U26" s="55">
        <f>SUMIFS(tblMovement[Tonnes_t],tblMovement[Date],$A26,tblMovement[Is_Ore],0,tblMovement[Source_Type],"Pit")</f>
        <v/>
      </c>
      <c r="V26" s="55">
        <f>IF($B26=$B25,$V25,0)+$U26</f>
        <v/>
      </c>
      <c r="W26" s="55">
        <f>$W25+$U26</f>
        <v/>
      </c>
      <c r="X26" s="55">
        <f>$F26+$U26</f>
        <v/>
      </c>
      <c r="Y26" s="55">
        <f>IF($B26=$B25,$Y25,0)+$X26</f>
        <v/>
      </c>
      <c r="Z26" s="55">
        <f>$Z25+$X26</f>
        <v/>
      </c>
      <c r="AA26" s="56">
        <f>IFERROR(IF(($F26)&gt;0,($U26)/($F26),""),"")</f>
        <v/>
      </c>
      <c r="AB26" s="56">
        <f>IFERROR(IF(($G26)&gt;0,($V26)/($G26),""),"")</f>
        <v/>
      </c>
      <c r="AC26" s="56">
        <f>IFERROR(IF(($H26)&gt;0,($W26)/($H26),""),"")</f>
        <v/>
      </c>
      <c r="AD26" s="55">
        <f>SUMIFS(tblMovement[Tonnes_t],tblMovement[Date],$A26,tblMovement[Source_Type],"Stockpile")</f>
        <v/>
      </c>
      <c r="AE26" s="55">
        <f>IF($B26=$B25,$AE25,0)+$AD26</f>
        <v/>
      </c>
      <c r="AF26" s="55">
        <f>$AF25+$AD26</f>
        <v/>
      </c>
      <c r="AG26" s="55">
        <f>SUMIFS(tblMovement[Tonnes_t],tblMovement[Date],$A26)</f>
        <v/>
      </c>
      <c r="AH26" s="55">
        <f>IF($B26=$B25,$AH25,0)+$AG26</f>
        <v/>
      </c>
      <c r="AI26" s="55">
        <f>$AI25+$AG26</f>
        <v/>
      </c>
      <c r="AJ26" s="55">
        <f>$AG26-$X26-$AD26</f>
        <v/>
      </c>
      <c r="AK26" s="55">
        <f>IF($B26=$B25,$AK25,0)+$AJ26</f>
        <v/>
      </c>
      <c r="AL26" s="55">
        <f>$AL25+$AJ26</f>
        <v/>
      </c>
      <c r="AM26" s="55">
        <f>SUMIFS(tblMiningDaily[Drill_m],tblMiningDaily[Date],$A26)</f>
        <v/>
      </c>
      <c r="AN26" s="55">
        <f>IF($B26=$B25,$AN25,0)+$AM26</f>
        <v/>
      </c>
      <c r="AO26" s="55">
        <f>$AO25+$AM26</f>
        <v/>
      </c>
      <c r="AP26" s="55">
        <f>SUMIFS(tblMiningDaily[GC_Drill_m],tblMiningDaily[Date],$A26)</f>
        <v/>
      </c>
      <c r="AQ26" s="55">
        <f>IF($B26=$B25,$AQ25,0)+$AP26</f>
        <v/>
      </c>
      <c r="AR26" s="55">
        <f>$AR25+$AP26</f>
        <v/>
      </c>
      <c r="AS26" s="55">
        <f>SUMIFS(tblMiningDaily[Blast_t],tblMiningDaily[Date],$A26)</f>
        <v/>
      </c>
      <c r="AT26" s="55">
        <f>IF($B26=$B25,$AT25,0)+$AS26</f>
        <v/>
      </c>
      <c r="AU26" s="55">
        <f>$AU25+$AS26</f>
        <v/>
      </c>
      <c r="AV26" s="55">
        <f>SUMIFS(tblMiningDaily[Explosives_kg],tblMiningDaily[Date],$A26)</f>
        <v/>
      </c>
      <c r="AW26" s="55">
        <f>IF($B26=$B25,$AW25,0)+$AV26</f>
        <v/>
      </c>
      <c r="AX26" s="55">
        <f>$AX25+$AV26</f>
        <v/>
      </c>
      <c r="AY26" s="56">
        <f>IFERROR(IF(($AS26)&gt;0,($AV26)/($AS26),""),"")</f>
        <v/>
      </c>
      <c r="AZ26" s="56">
        <f>IFERROR(IF(($AT26)&gt;0,($AW26)/($AT26),""),"")</f>
        <v/>
      </c>
      <c r="BA26" s="56">
        <f>IFERROR(IF(($AU26)&gt;0,($AX26)/($AU26),""),"")</f>
        <v/>
      </c>
      <c r="BB26" s="55">
        <f>SUMIFS(tblMiningDaily[Diesel_L],tblMiningDaily[Date],$A26)</f>
        <v/>
      </c>
      <c r="BC26" s="55">
        <f>IF($B26=$B25,$BC25,0)+$BB26</f>
        <v/>
      </c>
      <c r="BD26" s="55">
        <f>$BD25+$BB26</f>
        <v/>
      </c>
      <c r="BE26" s="55">
        <f>SUMIFS(tblMiningDaily[Dewatering_m3],tblMiningDaily[Date],$A26)</f>
        <v/>
      </c>
      <c r="BF26" s="55">
        <f>IF($B26=$B25,$BF25,0)+$BE26</f>
        <v/>
      </c>
      <c r="BG26" s="55">
        <f>$BG25+$BE26</f>
        <v/>
      </c>
      <c r="BH26" s="57">
        <f>SUMIFS(tblFleet[Calendar_h],tblFleet[Date],$A26,tblFleet[Equipment_Class],"Excavator")</f>
        <v/>
      </c>
      <c r="BI26" s="57">
        <f>IF($B26=$B25,$BI25,0)+$BH26</f>
        <v/>
      </c>
      <c r="BJ26" s="57">
        <f>$BJ25+$BH26</f>
        <v/>
      </c>
      <c r="BK26" s="57">
        <f>SUMIFS(tblFleet[Available_h],tblFleet[Date],$A26,tblFleet[Equipment_Class],"Excavator")</f>
        <v/>
      </c>
      <c r="BL26" s="57">
        <f>IF($B26=$B25,$BL25,0)+$BK26</f>
        <v/>
      </c>
      <c r="BM26" s="57">
        <f>$BM25+$BK26</f>
        <v/>
      </c>
      <c r="BN26" s="57">
        <f>SUMIFS(tblFleet[Operating_h],tblFleet[Date],$A26,tblFleet[Equipment_Class],"Excavator")</f>
        <v/>
      </c>
      <c r="BO26" s="57">
        <f>IF($B26=$B25,$BO25,0)+$BN26</f>
        <v/>
      </c>
      <c r="BP26" s="57">
        <f>$BP25+$BN26</f>
        <v/>
      </c>
      <c r="BQ26" s="67">
        <f>IFERROR(IF(($BH26)&gt;0,($BK26)/($BH26),""),"")</f>
        <v/>
      </c>
      <c r="BR26" s="67">
        <f>IFERROR(IF(($BI26)&gt;0,($BL26)/($BI26),""),"")</f>
        <v/>
      </c>
      <c r="BS26" s="67">
        <f>IFERROR(IF(($BJ26)&gt;0,($BM26)/($BJ26),""),"")</f>
        <v/>
      </c>
      <c r="BT26" s="67">
        <f>IFERROR(IF(($BK26)&gt;0,($BN26)/($BK26),""),"")</f>
        <v/>
      </c>
      <c r="BU26" s="67">
        <f>IFERROR(IF(($BL26)&gt;0,($BO26)/($BL26),""),"")</f>
        <v/>
      </c>
      <c r="BV26" s="67">
        <f>IFERROR(IF(($BM26)&gt;0,($BP26)/($BM26),""),"")</f>
        <v/>
      </c>
      <c r="BW26" s="57">
        <f>SUMIFS(tblFleet[Calendar_h],tblFleet[Date],$A26,tblFleet[Equipment_Class],"Haul Truck")</f>
        <v/>
      </c>
      <c r="BX26" s="57">
        <f>IF($B26=$B25,$BX25,0)+$BW26</f>
        <v/>
      </c>
      <c r="BY26" s="57">
        <f>$BY25+$BW26</f>
        <v/>
      </c>
      <c r="BZ26" s="57">
        <f>SUMIFS(tblFleet[Available_h],tblFleet[Date],$A26,tblFleet[Equipment_Class],"Haul Truck")</f>
        <v/>
      </c>
      <c r="CA26" s="57">
        <f>IF($B26=$B25,$CA25,0)+$BZ26</f>
        <v/>
      </c>
      <c r="CB26" s="57">
        <f>$CB25+$BZ26</f>
        <v/>
      </c>
      <c r="CC26" s="57">
        <f>SUMIFS(tblFleet[Operating_h],tblFleet[Date],$A26,tblFleet[Equipment_Class],"Haul Truck")</f>
        <v/>
      </c>
      <c r="CD26" s="57">
        <f>IF($B26=$B25,$CD25,0)+$CC26</f>
        <v/>
      </c>
      <c r="CE26" s="57">
        <f>$CE25+$CC26</f>
        <v/>
      </c>
      <c r="CF26" s="67">
        <f>IFERROR(IF(($BW26)&gt;0,($BZ26)/($BW26),""),"")</f>
        <v/>
      </c>
      <c r="CG26" s="67">
        <f>IFERROR(IF(($BX26)&gt;0,($CA26)/($BX26),""),"")</f>
        <v/>
      </c>
      <c r="CH26" s="67">
        <f>IFERROR(IF(($BY26)&gt;0,($CB26)/($BY26),""),"")</f>
        <v/>
      </c>
      <c r="CI26" s="67">
        <f>IFERROR(IF(($BZ26)&gt;0,($CC26)/($BZ26),""),"")</f>
        <v/>
      </c>
      <c r="CJ26" s="67">
        <f>IFERROR(IF(($CA26)&gt;0,($CD26)/($CA26),""),"")</f>
        <v/>
      </c>
      <c r="CK26" s="67">
        <f>IFERROR(IF(($CB26)&gt;0,($CE26)/($CB26),""),"")</f>
        <v/>
      </c>
      <c r="CL26" s="55">
        <f>IFERROR(IF(($BN26)&gt;0,($X26+$AD26)/($BN26),""),"")</f>
        <v/>
      </c>
      <c r="CM26" s="55">
        <f>IFERROR(IF(($BO26)&gt;0,($Y26+$AE26)/($BO26),""),"")</f>
        <v/>
      </c>
      <c r="CN26" s="55">
        <f>IFERROR(IF(($BP26)&gt;0,($Z26+$AF26)/($BP26),""),"")</f>
        <v/>
      </c>
      <c r="CO26" s="55">
        <f>IFERROR(IF(($CC26)&gt;0,($X26+$AD26)/($CC26),""),"")</f>
        <v/>
      </c>
      <c r="CP26" s="55">
        <f>IFERROR(IF(($CD26)&gt;0,($Y26+$AE26)/($CD26),""),"")</f>
        <v/>
      </c>
      <c r="CQ26" s="55">
        <f>IFERROR(IF(($CE26)&gt;0,($Z26+$AF26)/($CE26),""),"")</f>
        <v/>
      </c>
      <c r="CR26" s="55">
        <f>SUMIFS(tblPlant[Crushed_t],tblPlant[Date],$A26)</f>
        <v/>
      </c>
      <c r="CS26" s="55">
        <f>IF($B26=$B25,$CS25,0)+$CR26</f>
        <v/>
      </c>
      <c r="CT26" s="55">
        <f>$CT25+$CR26</f>
        <v/>
      </c>
      <c r="CU26" s="55">
        <f>SUMIFS(tblPlant[Milled_t],tblPlant[Date],$A26)</f>
        <v/>
      </c>
      <c r="CV26" s="55">
        <f>IF($B26=$B25,$CV25,0)+$CU26</f>
        <v/>
      </c>
      <c r="CW26" s="55">
        <f>$CW25+$CU26</f>
        <v/>
      </c>
      <c r="CX26" s="55">
        <f>SUMIFS(tblPlant[Feed_oz],tblPlant[Date],$A26)</f>
        <v/>
      </c>
      <c r="CY26" s="55">
        <f>IF($B26=$B25,$CY25,0)+$CX26</f>
        <v/>
      </c>
      <c r="CZ26" s="55">
        <f>$CZ25+$CX26</f>
        <v/>
      </c>
      <c r="DA26" s="55">
        <f>SUMIFS(tblPlant[Tails_oz],tblPlant[Date],$A26)</f>
        <v/>
      </c>
      <c r="DB26" s="55">
        <f>IF($B26=$B25,$DB25,0)+$DA26</f>
        <v/>
      </c>
      <c r="DC26" s="55">
        <f>$DC25+$DA26</f>
        <v/>
      </c>
      <c r="DD26" s="55">
        <f>SUMIFS(tblPlant[Recovered_oz],tblPlant[Date],$A26)</f>
        <v/>
      </c>
      <c r="DE26" s="55">
        <f>IF($B26=$B25,$DE25,0)+$DD26</f>
        <v/>
      </c>
      <c r="DF26" s="55">
        <f>$DF25+$DD26</f>
        <v/>
      </c>
      <c r="DG26" s="55">
        <f>SUMIFS(tblPlant[Milled_t],tblPlant[Date],$A26,tblPlant[Head_Grade_gpt],"&lt;&gt;")</f>
        <v/>
      </c>
      <c r="DH26" s="55">
        <f>IF($B26=$B25,$DH25,0)+$DG26</f>
        <v/>
      </c>
      <c r="DI26" s="55">
        <f>$DI25+$DG26</f>
        <v/>
      </c>
      <c r="DJ26" s="55">
        <f>SUMIFS(tblPlant[Milled_t],tblPlant[Date],$A26,tblPlant[Tails_Grade_gpt],"&lt;&gt;")</f>
        <v/>
      </c>
      <c r="DK26" s="55">
        <f>IF($B26=$B25,$DK25,0)+$DJ26</f>
        <v/>
      </c>
      <c r="DL26" s="55">
        <f>$DL25+$DJ26</f>
        <v/>
      </c>
      <c r="DM26" s="55">
        <f>SUMIFS(tblPlant[Feed_oz],tblPlant[Date],$A26,tblPlant[Tails_Grade_gpt],"&lt;&gt;")</f>
        <v/>
      </c>
      <c r="DN26" s="55">
        <f>IF($B26=$B25,$DN25,0)+$DM26</f>
        <v/>
      </c>
      <c r="DO26" s="55">
        <f>$DO25+$DM26</f>
        <v/>
      </c>
      <c r="DP26" s="55">
        <f>SUMIFS(tblPlant[Milled_t],tblPlant[Date],$A26,tblPlant[Mill_Run_h],"&lt;&gt;")</f>
        <v/>
      </c>
      <c r="DQ26" s="55">
        <f>IF($B26=$B25,$DQ25,0)+$DP26</f>
        <v/>
      </c>
      <c r="DR26" s="55">
        <f>$DR25+$DP26</f>
        <v/>
      </c>
      <c r="DS26" s="56">
        <f>IFERROR(IF(($DG26)&gt;0,($CX26*cfg_TroyOz)/($DG26),""),"")</f>
        <v/>
      </c>
      <c r="DT26" s="56">
        <f>IFERROR(IF(($DH26)&gt;0,($CY26*cfg_TroyOz)/($DH26),""),"")</f>
        <v/>
      </c>
      <c r="DU26" s="56">
        <f>IFERROR(IF(($DI26)&gt;0,($CZ26*cfg_TroyOz)/($DI26),""),"")</f>
        <v/>
      </c>
      <c r="DV26" s="56">
        <f>IFERROR(IF(($DJ26)&gt;0,($DA26*cfg_TroyOz)/($DJ26),""),"")</f>
        <v/>
      </c>
      <c r="DW26" s="56">
        <f>IFERROR(IF(($DK26)&gt;0,($DB26*cfg_TroyOz)/($DK26),""),"")</f>
        <v/>
      </c>
      <c r="DX26" s="56">
        <f>IFERROR(IF(($DL26)&gt;0,($DC26*cfg_TroyOz)/($DL26),""),"")</f>
        <v/>
      </c>
      <c r="DY26" s="67">
        <f>IFERROR(IF(($DM26)&gt;0,($DD26)/($DM26),""),"")</f>
        <v/>
      </c>
      <c r="DZ26" s="67">
        <f>IFERROR(IF(($DN26)&gt;0,($DE26)/($DN26),""),"")</f>
        <v/>
      </c>
      <c r="EA26" s="67">
        <f>IFERROR(IF(($DO26)&gt;0,($DF26)/($DO26),""),"")</f>
        <v/>
      </c>
      <c r="EB26" s="55">
        <f>SUMIFS(tblPlant[Gravity_Gold_oz],tblPlant[Date],$A26)</f>
        <v/>
      </c>
      <c r="EC26" s="55">
        <f>IF($B26=$B25,$EC25,0)+$EB26</f>
        <v/>
      </c>
      <c r="ED26" s="55">
        <f>$ED25+$EB26</f>
        <v/>
      </c>
      <c r="EE26" s="67">
        <f>IFERROR(IF(($DD26)&gt;0,($EB26)/($DD26),""),"")</f>
        <v/>
      </c>
      <c r="EF26" s="67">
        <f>IFERROR(IF(($DE26)&gt;0,($EC26)/($DE26),""),"")</f>
        <v/>
      </c>
      <c r="EG26" s="67">
        <f>IFERROR(IF(($DF26)&gt;0,($ED26)/($DF26),""),"")</f>
        <v/>
      </c>
      <c r="EH26" s="55">
        <f>SUMIFS(tblPlant[Gold_Poured_oz],tblPlant[Date],$A26)</f>
        <v/>
      </c>
      <c r="EI26" s="55">
        <f>IF($B26=$B25,$EI25,0)+$EH26</f>
        <v/>
      </c>
      <c r="EJ26" s="55">
        <f>$EJ25+$EH26</f>
        <v/>
      </c>
      <c r="EK26" s="57">
        <f>SUMIFS(tblPlant[Mill_Run_h],tblPlant[Date],$A26)</f>
        <v/>
      </c>
      <c r="EL26" s="57">
        <f>IF($B26=$B25,$EL25,0)+$EK26</f>
        <v/>
      </c>
      <c r="EM26" s="57">
        <f>$EM25+$EK26</f>
        <v/>
      </c>
      <c r="EN26" s="57">
        <f>SUMIFS(tblPlant[Mill_Planned_Maint_h],tblPlant[Date],$A26)</f>
        <v/>
      </c>
      <c r="EO26" s="57">
        <f>IF($B26=$B25,$EO25,0)+$EN26</f>
        <v/>
      </c>
      <c r="EP26" s="57">
        <f>$EP25+$EN26</f>
        <v/>
      </c>
      <c r="EQ26" s="57">
        <f>SUMIFS(tblPlant[Mill_Unplanned_Down_h],tblPlant[Date],$A26)</f>
        <v/>
      </c>
      <c r="ER26" s="57">
        <f>IF($B26=$B25,$ER25,0)+$EQ26</f>
        <v/>
      </c>
      <c r="ES26" s="57">
        <f>$ES25+$EQ26</f>
        <v/>
      </c>
      <c r="ET26" s="57">
        <f>IF(COUNTIFS(tblPlant[Date],$A26,tblPlant[Mill_Run_h],"&lt;&gt;")+COUNTIFS(tblPlant[Date],$A26,tblPlant[Mill_Planned_Maint_h],"&lt;&gt;")+COUNTIFS(tblPlant[Date],$A26,tblPlant[Mill_Unplanned_Down_h],"&lt;&gt;")&gt;0,cfg_HoursPerDay,0)</f>
        <v/>
      </c>
      <c r="EU26" s="57">
        <f>IF($B26=$B25,$EU25,0)+$ET26</f>
        <v/>
      </c>
      <c r="EV26" s="57">
        <f>$EV25+$ET26</f>
        <v/>
      </c>
      <c r="EW26" s="57">
        <f>SUMIFS(tblPlant[Crusher_Run_h],tblPlant[Date],$A26)</f>
        <v/>
      </c>
      <c r="EX26" s="57">
        <f>IF($B26=$B25,$EX25,0)+$EW26</f>
        <v/>
      </c>
      <c r="EY26" s="57">
        <f>$EY25+$EW26</f>
        <v/>
      </c>
      <c r="EZ26" s="55">
        <f>IFERROR(IF(($EK26)&gt;0,($DP26)/($EK26),""),"")</f>
        <v/>
      </c>
      <c r="FA26" s="55">
        <f>IFERROR(IF(($EL26)&gt;0,($DQ26)/($EL26),""),"")</f>
        <v/>
      </c>
      <c r="FB26" s="55">
        <f>IFERROR(IF(($EM26)&gt;0,($DR26)/($EM26),""),"")</f>
        <v/>
      </c>
      <c r="FC26" s="67">
        <f>IFERROR(IF(($ET26)&gt;0,($ET26-$EN26-$EQ26)/($ET26),""),"")</f>
        <v/>
      </c>
      <c r="FD26" s="67">
        <f>IFERROR(IF(($EU26)&gt;0,($EU26-$EO26-$ER26)/($EU26),""),"")</f>
        <v/>
      </c>
      <c r="FE26" s="67">
        <f>IFERROR(IF(($EV26)&gt;0,($EV26-$EP26-$ES26)/($EV26),""),"")</f>
        <v/>
      </c>
      <c r="FF26" s="67">
        <f>IFERROR(IF(($ET26-$EN26-$EQ26)&gt;0,($EK26)/($ET26-$EN26-$EQ26),""),"")</f>
        <v/>
      </c>
      <c r="FG26" s="67">
        <f>IFERROR(IF(($EU26-$EO26-$ER26)&gt;0,($EL26)/($EU26-$EO26-$ER26),""),"")</f>
        <v/>
      </c>
      <c r="FH26" s="67">
        <f>IFERROR(IF(($EV26-$EP26-$ES26)&gt;0,($EM26)/($EV26-$EP26-$ES26),""),"")</f>
        <v/>
      </c>
      <c r="FI26" s="55">
        <f>SUMIFS(tblPlant[Cyanide_kg],tblPlant[Date],$A26)</f>
        <v/>
      </c>
      <c r="FJ26" s="55">
        <f>IF($B26=$B25,$FJ25,0)+$FI26</f>
        <v/>
      </c>
      <c r="FK26" s="55">
        <f>$FK25+$FI26</f>
        <v/>
      </c>
      <c r="FL26" s="55">
        <f>SUMIFS(tblPlant[Lime_kg],tblPlant[Date],$A26)</f>
        <v/>
      </c>
      <c r="FM26" s="55">
        <f>IF($B26=$B25,$FM25,0)+$FL26</f>
        <v/>
      </c>
      <c r="FN26" s="55">
        <f>$FN25+$FL26</f>
        <v/>
      </c>
      <c r="FO26" s="55">
        <f>SUMIFS(tblPlant[Grinding_Media_kg],tblPlant[Date],$A26)</f>
        <v/>
      </c>
      <c r="FP26" s="55">
        <f>IF($B26=$B25,$FP25,0)+$FO26</f>
        <v/>
      </c>
      <c r="FQ26" s="55">
        <f>$FQ25+$FO26</f>
        <v/>
      </c>
      <c r="FR26" s="55">
        <f>SUMIFS(tblPlant[Power_kWh],tblPlant[Date],$A26)</f>
        <v/>
      </c>
      <c r="FS26" s="55">
        <f>IF($B26=$B25,$FS25,0)+$FR26</f>
        <v/>
      </c>
      <c r="FT26" s="55">
        <f>$FT25+$FR26</f>
        <v/>
      </c>
      <c r="FU26" s="55">
        <f>SUMIFS(tblPlant[Raw_Water_m3],tblPlant[Date],$A26)</f>
        <v/>
      </c>
      <c r="FV26" s="55">
        <f>IF($B26=$B25,$FV25,0)+$FU26</f>
        <v/>
      </c>
      <c r="FW26" s="55">
        <f>$FW25+$FU26</f>
        <v/>
      </c>
      <c r="FX26" s="56">
        <f>IFERROR(IF(($CU26)&gt;0,($FI26)/($CU26),""),"")</f>
        <v/>
      </c>
      <c r="FY26" s="56">
        <f>IFERROR(IF(($CV26)&gt;0,($FJ26)/($CV26),""),"")</f>
        <v/>
      </c>
      <c r="FZ26" s="56">
        <f>IFERROR(IF(($CW26)&gt;0,($FK26)/($CW26),""),"")</f>
        <v/>
      </c>
      <c r="GA26" s="56">
        <f>IFERROR(IF(($CU26)&gt;0,($FL26)/($CU26),""),"")</f>
        <v/>
      </c>
      <c r="GB26" s="56">
        <f>IFERROR(IF(($CV26)&gt;0,($FM26)/($CV26),""),"")</f>
        <v/>
      </c>
      <c r="GC26" s="56">
        <f>IFERROR(IF(($CW26)&gt;0,($FN26)/($CW26),""),"")</f>
        <v/>
      </c>
      <c r="GD26" s="56">
        <f>IFERROR(IF(($CU26)&gt;0,($FO26)/($CU26),""),"")</f>
        <v/>
      </c>
      <c r="GE26" s="56">
        <f>IFERROR(IF(($CV26)&gt;0,($FP26)/($CV26),""),"")</f>
        <v/>
      </c>
      <c r="GF26" s="56">
        <f>IFERROR(IF(($CW26)&gt;0,($FQ26)/($CW26),""),"")</f>
        <v/>
      </c>
      <c r="GG26" s="79">
        <f>IFERROR(IF(($CU26)&gt;0,($FR26)/($CU26),""),"")</f>
        <v/>
      </c>
      <c r="GH26" s="79">
        <f>IFERROR(IF(($CV26)&gt;0,($FS26)/($CV26),""),"")</f>
        <v/>
      </c>
      <c r="GI26" s="79">
        <f>IFERROR(IF(($CW26)&gt;0,($FT26)/($CW26),""),"")</f>
        <v/>
      </c>
      <c r="GJ26" s="56">
        <f>IFERROR(IF(($CU26)&gt;0,($FU26)/($CU26),""),"")</f>
        <v/>
      </c>
      <c r="GK26" s="56">
        <f>IFERROR(IF(($CV26)&gt;0,($FV26)/($CV26),""),"")</f>
        <v/>
      </c>
      <c r="GL26" s="56">
        <f>IFERROR(IF(($CW26)&gt;0,($FW26)/($CW26),""),"")</f>
        <v/>
      </c>
      <c r="GM26" s="55">
        <f>IF(SUMIFS(tblPlant[GIC_oz],tblPlant[Date],$A26)&gt;0,SUMIFS(tblPlant[GIC_oz],tblPlant[Date],$A26),"")</f>
        <v/>
      </c>
      <c r="GN26" s="55">
        <f>SUMIFS(tblGold[Gold_oz],tblGold[Date],$A26,tblGold[Type],"Shipment")</f>
        <v/>
      </c>
      <c r="GO26" s="55">
        <f>IF($B26=$B25,$GO25,0)+$GN26</f>
        <v/>
      </c>
      <c r="GP26" s="55">
        <f>$GP25+$GN26</f>
        <v/>
      </c>
      <c r="GQ26" s="55">
        <f>SUMIFS(tblGold[Gold_oz],tblGold[Date],$A26,tblGold[Type],"Sale")</f>
        <v/>
      </c>
      <c r="GR26" s="55">
        <f>IF($B26=$B25,$GR25,0)+$GQ26</f>
        <v/>
      </c>
      <c r="GS26" s="55">
        <f>$GS25+$GQ26</f>
        <v/>
      </c>
      <c r="GT26" s="55">
        <f>SUMIFS(tblGold[Dore_kg],tblGold[Date],$A26,tblGold[Type],"Shipment")</f>
        <v/>
      </c>
      <c r="GU26" s="55">
        <f>IF($B26=$B25,$GU25,0)+$GT26</f>
        <v/>
      </c>
      <c r="GV26" s="55">
        <f>$GV25+$GT26</f>
        <v/>
      </c>
      <c r="GW26" s="57">
        <f>SUMIFS(tblSafety[Hours_Total],tblSafety[Date],$A26)</f>
        <v/>
      </c>
      <c r="GX26" s="57">
        <f>IF($B26=$B25,$GX25,0)+$GW26</f>
        <v/>
      </c>
      <c r="GY26" s="57">
        <f>$GY25+$GW26</f>
        <v/>
      </c>
      <c r="GZ26" s="62">
        <f>SUMIFS(tblSafety[Fatality],tblSafety[Date],$A26)</f>
        <v/>
      </c>
      <c r="HA26" s="62">
        <f>IF($B26=$B25,$HA25,0)+$GZ26</f>
        <v/>
      </c>
      <c r="HB26" s="62">
        <f>$HB25+$GZ26</f>
        <v/>
      </c>
      <c r="HC26" s="62">
        <f>SUMIFS(tblSafety[LTI],tblSafety[Date],$A26)</f>
        <v/>
      </c>
      <c r="HD26" s="62">
        <f>IF($B26=$B25,$HD25,0)+$HC26</f>
        <v/>
      </c>
      <c r="HE26" s="62">
        <f>$HE25+$HC26</f>
        <v/>
      </c>
      <c r="HF26" s="62">
        <f>SUMIFS(tblSafety[RWI],tblSafety[Date],$A26)</f>
        <v/>
      </c>
      <c r="HG26" s="62">
        <f>IF($B26=$B25,$HG25,0)+$HF26</f>
        <v/>
      </c>
      <c r="HH26" s="62">
        <f>$HH25+$HF26</f>
        <v/>
      </c>
      <c r="HI26" s="62">
        <f>SUMIFS(tblSafety[MTI],tblSafety[Date],$A26)</f>
        <v/>
      </c>
      <c r="HJ26" s="62">
        <f>IF($B26=$B25,$HJ25,0)+$HI26</f>
        <v/>
      </c>
      <c r="HK26" s="62">
        <f>$HK25+$HI26</f>
        <v/>
      </c>
      <c r="HL26" s="62">
        <f>SUMIFS(tblSafety[FAI],tblSafety[Date],$A26)</f>
        <v/>
      </c>
      <c r="HM26" s="62">
        <f>IF($B26=$B25,$HM25,0)+$HL26</f>
        <v/>
      </c>
      <c r="HN26" s="62">
        <f>$HN25+$HL26</f>
        <v/>
      </c>
      <c r="HO26" s="62">
        <f>SUMIFS(tblSafety[Recordables],tblSafety[Date],$A26)</f>
        <v/>
      </c>
      <c r="HP26" s="62">
        <f>IF($B26=$B25,$HP25,0)+$HO26</f>
        <v/>
      </c>
      <c r="HQ26" s="62">
        <f>$HQ25+$HO26</f>
        <v/>
      </c>
      <c r="HR26" s="62">
        <f>SUMIFS(tblSafety[Near_Miss],tblSafety[Date],$A26)</f>
        <v/>
      </c>
      <c r="HS26" s="62">
        <f>IF($B26=$B25,$HS25,0)+$HR26</f>
        <v/>
      </c>
      <c r="HT26" s="62">
        <f>$HT25+$HR26</f>
        <v/>
      </c>
      <c r="HU26" s="62">
        <f>SUMIFS(tblSafety[Hazard_Reports],tblSafety[Date],$A26)</f>
        <v/>
      </c>
      <c r="HV26" s="62">
        <f>IF($B26=$B25,$HV25,0)+$HU26</f>
        <v/>
      </c>
      <c r="HW26" s="62">
        <f>$HW25+$HU26</f>
        <v/>
      </c>
      <c r="HX26" s="62">
        <f>SUMIFS(tblSafety[HPI],tblSafety[Date],$A26)</f>
        <v/>
      </c>
      <c r="HY26" s="62">
        <f>IF($B26=$B25,$HY25,0)+$HX26</f>
        <v/>
      </c>
      <c r="HZ26" s="62">
        <f>$HZ25+$HX26</f>
        <v/>
      </c>
      <c r="IA26" s="62">
        <f>SUMIFS(tblSafety[Env_Incidents],tblSafety[Date],$A26)</f>
        <v/>
      </c>
      <c r="IB26" s="62">
        <f>IF($B26=$B25,$IB25,0)+$IA26</f>
        <v/>
      </c>
      <c r="IC26" s="62">
        <f>$IC25+$IA26</f>
        <v/>
      </c>
      <c r="ID26" s="62">
        <f>SUMIFS(tblSafety[Community_Incidents],tblSafety[Date],$A26)</f>
        <v/>
      </c>
      <c r="IE26" s="62">
        <f>IF($B26=$B25,$IE25,0)+$ID26</f>
        <v/>
      </c>
      <c r="IF26" s="62">
        <f>$IF25+$ID26</f>
        <v/>
      </c>
      <c r="IG26" s="62">
        <f>SUMIFS(tblSafety[Vehicle_Incidents],tblSafety[Date],$A26)</f>
        <v/>
      </c>
      <c r="IH26" s="62">
        <f>IF($B26=$B25,$IH25,0)+$IG26</f>
        <v/>
      </c>
      <c r="II26" s="62">
        <f>$II25+$IG26</f>
        <v/>
      </c>
      <c r="IJ26" s="62">
        <f>SUMIFS(tblSafety[Toolbox_Talks],tblSafety[Date],$A26)</f>
        <v/>
      </c>
      <c r="IK26" s="62">
        <f>IF($B26=$B25,$IK25,0)+$IJ26</f>
        <v/>
      </c>
      <c r="IL26" s="62">
        <f>$IL25+$IJ26</f>
        <v/>
      </c>
      <c r="IM26" s="62">
        <f>SUMIFS(tblSafety[Inspections],tblSafety[Date],$A26)</f>
        <v/>
      </c>
      <c r="IN26" s="62">
        <f>IF($B26=$B25,$IN25,0)+$IM26</f>
        <v/>
      </c>
      <c r="IO26" s="62">
        <f>$IO25+$IM26</f>
        <v/>
      </c>
      <c r="IP26" s="56">
        <f>IFERROR((SUMIFS(tblSafety[Recordables],tblSafety[Date],"&gt;="&amp;EDATE($E26,-12),tblSafety[Date],"&lt;="&amp;$A26)+SUMIFS(tblSafetyHistory[Recordables],tblSafetyHistory[Month],"&gt;="&amp;EDATE($E26,-12),tblSafetyHistory[Month],"&lt;"&amp;$E26,tblSafetyHistory[Use],1))/(SUMIFS(tblSafety[Hours_Total],tblSafety[Date],"&gt;="&amp;EDATE($E26,-12),tblSafety[Date],"&lt;="&amp;$A26)+SUMIFS(tblSafetyHistory[Hours_Total],tblSafetyHistory[Month],"&gt;="&amp;EDATE($E26,-12),tblSafetyHistory[Month],"&lt;"&amp;$E26,tblSafetyHistory[Use],1))*cfg_RateBasisHours,"")</f>
        <v/>
      </c>
      <c r="IQ26" s="56">
        <f>IFERROR((SUMIFS(tblSafety[LTI],tblSafety[Date],"&gt;="&amp;EDATE($E26,-12),tblSafety[Date],"&lt;="&amp;$A26)+SUMIFS(tblSafetyHistory[LTI],tblSafetyHistory[Month],"&gt;="&amp;EDATE($E26,-12),tblSafetyHistory[Month],"&lt;"&amp;$E26,tblSafetyHistory[Use],1))/(SUMIFS(tblSafety[Hours_Total],tblSafety[Date],"&gt;="&amp;EDATE($E26,-12),tblSafety[Date],"&lt;="&amp;$A26)+SUMIFS(tblSafetyHistory[Hours_Total],tblSafetyHistory[Month],"&gt;="&amp;EDATE($E26,-12),tblSafetyHistory[Month],"&lt;"&amp;$E26,tblSafetyHistory[Use],1))*cfg_RateBasisHours,"")</f>
        <v/>
      </c>
      <c r="IR26" s="62">
        <f>IF(MAX(N(cfg_PriorLTIDate),_xlfn.MAXIFS(tblSafety[Date],tblSafety[LTI],"&gt;0",tblSafety[Date],"&lt;="&amp;$A26))=0,"",$A26-MAX(N(cfg_PriorLTIDate),_xlfn.MAXIFS(tblSafety[Date],tblSafety[LTI],"&gt;0",tblSafety[Date],"&lt;="&amp;$A26)))</f>
        <v/>
      </c>
      <c r="IS26" s="55">
        <f>SUMIFS(tblBudget[Ore_Mined_t],tblBudget[Month],$E26)</f>
        <v/>
      </c>
      <c r="IT26" s="55">
        <f>$IS26*$C26/$D26</f>
        <v/>
      </c>
      <c r="IU26" s="55">
        <f>SUMIFS(tblBudget[Ore_Mined_t],tblBudget[Month],"&lt;"&amp;$E26)+$IT26</f>
        <v/>
      </c>
      <c r="IV26" s="55">
        <f>SUMIFS(tblBudget[Ore_oz],tblBudget[Month],$E26)</f>
        <v/>
      </c>
      <c r="IW26" s="55">
        <f>$IV26*$C26/$D26</f>
        <v/>
      </c>
      <c r="IX26" s="55">
        <f>SUMIFS(tblBudget[Ore_oz],tblBudget[Month],"&lt;"&amp;$E26)+$IW26</f>
        <v/>
      </c>
      <c r="IY26" s="55">
        <f>SUMIFS(tblBudget[Ore_Mined_t],tblBudget[Month],$E26)</f>
        <v/>
      </c>
      <c r="IZ26" s="55">
        <f>$IY26*$C26/$D26</f>
        <v/>
      </c>
      <c r="JA26" s="55">
        <f>SUMIFS(tblBudget[Ore_Mined_t],tblBudget[Month],"&lt;"&amp;$E26)+$IZ26</f>
        <v/>
      </c>
      <c r="JB26" s="56">
        <f>IFERROR(IF(($IY26)&gt;0,($IV26*cfg_TroyOz)/($IY26),""),"")</f>
        <v/>
      </c>
      <c r="JC26" s="56">
        <f>IFERROR(IF(($IZ26)&gt;0,($IW26*cfg_TroyOz)/($IZ26),""),"")</f>
        <v/>
      </c>
      <c r="JD26" s="56">
        <f>IFERROR(IF(($JA26)&gt;0,($IX26*cfg_TroyOz)/($JA26),""),"")</f>
        <v/>
      </c>
      <c r="JE26" s="55">
        <f>SUMIFS(tblBudget[Waste_t],tblBudget[Month],$E26)</f>
        <v/>
      </c>
      <c r="JF26" s="55">
        <f>$JE26*$C26/$D26</f>
        <v/>
      </c>
      <c r="JG26" s="55">
        <f>SUMIFS(tblBudget[Waste_t],tblBudget[Month],"&lt;"&amp;$E26)+$JF26</f>
        <v/>
      </c>
      <c r="JH26" s="55">
        <f>SUMIFS(tblBudget[TMM_t],tblBudget[Month],$E26)</f>
        <v/>
      </c>
      <c r="JI26" s="55">
        <f>$JH26*$C26/$D26</f>
        <v/>
      </c>
      <c r="JJ26" s="55">
        <f>SUMIFS(tblBudget[TMM_t],tblBudget[Month],"&lt;"&amp;$E26)+$JI26</f>
        <v/>
      </c>
      <c r="JK26" s="56">
        <f>IFERROR(IF(($IS26)&gt;0,($JE26)/($IS26),""),"")</f>
        <v/>
      </c>
      <c r="JL26" s="56">
        <f>IFERROR(IF(($IT26)&gt;0,($JF26)/($IT26),""),"")</f>
        <v/>
      </c>
      <c r="JM26" s="56">
        <f>IFERROR(IF(($IU26)&gt;0,($JG26)/($IU26),""),"")</f>
        <v/>
      </c>
      <c r="JN26" s="55">
        <f>SUMIFS(tblBudget[Drill_m],tblBudget[Month],$E26)</f>
        <v/>
      </c>
      <c r="JO26" s="55">
        <f>$JN26*$C26/$D26</f>
        <v/>
      </c>
      <c r="JP26" s="55">
        <f>SUMIFS(tblBudget[Drill_m],tblBudget[Month],"&lt;"&amp;$E26)+$JO26</f>
        <v/>
      </c>
      <c r="JQ26" s="55">
        <f>SUMIFS(tblBudget[Diesel_L],tblBudget[Month],$E26)</f>
        <v/>
      </c>
      <c r="JR26" s="55">
        <f>$JQ26*$C26/$D26</f>
        <v/>
      </c>
      <c r="JS26" s="55">
        <f>SUMIFS(tblBudget[Diesel_L],tblBudget[Month],"&lt;"&amp;$E26)+$JR26</f>
        <v/>
      </c>
      <c r="JT26" s="55">
        <f>SUMIFS(tblBudget[Milled_t],tblBudget[Month],$E26)</f>
        <v/>
      </c>
      <c r="JU26" s="55">
        <f>$JT26*$C26/$D26</f>
        <v/>
      </c>
      <c r="JV26" s="55">
        <f>SUMIFS(tblBudget[Milled_t],tblBudget[Month],"&lt;"&amp;$E26)+$JU26</f>
        <v/>
      </c>
      <c r="JW26" s="55">
        <f>SUMIFS(tblBudget[Feed_oz],tblBudget[Month],$E26)</f>
        <v/>
      </c>
      <c r="JX26" s="55">
        <f>$JW26*$C26/$D26</f>
        <v/>
      </c>
      <c r="JY26" s="55">
        <f>SUMIFS(tblBudget[Feed_oz],tblBudget[Month],"&lt;"&amp;$E26)+$JX26</f>
        <v/>
      </c>
      <c r="JZ26" s="55">
        <f>SUMIFS(tblBudget[Recovered_oz],tblBudget[Month],$E26)</f>
        <v/>
      </c>
      <c r="KA26" s="55">
        <f>$JZ26*$C26/$D26</f>
        <v/>
      </c>
      <c r="KB26" s="55">
        <f>SUMIFS(tblBudget[Recovered_oz],tblBudget[Month],"&lt;"&amp;$E26)+$KA26</f>
        <v/>
      </c>
      <c r="KC26" s="55">
        <f>SUMIFS(tblBudget[Milled_t],tblBudget[Month],$E26)</f>
        <v/>
      </c>
      <c r="KD26" s="55">
        <f>$KC26*$C26/$D26</f>
        <v/>
      </c>
      <c r="KE26" s="55">
        <f>SUMIFS(tblBudget[Milled_t],tblBudget[Month],"&lt;"&amp;$E26)+$KD26</f>
        <v/>
      </c>
      <c r="KF26" s="55">
        <f>SUMIFS(tblBudget[Feed_oz],tblBudget[Month],$E26)</f>
        <v/>
      </c>
      <c r="KG26" s="55">
        <f>$KF26*$C26/$D26</f>
        <v/>
      </c>
      <c r="KH26" s="55">
        <f>SUMIFS(tblBudget[Feed_oz],tblBudget[Month],"&lt;"&amp;$E26)+$KG26</f>
        <v/>
      </c>
      <c r="KI26" s="56">
        <f>IFERROR(IF(($KC26)&gt;0,($JW26*cfg_TroyOz)/($KC26),""),"")</f>
        <v/>
      </c>
      <c r="KJ26" s="56">
        <f>IFERROR(IF(($KD26)&gt;0,($JX26*cfg_TroyOz)/($KD26),""),"")</f>
        <v/>
      </c>
      <c r="KK26" s="56">
        <f>IFERROR(IF(($KE26)&gt;0,($JY26*cfg_TroyOz)/($KE26),""),"")</f>
        <v/>
      </c>
      <c r="KL26" s="67">
        <f>IFERROR(IF(($KF26)&gt;0,($JZ26)/($KF26),""),"")</f>
        <v/>
      </c>
      <c r="KM26" s="67">
        <f>IFERROR(IF(($KG26)&gt;0,($KA26)/($KG26),""),"")</f>
        <v/>
      </c>
      <c r="KN26" s="67">
        <f>IFERROR(IF(($KH26)&gt;0,($KB26)/($KH26),""),"")</f>
        <v/>
      </c>
      <c r="KO26" s="55">
        <f>SUMIFS(tblBudget[Gold_Poured_oz],tblBudget[Month],$E26)</f>
        <v/>
      </c>
      <c r="KP26" s="55">
        <f>$KO26*$C26/$D26</f>
        <v/>
      </c>
      <c r="KQ26" s="55">
        <f>SUMIFS(tblBudget[Gold_Poured_oz],tblBudget[Month],"&lt;"&amp;$E26)+$KP26</f>
        <v/>
      </c>
      <c r="KR26" s="57">
        <f>SUMIFS(tblBudget[Hours_Worked],tblBudget[Month],$E26)</f>
        <v/>
      </c>
      <c r="KS26" s="57">
        <f>$KR26*$C26/$D26</f>
        <v/>
      </c>
      <c r="KT26" s="57">
        <f>SUMIFS(tblBudget[Hours_Worked],tblBudget[Month],"&lt;"&amp;$E26)+$KS26</f>
        <v/>
      </c>
    </row>
    <row r="27">
      <c r="A27" s="54" t="n">
        <v>46048</v>
      </c>
      <c r="B27">
        <f>MONTH($A27)</f>
        <v/>
      </c>
      <c r="C27">
        <f>DAY($A27)</f>
        <v/>
      </c>
      <c r="D27">
        <f>DAY(EOMONTH($A27,0))</f>
        <v/>
      </c>
      <c r="E27" s="54">
        <f>DATE(YEAR($A27),MONTH($A27),1)</f>
        <v/>
      </c>
      <c r="F27" s="55">
        <f>SUMIFS(tblMovement[Tonnes_t],tblMovement[Date],$A27,tblMovement[Is_Ore],1,tblMovement[Source_Type],"Pit")</f>
        <v/>
      </c>
      <c r="G27" s="55">
        <f>IF($B27=$B26,$G26,0)+$F27</f>
        <v/>
      </c>
      <c r="H27" s="55">
        <f>$H26+$F27</f>
        <v/>
      </c>
      <c r="I27" s="55">
        <f>SUMIFS(tblMovement[Ore_oz],tblMovement[Date],$A27,tblMovement[Source_Type],"Pit")</f>
        <v/>
      </c>
      <c r="J27" s="55">
        <f>IF($B27=$B26,$J26,0)+$I27</f>
        <v/>
      </c>
      <c r="K27" s="55">
        <f>$K26+$I27</f>
        <v/>
      </c>
      <c r="L27" s="55">
        <f>SUMIFS(tblMovement[Tonnes_t],tblMovement[Date],$A27,tblMovement[Is_Ore],1,tblMovement[Source_Type],"Pit",tblMovement[Grade_gpt],"&lt;&gt;")</f>
        <v/>
      </c>
      <c r="M27" s="55">
        <f>IF($B27=$B26,$M26,0)+$L27</f>
        <v/>
      </c>
      <c r="N27" s="55">
        <f>$N26+$L27</f>
        <v/>
      </c>
      <c r="O27" s="56">
        <f>IFERROR(IF(($L27)&gt;0,($I27*cfg_TroyOz)/($L27),""),"")</f>
        <v/>
      </c>
      <c r="P27" s="56">
        <f>IFERROR(IF(($M27)&gt;0,($J27*cfg_TroyOz)/($M27),""),"")</f>
        <v/>
      </c>
      <c r="Q27" s="56">
        <f>IFERROR(IF(($N27)&gt;0,($K27*cfg_TroyOz)/($N27),""),"")</f>
        <v/>
      </c>
      <c r="R27" s="55">
        <f>$F27-$L27</f>
        <v/>
      </c>
      <c r="S27" s="55">
        <f>IF($B27=$B26,$S26,0)+$R27</f>
        <v/>
      </c>
      <c r="T27" s="55">
        <f>$T26+$R27</f>
        <v/>
      </c>
      <c r="U27" s="55">
        <f>SUMIFS(tblMovement[Tonnes_t],tblMovement[Date],$A27,tblMovement[Is_Ore],0,tblMovement[Source_Type],"Pit")</f>
        <v/>
      </c>
      <c r="V27" s="55">
        <f>IF($B27=$B26,$V26,0)+$U27</f>
        <v/>
      </c>
      <c r="W27" s="55">
        <f>$W26+$U27</f>
        <v/>
      </c>
      <c r="X27" s="55">
        <f>$F27+$U27</f>
        <v/>
      </c>
      <c r="Y27" s="55">
        <f>IF($B27=$B26,$Y26,0)+$X27</f>
        <v/>
      </c>
      <c r="Z27" s="55">
        <f>$Z26+$X27</f>
        <v/>
      </c>
      <c r="AA27" s="56">
        <f>IFERROR(IF(($F27)&gt;0,($U27)/($F27),""),"")</f>
        <v/>
      </c>
      <c r="AB27" s="56">
        <f>IFERROR(IF(($G27)&gt;0,($V27)/($G27),""),"")</f>
        <v/>
      </c>
      <c r="AC27" s="56">
        <f>IFERROR(IF(($H27)&gt;0,($W27)/($H27),""),"")</f>
        <v/>
      </c>
      <c r="AD27" s="55">
        <f>SUMIFS(tblMovement[Tonnes_t],tblMovement[Date],$A27,tblMovement[Source_Type],"Stockpile")</f>
        <v/>
      </c>
      <c r="AE27" s="55">
        <f>IF($B27=$B26,$AE26,0)+$AD27</f>
        <v/>
      </c>
      <c r="AF27" s="55">
        <f>$AF26+$AD27</f>
        <v/>
      </c>
      <c r="AG27" s="55">
        <f>SUMIFS(tblMovement[Tonnes_t],tblMovement[Date],$A27)</f>
        <v/>
      </c>
      <c r="AH27" s="55">
        <f>IF($B27=$B26,$AH26,0)+$AG27</f>
        <v/>
      </c>
      <c r="AI27" s="55">
        <f>$AI26+$AG27</f>
        <v/>
      </c>
      <c r="AJ27" s="55">
        <f>$AG27-$X27-$AD27</f>
        <v/>
      </c>
      <c r="AK27" s="55">
        <f>IF($B27=$B26,$AK26,0)+$AJ27</f>
        <v/>
      </c>
      <c r="AL27" s="55">
        <f>$AL26+$AJ27</f>
        <v/>
      </c>
      <c r="AM27" s="55">
        <f>SUMIFS(tblMiningDaily[Drill_m],tblMiningDaily[Date],$A27)</f>
        <v/>
      </c>
      <c r="AN27" s="55">
        <f>IF($B27=$B26,$AN26,0)+$AM27</f>
        <v/>
      </c>
      <c r="AO27" s="55">
        <f>$AO26+$AM27</f>
        <v/>
      </c>
      <c r="AP27" s="55">
        <f>SUMIFS(tblMiningDaily[GC_Drill_m],tblMiningDaily[Date],$A27)</f>
        <v/>
      </c>
      <c r="AQ27" s="55">
        <f>IF($B27=$B26,$AQ26,0)+$AP27</f>
        <v/>
      </c>
      <c r="AR27" s="55">
        <f>$AR26+$AP27</f>
        <v/>
      </c>
      <c r="AS27" s="55">
        <f>SUMIFS(tblMiningDaily[Blast_t],tblMiningDaily[Date],$A27)</f>
        <v/>
      </c>
      <c r="AT27" s="55">
        <f>IF($B27=$B26,$AT26,0)+$AS27</f>
        <v/>
      </c>
      <c r="AU27" s="55">
        <f>$AU26+$AS27</f>
        <v/>
      </c>
      <c r="AV27" s="55">
        <f>SUMIFS(tblMiningDaily[Explosives_kg],tblMiningDaily[Date],$A27)</f>
        <v/>
      </c>
      <c r="AW27" s="55">
        <f>IF($B27=$B26,$AW26,0)+$AV27</f>
        <v/>
      </c>
      <c r="AX27" s="55">
        <f>$AX26+$AV27</f>
        <v/>
      </c>
      <c r="AY27" s="56">
        <f>IFERROR(IF(($AS27)&gt;0,($AV27)/($AS27),""),"")</f>
        <v/>
      </c>
      <c r="AZ27" s="56">
        <f>IFERROR(IF(($AT27)&gt;0,($AW27)/($AT27),""),"")</f>
        <v/>
      </c>
      <c r="BA27" s="56">
        <f>IFERROR(IF(($AU27)&gt;0,($AX27)/($AU27),""),"")</f>
        <v/>
      </c>
      <c r="BB27" s="55">
        <f>SUMIFS(tblMiningDaily[Diesel_L],tblMiningDaily[Date],$A27)</f>
        <v/>
      </c>
      <c r="BC27" s="55">
        <f>IF($B27=$B26,$BC26,0)+$BB27</f>
        <v/>
      </c>
      <c r="BD27" s="55">
        <f>$BD26+$BB27</f>
        <v/>
      </c>
      <c r="BE27" s="55">
        <f>SUMIFS(tblMiningDaily[Dewatering_m3],tblMiningDaily[Date],$A27)</f>
        <v/>
      </c>
      <c r="BF27" s="55">
        <f>IF($B27=$B26,$BF26,0)+$BE27</f>
        <v/>
      </c>
      <c r="BG27" s="55">
        <f>$BG26+$BE27</f>
        <v/>
      </c>
      <c r="BH27" s="57">
        <f>SUMIFS(tblFleet[Calendar_h],tblFleet[Date],$A27,tblFleet[Equipment_Class],"Excavator")</f>
        <v/>
      </c>
      <c r="BI27" s="57">
        <f>IF($B27=$B26,$BI26,0)+$BH27</f>
        <v/>
      </c>
      <c r="BJ27" s="57">
        <f>$BJ26+$BH27</f>
        <v/>
      </c>
      <c r="BK27" s="57">
        <f>SUMIFS(tblFleet[Available_h],tblFleet[Date],$A27,tblFleet[Equipment_Class],"Excavator")</f>
        <v/>
      </c>
      <c r="BL27" s="57">
        <f>IF($B27=$B26,$BL26,0)+$BK27</f>
        <v/>
      </c>
      <c r="BM27" s="57">
        <f>$BM26+$BK27</f>
        <v/>
      </c>
      <c r="BN27" s="57">
        <f>SUMIFS(tblFleet[Operating_h],tblFleet[Date],$A27,tblFleet[Equipment_Class],"Excavator")</f>
        <v/>
      </c>
      <c r="BO27" s="57">
        <f>IF($B27=$B26,$BO26,0)+$BN27</f>
        <v/>
      </c>
      <c r="BP27" s="57">
        <f>$BP26+$BN27</f>
        <v/>
      </c>
      <c r="BQ27" s="67">
        <f>IFERROR(IF(($BH27)&gt;0,($BK27)/($BH27),""),"")</f>
        <v/>
      </c>
      <c r="BR27" s="67">
        <f>IFERROR(IF(($BI27)&gt;0,($BL27)/($BI27),""),"")</f>
        <v/>
      </c>
      <c r="BS27" s="67">
        <f>IFERROR(IF(($BJ27)&gt;0,($BM27)/($BJ27),""),"")</f>
        <v/>
      </c>
      <c r="BT27" s="67">
        <f>IFERROR(IF(($BK27)&gt;0,($BN27)/($BK27),""),"")</f>
        <v/>
      </c>
      <c r="BU27" s="67">
        <f>IFERROR(IF(($BL27)&gt;0,($BO27)/($BL27),""),"")</f>
        <v/>
      </c>
      <c r="BV27" s="67">
        <f>IFERROR(IF(($BM27)&gt;0,($BP27)/($BM27),""),"")</f>
        <v/>
      </c>
      <c r="BW27" s="57">
        <f>SUMIFS(tblFleet[Calendar_h],tblFleet[Date],$A27,tblFleet[Equipment_Class],"Haul Truck")</f>
        <v/>
      </c>
      <c r="BX27" s="57">
        <f>IF($B27=$B26,$BX26,0)+$BW27</f>
        <v/>
      </c>
      <c r="BY27" s="57">
        <f>$BY26+$BW27</f>
        <v/>
      </c>
      <c r="BZ27" s="57">
        <f>SUMIFS(tblFleet[Available_h],tblFleet[Date],$A27,tblFleet[Equipment_Class],"Haul Truck")</f>
        <v/>
      </c>
      <c r="CA27" s="57">
        <f>IF($B27=$B26,$CA26,0)+$BZ27</f>
        <v/>
      </c>
      <c r="CB27" s="57">
        <f>$CB26+$BZ27</f>
        <v/>
      </c>
      <c r="CC27" s="57">
        <f>SUMIFS(tblFleet[Operating_h],tblFleet[Date],$A27,tblFleet[Equipment_Class],"Haul Truck")</f>
        <v/>
      </c>
      <c r="CD27" s="57">
        <f>IF($B27=$B26,$CD26,0)+$CC27</f>
        <v/>
      </c>
      <c r="CE27" s="57">
        <f>$CE26+$CC27</f>
        <v/>
      </c>
      <c r="CF27" s="67">
        <f>IFERROR(IF(($BW27)&gt;0,($BZ27)/($BW27),""),"")</f>
        <v/>
      </c>
      <c r="CG27" s="67">
        <f>IFERROR(IF(($BX27)&gt;0,($CA27)/($BX27),""),"")</f>
        <v/>
      </c>
      <c r="CH27" s="67">
        <f>IFERROR(IF(($BY27)&gt;0,($CB27)/($BY27),""),"")</f>
        <v/>
      </c>
      <c r="CI27" s="67">
        <f>IFERROR(IF(($BZ27)&gt;0,($CC27)/($BZ27),""),"")</f>
        <v/>
      </c>
      <c r="CJ27" s="67">
        <f>IFERROR(IF(($CA27)&gt;0,($CD27)/($CA27),""),"")</f>
        <v/>
      </c>
      <c r="CK27" s="67">
        <f>IFERROR(IF(($CB27)&gt;0,($CE27)/($CB27),""),"")</f>
        <v/>
      </c>
      <c r="CL27" s="55">
        <f>IFERROR(IF(($BN27)&gt;0,($X27+$AD27)/($BN27),""),"")</f>
        <v/>
      </c>
      <c r="CM27" s="55">
        <f>IFERROR(IF(($BO27)&gt;0,($Y27+$AE27)/($BO27),""),"")</f>
        <v/>
      </c>
      <c r="CN27" s="55">
        <f>IFERROR(IF(($BP27)&gt;0,($Z27+$AF27)/($BP27),""),"")</f>
        <v/>
      </c>
      <c r="CO27" s="55">
        <f>IFERROR(IF(($CC27)&gt;0,($X27+$AD27)/($CC27),""),"")</f>
        <v/>
      </c>
      <c r="CP27" s="55">
        <f>IFERROR(IF(($CD27)&gt;0,($Y27+$AE27)/($CD27),""),"")</f>
        <v/>
      </c>
      <c r="CQ27" s="55">
        <f>IFERROR(IF(($CE27)&gt;0,($Z27+$AF27)/($CE27),""),"")</f>
        <v/>
      </c>
      <c r="CR27" s="55">
        <f>SUMIFS(tblPlant[Crushed_t],tblPlant[Date],$A27)</f>
        <v/>
      </c>
      <c r="CS27" s="55">
        <f>IF($B27=$B26,$CS26,0)+$CR27</f>
        <v/>
      </c>
      <c r="CT27" s="55">
        <f>$CT26+$CR27</f>
        <v/>
      </c>
      <c r="CU27" s="55">
        <f>SUMIFS(tblPlant[Milled_t],tblPlant[Date],$A27)</f>
        <v/>
      </c>
      <c r="CV27" s="55">
        <f>IF($B27=$B26,$CV26,0)+$CU27</f>
        <v/>
      </c>
      <c r="CW27" s="55">
        <f>$CW26+$CU27</f>
        <v/>
      </c>
      <c r="CX27" s="55">
        <f>SUMIFS(tblPlant[Feed_oz],tblPlant[Date],$A27)</f>
        <v/>
      </c>
      <c r="CY27" s="55">
        <f>IF($B27=$B26,$CY26,0)+$CX27</f>
        <v/>
      </c>
      <c r="CZ27" s="55">
        <f>$CZ26+$CX27</f>
        <v/>
      </c>
      <c r="DA27" s="55">
        <f>SUMIFS(tblPlant[Tails_oz],tblPlant[Date],$A27)</f>
        <v/>
      </c>
      <c r="DB27" s="55">
        <f>IF($B27=$B26,$DB26,0)+$DA27</f>
        <v/>
      </c>
      <c r="DC27" s="55">
        <f>$DC26+$DA27</f>
        <v/>
      </c>
      <c r="DD27" s="55">
        <f>SUMIFS(tblPlant[Recovered_oz],tblPlant[Date],$A27)</f>
        <v/>
      </c>
      <c r="DE27" s="55">
        <f>IF($B27=$B26,$DE26,0)+$DD27</f>
        <v/>
      </c>
      <c r="DF27" s="55">
        <f>$DF26+$DD27</f>
        <v/>
      </c>
      <c r="DG27" s="55">
        <f>SUMIFS(tblPlant[Milled_t],tblPlant[Date],$A27,tblPlant[Head_Grade_gpt],"&lt;&gt;")</f>
        <v/>
      </c>
      <c r="DH27" s="55">
        <f>IF($B27=$B26,$DH26,0)+$DG27</f>
        <v/>
      </c>
      <c r="DI27" s="55">
        <f>$DI26+$DG27</f>
        <v/>
      </c>
      <c r="DJ27" s="55">
        <f>SUMIFS(tblPlant[Milled_t],tblPlant[Date],$A27,tblPlant[Tails_Grade_gpt],"&lt;&gt;")</f>
        <v/>
      </c>
      <c r="DK27" s="55">
        <f>IF($B27=$B26,$DK26,0)+$DJ27</f>
        <v/>
      </c>
      <c r="DL27" s="55">
        <f>$DL26+$DJ27</f>
        <v/>
      </c>
      <c r="DM27" s="55">
        <f>SUMIFS(tblPlant[Feed_oz],tblPlant[Date],$A27,tblPlant[Tails_Grade_gpt],"&lt;&gt;")</f>
        <v/>
      </c>
      <c r="DN27" s="55">
        <f>IF($B27=$B26,$DN26,0)+$DM27</f>
        <v/>
      </c>
      <c r="DO27" s="55">
        <f>$DO26+$DM27</f>
        <v/>
      </c>
      <c r="DP27" s="55">
        <f>SUMIFS(tblPlant[Milled_t],tblPlant[Date],$A27,tblPlant[Mill_Run_h],"&lt;&gt;")</f>
        <v/>
      </c>
      <c r="DQ27" s="55">
        <f>IF($B27=$B26,$DQ26,0)+$DP27</f>
        <v/>
      </c>
      <c r="DR27" s="55">
        <f>$DR26+$DP27</f>
        <v/>
      </c>
      <c r="DS27" s="56">
        <f>IFERROR(IF(($DG27)&gt;0,($CX27*cfg_TroyOz)/($DG27),""),"")</f>
        <v/>
      </c>
      <c r="DT27" s="56">
        <f>IFERROR(IF(($DH27)&gt;0,($CY27*cfg_TroyOz)/($DH27),""),"")</f>
        <v/>
      </c>
      <c r="DU27" s="56">
        <f>IFERROR(IF(($DI27)&gt;0,($CZ27*cfg_TroyOz)/($DI27),""),"")</f>
        <v/>
      </c>
      <c r="DV27" s="56">
        <f>IFERROR(IF(($DJ27)&gt;0,($DA27*cfg_TroyOz)/($DJ27),""),"")</f>
        <v/>
      </c>
      <c r="DW27" s="56">
        <f>IFERROR(IF(($DK27)&gt;0,($DB27*cfg_TroyOz)/($DK27),""),"")</f>
        <v/>
      </c>
      <c r="DX27" s="56">
        <f>IFERROR(IF(($DL27)&gt;0,($DC27*cfg_TroyOz)/($DL27),""),"")</f>
        <v/>
      </c>
      <c r="DY27" s="67">
        <f>IFERROR(IF(($DM27)&gt;0,($DD27)/($DM27),""),"")</f>
        <v/>
      </c>
      <c r="DZ27" s="67">
        <f>IFERROR(IF(($DN27)&gt;0,($DE27)/($DN27),""),"")</f>
        <v/>
      </c>
      <c r="EA27" s="67">
        <f>IFERROR(IF(($DO27)&gt;0,($DF27)/($DO27),""),"")</f>
        <v/>
      </c>
      <c r="EB27" s="55">
        <f>SUMIFS(tblPlant[Gravity_Gold_oz],tblPlant[Date],$A27)</f>
        <v/>
      </c>
      <c r="EC27" s="55">
        <f>IF($B27=$B26,$EC26,0)+$EB27</f>
        <v/>
      </c>
      <c r="ED27" s="55">
        <f>$ED26+$EB27</f>
        <v/>
      </c>
      <c r="EE27" s="67">
        <f>IFERROR(IF(($DD27)&gt;0,($EB27)/($DD27),""),"")</f>
        <v/>
      </c>
      <c r="EF27" s="67">
        <f>IFERROR(IF(($DE27)&gt;0,($EC27)/($DE27),""),"")</f>
        <v/>
      </c>
      <c r="EG27" s="67">
        <f>IFERROR(IF(($DF27)&gt;0,($ED27)/($DF27),""),"")</f>
        <v/>
      </c>
      <c r="EH27" s="55">
        <f>SUMIFS(tblPlant[Gold_Poured_oz],tblPlant[Date],$A27)</f>
        <v/>
      </c>
      <c r="EI27" s="55">
        <f>IF($B27=$B26,$EI26,0)+$EH27</f>
        <v/>
      </c>
      <c r="EJ27" s="55">
        <f>$EJ26+$EH27</f>
        <v/>
      </c>
      <c r="EK27" s="57">
        <f>SUMIFS(tblPlant[Mill_Run_h],tblPlant[Date],$A27)</f>
        <v/>
      </c>
      <c r="EL27" s="57">
        <f>IF($B27=$B26,$EL26,0)+$EK27</f>
        <v/>
      </c>
      <c r="EM27" s="57">
        <f>$EM26+$EK27</f>
        <v/>
      </c>
      <c r="EN27" s="57">
        <f>SUMIFS(tblPlant[Mill_Planned_Maint_h],tblPlant[Date],$A27)</f>
        <v/>
      </c>
      <c r="EO27" s="57">
        <f>IF($B27=$B26,$EO26,0)+$EN27</f>
        <v/>
      </c>
      <c r="EP27" s="57">
        <f>$EP26+$EN27</f>
        <v/>
      </c>
      <c r="EQ27" s="57">
        <f>SUMIFS(tblPlant[Mill_Unplanned_Down_h],tblPlant[Date],$A27)</f>
        <v/>
      </c>
      <c r="ER27" s="57">
        <f>IF($B27=$B26,$ER26,0)+$EQ27</f>
        <v/>
      </c>
      <c r="ES27" s="57">
        <f>$ES26+$EQ27</f>
        <v/>
      </c>
      <c r="ET27" s="57">
        <f>IF(COUNTIFS(tblPlant[Date],$A27,tblPlant[Mill_Run_h],"&lt;&gt;")+COUNTIFS(tblPlant[Date],$A27,tblPlant[Mill_Planned_Maint_h],"&lt;&gt;")+COUNTIFS(tblPlant[Date],$A27,tblPlant[Mill_Unplanned_Down_h],"&lt;&gt;")&gt;0,cfg_HoursPerDay,0)</f>
        <v/>
      </c>
      <c r="EU27" s="57">
        <f>IF($B27=$B26,$EU26,0)+$ET27</f>
        <v/>
      </c>
      <c r="EV27" s="57">
        <f>$EV26+$ET27</f>
        <v/>
      </c>
      <c r="EW27" s="57">
        <f>SUMIFS(tblPlant[Crusher_Run_h],tblPlant[Date],$A27)</f>
        <v/>
      </c>
      <c r="EX27" s="57">
        <f>IF($B27=$B26,$EX26,0)+$EW27</f>
        <v/>
      </c>
      <c r="EY27" s="57">
        <f>$EY26+$EW27</f>
        <v/>
      </c>
      <c r="EZ27" s="55">
        <f>IFERROR(IF(($EK27)&gt;0,($DP27)/($EK27),""),"")</f>
        <v/>
      </c>
      <c r="FA27" s="55">
        <f>IFERROR(IF(($EL27)&gt;0,($DQ27)/($EL27),""),"")</f>
        <v/>
      </c>
      <c r="FB27" s="55">
        <f>IFERROR(IF(($EM27)&gt;0,($DR27)/($EM27),""),"")</f>
        <v/>
      </c>
      <c r="FC27" s="67">
        <f>IFERROR(IF(($ET27)&gt;0,($ET27-$EN27-$EQ27)/($ET27),""),"")</f>
        <v/>
      </c>
      <c r="FD27" s="67">
        <f>IFERROR(IF(($EU27)&gt;0,($EU27-$EO27-$ER27)/($EU27),""),"")</f>
        <v/>
      </c>
      <c r="FE27" s="67">
        <f>IFERROR(IF(($EV27)&gt;0,($EV27-$EP27-$ES27)/($EV27),""),"")</f>
        <v/>
      </c>
      <c r="FF27" s="67">
        <f>IFERROR(IF(($ET27-$EN27-$EQ27)&gt;0,($EK27)/($ET27-$EN27-$EQ27),""),"")</f>
        <v/>
      </c>
      <c r="FG27" s="67">
        <f>IFERROR(IF(($EU27-$EO27-$ER27)&gt;0,($EL27)/($EU27-$EO27-$ER27),""),"")</f>
        <v/>
      </c>
      <c r="FH27" s="67">
        <f>IFERROR(IF(($EV27-$EP27-$ES27)&gt;0,($EM27)/($EV27-$EP27-$ES27),""),"")</f>
        <v/>
      </c>
      <c r="FI27" s="55">
        <f>SUMIFS(tblPlant[Cyanide_kg],tblPlant[Date],$A27)</f>
        <v/>
      </c>
      <c r="FJ27" s="55">
        <f>IF($B27=$B26,$FJ26,0)+$FI27</f>
        <v/>
      </c>
      <c r="FK27" s="55">
        <f>$FK26+$FI27</f>
        <v/>
      </c>
      <c r="FL27" s="55">
        <f>SUMIFS(tblPlant[Lime_kg],tblPlant[Date],$A27)</f>
        <v/>
      </c>
      <c r="FM27" s="55">
        <f>IF($B27=$B26,$FM26,0)+$FL27</f>
        <v/>
      </c>
      <c r="FN27" s="55">
        <f>$FN26+$FL27</f>
        <v/>
      </c>
      <c r="FO27" s="55">
        <f>SUMIFS(tblPlant[Grinding_Media_kg],tblPlant[Date],$A27)</f>
        <v/>
      </c>
      <c r="FP27" s="55">
        <f>IF($B27=$B26,$FP26,0)+$FO27</f>
        <v/>
      </c>
      <c r="FQ27" s="55">
        <f>$FQ26+$FO27</f>
        <v/>
      </c>
      <c r="FR27" s="55">
        <f>SUMIFS(tblPlant[Power_kWh],tblPlant[Date],$A27)</f>
        <v/>
      </c>
      <c r="FS27" s="55">
        <f>IF($B27=$B26,$FS26,0)+$FR27</f>
        <v/>
      </c>
      <c r="FT27" s="55">
        <f>$FT26+$FR27</f>
        <v/>
      </c>
      <c r="FU27" s="55">
        <f>SUMIFS(tblPlant[Raw_Water_m3],tblPlant[Date],$A27)</f>
        <v/>
      </c>
      <c r="FV27" s="55">
        <f>IF($B27=$B26,$FV26,0)+$FU27</f>
        <v/>
      </c>
      <c r="FW27" s="55">
        <f>$FW26+$FU27</f>
        <v/>
      </c>
      <c r="FX27" s="56">
        <f>IFERROR(IF(($CU27)&gt;0,($FI27)/($CU27),""),"")</f>
        <v/>
      </c>
      <c r="FY27" s="56">
        <f>IFERROR(IF(($CV27)&gt;0,($FJ27)/($CV27),""),"")</f>
        <v/>
      </c>
      <c r="FZ27" s="56">
        <f>IFERROR(IF(($CW27)&gt;0,($FK27)/($CW27),""),"")</f>
        <v/>
      </c>
      <c r="GA27" s="56">
        <f>IFERROR(IF(($CU27)&gt;0,($FL27)/($CU27),""),"")</f>
        <v/>
      </c>
      <c r="GB27" s="56">
        <f>IFERROR(IF(($CV27)&gt;0,($FM27)/($CV27),""),"")</f>
        <v/>
      </c>
      <c r="GC27" s="56">
        <f>IFERROR(IF(($CW27)&gt;0,($FN27)/($CW27),""),"")</f>
        <v/>
      </c>
      <c r="GD27" s="56">
        <f>IFERROR(IF(($CU27)&gt;0,($FO27)/($CU27),""),"")</f>
        <v/>
      </c>
      <c r="GE27" s="56">
        <f>IFERROR(IF(($CV27)&gt;0,($FP27)/($CV27),""),"")</f>
        <v/>
      </c>
      <c r="GF27" s="56">
        <f>IFERROR(IF(($CW27)&gt;0,($FQ27)/($CW27),""),"")</f>
        <v/>
      </c>
      <c r="GG27" s="79">
        <f>IFERROR(IF(($CU27)&gt;0,($FR27)/($CU27),""),"")</f>
        <v/>
      </c>
      <c r="GH27" s="79">
        <f>IFERROR(IF(($CV27)&gt;0,($FS27)/($CV27),""),"")</f>
        <v/>
      </c>
      <c r="GI27" s="79">
        <f>IFERROR(IF(($CW27)&gt;0,($FT27)/($CW27),""),"")</f>
        <v/>
      </c>
      <c r="GJ27" s="56">
        <f>IFERROR(IF(($CU27)&gt;0,($FU27)/($CU27),""),"")</f>
        <v/>
      </c>
      <c r="GK27" s="56">
        <f>IFERROR(IF(($CV27)&gt;0,($FV27)/($CV27),""),"")</f>
        <v/>
      </c>
      <c r="GL27" s="56">
        <f>IFERROR(IF(($CW27)&gt;0,($FW27)/($CW27),""),"")</f>
        <v/>
      </c>
      <c r="GM27" s="55">
        <f>IF(SUMIFS(tblPlant[GIC_oz],tblPlant[Date],$A27)&gt;0,SUMIFS(tblPlant[GIC_oz],tblPlant[Date],$A27),"")</f>
        <v/>
      </c>
      <c r="GN27" s="55">
        <f>SUMIFS(tblGold[Gold_oz],tblGold[Date],$A27,tblGold[Type],"Shipment")</f>
        <v/>
      </c>
      <c r="GO27" s="55">
        <f>IF($B27=$B26,$GO26,0)+$GN27</f>
        <v/>
      </c>
      <c r="GP27" s="55">
        <f>$GP26+$GN27</f>
        <v/>
      </c>
      <c r="GQ27" s="55">
        <f>SUMIFS(tblGold[Gold_oz],tblGold[Date],$A27,tblGold[Type],"Sale")</f>
        <v/>
      </c>
      <c r="GR27" s="55">
        <f>IF($B27=$B26,$GR26,0)+$GQ27</f>
        <v/>
      </c>
      <c r="GS27" s="55">
        <f>$GS26+$GQ27</f>
        <v/>
      </c>
      <c r="GT27" s="55">
        <f>SUMIFS(tblGold[Dore_kg],tblGold[Date],$A27,tblGold[Type],"Shipment")</f>
        <v/>
      </c>
      <c r="GU27" s="55">
        <f>IF($B27=$B26,$GU26,0)+$GT27</f>
        <v/>
      </c>
      <c r="GV27" s="55">
        <f>$GV26+$GT27</f>
        <v/>
      </c>
      <c r="GW27" s="57">
        <f>SUMIFS(tblSafety[Hours_Total],tblSafety[Date],$A27)</f>
        <v/>
      </c>
      <c r="GX27" s="57">
        <f>IF($B27=$B26,$GX26,0)+$GW27</f>
        <v/>
      </c>
      <c r="GY27" s="57">
        <f>$GY26+$GW27</f>
        <v/>
      </c>
      <c r="GZ27" s="62">
        <f>SUMIFS(tblSafety[Fatality],tblSafety[Date],$A27)</f>
        <v/>
      </c>
      <c r="HA27" s="62">
        <f>IF($B27=$B26,$HA26,0)+$GZ27</f>
        <v/>
      </c>
      <c r="HB27" s="62">
        <f>$HB26+$GZ27</f>
        <v/>
      </c>
      <c r="HC27" s="62">
        <f>SUMIFS(tblSafety[LTI],tblSafety[Date],$A27)</f>
        <v/>
      </c>
      <c r="HD27" s="62">
        <f>IF($B27=$B26,$HD26,0)+$HC27</f>
        <v/>
      </c>
      <c r="HE27" s="62">
        <f>$HE26+$HC27</f>
        <v/>
      </c>
      <c r="HF27" s="62">
        <f>SUMIFS(tblSafety[RWI],tblSafety[Date],$A27)</f>
        <v/>
      </c>
      <c r="HG27" s="62">
        <f>IF($B27=$B26,$HG26,0)+$HF27</f>
        <v/>
      </c>
      <c r="HH27" s="62">
        <f>$HH26+$HF27</f>
        <v/>
      </c>
      <c r="HI27" s="62">
        <f>SUMIFS(tblSafety[MTI],tblSafety[Date],$A27)</f>
        <v/>
      </c>
      <c r="HJ27" s="62">
        <f>IF($B27=$B26,$HJ26,0)+$HI27</f>
        <v/>
      </c>
      <c r="HK27" s="62">
        <f>$HK26+$HI27</f>
        <v/>
      </c>
      <c r="HL27" s="62">
        <f>SUMIFS(tblSafety[FAI],tblSafety[Date],$A27)</f>
        <v/>
      </c>
      <c r="HM27" s="62">
        <f>IF($B27=$B26,$HM26,0)+$HL27</f>
        <v/>
      </c>
      <c r="HN27" s="62">
        <f>$HN26+$HL27</f>
        <v/>
      </c>
      <c r="HO27" s="62">
        <f>SUMIFS(tblSafety[Recordables],tblSafety[Date],$A27)</f>
        <v/>
      </c>
      <c r="HP27" s="62">
        <f>IF($B27=$B26,$HP26,0)+$HO27</f>
        <v/>
      </c>
      <c r="HQ27" s="62">
        <f>$HQ26+$HO27</f>
        <v/>
      </c>
      <c r="HR27" s="62">
        <f>SUMIFS(tblSafety[Near_Miss],tblSafety[Date],$A27)</f>
        <v/>
      </c>
      <c r="HS27" s="62">
        <f>IF($B27=$B26,$HS26,0)+$HR27</f>
        <v/>
      </c>
      <c r="HT27" s="62">
        <f>$HT26+$HR27</f>
        <v/>
      </c>
      <c r="HU27" s="62">
        <f>SUMIFS(tblSafety[Hazard_Reports],tblSafety[Date],$A27)</f>
        <v/>
      </c>
      <c r="HV27" s="62">
        <f>IF($B27=$B26,$HV26,0)+$HU27</f>
        <v/>
      </c>
      <c r="HW27" s="62">
        <f>$HW26+$HU27</f>
        <v/>
      </c>
      <c r="HX27" s="62">
        <f>SUMIFS(tblSafety[HPI],tblSafety[Date],$A27)</f>
        <v/>
      </c>
      <c r="HY27" s="62">
        <f>IF($B27=$B26,$HY26,0)+$HX27</f>
        <v/>
      </c>
      <c r="HZ27" s="62">
        <f>$HZ26+$HX27</f>
        <v/>
      </c>
      <c r="IA27" s="62">
        <f>SUMIFS(tblSafety[Env_Incidents],tblSafety[Date],$A27)</f>
        <v/>
      </c>
      <c r="IB27" s="62">
        <f>IF($B27=$B26,$IB26,0)+$IA27</f>
        <v/>
      </c>
      <c r="IC27" s="62">
        <f>$IC26+$IA27</f>
        <v/>
      </c>
      <c r="ID27" s="62">
        <f>SUMIFS(tblSafety[Community_Incidents],tblSafety[Date],$A27)</f>
        <v/>
      </c>
      <c r="IE27" s="62">
        <f>IF($B27=$B26,$IE26,0)+$ID27</f>
        <v/>
      </c>
      <c r="IF27" s="62">
        <f>$IF26+$ID27</f>
        <v/>
      </c>
      <c r="IG27" s="62">
        <f>SUMIFS(tblSafety[Vehicle_Incidents],tblSafety[Date],$A27)</f>
        <v/>
      </c>
      <c r="IH27" s="62">
        <f>IF($B27=$B26,$IH26,0)+$IG27</f>
        <v/>
      </c>
      <c r="II27" s="62">
        <f>$II26+$IG27</f>
        <v/>
      </c>
      <c r="IJ27" s="62">
        <f>SUMIFS(tblSafety[Toolbox_Talks],tblSafety[Date],$A27)</f>
        <v/>
      </c>
      <c r="IK27" s="62">
        <f>IF($B27=$B26,$IK26,0)+$IJ27</f>
        <v/>
      </c>
      <c r="IL27" s="62">
        <f>$IL26+$IJ27</f>
        <v/>
      </c>
      <c r="IM27" s="62">
        <f>SUMIFS(tblSafety[Inspections],tblSafety[Date],$A27)</f>
        <v/>
      </c>
      <c r="IN27" s="62">
        <f>IF($B27=$B26,$IN26,0)+$IM27</f>
        <v/>
      </c>
      <c r="IO27" s="62">
        <f>$IO26+$IM27</f>
        <v/>
      </c>
      <c r="IP27" s="56">
        <f>IFERROR((SUMIFS(tblSafety[Recordables],tblSafety[Date],"&gt;="&amp;EDATE($E27,-12),tblSafety[Date],"&lt;="&amp;$A27)+SUMIFS(tblSafetyHistory[Recordables],tblSafetyHistory[Month],"&gt;="&amp;EDATE($E27,-12),tblSafetyHistory[Month],"&lt;"&amp;$E27,tblSafetyHistory[Use],1))/(SUMIFS(tblSafety[Hours_Total],tblSafety[Date],"&gt;="&amp;EDATE($E27,-12),tblSafety[Date],"&lt;="&amp;$A27)+SUMIFS(tblSafetyHistory[Hours_Total],tblSafetyHistory[Month],"&gt;="&amp;EDATE($E27,-12),tblSafetyHistory[Month],"&lt;"&amp;$E27,tblSafetyHistory[Use],1))*cfg_RateBasisHours,"")</f>
        <v/>
      </c>
      <c r="IQ27" s="56">
        <f>IFERROR((SUMIFS(tblSafety[LTI],tblSafety[Date],"&gt;="&amp;EDATE($E27,-12),tblSafety[Date],"&lt;="&amp;$A27)+SUMIFS(tblSafetyHistory[LTI],tblSafetyHistory[Month],"&gt;="&amp;EDATE($E27,-12),tblSafetyHistory[Month],"&lt;"&amp;$E27,tblSafetyHistory[Use],1))/(SUMIFS(tblSafety[Hours_Total],tblSafety[Date],"&gt;="&amp;EDATE($E27,-12),tblSafety[Date],"&lt;="&amp;$A27)+SUMIFS(tblSafetyHistory[Hours_Total],tblSafetyHistory[Month],"&gt;="&amp;EDATE($E27,-12),tblSafetyHistory[Month],"&lt;"&amp;$E27,tblSafetyHistory[Use],1))*cfg_RateBasisHours,"")</f>
        <v/>
      </c>
      <c r="IR27" s="62">
        <f>IF(MAX(N(cfg_PriorLTIDate),_xlfn.MAXIFS(tblSafety[Date],tblSafety[LTI],"&gt;0",tblSafety[Date],"&lt;="&amp;$A27))=0,"",$A27-MAX(N(cfg_PriorLTIDate),_xlfn.MAXIFS(tblSafety[Date],tblSafety[LTI],"&gt;0",tblSafety[Date],"&lt;="&amp;$A27)))</f>
        <v/>
      </c>
      <c r="IS27" s="55">
        <f>SUMIFS(tblBudget[Ore_Mined_t],tblBudget[Month],$E27)</f>
        <v/>
      </c>
      <c r="IT27" s="55">
        <f>$IS27*$C27/$D27</f>
        <v/>
      </c>
      <c r="IU27" s="55">
        <f>SUMIFS(tblBudget[Ore_Mined_t],tblBudget[Month],"&lt;"&amp;$E27)+$IT27</f>
        <v/>
      </c>
      <c r="IV27" s="55">
        <f>SUMIFS(tblBudget[Ore_oz],tblBudget[Month],$E27)</f>
        <v/>
      </c>
      <c r="IW27" s="55">
        <f>$IV27*$C27/$D27</f>
        <v/>
      </c>
      <c r="IX27" s="55">
        <f>SUMIFS(tblBudget[Ore_oz],tblBudget[Month],"&lt;"&amp;$E27)+$IW27</f>
        <v/>
      </c>
      <c r="IY27" s="55">
        <f>SUMIFS(tblBudget[Ore_Mined_t],tblBudget[Month],$E27)</f>
        <v/>
      </c>
      <c r="IZ27" s="55">
        <f>$IY27*$C27/$D27</f>
        <v/>
      </c>
      <c r="JA27" s="55">
        <f>SUMIFS(tblBudget[Ore_Mined_t],tblBudget[Month],"&lt;"&amp;$E27)+$IZ27</f>
        <v/>
      </c>
      <c r="JB27" s="56">
        <f>IFERROR(IF(($IY27)&gt;0,($IV27*cfg_TroyOz)/($IY27),""),"")</f>
        <v/>
      </c>
      <c r="JC27" s="56">
        <f>IFERROR(IF(($IZ27)&gt;0,($IW27*cfg_TroyOz)/($IZ27),""),"")</f>
        <v/>
      </c>
      <c r="JD27" s="56">
        <f>IFERROR(IF(($JA27)&gt;0,($IX27*cfg_TroyOz)/($JA27),""),"")</f>
        <v/>
      </c>
      <c r="JE27" s="55">
        <f>SUMIFS(tblBudget[Waste_t],tblBudget[Month],$E27)</f>
        <v/>
      </c>
      <c r="JF27" s="55">
        <f>$JE27*$C27/$D27</f>
        <v/>
      </c>
      <c r="JG27" s="55">
        <f>SUMIFS(tblBudget[Waste_t],tblBudget[Month],"&lt;"&amp;$E27)+$JF27</f>
        <v/>
      </c>
      <c r="JH27" s="55">
        <f>SUMIFS(tblBudget[TMM_t],tblBudget[Month],$E27)</f>
        <v/>
      </c>
      <c r="JI27" s="55">
        <f>$JH27*$C27/$D27</f>
        <v/>
      </c>
      <c r="JJ27" s="55">
        <f>SUMIFS(tblBudget[TMM_t],tblBudget[Month],"&lt;"&amp;$E27)+$JI27</f>
        <v/>
      </c>
      <c r="JK27" s="56">
        <f>IFERROR(IF(($IS27)&gt;0,($JE27)/($IS27),""),"")</f>
        <v/>
      </c>
      <c r="JL27" s="56">
        <f>IFERROR(IF(($IT27)&gt;0,($JF27)/($IT27),""),"")</f>
        <v/>
      </c>
      <c r="JM27" s="56">
        <f>IFERROR(IF(($IU27)&gt;0,($JG27)/($IU27),""),"")</f>
        <v/>
      </c>
      <c r="JN27" s="55">
        <f>SUMIFS(tblBudget[Drill_m],tblBudget[Month],$E27)</f>
        <v/>
      </c>
      <c r="JO27" s="55">
        <f>$JN27*$C27/$D27</f>
        <v/>
      </c>
      <c r="JP27" s="55">
        <f>SUMIFS(tblBudget[Drill_m],tblBudget[Month],"&lt;"&amp;$E27)+$JO27</f>
        <v/>
      </c>
      <c r="JQ27" s="55">
        <f>SUMIFS(tblBudget[Diesel_L],tblBudget[Month],$E27)</f>
        <v/>
      </c>
      <c r="JR27" s="55">
        <f>$JQ27*$C27/$D27</f>
        <v/>
      </c>
      <c r="JS27" s="55">
        <f>SUMIFS(tblBudget[Diesel_L],tblBudget[Month],"&lt;"&amp;$E27)+$JR27</f>
        <v/>
      </c>
      <c r="JT27" s="55">
        <f>SUMIFS(tblBudget[Milled_t],tblBudget[Month],$E27)</f>
        <v/>
      </c>
      <c r="JU27" s="55">
        <f>$JT27*$C27/$D27</f>
        <v/>
      </c>
      <c r="JV27" s="55">
        <f>SUMIFS(tblBudget[Milled_t],tblBudget[Month],"&lt;"&amp;$E27)+$JU27</f>
        <v/>
      </c>
      <c r="JW27" s="55">
        <f>SUMIFS(tblBudget[Feed_oz],tblBudget[Month],$E27)</f>
        <v/>
      </c>
      <c r="JX27" s="55">
        <f>$JW27*$C27/$D27</f>
        <v/>
      </c>
      <c r="JY27" s="55">
        <f>SUMIFS(tblBudget[Feed_oz],tblBudget[Month],"&lt;"&amp;$E27)+$JX27</f>
        <v/>
      </c>
      <c r="JZ27" s="55">
        <f>SUMIFS(tblBudget[Recovered_oz],tblBudget[Month],$E27)</f>
        <v/>
      </c>
      <c r="KA27" s="55">
        <f>$JZ27*$C27/$D27</f>
        <v/>
      </c>
      <c r="KB27" s="55">
        <f>SUMIFS(tblBudget[Recovered_oz],tblBudget[Month],"&lt;"&amp;$E27)+$KA27</f>
        <v/>
      </c>
      <c r="KC27" s="55">
        <f>SUMIFS(tblBudget[Milled_t],tblBudget[Month],$E27)</f>
        <v/>
      </c>
      <c r="KD27" s="55">
        <f>$KC27*$C27/$D27</f>
        <v/>
      </c>
      <c r="KE27" s="55">
        <f>SUMIFS(tblBudget[Milled_t],tblBudget[Month],"&lt;"&amp;$E27)+$KD27</f>
        <v/>
      </c>
      <c r="KF27" s="55">
        <f>SUMIFS(tblBudget[Feed_oz],tblBudget[Month],$E27)</f>
        <v/>
      </c>
      <c r="KG27" s="55">
        <f>$KF27*$C27/$D27</f>
        <v/>
      </c>
      <c r="KH27" s="55">
        <f>SUMIFS(tblBudget[Feed_oz],tblBudget[Month],"&lt;"&amp;$E27)+$KG27</f>
        <v/>
      </c>
      <c r="KI27" s="56">
        <f>IFERROR(IF(($KC27)&gt;0,($JW27*cfg_TroyOz)/($KC27),""),"")</f>
        <v/>
      </c>
      <c r="KJ27" s="56">
        <f>IFERROR(IF(($KD27)&gt;0,($JX27*cfg_TroyOz)/($KD27),""),"")</f>
        <v/>
      </c>
      <c r="KK27" s="56">
        <f>IFERROR(IF(($KE27)&gt;0,($JY27*cfg_TroyOz)/($KE27),""),"")</f>
        <v/>
      </c>
      <c r="KL27" s="67">
        <f>IFERROR(IF(($KF27)&gt;0,($JZ27)/($KF27),""),"")</f>
        <v/>
      </c>
      <c r="KM27" s="67">
        <f>IFERROR(IF(($KG27)&gt;0,($KA27)/($KG27),""),"")</f>
        <v/>
      </c>
      <c r="KN27" s="67">
        <f>IFERROR(IF(($KH27)&gt;0,($KB27)/($KH27),""),"")</f>
        <v/>
      </c>
      <c r="KO27" s="55">
        <f>SUMIFS(tblBudget[Gold_Poured_oz],tblBudget[Month],$E27)</f>
        <v/>
      </c>
      <c r="KP27" s="55">
        <f>$KO27*$C27/$D27</f>
        <v/>
      </c>
      <c r="KQ27" s="55">
        <f>SUMIFS(tblBudget[Gold_Poured_oz],tblBudget[Month],"&lt;"&amp;$E27)+$KP27</f>
        <v/>
      </c>
      <c r="KR27" s="57">
        <f>SUMIFS(tblBudget[Hours_Worked],tblBudget[Month],$E27)</f>
        <v/>
      </c>
      <c r="KS27" s="57">
        <f>$KR27*$C27/$D27</f>
        <v/>
      </c>
      <c r="KT27" s="57">
        <f>SUMIFS(tblBudget[Hours_Worked],tblBudget[Month],"&lt;"&amp;$E27)+$KS27</f>
        <v/>
      </c>
    </row>
    <row r="28">
      <c r="A28" s="54" t="n">
        <v>46049</v>
      </c>
      <c r="B28">
        <f>MONTH($A28)</f>
        <v/>
      </c>
      <c r="C28">
        <f>DAY($A28)</f>
        <v/>
      </c>
      <c r="D28">
        <f>DAY(EOMONTH($A28,0))</f>
        <v/>
      </c>
      <c r="E28" s="54">
        <f>DATE(YEAR($A28),MONTH($A28),1)</f>
        <v/>
      </c>
      <c r="F28" s="55">
        <f>SUMIFS(tblMovement[Tonnes_t],tblMovement[Date],$A28,tblMovement[Is_Ore],1,tblMovement[Source_Type],"Pit")</f>
        <v/>
      </c>
      <c r="G28" s="55">
        <f>IF($B28=$B27,$G27,0)+$F28</f>
        <v/>
      </c>
      <c r="H28" s="55">
        <f>$H27+$F28</f>
        <v/>
      </c>
      <c r="I28" s="55">
        <f>SUMIFS(tblMovement[Ore_oz],tblMovement[Date],$A28,tblMovement[Source_Type],"Pit")</f>
        <v/>
      </c>
      <c r="J28" s="55">
        <f>IF($B28=$B27,$J27,0)+$I28</f>
        <v/>
      </c>
      <c r="K28" s="55">
        <f>$K27+$I28</f>
        <v/>
      </c>
      <c r="L28" s="55">
        <f>SUMIFS(tblMovement[Tonnes_t],tblMovement[Date],$A28,tblMovement[Is_Ore],1,tblMovement[Source_Type],"Pit",tblMovement[Grade_gpt],"&lt;&gt;")</f>
        <v/>
      </c>
      <c r="M28" s="55">
        <f>IF($B28=$B27,$M27,0)+$L28</f>
        <v/>
      </c>
      <c r="N28" s="55">
        <f>$N27+$L28</f>
        <v/>
      </c>
      <c r="O28" s="56">
        <f>IFERROR(IF(($L28)&gt;0,($I28*cfg_TroyOz)/($L28),""),"")</f>
        <v/>
      </c>
      <c r="P28" s="56">
        <f>IFERROR(IF(($M28)&gt;0,($J28*cfg_TroyOz)/($M28),""),"")</f>
        <v/>
      </c>
      <c r="Q28" s="56">
        <f>IFERROR(IF(($N28)&gt;0,($K28*cfg_TroyOz)/($N28),""),"")</f>
        <v/>
      </c>
      <c r="R28" s="55">
        <f>$F28-$L28</f>
        <v/>
      </c>
      <c r="S28" s="55">
        <f>IF($B28=$B27,$S27,0)+$R28</f>
        <v/>
      </c>
      <c r="T28" s="55">
        <f>$T27+$R28</f>
        <v/>
      </c>
      <c r="U28" s="55">
        <f>SUMIFS(tblMovement[Tonnes_t],tblMovement[Date],$A28,tblMovement[Is_Ore],0,tblMovement[Source_Type],"Pit")</f>
        <v/>
      </c>
      <c r="V28" s="55">
        <f>IF($B28=$B27,$V27,0)+$U28</f>
        <v/>
      </c>
      <c r="W28" s="55">
        <f>$W27+$U28</f>
        <v/>
      </c>
      <c r="X28" s="55">
        <f>$F28+$U28</f>
        <v/>
      </c>
      <c r="Y28" s="55">
        <f>IF($B28=$B27,$Y27,0)+$X28</f>
        <v/>
      </c>
      <c r="Z28" s="55">
        <f>$Z27+$X28</f>
        <v/>
      </c>
      <c r="AA28" s="56">
        <f>IFERROR(IF(($F28)&gt;0,($U28)/($F28),""),"")</f>
        <v/>
      </c>
      <c r="AB28" s="56">
        <f>IFERROR(IF(($G28)&gt;0,($V28)/($G28),""),"")</f>
        <v/>
      </c>
      <c r="AC28" s="56">
        <f>IFERROR(IF(($H28)&gt;0,($W28)/($H28),""),"")</f>
        <v/>
      </c>
      <c r="AD28" s="55">
        <f>SUMIFS(tblMovement[Tonnes_t],tblMovement[Date],$A28,tblMovement[Source_Type],"Stockpile")</f>
        <v/>
      </c>
      <c r="AE28" s="55">
        <f>IF($B28=$B27,$AE27,0)+$AD28</f>
        <v/>
      </c>
      <c r="AF28" s="55">
        <f>$AF27+$AD28</f>
        <v/>
      </c>
      <c r="AG28" s="55">
        <f>SUMIFS(tblMovement[Tonnes_t],tblMovement[Date],$A28)</f>
        <v/>
      </c>
      <c r="AH28" s="55">
        <f>IF($B28=$B27,$AH27,0)+$AG28</f>
        <v/>
      </c>
      <c r="AI28" s="55">
        <f>$AI27+$AG28</f>
        <v/>
      </c>
      <c r="AJ28" s="55">
        <f>$AG28-$X28-$AD28</f>
        <v/>
      </c>
      <c r="AK28" s="55">
        <f>IF($B28=$B27,$AK27,0)+$AJ28</f>
        <v/>
      </c>
      <c r="AL28" s="55">
        <f>$AL27+$AJ28</f>
        <v/>
      </c>
      <c r="AM28" s="55">
        <f>SUMIFS(tblMiningDaily[Drill_m],tblMiningDaily[Date],$A28)</f>
        <v/>
      </c>
      <c r="AN28" s="55">
        <f>IF($B28=$B27,$AN27,0)+$AM28</f>
        <v/>
      </c>
      <c r="AO28" s="55">
        <f>$AO27+$AM28</f>
        <v/>
      </c>
      <c r="AP28" s="55">
        <f>SUMIFS(tblMiningDaily[GC_Drill_m],tblMiningDaily[Date],$A28)</f>
        <v/>
      </c>
      <c r="AQ28" s="55">
        <f>IF($B28=$B27,$AQ27,0)+$AP28</f>
        <v/>
      </c>
      <c r="AR28" s="55">
        <f>$AR27+$AP28</f>
        <v/>
      </c>
      <c r="AS28" s="55">
        <f>SUMIFS(tblMiningDaily[Blast_t],tblMiningDaily[Date],$A28)</f>
        <v/>
      </c>
      <c r="AT28" s="55">
        <f>IF($B28=$B27,$AT27,0)+$AS28</f>
        <v/>
      </c>
      <c r="AU28" s="55">
        <f>$AU27+$AS28</f>
        <v/>
      </c>
      <c r="AV28" s="55">
        <f>SUMIFS(tblMiningDaily[Explosives_kg],tblMiningDaily[Date],$A28)</f>
        <v/>
      </c>
      <c r="AW28" s="55">
        <f>IF($B28=$B27,$AW27,0)+$AV28</f>
        <v/>
      </c>
      <c r="AX28" s="55">
        <f>$AX27+$AV28</f>
        <v/>
      </c>
      <c r="AY28" s="56">
        <f>IFERROR(IF(($AS28)&gt;0,($AV28)/($AS28),""),"")</f>
        <v/>
      </c>
      <c r="AZ28" s="56">
        <f>IFERROR(IF(($AT28)&gt;0,($AW28)/($AT28),""),"")</f>
        <v/>
      </c>
      <c r="BA28" s="56">
        <f>IFERROR(IF(($AU28)&gt;0,($AX28)/($AU28),""),"")</f>
        <v/>
      </c>
      <c r="BB28" s="55">
        <f>SUMIFS(tblMiningDaily[Diesel_L],tblMiningDaily[Date],$A28)</f>
        <v/>
      </c>
      <c r="BC28" s="55">
        <f>IF($B28=$B27,$BC27,0)+$BB28</f>
        <v/>
      </c>
      <c r="BD28" s="55">
        <f>$BD27+$BB28</f>
        <v/>
      </c>
      <c r="BE28" s="55">
        <f>SUMIFS(tblMiningDaily[Dewatering_m3],tblMiningDaily[Date],$A28)</f>
        <v/>
      </c>
      <c r="BF28" s="55">
        <f>IF($B28=$B27,$BF27,0)+$BE28</f>
        <v/>
      </c>
      <c r="BG28" s="55">
        <f>$BG27+$BE28</f>
        <v/>
      </c>
      <c r="BH28" s="57">
        <f>SUMIFS(tblFleet[Calendar_h],tblFleet[Date],$A28,tblFleet[Equipment_Class],"Excavator")</f>
        <v/>
      </c>
      <c r="BI28" s="57">
        <f>IF($B28=$B27,$BI27,0)+$BH28</f>
        <v/>
      </c>
      <c r="BJ28" s="57">
        <f>$BJ27+$BH28</f>
        <v/>
      </c>
      <c r="BK28" s="57">
        <f>SUMIFS(tblFleet[Available_h],tblFleet[Date],$A28,tblFleet[Equipment_Class],"Excavator")</f>
        <v/>
      </c>
      <c r="BL28" s="57">
        <f>IF($B28=$B27,$BL27,0)+$BK28</f>
        <v/>
      </c>
      <c r="BM28" s="57">
        <f>$BM27+$BK28</f>
        <v/>
      </c>
      <c r="BN28" s="57">
        <f>SUMIFS(tblFleet[Operating_h],tblFleet[Date],$A28,tblFleet[Equipment_Class],"Excavator")</f>
        <v/>
      </c>
      <c r="BO28" s="57">
        <f>IF($B28=$B27,$BO27,0)+$BN28</f>
        <v/>
      </c>
      <c r="BP28" s="57">
        <f>$BP27+$BN28</f>
        <v/>
      </c>
      <c r="BQ28" s="67">
        <f>IFERROR(IF(($BH28)&gt;0,($BK28)/($BH28),""),"")</f>
        <v/>
      </c>
      <c r="BR28" s="67">
        <f>IFERROR(IF(($BI28)&gt;0,($BL28)/($BI28),""),"")</f>
        <v/>
      </c>
      <c r="BS28" s="67">
        <f>IFERROR(IF(($BJ28)&gt;0,($BM28)/($BJ28),""),"")</f>
        <v/>
      </c>
      <c r="BT28" s="67">
        <f>IFERROR(IF(($BK28)&gt;0,($BN28)/($BK28),""),"")</f>
        <v/>
      </c>
      <c r="BU28" s="67">
        <f>IFERROR(IF(($BL28)&gt;0,($BO28)/($BL28),""),"")</f>
        <v/>
      </c>
      <c r="BV28" s="67">
        <f>IFERROR(IF(($BM28)&gt;0,($BP28)/($BM28),""),"")</f>
        <v/>
      </c>
      <c r="BW28" s="57">
        <f>SUMIFS(tblFleet[Calendar_h],tblFleet[Date],$A28,tblFleet[Equipment_Class],"Haul Truck")</f>
        <v/>
      </c>
      <c r="BX28" s="57">
        <f>IF($B28=$B27,$BX27,0)+$BW28</f>
        <v/>
      </c>
      <c r="BY28" s="57">
        <f>$BY27+$BW28</f>
        <v/>
      </c>
      <c r="BZ28" s="57">
        <f>SUMIFS(tblFleet[Available_h],tblFleet[Date],$A28,tblFleet[Equipment_Class],"Haul Truck")</f>
        <v/>
      </c>
      <c r="CA28" s="57">
        <f>IF($B28=$B27,$CA27,0)+$BZ28</f>
        <v/>
      </c>
      <c r="CB28" s="57">
        <f>$CB27+$BZ28</f>
        <v/>
      </c>
      <c r="CC28" s="57">
        <f>SUMIFS(tblFleet[Operating_h],tblFleet[Date],$A28,tblFleet[Equipment_Class],"Haul Truck")</f>
        <v/>
      </c>
      <c r="CD28" s="57">
        <f>IF($B28=$B27,$CD27,0)+$CC28</f>
        <v/>
      </c>
      <c r="CE28" s="57">
        <f>$CE27+$CC28</f>
        <v/>
      </c>
      <c r="CF28" s="67">
        <f>IFERROR(IF(($BW28)&gt;0,($BZ28)/($BW28),""),"")</f>
        <v/>
      </c>
      <c r="CG28" s="67">
        <f>IFERROR(IF(($BX28)&gt;0,($CA28)/($BX28),""),"")</f>
        <v/>
      </c>
      <c r="CH28" s="67">
        <f>IFERROR(IF(($BY28)&gt;0,($CB28)/($BY28),""),"")</f>
        <v/>
      </c>
      <c r="CI28" s="67">
        <f>IFERROR(IF(($BZ28)&gt;0,($CC28)/($BZ28),""),"")</f>
        <v/>
      </c>
      <c r="CJ28" s="67">
        <f>IFERROR(IF(($CA28)&gt;0,($CD28)/($CA28),""),"")</f>
        <v/>
      </c>
      <c r="CK28" s="67">
        <f>IFERROR(IF(($CB28)&gt;0,($CE28)/($CB28),""),"")</f>
        <v/>
      </c>
      <c r="CL28" s="55">
        <f>IFERROR(IF(($BN28)&gt;0,($X28+$AD28)/($BN28),""),"")</f>
        <v/>
      </c>
      <c r="CM28" s="55">
        <f>IFERROR(IF(($BO28)&gt;0,($Y28+$AE28)/($BO28),""),"")</f>
        <v/>
      </c>
      <c r="CN28" s="55">
        <f>IFERROR(IF(($BP28)&gt;0,($Z28+$AF28)/($BP28),""),"")</f>
        <v/>
      </c>
      <c r="CO28" s="55">
        <f>IFERROR(IF(($CC28)&gt;0,($X28+$AD28)/($CC28),""),"")</f>
        <v/>
      </c>
      <c r="CP28" s="55">
        <f>IFERROR(IF(($CD28)&gt;0,($Y28+$AE28)/($CD28),""),"")</f>
        <v/>
      </c>
      <c r="CQ28" s="55">
        <f>IFERROR(IF(($CE28)&gt;0,($Z28+$AF28)/($CE28),""),"")</f>
        <v/>
      </c>
      <c r="CR28" s="55">
        <f>SUMIFS(tblPlant[Crushed_t],tblPlant[Date],$A28)</f>
        <v/>
      </c>
      <c r="CS28" s="55">
        <f>IF($B28=$B27,$CS27,0)+$CR28</f>
        <v/>
      </c>
      <c r="CT28" s="55">
        <f>$CT27+$CR28</f>
        <v/>
      </c>
      <c r="CU28" s="55">
        <f>SUMIFS(tblPlant[Milled_t],tblPlant[Date],$A28)</f>
        <v/>
      </c>
      <c r="CV28" s="55">
        <f>IF($B28=$B27,$CV27,0)+$CU28</f>
        <v/>
      </c>
      <c r="CW28" s="55">
        <f>$CW27+$CU28</f>
        <v/>
      </c>
      <c r="CX28" s="55">
        <f>SUMIFS(tblPlant[Feed_oz],tblPlant[Date],$A28)</f>
        <v/>
      </c>
      <c r="CY28" s="55">
        <f>IF($B28=$B27,$CY27,0)+$CX28</f>
        <v/>
      </c>
      <c r="CZ28" s="55">
        <f>$CZ27+$CX28</f>
        <v/>
      </c>
      <c r="DA28" s="55">
        <f>SUMIFS(tblPlant[Tails_oz],tblPlant[Date],$A28)</f>
        <v/>
      </c>
      <c r="DB28" s="55">
        <f>IF($B28=$B27,$DB27,0)+$DA28</f>
        <v/>
      </c>
      <c r="DC28" s="55">
        <f>$DC27+$DA28</f>
        <v/>
      </c>
      <c r="DD28" s="55">
        <f>SUMIFS(tblPlant[Recovered_oz],tblPlant[Date],$A28)</f>
        <v/>
      </c>
      <c r="DE28" s="55">
        <f>IF($B28=$B27,$DE27,0)+$DD28</f>
        <v/>
      </c>
      <c r="DF28" s="55">
        <f>$DF27+$DD28</f>
        <v/>
      </c>
      <c r="DG28" s="55">
        <f>SUMIFS(tblPlant[Milled_t],tblPlant[Date],$A28,tblPlant[Head_Grade_gpt],"&lt;&gt;")</f>
        <v/>
      </c>
      <c r="DH28" s="55">
        <f>IF($B28=$B27,$DH27,0)+$DG28</f>
        <v/>
      </c>
      <c r="DI28" s="55">
        <f>$DI27+$DG28</f>
        <v/>
      </c>
      <c r="DJ28" s="55">
        <f>SUMIFS(tblPlant[Milled_t],tblPlant[Date],$A28,tblPlant[Tails_Grade_gpt],"&lt;&gt;")</f>
        <v/>
      </c>
      <c r="DK28" s="55">
        <f>IF($B28=$B27,$DK27,0)+$DJ28</f>
        <v/>
      </c>
      <c r="DL28" s="55">
        <f>$DL27+$DJ28</f>
        <v/>
      </c>
      <c r="DM28" s="55">
        <f>SUMIFS(tblPlant[Feed_oz],tblPlant[Date],$A28,tblPlant[Tails_Grade_gpt],"&lt;&gt;")</f>
        <v/>
      </c>
      <c r="DN28" s="55">
        <f>IF($B28=$B27,$DN27,0)+$DM28</f>
        <v/>
      </c>
      <c r="DO28" s="55">
        <f>$DO27+$DM28</f>
        <v/>
      </c>
      <c r="DP28" s="55">
        <f>SUMIFS(tblPlant[Milled_t],tblPlant[Date],$A28,tblPlant[Mill_Run_h],"&lt;&gt;")</f>
        <v/>
      </c>
      <c r="DQ28" s="55">
        <f>IF($B28=$B27,$DQ27,0)+$DP28</f>
        <v/>
      </c>
      <c r="DR28" s="55">
        <f>$DR27+$DP28</f>
        <v/>
      </c>
      <c r="DS28" s="56">
        <f>IFERROR(IF(($DG28)&gt;0,($CX28*cfg_TroyOz)/($DG28),""),"")</f>
        <v/>
      </c>
      <c r="DT28" s="56">
        <f>IFERROR(IF(($DH28)&gt;0,($CY28*cfg_TroyOz)/($DH28),""),"")</f>
        <v/>
      </c>
      <c r="DU28" s="56">
        <f>IFERROR(IF(($DI28)&gt;0,($CZ28*cfg_TroyOz)/($DI28),""),"")</f>
        <v/>
      </c>
      <c r="DV28" s="56">
        <f>IFERROR(IF(($DJ28)&gt;0,($DA28*cfg_TroyOz)/($DJ28),""),"")</f>
        <v/>
      </c>
      <c r="DW28" s="56">
        <f>IFERROR(IF(($DK28)&gt;0,($DB28*cfg_TroyOz)/($DK28),""),"")</f>
        <v/>
      </c>
      <c r="DX28" s="56">
        <f>IFERROR(IF(($DL28)&gt;0,($DC28*cfg_TroyOz)/($DL28),""),"")</f>
        <v/>
      </c>
      <c r="DY28" s="67">
        <f>IFERROR(IF(($DM28)&gt;0,($DD28)/($DM28),""),"")</f>
        <v/>
      </c>
      <c r="DZ28" s="67">
        <f>IFERROR(IF(($DN28)&gt;0,($DE28)/($DN28),""),"")</f>
        <v/>
      </c>
      <c r="EA28" s="67">
        <f>IFERROR(IF(($DO28)&gt;0,($DF28)/($DO28),""),"")</f>
        <v/>
      </c>
      <c r="EB28" s="55">
        <f>SUMIFS(tblPlant[Gravity_Gold_oz],tblPlant[Date],$A28)</f>
        <v/>
      </c>
      <c r="EC28" s="55">
        <f>IF($B28=$B27,$EC27,0)+$EB28</f>
        <v/>
      </c>
      <c r="ED28" s="55">
        <f>$ED27+$EB28</f>
        <v/>
      </c>
      <c r="EE28" s="67">
        <f>IFERROR(IF(($DD28)&gt;0,($EB28)/($DD28),""),"")</f>
        <v/>
      </c>
      <c r="EF28" s="67">
        <f>IFERROR(IF(($DE28)&gt;0,($EC28)/($DE28),""),"")</f>
        <v/>
      </c>
      <c r="EG28" s="67">
        <f>IFERROR(IF(($DF28)&gt;0,($ED28)/($DF28),""),"")</f>
        <v/>
      </c>
      <c r="EH28" s="55">
        <f>SUMIFS(tblPlant[Gold_Poured_oz],tblPlant[Date],$A28)</f>
        <v/>
      </c>
      <c r="EI28" s="55">
        <f>IF($B28=$B27,$EI27,0)+$EH28</f>
        <v/>
      </c>
      <c r="EJ28" s="55">
        <f>$EJ27+$EH28</f>
        <v/>
      </c>
      <c r="EK28" s="57">
        <f>SUMIFS(tblPlant[Mill_Run_h],tblPlant[Date],$A28)</f>
        <v/>
      </c>
      <c r="EL28" s="57">
        <f>IF($B28=$B27,$EL27,0)+$EK28</f>
        <v/>
      </c>
      <c r="EM28" s="57">
        <f>$EM27+$EK28</f>
        <v/>
      </c>
      <c r="EN28" s="57">
        <f>SUMIFS(tblPlant[Mill_Planned_Maint_h],tblPlant[Date],$A28)</f>
        <v/>
      </c>
      <c r="EO28" s="57">
        <f>IF($B28=$B27,$EO27,0)+$EN28</f>
        <v/>
      </c>
      <c r="EP28" s="57">
        <f>$EP27+$EN28</f>
        <v/>
      </c>
      <c r="EQ28" s="57">
        <f>SUMIFS(tblPlant[Mill_Unplanned_Down_h],tblPlant[Date],$A28)</f>
        <v/>
      </c>
      <c r="ER28" s="57">
        <f>IF($B28=$B27,$ER27,0)+$EQ28</f>
        <v/>
      </c>
      <c r="ES28" s="57">
        <f>$ES27+$EQ28</f>
        <v/>
      </c>
      <c r="ET28" s="57">
        <f>IF(COUNTIFS(tblPlant[Date],$A28,tblPlant[Mill_Run_h],"&lt;&gt;")+COUNTIFS(tblPlant[Date],$A28,tblPlant[Mill_Planned_Maint_h],"&lt;&gt;")+COUNTIFS(tblPlant[Date],$A28,tblPlant[Mill_Unplanned_Down_h],"&lt;&gt;")&gt;0,cfg_HoursPerDay,0)</f>
        <v/>
      </c>
      <c r="EU28" s="57">
        <f>IF($B28=$B27,$EU27,0)+$ET28</f>
        <v/>
      </c>
      <c r="EV28" s="57">
        <f>$EV27+$ET28</f>
        <v/>
      </c>
      <c r="EW28" s="57">
        <f>SUMIFS(tblPlant[Crusher_Run_h],tblPlant[Date],$A28)</f>
        <v/>
      </c>
      <c r="EX28" s="57">
        <f>IF($B28=$B27,$EX27,0)+$EW28</f>
        <v/>
      </c>
      <c r="EY28" s="57">
        <f>$EY27+$EW28</f>
        <v/>
      </c>
      <c r="EZ28" s="55">
        <f>IFERROR(IF(($EK28)&gt;0,($DP28)/($EK28),""),"")</f>
        <v/>
      </c>
      <c r="FA28" s="55">
        <f>IFERROR(IF(($EL28)&gt;0,($DQ28)/($EL28),""),"")</f>
        <v/>
      </c>
      <c r="FB28" s="55">
        <f>IFERROR(IF(($EM28)&gt;0,($DR28)/($EM28),""),"")</f>
        <v/>
      </c>
      <c r="FC28" s="67">
        <f>IFERROR(IF(($ET28)&gt;0,($ET28-$EN28-$EQ28)/($ET28),""),"")</f>
        <v/>
      </c>
      <c r="FD28" s="67">
        <f>IFERROR(IF(($EU28)&gt;0,($EU28-$EO28-$ER28)/($EU28),""),"")</f>
        <v/>
      </c>
      <c r="FE28" s="67">
        <f>IFERROR(IF(($EV28)&gt;0,($EV28-$EP28-$ES28)/($EV28),""),"")</f>
        <v/>
      </c>
      <c r="FF28" s="67">
        <f>IFERROR(IF(($ET28-$EN28-$EQ28)&gt;0,($EK28)/($ET28-$EN28-$EQ28),""),"")</f>
        <v/>
      </c>
      <c r="FG28" s="67">
        <f>IFERROR(IF(($EU28-$EO28-$ER28)&gt;0,($EL28)/($EU28-$EO28-$ER28),""),"")</f>
        <v/>
      </c>
      <c r="FH28" s="67">
        <f>IFERROR(IF(($EV28-$EP28-$ES28)&gt;0,($EM28)/($EV28-$EP28-$ES28),""),"")</f>
        <v/>
      </c>
      <c r="FI28" s="55">
        <f>SUMIFS(tblPlant[Cyanide_kg],tblPlant[Date],$A28)</f>
        <v/>
      </c>
      <c r="FJ28" s="55">
        <f>IF($B28=$B27,$FJ27,0)+$FI28</f>
        <v/>
      </c>
      <c r="FK28" s="55">
        <f>$FK27+$FI28</f>
        <v/>
      </c>
      <c r="FL28" s="55">
        <f>SUMIFS(tblPlant[Lime_kg],tblPlant[Date],$A28)</f>
        <v/>
      </c>
      <c r="FM28" s="55">
        <f>IF($B28=$B27,$FM27,0)+$FL28</f>
        <v/>
      </c>
      <c r="FN28" s="55">
        <f>$FN27+$FL28</f>
        <v/>
      </c>
      <c r="FO28" s="55">
        <f>SUMIFS(tblPlant[Grinding_Media_kg],tblPlant[Date],$A28)</f>
        <v/>
      </c>
      <c r="FP28" s="55">
        <f>IF($B28=$B27,$FP27,0)+$FO28</f>
        <v/>
      </c>
      <c r="FQ28" s="55">
        <f>$FQ27+$FO28</f>
        <v/>
      </c>
      <c r="FR28" s="55">
        <f>SUMIFS(tblPlant[Power_kWh],tblPlant[Date],$A28)</f>
        <v/>
      </c>
      <c r="FS28" s="55">
        <f>IF($B28=$B27,$FS27,0)+$FR28</f>
        <v/>
      </c>
      <c r="FT28" s="55">
        <f>$FT27+$FR28</f>
        <v/>
      </c>
      <c r="FU28" s="55">
        <f>SUMIFS(tblPlant[Raw_Water_m3],tblPlant[Date],$A28)</f>
        <v/>
      </c>
      <c r="FV28" s="55">
        <f>IF($B28=$B27,$FV27,0)+$FU28</f>
        <v/>
      </c>
      <c r="FW28" s="55">
        <f>$FW27+$FU28</f>
        <v/>
      </c>
      <c r="FX28" s="56">
        <f>IFERROR(IF(($CU28)&gt;0,($FI28)/($CU28),""),"")</f>
        <v/>
      </c>
      <c r="FY28" s="56">
        <f>IFERROR(IF(($CV28)&gt;0,($FJ28)/($CV28),""),"")</f>
        <v/>
      </c>
      <c r="FZ28" s="56">
        <f>IFERROR(IF(($CW28)&gt;0,($FK28)/($CW28),""),"")</f>
        <v/>
      </c>
      <c r="GA28" s="56">
        <f>IFERROR(IF(($CU28)&gt;0,($FL28)/($CU28),""),"")</f>
        <v/>
      </c>
      <c r="GB28" s="56">
        <f>IFERROR(IF(($CV28)&gt;0,($FM28)/($CV28),""),"")</f>
        <v/>
      </c>
      <c r="GC28" s="56">
        <f>IFERROR(IF(($CW28)&gt;0,($FN28)/($CW28),""),"")</f>
        <v/>
      </c>
      <c r="GD28" s="56">
        <f>IFERROR(IF(($CU28)&gt;0,($FO28)/($CU28),""),"")</f>
        <v/>
      </c>
      <c r="GE28" s="56">
        <f>IFERROR(IF(($CV28)&gt;0,($FP28)/($CV28),""),"")</f>
        <v/>
      </c>
      <c r="GF28" s="56">
        <f>IFERROR(IF(($CW28)&gt;0,($FQ28)/($CW28),""),"")</f>
        <v/>
      </c>
      <c r="GG28" s="79">
        <f>IFERROR(IF(($CU28)&gt;0,($FR28)/($CU28),""),"")</f>
        <v/>
      </c>
      <c r="GH28" s="79">
        <f>IFERROR(IF(($CV28)&gt;0,($FS28)/($CV28),""),"")</f>
        <v/>
      </c>
      <c r="GI28" s="79">
        <f>IFERROR(IF(($CW28)&gt;0,($FT28)/($CW28),""),"")</f>
        <v/>
      </c>
      <c r="GJ28" s="56">
        <f>IFERROR(IF(($CU28)&gt;0,($FU28)/($CU28),""),"")</f>
        <v/>
      </c>
      <c r="GK28" s="56">
        <f>IFERROR(IF(($CV28)&gt;0,($FV28)/($CV28),""),"")</f>
        <v/>
      </c>
      <c r="GL28" s="56">
        <f>IFERROR(IF(($CW28)&gt;0,($FW28)/($CW28),""),"")</f>
        <v/>
      </c>
      <c r="GM28" s="55">
        <f>IF(SUMIFS(tblPlant[GIC_oz],tblPlant[Date],$A28)&gt;0,SUMIFS(tblPlant[GIC_oz],tblPlant[Date],$A28),"")</f>
        <v/>
      </c>
      <c r="GN28" s="55">
        <f>SUMIFS(tblGold[Gold_oz],tblGold[Date],$A28,tblGold[Type],"Shipment")</f>
        <v/>
      </c>
      <c r="GO28" s="55">
        <f>IF($B28=$B27,$GO27,0)+$GN28</f>
        <v/>
      </c>
      <c r="GP28" s="55">
        <f>$GP27+$GN28</f>
        <v/>
      </c>
      <c r="GQ28" s="55">
        <f>SUMIFS(tblGold[Gold_oz],tblGold[Date],$A28,tblGold[Type],"Sale")</f>
        <v/>
      </c>
      <c r="GR28" s="55">
        <f>IF($B28=$B27,$GR27,0)+$GQ28</f>
        <v/>
      </c>
      <c r="GS28" s="55">
        <f>$GS27+$GQ28</f>
        <v/>
      </c>
      <c r="GT28" s="55">
        <f>SUMIFS(tblGold[Dore_kg],tblGold[Date],$A28,tblGold[Type],"Shipment")</f>
        <v/>
      </c>
      <c r="GU28" s="55">
        <f>IF($B28=$B27,$GU27,0)+$GT28</f>
        <v/>
      </c>
      <c r="GV28" s="55">
        <f>$GV27+$GT28</f>
        <v/>
      </c>
      <c r="GW28" s="57">
        <f>SUMIFS(tblSafety[Hours_Total],tblSafety[Date],$A28)</f>
        <v/>
      </c>
      <c r="GX28" s="57">
        <f>IF($B28=$B27,$GX27,0)+$GW28</f>
        <v/>
      </c>
      <c r="GY28" s="57">
        <f>$GY27+$GW28</f>
        <v/>
      </c>
      <c r="GZ28" s="62">
        <f>SUMIFS(tblSafety[Fatality],tblSafety[Date],$A28)</f>
        <v/>
      </c>
      <c r="HA28" s="62">
        <f>IF($B28=$B27,$HA27,0)+$GZ28</f>
        <v/>
      </c>
      <c r="HB28" s="62">
        <f>$HB27+$GZ28</f>
        <v/>
      </c>
      <c r="HC28" s="62">
        <f>SUMIFS(tblSafety[LTI],tblSafety[Date],$A28)</f>
        <v/>
      </c>
      <c r="HD28" s="62">
        <f>IF($B28=$B27,$HD27,0)+$HC28</f>
        <v/>
      </c>
      <c r="HE28" s="62">
        <f>$HE27+$HC28</f>
        <v/>
      </c>
      <c r="HF28" s="62">
        <f>SUMIFS(tblSafety[RWI],tblSafety[Date],$A28)</f>
        <v/>
      </c>
      <c r="HG28" s="62">
        <f>IF($B28=$B27,$HG27,0)+$HF28</f>
        <v/>
      </c>
      <c r="HH28" s="62">
        <f>$HH27+$HF28</f>
        <v/>
      </c>
      <c r="HI28" s="62">
        <f>SUMIFS(tblSafety[MTI],tblSafety[Date],$A28)</f>
        <v/>
      </c>
      <c r="HJ28" s="62">
        <f>IF($B28=$B27,$HJ27,0)+$HI28</f>
        <v/>
      </c>
      <c r="HK28" s="62">
        <f>$HK27+$HI28</f>
        <v/>
      </c>
      <c r="HL28" s="62">
        <f>SUMIFS(tblSafety[FAI],tblSafety[Date],$A28)</f>
        <v/>
      </c>
      <c r="HM28" s="62">
        <f>IF($B28=$B27,$HM27,0)+$HL28</f>
        <v/>
      </c>
      <c r="HN28" s="62">
        <f>$HN27+$HL28</f>
        <v/>
      </c>
      <c r="HO28" s="62">
        <f>SUMIFS(tblSafety[Recordables],tblSafety[Date],$A28)</f>
        <v/>
      </c>
      <c r="HP28" s="62">
        <f>IF($B28=$B27,$HP27,0)+$HO28</f>
        <v/>
      </c>
      <c r="HQ28" s="62">
        <f>$HQ27+$HO28</f>
        <v/>
      </c>
      <c r="HR28" s="62">
        <f>SUMIFS(tblSafety[Near_Miss],tblSafety[Date],$A28)</f>
        <v/>
      </c>
      <c r="HS28" s="62">
        <f>IF($B28=$B27,$HS27,0)+$HR28</f>
        <v/>
      </c>
      <c r="HT28" s="62">
        <f>$HT27+$HR28</f>
        <v/>
      </c>
      <c r="HU28" s="62">
        <f>SUMIFS(tblSafety[Hazard_Reports],tblSafety[Date],$A28)</f>
        <v/>
      </c>
      <c r="HV28" s="62">
        <f>IF($B28=$B27,$HV27,0)+$HU28</f>
        <v/>
      </c>
      <c r="HW28" s="62">
        <f>$HW27+$HU28</f>
        <v/>
      </c>
      <c r="HX28" s="62">
        <f>SUMIFS(tblSafety[HPI],tblSafety[Date],$A28)</f>
        <v/>
      </c>
      <c r="HY28" s="62">
        <f>IF($B28=$B27,$HY27,0)+$HX28</f>
        <v/>
      </c>
      <c r="HZ28" s="62">
        <f>$HZ27+$HX28</f>
        <v/>
      </c>
      <c r="IA28" s="62">
        <f>SUMIFS(tblSafety[Env_Incidents],tblSafety[Date],$A28)</f>
        <v/>
      </c>
      <c r="IB28" s="62">
        <f>IF($B28=$B27,$IB27,0)+$IA28</f>
        <v/>
      </c>
      <c r="IC28" s="62">
        <f>$IC27+$IA28</f>
        <v/>
      </c>
      <c r="ID28" s="62">
        <f>SUMIFS(tblSafety[Community_Incidents],tblSafety[Date],$A28)</f>
        <v/>
      </c>
      <c r="IE28" s="62">
        <f>IF($B28=$B27,$IE27,0)+$ID28</f>
        <v/>
      </c>
      <c r="IF28" s="62">
        <f>$IF27+$ID28</f>
        <v/>
      </c>
      <c r="IG28" s="62">
        <f>SUMIFS(tblSafety[Vehicle_Incidents],tblSafety[Date],$A28)</f>
        <v/>
      </c>
      <c r="IH28" s="62">
        <f>IF($B28=$B27,$IH27,0)+$IG28</f>
        <v/>
      </c>
      <c r="II28" s="62">
        <f>$II27+$IG28</f>
        <v/>
      </c>
      <c r="IJ28" s="62">
        <f>SUMIFS(tblSafety[Toolbox_Talks],tblSafety[Date],$A28)</f>
        <v/>
      </c>
      <c r="IK28" s="62">
        <f>IF($B28=$B27,$IK27,0)+$IJ28</f>
        <v/>
      </c>
      <c r="IL28" s="62">
        <f>$IL27+$IJ28</f>
        <v/>
      </c>
      <c r="IM28" s="62">
        <f>SUMIFS(tblSafety[Inspections],tblSafety[Date],$A28)</f>
        <v/>
      </c>
      <c r="IN28" s="62">
        <f>IF($B28=$B27,$IN27,0)+$IM28</f>
        <v/>
      </c>
      <c r="IO28" s="62">
        <f>$IO27+$IM28</f>
        <v/>
      </c>
      <c r="IP28" s="56">
        <f>IFERROR((SUMIFS(tblSafety[Recordables],tblSafety[Date],"&gt;="&amp;EDATE($E28,-12),tblSafety[Date],"&lt;="&amp;$A28)+SUMIFS(tblSafetyHistory[Recordables],tblSafetyHistory[Month],"&gt;="&amp;EDATE($E28,-12),tblSafetyHistory[Month],"&lt;"&amp;$E28,tblSafetyHistory[Use],1))/(SUMIFS(tblSafety[Hours_Total],tblSafety[Date],"&gt;="&amp;EDATE($E28,-12),tblSafety[Date],"&lt;="&amp;$A28)+SUMIFS(tblSafetyHistory[Hours_Total],tblSafetyHistory[Month],"&gt;="&amp;EDATE($E28,-12),tblSafetyHistory[Month],"&lt;"&amp;$E28,tblSafetyHistory[Use],1))*cfg_RateBasisHours,"")</f>
        <v/>
      </c>
      <c r="IQ28" s="56">
        <f>IFERROR((SUMIFS(tblSafety[LTI],tblSafety[Date],"&gt;="&amp;EDATE($E28,-12),tblSafety[Date],"&lt;="&amp;$A28)+SUMIFS(tblSafetyHistory[LTI],tblSafetyHistory[Month],"&gt;="&amp;EDATE($E28,-12),tblSafetyHistory[Month],"&lt;"&amp;$E28,tblSafetyHistory[Use],1))/(SUMIFS(tblSafety[Hours_Total],tblSafety[Date],"&gt;="&amp;EDATE($E28,-12),tblSafety[Date],"&lt;="&amp;$A28)+SUMIFS(tblSafetyHistory[Hours_Total],tblSafetyHistory[Month],"&gt;="&amp;EDATE($E28,-12),tblSafetyHistory[Month],"&lt;"&amp;$E28,tblSafetyHistory[Use],1))*cfg_RateBasisHours,"")</f>
        <v/>
      </c>
      <c r="IR28" s="62">
        <f>IF(MAX(N(cfg_PriorLTIDate),_xlfn.MAXIFS(tblSafety[Date],tblSafety[LTI],"&gt;0",tblSafety[Date],"&lt;="&amp;$A28))=0,"",$A28-MAX(N(cfg_PriorLTIDate),_xlfn.MAXIFS(tblSafety[Date],tblSafety[LTI],"&gt;0",tblSafety[Date],"&lt;="&amp;$A28)))</f>
        <v/>
      </c>
      <c r="IS28" s="55">
        <f>SUMIFS(tblBudget[Ore_Mined_t],tblBudget[Month],$E28)</f>
        <v/>
      </c>
      <c r="IT28" s="55">
        <f>$IS28*$C28/$D28</f>
        <v/>
      </c>
      <c r="IU28" s="55">
        <f>SUMIFS(tblBudget[Ore_Mined_t],tblBudget[Month],"&lt;"&amp;$E28)+$IT28</f>
        <v/>
      </c>
      <c r="IV28" s="55">
        <f>SUMIFS(tblBudget[Ore_oz],tblBudget[Month],$E28)</f>
        <v/>
      </c>
      <c r="IW28" s="55">
        <f>$IV28*$C28/$D28</f>
        <v/>
      </c>
      <c r="IX28" s="55">
        <f>SUMIFS(tblBudget[Ore_oz],tblBudget[Month],"&lt;"&amp;$E28)+$IW28</f>
        <v/>
      </c>
      <c r="IY28" s="55">
        <f>SUMIFS(tblBudget[Ore_Mined_t],tblBudget[Month],$E28)</f>
        <v/>
      </c>
      <c r="IZ28" s="55">
        <f>$IY28*$C28/$D28</f>
        <v/>
      </c>
      <c r="JA28" s="55">
        <f>SUMIFS(tblBudget[Ore_Mined_t],tblBudget[Month],"&lt;"&amp;$E28)+$IZ28</f>
        <v/>
      </c>
      <c r="JB28" s="56">
        <f>IFERROR(IF(($IY28)&gt;0,($IV28*cfg_TroyOz)/($IY28),""),"")</f>
        <v/>
      </c>
      <c r="JC28" s="56">
        <f>IFERROR(IF(($IZ28)&gt;0,($IW28*cfg_TroyOz)/($IZ28),""),"")</f>
        <v/>
      </c>
      <c r="JD28" s="56">
        <f>IFERROR(IF(($JA28)&gt;0,($IX28*cfg_TroyOz)/($JA28),""),"")</f>
        <v/>
      </c>
      <c r="JE28" s="55">
        <f>SUMIFS(tblBudget[Waste_t],tblBudget[Month],$E28)</f>
        <v/>
      </c>
      <c r="JF28" s="55">
        <f>$JE28*$C28/$D28</f>
        <v/>
      </c>
      <c r="JG28" s="55">
        <f>SUMIFS(tblBudget[Waste_t],tblBudget[Month],"&lt;"&amp;$E28)+$JF28</f>
        <v/>
      </c>
      <c r="JH28" s="55">
        <f>SUMIFS(tblBudget[TMM_t],tblBudget[Month],$E28)</f>
        <v/>
      </c>
      <c r="JI28" s="55">
        <f>$JH28*$C28/$D28</f>
        <v/>
      </c>
      <c r="JJ28" s="55">
        <f>SUMIFS(tblBudget[TMM_t],tblBudget[Month],"&lt;"&amp;$E28)+$JI28</f>
        <v/>
      </c>
      <c r="JK28" s="56">
        <f>IFERROR(IF(($IS28)&gt;0,($JE28)/($IS28),""),"")</f>
        <v/>
      </c>
      <c r="JL28" s="56">
        <f>IFERROR(IF(($IT28)&gt;0,($JF28)/($IT28),""),"")</f>
        <v/>
      </c>
      <c r="JM28" s="56">
        <f>IFERROR(IF(($IU28)&gt;0,($JG28)/($IU28),""),"")</f>
        <v/>
      </c>
      <c r="JN28" s="55">
        <f>SUMIFS(tblBudget[Drill_m],tblBudget[Month],$E28)</f>
        <v/>
      </c>
      <c r="JO28" s="55">
        <f>$JN28*$C28/$D28</f>
        <v/>
      </c>
      <c r="JP28" s="55">
        <f>SUMIFS(tblBudget[Drill_m],tblBudget[Month],"&lt;"&amp;$E28)+$JO28</f>
        <v/>
      </c>
      <c r="JQ28" s="55">
        <f>SUMIFS(tblBudget[Diesel_L],tblBudget[Month],$E28)</f>
        <v/>
      </c>
      <c r="JR28" s="55">
        <f>$JQ28*$C28/$D28</f>
        <v/>
      </c>
      <c r="JS28" s="55">
        <f>SUMIFS(tblBudget[Diesel_L],tblBudget[Month],"&lt;"&amp;$E28)+$JR28</f>
        <v/>
      </c>
      <c r="JT28" s="55">
        <f>SUMIFS(tblBudget[Milled_t],tblBudget[Month],$E28)</f>
        <v/>
      </c>
      <c r="JU28" s="55">
        <f>$JT28*$C28/$D28</f>
        <v/>
      </c>
      <c r="JV28" s="55">
        <f>SUMIFS(tblBudget[Milled_t],tblBudget[Month],"&lt;"&amp;$E28)+$JU28</f>
        <v/>
      </c>
      <c r="JW28" s="55">
        <f>SUMIFS(tblBudget[Feed_oz],tblBudget[Month],$E28)</f>
        <v/>
      </c>
      <c r="JX28" s="55">
        <f>$JW28*$C28/$D28</f>
        <v/>
      </c>
      <c r="JY28" s="55">
        <f>SUMIFS(tblBudget[Feed_oz],tblBudget[Month],"&lt;"&amp;$E28)+$JX28</f>
        <v/>
      </c>
      <c r="JZ28" s="55">
        <f>SUMIFS(tblBudget[Recovered_oz],tblBudget[Month],$E28)</f>
        <v/>
      </c>
      <c r="KA28" s="55">
        <f>$JZ28*$C28/$D28</f>
        <v/>
      </c>
      <c r="KB28" s="55">
        <f>SUMIFS(tblBudget[Recovered_oz],tblBudget[Month],"&lt;"&amp;$E28)+$KA28</f>
        <v/>
      </c>
      <c r="KC28" s="55">
        <f>SUMIFS(tblBudget[Milled_t],tblBudget[Month],$E28)</f>
        <v/>
      </c>
      <c r="KD28" s="55">
        <f>$KC28*$C28/$D28</f>
        <v/>
      </c>
      <c r="KE28" s="55">
        <f>SUMIFS(tblBudget[Milled_t],tblBudget[Month],"&lt;"&amp;$E28)+$KD28</f>
        <v/>
      </c>
      <c r="KF28" s="55">
        <f>SUMIFS(tblBudget[Feed_oz],tblBudget[Month],$E28)</f>
        <v/>
      </c>
      <c r="KG28" s="55">
        <f>$KF28*$C28/$D28</f>
        <v/>
      </c>
      <c r="KH28" s="55">
        <f>SUMIFS(tblBudget[Feed_oz],tblBudget[Month],"&lt;"&amp;$E28)+$KG28</f>
        <v/>
      </c>
      <c r="KI28" s="56">
        <f>IFERROR(IF(($KC28)&gt;0,($JW28*cfg_TroyOz)/($KC28),""),"")</f>
        <v/>
      </c>
      <c r="KJ28" s="56">
        <f>IFERROR(IF(($KD28)&gt;0,($JX28*cfg_TroyOz)/($KD28),""),"")</f>
        <v/>
      </c>
      <c r="KK28" s="56">
        <f>IFERROR(IF(($KE28)&gt;0,($JY28*cfg_TroyOz)/($KE28),""),"")</f>
        <v/>
      </c>
      <c r="KL28" s="67">
        <f>IFERROR(IF(($KF28)&gt;0,($JZ28)/($KF28),""),"")</f>
        <v/>
      </c>
      <c r="KM28" s="67">
        <f>IFERROR(IF(($KG28)&gt;0,($KA28)/($KG28),""),"")</f>
        <v/>
      </c>
      <c r="KN28" s="67">
        <f>IFERROR(IF(($KH28)&gt;0,($KB28)/($KH28),""),"")</f>
        <v/>
      </c>
      <c r="KO28" s="55">
        <f>SUMIFS(tblBudget[Gold_Poured_oz],tblBudget[Month],$E28)</f>
        <v/>
      </c>
      <c r="KP28" s="55">
        <f>$KO28*$C28/$D28</f>
        <v/>
      </c>
      <c r="KQ28" s="55">
        <f>SUMIFS(tblBudget[Gold_Poured_oz],tblBudget[Month],"&lt;"&amp;$E28)+$KP28</f>
        <v/>
      </c>
      <c r="KR28" s="57">
        <f>SUMIFS(tblBudget[Hours_Worked],tblBudget[Month],$E28)</f>
        <v/>
      </c>
      <c r="KS28" s="57">
        <f>$KR28*$C28/$D28</f>
        <v/>
      </c>
      <c r="KT28" s="57">
        <f>SUMIFS(tblBudget[Hours_Worked],tblBudget[Month],"&lt;"&amp;$E28)+$KS28</f>
        <v/>
      </c>
    </row>
    <row r="29">
      <c r="A29" s="54" t="n">
        <v>46050</v>
      </c>
      <c r="B29">
        <f>MONTH($A29)</f>
        <v/>
      </c>
      <c r="C29">
        <f>DAY($A29)</f>
        <v/>
      </c>
      <c r="D29">
        <f>DAY(EOMONTH($A29,0))</f>
        <v/>
      </c>
      <c r="E29" s="54">
        <f>DATE(YEAR($A29),MONTH($A29),1)</f>
        <v/>
      </c>
      <c r="F29" s="55">
        <f>SUMIFS(tblMovement[Tonnes_t],tblMovement[Date],$A29,tblMovement[Is_Ore],1,tblMovement[Source_Type],"Pit")</f>
        <v/>
      </c>
      <c r="G29" s="55">
        <f>IF($B29=$B28,$G28,0)+$F29</f>
        <v/>
      </c>
      <c r="H29" s="55">
        <f>$H28+$F29</f>
        <v/>
      </c>
      <c r="I29" s="55">
        <f>SUMIFS(tblMovement[Ore_oz],tblMovement[Date],$A29,tblMovement[Source_Type],"Pit")</f>
        <v/>
      </c>
      <c r="J29" s="55">
        <f>IF($B29=$B28,$J28,0)+$I29</f>
        <v/>
      </c>
      <c r="K29" s="55">
        <f>$K28+$I29</f>
        <v/>
      </c>
      <c r="L29" s="55">
        <f>SUMIFS(tblMovement[Tonnes_t],tblMovement[Date],$A29,tblMovement[Is_Ore],1,tblMovement[Source_Type],"Pit",tblMovement[Grade_gpt],"&lt;&gt;")</f>
        <v/>
      </c>
      <c r="M29" s="55">
        <f>IF($B29=$B28,$M28,0)+$L29</f>
        <v/>
      </c>
      <c r="N29" s="55">
        <f>$N28+$L29</f>
        <v/>
      </c>
      <c r="O29" s="56">
        <f>IFERROR(IF(($L29)&gt;0,($I29*cfg_TroyOz)/($L29),""),"")</f>
        <v/>
      </c>
      <c r="P29" s="56">
        <f>IFERROR(IF(($M29)&gt;0,($J29*cfg_TroyOz)/($M29),""),"")</f>
        <v/>
      </c>
      <c r="Q29" s="56">
        <f>IFERROR(IF(($N29)&gt;0,($K29*cfg_TroyOz)/($N29),""),"")</f>
        <v/>
      </c>
      <c r="R29" s="55">
        <f>$F29-$L29</f>
        <v/>
      </c>
      <c r="S29" s="55">
        <f>IF($B29=$B28,$S28,0)+$R29</f>
        <v/>
      </c>
      <c r="T29" s="55">
        <f>$T28+$R29</f>
        <v/>
      </c>
      <c r="U29" s="55">
        <f>SUMIFS(tblMovement[Tonnes_t],tblMovement[Date],$A29,tblMovement[Is_Ore],0,tblMovement[Source_Type],"Pit")</f>
        <v/>
      </c>
      <c r="V29" s="55">
        <f>IF($B29=$B28,$V28,0)+$U29</f>
        <v/>
      </c>
      <c r="W29" s="55">
        <f>$W28+$U29</f>
        <v/>
      </c>
      <c r="X29" s="55">
        <f>$F29+$U29</f>
        <v/>
      </c>
      <c r="Y29" s="55">
        <f>IF($B29=$B28,$Y28,0)+$X29</f>
        <v/>
      </c>
      <c r="Z29" s="55">
        <f>$Z28+$X29</f>
        <v/>
      </c>
      <c r="AA29" s="56">
        <f>IFERROR(IF(($F29)&gt;0,($U29)/($F29),""),"")</f>
        <v/>
      </c>
      <c r="AB29" s="56">
        <f>IFERROR(IF(($G29)&gt;0,($V29)/($G29),""),"")</f>
        <v/>
      </c>
      <c r="AC29" s="56">
        <f>IFERROR(IF(($H29)&gt;0,($W29)/($H29),""),"")</f>
        <v/>
      </c>
      <c r="AD29" s="55">
        <f>SUMIFS(tblMovement[Tonnes_t],tblMovement[Date],$A29,tblMovement[Source_Type],"Stockpile")</f>
        <v/>
      </c>
      <c r="AE29" s="55">
        <f>IF($B29=$B28,$AE28,0)+$AD29</f>
        <v/>
      </c>
      <c r="AF29" s="55">
        <f>$AF28+$AD29</f>
        <v/>
      </c>
      <c r="AG29" s="55">
        <f>SUMIFS(tblMovement[Tonnes_t],tblMovement[Date],$A29)</f>
        <v/>
      </c>
      <c r="AH29" s="55">
        <f>IF($B29=$B28,$AH28,0)+$AG29</f>
        <v/>
      </c>
      <c r="AI29" s="55">
        <f>$AI28+$AG29</f>
        <v/>
      </c>
      <c r="AJ29" s="55">
        <f>$AG29-$X29-$AD29</f>
        <v/>
      </c>
      <c r="AK29" s="55">
        <f>IF($B29=$B28,$AK28,0)+$AJ29</f>
        <v/>
      </c>
      <c r="AL29" s="55">
        <f>$AL28+$AJ29</f>
        <v/>
      </c>
      <c r="AM29" s="55">
        <f>SUMIFS(tblMiningDaily[Drill_m],tblMiningDaily[Date],$A29)</f>
        <v/>
      </c>
      <c r="AN29" s="55">
        <f>IF($B29=$B28,$AN28,0)+$AM29</f>
        <v/>
      </c>
      <c r="AO29" s="55">
        <f>$AO28+$AM29</f>
        <v/>
      </c>
      <c r="AP29" s="55">
        <f>SUMIFS(tblMiningDaily[GC_Drill_m],tblMiningDaily[Date],$A29)</f>
        <v/>
      </c>
      <c r="AQ29" s="55">
        <f>IF($B29=$B28,$AQ28,0)+$AP29</f>
        <v/>
      </c>
      <c r="AR29" s="55">
        <f>$AR28+$AP29</f>
        <v/>
      </c>
      <c r="AS29" s="55">
        <f>SUMIFS(tblMiningDaily[Blast_t],tblMiningDaily[Date],$A29)</f>
        <v/>
      </c>
      <c r="AT29" s="55">
        <f>IF($B29=$B28,$AT28,0)+$AS29</f>
        <v/>
      </c>
      <c r="AU29" s="55">
        <f>$AU28+$AS29</f>
        <v/>
      </c>
      <c r="AV29" s="55">
        <f>SUMIFS(tblMiningDaily[Explosives_kg],tblMiningDaily[Date],$A29)</f>
        <v/>
      </c>
      <c r="AW29" s="55">
        <f>IF($B29=$B28,$AW28,0)+$AV29</f>
        <v/>
      </c>
      <c r="AX29" s="55">
        <f>$AX28+$AV29</f>
        <v/>
      </c>
      <c r="AY29" s="56">
        <f>IFERROR(IF(($AS29)&gt;0,($AV29)/($AS29),""),"")</f>
        <v/>
      </c>
      <c r="AZ29" s="56">
        <f>IFERROR(IF(($AT29)&gt;0,($AW29)/($AT29),""),"")</f>
        <v/>
      </c>
      <c r="BA29" s="56">
        <f>IFERROR(IF(($AU29)&gt;0,($AX29)/($AU29),""),"")</f>
        <v/>
      </c>
      <c r="BB29" s="55">
        <f>SUMIFS(tblMiningDaily[Diesel_L],tblMiningDaily[Date],$A29)</f>
        <v/>
      </c>
      <c r="BC29" s="55">
        <f>IF($B29=$B28,$BC28,0)+$BB29</f>
        <v/>
      </c>
      <c r="BD29" s="55">
        <f>$BD28+$BB29</f>
        <v/>
      </c>
      <c r="BE29" s="55">
        <f>SUMIFS(tblMiningDaily[Dewatering_m3],tblMiningDaily[Date],$A29)</f>
        <v/>
      </c>
      <c r="BF29" s="55">
        <f>IF($B29=$B28,$BF28,0)+$BE29</f>
        <v/>
      </c>
      <c r="BG29" s="55">
        <f>$BG28+$BE29</f>
        <v/>
      </c>
      <c r="BH29" s="57">
        <f>SUMIFS(tblFleet[Calendar_h],tblFleet[Date],$A29,tblFleet[Equipment_Class],"Excavator")</f>
        <v/>
      </c>
      <c r="BI29" s="57">
        <f>IF($B29=$B28,$BI28,0)+$BH29</f>
        <v/>
      </c>
      <c r="BJ29" s="57">
        <f>$BJ28+$BH29</f>
        <v/>
      </c>
      <c r="BK29" s="57">
        <f>SUMIFS(tblFleet[Available_h],tblFleet[Date],$A29,tblFleet[Equipment_Class],"Excavator")</f>
        <v/>
      </c>
      <c r="BL29" s="57">
        <f>IF($B29=$B28,$BL28,0)+$BK29</f>
        <v/>
      </c>
      <c r="BM29" s="57">
        <f>$BM28+$BK29</f>
        <v/>
      </c>
      <c r="BN29" s="57">
        <f>SUMIFS(tblFleet[Operating_h],tblFleet[Date],$A29,tblFleet[Equipment_Class],"Excavator")</f>
        <v/>
      </c>
      <c r="BO29" s="57">
        <f>IF($B29=$B28,$BO28,0)+$BN29</f>
        <v/>
      </c>
      <c r="BP29" s="57">
        <f>$BP28+$BN29</f>
        <v/>
      </c>
      <c r="BQ29" s="67">
        <f>IFERROR(IF(($BH29)&gt;0,($BK29)/($BH29),""),"")</f>
        <v/>
      </c>
      <c r="BR29" s="67">
        <f>IFERROR(IF(($BI29)&gt;0,($BL29)/($BI29),""),"")</f>
        <v/>
      </c>
      <c r="BS29" s="67">
        <f>IFERROR(IF(($BJ29)&gt;0,($BM29)/($BJ29),""),"")</f>
        <v/>
      </c>
      <c r="BT29" s="67">
        <f>IFERROR(IF(($BK29)&gt;0,($BN29)/($BK29),""),"")</f>
        <v/>
      </c>
      <c r="BU29" s="67">
        <f>IFERROR(IF(($BL29)&gt;0,($BO29)/($BL29),""),"")</f>
        <v/>
      </c>
      <c r="BV29" s="67">
        <f>IFERROR(IF(($BM29)&gt;0,($BP29)/($BM29),""),"")</f>
        <v/>
      </c>
      <c r="BW29" s="57">
        <f>SUMIFS(tblFleet[Calendar_h],tblFleet[Date],$A29,tblFleet[Equipment_Class],"Haul Truck")</f>
        <v/>
      </c>
      <c r="BX29" s="57">
        <f>IF($B29=$B28,$BX28,0)+$BW29</f>
        <v/>
      </c>
      <c r="BY29" s="57">
        <f>$BY28+$BW29</f>
        <v/>
      </c>
      <c r="BZ29" s="57">
        <f>SUMIFS(tblFleet[Available_h],tblFleet[Date],$A29,tblFleet[Equipment_Class],"Haul Truck")</f>
        <v/>
      </c>
      <c r="CA29" s="57">
        <f>IF($B29=$B28,$CA28,0)+$BZ29</f>
        <v/>
      </c>
      <c r="CB29" s="57">
        <f>$CB28+$BZ29</f>
        <v/>
      </c>
      <c r="CC29" s="57">
        <f>SUMIFS(tblFleet[Operating_h],tblFleet[Date],$A29,tblFleet[Equipment_Class],"Haul Truck")</f>
        <v/>
      </c>
      <c r="CD29" s="57">
        <f>IF($B29=$B28,$CD28,0)+$CC29</f>
        <v/>
      </c>
      <c r="CE29" s="57">
        <f>$CE28+$CC29</f>
        <v/>
      </c>
      <c r="CF29" s="67">
        <f>IFERROR(IF(($BW29)&gt;0,($BZ29)/($BW29),""),"")</f>
        <v/>
      </c>
      <c r="CG29" s="67">
        <f>IFERROR(IF(($BX29)&gt;0,($CA29)/($BX29),""),"")</f>
        <v/>
      </c>
      <c r="CH29" s="67">
        <f>IFERROR(IF(($BY29)&gt;0,($CB29)/($BY29),""),"")</f>
        <v/>
      </c>
      <c r="CI29" s="67">
        <f>IFERROR(IF(($BZ29)&gt;0,($CC29)/($BZ29),""),"")</f>
        <v/>
      </c>
      <c r="CJ29" s="67">
        <f>IFERROR(IF(($CA29)&gt;0,($CD29)/($CA29),""),"")</f>
        <v/>
      </c>
      <c r="CK29" s="67">
        <f>IFERROR(IF(($CB29)&gt;0,($CE29)/($CB29),""),"")</f>
        <v/>
      </c>
      <c r="CL29" s="55">
        <f>IFERROR(IF(($BN29)&gt;0,($X29+$AD29)/($BN29),""),"")</f>
        <v/>
      </c>
      <c r="CM29" s="55">
        <f>IFERROR(IF(($BO29)&gt;0,($Y29+$AE29)/($BO29),""),"")</f>
        <v/>
      </c>
      <c r="CN29" s="55">
        <f>IFERROR(IF(($BP29)&gt;0,($Z29+$AF29)/($BP29),""),"")</f>
        <v/>
      </c>
      <c r="CO29" s="55">
        <f>IFERROR(IF(($CC29)&gt;0,($X29+$AD29)/($CC29),""),"")</f>
        <v/>
      </c>
      <c r="CP29" s="55">
        <f>IFERROR(IF(($CD29)&gt;0,($Y29+$AE29)/($CD29),""),"")</f>
        <v/>
      </c>
      <c r="CQ29" s="55">
        <f>IFERROR(IF(($CE29)&gt;0,($Z29+$AF29)/($CE29),""),"")</f>
        <v/>
      </c>
      <c r="CR29" s="55">
        <f>SUMIFS(tblPlant[Crushed_t],tblPlant[Date],$A29)</f>
        <v/>
      </c>
      <c r="CS29" s="55">
        <f>IF($B29=$B28,$CS28,0)+$CR29</f>
        <v/>
      </c>
      <c r="CT29" s="55">
        <f>$CT28+$CR29</f>
        <v/>
      </c>
      <c r="CU29" s="55">
        <f>SUMIFS(tblPlant[Milled_t],tblPlant[Date],$A29)</f>
        <v/>
      </c>
      <c r="CV29" s="55">
        <f>IF($B29=$B28,$CV28,0)+$CU29</f>
        <v/>
      </c>
      <c r="CW29" s="55">
        <f>$CW28+$CU29</f>
        <v/>
      </c>
      <c r="CX29" s="55">
        <f>SUMIFS(tblPlant[Feed_oz],tblPlant[Date],$A29)</f>
        <v/>
      </c>
      <c r="CY29" s="55">
        <f>IF($B29=$B28,$CY28,0)+$CX29</f>
        <v/>
      </c>
      <c r="CZ29" s="55">
        <f>$CZ28+$CX29</f>
        <v/>
      </c>
      <c r="DA29" s="55">
        <f>SUMIFS(tblPlant[Tails_oz],tblPlant[Date],$A29)</f>
        <v/>
      </c>
      <c r="DB29" s="55">
        <f>IF($B29=$B28,$DB28,0)+$DA29</f>
        <v/>
      </c>
      <c r="DC29" s="55">
        <f>$DC28+$DA29</f>
        <v/>
      </c>
      <c r="DD29" s="55">
        <f>SUMIFS(tblPlant[Recovered_oz],tblPlant[Date],$A29)</f>
        <v/>
      </c>
      <c r="DE29" s="55">
        <f>IF($B29=$B28,$DE28,0)+$DD29</f>
        <v/>
      </c>
      <c r="DF29" s="55">
        <f>$DF28+$DD29</f>
        <v/>
      </c>
      <c r="DG29" s="55">
        <f>SUMIFS(tblPlant[Milled_t],tblPlant[Date],$A29,tblPlant[Head_Grade_gpt],"&lt;&gt;")</f>
        <v/>
      </c>
      <c r="DH29" s="55">
        <f>IF($B29=$B28,$DH28,0)+$DG29</f>
        <v/>
      </c>
      <c r="DI29" s="55">
        <f>$DI28+$DG29</f>
        <v/>
      </c>
      <c r="DJ29" s="55">
        <f>SUMIFS(tblPlant[Milled_t],tblPlant[Date],$A29,tblPlant[Tails_Grade_gpt],"&lt;&gt;")</f>
        <v/>
      </c>
      <c r="DK29" s="55">
        <f>IF($B29=$B28,$DK28,0)+$DJ29</f>
        <v/>
      </c>
      <c r="DL29" s="55">
        <f>$DL28+$DJ29</f>
        <v/>
      </c>
      <c r="DM29" s="55">
        <f>SUMIFS(tblPlant[Feed_oz],tblPlant[Date],$A29,tblPlant[Tails_Grade_gpt],"&lt;&gt;")</f>
        <v/>
      </c>
      <c r="DN29" s="55">
        <f>IF($B29=$B28,$DN28,0)+$DM29</f>
        <v/>
      </c>
      <c r="DO29" s="55">
        <f>$DO28+$DM29</f>
        <v/>
      </c>
      <c r="DP29" s="55">
        <f>SUMIFS(tblPlant[Milled_t],tblPlant[Date],$A29,tblPlant[Mill_Run_h],"&lt;&gt;")</f>
        <v/>
      </c>
      <c r="DQ29" s="55">
        <f>IF($B29=$B28,$DQ28,0)+$DP29</f>
        <v/>
      </c>
      <c r="DR29" s="55">
        <f>$DR28+$DP29</f>
        <v/>
      </c>
      <c r="DS29" s="56">
        <f>IFERROR(IF(($DG29)&gt;0,($CX29*cfg_TroyOz)/($DG29),""),"")</f>
        <v/>
      </c>
      <c r="DT29" s="56">
        <f>IFERROR(IF(($DH29)&gt;0,($CY29*cfg_TroyOz)/($DH29),""),"")</f>
        <v/>
      </c>
      <c r="DU29" s="56">
        <f>IFERROR(IF(($DI29)&gt;0,($CZ29*cfg_TroyOz)/($DI29),""),"")</f>
        <v/>
      </c>
      <c r="DV29" s="56">
        <f>IFERROR(IF(($DJ29)&gt;0,($DA29*cfg_TroyOz)/($DJ29),""),"")</f>
        <v/>
      </c>
      <c r="DW29" s="56">
        <f>IFERROR(IF(($DK29)&gt;0,($DB29*cfg_TroyOz)/($DK29),""),"")</f>
        <v/>
      </c>
      <c r="DX29" s="56">
        <f>IFERROR(IF(($DL29)&gt;0,($DC29*cfg_TroyOz)/($DL29),""),"")</f>
        <v/>
      </c>
      <c r="DY29" s="67">
        <f>IFERROR(IF(($DM29)&gt;0,($DD29)/($DM29),""),"")</f>
        <v/>
      </c>
      <c r="DZ29" s="67">
        <f>IFERROR(IF(($DN29)&gt;0,($DE29)/($DN29),""),"")</f>
        <v/>
      </c>
      <c r="EA29" s="67">
        <f>IFERROR(IF(($DO29)&gt;0,($DF29)/($DO29),""),"")</f>
        <v/>
      </c>
      <c r="EB29" s="55">
        <f>SUMIFS(tblPlant[Gravity_Gold_oz],tblPlant[Date],$A29)</f>
        <v/>
      </c>
      <c r="EC29" s="55">
        <f>IF($B29=$B28,$EC28,0)+$EB29</f>
        <v/>
      </c>
      <c r="ED29" s="55">
        <f>$ED28+$EB29</f>
        <v/>
      </c>
      <c r="EE29" s="67">
        <f>IFERROR(IF(($DD29)&gt;0,($EB29)/($DD29),""),"")</f>
        <v/>
      </c>
      <c r="EF29" s="67">
        <f>IFERROR(IF(($DE29)&gt;0,($EC29)/($DE29),""),"")</f>
        <v/>
      </c>
      <c r="EG29" s="67">
        <f>IFERROR(IF(($DF29)&gt;0,($ED29)/($DF29),""),"")</f>
        <v/>
      </c>
      <c r="EH29" s="55">
        <f>SUMIFS(tblPlant[Gold_Poured_oz],tblPlant[Date],$A29)</f>
        <v/>
      </c>
      <c r="EI29" s="55">
        <f>IF($B29=$B28,$EI28,0)+$EH29</f>
        <v/>
      </c>
      <c r="EJ29" s="55">
        <f>$EJ28+$EH29</f>
        <v/>
      </c>
      <c r="EK29" s="57">
        <f>SUMIFS(tblPlant[Mill_Run_h],tblPlant[Date],$A29)</f>
        <v/>
      </c>
      <c r="EL29" s="57">
        <f>IF($B29=$B28,$EL28,0)+$EK29</f>
        <v/>
      </c>
      <c r="EM29" s="57">
        <f>$EM28+$EK29</f>
        <v/>
      </c>
      <c r="EN29" s="57">
        <f>SUMIFS(tblPlant[Mill_Planned_Maint_h],tblPlant[Date],$A29)</f>
        <v/>
      </c>
      <c r="EO29" s="57">
        <f>IF($B29=$B28,$EO28,0)+$EN29</f>
        <v/>
      </c>
      <c r="EP29" s="57">
        <f>$EP28+$EN29</f>
        <v/>
      </c>
      <c r="EQ29" s="57">
        <f>SUMIFS(tblPlant[Mill_Unplanned_Down_h],tblPlant[Date],$A29)</f>
        <v/>
      </c>
      <c r="ER29" s="57">
        <f>IF($B29=$B28,$ER28,0)+$EQ29</f>
        <v/>
      </c>
      <c r="ES29" s="57">
        <f>$ES28+$EQ29</f>
        <v/>
      </c>
      <c r="ET29" s="57">
        <f>IF(COUNTIFS(tblPlant[Date],$A29,tblPlant[Mill_Run_h],"&lt;&gt;")+COUNTIFS(tblPlant[Date],$A29,tblPlant[Mill_Planned_Maint_h],"&lt;&gt;")+COUNTIFS(tblPlant[Date],$A29,tblPlant[Mill_Unplanned_Down_h],"&lt;&gt;")&gt;0,cfg_HoursPerDay,0)</f>
        <v/>
      </c>
      <c r="EU29" s="57">
        <f>IF($B29=$B28,$EU28,0)+$ET29</f>
        <v/>
      </c>
      <c r="EV29" s="57">
        <f>$EV28+$ET29</f>
        <v/>
      </c>
      <c r="EW29" s="57">
        <f>SUMIFS(tblPlant[Crusher_Run_h],tblPlant[Date],$A29)</f>
        <v/>
      </c>
      <c r="EX29" s="57">
        <f>IF($B29=$B28,$EX28,0)+$EW29</f>
        <v/>
      </c>
      <c r="EY29" s="57">
        <f>$EY28+$EW29</f>
        <v/>
      </c>
      <c r="EZ29" s="55">
        <f>IFERROR(IF(($EK29)&gt;0,($DP29)/($EK29),""),"")</f>
        <v/>
      </c>
      <c r="FA29" s="55">
        <f>IFERROR(IF(($EL29)&gt;0,($DQ29)/($EL29),""),"")</f>
        <v/>
      </c>
      <c r="FB29" s="55">
        <f>IFERROR(IF(($EM29)&gt;0,($DR29)/($EM29),""),"")</f>
        <v/>
      </c>
      <c r="FC29" s="67">
        <f>IFERROR(IF(($ET29)&gt;0,($ET29-$EN29-$EQ29)/($ET29),""),"")</f>
        <v/>
      </c>
      <c r="FD29" s="67">
        <f>IFERROR(IF(($EU29)&gt;0,($EU29-$EO29-$ER29)/($EU29),""),"")</f>
        <v/>
      </c>
      <c r="FE29" s="67">
        <f>IFERROR(IF(($EV29)&gt;0,($EV29-$EP29-$ES29)/($EV29),""),"")</f>
        <v/>
      </c>
      <c r="FF29" s="67">
        <f>IFERROR(IF(($ET29-$EN29-$EQ29)&gt;0,($EK29)/($ET29-$EN29-$EQ29),""),"")</f>
        <v/>
      </c>
      <c r="FG29" s="67">
        <f>IFERROR(IF(($EU29-$EO29-$ER29)&gt;0,($EL29)/($EU29-$EO29-$ER29),""),"")</f>
        <v/>
      </c>
      <c r="FH29" s="67">
        <f>IFERROR(IF(($EV29-$EP29-$ES29)&gt;0,($EM29)/($EV29-$EP29-$ES29),""),"")</f>
        <v/>
      </c>
      <c r="FI29" s="55">
        <f>SUMIFS(tblPlant[Cyanide_kg],tblPlant[Date],$A29)</f>
        <v/>
      </c>
      <c r="FJ29" s="55">
        <f>IF($B29=$B28,$FJ28,0)+$FI29</f>
        <v/>
      </c>
      <c r="FK29" s="55">
        <f>$FK28+$FI29</f>
        <v/>
      </c>
      <c r="FL29" s="55">
        <f>SUMIFS(tblPlant[Lime_kg],tblPlant[Date],$A29)</f>
        <v/>
      </c>
      <c r="FM29" s="55">
        <f>IF($B29=$B28,$FM28,0)+$FL29</f>
        <v/>
      </c>
      <c r="FN29" s="55">
        <f>$FN28+$FL29</f>
        <v/>
      </c>
      <c r="FO29" s="55">
        <f>SUMIFS(tblPlant[Grinding_Media_kg],tblPlant[Date],$A29)</f>
        <v/>
      </c>
      <c r="FP29" s="55">
        <f>IF($B29=$B28,$FP28,0)+$FO29</f>
        <v/>
      </c>
      <c r="FQ29" s="55">
        <f>$FQ28+$FO29</f>
        <v/>
      </c>
      <c r="FR29" s="55">
        <f>SUMIFS(tblPlant[Power_kWh],tblPlant[Date],$A29)</f>
        <v/>
      </c>
      <c r="FS29" s="55">
        <f>IF($B29=$B28,$FS28,0)+$FR29</f>
        <v/>
      </c>
      <c r="FT29" s="55">
        <f>$FT28+$FR29</f>
        <v/>
      </c>
      <c r="FU29" s="55">
        <f>SUMIFS(tblPlant[Raw_Water_m3],tblPlant[Date],$A29)</f>
        <v/>
      </c>
      <c r="FV29" s="55">
        <f>IF($B29=$B28,$FV28,0)+$FU29</f>
        <v/>
      </c>
      <c r="FW29" s="55">
        <f>$FW28+$FU29</f>
        <v/>
      </c>
      <c r="FX29" s="56">
        <f>IFERROR(IF(($CU29)&gt;0,($FI29)/($CU29),""),"")</f>
        <v/>
      </c>
      <c r="FY29" s="56">
        <f>IFERROR(IF(($CV29)&gt;0,($FJ29)/($CV29),""),"")</f>
        <v/>
      </c>
      <c r="FZ29" s="56">
        <f>IFERROR(IF(($CW29)&gt;0,($FK29)/($CW29),""),"")</f>
        <v/>
      </c>
      <c r="GA29" s="56">
        <f>IFERROR(IF(($CU29)&gt;0,($FL29)/($CU29),""),"")</f>
        <v/>
      </c>
      <c r="GB29" s="56">
        <f>IFERROR(IF(($CV29)&gt;0,($FM29)/($CV29),""),"")</f>
        <v/>
      </c>
      <c r="GC29" s="56">
        <f>IFERROR(IF(($CW29)&gt;0,($FN29)/($CW29),""),"")</f>
        <v/>
      </c>
      <c r="GD29" s="56">
        <f>IFERROR(IF(($CU29)&gt;0,($FO29)/($CU29),""),"")</f>
        <v/>
      </c>
      <c r="GE29" s="56">
        <f>IFERROR(IF(($CV29)&gt;0,($FP29)/($CV29),""),"")</f>
        <v/>
      </c>
      <c r="GF29" s="56">
        <f>IFERROR(IF(($CW29)&gt;0,($FQ29)/($CW29),""),"")</f>
        <v/>
      </c>
      <c r="GG29" s="79">
        <f>IFERROR(IF(($CU29)&gt;0,($FR29)/($CU29),""),"")</f>
        <v/>
      </c>
      <c r="GH29" s="79">
        <f>IFERROR(IF(($CV29)&gt;0,($FS29)/($CV29),""),"")</f>
        <v/>
      </c>
      <c r="GI29" s="79">
        <f>IFERROR(IF(($CW29)&gt;0,($FT29)/($CW29),""),"")</f>
        <v/>
      </c>
      <c r="GJ29" s="56">
        <f>IFERROR(IF(($CU29)&gt;0,($FU29)/($CU29),""),"")</f>
        <v/>
      </c>
      <c r="GK29" s="56">
        <f>IFERROR(IF(($CV29)&gt;0,($FV29)/($CV29),""),"")</f>
        <v/>
      </c>
      <c r="GL29" s="56">
        <f>IFERROR(IF(($CW29)&gt;0,($FW29)/($CW29),""),"")</f>
        <v/>
      </c>
      <c r="GM29" s="55">
        <f>IF(SUMIFS(tblPlant[GIC_oz],tblPlant[Date],$A29)&gt;0,SUMIFS(tblPlant[GIC_oz],tblPlant[Date],$A29),"")</f>
        <v/>
      </c>
      <c r="GN29" s="55">
        <f>SUMIFS(tblGold[Gold_oz],tblGold[Date],$A29,tblGold[Type],"Shipment")</f>
        <v/>
      </c>
      <c r="GO29" s="55">
        <f>IF($B29=$B28,$GO28,0)+$GN29</f>
        <v/>
      </c>
      <c r="GP29" s="55">
        <f>$GP28+$GN29</f>
        <v/>
      </c>
      <c r="GQ29" s="55">
        <f>SUMIFS(tblGold[Gold_oz],tblGold[Date],$A29,tblGold[Type],"Sale")</f>
        <v/>
      </c>
      <c r="GR29" s="55">
        <f>IF($B29=$B28,$GR28,0)+$GQ29</f>
        <v/>
      </c>
      <c r="GS29" s="55">
        <f>$GS28+$GQ29</f>
        <v/>
      </c>
      <c r="GT29" s="55">
        <f>SUMIFS(tblGold[Dore_kg],tblGold[Date],$A29,tblGold[Type],"Shipment")</f>
        <v/>
      </c>
      <c r="GU29" s="55">
        <f>IF($B29=$B28,$GU28,0)+$GT29</f>
        <v/>
      </c>
      <c r="GV29" s="55">
        <f>$GV28+$GT29</f>
        <v/>
      </c>
      <c r="GW29" s="57">
        <f>SUMIFS(tblSafety[Hours_Total],tblSafety[Date],$A29)</f>
        <v/>
      </c>
      <c r="GX29" s="57">
        <f>IF($B29=$B28,$GX28,0)+$GW29</f>
        <v/>
      </c>
      <c r="GY29" s="57">
        <f>$GY28+$GW29</f>
        <v/>
      </c>
      <c r="GZ29" s="62">
        <f>SUMIFS(tblSafety[Fatality],tblSafety[Date],$A29)</f>
        <v/>
      </c>
      <c r="HA29" s="62">
        <f>IF($B29=$B28,$HA28,0)+$GZ29</f>
        <v/>
      </c>
      <c r="HB29" s="62">
        <f>$HB28+$GZ29</f>
        <v/>
      </c>
      <c r="HC29" s="62">
        <f>SUMIFS(tblSafety[LTI],tblSafety[Date],$A29)</f>
        <v/>
      </c>
      <c r="HD29" s="62">
        <f>IF($B29=$B28,$HD28,0)+$HC29</f>
        <v/>
      </c>
      <c r="HE29" s="62">
        <f>$HE28+$HC29</f>
        <v/>
      </c>
      <c r="HF29" s="62">
        <f>SUMIFS(tblSafety[RWI],tblSafety[Date],$A29)</f>
        <v/>
      </c>
      <c r="HG29" s="62">
        <f>IF($B29=$B28,$HG28,0)+$HF29</f>
        <v/>
      </c>
      <c r="HH29" s="62">
        <f>$HH28+$HF29</f>
        <v/>
      </c>
      <c r="HI29" s="62">
        <f>SUMIFS(tblSafety[MTI],tblSafety[Date],$A29)</f>
        <v/>
      </c>
      <c r="HJ29" s="62">
        <f>IF($B29=$B28,$HJ28,0)+$HI29</f>
        <v/>
      </c>
      <c r="HK29" s="62">
        <f>$HK28+$HI29</f>
        <v/>
      </c>
      <c r="HL29" s="62">
        <f>SUMIFS(tblSafety[FAI],tblSafety[Date],$A29)</f>
        <v/>
      </c>
      <c r="HM29" s="62">
        <f>IF($B29=$B28,$HM28,0)+$HL29</f>
        <v/>
      </c>
      <c r="HN29" s="62">
        <f>$HN28+$HL29</f>
        <v/>
      </c>
      <c r="HO29" s="62">
        <f>SUMIFS(tblSafety[Recordables],tblSafety[Date],$A29)</f>
        <v/>
      </c>
      <c r="HP29" s="62">
        <f>IF($B29=$B28,$HP28,0)+$HO29</f>
        <v/>
      </c>
      <c r="HQ29" s="62">
        <f>$HQ28+$HO29</f>
        <v/>
      </c>
      <c r="HR29" s="62">
        <f>SUMIFS(tblSafety[Near_Miss],tblSafety[Date],$A29)</f>
        <v/>
      </c>
      <c r="HS29" s="62">
        <f>IF($B29=$B28,$HS28,0)+$HR29</f>
        <v/>
      </c>
      <c r="HT29" s="62">
        <f>$HT28+$HR29</f>
        <v/>
      </c>
      <c r="HU29" s="62">
        <f>SUMIFS(tblSafety[Hazard_Reports],tblSafety[Date],$A29)</f>
        <v/>
      </c>
      <c r="HV29" s="62">
        <f>IF($B29=$B28,$HV28,0)+$HU29</f>
        <v/>
      </c>
      <c r="HW29" s="62">
        <f>$HW28+$HU29</f>
        <v/>
      </c>
      <c r="HX29" s="62">
        <f>SUMIFS(tblSafety[HPI],tblSafety[Date],$A29)</f>
        <v/>
      </c>
      <c r="HY29" s="62">
        <f>IF($B29=$B28,$HY28,0)+$HX29</f>
        <v/>
      </c>
      <c r="HZ29" s="62">
        <f>$HZ28+$HX29</f>
        <v/>
      </c>
      <c r="IA29" s="62">
        <f>SUMIFS(tblSafety[Env_Incidents],tblSafety[Date],$A29)</f>
        <v/>
      </c>
      <c r="IB29" s="62">
        <f>IF($B29=$B28,$IB28,0)+$IA29</f>
        <v/>
      </c>
      <c r="IC29" s="62">
        <f>$IC28+$IA29</f>
        <v/>
      </c>
      <c r="ID29" s="62">
        <f>SUMIFS(tblSafety[Community_Incidents],tblSafety[Date],$A29)</f>
        <v/>
      </c>
      <c r="IE29" s="62">
        <f>IF($B29=$B28,$IE28,0)+$ID29</f>
        <v/>
      </c>
      <c r="IF29" s="62">
        <f>$IF28+$ID29</f>
        <v/>
      </c>
      <c r="IG29" s="62">
        <f>SUMIFS(tblSafety[Vehicle_Incidents],tblSafety[Date],$A29)</f>
        <v/>
      </c>
      <c r="IH29" s="62">
        <f>IF($B29=$B28,$IH28,0)+$IG29</f>
        <v/>
      </c>
      <c r="II29" s="62">
        <f>$II28+$IG29</f>
        <v/>
      </c>
      <c r="IJ29" s="62">
        <f>SUMIFS(tblSafety[Toolbox_Talks],tblSafety[Date],$A29)</f>
        <v/>
      </c>
      <c r="IK29" s="62">
        <f>IF($B29=$B28,$IK28,0)+$IJ29</f>
        <v/>
      </c>
      <c r="IL29" s="62">
        <f>$IL28+$IJ29</f>
        <v/>
      </c>
      <c r="IM29" s="62">
        <f>SUMIFS(tblSafety[Inspections],tblSafety[Date],$A29)</f>
        <v/>
      </c>
      <c r="IN29" s="62">
        <f>IF($B29=$B28,$IN28,0)+$IM29</f>
        <v/>
      </c>
      <c r="IO29" s="62">
        <f>$IO28+$IM29</f>
        <v/>
      </c>
      <c r="IP29" s="56">
        <f>IFERROR((SUMIFS(tblSafety[Recordables],tblSafety[Date],"&gt;="&amp;EDATE($E29,-12),tblSafety[Date],"&lt;="&amp;$A29)+SUMIFS(tblSafetyHistory[Recordables],tblSafetyHistory[Month],"&gt;="&amp;EDATE($E29,-12),tblSafetyHistory[Month],"&lt;"&amp;$E29,tblSafetyHistory[Use],1))/(SUMIFS(tblSafety[Hours_Total],tblSafety[Date],"&gt;="&amp;EDATE($E29,-12),tblSafety[Date],"&lt;="&amp;$A29)+SUMIFS(tblSafetyHistory[Hours_Total],tblSafetyHistory[Month],"&gt;="&amp;EDATE($E29,-12),tblSafetyHistory[Month],"&lt;"&amp;$E29,tblSafetyHistory[Use],1))*cfg_RateBasisHours,"")</f>
        <v/>
      </c>
      <c r="IQ29" s="56">
        <f>IFERROR((SUMIFS(tblSafety[LTI],tblSafety[Date],"&gt;="&amp;EDATE($E29,-12),tblSafety[Date],"&lt;="&amp;$A29)+SUMIFS(tblSafetyHistory[LTI],tblSafetyHistory[Month],"&gt;="&amp;EDATE($E29,-12),tblSafetyHistory[Month],"&lt;"&amp;$E29,tblSafetyHistory[Use],1))/(SUMIFS(tblSafety[Hours_Total],tblSafety[Date],"&gt;="&amp;EDATE($E29,-12),tblSafety[Date],"&lt;="&amp;$A29)+SUMIFS(tblSafetyHistory[Hours_Total],tblSafetyHistory[Month],"&gt;="&amp;EDATE($E29,-12),tblSafetyHistory[Month],"&lt;"&amp;$E29,tblSafetyHistory[Use],1))*cfg_RateBasisHours,"")</f>
        <v/>
      </c>
      <c r="IR29" s="62">
        <f>IF(MAX(N(cfg_PriorLTIDate),_xlfn.MAXIFS(tblSafety[Date],tblSafety[LTI],"&gt;0",tblSafety[Date],"&lt;="&amp;$A29))=0,"",$A29-MAX(N(cfg_PriorLTIDate),_xlfn.MAXIFS(tblSafety[Date],tblSafety[LTI],"&gt;0",tblSafety[Date],"&lt;="&amp;$A29)))</f>
        <v/>
      </c>
      <c r="IS29" s="55">
        <f>SUMIFS(tblBudget[Ore_Mined_t],tblBudget[Month],$E29)</f>
        <v/>
      </c>
      <c r="IT29" s="55">
        <f>$IS29*$C29/$D29</f>
        <v/>
      </c>
      <c r="IU29" s="55">
        <f>SUMIFS(tblBudget[Ore_Mined_t],tblBudget[Month],"&lt;"&amp;$E29)+$IT29</f>
        <v/>
      </c>
      <c r="IV29" s="55">
        <f>SUMIFS(tblBudget[Ore_oz],tblBudget[Month],$E29)</f>
        <v/>
      </c>
      <c r="IW29" s="55">
        <f>$IV29*$C29/$D29</f>
        <v/>
      </c>
      <c r="IX29" s="55">
        <f>SUMIFS(tblBudget[Ore_oz],tblBudget[Month],"&lt;"&amp;$E29)+$IW29</f>
        <v/>
      </c>
      <c r="IY29" s="55">
        <f>SUMIFS(tblBudget[Ore_Mined_t],tblBudget[Month],$E29)</f>
        <v/>
      </c>
      <c r="IZ29" s="55">
        <f>$IY29*$C29/$D29</f>
        <v/>
      </c>
      <c r="JA29" s="55">
        <f>SUMIFS(tblBudget[Ore_Mined_t],tblBudget[Month],"&lt;"&amp;$E29)+$IZ29</f>
        <v/>
      </c>
      <c r="JB29" s="56">
        <f>IFERROR(IF(($IY29)&gt;0,($IV29*cfg_TroyOz)/($IY29),""),"")</f>
        <v/>
      </c>
      <c r="JC29" s="56">
        <f>IFERROR(IF(($IZ29)&gt;0,($IW29*cfg_TroyOz)/($IZ29),""),"")</f>
        <v/>
      </c>
      <c r="JD29" s="56">
        <f>IFERROR(IF(($JA29)&gt;0,($IX29*cfg_TroyOz)/($JA29),""),"")</f>
        <v/>
      </c>
      <c r="JE29" s="55">
        <f>SUMIFS(tblBudget[Waste_t],tblBudget[Month],$E29)</f>
        <v/>
      </c>
      <c r="JF29" s="55">
        <f>$JE29*$C29/$D29</f>
        <v/>
      </c>
      <c r="JG29" s="55">
        <f>SUMIFS(tblBudget[Waste_t],tblBudget[Month],"&lt;"&amp;$E29)+$JF29</f>
        <v/>
      </c>
      <c r="JH29" s="55">
        <f>SUMIFS(tblBudget[TMM_t],tblBudget[Month],$E29)</f>
        <v/>
      </c>
      <c r="JI29" s="55">
        <f>$JH29*$C29/$D29</f>
        <v/>
      </c>
      <c r="JJ29" s="55">
        <f>SUMIFS(tblBudget[TMM_t],tblBudget[Month],"&lt;"&amp;$E29)+$JI29</f>
        <v/>
      </c>
      <c r="JK29" s="56">
        <f>IFERROR(IF(($IS29)&gt;0,($JE29)/($IS29),""),"")</f>
        <v/>
      </c>
      <c r="JL29" s="56">
        <f>IFERROR(IF(($IT29)&gt;0,($JF29)/($IT29),""),"")</f>
        <v/>
      </c>
      <c r="JM29" s="56">
        <f>IFERROR(IF(($IU29)&gt;0,($JG29)/($IU29),""),"")</f>
        <v/>
      </c>
      <c r="JN29" s="55">
        <f>SUMIFS(tblBudget[Drill_m],tblBudget[Month],$E29)</f>
        <v/>
      </c>
      <c r="JO29" s="55">
        <f>$JN29*$C29/$D29</f>
        <v/>
      </c>
      <c r="JP29" s="55">
        <f>SUMIFS(tblBudget[Drill_m],tblBudget[Month],"&lt;"&amp;$E29)+$JO29</f>
        <v/>
      </c>
      <c r="JQ29" s="55">
        <f>SUMIFS(tblBudget[Diesel_L],tblBudget[Month],$E29)</f>
        <v/>
      </c>
      <c r="JR29" s="55">
        <f>$JQ29*$C29/$D29</f>
        <v/>
      </c>
      <c r="JS29" s="55">
        <f>SUMIFS(tblBudget[Diesel_L],tblBudget[Month],"&lt;"&amp;$E29)+$JR29</f>
        <v/>
      </c>
      <c r="JT29" s="55">
        <f>SUMIFS(tblBudget[Milled_t],tblBudget[Month],$E29)</f>
        <v/>
      </c>
      <c r="JU29" s="55">
        <f>$JT29*$C29/$D29</f>
        <v/>
      </c>
      <c r="JV29" s="55">
        <f>SUMIFS(tblBudget[Milled_t],tblBudget[Month],"&lt;"&amp;$E29)+$JU29</f>
        <v/>
      </c>
      <c r="JW29" s="55">
        <f>SUMIFS(tblBudget[Feed_oz],tblBudget[Month],$E29)</f>
        <v/>
      </c>
      <c r="JX29" s="55">
        <f>$JW29*$C29/$D29</f>
        <v/>
      </c>
      <c r="JY29" s="55">
        <f>SUMIFS(tblBudget[Feed_oz],tblBudget[Month],"&lt;"&amp;$E29)+$JX29</f>
        <v/>
      </c>
      <c r="JZ29" s="55">
        <f>SUMIFS(tblBudget[Recovered_oz],tblBudget[Month],$E29)</f>
        <v/>
      </c>
      <c r="KA29" s="55">
        <f>$JZ29*$C29/$D29</f>
        <v/>
      </c>
      <c r="KB29" s="55">
        <f>SUMIFS(tblBudget[Recovered_oz],tblBudget[Month],"&lt;"&amp;$E29)+$KA29</f>
        <v/>
      </c>
      <c r="KC29" s="55">
        <f>SUMIFS(tblBudget[Milled_t],tblBudget[Month],$E29)</f>
        <v/>
      </c>
      <c r="KD29" s="55">
        <f>$KC29*$C29/$D29</f>
        <v/>
      </c>
      <c r="KE29" s="55">
        <f>SUMIFS(tblBudget[Milled_t],tblBudget[Month],"&lt;"&amp;$E29)+$KD29</f>
        <v/>
      </c>
      <c r="KF29" s="55">
        <f>SUMIFS(tblBudget[Feed_oz],tblBudget[Month],$E29)</f>
        <v/>
      </c>
      <c r="KG29" s="55">
        <f>$KF29*$C29/$D29</f>
        <v/>
      </c>
      <c r="KH29" s="55">
        <f>SUMIFS(tblBudget[Feed_oz],tblBudget[Month],"&lt;"&amp;$E29)+$KG29</f>
        <v/>
      </c>
      <c r="KI29" s="56">
        <f>IFERROR(IF(($KC29)&gt;0,($JW29*cfg_TroyOz)/($KC29),""),"")</f>
        <v/>
      </c>
      <c r="KJ29" s="56">
        <f>IFERROR(IF(($KD29)&gt;0,($JX29*cfg_TroyOz)/($KD29),""),"")</f>
        <v/>
      </c>
      <c r="KK29" s="56">
        <f>IFERROR(IF(($KE29)&gt;0,($JY29*cfg_TroyOz)/($KE29),""),"")</f>
        <v/>
      </c>
      <c r="KL29" s="67">
        <f>IFERROR(IF(($KF29)&gt;0,($JZ29)/($KF29),""),"")</f>
        <v/>
      </c>
      <c r="KM29" s="67">
        <f>IFERROR(IF(($KG29)&gt;0,($KA29)/($KG29),""),"")</f>
        <v/>
      </c>
      <c r="KN29" s="67">
        <f>IFERROR(IF(($KH29)&gt;0,($KB29)/($KH29),""),"")</f>
        <v/>
      </c>
      <c r="KO29" s="55">
        <f>SUMIFS(tblBudget[Gold_Poured_oz],tblBudget[Month],$E29)</f>
        <v/>
      </c>
      <c r="KP29" s="55">
        <f>$KO29*$C29/$D29</f>
        <v/>
      </c>
      <c r="KQ29" s="55">
        <f>SUMIFS(tblBudget[Gold_Poured_oz],tblBudget[Month],"&lt;"&amp;$E29)+$KP29</f>
        <v/>
      </c>
      <c r="KR29" s="57">
        <f>SUMIFS(tblBudget[Hours_Worked],tblBudget[Month],$E29)</f>
        <v/>
      </c>
      <c r="KS29" s="57">
        <f>$KR29*$C29/$D29</f>
        <v/>
      </c>
      <c r="KT29" s="57">
        <f>SUMIFS(tblBudget[Hours_Worked],tblBudget[Month],"&lt;"&amp;$E29)+$KS29</f>
        <v/>
      </c>
    </row>
    <row r="30">
      <c r="A30" s="54" t="n">
        <v>46051</v>
      </c>
      <c r="B30">
        <f>MONTH($A30)</f>
        <v/>
      </c>
      <c r="C30">
        <f>DAY($A30)</f>
        <v/>
      </c>
      <c r="D30">
        <f>DAY(EOMONTH($A30,0))</f>
        <v/>
      </c>
      <c r="E30" s="54">
        <f>DATE(YEAR($A30),MONTH($A30),1)</f>
        <v/>
      </c>
      <c r="F30" s="55">
        <f>SUMIFS(tblMovement[Tonnes_t],tblMovement[Date],$A30,tblMovement[Is_Ore],1,tblMovement[Source_Type],"Pit")</f>
        <v/>
      </c>
      <c r="G30" s="55">
        <f>IF($B30=$B29,$G29,0)+$F30</f>
        <v/>
      </c>
      <c r="H30" s="55">
        <f>$H29+$F30</f>
        <v/>
      </c>
      <c r="I30" s="55">
        <f>SUMIFS(tblMovement[Ore_oz],tblMovement[Date],$A30,tblMovement[Source_Type],"Pit")</f>
        <v/>
      </c>
      <c r="J30" s="55">
        <f>IF($B30=$B29,$J29,0)+$I30</f>
        <v/>
      </c>
      <c r="K30" s="55">
        <f>$K29+$I30</f>
        <v/>
      </c>
      <c r="L30" s="55">
        <f>SUMIFS(tblMovement[Tonnes_t],tblMovement[Date],$A30,tblMovement[Is_Ore],1,tblMovement[Source_Type],"Pit",tblMovement[Grade_gpt],"&lt;&gt;")</f>
        <v/>
      </c>
      <c r="M30" s="55">
        <f>IF($B30=$B29,$M29,0)+$L30</f>
        <v/>
      </c>
      <c r="N30" s="55">
        <f>$N29+$L30</f>
        <v/>
      </c>
      <c r="O30" s="56">
        <f>IFERROR(IF(($L30)&gt;0,($I30*cfg_TroyOz)/($L30),""),"")</f>
        <v/>
      </c>
      <c r="P30" s="56">
        <f>IFERROR(IF(($M30)&gt;0,($J30*cfg_TroyOz)/($M30),""),"")</f>
        <v/>
      </c>
      <c r="Q30" s="56">
        <f>IFERROR(IF(($N30)&gt;0,($K30*cfg_TroyOz)/($N30),""),"")</f>
        <v/>
      </c>
      <c r="R30" s="55">
        <f>$F30-$L30</f>
        <v/>
      </c>
      <c r="S30" s="55">
        <f>IF($B30=$B29,$S29,0)+$R30</f>
        <v/>
      </c>
      <c r="T30" s="55">
        <f>$T29+$R30</f>
        <v/>
      </c>
      <c r="U30" s="55">
        <f>SUMIFS(tblMovement[Tonnes_t],tblMovement[Date],$A30,tblMovement[Is_Ore],0,tblMovement[Source_Type],"Pit")</f>
        <v/>
      </c>
      <c r="V30" s="55">
        <f>IF($B30=$B29,$V29,0)+$U30</f>
        <v/>
      </c>
      <c r="W30" s="55">
        <f>$W29+$U30</f>
        <v/>
      </c>
      <c r="X30" s="55">
        <f>$F30+$U30</f>
        <v/>
      </c>
      <c r="Y30" s="55">
        <f>IF($B30=$B29,$Y29,0)+$X30</f>
        <v/>
      </c>
      <c r="Z30" s="55">
        <f>$Z29+$X30</f>
        <v/>
      </c>
      <c r="AA30" s="56">
        <f>IFERROR(IF(($F30)&gt;0,($U30)/($F30),""),"")</f>
        <v/>
      </c>
      <c r="AB30" s="56">
        <f>IFERROR(IF(($G30)&gt;0,($V30)/($G30),""),"")</f>
        <v/>
      </c>
      <c r="AC30" s="56">
        <f>IFERROR(IF(($H30)&gt;0,($W30)/($H30),""),"")</f>
        <v/>
      </c>
      <c r="AD30" s="55">
        <f>SUMIFS(tblMovement[Tonnes_t],tblMovement[Date],$A30,tblMovement[Source_Type],"Stockpile")</f>
        <v/>
      </c>
      <c r="AE30" s="55">
        <f>IF($B30=$B29,$AE29,0)+$AD30</f>
        <v/>
      </c>
      <c r="AF30" s="55">
        <f>$AF29+$AD30</f>
        <v/>
      </c>
      <c r="AG30" s="55">
        <f>SUMIFS(tblMovement[Tonnes_t],tblMovement[Date],$A30)</f>
        <v/>
      </c>
      <c r="AH30" s="55">
        <f>IF($B30=$B29,$AH29,0)+$AG30</f>
        <v/>
      </c>
      <c r="AI30" s="55">
        <f>$AI29+$AG30</f>
        <v/>
      </c>
      <c r="AJ30" s="55">
        <f>$AG30-$X30-$AD30</f>
        <v/>
      </c>
      <c r="AK30" s="55">
        <f>IF($B30=$B29,$AK29,0)+$AJ30</f>
        <v/>
      </c>
      <c r="AL30" s="55">
        <f>$AL29+$AJ30</f>
        <v/>
      </c>
      <c r="AM30" s="55">
        <f>SUMIFS(tblMiningDaily[Drill_m],tblMiningDaily[Date],$A30)</f>
        <v/>
      </c>
      <c r="AN30" s="55">
        <f>IF($B30=$B29,$AN29,0)+$AM30</f>
        <v/>
      </c>
      <c r="AO30" s="55">
        <f>$AO29+$AM30</f>
        <v/>
      </c>
      <c r="AP30" s="55">
        <f>SUMIFS(tblMiningDaily[GC_Drill_m],tblMiningDaily[Date],$A30)</f>
        <v/>
      </c>
      <c r="AQ30" s="55">
        <f>IF($B30=$B29,$AQ29,0)+$AP30</f>
        <v/>
      </c>
      <c r="AR30" s="55">
        <f>$AR29+$AP30</f>
        <v/>
      </c>
      <c r="AS30" s="55">
        <f>SUMIFS(tblMiningDaily[Blast_t],tblMiningDaily[Date],$A30)</f>
        <v/>
      </c>
      <c r="AT30" s="55">
        <f>IF($B30=$B29,$AT29,0)+$AS30</f>
        <v/>
      </c>
      <c r="AU30" s="55">
        <f>$AU29+$AS30</f>
        <v/>
      </c>
      <c r="AV30" s="55">
        <f>SUMIFS(tblMiningDaily[Explosives_kg],tblMiningDaily[Date],$A30)</f>
        <v/>
      </c>
      <c r="AW30" s="55">
        <f>IF($B30=$B29,$AW29,0)+$AV30</f>
        <v/>
      </c>
      <c r="AX30" s="55">
        <f>$AX29+$AV30</f>
        <v/>
      </c>
      <c r="AY30" s="56">
        <f>IFERROR(IF(($AS30)&gt;0,($AV30)/($AS30),""),"")</f>
        <v/>
      </c>
      <c r="AZ30" s="56">
        <f>IFERROR(IF(($AT30)&gt;0,($AW30)/($AT30),""),"")</f>
        <v/>
      </c>
      <c r="BA30" s="56">
        <f>IFERROR(IF(($AU30)&gt;0,($AX30)/($AU30),""),"")</f>
        <v/>
      </c>
      <c r="BB30" s="55">
        <f>SUMIFS(tblMiningDaily[Diesel_L],tblMiningDaily[Date],$A30)</f>
        <v/>
      </c>
      <c r="BC30" s="55">
        <f>IF($B30=$B29,$BC29,0)+$BB30</f>
        <v/>
      </c>
      <c r="BD30" s="55">
        <f>$BD29+$BB30</f>
        <v/>
      </c>
      <c r="BE30" s="55">
        <f>SUMIFS(tblMiningDaily[Dewatering_m3],tblMiningDaily[Date],$A30)</f>
        <v/>
      </c>
      <c r="BF30" s="55">
        <f>IF($B30=$B29,$BF29,0)+$BE30</f>
        <v/>
      </c>
      <c r="BG30" s="55">
        <f>$BG29+$BE30</f>
        <v/>
      </c>
      <c r="BH30" s="57">
        <f>SUMIFS(tblFleet[Calendar_h],tblFleet[Date],$A30,tblFleet[Equipment_Class],"Excavator")</f>
        <v/>
      </c>
      <c r="BI30" s="57">
        <f>IF($B30=$B29,$BI29,0)+$BH30</f>
        <v/>
      </c>
      <c r="BJ30" s="57">
        <f>$BJ29+$BH30</f>
        <v/>
      </c>
      <c r="BK30" s="57">
        <f>SUMIFS(tblFleet[Available_h],tblFleet[Date],$A30,tblFleet[Equipment_Class],"Excavator")</f>
        <v/>
      </c>
      <c r="BL30" s="57">
        <f>IF($B30=$B29,$BL29,0)+$BK30</f>
        <v/>
      </c>
      <c r="BM30" s="57">
        <f>$BM29+$BK30</f>
        <v/>
      </c>
      <c r="BN30" s="57">
        <f>SUMIFS(tblFleet[Operating_h],tblFleet[Date],$A30,tblFleet[Equipment_Class],"Excavator")</f>
        <v/>
      </c>
      <c r="BO30" s="57">
        <f>IF($B30=$B29,$BO29,0)+$BN30</f>
        <v/>
      </c>
      <c r="BP30" s="57">
        <f>$BP29+$BN30</f>
        <v/>
      </c>
      <c r="BQ30" s="67">
        <f>IFERROR(IF(($BH30)&gt;0,($BK30)/($BH30),""),"")</f>
        <v/>
      </c>
      <c r="BR30" s="67">
        <f>IFERROR(IF(($BI30)&gt;0,($BL30)/($BI30),""),"")</f>
        <v/>
      </c>
      <c r="BS30" s="67">
        <f>IFERROR(IF(($BJ30)&gt;0,($BM30)/($BJ30),""),"")</f>
        <v/>
      </c>
      <c r="BT30" s="67">
        <f>IFERROR(IF(($BK30)&gt;0,($BN30)/($BK30),""),"")</f>
        <v/>
      </c>
      <c r="BU30" s="67">
        <f>IFERROR(IF(($BL30)&gt;0,($BO30)/($BL30),""),"")</f>
        <v/>
      </c>
      <c r="BV30" s="67">
        <f>IFERROR(IF(($BM30)&gt;0,($BP30)/($BM30),""),"")</f>
        <v/>
      </c>
      <c r="BW30" s="57">
        <f>SUMIFS(tblFleet[Calendar_h],tblFleet[Date],$A30,tblFleet[Equipment_Class],"Haul Truck")</f>
        <v/>
      </c>
      <c r="BX30" s="57">
        <f>IF($B30=$B29,$BX29,0)+$BW30</f>
        <v/>
      </c>
      <c r="BY30" s="57">
        <f>$BY29+$BW30</f>
        <v/>
      </c>
      <c r="BZ30" s="57">
        <f>SUMIFS(tblFleet[Available_h],tblFleet[Date],$A30,tblFleet[Equipment_Class],"Haul Truck")</f>
        <v/>
      </c>
      <c r="CA30" s="57">
        <f>IF($B30=$B29,$CA29,0)+$BZ30</f>
        <v/>
      </c>
      <c r="CB30" s="57">
        <f>$CB29+$BZ30</f>
        <v/>
      </c>
      <c r="CC30" s="57">
        <f>SUMIFS(tblFleet[Operating_h],tblFleet[Date],$A30,tblFleet[Equipment_Class],"Haul Truck")</f>
        <v/>
      </c>
      <c r="CD30" s="57">
        <f>IF($B30=$B29,$CD29,0)+$CC30</f>
        <v/>
      </c>
      <c r="CE30" s="57">
        <f>$CE29+$CC30</f>
        <v/>
      </c>
      <c r="CF30" s="67">
        <f>IFERROR(IF(($BW30)&gt;0,($BZ30)/($BW30),""),"")</f>
        <v/>
      </c>
      <c r="CG30" s="67">
        <f>IFERROR(IF(($BX30)&gt;0,($CA30)/($BX30),""),"")</f>
        <v/>
      </c>
      <c r="CH30" s="67">
        <f>IFERROR(IF(($BY30)&gt;0,($CB30)/($BY30),""),"")</f>
        <v/>
      </c>
      <c r="CI30" s="67">
        <f>IFERROR(IF(($BZ30)&gt;0,($CC30)/($BZ30),""),"")</f>
        <v/>
      </c>
      <c r="CJ30" s="67">
        <f>IFERROR(IF(($CA30)&gt;0,($CD30)/($CA30),""),"")</f>
        <v/>
      </c>
      <c r="CK30" s="67">
        <f>IFERROR(IF(($CB30)&gt;0,($CE30)/($CB30),""),"")</f>
        <v/>
      </c>
      <c r="CL30" s="55">
        <f>IFERROR(IF(($BN30)&gt;0,($X30+$AD30)/($BN30),""),"")</f>
        <v/>
      </c>
      <c r="CM30" s="55">
        <f>IFERROR(IF(($BO30)&gt;0,($Y30+$AE30)/($BO30),""),"")</f>
        <v/>
      </c>
      <c r="CN30" s="55">
        <f>IFERROR(IF(($BP30)&gt;0,($Z30+$AF30)/($BP30),""),"")</f>
        <v/>
      </c>
      <c r="CO30" s="55">
        <f>IFERROR(IF(($CC30)&gt;0,($X30+$AD30)/($CC30),""),"")</f>
        <v/>
      </c>
      <c r="CP30" s="55">
        <f>IFERROR(IF(($CD30)&gt;0,($Y30+$AE30)/($CD30),""),"")</f>
        <v/>
      </c>
      <c r="CQ30" s="55">
        <f>IFERROR(IF(($CE30)&gt;0,($Z30+$AF30)/($CE30),""),"")</f>
        <v/>
      </c>
      <c r="CR30" s="55">
        <f>SUMIFS(tblPlant[Crushed_t],tblPlant[Date],$A30)</f>
        <v/>
      </c>
      <c r="CS30" s="55">
        <f>IF($B30=$B29,$CS29,0)+$CR30</f>
        <v/>
      </c>
      <c r="CT30" s="55">
        <f>$CT29+$CR30</f>
        <v/>
      </c>
      <c r="CU30" s="55">
        <f>SUMIFS(tblPlant[Milled_t],tblPlant[Date],$A30)</f>
        <v/>
      </c>
      <c r="CV30" s="55">
        <f>IF($B30=$B29,$CV29,0)+$CU30</f>
        <v/>
      </c>
      <c r="CW30" s="55">
        <f>$CW29+$CU30</f>
        <v/>
      </c>
      <c r="CX30" s="55">
        <f>SUMIFS(tblPlant[Feed_oz],tblPlant[Date],$A30)</f>
        <v/>
      </c>
      <c r="CY30" s="55">
        <f>IF($B30=$B29,$CY29,0)+$CX30</f>
        <v/>
      </c>
      <c r="CZ30" s="55">
        <f>$CZ29+$CX30</f>
        <v/>
      </c>
      <c r="DA30" s="55">
        <f>SUMIFS(tblPlant[Tails_oz],tblPlant[Date],$A30)</f>
        <v/>
      </c>
      <c r="DB30" s="55">
        <f>IF($B30=$B29,$DB29,0)+$DA30</f>
        <v/>
      </c>
      <c r="DC30" s="55">
        <f>$DC29+$DA30</f>
        <v/>
      </c>
      <c r="DD30" s="55">
        <f>SUMIFS(tblPlant[Recovered_oz],tblPlant[Date],$A30)</f>
        <v/>
      </c>
      <c r="DE30" s="55">
        <f>IF($B30=$B29,$DE29,0)+$DD30</f>
        <v/>
      </c>
      <c r="DF30" s="55">
        <f>$DF29+$DD30</f>
        <v/>
      </c>
      <c r="DG30" s="55">
        <f>SUMIFS(tblPlant[Milled_t],tblPlant[Date],$A30,tblPlant[Head_Grade_gpt],"&lt;&gt;")</f>
        <v/>
      </c>
      <c r="DH30" s="55">
        <f>IF($B30=$B29,$DH29,0)+$DG30</f>
        <v/>
      </c>
      <c r="DI30" s="55">
        <f>$DI29+$DG30</f>
        <v/>
      </c>
      <c r="DJ30" s="55">
        <f>SUMIFS(tblPlant[Milled_t],tblPlant[Date],$A30,tblPlant[Tails_Grade_gpt],"&lt;&gt;")</f>
        <v/>
      </c>
      <c r="DK30" s="55">
        <f>IF($B30=$B29,$DK29,0)+$DJ30</f>
        <v/>
      </c>
      <c r="DL30" s="55">
        <f>$DL29+$DJ30</f>
        <v/>
      </c>
      <c r="DM30" s="55">
        <f>SUMIFS(tblPlant[Feed_oz],tblPlant[Date],$A30,tblPlant[Tails_Grade_gpt],"&lt;&gt;")</f>
        <v/>
      </c>
      <c r="DN30" s="55">
        <f>IF($B30=$B29,$DN29,0)+$DM30</f>
        <v/>
      </c>
      <c r="DO30" s="55">
        <f>$DO29+$DM30</f>
        <v/>
      </c>
      <c r="DP30" s="55">
        <f>SUMIFS(tblPlant[Milled_t],tblPlant[Date],$A30,tblPlant[Mill_Run_h],"&lt;&gt;")</f>
        <v/>
      </c>
      <c r="DQ30" s="55">
        <f>IF($B30=$B29,$DQ29,0)+$DP30</f>
        <v/>
      </c>
      <c r="DR30" s="55">
        <f>$DR29+$DP30</f>
        <v/>
      </c>
      <c r="DS30" s="56">
        <f>IFERROR(IF(($DG30)&gt;0,($CX30*cfg_TroyOz)/($DG30),""),"")</f>
        <v/>
      </c>
      <c r="DT30" s="56">
        <f>IFERROR(IF(($DH30)&gt;0,($CY30*cfg_TroyOz)/($DH30),""),"")</f>
        <v/>
      </c>
      <c r="DU30" s="56">
        <f>IFERROR(IF(($DI30)&gt;0,($CZ30*cfg_TroyOz)/($DI30),""),"")</f>
        <v/>
      </c>
      <c r="DV30" s="56">
        <f>IFERROR(IF(($DJ30)&gt;0,($DA30*cfg_TroyOz)/($DJ30),""),"")</f>
        <v/>
      </c>
      <c r="DW30" s="56">
        <f>IFERROR(IF(($DK30)&gt;0,($DB30*cfg_TroyOz)/($DK30),""),"")</f>
        <v/>
      </c>
      <c r="DX30" s="56">
        <f>IFERROR(IF(($DL30)&gt;0,($DC30*cfg_TroyOz)/($DL30),""),"")</f>
        <v/>
      </c>
      <c r="DY30" s="67">
        <f>IFERROR(IF(($DM30)&gt;0,($DD30)/($DM30),""),"")</f>
        <v/>
      </c>
      <c r="DZ30" s="67">
        <f>IFERROR(IF(($DN30)&gt;0,($DE30)/($DN30),""),"")</f>
        <v/>
      </c>
      <c r="EA30" s="67">
        <f>IFERROR(IF(($DO30)&gt;0,($DF30)/($DO30),""),"")</f>
        <v/>
      </c>
      <c r="EB30" s="55">
        <f>SUMIFS(tblPlant[Gravity_Gold_oz],tblPlant[Date],$A30)</f>
        <v/>
      </c>
      <c r="EC30" s="55">
        <f>IF($B30=$B29,$EC29,0)+$EB30</f>
        <v/>
      </c>
      <c r="ED30" s="55">
        <f>$ED29+$EB30</f>
        <v/>
      </c>
      <c r="EE30" s="67">
        <f>IFERROR(IF(($DD30)&gt;0,($EB30)/($DD30),""),"")</f>
        <v/>
      </c>
      <c r="EF30" s="67">
        <f>IFERROR(IF(($DE30)&gt;0,($EC30)/($DE30),""),"")</f>
        <v/>
      </c>
      <c r="EG30" s="67">
        <f>IFERROR(IF(($DF30)&gt;0,($ED30)/($DF30),""),"")</f>
        <v/>
      </c>
      <c r="EH30" s="55">
        <f>SUMIFS(tblPlant[Gold_Poured_oz],tblPlant[Date],$A30)</f>
        <v/>
      </c>
      <c r="EI30" s="55">
        <f>IF($B30=$B29,$EI29,0)+$EH30</f>
        <v/>
      </c>
      <c r="EJ30" s="55">
        <f>$EJ29+$EH30</f>
        <v/>
      </c>
      <c r="EK30" s="57">
        <f>SUMIFS(tblPlant[Mill_Run_h],tblPlant[Date],$A30)</f>
        <v/>
      </c>
      <c r="EL30" s="57">
        <f>IF($B30=$B29,$EL29,0)+$EK30</f>
        <v/>
      </c>
      <c r="EM30" s="57">
        <f>$EM29+$EK30</f>
        <v/>
      </c>
      <c r="EN30" s="57">
        <f>SUMIFS(tblPlant[Mill_Planned_Maint_h],tblPlant[Date],$A30)</f>
        <v/>
      </c>
      <c r="EO30" s="57">
        <f>IF($B30=$B29,$EO29,0)+$EN30</f>
        <v/>
      </c>
      <c r="EP30" s="57">
        <f>$EP29+$EN30</f>
        <v/>
      </c>
      <c r="EQ30" s="57">
        <f>SUMIFS(tblPlant[Mill_Unplanned_Down_h],tblPlant[Date],$A30)</f>
        <v/>
      </c>
      <c r="ER30" s="57">
        <f>IF($B30=$B29,$ER29,0)+$EQ30</f>
        <v/>
      </c>
      <c r="ES30" s="57">
        <f>$ES29+$EQ30</f>
        <v/>
      </c>
      <c r="ET30" s="57">
        <f>IF(COUNTIFS(tblPlant[Date],$A30,tblPlant[Mill_Run_h],"&lt;&gt;")+COUNTIFS(tblPlant[Date],$A30,tblPlant[Mill_Planned_Maint_h],"&lt;&gt;")+COUNTIFS(tblPlant[Date],$A30,tblPlant[Mill_Unplanned_Down_h],"&lt;&gt;")&gt;0,cfg_HoursPerDay,0)</f>
        <v/>
      </c>
      <c r="EU30" s="57">
        <f>IF($B30=$B29,$EU29,0)+$ET30</f>
        <v/>
      </c>
      <c r="EV30" s="57">
        <f>$EV29+$ET30</f>
        <v/>
      </c>
      <c r="EW30" s="57">
        <f>SUMIFS(tblPlant[Crusher_Run_h],tblPlant[Date],$A30)</f>
        <v/>
      </c>
      <c r="EX30" s="57">
        <f>IF($B30=$B29,$EX29,0)+$EW30</f>
        <v/>
      </c>
      <c r="EY30" s="57">
        <f>$EY29+$EW30</f>
        <v/>
      </c>
      <c r="EZ30" s="55">
        <f>IFERROR(IF(($EK30)&gt;0,($DP30)/($EK30),""),"")</f>
        <v/>
      </c>
      <c r="FA30" s="55">
        <f>IFERROR(IF(($EL30)&gt;0,($DQ30)/($EL30),""),"")</f>
        <v/>
      </c>
      <c r="FB30" s="55">
        <f>IFERROR(IF(($EM30)&gt;0,($DR30)/($EM30),""),"")</f>
        <v/>
      </c>
      <c r="FC30" s="67">
        <f>IFERROR(IF(($ET30)&gt;0,($ET30-$EN30-$EQ30)/($ET30),""),"")</f>
        <v/>
      </c>
      <c r="FD30" s="67">
        <f>IFERROR(IF(($EU30)&gt;0,($EU30-$EO30-$ER30)/($EU30),""),"")</f>
        <v/>
      </c>
      <c r="FE30" s="67">
        <f>IFERROR(IF(($EV30)&gt;0,($EV30-$EP30-$ES30)/($EV30),""),"")</f>
        <v/>
      </c>
      <c r="FF30" s="67">
        <f>IFERROR(IF(($ET30-$EN30-$EQ30)&gt;0,($EK30)/($ET30-$EN30-$EQ30),""),"")</f>
        <v/>
      </c>
      <c r="FG30" s="67">
        <f>IFERROR(IF(($EU30-$EO30-$ER30)&gt;0,($EL30)/($EU30-$EO30-$ER30),""),"")</f>
        <v/>
      </c>
      <c r="FH30" s="67">
        <f>IFERROR(IF(($EV30-$EP30-$ES30)&gt;0,($EM30)/($EV30-$EP30-$ES30),""),"")</f>
        <v/>
      </c>
      <c r="FI30" s="55">
        <f>SUMIFS(tblPlant[Cyanide_kg],tblPlant[Date],$A30)</f>
        <v/>
      </c>
      <c r="FJ30" s="55">
        <f>IF($B30=$B29,$FJ29,0)+$FI30</f>
        <v/>
      </c>
      <c r="FK30" s="55">
        <f>$FK29+$FI30</f>
        <v/>
      </c>
      <c r="FL30" s="55">
        <f>SUMIFS(tblPlant[Lime_kg],tblPlant[Date],$A30)</f>
        <v/>
      </c>
      <c r="FM30" s="55">
        <f>IF($B30=$B29,$FM29,0)+$FL30</f>
        <v/>
      </c>
      <c r="FN30" s="55">
        <f>$FN29+$FL30</f>
        <v/>
      </c>
      <c r="FO30" s="55">
        <f>SUMIFS(tblPlant[Grinding_Media_kg],tblPlant[Date],$A30)</f>
        <v/>
      </c>
      <c r="FP30" s="55">
        <f>IF($B30=$B29,$FP29,0)+$FO30</f>
        <v/>
      </c>
      <c r="FQ30" s="55">
        <f>$FQ29+$FO30</f>
        <v/>
      </c>
      <c r="FR30" s="55">
        <f>SUMIFS(tblPlant[Power_kWh],tblPlant[Date],$A30)</f>
        <v/>
      </c>
      <c r="FS30" s="55">
        <f>IF($B30=$B29,$FS29,0)+$FR30</f>
        <v/>
      </c>
      <c r="FT30" s="55">
        <f>$FT29+$FR30</f>
        <v/>
      </c>
      <c r="FU30" s="55">
        <f>SUMIFS(tblPlant[Raw_Water_m3],tblPlant[Date],$A30)</f>
        <v/>
      </c>
      <c r="FV30" s="55">
        <f>IF($B30=$B29,$FV29,0)+$FU30</f>
        <v/>
      </c>
      <c r="FW30" s="55">
        <f>$FW29+$FU30</f>
        <v/>
      </c>
      <c r="FX30" s="56">
        <f>IFERROR(IF(($CU30)&gt;0,($FI30)/($CU30),""),"")</f>
        <v/>
      </c>
      <c r="FY30" s="56">
        <f>IFERROR(IF(($CV30)&gt;0,($FJ30)/($CV30),""),"")</f>
        <v/>
      </c>
      <c r="FZ30" s="56">
        <f>IFERROR(IF(($CW30)&gt;0,($FK30)/($CW30),""),"")</f>
        <v/>
      </c>
      <c r="GA30" s="56">
        <f>IFERROR(IF(($CU30)&gt;0,($FL30)/($CU30),""),"")</f>
        <v/>
      </c>
      <c r="GB30" s="56">
        <f>IFERROR(IF(($CV30)&gt;0,($FM30)/($CV30),""),"")</f>
        <v/>
      </c>
      <c r="GC30" s="56">
        <f>IFERROR(IF(($CW30)&gt;0,($FN30)/($CW30),""),"")</f>
        <v/>
      </c>
      <c r="GD30" s="56">
        <f>IFERROR(IF(($CU30)&gt;0,($FO30)/($CU30),""),"")</f>
        <v/>
      </c>
      <c r="GE30" s="56">
        <f>IFERROR(IF(($CV30)&gt;0,($FP30)/($CV30),""),"")</f>
        <v/>
      </c>
      <c r="GF30" s="56">
        <f>IFERROR(IF(($CW30)&gt;0,($FQ30)/($CW30),""),"")</f>
        <v/>
      </c>
      <c r="GG30" s="79">
        <f>IFERROR(IF(($CU30)&gt;0,($FR30)/($CU30),""),"")</f>
        <v/>
      </c>
      <c r="GH30" s="79">
        <f>IFERROR(IF(($CV30)&gt;0,($FS30)/($CV30),""),"")</f>
        <v/>
      </c>
      <c r="GI30" s="79">
        <f>IFERROR(IF(($CW30)&gt;0,($FT30)/($CW30),""),"")</f>
        <v/>
      </c>
      <c r="GJ30" s="56">
        <f>IFERROR(IF(($CU30)&gt;0,($FU30)/($CU30),""),"")</f>
        <v/>
      </c>
      <c r="GK30" s="56">
        <f>IFERROR(IF(($CV30)&gt;0,($FV30)/($CV30),""),"")</f>
        <v/>
      </c>
      <c r="GL30" s="56">
        <f>IFERROR(IF(($CW30)&gt;0,($FW30)/($CW30),""),"")</f>
        <v/>
      </c>
      <c r="GM30" s="55">
        <f>IF(SUMIFS(tblPlant[GIC_oz],tblPlant[Date],$A30)&gt;0,SUMIFS(tblPlant[GIC_oz],tblPlant[Date],$A30),"")</f>
        <v/>
      </c>
      <c r="GN30" s="55">
        <f>SUMIFS(tblGold[Gold_oz],tblGold[Date],$A30,tblGold[Type],"Shipment")</f>
        <v/>
      </c>
      <c r="GO30" s="55">
        <f>IF($B30=$B29,$GO29,0)+$GN30</f>
        <v/>
      </c>
      <c r="GP30" s="55">
        <f>$GP29+$GN30</f>
        <v/>
      </c>
      <c r="GQ30" s="55">
        <f>SUMIFS(tblGold[Gold_oz],tblGold[Date],$A30,tblGold[Type],"Sale")</f>
        <v/>
      </c>
      <c r="GR30" s="55">
        <f>IF($B30=$B29,$GR29,0)+$GQ30</f>
        <v/>
      </c>
      <c r="GS30" s="55">
        <f>$GS29+$GQ30</f>
        <v/>
      </c>
      <c r="GT30" s="55">
        <f>SUMIFS(tblGold[Dore_kg],tblGold[Date],$A30,tblGold[Type],"Shipment")</f>
        <v/>
      </c>
      <c r="GU30" s="55">
        <f>IF($B30=$B29,$GU29,0)+$GT30</f>
        <v/>
      </c>
      <c r="GV30" s="55">
        <f>$GV29+$GT30</f>
        <v/>
      </c>
      <c r="GW30" s="57">
        <f>SUMIFS(tblSafety[Hours_Total],tblSafety[Date],$A30)</f>
        <v/>
      </c>
      <c r="GX30" s="57">
        <f>IF($B30=$B29,$GX29,0)+$GW30</f>
        <v/>
      </c>
      <c r="GY30" s="57">
        <f>$GY29+$GW30</f>
        <v/>
      </c>
      <c r="GZ30" s="62">
        <f>SUMIFS(tblSafety[Fatality],tblSafety[Date],$A30)</f>
        <v/>
      </c>
      <c r="HA30" s="62">
        <f>IF($B30=$B29,$HA29,0)+$GZ30</f>
        <v/>
      </c>
      <c r="HB30" s="62">
        <f>$HB29+$GZ30</f>
        <v/>
      </c>
      <c r="HC30" s="62">
        <f>SUMIFS(tblSafety[LTI],tblSafety[Date],$A30)</f>
        <v/>
      </c>
      <c r="HD30" s="62">
        <f>IF($B30=$B29,$HD29,0)+$HC30</f>
        <v/>
      </c>
      <c r="HE30" s="62">
        <f>$HE29+$HC30</f>
        <v/>
      </c>
      <c r="HF30" s="62">
        <f>SUMIFS(tblSafety[RWI],tblSafety[Date],$A30)</f>
        <v/>
      </c>
      <c r="HG30" s="62">
        <f>IF($B30=$B29,$HG29,0)+$HF30</f>
        <v/>
      </c>
      <c r="HH30" s="62">
        <f>$HH29+$HF30</f>
        <v/>
      </c>
      <c r="HI30" s="62">
        <f>SUMIFS(tblSafety[MTI],tblSafety[Date],$A30)</f>
        <v/>
      </c>
      <c r="HJ30" s="62">
        <f>IF($B30=$B29,$HJ29,0)+$HI30</f>
        <v/>
      </c>
      <c r="HK30" s="62">
        <f>$HK29+$HI30</f>
        <v/>
      </c>
      <c r="HL30" s="62">
        <f>SUMIFS(tblSafety[FAI],tblSafety[Date],$A30)</f>
        <v/>
      </c>
      <c r="HM30" s="62">
        <f>IF($B30=$B29,$HM29,0)+$HL30</f>
        <v/>
      </c>
      <c r="HN30" s="62">
        <f>$HN29+$HL30</f>
        <v/>
      </c>
      <c r="HO30" s="62">
        <f>SUMIFS(tblSafety[Recordables],tblSafety[Date],$A30)</f>
        <v/>
      </c>
      <c r="HP30" s="62">
        <f>IF($B30=$B29,$HP29,0)+$HO30</f>
        <v/>
      </c>
      <c r="HQ30" s="62">
        <f>$HQ29+$HO30</f>
        <v/>
      </c>
      <c r="HR30" s="62">
        <f>SUMIFS(tblSafety[Near_Miss],tblSafety[Date],$A30)</f>
        <v/>
      </c>
      <c r="HS30" s="62">
        <f>IF($B30=$B29,$HS29,0)+$HR30</f>
        <v/>
      </c>
      <c r="HT30" s="62">
        <f>$HT29+$HR30</f>
        <v/>
      </c>
      <c r="HU30" s="62">
        <f>SUMIFS(tblSafety[Hazard_Reports],tblSafety[Date],$A30)</f>
        <v/>
      </c>
      <c r="HV30" s="62">
        <f>IF($B30=$B29,$HV29,0)+$HU30</f>
        <v/>
      </c>
      <c r="HW30" s="62">
        <f>$HW29+$HU30</f>
        <v/>
      </c>
      <c r="HX30" s="62">
        <f>SUMIFS(tblSafety[HPI],tblSafety[Date],$A30)</f>
        <v/>
      </c>
      <c r="HY30" s="62">
        <f>IF($B30=$B29,$HY29,0)+$HX30</f>
        <v/>
      </c>
      <c r="HZ30" s="62">
        <f>$HZ29+$HX30</f>
        <v/>
      </c>
      <c r="IA30" s="62">
        <f>SUMIFS(tblSafety[Env_Incidents],tblSafety[Date],$A30)</f>
        <v/>
      </c>
      <c r="IB30" s="62">
        <f>IF($B30=$B29,$IB29,0)+$IA30</f>
        <v/>
      </c>
      <c r="IC30" s="62">
        <f>$IC29+$IA30</f>
        <v/>
      </c>
      <c r="ID30" s="62">
        <f>SUMIFS(tblSafety[Community_Incidents],tblSafety[Date],$A30)</f>
        <v/>
      </c>
      <c r="IE30" s="62">
        <f>IF($B30=$B29,$IE29,0)+$ID30</f>
        <v/>
      </c>
      <c r="IF30" s="62">
        <f>$IF29+$ID30</f>
        <v/>
      </c>
      <c r="IG30" s="62">
        <f>SUMIFS(tblSafety[Vehicle_Incidents],tblSafety[Date],$A30)</f>
        <v/>
      </c>
      <c r="IH30" s="62">
        <f>IF($B30=$B29,$IH29,0)+$IG30</f>
        <v/>
      </c>
      <c r="II30" s="62">
        <f>$II29+$IG30</f>
        <v/>
      </c>
      <c r="IJ30" s="62">
        <f>SUMIFS(tblSafety[Toolbox_Talks],tblSafety[Date],$A30)</f>
        <v/>
      </c>
      <c r="IK30" s="62">
        <f>IF($B30=$B29,$IK29,0)+$IJ30</f>
        <v/>
      </c>
      <c r="IL30" s="62">
        <f>$IL29+$IJ30</f>
        <v/>
      </c>
      <c r="IM30" s="62">
        <f>SUMIFS(tblSafety[Inspections],tblSafety[Date],$A30)</f>
        <v/>
      </c>
      <c r="IN30" s="62">
        <f>IF($B30=$B29,$IN29,0)+$IM30</f>
        <v/>
      </c>
      <c r="IO30" s="62">
        <f>$IO29+$IM30</f>
        <v/>
      </c>
      <c r="IP30" s="56">
        <f>IFERROR((SUMIFS(tblSafety[Recordables],tblSafety[Date],"&gt;="&amp;EDATE($E30,-12),tblSafety[Date],"&lt;="&amp;$A30)+SUMIFS(tblSafetyHistory[Recordables],tblSafetyHistory[Month],"&gt;="&amp;EDATE($E30,-12),tblSafetyHistory[Month],"&lt;"&amp;$E30,tblSafetyHistory[Use],1))/(SUMIFS(tblSafety[Hours_Total],tblSafety[Date],"&gt;="&amp;EDATE($E30,-12),tblSafety[Date],"&lt;="&amp;$A30)+SUMIFS(tblSafetyHistory[Hours_Total],tblSafetyHistory[Month],"&gt;="&amp;EDATE($E30,-12),tblSafetyHistory[Month],"&lt;"&amp;$E30,tblSafetyHistory[Use],1))*cfg_RateBasisHours,"")</f>
        <v/>
      </c>
      <c r="IQ30" s="56">
        <f>IFERROR((SUMIFS(tblSafety[LTI],tblSafety[Date],"&gt;="&amp;EDATE($E30,-12),tblSafety[Date],"&lt;="&amp;$A30)+SUMIFS(tblSafetyHistory[LTI],tblSafetyHistory[Month],"&gt;="&amp;EDATE($E30,-12),tblSafetyHistory[Month],"&lt;"&amp;$E30,tblSafetyHistory[Use],1))/(SUMIFS(tblSafety[Hours_Total],tblSafety[Date],"&gt;="&amp;EDATE($E30,-12),tblSafety[Date],"&lt;="&amp;$A30)+SUMIFS(tblSafetyHistory[Hours_Total],tblSafetyHistory[Month],"&gt;="&amp;EDATE($E30,-12),tblSafetyHistory[Month],"&lt;"&amp;$E30,tblSafetyHistory[Use],1))*cfg_RateBasisHours,"")</f>
        <v/>
      </c>
      <c r="IR30" s="62">
        <f>IF(MAX(N(cfg_PriorLTIDate),_xlfn.MAXIFS(tblSafety[Date],tblSafety[LTI],"&gt;0",tblSafety[Date],"&lt;="&amp;$A30))=0,"",$A30-MAX(N(cfg_PriorLTIDate),_xlfn.MAXIFS(tblSafety[Date],tblSafety[LTI],"&gt;0",tblSafety[Date],"&lt;="&amp;$A30)))</f>
        <v/>
      </c>
      <c r="IS30" s="55">
        <f>SUMIFS(tblBudget[Ore_Mined_t],tblBudget[Month],$E30)</f>
        <v/>
      </c>
      <c r="IT30" s="55">
        <f>$IS30*$C30/$D30</f>
        <v/>
      </c>
      <c r="IU30" s="55">
        <f>SUMIFS(tblBudget[Ore_Mined_t],tblBudget[Month],"&lt;"&amp;$E30)+$IT30</f>
        <v/>
      </c>
      <c r="IV30" s="55">
        <f>SUMIFS(tblBudget[Ore_oz],tblBudget[Month],$E30)</f>
        <v/>
      </c>
      <c r="IW30" s="55">
        <f>$IV30*$C30/$D30</f>
        <v/>
      </c>
      <c r="IX30" s="55">
        <f>SUMIFS(tblBudget[Ore_oz],tblBudget[Month],"&lt;"&amp;$E30)+$IW30</f>
        <v/>
      </c>
      <c r="IY30" s="55">
        <f>SUMIFS(tblBudget[Ore_Mined_t],tblBudget[Month],$E30)</f>
        <v/>
      </c>
      <c r="IZ30" s="55">
        <f>$IY30*$C30/$D30</f>
        <v/>
      </c>
      <c r="JA30" s="55">
        <f>SUMIFS(tblBudget[Ore_Mined_t],tblBudget[Month],"&lt;"&amp;$E30)+$IZ30</f>
        <v/>
      </c>
      <c r="JB30" s="56">
        <f>IFERROR(IF(($IY30)&gt;0,($IV30*cfg_TroyOz)/($IY30),""),"")</f>
        <v/>
      </c>
      <c r="JC30" s="56">
        <f>IFERROR(IF(($IZ30)&gt;0,($IW30*cfg_TroyOz)/($IZ30),""),"")</f>
        <v/>
      </c>
      <c r="JD30" s="56">
        <f>IFERROR(IF(($JA30)&gt;0,($IX30*cfg_TroyOz)/($JA30),""),"")</f>
        <v/>
      </c>
      <c r="JE30" s="55">
        <f>SUMIFS(tblBudget[Waste_t],tblBudget[Month],$E30)</f>
        <v/>
      </c>
      <c r="JF30" s="55">
        <f>$JE30*$C30/$D30</f>
        <v/>
      </c>
      <c r="JG30" s="55">
        <f>SUMIFS(tblBudget[Waste_t],tblBudget[Month],"&lt;"&amp;$E30)+$JF30</f>
        <v/>
      </c>
      <c r="JH30" s="55">
        <f>SUMIFS(tblBudget[TMM_t],tblBudget[Month],$E30)</f>
        <v/>
      </c>
      <c r="JI30" s="55">
        <f>$JH30*$C30/$D30</f>
        <v/>
      </c>
      <c r="JJ30" s="55">
        <f>SUMIFS(tblBudget[TMM_t],tblBudget[Month],"&lt;"&amp;$E30)+$JI30</f>
        <v/>
      </c>
      <c r="JK30" s="56">
        <f>IFERROR(IF(($IS30)&gt;0,($JE30)/($IS30),""),"")</f>
        <v/>
      </c>
      <c r="JL30" s="56">
        <f>IFERROR(IF(($IT30)&gt;0,($JF30)/($IT30),""),"")</f>
        <v/>
      </c>
      <c r="JM30" s="56">
        <f>IFERROR(IF(($IU30)&gt;0,($JG30)/($IU30),""),"")</f>
        <v/>
      </c>
      <c r="JN30" s="55">
        <f>SUMIFS(tblBudget[Drill_m],tblBudget[Month],$E30)</f>
        <v/>
      </c>
      <c r="JO30" s="55">
        <f>$JN30*$C30/$D30</f>
        <v/>
      </c>
      <c r="JP30" s="55">
        <f>SUMIFS(tblBudget[Drill_m],tblBudget[Month],"&lt;"&amp;$E30)+$JO30</f>
        <v/>
      </c>
      <c r="JQ30" s="55">
        <f>SUMIFS(tblBudget[Diesel_L],tblBudget[Month],$E30)</f>
        <v/>
      </c>
      <c r="JR30" s="55">
        <f>$JQ30*$C30/$D30</f>
        <v/>
      </c>
      <c r="JS30" s="55">
        <f>SUMIFS(tblBudget[Diesel_L],tblBudget[Month],"&lt;"&amp;$E30)+$JR30</f>
        <v/>
      </c>
      <c r="JT30" s="55">
        <f>SUMIFS(tblBudget[Milled_t],tblBudget[Month],$E30)</f>
        <v/>
      </c>
      <c r="JU30" s="55">
        <f>$JT30*$C30/$D30</f>
        <v/>
      </c>
      <c r="JV30" s="55">
        <f>SUMIFS(tblBudget[Milled_t],tblBudget[Month],"&lt;"&amp;$E30)+$JU30</f>
        <v/>
      </c>
      <c r="JW30" s="55">
        <f>SUMIFS(tblBudget[Feed_oz],tblBudget[Month],$E30)</f>
        <v/>
      </c>
      <c r="JX30" s="55">
        <f>$JW30*$C30/$D30</f>
        <v/>
      </c>
      <c r="JY30" s="55">
        <f>SUMIFS(tblBudget[Feed_oz],tblBudget[Month],"&lt;"&amp;$E30)+$JX30</f>
        <v/>
      </c>
      <c r="JZ30" s="55">
        <f>SUMIFS(tblBudget[Recovered_oz],tblBudget[Month],$E30)</f>
        <v/>
      </c>
      <c r="KA30" s="55">
        <f>$JZ30*$C30/$D30</f>
        <v/>
      </c>
      <c r="KB30" s="55">
        <f>SUMIFS(tblBudget[Recovered_oz],tblBudget[Month],"&lt;"&amp;$E30)+$KA30</f>
        <v/>
      </c>
      <c r="KC30" s="55">
        <f>SUMIFS(tblBudget[Milled_t],tblBudget[Month],$E30)</f>
        <v/>
      </c>
      <c r="KD30" s="55">
        <f>$KC30*$C30/$D30</f>
        <v/>
      </c>
      <c r="KE30" s="55">
        <f>SUMIFS(tblBudget[Milled_t],tblBudget[Month],"&lt;"&amp;$E30)+$KD30</f>
        <v/>
      </c>
      <c r="KF30" s="55">
        <f>SUMIFS(tblBudget[Feed_oz],tblBudget[Month],$E30)</f>
        <v/>
      </c>
      <c r="KG30" s="55">
        <f>$KF30*$C30/$D30</f>
        <v/>
      </c>
      <c r="KH30" s="55">
        <f>SUMIFS(tblBudget[Feed_oz],tblBudget[Month],"&lt;"&amp;$E30)+$KG30</f>
        <v/>
      </c>
      <c r="KI30" s="56">
        <f>IFERROR(IF(($KC30)&gt;0,($JW30*cfg_TroyOz)/($KC30),""),"")</f>
        <v/>
      </c>
      <c r="KJ30" s="56">
        <f>IFERROR(IF(($KD30)&gt;0,($JX30*cfg_TroyOz)/($KD30),""),"")</f>
        <v/>
      </c>
      <c r="KK30" s="56">
        <f>IFERROR(IF(($KE30)&gt;0,($JY30*cfg_TroyOz)/($KE30),""),"")</f>
        <v/>
      </c>
      <c r="KL30" s="67">
        <f>IFERROR(IF(($KF30)&gt;0,($JZ30)/($KF30),""),"")</f>
        <v/>
      </c>
      <c r="KM30" s="67">
        <f>IFERROR(IF(($KG30)&gt;0,($KA30)/($KG30),""),"")</f>
        <v/>
      </c>
      <c r="KN30" s="67">
        <f>IFERROR(IF(($KH30)&gt;0,($KB30)/($KH30),""),"")</f>
        <v/>
      </c>
      <c r="KO30" s="55">
        <f>SUMIFS(tblBudget[Gold_Poured_oz],tblBudget[Month],$E30)</f>
        <v/>
      </c>
      <c r="KP30" s="55">
        <f>$KO30*$C30/$D30</f>
        <v/>
      </c>
      <c r="KQ30" s="55">
        <f>SUMIFS(tblBudget[Gold_Poured_oz],tblBudget[Month],"&lt;"&amp;$E30)+$KP30</f>
        <v/>
      </c>
      <c r="KR30" s="57">
        <f>SUMIFS(tblBudget[Hours_Worked],tblBudget[Month],$E30)</f>
        <v/>
      </c>
      <c r="KS30" s="57">
        <f>$KR30*$C30/$D30</f>
        <v/>
      </c>
      <c r="KT30" s="57">
        <f>SUMIFS(tblBudget[Hours_Worked],tblBudget[Month],"&lt;"&amp;$E30)+$KS30</f>
        <v/>
      </c>
    </row>
    <row r="31">
      <c r="A31" s="54" t="n">
        <v>46052</v>
      </c>
      <c r="B31">
        <f>MONTH($A31)</f>
        <v/>
      </c>
      <c r="C31">
        <f>DAY($A31)</f>
        <v/>
      </c>
      <c r="D31">
        <f>DAY(EOMONTH($A31,0))</f>
        <v/>
      </c>
      <c r="E31" s="54">
        <f>DATE(YEAR($A31),MONTH($A31),1)</f>
        <v/>
      </c>
      <c r="F31" s="55">
        <f>SUMIFS(tblMovement[Tonnes_t],tblMovement[Date],$A31,tblMovement[Is_Ore],1,tblMovement[Source_Type],"Pit")</f>
        <v/>
      </c>
      <c r="G31" s="55">
        <f>IF($B31=$B30,$G30,0)+$F31</f>
        <v/>
      </c>
      <c r="H31" s="55">
        <f>$H30+$F31</f>
        <v/>
      </c>
      <c r="I31" s="55">
        <f>SUMIFS(tblMovement[Ore_oz],tblMovement[Date],$A31,tblMovement[Source_Type],"Pit")</f>
        <v/>
      </c>
      <c r="J31" s="55">
        <f>IF($B31=$B30,$J30,0)+$I31</f>
        <v/>
      </c>
      <c r="K31" s="55">
        <f>$K30+$I31</f>
        <v/>
      </c>
      <c r="L31" s="55">
        <f>SUMIFS(tblMovement[Tonnes_t],tblMovement[Date],$A31,tblMovement[Is_Ore],1,tblMovement[Source_Type],"Pit",tblMovement[Grade_gpt],"&lt;&gt;")</f>
        <v/>
      </c>
      <c r="M31" s="55">
        <f>IF($B31=$B30,$M30,0)+$L31</f>
        <v/>
      </c>
      <c r="N31" s="55">
        <f>$N30+$L31</f>
        <v/>
      </c>
      <c r="O31" s="56">
        <f>IFERROR(IF(($L31)&gt;0,($I31*cfg_TroyOz)/($L31),""),"")</f>
        <v/>
      </c>
      <c r="P31" s="56">
        <f>IFERROR(IF(($M31)&gt;0,($J31*cfg_TroyOz)/($M31),""),"")</f>
        <v/>
      </c>
      <c r="Q31" s="56">
        <f>IFERROR(IF(($N31)&gt;0,($K31*cfg_TroyOz)/($N31),""),"")</f>
        <v/>
      </c>
      <c r="R31" s="55">
        <f>$F31-$L31</f>
        <v/>
      </c>
      <c r="S31" s="55">
        <f>IF($B31=$B30,$S30,0)+$R31</f>
        <v/>
      </c>
      <c r="T31" s="55">
        <f>$T30+$R31</f>
        <v/>
      </c>
      <c r="U31" s="55">
        <f>SUMIFS(tblMovement[Tonnes_t],tblMovement[Date],$A31,tblMovement[Is_Ore],0,tblMovement[Source_Type],"Pit")</f>
        <v/>
      </c>
      <c r="V31" s="55">
        <f>IF($B31=$B30,$V30,0)+$U31</f>
        <v/>
      </c>
      <c r="W31" s="55">
        <f>$W30+$U31</f>
        <v/>
      </c>
      <c r="X31" s="55">
        <f>$F31+$U31</f>
        <v/>
      </c>
      <c r="Y31" s="55">
        <f>IF($B31=$B30,$Y30,0)+$X31</f>
        <v/>
      </c>
      <c r="Z31" s="55">
        <f>$Z30+$X31</f>
        <v/>
      </c>
      <c r="AA31" s="56">
        <f>IFERROR(IF(($F31)&gt;0,($U31)/($F31),""),"")</f>
        <v/>
      </c>
      <c r="AB31" s="56">
        <f>IFERROR(IF(($G31)&gt;0,($V31)/($G31),""),"")</f>
        <v/>
      </c>
      <c r="AC31" s="56">
        <f>IFERROR(IF(($H31)&gt;0,($W31)/($H31),""),"")</f>
        <v/>
      </c>
      <c r="AD31" s="55">
        <f>SUMIFS(tblMovement[Tonnes_t],tblMovement[Date],$A31,tblMovement[Source_Type],"Stockpile")</f>
        <v/>
      </c>
      <c r="AE31" s="55">
        <f>IF($B31=$B30,$AE30,0)+$AD31</f>
        <v/>
      </c>
      <c r="AF31" s="55">
        <f>$AF30+$AD31</f>
        <v/>
      </c>
      <c r="AG31" s="55">
        <f>SUMIFS(tblMovement[Tonnes_t],tblMovement[Date],$A31)</f>
        <v/>
      </c>
      <c r="AH31" s="55">
        <f>IF($B31=$B30,$AH30,0)+$AG31</f>
        <v/>
      </c>
      <c r="AI31" s="55">
        <f>$AI30+$AG31</f>
        <v/>
      </c>
      <c r="AJ31" s="55">
        <f>$AG31-$X31-$AD31</f>
        <v/>
      </c>
      <c r="AK31" s="55">
        <f>IF($B31=$B30,$AK30,0)+$AJ31</f>
        <v/>
      </c>
      <c r="AL31" s="55">
        <f>$AL30+$AJ31</f>
        <v/>
      </c>
      <c r="AM31" s="55">
        <f>SUMIFS(tblMiningDaily[Drill_m],tblMiningDaily[Date],$A31)</f>
        <v/>
      </c>
      <c r="AN31" s="55">
        <f>IF($B31=$B30,$AN30,0)+$AM31</f>
        <v/>
      </c>
      <c r="AO31" s="55">
        <f>$AO30+$AM31</f>
        <v/>
      </c>
      <c r="AP31" s="55">
        <f>SUMIFS(tblMiningDaily[GC_Drill_m],tblMiningDaily[Date],$A31)</f>
        <v/>
      </c>
      <c r="AQ31" s="55">
        <f>IF($B31=$B30,$AQ30,0)+$AP31</f>
        <v/>
      </c>
      <c r="AR31" s="55">
        <f>$AR30+$AP31</f>
        <v/>
      </c>
      <c r="AS31" s="55">
        <f>SUMIFS(tblMiningDaily[Blast_t],tblMiningDaily[Date],$A31)</f>
        <v/>
      </c>
      <c r="AT31" s="55">
        <f>IF($B31=$B30,$AT30,0)+$AS31</f>
        <v/>
      </c>
      <c r="AU31" s="55">
        <f>$AU30+$AS31</f>
        <v/>
      </c>
      <c r="AV31" s="55">
        <f>SUMIFS(tblMiningDaily[Explosives_kg],tblMiningDaily[Date],$A31)</f>
        <v/>
      </c>
      <c r="AW31" s="55">
        <f>IF($B31=$B30,$AW30,0)+$AV31</f>
        <v/>
      </c>
      <c r="AX31" s="55">
        <f>$AX30+$AV31</f>
        <v/>
      </c>
      <c r="AY31" s="56">
        <f>IFERROR(IF(($AS31)&gt;0,($AV31)/($AS31),""),"")</f>
        <v/>
      </c>
      <c r="AZ31" s="56">
        <f>IFERROR(IF(($AT31)&gt;0,($AW31)/($AT31),""),"")</f>
        <v/>
      </c>
      <c r="BA31" s="56">
        <f>IFERROR(IF(($AU31)&gt;0,($AX31)/($AU31),""),"")</f>
        <v/>
      </c>
      <c r="BB31" s="55">
        <f>SUMIFS(tblMiningDaily[Diesel_L],tblMiningDaily[Date],$A31)</f>
        <v/>
      </c>
      <c r="BC31" s="55">
        <f>IF($B31=$B30,$BC30,0)+$BB31</f>
        <v/>
      </c>
      <c r="BD31" s="55">
        <f>$BD30+$BB31</f>
        <v/>
      </c>
      <c r="BE31" s="55">
        <f>SUMIFS(tblMiningDaily[Dewatering_m3],tblMiningDaily[Date],$A31)</f>
        <v/>
      </c>
      <c r="BF31" s="55">
        <f>IF($B31=$B30,$BF30,0)+$BE31</f>
        <v/>
      </c>
      <c r="BG31" s="55">
        <f>$BG30+$BE31</f>
        <v/>
      </c>
      <c r="BH31" s="57">
        <f>SUMIFS(tblFleet[Calendar_h],tblFleet[Date],$A31,tblFleet[Equipment_Class],"Excavator")</f>
        <v/>
      </c>
      <c r="BI31" s="57">
        <f>IF($B31=$B30,$BI30,0)+$BH31</f>
        <v/>
      </c>
      <c r="BJ31" s="57">
        <f>$BJ30+$BH31</f>
        <v/>
      </c>
      <c r="BK31" s="57">
        <f>SUMIFS(tblFleet[Available_h],tblFleet[Date],$A31,tblFleet[Equipment_Class],"Excavator")</f>
        <v/>
      </c>
      <c r="BL31" s="57">
        <f>IF($B31=$B30,$BL30,0)+$BK31</f>
        <v/>
      </c>
      <c r="BM31" s="57">
        <f>$BM30+$BK31</f>
        <v/>
      </c>
      <c r="BN31" s="57">
        <f>SUMIFS(tblFleet[Operating_h],tblFleet[Date],$A31,tblFleet[Equipment_Class],"Excavator")</f>
        <v/>
      </c>
      <c r="BO31" s="57">
        <f>IF($B31=$B30,$BO30,0)+$BN31</f>
        <v/>
      </c>
      <c r="BP31" s="57">
        <f>$BP30+$BN31</f>
        <v/>
      </c>
      <c r="BQ31" s="67">
        <f>IFERROR(IF(($BH31)&gt;0,($BK31)/($BH31),""),"")</f>
        <v/>
      </c>
      <c r="BR31" s="67">
        <f>IFERROR(IF(($BI31)&gt;0,($BL31)/($BI31),""),"")</f>
        <v/>
      </c>
      <c r="BS31" s="67">
        <f>IFERROR(IF(($BJ31)&gt;0,($BM31)/($BJ31),""),"")</f>
        <v/>
      </c>
      <c r="BT31" s="67">
        <f>IFERROR(IF(($BK31)&gt;0,($BN31)/($BK31),""),"")</f>
        <v/>
      </c>
      <c r="BU31" s="67">
        <f>IFERROR(IF(($BL31)&gt;0,($BO31)/($BL31),""),"")</f>
        <v/>
      </c>
      <c r="BV31" s="67">
        <f>IFERROR(IF(($BM31)&gt;0,($BP31)/($BM31),""),"")</f>
        <v/>
      </c>
      <c r="BW31" s="57">
        <f>SUMIFS(tblFleet[Calendar_h],tblFleet[Date],$A31,tblFleet[Equipment_Class],"Haul Truck")</f>
        <v/>
      </c>
      <c r="BX31" s="57">
        <f>IF($B31=$B30,$BX30,0)+$BW31</f>
        <v/>
      </c>
      <c r="BY31" s="57">
        <f>$BY30+$BW31</f>
        <v/>
      </c>
      <c r="BZ31" s="57">
        <f>SUMIFS(tblFleet[Available_h],tblFleet[Date],$A31,tblFleet[Equipment_Class],"Haul Truck")</f>
        <v/>
      </c>
      <c r="CA31" s="57">
        <f>IF($B31=$B30,$CA30,0)+$BZ31</f>
        <v/>
      </c>
      <c r="CB31" s="57">
        <f>$CB30+$BZ31</f>
        <v/>
      </c>
      <c r="CC31" s="57">
        <f>SUMIFS(tblFleet[Operating_h],tblFleet[Date],$A31,tblFleet[Equipment_Class],"Haul Truck")</f>
        <v/>
      </c>
      <c r="CD31" s="57">
        <f>IF($B31=$B30,$CD30,0)+$CC31</f>
        <v/>
      </c>
      <c r="CE31" s="57">
        <f>$CE30+$CC31</f>
        <v/>
      </c>
      <c r="CF31" s="67">
        <f>IFERROR(IF(($BW31)&gt;0,($BZ31)/($BW31),""),"")</f>
        <v/>
      </c>
      <c r="CG31" s="67">
        <f>IFERROR(IF(($BX31)&gt;0,($CA31)/($BX31),""),"")</f>
        <v/>
      </c>
      <c r="CH31" s="67">
        <f>IFERROR(IF(($BY31)&gt;0,($CB31)/($BY31),""),"")</f>
        <v/>
      </c>
      <c r="CI31" s="67">
        <f>IFERROR(IF(($BZ31)&gt;0,($CC31)/($BZ31),""),"")</f>
        <v/>
      </c>
      <c r="CJ31" s="67">
        <f>IFERROR(IF(($CA31)&gt;0,($CD31)/($CA31),""),"")</f>
        <v/>
      </c>
      <c r="CK31" s="67">
        <f>IFERROR(IF(($CB31)&gt;0,($CE31)/($CB31),""),"")</f>
        <v/>
      </c>
      <c r="CL31" s="55">
        <f>IFERROR(IF(($BN31)&gt;0,($X31+$AD31)/($BN31),""),"")</f>
        <v/>
      </c>
      <c r="CM31" s="55">
        <f>IFERROR(IF(($BO31)&gt;0,($Y31+$AE31)/($BO31),""),"")</f>
        <v/>
      </c>
      <c r="CN31" s="55">
        <f>IFERROR(IF(($BP31)&gt;0,($Z31+$AF31)/($BP31),""),"")</f>
        <v/>
      </c>
      <c r="CO31" s="55">
        <f>IFERROR(IF(($CC31)&gt;0,($X31+$AD31)/($CC31),""),"")</f>
        <v/>
      </c>
      <c r="CP31" s="55">
        <f>IFERROR(IF(($CD31)&gt;0,($Y31+$AE31)/($CD31),""),"")</f>
        <v/>
      </c>
      <c r="CQ31" s="55">
        <f>IFERROR(IF(($CE31)&gt;0,($Z31+$AF31)/($CE31),""),"")</f>
        <v/>
      </c>
      <c r="CR31" s="55">
        <f>SUMIFS(tblPlant[Crushed_t],tblPlant[Date],$A31)</f>
        <v/>
      </c>
      <c r="CS31" s="55">
        <f>IF($B31=$B30,$CS30,0)+$CR31</f>
        <v/>
      </c>
      <c r="CT31" s="55">
        <f>$CT30+$CR31</f>
        <v/>
      </c>
      <c r="CU31" s="55">
        <f>SUMIFS(tblPlant[Milled_t],tblPlant[Date],$A31)</f>
        <v/>
      </c>
      <c r="CV31" s="55">
        <f>IF($B31=$B30,$CV30,0)+$CU31</f>
        <v/>
      </c>
      <c r="CW31" s="55">
        <f>$CW30+$CU31</f>
        <v/>
      </c>
      <c r="CX31" s="55">
        <f>SUMIFS(tblPlant[Feed_oz],tblPlant[Date],$A31)</f>
        <v/>
      </c>
      <c r="CY31" s="55">
        <f>IF($B31=$B30,$CY30,0)+$CX31</f>
        <v/>
      </c>
      <c r="CZ31" s="55">
        <f>$CZ30+$CX31</f>
        <v/>
      </c>
      <c r="DA31" s="55">
        <f>SUMIFS(tblPlant[Tails_oz],tblPlant[Date],$A31)</f>
        <v/>
      </c>
      <c r="DB31" s="55">
        <f>IF($B31=$B30,$DB30,0)+$DA31</f>
        <v/>
      </c>
      <c r="DC31" s="55">
        <f>$DC30+$DA31</f>
        <v/>
      </c>
      <c r="DD31" s="55">
        <f>SUMIFS(tblPlant[Recovered_oz],tblPlant[Date],$A31)</f>
        <v/>
      </c>
      <c r="DE31" s="55">
        <f>IF($B31=$B30,$DE30,0)+$DD31</f>
        <v/>
      </c>
      <c r="DF31" s="55">
        <f>$DF30+$DD31</f>
        <v/>
      </c>
      <c r="DG31" s="55">
        <f>SUMIFS(tblPlant[Milled_t],tblPlant[Date],$A31,tblPlant[Head_Grade_gpt],"&lt;&gt;")</f>
        <v/>
      </c>
      <c r="DH31" s="55">
        <f>IF($B31=$B30,$DH30,0)+$DG31</f>
        <v/>
      </c>
      <c r="DI31" s="55">
        <f>$DI30+$DG31</f>
        <v/>
      </c>
      <c r="DJ31" s="55">
        <f>SUMIFS(tblPlant[Milled_t],tblPlant[Date],$A31,tblPlant[Tails_Grade_gpt],"&lt;&gt;")</f>
        <v/>
      </c>
      <c r="DK31" s="55">
        <f>IF($B31=$B30,$DK30,0)+$DJ31</f>
        <v/>
      </c>
      <c r="DL31" s="55">
        <f>$DL30+$DJ31</f>
        <v/>
      </c>
      <c r="DM31" s="55">
        <f>SUMIFS(tblPlant[Feed_oz],tblPlant[Date],$A31,tblPlant[Tails_Grade_gpt],"&lt;&gt;")</f>
        <v/>
      </c>
      <c r="DN31" s="55">
        <f>IF($B31=$B30,$DN30,0)+$DM31</f>
        <v/>
      </c>
      <c r="DO31" s="55">
        <f>$DO30+$DM31</f>
        <v/>
      </c>
      <c r="DP31" s="55">
        <f>SUMIFS(tblPlant[Milled_t],tblPlant[Date],$A31,tblPlant[Mill_Run_h],"&lt;&gt;")</f>
        <v/>
      </c>
      <c r="DQ31" s="55">
        <f>IF($B31=$B30,$DQ30,0)+$DP31</f>
        <v/>
      </c>
      <c r="DR31" s="55">
        <f>$DR30+$DP31</f>
        <v/>
      </c>
      <c r="DS31" s="56">
        <f>IFERROR(IF(($DG31)&gt;0,($CX31*cfg_TroyOz)/($DG31),""),"")</f>
        <v/>
      </c>
      <c r="DT31" s="56">
        <f>IFERROR(IF(($DH31)&gt;0,($CY31*cfg_TroyOz)/($DH31),""),"")</f>
        <v/>
      </c>
      <c r="DU31" s="56">
        <f>IFERROR(IF(($DI31)&gt;0,($CZ31*cfg_TroyOz)/($DI31),""),"")</f>
        <v/>
      </c>
      <c r="DV31" s="56">
        <f>IFERROR(IF(($DJ31)&gt;0,($DA31*cfg_TroyOz)/($DJ31),""),"")</f>
        <v/>
      </c>
      <c r="DW31" s="56">
        <f>IFERROR(IF(($DK31)&gt;0,($DB31*cfg_TroyOz)/($DK31),""),"")</f>
        <v/>
      </c>
      <c r="DX31" s="56">
        <f>IFERROR(IF(($DL31)&gt;0,($DC31*cfg_TroyOz)/($DL31),""),"")</f>
        <v/>
      </c>
      <c r="DY31" s="67">
        <f>IFERROR(IF(($DM31)&gt;0,($DD31)/($DM31),""),"")</f>
        <v/>
      </c>
      <c r="DZ31" s="67">
        <f>IFERROR(IF(($DN31)&gt;0,($DE31)/($DN31),""),"")</f>
        <v/>
      </c>
      <c r="EA31" s="67">
        <f>IFERROR(IF(($DO31)&gt;0,($DF31)/($DO31),""),"")</f>
        <v/>
      </c>
      <c r="EB31" s="55">
        <f>SUMIFS(tblPlant[Gravity_Gold_oz],tblPlant[Date],$A31)</f>
        <v/>
      </c>
      <c r="EC31" s="55">
        <f>IF($B31=$B30,$EC30,0)+$EB31</f>
        <v/>
      </c>
      <c r="ED31" s="55">
        <f>$ED30+$EB31</f>
        <v/>
      </c>
      <c r="EE31" s="67">
        <f>IFERROR(IF(($DD31)&gt;0,($EB31)/($DD31),""),"")</f>
        <v/>
      </c>
      <c r="EF31" s="67">
        <f>IFERROR(IF(($DE31)&gt;0,($EC31)/($DE31),""),"")</f>
        <v/>
      </c>
      <c r="EG31" s="67">
        <f>IFERROR(IF(($DF31)&gt;0,($ED31)/($DF31),""),"")</f>
        <v/>
      </c>
      <c r="EH31" s="55">
        <f>SUMIFS(tblPlant[Gold_Poured_oz],tblPlant[Date],$A31)</f>
        <v/>
      </c>
      <c r="EI31" s="55">
        <f>IF($B31=$B30,$EI30,0)+$EH31</f>
        <v/>
      </c>
      <c r="EJ31" s="55">
        <f>$EJ30+$EH31</f>
        <v/>
      </c>
      <c r="EK31" s="57">
        <f>SUMIFS(tblPlant[Mill_Run_h],tblPlant[Date],$A31)</f>
        <v/>
      </c>
      <c r="EL31" s="57">
        <f>IF($B31=$B30,$EL30,0)+$EK31</f>
        <v/>
      </c>
      <c r="EM31" s="57">
        <f>$EM30+$EK31</f>
        <v/>
      </c>
      <c r="EN31" s="57">
        <f>SUMIFS(tblPlant[Mill_Planned_Maint_h],tblPlant[Date],$A31)</f>
        <v/>
      </c>
      <c r="EO31" s="57">
        <f>IF($B31=$B30,$EO30,0)+$EN31</f>
        <v/>
      </c>
      <c r="EP31" s="57">
        <f>$EP30+$EN31</f>
        <v/>
      </c>
      <c r="EQ31" s="57">
        <f>SUMIFS(tblPlant[Mill_Unplanned_Down_h],tblPlant[Date],$A31)</f>
        <v/>
      </c>
      <c r="ER31" s="57">
        <f>IF($B31=$B30,$ER30,0)+$EQ31</f>
        <v/>
      </c>
      <c r="ES31" s="57">
        <f>$ES30+$EQ31</f>
        <v/>
      </c>
      <c r="ET31" s="57">
        <f>IF(COUNTIFS(tblPlant[Date],$A31,tblPlant[Mill_Run_h],"&lt;&gt;")+COUNTIFS(tblPlant[Date],$A31,tblPlant[Mill_Planned_Maint_h],"&lt;&gt;")+COUNTIFS(tblPlant[Date],$A31,tblPlant[Mill_Unplanned_Down_h],"&lt;&gt;")&gt;0,cfg_HoursPerDay,0)</f>
        <v/>
      </c>
      <c r="EU31" s="57">
        <f>IF($B31=$B30,$EU30,0)+$ET31</f>
        <v/>
      </c>
      <c r="EV31" s="57">
        <f>$EV30+$ET31</f>
        <v/>
      </c>
      <c r="EW31" s="57">
        <f>SUMIFS(tblPlant[Crusher_Run_h],tblPlant[Date],$A31)</f>
        <v/>
      </c>
      <c r="EX31" s="57">
        <f>IF($B31=$B30,$EX30,0)+$EW31</f>
        <v/>
      </c>
      <c r="EY31" s="57">
        <f>$EY30+$EW31</f>
        <v/>
      </c>
      <c r="EZ31" s="55">
        <f>IFERROR(IF(($EK31)&gt;0,($DP31)/($EK31),""),"")</f>
        <v/>
      </c>
      <c r="FA31" s="55">
        <f>IFERROR(IF(($EL31)&gt;0,($DQ31)/($EL31),""),"")</f>
        <v/>
      </c>
      <c r="FB31" s="55">
        <f>IFERROR(IF(($EM31)&gt;0,($DR31)/($EM31),""),"")</f>
        <v/>
      </c>
      <c r="FC31" s="67">
        <f>IFERROR(IF(($ET31)&gt;0,($ET31-$EN31-$EQ31)/($ET31),""),"")</f>
        <v/>
      </c>
      <c r="FD31" s="67">
        <f>IFERROR(IF(($EU31)&gt;0,($EU31-$EO31-$ER31)/($EU31),""),"")</f>
        <v/>
      </c>
      <c r="FE31" s="67">
        <f>IFERROR(IF(($EV31)&gt;0,($EV31-$EP31-$ES31)/($EV31),""),"")</f>
        <v/>
      </c>
      <c r="FF31" s="67">
        <f>IFERROR(IF(($ET31-$EN31-$EQ31)&gt;0,($EK31)/($ET31-$EN31-$EQ31),""),"")</f>
        <v/>
      </c>
      <c r="FG31" s="67">
        <f>IFERROR(IF(($EU31-$EO31-$ER31)&gt;0,($EL31)/($EU31-$EO31-$ER31),""),"")</f>
        <v/>
      </c>
      <c r="FH31" s="67">
        <f>IFERROR(IF(($EV31-$EP31-$ES31)&gt;0,($EM31)/($EV31-$EP31-$ES31),""),"")</f>
        <v/>
      </c>
      <c r="FI31" s="55">
        <f>SUMIFS(tblPlant[Cyanide_kg],tblPlant[Date],$A31)</f>
        <v/>
      </c>
      <c r="FJ31" s="55">
        <f>IF($B31=$B30,$FJ30,0)+$FI31</f>
        <v/>
      </c>
      <c r="FK31" s="55">
        <f>$FK30+$FI31</f>
        <v/>
      </c>
      <c r="FL31" s="55">
        <f>SUMIFS(tblPlant[Lime_kg],tblPlant[Date],$A31)</f>
        <v/>
      </c>
      <c r="FM31" s="55">
        <f>IF($B31=$B30,$FM30,0)+$FL31</f>
        <v/>
      </c>
      <c r="FN31" s="55">
        <f>$FN30+$FL31</f>
        <v/>
      </c>
      <c r="FO31" s="55">
        <f>SUMIFS(tblPlant[Grinding_Media_kg],tblPlant[Date],$A31)</f>
        <v/>
      </c>
      <c r="FP31" s="55">
        <f>IF($B31=$B30,$FP30,0)+$FO31</f>
        <v/>
      </c>
      <c r="FQ31" s="55">
        <f>$FQ30+$FO31</f>
        <v/>
      </c>
      <c r="FR31" s="55">
        <f>SUMIFS(tblPlant[Power_kWh],tblPlant[Date],$A31)</f>
        <v/>
      </c>
      <c r="FS31" s="55">
        <f>IF($B31=$B30,$FS30,0)+$FR31</f>
        <v/>
      </c>
      <c r="FT31" s="55">
        <f>$FT30+$FR31</f>
        <v/>
      </c>
      <c r="FU31" s="55">
        <f>SUMIFS(tblPlant[Raw_Water_m3],tblPlant[Date],$A31)</f>
        <v/>
      </c>
      <c r="FV31" s="55">
        <f>IF($B31=$B30,$FV30,0)+$FU31</f>
        <v/>
      </c>
      <c r="FW31" s="55">
        <f>$FW30+$FU31</f>
        <v/>
      </c>
      <c r="FX31" s="56">
        <f>IFERROR(IF(($CU31)&gt;0,($FI31)/($CU31),""),"")</f>
        <v/>
      </c>
      <c r="FY31" s="56">
        <f>IFERROR(IF(($CV31)&gt;0,($FJ31)/($CV31),""),"")</f>
        <v/>
      </c>
      <c r="FZ31" s="56">
        <f>IFERROR(IF(($CW31)&gt;0,($FK31)/($CW31),""),"")</f>
        <v/>
      </c>
      <c r="GA31" s="56">
        <f>IFERROR(IF(($CU31)&gt;0,($FL31)/($CU31),""),"")</f>
        <v/>
      </c>
      <c r="GB31" s="56">
        <f>IFERROR(IF(($CV31)&gt;0,($FM31)/($CV31),""),"")</f>
        <v/>
      </c>
      <c r="GC31" s="56">
        <f>IFERROR(IF(($CW31)&gt;0,($FN31)/($CW31),""),"")</f>
        <v/>
      </c>
      <c r="GD31" s="56">
        <f>IFERROR(IF(($CU31)&gt;0,($FO31)/($CU31),""),"")</f>
        <v/>
      </c>
      <c r="GE31" s="56">
        <f>IFERROR(IF(($CV31)&gt;0,($FP31)/($CV31),""),"")</f>
        <v/>
      </c>
      <c r="GF31" s="56">
        <f>IFERROR(IF(($CW31)&gt;0,($FQ31)/($CW31),""),"")</f>
        <v/>
      </c>
      <c r="GG31" s="79">
        <f>IFERROR(IF(($CU31)&gt;0,($FR31)/($CU31),""),"")</f>
        <v/>
      </c>
      <c r="GH31" s="79">
        <f>IFERROR(IF(($CV31)&gt;0,($FS31)/($CV31),""),"")</f>
        <v/>
      </c>
      <c r="GI31" s="79">
        <f>IFERROR(IF(($CW31)&gt;0,($FT31)/($CW31),""),"")</f>
        <v/>
      </c>
      <c r="GJ31" s="56">
        <f>IFERROR(IF(($CU31)&gt;0,($FU31)/($CU31),""),"")</f>
        <v/>
      </c>
      <c r="GK31" s="56">
        <f>IFERROR(IF(($CV31)&gt;0,($FV31)/($CV31),""),"")</f>
        <v/>
      </c>
      <c r="GL31" s="56">
        <f>IFERROR(IF(($CW31)&gt;0,($FW31)/($CW31),""),"")</f>
        <v/>
      </c>
      <c r="GM31" s="55">
        <f>IF(SUMIFS(tblPlant[GIC_oz],tblPlant[Date],$A31)&gt;0,SUMIFS(tblPlant[GIC_oz],tblPlant[Date],$A31),"")</f>
        <v/>
      </c>
      <c r="GN31" s="55">
        <f>SUMIFS(tblGold[Gold_oz],tblGold[Date],$A31,tblGold[Type],"Shipment")</f>
        <v/>
      </c>
      <c r="GO31" s="55">
        <f>IF($B31=$B30,$GO30,0)+$GN31</f>
        <v/>
      </c>
      <c r="GP31" s="55">
        <f>$GP30+$GN31</f>
        <v/>
      </c>
      <c r="GQ31" s="55">
        <f>SUMIFS(tblGold[Gold_oz],tblGold[Date],$A31,tblGold[Type],"Sale")</f>
        <v/>
      </c>
      <c r="GR31" s="55">
        <f>IF($B31=$B30,$GR30,0)+$GQ31</f>
        <v/>
      </c>
      <c r="GS31" s="55">
        <f>$GS30+$GQ31</f>
        <v/>
      </c>
      <c r="GT31" s="55">
        <f>SUMIFS(tblGold[Dore_kg],tblGold[Date],$A31,tblGold[Type],"Shipment")</f>
        <v/>
      </c>
      <c r="GU31" s="55">
        <f>IF($B31=$B30,$GU30,0)+$GT31</f>
        <v/>
      </c>
      <c r="GV31" s="55">
        <f>$GV30+$GT31</f>
        <v/>
      </c>
      <c r="GW31" s="57">
        <f>SUMIFS(tblSafety[Hours_Total],tblSafety[Date],$A31)</f>
        <v/>
      </c>
      <c r="GX31" s="57">
        <f>IF($B31=$B30,$GX30,0)+$GW31</f>
        <v/>
      </c>
      <c r="GY31" s="57">
        <f>$GY30+$GW31</f>
        <v/>
      </c>
      <c r="GZ31" s="62">
        <f>SUMIFS(tblSafety[Fatality],tblSafety[Date],$A31)</f>
        <v/>
      </c>
      <c r="HA31" s="62">
        <f>IF($B31=$B30,$HA30,0)+$GZ31</f>
        <v/>
      </c>
      <c r="HB31" s="62">
        <f>$HB30+$GZ31</f>
        <v/>
      </c>
      <c r="HC31" s="62">
        <f>SUMIFS(tblSafety[LTI],tblSafety[Date],$A31)</f>
        <v/>
      </c>
      <c r="HD31" s="62">
        <f>IF($B31=$B30,$HD30,0)+$HC31</f>
        <v/>
      </c>
      <c r="HE31" s="62">
        <f>$HE30+$HC31</f>
        <v/>
      </c>
      <c r="HF31" s="62">
        <f>SUMIFS(tblSafety[RWI],tblSafety[Date],$A31)</f>
        <v/>
      </c>
      <c r="HG31" s="62">
        <f>IF($B31=$B30,$HG30,0)+$HF31</f>
        <v/>
      </c>
      <c r="HH31" s="62">
        <f>$HH30+$HF31</f>
        <v/>
      </c>
      <c r="HI31" s="62">
        <f>SUMIFS(tblSafety[MTI],tblSafety[Date],$A31)</f>
        <v/>
      </c>
      <c r="HJ31" s="62">
        <f>IF($B31=$B30,$HJ30,0)+$HI31</f>
        <v/>
      </c>
      <c r="HK31" s="62">
        <f>$HK30+$HI31</f>
        <v/>
      </c>
      <c r="HL31" s="62">
        <f>SUMIFS(tblSafety[FAI],tblSafety[Date],$A31)</f>
        <v/>
      </c>
      <c r="HM31" s="62">
        <f>IF($B31=$B30,$HM30,0)+$HL31</f>
        <v/>
      </c>
      <c r="HN31" s="62">
        <f>$HN30+$HL31</f>
        <v/>
      </c>
      <c r="HO31" s="62">
        <f>SUMIFS(tblSafety[Recordables],tblSafety[Date],$A31)</f>
        <v/>
      </c>
      <c r="HP31" s="62">
        <f>IF($B31=$B30,$HP30,0)+$HO31</f>
        <v/>
      </c>
      <c r="HQ31" s="62">
        <f>$HQ30+$HO31</f>
        <v/>
      </c>
      <c r="HR31" s="62">
        <f>SUMIFS(tblSafety[Near_Miss],tblSafety[Date],$A31)</f>
        <v/>
      </c>
      <c r="HS31" s="62">
        <f>IF($B31=$B30,$HS30,0)+$HR31</f>
        <v/>
      </c>
      <c r="HT31" s="62">
        <f>$HT30+$HR31</f>
        <v/>
      </c>
      <c r="HU31" s="62">
        <f>SUMIFS(tblSafety[Hazard_Reports],tblSafety[Date],$A31)</f>
        <v/>
      </c>
      <c r="HV31" s="62">
        <f>IF($B31=$B30,$HV30,0)+$HU31</f>
        <v/>
      </c>
      <c r="HW31" s="62">
        <f>$HW30+$HU31</f>
        <v/>
      </c>
      <c r="HX31" s="62">
        <f>SUMIFS(tblSafety[HPI],tblSafety[Date],$A31)</f>
        <v/>
      </c>
      <c r="HY31" s="62">
        <f>IF($B31=$B30,$HY30,0)+$HX31</f>
        <v/>
      </c>
      <c r="HZ31" s="62">
        <f>$HZ30+$HX31</f>
        <v/>
      </c>
      <c r="IA31" s="62">
        <f>SUMIFS(tblSafety[Env_Incidents],tblSafety[Date],$A31)</f>
        <v/>
      </c>
      <c r="IB31" s="62">
        <f>IF($B31=$B30,$IB30,0)+$IA31</f>
        <v/>
      </c>
      <c r="IC31" s="62">
        <f>$IC30+$IA31</f>
        <v/>
      </c>
      <c r="ID31" s="62">
        <f>SUMIFS(tblSafety[Community_Incidents],tblSafety[Date],$A31)</f>
        <v/>
      </c>
      <c r="IE31" s="62">
        <f>IF($B31=$B30,$IE30,0)+$ID31</f>
        <v/>
      </c>
      <c r="IF31" s="62">
        <f>$IF30+$ID31</f>
        <v/>
      </c>
      <c r="IG31" s="62">
        <f>SUMIFS(tblSafety[Vehicle_Incidents],tblSafety[Date],$A31)</f>
        <v/>
      </c>
      <c r="IH31" s="62">
        <f>IF($B31=$B30,$IH30,0)+$IG31</f>
        <v/>
      </c>
      <c r="II31" s="62">
        <f>$II30+$IG31</f>
        <v/>
      </c>
      <c r="IJ31" s="62">
        <f>SUMIFS(tblSafety[Toolbox_Talks],tblSafety[Date],$A31)</f>
        <v/>
      </c>
      <c r="IK31" s="62">
        <f>IF($B31=$B30,$IK30,0)+$IJ31</f>
        <v/>
      </c>
      <c r="IL31" s="62">
        <f>$IL30+$IJ31</f>
        <v/>
      </c>
      <c r="IM31" s="62">
        <f>SUMIFS(tblSafety[Inspections],tblSafety[Date],$A31)</f>
        <v/>
      </c>
      <c r="IN31" s="62">
        <f>IF($B31=$B30,$IN30,0)+$IM31</f>
        <v/>
      </c>
      <c r="IO31" s="62">
        <f>$IO30+$IM31</f>
        <v/>
      </c>
      <c r="IP31" s="56">
        <f>IFERROR((SUMIFS(tblSafety[Recordables],tblSafety[Date],"&gt;="&amp;EDATE($E31,-12),tblSafety[Date],"&lt;="&amp;$A31)+SUMIFS(tblSafetyHistory[Recordables],tblSafetyHistory[Month],"&gt;="&amp;EDATE($E31,-12),tblSafetyHistory[Month],"&lt;"&amp;$E31,tblSafetyHistory[Use],1))/(SUMIFS(tblSafety[Hours_Total],tblSafety[Date],"&gt;="&amp;EDATE($E31,-12),tblSafety[Date],"&lt;="&amp;$A31)+SUMIFS(tblSafetyHistory[Hours_Total],tblSafetyHistory[Month],"&gt;="&amp;EDATE($E31,-12),tblSafetyHistory[Month],"&lt;"&amp;$E31,tblSafetyHistory[Use],1))*cfg_RateBasisHours,"")</f>
        <v/>
      </c>
      <c r="IQ31" s="56">
        <f>IFERROR((SUMIFS(tblSafety[LTI],tblSafety[Date],"&gt;="&amp;EDATE($E31,-12),tblSafety[Date],"&lt;="&amp;$A31)+SUMIFS(tblSafetyHistory[LTI],tblSafetyHistory[Month],"&gt;="&amp;EDATE($E31,-12),tblSafetyHistory[Month],"&lt;"&amp;$E31,tblSafetyHistory[Use],1))/(SUMIFS(tblSafety[Hours_Total],tblSafety[Date],"&gt;="&amp;EDATE($E31,-12),tblSafety[Date],"&lt;="&amp;$A31)+SUMIFS(tblSafetyHistory[Hours_Total],tblSafetyHistory[Month],"&gt;="&amp;EDATE($E31,-12),tblSafetyHistory[Month],"&lt;"&amp;$E31,tblSafetyHistory[Use],1))*cfg_RateBasisHours,"")</f>
        <v/>
      </c>
      <c r="IR31" s="62">
        <f>IF(MAX(N(cfg_PriorLTIDate),_xlfn.MAXIFS(tblSafety[Date],tblSafety[LTI],"&gt;0",tblSafety[Date],"&lt;="&amp;$A31))=0,"",$A31-MAX(N(cfg_PriorLTIDate),_xlfn.MAXIFS(tblSafety[Date],tblSafety[LTI],"&gt;0",tblSafety[Date],"&lt;="&amp;$A31)))</f>
        <v/>
      </c>
      <c r="IS31" s="55">
        <f>SUMIFS(tblBudget[Ore_Mined_t],tblBudget[Month],$E31)</f>
        <v/>
      </c>
      <c r="IT31" s="55">
        <f>$IS31*$C31/$D31</f>
        <v/>
      </c>
      <c r="IU31" s="55">
        <f>SUMIFS(tblBudget[Ore_Mined_t],tblBudget[Month],"&lt;"&amp;$E31)+$IT31</f>
        <v/>
      </c>
      <c r="IV31" s="55">
        <f>SUMIFS(tblBudget[Ore_oz],tblBudget[Month],$E31)</f>
        <v/>
      </c>
      <c r="IW31" s="55">
        <f>$IV31*$C31/$D31</f>
        <v/>
      </c>
      <c r="IX31" s="55">
        <f>SUMIFS(tblBudget[Ore_oz],tblBudget[Month],"&lt;"&amp;$E31)+$IW31</f>
        <v/>
      </c>
      <c r="IY31" s="55">
        <f>SUMIFS(tblBudget[Ore_Mined_t],tblBudget[Month],$E31)</f>
        <v/>
      </c>
      <c r="IZ31" s="55">
        <f>$IY31*$C31/$D31</f>
        <v/>
      </c>
      <c r="JA31" s="55">
        <f>SUMIFS(tblBudget[Ore_Mined_t],tblBudget[Month],"&lt;"&amp;$E31)+$IZ31</f>
        <v/>
      </c>
      <c r="JB31" s="56">
        <f>IFERROR(IF(($IY31)&gt;0,($IV31*cfg_TroyOz)/($IY31),""),"")</f>
        <v/>
      </c>
      <c r="JC31" s="56">
        <f>IFERROR(IF(($IZ31)&gt;0,($IW31*cfg_TroyOz)/($IZ31),""),"")</f>
        <v/>
      </c>
      <c r="JD31" s="56">
        <f>IFERROR(IF(($JA31)&gt;0,($IX31*cfg_TroyOz)/($JA31),""),"")</f>
        <v/>
      </c>
      <c r="JE31" s="55">
        <f>SUMIFS(tblBudget[Waste_t],tblBudget[Month],$E31)</f>
        <v/>
      </c>
      <c r="JF31" s="55">
        <f>$JE31*$C31/$D31</f>
        <v/>
      </c>
      <c r="JG31" s="55">
        <f>SUMIFS(tblBudget[Waste_t],tblBudget[Month],"&lt;"&amp;$E31)+$JF31</f>
        <v/>
      </c>
      <c r="JH31" s="55">
        <f>SUMIFS(tblBudget[TMM_t],tblBudget[Month],$E31)</f>
        <v/>
      </c>
      <c r="JI31" s="55">
        <f>$JH31*$C31/$D31</f>
        <v/>
      </c>
      <c r="JJ31" s="55">
        <f>SUMIFS(tblBudget[TMM_t],tblBudget[Month],"&lt;"&amp;$E31)+$JI31</f>
        <v/>
      </c>
      <c r="JK31" s="56">
        <f>IFERROR(IF(($IS31)&gt;0,($JE31)/($IS31),""),"")</f>
        <v/>
      </c>
      <c r="JL31" s="56">
        <f>IFERROR(IF(($IT31)&gt;0,($JF31)/($IT31),""),"")</f>
        <v/>
      </c>
      <c r="JM31" s="56">
        <f>IFERROR(IF(($IU31)&gt;0,($JG31)/($IU31),""),"")</f>
        <v/>
      </c>
      <c r="JN31" s="55">
        <f>SUMIFS(tblBudget[Drill_m],tblBudget[Month],$E31)</f>
        <v/>
      </c>
      <c r="JO31" s="55">
        <f>$JN31*$C31/$D31</f>
        <v/>
      </c>
      <c r="JP31" s="55">
        <f>SUMIFS(tblBudget[Drill_m],tblBudget[Month],"&lt;"&amp;$E31)+$JO31</f>
        <v/>
      </c>
      <c r="JQ31" s="55">
        <f>SUMIFS(tblBudget[Diesel_L],tblBudget[Month],$E31)</f>
        <v/>
      </c>
      <c r="JR31" s="55">
        <f>$JQ31*$C31/$D31</f>
        <v/>
      </c>
      <c r="JS31" s="55">
        <f>SUMIFS(tblBudget[Diesel_L],tblBudget[Month],"&lt;"&amp;$E31)+$JR31</f>
        <v/>
      </c>
      <c r="JT31" s="55">
        <f>SUMIFS(tblBudget[Milled_t],tblBudget[Month],$E31)</f>
        <v/>
      </c>
      <c r="JU31" s="55">
        <f>$JT31*$C31/$D31</f>
        <v/>
      </c>
      <c r="JV31" s="55">
        <f>SUMIFS(tblBudget[Milled_t],tblBudget[Month],"&lt;"&amp;$E31)+$JU31</f>
        <v/>
      </c>
      <c r="JW31" s="55">
        <f>SUMIFS(tblBudget[Feed_oz],tblBudget[Month],$E31)</f>
        <v/>
      </c>
      <c r="JX31" s="55">
        <f>$JW31*$C31/$D31</f>
        <v/>
      </c>
      <c r="JY31" s="55">
        <f>SUMIFS(tblBudget[Feed_oz],tblBudget[Month],"&lt;"&amp;$E31)+$JX31</f>
        <v/>
      </c>
      <c r="JZ31" s="55">
        <f>SUMIFS(tblBudget[Recovered_oz],tblBudget[Month],$E31)</f>
        <v/>
      </c>
      <c r="KA31" s="55">
        <f>$JZ31*$C31/$D31</f>
        <v/>
      </c>
      <c r="KB31" s="55">
        <f>SUMIFS(tblBudget[Recovered_oz],tblBudget[Month],"&lt;"&amp;$E31)+$KA31</f>
        <v/>
      </c>
      <c r="KC31" s="55">
        <f>SUMIFS(tblBudget[Milled_t],tblBudget[Month],$E31)</f>
        <v/>
      </c>
      <c r="KD31" s="55">
        <f>$KC31*$C31/$D31</f>
        <v/>
      </c>
      <c r="KE31" s="55">
        <f>SUMIFS(tblBudget[Milled_t],tblBudget[Month],"&lt;"&amp;$E31)+$KD31</f>
        <v/>
      </c>
      <c r="KF31" s="55">
        <f>SUMIFS(tblBudget[Feed_oz],tblBudget[Month],$E31)</f>
        <v/>
      </c>
      <c r="KG31" s="55">
        <f>$KF31*$C31/$D31</f>
        <v/>
      </c>
      <c r="KH31" s="55">
        <f>SUMIFS(tblBudget[Feed_oz],tblBudget[Month],"&lt;"&amp;$E31)+$KG31</f>
        <v/>
      </c>
      <c r="KI31" s="56">
        <f>IFERROR(IF(($KC31)&gt;0,($JW31*cfg_TroyOz)/($KC31),""),"")</f>
        <v/>
      </c>
      <c r="KJ31" s="56">
        <f>IFERROR(IF(($KD31)&gt;0,($JX31*cfg_TroyOz)/($KD31),""),"")</f>
        <v/>
      </c>
      <c r="KK31" s="56">
        <f>IFERROR(IF(($KE31)&gt;0,($JY31*cfg_TroyOz)/($KE31),""),"")</f>
        <v/>
      </c>
      <c r="KL31" s="67">
        <f>IFERROR(IF(($KF31)&gt;0,($JZ31)/($KF31),""),"")</f>
        <v/>
      </c>
      <c r="KM31" s="67">
        <f>IFERROR(IF(($KG31)&gt;0,($KA31)/($KG31),""),"")</f>
        <v/>
      </c>
      <c r="KN31" s="67">
        <f>IFERROR(IF(($KH31)&gt;0,($KB31)/($KH31),""),"")</f>
        <v/>
      </c>
      <c r="KO31" s="55">
        <f>SUMIFS(tblBudget[Gold_Poured_oz],tblBudget[Month],$E31)</f>
        <v/>
      </c>
      <c r="KP31" s="55">
        <f>$KO31*$C31/$D31</f>
        <v/>
      </c>
      <c r="KQ31" s="55">
        <f>SUMIFS(tblBudget[Gold_Poured_oz],tblBudget[Month],"&lt;"&amp;$E31)+$KP31</f>
        <v/>
      </c>
      <c r="KR31" s="57">
        <f>SUMIFS(tblBudget[Hours_Worked],tblBudget[Month],$E31)</f>
        <v/>
      </c>
      <c r="KS31" s="57">
        <f>$KR31*$C31/$D31</f>
        <v/>
      </c>
      <c r="KT31" s="57">
        <f>SUMIFS(tblBudget[Hours_Worked],tblBudget[Month],"&lt;"&amp;$E31)+$KS31</f>
        <v/>
      </c>
    </row>
    <row r="32">
      <c r="A32" s="54" t="n">
        <v>46053</v>
      </c>
      <c r="B32">
        <f>MONTH($A32)</f>
        <v/>
      </c>
      <c r="C32">
        <f>DAY($A32)</f>
        <v/>
      </c>
      <c r="D32">
        <f>DAY(EOMONTH($A32,0))</f>
        <v/>
      </c>
      <c r="E32" s="54">
        <f>DATE(YEAR($A32),MONTH($A32),1)</f>
        <v/>
      </c>
      <c r="F32" s="55">
        <f>SUMIFS(tblMovement[Tonnes_t],tblMovement[Date],$A32,tblMovement[Is_Ore],1,tblMovement[Source_Type],"Pit")</f>
        <v/>
      </c>
      <c r="G32" s="55">
        <f>IF($B32=$B31,$G31,0)+$F32</f>
        <v/>
      </c>
      <c r="H32" s="55">
        <f>$H31+$F32</f>
        <v/>
      </c>
      <c r="I32" s="55">
        <f>SUMIFS(tblMovement[Ore_oz],tblMovement[Date],$A32,tblMovement[Source_Type],"Pit")</f>
        <v/>
      </c>
      <c r="J32" s="55">
        <f>IF($B32=$B31,$J31,0)+$I32</f>
        <v/>
      </c>
      <c r="K32" s="55">
        <f>$K31+$I32</f>
        <v/>
      </c>
      <c r="L32" s="55">
        <f>SUMIFS(tblMovement[Tonnes_t],tblMovement[Date],$A32,tblMovement[Is_Ore],1,tblMovement[Source_Type],"Pit",tblMovement[Grade_gpt],"&lt;&gt;")</f>
        <v/>
      </c>
      <c r="M32" s="55">
        <f>IF($B32=$B31,$M31,0)+$L32</f>
        <v/>
      </c>
      <c r="N32" s="55">
        <f>$N31+$L32</f>
        <v/>
      </c>
      <c r="O32" s="56">
        <f>IFERROR(IF(($L32)&gt;0,($I32*cfg_TroyOz)/($L32),""),"")</f>
        <v/>
      </c>
      <c r="P32" s="56">
        <f>IFERROR(IF(($M32)&gt;0,($J32*cfg_TroyOz)/($M32),""),"")</f>
        <v/>
      </c>
      <c r="Q32" s="56">
        <f>IFERROR(IF(($N32)&gt;0,($K32*cfg_TroyOz)/($N32),""),"")</f>
        <v/>
      </c>
      <c r="R32" s="55">
        <f>$F32-$L32</f>
        <v/>
      </c>
      <c r="S32" s="55">
        <f>IF($B32=$B31,$S31,0)+$R32</f>
        <v/>
      </c>
      <c r="T32" s="55">
        <f>$T31+$R32</f>
        <v/>
      </c>
      <c r="U32" s="55">
        <f>SUMIFS(tblMovement[Tonnes_t],tblMovement[Date],$A32,tblMovement[Is_Ore],0,tblMovement[Source_Type],"Pit")</f>
        <v/>
      </c>
      <c r="V32" s="55">
        <f>IF($B32=$B31,$V31,0)+$U32</f>
        <v/>
      </c>
      <c r="W32" s="55">
        <f>$W31+$U32</f>
        <v/>
      </c>
      <c r="X32" s="55">
        <f>$F32+$U32</f>
        <v/>
      </c>
      <c r="Y32" s="55">
        <f>IF($B32=$B31,$Y31,0)+$X32</f>
        <v/>
      </c>
      <c r="Z32" s="55">
        <f>$Z31+$X32</f>
        <v/>
      </c>
      <c r="AA32" s="56">
        <f>IFERROR(IF(($F32)&gt;0,($U32)/($F32),""),"")</f>
        <v/>
      </c>
      <c r="AB32" s="56">
        <f>IFERROR(IF(($G32)&gt;0,($V32)/($G32),""),"")</f>
        <v/>
      </c>
      <c r="AC32" s="56">
        <f>IFERROR(IF(($H32)&gt;0,($W32)/($H32),""),"")</f>
        <v/>
      </c>
      <c r="AD32" s="55">
        <f>SUMIFS(tblMovement[Tonnes_t],tblMovement[Date],$A32,tblMovement[Source_Type],"Stockpile")</f>
        <v/>
      </c>
      <c r="AE32" s="55">
        <f>IF($B32=$B31,$AE31,0)+$AD32</f>
        <v/>
      </c>
      <c r="AF32" s="55">
        <f>$AF31+$AD32</f>
        <v/>
      </c>
      <c r="AG32" s="55">
        <f>SUMIFS(tblMovement[Tonnes_t],tblMovement[Date],$A32)</f>
        <v/>
      </c>
      <c r="AH32" s="55">
        <f>IF($B32=$B31,$AH31,0)+$AG32</f>
        <v/>
      </c>
      <c r="AI32" s="55">
        <f>$AI31+$AG32</f>
        <v/>
      </c>
      <c r="AJ32" s="55">
        <f>$AG32-$X32-$AD32</f>
        <v/>
      </c>
      <c r="AK32" s="55">
        <f>IF($B32=$B31,$AK31,0)+$AJ32</f>
        <v/>
      </c>
      <c r="AL32" s="55">
        <f>$AL31+$AJ32</f>
        <v/>
      </c>
      <c r="AM32" s="55">
        <f>SUMIFS(tblMiningDaily[Drill_m],tblMiningDaily[Date],$A32)</f>
        <v/>
      </c>
      <c r="AN32" s="55">
        <f>IF($B32=$B31,$AN31,0)+$AM32</f>
        <v/>
      </c>
      <c r="AO32" s="55">
        <f>$AO31+$AM32</f>
        <v/>
      </c>
      <c r="AP32" s="55">
        <f>SUMIFS(tblMiningDaily[GC_Drill_m],tblMiningDaily[Date],$A32)</f>
        <v/>
      </c>
      <c r="AQ32" s="55">
        <f>IF($B32=$B31,$AQ31,0)+$AP32</f>
        <v/>
      </c>
      <c r="AR32" s="55">
        <f>$AR31+$AP32</f>
        <v/>
      </c>
      <c r="AS32" s="55">
        <f>SUMIFS(tblMiningDaily[Blast_t],tblMiningDaily[Date],$A32)</f>
        <v/>
      </c>
      <c r="AT32" s="55">
        <f>IF($B32=$B31,$AT31,0)+$AS32</f>
        <v/>
      </c>
      <c r="AU32" s="55">
        <f>$AU31+$AS32</f>
        <v/>
      </c>
      <c r="AV32" s="55">
        <f>SUMIFS(tblMiningDaily[Explosives_kg],tblMiningDaily[Date],$A32)</f>
        <v/>
      </c>
      <c r="AW32" s="55">
        <f>IF($B32=$B31,$AW31,0)+$AV32</f>
        <v/>
      </c>
      <c r="AX32" s="55">
        <f>$AX31+$AV32</f>
        <v/>
      </c>
      <c r="AY32" s="56">
        <f>IFERROR(IF(($AS32)&gt;0,($AV32)/($AS32),""),"")</f>
        <v/>
      </c>
      <c r="AZ32" s="56">
        <f>IFERROR(IF(($AT32)&gt;0,($AW32)/($AT32),""),"")</f>
        <v/>
      </c>
      <c r="BA32" s="56">
        <f>IFERROR(IF(($AU32)&gt;0,($AX32)/($AU32),""),"")</f>
        <v/>
      </c>
      <c r="BB32" s="55">
        <f>SUMIFS(tblMiningDaily[Diesel_L],tblMiningDaily[Date],$A32)</f>
        <v/>
      </c>
      <c r="BC32" s="55">
        <f>IF($B32=$B31,$BC31,0)+$BB32</f>
        <v/>
      </c>
      <c r="BD32" s="55">
        <f>$BD31+$BB32</f>
        <v/>
      </c>
      <c r="BE32" s="55">
        <f>SUMIFS(tblMiningDaily[Dewatering_m3],tblMiningDaily[Date],$A32)</f>
        <v/>
      </c>
      <c r="BF32" s="55">
        <f>IF($B32=$B31,$BF31,0)+$BE32</f>
        <v/>
      </c>
      <c r="BG32" s="55">
        <f>$BG31+$BE32</f>
        <v/>
      </c>
      <c r="BH32" s="57">
        <f>SUMIFS(tblFleet[Calendar_h],tblFleet[Date],$A32,tblFleet[Equipment_Class],"Excavator")</f>
        <v/>
      </c>
      <c r="BI32" s="57">
        <f>IF($B32=$B31,$BI31,0)+$BH32</f>
        <v/>
      </c>
      <c r="BJ32" s="57">
        <f>$BJ31+$BH32</f>
        <v/>
      </c>
      <c r="BK32" s="57">
        <f>SUMIFS(tblFleet[Available_h],tblFleet[Date],$A32,tblFleet[Equipment_Class],"Excavator")</f>
        <v/>
      </c>
      <c r="BL32" s="57">
        <f>IF($B32=$B31,$BL31,0)+$BK32</f>
        <v/>
      </c>
      <c r="BM32" s="57">
        <f>$BM31+$BK32</f>
        <v/>
      </c>
      <c r="BN32" s="57">
        <f>SUMIFS(tblFleet[Operating_h],tblFleet[Date],$A32,tblFleet[Equipment_Class],"Excavator")</f>
        <v/>
      </c>
      <c r="BO32" s="57">
        <f>IF($B32=$B31,$BO31,0)+$BN32</f>
        <v/>
      </c>
      <c r="BP32" s="57">
        <f>$BP31+$BN32</f>
        <v/>
      </c>
      <c r="BQ32" s="67">
        <f>IFERROR(IF(($BH32)&gt;0,($BK32)/($BH32),""),"")</f>
        <v/>
      </c>
      <c r="BR32" s="67">
        <f>IFERROR(IF(($BI32)&gt;0,($BL32)/($BI32),""),"")</f>
        <v/>
      </c>
      <c r="BS32" s="67">
        <f>IFERROR(IF(($BJ32)&gt;0,($BM32)/($BJ32),""),"")</f>
        <v/>
      </c>
      <c r="BT32" s="67">
        <f>IFERROR(IF(($BK32)&gt;0,($BN32)/($BK32),""),"")</f>
        <v/>
      </c>
      <c r="BU32" s="67">
        <f>IFERROR(IF(($BL32)&gt;0,($BO32)/($BL32),""),"")</f>
        <v/>
      </c>
      <c r="BV32" s="67">
        <f>IFERROR(IF(($BM32)&gt;0,($BP32)/($BM32),""),"")</f>
        <v/>
      </c>
      <c r="BW32" s="57">
        <f>SUMIFS(tblFleet[Calendar_h],tblFleet[Date],$A32,tblFleet[Equipment_Class],"Haul Truck")</f>
        <v/>
      </c>
      <c r="BX32" s="57">
        <f>IF($B32=$B31,$BX31,0)+$BW32</f>
        <v/>
      </c>
      <c r="BY32" s="57">
        <f>$BY31+$BW32</f>
        <v/>
      </c>
      <c r="BZ32" s="57">
        <f>SUMIFS(tblFleet[Available_h],tblFleet[Date],$A32,tblFleet[Equipment_Class],"Haul Truck")</f>
        <v/>
      </c>
      <c r="CA32" s="57">
        <f>IF($B32=$B31,$CA31,0)+$BZ32</f>
        <v/>
      </c>
      <c r="CB32" s="57">
        <f>$CB31+$BZ32</f>
        <v/>
      </c>
      <c r="CC32" s="57">
        <f>SUMIFS(tblFleet[Operating_h],tblFleet[Date],$A32,tblFleet[Equipment_Class],"Haul Truck")</f>
        <v/>
      </c>
      <c r="CD32" s="57">
        <f>IF($B32=$B31,$CD31,0)+$CC32</f>
        <v/>
      </c>
      <c r="CE32" s="57">
        <f>$CE31+$CC32</f>
        <v/>
      </c>
      <c r="CF32" s="67">
        <f>IFERROR(IF(($BW32)&gt;0,($BZ32)/($BW32),""),"")</f>
        <v/>
      </c>
      <c r="CG32" s="67">
        <f>IFERROR(IF(($BX32)&gt;0,($CA32)/($BX32),""),"")</f>
        <v/>
      </c>
      <c r="CH32" s="67">
        <f>IFERROR(IF(($BY32)&gt;0,($CB32)/($BY32),""),"")</f>
        <v/>
      </c>
      <c r="CI32" s="67">
        <f>IFERROR(IF(($BZ32)&gt;0,($CC32)/($BZ32),""),"")</f>
        <v/>
      </c>
      <c r="CJ32" s="67">
        <f>IFERROR(IF(($CA32)&gt;0,($CD32)/($CA32),""),"")</f>
        <v/>
      </c>
      <c r="CK32" s="67">
        <f>IFERROR(IF(($CB32)&gt;0,($CE32)/($CB32),""),"")</f>
        <v/>
      </c>
      <c r="CL32" s="55">
        <f>IFERROR(IF(($BN32)&gt;0,($X32+$AD32)/($BN32),""),"")</f>
        <v/>
      </c>
      <c r="CM32" s="55">
        <f>IFERROR(IF(($BO32)&gt;0,($Y32+$AE32)/($BO32),""),"")</f>
        <v/>
      </c>
      <c r="CN32" s="55">
        <f>IFERROR(IF(($BP32)&gt;0,($Z32+$AF32)/($BP32),""),"")</f>
        <v/>
      </c>
      <c r="CO32" s="55">
        <f>IFERROR(IF(($CC32)&gt;0,($X32+$AD32)/($CC32),""),"")</f>
        <v/>
      </c>
      <c r="CP32" s="55">
        <f>IFERROR(IF(($CD32)&gt;0,($Y32+$AE32)/($CD32),""),"")</f>
        <v/>
      </c>
      <c r="CQ32" s="55">
        <f>IFERROR(IF(($CE32)&gt;0,($Z32+$AF32)/($CE32),""),"")</f>
        <v/>
      </c>
      <c r="CR32" s="55">
        <f>SUMIFS(tblPlant[Crushed_t],tblPlant[Date],$A32)</f>
        <v/>
      </c>
      <c r="CS32" s="55">
        <f>IF($B32=$B31,$CS31,0)+$CR32</f>
        <v/>
      </c>
      <c r="CT32" s="55">
        <f>$CT31+$CR32</f>
        <v/>
      </c>
      <c r="CU32" s="55">
        <f>SUMIFS(tblPlant[Milled_t],tblPlant[Date],$A32)</f>
        <v/>
      </c>
      <c r="CV32" s="55">
        <f>IF($B32=$B31,$CV31,0)+$CU32</f>
        <v/>
      </c>
      <c r="CW32" s="55">
        <f>$CW31+$CU32</f>
        <v/>
      </c>
      <c r="CX32" s="55">
        <f>SUMIFS(tblPlant[Feed_oz],tblPlant[Date],$A32)</f>
        <v/>
      </c>
      <c r="CY32" s="55">
        <f>IF($B32=$B31,$CY31,0)+$CX32</f>
        <v/>
      </c>
      <c r="CZ32" s="55">
        <f>$CZ31+$CX32</f>
        <v/>
      </c>
      <c r="DA32" s="55">
        <f>SUMIFS(tblPlant[Tails_oz],tblPlant[Date],$A32)</f>
        <v/>
      </c>
      <c r="DB32" s="55">
        <f>IF($B32=$B31,$DB31,0)+$DA32</f>
        <v/>
      </c>
      <c r="DC32" s="55">
        <f>$DC31+$DA32</f>
        <v/>
      </c>
      <c r="DD32" s="55">
        <f>SUMIFS(tblPlant[Recovered_oz],tblPlant[Date],$A32)</f>
        <v/>
      </c>
      <c r="DE32" s="55">
        <f>IF($B32=$B31,$DE31,0)+$DD32</f>
        <v/>
      </c>
      <c r="DF32" s="55">
        <f>$DF31+$DD32</f>
        <v/>
      </c>
      <c r="DG32" s="55">
        <f>SUMIFS(tblPlant[Milled_t],tblPlant[Date],$A32,tblPlant[Head_Grade_gpt],"&lt;&gt;")</f>
        <v/>
      </c>
      <c r="DH32" s="55">
        <f>IF($B32=$B31,$DH31,0)+$DG32</f>
        <v/>
      </c>
      <c r="DI32" s="55">
        <f>$DI31+$DG32</f>
        <v/>
      </c>
      <c r="DJ32" s="55">
        <f>SUMIFS(tblPlant[Milled_t],tblPlant[Date],$A32,tblPlant[Tails_Grade_gpt],"&lt;&gt;")</f>
        <v/>
      </c>
      <c r="DK32" s="55">
        <f>IF($B32=$B31,$DK31,0)+$DJ32</f>
        <v/>
      </c>
      <c r="DL32" s="55">
        <f>$DL31+$DJ32</f>
        <v/>
      </c>
      <c r="DM32" s="55">
        <f>SUMIFS(tblPlant[Feed_oz],tblPlant[Date],$A32,tblPlant[Tails_Grade_gpt],"&lt;&gt;")</f>
        <v/>
      </c>
      <c r="DN32" s="55">
        <f>IF($B32=$B31,$DN31,0)+$DM32</f>
        <v/>
      </c>
      <c r="DO32" s="55">
        <f>$DO31+$DM32</f>
        <v/>
      </c>
      <c r="DP32" s="55">
        <f>SUMIFS(tblPlant[Milled_t],tblPlant[Date],$A32,tblPlant[Mill_Run_h],"&lt;&gt;")</f>
        <v/>
      </c>
      <c r="DQ32" s="55">
        <f>IF($B32=$B31,$DQ31,0)+$DP32</f>
        <v/>
      </c>
      <c r="DR32" s="55">
        <f>$DR31+$DP32</f>
        <v/>
      </c>
      <c r="DS32" s="56">
        <f>IFERROR(IF(($DG32)&gt;0,($CX32*cfg_TroyOz)/($DG32),""),"")</f>
        <v/>
      </c>
      <c r="DT32" s="56">
        <f>IFERROR(IF(($DH32)&gt;0,($CY32*cfg_TroyOz)/($DH32),""),"")</f>
        <v/>
      </c>
      <c r="DU32" s="56">
        <f>IFERROR(IF(($DI32)&gt;0,($CZ32*cfg_TroyOz)/($DI32),""),"")</f>
        <v/>
      </c>
      <c r="DV32" s="56">
        <f>IFERROR(IF(($DJ32)&gt;0,($DA32*cfg_TroyOz)/($DJ32),""),"")</f>
        <v/>
      </c>
      <c r="DW32" s="56">
        <f>IFERROR(IF(($DK32)&gt;0,($DB32*cfg_TroyOz)/($DK32),""),"")</f>
        <v/>
      </c>
      <c r="DX32" s="56">
        <f>IFERROR(IF(($DL32)&gt;0,($DC32*cfg_TroyOz)/($DL32),""),"")</f>
        <v/>
      </c>
      <c r="DY32" s="67">
        <f>IFERROR(IF(($DM32)&gt;0,($DD32)/($DM32),""),"")</f>
        <v/>
      </c>
      <c r="DZ32" s="67">
        <f>IFERROR(IF(($DN32)&gt;0,($DE32)/($DN32),""),"")</f>
        <v/>
      </c>
      <c r="EA32" s="67">
        <f>IFERROR(IF(($DO32)&gt;0,($DF32)/($DO32),""),"")</f>
        <v/>
      </c>
      <c r="EB32" s="55">
        <f>SUMIFS(tblPlant[Gravity_Gold_oz],tblPlant[Date],$A32)</f>
        <v/>
      </c>
      <c r="EC32" s="55">
        <f>IF($B32=$B31,$EC31,0)+$EB32</f>
        <v/>
      </c>
      <c r="ED32" s="55">
        <f>$ED31+$EB32</f>
        <v/>
      </c>
      <c r="EE32" s="67">
        <f>IFERROR(IF(($DD32)&gt;0,($EB32)/($DD32),""),"")</f>
        <v/>
      </c>
      <c r="EF32" s="67">
        <f>IFERROR(IF(($DE32)&gt;0,($EC32)/($DE32),""),"")</f>
        <v/>
      </c>
      <c r="EG32" s="67">
        <f>IFERROR(IF(($DF32)&gt;0,($ED32)/($DF32),""),"")</f>
        <v/>
      </c>
      <c r="EH32" s="55">
        <f>SUMIFS(tblPlant[Gold_Poured_oz],tblPlant[Date],$A32)</f>
        <v/>
      </c>
      <c r="EI32" s="55">
        <f>IF($B32=$B31,$EI31,0)+$EH32</f>
        <v/>
      </c>
      <c r="EJ32" s="55">
        <f>$EJ31+$EH32</f>
        <v/>
      </c>
      <c r="EK32" s="57">
        <f>SUMIFS(tblPlant[Mill_Run_h],tblPlant[Date],$A32)</f>
        <v/>
      </c>
      <c r="EL32" s="57">
        <f>IF($B32=$B31,$EL31,0)+$EK32</f>
        <v/>
      </c>
      <c r="EM32" s="57">
        <f>$EM31+$EK32</f>
        <v/>
      </c>
      <c r="EN32" s="57">
        <f>SUMIFS(tblPlant[Mill_Planned_Maint_h],tblPlant[Date],$A32)</f>
        <v/>
      </c>
      <c r="EO32" s="57">
        <f>IF($B32=$B31,$EO31,0)+$EN32</f>
        <v/>
      </c>
      <c r="EP32" s="57">
        <f>$EP31+$EN32</f>
        <v/>
      </c>
      <c r="EQ32" s="57">
        <f>SUMIFS(tblPlant[Mill_Unplanned_Down_h],tblPlant[Date],$A32)</f>
        <v/>
      </c>
      <c r="ER32" s="57">
        <f>IF($B32=$B31,$ER31,0)+$EQ32</f>
        <v/>
      </c>
      <c r="ES32" s="57">
        <f>$ES31+$EQ32</f>
        <v/>
      </c>
      <c r="ET32" s="57">
        <f>IF(COUNTIFS(tblPlant[Date],$A32,tblPlant[Mill_Run_h],"&lt;&gt;")+COUNTIFS(tblPlant[Date],$A32,tblPlant[Mill_Planned_Maint_h],"&lt;&gt;")+COUNTIFS(tblPlant[Date],$A32,tblPlant[Mill_Unplanned_Down_h],"&lt;&gt;")&gt;0,cfg_HoursPerDay,0)</f>
        <v/>
      </c>
      <c r="EU32" s="57">
        <f>IF($B32=$B31,$EU31,0)+$ET32</f>
        <v/>
      </c>
      <c r="EV32" s="57">
        <f>$EV31+$ET32</f>
        <v/>
      </c>
      <c r="EW32" s="57">
        <f>SUMIFS(tblPlant[Crusher_Run_h],tblPlant[Date],$A32)</f>
        <v/>
      </c>
      <c r="EX32" s="57">
        <f>IF($B32=$B31,$EX31,0)+$EW32</f>
        <v/>
      </c>
      <c r="EY32" s="57">
        <f>$EY31+$EW32</f>
        <v/>
      </c>
      <c r="EZ32" s="55">
        <f>IFERROR(IF(($EK32)&gt;0,($DP32)/($EK32),""),"")</f>
        <v/>
      </c>
      <c r="FA32" s="55">
        <f>IFERROR(IF(($EL32)&gt;0,($DQ32)/($EL32),""),"")</f>
        <v/>
      </c>
      <c r="FB32" s="55">
        <f>IFERROR(IF(($EM32)&gt;0,($DR32)/($EM32),""),"")</f>
        <v/>
      </c>
      <c r="FC32" s="67">
        <f>IFERROR(IF(($ET32)&gt;0,($ET32-$EN32-$EQ32)/($ET32),""),"")</f>
        <v/>
      </c>
      <c r="FD32" s="67">
        <f>IFERROR(IF(($EU32)&gt;0,($EU32-$EO32-$ER32)/($EU32),""),"")</f>
        <v/>
      </c>
      <c r="FE32" s="67">
        <f>IFERROR(IF(($EV32)&gt;0,($EV32-$EP32-$ES32)/($EV32),""),"")</f>
        <v/>
      </c>
      <c r="FF32" s="67">
        <f>IFERROR(IF(($ET32-$EN32-$EQ32)&gt;0,($EK32)/($ET32-$EN32-$EQ32),""),"")</f>
        <v/>
      </c>
      <c r="FG32" s="67">
        <f>IFERROR(IF(($EU32-$EO32-$ER32)&gt;0,($EL32)/($EU32-$EO32-$ER32),""),"")</f>
        <v/>
      </c>
      <c r="FH32" s="67">
        <f>IFERROR(IF(($EV32-$EP32-$ES32)&gt;0,($EM32)/($EV32-$EP32-$ES32),""),"")</f>
        <v/>
      </c>
      <c r="FI32" s="55">
        <f>SUMIFS(tblPlant[Cyanide_kg],tblPlant[Date],$A32)</f>
        <v/>
      </c>
      <c r="FJ32" s="55">
        <f>IF($B32=$B31,$FJ31,0)+$FI32</f>
        <v/>
      </c>
      <c r="FK32" s="55">
        <f>$FK31+$FI32</f>
        <v/>
      </c>
      <c r="FL32" s="55">
        <f>SUMIFS(tblPlant[Lime_kg],tblPlant[Date],$A32)</f>
        <v/>
      </c>
      <c r="FM32" s="55">
        <f>IF($B32=$B31,$FM31,0)+$FL32</f>
        <v/>
      </c>
      <c r="FN32" s="55">
        <f>$FN31+$FL32</f>
        <v/>
      </c>
      <c r="FO32" s="55">
        <f>SUMIFS(tblPlant[Grinding_Media_kg],tblPlant[Date],$A32)</f>
        <v/>
      </c>
      <c r="FP32" s="55">
        <f>IF($B32=$B31,$FP31,0)+$FO32</f>
        <v/>
      </c>
      <c r="FQ32" s="55">
        <f>$FQ31+$FO32</f>
        <v/>
      </c>
      <c r="FR32" s="55">
        <f>SUMIFS(tblPlant[Power_kWh],tblPlant[Date],$A32)</f>
        <v/>
      </c>
      <c r="FS32" s="55">
        <f>IF($B32=$B31,$FS31,0)+$FR32</f>
        <v/>
      </c>
      <c r="FT32" s="55">
        <f>$FT31+$FR32</f>
        <v/>
      </c>
      <c r="FU32" s="55">
        <f>SUMIFS(tblPlant[Raw_Water_m3],tblPlant[Date],$A32)</f>
        <v/>
      </c>
      <c r="FV32" s="55">
        <f>IF($B32=$B31,$FV31,0)+$FU32</f>
        <v/>
      </c>
      <c r="FW32" s="55">
        <f>$FW31+$FU32</f>
        <v/>
      </c>
      <c r="FX32" s="56">
        <f>IFERROR(IF(($CU32)&gt;0,($FI32)/($CU32),""),"")</f>
        <v/>
      </c>
      <c r="FY32" s="56">
        <f>IFERROR(IF(($CV32)&gt;0,($FJ32)/($CV32),""),"")</f>
        <v/>
      </c>
      <c r="FZ32" s="56">
        <f>IFERROR(IF(($CW32)&gt;0,($FK32)/($CW32),""),"")</f>
        <v/>
      </c>
      <c r="GA32" s="56">
        <f>IFERROR(IF(($CU32)&gt;0,($FL32)/($CU32),""),"")</f>
        <v/>
      </c>
      <c r="GB32" s="56">
        <f>IFERROR(IF(($CV32)&gt;0,($FM32)/($CV32),""),"")</f>
        <v/>
      </c>
      <c r="GC32" s="56">
        <f>IFERROR(IF(($CW32)&gt;0,($FN32)/($CW32),""),"")</f>
        <v/>
      </c>
      <c r="GD32" s="56">
        <f>IFERROR(IF(($CU32)&gt;0,($FO32)/($CU32),""),"")</f>
        <v/>
      </c>
      <c r="GE32" s="56">
        <f>IFERROR(IF(($CV32)&gt;0,($FP32)/($CV32),""),"")</f>
        <v/>
      </c>
      <c r="GF32" s="56">
        <f>IFERROR(IF(($CW32)&gt;0,($FQ32)/($CW32),""),"")</f>
        <v/>
      </c>
      <c r="GG32" s="79">
        <f>IFERROR(IF(($CU32)&gt;0,($FR32)/($CU32),""),"")</f>
        <v/>
      </c>
      <c r="GH32" s="79">
        <f>IFERROR(IF(($CV32)&gt;0,($FS32)/($CV32),""),"")</f>
        <v/>
      </c>
      <c r="GI32" s="79">
        <f>IFERROR(IF(($CW32)&gt;0,($FT32)/($CW32),""),"")</f>
        <v/>
      </c>
      <c r="GJ32" s="56">
        <f>IFERROR(IF(($CU32)&gt;0,($FU32)/($CU32),""),"")</f>
        <v/>
      </c>
      <c r="GK32" s="56">
        <f>IFERROR(IF(($CV32)&gt;0,($FV32)/($CV32),""),"")</f>
        <v/>
      </c>
      <c r="GL32" s="56">
        <f>IFERROR(IF(($CW32)&gt;0,($FW32)/($CW32),""),"")</f>
        <v/>
      </c>
      <c r="GM32" s="55">
        <f>IF(SUMIFS(tblPlant[GIC_oz],tblPlant[Date],$A32)&gt;0,SUMIFS(tblPlant[GIC_oz],tblPlant[Date],$A32),"")</f>
        <v/>
      </c>
      <c r="GN32" s="55">
        <f>SUMIFS(tblGold[Gold_oz],tblGold[Date],$A32,tblGold[Type],"Shipment")</f>
        <v/>
      </c>
      <c r="GO32" s="55">
        <f>IF($B32=$B31,$GO31,0)+$GN32</f>
        <v/>
      </c>
      <c r="GP32" s="55">
        <f>$GP31+$GN32</f>
        <v/>
      </c>
      <c r="GQ32" s="55">
        <f>SUMIFS(tblGold[Gold_oz],tblGold[Date],$A32,tblGold[Type],"Sale")</f>
        <v/>
      </c>
      <c r="GR32" s="55">
        <f>IF($B32=$B31,$GR31,0)+$GQ32</f>
        <v/>
      </c>
      <c r="GS32" s="55">
        <f>$GS31+$GQ32</f>
        <v/>
      </c>
      <c r="GT32" s="55">
        <f>SUMIFS(tblGold[Dore_kg],tblGold[Date],$A32,tblGold[Type],"Shipment")</f>
        <v/>
      </c>
      <c r="GU32" s="55">
        <f>IF($B32=$B31,$GU31,0)+$GT32</f>
        <v/>
      </c>
      <c r="GV32" s="55">
        <f>$GV31+$GT32</f>
        <v/>
      </c>
      <c r="GW32" s="57">
        <f>SUMIFS(tblSafety[Hours_Total],tblSafety[Date],$A32)</f>
        <v/>
      </c>
      <c r="GX32" s="57">
        <f>IF($B32=$B31,$GX31,0)+$GW32</f>
        <v/>
      </c>
      <c r="GY32" s="57">
        <f>$GY31+$GW32</f>
        <v/>
      </c>
      <c r="GZ32" s="62">
        <f>SUMIFS(tblSafety[Fatality],tblSafety[Date],$A32)</f>
        <v/>
      </c>
      <c r="HA32" s="62">
        <f>IF($B32=$B31,$HA31,0)+$GZ32</f>
        <v/>
      </c>
      <c r="HB32" s="62">
        <f>$HB31+$GZ32</f>
        <v/>
      </c>
      <c r="HC32" s="62">
        <f>SUMIFS(tblSafety[LTI],tblSafety[Date],$A32)</f>
        <v/>
      </c>
      <c r="HD32" s="62">
        <f>IF($B32=$B31,$HD31,0)+$HC32</f>
        <v/>
      </c>
      <c r="HE32" s="62">
        <f>$HE31+$HC32</f>
        <v/>
      </c>
      <c r="HF32" s="62">
        <f>SUMIFS(tblSafety[RWI],tblSafety[Date],$A32)</f>
        <v/>
      </c>
      <c r="HG32" s="62">
        <f>IF($B32=$B31,$HG31,0)+$HF32</f>
        <v/>
      </c>
      <c r="HH32" s="62">
        <f>$HH31+$HF32</f>
        <v/>
      </c>
      <c r="HI32" s="62">
        <f>SUMIFS(tblSafety[MTI],tblSafety[Date],$A32)</f>
        <v/>
      </c>
      <c r="HJ32" s="62">
        <f>IF($B32=$B31,$HJ31,0)+$HI32</f>
        <v/>
      </c>
      <c r="HK32" s="62">
        <f>$HK31+$HI32</f>
        <v/>
      </c>
      <c r="HL32" s="62">
        <f>SUMIFS(tblSafety[FAI],tblSafety[Date],$A32)</f>
        <v/>
      </c>
      <c r="HM32" s="62">
        <f>IF($B32=$B31,$HM31,0)+$HL32</f>
        <v/>
      </c>
      <c r="HN32" s="62">
        <f>$HN31+$HL32</f>
        <v/>
      </c>
      <c r="HO32" s="62">
        <f>SUMIFS(tblSafety[Recordables],tblSafety[Date],$A32)</f>
        <v/>
      </c>
      <c r="HP32" s="62">
        <f>IF($B32=$B31,$HP31,0)+$HO32</f>
        <v/>
      </c>
      <c r="HQ32" s="62">
        <f>$HQ31+$HO32</f>
        <v/>
      </c>
      <c r="HR32" s="62">
        <f>SUMIFS(tblSafety[Near_Miss],tblSafety[Date],$A32)</f>
        <v/>
      </c>
      <c r="HS32" s="62">
        <f>IF($B32=$B31,$HS31,0)+$HR32</f>
        <v/>
      </c>
      <c r="HT32" s="62">
        <f>$HT31+$HR32</f>
        <v/>
      </c>
      <c r="HU32" s="62">
        <f>SUMIFS(tblSafety[Hazard_Reports],tblSafety[Date],$A32)</f>
        <v/>
      </c>
      <c r="HV32" s="62">
        <f>IF($B32=$B31,$HV31,0)+$HU32</f>
        <v/>
      </c>
      <c r="HW32" s="62">
        <f>$HW31+$HU32</f>
        <v/>
      </c>
      <c r="HX32" s="62">
        <f>SUMIFS(tblSafety[HPI],tblSafety[Date],$A32)</f>
        <v/>
      </c>
      <c r="HY32" s="62">
        <f>IF($B32=$B31,$HY31,0)+$HX32</f>
        <v/>
      </c>
      <c r="HZ32" s="62">
        <f>$HZ31+$HX32</f>
        <v/>
      </c>
      <c r="IA32" s="62">
        <f>SUMIFS(tblSafety[Env_Incidents],tblSafety[Date],$A32)</f>
        <v/>
      </c>
      <c r="IB32" s="62">
        <f>IF($B32=$B31,$IB31,0)+$IA32</f>
        <v/>
      </c>
      <c r="IC32" s="62">
        <f>$IC31+$IA32</f>
        <v/>
      </c>
      <c r="ID32" s="62">
        <f>SUMIFS(tblSafety[Community_Incidents],tblSafety[Date],$A32)</f>
        <v/>
      </c>
      <c r="IE32" s="62">
        <f>IF($B32=$B31,$IE31,0)+$ID32</f>
        <v/>
      </c>
      <c r="IF32" s="62">
        <f>$IF31+$ID32</f>
        <v/>
      </c>
      <c r="IG32" s="62">
        <f>SUMIFS(tblSafety[Vehicle_Incidents],tblSafety[Date],$A32)</f>
        <v/>
      </c>
      <c r="IH32" s="62">
        <f>IF($B32=$B31,$IH31,0)+$IG32</f>
        <v/>
      </c>
      <c r="II32" s="62">
        <f>$II31+$IG32</f>
        <v/>
      </c>
      <c r="IJ32" s="62">
        <f>SUMIFS(tblSafety[Toolbox_Talks],tblSafety[Date],$A32)</f>
        <v/>
      </c>
      <c r="IK32" s="62">
        <f>IF($B32=$B31,$IK31,0)+$IJ32</f>
        <v/>
      </c>
      <c r="IL32" s="62">
        <f>$IL31+$IJ32</f>
        <v/>
      </c>
      <c r="IM32" s="62">
        <f>SUMIFS(tblSafety[Inspections],tblSafety[Date],$A32)</f>
        <v/>
      </c>
      <c r="IN32" s="62">
        <f>IF($B32=$B31,$IN31,0)+$IM32</f>
        <v/>
      </c>
      <c r="IO32" s="62">
        <f>$IO31+$IM32</f>
        <v/>
      </c>
      <c r="IP32" s="56">
        <f>IFERROR((SUMIFS(tblSafety[Recordables],tblSafety[Date],"&gt;="&amp;EDATE($E32,-12),tblSafety[Date],"&lt;="&amp;$A32)+SUMIFS(tblSafetyHistory[Recordables],tblSafetyHistory[Month],"&gt;="&amp;EDATE($E32,-12),tblSafetyHistory[Month],"&lt;"&amp;$E32,tblSafetyHistory[Use],1))/(SUMIFS(tblSafety[Hours_Total],tblSafety[Date],"&gt;="&amp;EDATE($E32,-12),tblSafety[Date],"&lt;="&amp;$A32)+SUMIFS(tblSafetyHistory[Hours_Total],tblSafetyHistory[Month],"&gt;="&amp;EDATE($E32,-12),tblSafetyHistory[Month],"&lt;"&amp;$E32,tblSafetyHistory[Use],1))*cfg_RateBasisHours,"")</f>
        <v/>
      </c>
      <c r="IQ32" s="56">
        <f>IFERROR((SUMIFS(tblSafety[LTI],tblSafety[Date],"&gt;="&amp;EDATE($E32,-12),tblSafety[Date],"&lt;="&amp;$A32)+SUMIFS(tblSafetyHistory[LTI],tblSafetyHistory[Month],"&gt;="&amp;EDATE($E32,-12),tblSafetyHistory[Month],"&lt;"&amp;$E32,tblSafetyHistory[Use],1))/(SUMIFS(tblSafety[Hours_Total],tblSafety[Date],"&gt;="&amp;EDATE($E32,-12),tblSafety[Date],"&lt;="&amp;$A32)+SUMIFS(tblSafetyHistory[Hours_Total],tblSafetyHistory[Month],"&gt;="&amp;EDATE($E32,-12),tblSafetyHistory[Month],"&lt;"&amp;$E32,tblSafetyHistory[Use],1))*cfg_RateBasisHours,"")</f>
        <v/>
      </c>
      <c r="IR32" s="62">
        <f>IF(MAX(N(cfg_PriorLTIDate),_xlfn.MAXIFS(tblSafety[Date],tblSafety[LTI],"&gt;0",tblSafety[Date],"&lt;="&amp;$A32))=0,"",$A32-MAX(N(cfg_PriorLTIDate),_xlfn.MAXIFS(tblSafety[Date],tblSafety[LTI],"&gt;0",tblSafety[Date],"&lt;="&amp;$A32)))</f>
        <v/>
      </c>
      <c r="IS32" s="55">
        <f>SUMIFS(tblBudget[Ore_Mined_t],tblBudget[Month],$E32)</f>
        <v/>
      </c>
      <c r="IT32" s="55">
        <f>$IS32*$C32/$D32</f>
        <v/>
      </c>
      <c r="IU32" s="55">
        <f>SUMIFS(tblBudget[Ore_Mined_t],tblBudget[Month],"&lt;"&amp;$E32)+$IT32</f>
        <v/>
      </c>
      <c r="IV32" s="55">
        <f>SUMIFS(tblBudget[Ore_oz],tblBudget[Month],$E32)</f>
        <v/>
      </c>
      <c r="IW32" s="55">
        <f>$IV32*$C32/$D32</f>
        <v/>
      </c>
      <c r="IX32" s="55">
        <f>SUMIFS(tblBudget[Ore_oz],tblBudget[Month],"&lt;"&amp;$E32)+$IW32</f>
        <v/>
      </c>
      <c r="IY32" s="55">
        <f>SUMIFS(tblBudget[Ore_Mined_t],tblBudget[Month],$E32)</f>
        <v/>
      </c>
      <c r="IZ32" s="55">
        <f>$IY32*$C32/$D32</f>
        <v/>
      </c>
      <c r="JA32" s="55">
        <f>SUMIFS(tblBudget[Ore_Mined_t],tblBudget[Month],"&lt;"&amp;$E32)+$IZ32</f>
        <v/>
      </c>
      <c r="JB32" s="56">
        <f>IFERROR(IF(($IY32)&gt;0,($IV32*cfg_TroyOz)/($IY32),""),"")</f>
        <v/>
      </c>
      <c r="JC32" s="56">
        <f>IFERROR(IF(($IZ32)&gt;0,($IW32*cfg_TroyOz)/($IZ32),""),"")</f>
        <v/>
      </c>
      <c r="JD32" s="56">
        <f>IFERROR(IF(($JA32)&gt;0,($IX32*cfg_TroyOz)/($JA32),""),"")</f>
        <v/>
      </c>
      <c r="JE32" s="55">
        <f>SUMIFS(tblBudget[Waste_t],tblBudget[Month],$E32)</f>
        <v/>
      </c>
      <c r="JF32" s="55">
        <f>$JE32*$C32/$D32</f>
        <v/>
      </c>
      <c r="JG32" s="55">
        <f>SUMIFS(tblBudget[Waste_t],tblBudget[Month],"&lt;"&amp;$E32)+$JF32</f>
        <v/>
      </c>
      <c r="JH32" s="55">
        <f>SUMIFS(tblBudget[TMM_t],tblBudget[Month],$E32)</f>
        <v/>
      </c>
      <c r="JI32" s="55">
        <f>$JH32*$C32/$D32</f>
        <v/>
      </c>
      <c r="JJ32" s="55">
        <f>SUMIFS(tblBudget[TMM_t],tblBudget[Month],"&lt;"&amp;$E32)+$JI32</f>
        <v/>
      </c>
      <c r="JK32" s="56">
        <f>IFERROR(IF(($IS32)&gt;0,($JE32)/($IS32),""),"")</f>
        <v/>
      </c>
      <c r="JL32" s="56">
        <f>IFERROR(IF(($IT32)&gt;0,($JF32)/($IT32),""),"")</f>
        <v/>
      </c>
      <c r="JM32" s="56">
        <f>IFERROR(IF(($IU32)&gt;0,($JG32)/($IU32),""),"")</f>
        <v/>
      </c>
      <c r="JN32" s="55">
        <f>SUMIFS(tblBudget[Drill_m],tblBudget[Month],$E32)</f>
        <v/>
      </c>
      <c r="JO32" s="55">
        <f>$JN32*$C32/$D32</f>
        <v/>
      </c>
      <c r="JP32" s="55">
        <f>SUMIFS(tblBudget[Drill_m],tblBudget[Month],"&lt;"&amp;$E32)+$JO32</f>
        <v/>
      </c>
      <c r="JQ32" s="55">
        <f>SUMIFS(tblBudget[Diesel_L],tblBudget[Month],$E32)</f>
        <v/>
      </c>
      <c r="JR32" s="55">
        <f>$JQ32*$C32/$D32</f>
        <v/>
      </c>
      <c r="JS32" s="55">
        <f>SUMIFS(tblBudget[Diesel_L],tblBudget[Month],"&lt;"&amp;$E32)+$JR32</f>
        <v/>
      </c>
      <c r="JT32" s="55">
        <f>SUMIFS(tblBudget[Milled_t],tblBudget[Month],$E32)</f>
        <v/>
      </c>
      <c r="JU32" s="55">
        <f>$JT32*$C32/$D32</f>
        <v/>
      </c>
      <c r="JV32" s="55">
        <f>SUMIFS(tblBudget[Milled_t],tblBudget[Month],"&lt;"&amp;$E32)+$JU32</f>
        <v/>
      </c>
      <c r="JW32" s="55">
        <f>SUMIFS(tblBudget[Feed_oz],tblBudget[Month],$E32)</f>
        <v/>
      </c>
      <c r="JX32" s="55">
        <f>$JW32*$C32/$D32</f>
        <v/>
      </c>
      <c r="JY32" s="55">
        <f>SUMIFS(tblBudget[Feed_oz],tblBudget[Month],"&lt;"&amp;$E32)+$JX32</f>
        <v/>
      </c>
      <c r="JZ32" s="55">
        <f>SUMIFS(tblBudget[Recovered_oz],tblBudget[Month],$E32)</f>
        <v/>
      </c>
      <c r="KA32" s="55">
        <f>$JZ32*$C32/$D32</f>
        <v/>
      </c>
      <c r="KB32" s="55">
        <f>SUMIFS(tblBudget[Recovered_oz],tblBudget[Month],"&lt;"&amp;$E32)+$KA32</f>
        <v/>
      </c>
      <c r="KC32" s="55">
        <f>SUMIFS(tblBudget[Milled_t],tblBudget[Month],$E32)</f>
        <v/>
      </c>
      <c r="KD32" s="55">
        <f>$KC32*$C32/$D32</f>
        <v/>
      </c>
      <c r="KE32" s="55">
        <f>SUMIFS(tblBudget[Milled_t],tblBudget[Month],"&lt;"&amp;$E32)+$KD32</f>
        <v/>
      </c>
      <c r="KF32" s="55">
        <f>SUMIFS(tblBudget[Feed_oz],tblBudget[Month],$E32)</f>
        <v/>
      </c>
      <c r="KG32" s="55">
        <f>$KF32*$C32/$D32</f>
        <v/>
      </c>
      <c r="KH32" s="55">
        <f>SUMIFS(tblBudget[Feed_oz],tblBudget[Month],"&lt;"&amp;$E32)+$KG32</f>
        <v/>
      </c>
      <c r="KI32" s="56">
        <f>IFERROR(IF(($KC32)&gt;0,($JW32*cfg_TroyOz)/($KC32),""),"")</f>
        <v/>
      </c>
      <c r="KJ32" s="56">
        <f>IFERROR(IF(($KD32)&gt;0,($JX32*cfg_TroyOz)/($KD32),""),"")</f>
        <v/>
      </c>
      <c r="KK32" s="56">
        <f>IFERROR(IF(($KE32)&gt;0,($JY32*cfg_TroyOz)/($KE32),""),"")</f>
        <v/>
      </c>
      <c r="KL32" s="67">
        <f>IFERROR(IF(($KF32)&gt;0,($JZ32)/($KF32),""),"")</f>
        <v/>
      </c>
      <c r="KM32" s="67">
        <f>IFERROR(IF(($KG32)&gt;0,($KA32)/($KG32),""),"")</f>
        <v/>
      </c>
      <c r="KN32" s="67">
        <f>IFERROR(IF(($KH32)&gt;0,($KB32)/($KH32),""),"")</f>
        <v/>
      </c>
      <c r="KO32" s="55">
        <f>SUMIFS(tblBudget[Gold_Poured_oz],tblBudget[Month],$E32)</f>
        <v/>
      </c>
      <c r="KP32" s="55">
        <f>$KO32*$C32/$D32</f>
        <v/>
      </c>
      <c r="KQ32" s="55">
        <f>SUMIFS(tblBudget[Gold_Poured_oz],tblBudget[Month],"&lt;"&amp;$E32)+$KP32</f>
        <v/>
      </c>
      <c r="KR32" s="57">
        <f>SUMIFS(tblBudget[Hours_Worked],tblBudget[Month],$E32)</f>
        <v/>
      </c>
      <c r="KS32" s="57">
        <f>$KR32*$C32/$D32</f>
        <v/>
      </c>
      <c r="KT32" s="57">
        <f>SUMIFS(tblBudget[Hours_Worked],tblBudget[Month],"&lt;"&amp;$E32)+$KS32</f>
        <v/>
      </c>
    </row>
    <row r="33">
      <c r="A33" s="54" t="n">
        <v>46054</v>
      </c>
      <c r="B33">
        <f>MONTH($A33)</f>
        <v/>
      </c>
      <c r="C33">
        <f>DAY($A33)</f>
        <v/>
      </c>
      <c r="D33">
        <f>DAY(EOMONTH($A33,0))</f>
        <v/>
      </c>
      <c r="E33" s="54">
        <f>DATE(YEAR($A33),MONTH($A33),1)</f>
        <v/>
      </c>
      <c r="F33" s="55">
        <f>SUMIFS(tblMovement[Tonnes_t],tblMovement[Date],$A33,tblMovement[Is_Ore],1,tblMovement[Source_Type],"Pit")</f>
        <v/>
      </c>
      <c r="G33" s="55">
        <f>IF($B33=$B32,$G32,0)+$F33</f>
        <v/>
      </c>
      <c r="H33" s="55">
        <f>$H32+$F33</f>
        <v/>
      </c>
      <c r="I33" s="55">
        <f>SUMIFS(tblMovement[Ore_oz],tblMovement[Date],$A33,tblMovement[Source_Type],"Pit")</f>
        <v/>
      </c>
      <c r="J33" s="55">
        <f>IF($B33=$B32,$J32,0)+$I33</f>
        <v/>
      </c>
      <c r="K33" s="55">
        <f>$K32+$I33</f>
        <v/>
      </c>
      <c r="L33" s="55">
        <f>SUMIFS(tblMovement[Tonnes_t],tblMovement[Date],$A33,tblMovement[Is_Ore],1,tblMovement[Source_Type],"Pit",tblMovement[Grade_gpt],"&lt;&gt;")</f>
        <v/>
      </c>
      <c r="M33" s="55">
        <f>IF($B33=$B32,$M32,0)+$L33</f>
        <v/>
      </c>
      <c r="N33" s="55">
        <f>$N32+$L33</f>
        <v/>
      </c>
      <c r="O33" s="56">
        <f>IFERROR(IF(($L33)&gt;0,($I33*cfg_TroyOz)/($L33),""),"")</f>
        <v/>
      </c>
      <c r="P33" s="56">
        <f>IFERROR(IF(($M33)&gt;0,($J33*cfg_TroyOz)/($M33),""),"")</f>
        <v/>
      </c>
      <c r="Q33" s="56">
        <f>IFERROR(IF(($N33)&gt;0,($K33*cfg_TroyOz)/($N33),""),"")</f>
        <v/>
      </c>
      <c r="R33" s="55">
        <f>$F33-$L33</f>
        <v/>
      </c>
      <c r="S33" s="55">
        <f>IF($B33=$B32,$S32,0)+$R33</f>
        <v/>
      </c>
      <c r="T33" s="55">
        <f>$T32+$R33</f>
        <v/>
      </c>
      <c r="U33" s="55">
        <f>SUMIFS(tblMovement[Tonnes_t],tblMovement[Date],$A33,tblMovement[Is_Ore],0,tblMovement[Source_Type],"Pit")</f>
        <v/>
      </c>
      <c r="V33" s="55">
        <f>IF($B33=$B32,$V32,0)+$U33</f>
        <v/>
      </c>
      <c r="W33" s="55">
        <f>$W32+$U33</f>
        <v/>
      </c>
      <c r="X33" s="55">
        <f>$F33+$U33</f>
        <v/>
      </c>
      <c r="Y33" s="55">
        <f>IF($B33=$B32,$Y32,0)+$X33</f>
        <v/>
      </c>
      <c r="Z33" s="55">
        <f>$Z32+$X33</f>
        <v/>
      </c>
      <c r="AA33" s="56">
        <f>IFERROR(IF(($F33)&gt;0,($U33)/($F33),""),"")</f>
        <v/>
      </c>
      <c r="AB33" s="56">
        <f>IFERROR(IF(($G33)&gt;0,($V33)/($G33),""),"")</f>
        <v/>
      </c>
      <c r="AC33" s="56">
        <f>IFERROR(IF(($H33)&gt;0,($W33)/($H33),""),"")</f>
        <v/>
      </c>
      <c r="AD33" s="55">
        <f>SUMIFS(tblMovement[Tonnes_t],tblMovement[Date],$A33,tblMovement[Source_Type],"Stockpile")</f>
        <v/>
      </c>
      <c r="AE33" s="55">
        <f>IF($B33=$B32,$AE32,0)+$AD33</f>
        <v/>
      </c>
      <c r="AF33" s="55">
        <f>$AF32+$AD33</f>
        <v/>
      </c>
      <c r="AG33" s="55">
        <f>SUMIFS(tblMovement[Tonnes_t],tblMovement[Date],$A33)</f>
        <v/>
      </c>
      <c r="AH33" s="55">
        <f>IF($B33=$B32,$AH32,0)+$AG33</f>
        <v/>
      </c>
      <c r="AI33" s="55">
        <f>$AI32+$AG33</f>
        <v/>
      </c>
      <c r="AJ33" s="55">
        <f>$AG33-$X33-$AD33</f>
        <v/>
      </c>
      <c r="AK33" s="55">
        <f>IF($B33=$B32,$AK32,0)+$AJ33</f>
        <v/>
      </c>
      <c r="AL33" s="55">
        <f>$AL32+$AJ33</f>
        <v/>
      </c>
      <c r="AM33" s="55">
        <f>SUMIFS(tblMiningDaily[Drill_m],tblMiningDaily[Date],$A33)</f>
        <v/>
      </c>
      <c r="AN33" s="55">
        <f>IF($B33=$B32,$AN32,0)+$AM33</f>
        <v/>
      </c>
      <c r="AO33" s="55">
        <f>$AO32+$AM33</f>
        <v/>
      </c>
      <c r="AP33" s="55">
        <f>SUMIFS(tblMiningDaily[GC_Drill_m],tblMiningDaily[Date],$A33)</f>
        <v/>
      </c>
      <c r="AQ33" s="55">
        <f>IF($B33=$B32,$AQ32,0)+$AP33</f>
        <v/>
      </c>
      <c r="AR33" s="55">
        <f>$AR32+$AP33</f>
        <v/>
      </c>
      <c r="AS33" s="55">
        <f>SUMIFS(tblMiningDaily[Blast_t],tblMiningDaily[Date],$A33)</f>
        <v/>
      </c>
      <c r="AT33" s="55">
        <f>IF($B33=$B32,$AT32,0)+$AS33</f>
        <v/>
      </c>
      <c r="AU33" s="55">
        <f>$AU32+$AS33</f>
        <v/>
      </c>
      <c r="AV33" s="55">
        <f>SUMIFS(tblMiningDaily[Explosives_kg],tblMiningDaily[Date],$A33)</f>
        <v/>
      </c>
      <c r="AW33" s="55">
        <f>IF($B33=$B32,$AW32,0)+$AV33</f>
        <v/>
      </c>
      <c r="AX33" s="55">
        <f>$AX32+$AV33</f>
        <v/>
      </c>
      <c r="AY33" s="56">
        <f>IFERROR(IF(($AS33)&gt;0,($AV33)/($AS33),""),"")</f>
        <v/>
      </c>
      <c r="AZ33" s="56">
        <f>IFERROR(IF(($AT33)&gt;0,($AW33)/($AT33),""),"")</f>
        <v/>
      </c>
      <c r="BA33" s="56">
        <f>IFERROR(IF(($AU33)&gt;0,($AX33)/($AU33),""),"")</f>
        <v/>
      </c>
      <c r="BB33" s="55">
        <f>SUMIFS(tblMiningDaily[Diesel_L],tblMiningDaily[Date],$A33)</f>
        <v/>
      </c>
      <c r="BC33" s="55">
        <f>IF($B33=$B32,$BC32,0)+$BB33</f>
        <v/>
      </c>
      <c r="BD33" s="55">
        <f>$BD32+$BB33</f>
        <v/>
      </c>
      <c r="BE33" s="55">
        <f>SUMIFS(tblMiningDaily[Dewatering_m3],tblMiningDaily[Date],$A33)</f>
        <v/>
      </c>
      <c r="BF33" s="55">
        <f>IF($B33=$B32,$BF32,0)+$BE33</f>
        <v/>
      </c>
      <c r="BG33" s="55">
        <f>$BG32+$BE33</f>
        <v/>
      </c>
      <c r="BH33" s="57">
        <f>SUMIFS(tblFleet[Calendar_h],tblFleet[Date],$A33,tblFleet[Equipment_Class],"Excavator")</f>
        <v/>
      </c>
      <c r="BI33" s="57">
        <f>IF($B33=$B32,$BI32,0)+$BH33</f>
        <v/>
      </c>
      <c r="BJ33" s="57">
        <f>$BJ32+$BH33</f>
        <v/>
      </c>
      <c r="BK33" s="57">
        <f>SUMIFS(tblFleet[Available_h],tblFleet[Date],$A33,tblFleet[Equipment_Class],"Excavator")</f>
        <v/>
      </c>
      <c r="BL33" s="57">
        <f>IF($B33=$B32,$BL32,0)+$BK33</f>
        <v/>
      </c>
      <c r="BM33" s="57">
        <f>$BM32+$BK33</f>
        <v/>
      </c>
      <c r="BN33" s="57">
        <f>SUMIFS(tblFleet[Operating_h],tblFleet[Date],$A33,tblFleet[Equipment_Class],"Excavator")</f>
        <v/>
      </c>
      <c r="BO33" s="57">
        <f>IF($B33=$B32,$BO32,0)+$BN33</f>
        <v/>
      </c>
      <c r="BP33" s="57">
        <f>$BP32+$BN33</f>
        <v/>
      </c>
      <c r="BQ33" s="67">
        <f>IFERROR(IF(($BH33)&gt;0,($BK33)/($BH33),""),"")</f>
        <v/>
      </c>
      <c r="BR33" s="67">
        <f>IFERROR(IF(($BI33)&gt;0,($BL33)/($BI33),""),"")</f>
        <v/>
      </c>
      <c r="BS33" s="67">
        <f>IFERROR(IF(($BJ33)&gt;0,($BM33)/($BJ33),""),"")</f>
        <v/>
      </c>
      <c r="BT33" s="67">
        <f>IFERROR(IF(($BK33)&gt;0,($BN33)/($BK33),""),"")</f>
        <v/>
      </c>
      <c r="BU33" s="67">
        <f>IFERROR(IF(($BL33)&gt;0,($BO33)/($BL33),""),"")</f>
        <v/>
      </c>
      <c r="BV33" s="67">
        <f>IFERROR(IF(($BM33)&gt;0,($BP33)/($BM33),""),"")</f>
        <v/>
      </c>
      <c r="BW33" s="57">
        <f>SUMIFS(tblFleet[Calendar_h],tblFleet[Date],$A33,tblFleet[Equipment_Class],"Haul Truck")</f>
        <v/>
      </c>
      <c r="BX33" s="57">
        <f>IF($B33=$B32,$BX32,0)+$BW33</f>
        <v/>
      </c>
      <c r="BY33" s="57">
        <f>$BY32+$BW33</f>
        <v/>
      </c>
      <c r="BZ33" s="57">
        <f>SUMIFS(tblFleet[Available_h],tblFleet[Date],$A33,tblFleet[Equipment_Class],"Haul Truck")</f>
        <v/>
      </c>
      <c r="CA33" s="57">
        <f>IF($B33=$B32,$CA32,0)+$BZ33</f>
        <v/>
      </c>
      <c r="CB33" s="57">
        <f>$CB32+$BZ33</f>
        <v/>
      </c>
      <c r="CC33" s="57">
        <f>SUMIFS(tblFleet[Operating_h],tblFleet[Date],$A33,tblFleet[Equipment_Class],"Haul Truck")</f>
        <v/>
      </c>
      <c r="CD33" s="57">
        <f>IF($B33=$B32,$CD32,0)+$CC33</f>
        <v/>
      </c>
      <c r="CE33" s="57">
        <f>$CE32+$CC33</f>
        <v/>
      </c>
      <c r="CF33" s="67">
        <f>IFERROR(IF(($BW33)&gt;0,($BZ33)/($BW33),""),"")</f>
        <v/>
      </c>
      <c r="CG33" s="67">
        <f>IFERROR(IF(($BX33)&gt;0,($CA33)/($BX33),""),"")</f>
        <v/>
      </c>
      <c r="CH33" s="67">
        <f>IFERROR(IF(($BY33)&gt;0,($CB33)/($BY33),""),"")</f>
        <v/>
      </c>
      <c r="CI33" s="67">
        <f>IFERROR(IF(($BZ33)&gt;0,($CC33)/($BZ33),""),"")</f>
        <v/>
      </c>
      <c r="CJ33" s="67">
        <f>IFERROR(IF(($CA33)&gt;0,($CD33)/($CA33),""),"")</f>
        <v/>
      </c>
      <c r="CK33" s="67">
        <f>IFERROR(IF(($CB33)&gt;0,($CE33)/($CB33),""),"")</f>
        <v/>
      </c>
      <c r="CL33" s="55">
        <f>IFERROR(IF(($BN33)&gt;0,($X33+$AD33)/($BN33),""),"")</f>
        <v/>
      </c>
      <c r="CM33" s="55">
        <f>IFERROR(IF(($BO33)&gt;0,($Y33+$AE33)/($BO33),""),"")</f>
        <v/>
      </c>
      <c r="CN33" s="55">
        <f>IFERROR(IF(($BP33)&gt;0,($Z33+$AF33)/($BP33),""),"")</f>
        <v/>
      </c>
      <c r="CO33" s="55">
        <f>IFERROR(IF(($CC33)&gt;0,($X33+$AD33)/($CC33),""),"")</f>
        <v/>
      </c>
      <c r="CP33" s="55">
        <f>IFERROR(IF(($CD33)&gt;0,($Y33+$AE33)/($CD33),""),"")</f>
        <v/>
      </c>
      <c r="CQ33" s="55">
        <f>IFERROR(IF(($CE33)&gt;0,($Z33+$AF33)/($CE33),""),"")</f>
        <v/>
      </c>
      <c r="CR33" s="55">
        <f>SUMIFS(tblPlant[Crushed_t],tblPlant[Date],$A33)</f>
        <v/>
      </c>
      <c r="CS33" s="55">
        <f>IF($B33=$B32,$CS32,0)+$CR33</f>
        <v/>
      </c>
      <c r="CT33" s="55">
        <f>$CT32+$CR33</f>
        <v/>
      </c>
      <c r="CU33" s="55">
        <f>SUMIFS(tblPlant[Milled_t],tblPlant[Date],$A33)</f>
        <v/>
      </c>
      <c r="CV33" s="55">
        <f>IF($B33=$B32,$CV32,0)+$CU33</f>
        <v/>
      </c>
      <c r="CW33" s="55">
        <f>$CW32+$CU33</f>
        <v/>
      </c>
      <c r="CX33" s="55">
        <f>SUMIFS(tblPlant[Feed_oz],tblPlant[Date],$A33)</f>
        <v/>
      </c>
      <c r="CY33" s="55">
        <f>IF($B33=$B32,$CY32,0)+$CX33</f>
        <v/>
      </c>
      <c r="CZ33" s="55">
        <f>$CZ32+$CX33</f>
        <v/>
      </c>
      <c r="DA33" s="55">
        <f>SUMIFS(tblPlant[Tails_oz],tblPlant[Date],$A33)</f>
        <v/>
      </c>
      <c r="DB33" s="55">
        <f>IF($B33=$B32,$DB32,0)+$DA33</f>
        <v/>
      </c>
      <c r="DC33" s="55">
        <f>$DC32+$DA33</f>
        <v/>
      </c>
      <c r="DD33" s="55">
        <f>SUMIFS(tblPlant[Recovered_oz],tblPlant[Date],$A33)</f>
        <v/>
      </c>
      <c r="DE33" s="55">
        <f>IF($B33=$B32,$DE32,0)+$DD33</f>
        <v/>
      </c>
      <c r="DF33" s="55">
        <f>$DF32+$DD33</f>
        <v/>
      </c>
      <c r="DG33" s="55">
        <f>SUMIFS(tblPlant[Milled_t],tblPlant[Date],$A33,tblPlant[Head_Grade_gpt],"&lt;&gt;")</f>
        <v/>
      </c>
      <c r="DH33" s="55">
        <f>IF($B33=$B32,$DH32,0)+$DG33</f>
        <v/>
      </c>
      <c r="DI33" s="55">
        <f>$DI32+$DG33</f>
        <v/>
      </c>
      <c r="DJ33" s="55">
        <f>SUMIFS(tblPlant[Milled_t],tblPlant[Date],$A33,tblPlant[Tails_Grade_gpt],"&lt;&gt;")</f>
        <v/>
      </c>
      <c r="DK33" s="55">
        <f>IF($B33=$B32,$DK32,0)+$DJ33</f>
        <v/>
      </c>
      <c r="DL33" s="55">
        <f>$DL32+$DJ33</f>
        <v/>
      </c>
      <c r="DM33" s="55">
        <f>SUMIFS(tblPlant[Feed_oz],tblPlant[Date],$A33,tblPlant[Tails_Grade_gpt],"&lt;&gt;")</f>
        <v/>
      </c>
      <c r="DN33" s="55">
        <f>IF($B33=$B32,$DN32,0)+$DM33</f>
        <v/>
      </c>
      <c r="DO33" s="55">
        <f>$DO32+$DM33</f>
        <v/>
      </c>
      <c r="DP33" s="55">
        <f>SUMIFS(tblPlant[Milled_t],tblPlant[Date],$A33,tblPlant[Mill_Run_h],"&lt;&gt;")</f>
        <v/>
      </c>
      <c r="DQ33" s="55">
        <f>IF($B33=$B32,$DQ32,0)+$DP33</f>
        <v/>
      </c>
      <c r="DR33" s="55">
        <f>$DR32+$DP33</f>
        <v/>
      </c>
      <c r="DS33" s="56">
        <f>IFERROR(IF(($DG33)&gt;0,($CX33*cfg_TroyOz)/($DG33),""),"")</f>
        <v/>
      </c>
      <c r="DT33" s="56">
        <f>IFERROR(IF(($DH33)&gt;0,($CY33*cfg_TroyOz)/($DH33),""),"")</f>
        <v/>
      </c>
      <c r="DU33" s="56">
        <f>IFERROR(IF(($DI33)&gt;0,($CZ33*cfg_TroyOz)/($DI33),""),"")</f>
        <v/>
      </c>
      <c r="DV33" s="56">
        <f>IFERROR(IF(($DJ33)&gt;0,($DA33*cfg_TroyOz)/($DJ33),""),"")</f>
        <v/>
      </c>
      <c r="DW33" s="56">
        <f>IFERROR(IF(($DK33)&gt;0,($DB33*cfg_TroyOz)/($DK33),""),"")</f>
        <v/>
      </c>
      <c r="DX33" s="56">
        <f>IFERROR(IF(($DL33)&gt;0,($DC33*cfg_TroyOz)/($DL33),""),"")</f>
        <v/>
      </c>
      <c r="DY33" s="67">
        <f>IFERROR(IF(($DM33)&gt;0,($DD33)/($DM33),""),"")</f>
        <v/>
      </c>
      <c r="DZ33" s="67">
        <f>IFERROR(IF(($DN33)&gt;0,($DE33)/($DN33),""),"")</f>
        <v/>
      </c>
      <c r="EA33" s="67">
        <f>IFERROR(IF(($DO33)&gt;0,($DF33)/($DO33),""),"")</f>
        <v/>
      </c>
      <c r="EB33" s="55">
        <f>SUMIFS(tblPlant[Gravity_Gold_oz],tblPlant[Date],$A33)</f>
        <v/>
      </c>
      <c r="EC33" s="55">
        <f>IF($B33=$B32,$EC32,0)+$EB33</f>
        <v/>
      </c>
      <c r="ED33" s="55">
        <f>$ED32+$EB33</f>
        <v/>
      </c>
      <c r="EE33" s="67">
        <f>IFERROR(IF(($DD33)&gt;0,($EB33)/($DD33),""),"")</f>
        <v/>
      </c>
      <c r="EF33" s="67">
        <f>IFERROR(IF(($DE33)&gt;0,($EC33)/($DE33),""),"")</f>
        <v/>
      </c>
      <c r="EG33" s="67">
        <f>IFERROR(IF(($DF33)&gt;0,($ED33)/($DF33),""),"")</f>
        <v/>
      </c>
      <c r="EH33" s="55">
        <f>SUMIFS(tblPlant[Gold_Poured_oz],tblPlant[Date],$A33)</f>
        <v/>
      </c>
      <c r="EI33" s="55">
        <f>IF($B33=$B32,$EI32,0)+$EH33</f>
        <v/>
      </c>
      <c r="EJ33" s="55">
        <f>$EJ32+$EH33</f>
        <v/>
      </c>
      <c r="EK33" s="57">
        <f>SUMIFS(tblPlant[Mill_Run_h],tblPlant[Date],$A33)</f>
        <v/>
      </c>
      <c r="EL33" s="57">
        <f>IF($B33=$B32,$EL32,0)+$EK33</f>
        <v/>
      </c>
      <c r="EM33" s="57">
        <f>$EM32+$EK33</f>
        <v/>
      </c>
      <c r="EN33" s="57">
        <f>SUMIFS(tblPlant[Mill_Planned_Maint_h],tblPlant[Date],$A33)</f>
        <v/>
      </c>
      <c r="EO33" s="57">
        <f>IF($B33=$B32,$EO32,0)+$EN33</f>
        <v/>
      </c>
      <c r="EP33" s="57">
        <f>$EP32+$EN33</f>
        <v/>
      </c>
      <c r="EQ33" s="57">
        <f>SUMIFS(tblPlant[Mill_Unplanned_Down_h],tblPlant[Date],$A33)</f>
        <v/>
      </c>
      <c r="ER33" s="57">
        <f>IF($B33=$B32,$ER32,0)+$EQ33</f>
        <v/>
      </c>
      <c r="ES33" s="57">
        <f>$ES32+$EQ33</f>
        <v/>
      </c>
      <c r="ET33" s="57">
        <f>IF(COUNTIFS(tblPlant[Date],$A33,tblPlant[Mill_Run_h],"&lt;&gt;")+COUNTIFS(tblPlant[Date],$A33,tblPlant[Mill_Planned_Maint_h],"&lt;&gt;")+COUNTIFS(tblPlant[Date],$A33,tblPlant[Mill_Unplanned_Down_h],"&lt;&gt;")&gt;0,cfg_HoursPerDay,0)</f>
        <v/>
      </c>
      <c r="EU33" s="57">
        <f>IF($B33=$B32,$EU32,0)+$ET33</f>
        <v/>
      </c>
      <c r="EV33" s="57">
        <f>$EV32+$ET33</f>
        <v/>
      </c>
      <c r="EW33" s="57">
        <f>SUMIFS(tblPlant[Crusher_Run_h],tblPlant[Date],$A33)</f>
        <v/>
      </c>
      <c r="EX33" s="57">
        <f>IF($B33=$B32,$EX32,0)+$EW33</f>
        <v/>
      </c>
      <c r="EY33" s="57">
        <f>$EY32+$EW33</f>
        <v/>
      </c>
      <c r="EZ33" s="55">
        <f>IFERROR(IF(($EK33)&gt;0,($DP33)/($EK33),""),"")</f>
        <v/>
      </c>
      <c r="FA33" s="55">
        <f>IFERROR(IF(($EL33)&gt;0,($DQ33)/($EL33),""),"")</f>
        <v/>
      </c>
      <c r="FB33" s="55">
        <f>IFERROR(IF(($EM33)&gt;0,($DR33)/($EM33),""),"")</f>
        <v/>
      </c>
      <c r="FC33" s="67">
        <f>IFERROR(IF(($ET33)&gt;0,($ET33-$EN33-$EQ33)/($ET33),""),"")</f>
        <v/>
      </c>
      <c r="FD33" s="67">
        <f>IFERROR(IF(($EU33)&gt;0,($EU33-$EO33-$ER33)/($EU33),""),"")</f>
        <v/>
      </c>
      <c r="FE33" s="67">
        <f>IFERROR(IF(($EV33)&gt;0,($EV33-$EP33-$ES33)/($EV33),""),"")</f>
        <v/>
      </c>
      <c r="FF33" s="67">
        <f>IFERROR(IF(($ET33-$EN33-$EQ33)&gt;0,($EK33)/($ET33-$EN33-$EQ33),""),"")</f>
        <v/>
      </c>
      <c r="FG33" s="67">
        <f>IFERROR(IF(($EU33-$EO33-$ER33)&gt;0,($EL33)/($EU33-$EO33-$ER33),""),"")</f>
        <v/>
      </c>
      <c r="FH33" s="67">
        <f>IFERROR(IF(($EV33-$EP33-$ES33)&gt;0,($EM33)/($EV33-$EP33-$ES33),""),"")</f>
        <v/>
      </c>
      <c r="FI33" s="55">
        <f>SUMIFS(tblPlant[Cyanide_kg],tblPlant[Date],$A33)</f>
        <v/>
      </c>
      <c r="FJ33" s="55">
        <f>IF($B33=$B32,$FJ32,0)+$FI33</f>
        <v/>
      </c>
      <c r="FK33" s="55">
        <f>$FK32+$FI33</f>
        <v/>
      </c>
      <c r="FL33" s="55">
        <f>SUMIFS(tblPlant[Lime_kg],tblPlant[Date],$A33)</f>
        <v/>
      </c>
      <c r="FM33" s="55">
        <f>IF($B33=$B32,$FM32,0)+$FL33</f>
        <v/>
      </c>
      <c r="FN33" s="55">
        <f>$FN32+$FL33</f>
        <v/>
      </c>
      <c r="FO33" s="55">
        <f>SUMIFS(tblPlant[Grinding_Media_kg],tblPlant[Date],$A33)</f>
        <v/>
      </c>
      <c r="FP33" s="55">
        <f>IF($B33=$B32,$FP32,0)+$FO33</f>
        <v/>
      </c>
      <c r="FQ33" s="55">
        <f>$FQ32+$FO33</f>
        <v/>
      </c>
      <c r="FR33" s="55">
        <f>SUMIFS(tblPlant[Power_kWh],tblPlant[Date],$A33)</f>
        <v/>
      </c>
      <c r="FS33" s="55">
        <f>IF($B33=$B32,$FS32,0)+$FR33</f>
        <v/>
      </c>
      <c r="FT33" s="55">
        <f>$FT32+$FR33</f>
        <v/>
      </c>
      <c r="FU33" s="55">
        <f>SUMIFS(tblPlant[Raw_Water_m3],tblPlant[Date],$A33)</f>
        <v/>
      </c>
      <c r="FV33" s="55">
        <f>IF($B33=$B32,$FV32,0)+$FU33</f>
        <v/>
      </c>
      <c r="FW33" s="55">
        <f>$FW32+$FU33</f>
        <v/>
      </c>
      <c r="FX33" s="56">
        <f>IFERROR(IF(($CU33)&gt;0,($FI33)/($CU33),""),"")</f>
        <v/>
      </c>
      <c r="FY33" s="56">
        <f>IFERROR(IF(($CV33)&gt;0,($FJ33)/($CV33),""),"")</f>
        <v/>
      </c>
      <c r="FZ33" s="56">
        <f>IFERROR(IF(($CW33)&gt;0,($FK33)/($CW33),""),"")</f>
        <v/>
      </c>
      <c r="GA33" s="56">
        <f>IFERROR(IF(($CU33)&gt;0,($FL33)/($CU33),""),"")</f>
        <v/>
      </c>
      <c r="GB33" s="56">
        <f>IFERROR(IF(($CV33)&gt;0,($FM33)/($CV33),""),"")</f>
        <v/>
      </c>
      <c r="GC33" s="56">
        <f>IFERROR(IF(($CW33)&gt;0,($FN33)/($CW33),""),"")</f>
        <v/>
      </c>
      <c r="GD33" s="56">
        <f>IFERROR(IF(($CU33)&gt;0,($FO33)/($CU33),""),"")</f>
        <v/>
      </c>
      <c r="GE33" s="56">
        <f>IFERROR(IF(($CV33)&gt;0,($FP33)/($CV33),""),"")</f>
        <v/>
      </c>
      <c r="GF33" s="56">
        <f>IFERROR(IF(($CW33)&gt;0,($FQ33)/($CW33),""),"")</f>
        <v/>
      </c>
      <c r="GG33" s="79">
        <f>IFERROR(IF(($CU33)&gt;0,($FR33)/($CU33),""),"")</f>
        <v/>
      </c>
      <c r="GH33" s="79">
        <f>IFERROR(IF(($CV33)&gt;0,($FS33)/($CV33),""),"")</f>
        <v/>
      </c>
      <c r="GI33" s="79">
        <f>IFERROR(IF(($CW33)&gt;0,($FT33)/($CW33),""),"")</f>
        <v/>
      </c>
      <c r="GJ33" s="56">
        <f>IFERROR(IF(($CU33)&gt;0,($FU33)/($CU33),""),"")</f>
        <v/>
      </c>
      <c r="GK33" s="56">
        <f>IFERROR(IF(($CV33)&gt;0,($FV33)/($CV33),""),"")</f>
        <v/>
      </c>
      <c r="GL33" s="56">
        <f>IFERROR(IF(($CW33)&gt;0,($FW33)/($CW33),""),"")</f>
        <v/>
      </c>
      <c r="GM33" s="55">
        <f>IF(SUMIFS(tblPlant[GIC_oz],tblPlant[Date],$A33)&gt;0,SUMIFS(tblPlant[GIC_oz],tblPlant[Date],$A33),"")</f>
        <v/>
      </c>
      <c r="GN33" s="55">
        <f>SUMIFS(tblGold[Gold_oz],tblGold[Date],$A33,tblGold[Type],"Shipment")</f>
        <v/>
      </c>
      <c r="GO33" s="55">
        <f>IF($B33=$B32,$GO32,0)+$GN33</f>
        <v/>
      </c>
      <c r="GP33" s="55">
        <f>$GP32+$GN33</f>
        <v/>
      </c>
      <c r="GQ33" s="55">
        <f>SUMIFS(tblGold[Gold_oz],tblGold[Date],$A33,tblGold[Type],"Sale")</f>
        <v/>
      </c>
      <c r="GR33" s="55">
        <f>IF($B33=$B32,$GR32,0)+$GQ33</f>
        <v/>
      </c>
      <c r="GS33" s="55">
        <f>$GS32+$GQ33</f>
        <v/>
      </c>
      <c r="GT33" s="55">
        <f>SUMIFS(tblGold[Dore_kg],tblGold[Date],$A33,tblGold[Type],"Shipment")</f>
        <v/>
      </c>
      <c r="GU33" s="55">
        <f>IF($B33=$B32,$GU32,0)+$GT33</f>
        <v/>
      </c>
      <c r="GV33" s="55">
        <f>$GV32+$GT33</f>
        <v/>
      </c>
      <c r="GW33" s="57">
        <f>SUMIFS(tblSafety[Hours_Total],tblSafety[Date],$A33)</f>
        <v/>
      </c>
      <c r="GX33" s="57">
        <f>IF($B33=$B32,$GX32,0)+$GW33</f>
        <v/>
      </c>
      <c r="GY33" s="57">
        <f>$GY32+$GW33</f>
        <v/>
      </c>
      <c r="GZ33" s="62">
        <f>SUMIFS(tblSafety[Fatality],tblSafety[Date],$A33)</f>
        <v/>
      </c>
      <c r="HA33" s="62">
        <f>IF($B33=$B32,$HA32,0)+$GZ33</f>
        <v/>
      </c>
      <c r="HB33" s="62">
        <f>$HB32+$GZ33</f>
        <v/>
      </c>
      <c r="HC33" s="62">
        <f>SUMIFS(tblSafety[LTI],tblSafety[Date],$A33)</f>
        <v/>
      </c>
      <c r="HD33" s="62">
        <f>IF($B33=$B32,$HD32,0)+$HC33</f>
        <v/>
      </c>
      <c r="HE33" s="62">
        <f>$HE32+$HC33</f>
        <v/>
      </c>
      <c r="HF33" s="62">
        <f>SUMIFS(tblSafety[RWI],tblSafety[Date],$A33)</f>
        <v/>
      </c>
      <c r="HG33" s="62">
        <f>IF($B33=$B32,$HG32,0)+$HF33</f>
        <v/>
      </c>
      <c r="HH33" s="62">
        <f>$HH32+$HF33</f>
        <v/>
      </c>
      <c r="HI33" s="62">
        <f>SUMIFS(tblSafety[MTI],tblSafety[Date],$A33)</f>
        <v/>
      </c>
      <c r="HJ33" s="62">
        <f>IF($B33=$B32,$HJ32,0)+$HI33</f>
        <v/>
      </c>
      <c r="HK33" s="62">
        <f>$HK32+$HI33</f>
        <v/>
      </c>
      <c r="HL33" s="62">
        <f>SUMIFS(tblSafety[FAI],tblSafety[Date],$A33)</f>
        <v/>
      </c>
      <c r="HM33" s="62">
        <f>IF($B33=$B32,$HM32,0)+$HL33</f>
        <v/>
      </c>
      <c r="HN33" s="62">
        <f>$HN32+$HL33</f>
        <v/>
      </c>
      <c r="HO33" s="62">
        <f>SUMIFS(tblSafety[Recordables],tblSafety[Date],$A33)</f>
        <v/>
      </c>
      <c r="HP33" s="62">
        <f>IF($B33=$B32,$HP32,0)+$HO33</f>
        <v/>
      </c>
      <c r="HQ33" s="62">
        <f>$HQ32+$HO33</f>
        <v/>
      </c>
      <c r="HR33" s="62">
        <f>SUMIFS(tblSafety[Near_Miss],tblSafety[Date],$A33)</f>
        <v/>
      </c>
      <c r="HS33" s="62">
        <f>IF($B33=$B32,$HS32,0)+$HR33</f>
        <v/>
      </c>
      <c r="HT33" s="62">
        <f>$HT32+$HR33</f>
        <v/>
      </c>
      <c r="HU33" s="62">
        <f>SUMIFS(tblSafety[Hazard_Reports],tblSafety[Date],$A33)</f>
        <v/>
      </c>
      <c r="HV33" s="62">
        <f>IF($B33=$B32,$HV32,0)+$HU33</f>
        <v/>
      </c>
      <c r="HW33" s="62">
        <f>$HW32+$HU33</f>
        <v/>
      </c>
      <c r="HX33" s="62">
        <f>SUMIFS(tblSafety[HPI],tblSafety[Date],$A33)</f>
        <v/>
      </c>
      <c r="HY33" s="62">
        <f>IF($B33=$B32,$HY32,0)+$HX33</f>
        <v/>
      </c>
      <c r="HZ33" s="62">
        <f>$HZ32+$HX33</f>
        <v/>
      </c>
      <c r="IA33" s="62">
        <f>SUMIFS(tblSafety[Env_Incidents],tblSafety[Date],$A33)</f>
        <v/>
      </c>
      <c r="IB33" s="62">
        <f>IF($B33=$B32,$IB32,0)+$IA33</f>
        <v/>
      </c>
      <c r="IC33" s="62">
        <f>$IC32+$IA33</f>
        <v/>
      </c>
      <c r="ID33" s="62">
        <f>SUMIFS(tblSafety[Community_Incidents],tblSafety[Date],$A33)</f>
        <v/>
      </c>
      <c r="IE33" s="62">
        <f>IF($B33=$B32,$IE32,0)+$ID33</f>
        <v/>
      </c>
      <c r="IF33" s="62">
        <f>$IF32+$ID33</f>
        <v/>
      </c>
      <c r="IG33" s="62">
        <f>SUMIFS(tblSafety[Vehicle_Incidents],tblSafety[Date],$A33)</f>
        <v/>
      </c>
      <c r="IH33" s="62">
        <f>IF($B33=$B32,$IH32,0)+$IG33</f>
        <v/>
      </c>
      <c r="II33" s="62">
        <f>$II32+$IG33</f>
        <v/>
      </c>
      <c r="IJ33" s="62">
        <f>SUMIFS(tblSafety[Toolbox_Talks],tblSafety[Date],$A33)</f>
        <v/>
      </c>
      <c r="IK33" s="62">
        <f>IF($B33=$B32,$IK32,0)+$IJ33</f>
        <v/>
      </c>
      <c r="IL33" s="62">
        <f>$IL32+$IJ33</f>
        <v/>
      </c>
      <c r="IM33" s="62">
        <f>SUMIFS(tblSafety[Inspections],tblSafety[Date],$A33)</f>
        <v/>
      </c>
      <c r="IN33" s="62">
        <f>IF($B33=$B32,$IN32,0)+$IM33</f>
        <v/>
      </c>
      <c r="IO33" s="62">
        <f>$IO32+$IM33</f>
        <v/>
      </c>
      <c r="IP33" s="56">
        <f>IFERROR((SUMIFS(tblSafety[Recordables],tblSafety[Date],"&gt;="&amp;EDATE($E33,-12),tblSafety[Date],"&lt;="&amp;$A33)+SUMIFS(tblSafetyHistory[Recordables],tblSafetyHistory[Month],"&gt;="&amp;EDATE($E33,-12),tblSafetyHistory[Month],"&lt;"&amp;$E33,tblSafetyHistory[Use],1))/(SUMIFS(tblSafety[Hours_Total],tblSafety[Date],"&gt;="&amp;EDATE($E33,-12),tblSafety[Date],"&lt;="&amp;$A33)+SUMIFS(tblSafetyHistory[Hours_Total],tblSafetyHistory[Month],"&gt;="&amp;EDATE($E33,-12),tblSafetyHistory[Month],"&lt;"&amp;$E33,tblSafetyHistory[Use],1))*cfg_RateBasisHours,"")</f>
        <v/>
      </c>
      <c r="IQ33" s="56">
        <f>IFERROR((SUMIFS(tblSafety[LTI],tblSafety[Date],"&gt;="&amp;EDATE($E33,-12),tblSafety[Date],"&lt;="&amp;$A33)+SUMIFS(tblSafetyHistory[LTI],tblSafetyHistory[Month],"&gt;="&amp;EDATE($E33,-12),tblSafetyHistory[Month],"&lt;"&amp;$E33,tblSafetyHistory[Use],1))/(SUMIFS(tblSafety[Hours_Total],tblSafety[Date],"&gt;="&amp;EDATE($E33,-12),tblSafety[Date],"&lt;="&amp;$A33)+SUMIFS(tblSafetyHistory[Hours_Total],tblSafetyHistory[Month],"&gt;="&amp;EDATE($E33,-12),tblSafetyHistory[Month],"&lt;"&amp;$E33,tblSafetyHistory[Use],1))*cfg_RateBasisHours,"")</f>
        <v/>
      </c>
      <c r="IR33" s="62">
        <f>IF(MAX(N(cfg_PriorLTIDate),_xlfn.MAXIFS(tblSafety[Date],tblSafety[LTI],"&gt;0",tblSafety[Date],"&lt;="&amp;$A33))=0,"",$A33-MAX(N(cfg_PriorLTIDate),_xlfn.MAXIFS(tblSafety[Date],tblSafety[LTI],"&gt;0",tblSafety[Date],"&lt;="&amp;$A33)))</f>
        <v/>
      </c>
      <c r="IS33" s="55">
        <f>SUMIFS(tblBudget[Ore_Mined_t],tblBudget[Month],$E33)</f>
        <v/>
      </c>
      <c r="IT33" s="55">
        <f>$IS33*$C33/$D33</f>
        <v/>
      </c>
      <c r="IU33" s="55">
        <f>SUMIFS(tblBudget[Ore_Mined_t],tblBudget[Month],"&lt;"&amp;$E33)+$IT33</f>
        <v/>
      </c>
      <c r="IV33" s="55">
        <f>SUMIFS(tblBudget[Ore_oz],tblBudget[Month],$E33)</f>
        <v/>
      </c>
      <c r="IW33" s="55">
        <f>$IV33*$C33/$D33</f>
        <v/>
      </c>
      <c r="IX33" s="55">
        <f>SUMIFS(tblBudget[Ore_oz],tblBudget[Month],"&lt;"&amp;$E33)+$IW33</f>
        <v/>
      </c>
      <c r="IY33" s="55">
        <f>SUMIFS(tblBudget[Ore_Mined_t],tblBudget[Month],$E33)</f>
        <v/>
      </c>
      <c r="IZ33" s="55">
        <f>$IY33*$C33/$D33</f>
        <v/>
      </c>
      <c r="JA33" s="55">
        <f>SUMIFS(tblBudget[Ore_Mined_t],tblBudget[Month],"&lt;"&amp;$E33)+$IZ33</f>
        <v/>
      </c>
      <c r="JB33" s="56">
        <f>IFERROR(IF(($IY33)&gt;0,($IV33*cfg_TroyOz)/($IY33),""),"")</f>
        <v/>
      </c>
      <c r="JC33" s="56">
        <f>IFERROR(IF(($IZ33)&gt;0,($IW33*cfg_TroyOz)/($IZ33),""),"")</f>
        <v/>
      </c>
      <c r="JD33" s="56">
        <f>IFERROR(IF(($JA33)&gt;0,($IX33*cfg_TroyOz)/($JA33),""),"")</f>
        <v/>
      </c>
      <c r="JE33" s="55">
        <f>SUMIFS(tblBudget[Waste_t],tblBudget[Month],$E33)</f>
        <v/>
      </c>
      <c r="JF33" s="55">
        <f>$JE33*$C33/$D33</f>
        <v/>
      </c>
      <c r="JG33" s="55">
        <f>SUMIFS(tblBudget[Waste_t],tblBudget[Month],"&lt;"&amp;$E33)+$JF33</f>
        <v/>
      </c>
      <c r="JH33" s="55">
        <f>SUMIFS(tblBudget[TMM_t],tblBudget[Month],$E33)</f>
        <v/>
      </c>
      <c r="JI33" s="55">
        <f>$JH33*$C33/$D33</f>
        <v/>
      </c>
      <c r="JJ33" s="55">
        <f>SUMIFS(tblBudget[TMM_t],tblBudget[Month],"&lt;"&amp;$E33)+$JI33</f>
        <v/>
      </c>
      <c r="JK33" s="56">
        <f>IFERROR(IF(($IS33)&gt;0,($JE33)/($IS33),""),"")</f>
        <v/>
      </c>
      <c r="JL33" s="56">
        <f>IFERROR(IF(($IT33)&gt;0,($JF33)/($IT33),""),"")</f>
        <v/>
      </c>
      <c r="JM33" s="56">
        <f>IFERROR(IF(($IU33)&gt;0,($JG33)/($IU33),""),"")</f>
        <v/>
      </c>
      <c r="JN33" s="55">
        <f>SUMIFS(tblBudget[Drill_m],tblBudget[Month],$E33)</f>
        <v/>
      </c>
      <c r="JO33" s="55">
        <f>$JN33*$C33/$D33</f>
        <v/>
      </c>
      <c r="JP33" s="55">
        <f>SUMIFS(tblBudget[Drill_m],tblBudget[Month],"&lt;"&amp;$E33)+$JO33</f>
        <v/>
      </c>
      <c r="JQ33" s="55">
        <f>SUMIFS(tblBudget[Diesel_L],tblBudget[Month],$E33)</f>
        <v/>
      </c>
      <c r="JR33" s="55">
        <f>$JQ33*$C33/$D33</f>
        <v/>
      </c>
      <c r="JS33" s="55">
        <f>SUMIFS(tblBudget[Diesel_L],tblBudget[Month],"&lt;"&amp;$E33)+$JR33</f>
        <v/>
      </c>
      <c r="JT33" s="55">
        <f>SUMIFS(tblBudget[Milled_t],tblBudget[Month],$E33)</f>
        <v/>
      </c>
      <c r="JU33" s="55">
        <f>$JT33*$C33/$D33</f>
        <v/>
      </c>
      <c r="JV33" s="55">
        <f>SUMIFS(tblBudget[Milled_t],tblBudget[Month],"&lt;"&amp;$E33)+$JU33</f>
        <v/>
      </c>
      <c r="JW33" s="55">
        <f>SUMIFS(tblBudget[Feed_oz],tblBudget[Month],$E33)</f>
        <v/>
      </c>
      <c r="JX33" s="55">
        <f>$JW33*$C33/$D33</f>
        <v/>
      </c>
      <c r="JY33" s="55">
        <f>SUMIFS(tblBudget[Feed_oz],tblBudget[Month],"&lt;"&amp;$E33)+$JX33</f>
        <v/>
      </c>
      <c r="JZ33" s="55">
        <f>SUMIFS(tblBudget[Recovered_oz],tblBudget[Month],$E33)</f>
        <v/>
      </c>
      <c r="KA33" s="55">
        <f>$JZ33*$C33/$D33</f>
        <v/>
      </c>
      <c r="KB33" s="55">
        <f>SUMIFS(tblBudget[Recovered_oz],tblBudget[Month],"&lt;"&amp;$E33)+$KA33</f>
        <v/>
      </c>
      <c r="KC33" s="55">
        <f>SUMIFS(tblBudget[Milled_t],tblBudget[Month],$E33)</f>
        <v/>
      </c>
      <c r="KD33" s="55">
        <f>$KC33*$C33/$D33</f>
        <v/>
      </c>
      <c r="KE33" s="55">
        <f>SUMIFS(tblBudget[Milled_t],tblBudget[Month],"&lt;"&amp;$E33)+$KD33</f>
        <v/>
      </c>
      <c r="KF33" s="55">
        <f>SUMIFS(tblBudget[Feed_oz],tblBudget[Month],$E33)</f>
        <v/>
      </c>
      <c r="KG33" s="55">
        <f>$KF33*$C33/$D33</f>
        <v/>
      </c>
      <c r="KH33" s="55">
        <f>SUMIFS(tblBudget[Feed_oz],tblBudget[Month],"&lt;"&amp;$E33)+$KG33</f>
        <v/>
      </c>
      <c r="KI33" s="56">
        <f>IFERROR(IF(($KC33)&gt;0,($JW33*cfg_TroyOz)/($KC33),""),"")</f>
        <v/>
      </c>
      <c r="KJ33" s="56">
        <f>IFERROR(IF(($KD33)&gt;0,($JX33*cfg_TroyOz)/($KD33),""),"")</f>
        <v/>
      </c>
      <c r="KK33" s="56">
        <f>IFERROR(IF(($KE33)&gt;0,($JY33*cfg_TroyOz)/($KE33),""),"")</f>
        <v/>
      </c>
      <c r="KL33" s="67">
        <f>IFERROR(IF(($KF33)&gt;0,($JZ33)/($KF33),""),"")</f>
        <v/>
      </c>
      <c r="KM33" s="67">
        <f>IFERROR(IF(($KG33)&gt;0,($KA33)/($KG33),""),"")</f>
        <v/>
      </c>
      <c r="KN33" s="67">
        <f>IFERROR(IF(($KH33)&gt;0,($KB33)/($KH33),""),"")</f>
        <v/>
      </c>
      <c r="KO33" s="55">
        <f>SUMIFS(tblBudget[Gold_Poured_oz],tblBudget[Month],$E33)</f>
        <v/>
      </c>
      <c r="KP33" s="55">
        <f>$KO33*$C33/$D33</f>
        <v/>
      </c>
      <c r="KQ33" s="55">
        <f>SUMIFS(tblBudget[Gold_Poured_oz],tblBudget[Month],"&lt;"&amp;$E33)+$KP33</f>
        <v/>
      </c>
      <c r="KR33" s="57">
        <f>SUMIFS(tblBudget[Hours_Worked],tblBudget[Month],$E33)</f>
        <v/>
      </c>
      <c r="KS33" s="57">
        <f>$KR33*$C33/$D33</f>
        <v/>
      </c>
      <c r="KT33" s="57">
        <f>SUMIFS(tblBudget[Hours_Worked],tblBudget[Month],"&lt;"&amp;$E33)+$KS33</f>
        <v/>
      </c>
    </row>
    <row r="34">
      <c r="A34" s="54" t="n">
        <v>46055</v>
      </c>
      <c r="B34">
        <f>MONTH($A34)</f>
        <v/>
      </c>
      <c r="C34">
        <f>DAY($A34)</f>
        <v/>
      </c>
      <c r="D34">
        <f>DAY(EOMONTH($A34,0))</f>
        <v/>
      </c>
      <c r="E34" s="54">
        <f>DATE(YEAR($A34),MONTH($A34),1)</f>
        <v/>
      </c>
      <c r="F34" s="55">
        <f>SUMIFS(tblMovement[Tonnes_t],tblMovement[Date],$A34,tblMovement[Is_Ore],1,tblMovement[Source_Type],"Pit")</f>
        <v/>
      </c>
      <c r="G34" s="55">
        <f>IF($B34=$B33,$G33,0)+$F34</f>
        <v/>
      </c>
      <c r="H34" s="55">
        <f>$H33+$F34</f>
        <v/>
      </c>
      <c r="I34" s="55">
        <f>SUMIFS(tblMovement[Ore_oz],tblMovement[Date],$A34,tblMovement[Source_Type],"Pit")</f>
        <v/>
      </c>
      <c r="J34" s="55">
        <f>IF($B34=$B33,$J33,0)+$I34</f>
        <v/>
      </c>
      <c r="K34" s="55">
        <f>$K33+$I34</f>
        <v/>
      </c>
      <c r="L34" s="55">
        <f>SUMIFS(tblMovement[Tonnes_t],tblMovement[Date],$A34,tblMovement[Is_Ore],1,tblMovement[Source_Type],"Pit",tblMovement[Grade_gpt],"&lt;&gt;")</f>
        <v/>
      </c>
      <c r="M34" s="55">
        <f>IF($B34=$B33,$M33,0)+$L34</f>
        <v/>
      </c>
      <c r="N34" s="55">
        <f>$N33+$L34</f>
        <v/>
      </c>
      <c r="O34" s="56">
        <f>IFERROR(IF(($L34)&gt;0,($I34*cfg_TroyOz)/($L34),""),"")</f>
        <v/>
      </c>
      <c r="P34" s="56">
        <f>IFERROR(IF(($M34)&gt;0,($J34*cfg_TroyOz)/($M34),""),"")</f>
        <v/>
      </c>
      <c r="Q34" s="56">
        <f>IFERROR(IF(($N34)&gt;0,($K34*cfg_TroyOz)/($N34),""),"")</f>
        <v/>
      </c>
      <c r="R34" s="55">
        <f>$F34-$L34</f>
        <v/>
      </c>
      <c r="S34" s="55">
        <f>IF($B34=$B33,$S33,0)+$R34</f>
        <v/>
      </c>
      <c r="T34" s="55">
        <f>$T33+$R34</f>
        <v/>
      </c>
      <c r="U34" s="55">
        <f>SUMIFS(tblMovement[Tonnes_t],tblMovement[Date],$A34,tblMovement[Is_Ore],0,tblMovement[Source_Type],"Pit")</f>
        <v/>
      </c>
      <c r="V34" s="55">
        <f>IF($B34=$B33,$V33,0)+$U34</f>
        <v/>
      </c>
      <c r="W34" s="55">
        <f>$W33+$U34</f>
        <v/>
      </c>
      <c r="X34" s="55">
        <f>$F34+$U34</f>
        <v/>
      </c>
      <c r="Y34" s="55">
        <f>IF($B34=$B33,$Y33,0)+$X34</f>
        <v/>
      </c>
      <c r="Z34" s="55">
        <f>$Z33+$X34</f>
        <v/>
      </c>
      <c r="AA34" s="56">
        <f>IFERROR(IF(($F34)&gt;0,($U34)/($F34),""),"")</f>
        <v/>
      </c>
      <c r="AB34" s="56">
        <f>IFERROR(IF(($G34)&gt;0,($V34)/($G34),""),"")</f>
        <v/>
      </c>
      <c r="AC34" s="56">
        <f>IFERROR(IF(($H34)&gt;0,($W34)/($H34),""),"")</f>
        <v/>
      </c>
      <c r="AD34" s="55">
        <f>SUMIFS(tblMovement[Tonnes_t],tblMovement[Date],$A34,tblMovement[Source_Type],"Stockpile")</f>
        <v/>
      </c>
      <c r="AE34" s="55">
        <f>IF($B34=$B33,$AE33,0)+$AD34</f>
        <v/>
      </c>
      <c r="AF34" s="55">
        <f>$AF33+$AD34</f>
        <v/>
      </c>
      <c r="AG34" s="55">
        <f>SUMIFS(tblMovement[Tonnes_t],tblMovement[Date],$A34)</f>
        <v/>
      </c>
      <c r="AH34" s="55">
        <f>IF($B34=$B33,$AH33,0)+$AG34</f>
        <v/>
      </c>
      <c r="AI34" s="55">
        <f>$AI33+$AG34</f>
        <v/>
      </c>
      <c r="AJ34" s="55">
        <f>$AG34-$X34-$AD34</f>
        <v/>
      </c>
      <c r="AK34" s="55">
        <f>IF($B34=$B33,$AK33,0)+$AJ34</f>
        <v/>
      </c>
      <c r="AL34" s="55">
        <f>$AL33+$AJ34</f>
        <v/>
      </c>
      <c r="AM34" s="55">
        <f>SUMIFS(tblMiningDaily[Drill_m],tblMiningDaily[Date],$A34)</f>
        <v/>
      </c>
      <c r="AN34" s="55">
        <f>IF($B34=$B33,$AN33,0)+$AM34</f>
        <v/>
      </c>
      <c r="AO34" s="55">
        <f>$AO33+$AM34</f>
        <v/>
      </c>
      <c r="AP34" s="55">
        <f>SUMIFS(tblMiningDaily[GC_Drill_m],tblMiningDaily[Date],$A34)</f>
        <v/>
      </c>
      <c r="AQ34" s="55">
        <f>IF($B34=$B33,$AQ33,0)+$AP34</f>
        <v/>
      </c>
      <c r="AR34" s="55">
        <f>$AR33+$AP34</f>
        <v/>
      </c>
      <c r="AS34" s="55">
        <f>SUMIFS(tblMiningDaily[Blast_t],tblMiningDaily[Date],$A34)</f>
        <v/>
      </c>
      <c r="AT34" s="55">
        <f>IF($B34=$B33,$AT33,0)+$AS34</f>
        <v/>
      </c>
      <c r="AU34" s="55">
        <f>$AU33+$AS34</f>
        <v/>
      </c>
      <c r="AV34" s="55">
        <f>SUMIFS(tblMiningDaily[Explosives_kg],tblMiningDaily[Date],$A34)</f>
        <v/>
      </c>
      <c r="AW34" s="55">
        <f>IF($B34=$B33,$AW33,0)+$AV34</f>
        <v/>
      </c>
      <c r="AX34" s="55">
        <f>$AX33+$AV34</f>
        <v/>
      </c>
      <c r="AY34" s="56">
        <f>IFERROR(IF(($AS34)&gt;0,($AV34)/($AS34),""),"")</f>
        <v/>
      </c>
      <c r="AZ34" s="56">
        <f>IFERROR(IF(($AT34)&gt;0,($AW34)/($AT34),""),"")</f>
        <v/>
      </c>
      <c r="BA34" s="56">
        <f>IFERROR(IF(($AU34)&gt;0,($AX34)/($AU34),""),"")</f>
        <v/>
      </c>
      <c r="BB34" s="55">
        <f>SUMIFS(tblMiningDaily[Diesel_L],tblMiningDaily[Date],$A34)</f>
        <v/>
      </c>
      <c r="BC34" s="55">
        <f>IF($B34=$B33,$BC33,0)+$BB34</f>
        <v/>
      </c>
      <c r="BD34" s="55">
        <f>$BD33+$BB34</f>
        <v/>
      </c>
      <c r="BE34" s="55">
        <f>SUMIFS(tblMiningDaily[Dewatering_m3],tblMiningDaily[Date],$A34)</f>
        <v/>
      </c>
      <c r="BF34" s="55">
        <f>IF($B34=$B33,$BF33,0)+$BE34</f>
        <v/>
      </c>
      <c r="BG34" s="55">
        <f>$BG33+$BE34</f>
        <v/>
      </c>
      <c r="BH34" s="57">
        <f>SUMIFS(tblFleet[Calendar_h],tblFleet[Date],$A34,tblFleet[Equipment_Class],"Excavator")</f>
        <v/>
      </c>
      <c r="BI34" s="57">
        <f>IF($B34=$B33,$BI33,0)+$BH34</f>
        <v/>
      </c>
      <c r="BJ34" s="57">
        <f>$BJ33+$BH34</f>
        <v/>
      </c>
      <c r="BK34" s="57">
        <f>SUMIFS(tblFleet[Available_h],tblFleet[Date],$A34,tblFleet[Equipment_Class],"Excavator")</f>
        <v/>
      </c>
      <c r="BL34" s="57">
        <f>IF($B34=$B33,$BL33,0)+$BK34</f>
        <v/>
      </c>
      <c r="BM34" s="57">
        <f>$BM33+$BK34</f>
        <v/>
      </c>
      <c r="BN34" s="57">
        <f>SUMIFS(tblFleet[Operating_h],tblFleet[Date],$A34,tblFleet[Equipment_Class],"Excavator")</f>
        <v/>
      </c>
      <c r="BO34" s="57">
        <f>IF($B34=$B33,$BO33,0)+$BN34</f>
        <v/>
      </c>
      <c r="BP34" s="57">
        <f>$BP33+$BN34</f>
        <v/>
      </c>
      <c r="BQ34" s="67">
        <f>IFERROR(IF(($BH34)&gt;0,($BK34)/($BH34),""),"")</f>
        <v/>
      </c>
      <c r="BR34" s="67">
        <f>IFERROR(IF(($BI34)&gt;0,($BL34)/($BI34),""),"")</f>
        <v/>
      </c>
      <c r="BS34" s="67">
        <f>IFERROR(IF(($BJ34)&gt;0,($BM34)/($BJ34),""),"")</f>
        <v/>
      </c>
      <c r="BT34" s="67">
        <f>IFERROR(IF(($BK34)&gt;0,($BN34)/($BK34),""),"")</f>
        <v/>
      </c>
      <c r="BU34" s="67">
        <f>IFERROR(IF(($BL34)&gt;0,($BO34)/($BL34),""),"")</f>
        <v/>
      </c>
      <c r="BV34" s="67">
        <f>IFERROR(IF(($BM34)&gt;0,($BP34)/($BM34),""),"")</f>
        <v/>
      </c>
      <c r="BW34" s="57">
        <f>SUMIFS(tblFleet[Calendar_h],tblFleet[Date],$A34,tblFleet[Equipment_Class],"Haul Truck")</f>
        <v/>
      </c>
      <c r="BX34" s="57">
        <f>IF($B34=$B33,$BX33,0)+$BW34</f>
        <v/>
      </c>
      <c r="BY34" s="57">
        <f>$BY33+$BW34</f>
        <v/>
      </c>
      <c r="BZ34" s="57">
        <f>SUMIFS(tblFleet[Available_h],tblFleet[Date],$A34,tblFleet[Equipment_Class],"Haul Truck")</f>
        <v/>
      </c>
      <c r="CA34" s="57">
        <f>IF($B34=$B33,$CA33,0)+$BZ34</f>
        <v/>
      </c>
      <c r="CB34" s="57">
        <f>$CB33+$BZ34</f>
        <v/>
      </c>
      <c r="CC34" s="57">
        <f>SUMIFS(tblFleet[Operating_h],tblFleet[Date],$A34,tblFleet[Equipment_Class],"Haul Truck")</f>
        <v/>
      </c>
      <c r="CD34" s="57">
        <f>IF($B34=$B33,$CD33,0)+$CC34</f>
        <v/>
      </c>
      <c r="CE34" s="57">
        <f>$CE33+$CC34</f>
        <v/>
      </c>
      <c r="CF34" s="67">
        <f>IFERROR(IF(($BW34)&gt;0,($BZ34)/($BW34),""),"")</f>
        <v/>
      </c>
      <c r="CG34" s="67">
        <f>IFERROR(IF(($BX34)&gt;0,($CA34)/($BX34),""),"")</f>
        <v/>
      </c>
      <c r="CH34" s="67">
        <f>IFERROR(IF(($BY34)&gt;0,($CB34)/($BY34),""),"")</f>
        <v/>
      </c>
      <c r="CI34" s="67">
        <f>IFERROR(IF(($BZ34)&gt;0,($CC34)/($BZ34),""),"")</f>
        <v/>
      </c>
      <c r="CJ34" s="67">
        <f>IFERROR(IF(($CA34)&gt;0,($CD34)/($CA34),""),"")</f>
        <v/>
      </c>
      <c r="CK34" s="67">
        <f>IFERROR(IF(($CB34)&gt;0,($CE34)/($CB34),""),"")</f>
        <v/>
      </c>
      <c r="CL34" s="55">
        <f>IFERROR(IF(($BN34)&gt;0,($X34+$AD34)/($BN34),""),"")</f>
        <v/>
      </c>
      <c r="CM34" s="55">
        <f>IFERROR(IF(($BO34)&gt;0,($Y34+$AE34)/($BO34),""),"")</f>
        <v/>
      </c>
      <c r="CN34" s="55">
        <f>IFERROR(IF(($BP34)&gt;0,($Z34+$AF34)/($BP34),""),"")</f>
        <v/>
      </c>
      <c r="CO34" s="55">
        <f>IFERROR(IF(($CC34)&gt;0,($X34+$AD34)/($CC34),""),"")</f>
        <v/>
      </c>
      <c r="CP34" s="55">
        <f>IFERROR(IF(($CD34)&gt;0,($Y34+$AE34)/($CD34),""),"")</f>
        <v/>
      </c>
      <c r="CQ34" s="55">
        <f>IFERROR(IF(($CE34)&gt;0,($Z34+$AF34)/($CE34),""),"")</f>
        <v/>
      </c>
      <c r="CR34" s="55">
        <f>SUMIFS(tblPlant[Crushed_t],tblPlant[Date],$A34)</f>
        <v/>
      </c>
      <c r="CS34" s="55">
        <f>IF($B34=$B33,$CS33,0)+$CR34</f>
        <v/>
      </c>
      <c r="CT34" s="55">
        <f>$CT33+$CR34</f>
        <v/>
      </c>
      <c r="CU34" s="55">
        <f>SUMIFS(tblPlant[Milled_t],tblPlant[Date],$A34)</f>
        <v/>
      </c>
      <c r="CV34" s="55">
        <f>IF($B34=$B33,$CV33,0)+$CU34</f>
        <v/>
      </c>
      <c r="CW34" s="55">
        <f>$CW33+$CU34</f>
        <v/>
      </c>
      <c r="CX34" s="55">
        <f>SUMIFS(tblPlant[Feed_oz],tblPlant[Date],$A34)</f>
        <v/>
      </c>
      <c r="CY34" s="55">
        <f>IF($B34=$B33,$CY33,0)+$CX34</f>
        <v/>
      </c>
      <c r="CZ34" s="55">
        <f>$CZ33+$CX34</f>
        <v/>
      </c>
      <c r="DA34" s="55">
        <f>SUMIFS(tblPlant[Tails_oz],tblPlant[Date],$A34)</f>
        <v/>
      </c>
      <c r="DB34" s="55">
        <f>IF($B34=$B33,$DB33,0)+$DA34</f>
        <v/>
      </c>
      <c r="DC34" s="55">
        <f>$DC33+$DA34</f>
        <v/>
      </c>
      <c r="DD34" s="55">
        <f>SUMIFS(tblPlant[Recovered_oz],tblPlant[Date],$A34)</f>
        <v/>
      </c>
      <c r="DE34" s="55">
        <f>IF($B34=$B33,$DE33,0)+$DD34</f>
        <v/>
      </c>
      <c r="DF34" s="55">
        <f>$DF33+$DD34</f>
        <v/>
      </c>
      <c r="DG34" s="55">
        <f>SUMIFS(tblPlant[Milled_t],tblPlant[Date],$A34,tblPlant[Head_Grade_gpt],"&lt;&gt;")</f>
        <v/>
      </c>
      <c r="DH34" s="55">
        <f>IF($B34=$B33,$DH33,0)+$DG34</f>
        <v/>
      </c>
      <c r="DI34" s="55">
        <f>$DI33+$DG34</f>
        <v/>
      </c>
      <c r="DJ34" s="55">
        <f>SUMIFS(tblPlant[Milled_t],tblPlant[Date],$A34,tblPlant[Tails_Grade_gpt],"&lt;&gt;")</f>
        <v/>
      </c>
      <c r="DK34" s="55">
        <f>IF($B34=$B33,$DK33,0)+$DJ34</f>
        <v/>
      </c>
      <c r="DL34" s="55">
        <f>$DL33+$DJ34</f>
        <v/>
      </c>
      <c r="DM34" s="55">
        <f>SUMIFS(tblPlant[Feed_oz],tblPlant[Date],$A34,tblPlant[Tails_Grade_gpt],"&lt;&gt;")</f>
        <v/>
      </c>
      <c r="DN34" s="55">
        <f>IF($B34=$B33,$DN33,0)+$DM34</f>
        <v/>
      </c>
      <c r="DO34" s="55">
        <f>$DO33+$DM34</f>
        <v/>
      </c>
      <c r="DP34" s="55">
        <f>SUMIFS(tblPlant[Milled_t],tblPlant[Date],$A34,tblPlant[Mill_Run_h],"&lt;&gt;")</f>
        <v/>
      </c>
      <c r="DQ34" s="55">
        <f>IF($B34=$B33,$DQ33,0)+$DP34</f>
        <v/>
      </c>
      <c r="DR34" s="55">
        <f>$DR33+$DP34</f>
        <v/>
      </c>
      <c r="DS34" s="56">
        <f>IFERROR(IF(($DG34)&gt;0,($CX34*cfg_TroyOz)/($DG34),""),"")</f>
        <v/>
      </c>
      <c r="DT34" s="56">
        <f>IFERROR(IF(($DH34)&gt;0,($CY34*cfg_TroyOz)/($DH34),""),"")</f>
        <v/>
      </c>
      <c r="DU34" s="56">
        <f>IFERROR(IF(($DI34)&gt;0,($CZ34*cfg_TroyOz)/($DI34),""),"")</f>
        <v/>
      </c>
      <c r="DV34" s="56">
        <f>IFERROR(IF(($DJ34)&gt;0,($DA34*cfg_TroyOz)/($DJ34),""),"")</f>
        <v/>
      </c>
      <c r="DW34" s="56">
        <f>IFERROR(IF(($DK34)&gt;0,($DB34*cfg_TroyOz)/($DK34),""),"")</f>
        <v/>
      </c>
      <c r="DX34" s="56">
        <f>IFERROR(IF(($DL34)&gt;0,($DC34*cfg_TroyOz)/($DL34),""),"")</f>
        <v/>
      </c>
      <c r="DY34" s="67">
        <f>IFERROR(IF(($DM34)&gt;0,($DD34)/($DM34),""),"")</f>
        <v/>
      </c>
      <c r="DZ34" s="67">
        <f>IFERROR(IF(($DN34)&gt;0,($DE34)/($DN34),""),"")</f>
        <v/>
      </c>
      <c r="EA34" s="67">
        <f>IFERROR(IF(($DO34)&gt;0,($DF34)/($DO34),""),"")</f>
        <v/>
      </c>
      <c r="EB34" s="55">
        <f>SUMIFS(tblPlant[Gravity_Gold_oz],tblPlant[Date],$A34)</f>
        <v/>
      </c>
      <c r="EC34" s="55">
        <f>IF($B34=$B33,$EC33,0)+$EB34</f>
        <v/>
      </c>
      <c r="ED34" s="55">
        <f>$ED33+$EB34</f>
        <v/>
      </c>
      <c r="EE34" s="67">
        <f>IFERROR(IF(($DD34)&gt;0,($EB34)/($DD34),""),"")</f>
        <v/>
      </c>
      <c r="EF34" s="67">
        <f>IFERROR(IF(($DE34)&gt;0,($EC34)/($DE34),""),"")</f>
        <v/>
      </c>
      <c r="EG34" s="67">
        <f>IFERROR(IF(($DF34)&gt;0,($ED34)/($DF34),""),"")</f>
        <v/>
      </c>
      <c r="EH34" s="55">
        <f>SUMIFS(tblPlant[Gold_Poured_oz],tblPlant[Date],$A34)</f>
        <v/>
      </c>
      <c r="EI34" s="55">
        <f>IF($B34=$B33,$EI33,0)+$EH34</f>
        <v/>
      </c>
      <c r="EJ34" s="55">
        <f>$EJ33+$EH34</f>
        <v/>
      </c>
      <c r="EK34" s="57">
        <f>SUMIFS(tblPlant[Mill_Run_h],tblPlant[Date],$A34)</f>
        <v/>
      </c>
      <c r="EL34" s="57">
        <f>IF($B34=$B33,$EL33,0)+$EK34</f>
        <v/>
      </c>
      <c r="EM34" s="57">
        <f>$EM33+$EK34</f>
        <v/>
      </c>
      <c r="EN34" s="57">
        <f>SUMIFS(tblPlant[Mill_Planned_Maint_h],tblPlant[Date],$A34)</f>
        <v/>
      </c>
      <c r="EO34" s="57">
        <f>IF($B34=$B33,$EO33,0)+$EN34</f>
        <v/>
      </c>
      <c r="EP34" s="57">
        <f>$EP33+$EN34</f>
        <v/>
      </c>
      <c r="EQ34" s="57">
        <f>SUMIFS(tblPlant[Mill_Unplanned_Down_h],tblPlant[Date],$A34)</f>
        <v/>
      </c>
      <c r="ER34" s="57">
        <f>IF($B34=$B33,$ER33,0)+$EQ34</f>
        <v/>
      </c>
      <c r="ES34" s="57">
        <f>$ES33+$EQ34</f>
        <v/>
      </c>
      <c r="ET34" s="57">
        <f>IF(COUNTIFS(tblPlant[Date],$A34,tblPlant[Mill_Run_h],"&lt;&gt;")+COUNTIFS(tblPlant[Date],$A34,tblPlant[Mill_Planned_Maint_h],"&lt;&gt;")+COUNTIFS(tblPlant[Date],$A34,tblPlant[Mill_Unplanned_Down_h],"&lt;&gt;")&gt;0,cfg_HoursPerDay,0)</f>
        <v/>
      </c>
      <c r="EU34" s="57">
        <f>IF($B34=$B33,$EU33,0)+$ET34</f>
        <v/>
      </c>
      <c r="EV34" s="57">
        <f>$EV33+$ET34</f>
        <v/>
      </c>
      <c r="EW34" s="57">
        <f>SUMIFS(tblPlant[Crusher_Run_h],tblPlant[Date],$A34)</f>
        <v/>
      </c>
      <c r="EX34" s="57">
        <f>IF($B34=$B33,$EX33,0)+$EW34</f>
        <v/>
      </c>
      <c r="EY34" s="57">
        <f>$EY33+$EW34</f>
        <v/>
      </c>
      <c r="EZ34" s="55">
        <f>IFERROR(IF(($EK34)&gt;0,($DP34)/($EK34),""),"")</f>
        <v/>
      </c>
      <c r="FA34" s="55">
        <f>IFERROR(IF(($EL34)&gt;0,($DQ34)/($EL34),""),"")</f>
        <v/>
      </c>
      <c r="FB34" s="55">
        <f>IFERROR(IF(($EM34)&gt;0,($DR34)/($EM34),""),"")</f>
        <v/>
      </c>
      <c r="FC34" s="67">
        <f>IFERROR(IF(($ET34)&gt;0,($ET34-$EN34-$EQ34)/($ET34),""),"")</f>
        <v/>
      </c>
      <c r="FD34" s="67">
        <f>IFERROR(IF(($EU34)&gt;0,($EU34-$EO34-$ER34)/($EU34),""),"")</f>
        <v/>
      </c>
      <c r="FE34" s="67">
        <f>IFERROR(IF(($EV34)&gt;0,($EV34-$EP34-$ES34)/($EV34),""),"")</f>
        <v/>
      </c>
      <c r="FF34" s="67">
        <f>IFERROR(IF(($ET34-$EN34-$EQ34)&gt;0,($EK34)/($ET34-$EN34-$EQ34),""),"")</f>
        <v/>
      </c>
      <c r="FG34" s="67">
        <f>IFERROR(IF(($EU34-$EO34-$ER34)&gt;0,($EL34)/($EU34-$EO34-$ER34),""),"")</f>
        <v/>
      </c>
      <c r="FH34" s="67">
        <f>IFERROR(IF(($EV34-$EP34-$ES34)&gt;0,($EM34)/($EV34-$EP34-$ES34),""),"")</f>
        <v/>
      </c>
      <c r="FI34" s="55">
        <f>SUMIFS(tblPlant[Cyanide_kg],tblPlant[Date],$A34)</f>
        <v/>
      </c>
      <c r="FJ34" s="55">
        <f>IF($B34=$B33,$FJ33,0)+$FI34</f>
        <v/>
      </c>
      <c r="FK34" s="55">
        <f>$FK33+$FI34</f>
        <v/>
      </c>
      <c r="FL34" s="55">
        <f>SUMIFS(tblPlant[Lime_kg],tblPlant[Date],$A34)</f>
        <v/>
      </c>
      <c r="FM34" s="55">
        <f>IF($B34=$B33,$FM33,0)+$FL34</f>
        <v/>
      </c>
      <c r="FN34" s="55">
        <f>$FN33+$FL34</f>
        <v/>
      </c>
      <c r="FO34" s="55">
        <f>SUMIFS(tblPlant[Grinding_Media_kg],tblPlant[Date],$A34)</f>
        <v/>
      </c>
      <c r="FP34" s="55">
        <f>IF($B34=$B33,$FP33,0)+$FO34</f>
        <v/>
      </c>
      <c r="FQ34" s="55">
        <f>$FQ33+$FO34</f>
        <v/>
      </c>
      <c r="FR34" s="55">
        <f>SUMIFS(tblPlant[Power_kWh],tblPlant[Date],$A34)</f>
        <v/>
      </c>
      <c r="FS34" s="55">
        <f>IF($B34=$B33,$FS33,0)+$FR34</f>
        <v/>
      </c>
      <c r="FT34" s="55">
        <f>$FT33+$FR34</f>
        <v/>
      </c>
      <c r="FU34" s="55">
        <f>SUMIFS(tblPlant[Raw_Water_m3],tblPlant[Date],$A34)</f>
        <v/>
      </c>
      <c r="FV34" s="55">
        <f>IF($B34=$B33,$FV33,0)+$FU34</f>
        <v/>
      </c>
      <c r="FW34" s="55">
        <f>$FW33+$FU34</f>
        <v/>
      </c>
      <c r="FX34" s="56">
        <f>IFERROR(IF(($CU34)&gt;0,($FI34)/($CU34),""),"")</f>
        <v/>
      </c>
      <c r="FY34" s="56">
        <f>IFERROR(IF(($CV34)&gt;0,($FJ34)/($CV34),""),"")</f>
        <v/>
      </c>
      <c r="FZ34" s="56">
        <f>IFERROR(IF(($CW34)&gt;0,($FK34)/($CW34),""),"")</f>
        <v/>
      </c>
      <c r="GA34" s="56">
        <f>IFERROR(IF(($CU34)&gt;0,($FL34)/($CU34),""),"")</f>
        <v/>
      </c>
      <c r="GB34" s="56">
        <f>IFERROR(IF(($CV34)&gt;0,($FM34)/($CV34),""),"")</f>
        <v/>
      </c>
      <c r="GC34" s="56">
        <f>IFERROR(IF(($CW34)&gt;0,($FN34)/($CW34),""),"")</f>
        <v/>
      </c>
      <c r="GD34" s="56">
        <f>IFERROR(IF(($CU34)&gt;0,($FO34)/($CU34),""),"")</f>
        <v/>
      </c>
      <c r="GE34" s="56">
        <f>IFERROR(IF(($CV34)&gt;0,($FP34)/($CV34),""),"")</f>
        <v/>
      </c>
      <c r="GF34" s="56">
        <f>IFERROR(IF(($CW34)&gt;0,($FQ34)/($CW34),""),"")</f>
        <v/>
      </c>
      <c r="GG34" s="79">
        <f>IFERROR(IF(($CU34)&gt;0,($FR34)/($CU34),""),"")</f>
        <v/>
      </c>
      <c r="GH34" s="79">
        <f>IFERROR(IF(($CV34)&gt;0,($FS34)/($CV34),""),"")</f>
        <v/>
      </c>
      <c r="GI34" s="79">
        <f>IFERROR(IF(($CW34)&gt;0,($FT34)/($CW34),""),"")</f>
        <v/>
      </c>
      <c r="GJ34" s="56">
        <f>IFERROR(IF(($CU34)&gt;0,($FU34)/($CU34),""),"")</f>
        <v/>
      </c>
      <c r="GK34" s="56">
        <f>IFERROR(IF(($CV34)&gt;0,($FV34)/($CV34),""),"")</f>
        <v/>
      </c>
      <c r="GL34" s="56">
        <f>IFERROR(IF(($CW34)&gt;0,($FW34)/($CW34),""),"")</f>
        <v/>
      </c>
      <c r="GM34" s="55">
        <f>IF(SUMIFS(tblPlant[GIC_oz],tblPlant[Date],$A34)&gt;0,SUMIFS(tblPlant[GIC_oz],tblPlant[Date],$A34),"")</f>
        <v/>
      </c>
      <c r="GN34" s="55">
        <f>SUMIFS(tblGold[Gold_oz],tblGold[Date],$A34,tblGold[Type],"Shipment")</f>
        <v/>
      </c>
      <c r="GO34" s="55">
        <f>IF($B34=$B33,$GO33,0)+$GN34</f>
        <v/>
      </c>
      <c r="GP34" s="55">
        <f>$GP33+$GN34</f>
        <v/>
      </c>
      <c r="GQ34" s="55">
        <f>SUMIFS(tblGold[Gold_oz],tblGold[Date],$A34,tblGold[Type],"Sale")</f>
        <v/>
      </c>
      <c r="GR34" s="55">
        <f>IF($B34=$B33,$GR33,0)+$GQ34</f>
        <v/>
      </c>
      <c r="GS34" s="55">
        <f>$GS33+$GQ34</f>
        <v/>
      </c>
      <c r="GT34" s="55">
        <f>SUMIFS(tblGold[Dore_kg],tblGold[Date],$A34,tblGold[Type],"Shipment")</f>
        <v/>
      </c>
      <c r="GU34" s="55">
        <f>IF($B34=$B33,$GU33,0)+$GT34</f>
        <v/>
      </c>
      <c r="GV34" s="55">
        <f>$GV33+$GT34</f>
        <v/>
      </c>
      <c r="GW34" s="57">
        <f>SUMIFS(tblSafety[Hours_Total],tblSafety[Date],$A34)</f>
        <v/>
      </c>
      <c r="GX34" s="57">
        <f>IF($B34=$B33,$GX33,0)+$GW34</f>
        <v/>
      </c>
      <c r="GY34" s="57">
        <f>$GY33+$GW34</f>
        <v/>
      </c>
      <c r="GZ34" s="62">
        <f>SUMIFS(tblSafety[Fatality],tblSafety[Date],$A34)</f>
        <v/>
      </c>
      <c r="HA34" s="62">
        <f>IF($B34=$B33,$HA33,0)+$GZ34</f>
        <v/>
      </c>
      <c r="HB34" s="62">
        <f>$HB33+$GZ34</f>
        <v/>
      </c>
      <c r="HC34" s="62">
        <f>SUMIFS(tblSafety[LTI],tblSafety[Date],$A34)</f>
        <v/>
      </c>
      <c r="HD34" s="62">
        <f>IF($B34=$B33,$HD33,0)+$HC34</f>
        <v/>
      </c>
      <c r="HE34" s="62">
        <f>$HE33+$HC34</f>
        <v/>
      </c>
      <c r="HF34" s="62">
        <f>SUMIFS(tblSafety[RWI],tblSafety[Date],$A34)</f>
        <v/>
      </c>
      <c r="HG34" s="62">
        <f>IF($B34=$B33,$HG33,0)+$HF34</f>
        <v/>
      </c>
      <c r="HH34" s="62">
        <f>$HH33+$HF34</f>
        <v/>
      </c>
      <c r="HI34" s="62">
        <f>SUMIFS(tblSafety[MTI],tblSafety[Date],$A34)</f>
        <v/>
      </c>
      <c r="HJ34" s="62">
        <f>IF($B34=$B33,$HJ33,0)+$HI34</f>
        <v/>
      </c>
      <c r="HK34" s="62">
        <f>$HK33+$HI34</f>
        <v/>
      </c>
      <c r="HL34" s="62">
        <f>SUMIFS(tblSafety[FAI],tblSafety[Date],$A34)</f>
        <v/>
      </c>
      <c r="HM34" s="62">
        <f>IF($B34=$B33,$HM33,0)+$HL34</f>
        <v/>
      </c>
      <c r="HN34" s="62">
        <f>$HN33+$HL34</f>
        <v/>
      </c>
      <c r="HO34" s="62">
        <f>SUMIFS(tblSafety[Recordables],tblSafety[Date],$A34)</f>
        <v/>
      </c>
      <c r="HP34" s="62">
        <f>IF($B34=$B33,$HP33,0)+$HO34</f>
        <v/>
      </c>
      <c r="HQ34" s="62">
        <f>$HQ33+$HO34</f>
        <v/>
      </c>
      <c r="HR34" s="62">
        <f>SUMIFS(tblSafety[Near_Miss],tblSafety[Date],$A34)</f>
        <v/>
      </c>
      <c r="HS34" s="62">
        <f>IF($B34=$B33,$HS33,0)+$HR34</f>
        <v/>
      </c>
      <c r="HT34" s="62">
        <f>$HT33+$HR34</f>
        <v/>
      </c>
      <c r="HU34" s="62">
        <f>SUMIFS(tblSafety[Hazard_Reports],tblSafety[Date],$A34)</f>
        <v/>
      </c>
      <c r="HV34" s="62">
        <f>IF($B34=$B33,$HV33,0)+$HU34</f>
        <v/>
      </c>
      <c r="HW34" s="62">
        <f>$HW33+$HU34</f>
        <v/>
      </c>
      <c r="HX34" s="62">
        <f>SUMIFS(tblSafety[HPI],tblSafety[Date],$A34)</f>
        <v/>
      </c>
      <c r="HY34" s="62">
        <f>IF($B34=$B33,$HY33,0)+$HX34</f>
        <v/>
      </c>
      <c r="HZ34" s="62">
        <f>$HZ33+$HX34</f>
        <v/>
      </c>
      <c r="IA34" s="62">
        <f>SUMIFS(tblSafety[Env_Incidents],tblSafety[Date],$A34)</f>
        <v/>
      </c>
      <c r="IB34" s="62">
        <f>IF($B34=$B33,$IB33,0)+$IA34</f>
        <v/>
      </c>
      <c r="IC34" s="62">
        <f>$IC33+$IA34</f>
        <v/>
      </c>
      <c r="ID34" s="62">
        <f>SUMIFS(tblSafety[Community_Incidents],tblSafety[Date],$A34)</f>
        <v/>
      </c>
      <c r="IE34" s="62">
        <f>IF($B34=$B33,$IE33,0)+$ID34</f>
        <v/>
      </c>
      <c r="IF34" s="62">
        <f>$IF33+$ID34</f>
        <v/>
      </c>
      <c r="IG34" s="62">
        <f>SUMIFS(tblSafety[Vehicle_Incidents],tblSafety[Date],$A34)</f>
        <v/>
      </c>
      <c r="IH34" s="62">
        <f>IF($B34=$B33,$IH33,0)+$IG34</f>
        <v/>
      </c>
      <c r="II34" s="62">
        <f>$II33+$IG34</f>
        <v/>
      </c>
      <c r="IJ34" s="62">
        <f>SUMIFS(tblSafety[Toolbox_Talks],tblSafety[Date],$A34)</f>
        <v/>
      </c>
      <c r="IK34" s="62">
        <f>IF($B34=$B33,$IK33,0)+$IJ34</f>
        <v/>
      </c>
      <c r="IL34" s="62">
        <f>$IL33+$IJ34</f>
        <v/>
      </c>
      <c r="IM34" s="62">
        <f>SUMIFS(tblSafety[Inspections],tblSafety[Date],$A34)</f>
        <v/>
      </c>
      <c r="IN34" s="62">
        <f>IF($B34=$B33,$IN33,0)+$IM34</f>
        <v/>
      </c>
      <c r="IO34" s="62">
        <f>$IO33+$IM34</f>
        <v/>
      </c>
      <c r="IP34" s="56">
        <f>IFERROR((SUMIFS(tblSafety[Recordables],tblSafety[Date],"&gt;="&amp;EDATE($E34,-12),tblSafety[Date],"&lt;="&amp;$A34)+SUMIFS(tblSafetyHistory[Recordables],tblSafetyHistory[Month],"&gt;="&amp;EDATE($E34,-12),tblSafetyHistory[Month],"&lt;"&amp;$E34,tblSafetyHistory[Use],1))/(SUMIFS(tblSafety[Hours_Total],tblSafety[Date],"&gt;="&amp;EDATE($E34,-12),tblSafety[Date],"&lt;="&amp;$A34)+SUMIFS(tblSafetyHistory[Hours_Total],tblSafetyHistory[Month],"&gt;="&amp;EDATE($E34,-12),tblSafetyHistory[Month],"&lt;"&amp;$E34,tblSafetyHistory[Use],1))*cfg_RateBasisHours,"")</f>
        <v/>
      </c>
      <c r="IQ34" s="56">
        <f>IFERROR((SUMIFS(tblSafety[LTI],tblSafety[Date],"&gt;="&amp;EDATE($E34,-12),tblSafety[Date],"&lt;="&amp;$A34)+SUMIFS(tblSafetyHistory[LTI],tblSafetyHistory[Month],"&gt;="&amp;EDATE($E34,-12),tblSafetyHistory[Month],"&lt;"&amp;$E34,tblSafetyHistory[Use],1))/(SUMIFS(tblSafety[Hours_Total],tblSafety[Date],"&gt;="&amp;EDATE($E34,-12),tblSafety[Date],"&lt;="&amp;$A34)+SUMIFS(tblSafetyHistory[Hours_Total],tblSafetyHistory[Month],"&gt;="&amp;EDATE($E34,-12),tblSafetyHistory[Month],"&lt;"&amp;$E34,tblSafetyHistory[Use],1))*cfg_RateBasisHours,"")</f>
        <v/>
      </c>
      <c r="IR34" s="62">
        <f>IF(MAX(N(cfg_PriorLTIDate),_xlfn.MAXIFS(tblSafety[Date],tblSafety[LTI],"&gt;0",tblSafety[Date],"&lt;="&amp;$A34))=0,"",$A34-MAX(N(cfg_PriorLTIDate),_xlfn.MAXIFS(tblSafety[Date],tblSafety[LTI],"&gt;0",tblSafety[Date],"&lt;="&amp;$A34)))</f>
        <v/>
      </c>
      <c r="IS34" s="55">
        <f>SUMIFS(tblBudget[Ore_Mined_t],tblBudget[Month],$E34)</f>
        <v/>
      </c>
      <c r="IT34" s="55">
        <f>$IS34*$C34/$D34</f>
        <v/>
      </c>
      <c r="IU34" s="55">
        <f>SUMIFS(tblBudget[Ore_Mined_t],tblBudget[Month],"&lt;"&amp;$E34)+$IT34</f>
        <v/>
      </c>
      <c r="IV34" s="55">
        <f>SUMIFS(tblBudget[Ore_oz],tblBudget[Month],$E34)</f>
        <v/>
      </c>
      <c r="IW34" s="55">
        <f>$IV34*$C34/$D34</f>
        <v/>
      </c>
      <c r="IX34" s="55">
        <f>SUMIFS(tblBudget[Ore_oz],tblBudget[Month],"&lt;"&amp;$E34)+$IW34</f>
        <v/>
      </c>
      <c r="IY34" s="55">
        <f>SUMIFS(tblBudget[Ore_Mined_t],tblBudget[Month],$E34)</f>
        <v/>
      </c>
      <c r="IZ34" s="55">
        <f>$IY34*$C34/$D34</f>
        <v/>
      </c>
      <c r="JA34" s="55">
        <f>SUMIFS(tblBudget[Ore_Mined_t],tblBudget[Month],"&lt;"&amp;$E34)+$IZ34</f>
        <v/>
      </c>
      <c r="JB34" s="56">
        <f>IFERROR(IF(($IY34)&gt;0,($IV34*cfg_TroyOz)/($IY34),""),"")</f>
        <v/>
      </c>
      <c r="JC34" s="56">
        <f>IFERROR(IF(($IZ34)&gt;0,($IW34*cfg_TroyOz)/($IZ34),""),"")</f>
        <v/>
      </c>
      <c r="JD34" s="56">
        <f>IFERROR(IF(($JA34)&gt;0,($IX34*cfg_TroyOz)/($JA34),""),"")</f>
        <v/>
      </c>
      <c r="JE34" s="55">
        <f>SUMIFS(tblBudget[Waste_t],tblBudget[Month],$E34)</f>
        <v/>
      </c>
      <c r="JF34" s="55">
        <f>$JE34*$C34/$D34</f>
        <v/>
      </c>
      <c r="JG34" s="55">
        <f>SUMIFS(tblBudget[Waste_t],tblBudget[Month],"&lt;"&amp;$E34)+$JF34</f>
        <v/>
      </c>
      <c r="JH34" s="55">
        <f>SUMIFS(tblBudget[TMM_t],tblBudget[Month],$E34)</f>
        <v/>
      </c>
      <c r="JI34" s="55">
        <f>$JH34*$C34/$D34</f>
        <v/>
      </c>
      <c r="JJ34" s="55">
        <f>SUMIFS(tblBudget[TMM_t],tblBudget[Month],"&lt;"&amp;$E34)+$JI34</f>
        <v/>
      </c>
      <c r="JK34" s="56">
        <f>IFERROR(IF(($IS34)&gt;0,($JE34)/($IS34),""),"")</f>
        <v/>
      </c>
      <c r="JL34" s="56">
        <f>IFERROR(IF(($IT34)&gt;0,($JF34)/($IT34),""),"")</f>
        <v/>
      </c>
      <c r="JM34" s="56">
        <f>IFERROR(IF(($IU34)&gt;0,($JG34)/($IU34),""),"")</f>
        <v/>
      </c>
      <c r="JN34" s="55">
        <f>SUMIFS(tblBudget[Drill_m],tblBudget[Month],$E34)</f>
        <v/>
      </c>
      <c r="JO34" s="55">
        <f>$JN34*$C34/$D34</f>
        <v/>
      </c>
      <c r="JP34" s="55">
        <f>SUMIFS(tblBudget[Drill_m],tblBudget[Month],"&lt;"&amp;$E34)+$JO34</f>
        <v/>
      </c>
      <c r="JQ34" s="55">
        <f>SUMIFS(tblBudget[Diesel_L],tblBudget[Month],$E34)</f>
        <v/>
      </c>
      <c r="JR34" s="55">
        <f>$JQ34*$C34/$D34</f>
        <v/>
      </c>
      <c r="JS34" s="55">
        <f>SUMIFS(tblBudget[Diesel_L],tblBudget[Month],"&lt;"&amp;$E34)+$JR34</f>
        <v/>
      </c>
      <c r="JT34" s="55">
        <f>SUMIFS(tblBudget[Milled_t],tblBudget[Month],$E34)</f>
        <v/>
      </c>
      <c r="JU34" s="55">
        <f>$JT34*$C34/$D34</f>
        <v/>
      </c>
      <c r="JV34" s="55">
        <f>SUMIFS(tblBudget[Milled_t],tblBudget[Month],"&lt;"&amp;$E34)+$JU34</f>
        <v/>
      </c>
      <c r="JW34" s="55">
        <f>SUMIFS(tblBudget[Feed_oz],tblBudget[Month],$E34)</f>
        <v/>
      </c>
      <c r="JX34" s="55">
        <f>$JW34*$C34/$D34</f>
        <v/>
      </c>
      <c r="JY34" s="55">
        <f>SUMIFS(tblBudget[Feed_oz],tblBudget[Month],"&lt;"&amp;$E34)+$JX34</f>
        <v/>
      </c>
      <c r="JZ34" s="55">
        <f>SUMIFS(tblBudget[Recovered_oz],tblBudget[Month],$E34)</f>
        <v/>
      </c>
      <c r="KA34" s="55">
        <f>$JZ34*$C34/$D34</f>
        <v/>
      </c>
      <c r="KB34" s="55">
        <f>SUMIFS(tblBudget[Recovered_oz],tblBudget[Month],"&lt;"&amp;$E34)+$KA34</f>
        <v/>
      </c>
      <c r="KC34" s="55">
        <f>SUMIFS(tblBudget[Milled_t],tblBudget[Month],$E34)</f>
        <v/>
      </c>
      <c r="KD34" s="55">
        <f>$KC34*$C34/$D34</f>
        <v/>
      </c>
      <c r="KE34" s="55">
        <f>SUMIFS(tblBudget[Milled_t],tblBudget[Month],"&lt;"&amp;$E34)+$KD34</f>
        <v/>
      </c>
      <c r="KF34" s="55">
        <f>SUMIFS(tblBudget[Feed_oz],tblBudget[Month],$E34)</f>
        <v/>
      </c>
      <c r="KG34" s="55">
        <f>$KF34*$C34/$D34</f>
        <v/>
      </c>
      <c r="KH34" s="55">
        <f>SUMIFS(tblBudget[Feed_oz],tblBudget[Month],"&lt;"&amp;$E34)+$KG34</f>
        <v/>
      </c>
      <c r="KI34" s="56">
        <f>IFERROR(IF(($KC34)&gt;0,($JW34*cfg_TroyOz)/($KC34),""),"")</f>
        <v/>
      </c>
      <c r="KJ34" s="56">
        <f>IFERROR(IF(($KD34)&gt;0,($JX34*cfg_TroyOz)/($KD34),""),"")</f>
        <v/>
      </c>
      <c r="KK34" s="56">
        <f>IFERROR(IF(($KE34)&gt;0,($JY34*cfg_TroyOz)/($KE34),""),"")</f>
        <v/>
      </c>
      <c r="KL34" s="67">
        <f>IFERROR(IF(($KF34)&gt;0,($JZ34)/($KF34),""),"")</f>
        <v/>
      </c>
      <c r="KM34" s="67">
        <f>IFERROR(IF(($KG34)&gt;0,($KA34)/($KG34),""),"")</f>
        <v/>
      </c>
      <c r="KN34" s="67">
        <f>IFERROR(IF(($KH34)&gt;0,($KB34)/($KH34),""),"")</f>
        <v/>
      </c>
      <c r="KO34" s="55">
        <f>SUMIFS(tblBudget[Gold_Poured_oz],tblBudget[Month],$E34)</f>
        <v/>
      </c>
      <c r="KP34" s="55">
        <f>$KO34*$C34/$D34</f>
        <v/>
      </c>
      <c r="KQ34" s="55">
        <f>SUMIFS(tblBudget[Gold_Poured_oz],tblBudget[Month],"&lt;"&amp;$E34)+$KP34</f>
        <v/>
      </c>
      <c r="KR34" s="57">
        <f>SUMIFS(tblBudget[Hours_Worked],tblBudget[Month],$E34)</f>
        <v/>
      </c>
      <c r="KS34" s="57">
        <f>$KR34*$C34/$D34</f>
        <v/>
      </c>
      <c r="KT34" s="57">
        <f>SUMIFS(tblBudget[Hours_Worked],tblBudget[Month],"&lt;"&amp;$E34)+$KS34</f>
        <v/>
      </c>
    </row>
    <row r="35">
      <c r="A35" s="54" t="n">
        <v>46056</v>
      </c>
      <c r="B35">
        <f>MONTH($A35)</f>
        <v/>
      </c>
      <c r="C35">
        <f>DAY($A35)</f>
        <v/>
      </c>
      <c r="D35">
        <f>DAY(EOMONTH($A35,0))</f>
        <v/>
      </c>
      <c r="E35" s="54">
        <f>DATE(YEAR($A35),MONTH($A35),1)</f>
        <v/>
      </c>
      <c r="F35" s="55">
        <f>SUMIFS(tblMovement[Tonnes_t],tblMovement[Date],$A35,tblMovement[Is_Ore],1,tblMovement[Source_Type],"Pit")</f>
        <v/>
      </c>
      <c r="G35" s="55">
        <f>IF($B35=$B34,$G34,0)+$F35</f>
        <v/>
      </c>
      <c r="H35" s="55">
        <f>$H34+$F35</f>
        <v/>
      </c>
      <c r="I35" s="55">
        <f>SUMIFS(tblMovement[Ore_oz],tblMovement[Date],$A35,tblMovement[Source_Type],"Pit")</f>
        <v/>
      </c>
      <c r="J35" s="55">
        <f>IF($B35=$B34,$J34,0)+$I35</f>
        <v/>
      </c>
      <c r="K35" s="55">
        <f>$K34+$I35</f>
        <v/>
      </c>
      <c r="L35" s="55">
        <f>SUMIFS(tblMovement[Tonnes_t],tblMovement[Date],$A35,tblMovement[Is_Ore],1,tblMovement[Source_Type],"Pit",tblMovement[Grade_gpt],"&lt;&gt;")</f>
        <v/>
      </c>
      <c r="M35" s="55">
        <f>IF($B35=$B34,$M34,0)+$L35</f>
        <v/>
      </c>
      <c r="N35" s="55">
        <f>$N34+$L35</f>
        <v/>
      </c>
      <c r="O35" s="56">
        <f>IFERROR(IF(($L35)&gt;0,($I35*cfg_TroyOz)/($L35),""),"")</f>
        <v/>
      </c>
      <c r="P35" s="56">
        <f>IFERROR(IF(($M35)&gt;0,($J35*cfg_TroyOz)/($M35),""),"")</f>
        <v/>
      </c>
      <c r="Q35" s="56">
        <f>IFERROR(IF(($N35)&gt;0,($K35*cfg_TroyOz)/($N35),""),"")</f>
        <v/>
      </c>
      <c r="R35" s="55">
        <f>$F35-$L35</f>
        <v/>
      </c>
      <c r="S35" s="55">
        <f>IF($B35=$B34,$S34,0)+$R35</f>
        <v/>
      </c>
      <c r="T35" s="55">
        <f>$T34+$R35</f>
        <v/>
      </c>
      <c r="U35" s="55">
        <f>SUMIFS(tblMovement[Tonnes_t],tblMovement[Date],$A35,tblMovement[Is_Ore],0,tblMovement[Source_Type],"Pit")</f>
        <v/>
      </c>
      <c r="V35" s="55">
        <f>IF($B35=$B34,$V34,0)+$U35</f>
        <v/>
      </c>
      <c r="W35" s="55">
        <f>$W34+$U35</f>
        <v/>
      </c>
      <c r="X35" s="55">
        <f>$F35+$U35</f>
        <v/>
      </c>
      <c r="Y35" s="55">
        <f>IF($B35=$B34,$Y34,0)+$X35</f>
        <v/>
      </c>
      <c r="Z35" s="55">
        <f>$Z34+$X35</f>
        <v/>
      </c>
      <c r="AA35" s="56">
        <f>IFERROR(IF(($F35)&gt;0,($U35)/($F35),""),"")</f>
        <v/>
      </c>
      <c r="AB35" s="56">
        <f>IFERROR(IF(($G35)&gt;0,($V35)/($G35),""),"")</f>
        <v/>
      </c>
      <c r="AC35" s="56">
        <f>IFERROR(IF(($H35)&gt;0,($W35)/($H35),""),"")</f>
        <v/>
      </c>
      <c r="AD35" s="55">
        <f>SUMIFS(tblMovement[Tonnes_t],tblMovement[Date],$A35,tblMovement[Source_Type],"Stockpile")</f>
        <v/>
      </c>
      <c r="AE35" s="55">
        <f>IF($B35=$B34,$AE34,0)+$AD35</f>
        <v/>
      </c>
      <c r="AF35" s="55">
        <f>$AF34+$AD35</f>
        <v/>
      </c>
      <c r="AG35" s="55">
        <f>SUMIFS(tblMovement[Tonnes_t],tblMovement[Date],$A35)</f>
        <v/>
      </c>
      <c r="AH35" s="55">
        <f>IF($B35=$B34,$AH34,0)+$AG35</f>
        <v/>
      </c>
      <c r="AI35" s="55">
        <f>$AI34+$AG35</f>
        <v/>
      </c>
      <c r="AJ35" s="55">
        <f>$AG35-$X35-$AD35</f>
        <v/>
      </c>
      <c r="AK35" s="55">
        <f>IF($B35=$B34,$AK34,0)+$AJ35</f>
        <v/>
      </c>
      <c r="AL35" s="55">
        <f>$AL34+$AJ35</f>
        <v/>
      </c>
      <c r="AM35" s="55">
        <f>SUMIFS(tblMiningDaily[Drill_m],tblMiningDaily[Date],$A35)</f>
        <v/>
      </c>
      <c r="AN35" s="55">
        <f>IF($B35=$B34,$AN34,0)+$AM35</f>
        <v/>
      </c>
      <c r="AO35" s="55">
        <f>$AO34+$AM35</f>
        <v/>
      </c>
      <c r="AP35" s="55">
        <f>SUMIFS(tblMiningDaily[GC_Drill_m],tblMiningDaily[Date],$A35)</f>
        <v/>
      </c>
      <c r="AQ35" s="55">
        <f>IF($B35=$B34,$AQ34,0)+$AP35</f>
        <v/>
      </c>
      <c r="AR35" s="55">
        <f>$AR34+$AP35</f>
        <v/>
      </c>
      <c r="AS35" s="55">
        <f>SUMIFS(tblMiningDaily[Blast_t],tblMiningDaily[Date],$A35)</f>
        <v/>
      </c>
      <c r="AT35" s="55">
        <f>IF($B35=$B34,$AT34,0)+$AS35</f>
        <v/>
      </c>
      <c r="AU35" s="55">
        <f>$AU34+$AS35</f>
        <v/>
      </c>
      <c r="AV35" s="55">
        <f>SUMIFS(tblMiningDaily[Explosives_kg],tblMiningDaily[Date],$A35)</f>
        <v/>
      </c>
      <c r="AW35" s="55">
        <f>IF($B35=$B34,$AW34,0)+$AV35</f>
        <v/>
      </c>
      <c r="AX35" s="55">
        <f>$AX34+$AV35</f>
        <v/>
      </c>
      <c r="AY35" s="56">
        <f>IFERROR(IF(($AS35)&gt;0,($AV35)/($AS35),""),"")</f>
        <v/>
      </c>
      <c r="AZ35" s="56">
        <f>IFERROR(IF(($AT35)&gt;0,($AW35)/($AT35),""),"")</f>
        <v/>
      </c>
      <c r="BA35" s="56">
        <f>IFERROR(IF(($AU35)&gt;0,($AX35)/($AU35),""),"")</f>
        <v/>
      </c>
      <c r="BB35" s="55">
        <f>SUMIFS(tblMiningDaily[Diesel_L],tblMiningDaily[Date],$A35)</f>
        <v/>
      </c>
      <c r="BC35" s="55">
        <f>IF($B35=$B34,$BC34,0)+$BB35</f>
        <v/>
      </c>
      <c r="BD35" s="55">
        <f>$BD34+$BB35</f>
        <v/>
      </c>
      <c r="BE35" s="55">
        <f>SUMIFS(tblMiningDaily[Dewatering_m3],tblMiningDaily[Date],$A35)</f>
        <v/>
      </c>
      <c r="BF35" s="55">
        <f>IF($B35=$B34,$BF34,0)+$BE35</f>
        <v/>
      </c>
      <c r="BG35" s="55">
        <f>$BG34+$BE35</f>
        <v/>
      </c>
      <c r="BH35" s="57">
        <f>SUMIFS(tblFleet[Calendar_h],tblFleet[Date],$A35,tblFleet[Equipment_Class],"Excavator")</f>
        <v/>
      </c>
      <c r="BI35" s="57">
        <f>IF($B35=$B34,$BI34,0)+$BH35</f>
        <v/>
      </c>
      <c r="BJ35" s="57">
        <f>$BJ34+$BH35</f>
        <v/>
      </c>
      <c r="BK35" s="57">
        <f>SUMIFS(tblFleet[Available_h],tblFleet[Date],$A35,tblFleet[Equipment_Class],"Excavator")</f>
        <v/>
      </c>
      <c r="BL35" s="57">
        <f>IF($B35=$B34,$BL34,0)+$BK35</f>
        <v/>
      </c>
      <c r="BM35" s="57">
        <f>$BM34+$BK35</f>
        <v/>
      </c>
      <c r="BN35" s="57">
        <f>SUMIFS(tblFleet[Operating_h],tblFleet[Date],$A35,tblFleet[Equipment_Class],"Excavator")</f>
        <v/>
      </c>
      <c r="BO35" s="57">
        <f>IF($B35=$B34,$BO34,0)+$BN35</f>
        <v/>
      </c>
      <c r="BP35" s="57">
        <f>$BP34+$BN35</f>
        <v/>
      </c>
      <c r="BQ35" s="67">
        <f>IFERROR(IF(($BH35)&gt;0,($BK35)/($BH35),""),"")</f>
        <v/>
      </c>
      <c r="BR35" s="67">
        <f>IFERROR(IF(($BI35)&gt;0,($BL35)/($BI35),""),"")</f>
        <v/>
      </c>
      <c r="BS35" s="67">
        <f>IFERROR(IF(($BJ35)&gt;0,($BM35)/($BJ35),""),"")</f>
        <v/>
      </c>
      <c r="BT35" s="67">
        <f>IFERROR(IF(($BK35)&gt;0,($BN35)/($BK35),""),"")</f>
        <v/>
      </c>
      <c r="BU35" s="67">
        <f>IFERROR(IF(($BL35)&gt;0,($BO35)/($BL35),""),"")</f>
        <v/>
      </c>
      <c r="BV35" s="67">
        <f>IFERROR(IF(($BM35)&gt;0,($BP35)/($BM35),""),"")</f>
        <v/>
      </c>
      <c r="BW35" s="57">
        <f>SUMIFS(tblFleet[Calendar_h],tblFleet[Date],$A35,tblFleet[Equipment_Class],"Haul Truck")</f>
        <v/>
      </c>
      <c r="BX35" s="57">
        <f>IF($B35=$B34,$BX34,0)+$BW35</f>
        <v/>
      </c>
      <c r="BY35" s="57">
        <f>$BY34+$BW35</f>
        <v/>
      </c>
      <c r="BZ35" s="57">
        <f>SUMIFS(tblFleet[Available_h],tblFleet[Date],$A35,tblFleet[Equipment_Class],"Haul Truck")</f>
        <v/>
      </c>
      <c r="CA35" s="57">
        <f>IF($B35=$B34,$CA34,0)+$BZ35</f>
        <v/>
      </c>
      <c r="CB35" s="57">
        <f>$CB34+$BZ35</f>
        <v/>
      </c>
      <c r="CC35" s="57">
        <f>SUMIFS(tblFleet[Operating_h],tblFleet[Date],$A35,tblFleet[Equipment_Class],"Haul Truck")</f>
        <v/>
      </c>
      <c r="CD35" s="57">
        <f>IF($B35=$B34,$CD34,0)+$CC35</f>
        <v/>
      </c>
      <c r="CE35" s="57">
        <f>$CE34+$CC35</f>
        <v/>
      </c>
      <c r="CF35" s="67">
        <f>IFERROR(IF(($BW35)&gt;0,($BZ35)/($BW35),""),"")</f>
        <v/>
      </c>
      <c r="CG35" s="67">
        <f>IFERROR(IF(($BX35)&gt;0,($CA35)/($BX35),""),"")</f>
        <v/>
      </c>
      <c r="CH35" s="67">
        <f>IFERROR(IF(($BY35)&gt;0,($CB35)/($BY35),""),"")</f>
        <v/>
      </c>
      <c r="CI35" s="67">
        <f>IFERROR(IF(($BZ35)&gt;0,($CC35)/($BZ35),""),"")</f>
        <v/>
      </c>
      <c r="CJ35" s="67">
        <f>IFERROR(IF(($CA35)&gt;0,($CD35)/($CA35),""),"")</f>
        <v/>
      </c>
      <c r="CK35" s="67">
        <f>IFERROR(IF(($CB35)&gt;0,($CE35)/($CB35),""),"")</f>
        <v/>
      </c>
      <c r="CL35" s="55">
        <f>IFERROR(IF(($BN35)&gt;0,($X35+$AD35)/($BN35),""),"")</f>
        <v/>
      </c>
      <c r="CM35" s="55">
        <f>IFERROR(IF(($BO35)&gt;0,($Y35+$AE35)/($BO35),""),"")</f>
        <v/>
      </c>
      <c r="CN35" s="55">
        <f>IFERROR(IF(($BP35)&gt;0,($Z35+$AF35)/($BP35),""),"")</f>
        <v/>
      </c>
      <c r="CO35" s="55">
        <f>IFERROR(IF(($CC35)&gt;0,($X35+$AD35)/($CC35),""),"")</f>
        <v/>
      </c>
      <c r="CP35" s="55">
        <f>IFERROR(IF(($CD35)&gt;0,($Y35+$AE35)/($CD35),""),"")</f>
        <v/>
      </c>
      <c r="CQ35" s="55">
        <f>IFERROR(IF(($CE35)&gt;0,($Z35+$AF35)/($CE35),""),"")</f>
        <v/>
      </c>
      <c r="CR35" s="55">
        <f>SUMIFS(tblPlant[Crushed_t],tblPlant[Date],$A35)</f>
        <v/>
      </c>
      <c r="CS35" s="55">
        <f>IF($B35=$B34,$CS34,0)+$CR35</f>
        <v/>
      </c>
      <c r="CT35" s="55">
        <f>$CT34+$CR35</f>
        <v/>
      </c>
      <c r="CU35" s="55">
        <f>SUMIFS(tblPlant[Milled_t],tblPlant[Date],$A35)</f>
        <v/>
      </c>
      <c r="CV35" s="55">
        <f>IF($B35=$B34,$CV34,0)+$CU35</f>
        <v/>
      </c>
      <c r="CW35" s="55">
        <f>$CW34+$CU35</f>
        <v/>
      </c>
      <c r="CX35" s="55">
        <f>SUMIFS(tblPlant[Feed_oz],tblPlant[Date],$A35)</f>
        <v/>
      </c>
      <c r="CY35" s="55">
        <f>IF($B35=$B34,$CY34,0)+$CX35</f>
        <v/>
      </c>
      <c r="CZ35" s="55">
        <f>$CZ34+$CX35</f>
        <v/>
      </c>
      <c r="DA35" s="55">
        <f>SUMIFS(tblPlant[Tails_oz],tblPlant[Date],$A35)</f>
        <v/>
      </c>
      <c r="DB35" s="55">
        <f>IF($B35=$B34,$DB34,0)+$DA35</f>
        <v/>
      </c>
      <c r="DC35" s="55">
        <f>$DC34+$DA35</f>
        <v/>
      </c>
      <c r="DD35" s="55">
        <f>SUMIFS(tblPlant[Recovered_oz],tblPlant[Date],$A35)</f>
        <v/>
      </c>
      <c r="DE35" s="55">
        <f>IF($B35=$B34,$DE34,0)+$DD35</f>
        <v/>
      </c>
      <c r="DF35" s="55">
        <f>$DF34+$DD35</f>
        <v/>
      </c>
      <c r="DG35" s="55">
        <f>SUMIFS(tblPlant[Milled_t],tblPlant[Date],$A35,tblPlant[Head_Grade_gpt],"&lt;&gt;")</f>
        <v/>
      </c>
      <c r="DH35" s="55">
        <f>IF($B35=$B34,$DH34,0)+$DG35</f>
        <v/>
      </c>
      <c r="DI35" s="55">
        <f>$DI34+$DG35</f>
        <v/>
      </c>
      <c r="DJ35" s="55">
        <f>SUMIFS(tblPlant[Milled_t],tblPlant[Date],$A35,tblPlant[Tails_Grade_gpt],"&lt;&gt;")</f>
        <v/>
      </c>
      <c r="DK35" s="55">
        <f>IF($B35=$B34,$DK34,0)+$DJ35</f>
        <v/>
      </c>
      <c r="DL35" s="55">
        <f>$DL34+$DJ35</f>
        <v/>
      </c>
      <c r="DM35" s="55">
        <f>SUMIFS(tblPlant[Feed_oz],tblPlant[Date],$A35,tblPlant[Tails_Grade_gpt],"&lt;&gt;")</f>
        <v/>
      </c>
      <c r="DN35" s="55">
        <f>IF($B35=$B34,$DN34,0)+$DM35</f>
        <v/>
      </c>
      <c r="DO35" s="55">
        <f>$DO34+$DM35</f>
        <v/>
      </c>
      <c r="DP35" s="55">
        <f>SUMIFS(tblPlant[Milled_t],tblPlant[Date],$A35,tblPlant[Mill_Run_h],"&lt;&gt;")</f>
        <v/>
      </c>
      <c r="DQ35" s="55">
        <f>IF($B35=$B34,$DQ34,0)+$DP35</f>
        <v/>
      </c>
      <c r="DR35" s="55">
        <f>$DR34+$DP35</f>
        <v/>
      </c>
      <c r="DS35" s="56">
        <f>IFERROR(IF(($DG35)&gt;0,($CX35*cfg_TroyOz)/($DG35),""),"")</f>
        <v/>
      </c>
      <c r="DT35" s="56">
        <f>IFERROR(IF(($DH35)&gt;0,($CY35*cfg_TroyOz)/($DH35),""),"")</f>
        <v/>
      </c>
      <c r="DU35" s="56">
        <f>IFERROR(IF(($DI35)&gt;0,($CZ35*cfg_TroyOz)/($DI35),""),"")</f>
        <v/>
      </c>
      <c r="DV35" s="56">
        <f>IFERROR(IF(($DJ35)&gt;0,($DA35*cfg_TroyOz)/($DJ35),""),"")</f>
        <v/>
      </c>
      <c r="DW35" s="56">
        <f>IFERROR(IF(($DK35)&gt;0,($DB35*cfg_TroyOz)/($DK35),""),"")</f>
        <v/>
      </c>
      <c r="DX35" s="56">
        <f>IFERROR(IF(($DL35)&gt;0,($DC35*cfg_TroyOz)/($DL35),""),"")</f>
        <v/>
      </c>
      <c r="DY35" s="67">
        <f>IFERROR(IF(($DM35)&gt;0,($DD35)/($DM35),""),"")</f>
        <v/>
      </c>
      <c r="DZ35" s="67">
        <f>IFERROR(IF(($DN35)&gt;0,($DE35)/($DN35),""),"")</f>
        <v/>
      </c>
      <c r="EA35" s="67">
        <f>IFERROR(IF(($DO35)&gt;0,($DF35)/($DO35),""),"")</f>
        <v/>
      </c>
      <c r="EB35" s="55">
        <f>SUMIFS(tblPlant[Gravity_Gold_oz],tblPlant[Date],$A35)</f>
        <v/>
      </c>
      <c r="EC35" s="55">
        <f>IF($B35=$B34,$EC34,0)+$EB35</f>
        <v/>
      </c>
      <c r="ED35" s="55">
        <f>$ED34+$EB35</f>
        <v/>
      </c>
      <c r="EE35" s="67">
        <f>IFERROR(IF(($DD35)&gt;0,($EB35)/($DD35),""),"")</f>
        <v/>
      </c>
      <c r="EF35" s="67">
        <f>IFERROR(IF(($DE35)&gt;0,($EC35)/($DE35),""),"")</f>
        <v/>
      </c>
      <c r="EG35" s="67">
        <f>IFERROR(IF(($DF35)&gt;0,($ED35)/($DF35),""),"")</f>
        <v/>
      </c>
      <c r="EH35" s="55">
        <f>SUMIFS(tblPlant[Gold_Poured_oz],tblPlant[Date],$A35)</f>
        <v/>
      </c>
      <c r="EI35" s="55">
        <f>IF($B35=$B34,$EI34,0)+$EH35</f>
        <v/>
      </c>
      <c r="EJ35" s="55">
        <f>$EJ34+$EH35</f>
        <v/>
      </c>
      <c r="EK35" s="57">
        <f>SUMIFS(tblPlant[Mill_Run_h],tblPlant[Date],$A35)</f>
        <v/>
      </c>
      <c r="EL35" s="57">
        <f>IF($B35=$B34,$EL34,0)+$EK35</f>
        <v/>
      </c>
      <c r="EM35" s="57">
        <f>$EM34+$EK35</f>
        <v/>
      </c>
      <c r="EN35" s="57">
        <f>SUMIFS(tblPlant[Mill_Planned_Maint_h],tblPlant[Date],$A35)</f>
        <v/>
      </c>
      <c r="EO35" s="57">
        <f>IF($B35=$B34,$EO34,0)+$EN35</f>
        <v/>
      </c>
      <c r="EP35" s="57">
        <f>$EP34+$EN35</f>
        <v/>
      </c>
      <c r="EQ35" s="57">
        <f>SUMIFS(tblPlant[Mill_Unplanned_Down_h],tblPlant[Date],$A35)</f>
        <v/>
      </c>
      <c r="ER35" s="57">
        <f>IF($B35=$B34,$ER34,0)+$EQ35</f>
        <v/>
      </c>
      <c r="ES35" s="57">
        <f>$ES34+$EQ35</f>
        <v/>
      </c>
      <c r="ET35" s="57">
        <f>IF(COUNTIFS(tblPlant[Date],$A35,tblPlant[Mill_Run_h],"&lt;&gt;")+COUNTIFS(tblPlant[Date],$A35,tblPlant[Mill_Planned_Maint_h],"&lt;&gt;")+COUNTIFS(tblPlant[Date],$A35,tblPlant[Mill_Unplanned_Down_h],"&lt;&gt;")&gt;0,cfg_HoursPerDay,0)</f>
        <v/>
      </c>
      <c r="EU35" s="57">
        <f>IF($B35=$B34,$EU34,0)+$ET35</f>
        <v/>
      </c>
      <c r="EV35" s="57">
        <f>$EV34+$ET35</f>
        <v/>
      </c>
      <c r="EW35" s="57">
        <f>SUMIFS(tblPlant[Crusher_Run_h],tblPlant[Date],$A35)</f>
        <v/>
      </c>
      <c r="EX35" s="57">
        <f>IF($B35=$B34,$EX34,0)+$EW35</f>
        <v/>
      </c>
      <c r="EY35" s="57">
        <f>$EY34+$EW35</f>
        <v/>
      </c>
      <c r="EZ35" s="55">
        <f>IFERROR(IF(($EK35)&gt;0,($DP35)/($EK35),""),"")</f>
        <v/>
      </c>
      <c r="FA35" s="55">
        <f>IFERROR(IF(($EL35)&gt;0,($DQ35)/($EL35),""),"")</f>
        <v/>
      </c>
      <c r="FB35" s="55">
        <f>IFERROR(IF(($EM35)&gt;0,($DR35)/($EM35),""),"")</f>
        <v/>
      </c>
      <c r="FC35" s="67">
        <f>IFERROR(IF(($ET35)&gt;0,($ET35-$EN35-$EQ35)/($ET35),""),"")</f>
        <v/>
      </c>
      <c r="FD35" s="67">
        <f>IFERROR(IF(($EU35)&gt;0,($EU35-$EO35-$ER35)/($EU35),""),"")</f>
        <v/>
      </c>
      <c r="FE35" s="67">
        <f>IFERROR(IF(($EV35)&gt;0,($EV35-$EP35-$ES35)/($EV35),""),"")</f>
        <v/>
      </c>
      <c r="FF35" s="67">
        <f>IFERROR(IF(($ET35-$EN35-$EQ35)&gt;0,($EK35)/($ET35-$EN35-$EQ35),""),"")</f>
        <v/>
      </c>
      <c r="FG35" s="67">
        <f>IFERROR(IF(($EU35-$EO35-$ER35)&gt;0,($EL35)/($EU35-$EO35-$ER35),""),"")</f>
        <v/>
      </c>
      <c r="FH35" s="67">
        <f>IFERROR(IF(($EV35-$EP35-$ES35)&gt;0,($EM35)/($EV35-$EP35-$ES35),""),"")</f>
        <v/>
      </c>
      <c r="FI35" s="55">
        <f>SUMIFS(tblPlant[Cyanide_kg],tblPlant[Date],$A35)</f>
        <v/>
      </c>
      <c r="FJ35" s="55">
        <f>IF($B35=$B34,$FJ34,0)+$FI35</f>
        <v/>
      </c>
      <c r="FK35" s="55">
        <f>$FK34+$FI35</f>
        <v/>
      </c>
      <c r="FL35" s="55">
        <f>SUMIFS(tblPlant[Lime_kg],tblPlant[Date],$A35)</f>
        <v/>
      </c>
      <c r="FM35" s="55">
        <f>IF($B35=$B34,$FM34,0)+$FL35</f>
        <v/>
      </c>
      <c r="FN35" s="55">
        <f>$FN34+$FL35</f>
        <v/>
      </c>
      <c r="FO35" s="55">
        <f>SUMIFS(tblPlant[Grinding_Media_kg],tblPlant[Date],$A35)</f>
        <v/>
      </c>
      <c r="FP35" s="55">
        <f>IF($B35=$B34,$FP34,0)+$FO35</f>
        <v/>
      </c>
      <c r="FQ35" s="55">
        <f>$FQ34+$FO35</f>
        <v/>
      </c>
      <c r="FR35" s="55">
        <f>SUMIFS(tblPlant[Power_kWh],tblPlant[Date],$A35)</f>
        <v/>
      </c>
      <c r="FS35" s="55">
        <f>IF($B35=$B34,$FS34,0)+$FR35</f>
        <v/>
      </c>
      <c r="FT35" s="55">
        <f>$FT34+$FR35</f>
        <v/>
      </c>
      <c r="FU35" s="55">
        <f>SUMIFS(tblPlant[Raw_Water_m3],tblPlant[Date],$A35)</f>
        <v/>
      </c>
      <c r="FV35" s="55">
        <f>IF($B35=$B34,$FV34,0)+$FU35</f>
        <v/>
      </c>
      <c r="FW35" s="55">
        <f>$FW34+$FU35</f>
        <v/>
      </c>
      <c r="FX35" s="56">
        <f>IFERROR(IF(($CU35)&gt;0,($FI35)/($CU35),""),"")</f>
        <v/>
      </c>
      <c r="FY35" s="56">
        <f>IFERROR(IF(($CV35)&gt;0,($FJ35)/($CV35),""),"")</f>
        <v/>
      </c>
      <c r="FZ35" s="56">
        <f>IFERROR(IF(($CW35)&gt;0,($FK35)/($CW35),""),"")</f>
        <v/>
      </c>
      <c r="GA35" s="56">
        <f>IFERROR(IF(($CU35)&gt;0,($FL35)/($CU35),""),"")</f>
        <v/>
      </c>
      <c r="GB35" s="56">
        <f>IFERROR(IF(($CV35)&gt;0,($FM35)/($CV35),""),"")</f>
        <v/>
      </c>
      <c r="GC35" s="56">
        <f>IFERROR(IF(($CW35)&gt;0,($FN35)/($CW35),""),"")</f>
        <v/>
      </c>
      <c r="GD35" s="56">
        <f>IFERROR(IF(($CU35)&gt;0,($FO35)/($CU35),""),"")</f>
        <v/>
      </c>
      <c r="GE35" s="56">
        <f>IFERROR(IF(($CV35)&gt;0,($FP35)/($CV35),""),"")</f>
        <v/>
      </c>
      <c r="GF35" s="56">
        <f>IFERROR(IF(($CW35)&gt;0,($FQ35)/($CW35),""),"")</f>
        <v/>
      </c>
      <c r="GG35" s="79">
        <f>IFERROR(IF(($CU35)&gt;0,($FR35)/($CU35),""),"")</f>
        <v/>
      </c>
      <c r="GH35" s="79">
        <f>IFERROR(IF(($CV35)&gt;0,($FS35)/($CV35),""),"")</f>
        <v/>
      </c>
      <c r="GI35" s="79">
        <f>IFERROR(IF(($CW35)&gt;0,($FT35)/($CW35),""),"")</f>
        <v/>
      </c>
      <c r="GJ35" s="56">
        <f>IFERROR(IF(($CU35)&gt;0,($FU35)/($CU35),""),"")</f>
        <v/>
      </c>
      <c r="GK35" s="56">
        <f>IFERROR(IF(($CV35)&gt;0,($FV35)/($CV35),""),"")</f>
        <v/>
      </c>
      <c r="GL35" s="56">
        <f>IFERROR(IF(($CW35)&gt;0,($FW35)/($CW35),""),"")</f>
        <v/>
      </c>
      <c r="GM35" s="55">
        <f>IF(SUMIFS(tblPlant[GIC_oz],tblPlant[Date],$A35)&gt;0,SUMIFS(tblPlant[GIC_oz],tblPlant[Date],$A35),"")</f>
        <v/>
      </c>
      <c r="GN35" s="55">
        <f>SUMIFS(tblGold[Gold_oz],tblGold[Date],$A35,tblGold[Type],"Shipment")</f>
        <v/>
      </c>
      <c r="GO35" s="55">
        <f>IF($B35=$B34,$GO34,0)+$GN35</f>
        <v/>
      </c>
      <c r="GP35" s="55">
        <f>$GP34+$GN35</f>
        <v/>
      </c>
      <c r="GQ35" s="55">
        <f>SUMIFS(tblGold[Gold_oz],tblGold[Date],$A35,tblGold[Type],"Sale")</f>
        <v/>
      </c>
      <c r="GR35" s="55">
        <f>IF($B35=$B34,$GR34,0)+$GQ35</f>
        <v/>
      </c>
      <c r="GS35" s="55">
        <f>$GS34+$GQ35</f>
        <v/>
      </c>
      <c r="GT35" s="55">
        <f>SUMIFS(tblGold[Dore_kg],tblGold[Date],$A35,tblGold[Type],"Shipment")</f>
        <v/>
      </c>
      <c r="GU35" s="55">
        <f>IF($B35=$B34,$GU34,0)+$GT35</f>
        <v/>
      </c>
      <c r="GV35" s="55">
        <f>$GV34+$GT35</f>
        <v/>
      </c>
      <c r="GW35" s="57">
        <f>SUMIFS(tblSafety[Hours_Total],tblSafety[Date],$A35)</f>
        <v/>
      </c>
      <c r="GX35" s="57">
        <f>IF($B35=$B34,$GX34,0)+$GW35</f>
        <v/>
      </c>
      <c r="GY35" s="57">
        <f>$GY34+$GW35</f>
        <v/>
      </c>
      <c r="GZ35" s="62">
        <f>SUMIFS(tblSafety[Fatality],tblSafety[Date],$A35)</f>
        <v/>
      </c>
      <c r="HA35" s="62">
        <f>IF($B35=$B34,$HA34,0)+$GZ35</f>
        <v/>
      </c>
      <c r="HB35" s="62">
        <f>$HB34+$GZ35</f>
        <v/>
      </c>
      <c r="HC35" s="62">
        <f>SUMIFS(tblSafety[LTI],tblSafety[Date],$A35)</f>
        <v/>
      </c>
      <c r="HD35" s="62">
        <f>IF($B35=$B34,$HD34,0)+$HC35</f>
        <v/>
      </c>
      <c r="HE35" s="62">
        <f>$HE34+$HC35</f>
        <v/>
      </c>
      <c r="HF35" s="62">
        <f>SUMIFS(tblSafety[RWI],tblSafety[Date],$A35)</f>
        <v/>
      </c>
      <c r="HG35" s="62">
        <f>IF($B35=$B34,$HG34,0)+$HF35</f>
        <v/>
      </c>
      <c r="HH35" s="62">
        <f>$HH34+$HF35</f>
        <v/>
      </c>
      <c r="HI35" s="62">
        <f>SUMIFS(tblSafety[MTI],tblSafety[Date],$A35)</f>
        <v/>
      </c>
      <c r="HJ35" s="62">
        <f>IF($B35=$B34,$HJ34,0)+$HI35</f>
        <v/>
      </c>
      <c r="HK35" s="62">
        <f>$HK34+$HI35</f>
        <v/>
      </c>
      <c r="HL35" s="62">
        <f>SUMIFS(tblSafety[FAI],tblSafety[Date],$A35)</f>
        <v/>
      </c>
      <c r="HM35" s="62">
        <f>IF($B35=$B34,$HM34,0)+$HL35</f>
        <v/>
      </c>
      <c r="HN35" s="62">
        <f>$HN34+$HL35</f>
        <v/>
      </c>
      <c r="HO35" s="62">
        <f>SUMIFS(tblSafety[Recordables],tblSafety[Date],$A35)</f>
        <v/>
      </c>
      <c r="HP35" s="62">
        <f>IF($B35=$B34,$HP34,0)+$HO35</f>
        <v/>
      </c>
      <c r="HQ35" s="62">
        <f>$HQ34+$HO35</f>
        <v/>
      </c>
      <c r="HR35" s="62">
        <f>SUMIFS(tblSafety[Near_Miss],tblSafety[Date],$A35)</f>
        <v/>
      </c>
      <c r="HS35" s="62">
        <f>IF($B35=$B34,$HS34,0)+$HR35</f>
        <v/>
      </c>
      <c r="HT35" s="62">
        <f>$HT34+$HR35</f>
        <v/>
      </c>
      <c r="HU35" s="62">
        <f>SUMIFS(tblSafety[Hazard_Reports],tblSafety[Date],$A35)</f>
        <v/>
      </c>
      <c r="HV35" s="62">
        <f>IF($B35=$B34,$HV34,0)+$HU35</f>
        <v/>
      </c>
      <c r="HW35" s="62">
        <f>$HW34+$HU35</f>
        <v/>
      </c>
      <c r="HX35" s="62">
        <f>SUMIFS(tblSafety[HPI],tblSafety[Date],$A35)</f>
        <v/>
      </c>
      <c r="HY35" s="62">
        <f>IF($B35=$B34,$HY34,0)+$HX35</f>
        <v/>
      </c>
      <c r="HZ35" s="62">
        <f>$HZ34+$HX35</f>
        <v/>
      </c>
      <c r="IA35" s="62">
        <f>SUMIFS(tblSafety[Env_Incidents],tblSafety[Date],$A35)</f>
        <v/>
      </c>
      <c r="IB35" s="62">
        <f>IF($B35=$B34,$IB34,0)+$IA35</f>
        <v/>
      </c>
      <c r="IC35" s="62">
        <f>$IC34+$IA35</f>
        <v/>
      </c>
      <c r="ID35" s="62">
        <f>SUMIFS(tblSafety[Community_Incidents],tblSafety[Date],$A35)</f>
        <v/>
      </c>
      <c r="IE35" s="62">
        <f>IF($B35=$B34,$IE34,0)+$ID35</f>
        <v/>
      </c>
      <c r="IF35" s="62">
        <f>$IF34+$ID35</f>
        <v/>
      </c>
      <c r="IG35" s="62">
        <f>SUMIFS(tblSafety[Vehicle_Incidents],tblSafety[Date],$A35)</f>
        <v/>
      </c>
      <c r="IH35" s="62">
        <f>IF($B35=$B34,$IH34,0)+$IG35</f>
        <v/>
      </c>
      <c r="II35" s="62">
        <f>$II34+$IG35</f>
        <v/>
      </c>
      <c r="IJ35" s="62">
        <f>SUMIFS(tblSafety[Toolbox_Talks],tblSafety[Date],$A35)</f>
        <v/>
      </c>
      <c r="IK35" s="62">
        <f>IF($B35=$B34,$IK34,0)+$IJ35</f>
        <v/>
      </c>
      <c r="IL35" s="62">
        <f>$IL34+$IJ35</f>
        <v/>
      </c>
      <c r="IM35" s="62">
        <f>SUMIFS(tblSafety[Inspections],tblSafety[Date],$A35)</f>
        <v/>
      </c>
      <c r="IN35" s="62">
        <f>IF($B35=$B34,$IN34,0)+$IM35</f>
        <v/>
      </c>
      <c r="IO35" s="62">
        <f>$IO34+$IM35</f>
        <v/>
      </c>
      <c r="IP35" s="56">
        <f>IFERROR((SUMIFS(tblSafety[Recordables],tblSafety[Date],"&gt;="&amp;EDATE($E35,-12),tblSafety[Date],"&lt;="&amp;$A35)+SUMIFS(tblSafetyHistory[Recordables],tblSafetyHistory[Month],"&gt;="&amp;EDATE($E35,-12),tblSafetyHistory[Month],"&lt;"&amp;$E35,tblSafetyHistory[Use],1))/(SUMIFS(tblSafety[Hours_Total],tblSafety[Date],"&gt;="&amp;EDATE($E35,-12),tblSafety[Date],"&lt;="&amp;$A35)+SUMIFS(tblSafetyHistory[Hours_Total],tblSafetyHistory[Month],"&gt;="&amp;EDATE($E35,-12),tblSafetyHistory[Month],"&lt;"&amp;$E35,tblSafetyHistory[Use],1))*cfg_RateBasisHours,"")</f>
        <v/>
      </c>
      <c r="IQ35" s="56">
        <f>IFERROR((SUMIFS(tblSafety[LTI],tblSafety[Date],"&gt;="&amp;EDATE($E35,-12),tblSafety[Date],"&lt;="&amp;$A35)+SUMIFS(tblSafetyHistory[LTI],tblSafetyHistory[Month],"&gt;="&amp;EDATE($E35,-12),tblSafetyHistory[Month],"&lt;"&amp;$E35,tblSafetyHistory[Use],1))/(SUMIFS(tblSafety[Hours_Total],tblSafety[Date],"&gt;="&amp;EDATE($E35,-12),tblSafety[Date],"&lt;="&amp;$A35)+SUMIFS(tblSafetyHistory[Hours_Total],tblSafetyHistory[Month],"&gt;="&amp;EDATE($E35,-12),tblSafetyHistory[Month],"&lt;"&amp;$E35,tblSafetyHistory[Use],1))*cfg_RateBasisHours,"")</f>
        <v/>
      </c>
      <c r="IR35" s="62">
        <f>IF(MAX(N(cfg_PriorLTIDate),_xlfn.MAXIFS(tblSafety[Date],tblSafety[LTI],"&gt;0",tblSafety[Date],"&lt;="&amp;$A35))=0,"",$A35-MAX(N(cfg_PriorLTIDate),_xlfn.MAXIFS(tblSafety[Date],tblSafety[LTI],"&gt;0",tblSafety[Date],"&lt;="&amp;$A35)))</f>
        <v/>
      </c>
      <c r="IS35" s="55">
        <f>SUMIFS(tblBudget[Ore_Mined_t],tblBudget[Month],$E35)</f>
        <v/>
      </c>
      <c r="IT35" s="55">
        <f>$IS35*$C35/$D35</f>
        <v/>
      </c>
      <c r="IU35" s="55">
        <f>SUMIFS(tblBudget[Ore_Mined_t],tblBudget[Month],"&lt;"&amp;$E35)+$IT35</f>
        <v/>
      </c>
      <c r="IV35" s="55">
        <f>SUMIFS(tblBudget[Ore_oz],tblBudget[Month],$E35)</f>
        <v/>
      </c>
      <c r="IW35" s="55">
        <f>$IV35*$C35/$D35</f>
        <v/>
      </c>
      <c r="IX35" s="55">
        <f>SUMIFS(tblBudget[Ore_oz],tblBudget[Month],"&lt;"&amp;$E35)+$IW35</f>
        <v/>
      </c>
      <c r="IY35" s="55">
        <f>SUMIFS(tblBudget[Ore_Mined_t],tblBudget[Month],$E35)</f>
        <v/>
      </c>
      <c r="IZ35" s="55">
        <f>$IY35*$C35/$D35</f>
        <v/>
      </c>
      <c r="JA35" s="55">
        <f>SUMIFS(tblBudget[Ore_Mined_t],tblBudget[Month],"&lt;"&amp;$E35)+$IZ35</f>
        <v/>
      </c>
      <c r="JB35" s="56">
        <f>IFERROR(IF(($IY35)&gt;0,($IV35*cfg_TroyOz)/($IY35),""),"")</f>
        <v/>
      </c>
      <c r="JC35" s="56">
        <f>IFERROR(IF(($IZ35)&gt;0,($IW35*cfg_TroyOz)/($IZ35),""),"")</f>
        <v/>
      </c>
      <c r="JD35" s="56">
        <f>IFERROR(IF(($JA35)&gt;0,($IX35*cfg_TroyOz)/($JA35),""),"")</f>
        <v/>
      </c>
      <c r="JE35" s="55">
        <f>SUMIFS(tblBudget[Waste_t],tblBudget[Month],$E35)</f>
        <v/>
      </c>
      <c r="JF35" s="55">
        <f>$JE35*$C35/$D35</f>
        <v/>
      </c>
      <c r="JG35" s="55">
        <f>SUMIFS(tblBudget[Waste_t],tblBudget[Month],"&lt;"&amp;$E35)+$JF35</f>
        <v/>
      </c>
      <c r="JH35" s="55">
        <f>SUMIFS(tblBudget[TMM_t],tblBudget[Month],$E35)</f>
        <v/>
      </c>
      <c r="JI35" s="55">
        <f>$JH35*$C35/$D35</f>
        <v/>
      </c>
      <c r="JJ35" s="55">
        <f>SUMIFS(tblBudget[TMM_t],tblBudget[Month],"&lt;"&amp;$E35)+$JI35</f>
        <v/>
      </c>
      <c r="JK35" s="56">
        <f>IFERROR(IF(($IS35)&gt;0,($JE35)/($IS35),""),"")</f>
        <v/>
      </c>
      <c r="JL35" s="56">
        <f>IFERROR(IF(($IT35)&gt;0,($JF35)/($IT35),""),"")</f>
        <v/>
      </c>
      <c r="JM35" s="56">
        <f>IFERROR(IF(($IU35)&gt;0,($JG35)/($IU35),""),"")</f>
        <v/>
      </c>
      <c r="JN35" s="55">
        <f>SUMIFS(tblBudget[Drill_m],tblBudget[Month],$E35)</f>
        <v/>
      </c>
      <c r="JO35" s="55">
        <f>$JN35*$C35/$D35</f>
        <v/>
      </c>
      <c r="JP35" s="55">
        <f>SUMIFS(tblBudget[Drill_m],tblBudget[Month],"&lt;"&amp;$E35)+$JO35</f>
        <v/>
      </c>
      <c r="JQ35" s="55">
        <f>SUMIFS(tblBudget[Diesel_L],tblBudget[Month],$E35)</f>
        <v/>
      </c>
      <c r="JR35" s="55">
        <f>$JQ35*$C35/$D35</f>
        <v/>
      </c>
      <c r="JS35" s="55">
        <f>SUMIFS(tblBudget[Diesel_L],tblBudget[Month],"&lt;"&amp;$E35)+$JR35</f>
        <v/>
      </c>
      <c r="JT35" s="55">
        <f>SUMIFS(tblBudget[Milled_t],tblBudget[Month],$E35)</f>
        <v/>
      </c>
      <c r="JU35" s="55">
        <f>$JT35*$C35/$D35</f>
        <v/>
      </c>
      <c r="JV35" s="55">
        <f>SUMIFS(tblBudget[Milled_t],tblBudget[Month],"&lt;"&amp;$E35)+$JU35</f>
        <v/>
      </c>
      <c r="JW35" s="55">
        <f>SUMIFS(tblBudget[Feed_oz],tblBudget[Month],$E35)</f>
        <v/>
      </c>
      <c r="JX35" s="55">
        <f>$JW35*$C35/$D35</f>
        <v/>
      </c>
      <c r="JY35" s="55">
        <f>SUMIFS(tblBudget[Feed_oz],tblBudget[Month],"&lt;"&amp;$E35)+$JX35</f>
        <v/>
      </c>
      <c r="JZ35" s="55">
        <f>SUMIFS(tblBudget[Recovered_oz],tblBudget[Month],$E35)</f>
        <v/>
      </c>
      <c r="KA35" s="55">
        <f>$JZ35*$C35/$D35</f>
        <v/>
      </c>
      <c r="KB35" s="55">
        <f>SUMIFS(tblBudget[Recovered_oz],tblBudget[Month],"&lt;"&amp;$E35)+$KA35</f>
        <v/>
      </c>
      <c r="KC35" s="55">
        <f>SUMIFS(tblBudget[Milled_t],tblBudget[Month],$E35)</f>
        <v/>
      </c>
      <c r="KD35" s="55">
        <f>$KC35*$C35/$D35</f>
        <v/>
      </c>
      <c r="KE35" s="55">
        <f>SUMIFS(tblBudget[Milled_t],tblBudget[Month],"&lt;"&amp;$E35)+$KD35</f>
        <v/>
      </c>
      <c r="KF35" s="55">
        <f>SUMIFS(tblBudget[Feed_oz],tblBudget[Month],$E35)</f>
        <v/>
      </c>
      <c r="KG35" s="55">
        <f>$KF35*$C35/$D35</f>
        <v/>
      </c>
      <c r="KH35" s="55">
        <f>SUMIFS(tblBudget[Feed_oz],tblBudget[Month],"&lt;"&amp;$E35)+$KG35</f>
        <v/>
      </c>
      <c r="KI35" s="56">
        <f>IFERROR(IF(($KC35)&gt;0,($JW35*cfg_TroyOz)/($KC35),""),"")</f>
        <v/>
      </c>
      <c r="KJ35" s="56">
        <f>IFERROR(IF(($KD35)&gt;0,($JX35*cfg_TroyOz)/($KD35),""),"")</f>
        <v/>
      </c>
      <c r="KK35" s="56">
        <f>IFERROR(IF(($KE35)&gt;0,($JY35*cfg_TroyOz)/($KE35),""),"")</f>
        <v/>
      </c>
      <c r="KL35" s="67">
        <f>IFERROR(IF(($KF35)&gt;0,($JZ35)/($KF35),""),"")</f>
        <v/>
      </c>
      <c r="KM35" s="67">
        <f>IFERROR(IF(($KG35)&gt;0,($KA35)/($KG35),""),"")</f>
        <v/>
      </c>
      <c r="KN35" s="67">
        <f>IFERROR(IF(($KH35)&gt;0,($KB35)/($KH35),""),"")</f>
        <v/>
      </c>
      <c r="KO35" s="55">
        <f>SUMIFS(tblBudget[Gold_Poured_oz],tblBudget[Month],$E35)</f>
        <v/>
      </c>
      <c r="KP35" s="55">
        <f>$KO35*$C35/$D35</f>
        <v/>
      </c>
      <c r="KQ35" s="55">
        <f>SUMIFS(tblBudget[Gold_Poured_oz],tblBudget[Month],"&lt;"&amp;$E35)+$KP35</f>
        <v/>
      </c>
      <c r="KR35" s="57">
        <f>SUMIFS(tblBudget[Hours_Worked],tblBudget[Month],$E35)</f>
        <v/>
      </c>
      <c r="KS35" s="57">
        <f>$KR35*$C35/$D35</f>
        <v/>
      </c>
      <c r="KT35" s="57">
        <f>SUMIFS(tblBudget[Hours_Worked],tblBudget[Month],"&lt;"&amp;$E35)+$KS35</f>
        <v/>
      </c>
    </row>
    <row r="36">
      <c r="A36" s="54" t="n">
        <v>46057</v>
      </c>
      <c r="B36">
        <f>MONTH($A36)</f>
        <v/>
      </c>
      <c r="C36">
        <f>DAY($A36)</f>
        <v/>
      </c>
      <c r="D36">
        <f>DAY(EOMONTH($A36,0))</f>
        <v/>
      </c>
      <c r="E36" s="54">
        <f>DATE(YEAR($A36),MONTH($A36),1)</f>
        <v/>
      </c>
      <c r="F36" s="55">
        <f>SUMIFS(tblMovement[Tonnes_t],tblMovement[Date],$A36,tblMovement[Is_Ore],1,tblMovement[Source_Type],"Pit")</f>
        <v/>
      </c>
      <c r="G36" s="55">
        <f>IF($B36=$B35,$G35,0)+$F36</f>
        <v/>
      </c>
      <c r="H36" s="55">
        <f>$H35+$F36</f>
        <v/>
      </c>
      <c r="I36" s="55">
        <f>SUMIFS(tblMovement[Ore_oz],tblMovement[Date],$A36,tblMovement[Source_Type],"Pit")</f>
        <v/>
      </c>
      <c r="J36" s="55">
        <f>IF($B36=$B35,$J35,0)+$I36</f>
        <v/>
      </c>
      <c r="K36" s="55">
        <f>$K35+$I36</f>
        <v/>
      </c>
      <c r="L36" s="55">
        <f>SUMIFS(tblMovement[Tonnes_t],tblMovement[Date],$A36,tblMovement[Is_Ore],1,tblMovement[Source_Type],"Pit",tblMovement[Grade_gpt],"&lt;&gt;")</f>
        <v/>
      </c>
      <c r="M36" s="55">
        <f>IF($B36=$B35,$M35,0)+$L36</f>
        <v/>
      </c>
      <c r="N36" s="55">
        <f>$N35+$L36</f>
        <v/>
      </c>
      <c r="O36" s="56">
        <f>IFERROR(IF(($L36)&gt;0,($I36*cfg_TroyOz)/($L36),""),"")</f>
        <v/>
      </c>
      <c r="P36" s="56">
        <f>IFERROR(IF(($M36)&gt;0,($J36*cfg_TroyOz)/($M36),""),"")</f>
        <v/>
      </c>
      <c r="Q36" s="56">
        <f>IFERROR(IF(($N36)&gt;0,($K36*cfg_TroyOz)/($N36),""),"")</f>
        <v/>
      </c>
      <c r="R36" s="55">
        <f>$F36-$L36</f>
        <v/>
      </c>
      <c r="S36" s="55">
        <f>IF($B36=$B35,$S35,0)+$R36</f>
        <v/>
      </c>
      <c r="T36" s="55">
        <f>$T35+$R36</f>
        <v/>
      </c>
      <c r="U36" s="55">
        <f>SUMIFS(tblMovement[Tonnes_t],tblMovement[Date],$A36,tblMovement[Is_Ore],0,tblMovement[Source_Type],"Pit")</f>
        <v/>
      </c>
      <c r="V36" s="55">
        <f>IF($B36=$B35,$V35,0)+$U36</f>
        <v/>
      </c>
      <c r="W36" s="55">
        <f>$W35+$U36</f>
        <v/>
      </c>
      <c r="X36" s="55">
        <f>$F36+$U36</f>
        <v/>
      </c>
      <c r="Y36" s="55">
        <f>IF($B36=$B35,$Y35,0)+$X36</f>
        <v/>
      </c>
      <c r="Z36" s="55">
        <f>$Z35+$X36</f>
        <v/>
      </c>
      <c r="AA36" s="56">
        <f>IFERROR(IF(($F36)&gt;0,($U36)/($F36),""),"")</f>
        <v/>
      </c>
      <c r="AB36" s="56">
        <f>IFERROR(IF(($G36)&gt;0,($V36)/($G36),""),"")</f>
        <v/>
      </c>
      <c r="AC36" s="56">
        <f>IFERROR(IF(($H36)&gt;0,($W36)/($H36),""),"")</f>
        <v/>
      </c>
      <c r="AD36" s="55">
        <f>SUMIFS(tblMovement[Tonnes_t],tblMovement[Date],$A36,tblMovement[Source_Type],"Stockpile")</f>
        <v/>
      </c>
      <c r="AE36" s="55">
        <f>IF($B36=$B35,$AE35,0)+$AD36</f>
        <v/>
      </c>
      <c r="AF36" s="55">
        <f>$AF35+$AD36</f>
        <v/>
      </c>
      <c r="AG36" s="55">
        <f>SUMIFS(tblMovement[Tonnes_t],tblMovement[Date],$A36)</f>
        <v/>
      </c>
      <c r="AH36" s="55">
        <f>IF($B36=$B35,$AH35,0)+$AG36</f>
        <v/>
      </c>
      <c r="AI36" s="55">
        <f>$AI35+$AG36</f>
        <v/>
      </c>
      <c r="AJ36" s="55">
        <f>$AG36-$X36-$AD36</f>
        <v/>
      </c>
      <c r="AK36" s="55">
        <f>IF($B36=$B35,$AK35,0)+$AJ36</f>
        <v/>
      </c>
      <c r="AL36" s="55">
        <f>$AL35+$AJ36</f>
        <v/>
      </c>
      <c r="AM36" s="55">
        <f>SUMIFS(tblMiningDaily[Drill_m],tblMiningDaily[Date],$A36)</f>
        <v/>
      </c>
      <c r="AN36" s="55">
        <f>IF($B36=$B35,$AN35,0)+$AM36</f>
        <v/>
      </c>
      <c r="AO36" s="55">
        <f>$AO35+$AM36</f>
        <v/>
      </c>
      <c r="AP36" s="55">
        <f>SUMIFS(tblMiningDaily[GC_Drill_m],tblMiningDaily[Date],$A36)</f>
        <v/>
      </c>
      <c r="AQ36" s="55">
        <f>IF($B36=$B35,$AQ35,0)+$AP36</f>
        <v/>
      </c>
      <c r="AR36" s="55">
        <f>$AR35+$AP36</f>
        <v/>
      </c>
      <c r="AS36" s="55">
        <f>SUMIFS(tblMiningDaily[Blast_t],tblMiningDaily[Date],$A36)</f>
        <v/>
      </c>
      <c r="AT36" s="55">
        <f>IF($B36=$B35,$AT35,0)+$AS36</f>
        <v/>
      </c>
      <c r="AU36" s="55">
        <f>$AU35+$AS36</f>
        <v/>
      </c>
      <c r="AV36" s="55">
        <f>SUMIFS(tblMiningDaily[Explosives_kg],tblMiningDaily[Date],$A36)</f>
        <v/>
      </c>
      <c r="AW36" s="55">
        <f>IF($B36=$B35,$AW35,0)+$AV36</f>
        <v/>
      </c>
      <c r="AX36" s="55">
        <f>$AX35+$AV36</f>
        <v/>
      </c>
      <c r="AY36" s="56">
        <f>IFERROR(IF(($AS36)&gt;0,($AV36)/($AS36),""),"")</f>
        <v/>
      </c>
      <c r="AZ36" s="56">
        <f>IFERROR(IF(($AT36)&gt;0,($AW36)/($AT36),""),"")</f>
        <v/>
      </c>
      <c r="BA36" s="56">
        <f>IFERROR(IF(($AU36)&gt;0,($AX36)/($AU36),""),"")</f>
        <v/>
      </c>
      <c r="BB36" s="55">
        <f>SUMIFS(tblMiningDaily[Diesel_L],tblMiningDaily[Date],$A36)</f>
        <v/>
      </c>
      <c r="BC36" s="55">
        <f>IF($B36=$B35,$BC35,0)+$BB36</f>
        <v/>
      </c>
      <c r="BD36" s="55">
        <f>$BD35+$BB36</f>
        <v/>
      </c>
      <c r="BE36" s="55">
        <f>SUMIFS(tblMiningDaily[Dewatering_m3],tblMiningDaily[Date],$A36)</f>
        <v/>
      </c>
      <c r="BF36" s="55">
        <f>IF($B36=$B35,$BF35,0)+$BE36</f>
        <v/>
      </c>
      <c r="BG36" s="55">
        <f>$BG35+$BE36</f>
        <v/>
      </c>
      <c r="BH36" s="57">
        <f>SUMIFS(tblFleet[Calendar_h],tblFleet[Date],$A36,tblFleet[Equipment_Class],"Excavator")</f>
        <v/>
      </c>
      <c r="BI36" s="57">
        <f>IF($B36=$B35,$BI35,0)+$BH36</f>
        <v/>
      </c>
      <c r="BJ36" s="57">
        <f>$BJ35+$BH36</f>
        <v/>
      </c>
      <c r="BK36" s="57">
        <f>SUMIFS(tblFleet[Available_h],tblFleet[Date],$A36,tblFleet[Equipment_Class],"Excavator")</f>
        <v/>
      </c>
      <c r="BL36" s="57">
        <f>IF($B36=$B35,$BL35,0)+$BK36</f>
        <v/>
      </c>
      <c r="BM36" s="57">
        <f>$BM35+$BK36</f>
        <v/>
      </c>
      <c r="BN36" s="57">
        <f>SUMIFS(tblFleet[Operating_h],tblFleet[Date],$A36,tblFleet[Equipment_Class],"Excavator")</f>
        <v/>
      </c>
      <c r="BO36" s="57">
        <f>IF($B36=$B35,$BO35,0)+$BN36</f>
        <v/>
      </c>
      <c r="BP36" s="57">
        <f>$BP35+$BN36</f>
        <v/>
      </c>
      <c r="BQ36" s="67">
        <f>IFERROR(IF(($BH36)&gt;0,($BK36)/($BH36),""),"")</f>
        <v/>
      </c>
      <c r="BR36" s="67">
        <f>IFERROR(IF(($BI36)&gt;0,($BL36)/($BI36),""),"")</f>
        <v/>
      </c>
      <c r="BS36" s="67">
        <f>IFERROR(IF(($BJ36)&gt;0,($BM36)/($BJ36),""),"")</f>
        <v/>
      </c>
      <c r="BT36" s="67">
        <f>IFERROR(IF(($BK36)&gt;0,($BN36)/($BK36),""),"")</f>
        <v/>
      </c>
      <c r="BU36" s="67">
        <f>IFERROR(IF(($BL36)&gt;0,($BO36)/($BL36),""),"")</f>
        <v/>
      </c>
      <c r="BV36" s="67">
        <f>IFERROR(IF(($BM36)&gt;0,($BP36)/($BM36),""),"")</f>
        <v/>
      </c>
      <c r="BW36" s="57">
        <f>SUMIFS(tblFleet[Calendar_h],tblFleet[Date],$A36,tblFleet[Equipment_Class],"Haul Truck")</f>
        <v/>
      </c>
      <c r="BX36" s="57">
        <f>IF($B36=$B35,$BX35,0)+$BW36</f>
        <v/>
      </c>
      <c r="BY36" s="57">
        <f>$BY35+$BW36</f>
        <v/>
      </c>
      <c r="BZ36" s="57">
        <f>SUMIFS(tblFleet[Available_h],tblFleet[Date],$A36,tblFleet[Equipment_Class],"Haul Truck")</f>
        <v/>
      </c>
      <c r="CA36" s="57">
        <f>IF($B36=$B35,$CA35,0)+$BZ36</f>
        <v/>
      </c>
      <c r="CB36" s="57">
        <f>$CB35+$BZ36</f>
        <v/>
      </c>
      <c r="CC36" s="57">
        <f>SUMIFS(tblFleet[Operating_h],tblFleet[Date],$A36,tblFleet[Equipment_Class],"Haul Truck")</f>
        <v/>
      </c>
      <c r="CD36" s="57">
        <f>IF($B36=$B35,$CD35,0)+$CC36</f>
        <v/>
      </c>
      <c r="CE36" s="57">
        <f>$CE35+$CC36</f>
        <v/>
      </c>
      <c r="CF36" s="67">
        <f>IFERROR(IF(($BW36)&gt;0,($BZ36)/($BW36),""),"")</f>
        <v/>
      </c>
      <c r="CG36" s="67">
        <f>IFERROR(IF(($BX36)&gt;0,($CA36)/($BX36),""),"")</f>
        <v/>
      </c>
      <c r="CH36" s="67">
        <f>IFERROR(IF(($BY36)&gt;0,($CB36)/($BY36),""),"")</f>
        <v/>
      </c>
      <c r="CI36" s="67">
        <f>IFERROR(IF(($BZ36)&gt;0,($CC36)/($BZ36),""),"")</f>
        <v/>
      </c>
      <c r="CJ36" s="67">
        <f>IFERROR(IF(($CA36)&gt;0,($CD36)/($CA36),""),"")</f>
        <v/>
      </c>
      <c r="CK36" s="67">
        <f>IFERROR(IF(($CB36)&gt;0,($CE36)/($CB36),""),"")</f>
        <v/>
      </c>
      <c r="CL36" s="55">
        <f>IFERROR(IF(($BN36)&gt;0,($X36+$AD36)/($BN36),""),"")</f>
        <v/>
      </c>
      <c r="CM36" s="55">
        <f>IFERROR(IF(($BO36)&gt;0,($Y36+$AE36)/($BO36),""),"")</f>
        <v/>
      </c>
      <c r="CN36" s="55">
        <f>IFERROR(IF(($BP36)&gt;0,($Z36+$AF36)/($BP36),""),"")</f>
        <v/>
      </c>
      <c r="CO36" s="55">
        <f>IFERROR(IF(($CC36)&gt;0,($X36+$AD36)/($CC36),""),"")</f>
        <v/>
      </c>
      <c r="CP36" s="55">
        <f>IFERROR(IF(($CD36)&gt;0,($Y36+$AE36)/($CD36),""),"")</f>
        <v/>
      </c>
      <c r="CQ36" s="55">
        <f>IFERROR(IF(($CE36)&gt;0,($Z36+$AF36)/($CE36),""),"")</f>
        <v/>
      </c>
      <c r="CR36" s="55">
        <f>SUMIFS(tblPlant[Crushed_t],tblPlant[Date],$A36)</f>
        <v/>
      </c>
      <c r="CS36" s="55">
        <f>IF($B36=$B35,$CS35,0)+$CR36</f>
        <v/>
      </c>
      <c r="CT36" s="55">
        <f>$CT35+$CR36</f>
        <v/>
      </c>
      <c r="CU36" s="55">
        <f>SUMIFS(tblPlant[Milled_t],tblPlant[Date],$A36)</f>
        <v/>
      </c>
      <c r="CV36" s="55">
        <f>IF($B36=$B35,$CV35,0)+$CU36</f>
        <v/>
      </c>
      <c r="CW36" s="55">
        <f>$CW35+$CU36</f>
        <v/>
      </c>
      <c r="CX36" s="55">
        <f>SUMIFS(tblPlant[Feed_oz],tblPlant[Date],$A36)</f>
        <v/>
      </c>
      <c r="CY36" s="55">
        <f>IF($B36=$B35,$CY35,0)+$CX36</f>
        <v/>
      </c>
      <c r="CZ36" s="55">
        <f>$CZ35+$CX36</f>
        <v/>
      </c>
      <c r="DA36" s="55">
        <f>SUMIFS(tblPlant[Tails_oz],tblPlant[Date],$A36)</f>
        <v/>
      </c>
      <c r="DB36" s="55">
        <f>IF($B36=$B35,$DB35,0)+$DA36</f>
        <v/>
      </c>
      <c r="DC36" s="55">
        <f>$DC35+$DA36</f>
        <v/>
      </c>
      <c r="DD36" s="55">
        <f>SUMIFS(tblPlant[Recovered_oz],tblPlant[Date],$A36)</f>
        <v/>
      </c>
      <c r="DE36" s="55">
        <f>IF($B36=$B35,$DE35,0)+$DD36</f>
        <v/>
      </c>
      <c r="DF36" s="55">
        <f>$DF35+$DD36</f>
        <v/>
      </c>
      <c r="DG36" s="55">
        <f>SUMIFS(tblPlant[Milled_t],tblPlant[Date],$A36,tblPlant[Head_Grade_gpt],"&lt;&gt;")</f>
        <v/>
      </c>
      <c r="DH36" s="55">
        <f>IF($B36=$B35,$DH35,0)+$DG36</f>
        <v/>
      </c>
      <c r="DI36" s="55">
        <f>$DI35+$DG36</f>
        <v/>
      </c>
      <c r="DJ36" s="55">
        <f>SUMIFS(tblPlant[Milled_t],tblPlant[Date],$A36,tblPlant[Tails_Grade_gpt],"&lt;&gt;")</f>
        <v/>
      </c>
      <c r="DK36" s="55">
        <f>IF($B36=$B35,$DK35,0)+$DJ36</f>
        <v/>
      </c>
      <c r="DL36" s="55">
        <f>$DL35+$DJ36</f>
        <v/>
      </c>
      <c r="DM36" s="55">
        <f>SUMIFS(tblPlant[Feed_oz],tblPlant[Date],$A36,tblPlant[Tails_Grade_gpt],"&lt;&gt;")</f>
        <v/>
      </c>
      <c r="DN36" s="55">
        <f>IF($B36=$B35,$DN35,0)+$DM36</f>
        <v/>
      </c>
      <c r="DO36" s="55">
        <f>$DO35+$DM36</f>
        <v/>
      </c>
      <c r="DP36" s="55">
        <f>SUMIFS(tblPlant[Milled_t],tblPlant[Date],$A36,tblPlant[Mill_Run_h],"&lt;&gt;")</f>
        <v/>
      </c>
      <c r="DQ36" s="55">
        <f>IF($B36=$B35,$DQ35,0)+$DP36</f>
        <v/>
      </c>
      <c r="DR36" s="55">
        <f>$DR35+$DP36</f>
        <v/>
      </c>
      <c r="DS36" s="56">
        <f>IFERROR(IF(($DG36)&gt;0,($CX36*cfg_TroyOz)/($DG36),""),"")</f>
        <v/>
      </c>
      <c r="DT36" s="56">
        <f>IFERROR(IF(($DH36)&gt;0,($CY36*cfg_TroyOz)/($DH36),""),"")</f>
        <v/>
      </c>
      <c r="DU36" s="56">
        <f>IFERROR(IF(($DI36)&gt;0,($CZ36*cfg_TroyOz)/($DI36),""),"")</f>
        <v/>
      </c>
      <c r="DV36" s="56">
        <f>IFERROR(IF(($DJ36)&gt;0,($DA36*cfg_TroyOz)/($DJ36),""),"")</f>
        <v/>
      </c>
      <c r="DW36" s="56">
        <f>IFERROR(IF(($DK36)&gt;0,($DB36*cfg_TroyOz)/($DK36),""),"")</f>
        <v/>
      </c>
      <c r="DX36" s="56">
        <f>IFERROR(IF(($DL36)&gt;0,($DC36*cfg_TroyOz)/($DL36),""),"")</f>
        <v/>
      </c>
      <c r="DY36" s="67">
        <f>IFERROR(IF(($DM36)&gt;0,($DD36)/($DM36),""),"")</f>
        <v/>
      </c>
      <c r="DZ36" s="67">
        <f>IFERROR(IF(($DN36)&gt;0,($DE36)/($DN36),""),"")</f>
        <v/>
      </c>
      <c r="EA36" s="67">
        <f>IFERROR(IF(($DO36)&gt;0,($DF36)/($DO36),""),"")</f>
        <v/>
      </c>
      <c r="EB36" s="55">
        <f>SUMIFS(tblPlant[Gravity_Gold_oz],tblPlant[Date],$A36)</f>
        <v/>
      </c>
      <c r="EC36" s="55">
        <f>IF($B36=$B35,$EC35,0)+$EB36</f>
        <v/>
      </c>
      <c r="ED36" s="55">
        <f>$ED35+$EB36</f>
        <v/>
      </c>
      <c r="EE36" s="67">
        <f>IFERROR(IF(($DD36)&gt;0,($EB36)/($DD36),""),"")</f>
        <v/>
      </c>
      <c r="EF36" s="67">
        <f>IFERROR(IF(($DE36)&gt;0,($EC36)/($DE36),""),"")</f>
        <v/>
      </c>
      <c r="EG36" s="67">
        <f>IFERROR(IF(($DF36)&gt;0,($ED36)/($DF36),""),"")</f>
        <v/>
      </c>
      <c r="EH36" s="55">
        <f>SUMIFS(tblPlant[Gold_Poured_oz],tblPlant[Date],$A36)</f>
        <v/>
      </c>
      <c r="EI36" s="55">
        <f>IF($B36=$B35,$EI35,0)+$EH36</f>
        <v/>
      </c>
      <c r="EJ36" s="55">
        <f>$EJ35+$EH36</f>
        <v/>
      </c>
      <c r="EK36" s="57">
        <f>SUMIFS(tblPlant[Mill_Run_h],tblPlant[Date],$A36)</f>
        <v/>
      </c>
      <c r="EL36" s="57">
        <f>IF($B36=$B35,$EL35,0)+$EK36</f>
        <v/>
      </c>
      <c r="EM36" s="57">
        <f>$EM35+$EK36</f>
        <v/>
      </c>
      <c r="EN36" s="57">
        <f>SUMIFS(tblPlant[Mill_Planned_Maint_h],tblPlant[Date],$A36)</f>
        <v/>
      </c>
      <c r="EO36" s="57">
        <f>IF($B36=$B35,$EO35,0)+$EN36</f>
        <v/>
      </c>
      <c r="EP36" s="57">
        <f>$EP35+$EN36</f>
        <v/>
      </c>
      <c r="EQ36" s="57">
        <f>SUMIFS(tblPlant[Mill_Unplanned_Down_h],tblPlant[Date],$A36)</f>
        <v/>
      </c>
      <c r="ER36" s="57">
        <f>IF($B36=$B35,$ER35,0)+$EQ36</f>
        <v/>
      </c>
      <c r="ES36" s="57">
        <f>$ES35+$EQ36</f>
        <v/>
      </c>
      <c r="ET36" s="57">
        <f>IF(COUNTIFS(tblPlant[Date],$A36,tblPlant[Mill_Run_h],"&lt;&gt;")+COUNTIFS(tblPlant[Date],$A36,tblPlant[Mill_Planned_Maint_h],"&lt;&gt;")+COUNTIFS(tblPlant[Date],$A36,tblPlant[Mill_Unplanned_Down_h],"&lt;&gt;")&gt;0,cfg_HoursPerDay,0)</f>
        <v/>
      </c>
      <c r="EU36" s="57">
        <f>IF($B36=$B35,$EU35,0)+$ET36</f>
        <v/>
      </c>
      <c r="EV36" s="57">
        <f>$EV35+$ET36</f>
        <v/>
      </c>
      <c r="EW36" s="57">
        <f>SUMIFS(tblPlant[Crusher_Run_h],tblPlant[Date],$A36)</f>
        <v/>
      </c>
      <c r="EX36" s="57">
        <f>IF($B36=$B35,$EX35,0)+$EW36</f>
        <v/>
      </c>
      <c r="EY36" s="57">
        <f>$EY35+$EW36</f>
        <v/>
      </c>
      <c r="EZ36" s="55">
        <f>IFERROR(IF(($EK36)&gt;0,($DP36)/($EK36),""),"")</f>
        <v/>
      </c>
      <c r="FA36" s="55">
        <f>IFERROR(IF(($EL36)&gt;0,($DQ36)/($EL36),""),"")</f>
        <v/>
      </c>
      <c r="FB36" s="55">
        <f>IFERROR(IF(($EM36)&gt;0,($DR36)/($EM36),""),"")</f>
        <v/>
      </c>
      <c r="FC36" s="67">
        <f>IFERROR(IF(($ET36)&gt;0,($ET36-$EN36-$EQ36)/($ET36),""),"")</f>
        <v/>
      </c>
      <c r="FD36" s="67">
        <f>IFERROR(IF(($EU36)&gt;0,($EU36-$EO36-$ER36)/($EU36),""),"")</f>
        <v/>
      </c>
      <c r="FE36" s="67">
        <f>IFERROR(IF(($EV36)&gt;0,($EV36-$EP36-$ES36)/($EV36),""),"")</f>
        <v/>
      </c>
      <c r="FF36" s="67">
        <f>IFERROR(IF(($ET36-$EN36-$EQ36)&gt;0,($EK36)/($ET36-$EN36-$EQ36),""),"")</f>
        <v/>
      </c>
      <c r="FG36" s="67">
        <f>IFERROR(IF(($EU36-$EO36-$ER36)&gt;0,($EL36)/($EU36-$EO36-$ER36),""),"")</f>
        <v/>
      </c>
      <c r="FH36" s="67">
        <f>IFERROR(IF(($EV36-$EP36-$ES36)&gt;0,($EM36)/($EV36-$EP36-$ES36),""),"")</f>
        <v/>
      </c>
      <c r="FI36" s="55">
        <f>SUMIFS(tblPlant[Cyanide_kg],tblPlant[Date],$A36)</f>
        <v/>
      </c>
      <c r="FJ36" s="55">
        <f>IF($B36=$B35,$FJ35,0)+$FI36</f>
        <v/>
      </c>
      <c r="FK36" s="55">
        <f>$FK35+$FI36</f>
        <v/>
      </c>
      <c r="FL36" s="55">
        <f>SUMIFS(tblPlant[Lime_kg],tblPlant[Date],$A36)</f>
        <v/>
      </c>
      <c r="FM36" s="55">
        <f>IF($B36=$B35,$FM35,0)+$FL36</f>
        <v/>
      </c>
      <c r="FN36" s="55">
        <f>$FN35+$FL36</f>
        <v/>
      </c>
      <c r="FO36" s="55">
        <f>SUMIFS(tblPlant[Grinding_Media_kg],tblPlant[Date],$A36)</f>
        <v/>
      </c>
      <c r="FP36" s="55">
        <f>IF($B36=$B35,$FP35,0)+$FO36</f>
        <v/>
      </c>
      <c r="FQ36" s="55">
        <f>$FQ35+$FO36</f>
        <v/>
      </c>
      <c r="FR36" s="55">
        <f>SUMIFS(tblPlant[Power_kWh],tblPlant[Date],$A36)</f>
        <v/>
      </c>
      <c r="FS36" s="55">
        <f>IF($B36=$B35,$FS35,0)+$FR36</f>
        <v/>
      </c>
      <c r="FT36" s="55">
        <f>$FT35+$FR36</f>
        <v/>
      </c>
      <c r="FU36" s="55">
        <f>SUMIFS(tblPlant[Raw_Water_m3],tblPlant[Date],$A36)</f>
        <v/>
      </c>
      <c r="FV36" s="55">
        <f>IF($B36=$B35,$FV35,0)+$FU36</f>
        <v/>
      </c>
      <c r="FW36" s="55">
        <f>$FW35+$FU36</f>
        <v/>
      </c>
      <c r="FX36" s="56">
        <f>IFERROR(IF(($CU36)&gt;0,($FI36)/($CU36),""),"")</f>
        <v/>
      </c>
      <c r="FY36" s="56">
        <f>IFERROR(IF(($CV36)&gt;0,($FJ36)/($CV36),""),"")</f>
        <v/>
      </c>
      <c r="FZ36" s="56">
        <f>IFERROR(IF(($CW36)&gt;0,($FK36)/($CW36),""),"")</f>
        <v/>
      </c>
      <c r="GA36" s="56">
        <f>IFERROR(IF(($CU36)&gt;0,($FL36)/($CU36),""),"")</f>
        <v/>
      </c>
      <c r="GB36" s="56">
        <f>IFERROR(IF(($CV36)&gt;0,($FM36)/($CV36),""),"")</f>
        <v/>
      </c>
      <c r="GC36" s="56">
        <f>IFERROR(IF(($CW36)&gt;0,($FN36)/($CW36),""),"")</f>
        <v/>
      </c>
      <c r="GD36" s="56">
        <f>IFERROR(IF(($CU36)&gt;0,($FO36)/($CU36),""),"")</f>
        <v/>
      </c>
      <c r="GE36" s="56">
        <f>IFERROR(IF(($CV36)&gt;0,($FP36)/($CV36),""),"")</f>
        <v/>
      </c>
      <c r="GF36" s="56">
        <f>IFERROR(IF(($CW36)&gt;0,($FQ36)/($CW36),""),"")</f>
        <v/>
      </c>
      <c r="GG36" s="79">
        <f>IFERROR(IF(($CU36)&gt;0,($FR36)/($CU36),""),"")</f>
        <v/>
      </c>
      <c r="GH36" s="79">
        <f>IFERROR(IF(($CV36)&gt;0,($FS36)/($CV36),""),"")</f>
        <v/>
      </c>
      <c r="GI36" s="79">
        <f>IFERROR(IF(($CW36)&gt;0,($FT36)/($CW36),""),"")</f>
        <v/>
      </c>
      <c r="GJ36" s="56">
        <f>IFERROR(IF(($CU36)&gt;0,($FU36)/($CU36),""),"")</f>
        <v/>
      </c>
      <c r="GK36" s="56">
        <f>IFERROR(IF(($CV36)&gt;0,($FV36)/($CV36),""),"")</f>
        <v/>
      </c>
      <c r="GL36" s="56">
        <f>IFERROR(IF(($CW36)&gt;0,($FW36)/($CW36),""),"")</f>
        <v/>
      </c>
      <c r="GM36" s="55">
        <f>IF(SUMIFS(tblPlant[GIC_oz],tblPlant[Date],$A36)&gt;0,SUMIFS(tblPlant[GIC_oz],tblPlant[Date],$A36),"")</f>
        <v/>
      </c>
      <c r="GN36" s="55">
        <f>SUMIFS(tblGold[Gold_oz],tblGold[Date],$A36,tblGold[Type],"Shipment")</f>
        <v/>
      </c>
      <c r="GO36" s="55">
        <f>IF($B36=$B35,$GO35,0)+$GN36</f>
        <v/>
      </c>
      <c r="GP36" s="55">
        <f>$GP35+$GN36</f>
        <v/>
      </c>
      <c r="GQ36" s="55">
        <f>SUMIFS(tblGold[Gold_oz],tblGold[Date],$A36,tblGold[Type],"Sale")</f>
        <v/>
      </c>
      <c r="GR36" s="55">
        <f>IF($B36=$B35,$GR35,0)+$GQ36</f>
        <v/>
      </c>
      <c r="GS36" s="55">
        <f>$GS35+$GQ36</f>
        <v/>
      </c>
      <c r="GT36" s="55">
        <f>SUMIFS(tblGold[Dore_kg],tblGold[Date],$A36,tblGold[Type],"Shipment")</f>
        <v/>
      </c>
      <c r="GU36" s="55">
        <f>IF($B36=$B35,$GU35,0)+$GT36</f>
        <v/>
      </c>
      <c r="GV36" s="55">
        <f>$GV35+$GT36</f>
        <v/>
      </c>
      <c r="GW36" s="57">
        <f>SUMIFS(tblSafety[Hours_Total],tblSafety[Date],$A36)</f>
        <v/>
      </c>
      <c r="GX36" s="57">
        <f>IF($B36=$B35,$GX35,0)+$GW36</f>
        <v/>
      </c>
      <c r="GY36" s="57">
        <f>$GY35+$GW36</f>
        <v/>
      </c>
      <c r="GZ36" s="62">
        <f>SUMIFS(tblSafety[Fatality],tblSafety[Date],$A36)</f>
        <v/>
      </c>
      <c r="HA36" s="62">
        <f>IF($B36=$B35,$HA35,0)+$GZ36</f>
        <v/>
      </c>
      <c r="HB36" s="62">
        <f>$HB35+$GZ36</f>
        <v/>
      </c>
      <c r="HC36" s="62">
        <f>SUMIFS(tblSafety[LTI],tblSafety[Date],$A36)</f>
        <v/>
      </c>
      <c r="HD36" s="62">
        <f>IF($B36=$B35,$HD35,0)+$HC36</f>
        <v/>
      </c>
      <c r="HE36" s="62">
        <f>$HE35+$HC36</f>
        <v/>
      </c>
      <c r="HF36" s="62">
        <f>SUMIFS(tblSafety[RWI],tblSafety[Date],$A36)</f>
        <v/>
      </c>
      <c r="HG36" s="62">
        <f>IF($B36=$B35,$HG35,0)+$HF36</f>
        <v/>
      </c>
      <c r="HH36" s="62">
        <f>$HH35+$HF36</f>
        <v/>
      </c>
      <c r="HI36" s="62">
        <f>SUMIFS(tblSafety[MTI],tblSafety[Date],$A36)</f>
        <v/>
      </c>
      <c r="HJ36" s="62">
        <f>IF($B36=$B35,$HJ35,0)+$HI36</f>
        <v/>
      </c>
      <c r="HK36" s="62">
        <f>$HK35+$HI36</f>
        <v/>
      </c>
      <c r="HL36" s="62">
        <f>SUMIFS(tblSafety[FAI],tblSafety[Date],$A36)</f>
        <v/>
      </c>
      <c r="HM36" s="62">
        <f>IF($B36=$B35,$HM35,0)+$HL36</f>
        <v/>
      </c>
      <c r="HN36" s="62">
        <f>$HN35+$HL36</f>
        <v/>
      </c>
      <c r="HO36" s="62">
        <f>SUMIFS(tblSafety[Recordables],tblSafety[Date],$A36)</f>
        <v/>
      </c>
      <c r="HP36" s="62">
        <f>IF($B36=$B35,$HP35,0)+$HO36</f>
        <v/>
      </c>
      <c r="HQ36" s="62">
        <f>$HQ35+$HO36</f>
        <v/>
      </c>
      <c r="HR36" s="62">
        <f>SUMIFS(tblSafety[Near_Miss],tblSafety[Date],$A36)</f>
        <v/>
      </c>
      <c r="HS36" s="62">
        <f>IF($B36=$B35,$HS35,0)+$HR36</f>
        <v/>
      </c>
      <c r="HT36" s="62">
        <f>$HT35+$HR36</f>
        <v/>
      </c>
      <c r="HU36" s="62">
        <f>SUMIFS(tblSafety[Hazard_Reports],tblSafety[Date],$A36)</f>
        <v/>
      </c>
      <c r="HV36" s="62">
        <f>IF($B36=$B35,$HV35,0)+$HU36</f>
        <v/>
      </c>
      <c r="HW36" s="62">
        <f>$HW35+$HU36</f>
        <v/>
      </c>
      <c r="HX36" s="62">
        <f>SUMIFS(tblSafety[HPI],tblSafety[Date],$A36)</f>
        <v/>
      </c>
      <c r="HY36" s="62">
        <f>IF($B36=$B35,$HY35,0)+$HX36</f>
        <v/>
      </c>
      <c r="HZ36" s="62">
        <f>$HZ35+$HX36</f>
        <v/>
      </c>
      <c r="IA36" s="62">
        <f>SUMIFS(tblSafety[Env_Incidents],tblSafety[Date],$A36)</f>
        <v/>
      </c>
      <c r="IB36" s="62">
        <f>IF($B36=$B35,$IB35,0)+$IA36</f>
        <v/>
      </c>
      <c r="IC36" s="62">
        <f>$IC35+$IA36</f>
        <v/>
      </c>
      <c r="ID36" s="62">
        <f>SUMIFS(tblSafety[Community_Incidents],tblSafety[Date],$A36)</f>
        <v/>
      </c>
      <c r="IE36" s="62">
        <f>IF($B36=$B35,$IE35,0)+$ID36</f>
        <v/>
      </c>
      <c r="IF36" s="62">
        <f>$IF35+$ID36</f>
        <v/>
      </c>
      <c r="IG36" s="62">
        <f>SUMIFS(tblSafety[Vehicle_Incidents],tblSafety[Date],$A36)</f>
        <v/>
      </c>
      <c r="IH36" s="62">
        <f>IF($B36=$B35,$IH35,0)+$IG36</f>
        <v/>
      </c>
      <c r="II36" s="62">
        <f>$II35+$IG36</f>
        <v/>
      </c>
      <c r="IJ36" s="62">
        <f>SUMIFS(tblSafety[Toolbox_Talks],tblSafety[Date],$A36)</f>
        <v/>
      </c>
      <c r="IK36" s="62">
        <f>IF($B36=$B35,$IK35,0)+$IJ36</f>
        <v/>
      </c>
      <c r="IL36" s="62">
        <f>$IL35+$IJ36</f>
        <v/>
      </c>
      <c r="IM36" s="62">
        <f>SUMIFS(tblSafety[Inspections],tblSafety[Date],$A36)</f>
        <v/>
      </c>
      <c r="IN36" s="62">
        <f>IF($B36=$B35,$IN35,0)+$IM36</f>
        <v/>
      </c>
      <c r="IO36" s="62">
        <f>$IO35+$IM36</f>
        <v/>
      </c>
      <c r="IP36" s="56">
        <f>IFERROR((SUMIFS(tblSafety[Recordables],tblSafety[Date],"&gt;="&amp;EDATE($E36,-12),tblSafety[Date],"&lt;="&amp;$A36)+SUMIFS(tblSafetyHistory[Recordables],tblSafetyHistory[Month],"&gt;="&amp;EDATE($E36,-12),tblSafetyHistory[Month],"&lt;"&amp;$E36,tblSafetyHistory[Use],1))/(SUMIFS(tblSafety[Hours_Total],tblSafety[Date],"&gt;="&amp;EDATE($E36,-12),tblSafety[Date],"&lt;="&amp;$A36)+SUMIFS(tblSafetyHistory[Hours_Total],tblSafetyHistory[Month],"&gt;="&amp;EDATE($E36,-12),tblSafetyHistory[Month],"&lt;"&amp;$E36,tblSafetyHistory[Use],1))*cfg_RateBasisHours,"")</f>
        <v/>
      </c>
      <c r="IQ36" s="56">
        <f>IFERROR((SUMIFS(tblSafety[LTI],tblSafety[Date],"&gt;="&amp;EDATE($E36,-12),tblSafety[Date],"&lt;="&amp;$A36)+SUMIFS(tblSafetyHistory[LTI],tblSafetyHistory[Month],"&gt;="&amp;EDATE($E36,-12),tblSafetyHistory[Month],"&lt;"&amp;$E36,tblSafetyHistory[Use],1))/(SUMIFS(tblSafety[Hours_Total],tblSafety[Date],"&gt;="&amp;EDATE($E36,-12),tblSafety[Date],"&lt;="&amp;$A36)+SUMIFS(tblSafetyHistory[Hours_Total],tblSafetyHistory[Month],"&gt;="&amp;EDATE($E36,-12),tblSafetyHistory[Month],"&lt;"&amp;$E36,tblSafetyHistory[Use],1))*cfg_RateBasisHours,"")</f>
        <v/>
      </c>
      <c r="IR36" s="62">
        <f>IF(MAX(N(cfg_PriorLTIDate),_xlfn.MAXIFS(tblSafety[Date],tblSafety[LTI],"&gt;0",tblSafety[Date],"&lt;="&amp;$A36))=0,"",$A36-MAX(N(cfg_PriorLTIDate),_xlfn.MAXIFS(tblSafety[Date],tblSafety[LTI],"&gt;0",tblSafety[Date],"&lt;="&amp;$A36)))</f>
        <v/>
      </c>
      <c r="IS36" s="55">
        <f>SUMIFS(tblBudget[Ore_Mined_t],tblBudget[Month],$E36)</f>
        <v/>
      </c>
      <c r="IT36" s="55">
        <f>$IS36*$C36/$D36</f>
        <v/>
      </c>
      <c r="IU36" s="55">
        <f>SUMIFS(tblBudget[Ore_Mined_t],tblBudget[Month],"&lt;"&amp;$E36)+$IT36</f>
        <v/>
      </c>
      <c r="IV36" s="55">
        <f>SUMIFS(tblBudget[Ore_oz],tblBudget[Month],$E36)</f>
        <v/>
      </c>
      <c r="IW36" s="55">
        <f>$IV36*$C36/$D36</f>
        <v/>
      </c>
      <c r="IX36" s="55">
        <f>SUMIFS(tblBudget[Ore_oz],tblBudget[Month],"&lt;"&amp;$E36)+$IW36</f>
        <v/>
      </c>
      <c r="IY36" s="55">
        <f>SUMIFS(tblBudget[Ore_Mined_t],tblBudget[Month],$E36)</f>
        <v/>
      </c>
      <c r="IZ36" s="55">
        <f>$IY36*$C36/$D36</f>
        <v/>
      </c>
      <c r="JA36" s="55">
        <f>SUMIFS(tblBudget[Ore_Mined_t],tblBudget[Month],"&lt;"&amp;$E36)+$IZ36</f>
        <v/>
      </c>
      <c r="JB36" s="56">
        <f>IFERROR(IF(($IY36)&gt;0,($IV36*cfg_TroyOz)/($IY36),""),"")</f>
        <v/>
      </c>
      <c r="JC36" s="56">
        <f>IFERROR(IF(($IZ36)&gt;0,($IW36*cfg_TroyOz)/($IZ36),""),"")</f>
        <v/>
      </c>
      <c r="JD36" s="56">
        <f>IFERROR(IF(($JA36)&gt;0,($IX36*cfg_TroyOz)/($JA36),""),"")</f>
        <v/>
      </c>
      <c r="JE36" s="55">
        <f>SUMIFS(tblBudget[Waste_t],tblBudget[Month],$E36)</f>
        <v/>
      </c>
      <c r="JF36" s="55">
        <f>$JE36*$C36/$D36</f>
        <v/>
      </c>
      <c r="JG36" s="55">
        <f>SUMIFS(tblBudget[Waste_t],tblBudget[Month],"&lt;"&amp;$E36)+$JF36</f>
        <v/>
      </c>
      <c r="JH36" s="55">
        <f>SUMIFS(tblBudget[TMM_t],tblBudget[Month],$E36)</f>
        <v/>
      </c>
      <c r="JI36" s="55">
        <f>$JH36*$C36/$D36</f>
        <v/>
      </c>
      <c r="JJ36" s="55">
        <f>SUMIFS(tblBudget[TMM_t],tblBudget[Month],"&lt;"&amp;$E36)+$JI36</f>
        <v/>
      </c>
      <c r="JK36" s="56">
        <f>IFERROR(IF(($IS36)&gt;0,($JE36)/($IS36),""),"")</f>
        <v/>
      </c>
      <c r="JL36" s="56">
        <f>IFERROR(IF(($IT36)&gt;0,($JF36)/($IT36),""),"")</f>
        <v/>
      </c>
      <c r="JM36" s="56">
        <f>IFERROR(IF(($IU36)&gt;0,($JG36)/($IU36),""),"")</f>
        <v/>
      </c>
      <c r="JN36" s="55">
        <f>SUMIFS(tblBudget[Drill_m],tblBudget[Month],$E36)</f>
        <v/>
      </c>
      <c r="JO36" s="55">
        <f>$JN36*$C36/$D36</f>
        <v/>
      </c>
      <c r="JP36" s="55">
        <f>SUMIFS(tblBudget[Drill_m],tblBudget[Month],"&lt;"&amp;$E36)+$JO36</f>
        <v/>
      </c>
      <c r="JQ36" s="55">
        <f>SUMIFS(tblBudget[Diesel_L],tblBudget[Month],$E36)</f>
        <v/>
      </c>
      <c r="JR36" s="55">
        <f>$JQ36*$C36/$D36</f>
        <v/>
      </c>
      <c r="JS36" s="55">
        <f>SUMIFS(tblBudget[Diesel_L],tblBudget[Month],"&lt;"&amp;$E36)+$JR36</f>
        <v/>
      </c>
      <c r="JT36" s="55">
        <f>SUMIFS(tblBudget[Milled_t],tblBudget[Month],$E36)</f>
        <v/>
      </c>
      <c r="JU36" s="55">
        <f>$JT36*$C36/$D36</f>
        <v/>
      </c>
      <c r="JV36" s="55">
        <f>SUMIFS(tblBudget[Milled_t],tblBudget[Month],"&lt;"&amp;$E36)+$JU36</f>
        <v/>
      </c>
      <c r="JW36" s="55">
        <f>SUMIFS(tblBudget[Feed_oz],tblBudget[Month],$E36)</f>
        <v/>
      </c>
      <c r="JX36" s="55">
        <f>$JW36*$C36/$D36</f>
        <v/>
      </c>
      <c r="JY36" s="55">
        <f>SUMIFS(tblBudget[Feed_oz],tblBudget[Month],"&lt;"&amp;$E36)+$JX36</f>
        <v/>
      </c>
      <c r="JZ36" s="55">
        <f>SUMIFS(tblBudget[Recovered_oz],tblBudget[Month],$E36)</f>
        <v/>
      </c>
      <c r="KA36" s="55">
        <f>$JZ36*$C36/$D36</f>
        <v/>
      </c>
      <c r="KB36" s="55">
        <f>SUMIFS(tblBudget[Recovered_oz],tblBudget[Month],"&lt;"&amp;$E36)+$KA36</f>
        <v/>
      </c>
      <c r="KC36" s="55">
        <f>SUMIFS(tblBudget[Milled_t],tblBudget[Month],$E36)</f>
        <v/>
      </c>
      <c r="KD36" s="55">
        <f>$KC36*$C36/$D36</f>
        <v/>
      </c>
      <c r="KE36" s="55">
        <f>SUMIFS(tblBudget[Milled_t],tblBudget[Month],"&lt;"&amp;$E36)+$KD36</f>
        <v/>
      </c>
      <c r="KF36" s="55">
        <f>SUMIFS(tblBudget[Feed_oz],tblBudget[Month],$E36)</f>
        <v/>
      </c>
      <c r="KG36" s="55">
        <f>$KF36*$C36/$D36</f>
        <v/>
      </c>
      <c r="KH36" s="55">
        <f>SUMIFS(tblBudget[Feed_oz],tblBudget[Month],"&lt;"&amp;$E36)+$KG36</f>
        <v/>
      </c>
      <c r="KI36" s="56">
        <f>IFERROR(IF(($KC36)&gt;0,($JW36*cfg_TroyOz)/($KC36),""),"")</f>
        <v/>
      </c>
      <c r="KJ36" s="56">
        <f>IFERROR(IF(($KD36)&gt;0,($JX36*cfg_TroyOz)/($KD36),""),"")</f>
        <v/>
      </c>
      <c r="KK36" s="56">
        <f>IFERROR(IF(($KE36)&gt;0,($JY36*cfg_TroyOz)/($KE36),""),"")</f>
        <v/>
      </c>
      <c r="KL36" s="67">
        <f>IFERROR(IF(($KF36)&gt;0,($JZ36)/($KF36),""),"")</f>
        <v/>
      </c>
      <c r="KM36" s="67">
        <f>IFERROR(IF(($KG36)&gt;0,($KA36)/($KG36),""),"")</f>
        <v/>
      </c>
      <c r="KN36" s="67">
        <f>IFERROR(IF(($KH36)&gt;0,($KB36)/($KH36),""),"")</f>
        <v/>
      </c>
      <c r="KO36" s="55">
        <f>SUMIFS(tblBudget[Gold_Poured_oz],tblBudget[Month],$E36)</f>
        <v/>
      </c>
      <c r="KP36" s="55">
        <f>$KO36*$C36/$D36</f>
        <v/>
      </c>
      <c r="KQ36" s="55">
        <f>SUMIFS(tblBudget[Gold_Poured_oz],tblBudget[Month],"&lt;"&amp;$E36)+$KP36</f>
        <v/>
      </c>
      <c r="KR36" s="57">
        <f>SUMIFS(tblBudget[Hours_Worked],tblBudget[Month],$E36)</f>
        <v/>
      </c>
      <c r="KS36" s="57">
        <f>$KR36*$C36/$D36</f>
        <v/>
      </c>
      <c r="KT36" s="57">
        <f>SUMIFS(tblBudget[Hours_Worked],tblBudget[Month],"&lt;"&amp;$E36)+$KS36</f>
        <v/>
      </c>
    </row>
    <row r="37">
      <c r="A37" s="54" t="n">
        <v>46058</v>
      </c>
      <c r="B37">
        <f>MONTH($A37)</f>
        <v/>
      </c>
      <c r="C37">
        <f>DAY($A37)</f>
        <v/>
      </c>
      <c r="D37">
        <f>DAY(EOMONTH($A37,0))</f>
        <v/>
      </c>
      <c r="E37" s="54">
        <f>DATE(YEAR($A37),MONTH($A37),1)</f>
        <v/>
      </c>
      <c r="F37" s="55">
        <f>SUMIFS(tblMovement[Tonnes_t],tblMovement[Date],$A37,tblMovement[Is_Ore],1,tblMovement[Source_Type],"Pit")</f>
        <v/>
      </c>
      <c r="G37" s="55">
        <f>IF($B37=$B36,$G36,0)+$F37</f>
        <v/>
      </c>
      <c r="H37" s="55">
        <f>$H36+$F37</f>
        <v/>
      </c>
      <c r="I37" s="55">
        <f>SUMIFS(tblMovement[Ore_oz],tblMovement[Date],$A37,tblMovement[Source_Type],"Pit")</f>
        <v/>
      </c>
      <c r="J37" s="55">
        <f>IF($B37=$B36,$J36,0)+$I37</f>
        <v/>
      </c>
      <c r="K37" s="55">
        <f>$K36+$I37</f>
        <v/>
      </c>
      <c r="L37" s="55">
        <f>SUMIFS(tblMovement[Tonnes_t],tblMovement[Date],$A37,tblMovement[Is_Ore],1,tblMovement[Source_Type],"Pit",tblMovement[Grade_gpt],"&lt;&gt;")</f>
        <v/>
      </c>
      <c r="M37" s="55">
        <f>IF($B37=$B36,$M36,0)+$L37</f>
        <v/>
      </c>
      <c r="N37" s="55">
        <f>$N36+$L37</f>
        <v/>
      </c>
      <c r="O37" s="56">
        <f>IFERROR(IF(($L37)&gt;0,($I37*cfg_TroyOz)/($L37),""),"")</f>
        <v/>
      </c>
      <c r="P37" s="56">
        <f>IFERROR(IF(($M37)&gt;0,($J37*cfg_TroyOz)/($M37),""),"")</f>
        <v/>
      </c>
      <c r="Q37" s="56">
        <f>IFERROR(IF(($N37)&gt;0,($K37*cfg_TroyOz)/($N37),""),"")</f>
        <v/>
      </c>
      <c r="R37" s="55">
        <f>$F37-$L37</f>
        <v/>
      </c>
      <c r="S37" s="55">
        <f>IF($B37=$B36,$S36,0)+$R37</f>
        <v/>
      </c>
      <c r="T37" s="55">
        <f>$T36+$R37</f>
        <v/>
      </c>
      <c r="U37" s="55">
        <f>SUMIFS(tblMovement[Tonnes_t],tblMovement[Date],$A37,tblMovement[Is_Ore],0,tblMovement[Source_Type],"Pit")</f>
        <v/>
      </c>
      <c r="V37" s="55">
        <f>IF($B37=$B36,$V36,0)+$U37</f>
        <v/>
      </c>
      <c r="W37" s="55">
        <f>$W36+$U37</f>
        <v/>
      </c>
      <c r="X37" s="55">
        <f>$F37+$U37</f>
        <v/>
      </c>
      <c r="Y37" s="55">
        <f>IF($B37=$B36,$Y36,0)+$X37</f>
        <v/>
      </c>
      <c r="Z37" s="55">
        <f>$Z36+$X37</f>
        <v/>
      </c>
      <c r="AA37" s="56">
        <f>IFERROR(IF(($F37)&gt;0,($U37)/($F37),""),"")</f>
        <v/>
      </c>
      <c r="AB37" s="56">
        <f>IFERROR(IF(($G37)&gt;0,($V37)/($G37),""),"")</f>
        <v/>
      </c>
      <c r="AC37" s="56">
        <f>IFERROR(IF(($H37)&gt;0,($W37)/($H37),""),"")</f>
        <v/>
      </c>
      <c r="AD37" s="55">
        <f>SUMIFS(tblMovement[Tonnes_t],tblMovement[Date],$A37,tblMovement[Source_Type],"Stockpile")</f>
        <v/>
      </c>
      <c r="AE37" s="55">
        <f>IF($B37=$B36,$AE36,0)+$AD37</f>
        <v/>
      </c>
      <c r="AF37" s="55">
        <f>$AF36+$AD37</f>
        <v/>
      </c>
      <c r="AG37" s="55">
        <f>SUMIFS(tblMovement[Tonnes_t],tblMovement[Date],$A37)</f>
        <v/>
      </c>
      <c r="AH37" s="55">
        <f>IF($B37=$B36,$AH36,0)+$AG37</f>
        <v/>
      </c>
      <c r="AI37" s="55">
        <f>$AI36+$AG37</f>
        <v/>
      </c>
      <c r="AJ37" s="55">
        <f>$AG37-$X37-$AD37</f>
        <v/>
      </c>
      <c r="AK37" s="55">
        <f>IF($B37=$B36,$AK36,0)+$AJ37</f>
        <v/>
      </c>
      <c r="AL37" s="55">
        <f>$AL36+$AJ37</f>
        <v/>
      </c>
      <c r="AM37" s="55">
        <f>SUMIFS(tblMiningDaily[Drill_m],tblMiningDaily[Date],$A37)</f>
        <v/>
      </c>
      <c r="AN37" s="55">
        <f>IF($B37=$B36,$AN36,0)+$AM37</f>
        <v/>
      </c>
      <c r="AO37" s="55">
        <f>$AO36+$AM37</f>
        <v/>
      </c>
      <c r="AP37" s="55">
        <f>SUMIFS(tblMiningDaily[GC_Drill_m],tblMiningDaily[Date],$A37)</f>
        <v/>
      </c>
      <c r="AQ37" s="55">
        <f>IF($B37=$B36,$AQ36,0)+$AP37</f>
        <v/>
      </c>
      <c r="AR37" s="55">
        <f>$AR36+$AP37</f>
        <v/>
      </c>
      <c r="AS37" s="55">
        <f>SUMIFS(tblMiningDaily[Blast_t],tblMiningDaily[Date],$A37)</f>
        <v/>
      </c>
      <c r="AT37" s="55">
        <f>IF($B37=$B36,$AT36,0)+$AS37</f>
        <v/>
      </c>
      <c r="AU37" s="55">
        <f>$AU36+$AS37</f>
        <v/>
      </c>
      <c r="AV37" s="55">
        <f>SUMIFS(tblMiningDaily[Explosives_kg],tblMiningDaily[Date],$A37)</f>
        <v/>
      </c>
      <c r="AW37" s="55">
        <f>IF($B37=$B36,$AW36,0)+$AV37</f>
        <v/>
      </c>
      <c r="AX37" s="55">
        <f>$AX36+$AV37</f>
        <v/>
      </c>
      <c r="AY37" s="56">
        <f>IFERROR(IF(($AS37)&gt;0,($AV37)/($AS37),""),"")</f>
        <v/>
      </c>
      <c r="AZ37" s="56">
        <f>IFERROR(IF(($AT37)&gt;0,($AW37)/($AT37),""),"")</f>
        <v/>
      </c>
      <c r="BA37" s="56">
        <f>IFERROR(IF(($AU37)&gt;0,($AX37)/($AU37),""),"")</f>
        <v/>
      </c>
      <c r="BB37" s="55">
        <f>SUMIFS(tblMiningDaily[Diesel_L],tblMiningDaily[Date],$A37)</f>
        <v/>
      </c>
      <c r="BC37" s="55">
        <f>IF($B37=$B36,$BC36,0)+$BB37</f>
        <v/>
      </c>
      <c r="BD37" s="55">
        <f>$BD36+$BB37</f>
        <v/>
      </c>
      <c r="BE37" s="55">
        <f>SUMIFS(tblMiningDaily[Dewatering_m3],tblMiningDaily[Date],$A37)</f>
        <v/>
      </c>
      <c r="BF37" s="55">
        <f>IF($B37=$B36,$BF36,0)+$BE37</f>
        <v/>
      </c>
      <c r="BG37" s="55">
        <f>$BG36+$BE37</f>
        <v/>
      </c>
      <c r="BH37" s="57">
        <f>SUMIFS(tblFleet[Calendar_h],tblFleet[Date],$A37,tblFleet[Equipment_Class],"Excavator")</f>
        <v/>
      </c>
      <c r="BI37" s="57">
        <f>IF($B37=$B36,$BI36,0)+$BH37</f>
        <v/>
      </c>
      <c r="BJ37" s="57">
        <f>$BJ36+$BH37</f>
        <v/>
      </c>
      <c r="BK37" s="57">
        <f>SUMIFS(tblFleet[Available_h],tblFleet[Date],$A37,tblFleet[Equipment_Class],"Excavator")</f>
        <v/>
      </c>
      <c r="BL37" s="57">
        <f>IF($B37=$B36,$BL36,0)+$BK37</f>
        <v/>
      </c>
      <c r="BM37" s="57">
        <f>$BM36+$BK37</f>
        <v/>
      </c>
      <c r="BN37" s="57">
        <f>SUMIFS(tblFleet[Operating_h],tblFleet[Date],$A37,tblFleet[Equipment_Class],"Excavator")</f>
        <v/>
      </c>
      <c r="BO37" s="57">
        <f>IF($B37=$B36,$BO36,0)+$BN37</f>
        <v/>
      </c>
      <c r="BP37" s="57">
        <f>$BP36+$BN37</f>
        <v/>
      </c>
      <c r="BQ37" s="67">
        <f>IFERROR(IF(($BH37)&gt;0,($BK37)/($BH37),""),"")</f>
        <v/>
      </c>
      <c r="BR37" s="67">
        <f>IFERROR(IF(($BI37)&gt;0,($BL37)/($BI37),""),"")</f>
        <v/>
      </c>
      <c r="BS37" s="67">
        <f>IFERROR(IF(($BJ37)&gt;0,($BM37)/($BJ37),""),"")</f>
        <v/>
      </c>
      <c r="BT37" s="67">
        <f>IFERROR(IF(($BK37)&gt;0,($BN37)/($BK37),""),"")</f>
        <v/>
      </c>
      <c r="BU37" s="67">
        <f>IFERROR(IF(($BL37)&gt;0,($BO37)/($BL37),""),"")</f>
        <v/>
      </c>
      <c r="BV37" s="67">
        <f>IFERROR(IF(($BM37)&gt;0,($BP37)/($BM37),""),"")</f>
        <v/>
      </c>
      <c r="BW37" s="57">
        <f>SUMIFS(tblFleet[Calendar_h],tblFleet[Date],$A37,tblFleet[Equipment_Class],"Haul Truck")</f>
        <v/>
      </c>
      <c r="BX37" s="57">
        <f>IF($B37=$B36,$BX36,0)+$BW37</f>
        <v/>
      </c>
      <c r="BY37" s="57">
        <f>$BY36+$BW37</f>
        <v/>
      </c>
      <c r="BZ37" s="57">
        <f>SUMIFS(tblFleet[Available_h],tblFleet[Date],$A37,tblFleet[Equipment_Class],"Haul Truck")</f>
        <v/>
      </c>
      <c r="CA37" s="57">
        <f>IF($B37=$B36,$CA36,0)+$BZ37</f>
        <v/>
      </c>
      <c r="CB37" s="57">
        <f>$CB36+$BZ37</f>
        <v/>
      </c>
      <c r="CC37" s="57">
        <f>SUMIFS(tblFleet[Operating_h],tblFleet[Date],$A37,tblFleet[Equipment_Class],"Haul Truck")</f>
        <v/>
      </c>
      <c r="CD37" s="57">
        <f>IF($B37=$B36,$CD36,0)+$CC37</f>
        <v/>
      </c>
      <c r="CE37" s="57">
        <f>$CE36+$CC37</f>
        <v/>
      </c>
      <c r="CF37" s="67">
        <f>IFERROR(IF(($BW37)&gt;0,($BZ37)/($BW37),""),"")</f>
        <v/>
      </c>
      <c r="CG37" s="67">
        <f>IFERROR(IF(($BX37)&gt;0,($CA37)/($BX37),""),"")</f>
        <v/>
      </c>
      <c r="CH37" s="67">
        <f>IFERROR(IF(($BY37)&gt;0,($CB37)/($BY37),""),"")</f>
        <v/>
      </c>
      <c r="CI37" s="67">
        <f>IFERROR(IF(($BZ37)&gt;0,($CC37)/($BZ37),""),"")</f>
        <v/>
      </c>
      <c r="CJ37" s="67">
        <f>IFERROR(IF(($CA37)&gt;0,($CD37)/($CA37),""),"")</f>
        <v/>
      </c>
      <c r="CK37" s="67">
        <f>IFERROR(IF(($CB37)&gt;0,($CE37)/($CB37),""),"")</f>
        <v/>
      </c>
      <c r="CL37" s="55">
        <f>IFERROR(IF(($BN37)&gt;0,($X37+$AD37)/($BN37),""),"")</f>
        <v/>
      </c>
      <c r="CM37" s="55">
        <f>IFERROR(IF(($BO37)&gt;0,($Y37+$AE37)/($BO37),""),"")</f>
        <v/>
      </c>
      <c r="CN37" s="55">
        <f>IFERROR(IF(($BP37)&gt;0,($Z37+$AF37)/($BP37),""),"")</f>
        <v/>
      </c>
      <c r="CO37" s="55">
        <f>IFERROR(IF(($CC37)&gt;0,($X37+$AD37)/($CC37),""),"")</f>
        <v/>
      </c>
      <c r="CP37" s="55">
        <f>IFERROR(IF(($CD37)&gt;0,($Y37+$AE37)/($CD37),""),"")</f>
        <v/>
      </c>
      <c r="CQ37" s="55">
        <f>IFERROR(IF(($CE37)&gt;0,($Z37+$AF37)/($CE37),""),"")</f>
        <v/>
      </c>
      <c r="CR37" s="55">
        <f>SUMIFS(tblPlant[Crushed_t],tblPlant[Date],$A37)</f>
        <v/>
      </c>
      <c r="CS37" s="55">
        <f>IF($B37=$B36,$CS36,0)+$CR37</f>
        <v/>
      </c>
      <c r="CT37" s="55">
        <f>$CT36+$CR37</f>
        <v/>
      </c>
      <c r="CU37" s="55">
        <f>SUMIFS(tblPlant[Milled_t],tblPlant[Date],$A37)</f>
        <v/>
      </c>
      <c r="CV37" s="55">
        <f>IF($B37=$B36,$CV36,0)+$CU37</f>
        <v/>
      </c>
      <c r="CW37" s="55">
        <f>$CW36+$CU37</f>
        <v/>
      </c>
      <c r="CX37" s="55">
        <f>SUMIFS(tblPlant[Feed_oz],tblPlant[Date],$A37)</f>
        <v/>
      </c>
      <c r="CY37" s="55">
        <f>IF($B37=$B36,$CY36,0)+$CX37</f>
        <v/>
      </c>
      <c r="CZ37" s="55">
        <f>$CZ36+$CX37</f>
        <v/>
      </c>
      <c r="DA37" s="55">
        <f>SUMIFS(tblPlant[Tails_oz],tblPlant[Date],$A37)</f>
        <v/>
      </c>
      <c r="DB37" s="55">
        <f>IF($B37=$B36,$DB36,0)+$DA37</f>
        <v/>
      </c>
      <c r="DC37" s="55">
        <f>$DC36+$DA37</f>
        <v/>
      </c>
      <c r="DD37" s="55">
        <f>SUMIFS(tblPlant[Recovered_oz],tblPlant[Date],$A37)</f>
        <v/>
      </c>
      <c r="DE37" s="55">
        <f>IF($B37=$B36,$DE36,0)+$DD37</f>
        <v/>
      </c>
      <c r="DF37" s="55">
        <f>$DF36+$DD37</f>
        <v/>
      </c>
      <c r="DG37" s="55">
        <f>SUMIFS(tblPlant[Milled_t],tblPlant[Date],$A37,tblPlant[Head_Grade_gpt],"&lt;&gt;")</f>
        <v/>
      </c>
      <c r="DH37" s="55">
        <f>IF($B37=$B36,$DH36,0)+$DG37</f>
        <v/>
      </c>
      <c r="DI37" s="55">
        <f>$DI36+$DG37</f>
        <v/>
      </c>
      <c r="DJ37" s="55">
        <f>SUMIFS(tblPlant[Milled_t],tblPlant[Date],$A37,tblPlant[Tails_Grade_gpt],"&lt;&gt;")</f>
        <v/>
      </c>
      <c r="DK37" s="55">
        <f>IF($B37=$B36,$DK36,0)+$DJ37</f>
        <v/>
      </c>
      <c r="DL37" s="55">
        <f>$DL36+$DJ37</f>
        <v/>
      </c>
      <c r="DM37" s="55">
        <f>SUMIFS(tblPlant[Feed_oz],tblPlant[Date],$A37,tblPlant[Tails_Grade_gpt],"&lt;&gt;")</f>
        <v/>
      </c>
      <c r="DN37" s="55">
        <f>IF($B37=$B36,$DN36,0)+$DM37</f>
        <v/>
      </c>
      <c r="DO37" s="55">
        <f>$DO36+$DM37</f>
        <v/>
      </c>
      <c r="DP37" s="55">
        <f>SUMIFS(tblPlant[Milled_t],tblPlant[Date],$A37,tblPlant[Mill_Run_h],"&lt;&gt;")</f>
        <v/>
      </c>
      <c r="DQ37" s="55">
        <f>IF($B37=$B36,$DQ36,0)+$DP37</f>
        <v/>
      </c>
      <c r="DR37" s="55">
        <f>$DR36+$DP37</f>
        <v/>
      </c>
      <c r="DS37" s="56">
        <f>IFERROR(IF(($DG37)&gt;0,($CX37*cfg_TroyOz)/($DG37),""),"")</f>
        <v/>
      </c>
      <c r="DT37" s="56">
        <f>IFERROR(IF(($DH37)&gt;0,($CY37*cfg_TroyOz)/($DH37),""),"")</f>
        <v/>
      </c>
      <c r="DU37" s="56">
        <f>IFERROR(IF(($DI37)&gt;0,($CZ37*cfg_TroyOz)/($DI37),""),"")</f>
        <v/>
      </c>
      <c r="DV37" s="56">
        <f>IFERROR(IF(($DJ37)&gt;0,($DA37*cfg_TroyOz)/($DJ37),""),"")</f>
        <v/>
      </c>
      <c r="DW37" s="56">
        <f>IFERROR(IF(($DK37)&gt;0,($DB37*cfg_TroyOz)/($DK37),""),"")</f>
        <v/>
      </c>
      <c r="DX37" s="56">
        <f>IFERROR(IF(($DL37)&gt;0,($DC37*cfg_TroyOz)/($DL37),""),"")</f>
        <v/>
      </c>
      <c r="DY37" s="67">
        <f>IFERROR(IF(($DM37)&gt;0,($DD37)/($DM37),""),"")</f>
        <v/>
      </c>
      <c r="DZ37" s="67">
        <f>IFERROR(IF(($DN37)&gt;0,($DE37)/($DN37),""),"")</f>
        <v/>
      </c>
      <c r="EA37" s="67">
        <f>IFERROR(IF(($DO37)&gt;0,($DF37)/($DO37),""),"")</f>
        <v/>
      </c>
      <c r="EB37" s="55">
        <f>SUMIFS(tblPlant[Gravity_Gold_oz],tblPlant[Date],$A37)</f>
        <v/>
      </c>
      <c r="EC37" s="55">
        <f>IF($B37=$B36,$EC36,0)+$EB37</f>
        <v/>
      </c>
      <c r="ED37" s="55">
        <f>$ED36+$EB37</f>
        <v/>
      </c>
      <c r="EE37" s="67">
        <f>IFERROR(IF(($DD37)&gt;0,($EB37)/($DD37),""),"")</f>
        <v/>
      </c>
      <c r="EF37" s="67">
        <f>IFERROR(IF(($DE37)&gt;0,($EC37)/($DE37),""),"")</f>
        <v/>
      </c>
      <c r="EG37" s="67">
        <f>IFERROR(IF(($DF37)&gt;0,($ED37)/($DF37),""),"")</f>
        <v/>
      </c>
      <c r="EH37" s="55">
        <f>SUMIFS(tblPlant[Gold_Poured_oz],tblPlant[Date],$A37)</f>
        <v/>
      </c>
      <c r="EI37" s="55">
        <f>IF($B37=$B36,$EI36,0)+$EH37</f>
        <v/>
      </c>
      <c r="EJ37" s="55">
        <f>$EJ36+$EH37</f>
        <v/>
      </c>
      <c r="EK37" s="57">
        <f>SUMIFS(tblPlant[Mill_Run_h],tblPlant[Date],$A37)</f>
        <v/>
      </c>
      <c r="EL37" s="57">
        <f>IF($B37=$B36,$EL36,0)+$EK37</f>
        <v/>
      </c>
      <c r="EM37" s="57">
        <f>$EM36+$EK37</f>
        <v/>
      </c>
      <c r="EN37" s="57">
        <f>SUMIFS(tblPlant[Mill_Planned_Maint_h],tblPlant[Date],$A37)</f>
        <v/>
      </c>
      <c r="EO37" s="57">
        <f>IF($B37=$B36,$EO36,0)+$EN37</f>
        <v/>
      </c>
      <c r="EP37" s="57">
        <f>$EP36+$EN37</f>
        <v/>
      </c>
      <c r="EQ37" s="57">
        <f>SUMIFS(tblPlant[Mill_Unplanned_Down_h],tblPlant[Date],$A37)</f>
        <v/>
      </c>
      <c r="ER37" s="57">
        <f>IF($B37=$B36,$ER36,0)+$EQ37</f>
        <v/>
      </c>
      <c r="ES37" s="57">
        <f>$ES36+$EQ37</f>
        <v/>
      </c>
      <c r="ET37" s="57">
        <f>IF(COUNTIFS(tblPlant[Date],$A37,tblPlant[Mill_Run_h],"&lt;&gt;")+COUNTIFS(tblPlant[Date],$A37,tblPlant[Mill_Planned_Maint_h],"&lt;&gt;")+COUNTIFS(tblPlant[Date],$A37,tblPlant[Mill_Unplanned_Down_h],"&lt;&gt;")&gt;0,cfg_HoursPerDay,0)</f>
        <v/>
      </c>
      <c r="EU37" s="57">
        <f>IF($B37=$B36,$EU36,0)+$ET37</f>
        <v/>
      </c>
      <c r="EV37" s="57">
        <f>$EV36+$ET37</f>
        <v/>
      </c>
      <c r="EW37" s="57">
        <f>SUMIFS(tblPlant[Crusher_Run_h],tblPlant[Date],$A37)</f>
        <v/>
      </c>
      <c r="EX37" s="57">
        <f>IF($B37=$B36,$EX36,0)+$EW37</f>
        <v/>
      </c>
      <c r="EY37" s="57">
        <f>$EY36+$EW37</f>
        <v/>
      </c>
      <c r="EZ37" s="55">
        <f>IFERROR(IF(($EK37)&gt;0,($DP37)/($EK37),""),"")</f>
        <v/>
      </c>
      <c r="FA37" s="55">
        <f>IFERROR(IF(($EL37)&gt;0,($DQ37)/($EL37),""),"")</f>
        <v/>
      </c>
      <c r="FB37" s="55">
        <f>IFERROR(IF(($EM37)&gt;0,($DR37)/($EM37),""),"")</f>
        <v/>
      </c>
      <c r="FC37" s="67">
        <f>IFERROR(IF(($ET37)&gt;0,($ET37-$EN37-$EQ37)/($ET37),""),"")</f>
        <v/>
      </c>
      <c r="FD37" s="67">
        <f>IFERROR(IF(($EU37)&gt;0,($EU37-$EO37-$ER37)/($EU37),""),"")</f>
        <v/>
      </c>
      <c r="FE37" s="67">
        <f>IFERROR(IF(($EV37)&gt;0,($EV37-$EP37-$ES37)/($EV37),""),"")</f>
        <v/>
      </c>
      <c r="FF37" s="67">
        <f>IFERROR(IF(($ET37-$EN37-$EQ37)&gt;0,($EK37)/($ET37-$EN37-$EQ37),""),"")</f>
        <v/>
      </c>
      <c r="FG37" s="67">
        <f>IFERROR(IF(($EU37-$EO37-$ER37)&gt;0,($EL37)/($EU37-$EO37-$ER37),""),"")</f>
        <v/>
      </c>
      <c r="FH37" s="67">
        <f>IFERROR(IF(($EV37-$EP37-$ES37)&gt;0,($EM37)/($EV37-$EP37-$ES37),""),"")</f>
        <v/>
      </c>
      <c r="FI37" s="55">
        <f>SUMIFS(tblPlant[Cyanide_kg],tblPlant[Date],$A37)</f>
        <v/>
      </c>
      <c r="FJ37" s="55">
        <f>IF($B37=$B36,$FJ36,0)+$FI37</f>
        <v/>
      </c>
      <c r="FK37" s="55">
        <f>$FK36+$FI37</f>
        <v/>
      </c>
      <c r="FL37" s="55">
        <f>SUMIFS(tblPlant[Lime_kg],tblPlant[Date],$A37)</f>
        <v/>
      </c>
      <c r="FM37" s="55">
        <f>IF($B37=$B36,$FM36,0)+$FL37</f>
        <v/>
      </c>
      <c r="FN37" s="55">
        <f>$FN36+$FL37</f>
        <v/>
      </c>
      <c r="FO37" s="55">
        <f>SUMIFS(tblPlant[Grinding_Media_kg],tblPlant[Date],$A37)</f>
        <v/>
      </c>
      <c r="FP37" s="55">
        <f>IF($B37=$B36,$FP36,0)+$FO37</f>
        <v/>
      </c>
      <c r="FQ37" s="55">
        <f>$FQ36+$FO37</f>
        <v/>
      </c>
      <c r="FR37" s="55">
        <f>SUMIFS(tblPlant[Power_kWh],tblPlant[Date],$A37)</f>
        <v/>
      </c>
      <c r="FS37" s="55">
        <f>IF($B37=$B36,$FS36,0)+$FR37</f>
        <v/>
      </c>
      <c r="FT37" s="55">
        <f>$FT36+$FR37</f>
        <v/>
      </c>
      <c r="FU37" s="55">
        <f>SUMIFS(tblPlant[Raw_Water_m3],tblPlant[Date],$A37)</f>
        <v/>
      </c>
      <c r="FV37" s="55">
        <f>IF($B37=$B36,$FV36,0)+$FU37</f>
        <v/>
      </c>
      <c r="FW37" s="55">
        <f>$FW36+$FU37</f>
        <v/>
      </c>
      <c r="FX37" s="56">
        <f>IFERROR(IF(($CU37)&gt;0,($FI37)/($CU37),""),"")</f>
        <v/>
      </c>
      <c r="FY37" s="56">
        <f>IFERROR(IF(($CV37)&gt;0,($FJ37)/($CV37),""),"")</f>
        <v/>
      </c>
      <c r="FZ37" s="56">
        <f>IFERROR(IF(($CW37)&gt;0,($FK37)/($CW37),""),"")</f>
        <v/>
      </c>
      <c r="GA37" s="56">
        <f>IFERROR(IF(($CU37)&gt;0,($FL37)/($CU37),""),"")</f>
        <v/>
      </c>
      <c r="GB37" s="56">
        <f>IFERROR(IF(($CV37)&gt;0,($FM37)/($CV37),""),"")</f>
        <v/>
      </c>
      <c r="GC37" s="56">
        <f>IFERROR(IF(($CW37)&gt;0,($FN37)/($CW37),""),"")</f>
        <v/>
      </c>
      <c r="GD37" s="56">
        <f>IFERROR(IF(($CU37)&gt;0,($FO37)/($CU37),""),"")</f>
        <v/>
      </c>
      <c r="GE37" s="56">
        <f>IFERROR(IF(($CV37)&gt;0,($FP37)/($CV37),""),"")</f>
        <v/>
      </c>
      <c r="GF37" s="56">
        <f>IFERROR(IF(($CW37)&gt;0,($FQ37)/($CW37),""),"")</f>
        <v/>
      </c>
      <c r="GG37" s="79">
        <f>IFERROR(IF(($CU37)&gt;0,($FR37)/($CU37),""),"")</f>
        <v/>
      </c>
      <c r="GH37" s="79">
        <f>IFERROR(IF(($CV37)&gt;0,($FS37)/($CV37),""),"")</f>
        <v/>
      </c>
      <c r="GI37" s="79">
        <f>IFERROR(IF(($CW37)&gt;0,($FT37)/($CW37),""),"")</f>
        <v/>
      </c>
      <c r="GJ37" s="56">
        <f>IFERROR(IF(($CU37)&gt;0,($FU37)/($CU37),""),"")</f>
        <v/>
      </c>
      <c r="GK37" s="56">
        <f>IFERROR(IF(($CV37)&gt;0,($FV37)/($CV37),""),"")</f>
        <v/>
      </c>
      <c r="GL37" s="56">
        <f>IFERROR(IF(($CW37)&gt;0,($FW37)/($CW37),""),"")</f>
        <v/>
      </c>
      <c r="GM37" s="55">
        <f>IF(SUMIFS(tblPlant[GIC_oz],tblPlant[Date],$A37)&gt;0,SUMIFS(tblPlant[GIC_oz],tblPlant[Date],$A37),"")</f>
        <v/>
      </c>
      <c r="GN37" s="55">
        <f>SUMIFS(tblGold[Gold_oz],tblGold[Date],$A37,tblGold[Type],"Shipment")</f>
        <v/>
      </c>
      <c r="GO37" s="55">
        <f>IF($B37=$B36,$GO36,0)+$GN37</f>
        <v/>
      </c>
      <c r="GP37" s="55">
        <f>$GP36+$GN37</f>
        <v/>
      </c>
      <c r="GQ37" s="55">
        <f>SUMIFS(tblGold[Gold_oz],tblGold[Date],$A37,tblGold[Type],"Sale")</f>
        <v/>
      </c>
      <c r="GR37" s="55">
        <f>IF($B37=$B36,$GR36,0)+$GQ37</f>
        <v/>
      </c>
      <c r="GS37" s="55">
        <f>$GS36+$GQ37</f>
        <v/>
      </c>
      <c r="GT37" s="55">
        <f>SUMIFS(tblGold[Dore_kg],tblGold[Date],$A37,tblGold[Type],"Shipment")</f>
        <v/>
      </c>
      <c r="GU37" s="55">
        <f>IF($B37=$B36,$GU36,0)+$GT37</f>
        <v/>
      </c>
      <c r="GV37" s="55">
        <f>$GV36+$GT37</f>
        <v/>
      </c>
      <c r="GW37" s="57">
        <f>SUMIFS(tblSafety[Hours_Total],tblSafety[Date],$A37)</f>
        <v/>
      </c>
      <c r="GX37" s="57">
        <f>IF($B37=$B36,$GX36,0)+$GW37</f>
        <v/>
      </c>
      <c r="GY37" s="57">
        <f>$GY36+$GW37</f>
        <v/>
      </c>
      <c r="GZ37" s="62">
        <f>SUMIFS(tblSafety[Fatality],tblSafety[Date],$A37)</f>
        <v/>
      </c>
      <c r="HA37" s="62">
        <f>IF($B37=$B36,$HA36,0)+$GZ37</f>
        <v/>
      </c>
      <c r="HB37" s="62">
        <f>$HB36+$GZ37</f>
        <v/>
      </c>
      <c r="HC37" s="62">
        <f>SUMIFS(tblSafety[LTI],tblSafety[Date],$A37)</f>
        <v/>
      </c>
      <c r="HD37" s="62">
        <f>IF($B37=$B36,$HD36,0)+$HC37</f>
        <v/>
      </c>
      <c r="HE37" s="62">
        <f>$HE36+$HC37</f>
        <v/>
      </c>
      <c r="HF37" s="62">
        <f>SUMIFS(tblSafety[RWI],tblSafety[Date],$A37)</f>
        <v/>
      </c>
      <c r="HG37" s="62">
        <f>IF($B37=$B36,$HG36,0)+$HF37</f>
        <v/>
      </c>
      <c r="HH37" s="62">
        <f>$HH36+$HF37</f>
        <v/>
      </c>
      <c r="HI37" s="62">
        <f>SUMIFS(tblSafety[MTI],tblSafety[Date],$A37)</f>
        <v/>
      </c>
      <c r="HJ37" s="62">
        <f>IF($B37=$B36,$HJ36,0)+$HI37</f>
        <v/>
      </c>
      <c r="HK37" s="62">
        <f>$HK36+$HI37</f>
        <v/>
      </c>
      <c r="HL37" s="62">
        <f>SUMIFS(tblSafety[FAI],tblSafety[Date],$A37)</f>
        <v/>
      </c>
      <c r="HM37" s="62">
        <f>IF($B37=$B36,$HM36,0)+$HL37</f>
        <v/>
      </c>
      <c r="HN37" s="62">
        <f>$HN36+$HL37</f>
        <v/>
      </c>
      <c r="HO37" s="62">
        <f>SUMIFS(tblSafety[Recordables],tblSafety[Date],$A37)</f>
        <v/>
      </c>
      <c r="HP37" s="62">
        <f>IF($B37=$B36,$HP36,0)+$HO37</f>
        <v/>
      </c>
      <c r="HQ37" s="62">
        <f>$HQ36+$HO37</f>
        <v/>
      </c>
      <c r="HR37" s="62">
        <f>SUMIFS(tblSafety[Near_Miss],tblSafety[Date],$A37)</f>
        <v/>
      </c>
      <c r="HS37" s="62">
        <f>IF($B37=$B36,$HS36,0)+$HR37</f>
        <v/>
      </c>
      <c r="HT37" s="62">
        <f>$HT36+$HR37</f>
        <v/>
      </c>
      <c r="HU37" s="62">
        <f>SUMIFS(tblSafety[Hazard_Reports],tblSafety[Date],$A37)</f>
        <v/>
      </c>
      <c r="HV37" s="62">
        <f>IF($B37=$B36,$HV36,0)+$HU37</f>
        <v/>
      </c>
      <c r="HW37" s="62">
        <f>$HW36+$HU37</f>
        <v/>
      </c>
      <c r="HX37" s="62">
        <f>SUMIFS(tblSafety[HPI],tblSafety[Date],$A37)</f>
        <v/>
      </c>
      <c r="HY37" s="62">
        <f>IF($B37=$B36,$HY36,0)+$HX37</f>
        <v/>
      </c>
      <c r="HZ37" s="62">
        <f>$HZ36+$HX37</f>
        <v/>
      </c>
      <c r="IA37" s="62">
        <f>SUMIFS(tblSafety[Env_Incidents],tblSafety[Date],$A37)</f>
        <v/>
      </c>
      <c r="IB37" s="62">
        <f>IF($B37=$B36,$IB36,0)+$IA37</f>
        <v/>
      </c>
      <c r="IC37" s="62">
        <f>$IC36+$IA37</f>
        <v/>
      </c>
      <c r="ID37" s="62">
        <f>SUMIFS(tblSafety[Community_Incidents],tblSafety[Date],$A37)</f>
        <v/>
      </c>
      <c r="IE37" s="62">
        <f>IF($B37=$B36,$IE36,0)+$ID37</f>
        <v/>
      </c>
      <c r="IF37" s="62">
        <f>$IF36+$ID37</f>
        <v/>
      </c>
      <c r="IG37" s="62">
        <f>SUMIFS(tblSafety[Vehicle_Incidents],tblSafety[Date],$A37)</f>
        <v/>
      </c>
      <c r="IH37" s="62">
        <f>IF($B37=$B36,$IH36,0)+$IG37</f>
        <v/>
      </c>
      <c r="II37" s="62">
        <f>$II36+$IG37</f>
        <v/>
      </c>
      <c r="IJ37" s="62">
        <f>SUMIFS(tblSafety[Toolbox_Talks],tblSafety[Date],$A37)</f>
        <v/>
      </c>
      <c r="IK37" s="62">
        <f>IF($B37=$B36,$IK36,0)+$IJ37</f>
        <v/>
      </c>
      <c r="IL37" s="62">
        <f>$IL36+$IJ37</f>
        <v/>
      </c>
      <c r="IM37" s="62">
        <f>SUMIFS(tblSafety[Inspections],tblSafety[Date],$A37)</f>
        <v/>
      </c>
      <c r="IN37" s="62">
        <f>IF($B37=$B36,$IN36,0)+$IM37</f>
        <v/>
      </c>
      <c r="IO37" s="62">
        <f>$IO36+$IM37</f>
        <v/>
      </c>
      <c r="IP37" s="56">
        <f>IFERROR((SUMIFS(tblSafety[Recordables],tblSafety[Date],"&gt;="&amp;EDATE($E37,-12),tblSafety[Date],"&lt;="&amp;$A37)+SUMIFS(tblSafetyHistory[Recordables],tblSafetyHistory[Month],"&gt;="&amp;EDATE($E37,-12),tblSafetyHistory[Month],"&lt;"&amp;$E37,tblSafetyHistory[Use],1))/(SUMIFS(tblSafety[Hours_Total],tblSafety[Date],"&gt;="&amp;EDATE($E37,-12),tblSafety[Date],"&lt;="&amp;$A37)+SUMIFS(tblSafetyHistory[Hours_Total],tblSafetyHistory[Month],"&gt;="&amp;EDATE($E37,-12),tblSafetyHistory[Month],"&lt;"&amp;$E37,tblSafetyHistory[Use],1))*cfg_RateBasisHours,"")</f>
        <v/>
      </c>
      <c r="IQ37" s="56">
        <f>IFERROR((SUMIFS(tblSafety[LTI],tblSafety[Date],"&gt;="&amp;EDATE($E37,-12),tblSafety[Date],"&lt;="&amp;$A37)+SUMIFS(tblSafetyHistory[LTI],tblSafetyHistory[Month],"&gt;="&amp;EDATE($E37,-12),tblSafetyHistory[Month],"&lt;"&amp;$E37,tblSafetyHistory[Use],1))/(SUMIFS(tblSafety[Hours_Total],tblSafety[Date],"&gt;="&amp;EDATE($E37,-12),tblSafety[Date],"&lt;="&amp;$A37)+SUMIFS(tblSafetyHistory[Hours_Total],tblSafetyHistory[Month],"&gt;="&amp;EDATE($E37,-12),tblSafetyHistory[Month],"&lt;"&amp;$E37,tblSafetyHistory[Use],1))*cfg_RateBasisHours,"")</f>
        <v/>
      </c>
      <c r="IR37" s="62">
        <f>IF(MAX(N(cfg_PriorLTIDate),_xlfn.MAXIFS(tblSafety[Date],tblSafety[LTI],"&gt;0",tblSafety[Date],"&lt;="&amp;$A37))=0,"",$A37-MAX(N(cfg_PriorLTIDate),_xlfn.MAXIFS(tblSafety[Date],tblSafety[LTI],"&gt;0",tblSafety[Date],"&lt;="&amp;$A37)))</f>
        <v/>
      </c>
      <c r="IS37" s="55">
        <f>SUMIFS(tblBudget[Ore_Mined_t],tblBudget[Month],$E37)</f>
        <v/>
      </c>
      <c r="IT37" s="55">
        <f>$IS37*$C37/$D37</f>
        <v/>
      </c>
      <c r="IU37" s="55">
        <f>SUMIFS(tblBudget[Ore_Mined_t],tblBudget[Month],"&lt;"&amp;$E37)+$IT37</f>
        <v/>
      </c>
      <c r="IV37" s="55">
        <f>SUMIFS(tblBudget[Ore_oz],tblBudget[Month],$E37)</f>
        <v/>
      </c>
      <c r="IW37" s="55">
        <f>$IV37*$C37/$D37</f>
        <v/>
      </c>
      <c r="IX37" s="55">
        <f>SUMIFS(tblBudget[Ore_oz],tblBudget[Month],"&lt;"&amp;$E37)+$IW37</f>
        <v/>
      </c>
      <c r="IY37" s="55">
        <f>SUMIFS(tblBudget[Ore_Mined_t],tblBudget[Month],$E37)</f>
        <v/>
      </c>
      <c r="IZ37" s="55">
        <f>$IY37*$C37/$D37</f>
        <v/>
      </c>
      <c r="JA37" s="55">
        <f>SUMIFS(tblBudget[Ore_Mined_t],tblBudget[Month],"&lt;"&amp;$E37)+$IZ37</f>
        <v/>
      </c>
      <c r="JB37" s="56">
        <f>IFERROR(IF(($IY37)&gt;0,($IV37*cfg_TroyOz)/($IY37),""),"")</f>
        <v/>
      </c>
      <c r="JC37" s="56">
        <f>IFERROR(IF(($IZ37)&gt;0,($IW37*cfg_TroyOz)/($IZ37),""),"")</f>
        <v/>
      </c>
      <c r="JD37" s="56">
        <f>IFERROR(IF(($JA37)&gt;0,($IX37*cfg_TroyOz)/($JA37),""),"")</f>
        <v/>
      </c>
      <c r="JE37" s="55">
        <f>SUMIFS(tblBudget[Waste_t],tblBudget[Month],$E37)</f>
        <v/>
      </c>
      <c r="JF37" s="55">
        <f>$JE37*$C37/$D37</f>
        <v/>
      </c>
      <c r="JG37" s="55">
        <f>SUMIFS(tblBudget[Waste_t],tblBudget[Month],"&lt;"&amp;$E37)+$JF37</f>
        <v/>
      </c>
      <c r="JH37" s="55">
        <f>SUMIFS(tblBudget[TMM_t],tblBudget[Month],$E37)</f>
        <v/>
      </c>
      <c r="JI37" s="55">
        <f>$JH37*$C37/$D37</f>
        <v/>
      </c>
      <c r="JJ37" s="55">
        <f>SUMIFS(tblBudget[TMM_t],tblBudget[Month],"&lt;"&amp;$E37)+$JI37</f>
        <v/>
      </c>
      <c r="JK37" s="56">
        <f>IFERROR(IF(($IS37)&gt;0,($JE37)/($IS37),""),"")</f>
        <v/>
      </c>
      <c r="JL37" s="56">
        <f>IFERROR(IF(($IT37)&gt;0,($JF37)/($IT37),""),"")</f>
        <v/>
      </c>
      <c r="JM37" s="56">
        <f>IFERROR(IF(($IU37)&gt;0,($JG37)/($IU37),""),"")</f>
        <v/>
      </c>
      <c r="JN37" s="55">
        <f>SUMIFS(tblBudget[Drill_m],tblBudget[Month],$E37)</f>
        <v/>
      </c>
      <c r="JO37" s="55">
        <f>$JN37*$C37/$D37</f>
        <v/>
      </c>
      <c r="JP37" s="55">
        <f>SUMIFS(tblBudget[Drill_m],tblBudget[Month],"&lt;"&amp;$E37)+$JO37</f>
        <v/>
      </c>
      <c r="JQ37" s="55">
        <f>SUMIFS(tblBudget[Diesel_L],tblBudget[Month],$E37)</f>
        <v/>
      </c>
      <c r="JR37" s="55">
        <f>$JQ37*$C37/$D37</f>
        <v/>
      </c>
      <c r="JS37" s="55">
        <f>SUMIFS(tblBudget[Diesel_L],tblBudget[Month],"&lt;"&amp;$E37)+$JR37</f>
        <v/>
      </c>
      <c r="JT37" s="55">
        <f>SUMIFS(tblBudget[Milled_t],tblBudget[Month],$E37)</f>
        <v/>
      </c>
      <c r="JU37" s="55">
        <f>$JT37*$C37/$D37</f>
        <v/>
      </c>
      <c r="JV37" s="55">
        <f>SUMIFS(tblBudget[Milled_t],tblBudget[Month],"&lt;"&amp;$E37)+$JU37</f>
        <v/>
      </c>
      <c r="JW37" s="55">
        <f>SUMIFS(tblBudget[Feed_oz],tblBudget[Month],$E37)</f>
        <v/>
      </c>
      <c r="JX37" s="55">
        <f>$JW37*$C37/$D37</f>
        <v/>
      </c>
      <c r="JY37" s="55">
        <f>SUMIFS(tblBudget[Feed_oz],tblBudget[Month],"&lt;"&amp;$E37)+$JX37</f>
        <v/>
      </c>
      <c r="JZ37" s="55">
        <f>SUMIFS(tblBudget[Recovered_oz],tblBudget[Month],$E37)</f>
        <v/>
      </c>
      <c r="KA37" s="55">
        <f>$JZ37*$C37/$D37</f>
        <v/>
      </c>
      <c r="KB37" s="55">
        <f>SUMIFS(tblBudget[Recovered_oz],tblBudget[Month],"&lt;"&amp;$E37)+$KA37</f>
        <v/>
      </c>
      <c r="KC37" s="55">
        <f>SUMIFS(tblBudget[Milled_t],tblBudget[Month],$E37)</f>
        <v/>
      </c>
      <c r="KD37" s="55">
        <f>$KC37*$C37/$D37</f>
        <v/>
      </c>
      <c r="KE37" s="55">
        <f>SUMIFS(tblBudget[Milled_t],tblBudget[Month],"&lt;"&amp;$E37)+$KD37</f>
        <v/>
      </c>
      <c r="KF37" s="55">
        <f>SUMIFS(tblBudget[Feed_oz],tblBudget[Month],$E37)</f>
        <v/>
      </c>
      <c r="KG37" s="55">
        <f>$KF37*$C37/$D37</f>
        <v/>
      </c>
      <c r="KH37" s="55">
        <f>SUMIFS(tblBudget[Feed_oz],tblBudget[Month],"&lt;"&amp;$E37)+$KG37</f>
        <v/>
      </c>
      <c r="KI37" s="56">
        <f>IFERROR(IF(($KC37)&gt;0,($JW37*cfg_TroyOz)/($KC37),""),"")</f>
        <v/>
      </c>
      <c r="KJ37" s="56">
        <f>IFERROR(IF(($KD37)&gt;0,($JX37*cfg_TroyOz)/($KD37),""),"")</f>
        <v/>
      </c>
      <c r="KK37" s="56">
        <f>IFERROR(IF(($KE37)&gt;0,($JY37*cfg_TroyOz)/($KE37),""),"")</f>
        <v/>
      </c>
      <c r="KL37" s="67">
        <f>IFERROR(IF(($KF37)&gt;0,($JZ37)/($KF37),""),"")</f>
        <v/>
      </c>
      <c r="KM37" s="67">
        <f>IFERROR(IF(($KG37)&gt;0,($KA37)/($KG37),""),"")</f>
        <v/>
      </c>
      <c r="KN37" s="67">
        <f>IFERROR(IF(($KH37)&gt;0,($KB37)/($KH37),""),"")</f>
        <v/>
      </c>
      <c r="KO37" s="55">
        <f>SUMIFS(tblBudget[Gold_Poured_oz],tblBudget[Month],$E37)</f>
        <v/>
      </c>
      <c r="KP37" s="55">
        <f>$KO37*$C37/$D37</f>
        <v/>
      </c>
      <c r="KQ37" s="55">
        <f>SUMIFS(tblBudget[Gold_Poured_oz],tblBudget[Month],"&lt;"&amp;$E37)+$KP37</f>
        <v/>
      </c>
      <c r="KR37" s="57">
        <f>SUMIFS(tblBudget[Hours_Worked],tblBudget[Month],$E37)</f>
        <v/>
      </c>
      <c r="KS37" s="57">
        <f>$KR37*$C37/$D37</f>
        <v/>
      </c>
      <c r="KT37" s="57">
        <f>SUMIFS(tblBudget[Hours_Worked],tblBudget[Month],"&lt;"&amp;$E37)+$KS37</f>
        <v/>
      </c>
    </row>
    <row r="38">
      <c r="A38" s="54" t="n">
        <v>46059</v>
      </c>
      <c r="B38">
        <f>MONTH($A38)</f>
        <v/>
      </c>
      <c r="C38">
        <f>DAY($A38)</f>
        <v/>
      </c>
      <c r="D38">
        <f>DAY(EOMONTH($A38,0))</f>
        <v/>
      </c>
      <c r="E38" s="54">
        <f>DATE(YEAR($A38),MONTH($A38),1)</f>
        <v/>
      </c>
      <c r="F38" s="55">
        <f>SUMIFS(tblMovement[Tonnes_t],tblMovement[Date],$A38,tblMovement[Is_Ore],1,tblMovement[Source_Type],"Pit")</f>
        <v/>
      </c>
      <c r="G38" s="55">
        <f>IF($B38=$B37,$G37,0)+$F38</f>
        <v/>
      </c>
      <c r="H38" s="55">
        <f>$H37+$F38</f>
        <v/>
      </c>
      <c r="I38" s="55">
        <f>SUMIFS(tblMovement[Ore_oz],tblMovement[Date],$A38,tblMovement[Source_Type],"Pit")</f>
        <v/>
      </c>
      <c r="J38" s="55">
        <f>IF($B38=$B37,$J37,0)+$I38</f>
        <v/>
      </c>
      <c r="K38" s="55">
        <f>$K37+$I38</f>
        <v/>
      </c>
      <c r="L38" s="55">
        <f>SUMIFS(tblMovement[Tonnes_t],tblMovement[Date],$A38,tblMovement[Is_Ore],1,tblMovement[Source_Type],"Pit",tblMovement[Grade_gpt],"&lt;&gt;")</f>
        <v/>
      </c>
      <c r="M38" s="55">
        <f>IF($B38=$B37,$M37,0)+$L38</f>
        <v/>
      </c>
      <c r="N38" s="55">
        <f>$N37+$L38</f>
        <v/>
      </c>
      <c r="O38" s="56">
        <f>IFERROR(IF(($L38)&gt;0,($I38*cfg_TroyOz)/($L38),""),"")</f>
        <v/>
      </c>
      <c r="P38" s="56">
        <f>IFERROR(IF(($M38)&gt;0,($J38*cfg_TroyOz)/($M38),""),"")</f>
        <v/>
      </c>
      <c r="Q38" s="56">
        <f>IFERROR(IF(($N38)&gt;0,($K38*cfg_TroyOz)/($N38),""),"")</f>
        <v/>
      </c>
      <c r="R38" s="55">
        <f>$F38-$L38</f>
        <v/>
      </c>
      <c r="S38" s="55">
        <f>IF($B38=$B37,$S37,0)+$R38</f>
        <v/>
      </c>
      <c r="T38" s="55">
        <f>$T37+$R38</f>
        <v/>
      </c>
      <c r="U38" s="55">
        <f>SUMIFS(tblMovement[Tonnes_t],tblMovement[Date],$A38,tblMovement[Is_Ore],0,tblMovement[Source_Type],"Pit")</f>
        <v/>
      </c>
      <c r="V38" s="55">
        <f>IF($B38=$B37,$V37,0)+$U38</f>
        <v/>
      </c>
      <c r="W38" s="55">
        <f>$W37+$U38</f>
        <v/>
      </c>
      <c r="X38" s="55">
        <f>$F38+$U38</f>
        <v/>
      </c>
      <c r="Y38" s="55">
        <f>IF($B38=$B37,$Y37,0)+$X38</f>
        <v/>
      </c>
      <c r="Z38" s="55">
        <f>$Z37+$X38</f>
        <v/>
      </c>
      <c r="AA38" s="56">
        <f>IFERROR(IF(($F38)&gt;0,($U38)/($F38),""),"")</f>
        <v/>
      </c>
      <c r="AB38" s="56">
        <f>IFERROR(IF(($G38)&gt;0,($V38)/($G38),""),"")</f>
        <v/>
      </c>
      <c r="AC38" s="56">
        <f>IFERROR(IF(($H38)&gt;0,($W38)/($H38),""),"")</f>
        <v/>
      </c>
      <c r="AD38" s="55">
        <f>SUMIFS(tblMovement[Tonnes_t],tblMovement[Date],$A38,tblMovement[Source_Type],"Stockpile")</f>
        <v/>
      </c>
      <c r="AE38" s="55">
        <f>IF($B38=$B37,$AE37,0)+$AD38</f>
        <v/>
      </c>
      <c r="AF38" s="55">
        <f>$AF37+$AD38</f>
        <v/>
      </c>
      <c r="AG38" s="55">
        <f>SUMIFS(tblMovement[Tonnes_t],tblMovement[Date],$A38)</f>
        <v/>
      </c>
      <c r="AH38" s="55">
        <f>IF($B38=$B37,$AH37,0)+$AG38</f>
        <v/>
      </c>
      <c r="AI38" s="55">
        <f>$AI37+$AG38</f>
        <v/>
      </c>
      <c r="AJ38" s="55">
        <f>$AG38-$X38-$AD38</f>
        <v/>
      </c>
      <c r="AK38" s="55">
        <f>IF($B38=$B37,$AK37,0)+$AJ38</f>
        <v/>
      </c>
      <c r="AL38" s="55">
        <f>$AL37+$AJ38</f>
        <v/>
      </c>
      <c r="AM38" s="55">
        <f>SUMIFS(tblMiningDaily[Drill_m],tblMiningDaily[Date],$A38)</f>
        <v/>
      </c>
      <c r="AN38" s="55">
        <f>IF($B38=$B37,$AN37,0)+$AM38</f>
        <v/>
      </c>
      <c r="AO38" s="55">
        <f>$AO37+$AM38</f>
        <v/>
      </c>
      <c r="AP38" s="55">
        <f>SUMIFS(tblMiningDaily[GC_Drill_m],tblMiningDaily[Date],$A38)</f>
        <v/>
      </c>
      <c r="AQ38" s="55">
        <f>IF($B38=$B37,$AQ37,0)+$AP38</f>
        <v/>
      </c>
      <c r="AR38" s="55">
        <f>$AR37+$AP38</f>
        <v/>
      </c>
      <c r="AS38" s="55">
        <f>SUMIFS(tblMiningDaily[Blast_t],tblMiningDaily[Date],$A38)</f>
        <v/>
      </c>
      <c r="AT38" s="55">
        <f>IF($B38=$B37,$AT37,0)+$AS38</f>
        <v/>
      </c>
      <c r="AU38" s="55">
        <f>$AU37+$AS38</f>
        <v/>
      </c>
      <c r="AV38" s="55">
        <f>SUMIFS(tblMiningDaily[Explosives_kg],tblMiningDaily[Date],$A38)</f>
        <v/>
      </c>
      <c r="AW38" s="55">
        <f>IF($B38=$B37,$AW37,0)+$AV38</f>
        <v/>
      </c>
      <c r="AX38" s="55">
        <f>$AX37+$AV38</f>
        <v/>
      </c>
      <c r="AY38" s="56">
        <f>IFERROR(IF(($AS38)&gt;0,($AV38)/($AS38),""),"")</f>
        <v/>
      </c>
      <c r="AZ38" s="56">
        <f>IFERROR(IF(($AT38)&gt;0,($AW38)/($AT38),""),"")</f>
        <v/>
      </c>
      <c r="BA38" s="56">
        <f>IFERROR(IF(($AU38)&gt;0,($AX38)/($AU38),""),"")</f>
        <v/>
      </c>
      <c r="BB38" s="55">
        <f>SUMIFS(tblMiningDaily[Diesel_L],tblMiningDaily[Date],$A38)</f>
        <v/>
      </c>
      <c r="BC38" s="55">
        <f>IF($B38=$B37,$BC37,0)+$BB38</f>
        <v/>
      </c>
      <c r="BD38" s="55">
        <f>$BD37+$BB38</f>
        <v/>
      </c>
      <c r="BE38" s="55">
        <f>SUMIFS(tblMiningDaily[Dewatering_m3],tblMiningDaily[Date],$A38)</f>
        <v/>
      </c>
      <c r="BF38" s="55">
        <f>IF($B38=$B37,$BF37,0)+$BE38</f>
        <v/>
      </c>
      <c r="BG38" s="55">
        <f>$BG37+$BE38</f>
        <v/>
      </c>
      <c r="BH38" s="57">
        <f>SUMIFS(tblFleet[Calendar_h],tblFleet[Date],$A38,tblFleet[Equipment_Class],"Excavator")</f>
        <v/>
      </c>
      <c r="BI38" s="57">
        <f>IF($B38=$B37,$BI37,0)+$BH38</f>
        <v/>
      </c>
      <c r="BJ38" s="57">
        <f>$BJ37+$BH38</f>
        <v/>
      </c>
      <c r="BK38" s="57">
        <f>SUMIFS(tblFleet[Available_h],tblFleet[Date],$A38,tblFleet[Equipment_Class],"Excavator")</f>
        <v/>
      </c>
      <c r="BL38" s="57">
        <f>IF($B38=$B37,$BL37,0)+$BK38</f>
        <v/>
      </c>
      <c r="BM38" s="57">
        <f>$BM37+$BK38</f>
        <v/>
      </c>
      <c r="BN38" s="57">
        <f>SUMIFS(tblFleet[Operating_h],tblFleet[Date],$A38,tblFleet[Equipment_Class],"Excavator")</f>
        <v/>
      </c>
      <c r="BO38" s="57">
        <f>IF($B38=$B37,$BO37,0)+$BN38</f>
        <v/>
      </c>
      <c r="BP38" s="57">
        <f>$BP37+$BN38</f>
        <v/>
      </c>
      <c r="BQ38" s="67">
        <f>IFERROR(IF(($BH38)&gt;0,($BK38)/($BH38),""),"")</f>
        <v/>
      </c>
      <c r="BR38" s="67">
        <f>IFERROR(IF(($BI38)&gt;0,($BL38)/($BI38),""),"")</f>
        <v/>
      </c>
      <c r="BS38" s="67">
        <f>IFERROR(IF(($BJ38)&gt;0,($BM38)/($BJ38),""),"")</f>
        <v/>
      </c>
      <c r="BT38" s="67">
        <f>IFERROR(IF(($BK38)&gt;0,($BN38)/($BK38),""),"")</f>
        <v/>
      </c>
      <c r="BU38" s="67">
        <f>IFERROR(IF(($BL38)&gt;0,($BO38)/($BL38),""),"")</f>
        <v/>
      </c>
      <c r="BV38" s="67">
        <f>IFERROR(IF(($BM38)&gt;0,($BP38)/($BM38),""),"")</f>
        <v/>
      </c>
      <c r="BW38" s="57">
        <f>SUMIFS(tblFleet[Calendar_h],tblFleet[Date],$A38,tblFleet[Equipment_Class],"Haul Truck")</f>
        <v/>
      </c>
      <c r="BX38" s="57">
        <f>IF($B38=$B37,$BX37,0)+$BW38</f>
        <v/>
      </c>
      <c r="BY38" s="57">
        <f>$BY37+$BW38</f>
        <v/>
      </c>
      <c r="BZ38" s="57">
        <f>SUMIFS(tblFleet[Available_h],tblFleet[Date],$A38,tblFleet[Equipment_Class],"Haul Truck")</f>
        <v/>
      </c>
      <c r="CA38" s="57">
        <f>IF($B38=$B37,$CA37,0)+$BZ38</f>
        <v/>
      </c>
      <c r="CB38" s="57">
        <f>$CB37+$BZ38</f>
        <v/>
      </c>
      <c r="CC38" s="57">
        <f>SUMIFS(tblFleet[Operating_h],tblFleet[Date],$A38,tblFleet[Equipment_Class],"Haul Truck")</f>
        <v/>
      </c>
      <c r="CD38" s="57">
        <f>IF($B38=$B37,$CD37,0)+$CC38</f>
        <v/>
      </c>
      <c r="CE38" s="57">
        <f>$CE37+$CC38</f>
        <v/>
      </c>
      <c r="CF38" s="67">
        <f>IFERROR(IF(($BW38)&gt;0,($BZ38)/($BW38),""),"")</f>
        <v/>
      </c>
      <c r="CG38" s="67">
        <f>IFERROR(IF(($BX38)&gt;0,($CA38)/($BX38),""),"")</f>
        <v/>
      </c>
      <c r="CH38" s="67">
        <f>IFERROR(IF(($BY38)&gt;0,($CB38)/($BY38),""),"")</f>
        <v/>
      </c>
      <c r="CI38" s="67">
        <f>IFERROR(IF(($BZ38)&gt;0,($CC38)/($BZ38),""),"")</f>
        <v/>
      </c>
      <c r="CJ38" s="67">
        <f>IFERROR(IF(($CA38)&gt;0,($CD38)/($CA38),""),"")</f>
        <v/>
      </c>
      <c r="CK38" s="67">
        <f>IFERROR(IF(($CB38)&gt;0,($CE38)/($CB38),""),"")</f>
        <v/>
      </c>
      <c r="CL38" s="55">
        <f>IFERROR(IF(($BN38)&gt;0,($X38+$AD38)/($BN38),""),"")</f>
        <v/>
      </c>
      <c r="CM38" s="55">
        <f>IFERROR(IF(($BO38)&gt;0,($Y38+$AE38)/($BO38),""),"")</f>
        <v/>
      </c>
      <c r="CN38" s="55">
        <f>IFERROR(IF(($BP38)&gt;0,($Z38+$AF38)/($BP38),""),"")</f>
        <v/>
      </c>
      <c r="CO38" s="55">
        <f>IFERROR(IF(($CC38)&gt;0,($X38+$AD38)/($CC38),""),"")</f>
        <v/>
      </c>
      <c r="CP38" s="55">
        <f>IFERROR(IF(($CD38)&gt;0,($Y38+$AE38)/($CD38),""),"")</f>
        <v/>
      </c>
      <c r="CQ38" s="55">
        <f>IFERROR(IF(($CE38)&gt;0,($Z38+$AF38)/($CE38),""),"")</f>
        <v/>
      </c>
      <c r="CR38" s="55">
        <f>SUMIFS(tblPlant[Crushed_t],tblPlant[Date],$A38)</f>
        <v/>
      </c>
      <c r="CS38" s="55">
        <f>IF($B38=$B37,$CS37,0)+$CR38</f>
        <v/>
      </c>
      <c r="CT38" s="55">
        <f>$CT37+$CR38</f>
        <v/>
      </c>
      <c r="CU38" s="55">
        <f>SUMIFS(tblPlant[Milled_t],tblPlant[Date],$A38)</f>
        <v/>
      </c>
      <c r="CV38" s="55">
        <f>IF($B38=$B37,$CV37,0)+$CU38</f>
        <v/>
      </c>
      <c r="CW38" s="55">
        <f>$CW37+$CU38</f>
        <v/>
      </c>
      <c r="CX38" s="55">
        <f>SUMIFS(tblPlant[Feed_oz],tblPlant[Date],$A38)</f>
        <v/>
      </c>
      <c r="CY38" s="55">
        <f>IF($B38=$B37,$CY37,0)+$CX38</f>
        <v/>
      </c>
      <c r="CZ38" s="55">
        <f>$CZ37+$CX38</f>
        <v/>
      </c>
      <c r="DA38" s="55">
        <f>SUMIFS(tblPlant[Tails_oz],tblPlant[Date],$A38)</f>
        <v/>
      </c>
      <c r="DB38" s="55">
        <f>IF($B38=$B37,$DB37,0)+$DA38</f>
        <v/>
      </c>
      <c r="DC38" s="55">
        <f>$DC37+$DA38</f>
        <v/>
      </c>
      <c r="DD38" s="55">
        <f>SUMIFS(tblPlant[Recovered_oz],tblPlant[Date],$A38)</f>
        <v/>
      </c>
      <c r="DE38" s="55">
        <f>IF($B38=$B37,$DE37,0)+$DD38</f>
        <v/>
      </c>
      <c r="DF38" s="55">
        <f>$DF37+$DD38</f>
        <v/>
      </c>
      <c r="DG38" s="55">
        <f>SUMIFS(tblPlant[Milled_t],tblPlant[Date],$A38,tblPlant[Head_Grade_gpt],"&lt;&gt;")</f>
        <v/>
      </c>
      <c r="DH38" s="55">
        <f>IF($B38=$B37,$DH37,0)+$DG38</f>
        <v/>
      </c>
      <c r="DI38" s="55">
        <f>$DI37+$DG38</f>
        <v/>
      </c>
      <c r="DJ38" s="55">
        <f>SUMIFS(tblPlant[Milled_t],tblPlant[Date],$A38,tblPlant[Tails_Grade_gpt],"&lt;&gt;")</f>
        <v/>
      </c>
      <c r="DK38" s="55">
        <f>IF($B38=$B37,$DK37,0)+$DJ38</f>
        <v/>
      </c>
      <c r="DL38" s="55">
        <f>$DL37+$DJ38</f>
        <v/>
      </c>
      <c r="DM38" s="55">
        <f>SUMIFS(tblPlant[Feed_oz],tblPlant[Date],$A38,tblPlant[Tails_Grade_gpt],"&lt;&gt;")</f>
        <v/>
      </c>
      <c r="DN38" s="55">
        <f>IF($B38=$B37,$DN37,0)+$DM38</f>
        <v/>
      </c>
      <c r="DO38" s="55">
        <f>$DO37+$DM38</f>
        <v/>
      </c>
      <c r="DP38" s="55">
        <f>SUMIFS(tblPlant[Milled_t],tblPlant[Date],$A38,tblPlant[Mill_Run_h],"&lt;&gt;")</f>
        <v/>
      </c>
      <c r="DQ38" s="55">
        <f>IF($B38=$B37,$DQ37,0)+$DP38</f>
        <v/>
      </c>
      <c r="DR38" s="55">
        <f>$DR37+$DP38</f>
        <v/>
      </c>
      <c r="DS38" s="56">
        <f>IFERROR(IF(($DG38)&gt;0,($CX38*cfg_TroyOz)/($DG38),""),"")</f>
        <v/>
      </c>
      <c r="DT38" s="56">
        <f>IFERROR(IF(($DH38)&gt;0,($CY38*cfg_TroyOz)/($DH38),""),"")</f>
        <v/>
      </c>
      <c r="DU38" s="56">
        <f>IFERROR(IF(($DI38)&gt;0,($CZ38*cfg_TroyOz)/($DI38),""),"")</f>
        <v/>
      </c>
      <c r="DV38" s="56">
        <f>IFERROR(IF(($DJ38)&gt;0,($DA38*cfg_TroyOz)/($DJ38),""),"")</f>
        <v/>
      </c>
      <c r="DW38" s="56">
        <f>IFERROR(IF(($DK38)&gt;0,($DB38*cfg_TroyOz)/($DK38),""),"")</f>
        <v/>
      </c>
      <c r="DX38" s="56">
        <f>IFERROR(IF(($DL38)&gt;0,($DC38*cfg_TroyOz)/($DL38),""),"")</f>
        <v/>
      </c>
      <c r="DY38" s="67">
        <f>IFERROR(IF(($DM38)&gt;0,($DD38)/($DM38),""),"")</f>
        <v/>
      </c>
      <c r="DZ38" s="67">
        <f>IFERROR(IF(($DN38)&gt;0,($DE38)/($DN38),""),"")</f>
        <v/>
      </c>
      <c r="EA38" s="67">
        <f>IFERROR(IF(($DO38)&gt;0,($DF38)/($DO38),""),"")</f>
        <v/>
      </c>
      <c r="EB38" s="55">
        <f>SUMIFS(tblPlant[Gravity_Gold_oz],tblPlant[Date],$A38)</f>
        <v/>
      </c>
      <c r="EC38" s="55">
        <f>IF($B38=$B37,$EC37,0)+$EB38</f>
        <v/>
      </c>
      <c r="ED38" s="55">
        <f>$ED37+$EB38</f>
        <v/>
      </c>
      <c r="EE38" s="67">
        <f>IFERROR(IF(($DD38)&gt;0,($EB38)/($DD38),""),"")</f>
        <v/>
      </c>
      <c r="EF38" s="67">
        <f>IFERROR(IF(($DE38)&gt;0,($EC38)/($DE38),""),"")</f>
        <v/>
      </c>
      <c r="EG38" s="67">
        <f>IFERROR(IF(($DF38)&gt;0,($ED38)/($DF38),""),"")</f>
        <v/>
      </c>
      <c r="EH38" s="55">
        <f>SUMIFS(tblPlant[Gold_Poured_oz],tblPlant[Date],$A38)</f>
        <v/>
      </c>
      <c r="EI38" s="55">
        <f>IF($B38=$B37,$EI37,0)+$EH38</f>
        <v/>
      </c>
      <c r="EJ38" s="55">
        <f>$EJ37+$EH38</f>
        <v/>
      </c>
      <c r="EK38" s="57">
        <f>SUMIFS(tblPlant[Mill_Run_h],tblPlant[Date],$A38)</f>
        <v/>
      </c>
      <c r="EL38" s="57">
        <f>IF($B38=$B37,$EL37,0)+$EK38</f>
        <v/>
      </c>
      <c r="EM38" s="57">
        <f>$EM37+$EK38</f>
        <v/>
      </c>
      <c r="EN38" s="57">
        <f>SUMIFS(tblPlant[Mill_Planned_Maint_h],tblPlant[Date],$A38)</f>
        <v/>
      </c>
      <c r="EO38" s="57">
        <f>IF($B38=$B37,$EO37,0)+$EN38</f>
        <v/>
      </c>
      <c r="EP38" s="57">
        <f>$EP37+$EN38</f>
        <v/>
      </c>
      <c r="EQ38" s="57">
        <f>SUMIFS(tblPlant[Mill_Unplanned_Down_h],tblPlant[Date],$A38)</f>
        <v/>
      </c>
      <c r="ER38" s="57">
        <f>IF($B38=$B37,$ER37,0)+$EQ38</f>
        <v/>
      </c>
      <c r="ES38" s="57">
        <f>$ES37+$EQ38</f>
        <v/>
      </c>
      <c r="ET38" s="57">
        <f>IF(COUNTIFS(tblPlant[Date],$A38,tblPlant[Mill_Run_h],"&lt;&gt;")+COUNTIFS(tblPlant[Date],$A38,tblPlant[Mill_Planned_Maint_h],"&lt;&gt;")+COUNTIFS(tblPlant[Date],$A38,tblPlant[Mill_Unplanned_Down_h],"&lt;&gt;")&gt;0,cfg_HoursPerDay,0)</f>
        <v/>
      </c>
      <c r="EU38" s="57">
        <f>IF($B38=$B37,$EU37,0)+$ET38</f>
        <v/>
      </c>
      <c r="EV38" s="57">
        <f>$EV37+$ET38</f>
        <v/>
      </c>
      <c r="EW38" s="57">
        <f>SUMIFS(tblPlant[Crusher_Run_h],tblPlant[Date],$A38)</f>
        <v/>
      </c>
      <c r="EX38" s="57">
        <f>IF($B38=$B37,$EX37,0)+$EW38</f>
        <v/>
      </c>
      <c r="EY38" s="57">
        <f>$EY37+$EW38</f>
        <v/>
      </c>
      <c r="EZ38" s="55">
        <f>IFERROR(IF(($EK38)&gt;0,($DP38)/($EK38),""),"")</f>
        <v/>
      </c>
      <c r="FA38" s="55">
        <f>IFERROR(IF(($EL38)&gt;0,($DQ38)/($EL38),""),"")</f>
        <v/>
      </c>
      <c r="FB38" s="55">
        <f>IFERROR(IF(($EM38)&gt;0,($DR38)/($EM38),""),"")</f>
        <v/>
      </c>
      <c r="FC38" s="67">
        <f>IFERROR(IF(($ET38)&gt;0,($ET38-$EN38-$EQ38)/($ET38),""),"")</f>
        <v/>
      </c>
      <c r="FD38" s="67">
        <f>IFERROR(IF(($EU38)&gt;0,($EU38-$EO38-$ER38)/($EU38),""),"")</f>
        <v/>
      </c>
      <c r="FE38" s="67">
        <f>IFERROR(IF(($EV38)&gt;0,($EV38-$EP38-$ES38)/($EV38),""),"")</f>
        <v/>
      </c>
      <c r="FF38" s="67">
        <f>IFERROR(IF(($ET38-$EN38-$EQ38)&gt;0,($EK38)/($ET38-$EN38-$EQ38),""),"")</f>
        <v/>
      </c>
      <c r="FG38" s="67">
        <f>IFERROR(IF(($EU38-$EO38-$ER38)&gt;0,($EL38)/($EU38-$EO38-$ER38),""),"")</f>
        <v/>
      </c>
      <c r="FH38" s="67">
        <f>IFERROR(IF(($EV38-$EP38-$ES38)&gt;0,($EM38)/($EV38-$EP38-$ES38),""),"")</f>
        <v/>
      </c>
      <c r="FI38" s="55">
        <f>SUMIFS(tblPlant[Cyanide_kg],tblPlant[Date],$A38)</f>
        <v/>
      </c>
      <c r="FJ38" s="55">
        <f>IF($B38=$B37,$FJ37,0)+$FI38</f>
        <v/>
      </c>
      <c r="FK38" s="55">
        <f>$FK37+$FI38</f>
        <v/>
      </c>
      <c r="FL38" s="55">
        <f>SUMIFS(tblPlant[Lime_kg],tblPlant[Date],$A38)</f>
        <v/>
      </c>
      <c r="FM38" s="55">
        <f>IF($B38=$B37,$FM37,0)+$FL38</f>
        <v/>
      </c>
      <c r="FN38" s="55">
        <f>$FN37+$FL38</f>
        <v/>
      </c>
      <c r="FO38" s="55">
        <f>SUMIFS(tblPlant[Grinding_Media_kg],tblPlant[Date],$A38)</f>
        <v/>
      </c>
      <c r="FP38" s="55">
        <f>IF($B38=$B37,$FP37,0)+$FO38</f>
        <v/>
      </c>
      <c r="FQ38" s="55">
        <f>$FQ37+$FO38</f>
        <v/>
      </c>
      <c r="FR38" s="55">
        <f>SUMIFS(tblPlant[Power_kWh],tblPlant[Date],$A38)</f>
        <v/>
      </c>
      <c r="FS38" s="55">
        <f>IF($B38=$B37,$FS37,0)+$FR38</f>
        <v/>
      </c>
      <c r="FT38" s="55">
        <f>$FT37+$FR38</f>
        <v/>
      </c>
      <c r="FU38" s="55">
        <f>SUMIFS(tblPlant[Raw_Water_m3],tblPlant[Date],$A38)</f>
        <v/>
      </c>
      <c r="FV38" s="55">
        <f>IF($B38=$B37,$FV37,0)+$FU38</f>
        <v/>
      </c>
      <c r="FW38" s="55">
        <f>$FW37+$FU38</f>
        <v/>
      </c>
      <c r="FX38" s="56">
        <f>IFERROR(IF(($CU38)&gt;0,($FI38)/($CU38),""),"")</f>
        <v/>
      </c>
      <c r="FY38" s="56">
        <f>IFERROR(IF(($CV38)&gt;0,($FJ38)/($CV38),""),"")</f>
        <v/>
      </c>
      <c r="FZ38" s="56">
        <f>IFERROR(IF(($CW38)&gt;0,($FK38)/($CW38),""),"")</f>
        <v/>
      </c>
      <c r="GA38" s="56">
        <f>IFERROR(IF(($CU38)&gt;0,($FL38)/($CU38),""),"")</f>
        <v/>
      </c>
      <c r="GB38" s="56">
        <f>IFERROR(IF(($CV38)&gt;0,($FM38)/($CV38),""),"")</f>
        <v/>
      </c>
      <c r="GC38" s="56">
        <f>IFERROR(IF(($CW38)&gt;0,($FN38)/($CW38),""),"")</f>
        <v/>
      </c>
      <c r="GD38" s="56">
        <f>IFERROR(IF(($CU38)&gt;0,($FO38)/($CU38),""),"")</f>
        <v/>
      </c>
      <c r="GE38" s="56">
        <f>IFERROR(IF(($CV38)&gt;0,($FP38)/($CV38),""),"")</f>
        <v/>
      </c>
      <c r="GF38" s="56">
        <f>IFERROR(IF(($CW38)&gt;0,($FQ38)/($CW38),""),"")</f>
        <v/>
      </c>
      <c r="GG38" s="79">
        <f>IFERROR(IF(($CU38)&gt;0,($FR38)/($CU38),""),"")</f>
        <v/>
      </c>
      <c r="GH38" s="79">
        <f>IFERROR(IF(($CV38)&gt;0,($FS38)/($CV38),""),"")</f>
        <v/>
      </c>
      <c r="GI38" s="79">
        <f>IFERROR(IF(($CW38)&gt;0,($FT38)/($CW38),""),"")</f>
        <v/>
      </c>
      <c r="GJ38" s="56">
        <f>IFERROR(IF(($CU38)&gt;0,($FU38)/($CU38),""),"")</f>
        <v/>
      </c>
      <c r="GK38" s="56">
        <f>IFERROR(IF(($CV38)&gt;0,($FV38)/($CV38),""),"")</f>
        <v/>
      </c>
      <c r="GL38" s="56">
        <f>IFERROR(IF(($CW38)&gt;0,($FW38)/($CW38),""),"")</f>
        <v/>
      </c>
      <c r="GM38" s="55">
        <f>IF(SUMIFS(tblPlant[GIC_oz],tblPlant[Date],$A38)&gt;0,SUMIFS(tblPlant[GIC_oz],tblPlant[Date],$A38),"")</f>
        <v/>
      </c>
      <c r="GN38" s="55">
        <f>SUMIFS(tblGold[Gold_oz],tblGold[Date],$A38,tblGold[Type],"Shipment")</f>
        <v/>
      </c>
      <c r="GO38" s="55">
        <f>IF($B38=$B37,$GO37,0)+$GN38</f>
        <v/>
      </c>
      <c r="GP38" s="55">
        <f>$GP37+$GN38</f>
        <v/>
      </c>
      <c r="GQ38" s="55">
        <f>SUMIFS(tblGold[Gold_oz],tblGold[Date],$A38,tblGold[Type],"Sale")</f>
        <v/>
      </c>
      <c r="GR38" s="55">
        <f>IF($B38=$B37,$GR37,0)+$GQ38</f>
        <v/>
      </c>
      <c r="GS38" s="55">
        <f>$GS37+$GQ38</f>
        <v/>
      </c>
      <c r="GT38" s="55">
        <f>SUMIFS(tblGold[Dore_kg],tblGold[Date],$A38,tblGold[Type],"Shipment")</f>
        <v/>
      </c>
      <c r="GU38" s="55">
        <f>IF($B38=$B37,$GU37,0)+$GT38</f>
        <v/>
      </c>
      <c r="GV38" s="55">
        <f>$GV37+$GT38</f>
        <v/>
      </c>
      <c r="GW38" s="57">
        <f>SUMIFS(tblSafety[Hours_Total],tblSafety[Date],$A38)</f>
        <v/>
      </c>
      <c r="GX38" s="57">
        <f>IF($B38=$B37,$GX37,0)+$GW38</f>
        <v/>
      </c>
      <c r="GY38" s="57">
        <f>$GY37+$GW38</f>
        <v/>
      </c>
      <c r="GZ38" s="62">
        <f>SUMIFS(tblSafety[Fatality],tblSafety[Date],$A38)</f>
        <v/>
      </c>
      <c r="HA38" s="62">
        <f>IF($B38=$B37,$HA37,0)+$GZ38</f>
        <v/>
      </c>
      <c r="HB38" s="62">
        <f>$HB37+$GZ38</f>
        <v/>
      </c>
      <c r="HC38" s="62">
        <f>SUMIFS(tblSafety[LTI],tblSafety[Date],$A38)</f>
        <v/>
      </c>
      <c r="HD38" s="62">
        <f>IF($B38=$B37,$HD37,0)+$HC38</f>
        <v/>
      </c>
      <c r="HE38" s="62">
        <f>$HE37+$HC38</f>
        <v/>
      </c>
      <c r="HF38" s="62">
        <f>SUMIFS(tblSafety[RWI],tblSafety[Date],$A38)</f>
        <v/>
      </c>
      <c r="HG38" s="62">
        <f>IF($B38=$B37,$HG37,0)+$HF38</f>
        <v/>
      </c>
      <c r="HH38" s="62">
        <f>$HH37+$HF38</f>
        <v/>
      </c>
      <c r="HI38" s="62">
        <f>SUMIFS(tblSafety[MTI],tblSafety[Date],$A38)</f>
        <v/>
      </c>
      <c r="HJ38" s="62">
        <f>IF($B38=$B37,$HJ37,0)+$HI38</f>
        <v/>
      </c>
      <c r="HK38" s="62">
        <f>$HK37+$HI38</f>
        <v/>
      </c>
      <c r="HL38" s="62">
        <f>SUMIFS(tblSafety[FAI],tblSafety[Date],$A38)</f>
        <v/>
      </c>
      <c r="HM38" s="62">
        <f>IF($B38=$B37,$HM37,0)+$HL38</f>
        <v/>
      </c>
      <c r="HN38" s="62">
        <f>$HN37+$HL38</f>
        <v/>
      </c>
      <c r="HO38" s="62">
        <f>SUMIFS(tblSafety[Recordables],tblSafety[Date],$A38)</f>
        <v/>
      </c>
      <c r="HP38" s="62">
        <f>IF($B38=$B37,$HP37,0)+$HO38</f>
        <v/>
      </c>
      <c r="HQ38" s="62">
        <f>$HQ37+$HO38</f>
        <v/>
      </c>
      <c r="HR38" s="62">
        <f>SUMIFS(tblSafety[Near_Miss],tblSafety[Date],$A38)</f>
        <v/>
      </c>
      <c r="HS38" s="62">
        <f>IF($B38=$B37,$HS37,0)+$HR38</f>
        <v/>
      </c>
      <c r="HT38" s="62">
        <f>$HT37+$HR38</f>
        <v/>
      </c>
      <c r="HU38" s="62">
        <f>SUMIFS(tblSafety[Hazard_Reports],tblSafety[Date],$A38)</f>
        <v/>
      </c>
      <c r="HV38" s="62">
        <f>IF($B38=$B37,$HV37,0)+$HU38</f>
        <v/>
      </c>
      <c r="HW38" s="62">
        <f>$HW37+$HU38</f>
        <v/>
      </c>
      <c r="HX38" s="62">
        <f>SUMIFS(tblSafety[HPI],tblSafety[Date],$A38)</f>
        <v/>
      </c>
      <c r="HY38" s="62">
        <f>IF($B38=$B37,$HY37,0)+$HX38</f>
        <v/>
      </c>
      <c r="HZ38" s="62">
        <f>$HZ37+$HX38</f>
        <v/>
      </c>
      <c r="IA38" s="62">
        <f>SUMIFS(tblSafety[Env_Incidents],tblSafety[Date],$A38)</f>
        <v/>
      </c>
      <c r="IB38" s="62">
        <f>IF($B38=$B37,$IB37,0)+$IA38</f>
        <v/>
      </c>
      <c r="IC38" s="62">
        <f>$IC37+$IA38</f>
        <v/>
      </c>
      <c r="ID38" s="62">
        <f>SUMIFS(tblSafety[Community_Incidents],tblSafety[Date],$A38)</f>
        <v/>
      </c>
      <c r="IE38" s="62">
        <f>IF($B38=$B37,$IE37,0)+$ID38</f>
        <v/>
      </c>
      <c r="IF38" s="62">
        <f>$IF37+$ID38</f>
        <v/>
      </c>
      <c r="IG38" s="62">
        <f>SUMIFS(tblSafety[Vehicle_Incidents],tblSafety[Date],$A38)</f>
        <v/>
      </c>
      <c r="IH38" s="62">
        <f>IF($B38=$B37,$IH37,0)+$IG38</f>
        <v/>
      </c>
      <c r="II38" s="62">
        <f>$II37+$IG38</f>
        <v/>
      </c>
      <c r="IJ38" s="62">
        <f>SUMIFS(tblSafety[Toolbox_Talks],tblSafety[Date],$A38)</f>
        <v/>
      </c>
      <c r="IK38" s="62">
        <f>IF($B38=$B37,$IK37,0)+$IJ38</f>
        <v/>
      </c>
      <c r="IL38" s="62">
        <f>$IL37+$IJ38</f>
        <v/>
      </c>
      <c r="IM38" s="62">
        <f>SUMIFS(tblSafety[Inspections],tblSafety[Date],$A38)</f>
        <v/>
      </c>
      <c r="IN38" s="62">
        <f>IF($B38=$B37,$IN37,0)+$IM38</f>
        <v/>
      </c>
      <c r="IO38" s="62">
        <f>$IO37+$IM38</f>
        <v/>
      </c>
      <c r="IP38" s="56">
        <f>IFERROR((SUMIFS(tblSafety[Recordables],tblSafety[Date],"&gt;="&amp;EDATE($E38,-12),tblSafety[Date],"&lt;="&amp;$A38)+SUMIFS(tblSafetyHistory[Recordables],tblSafetyHistory[Month],"&gt;="&amp;EDATE($E38,-12),tblSafetyHistory[Month],"&lt;"&amp;$E38,tblSafetyHistory[Use],1))/(SUMIFS(tblSafety[Hours_Total],tblSafety[Date],"&gt;="&amp;EDATE($E38,-12),tblSafety[Date],"&lt;="&amp;$A38)+SUMIFS(tblSafetyHistory[Hours_Total],tblSafetyHistory[Month],"&gt;="&amp;EDATE($E38,-12),tblSafetyHistory[Month],"&lt;"&amp;$E38,tblSafetyHistory[Use],1))*cfg_RateBasisHours,"")</f>
        <v/>
      </c>
      <c r="IQ38" s="56">
        <f>IFERROR((SUMIFS(tblSafety[LTI],tblSafety[Date],"&gt;="&amp;EDATE($E38,-12),tblSafety[Date],"&lt;="&amp;$A38)+SUMIFS(tblSafetyHistory[LTI],tblSafetyHistory[Month],"&gt;="&amp;EDATE($E38,-12),tblSafetyHistory[Month],"&lt;"&amp;$E38,tblSafetyHistory[Use],1))/(SUMIFS(tblSafety[Hours_Total],tblSafety[Date],"&gt;="&amp;EDATE($E38,-12),tblSafety[Date],"&lt;="&amp;$A38)+SUMIFS(tblSafetyHistory[Hours_Total],tblSafetyHistory[Month],"&gt;="&amp;EDATE($E38,-12),tblSafetyHistory[Month],"&lt;"&amp;$E38,tblSafetyHistory[Use],1))*cfg_RateBasisHours,"")</f>
        <v/>
      </c>
      <c r="IR38" s="62">
        <f>IF(MAX(N(cfg_PriorLTIDate),_xlfn.MAXIFS(tblSafety[Date],tblSafety[LTI],"&gt;0",tblSafety[Date],"&lt;="&amp;$A38))=0,"",$A38-MAX(N(cfg_PriorLTIDate),_xlfn.MAXIFS(tblSafety[Date],tblSafety[LTI],"&gt;0",tblSafety[Date],"&lt;="&amp;$A38)))</f>
        <v/>
      </c>
      <c r="IS38" s="55">
        <f>SUMIFS(tblBudget[Ore_Mined_t],tblBudget[Month],$E38)</f>
        <v/>
      </c>
      <c r="IT38" s="55">
        <f>$IS38*$C38/$D38</f>
        <v/>
      </c>
      <c r="IU38" s="55">
        <f>SUMIFS(tblBudget[Ore_Mined_t],tblBudget[Month],"&lt;"&amp;$E38)+$IT38</f>
        <v/>
      </c>
      <c r="IV38" s="55">
        <f>SUMIFS(tblBudget[Ore_oz],tblBudget[Month],$E38)</f>
        <v/>
      </c>
      <c r="IW38" s="55">
        <f>$IV38*$C38/$D38</f>
        <v/>
      </c>
      <c r="IX38" s="55">
        <f>SUMIFS(tblBudget[Ore_oz],tblBudget[Month],"&lt;"&amp;$E38)+$IW38</f>
        <v/>
      </c>
      <c r="IY38" s="55">
        <f>SUMIFS(tblBudget[Ore_Mined_t],tblBudget[Month],$E38)</f>
        <v/>
      </c>
      <c r="IZ38" s="55">
        <f>$IY38*$C38/$D38</f>
        <v/>
      </c>
      <c r="JA38" s="55">
        <f>SUMIFS(tblBudget[Ore_Mined_t],tblBudget[Month],"&lt;"&amp;$E38)+$IZ38</f>
        <v/>
      </c>
      <c r="JB38" s="56">
        <f>IFERROR(IF(($IY38)&gt;0,($IV38*cfg_TroyOz)/($IY38),""),"")</f>
        <v/>
      </c>
      <c r="JC38" s="56">
        <f>IFERROR(IF(($IZ38)&gt;0,($IW38*cfg_TroyOz)/($IZ38),""),"")</f>
        <v/>
      </c>
      <c r="JD38" s="56">
        <f>IFERROR(IF(($JA38)&gt;0,($IX38*cfg_TroyOz)/($JA38),""),"")</f>
        <v/>
      </c>
      <c r="JE38" s="55">
        <f>SUMIFS(tblBudget[Waste_t],tblBudget[Month],$E38)</f>
        <v/>
      </c>
      <c r="JF38" s="55">
        <f>$JE38*$C38/$D38</f>
        <v/>
      </c>
      <c r="JG38" s="55">
        <f>SUMIFS(tblBudget[Waste_t],tblBudget[Month],"&lt;"&amp;$E38)+$JF38</f>
        <v/>
      </c>
      <c r="JH38" s="55">
        <f>SUMIFS(tblBudget[TMM_t],tblBudget[Month],$E38)</f>
        <v/>
      </c>
      <c r="JI38" s="55">
        <f>$JH38*$C38/$D38</f>
        <v/>
      </c>
      <c r="JJ38" s="55">
        <f>SUMIFS(tblBudget[TMM_t],tblBudget[Month],"&lt;"&amp;$E38)+$JI38</f>
        <v/>
      </c>
      <c r="JK38" s="56">
        <f>IFERROR(IF(($IS38)&gt;0,($JE38)/($IS38),""),"")</f>
        <v/>
      </c>
      <c r="JL38" s="56">
        <f>IFERROR(IF(($IT38)&gt;0,($JF38)/($IT38),""),"")</f>
        <v/>
      </c>
      <c r="JM38" s="56">
        <f>IFERROR(IF(($IU38)&gt;0,($JG38)/($IU38),""),"")</f>
        <v/>
      </c>
      <c r="JN38" s="55">
        <f>SUMIFS(tblBudget[Drill_m],tblBudget[Month],$E38)</f>
        <v/>
      </c>
      <c r="JO38" s="55">
        <f>$JN38*$C38/$D38</f>
        <v/>
      </c>
      <c r="JP38" s="55">
        <f>SUMIFS(tblBudget[Drill_m],tblBudget[Month],"&lt;"&amp;$E38)+$JO38</f>
        <v/>
      </c>
      <c r="JQ38" s="55">
        <f>SUMIFS(tblBudget[Diesel_L],tblBudget[Month],$E38)</f>
        <v/>
      </c>
      <c r="JR38" s="55">
        <f>$JQ38*$C38/$D38</f>
        <v/>
      </c>
      <c r="JS38" s="55">
        <f>SUMIFS(tblBudget[Diesel_L],tblBudget[Month],"&lt;"&amp;$E38)+$JR38</f>
        <v/>
      </c>
      <c r="JT38" s="55">
        <f>SUMIFS(tblBudget[Milled_t],tblBudget[Month],$E38)</f>
        <v/>
      </c>
      <c r="JU38" s="55">
        <f>$JT38*$C38/$D38</f>
        <v/>
      </c>
      <c r="JV38" s="55">
        <f>SUMIFS(tblBudget[Milled_t],tblBudget[Month],"&lt;"&amp;$E38)+$JU38</f>
        <v/>
      </c>
      <c r="JW38" s="55">
        <f>SUMIFS(tblBudget[Feed_oz],tblBudget[Month],$E38)</f>
        <v/>
      </c>
      <c r="JX38" s="55">
        <f>$JW38*$C38/$D38</f>
        <v/>
      </c>
      <c r="JY38" s="55">
        <f>SUMIFS(tblBudget[Feed_oz],tblBudget[Month],"&lt;"&amp;$E38)+$JX38</f>
        <v/>
      </c>
      <c r="JZ38" s="55">
        <f>SUMIFS(tblBudget[Recovered_oz],tblBudget[Month],$E38)</f>
        <v/>
      </c>
      <c r="KA38" s="55">
        <f>$JZ38*$C38/$D38</f>
        <v/>
      </c>
      <c r="KB38" s="55">
        <f>SUMIFS(tblBudget[Recovered_oz],tblBudget[Month],"&lt;"&amp;$E38)+$KA38</f>
        <v/>
      </c>
      <c r="KC38" s="55">
        <f>SUMIFS(tblBudget[Milled_t],tblBudget[Month],$E38)</f>
        <v/>
      </c>
      <c r="KD38" s="55">
        <f>$KC38*$C38/$D38</f>
        <v/>
      </c>
      <c r="KE38" s="55">
        <f>SUMIFS(tblBudget[Milled_t],tblBudget[Month],"&lt;"&amp;$E38)+$KD38</f>
        <v/>
      </c>
      <c r="KF38" s="55">
        <f>SUMIFS(tblBudget[Feed_oz],tblBudget[Month],$E38)</f>
        <v/>
      </c>
      <c r="KG38" s="55">
        <f>$KF38*$C38/$D38</f>
        <v/>
      </c>
      <c r="KH38" s="55">
        <f>SUMIFS(tblBudget[Feed_oz],tblBudget[Month],"&lt;"&amp;$E38)+$KG38</f>
        <v/>
      </c>
      <c r="KI38" s="56">
        <f>IFERROR(IF(($KC38)&gt;0,($JW38*cfg_TroyOz)/($KC38),""),"")</f>
        <v/>
      </c>
      <c r="KJ38" s="56">
        <f>IFERROR(IF(($KD38)&gt;0,($JX38*cfg_TroyOz)/($KD38),""),"")</f>
        <v/>
      </c>
      <c r="KK38" s="56">
        <f>IFERROR(IF(($KE38)&gt;0,($JY38*cfg_TroyOz)/($KE38),""),"")</f>
        <v/>
      </c>
      <c r="KL38" s="67">
        <f>IFERROR(IF(($KF38)&gt;0,($JZ38)/($KF38),""),"")</f>
        <v/>
      </c>
      <c r="KM38" s="67">
        <f>IFERROR(IF(($KG38)&gt;0,($KA38)/($KG38),""),"")</f>
        <v/>
      </c>
      <c r="KN38" s="67">
        <f>IFERROR(IF(($KH38)&gt;0,($KB38)/($KH38),""),"")</f>
        <v/>
      </c>
      <c r="KO38" s="55">
        <f>SUMIFS(tblBudget[Gold_Poured_oz],tblBudget[Month],$E38)</f>
        <v/>
      </c>
      <c r="KP38" s="55">
        <f>$KO38*$C38/$D38</f>
        <v/>
      </c>
      <c r="KQ38" s="55">
        <f>SUMIFS(tblBudget[Gold_Poured_oz],tblBudget[Month],"&lt;"&amp;$E38)+$KP38</f>
        <v/>
      </c>
      <c r="KR38" s="57">
        <f>SUMIFS(tblBudget[Hours_Worked],tblBudget[Month],$E38)</f>
        <v/>
      </c>
      <c r="KS38" s="57">
        <f>$KR38*$C38/$D38</f>
        <v/>
      </c>
      <c r="KT38" s="57">
        <f>SUMIFS(tblBudget[Hours_Worked],tblBudget[Month],"&lt;"&amp;$E38)+$KS38</f>
        <v/>
      </c>
    </row>
    <row r="39">
      <c r="A39" s="54" t="n">
        <v>46060</v>
      </c>
      <c r="B39">
        <f>MONTH($A39)</f>
        <v/>
      </c>
      <c r="C39">
        <f>DAY($A39)</f>
        <v/>
      </c>
      <c r="D39">
        <f>DAY(EOMONTH($A39,0))</f>
        <v/>
      </c>
      <c r="E39" s="54">
        <f>DATE(YEAR($A39),MONTH($A39),1)</f>
        <v/>
      </c>
      <c r="F39" s="55">
        <f>SUMIFS(tblMovement[Tonnes_t],tblMovement[Date],$A39,tblMovement[Is_Ore],1,tblMovement[Source_Type],"Pit")</f>
        <v/>
      </c>
      <c r="G39" s="55">
        <f>IF($B39=$B38,$G38,0)+$F39</f>
        <v/>
      </c>
      <c r="H39" s="55">
        <f>$H38+$F39</f>
        <v/>
      </c>
      <c r="I39" s="55">
        <f>SUMIFS(tblMovement[Ore_oz],tblMovement[Date],$A39,tblMovement[Source_Type],"Pit")</f>
        <v/>
      </c>
      <c r="J39" s="55">
        <f>IF($B39=$B38,$J38,0)+$I39</f>
        <v/>
      </c>
      <c r="K39" s="55">
        <f>$K38+$I39</f>
        <v/>
      </c>
      <c r="L39" s="55">
        <f>SUMIFS(tblMovement[Tonnes_t],tblMovement[Date],$A39,tblMovement[Is_Ore],1,tblMovement[Source_Type],"Pit",tblMovement[Grade_gpt],"&lt;&gt;")</f>
        <v/>
      </c>
      <c r="M39" s="55">
        <f>IF($B39=$B38,$M38,0)+$L39</f>
        <v/>
      </c>
      <c r="N39" s="55">
        <f>$N38+$L39</f>
        <v/>
      </c>
      <c r="O39" s="56">
        <f>IFERROR(IF(($L39)&gt;0,($I39*cfg_TroyOz)/($L39),""),"")</f>
        <v/>
      </c>
      <c r="P39" s="56">
        <f>IFERROR(IF(($M39)&gt;0,($J39*cfg_TroyOz)/($M39),""),"")</f>
        <v/>
      </c>
      <c r="Q39" s="56">
        <f>IFERROR(IF(($N39)&gt;0,($K39*cfg_TroyOz)/($N39),""),"")</f>
        <v/>
      </c>
      <c r="R39" s="55">
        <f>$F39-$L39</f>
        <v/>
      </c>
      <c r="S39" s="55">
        <f>IF($B39=$B38,$S38,0)+$R39</f>
        <v/>
      </c>
      <c r="T39" s="55">
        <f>$T38+$R39</f>
        <v/>
      </c>
      <c r="U39" s="55">
        <f>SUMIFS(tblMovement[Tonnes_t],tblMovement[Date],$A39,tblMovement[Is_Ore],0,tblMovement[Source_Type],"Pit")</f>
        <v/>
      </c>
      <c r="V39" s="55">
        <f>IF($B39=$B38,$V38,0)+$U39</f>
        <v/>
      </c>
      <c r="W39" s="55">
        <f>$W38+$U39</f>
        <v/>
      </c>
      <c r="X39" s="55">
        <f>$F39+$U39</f>
        <v/>
      </c>
      <c r="Y39" s="55">
        <f>IF($B39=$B38,$Y38,0)+$X39</f>
        <v/>
      </c>
      <c r="Z39" s="55">
        <f>$Z38+$X39</f>
        <v/>
      </c>
      <c r="AA39" s="56">
        <f>IFERROR(IF(($F39)&gt;0,($U39)/($F39),""),"")</f>
        <v/>
      </c>
      <c r="AB39" s="56">
        <f>IFERROR(IF(($G39)&gt;0,($V39)/($G39),""),"")</f>
        <v/>
      </c>
      <c r="AC39" s="56">
        <f>IFERROR(IF(($H39)&gt;0,($W39)/($H39),""),"")</f>
        <v/>
      </c>
      <c r="AD39" s="55">
        <f>SUMIFS(tblMovement[Tonnes_t],tblMovement[Date],$A39,tblMovement[Source_Type],"Stockpile")</f>
        <v/>
      </c>
      <c r="AE39" s="55">
        <f>IF($B39=$B38,$AE38,0)+$AD39</f>
        <v/>
      </c>
      <c r="AF39" s="55">
        <f>$AF38+$AD39</f>
        <v/>
      </c>
      <c r="AG39" s="55">
        <f>SUMIFS(tblMovement[Tonnes_t],tblMovement[Date],$A39)</f>
        <v/>
      </c>
      <c r="AH39" s="55">
        <f>IF($B39=$B38,$AH38,0)+$AG39</f>
        <v/>
      </c>
      <c r="AI39" s="55">
        <f>$AI38+$AG39</f>
        <v/>
      </c>
      <c r="AJ39" s="55">
        <f>$AG39-$X39-$AD39</f>
        <v/>
      </c>
      <c r="AK39" s="55">
        <f>IF($B39=$B38,$AK38,0)+$AJ39</f>
        <v/>
      </c>
      <c r="AL39" s="55">
        <f>$AL38+$AJ39</f>
        <v/>
      </c>
      <c r="AM39" s="55">
        <f>SUMIFS(tblMiningDaily[Drill_m],tblMiningDaily[Date],$A39)</f>
        <v/>
      </c>
      <c r="AN39" s="55">
        <f>IF($B39=$B38,$AN38,0)+$AM39</f>
        <v/>
      </c>
      <c r="AO39" s="55">
        <f>$AO38+$AM39</f>
        <v/>
      </c>
      <c r="AP39" s="55">
        <f>SUMIFS(tblMiningDaily[GC_Drill_m],tblMiningDaily[Date],$A39)</f>
        <v/>
      </c>
      <c r="AQ39" s="55">
        <f>IF($B39=$B38,$AQ38,0)+$AP39</f>
        <v/>
      </c>
      <c r="AR39" s="55">
        <f>$AR38+$AP39</f>
        <v/>
      </c>
      <c r="AS39" s="55">
        <f>SUMIFS(tblMiningDaily[Blast_t],tblMiningDaily[Date],$A39)</f>
        <v/>
      </c>
      <c r="AT39" s="55">
        <f>IF($B39=$B38,$AT38,0)+$AS39</f>
        <v/>
      </c>
      <c r="AU39" s="55">
        <f>$AU38+$AS39</f>
        <v/>
      </c>
      <c r="AV39" s="55">
        <f>SUMIFS(tblMiningDaily[Explosives_kg],tblMiningDaily[Date],$A39)</f>
        <v/>
      </c>
      <c r="AW39" s="55">
        <f>IF($B39=$B38,$AW38,0)+$AV39</f>
        <v/>
      </c>
      <c r="AX39" s="55">
        <f>$AX38+$AV39</f>
        <v/>
      </c>
      <c r="AY39" s="56">
        <f>IFERROR(IF(($AS39)&gt;0,($AV39)/($AS39),""),"")</f>
        <v/>
      </c>
      <c r="AZ39" s="56">
        <f>IFERROR(IF(($AT39)&gt;0,($AW39)/($AT39),""),"")</f>
        <v/>
      </c>
      <c r="BA39" s="56">
        <f>IFERROR(IF(($AU39)&gt;0,($AX39)/($AU39),""),"")</f>
        <v/>
      </c>
      <c r="BB39" s="55">
        <f>SUMIFS(tblMiningDaily[Diesel_L],tblMiningDaily[Date],$A39)</f>
        <v/>
      </c>
      <c r="BC39" s="55">
        <f>IF($B39=$B38,$BC38,0)+$BB39</f>
        <v/>
      </c>
      <c r="BD39" s="55">
        <f>$BD38+$BB39</f>
        <v/>
      </c>
      <c r="BE39" s="55">
        <f>SUMIFS(tblMiningDaily[Dewatering_m3],tblMiningDaily[Date],$A39)</f>
        <v/>
      </c>
      <c r="BF39" s="55">
        <f>IF($B39=$B38,$BF38,0)+$BE39</f>
        <v/>
      </c>
      <c r="BG39" s="55">
        <f>$BG38+$BE39</f>
        <v/>
      </c>
      <c r="BH39" s="57">
        <f>SUMIFS(tblFleet[Calendar_h],tblFleet[Date],$A39,tblFleet[Equipment_Class],"Excavator")</f>
        <v/>
      </c>
      <c r="BI39" s="57">
        <f>IF($B39=$B38,$BI38,0)+$BH39</f>
        <v/>
      </c>
      <c r="BJ39" s="57">
        <f>$BJ38+$BH39</f>
        <v/>
      </c>
      <c r="BK39" s="57">
        <f>SUMIFS(tblFleet[Available_h],tblFleet[Date],$A39,tblFleet[Equipment_Class],"Excavator")</f>
        <v/>
      </c>
      <c r="BL39" s="57">
        <f>IF($B39=$B38,$BL38,0)+$BK39</f>
        <v/>
      </c>
      <c r="BM39" s="57">
        <f>$BM38+$BK39</f>
        <v/>
      </c>
      <c r="BN39" s="57">
        <f>SUMIFS(tblFleet[Operating_h],tblFleet[Date],$A39,tblFleet[Equipment_Class],"Excavator")</f>
        <v/>
      </c>
      <c r="BO39" s="57">
        <f>IF($B39=$B38,$BO38,0)+$BN39</f>
        <v/>
      </c>
      <c r="BP39" s="57">
        <f>$BP38+$BN39</f>
        <v/>
      </c>
      <c r="BQ39" s="67">
        <f>IFERROR(IF(($BH39)&gt;0,($BK39)/($BH39),""),"")</f>
        <v/>
      </c>
      <c r="BR39" s="67">
        <f>IFERROR(IF(($BI39)&gt;0,($BL39)/($BI39),""),"")</f>
        <v/>
      </c>
      <c r="BS39" s="67">
        <f>IFERROR(IF(($BJ39)&gt;0,($BM39)/($BJ39),""),"")</f>
        <v/>
      </c>
      <c r="BT39" s="67">
        <f>IFERROR(IF(($BK39)&gt;0,($BN39)/($BK39),""),"")</f>
        <v/>
      </c>
      <c r="BU39" s="67">
        <f>IFERROR(IF(($BL39)&gt;0,($BO39)/($BL39),""),"")</f>
        <v/>
      </c>
      <c r="BV39" s="67">
        <f>IFERROR(IF(($BM39)&gt;0,($BP39)/($BM39),""),"")</f>
        <v/>
      </c>
      <c r="BW39" s="57">
        <f>SUMIFS(tblFleet[Calendar_h],tblFleet[Date],$A39,tblFleet[Equipment_Class],"Haul Truck")</f>
        <v/>
      </c>
      <c r="BX39" s="57">
        <f>IF($B39=$B38,$BX38,0)+$BW39</f>
        <v/>
      </c>
      <c r="BY39" s="57">
        <f>$BY38+$BW39</f>
        <v/>
      </c>
      <c r="BZ39" s="57">
        <f>SUMIFS(tblFleet[Available_h],tblFleet[Date],$A39,tblFleet[Equipment_Class],"Haul Truck")</f>
        <v/>
      </c>
      <c r="CA39" s="57">
        <f>IF($B39=$B38,$CA38,0)+$BZ39</f>
        <v/>
      </c>
      <c r="CB39" s="57">
        <f>$CB38+$BZ39</f>
        <v/>
      </c>
      <c r="CC39" s="57">
        <f>SUMIFS(tblFleet[Operating_h],tblFleet[Date],$A39,tblFleet[Equipment_Class],"Haul Truck")</f>
        <v/>
      </c>
      <c r="CD39" s="57">
        <f>IF($B39=$B38,$CD38,0)+$CC39</f>
        <v/>
      </c>
      <c r="CE39" s="57">
        <f>$CE38+$CC39</f>
        <v/>
      </c>
      <c r="CF39" s="67">
        <f>IFERROR(IF(($BW39)&gt;0,($BZ39)/($BW39),""),"")</f>
        <v/>
      </c>
      <c r="CG39" s="67">
        <f>IFERROR(IF(($BX39)&gt;0,($CA39)/($BX39),""),"")</f>
        <v/>
      </c>
      <c r="CH39" s="67">
        <f>IFERROR(IF(($BY39)&gt;0,($CB39)/($BY39),""),"")</f>
        <v/>
      </c>
      <c r="CI39" s="67">
        <f>IFERROR(IF(($BZ39)&gt;0,($CC39)/($BZ39),""),"")</f>
        <v/>
      </c>
      <c r="CJ39" s="67">
        <f>IFERROR(IF(($CA39)&gt;0,($CD39)/($CA39),""),"")</f>
        <v/>
      </c>
      <c r="CK39" s="67">
        <f>IFERROR(IF(($CB39)&gt;0,($CE39)/($CB39),""),"")</f>
        <v/>
      </c>
      <c r="CL39" s="55">
        <f>IFERROR(IF(($BN39)&gt;0,($X39+$AD39)/($BN39),""),"")</f>
        <v/>
      </c>
      <c r="CM39" s="55">
        <f>IFERROR(IF(($BO39)&gt;0,($Y39+$AE39)/($BO39),""),"")</f>
        <v/>
      </c>
      <c r="CN39" s="55">
        <f>IFERROR(IF(($BP39)&gt;0,($Z39+$AF39)/($BP39),""),"")</f>
        <v/>
      </c>
      <c r="CO39" s="55">
        <f>IFERROR(IF(($CC39)&gt;0,($X39+$AD39)/($CC39),""),"")</f>
        <v/>
      </c>
      <c r="CP39" s="55">
        <f>IFERROR(IF(($CD39)&gt;0,($Y39+$AE39)/($CD39),""),"")</f>
        <v/>
      </c>
      <c r="CQ39" s="55">
        <f>IFERROR(IF(($CE39)&gt;0,($Z39+$AF39)/($CE39),""),"")</f>
        <v/>
      </c>
      <c r="CR39" s="55">
        <f>SUMIFS(tblPlant[Crushed_t],tblPlant[Date],$A39)</f>
        <v/>
      </c>
      <c r="CS39" s="55">
        <f>IF($B39=$B38,$CS38,0)+$CR39</f>
        <v/>
      </c>
      <c r="CT39" s="55">
        <f>$CT38+$CR39</f>
        <v/>
      </c>
      <c r="CU39" s="55">
        <f>SUMIFS(tblPlant[Milled_t],tblPlant[Date],$A39)</f>
        <v/>
      </c>
      <c r="CV39" s="55">
        <f>IF($B39=$B38,$CV38,0)+$CU39</f>
        <v/>
      </c>
      <c r="CW39" s="55">
        <f>$CW38+$CU39</f>
        <v/>
      </c>
      <c r="CX39" s="55">
        <f>SUMIFS(tblPlant[Feed_oz],tblPlant[Date],$A39)</f>
        <v/>
      </c>
      <c r="CY39" s="55">
        <f>IF($B39=$B38,$CY38,0)+$CX39</f>
        <v/>
      </c>
      <c r="CZ39" s="55">
        <f>$CZ38+$CX39</f>
        <v/>
      </c>
      <c r="DA39" s="55">
        <f>SUMIFS(tblPlant[Tails_oz],tblPlant[Date],$A39)</f>
        <v/>
      </c>
      <c r="DB39" s="55">
        <f>IF($B39=$B38,$DB38,0)+$DA39</f>
        <v/>
      </c>
      <c r="DC39" s="55">
        <f>$DC38+$DA39</f>
        <v/>
      </c>
      <c r="DD39" s="55">
        <f>SUMIFS(tblPlant[Recovered_oz],tblPlant[Date],$A39)</f>
        <v/>
      </c>
      <c r="DE39" s="55">
        <f>IF($B39=$B38,$DE38,0)+$DD39</f>
        <v/>
      </c>
      <c r="DF39" s="55">
        <f>$DF38+$DD39</f>
        <v/>
      </c>
      <c r="DG39" s="55">
        <f>SUMIFS(tblPlant[Milled_t],tblPlant[Date],$A39,tblPlant[Head_Grade_gpt],"&lt;&gt;")</f>
        <v/>
      </c>
      <c r="DH39" s="55">
        <f>IF($B39=$B38,$DH38,0)+$DG39</f>
        <v/>
      </c>
      <c r="DI39" s="55">
        <f>$DI38+$DG39</f>
        <v/>
      </c>
      <c r="DJ39" s="55">
        <f>SUMIFS(tblPlant[Milled_t],tblPlant[Date],$A39,tblPlant[Tails_Grade_gpt],"&lt;&gt;")</f>
        <v/>
      </c>
      <c r="DK39" s="55">
        <f>IF($B39=$B38,$DK38,0)+$DJ39</f>
        <v/>
      </c>
      <c r="DL39" s="55">
        <f>$DL38+$DJ39</f>
        <v/>
      </c>
      <c r="DM39" s="55">
        <f>SUMIFS(tblPlant[Feed_oz],tblPlant[Date],$A39,tblPlant[Tails_Grade_gpt],"&lt;&gt;")</f>
        <v/>
      </c>
      <c r="DN39" s="55">
        <f>IF($B39=$B38,$DN38,0)+$DM39</f>
        <v/>
      </c>
      <c r="DO39" s="55">
        <f>$DO38+$DM39</f>
        <v/>
      </c>
      <c r="DP39" s="55">
        <f>SUMIFS(tblPlant[Milled_t],tblPlant[Date],$A39,tblPlant[Mill_Run_h],"&lt;&gt;")</f>
        <v/>
      </c>
      <c r="DQ39" s="55">
        <f>IF($B39=$B38,$DQ38,0)+$DP39</f>
        <v/>
      </c>
      <c r="DR39" s="55">
        <f>$DR38+$DP39</f>
        <v/>
      </c>
      <c r="DS39" s="56">
        <f>IFERROR(IF(($DG39)&gt;0,($CX39*cfg_TroyOz)/($DG39),""),"")</f>
        <v/>
      </c>
      <c r="DT39" s="56">
        <f>IFERROR(IF(($DH39)&gt;0,($CY39*cfg_TroyOz)/($DH39),""),"")</f>
        <v/>
      </c>
      <c r="DU39" s="56">
        <f>IFERROR(IF(($DI39)&gt;0,($CZ39*cfg_TroyOz)/($DI39),""),"")</f>
        <v/>
      </c>
      <c r="DV39" s="56">
        <f>IFERROR(IF(($DJ39)&gt;0,($DA39*cfg_TroyOz)/($DJ39),""),"")</f>
        <v/>
      </c>
      <c r="DW39" s="56">
        <f>IFERROR(IF(($DK39)&gt;0,($DB39*cfg_TroyOz)/($DK39),""),"")</f>
        <v/>
      </c>
      <c r="DX39" s="56">
        <f>IFERROR(IF(($DL39)&gt;0,($DC39*cfg_TroyOz)/($DL39),""),"")</f>
        <v/>
      </c>
      <c r="DY39" s="67">
        <f>IFERROR(IF(($DM39)&gt;0,($DD39)/($DM39),""),"")</f>
        <v/>
      </c>
      <c r="DZ39" s="67">
        <f>IFERROR(IF(($DN39)&gt;0,($DE39)/($DN39),""),"")</f>
        <v/>
      </c>
      <c r="EA39" s="67">
        <f>IFERROR(IF(($DO39)&gt;0,($DF39)/($DO39),""),"")</f>
        <v/>
      </c>
      <c r="EB39" s="55">
        <f>SUMIFS(tblPlant[Gravity_Gold_oz],tblPlant[Date],$A39)</f>
        <v/>
      </c>
      <c r="EC39" s="55">
        <f>IF($B39=$B38,$EC38,0)+$EB39</f>
        <v/>
      </c>
      <c r="ED39" s="55">
        <f>$ED38+$EB39</f>
        <v/>
      </c>
      <c r="EE39" s="67">
        <f>IFERROR(IF(($DD39)&gt;0,($EB39)/($DD39),""),"")</f>
        <v/>
      </c>
      <c r="EF39" s="67">
        <f>IFERROR(IF(($DE39)&gt;0,($EC39)/($DE39),""),"")</f>
        <v/>
      </c>
      <c r="EG39" s="67">
        <f>IFERROR(IF(($DF39)&gt;0,($ED39)/($DF39),""),"")</f>
        <v/>
      </c>
      <c r="EH39" s="55">
        <f>SUMIFS(tblPlant[Gold_Poured_oz],tblPlant[Date],$A39)</f>
        <v/>
      </c>
      <c r="EI39" s="55">
        <f>IF($B39=$B38,$EI38,0)+$EH39</f>
        <v/>
      </c>
      <c r="EJ39" s="55">
        <f>$EJ38+$EH39</f>
        <v/>
      </c>
      <c r="EK39" s="57">
        <f>SUMIFS(tblPlant[Mill_Run_h],tblPlant[Date],$A39)</f>
        <v/>
      </c>
      <c r="EL39" s="57">
        <f>IF($B39=$B38,$EL38,0)+$EK39</f>
        <v/>
      </c>
      <c r="EM39" s="57">
        <f>$EM38+$EK39</f>
        <v/>
      </c>
      <c r="EN39" s="57">
        <f>SUMIFS(tblPlant[Mill_Planned_Maint_h],tblPlant[Date],$A39)</f>
        <v/>
      </c>
      <c r="EO39" s="57">
        <f>IF($B39=$B38,$EO38,0)+$EN39</f>
        <v/>
      </c>
      <c r="EP39" s="57">
        <f>$EP38+$EN39</f>
        <v/>
      </c>
      <c r="EQ39" s="57">
        <f>SUMIFS(tblPlant[Mill_Unplanned_Down_h],tblPlant[Date],$A39)</f>
        <v/>
      </c>
      <c r="ER39" s="57">
        <f>IF($B39=$B38,$ER38,0)+$EQ39</f>
        <v/>
      </c>
      <c r="ES39" s="57">
        <f>$ES38+$EQ39</f>
        <v/>
      </c>
      <c r="ET39" s="57">
        <f>IF(COUNTIFS(tblPlant[Date],$A39,tblPlant[Mill_Run_h],"&lt;&gt;")+COUNTIFS(tblPlant[Date],$A39,tblPlant[Mill_Planned_Maint_h],"&lt;&gt;")+COUNTIFS(tblPlant[Date],$A39,tblPlant[Mill_Unplanned_Down_h],"&lt;&gt;")&gt;0,cfg_HoursPerDay,0)</f>
        <v/>
      </c>
      <c r="EU39" s="57">
        <f>IF($B39=$B38,$EU38,0)+$ET39</f>
        <v/>
      </c>
      <c r="EV39" s="57">
        <f>$EV38+$ET39</f>
        <v/>
      </c>
      <c r="EW39" s="57">
        <f>SUMIFS(tblPlant[Crusher_Run_h],tblPlant[Date],$A39)</f>
        <v/>
      </c>
      <c r="EX39" s="57">
        <f>IF($B39=$B38,$EX38,0)+$EW39</f>
        <v/>
      </c>
      <c r="EY39" s="57">
        <f>$EY38+$EW39</f>
        <v/>
      </c>
      <c r="EZ39" s="55">
        <f>IFERROR(IF(($EK39)&gt;0,($DP39)/($EK39),""),"")</f>
        <v/>
      </c>
      <c r="FA39" s="55">
        <f>IFERROR(IF(($EL39)&gt;0,($DQ39)/($EL39),""),"")</f>
        <v/>
      </c>
      <c r="FB39" s="55">
        <f>IFERROR(IF(($EM39)&gt;0,($DR39)/($EM39),""),"")</f>
        <v/>
      </c>
      <c r="FC39" s="67">
        <f>IFERROR(IF(($ET39)&gt;0,($ET39-$EN39-$EQ39)/($ET39),""),"")</f>
        <v/>
      </c>
      <c r="FD39" s="67">
        <f>IFERROR(IF(($EU39)&gt;0,($EU39-$EO39-$ER39)/($EU39),""),"")</f>
        <v/>
      </c>
      <c r="FE39" s="67">
        <f>IFERROR(IF(($EV39)&gt;0,($EV39-$EP39-$ES39)/($EV39),""),"")</f>
        <v/>
      </c>
      <c r="FF39" s="67">
        <f>IFERROR(IF(($ET39-$EN39-$EQ39)&gt;0,($EK39)/($ET39-$EN39-$EQ39),""),"")</f>
        <v/>
      </c>
      <c r="FG39" s="67">
        <f>IFERROR(IF(($EU39-$EO39-$ER39)&gt;0,($EL39)/($EU39-$EO39-$ER39),""),"")</f>
        <v/>
      </c>
      <c r="FH39" s="67">
        <f>IFERROR(IF(($EV39-$EP39-$ES39)&gt;0,($EM39)/($EV39-$EP39-$ES39),""),"")</f>
        <v/>
      </c>
      <c r="FI39" s="55">
        <f>SUMIFS(tblPlant[Cyanide_kg],tblPlant[Date],$A39)</f>
        <v/>
      </c>
      <c r="FJ39" s="55">
        <f>IF($B39=$B38,$FJ38,0)+$FI39</f>
        <v/>
      </c>
      <c r="FK39" s="55">
        <f>$FK38+$FI39</f>
        <v/>
      </c>
      <c r="FL39" s="55">
        <f>SUMIFS(tblPlant[Lime_kg],tblPlant[Date],$A39)</f>
        <v/>
      </c>
      <c r="FM39" s="55">
        <f>IF($B39=$B38,$FM38,0)+$FL39</f>
        <v/>
      </c>
      <c r="FN39" s="55">
        <f>$FN38+$FL39</f>
        <v/>
      </c>
      <c r="FO39" s="55">
        <f>SUMIFS(tblPlant[Grinding_Media_kg],tblPlant[Date],$A39)</f>
        <v/>
      </c>
      <c r="FP39" s="55">
        <f>IF($B39=$B38,$FP38,0)+$FO39</f>
        <v/>
      </c>
      <c r="FQ39" s="55">
        <f>$FQ38+$FO39</f>
        <v/>
      </c>
      <c r="FR39" s="55">
        <f>SUMIFS(tblPlant[Power_kWh],tblPlant[Date],$A39)</f>
        <v/>
      </c>
      <c r="FS39" s="55">
        <f>IF($B39=$B38,$FS38,0)+$FR39</f>
        <v/>
      </c>
      <c r="FT39" s="55">
        <f>$FT38+$FR39</f>
        <v/>
      </c>
      <c r="FU39" s="55">
        <f>SUMIFS(tblPlant[Raw_Water_m3],tblPlant[Date],$A39)</f>
        <v/>
      </c>
      <c r="FV39" s="55">
        <f>IF($B39=$B38,$FV38,0)+$FU39</f>
        <v/>
      </c>
      <c r="FW39" s="55">
        <f>$FW38+$FU39</f>
        <v/>
      </c>
      <c r="FX39" s="56">
        <f>IFERROR(IF(($CU39)&gt;0,($FI39)/($CU39),""),"")</f>
        <v/>
      </c>
      <c r="FY39" s="56">
        <f>IFERROR(IF(($CV39)&gt;0,($FJ39)/($CV39),""),"")</f>
        <v/>
      </c>
      <c r="FZ39" s="56">
        <f>IFERROR(IF(($CW39)&gt;0,($FK39)/($CW39),""),"")</f>
        <v/>
      </c>
      <c r="GA39" s="56">
        <f>IFERROR(IF(($CU39)&gt;0,($FL39)/($CU39),""),"")</f>
        <v/>
      </c>
      <c r="GB39" s="56">
        <f>IFERROR(IF(($CV39)&gt;0,($FM39)/($CV39),""),"")</f>
        <v/>
      </c>
      <c r="GC39" s="56">
        <f>IFERROR(IF(($CW39)&gt;0,($FN39)/($CW39),""),"")</f>
        <v/>
      </c>
      <c r="GD39" s="56">
        <f>IFERROR(IF(($CU39)&gt;0,($FO39)/($CU39),""),"")</f>
        <v/>
      </c>
      <c r="GE39" s="56">
        <f>IFERROR(IF(($CV39)&gt;0,($FP39)/($CV39),""),"")</f>
        <v/>
      </c>
      <c r="GF39" s="56">
        <f>IFERROR(IF(($CW39)&gt;0,($FQ39)/($CW39),""),"")</f>
        <v/>
      </c>
      <c r="GG39" s="79">
        <f>IFERROR(IF(($CU39)&gt;0,($FR39)/($CU39),""),"")</f>
        <v/>
      </c>
      <c r="GH39" s="79">
        <f>IFERROR(IF(($CV39)&gt;0,($FS39)/($CV39),""),"")</f>
        <v/>
      </c>
      <c r="GI39" s="79">
        <f>IFERROR(IF(($CW39)&gt;0,($FT39)/($CW39),""),"")</f>
        <v/>
      </c>
      <c r="GJ39" s="56">
        <f>IFERROR(IF(($CU39)&gt;0,($FU39)/($CU39),""),"")</f>
        <v/>
      </c>
      <c r="GK39" s="56">
        <f>IFERROR(IF(($CV39)&gt;0,($FV39)/($CV39),""),"")</f>
        <v/>
      </c>
      <c r="GL39" s="56">
        <f>IFERROR(IF(($CW39)&gt;0,($FW39)/($CW39),""),"")</f>
        <v/>
      </c>
      <c r="GM39" s="55">
        <f>IF(SUMIFS(tblPlant[GIC_oz],tblPlant[Date],$A39)&gt;0,SUMIFS(tblPlant[GIC_oz],tblPlant[Date],$A39),"")</f>
        <v/>
      </c>
      <c r="GN39" s="55">
        <f>SUMIFS(tblGold[Gold_oz],tblGold[Date],$A39,tblGold[Type],"Shipment")</f>
        <v/>
      </c>
      <c r="GO39" s="55">
        <f>IF($B39=$B38,$GO38,0)+$GN39</f>
        <v/>
      </c>
      <c r="GP39" s="55">
        <f>$GP38+$GN39</f>
        <v/>
      </c>
      <c r="GQ39" s="55">
        <f>SUMIFS(tblGold[Gold_oz],tblGold[Date],$A39,tblGold[Type],"Sale")</f>
        <v/>
      </c>
      <c r="GR39" s="55">
        <f>IF($B39=$B38,$GR38,0)+$GQ39</f>
        <v/>
      </c>
      <c r="GS39" s="55">
        <f>$GS38+$GQ39</f>
        <v/>
      </c>
      <c r="GT39" s="55">
        <f>SUMIFS(tblGold[Dore_kg],tblGold[Date],$A39,tblGold[Type],"Shipment")</f>
        <v/>
      </c>
      <c r="GU39" s="55">
        <f>IF($B39=$B38,$GU38,0)+$GT39</f>
        <v/>
      </c>
      <c r="GV39" s="55">
        <f>$GV38+$GT39</f>
        <v/>
      </c>
      <c r="GW39" s="57">
        <f>SUMIFS(tblSafety[Hours_Total],tblSafety[Date],$A39)</f>
        <v/>
      </c>
      <c r="GX39" s="57">
        <f>IF($B39=$B38,$GX38,0)+$GW39</f>
        <v/>
      </c>
      <c r="GY39" s="57">
        <f>$GY38+$GW39</f>
        <v/>
      </c>
      <c r="GZ39" s="62">
        <f>SUMIFS(tblSafety[Fatality],tblSafety[Date],$A39)</f>
        <v/>
      </c>
      <c r="HA39" s="62">
        <f>IF($B39=$B38,$HA38,0)+$GZ39</f>
        <v/>
      </c>
      <c r="HB39" s="62">
        <f>$HB38+$GZ39</f>
        <v/>
      </c>
      <c r="HC39" s="62">
        <f>SUMIFS(tblSafety[LTI],tblSafety[Date],$A39)</f>
        <v/>
      </c>
      <c r="HD39" s="62">
        <f>IF($B39=$B38,$HD38,0)+$HC39</f>
        <v/>
      </c>
      <c r="HE39" s="62">
        <f>$HE38+$HC39</f>
        <v/>
      </c>
      <c r="HF39" s="62">
        <f>SUMIFS(tblSafety[RWI],tblSafety[Date],$A39)</f>
        <v/>
      </c>
      <c r="HG39" s="62">
        <f>IF($B39=$B38,$HG38,0)+$HF39</f>
        <v/>
      </c>
      <c r="HH39" s="62">
        <f>$HH38+$HF39</f>
        <v/>
      </c>
      <c r="HI39" s="62">
        <f>SUMIFS(tblSafety[MTI],tblSafety[Date],$A39)</f>
        <v/>
      </c>
      <c r="HJ39" s="62">
        <f>IF($B39=$B38,$HJ38,0)+$HI39</f>
        <v/>
      </c>
      <c r="HK39" s="62">
        <f>$HK38+$HI39</f>
        <v/>
      </c>
      <c r="HL39" s="62">
        <f>SUMIFS(tblSafety[FAI],tblSafety[Date],$A39)</f>
        <v/>
      </c>
      <c r="HM39" s="62">
        <f>IF($B39=$B38,$HM38,0)+$HL39</f>
        <v/>
      </c>
      <c r="HN39" s="62">
        <f>$HN38+$HL39</f>
        <v/>
      </c>
      <c r="HO39" s="62">
        <f>SUMIFS(tblSafety[Recordables],tblSafety[Date],$A39)</f>
        <v/>
      </c>
      <c r="HP39" s="62">
        <f>IF($B39=$B38,$HP38,0)+$HO39</f>
        <v/>
      </c>
      <c r="HQ39" s="62">
        <f>$HQ38+$HO39</f>
        <v/>
      </c>
      <c r="HR39" s="62">
        <f>SUMIFS(tblSafety[Near_Miss],tblSafety[Date],$A39)</f>
        <v/>
      </c>
      <c r="HS39" s="62">
        <f>IF($B39=$B38,$HS38,0)+$HR39</f>
        <v/>
      </c>
      <c r="HT39" s="62">
        <f>$HT38+$HR39</f>
        <v/>
      </c>
      <c r="HU39" s="62">
        <f>SUMIFS(tblSafety[Hazard_Reports],tblSafety[Date],$A39)</f>
        <v/>
      </c>
      <c r="HV39" s="62">
        <f>IF($B39=$B38,$HV38,0)+$HU39</f>
        <v/>
      </c>
      <c r="HW39" s="62">
        <f>$HW38+$HU39</f>
        <v/>
      </c>
      <c r="HX39" s="62">
        <f>SUMIFS(tblSafety[HPI],tblSafety[Date],$A39)</f>
        <v/>
      </c>
      <c r="HY39" s="62">
        <f>IF($B39=$B38,$HY38,0)+$HX39</f>
        <v/>
      </c>
      <c r="HZ39" s="62">
        <f>$HZ38+$HX39</f>
        <v/>
      </c>
      <c r="IA39" s="62">
        <f>SUMIFS(tblSafety[Env_Incidents],tblSafety[Date],$A39)</f>
        <v/>
      </c>
      <c r="IB39" s="62">
        <f>IF($B39=$B38,$IB38,0)+$IA39</f>
        <v/>
      </c>
      <c r="IC39" s="62">
        <f>$IC38+$IA39</f>
        <v/>
      </c>
      <c r="ID39" s="62">
        <f>SUMIFS(tblSafety[Community_Incidents],tblSafety[Date],$A39)</f>
        <v/>
      </c>
      <c r="IE39" s="62">
        <f>IF($B39=$B38,$IE38,0)+$ID39</f>
        <v/>
      </c>
      <c r="IF39" s="62">
        <f>$IF38+$ID39</f>
        <v/>
      </c>
      <c r="IG39" s="62">
        <f>SUMIFS(tblSafety[Vehicle_Incidents],tblSafety[Date],$A39)</f>
        <v/>
      </c>
      <c r="IH39" s="62">
        <f>IF($B39=$B38,$IH38,0)+$IG39</f>
        <v/>
      </c>
      <c r="II39" s="62">
        <f>$II38+$IG39</f>
        <v/>
      </c>
      <c r="IJ39" s="62">
        <f>SUMIFS(tblSafety[Toolbox_Talks],tblSafety[Date],$A39)</f>
        <v/>
      </c>
      <c r="IK39" s="62">
        <f>IF($B39=$B38,$IK38,0)+$IJ39</f>
        <v/>
      </c>
      <c r="IL39" s="62">
        <f>$IL38+$IJ39</f>
        <v/>
      </c>
      <c r="IM39" s="62">
        <f>SUMIFS(tblSafety[Inspections],tblSafety[Date],$A39)</f>
        <v/>
      </c>
      <c r="IN39" s="62">
        <f>IF($B39=$B38,$IN38,0)+$IM39</f>
        <v/>
      </c>
      <c r="IO39" s="62">
        <f>$IO38+$IM39</f>
        <v/>
      </c>
      <c r="IP39" s="56">
        <f>IFERROR((SUMIFS(tblSafety[Recordables],tblSafety[Date],"&gt;="&amp;EDATE($E39,-12),tblSafety[Date],"&lt;="&amp;$A39)+SUMIFS(tblSafetyHistory[Recordables],tblSafetyHistory[Month],"&gt;="&amp;EDATE($E39,-12),tblSafetyHistory[Month],"&lt;"&amp;$E39,tblSafetyHistory[Use],1))/(SUMIFS(tblSafety[Hours_Total],tblSafety[Date],"&gt;="&amp;EDATE($E39,-12),tblSafety[Date],"&lt;="&amp;$A39)+SUMIFS(tblSafetyHistory[Hours_Total],tblSafetyHistory[Month],"&gt;="&amp;EDATE($E39,-12),tblSafetyHistory[Month],"&lt;"&amp;$E39,tblSafetyHistory[Use],1))*cfg_RateBasisHours,"")</f>
        <v/>
      </c>
      <c r="IQ39" s="56">
        <f>IFERROR((SUMIFS(tblSafety[LTI],tblSafety[Date],"&gt;="&amp;EDATE($E39,-12),tblSafety[Date],"&lt;="&amp;$A39)+SUMIFS(tblSafetyHistory[LTI],tblSafetyHistory[Month],"&gt;="&amp;EDATE($E39,-12),tblSafetyHistory[Month],"&lt;"&amp;$E39,tblSafetyHistory[Use],1))/(SUMIFS(tblSafety[Hours_Total],tblSafety[Date],"&gt;="&amp;EDATE($E39,-12),tblSafety[Date],"&lt;="&amp;$A39)+SUMIFS(tblSafetyHistory[Hours_Total],tblSafetyHistory[Month],"&gt;="&amp;EDATE($E39,-12),tblSafetyHistory[Month],"&lt;"&amp;$E39,tblSafetyHistory[Use],1))*cfg_RateBasisHours,"")</f>
        <v/>
      </c>
      <c r="IR39" s="62">
        <f>IF(MAX(N(cfg_PriorLTIDate),_xlfn.MAXIFS(tblSafety[Date],tblSafety[LTI],"&gt;0",tblSafety[Date],"&lt;="&amp;$A39))=0,"",$A39-MAX(N(cfg_PriorLTIDate),_xlfn.MAXIFS(tblSafety[Date],tblSafety[LTI],"&gt;0",tblSafety[Date],"&lt;="&amp;$A39)))</f>
        <v/>
      </c>
      <c r="IS39" s="55">
        <f>SUMIFS(tblBudget[Ore_Mined_t],tblBudget[Month],$E39)</f>
        <v/>
      </c>
      <c r="IT39" s="55">
        <f>$IS39*$C39/$D39</f>
        <v/>
      </c>
      <c r="IU39" s="55">
        <f>SUMIFS(tblBudget[Ore_Mined_t],tblBudget[Month],"&lt;"&amp;$E39)+$IT39</f>
        <v/>
      </c>
      <c r="IV39" s="55">
        <f>SUMIFS(tblBudget[Ore_oz],tblBudget[Month],$E39)</f>
        <v/>
      </c>
      <c r="IW39" s="55">
        <f>$IV39*$C39/$D39</f>
        <v/>
      </c>
      <c r="IX39" s="55">
        <f>SUMIFS(tblBudget[Ore_oz],tblBudget[Month],"&lt;"&amp;$E39)+$IW39</f>
        <v/>
      </c>
      <c r="IY39" s="55">
        <f>SUMIFS(tblBudget[Ore_Mined_t],tblBudget[Month],$E39)</f>
        <v/>
      </c>
      <c r="IZ39" s="55">
        <f>$IY39*$C39/$D39</f>
        <v/>
      </c>
      <c r="JA39" s="55">
        <f>SUMIFS(tblBudget[Ore_Mined_t],tblBudget[Month],"&lt;"&amp;$E39)+$IZ39</f>
        <v/>
      </c>
      <c r="JB39" s="56">
        <f>IFERROR(IF(($IY39)&gt;0,($IV39*cfg_TroyOz)/($IY39),""),"")</f>
        <v/>
      </c>
      <c r="JC39" s="56">
        <f>IFERROR(IF(($IZ39)&gt;0,($IW39*cfg_TroyOz)/($IZ39),""),"")</f>
        <v/>
      </c>
      <c r="JD39" s="56">
        <f>IFERROR(IF(($JA39)&gt;0,($IX39*cfg_TroyOz)/($JA39),""),"")</f>
        <v/>
      </c>
      <c r="JE39" s="55">
        <f>SUMIFS(tblBudget[Waste_t],tblBudget[Month],$E39)</f>
        <v/>
      </c>
      <c r="JF39" s="55">
        <f>$JE39*$C39/$D39</f>
        <v/>
      </c>
      <c r="JG39" s="55">
        <f>SUMIFS(tblBudget[Waste_t],tblBudget[Month],"&lt;"&amp;$E39)+$JF39</f>
        <v/>
      </c>
      <c r="JH39" s="55">
        <f>SUMIFS(tblBudget[TMM_t],tblBudget[Month],$E39)</f>
        <v/>
      </c>
      <c r="JI39" s="55">
        <f>$JH39*$C39/$D39</f>
        <v/>
      </c>
      <c r="JJ39" s="55">
        <f>SUMIFS(tblBudget[TMM_t],tblBudget[Month],"&lt;"&amp;$E39)+$JI39</f>
        <v/>
      </c>
      <c r="JK39" s="56">
        <f>IFERROR(IF(($IS39)&gt;0,($JE39)/($IS39),""),"")</f>
        <v/>
      </c>
      <c r="JL39" s="56">
        <f>IFERROR(IF(($IT39)&gt;0,($JF39)/($IT39),""),"")</f>
        <v/>
      </c>
      <c r="JM39" s="56">
        <f>IFERROR(IF(($IU39)&gt;0,($JG39)/($IU39),""),"")</f>
        <v/>
      </c>
      <c r="JN39" s="55">
        <f>SUMIFS(tblBudget[Drill_m],tblBudget[Month],$E39)</f>
        <v/>
      </c>
      <c r="JO39" s="55">
        <f>$JN39*$C39/$D39</f>
        <v/>
      </c>
      <c r="JP39" s="55">
        <f>SUMIFS(tblBudget[Drill_m],tblBudget[Month],"&lt;"&amp;$E39)+$JO39</f>
        <v/>
      </c>
      <c r="JQ39" s="55">
        <f>SUMIFS(tblBudget[Diesel_L],tblBudget[Month],$E39)</f>
        <v/>
      </c>
      <c r="JR39" s="55">
        <f>$JQ39*$C39/$D39</f>
        <v/>
      </c>
      <c r="JS39" s="55">
        <f>SUMIFS(tblBudget[Diesel_L],tblBudget[Month],"&lt;"&amp;$E39)+$JR39</f>
        <v/>
      </c>
      <c r="JT39" s="55">
        <f>SUMIFS(tblBudget[Milled_t],tblBudget[Month],$E39)</f>
        <v/>
      </c>
      <c r="JU39" s="55">
        <f>$JT39*$C39/$D39</f>
        <v/>
      </c>
      <c r="JV39" s="55">
        <f>SUMIFS(tblBudget[Milled_t],tblBudget[Month],"&lt;"&amp;$E39)+$JU39</f>
        <v/>
      </c>
      <c r="JW39" s="55">
        <f>SUMIFS(tblBudget[Feed_oz],tblBudget[Month],$E39)</f>
        <v/>
      </c>
      <c r="JX39" s="55">
        <f>$JW39*$C39/$D39</f>
        <v/>
      </c>
      <c r="JY39" s="55">
        <f>SUMIFS(tblBudget[Feed_oz],tblBudget[Month],"&lt;"&amp;$E39)+$JX39</f>
        <v/>
      </c>
      <c r="JZ39" s="55">
        <f>SUMIFS(tblBudget[Recovered_oz],tblBudget[Month],$E39)</f>
        <v/>
      </c>
      <c r="KA39" s="55">
        <f>$JZ39*$C39/$D39</f>
        <v/>
      </c>
      <c r="KB39" s="55">
        <f>SUMIFS(tblBudget[Recovered_oz],tblBudget[Month],"&lt;"&amp;$E39)+$KA39</f>
        <v/>
      </c>
      <c r="KC39" s="55">
        <f>SUMIFS(tblBudget[Milled_t],tblBudget[Month],$E39)</f>
        <v/>
      </c>
      <c r="KD39" s="55">
        <f>$KC39*$C39/$D39</f>
        <v/>
      </c>
      <c r="KE39" s="55">
        <f>SUMIFS(tblBudget[Milled_t],tblBudget[Month],"&lt;"&amp;$E39)+$KD39</f>
        <v/>
      </c>
      <c r="KF39" s="55">
        <f>SUMIFS(tblBudget[Feed_oz],tblBudget[Month],$E39)</f>
        <v/>
      </c>
      <c r="KG39" s="55">
        <f>$KF39*$C39/$D39</f>
        <v/>
      </c>
      <c r="KH39" s="55">
        <f>SUMIFS(tblBudget[Feed_oz],tblBudget[Month],"&lt;"&amp;$E39)+$KG39</f>
        <v/>
      </c>
      <c r="KI39" s="56">
        <f>IFERROR(IF(($KC39)&gt;0,($JW39*cfg_TroyOz)/($KC39),""),"")</f>
        <v/>
      </c>
      <c r="KJ39" s="56">
        <f>IFERROR(IF(($KD39)&gt;0,($JX39*cfg_TroyOz)/($KD39),""),"")</f>
        <v/>
      </c>
      <c r="KK39" s="56">
        <f>IFERROR(IF(($KE39)&gt;0,($JY39*cfg_TroyOz)/($KE39),""),"")</f>
        <v/>
      </c>
      <c r="KL39" s="67">
        <f>IFERROR(IF(($KF39)&gt;0,($JZ39)/($KF39),""),"")</f>
        <v/>
      </c>
      <c r="KM39" s="67">
        <f>IFERROR(IF(($KG39)&gt;0,($KA39)/($KG39),""),"")</f>
        <v/>
      </c>
      <c r="KN39" s="67">
        <f>IFERROR(IF(($KH39)&gt;0,($KB39)/($KH39),""),"")</f>
        <v/>
      </c>
      <c r="KO39" s="55">
        <f>SUMIFS(tblBudget[Gold_Poured_oz],tblBudget[Month],$E39)</f>
        <v/>
      </c>
      <c r="KP39" s="55">
        <f>$KO39*$C39/$D39</f>
        <v/>
      </c>
      <c r="KQ39" s="55">
        <f>SUMIFS(tblBudget[Gold_Poured_oz],tblBudget[Month],"&lt;"&amp;$E39)+$KP39</f>
        <v/>
      </c>
      <c r="KR39" s="57">
        <f>SUMIFS(tblBudget[Hours_Worked],tblBudget[Month],$E39)</f>
        <v/>
      </c>
      <c r="KS39" s="57">
        <f>$KR39*$C39/$D39</f>
        <v/>
      </c>
      <c r="KT39" s="57">
        <f>SUMIFS(tblBudget[Hours_Worked],tblBudget[Month],"&lt;"&amp;$E39)+$KS39</f>
        <v/>
      </c>
    </row>
    <row r="40">
      <c r="A40" s="54" t="n">
        <v>46061</v>
      </c>
      <c r="B40">
        <f>MONTH($A40)</f>
        <v/>
      </c>
      <c r="C40">
        <f>DAY($A40)</f>
        <v/>
      </c>
      <c r="D40">
        <f>DAY(EOMONTH($A40,0))</f>
        <v/>
      </c>
      <c r="E40" s="54">
        <f>DATE(YEAR($A40),MONTH($A40),1)</f>
        <v/>
      </c>
      <c r="F40" s="55">
        <f>SUMIFS(tblMovement[Tonnes_t],tblMovement[Date],$A40,tblMovement[Is_Ore],1,tblMovement[Source_Type],"Pit")</f>
        <v/>
      </c>
      <c r="G40" s="55">
        <f>IF($B40=$B39,$G39,0)+$F40</f>
        <v/>
      </c>
      <c r="H40" s="55">
        <f>$H39+$F40</f>
        <v/>
      </c>
      <c r="I40" s="55">
        <f>SUMIFS(tblMovement[Ore_oz],tblMovement[Date],$A40,tblMovement[Source_Type],"Pit")</f>
        <v/>
      </c>
      <c r="J40" s="55">
        <f>IF($B40=$B39,$J39,0)+$I40</f>
        <v/>
      </c>
      <c r="K40" s="55">
        <f>$K39+$I40</f>
        <v/>
      </c>
      <c r="L40" s="55">
        <f>SUMIFS(tblMovement[Tonnes_t],tblMovement[Date],$A40,tblMovement[Is_Ore],1,tblMovement[Source_Type],"Pit",tblMovement[Grade_gpt],"&lt;&gt;")</f>
        <v/>
      </c>
      <c r="M40" s="55">
        <f>IF($B40=$B39,$M39,0)+$L40</f>
        <v/>
      </c>
      <c r="N40" s="55">
        <f>$N39+$L40</f>
        <v/>
      </c>
      <c r="O40" s="56">
        <f>IFERROR(IF(($L40)&gt;0,($I40*cfg_TroyOz)/($L40),""),"")</f>
        <v/>
      </c>
      <c r="P40" s="56">
        <f>IFERROR(IF(($M40)&gt;0,($J40*cfg_TroyOz)/($M40),""),"")</f>
        <v/>
      </c>
      <c r="Q40" s="56">
        <f>IFERROR(IF(($N40)&gt;0,($K40*cfg_TroyOz)/($N40),""),"")</f>
        <v/>
      </c>
      <c r="R40" s="55">
        <f>$F40-$L40</f>
        <v/>
      </c>
      <c r="S40" s="55">
        <f>IF($B40=$B39,$S39,0)+$R40</f>
        <v/>
      </c>
      <c r="T40" s="55">
        <f>$T39+$R40</f>
        <v/>
      </c>
      <c r="U40" s="55">
        <f>SUMIFS(tblMovement[Tonnes_t],tblMovement[Date],$A40,tblMovement[Is_Ore],0,tblMovement[Source_Type],"Pit")</f>
        <v/>
      </c>
      <c r="V40" s="55">
        <f>IF($B40=$B39,$V39,0)+$U40</f>
        <v/>
      </c>
      <c r="W40" s="55">
        <f>$W39+$U40</f>
        <v/>
      </c>
      <c r="X40" s="55">
        <f>$F40+$U40</f>
        <v/>
      </c>
      <c r="Y40" s="55">
        <f>IF($B40=$B39,$Y39,0)+$X40</f>
        <v/>
      </c>
      <c r="Z40" s="55">
        <f>$Z39+$X40</f>
        <v/>
      </c>
      <c r="AA40" s="56">
        <f>IFERROR(IF(($F40)&gt;0,($U40)/($F40),""),"")</f>
        <v/>
      </c>
      <c r="AB40" s="56">
        <f>IFERROR(IF(($G40)&gt;0,($V40)/($G40),""),"")</f>
        <v/>
      </c>
      <c r="AC40" s="56">
        <f>IFERROR(IF(($H40)&gt;0,($W40)/($H40),""),"")</f>
        <v/>
      </c>
      <c r="AD40" s="55">
        <f>SUMIFS(tblMovement[Tonnes_t],tblMovement[Date],$A40,tblMovement[Source_Type],"Stockpile")</f>
        <v/>
      </c>
      <c r="AE40" s="55">
        <f>IF($B40=$B39,$AE39,0)+$AD40</f>
        <v/>
      </c>
      <c r="AF40" s="55">
        <f>$AF39+$AD40</f>
        <v/>
      </c>
      <c r="AG40" s="55">
        <f>SUMIFS(tblMovement[Tonnes_t],tblMovement[Date],$A40)</f>
        <v/>
      </c>
      <c r="AH40" s="55">
        <f>IF($B40=$B39,$AH39,0)+$AG40</f>
        <v/>
      </c>
      <c r="AI40" s="55">
        <f>$AI39+$AG40</f>
        <v/>
      </c>
      <c r="AJ40" s="55">
        <f>$AG40-$X40-$AD40</f>
        <v/>
      </c>
      <c r="AK40" s="55">
        <f>IF($B40=$B39,$AK39,0)+$AJ40</f>
        <v/>
      </c>
      <c r="AL40" s="55">
        <f>$AL39+$AJ40</f>
        <v/>
      </c>
      <c r="AM40" s="55">
        <f>SUMIFS(tblMiningDaily[Drill_m],tblMiningDaily[Date],$A40)</f>
        <v/>
      </c>
      <c r="AN40" s="55">
        <f>IF($B40=$B39,$AN39,0)+$AM40</f>
        <v/>
      </c>
      <c r="AO40" s="55">
        <f>$AO39+$AM40</f>
        <v/>
      </c>
      <c r="AP40" s="55">
        <f>SUMIFS(tblMiningDaily[GC_Drill_m],tblMiningDaily[Date],$A40)</f>
        <v/>
      </c>
      <c r="AQ40" s="55">
        <f>IF($B40=$B39,$AQ39,0)+$AP40</f>
        <v/>
      </c>
      <c r="AR40" s="55">
        <f>$AR39+$AP40</f>
        <v/>
      </c>
      <c r="AS40" s="55">
        <f>SUMIFS(tblMiningDaily[Blast_t],tblMiningDaily[Date],$A40)</f>
        <v/>
      </c>
      <c r="AT40" s="55">
        <f>IF($B40=$B39,$AT39,0)+$AS40</f>
        <v/>
      </c>
      <c r="AU40" s="55">
        <f>$AU39+$AS40</f>
        <v/>
      </c>
      <c r="AV40" s="55">
        <f>SUMIFS(tblMiningDaily[Explosives_kg],tblMiningDaily[Date],$A40)</f>
        <v/>
      </c>
      <c r="AW40" s="55">
        <f>IF($B40=$B39,$AW39,0)+$AV40</f>
        <v/>
      </c>
      <c r="AX40" s="55">
        <f>$AX39+$AV40</f>
        <v/>
      </c>
      <c r="AY40" s="56">
        <f>IFERROR(IF(($AS40)&gt;0,($AV40)/($AS40),""),"")</f>
        <v/>
      </c>
      <c r="AZ40" s="56">
        <f>IFERROR(IF(($AT40)&gt;0,($AW40)/($AT40),""),"")</f>
        <v/>
      </c>
      <c r="BA40" s="56">
        <f>IFERROR(IF(($AU40)&gt;0,($AX40)/($AU40),""),"")</f>
        <v/>
      </c>
      <c r="BB40" s="55">
        <f>SUMIFS(tblMiningDaily[Diesel_L],tblMiningDaily[Date],$A40)</f>
        <v/>
      </c>
      <c r="BC40" s="55">
        <f>IF($B40=$B39,$BC39,0)+$BB40</f>
        <v/>
      </c>
      <c r="BD40" s="55">
        <f>$BD39+$BB40</f>
        <v/>
      </c>
      <c r="BE40" s="55">
        <f>SUMIFS(tblMiningDaily[Dewatering_m3],tblMiningDaily[Date],$A40)</f>
        <v/>
      </c>
      <c r="BF40" s="55">
        <f>IF($B40=$B39,$BF39,0)+$BE40</f>
        <v/>
      </c>
      <c r="BG40" s="55">
        <f>$BG39+$BE40</f>
        <v/>
      </c>
      <c r="BH40" s="57">
        <f>SUMIFS(tblFleet[Calendar_h],tblFleet[Date],$A40,tblFleet[Equipment_Class],"Excavator")</f>
        <v/>
      </c>
      <c r="BI40" s="57">
        <f>IF($B40=$B39,$BI39,0)+$BH40</f>
        <v/>
      </c>
      <c r="BJ40" s="57">
        <f>$BJ39+$BH40</f>
        <v/>
      </c>
      <c r="BK40" s="57">
        <f>SUMIFS(tblFleet[Available_h],tblFleet[Date],$A40,tblFleet[Equipment_Class],"Excavator")</f>
        <v/>
      </c>
      <c r="BL40" s="57">
        <f>IF($B40=$B39,$BL39,0)+$BK40</f>
        <v/>
      </c>
      <c r="BM40" s="57">
        <f>$BM39+$BK40</f>
        <v/>
      </c>
      <c r="BN40" s="57">
        <f>SUMIFS(tblFleet[Operating_h],tblFleet[Date],$A40,tblFleet[Equipment_Class],"Excavator")</f>
        <v/>
      </c>
      <c r="BO40" s="57">
        <f>IF($B40=$B39,$BO39,0)+$BN40</f>
        <v/>
      </c>
      <c r="BP40" s="57">
        <f>$BP39+$BN40</f>
        <v/>
      </c>
      <c r="BQ40" s="67">
        <f>IFERROR(IF(($BH40)&gt;0,($BK40)/($BH40),""),"")</f>
        <v/>
      </c>
      <c r="BR40" s="67">
        <f>IFERROR(IF(($BI40)&gt;0,($BL40)/($BI40),""),"")</f>
        <v/>
      </c>
      <c r="BS40" s="67">
        <f>IFERROR(IF(($BJ40)&gt;0,($BM40)/($BJ40),""),"")</f>
        <v/>
      </c>
      <c r="BT40" s="67">
        <f>IFERROR(IF(($BK40)&gt;0,($BN40)/($BK40),""),"")</f>
        <v/>
      </c>
      <c r="BU40" s="67">
        <f>IFERROR(IF(($BL40)&gt;0,($BO40)/($BL40),""),"")</f>
        <v/>
      </c>
      <c r="BV40" s="67">
        <f>IFERROR(IF(($BM40)&gt;0,($BP40)/($BM40),""),"")</f>
        <v/>
      </c>
      <c r="BW40" s="57">
        <f>SUMIFS(tblFleet[Calendar_h],tblFleet[Date],$A40,tblFleet[Equipment_Class],"Haul Truck")</f>
        <v/>
      </c>
      <c r="BX40" s="57">
        <f>IF($B40=$B39,$BX39,0)+$BW40</f>
        <v/>
      </c>
      <c r="BY40" s="57">
        <f>$BY39+$BW40</f>
        <v/>
      </c>
      <c r="BZ40" s="57">
        <f>SUMIFS(tblFleet[Available_h],tblFleet[Date],$A40,tblFleet[Equipment_Class],"Haul Truck")</f>
        <v/>
      </c>
      <c r="CA40" s="57">
        <f>IF($B40=$B39,$CA39,0)+$BZ40</f>
        <v/>
      </c>
      <c r="CB40" s="57">
        <f>$CB39+$BZ40</f>
        <v/>
      </c>
      <c r="CC40" s="57">
        <f>SUMIFS(tblFleet[Operating_h],tblFleet[Date],$A40,tblFleet[Equipment_Class],"Haul Truck")</f>
        <v/>
      </c>
      <c r="CD40" s="57">
        <f>IF($B40=$B39,$CD39,0)+$CC40</f>
        <v/>
      </c>
      <c r="CE40" s="57">
        <f>$CE39+$CC40</f>
        <v/>
      </c>
      <c r="CF40" s="67">
        <f>IFERROR(IF(($BW40)&gt;0,($BZ40)/($BW40),""),"")</f>
        <v/>
      </c>
      <c r="CG40" s="67">
        <f>IFERROR(IF(($BX40)&gt;0,($CA40)/($BX40),""),"")</f>
        <v/>
      </c>
      <c r="CH40" s="67">
        <f>IFERROR(IF(($BY40)&gt;0,($CB40)/($BY40),""),"")</f>
        <v/>
      </c>
      <c r="CI40" s="67">
        <f>IFERROR(IF(($BZ40)&gt;0,($CC40)/($BZ40),""),"")</f>
        <v/>
      </c>
      <c r="CJ40" s="67">
        <f>IFERROR(IF(($CA40)&gt;0,($CD40)/($CA40),""),"")</f>
        <v/>
      </c>
      <c r="CK40" s="67">
        <f>IFERROR(IF(($CB40)&gt;0,($CE40)/($CB40),""),"")</f>
        <v/>
      </c>
      <c r="CL40" s="55">
        <f>IFERROR(IF(($BN40)&gt;0,($X40+$AD40)/($BN40),""),"")</f>
        <v/>
      </c>
      <c r="CM40" s="55">
        <f>IFERROR(IF(($BO40)&gt;0,($Y40+$AE40)/($BO40),""),"")</f>
        <v/>
      </c>
      <c r="CN40" s="55">
        <f>IFERROR(IF(($BP40)&gt;0,($Z40+$AF40)/($BP40),""),"")</f>
        <v/>
      </c>
      <c r="CO40" s="55">
        <f>IFERROR(IF(($CC40)&gt;0,($X40+$AD40)/($CC40),""),"")</f>
        <v/>
      </c>
      <c r="CP40" s="55">
        <f>IFERROR(IF(($CD40)&gt;0,($Y40+$AE40)/($CD40),""),"")</f>
        <v/>
      </c>
      <c r="CQ40" s="55">
        <f>IFERROR(IF(($CE40)&gt;0,($Z40+$AF40)/($CE40),""),"")</f>
        <v/>
      </c>
      <c r="CR40" s="55">
        <f>SUMIFS(tblPlant[Crushed_t],tblPlant[Date],$A40)</f>
        <v/>
      </c>
      <c r="CS40" s="55">
        <f>IF($B40=$B39,$CS39,0)+$CR40</f>
        <v/>
      </c>
      <c r="CT40" s="55">
        <f>$CT39+$CR40</f>
        <v/>
      </c>
      <c r="CU40" s="55">
        <f>SUMIFS(tblPlant[Milled_t],tblPlant[Date],$A40)</f>
        <v/>
      </c>
      <c r="CV40" s="55">
        <f>IF($B40=$B39,$CV39,0)+$CU40</f>
        <v/>
      </c>
      <c r="CW40" s="55">
        <f>$CW39+$CU40</f>
        <v/>
      </c>
      <c r="CX40" s="55">
        <f>SUMIFS(tblPlant[Feed_oz],tblPlant[Date],$A40)</f>
        <v/>
      </c>
      <c r="CY40" s="55">
        <f>IF($B40=$B39,$CY39,0)+$CX40</f>
        <v/>
      </c>
      <c r="CZ40" s="55">
        <f>$CZ39+$CX40</f>
        <v/>
      </c>
      <c r="DA40" s="55">
        <f>SUMIFS(tblPlant[Tails_oz],tblPlant[Date],$A40)</f>
        <v/>
      </c>
      <c r="DB40" s="55">
        <f>IF($B40=$B39,$DB39,0)+$DA40</f>
        <v/>
      </c>
      <c r="DC40" s="55">
        <f>$DC39+$DA40</f>
        <v/>
      </c>
      <c r="DD40" s="55">
        <f>SUMIFS(tblPlant[Recovered_oz],tblPlant[Date],$A40)</f>
        <v/>
      </c>
      <c r="DE40" s="55">
        <f>IF($B40=$B39,$DE39,0)+$DD40</f>
        <v/>
      </c>
      <c r="DF40" s="55">
        <f>$DF39+$DD40</f>
        <v/>
      </c>
      <c r="DG40" s="55">
        <f>SUMIFS(tblPlant[Milled_t],tblPlant[Date],$A40,tblPlant[Head_Grade_gpt],"&lt;&gt;")</f>
        <v/>
      </c>
      <c r="DH40" s="55">
        <f>IF($B40=$B39,$DH39,0)+$DG40</f>
        <v/>
      </c>
      <c r="DI40" s="55">
        <f>$DI39+$DG40</f>
        <v/>
      </c>
      <c r="DJ40" s="55">
        <f>SUMIFS(tblPlant[Milled_t],tblPlant[Date],$A40,tblPlant[Tails_Grade_gpt],"&lt;&gt;")</f>
        <v/>
      </c>
      <c r="DK40" s="55">
        <f>IF($B40=$B39,$DK39,0)+$DJ40</f>
        <v/>
      </c>
      <c r="DL40" s="55">
        <f>$DL39+$DJ40</f>
        <v/>
      </c>
      <c r="DM40" s="55">
        <f>SUMIFS(tblPlant[Feed_oz],tblPlant[Date],$A40,tblPlant[Tails_Grade_gpt],"&lt;&gt;")</f>
        <v/>
      </c>
      <c r="DN40" s="55">
        <f>IF($B40=$B39,$DN39,0)+$DM40</f>
        <v/>
      </c>
      <c r="DO40" s="55">
        <f>$DO39+$DM40</f>
        <v/>
      </c>
      <c r="DP40" s="55">
        <f>SUMIFS(tblPlant[Milled_t],tblPlant[Date],$A40,tblPlant[Mill_Run_h],"&lt;&gt;")</f>
        <v/>
      </c>
      <c r="DQ40" s="55">
        <f>IF($B40=$B39,$DQ39,0)+$DP40</f>
        <v/>
      </c>
      <c r="DR40" s="55">
        <f>$DR39+$DP40</f>
        <v/>
      </c>
      <c r="DS40" s="56">
        <f>IFERROR(IF(($DG40)&gt;0,($CX40*cfg_TroyOz)/($DG40),""),"")</f>
        <v/>
      </c>
      <c r="DT40" s="56">
        <f>IFERROR(IF(($DH40)&gt;0,($CY40*cfg_TroyOz)/($DH40),""),"")</f>
        <v/>
      </c>
      <c r="DU40" s="56">
        <f>IFERROR(IF(($DI40)&gt;0,($CZ40*cfg_TroyOz)/($DI40),""),"")</f>
        <v/>
      </c>
      <c r="DV40" s="56">
        <f>IFERROR(IF(($DJ40)&gt;0,($DA40*cfg_TroyOz)/($DJ40),""),"")</f>
        <v/>
      </c>
      <c r="DW40" s="56">
        <f>IFERROR(IF(($DK40)&gt;0,($DB40*cfg_TroyOz)/($DK40),""),"")</f>
        <v/>
      </c>
      <c r="DX40" s="56">
        <f>IFERROR(IF(($DL40)&gt;0,($DC40*cfg_TroyOz)/($DL40),""),"")</f>
        <v/>
      </c>
      <c r="DY40" s="67">
        <f>IFERROR(IF(($DM40)&gt;0,($DD40)/($DM40),""),"")</f>
        <v/>
      </c>
      <c r="DZ40" s="67">
        <f>IFERROR(IF(($DN40)&gt;0,($DE40)/($DN40),""),"")</f>
        <v/>
      </c>
      <c r="EA40" s="67">
        <f>IFERROR(IF(($DO40)&gt;0,($DF40)/($DO40),""),"")</f>
        <v/>
      </c>
      <c r="EB40" s="55">
        <f>SUMIFS(tblPlant[Gravity_Gold_oz],tblPlant[Date],$A40)</f>
        <v/>
      </c>
      <c r="EC40" s="55">
        <f>IF($B40=$B39,$EC39,0)+$EB40</f>
        <v/>
      </c>
      <c r="ED40" s="55">
        <f>$ED39+$EB40</f>
        <v/>
      </c>
      <c r="EE40" s="67">
        <f>IFERROR(IF(($DD40)&gt;0,($EB40)/($DD40),""),"")</f>
        <v/>
      </c>
      <c r="EF40" s="67">
        <f>IFERROR(IF(($DE40)&gt;0,($EC40)/($DE40),""),"")</f>
        <v/>
      </c>
      <c r="EG40" s="67">
        <f>IFERROR(IF(($DF40)&gt;0,($ED40)/($DF40),""),"")</f>
        <v/>
      </c>
      <c r="EH40" s="55">
        <f>SUMIFS(tblPlant[Gold_Poured_oz],tblPlant[Date],$A40)</f>
        <v/>
      </c>
      <c r="EI40" s="55">
        <f>IF($B40=$B39,$EI39,0)+$EH40</f>
        <v/>
      </c>
      <c r="EJ40" s="55">
        <f>$EJ39+$EH40</f>
        <v/>
      </c>
      <c r="EK40" s="57">
        <f>SUMIFS(tblPlant[Mill_Run_h],tblPlant[Date],$A40)</f>
        <v/>
      </c>
      <c r="EL40" s="57">
        <f>IF($B40=$B39,$EL39,0)+$EK40</f>
        <v/>
      </c>
      <c r="EM40" s="57">
        <f>$EM39+$EK40</f>
        <v/>
      </c>
      <c r="EN40" s="57">
        <f>SUMIFS(tblPlant[Mill_Planned_Maint_h],tblPlant[Date],$A40)</f>
        <v/>
      </c>
      <c r="EO40" s="57">
        <f>IF($B40=$B39,$EO39,0)+$EN40</f>
        <v/>
      </c>
      <c r="EP40" s="57">
        <f>$EP39+$EN40</f>
        <v/>
      </c>
      <c r="EQ40" s="57">
        <f>SUMIFS(tblPlant[Mill_Unplanned_Down_h],tblPlant[Date],$A40)</f>
        <v/>
      </c>
      <c r="ER40" s="57">
        <f>IF($B40=$B39,$ER39,0)+$EQ40</f>
        <v/>
      </c>
      <c r="ES40" s="57">
        <f>$ES39+$EQ40</f>
        <v/>
      </c>
      <c r="ET40" s="57">
        <f>IF(COUNTIFS(tblPlant[Date],$A40,tblPlant[Mill_Run_h],"&lt;&gt;")+COUNTIFS(tblPlant[Date],$A40,tblPlant[Mill_Planned_Maint_h],"&lt;&gt;")+COUNTIFS(tblPlant[Date],$A40,tblPlant[Mill_Unplanned_Down_h],"&lt;&gt;")&gt;0,cfg_HoursPerDay,0)</f>
        <v/>
      </c>
      <c r="EU40" s="57">
        <f>IF($B40=$B39,$EU39,0)+$ET40</f>
        <v/>
      </c>
      <c r="EV40" s="57">
        <f>$EV39+$ET40</f>
        <v/>
      </c>
      <c r="EW40" s="57">
        <f>SUMIFS(tblPlant[Crusher_Run_h],tblPlant[Date],$A40)</f>
        <v/>
      </c>
      <c r="EX40" s="57">
        <f>IF($B40=$B39,$EX39,0)+$EW40</f>
        <v/>
      </c>
      <c r="EY40" s="57">
        <f>$EY39+$EW40</f>
        <v/>
      </c>
      <c r="EZ40" s="55">
        <f>IFERROR(IF(($EK40)&gt;0,($DP40)/($EK40),""),"")</f>
        <v/>
      </c>
      <c r="FA40" s="55">
        <f>IFERROR(IF(($EL40)&gt;0,($DQ40)/($EL40),""),"")</f>
        <v/>
      </c>
      <c r="FB40" s="55">
        <f>IFERROR(IF(($EM40)&gt;0,($DR40)/($EM40),""),"")</f>
        <v/>
      </c>
      <c r="FC40" s="67">
        <f>IFERROR(IF(($ET40)&gt;0,($ET40-$EN40-$EQ40)/($ET40),""),"")</f>
        <v/>
      </c>
      <c r="FD40" s="67">
        <f>IFERROR(IF(($EU40)&gt;0,($EU40-$EO40-$ER40)/($EU40),""),"")</f>
        <v/>
      </c>
      <c r="FE40" s="67">
        <f>IFERROR(IF(($EV40)&gt;0,($EV40-$EP40-$ES40)/($EV40),""),"")</f>
        <v/>
      </c>
      <c r="FF40" s="67">
        <f>IFERROR(IF(($ET40-$EN40-$EQ40)&gt;0,($EK40)/($ET40-$EN40-$EQ40),""),"")</f>
        <v/>
      </c>
      <c r="FG40" s="67">
        <f>IFERROR(IF(($EU40-$EO40-$ER40)&gt;0,($EL40)/($EU40-$EO40-$ER40),""),"")</f>
        <v/>
      </c>
      <c r="FH40" s="67">
        <f>IFERROR(IF(($EV40-$EP40-$ES40)&gt;0,($EM40)/($EV40-$EP40-$ES40),""),"")</f>
        <v/>
      </c>
      <c r="FI40" s="55">
        <f>SUMIFS(tblPlant[Cyanide_kg],tblPlant[Date],$A40)</f>
        <v/>
      </c>
      <c r="FJ40" s="55">
        <f>IF($B40=$B39,$FJ39,0)+$FI40</f>
        <v/>
      </c>
      <c r="FK40" s="55">
        <f>$FK39+$FI40</f>
        <v/>
      </c>
      <c r="FL40" s="55">
        <f>SUMIFS(tblPlant[Lime_kg],tblPlant[Date],$A40)</f>
        <v/>
      </c>
      <c r="FM40" s="55">
        <f>IF($B40=$B39,$FM39,0)+$FL40</f>
        <v/>
      </c>
      <c r="FN40" s="55">
        <f>$FN39+$FL40</f>
        <v/>
      </c>
      <c r="FO40" s="55">
        <f>SUMIFS(tblPlant[Grinding_Media_kg],tblPlant[Date],$A40)</f>
        <v/>
      </c>
      <c r="FP40" s="55">
        <f>IF($B40=$B39,$FP39,0)+$FO40</f>
        <v/>
      </c>
      <c r="FQ40" s="55">
        <f>$FQ39+$FO40</f>
        <v/>
      </c>
      <c r="FR40" s="55">
        <f>SUMIFS(tblPlant[Power_kWh],tblPlant[Date],$A40)</f>
        <v/>
      </c>
      <c r="FS40" s="55">
        <f>IF($B40=$B39,$FS39,0)+$FR40</f>
        <v/>
      </c>
      <c r="FT40" s="55">
        <f>$FT39+$FR40</f>
        <v/>
      </c>
      <c r="FU40" s="55">
        <f>SUMIFS(tblPlant[Raw_Water_m3],tblPlant[Date],$A40)</f>
        <v/>
      </c>
      <c r="FV40" s="55">
        <f>IF($B40=$B39,$FV39,0)+$FU40</f>
        <v/>
      </c>
      <c r="FW40" s="55">
        <f>$FW39+$FU40</f>
        <v/>
      </c>
      <c r="FX40" s="56">
        <f>IFERROR(IF(($CU40)&gt;0,($FI40)/($CU40),""),"")</f>
        <v/>
      </c>
      <c r="FY40" s="56">
        <f>IFERROR(IF(($CV40)&gt;0,($FJ40)/($CV40),""),"")</f>
        <v/>
      </c>
      <c r="FZ40" s="56">
        <f>IFERROR(IF(($CW40)&gt;0,($FK40)/($CW40),""),"")</f>
        <v/>
      </c>
      <c r="GA40" s="56">
        <f>IFERROR(IF(($CU40)&gt;0,($FL40)/($CU40),""),"")</f>
        <v/>
      </c>
      <c r="GB40" s="56">
        <f>IFERROR(IF(($CV40)&gt;0,($FM40)/($CV40),""),"")</f>
        <v/>
      </c>
      <c r="GC40" s="56">
        <f>IFERROR(IF(($CW40)&gt;0,($FN40)/($CW40),""),"")</f>
        <v/>
      </c>
      <c r="GD40" s="56">
        <f>IFERROR(IF(($CU40)&gt;0,($FO40)/($CU40),""),"")</f>
        <v/>
      </c>
      <c r="GE40" s="56">
        <f>IFERROR(IF(($CV40)&gt;0,($FP40)/($CV40),""),"")</f>
        <v/>
      </c>
      <c r="GF40" s="56">
        <f>IFERROR(IF(($CW40)&gt;0,($FQ40)/($CW40),""),"")</f>
        <v/>
      </c>
      <c r="GG40" s="79">
        <f>IFERROR(IF(($CU40)&gt;0,($FR40)/($CU40),""),"")</f>
        <v/>
      </c>
      <c r="GH40" s="79">
        <f>IFERROR(IF(($CV40)&gt;0,($FS40)/($CV40),""),"")</f>
        <v/>
      </c>
      <c r="GI40" s="79">
        <f>IFERROR(IF(($CW40)&gt;0,($FT40)/($CW40),""),"")</f>
        <v/>
      </c>
      <c r="GJ40" s="56">
        <f>IFERROR(IF(($CU40)&gt;0,($FU40)/($CU40),""),"")</f>
        <v/>
      </c>
      <c r="GK40" s="56">
        <f>IFERROR(IF(($CV40)&gt;0,($FV40)/($CV40),""),"")</f>
        <v/>
      </c>
      <c r="GL40" s="56">
        <f>IFERROR(IF(($CW40)&gt;0,($FW40)/($CW40),""),"")</f>
        <v/>
      </c>
      <c r="GM40" s="55">
        <f>IF(SUMIFS(tblPlant[GIC_oz],tblPlant[Date],$A40)&gt;0,SUMIFS(tblPlant[GIC_oz],tblPlant[Date],$A40),"")</f>
        <v/>
      </c>
      <c r="GN40" s="55">
        <f>SUMIFS(tblGold[Gold_oz],tblGold[Date],$A40,tblGold[Type],"Shipment")</f>
        <v/>
      </c>
      <c r="GO40" s="55">
        <f>IF($B40=$B39,$GO39,0)+$GN40</f>
        <v/>
      </c>
      <c r="GP40" s="55">
        <f>$GP39+$GN40</f>
        <v/>
      </c>
      <c r="GQ40" s="55">
        <f>SUMIFS(tblGold[Gold_oz],tblGold[Date],$A40,tblGold[Type],"Sale")</f>
        <v/>
      </c>
      <c r="GR40" s="55">
        <f>IF($B40=$B39,$GR39,0)+$GQ40</f>
        <v/>
      </c>
      <c r="GS40" s="55">
        <f>$GS39+$GQ40</f>
        <v/>
      </c>
      <c r="GT40" s="55">
        <f>SUMIFS(tblGold[Dore_kg],tblGold[Date],$A40,tblGold[Type],"Shipment")</f>
        <v/>
      </c>
      <c r="GU40" s="55">
        <f>IF($B40=$B39,$GU39,0)+$GT40</f>
        <v/>
      </c>
      <c r="GV40" s="55">
        <f>$GV39+$GT40</f>
        <v/>
      </c>
      <c r="GW40" s="57">
        <f>SUMIFS(tblSafety[Hours_Total],tblSafety[Date],$A40)</f>
        <v/>
      </c>
      <c r="GX40" s="57">
        <f>IF($B40=$B39,$GX39,0)+$GW40</f>
        <v/>
      </c>
      <c r="GY40" s="57">
        <f>$GY39+$GW40</f>
        <v/>
      </c>
      <c r="GZ40" s="62">
        <f>SUMIFS(tblSafety[Fatality],tblSafety[Date],$A40)</f>
        <v/>
      </c>
      <c r="HA40" s="62">
        <f>IF($B40=$B39,$HA39,0)+$GZ40</f>
        <v/>
      </c>
      <c r="HB40" s="62">
        <f>$HB39+$GZ40</f>
        <v/>
      </c>
      <c r="HC40" s="62">
        <f>SUMIFS(tblSafety[LTI],tblSafety[Date],$A40)</f>
        <v/>
      </c>
      <c r="HD40" s="62">
        <f>IF($B40=$B39,$HD39,0)+$HC40</f>
        <v/>
      </c>
      <c r="HE40" s="62">
        <f>$HE39+$HC40</f>
        <v/>
      </c>
      <c r="HF40" s="62">
        <f>SUMIFS(tblSafety[RWI],tblSafety[Date],$A40)</f>
        <v/>
      </c>
      <c r="HG40" s="62">
        <f>IF($B40=$B39,$HG39,0)+$HF40</f>
        <v/>
      </c>
      <c r="HH40" s="62">
        <f>$HH39+$HF40</f>
        <v/>
      </c>
      <c r="HI40" s="62">
        <f>SUMIFS(tblSafety[MTI],tblSafety[Date],$A40)</f>
        <v/>
      </c>
      <c r="HJ40" s="62">
        <f>IF($B40=$B39,$HJ39,0)+$HI40</f>
        <v/>
      </c>
      <c r="HK40" s="62">
        <f>$HK39+$HI40</f>
        <v/>
      </c>
      <c r="HL40" s="62">
        <f>SUMIFS(tblSafety[FAI],tblSafety[Date],$A40)</f>
        <v/>
      </c>
      <c r="HM40" s="62">
        <f>IF($B40=$B39,$HM39,0)+$HL40</f>
        <v/>
      </c>
      <c r="HN40" s="62">
        <f>$HN39+$HL40</f>
        <v/>
      </c>
      <c r="HO40" s="62">
        <f>SUMIFS(tblSafety[Recordables],tblSafety[Date],$A40)</f>
        <v/>
      </c>
      <c r="HP40" s="62">
        <f>IF($B40=$B39,$HP39,0)+$HO40</f>
        <v/>
      </c>
      <c r="HQ40" s="62">
        <f>$HQ39+$HO40</f>
        <v/>
      </c>
      <c r="HR40" s="62">
        <f>SUMIFS(tblSafety[Near_Miss],tblSafety[Date],$A40)</f>
        <v/>
      </c>
      <c r="HS40" s="62">
        <f>IF($B40=$B39,$HS39,0)+$HR40</f>
        <v/>
      </c>
      <c r="HT40" s="62">
        <f>$HT39+$HR40</f>
        <v/>
      </c>
      <c r="HU40" s="62">
        <f>SUMIFS(tblSafety[Hazard_Reports],tblSafety[Date],$A40)</f>
        <v/>
      </c>
      <c r="HV40" s="62">
        <f>IF($B40=$B39,$HV39,0)+$HU40</f>
        <v/>
      </c>
      <c r="HW40" s="62">
        <f>$HW39+$HU40</f>
        <v/>
      </c>
      <c r="HX40" s="62">
        <f>SUMIFS(tblSafety[HPI],tblSafety[Date],$A40)</f>
        <v/>
      </c>
      <c r="HY40" s="62">
        <f>IF($B40=$B39,$HY39,0)+$HX40</f>
        <v/>
      </c>
      <c r="HZ40" s="62">
        <f>$HZ39+$HX40</f>
        <v/>
      </c>
      <c r="IA40" s="62">
        <f>SUMIFS(tblSafety[Env_Incidents],tblSafety[Date],$A40)</f>
        <v/>
      </c>
      <c r="IB40" s="62">
        <f>IF($B40=$B39,$IB39,0)+$IA40</f>
        <v/>
      </c>
      <c r="IC40" s="62">
        <f>$IC39+$IA40</f>
        <v/>
      </c>
      <c r="ID40" s="62">
        <f>SUMIFS(tblSafety[Community_Incidents],tblSafety[Date],$A40)</f>
        <v/>
      </c>
      <c r="IE40" s="62">
        <f>IF($B40=$B39,$IE39,0)+$ID40</f>
        <v/>
      </c>
      <c r="IF40" s="62">
        <f>$IF39+$ID40</f>
        <v/>
      </c>
      <c r="IG40" s="62">
        <f>SUMIFS(tblSafety[Vehicle_Incidents],tblSafety[Date],$A40)</f>
        <v/>
      </c>
      <c r="IH40" s="62">
        <f>IF($B40=$B39,$IH39,0)+$IG40</f>
        <v/>
      </c>
      <c r="II40" s="62">
        <f>$II39+$IG40</f>
        <v/>
      </c>
      <c r="IJ40" s="62">
        <f>SUMIFS(tblSafety[Toolbox_Talks],tblSafety[Date],$A40)</f>
        <v/>
      </c>
      <c r="IK40" s="62">
        <f>IF($B40=$B39,$IK39,0)+$IJ40</f>
        <v/>
      </c>
      <c r="IL40" s="62">
        <f>$IL39+$IJ40</f>
        <v/>
      </c>
      <c r="IM40" s="62">
        <f>SUMIFS(tblSafety[Inspections],tblSafety[Date],$A40)</f>
        <v/>
      </c>
      <c r="IN40" s="62">
        <f>IF($B40=$B39,$IN39,0)+$IM40</f>
        <v/>
      </c>
      <c r="IO40" s="62">
        <f>$IO39+$IM40</f>
        <v/>
      </c>
      <c r="IP40" s="56">
        <f>IFERROR((SUMIFS(tblSafety[Recordables],tblSafety[Date],"&gt;="&amp;EDATE($E40,-12),tblSafety[Date],"&lt;="&amp;$A40)+SUMIFS(tblSafetyHistory[Recordables],tblSafetyHistory[Month],"&gt;="&amp;EDATE($E40,-12),tblSafetyHistory[Month],"&lt;"&amp;$E40,tblSafetyHistory[Use],1))/(SUMIFS(tblSafety[Hours_Total],tblSafety[Date],"&gt;="&amp;EDATE($E40,-12),tblSafety[Date],"&lt;="&amp;$A40)+SUMIFS(tblSafetyHistory[Hours_Total],tblSafetyHistory[Month],"&gt;="&amp;EDATE($E40,-12),tblSafetyHistory[Month],"&lt;"&amp;$E40,tblSafetyHistory[Use],1))*cfg_RateBasisHours,"")</f>
        <v/>
      </c>
      <c r="IQ40" s="56">
        <f>IFERROR((SUMIFS(tblSafety[LTI],tblSafety[Date],"&gt;="&amp;EDATE($E40,-12),tblSafety[Date],"&lt;="&amp;$A40)+SUMIFS(tblSafetyHistory[LTI],tblSafetyHistory[Month],"&gt;="&amp;EDATE($E40,-12),tblSafetyHistory[Month],"&lt;"&amp;$E40,tblSafetyHistory[Use],1))/(SUMIFS(tblSafety[Hours_Total],tblSafety[Date],"&gt;="&amp;EDATE($E40,-12),tblSafety[Date],"&lt;="&amp;$A40)+SUMIFS(tblSafetyHistory[Hours_Total],tblSafetyHistory[Month],"&gt;="&amp;EDATE($E40,-12),tblSafetyHistory[Month],"&lt;"&amp;$E40,tblSafetyHistory[Use],1))*cfg_RateBasisHours,"")</f>
        <v/>
      </c>
      <c r="IR40" s="62">
        <f>IF(MAX(N(cfg_PriorLTIDate),_xlfn.MAXIFS(tblSafety[Date],tblSafety[LTI],"&gt;0",tblSafety[Date],"&lt;="&amp;$A40))=0,"",$A40-MAX(N(cfg_PriorLTIDate),_xlfn.MAXIFS(tblSafety[Date],tblSafety[LTI],"&gt;0",tblSafety[Date],"&lt;="&amp;$A40)))</f>
        <v/>
      </c>
      <c r="IS40" s="55">
        <f>SUMIFS(tblBudget[Ore_Mined_t],tblBudget[Month],$E40)</f>
        <v/>
      </c>
      <c r="IT40" s="55">
        <f>$IS40*$C40/$D40</f>
        <v/>
      </c>
      <c r="IU40" s="55">
        <f>SUMIFS(tblBudget[Ore_Mined_t],tblBudget[Month],"&lt;"&amp;$E40)+$IT40</f>
        <v/>
      </c>
      <c r="IV40" s="55">
        <f>SUMIFS(tblBudget[Ore_oz],tblBudget[Month],$E40)</f>
        <v/>
      </c>
      <c r="IW40" s="55">
        <f>$IV40*$C40/$D40</f>
        <v/>
      </c>
      <c r="IX40" s="55">
        <f>SUMIFS(tblBudget[Ore_oz],tblBudget[Month],"&lt;"&amp;$E40)+$IW40</f>
        <v/>
      </c>
      <c r="IY40" s="55">
        <f>SUMIFS(tblBudget[Ore_Mined_t],tblBudget[Month],$E40)</f>
        <v/>
      </c>
      <c r="IZ40" s="55">
        <f>$IY40*$C40/$D40</f>
        <v/>
      </c>
      <c r="JA40" s="55">
        <f>SUMIFS(tblBudget[Ore_Mined_t],tblBudget[Month],"&lt;"&amp;$E40)+$IZ40</f>
        <v/>
      </c>
      <c r="JB40" s="56">
        <f>IFERROR(IF(($IY40)&gt;0,($IV40*cfg_TroyOz)/($IY40),""),"")</f>
        <v/>
      </c>
      <c r="JC40" s="56">
        <f>IFERROR(IF(($IZ40)&gt;0,($IW40*cfg_TroyOz)/($IZ40),""),"")</f>
        <v/>
      </c>
      <c r="JD40" s="56">
        <f>IFERROR(IF(($JA40)&gt;0,($IX40*cfg_TroyOz)/($JA40),""),"")</f>
        <v/>
      </c>
      <c r="JE40" s="55">
        <f>SUMIFS(tblBudget[Waste_t],tblBudget[Month],$E40)</f>
        <v/>
      </c>
      <c r="JF40" s="55">
        <f>$JE40*$C40/$D40</f>
        <v/>
      </c>
      <c r="JG40" s="55">
        <f>SUMIFS(tblBudget[Waste_t],tblBudget[Month],"&lt;"&amp;$E40)+$JF40</f>
        <v/>
      </c>
      <c r="JH40" s="55">
        <f>SUMIFS(tblBudget[TMM_t],tblBudget[Month],$E40)</f>
        <v/>
      </c>
      <c r="JI40" s="55">
        <f>$JH40*$C40/$D40</f>
        <v/>
      </c>
      <c r="JJ40" s="55">
        <f>SUMIFS(tblBudget[TMM_t],tblBudget[Month],"&lt;"&amp;$E40)+$JI40</f>
        <v/>
      </c>
      <c r="JK40" s="56">
        <f>IFERROR(IF(($IS40)&gt;0,($JE40)/($IS40),""),"")</f>
        <v/>
      </c>
      <c r="JL40" s="56">
        <f>IFERROR(IF(($IT40)&gt;0,($JF40)/($IT40),""),"")</f>
        <v/>
      </c>
      <c r="JM40" s="56">
        <f>IFERROR(IF(($IU40)&gt;0,($JG40)/($IU40),""),"")</f>
        <v/>
      </c>
      <c r="JN40" s="55">
        <f>SUMIFS(tblBudget[Drill_m],tblBudget[Month],$E40)</f>
        <v/>
      </c>
      <c r="JO40" s="55">
        <f>$JN40*$C40/$D40</f>
        <v/>
      </c>
      <c r="JP40" s="55">
        <f>SUMIFS(tblBudget[Drill_m],tblBudget[Month],"&lt;"&amp;$E40)+$JO40</f>
        <v/>
      </c>
      <c r="JQ40" s="55">
        <f>SUMIFS(tblBudget[Diesel_L],tblBudget[Month],$E40)</f>
        <v/>
      </c>
      <c r="JR40" s="55">
        <f>$JQ40*$C40/$D40</f>
        <v/>
      </c>
      <c r="JS40" s="55">
        <f>SUMIFS(tblBudget[Diesel_L],tblBudget[Month],"&lt;"&amp;$E40)+$JR40</f>
        <v/>
      </c>
      <c r="JT40" s="55">
        <f>SUMIFS(tblBudget[Milled_t],tblBudget[Month],$E40)</f>
        <v/>
      </c>
      <c r="JU40" s="55">
        <f>$JT40*$C40/$D40</f>
        <v/>
      </c>
      <c r="JV40" s="55">
        <f>SUMIFS(tblBudget[Milled_t],tblBudget[Month],"&lt;"&amp;$E40)+$JU40</f>
        <v/>
      </c>
      <c r="JW40" s="55">
        <f>SUMIFS(tblBudget[Feed_oz],tblBudget[Month],$E40)</f>
        <v/>
      </c>
      <c r="JX40" s="55">
        <f>$JW40*$C40/$D40</f>
        <v/>
      </c>
      <c r="JY40" s="55">
        <f>SUMIFS(tblBudget[Feed_oz],tblBudget[Month],"&lt;"&amp;$E40)+$JX40</f>
        <v/>
      </c>
      <c r="JZ40" s="55">
        <f>SUMIFS(tblBudget[Recovered_oz],tblBudget[Month],$E40)</f>
        <v/>
      </c>
      <c r="KA40" s="55">
        <f>$JZ40*$C40/$D40</f>
        <v/>
      </c>
      <c r="KB40" s="55">
        <f>SUMIFS(tblBudget[Recovered_oz],tblBudget[Month],"&lt;"&amp;$E40)+$KA40</f>
        <v/>
      </c>
      <c r="KC40" s="55">
        <f>SUMIFS(tblBudget[Milled_t],tblBudget[Month],$E40)</f>
        <v/>
      </c>
      <c r="KD40" s="55">
        <f>$KC40*$C40/$D40</f>
        <v/>
      </c>
      <c r="KE40" s="55">
        <f>SUMIFS(tblBudget[Milled_t],tblBudget[Month],"&lt;"&amp;$E40)+$KD40</f>
        <v/>
      </c>
      <c r="KF40" s="55">
        <f>SUMIFS(tblBudget[Feed_oz],tblBudget[Month],$E40)</f>
        <v/>
      </c>
      <c r="KG40" s="55">
        <f>$KF40*$C40/$D40</f>
        <v/>
      </c>
      <c r="KH40" s="55">
        <f>SUMIFS(tblBudget[Feed_oz],tblBudget[Month],"&lt;"&amp;$E40)+$KG40</f>
        <v/>
      </c>
      <c r="KI40" s="56">
        <f>IFERROR(IF(($KC40)&gt;0,($JW40*cfg_TroyOz)/($KC40),""),"")</f>
        <v/>
      </c>
      <c r="KJ40" s="56">
        <f>IFERROR(IF(($KD40)&gt;0,($JX40*cfg_TroyOz)/($KD40),""),"")</f>
        <v/>
      </c>
      <c r="KK40" s="56">
        <f>IFERROR(IF(($KE40)&gt;0,($JY40*cfg_TroyOz)/($KE40),""),"")</f>
        <v/>
      </c>
      <c r="KL40" s="67">
        <f>IFERROR(IF(($KF40)&gt;0,($JZ40)/($KF40),""),"")</f>
        <v/>
      </c>
      <c r="KM40" s="67">
        <f>IFERROR(IF(($KG40)&gt;0,($KA40)/($KG40),""),"")</f>
        <v/>
      </c>
      <c r="KN40" s="67">
        <f>IFERROR(IF(($KH40)&gt;0,($KB40)/($KH40),""),"")</f>
        <v/>
      </c>
      <c r="KO40" s="55">
        <f>SUMIFS(tblBudget[Gold_Poured_oz],tblBudget[Month],$E40)</f>
        <v/>
      </c>
      <c r="KP40" s="55">
        <f>$KO40*$C40/$D40</f>
        <v/>
      </c>
      <c r="KQ40" s="55">
        <f>SUMIFS(tblBudget[Gold_Poured_oz],tblBudget[Month],"&lt;"&amp;$E40)+$KP40</f>
        <v/>
      </c>
      <c r="KR40" s="57">
        <f>SUMIFS(tblBudget[Hours_Worked],tblBudget[Month],$E40)</f>
        <v/>
      </c>
      <c r="KS40" s="57">
        <f>$KR40*$C40/$D40</f>
        <v/>
      </c>
      <c r="KT40" s="57">
        <f>SUMIFS(tblBudget[Hours_Worked],tblBudget[Month],"&lt;"&amp;$E40)+$KS40</f>
        <v/>
      </c>
    </row>
    <row r="41">
      <c r="A41" s="54" t="n">
        <v>46062</v>
      </c>
      <c r="B41">
        <f>MONTH($A41)</f>
        <v/>
      </c>
      <c r="C41">
        <f>DAY($A41)</f>
        <v/>
      </c>
      <c r="D41">
        <f>DAY(EOMONTH($A41,0))</f>
        <v/>
      </c>
      <c r="E41" s="54">
        <f>DATE(YEAR($A41),MONTH($A41),1)</f>
        <v/>
      </c>
      <c r="F41" s="55">
        <f>SUMIFS(tblMovement[Tonnes_t],tblMovement[Date],$A41,tblMovement[Is_Ore],1,tblMovement[Source_Type],"Pit")</f>
        <v/>
      </c>
      <c r="G41" s="55">
        <f>IF($B41=$B40,$G40,0)+$F41</f>
        <v/>
      </c>
      <c r="H41" s="55">
        <f>$H40+$F41</f>
        <v/>
      </c>
      <c r="I41" s="55">
        <f>SUMIFS(tblMovement[Ore_oz],tblMovement[Date],$A41,tblMovement[Source_Type],"Pit")</f>
        <v/>
      </c>
      <c r="J41" s="55">
        <f>IF($B41=$B40,$J40,0)+$I41</f>
        <v/>
      </c>
      <c r="K41" s="55">
        <f>$K40+$I41</f>
        <v/>
      </c>
      <c r="L41" s="55">
        <f>SUMIFS(tblMovement[Tonnes_t],tblMovement[Date],$A41,tblMovement[Is_Ore],1,tblMovement[Source_Type],"Pit",tblMovement[Grade_gpt],"&lt;&gt;")</f>
        <v/>
      </c>
      <c r="M41" s="55">
        <f>IF($B41=$B40,$M40,0)+$L41</f>
        <v/>
      </c>
      <c r="N41" s="55">
        <f>$N40+$L41</f>
        <v/>
      </c>
      <c r="O41" s="56">
        <f>IFERROR(IF(($L41)&gt;0,($I41*cfg_TroyOz)/($L41),""),"")</f>
        <v/>
      </c>
      <c r="P41" s="56">
        <f>IFERROR(IF(($M41)&gt;0,($J41*cfg_TroyOz)/($M41),""),"")</f>
        <v/>
      </c>
      <c r="Q41" s="56">
        <f>IFERROR(IF(($N41)&gt;0,($K41*cfg_TroyOz)/($N41),""),"")</f>
        <v/>
      </c>
      <c r="R41" s="55">
        <f>$F41-$L41</f>
        <v/>
      </c>
      <c r="S41" s="55">
        <f>IF($B41=$B40,$S40,0)+$R41</f>
        <v/>
      </c>
      <c r="T41" s="55">
        <f>$T40+$R41</f>
        <v/>
      </c>
      <c r="U41" s="55">
        <f>SUMIFS(tblMovement[Tonnes_t],tblMovement[Date],$A41,tblMovement[Is_Ore],0,tblMovement[Source_Type],"Pit")</f>
        <v/>
      </c>
      <c r="V41" s="55">
        <f>IF($B41=$B40,$V40,0)+$U41</f>
        <v/>
      </c>
      <c r="W41" s="55">
        <f>$W40+$U41</f>
        <v/>
      </c>
      <c r="X41" s="55">
        <f>$F41+$U41</f>
        <v/>
      </c>
      <c r="Y41" s="55">
        <f>IF($B41=$B40,$Y40,0)+$X41</f>
        <v/>
      </c>
      <c r="Z41" s="55">
        <f>$Z40+$X41</f>
        <v/>
      </c>
      <c r="AA41" s="56">
        <f>IFERROR(IF(($F41)&gt;0,($U41)/($F41),""),"")</f>
        <v/>
      </c>
      <c r="AB41" s="56">
        <f>IFERROR(IF(($G41)&gt;0,($V41)/($G41),""),"")</f>
        <v/>
      </c>
      <c r="AC41" s="56">
        <f>IFERROR(IF(($H41)&gt;0,($W41)/($H41),""),"")</f>
        <v/>
      </c>
      <c r="AD41" s="55">
        <f>SUMIFS(tblMovement[Tonnes_t],tblMovement[Date],$A41,tblMovement[Source_Type],"Stockpile")</f>
        <v/>
      </c>
      <c r="AE41" s="55">
        <f>IF($B41=$B40,$AE40,0)+$AD41</f>
        <v/>
      </c>
      <c r="AF41" s="55">
        <f>$AF40+$AD41</f>
        <v/>
      </c>
      <c r="AG41" s="55">
        <f>SUMIFS(tblMovement[Tonnes_t],tblMovement[Date],$A41)</f>
        <v/>
      </c>
      <c r="AH41" s="55">
        <f>IF($B41=$B40,$AH40,0)+$AG41</f>
        <v/>
      </c>
      <c r="AI41" s="55">
        <f>$AI40+$AG41</f>
        <v/>
      </c>
      <c r="AJ41" s="55">
        <f>$AG41-$X41-$AD41</f>
        <v/>
      </c>
      <c r="AK41" s="55">
        <f>IF($B41=$B40,$AK40,0)+$AJ41</f>
        <v/>
      </c>
      <c r="AL41" s="55">
        <f>$AL40+$AJ41</f>
        <v/>
      </c>
      <c r="AM41" s="55">
        <f>SUMIFS(tblMiningDaily[Drill_m],tblMiningDaily[Date],$A41)</f>
        <v/>
      </c>
      <c r="AN41" s="55">
        <f>IF($B41=$B40,$AN40,0)+$AM41</f>
        <v/>
      </c>
      <c r="AO41" s="55">
        <f>$AO40+$AM41</f>
        <v/>
      </c>
      <c r="AP41" s="55">
        <f>SUMIFS(tblMiningDaily[GC_Drill_m],tblMiningDaily[Date],$A41)</f>
        <v/>
      </c>
      <c r="AQ41" s="55">
        <f>IF($B41=$B40,$AQ40,0)+$AP41</f>
        <v/>
      </c>
      <c r="AR41" s="55">
        <f>$AR40+$AP41</f>
        <v/>
      </c>
      <c r="AS41" s="55">
        <f>SUMIFS(tblMiningDaily[Blast_t],tblMiningDaily[Date],$A41)</f>
        <v/>
      </c>
      <c r="AT41" s="55">
        <f>IF($B41=$B40,$AT40,0)+$AS41</f>
        <v/>
      </c>
      <c r="AU41" s="55">
        <f>$AU40+$AS41</f>
        <v/>
      </c>
      <c r="AV41" s="55">
        <f>SUMIFS(tblMiningDaily[Explosives_kg],tblMiningDaily[Date],$A41)</f>
        <v/>
      </c>
      <c r="AW41" s="55">
        <f>IF($B41=$B40,$AW40,0)+$AV41</f>
        <v/>
      </c>
      <c r="AX41" s="55">
        <f>$AX40+$AV41</f>
        <v/>
      </c>
      <c r="AY41" s="56">
        <f>IFERROR(IF(($AS41)&gt;0,($AV41)/($AS41),""),"")</f>
        <v/>
      </c>
      <c r="AZ41" s="56">
        <f>IFERROR(IF(($AT41)&gt;0,($AW41)/($AT41),""),"")</f>
        <v/>
      </c>
      <c r="BA41" s="56">
        <f>IFERROR(IF(($AU41)&gt;0,($AX41)/($AU41),""),"")</f>
        <v/>
      </c>
      <c r="BB41" s="55">
        <f>SUMIFS(tblMiningDaily[Diesel_L],tblMiningDaily[Date],$A41)</f>
        <v/>
      </c>
      <c r="BC41" s="55">
        <f>IF($B41=$B40,$BC40,0)+$BB41</f>
        <v/>
      </c>
      <c r="BD41" s="55">
        <f>$BD40+$BB41</f>
        <v/>
      </c>
      <c r="BE41" s="55">
        <f>SUMIFS(tblMiningDaily[Dewatering_m3],tblMiningDaily[Date],$A41)</f>
        <v/>
      </c>
      <c r="BF41" s="55">
        <f>IF($B41=$B40,$BF40,0)+$BE41</f>
        <v/>
      </c>
      <c r="BG41" s="55">
        <f>$BG40+$BE41</f>
        <v/>
      </c>
      <c r="BH41" s="57">
        <f>SUMIFS(tblFleet[Calendar_h],tblFleet[Date],$A41,tblFleet[Equipment_Class],"Excavator")</f>
        <v/>
      </c>
      <c r="BI41" s="57">
        <f>IF($B41=$B40,$BI40,0)+$BH41</f>
        <v/>
      </c>
      <c r="BJ41" s="57">
        <f>$BJ40+$BH41</f>
        <v/>
      </c>
      <c r="BK41" s="57">
        <f>SUMIFS(tblFleet[Available_h],tblFleet[Date],$A41,tblFleet[Equipment_Class],"Excavator")</f>
        <v/>
      </c>
      <c r="BL41" s="57">
        <f>IF($B41=$B40,$BL40,0)+$BK41</f>
        <v/>
      </c>
      <c r="BM41" s="57">
        <f>$BM40+$BK41</f>
        <v/>
      </c>
      <c r="BN41" s="57">
        <f>SUMIFS(tblFleet[Operating_h],tblFleet[Date],$A41,tblFleet[Equipment_Class],"Excavator")</f>
        <v/>
      </c>
      <c r="BO41" s="57">
        <f>IF($B41=$B40,$BO40,0)+$BN41</f>
        <v/>
      </c>
      <c r="BP41" s="57">
        <f>$BP40+$BN41</f>
        <v/>
      </c>
      <c r="BQ41" s="67">
        <f>IFERROR(IF(($BH41)&gt;0,($BK41)/($BH41),""),"")</f>
        <v/>
      </c>
      <c r="BR41" s="67">
        <f>IFERROR(IF(($BI41)&gt;0,($BL41)/($BI41),""),"")</f>
        <v/>
      </c>
      <c r="BS41" s="67">
        <f>IFERROR(IF(($BJ41)&gt;0,($BM41)/($BJ41),""),"")</f>
        <v/>
      </c>
      <c r="BT41" s="67">
        <f>IFERROR(IF(($BK41)&gt;0,($BN41)/($BK41),""),"")</f>
        <v/>
      </c>
      <c r="BU41" s="67">
        <f>IFERROR(IF(($BL41)&gt;0,($BO41)/($BL41),""),"")</f>
        <v/>
      </c>
      <c r="BV41" s="67">
        <f>IFERROR(IF(($BM41)&gt;0,($BP41)/($BM41),""),"")</f>
        <v/>
      </c>
      <c r="BW41" s="57">
        <f>SUMIFS(tblFleet[Calendar_h],tblFleet[Date],$A41,tblFleet[Equipment_Class],"Haul Truck")</f>
        <v/>
      </c>
      <c r="BX41" s="57">
        <f>IF($B41=$B40,$BX40,0)+$BW41</f>
        <v/>
      </c>
      <c r="BY41" s="57">
        <f>$BY40+$BW41</f>
        <v/>
      </c>
      <c r="BZ41" s="57">
        <f>SUMIFS(tblFleet[Available_h],tblFleet[Date],$A41,tblFleet[Equipment_Class],"Haul Truck")</f>
        <v/>
      </c>
      <c r="CA41" s="57">
        <f>IF($B41=$B40,$CA40,0)+$BZ41</f>
        <v/>
      </c>
      <c r="CB41" s="57">
        <f>$CB40+$BZ41</f>
        <v/>
      </c>
      <c r="CC41" s="57">
        <f>SUMIFS(tblFleet[Operating_h],tblFleet[Date],$A41,tblFleet[Equipment_Class],"Haul Truck")</f>
        <v/>
      </c>
      <c r="CD41" s="57">
        <f>IF($B41=$B40,$CD40,0)+$CC41</f>
        <v/>
      </c>
      <c r="CE41" s="57">
        <f>$CE40+$CC41</f>
        <v/>
      </c>
      <c r="CF41" s="67">
        <f>IFERROR(IF(($BW41)&gt;0,($BZ41)/($BW41),""),"")</f>
        <v/>
      </c>
      <c r="CG41" s="67">
        <f>IFERROR(IF(($BX41)&gt;0,($CA41)/($BX41),""),"")</f>
        <v/>
      </c>
      <c r="CH41" s="67">
        <f>IFERROR(IF(($BY41)&gt;0,($CB41)/($BY41),""),"")</f>
        <v/>
      </c>
      <c r="CI41" s="67">
        <f>IFERROR(IF(($BZ41)&gt;0,($CC41)/($BZ41),""),"")</f>
        <v/>
      </c>
      <c r="CJ41" s="67">
        <f>IFERROR(IF(($CA41)&gt;0,($CD41)/($CA41),""),"")</f>
        <v/>
      </c>
      <c r="CK41" s="67">
        <f>IFERROR(IF(($CB41)&gt;0,($CE41)/($CB41),""),"")</f>
        <v/>
      </c>
      <c r="CL41" s="55">
        <f>IFERROR(IF(($BN41)&gt;0,($X41+$AD41)/($BN41),""),"")</f>
        <v/>
      </c>
      <c r="CM41" s="55">
        <f>IFERROR(IF(($BO41)&gt;0,($Y41+$AE41)/($BO41),""),"")</f>
        <v/>
      </c>
      <c r="CN41" s="55">
        <f>IFERROR(IF(($BP41)&gt;0,($Z41+$AF41)/($BP41),""),"")</f>
        <v/>
      </c>
      <c r="CO41" s="55">
        <f>IFERROR(IF(($CC41)&gt;0,($X41+$AD41)/($CC41),""),"")</f>
        <v/>
      </c>
      <c r="CP41" s="55">
        <f>IFERROR(IF(($CD41)&gt;0,($Y41+$AE41)/($CD41),""),"")</f>
        <v/>
      </c>
      <c r="CQ41" s="55">
        <f>IFERROR(IF(($CE41)&gt;0,($Z41+$AF41)/($CE41),""),"")</f>
        <v/>
      </c>
      <c r="CR41" s="55">
        <f>SUMIFS(tblPlant[Crushed_t],tblPlant[Date],$A41)</f>
        <v/>
      </c>
      <c r="CS41" s="55">
        <f>IF($B41=$B40,$CS40,0)+$CR41</f>
        <v/>
      </c>
      <c r="CT41" s="55">
        <f>$CT40+$CR41</f>
        <v/>
      </c>
      <c r="CU41" s="55">
        <f>SUMIFS(tblPlant[Milled_t],tblPlant[Date],$A41)</f>
        <v/>
      </c>
      <c r="CV41" s="55">
        <f>IF($B41=$B40,$CV40,0)+$CU41</f>
        <v/>
      </c>
      <c r="CW41" s="55">
        <f>$CW40+$CU41</f>
        <v/>
      </c>
      <c r="CX41" s="55">
        <f>SUMIFS(tblPlant[Feed_oz],tblPlant[Date],$A41)</f>
        <v/>
      </c>
      <c r="CY41" s="55">
        <f>IF($B41=$B40,$CY40,0)+$CX41</f>
        <v/>
      </c>
      <c r="CZ41" s="55">
        <f>$CZ40+$CX41</f>
        <v/>
      </c>
      <c r="DA41" s="55">
        <f>SUMIFS(tblPlant[Tails_oz],tblPlant[Date],$A41)</f>
        <v/>
      </c>
      <c r="DB41" s="55">
        <f>IF($B41=$B40,$DB40,0)+$DA41</f>
        <v/>
      </c>
      <c r="DC41" s="55">
        <f>$DC40+$DA41</f>
        <v/>
      </c>
      <c r="DD41" s="55">
        <f>SUMIFS(tblPlant[Recovered_oz],tblPlant[Date],$A41)</f>
        <v/>
      </c>
      <c r="DE41" s="55">
        <f>IF($B41=$B40,$DE40,0)+$DD41</f>
        <v/>
      </c>
      <c r="DF41" s="55">
        <f>$DF40+$DD41</f>
        <v/>
      </c>
      <c r="DG41" s="55">
        <f>SUMIFS(tblPlant[Milled_t],tblPlant[Date],$A41,tblPlant[Head_Grade_gpt],"&lt;&gt;")</f>
        <v/>
      </c>
      <c r="DH41" s="55">
        <f>IF($B41=$B40,$DH40,0)+$DG41</f>
        <v/>
      </c>
      <c r="DI41" s="55">
        <f>$DI40+$DG41</f>
        <v/>
      </c>
      <c r="DJ41" s="55">
        <f>SUMIFS(tblPlant[Milled_t],tblPlant[Date],$A41,tblPlant[Tails_Grade_gpt],"&lt;&gt;")</f>
        <v/>
      </c>
      <c r="DK41" s="55">
        <f>IF($B41=$B40,$DK40,0)+$DJ41</f>
        <v/>
      </c>
      <c r="DL41" s="55">
        <f>$DL40+$DJ41</f>
        <v/>
      </c>
      <c r="DM41" s="55">
        <f>SUMIFS(tblPlant[Feed_oz],tblPlant[Date],$A41,tblPlant[Tails_Grade_gpt],"&lt;&gt;")</f>
        <v/>
      </c>
      <c r="DN41" s="55">
        <f>IF($B41=$B40,$DN40,0)+$DM41</f>
        <v/>
      </c>
      <c r="DO41" s="55">
        <f>$DO40+$DM41</f>
        <v/>
      </c>
      <c r="DP41" s="55">
        <f>SUMIFS(tblPlant[Milled_t],tblPlant[Date],$A41,tblPlant[Mill_Run_h],"&lt;&gt;")</f>
        <v/>
      </c>
      <c r="DQ41" s="55">
        <f>IF($B41=$B40,$DQ40,0)+$DP41</f>
        <v/>
      </c>
      <c r="DR41" s="55">
        <f>$DR40+$DP41</f>
        <v/>
      </c>
      <c r="DS41" s="56">
        <f>IFERROR(IF(($DG41)&gt;0,($CX41*cfg_TroyOz)/($DG41),""),"")</f>
        <v/>
      </c>
      <c r="DT41" s="56">
        <f>IFERROR(IF(($DH41)&gt;0,($CY41*cfg_TroyOz)/($DH41),""),"")</f>
        <v/>
      </c>
      <c r="DU41" s="56">
        <f>IFERROR(IF(($DI41)&gt;0,($CZ41*cfg_TroyOz)/($DI41),""),"")</f>
        <v/>
      </c>
      <c r="DV41" s="56">
        <f>IFERROR(IF(($DJ41)&gt;0,($DA41*cfg_TroyOz)/($DJ41),""),"")</f>
        <v/>
      </c>
      <c r="DW41" s="56">
        <f>IFERROR(IF(($DK41)&gt;0,($DB41*cfg_TroyOz)/($DK41),""),"")</f>
        <v/>
      </c>
      <c r="DX41" s="56">
        <f>IFERROR(IF(($DL41)&gt;0,($DC41*cfg_TroyOz)/($DL41),""),"")</f>
        <v/>
      </c>
      <c r="DY41" s="67">
        <f>IFERROR(IF(($DM41)&gt;0,($DD41)/($DM41),""),"")</f>
        <v/>
      </c>
      <c r="DZ41" s="67">
        <f>IFERROR(IF(($DN41)&gt;0,($DE41)/($DN41),""),"")</f>
        <v/>
      </c>
      <c r="EA41" s="67">
        <f>IFERROR(IF(($DO41)&gt;0,($DF41)/($DO41),""),"")</f>
        <v/>
      </c>
      <c r="EB41" s="55">
        <f>SUMIFS(tblPlant[Gravity_Gold_oz],tblPlant[Date],$A41)</f>
        <v/>
      </c>
      <c r="EC41" s="55">
        <f>IF($B41=$B40,$EC40,0)+$EB41</f>
        <v/>
      </c>
      <c r="ED41" s="55">
        <f>$ED40+$EB41</f>
        <v/>
      </c>
      <c r="EE41" s="67">
        <f>IFERROR(IF(($DD41)&gt;0,($EB41)/($DD41),""),"")</f>
        <v/>
      </c>
      <c r="EF41" s="67">
        <f>IFERROR(IF(($DE41)&gt;0,($EC41)/($DE41),""),"")</f>
        <v/>
      </c>
      <c r="EG41" s="67">
        <f>IFERROR(IF(($DF41)&gt;0,($ED41)/($DF41),""),"")</f>
        <v/>
      </c>
      <c r="EH41" s="55">
        <f>SUMIFS(tblPlant[Gold_Poured_oz],tblPlant[Date],$A41)</f>
        <v/>
      </c>
      <c r="EI41" s="55">
        <f>IF($B41=$B40,$EI40,0)+$EH41</f>
        <v/>
      </c>
      <c r="EJ41" s="55">
        <f>$EJ40+$EH41</f>
        <v/>
      </c>
      <c r="EK41" s="57">
        <f>SUMIFS(tblPlant[Mill_Run_h],tblPlant[Date],$A41)</f>
        <v/>
      </c>
      <c r="EL41" s="57">
        <f>IF($B41=$B40,$EL40,0)+$EK41</f>
        <v/>
      </c>
      <c r="EM41" s="57">
        <f>$EM40+$EK41</f>
        <v/>
      </c>
      <c r="EN41" s="57">
        <f>SUMIFS(tblPlant[Mill_Planned_Maint_h],tblPlant[Date],$A41)</f>
        <v/>
      </c>
      <c r="EO41" s="57">
        <f>IF($B41=$B40,$EO40,0)+$EN41</f>
        <v/>
      </c>
      <c r="EP41" s="57">
        <f>$EP40+$EN41</f>
        <v/>
      </c>
      <c r="EQ41" s="57">
        <f>SUMIFS(tblPlant[Mill_Unplanned_Down_h],tblPlant[Date],$A41)</f>
        <v/>
      </c>
      <c r="ER41" s="57">
        <f>IF($B41=$B40,$ER40,0)+$EQ41</f>
        <v/>
      </c>
      <c r="ES41" s="57">
        <f>$ES40+$EQ41</f>
        <v/>
      </c>
      <c r="ET41" s="57">
        <f>IF(COUNTIFS(tblPlant[Date],$A41,tblPlant[Mill_Run_h],"&lt;&gt;")+COUNTIFS(tblPlant[Date],$A41,tblPlant[Mill_Planned_Maint_h],"&lt;&gt;")+COUNTIFS(tblPlant[Date],$A41,tblPlant[Mill_Unplanned_Down_h],"&lt;&gt;")&gt;0,cfg_HoursPerDay,0)</f>
        <v/>
      </c>
      <c r="EU41" s="57">
        <f>IF($B41=$B40,$EU40,0)+$ET41</f>
        <v/>
      </c>
      <c r="EV41" s="57">
        <f>$EV40+$ET41</f>
        <v/>
      </c>
      <c r="EW41" s="57">
        <f>SUMIFS(tblPlant[Crusher_Run_h],tblPlant[Date],$A41)</f>
        <v/>
      </c>
      <c r="EX41" s="57">
        <f>IF($B41=$B40,$EX40,0)+$EW41</f>
        <v/>
      </c>
      <c r="EY41" s="57">
        <f>$EY40+$EW41</f>
        <v/>
      </c>
      <c r="EZ41" s="55">
        <f>IFERROR(IF(($EK41)&gt;0,($DP41)/($EK41),""),"")</f>
        <v/>
      </c>
      <c r="FA41" s="55">
        <f>IFERROR(IF(($EL41)&gt;0,($DQ41)/($EL41),""),"")</f>
        <v/>
      </c>
      <c r="FB41" s="55">
        <f>IFERROR(IF(($EM41)&gt;0,($DR41)/($EM41),""),"")</f>
        <v/>
      </c>
      <c r="FC41" s="67">
        <f>IFERROR(IF(($ET41)&gt;0,($ET41-$EN41-$EQ41)/($ET41),""),"")</f>
        <v/>
      </c>
      <c r="FD41" s="67">
        <f>IFERROR(IF(($EU41)&gt;0,($EU41-$EO41-$ER41)/($EU41),""),"")</f>
        <v/>
      </c>
      <c r="FE41" s="67">
        <f>IFERROR(IF(($EV41)&gt;0,($EV41-$EP41-$ES41)/($EV41),""),"")</f>
        <v/>
      </c>
      <c r="FF41" s="67">
        <f>IFERROR(IF(($ET41-$EN41-$EQ41)&gt;0,($EK41)/($ET41-$EN41-$EQ41),""),"")</f>
        <v/>
      </c>
      <c r="FG41" s="67">
        <f>IFERROR(IF(($EU41-$EO41-$ER41)&gt;0,($EL41)/($EU41-$EO41-$ER41),""),"")</f>
        <v/>
      </c>
      <c r="FH41" s="67">
        <f>IFERROR(IF(($EV41-$EP41-$ES41)&gt;0,($EM41)/($EV41-$EP41-$ES41),""),"")</f>
        <v/>
      </c>
      <c r="FI41" s="55">
        <f>SUMIFS(tblPlant[Cyanide_kg],tblPlant[Date],$A41)</f>
        <v/>
      </c>
      <c r="FJ41" s="55">
        <f>IF($B41=$B40,$FJ40,0)+$FI41</f>
        <v/>
      </c>
      <c r="FK41" s="55">
        <f>$FK40+$FI41</f>
        <v/>
      </c>
      <c r="FL41" s="55">
        <f>SUMIFS(tblPlant[Lime_kg],tblPlant[Date],$A41)</f>
        <v/>
      </c>
      <c r="FM41" s="55">
        <f>IF($B41=$B40,$FM40,0)+$FL41</f>
        <v/>
      </c>
      <c r="FN41" s="55">
        <f>$FN40+$FL41</f>
        <v/>
      </c>
      <c r="FO41" s="55">
        <f>SUMIFS(tblPlant[Grinding_Media_kg],tblPlant[Date],$A41)</f>
        <v/>
      </c>
      <c r="FP41" s="55">
        <f>IF($B41=$B40,$FP40,0)+$FO41</f>
        <v/>
      </c>
      <c r="FQ41" s="55">
        <f>$FQ40+$FO41</f>
        <v/>
      </c>
      <c r="FR41" s="55">
        <f>SUMIFS(tblPlant[Power_kWh],tblPlant[Date],$A41)</f>
        <v/>
      </c>
      <c r="FS41" s="55">
        <f>IF($B41=$B40,$FS40,0)+$FR41</f>
        <v/>
      </c>
      <c r="FT41" s="55">
        <f>$FT40+$FR41</f>
        <v/>
      </c>
      <c r="FU41" s="55">
        <f>SUMIFS(tblPlant[Raw_Water_m3],tblPlant[Date],$A41)</f>
        <v/>
      </c>
      <c r="FV41" s="55">
        <f>IF($B41=$B40,$FV40,0)+$FU41</f>
        <v/>
      </c>
      <c r="FW41" s="55">
        <f>$FW40+$FU41</f>
        <v/>
      </c>
      <c r="FX41" s="56">
        <f>IFERROR(IF(($CU41)&gt;0,($FI41)/($CU41),""),"")</f>
        <v/>
      </c>
      <c r="FY41" s="56">
        <f>IFERROR(IF(($CV41)&gt;0,($FJ41)/($CV41),""),"")</f>
        <v/>
      </c>
      <c r="FZ41" s="56">
        <f>IFERROR(IF(($CW41)&gt;0,($FK41)/($CW41),""),"")</f>
        <v/>
      </c>
      <c r="GA41" s="56">
        <f>IFERROR(IF(($CU41)&gt;0,($FL41)/($CU41),""),"")</f>
        <v/>
      </c>
      <c r="GB41" s="56">
        <f>IFERROR(IF(($CV41)&gt;0,($FM41)/($CV41),""),"")</f>
        <v/>
      </c>
      <c r="GC41" s="56">
        <f>IFERROR(IF(($CW41)&gt;0,($FN41)/($CW41),""),"")</f>
        <v/>
      </c>
      <c r="GD41" s="56">
        <f>IFERROR(IF(($CU41)&gt;0,($FO41)/($CU41),""),"")</f>
        <v/>
      </c>
      <c r="GE41" s="56">
        <f>IFERROR(IF(($CV41)&gt;0,($FP41)/($CV41),""),"")</f>
        <v/>
      </c>
      <c r="GF41" s="56">
        <f>IFERROR(IF(($CW41)&gt;0,($FQ41)/($CW41),""),"")</f>
        <v/>
      </c>
      <c r="GG41" s="79">
        <f>IFERROR(IF(($CU41)&gt;0,($FR41)/($CU41),""),"")</f>
        <v/>
      </c>
      <c r="GH41" s="79">
        <f>IFERROR(IF(($CV41)&gt;0,($FS41)/($CV41),""),"")</f>
        <v/>
      </c>
      <c r="GI41" s="79">
        <f>IFERROR(IF(($CW41)&gt;0,($FT41)/($CW41),""),"")</f>
        <v/>
      </c>
      <c r="GJ41" s="56">
        <f>IFERROR(IF(($CU41)&gt;0,($FU41)/($CU41),""),"")</f>
        <v/>
      </c>
      <c r="GK41" s="56">
        <f>IFERROR(IF(($CV41)&gt;0,($FV41)/($CV41),""),"")</f>
        <v/>
      </c>
      <c r="GL41" s="56">
        <f>IFERROR(IF(($CW41)&gt;0,($FW41)/($CW41),""),"")</f>
        <v/>
      </c>
      <c r="GM41" s="55">
        <f>IF(SUMIFS(tblPlant[GIC_oz],tblPlant[Date],$A41)&gt;0,SUMIFS(tblPlant[GIC_oz],tblPlant[Date],$A41),"")</f>
        <v/>
      </c>
      <c r="GN41" s="55">
        <f>SUMIFS(tblGold[Gold_oz],tblGold[Date],$A41,tblGold[Type],"Shipment")</f>
        <v/>
      </c>
      <c r="GO41" s="55">
        <f>IF($B41=$B40,$GO40,0)+$GN41</f>
        <v/>
      </c>
      <c r="GP41" s="55">
        <f>$GP40+$GN41</f>
        <v/>
      </c>
      <c r="GQ41" s="55">
        <f>SUMIFS(tblGold[Gold_oz],tblGold[Date],$A41,tblGold[Type],"Sale")</f>
        <v/>
      </c>
      <c r="GR41" s="55">
        <f>IF($B41=$B40,$GR40,0)+$GQ41</f>
        <v/>
      </c>
      <c r="GS41" s="55">
        <f>$GS40+$GQ41</f>
        <v/>
      </c>
      <c r="GT41" s="55">
        <f>SUMIFS(tblGold[Dore_kg],tblGold[Date],$A41,tblGold[Type],"Shipment")</f>
        <v/>
      </c>
      <c r="GU41" s="55">
        <f>IF($B41=$B40,$GU40,0)+$GT41</f>
        <v/>
      </c>
      <c r="GV41" s="55">
        <f>$GV40+$GT41</f>
        <v/>
      </c>
      <c r="GW41" s="57">
        <f>SUMIFS(tblSafety[Hours_Total],tblSafety[Date],$A41)</f>
        <v/>
      </c>
      <c r="GX41" s="57">
        <f>IF($B41=$B40,$GX40,0)+$GW41</f>
        <v/>
      </c>
      <c r="GY41" s="57">
        <f>$GY40+$GW41</f>
        <v/>
      </c>
      <c r="GZ41" s="62">
        <f>SUMIFS(tblSafety[Fatality],tblSafety[Date],$A41)</f>
        <v/>
      </c>
      <c r="HA41" s="62">
        <f>IF($B41=$B40,$HA40,0)+$GZ41</f>
        <v/>
      </c>
      <c r="HB41" s="62">
        <f>$HB40+$GZ41</f>
        <v/>
      </c>
      <c r="HC41" s="62">
        <f>SUMIFS(tblSafety[LTI],tblSafety[Date],$A41)</f>
        <v/>
      </c>
      <c r="HD41" s="62">
        <f>IF($B41=$B40,$HD40,0)+$HC41</f>
        <v/>
      </c>
      <c r="HE41" s="62">
        <f>$HE40+$HC41</f>
        <v/>
      </c>
      <c r="HF41" s="62">
        <f>SUMIFS(tblSafety[RWI],tblSafety[Date],$A41)</f>
        <v/>
      </c>
      <c r="HG41" s="62">
        <f>IF($B41=$B40,$HG40,0)+$HF41</f>
        <v/>
      </c>
      <c r="HH41" s="62">
        <f>$HH40+$HF41</f>
        <v/>
      </c>
      <c r="HI41" s="62">
        <f>SUMIFS(tblSafety[MTI],tblSafety[Date],$A41)</f>
        <v/>
      </c>
      <c r="HJ41" s="62">
        <f>IF($B41=$B40,$HJ40,0)+$HI41</f>
        <v/>
      </c>
      <c r="HK41" s="62">
        <f>$HK40+$HI41</f>
        <v/>
      </c>
      <c r="HL41" s="62">
        <f>SUMIFS(tblSafety[FAI],tblSafety[Date],$A41)</f>
        <v/>
      </c>
      <c r="HM41" s="62">
        <f>IF($B41=$B40,$HM40,0)+$HL41</f>
        <v/>
      </c>
      <c r="HN41" s="62">
        <f>$HN40+$HL41</f>
        <v/>
      </c>
      <c r="HO41" s="62">
        <f>SUMIFS(tblSafety[Recordables],tblSafety[Date],$A41)</f>
        <v/>
      </c>
      <c r="HP41" s="62">
        <f>IF($B41=$B40,$HP40,0)+$HO41</f>
        <v/>
      </c>
      <c r="HQ41" s="62">
        <f>$HQ40+$HO41</f>
        <v/>
      </c>
      <c r="HR41" s="62">
        <f>SUMIFS(tblSafety[Near_Miss],tblSafety[Date],$A41)</f>
        <v/>
      </c>
      <c r="HS41" s="62">
        <f>IF($B41=$B40,$HS40,0)+$HR41</f>
        <v/>
      </c>
      <c r="HT41" s="62">
        <f>$HT40+$HR41</f>
        <v/>
      </c>
      <c r="HU41" s="62">
        <f>SUMIFS(tblSafety[Hazard_Reports],tblSafety[Date],$A41)</f>
        <v/>
      </c>
      <c r="HV41" s="62">
        <f>IF($B41=$B40,$HV40,0)+$HU41</f>
        <v/>
      </c>
      <c r="HW41" s="62">
        <f>$HW40+$HU41</f>
        <v/>
      </c>
      <c r="HX41" s="62">
        <f>SUMIFS(tblSafety[HPI],tblSafety[Date],$A41)</f>
        <v/>
      </c>
      <c r="HY41" s="62">
        <f>IF($B41=$B40,$HY40,0)+$HX41</f>
        <v/>
      </c>
      <c r="HZ41" s="62">
        <f>$HZ40+$HX41</f>
        <v/>
      </c>
      <c r="IA41" s="62">
        <f>SUMIFS(tblSafety[Env_Incidents],tblSafety[Date],$A41)</f>
        <v/>
      </c>
      <c r="IB41" s="62">
        <f>IF($B41=$B40,$IB40,0)+$IA41</f>
        <v/>
      </c>
      <c r="IC41" s="62">
        <f>$IC40+$IA41</f>
        <v/>
      </c>
      <c r="ID41" s="62">
        <f>SUMIFS(tblSafety[Community_Incidents],tblSafety[Date],$A41)</f>
        <v/>
      </c>
      <c r="IE41" s="62">
        <f>IF($B41=$B40,$IE40,0)+$ID41</f>
        <v/>
      </c>
      <c r="IF41" s="62">
        <f>$IF40+$ID41</f>
        <v/>
      </c>
      <c r="IG41" s="62">
        <f>SUMIFS(tblSafety[Vehicle_Incidents],tblSafety[Date],$A41)</f>
        <v/>
      </c>
      <c r="IH41" s="62">
        <f>IF($B41=$B40,$IH40,0)+$IG41</f>
        <v/>
      </c>
      <c r="II41" s="62">
        <f>$II40+$IG41</f>
        <v/>
      </c>
      <c r="IJ41" s="62">
        <f>SUMIFS(tblSafety[Toolbox_Talks],tblSafety[Date],$A41)</f>
        <v/>
      </c>
      <c r="IK41" s="62">
        <f>IF($B41=$B40,$IK40,0)+$IJ41</f>
        <v/>
      </c>
      <c r="IL41" s="62">
        <f>$IL40+$IJ41</f>
        <v/>
      </c>
      <c r="IM41" s="62">
        <f>SUMIFS(tblSafety[Inspections],tblSafety[Date],$A41)</f>
        <v/>
      </c>
      <c r="IN41" s="62">
        <f>IF($B41=$B40,$IN40,0)+$IM41</f>
        <v/>
      </c>
      <c r="IO41" s="62">
        <f>$IO40+$IM41</f>
        <v/>
      </c>
      <c r="IP41" s="56">
        <f>IFERROR((SUMIFS(tblSafety[Recordables],tblSafety[Date],"&gt;="&amp;EDATE($E41,-12),tblSafety[Date],"&lt;="&amp;$A41)+SUMIFS(tblSafetyHistory[Recordables],tblSafetyHistory[Month],"&gt;="&amp;EDATE($E41,-12),tblSafetyHistory[Month],"&lt;"&amp;$E41,tblSafetyHistory[Use],1))/(SUMIFS(tblSafety[Hours_Total],tblSafety[Date],"&gt;="&amp;EDATE($E41,-12),tblSafety[Date],"&lt;="&amp;$A41)+SUMIFS(tblSafetyHistory[Hours_Total],tblSafetyHistory[Month],"&gt;="&amp;EDATE($E41,-12),tblSafetyHistory[Month],"&lt;"&amp;$E41,tblSafetyHistory[Use],1))*cfg_RateBasisHours,"")</f>
        <v/>
      </c>
      <c r="IQ41" s="56">
        <f>IFERROR((SUMIFS(tblSafety[LTI],tblSafety[Date],"&gt;="&amp;EDATE($E41,-12),tblSafety[Date],"&lt;="&amp;$A41)+SUMIFS(tblSafetyHistory[LTI],tblSafetyHistory[Month],"&gt;="&amp;EDATE($E41,-12),tblSafetyHistory[Month],"&lt;"&amp;$E41,tblSafetyHistory[Use],1))/(SUMIFS(tblSafety[Hours_Total],tblSafety[Date],"&gt;="&amp;EDATE($E41,-12),tblSafety[Date],"&lt;="&amp;$A41)+SUMIFS(tblSafetyHistory[Hours_Total],tblSafetyHistory[Month],"&gt;="&amp;EDATE($E41,-12),tblSafetyHistory[Month],"&lt;"&amp;$E41,tblSafetyHistory[Use],1))*cfg_RateBasisHours,"")</f>
        <v/>
      </c>
      <c r="IR41" s="62">
        <f>IF(MAX(N(cfg_PriorLTIDate),_xlfn.MAXIFS(tblSafety[Date],tblSafety[LTI],"&gt;0",tblSafety[Date],"&lt;="&amp;$A41))=0,"",$A41-MAX(N(cfg_PriorLTIDate),_xlfn.MAXIFS(tblSafety[Date],tblSafety[LTI],"&gt;0",tblSafety[Date],"&lt;="&amp;$A41)))</f>
        <v/>
      </c>
      <c r="IS41" s="55">
        <f>SUMIFS(tblBudget[Ore_Mined_t],tblBudget[Month],$E41)</f>
        <v/>
      </c>
      <c r="IT41" s="55">
        <f>$IS41*$C41/$D41</f>
        <v/>
      </c>
      <c r="IU41" s="55">
        <f>SUMIFS(tblBudget[Ore_Mined_t],tblBudget[Month],"&lt;"&amp;$E41)+$IT41</f>
        <v/>
      </c>
      <c r="IV41" s="55">
        <f>SUMIFS(tblBudget[Ore_oz],tblBudget[Month],$E41)</f>
        <v/>
      </c>
      <c r="IW41" s="55">
        <f>$IV41*$C41/$D41</f>
        <v/>
      </c>
      <c r="IX41" s="55">
        <f>SUMIFS(tblBudget[Ore_oz],tblBudget[Month],"&lt;"&amp;$E41)+$IW41</f>
        <v/>
      </c>
      <c r="IY41" s="55">
        <f>SUMIFS(tblBudget[Ore_Mined_t],tblBudget[Month],$E41)</f>
        <v/>
      </c>
      <c r="IZ41" s="55">
        <f>$IY41*$C41/$D41</f>
        <v/>
      </c>
      <c r="JA41" s="55">
        <f>SUMIFS(tblBudget[Ore_Mined_t],tblBudget[Month],"&lt;"&amp;$E41)+$IZ41</f>
        <v/>
      </c>
      <c r="JB41" s="56">
        <f>IFERROR(IF(($IY41)&gt;0,($IV41*cfg_TroyOz)/($IY41),""),"")</f>
        <v/>
      </c>
      <c r="JC41" s="56">
        <f>IFERROR(IF(($IZ41)&gt;0,($IW41*cfg_TroyOz)/($IZ41),""),"")</f>
        <v/>
      </c>
      <c r="JD41" s="56">
        <f>IFERROR(IF(($JA41)&gt;0,($IX41*cfg_TroyOz)/($JA41),""),"")</f>
        <v/>
      </c>
      <c r="JE41" s="55">
        <f>SUMIFS(tblBudget[Waste_t],tblBudget[Month],$E41)</f>
        <v/>
      </c>
      <c r="JF41" s="55">
        <f>$JE41*$C41/$D41</f>
        <v/>
      </c>
      <c r="JG41" s="55">
        <f>SUMIFS(tblBudget[Waste_t],tblBudget[Month],"&lt;"&amp;$E41)+$JF41</f>
        <v/>
      </c>
      <c r="JH41" s="55">
        <f>SUMIFS(tblBudget[TMM_t],tblBudget[Month],$E41)</f>
        <v/>
      </c>
      <c r="JI41" s="55">
        <f>$JH41*$C41/$D41</f>
        <v/>
      </c>
      <c r="JJ41" s="55">
        <f>SUMIFS(tblBudget[TMM_t],tblBudget[Month],"&lt;"&amp;$E41)+$JI41</f>
        <v/>
      </c>
      <c r="JK41" s="56">
        <f>IFERROR(IF(($IS41)&gt;0,($JE41)/($IS41),""),"")</f>
        <v/>
      </c>
      <c r="JL41" s="56">
        <f>IFERROR(IF(($IT41)&gt;0,($JF41)/($IT41),""),"")</f>
        <v/>
      </c>
      <c r="JM41" s="56">
        <f>IFERROR(IF(($IU41)&gt;0,($JG41)/($IU41),""),"")</f>
        <v/>
      </c>
      <c r="JN41" s="55">
        <f>SUMIFS(tblBudget[Drill_m],tblBudget[Month],$E41)</f>
        <v/>
      </c>
      <c r="JO41" s="55">
        <f>$JN41*$C41/$D41</f>
        <v/>
      </c>
      <c r="JP41" s="55">
        <f>SUMIFS(tblBudget[Drill_m],tblBudget[Month],"&lt;"&amp;$E41)+$JO41</f>
        <v/>
      </c>
      <c r="JQ41" s="55">
        <f>SUMIFS(tblBudget[Diesel_L],tblBudget[Month],$E41)</f>
        <v/>
      </c>
      <c r="JR41" s="55">
        <f>$JQ41*$C41/$D41</f>
        <v/>
      </c>
      <c r="JS41" s="55">
        <f>SUMIFS(tblBudget[Diesel_L],tblBudget[Month],"&lt;"&amp;$E41)+$JR41</f>
        <v/>
      </c>
      <c r="JT41" s="55">
        <f>SUMIFS(tblBudget[Milled_t],tblBudget[Month],$E41)</f>
        <v/>
      </c>
      <c r="JU41" s="55">
        <f>$JT41*$C41/$D41</f>
        <v/>
      </c>
      <c r="JV41" s="55">
        <f>SUMIFS(tblBudget[Milled_t],tblBudget[Month],"&lt;"&amp;$E41)+$JU41</f>
        <v/>
      </c>
      <c r="JW41" s="55">
        <f>SUMIFS(tblBudget[Feed_oz],tblBudget[Month],$E41)</f>
        <v/>
      </c>
      <c r="JX41" s="55">
        <f>$JW41*$C41/$D41</f>
        <v/>
      </c>
      <c r="JY41" s="55">
        <f>SUMIFS(tblBudget[Feed_oz],tblBudget[Month],"&lt;"&amp;$E41)+$JX41</f>
        <v/>
      </c>
      <c r="JZ41" s="55">
        <f>SUMIFS(tblBudget[Recovered_oz],tblBudget[Month],$E41)</f>
        <v/>
      </c>
      <c r="KA41" s="55">
        <f>$JZ41*$C41/$D41</f>
        <v/>
      </c>
      <c r="KB41" s="55">
        <f>SUMIFS(tblBudget[Recovered_oz],tblBudget[Month],"&lt;"&amp;$E41)+$KA41</f>
        <v/>
      </c>
      <c r="KC41" s="55">
        <f>SUMIFS(tblBudget[Milled_t],tblBudget[Month],$E41)</f>
        <v/>
      </c>
      <c r="KD41" s="55">
        <f>$KC41*$C41/$D41</f>
        <v/>
      </c>
      <c r="KE41" s="55">
        <f>SUMIFS(tblBudget[Milled_t],tblBudget[Month],"&lt;"&amp;$E41)+$KD41</f>
        <v/>
      </c>
      <c r="KF41" s="55">
        <f>SUMIFS(tblBudget[Feed_oz],tblBudget[Month],$E41)</f>
        <v/>
      </c>
      <c r="KG41" s="55">
        <f>$KF41*$C41/$D41</f>
        <v/>
      </c>
      <c r="KH41" s="55">
        <f>SUMIFS(tblBudget[Feed_oz],tblBudget[Month],"&lt;"&amp;$E41)+$KG41</f>
        <v/>
      </c>
      <c r="KI41" s="56">
        <f>IFERROR(IF(($KC41)&gt;0,($JW41*cfg_TroyOz)/($KC41),""),"")</f>
        <v/>
      </c>
      <c r="KJ41" s="56">
        <f>IFERROR(IF(($KD41)&gt;0,($JX41*cfg_TroyOz)/($KD41),""),"")</f>
        <v/>
      </c>
      <c r="KK41" s="56">
        <f>IFERROR(IF(($KE41)&gt;0,($JY41*cfg_TroyOz)/($KE41),""),"")</f>
        <v/>
      </c>
      <c r="KL41" s="67">
        <f>IFERROR(IF(($KF41)&gt;0,($JZ41)/($KF41),""),"")</f>
        <v/>
      </c>
      <c r="KM41" s="67">
        <f>IFERROR(IF(($KG41)&gt;0,($KA41)/($KG41),""),"")</f>
        <v/>
      </c>
      <c r="KN41" s="67">
        <f>IFERROR(IF(($KH41)&gt;0,($KB41)/($KH41),""),"")</f>
        <v/>
      </c>
      <c r="KO41" s="55">
        <f>SUMIFS(tblBudget[Gold_Poured_oz],tblBudget[Month],$E41)</f>
        <v/>
      </c>
      <c r="KP41" s="55">
        <f>$KO41*$C41/$D41</f>
        <v/>
      </c>
      <c r="KQ41" s="55">
        <f>SUMIFS(tblBudget[Gold_Poured_oz],tblBudget[Month],"&lt;"&amp;$E41)+$KP41</f>
        <v/>
      </c>
      <c r="KR41" s="57">
        <f>SUMIFS(tblBudget[Hours_Worked],tblBudget[Month],$E41)</f>
        <v/>
      </c>
      <c r="KS41" s="57">
        <f>$KR41*$C41/$D41</f>
        <v/>
      </c>
      <c r="KT41" s="57">
        <f>SUMIFS(tblBudget[Hours_Worked],tblBudget[Month],"&lt;"&amp;$E41)+$KS41</f>
        <v/>
      </c>
    </row>
    <row r="42">
      <c r="A42" s="54" t="n">
        <v>46063</v>
      </c>
      <c r="B42">
        <f>MONTH($A42)</f>
        <v/>
      </c>
      <c r="C42">
        <f>DAY($A42)</f>
        <v/>
      </c>
      <c r="D42">
        <f>DAY(EOMONTH($A42,0))</f>
        <v/>
      </c>
      <c r="E42" s="54">
        <f>DATE(YEAR($A42),MONTH($A42),1)</f>
        <v/>
      </c>
      <c r="F42" s="55">
        <f>SUMIFS(tblMovement[Tonnes_t],tblMovement[Date],$A42,tblMovement[Is_Ore],1,tblMovement[Source_Type],"Pit")</f>
        <v/>
      </c>
      <c r="G42" s="55">
        <f>IF($B42=$B41,$G41,0)+$F42</f>
        <v/>
      </c>
      <c r="H42" s="55">
        <f>$H41+$F42</f>
        <v/>
      </c>
      <c r="I42" s="55">
        <f>SUMIFS(tblMovement[Ore_oz],tblMovement[Date],$A42,tblMovement[Source_Type],"Pit")</f>
        <v/>
      </c>
      <c r="J42" s="55">
        <f>IF($B42=$B41,$J41,0)+$I42</f>
        <v/>
      </c>
      <c r="K42" s="55">
        <f>$K41+$I42</f>
        <v/>
      </c>
      <c r="L42" s="55">
        <f>SUMIFS(tblMovement[Tonnes_t],tblMovement[Date],$A42,tblMovement[Is_Ore],1,tblMovement[Source_Type],"Pit",tblMovement[Grade_gpt],"&lt;&gt;")</f>
        <v/>
      </c>
      <c r="M42" s="55">
        <f>IF($B42=$B41,$M41,0)+$L42</f>
        <v/>
      </c>
      <c r="N42" s="55">
        <f>$N41+$L42</f>
        <v/>
      </c>
      <c r="O42" s="56">
        <f>IFERROR(IF(($L42)&gt;0,($I42*cfg_TroyOz)/($L42),""),"")</f>
        <v/>
      </c>
      <c r="P42" s="56">
        <f>IFERROR(IF(($M42)&gt;0,($J42*cfg_TroyOz)/($M42),""),"")</f>
        <v/>
      </c>
      <c r="Q42" s="56">
        <f>IFERROR(IF(($N42)&gt;0,($K42*cfg_TroyOz)/($N42),""),"")</f>
        <v/>
      </c>
      <c r="R42" s="55">
        <f>$F42-$L42</f>
        <v/>
      </c>
      <c r="S42" s="55">
        <f>IF($B42=$B41,$S41,0)+$R42</f>
        <v/>
      </c>
      <c r="T42" s="55">
        <f>$T41+$R42</f>
        <v/>
      </c>
      <c r="U42" s="55">
        <f>SUMIFS(tblMovement[Tonnes_t],tblMovement[Date],$A42,tblMovement[Is_Ore],0,tblMovement[Source_Type],"Pit")</f>
        <v/>
      </c>
      <c r="V42" s="55">
        <f>IF($B42=$B41,$V41,0)+$U42</f>
        <v/>
      </c>
      <c r="W42" s="55">
        <f>$W41+$U42</f>
        <v/>
      </c>
      <c r="X42" s="55">
        <f>$F42+$U42</f>
        <v/>
      </c>
      <c r="Y42" s="55">
        <f>IF($B42=$B41,$Y41,0)+$X42</f>
        <v/>
      </c>
      <c r="Z42" s="55">
        <f>$Z41+$X42</f>
        <v/>
      </c>
      <c r="AA42" s="56">
        <f>IFERROR(IF(($F42)&gt;0,($U42)/($F42),""),"")</f>
        <v/>
      </c>
      <c r="AB42" s="56">
        <f>IFERROR(IF(($G42)&gt;0,($V42)/($G42),""),"")</f>
        <v/>
      </c>
      <c r="AC42" s="56">
        <f>IFERROR(IF(($H42)&gt;0,($W42)/($H42),""),"")</f>
        <v/>
      </c>
      <c r="AD42" s="55">
        <f>SUMIFS(tblMovement[Tonnes_t],tblMovement[Date],$A42,tblMovement[Source_Type],"Stockpile")</f>
        <v/>
      </c>
      <c r="AE42" s="55">
        <f>IF($B42=$B41,$AE41,0)+$AD42</f>
        <v/>
      </c>
      <c r="AF42" s="55">
        <f>$AF41+$AD42</f>
        <v/>
      </c>
      <c r="AG42" s="55">
        <f>SUMIFS(tblMovement[Tonnes_t],tblMovement[Date],$A42)</f>
        <v/>
      </c>
      <c r="AH42" s="55">
        <f>IF($B42=$B41,$AH41,0)+$AG42</f>
        <v/>
      </c>
      <c r="AI42" s="55">
        <f>$AI41+$AG42</f>
        <v/>
      </c>
      <c r="AJ42" s="55">
        <f>$AG42-$X42-$AD42</f>
        <v/>
      </c>
      <c r="AK42" s="55">
        <f>IF($B42=$B41,$AK41,0)+$AJ42</f>
        <v/>
      </c>
      <c r="AL42" s="55">
        <f>$AL41+$AJ42</f>
        <v/>
      </c>
      <c r="AM42" s="55">
        <f>SUMIFS(tblMiningDaily[Drill_m],tblMiningDaily[Date],$A42)</f>
        <v/>
      </c>
      <c r="AN42" s="55">
        <f>IF($B42=$B41,$AN41,0)+$AM42</f>
        <v/>
      </c>
      <c r="AO42" s="55">
        <f>$AO41+$AM42</f>
        <v/>
      </c>
      <c r="AP42" s="55">
        <f>SUMIFS(tblMiningDaily[GC_Drill_m],tblMiningDaily[Date],$A42)</f>
        <v/>
      </c>
      <c r="AQ42" s="55">
        <f>IF($B42=$B41,$AQ41,0)+$AP42</f>
        <v/>
      </c>
      <c r="AR42" s="55">
        <f>$AR41+$AP42</f>
        <v/>
      </c>
      <c r="AS42" s="55">
        <f>SUMIFS(tblMiningDaily[Blast_t],tblMiningDaily[Date],$A42)</f>
        <v/>
      </c>
      <c r="AT42" s="55">
        <f>IF($B42=$B41,$AT41,0)+$AS42</f>
        <v/>
      </c>
      <c r="AU42" s="55">
        <f>$AU41+$AS42</f>
        <v/>
      </c>
      <c r="AV42" s="55">
        <f>SUMIFS(tblMiningDaily[Explosives_kg],tblMiningDaily[Date],$A42)</f>
        <v/>
      </c>
      <c r="AW42" s="55">
        <f>IF($B42=$B41,$AW41,0)+$AV42</f>
        <v/>
      </c>
      <c r="AX42" s="55">
        <f>$AX41+$AV42</f>
        <v/>
      </c>
      <c r="AY42" s="56">
        <f>IFERROR(IF(($AS42)&gt;0,($AV42)/($AS42),""),"")</f>
        <v/>
      </c>
      <c r="AZ42" s="56">
        <f>IFERROR(IF(($AT42)&gt;0,($AW42)/($AT42),""),"")</f>
        <v/>
      </c>
      <c r="BA42" s="56">
        <f>IFERROR(IF(($AU42)&gt;0,($AX42)/($AU42),""),"")</f>
        <v/>
      </c>
      <c r="BB42" s="55">
        <f>SUMIFS(tblMiningDaily[Diesel_L],tblMiningDaily[Date],$A42)</f>
        <v/>
      </c>
      <c r="BC42" s="55">
        <f>IF($B42=$B41,$BC41,0)+$BB42</f>
        <v/>
      </c>
      <c r="BD42" s="55">
        <f>$BD41+$BB42</f>
        <v/>
      </c>
      <c r="BE42" s="55">
        <f>SUMIFS(tblMiningDaily[Dewatering_m3],tblMiningDaily[Date],$A42)</f>
        <v/>
      </c>
      <c r="BF42" s="55">
        <f>IF($B42=$B41,$BF41,0)+$BE42</f>
        <v/>
      </c>
      <c r="BG42" s="55">
        <f>$BG41+$BE42</f>
        <v/>
      </c>
      <c r="BH42" s="57">
        <f>SUMIFS(tblFleet[Calendar_h],tblFleet[Date],$A42,tblFleet[Equipment_Class],"Excavator")</f>
        <v/>
      </c>
      <c r="BI42" s="57">
        <f>IF($B42=$B41,$BI41,0)+$BH42</f>
        <v/>
      </c>
      <c r="BJ42" s="57">
        <f>$BJ41+$BH42</f>
        <v/>
      </c>
      <c r="BK42" s="57">
        <f>SUMIFS(tblFleet[Available_h],tblFleet[Date],$A42,tblFleet[Equipment_Class],"Excavator")</f>
        <v/>
      </c>
      <c r="BL42" s="57">
        <f>IF($B42=$B41,$BL41,0)+$BK42</f>
        <v/>
      </c>
      <c r="BM42" s="57">
        <f>$BM41+$BK42</f>
        <v/>
      </c>
      <c r="BN42" s="57">
        <f>SUMIFS(tblFleet[Operating_h],tblFleet[Date],$A42,tblFleet[Equipment_Class],"Excavator")</f>
        <v/>
      </c>
      <c r="BO42" s="57">
        <f>IF($B42=$B41,$BO41,0)+$BN42</f>
        <v/>
      </c>
      <c r="BP42" s="57">
        <f>$BP41+$BN42</f>
        <v/>
      </c>
      <c r="BQ42" s="67">
        <f>IFERROR(IF(($BH42)&gt;0,($BK42)/($BH42),""),"")</f>
        <v/>
      </c>
      <c r="BR42" s="67">
        <f>IFERROR(IF(($BI42)&gt;0,($BL42)/($BI42),""),"")</f>
        <v/>
      </c>
      <c r="BS42" s="67">
        <f>IFERROR(IF(($BJ42)&gt;0,($BM42)/($BJ42),""),"")</f>
        <v/>
      </c>
      <c r="BT42" s="67">
        <f>IFERROR(IF(($BK42)&gt;0,($BN42)/($BK42),""),"")</f>
        <v/>
      </c>
      <c r="BU42" s="67">
        <f>IFERROR(IF(($BL42)&gt;0,($BO42)/($BL42),""),"")</f>
        <v/>
      </c>
      <c r="BV42" s="67">
        <f>IFERROR(IF(($BM42)&gt;0,($BP42)/($BM42),""),"")</f>
        <v/>
      </c>
      <c r="BW42" s="57">
        <f>SUMIFS(tblFleet[Calendar_h],tblFleet[Date],$A42,tblFleet[Equipment_Class],"Haul Truck")</f>
        <v/>
      </c>
      <c r="BX42" s="57">
        <f>IF($B42=$B41,$BX41,0)+$BW42</f>
        <v/>
      </c>
      <c r="BY42" s="57">
        <f>$BY41+$BW42</f>
        <v/>
      </c>
      <c r="BZ42" s="57">
        <f>SUMIFS(tblFleet[Available_h],tblFleet[Date],$A42,tblFleet[Equipment_Class],"Haul Truck")</f>
        <v/>
      </c>
      <c r="CA42" s="57">
        <f>IF($B42=$B41,$CA41,0)+$BZ42</f>
        <v/>
      </c>
      <c r="CB42" s="57">
        <f>$CB41+$BZ42</f>
        <v/>
      </c>
      <c r="CC42" s="57">
        <f>SUMIFS(tblFleet[Operating_h],tblFleet[Date],$A42,tblFleet[Equipment_Class],"Haul Truck")</f>
        <v/>
      </c>
      <c r="CD42" s="57">
        <f>IF($B42=$B41,$CD41,0)+$CC42</f>
        <v/>
      </c>
      <c r="CE42" s="57">
        <f>$CE41+$CC42</f>
        <v/>
      </c>
      <c r="CF42" s="67">
        <f>IFERROR(IF(($BW42)&gt;0,($BZ42)/($BW42),""),"")</f>
        <v/>
      </c>
      <c r="CG42" s="67">
        <f>IFERROR(IF(($BX42)&gt;0,($CA42)/($BX42),""),"")</f>
        <v/>
      </c>
      <c r="CH42" s="67">
        <f>IFERROR(IF(($BY42)&gt;0,($CB42)/($BY42),""),"")</f>
        <v/>
      </c>
      <c r="CI42" s="67">
        <f>IFERROR(IF(($BZ42)&gt;0,($CC42)/($BZ42),""),"")</f>
        <v/>
      </c>
      <c r="CJ42" s="67">
        <f>IFERROR(IF(($CA42)&gt;0,($CD42)/($CA42),""),"")</f>
        <v/>
      </c>
      <c r="CK42" s="67">
        <f>IFERROR(IF(($CB42)&gt;0,($CE42)/($CB42),""),"")</f>
        <v/>
      </c>
      <c r="CL42" s="55">
        <f>IFERROR(IF(($BN42)&gt;0,($X42+$AD42)/($BN42),""),"")</f>
        <v/>
      </c>
      <c r="CM42" s="55">
        <f>IFERROR(IF(($BO42)&gt;0,($Y42+$AE42)/($BO42),""),"")</f>
        <v/>
      </c>
      <c r="CN42" s="55">
        <f>IFERROR(IF(($BP42)&gt;0,($Z42+$AF42)/($BP42),""),"")</f>
        <v/>
      </c>
      <c r="CO42" s="55">
        <f>IFERROR(IF(($CC42)&gt;0,($X42+$AD42)/($CC42),""),"")</f>
        <v/>
      </c>
      <c r="CP42" s="55">
        <f>IFERROR(IF(($CD42)&gt;0,($Y42+$AE42)/($CD42),""),"")</f>
        <v/>
      </c>
      <c r="CQ42" s="55">
        <f>IFERROR(IF(($CE42)&gt;0,($Z42+$AF42)/($CE42),""),"")</f>
        <v/>
      </c>
      <c r="CR42" s="55">
        <f>SUMIFS(tblPlant[Crushed_t],tblPlant[Date],$A42)</f>
        <v/>
      </c>
      <c r="CS42" s="55">
        <f>IF($B42=$B41,$CS41,0)+$CR42</f>
        <v/>
      </c>
      <c r="CT42" s="55">
        <f>$CT41+$CR42</f>
        <v/>
      </c>
      <c r="CU42" s="55">
        <f>SUMIFS(tblPlant[Milled_t],tblPlant[Date],$A42)</f>
        <v/>
      </c>
      <c r="CV42" s="55">
        <f>IF($B42=$B41,$CV41,0)+$CU42</f>
        <v/>
      </c>
      <c r="CW42" s="55">
        <f>$CW41+$CU42</f>
        <v/>
      </c>
      <c r="CX42" s="55">
        <f>SUMIFS(tblPlant[Feed_oz],tblPlant[Date],$A42)</f>
        <v/>
      </c>
      <c r="CY42" s="55">
        <f>IF($B42=$B41,$CY41,0)+$CX42</f>
        <v/>
      </c>
      <c r="CZ42" s="55">
        <f>$CZ41+$CX42</f>
        <v/>
      </c>
      <c r="DA42" s="55">
        <f>SUMIFS(tblPlant[Tails_oz],tblPlant[Date],$A42)</f>
        <v/>
      </c>
      <c r="DB42" s="55">
        <f>IF($B42=$B41,$DB41,0)+$DA42</f>
        <v/>
      </c>
      <c r="DC42" s="55">
        <f>$DC41+$DA42</f>
        <v/>
      </c>
      <c r="DD42" s="55">
        <f>SUMIFS(tblPlant[Recovered_oz],tblPlant[Date],$A42)</f>
        <v/>
      </c>
      <c r="DE42" s="55">
        <f>IF($B42=$B41,$DE41,0)+$DD42</f>
        <v/>
      </c>
      <c r="DF42" s="55">
        <f>$DF41+$DD42</f>
        <v/>
      </c>
      <c r="DG42" s="55">
        <f>SUMIFS(tblPlant[Milled_t],tblPlant[Date],$A42,tblPlant[Head_Grade_gpt],"&lt;&gt;")</f>
        <v/>
      </c>
      <c r="DH42" s="55">
        <f>IF($B42=$B41,$DH41,0)+$DG42</f>
        <v/>
      </c>
      <c r="DI42" s="55">
        <f>$DI41+$DG42</f>
        <v/>
      </c>
      <c r="DJ42" s="55">
        <f>SUMIFS(tblPlant[Milled_t],tblPlant[Date],$A42,tblPlant[Tails_Grade_gpt],"&lt;&gt;")</f>
        <v/>
      </c>
      <c r="DK42" s="55">
        <f>IF($B42=$B41,$DK41,0)+$DJ42</f>
        <v/>
      </c>
      <c r="DL42" s="55">
        <f>$DL41+$DJ42</f>
        <v/>
      </c>
      <c r="DM42" s="55">
        <f>SUMIFS(tblPlant[Feed_oz],tblPlant[Date],$A42,tblPlant[Tails_Grade_gpt],"&lt;&gt;")</f>
        <v/>
      </c>
      <c r="DN42" s="55">
        <f>IF($B42=$B41,$DN41,0)+$DM42</f>
        <v/>
      </c>
      <c r="DO42" s="55">
        <f>$DO41+$DM42</f>
        <v/>
      </c>
      <c r="DP42" s="55">
        <f>SUMIFS(tblPlant[Milled_t],tblPlant[Date],$A42,tblPlant[Mill_Run_h],"&lt;&gt;")</f>
        <v/>
      </c>
      <c r="DQ42" s="55">
        <f>IF($B42=$B41,$DQ41,0)+$DP42</f>
        <v/>
      </c>
      <c r="DR42" s="55">
        <f>$DR41+$DP42</f>
        <v/>
      </c>
      <c r="DS42" s="56">
        <f>IFERROR(IF(($DG42)&gt;0,($CX42*cfg_TroyOz)/($DG42),""),"")</f>
        <v/>
      </c>
      <c r="DT42" s="56">
        <f>IFERROR(IF(($DH42)&gt;0,($CY42*cfg_TroyOz)/($DH42),""),"")</f>
        <v/>
      </c>
      <c r="DU42" s="56">
        <f>IFERROR(IF(($DI42)&gt;0,($CZ42*cfg_TroyOz)/($DI42),""),"")</f>
        <v/>
      </c>
      <c r="DV42" s="56">
        <f>IFERROR(IF(($DJ42)&gt;0,($DA42*cfg_TroyOz)/($DJ42),""),"")</f>
        <v/>
      </c>
      <c r="DW42" s="56">
        <f>IFERROR(IF(($DK42)&gt;0,($DB42*cfg_TroyOz)/($DK42),""),"")</f>
        <v/>
      </c>
      <c r="DX42" s="56">
        <f>IFERROR(IF(($DL42)&gt;0,($DC42*cfg_TroyOz)/($DL42),""),"")</f>
        <v/>
      </c>
      <c r="DY42" s="67">
        <f>IFERROR(IF(($DM42)&gt;0,($DD42)/($DM42),""),"")</f>
        <v/>
      </c>
      <c r="DZ42" s="67">
        <f>IFERROR(IF(($DN42)&gt;0,($DE42)/($DN42),""),"")</f>
        <v/>
      </c>
      <c r="EA42" s="67">
        <f>IFERROR(IF(($DO42)&gt;0,($DF42)/($DO42),""),"")</f>
        <v/>
      </c>
      <c r="EB42" s="55">
        <f>SUMIFS(tblPlant[Gravity_Gold_oz],tblPlant[Date],$A42)</f>
        <v/>
      </c>
      <c r="EC42" s="55">
        <f>IF($B42=$B41,$EC41,0)+$EB42</f>
        <v/>
      </c>
      <c r="ED42" s="55">
        <f>$ED41+$EB42</f>
        <v/>
      </c>
      <c r="EE42" s="67">
        <f>IFERROR(IF(($DD42)&gt;0,($EB42)/($DD42),""),"")</f>
        <v/>
      </c>
      <c r="EF42" s="67">
        <f>IFERROR(IF(($DE42)&gt;0,($EC42)/($DE42),""),"")</f>
        <v/>
      </c>
      <c r="EG42" s="67">
        <f>IFERROR(IF(($DF42)&gt;0,($ED42)/($DF42),""),"")</f>
        <v/>
      </c>
      <c r="EH42" s="55">
        <f>SUMIFS(tblPlant[Gold_Poured_oz],tblPlant[Date],$A42)</f>
        <v/>
      </c>
      <c r="EI42" s="55">
        <f>IF($B42=$B41,$EI41,0)+$EH42</f>
        <v/>
      </c>
      <c r="EJ42" s="55">
        <f>$EJ41+$EH42</f>
        <v/>
      </c>
      <c r="EK42" s="57">
        <f>SUMIFS(tblPlant[Mill_Run_h],tblPlant[Date],$A42)</f>
        <v/>
      </c>
      <c r="EL42" s="57">
        <f>IF($B42=$B41,$EL41,0)+$EK42</f>
        <v/>
      </c>
      <c r="EM42" s="57">
        <f>$EM41+$EK42</f>
        <v/>
      </c>
      <c r="EN42" s="57">
        <f>SUMIFS(tblPlant[Mill_Planned_Maint_h],tblPlant[Date],$A42)</f>
        <v/>
      </c>
      <c r="EO42" s="57">
        <f>IF($B42=$B41,$EO41,0)+$EN42</f>
        <v/>
      </c>
      <c r="EP42" s="57">
        <f>$EP41+$EN42</f>
        <v/>
      </c>
      <c r="EQ42" s="57">
        <f>SUMIFS(tblPlant[Mill_Unplanned_Down_h],tblPlant[Date],$A42)</f>
        <v/>
      </c>
      <c r="ER42" s="57">
        <f>IF($B42=$B41,$ER41,0)+$EQ42</f>
        <v/>
      </c>
      <c r="ES42" s="57">
        <f>$ES41+$EQ42</f>
        <v/>
      </c>
      <c r="ET42" s="57">
        <f>IF(COUNTIFS(tblPlant[Date],$A42,tblPlant[Mill_Run_h],"&lt;&gt;")+COUNTIFS(tblPlant[Date],$A42,tblPlant[Mill_Planned_Maint_h],"&lt;&gt;")+COUNTIFS(tblPlant[Date],$A42,tblPlant[Mill_Unplanned_Down_h],"&lt;&gt;")&gt;0,cfg_HoursPerDay,0)</f>
        <v/>
      </c>
      <c r="EU42" s="57">
        <f>IF($B42=$B41,$EU41,0)+$ET42</f>
        <v/>
      </c>
      <c r="EV42" s="57">
        <f>$EV41+$ET42</f>
        <v/>
      </c>
      <c r="EW42" s="57">
        <f>SUMIFS(tblPlant[Crusher_Run_h],tblPlant[Date],$A42)</f>
        <v/>
      </c>
      <c r="EX42" s="57">
        <f>IF($B42=$B41,$EX41,0)+$EW42</f>
        <v/>
      </c>
      <c r="EY42" s="57">
        <f>$EY41+$EW42</f>
        <v/>
      </c>
      <c r="EZ42" s="55">
        <f>IFERROR(IF(($EK42)&gt;0,($DP42)/($EK42),""),"")</f>
        <v/>
      </c>
      <c r="FA42" s="55">
        <f>IFERROR(IF(($EL42)&gt;0,($DQ42)/($EL42),""),"")</f>
        <v/>
      </c>
      <c r="FB42" s="55">
        <f>IFERROR(IF(($EM42)&gt;0,($DR42)/($EM42),""),"")</f>
        <v/>
      </c>
      <c r="FC42" s="67">
        <f>IFERROR(IF(($ET42)&gt;0,($ET42-$EN42-$EQ42)/($ET42),""),"")</f>
        <v/>
      </c>
      <c r="FD42" s="67">
        <f>IFERROR(IF(($EU42)&gt;0,($EU42-$EO42-$ER42)/($EU42),""),"")</f>
        <v/>
      </c>
      <c r="FE42" s="67">
        <f>IFERROR(IF(($EV42)&gt;0,($EV42-$EP42-$ES42)/($EV42),""),"")</f>
        <v/>
      </c>
      <c r="FF42" s="67">
        <f>IFERROR(IF(($ET42-$EN42-$EQ42)&gt;0,($EK42)/($ET42-$EN42-$EQ42),""),"")</f>
        <v/>
      </c>
      <c r="FG42" s="67">
        <f>IFERROR(IF(($EU42-$EO42-$ER42)&gt;0,($EL42)/($EU42-$EO42-$ER42),""),"")</f>
        <v/>
      </c>
      <c r="FH42" s="67">
        <f>IFERROR(IF(($EV42-$EP42-$ES42)&gt;0,($EM42)/($EV42-$EP42-$ES42),""),"")</f>
        <v/>
      </c>
      <c r="FI42" s="55">
        <f>SUMIFS(tblPlant[Cyanide_kg],tblPlant[Date],$A42)</f>
        <v/>
      </c>
      <c r="FJ42" s="55">
        <f>IF($B42=$B41,$FJ41,0)+$FI42</f>
        <v/>
      </c>
      <c r="FK42" s="55">
        <f>$FK41+$FI42</f>
        <v/>
      </c>
      <c r="FL42" s="55">
        <f>SUMIFS(tblPlant[Lime_kg],tblPlant[Date],$A42)</f>
        <v/>
      </c>
      <c r="FM42" s="55">
        <f>IF($B42=$B41,$FM41,0)+$FL42</f>
        <v/>
      </c>
      <c r="FN42" s="55">
        <f>$FN41+$FL42</f>
        <v/>
      </c>
      <c r="FO42" s="55">
        <f>SUMIFS(tblPlant[Grinding_Media_kg],tblPlant[Date],$A42)</f>
        <v/>
      </c>
      <c r="FP42" s="55">
        <f>IF($B42=$B41,$FP41,0)+$FO42</f>
        <v/>
      </c>
      <c r="FQ42" s="55">
        <f>$FQ41+$FO42</f>
        <v/>
      </c>
      <c r="FR42" s="55">
        <f>SUMIFS(tblPlant[Power_kWh],tblPlant[Date],$A42)</f>
        <v/>
      </c>
      <c r="FS42" s="55">
        <f>IF($B42=$B41,$FS41,0)+$FR42</f>
        <v/>
      </c>
      <c r="FT42" s="55">
        <f>$FT41+$FR42</f>
        <v/>
      </c>
      <c r="FU42" s="55">
        <f>SUMIFS(tblPlant[Raw_Water_m3],tblPlant[Date],$A42)</f>
        <v/>
      </c>
      <c r="FV42" s="55">
        <f>IF($B42=$B41,$FV41,0)+$FU42</f>
        <v/>
      </c>
      <c r="FW42" s="55">
        <f>$FW41+$FU42</f>
        <v/>
      </c>
      <c r="FX42" s="56">
        <f>IFERROR(IF(($CU42)&gt;0,($FI42)/($CU42),""),"")</f>
        <v/>
      </c>
      <c r="FY42" s="56">
        <f>IFERROR(IF(($CV42)&gt;0,($FJ42)/($CV42),""),"")</f>
        <v/>
      </c>
      <c r="FZ42" s="56">
        <f>IFERROR(IF(($CW42)&gt;0,($FK42)/($CW42),""),"")</f>
        <v/>
      </c>
      <c r="GA42" s="56">
        <f>IFERROR(IF(($CU42)&gt;0,($FL42)/($CU42),""),"")</f>
        <v/>
      </c>
      <c r="GB42" s="56">
        <f>IFERROR(IF(($CV42)&gt;0,($FM42)/($CV42),""),"")</f>
        <v/>
      </c>
      <c r="GC42" s="56">
        <f>IFERROR(IF(($CW42)&gt;0,($FN42)/($CW42),""),"")</f>
        <v/>
      </c>
      <c r="GD42" s="56">
        <f>IFERROR(IF(($CU42)&gt;0,($FO42)/($CU42),""),"")</f>
        <v/>
      </c>
      <c r="GE42" s="56">
        <f>IFERROR(IF(($CV42)&gt;0,($FP42)/($CV42),""),"")</f>
        <v/>
      </c>
      <c r="GF42" s="56">
        <f>IFERROR(IF(($CW42)&gt;0,($FQ42)/($CW42),""),"")</f>
        <v/>
      </c>
      <c r="GG42" s="79">
        <f>IFERROR(IF(($CU42)&gt;0,($FR42)/($CU42),""),"")</f>
        <v/>
      </c>
      <c r="GH42" s="79">
        <f>IFERROR(IF(($CV42)&gt;0,($FS42)/($CV42),""),"")</f>
        <v/>
      </c>
      <c r="GI42" s="79">
        <f>IFERROR(IF(($CW42)&gt;0,($FT42)/($CW42),""),"")</f>
        <v/>
      </c>
      <c r="GJ42" s="56">
        <f>IFERROR(IF(($CU42)&gt;0,($FU42)/($CU42),""),"")</f>
        <v/>
      </c>
      <c r="GK42" s="56">
        <f>IFERROR(IF(($CV42)&gt;0,($FV42)/($CV42),""),"")</f>
        <v/>
      </c>
      <c r="GL42" s="56">
        <f>IFERROR(IF(($CW42)&gt;0,($FW42)/($CW42),""),"")</f>
        <v/>
      </c>
      <c r="GM42" s="55">
        <f>IF(SUMIFS(tblPlant[GIC_oz],tblPlant[Date],$A42)&gt;0,SUMIFS(tblPlant[GIC_oz],tblPlant[Date],$A42),"")</f>
        <v/>
      </c>
      <c r="GN42" s="55">
        <f>SUMIFS(tblGold[Gold_oz],tblGold[Date],$A42,tblGold[Type],"Shipment")</f>
        <v/>
      </c>
      <c r="GO42" s="55">
        <f>IF($B42=$B41,$GO41,0)+$GN42</f>
        <v/>
      </c>
      <c r="GP42" s="55">
        <f>$GP41+$GN42</f>
        <v/>
      </c>
      <c r="GQ42" s="55">
        <f>SUMIFS(tblGold[Gold_oz],tblGold[Date],$A42,tblGold[Type],"Sale")</f>
        <v/>
      </c>
      <c r="GR42" s="55">
        <f>IF($B42=$B41,$GR41,0)+$GQ42</f>
        <v/>
      </c>
      <c r="GS42" s="55">
        <f>$GS41+$GQ42</f>
        <v/>
      </c>
      <c r="GT42" s="55">
        <f>SUMIFS(tblGold[Dore_kg],tblGold[Date],$A42,tblGold[Type],"Shipment")</f>
        <v/>
      </c>
      <c r="GU42" s="55">
        <f>IF($B42=$B41,$GU41,0)+$GT42</f>
        <v/>
      </c>
      <c r="GV42" s="55">
        <f>$GV41+$GT42</f>
        <v/>
      </c>
      <c r="GW42" s="57">
        <f>SUMIFS(tblSafety[Hours_Total],tblSafety[Date],$A42)</f>
        <v/>
      </c>
      <c r="GX42" s="57">
        <f>IF($B42=$B41,$GX41,0)+$GW42</f>
        <v/>
      </c>
      <c r="GY42" s="57">
        <f>$GY41+$GW42</f>
        <v/>
      </c>
      <c r="GZ42" s="62">
        <f>SUMIFS(tblSafety[Fatality],tblSafety[Date],$A42)</f>
        <v/>
      </c>
      <c r="HA42" s="62">
        <f>IF($B42=$B41,$HA41,0)+$GZ42</f>
        <v/>
      </c>
      <c r="HB42" s="62">
        <f>$HB41+$GZ42</f>
        <v/>
      </c>
      <c r="HC42" s="62">
        <f>SUMIFS(tblSafety[LTI],tblSafety[Date],$A42)</f>
        <v/>
      </c>
      <c r="HD42" s="62">
        <f>IF($B42=$B41,$HD41,0)+$HC42</f>
        <v/>
      </c>
      <c r="HE42" s="62">
        <f>$HE41+$HC42</f>
        <v/>
      </c>
      <c r="HF42" s="62">
        <f>SUMIFS(tblSafety[RWI],tblSafety[Date],$A42)</f>
        <v/>
      </c>
      <c r="HG42" s="62">
        <f>IF($B42=$B41,$HG41,0)+$HF42</f>
        <v/>
      </c>
      <c r="HH42" s="62">
        <f>$HH41+$HF42</f>
        <v/>
      </c>
      <c r="HI42" s="62">
        <f>SUMIFS(tblSafety[MTI],tblSafety[Date],$A42)</f>
        <v/>
      </c>
      <c r="HJ42" s="62">
        <f>IF($B42=$B41,$HJ41,0)+$HI42</f>
        <v/>
      </c>
      <c r="HK42" s="62">
        <f>$HK41+$HI42</f>
        <v/>
      </c>
      <c r="HL42" s="62">
        <f>SUMIFS(tblSafety[FAI],tblSafety[Date],$A42)</f>
        <v/>
      </c>
      <c r="HM42" s="62">
        <f>IF($B42=$B41,$HM41,0)+$HL42</f>
        <v/>
      </c>
      <c r="HN42" s="62">
        <f>$HN41+$HL42</f>
        <v/>
      </c>
      <c r="HO42" s="62">
        <f>SUMIFS(tblSafety[Recordables],tblSafety[Date],$A42)</f>
        <v/>
      </c>
      <c r="HP42" s="62">
        <f>IF($B42=$B41,$HP41,0)+$HO42</f>
        <v/>
      </c>
      <c r="HQ42" s="62">
        <f>$HQ41+$HO42</f>
        <v/>
      </c>
      <c r="HR42" s="62">
        <f>SUMIFS(tblSafety[Near_Miss],tblSafety[Date],$A42)</f>
        <v/>
      </c>
      <c r="HS42" s="62">
        <f>IF($B42=$B41,$HS41,0)+$HR42</f>
        <v/>
      </c>
      <c r="HT42" s="62">
        <f>$HT41+$HR42</f>
        <v/>
      </c>
      <c r="HU42" s="62">
        <f>SUMIFS(tblSafety[Hazard_Reports],tblSafety[Date],$A42)</f>
        <v/>
      </c>
      <c r="HV42" s="62">
        <f>IF($B42=$B41,$HV41,0)+$HU42</f>
        <v/>
      </c>
      <c r="HW42" s="62">
        <f>$HW41+$HU42</f>
        <v/>
      </c>
      <c r="HX42" s="62">
        <f>SUMIFS(tblSafety[HPI],tblSafety[Date],$A42)</f>
        <v/>
      </c>
      <c r="HY42" s="62">
        <f>IF($B42=$B41,$HY41,0)+$HX42</f>
        <v/>
      </c>
      <c r="HZ42" s="62">
        <f>$HZ41+$HX42</f>
        <v/>
      </c>
      <c r="IA42" s="62">
        <f>SUMIFS(tblSafety[Env_Incidents],tblSafety[Date],$A42)</f>
        <v/>
      </c>
      <c r="IB42" s="62">
        <f>IF($B42=$B41,$IB41,0)+$IA42</f>
        <v/>
      </c>
      <c r="IC42" s="62">
        <f>$IC41+$IA42</f>
        <v/>
      </c>
      <c r="ID42" s="62">
        <f>SUMIFS(tblSafety[Community_Incidents],tblSafety[Date],$A42)</f>
        <v/>
      </c>
      <c r="IE42" s="62">
        <f>IF($B42=$B41,$IE41,0)+$ID42</f>
        <v/>
      </c>
      <c r="IF42" s="62">
        <f>$IF41+$ID42</f>
        <v/>
      </c>
      <c r="IG42" s="62">
        <f>SUMIFS(tblSafety[Vehicle_Incidents],tblSafety[Date],$A42)</f>
        <v/>
      </c>
      <c r="IH42" s="62">
        <f>IF($B42=$B41,$IH41,0)+$IG42</f>
        <v/>
      </c>
      <c r="II42" s="62">
        <f>$II41+$IG42</f>
        <v/>
      </c>
      <c r="IJ42" s="62">
        <f>SUMIFS(tblSafety[Toolbox_Talks],tblSafety[Date],$A42)</f>
        <v/>
      </c>
      <c r="IK42" s="62">
        <f>IF($B42=$B41,$IK41,0)+$IJ42</f>
        <v/>
      </c>
      <c r="IL42" s="62">
        <f>$IL41+$IJ42</f>
        <v/>
      </c>
      <c r="IM42" s="62">
        <f>SUMIFS(tblSafety[Inspections],tblSafety[Date],$A42)</f>
        <v/>
      </c>
      <c r="IN42" s="62">
        <f>IF($B42=$B41,$IN41,0)+$IM42</f>
        <v/>
      </c>
      <c r="IO42" s="62">
        <f>$IO41+$IM42</f>
        <v/>
      </c>
      <c r="IP42" s="56">
        <f>IFERROR((SUMIFS(tblSafety[Recordables],tblSafety[Date],"&gt;="&amp;EDATE($E42,-12),tblSafety[Date],"&lt;="&amp;$A42)+SUMIFS(tblSafetyHistory[Recordables],tblSafetyHistory[Month],"&gt;="&amp;EDATE($E42,-12),tblSafetyHistory[Month],"&lt;"&amp;$E42,tblSafetyHistory[Use],1))/(SUMIFS(tblSafety[Hours_Total],tblSafety[Date],"&gt;="&amp;EDATE($E42,-12),tblSafety[Date],"&lt;="&amp;$A42)+SUMIFS(tblSafetyHistory[Hours_Total],tblSafetyHistory[Month],"&gt;="&amp;EDATE($E42,-12),tblSafetyHistory[Month],"&lt;"&amp;$E42,tblSafetyHistory[Use],1))*cfg_RateBasisHours,"")</f>
        <v/>
      </c>
      <c r="IQ42" s="56">
        <f>IFERROR((SUMIFS(tblSafety[LTI],tblSafety[Date],"&gt;="&amp;EDATE($E42,-12),tblSafety[Date],"&lt;="&amp;$A42)+SUMIFS(tblSafetyHistory[LTI],tblSafetyHistory[Month],"&gt;="&amp;EDATE($E42,-12),tblSafetyHistory[Month],"&lt;"&amp;$E42,tblSafetyHistory[Use],1))/(SUMIFS(tblSafety[Hours_Total],tblSafety[Date],"&gt;="&amp;EDATE($E42,-12),tblSafety[Date],"&lt;="&amp;$A42)+SUMIFS(tblSafetyHistory[Hours_Total],tblSafetyHistory[Month],"&gt;="&amp;EDATE($E42,-12),tblSafetyHistory[Month],"&lt;"&amp;$E42,tblSafetyHistory[Use],1))*cfg_RateBasisHours,"")</f>
        <v/>
      </c>
      <c r="IR42" s="62">
        <f>IF(MAX(N(cfg_PriorLTIDate),_xlfn.MAXIFS(tblSafety[Date],tblSafety[LTI],"&gt;0",tblSafety[Date],"&lt;="&amp;$A42))=0,"",$A42-MAX(N(cfg_PriorLTIDate),_xlfn.MAXIFS(tblSafety[Date],tblSafety[LTI],"&gt;0",tblSafety[Date],"&lt;="&amp;$A42)))</f>
        <v/>
      </c>
      <c r="IS42" s="55">
        <f>SUMIFS(tblBudget[Ore_Mined_t],tblBudget[Month],$E42)</f>
        <v/>
      </c>
      <c r="IT42" s="55">
        <f>$IS42*$C42/$D42</f>
        <v/>
      </c>
      <c r="IU42" s="55">
        <f>SUMIFS(tblBudget[Ore_Mined_t],tblBudget[Month],"&lt;"&amp;$E42)+$IT42</f>
        <v/>
      </c>
      <c r="IV42" s="55">
        <f>SUMIFS(tblBudget[Ore_oz],tblBudget[Month],$E42)</f>
        <v/>
      </c>
      <c r="IW42" s="55">
        <f>$IV42*$C42/$D42</f>
        <v/>
      </c>
      <c r="IX42" s="55">
        <f>SUMIFS(tblBudget[Ore_oz],tblBudget[Month],"&lt;"&amp;$E42)+$IW42</f>
        <v/>
      </c>
      <c r="IY42" s="55">
        <f>SUMIFS(tblBudget[Ore_Mined_t],tblBudget[Month],$E42)</f>
        <v/>
      </c>
      <c r="IZ42" s="55">
        <f>$IY42*$C42/$D42</f>
        <v/>
      </c>
      <c r="JA42" s="55">
        <f>SUMIFS(tblBudget[Ore_Mined_t],tblBudget[Month],"&lt;"&amp;$E42)+$IZ42</f>
        <v/>
      </c>
      <c r="JB42" s="56">
        <f>IFERROR(IF(($IY42)&gt;0,($IV42*cfg_TroyOz)/($IY42),""),"")</f>
        <v/>
      </c>
      <c r="JC42" s="56">
        <f>IFERROR(IF(($IZ42)&gt;0,($IW42*cfg_TroyOz)/($IZ42),""),"")</f>
        <v/>
      </c>
      <c r="JD42" s="56">
        <f>IFERROR(IF(($JA42)&gt;0,($IX42*cfg_TroyOz)/($JA42),""),"")</f>
        <v/>
      </c>
      <c r="JE42" s="55">
        <f>SUMIFS(tblBudget[Waste_t],tblBudget[Month],$E42)</f>
        <v/>
      </c>
      <c r="JF42" s="55">
        <f>$JE42*$C42/$D42</f>
        <v/>
      </c>
      <c r="JG42" s="55">
        <f>SUMIFS(tblBudget[Waste_t],tblBudget[Month],"&lt;"&amp;$E42)+$JF42</f>
        <v/>
      </c>
      <c r="JH42" s="55">
        <f>SUMIFS(tblBudget[TMM_t],tblBudget[Month],$E42)</f>
        <v/>
      </c>
      <c r="JI42" s="55">
        <f>$JH42*$C42/$D42</f>
        <v/>
      </c>
      <c r="JJ42" s="55">
        <f>SUMIFS(tblBudget[TMM_t],tblBudget[Month],"&lt;"&amp;$E42)+$JI42</f>
        <v/>
      </c>
      <c r="JK42" s="56">
        <f>IFERROR(IF(($IS42)&gt;0,($JE42)/($IS42),""),"")</f>
        <v/>
      </c>
      <c r="JL42" s="56">
        <f>IFERROR(IF(($IT42)&gt;0,($JF42)/($IT42),""),"")</f>
        <v/>
      </c>
      <c r="JM42" s="56">
        <f>IFERROR(IF(($IU42)&gt;0,($JG42)/($IU42),""),"")</f>
        <v/>
      </c>
      <c r="JN42" s="55">
        <f>SUMIFS(tblBudget[Drill_m],tblBudget[Month],$E42)</f>
        <v/>
      </c>
      <c r="JO42" s="55">
        <f>$JN42*$C42/$D42</f>
        <v/>
      </c>
      <c r="JP42" s="55">
        <f>SUMIFS(tblBudget[Drill_m],tblBudget[Month],"&lt;"&amp;$E42)+$JO42</f>
        <v/>
      </c>
      <c r="JQ42" s="55">
        <f>SUMIFS(tblBudget[Diesel_L],tblBudget[Month],$E42)</f>
        <v/>
      </c>
      <c r="JR42" s="55">
        <f>$JQ42*$C42/$D42</f>
        <v/>
      </c>
      <c r="JS42" s="55">
        <f>SUMIFS(tblBudget[Diesel_L],tblBudget[Month],"&lt;"&amp;$E42)+$JR42</f>
        <v/>
      </c>
      <c r="JT42" s="55">
        <f>SUMIFS(tblBudget[Milled_t],tblBudget[Month],$E42)</f>
        <v/>
      </c>
      <c r="JU42" s="55">
        <f>$JT42*$C42/$D42</f>
        <v/>
      </c>
      <c r="JV42" s="55">
        <f>SUMIFS(tblBudget[Milled_t],tblBudget[Month],"&lt;"&amp;$E42)+$JU42</f>
        <v/>
      </c>
      <c r="JW42" s="55">
        <f>SUMIFS(tblBudget[Feed_oz],tblBudget[Month],$E42)</f>
        <v/>
      </c>
      <c r="JX42" s="55">
        <f>$JW42*$C42/$D42</f>
        <v/>
      </c>
      <c r="JY42" s="55">
        <f>SUMIFS(tblBudget[Feed_oz],tblBudget[Month],"&lt;"&amp;$E42)+$JX42</f>
        <v/>
      </c>
      <c r="JZ42" s="55">
        <f>SUMIFS(tblBudget[Recovered_oz],tblBudget[Month],$E42)</f>
        <v/>
      </c>
      <c r="KA42" s="55">
        <f>$JZ42*$C42/$D42</f>
        <v/>
      </c>
      <c r="KB42" s="55">
        <f>SUMIFS(tblBudget[Recovered_oz],tblBudget[Month],"&lt;"&amp;$E42)+$KA42</f>
        <v/>
      </c>
      <c r="KC42" s="55">
        <f>SUMIFS(tblBudget[Milled_t],tblBudget[Month],$E42)</f>
        <v/>
      </c>
      <c r="KD42" s="55">
        <f>$KC42*$C42/$D42</f>
        <v/>
      </c>
      <c r="KE42" s="55">
        <f>SUMIFS(tblBudget[Milled_t],tblBudget[Month],"&lt;"&amp;$E42)+$KD42</f>
        <v/>
      </c>
      <c r="KF42" s="55">
        <f>SUMIFS(tblBudget[Feed_oz],tblBudget[Month],$E42)</f>
        <v/>
      </c>
      <c r="KG42" s="55">
        <f>$KF42*$C42/$D42</f>
        <v/>
      </c>
      <c r="KH42" s="55">
        <f>SUMIFS(tblBudget[Feed_oz],tblBudget[Month],"&lt;"&amp;$E42)+$KG42</f>
        <v/>
      </c>
      <c r="KI42" s="56">
        <f>IFERROR(IF(($KC42)&gt;0,($JW42*cfg_TroyOz)/($KC42),""),"")</f>
        <v/>
      </c>
      <c r="KJ42" s="56">
        <f>IFERROR(IF(($KD42)&gt;0,($JX42*cfg_TroyOz)/($KD42),""),"")</f>
        <v/>
      </c>
      <c r="KK42" s="56">
        <f>IFERROR(IF(($KE42)&gt;0,($JY42*cfg_TroyOz)/($KE42),""),"")</f>
        <v/>
      </c>
      <c r="KL42" s="67">
        <f>IFERROR(IF(($KF42)&gt;0,($JZ42)/($KF42),""),"")</f>
        <v/>
      </c>
      <c r="KM42" s="67">
        <f>IFERROR(IF(($KG42)&gt;0,($KA42)/($KG42),""),"")</f>
        <v/>
      </c>
      <c r="KN42" s="67">
        <f>IFERROR(IF(($KH42)&gt;0,($KB42)/($KH42),""),"")</f>
        <v/>
      </c>
      <c r="KO42" s="55">
        <f>SUMIFS(tblBudget[Gold_Poured_oz],tblBudget[Month],$E42)</f>
        <v/>
      </c>
      <c r="KP42" s="55">
        <f>$KO42*$C42/$D42</f>
        <v/>
      </c>
      <c r="KQ42" s="55">
        <f>SUMIFS(tblBudget[Gold_Poured_oz],tblBudget[Month],"&lt;"&amp;$E42)+$KP42</f>
        <v/>
      </c>
      <c r="KR42" s="57">
        <f>SUMIFS(tblBudget[Hours_Worked],tblBudget[Month],$E42)</f>
        <v/>
      </c>
      <c r="KS42" s="57">
        <f>$KR42*$C42/$D42</f>
        <v/>
      </c>
      <c r="KT42" s="57">
        <f>SUMIFS(tblBudget[Hours_Worked],tblBudget[Month],"&lt;"&amp;$E42)+$KS42</f>
        <v/>
      </c>
    </row>
    <row r="43">
      <c r="A43" s="54" t="n">
        <v>46064</v>
      </c>
      <c r="B43">
        <f>MONTH($A43)</f>
        <v/>
      </c>
      <c r="C43">
        <f>DAY($A43)</f>
        <v/>
      </c>
      <c r="D43">
        <f>DAY(EOMONTH($A43,0))</f>
        <v/>
      </c>
      <c r="E43" s="54">
        <f>DATE(YEAR($A43),MONTH($A43),1)</f>
        <v/>
      </c>
      <c r="F43" s="55">
        <f>SUMIFS(tblMovement[Tonnes_t],tblMovement[Date],$A43,tblMovement[Is_Ore],1,tblMovement[Source_Type],"Pit")</f>
        <v/>
      </c>
      <c r="G43" s="55">
        <f>IF($B43=$B42,$G42,0)+$F43</f>
        <v/>
      </c>
      <c r="H43" s="55">
        <f>$H42+$F43</f>
        <v/>
      </c>
      <c r="I43" s="55">
        <f>SUMIFS(tblMovement[Ore_oz],tblMovement[Date],$A43,tblMovement[Source_Type],"Pit")</f>
        <v/>
      </c>
      <c r="J43" s="55">
        <f>IF($B43=$B42,$J42,0)+$I43</f>
        <v/>
      </c>
      <c r="K43" s="55">
        <f>$K42+$I43</f>
        <v/>
      </c>
      <c r="L43" s="55">
        <f>SUMIFS(tblMovement[Tonnes_t],tblMovement[Date],$A43,tblMovement[Is_Ore],1,tblMovement[Source_Type],"Pit",tblMovement[Grade_gpt],"&lt;&gt;")</f>
        <v/>
      </c>
      <c r="M43" s="55">
        <f>IF($B43=$B42,$M42,0)+$L43</f>
        <v/>
      </c>
      <c r="N43" s="55">
        <f>$N42+$L43</f>
        <v/>
      </c>
      <c r="O43" s="56">
        <f>IFERROR(IF(($L43)&gt;0,($I43*cfg_TroyOz)/($L43),""),"")</f>
        <v/>
      </c>
      <c r="P43" s="56">
        <f>IFERROR(IF(($M43)&gt;0,($J43*cfg_TroyOz)/($M43),""),"")</f>
        <v/>
      </c>
      <c r="Q43" s="56">
        <f>IFERROR(IF(($N43)&gt;0,($K43*cfg_TroyOz)/($N43),""),"")</f>
        <v/>
      </c>
      <c r="R43" s="55">
        <f>$F43-$L43</f>
        <v/>
      </c>
      <c r="S43" s="55">
        <f>IF($B43=$B42,$S42,0)+$R43</f>
        <v/>
      </c>
      <c r="T43" s="55">
        <f>$T42+$R43</f>
        <v/>
      </c>
      <c r="U43" s="55">
        <f>SUMIFS(tblMovement[Tonnes_t],tblMovement[Date],$A43,tblMovement[Is_Ore],0,tblMovement[Source_Type],"Pit")</f>
        <v/>
      </c>
      <c r="V43" s="55">
        <f>IF($B43=$B42,$V42,0)+$U43</f>
        <v/>
      </c>
      <c r="W43" s="55">
        <f>$W42+$U43</f>
        <v/>
      </c>
      <c r="X43" s="55">
        <f>$F43+$U43</f>
        <v/>
      </c>
      <c r="Y43" s="55">
        <f>IF($B43=$B42,$Y42,0)+$X43</f>
        <v/>
      </c>
      <c r="Z43" s="55">
        <f>$Z42+$X43</f>
        <v/>
      </c>
      <c r="AA43" s="56">
        <f>IFERROR(IF(($F43)&gt;0,($U43)/($F43),""),"")</f>
        <v/>
      </c>
      <c r="AB43" s="56">
        <f>IFERROR(IF(($G43)&gt;0,($V43)/($G43),""),"")</f>
        <v/>
      </c>
      <c r="AC43" s="56">
        <f>IFERROR(IF(($H43)&gt;0,($W43)/($H43),""),"")</f>
        <v/>
      </c>
      <c r="AD43" s="55">
        <f>SUMIFS(tblMovement[Tonnes_t],tblMovement[Date],$A43,tblMovement[Source_Type],"Stockpile")</f>
        <v/>
      </c>
      <c r="AE43" s="55">
        <f>IF($B43=$B42,$AE42,0)+$AD43</f>
        <v/>
      </c>
      <c r="AF43" s="55">
        <f>$AF42+$AD43</f>
        <v/>
      </c>
      <c r="AG43" s="55">
        <f>SUMIFS(tblMovement[Tonnes_t],tblMovement[Date],$A43)</f>
        <v/>
      </c>
      <c r="AH43" s="55">
        <f>IF($B43=$B42,$AH42,0)+$AG43</f>
        <v/>
      </c>
      <c r="AI43" s="55">
        <f>$AI42+$AG43</f>
        <v/>
      </c>
      <c r="AJ43" s="55">
        <f>$AG43-$X43-$AD43</f>
        <v/>
      </c>
      <c r="AK43" s="55">
        <f>IF($B43=$B42,$AK42,0)+$AJ43</f>
        <v/>
      </c>
      <c r="AL43" s="55">
        <f>$AL42+$AJ43</f>
        <v/>
      </c>
      <c r="AM43" s="55">
        <f>SUMIFS(tblMiningDaily[Drill_m],tblMiningDaily[Date],$A43)</f>
        <v/>
      </c>
      <c r="AN43" s="55">
        <f>IF($B43=$B42,$AN42,0)+$AM43</f>
        <v/>
      </c>
      <c r="AO43" s="55">
        <f>$AO42+$AM43</f>
        <v/>
      </c>
      <c r="AP43" s="55">
        <f>SUMIFS(tblMiningDaily[GC_Drill_m],tblMiningDaily[Date],$A43)</f>
        <v/>
      </c>
      <c r="AQ43" s="55">
        <f>IF($B43=$B42,$AQ42,0)+$AP43</f>
        <v/>
      </c>
      <c r="AR43" s="55">
        <f>$AR42+$AP43</f>
        <v/>
      </c>
      <c r="AS43" s="55">
        <f>SUMIFS(tblMiningDaily[Blast_t],tblMiningDaily[Date],$A43)</f>
        <v/>
      </c>
      <c r="AT43" s="55">
        <f>IF($B43=$B42,$AT42,0)+$AS43</f>
        <v/>
      </c>
      <c r="AU43" s="55">
        <f>$AU42+$AS43</f>
        <v/>
      </c>
      <c r="AV43" s="55">
        <f>SUMIFS(tblMiningDaily[Explosives_kg],tblMiningDaily[Date],$A43)</f>
        <v/>
      </c>
      <c r="AW43" s="55">
        <f>IF($B43=$B42,$AW42,0)+$AV43</f>
        <v/>
      </c>
      <c r="AX43" s="55">
        <f>$AX42+$AV43</f>
        <v/>
      </c>
      <c r="AY43" s="56">
        <f>IFERROR(IF(($AS43)&gt;0,($AV43)/($AS43),""),"")</f>
        <v/>
      </c>
      <c r="AZ43" s="56">
        <f>IFERROR(IF(($AT43)&gt;0,($AW43)/($AT43),""),"")</f>
        <v/>
      </c>
      <c r="BA43" s="56">
        <f>IFERROR(IF(($AU43)&gt;0,($AX43)/($AU43),""),"")</f>
        <v/>
      </c>
      <c r="BB43" s="55">
        <f>SUMIFS(tblMiningDaily[Diesel_L],tblMiningDaily[Date],$A43)</f>
        <v/>
      </c>
      <c r="BC43" s="55">
        <f>IF($B43=$B42,$BC42,0)+$BB43</f>
        <v/>
      </c>
      <c r="BD43" s="55">
        <f>$BD42+$BB43</f>
        <v/>
      </c>
      <c r="BE43" s="55">
        <f>SUMIFS(tblMiningDaily[Dewatering_m3],tblMiningDaily[Date],$A43)</f>
        <v/>
      </c>
      <c r="BF43" s="55">
        <f>IF($B43=$B42,$BF42,0)+$BE43</f>
        <v/>
      </c>
      <c r="BG43" s="55">
        <f>$BG42+$BE43</f>
        <v/>
      </c>
      <c r="BH43" s="57">
        <f>SUMIFS(tblFleet[Calendar_h],tblFleet[Date],$A43,tblFleet[Equipment_Class],"Excavator")</f>
        <v/>
      </c>
      <c r="BI43" s="57">
        <f>IF($B43=$B42,$BI42,0)+$BH43</f>
        <v/>
      </c>
      <c r="BJ43" s="57">
        <f>$BJ42+$BH43</f>
        <v/>
      </c>
      <c r="BK43" s="57">
        <f>SUMIFS(tblFleet[Available_h],tblFleet[Date],$A43,tblFleet[Equipment_Class],"Excavator")</f>
        <v/>
      </c>
      <c r="BL43" s="57">
        <f>IF($B43=$B42,$BL42,0)+$BK43</f>
        <v/>
      </c>
      <c r="BM43" s="57">
        <f>$BM42+$BK43</f>
        <v/>
      </c>
      <c r="BN43" s="57">
        <f>SUMIFS(tblFleet[Operating_h],tblFleet[Date],$A43,tblFleet[Equipment_Class],"Excavator")</f>
        <v/>
      </c>
      <c r="BO43" s="57">
        <f>IF($B43=$B42,$BO42,0)+$BN43</f>
        <v/>
      </c>
      <c r="BP43" s="57">
        <f>$BP42+$BN43</f>
        <v/>
      </c>
      <c r="BQ43" s="67">
        <f>IFERROR(IF(($BH43)&gt;0,($BK43)/($BH43),""),"")</f>
        <v/>
      </c>
      <c r="BR43" s="67">
        <f>IFERROR(IF(($BI43)&gt;0,($BL43)/($BI43),""),"")</f>
        <v/>
      </c>
      <c r="BS43" s="67">
        <f>IFERROR(IF(($BJ43)&gt;0,($BM43)/($BJ43),""),"")</f>
        <v/>
      </c>
      <c r="BT43" s="67">
        <f>IFERROR(IF(($BK43)&gt;0,($BN43)/($BK43),""),"")</f>
        <v/>
      </c>
      <c r="BU43" s="67">
        <f>IFERROR(IF(($BL43)&gt;0,($BO43)/($BL43),""),"")</f>
        <v/>
      </c>
      <c r="BV43" s="67">
        <f>IFERROR(IF(($BM43)&gt;0,($BP43)/($BM43),""),"")</f>
        <v/>
      </c>
      <c r="BW43" s="57">
        <f>SUMIFS(tblFleet[Calendar_h],tblFleet[Date],$A43,tblFleet[Equipment_Class],"Haul Truck")</f>
        <v/>
      </c>
      <c r="BX43" s="57">
        <f>IF($B43=$B42,$BX42,0)+$BW43</f>
        <v/>
      </c>
      <c r="BY43" s="57">
        <f>$BY42+$BW43</f>
        <v/>
      </c>
      <c r="BZ43" s="57">
        <f>SUMIFS(tblFleet[Available_h],tblFleet[Date],$A43,tblFleet[Equipment_Class],"Haul Truck")</f>
        <v/>
      </c>
      <c r="CA43" s="57">
        <f>IF($B43=$B42,$CA42,0)+$BZ43</f>
        <v/>
      </c>
      <c r="CB43" s="57">
        <f>$CB42+$BZ43</f>
        <v/>
      </c>
      <c r="CC43" s="57">
        <f>SUMIFS(tblFleet[Operating_h],tblFleet[Date],$A43,tblFleet[Equipment_Class],"Haul Truck")</f>
        <v/>
      </c>
      <c r="CD43" s="57">
        <f>IF($B43=$B42,$CD42,0)+$CC43</f>
        <v/>
      </c>
      <c r="CE43" s="57">
        <f>$CE42+$CC43</f>
        <v/>
      </c>
      <c r="CF43" s="67">
        <f>IFERROR(IF(($BW43)&gt;0,($BZ43)/($BW43),""),"")</f>
        <v/>
      </c>
      <c r="CG43" s="67">
        <f>IFERROR(IF(($BX43)&gt;0,($CA43)/($BX43),""),"")</f>
        <v/>
      </c>
      <c r="CH43" s="67">
        <f>IFERROR(IF(($BY43)&gt;0,($CB43)/($BY43),""),"")</f>
        <v/>
      </c>
      <c r="CI43" s="67">
        <f>IFERROR(IF(($BZ43)&gt;0,($CC43)/($BZ43),""),"")</f>
        <v/>
      </c>
      <c r="CJ43" s="67">
        <f>IFERROR(IF(($CA43)&gt;0,($CD43)/($CA43),""),"")</f>
        <v/>
      </c>
      <c r="CK43" s="67">
        <f>IFERROR(IF(($CB43)&gt;0,($CE43)/($CB43),""),"")</f>
        <v/>
      </c>
      <c r="CL43" s="55">
        <f>IFERROR(IF(($BN43)&gt;0,($X43+$AD43)/($BN43),""),"")</f>
        <v/>
      </c>
      <c r="CM43" s="55">
        <f>IFERROR(IF(($BO43)&gt;0,($Y43+$AE43)/($BO43),""),"")</f>
        <v/>
      </c>
      <c r="CN43" s="55">
        <f>IFERROR(IF(($BP43)&gt;0,($Z43+$AF43)/($BP43),""),"")</f>
        <v/>
      </c>
      <c r="CO43" s="55">
        <f>IFERROR(IF(($CC43)&gt;0,($X43+$AD43)/($CC43),""),"")</f>
        <v/>
      </c>
      <c r="CP43" s="55">
        <f>IFERROR(IF(($CD43)&gt;0,($Y43+$AE43)/($CD43),""),"")</f>
        <v/>
      </c>
      <c r="CQ43" s="55">
        <f>IFERROR(IF(($CE43)&gt;0,($Z43+$AF43)/($CE43),""),"")</f>
        <v/>
      </c>
      <c r="CR43" s="55">
        <f>SUMIFS(tblPlant[Crushed_t],tblPlant[Date],$A43)</f>
        <v/>
      </c>
      <c r="CS43" s="55">
        <f>IF($B43=$B42,$CS42,0)+$CR43</f>
        <v/>
      </c>
      <c r="CT43" s="55">
        <f>$CT42+$CR43</f>
        <v/>
      </c>
      <c r="CU43" s="55">
        <f>SUMIFS(tblPlant[Milled_t],tblPlant[Date],$A43)</f>
        <v/>
      </c>
      <c r="CV43" s="55">
        <f>IF($B43=$B42,$CV42,0)+$CU43</f>
        <v/>
      </c>
      <c r="CW43" s="55">
        <f>$CW42+$CU43</f>
        <v/>
      </c>
      <c r="CX43" s="55">
        <f>SUMIFS(tblPlant[Feed_oz],tblPlant[Date],$A43)</f>
        <v/>
      </c>
      <c r="CY43" s="55">
        <f>IF($B43=$B42,$CY42,0)+$CX43</f>
        <v/>
      </c>
      <c r="CZ43" s="55">
        <f>$CZ42+$CX43</f>
        <v/>
      </c>
      <c r="DA43" s="55">
        <f>SUMIFS(tblPlant[Tails_oz],tblPlant[Date],$A43)</f>
        <v/>
      </c>
      <c r="DB43" s="55">
        <f>IF($B43=$B42,$DB42,0)+$DA43</f>
        <v/>
      </c>
      <c r="DC43" s="55">
        <f>$DC42+$DA43</f>
        <v/>
      </c>
      <c r="DD43" s="55">
        <f>SUMIFS(tblPlant[Recovered_oz],tblPlant[Date],$A43)</f>
        <v/>
      </c>
      <c r="DE43" s="55">
        <f>IF($B43=$B42,$DE42,0)+$DD43</f>
        <v/>
      </c>
      <c r="DF43" s="55">
        <f>$DF42+$DD43</f>
        <v/>
      </c>
      <c r="DG43" s="55">
        <f>SUMIFS(tblPlant[Milled_t],tblPlant[Date],$A43,tblPlant[Head_Grade_gpt],"&lt;&gt;")</f>
        <v/>
      </c>
      <c r="DH43" s="55">
        <f>IF($B43=$B42,$DH42,0)+$DG43</f>
        <v/>
      </c>
      <c r="DI43" s="55">
        <f>$DI42+$DG43</f>
        <v/>
      </c>
      <c r="DJ43" s="55">
        <f>SUMIFS(tblPlant[Milled_t],tblPlant[Date],$A43,tblPlant[Tails_Grade_gpt],"&lt;&gt;")</f>
        <v/>
      </c>
      <c r="DK43" s="55">
        <f>IF($B43=$B42,$DK42,0)+$DJ43</f>
        <v/>
      </c>
      <c r="DL43" s="55">
        <f>$DL42+$DJ43</f>
        <v/>
      </c>
      <c r="DM43" s="55">
        <f>SUMIFS(tblPlant[Feed_oz],tblPlant[Date],$A43,tblPlant[Tails_Grade_gpt],"&lt;&gt;")</f>
        <v/>
      </c>
      <c r="DN43" s="55">
        <f>IF($B43=$B42,$DN42,0)+$DM43</f>
        <v/>
      </c>
      <c r="DO43" s="55">
        <f>$DO42+$DM43</f>
        <v/>
      </c>
      <c r="DP43" s="55">
        <f>SUMIFS(tblPlant[Milled_t],tblPlant[Date],$A43,tblPlant[Mill_Run_h],"&lt;&gt;")</f>
        <v/>
      </c>
      <c r="DQ43" s="55">
        <f>IF($B43=$B42,$DQ42,0)+$DP43</f>
        <v/>
      </c>
      <c r="DR43" s="55">
        <f>$DR42+$DP43</f>
        <v/>
      </c>
      <c r="DS43" s="56">
        <f>IFERROR(IF(($DG43)&gt;0,($CX43*cfg_TroyOz)/($DG43),""),"")</f>
        <v/>
      </c>
      <c r="DT43" s="56">
        <f>IFERROR(IF(($DH43)&gt;0,($CY43*cfg_TroyOz)/($DH43),""),"")</f>
        <v/>
      </c>
      <c r="DU43" s="56">
        <f>IFERROR(IF(($DI43)&gt;0,($CZ43*cfg_TroyOz)/($DI43),""),"")</f>
        <v/>
      </c>
      <c r="DV43" s="56">
        <f>IFERROR(IF(($DJ43)&gt;0,($DA43*cfg_TroyOz)/($DJ43),""),"")</f>
        <v/>
      </c>
      <c r="DW43" s="56">
        <f>IFERROR(IF(($DK43)&gt;0,($DB43*cfg_TroyOz)/($DK43),""),"")</f>
        <v/>
      </c>
      <c r="DX43" s="56">
        <f>IFERROR(IF(($DL43)&gt;0,($DC43*cfg_TroyOz)/($DL43),""),"")</f>
        <v/>
      </c>
      <c r="DY43" s="67">
        <f>IFERROR(IF(($DM43)&gt;0,($DD43)/($DM43),""),"")</f>
        <v/>
      </c>
      <c r="DZ43" s="67">
        <f>IFERROR(IF(($DN43)&gt;0,($DE43)/($DN43),""),"")</f>
        <v/>
      </c>
      <c r="EA43" s="67">
        <f>IFERROR(IF(($DO43)&gt;0,($DF43)/($DO43),""),"")</f>
        <v/>
      </c>
      <c r="EB43" s="55">
        <f>SUMIFS(tblPlant[Gravity_Gold_oz],tblPlant[Date],$A43)</f>
        <v/>
      </c>
      <c r="EC43" s="55">
        <f>IF($B43=$B42,$EC42,0)+$EB43</f>
        <v/>
      </c>
      <c r="ED43" s="55">
        <f>$ED42+$EB43</f>
        <v/>
      </c>
      <c r="EE43" s="67">
        <f>IFERROR(IF(($DD43)&gt;0,($EB43)/($DD43),""),"")</f>
        <v/>
      </c>
      <c r="EF43" s="67">
        <f>IFERROR(IF(($DE43)&gt;0,($EC43)/($DE43),""),"")</f>
        <v/>
      </c>
      <c r="EG43" s="67">
        <f>IFERROR(IF(($DF43)&gt;0,($ED43)/($DF43),""),"")</f>
        <v/>
      </c>
      <c r="EH43" s="55">
        <f>SUMIFS(tblPlant[Gold_Poured_oz],tblPlant[Date],$A43)</f>
        <v/>
      </c>
      <c r="EI43" s="55">
        <f>IF($B43=$B42,$EI42,0)+$EH43</f>
        <v/>
      </c>
      <c r="EJ43" s="55">
        <f>$EJ42+$EH43</f>
        <v/>
      </c>
      <c r="EK43" s="57">
        <f>SUMIFS(tblPlant[Mill_Run_h],tblPlant[Date],$A43)</f>
        <v/>
      </c>
      <c r="EL43" s="57">
        <f>IF($B43=$B42,$EL42,0)+$EK43</f>
        <v/>
      </c>
      <c r="EM43" s="57">
        <f>$EM42+$EK43</f>
        <v/>
      </c>
      <c r="EN43" s="57">
        <f>SUMIFS(tblPlant[Mill_Planned_Maint_h],tblPlant[Date],$A43)</f>
        <v/>
      </c>
      <c r="EO43" s="57">
        <f>IF($B43=$B42,$EO42,0)+$EN43</f>
        <v/>
      </c>
      <c r="EP43" s="57">
        <f>$EP42+$EN43</f>
        <v/>
      </c>
      <c r="EQ43" s="57">
        <f>SUMIFS(tblPlant[Mill_Unplanned_Down_h],tblPlant[Date],$A43)</f>
        <v/>
      </c>
      <c r="ER43" s="57">
        <f>IF($B43=$B42,$ER42,0)+$EQ43</f>
        <v/>
      </c>
      <c r="ES43" s="57">
        <f>$ES42+$EQ43</f>
        <v/>
      </c>
      <c r="ET43" s="57">
        <f>IF(COUNTIFS(tblPlant[Date],$A43,tblPlant[Mill_Run_h],"&lt;&gt;")+COUNTIFS(tblPlant[Date],$A43,tblPlant[Mill_Planned_Maint_h],"&lt;&gt;")+COUNTIFS(tblPlant[Date],$A43,tblPlant[Mill_Unplanned_Down_h],"&lt;&gt;")&gt;0,cfg_HoursPerDay,0)</f>
        <v/>
      </c>
      <c r="EU43" s="57">
        <f>IF($B43=$B42,$EU42,0)+$ET43</f>
        <v/>
      </c>
      <c r="EV43" s="57">
        <f>$EV42+$ET43</f>
        <v/>
      </c>
      <c r="EW43" s="57">
        <f>SUMIFS(tblPlant[Crusher_Run_h],tblPlant[Date],$A43)</f>
        <v/>
      </c>
      <c r="EX43" s="57">
        <f>IF($B43=$B42,$EX42,0)+$EW43</f>
        <v/>
      </c>
      <c r="EY43" s="57">
        <f>$EY42+$EW43</f>
        <v/>
      </c>
      <c r="EZ43" s="55">
        <f>IFERROR(IF(($EK43)&gt;0,($DP43)/($EK43),""),"")</f>
        <v/>
      </c>
      <c r="FA43" s="55">
        <f>IFERROR(IF(($EL43)&gt;0,($DQ43)/($EL43),""),"")</f>
        <v/>
      </c>
      <c r="FB43" s="55">
        <f>IFERROR(IF(($EM43)&gt;0,($DR43)/($EM43),""),"")</f>
        <v/>
      </c>
      <c r="FC43" s="67">
        <f>IFERROR(IF(($ET43)&gt;0,($ET43-$EN43-$EQ43)/($ET43),""),"")</f>
        <v/>
      </c>
      <c r="FD43" s="67">
        <f>IFERROR(IF(($EU43)&gt;0,($EU43-$EO43-$ER43)/($EU43),""),"")</f>
        <v/>
      </c>
      <c r="FE43" s="67">
        <f>IFERROR(IF(($EV43)&gt;0,($EV43-$EP43-$ES43)/($EV43),""),"")</f>
        <v/>
      </c>
      <c r="FF43" s="67">
        <f>IFERROR(IF(($ET43-$EN43-$EQ43)&gt;0,($EK43)/($ET43-$EN43-$EQ43),""),"")</f>
        <v/>
      </c>
      <c r="FG43" s="67">
        <f>IFERROR(IF(($EU43-$EO43-$ER43)&gt;0,($EL43)/($EU43-$EO43-$ER43),""),"")</f>
        <v/>
      </c>
      <c r="FH43" s="67">
        <f>IFERROR(IF(($EV43-$EP43-$ES43)&gt;0,($EM43)/($EV43-$EP43-$ES43),""),"")</f>
        <v/>
      </c>
      <c r="FI43" s="55">
        <f>SUMIFS(tblPlant[Cyanide_kg],tblPlant[Date],$A43)</f>
        <v/>
      </c>
      <c r="FJ43" s="55">
        <f>IF($B43=$B42,$FJ42,0)+$FI43</f>
        <v/>
      </c>
      <c r="FK43" s="55">
        <f>$FK42+$FI43</f>
        <v/>
      </c>
      <c r="FL43" s="55">
        <f>SUMIFS(tblPlant[Lime_kg],tblPlant[Date],$A43)</f>
        <v/>
      </c>
      <c r="FM43" s="55">
        <f>IF($B43=$B42,$FM42,0)+$FL43</f>
        <v/>
      </c>
      <c r="FN43" s="55">
        <f>$FN42+$FL43</f>
        <v/>
      </c>
      <c r="FO43" s="55">
        <f>SUMIFS(tblPlant[Grinding_Media_kg],tblPlant[Date],$A43)</f>
        <v/>
      </c>
      <c r="FP43" s="55">
        <f>IF($B43=$B42,$FP42,0)+$FO43</f>
        <v/>
      </c>
      <c r="FQ43" s="55">
        <f>$FQ42+$FO43</f>
        <v/>
      </c>
      <c r="FR43" s="55">
        <f>SUMIFS(tblPlant[Power_kWh],tblPlant[Date],$A43)</f>
        <v/>
      </c>
      <c r="FS43" s="55">
        <f>IF($B43=$B42,$FS42,0)+$FR43</f>
        <v/>
      </c>
      <c r="FT43" s="55">
        <f>$FT42+$FR43</f>
        <v/>
      </c>
      <c r="FU43" s="55">
        <f>SUMIFS(tblPlant[Raw_Water_m3],tblPlant[Date],$A43)</f>
        <v/>
      </c>
      <c r="FV43" s="55">
        <f>IF($B43=$B42,$FV42,0)+$FU43</f>
        <v/>
      </c>
      <c r="FW43" s="55">
        <f>$FW42+$FU43</f>
        <v/>
      </c>
      <c r="FX43" s="56">
        <f>IFERROR(IF(($CU43)&gt;0,($FI43)/($CU43),""),"")</f>
        <v/>
      </c>
      <c r="FY43" s="56">
        <f>IFERROR(IF(($CV43)&gt;0,($FJ43)/($CV43),""),"")</f>
        <v/>
      </c>
      <c r="FZ43" s="56">
        <f>IFERROR(IF(($CW43)&gt;0,($FK43)/($CW43),""),"")</f>
        <v/>
      </c>
      <c r="GA43" s="56">
        <f>IFERROR(IF(($CU43)&gt;0,($FL43)/($CU43),""),"")</f>
        <v/>
      </c>
      <c r="GB43" s="56">
        <f>IFERROR(IF(($CV43)&gt;0,($FM43)/($CV43),""),"")</f>
        <v/>
      </c>
      <c r="GC43" s="56">
        <f>IFERROR(IF(($CW43)&gt;0,($FN43)/($CW43),""),"")</f>
        <v/>
      </c>
      <c r="GD43" s="56">
        <f>IFERROR(IF(($CU43)&gt;0,($FO43)/($CU43),""),"")</f>
        <v/>
      </c>
      <c r="GE43" s="56">
        <f>IFERROR(IF(($CV43)&gt;0,($FP43)/($CV43),""),"")</f>
        <v/>
      </c>
      <c r="GF43" s="56">
        <f>IFERROR(IF(($CW43)&gt;0,($FQ43)/($CW43),""),"")</f>
        <v/>
      </c>
      <c r="GG43" s="79">
        <f>IFERROR(IF(($CU43)&gt;0,($FR43)/($CU43),""),"")</f>
        <v/>
      </c>
      <c r="GH43" s="79">
        <f>IFERROR(IF(($CV43)&gt;0,($FS43)/($CV43),""),"")</f>
        <v/>
      </c>
      <c r="GI43" s="79">
        <f>IFERROR(IF(($CW43)&gt;0,($FT43)/($CW43),""),"")</f>
        <v/>
      </c>
      <c r="GJ43" s="56">
        <f>IFERROR(IF(($CU43)&gt;0,($FU43)/($CU43),""),"")</f>
        <v/>
      </c>
      <c r="GK43" s="56">
        <f>IFERROR(IF(($CV43)&gt;0,($FV43)/($CV43),""),"")</f>
        <v/>
      </c>
      <c r="GL43" s="56">
        <f>IFERROR(IF(($CW43)&gt;0,($FW43)/($CW43),""),"")</f>
        <v/>
      </c>
      <c r="GM43" s="55">
        <f>IF(SUMIFS(tblPlant[GIC_oz],tblPlant[Date],$A43)&gt;0,SUMIFS(tblPlant[GIC_oz],tblPlant[Date],$A43),"")</f>
        <v/>
      </c>
      <c r="GN43" s="55">
        <f>SUMIFS(tblGold[Gold_oz],tblGold[Date],$A43,tblGold[Type],"Shipment")</f>
        <v/>
      </c>
      <c r="GO43" s="55">
        <f>IF($B43=$B42,$GO42,0)+$GN43</f>
        <v/>
      </c>
      <c r="GP43" s="55">
        <f>$GP42+$GN43</f>
        <v/>
      </c>
      <c r="GQ43" s="55">
        <f>SUMIFS(tblGold[Gold_oz],tblGold[Date],$A43,tblGold[Type],"Sale")</f>
        <v/>
      </c>
      <c r="GR43" s="55">
        <f>IF($B43=$B42,$GR42,0)+$GQ43</f>
        <v/>
      </c>
      <c r="GS43" s="55">
        <f>$GS42+$GQ43</f>
        <v/>
      </c>
      <c r="GT43" s="55">
        <f>SUMIFS(tblGold[Dore_kg],tblGold[Date],$A43,tblGold[Type],"Shipment")</f>
        <v/>
      </c>
      <c r="GU43" s="55">
        <f>IF($B43=$B42,$GU42,0)+$GT43</f>
        <v/>
      </c>
      <c r="GV43" s="55">
        <f>$GV42+$GT43</f>
        <v/>
      </c>
      <c r="GW43" s="57">
        <f>SUMIFS(tblSafety[Hours_Total],tblSafety[Date],$A43)</f>
        <v/>
      </c>
      <c r="GX43" s="57">
        <f>IF($B43=$B42,$GX42,0)+$GW43</f>
        <v/>
      </c>
      <c r="GY43" s="57">
        <f>$GY42+$GW43</f>
        <v/>
      </c>
      <c r="GZ43" s="62">
        <f>SUMIFS(tblSafety[Fatality],tblSafety[Date],$A43)</f>
        <v/>
      </c>
      <c r="HA43" s="62">
        <f>IF($B43=$B42,$HA42,0)+$GZ43</f>
        <v/>
      </c>
      <c r="HB43" s="62">
        <f>$HB42+$GZ43</f>
        <v/>
      </c>
      <c r="HC43" s="62">
        <f>SUMIFS(tblSafety[LTI],tblSafety[Date],$A43)</f>
        <v/>
      </c>
      <c r="HD43" s="62">
        <f>IF($B43=$B42,$HD42,0)+$HC43</f>
        <v/>
      </c>
      <c r="HE43" s="62">
        <f>$HE42+$HC43</f>
        <v/>
      </c>
      <c r="HF43" s="62">
        <f>SUMIFS(tblSafety[RWI],tblSafety[Date],$A43)</f>
        <v/>
      </c>
      <c r="HG43" s="62">
        <f>IF($B43=$B42,$HG42,0)+$HF43</f>
        <v/>
      </c>
      <c r="HH43" s="62">
        <f>$HH42+$HF43</f>
        <v/>
      </c>
      <c r="HI43" s="62">
        <f>SUMIFS(tblSafety[MTI],tblSafety[Date],$A43)</f>
        <v/>
      </c>
      <c r="HJ43" s="62">
        <f>IF($B43=$B42,$HJ42,0)+$HI43</f>
        <v/>
      </c>
      <c r="HK43" s="62">
        <f>$HK42+$HI43</f>
        <v/>
      </c>
      <c r="HL43" s="62">
        <f>SUMIFS(tblSafety[FAI],tblSafety[Date],$A43)</f>
        <v/>
      </c>
      <c r="HM43" s="62">
        <f>IF($B43=$B42,$HM42,0)+$HL43</f>
        <v/>
      </c>
      <c r="HN43" s="62">
        <f>$HN42+$HL43</f>
        <v/>
      </c>
      <c r="HO43" s="62">
        <f>SUMIFS(tblSafety[Recordables],tblSafety[Date],$A43)</f>
        <v/>
      </c>
      <c r="HP43" s="62">
        <f>IF($B43=$B42,$HP42,0)+$HO43</f>
        <v/>
      </c>
      <c r="HQ43" s="62">
        <f>$HQ42+$HO43</f>
        <v/>
      </c>
      <c r="HR43" s="62">
        <f>SUMIFS(tblSafety[Near_Miss],tblSafety[Date],$A43)</f>
        <v/>
      </c>
      <c r="HS43" s="62">
        <f>IF($B43=$B42,$HS42,0)+$HR43</f>
        <v/>
      </c>
      <c r="HT43" s="62">
        <f>$HT42+$HR43</f>
        <v/>
      </c>
      <c r="HU43" s="62">
        <f>SUMIFS(tblSafety[Hazard_Reports],tblSafety[Date],$A43)</f>
        <v/>
      </c>
      <c r="HV43" s="62">
        <f>IF($B43=$B42,$HV42,0)+$HU43</f>
        <v/>
      </c>
      <c r="HW43" s="62">
        <f>$HW42+$HU43</f>
        <v/>
      </c>
      <c r="HX43" s="62">
        <f>SUMIFS(tblSafety[HPI],tblSafety[Date],$A43)</f>
        <v/>
      </c>
      <c r="HY43" s="62">
        <f>IF($B43=$B42,$HY42,0)+$HX43</f>
        <v/>
      </c>
      <c r="HZ43" s="62">
        <f>$HZ42+$HX43</f>
        <v/>
      </c>
      <c r="IA43" s="62">
        <f>SUMIFS(tblSafety[Env_Incidents],tblSafety[Date],$A43)</f>
        <v/>
      </c>
      <c r="IB43" s="62">
        <f>IF($B43=$B42,$IB42,0)+$IA43</f>
        <v/>
      </c>
      <c r="IC43" s="62">
        <f>$IC42+$IA43</f>
        <v/>
      </c>
      <c r="ID43" s="62">
        <f>SUMIFS(tblSafety[Community_Incidents],tblSafety[Date],$A43)</f>
        <v/>
      </c>
      <c r="IE43" s="62">
        <f>IF($B43=$B42,$IE42,0)+$ID43</f>
        <v/>
      </c>
      <c r="IF43" s="62">
        <f>$IF42+$ID43</f>
        <v/>
      </c>
      <c r="IG43" s="62">
        <f>SUMIFS(tblSafety[Vehicle_Incidents],tblSafety[Date],$A43)</f>
        <v/>
      </c>
      <c r="IH43" s="62">
        <f>IF($B43=$B42,$IH42,0)+$IG43</f>
        <v/>
      </c>
      <c r="II43" s="62">
        <f>$II42+$IG43</f>
        <v/>
      </c>
      <c r="IJ43" s="62">
        <f>SUMIFS(tblSafety[Toolbox_Talks],tblSafety[Date],$A43)</f>
        <v/>
      </c>
      <c r="IK43" s="62">
        <f>IF($B43=$B42,$IK42,0)+$IJ43</f>
        <v/>
      </c>
      <c r="IL43" s="62">
        <f>$IL42+$IJ43</f>
        <v/>
      </c>
      <c r="IM43" s="62">
        <f>SUMIFS(tblSafety[Inspections],tblSafety[Date],$A43)</f>
        <v/>
      </c>
      <c r="IN43" s="62">
        <f>IF($B43=$B42,$IN42,0)+$IM43</f>
        <v/>
      </c>
      <c r="IO43" s="62">
        <f>$IO42+$IM43</f>
        <v/>
      </c>
      <c r="IP43" s="56">
        <f>IFERROR((SUMIFS(tblSafety[Recordables],tblSafety[Date],"&gt;="&amp;EDATE($E43,-12),tblSafety[Date],"&lt;="&amp;$A43)+SUMIFS(tblSafetyHistory[Recordables],tblSafetyHistory[Month],"&gt;="&amp;EDATE($E43,-12),tblSafetyHistory[Month],"&lt;"&amp;$E43,tblSafetyHistory[Use],1))/(SUMIFS(tblSafety[Hours_Total],tblSafety[Date],"&gt;="&amp;EDATE($E43,-12),tblSafety[Date],"&lt;="&amp;$A43)+SUMIFS(tblSafetyHistory[Hours_Total],tblSafetyHistory[Month],"&gt;="&amp;EDATE($E43,-12),tblSafetyHistory[Month],"&lt;"&amp;$E43,tblSafetyHistory[Use],1))*cfg_RateBasisHours,"")</f>
        <v/>
      </c>
      <c r="IQ43" s="56">
        <f>IFERROR((SUMIFS(tblSafety[LTI],tblSafety[Date],"&gt;="&amp;EDATE($E43,-12),tblSafety[Date],"&lt;="&amp;$A43)+SUMIFS(tblSafetyHistory[LTI],tblSafetyHistory[Month],"&gt;="&amp;EDATE($E43,-12),tblSafetyHistory[Month],"&lt;"&amp;$E43,tblSafetyHistory[Use],1))/(SUMIFS(tblSafety[Hours_Total],tblSafety[Date],"&gt;="&amp;EDATE($E43,-12),tblSafety[Date],"&lt;="&amp;$A43)+SUMIFS(tblSafetyHistory[Hours_Total],tblSafetyHistory[Month],"&gt;="&amp;EDATE($E43,-12),tblSafetyHistory[Month],"&lt;"&amp;$E43,tblSafetyHistory[Use],1))*cfg_RateBasisHours,"")</f>
        <v/>
      </c>
      <c r="IR43" s="62">
        <f>IF(MAX(N(cfg_PriorLTIDate),_xlfn.MAXIFS(tblSafety[Date],tblSafety[LTI],"&gt;0",tblSafety[Date],"&lt;="&amp;$A43))=0,"",$A43-MAX(N(cfg_PriorLTIDate),_xlfn.MAXIFS(tblSafety[Date],tblSafety[LTI],"&gt;0",tblSafety[Date],"&lt;="&amp;$A43)))</f>
        <v/>
      </c>
      <c r="IS43" s="55">
        <f>SUMIFS(tblBudget[Ore_Mined_t],tblBudget[Month],$E43)</f>
        <v/>
      </c>
      <c r="IT43" s="55">
        <f>$IS43*$C43/$D43</f>
        <v/>
      </c>
      <c r="IU43" s="55">
        <f>SUMIFS(tblBudget[Ore_Mined_t],tblBudget[Month],"&lt;"&amp;$E43)+$IT43</f>
        <v/>
      </c>
      <c r="IV43" s="55">
        <f>SUMIFS(tblBudget[Ore_oz],tblBudget[Month],$E43)</f>
        <v/>
      </c>
      <c r="IW43" s="55">
        <f>$IV43*$C43/$D43</f>
        <v/>
      </c>
      <c r="IX43" s="55">
        <f>SUMIFS(tblBudget[Ore_oz],tblBudget[Month],"&lt;"&amp;$E43)+$IW43</f>
        <v/>
      </c>
      <c r="IY43" s="55">
        <f>SUMIFS(tblBudget[Ore_Mined_t],tblBudget[Month],$E43)</f>
        <v/>
      </c>
      <c r="IZ43" s="55">
        <f>$IY43*$C43/$D43</f>
        <v/>
      </c>
      <c r="JA43" s="55">
        <f>SUMIFS(tblBudget[Ore_Mined_t],tblBudget[Month],"&lt;"&amp;$E43)+$IZ43</f>
        <v/>
      </c>
      <c r="JB43" s="56">
        <f>IFERROR(IF(($IY43)&gt;0,($IV43*cfg_TroyOz)/($IY43),""),"")</f>
        <v/>
      </c>
      <c r="JC43" s="56">
        <f>IFERROR(IF(($IZ43)&gt;0,($IW43*cfg_TroyOz)/($IZ43),""),"")</f>
        <v/>
      </c>
      <c r="JD43" s="56">
        <f>IFERROR(IF(($JA43)&gt;0,($IX43*cfg_TroyOz)/($JA43),""),"")</f>
        <v/>
      </c>
      <c r="JE43" s="55">
        <f>SUMIFS(tblBudget[Waste_t],tblBudget[Month],$E43)</f>
        <v/>
      </c>
      <c r="JF43" s="55">
        <f>$JE43*$C43/$D43</f>
        <v/>
      </c>
      <c r="JG43" s="55">
        <f>SUMIFS(tblBudget[Waste_t],tblBudget[Month],"&lt;"&amp;$E43)+$JF43</f>
        <v/>
      </c>
      <c r="JH43" s="55">
        <f>SUMIFS(tblBudget[TMM_t],tblBudget[Month],$E43)</f>
        <v/>
      </c>
      <c r="JI43" s="55">
        <f>$JH43*$C43/$D43</f>
        <v/>
      </c>
      <c r="JJ43" s="55">
        <f>SUMIFS(tblBudget[TMM_t],tblBudget[Month],"&lt;"&amp;$E43)+$JI43</f>
        <v/>
      </c>
      <c r="JK43" s="56">
        <f>IFERROR(IF(($IS43)&gt;0,($JE43)/($IS43),""),"")</f>
        <v/>
      </c>
      <c r="JL43" s="56">
        <f>IFERROR(IF(($IT43)&gt;0,($JF43)/($IT43),""),"")</f>
        <v/>
      </c>
      <c r="JM43" s="56">
        <f>IFERROR(IF(($IU43)&gt;0,($JG43)/($IU43),""),"")</f>
        <v/>
      </c>
      <c r="JN43" s="55">
        <f>SUMIFS(tblBudget[Drill_m],tblBudget[Month],$E43)</f>
        <v/>
      </c>
      <c r="JO43" s="55">
        <f>$JN43*$C43/$D43</f>
        <v/>
      </c>
      <c r="JP43" s="55">
        <f>SUMIFS(tblBudget[Drill_m],tblBudget[Month],"&lt;"&amp;$E43)+$JO43</f>
        <v/>
      </c>
      <c r="JQ43" s="55">
        <f>SUMIFS(tblBudget[Diesel_L],tblBudget[Month],$E43)</f>
        <v/>
      </c>
      <c r="JR43" s="55">
        <f>$JQ43*$C43/$D43</f>
        <v/>
      </c>
      <c r="JS43" s="55">
        <f>SUMIFS(tblBudget[Diesel_L],tblBudget[Month],"&lt;"&amp;$E43)+$JR43</f>
        <v/>
      </c>
      <c r="JT43" s="55">
        <f>SUMIFS(tblBudget[Milled_t],tblBudget[Month],$E43)</f>
        <v/>
      </c>
      <c r="JU43" s="55">
        <f>$JT43*$C43/$D43</f>
        <v/>
      </c>
      <c r="JV43" s="55">
        <f>SUMIFS(tblBudget[Milled_t],tblBudget[Month],"&lt;"&amp;$E43)+$JU43</f>
        <v/>
      </c>
      <c r="JW43" s="55">
        <f>SUMIFS(tblBudget[Feed_oz],tblBudget[Month],$E43)</f>
        <v/>
      </c>
      <c r="JX43" s="55">
        <f>$JW43*$C43/$D43</f>
        <v/>
      </c>
      <c r="JY43" s="55">
        <f>SUMIFS(tblBudget[Feed_oz],tblBudget[Month],"&lt;"&amp;$E43)+$JX43</f>
        <v/>
      </c>
      <c r="JZ43" s="55">
        <f>SUMIFS(tblBudget[Recovered_oz],tblBudget[Month],$E43)</f>
        <v/>
      </c>
      <c r="KA43" s="55">
        <f>$JZ43*$C43/$D43</f>
        <v/>
      </c>
      <c r="KB43" s="55">
        <f>SUMIFS(tblBudget[Recovered_oz],tblBudget[Month],"&lt;"&amp;$E43)+$KA43</f>
        <v/>
      </c>
      <c r="KC43" s="55">
        <f>SUMIFS(tblBudget[Milled_t],tblBudget[Month],$E43)</f>
        <v/>
      </c>
      <c r="KD43" s="55">
        <f>$KC43*$C43/$D43</f>
        <v/>
      </c>
      <c r="KE43" s="55">
        <f>SUMIFS(tblBudget[Milled_t],tblBudget[Month],"&lt;"&amp;$E43)+$KD43</f>
        <v/>
      </c>
      <c r="KF43" s="55">
        <f>SUMIFS(tblBudget[Feed_oz],tblBudget[Month],$E43)</f>
        <v/>
      </c>
      <c r="KG43" s="55">
        <f>$KF43*$C43/$D43</f>
        <v/>
      </c>
      <c r="KH43" s="55">
        <f>SUMIFS(tblBudget[Feed_oz],tblBudget[Month],"&lt;"&amp;$E43)+$KG43</f>
        <v/>
      </c>
      <c r="KI43" s="56">
        <f>IFERROR(IF(($KC43)&gt;0,($JW43*cfg_TroyOz)/($KC43),""),"")</f>
        <v/>
      </c>
      <c r="KJ43" s="56">
        <f>IFERROR(IF(($KD43)&gt;0,($JX43*cfg_TroyOz)/($KD43),""),"")</f>
        <v/>
      </c>
      <c r="KK43" s="56">
        <f>IFERROR(IF(($KE43)&gt;0,($JY43*cfg_TroyOz)/($KE43),""),"")</f>
        <v/>
      </c>
      <c r="KL43" s="67">
        <f>IFERROR(IF(($KF43)&gt;0,($JZ43)/($KF43),""),"")</f>
        <v/>
      </c>
      <c r="KM43" s="67">
        <f>IFERROR(IF(($KG43)&gt;0,($KA43)/($KG43),""),"")</f>
        <v/>
      </c>
      <c r="KN43" s="67">
        <f>IFERROR(IF(($KH43)&gt;0,($KB43)/($KH43),""),"")</f>
        <v/>
      </c>
      <c r="KO43" s="55">
        <f>SUMIFS(tblBudget[Gold_Poured_oz],tblBudget[Month],$E43)</f>
        <v/>
      </c>
      <c r="KP43" s="55">
        <f>$KO43*$C43/$D43</f>
        <v/>
      </c>
      <c r="KQ43" s="55">
        <f>SUMIFS(tblBudget[Gold_Poured_oz],tblBudget[Month],"&lt;"&amp;$E43)+$KP43</f>
        <v/>
      </c>
      <c r="KR43" s="57">
        <f>SUMIFS(tblBudget[Hours_Worked],tblBudget[Month],$E43)</f>
        <v/>
      </c>
      <c r="KS43" s="57">
        <f>$KR43*$C43/$D43</f>
        <v/>
      </c>
      <c r="KT43" s="57">
        <f>SUMIFS(tblBudget[Hours_Worked],tblBudget[Month],"&lt;"&amp;$E43)+$KS43</f>
        <v/>
      </c>
    </row>
    <row r="44">
      <c r="A44" s="54" t="n">
        <v>46065</v>
      </c>
      <c r="B44">
        <f>MONTH($A44)</f>
        <v/>
      </c>
      <c r="C44">
        <f>DAY($A44)</f>
        <v/>
      </c>
      <c r="D44">
        <f>DAY(EOMONTH($A44,0))</f>
        <v/>
      </c>
      <c r="E44" s="54">
        <f>DATE(YEAR($A44),MONTH($A44),1)</f>
        <v/>
      </c>
      <c r="F44" s="55">
        <f>SUMIFS(tblMovement[Tonnes_t],tblMovement[Date],$A44,tblMovement[Is_Ore],1,tblMovement[Source_Type],"Pit")</f>
        <v/>
      </c>
      <c r="G44" s="55">
        <f>IF($B44=$B43,$G43,0)+$F44</f>
        <v/>
      </c>
      <c r="H44" s="55">
        <f>$H43+$F44</f>
        <v/>
      </c>
      <c r="I44" s="55">
        <f>SUMIFS(tblMovement[Ore_oz],tblMovement[Date],$A44,tblMovement[Source_Type],"Pit")</f>
        <v/>
      </c>
      <c r="J44" s="55">
        <f>IF($B44=$B43,$J43,0)+$I44</f>
        <v/>
      </c>
      <c r="K44" s="55">
        <f>$K43+$I44</f>
        <v/>
      </c>
      <c r="L44" s="55">
        <f>SUMIFS(tblMovement[Tonnes_t],tblMovement[Date],$A44,tblMovement[Is_Ore],1,tblMovement[Source_Type],"Pit",tblMovement[Grade_gpt],"&lt;&gt;")</f>
        <v/>
      </c>
      <c r="M44" s="55">
        <f>IF($B44=$B43,$M43,0)+$L44</f>
        <v/>
      </c>
      <c r="N44" s="55">
        <f>$N43+$L44</f>
        <v/>
      </c>
      <c r="O44" s="56">
        <f>IFERROR(IF(($L44)&gt;0,($I44*cfg_TroyOz)/($L44),""),"")</f>
        <v/>
      </c>
      <c r="P44" s="56">
        <f>IFERROR(IF(($M44)&gt;0,($J44*cfg_TroyOz)/($M44),""),"")</f>
        <v/>
      </c>
      <c r="Q44" s="56">
        <f>IFERROR(IF(($N44)&gt;0,($K44*cfg_TroyOz)/($N44),""),"")</f>
        <v/>
      </c>
      <c r="R44" s="55">
        <f>$F44-$L44</f>
        <v/>
      </c>
      <c r="S44" s="55">
        <f>IF($B44=$B43,$S43,0)+$R44</f>
        <v/>
      </c>
      <c r="T44" s="55">
        <f>$T43+$R44</f>
        <v/>
      </c>
      <c r="U44" s="55">
        <f>SUMIFS(tblMovement[Tonnes_t],tblMovement[Date],$A44,tblMovement[Is_Ore],0,tblMovement[Source_Type],"Pit")</f>
        <v/>
      </c>
      <c r="V44" s="55">
        <f>IF($B44=$B43,$V43,0)+$U44</f>
        <v/>
      </c>
      <c r="W44" s="55">
        <f>$W43+$U44</f>
        <v/>
      </c>
      <c r="X44" s="55">
        <f>$F44+$U44</f>
        <v/>
      </c>
      <c r="Y44" s="55">
        <f>IF($B44=$B43,$Y43,0)+$X44</f>
        <v/>
      </c>
      <c r="Z44" s="55">
        <f>$Z43+$X44</f>
        <v/>
      </c>
      <c r="AA44" s="56">
        <f>IFERROR(IF(($F44)&gt;0,($U44)/($F44),""),"")</f>
        <v/>
      </c>
      <c r="AB44" s="56">
        <f>IFERROR(IF(($G44)&gt;0,($V44)/($G44),""),"")</f>
        <v/>
      </c>
      <c r="AC44" s="56">
        <f>IFERROR(IF(($H44)&gt;0,($W44)/($H44),""),"")</f>
        <v/>
      </c>
      <c r="AD44" s="55">
        <f>SUMIFS(tblMovement[Tonnes_t],tblMovement[Date],$A44,tblMovement[Source_Type],"Stockpile")</f>
        <v/>
      </c>
      <c r="AE44" s="55">
        <f>IF($B44=$B43,$AE43,0)+$AD44</f>
        <v/>
      </c>
      <c r="AF44" s="55">
        <f>$AF43+$AD44</f>
        <v/>
      </c>
      <c r="AG44" s="55">
        <f>SUMIFS(tblMovement[Tonnes_t],tblMovement[Date],$A44)</f>
        <v/>
      </c>
      <c r="AH44" s="55">
        <f>IF($B44=$B43,$AH43,0)+$AG44</f>
        <v/>
      </c>
      <c r="AI44" s="55">
        <f>$AI43+$AG44</f>
        <v/>
      </c>
      <c r="AJ44" s="55">
        <f>$AG44-$X44-$AD44</f>
        <v/>
      </c>
      <c r="AK44" s="55">
        <f>IF($B44=$B43,$AK43,0)+$AJ44</f>
        <v/>
      </c>
      <c r="AL44" s="55">
        <f>$AL43+$AJ44</f>
        <v/>
      </c>
      <c r="AM44" s="55">
        <f>SUMIFS(tblMiningDaily[Drill_m],tblMiningDaily[Date],$A44)</f>
        <v/>
      </c>
      <c r="AN44" s="55">
        <f>IF($B44=$B43,$AN43,0)+$AM44</f>
        <v/>
      </c>
      <c r="AO44" s="55">
        <f>$AO43+$AM44</f>
        <v/>
      </c>
      <c r="AP44" s="55">
        <f>SUMIFS(tblMiningDaily[GC_Drill_m],tblMiningDaily[Date],$A44)</f>
        <v/>
      </c>
      <c r="AQ44" s="55">
        <f>IF($B44=$B43,$AQ43,0)+$AP44</f>
        <v/>
      </c>
      <c r="AR44" s="55">
        <f>$AR43+$AP44</f>
        <v/>
      </c>
      <c r="AS44" s="55">
        <f>SUMIFS(tblMiningDaily[Blast_t],tblMiningDaily[Date],$A44)</f>
        <v/>
      </c>
      <c r="AT44" s="55">
        <f>IF($B44=$B43,$AT43,0)+$AS44</f>
        <v/>
      </c>
      <c r="AU44" s="55">
        <f>$AU43+$AS44</f>
        <v/>
      </c>
      <c r="AV44" s="55">
        <f>SUMIFS(tblMiningDaily[Explosives_kg],tblMiningDaily[Date],$A44)</f>
        <v/>
      </c>
      <c r="AW44" s="55">
        <f>IF($B44=$B43,$AW43,0)+$AV44</f>
        <v/>
      </c>
      <c r="AX44" s="55">
        <f>$AX43+$AV44</f>
        <v/>
      </c>
      <c r="AY44" s="56">
        <f>IFERROR(IF(($AS44)&gt;0,($AV44)/($AS44),""),"")</f>
        <v/>
      </c>
      <c r="AZ44" s="56">
        <f>IFERROR(IF(($AT44)&gt;0,($AW44)/($AT44),""),"")</f>
        <v/>
      </c>
      <c r="BA44" s="56">
        <f>IFERROR(IF(($AU44)&gt;0,($AX44)/($AU44),""),"")</f>
        <v/>
      </c>
      <c r="BB44" s="55">
        <f>SUMIFS(tblMiningDaily[Diesel_L],tblMiningDaily[Date],$A44)</f>
        <v/>
      </c>
      <c r="BC44" s="55">
        <f>IF($B44=$B43,$BC43,0)+$BB44</f>
        <v/>
      </c>
      <c r="BD44" s="55">
        <f>$BD43+$BB44</f>
        <v/>
      </c>
      <c r="BE44" s="55">
        <f>SUMIFS(tblMiningDaily[Dewatering_m3],tblMiningDaily[Date],$A44)</f>
        <v/>
      </c>
      <c r="BF44" s="55">
        <f>IF($B44=$B43,$BF43,0)+$BE44</f>
        <v/>
      </c>
      <c r="BG44" s="55">
        <f>$BG43+$BE44</f>
        <v/>
      </c>
      <c r="BH44" s="57">
        <f>SUMIFS(tblFleet[Calendar_h],tblFleet[Date],$A44,tblFleet[Equipment_Class],"Excavator")</f>
        <v/>
      </c>
      <c r="BI44" s="57">
        <f>IF($B44=$B43,$BI43,0)+$BH44</f>
        <v/>
      </c>
      <c r="BJ44" s="57">
        <f>$BJ43+$BH44</f>
        <v/>
      </c>
      <c r="BK44" s="57">
        <f>SUMIFS(tblFleet[Available_h],tblFleet[Date],$A44,tblFleet[Equipment_Class],"Excavator")</f>
        <v/>
      </c>
      <c r="BL44" s="57">
        <f>IF($B44=$B43,$BL43,0)+$BK44</f>
        <v/>
      </c>
      <c r="BM44" s="57">
        <f>$BM43+$BK44</f>
        <v/>
      </c>
      <c r="BN44" s="57">
        <f>SUMIFS(tblFleet[Operating_h],tblFleet[Date],$A44,tblFleet[Equipment_Class],"Excavator")</f>
        <v/>
      </c>
      <c r="BO44" s="57">
        <f>IF($B44=$B43,$BO43,0)+$BN44</f>
        <v/>
      </c>
      <c r="BP44" s="57">
        <f>$BP43+$BN44</f>
        <v/>
      </c>
      <c r="BQ44" s="67">
        <f>IFERROR(IF(($BH44)&gt;0,($BK44)/($BH44),""),"")</f>
        <v/>
      </c>
      <c r="BR44" s="67">
        <f>IFERROR(IF(($BI44)&gt;0,($BL44)/($BI44),""),"")</f>
        <v/>
      </c>
      <c r="BS44" s="67">
        <f>IFERROR(IF(($BJ44)&gt;0,($BM44)/($BJ44),""),"")</f>
        <v/>
      </c>
      <c r="BT44" s="67">
        <f>IFERROR(IF(($BK44)&gt;0,($BN44)/($BK44),""),"")</f>
        <v/>
      </c>
      <c r="BU44" s="67">
        <f>IFERROR(IF(($BL44)&gt;0,($BO44)/($BL44),""),"")</f>
        <v/>
      </c>
      <c r="BV44" s="67">
        <f>IFERROR(IF(($BM44)&gt;0,($BP44)/($BM44),""),"")</f>
        <v/>
      </c>
      <c r="BW44" s="57">
        <f>SUMIFS(tblFleet[Calendar_h],tblFleet[Date],$A44,tblFleet[Equipment_Class],"Haul Truck")</f>
        <v/>
      </c>
      <c r="BX44" s="57">
        <f>IF($B44=$B43,$BX43,0)+$BW44</f>
        <v/>
      </c>
      <c r="BY44" s="57">
        <f>$BY43+$BW44</f>
        <v/>
      </c>
      <c r="BZ44" s="57">
        <f>SUMIFS(tblFleet[Available_h],tblFleet[Date],$A44,tblFleet[Equipment_Class],"Haul Truck")</f>
        <v/>
      </c>
      <c r="CA44" s="57">
        <f>IF($B44=$B43,$CA43,0)+$BZ44</f>
        <v/>
      </c>
      <c r="CB44" s="57">
        <f>$CB43+$BZ44</f>
        <v/>
      </c>
      <c r="CC44" s="57">
        <f>SUMIFS(tblFleet[Operating_h],tblFleet[Date],$A44,tblFleet[Equipment_Class],"Haul Truck")</f>
        <v/>
      </c>
      <c r="CD44" s="57">
        <f>IF($B44=$B43,$CD43,0)+$CC44</f>
        <v/>
      </c>
      <c r="CE44" s="57">
        <f>$CE43+$CC44</f>
        <v/>
      </c>
      <c r="CF44" s="67">
        <f>IFERROR(IF(($BW44)&gt;0,($BZ44)/($BW44),""),"")</f>
        <v/>
      </c>
      <c r="CG44" s="67">
        <f>IFERROR(IF(($BX44)&gt;0,($CA44)/($BX44),""),"")</f>
        <v/>
      </c>
      <c r="CH44" s="67">
        <f>IFERROR(IF(($BY44)&gt;0,($CB44)/($BY44),""),"")</f>
        <v/>
      </c>
      <c r="CI44" s="67">
        <f>IFERROR(IF(($BZ44)&gt;0,($CC44)/($BZ44),""),"")</f>
        <v/>
      </c>
      <c r="CJ44" s="67">
        <f>IFERROR(IF(($CA44)&gt;0,($CD44)/($CA44),""),"")</f>
        <v/>
      </c>
      <c r="CK44" s="67">
        <f>IFERROR(IF(($CB44)&gt;0,($CE44)/($CB44),""),"")</f>
        <v/>
      </c>
      <c r="CL44" s="55">
        <f>IFERROR(IF(($BN44)&gt;0,($X44+$AD44)/($BN44),""),"")</f>
        <v/>
      </c>
      <c r="CM44" s="55">
        <f>IFERROR(IF(($BO44)&gt;0,($Y44+$AE44)/($BO44),""),"")</f>
        <v/>
      </c>
      <c r="CN44" s="55">
        <f>IFERROR(IF(($BP44)&gt;0,($Z44+$AF44)/($BP44),""),"")</f>
        <v/>
      </c>
      <c r="CO44" s="55">
        <f>IFERROR(IF(($CC44)&gt;0,($X44+$AD44)/($CC44),""),"")</f>
        <v/>
      </c>
      <c r="CP44" s="55">
        <f>IFERROR(IF(($CD44)&gt;0,($Y44+$AE44)/($CD44),""),"")</f>
        <v/>
      </c>
      <c r="CQ44" s="55">
        <f>IFERROR(IF(($CE44)&gt;0,($Z44+$AF44)/($CE44),""),"")</f>
        <v/>
      </c>
      <c r="CR44" s="55">
        <f>SUMIFS(tblPlant[Crushed_t],tblPlant[Date],$A44)</f>
        <v/>
      </c>
      <c r="CS44" s="55">
        <f>IF($B44=$B43,$CS43,0)+$CR44</f>
        <v/>
      </c>
      <c r="CT44" s="55">
        <f>$CT43+$CR44</f>
        <v/>
      </c>
      <c r="CU44" s="55">
        <f>SUMIFS(tblPlant[Milled_t],tblPlant[Date],$A44)</f>
        <v/>
      </c>
      <c r="CV44" s="55">
        <f>IF($B44=$B43,$CV43,0)+$CU44</f>
        <v/>
      </c>
      <c r="CW44" s="55">
        <f>$CW43+$CU44</f>
        <v/>
      </c>
      <c r="CX44" s="55">
        <f>SUMIFS(tblPlant[Feed_oz],tblPlant[Date],$A44)</f>
        <v/>
      </c>
      <c r="CY44" s="55">
        <f>IF($B44=$B43,$CY43,0)+$CX44</f>
        <v/>
      </c>
      <c r="CZ44" s="55">
        <f>$CZ43+$CX44</f>
        <v/>
      </c>
      <c r="DA44" s="55">
        <f>SUMIFS(tblPlant[Tails_oz],tblPlant[Date],$A44)</f>
        <v/>
      </c>
      <c r="DB44" s="55">
        <f>IF($B44=$B43,$DB43,0)+$DA44</f>
        <v/>
      </c>
      <c r="DC44" s="55">
        <f>$DC43+$DA44</f>
        <v/>
      </c>
      <c r="DD44" s="55">
        <f>SUMIFS(tblPlant[Recovered_oz],tblPlant[Date],$A44)</f>
        <v/>
      </c>
      <c r="DE44" s="55">
        <f>IF($B44=$B43,$DE43,0)+$DD44</f>
        <v/>
      </c>
      <c r="DF44" s="55">
        <f>$DF43+$DD44</f>
        <v/>
      </c>
      <c r="DG44" s="55">
        <f>SUMIFS(tblPlant[Milled_t],tblPlant[Date],$A44,tblPlant[Head_Grade_gpt],"&lt;&gt;")</f>
        <v/>
      </c>
      <c r="DH44" s="55">
        <f>IF($B44=$B43,$DH43,0)+$DG44</f>
        <v/>
      </c>
      <c r="DI44" s="55">
        <f>$DI43+$DG44</f>
        <v/>
      </c>
      <c r="DJ44" s="55">
        <f>SUMIFS(tblPlant[Milled_t],tblPlant[Date],$A44,tblPlant[Tails_Grade_gpt],"&lt;&gt;")</f>
        <v/>
      </c>
      <c r="DK44" s="55">
        <f>IF($B44=$B43,$DK43,0)+$DJ44</f>
        <v/>
      </c>
      <c r="DL44" s="55">
        <f>$DL43+$DJ44</f>
        <v/>
      </c>
      <c r="DM44" s="55">
        <f>SUMIFS(tblPlant[Feed_oz],tblPlant[Date],$A44,tblPlant[Tails_Grade_gpt],"&lt;&gt;")</f>
        <v/>
      </c>
      <c r="DN44" s="55">
        <f>IF($B44=$B43,$DN43,0)+$DM44</f>
        <v/>
      </c>
      <c r="DO44" s="55">
        <f>$DO43+$DM44</f>
        <v/>
      </c>
      <c r="DP44" s="55">
        <f>SUMIFS(tblPlant[Milled_t],tblPlant[Date],$A44,tblPlant[Mill_Run_h],"&lt;&gt;")</f>
        <v/>
      </c>
      <c r="DQ44" s="55">
        <f>IF($B44=$B43,$DQ43,0)+$DP44</f>
        <v/>
      </c>
      <c r="DR44" s="55">
        <f>$DR43+$DP44</f>
        <v/>
      </c>
      <c r="DS44" s="56">
        <f>IFERROR(IF(($DG44)&gt;0,($CX44*cfg_TroyOz)/($DG44),""),"")</f>
        <v/>
      </c>
      <c r="DT44" s="56">
        <f>IFERROR(IF(($DH44)&gt;0,($CY44*cfg_TroyOz)/($DH44),""),"")</f>
        <v/>
      </c>
      <c r="DU44" s="56">
        <f>IFERROR(IF(($DI44)&gt;0,($CZ44*cfg_TroyOz)/($DI44),""),"")</f>
        <v/>
      </c>
      <c r="DV44" s="56">
        <f>IFERROR(IF(($DJ44)&gt;0,($DA44*cfg_TroyOz)/($DJ44),""),"")</f>
        <v/>
      </c>
      <c r="DW44" s="56">
        <f>IFERROR(IF(($DK44)&gt;0,($DB44*cfg_TroyOz)/($DK44),""),"")</f>
        <v/>
      </c>
      <c r="DX44" s="56">
        <f>IFERROR(IF(($DL44)&gt;0,($DC44*cfg_TroyOz)/($DL44),""),"")</f>
        <v/>
      </c>
      <c r="DY44" s="67">
        <f>IFERROR(IF(($DM44)&gt;0,($DD44)/($DM44),""),"")</f>
        <v/>
      </c>
      <c r="DZ44" s="67">
        <f>IFERROR(IF(($DN44)&gt;0,($DE44)/($DN44),""),"")</f>
        <v/>
      </c>
      <c r="EA44" s="67">
        <f>IFERROR(IF(($DO44)&gt;0,($DF44)/($DO44),""),"")</f>
        <v/>
      </c>
      <c r="EB44" s="55">
        <f>SUMIFS(tblPlant[Gravity_Gold_oz],tblPlant[Date],$A44)</f>
        <v/>
      </c>
      <c r="EC44" s="55">
        <f>IF($B44=$B43,$EC43,0)+$EB44</f>
        <v/>
      </c>
      <c r="ED44" s="55">
        <f>$ED43+$EB44</f>
        <v/>
      </c>
      <c r="EE44" s="67">
        <f>IFERROR(IF(($DD44)&gt;0,($EB44)/($DD44),""),"")</f>
        <v/>
      </c>
      <c r="EF44" s="67">
        <f>IFERROR(IF(($DE44)&gt;0,($EC44)/($DE44),""),"")</f>
        <v/>
      </c>
      <c r="EG44" s="67">
        <f>IFERROR(IF(($DF44)&gt;0,($ED44)/($DF44),""),"")</f>
        <v/>
      </c>
      <c r="EH44" s="55">
        <f>SUMIFS(tblPlant[Gold_Poured_oz],tblPlant[Date],$A44)</f>
        <v/>
      </c>
      <c r="EI44" s="55">
        <f>IF($B44=$B43,$EI43,0)+$EH44</f>
        <v/>
      </c>
      <c r="EJ44" s="55">
        <f>$EJ43+$EH44</f>
        <v/>
      </c>
      <c r="EK44" s="57">
        <f>SUMIFS(tblPlant[Mill_Run_h],tblPlant[Date],$A44)</f>
        <v/>
      </c>
      <c r="EL44" s="57">
        <f>IF($B44=$B43,$EL43,0)+$EK44</f>
        <v/>
      </c>
      <c r="EM44" s="57">
        <f>$EM43+$EK44</f>
        <v/>
      </c>
      <c r="EN44" s="57">
        <f>SUMIFS(tblPlant[Mill_Planned_Maint_h],tblPlant[Date],$A44)</f>
        <v/>
      </c>
      <c r="EO44" s="57">
        <f>IF($B44=$B43,$EO43,0)+$EN44</f>
        <v/>
      </c>
      <c r="EP44" s="57">
        <f>$EP43+$EN44</f>
        <v/>
      </c>
      <c r="EQ44" s="57">
        <f>SUMIFS(tblPlant[Mill_Unplanned_Down_h],tblPlant[Date],$A44)</f>
        <v/>
      </c>
      <c r="ER44" s="57">
        <f>IF($B44=$B43,$ER43,0)+$EQ44</f>
        <v/>
      </c>
      <c r="ES44" s="57">
        <f>$ES43+$EQ44</f>
        <v/>
      </c>
      <c r="ET44" s="57">
        <f>IF(COUNTIFS(tblPlant[Date],$A44,tblPlant[Mill_Run_h],"&lt;&gt;")+COUNTIFS(tblPlant[Date],$A44,tblPlant[Mill_Planned_Maint_h],"&lt;&gt;")+COUNTIFS(tblPlant[Date],$A44,tblPlant[Mill_Unplanned_Down_h],"&lt;&gt;")&gt;0,cfg_HoursPerDay,0)</f>
        <v/>
      </c>
      <c r="EU44" s="57">
        <f>IF($B44=$B43,$EU43,0)+$ET44</f>
        <v/>
      </c>
      <c r="EV44" s="57">
        <f>$EV43+$ET44</f>
        <v/>
      </c>
      <c r="EW44" s="57">
        <f>SUMIFS(tblPlant[Crusher_Run_h],tblPlant[Date],$A44)</f>
        <v/>
      </c>
      <c r="EX44" s="57">
        <f>IF($B44=$B43,$EX43,0)+$EW44</f>
        <v/>
      </c>
      <c r="EY44" s="57">
        <f>$EY43+$EW44</f>
        <v/>
      </c>
      <c r="EZ44" s="55">
        <f>IFERROR(IF(($EK44)&gt;0,($DP44)/($EK44),""),"")</f>
        <v/>
      </c>
      <c r="FA44" s="55">
        <f>IFERROR(IF(($EL44)&gt;0,($DQ44)/($EL44),""),"")</f>
        <v/>
      </c>
      <c r="FB44" s="55">
        <f>IFERROR(IF(($EM44)&gt;0,($DR44)/($EM44),""),"")</f>
        <v/>
      </c>
      <c r="FC44" s="67">
        <f>IFERROR(IF(($ET44)&gt;0,($ET44-$EN44-$EQ44)/($ET44),""),"")</f>
        <v/>
      </c>
      <c r="FD44" s="67">
        <f>IFERROR(IF(($EU44)&gt;0,($EU44-$EO44-$ER44)/($EU44),""),"")</f>
        <v/>
      </c>
      <c r="FE44" s="67">
        <f>IFERROR(IF(($EV44)&gt;0,($EV44-$EP44-$ES44)/($EV44),""),"")</f>
        <v/>
      </c>
      <c r="FF44" s="67">
        <f>IFERROR(IF(($ET44-$EN44-$EQ44)&gt;0,($EK44)/($ET44-$EN44-$EQ44),""),"")</f>
        <v/>
      </c>
      <c r="FG44" s="67">
        <f>IFERROR(IF(($EU44-$EO44-$ER44)&gt;0,($EL44)/($EU44-$EO44-$ER44),""),"")</f>
        <v/>
      </c>
      <c r="FH44" s="67">
        <f>IFERROR(IF(($EV44-$EP44-$ES44)&gt;0,($EM44)/($EV44-$EP44-$ES44),""),"")</f>
        <v/>
      </c>
      <c r="FI44" s="55">
        <f>SUMIFS(tblPlant[Cyanide_kg],tblPlant[Date],$A44)</f>
        <v/>
      </c>
      <c r="FJ44" s="55">
        <f>IF($B44=$B43,$FJ43,0)+$FI44</f>
        <v/>
      </c>
      <c r="FK44" s="55">
        <f>$FK43+$FI44</f>
        <v/>
      </c>
      <c r="FL44" s="55">
        <f>SUMIFS(tblPlant[Lime_kg],tblPlant[Date],$A44)</f>
        <v/>
      </c>
      <c r="FM44" s="55">
        <f>IF($B44=$B43,$FM43,0)+$FL44</f>
        <v/>
      </c>
      <c r="FN44" s="55">
        <f>$FN43+$FL44</f>
        <v/>
      </c>
      <c r="FO44" s="55">
        <f>SUMIFS(tblPlant[Grinding_Media_kg],tblPlant[Date],$A44)</f>
        <v/>
      </c>
      <c r="FP44" s="55">
        <f>IF($B44=$B43,$FP43,0)+$FO44</f>
        <v/>
      </c>
      <c r="FQ44" s="55">
        <f>$FQ43+$FO44</f>
        <v/>
      </c>
      <c r="FR44" s="55">
        <f>SUMIFS(tblPlant[Power_kWh],tblPlant[Date],$A44)</f>
        <v/>
      </c>
      <c r="FS44" s="55">
        <f>IF($B44=$B43,$FS43,0)+$FR44</f>
        <v/>
      </c>
      <c r="FT44" s="55">
        <f>$FT43+$FR44</f>
        <v/>
      </c>
      <c r="FU44" s="55">
        <f>SUMIFS(tblPlant[Raw_Water_m3],tblPlant[Date],$A44)</f>
        <v/>
      </c>
      <c r="FV44" s="55">
        <f>IF($B44=$B43,$FV43,0)+$FU44</f>
        <v/>
      </c>
      <c r="FW44" s="55">
        <f>$FW43+$FU44</f>
        <v/>
      </c>
      <c r="FX44" s="56">
        <f>IFERROR(IF(($CU44)&gt;0,($FI44)/($CU44),""),"")</f>
        <v/>
      </c>
      <c r="FY44" s="56">
        <f>IFERROR(IF(($CV44)&gt;0,($FJ44)/($CV44),""),"")</f>
        <v/>
      </c>
      <c r="FZ44" s="56">
        <f>IFERROR(IF(($CW44)&gt;0,($FK44)/($CW44),""),"")</f>
        <v/>
      </c>
      <c r="GA44" s="56">
        <f>IFERROR(IF(($CU44)&gt;0,($FL44)/($CU44),""),"")</f>
        <v/>
      </c>
      <c r="GB44" s="56">
        <f>IFERROR(IF(($CV44)&gt;0,($FM44)/($CV44),""),"")</f>
        <v/>
      </c>
      <c r="GC44" s="56">
        <f>IFERROR(IF(($CW44)&gt;0,($FN44)/($CW44),""),"")</f>
        <v/>
      </c>
      <c r="GD44" s="56">
        <f>IFERROR(IF(($CU44)&gt;0,($FO44)/($CU44),""),"")</f>
        <v/>
      </c>
      <c r="GE44" s="56">
        <f>IFERROR(IF(($CV44)&gt;0,($FP44)/($CV44),""),"")</f>
        <v/>
      </c>
      <c r="GF44" s="56">
        <f>IFERROR(IF(($CW44)&gt;0,($FQ44)/($CW44),""),"")</f>
        <v/>
      </c>
      <c r="GG44" s="79">
        <f>IFERROR(IF(($CU44)&gt;0,($FR44)/($CU44),""),"")</f>
        <v/>
      </c>
      <c r="GH44" s="79">
        <f>IFERROR(IF(($CV44)&gt;0,($FS44)/($CV44),""),"")</f>
        <v/>
      </c>
      <c r="GI44" s="79">
        <f>IFERROR(IF(($CW44)&gt;0,($FT44)/($CW44),""),"")</f>
        <v/>
      </c>
      <c r="GJ44" s="56">
        <f>IFERROR(IF(($CU44)&gt;0,($FU44)/($CU44),""),"")</f>
        <v/>
      </c>
      <c r="GK44" s="56">
        <f>IFERROR(IF(($CV44)&gt;0,($FV44)/($CV44),""),"")</f>
        <v/>
      </c>
      <c r="GL44" s="56">
        <f>IFERROR(IF(($CW44)&gt;0,($FW44)/($CW44),""),"")</f>
        <v/>
      </c>
      <c r="GM44" s="55">
        <f>IF(SUMIFS(tblPlant[GIC_oz],tblPlant[Date],$A44)&gt;0,SUMIFS(tblPlant[GIC_oz],tblPlant[Date],$A44),"")</f>
        <v/>
      </c>
      <c r="GN44" s="55">
        <f>SUMIFS(tblGold[Gold_oz],tblGold[Date],$A44,tblGold[Type],"Shipment")</f>
        <v/>
      </c>
      <c r="GO44" s="55">
        <f>IF($B44=$B43,$GO43,0)+$GN44</f>
        <v/>
      </c>
      <c r="GP44" s="55">
        <f>$GP43+$GN44</f>
        <v/>
      </c>
      <c r="GQ44" s="55">
        <f>SUMIFS(tblGold[Gold_oz],tblGold[Date],$A44,tblGold[Type],"Sale")</f>
        <v/>
      </c>
      <c r="GR44" s="55">
        <f>IF($B44=$B43,$GR43,0)+$GQ44</f>
        <v/>
      </c>
      <c r="GS44" s="55">
        <f>$GS43+$GQ44</f>
        <v/>
      </c>
      <c r="GT44" s="55">
        <f>SUMIFS(tblGold[Dore_kg],tblGold[Date],$A44,tblGold[Type],"Shipment")</f>
        <v/>
      </c>
      <c r="GU44" s="55">
        <f>IF($B44=$B43,$GU43,0)+$GT44</f>
        <v/>
      </c>
      <c r="GV44" s="55">
        <f>$GV43+$GT44</f>
        <v/>
      </c>
      <c r="GW44" s="57">
        <f>SUMIFS(tblSafety[Hours_Total],tblSafety[Date],$A44)</f>
        <v/>
      </c>
      <c r="GX44" s="57">
        <f>IF($B44=$B43,$GX43,0)+$GW44</f>
        <v/>
      </c>
      <c r="GY44" s="57">
        <f>$GY43+$GW44</f>
        <v/>
      </c>
      <c r="GZ44" s="62">
        <f>SUMIFS(tblSafety[Fatality],tblSafety[Date],$A44)</f>
        <v/>
      </c>
      <c r="HA44" s="62">
        <f>IF($B44=$B43,$HA43,0)+$GZ44</f>
        <v/>
      </c>
      <c r="HB44" s="62">
        <f>$HB43+$GZ44</f>
        <v/>
      </c>
      <c r="HC44" s="62">
        <f>SUMIFS(tblSafety[LTI],tblSafety[Date],$A44)</f>
        <v/>
      </c>
      <c r="HD44" s="62">
        <f>IF($B44=$B43,$HD43,0)+$HC44</f>
        <v/>
      </c>
      <c r="HE44" s="62">
        <f>$HE43+$HC44</f>
        <v/>
      </c>
      <c r="HF44" s="62">
        <f>SUMIFS(tblSafety[RWI],tblSafety[Date],$A44)</f>
        <v/>
      </c>
      <c r="HG44" s="62">
        <f>IF($B44=$B43,$HG43,0)+$HF44</f>
        <v/>
      </c>
      <c r="HH44" s="62">
        <f>$HH43+$HF44</f>
        <v/>
      </c>
      <c r="HI44" s="62">
        <f>SUMIFS(tblSafety[MTI],tblSafety[Date],$A44)</f>
        <v/>
      </c>
      <c r="HJ44" s="62">
        <f>IF($B44=$B43,$HJ43,0)+$HI44</f>
        <v/>
      </c>
      <c r="HK44" s="62">
        <f>$HK43+$HI44</f>
        <v/>
      </c>
      <c r="HL44" s="62">
        <f>SUMIFS(tblSafety[FAI],tblSafety[Date],$A44)</f>
        <v/>
      </c>
      <c r="HM44" s="62">
        <f>IF($B44=$B43,$HM43,0)+$HL44</f>
        <v/>
      </c>
      <c r="HN44" s="62">
        <f>$HN43+$HL44</f>
        <v/>
      </c>
      <c r="HO44" s="62">
        <f>SUMIFS(tblSafety[Recordables],tblSafety[Date],$A44)</f>
        <v/>
      </c>
      <c r="HP44" s="62">
        <f>IF($B44=$B43,$HP43,0)+$HO44</f>
        <v/>
      </c>
      <c r="HQ44" s="62">
        <f>$HQ43+$HO44</f>
        <v/>
      </c>
      <c r="HR44" s="62">
        <f>SUMIFS(tblSafety[Near_Miss],tblSafety[Date],$A44)</f>
        <v/>
      </c>
      <c r="HS44" s="62">
        <f>IF($B44=$B43,$HS43,0)+$HR44</f>
        <v/>
      </c>
      <c r="HT44" s="62">
        <f>$HT43+$HR44</f>
        <v/>
      </c>
      <c r="HU44" s="62">
        <f>SUMIFS(tblSafety[Hazard_Reports],tblSafety[Date],$A44)</f>
        <v/>
      </c>
      <c r="HV44" s="62">
        <f>IF($B44=$B43,$HV43,0)+$HU44</f>
        <v/>
      </c>
      <c r="HW44" s="62">
        <f>$HW43+$HU44</f>
        <v/>
      </c>
      <c r="HX44" s="62">
        <f>SUMIFS(tblSafety[HPI],tblSafety[Date],$A44)</f>
        <v/>
      </c>
      <c r="HY44" s="62">
        <f>IF($B44=$B43,$HY43,0)+$HX44</f>
        <v/>
      </c>
      <c r="HZ44" s="62">
        <f>$HZ43+$HX44</f>
        <v/>
      </c>
      <c r="IA44" s="62">
        <f>SUMIFS(tblSafety[Env_Incidents],tblSafety[Date],$A44)</f>
        <v/>
      </c>
      <c r="IB44" s="62">
        <f>IF($B44=$B43,$IB43,0)+$IA44</f>
        <v/>
      </c>
      <c r="IC44" s="62">
        <f>$IC43+$IA44</f>
        <v/>
      </c>
      <c r="ID44" s="62">
        <f>SUMIFS(tblSafety[Community_Incidents],tblSafety[Date],$A44)</f>
        <v/>
      </c>
      <c r="IE44" s="62">
        <f>IF($B44=$B43,$IE43,0)+$ID44</f>
        <v/>
      </c>
      <c r="IF44" s="62">
        <f>$IF43+$ID44</f>
        <v/>
      </c>
      <c r="IG44" s="62">
        <f>SUMIFS(tblSafety[Vehicle_Incidents],tblSafety[Date],$A44)</f>
        <v/>
      </c>
      <c r="IH44" s="62">
        <f>IF($B44=$B43,$IH43,0)+$IG44</f>
        <v/>
      </c>
      <c r="II44" s="62">
        <f>$II43+$IG44</f>
        <v/>
      </c>
      <c r="IJ44" s="62">
        <f>SUMIFS(tblSafety[Toolbox_Talks],tblSafety[Date],$A44)</f>
        <v/>
      </c>
      <c r="IK44" s="62">
        <f>IF($B44=$B43,$IK43,0)+$IJ44</f>
        <v/>
      </c>
      <c r="IL44" s="62">
        <f>$IL43+$IJ44</f>
        <v/>
      </c>
      <c r="IM44" s="62">
        <f>SUMIFS(tblSafety[Inspections],tblSafety[Date],$A44)</f>
        <v/>
      </c>
      <c r="IN44" s="62">
        <f>IF($B44=$B43,$IN43,0)+$IM44</f>
        <v/>
      </c>
      <c r="IO44" s="62">
        <f>$IO43+$IM44</f>
        <v/>
      </c>
      <c r="IP44" s="56">
        <f>IFERROR((SUMIFS(tblSafety[Recordables],tblSafety[Date],"&gt;="&amp;EDATE($E44,-12),tblSafety[Date],"&lt;="&amp;$A44)+SUMIFS(tblSafetyHistory[Recordables],tblSafetyHistory[Month],"&gt;="&amp;EDATE($E44,-12),tblSafetyHistory[Month],"&lt;"&amp;$E44,tblSafetyHistory[Use],1))/(SUMIFS(tblSafety[Hours_Total],tblSafety[Date],"&gt;="&amp;EDATE($E44,-12),tblSafety[Date],"&lt;="&amp;$A44)+SUMIFS(tblSafetyHistory[Hours_Total],tblSafetyHistory[Month],"&gt;="&amp;EDATE($E44,-12),tblSafetyHistory[Month],"&lt;"&amp;$E44,tblSafetyHistory[Use],1))*cfg_RateBasisHours,"")</f>
        <v/>
      </c>
      <c r="IQ44" s="56">
        <f>IFERROR((SUMIFS(tblSafety[LTI],tblSafety[Date],"&gt;="&amp;EDATE($E44,-12),tblSafety[Date],"&lt;="&amp;$A44)+SUMIFS(tblSafetyHistory[LTI],tblSafetyHistory[Month],"&gt;="&amp;EDATE($E44,-12),tblSafetyHistory[Month],"&lt;"&amp;$E44,tblSafetyHistory[Use],1))/(SUMIFS(tblSafety[Hours_Total],tblSafety[Date],"&gt;="&amp;EDATE($E44,-12),tblSafety[Date],"&lt;="&amp;$A44)+SUMIFS(tblSafetyHistory[Hours_Total],tblSafetyHistory[Month],"&gt;="&amp;EDATE($E44,-12),tblSafetyHistory[Month],"&lt;"&amp;$E44,tblSafetyHistory[Use],1))*cfg_RateBasisHours,"")</f>
        <v/>
      </c>
      <c r="IR44" s="62">
        <f>IF(MAX(N(cfg_PriorLTIDate),_xlfn.MAXIFS(tblSafety[Date],tblSafety[LTI],"&gt;0",tblSafety[Date],"&lt;="&amp;$A44))=0,"",$A44-MAX(N(cfg_PriorLTIDate),_xlfn.MAXIFS(tblSafety[Date],tblSafety[LTI],"&gt;0",tblSafety[Date],"&lt;="&amp;$A44)))</f>
        <v/>
      </c>
      <c r="IS44" s="55">
        <f>SUMIFS(tblBudget[Ore_Mined_t],tblBudget[Month],$E44)</f>
        <v/>
      </c>
      <c r="IT44" s="55">
        <f>$IS44*$C44/$D44</f>
        <v/>
      </c>
      <c r="IU44" s="55">
        <f>SUMIFS(tblBudget[Ore_Mined_t],tblBudget[Month],"&lt;"&amp;$E44)+$IT44</f>
        <v/>
      </c>
      <c r="IV44" s="55">
        <f>SUMIFS(tblBudget[Ore_oz],tblBudget[Month],$E44)</f>
        <v/>
      </c>
      <c r="IW44" s="55">
        <f>$IV44*$C44/$D44</f>
        <v/>
      </c>
      <c r="IX44" s="55">
        <f>SUMIFS(tblBudget[Ore_oz],tblBudget[Month],"&lt;"&amp;$E44)+$IW44</f>
        <v/>
      </c>
      <c r="IY44" s="55">
        <f>SUMIFS(tblBudget[Ore_Mined_t],tblBudget[Month],$E44)</f>
        <v/>
      </c>
      <c r="IZ44" s="55">
        <f>$IY44*$C44/$D44</f>
        <v/>
      </c>
      <c r="JA44" s="55">
        <f>SUMIFS(tblBudget[Ore_Mined_t],tblBudget[Month],"&lt;"&amp;$E44)+$IZ44</f>
        <v/>
      </c>
      <c r="JB44" s="56">
        <f>IFERROR(IF(($IY44)&gt;0,($IV44*cfg_TroyOz)/($IY44),""),"")</f>
        <v/>
      </c>
      <c r="JC44" s="56">
        <f>IFERROR(IF(($IZ44)&gt;0,($IW44*cfg_TroyOz)/($IZ44),""),"")</f>
        <v/>
      </c>
      <c r="JD44" s="56">
        <f>IFERROR(IF(($JA44)&gt;0,($IX44*cfg_TroyOz)/($JA44),""),"")</f>
        <v/>
      </c>
      <c r="JE44" s="55">
        <f>SUMIFS(tblBudget[Waste_t],tblBudget[Month],$E44)</f>
        <v/>
      </c>
      <c r="JF44" s="55">
        <f>$JE44*$C44/$D44</f>
        <v/>
      </c>
      <c r="JG44" s="55">
        <f>SUMIFS(tblBudget[Waste_t],tblBudget[Month],"&lt;"&amp;$E44)+$JF44</f>
        <v/>
      </c>
      <c r="JH44" s="55">
        <f>SUMIFS(tblBudget[TMM_t],tblBudget[Month],$E44)</f>
        <v/>
      </c>
      <c r="JI44" s="55">
        <f>$JH44*$C44/$D44</f>
        <v/>
      </c>
      <c r="JJ44" s="55">
        <f>SUMIFS(tblBudget[TMM_t],tblBudget[Month],"&lt;"&amp;$E44)+$JI44</f>
        <v/>
      </c>
      <c r="JK44" s="56">
        <f>IFERROR(IF(($IS44)&gt;0,($JE44)/($IS44),""),"")</f>
        <v/>
      </c>
      <c r="JL44" s="56">
        <f>IFERROR(IF(($IT44)&gt;0,($JF44)/($IT44),""),"")</f>
        <v/>
      </c>
      <c r="JM44" s="56">
        <f>IFERROR(IF(($IU44)&gt;0,($JG44)/($IU44),""),"")</f>
        <v/>
      </c>
      <c r="JN44" s="55">
        <f>SUMIFS(tblBudget[Drill_m],tblBudget[Month],$E44)</f>
        <v/>
      </c>
      <c r="JO44" s="55">
        <f>$JN44*$C44/$D44</f>
        <v/>
      </c>
      <c r="JP44" s="55">
        <f>SUMIFS(tblBudget[Drill_m],tblBudget[Month],"&lt;"&amp;$E44)+$JO44</f>
        <v/>
      </c>
      <c r="JQ44" s="55">
        <f>SUMIFS(tblBudget[Diesel_L],tblBudget[Month],$E44)</f>
        <v/>
      </c>
      <c r="JR44" s="55">
        <f>$JQ44*$C44/$D44</f>
        <v/>
      </c>
      <c r="JS44" s="55">
        <f>SUMIFS(tblBudget[Diesel_L],tblBudget[Month],"&lt;"&amp;$E44)+$JR44</f>
        <v/>
      </c>
      <c r="JT44" s="55">
        <f>SUMIFS(tblBudget[Milled_t],tblBudget[Month],$E44)</f>
        <v/>
      </c>
      <c r="JU44" s="55">
        <f>$JT44*$C44/$D44</f>
        <v/>
      </c>
      <c r="JV44" s="55">
        <f>SUMIFS(tblBudget[Milled_t],tblBudget[Month],"&lt;"&amp;$E44)+$JU44</f>
        <v/>
      </c>
      <c r="JW44" s="55">
        <f>SUMIFS(tblBudget[Feed_oz],tblBudget[Month],$E44)</f>
        <v/>
      </c>
      <c r="JX44" s="55">
        <f>$JW44*$C44/$D44</f>
        <v/>
      </c>
      <c r="JY44" s="55">
        <f>SUMIFS(tblBudget[Feed_oz],tblBudget[Month],"&lt;"&amp;$E44)+$JX44</f>
        <v/>
      </c>
      <c r="JZ44" s="55">
        <f>SUMIFS(tblBudget[Recovered_oz],tblBudget[Month],$E44)</f>
        <v/>
      </c>
      <c r="KA44" s="55">
        <f>$JZ44*$C44/$D44</f>
        <v/>
      </c>
      <c r="KB44" s="55">
        <f>SUMIFS(tblBudget[Recovered_oz],tblBudget[Month],"&lt;"&amp;$E44)+$KA44</f>
        <v/>
      </c>
      <c r="KC44" s="55">
        <f>SUMIFS(tblBudget[Milled_t],tblBudget[Month],$E44)</f>
        <v/>
      </c>
      <c r="KD44" s="55">
        <f>$KC44*$C44/$D44</f>
        <v/>
      </c>
      <c r="KE44" s="55">
        <f>SUMIFS(tblBudget[Milled_t],tblBudget[Month],"&lt;"&amp;$E44)+$KD44</f>
        <v/>
      </c>
      <c r="KF44" s="55">
        <f>SUMIFS(tblBudget[Feed_oz],tblBudget[Month],$E44)</f>
        <v/>
      </c>
      <c r="KG44" s="55">
        <f>$KF44*$C44/$D44</f>
        <v/>
      </c>
      <c r="KH44" s="55">
        <f>SUMIFS(tblBudget[Feed_oz],tblBudget[Month],"&lt;"&amp;$E44)+$KG44</f>
        <v/>
      </c>
      <c r="KI44" s="56">
        <f>IFERROR(IF(($KC44)&gt;0,($JW44*cfg_TroyOz)/($KC44),""),"")</f>
        <v/>
      </c>
      <c r="KJ44" s="56">
        <f>IFERROR(IF(($KD44)&gt;0,($JX44*cfg_TroyOz)/($KD44),""),"")</f>
        <v/>
      </c>
      <c r="KK44" s="56">
        <f>IFERROR(IF(($KE44)&gt;0,($JY44*cfg_TroyOz)/($KE44),""),"")</f>
        <v/>
      </c>
      <c r="KL44" s="67">
        <f>IFERROR(IF(($KF44)&gt;0,($JZ44)/($KF44),""),"")</f>
        <v/>
      </c>
      <c r="KM44" s="67">
        <f>IFERROR(IF(($KG44)&gt;0,($KA44)/($KG44),""),"")</f>
        <v/>
      </c>
      <c r="KN44" s="67">
        <f>IFERROR(IF(($KH44)&gt;0,($KB44)/($KH44),""),"")</f>
        <v/>
      </c>
      <c r="KO44" s="55">
        <f>SUMIFS(tblBudget[Gold_Poured_oz],tblBudget[Month],$E44)</f>
        <v/>
      </c>
      <c r="KP44" s="55">
        <f>$KO44*$C44/$D44</f>
        <v/>
      </c>
      <c r="KQ44" s="55">
        <f>SUMIFS(tblBudget[Gold_Poured_oz],tblBudget[Month],"&lt;"&amp;$E44)+$KP44</f>
        <v/>
      </c>
      <c r="KR44" s="57">
        <f>SUMIFS(tblBudget[Hours_Worked],tblBudget[Month],$E44)</f>
        <v/>
      </c>
      <c r="KS44" s="57">
        <f>$KR44*$C44/$D44</f>
        <v/>
      </c>
      <c r="KT44" s="57">
        <f>SUMIFS(tblBudget[Hours_Worked],tblBudget[Month],"&lt;"&amp;$E44)+$KS44</f>
        <v/>
      </c>
    </row>
    <row r="45">
      <c r="A45" s="54" t="n">
        <v>46066</v>
      </c>
      <c r="B45">
        <f>MONTH($A45)</f>
        <v/>
      </c>
      <c r="C45">
        <f>DAY($A45)</f>
        <v/>
      </c>
      <c r="D45">
        <f>DAY(EOMONTH($A45,0))</f>
        <v/>
      </c>
      <c r="E45" s="54">
        <f>DATE(YEAR($A45),MONTH($A45),1)</f>
        <v/>
      </c>
      <c r="F45" s="55">
        <f>SUMIFS(tblMovement[Tonnes_t],tblMovement[Date],$A45,tblMovement[Is_Ore],1,tblMovement[Source_Type],"Pit")</f>
        <v/>
      </c>
      <c r="G45" s="55">
        <f>IF($B45=$B44,$G44,0)+$F45</f>
        <v/>
      </c>
      <c r="H45" s="55">
        <f>$H44+$F45</f>
        <v/>
      </c>
      <c r="I45" s="55">
        <f>SUMIFS(tblMovement[Ore_oz],tblMovement[Date],$A45,tblMovement[Source_Type],"Pit")</f>
        <v/>
      </c>
      <c r="J45" s="55">
        <f>IF($B45=$B44,$J44,0)+$I45</f>
        <v/>
      </c>
      <c r="K45" s="55">
        <f>$K44+$I45</f>
        <v/>
      </c>
      <c r="L45" s="55">
        <f>SUMIFS(tblMovement[Tonnes_t],tblMovement[Date],$A45,tblMovement[Is_Ore],1,tblMovement[Source_Type],"Pit",tblMovement[Grade_gpt],"&lt;&gt;")</f>
        <v/>
      </c>
      <c r="M45" s="55">
        <f>IF($B45=$B44,$M44,0)+$L45</f>
        <v/>
      </c>
      <c r="N45" s="55">
        <f>$N44+$L45</f>
        <v/>
      </c>
      <c r="O45" s="56">
        <f>IFERROR(IF(($L45)&gt;0,($I45*cfg_TroyOz)/($L45),""),"")</f>
        <v/>
      </c>
      <c r="P45" s="56">
        <f>IFERROR(IF(($M45)&gt;0,($J45*cfg_TroyOz)/($M45),""),"")</f>
        <v/>
      </c>
      <c r="Q45" s="56">
        <f>IFERROR(IF(($N45)&gt;0,($K45*cfg_TroyOz)/($N45),""),"")</f>
        <v/>
      </c>
      <c r="R45" s="55">
        <f>$F45-$L45</f>
        <v/>
      </c>
      <c r="S45" s="55">
        <f>IF($B45=$B44,$S44,0)+$R45</f>
        <v/>
      </c>
      <c r="T45" s="55">
        <f>$T44+$R45</f>
        <v/>
      </c>
      <c r="U45" s="55">
        <f>SUMIFS(tblMovement[Tonnes_t],tblMovement[Date],$A45,tblMovement[Is_Ore],0,tblMovement[Source_Type],"Pit")</f>
        <v/>
      </c>
      <c r="V45" s="55">
        <f>IF($B45=$B44,$V44,0)+$U45</f>
        <v/>
      </c>
      <c r="W45" s="55">
        <f>$W44+$U45</f>
        <v/>
      </c>
      <c r="X45" s="55">
        <f>$F45+$U45</f>
        <v/>
      </c>
      <c r="Y45" s="55">
        <f>IF($B45=$B44,$Y44,0)+$X45</f>
        <v/>
      </c>
      <c r="Z45" s="55">
        <f>$Z44+$X45</f>
        <v/>
      </c>
      <c r="AA45" s="56">
        <f>IFERROR(IF(($F45)&gt;0,($U45)/($F45),""),"")</f>
        <v/>
      </c>
      <c r="AB45" s="56">
        <f>IFERROR(IF(($G45)&gt;0,($V45)/($G45),""),"")</f>
        <v/>
      </c>
      <c r="AC45" s="56">
        <f>IFERROR(IF(($H45)&gt;0,($W45)/($H45),""),"")</f>
        <v/>
      </c>
      <c r="AD45" s="55">
        <f>SUMIFS(tblMovement[Tonnes_t],tblMovement[Date],$A45,tblMovement[Source_Type],"Stockpile")</f>
        <v/>
      </c>
      <c r="AE45" s="55">
        <f>IF($B45=$B44,$AE44,0)+$AD45</f>
        <v/>
      </c>
      <c r="AF45" s="55">
        <f>$AF44+$AD45</f>
        <v/>
      </c>
      <c r="AG45" s="55">
        <f>SUMIFS(tblMovement[Tonnes_t],tblMovement[Date],$A45)</f>
        <v/>
      </c>
      <c r="AH45" s="55">
        <f>IF($B45=$B44,$AH44,0)+$AG45</f>
        <v/>
      </c>
      <c r="AI45" s="55">
        <f>$AI44+$AG45</f>
        <v/>
      </c>
      <c r="AJ45" s="55">
        <f>$AG45-$X45-$AD45</f>
        <v/>
      </c>
      <c r="AK45" s="55">
        <f>IF($B45=$B44,$AK44,0)+$AJ45</f>
        <v/>
      </c>
      <c r="AL45" s="55">
        <f>$AL44+$AJ45</f>
        <v/>
      </c>
      <c r="AM45" s="55">
        <f>SUMIFS(tblMiningDaily[Drill_m],tblMiningDaily[Date],$A45)</f>
        <v/>
      </c>
      <c r="AN45" s="55">
        <f>IF($B45=$B44,$AN44,0)+$AM45</f>
        <v/>
      </c>
      <c r="AO45" s="55">
        <f>$AO44+$AM45</f>
        <v/>
      </c>
      <c r="AP45" s="55">
        <f>SUMIFS(tblMiningDaily[GC_Drill_m],tblMiningDaily[Date],$A45)</f>
        <v/>
      </c>
      <c r="AQ45" s="55">
        <f>IF($B45=$B44,$AQ44,0)+$AP45</f>
        <v/>
      </c>
      <c r="AR45" s="55">
        <f>$AR44+$AP45</f>
        <v/>
      </c>
      <c r="AS45" s="55">
        <f>SUMIFS(tblMiningDaily[Blast_t],tblMiningDaily[Date],$A45)</f>
        <v/>
      </c>
      <c r="AT45" s="55">
        <f>IF($B45=$B44,$AT44,0)+$AS45</f>
        <v/>
      </c>
      <c r="AU45" s="55">
        <f>$AU44+$AS45</f>
        <v/>
      </c>
      <c r="AV45" s="55">
        <f>SUMIFS(tblMiningDaily[Explosives_kg],tblMiningDaily[Date],$A45)</f>
        <v/>
      </c>
      <c r="AW45" s="55">
        <f>IF($B45=$B44,$AW44,0)+$AV45</f>
        <v/>
      </c>
      <c r="AX45" s="55">
        <f>$AX44+$AV45</f>
        <v/>
      </c>
      <c r="AY45" s="56">
        <f>IFERROR(IF(($AS45)&gt;0,($AV45)/($AS45),""),"")</f>
        <v/>
      </c>
      <c r="AZ45" s="56">
        <f>IFERROR(IF(($AT45)&gt;0,($AW45)/($AT45),""),"")</f>
        <v/>
      </c>
      <c r="BA45" s="56">
        <f>IFERROR(IF(($AU45)&gt;0,($AX45)/($AU45),""),"")</f>
        <v/>
      </c>
      <c r="BB45" s="55">
        <f>SUMIFS(tblMiningDaily[Diesel_L],tblMiningDaily[Date],$A45)</f>
        <v/>
      </c>
      <c r="BC45" s="55">
        <f>IF($B45=$B44,$BC44,0)+$BB45</f>
        <v/>
      </c>
      <c r="BD45" s="55">
        <f>$BD44+$BB45</f>
        <v/>
      </c>
      <c r="BE45" s="55">
        <f>SUMIFS(tblMiningDaily[Dewatering_m3],tblMiningDaily[Date],$A45)</f>
        <v/>
      </c>
      <c r="BF45" s="55">
        <f>IF($B45=$B44,$BF44,0)+$BE45</f>
        <v/>
      </c>
      <c r="BG45" s="55">
        <f>$BG44+$BE45</f>
        <v/>
      </c>
      <c r="BH45" s="57">
        <f>SUMIFS(tblFleet[Calendar_h],tblFleet[Date],$A45,tblFleet[Equipment_Class],"Excavator")</f>
        <v/>
      </c>
      <c r="BI45" s="57">
        <f>IF($B45=$B44,$BI44,0)+$BH45</f>
        <v/>
      </c>
      <c r="BJ45" s="57">
        <f>$BJ44+$BH45</f>
        <v/>
      </c>
      <c r="BK45" s="57">
        <f>SUMIFS(tblFleet[Available_h],tblFleet[Date],$A45,tblFleet[Equipment_Class],"Excavator")</f>
        <v/>
      </c>
      <c r="BL45" s="57">
        <f>IF($B45=$B44,$BL44,0)+$BK45</f>
        <v/>
      </c>
      <c r="BM45" s="57">
        <f>$BM44+$BK45</f>
        <v/>
      </c>
      <c r="BN45" s="57">
        <f>SUMIFS(tblFleet[Operating_h],tblFleet[Date],$A45,tblFleet[Equipment_Class],"Excavator")</f>
        <v/>
      </c>
      <c r="BO45" s="57">
        <f>IF($B45=$B44,$BO44,0)+$BN45</f>
        <v/>
      </c>
      <c r="BP45" s="57">
        <f>$BP44+$BN45</f>
        <v/>
      </c>
      <c r="BQ45" s="67">
        <f>IFERROR(IF(($BH45)&gt;0,($BK45)/($BH45),""),"")</f>
        <v/>
      </c>
      <c r="BR45" s="67">
        <f>IFERROR(IF(($BI45)&gt;0,($BL45)/($BI45),""),"")</f>
        <v/>
      </c>
      <c r="BS45" s="67">
        <f>IFERROR(IF(($BJ45)&gt;0,($BM45)/($BJ45),""),"")</f>
        <v/>
      </c>
      <c r="BT45" s="67">
        <f>IFERROR(IF(($BK45)&gt;0,($BN45)/($BK45),""),"")</f>
        <v/>
      </c>
      <c r="BU45" s="67">
        <f>IFERROR(IF(($BL45)&gt;0,($BO45)/($BL45),""),"")</f>
        <v/>
      </c>
      <c r="BV45" s="67">
        <f>IFERROR(IF(($BM45)&gt;0,($BP45)/($BM45),""),"")</f>
        <v/>
      </c>
      <c r="BW45" s="57">
        <f>SUMIFS(tblFleet[Calendar_h],tblFleet[Date],$A45,tblFleet[Equipment_Class],"Haul Truck")</f>
        <v/>
      </c>
      <c r="BX45" s="57">
        <f>IF($B45=$B44,$BX44,0)+$BW45</f>
        <v/>
      </c>
      <c r="BY45" s="57">
        <f>$BY44+$BW45</f>
        <v/>
      </c>
      <c r="BZ45" s="57">
        <f>SUMIFS(tblFleet[Available_h],tblFleet[Date],$A45,tblFleet[Equipment_Class],"Haul Truck")</f>
        <v/>
      </c>
      <c r="CA45" s="57">
        <f>IF($B45=$B44,$CA44,0)+$BZ45</f>
        <v/>
      </c>
      <c r="CB45" s="57">
        <f>$CB44+$BZ45</f>
        <v/>
      </c>
      <c r="CC45" s="57">
        <f>SUMIFS(tblFleet[Operating_h],tblFleet[Date],$A45,tblFleet[Equipment_Class],"Haul Truck")</f>
        <v/>
      </c>
      <c r="CD45" s="57">
        <f>IF($B45=$B44,$CD44,0)+$CC45</f>
        <v/>
      </c>
      <c r="CE45" s="57">
        <f>$CE44+$CC45</f>
        <v/>
      </c>
      <c r="CF45" s="67">
        <f>IFERROR(IF(($BW45)&gt;0,($BZ45)/($BW45),""),"")</f>
        <v/>
      </c>
      <c r="CG45" s="67">
        <f>IFERROR(IF(($BX45)&gt;0,($CA45)/($BX45),""),"")</f>
        <v/>
      </c>
      <c r="CH45" s="67">
        <f>IFERROR(IF(($BY45)&gt;0,($CB45)/($BY45),""),"")</f>
        <v/>
      </c>
      <c r="CI45" s="67">
        <f>IFERROR(IF(($BZ45)&gt;0,($CC45)/($BZ45),""),"")</f>
        <v/>
      </c>
      <c r="CJ45" s="67">
        <f>IFERROR(IF(($CA45)&gt;0,($CD45)/($CA45),""),"")</f>
        <v/>
      </c>
      <c r="CK45" s="67">
        <f>IFERROR(IF(($CB45)&gt;0,($CE45)/($CB45),""),"")</f>
        <v/>
      </c>
      <c r="CL45" s="55">
        <f>IFERROR(IF(($BN45)&gt;0,($X45+$AD45)/($BN45),""),"")</f>
        <v/>
      </c>
      <c r="CM45" s="55">
        <f>IFERROR(IF(($BO45)&gt;0,($Y45+$AE45)/($BO45),""),"")</f>
        <v/>
      </c>
      <c r="CN45" s="55">
        <f>IFERROR(IF(($BP45)&gt;0,($Z45+$AF45)/($BP45),""),"")</f>
        <v/>
      </c>
      <c r="CO45" s="55">
        <f>IFERROR(IF(($CC45)&gt;0,($X45+$AD45)/($CC45),""),"")</f>
        <v/>
      </c>
      <c r="CP45" s="55">
        <f>IFERROR(IF(($CD45)&gt;0,($Y45+$AE45)/($CD45),""),"")</f>
        <v/>
      </c>
      <c r="CQ45" s="55">
        <f>IFERROR(IF(($CE45)&gt;0,($Z45+$AF45)/($CE45),""),"")</f>
        <v/>
      </c>
      <c r="CR45" s="55">
        <f>SUMIFS(tblPlant[Crushed_t],tblPlant[Date],$A45)</f>
        <v/>
      </c>
      <c r="CS45" s="55">
        <f>IF($B45=$B44,$CS44,0)+$CR45</f>
        <v/>
      </c>
      <c r="CT45" s="55">
        <f>$CT44+$CR45</f>
        <v/>
      </c>
      <c r="CU45" s="55">
        <f>SUMIFS(tblPlant[Milled_t],tblPlant[Date],$A45)</f>
        <v/>
      </c>
      <c r="CV45" s="55">
        <f>IF($B45=$B44,$CV44,0)+$CU45</f>
        <v/>
      </c>
      <c r="CW45" s="55">
        <f>$CW44+$CU45</f>
        <v/>
      </c>
      <c r="CX45" s="55">
        <f>SUMIFS(tblPlant[Feed_oz],tblPlant[Date],$A45)</f>
        <v/>
      </c>
      <c r="CY45" s="55">
        <f>IF($B45=$B44,$CY44,0)+$CX45</f>
        <v/>
      </c>
      <c r="CZ45" s="55">
        <f>$CZ44+$CX45</f>
        <v/>
      </c>
      <c r="DA45" s="55">
        <f>SUMIFS(tblPlant[Tails_oz],tblPlant[Date],$A45)</f>
        <v/>
      </c>
      <c r="DB45" s="55">
        <f>IF($B45=$B44,$DB44,0)+$DA45</f>
        <v/>
      </c>
      <c r="DC45" s="55">
        <f>$DC44+$DA45</f>
        <v/>
      </c>
      <c r="DD45" s="55">
        <f>SUMIFS(tblPlant[Recovered_oz],tblPlant[Date],$A45)</f>
        <v/>
      </c>
      <c r="DE45" s="55">
        <f>IF($B45=$B44,$DE44,0)+$DD45</f>
        <v/>
      </c>
      <c r="DF45" s="55">
        <f>$DF44+$DD45</f>
        <v/>
      </c>
      <c r="DG45" s="55">
        <f>SUMIFS(tblPlant[Milled_t],tblPlant[Date],$A45,tblPlant[Head_Grade_gpt],"&lt;&gt;")</f>
        <v/>
      </c>
      <c r="DH45" s="55">
        <f>IF($B45=$B44,$DH44,0)+$DG45</f>
        <v/>
      </c>
      <c r="DI45" s="55">
        <f>$DI44+$DG45</f>
        <v/>
      </c>
      <c r="DJ45" s="55">
        <f>SUMIFS(tblPlant[Milled_t],tblPlant[Date],$A45,tblPlant[Tails_Grade_gpt],"&lt;&gt;")</f>
        <v/>
      </c>
      <c r="DK45" s="55">
        <f>IF($B45=$B44,$DK44,0)+$DJ45</f>
        <v/>
      </c>
      <c r="DL45" s="55">
        <f>$DL44+$DJ45</f>
        <v/>
      </c>
      <c r="DM45" s="55">
        <f>SUMIFS(tblPlant[Feed_oz],tblPlant[Date],$A45,tblPlant[Tails_Grade_gpt],"&lt;&gt;")</f>
        <v/>
      </c>
      <c r="DN45" s="55">
        <f>IF($B45=$B44,$DN44,0)+$DM45</f>
        <v/>
      </c>
      <c r="DO45" s="55">
        <f>$DO44+$DM45</f>
        <v/>
      </c>
      <c r="DP45" s="55">
        <f>SUMIFS(tblPlant[Milled_t],tblPlant[Date],$A45,tblPlant[Mill_Run_h],"&lt;&gt;")</f>
        <v/>
      </c>
      <c r="DQ45" s="55">
        <f>IF($B45=$B44,$DQ44,0)+$DP45</f>
        <v/>
      </c>
      <c r="DR45" s="55">
        <f>$DR44+$DP45</f>
        <v/>
      </c>
      <c r="DS45" s="56">
        <f>IFERROR(IF(($DG45)&gt;0,($CX45*cfg_TroyOz)/($DG45),""),"")</f>
        <v/>
      </c>
      <c r="DT45" s="56">
        <f>IFERROR(IF(($DH45)&gt;0,($CY45*cfg_TroyOz)/($DH45),""),"")</f>
        <v/>
      </c>
      <c r="DU45" s="56">
        <f>IFERROR(IF(($DI45)&gt;0,($CZ45*cfg_TroyOz)/($DI45),""),"")</f>
        <v/>
      </c>
      <c r="DV45" s="56">
        <f>IFERROR(IF(($DJ45)&gt;0,($DA45*cfg_TroyOz)/($DJ45),""),"")</f>
        <v/>
      </c>
      <c r="DW45" s="56">
        <f>IFERROR(IF(($DK45)&gt;0,($DB45*cfg_TroyOz)/($DK45),""),"")</f>
        <v/>
      </c>
      <c r="DX45" s="56">
        <f>IFERROR(IF(($DL45)&gt;0,($DC45*cfg_TroyOz)/($DL45),""),"")</f>
        <v/>
      </c>
      <c r="DY45" s="67">
        <f>IFERROR(IF(($DM45)&gt;0,($DD45)/($DM45),""),"")</f>
        <v/>
      </c>
      <c r="DZ45" s="67">
        <f>IFERROR(IF(($DN45)&gt;0,($DE45)/($DN45),""),"")</f>
        <v/>
      </c>
      <c r="EA45" s="67">
        <f>IFERROR(IF(($DO45)&gt;0,($DF45)/($DO45),""),"")</f>
        <v/>
      </c>
      <c r="EB45" s="55">
        <f>SUMIFS(tblPlant[Gravity_Gold_oz],tblPlant[Date],$A45)</f>
        <v/>
      </c>
      <c r="EC45" s="55">
        <f>IF($B45=$B44,$EC44,0)+$EB45</f>
        <v/>
      </c>
      <c r="ED45" s="55">
        <f>$ED44+$EB45</f>
        <v/>
      </c>
      <c r="EE45" s="67">
        <f>IFERROR(IF(($DD45)&gt;0,($EB45)/($DD45),""),"")</f>
        <v/>
      </c>
      <c r="EF45" s="67">
        <f>IFERROR(IF(($DE45)&gt;0,($EC45)/($DE45),""),"")</f>
        <v/>
      </c>
      <c r="EG45" s="67">
        <f>IFERROR(IF(($DF45)&gt;0,($ED45)/($DF45),""),"")</f>
        <v/>
      </c>
      <c r="EH45" s="55">
        <f>SUMIFS(tblPlant[Gold_Poured_oz],tblPlant[Date],$A45)</f>
        <v/>
      </c>
      <c r="EI45" s="55">
        <f>IF($B45=$B44,$EI44,0)+$EH45</f>
        <v/>
      </c>
      <c r="EJ45" s="55">
        <f>$EJ44+$EH45</f>
        <v/>
      </c>
      <c r="EK45" s="57">
        <f>SUMIFS(tblPlant[Mill_Run_h],tblPlant[Date],$A45)</f>
        <v/>
      </c>
      <c r="EL45" s="57">
        <f>IF($B45=$B44,$EL44,0)+$EK45</f>
        <v/>
      </c>
      <c r="EM45" s="57">
        <f>$EM44+$EK45</f>
        <v/>
      </c>
      <c r="EN45" s="57">
        <f>SUMIFS(tblPlant[Mill_Planned_Maint_h],tblPlant[Date],$A45)</f>
        <v/>
      </c>
      <c r="EO45" s="57">
        <f>IF($B45=$B44,$EO44,0)+$EN45</f>
        <v/>
      </c>
      <c r="EP45" s="57">
        <f>$EP44+$EN45</f>
        <v/>
      </c>
      <c r="EQ45" s="57">
        <f>SUMIFS(tblPlant[Mill_Unplanned_Down_h],tblPlant[Date],$A45)</f>
        <v/>
      </c>
      <c r="ER45" s="57">
        <f>IF($B45=$B44,$ER44,0)+$EQ45</f>
        <v/>
      </c>
      <c r="ES45" s="57">
        <f>$ES44+$EQ45</f>
        <v/>
      </c>
      <c r="ET45" s="57">
        <f>IF(COUNTIFS(tblPlant[Date],$A45,tblPlant[Mill_Run_h],"&lt;&gt;")+COUNTIFS(tblPlant[Date],$A45,tblPlant[Mill_Planned_Maint_h],"&lt;&gt;")+COUNTIFS(tblPlant[Date],$A45,tblPlant[Mill_Unplanned_Down_h],"&lt;&gt;")&gt;0,cfg_HoursPerDay,0)</f>
        <v/>
      </c>
      <c r="EU45" s="57">
        <f>IF($B45=$B44,$EU44,0)+$ET45</f>
        <v/>
      </c>
      <c r="EV45" s="57">
        <f>$EV44+$ET45</f>
        <v/>
      </c>
      <c r="EW45" s="57">
        <f>SUMIFS(tblPlant[Crusher_Run_h],tblPlant[Date],$A45)</f>
        <v/>
      </c>
      <c r="EX45" s="57">
        <f>IF($B45=$B44,$EX44,0)+$EW45</f>
        <v/>
      </c>
      <c r="EY45" s="57">
        <f>$EY44+$EW45</f>
        <v/>
      </c>
      <c r="EZ45" s="55">
        <f>IFERROR(IF(($EK45)&gt;0,($DP45)/($EK45),""),"")</f>
        <v/>
      </c>
      <c r="FA45" s="55">
        <f>IFERROR(IF(($EL45)&gt;0,($DQ45)/($EL45),""),"")</f>
        <v/>
      </c>
      <c r="FB45" s="55">
        <f>IFERROR(IF(($EM45)&gt;0,($DR45)/($EM45),""),"")</f>
        <v/>
      </c>
      <c r="FC45" s="67">
        <f>IFERROR(IF(($ET45)&gt;0,($ET45-$EN45-$EQ45)/($ET45),""),"")</f>
        <v/>
      </c>
      <c r="FD45" s="67">
        <f>IFERROR(IF(($EU45)&gt;0,($EU45-$EO45-$ER45)/($EU45),""),"")</f>
        <v/>
      </c>
      <c r="FE45" s="67">
        <f>IFERROR(IF(($EV45)&gt;0,($EV45-$EP45-$ES45)/($EV45),""),"")</f>
        <v/>
      </c>
      <c r="FF45" s="67">
        <f>IFERROR(IF(($ET45-$EN45-$EQ45)&gt;0,($EK45)/($ET45-$EN45-$EQ45),""),"")</f>
        <v/>
      </c>
      <c r="FG45" s="67">
        <f>IFERROR(IF(($EU45-$EO45-$ER45)&gt;0,($EL45)/($EU45-$EO45-$ER45),""),"")</f>
        <v/>
      </c>
      <c r="FH45" s="67">
        <f>IFERROR(IF(($EV45-$EP45-$ES45)&gt;0,($EM45)/($EV45-$EP45-$ES45),""),"")</f>
        <v/>
      </c>
      <c r="FI45" s="55">
        <f>SUMIFS(tblPlant[Cyanide_kg],tblPlant[Date],$A45)</f>
        <v/>
      </c>
      <c r="FJ45" s="55">
        <f>IF($B45=$B44,$FJ44,0)+$FI45</f>
        <v/>
      </c>
      <c r="FK45" s="55">
        <f>$FK44+$FI45</f>
        <v/>
      </c>
      <c r="FL45" s="55">
        <f>SUMIFS(tblPlant[Lime_kg],tblPlant[Date],$A45)</f>
        <v/>
      </c>
      <c r="FM45" s="55">
        <f>IF($B45=$B44,$FM44,0)+$FL45</f>
        <v/>
      </c>
      <c r="FN45" s="55">
        <f>$FN44+$FL45</f>
        <v/>
      </c>
      <c r="FO45" s="55">
        <f>SUMIFS(tblPlant[Grinding_Media_kg],tblPlant[Date],$A45)</f>
        <v/>
      </c>
      <c r="FP45" s="55">
        <f>IF($B45=$B44,$FP44,0)+$FO45</f>
        <v/>
      </c>
      <c r="FQ45" s="55">
        <f>$FQ44+$FO45</f>
        <v/>
      </c>
      <c r="FR45" s="55">
        <f>SUMIFS(tblPlant[Power_kWh],tblPlant[Date],$A45)</f>
        <v/>
      </c>
      <c r="FS45" s="55">
        <f>IF($B45=$B44,$FS44,0)+$FR45</f>
        <v/>
      </c>
      <c r="FT45" s="55">
        <f>$FT44+$FR45</f>
        <v/>
      </c>
      <c r="FU45" s="55">
        <f>SUMIFS(tblPlant[Raw_Water_m3],tblPlant[Date],$A45)</f>
        <v/>
      </c>
      <c r="FV45" s="55">
        <f>IF($B45=$B44,$FV44,0)+$FU45</f>
        <v/>
      </c>
      <c r="FW45" s="55">
        <f>$FW44+$FU45</f>
        <v/>
      </c>
      <c r="FX45" s="56">
        <f>IFERROR(IF(($CU45)&gt;0,($FI45)/($CU45),""),"")</f>
        <v/>
      </c>
      <c r="FY45" s="56">
        <f>IFERROR(IF(($CV45)&gt;0,($FJ45)/($CV45),""),"")</f>
        <v/>
      </c>
      <c r="FZ45" s="56">
        <f>IFERROR(IF(($CW45)&gt;0,($FK45)/($CW45),""),"")</f>
        <v/>
      </c>
      <c r="GA45" s="56">
        <f>IFERROR(IF(($CU45)&gt;0,($FL45)/($CU45),""),"")</f>
        <v/>
      </c>
      <c r="GB45" s="56">
        <f>IFERROR(IF(($CV45)&gt;0,($FM45)/($CV45),""),"")</f>
        <v/>
      </c>
      <c r="GC45" s="56">
        <f>IFERROR(IF(($CW45)&gt;0,($FN45)/($CW45),""),"")</f>
        <v/>
      </c>
      <c r="GD45" s="56">
        <f>IFERROR(IF(($CU45)&gt;0,($FO45)/($CU45),""),"")</f>
        <v/>
      </c>
      <c r="GE45" s="56">
        <f>IFERROR(IF(($CV45)&gt;0,($FP45)/($CV45),""),"")</f>
        <v/>
      </c>
      <c r="GF45" s="56">
        <f>IFERROR(IF(($CW45)&gt;0,($FQ45)/($CW45),""),"")</f>
        <v/>
      </c>
      <c r="GG45" s="79">
        <f>IFERROR(IF(($CU45)&gt;0,($FR45)/($CU45),""),"")</f>
        <v/>
      </c>
      <c r="GH45" s="79">
        <f>IFERROR(IF(($CV45)&gt;0,($FS45)/($CV45),""),"")</f>
        <v/>
      </c>
      <c r="GI45" s="79">
        <f>IFERROR(IF(($CW45)&gt;0,($FT45)/($CW45),""),"")</f>
        <v/>
      </c>
      <c r="GJ45" s="56">
        <f>IFERROR(IF(($CU45)&gt;0,($FU45)/($CU45),""),"")</f>
        <v/>
      </c>
      <c r="GK45" s="56">
        <f>IFERROR(IF(($CV45)&gt;0,($FV45)/($CV45),""),"")</f>
        <v/>
      </c>
      <c r="GL45" s="56">
        <f>IFERROR(IF(($CW45)&gt;0,($FW45)/($CW45),""),"")</f>
        <v/>
      </c>
      <c r="GM45" s="55">
        <f>IF(SUMIFS(tblPlant[GIC_oz],tblPlant[Date],$A45)&gt;0,SUMIFS(tblPlant[GIC_oz],tblPlant[Date],$A45),"")</f>
        <v/>
      </c>
      <c r="GN45" s="55">
        <f>SUMIFS(tblGold[Gold_oz],tblGold[Date],$A45,tblGold[Type],"Shipment")</f>
        <v/>
      </c>
      <c r="GO45" s="55">
        <f>IF($B45=$B44,$GO44,0)+$GN45</f>
        <v/>
      </c>
      <c r="GP45" s="55">
        <f>$GP44+$GN45</f>
        <v/>
      </c>
      <c r="GQ45" s="55">
        <f>SUMIFS(tblGold[Gold_oz],tblGold[Date],$A45,tblGold[Type],"Sale")</f>
        <v/>
      </c>
      <c r="GR45" s="55">
        <f>IF($B45=$B44,$GR44,0)+$GQ45</f>
        <v/>
      </c>
      <c r="GS45" s="55">
        <f>$GS44+$GQ45</f>
        <v/>
      </c>
      <c r="GT45" s="55">
        <f>SUMIFS(tblGold[Dore_kg],tblGold[Date],$A45,tblGold[Type],"Shipment")</f>
        <v/>
      </c>
      <c r="GU45" s="55">
        <f>IF($B45=$B44,$GU44,0)+$GT45</f>
        <v/>
      </c>
      <c r="GV45" s="55">
        <f>$GV44+$GT45</f>
        <v/>
      </c>
      <c r="GW45" s="57">
        <f>SUMIFS(tblSafety[Hours_Total],tblSafety[Date],$A45)</f>
        <v/>
      </c>
      <c r="GX45" s="57">
        <f>IF($B45=$B44,$GX44,0)+$GW45</f>
        <v/>
      </c>
      <c r="GY45" s="57">
        <f>$GY44+$GW45</f>
        <v/>
      </c>
      <c r="GZ45" s="62">
        <f>SUMIFS(tblSafety[Fatality],tblSafety[Date],$A45)</f>
        <v/>
      </c>
      <c r="HA45" s="62">
        <f>IF($B45=$B44,$HA44,0)+$GZ45</f>
        <v/>
      </c>
      <c r="HB45" s="62">
        <f>$HB44+$GZ45</f>
        <v/>
      </c>
      <c r="HC45" s="62">
        <f>SUMIFS(tblSafety[LTI],tblSafety[Date],$A45)</f>
        <v/>
      </c>
      <c r="HD45" s="62">
        <f>IF($B45=$B44,$HD44,0)+$HC45</f>
        <v/>
      </c>
      <c r="HE45" s="62">
        <f>$HE44+$HC45</f>
        <v/>
      </c>
      <c r="HF45" s="62">
        <f>SUMIFS(tblSafety[RWI],tblSafety[Date],$A45)</f>
        <v/>
      </c>
      <c r="HG45" s="62">
        <f>IF($B45=$B44,$HG44,0)+$HF45</f>
        <v/>
      </c>
      <c r="HH45" s="62">
        <f>$HH44+$HF45</f>
        <v/>
      </c>
      <c r="HI45" s="62">
        <f>SUMIFS(tblSafety[MTI],tblSafety[Date],$A45)</f>
        <v/>
      </c>
      <c r="HJ45" s="62">
        <f>IF($B45=$B44,$HJ44,0)+$HI45</f>
        <v/>
      </c>
      <c r="HK45" s="62">
        <f>$HK44+$HI45</f>
        <v/>
      </c>
      <c r="HL45" s="62">
        <f>SUMIFS(tblSafety[FAI],tblSafety[Date],$A45)</f>
        <v/>
      </c>
      <c r="HM45" s="62">
        <f>IF($B45=$B44,$HM44,0)+$HL45</f>
        <v/>
      </c>
      <c r="HN45" s="62">
        <f>$HN44+$HL45</f>
        <v/>
      </c>
      <c r="HO45" s="62">
        <f>SUMIFS(tblSafety[Recordables],tblSafety[Date],$A45)</f>
        <v/>
      </c>
      <c r="HP45" s="62">
        <f>IF($B45=$B44,$HP44,0)+$HO45</f>
        <v/>
      </c>
      <c r="HQ45" s="62">
        <f>$HQ44+$HO45</f>
        <v/>
      </c>
      <c r="HR45" s="62">
        <f>SUMIFS(tblSafety[Near_Miss],tblSafety[Date],$A45)</f>
        <v/>
      </c>
      <c r="HS45" s="62">
        <f>IF($B45=$B44,$HS44,0)+$HR45</f>
        <v/>
      </c>
      <c r="HT45" s="62">
        <f>$HT44+$HR45</f>
        <v/>
      </c>
      <c r="HU45" s="62">
        <f>SUMIFS(tblSafety[Hazard_Reports],tblSafety[Date],$A45)</f>
        <v/>
      </c>
      <c r="HV45" s="62">
        <f>IF($B45=$B44,$HV44,0)+$HU45</f>
        <v/>
      </c>
      <c r="HW45" s="62">
        <f>$HW44+$HU45</f>
        <v/>
      </c>
      <c r="HX45" s="62">
        <f>SUMIFS(tblSafety[HPI],tblSafety[Date],$A45)</f>
        <v/>
      </c>
      <c r="HY45" s="62">
        <f>IF($B45=$B44,$HY44,0)+$HX45</f>
        <v/>
      </c>
      <c r="HZ45" s="62">
        <f>$HZ44+$HX45</f>
        <v/>
      </c>
      <c r="IA45" s="62">
        <f>SUMIFS(tblSafety[Env_Incidents],tblSafety[Date],$A45)</f>
        <v/>
      </c>
      <c r="IB45" s="62">
        <f>IF($B45=$B44,$IB44,0)+$IA45</f>
        <v/>
      </c>
      <c r="IC45" s="62">
        <f>$IC44+$IA45</f>
        <v/>
      </c>
      <c r="ID45" s="62">
        <f>SUMIFS(tblSafety[Community_Incidents],tblSafety[Date],$A45)</f>
        <v/>
      </c>
      <c r="IE45" s="62">
        <f>IF($B45=$B44,$IE44,0)+$ID45</f>
        <v/>
      </c>
      <c r="IF45" s="62">
        <f>$IF44+$ID45</f>
        <v/>
      </c>
      <c r="IG45" s="62">
        <f>SUMIFS(tblSafety[Vehicle_Incidents],tblSafety[Date],$A45)</f>
        <v/>
      </c>
      <c r="IH45" s="62">
        <f>IF($B45=$B44,$IH44,0)+$IG45</f>
        <v/>
      </c>
      <c r="II45" s="62">
        <f>$II44+$IG45</f>
        <v/>
      </c>
      <c r="IJ45" s="62">
        <f>SUMIFS(tblSafety[Toolbox_Talks],tblSafety[Date],$A45)</f>
        <v/>
      </c>
      <c r="IK45" s="62">
        <f>IF($B45=$B44,$IK44,0)+$IJ45</f>
        <v/>
      </c>
      <c r="IL45" s="62">
        <f>$IL44+$IJ45</f>
        <v/>
      </c>
      <c r="IM45" s="62">
        <f>SUMIFS(tblSafety[Inspections],tblSafety[Date],$A45)</f>
        <v/>
      </c>
      <c r="IN45" s="62">
        <f>IF($B45=$B44,$IN44,0)+$IM45</f>
        <v/>
      </c>
      <c r="IO45" s="62">
        <f>$IO44+$IM45</f>
        <v/>
      </c>
      <c r="IP45" s="56">
        <f>IFERROR((SUMIFS(tblSafety[Recordables],tblSafety[Date],"&gt;="&amp;EDATE($E45,-12),tblSafety[Date],"&lt;="&amp;$A45)+SUMIFS(tblSafetyHistory[Recordables],tblSafetyHistory[Month],"&gt;="&amp;EDATE($E45,-12),tblSafetyHistory[Month],"&lt;"&amp;$E45,tblSafetyHistory[Use],1))/(SUMIFS(tblSafety[Hours_Total],tblSafety[Date],"&gt;="&amp;EDATE($E45,-12),tblSafety[Date],"&lt;="&amp;$A45)+SUMIFS(tblSafetyHistory[Hours_Total],tblSafetyHistory[Month],"&gt;="&amp;EDATE($E45,-12),tblSafetyHistory[Month],"&lt;"&amp;$E45,tblSafetyHistory[Use],1))*cfg_RateBasisHours,"")</f>
        <v/>
      </c>
      <c r="IQ45" s="56">
        <f>IFERROR((SUMIFS(tblSafety[LTI],tblSafety[Date],"&gt;="&amp;EDATE($E45,-12),tblSafety[Date],"&lt;="&amp;$A45)+SUMIFS(tblSafetyHistory[LTI],tblSafetyHistory[Month],"&gt;="&amp;EDATE($E45,-12),tblSafetyHistory[Month],"&lt;"&amp;$E45,tblSafetyHistory[Use],1))/(SUMIFS(tblSafety[Hours_Total],tblSafety[Date],"&gt;="&amp;EDATE($E45,-12),tblSafety[Date],"&lt;="&amp;$A45)+SUMIFS(tblSafetyHistory[Hours_Total],tblSafetyHistory[Month],"&gt;="&amp;EDATE($E45,-12),tblSafetyHistory[Month],"&lt;"&amp;$E45,tblSafetyHistory[Use],1))*cfg_RateBasisHours,"")</f>
        <v/>
      </c>
      <c r="IR45" s="62">
        <f>IF(MAX(N(cfg_PriorLTIDate),_xlfn.MAXIFS(tblSafety[Date],tblSafety[LTI],"&gt;0",tblSafety[Date],"&lt;="&amp;$A45))=0,"",$A45-MAX(N(cfg_PriorLTIDate),_xlfn.MAXIFS(tblSafety[Date],tblSafety[LTI],"&gt;0",tblSafety[Date],"&lt;="&amp;$A45)))</f>
        <v/>
      </c>
      <c r="IS45" s="55">
        <f>SUMIFS(tblBudget[Ore_Mined_t],tblBudget[Month],$E45)</f>
        <v/>
      </c>
      <c r="IT45" s="55">
        <f>$IS45*$C45/$D45</f>
        <v/>
      </c>
      <c r="IU45" s="55">
        <f>SUMIFS(tblBudget[Ore_Mined_t],tblBudget[Month],"&lt;"&amp;$E45)+$IT45</f>
        <v/>
      </c>
      <c r="IV45" s="55">
        <f>SUMIFS(tblBudget[Ore_oz],tblBudget[Month],$E45)</f>
        <v/>
      </c>
      <c r="IW45" s="55">
        <f>$IV45*$C45/$D45</f>
        <v/>
      </c>
      <c r="IX45" s="55">
        <f>SUMIFS(tblBudget[Ore_oz],tblBudget[Month],"&lt;"&amp;$E45)+$IW45</f>
        <v/>
      </c>
      <c r="IY45" s="55">
        <f>SUMIFS(tblBudget[Ore_Mined_t],tblBudget[Month],$E45)</f>
        <v/>
      </c>
      <c r="IZ45" s="55">
        <f>$IY45*$C45/$D45</f>
        <v/>
      </c>
      <c r="JA45" s="55">
        <f>SUMIFS(tblBudget[Ore_Mined_t],tblBudget[Month],"&lt;"&amp;$E45)+$IZ45</f>
        <v/>
      </c>
      <c r="JB45" s="56">
        <f>IFERROR(IF(($IY45)&gt;0,($IV45*cfg_TroyOz)/($IY45),""),"")</f>
        <v/>
      </c>
      <c r="JC45" s="56">
        <f>IFERROR(IF(($IZ45)&gt;0,($IW45*cfg_TroyOz)/($IZ45),""),"")</f>
        <v/>
      </c>
      <c r="JD45" s="56">
        <f>IFERROR(IF(($JA45)&gt;0,($IX45*cfg_TroyOz)/($JA45),""),"")</f>
        <v/>
      </c>
      <c r="JE45" s="55">
        <f>SUMIFS(tblBudget[Waste_t],tblBudget[Month],$E45)</f>
        <v/>
      </c>
      <c r="JF45" s="55">
        <f>$JE45*$C45/$D45</f>
        <v/>
      </c>
      <c r="JG45" s="55">
        <f>SUMIFS(tblBudget[Waste_t],tblBudget[Month],"&lt;"&amp;$E45)+$JF45</f>
        <v/>
      </c>
      <c r="JH45" s="55">
        <f>SUMIFS(tblBudget[TMM_t],tblBudget[Month],$E45)</f>
        <v/>
      </c>
      <c r="JI45" s="55">
        <f>$JH45*$C45/$D45</f>
        <v/>
      </c>
      <c r="JJ45" s="55">
        <f>SUMIFS(tblBudget[TMM_t],tblBudget[Month],"&lt;"&amp;$E45)+$JI45</f>
        <v/>
      </c>
      <c r="JK45" s="56">
        <f>IFERROR(IF(($IS45)&gt;0,($JE45)/($IS45),""),"")</f>
        <v/>
      </c>
      <c r="JL45" s="56">
        <f>IFERROR(IF(($IT45)&gt;0,($JF45)/($IT45),""),"")</f>
        <v/>
      </c>
      <c r="JM45" s="56">
        <f>IFERROR(IF(($IU45)&gt;0,($JG45)/($IU45),""),"")</f>
        <v/>
      </c>
      <c r="JN45" s="55">
        <f>SUMIFS(tblBudget[Drill_m],tblBudget[Month],$E45)</f>
        <v/>
      </c>
      <c r="JO45" s="55">
        <f>$JN45*$C45/$D45</f>
        <v/>
      </c>
      <c r="JP45" s="55">
        <f>SUMIFS(tblBudget[Drill_m],tblBudget[Month],"&lt;"&amp;$E45)+$JO45</f>
        <v/>
      </c>
      <c r="JQ45" s="55">
        <f>SUMIFS(tblBudget[Diesel_L],tblBudget[Month],$E45)</f>
        <v/>
      </c>
      <c r="JR45" s="55">
        <f>$JQ45*$C45/$D45</f>
        <v/>
      </c>
      <c r="JS45" s="55">
        <f>SUMIFS(tblBudget[Diesel_L],tblBudget[Month],"&lt;"&amp;$E45)+$JR45</f>
        <v/>
      </c>
      <c r="JT45" s="55">
        <f>SUMIFS(tblBudget[Milled_t],tblBudget[Month],$E45)</f>
        <v/>
      </c>
      <c r="JU45" s="55">
        <f>$JT45*$C45/$D45</f>
        <v/>
      </c>
      <c r="JV45" s="55">
        <f>SUMIFS(tblBudget[Milled_t],tblBudget[Month],"&lt;"&amp;$E45)+$JU45</f>
        <v/>
      </c>
      <c r="JW45" s="55">
        <f>SUMIFS(tblBudget[Feed_oz],tblBudget[Month],$E45)</f>
        <v/>
      </c>
      <c r="JX45" s="55">
        <f>$JW45*$C45/$D45</f>
        <v/>
      </c>
      <c r="JY45" s="55">
        <f>SUMIFS(tblBudget[Feed_oz],tblBudget[Month],"&lt;"&amp;$E45)+$JX45</f>
        <v/>
      </c>
      <c r="JZ45" s="55">
        <f>SUMIFS(tblBudget[Recovered_oz],tblBudget[Month],$E45)</f>
        <v/>
      </c>
      <c r="KA45" s="55">
        <f>$JZ45*$C45/$D45</f>
        <v/>
      </c>
      <c r="KB45" s="55">
        <f>SUMIFS(tblBudget[Recovered_oz],tblBudget[Month],"&lt;"&amp;$E45)+$KA45</f>
        <v/>
      </c>
      <c r="KC45" s="55">
        <f>SUMIFS(tblBudget[Milled_t],tblBudget[Month],$E45)</f>
        <v/>
      </c>
      <c r="KD45" s="55">
        <f>$KC45*$C45/$D45</f>
        <v/>
      </c>
      <c r="KE45" s="55">
        <f>SUMIFS(tblBudget[Milled_t],tblBudget[Month],"&lt;"&amp;$E45)+$KD45</f>
        <v/>
      </c>
      <c r="KF45" s="55">
        <f>SUMIFS(tblBudget[Feed_oz],tblBudget[Month],$E45)</f>
        <v/>
      </c>
      <c r="KG45" s="55">
        <f>$KF45*$C45/$D45</f>
        <v/>
      </c>
      <c r="KH45" s="55">
        <f>SUMIFS(tblBudget[Feed_oz],tblBudget[Month],"&lt;"&amp;$E45)+$KG45</f>
        <v/>
      </c>
      <c r="KI45" s="56">
        <f>IFERROR(IF(($KC45)&gt;0,($JW45*cfg_TroyOz)/($KC45),""),"")</f>
        <v/>
      </c>
      <c r="KJ45" s="56">
        <f>IFERROR(IF(($KD45)&gt;0,($JX45*cfg_TroyOz)/($KD45),""),"")</f>
        <v/>
      </c>
      <c r="KK45" s="56">
        <f>IFERROR(IF(($KE45)&gt;0,($JY45*cfg_TroyOz)/($KE45),""),"")</f>
        <v/>
      </c>
      <c r="KL45" s="67">
        <f>IFERROR(IF(($KF45)&gt;0,($JZ45)/($KF45),""),"")</f>
        <v/>
      </c>
      <c r="KM45" s="67">
        <f>IFERROR(IF(($KG45)&gt;0,($KA45)/($KG45),""),"")</f>
        <v/>
      </c>
      <c r="KN45" s="67">
        <f>IFERROR(IF(($KH45)&gt;0,($KB45)/($KH45),""),"")</f>
        <v/>
      </c>
      <c r="KO45" s="55">
        <f>SUMIFS(tblBudget[Gold_Poured_oz],tblBudget[Month],$E45)</f>
        <v/>
      </c>
      <c r="KP45" s="55">
        <f>$KO45*$C45/$D45</f>
        <v/>
      </c>
      <c r="KQ45" s="55">
        <f>SUMIFS(tblBudget[Gold_Poured_oz],tblBudget[Month],"&lt;"&amp;$E45)+$KP45</f>
        <v/>
      </c>
      <c r="KR45" s="57">
        <f>SUMIFS(tblBudget[Hours_Worked],tblBudget[Month],$E45)</f>
        <v/>
      </c>
      <c r="KS45" s="57">
        <f>$KR45*$C45/$D45</f>
        <v/>
      </c>
      <c r="KT45" s="57">
        <f>SUMIFS(tblBudget[Hours_Worked],tblBudget[Month],"&lt;"&amp;$E45)+$KS45</f>
        <v/>
      </c>
    </row>
    <row r="46">
      <c r="A46" s="54" t="n">
        <v>46067</v>
      </c>
      <c r="B46">
        <f>MONTH($A46)</f>
        <v/>
      </c>
      <c r="C46">
        <f>DAY($A46)</f>
        <v/>
      </c>
      <c r="D46">
        <f>DAY(EOMONTH($A46,0))</f>
        <v/>
      </c>
      <c r="E46" s="54">
        <f>DATE(YEAR($A46),MONTH($A46),1)</f>
        <v/>
      </c>
      <c r="F46" s="55">
        <f>SUMIFS(tblMovement[Tonnes_t],tblMovement[Date],$A46,tblMovement[Is_Ore],1,tblMovement[Source_Type],"Pit")</f>
        <v/>
      </c>
      <c r="G46" s="55">
        <f>IF($B46=$B45,$G45,0)+$F46</f>
        <v/>
      </c>
      <c r="H46" s="55">
        <f>$H45+$F46</f>
        <v/>
      </c>
      <c r="I46" s="55">
        <f>SUMIFS(tblMovement[Ore_oz],tblMovement[Date],$A46,tblMovement[Source_Type],"Pit")</f>
        <v/>
      </c>
      <c r="J46" s="55">
        <f>IF($B46=$B45,$J45,0)+$I46</f>
        <v/>
      </c>
      <c r="K46" s="55">
        <f>$K45+$I46</f>
        <v/>
      </c>
      <c r="L46" s="55">
        <f>SUMIFS(tblMovement[Tonnes_t],tblMovement[Date],$A46,tblMovement[Is_Ore],1,tblMovement[Source_Type],"Pit",tblMovement[Grade_gpt],"&lt;&gt;")</f>
        <v/>
      </c>
      <c r="M46" s="55">
        <f>IF($B46=$B45,$M45,0)+$L46</f>
        <v/>
      </c>
      <c r="N46" s="55">
        <f>$N45+$L46</f>
        <v/>
      </c>
      <c r="O46" s="56">
        <f>IFERROR(IF(($L46)&gt;0,($I46*cfg_TroyOz)/($L46),""),"")</f>
        <v/>
      </c>
      <c r="P46" s="56">
        <f>IFERROR(IF(($M46)&gt;0,($J46*cfg_TroyOz)/($M46),""),"")</f>
        <v/>
      </c>
      <c r="Q46" s="56">
        <f>IFERROR(IF(($N46)&gt;0,($K46*cfg_TroyOz)/($N46),""),"")</f>
        <v/>
      </c>
      <c r="R46" s="55">
        <f>$F46-$L46</f>
        <v/>
      </c>
      <c r="S46" s="55">
        <f>IF($B46=$B45,$S45,0)+$R46</f>
        <v/>
      </c>
      <c r="T46" s="55">
        <f>$T45+$R46</f>
        <v/>
      </c>
      <c r="U46" s="55">
        <f>SUMIFS(tblMovement[Tonnes_t],tblMovement[Date],$A46,tblMovement[Is_Ore],0,tblMovement[Source_Type],"Pit")</f>
        <v/>
      </c>
      <c r="V46" s="55">
        <f>IF($B46=$B45,$V45,0)+$U46</f>
        <v/>
      </c>
      <c r="W46" s="55">
        <f>$W45+$U46</f>
        <v/>
      </c>
      <c r="X46" s="55">
        <f>$F46+$U46</f>
        <v/>
      </c>
      <c r="Y46" s="55">
        <f>IF($B46=$B45,$Y45,0)+$X46</f>
        <v/>
      </c>
      <c r="Z46" s="55">
        <f>$Z45+$X46</f>
        <v/>
      </c>
      <c r="AA46" s="56">
        <f>IFERROR(IF(($F46)&gt;0,($U46)/($F46),""),"")</f>
        <v/>
      </c>
      <c r="AB46" s="56">
        <f>IFERROR(IF(($G46)&gt;0,($V46)/($G46),""),"")</f>
        <v/>
      </c>
      <c r="AC46" s="56">
        <f>IFERROR(IF(($H46)&gt;0,($W46)/($H46),""),"")</f>
        <v/>
      </c>
      <c r="AD46" s="55">
        <f>SUMIFS(tblMovement[Tonnes_t],tblMovement[Date],$A46,tblMovement[Source_Type],"Stockpile")</f>
        <v/>
      </c>
      <c r="AE46" s="55">
        <f>IF($B46=$B45,$AE45,0)+$AD46</f>
        <v/>
      </c>
      <c r="AF46" s="55">
        <f>$AF45+$AD46</f>
        <v/>
      </c>
      <c r="AG46" s="55">
        <f>SUMIFS(tblMovement[Tonnes_t],tblMovement[Date],$A46)</f>
        <v/>
      </c>
      <c r="AH46" s="55">
        <f>IF($B46=$B45,$AH45,0)+$AG46</f>
        <v/>
      </c>
      <c r="AI46" s="55">
        <f>$AI45+$AG46</f>
        <v/>
      </c>
      <c r="AJ46" s="55">
        <f>$AG46-$X46-$AD46</f>
        <v/>
      </c>
      <c r="AK46" s="55">
        <f>IF($B46=$B45,$AK45,0)+$AJ46</f>
        <v/>
      </c>
      <c r="AL46" s="55">
        <f>$AL45+$AJ46</f>
        <v/>
      </c>
      <c r="AM46" s="55">
        <f>SUMIFS(tblMiningDaily[Drill_m],tblMiningDaily[Date],$A46)</f>
        <v/>
      </c>
      <c r="AN46" s="55">
        <f>IF($B46=$B45,$AN45,0)+$AM46</f>
        <v/>
      </c>
      <c r="AO46" s="55">
        <f>$AO45+$AM46</f>
        <v/>
      </c>
      <c r="AP46" s="55">
        <f>SUMIFS(tblMiningDaily[GC_Drill_m],tblMiningDaily[Date],$A46)</f>
        <v/>
      </c>
      <c r="AQ46" s="55">
        <f>IF($B46=$B45,$AQ45,0)+$AP46</f>
        <v/>
      </c>
      <c r="AR46" s="55">
        <f>$AR45+$AP46</f>
        <v/>
      </c>
      <c r="AS46" s="55">
        <f>SUMIFS(tblMiningDaily[Blast_t],tblMiningDaily[Date],$A46)</f>
        <v/>
      </c>
      <c r="AT46" s="55">
        <f>IF($B46=$B45,$AT45,0)+$AS46</f>
        <v/>
      </c>
      <c r="AU46" s="55">
        <f>$AU45+$AS46</f>
        <v/>
      </c>
      <c r="AV46" s="55">
        <f>SUMIFS(tblMiningDaily[Explosives_kg],tblMiningDaily[Date],$A46)</f>
        <v/>
      </c>
      <c r="AW46" s="55">
        <f>IF($B46=$B45,$AW45,0)+$AV46</f>
        <v/>
      </c>
      <c r="AX46" s="55">
        <f>$AX45+$AV46</f>
        <v/>
      </c>
      <c r="AY46" s="56">
        <f>IFERROR(IF(($AS46)&gt;0,($AV46)/($AS46),""),"")</f>
        <v/>
      </c>
      <c r="AZ46" s="56">
        <f>IFERROR(IF(($AT46)&gt;0,($AW46)/($AT46),""),"")</f>
        <v/>
      </c>
      <c r="BA46" s="56">
        <f>IFERROR(IF(($AU46)&gt;0,($AX46)/($AU46),""),"")</f>
        <v/>
      </c>
      <c r="BB46" s="55">
        <f>SUMIFS(tblMiningDaily[Diesel_L],tblMiningDaily[Date],$A46)</f>
        <v/>
      </c>
      <c r="BC46" s="55">
        <f>IF($B46=$B45,$BC45,0)+$BB46</f>
        <v/>
      </c>
      <c r="BD46" s="55">
        <f>$BD45+$BB46</f>
        <v/>
      </c>
      <c r="BE46" s="55">
        <f>SUMIFS(tblMiningDaily[Dewatering_m3],tblMiningDaily[Date],$A46)</f>
        <v/>
      </c>
      <c r="BF46" s="55">
        <f>IF($B46=$B45,$BF45,0)+$BE46</f>
        <v/>
      </c>
      <c r="BG46" s="55">
        <f>$BG45+$BE46</f>
        <v/>
      </c>
      <c r="BH46" s="57">
        <f>SUMIFS(tblFleet[Calendar_h],tblFleet[Date],$A46,tblFleet[Equipment_Class],"Excavator")</f>
        <v/>
      </c>
      <c r="BI46" s="57">
        <f>IF($B46=$B45,$BI45,0)+$BH46</f>
        <v/>
      </c>
      <c r="BJ46" s="57">
        <f>$BJ45+$BH46</f>
        <v/>
      </c>
      <c r="BK46" s="57">
        <f>SUMIFS(tblFleet[Available_h],tblFleet[Date],$A46,tblFleet[Equipment_Class],"Excavator")</f>
        <v/>
      </c>
      <c r="BL46" s="57">
        <f>IF($B46=$B45,$BL45,0)+$BK46</f>
        <v/>
      </c>
      <c r="BM46" s="57">
        <f>$BM45+$BK46</f>
        <v/>
      </c>
      <c r="BN46" s="57">
        <f>SUMIFS(tblFleet[Operating_h],tblFleet[Date],$A46,tblFleet[Equipment_Class],"Excavator")</f>
        <v/>
      </c>
      <c r="BO46" s="57">
        <f>IF($B46=$B45,$BO45,0)+$BN46</f>
        <v/>
      </c>
      <c r="BP46" s="57">
        <f>$BP45+$BN46</f>
        <v/>
      </c>
      <c r="BQ46" s="67">
        <f>IFERROR(IF(($BH46)&gt;0,($BK46)/($BH46),""),"")</f>
        <v/>
      </c>
      <c r="BR46" s="67">
        <f>IFERROR(IF(($BI46)&gt;0,($BL46)/($BI46),""),"")</f>
        <v/>
      </c>
      <c r="BS46" s="67">
        <f>IFERROR(IF(($BJ46)&gt;0,($BM46)/($BJ46),""),"")</f>
        <v/>
      </c>
      <c r="BT46" s="67">
        <f>IFERROR(IF(($BK46)&gt;0,($BN46)/($BK46),""),"")</f>
        <v/>
      </c>
      <c r="BU46" s="67">
        <f>IFERROR(IF(($BL46)&gt;0,($BO46)/($BL46),""),"")</f>
        <v/>
      </c>
      <c r="BV46" s="67">
        <f>IFERROR(IF(($BM46)&gt;0,($BP46)/($BM46),""),"")</f>
        <v/>
      </c>
      <c r="BW46" s="57">
        <f>SUMIFS(tblFleet[Calendar_h],tblFleet[Date],$A46,tblFleet[Equipment_Class],"Haul Truck")</f>
        <v/>
      </c>
      <c r="BX46" s="57">
        <f>IF($B46=$B45,$BX45,0)+$BW46</f>
        <v/>
      </c>
      <c r="BY46" s="57">
        <f>$BY45+$BW46</f>
        <v/>
      </c>
      <c r="BZ46" s="57">
        <f>SUMIFS(tblFleet[Available_h],tblFleet[Date],$A46,tblFleet[Equipment_Class],"Haul Truck")</f>
        <v/>
      </c>
      <c r="CA46" s="57">
        <f>IF($B46=$B45,$CA45,0)+$BZ46</f>
        <v/>
      </c>
      <c r="CB46" s="57">
        <f>$CB45+$BZ46</f>
        <v/>
      </c>
      <c r="CC46" s="57">
        <f>SUMIFS(tblFleet[Operating_h],tblFleet[Date],$A46,tblFleet[Equipment_Class],"Haul Truck")</f>
        <v/>
      </c>
      <c r="CD46" s="57">
        <f>IF($B46=$B45,$CD45,0)+$CC46</f>
        <v/>
      </c>
      <c r="CE46" s="57">
        <f>$CE45+$CC46</f>
        <v/>
      </c>
      <c r="CF46" s="67">
        <f>IFERROR(IF(($BW46)&gt;0,($BZ46)/($BW46),""),"")</f>
        <v/>
      </c>
      <c r="CG46" s="67">
        <f>IFERROR(IF(($BX46)&gt;0,($CA46)/($BX46),""),"")</f>
        <v/>
      </c>
      <c r="CH46" s="67">
        <f>IFERROR(IF(($BY46)&gt;0,($CB46)/($BY46),""),"")</f>
        <v/>
      </c>
      <c r="CI46" s="67">
        <f>IFERROR(IF(($BZ46)&gt;0,($CC46)/($BZ46),""),"")</f>
        <v/>
      </c>
      <c r="CJ46" s="67">
        <f>IFERROR(IF(($CA46)&gt;0,($CD46)/($CA46),""),"")</f>
        <v/>
      </c>
      <c r="CK46" s="67">
        <f>IFERROR(IF(($CB46)&gt;0,($CE46)/($CB46),""),"")</f>
        <v/>
      </c>
      <c r="CL46" s="55">
        <f>IFERROR(IF(($BN46)&gt;0,($X46+$AD46)/($BN46),""),"")</f>
        <v/>
      </c>
      <c r="CM46" s="55">
        <f>IFERROR(IF(($BO46)&gt;0,($Y46+$AE46)/($BO46),""),"")</f>
        <v/>
      </c>
      <c r="CN46" s="55">
        <f>IFERROR(IF(($BP46)&gt;0,($Z46+$AF46)/($BP46),""),"")</f>
        <v/>
      </c>
      <c r="CO46" s="55">
        <f>IFERROR(IF(($CC46)&gt;0,($X46+$AD46)/($CC46),""),"")</f>
        <v/>
      </c>
      <c r="CP46" s="55">
        <f>IFERROR(IF(($CD46)&gt;0,($Y46+$AE46)/($CD46),""),"")</f>
        <v/>
      </c>
      <c r="CQ46" s="55">
        <f>IFERROR(IF(($CE46)&gt;0,($Z46+$AF46)/($CE46),""),"")</f>
        <v/>
      </c>
      <c r="CR46" s="55">
        <f>SUMIFS(tblPlant[Crushed_t],tblPlant[Date],$A46)</f>
        <v/>
      </c>
      <c r="CS46" s="55">
        <f>IF($B46=$B45,$CS45,0)+$CR46</f>
        <v/>
      </c>
      <c r="CT46" s="55">
        <f>$CT45+$CR46</f>
        <v/>
      </c>
      <c r="CU46" s="55">
        <f>SUMIFS(tblPlant[Milled_t],tblPlant[Date],$A46)</f>
        <v/>
      </c>
      <c r="CV46" s="55">
        <f>IF($B46=$B45,$CV45,0)+$CU46</f>
        <v/>
      </c>
      <c r="CW46" s="55">
        <f>$CW45+$CU46</f>
        <v/>
      </c>
      <c r="CX46" s="55">
        <f>SUMIFS(tblPlant[Feed_oz],tblPlant[Date],$A46)</f>
        <v/>
      </c>
      <c r="CY46" s="55">
        <f>IF($B46=$B45,$CY45,0)+$CX46</f>
        <v/>
      </c>
      <c r="CZ46" s="55">
        <f>$CZ45+$CX46</f>
        <v/>
      </c>
      <c r="DA46" s="55">
        <f>SUMIFS(tblPlant[Tails_oz],tblPlant[Date],$A46)</f>
        <v/>
      </c>
      <c r="DB46" s="55">
        <f>IF($B46=$B45,$DB45,0)+$DA46</f>
        <v/>
      </c>
      <c r="DC46" s="55">
        <f>$DC45+$DA46</f>
        <v/>
      </c>
      <c r="DD46" s="55">
        <f>SUMIFS(tblPlant[Recovered_oz],tblPlant[Date],$A46)</f>
        <v/>
      </c>
      <c r="DE46" s="55">
        <f>IF($B46=$B45,$DE45,0)+$DD46</f>
        <v/>
      </c>
      <c r="DF46" s="55">
        <f>$DF45+$DD46</f>
        <v/>
      </c>
      <c r="DG46" s="55">
        <f>SUMIFS(tblPlant[Milled_t],tblPlant[Date],$A46,tblPlant[Head_Grade_gpt],"&lt;&gt;")</f>
        <v/>
      </c>
      <c r="DH46" s="55">
        <f>IF($B46=$B45,$DH45,0)+$DG46</f>
        <v/>
      </c>
      <c r="DI46" s="55">
        <f>$DI45+$DG46</f>
        <v/>
      </c>
      <c r="DJ46" s="55">
        <f>SUMIFS(tblPlant[Milled_t],tblPlant[Date],$A46,tblPlant[Tails_Grade_gpt],"&lt;&gt;")</f>
        <v/>
      </c>
      <c r="DK46" s="55">
        <f>IF($B46=$B45,$DK45,0)+$DJ46</f>
        <v/>
      </c>
      <c r="DL46" s="55">
        <f>$DL45+$DJ46</f>
        <v/>
      </c>
      <c r="DM46" s="55">
        <f>SUMIFS(tblPlant[Feed_oz],tblPlant[Date],$A46,tblPlant[Tails_Grade_gpt],"&lt;&gt;")</f>
        <v/>
      </c>
      <c r="DN46" s="55">
        <f>IF($B46=$B45,$DN45,0)+$DM46</f>
        <v/>
      </c>
      <c r="DO46" s="55">
        <f>$DO45+$DM46</f>
        <v/>
      </c>
      <c r="DP46" s="55">
        <f>SUMIFS(tblPlant[Milled_t],tblPlant[Date],$A46,tblPlant[Mill_Run_h],"&lt;&gt;")</f>
        <v/>
      </c>
      <c r="DQ46" s="55">
        <f>IF($B46=$B45,$DQ45,0)+$DP46</f>
        <v/>
      </c>
      <c r="DR46" s="55">
        <f>$DR45+$DP46</f>
        <v/>
      </c>
      <c r="DS46" s="56">
        <f>IFERROR(IF(($DG46)&gt;0,($CX46*cfg_TroyOz)/($DG46),""),"")</f>
        <v/>
      </c>
      <c r="DT46" s="56">
        <f>IFERROR(IF(($DH46)&gt;0,($CY46*cfg_TroyOz)/($DH46),""),"")</f>
        <v/>
      </c>
      <c r="DU46" s="56">
        <f>IFERROR(IF(($DI46)&gt;0,($CZ46*cfg_TroyOz)/($DI46),""),"")</f>
        <v/>
      </c>
      <c r="DV46" s="56">
        <f>IFERROR(IF(($DJ46)&gt;0,($DA46*cfg_TroyOz)/($DJ46),""),"")</f>
        <v/>
      </c>
      <c r="DW46" s="56">
        <f>IFERROR(IF(($DK46)&gt;0,($DB46*cfg_TroyOz)/($DK46),""),"")</f>
        <v/>
      </c>
      <c r="DX46" s="56">
        <f>IFERROR(IF(($DL46)&gt;0,($DC46*cfg_TroyOz)/($DL46),""),"")</f>
        <v/>
      </c>
      <c r="DY46" s="67">
        <f>IFERROR(IF(($DM46)&gt;0,($DD46)/($DM46),""),"")</f>
        <v/>
      </c>
      <c r="DZ46" s="67">
        <f>IFERROR(IF(($DN46)&gt;0,($DE46)/($DN46),""),"")</f>
        <v/>
      </c>
      <c r="EA46" s="67">
        <f>IFERROR(IF(($DO46)&gt;0,($DF46)/($DO46),""),"")</f>
        <v/>
      </c>
      <c r="EB46" s="55">
        <f>SUMIFS(tblPlant[Gravity_Gold_oz],tblPlant[Date],$A46)</f>
        <v/>
      </c>
      <c r="EC46" s="55">
        <f>IF($B46=$B45,$EC45,0)+$EB46</f>
        <v/>
      </c>
      <c r="ED46" s="55">
        <f>$ED45+$EB46</f>
        <v/>
      </c>
      <c r="EE46" s="67">
        <f>IFERROR(IF(($DD46)&gt;0,($EB46)/($DD46),""),"")</f>
        <v/>
      </c>
      <c r="EF46" s="67">
        <f>IFERROR(IF(($DE46)&gt;0,($EC46)/($DE46),""),"")</f>
        <v/>
      </c>
      <c r="EG46" s="67">
        <f>IFERROR(IF(($DF46)&gt;0,($ED46)/($DF46),""),"")</f>
        <v/>
      </c>
      <c r="EH46" s="55">
        <f>SUMIFS(tblPlant[Gold_Poured_oz],tblPlant[Date],$A46)</f>
        <v/>
      </c>
      <c r="EI46" s="55">
        <f>IF($B46=$B45,$EI45,0)+$EH46</f>
        <v/>
      </c>
      <c r="EJ46" s="55">
        <f>$EJ45+$EH46</f>
        <v/>
      </c>
      <c r="EK46" s="57">
        <f>SUMIFS(tblPlant[Mill_Run_h],tblPlant[Date],$A46)</f>
        <v/>
      </c>
      <c r="EL46" s="57">
        <f>IF($B46=$B45,$EL45,0)+$EK46</f>
        <v/>
      </c>
      <c r="EM46" s="57">
        <f>$EM45+$EK46</f>
        <v/>
      </c>
      <c r="EN46" s="57">
        <f>SUMIFS(tblPlant[Mill_Planned_Maint_h],tblPlant[Date],$A46)</f>
        <v/>
      </c>
      <c r="EO46" s="57">
        <f>IF($B46=$B45,$EO45,0)+$EN46</f>
        <v/>
      </c>
      <c r="EP46" s="57">
        <f>$EP45+$EN46</f>
        <v/>
      </c>
      <c r="EQ46" s="57">
        <f>SUMIFS(tblPlant[Mill_Unplanned_Down_h],tblPlant[Date],$A46)</f>
        <v/>
      </c>
      <c r="ER46" s="57">
        <f>IF($B46=$B45,$ER45,0)+$EQ46</f>
        <v/>
      </c>
      <c r="ES46" s="57">
        <f>$ES45+$EQ46</f>
        <v/>
      </c>
      <c r="ET46" s="57">
        <f>IF(COUNTIFS(tblPlant[Date],$A46,tblPlant[Mill_Run_h],"&lt;&gt;")+COUNTIFS(tblPlant[Date],$A46,tblPlant[Mill_Planned_Maint_h],"&lt;&gt;")+COUNTIFS(tblPlant[Date],$A46,tblPlant[Mill_Unplanned_Down_h],"&lt;&gt;")&gt;0,cfg_HoursPerDay,0)</f>
        <v/>
      </c>
      <c r="EU46" s="57">
        <f>IF($B46=$B45,$EU45,0)+$ET46</f>
        <v/>
      </c>
      <c r="EV46" s="57">
        <f>$EV45+$ET46</f>
        <v/>
      </c>
      <c r="EW46" s="57">
        <f>SUMIFS(tblPlant[Crusher_Run_h],tblPlant[Date],$A46)</f>
        <v/>
      </c>
      <c r="EX46" s="57">
        <f>IF($B46=$B45,$EX45,0)+$EW46</f>
        <v/>
      </c>
      <c r="EY46" s="57">
        <f>$EY45+$EW46</f>
        <v/>
      </c>
      <c r="EZ46" s="55">
        <f>IFERROR(IF(($EK46)&gt;0,($DP46)/($EK46),""),"")</f>
        <v/>
      </c>
      <c r="FA46" s="55">
        <f>IFERROR(IF(($EL46)&gt;0,($DQ46)/($EL46),""),"")</f>
        <v/>
      </c>
      <c r="FB46" s="55">
        <f>IFERROR(IF(($EM46)&gt;0,($DR46)/($EM46),""),"")</f>
        <v/>
      </c>
      <c r="FC46" s="67">
        <f>IFERROR(IF(($ET46)&gt;0,($ET46-$EN46-$EQ46)/($ET46),""),"")</f>
        <v/>
      </c>
      <c r="FD46" s="67">
        <f>IFERROR(IF(($EU46)&gt;0,($EU46-$EO46-$ER46)/($EU46),""),"")</f>
        <v/>
      </c>
      <c r="FE46" s="67">
        <f>IFERROR(IF(($EV46)&gt;0,($EV46-$EP46-$ES46)/($EV46),""),"")</f>
        <v/>
      </c>
      <c r="FF46" s="67">
        <f>IFERROR(IF(($ET46-$EN46-$EQ46)&gt;0,($EK46)/($ET46-$EN46-$EQ46),""),"")</f>
        <v/>
      </c>
      <c r="FG46" s="67">
        <f>IFERROR(IF(($EU46-$EO46-$ER46)&gt;0,($EL46)/($EU46-$EO46-$ER46),""),"")</f>
        <v/>
      </c>
      <c r="FH46" s="67">
        <f>IFERROR(IF(($EV46-$EP46-$ES46)&gt;0,($EM46)/($EV46-$EP46-$ES46),""),"")</f>
        <v/>
      </c>
      <c r="FI46" s="55">
        <f>SUMIFS(tblPlant[Cyanide_kg],tblPlant[Date],$A46)</f>
        <v/>
      </c>
      <c r="FJ46" s="55">
        <f>IF($B46=$B45,$FJ45,0)+$FI46</f>
        <v/>
      </c>
      <c r="FK46" s="55">
        <f>$FK45+$FI46</f>
        <v/>
      </c>
      <c r="FL46" s="55">
        <f>SUMIFS(tblPlant[Lime_kg],tblPlant[Date],$A46)</f>
        <v/>
      </c>
      <c r="FM46" s="55">
        <f>IF($B46=$B45,$FM45,0)+$FL46</f>
        <v/>
      </c>
      <c r="FN46" s="55">
        <f>$FN45+$FL46</f>
        <v/>
      </c>
      <c r="FO46" s="55">
        <f>SUMIFS(tblPlant[Grinding_Media_kg],tblPlant[Date],$A46)</f>
        <v/>
      </c>
      <c r="FP46" s="55">
        <f>IF($B46=$B45,$FP45,0)+$FO46</f>
        <v/>
      </c>
      <c r="FQ46" s="55">
        <f>$FQ45+$FO46</f>
        <v/>
      </c>
      <c r="FR46" s="55">
        <f>SUMIFS(tblPlant[Power_kWh],tblPlant[Date],$A46)</f>
        <v/>
      </c>
      <c r="FS46" s="55">
        <f>IF($B46=$B45,$FS45,0)+$FR46</f>
        <v/>
      </c>
      <c r="FT46" s="55">
        <f>$FT45+$FR46</f>
        <v/>
      </c>
      <c r="FU46" s="55">
        <f>SUMIFS(tblPlant[Raw_Water_m3],tblPlant[Date],$A46)</f>
        <v/>
      </c>
      <c r="FV46" s="55">
        <f>IF($B46=$B45,$FV45,0)+$FU46</f>
        <v/>
      </c>
      <c r="FW46" s="55">
        <f>$FW45+$FU46</f>
        <v/>
      </c>
      <c r="FX46" s="56">
        <f>IFERROR(IF(($CU46)&gt;0,($FI46)/($CU46),""),"")</f>
        <v/>
      </c>
      <c r="FY46" s="56">
        <f>IFERROR(IF(($CV46)&gt;0,($FJ46)/($CV46),""),"")</f>
        <v/>
      </c>
      <c r="FZ46" s="56">
        <f>IFERROR(IF(($CW46)&gt;0,($FK46)/($CW46),""),"")</f>
        <v/>
      </c>
      <c r="GA46" s="56">
        <f>IFERROR(IF(($CU46)&gt;0,($FL46)/($CU46),""),"")</f>
        <v/>
      </c>
      <c r="GB46" s="56">
        <f>IFERROR(IF(($CV46)&gt;0,($FM46)/($CV46),""),"")</f>
        <v/>
      </c>
      <c r="GC46" s="56">
        <f>IFERROR(IF(($CW46)&gt;0,($FN46)/($CW46),""),"")</f>
        <v/>
      </c>
      <c r="GD46" s="56">
        <f>IFERROR(IF(($CU46)&gt;0,($FO46)/($CU46),""),"")</f>
        <v/>
      </c>
      <c r="GE46" s="56">
        <f>IFERROR(IF(($CV46)&gt;0,($FP46)/($CV46),""),"")</f>
        <v/>
      </c>
      <c r="GF46" s="56">
        <f>IFERROR(IF(($CW46)&gt;0,($FQ46)/($CW46),""),"")</f>
        <v/>
      </c>
      <c r="GG46" s="79">
        <f>IFERROR(IF(($CU46)&gt;0,($FR46)/($CU46),""),"")</f>
        <v/>
      </c>
      <c r="GH46" s="79">
        <f>IFERROR(IF(($CV46)&gt;0,($FS46)/($CV46),""),"")</f>
        <v/>
      </c>
      <c r="GI46" s="79">
        <f>IFERROR(IF(($CW46)&gt;0,($FT46)/($CW46),""),"")</f>
        <v/>
      </c>
      <c r="GJ46" s="56">
        <f>IFERROR(IF(($CU46)&gt;0,($FU46)/($CU46),""),"")</f>
        <v/>
      </c>
      <c r="GK46" s="56">
        <f>IFERROR(IF(($CV46)&gt;0,($FV46)/($CV46),""),"")</f>
        <v/>
      </c>
      <c r="GL46" s="56">
        <f>IFERROR(IF(($CW46)&gt;0,($FW46)/($CW46),""),"")</f>
        <v/>
      </c>
      <c r="GM46" s="55">
        <f>IF(SUMIFS(tblPlant[GIC_oz],tblPlant[Date],$A46)&gt;0,SUMIFS(tblPlant[GIC_oz],tblPlant[Date],$A46),"")</f>
        <v/>
      </c>
      <c r="GN46" s="55">
        <f>SUMIFS(tblGold[Gold_oz],tblGold[Date],$A46,tblGold[Type],"Shipment")</f>
        <v/>
      </c>
      <c r="GO46" s="55">
        <f>IF($B46=$B45,$GO45,0)+$GN46</f>
        <v/>
      </c>
      <c r="GP46" s="55">
        <f>$GP45+$GN46</f>
        <v/>
      </c>
      <c r="GQ46" s="55">
        <f>SUMIFS(tblGold[Gold_oz],tblGold[Date],$A46,tblGold[Type],"Sale")</f>
        <v/>
      </c>
      <c r="GR46" s="55">
        <f>IF($B46=$B45,$GR45,0)+$GQ46</f>
        <v/>
      </c>
      <c r="GS46" s="55">
        <f>$GS45+$GQ46</f>
        <v/>
      </c>
      <c r="GT46" s="55">
        <f>SUMIFS(tblGold[Dore_kg],tblGold[Date],$A46,tblGold[Type],"Shipment")</f>
        <v/>
      </c>
      <c r="GU46" s="55">
        <f>IF($B46=$B45,$GU45,0)+$GT46</f>
        <v/>
      </c>
      <c r="GV46" s="55">
        <f>$GV45+$GT46</f>
        <v/>
      </c>
      <c r="GW46" s="57">
        <f>SUMIFS(tblSafety[Hours_Total],tblSafety[Date],$A46)</f>
        <v/>
      </c>
      <c r="GX46" s="57">
        <f>IF($B46=$B45,$GX45,0)+$GW46</f>
        <v/>
      </c>
      <c r="GY46" s="57">
        <f>$GY45+$GW46</f>
        <v/>
      </c>
      <c r="GZ46" s="62">
        <f>SUMIFS(tblSafety[Fatality],tblSafety[Date],$A46)</f>
        <v/>
      </c>
      <c r="HA46" s="62">
        <f>IF($B46=$B45,$HA45,0)+$GZ46</f>
        <v/>
      </c>
      <c r="HB46" s="62">
        <f>$HB45+$GZ46</f>
        <v/>
      </c>
      <c r="HC46" s="62">
        <f>SUMIFS(tblSafety[LTI],tblSafety[Date],$A46)</f>
        <v/>
      </c>
      <c r="HD46" s="62">
        <f>IF($B46=$B45,$HD45,0)+$HC46</f>
        <v/>
      </c>
      <c r="HE46" s="62">
        <f>$HE45+$HC46</f>
        <v/>
      </c>
      <c r="HF46" s="62">
        <f>SUMIFS(tblSafety[RWI],tblSafety[Date],$A46)</f>
        <v/>
      </c>
      <c r="HG46" s="62">
        <f>IF($B46=$B45,$HG45,0)+$HF46</f>
        <v/>
      </c>
      <c r="HH46" s="62">
        <f>$HH45+$HF46</f>
        <v/>
      </c>
      <c r="HI46" s="62">
        <f>SUMIFS(tblSafety[MTI],tblSafety[Date],$A46)</f>
        <v/>
      </c>
      <c r="HJ46" s="62">
        <f>IF($B46=$B45,$HJ45,0)+$HI46</f>
        <v/>
      </c>
      <c r="HK46" s="62">
        <f>$HK45+$HI46</f>
        <v/>
      </c>
      <c r="HL46" s="62">
        <f>SUMIFS(tblSafety[FAI],tblSafety[Date],$A46)</f>
        <v/>
      </c>
      <c r="HM46" s="62">
        <f>IF($B46=$B45,$HM45,0)+$HL46</f>
        <v/>
      </c>
      <c r="HN46" s="62">
        <f>$HN45+$HL46</f>
        <v/>
      </c>
      <c r="HO46" s="62">
        <f>SUMIFS(tblSafety[Recordables],tblSafety[Date],$A46)</f>
        <v/>
      </c>
      <c r="HP46" s="62">
        <f>IF($B46=$B45,$HP45,0)+$HO46</f>
        <v/>
      </c>
      <c r="HQ46" s="62">
        <f>$HQ45+$HO46</f>
        <v/>
      </c>
      <c r="HR46" s="62">
        <f>SUMIFS(tblSafety[Near_Miss],tblSafety[Date],$A46)</f>
        <v/>
      </c>
      <c r="HS46" s="62">
        <f>IF($B46=$B45,$HS45,0)+$HR46</f>
        <v/>
      </c>
      <c r="HT46" s="62">
        <f>$HT45+$HR46</f>
        <v/>
      </c>
      <c r="HU46" s="62">
        <f>SUMIFS(tblSafety[Hazard_Reports],tblSafety[Date],$A46)</f>
        <v/>
      </c>
      <c r="HV46" s="62">
        <f>IF($B46=$B45,$HV45,0)+$HU46</f>
        <v/>
      </c>
      <c r="HW46" s="62">
        <f>$HW45+$HU46</f>
        <v/>
      </c>
      <c r="HX46" s="62">
        <f>SUMIFS(tblSafety[HPI],tblSafety[Date],$A46)</f>
        <v/>
      </c>
      <c r="HY46" s="62">
        <f>IF($B46=$B45,$HY45,0)+$HX46</f>
        <v/>
      </c>
      <c r="HZ46" s="62">
        <f>$HZ45+$HX46</f>
        <v/>
      </c>
      <c r="IA46" s="62">
        <f>SUMIFS(tblSafety[Env_Incidents],tblSafety[Date],$A46)</f>
        <v/>
      </c>
      <c r="IB46" s="62">
        <f>IF($B46=$B45,$IB45,0)+$IA46</f>
        <v/>
      </c>
      <c r="IC46" s="62">
        <f>$IC45+$IA46</f>
        <v/>
      </c>
      <c r="ID46" s="62">
        <f>SUMIFS(tblSafety[Community_Incidents],tblSafety[Date],$A46)</f>
        <v/>
      </c>
      <c r="IE46" s="62">
        <f>IF($B46=$B45,$IE45,0)+$ID46</f>
        <v/>
      </c>
      <c r="IF46" s="62">
        <f>$IF45+$ID46</f>
        <v/>
      </c>
      <c r="IG46" s="62">
        <f>SUMIFS(tblSafety[Vehicle_Incidents],tblSafety[Date],$A46)</f>
        <v/>
      </c>
      <c r="IH46" s="62">
        <f>IF($B46=$B45,$IH45,0)+$IG46</f>
        <v/>
      </c>
      <c r="II46" s="62">
        <f>$II45+$IG46</f>
        <v/>
      </c>
      <c r="IJ46" s="62">
        <f>SUMIFS(tblSafety[Toolbox_Talks],tblSafety[Date],$A46)</f>
        <v/>
      </c>
      <c r="IK46" s="62">
        <f>IF($B46=$B45,$IK45,0)+$IJ46</f>
        <v/>
      </c>
      <c r="IL46" s="62">
        <f>$IL45+$IJ46</f>
        <v/>
      </c>
      <c r="IM46" s="62">
        <f>SUMIFS(tblSafety[Inspections],tblSafety[Date],$A46)</f>
        <v/>
      </c>
      <c r="IN46" s="62">
        <f>IF($B46=$B45,$IN45,0)+$IM46</f>
        <v/>
      </c>
      <c r="IO46" s="62">
        <f>$IO45+$IM46</f>
        <v/>
      </c>
      <c r="IP46" s="56">
        <f>IFERROR((SUMIFS(tblSafety[Recordables],tblSafety[Date],"&gt;="&amp;EDATE($E46,-12),tblSafety[Date],"&lt;="&amp;$A46)+SUMIFS(tblSafetyHistory[Recordables],tblSafetyHistory[Month],"&gt;="&amp;EDATE($E46,-12),tblSafetyHistory[Month],"&lt;"&amp;$E46,tblSafetyHistory[Use],1))/(SUMIFS(tblSafety[Hours_Total],tblSafety[Date],"&gt;="&amp;EDATE($E46,-12),tblSafety[Date],"&lt;="&amp;$A46)+SUMIFS(tblSafetyHistory[Hours_Total],tblSafetyHistory[Month],"&gt;="&amp;EDATE($E46,-12),tblSafetyHistory[Month],"&lt;"&amp;$E46,tblSafetyHistory[Use],1))*cfg_RateBasisHours,"")</f>
        <v/>
      </c>
      <c r="IQ46" s="56">
        <f>IFERROR((SUMIFS(tblSafety[LTI],tblSafety[Date],"&gt;="&amp;EDATE($E46,-12),tblSafety[Date],"&lt;="&amp;$A46)+SUMIFS(tblSafetyHistory[LTI],tblSafetyHistory[Month],"&gt;="&amp;EDATE($E46,-12),tblSafetyHistory[Month],"&lt;"&amp;$E46,tblSafetyHistory[Use],1))/(SUMIFS(tblSafety[Hours_Total],tblSafety[Date],"&gt;="&amp;EDATE($E46,-12),tblSafety[Date],"&lt;="&amp;$A46)+SUMIFS(tblSafetyHistory[Hours_Total],tblSafetyHistory[Month],"&gt;="&amp;EDATE($E46,-12),tblSafetyHistory[Month],"&lt;"&amp;$E46,tblSafetyHistory[Use],1))*cfg_RateBasisHours,"")</f>
        <v/>
      </c>
      <c r="IR46" s="62">
        <f>IF(MAX(N(cfg_PriorLTIDate),_xlfn.MAXIFS(tblSafety[Date],tblSafety[LTI],"&gt;0",tblSafety[Date],"&lt;="&amp;$A46))=0,"",$A46-MAX(N(cfg_PriorLTIDate),_xlfn.MAXIFS(tblSafety[Date],tblSafety[LTI],"&gt;0",tblSafety[Date],"&lt;="&amp;$A46)))</f>
        <v/>
      </c>
      <c r="IS46" s="55">
        <f>SUMIFS(tblBudget[Ore_Mined_t],tblBudget[Month],$E46)</f>
        <v/>
      </c>
      <c r="IT46" s="55">
        <f>$IS46*$C46/$D46</f>
        <v/>
      </c>
      <c r="IU46" s="55">
        <f>SUMIFS(tblBudget[Ore_Mined_t],tblBudget[Month],"&lt;"&amp;$E46)+$IT46</f>
        <v/>
      </c>
      <c r="IV46" s="55">
        <f>SUMIFS(tblBudget[Ore_oz],tblBudget[Month],$E46)</f>
        <v/>
      </c>
      <c r="IW46" s="55">
        <f>$IV46*$C46/$D46</f>
        <v/>
      </c>
      <c r="IX46" s="55">
        <f>SUMIFS(tblBudget[Ore_oz],tblBudget[Month],"&lt;"&amp;$E46)+$IW46</f>
        <v/>
      </c>
      <c r="IY46" s="55">
        <f>SUMIFS(tblBudget[Ore_Mined_t],tblBudget[Month],$E46)</f>
        <v/>
      </c>
      <c r="IZ46" s="55">
        <f>$IY46*$C46/$D46</f>
        <v/>
      </c>
      <c r="JA46" s="55">
        <f>SUMIFS(tblBudget[Ore_Mined_t],tblBudget[Month],"&lt;"&amp;$E46)+$IZ46</f>
        <v/>
      </c>
      <c r="JB46" s="56">
        <f>IFERROR(IF(($IY46)&gt;0,($IV46*cfg_TroyOz)/($IY46),""),"")</f>
        <v/>
      </c>
      <c r="JC46" s="56">
        <f>IFERROR(IF(($IZ46)&gt;0,($IW46*cfg_TroyOz)/($IZ46),""),"")</f>
        <v/>
      </c>
      <c r="JD46" s="56">
        <f>IFERROR(IF(($JA46)&gt;0,($IX46*cfg_TroyOz)/($JA46),""),"")</f>
        <v/>
      </c>
      <c r="JE46" s="55">
        <f>SUMIFS(tblBudget[Waste_t],tblBudget[Month],$E46)</f>
        <v/>
      </c>
      <c r="JF46" s="55">
        <f>$JE46*$C46/$D46</f>
        <v/>
      </c>
      <c r="JG46" s="55">
        <f>SUMIFS(tblBudget[Waste_t],tblBudget[Month],"&lt;"&amp;$E46)+$JF46</f>
        <v/>
      </c>
      <c r="JH46" s="55">
        <f>SUMIFS(tblBudget[TMM_t],tblBudget[Month],$E46)</f>
        <v/>
      </c>
      <c r="JI46" s="55">
        <f>$JH46*$C46/$D46</f>
        <v/>
      </c>
      <c r="JJ46" s="55">
        <f>SUMIFS(tblBudget[TMM_t],tblBudget[Month],"&lt;"&amp;$E46)+$JI46</f>
        <v/>
      </c>
      <c r="JK46" s="56">
        <f>IFERROR(IF(($IS46)&gt;0,($JE46)/($IS46),""),"")</f>
        <v/>
      </c>
      <c r="JL46" s="56">
        <f>IFERROR(IF(($IT46)&gt;0,($JF46)/($IT46),""),"")</f>
        <v/>
      </c>
      <c r="JM46" s="56">
        <f>IFERROR(IF(($IU46)&gt;0,($JG46)/($IU46),""),"")</f>
        <v/>
      </c>
      <c r="JN46" s="55">
        <f>SUMIFS(tblBudget[Drill_m],tblBudget[Month],$E46)</f>
        <v/>
      </c>
      <c r="JO46" s="55">
        <f>$JN46*$C46/$D46</f>
        <v/>
      </c>
      <c r="JP46" s="55">
        <f>SUMIFS(tblBudget[Drill_m],tblBudget[Month],"&lt;"&amp;$E46)+$JO46</f>
        <v/>
      </c>
      <c r="JQ46" s="55">
        <f>SUMIFS(tblBudget[Diesel_L],tblBudget[Month],$E46)</f>
        <v/>
      </c>
      <c r="JR46" s="55">
        <f>$JQ46*$C46/$D46</f>
        <v/>
      </c>
      <c r="JS46" s="55">
        <f>SUMIFS(tblBudget[Diesel_L],tblBudget[Month],"&lt;"&amp;$E46)+$JR46</f>
        <v/>
      </c>
      <c r="JT46" s="55">
        <f>SUMIFS(tblBudget[Milled_t],tblBudget[Month],$E46)</f>
        <v/>
      </c>
      <c r="JU46" s="55">
        <f>$JT46*$C46/$D46</f>
        <v/>
      </c>
      <c r="JV46" s="55">
        <f>SUMIFS(tblBudget[Milled_t],tblBudget[Month],"&lt;"&amp;$E46)+$JU46</f>
        <v/>
      </c>
      <c r="JW46" s="55">
        <f>SUMIFS(tblBudget[Feed_oz],tblBudget[Month],$E46)</f>
        <v/>
      </c>
      <c r="JX46" s="55">
        <f>$JW46*$C46/$D46</f>
        <v/>
      </c>
      <c r="JY46" s="55">
        <f>SUMIFS(tblBudget[Feed_oz],tblBudget[Month],"&lt;"&amp;$E46)+$JX46</f>
        <v/>
      </c>
      <c r="JZ46" s="55">
        <f>SUMIFS(tblBudget[Recovered_oz],tblBudget[Month],$E46)</f>
        <v/>
      </c>
      <c r="KA46" s="55">
        <f>$JZ46*$C46/$D46</f>
        <v/>
      </c>
      <c r="KB46" s="55">
        <f>SUMIFS(tblBudget[Recovered_oz],tblBudget[Month],"&lt;"&amp;$E46)+$KA46</f>
        <v/>
      </c>
      <c r="KC46" s="55">
        <f>SUMIFS(tblBudget[Milled_t],tblBudget[Month],$E46)</f>
        <v/>
      </c>
      <c r="KD46" s="55">
        <f>$KC46*$C46/$D46</f>
        <v/>
      </c>
      <c r="KE46" s="55">
        <f>SUMIFS(tblBudget[Milled_t],tblBudget[Month],"&lt;"&amp;$E46)+$KD46</f>
        <v/>
      </c>
      <c r="KF46" s="55">
        <f>SUMIFS(tblBudget[Feed_oz],tblBudget[Month],$E46)</f>
        <v/>
      </c>
      <c r="KG46" s="55">
        <f>$KF46*$C46/$D46</f>
        <v/>
      </c>
      <c r="KH46" s="55">
        <f>SUMIFS(tblBudget[Feed_oz],tblBudget[Month],"&lt;"&amp;$E46)+$KG46</f>
        <v/>
      </c>
      <c r="KI46" s="56">
        <f>IFERROR(IF(($KC46)&gt;0,($JW46*cfg_TroyOz)/($KC46),""),"")</f>
        <v/>
      </c>
      <c r="KJ46" s="56">
        <f>IFERROR(IF(($KD46)&gt;0,($JX46*cfg_TroyOz)/($KD46),""),"")</f>
        <v/>
      </c>
      <c r="KK46" s="56">
        <f>IFERROR(IF(($KE46)&gt;0,($JY46*cfg_TroyOz)/($KE46),""),"")</f>
        <v/>
      </c>
      <c r="KL46" s="67">
        <f>IFERROR(IF(($KF46)&gt;0,($JZ46)/($KF46),""),"")</f>
        <v/>
      </c>
      <c r="KM46" s="67">
        <f>IFERROR(IF(($KG46)&gt;0,($KA46)/($KG46),""),"")</f>
        <v/>
      </c>
      <c r="KN46" s="67">
        <f>IFERROR(IF(($KH46)&gt;0,($KB46)/($KH46),""),"")</f>
        <v/>
      </c>
      <c r="KO46" s="55">
        <f>SUMIFS(tblBudget[Gold_Poured_oz],tblBudget[Month],$E46)</f>
        <v/>
      </c>
      <c r="KP46" s="55">
        <f>$KO46*$C46/$D46</f>
        <v/>
      </c>
      <c r="KQ46" s="55">
        <f>SUMIFS(tblBudget[Gold_Poured_oz],tblBudget[Month],"&lt;"&amp;$E46)+$KP46</f>
        <v/>
      </c>
      <c r="KR46" s="57">
        <f>SUMIFS(tblBudget[Hours_Worked],tblBudget[Month],$E46)</f>
        <v/>
      </c>
      <c r="KS46" s="57">
        <f>$KR46*$C46/$D46</f>
        <v/>
      </c>
      <c r="KT46" s="57">
        <f>SUMIFS(tblBudget[Hours_Worked],tblBudget[Month],"&lt;"&amp;$E46)+$KS46</f>
        <v/>
      </c>
    </row>
    <row r="47">
      <c r="A47" s="54" t="n">
        <v>46068</v>
      </c>
      <c r="B47">
        <f>MONTH($A47)</f>
        <v/>
      </c>
      <c r="C47">
        <f>DAY($A47)</f>
        <v/>
      </c>
      <c r="D47">
        <f>DAY(EOMONTH($A47,0))</f>
        <v/>
      </c>
      <c r="E47" s="54">
        <f>DATE(YEAR($A47),MONTH($A47),1)</f>
        <v/>
      </c>
      <c r="F47" s="55">
        <f>SUMIFS(tblMovement[Tonnes_t],tblMovement[Date],$A47,tblMovement[Is_Ore],1,tblMovement[Source_Type],"Pit")</f>
        <v/>
      </c>
      <c r="G47" s="55">
        <f>IF($B47=$B46,$G46,0)+$F47</f>
        <v/>
      </c>
      <c r="H47" s="55">
        <f>$H46+$F47</f>
        <v/>
      </c>
      <c r="I47" s="55">
        <f>SUMIFS(tblMovement[Ore_oz],tblMovement[Date],$A47,tblMovement[Source_Type],"Pit")</f>
        <v/>
      </c>
      <c r="J47" s="55">
        <f>IF($B47=$B46,$J46,0)+$I47</f>
        <v/>
      </c>
      <c r="K47" s="55">
        <f>$K46+$I47</f>
        <v/>
      </c>
      <c r="L47" s="55">
        <f>SUMIFS(tblMovement[Tonnes_t],tblMovement[Date],$A47,tblMovement[Is_Ore],1,tblMovement[Source_Type],"Pit",tblMovement[Grade_gpt],"&lt;&gt;")</f>
        <v/>
      </c>
      <c r="M47" s="55">
        <f>IF($B47=$B46,$M46,0)+$L47</f>
        <v/>
      </c>
      <c r="N47" s="55">
        <f>$N46+$L47</f>
        <v/>
      </c>
      <c r="O47" s="56">
        <f>IFERROR(IF(($L47)&gt;0,($I47*cfg_TroyOz)/($L47),""),"")</f>
        <v/>
      </c>
      <c r="P47" s="56">
        <f>IFERROR(IF(($M47)&gt;0,($J47*cfg_TroyOz)/($M47),""),"")</f>
        <v/>
      </c>
      <c r="Q47" s="56">
        <f>IFERROR(IF(($N47)&gt;0,($K47*cfg_TroyOz)/($N47),""),"")</f>
        <v/>
      </c>
      <c r="R47" s="55">
        <f>$F47-$L47</f>
        <v/>
      </c>
      <c r="S47" s="55">
        <f>IF($B47=$B46,$S46,0)+$R47</f>
        <v/>
      </c>
      <c r="T47" s="55">
        <f>$T46+$R47</f>
        <v/>
      </c>
      <c r="U47" s="55">
        <f>SUMIFS(tblMovement[Tonnes_t],tblMovement[Date],$A47,tblMovement[Is_Ore],0,tblMovement[Source_Type],"Pit")</f>
        <v/>
      </c>
      <c r="V47" s="55">
        <f>IF($B47=$B46,$V46,0)+$U47</f>
        <v/>
      </c>
      <c r="W47" s="55">
        <f>$W46+$U47</f>
        <v/>
      </c>
      <c r="X47" s="55">
        <f>$F47+$U47</f>
        <v/>
      </c>
      <c r="Y47" s="55">
        <f>IF($B47=$B46,$Y46,0)+$X47</f>
        <v/>
      </c>
      <c r="Z47" s="55">
        <f>$Z46+$X47</f>
        <v/>
      </c>
      <c r="AA47" s="56">
        <f>IFERROR(IF(($F47)&gt;0,($U47)/($F47),""),"")</f>
        <v/>
      </c>
      <c r="AB47" s="56">
        <f>IFERROR(IF(($G47)&gt;0,($V47)/($G47),""),"")</f>
        <v/>
      </c>
      <c r="AC47" s="56">
        <f>IFERROR(IF(($H47)&gt;0,($W47)/($H47),""),"")</f>
        <v/>
      </c>
      <c r="AD47" s="55">
        <f>SUMIFS(tblMovement[Tonnes_t],tblMovement[Date],$A47,tblMovement[Source_Type],"Stockpile")</f>
        <v/>
      </c>
      <c r="AE47" s="55">
        <f>IF($B47=$B46,$AE46,0)+$AD47</f>
        <v/>
      </c>
      <c r="AF47" s="55">
        <f>$AF46+$AD47</f>
        <v/>
      </c>
      <c r="AG47" s="55">
        <f>SUMIFS(tblMovement[Tonnes_t],tblMovement[Date],$A47)</f>
        <v/>
      </c>
      <c r="AH47" s="55">
        <f>IF($B47=$B46,$AH46,0)+$AG47</f>
        <v/>
      </c>
      <c r="AI47" s="55">
        <f>$AI46+$AG47</f>
        <v/>
      </c>
      <c r="AJ47" s="55">
        <f>$AG47-$X47-$AD47</f>
        <v/>
      </c>
      <c r="AK47" s="55">
        <f>IF($B47=$B46,$AK46,0)+$AJ47</f>
        <v/>
      </c>
      <c r="AL47" s="55">
        <f>$AL46+$AJ47</f>
        <v/>
      </c>
      <c r="AM47" s="55">
        <f>SUMIFS(tblMiningDaily[Drill_m],tblMiningDaily[Date],$A47)</f>
        <v/>
      </c>
      <c r="AN47" s="55">
        <f>IF($B47=$B46,$AN46,0)+$AM47</f>
        <v/>
      </c>
      <c r="AO47" s="55">
        <f>$AO46+$AM47</f>
        <v/>
      </c>
      <c r="AP47" s="55">
        <f>SUMIFS(tblMiningDaily[GC_Drill_m],tblMiningDaily[Date],$A47)</f>
        <v/>
      </c>
      <c r="AQ47" s="55">
        <f>IF($B47=$B46,$AQ46,0)+$AP47</f>
        <v/>
      </c>
      <c r="AR47" s="55">
        <f>$AR46+$AP47</f>
        <v/>
      </c>
      <c r="AS47" s="55">
        <f>SUMIFS(tblMiningDaily[Blast_t],tblMiningDaily[Date],$A47)</f>
        <v/>
      </c>
      <c r="AT47" s="55">
        <f>IF($B47=$B46,$AT46,0)+$AS47</f>
        <v/>
      </c>
      <c r="AU47" s="55">
        <f>$AU46+$AS47</f>
        <v/>
      </c>
      <c r="AV47" s="55">
        <f>SUMIFS(tblMiningDaily[Explosives_kg],tblMiningDaily[Date],$A47)</f>
        <v/>
      </c>
      <c r="AW47" s="55">
        <f>IF($B47=$B46,$AW46,0)+$AV47</f>
        <v/>
      </c>
      <c r="AX47" s="55">
        <f>$AX46+$AV47</f>
        <v/>
      </c>
      <c r="AY47" s="56">
        <f>IFERROR(IF(($AS47)&gt;0,($AV47)/($AS47),""),"")</f>
        <v/>
      </c>
      <c r="AZ47" s="56">
        <f>IFERROR(IF(($AT47)&gt;0,($AW47)/($AT47),""),"")</f>
        <v/>
      </c>
      <c r="BA47" s="56">
        <f>IFERROR(IF(($AU47)&gt;0,($AX47)/($AU47),""),"")</f>
        <v/>
      </c>
      <c r="BB47" s="55">
        <f>SUMIFS(tblMiningDaily[Diesel_L],tblMiningDaily[Date],$A47)</f>
        <v/>
      </c>
      <c r="BC47" s="55">
        <f>IF($B47=$B46,$BC46,0)+$BB47</f>
        <v/>
      </c>
      <c r="BD47" s="55">
        <f>$BD46+$BB47</f>
        <v/>
      </c>
      <c r="BE47" s="55">
        <f>SUMIFS(tblMiningDaily[Dewatering_m3],tblMiningDaily[Date],$A47)</f>
        <v/>
      </c>
      <c r="BF47" s="55">
        <f>IF($B47=$B46,$BF46,0)+$BE47</f>
        <v/>
      </c>
      <c r="BG47" s="55">
        <f>$BG46+$BE47</f>
        <v/>
      </c>
      <c r="BH47" s="57">
        <f>SUMIFS(tblFleet[Calendar_h],tblFleet[Date],$A47,tblFleet[Equipment_Class],"Excavator")</f>
        <v/>
      </c>
      <c r="BI47" s="57">
        <f>IF($B47=$B46,$BI46,0)+$BH47</f>
        <v/>
      </c>
      <c r="BJ47" s="57">
        <f>$BJ46+$BH47</f>
        <v/>
      </c>
      <c r="BK47" s="57">
        <f>SUMIFS(tblFleet[Available_h],tblFleet[Date],$A47,tblFleet[Equipment_Class],"Excavator")</f>
        <v/>
      </c>
      <c r="BL47" s="57">
        <f>IF($B47=$B46,$BL46,0)+$BK47</f>
        <v/>
      </c>
      <c r="BM47" s="57">
        <f>$BM46+$BK47</f>
        <v/>
      </c>
      <c r="BN47" s="57">
        <f>SUMIFS(tblFleet[Operating_h],tblFleet[Date],$A47,tblFleet[Equipment_Class],"Excavator")</f>
        <v/>
      </c>
      <c r="BO47" s="57">
        <f>IF($B47=$B46,$BO46,0)+$BN47</f>
        <v/>
      </c>
      <c r="BP47" s="57">
        <f>$BP46+$BN47</f>
        <v/>
      </c>
      <c r="BQ47" s="67">
        <f>IFERROR(IF(($BH47)&gt;0,($BK47)/($BH47),""),"")</f>
        <v/>
      </c>
      <c r="BR47" s="67">
        <f>IFERROR(IF(($BI47)&gt;0,($BL47)/($BI47),""),"")</f>
        <v/>
      </c>
      <c r="BS47" s="67">
        <f>IFERROR(IF(($BJ47)&gt;0,($BM47)/($BJ47),""),"")</f>
        <v/>
      </c>
      <c r="BT47" s="67">
        <f>IFERROR(IF(($BK47)&gt;0,($BN47)/($BK47),""),"")</f>
        <v/>
      </c>
      <c r="BU47" s="67">
        <f>IFERROR(IF(($BL47)&gt;0,($BO47)/($BL47),""),"")</f>
        <v/>
      </c>
      <c r="BV47" s="67">
        <f>IFERROR(IF(($BM47)&gt;0,($BP47)/($BM47),""),"")</f>
        <v/>
      </c>
      <c r="BW47" s="57">
        <f>SUMIFS(tblFleet[Calendar_h],tblFleet[Date],$A47,tblFleet[Equipment_Class],"Haul Truck")</f>
        <v/>
      </c>
      <c r="BX47" s="57">
        <f>IF($B47=$B46,$BX46,0)+$BW47</f>
        <v/>
      </c>
      <c r="BY47" s="57">
        <f>$BY46+$BW47</f>
        <v/>
      </c>
      <c r="BZ47" s="57">
        <f>SUMIFS(tblFleet[Available_h],tblFleet[Date],$A47,tblFleet[Equipment_Class],"Haul Truck")</f>
        <v/>
      </c>
      <c r="CA47" s="57">
        <f>IF($B47=$B46,$CA46,0)+$BZ47</f>
        <v/>
      </c>
      <c r="CB47" s="57">
        <f>$CB46+$BZ47</f>
        <v/>
      </c>
      <c r="CC47" s="57">
        <f>SUMIFS(tblFleet[Operating_h],tblFleet[Date],$A47,tblFleet[Equipment_Class],"Haul Truck")</f>
        <v/>
      </c>
      <c r="CD47" s="57">
        <f>IF($B47=$B46,$CD46,0)+$CC47</f>
        <v/>
      </c>
      <c r="CE47" s="57">
        <f>$CE46+$CC47</f>
        <v/>
      </c>
      <c r="CF47" s="67">
        <f>IFERROR(IF(($BW47)&gt;0,($BZ47)/($BW47),""),"")</f>
        <v/>
      </c>
      <c r="CG47" s="67">
        <f>IFERROR(IF(($BX47)&gt;0,($CA47)/($BX47),""),"")</f>
        <v/>
      </c>
      <c r="CH47" s="67">
        <f>IFERROR(IF(($BY47)&gt;0,($CB47)/($BY47),""),"")</f>
        <v/>
      </c>
      <c r="CI47" s="67">
        <f>IFERROR(IF(($BZ47)&gt;0,($CC47)/($BZ47),""),"")</f>
        <v/>
      </c>
      <c r="CJ47" s="67">
        <f>IFERROR(IF(($CA47)&gt;0,($CD47)/($CA47),""),"")</f>
        <v/>
      </c>
      <c r="CK47" s="67">
        <f>IFERROR(IF(($CB47)&gt;0,($CE47)/($CB47),""),"")</f>
        <v/>
      </c>
      <c r="CL47" s="55">
        <f>IFERROR(IF(($BN47)&gt;0,($X47+$AD47)/($BN47),""),"")</f>
        <v/>
      </c>
      <c r="CM47" s="55">
        <f>IFERROR(IF(($BO47)&gt;0,($Y47+$AE47)/($BO47),""),"")</f>
        <v/>
      </c>
      <c r="CN47" s="55">
        <f>IFERROR(IF(($BP47)&gt;0,($Z47+$AF47)/($BP47),""),"")</f>
        <v/>
      </c>
      <c r="CO47" s="55">
        <f>IFERROR(IF(($CC47)&gt;0,($X47+$AD47)/($CC47),""),"")</f>
        <v/>
      </c>
      <c r="CP47" s="55">
        <f>IFERROR(IF(($CD47)&gt;0,($Y47+$AE47)/($CD47),""),"")</f>
        <v/>
      </c>
      <c r="CQ47" s="55">
        <f>IFERROR(IF(($CE47)&gt;0,($Z47+$AF47)/($CE47),""),"")</f>
        <v/>
      </c>
      <c r="CR47" s="55">
        <f>SUMIFS(tblPlant[Crushed_t],tblPlant[Date],$A47)</f>
        <v/>
      </c>
      <c r="CS47" s="55">
        <f>IF($B47=$B46,$CS46,0)+$CR47</f>
        <v/>
      </c>
      <c r="CT47" s="55">
        <f>$CT46+$CR47</f>
        <v/>
      </c>
      <c r="CU47" s="55">
        <f>SUMIFS(tblPlant[Milled_t],tblPlant[Date],$A47)</f>
        <v/>
      </c>
      <c r="CV47" s="55">
        <f>IF($B47=$B46,$CV46,0)+$CU47</f>
        <v/>
      </c>
      <c r="CW47" s="55">
        <f>$CW46+$CU47</f>
        <v/>
      </c>
      <c r="CX47" s="55">
        <f>SUMIFS(tblPlant[Feed_oz],tblPlant[Date],$A47)</f>
        <v/>
      </c>
      <c r="CY47" s="55">
        <f>IF($B47=$B46,$CY46,0)+$CX47</f>
        <v/>
      </c>
      <c r="CZ47" s="55">
        <f>$CZ46+$CX47</f>
        <v/>
      </c>
      <c r="DA47" s="55">
        <f>SUMIFS(tblPlant[Tails_oz],tblPlant[Date],$A47)</f>
        <v/>
      </c>
      <c r="DB47" s="55">
        <f>IF($B47=$B46,$DB46,0)+$DA47</f>
        <v/>
      </c>
      <c r="DC47" s="55">
        <f>$DC46+$DA47</f>
        <v/>
      </c>
      <c r="DD47" s="55">
        <f>SUMIFS(tblPlant[Recovered_oz],tblPlant[Date],$A47)</f>
        <v/>
      </c>
      <c r="DE47" s="55">
        <f>IF($B47=$B46,$DE46,0)+$DD47</f>
        <v/>
      </c>
      <c r="DF47" s="55">
        <f>$DF46+$DD47</f>
        <v/>
      </c>
      <c r="DG47" s="55">
        <f>SUMIFS(tblPlant[Milled_t],tblPlant[Date],$A47,tblPlant[Head_Grade_gpt],"&lt;&gt;")</f>
        <v/>
      </c>
      <c r="DH47" s="55">
        <f>IF($B47=$B46,$DH46,0)+$DG47</f>
        <v/>
      </c>
      <c r="DI47" s="55">
        <f>$DI46+$DG47</f>
        <v/>
      </c>
      <c r="DJ47" s="55">
        <f>SUMIFS(tblPlant[Milled_t],tblPlant[Date],$A47,tblPlant[Tails_Grade_gpt],"&lt;&gt;")</f>
        <v/>
      </c>
      <c r="DK47" s="55">
        <f>IF($B47=$B46,$DK46,0)+$DJ47</f>
        <v/>
      </c>
      <c r="DL47" s="55">
        <f>$DL46+$DJ47</f>
        <v/>
      </c>
      <c r="DM47" s="55">
        <f>SUMIFS(tblPlant[Feed_oz],tblPlant[Date],$A47,tblPlant[Tails_Grade_gpt],"&lt;&gt;")</f>
        <v/>
      </c>
      <c r="DN47" s="55">
        <f>IF($B47=$B46,$DN46,0)+$DM47</f>
        <v/>
      </c>
      <c r="DO47" s="55">
        <f>$DO46+$DM47</f>
        <v/>
      </c>
      <c r="DP47" s="55">
        <f>SUMIFS(tblPlant[Milled_t],tblPlant[Date],$A47,tblPlant[Mill_Run_h],"&lt;&gt;")</f>
        <v/>
      </c>
      <c r="DQ47" s="55">
        <f>IF($B47=$B46,$DQ46,0)+$DP47</f>
        <v/>
      </c>
      <c r="DR47" s="55">
        <f>$DR46+$DP47</f>
        <v/>
      </c>
      <c r="DS47" s="56">
        <f>IFERROR(IF(($DG47)&gt;0,($CX47*cfg_TroyOz)/($DG47),""),"")</f>
        <v/>
      </c>
      <c r="DT47" s="56">
        <f>IFERROR(IF(($DH47)&gt;0,($CY47*cfg_TroyOz)/($DH47),""),"")</f>
        <v/>
      </c>
      <c r="DU47" s="56">
        <f>IFERROR(IF(($DI47)&gt;0,($CZ47*cfg_TroyOz)/($DI47),""),"")</f>
        <v/>
      </c>
      <c r="DV47" s="56">
        <f>IFERROR(IF(($DJ47)&gt;0,($DA47*cfg_TroyOz)/($DJ47),""),"")</f>
        <v/>
      </c>
      <c r="DW47" s="56">
        <f>IFERROR(IF(($DK47)&gt;0,($DB47*cfg_TroyOz)/($DK47),""),"")</f>
        <v/>
      </c>
      <c r="DX47" s="56">
        <f>IFERROR(IF(($DL47)&gt;0,($DC47*cfg_TroyOz)/($DL47),""),"")</f>
        <v/>
      </c>
      <c r="DY47" s="67">
        <f>IFERROR(IF(($DM47)&gt;0,($DD47)/($DM47),""),"")</f>
        <v/>
      </c>
      <c r="DZ47" s="67">
        <f>IFERROR(IF(($DN47)&gt;0,($DE47)/($DN47),""),"")</f>
        <v/>
      </c>
      <c r="EA47" s="67">
        <f>IFERROR(IF(($DO47)&gt;0,($DF47)/($DO47),""),"")</f>
        <v/>
      </c>
      <c r="EB47" s="55">
        <f>SUMIFS(tblPlant[Gravity_Gold_oz],tblPlant[Date],$A47)</f>
        <v/>
      </c>
      <c r="EC47" s="55">
        <f>IF($B47=$B46,$EC46,0)+$EB47</f>
        <v/>
      </c>
      <c r="ED47" s="55">
        <f>$ED46+$EB47</f>
        <v/>
      </c>
      <c r="EE47" s="67">
        <f>IFERROR(IF(($DD47)&gt;0,($EB47)/($DD47),""),"")</f>
        <v/>
      </c>
      <c r="EF47" s="67">
        <f>IFERROR(IF(($DE47)&gt;0,($EC47)/($DE47),""),"")</f>
        <v/>
      </c>
      <c r="EG47" s="67">
        <f>IFERROR(IF(($DF47)&gt;0,($ED47)/($DF47),""),"")</f>
        <v/>
      </c>
      <c r="EH47" s="55">
        <f>SUMIFS(tblPlant[Gold_Poured_oz],tblPlant[Date],$A47)</f>
        <v/>
      </c>
      <c r="EI47" s="55">
        <f>IF($B47=$B46,$EI46,0)+$EH47</f>
        <v/>
      </c>
      <c r="EJ47" s="55">
        <f>$EJ46+$EH47</f>
        <v/>
      </c>
      <c r="EK47" s="57">
        <f>SUMIFS(tblPlant[Mill_Run_h],tblPlant[Date],$A47)</f>
        <v/>
      </c>
      <c r="EL47" s="57">
        <f>IF($B47=$B46,$EL46,0)+$EK47</f>
        <v/>
      </c>
      <c r="EM47" s="57">
        <f>$EM46+$EK47</f>
        <v/>
      </c>
      <c r="EN47" s="57">
        <f>SUMIFS(tblPlant[Mill_Planned_Maint_h],tblPlant[Date],$A47)</f>
        <v/>
      </c>
      <c r="EO47" s="57">
        <f>IF($B47=$B46,$EO46,0)+$EN47</f>
        <v/>
      </c>
      <c r="EP47" s="57">
        <f>$EP46+$EN47</f>
        <v/>
      </c>
      <c r="EQ47" s="57">
        <f>SUMIFS(tblPlant[Mill_Unplanned_Down_h],tblPlant[Date],$A47)</f>
        <v/>
      </c>
      <c r="ER47" s="57">
        <f>IF($B47=$B46,$ER46,0)+$EQ47</f>
        <v/>
      </c>
      <c r="ES47" s="57">
        <f>$ES46+$EQ47</f>
        <v/>
      </c>
      <c r="ET47" s="57">
        <f>IF(COUNTIFS(tblPlant[Date],$A47,tblPlant[Mill_Run_h],"&lt;&gt;")+COUNTIFS(tblPlant[Date],$A47,tblPlant[Mill_Planned_Maint_h],"&lt;&gt;")+COUNTIFS(tblPlant[Date],$A47,tblPlant[Mill_Unplanned_Down_h],"&lt;&gt;")&gt;0,cfg_HoursPerDay,0)</f>
        <v/>
      </c>
      <c r="EU47" s="57">
        <f>IF($B47=$B46,$EU46,0)+$ET47</f>
        <v/>
      </c>
      <c r="EV47" s="57">
        <f>$EV46+$ET47</f>
        <v/>
      </c>
      <c r="EW47" s="57">
        <f>SUMIFS(tblPlant[Crusher_Run_h],tblPlant[Date],$A47)</f>
        <v/>
      </c>
      <c r="EX47" s="57">
        <f>IF($B47=$B46,$EX46,0)+$EW47</f>
        <v/>
      </c>
      <c r="EY47" s="57">
        <f>$EY46+$EW47</f>
        <v/>
      </c>
      <c r="EZ47" s="55">
        <f>IFERROR(IF(($EK47)&gt;0,($DP47)/($EK47),""),"")</f>
        <v/>
      </c>
      <c r="FA47" s="55">
        <f>IFERROR(IF(($EL47)&gt;0,($DQ47)/($EL47),""),"")</f>
        <v/>
      </c>
      <c r="FB47" s="55">
        <f>IFERROR(IF(($EM47)&gt;0,($DR47)/($EM47),""),"")</f>
        <v/>
      </c>
      <c r="FC47" s="67">
        <f>IFERROR(IF(($ET47)&gt;0,($ET47-$EN47-$EQ47)/($ET47),""),"")</f>
        <v/>
      </c>
      <c r="FD47" s="67">
        <f>IFERROR(IF(($EU47)&gt;0,($EU47-$EO47-$ER47)/($EU47),""),"")</f>
        <v/>
      </c>
      <c r="FE47" s="67">
        <f>IFERROR(IF(($EV47)&gt;0,($EV47-$EP47-$ES47)/($EV47),""),"")</f>
        <v/>
      </c>
      <c r="FF47" s="67">
        <f>IFERROR(IF(($ET47-$EN47-$EQ47)&gt;0,($EK47)/($ET47-$EN47-$EQ47),""),"")</f>
        <v/>
      </c>
      <c r="FG47" s="67">
        <f>IFERROR(IF(($EU47-$EO47-$ER47)&gt;0,($EL47)/($EU47-$EO47-$ER47),""),"")</f>
        <v/>
      </c>
      <c r="FH47" s="67">
        <f>IFERROR(IF(($EV47-$EP47-$ES47)&gt;0,($EM47)/($EV47-$EP47-$ES47),""),"")</f>
        <v/>
      </c>
      <c r="FI47" s="55">
        <f>SUMIFS(tblPlant[Cyanide_kg],tblPlant[Date],$A47)</f>
        <v/>
      </c>
      <c r="FJ47" s="55">
        <f>IF($B47=$B46,$FJ46,0)+$FI47</f>
        <v/>
      </c>
      <c r="FK47" s="55">
        <f>$FK46+$FI47</f>
        <v/>
      </c>
      <c r="FL47" s="55">
        <f>SUMIFS(tblPlant[Lime_kg],tblPlant[Date],$A47)</f>
        <v/>
      </c>
      <c r="FM47" s="55">
        <f>IF($B47=$B46,$FM46,0)+$FL47</f>
        <v/>
      </c>
      <c r="FN47" s="55">
        <f>$FN46+$FL47</f>
        <v/>
      </c>
      <c r="FO47" s="55">
        <f>SUMIFS(tblPlant[Grinding_Media_kg],tblPlant[Date],$A47)</f>
        <v/>
      </c>
      <c r="FP47" s="55">
        <f>IF($B47=$B46,$FP46,0)+$FO47</f>
        <v/>
      </c>
      <c r="FQ47" s="55">
        <f>$FQ46+$FO47</f>
        <v/>
      </c>
      <c r="FR47" s="55">
        <f>SUMIFS(tblPlant[Power_kWh],tblPlant[Date],$A47)</f>
        <v/>
      </c>
      <c r="FS47" s="55">
        <f>IF($B47=$B46,$FS46,0)+$FR47</f>
        <v/>
      </c>
      <c r="FT47" s="55">
        <f>$FT46+$FR47</f>
        <v/>
      </c>
      <c r="FU47" s="55">
        <f>SUMIFS(tblPlant[Raw_Water_m3],tblPlant[Date],$A47)</f>
        <v/>
      </c>
      <c r="FV47" s="55">
        <f>IF($B47=$B46,$FV46,0)+$FU47</f>
        <v/>
      </c>
      <c r="FW47" s="55">
        <f>$FW46+$FU47</f>
        <v/>
      </c>
      <c r="FX47" s="56">
        <f>IFERROR(IF(($CU47)&gt;0,($FI47)/($CU47),""),"")</f>
        <v/>
      </c>
      <c r="FY47" s="56">
        <f>IFERROR(IF(($CV47)&gt;0,($FJ47)/($CV47),""),"")</f>
        <v/>
      </c>
      <c r="FZ47" s="56">
        <f>IFERROR(IF(($CW47)&gt;0,($FK47)/($CW47),""),"")</f>
        <v/>
      </c>
      <c r="GA47" s="56">
        <f>IFERROR(IF(($CU47)&gt;0,($FL47)/($CU47),""),"")</f>
        <v/>
      </c>
      <c r="GB47" s="56">
        <f>IFERROR(IF(($CV47)&gt;0,($FM47)/($CV47),""),"")</f>
        <v/>
      </c>
      <c r="GC47" s="56">
        <f>IFERROR(IF(($CW47)&gt;0,($FN47)/($CW47),""),"")</f>
        <v/>
      </c>
      <c r="GD47" s="56">
        <f>IFERROR(IF(($CU47)&gt;0,($FO47)/($CU47),""),"")</f>
        <v/>
      </c>
      <c r="GE47" s="56">
        <f>IFERROR(IF(($CV47)&gt;0,($FP47)/($CV47),""),"")</f>
        <v/>
      </c>
      <c r="GF47" s="56">
        <f>IFERROR(IF(($CW47)&gt;0,($FQ47)/($CW47),""),"")</f>
        <v/>
      </c>
      <c r="GG47" s="79">
        <f>IFERROR(IF(($CU47)&gt;0,($FR47)/($CU47),""),"")</f>
        <v/>
      </c>
      <c r="GH47" s="79">
        <f>IFERROR(IF(($CV47)&gt;0,($FS47)/($CV47),""),"")</f>
        <v/>
      </c>
      <c r="GI47" s="79">
        <f>IFERROR(IF(($CW47)&gt;0,($FT47)/($CW47),""),"")</f>
        <v/>
      </c>
      <c r="GJ47" s="56">
        <f>IFERROR(IF(($CU47)&gt;0,($FU47)/($CU47),""),"")</f>
        <v/>
      </c>
      <c r="GK47" s="56">
        <f>IFERROR(IF(($CV47)&gt;0,($FV47)/($CV47),""),"")</f>
        <v/>
      </c>
      <c r="GL47" s="56">
        <f>IFERROR(IF(($CW47)&gt;0,($FW47)/($CW47),""),"")</f>
        <v/>
      </c>
      <c r="GM47" s="55">
        <f>IF(SUMIFS(tblPlant[GIC_oz],tblPlant[Date],$A47)&gt;0,SUMIFS(tblPlant[GIC_oz],tblPlant[Date],$A47),"")</f>
        <v/>
      </c>
      <c r="GN47" s="55">
        <f>SUMIFS(tblGold[Gold_oz],tblGold[Date],$A47,tblGold[Type],"Shipment")</f>
        <v/>
      </c>
      <c r="GO47" s="55">
        <f>IF($B47=$B46,$GO46,0)+$GN47</f>
        <v/>
      </c>
      <c r="GP47" s="55">
        <f>$GP46+$GN47</f>
        <v/>
      </c>
      <c r="GQ47" s="55">
        <f>SUMIFS(tblGold[Gold_oz],tblGold[Date],$A47,tblGold[Type],"Sale")</f>
        <v/>
      </c>
      <c r="GR47" s="55">
        <f>IF($B47=$B46,$GR46,0)+$GQ47</f>
        <v/>
      </c>
      <c r="GS47" s="55">
        <f>$GS46+$GQ47</f>
        <v/>
      </c>
      <c r="GT47" s="55">
        <f>SUMIFS(tblGold[Dore_kg],tblGold[Date],$A47,tblGold[Type],"Shipment")</f>
        <v/>
      </c>
      <c r="GU47" s="55">
        <f>IF($B47=$B46,$GU46,0)+$GT47</f>
        <v/>
      </c>
      <c r="GV47" s="55">
        <f>$GV46+$GT47</f>
        <v/>
      </c>
      <c r="GW47" s="57">
        <f>SUMIFS(tblSafety[Hours_Total],tblSafety[Date],$A47)</f>
        <v/>
      </c>
      <c r="GX47" s="57">
        <f>IF($B47=$B46,$GX46,0)+$GW47</f>
        <v/>
      </c>
      <c r="GY47" s="57">
        <f>$GY46+$GW47</f>
        <v/>
      </c>
      <c r="GZ47" s="62">
        <f>SUMIFS(tblSafety[Fatality],tblSafety[Date],$A47)</f>
        <v/>
      </c>
      <c r="HA47" s="62">
        <f>IF($B47=$B46,$HA46,0)+$GZ47</f>
        <v/>
      </c>
      <c r="HB47" s="62">
        <f>$HB46+$GZ47</f>
        <v/>
      </c>
      <c r="HC47" s="62">
        <f>SUMIFS(tblSafety[LTI],tblSafety[Date],$A47)</f>
        <v/>
      </c>
      <c r="HD47" s="62">
        <f>IF($B47=$B46,$HD46,0)+$HC47</f>
        <v/>
      </c>
      <c r="HE47" s="62">
        <f>$HE46+$HC47</f>
        <v/>
      </c>
      <c r="HF47" s="62">
        <f>SUMIFS(tblSafety[RWI],tblSafety[Date],$A47)</f>
        <v/>
      </c>
      <c r="HG47" s="62">
        <f>IF($B47=$B46,$HG46,0)+$HF47</f>
        <v/>
      </c>
      <c r="HH47" s="62">
        <f>$HH46+$HF47</f>
        <v/>
      </c>
      <c r="HI47" s="62">
        <f>SUMIFS(tblSafety[MTI],tblSafety[Date],$A47)</f>
        <v/>
      </c>
      <c r="HJ47" s="62">
        <f>IF($B47=$B46,$HJ46,0)+$HI47</f>
        <v/>
      </c>
      <c r="HK47" s="62">
        <f>$HK46+$HI47</f>
        <v/>
      </c>
      <c r="HL47" s="62">
        <f>SUMIFS(tblSafety[FAI],tblSafety[Date],$A47)</f>
        <v/>
      </c>
      <c r="HM47" s="62">
        <f>IF($B47=$B46,$HM46,0)+$HL47</f>
        <v/>
      </c>
      <c r="HN47" s="62">
        <f>$HN46+$HL47</f>
        <v/>
      </c>
      <c r="HO47" s="62">
        <f>SUMIFS(tblSafety[Recordables],tblSafety[Date],$A47)</f>
        <v/>
      </c>
      <c r="HP47" s="62">
        <f>IF($B47=$B46,$HP46,0)+$HO47</f>
        <v/>
      </c>
      <c r="HQ47" s="62">
        <f>$HQ46+$HO47</f>
        <v/>
      </c>
      <c r="HR47" s="62">
        <f>SUMIFS(tblSafety[Near_Miss],tblSafety[Date],$A47)</f>
        <v/>
      </c>
      <c r="HS47" s="62">
        <f>IF($B47=$B46,$HS46,0)+$HR47</f>
        <v/>
      </c>
      <c r="HT47" s="62">
        <f>$HT46+$HR47</f>
        <v/>
      </c>
      <c r="HU47" s="62">
        <f>SUMIFS(tblSafety[Hazard_Reports],tblSafety[Date],$A47)</f>
        <v/>
      </c>
      <c r="HV47" s="62">
        <f>IF($B47=$B46,$HV46,0)+$HU47</f>
        <v/>
      </c>
      <c r="HW47" s="62">
        <f>$HW46+$HU47</f>
        <v/>
      </c>
      <c r="HX47" s="62">
        <f>SUMIFS(tblSafety[HPI],tblSafety[Date],$A47)</f>
        <v/>
      </c>
      <c r="HY47" s="62">
        <f>IF($B47=$B46,$HY46,0)+$HX47</f>
        <v/>
      </c>
      <c r="HZ47" s="62">
        <f>$HZ46+$HX47</f>
        <v/>
      </c>
      <c r="IA47" s="62">
        <f>SUMIFS(tblSafety[Env_Incidents],tblSafety[Date],$A47)</f>
        <v/>
      </c>
      <c r="IB47" s="62">
        <f>IF($B47=$B46,$IB46,0)+$IA47</f>
        <v/>
      </c>
      <c r="IC47" s="62">
        <f>$IC46+$IA47</f>
        <v/>
      </c>
      <c r="ID47" s="62">
        <f>SUMIFS(tblSafety[Community_Incidents],tblSafety[Date],$A47)</f>
        <v/>
      </c>
      <c r="IE47" s="62">
        <f>IF($B47=$B46,$IE46,0)+$ID47</f>
        <v/>
      </c>
      <c r="IF47" s="62">
        <f>$IF46+$ID47</f>
        <v/>
      </c>
      <c r="IG47" s="62">
        <f>SUMIFS(tblSafety[Vehicle_Incidents],tblSafety[Date],$A47)</f>
        <v/>
      </c>
      <c r="IH47" s="62">
        <f>IF($B47=$B46,$IH46,0)+$IG47</f>
        <v/>
      </c>
      <c r="II47" s="62">
        <f>$II46+$IG47</f>
        <v/>
      </c>
      <c r="IJ47" s="62">
        <f>SUMIFS(tblSafety[Toolbox_Talks],tblSafety[Date],$A47)</f>
        <v/>
      </c>
      <c r="IK47" s="62">
        <f>IF($B47=$B46,$IK46,0)+$IJ47</f>
        <v/>
      </c>
      <c r="IL47" s="62">
        <f>$IL46+$IJ47</f>
        <v/>
      </c>
      <c r="IM47" s="62">
        <f>SUMIFS(tblSafety[Inspections],tblSafety[Date],$A47)</f>
        <v/>
      </c>
      <c r="IN47" s="62">
        <f>IF($B47=$B46,$IN46,0)+$IM47</f>
        <v/>
      </c>
      <c r="IO47" s="62">
        <f>$IO46+$IM47</f>
        <v/>
      </c>
      <c r="IP47" s="56">
        <f>IFERROR((SUMIFS(tblSafety[Recordables],tblSafety[Date],"&gt;="&amp;EDATE($E47,-12),tblSafety[Date],"&lt;="&amp;$A47)+SUMIFS(tblSafetyHistory[Recordables],tblSafetyHistory[Month],"&gt;="&amp;EDATE($E47,-12),tblSafetyHistory[Month],"&lt;"&amp;$E47,tblSafetyHistory[Use],1))/(SUMIFS(tblSafety[Hours_Total],tblSafety[Date],"&gt;="&amp;EDATE($E47,-12),tblSafety[Date],"&lt;="&amp;$A47)+SUMIFS(tblSafetyHistory[Hours_Total],tblSafetyHistory[Month],"&gt;="&amp;EDATE($E47,-12),tblSafetyHistory[Month],"&lt;"&amp;$E47,tblSafetyHistory[Use],1))*cfg_RateBasisHours,"")</f>
        <v/>
      </c>
      <c r="IQ47" s="56">
        <f>IFERROR((SUMIFS(tblSafety[LTI],tblSafety[Date],"&gt;="&amp;EDATE($E47,-12),tblSafety[Date],"&lt;="&amp;$A47)+SUMIFS(tblSafetyHistory[LTI],tblSafetyHistory[Month],"&gt;="&amp;EDATE($E47,-12),tblSafetyHistory[Month],"&lt;"&amp;$E47,tblSafetyHistory[Use],1))/(SUMIFS(tblSafety[Hours_Total],tblSafety[Date],"&gt;="&amp;EDATE($E47,-12),tblSafety[Date],"&lt;="&amp;$A47)+SUMIFS(tblSafetyHistory[Hours_Total],tblSafetyHistory[Month],"&gt;="&amp;EDATE($E47,-12),tblSafetyHistory[Month],"&lt;"&amp;$E47,tblSafetyHistory[Use],1))*cfg_RateBasisHours,"")</f>
        <v/>
      </c>
      <c r="IR47" s="62">
        <f>IF(MAX(N(cfg_PriorLTIDate),_xlfn.MAXIFS(tblSafety[Date],tblSafety[LTI],"&gt;0",tblSafety[Date],"&lt;="&amp;$A47))=0,"",$A47-MAX(N(cfg_PriorLTIDate),_xlfn.MAXIFS(tblSafety[Date],tblSafety[LTI],"&gt;0",tblSafety[Date],"&lt;="&amp;$A47)))</f>
        <v/>
      </c>
      <c r="IS47" s="55">
        <f>SUMIFS(tblBudget[Ore_Mined_t],tblBudget[Month],$E47)</f>
        <v/>
      </c>
      <c r="IT47" s="55">
        <f>$IS47*$C47/$D47</f>
        <v/>
      </c>
      <c r="IU47" s="55">
        <f>SUMIFS(tblBudget[Ore_Mined_t],tblBudget[Month],"&lt;"&amp;$E47)+$IT47</f>
        <v/>
      </c>
      <c r="IV47" s="55">
        <f>SUMIFS(tblBudget[Ore_oz],tblBudget[Month],$E47)</f>
        <v/>
      </c>
      <c r="IW47" s="55">
        <f>$IV47*$C47/$D47</f>
        <v/>
      </c>
      <c r="IX47" s="55">
        <f>SUMIFS(tblBudget[Ore_oz],tblBudget[Month],"&lt;"&amp;$E47)+$IW47</f>
        <v/>
      </c>
      <c r="IY47" s="55">
        <f>SUMIFS(tblBudget[Ore_Mined_t],tblBudget[Month],$E47)</f>
        <v/>
      </c>
      <c r="IZ47" s="55">
        <f>$IY47*$C47/$D47</f>
        <v/>
      </c>
      <c r="JA47" s="55">
        <f>SUMIFS(tblBudget[Ore_Mined_t],tblBudget[Month],"&lt;"&amp;$E47)+$IZ47</f>
        <v/>
      </c>
      <c r="JB47" s="56">
        <f>IFERROR(IF(($IY47)&gt;0,($IV47*cfg_TroyOz)/($IY47),""),"")</f>
        <v/>
      </c>
      <c r="JC47" s="56">
        <f>IFERROR(IF(($IZ47)&gt;0,($IW47*cfg_TroyOz)/($IZ47),""),"")</f>
        <v/>
      </c>
      <c r="JD47" s="56">
        <f>IFERROR(IF(($JA47)&gt;0,($IX47*cfg_TroyOz)/($JA47),""),"")</f>
        <v/>
      </c>
      <c r="JE47" s="55">
        <f>SUMIFS(tblBudget[Waste_t],tblBudget[Month],$E47)</f>
        <v/>
      </c>
      <c r="JF47" s="55">
        <f>$JE47*$C47/$D47</f>
        <v/>
      </c>
      <c r="JG47" s="55">
        <f>SUMIFS(tblBudget[Waste_t],tblBudget[Month],"&lt;"&amp;$E47)+$JF47</f>
        <v/>
      </c>
      <c r="JH47" s="55">
        <f>SUMIFS(tblBudget[TMM_t],tblBudget[Month],$E47)</f>
        <v/>
      </c>
      <c r="JI47" s="55">
        <f>$JH47*$C47/$D47</f>
        <v/>
      </c>
      <c r="JJ47" s="55">
        <f>SUMIFS(tblBudget[TMM_t],tblBudget[Month],"&lt;"&amp;$E47)+$JI47</f>
        <v/>
      </c>
      <c r="JK47" s="56">
        <f>IFERROR(IF(($IS47)&gt;0,($JE47)/($IS47),""),"")</f>
        <v/>
      </c>
      <c r="JL47" s="56">
        <f>IFERROR(IF(($IT47)&gt;0,($JF47)/($IT47),""),"")</f>
        <v/>
      </c>
      <c r="JM47" s="56">
        <f>IFERROR(IF(($IU47)&gt;0,($JG47)/($IU47),""),"")</f>
        <v/>
      </c>
      <c r="JN47" s="55">
        <f>SUMIFS(tblBudget[Drill_m],tblBudget[Month],$E47)</f>
        <v/>
      </c>
      <c r="JO47" s="55">
        <f>$JN47*$C47/$D47</f>
        <v/>
      </c>
      <c r="JP47" s="55">
        <f>SUMIFS(tblBudget[Drill_m],tblBudget[Month],"&lt;"&amp;$E47)+$JO47</f>
        <v/>
      </c>
      <c r="JQ47" s="55">
        <f>SUMIFS(tblBudget[Diesel_L],tblBudget[Month],$E47)</f>
        <v/>
      </c>
      <c r="JR47" s="55">
        <f>$JQ47*$C47/$D47</f>
        <v/>
      </c>
      <c r="JS47" s="55">
        <f>SUMIFS(tblBudget[Diesel_L],tblBudget[Month],"&lt;"&amp;$E47)+$JR47</f>
        <v/>
      </c>
      <c r="JT47" s="55">
        <f>SUMIFS(tblBudget[Milled_t],tblBudget[Month],$E47)</f>
        <v/>
      </c>
      <c r="JU47" s="55">
        <f>$JT47*$C47/$D47</f>
        <v/>
      </c>
      <c r="JV47" s="55">
        <f>SUMIFS(tblBudget[Milled_t],tblBudget[Month],"&lt;"&amp;$E47)+$JU47</f>
        <v/>
      </c>
      <c r="JW47" s="55">
        <f>SUMIFS(tblBudget[Feed_oz],tblBudget[Month],$E47)</f>
        <v/>
      </c>
      <c r="JX47" s="55">
        <f>$JW47*$C47/$D47</f>
        <v/>
      </c>
      <c r="JY47" s="55">
        <f>SUMIFS(tblBudget[Feed_oz],tblBudget[Month],"&lt;"&amp;$E47)+$JX47</f>
        <v/>
      </c>
      <c r="JZ47" s="55">
        <f>SUMIFS(tblBudget[Recovered_oz],tblBudget[Month],$E47)</f>
        <v/>
      </c>
      <c r="KA47" s="55">
        <f>$JZ47*$C47/$D47</f>
        <v/>
      </c>
      <c r="KB47" s="55">
        <f>SUMIFS(tblBudget[Recovered_oz],tblBudget[Month],"&lt;"&amp;$E47)+$KA47</f>
        <v/>
      </c>
      <c r="KC47" s="55">
        <f>SUMIFS(tblBudget[Milled_t],tblBudget[Month],$E47)</f>
        <v/>
      </c>
      <c r="KD47" s="55">
        <f>$KC47*$C47/$D47</f>
        <v/>
      </c>
      <c r="KE47" s="55">
        <f>SUMIFS(tblBudget[Milled_t],tblBudget[Month],"&lt;"&amp;$E47)+$KD47</f>
        <v/>
      </c>
      <c r="KF47" s="55">
        <f>SUMIFS(tblBudget[Feed_oz],tblBudget[Month],$E47)</f>
        <v/>
      </c>
      <c r="KG47" s="55">
        <f>$KF47*$C47/$D47</f>
        <v/>
      </c>
      <c r="KH47" s="55">
        <f>SUMIFS(tblBudget[Feed_oz],tblBudget[Month],"&lt;"&amp;$E47)+$KG47</f>
        <v/>
      </c>
      <c r="KI47" s="56">
        <f>IFERROR(IF(($KC47)&gt;0,($JW47*cfg_TroyOz)/($KC47),""),"")</f>
        <v/>
      </c>
      <c r="KJ47" s="56">
        <f>IFERROR(IF(($KD47)&gt;0,($JX47*cfg_TroyOz)/($KD47),""),"")</f>
        <v/>
      </c>
      <c r="KK47" s="56">
        <f>IFERROR(IF(($KE47)&gt;0,($JY47*cfg_TroyOz)/($KE47),""),"")</f>
        <v/>
      </c>
      <c r="KL47" s="67">
        <f>IFERROR(IF(($KF47)&gt;0,($JZ47)/($KF47),""),"")</f>
        <v/>
      </c>
      <c r="KM47" s="67">
        <f>IFERROR(IF(($KG47)&gt;0,($KA47)/($KG47),""),"")</f>
        <v/>
      </c>
      <c r="KN47" s="67">
        <f>IFERROR(IF(($KH47)&gt;0,($KB47)/($KH47),""),"")</f>
        <v/>
      </c>
      <c r="KO47" s="55">
        <f>SUMIFS(tblBudget[Gold_Poured_oz],tblBudget[Month],$E47)</f>
        <v/>
      </c>
      <c r="KP47" s="55">
        <f>$KO47*$C47/$D47</f>
        <v/>
      </c>
      <c r="KQ47" s="55">
        <f>SUMIFS(tblBudget[Gold_Poured_oz],tblBudget[Month],"&lt;"&amp;$E47)+$KP47</f>
        <v/>
      </c>
      <c r="KR47" s="57">
        <f>SUMIFS(tblBudget[Hours_Worked],tblBudget[Month],$E47)</f>
        <v/>
      </c>
      <c r="KS47" s="57">
        <f>$KR47*$C47/$D47</f>
        <v/>
      </c>
      <c r="KT47" s="57">
        <f>SUMIFS(tblBudget[Hours_Worked],tblBudget[Month],"&lt;"&amp;$E47)+$KS47</f>
        <v/>
      </c>
    </row>
    <row r="48">
      <c r="A48" s="54" t="n">
        <v>46069</v>
      </c>
      <c r="B48">
        <f>MONTH($A48)</f>
        <v/>
      </c>
      <c r="C48">
        <f>DAY($A48)</f>
        <v/>
      </c>
      <c r="D48">
        <f>DAY(EOMONTH($A48,0))</f>
        <v/>
      </c>
      <c r="E48" s="54">
        <f>DATE(YEAR($A48),MONTH($A48),1)</f>
        <v/>
      </c>
      <c r="F48" s="55">
        <f>SUMIFS(tblMovement[Tonnes_t],tblMovement[Date],$A48,tblMovement[Is_Ore],1,tblMovement[Source_Type],"Pit")</f>
        <v/>
      </c>
      <c r="G48" s="55">
        <f>IF($B48=$B47,$G47,0)+$F48</f>
        <v/>
      </c>
      <c r="H48" s="55">
        <f>$H47+$F48</f>
        <v/>
      </c>
      <c r="I48" s="55">
        <f>SUMIFS(tblMovement[Ore_oz],tblMovement[Date],$A48,tblMovement[Source_Type],"Pit")</f>
        <v/>
      </c>
      <c r="J48" s="55">
        <f>IF($B48=$B47,$J47,0)+$I48</f>
        <v/>
      </c>
      <c r="K48" s="55">
        <f>$K47+$I48</f>
        <v/>
      </c>
      <c r="L48" s="55">
        <f>SUMIFS(tblMovement[Tonnes_t],tblMovement[Date],$A48,tblMovement[Is_Ore],1,tblMovement[Source_Type],"Pit",tblMovement[Grade_gpt],"&lt;&gt;")</f>
        <v/>
      </c>
      <c r="M48" s="55">
        <f>IF($B48=$B47,$M47,0)+$L48</f>
        <v/>
      </c>
      <c r="N48" s="55">
        <f>$N47+$L48</f>
        <v/>
      </c>
      <c r="O48" s="56">
        <f>IFERROR(IF(($L48)&gt;0,($I48*cfg_TroyOz)/($L48),""),"")</f>
        <v/>
      </c>
      <c r="P48" s="56">
        <f>IFERROR(IF(($M48)&gt;0,($J48*cfg_TroyOz)/($M48),""),"")</f>
        <v/>
      </c>
      <c r="Q48" s="56">
        <f>IFERROR(IF(($N48)&gt;0,($K48*cfg_TroyOz)/($N48),""),"")</f>
        <v/>
      </c>
      <c r="R48" s="55">
        <f>$F48-$L48</f>
        <v/>
      </c>
      <c r="S48" s="55">
        <f>IF($B48=$B47,$S47,0)+$R48</f>
        <v/>
      </c>
      <c r="T48" s="55">
        <f>$T47+$R48</f>
        <v/>
      </c>
      <c r="U48" s="55">
        <f>SUMIFS(tblMovement[Tonnes_t],tblMovement[Date],$A48,tblMovement[Is_Ore],0,tblMovement[Source_Type],"Pit")</f>
        <v/>
      </c>
      <c r="V48" s="55">
        <f>IF($B48=$B47,$V47,0)+$U48</f>
        <v/>
      </c>
      <c r="W48" s="55">
        <f>$W47+$U48</f>
        <v/>
      </c>
      <c r="X48" s="55">
        <f>$F48+$U48</f>
        <v/>
      </c>
      <c r="Y48" s="55">
        <f>IF($B48=$B47,$Y47,0)+$X48</f>
        <v/>
      </c>
      <c r="Z48" s="55">
        <f>$Z47+$X48</f>
        <v/>
      </c>
      <c r="AA48" s="56">
        <f>IFERROR(IF(($F48)&gt;0,($U48)/($F48),""),"")</f>
        <v/>
      </c>
      <c r="AB48" s="56">
        <f>IFERROR(IF(($G48)&gt;0,($V48)/($G48),""),"")</f>
        <v/>
      </c>
      <c r="AC48" s="56">
        <f>IFERROR(IF(($H48)&gt;0,($W48)/($H48),""),"")</f>
        <v/>
      </c>
      <c r="AD48" s="55">
        <f>SUMIFS(tblMovement[Tonnes_t],tblMovement[Date],$A48,tblMovement[Source_Type],"Stockpile")</f>
        <v/>
      </c>
      <c r="AE48" s="55">
        <f>IF($B48=$B47,$AE47,0)+$AD48</f>
        <v/>
      </c>
      <c r="AF48" s="55">
        <f>$AF47+$AD48</f>
        <v/>
      </c>
      <c r="AG48" s="55">
        <f>SUMIFS(tblMovement[Tonnes_t],tblMovement[Date],$A48)</f>
        <v/>
      </c>
      <c r="AH48" s="55">
        <f>IF($B48=$B47,$AH47,0)+$AG48</f>
        <v/>
      </c>
      <c r="AI48" s="55">
        <f>$AI47+$AG48</f>
        <v/>
      </c>
      <c r="AJ48" s="55">
        <f>$AG48-$X48-$AD48</f>
        <v/>
      </c>
      <c r="AK48" s="55">
        <f>IF($B48=$B47,$AK47,0)+$AJ48</f>
        <v/>
      </c>
      <c r="AL48" s="55">
        <f>$AL47+$AJ48</f>
        <v/>
      </c>
      <c r="AM48" s="55">
        <f>SUMIFS(tblMiningDaily[Drill_m],tblMiningDaily[Date],$A48)</f>
        <v/>
      </c>
      <c r="AN48" s="55">
        <f>IF($B48=$B47,$AN47,0)+$AM48</f>
        <v/>
      </c>
      <c r="AO48" s="55">
        <f>$AO47+$AM48</f>
        <v/>
      </c>
      <c r="AP48" s="55">
        <f>SUMIFS(tblMiningDaily[GC_Drill_m],tblMiningDaily[Date],$A48)</f>
        <v/>
      </c>
      <c r="AQ48" s="55">
        <f>IF($B48=$B47,$AQ47,0)+$AP48</f>
        <v/>
      </c>
      <c r="AR48" s="55">
        <f>$AR47+$AP48</f>
        <v/>
      </c>
      <c r="AS48" s="55">
        <f>SUMIFS(tblMiningDaily[Blast_t],tblMiningDaily[Date],$A48)</f>
        <v/>
      </c>
      <c r="AT48" s="55">
        <f>IF($B48=$B47,$AT47,0)+$AS48</f>
        <v/>
      </c>
      <c r="AU48" s="55">
        <f>$AU47+$AS48</f>
        <v/>
      </c>
      <c r="AV48" s="55">
        <f>SUMIFS(tblMiningDaily[Explosives_kg],tblMiningDaily[Date],$A48)</f>
        <v/>
      </c>
      <c r="AW48" s="55">
        <f>IF($B48=$B47,$AW47,0)+$AV48</f>
        <v/>
      </c>
      <c r="AX48" s="55">
        <f>$AX47+$AV48</f>
        <v/>
      </c>
      <c r="AY48" s="56">
        <f>IFERROR(IF(($AS48)&gt;0,($AV48)/($AS48),""),"")</f>
        <v/>
      </c>
      <c r="AZ48" s="56">
        <f>IFERROR(IF(($AT48)&gt;0,($AW48)/($AT48),""),"")</f>
        <v/>
      </c>
      <c r="BA48" s="56">
        <f>IFERROR(IF(($AU48)&gt;0,($AX48)/($AU48),""),"")</f>
        <v/>
      </c>
      <c r="BB48" s="55">
        <f>SUMIFS(tblMiningDaily[Diesel_L],tblMiningDaily[Date],$A48)</f>
        <v/>
      </c>
      <c r="BC48" s="55">
        <f>IF($B48=$B47,$BC47,0)+$BB48</f>
        <v/>
      </c>
      <c r="BD48" s="55">
        <f>$BD47+$BB48</f>
        <v/>
      </c>
      <c r="BE48" s="55">
        <f>SUMIFS(tblMiningDaily[Dewatering_m3],tblMiningDaily[Date],$A48)</f>
        <v/>
      </c>
      <c r="BF48" s="55">
        <f>IF($B48=$B47,$BF47,0)+$BE48</f>
        <v/>
      </c>
      <c r="BG48" s="55">
        <f>$BG47+$BE48</f>
        <v/>
      </c>
      <c r="BH48" s="57">
        <f>SUMIFS(tblFleet[Calendar_h],tblFleet[Date],$A48,tblFleet[Equipment_Class],"Excavator")</f>
        <v/>
      </c>
      <c r="BI48" s="57">
        <f>IF($B48=$B47,$BI47,0)+$BH48</f>
        <v/>
      </c>
      <c r="BJ48" s="57">
        <f>$BJ47+$BH48</f>
        <v/>
      </c>
      <c r="BK48" s="57">
        <f>SUMIFS(tblFleet[Available_h],tblFleet[Date],$A48,tblFleet[Equipment_Class],"Excavator")</f>
        <v/>
      </c>
      <c r="BL48" s="57">
        <f>IF($B48=$B47,$BL47,0)+$BK48</f>
        <v/>
      </c>
      <c r="BM48" s="57">
        <f>$BM47+$BK48</f>
        <v/>
      </c>
      <c r="BN48" s="57">
        <f>SUMIFS(tblFleet[Operating_h],tblFleet[Date],$A48,tblFleet[Equipment_Class],"Excavator")</f>
        <v/>
      </c>
      <c r="BO48" s="57">
        <f>IF($B48=$B47,$BO47,0)+$BN48</f>
        <v/>
      </c>
      <c r="BP48" s="57">
        <f>$BP47+$BN48</f>
        <v/>
      </c>
      <c r="BQ48" s="67">
        <f>IFERROR(IF(($BH48)&gt;0,($BK48)/($BH48),""),"")</f>
        <v/>
      </c>
      <c r="BR48" s="67">
        <f>IFERROR(IF(($BI48)&gt;0,($BL48)/($BI48),""),"")</f>
        <v/>
      </c>
      <c r="BS48" s="67">
        <f>IFERROR(IF(($BJ48)&gt;0,($BM48)/($BJ48),""),"")</f>
        <v/>
      </c>
      <c r="BT48" s="67">
        <f>IFERROR(IF(($BK48)&gt;0,($BN48)/($BK48),""),"")</f>
        <v/>
      </c>
      <c r="BU48" s="67">
        <f>IFERROR(IF(($BL48)&gt;0,($BO48)/($BL48),""),"")</f>
        <v/>
      </c>
      <c r="BV48" s="67">
        <f>IFERROR(IF(($BM48)&gt;0,($BP48)/($BM48),""),"")</f>
        <v/>
      </c>
      <c r="BW48" s="57">
        <f>SUMIFS(tblFleet[Calendar_h],tblFleet[Date],$A48,tblFleet[Equipment_Class],"Haul Truck")</f>
        <v/>
      </c>
      <c r="BX48" s="57">
        <f>IF($B48=$B47,$BX47,0)+$BW48</f>
        <v/>
      </c>
      <c r="BY48" s="57">
        <f>$BY47+$BW48</f>
        <v/>
      </c>
      <c r="BZ48" s="57">
        <f>SUMIFS(tblFleet[Available_h],tblFleet[Date],$A48,tblFleet[Equipment_Class],"Haul Truck")</f>
        <v/>
      </c>
      <c r="CA48" s="57">
        <f>IF($B48=$B47,$CA47,0)+$BZ48</f>
        <v/>
      </c>
      <c r="CB48" s="57">
        <f>$CB47+$BZ48</f>
        <v/>
      </c>
      <c r="CC48" s="57">
        <f>SUMIFS(tblFleet[Operating_h],tblFleet[Date],$A48,tblFleet[Equipment_Class],"Haul Truck")</f>
        <v/>
      </c>
      <c r="CD48" s="57">
        <f>IF($B48=$B47,$CD47,0)+$CC48</f>
        <v/>
      </c>
      <c r="CE48" s="57">
        <f>$CE47+$CC48</f>
        <v/>
      </c>
      <c r="CF48" s="67">
        <f>IFERROR(IF(($BW48)&gt;0,($BZ48)/($BW48),""),"")</f>
        <v/>
      </c>
      <c r="CG48" s="67">
        <f>IFERROR(IF(($BX48)&gt;0,($CA48)/($BX48),""),"")</f>
        <v/>
      </c>
      <c r="CH48" s="67">
        <f>IFERROR(IF(($BY48)&gt;0,($CB48)/($BY48),""),"")</f>
        <v/>
      </c>
      <c r="CI48" s="67">
        <f>IFERROR(IF(($BZ48)&gt;0,($CC48)/($BZ48),""),"")</f>
        <v/>
      </c>
      <c r="CJ48" s="67">
        <f>IFERROR(IF(($CA48)&gt;0,($CD48)/($CA48),""),"")</f>
        <v/>
      </c>
      <c r="CK48" s="67">
        <f>IFERROR(IF(($CB48)&gt;0,($CE48)/($CB48),""),"")</f>
        <v/>
      </c>
      <c r="CL48" s="55">
        <f>IFERROR(IF(($BN48)&gt;0,($X48+$AD48)/($BN48),""),"")</f>
        <v/>
      </c>
      <c r="CM48" s="55">
        <f>IFERROR(IF(($BO48)&gt;0,($Y48+$AE48)/($BO48),""),"")</f>
        <v/>
      </c>
      <c r="CN48" s="55">
        <f>IFERROR(IF(($BP48)&gt;0,($Z48+$AF48)/($BP48),""),"")</f>
        <v/>
      </c>
      <c r="CO48" s="55">
        <f>IFERROR(IF(($CC48)&gt;0,($X48+$AD48)/($CC48),""),"")</f>
        <v/>
      </c>
      <c r="CP48" s="55">
        <f>IFERROR(IF(($CD48)&gt;0,($Y48+$AE48)/($CD48),""),"")</f>
        <v/>
      </c>
      <c r="CQ48" s="55">
        <f>IFERROR(IF(($CE48)&gt;0,($Z48+$AF48)/($CE48),""),"")</f>
        <v/>
      </c>
      <c r="CR48" s="55">
        <f>SUMIFS(tblPlant[Crushed_t],tblPlant[Date],$A48)</f>
        <v/>
      </c>
      <c r="CS48" s="55">
        <f>IF($B48=$B47,$CS47,0)+$CR48</f>
        <v/>
      </c>
      <c r="CT48" s="55">
        <f>$CT47+$CR48</f>
        <v/>
      </c>
      <c r="CU48" s="55">
        <f>SUMIFS(tblPlant[Milled_t],tblPlant[Date],$A48)</f>
        <v/>
      </c>
      <c r="CV48" s="55">
        <f>IF($B48=$B47,$CV47,0)+$CU48</f>
        <v/>
      </c>
      <c r="CW48" s="55">
        <f>$CW47+$CU48</f>
        <v/>
      </c>
      <c r="CX48" s="55">
        <f>SUMIFS(tblPlant[Feed_oz],tblPlant[Date],$A48)</f>
        <v/>
      </c>
      <c r="CY48" s="55">
        <f>IF($B48=$B47,$CY47,0)+$CX48</f>
        <v/>
      </c>
      <c r="CZ48" s="55">
        <f>$CZ47+$CX48</f>
        <v/>
      </c>
      <c r="DA48" s="55">
        <f>SUMIFS(tblPlant[Tails_oz],tblPlant[Date],$A48)</f>
        <v/>
      </c>
      <c r="DB48" s="55">
        <f>IF($B48=$B47,$DB47,0)+$DA48</f>
        <v/>
      </c>
      <c r="DC48" s="55">
        <f>$DC47+$DA48</f>
        <v/>
      </c>
      <c r="DD48" s="55">
        <f>SUMIFS(tblPlant[Recovered_oz],tblPlant[Date],$A48)</f>
        <v/>
      </c>
      <c r="DE48" s="55">
        <f>IF($B48=$B47,$DE47,0)+$DD48</f>
        <v/>
      </c>
      <c r="DF48" s="55">
        <f>$DF47+$DD48</f>
        <v/>
      </c>
      <c r="DG48" s="55">
        <f>SUMIFS(tblPlant[Milled_t],tblPlant[Date],$A48,tblPlant[Head_Grade_gpt],"&lt;&gt;")</f>
        <v/>
      </c>
      <c r="DH48" s="55">
        <f>IF($B48=$B47,$DH47,0)+$DG48</f>
        <v/>
      </c>
      <c r="DI48" s="55">
        <f>$DI47+$DG48</f>
        <v/>
      </c>
      <c r="DJ48" s="55">
        <f>SUMIFS(tblPlant[Milled_t],tblPlant[Date],$A48,tblPlant[Tails_Grade_gpt],"&lt;&gt;")</f>
        <v/>
      </c>
      <c r="DK48" s="55">
        <f>IF($B48=$B47,$DK47,0)+$DJ48</f>
        <v/>
      </c>
      <c r="DL48" s="55">
        <f>$DL47+$DJ48</f>
        <v/>
      </c>
      <c r="DM48" s="55">
        <f>SUMIFS(tblPlant[Feed_oz],tblPlant[Date],$A48,tblPlant[Tails_Grade_gpt],"&lt;&gt;")</f>
        <v/>
      </c>
      <c r="DN48" s="55">
        <f>IF($B48=$B47,$DN47,0)+$DM48</f>
        <v/>
      </c>
      <c r="DO48" s="55">
        <f>$DO47+$DM48</f>
        <v/>
      </c>
      <c r="DP48" s="55">
        <f>SUMIFS(tblPlant[Milled_t],tblPlant[Date],$A48,tblPlant[Mill_Run_h],"&lt;&gt;")</f>
        <v/>
      </c>
      <c r="DQ48" s="55">
        <f>IF($B48=$B47,$DQ47,0)+$DP48</f>
        <v/>
      </c>
      <c r="DR48" s="55">
        <f>$DR47+$DP48</f>
        <v/>
      </c>
      <c r="DS48" s="56">
        <f>IFERROR(IF(($DG48)&gt;0,($CX48*cfg_TroyOz)/($DG48),""),"")</f>
        <v/>
      </c>
      <c r="DT48" s="56">
        <f>IFERROR(IF(($DH48)&gt;0,($CY48*cfg_TroyOz)/($DH48),""),"")</f>
        <v/>
      </c>
      <c r="DU48" s="56">
        <f>IFERROR(IF(($DI48)&gt;0,($CZ48*cfg_TroyOz)/($DI48),""),"")</f>
        <v/>
      </c>
      <c r="DV48" s="56">
        <f>IFERROR(IF(($DJ48)&gt;0,($DA48*cfg_TroyOz)/($DJ48),""),"")</f>
        <v/>
      </c>
      <c r="DW48" s="56">
        <f>IFERROR(IF(($DK48)&gt;0,($DB48*cfg_TroyOz)/($DK48),""),"")</f>
        <v/>
      </c>
      <c r="DX48" s="56">
        <f>IFERROR(IF(($DL48)&gt;0,($DC48*cfg_TroyOz)/($DL48),""),"")</f>
        <v/>
      </c>
      <c r="DY48" s="67">
        <f>IFERROR(IF(($DM48)&gt;0,($DD48)/($DM48),""),"")</f>
        <v/>
      </c>
      <c r="DZ48" s="67">
        <f>IFERROR(IF(($DN48)&gt;0,($DE48)/($DN48),""),"")</f>
        <v/>
      </c>
      <c r="EA48" s="67">
        <f>IFERROR(IF(($DO48)&gt;0,($DF48)/($DO48),""),"")</f>
        <v/>
      </c>
      <c r="EB48" s="55">
        <f>SUMIFS(tblPlant[Gravity_Gold_oz],tblPlant[Date],$A48)</f>
        <v/>
      </c>
      <c r="EC48" s="55">
        <f>IF($B48=$B47,$EC47,0)+$EB48</f>
        <v/>
      </c>
      <c r="ED48" s="55">
        <f>$ED47+$EB48</f>
        <v/>
      </c>
      <c r="EE48" s="67">
        <f>IFERROR(IF(($DD48)&gt;0,($EB48)/($DD48),""),"")</f>
        <v/>
      </c>
      <c r="EF48" s="67">
        <f>IFERROR(IF(($DE48)&gt;0,($EC48)/($DE48),""),"")</f>
        <v/>
      </c>
      <c r="EG48" s="67">
        <f>IFERROR(IF(($DF48)&gt;0,($ED48)/($DF48),""),"")</f>
        <v/>
      </c>
      <c r="EH48" s="55">
        <f>SUMIFS(tblPlant[Gold_Poured_oz],tblPlant[Date],$A48)</f>
        <v/>
      </c>
      <c r="EI48" s="55">
        <f>IF($B48=$B47,$EI47,0)+$EH48</f>
        <v/>
      </c>
      <c r="EJ48" s="55">
        <f>$EJ47+$EH48</f>
        <v/>
      </c>
      <c r="EK48" s="57">
        <f>SUMIFS(tblPlant[Mill_Run_h],tblPlant[Date],$A48)</f>
        <v/>
      </c>
      <c r="EL48" s="57">
        <f>IF($B48=$B47,$EL47,0)+$EK48</f>
        <v/>
      </c>
      <c r="EM48" s="57">
        <f>$EM47+$EK48</f>
        <v/>
      </c>
      <c r="EN48" s="57">
        <f>SUMIFS(tblPlant[Mill_Planned_Maint_h],tblPlant[Date],$A48)</f>
        <v/>
      </c>
      <c r="EO48" s="57">
        <f>IF($B48=$B47,$EO47,0)+$EN48</f>
        <v/>
      </c>
      <c r="EP48" s="57">
        <f>$EP47+$EN48</f>
        <v/>
      </c>
      <c r="EQ48" s="57">
        <f>SUMIFS(tblPlant[Mill_Unplanned_Down_h],tblPlant[Date],$A48)</f>
        <v/>
      </c>
      <c r="ER48" s="57">
        <f>IF($B48=$B47,$ER47,0)+$EQ48</f>
        <v/>
      </c>
      <c r="ES48" s="57">
        <f>$ES47+$EQ48</f>
        <v/>
      </c>
      <c r="ET48" s="57">
        <f>IF(COUNTIFS(tblPlant[Date],$A48,tblPlant[Mill_Run_h],"&lt;&gt;")+COUNTIFS(tblPlant[Date],$A48,tblPlant[Mill_Planned_Maint_h],"&lt;&gt;")+COUNTIFS(tblPlant[Date],$A48,tblPlant[Mill_Unplanned_Down_h],"&lt;&gt;")&gt;0,cfg_HoursPerDay,0)</f>
        <v/>
      </c>
      <c r="EU48" s="57">
        <f>IF($B48=$B47,$EU47,0)+$ET48</f>
        <v/>
      </c>
      <c r="EV48" s="57">
        <f>$EV47+$ET48</f>
        <v/>
      </c>
      <c r="EW48" s="57">
        <f>SUMIFS(tblPlant[Crusher_Run_h],tblPlant[Date],$A48)</f>
        <v/>
      </c>
      <c r="EX48" s="57">
        <f>IF($B48=$B47,$EX47,0)+$EW48</f>
        <v/>
      </c>
      <c r="EY48" s="57">
        <f>$EY47+$EW48</f>
        <v/>
      </c>
      <c r="EZ48" s="55">
        <f>IFERROR(IF(($EK48)&gt;0,($DP48)/($EK48),""),"")</f>
        <v/>
      </c>
      <c r="FA48" s="55">
        <f>IFERROR(IF(($EL48)&gt;0,($DQ48)/($EL48),""),"")</f>
        <v/>
      </c>
      <c r="FB48" s="55">
        <f>IFERROR(IF(($EM48)&gt;0,($DR48)/($EM48),""),"")</f>
        <v/>
      </c>
      <c r="FC48" s="67">
        <f>IFERROR(IF(($ET48)&gt;0,($ET48-$EN48-$EQ48)/($ET48),""),"")</f>
        <v/>
      </c>
      <c r="FD48" s="67">
        <f>IFERROR(IF(($EU48)&gt;0,($EU48-$EO48-$ER48)/($EU48),""),"")</f>
        <v/>
      </c>
      <c r="FE48" s="67">
        <f>IFERROR(IF(($EV48)&gt;0,($EV48-$EP48-$ES48)/($EV48),""),"")</f>
        <v/>
      </c>
      <c r="FF48" s="67">
        <f>IFERROR(IF(($ET48-$EN48-$EQ48)&gt;0,($EK48)/($ET48-$EN48-$EQ48),""),"")</f>
        <v/>
      </c>
      <c r="FG48" s="67">
        <f>IFERROR(IF(($EU48-$EO48-$ER48)&gt;0,($EL48)/($EU48-$EO48-$ER48),""),"")</f>
        <v/>
      </c>
      <c r="FH48" s="67">
        <f>IFERROR(IF(($EV48-$EP48-$ES48)&gt;0,($EM48)/($EV48-$EP48-$ES48),""),"")</f>
        <v/>
      </c>
      <c r="FI48" s="55">
        <f>SUMIFS(tblPlant[Cyanide_kg],tblPlant[Date],$A48)</f>
        <v/>
      </c>
      <c r="FJ48" s="55">
        <f>IF($B48=$B47,$FJ47,0)+$FI48</f>
        <v/>
      </c>
      <c r="FK48" s="55">
        <f>$FK47+$FI48</f>
        <v/>
      </c>
      <c r="FL48" s="55">
        <f>SUMIFS(tblPlant[Lime_kg],tblPlant[Date],$A48)</f>
        <v/>
      </c>
      <c r="FM48" s="55">
        <f>IF($B48=$B47,$FM47,0)+$FL48</f>
        <v/>
      </c>
      <c r="FN48" s="55">
        <f>$FN47+$FL48</f>
        <v/>
      </c>
      <c r="FO48" s="55">
        <f>SUMIFS(tblPlant[Grinding_Media_kg],tblPlant[Date],$A48)</f>
        <v/>
      </c>
      <c r="FP48" s="55">
        <f>IF($B48=$B47,$FP47,0)+$FO48</f>
        <v/>
      </c>
      <c r="FQ48" s="55">
        <f>$FQ47+$FO48</f>
        <v/>
      </c>
      <c r="FR48" s="55">
        <f>SUMIFS(tblPlant[Power_kWh],tblPlant[Date],$A48)</f>
        <v/>
      </c>
      <c r="FS48" s="55">
        <f>IF($B48=$B47,$FS47,0)+$FR48</f>
        <v/>
      </c>
      <c r="FT48" s="55">
        <f>$FT47+$FR48</f>
        <v/>
      </c>
      <c r="FU48" s="55">
        <f>SUMIFS(tblPlant[Raw_Water_m3],tblPlant[Date],$A48)</f>
        <v/>
      </c>
      <c r="FV48" s="55">
        <f>IF($B48=$B47,$FV47,0)+$FU48</f>
        <v/>
      </c>
      <c r="FW48" s="55">
        <f>$FW47+$FU48</f>
        <v/>
      </c>
      <c r="FX48" s="56">
        <f>IFERROR(IF(($CU48)&gt;0,($FI48)/($CU48),""),"")</f>
        <v/>
      </c>
      <c r="FY48" s="56">
        <f>IFERROR(IF(($CV48)&gt;0,($FJ48)/($CV48),""),"")</f>
        <v/>
      </c>
      <c r="FZ48" s="56">
        <f>IFERROR(IF(($CW48)&gt;0,($FK48)/($CW48),""),"")</f>
        <v/>
      </c>
      <c r="GA48" s="56">
        <f>IFERROR(IF(($CU48)&gt;0,($FL48)/($CU48),""),"")</f>
        <v/>
      </c>
      <c r="GB48" s="56">
        <f>IFERROR(IF(($CV48)&gt;0,($FM48)/($CV48),""),"")</f>
        <v/>
      </c>
      <c r="GC48" s="56">
        <f>IFERROR(IF(($CW48)&gt;0,($FN48)/($CW48),""),"")</f>
        <v/>
      </c>
      <c r="GD48" s="56">
        <f>IFERROR(IF(($CU48)&gt;0,($FO48)/($CU48),""),"")</f>
        <v/>
      </c>
      <c r="GE48" s="56">
        <f>IFERROR(IF(($CV48)&gt;0,($FP48)/($CV48),""),"")</f>
        <v/>
      </c>
      <c r="GF48" s="56">
        <f>IFERROR(IF(($CW48)&gt;0,($FQ48)/($CW48),""),"")</f>
        <v/>
      </c>
      <c r="GG48" s="79">
        <f>IFERROR(IF(($CU48)&gt;0,($FR48)/($CU48),""),"")</f>
        <v/>
      </c>
      <c r="GH48" s="79">
        <f>IFERROR(IF(($CV48)&gt;0,($FS48)/($CV48),""),"")</f>
        <v/>
      </c>
      <c r="GI48" s="79">
        <f>IFERROR(IF(($CW48)&gt;0,($FT48)/($CW48),""),"")</f>
        <v/>
      </c>
      <c r="GJ48" s="56">
        <f>IFERROR(IF(($CU48)&gt;0,($FU48)/($CU48),""),"")</f>
        <v/>
      </c>
      <c r="GK48" s="56">
        <f>IFERROR(IF(($CV48)&gt;0,($FV48)/($CV48),""),"")</f>
        <v/>
      </c>
      <c r="GL48" s="56">
        <f>IFERROR(IF(($CW48)&gt;0,($FW48)/($CW48),""),"")</f>
        <v/>
      </c>
      <c r="GM48" s="55">
        <f>IF(SUMIFS(tblPlant[GIC_oz],tblPlant[Date],$A48)&gt;0,SUMIFS(tblPlant[GIC_oz],tblPlant[Date],$A48),"")</f>
        <v/>
      </c>
      <c r="GN48" s="55">
        <f>SUMIFS(tblGold[Gold_oz],tblGold[Date],$A48,tblGold[Type],"Shipment")</f>
        <v/>
      </c>
      <c r="GO48" s="55">
        <f>IF($B48=$B47,$GO47,0)+$GN48</f>
        <v/>
      </c>
      <c r="GP48" s="55">
        <f>$GP47+$GN48</f>
        <v/>
      </c>
      <c r="GQ48" s="55">
        <f>SUMIFS(tblGold[Gold_oz],tblGold[Date],$A48,tblGold[Type],"Sale")</f>
        <v/>
      </c>
      <c r="GR48" s="55">
        <f>IF($B48=$B47,$GR47,0)+$GQ48</f>
        <v/>
      </c>
      <c r="GS48" s="55">
        <f>$GS47+$GQ48</f>
        <v/>
      </c>
      <c r="GT48" s="55">
        <f>SUMIFS(tblGold[Dore_kg],tblGold[Date],$A48,tblGold[Type],"Shipment")</f>
        <v/>
      </c>
      <c r="GU48" s="55">
        <f>IF($B48=$B47,$GU47,0)+$GT48</f>
        <v/>
      </c>
      <c r="GV48" s="55">
        <f>$GV47+$GT48</f>
        <v/>
      </c>
      <c r="GW48" s="57">
        <f>SUMIFS(tblSafety[Hours_Total],tblSafety[Date],$A48)</f>
        <v/>
      </c>
      <c r="GX48" s="57">
        <f>IF($B48=$B47,$GX47,0)+$GW48</f>
        <v/>
      </c>
      <c r="GY48" s="57">
        <f>$GY47+$GW48</f>
        <v/>
      </c>
      <c r="GZ48" s="62">
        <f>SUMIFS(tblSafety[Fatality],tblSafety[Date],$A48)</f>
        <v/>
      </c>
      <c r="HA48" s="62">
        <f>IF($B48=$B47,$HA47,0)+$GZ48</f>
        <v/>
      </c>
      <c r="HB48" s="62">
        <f>$HB47+$GZ48</f>
        <v/>
      </c>
      <c r="HC48" s="62">
        <f>SUMIFS(tblSafety[LTI],tblSafety[Date],$A48)</f>
        <v/>
      </c>
      <c r="HD48" s="62">
        <f>IF($B48=$B47,$HD47,0)+$HC48</f>
        <v/>
      </c>
      <c r="HE48" s="62">
        <f>$HE47+$HC48</f>
        <v/>
      </c>
      <c r="HF48" s="62">
        <f>SUMIFS(tblSafety[RWI],tblSafety[Date],$A48)</f>
        <v/>
      </c>
      <c r="HG48" s="62">
        <f>IF($B48=$B47,$HG47,0)+$HF48</f>
        <v/>
      </c>
      <c r="HH48" s="62">
        <f>$HH47+$HF48</f>
        <v/>
      </c>
      <c r="HI48" s="62">
        <f>SUMIFS(tblSafety[MTI],tblSafety[Date],$A48)</f>
        <v/>
      </c>
      <c r="HJ48" s="62">
        <f>IF($B48=$B47,$HJ47,0)+$HI48</f>
        <v/>
      </c>
      <c r="HK48" s="62">
        <f>$HK47+$HI48</f>
        <v/>
      </c>
      <c r="HL48" s="62">
        <f>SUMIFS(tblSafety[FAI],tblSafety[Date],$A48)</f>
        <v/>
      </c>
      <c r="HM48" s="62">
        <f>IF($B48=$B47,$HM47,0)+$HL48</f>
        <v/>
      </c>
      <c r="HN48" s="62">
        <f>$HN47+$HL48</f>
        <v/>
      </c>
      <c r="HO48" s="62">
        <f>SUMIFS(tblSafety[Recordables],tblSafety[Date],$A48)</f>
        <v/>
      </c>
      <c r="HP48" s="62">
        <f>IF($B48=$B47,$HP47,0)+$HO48</f>
        <v/>
      </c>
      <c r="HQ48" s="62">
        <f>$HQ47+$HO48</f>
        <v/>
      </c>
      <c r="HR48" s="62">
        <f>SUMIFS(tblSafety[Near_Miss],tblSafety[Date],$A48)</f>
        <v/>
      </c>
      <c r="HS48" s="62">
        <f>IF($B48=$B47,$HS47,0)+$HR48</f>
        <v/>
      </c>
      <c r="HT48" s="62">
        <f>$HT47+$HR48</f>
        <v/>
      </c>
      <c r="HU48" s="62">
        <f>SUMIFS(tblSafety[Hazard_Reports],tblSafety[Date],$A48)</f>
        <v/>
      </c>
      <c r="HV48" s="62">
        <f>IF($B48=$B47,$HV47,0)+$HU48</f>
        <v/>
      </c>
      <c r="HW48" s="62">
        <f>$HW47+$HU48</f>
        <v/>
      </c>
      <c r="HX48" s="62">
        <f>SUMIFS(tblSafety[HPI],tblSafety[Date],$A48)</f>
        <v/>
      </c>
      <c r="HY48" s="62">
        <f>IF($B48=$B47,$HY47,0)+$HX48</f>
        <v/>
      </c>
      <c r="HZ48" s="62">
        <f>$HZ47+$HX48</f>
        <v/>
      </c>
      <c r="IA48" s="62">
        <f>SUMIFS(tblSafety[Env_Incidents],tblSafety[Date],$A48)</f>
        <v/>
      </c>
      <c r="IB48" s="62">
        <f>IF($B48=$B47,$IB47,0)+$IA48</f>
        <v/>
      </c>
      <c r="IC48" s="62">
        <f>$IC47+$IA48</f>
        <v/>
      </c>
      <c r="ID48" s="62">
        <f>SUMIFS(tblSafety[Community_Incidents],tblSafety[Date],$A48)</f>
        <v/>
      </c>
      <c r="IE48" s="62">
        <f>IF($B48=$B47,$IE47,0)+$ID48</f>
        <v/>
      </c>
      <c r="IF48" s="62">
        <f>$IF47+$ID48</f>
        <v/>
      </c>
      <c r="IG48" s="62">
        <f>SUMIFS(tblSafety[Vehicle_Incidents],tblSafety[Date],$A48)</f>
        <v/>
      </c>
      <c r="IH48" s="62">
        <f>IF($B48=$B47,$IH47,0)+$IG48</f>
        <v/>
      </c>
      <c r="II48" s="62">
        <f>$II47+$IG48</f>
        <v/>
      </c>
      <c r="IJ48" s="62">
        <f>SUMIFS(tblSafety[Toolbox_Talks],tblSafety[Date],$A48)</f>
        <v/>
      </c>
      <c r="IK48" s="62">
        <f>IF($B48=$B47,$IK47,0)+$IJ48</f>
        <v/>
      </c>
      <c r="IL48" s="62">
        <f>$IL47+$IJ48</f>
        <v/>
      </c>
      <c r="IM48" s="62">
        <f>SUMIFS(tblSafety[Inspections],tblSafety[Date],$A48)</f>
        <v/>
      </c>
      <c r="IN48" s="62">
        <f>IF($B48=$B47,$IN47,0)+$IM48</f>
        <v/>
      </c>
      <c r="IO48" s="62">
        <f>$IO47+$IM48</f>
        <v/>
      </c>
      <c r="IP48" s="56">
        <f>IFERROR((SUMIFS(tblSafety[Recordables],tblSafety[Date],"&gt;="&amp;EDATE($E48,-12),tblSafety[Date],"&lt;="&amp;$A48)+SUMIFS(tblSafetyHistory[Recordables],tblSafetyHistory[Month],"&gt;="&amp;EDATE($E48,-12),tblSafetyHistory[Month],"&lt;"&amp;$E48,tblSafetyHistory[Use],1))/(SUMIFS(tblSafety[Hours_Total],tblSafety[Date],"&gt;="&amp;EDATE($E48,-12),tblSafety[Date],"&lt;="&amp;$A48)+SUMIFS(tblSafetyHistory[Hours_Total],tblSafetyHistory[Month],"&gt;="&amp;EDATE($E48,-12),tblSafetyHistory[Month],"&lt;"&amp;$E48,tblSafetyHistory[Use],1))*cfg_RateBasisHours,"")</f>
        <v/>
      </c>
      <c r="IQ48" s="56">
        <f>IFERROR((SUMIFS(tblSafety[LTI],tblSafety[Date],"&gt;="&amp;EDATE($E48,-12),tblSafety[Date],"&lt;="&amp;$A48)+SUMIFS(tblSafetyHistory[LTI],tblSafetyHistory[Month],"&gt;="&amp;EDATE($E48,-12),tblSafetyHistory[Month],"&lt;"&amp;$E48,tblSafetyHistory[Use],1))/(SUMIFS(tblSafety[Hours_Total],tblSafety[Date],"&gt;="&amp;EDATE($E48,-12),tblSafety[Date],"&lt;="&amp;$A48)+SUMIFS(tblSafetyHistory[Hours_Total],tblSafetyHistory[Month],"&gt;="&amp;EDATE($E48,-12),tblSafetyHistory[Month],"&lt;"&amp;$E48,tblSafetyHistory[Use],1))*cfg_RateBasisHours,"")</f>
        <v/>
      </c>
      <c r="IR48" s="62">
        <f>IF(MAX(N(cfg_PriorLTIDate),_xlfn.MAXIFS(tblSafety[Date],tblSafety[LTI],"&gt;0",tblSafety[Date],"&lt;="&amp;$A48))=0,"",$A48-MAX(N(cfg_PriorLTIDate),_xlfn.MAXIFS(tblSafety[Date],tblSafety[LTI],"&gt;0",tblSafety[Date],"&lt;="&amp;$A48)))</f>
        <v/>
      </c>
      <c r="IS48" s="55">
        <f>SUMIFS(tblBudget[Ore_Mined_t],tblBudget[Month],$E48)</f>
        <v/>
      </c>
      <c r="IT48" s="55">
        <f>$IS48*$C48/$D48</f>
        <v/>
      </c>
      <c r="IU48" s="55">
        <f>SUMIFS(tblBudget[Ore_Mined_t],tblBudget[Month],"&lt;"&amp;$E48)+$IT48</f>
        <v/>
      </c>
      <c r="IV48" s="55">
        <f>SUMIFS(tblBudget[Ore_oz],tblBudget[Month],$E48)</f>
        <v/>
      </c>
      <c r="IW48" s="55">
        <f>$IV48*$C48/$D48</f>
        <v/>
      </c>
      <c r="IX48" s="55">
        <f>SUMIFS(tblBudget[Ore_oz],tblBudget[Month],"&lt;"&amp;$E48)+$IW48</f>
        <v/>
      </c>
      <c r="IY48" s="55">
        <f>SUMIFS(tblBudget[Ore_Mined_t],tblBudget[Month],$E48)</f>
        <v/>
      </c>
      <c r="IZ48" s="55">
        <f>$IY48*$C48/$D48</f>
        <v/>
      </c>
      <c r="JA48" s="55">
        <f>SUMIFS(tblBudget[Ore_Mined_t],tblBudget[Month],"&lt;"&amp;$E48)+$IZ48</f>
        <v/>
      </c>
      <c r="JB48" s="56">
        <f>IFERROR(IF(($IY48)&gt;0,($IV48*cfg_TroyOz)/($IY48),""),"")</f>
        <v/>
      </c>
      <c r="JC48" s="56">
        <f>IFERROR(IF(($IZ48)&gt;0,($IW48*cfg_TroyOz)/($IZ48),""),"")</f>
        <v/>
      </c>
      <c r="JD48" s="56">
        <f>IFERROR(IF(($JA48)&gt;0,($IX48*cfg_TroyOz)/($JA48),""),"")</f>
        <v/>
      </c>
      <c r="JE48" s="55">
        <f>SUMIFS(tblBudget[Waste_t],tblBudget[Month],$E48)</f>
        <v/>
      </c>
      <c r="JF48" s="55">
        <f>$JE48*$C48/$D48</f>
        <v/>
      </c>
      <c r="JG48" s="55">
        <f>SUMIFS(tblBudget[Waste_t],tblBudget[Month],"&lt;"&amp;$E48)+$JF48</f>
        <v/>
      </c>
      <c r="JH48" s="55">
        <f>SUMIFS(tblBudget[TMM_t],tblBudget[Month],$E48)</f>
        <v/>
      </c>
      <c r="JI48" s="55">
        <f>$JH48*$C48/$D48</f>
        <v/>
      </c>
      <c r="JJ48" s="55">
        <f>SUMIFS(tblBudget[TMM_t],tblBudget[Month],"&lt;"&amp;$E48)+$JI48</f>
        <v/>
      </c>
      <c r="JK48" s="56">
        <f>IFERROR(IF(($IS48)&gt;0,($JE48)/($IS48),""),"")</f>
        <v/>
      </c>
      <c r="JL48" s="56">
        <f>IFERROR(IF(($IT48)&gt;0,($JF48)/($IT48),""),"")</f>
        <v/>
      </c>
      <c r="JM48" s="56">
        <f>IFERROR(IF(($IU48)&gt;0,($JG48)/($IU48),""),"")</f>
        <v/>
      </c>
      <c r="JN48" s="55">
        <f>SUMIFS(tblBudget[Drill_m],tblBudget[Month],$E48)</f>
        <v/>
      </c>
      <c r="JO48" s="55">
        <f>$JN48*$C48/$D48</f>
        <v/>
      </c>
      <c r="JP48" s="55">
        <f>SUMIFS(tblBudget[Drill_m],tblBudget[Month],"&lt;"&amp;$E48)+$JO48</f>
        <v/>
      </c>
      <c r="JQ48" s="55">
        <f>SUMIFS(tblBudget[Diesel_L],tblBudget[Month],$E48)</f>
        <v/>
      </c>
      <c r="JR48" s="55">
        <f>$JQ48*$C48/$D48</f>
        <v/>
      </c>
      <c r="JS48" s="55">
        <f>SUMIFS(tblBudget[Diesel_L],tblBudget[Month],"&lt;"&amp;$E48)+$JR48</f>
        <v/>
      </c>
      <c r="JT48" s="55">
        <f>SUMIFS(tblBudget[Milled_t],tblBudget[Month],$E48)</f>
        <v/>
      </c>
      <c r="JU48" s="55">
        <f>$JT48*$C48/$D48</f>
        <v/>
      </c>
      <c r="JV48" s="55">
        <f>SUMIFS(tblBudget[Milled_t],tblBudget[Month],"&lt;"&amp;$E48)+$JU48</f>
        <v/>
      </c>
      <c r="JW48" s="55">
        <f>SUMIFS(tblBudget[Feed_oz],tblBudget[Month],$E48)</f>
        <v/>
      </c>
      <c r="JX48" s="55">
        <f>$JW48*$C48/$D48</f>
        <v/>
      </c>
      <c r="JY48" s="55">
        <f>SUMIFS(tblBudget[Feed_oz],tblBudget[Month],"&lt;"&amp;$E48)+$JX48</f>
        <v/>
      </c>
      <c r="JZ48" s="55">
        <f>SUMIFS(tblBudget[Recovered_oz],tblBudget[Month],$E48)</f>
        <v/>
      </c>
      <c r="KA48" s="55">
        <f>$JZ48*$C48/$D48</f>
        <v/>
      </c>
      <c r="KB48" s="55">
        <f>SUMIFS(tblBudget[Recovered_oz],tblBudget[Month],"&lt;"&amp;$E48)+$KA48</f>
        <v/>
      </c>
      <c r="KC48" s="55">
        <f>SUMIFS(tblBudget[Milled_t],tblBudget[Month],$E48)</f>
        <v/>
      </c>
      <c r="KD48" s="55">
        <f>$KC48*$C48/$D48</f>
        <v/>
      </c>
      <c r="KE48" s="55">
        <f>SUMIFS(tblBudget[Milled_t],tblBudget[Month],"&lt;"&amp;$E48)+$KD48</f>
        <v/>
      </c>
      <c r="KF48" s="55">
        <f>SUMIFS(tblBudget[Feed_oz],tblBudget[Month],$E48)</f>
        <v/>
      </c>
      <c r="KG48" s="55">
        <f>$KF48*$C48/$D48</f>
        <v/>
      </c>
      <c r="KH48" s="55">
        <f>SUMIFS(tblBudget[Feed_oz],tblBudget[Month],"&lt;"&amp;$E48)+$KG48</f>
        <v/>
      </c>
      <c r="KI48" s="56">
        <f>IFERROR(IF(($KC48)&gt;0,($JW48*cfg_TroyOz)/($KC48),""),"")</f>
        <v/>
      </c>
      <c r="KJ48" s="56">
        <f>IFERROR(IF(($KD48)&gt;0,($JX48*cfg_TroyOz)/($KD48),""),"")</f>
        <v/>
      </c>
      <c r="KK48" s="56">
        <f>IFERROR(IF(($KE48)&gt;0,($JY48*cfg_TroyOz)/($KE48),""),"")</f>
        <v/>
      </c>
      <c r="KL48" s="67">
        <f>IFERROR(IF(($KF48)&gt;0,($JZ48)/($KF48),""),"")</f>
        <v/>
      </c>
      <c r="KM48" s="67">
        <f>IFERROR(IF(($KG48)&gt;0,($KA48)/($KG48),""),"")</f>
        <v/>
      </c>
      <c r="KN48" s="67">
        <f>IFERROR(IF(($KH48)&gt;0,($KB48)/($KH48),""),"")</f>
        <v/>
      </c>
      <c r="KO48" s="55">
        <f>SUMIFS(tblBudget[Gold_Poured_oz],tblBudget[Month],$E48)</f>
        <v/>
      </c>
      <c r="KP48" s="55">
        <f>$KO48*$C48/$D48</f>
        <v/>
      </c>
      <c r="KQ48" s="55">
        <f>SUMIFS(tblBudget[Gold_Poured_oz],tblBudget[Month],"&lt;"&amp;$E48)+$KP48</f>
        <v/>
      </c>
      <c r="KR48" s="57">
        <f>SUMIFS(tblBudget[Hours_Worked],tblBudget[Month],$E48)</f>
        <v/>
      </c>
      <c r="KS48" s="57">
        <f>$KR48*$C48/$D48</f>
        <v/>
      </c>
      <c r="KT48" s="57">
        <f>SUMIFS(tblBudget[Hours_Worked],tblBudget[Month],"&lt;"&amp;$E48)+$KS48</f>
        <v/>
      </c>
    </row>
    <row r="49">
      <c r="A49" s="54" t="n">
        <v>46070</v>
      </c>
      <c r="B49">
        <f>MONTH($A49)</f>
        <v/>
      </c>
      <c r="C49">
        <f>DAY($A49)</f>
        <v/>
      </c>
      <c r="D49">
        <f>DAY(EOMONTH($A49,0))</f>
        <v/>
      </c>
      <c r="E49" s="54">
        <f>DATE(YEAR($A49),MONTH($A49),1)</f>
        <v/>
      </c>
      <c r="F49" s="55">
        <f>SUMIFS(tblMovement[Tonnes_t],tblMovement[Date],$A49,tblMovement[Is_Ore],1,tblMovement[Source_Type],"Pit")</f>
        <v/>
      </c>
      <c r="G49" s="55">
        <f>IF($B49=$B48,$G48,0)+$F49</f>
        <v/>
      </c>
      <c r="H49" s="55">
        <f>$H48+$F49</f>
        <v/>
      </c>
      <c r="I49" s="55">
        <f>SUMIFS(tblMovement[Ore_oz],tblMovement[Date],$A49,tblMovement[Source_Type],"Pit")</f>
        <v/>
      </c>
      <c r="J49" s="55">
        <f>IF($B49=$B48,$J48,0)+$I49</f>
        <v/>
      </c>
      <c r="K49" s="55">
        <f>$K48+$I49</f>
        <v/>
      </c>
      <c r="L49" s="55">
        <f>SUMIFS(tblMovement[Tonnes_t],tblMovement[Date],$A49,tblMovement[Is_Ore],1,tblMovement[Source_Type],"Pit",tblMovement[Grade_gpt],"&lt;&gt;")</f>
        <v/>
      </c>
      <c r="M49" s="55">
        <f>IF($B49=$B48,$M48,0)+$L49</f>
        <v/>
      </c>
      <c r="N49" s="55">
        <f>$N48+$L49</f>
        <v/>
      </c>
      <c r="O49" s="56">
        <f>IFERROR(IF(($L49)&gt;0,($I49*cfg_TroyOz)/($L49),""),"")</f>
        <v/>
      </c>
      <c r="P49" s="56">
        <f>IFERROR(IF(($M49)&gt;0,($J49*cfg_TroyOz)/($M49),""),"")</f>
        <v/>
      </c>
      <c r="Q49" s="56">
        <f>IFERROR(IF(($N49)&gt;0,($K49*cfg_TroyOz)/($N49),""),"")</f>
        <v/>
      </c>
      <c r="R49" s="55">
        <f>$F49-$L49</f>
        <v/>
      </c>
      <c r="S49" s="55">
        <f>IF($B49=$B48,$S48,0)+$R49</f>
        <v/>
      </c>
      <c r="T49" s="55">
        <f>$T48+$R49</f>
        <v/>
      </c>
      <c r="U49" s="55">
        <f>SUMIFS(tblMovement[Tonnes_t],tblMovement[Date],$A49,tblMovement[Is_Ore],0,tblMovement[Source_Type],"Pit")</f>
        <v/>
      </c>
      <c r="V49" s="55">
        <f>IF($B49=$B48,$V48,0)+$U49</f>
        <v/>
      </c>
      <c r="W49" s="55">
        <f>$W48+$U49</f>
        <v/>
      </c>
      <c r="X49" s="55">
        <f>$F49+$U49</f>
        <v/>
      </c>
      <c r="Y49" s="55">
        <f>IF($B49=$B48,$Y48,0)+$X49</f>
        <v/>
      </c>
      <c r="Z49" s="55">
        <f>$Z48+$X49</f>
        <v/>
      </c>
      <c r="AA49" s="56">
        <f>IFERROR(IF(($F49)&gt;0,($U49)/($F49),""),"")</f>
        <v/>
      </c>
      <c r="AB49" s="56">
        <f>IFERROR(IF(($G49)&gt;0,($V49)/($G49),""),"")</f>
        <v/>
      </c>
      <c r="AC49" s="56">
        <f>IFERROR(IF(($H49)&gt;0,($W49)/($H49),""),"")</f>
        <v/>
      </c>
      <c r="AD49" s="55">
        <f>SUMIFS(tblMovement[Tonnes_t],tblMovement[Date],$A49,tblMovement[Source_Type],"Stockpile")</f>
        <v/>
      </c>
      <c r="AE49" s="55">
        <f>IF($B49=$B48,$AE48,0)+$AD49</f>
        <v/>
      </c>
      <c r="AF49" s="55">
        <f>$AF48+$AD49</f>
        <v/>
      </c>
      <c r="AG49" s="55">
        <f>SUMIFS(tblMovement[Tonnes_t],tblMovement[Date],$A49)</f>
        <v/>
      </c>
      <c r="AH49" s="55">
        <f>IF($B49=$B48,$AH48,0)+$AG49</f>
        <v/>
      </c>
      <c r="AI49" s="55">
        <f>$AI48+$AG49</f>
        <v/>
      </c>
      <c r="AJ49" s="55">
        <f>$AG49-$X49-$AD49</f>
        <v/>
      </c>
      <c r="AK49" s="55">
        <f>IF($B49=$B48,$AK48,0)+$AJ49</f>
        <v/>
      </c>
      <c r="AL49" s="55">
        <f>$AL48+$AJ49</f>
        <v/>
      </c>
      <c r="AM49" s="55">
        <f>SUMIFS(tblMiningDaily[Drill_m],tblMiningDaily[Date],$A49)</f>
        <v/>
      </c>
      <c r="AN49" s="55">
        <f>IF($B49=$B48,$AN48,0)+$AM49</f>
        <v/>
      </c>
      <c r="AO49" s="55">
        <f>$AO48+$AM49</f>
        <v/>
      </c>
      <c r="AP49" s="55">
        <f>SUMIFS(tblMiningDaily[GC_Drill_m],tblMiningDaily[Date],$A49)</f>
        <v/>
      </c>
      <c r="AQ49" s="55">
        <f>IF($B49=$B48,$AQ48,0)+$AP49</f>
        <v/>
      </c>
      <c r="AR49" s="55">
        <f>$AR48+$AP49</f>
        <v/>
      </c>
      <c r="AS49" s="55">
        <f>SUMIFS(tblMiningDaily[Blast_t],tblMiningDaily[Date],$A49)</f>
        <v/>
      </c>
      <c r="AT49" s="55">
        <f>IF($B49=$B48,$AT48,0)+$AS49</f>
        <v/>
      </c>
      <c r="AU49" s="55">
        <f>$AU48+$AS49</f>
        <v/>
      </c>
      <c r="AV49" s="55">
        <f>SUMIFS(tblMiningDaily[Explosives_kg],tblMiningDaily[Date],$A49)</f>
        <v/>
      </c>
      <c r="AW49" s="55">
        <f>IF($B49=$B48,$AW48,0)+$AV49</f>
        <v/>
      </c>
      <c r="AX49" s="55">
        <f>$AX48+$AV49</f>
        <v/>
      </c>
      <c r="AY49" s="56">
        <f>IFERROR(IF(($AS49)&gt;0,($AV49)/($AS49),""),"")</f>
        <v/>
      </c>
      <c r="AZ49" s="56">
        <f>IFERROR(IF(($AT49)&gt;0,($AW49)/($AT49),""),"")</f>
        <v/>
      </c>
      <c r="BA49" s="56">
        <f>IFERROR(IF(($AU49)&gt;0,($AX49)/($AU49),""),"")</f>
        <v/>
      </c>
      <c r="BB49" s="55">
        <f>SUMIFS(tblMiningDaily[Diesel_L],tblMiningDaily[Date],$A49)</f>
        <v/>
      </c>
      <c r="BC49" s="55">
        <f>IF($B49=$B48,$BC48,0)+$BB49</f>
        <v/>
      </c>
      <c r="BD49" s="55">
        <f>$BD48+$BB49</f>
        <v/>
      </c>
      <c r="BE49" s="55">
        <f>SUMIFS(tblMiningDaily[Dewatering_m3],tblMiningDaily[Date],$A49)</f>
        <v/>
      </c>
      <c r="BF49" s="55">
        <f>IF($B49=$B48,$BF48,0)+$BE49</f>
        <v/>
      </c>
      <c r="BG49" s="55">
        <f>$BG48+$BE49</f>
        <v/>
      </c>
      <c r="BH49" s="57">
        <f>SUMIFS(tblFleet[Calendar_h],tblFleet[Date],$A49,tblFleet[Equipment_Class],"Excavator")</f>
        <v/>
      </c>
      <c r="BI49" s="57">
        <f>IF($B49=$B48,$BI48,0)+$BH49</f>
        <v/>
      </c>
      <c r="BJ49" s="57">
        <f>$BJ48+$BH49</f>
        <v/>
      </c>
      <c r="BK49" s="57">
        <f>SUMIFS(tblFleet[Available_h],tblFleet[Date],$A49,tblFleet[Equipment_Class],"Excavator")</f>
        <v/>
      </c>
      <c r="BL49" s="57">
        <f>IF($B49=$B48,$BL48,0)+$BK49</f>
        <v/>
      </c>
      <c r="BM49" s="57">
        <f>$BM48+$BK49</f>
        <v/>
      </c>
      <c r="BN49" s="57">
        <f>SUMIFS(tblFleet[Operating_h],tblFleet[Date],$A49,tblFleet[Equipment_Class],"Excavator")</f>
        <v/>
      </c>
      <c r="BO49" s="57">
        <f>IF($B49=$B48,$BO48,0)+$BN49</f>
        <v/>
      </c>
      <c r="BP49" s="57">
        <f>$BP48+$BN49</f>
        <v/>
      </c>
      <c r="BQ49" s="67">
        <f>IFERROR(IF(($BH49)&gt;0,($BK49)/($BH49),""),"")</f>
        <v/>
      </c>
      <c r="BR49" s="67">
        <f>IFERROR(IF(($BI49)&gt;0,($BL49)/($BI49),""),"")</f>
        <v/>
      </c>
      <c r="BS49" s="67">
        <f>IFERROR(IF(($BJ49)&gt;0,($BM49)/($BJ49),""),"")</f>
        <v/>
      </c>
      <c r="BT49" s="67">
        <f>IFERROR(IF(($BK49)&gt;0,($BN49)/($BK49),""),"")</f>
        <v/>
      </c>
      <c r="BU49" s="67">
        <f>IFERROR(IF(($BL49)&gt;0,($BO49)/($BL49),""),"")</f>
        <v/>
      </c>
      <c r="BV49" s="67">
        <f>IFERROR(IF(($BM49)&gt;0,($BP49)/($BM49),""),"")</f>
        <v/>
      </c>
      <c r="BW49" s="57">
        <f>SUMIFS(tblFleet[Calendar_h],tblFleet[Date],$A49,tblFleet[Equipment_Class],"Haul Truck")</f>
        <v/>
      </c>
      <c r="BX49" s="57">
        <f>IF($B49=$B48,$BX48,0)+$BW49</f>
        <v/>
      </c>
      <c r="BY49" s="57">
        <f>$BY48+$BW49</f>
        <v/>
      </c>
      <c r="BZ49" s="57">
        <f>SUMIFS(tblFleet[Available_h],tblFleet[Date],$A49,tblFleet[Equipment_Class],"Haul Truck")</f>
        <v/>
      </c>
      <c r="CA49" s="57">
        <f>IF($B49=$B48,$CA48,0)+$BZ49</f>
        <v/>
      </c>
      <c r="CB49" s="57">
        <f>$CB48+$BZ49</f>
        <v/>
      </c>
      <c r="CC49" s="57">
        <f>SUMIFS(tblFleet[Operating_h],tblFleet[Date],$A49,tblFleet[Equipment_Class],"Haul Truck")</f>
        <v/>
      </c>
      <c r="CD49" s="57">
        <f>IF($B49=$B48,$CD48,0)+$CC49</f>
        <v/>
      </c>
      <c r="CE49" s="57">
        <f>$CE48+$CC49</f>
        <v/>
      </c>
      <c r="CF49" s="67">
        <f>IFERROR(IF(($BW49)&gt;0,($BZ49)/($BW49),""),"")</f>
        <v/>
      </c>
      <c r="CG49" s="67">
        <f>IFERROR(IF(($BX49)&gt;0,($CA49)/($BX49),""),"")</f>
        <v/>
      </c>
      <c r="CH49" s="67">
        <f>IFERROR(IF(($BY49)&gt;0,($CB49)/($BY49),""),"")</f>
        <v/>
      </c>
      <c r="CI49" s="67">
        <f>IFERROR(IF(($BZ49)&gt;0,($CC49)/($BZ49),""),"")</f>
        <v/>
      </c>
      <c r="CJ49" s="67">
        <f>IFERROR(IF(($CA49)&gt;0,($CD49)/($CA49),""),"")</f>
        <v/>
      </c>
      <c r="CK49" s="67">
        <f>IFERROR(IF(($CB49)&gt;0,($CE49)/($CB49),""),"")</f>
        <v/>
      </c>
      <c r="CL49" s="55">
        <f>IFERROR(IF(($BN49)&gt;0,($X49+$AD49)/($BN49),""),"")</f>
        <v/>
      </c>
      <c r="CM49" s="55">
        <f>IFERROR(IF(($BO49)&gt;0,($Y49+$AE49)/($BO49),""),"")</f>
        <v/>
      </c>
      <c r="CN49" s="55">
        <f>IFERROR(IF(($BP49)&gt;0,($Z49+$AF49)/($BP49),""),"")</f>
        <v/>
      </c>
      <c r="CO49" s="55">
        <f>IFERROR(IF(($CC49)&gt;0,($X49+$AD49)/($CC49),""),"")</f>
        <v/>
      </c>
      <c r="CP49" s="55">
        <f>IFERROR(IF(($CD49)&gt;0,($Y49+$AE49)/($CD49),""),"")</f>
        <v/>
      </c>
      <c r="CQ49" s="55">
        <f>IFERROR(IF(($CE49)&gt;0,($Z49+$AF49)/($CE49),""),"")</f>
        <v/>
      </c>
      <c r="CR49" s="55">
        <f>SUMIFS(tblPlant[Crushed_t],tblPlant[Date],$A49)</f>
        <v/>
      </c>
      <c r="CS49" s="55">
        <f>IF($B49=$B48,$CS48,0)+$CR49</f>
        <v/>
      </c>
      <c r="CT49" s="55">
        <f>$CT48+$CR49</f>
        <v/>
      </c>
      <c r="CU49" s="55">
        <f>SUMIFS(tblPlant[Milled_t],tblPlant[Date],$A49)</f>
        <v/>
      </c>
      <c r="CV49" s="55">
        <f>IF($B49=$B48,$CV48,0)+$CU49</f>
        <v/>
      </c>
      <c r="CW49" s="55">
        <f>$CW48+$CU49</f>
        <v/>
      </c>
      <c r="CX49" s="55">
        <f>SUMIFS(tblPlant[Feed_oz],tblPlant[Date],$A49)</f>
        <v/>
      </c>
      <c r="CY49" s="55">
        <f>IF($B49=$B48,$CY48,0)+$CX49</f>
        <v/>
      </c>
      <c r="CZ49" s="55">
        <f>$CZ48+$CX49</f>
        <v/>
      </c>
      <c r="DA49" s="55">
        <f>SUMIFS(tblPlant[Tails_oz],tblPlant[Date],$A49)</f>
        <v/>
      </c>
      <c r="DB49" s="55">
        <f>IF($B49=$B48,$DB48,0)+$DA49</f>
        <v/>
      </c>
      <c r="DC49" s="55">
        <f>$DC48+$DA49</f>
        <v/>
      </c>
      <c r="DD49" s="55">
        <f>SUMIFS(tblPlant[Recovered_oz],tblPlant[Date],$A49)</f>
        <v/>
      </c>
      <c r="DE49" s="55">
        <f>IF($B49=$B48,$DE48,0)+$DD49</f>
        <v/>
      </c>
      <c r="DF49" s="55">
        <f>$DF48+$DD49</f>
        <v/>
      </c>
      <c r="DG49" s="55">
        <f>SUMIFS(tblPlant[Milled_t],tblPlant[Date],$A49,tblPlant[Head_Grade_gpt],"&lt;&gt;")</f>
        <v/>
      </c>
      <c r="DH49" s="55">
        <f>IF($B49=$B48,$DH48,0)+$DG49</f>
        <v/>
      </c>
      <c r="DI49" s="55">
        <f>$DI48+$DG49</f>
        <v/>
      </c>
      <c r="DJ49" s="55">
        <f>SUMIFS(tblPlant[Milled_t],tblPlant[Date],$A49,tblPlant[Tails_Grade_gpt],"&lt;&gt;")</f>
        <v/>
      </c>
      <c r="DK49" s="55">
        <f>IF($B49=$B48,$DK48,0)+$DJ49</f>
        <v/>
      </c>
      <c r="DL49" s="55">
        <f>$DL48+$DJ49</f>
        <v/>
      </c>
      <c r="DM49" s="55">
        <f>SUMIFS(tblPlant[Feed_oz],tblPlant[Date],$A49,tblPlant[Tails_Grade_gpt],"&lt;&gt;")</f>
        <v/>
      </c>
      <c r="DN49" s="55">
        <f>IF($B49=$B48,$DN48,0)+$DM49</f>
        <v/>
      </c>
      <c r="DO49" s="55">
        <f>$DO48+$DM49</f>
        <v/>
      </c>
      <c r="DP49" s="55">
        <f>SUMIFS(tblPlant[Milled_t],tblPlant[Date],$A49,tblPlant[Mill_Run_h],"&lt;&gt;")</f>
        <v/>
      </c>
      <c r="DQ49" s="55">
        <f>IF($B49=$B48,$DQ48,0)+$DP49</f>
        <v/>
      </c>
      <c r="DR49" s="55">
        <f>$DR48+$DP49</f>
        <v/>
      </c>
      <c r="DS49" s="56">
        <f>IFERROR(IF(($DG49)&gt;0,($CX49*cfg_TroyOz)/($DG49),""),"")</f>
        <v/>
      </c>
      <c r="DT49" s="56">
        <f>IFERROR(IF(($DH49)&gt;0,($CY49*cfg_TroyOz)/($DH49),""),"")</f>
        <v/>
      </c>
      <c r="DU49" s="56">
        <f>IFERROR(IF(($DI49)&gt;0,($CZ49*cfg_TroyOz)/($DI49),""),"")</f>
        <v/>
      </c>
      <c r="DV49" s="56">
        <f>IFERROR(IF(($DJ49)&gt;0,($DA49*cfg_TroyOz)/($DJ49),""),"")</f>
        <v/>
      </c>
      <c r="DW49" s="56">
        <f>IFERROR(IF(($DK49)&gt;0,($DB49*cfg_TroyOz)/($DK49),""),"")</f>
        <v/>
      </c>
      <c r="DX49" s="56">
        <f>IFERROR(IF(($DL49)&gt;0,($DC49*cfg_TroyOz)/($DL49),""),"")</f>
        <v/>
      </c>
      <c r="DY49" s="67">
        <f>IFERROR(IF(($DM49)&gt;0,($DD49)/($DM49),""),"")</f>
        <v/>
      </c>
      <c r="DZ49" s="67">
        <f>IFERROR(IF(($DN49)&gt;0,($DE49)/($DN49),""),"")</f>
        <v/>
      </c>
      <c r="EA49" s="67">
        <f>IFERROR(IF(($DO49)&gt;0,($DF49)/($DO49),""),"")</f>
        <v/>
      </c>
      <c r="EB49" s="55">
        <f>SUMIFS(tblPlant[Gravity_Gold_oz],tblPlant[Date],$A49)</f>
        <v/>
      </c>
      <c r="EC49" s="55">
        <f>IF($B49=$B48,$EC48,0)+$EB49</f>
        <v/>
      </c>
      <c r="ED49" s="55">
        <f>$ED48+$EB49</f>
        <v/>
      </c>
      <c r="EE49" s="67">
        <f>IFERROR(IF(($DD49)&gt;0,($EB49)/($DD49),""),"")</f>
        <v/>
      </c>
      <c r="EF49" s="67">
        <f>IFERROR(IF(($DE49)&gt;0,($EC49)/($DE49),""),"")</f>
        <v/>
      </c>
      <c r="EG49" s="67">
        <f>IFERROR(IF(($DF49)&gt;0,($ED49)/($DF49),""),"")</f>
        <v/>
      </c>
      <c r="EH49" s="55">
        <f>SUMIFS(tblPlant[Gold_Poured_oz],tblPlant[Date],$A49)</f>
        <v/>
      </c>
      <c r="EI49" s="55">
        <f>IF($B49=$B48,$EI48,0)+$EH49</f>
        <v/>
      </c>
      <c r="EJ49" s="55">
        <f>$EJ48+$EH49</f>
        <v/>
      </c>
      <c r="EK49" s="57">
        <f>SUMIFS(tblPlant[Mill_Run_h],tblPlant[Date],$A49)</f>
        <v/>
      </c>
      <c r="EL49" s="57">
        <f>IF($B49=$B48,$EL48,0)+$EK49</f>
        <v/>
      </c>
      <c r="EM49" s="57">
        <f>$EM48+$EK49</f>
        <v/>
      </c>
      <c r="EN49" s="57">
        <f>SUMIFS(tblPlant[Mill_Planned_Maint_h],tblPlant[Date],$A49)</f>
        <v/>
      </c>
      <c r="EO49" s="57">
        <f>IF($B49=$B48,$EO48,0)+$EN49</f>
        <v/>
      </c>
      <c r="EP49" s="57">
        <f>$EP48+$EN49</f>
        <v/>
      </c>
      <c r="EQ49" s="57">
        <f>SUMIFS(tblPlant[Mill_Unplanned_Down_h],tblPlant[Date],$A49)</f>
        <v/>
      </c>
      <c r="ER49" s="57">
        <f>IF($B49=$B48,$ER48,0)+$EQ49</f>
        <v/>
      </c>
      <c r="ES49" s="57">
        <f>$ES48+$EQ49</f>
        <v/>
      </c>
      <c r="ET49" s="57">
        <f>IF(COUNTIFS(tblPlant[Date],$A49,tblPlant[Mill_Run_h],"&lt;&gt;")+COUNTIFS(tblPlant[Date],$A49,tblPlant[Mill_Planned_Maint_h],"&lt;&gt;")+COUNTIFS(tblPlant[Date],$A49,tblPlant[Mill_Unplanned_Down_h],"&lt;&gt;")&gt;0,cfg_HoursPerDay,0)</f>
        <v/>
      </c>
      <c r="EU49" s="57">
        <f>IF($B49=$B48,$EU48,0)+$ET49</f>
        <v/>
      </c>
      <c r="EV49" s="57">
        <f>$EV48+$ET49</f>
        <v/>
      </c>
      <c r="EW49" s="57">
        <f>SUMIFS(tblPlant[Crusher_Run_h],tblPlant[Date],$A49)</f>
        <v/>
      </c>
      <c r="EX49" s="57">
        <f>IF($B49=$B48,$EX48,0)+$EW49</f>
        <v/>
      </c>
      <c r="EY49" s="57">
        <f>$EY48+$EW49</f>
        <v/>
      </c>
      <c r="EZ49" s="55">
        <f>IFERROR(IF(($EK49)&gt;0,($DP49)/($EK49),""),"")</f>
        <v/>
      </c>
      <c r="FA49" s="55">
        <f>IFERROR(IF(($EL49)&gt;0,($DQ49)/($EL49),""),"")</f>
        <v/>
      </c>
      <c r="FB49" s="55">
        <f>IFERROR(IF(($EM49)&gt;0,($DR49)/($EM49),""),"")</f>
        <v/>
      </c>
      <c r="FC49" s="67">
        <f>IFERROR(IF(($ET49)&gt;0,($ET49-$EN49-$EQ49)/($ET49),""),"")</f>
        <v/>
      </c>
      <c r="FD49" s="67">
        <f>IFERROR(IF(($EU49)&gt;0,($EU49-$EO49-$ER49)/($EU49),""),"")</f>
        <v/>
      </c>
      <c r="FE49" s="67">
        <f>IFERROR(IF(($EV49)&gt;0,($EV49-$EP49-$ES49)/($EV49),""),"")</f>
        <v/>
      </c>
      <c r="FF49" s="67">
        <f>IFERROR(IF(($ET49-$EN49-$EQ49)&gt;0,($EK49)/($ET49-$EN49-$EQ49),""),"")</f>
        <v/>
      </c>
      <c r="FG49" s="67">
        <f>IFERROR(IF(($EU49-$EO49-$ER49)&gt;0,($EL49)/($EU49-$EO49-$ER49),""),"")</f>
        <v/>
      </c>
      <c r="FH49" s="67">
        <f>IFERROR(IF(($EV49-$EP49-$ES49)&gt;0,($EM49)/($EV49-$EP49-$ES49),""),"")</f>
        <v/>
      </c>
      <c r="FI49" s="55">
        <f>SUMIFS(tblPlant[Cyanide_kg],tblPlant[Date],$A49)</f>
        <v/>
      </c>
      <c r="FJ49" s="55">
        <f>IF($B49=$B48,$FJ48,0)+$FI49</f>
        <v/>
      </c>
      <c r="FK49" s="55">
        <f>$FK48+$FI49</f>
        <v/>
      </c>
      <c r="FL49" s="55">
        <f>SUMIFS(tblPlant[Lime_kg],tblPlant[Date],$A49)</f>
        <v/>
      </c>
      <c r="FM49" s="55">
        <f>IF($B49=$B48,$FM48,0)+$FL49</f>
        <v/>
      </c>
      <c r="FN49" s="55">
        <f>$FN48+$FL49</f>
        <v/>
      </c>
      <c r="FO49" s="55">
        <f>SUMIFS(tblPlant[Grinding_Media_kg],tblPlant[Date],$A49)</f>
        <v/>
      </c>
      <c r="FP49" s="55">
        <f>IF($B49=$B48,$FP48,0)+$FO49</f>
        <v/>
      </c>
      <c r="FQ49" s="55">
        <f>$FQ48+$FO49</f>
        <v/>
      </c>
      <c r="FR49" s="55">
        <f>SUMIFS(tblPlant[Power_kWh],tblPlant[Date],$A49)</f>
        <v/>
      </c>
      <c r="FS49" s="55">
        <f>IF($B49=$B48,$FS48,0)+$FR49</f>
        <v/>
      </c>
      <c r="FT49" s="55">
        <f>$FT48+$FR49</f>
        <v/>
      </c>
      <c r="FU49" s="55">
        <f>SUMIFS(tblPlant[Raw_Water_m3],tblPlant[Date],$A49)</f>
        <v/>
      </c>
      <c r="FV49" s="55">
        <f>IF($B49=$B48,$FV48,0)+$FU49</f>
        <v/>
      </c>
      <c r="FW49" s="55">
        <f>$FW48+$FU49</f>
        <v/>
      </c>
      <c r="FX49" s="56">
        <f>IFERROR(IF(($CU49)&gt;0,($FI49)/($CU49),""),"")</f>
        <v/>
      </c>
      <c r="FY49" s="56">
        <f>IFERROR(IF(($CV49)&gt;0,($FJ49)/($CV49),""),"")</f>
        <v/>
      </c>
      <c r="FZ49" s="56">
        <f>IFERROR(IF(($CW49)&gt;0,($FK49)/($CW49),""),"")</f>
        <v/>
      </c>
      <c r="GA49" s="56">
        <f>IFERROR(IF(($CU49)&gt;0,($FL49)/($CU49),""),"")</f>
        <v/>
      </c>
      <c r="GB49" s="56">
        <f>IFERROR(IF(($CV49)&gt;0,($FM49)/($CV49),""),"")</f>
        <v/>
      </c>
      <c r="GC49" s="56">
        <f>IFERROR(IF(($CW49)&gt;0,($FN49)/($CW49),""),"")</f>
        <v/>
      </c>
      <c r="GD49" s="56">
        <f>IFERROR(IF(($CU49)&gt;0,($FO49)/($CU49),""),"")</f>
        <v/>
      </c>
      <c r="GE49" s="56">
        <f>IFERROR(IF(($CV49)&gt;0,($FP49)/($CV49),""),"")</f>
        <v/>
      </c>
      <c r="GF49" s="56">
        <f>IFERROR(IF(($CW49)&gt;0,($FQ49)/($CW49),""),"")</f>
        <v/>
      </c>
      <c r="GG49" s="79">
        <f>IFERROR(IF(($CU49)&gt;0,($FR49)/($CU49),""),"")</f>
        <v/>
      </c>
      <c r="GH49" s="79">
        <f>IFERROR(IF(($CV49)&gt;0,($FS49)/($CV49),""),"")</f>
        <v/>
      </c>
      <c r="GI49" s="79">
        <f>IFERROR(IF(($CW49)&gt;0,($FT49)/($CW49),""),"")</f>
        <v/>
      </c>
      <c r="GJ49" s="56">
        <f>IFERROR(IF(($CU49)&gt;0,($FU49)/($CU49),""),"")</f>
        <v/>
      </c>
      <c r="GK49" s="56">
        <f>IFERROR(IF(($CV49)&gt;0,($FV49)/($CV49),""),"")</f>
        <v/>
      </c>
      <c r="GL49" s="56">
        <f>IFERROR(IF(($CW49)&gt;0,($FW49)/($CW49),""),"")</f>
        <v/>
      </c>
      <c r="GM49" s="55">
        <f>IF(SUMIFS(tblPlant[GIC_oz],tblPlant[Date],$A49)&gt;0,SUMIFS(tblPlant[GIC_oz],tblPlant[Date],$A49),"")</f>
        <v/>
      </c>
      <c r="GN49" s="55">
        <f>SUMIFS(tblGold[Gold_oz],tblGold[Date],$A49,tblGold[Type],"Shipment")</f>
        <v/>
      </c>
      <c r="GO49" s="55">
        <f>IF($B49=$B48,$GO48,0)+$GN49</f>
        <v/>
      </c>
      <c r="GP49" s="55">
        <f>$GP48+$GN49</f>
        <v/>
      </c>
      <c r="GQ49" s="55">
        <f>SUMIFS(tblGold[Gold_oz],tblGold[Date],$A49,tblGold[Type],"Sale")</f>
        <v/>
      </c>
      <c r="GR49" s="55">
        <f>IF($B49=$B48,$GR48,0)+$GQ49</f>
        <v/>
      </c>
      <c r="GS49" s="55">
        <f>$GS48+$GQ49</f>
        <v/>
      </c>
      <c r="GT49" s="55">
        <f>SUMIFS(tblGold[Dore_kg],tblGold[Date],$A49,tblGold[Type],"Shipment")</f>
        <v/>
      </c>
      <c r="GU49" s="55">
        <f>IF($B49=$B48,$GU48,0)+$GT49</f>
        <v/>
      </c>
      <c r="GV49" s="55">
        <f>$GV48+$GT49</f>
        <v/>
      </c>
      <c r="GW49" s="57">
        <f>SUMIFS(tblSafety[Hours_Total],tblSafety[Date],$A49)</f>
        <v/>
      </c>
      <c r="GX49" s="57">
        <f>IF($B49=$B48,$GX48,0)+$GW49</f>
        <v/>
      </c>
      <c r="GY49" s="57">
        <f>$GY48+$GW49</f>
        <v/>
      </c>
      <c r="GZ49" s="62">
        <f>SUMIFS(tblSafety[Fatality],tblSafety[Date],$A49)</f>
        <v/>
      </c>
      <c r="HA49" s="62">
        <f>IF($B49=$B48,$HA48,0)+$GZ49</f>
        <v/>
      </c>
      <c r="HB49" s="62">
        <f>$HB48+$GZ49</f>
        <v/>
      </c>
      <c r="HC49" s="62">
        <f>SUMIFS(tblSafety[LTI],tblSafety[Date],$A49)</f>
        <v/>
      </c>
      <c r="HD49" s="62">
        <f>IF($B49=$B48,$HD48,0)+$HC49</f>
        <v/>
      </c>
      <c r="HE49" s="62">
        <f>$HE48+$HC49</f>
        <v/>
      </c>
      <c r="HF49" s="62">
        <f>SUMIFS(tblSafety[RWI],tblSafety[Date],$A49)</f>
        <v/>
      </c>
      <c r="HG49" s="62">
        <f>IF($B49=$B48,$HG48,0)+$HF49</f>
        <v/>
      </c>
      <c r="HH49" s="62">
        <f>$HH48+$HF49</f>
        <v/>
      </c>
      <c r="HI49" s="62">
        <f>SUMIFS(tblSafety[MTI],tblSafety[Date],$A49)</f>
        <v/>
      </c>
      <c r="HJ49" s="62">
        <f>IF($B49=$B48,$HJ48,0)+$HI49</f>
        <v/>
      </c>
      <c r="HK49" s="62">
        <f>$HK48+$HI49</f>
        <v/>
      </c>
      <c r="HL49" s="62">
        <f>SUMIFS(tblSafety[FAI],tblSafety[Date],$A49)</f>
        <v/>
      </c>
      <c r="HM49" s="62">
        <f>IF($B49=$B48,$HM48,0)+$HL49</f>
        <v/>
      </c>
      <c r="HN49" s="62">
        <f>$HN48+$HL49</f>
        <v/>
      </c>
      <c r="HO49" s="62">
        <f>SUMIFS(tblSafety[Recordables],tblSafety[Date],$A49)</f>
        <v/>
      </c>
      <c r="HP49" s="62">
        <f>IF($B49=$B48,$HP48,0)+$HO49</f>
        <v/>
      </c>
      <c r="HQ49" s="62">
        <f>$HQ48+$HO49</f>
        <v/>
      </c>
      <c r="HR49" s="62">
        <f>SUMIFS(tblSafety[Near_Miss],tblSafety[Date],$A49)</f>
        <v/>
      </c>
      <c r="HS49" s="62">
        <f>IF($B49=$B48,$HS48,0)+$HR49</f>
        <v/>
      </c>
      <c r="HT49" s="62">
        <f>$HT48+$HR49</f>
        <v/>
      </c>
      <c r="HU49" s="62">
        <f>SUMIFS(tblSafety[Hazard_Reports],tblSafety[Date],$A49)</f>
        <v/>
      </c>
      <c r="HV49" s="62">
        <f>IF($B49=$B48,$HV48,0)+$HU49</f>
        <v/>
      </c>
      <c r="HW49" s="62">
        <f>$HW48+$HU49</f>
        <v/>
      </c>
      <c r="HX49" s="62">
        <f>SUMIFS(tblSafety[HPI],tblSafety[Date],$A49)</f>
        <v/>
      </c>
      <c r="HY49" s="62">
        <f>IF($B49=$B48,$HY48,0)+$HX49</f>
        <v/>
      </c>
      <c r="HZ49" s="62">
        <f>$HZ48+$HX49</f>
        <v/>
      </c>
      <c r="IA49" s="62">
        <f>SUMIFS(tblSafety[Env_Incidents],tblSafety[Date],$A49)</f>
        <v/>
      </c>
      <c r="IB49" s="62">
        <f>IF($B49=$B48,$IB48,0)+$IA49</f>
        <v/>
      </c>
      <c r="IC49" s="62">
        <f>$IC48+$IA49</f>
        <v/>
      </c>
      <c r="ID49" s="62">
        <f>SUMIFS(tblSafety[Community_Incidents],tblSafety[Date],$A49)</f>
        <v/>
      </c>
      <c r="IE49" s="62">
        <f>IF($B49=$B48,$IE48,0)+$ID49</f>
        <v/>
      </c>
      <c r="IF49" s="62">
        <f>$IF48+$ID49</f>
        <v/>
      </c>
      <c r="IG49" s="62">
        <f>SUMIFS(tblSafety[Vehicle_Incidents],tblSafety[Date],$A49)</f>
        <v/>
      </c>
      <c r="IH49" s="62">
        <f>IF($B49=$B48,$IH48,0)+$IG49</f>
        <v/>
      </c>
      <c r="II49" s="62">
        <f>$II48+$IG49</f>
        <v/>
      </c>
      <c r="IJ49" s="62">
        <f>SUMIFS(tblSafety[Toolbox_Talks],tblSafety[Date],$A49)</f>
        <v/>
      </c>
      <c r="IK49" s="62">
        <f>IF($B49=$B48,$IK48,0)+$IJ49</f>
        <v/>
      </c>
      <c r="IL49" s="62">
        <f>$IL48+$IJ49</f>
        <v/>
      </c>
      <c r="IM49" s="62">
        <f>SUMIFS(tblSafety[Inspections],tblSafety[Date],$A49)</f>
        <v/>
      </c>
      <c r="IN49" s="62">
        <f>IF($B49=$B48,$IN48,0)+$IM49</f>
        <v/>
      </c>
      <c r="IO49" s="62">
        <f>$IO48+$IM49</f>
        <v/>
      </c>
      <c r="IP49" s="56">
        <f>IFERROR((SUMIFS(tblSafety[Recordables],tblSafety[Date],"&gt;="&amp;EDATE($E49,-12),tblSafety[Date],"&lt;="&amp;$A49)+SUMIFS(tblSafetyHistory[Recordables],tblSafetyHistory[Month],"&gt;="&amp;EDATE($E49,-12),tblSafetyHistory[Month],"&lt;"&amp;$E49,tblSafetyHistory[Use],1))/(SUMIFS(tblSafety[Hours_Total],tblSafety[Date],"&gt;="&amp;EDATE($E49,-12),tblSafety[Date],"&lt;="&amp;$A49)+SUMIFS(tblSafetyHistory[Hours_Total],tblSafetyHistory[Month],"&gt;="&amp;EDATE($E49,-12),tblSafetyHistory[Month],"&lt;"&amp;$E49,tblSafetyHistory[Use],1))*cfg_RateBasisHours,"")</f>
        <v/>
      </c>
      <c r="IQ49" s="56">
        <f>IFERROR((SUMIFS(tblSafety[LTI],tblSafety[Date],"&gt;="&amp;EDATE($E49,-12),tblSafety[Date],"&lt;="&amp;$A49)+SUMIFS(tblSafetyHistory[LTI],tblSafetyHistory[Month],"&gt;="&amp;EDATE($E49,-12),tblSafetyHistory[Month],"&lt;"&amp;$E49,tblSafetyHistory[Use],1))/(SUMIFS(tblSafety[Hours_Total],tblSafety[Date],"&gt;="&amp;EDATE($E49,-12),tblSafety[Date],"&lt;="&amp;$A49)+SUMIFS(tblSafetyHistory[Hours_Total],tblSafetyHistory[Month],"&gt;="&amp;EDATE($E49,-12),tblSafetyHistory[Month],"&lt;"&amp;$E49,tblSafetyHistory[Use],1))*cfg_RateBasisHours,"")</f>
        <v/>
      </c>
      <c r="IR49" s="62">
        <f>IF(MAX(N(cfg_PriorLTIDate),_xlfn.MAXIFS(tblSafety[Date],tblSafety[LTI],"&gt;0",tblSafety[Date],"&lt;="&amp;$A49))=0,"",$A49-MAX(N(cfg_PriorLTIDate),_xlfn.MAXIFS(tblSafety[Date],tblSafety[LTI],"&gt;0",tblSafety[Date],"&lt;="&amp;$A49)))</f>
        <v/>
      </c>
      <c r="IS49" s="55">
        <f>SUMIFS(tblBudget[Ore_Mined_t],tblBudget[Month],$E49)</f>
        <v/>
      </c>
      <c r="IT49" s="55">
        <f>$IS49*$C49/$D49</f>
        <v/>
      </c>
      <c r="IU49" s="55">
        <f>SUMIFS(tblBudget[Ore_Mined_t],tblBudget[Month],"&lt;"&amp;$E49)+$IT49</f>
        <v/>
      </c>
      <c r="IV49" s="55">
        <f>SUMIFS(tblBudget[Ore_oz],tblBudget[Month],$E49)</f>
        <v/>
      </c>
      <c r="IW49" s="55">
        <f>$IV49*$C49/$D49</f>
        <v/>
      </c>
      <c r="IX49" s="55">
        <f>SUMIFS(tblBudget[Ore_oz],tblBudget[Month],"&lt;"&amp;$E49)+$IW49</f>
        <v/>
      </c>
      <c r="IY49" s="55">
        <f>SUMIFS(tblBudget[Ore_Mined_t],tblBudget[Month],$E49)</f>
        <v/>
      </c>
      <c r="IZ49" s="55">
        <f>$IY49*$C49/$D49</f>
        <v/>
      </c>
      <c r="JA49" s="55">
        <f>SUMIFS(tblBudget[Ore_Mined_t],tblBudget[Month],"&lt;"&amp;$E49)+$IZ49</f>
        <v/>
      </c>
      <c r="JB49" s="56">
        <f>IFERROR(IF(($IY49)&gt;0,($IV49*cfg_TroyOz)/($IY49),""),"")</f>
        <v/>
      </c>
      <c r="JC49" s="56">
        <f>IFERROR(IF(($IZ49)&gt;0,($IW49*cfg_TroyOz)/($IZ49),""),"")</f>
        <v/>
      </c>
      <c r="JD49" s="56">
        <f>IFERROR(IF(($JA49)&gt;0,($IX49*cfg_TroyOz)/($JA49),""),"")</f>
        <v/>
      </c>
      <c r="JE49" s="55">
        <f>SUMIFS(tblBudget[Waste_t],tblBudget[Month],$E49)</f>
        <v/>
      </c>
      <c r="JF49" s="55">
        <f>$JE49*$C49/$D49</f>
        <v/>
      </c>
      <c r="JG49" s="55">
        <f>SUMIFS(tblBudget[Waste_t],tblBudget[Month],"&lt;"&amp;$E49)+$JF49</f>
        <v/>
      </c>
      <c r="JH49" s="55">
        <f>SUMIFS(tblBudget[TMM_t],tblBudget[Month],$E49)</f>
        <v/>
      </c>
      <c r="JI49" s="55">
        <f>$JH49*$C49/$D49</f>
        <v/>
      </c>
      <c r="JJ49" s="55">
        <f>SUMIFS(tblBudget[TMM_t],tblBudget[Month],"&lt;"&amp;$E49)+$JI49</f>
        <v/>
      </c>
      <c r="JK49" s="56">
        <f>IFERROR(IF(($IS49)&gt;0,($JE49)/($IS49),""),"")</f>
        <v/>
      </c>
      <c r="JL49" s="56">
        <f>IFERROR(IF(($IT49)&gt;0,($JF49)/($IT49),""),"")</f>
        <v/>
      </c>
      <c r="JM49" s="56">
        <f>IFERROR(IF(($IU49)&gt;0,($JG49)/($IU49),""),"")</f>
        <v/>
      </c>
      <c r="JN49" s="55">
        <f>SUMIFS(tblBudget[Drill_m],tblBudget[Month],$E49)</f>
        <v/>
      </c>
      <c r="JO49" s="55">
        <f>$JN49*$C49/$D49</f>
        <v/>
      </c>
      <c r="JP49" s="55">
        <f>SUMIFS(tblBudget[Drill_m],tblBudget[Month],"&lt;"&amp;$E49)+$JO49</f>
        <v/>
      </c>
      <c r="JQ49" s="55">
        <f>SUMIFS(tblBudget[Diesel_L],tblBudget[Month],$E49)</f>
        <v/>
      </c>
      <c r="JR49" s="55">
        <f>$JQ49*$C49/$D49</f>
        <v/>
      </c>
      <c r="JS49" s="55">
        <f>SUMIFS(tblBudget[Diesel_L],tblBudget[Month],"&lt;"&amp;$E49)+$JR49</f>
        <v/>
      </c>
      <c r="JT49" s="55">
        <f>SUMIFS(tblBudget[Milled_t],tblBudget[Month],$E49)</f>
        <v/>
      </c>
      <c r="JU49" s="55">
        <f>$JT49*$C49/$D49</f>
        <v/>
      </c>
      <c r="JV49" s="55">
        <f>SUMIFS(tblBudget[Milled_t],tblBudget[Month],"&lt;"&amp;$E49)+$JU49</f>
        <v/>
      </c>
      <c r="JW49" s="55">
        <f>SUMIFS(tblBudget[Feed_oz],tblBudget[Month],$E49)</f>
        <v/>
      </c>
      <c r="JX49" s="55">
        <f>$JW49*$C49/$D49</f>
        <v/>
      </c>
      <c r="JY49" s="55">
        <f>SUMIFS(tblBudget[Feed_oz],tblBudget[Month],"&lt;"&amp;$E49)+$JX49</f>
        <v/>
      </c>
      <c r="JZ49" s="55">
        <f>SUMIFS(tblBudget[Recovered_oz],tblBudget[Month],$E49)</f>
        <v/>
      </c>
      <c r="KA49" s="55">
        <f>$JZ49*$C49/$D49</f>
        <v/>
      </c>
      <c r="KB49" s="55">
        <f>SUMIFS(tblBudget[Recovered_oz],tblBudget[Month],"&lt;"&amp;$E49)+$KA49</f>
        <v/>
      </c>
      <c r="KC49" s="55">
        <f>SUMIFS(tblBudget[Milled_t],tblBudget[Month],$E49)</f>
        <v/>
      </c>
      <c r="KD49" s="55">
        <f>$KC49*$C49/$D49</f>
        <v/>
      </c>
      <c r="KE49" s="55">
        <f>SUMIFS(tblBudget[Milled_t],tblBudget[Month],"&lt;"&amp;$E49)+$KD49</f>
        <v/>
      </c>
      <c r="KF49" s="55">
        <f>SUMIFS(tblBudget[Feed_oz],tblBudget[Month],$E49)</f>
        <v/>
      </c>
      <c r="KG49" s="55">
        <f>$KF49*$C49/$D49</f>
        <v/>
      </c>
      <c r="KH49" s="55">
        <f>SUMIFS(tblBudget[Feed_oz],tblBudget[Month],"&lt;"&amp;$E49)+$KG49</f>
        <v/>
      </c>
      <c r="KI49" s="56">
        <f>IFERROR(IF(($KC49)&gt;0,($JW49*cfg_TroyOz)/($KC49),""),"")</f>
        <v/>
      </c>
      <c r="KJ49" s="56">
        <f>IFERROR(IF(($KD49)&gt;0,($JX49*cfg_TroyOz)/($KD49),""),"")</f>
        <v/>
      </c>
      <c r="KK49" s="56">
        <f>IFERROR(IF(($KE49)&gt;0,($JY49*cfg_TroyOz)/($KE49),""),"")</f>
        <v/>
      </c>
      <c r="KL49" s="67">
        <f>IFERROR(IF(($KF49)&gt;0,($JZ49)/($KF49),""),"")</f>
        <v/>
      </c>
      <c r="KM49" s="67">
        <f>IFERROR(IF(($KG49)&gt;0,($KA49)/($KG49),""),"")</f>
        <v/>
      </c>
      <c r="KN49" s="67">
        <f>IFERROR(IF(($KH49)&gt;0,($KB49)/($KH49),""),"")</f>
        <v/>
      </c>
      <c r="KO49" s="55">
        <f>SUMIFS(tblBudget[Gold_Poured_oz],tblBudget[Month],$E49)</f>
        <v/>
      </c>
      <c r="KP49" s="55">
        <f>$KO49*$C49/$D49</f>
        <v/>
      </c>
      <c r="KQ49" s="55">
        <f>SUMIFS(tblBudget[Gold_Poured_oz],tblBudget[Month],"&lt;"&amp;$E49)+$KP49</f>
        <v/>
      </c>
      <c r="KR49" s="57">
        <f>SUMIFS(tblBudget[Hours_Worked],tblBudget[Month],$E49)</f>
        <v/>
      </c>
      <c r="KS49" s="57">
        <f>$KR49*$C49/$D49</f>
        <v/>
      </c>
      <c r="KT49" s="57">
        <f>SUMIFS(tblBudget[Hours_Worked],tblBudget[Month],"&lt;"&amp;$E49)+$KS49</f>
        <v/>
      </c>
    </row>
    <row r="50">
      <c r="A50" s="54" t="n">
        <v>46071</v>
      </c>
      <c r="B50">
        <f>MONTH($A50)</f>
        <v/>
      </c>
      <c r="C50">
        <f>DAY($A50)</f>
        <v/>
      </c>
      <c r="D50">
        <f>DAY(EOMONTH($A50,0))</f>
        <v/>
      </c>
      <c r="E50" s="54">
        <f>DATE(YEAR($A50),MONTH($A50),1)</f>
        <v/>
      </c>
      <c r="F50" s="55">
        <f>SUMIFS(tblMovement[Tonnes_t],tblMovement[Date],$A50,tblMovement[Is_Ore],1,tblMovement[Source_Type],"Pit")</f>
        <v/>
      </c>
      <c r="G50" s="55">
        <f>IF($B50=$B49,$G49,0)+$F50</f>
        <v/>
      </c>
      <c r="H50" s="55">
        <f>$H49+$F50</f>
        <v/>
      </c>
      <c r="I50" s="55">
        <f>SUMIFS(tblMovement[Ore_oz],tblMovement[Date],$A50,tblMovement[Source_Type],"Pit")</f>
        <v/>
      </c>
      <c r="J50" s="55">
        <f>IF($B50=$B49,$J49,0)+$I50</f>
        <v/>
      </c>
      <c r="K50" s="55">
        <f>$K49+$I50</f>
        <v/>
      </c>
      <c r="L50" s="55">
        <f>SUMIFS(tblMovement[Tonnes_t],tblMovement[Date],$A50,tblMovement[Is_Ore],1,tblMovement[Source_Type],"Pit",tblMovement[Grade_gpt],"&lt;&gt;")</f>
        <v/>
      </c>
      <c r="M50" s="55">
        <f>IF($B50=$B49,$M49,0)+$L50</f>
        <v/>
      </c>
      <c r="N50" s="55">
        <f>$N49+$L50</f>
        <v/>
      </c>
      <c r="O50" s="56">
        <f>IFERROR(IF(($L50)&gt;0,($I50*cfg_TroyOz)/($L50),""),"")</f>
        <v/>
      </c>
      <c r="P50" s="56">
        <f>IFERROR(IF(($M50)&gt;0,($J50*cfg_TroyOz)/($M50),""),"")</f>
        <v/>
      </c>
      <c r="Q50" s="56">
        <f>IFERROR(IF(($N50)&gt;0,($K50*cfg_TroyOz)/($N50),""),"")</f>
        <v/>
      </c>
      <c r="R50" s="55">
        <f>$F50-$L50</f>
        <v/>
      </c>
      <c r="S50" s="55">
        <f>IF($B50=$B49,$S49,0)+$R50</f>
        <v/>
      </c>
      <c r="T50" s="55">
        <f>$T49+$R50</f>
        <v/>
      </c>
      <c r="U50" s="55">
        <f>SUMIFS(tblMovement[Tonnes_t],tblMovement[Date],$A50,tblMovement[Is_Ore],0,tblMovement[Source_Type],"Pit")</f>
        <v/>
      </c>
      <c r="V50" s="55">
        <f>IF($B50=$B49,$V49,0)+$U50</f>
        <v/>
      </c>
      <c r="W50" s="55">
        <f>$W49+$U50</f>
        <v/>
      </c>
      <c r="X50" s="55">
        <f>$F50+$U50</f>
        <v/>
      </c>
      <c r="Y50" s="55">
        <f>IF($B50=$B49,$Y49,0)+$X50</f>
        <v/>
      </c>
      <c r="Z50" s="55">
        <f>$Z49+$X50</f>
        <v/>
      </c>
      <c r="AA50" s="56">
        <f>IFERROR(IF(($F50)&gt;0,($U50)/($F50),""),"")</f>
        <v/>
      </c>
      <c r="AB50" s="56">
        <f>IFERROR(IF(($G50)&gt;0,($V50)/($G50),""),"")</f>
        <v/>
      </c>
      <c r="AC50" s="56">
        <f>IFERROR(IF(($H50)&gt;0,($W50)/($H50),""),"")</f>
        <v/>
      </c>
      <c r="AD50" s="55">
        <f>SUMIFS(tblMovement[Tonnes_t],tblMovement[Date],$A50,tblMovement[Source_Type],"Stockpile")</f>
        <v/>
      </c>
      <c r="AE50" s="55">
        <f>IF($B50=$B49,$AE49,0)+$AD50</f>
        <v/>
      </c>
      <c r="AF50" s="55">
        <f>$AF49+$AD50</f>
        <v/>
      </c>
      <c r="AG50" s="55">
        <f>SUMIFS(tblMovement[Tonnes_t],tblMovement[Date],$A50)</f>
        <v/>
      </c>
      <c r="AH50" s="55">
        <f>IF($B50=$B49,$AH49,0)+$AG50</f>
        <v/>
      </c>
      <c r="AI50" s="55">
        <f>$AI49+$AG50</f>
        <v/>
      </c>
      <c r="AJ50" s="55">
        <f>$AG50-$X50-$AD50</f>
        <v/>
      </c>
      <c r="AK50" s="55">
        <f>IF($B50=$B49,$AK49,0)+$AJ50</f>
        <v/>
      </c>
      <c r="AL50" s="55">
        <f>$AL49+$AJ50</f>
        <v/>
      </c>
      <c r="AM50" s="55">
        <f>SUMIFS(tblMiningDaily[Drill_m],tblMiningDaily[Date],$A50)</f>
        <v/>
      </c>
      <c r="AN50" s="55">
        <f>IF($B50=$B49,$AN49,0)+$AM50</f>
        <v/>
      </c>
      <c r="AO50" s="55">
        <f>$AO49+$AM50</f>
        <v/>
      </c>
      <c r="AP50" s="55">
        <f>SUMIFS(tblMiningDaily[GC_Drill_m],tblMiningDaily[Date],$A50)</f>
        <v/>
      </c>
      <c r="AQ50" s="55">
        <f>IF($B50=$B49,$AQ49,0)+$AP50</f>
        <v/>
      </c>
      <c r="AR50" s="55">
        <f>$AR49+$AP50</f>
        <v/>
      </c>
      <c r="AS50" s="55">
        <f>SUMIFS(tblMiningDaily[Blast_t],tblMiningDaily[Date],$A50)</f>
        <v/>
      </c>
      <c r="AT50" s="55">
        <f>IF($B50=$B49,$AT49,0)+$AS50</f>
        <v/>
      </c>
      <c r="AU50" s="55">
        <f>$AU49+$AS50</f>
        <v/>
      </c>
      <c r="AV50" s="55">
        <f>SUMIFS(tblMiningDaily[Explosives_kg],tblMiningDaily[Date],$A50)</f>
        <v/>
      </c>
      <c r="AW50" s="55">
        <f>IF($B50=$B49,$AW49,0)+$AV50</f>
        <v/>
      </c>
      <c r="AX50" s="55">
        <f>$AX49+$AV50</f>
        <v/>
      </c>
      <c r="AY50" s="56">
        <f>IFERROR(IF(($AS50)&gt;0,($AV50)/($AS50),""),"")</f>
        <v/>
      </c>
      <c r="AZ50" s="56">
        <f>IFERROR(IF(($AT50)&gt;0,($AW50)/($AT50),""),"")</f>
        <v/>
      </c>
      <c r="BA50" s="56">
        <f>IFERROR(IF(($AU50)&gt;0,($AX50)/($AU50),""),"")</f>
        <v/>
      </c>
      <c r="BB50" s="55">
        <f>SUMIFS(tblMiningDaily[Diesel_L],tblMiningDaily[Date],$A50)</f>
        <v/>
      </c>
      <c r="BC50" s="55">
        <f>IF($B50=$B49,$BC49,0)+$BB50</f>
        <v/>
      </c>
      <c r="BD50" s="55">
        <f>$BD49+$BB50</f>
        <v/>
      </c>
      <c r="BE50" s="55">
        <f>SUMIFS(tblMiningDaily[Dewatering_m3],tblMiningDaily[Date],$A50)</f>
        <v/>
      </c>
      <c r="BF50" s="55">
        <f>IF($B50=$B49,$BF49,0)+$BE50</f>
        <v/>
      </c>
      <c r="BG50" s="55">
        <f>$BG49+$BE50</f>
        <v/>
      </c>
      <c r="BH50" s="57">
        <f>SUMIFS(tblFleet[Calendar_h],tblFleet[Date],$A50,tblFleet[Equipment_Class],"Excavator")</f>
        <v/>
      </c>
      <c r="BI50" s="57">
        <f>IF($B50=$B49,$BI49,0)+$BH50</f>
        <v/>
      </c>
      <c r="BJ50" s="57">
        <f>$BJ49+$BH50</f>
        <v/>
      </c>
      <c r="BK50" s="57">
        <f>SUMIFS(tblFleet[Available_h],tblFleet[Date],$A50,tblFleet[Equipment_Class],"Excavator")</f>
        <v/>
      </c>
      <c r="BL50" s="57">
        <f>IF($B50=$B49,$BL49,0)+$BK50</f>
        <v/>
      </c>
      <c r="BM50" s="57">
        <f>$BM49+$BK50</f>
        <v/>
      </c>
      <c r="BN50" s="57">
        <f>SUMIFS(tblFleet[Operating_h],tblFleet[Date],$A50,tblFleet[Equipment_Class],"Excavator")</f>
        <v/>
      </c>
      <c r="BO50" s="57">
        <f>IF($B50=$B49,$BO49,0)+$BN50</f>
        <v/>
      </c>
      <c r="BP50" s="57">
        <f>$BP49+$BN50</f>
        <v/>
      </c>
      <c r="BQ50" s="67">
        <f>IFERROR(IF(($BH50)&gt;0,($BK50)/($BH50),""),"")</f>
        <v/>
      </c>
      <c r="BR50" s="67">
        <f>IFERROR(IF(($BI50)&gt;0,($BL50)/($BI50),""),"")</f>
        <v/>
      </c>
      <c r="BS50" s="67">
        <f>IFERROR(IF(($BJ50)&gt;0,($BM50)/($BJ50),""),"")</f>
        <v/>
      </c>
      <c r="BT50" s="67">
        <f>IFERROR(IF(($BK50)&gt;0,($BN50)/($BK50),""),"")</f>
        <v/>
      </c>
      <c r="BU50" s="67">
        <f>IFERROR(IF(($BL50)&gt;0,($BO50)/($BL50),""),"")</f>
        <v/>
      </c>
      <c r="BV50" s="67">
        <f>IFERROR(IF(($BM50)&gt;0,($BP50)/($BM50),""),"")</f>
        <v/>
      </c>
      <c r="BW50" s="57">
        <f>SUMIFS(tblFleet[Calendar_h],tblFleet[Date],$A50,tblFleet[Equipment_Class],"Haul Truck")</f>
        <v/>
      </c>
      <c r="BX50" s="57">
        <f>IF($B50=$B49,$BX49,0)+$BW50</f>
        <v/>
      </c>
      <c r="BY50" s="57">
        <f>$BY49+$BW50</f>
        <v/>
      </c>
      <c r="BZ50" s="57">
        <f>SUMIFS(tblFleet[Available_h],tblFleet[Date],$A50,tblFleet[Equipment_Class],"Haul Truck")</f>
        <v/>
      </c>
      <c r="CA50" s="57">
        <f>IF($B50=$B49,$CA49,0)+$BZ50</f>
        <v/>
      </c>
      <c r="CB50" s="57">
        <f>$CB49+$BZ50</f>
        <v/>
      </c>
      <c r="CC50" s="57">
        <f>SUMIFS(tblFleet[Operating_h],tblFleet[Date],$A50,tblFleet[Equipment_Class],"Haul Truck")</f>
        <v/>
      </c>
      <c r="CD50" s="57">
        <f>IF($B50=$B49,$CD49,0)+$CC50</f>
        <v/>
      </c>
      <c r="CE50" s="57">
        <f>$CE49+$CC50</f>
        <v/>
      </c>
      <c r="CF50" s="67">
        <f>IFERROR(IF(($BW50)&gt;0,($BZ50)/($BW50),""),"")</f>
        <v/>
      </c>
      <c r="CG50" s="67">
        <f>IFERROR(IF(($BX50)&gt;0,($CA50)/($BX50),""),"")</f>
        <v/>
      </c>
      <c r="CH50" s="67">
        <f>IFERROR(IF(($BY50)&gt;0,($CB50)/($BY50),""),"")</f>
        <v/>
      </c>
      <c r="CI50" s="67">
        <f>IFERROR(IF(($BZ50)&gt;0,($CC50)/($BZ50),""),"")</f>
        <v/>
      </c>
      <c r="CJ50" s="67">
        <f>IFERROR(IF(($CA50)&gt;0,($CD50)/($CA50),""),"")</f>
        <v/>
      </c>
      <c r="CK50" s="67">
        <f>IFERROR(IF(($CB50)&gt;0,($CE50)/($CB50),""),"")</f>
        <v/>
      </c>
      <c r="CL50" s="55">
        <f>IFERROR(IF(($BN50)&gt;0,($X50+$AD50)/($BN50),""),"")</f>
        <v/>
      </c>
      <c r="CM50" s="55">
        <f>IFERROR(IF(($BO50)&gt;0,($Y50+$AE50)/($BO50),""),"")</f>
        <v/>
      </c>
      <c r="CN50" s="55">
        <f>IFERROR(IF(($BP50)&gt;0,($Z50+$AF50)/($BP50),""),"")</f>
        <v/>
      </c>
      <c r="CO50" s="55">
        <f>IFERROR(IF(($CC50)&gt;0,($X50+$AD50)/($CC50),""),"")</f>
        <v/>
      </c>
      <c r="CP50" s="55">
        <f>IFERROR(IF(($CD50)&gt;0,($Y50+$AE50)/($CD50),""),"")</f>
        <v/>
      </c>
      <c r="CQ50" s="55">
        <f>IFERROR(IF(($CE50)&gt;0,($Z50+$AF50)/($CE50),""),"")</f>
        <v/>
      </c>
      <c r="CR50" s="55">
        <f>SUMIFS(tblPlant[Crushed_t],tblPlant[Date],$A50)</f>
        <v/>
      </c>
      <c r="CS50" s="55">
        <f>IF($B50=$B49,$CS49,0)+$CR50</f>
        <v/>
      </c>
      <c r="CT50" s="55">
        <f>$CT49+$CR50</f>
        <v/>
      </c>
      <c r="CU50" s="55">
        <f>SUMIFS(tblPlant[Milled_t],tblPlant[Date],$A50)</f>
        <v/>
      </c>
      <c r="CV50" s="55">
        <f>IF($B50=$B49,$CV49,0)+$CU50</f>
        <v/>
      </c>
      <c r="CW50" s="55">
        <f>$CW49+$CU50</f>
        <v/>
      </c>
      <c r="CX50" s="55">
        <f>SUMIFS(tblPlant[Feed_oz],tblPlant[Date],$A50)</f>
        <v/>
      </c>
      <c r="CY50" s="55">
        <f>IF($B50=$B49,$CY49,0)+$CX50</f>
        <v/>
      </c>
      <c r="CZ50" s="55">
        <f>$CZ49+$CX50</f>
        <v/>
      </c>
      <c r="DA50" s="55">
        <f>SUMIFS(tblPlant[Tails_oz],tblPlant[Date],$A50)</f>
        <v/>
      </c>
      <c r="DB50" s="55">
        <f>IF($B50=$B49,$DB49,0)+$DA50</f>
        <v/>
      </c>
      <c r="DC50" s="55">
        <f>$DC49+$DA50</f>
        <v/>
      </c>
      <c r="DD50" s="55">
        <f>SUMIFS(tblPlant[Recovered_oz],tblPlant[Date],$A50)</f>
        <v/>
      </c>
      <c r="DE50" s="55">
        <f>IF($B50=$B49,$DE49,0)+$DD50</f>
        <v/>
      </c>
      <c r="DF50" s="55">
        <f>$DF49+$DD50</f>
        <v/>
      </c>
      <c r="DG50" s="55">
        <f>SUMIFS(tblPlant[Milled_t],tblPlant[Date],$A50,tblPlant[Head_Grade_gpt],"&lt;&gt;")</f>
        <v/>
      </c>
      <c r="DH50" s="55">
        <f>IF($B50=$B49,$DH49,0)+$DG50</f>
        <v/>
      </c>
      <c r="DI50" s="55">
        <f>$DI49+$DG50</f>
        <v/>
      </c>
      <c r="DJ50" s="55">
        <f>SUMIFS(tblPlant[Milled_t],tblPlant[Date],$A50,tblPlant[Tails_Grade_gpt],"&lt;&gt;")</f>
        <v/>
      </c>
      <c r="DK50" s="55">
        <f>IF($B50=$B49,$DK49,0)+$DJ50</f>
        <v/>
      </c>
      <c r="DL50" s="55">
        <f>$DL49+$DJ50</f>
        <v/>
      </c>
      <c r="DM50" s="55">
        <f>SUMIFS(tblPlant[Feed_oz],tblPlant[Date],$A50,tblPlant[Tails_Grade_gpt],"&lt;&gt;")</f>
        <v/>
      </c>
      <c r="DN50" s="55">
        <f>IF($B50=$B49,$DN49,0)+$DM50</f>
        <v/>
      </c>
      <c r="DO50" s="55">
        <f>$DO49+$DM50</f>
        <v/>
      </c>
      <c r="DP50" s="55">
        <f>SUMIFS(tblPlant[Milled_t],tblPlant[Date],$A50,tblPlant[Mill_Run_h],"&lt;&gt;")</f>
        <v/>
      </c>
      <c r="DQ50" s="55">
        <f>IF($B50=$B49,$DQ49,0)+$DP50</f>
        <v/>
      </c>
      <c r="DR50" s="55">
        <f>$DR49+$DP50</f>
        <v/>
      </c>
      <c r="DS50" s="56">
        <f>IFERROR(IF(($DG50)&gt;0,($CX50*cfg_TroyOz)/($DG50),""),"")</f>
        <v/>
      </c>
      <c r="DT50" s="56">
        <f>IFERROR(IF(($DH50)&gt;0,($CY50*cfg_TroyOz)/($DH50),""),"")</f>
        <v/>
      </c>
      <c r="DU50" s="56">
        <f>IFERROR(IF(($DI50)&gt;0,($CZ50*cfg_TroyOz)/($DI50),""),"")</f>
        <v/>
      </c>
      <c r="DV50" s="56">
        <f>IFERROR(IF(($DJ50)&gt;0,($DA50*cfg_TroyOz)/($DJ50),""),"")</f>
        <v/>
      </c>
      <c r="DW50" s="56">
        <f>IFERROR(IF(($DK50)&gt;0,($DB50*cfg_TroyOz)/($DK50),""),"")</f>
        <v/>
      </c>
      <c r="DX50" s="56">
        <f>IFERROR(IF(($DL50)&gt;0,($DC50*cfg_TroyOz)/($DL50),""),"")</f>
        <v/>
      </c>
      <c r="DY50" s="67">
        <f>IFERROR(IF(($DM50)&gt;0,($DD50)/($DM50),""),"")</f>
        <v/>
      </c>
      <c r="DZ50" s="67">
        <f>IFERROR(IF(($DN50)&gt;0,($DE50)/($DN50),""),"")</f>
        <v/>
      </c>
      <c r="EA50" s="67">
        <f>IFERROR(IF(($DO50)&gt;0,($DF50)/($DO50),""),"")</f>
        <v/>
      </c>
      <c r="EB50" s="55">
        <f>SUMIFS(tblPlant[Gravity_Gold_oz],tblPlant[Date],$A50)</f>
        <v/>
      </c>
      <c r="EC50" s="55">
        <f>IF($B50=$B49,$EC49,0)+$EB50</f>
        <v/>
      </c>
      <c r="ED50" s="55">
        <f>$ED49+$EB50</f>
        <v/>
      </c>
      <c r="EE50" s="67">
        <f>IFERROR(IF(($DD50)&gt;0,($EB50)/($DD50),""),"")</f>
        <v/>
      </c>
      <c r="EF50" s="67">
        <f>IFERROR(IF(($DE50)&gt;0,($EC50)/($DE50),""),"")</f>
        <v/>
      </c>
      <c r="EG50" s="67">
        <f>IFERROR(IF(($DF50)&gt;0,($ED50)/($DF50),""),"")</f>
        <v/>
      </c>
      <c r="EH50" s="55">
        <f>SUMIFS(tblPlant[Gold_Poured_oz],tblPlant[Date],$A50)</f>
        <v/>
      </c>
      <c r="EI50" s="55">
        <f>IF($B50=$B49,$EI49,0)+$EH50</f>
        <v/>
      </c>
      <c r="EJ50" s="55">
        <f>$EJ49+$EH50</f>
        <v/>
      </c>
      <c r="EK50" s="57">
        <f>SUMIFS(tblPlant[Mill_Run_h],tblPlant[Date],$A50)</f>
        <v/>
      </c>
      <c r="EL50" s="57">
        <f>IF($B50=$B49,$EL49,0)+$EK50</f>
        <v/>
      </c>
      <c r="EM50" s="57">
        <f>$EM49+$EK50</f>
        <v/>
      </c>
      <c r="EN50" s="57">
        <f>SUMIFS(tblPlant[Mill_Planned_Maint_h],tblPlant[Date],$A50)</f>
        <v/>
      </c>
      <c r="EO50" s="57">
        <f>IF($B50=$B49,$EO49,0)+$EN50</f>
        <v/>
      </c>
      <c r="EP50" s="57">
        <f>$EP49+$EN50</f>
        <v/>
      </c>
      <c r="EQ50" s="57">
        <f>SUMIFS(tblPlant[Mill_Unplanned_Down_h],tblPlant[Date],$A50)</f>
        <v/>
      </c>
      <c r="ER50" s="57">
        <f>IF($B50=$B49,$ER49,0)+$EQ50</f>
        <v/>
      </c>
      <c r="ES50" s="57">
        <f>$ES49+$EQ50</f>
        <v/>
      </c>
      <c r="ET50" s="57">
        <f>IF(COUNTIFS(tblPlant[Date],$A50,tblPlant[Mill_Run_h],"&lt;&gt;")+COUNTIFS(tblPlant[Date],$A50,tblPlant[Mill_Planned_Maint_h],"&lt;&gt;")+COUNTIFS(tblPlant[Date],$A50,tblPlant[Mill_Unplanned_Down_h],"&lt;&gt;")&gt;0,cfg_HoursPerDay,0)</f>
        <v/>
      </c>
      <c r="EU50" s="57">
        <f>IF($B50=$B49,$EU49,0)+$ET50</f>
        <v/>
      </c>
      <c r="EV50" s="57">
        <f>$EV49+$ET50</f>
        <v/>
      </c>
      <c r="EW50" s="57">
        <f>SUMIFS(tblPlant[Crusher_Run_h],tblPlant[Date],$A50)</f>
        <v/>
      </c>
      <c r="EX50" s="57">
        <f>IF($B50=$B49,$EX49,0)+$EW50</f>
        <v/>
      </c>
      <c r="EY50" s="57">
        <f>$EY49+$EW50</f>
        <v/>
      </c>
      <c r="EZ50" s="55">
        <f>IFERROR(IF(($EK50)&gt;0,($DP50)/($EK50),""),"")</f>
        <v/>
      </c>
      <c r="FA50" s="55">
        <f>IFERROR(IF(($EL50)&gt;0,($DQ50)/($EL50),""),"")</f>
        <v/>
      </c>
      <c r="FB50" s="55">
        <f>IFERROR(IF(($EM50)&gt;0,($DR50)/($EM50),""),"")</f>
        <v/>
      </c>
      <c r="FC50" s="67">
        <f>IFERROR(IF(($ET50)&gt;0,($ET50-$EN50-$EQ50)/($ET50),""),"")</f>
        <v/>
      </c>
      <c r="FD50" s="67">
        <f>IFERROR(IF(($EU50)&gt;0,($EU50-$EO50-$ER50)/($EU50),""),"")</f>
        <v/>
      </c>
      <c r="FE50" s="67">
        <f>IFERROR(IF(($EV50)&gt;0,($EV50-$EP50-$ES50)/($EV50),""),"")</f>
        <v/>
      </c>
      <c r="FF50" s="67">
        <f>IFERROR(IF(($ET50-$EN50-$EQ50)&gt;0,($EK50)/($ET50-$EN50-$EQ50),""),"")</f>
        <v/>
      </c>
      <c r="FG50" s="67">
        <f>IFERROR(IF(($EU50-$EO50-$ER50)&gt;0,($EL50)/($EU50-$EO50-$ER50),""),"")</f>
        <v/>
      </c>
      <c r="FH50" s="67">
        <f>IFERROR(IF(($EV50-$EP50-$ES50)&gt;0,($EM50)/($EV50-$EP50-$ES50),""),"")</f>
        <v/>
      </c>
      <c r="FI50" s="55">
        <f>SUMIFS(tblPlant[Cyanide_kg],tblPlant[Date],$A50)</f>
        <v/>
      </c>
      <c r="FJ50" s="55">
        <f>IF($B50=$B49,$FJ49,0)+$FI50</f>
        <v/>
      </c>
      <c r="FK50" s="55">
        <f>$FK49+$FI50</f>
        <v/>
      </c>
      <c r="FL50" s="55">
        <f>SUMIFS(tblPlant[Lime_kg],tblPlant[Date],$A50)</f>
        <v/>
      </c>
      <c r="FM50" s="55">
        <f>IF($B50=$B49,$FM49,0)+$FL50</f>
        <v/>
      </c>
      <c r="FN50" s="55">
        <f>$FN49+$FL50</f>
        <v/>
      </c>
      <c r="FO50" s="55">
        <f>SUMIFS(tblPlant[Grinding_Media_kg],tblPlant[Date],$A50)</f>
        <v/>
      </c>
      <c r="FP50" s="55">
        <f>IF($B50=$B49,$FP49,0)+$FO50</f>
        <v/>
      </c>
      <c r="FQ50" s="55">
        <f>$FQ49+$FO50</f>
        <v/>
      </c>
      <c r="FR50" s="55">
        <f>SUMIFS(tblPlant[Power_kWh],tblPlant[Date],$A50)</f>
        <v/>
      </c>
      <c r="FS50" s="55">
        <f>IF($B50=$B49,$FS49,0)+$FR50</f>
        <v/>
      </c>
      <c r="FT50" s="55">
        <f>$FT49+$FR50</f>
        <v/>
      </c>
      <c r="FU50" s="55">
        <f>SUMIFS(tblPlant[Raw_Water_m3],tblPlant[Date],$A50)</f>
        <v/>
      </c>
      <c r="FV50" s="55">
        <f>IF($B50=$B49,$FV49,0)+$FU50</f>
        <v/>
      </c>
      <c r="FW50" s="55">
        <f>$FW49+$FU50</f>
        <v/>
      </c>
      <c r="FX50" s="56">
        <f>IFERROR(IF(($CU50)&gt;0,($FI50)/($CU50),""),"")</f>
        <v/>
      </c>
      <c r="FY50" s="56">
        <f>IFERROR(IF(($CV50)&gt;0,($FJ50)/($CV50),""),"")</f>
        <v/>
      </c>
      <c r="FZ50" s="56">
        <f>IFERROR(IF(($CW50)&gt;0,($FK50)/($CW50),""),"")</f>
        <v/>
      </c>
      <c r="GA50" s="56">
        <f>IFERROR(IF(($CU50)&gt;0,($FL50)/($CU50),""),"")</f>
        <v/>
      </c>
      <c r="GB50" s="56">
        <f>IFERROR(IF(($CV50)&gt;0,($FM50)/($CV50),""),"")</f>
        <v/>
      </c>
      <c r="GC50" s="56">
        <f>IFERROR(IF(($CW50)&gt;0,($FN50)/($CW50),""),"")</f>
        <v/>
      </c>
      <c r="GD50" s="56">
        <f>IFERROR(IF(($CU50)&gt;0,($FO50)/($CU50),""),"")</f>
        <v/>
      </c>
      <c r="GE50" s="56">
        <f>IFERROR(IF(($CV50)&gt;0,($FP50)/($CV50),""),"")</f>
        <v/>
      </c>
      <c r="GF50" s="56">
        <f>IFERROR(IF(($CW50)&gt;0,($FQ50)/($CW50),""),"")</f>
        <v/>
      </c>
      <c r="GG50" s="79">
        <f>IFERROR(IF(($CU50)&gt;0,($FR50)/($CU50),""),"")</f>
        <v/>
      </c>
      <c r="GH50" s="79">
        <f>IFERROR(IF(($CV50)&gt;0,($FS50)/($CV50),""),"")</f>
        <v/>
      </c>
      <c r="GI50" s="79">
        <f>IFERROR(IF(($CW50)&gt;0,($FT50)/($CW50),""),"")</f>
        <v/>
      </c>
      <c r="GJ50" s="56">
        <f>IFERROR(IF(($CU50)&gt;0,($FU50)/($CU50),""),"")</f>
        <v/>
      </c>
      <c r="GK50" s="56">
        <f>IFERROR(IF(($CV50)&gt;0,($FV50)/($CV50),""),"")</f>
        <v/>
      </c>
      <c r="GL50" s="56">
        <f>IFERROR(IF(($CW50)&gt;0,($FW50)/($CW50),""),"")</f>
        <v/>
      </c>
      <c r="GM50" s="55">
        <f>IF(SUMIFS(tblPlant[GIC_oz],tblPlant[Date],$A50)&gt;0,SUMIFS(tblPlant[GIC_oz],tblPlant[Date],$A50),"")</f>
        <v/>
      </c>
      <c r="GN50" s="55">
        <f>SUMIFS(tblGold[Gold_oz],tblGold[Date],$A50,tblGold[Type],"Shipment")</f>
        <v/>
      </c>
      <c r="GO50" s="55">
        <f>IF($B50=$B49,$GO49,0)+$GN50</f>
        <v/>
      </c>
      <c r="GP50" s="55">
        <f>$GP49+$GN50</f>
        <v/>
      </c>
      <c r="GQ50" s="55">
        <f>SUMIFS(tblGold[Gold_oz],tblGold[Date],$A50,tblGold[Type],"Sale")</f>
        <v/>
      </c>
      <c r="GR50" s="55">
        <f>IF($B50=$B49,$GR49,0)+$GQ50</f>
        <v/>
      </c>
      <c r="GS50" s="55">
        <f>$GS49+$GQ50</f>
        <v/>
      </c>
      <c r="GT50" s="55">
        <f>SUMIFS(tblGold[Dore_kg],tblGold[Date],$A50,tblGold[Type],"Shipment")</f>
        <v/>
      </c>
      <c r="GU50" s="55">
        <f>IF($B50=$B49,$GU49,0)+$GT50</f>
        <v/>
      </c>
      <c r="GV50" s="55">
        <f>$GV49+$GT50</f>
        <v/>
      </c>
      <c r="GW50" s="57">
        <f>SUMIFS(tblSafety[Hours_Total],tblSafety[Date],$A50)</f>
        <v/>
      </c>
      <c r="GX50" s="57">
        <f>IF($B50=$B49,$GX49,0)+$GW50</f>
        <v/>
      </c>
      <c r="GY50" s="57">
        <f>$GY49+$GW50</f>
        <v/>
      </c>
      <c r="GZ50" s="62">
        <f>SUMIFS(tblSafety[Fatality],tblSafety[Date],$A50)</f>
        <v/>
      </c>
      <c r="HA50" s="62">
        <f>IF($B50=$B49,$HA49,0)+$GZ50</f>
        <v/>
      </c>
      <c r="HB50" s="62">
        <f>$HB49+$GZ50</f>
        <v/>
      </c>
      <c r="HC50" s="62">
        <f>SUMIFS(tblSafety[LTI],tblSafety[Date],$A50)</f>
        <v/>
      </c>
      <c r="HD50" s="62">
        <f>IF($B50=$B49,$HD49,0)+$HC50</f>
        <v/>
      </c>
      <c r="HE50" s="62">
        <f>$HE49+$HC50</f>
        <v/>
      </c>
      <c r="HF50" s="62">
        <f>SUMIFS(tblSafety[RWI],tblSafety[Date],$A50)</f>
        <v/>
      </c>
      <c r="HG50" s="62">
        <f>IF($B50=$B49,$HG49,0)+$HF50</f>
        <v/>
      </c>
      <c r="HH50" s="62">
        <f>$HH49+$HF50</f>
        <v/>
      </c>
      <c r="HI50" s="62">
        <f>SUMIFS(tblSafety[MTI],tblSafety[Date],$A50)</f>
        <v/>
      </c>
      <c r="HJ50" s="62">
        <f>IF($B50=$B49,$HJ49,0)+$HI50</f>
        <v/>
      </c>
      <c r="HK50" s="62">
        <f>$HK49+$HI50</f>
        <v/>
      </c>
      <c r="HL50" s="62">
        <f>SUMIFS(tblSafety[FAI],tblSafety[Date],$A50)</f>
        <v/>
      </c>
      <c r="HM50" s="62">
        <f>IF($B50=$B49,$HM49,0)+$HL50</f>
        <v/>
      </c>
      <c r="HN50" s="62">
        <f>$HN49+$HL50</f>
        <v/>
      </c>
      <c r="HO50" s="62">
        <f>SUMIFS(tblSafety[Recordables],tblSafety[Date],$A50)</f>
        <v/>
      </c>
      <c r="HP50" s="62">
        <f>IF($B50=$B49,$HP49,0)+$HO50</f>
        <v/>
      </c>
      <c r="HQ50" s="62">
        <f>$HQ49+$HO50</f>
        <v/>
      </c>
      <c r="HR50" s="62">
        <f>SUMIFS(tblSafety[Near_Miss],tblSafety[Date],$A50)</f>
        <v/>
      </c>
      <c r="HS50" s="62">
        <f>IF($B50=$B49,$HS49,0)+$HR50</f>
        <v/>
      </c>
      <c r="HT50" s="62">
        <f>$HT49+$HR50</f>
        <v/>
      </c>
      <c r="HU50" s="62">
        <f>SUMIFS(tblSafety[Hazard_Reports],tblSafety[Date],$A50)</f>
        <v/>
      </c>
      <c r="HV50" s="62">
        <f>IF($B50=$B49,$HV49,0)+$HU50</f>
        <v/>
      </c>
      <c r="HW50" s="62">
        <f>$HW49+$HU50</f>
        <v/>
      </c>
      <c r="HX50" s="62">
        <f>SUMIFS(tblSafety[HPI],tblSafety[Date],$A50)</f>
        <v/>
      </c>
      <c r="HY50" s="62">
        <f>IF($B50=$B49,$HY49,0)+$HX50</f>
        <v/>
      </c>
      <c r="HZ50" s="62">
        <f>$HZ49+$HX50</f>
        <v/>
      </c>
      <c r="IA50" s="62">
        <f>SUMIFS(tblSafety[Env_Incidents],tblSafety[Date],$A50)</f>
        <v/>
      </c>
      <c r="IB50" s="62">
        <f>IF($B50=$B49,$IB49,0)+$IA50</f>
        <v/>
      </c>
      <c r="IC50" s="62">
        <f>$IC49+$IA50</f>
        <v/>
      </c>
      <c r="ID50" s="62">
        <f>SUMIFS(tblSafety[Community_Incidents],tblSafety[Date],$A50)</f>
        <v/>
      </c>
      <c r="IE50" s="62">
        <f>IF($B50=$B49,$IE49,0)+$ID50</f>
        <v/>
      </c>
      <c r="IF50" s="62">
        <f>$IF49+$ID50</f>
        <v/>
      </c>
      <c r="IG50" s="62">
        <f>SUMIFS(tblSafety[Vehicle_Incidents],tblSafety[Date],$A50)</f>
        <v/>
      </c>
      <c r="IH50" s="62">
        <f>IF($B50=$B49,$IH49,0)+$IG50</f>
        <v/>
      </c>
      <c r="II50" s="62">
        <f>$II49+$IG50</f>
        <v/>
      </c>
      <c r="IJ50" s="62">
        <f>SUMIFS(tblSafety[Toolbox_Talks],tblSafety[Date],$A50)</f>
        <v/>
      </c>
      <c r="IK50" s="62">
        <f>IF($B50=$B49,$IK49,0)+$IJ50</f>
        <v/>
      </c>
      <c r="IL50" s="62">
        <f>$IL49+$IJ50</f>
        <v/>
      </c>
      <c r="IM50" s="62">
        <f>SUMIFS(tblSafety[Inspections],tblSafety[Date],$A50)</f>
        <v/>
      </c>
      <c r="IN50" s="62">
        <f>IF($B50=$B49,$IN49,0)+$IM50</f>
        <v/>
      </c>
      <c r="IO50" s="62">
        <f>$IO49+$IM50</f>
        <v/>
      </c>
      <c r="IP50" s="56">
        <f>IFERROR((SUMIFS(tblSafety[Recordables],tblSafety[Date],"&gt;="&amp;EDATE($E50,-12),tblSafety[Date],"&lt;="&amp;$A50)+SUMIFS(tblSafetyHistory[Recordables],tblSafetyHistory[Month],"&gt;="&amp;EDATE($E50,-12),tblSafetyHistory[Month],"&lt;"&amp;$E50,tblSafetyHistory[Use],1))/(SUMIFS(tblSafety[Hours_Total],tblSafety[Date],"&gt;="&amp;EDATE($E50,-12),tblSafety[Date],"&lt;="&amp;$A50)+SUMIFS(tblSafetyHistory[Hours_Total],tblSafetyHistory[Month],"&gt;="&amp;EDATE($E50,-12),tblSafetyHistory[Month],"&lt;"&amp;$E50,tblSafetyHistory[Use],1))*cfg_RateBasisHours,"")</f>
        <v/>
      </c>
      <c r="IQ50" s="56">
        <f>IFERROR((SUMIFS(tblSafety[LTI],tblSafety[Date],"&gt;="&amp;EDATE($E50,-12),tblSafety[Date],"&lt;="&amp;$A50)+SUMIFS(tblSafetyHistory[LTI],tblSafetyHistory[Month],"&gt;="&amp;EDATE($E50,-12),tblSafetyHistory[Month],"&lt;"&amp;$E50,tblSafetyHistory[Use],1))/(SUMIFS(tblSafety[Hours_Total],tblSafety[Date],"&gt;="&amp;EDATE($E50,-12),tblSafety[Date],"&lt;="&amp;$A50)+SUMIFS(tblSafetyHistory[Hours_Total],tblSafetyHistory[Month],"&gt;="&amp;EDATE($E50,-12),tblSafetyHistory[Month],"&lt;"&amp;$E50,tblSafetyHistory[Use],1))*cfg_RateBasisHours,"")</f>
        <v/>
      </c>
      <c r="IR50" s="62">
        <f>IF(MAX(N(cfg_PriorLTIDate),_xlfn.MAXIFS(tblSafety[Date],tblSafety[LTI],"&gt;0",tblSafety[Date],"&lt;="&amp;$A50))=0,"",$A50-MAX(N(cfg_PriorLTIDate),_xlfn.MAXIFS(tblSafety[Date],tblSafety[LTI],"&gt;0",tblSafety[Date],"&lt;="&amp;$A50)))</f>
        <v/>
      </c>
      <c r="IS50" s="55">
        <f>SUMIFS(tblBudget[Ore_Mined_t],tblBudget[Month],$E50)</f>
        <v/>
      </c>
      <c r="IT50" s="55">
        <f>$IS50*$C50/$D50</f>
        <v/>
      </c>
      <c r="IU50" s="55">
        <f>SUMIFS(tblBudget[Ore_Mined_t],tblBudget[Month],"&lt;"&amp;$E50)+$IT50</f>
        <v/>
      </c>
      <c r="IV50" s="55">
        <f>SUMIFS(tblBudget[Ore_oz],tblBudget[Month],$E50)</f>
        <v/>
      </c>
      <c r="IW50" s="55">
        <f>$IV50*$C50/$D50</f>
        <v/>
      </c>
      <c r="IX50" s="55">
        <f>SUMIFS(tblBudget[Ore_oz],tblBudget[Month],"&lt;"&amp;$E50)+$IW50</f>
        <v/>
      </c>
      <c r="IY50" s="55">
        <f>SUMIFS(tblBudget[Ore_Mined_t],tblBudget[Month],$E50)</f>
        <v/>
      </c>
      <c r="IZ50" s="55">
        <f>$IY50*$C50/$D50</f>
        <v/>
      </c>
      <c r="JA50" s="55">
        <f>SUMIFS(tblBudget[Ore_Mined_t],tblBudget[Month],"&lt;"&amp;$E50)+$IZ50</f>
        <v/>
      </c>
      <c r="JB50" s="56">
        <f>IFERROR(IF(($IY50)&gt;0,($IV50*cfg_TroyOz)/($IY50),""),"")</f>
        <v/>
      </c>
      <c r="JC50" s="56">
        <f>IFERROR(IF(($IZ50)&gt;0,($IW50*cfg_TroyOz)/($IZ50),""),"")</f>
        <v/>
      </c>
      <c r="JD50" s="56">
        <f>IFERROR(IF(($JA50)&gt;0,($IX50*cfg_TroyOz)/($JA50),""),"")</f>
        <v/>
      </c>
      <c r="JE50" s="55">
        <f>SUMIFS(tblBudget[Waste_t],tblBudget[Month],$E50)</f>
        <v/>
      </c>
      <c r="JF50" s="55">
        <f>$JE50*$C50/$D50</f>
        <v/>
      </c>
      <c r="JG50" s="55">
        <f>SUMIFS(tblBudget[Waste_t],tblBudget[Month],"&lt;"&amp;$E50)+$JF50</f>
        <v/>
      </c>
      <c r="JH50" s="55">
        <f>SUMIFS(tblBudget[TMM_t],tblBudget[Month],$E50)</f>
        <v/>
      </c>
      <c r="JI50" s="55">
        <f>$JH50*$C50/$D50</f>
        <v/>
      </c>
      <c r="JJ50" s="55">
        <f>SUMIFS(tblBudget[TMM_t],tblBudget[Month],"&lt;"&amp;$E50)+$JI50</f>
        <v/>
      </c>
      <c r="JK50" s="56">
        <f>IFERROR(IF(($IS50)&gt;0,($JE50)/($IS50),""),"")</f>
        <v/>
      </c>
      <c r="JL50" s="56">
        <f>IFERROR(IF(($IT50)&gt;0,($JF50)/($IT50),""),"")</f>
        <v/>
      </c>
      <c r="JM50" s="56">
        <f>IFERROR(IF(($IU50)&gt;0,($JG50)/($IU50),""),"")</f>
        <v/>
      </c>
      <c r="JN50" s="55">
        <f>SUMIFS(tblBudget[Drill_m],tblBudget[Month],$E50)</f>
        <v/>
      </c>
      <c r="JO50" s="55">
        <f>$JN50*$C50/$D50</f>
        <v/>
      </c>
      <c r="JP50" s="55">
        <f>SUMIFS(tblBudget[Drill_m],tblBudget[Month],"&lt;"&amp;$E50)+$JO50</f>
        <v/>
      </c>
      <c r="JQ50" s="55">
        <f>SUMIFS(tblBudget[Diesel_L],tblBudget[Month],$E50)</f>
        <v/>
      </c>
      <c r="JR50" s="55">
        <f>$JQ50*$C50/$D50</f>
        <v/>
      </c>
      <c r="JS50" s="55">
        <f>SUMIFS(tblBudget[Diesel_L],tblBudget[Month],"&lt;"&amp;$E50)+$JR50</f>
        <v/>
      </c>
      <c r="JT50" s="55">
        <f>SUMIFS(tblBudget[Milled_t],tblBudget[Month],$E50)</f>
        <v/>
      </c>
      <c r="JU50" s="55">
        <f>$JT50*$C50/$D50</f>
        <v/>
      </c>
      <c r="JV50" s="55">
        <f>SUMIFS(tblBudget[Milled_t],tblBudget[Month],"&lt;"&amp;$E50)+$JU50</f>
        <v/>
      </c>
      <c r="JW50" s="55">
        <f>SUMIFS(tblBudget[Feed_oz],tblBudget[Month],$E50)</f>
        <v/>
      </c>
      <c r="JX50" s="55">
        <f>$JW50*$C50/$D50</f>
        <v/>
      </c>
      <c r="JY50" s="55">
        <f>SUMIFS(tblBudget[Feed_oz],tblBudget[Month],"&lt;"&amp;$E50)+$JX50</f>
        <v/>
      </c>
      <c r="JZ50" s="55">
        <f>SUMIFS(tblBudget[Recovered_oz],tblBudget[Month],$E50)</f>
        <v/>
      </c>
      <c r="KA50" s="55">
        <f>$JZ50*$C50/$D50</f>
        <v/>
      </c>
      <c r="KB50" s="55">
        <f>SUMIFS(tblBudget[Recovered_oz],tblBudget[Month],"&lt;"&amp;$E50)+$KA50</f>
        <v/>
      </c>
      <c r="KC50" s="55">
        <f>SUMIFS(tblBudget[Milled_t],tblBudget[Month],$E50)</f>
        <v/>
      </c>
      <c r="KD50" s="55">
        <f>$KC50*$C50/$D50</f>
        <v/>
      </c>
      <c r="KE50" s="55">
        <f>SUMIFS(tblBudget[Milled_t],tblBudget[Month],"&lt;"&amp;$E50)+$KD50</f>
        <v/>
      </c>
      <c r="KF50" s="55">
        <f>SUMIFS(tblBudget[Feed_oz],tblBudget[Month],$E50)</f>
        <v/>
      </c>
      <c r="KG50" s="55">
        <f>$KF50*$C50/$D50</f>
        <v/>
      </c>
      <c r="KH50" s="55">
        <f>SUMIFS(tblBudget[Feed_oz],tblBudget[Month],"&lt;"&amp;$E50)+$KG50</f>
        <v/>
      </c>
      <c r="KI50" s="56">
        <f>IFERROR(IF(($KC50)&gt;0,($JW50*cfg_TroyOz)/($KC50),""),"")</f>
        <v/>
      </c>
      <c r="KJ50" s="56">
        <f>IFERROR(IF(($KD50)&gt;0,($JX50*cfg_TroyOz)/($KD50),""),"")</f>
        <v/>
      </c>
      <c r="KK50" s="56">
        <f>IFERROR(IF(($KE50)&gt;0,($JY50*cfg_TroyOz)/($KE50),""),"")</f>
        <v/>
      </c>
      <c r="KL50" s="67">
        <f>IFERROR(IF(($KF50)&gt;0,($JZ50)/($KF50),""),"")</f>
        <v/>
      </c>
      <c r="KM50" s="67">
        <f>IFERROR(IF(($KG50)&gt;0,($KA50)/($KG50),""),"")</f>
        <v/>
      </c>
      <c r="KN50" s="67">
        <f>IFERROR(IF(($KH50)&gt;0,($KB50)/($KH50),""),"")</f>
        <v/>
      </c>
      <c r="KO50" s="55">
        <f>SUMIFS(tblBudget[Gold_Poured_oz],tblBudget[Month],$E50)</f>
        <v/>
      </c>
      <c r="KP50" s="55">
        <f>$KO50*$C50/$D50</f>
        <v/>
      </c>
      <c r="KQ50" s="55">
        <f>SUMIFS(tblBudget[Gold_Poured_oz],tblBudget[Month],"&lt;"&amp;$E50)+$KP50</f>
        <v/>
      </c>
      <c r="KR50" s="57">
        <f>SUMIFS(tblBudget[Hours_Worked],tblBudget[Month],$E50)</f>
        <v/>
      </c>
      <c r="KS50" s="57">
        <f>$KR50*$C50/$D50</f>
        <v/>
      </c>
      <c r="KT50" s="57">
        <f>SUMIFS(tblBudget[Hours_Worked],tblBudget[Month],"&lt;"&amp;$E50)+$KS50</f>
        <v/>
      </c>
    </row>
    <row r="51">
      <c r="A51" s="54" t="n">
        <v>46072</v>
      </c>
      <c r="B51">
        <f>MONTH($A51)</f>
        <v/>
      </c>
      <c r="C51">
        <f>DAY($A51)</f>
        <v/>
      </c>
      <c r="D51">
        <f>DAY(EOMONTH($A51,0))</f>
        <v/>
      </c>
      <c r="E51" s="54">
        <f>DATE(YEAR($A51),MONTH($A51),1)</f>
        <v/>
      </c>
      <c r="F51" s="55">
        <f>SUMIFS(tblMovement[Tonnes_t],tblMovement[Date],$A51,tblMovement[Is_Ore],1,tblMovement[Source_Type],"Pit")</f>
        <v/>
      </c>
      <c r="G51" s="55">
        <f>IF($B51=$B50,$G50,0)+$F51</f>
        <v/>
      </c>
      <c r="H51" s="55">
        <f>$H50+$F51</f>
        <v/>
      </c>
      <c r="I51" s="55">
        <f>SUMIFS(tblMovement[Ore_oz],tblMovement[Date],$A51,tblMovement[Source_Type],"Pit")</f>
        <v/>
      </c>
      <c r="J51" s="55">
        <f>IF($B51=$B50,$J50,0)+$I51</f>
        <v/>
      </c>
      <c r="K51" s="55">
        <f>$K50+$I51</f>
        <v/>
      </c>
      <c r="L51" s="55">
        <f>SUMIFS(tblMovement[Tonnes_t],tblMovement[Date],$A51,tblMovement[Is_Ore],1,tblMovement[Source_Type],"Pit",tblMovement[Grade_gpt],"&lt;&gt;")</f>
        <v/>
      </c>
      <c r="M51" s="55">
        <f>IF($B51=$B50,$M50,0)+$L51</f>
        <v/>
      </c>
      <c r="N51" s="55">
        <f>$N50+$L51</f>
        <v/>
      </c>
      <c r="O51" s="56">
        <f>IFERROR(IF(($L51)&gt;0,($I51*cfg_TroyOz)/($L51),""),"")</f>
        <v/>
      </c>
      <c r="P51" s="56">
        <f>IFERROR(IF(($M51)&gt;0,($J51*cfg_TroyOz)/($M51),""),"")</f>
        <v/>
      </c>
      <c r="Q51" s="56">
        <f>IFERROR(IF(($N51)&gt;0,($K51*cfg_TroyOz)/($N51),""),"")</f>
        <v/>
      </c>
      <c r="R51" s="55">
        <f>$F51-$L51</f>
        <v/>
      </c>
      <c r="S51" s="55">
        <f>IF($B51=$B50,$S50,0)+$R51</f>
        <v/>
      </c>
      <c r="T51" s="55">
        <f>$T50+$R51</f>
        <v/>
      </c>
      <c r="U51" s="55">
        <f>SUMIFS(tblMovement[Tonnes_t],tblMovement[Date],$A51,tblMovement[Is_Ore],0,tblMovement[Source_Type],"Pit")</f>
        <v/>
      </c>
      <c r="V51" s="55">
        <f>IF($B51=$B50,$V50,0)+$U51</f>
        <v/>
      </c>
      <c r="W51" s="55">
        <f>$W50+$U51</f>
        <v/>
      </c>
      <c r="X51" s="55">
        <f>$F51+$U51</f>
        <v/>
      </c>
      <c r="Y51" s="55">
        <f>IF($B51=$B50,$Y50,0)+$X51</f>
        <v/>
      </c>
      <c r="Z51" s="55">
        <f>$Z50+$X51</f>
        <v/>
      </c>
      <c r="AA51" s="56">
        <f>IFERROR(IF(($F51)&gt;0,($U51)/($F51),""),"")</f>
        <v/>
      </c>
      <c r="AB51" s="56">
        <f>IFERROR(IF(($G51)&gt;0,($V51)/($G51),""),"")</f>
        <v/>
      </c>
      <c r="AC51" s="56">
        <f>IFERROR(IF(($H51)&gt;0,($W51)/($H51),""),"")</f>
        <v/>
      </c>
      <c r="AD51" s="55">
        <f>SUMIFS(tblMovement[Tonnes_t],tblMovement[Date],$A51,tblMovement[Source_Type],"Stockpile")</f>
        <v/>
      </c>
      <c r="AE51" s="55">
        <f>IF($B51=$B50,$AE50,0)+$AD51</f>
        <v/>
      </c>
      <c r="AF51" s="55">
        <f>$AF50+$AD51</f>
        <v/>
      </c>
      <c r="AG51" s="55">
        <f>SUMIFS(tblMovement[Tonnes_t],tblMovement[Date],$A51)</f>
        <v/>
      </c>
      <c r="AH51" s="55">
        <f>IF($B51=$B50,$AH50,0)+$AG51</f>
        <v/>
      </c>
      <c r="AI51" s="55">
        <f>$AI50+$AG51</f>
        <v/>
      </c>
      <c r="AJ51" s="55">
        <f>$AG51-$X51-$AD51</f>
        <v/>
      </c>
      <c r="AK51" s="55">
        <f>IF($B51=$B50,$AK50,0)+$AJ51</f>
        <v/>
      </c>
      <c r="AL51" s="55">
        <f>$AL50+$AJ51</f>
        <v/>
      </c>
      <c r="AM51" s="55">
        <f>SUMIFS(tblMiningDaily[Drill_m],tblMiningDaily[Date],$A51)</f>
        <v/>
      </c>
      <c r="AN51" s="55">
        <f>IF($B51=$B50,$AN50,0)+$AM51</f>
        <v/>
      </c>
      <c r="AO51" s="55">
        <f>$AO50+$AM51</f>
        <v/>
      </c>
      <c r="AP51" s="55">
        <f>SUMIFS(tblMiningDaily[GC_Drill_m],tblMiningDaily[Date],$A51)</f>
        <v/>
      </c>
      <c r="AQ51" s="55">
        <f>IF($B51=$B50,$AQ50,0)+$AP51</f>
        <v/>
      </c>
      <c r="AR51" s="55">
        <f>$AR50+$AP51</f>
        <v/>
      </c>
      <c r="AS51" s="55">
        <f>SUMIFS(tblMiningDaily[Blast_t],tblMiningDaily[Date],$A51)</f>
        <v/>
      </c>
      <c r="AT51" s="55">
        <f>IF($B51=$B50,$AT50,0)+$AS51</f>
        <v/>
      </c>
      <c r="AU51" s="55">
        <f>$AU50+$AS51</f>
        <v/>
      </c>
      <c r="AV51" s="55">
        <f>SUMIFS(tblMiningDaily[Explosives_kg],tblMiningDaily[Date],$A51)</f>
        <v/>
      </c>
      <c r="AW51" s="55">
        <f>IF($B51=$B50,$AW50,0)+$AV51</f>
        <v/>
      </c>
      <c r="AX51" s="55">
        <f>$AX50+$AV51</f>
        <v/>
      </c>
      <c r="AY51" s="56">
        <f>IFERROR(IF(($AS51)&gt;0,($AV51)/($AS51),""),"")</f>
        <v/>
      </c>
      <c r="AZ51" s="56">
        <f>IFERROR(IF(($AT51)&gt;0,($AW51)/($AT51),""),"")</f>
        <v/>
      </c>
      <c r="BA51" s="56">
        <f>IFERROR(IF(($AU51)&gt;0,($AX51)/($AU51),""),"")</f>
        <v/>
      </c>
      <c r="BB51" s="55">
        <f>SUMIFS(tblMiningDaily[Diesel_L],tblMiningDaily[Date],$A51)</f>
        <v/>
      </c>
      <c r="BC51" s="55">
        <f>IF($B51=$B50,$BC50,0)+$BB51</f>
        <v/>
      </c>
      <c r="BD51" s="55">
        <f>$BD50+$BB51</f>
        <v/>
      </c>
      <c r="BE51" s="55">
        <f>SUMIFS(tblMiningDaily[Dewatering_m3],tblMiningDaily[Date],$A51)</f>
        <v/>
      </c>
      <c r="BF51" s="55">
        <f>IF($B51=$B50,$BF50,0)+$BE51</f>
        <v/>
      </c>
      <c r="BG51" s="55">
        <f>$BG50+$BE51</f>
        <v/>
      </c>
      <c r="BH51" s="57">
        <f>SUMIFS(tblFleet[Calendar_h],tblFleet[Date],$A51,tblFleet[Equipment_Class],"Excavator")</f>
        <v/>
      </c>
      <c r="BI51" s="57">
        <f>IF($B51=$B50,$BI50,0)+$BH51</f>
        <v/>
      </c>
      <c r="BJ51" s="57">
        <f>$BJ50+$BH51</f>
        <v/>
      </c>
      <c r="BK51" s="57">
        <f>SUMIFS(tblFleet[Available_h],tblFleet[Date],$A51,tblFleet[Equipment_Class],"Excavator")</f>
        <v/>
      </c>
      <c r="BL51" s="57">
        <f>IF($B51=$B50,$BL50,0)+$BK51</f>
        <v/>
      </c>
      <c r="BM51" s="57">
        <f>$BM50+$BK51</f>
        <v/>
      </c>
      <c r="BN51" s="57">
        <f>SUMIFS(tblFleet[Operating_h],tblFleet[Date],$A51,tblFleet[Equipment_Class],"Excavator")</f>
        <v/>
      </c>
      <c r="BO51" s="57">
        <f>IF($B51=$B50,$BO50,0)+$BN51</f>
        <v/>
      </c>
      <c r="BP51" s="57">
        <f>$BP50+$BN51</f>
        <v/>
      </c>
      <c r="BQ51" s="67">
        <f>IFERROR(IF(($BH51)&gt;0,($BK51)/($BH51),""),"")</f>
        <v/>
      </c>
      <c r="BR51" s="67">
        <f>IFERROR(IF(($BI51)&gt;0,($BL51)/($BI51),""),"")</f>
        <v/>
      </c>
      <c r="BS51" s="67">
        <f>IFERROR(IF(($BJ51)&gt;0,($BM51)/($BJ51),""),"")</f>
        <v/>
      </c>
      <c r="BT51" s="67">
        <f>IFERROR(IF(($BK51)&gt;0,($BN51)/($BK51),""),"")</f>
        <v/>
      </c>
      <c r="BU51" s="67">
        <f>IFERROR(IF(($BL51)&gt;0,($BO51)/($BL51),""),"")</f>
        <v/>
      </c>
      <c r="BV51" s="67">
        <f>IFERROR(IF(($BM51)&gt;0,($BP51)/($BM51),""),"")</f>
        <v/>
      </c>
      <c r="BW51" s="57">
        <f>SUMIFS(tblFleet[Calendar_h],tblFleet[Date],$A51,tblFleet[Equipment_Class],"Haul Truck")</f>
        <v/>
      </c>
      <c r="BX51" s="57">
        <f>IF($B51=$B50,$BX50,0)+$BW51</f>
        <v/>
      </c>
      <c r="BY51" s="57">
        <f>$BY50+$BW51</f>
        <v/>
      </c>
      <c r="BZ51" s="57">
        <f>SUMIFS(tblFleet[Available_h],tblFleet[Date],$A51,tblFleet[Equipment_Class],"Haul Truck")</f>
        <v/>
      </c>
      <c r="CA51" s="57">
        <f>IF($B51=$B50,$CA50,0)+$BZ51</f>
        <v/>
      </c>
      <c r="CB51" s="57">
        <f>$CB50+$BZ51</f>
        <v/>
      </c>
      <c r="CC51" s="57">
        <f>SUMIFS(tblFleet[Operating_h],tblFleet[Date],$A51,tblFleet[Equipment_Class],"Haul Truck")</f>
        <v/>
      </c>
      <c r="CD51" s="57">
        <f>IF($B51=$B50,$CD50,0)+$CC51</f>
        <v/>
      </c>
      <c r="CE51" s="57">
        <f>$CE50+$CC51</f>
        <v/>
      </c>
      <c r="CF51" s="67">
        <f>IFERROR(IF(($BW51)&gt;0,($BZ51)/($BW51),""),"")</f>
        <v/>
      </c>
      <c r="CG51" s="67">
        <f>IFERROR(IF(($BX51)&gt;0,($CA51)/($BX51),""),"")</f>
        <v/>
      </c>
      <c r="CH51" s="67">
        <f>IFERROR(IF(($BY51)&gt;0,($CB51)/($BY51),""),"")</f>
        <v/>
      </c>
      <c r="CI51" s="67">
        <f>IFERROR(IF(($BZ51)&gt;0,($CC51)/($BZ51),""),"")</f>
        <v/>
      </c>
      <c r="CJ51" s="67">
        <f>IFERROR(IF(($CA51)&gt;0,($CD51)/($CA51),""),"")</f>
        <v/>
      </c>
      <c r="CK51" s="67">
        <f>IFERROR(IF(($CB51)&gt;0,($CE51)/($CB51),""),"")</f>
        <v/>
      </c>
      <c r="CL51" s="55">
        <f>IFERROR(IF(($BN51)&gt;0,($X51+$AD51)/($BN51),""),"")</f>
        <v/>
      </c>
      <c r="CM51" s="55">
        <f>IFERROR(IF(($BO51)&gt;0,($Y51+$AE51)/($BO51),""),"")</f>
        <v/>
      </c>
      <c r="CN51" s="55">
        <f>IFERROR(IF(($BP51)&gt;0,($Z51+$AF51)/($BP51),""),"")</f>
        <v/>
      </c>
      <c r="CO51" s="55">
        <f>IFERROR(IF(($CC51)&gt;0,($X51+$AD51)/($CC51),""),"")</f>
        <v/>
      </c>
      <c r="CP51" s="55">
        <f>IFERROR(IF(($CD51)&gt;0,($Y51+$AE51)/($CD51),""),"")</f>
        <v/>
      </c>
      <c r="CQ51" s="55">
        <f>IFERROR(IF(($CE51)&gt;0,($Z51+$AF51)/($CE51),""),"")</f>
        <v/>
      </c>
      <c r="CR51" s="55">
        <f>SUMIFS(tblPlant[Crushed_t],tblPlant[Date],$A51)</f>
        <v/>
      </c>
      <c r="CS51" s="55">
        <f>IF($B51=$B50,$CS50,0)+$CR51</f>
        <v/>
      </c>
      <c r="CT51" s="55">
        <f>$CT50+$CR51</f>
        <v/>
      </c>
      <c r="CU51" s="55">
        <f>SUMIFS(tblPlant[Milled_t],tblPlant[Date],$A51)</f>
        <v/>
      </c>
      <c r="CV51" s="55">
        <f>IF($B51=$B50,$CV50,0)+$CU51</f>
        <v/>
      </c>
      <c r="CW51" s="55">
        <f>$CW50+$CU51</f>
        <v/>
      </c>
      <c r="CX51" s="55">
        <f>SUMIFS(tblPlant[Feed_oz],tblPlant[Date],$A51)</f>
        <v/>
      </c>
      <c r="CY51" s="55">
        <f>IF($B51=$B50,$CY50,0)+$CX51</f>
        <v/>
      </c>
      <c r="CZ51" s="55">
        <f>$CZ50+$CX51</f>
        <v/>
      </c>
      <c r="DA51" s="55">
        <f>SUMIFS(tblPlant[Tails_oz],tblPlant[Date],$A51)</f>
        <v/>
      </c>
      <c r="DB51" s="55">
        <f>IF($B51=$B50,$DB50,0)+$DA51</f>
        <v/>
      </c>
      <c r="DC51" s="55">
        <f>$DC50+$DA51</f>
        <v/>
      </c>
      <c r="DD51" s="55">
        <f>SUMIFS(tblPlant[Recovered_oz],tblPlant[Date],$A51)</f>
        <v/>
      </c>
      <c r="DE51" s="55">
        <f>IF($B51=$B50,$DE50,0)+$DD51</f>
        <v/>
      </c>
      <c r="DF51" s="55">
        <f>$DF50+$DD51</f>
        <v/>
      </c>
      <c r="DG51" s="55">
        <f>SUMIFS(tblPlant[Milled_t],tblPlant[Date],$A51,tblPlant[Head_Grade_gpt],"&lt;&gt;")</f>
        <v/>
      </c>
      <c r="DH51" s="55">
        <f>IF($B51=$B50,$DH50,0)+$DG51</f>
        <v/>
      </c>
      <c r="DI51" s="55">
        <f>$DI50+$DG51</f>
        <v/>
      </c>
      <c r="DJ51" s="55">
        <f>SUMIFS(tblPlant[Milled_t],tblPlant[Date],$A51,tblPlant[Tails_Grade_gpt],"&lt;&gt;")</f>
        <v/>
      </c>
      <c r="DK51" s="55">
        <f>IF($B51=$B50,$DK50,0)+$DJ51</f>
        <v/>
      </c>
      <c r="DL51" s="55">
        <f>$DL50+$DJ51</f>
        <v/>
      </c>
      <c r="DM51" s="55">
        <f>SUMIFS(tblPlant[Feed_oz],tblPlant[Date],$A51,tblPlant[Tails_Grade_gpt],"&lt;&gt;")</f>
        <v/>
      </c>
      <c r="DN51" s="55">
        <f>IF($B51=$B50,$DN50,0)+$DM51</f>
        <v/>
      </c>
      <c r="DO51" s="55">
        <f>$DO50+$DM51</f>
        <v/>
      </c>
      <c r="DP51" s="55">
        <f>SUMIFS(tblPlant[Milled_t],tblPlant[Date],$A51,tblPlant[Mill_Run_h],"&lt;&gt;")</f>
        <v/>
      </c>
      <c r="DQ51" s="55">
        <f>IF($B51=$B50,$DQ50,0)+$DP51</f>
        <v/>
      </c>
      <c r="DR51" s="55">
        <f>$DR50+$DP51</f>
        <v/>
      </c>
      <c r="DS51" s="56">
        <f>IFERROR(IF(($DG51)&gt;0,($CX51*cfg_TroyOz)/($DG51),""),"")</f>
        <v/>
      </c>
      <c r="DT51" s="56">
        <f>IFERROR(IF(($DH51)&gt;0,($CY51*cfg_TroyOz)/($DH51),""),"")</f>
        <v/>
      </c>
      <c r="DU51" s="56">
        <f>IFERROR(IF(($DI51)&gt;0,($CZ51*cfg_TroyOz)/($DI51),""),"")</f>
        <v/>
      </c>
      <c r="DV51" s="56">
        <f>IFERROR(IF(($DJ51)&gt;0,($DA51*cfg_TroyOz)/($DJ51),""),"")</f>
        <v/>
      </c>
      <c r="DW51" s="56">
        <f>IFERROR(IF(($DK51)&gt;0,($DB51*cfg_TroyOz)/($DK51),""),"")</f>
        <v/>
      </c>
      <c r="DX51" s="56">
        <f>IFERROR(IF(($DL51)&gt;0,($DC51*cfg_TroyOz)/($DL51),""),"")</f>
        <v/>
      </c>
      <c r="DY51" s="67">
        <f>IFERROR(IF(($DM51)&gt;0,($DD51)/($DM51),""),"")</f>
        <v/>
      </c>
      <c r="DZ51" s="67">
        <f>IFERROR(IF(($DN51)&gt;0,($DE51)/($DN51),""),"")</f>
        <v/>
      </c>
      <c r="EA51" s="67">
        <f>IFERROR(IF(($DO51)&gt;0,($DF51)/($DO51),""),"")</f>
        <v/>
      </c>
      <c r="EB51" s="55">
        <f>SUMIFS(tblPlant[Gravity_Gold_oz],tblPlant[Date],$A51)</f>
        <v/>
      </c>
      <c r="EC51" s="55">
        <f>IF($B51=$B50,$EC50,0)+$EB51</f>
        <v/>
      </c>
      <c r="ED51" s="55">
        <f>$ED50+$EB51</f>
        <v/>
      </c>
      <c r="EE51" s="67">
        <f>IFERROR(IF(($DD51)&gt;0,($EB51)/($DD51),""),"")</f>
        <v/>
      </c>
      <c r="EF51" s="67">
        <f>IFERROR(IF(($DE51)&gt;0,($EC51)/($DE51),""),"")</f>
        <v/>
      </c>
      <c r="EG51" s="67">
        <f>IFERROR(IF(($DF51)&gt;0,($ED51)/($DF51),""),"")</f>
        <v/>
      </c>
      <c r="EH51" s="55">
        <f>SUMIFS(tblPlant[Gold_Poured_oz],tblPlant[Date],$A51)</f>
        <v/>
      </c>
      <c r="EI51" s="55">
        <f>IF($B51=$B50,$EI50,0)+$EH51</f>
        <v/>
      </c>
      <c r="EJ51" s="55">
        <f>$EJ50+$EH51</f>
        <v/>
      </c>
      <c r="EK51" s="57">
        <f>SUMIFS(tblPlant[Mill_Run_h],tblPlant[Date],$A51)</f>
        <v/>
      </c>
      <c r="EL51" s="57">
        <f>IF($B51=$B50,$EL50,0)+$EK51</f>
        <v/>
      </c>
      <c r="EM51" s="57">
        <f>$EM50+$EK51</f>
        <v/>
      </c>
      <c r="EN51" s="57">
        <f>SUMIFS(tblPlant[Mill_Planned_Maint_h],tblPlant[Date],$A51)</f>
        <v/>
      </c>
      <c r="EO51" s="57">
        <f>IF($B51=$B50,$EO50,0)+$EN51</f>
        <v/>
      </c>
      <c r="EP51" s="57">
        <f>$EP50+$EN51</f>
        <v/>
      </c>
      <c r="EQ51" s="57">
        <f>SUMIFS(tblPlant[Mill_Unplanned_Down_h],tblPlant[Date],$A51)</f>
        <v/>
      </c>
      <c r="ER51" s="57">
        <f>IF($B51=$B50,$ER50,0)+$EQ51</f>
        <v/>
      </c>
      <c r="ES51" s="57">
        <f>$ES50+$EQ51</f>
        <v/>
      </c>
      <c r="ET51" s="57">
        <f>IF(COUNTIFS(tblPlant[Date],$A51,tblPlant[Mill_Run_h],"&lt;&gt;")+COUNTIFS(tblPlant[Date],$A51,tblPlant[Mill_Planned_Maint_h],"&lt;&gt;")+COUNTIFS(tblPlant[Date],$A51,tblPlant[Mill_Unplanned_Down_h],"&lt;&gt;")&gt;0,cfg_HoursPerDay,0)</f>
        <v/>
      </c>
      <c r="EU51" s="57">
        <f>IF($B51=$B50,$EU50,0)+$ET51</f>
        <v/>
      </c>
      <c r="EV51" s="57">
        <f>$EV50+$ET51</f>
        <v/>
      </c>
      <c r="EW51" s="57">
        <f>SUMIFS(tblPlant[Crusher_Run_h],tblPlant[Date],$A51)</f>
        <v/>
      </c>
      <c r="EX51" s="57">
        <f>IF($B51=$B50,$EX50,0)+$EW51</f>
        <v/>
      </c>
      <c r="EY51" s="57">
        <f>$EY50+$EW51</f>
        <v/>
      </c>
      <c r="EZ51" s="55">
        <f>IFERROR(IF(($EK51)&gt;0,($DP51)/($EK51),""),"")</f>
        <v/>
      </c>
      <c r="FA51" s="55">
        <f>IFERROR(IF(($EL51)&gt;0,($DQ51)/($EL51),""),"")</f>
        <v/>
      </c>
      <c r="FB51" s="55">
        <f>IFERROR(IF(($EM51)&gt;0,($DR51)/($EM51),""),"")</f>
        <v/>
      </c>
      <c r="FC51" s="67">
        <f>IFERROR(IF(($ET51)&gt;0,($ET51-$EN51-$EQ51)/($ET51),""),"")</f>
        <v/>
      </c>
      <c r="FD51" s="67">
        <f>IFERROR(IF(($EU51)&gt;0,($EU51-$EO51-$ER51)/($EU51),""),"")</f>
        <v/>
      </c>
      <c r="FE51" s="67">
        <f>IFERROR(IF(($EV51)&gt;0,($EV51-$EP51-$ES51)/($EV51),""),"")</f>
        <v/>
      </c>
      <c r="FF51" s="67">
        <f>IFERROR(IF(($ET51-$EN51-$EQ51)&gt;0,($EK51)/($ET51-$EN51-$EQ51),""),"")</f>
        <v/>
      </c>
      <c r="FG51" s="67">
        <f>IFERROR(IF(($EU51-$EO51-$ER51)&gt;0,($EL51)/($EU51-$EO51-$ER51),""),"")</f>
        <v/>
      </c>
      <c r="FH51" s="67">
        <f>IFERROR(IF(($EV51-$EP51-$ES51)&gt;0,($EM51)/($EV51-$EP51-$ES51),""),"")</f>
        <v/>
      </c>
      <c r="FI51" s="55">
        <f>SUMIFS(tblPlant[Cyanide_kg],tblPlant[Date],$A51)</f>
        <v/>
      </c>
      <c r="FJ51" s="55">
        <f>IF($B51=$B50,$FJ50,0)+$FI51</f>
        <v/>
      </c>
      <c r="FK51" s="55">
        <f>$FK50+$FI51</f>
        <v/>
      </c>
      <c r="FL51" s="55">
        <f>SUMIFS(tblPlant[Lime_kg],tblPlant[Date],$A51)</f>
        <v/>
      </c>
      <c r="FM51" s="55">
        <f>IF($B51=$B50,$FM50,0)+$FL51</f>
        <v/>
      </c>
      <c r="FN51" s="55">
        <f>$FN50+$FL51</f>
        <v/>
      </c>
      <c r="FO51" s="55">
        <f>SUMIFS(tblPlant[Grinding_Media_kg],tblPlant[Date],$A51)</f>
        <v/>
      </c>
      <c r="FP51" s="55">
        <f>IF($B51=$B50,$FP50,0)+$FO51</f>
        <v/>
      </c>
      <c r="FQ51" s="55">
        <f>$FQ50+$FO51</f>
        <v/>
      </c>
      <c r="FR51" s="55">
        <f>SUMIFS(tblPlant[Power_kWh],tblPlant[Date],$A51)</f>
        <v/>
      </c>
      <c r="FS51" s="55">
        <f>IF($B51=$B50,$FS50,0)+$FR51</f>
        <v/>
      </c>
      <c r="FT51" s="55">
        <f>$FT50+$FR51</f>
        <v/>
      </c>
      <c r="FU51" s="55">
        <f>SUMIFS(tblPlant[Raw_Water_m3],tblPlant[Date],$A51)</f>
        <v/>
      </c>
      <c r="FV51" s="55">
        <f>IF($B51=$B50,$FV50,0)+$FU51</f>
        <v/>
      </c>
      <c r="FW51" s="55">
        <f>$FW50+$FU51</f>
        <v/>
      </c>
      <c r="FX51" s="56">
        <f>IFERROR(IF(($CU51)&gt;0,($FI51)/($CU51),""),"")</f>
        <v/>
      </c>
      <c r="FY51" s="56">
        <f>IFERROR(IF(($CV51)&gt;0,($FJ51)/($CV51),""),"")</f>
        <v/>
      </c>
      <c r="FZ51" s="56">
        <f>IFERROR(IF(($CW51)&gt;0,($FK51)/($CW51),""),"")</f>
        <v/>
      </c>
      <c r="GA51" s="56">
        <f>IFERROR(IF(($CU51)&gt;0,($FL51)/($CU51),""),"")</f>
        <v/>
      </c>
      <c r="GB51" s="56">
        <f>IFERROR(IF(($CV51)&gt;0,($FM51)/($CV51),""),"")</f>
        <v/>
      </c>
      <c r="GC51" s="56">
        <f>IFERROR(IF(($CW51)&gt;0,($FN51)/($CW51),""),"")</f>
        <v/>
      </c>
      <c r="GD51" s="56">
        <f>IFERROR(IF(($CU51)&gt;0,($FO51)/($CU51),""),"")</f>
        <v/>
      </c>
      <c r="GE51" s="56">
        <f>IFERROR(IF(($CV51)&gt;0,($FP51)/($CV51),""),"")</f>
        <v/>
      </c>
      <c r="GF51" s="56">
        <f>IFERROR(IF(($CW51)&gt;0,($FQ51)/($CW51),""),"")</f>
        <v/>
      </c>
      <c r="GG51" s="79">
        <f>IFERROR(IF(($CU51)&gt;0,($FR51)/($CU51),""),"")</f>
        <v/>
      </c>
      <c r="GH51" s="79">
        <f>IFERROR(IF(($CV51)&gt;0,($FS51)/($CV51),""),"")</f>
        <v/>
      </c>
      <c r="GI51" s="79">
        <f>IFERROR(IF(($CW51)&gt;0,($FT51)/($CW51),""),"")</f>
        <v/>
      </c>
      <c r="GJ51" s="56">
        <f>IFERROR(IF(($CU51)&gt;0,($FU51)/($CU51),""),"")</f>
        <v/>
      </c>
      <c r="GK51" s="56">
        <f>IFERROR(IF(($CV51)&gt;0,($FV51)/($CV51),""),"")</f>
        <v/>
      </c>
      <c r="GL51" s="56">
        <f>IFERROR(IF(($CW51)&gt;0,($FW51)/($CW51),""),"")</f>
        <v/>
      </c>
      <c r="GM51" s="55">
        <f>IF(SUMIFS(tblPlant[GIC_oz],tblPlant[Date],$A51)&gt;0,SUMIFS(tblPlant[GIC_oz],tblPlant[Date],$A51),"")</f>
        <v/>
      </c>
      <c r="GN51" s="55">
        <f>SUMIFS(tblGold[Gold_oz],tblGold[Date],$A51,tblGold[Type],"Shipment")</f>
        <v/>
      </c>
      <c r="GO51" s="55">
        <f>IF($B51=$B50,$GO50,0)+$GN51</f>
        <v/>
      </c>
      <c r="GP51" s="55">
        <f>$GP50+$GN51</f>
        <v/>
      </c>
      <c r="GQ51" s="55">
        <f>SUMIFS(tblGold[Gold_oz],tblGold[Date],$A51,tblGold[Type],"Sale")</f>
        <v/>
      </c>
      <c r="GR51" s="55">
        <f>IF($B51=$B50,$GR50,0)+$GQ51</f>
        <v/>
      </c>
      <c r="GS51" s="55">
        <f>$GS50+$GQ51</f>
        <v/>
      </c>
      <c r="GT51" s="55">
        <f>SUMIFS(tblGold[Dore_kg],tblGold[Date],$A51,tblGold[Type],"Shipment")</f>
        <v/>
      </c>
      <c r="GU51" s="55">
        <f>IF($B51=$B50,$GU50,0)+$GT51</f>
        <v/>
      </c>
      <c r="GV51" s="55">
        <f>$GV50+$GT51</f>
        <v/>
      </c>
      <c r="GW51" s="57">
        <f>SUMIFS(tblSafety[Hours_Total],tblSafety[Date],$A51)</f>
        <v/>
      </c>
      <c r="GX51" s="57">
        <f>IF($B51=$B50,$GX50,0)+$GW51</f>
        <v/>
      </c>
      <c r="GY51" s="57">
        <f>$GY50+$GW51</f>
        <v/>
      </c>
      <c r="GZ51" s="62">
        <f>SUMIFS(tblSafety[Fatality],tblSafety[Date],$A51)</f>
        <v/>
      </c>
      <c r="HA51" s="62">
        <f>IF($B51=$B50,$HA50,0)+$GZ51</f>
        <v/>
      </c>
      <c r="HB51" s="62">
        <f>$HB50+$GZ51</f>
        <v/>
      </c>
      <c r="HC51" s="62">
        <f>SUMIFS(tblSafety[LTI],tblSafety[Date],$A51)</f>
        <v/>
      </c>
      <c r="HD51" s="62">
        <f>IF($B51=$B50,$HD50,0)+$HC51</f>
        <v/>
      </c>
      <c r="HE51" s="62">
        <f>$HE50+$HC51</f>
        <v/>
      </c>
      <c r="HF51" s="62">
        <f>SUMIFS(tblSafety[RWI],tblSafety[Date],$A51)</f>
        <v/>
      </c>
      <c r="HG51" s="62">
        <f>IF($B51=$B50,$HG50,0)+$HF51</f>
        <v/>
      </c>
      <c r="HH51" s="62">
        <f>$HH50+$HF51</f>
        <v/>
      </c>
      <c r="HI51" s="62">
        <f>SUMIFS(tblSafety[MTI],tblSafety[Date],$A51)</f>
        <v/>
      </c>
      <c r="HJ51" s="62">
        <f>IF($B51=$B50,$HJ50,0)+$HI51</f>
        <v/>
      </c>
      <c r="HK51" s="62">
        <f>$HK50+$HI51</f>
        <v/>
      </c>
      <c r="HL51" s="62">
        <f>SUMIFS(tblSafety[FAI],tblSafety[Date],$A51)</f>
        <v/>
      </c>
      <c r="HM51" s="62">
        <f>IF($B51=$B50,$HM50,0)+$HL51</f>
        <v/>
      </c>
      <c r="HN51" s="62">
        <f>$HN50+$HL51</f>
        <v/>
      </c>
      <c r="HO51" s="62">
        <f>SUMIFS(tblSafety[Recordables],tblSafety[Date],$A51)</f>
        <v/>
      </c>
      <c r="HP51" s="62">
        <f>IF($B51=$B50,$HP50,0)+$HO51</f>
        <v/>
      </c>
      <c r="HQ51" s="62">
        <f>$HQ50+$HO51</f>
        <v/>
      </c>
      <c r="HR51" s="62">
        <f>SUMIFS(tblSafety[Near_Miss],tblSafety[Date],$A51)</f>
        <v/>
      </c>
      <c r="HS51" s="62">
        <f>IF($B51=$B50,$HS50,0)+$HR51</f>
        <v/>
      </c>
      <c r="HT51" s="62">
        <f>$HT50+$HR51</f>
        <v/>
      </c>
      <c r="HU51" s="62">
        <f>SUMIFS(tblSafety[Hazard_Reports],tblSafety[Date],$A51)</f>
        <v/>
      </c>
      <c r="HV51" s="62">
        <f>IF($B51=$B50,$HV50,0)+$HU51</f>
        <v/>
      </c>
      <c r="HW51" s="62">
        <f>$HW50+$HU51</f>
        <v/>
      </c>
      <c r="HX51" s="62">
        <f>SUMIFS(tblSafety[HPI],tblSafety[Date],$A51)</f>
        <v/>
      </c>
      <c r="HY51" s="62">
        <f>IF($B51=$B50,$HY50,0)+$HX51</f>
        <v/>
      </c>
      <c r="HZ51" s="62">
        <f>$HZ50+$HX51</f>
        <v/>
      </c>
      <c r="IA51" s="62">
        <f>SUMIFS(tblSafety[Env_Incidents],tblSafety[Date],$A51)</f>
        <v/>
      </c>
      <c r="IB51" s="62">
        <f>IF($B51=$B50,$IB50,0)+$IA51</f>
        <v/>
      </c>
      <c r="IC51" s="62">
        <f>$IC50+$IA51</f>
        <v/>
      </c>
      <c r="ID51" s="62">
        <f>SUMIFS(tblSafety[Community_Incidents],tblSafety[Date],$A51)</f>
        <v/>
      </c>
      <c r="IE51" s="62">
        <f>IF($B51=$B50,$IE50,0)+$ID51</f>
        <v/>
      </c>
      <c r="IF51" s="62">
        <f>$IF50+$ID51</f>
        <v/>
      </c>
      <c r="IG51" s="62">
        <f>SUMIFS(tblSafety[Vehicle_Incidents],tblSafety[Date],$A51)</f>
        <v/>
      </c>
      <c r="IH51" s="62">
        <f>IF($B51=$B50,$IH50,0)+$IG51</f>
        <v/>
      </c>
      <c r="II51" s="62">
        <f>$II50+$IG51</f>
        <v/>
      </c>
      <c r="IJ51" s="62">
        <f>SUMIFS(tblSafety[Toolbox_Talks],tblSafety[Date],$A51)</f>
        <v/>
      </c>
      <c r="IK51" s="62">
        <f>IF($B51=$B50,$IK50,0)+$IJ51</f>
        <v/>
      </c>
      <c r="IL51" s="62">
        <f>$IL50+$IJ51</f>
        <v/>
      </c>
      <c r="IM51" s="62">
        <f>SUMIFS(tblSafety[Inspections],tblSafety[Date],$A51)</f>
        <v/>
      </c>
      <c r="IN51" s="62">
        <f>IF($B51=$B50,$IN50,0)+$IM51</f>
        <v/>
      </c>
      <c r="IO51" s="62">
        <f>$IO50+$IM51</f>
        <v/>
      </c>
      <c r="IP51" s="56">
        <f>IFERROR((SUMIFS(tblSafety[Recordables],tblSafety[Date],"&gt;="&amp;EDATE($E51,-12),tblSafety[Date],"&lt;="&amp;$A51)+SUMIFS(tblSafetyHistory[Recordables],tblSafetyHistory[Month],"&gt;="&amp;EDATE($E51,-12),tblSafetyHistory[Month],"&lt;"&amp;$E51,tblSafetyHistory[Use],1))/(SUMIFS(tblSafety[Hours_Total],tblSafety[Date],"&gt;="&amp;EDATE($E51,-12),tblSafety[Date],"&lt;="&amp;$A51)+SUMIFS(tblSafetyHistory[Hours_Total],tblSafetyHistory[Month],"&gt;="&amp;EDATE($E51,-12),tblSafetyHistory[Month],"&lt;"&amp;$E51,tblSafetyHistory[Use],1))*cfg_RateBasisHours,"")</f>
        <v/>
      </c>
      <c r="IQ51" s="56">
        <f>IFERROR((SUMIFS(tblSafety[LTI],tblSafety[Date],"&gt;="&amp;EDATE($E51,-12),tblSafety[Date],"&lt;="&amp;$A51)+SUMIFS(tblSafetyHistory[LTI],tblSafetyHistory[Month],"&gt;="&amp;EDATE($E51,-12),tblSafetyHistory[Month],"&lt;"&amp;$E51,tblSafetyHistory[Use],1))/(SUMIFS(tblSafety[Hours_Total],tblSafety[Date],"&gt;="&amp;EDATE($E51,-12),tblSafety[Date],"&lt;="&amp;$A51)+SUMIFS(tblSafetyHistory[Hours_Total],tblSafetyHistory[Month],"&gt;="&amp;EDATE($E51,-12),tblSafetyHistory[Month],"&lt;"&amp;$E51,tblSafetyHistory[Use],1))*cfg_RateBasisHours,"")</f>
        <v/>
      </c>
      <c r="IR51" s="62">
        <f>IF(MAX(N(cfg_PriorLTIDate),_xlfn.MAXIFS(tblSafety[Date],tblSafety[LTI],"&gt;0",tblSafety[Date],"&lt;="&amp;$A51))=0,"",$A51-MAX(N(cfg_PriorLTIDate),_xlfn.MAXIFS(tblSafety[Date],tblSafety[LTI],"&gt;0",tblSafety[Date],"&lt;="&amp;$A51)))</f>
        <v/>
      </c>
      <c r="IS51" s="55">
        <f>SUMIFS(tblBudget[Ore_Mined_t],tblBudget[Month],$E51)</f>
        <v/>
      </c>
      <c r="IT51" s="55">
        <f>$IS51*$C51/$D51</f>
        <v/>
      </c>
      <c r="IU51" s="55">
        <f>SUMIFS(tblBudget[Ore_Mined_t],tblBudget[Month],"&lt;"&amp;$E51)+$IT51</f>
        <v/>
      </c>
      <c r="IV51" s="55">
        <f>SUMIFS(tblBudget[Ore_oz],tblBudget[Month],$E51)</f>
        <v/>
      </c>
      <c r="IW51" s="55">
        <f>$IV51*$C51/$D51</f>
        <v/>
      </c>
      <c r="IX51" s="55">
        <f>SUMIFS(tblBudget[Ore_oz],tblBudget[Month],"&lt;"&amp;$E51)+$IW51</f>
        <v/>
      </c>
      <c r="IY51" s="55">
        <f>SUMIFS(tblBudget[Ore_Mined_t],tblBudget[Month],$E51)</f>
        <v/>
      </c>
      <c r="IZ51" s="55">
        <f>$IY51*$C51/$D51</f>
        <v/>
      </c>
      <c r="JA51" s="55">
        <f>SUMIFS(tblBudget[Ore_Mined_t],tblBudget[Month],"&lt;"&amp;$E51)+$IZ51</f>
        <v/>
      </c>
      <c r="JB51" s="56">
        <f>IFERROR(IF(($IY51)&gt;0,($IV51*cfg_TroyOz)/($IY51),""),"")</f>
        <v/>
      </c>
      <c r="JC51" s="56">
        <f>IFERROR(IF(($IZ51)&gt;0,($IW51*cfg_TroyOz)/($IZ51),""),"")</f>
        <v/>
      </c>
      <c r="JD51" s="56">
        <f>IFERROR(IF(($JA51)&gt;0,($IX51*cfg_TroyOz)/($JA51),""),"")</f>
        <v/>
      </c>
      <c r="JE51" s="55">
        <f>SUMIFS(tblBudget[Waste_t],tblBudget[Month],$E51)</f>
        <v/>
      </c>
      <c r="JF51" s="55">
        <f>$JE51*$C51/$D51</f>
        <v/>
      </c>
      <c r="JG51" s="55">
        <f>SUMIFS(tblBudget[Waste_t],tblBudget[Month],"&lt;"&amp;$E51)+$JF51</f>
        <v/>
      </c>
      <c r="JH51" s="55">
        <f>SUMIFS(tblBudget[TMM_t],tblBudget[Month],$E51)</f>
        <v/>
      </c>
      <c r="JI51" s="55">
        <f>$JH51*$C51/$D51</f>
        <v/>
      </c>
      <c r="JJ51" s="55">
        <f>SUMIFS(tblBudget[TMM_t],tblBudget[Month],"&lt;"&amp;$E51)+$JI51</f>
        <v/>
      </c>
      <c r="JK51" s="56">
        <f>IFERROR(IF(($IS51)&gt;0,($JE51)/($IS51),""),"")</f>
        <v/>
      </c>
      <c r="JL51" s="56">
        <f>IFERROR(IF(($IT51)&gt;0,($JF51)/($IT51),""),"")</f>
        <v/>
      </c>
      <c r="JM51" s="56">
        <f>IFERROR(IF(($IU51)&gt;0,($JG51)/($IU51),""),"")</f>
        <v/>
      </c>
      <c r="JN51" s="55">
        <f>SUMIFS(tblBudget[Drill_m],tblBudget[Month],$E51)</f>
        <v/>
      </c>
      <c r="JO51" s="55">
        <f>$JN51*$C51/$D51</f>
        <v/>
      </c>
      <c r="JP51" s="55">
        <f>SUMIFS(tblBudget[Drill_m],tblBudget[Month],"&lt;"&amp;$E51)+$JO51</f>
        <v/>
      </c>
      <c r="JQ51" s="55">
        <f>SUMIFS(tblBudget[Diesel_L],tblBudget[Month],$E51)</f>
        <v/>
      </c>
      <c r="JR51" s="55">
        <f>$JQ51*$C51/$D51</f>
        <v/>
      </c>
      <c r="JS51" s="55">
        <f>SUMIFS(tblBudget[Diesel_L],tblBudget[Month],"&lt;"&amp;$E51)+$JR51</f>
        <v/>
      </c>
      <c r="JT51" s="55">
        <f>SUMIFS(tblBudget[Milled_t],tblBudget[Month],$E51)</f>
        <v/>
      </c>
      <c r="JU51" s="55">
        <f>$JT51*$C51/$D51</f>
        <v/>
      </c>
      <c r="JV51" s="55">
        <f>SUMIFS(tblBudget[Milled_t],tblBudget[Month],"&lt;"&amp;$E51)+$JU51</f>
        <v/>
      </c>
      <c r="JW51" s="55">
        <f>SUMIFS(tblBudget[Feed_oz],tblBudget[Month],$E51)</f>
        <v/>
      </c>
      <c r="JX51" s="55">
        <f>$JW51*$C51/$D51</f>
        <v/>
      </c>
      <c r="JY51" s="55">
        <f>SUMIFS(tblBudget[Feed_oz],tblBudget[Month],"&lt;"&amp;$E51)+$JX51</f>
        <v/>
      </c>
      <c r="JZ51" s="55">
        <f>SUMIFS(tblBudget[Recovered_oz],tblBudget[Month],$E51)</f>
        <v/>
      </c>
      <c r="KA51" s="55">
        <f>$JZ51*$C51/$D51</f>
        <v/>
      </c>
      <c r="KB51" s="55">
        <f>SUMIFS(tblBudget[Recovered_oz],tblBudget[Month],"&lt;"&amp;$E51)+$KA51</f>
        <v/>
      </c>
      <c r="KC51" s="55">
        <f>SUMIFS(tblBudget[Milled_t],tblBudget[Month],$E51)</f>
        <v/>
      </c>
      <c r="KD51" s="55">
        <f>$KC51*$C51/$D51</f>
        <v/>
      </c>
      <c r="KE51" s="55">
        <f>SUMIFS(tblBudget[Milled_t],tblBudget[Month],"&lt;"&amp;$E51)+$KD51</f>
        <v/>
      </c>
      <c r="KF51" s="55">
        <f>SUMIFS(tblBudget[Feed_oz],tblBudget[Month],$E51)</f>
        <v/>
      </c>
      <c r="KG51" s="55">
        <f>$KF51*$C51/$D51</f>
        <v/>
      </c>
      <c r="KH51" s="55">
        <f>SUMIFS(tblBudget[Feed_oz],tblBudget[Month],"&lt;"&amp;$E51)+$KG51</f>
        <v/>
      </c>
      <c r="KI51" s="56">
        <f>IFERROR(IF(($KC51)&gt;0,($JW51*cfg_TroyOz)/($KC51),""),"")</f>
        <v/>
      </c>
      <c r="KJ51" s="56">
        <f>IFERROR(IF(($KD51)&gt;0,($JX51*cfg_TroyOz)/($KD51),""),"")</f>
        <v/>
      </c>
      <c r="KK51" s="56">
        <f>IFERROR(IF(($KE51)&gt;0,($JY51*cfg_TroyOz)/($KE51),""),"")</f>
        <v/>
      </c>
      <c r="KL51" s="67">
        <f>IFERROR(IF(($KF51)&gt;0,($JZ51)/($KF51),""),"")</f>
        <v/>
      </c>
      <c r="KM51" s="67">
        <f>IFERROR(IF(($KG51)&gt;0,($KA51)/($KG51),""),"")</f>
        <v/>
      </c>
      <c r="KN51" s="67">
        <f>IFERROR(IF(($KH51)&gt;0,($KB51)/($KH51),""),"")</f>
        <v/>
      </c>
      <c r="KO51" s="55">
        <f>SUMIFS(tblBudget[Gold_Poured_oz],tblBudget[Month],$E51)</f>
        <v/>
      </c>
      <c r="KP51" s="55">
        <f>$KO51*$C51/$D51</f>
        <v/>
      </c>
      <c r="KQ51" s="55">
        <f>SUMIFS(tblBudget[Gold_Poured_oz],tblBudget[Month],"&lt;"&amp;$E51)+$KP51</f>
        <v/>
      </c>
      <c r="KR51" s="57">
        <f>SUMIFS(tblBudget[Hours_Worked],tblBudget[Month],$E51)</f>
        <v/>
      </c>
      <c r="KS51" s="57">
        <f>$KR51*$C51/$D51</f>
        <v/>
      </c>
      <c r="KT51" s="57">
        <f>SUMIFS(tblBudget[Hours_Worked],tblBudget[Month],"&lt;"&amp;$E51)+$KS51</f>
        <v/>
      </c>
    </row>
    <row r="52">
      <c r="A52" s="54" t="n">
        <v>46073</v>
      </c>
      <c r="B52">
        <f>MONTH($A52)</f>
        <v/>
      </c>
      <c r="C52">
        <f>DAY($A52)</f>
        <v/>
      </c>
      <c r="D52">
        <f>DAY(EOMONTH($A52,0))</f>
        <v/>
      </c>
      <c r="E52" s="54">
        <f>DATE(YEAR($A52),MONTH($A52),1)</f>
        <v/>
      </c>
      <c r="F52" s="55">
        <f>SUMIFS(tblMovement[Tonnes_t],tblMovement[Date],$A52,tblMovement[Is_Ore],1,tblMovement[Source_Type],"Pit")</f>
        <v/>
      </c>
      <c r="G52" s="55">
        <f>IF($B52=$B51,$G51,0)+$F52</f>
        <v/>
      </c>
      <c r="H52" s="55">
        <f>$H51+$F52</f>
        <v/>
      </c>
      <c r="I52" s="55">
        <f>SUMIFS(tblMovement[Ore_oz],tblMovement[Date],$A52,tblMovement[Source_Type],"Pit")</f>
        <v/>
      </c>
      <c r="J52" s="55">
        <f>IF($B52=$B51,$J51,0)+$I52</f>
        <v/>
      </c>
      <c r="K52" s="55">
        <f>$K51+$I52</f>
        <v/>
      </c>
      <c r="L52" s="55">
        <f>SUMIFS(tblMovement[Tonnes_t],tblMovement[Date],$A52,tblMovement[Is_Ore],1,tblMovement[Source_Type],"Pit",tblMovement[Grade_gpt],"&lt;&gt;")</f>
        <v/>
      </c>
      <c r="M52" s="55">
        <f>IF($B52=$B51,$M51,0)+$L52</f>
        <v/>
      </c>
      <c r="N52" s="55">
        <f>$N51+$L52</f>
        <v/>
      </c>
      <c r="O52" s="56">
        <f>IFERROR(IF(($L52)&gt;0,($I52*cfg_TroyOz)/($L52),""),"")</f>
        <v/>
      </c>
      <c r="P52" s="56">
        <f>IFERROR(IF(($M52)&gt;0,($J52*cfg_TroyOz)/($M52),""),"")</f>
        <v/>
      </c>
      <c r="Q52" s="56">
        <f>IFERROR(IF(($N52)&gt;0,($K52*cfg_TroyOz)/($N52),""),"")</f>
        <v/>
      </c>
      <c r="R52" s="55">
        <f>$F52-$L52</f>
        <v/>
      </c>
      <c r="S52" s="55">
        <f>IF($B52=$B51,$S51,0)+$R52</f>
        <v/>
      </c>
      <c r="T52" s="55">
        <f>$T51+$R52</f>
        <v/>
      </c>
      <c r="U52" s="55">
        <f>SUMIFS(tblMovement[Tonnes_t],tblMovement[Date],$A52,tblMovement[Is_Ore],0,tblMovement[Source_Type],"Pit")</f>
        <v/>
      </c>
      <c r="V52" s="55">
        <f>IF($B52=$B51,$V51,0)+$U52</f>
        <v/>
      </c>
      <c r="W52" s="55">
        <f>$W51+$U52</f>
        <v/>
      </c>
      <c r="X52" s="55">
        <f>$F52+$U52</f>
        <v/>
      </c>
      <c r="Y52" s="55">
        <f>IF($B52=$B51,$Y51,0)+$X52</f>
        <v/>
      </c>
      <c r="Z52" s="55">
        <f>$Z51+$X52</f>
        <v/>
      </c>
      <c r="AA52" s="56">
        <f>IFERROR(IF(($F52)&gt;0,($U52)/($F52),""),"")</f>
        <v/>
      </c>
      <c r="AB52" s="56">
        <f>IFERROR(IF(($G52)&gt;0,($V52)/($G52),""),"")</f>
        <v/>
      </c>
      <c r="AC52" s="56">
        <f>IFERROR(IF(($H52)&gt;0,($W52)/($H52),""),"")</f>
        <v/>
      </c>
      <c r="AD52" s="55">
        <f>SUMIFS(tblMovement[Tonnes_t],tblMovement[Date],$A52,tblMovement[Source_Type],"Stockpile")</f>
        <v/>
      </c>
      <c r="AE52" s="55">
        <f>IF($B52=$B51,$AE51,0)+$AD52</f>
        <v/>
      </c>
      <c r="AF52" s="55">
        <f>$AF51+$AD52</f>
        <v/>
      </c>
      <c r="AG52" s="55">
        <f>SUMIFS(tblMovement[Tonnes_t],tblMovement[Date],$A52)</f>
        <v/>
      </c>
      <c r="AH52" s="55">
        <f>IF($B52=$B51,$AH51,0)+$AG52</f>
        <v/>
      </c>
      <c r="AI52" s="55">
        <f>$AI51+$AG52</f>
        <v/>
      </c>
      <c r="AJ52" s="55">
        <f>$AG52-$X52-$AD52</f>
        <v/>
      </c>
      <c r="AK52" s="55">
        <f>IF($B52=$B51,$AK51,0)+$AJ52</f>
        <v/>
      </c>
      <c r="AL52" s="55">
        <f>$AL51+$AJ52</f>
        <v/>
      </c>
      <c r="AM52" s="55">
        <f>SUMIFS(tblMiningDaily[Drill_m],tblMiningDaily[Date],$A52)</f>
        <v/>
      </c>
      <c r="AN52" s="55">
        <f>IF($B52=$B51,$AN51,0)+$AM52</f>
        <v/>
      </c>
      <c r="AO52" s="55">
        <f>$AO51+$AM52</f>
        <v/>
      </c>
      <c r="AP52" s="55">
        <f>SUMIFS(tblMiningDaily[GC_Drill_m],tblMiningDaily[Date],$A52)</f>
        <v/>
      </c>
      <c r="AQ52" s="55">
        <f>IF($B52=$B51,$AQ51,0)+$AP52</f>
        <v/>
      </c>
      <c r="AR52" s="55">
        <f>$AR51+$AP52</f>
        <v/>
      </c>
      <c r="AS52" s="55">
        <f>SUMIFS(tblMiningDaily[Blast_t],tblMiningDaily[Date],$A52)</f>
        <v/>
      </c>
      <c r="AT52" s="55">
        <f>IF($B52=$B51,$AT51,0)+$AS52</f>
        <v/>
      </c>
      <c r="AU52" s="55">
        <f>$AU51+$AS52</f>
        <v/>
      </c>
      <c r="AV52" s="55">
        <f>SUMIFS(tblMiningDaily[Explosives_kg],tblMiningDaily[Date],$A52)</f>
        <v/>
      </c>
      <c r="AW52" s="55">
        <f>IF($B52=$B51,$AW51,0)+$AV52</f>
        <v/>
      </c>
      <c r="AX52" s="55">
        <f>$AX51+$AV52</f>
        <v/>
      </c>
      <c r="AY52" s="56">
        <f>IFERROR(IF(($AS52)&gt;0,($AV52)/($AS52),""),"")</f>
        <v/>
      </c>
      <c r="AZ52" s="56">
        <f>IFERROR(IF(($AT52)&gt;0,($AW52)/($AT52),""),"")</f>
        <v/>
      </c>
      <c r="BA52" s="56">
        <f>IFERROR(IF(($AU52)&gt;0,($AX52)/($AU52),""),"")</f>
        <v/>
      </c>
      <c r="BB52" s="55">
        <f>SUMIFS(tblMiningDaily[Diesel_L],tblMiningDaily[Date],$A52)</f>
        <v/>
      </c>
      <c r="BC52" s="55">
        <f>IF($B52=$B51,$BC51,0)+$BB52</f>
        <v/>
      </c>
      <c r="BD52" s="55">
        <f>$BD51+$BB52</f>
        <v/>
      </c>
      <c r="BE52" s="55">
        <f>SUMIFS(tblMiningDaily[Dewatering_m3],tblMiningDaily[Date],$A52)</f>
        <v/>
      </c>
      <c r="BF52" s="55">
        <f>IF($B52=$B51,$BF51,0)+$BE52</f>
        <v/>
      </c>
      <c r="BG52" s="55">
        <f>$BG51+$BE52</f>
        <v/>
      </c>
      <c r="BH52" s="57">
        <f>SUMIFS(tblFleet[Calendar_h],tblFleet[Date],$A52,tblFleet[Equipment_Class],"Excavator")</f>
        <v/>
      </c>
      <c r="BI52" s="57">
        <f>IF($B52=$B51,$BI51,0)+$BH52</f>
        <v/>
      </c>
      <c r="BJ52" s="57">
        <f>$BJ51+$BH52</f>
        <v/>
      </c>
      <c r="BK52" s="57">
        <f>SUMIFS(tblFleet[Available_h],tblFleet[Date],$A52,tblFleet[Equipment_Class],"Excavator")</f>
        <v/>
      </c>
      <c r="BL52" s="57">
        <f>IF($B52=$B51,$BL51,0)+$BK52</f>
        <v/>
      </c>
      <c r="BM52" s="57">
        <f>$BM51+$BK52</f>
        <v/>
      </c>
      <c r="BN52" s="57">
        <f>SUMIFS(tblFleet[Operating_h],tblFleet[Date],$A52,tblFleet[Equipment_Class],"Excavator")</f>
        <v/>
      </c>
      <c r="BO52" s="57">
        <f>IF($B52=$B51,$BO51,0)+$BN52</f>
        <v/>
      </c>
      <c r="BP52" s="57">
        <f>$BP51+$BN52</f>
        <v/>
      </c>
      <c r="BQ52" s="67">
        <f>IFERROR(IF(($BH52)&gt;0,($BK52)/($BH52),""),"")</f>
        <v/>
      </c>
      <c r="BR52" s="67">
        <f>IFERROR(IF(($BI52)&gt;0,($BL52)/($BI52),""),"")</f>
        <v/>
      </c>
      <c r="BS52" s="67">
        <f>IFERROR(IF(($BJ52)&gt;0,($BM52)/($BJ52),""),"")</f>
        <v/>
      </c>
      <c r="BT52" s="67">
        <f>IFERROR(IF(($BK52)&gt;0,($BN52)/($BK52),""),"")</f>
        <v/>
      </c>
      <c r="BU52" s="67">
        <f>IFERROR(IF(($BL52)&gt;0,($BO52)/($BL52),""),"")</f>
        <v/>
      </c>
      <c r="BV52" s="67">
        <f>IFERROR(IF(($BM52)&gt;0,($BP52)/($BM52),""),"")</f>
        <v/>
      </c>
      <c r="BW52" s="57">
        <f>SUMIFS(tblFleet[Calendar_h],tblFleet[Date],$A52,tblFleet[Equipment_Class],"Haul Truck")</f>
        <v/>
      </c>
      <c r="BX52" s="57">
        <f>IF($B52=$B51,$BX51,0)+$BW52</f>
        <v/>
      </c>
      <c r="BY52" s="57">
        <f>$BY51+$BW52</f>
        <v/>
      </c>
      <c r="BZ52" s="57">
        <f>SUMIFS(tblFleet[Available_h],tblFleet[Date],$A52,tblFleet[Equipment_Class],"Haul Truck")</f>
        <v/>
      </c>
      <c r="CA52" s="57">
        <f>IF($B52=$B51,$CA51,0)+$BZ52</f>
        <v/>
      </c>
      <c r="CB52" s="57">
        <f>$CB51+$BZ52</f>
        <v/>
      </c>
      <c r="CC52" s="57">
        <f>SUMIFS(tblFleet[Operating_h],tblFleet[Date],$A52,tblFleet[Equipment_Class],"Haul Truck")</f>
        <v/>
      </c>
      <c r="CD52" s="57">
        <f>IF($B52=$B51,$CD51,0)+$CC52</f>
        <v/>
      </c>
      <c r="CE52" s="57">
        <f>$CE51+$CC52</f>
        <v/>
      </c>
      <c r="CF52" s="67">
        <f>IFERROR(IF(($BW52)&gt;0,($BZ52)/($BW52),""),"")</f>
        <v/>
      </c>
      <c r="CG52" s="67">
        <f>IFERROR(IF(($BX52)&gt;0,($CA52)/($BX52),""),"")</f>
        <v/>
      </c>
      <c r="CH52" s="67">
        <f>IFERROR(IF(($BY52)&gt;0,($CB52)/($BY52),""),"")</f>
        <v/>
      </c>
      <c r="CI52" s="67">
        <f>IFERROR(IF(($BZ52)&gt;0,($CC52)/($BZ52),""),"")</f>
        <v/>
      </c>
      <c r="CJ52" s="67">
        <f>IFERROR(IF(($CA52)&gt;0,($CD52)/($CA52),""),"")</f>
        <v/>
      </c>
      <c r="CK52" s="67">
        <f>IFERROR(IF(($CB52)&gt;0,($CE52)/($CB52),""),"")</f>
        <v/>
      </c>
      <c r="CL52" s="55">
        <f>IFERROR(IF(($BN52)&gt;0,($X52+$AD52)/($BN52),""),"")</f>
        <v/>
      </c>
      <c r="CM52" s="55">
        <f>IFERROR(IF(($BO52)&gt;0,($Y52+$AE52)/($BO52),""),"")</f>
        <v/>
      </c>
      <c r="CN52" s="55">
        <f>IFERROR(IF(($BP52)&gt;0,($Z52+$AF52)/($BP52),""),"")</f>
        <v/>
      </c>
      <c r="CO52" s="55">
        <f>IFERROR(IF(($CC52)&gt;0,($X52+$AD52)/($CC52),""),"")</f>
        <v/>
      </c>
      <c r="CP52" s="55">
        <f>IFERROR(IF(($CD52)&gt;0,($Y52+$AE52)/($CD52),""),"")</f>
        <v/>
      </c>
      <c r="CQ52" s="55">
        <f>IFERROR(IF(($CE52)&gt;0,($Z52+$AF52)/($CE52),""),"")</f>
        <v/>
      </c>
      <c r="CR52" s="55">
        <f>SUMIFS(tblPlant[Crushed_t],tblPlant[Date],$A52)</f>
        <v/>
      </c>
      <c r="CS52" s="55">
        <f>IF($B52=$B51,$CS51,0)+$CR52</f>
        <v/>
      </c>
      <c r="CT52" s="55">
        <f>$CT51+$CR52</f>
        <v/>
      </c>
      <c r="CU52" s="55">
        <f>SUMIFS(tblPlant[Milled_t],tblPlant[Date],$A52)</f>
        <v/>
      </c>
      <c r="CV52" s="55">
        <f>IF($B52=$B51,$CV51,0)+$CU52</f>
        <v/>
      </c>
      <c r="CW52" s="55">
        <f>$CW51+$CU52</f>
        <v/>
      </c>
      <c r="CX52" s="55">
        <f>SUMIFS(tblPlant[Feed_oz],tblPlant[Date],$A52)</f>
        <v/>
      </c>
      <c r="CY52" s="55">
        <f>IF($B52=$B51,$CY51,0)+$CX52</f>
        <v/>
      </c>
      <c r="CZ52" s="55">
        <f>$CZ51+$CX52</f>
        <v/>
      </c>
      <c r="DA52" s="55">
        <f>SUMIFS(tblPlant[Tails_oz],tblPlant[Date],$A52)</f>
        <v/>
      </c>
      <c r="DB52" s="55">
        <f>IF($B52=$B51,$DB51,0)+$DA52</f>
        <v/>
      </c>
      <c r="DC52" s="55">
        <f>$DC51+$DA52</f>
        <v/>
      </c>
      <c r="DD52" s="55">
        <f>SUMIFS(tblPlant[Recovered_oz],tblPlant[Date],$A52)</f>
        <v/>
      </c>
      <c r="DE52" s="55">
        <f>IF($B52=$B51,$DE51,0)+$DD52</f>
        <v/>
      </c>
      <c r="DF52" s="55">
        <f>$DF51+$DD52</f>
        <v/>
      </c>
      <c r="DG52" s="55">
        <f>SUMIFS(tblPlant[Milled_t],tblPlant[Date],$A52,tblPlant[Head_Grade_gpt],"&lt;&gt;")</f>
        <v/>
      </c>
      <c r="DH52" s="55">
        <f>IF($B52=$B51,$DH51,0)+$DG52</f>
        <v/>
      </c>
      <c r="DI52" s="55">
        <f>$DI51+$DG52</f>
        <v/>
      </c>
      <c r="DJ52" s="55">
        <f>SUMIFS(tblPlant[Milled_t],tblPlant[Date],$A52,tblPlant[Tails_Grade_gpt],"&lt;&gt;")</f>
        <v/>
      </c>
      <c r="DK52" s="55">
        <f>IF($B52=$B51,$DK51,0)+$DJ52</f>
        <v/>
      </c>
      <c r="DL52" s="55">
        <f>$DL51+$DJ52</f>
        <v/>
      </c>
      <c r="DM52" s="55">
        <f>SUMIFS(tblPlant[Feed_oz],tblPlant[Date],$A52,tblPlant[Tails_Grade_gpt],"&lt;&gt;")</f>
        <v/>
      </c>
      <c r="DN52" s="55">
        <f>IF($B52=$B51,$DN51,0)+$DM52</f>
        <v/>
      </c>
      <c r="DO52" s="55">
        <f>$DO51+$DM52</f>
        <v/>
      </c>
      <c r="DP52" s="55">
        <f>SUMIFS(tblPlant[Milled_t],tblPlant[Date],$A52,tblPlant[Mill_Run_h],"&lt;&gt;")</f>
        <v/>
      </c>
      <c r="DQ52" s="55">
        <f>IF($B52=$B51,$DQ51,0)+$DP52</f>
        <v/>
      </c>
      <c r="DR52" s="55">
        <f>$DR51+$DP52</f>
        <v/>
      </c>
      <c r="DS52" s="56">
        <f>IFERROR(IF(($DG52)&gt;0,($CX52*cfg_TroyOz)/($DG52),""),"")</f>
        <v/>
      </c>
      <c r="DT52" s="56">
        <f>IFERROR(IF(($DH52)&gt;0,($CY52*cfg_TroyOz)/($DH52),""),"")</f>
        <v/>
      </c>
      <c r="DU52" s="56">
        <f>IFERROR(IF(($DI52)&gt;0,($CZ52*cfg_TroyOz)/($DI52),""),"")</f>
        <v/>
      </c>
      <c r="DV52" s="56">
        <f>IFERROR(IF(($DJ52)&gt;0,($DA52*cfg_TroyOz)/($DJ52),""),"")</f>
        <v/>
      </c>
      <c r="DW52" s="56">
        <f>IFERROR(IF(($DK52)&gt;0,($DB52*cfg_TroyOz)/($DK52),""),"")</f>
        <v/>
      </c>
      <c r="DX52" s="56">
        <f>IFERROR(IF(($DL52)&gt;0,($DC52*cfg_TroyOz)/($DL52),""),"")</f>
        <v/>
      </c>
      <c r="DY52" s="67">
        <f>IFERROR(IF(($DM52)&gt;0,($DD52)/($DM52),""),"")</f>
        <v/>
      </c>
      <c r="DZ52" s="67">
        <f>IFERROR(IF(($DN52)&gt;0,($DE52)/($DN52),""),"")</f>
        <v/>
      </c>
      <c r="EA52" s="67">
        <f>IFERROR(IF(($DO52)&gt;0,($DF52)/($DO52),""),"")</f>
        <v/>
      </c>
      <c r="EB52" s="55">
        <f>SUMIFS(tblPlant[Gravity_Gold_oz],tblPlant[Date],$A52)</f>
        <v/>
      </c>
      <c r="EC52" s="55">
        <f>IF($B52=$B51,$EC51,0)+$EB52</f>
        <v/>
      </c>
      <c r="ED52" s="55">
        <f>$ED51+$EB52</f>
        <v/>
      </c>
      <c r="EE52" s="67">
        <f>IFERROR(IF(($DD52)&gt;0,($EB52)/($DD52),""),"")</f>
        <v/>
      </c>
      <c r="EF52" s="67">
        <f>IFERROR(IF(($DE52)&gt;0,($EC52)/($DE52),""),"")</f>
        <v/>
      </c>
      <c r="EG52" s="67">
        <f>IFERROR(IF(($DF52)&gt;0,($ED52)/($DF52),""),"")</f>
        <v/>
      </c>
      <c r="EH52" s="55">
        <f>SUMIFS(tblPlant[Gold_Poured_oz],tblPlant[Date],$A52)</f>
        <v/>
      </c>
      <c r="EI52" s="55">
        <f>IF($B52=$B51,$EI51,0)+$EH52</f>
        <v/>
      </c>
      <c r="EJ52" s="55">
        <f>$EJ51+$EH52</f>
        <v/>
      </c>
      <c r="EK52" s="57">
        <f>SUMIFS(tblPlant[Mill_Run_h],tblPlant[Date],$A52)</f>
        <v/>
      </c>
      <c r="EL52" s="57">
        <f>IF($B52=$B51,$EL51,0)+$EK52</f>
        <v/>
      </c>
      <c r="EM52" s="57">
        <f>$EM51+$EK52</f>
        <v/>
      </c>
      <c r="EN52" s="57">
        <f>SUMIFS(tblPlant[Mill_Planned_Maint_h],tblPlant[Date],$A52)</f>
        <v/>
      </c>
      <c r="EO52" s="57">
        <f>IF($B52=$B51,$EO51,0)+$EN52</f>
        <v/>
      </c>
      <c r="EP52" s="57">
        <f>$EP51+$EN52</f>
        <v/>
      </c>
      <c r="EQ52" s="57">
        <f>SUMIFS(tblPlant[Mill_Unplanned_Down_h],tblPlant[Date],$A52)</f>
        <v/>
      </c>
      <c r="ER52" s="57">
        <f>IF($B52=$B51,$ER51,0)+$EQ52</f>
        <v/>
      </c>
      <c r="ES52" s="57">
        <f>$ES51+$EQ52</f>
        <v/>
      </c>
      <c r="ET52" s="57">
        <f>IF(COUNTIFS(tblPlant[Date],$A52,tblPlant[Mill_Run_h],"&lt;&gt;")+COUNTIFS(tblPlant[Date],$A52,tblPlant[Mill_Planned_Maint_h],"&lt;&gt;")+COUNTIFS(tblPlant[Date],$A52,tblPlant[Mill_Unplanned_Down_h],"&lt;&gt;")&gt;0,cfg_HoursPerDay,0)</f>
        <v/>
      </c>
      <c r="EU52" s="57">
        <f>IF($B52=$B51,$EU51,0)+$ET52</f>
        <v/>
      </c>
      <c r="EV52" s="57">
        <f>$EV51+$ET52</f>
        <v/>
      </c>
      <c r="EW52" s="57">
        <f>SUMIFS(tblPlant[Crusher_Run_h],tblPlant[Date],$A52)</f>
        <v/>
      </c>
      <c r="EX52" s="57">
        <f>IF($B52=$B51,$EX51,0)+$EW52</f>
        <v/>
      </c>
      <c r="EY52" s="57">
        <f>$EY51+$EW52</f>
        <v/>
      </c>
      <c r="EZ52" s="55">
        <f>IFERROR(IF(($EK52)&gt;0,($DP52)/($EK52),""),"")</f>
        <v/>
      </c>
      <c r="FA52" s="55">
        <f>IFERROR(IF(($EL52)&gt;0,($DQ52)/($EL52),""),"")</f>
        <v/>
      </c>
      <c r="FB52" s="55">
        <f>IFERROR(IF(($EM52)&gt;0,($DR52)/($EM52),""),"")</f>
        <v/>
      </c>
      <c r="FC52" s="67">
        <f>IFERROR(IF(($ET52)&gt;0,($ET52-$EN52-$EQ52)/($ET52),""),"")</f>
        <v/>
      </c>
      <c r="FD52" s="67">
        <f>IFERROR(IF(($EU52)&gt;0,($EU52-$EO52-$ER52)/($EU52),""),"")</f>
        <v/>
      </c>
      <c r="FE52" s="67">
        <f>IFERROR(IF(($EV52)&gt;0,($EV52-$EP52-$ES52)/($EV52),""),"")</f>
        <v/>
      </c>
      <c r="FF52" s="67">
        <f>IFERROR(IF(($ET52-$EN52-$EQ52)&gt;0,($EK52)/($ET52-$EN52-$EQ52),""),"")</f>
        <v/>
      </c>
      <c r="FG52" s="67">
        <f>IFERROR(IF(($EU52-$EO52-$ER52)&gt;0,($EL52)/($EU52-$EO52-$ER52),""),"")</f>
        <v/>
      </c>
      <c r="FH52" s="67">
        <f>IFERROR(IF(($EV52-$EP52-$ES52)&gt;0,($EM52)/($EV52-$EP52-$ES52),""),"")</f>
        <v/>
      </c>
      <c r="FI52" s="55">
        <f>SUMIFS(tblPlant[Cyanide_kg],tblPlant[Date],$A52)</f>
        <v/>
      </c>
      <c r="FJ52" s="55">
        <f>IF($B52=$B51,$FJ51,0)+$FI52</f>
        <v/>
      </c>
      <c r="FK52" s="55">
        <f>$FK51+$FI52</f>
        <v/>
      </c>
      <c r="FL52" s="55">
        <f>SUMIFS(tblPlant[Lime_kg],tblPlant[Date],$A52)</f>
        <v/>
      </c>
      <c r="FM52" s="55">
        <f>IF($B52=$B51,$FM51,0)+$FL52</f>
        <v/>
      </c>
      <c r="FN52" s="55">
        <f>$FN51+$FL52</f>
        <v/>
      </c>
      <c r="FO52" s="55">
        <f>SUMIFS(tblPlant[Grinding_Media_kg],tblPlant[Date],$A52)</f>
        <v/>
      </c>
      <c r="FP52" s="55">
        <f>IF($B52=$B51,$FP51,0)+$FO52</f>
        <v/>
      </c>
      <c r="FQ52" s="55">
        <f>$FQ51+$FO52</f>
        <v/>
      </c>
      <c r="FR52" s="55">
        <f>SUMIFS(tblPlant[Power_kWh],tblPlant[Date],$A52)</f>
        <v/>
      </c>
      <c r="FS52" s="55">
        <f>IF($B52=$B51,$FS51,0)+$FR52</f>
        <v/>
      </c>
      <c r="FT52" s="55">
        <f>$FT51+$FR52</f>
        <v/>
      </c>
      <c r="FU52" s="55">
        <f>SUMIFS(tblPlant[Raw_Water_m3],tblPlant[Date],$A52)</f>
        <v/>
      </c>
      <c r="FV52" s="55">
        <f>IF($B52=$B51,$FV51,0)+$FU52</f>
        <v/>
      </c>
      <c r="FW52" s="55">
        <f>$FW51+$FU52</f>
        <v/>
      </c>
      <c r="FX52" s="56">
        <f>IFERROR(IF(($CU52)&gt;0,($FI52)/($CU52),""),"")</f>
        <v/>
      </c>
      <c r="FY52" s="56">
        <f>IFERROR(IF(($CV52)&gt;0,($FJ52)/($CV52),""),"")</f>
        <v/>
      </c>
      <c r="FZ52" s="56">
        <f>IFERROR(IF(($CW52)&gt;0,($FK52)/($CW52),""),"")</f>
        <v/>
      </c>
      <c r="GA52" s="56">
        <f>IFERROR(IF(($CU52)&gt;0,($FL52)/($CU52),""),"")</f>
        <v/>
      </c>
      <c r="GB52" s="56">
        <f>IFERROR(IF(($CV52)&gt;0,($FM52)/($CV52),""),"")</f>
        <v/>
      </c>
      <c r="GC52" s="56">
        <f>IFERROR(IF(($CW52)&gt;0,($FN52)/($CW52),""),"")</f>
        <v/>
      </c>
      <c r="GD52" s="56">
        <f>IFERROR(IF(($CU52)&gt;0,($FO52)/($CU52),""),"")</f>
        <v/>
      </c>
      <c r="GE52" s="56">
        <f>IFERROR(IF(($CV52)&gt;0,($FP52)/($CV52),""),"")</f>
        <v/>
      </c>
      <c r="GF52" s="56">
        <f>IFERROR(IF(($CW52)&gt;0,($FQ52)/($CW52),""),"")</f>
        <v/>
      </c>
      <c r="GG52" s="79">
        <f>IFERROR(IF(($CU52)&gt;0,($FR52)/($CU52),""),"")</f>
        <v/>
      </c>
      <c r="GH52" s="79">
        <f>IFERROR(IF(($CV52)&gt;0,($FS52)/($CV52),""),"")</f>
        <v/>
      </c>
      <c r="GI52" s="79">
        <f>IFERROR(IF(($CW52)&gt;0,($FT52)/($CW52),""),"")</f>
        <v/>
      </c>
      <c r="GJ52" s="56">
        <f>IFERROR(IF(($CU52)&gt;0,($FU52)/($CU52),""),"")</f>
        <v/>
      </c>
      <c r="GK52" s="56">
        <f>IFERROR(IF(($CV52)&gt;0,($FV52)/($CV52),""),"")</f>
        <v/>
      </c>
      <c r="GL52" s="56">
        <f>IFERROR(IF(($CW52)&gt;0,($FW52)/($CW52),""),"")</f>
        <v/>
      </c>
      <c r="GM52" s="55">
        <f>IF(SUMIFS(tblPlant[GIC_oz],tblPlant[Date],$A52)&gt;0,SUMIFS(tblPlant[GIC_oz],tblPlant[Date],$A52),"")</f>
        <v/>
      </c>
      <c r="GN52" s="55">
        <f>SUMIFS(tblGold[Gold_oz],tblGold[Date],$A52,tblGold[Type],"Shipment")</f>
        <v/>
      </c>
      <c r="GO52" s="55">
        <f>IF($B52=$B51,$GO51,0)+$GN52</f>
        <v/>
      </c>
      <c r="GP52" s="55">
        <f>$GP51+$GN52</f>
        <v/>
      </c>
      <c r="GQ52" s="55">
        <f>SUMIFS(tblGold[Gold_oz],tblGold[Date],$A52,tblGold[Type],"Sale")</f>
        <v/>
      </c>
      <c r="GR52" s="55">
        <f>IF($B52=$B51,$GR51,0)+$GQ52</f>
        <v/>
      </c>
      <c r="GS52" s="55">
        <f>$GS51+$GQ52</f>
        <v/>
      </c>
      <c r="GT52" s="55">
        <f>SUMIFS(tblGold[Dore_kg],tblGold[Date],$A52,tblGold[Type],"Shipment")</f>
        <v/>
      </c>
      <c r="GU52" s="55">
        <f>IF($B52=$B51,$GU51,0)+$GT52</f>
        <v/>
      </c>
      <c r="GV52" s="55">
        <f>$GV51+$GT52</f>
        <v/>
      </c>
      <c r="GW52" s="57">
        <f>SUMIFS(tblSafety[Hours_Total],tblSafety[Date],$A52)</f>
        <v/>
      </c>
      <c r="GX52" s="57">
        <f>IF($B52=$B51,$GX51,0)+$GW52</f>
        <v/>
      </c>
      <c r="GY52" s="57">
        <f>$GY51+$GW52</f>
        <v/>
      </c>
      <c r="GZ52" s="62">
        <f>SUMIFS(tblSafety[Fatality],tblSafety[Date],$A52)</f>
        <v/>
      </c>
      <c r="HA52" s="62">
        <f>IF($B52=$B51,$HA51,0)+$GZ52</f>
        <v/>
      </c>
      <c r="HB52" s="62">
        <f>$HB51+$GZ52</f>
        <v/>
      </c>
      <c r="HC52" s="62">
        <f>SUMIFS(tblSafety[LTI],tblSafety[Date],$A52)</f>
        <v/>
      </c>
      <c r="HD52" s="62">
        <f>IF($B52=$B51,$HD51,0)+$HC52</f>
        <v/>
      </c>
      <c r="HE52" s="62">
        <f>$HE51+$HC52</f>
        <v/>
      </c>
      <c r="HF52" s="62">
        <f>SUMIFS(tblSafety[RWI],tblSafety[Date],$A52)</f>
        <v/>
      </c>
      <c r="HG52" s="62">
        <f>IF($B52=$B51,$HG51,0)+$HF52</f>
        <v/>
      </c>
      <c r="HH52" s="62">
        <f>$HH51+$HF52</f>
        <v/>
      </c>
      <c r="HI52" s="62">
        <f>SUMIFS(tblSafety[MTI],tblSafety[Date],$A52)</f>
        <v/>
      </c>
      <c r="HJ52" s="62">
        <f>IF($B52=$B51,$HJ51,0)+$HI52</f>
        <v/>
      </c>
      <c r="HK52" s="62">
        <f>$HK51+$HI52</f>
        <v/>
      </c>
      <c r="HL52" s="62">
        <f>SUMIFS(tblSafety[FAI],tblSafety[Date],$A52)</f>
        <v/>
      </c>
      <c r="HM52" s="62">
        <f>IF($B52=$B51,$HM51,0)+$HL52</f>
        <v/>
      </c>
      <c r="HN52" s="62">
        <f>$HN51+$HL52</f>
        <v/>
      </c>
      <c r="HO52" s="62">
        <f>SUMIFS(tblSafety[Recordables],tblSafety[Date],$A52)</f>
        <v/>
      </c>
      <c r="HP52" s="62">
        <f>IF($B52=$B51,$HP51,0)+$HO52</f>
        <v/>
      </c>
      <c r="HQ52" s="62">
        <f>$HQ51+$HO52</f>
        <v/>
      </c>
      <c r="HR52" s="62">
        <f>SUMIFS(tblSafety[Near_Miss],tblSafety[Date],$A52)</f>
        <v/>
      </c>
      <c r="HS52" s="62">
        <f>IF($B52=$B51,$HS51,0)+$HR52</f>
        <v/>
      </c>
      <c r="HT52" s="62">
        <f>$HT51+$HR52</f>
        <v/>
      </c>
      <c r="HU52" s="62">
        <f>SUMIFS(tblSafety[Hazard_Reports],tblSafety[Date],$A52)</f>
        <v/>
      </c>
      <c r="HV52" s="62">
        <f>IF($B52=$B51,$HV51,0)+$HU52</f>
        <v/>
      </c>
      <c r="HW52" s="62">
        <f>$HW51+$HU52</f>
        <v/>
      </c>
      <c r="HX52" s="62">
        <f>SUMIFS(tblSafety[HPI],tblSafety[Date],$A52)</f>
        <v/>
      </c>
      <c r="HY52" s="62">
        <f>IF($B52=$B51,$HY51,0)+$HX52</f>
        <v/>
      </c>
      <c r="HZ52" s="62">
        <f>$HZ51+$HX52</f>
        <v/>
      </c>
      <c r="IA52" s="62">
        <f>SUMIFS(tblSafety[Env_Incidents],tblSafety[Date],$A52)</f>
        <v/>
      </c>
      <c r="IB52" s="62">
        <f>IF($B52=$B51,$IB51,0)+$IA52</f>
        <v/>
      </c>
      <c r="IC52" s="62">
        <f>$IC51+$IA52</f>
        <v/>
      </c>
      <c r="ID52" s="62">
        <f>SUMIFS(tblSafety[Community_Incidents],tblSafety[Date],$A52)</f>
        <v/>
      </c>
      <c r="IE52" s="62">
        <f>IF($B52=$B51,$IE51,0)+$ID52</f>
        <v/>
      </c>
      <c r="IF52" s="62">
        <f>$IF51+$ID52</f>
        <v/>
      </c>
      <c r="IG52" s="62">
        <f>SUMIFS(tblSafety[Vehicle_Incidents],tblSafety[Date],$A52)</f>
        <v/>
      </c>
      <c r="IH52" s="62">
        <f>IF($B52=$B51,$IH51,0)+$IG52</f>
        <v/>
      </c>
      <c r="II52" s="62">
        <f>$II51+$IG52</f>
        <v/>
      </c>
      <c r="IJ52" s="62">
        <f>SUMIFS(tblSafety[Toolbox_Talks],tblSafety[Date],$A52)</f>
        <v/>
      </c>
      <c r="IK52" s="62">
        <f>IF($B52=$B51,$IK51,0)+$IJ52</f>
        <v/>
      </c>
      <c r="IL52" s="62">
        <f>$IL51+$IJ52</f>
        <v/>
      </c>
      <c r="IM52" s="62">
        <f>SUMIFS(tblSafety[Inspections],tblSafety[Date],$A52)</f>
        <v/>
      </c>
      <c r="IN52" s="62">
        <f>IF($B52=$B51,$IN51,0)+$IM52</f>
        <v/>
      </c>
      <c r="IO52" s="62">
        <f>$IO51+$IM52</f>
        <v/>
      </c>
      <c r="IP52" s="56">
        <f>IFERROR((SUMIFS(tblSafety[Recordables],tblSafety[Date],"&gt;="&amp;EDATE($E52,-12),tblSafety[Date],"&lt;="&amp;$A52)+SUMIFS(tblSafetyHistory[Recordables],tblSafetyHistory[Month],"&gt;="&amp;EDATE($E52,-12),tblSafetyHistory[Month],"&lt;"&amp;$E52,tblSafetyHistory[Use],1))/(SUMIFS(tblSafety[Hours_Total],tblSafety[Date],"&gt;="&amp;EDATE($E52,-12),tblSafety[Date],"&lt;="&amp;$A52)+SUMIFS(tblSafetyHistory[Hours_Total],tblSafetyHistory[Month],"&gt;="&amp;EDATE($E52,-12),tblSafetyHistory[Month],"&lt;"&amp;$E52,tblSafetyHistory[Use],1))*cfg_RateBasisHours,"")</f>
        <v/>
      </c>
      <c r="IQ52" s="56">
        <f>IFERROR((SUMIFS(tblSafety[LTI],tblSafety[Date],"&gt;="&amp;EDATE($E52,-12),tblSafety[Date],"&lt;="&amp;$A52)+SUMIFS(tblSafetyHistory[LTI],tblSafetyHistory[Month],"&gt;="&amp;EDATE($E52,-12),tblSafetyHistory[Month],"&lt;"&amp;$E52,tblSafetyHistory[Use],1))/(SUMIFS(tblSafety[Hours_Total],tblSafety[Date],"&gt;="&amp;EDATE($E52,-12),tblSafety[Date],"&lt;="&amp;$A52)+SUMIFS(tblSafetyHistory[Hours_Total],tblSafetyHistory[Month],"&gt;="&amp;EDATE($E52,-12),tblSafetyHistory[Month],"&lt;"&amp;$E52,tblSafetyHistory[Use],1))*cfg_RateBasisHours,"")</f>
        <v/>
      </c>
      <c r="IR52" s="62">
        <f>IF(MAX(N(cfg_PriorLTIDate),_xlfn.MAXIFS(tblSafety[Date],tblSafety[LTI],"&gt;0",tblSafety[Date],"&lt;="&amp;$A52))=0,"",$A52-MAX(N(cfg_PriorLTIDate),_xlfn.MAXIFS(tblSafety[Date],tblSafety[LTI],"&gt;0",tblSafety[Date],"&lt;="&amp;$A52)))</f>
        <v/>
      </c>
      <c r="IS52" s="55">
        <f>SUMIFS(tblBudget[Ore_Mined_t],tblBudget[Month],$E52)</f>
        <v/>
      </c>
      <c r="IT52" s="55">
        <f>$IS52*$C52/$D52</f>
        <v/>
      </c>
      <c r="IU52" s="55">
        <f>SUMIFS(tblBudget[Ore_Mined_t],tblBudget[Month],"&lt;"&amp;$E52)+$IT52</f>
        <v/>
      </c>
      <c r="IV52" s="55">
        <f>SUMIFS(tblBudget[Ore_oz],tblBudget[Month],$E52)</f>
        <v/>
      </c>
      <c r="IW52" s="55">
        <f>$IV52*$C52/$D52</f>
        <v/>
      </c>
      <c r="IX52" s="55">
        <f>SUMIFS(tblBudget[Ore_oz],tblBudget[Month],"&lt;"&amp;$E52)+$IW52</f>
        <v/>
      </c>
      <c r="IY52" s="55">
        <f>SUMIFS(tblBudget[Ore_Mined_t],tblBudget[Month],$E52)</f>
        <v/>
      </c>
      <c r="IZ52" s="55">
        <f>$IY52*$C52/$D52</f>
        <v/>
      </c>
      <c r="JA52" s="55">
        <f>SUMIFS(tblBudget[Ore_Mined_t],tblBudget[Month],"&lt;"&amp;$E52)+$IZ52</f>
        <v/>
      </c>
      <c r="JB52" s="56">
        <f>IFERROR(IF(($IY52)&gt;0,($IV52*cfg_TroyOz)/($IY52),""),"")</f>
        <v/>
      </c>
      <c r="JC52" s="56">
        <f>IFERROR(IF(($IZ52)&gt;0,($IW52*cfg_TroyOz)/($IZ52),""),"")</f>
        <v/>
      </c>
      <c r="JD52" s="56">
        <f>IFERROR(IF(($JA52)&gt;0,($IX52*cfg_TroyOz)/($JA52),""),"")</f>
        <v/>
      </c>
      <c r="JE52" s="55">
        <f>SUMIFS(tblBudget[Waste_t],tblBudget[Month],$E52)</f>
        <v/>
      </c>
      <c r="JF52" s="55">
        <f>$JE52*$C52/$D52</f>
        <v/>
      </c>
      <c r="JG52" s="55">
        <f>SUMIFS(tblBudget[Waste_t],tblBudget[Month],"&lt;"&amp;$E52)+$JF52</f>
        <v/>
      </c>
      <c r="JH52" s="55">
        <f>SUMIFS(tblBudget[TMM_t],tblBudget[Month],$E52)</f>
        <v/>
      </c>
      <c r="JI52" s="55">
        <f>$JH52*$C52/$D52</f>
        <v/>
      </c>
      <c r="JJ52" s="55">
        <f>SUMIFS(tblBudget[TMM_t],tblBudget[Month],"&lt;"&amp;$E52)+$JI52</f>
        <v/>
      </c>
      <c r="JK52" s="56">
        <f>IFERROR(IF(($IS52)&gt;0,($JE52)/($IS52),""),"")</f>
        <v/>
      </c>
      <c r="JL52" s="56">
        <f>IFERROR(IF(($IT52)&gt;0,($JF52)/($IT52),""),"")</f>
        <v/>
      </c>
      <c r="JM52" s="56">
        <f>IFERROR(IF(($IU52)&gt;0,($JG52)/($IU52),""),"")</f>
        <v/>
      </c>
      <c r="JN52" s="55">
        <f>SUMIFS(tblBudget[Drill_m],tblBudget[Month],$E52)</f>
        <v/>
      </c>
      <c r="JO52" s="55">
        <f>$JN52*$C52/$D52</f>
        <v/>
      </c>
      <c r="JP52" s="55">
        <f>SUMIFS(tblBudget[Drill_m],tblBudget[Month],"&lt;"&amp;$E52)+$JO52</f>
        <v/>
      </c>
      <c r="JQ52" s="55">
        <f>SUMIFS(tblBudget[Diesel_L],tblBudget[Month],$E52)</f>
        <v/>
      </c>
      <c r="JR52" s="55">
        <f>$JQ52*$C52/$D52</f>
        <v/>
      </c>
      <c r="JS52" s="55">
        <f>SUMIFS(tblBudget[Diesel_L],tblBudget[Month],"&lt;"&amp;$E52)+$JR52</f>
        <v/>
      </c>
      <c r="JT52" s="55">
        <f>SUMIFS(tblBudget[Milled_t],tblBudget[Month],$E52)</f>
        <v/>
      </c>
      <c r="JU52" s="55">
        <f>$JT52*$C52/$D52</f>
        <v/>
      </c>
      <c r="JV52" s="55">
        <f>SUMIFS(tblBudget[Milled_t],tblBudget[Month],"&lt;"&amp;$E52)+$JU52</f>
        <v/>
      </c>
      <c r="JW52" s="55">
        <f>SUMIFS(tblBudget[Feed_oz],tblBudget[Month],$E52)</f>
        <v/>
      </c>
      <c r="JX52" s="55">
        <f>$JW52*$C52/$D52</f>
        <v/>
      </c>
      <c r="JY52" s="55">
        <f>SUMIFS(tblBudget[Feed_oz],tblBudget[Month],"&lt;"&amp;$E52)+$JX52</f>
        <v/>
      </c>
      <c r="JZ52" s="55">
        <f>SUMIFS(tblBudget[Recovered_oz],tblBudget[Month],$E52)</f>
        <v/>
      </c>
      <c r="KA52" s="55">
        <f>$JZ52*$C52/$D52</f>
        <v/>
      </c>
      <c r="KB52" s="55">
        <f>SUMIFS(tblBudget[Recovered_oz],tblBudget[Month],"&lt;"&amp;$E52)+$KA52</f>
        <v/>
      </c>
      <c r="KC52" s="55">
        <f>SUMIFS(tblBudget[Milled_t],tblBudget[Month],$E52)</f>
        <v/>
      </c>
      <c r="KD52" s="55">
        <f>$KC52*$C52/$D52</f>
        <v/>
      </c>
      <c r="KE52" s="55">
        <f>SUMIFS(tblBudget[Milled_t],tblBudget[Month],"&lt;"&amp;$E52)+$KD52</f>
        <v/>
      </c>
      <c r="KF52" s="55">
        <f>SUMIFS(tblBudget[Feed_oz],tblBudget[Month],$E52)</f>
        <v/>
      </c>
      <c r="KG52" s="55">
        <f>$KF52*$C52/$D52</f>
        <v/>
      </c>
      <c r="KH52" s="55">
        <f>SUMIFS(tblBudget[Feed_oz],tblBudget[Month],"&lt;"&amp;$E52)+$KG52</f>
        <v/>
      </c>
      <c r="KI52" s="56">
        <f>IFERROR(IF(($KC52)&gt;0,($JW52*cfg_TroyOz)/($KC52),""),"")</f>
        <v/>
      </c>
      <c r="KJ52" s="56">
        <f>IFERROR(IF(($KD52)&gt;0,($JX52*cfg_TroyOz)/($KD52),""),"")</f>
        <v/>
      </c>
      <c r="KK52" s="56">
        <f>IFERROR(IF(($KE52)&gt;0,($JY52*cfg_TroyOz)/($KE52),""),"")</f>
        <v/>
      </c>
      <c r="KL52" s="67">
        <f>IFERROR(IF(($KF52)&gt;0,($JZ52)/($KF52),""),"")</f>
        <v/>
      </c>
      <c r="KM52" s="67">
        <f>IFERROR(IF(($KG52)&gt;0,($KA52)/($KG52),""),"")</f>
        <v/>
      </c>
      <c r="KN52" s="67">
        <f>IFERROR(IF(($KH52)&gt;0,($KB52)/($KH52),""),"")</f>
        <v/>
      </c>
      <c r="KO52" s="55">
        <f>SUMIFS(tblBudget[Gold_Poured_oz],tblBudget[Month],$E52)</f>
        <v/>
      </c>
      <c r="KP52" s="55">
        <f>$KO52*$C52/$D52</f>
        <v/>
      </c>
      <c r="KQ52" s="55">
        <f>SUMIFS(tblBudget[Gold_Poured_oz],tblBudget[Month],"&lt;"&amp;$E52)+$KP52</f>
        <v/>
      </c>
      <c r="KR52" s="57">
        <f>SUMIFS(tblBudget[Hours_Worked],tblBudget[Month],$E52)</f>
        <v/>
      </c>
      <c r="KS52" s="57">
        <f>$KR52*$C52/$D52</f>
        <v/>
      </c>
      <c r="KT52" s="57">
        <f>SUMIFS(tblBudget[Hours_Worked],tblBudget[Month],"&lt;"&amp;$E52)+$KS52</f>
        <v/>
      </c>
    </row>
    <row r="53">
      <c r="A53" s="54" t="n">
        <v>46074</v>
      </c>
      <c r="B53">
        <f>MONTH($A53)</f>
        <v/>
      </c>
      <c r="C53">
        <f>DAY($A53)</f>
        <v/>
      </c>
      <c r="D53">
        <f>DAY(EOMONTH($A53,0))</f>
        <v/>
      </c>
      <c r="E53" s="54">
        <f>DATE(YEAR($A53),MONTH($A53),1)</f>
        <v/>
      </c>
      <c r="F53" s="55">
        <f>SUMIFS(tblMovement[Tonnes_t],tblMovement[Date],$A53,tblMovement[Is_Ore],1,tblMovement[Source_Type],"Pit")</f>
        <v/>
      </c>
      <c r="G53" s="55">
        <f>IF($B53=$B52,$G52,0)+$F53</f>
        <v/>
      </c>
      <c r="H53" s="55">
        <f>$H52+$F53</f>
        <v/>
      </c>
      <c r="I53" s="55">
        <f>SUMIFS(tblMovement[Ore_oz],tblMovement[Date],$A53,tblMovement[Source_Type],"Pit")</f>
        <v/>
      </c>
      <c r="J53" s="55">
        <f>IF($B53=$B52,$J52,0)+$I53</f>
        <v/>
      </c>
      <c r="K53" s="55">
        <f>$K52+$I53</f>
        <v/>
      </c>
      <c r="L53" s="55">
        <f>SUMIFS(tblMovement[Tonnes_t],tblMovement[Date],$A53,tblMovement[Is_Ore],1,tblMovement[Source_Type],"Pit",tblMovement[Grade_gpt],"&lt;&gt;")</f>
        <v/>
      </c>
      <c r="M53" s="55">
        <f>IF($B53=$B52,$M52,0)+$L53</f>
        <v/>
      </c>
      <c r="N53" s="55">
        <f>$N52+$L53</f>
        <v/>
      </c>
      <c r="O53" s="56">
        <f>IFERROR(IF(($L53)&gt;0,($I53*cfg_TroyOz)/($L53),""),"")</f>
        <v/>
      </c>
      <c r="P53" s="56">
        <f>IFERROR(IF(($M53)&gt;0,($J53*cfg_TroyOz)/($M53),""),"")</f>
        <v/>
      </c>
      <c r="Q53" s="56">
        <f>IFERROR(IF(($N53)&gt;0,($K53*cfg_TroyOz)/($N53),""),"")</f>
        <v/>
      </c>
      <c r="R53" s="55">
        <f>$F53-$L53</f>
        <v/>
      </c>
      <c r="S53" s="55">
        <f>IF($B53=$B52,$S52,0)+$R53</f>
        <v/>
      </c>
      <c r="T53" s="55">
        <f>$T52+$R53</f>
        <v/>
      </c>
      <c r="U53" s="55">
        <f>SUMIFS(tblMovement[Tonnes_t],tblMovement[Date],$A53,tblMovement[Is_Ore],0,tblMovement[Source_Type],"Pit")</f>
        <v/>
      </c>
      <c r="V53" s="55">
        <f>IF($B53=$B52,$V52,0)+$U53</f>
        <v/>
      </c>
      <c r="W53" s="55">
        <f>$W52+$U53</f>
        <v/>
      </c>
      <c r="X53" s="55">
        <f>$F53+$U53</f>
        <v/>
      </c>
      <c r="Y53" s="55">
        <f>IF($B53=$B52,$Y52,0)+$X53</f>
        <v/>
      </c>
      <c r="Z53" s="55">
        <f>$Z52+$X53</f>
        <v/>
      </c>
      <c r="AA53" s="56">
        <f>IFERROR(IF(($F53)&gt;0,($U53)/($F53),""),"")</f>
        <v/>
      </c>
      <c r="AB53" s="56">
        <f>IFERROR(IF(($G53)&gt;0,($V53)/($G53),""),"")</f>
        <v/>
      </c>
      <c r="AC53" s="56">
        <f>IFERROR(IF(($H53)&gt;0,($W53)/($H53),""),"")</f>
        <v/>
      </c>
      <c r="AD53" s="55">
        <f>SUMIFS(tblMovement[Tonnes_t],tblMovement[Date],$A53,tblMovement[Source_Type],"Stockpile")</f>
        <v/>
      </c>
      <c r="AE53" s="55">
        <f>IF($B53=$B52,$AE52,0)+$AD53</f>
        <v/>
      </c>
      <c r="AF53" s="55">
        <f>$AF52+$AD53</f>
        <v/>
      </c>
      <c r="AG53" s="55">
        <f>SUMIFS(tblMovement[Tonnes_t],tblMovement[Date],$A53)</f>
        <v/>
      </c>
      <c r="AH53" s="55">
        <f>IF($B53=$B52,$AH52,0)+$AG53</f>
        <v/>
      </c>
      <c r="AI53" s="55">
        <f>$AI52+$AG53</f>
        <v/>
      </c>
      <c r="AJ53" s="55">
        <f>$AG53-$X53-$AD53</f>
        <v/>
      </c>
      <c r="AK53" s="55">
        <f>IF($B53=$B52,$AK52,0)+$AJ53</f>
        <v/>
      </c>
      <c r="AL53" s="55">
        <f>$AL52+$AJ53</f>
        <v/>
      </c>
      <c r="AM53" s="55">
        <f>SUMIFS(tblMiningDaily[Drill_m],tblMiningDaily[Date],$A53)</f>
        <v/>
      </c>
      <c r="AN53" s="55">
        <f>IF($B53=$B52,$AN52,0)+$AM53</f>
        <v/>
      </c>
      <c r="AO53" s="55">
        <f>$AO52+$AM53</f>
        <v/>
      </c>
      <c r="AP53" s="55">
        <f>SUMIFS(tblMiningDaily[GC_Drill_m],tblMiningDaily[Date],$A53)</f>
        <v/>
      </c>
      <c r="AQ53" s="55">
        <f>IF($B53=$B52,$AQ52,0)+$AP53</f>
        <v/>
      </c>
      <c r="AR53" s="55">
        <f>$AR52+$AP53</f>
        <v/>
      </c>
      <c r="AS53" s="55">
        <f>SUMIFS(tblMiningDaily[Blast_t],tblMiningDaily[Date],$A53)</f>
        <v/>
      </c>
      <c r="AT53" s="55">
        <f>IF($B53=$B52,$AT52,0)+$AS53</f>
        <v/>
      </c>
      <c r="AU53" s="55">
        <f>$AU52+$AS53</f>
        <v/>
      </c>
      <c r="AV53" s="55">
        <f>SUMIFS(tblMiningDaily[Explosives_kg],tblMiningDaily[Date],$A53)</f>
        <v/>
      </c>
      <c r="AW53" s="55">
        <f>IF($B53=$B52,$AW52,0)+$AV53</f>
        <v/>
      </c>
      <c r="AX53" s="55">
        <f>$AX52+$AV53</f>
        <v/>
      </c>
      <c r="AY53" s="56">
        <f>IFERROR(IF(($AS53)&gt;0,($AV53)/($AS53),""),"")</f>
        <v/>
      </c>
      <c r="AZ53" s="56">
        <f>IFERROR(IF(($AT53)&gt;0,($AW53)/($AT53),""),"")</f>
        <v/>
      </c>
      <c r="BA53" s="56">
        <f>IFERROR(IF(($AU53)&gt;0,($AX53)/($AU53),""),"")</f>
        <v/>
      </c>
      <c r="BB53" s="55">
        <f>SUMIFS(tblMiningDaily[Diesel_L],tblMiningDaily[Date],$A53)</f>
        <v/>
      </c>
      <c r="BC53" s="55">
        <f>IF($B53=$B52,$BC52,0)+$BB53</f>
        <v/>
      </c>
      <c r="BD53" s="55">
        <f>$BD52+$BB53</f>
        <v/>
      </c>
      <c r="BE53" s="55">
        <f>SUMIFS(tblMiningDaily[Dewatering_m3],tblMiningDaily[Date],$A53)</f>
        <v/>
      </c>
      <c r="BF53" s="55">
        <f>IF($B53=$B52,$BF52,0)+$BE53</f>
        <v/>
      </c>
      <c r="BG53" s="55">
        <f>$BG52+$BE53</f>
        <v/>
      </c>
      <c r="BH53" s="57">
        <f>SUMIFS(tblFleet[Calendar_h],tblFleet[Date],$A53,tblFleet[Equipment_Class],"Excavator")</f>
        <v/>
      </c>
      <c r="BI53" s="57">
        <f>IF($B53=$B52,$BI52,0)+$BH53</f>
        <v/>
      </c>
      <c r="BJ53" s="57">
        <f>$BJ52+$BH53</f>
        <v/>
      </c>
      <c r="BK53" s="57">
        <f>SUMIFS(tblFleet[Available_h],tblFleet[Date],$A53,tblFleet[Equipment_Class],"Excavator")</f>
        <v/>
      </c>
      <c r="BL53" s="57">
        <f>IF($B53=$B52,$BL52,0)+$BK53</f>
        <v/>
      </c>
      <c r="BM53" s="57">
        <f>$BM52+$BK53</f>
        <v/>
      </c>
      <c r="BN53" s="57">
        <f>SUMIFS(tblFleet[Operating_h],tblFleet[Date],$A53,tblFleet[Equipment_Class],"Excavator")</f>
        <v/>
      </c>
      <c r="BO53" s="57">
        <f>IF($B53=$B52,$BO52,0)+$BN53</f>
        <v/>
      </c>
      <c r="BP53" s="57">
        <f>$BP52+$BN53</f>
        <v/>
      </c>
      <c r="BQ53" s="67">
        <f>IFERROR(IF(($BH53)&gt;0,($BK53)/($BH53),""),"")</f>
        <v/>
      </c>
      <c r="BR53" s="67">
        <f>IFERROR(IF(($BI53)&gt;0,($BL53)/($BI53),""),"")</f>
        <v/>
      </c>
      <c r="BS53" s="67">
        <f>IFERROR(IF(($BJ53)&gt;0,($BM53)/($BJ53),""),"")</f>
        <v/>
      </c>
      <c r="BT53" s="67">
        <f>IFERROR(IF(($BK53)&gt;0,($BN53)/($BK53),""),"")</f>
        <v/>
      </c>
      <c r="BU53" s="67">
        <f>IFERROR(IF(($BL53)&gt;0,($BO53)/($BL53),""),"")</f>
        <v/>
      </c>
      <c r="BV53" s="67">
        <f>IFERROR(IF(($BM53)&gt;0,($BP53)/($BM53),""),"")</f>
        <v/>
      </c>
      <c r="BW53" s="57">
        <f>SUMIFS(tblFleet[Calendar_h],tblFleet[Date],$A53,tblFleet[Equipment_Class],"Haul Truck")</f>
        <v/>
      </c>
      <c r="BX53" s="57">
        <f>IF($B53=$B52,$BX52,0)+$BW53</f>
        <v/>
      </c>
      <c r="BY53" s="57">
        <f>$BY52+$BW53</f>
        <v/>
      </c>
      <c r="BZ53" s="57">
        <f>SUMIFS(tblFleet[Available_h],tblFleet[Date],$A53,tblFleet[Equipment_Class],"Haul Truck")</f>
        <v/>
      </c>
      <c r="CA53" s="57">
        <f>IF($B53=$B52,$CA52,0)+$BZ53</f>
        <v/>
      </c>
      <c r="CB53" s="57">
        <f>$CB52+$BZ53</f>
        <v/>
      </c>
      <c r="CC53" s="57">
        <f>SUMIFS(tblFleet[Operating_h],tblFleet[Date],$A53,tblFleet[Equipment_Class],"Haul Truck")</f>
        <v/>
      </c>
      <c r="CD53" s="57">
        <f>IF($B53=$B52,$CD52,0)+$CC53</f>
        <v/>
      </c>
      <c r="CE53" s="57">
        <f>$CE52+$CC53</f>
        <v/>
      </c>
      <c r="CF53" s="67">
        <f>IFERROR(IF(($BW53)&gt;0,($BZ53)/($BW53),""),"")</f>
        <v/>
      </c>
      <c r="CG53" s="67">
        <f>IFERROR(IF(($BX53)&gt;0,($CA53)/($BX53),""),"")</f>
        <v/>
      </c>
      <c r="CH53" s="67">
        <f>IFERROR(IF(($BY53)&gt;0,($CB53)/($BY53),""),"")</f>
        <v/>
      </c>
      <c r="CI53" s="67">
        <f>IFERROR(IF(($BZ53)&gt;0,($CC53)/($BZ53),""),"")</f>
        <v/>
      </c>
      <c r="CJ53" s="67">
        <f>IFERROR(IF(($CA53)&gt;0,($CD53)/($CA53),""),"")</f>
        <v/>
      </c>
      <c r="CK53" s="67">
        <f>IFERROR(IF(($CB53)&gt;0,($CE53)/($CB53),""),"")</f>
        <v/>
      </c>
      <c r="CL53" s="55">
        <f>IFERROR(IF(($BN53)&gt;0,($X53+$AD53)/($BN53),""),"")</f>
        <v/>
      </c>
      <c r="CM53" s="55">
        <f>IFERROR(IF(($BO53)&gt;0,($Y53+$AE53)/($BO53),""),"")</f>
        <v/>
      </c>
      <c r="CN53" s="55">
        <f>IFERROR(IF(($BP53)&gt;0,($Z53+$AF53)/($BP53),""),"")</f>
        <v/>
      </c>
      <c r="CO53" s="55">
        <f>IFERROR(IF(($CC53)&gt;0,($X53+$AD53)/($CC53),""),"")</f>
        <v/>
      </c>
      <c r="CP53" s="55">
        <f>IFERROR(IF(($CD53)&gt;0,($Y53+$AE53)/($CD53),""),"")</f>
        <v/>
      </c>
      <c r="CQ53" s="55">
        <f>IFERROR(IF(($CE53)&gt;0,($Z53+$AF53)/($CE53),""),"")</f>
        <v/>
      </c>
      <c r="CR53" s="55">
        <f>SUMIFS(tblPlant[Crushed_t],tblPlant[Date],$A53)</f>
        <v/>
      </c>
      <c r="CS53" s="55">
        <f>IF($B53=$B52,$CS52,0)+$CR53</f>
        <v/>
      </c>
      <c r="CT53" s="55">
        <f>$CT52+$CR53</f>
        <v/>
      </c>
      <c r="CU53" s="55">
        <f>SUMIFS(tblPlant[Milled_t],tblPlant[Date],$A53)</f>
        <v/>
      </c>
      <c r="CV53" s="55">
        <f>IF($B53=$B52,$CV52,0)+$CU53</f>
        <v/>
      </c>
      <c r="CW53" s="55">
        <f>$CW52+$CU53</f>
        <v/>
      </c>
      <c r="CX53" s="55">
        <f>SUMIFS(tblPlant[Feed_oz],tblPlant[Date],$A53)</f>
        <v/>
      </c>
      <c r="CY53" s="55">
        <f>IF($B53=$B52,$CY52,0)+$CX53</f>
        <v/>
      </c>
      <c r="CZ53" s="55">
        <f>$CZ52+$CX53</f>
        <v/>
      </c>
      <c r="DA53" s="55">
        <f>SUMIFS(tblPlant[Tails_oz],tblPlant[Date],$A53)</f>
        <v/>
      </c>
      <c r="DB53" s="55">
        <f>IF($B53=$B52,$DB52,0)+$DA53</f>
        <v/>
      </c>
      <c r="DC53" s="55">
        <f>$DC52+$DA53</f>
        <v/>
      </c>
      <c r="DD53" s="55">
        <f>SUMIFS(tblPlant[Recovered_oz],tblPlant[Date],$A53)</f>
        <v/>
      </c>
      <c r="DE53" s="55">
        <f>IF($B53=$B52,$DE52,0)+$DD53</f>
        <v/>
      </c>
      <c r="DF53" s="55">
        <f>$DF52+$DD53</f>
        <v/>
      </c>
      <c r="DG53" s="55">
        <f>SUMIFS(tblPlant[Milled_t],tblPlant[Date],$A53,tblPlant[Head_Grade_gpt],"&lt;&gt;")</f>
        <v/>
      </c>
      <c r="DH53" s="55">
        <f>IF($B53=$B52,$DH52,0)+$DG53</f>
        <v/>
      </c>
      <c r="DI53" s="55">
        <f>$DI52+$DG53</f>
        <v/>
      </c>
      <c r="DJ53" s="55">
        <f>SUMIFS(tblPlant[Milled_t],tblPlant[Date],$A53,tblPlant[Tails_Grade_gpt],"&lt;&gt;")</f>
        <v/>
      </c>
      <c r="DK53" s="55">
        <f>IF($B53=$B52,$DK52,0)+$DJ53</f>
        <v/>
      </c>
      <c r="DL53" s="55">
        <f>$DL52+$DJ53</f>
        <v/>
      </c>
      <c r="DM53" s="55">
        <f>SUMIFS(tblPlant[Feed_oz],tblPlant[Date],$A53,tblPlant[Tails_Grade_gpt],"&lt;&gt;")</f>
        <v/>
      </c>
      <c r="DN53" s="55">
        <f>IF($B53=$B52,$DN52,0)+$DM53</f>
        <v/>
      </c>
      <c r="DO53" s="55">
        <f>$DO52+$DM53</f>
        <v/>
      </c>
      <c r="DP53" s="55">
        <f>SUMIFS(tblPlant[Milled_t],tblPlant[Date],$A53,tblPlant[Mill_Run_h],"&lt;&gt;")</f>
        <v/>
      </c>
      <c r="DQ53" s="55">
        <f>IF($B53=$B52,$DQ52,0)+$DP53</f>
        <v/>
      </c>
      <c r="DR53" s="55">
        <f>$DR52+$DP53</f>
        <v/>
      </c>
      <c r="DS53" s="56">
        <f>IFERROR(IF(($DG53)&gt;0,($CX53*cfg_TroyOz)/($DG53),""),"")</f>
        <v/>
      </c>
      <c r="DT53" s="56">
        <f>IFERROR(IF(($DH53)&gt;0,($CY53*cfg_TroyOz)/($DH53),""),"")</f>
        <v/>
      </c>
      <c r="DU53" s="56">
        <f>IFERROR(IF(($DI53)&gt;0,($CZ53*cfg_TroyOz)/($DI53),""),"")</f>
        <v/>
      </c>
      <c r="DV53" s="56">
        <f>IFERROR(IF(($DJ53)&gt;0,($DA53*cfg_TroyOz)/($DJ53),""),"")</f>
        <v/>
      </c>
      <c r="DW53" s="56">
        <f>IFERROR(IF(($DK53)&gt;0,($DB53*cfg_TroyOz)/($DK53),""),"")</f>
        <v/>
      </c>
      <c r="DX53" s="56">
        <f>IFERROR(IF(($DL53)&gt;0,($DC53*cfg_TroyOz)/($DL53),""),"")</f>
        <v/>
      </c>
      <c r="DY53" s="67">
        <f>IFERROR(IF(($DM53)&gt;0,($DD53)/($DM53),""),"")</f>
        <v/>
      </c>
      <c r="DZ53" s="67">
        <f>IFERROR(IF(($DN53)&gt;0,($DE53)/($DN53),""),"")</f>
        <v/>
      </c>
      <c r="EA53" s="67">
        <f>IFERROR(IF(($DO53)&gt;0,($DF53)/($DO53),""),"")</f>
        <v/>
      </c>
      <c r="EB53" s="55">
        <f>SUMIFS(tblPlant[Gravity_Gold_oz],tblPlant[Date],$A53)</f>
        <v/>
      </c>
      <c r="EC53" s="55">
        <f>IF($B53=$B52,$EC52,0)+$EB53</f>
        <v/>
      </c>
      <c r="ED53" s="55">
        <f>$ED52+$EB53</f>
        <v/>
      </c>
      <c r="EE53" s="67">
        <f>IFERROR(IF(($DD53)&gt;0,($EB53)/($DD53),""),"")</f>
        <v/>
      </c>
      <c r="EF53" s="67">
        <f>IFERROR(IF(($DE53)&gt;0,($EC53)/($DE53),""),"")</f>
        <v/>
      </c>
      <c r="EG53" s="67">
        <f>IFERROR(IF(($DF53)&gt;0,($ED53)/($DF53),""),"")</f>
        <v/>
      </c>
      <c r="EH53" s="55">
        <f>SUMIFS(tblPlant[Gold_Poured_oz],tblPlant[Date],$A53)</f>
        <v/>
      </c>
      <c r="EI53" s="55">
        <f>IF($B53=$B52,$EI52,0)+$EH53</f>
        <v/>
      </c>
      <c r="EJ53" s="55">
        <f>$EJ52+$EH53</f>
        <v/>
      </c>
      <c r="EK53" s="57">
        <f>SUMIFS(tblPlant[Mill_Run_h],tblPlant[Date],$A53)</f>
        <v/>
      </c>
      <c r="EL53" s="57">
        <f>IF($B53=$B52,$EL52,0)+$EK53</f>
        <v/>
      </c>
      <c r="EM53" s="57">
        <f>$EM52+$EK53</f>
        <v/>
      </c>
      <c r="EN53" s="57">
        <f>SUMIFS(tblPlant[Mill_Planned_Maint_h],tblPlant[Date],$A53)</f>
        <v/>
      </c>
      <c r="EO53" s="57">
        <f>IF($B53=$B52,$EO52,0)+$EN53</f>
        <v/>
      </c>
      <c r="EP53" s="57">
        <f>$EP52+$EN53</f>
        <v/>
      </c>
      <c r="EQ53" s="57">
        <f>SUMIFS(tblPlant[Mill_Unplanned_Down_h],tblPlant[Date],$A53)</f>
        <v/>
      </c>
      <c r="ER53" s="57">
        <f>IF($B53=$B52,$ER52,0)+$EQ53</f>
        <v/>
      </c>
      <c r="ES53" s="57">
        <f>$ES52+$EQ53</f>
        <v/>
      </c>
      <c r="ET53" s="57">
        <f>IF(COUNTIFS(tblPlant[Date],$A53,tblPlant[Mill_Run_h],"&lt;&gt;")+COUNTIFS(tblPlant[Date],$A53,tblPlant[Mill_Planned_Maint_h],"&lt;&gt;")+COUNTIFS(tblPlant[Date],$A53,tblPlant[Mill_Unplanned_Down_h],"&lt;&gt;")&gt;0,cfg_HoursPerDay,0)</f>
        <v/>
      </c>
      <c r="EU53" s="57">
        <f>IF($B53=$B52,$EU52,0)+$ET53</f>
        <v/>
      </c>
      <c r="EV53" s="57">
        <f>$EV52+$ET53</f>
        <v/>
      </c>
      <c r="EW53" s="57">
        <f>SUMIFS(tblPlant[Crusher_Run_h],tblPlant[Date],$A53)</f>
        <v/>
      </c>
      <c r="EX53" s="57">
        <f>IF($B53=$B52,$EX52,0)+$EW53</f>
        <v/>
      </c>
      <c r="EY53" s="57">
        <f>$EY52+$EW53</f>
        <v/>
      </c>
      <c r="EZ53" s="55">
        <f>IFERROR(IF(($EK53)&gt;0,($DP53)/($EK53),""),"")</f>
        <v/>
      </c>
      <c r="FA53" s="55">
        <f>IFERROR(IF(($EL53)&gt;0,($DQ53)/($EL53),""),"")</f>
        <v/>
      </c>
      <c r="FB53" s="55">
        <f>IFERROR(IF(($EM53)&gt;0,($DR53)/($EM53),""),"")</f>
        <v/>
      </c>
      <c r="FC53" s="67">
        <f>IFERROR(IF(($ET53)&gt;0,($ET53-$EN53-$EQ53)/($ET53),""),"")</f>
        <v/>
      </c>
      <c r="FD53" s="67">
        <f>IFERROR(IF(($EU53)&gt;0,($EU53-$EO53-$ER53)/($EU53),""),"")</f>
        <v/>
      </c>
      <c r="FE53" s="67">
        <f>IFERROR(IF(($EV53)&gt;0,($EV53-$EP53-$ES53)/($EV53),""),"")</f>
        <v/>
      </c>
      <c r="FF53" s="67">
        <f>IFERROR(IF(($ET53-$EN53-$EQ53)&gt;0,($EK53)/($ET53-$EN53-$EQ53),""),"")</f>
        <v/>
      </c>
      <c r="FG53" s="67">
        <f>IFERROR(IF(($EU53-$EO53-$ER53)&gt;0,($EL53)/($EU53-$EO53-$ER53),""),"")</f>
        <v/>
      </c>
      <c r="FH53" s="67">
        <f>IFERROR(IF(($EV53-$EP53-$ES53)&gt;0,($EM53)/($EV53-$EP53-$ES53),""),"")</f>
        <v/>
      </c>
      <c r="FI53" s="55">
        <f>SUMIFS(tblPlant[Cyanide_kg],tblPlant[Date],$A53)</f>
        <v/>
      </c>
      <c r="FJ53" s="55">
        <f>IF($B53=$B52,$FJ52,0)+$FI53</f>
        <v/>
      </c>
      <c r="FK53" s="55">
        <f>$FK52+$FI53</f>
        <v/>
      </c>
      <c r="FL53" s="55">
        <f>SUMIFS(tblPlant[Lime_kg],tblPlant[Date],$A53)</f>
        <v/>
      </c>
      <c r="FM53" s="55">
        <f>IF($B53=$B52,$FM52,0)+$FL53</f>
        <v/>
      </c>
      <c r="FN53" s="55">
        <f>$FN52+$FL53</f>
        <v/>
      </c>
      <c r="FO53" s="55">
        <f>SUMIFS(tblPlant[Grinding_Media_kg],tblPlant[Date],$A53)</f>
        <v/>
      </c>
      <c r="FP53" s="55">
        <f>IF($B53=$B52,$FP52,0)+$FO53</f>
        <v/>
      </c>
      <c r="FQ53" s="55">
        <f>$FQ52+$FO53</f>
        <v/>
      </c>
      <c r="FR53" s="55">
        <f>SUMIFS(tblPlant[Power_kWh],tblPlant[Date],$A53)</f>
        <v/>
      </c>
      <c r="FS53" s="55">
        <f>IF($B53=$B52,$FS52,0)+$FR53</f>
        <v/>
      </c>
      <c r="FT53" s="55">
        <f>$FT52+$FR53</f>
        <v/>
      </c>
      <c r="FU53" s="55">
        <f>SUMIFS(tblPlant[Raw_Water_m3],tblPlant[Date],$A53)</f>
        <v/>
      </c>
      <c r="FV53" s="55">
        <f>IF($B53=$B52,$FV52,0)+$FU53</f>
        <v/>
      </c>
      <c r="FW53" s="55">
        <f>$FW52+$FU53</f>
        <v/>
      </c>
      <c r="FX53" s="56">
        <f>IFERROR(IF(($CU53)&gt;0,($FI53)/($CU53),""),"")</f>
        <v/>
      </c>
      <c r="FY53" s="56">
        <f>IFERROR(IF(($CV53)&gt;0,($FJ53)/($CV53),""),"")</f>
        <v/>
      </c>
      <c r="FZ53" s="56">
        <f>IFERROR(IF(($CW53)&gt;0,($FK53)/($CW53),""),"")</f>
        <v/>
      </c>
      <c r="GA53" s="56">
        <f>IFERROR(IF(($CU53)&gt;0,($FL53)/($CU53),""),"")</f>
        <v/>
      </c>
      <c r="GB53" s="56">
        <f>IFERROR(IF(($CV53)&gt;0,($FM53)/($CV53),""),"")</f>
        <v/>
      </c>
      <c r="GC53" s="56">
        <f>IFERROR(IF(($CW53)&gt;0,($FN53)/($CW53),""),"")</f>
        <v/>
      </c>
      <c r="GD53" s="56">
        <f>IFERROR(IF(($CU53)&gt;0,($FO53)/($CU53),""),"")</f>
        <v/>
      </c>
      <c r="GE53" s="56">
        <f>IFERROR(IF(($CV53)&gt;0,($FP53)/($CV53),""),"")</f>
        <v/>
      </c>
      <c r="GF53" s="56">
        <f>IFERROR(IF(($CW53)&gt;0,($FQ53)/($CW53),""),"")</f>
        <v/>
      </c>
      <c r="GG53" s="79">
        <f>IFERROR(IF(($CU53)&gt;0,($FR53)/($CU53),""),"")</f>
        <v/>
      </c>
      <c r="GH53" s="79">
        <f>IFERROR(IF(($CV53)&gt;0,($FS53)/($CV53),""),"")</f>
        <v/>
      </c>
      <c r="GI53" s="79">
        <f>IFERROR(IF(($CW53)&gt;0,($FT53)/($CW53),""),"")</f>
        <v/>
      </c>
      <c r="GJ53" s="56">
        <f>IFERROR(IF(($CU53)&gt;0,($FU53)/($CU53),""),"")</f>
        <v/>
      </c>
      <c r="GK53" s="56">
        <f>IFERROR(IF(($CV53)&gt;0,($FV53)/($CV53),""),"")</f>
        <v/>
      </c>
      <c r="GL53" s="56">
        <f>IFERROR(IF(($CW53)&gt;0,($FW53)/($CW53),""),"")</f>
        <v/>
      </c>
      <c r="GM53" s="55">
        <f>IF(SUMIFS(tblPlant[GIC_oz],tblPlant[Date],$A53)&gt;0,SUMIFS(tblPlant[GIC_oz],tblPlant[Date],$A53),"")</f>
        <v/>
      </c>
      <c r="GN53" s="55">
        <f>SUMIFS(tblGold[Gold_oz],tblGold[Date],$A53,tblGold[Type],"Shipment")</f>
        <v/>
      </c>
      <c r="GO53" s="55">
        <f>IF($B53=$B52,$GO52,0)+$GN53</f>
        <v/>
      </c>
      <c r="GP53" s="55">
        <f>$GP52+$GN53</f>
        <v/>
      </c>
      <c r="GQ53" s="55">
        <f>SUMIFS(tblGold[Gold_oz],tblGold[Date],$A53,tblGold[Type],"Sale")</f>
        <v/>
      </c>
      <c r="GR53" s="55">
        <f>IF($B53=$B52,$GR52,0)+$GQ53</f>
        <v/>
      </c>
      <c r="GS53" s="55">
        <f>$GS52+$GQ53</f>
        <v/>
      </c>
      <c r="GT53" s="55">
        <f>SUMIFS(tblGold[Dore_kg],tblGold[Date],$A53,tblGold[Type],"Shipment")</f>
        <v/>
      </c>
      <c r="GU53" s="55">
        <f>IF($B53=$B52,$GU52,0)+$GT53</f>
        <v/>
      </c>
      <c r="GV53" s="55">
        <f>$GV52+$GT53</f>
        <v/>
      </c>
      <c r="GW53" s="57">
        <f>SUMIFS(tblSafety[Hours_Total],tblSafety[Date],$A53)</f>
        <v/>
      </c>
      <c r="GX53" s="57">
        <f>IF($B53=$B52,$GX52,0)+$GW53</f>
        <v/>
      </c>
      <c r="GY53" s="57">
        <f>$GY52+$GW53</f>
        <v/>
      </c>
      <c r="GZ53" s="62">
        <f>SUMIFS(tblSafety[Fatality],tblSafety[Date],$A53)</f>
        <v/>
      </c>
      <c r="HA53" s="62">
        <f>IF($B53=$B52,$HA52,0)+$GZ53</f>
        <v/>
      </c>
      <c r="HB53" s="62">
        <f>$HB52+$GZ53</f>
        <v/>
      </c>
      <c r="HC53" s="62">
        <f>SUMIFS(tblSafety[LTI],tblSafety[Date],$A53)</f>
        <v/>
      </c>
      <c r="HD53" s="62">
        <f>IF($B53=$B52,$HD52,0)+$HC53</f>
        <v/>
      </c>
      <c r="HE53" s="62">
        <f>$HE52+$HC53</f>
        <v/>
      </c>
      <c r="HF53" s="62">
        <f>SUMIFS(tblSafety[RWI],tblSafety[Date],$A53)</f>
        <v/>
      </c>
      <c r="HG53" s="62">
        <f>IF($B53=$B52,$HG52,0)+$HF53</f>
        <v/>
      </c>
      <c r="HH53" s="62">
        <f>$HH52+$HF53</f>
        <v/>
      </c>
      <c r="HI53" s="62">
        <f>SUMIFS(tblSafety[MTI],tblSafety[Date],$A53)</f>
        <v/>
      </c>
      <c r="HJ53" s="62">
        <f>IF($B53=$B52,$HJ52,0)+$HI53</f>
        <v/>
      </c>
      <c r="HK53" s="62">
        <f>$HK52+$HI53</f>
        <v/>
      </c>
      <c r="HL53" s="62">
        <f>SUMIFS(tblSafety[FAI],tblSafety[Date],$A53)</f>
        <v/>
      </c>
      <c r="HM53" s="62">
        <f>IF($B53=$B52,$HM52,0)+$HL53</f>
        <v/>
      </c>
      <c r="HN53" s="62">
        <f>$HN52+$HL53</f>
        <v/>
      </c>
      <c r="HO53" s="62">
        <f>SUMIFS(tblSafety[Recordables],tblSafety[Date],$A53)</f>
        <v/>
      </c>
      <c r="HP53" s="62">
        <f>IF($B53=$B52,$HP52,0)+$HO53</f>
        <v/>
      </c>
      <c r="HQ53" s="62">
        <f>$HQ52+$HO53</f>
        <v/>
      </c>
      <c r="HR53" s="62">
        <f>SUMIFS(tblSafety[Near_Miss],tblSafety[Date],$A53)</f>
        <v/>
      </c>
      <c r="HS53" s="62">
        <f>IF($B53=$B52,$HS52,0)+$HR53</f>
        <v/>
      </c>
      <c r="HT53" s="62">
        <f>$HT52+$HR53</f>
        <v/>
      </c>
      <c r="HU53" s="62">
        <f>SUMIFS(tblSafety[Hazard_Reports],tblSafety[Date],$A53)</f>
        <v/>
      </c>
      <c r="HV53" s="62">
        <f>IF($B53=$B52,$HV52,0)+$HU53</f>
        <v/>
      </c>
      <c r="HW53" s="62">
        <f>$HW52+$HU53</f>
        <v/>
      </c>
      <c r="HX53" s="62">
        <f>SUMIFS(tblSafety[HPI],tblSafety[Date],$A53)</f>
        <v/>
      </c>
      <c r="HY53" s="62">
        <f>IF($B53=$B52,$HY52,0)+$HX53</f>
        <v/>
      </c>
      <c r="HZ53" s="62">
        <f>$HZ52+$HX53</f>
        <v/>
      </c>
      <c r="IA53" s="62">
        <f>SUMIFS(tblSafety[Env_Incidents],tblSafety[Date],$A53)</f>
        <v/>
      </c>
      <c r="IB53" s="62">
        <f>IF($B53=$B52,$IB52,0)+$IA53</f>
        <v/>
      </c>
      <c r="IC53" s="62">
        <f>$IC52+$IA53</f>
        <v/>
      </c>
      <c r="ID53" s="62">
        <f>SUMIFS(tblSafety[Community_Incidents],tblSafety[Date],$A53)</f>
        <v/>
      </c>
      <c r="IE53" s="62">
        <f>IF($B53=$B52,$IE52,0)+$ID53</f>
        <v/>
      </c>
      <c r="IF53" s="62">
        <f>$IF52+$ID53</f>
        <v/>
      </c>
      <c r="IG53" s="62">
        <f>SUMIFS(tblSafety[Vehicle_Incidents],tblSafety[Date],$A53)</f>
        <v/>
      </c>
      <c r="IH53" s="62">
        <f>IF($B53=$B52,$IH52,0)+$IG53</f>
        <v/>
      </c>
      <c r="II53" s="62">
        <f>$II52+$IG53</f>
        <v/>
      </c>
      <c r="IJ53" s="62">
        <f>SUMIFS(tblSafety[Toolbox_Talks],tblSafety[Date],$A53)</f>
        <v/>
      </c>
      <c r="IK53" s="62">
        <f>IF($B53=$B52,$IK52,0)+$IJ53</f>
        <v/>
      </c>
      <c r="IL53" s="62">
        <f>$IL52+$IJ53</f>
        <v/>
      </c>
      <c r="IM53" s="62">
        <f>SUMIFS(tblSafety[Inspections],tblSafety[Date],$A53)</f>
        <v/>
      </c>
      <c r="IN53" s="62">
        <f>IF($B53=$B52,$IN52,0)+$IM53</f>
        <v/>
      </c>
      <c r="IO53" s="62">
        <f>$IO52+$IM53</f>
        <v/>
      </c>
      <c r="IP53" s="56">
        <f>IFERROR((SUMIFS(tblSafety[Recordables],tblSafety[Date],"&gt;="&amp;EDATE($E53,-12),tblSafety[Date],"&lt;="&amp;$A53)+SUMIFS(tblSafetyHistory[Recordables],tblSafetyHistory[Month],"&gt;="&amp;EDATE($E53,-12),tblSafetyHistory[Month],"&lt;"&amp;$E53,tblSafetyHistory[Use],1))/(SUMIFS(tblSafety[Hours_Total],tblSafety[Date],"&gt;="&amp;EDATE($E53,-12),tblSafety[Date],"&lt;="&amp;$A53)+SUMIFS(tblSafetyHistory[Hours_Total],tblSafetyHistory[Month],"&gt;="&amp;EDATE($E53,-12),tblSafetyHistory[Month],"&lt;"&amp;$E53,tblSafetyHistory[Use],1))*cfg_RateBasisHours,"")</f>
        <v/>
      </c>
      <c r="IQ53" s="56">
        <f>IFERROR((SUMIFS(tblSafety[LTI],tblSafety[Date],"&gt;="&amp;EDATE($E53,-12),tblSafety[Date],"&lt;="&amp;$A53)+SUMIFS(tblSafetyHistory[LTI],tblSafetyHistory[Month],"&gt;="&amp;EDATE($E53,-12),tblSafetyHistory[Month],"&lt;"&amp;$E53,tblSafetyHistory[Use],1))/(SUMIFS(tblSafety[Hours_Total],tblSafety[Date],"&gt;="&amp;EDATE($E53,-12),tblSafety[Date],"&lt;="&amp;$A53)+SUMIFS(tblSafetyHistory[Hours_Total],tblSafetyHistory[Month],"&gt;="&amp;EDATE($E53,-12),tblSafetyHistory[Month],"&lt;"&amp;$E53,tblSafetyHistory[Use],1))*cfg_RateBasisHours,"")</f>
        <v/>
      </c>
      <c r="IR53" s="62">
        <f>IF(MAX(N(cfg_PriorLTIDate),_xlfn.MAXIFS(tblSafety[Date],tblSafety[LTI],"&gt;0",tblSafety[Date],"&lt;="&amp;$A53))=0,"",$A53-MAX(N(cfg_PriorLTIDate),_xlfn.MAXIFS(tblSafety[Date],tblSafety[LTI],"&gt;0",tblSafety[Date],"&lt;="&amp;$A53)))</f>
        <v/>
      </c>
      <c r="IS53" s="55">
        <f>SUMIFS(tblBudget[Ore_Mined_t],tblBudget[Month],$E53)</f>
        <v/>
      </c>
      <c r="IT53" s="55">
        <f>$IS53*$C53/$D53</f>
        <v/>
      </c>
      <c r="IU53" s="55">
        <f>SUMIFS(tblBudget[Ore_Mined_t],tblBudget[Month],"&lt;"&amp;$E53)+$IT53</f>
        <v/>
      </c>
      <c r="IV53" s="55">
        <f>SUMIFS(tblBudget[Ore_oz],tblBudget[Month],$E53)</f>
        <v/>
      </c>
      <c r="IW53" s="55">
        <f>$IV53*$C53/$D53</f>
        <v/>
      </c>
      <c r="IX53" s="55">
        <f>SUMIFS(tblBudget[Ore_oz],tblBudget[Month],"&lt;"&amp;$E53)+$IW53</f>
        <v/>
      </c>
      <c r="IY53" s="55">
        <f>SUMIFS(tblBudget[Ore_Mined_t],tblBudget[Month],$E53)</f>
        <v/>
      </c>
      <c r="IZ53" s="55">
        <f>$IY53*$C53/$D53</f>
        <v/>
      </c>
      <c r="JA53" s="55">
        <f>SUMIFS(tblBudget[Ore_Mined_t],tblBudget[Month],"&lt;"&amp;$E53)+$IZ53</f>
        <v/>
      </c>
      <c r="JB53" s="56">
        <f>IFERROR(IF(($IY53)&gt;0,($IV53*cfg_TroyOz)/($IY53),""),"")</f>
        <v/>
      </c>
      <c r="JC53" s="56">
        <f>IFERROR(IF(($IZ53)&gt;0,($IW53*cfg_TroyOz)/($IZ53),""),"")</f>
        <v/>
      </c>
      <c r="JD53" s="56">
        <f>IFERROR(IF(($JA53)&gt;0,($IX53*cfg_TroyOz)/($JA53),""),"")</f>
        <v/>
      </c>
      <c r="JE53" s="55">
        <f>SUMIFS(tblBudget[Waste_t],tblBudget[Month],$E53)</f>
        <v/>
      </c>
      <c r="JF53" s="55">
        <f>$JE53*$C53/$D53</f>
        <v/>
      </c>
      <c r="JG53" s="55">
        <f>SUMIFS(tblBudget[Waste_t],tblBudget[Month],"&lt;"&amp;$E53)+$JF53</f>
        <v/>
      </c>
      <c r="JH53" s="55">
        <f>SUMIFS(tblBudget[TMM_t],tblBudget[Month],$E53)</f>
        <v/>
      </c>
      <c r="JI53" s="55">
        <f>$JH53*$C53/$D53</f>
        <v/>
      </c>
      <c r="JJ53" s="55">
        <f>SUMIFS(tblBudget[TMM_t],tblBudget[Month],"&lt;"&amp;$E53)+$JI53</f>
        <v/>
      </c>
      <c r="JK53" s="56">
        <f>IFERROR(IF(($IS53)&gt;0,($JE53)/($IS53),""),"")</f>
        <v/>
      </c>
      <c r="JL53" s="56">
        <f>IFERROR(IF(($IT53)&gt;0,($JF53)/($IT53),""),"")</f>
        <v/>
      </c>
      <c r="JM53" s="56">
        <f>IFERROR(IF(($IU53)&gt;0,($JG53)/($IU53),""),"")</f>
        <v/>
      </c>
      <c r="JN53" s="55">
        <f>SUMIFS(tblBudget[Drill_m],tblBudget[Month],$E53)</f>
        <v/>
      </c>
      <c r="JO53" s="55">
        <f>$JN53*$C53/$D53</f>
        <v/>
      </c>
      <c r="JP53" s="55">
        <f>SUMIFS(tblBudget[Drill_m],tblBudget[Month],"&lt;"&amp;$E53)+$JO53</f>
        <v/>
      </c>
      <c r="JQ53" s="55">
        <f>SUMIFS(tblBudget[Diesel_L],tblBudget[Month],$E53)</f>
        <v/>
      </c>
      <c r="JR53" s="55">
        <f>$JQ53*$C53/$D53</f>
        <v/>
      </c>
      <c r="JS53" s="55">
        <f>SUMIFS(tblBudget[Diesel_L],tblBudget[Month],"&lt;"&amp;$E53)+$JR53</f>
        <v/>
      </c>
      <c r="JT53" s="55">
        <f>SUMIFS(tblBudget[Milled_t],tblBudget[Month],$E53)</f>
        <v/>
      </c>
      <c r="JU53" s="55">
        <f>$JT53*$C53/$D53</f>
        <v/>
      </c>
      <c r="JV53" s="55">
        <f>SUMIFS(tblBudget[Milled_t],tblBudget[Month],"&lt;"&amp;$E53)+$JU53</f>
        <v/>
      </c>
      <c r="JW53" s="55">
        <f>SUMIFS(tblBudget[Feed_oz],tblBudget[Month],$E53)</f>
        <v/>
      </c>
      <c r="JX53" s="55">
        <f>$JW53*$C53/$D53</f>
        <v/>
      </c>
      <c r="JY53" s="55">
        <f>SUMIFS(tblBudget[Feed_oz],tblBudget[Month],"&lt;"&amp;$E53)+$JX53</f>
        <v/>
      </c>
      <c r="JZ53" s="55">
        <f>SUMIFS(tblBudget[Recovered_oz],tblBudget[Month],$E53)</f>
        <v/>
      </c>
      <c r="KA53" s="55">
        <f>$JZ53*$C53/$D53</f>
        <v/>
      </c>
      <c r="KB53" s="55">
        <f>SUMIFS(tblBudget[Recovered_oz],tblBudget[Month],"&lt;"&amp;$E53)+$KA53</f>
        <v/>
      </c>
      <c r="KC53" s="55">
        <f>SUMIFS(tblBudget[Milled_t],tblBudget[Month],$E53)</f>
        <v/>
      </c>
      <c r="KD53" s="55">
        <f>$KC53*$C53/$D53</f>
        <v/>
      </c>
      <c r="KE53" s="55">
        <f>SUMIFS(tblBudget[Milled_t],tblBudget[Month],"&lt;"&amp;$E53)+$KD53</f>
        <v/>
      </c>
      <c r="KF53" s="55">
        <f>SUMIFS(tblBudget[Feed_oz],tblBudget[Month],$E53)</f>
        <v/>
      </c>
      <c r="KG53" s="55">
        <f>$KF53*$C53/$D53</f>
        <v/>
      </c>
      <c r="KH53" s="55">
        <f>SUMIFS(tblBudget[Feed_oz],tblBudget[Month],"&lt;"&amp;$E53)+$KG53</f>
        <v/>
      </c>
      <c r="KI53" s="56">
        <f>IFERROR(IF(($KC53)&gt;0,($JW53*cfg_TroyOz)/($KC53),""),"")</f>
        <v/>
      </c>
      <c r="KJ53" s="56">
        <f>IFERROR(IF(($KD53)&gt;0,($JX53*cfg_TroyOz)/($KD53),""),"")</f>
        <v/>
      </c>
      <c r="KK53" s="56">
        <f>IFERROR(IF(($KE53)&gt;0,($JY53*cfg_TroyOz)/($KE53),""),"")</f>
        <v/>
      </c>
      <c r="KL53" s="67">
        <f>IFERROR(IF(($KF53)&gt;0,($JZ53)/($KF53),""),"")</f>
        <v/>
      </c>
      <c r="KM53" s="67">
        <f>IFERROR(IF(($KG53)&gt;0,($KA53)/($KG53),""),"")</f>
        <v/>
      </c>
      <c r="KN53" s="67">
        <f>IFERROR(IF(($KH53)&gt;0,($KB53)/($KH53),""),"")</f>
        <v/>
      </c>
      <c r="KO53" s="55">
        <f>SUMIFS(tblBudget[Gold_Poured_oz],tblBudget[Month],$E53)</f>
        <v/>
      </c>
      <c r="KP53" s="55">
        <f>$KO53*$C53/$D53</f>
        <v/>
      </c>
      <c r="KQ53" s="55">
        <f>SUMIFS(tblBudget[Gold_Poured_oz],tblBudget[Month],"&lt;"&amp;$E53)+$KP53</f>
        <v/>
      </c>
      <c r="KR53" s="57">
        <f>SUMIFS(tblBudget[Hours_Worked],tblBudget[Month],$E53)</f>
        <v/>
      </c>
      <c r="KS53" s="57">
        <f>$KR53*$C53/$D53</f>
        <v/>
      </c>
      <c r="KT53" s="57">
        <f>SUMIFS(tblBudget[Hours_Worked],tblBudget[Month],"&lt;"&amp;$E53)+$KS53</f>
        <v/>
      </c>
    </row>
    <row r="54">
      <c r="A54" s="54" t="n">
        <v>46075</v>
      </c>
      <c r="B54">
        <f>MONTH($A54)</f>
        <v/>
      </c>
      <c r="C54">
        <f>DAY($A54)</f>
        <v/>
      </c>
      <c r="D54">
        <f>DAY(EOMONTH($A54,0))</f>
        <v/>
      </c>
      <c r="E54" s="54">
        <f>DATE(YEAR($A54),MONTH($A54),1)</f>
        <v/>
      </c>
      <c r="F54" s="55">
        <f>SUMIFS(tblMovement[Tonnes_t],tblMovement[Date],$A54,tblMovement[Is_Ore],1,tblMovement[Source_Type],"Pit")</f>
        <v/>
      </c>
      <c r="G54" s="55">
        <f>IF($B54=$B53,$G53,0)+$F54</f>
        <v/>
      </c>
      <c r="H54" s="55">
        <f>$H53+$F54</f>
        <v/>
      </c>
      <c r="I54" s="55">
        <f>SUMIFS(tblMovement[Ore_oz],tblMovement[Date],$A54,tblMovement[Source_Type],"Pit")</f>
        <v/>
      </c>
      <c r="J54" s="55">
        <f>IF($B54=$B53,$J53,0)+$I54</f>
        <v/>
      </c>
      <c r="K54" s="55">
        <f>$K53+$I54</f>
        <v/>
      </c>
      <c r="L54" s="55">
        <f>SUMIFS(tblMovement[Tonnes_t],tblMovement[Date],$A54,tblMovement[Is_Ore],1,tblMovement[Source_Type],"Pit",tblMovement[Grade_gpt],"&lt;&gt;")</f>
        <v/>
      </c>
      <c r="M54" s="55">
        <f>IF($B54=$B53,$M53,0)+$L54</f>
        <v/>
      </c>
      <c r="N54" s="55">
        <f>$N53+$L54</f>
        <v/>
      </c>
      <c r="O54" s="56">
        <f>IFERROR(IF(($L54)&gt;0,($I54*cfg_TroyOz)/($L54),""),"")</f>
        <v/>
      </c>
      <c r="P54" s="56">
        <f>IFERROR(IF(($M54)&gt;0,($J54*cfg_TroyOz)/($M54),""),"")</f>
        <v/>
      </c>
      <c r="Q54" s="56">
        <f>IFERROR(IF(($N54)&gt;0,($K54*cfg_TroyOz)/($N54),""),"")</f>
        <v/>
      </c>
      <c r="R54" s="55">
        <f>$F54-$L54</f>
        <v/>
      </c>
      <c r="S54" s="55">
        <f>IF($B54=$B53,$S53,0)+$R54</f>
        <v/>
      </c>
      <c r="T54" s="55">
        <f>$T53+$R54</f>
        <v/>
      </c>
      <c r="U54" s="55">
        <f>SUMIFS(tblMovement[Tonnes_t],tblMovement[Date],$A54,tblMovement[Is_Ore],0,tblMovement[Source_Type],"Pit")</f>
        <v/>
      </c>
      <c r="V54" s="55">
        <f>IF($B54=$B53,$V53,0)+$U54</f>
        <v/>
      </c>
      <c r="W54" s="55">
        <f>$W53+$U54</f>
        <v/>
      </c>
      <c r="X54" s="55">
        <f>$F54+$U54</f>
        <v/>
      </c>
      <c r="Y54" s="55">
        <f>IF($B54=$B53,$Y53,0)+$X54</f>
        <v/>
      </c>
      <c r="Z54" s="55">
        <f>$Z53+$X54</f>
        <v/>
      </c>
      <c r="AA54" s="56">
        <f>IFERROR(IF(($F54)&gt;0,($U54)/($F54),""),"")</f>
        <v/>
      </c>
      <c r="AB54" s="56">
        <f>IFERROR(IF(($G54)&gt;0,($V54)/($G54),""),"")</f>
        <v/>
      </c>
      <c r="AC54" s="56">
        <f>IFERROR(IF(($H54)&gt;0,($W54)/($H54),""),"")</f>
        <v/>
      </c>
      <c r="AD54" s="55">
        <f>SUMIFS(tblMovement[Tonnes_t],tblMovement[Date],$A54,tblMovement[Source_Type],"Stockpile")</f>
        <v/>
      </c>
      <c r="AE54" s="55">
        <f>IF($B54=$B53,$AE53,0)+$AD54</f>
        <v/>
      </c>
      <c r="AF54" s="55">
        <f>$AF53+$AD54</f>
        <v/>
      </c>
      <c r="AG54" s="55">
        <f>SUMIFS(tblMovement[Tonnes_t],tblMovement[Date],$A54)</f>
        <v/>
      </c>
      <c r="AH54" s="55">
        <f>IF($B54=$B53,$AH53,0)+$AG54</f>
        <v/>
      </c>
      <c r="AI54" s="55">
        <f>$AI53+$AG54</f>
        <v/>
      </c>
      <c r="AJ54" s="55">
        <f>$AG54-$X54-$AD54</f>
        <v/>
      </c>
      <c r="AK54" s="55">
        <f>IF($B54=$B53,$AK53,0)+$AJ54</f>
        <v/>
      </c>
      <c r="AL54" s="55">
        <f>$AL53+$AJ54</f>
        <v/>
      </c>
      <c r="AM54" s="55">
        <f>SUMIFS(tblMiningDaily[Drill_m],tblMiningDaily[Date],$A54)</f>
        <v/>
      </c>
      <c r="AN54" s="55">
        <f>IF($B54=$B53,$AN53,0)+$AM54</f>
        <v/>
      </c>
      <c r="AO54" s="55">
        <f>$AO53+$AM54</f>
        <v/>
      </c>
      <c r="AP54" s="55">
        <f>SUMIFS(tblMiningDaily[GC_Drill_m],tblMiningDaily[Date],$A54)</f>
        <v/>
      </c>
      <c r="AQ54" s="55">
        <f>IF($B54=$B53,$AQ53,0)+$AP54</f>
        <v/>
      </c>
      <c r="AR54" s="55">
        <f>$AR53+$AP54</f>
        <v/>
      </c>
      <c r="AS54" s="55">
        <f>SUMIFS(tblMiningDaily[Blast_t],tblMiningDaily[Date],$A54)</f>
        <v/>
      </c>
      <c r="AT54" s="55">
        <f>IF($B54=$B53,$AT53,0)+$AS54</f>
        <v/>
      </c>
      <c r="AU54" s="55">
        <f>$AU53+$AS54</f>
        <v/>
      </c>
      <c r="AV54" s="55">
        <f>SUMIFS(tblMiningDaily[Explosives_kg],tblMiningDaily[Date],$A54)</f>
        <v/>
      </c>
      <c r="AW54" s="55">
        <f>IF($B54=$B53,$AW53,0)+$AV54</f>
        <v/>
      </c>
      <c r="AX54" s="55">
        <f>$AX53+$AV54</f>
        <v/>
      </c>
      <c r="AY54" s="56">
        <f>IFERROR(IF(($AS54)&gt;0,($AV54)/($AS54),""),"")</f>
        <v/>
      </c>
      <c r="AZ54" s="56">
        <f>IFERROR(IF(($AT54)&gt;0,($AW54)/($AT54),""),"")</f>
        <v/>
      </c>
      <c r="BA54" s="56">
        <f>IFERROR(IF(($AU54)&gt;0,($AX54)/($AU54),""),"")</f>
        <v/>
      </c>
      <c r="BB54" s="55">
        <f>SUMIFS(tblMiningDaily[Diesel_L],tblMiningDaily[Date],$A54)</f>
        <v/>
      </c>
      <c r="BC54" s="55">
        <f>IF($B54=$B53,$BC53,0)+$BB54</f>
        <v/>
      </c>
      <c r="BD54" s="55">
        <f>$BD53+$BB54</f>
        <v/>
      </c>
      <c r="BE54" s="55">
        <f>SUMIFS(tblMiningDaily[Dewatering_m3],tblMiningDaily[Date],$A54)</f>
        <v/>
      </c>
      <c r="BF54" s="55">
        <f>IF($B54=$B53,$BF53,0)+$BE54</f>
        <v/>
      </c>
      <c r="BG54" s="55">
        <f>$BG53+$BE54</f>
        <v/>
      </c>
      <c r="BH54" s="57">
        <f>SUMIFS(tblFleet[Calendar_h],tblFleet[Date],$A54,tblFleet[Equipment_Class],"Excavator")</f>
        <v/>
      </c>
      <c r="BI54" s="57">
        <f>IF($B54=$B53,$BI53,0)+$BH54</f>
        <v/>
      </c>
      <c r="BJ54" s="57">
        <f>$BJ53+$BH54</f>
        <v/>
      </c>
      <c r="BK54" s="57">
        <f>SUMIFS(tblFleet[Available_h],tblFleet[Date],$A54,tblFleet[Equipment_Class],"Excavator")</f>
        <v/>
      </c>
      <c r="BL54" s="57">
        <f>IF($B54=$B53,$BL53,0)+$BK54</f>
        <v/>
      </c>
      <c r="BM54" s="57">
        <f>$BM53+$BK54</f>
        <v/>
      </c>
      <c r="BN54" s="57">
        <f>SUMIFS(tblFleet[Operating_h],tblFleet[Date],$A54,tblFleet[Equipment_Class],"Excavator")</f>
        <v/>
      </c>
      <c r="BO54" s="57">
        <f>IF($B54=$B53,$BO53,0)+$BN54</f>
        <v/>
      </c>
      <c r="BP54" s="57">
        <f>$BP53+$BN54</f>
        <v/>
      </c>
      <c r="BQ54" s="67">
        <f>IFERROR(IF(($BH54)&gt;0,($BK54)/($BH54),""),"")</f>
        <v/>
      </c>
      <c r="BR54" s="67">
        <f>IFERROR(IF(($BI54)&gt;0,($BL54)/($BI54),""),"")</f>
        <v/>
      </c>
      <c r="BS54" s="67">
        <f>IFERROR(IF(($BJ54)&gt;0,($BM54)/($BJ54),""),"")</f>
        <v/>
      </c>
      <c r="BT54" s="67">
        <f>IFERROR(IF(($BK54)&gt;0,($BN54)/($BK54),""),"")</f>
        <v/>
      </c>
      <c r="BU54" s="67">
        <f>IFERROR(IF(($BL54)&gt;0,($BO54)/($BL54),""),"")</f>
        <v/>
      </c>
      <c r="BV54" s="67">
        <f>IFERROR(IF(($BM54)&gt;0,($BP54)/($BM54),""),"")</f>
        <v/>
      </c>
      <c r="BW54" s="57">
        <f>SUMIFS(tblFleet[Calendar_h],tblFleet[Date],$A54,tblFleet[Equipment_Class],"Haul Truck")</f>
        <v/>
      </c>
      <c r="BX54" s="57">
        <f>IF($B54=$B53,$BX53,0)+$BW54</f>
        <v/>
      </c>
      <c r="BY54" s="57">
        <f>$BY53+$BW54</f>
        <v/>
      </c>
      <c r="BZ54" s="57">
        <f>SUMIFS(tblFleet[Available_h],tblFleet[Date],$A54,tblFleet[Equipment_Class],"Haul Truck")</f>
        <v/>
      </c>
      <c r="CA54" s="57">
        <f>IF($B54=$B53,$CA53,0)+$BZ54</f>
        <v/>
      </c>
      <c r="CB54" s="57">
        <f>$CB53+$BZ54</f>
        <v/>
      </c>
      <c r="CC54" s="57">
        <f>SUMIFS(tblFleet[Operating_h],tblFleet[Date],$A54,tblFleet[Equipment_Class],"Haul Truck")</f>
        <v/>
      </c>
      <c r="CD54" s="57">
        <f>IF($B54=$B53,$CD53,0)+$CC54</f>
        <v/>
      </c>
      <c r="CE54" s="57">
        <f>$CE53+$CC54</f>
        <v/>
      </c>
      <c r="CF54" s="67">
        <f>IFERROR(IF(($BW54)&gt;0,($BZ54)/($BW54),""),"")</f>
        <v/>
      </c>
      <c r="CG54" s="67">
        <f>IFERROR(IF(($BX54)&gt;0,($CA54)/($BX54),""),"")</f>
        <v/>
      </c>
      <c r="CH54" s="67">
        <f>IFERROR(IF(($BY54)&gt;0,($CB54)/($BY54),""),"")</f>
        <v/>
      </c>
      <c r="CI54" s="67">
        <f>IFERROR(IF(($BZ54)&gt;0,($CC54)/($BZ54),""),"")</f>
        <v/>
      </c>
      <c r="CJ54" s="67">
        <f>IFERROR(IF(($CA54)&gt;0,($CD54)/($CA54),""),"")</f>
        <v/>
      </c>
      <c r="CK54" s="67">
        <f>IFERROR(IF(($CB54)&gt;0,($CE54)/($CB54),""),"")</f>
        <v/>
      </c>
      <c r="CL54" s="55">
        <f>IFERROR(IF(($BN54)&gt;0,($X54+$AD54)/($BN54),""),"")</f>
        <v/>
      </c>
      <c r="CM54" s="55">
        <f>IFERROR(IF(($BO54)&gt;0,($Y54+$AE54)/($BO54),""),"")</f>
        <v/>
      </c>
      <c r="CN54" s="55">
        <f>IFERROR(IF(($BP54)&gt;0,($Z54+$AF54)/($BP54),""),"")</f>
        <v/>
      </c>
      <c r="CO54" s="55">
        <f>IFERROR(IF(($CC54)&gt;0,($X54+$AD54)/($CC54),""),"")</f>
        <v/>
      </c>
      <c r="CP54" s="55">
        <f>IFERROR(IF(($CD54)&gt;0,($Y54+$AE54)/($CD54),""),"")</f>
        <v/>
      </c>
      <c r="CQ54" s="55">
        <f>IFERROR(IF(($CE54)&gt;0,($Z54+$AF54)/($CE54),""),"")</f>
        <v/>
      </c>
      <c r="CR54" s="55">
        <f>SUMIFS(tblPlant[Crushed_t],tblPlant[Date],$A54)</f>
        <v/>
      </c>
      <c r="CS54" s="55">
        <f>IF($B54=$B53,$CS53,0)+$CR54</f>
        <v/>
      </c>
      <c r="CT54" s="55">
        <f>$CT53+$CR54</f>
        <v/>
      </c>
      <c r="CU54" s="55">
        <f>SUMIFS(tblPlant[Milled_t],tblPlant[Date],$A54)</f>
        <v/>
      </c>
      <c r="CV54" s="55">
        <f>IF($B54=$B53,$CV53,0)+$CU54</f>
        <v/>
      </c>
      <c r="CW54" s="55">
        <f>$CW53+$CU54</f>
        <v/>
      </c>
      <c r="CX54" s="55">
        <f>SUMIFS(tblPlant[Feed_oz],tblPlant[Date],$A54)</f>
        <v/>
      </c>
      <c r="CY54" s="55">
        <f>IF($B54=$B53,$CY53,0)+$CX54</f>
        <v/>
      </c>
      <c r="CZ54" s="55">
        <f>$CZ53+$CX54</f>
        <v/>
      </c>
      <c r="DA54" s="55">
        <f>SUMIFS(tblPlant[Tails_oz],tblPlant[Date],$A54)</f>
        <v/>
      </c>
      <c r="DB54" s="55">
        <f>IF($B54=$B53,$DB53,0)+$DA54</f>
        <v/>
      </c>
      <c r="DC54" s="55">
        <f>$DC53+$DA54</f>
        <v/>
      </c>
      <c r="DD54" s="55">
        <f>SUMIFS(tblPlant[Recovered_oz],tblPlant[Date],$A54)</f>
        <v/>
      </c>
      <c r="DE54" s="55">
        <f>IF($B54=$B53,$DE53,0)+$DD54</f>
        <v/>
      </c>
      <c r="DF54" s="55">
        <f>$DF53+$DD54</f>
        <v/>
      </c>
      <c r="DG54" s="55">
        <f>SUMIFS(tblPlant[Milled_t],tblPlant[Date],$A54,tblPlant[Head_Grade_gpt],"&lt;&gt;")</f>
        <v/>
      </c>
      <c r="DH54" s="55">
        <f>IF($B54=$B53,$DH53,0)+$DG54</f>
        <v/>
      </c>
      <c r="DI54" s="55">
        <f>$DI53+$DG54</f>
        <v/>
      </c>
      <c r="DJ54" s="55">
        <f>SUMIFS(tblPlant[Milled_t],tblPlant[Date],$A54,tblPlant[Tails_Grade_gpt],"&lt;&gt;")</f>
        <v/>
      </c>
      <c r="DK54" s="55">
        <f>IF($B54=$B53,$DK53,0)+$DJ54</f>
        <v/>
      </c>
      <c r="DL54" s="55">
        <f>$DL53+$DJ54</f>
        <v/>
      </c>
      <c r="DM54" s="55">
        <f>SUMIFS(tblPlant[Feed_oz],tblPlant[Date],$A54,tblPlant[Tails_Grade_gpt],"&lt;&gt;")</f>
        <v/>
      </c>
      <c r="DN54" s="55">
        <f>IF($B54=$B53,$DN53,0)+$DM54</f>
        <v/>
      </c>
      <c r="DO54" s="55">
        <f>$DO53+$DM54</f>
        <v/>
      </c>
      <c r="DP54" s="55">
        <f>SUMIFS(tblPlant[Milled_t],tblPlant[Date],$A54,tblPlant[Mill_Run_h],"&lt;&gt;")</f>
        <v/>
      </c>
      <c r="DQ54" s="55">
        <f>IF($B54=$B53,$DQ53,0)+$DP54</f>
        <v/>
      </c>
      <c r="DR54" s="55">
        <f>$DR53+$DP54</f>
        <v/>
      </c>
      <c r="DS54" s="56">
        <f>IFERROR(IF(($DG54)&gt;0,($CX54*cfg_TroyOz)/($DG54),""),"")</f>
        <v/>
      </c>
      <c r="DT54" s="56">
        <f>IFERROR(IF(($DH54)&gt;0,($CY54*cfg_TroyOz)/($DH54),""),"")</f>
        <v/>
      </c>
      <c r="DU54" s="56">
        <f>IFERROR(IF(($DI54)&gt;0,($CZ54*cfg_TroyOz)/($DI54),""),"")</f>
        <v/>
      </c>
      <c r="DV54" s="56">
        <f>IFERROR(IF(($DJ54)&gt;0,($DA54*cfg_TroyOz)/($DJ54),""),"")</f>
        <v/>
      </c>
      <c r="DW54" s="56">
        <f>IFERROR(IF(($DK54)&gt;0,($DB54*cfg_TroyOz)/($DK54),""),"")</f>
        <v/>
      </c>
      <c r="DX54" s="56">
        <f>IFERROR(IF(($DL54)&gt;0,($DC54*cfg_TroyOz)/($DL54),""),"")</f>
        <v/>
      </c>
      <c r="DY54" s="67">
        <f>IFERROR(IF(($DM54)&gt;0,($DD54)/($DM54),""),"")</f>
        <v/>
      </c>
      <c r="DZ54" s="67">
        <f>IFERROR(IF(($DN54)&gt;0,($DE54)/($DN54),""),"")</f>
        <v/>
      </c>
      <c r="EA54" s="67">
        <f>IFERROR(IF(($DO54)&gt;0,($DF54)/($DO54),""),"")</f>
        <v/>
      </c>
      <c r="EB54" s="55">
        <f>SUMIFS(tblPlant[Gravity_Gold_oz],tblPlant[Date],$A54)</f>
        <v/>
      </c>
      <c r="EC54" s="55">
        <f>IF($B54=$B53,$EC53,0)+$EB54</f>
        <v/>
      </c>
      <c r="ED54" s="55">
        <f>$ED53+$EB54</f>
        <v/>
      </c>
      <c r="EE54" s="67">
        <f>IFERROR(IF(($DD54)&gt;0,($EB54)/($DD54),""),"")</f>
        <v/>
      </c>
      <c r="EF54" s="67">
        <f>IFERROR(IF(($DE54)&gt;0,($EC54)/($DE54),""),"")</f>
        <v/>
      </c>
      <c r="EG54" s="67">
        <f>IFERROR(IF(($DF54)&gt;0,($ED54)/($DF54),""),"")</f>
        <v/>
      </c>
      <c r="EH54" s="55">
        <f>SUMIFS(tblPlant[Gold_Poured_oz],tblPlant[Date],$A54)</f>
        <v/>
      </c>
      <c r="EI54" s="55">
        <f>IF($B54=$B53,$EI53,0)+$EH54</f>
        <v/>
      </c>
      <c r="EJ54" s="55">
        <f>$EJ53+$EH54</f>
        <v/>
      </c>
      <c r="EK54" s="57">
        <f>SUMIFS(tblPlant[Mill_Run_h],tblPlant[Date],$A54)</f>
        <v/>
      </c>
      <c r="EL54" s="57">
        <f>IF($B54=$B53,$EL53,0)+$EK54</f>
        <v/>
      </c>
      <c r="EM54" s="57">
        <f>$EM53+$EK54</f>
        <v/>
      </c>
      <c r="EN54" s="57">
        <f>SUMIFS(tblPlant[Mill_Planned_Maint_h],tblPlant[Date],$A54)</f>
        <v/>
      </c>
      <c r="EO54" s="57">
        <f>IF($B54=$B53,$EO53,0)+$EN54</f>
        <v/>
      </c>
      <c r="EP54" s="57">
        <f>$EP53+$EN54</f>
        <v/>
      </c>
      <c r="EQ54" s="57">
        <f>SUMIFS(tblPlant[Mill_Unplanned_Down_h],tblPlant[Date],$A54)</f>
        <v/>
      </c>
      <c r="ER54" s="57">
        <f>IF($B54=$B53,$ER53,0)+$EQ54</f>
        <v/>
      </c>
      <c r="ES54" s="57">
        <f>$ES53+$EQ54</f>
        <v/>
      </c>
      <c r="ET54" s="57">
        <f>IF(COUNTIFS(tblPlant[Date],$A54,tblPlant[Mill_Run_h],"&lt;&gt;")+COUNTIFS(tblPlant[Date],$A54,tblPlant[Mill_Planned_Maint_h],"&lt;&gt;")+COUNTIFS(tblPlant[Date],$A54,tblPlant[Mill_Unplanned_Down_h],"&lt;&gt;")&gt;0,cfg_HoursPerDay,0)</f>
        <v/>
      </c>
      <c r="EU54" s="57">
        <f>IF($B54=$B53,$EU53,0)+$ET54</f>
        <v/>
      </c>
      <c r="EV54" s="57">
        <f>$EV53+$ET54</f>
        <v/>
      </c>
      <c r="EW54" s="57">
        <f>SUMIFS(tblPlant[Crusher_Run_h],tblPlant[Date],$A54)</f>
        <v/>
      </c>
      <c r="EX54" s="57">
        <f>IF($B54=$B53,$EX53,0)+$EW54</f>
        <v/>
      </c>
      <c r="EY54" s="57">
        <f>$EY53+$EW54</f>
        <v/>
      </c>
      <c r="EZ54" s="55">
        <f>IFERROR(IF(($EK54)&gt;0,($DP54)/($EK54),""),"")</f>
        <v/>
      </c>
      <c r="FA54" s="55">
        <f>IFERROR(IF(($EL54)&gt;0,($DQ54)/($EL54),""),"")</f>
        <v/>
      </c>
      <c r="FB54" s="55">
        <f>IFERROR(IF(($EM54)&gt;0,($DR54)/($EM54),""),"")</f>
        <v/>
      </c>
      <c r="FC54" s="67">
        <f>IFERROR(IF(($ET54)&gt;0,($ET54-$EN54-$EQ54)/($ET54),""),"")</f>
        <v/>
      </c>
      <c r="FD54" s="67">
        <f>IFERROR(IF(($EU54)&gt;0,($EU54-$EO54-$ER54)/($EU54),""),"")</f>
        <v/>
      </c>
      <c r="FE54" s="67">
        <f>IFERROR(IF(($EV54)&gt;0,($EV54-$EP54-$ES54)/($EV54),""),"")</f>
        <v/>
      </c>
      <c r="FF54" s="67">
        <f>IFERROR(IF(($ET54-$EN54-$EQ54)&gt;0,($EK54)/($ET54-$EN54-$EQ54),""),"")</f>
        <v/>
      </c>
      <c r="FG54" s="67">
        <f>IFERROR(IF(($EU54-$EO54-$ER54)&gt;0,($EL54)/($EU54-$EO54-$ER54),""),"")</f>
        <v/>
      </c>
      <c r="FH54" s="67">
        <f>IFERROR(IF(($EV54-$EP54-$ES54)&gt;0,($EM54)/($EV54-$EP54-$ES54),""),"")</f>
        <v/>
      </c>
      <c r="FI54" s="55">
        <f>SUMIFS(tblPlant[Cyanide_kg],tblPlant[Date],$A54)</f>
        <v/>
      </c>
      <c r="FJ54" s="55">
        <f>IF($B54=$B53,$FJ53,0)+$FI54</f>
        <v/>
      </c>
      <c r="FK54" s="55">
        <f>$FK53+$FI54</f>
        <v/>
      </c>
      <c r="FL54" s="55">
        <f>SUMIFS(tblPlant[Lime_kg],tblPlant[Date],$A54)</f>
        <v/>
      </c>
      <c r="FM54" s="55">
        <f>IF($B54=$B53,$FM53,0)+$FL54</f>
        <v/>
      </c>
      <c r="FN54" s="55">
        <f>$FN53+$FL54</f>
        <v/>
      </c>
      <c r="FO54" s="55">
        <f>SUMIFS(tblPlant[Grinding_Media_kg],tblPlant[Date],$A54)</f>
        <v/>
      </c>
      <c r="FP54" s="55">
        <f>IF($B54=$B53,$FP53,0)+$FO54</f>
        <v/>
      </c>
      <c r="FQ54" s="55">
        <f>$FQ53+$FO54</f>
        <v/>
      </c>
      <c r="FR54" s="55">
        <f>SUMIFS(tblPlant[Power_kWh],tblPlant[Date],$A54)</f>
        <v/>
      </c>
      <c r="FS54" s="55">
        <f>IF($B54=$B53,$FS53,0)+$FR54</f>
        <v/>
      </c>
      <c r="FT54" s="55">
        <f>$FT53+$FR54</f>
        <v/>
      </c>
      <c r="FU54" s="55">
        <f>SUMIFS(tblPlant[Raw_Water_m3],tblPlant[Date],$A54)</f>
        <v/>
      </c>
      <c r="FV54" s="55">
        <f>IF($B54=$B53,$FV53,0)+$FU54</f>
        <v/>
      </c>
      <c r="FW54" s="55">
        <f>$FW53+$FU54</f>
        <v/>
      </c>
      <c r="FX54" s="56">
        <f>IFERROR(IF(($CU54)&gt;0,($FI54)/($CU54),""),"")</f>
        <v/>
      </c>
      <c r="FY54" s="56">
        <f>IFERROR(IF(($CV54)&gt;0,($FJ54)/($CV54),""),"")</f>
        <v/>
      </c>
      <c r="FZ54" s="56">
        <f>IFERROR(IF(($CW54)&gt;0,($FK54)/($CW54),""),"")</f>
        <v/>
      </c>
      <c r="GA54" s="56">
        <f>IFERROR(IF(($CU54)&gt;0,($FL54)/($CU54),""),"")</f>
        <v/>
      </c>
      <c r="GB54" s="56">
        <f>IFERROR(IF(($CV54)&gt;0,($FM54)/($CV54),""),"")</f>
        <v/>
      </c>
      <c r="GC54" s="56">
        <f>IFERROR(IF(($CW54)&gt;0,($FN54)/($CW54),""),"")</f>
        <v/>
      </c>
      <c r="GD54" s="56">
        <f>IFERROR(IF(($CU54)&gt;0,($FO54)/($CU54),""),"")</f>
        <v/>
      </c>
      <c r="GE54" s="56">
        <f>IFERROR(IF(($CV54)&gt;0,($FP54)/($CV54),""),"")</f>
        <v/>
      </c>
      <c r="GF54" s="56">
        <f>IFERROR(IF(($CW54)&gt;0,($FQ54)/($CW54),""),"")</f>
        <v/>
      </c>
      <c r="GG54" s="79">
        <f>IFERROR(IF(($CU54)&gt;0,($FR54)/($CU54),""),"")</f>
        <v/>
      </c>
      <c r="GH54" s="79">
        <f>IFERROR(IF(($CV54)&gt;0,($FS54)/($CV54),""),"")</f>
        <v/>
      </c>
      <c r="GI54" s="79">
        <f>IFERROR(IF(($CW54)&gt;0,($FT54)/($CW54),""),"")</f>
        <v/>
      </c>
      <c r="GJ54" s="56">
        <f>IFERROR(IF(($CU54)&gt;0,($FU54)/($CU54),""),"")</f>
        <v/>
      </c>
      <c r="GK54" s="56">
        <f>IFERROR(IF(($CV54)&gt;0,($FV54)/($CV54),""),"")</f>
        <v/>
      </c>
      <c r="GL54" s="56">
        <f>IFERROR(IF(($CW54)&gt;0,($FW54)/($CW54),""),"")</f>
        <v/>
      </c>
      <c r="GM54" s="55">
        <f>IF(SUMIFS(tblPlant[GIC_oz],tblPlant[Date],$A54)&gt;0,SUMIFS(tblPlant[GIC_oz],tblPlant[Date],$A54),"")</f>
        <v/>
      </c>
      <c r="GN54" s="55">
        <f>SUMIFS(tblGold[Gold_oz],tblGold[Date],$A54,tblGold[Type],"Shipment")</f>
        <v/>
      </c>
      <c r="GO54" s="55">
        <f>IF($B54=$B53,$GO53,0)+$GN54</f>
        <v/>
      </c>
      <c r="GP54" s="55">
        <f>$GP53+$GN54</f>
        <v/>
      </c>
      <c r="GQ54" s="55">
        <f>SUMIFS(tblGold[Gold_oz],tblGold[Date],$A54,tblGold[Type],"Sale")</f>
        <v/>
      </c>
      <c r="GR54" s="55">
        <f>IF($B54=$B53,$GR53,0)+$GQ54</f>
        <v/>
      </c>
      <c r="GS54" s="55">
        <f>$GS53+$GQ54</f>
        <v/>
      </c>
      <c r="GT54" s="55">
        <f>SUMIFS(tblGold[Dore_kg],tblGold[Date],$A54,tblGold[Type],"Shipment")</f>
        <v/>
      </c>
      <c r="GU54" s="55">
        <f>IF($B54=$B53,$GU53,0)+$GT54</f>
        <v/>
      </c>
      <c r="GV54" s="55">
        <f>$GV53+$GT54</f>
        <v/>
      </c>
      <c r="GW54" s="57">
        <f>SUMIFS(tblSafety[Hours_Total],tblSafety[Date],$A54)</f>
        <v/>
      </c>
      <c r="GX54" s="57">
        <f>IF($B54=$B53,$GX53,0)+$GW54</f>
        <v/>
      </c>
      <c r="GY54" s="57">
        <f>$GY53+$GW54</f>
        <v/>
      </c>
      <c r="GZ54" s="62">
        <f>SUMIFS(tblSafety[Fatality],tblSafety[Date],$A54)</f>
        <v/>
      </c>
      <c r="HA54" s="62">
        <f>IF($B54=$B53,$HA53,0)+$GZ54</f>
        <v/>
      </c>
      <c r="HB54" s="62">
        <f>$HB53+$GZ54</f>
        <v/>
      </c>
      <c r="HC54" s="62">
        <f>SUMIFS(tblSafety[LTI],tblSafety[Date],$A54)</f>
        <v/>
      </c>
      <c r="HD54" s="62">
        <f>IF($B54=$B53,$HD53,0)+$HC54</f>
        <v/>
      </c>
      <c r="HE54" s="62">
        <f>$HE53+$HC54</f>
        <v/>
      </c>
      <c r="HF54" s="62">
        <f>SUMIFS(tblSafety[RWI],tblSafety[Date],$A54)</f>
        <v/>
      </c>
      <c r="HG54" s="62">
        <f>IF($B54=$B53,$HG53,0)+$HF54</f>
        <v/>
      </c>
      <c r="HH54" s="62">
        <f>$HH53+$HF54</f>
        <v/>
      </c>
      <c r="HI54" s="62">
        <f>SUMIFS(tblSafety[MTI],tblSafety[Date],$A54)</f>
        <v/>
      </c>
      <c r="HJ54" s="62">
        <f>IF($B54=$B53,$HJ53,0)+$HI54</f>
        <v/>
      </c>
      <c r="HK54" s="62">
        <f>$HK53+$HI54</f>
        <v/>
      </c>
      <c r="HL54" s="62">
        <f>SUMIFS(tblSafety[FAI],tblSafety[Date],$A54)</f>
        <v/>
      </c>
      <c r="HM54" s="62">
        <f>IF($B54=$B53,$HM53,0)+$HL54</f>
        <v/>
      </c>
      <c r="HN54" s="62">
        <f>$HN53+$HL54</f>
        <v/>
      </c>
      <c r="HO54" s="62">
        <f>SUMIFS(tblSafety[Recordables],tblSafety[Date],$A54)</f>
        <v/>
      </c>
      <c r="HP54" s="62">
        <f>IF($B54=$B53,$HP53,0)+$HO54</f>
        <v/>
      </c>
      <c r="HQ54" s="62">
        <f>$HQ53+$HO54</f>
        <v/>
      </c>
      <c r="HR54" s="62">
        <f>SUMIFS(tblSafety[Near_Miss],tblSafety[Date],$A54)</f>
        <v/>
      </c>
      <c r="HS54" s="62">
        <f>IF($B54=$B53,$HS53,0)+$HR54</f>
        <v/>
      </c>
      <c r="HT54" s="62">
        <f>$HT53+$HR54</f>
        <v/>
      </c>
      <c r="HU54" s="62">
        <f>SUMIFS(tblSafety[Hazard_Reports],tblSafety[Date],$A54)</f>
        <v/>
      </c>
      <c r="HV54" s="62">
        <f>IF($B54=$B53,$HV53,0)+$HU54</f>
        <v/>
      </c>
      <c r="HW54" s="62">
        <f>$HW53+$HU54</f>
        <v/>
      </c>
      <c r="HX54" s="62">
        <f>SUMIFS(tblSafety[HPI],tblSafety[Date],$A54)</f>
        <v/>
      </c>
      <c r="HY54" s="62">
        <f>IF($B54=$B53,$HY53,0)+$HX54</f>
        <v/>
      </c>
      <c r="HZ54" s="62">
        <f>$HZ53+$HX54</f>
        <v/>
      </c>
      <c r="IA54" s="62">
        <f>SUMIFS(tblSafety[Env_Incidents],tblSafety[Date],$A54)</f>
        <v/>
      </c>
      <c r="IB54" s="62">
        <f>IF($B54=$B53,$IB53,0)+$IA54</f>
        <v/>
      </c>
      <c r="IC54" s="62">
        <f>$IC53+$IA54</f>
        <v/>
      </c>
      <c r="ID54" s="62">
        <f>SUMIFS(tblSafety[Community_Incidents],tblSafety[Date],$A54)</f>
        <v/>
      </c>
      <c r="IE54" s="62">
        <f>IF($B54=$B53,$IE53,0)+$ID54</f>
        <v/>
      </c>
      <c r="IF54" s="62">
        <f>$IF53+$ID54</f>
        <v/>
      </c>
      <c r="IG54" s="62">
        <f>SUMIFS(tblSafety[Vehicle_Incidents],tblSafety[Date],$A54)</f>
        <v/>
      </c>
      <c r="IH54" s="62">
        <f>IF($B54=$B53,$IH53,0)+$IG54</f>
        <v/>
      </c>
      <c r="II54" s="62">
        <f>$II53+$IG54</f>
        <v/>
      </c>
      <c r="IJ54" s="62">
        <f>SUMIFS(tblSafety[Toolbox_Talks],tblSafety[Date],$A54)</f>
        <v/>
      </c>
      <c r="IK54" s="62">
        <f>IF($B54=$B53,$IK53,0)+$IJ54</f>
        <v/>
      </c>
      <c r="IL54" s="62">
        <f>$IL53+$IJ54</f>
        <v/>
      </c>
      <c r="IM54" s="62">
        <f>SUMIFS(tblSafety[Inspections],tblSafety[Date],$A54)</f>
        <v/>
      </c>
      <c r="IN54" s="62">
        <f>IF($B54=$B53,$IN53,0)+$IM54</f>
        <v/>
      </c>
      <c r="IO54" s="62">
        <f>$IO53+$IM54</f>
        <v/>
      </c>
      <c r="IP54" s="56">
        <f>IFERROR((SUMIFS(tblSafety[Recordables],tblSafety[Date],"&gt;="&amp;EDATE($E54,-12),tblSafety[Date],"&lt;="&amp;$A54)+SUMIFS(tblSafetyHistory[Recordables],tblSafetyHistory[Month],"&gt;="&amp;EDATE($E54,-12),tblSafetyHistory[Month],"&lt;"&amp;$E54,tblSafetyHistory[Use],1))/(SUMIFS(tblSafety[Hours_Total],tblSafety[Date],"&gt;="&amp;EDATE($E54,-12),tblSafety[Date],"&lt;="&amp;$A54)+SUMIFS(tblSafetyHistory[Hours_Total],tblSafetyHistory[Month],"&gt;="&amp;EDATE($E54,-12),tblSafetyHistory[Month],"&lt;"&amp;$E54,tblSafetyHistory[Use],1))*cfg_RateBasisHours,"")</f>
        <v/>
      </c>
      <c r="IQ54" s="56">
        <f>IFERROR((SUMIFS(tblSafety[LTI],tblSafety[Date],"&gt;="&amp;EDATE($E54,-12),tblSafety[Date],"&lt;="&amp;$A54)+SUMIFS(tblSafetyHistory[LTI],tblSafetyHistory[Month],"&gt;="&amp;EDATE($E54,-12),tblSafetyHistory[Month],"&lt;"&amp;$E54,tblSafetyHistory[Use],1))/(SUMIFS(tblSafety[Hours_Total],tblSafety[Date],"&gt;="&amp;EDATE($E54,-12),tblSafety[Date],"&lt;="&amp;$A54)+SUMIFS(tblSafetyHistory[Hours_Total],tblSafetyHistory[Month],"&gt;="&amp;EDATE($E54,-12),tblSafetyHistory[Month],"&lt;"&amp;$E54,tblSafetyHistory[Use],1))*cfg_RateBasisHours,"")</f>
        <v/>
      </c>
      <c r="IR54" s="62">
        <f>IF(MAX(N(cfg_PriorLTIDate),_xlfn.MAXIFS(tblSafety[Date],tblSafety[LTI],"&gt;0",tblSafety[Date],"&lt;="&amp;$A54))=0,"",$A54-MAX(N(cfg_PriorLTIDate),_xlfn.MAXIFS(tblSafety[Date],tblSafety[LTI],"&gt;0",tblSafety[Date],"&lt;="&amp;$A54)))</f>
        <v/>
      </c>
      <c r="IS54" s="55">
        <f>SUMIFS(tblBudget[Ore_Mined_t],tblBudget[Month],$E54)</f>
        <v/>
      </c>
      <c r="IT54" s="55">
        <f>$IS54*$C54/$D54</f>
        <v/>
      </c>
      <c r="IU54" s="55">
        <f>SUMIFS(tblBudget[Ore_Mined_t],tblBudget[Month],"&lt;"&amp;$E54)+$IT54</f>
        <v/>
      </c>
      <c r="IV54" s="55">
        <f>SUMIFS(tblBudget[Ore_oz],tblBudget[Month],$E54)</f>
        <v/>
      </c>
      <c r="IW54" s="55">
        <f>$IV54*$C54/$D54</f>
        <v/>
      </c>
      <c r="IX54" s="55">
        <f>SUMIFS(tblBudget[Ore_oz],tblBudget[Month],"&lt;"&amp;$E54)+$IW54</f>
        <v/>
      </c>
      <c r="IY54" s="55">
        <f>SUMIFS(tblBudget[Ore_Mined_t],tblBudget[Month],$E54)</f>
        <v/>
      </c>
      <c r="IZ54" s="55">
        <f>$IY54*$C54/$D54</f>
        <v/>
      </c>
      <c r="JA54" s="55">
        <f>SUMIFS(tblBudget[Ore_Mined_t],tblBudget[Month],"&lt;"&amp;$E54)+$IZ54</f>
        <v/>
      </c>
      <c r="JB54" s="56">
        <f>IFERROR(IF(($IY54)&gt;0,($IV54*cfg_TroyOz)/($IY54),""),"")</f>
        <v/>
      </c>
      <c r="JC54" s="56">
        <f>IFERROR(IF(($IZ54)&gt;0,($IW54*cfg_TroyOz)/($IZ54),""),"")</f>
        <v/>
      </c>
      <c r="JD54" s="56">
        <f>IFERROR(IF(($JA54)&gt;0,($IX54*cfg_TroyOz)/($JA54),""),"")</f>
        <v/>
      </c>
      <c r="JE54" s="55">
        <f>SUMIFS(tblBudget[Waste_t],tblBudget[Month],$E54)</f>
        <v/>
      </c>
      <c r="JF54" s="55">
        <f>$JE54*$C54/$D54</f>
        <v/>
      </c>
      <c r="JG54" s="55">
        <f>SUMIFS(tblBudget[Waste_t],tblBudget[Month],"&lt;"&amp;$E54)+$JF54</f>
        <v/>
      </c>
      <c r="JH54" s="55">
        <f>SUMIFS(tblBudget[TMM_t],tblBudget[Month],$E54)</f>
        <v/>
      </c>
      <c r="JI54" s="55">
        <f>$JH54*$C54/$D54</f>
        <v/>
      </c>
      <c r="JJ54" s="55">
        <f>SUMIFS(tblBudget[TMM_t],tblBudget[Month],"&lt;"&amp;$E54)+$JI54</f>
        <v/>
      </c>
      <c r="JK54" s="56">
        <f>IFERROR(IF(($IS54)&gt;0,($JE54)/($IS54),""),"")</f>
        <v/>
      </c>
      <c r="JL54" s="56">
        <f>IFERROR(IF(($IT54)&gt;0,($JF54)/($IT54),""),"")</f>
        <v/>
      </c>
      <c r="JM54" s="56">
        <f>IFERROR(IF(($IU54)&gt;0,($JG54)/($IU54),""),"")</f>
        <v/>
      </c>
      <c r="JN54" s="55">
        <f>SUMIFS(tblBudget[Drill_m],tblBudget[Month],$E54)</f>
        <v/>
      </c>
      <c r="JO54" s="55">
        <f>$JN54*$C54/$D54</f>
        <v/>
      </c>
      <c r="JP54" s="55">
        <f>SUMIFS(tblBudget[Drill_m],tblBudget[Month],"&lt;"&amp;$E54)+$JO54</f>
        <v/>
      </c>
      <c r="JQ54" s="55">
        <f>SUMIFS(tblBudget[Diesel_L],tblBudget[Month],$E54)</f>
        <v/>
      </c>
      <c r="JR54" s="55">
        <f>$JQ54*$C54/$D54</f>
        <v/>
      </c>
      <c r="JS54" s="55">
        <f>SUMIFS(tblBudget[Diesel_L],tblBudget[Month],"&lt;"&amp;$E54)+$JR54</f>
        <v/>
      </c>
      <c r="JT54" s="55">
        <f>SUMIFS(tblBudget[Milled_t],tblBudget[Month],$E54)</f>
        <v/>
      </c>
      <c r="JU54" s="55">
        <f>$JT54*$C54/$D54</f>
        <v/>
      </c>
      <c r="JV54" s="55">
        <f>SUMIFS(tblBudget[Milled_t],tblBudget[Month],"&lt;"&amp;$E54)+$JU54</f>
        <v/>
      </c>
      <c r="JW54" s="55">
        <f>SUMIFS(tblBudget[Feed_oz],tblBudget[Month],$E54)</f>
        <v/>
      </c>
      <c r="JX54" s="55">
        <f>$JW54*$C54/$D54</f>
        <v/>
      </c>
      <c r="JY54" s="55">
        <f>SUMIFS(tblBudget[Feed_oz],tblBudget[Month],"&lt;"&amp;$E54)+$JX54</f>
        <v/>
      </c>
      <c r="JZ54" s="55">
        <f>SUMIFS(tblBudget[Recovered_oz],tblBudget[Month],$E54)</f>
        <v/>
      </c>
      <c r="KA54" s="55">
        <f>$JZ54*$C54/$D54</f>
        <v/>
      </c>
      <c r="KB54" s="55">
        <f>SUMIFS(tblBudget[Recovered_oz],tblBudget[Month],"&lt;"&amp;$E54)+$KA54</f>
        <v/>
      </c>
      <c r="KC54" s="55">
        <f>SUMIFS(tblBudget[Milled_t],tblBudget[Month],$E54)</f>
        <v/>
      </c>
      <c r="KD54" s="55">
        <f>$KC54*$C54/$D54</f>
        <v/>
      </c>
      <c r="KE54" s="55">
        <f>SUMIFS(tblBudget[Milled_t],tblBudget[Month],"&lt;"&amp;$E54)+$KD54</f>
        <v/>
      </c>
      <c r="KF54" s="55">
        <f>SUMIFS(tblBudget[Feed_oz],tblBudget[Month],$E54)</f>
        <v/>
      </c>
      <c r="KG54" s="55">
        <f>$KF54*$C54/$D54</f>
        <v/>
      </c>
      <c r="KH54" s="55">
        <f>SUMIFS(tblBudget[Feed_oz],tblBudget[Month],"&lt;"&amp;$E54)+$KG54</f>
        <v/>
      </c>
      <c r="KI54" s="56">
        <f>IFERROR(IF(($KC54)&gt;0,($JW54*cfg_TroyOz)/($KC54),""),"")</f>
        <v/>
      </c>
      <c r="KJ54" s="56">
        <f>IFERROR(IF(($KD54)&gt;0,($JX54*cfg_TroyOz)/($KD54),""),"")</f>
        <v/>
      </c>
      <c r="KK54" s="56">
        <f>IFERROR(IF(($KE54)&gt;0,($JY54*cfg_TroyOz)/($KE54),""),"")</f>
        <v/>
      </c>
      <c r="KL54" s="67">
        <f>IFERROR(IF(($KF54)&gt;0,($JZ54)/($KF54),""),"")</f>
        <v/>
      </c>
      <c r="KM54" s="67">
        <f>IFERROR(IF(($KG54)&gt;0,($KA54)/($KG54),""),"")</f>
        <v/>
      </c>
      <c r="KN54" s="67">
        <f>IFERROR(IF(($KH54)&gt;0,($KB54)/($KH54),""),"")</f>
        <v/>
      </c>
      <c r="KO54" s="55">
        <f>SUMIFS(tblBudget[Gold_Poured_oz],tblBudget[Month],$E54)</f>
        <v/>
      </c>
      <c r="KP54" s="55">
        <f>$KO54*$C54/$D54</f>
        <v/>
      </c>
      <c r="KQ54" s="55">
        <f>SUMIFS(tblBudget[Gold_Poured_oz],tblBudget[Month],"&lt;"&amp;$E54)+$KP54</f>
        <v/>
      </c>
      <c r="KR54" s="57">
        <f>SUMIFS(tblBudget[Hours_Worked],tblBudget[Month],$E54)</f>
        <v/>
      </c>
      <c r="KS54" s="57">
        <f>$KR54*$C54/$D54</f>
        <v/>
      </c>
      <c r="KT54" s="57">
        <f>SUMIFS(tblBudget[Hours_Worked],tblBudget[Month],"&lt;"&amp;$E54)+$KS54</f>
        <v/>
      </c>
    </row>
    <row r="55">
      <c r="A55" s="54" t="n">
        <v>46076</v>
      </c>
      <c r="B55">
        <f>MONTH($A55)</f>
        <v/>
      </c>
      <c r="C55">
        <f>DAY($A55)</f>
        <v/>
      </c>
      <c r="D55">
        <f>DAY(EOMONTH($A55,0))</f>
        <v/>
      </c>
      <c r="E55" s="54">
        <f>DATE(YEAR($A55),MONTH($A55),1)</f>
        <v/>
      </c>
      <c r="F55" s="55">
        <f>SUMIFS(tblMovement[Tonnes_t],tblMovement[Date],$A55,tblMovement[Is_Ore],1,tblMovement[Source_Type],"Pit")</f>
        <v/>
      </c>
      <c r="G55" s="55">
        <f>IF($B55=$B54,$G54,0)+$F55</f>
        <v/>
      </c>
      <c r="H55" s="55">
        <f>$H54+$F55</f>
        <v/>
      </c>
      <c r="I55" s="55">
        <f>SUMIFS(tblMovement[Ore_oz],tblMovement[Date],$A55,tblMovement[Source_Type],"Pit")</f>
        <v/>
      </c>
      <c r="J55" s="55">
        <f>IF($B55=$B54,$J54,0)+$I55</f>
        <v/>
      </c>
      <c r="K55" s="55">
        <f>$K54+$I55</f>
        <v/>
      </c>
      <c r="L55" s="55">
        <f>SUMIFS(tblMovement[Tonnes_t],tblMovement[Date],$A55,tblMovement[Is_Ore],1,tblMovement[Source_Type],"Pit",tblMovement[Grade_gpt],"&lt;&gt;")</f>
        <v/>
      </c>
      <c r="M55" s="55">
        <f>IF($B55=$B54,$M54,0)+$L55</f>
        <v/>
      </c>
      <c r="N55" s="55">
        <f>$N54+$L55</f>
        <v/>
      </c>
      <c r="O55" s="56">
        <f>IFERROR(IF(($L55)&gt;0,($I55*cfg_TroyOz)/($L55),""),"")</f>
        <v/>
      </c>
      <c r="P55" s="56">
        <f>IFERROR(IF(($M55)&gt;0,($J55*cfg_TroyOz)/($M55),""),"")</f>
        <v/>
      </c>
      <c r="Q55" s="56">
        <f>IFERROR(IF(($N55)&gt;0,($K55*cfg_TroyOz)/($N55),""),"")</f>
        <v/>
      </c>
      <c r="R55" s="55">
        <f>$F55-$L55</f>
        <v/>
      </c>
      <c r="S55" s="55">
        <f>IF($B55=$B54,$S54,0)+$R55</f>
        <v/>
      </c>
      <c r="T55" s="55">
        <f>$T54+$R55</f>
        <v/>
      </c>
      <c r="U55" s="55">
        <f>SUMIFS(tblMovement[Tonnes_t],tblMovement[Date],$A55,tblMovement[Is_Ore],0,tblMovement[Source_Type],"Pit")</f>
        <v/>
      </c>
      <c r="V55" s="55">
        <f>IF($B55=$B54,$V54,0)+$U55</f>
        <v/>
      </c>
      <c r="W55" s="55">
        <f>$W54+$U55</f>
        <v/>
      </c>
      <c r="X55" s="55">
        <f>$F55+$U55</f>
        <v/>
      </c>
      <c r="Y55" s="55">
        <f>IF($B55=$B54,$Y54,0)+$X55</f>
        <v/>
      </c>
      <c r="Z55" s="55">
        <f>$Z54+$X55</f>
        <v/>
      </c>
      <c r="AA55" s="56">
        <f>IFERROR(IF(($F55)&gt;0,($U55)/($F55),""),"")</f>
        <v/>
      </c>
      <c r="AB55" s="56">
        <f>IFERROR(IF(($G55)&gt;0,($V55)/($G55),""),"")</f>
        <v/>
      </c>
      <c r="AC55" s="56">
        <f>IFERROR(IF(($H55)&gt;0,($W55)/($H55),""),"")</f>
        <v/>
      </c>
      <c r="AD55" s="55">
        <f>SUMIFS(tblMovement[Tonnes_t],tblMovement[Date],$A55,tblMovement[Source_Type],"Stockpile")</f>
        <v/>
      </c>
      <c r="AE55" s="55">
        <f>IF($B55=$B54,$AE54,0)+$AD55</f>
        <v/>
      </c>
      <c r="AF55" s="55">
        <f>$AF54+$AD55</f>
        <v/>
      </c>
      <c r="AG55" s="55">
        <f>SUMIFS(tblMovement[Tonnes_t],tblMovement[Date],$A55)</f>
        <v/>
      </c>
      <c r="AH55" s="55">
        <f>IF($B55=$B54,$AH54,0)+$AG55</f>
        <v/>
      </c>
      <c r="AI55" s="55">
        <f>$AI54+$AG55</f>
        <v/>
      </c>
      <c r="AJ55" s="55">
        <f>$AG55-$X55-$AD55</f>
        <v/>
      </c>
      <c r="AK55" s="55">
        <f>IF($B55=$B54,$AK54,0)+$AJ55</f>
        <v/>
      </c>
      <c r="AL55" s="55">
        <f>$AL54+$AJ55</f>
        <v/>
      </c>
      <c r="AM55" s="55">
        <f>SUMIFS(tblMiningDaily[Drill_m],tblMiningDaily[Date],$A55)</f>
        <v/>
      </c>
      <c r="AN55" s="55">
        <f>IF($B55=$B54,$AN54,0)+$AM55</f>
        <v/>
      </c>
      <c r="AO55" s="55">
        <f>$AO54+$AM55</f>
        <v/>
      </c>
      <c r="AP55" s="55">
        <f>SUMIFS(tblMiningDaily[GC_Drill_m],tblMiningDaily[Date],$A55)</f>
        <v/>
      </c>
      <c r="AQ55" s="55">
        <f>IF($B55=$B54,$AQ54,0)+$AP55</f>
        <v/>
      </c>
      <c r="AR55" s="55">
        <f>$AR54+$AP55</f>
        <v/>
      </c>
      <c r="AS55" s="55">
        <f>SUMIFS(tblMiningDaily[Blast_t],tblMiningDaily[Date],$A55)</f>
        <v/>
      </c>
      <c r="AT55" s="55">
        <f>IF($B55=$B54,$AT54,0)+$AS55</f>
        <v/>
      </c>
      <c r="AU55" s="55">
        <f>$AU54+$AS55</f>
        <v/>
      </c>
      <c r="AV55" s="55">
        <f>SUMIFS(tblMiningDaily[Explosives_kg],tblMiningDaily[Date],$A55)</f>
        <v/>
      </c>
      <c r="AW55" s="55">
        <f>IF($B55=$B54,$AW54,0)+$AV55</f>
        <v/>
      </c>
      <c r="AX55" s="55">
        <f>$AX54+$AV55</f>
        <v/>
      </c>
      <c r="AY55" s="56">
        <f>IFERROR(IF(($AS55)&gt;0,($AV55)/($AS55),""),"")</f>
        <v/>
      </c>
      <c r="AZ55" s="56">
        <f>IFERROR(IF(($AT55)&gt;0,($AW55)/($AT55),""),"")</f>
        <v/>
      </c>
      <c r="BA55" s="56">
        <f>IFERROR(IF(($AU55)&gt;0,($AX55)/($AU55),""),"")</f>
        <v/>
      </c>
      <c r="BB55" s="55">
        <f>SUMIFS(tblMiningDaily[Diesel_L],tblMiningDaily[Date],$A55)</f>
        <v/>
      </c>
      <c r="BC55" s="55">
        <f>IF($B55=$B54,$BC54,0)+$BB55</f>
        <v/>
      </c>
      <c r="BD55" s="55">
        <f>$BD54+$BB55</f>
        <v/>
      </c>
      <c r="BE55" s="55">
        <f>SUMIFS(tblMiningDaily[Dewatering_m3],tblMiningDaily[Date],$A55)</f>
        <v/>
      </c>
      <c r="BF55" s="55">
        <f>IF($B55=$B54,$BF54,0)+$BE55</f>
        <v/>
      </c>
      <c r="BG55" s="55">
        <f>$BG54+$BE55</f>
        <v/>
      </c>
      <c r="BH55" s="57">
        <f>SUMIFS(tblFleet[Calendar_h],tblFleet[Date],$A55,tblFleet[Equipment_Class],"Excavator")</f>
        <v/>
      </c>
      <c r="BI55" s="57">
        <f>IF($B55=$B54,$BI54,0)+$BH55</f>
        <v/>
      </c>
      <c r="BJ55" s="57">
        <f>$BJ54+$BH55</f>
        <v/>
      </c>
      <c r="BK55" s="57">
        <f>SUMIFS(tblFleet[Available_h],tblFleet[Date],$A55,tblFleet[Equipment_Class],"Excavator")</f>
        <v/>
      </c>
      <c r="BL55" s="57">
        <f>IF($B55=$B54,$BL54,0)+$BK55</f>
        <v/>
      </c>
      <c r="BM55" s="57">
        <f>$BM54+$BK55</f>
        <v/>
      </c>
      <c r="BN55" s="57">
        <f>SUMIFS(tblFleet[Operating_h],tblFleet[Date],$A55,tblFleet[Equipment_Class],"Excavator")</f>
        <v/>
      </c>
      <c r="BO55" s="57">
        <f>IF($B55=$B54,$BO54,0)+$BN55</f>
        <v/>
      </c>
      <c r="BP55" s="57">
        <f>$BP54+$BN55</f>
        <v/>
      </c>
      <c r="BQ55" s="67">
        <f>IFERROR(IF(($BH55)&gt;0,($BK55)/($BH55),""),"")</f>
        <v/>
      </c>
      <c r="BR55" s="67">
        <f>IFERROR(IF(($BI55)&gt;0,($BL55)/($BI55),""),"")</f>
        <v/>
      </c>
      <c r="BS55" s="67">
        <f>IFERROR(IF(($BJ55)&gt;0,($BM55)/($BJ55),""),"")</f>
        <v/>
      </c>
      <c r="BT55" s="67">
        <f>IFERROR(IF(($BK55)&gt;0,($BN55)/($BK55),""),"")</f>
        <v/>
      </c>
      <c r="BU55" s="67">
        <f>IFERROR(IF(($BL55)&gt;0,($BO55)/($BL55),""),"")</f>
        <v/>
      </c>
      <c r="BV55" s="67">
        <f>IFERROR(IF(($BM55)&gt;0,($BP55)/($BM55),""),"")</f>
        <v/>
      </c>
      <c r="BW55" s="57">
        <f>SUMIFS(tblFleet[Calendar_h],tblFleet[Date],$A55,tblFleet[Equipment_Class],"Haul Truck")</f>
        <v/>
      </c>
      <c r="BX55" s="57">
        <f>IF($B55=$B54,$BX54,0)+$BW55</f>
        <v/>
      </c>
      <c r="BY55" s="57">
        <f>$BY54+$BW55</f>
        <v/>
      </c>
      <c r="BZ55" s="57">
        <f>SUMIFS(tblFleet[Available_h],tblFleet[Date],$A55,tblFleet[Equipment_Class],"Haul Truck")</f>
        <v/>
      </c>
      <c r="CA55" s="57">
        <f>IF($B55=$B54,$CA54,0)+$BZ55</f>
        <v/>
      </c>
      <c r="CB55" s="57">
        <f>$CB54+$BZ55</f>
        <v/>
      </c>
      <c r="CC55" s="57">
        <f>SUMIFS(tblFleet[Operating_h],tblFleet[Date],$A55,tblFleet[Equipment_Class],"Haul Truck")</f>
        <v/>
      </c>
      <c r="CD55" s="57">
        <f>IF($B55=$B54,$CD54,0)+$CC55</f>
        <v/>
      </c>
      <c r="CE55" s="57">
        <f>$CE54+$CC55</f>
        <v/>
      </c>
      <c r="CF55" s="67">
        <f>IFERROR(IF(($BW55)&gt;0,($BZ55)/($BW55),""),"")</f>
        <v/>
      </c>
      <c r="CG55" s="67">
        <f>IFERROR(IF(($BX55)&gt;0,($CA55)/($BX55),""),"")</f>
        <v/>
      </c>
      <c r="CH55" s="67">
        <f>IFERROR(IF(($BY55)&gt;0,($CB55)/($BY55),""),"")</f>
        <v/>
      </c>
      <c r="CI55" s="67">
        <f>IFERROR(IF(($BZ55)&gt;0,($CC55)/($BZ55),""),"")</f>
        <v/>
      </c>
      <c r="CJ55" s="67">
        <f>IFERROR(IF(($CA55)&gt;0,($CD55)/($CA55),""),"")</f>
        <v/>
      </c>
      <c r="CK55" s="67">
        <f>IFERROR(IF(($CB55)&gt;0,($CE55)/($CB55),""),"")</f>
        <v/>
      </c>
      <c r="CL55" s="55">
        <f>IFERROR(IF(($BN55)&gt;0,($X55+$AD55)/($BN55),""),"")</f>
        <v/>
      </c>
      <c r="CM55" s="55">
        <f>IFERROR(IF(($BO55)&gt;0,($Y55+$AE55)/($BO55),""),"")</f>
        <v/>
      </c>
      <c r="CN55" s="55">
        <f>IFERROR(IF(($BP55)&gt;0,($Z55+$AF55)/($BP55),""),"")</f>
        <v/>
      </c>
      <c r="CO55" s="55">
        <f>IFERROR(IF(($CC55)&gt;0,($X55+$AD55)/($CC55),""),"")</f>
        <v/>
      </c>
      <c r="CP55" s="55">
        <f>IFERROR(IF(($CD55)&gt;0,($Y55+$AE55)/($CD55),""),"")</f>
        <v/>
      </c>
      <c r="CQ55" s="55">
        <f>IFERROR(IF(($CE55)&gt;0,($Z55+$AF55)/($CE55),""),"")</f>
        <v/>
      </c>
      <c r="CR55" s="55">
        <f>SUMIFS(tblPlant[Crushed_t],tblPlant[Date],$A55)</f>
        <v/>
      </c>
      <c r="CS55" s="55">
        <f>IF($B55=$B54,$CS54,0)+$CR55</f>
        <v/>
      </c>
      <c r="CT55" s="55">
        <f>$CT54+$CR55</f>
        <v/>
      </c>
      <c r="CU55" s="55">
        <f>SUMIFS(tblPlant[Milled_t],tblPlant[Date],$A55)</f>
        <v/>
      </c>
      <c r="CV55" s="55">
        <f>IF($B55=$B54,$CV54,0)+$CU55</f>
        <v/>
      </c>
      <c r="CW55" s="55">
        <f>$CW54+$CU55</f>
        <v/>
      </c>
      <c r="CX55" s="55">
        <f>SUMIFS(tblPlant[Feed_oz],tblPlant[Date],$A55)</f>
        <v/>
      </c>
      <c r="CY55" s="55">
        <f>IF($B55=$B54,$CY54,0)+$CX55</f>
        <v/>
      </c>
      <c r="CZ55" s="55">
        <f>$CZ54+$CX55</f>
        <v/>
      </c>
      <c r="DA55" s="55">
        <f>SUMIFS(tblPlant[Tails_oz],tblPlant[Date],$A55)</f>
        <v/>
      </c>
      <c r="DB55" s="55">
        <f>IF($B55=$B54,$DB54,0)+$DA55</f>
        <v/>
      </c>
      <c r="DC55" s="55">
        <f>$DC54+$DA55</f>
        <v/>
      </c>
      <c r="DD55" s="55">
        <f>SUMIFS(tblPlant[Recovered_oz],tblPlant[Date],$A55)</f>
        <v/>
      </c>
      <c r="DE55" s="55">
        <f>IF($B55=$B54,$DE54,0)+$DD55</f>
        <v/>
      </c>
      <c r="DF55" s="55">
        <f>$DF54+$DD55</f>
        <v/>
      </c>
      <c r="DG55" s="55">
        <f>SUMIFS(tblPlant[Milled_t],tblPlant[Date],$A55,tblPlant[Head_Grade_gpt],"&lt;&gt;")</f>
        <v/>
      </c>
      <c r="DH55" s="55">
        <f>IF($B55=$B54,$DH54,0)+$DG55</f>
        <v/>
      </c>
      <c r="DI55" s="55">
        <f>$DI54+$DG55</f>
        <v/>
      </c>
      <c r="DJ55" s="55">
        <f>SUMIFS(tblPlant[Milled_t],tblPlant[Date],$A55,tblPlant[Tails_Grade_gpt],"&lt;&gt;")</f>
        <v/>
      </c>
      <c r="DK55" s="55">
        <f>IF($B55=$B54,$DK54,0)+$DJ55</f>
        <v/>
      </c>
      <c r="DL55" s="55">
        <f>$DL54+$DJ55</f>
        <v/>
      </c>
      <c r="DM55" s="55">
        <f>SUMIFS(tblPlant[Feed_oz],tblPlant[Date],$A55,tblPlant[Tails_Grade_gpt],"&lt;&gt;")</f>
        <v/>
      </c>
      <c r="DN55" s="55">
        <f>IF($B55=$B54,$DN54,0)+$DM55</f>
        <v/>
      </c>
      <c r="DO55" s="55">
        <f>$DO54+$DM55</f>
        <v/>
      </c>
      <c r="DP55" s="55">
        <f>SUMIFS(tblPlant[Milled_t],tblPlant[Date],$A55,tblPlant[Mill_Run_h],"&lt;&gt;")</f>
        <v/>
      </c>
      <c r="DQ55" s="55">
        <f>IF($B55=$B54,$DQ54,0)+$DP55</f>
        <v/>
      </c>
      <c r="DR55" s="55">
        <f>$DR54+$DP55</f>
        <v/>
      </c>
      <c r="DS55" s="56">
        <f>IFERROR(IF(($DG55)&gt;0,($CX55*cfg_TroyOz)/($DG55),""),"")</f>
        <v/>
      </c>
      <c r="DT55" s="56">
        <f>IFERROR(IF(($DH55)&gt;0,($CY55*cfg_TroyOz)/($DH55),""),"")</f>
        <v/>
      </c>
      <c r="DU55" s="56">
        <f>IFERROR(IF(($DI55)&gt;0,($CZ55*cfg_TroyOz)/($DI55),""),"")</f>
        <v/>
      </c>
      <c r="DV55" s="56">
        <f>IFERROR(IF(($DJ55)&gt;0,($DA55*cfg_TroyOz)/($DJ55),""),"")</f>
        <v/>
      </c>
      <c r="DW55" s="56">
        <f>IFERROR(IF(($DK55)&gt;0,($DB55*cfg_TroyOz)/($DK55),""),"")</f>
        <v/>
      </c>
      <c r="DX55" s="56">
        <f>IFERROR(IF(($DL55)&gt;0,($DC55*cfg_TroyOz)/($DL55),""),"")</f>
        <v/>
      </c>
      <c r="DY55" s="67">
        <f>IFERROR(IF(($DM55)&gt;0,($DD55)/($DM55),""),"")</f>
        <v/>
      </c>
      <c r="DZ55" s="67">
        <f>IFERROR(IF(($DN55)&gt;0,($DE55)/($DN55),""),"")</f>
        <v/>
      </c>
      <c r="EA55" s="67">
        <f>IFERROR(IF(($DO55)&gt;0,($DF55)/($DO55),""),"")</f>
        <v/>
      </c>
      <c r="EB55" s="55">
        <f>SUMIFS(tblPlant[Gravity_Gold_oz],tblPlant[Date],$A55)</f>
        <v/>
      </c>
      <c r="EC55" s="55">
        <f>IF($B55=$B54,$EC54,0)+$EB55</f>
        <v/>
      </c>
      <c r="ED55" s="55">
        <f>$ED54+$EB55</f>
        <v/>
      </c>
      <c r="EE55" s="67">
        <f>IFERROR(IF(($DD55)&gt;0,($EB55)/($DD55),""),"")</f>
        <v/>
      </c>
      <c r="EF55" s="67">
        <f>IFERROR(IF(($DE55)&gt;0,($EC55)/($DE55),""),"")</f>
        <v/>
      </c>
      <c r="EG55" s="67">
        <f>IFERROR(IF(($DF55)&gt;0,($ED55)/($DF55),""),"")</f>
        <v/>
      </c>
      <c r="EH55" s="55">
        <f>SUMIFS(tblPlant[Gold_Poured_oz],tblPlant[Date],$A55)</f>
        <v/>
      </c>
      <c r="EI55" s="55">
        <f>IF($B55=$B54,$EI54,0)+$EH55</f>
        <v/>
      </c>
      <c r="EJ55" s="55">
        <f>$EJ54+$EH55</f>
        <v/>
      </c>
      <c r="EK55" s="57">
        <f>SUMIFS(tblPlant[Mill_Run_h],tblPlant[Date],$A55)</f>
        <v/>
      </c>
      <c r="EL55" s="57">
        <f>IF($B55=$B54,$EL54,0)+$EK55</f>
        <v/>
      </c>
      <c r="EM55" s="57">
        <f>$EM54+$EK55</f>
        <v/>
      </c>
      <c r="EN55" s="57">
        <f>SUMIFS(tblPlant[Mill_Planned_Maint_h],tblPlant[Date],$A55)</f>
        <v/>
      </c>
      <c r="EO55" s="57">
        <f>IF($B55=$B54,$EO54,0)+$EN55</f>
        <v/>
      </c>
      <c r="EP55" s="57">
        <f>$EP54+$EN55</f>
        <v/>
      </c>
      <c r="EQ55" s="57">
        <f>SUMIFS(tblPlant[Mill_Unplanned_Down_h],tblPlant[Date],$A55)</f>
        <v/>
      </c>
      <c r="ER55" s="57">
        <f>IF($B55=$B54,$ER54,0)+$EQ55</f>
        <v/>
      </c>
      <c r="ES55" s="57">
        <f>$ES54+$EQ55</f>
        <v/>
      </c>
      <c r="ET55" s="57">
        <f>IF(COUNTIFS(tblPlant[Date],$A55,tblPlant[Mill_Run_h],"&lt;&gt;")+COUNTIFS(tblPlant[Date],$A55,tblPlant[Mill_Planned_Maint_h],"&lt;&gt;")+COUNTIFS(tblPlant[Date],$A55,tblPlant[Mill_Unplanned_Down_h],"&lt;&gt;")&gt;0,cfg_HoursPerDay,0)</f>
        <v/>
      </c>
      <c r="EU55" s="57">
        <f>IF($B55=$B54,$EU54,0)+$ET55</f>
        <v/>
      </c>
      <c r="EV55" s="57">
        <f>$EV54+$ET55</f>
        <v/>
      </c>
      <c r="EW55" s="57">
        <f>SUMIFS(tblPlant[Crusher_Run_h],tblPlant[Date],$A55)</f>
        <v/>
      </c>
      <c r="EX55" s="57">
        <f>IF($B55=$B54,$EX54,0)+$EW55</f>
        <v/>
      </c>
      <c r="EY55" s="57">
        <f>$EY54+$EW55</f>
        <v/>
      </c>
      <c r="EZ55" s="55">
        <f>IFERROR(IF(($EK55)&gt;0,($DP55)/($EK55),""),"")</f>
        <v/>
      </c>
      <c r="FA55" s="55">
        <f>IFERROR(IF(($EL55)&gt;0,($DQ55)/($EL55),""),"")</f>
        <v/>
      </c>
      <c r="FB55" s="55">
        <f>IFERROR(IF(($EM55)&gt;0,($DR55)/($EM55),""),"")</f>
        <v/>
      </c>
      <c r="FC55" s="67">
        <f>IFERROR(IF(($ET55)&gt;0,($ET55-$EN55-$EQ55)/($ET55),""),"")</f>
        <v/>
      </c>
      <c r="FD55" s="67">
        <f>IFERROR(IF(($EU55)&gt;0,($EU55-$EO55-$ER55)/($EU55),""),"")</f>
        <v/>
      </c>
      <c r="FE55" s="67">
        <f>IFERROR(IF(($EV55)&gt;0,($EV55-$EP55-$ES55)/($EV55),""),"")</f>
        <v/>
      </c>
      <c r="FF55" s="67">
        <f>IFERROR(IF(($ET55-$EN55-$EQ55)&gt;0,($EK55)/($ET55-$EN55-$EQ55),""),"")</f>
        <v/>
      </c>
      <c r="FG55" s="67">
        <f>IFERROR(IF(($EU55-$EO55-$ER55)&gt;0,($EL55)/($EU55-$EO55-$ER55),""),"")</f>
        <v/>
      </c>
      <c r="FH55" s="67">
        <f>IFERROR(IF(($EV55-$EP55-$ES55)&gt;0,($EM55)/($EV55-$EP55-$ES55),""),"")</f>
        <v/>
      </c>
      <c r="FI55" s="55">
        <f>SUMIFS(tblPlant[Cyanide_kg],tblPlant[Date],$A55)</f>
        <v/>
      </c>
      <c r="FJ55" s="55">
        <f>IF($B55=$B54,$FJ54,0)+$FI55</f>
        <v/>
      </c>
      <c r="FK55" s="55">
        <f>$FK54+$FI55</f>
        <v/>
      </c>
      <c r="FL55" s="55">
        <f>SUMIFS(tblPlant[Lime_kg],tblPlant[Date],$A55)</f>
        <v/>
      </c>
      <c r="FM55" s="55">
        <f>IF($B55=$B54,$FM54,0)+$FL55</f>
        <v/>
      </c>
      <c r="FN55" s="55">
        <f>$FN54+$FL55</f>
        <v/>
      </c>
      <c r="FO55" s="55">
        <f>SUMIFS(tblPlant[Grinding_Media_kg],tblPlant[Date],$A55)</f>
        <v/>
      </c>
      <c r="FP55" s="55">
        <f>IF($B55=$B54,$FP54,0)+$FO55</f>
        <v/>
      </c>
      <c r="FQ55" s="55">
        <f>$FQ54+$FO55</f>
        <v/>
      </c>
      <c r="FR55" s="55">
        <f>SUMIFS(tblPlant[Power_kWh],tblPlant[Date],$A55)</f>
        <v/>
      </c>
      <c r="FS55" s="55">
        <f>IF($B55=$B54,$FS54,0)+$FR55</f>
        <v/>
      </c>
      <c r="FT55" s="55">
        <f>$FT54+$FR55</f>
        <v/>
      </c>
      <c r="FU55" s="55">
        <f>SUMIFS(tblPlant[Raw_Water_m3],tblPlant[Date],$A55)</f>
        <v/>
      </c>
      <c r="FV55" s="55">
        <f>IF($B55=$B54,$FV54,0)+$FU55</f>
        <v/>
      </c>
      <c r="FW55" s="55">
        <f>$FW54+$FU55</f>
        <v/>
      </c>
      <c r="FX55" s="56">
        <f>IFERROR(IF(($CU55)&gt;0,($FI55)/($CU55),""),"")</f>
        <v/>
      </c>
      <c r="FY55" s="56">
        <f>IFERROR(IF(($CV55)&gt;0,($FJ55)/($CV55),""),"")</f>
        <v/>
      </c>
      <c r="FZ55" s="56">
        <f>IFERROR(IF(($CW55)&gt;0,($FK55)/($CW55),""),"")</f>
        <v/>
      </c>
      <c r="GA55" s="56">
        <f>IFERROR(IF(($CU55)&gt;0,($FL55)/($CU55),""),"")</f>
        <v/>
      </c>
      <c r="GB55" s="56">
        <f>IFERROR(IF(($CV55)&gt;0,($FM55)/($CV55),""),"")</f>
        <v/>
      </c>
      <c r="GC55" s="56">
        <f>IFERROR(IF(($CW55)&gt;0,($FN55)/($CW55),""),"")</f>
        <v/>
      </c>
      <c r="GD55" s="56">
        <f>IFERROR(IF(($CU55)&gt;0,($FO55)/($CU55),""),"")</f>
        <v/>
      </c>
      <c r="GE55" s="56">
        <f>IFERROR(IF(($CV55)&gt;0,($FP55)/($CV55),""),"")</f>
        <v/>
      </c>
      <c r="GF55" s="56">
        <f>IFERROR(IF(($CW55)&gt;0,($FQ55)/($CW55),""),"")</f>
        <v/>
      </c>
      <c r="GG55" s="79">
        <f>IFERROR(IF(($CU55)&gt;0,($FR55)/($CU55),""),"")</f>
        <v/>
      </c>
      <c r="GH55" s="79">
        <f>IFERROR(IF(($CV55)&gt;0,($FS55)/($CV55),""),"")</f>
        <v/>
      </c>
      <c r="GI55" s="79">
        <f>IFERROR(IF(($CW55)&gt;0,($FT55)/($CW55),""),"")</f>
        <v/>
      </c>
      <c r="GJ55" s="56">
        <f>IFERROR(IF(($CU55)&gt;0,($FU55)/($CU55),""),"")</f>
        <v/>
      </c>
      <c r="GK55" s="56">
        <f>IFERROR(IF(($CV55)&gt;0,($FV55)/($CV55),""),"")</f>
        <v/>
      </c>
      <c r="GL55" s="56">
        <f>IFERROR(IF(($CW55)&gt;0,($FW55)/($CW55),""),"")</f>
        <v/>
      </c>
      <c r="GM55" s="55">
        <f>IF(SUMIFS(tblPlant[GIC_oz],tblPlant[Date],$A55)&gt;0,SUMIFS(tblPlant[GIC_oz],tblPlant[Date],$A55),"")</f>
        <v/>
      </c>
      <c r="GN55" s="55">
        <f>SUMIFS(tblGold[Gold_oz],tblGold[Date],$A55,tblGold[Type],"Shipment")</f>
        <v/>
      </c>
      <c r="GO55" s="55">
        <f>IF($B55=$B54,$GO54,0)+$GN55</f>
        <v/>
      </c>
      <c r="GP55" s="55">
        <f>$GP54+$GN55</f>
        <v/>
      </c>
      <c r="GQ55" s="55">
        <f>SUMIFS(tblGold[Gold_oz],tblGold[Date],$A55,tblGold[Type],"Sale")</f>
        <v/>
      </c>
      <c r="GR55" s="55">
        <f>IF($B55=$B54,$GR54,0)+$GQ55</f>
        <v/>
      </c>
      <c r="GS55" s="55">
        <f>$GS54+$GQ55</f>
        <v/>
      </c>
      <c r="GT55" s="55">
        <f>SUMIFS(tblGold[Dore_kg],tblGold[Date],$A55,tblGold[Type],"Shipment")</f>
        <v/>
      </c>
      <c r="GU55" s="55">
        <f>IF($B55=$B54,$GU54,0)+$GT55</f>
        <v/>
      </c>
      <c r="GV55" s="55">
        <f>$GV54+$GT55</f>
        <v/>
      </c>
      <c r="GW55" s="57">
        <f>SUMIFS(tblSafety[Hours_Total],tblSafety[Date],$A55)</f>
        <v/>
      </c>
      <c r="GX55" s="57">
        <f>IF($B55=$B54,$GX54,0)+$GW55</f>
        <v/>
      </c>
      <c r="GY55" s="57">
        <f>$GY54+$GW55</f>
        <v/>
      </c>
      <c r="GZ55" s="62">
        <f>SUMIFS(tblSafety[Fatality],tblSafety[Date],$A55)</f>
        <v/>
      </c>
      <c r="HA55" s="62">
        <f>IF($B55=$B54,$HA54,0)+$GZ55</f>
        <v/>
      </c>
      <c r="HB55" s="62">
        <f>$HB54+$GZ55</f>
        <v/>
      </c>
      <c r="HC55" s="62">
        <f>SUMIFS(tblSafety[LTI],tblSafety[Date],$A55)</f>
        <v/>
      </c>
      <c r="HD55" s="62">
        <f>IF($B55=$B54,$HD54,0)+$HC55</f>
        <v/>
      </c>
      <c r="HE55" s="62">
        <f>$HE54+$HC55</f>
        <v/>
      </c>
      <c r="HF55" s="62">
        <f>SUMIFS(tblSafety[RWI],tblSafety[Date],$A55)</f>
        <v/>
      </c>
      <c r="HG55" s="62">
        <f>IF($B55=$B54,$HG54,0)+$HF55</f>
        <v/>
      </c>
      <c r="HH55" s="62">
        <f>$HH54+$HF55</f>
        <v/>
      </c>
      <c r="HI55" s="62">
        <f>SUMIFS(tblSafety[MTI],tblSafety[Date],$A55)</f>
        <v/>
      </c>
      <c r="HJ55" s="62">
        <f>IF($B55=$B54,$HJ54,0)+$HI55</f>
        <v/>
      </c>
      <c r="HK55" s="62">
        <f>$HK54+$HI55</f>
        <v/>
      </c>
      <c r="HL55" s="62">
        <f>SUMIFS(tblSafety[FAI],tblSafety[Date],$A55)</f>
        <v/>
      </c>
      <c r="HM55" s="62">
        <f>IF($B55=$B54,$HM54,0)+$HL55</f>
        <v/>
      </c>
      <c r="HN55" s="62">
        <f>$HN54+$HL55</f>
        <v/>
      </c>
      <c r="HO55" s="62">
        <f>SUMIFS(tblSafety[Recordables],tblSafety[Date],$A55)</f>
        <v/>
      </c>
      <c r="HP55" s="62">
        <f>IF($B55=$B54,$HP54,0)+$HO55</f>
        <v/>
      </c>
      <c r="HQ55" s="62">
        <f>$HQ54+$HO55</f>
        <v/>
      </c>
      <c r="HR55" s="62">
        <f>SUMIFS(tblSafety[Near_Miss],tblSafety[Date],$A55)</f>
        <v/>
      </c>
      <c r="HS55" s="62">
        <f>IF($B55=$B54,$HS54,0)+$HR55</f>
        <v/>
      </c>
      <c r="HT55" s="62">
        <f>$HT54+$HR55</f>
        <v/>
      </c>
      <c r="HU55" s="62">
        <f>SUMIFS(tblSafety[Hazard_Reports],tblSafety[Date],$A55)</f>
        <v/>
      </c>
      <c r="HV55" s="62">
        <f>IF($B55=$B54,$HV54,0)+$HU55</f>
        <v/>
      </c>
      <c r="HW55" s="62">
        <f>$HW54+$HU55</f>
        <v/>
      </c>
      <c r="HX55" s="62">
        <f>SUMIFS(tblSafety[HPI],tblSafety[Date],$A55)</f>
        <v/>
      </c>
      <c r="HY55" s="62">
        <f>IF($B55=$B54,$HY54,0)+$HX55</f>
        <v/>
      </c>
      <c r="HZ55" s="62">
        <f>$HZ54+$HX55</f>
        <v/>
      </c>
      <c r="IA55" s="62">
        <f>SUMIFS(tblSafety[Env_Incidents],tblSafety[Date],$A55)</f>
        <v/>
      </c>
      <c r="IB55" s="62">
        <f>IF($B55=$B54,$IB54,0)+$IA55</f>
        <v/>
      </c>
      <c r="IC55" s="62">
        <f>$IC54+$IA55</f>
        <v/>
      </c>
      <c r="ID55" s="62">
        <f>SUMIFS(tblSafety[Community_Incidents],tblSafety[Date],$A55)</f>
        <v/>
      </c>
      <c r="IE55" s="62">
        <f>IF($B55=$B54,$IE54,0)+$ID55</f>
        <v/>
      </c>
      <c r="IF55" s="62">
        <f>$IF54+$ID55</f>
        <v/>
      </c>
      <c r="IG55" s="62">
        <f>SUMIFS(tblSafety[Vehicle_Incidents],tblSafety[Date],$A55)</f>
        <v/>
      </c>
      <c r="IH55" s="62">
        <f>IF($B55=$B54,$IH54,0)+$IG55</f>
        <v/>
      </c>
      <c r="II55" s="62">
        <f>$II54+$IG55</f>
        <v/>
      </c>
      <c r="IJ55" s="62">
        <f>SUMIFS(tblSafety[Toolbox_Talks],tblSafety[Date],$A55)</f>
        <v/>
      </c>
      <c r="IK55" s="62">
        <f>IF($B55=$B54,$IK54,0)+$IJ55</f>
        <v/>
      </c>
      <c r="IL55" s="62">
        <f>$IL54+$IJ55</f>
        <v/>
      </c>
      <c r="IM55" s="62">
        <f>SUMIFS(tblSafety[Inspections],tblSafety[Date],$A55)</f>
        <v/>
      </c>
      <c r="IN55" s="62">
        <f>IF($B55=$B54,$IN54,0)+$IM55</f>
        <v/>
      </c>
      <c r="IO55" s="62">
        <f>$IO54+$IM55</f>
        <v/>
      </c>
      <c r="IP55" s="56">
        <f>IFERROR((SUMIFS(tblSafety[Recordables],tblSafety[Date],"&gt;="&amp;EDATE($E55,-12),tblSafety[Date],"&lt;="&amp;$A55)+SUMIFS(tblSafetyHistory[Recordables],tblSafetyHistory[Month],"&gt;="&amp;EDATE($E55,-12),tblSafetyHistory[Month],"&lt;"&amp;$E55,tblSafetyHistory[Use],1))/(SUMIFS(tblSafety[Hours_Total],tblSafety[Date],"&gt;="&amp;EDATE($E55,-12),tblSafety[Date],"&lt;="&amp;$A55)+SUMIFS(tblSafetyHistory[Hours_Total],tblSafetyHistory[Month],"&gt;="&amp;EDATE($E55,-12),tblSafetyHistory[Month],"&lt;"&amp;$E55,tblSafetyHistory[Use],1))*cfg_RateBasisHours,"")</f>
        <v/>
      </c>
      <c r="IQ55" s="56">
        <f>IFERROR((SUMIFS(tblSafety[LTI],tblSafety[Date],"&gt;="&amp;EDATE($E55,-12),tblSafety[Date],"&lt;="&amp;$A55)+SUMIFS(tblSafetyHistory[LTI],tblSafetyHistory[Month],"&gt;="&amp;EDATE($E55,-12),tblSafetyHistory[Month],"&lt;"&amp;$E55,tblSafetyHistory[Use],1))/(SUMIFS(tblSafety[Hours_Total],tblSafety[Date],"&gt;="&amp;EDATE($E55,-12),tblSafety[Date],"&lt;="&amp;$A55)+SUMIFS(tblSafetyHistory[Hours_Total],tblSafetyHistory[Month],"&gt;="&amp;EDATE($E55,-12),tblSafetyHistory[Month],"&lt;"&amp;$E55,tblSafetyHistory[Use],1))*cfg_RateBasisHours,"")</f>
        <v/>
      </c>
      <c r="IR55" s="62">
        <f>IF(MAX(N(cfg_PriorLTIDate),_xlfn.MAXIFS(tblSafety[Date],tblSafety[LTI],"&gt;0",tblSafety[Date],"&lt;="&amp;$A55))=0,"",$A55-MAX(N(cfg_PriorLTIDate),_xlfn.MAXIFS(tblSafety[Date],tblSafety[LTI],"&gt;0",tblSafety[Date],"&lt;="&amp;$A55)))</f>
        <v/>
      </c>
      <c r="IS55" s="55">
        <f>SUMIFS(tblBudget[Ore_Mined_t],tblBudget[Month],$E55)</f>
        <v/>
      </c>
      <c r="IT55" s="55">
        <f>$IS55*$C55/$D55</f>
        <v/>
      </c>
      <c r="IU55" s="55">
        <f>SUMIFS(tblBudget[Ore_Mined_t],tblBudget[Month],"&lt;"&amp;$E55)+$IT55</f>
        <v/>
      </c>
      <c r="IV55" s="55">
        <f>SUMIFS(tblBudget[Ore_oz],tblBudget[Month],$E55)</f>
        <v/>
      </c>
      <c r="IW55" s="55">
        <f>$IV55*$C55/$D55</f>
        <v/>
      </c>
      <c r="IX55" s="55">
        <f>SUMIFS(tblBudget[Ore_oz],tblBudget[Month],"&lt;"&amp;$E55)+$IW55</f>
        <v/>
      </c>
      <c r="IY55" s="55">
        <f>SUMIFS(tblBudget[Ore_Mined_t],tblBudget[Month],$E55)</f>
        <v/>
      </c>
      <c r="IZ55" s="55">
        <f>$IY55*$C55/$D55</f>
        <v/>
      </c>
      <c r="JA55" s="55">
        <f>SUMIFS(tblBudget[Ore_Mined_t],tblBudget[Month],"&lt;"&amp;$E55)+$IZ55</f>
        <v/>
      </c>
      <c r="JB55" s="56">
        <f>IFERROR(IF(($IY55)&gt;0,($IV55*cfg_TroyOz)/($IY55),""),"")</f>
        <v/>
      </c>
      <c r="JC55" s="56">
        <f>IFERROR(IF(($IZ55)&gt;0,($IW55*cfg_TroyOz)/($IZ55),""),"")</f>
        <v/>
      </c>
      <c r="JD55" s="56">
        <f>IFERROR(IF(($JA55)&gt;0,($IX55*cfg_TroyOz)/($JA55),""),"")</f>
        <v/>
      </c>
      <c r="JE55" s="55">
        <f>SUMIFS(tblBudget[Waste_t],tblBudget[Month],$E55)</f>
        <v/>
      </c>
      <c r="JF55" s="55">
        <f>$JE55*$C55/$D55</f>
        <v/>
      </c>
      <c r="JG55" s="55">
        <f>SUMIFS(tblBudget[Waste_t],tblBudget[Month],"&lt;"&amp;$E55)+$JF55</f>
        <v/>
      </c>
      <c r="JH55" s="55">
        <f>SUMIFS(tblBudget[TMM_t],tblBudget[Month],$E55)</f>
        <v/>
      </c>
      <c r="JI55" s="55">
        <f>$JH55*$C55/$D55</f>
        <v/>
      </c>
      <c r="JJ55" s="55">
        <f>SUMIFS(tblBudget[TMM_t],tblBudget[Month],"&lt;"&amp;$E55)+$JI55</f>
        <v/>
      </c>
      <c r="JK55" s="56">
        <f>IFERROR(IF(($IS55)&gt;0,($JE55)/($IS55),""),"")</f>
        <v/>
      </c>
      <c r="JL55" s="56">
        <f>IFERROR(IF(($IT55)&gt;0,($JF55)/($IT55),""),"")</f>
        <v/>
      </c>
      <c r="JM55" s="56">
        <f>IFERROR(IF(($IU55)&gt;0,($JG55)/($IU55),""),"")</f>
        <v/>
      </c>
      <c r="JN55" s="55">
        <f>SUMIFS(tblBudget[Drill_m],tblBudget[Month],$E55)</f>
        <v/>
      </c>
      <c r="JO55" s="55">
        <f>$JN55*$C55/$D55</f>
        <v/>
      </c>
      <c r="JP55" s="55">
        <f>SUMIFS(tblBudget[Drill_m],tblBudget[Month],"&lt;"&amp;$E55)+$JO55</f>
        <v/>
      </c>
      <c r="JQ55" s="55">
        <f>SUMIFS(tblBudget[Diesel_L],tblBudget[Month],$E55)</f>
        <v/>
      </c>
      <c r="JR55" s="55">
        <f>$JQ55*$C55/$D55</f>
        <v/>
      </c>
      <c r="JS55" s="55">
        <f>SUMIFS(tblBudget[Diesel_L],tblBudget[Month],"&lt;"&amp;$E55)+$JR55</f>
        <v/>
      </c>
      <c r="JT55" s="55">
        <f>SUMIFS(tblBudget[Milled_t],tblBudget[Month],$E55)</f>
        <v/>
      </c>
      <c r="JU55" s="55">
        <f>$JT55*$C55/$D55</f>
        <v/>
      </c>
      <c r="JV55" s="55">
        <f>SUMIFS(tblBudget[Milled_t],tblBudget[Month],"&lt;"&amp;$E55)+$JU55</f>
        <v/>
      </c>
      <c r="JW55" s="55">
        <f>SUMIFS(tblBudget[Feed_oz],tblBudget[Month],$E55)</f>
        <v/>
      </c>
      <c r="JX55" s="55">
        <f>$JW55*$C55/$D55</f>
        <v/>
      </c>
      <c r="JY55" s="55">
        <f>SUMIFS(tblBudget[Feed_oz],tblBudget[Month],"&lt;"&amp;$E55)+$JX55</f>
        <v/>
      </c>
      <c r="JZ55" s="55">
        <f>SUMIFS(tblBudget[Recovered_oz],tblBudget[Month],$E55)</f>
        <v/>
      </c>
      <c r="KA55" s="55">
        <f>$JZ55*$C55/$D55</f>
        <v/>
      </c>
      <c r="KB55" s="55">
        <f>SUMIFS(tblBudget[Recovered_oz],tblBudget[Month],"&lt;"&amp;$E55)+$KA55</f>
        <v/>
      </c>
      <c r="KC55" s="55">
        <f>SUMIFS(tblBudget[Milled_t],tblBudget[Month],$E55)</f>
        <v/>
      </c>
      <c r="KD55" s="55">
        <f>$KC55*$C55/$D55</f>
        <v/>
      </c>
      <c r="KE55" s="55">
        <f>SUMIFS(tblBudget[Milled_t],tblBudget[Month],"&lt;"&amp;$E55)+$KD55</f>
        <v/>
      </c>
      <c r="KF55" s="55">
        <f>SUMIFS(tblBudget[Feed_oz],tblBudget[Month],$E55)</f>
        <v/>
      </c>
      <c r="KG55" s="55">
        <f>$KF55*$C55/$D55</f>
        <v/>
      </c>
      <c r="KH55" s="55">
        <f>SUMIFS(tblBudget[Feed_oz],tblBudget[Month],"&lt;"&amp;$E55)+$KG55</f>
        <v/>
      </c>
      <c r="KI55" s="56">
        <f>IFERROR(IF(($KC55)&gt;0,($JW55*cfg_TroyOz)/($KC55),""),"")</f>
        <v/>
      </c>
      <c r="KJ55" s="56">
        <f>IFERROR(IF(($KD55)&gt;0,($JX55*cfg_TroyOz)/($KD55),""),"")</f>
        <v/>
      </c>
      <c r="KK55" s="56">
        <f>IFERROR(IF(($KE55)&gt;0,($JY55*cfg_TroyOz)/($KE55),""),"")</f>
        <v/>
      </c>
      <c r="KL55" s="67">
        <f>IFERROR(IF(($KF55)&gt;0,($JZ55)/($KF55),""),"")</f>
        <v/>
      </c>
      <c r="KM55" s="67">
        <f>IFERROR(IF(($KG55)&gt;0,($KA55)/($KG55),""),"")</f>
        <v/>
      </c>
      <c r="KN55" s="67">
        <f>IFERROR(IF(($KH55)&gt;0,($KB55)/($KH55),""),"")</f>
        <v/>
      </c>
      <c r="KO55" s="55">
        <f>SUMIFS(tblBudget[Gold_Poured_oz],tblBudget[Month],$E55)</f>
        <v/>
      </c>
      <c r="KP55" s="55">
        <f>$KO55*$C55/$D55</f>
        <v/>
      </c>
      <c r="KQ55" s="55">
        <f>SUMIFS(tblBudget[Gold_Poured_oz],tblBudget[Month],"&lt;"&amp;$E55)+$KP55</f>
        <v/>
      </c>
      <c r="KR55" s="57">
        <f>SUMIFS(tblBudget[Hours_Worked],tblBudget[Month],$E55)</f>
        <v/>
      </c>
      <c r="KS55" s="57">
        <f>$KR55*$C55/$D55</f>
        <v/>
      </c>
      <c r="KT55" s="57">
        <f>SUMIFS(tblBudget[Hours_Worked],tblBudget[Month],"&lt;"&amp;$E55)+$KS55</f>
        <v/>
      </c>
    </row>
    <row r="56">
      <c r="A56" s="54" t="n">
        <v>46077</v>
      </c>
      <c r="B56">
        <f>MONTH($A56)</f>
        <v/>
      </c>
      <c r="C56">
        <f>DAY($A56)</f>
        <v/>
      </c>
      <c r="D56">
        <f>DAY(EOMONTH($A56,0))</f>
        <v/>
      </c>
      <c r="E56" s="54">
        <f>DATE(YEAR($A56),MONTH($A56),1)</f>
        <v/>
      </c>
      <c r="F56" s="55">
        <f>SUMIFS(tblMovement[Tonnes_t],tblMovement[Date],$A56,tblMovement[Is_Ore],1,tblMovement[Source_Type],"Pit")</f>
        <v/>
      </c>
      <c r="G56" s="55">
        <f>IF($B56=$B55,$G55,0)+$F56</f>
        <v/>
      </c>
      <c r="H56" s="55">
        <f>$H55+$F56</f>
        <v/>
      </c>
      <c r="I56" s="55">
        <f>SUMIFS(tblMovement[Ore_oz],tblMovement[Date],$A56,tblMovement[Source_Type],"Pit")</f>
        <v/>
      </c>
      <c r="J56" s="55">
        <f>IF($B56=$B55,$J55,0)+$I56</f>
        <v/>
      </c>
      <c r="K56" s="55">
        <f>$K55+$I56</f>
        <v/>
      </c>
      <c r="L56" s="55">
        <f>SUMIFS(tblMovement[Tonnes_t],tblMovement[Date],$A56,tblMovement[Is_Ore],1,tblMovement[Source_Type],"Pit",tblMovement[Grade_gpt],"&lt;&gt;")</f>
        <v/>
      </c>
      <c r="M56" s="55">
        <f>IF($B56=$B55,$M55,0)+$L56</f>
        <v/>
      </c>
      <c r="N56" s="55">
        <f>$N55+$L56</f>
        <v/>
      </c>
      <c r="O56" s="56">
        <f>IFERROR(IF(($L56)&gt;0,($I56*cfg_TroyOz)/($L56),""),"")</f>
        <v/>
      </c>
      <c r="P56" s="56">
        <f>IFERROR(IF(($M56)&gt;0,($J56*cfg_TroyOz)/($M56),""),"")</f>
        <v/>
      </c>
      <c r="Q56" s="56">
        <f>IFERROR(IF(($N56)&gt;0,($K56*cfg_TroyOz)/($N56),""),"")</f>
        <v/>
      </c>
      <c r="R56" s="55">
        <f>$F56-$L56</f>
        <v/>
      </c>
      <c r="S56" s="55">
        <f>IF($B56=$B55,$S55,0)+$R56</f>
        <v/>
      </c>
      <c r="T56" s="55">
        <f>$T55+$R56</f>
        <v/>
      </c>
      <c r="U56" s="55">
        <f>SUMIFS(tblMovement[Tonnes_t],tblMovement[Date],$A56,tblMovement[Is_Ore],0,tblMovement[Source_Type],"Pit")</f>
        <v/>
      </c>
      <c r="V56" s="55">
        <f>IF($B56=$B55,$V55,0)+$U56</f>
        <v/>
      </c>
      <c r="W56" s="55">
        <f>$W55+$U56</f>
        <v/>
      </c>
      <c r="X56" s="55">
        <f>$F56+$U56</f>
        <v/>
      </c>
      <c r="Y56" s="55">
        <f>IF($B56=$B55,$Y55,0)+$X56</f>
        <v/>
      </c>
      <c r="Z56" s="55">
        <f>$Z55+$X56</f>
        <v/>
      </c>
      <c r="AA56" s="56">
        <f>IFERROR(IF(($F56)&gt;0,($U56)/($F56),""),"")</f>
        <v/>
      </c>
      <c r="AB56" s="56">
        <f>IFERROR(IF(($G56)&gt;0,($V56)/($G56),""),"")</f>
        <v/>
      </c>
      <c r="AC56" s="56">
        <f>IFERROR(IF(($H56)&gt;0,($W56)/($H56),""),"")</f>
        <v/>
      </c>
      <c r="AD56" s="55">
        <f>SUMIFS(tblMovement[Tonnes_t],tblMovement[Date],$A56,tblMovement[Source_Type],"Stockpile")</f>
        <v/>
      </c>
      <c r="AE56" s="55">
        <f>IF($B56=$B55,$AE55,0)+$AD56</f>
        <v/>
      </c>
      <c r="AF56" s="55">
        <f>$AF55+$AD56</f>
        <v/>
      </c>
      <c r="AG56" s="55">
        <f>SUMIFS(tblMovement[Tonnes_t],tblMovement[Date],$A56)</f>
        <v/>
      </c>
      <c r="AH56" s="55">
        <f>IF($B56=$B55,$AH55,0)+$AG56</f>
        <v/>
      </c>
      <c r="AI56" s="55">
        <f>$AI55+$AG56</f>
        <v/>
      </c>
      <c r="AJ56" s="55">
        <f>$AG56-$X56-$AD56</f>
        <v/>
      </c>
      <c r="AK56" s="55">
        <f>IF($B56=$B55,$AK55,0)+$AJ56</f>
        <v/>
      </c>
      <c r="AL56" s="55">
        <f>$AL55+$AJ56</f>
        <v/>
      </c>
      <c r="AM56" s="55">
        <f>SUMIFS(tblMiningDaily[Drill_m],tblMiningDaily[Date],$A56)</f>
        <v/>
      </c>
      <c r="AN56" s="55">
        <f>IF($B56=$B55,$AN55,0)+$AM56</f>
        <v/>
      </c>
      <c r="AO56" s="55">
        <f>$AO55+$AM56</f>
        <v/>
      </c>
      <c r="AP56" s="55">
        <f>SUMIFS(tblMiningDaily[GC_Drill_m],tblMiningDaily[Date],$A56)</f>
        <v/>
      </c>
      <c r="AQ56" s="55">
        <f>IF($B56=$B55,$AQ55,0)+$AP56</f>
        <v/>
      </c>
      <c r="AR56" s="55">
        <f>$AR55+$AP56</f>
        <v/>
      </c>
      <c r="AS56" s="55">
        <f>SUMIFS(tblMiningDaily[Blast_t],tblMiningDaily[Date],$A56)</f>
        <v/>
      </c>
      <c r="AT56" s="55">
        <f>IF($B56=$B55,$AT55,0)+$AS56</f>
        <v/>
      </c>
      <c r="AU56" s="55">
        <f>$AU55+$AS56</f>
        <v/>
      </c>
      <c r="AV56" s="55">
        <f>SUMIFS(tblMiningDaily[Explosives_kg],tblMiningDaily[Date],$A56)</f>
        <v/>
      </c>
      <c r="AW56" s="55">
        <f>IF($B56=$B55,$AW55,0)+$AV56</f>
        <v/>
      </c>
      <c r="AX56" s="55">
        <f>$AX55+$AV56</f>
        <v/>
      </c>
      <c r="AY56" s="56">
        <f>IFERROR(IF(($AS56)&gt;0,($AV56)/($AS56),""),"")</f>
        <v/>
      </c>
      <c r="AZ56" s="56">
        <f>IFERROR(IF(($AT56)&gt;0,($AW56)/($AT56),""),"")</f>
        <v/>
      </c>
      <c r="BA56" s="56">
        <f>IFERROR(IF(($AU56)&gt;0,($AX56)/($AU56),""),"")</f>
        <v/>
      </c>
      <c r="BB56" s="55">
        <f>SUMIFS(tblMiningDaily[Diesel_L],tblMiningDaily[Date],$A56)</f>
        <v/>
      </c>
      <c r="BC56" s="55">
        <f>IF($B56=$B55,$BC55,0)+$BB56</f>
        <v/>
      </c>
      <c r="BD56" s="55">
        <f>$BD55+$BB56</f>
        <v/>
      </c>
      <c r="BE56" s="55">
        <f>SUMIFS(tblMiningDaily[Dewatering_m3],tblMiningDaily[Date],$A56)</f>
        <v/>
      </c>
      <c r="BF56" s="55">
        <f>IF($B56=$B55,$BF55,0)+$BE56</f>
        <v/>
      </c>
      <c r="BG56" s="55">
        <f>$BG55+$BE56</f>
        <v/>
      </c>
      <c r="BH56" s="57">
        <f>SUMIFS(tblFleet[Calendar_h],tblFleet[Date],$A56,tblFleet[Equipment_Class],"Excavator")</f>
        <v/>
      </c>
      <c r="BI56" s="57">
        <f>IF($B56=$B55,$BI55,0)+$BH56</f>
        <v/>
      </c>
      <c r="BJ56" s="57">
        <f>$BJ55+$BH56</f>
        <v/>
      </c>
      <c r="BK56" s="57">
        <f>SUMIFS(tblFleet[Available_h],tblFleet[Date],$A56,tblFleet[Equipment_Class],"Excavator")</f>
        <v/>
      </c>
      <c r="BL56" s="57">
        <f>IF($B56=$B55,$BL55,0)+$BK56</f>
        <v/>
      </c>
      <c r="BM56" s="57">
        <f>$BM55+$BK56</f>
        <v/>
      </c>
      <c r="BN56" s="57">
        <f>SUMIFS(tblFleet[Operating_h],tblFleet[Date],$A56,tblFleet[Equipment_Class],"Excavator")</f>
        <v/>
      </c>
      <c r="BO56" s="57">
        <f>IF($B56=$B55,$BO55,0)+$BN56</f>
        <v/>
      </c>
      <c r="BP56" s="57">
        <f>$BP55+$BN56</f>
        <v/>
      </c>
      <c r="BQ56" s="67">
        <f>IFERROR(IF(($BH56)&gt;0,($BK56)/($BH56),""),"")</f>
        <v/>
      </c>
      <c r="BR56" s="67">
        <f>IFERROR(IF(($BI56)&gt;0,($BL56)/($BI56),""),"")</f>
        <v/>
      </c>
      <c r="BS56" s="67">
        <f>IFERROR(IF(($BJ56)&gt;0,($BM56)/($BJ56),""),"")</f>
        <v/>
      </c>
      <c r="BT56" s="67">
        <f>IFERROR(IF(($BK56)&gt;0,($BN56)/($BK56),""),"")</f>
        <v/>
      </c>
      <c r="BU56" s="67">
        <f>IFERROR(IF(($BL56)&gt;0,($BO56)/($BL56),""),"")</f>
        <v/>
      </c>
      <c r="BV56" s="67">
        <f>IFERROR(IF(($BM56)&gt;0,($BP56)/($BM56),""),"")</f>
        <v/>
      </c>
      <c r="BW56" s="57">
        <f>SUMIFS(tblFleet[Calendar_h],tblFleet[Date],$A56,tblFleet[Equipment_Class],"Haul Truck")</f>
        <v/>
      </c>
      <c r="BX56" s="57">
        <f>IF($B56=$B55,$BX55,0)+$BW56</f>
        <v/>
      </c>
      <c r="BY56" s="57">
        <f>$BY55+$BW56</f>
        <v/>
      </c>
      <c r="BZ56" s="57">
        <f>SUMIFS(tblFleet[Available_h],tblFleet[Date],$A56,tblFleet[Equipment_Class],"Haul Truck")</f>
        <v/>
      </c>
      <c r="CA56" s="57">
        <f>IF($B56=$B55,$CA55,0)+$BZ56</f>
        <v/>
      </c>
      <c r="CB56" s="57">
        <f>$CB55+$BZ56</f>
        <v/>
      </c>
      <c r="CC56" s="57">
        <f>SUMIFS(tblFleet[Operating_h],tblFleet[Date],$A56,tblFleet[Equipment_Class],"Haul Truck")</f>
        <v/>
      </c>
      <c r="CD56" s="57">
        <f>IF($B56=$B55,$CD55,0)+$CC56</f>
        <v/>
      </c>
      <c r="CE56" s="57">
        <f>$CE55+$CC56</f>
        <v/>
      </c>
      <c r="CF56" s="67">
        <f>IFERROR(IF(($BW56)&gt;0,($BZ56)/($BW56),""),"")</f>
        <v/>
      </c>
      <c r="CG56" s="67">
        <f>IFERROR(IF(($BX56)&gt;0,($CA56)/($BX56),""),"")</f>
        <v/>
      </c>
      <c r="CH56" s="67">
        <f>IFERROR(IF(($BY56)&gt;0,($CB56)/($BY56),""),"")</f>
        <v/>
      </c>
      <c r="CI56" s="67">
        <f>IFERROR(IF(($BZ56)&gt;0,($CC56)/($BZ56),""),"")</f>
        <v/>
      </c>
      <c r="CJ56" s="67">
        <f>IFERROR(IF(($CA56)&gt;0,($CD56)/($CA56),""),"")</f>
        <v/>
      </c>
      <c r="CK56" s="67">
        <f>IFERROR(IF(($CB56)&gt;0,($CE56)/($CB56),""),"")</f>
        <v/>
      </c>
      <c r="CL56" s="55">
        <f>IFERROR(IF(($BN56)&gt;0,($X56+$AD56)/($BN56),""),"")</f>
        <v/>
      </c>
      <c r="CM56" s="55">
        <f>IFERROR(IF(($BO56)&gt;0,($Y56+$AE56)/($BO56),""),"")</f>
        <v/>
      </c>
      <c r="CN56" s="55">
        <f>IFERROR(IF(($BP56)&gt;0,($Z56+$AF56)/($BP56),""),"")</f>
        <v/>
      </c>
      <c r="CO56" s="55">
        <f>IFERROR(IF(($CC56)&gt;0,($X56+$AD56)/($CC56),""),"")</f>
        <v/>
      </c>
      <c r="CP56" s="55">
        <f>IFERROR(IF(($CD56)&gt;0,($Y56+$AE56)/($CD56),""),"")</f>
        <v/>
      </c>
      <c r="CQ56" s="55">
        <f>IFERROR(IF(($CE56)&gt;0,($Z56+$AF56)/($CE56),""),"")</f>
        <v/>
      </c>
      <c r="CR56" s="55">
        <f>SUMIFS(tblPlant[Crushed_t],tblPlant[Date],$A56)</f>
        <v/>
      </c>
      <c r="CS56" s="55">
        <f>IF($B56=$B55,$CS55,0)+$CR56</f>
        <v/>
      </c>
      <c r="CT56" s="55">
        <f>$CT55+$CR56</f>
        <v/>
      </c>
      <c r="CU56" s="55">
        <f>SUMIFS(tblPlant[Milled_t],tblPlant[Date],$A56)</f>
        <v/>
      </c>
      <c r="CV56" s="55">
        <f>IF($B56=$B55,$CV55,0)+$CU56</f>
        <v/>
      </c>
      <c r="CW56" s="55">
        <f>$CW55+$CU56</f>
        <v/>
      </c>
      <c r="CX56" s="55">
        <f>SUMIFS(tblPlant[Feed_oz],tblPlant[Date],$A56)</f>
        <v/>
      </c>
      <c r="CY56" s="55">
        <f>IF($B56=$B55,$CY55,0)+$CX56</f>
        <v/>
      </c>
      <c r="CZ56" s="55">
        <f>$CZ55+$CX56</f>
        <v/>
      </c>
      <c r="DA56" s="55">
        <f>SUMIFS(tblPlant[Tails_oz],tblPlant[Date],$A56)</f>
        <v/>
      </c>
      <c r="DB56" s="55">
        <f>IF($B56=$B55,$DB55,0)+$DA56</f>
        <v/>
      </c>
      <c r="DC56" s="55">
        <f>$DC55+$DA56</f>
        <v/>
      </c>
      <c r="DD56" s="55">
        <f>SUMIFS(tblPlant[Recovered_oz],tblPlant[Date],$A56)</f>
        <v/>
      </c>
      <c r="DE56" s="55">
        <f>IF($B56=$B55,$DE55,0)+$DD56</f>
        <v/>
      </c>
      <c r="DF56" s="55">
        <f>$DF55+$DD56</f>
        <v/>
      </c>
      <c r="DG56" s="55">
        <f>SUMIFS(tblPlant[Milled_t],tblPlant[Date],$A56,tblPlant[Head_Grade_gpt],"&lt;&gt;")</f>
        <v/>
      </c>
      <c r="DH56" s="55">
        <f>IF($B56=$B55,$DH55,0)+$DG56</f>
        <v/>
      </c>
      <c r="DI56" s="55">
        <f>$DI55+$DG56</f>
        <v/>
      </c>
      <c r="DJ56" s="55">
        <f>SUMIFS(tblPlant[Milled_t],tblPlant[Date],$A56,tblPlant[Tails_Grade_gpt],"&lt;&gt;")</f>
        <v/>
      </c>
      <c r="DK56" s="55">
        <f>IF($B56=$B55,$DK55,0)+$DJ56</f>
        <v/>
      </c>
      <c r="DL56" s="55">
        <f>$DL55+$DJ56</f>
        <v/>
      </c>
      <c r="DM56" s="55">
        <f>SUMIFS(tblPlant[Feed_oz],tblPlant[Date],$A56,tblPlant[Tails_Grade_gpt],"&lt;&gt;")</f>
        <v/>
      </c>
      <c r="DN56" s="55">
        <f>IF($B56=$B55,$DN55,0)+$DM56</f>
        <v/>
      </c>
      <c r="DO56" s="55">
        <f>$DO55+$DM56</f>
        <v/>
      </c>
      <c r="DP56" s="55">
        <f>SUMIFS(tblPlant[Milled_t],tblPlant[Date],$A56,tblPlant[Mill_Run_h],"&lt;&gt;")</f>
        <v/>
      </c>
      <c r="DQ56" s="55">
        <f>IF($B56=$B55,$DQ55,0)+$DP56</f>
        <v/>
      </c>
      <c r="DR56" s="55">
        <f>$DR55+$DP56</f>
        <v/>
      </c>
      <c r="DS56" s="56">
        <f>IFERROR(IF(($DG56)&gt;0,($CX56*cfg_TroyOz)/($DG56),""),"")</f>
        <v/>
      </c>
      <c r="DT56" s="56">
        <f>IFERROR(IF(($DH56)&gt;0,($CY56*cfg_TroyOz)/($DH56),""),"")</f>
        <v/>
      </c>
      <c r="DU56" s="56">
        <f>IFERROR(IF(($DI56)&gt;0,($CZ56*cfg_TroyOz)/($DI56),""),"")</f>
        <v/>
      </c>
      <c r="DV56" s="56">
        <f>IFERROR(IF(($DJ56)&gt;0,($DA56*cfg_TroyOz)/($DJ56),""),"")</f>
        <v/>
      </c>
      <c r="DW56" s="56">
        <f>IFERROR(IF(($DK56)&gt;0,($DB56*cfg_TroyOz)/($DK56),""),"")</f>
        <v/>
      </c>
      <c r="DX56" s="56">
        <f>IFERROR(IF(($DL56)&gt;0,($DC56*cfg_TroyOz)/($DL56),""),"")</f>
        <v/>
      </c>
      <c r="DY56" s="67">
        <f>IFERROR(IF(($DM56)&gt;0,($DD56)/($DM56),""),"")</f>
        <v/>
      </c>
      <c r="DZ56" s="67">
        <f>IFERROR(IF(($DN56)&gt;0,($DE56)/($DN56),""),"")</f>
        <v/>
      </c>
      <c r="EA56" s="67">
        <f>IFERROR(IF(($DO56)&gt;0,($DF56)/($DO56),""),"")</f>
        <v/>
      </c>
      <c r="EB56" s="55">
        <f>SUMIFS(tblPlant[Gravity_Gold_oz],tblPlant[Date],$A56)</f>
        <v/>
      </c>
      <c r="EC56" s="55">
        <f>IF($B56=$B55,$EC55,0)+$EB56</f>
        <v/>
      </c>
      <c r="ED56" s="55">
        <f>$ED55+$EB56</f>
        <v/>
      </c>
      <c r="EE56" s="67">
        <f>IFERROR(IF(($DD56)&gt;0,($EB56)/($DD56),""),"")</f>
        <v/>
      </c>
      <c r="EF56" s="67">
        <f>IFERROR(IF(($DE56)&gt;0,($EC56)/($DE56),""),"")</f>
        <v/>
      </c>
      <c r="EG56" s="67">
        <f>IFERROR(IF(($DF56)&gt;0,($ED56)/($DF56),""),"")</f>
        <v/>
      </c>
      <c r="EH56" s="55">
        <f>SUMIFS(tblPlant[Gold_Poured_oz],tblPlant[Date],$A56)</f>
        <v/>
      </c>
      <c r="EI56" s="55">
        <f>IF($B56=$B55,$EI55,0)+$EH56</f>
        <v/>
      </c>
      <c r="EJ56" s="55">
        <f>$EJ55+$EH56</f>
        <v/>
      </c>
      <c r="EK56" s="57">
        <f>SUMIFS(tblPlant[Mill_Run_h],tblPlant[Date],$A56)</f>
        <v/>
      </c>
      <c r="EL56" s="57">
        <f>IF($B56=$B55,$EL55,0)+$EK56</f>
        <v/>
      </c>
      <c r="EM56" s="57">
        <f>$EM55+$EK56</f>
        <v/>
      </c>
      <c r="EN56" s="57">
        <f>SUMIFS(tblPlant[Mill_Planned_Maint_h],tblPlant[Date],$A56)</f>
        <v/>
      </c>
      <c r="EO56" s="57">
        <f>IF($B56=$B55,$EO55,0)+$EN56</f>
        <v/>
      </c>
      <c r="EP56" s="57">
        <f>$EP55+$EN56</f>
        <v/>
      </c>
      <c r="EQ56" s="57">
        <f>SUMIFS(tblPlant[Mill_Unplanned_Down_h],tblPlant[Date],$A56)</f>
        <v/>
      </c>
      <c r="ER56" s="57">
        <f>IF($B56=$B55,$ER55,0)+$EQ56</f>
        <v/>
      </c>
      <c r="ES56" s="57">
        <f>$ES55+$EQ56</f>
        <v/>
      </c>
      <c r="ET56" s="57">
        <f>IF(COUNTIFS(tblPlant[Date],$A56,tblPlant[Mill_Run_h],"&lt;&gt;")+COUNTIFS(tblPlant[Date],$A56,tblPlant[Mill_Planned_Maint_h],"&lt;&gt;")+COUNTIFS(tblPlant[Date],$A56,tblPlant[Mill_Unplanned_Down_h],"&lt;&gt;")&gt;0,cfg_HoursPerDay,0)</f>
        <v/>
      </c>
      <c r="EU56" s="57">
        <f>IF($B56=$B55,$EU55,0)+$ET56</f>
        <v/>
      </c>
      <c r="EV56" s="57">
        <f>$EV55+$ET56</f>
        <v/>
      </c>
      <c r="EW56" s="57">
        <f>SUMIFS(tblPlant[Crusher_Run_h],tblPlant[Date],$A56)</f>
        <v/>
      </c>
      <c r="EX56" s="57">
        <f>IF($B56=$B55,$EX55,0)+$EW56</f>
        <v/>
      </c>
      <c r="EY56" s="57">
        <f>$EY55+$EW56</f>
        <v/>
      </c>
      <c r="EZ56" s="55">
        <f>IFERROR(IF(($EK56)&gt;0,($DP56)/($EK56),""),"")</f>
        <v/>
      </c>
      <c r="FA56" s="55">
        <f>IFERROR(IF(($EL56)&gt;0,($DQ56)/($EL56),""),"")</f>
        <v/>
      </c>
      <c r="FB56" s="55">
        <f>IFERROR(IF(($EM56)&gt;0,($DR56)/($EM56),""),"")</f>
        <v/>
      </c>
      <c r="FC56" s="67">
        <f>IFERROR(IF(($ET56)&gt;0,($ET56-$EN56-$EQ56)/($ET56),""),"")</f>
        <v/>
      </c>
      <c r="FD56" s="67">
        <f>IFERROR(IF(($EU56)&gt;0,($EU56-$EO56-$ER56)/($EU56),""),"")</f>
        <v/>
      </c>
      <c r="FE56" s="67">
        <f>IFERROR(IF(($EV56)&gt;0,($EV56-$EP56-$ES56)/($EV56),""),"")</f>
        <v/>
      </c>
      <c r="FF56" s="67">
        <f>IFERROR(IF(($ET56-$EN56-$EQ56)&gt;0,($EK56)/($ET56-$EN56-$EQ56),""),"")</f>
        <v/>
      </c>
      <c r="FG56" s="67">
        <f>IFERROR(IF(($EU56-$EO56-$ER56)&gt;0,($EL56)/($EU56-$EO56-$ER56),""),"")</f>
        <v/>
      </c>
      <c r="FH56" s="67">
        <f>IFERROR(IF(($EV56-$EP56-$ES56)&gt;0,($EM56)/($EV56-$EP56-$ES56),""),"")</f>
        <v/>
      </c>
      <c r="FI56" s="55">
        <f>SUMIFS(tblPlant[Cyanide_kg],tblPlant[Date],$A56)</f>
        <v/>
      </c>
      <c r="FJ56" s="55">
        <f>IF($B56=$B55,$FJ55,0)+$FI56</f>
        <v/>
      </c>
      <c r="FK56" s="55">
        <f>$FK55+$FI56</f>
        <v/>
      </c>
      <c r="FL56" s="55">
        <f>SUMIFS(tblPlant[Lime_kg],tblPlant[Date],$A56)</f>
        <v/>
      </c>
      <c r="FM56" s="55">
        <f>IF($B56=$B55,$FM55,0)+$FL56</f>
        <v/>
      </c>
      <c r="FN56" s="55">
        <f>$FN55+$FL56</f>
        <v/>
      </c>
      <c r="FO56" s="55">
        <f>SUMIFS(tblPlant[Grinding_Media_kg],tblPlant[Date],$A56)</f>
        <v/>
      </c>
      <c r="FP56" s="55">
        <f>IF($B56=$B55,$FP55,0)+$FO56</f>
        <v/>
      </c>
      <c r="FQ56" s="55">
        <f>$FQ55+$FO56</f>
        <v/>
      </c>
      <c r="FR56" s="55">
        <f>SUMIFS(tblPlant[Power_kWh],tblPlant[Date],$A56)</f>
        <v/>
      </c>
      <c r="FS56" s="55">
        <f>IF($B56=$B55,$FS55,0)+$FR56</f>
        <v/>
      </c>
      <c r="FT56" s="55">
        <f>$FT55+$FR56</f>
        <v/>
      </c>
      <c r="FU56" s="55">
        <f>SUMIFS(tblPlant[Raw_Water_m3],tblPlant[Date],$A56)</f>
        <v/>
      </c>
      <c r="FV56" s="55">
        <f>IF($B56=$B55,$FV55,0)+$FU56</f>
        <v/>
      </c>
      <c r="FW56" s="55">
        <f>$FW55+$FU56</f>
        <v/>
      </c>
      <c r="FX56" s="56">
        <f>IFERROR(IF(($CU56)&gt;0,($FI56)/($CU56),""),"")</f>
        <v/>
      </c>
      <c r="FY56" s="56">
        <f>IFERROR(IF(($CV56)&gt;0,($FJ56)/($CV56),""),"")</f>
        <v/>
      </c>
      <c r="FZ56" s="56">
        <f>IFERROR(IF(($CW56)&gt;0,($FK56)/($CW56),""),"")</f>
        <v/>
      </c>
      <c r="GA56" s="56">
        <f>IFERROR(IF(($CU56)&gt;0,($FL56)/($CU56),""),"")</f>
        <v/>
      </c>
      <c r="GB56" s="56">
        <f>IFERROR(IF(($CV56)&gt;0,($FM56)/($CV56),""),"")</f>
        <v/>
      </c>
      <c r="GC56" s="56">
        <f>IFERROR(IF(($CW56)&gt;0,($FN56)/($CW56),""),"")</f>
        <v/>
      </c>
      <c r="GD56" s="56">
        <f>IFERROR(IF(($CU56)&gt;0,($FO56)/($CU56),""),"")</f>
        <v/>
      </c>
      <c r="GE56" s="56">
        <f>IFERROR(IF(($CV56)&gt;0,($FP56)/($CV56),""),"")</f>
        <v/>
      </c>
      <c r="GF56" s="56">
        <f>IFERROR(IF(($CW56)&gt;0,($FQ56)/($CW56),""),"")</f>
        <v/>
      </c>
      <c r="GG56" s="79">
        <f>IFERROR(IF(($CU56)&gt;0,($FR56)/($CU56),""),"")</f>
        <v/>
      </c>
      <c r="GH56" s="79">
        <f>IFERROR(IF(($CV56)&gt;0,($FS56)/($CV56),""),"")</f>
        <v/>
      </c>
      <c r="GI56" s="79">
        <f>IFERROR(IF(($CW56)&gt;0,($FT56)/($CW56),""),"")</f>
        <v/>
      </c>
      <c r="GJ56" s="56">
        <f>IFERROR(IF(($CU56)&gt;0,($FU56)/($CU56),""),"")</f>
        <v/>
      </c>
      <c r="GK56" s="56">
        <f>IFERROR(IF(($CV56)&gt;0,($FV56)/($CV56),""),"")</f>
        <v/>
      </c>
      <c r="GL56" s="56">
        <f>IFERROR(IF(($CW56)&gt;0,($FW56)/($CW56),""),"")</f>
        <v/>
      </c>
      <c r="GM56" s="55">
        <f>IF(SUMIFS(tblPlant[GIC_oz],tblPlant[Date],$A56)&gt;0,SUMIFS(tblPlant[GIC_oz],tblPlant[Date],$A56),"")</f>
        <v/>
      </c>
      <c r="GN56" s="55">
        <f>SUMIFS(tblGold[Gold_oz],tblGold[Date],$A56,tblGold[Type],"Shipment")</f>
        <v/>
      </c>
      <c r="GO56" s="55">
        <f>IF($B56=$B55,$GO55,0)+$GN56</f>
        <v/>
      </c>
      <c r="GP56" s="55">
        <f>$GP55+$GN56</f>
        <v/>
      </c>
      <c r="GQ56" s="55">
        <f>SUMIFS(tblGold[Gold_oz],tblGold[Date],$A56,tblGold[Type],"Sale")</f>
        <v/>
      </c>
      <c r="GR56" s="55">
        <f>IF($B56=$B55,$GR55,0)+$GQ56</f>
        <v/>
      </c>
      <c r="GS56" s="55">
        <f>$GS55+$GQ56</f>
        <v/>
      </c>
      <c r="GT56" s="55">
        <f>SUMIFS(tblGold[Dore_kg],tblGold[Date],$A56,tblGold[Type],"Shipment")</f>
        <v/>
      </c>
      <c r="GU56" s="55">
        <f>IF($B56=$B55,$GU55,0)+$GT56</f>
        <v/>
      </c>
      <c r="GV56" s="55">
        <f>$GV55+$GT56</f>
        <v/>
      </c>
      <c r="GW56" s="57">
        <f>SUMIFS(tblSafety[Hours_Total],tblSafety[Date],$A56)</f>
        <v/>
      </c>
      <c r="GX56" s="57">
        <f>IF($B56=$B55,$GX55,0)+$GW56</f>
        <v/>
      </c>
      <c r="GY56" s="57">
        <f>$GY55+$GW56</f>
        <v/>
      </c>
      <c r="GZ56" s="62">
        <f>SUMIFS(tblSafety[Fatality],tblSafety[Date],$A56)</f>
        <v/>
      </c>
      <c r="HA56" s="62">
        <f>IF($B56=$B55,$HA55,0)+$GZ56</f>
        <v/>
      </c>
      <c r="HB56" s="62">
        <f>$HB55+$GZ56</f>
        <v/>
      </c>
      <c r="HC56" s="62">
        <f>SUMIFS(tblSafety[LTI],tblSafety[Date],$A56)</f>
        <v/>
      </c>
      <c r="HD56" s="62">
        <f>IF($B56=$B55,$HD55,0)+$HC56</f>
        <v/>
      </c>
      <c r="HE56" s="62">
        <f>$HE55+$HC56</f>
        <v/>
      </c>
      <c r="HF56" s="62">
        <f>SUMIFS(tblSafety[RWI],tblSafety[Date],$A56)</f>
        <v/>
      </c>
      <c r="HG56" s="62">
        <f>IF($B56=$B55,$HG55,0)+$HF56</f>
        <v/>
      </c>
      <c r="HH56" s="62">
        <f>$HH55+$HF56</f>
        <v/>
      </c>
      <c r="HI56" s="62">
        <f>SUMIFS(tblSafety[MTI],tblSafety[Date],$A56)</f>
        <v/>
      </c>
      <c r="HJ56" s="62">
        <f>IF($B56=$B55,$HJ55,0)+$HI56</f>
        <v/>
      </c>
      <c r="HK56" s="62">
        <f>$HK55+$HI56</f>
        <v/>
      </c>
      <c r="HL56" s="62">
        <f>SUMIFS(tblSafety[FAI],tblSafety[Date],$A56)</f>
        <v/>
      </c>
      <c r="HM56" s="62">
        <f>IF($B56=$B55,$HM55,0)+$HL56</f>
        <v/>
      </c>
      <c r="HN56" s="62">
        <f>$HN55+$HL56</f>
        <v/>
      </c>
      <c r="HO56" s="62">
        <f>SUMIFS(tblSafety[Recordables],tblSafety[Date],$A56)</f>
        <v/>
      </c>
      <c r="HP56" s="62">
        <f>IF($B56=$B55,$HP55,0)+$HO56</f>
        <v/>
      </c>
      <c r="HQ56" s="62">
        <f>$HQ55+$HO56</f>
        <v/>
      </c>
      <c r="HR56" s="62">
        <f>SUMIFS(tblSafety[Near_Miss],tblSafety[Date],$A56)</f>
        <v/>
      </c>
      <c r="HS56" s="62">
        <f>IF($B56=$B55,$HS55,0)+$HR56</f>
        <v/>
      </c>
      <c r="HT56" s="62">
        <f>$HT55+$HR56</f>
        <v/>
      </c>
      <c r="HU56" s="62">
        <f>SUMIFS(tblSafety[Hazard_Reports],tblSafety[Date],$A56)</f>
        <v/>
      </c>
      <c r="HV56" s="62">
        <f>IF($B56=$B55,$HV55,0)+$HU56</f>
        <v/>
      </c>
      <c r="HW56" s="62">
        <f>$HW55+$HU56</f>
        <v/>
      </c>
      <c r="HX56" s="62">
        <f>SUMIFS(tblSafety[HPI],tblSafety[Date],$A56)</f>
        <v/>
      </c>
      <c r="HY56" s="62">
        <f>IF($B56=$B55,$HY55,0)+$HX56</f>
        <v/>
      </c>
      <c r="HZ56" s="62">
        <f>$HZ55+$HX56</f>
        <v/>
      </c>
      <c r="IA56" s="62">
        <f>SUMIFS(tblSafety[Env_Incidents],tblSafety[Date],$A56)</f>
        <v/>
      </c>
      <c r="IB56" s="62">
        <f>IF($B56=$B55,$IB55,0)+$IA56</f>
        <v/>
      </c>
      <c r="IC56" s="62">
        <f>$IC55+$IA56</f>
        <v/>
      </c>
      <c r="ID56" s="62">
        <f>SUMIFS(tblSafety[Community_Incidents],tblSafety[Date],$A56)</f>
        <v/>
      </c>
      <c r="IE56" s="62">
        <f>IF($B56=$B55,$IE55,0)+$ID56</f>
        <v/>
      </c>
      <c r="IF56" s="62">
        <f>$IF55+$ID56</f>
        <v/>
      </c>
      <c r="IG56" s="62">
        <f>SUMIFS(tblSafety[Vehicle_Incidents],tblSafety[Date],$A56)</f>
        <v/>
      </c>
      <c r="IH56" s="62">
        <f>IF($B56=$B55,$IH55,0)+$IG56</f>
        <v/>
      </c>
      <c r="II56" s="62">
        <f>$II55+$IG56</f>
        <v/>
      </c>
      <c r="IJ56" s="62">
        <f>SUMIFS(tblSafety[Toolbox_Talks],tblSafety[Date],$A56)</f>
        <v/>
      </c>
      <c r="IK56" s="62">
        <f>IF($B56=$B55,$IK55,0)+$IJ56</f>
        <v/>
      </c>
      <c r="IL56" s="62">
        <f>$IL55+$IJ56</f>
        <v/>
      </c>
      <c r="IM56" s="62">
        <f>SUMIFS(tblSafety[Inspections],tblSafety[Date],$A56)</f>
        <v/>
      </c>
      <c r="IN56" s="62">
        <f>IF($B56=$B55,$IN55,0)+$IM56</f>
        <v/>
      </c>
      <c r="IO56" s="62">
        <f>$IO55+$IM56</f>
        <v/>
      </c>
      <c r="IP56" s="56">
        <f>IFERROR((SUMIFS(tblSafety[Recordables],tblSafety[Date],"&gt;="&amp;EDATE($E56,-12),tblSafety[Date],"&lt;="&amp;$A56)+SUMIFS(tblSafetyHistory[Recordables],tblSafetyHistory[Month],"&gt;="&amp;EDATE($E56,-12),tblSafetyHistory[Month],"&lt;"&amp;$E56,tblSafetyHistory[Use],1))/(SUMIFS(tblSafety[Hours_Total],tblSafety[Date],"&gt;="&amp;EDATE($E56,-12),tblSafety[Date],"&lt;="&amp;$A56)+SUMIFS(tblSafetyHistory[Hours_Total],tblSafetyHistory[Month],"&gt;="&amp;EDATE($E56,-12),tblSafetyHistory[Month],"&lt;"&amp;$E56,tblSafetyHistory[Use],1))*cfg_RateBasisHours,"")</f>
        <v/>
      </c>
      <c r="IQ56" s="56">
        <f>IFERROR((SUMIFS(tblSafety[LTI],tblSafety[Date],"&gt;="&amp;EDATE($E56,-12),tblSafety[Date],"&lt;="&amp;$A56)+SUMIFS(tblSafetyHistory[LTI],tblSafetyHistory[Month],"&gt;="&amp;EDATE($E56,-12),tblSafetyHistory[Month],"&lt;"&amp;$E56,tblSafetyHistory[Use],1))/(SUMIFS(tblSafety[Hours_Total],tblSafety[Date],"&gt;="&amp;EDATE($E56,-12),tblSafety[Date],"&lt;="&amp;$A56)+SUMIFS(tblSafetyHistory[Hours_Total],tblSafetyHistory[Month],"&gt;="&amp;EDATE($E56,-12),tblSafetyHistory[Month],"&lt;"&amp;$E56,tblSafetyHistory[Use],1))*cfg_RateBasisHours,"")</f>
        <v/>
      </c>
      <c r="IR56" s="62">
        <f>IF(MAX(N(cfg_PriorLTIDate),_xlfn.MAXIFS(tblSafety[Date],tblSafety[LTI],"&gt;0",tblSafety[Date],"&lt;="&amp;$A56))=0,"",$A56-MAX(N(cfg_PriorLTIDate),_xlfn.MAXIFS(tblSafety[Date],tblSafety[LTI],"&gt;0",tblSafety[Date],"&lt;="&amp;$A56)))</f>
        <v/>
      </c>
      <c r="IS56" s="55">
        <f>SUMIFS(tblBudget[Ore_Mined_t],tblBudget[Month],$E56)</f>
        <v/>
      </c>
      <c r="IT56" s="55">
        <f>$IS56*$C56/$D56</f>
        <v/>
      </c>
      <c r="IU56" s="55">
        <f>SUMIFS(tblBudget[Ore_Mined_t],tblBudget[Month],"&lt;"&amp;$E56)+$IT56</f>
        <v/>
      </c>
      <c r="IV56" s="55">
        <f>SUMIFS(tblBudget[Ore_oz],tblBudget[Month],$E56)</f>
        <v/>
      </c>
      <c r="IW56" s="55">
        <f>$IV56*$C56/$D56</f>
        <v/>
      </c>
      <c r="IX56" s="55">
        <f>SUMIFS(tblBudget[Ore_oz],tblBudget[Month],"&lt;"&amp;$E56)+$IW56</f>
        <v/>
      </c>
      <c r="IY56" s="55">
        <f>SUMIFS(tblBudget[Ore_Mined_t],tblBudget[Month],$E56)</f>
        <v/>
      </c>
      <c r="IZ56" s="55">
        <f>$IY56*$C56/$D56</f>
        <v/>
      </c>
      <c r="JA56" s="55">
        <f>SUMIFS(tblBudget[Ore_Mined_t],tblBudget[Month],"&lt;"&amp;$E56)+$IZ56</f>
        <v/>
      </c>
      <c r="JB56" s="56">
        <f>IFERROR(IF(($IY56)&gt;0,($IV56*cfg_TroyOz)/($IY56),""),"")</f>
        <v/>
      </c>
      <c r="JC56" s="56">
        <f>IFERROR(IF(($IZ56)&gt;0,($IW56*cfg_TroyOz)/($IZ56),""),"")</f>
        <v/>
      </c>
      <c r="JD56" s="56">
        <f>IFERROR(IF(($JA56)&gt;0,($IX56*cfg_TroyOz)/($JA56),""),"")</f>
        <v/>
      </c>
      <c r="JE56" s="55">
        <f>SUMIFS(tblBudget[Waste_t],tblBudget[Month],$E56)</f>
        <v/>
      </c>
      <c r="JF56" s="55">
        <f>$JE56*$C56/$D56</f>
        <v/>
      </c>
      <c r="JG56" s="55">
        <f>SUMIFS(tblBudget[Waste_t],tblBudget[Month],"&lt;"&amp;$E56)+$JF56</f>
        <v/>
      </c>
      <c r="JH56" s="55">
        <f>SUMIFS(tblBudget[TMM_t],tblBudget[Month],$E56)</f>
        <v/>
      </c>
      <c r="JI56" s="55">
        <f>$JH56*$C56/$D56</f>
        <v/>
      </c>
      <c r="JJ56" s="55">
        <f>SUMIFS(tblBudget[TMM_t],tblBudget[Month],"&lt;"&amp;$E56)+$JI56</f>
        <v/>
      </c>
      <c r="JK56" s="56">
        <f>IFERROR(IF(($IS56)&gt;0,($JE56)/($IS56),""),"")</f>
        <v/>
      </c>
      <c r="JL56" s="56">
        <f>IFERROR(IF(($IT56)&gt;0,($JF56)/($IT56),""),"")</f>
        <v/>
      </c>
      <c r="JM56" s="56">
        <f>IFERROR(IF(($IU56)&gt;0,($JG56)/($IU56),""),"")</f>
        <v/>
      </c>
      <c r="JN56" s="55">
        <f>SUMIFS(tblBudget[Drill_m],tblBudget[Month],$E56)</f>
        <v/>
      </c>
      <c r="JO56" s="55">
        <f>$JN56*$C56/$D56</f>
        <v/>
      </c>
      <c r="JP56" s="55">
        <f>SUMIFS(tblBudget[Drill_m],tblBudget[Month],"&lt;"&amp;$E56)+$JO56</f>
        <v/>
      </c>
      <c r="JQ56" s="55">
        <f>SUMIFS(tblBudget[Diesel_L],tblBudget[Month],$E56)</f>
        <v/>
      </c>
      <c r="JR56" s="55">
        <f>$JQ56*$C56/$D56</f>
        <v/>
      </c>
      <c r="JS56" s="55">
        <f>SUMIFS(tblBudget[Diesel_L],tblBudget[Month],"&lt;"&amp;$E56)+$JR56</f>
        <v/>
      </c>
      <c r="JT56" s="55">
        <f>SUMIFS(tblBudget[Milled_t],tblBudget[Month],$E56)</f>
        <v/>
      </c>
      <c r="JU56" s="55">
        <f>$JT56*$C56/$D56</f>
        <v/>
      </c>
      <c r="JV56" s="55">
        <f>SUMIFS(tblBudget[Milled_t],tblBudget[Month],"&lt;"&amp;$E56)+$JU56</f>
        <v/>
      </c>
      <c r="JW56" s="55">
        <f>SUMIFS(tblBudget[Feed_oz],tblBudget[Month],$E56)</f>
        <v/>
      </c>
      <c r="JX56" s="55">
        <f>$JW56*$C56/$D56</f>
        <v/>
      </c>
      <c r="JY56" s="55">
        <f>SUMIFS(tblBudget[Feed_oz],tblBudget[Month],"&lt;"&amp;$E56)+$JX56</f>
        <v/>
      </c>
      <c r="JZ56" s="55">
        <f>SUMIFS(tblBudget[Recovered_oz],tblBudget[Month],$E56)</f>
        <v/>
      </c>
      <c r="KA56" s="55">
        <f>$JZ56*$C56/$D56</f>
        <v/>
      </c>
      <c r="KB56" s="55">
        <f>SUMIFS(tblBudget[Recovered_oz],tblBudget[Month],"&lt;"&amp;$E56)+$KA56</f>
        <v/>
      </c>
      <c r="KC56" s="55">
        <f>SUMIFS(tblBudget[Milled_t],tblBudget[Month],$E56)</f>
        <v/>
      </c>
      <c r="KD56" s="55">
        <f>$KC56*$C56/$D56</f>
        <v/>
      </c>
      <c r="KE56" s="55">
        <f>SUMIFS(tblBudget[Milled_t],tblBudget[Month],"&lt;"&amp;$E56)+$KD56</f>
        <v/>
      </c>
      <c r="KF56" s="55">
        <f>SUMIFS(tblBudget[Feed_oz],tblBudget[Month],$E56)</f>
        <v/>
      </c>
      <c r="KG56" s="55">
        <f>$KF56*$C56/$D56</f>
        <v/>
      </c>
      <c r="KH56" s="55">
        <f>SUMIFS(tblBudget[Feed_oz],tblBudget[Month],"&lt;"&amp;$E56)+$KG56</f>
        <v/>
      </c>
      <c r="KI56" s="56">
        <f>IFERROR(IF(($KC56)&gt;0,($JW56*cfg_TroyOz)/($KC56),""),"")</f>
        <v/>
      </c>
      <c r="KJ56" s="56">
        <f>IFERROR(IF(($KD56)&gt;0,($JX56*cfg_TroyOz)/($KD56),""),"")</f>
        <v/>
      </c>
      <c r="KK56" s="56">
        <f>IFERROR(IF(($KE56)&gt;0,($JY56*cfg_TroyOz)/($KE56),""),"")</f>
        <v/>
      </c>
      <c r="KL56" s="67">
        <f>IFERROR(IF(($KF56)&gt;0,($JZ56)/($KF56),""),"")</f>
        <v/>
      </c>
      <c r="KM56" s="67">
        <f>IFERROR(IF(($KG56)&gt;0,($KA56)/($KG56),""),"")</f>
        <v/>
      </c>
      <c r="KN56" s="67">
        <f>IFERROR(IF(($KH56)&gt;0,($KB56)/($KH56),""),"")</f>
        <v/>
      </c>
      <c r="KO56" s="55">
        <f>SUMIFS(tblBudget[Gold_Poured_oz],tblBudget[Month],$E56)</f>
        <v/>
      </c>
      <c r="KP56" s="55">
        <f>$KO56*$C56/$D56</f>
        <v/>
      </c>
      <c r="KQ56" s="55">
        <f>SUMIFS(tblBudget[Gold_Poured_oz],tblBudget[Month],"&lt;"&amp;$E56)+$KP56</f>
        <v/>
      </c>
      <c r="KR56" s="57">
        <f>SUMIFS(tblBudget[Hours_Worked],tblBudget[Month],$E56)</f>
        <v/>
      </c>
      <c r="KS56" s="57">
        <f>$KR56*$C56/$D56</f>
        <v/>
      </c>
      <c r="KT56" s="57">
        <f>SUMIFS(tblBudget[Hours_Worked],tblBudget[Month],"&lt;"&amp;$E56)+$KS56</f>
        <v/>
      </c>
    </row>
    <row r="57">
      <c r="A57" s="54" t="n">
        <v>46078</v>
      </c>
      <c r="B57">
        <f>MONTH($A57)</f>
        <v/>
      </c>
      <c r="C57">
        <f>DAY($A57)</f>
        <v/>
      </c>
      <c r="D57">
        <f>DAY(EOMONTH($A57,0))</f>
        <v/>
      </c>
      <c r="E57" s="54">
        <f>DATE(YEAR($A57),MONTH($A57),1)</f>
        <v/>
      </c>
      <c r="F57" s="55">
        <f>SUMIFS(tblMovement[Tonnes_t],tblMovement[Date],$A57,tblMovement[Is_Ore],1,tblMovement[Source_Type],"Pit")</f>
        <v/>
      </c>
      <c r="G57" s="55">
        <f>IF($B57=$B56,$G56,0)+$F57</f>
        <v/>
      </c>
      <c r="H57" s="55">
        <f>$H56+$F57</f>
        <v/>
      </c>
      <c r="I57" s="55">
        <f>SUMIFS(tblMovement[Ore_oz],tblMovement[Date],$A57,tblMovement[Source_Type],"Pit")</f>
        <v/>
      </c>
      <c r="J57" s="55">
        <f>IF($B57=$B56,$J56,0)+$I57</f>
        <v/>
      </c>
      <c r="K57" s="55">
        <f>$K56+$I57</f>
        <v/>
      </c>
      <c r="L57" s="55">
        <f>SUMIFS(tblMovement[Tonnes_t],tblMovement[Date],$A57,tblMovement[Is_Ore],1,tblMovement[Source_Type],"Pit",tblMovement[Grade_gpt],"&lt;&gt;")</f>
        <v/>
      </c>
      <c r="M57" s="55">
        <f>IF($B57=$B56,$M56,0)+$L57</f>
        <v/>
      </c>
      <c r="N57" s="55">
        <f>$N56+$L57</f>
        <v/>
      </c>
      <c r="O57" s="56">
        <f>IFERROR(IF(($L57)&gt;0,($I57*cfg_TroyOz)/($L57),""),"")</f>
        <v/>
      </c>
      <c r="P57" s="56">
        <f>IFERROR(IF(($M57)&gt;0,($J57*cfg_TroyOz)/($M57),""),"")</f>
        <v/>
      </c>
      <c r="Q57" s="56">
        <f>IFERROR(IF(($N57)&gt;0,($K57*cfg_TroyOz)/($N57),""),"")</f>
        <v/>
      </c>
      <c r="R57" s="55">
        <f>$F57-$L57</f>
        <v/>
      </c>
      <c r="S57" s="55">
        <f>IF($B57=$B56,$S56,0)+$R57</f>
        <v/>
      </c>
      <c r="T57" s="55">
        <f>$T56+$R57</f>
        <v/>
      </c>
      <c r="U57" s="55">
        <f>SUMIFS(tblMovement[Tonnes_t],tblMovement[Date],$A57,tblMovement[Is_Ore],0,tblMovement[Source_Type],"Pit")</f>
        <v/>
      </c>
      <c r="V57" s="55">
        <f>IF($B57=$B56,$V56,0)+$U57</f>
        <v/>
      </c>
      <c r="W57" s="55">
        <f>$W56+$U57</f>
        <v/>
      </c>
      <c r="X57" s="55">
        <f>$F57+$U57</f>
        <v/>
      </c>
      <c r="Y57" s="55">
        <f>IF($B57=$B56,$Y56,0)+$X57</f>
        <v/>
      </c>
      <c r="Z57" s="55">
        <f>$Z56+$X57</f>
        <v/>
      </c>
      <c r="AA57" s="56">
        <f>IFERROR(IF(($F57)&gt;0,($U57)/($F57),""),"")</f>
        <v/>
      </c>
      <c r="AB57" s="56">
        <f>IFERROR(IF(($G57)&gt;0,($V57)/($G57),""),"")</f>
        <v/>
      </c>
      <c r="AC57" s="56">
        <f>IFERROR(IF(($H57)&gt;0,($W57)/($H57),""),"")</f>
        <v/>
      </c>
      <c r="AD57" s="55">
        <f>SUMIFS(tblMovement[Tonnes_t],tblMovement[Date],$A57,tblMovement[Source_Type],"Stockpile")</f>
        <v/>
      </c>
      <c r="AE57" s="55">
        <f>IF($B57=$B56,$AE56,0)+$AD57</f>
        <v/>
      </c>
      <c r="AF57" s="55">
        <f>$AF56+$AD57</f>
        <v/>
      </c>
      <c r="AG57" s="55">
        <f>SUMIFS(tblMovement[Tonnes_t],tblMovement[Date],$A57)</f>
        <v/>
      </c>
      <c r="AH57" s="55">
        <f>IF($B57=$B56,$AH56,0)+$AG57</f>
        <v/>
      </c>
      <c r="AI57" s="55">
        <f>$AI56+$AG57</f>
        <v/>
      </c>
      <c r="AJ57" s="55">
        <f>$AG57-$X57-$AD57</f>
        <v/>
      </c>
      <c r="AK57" s="55">
        <f>IF($B57=$B56,$AK56,0)+$AJ57</f>
        <v/>
      </c>
      <c r="AL57" s="55">
        <f>$AL56+$AJ57</f>
        <v/>
      </c>
      <c r="AM57" s="55">
        <f>SUMIFS(tblMiningDaily[Drill_m],tblMiningDaily[Date],$A57)</f>
        <v/>
      </c>
      <c r="AN57" s="55">
        <f>IF($B57=$B56,$AN56,0)+$AM57</f>
        <v/>
      </c>
      <c r="AO57" s="55">
        <f>$AO56+$AM57</f>
        <v/>
      </c>
      <c r="AP57" s="55">
        <f>SUMIFS(tblMiningDaily[GC_Drill_m],tblMiningDaily[Date],$A57)</f>
        <v/>
      </c>
      <c r="AQ57" s="55">
        <f>IF($B57=$B56,$AQ56,0)+$AP57</f>
        <v/>
      </c>
      <c r="AR57" s="55">
        <f>$AR56+$AP57</f>
        <v/>
      </c>
      <c r="AS57" s="55">
        <f>SUMIFS(tblMiningDaily[Blast_t],tblMiningDaily[Date],$A57)</f>
        <v/>
      </c>
      <c r="AT57" s="55">
        <f>IF($B57=$B56,$AT56,0)+$AS57</f>
        <v/>
      </c>
      <c r="AU57" s="55">
        <f>$AU56+$AS57</f>
        <v/>
      </c>
      <c r="AV57" s="55">
        <f>SUMIFS(tblMiningDaily[Explosives_kg],tblMiningDaily[Date],$A57)</f>
        <v/>
      </c>
      <c r="AW57" s="55">
        <f>IF($B57=$B56,$AW56,0)+$AV57</f>
        <v/>
      </c>
      <c r="AX57" s="55">
        <f>$AX56+$AV57</f>
        <v/>
      </c>
      <c r="AY57" s="56">
        <f>IFERROR(IF(($AS57)&gt;0,($AV57)/($AS57),""),"")</f>
        <v/>
      </c>
      <c r="AZ57" s="56">
        <f>IFERROR(IF(($AT57)&gt;0,($AW57)/($AT57),""),"")</f>
        <v/>
      </c>
      <c r="BA57" s="56">
        <f>IFERROR(IF(($AU57)&gt;0,($AX57)/($AU57),""),"")</f>
        <v/>
      </c>
      <c r="BB57" s="55">
        <f>SUMIFS(tblMiningDaily[Diesel_L],tblMiningDaily[Date],$A57)</f>
        <v/>
      </c>
      <c r="BC57" s="55">
        <f>IF($B57=$B56,$BC56,0)+$BB57</f>
        <v/>
      </c>
      <c r="BD57" s="55">
        <f>$BD56+$BB57</f>
        <v/>
      </c>
      <c r="BE57" s="55">
        <f>SUMIFS(tblMiningDaily[Dewatering_m3],tblMiningDaily[Date],$A57)</f>
        <v/>
      </c>
      <c r="BF57" s="55">
        <f>IF($B57=$B56,$BF56,0)+$BE57</f>
        <v/>
      </c>
      <c r="BG57" s="55">
        <f>$BG56+$BE57</f>
        <v/>
      </c>
      <c r="BH57" s="57">
        <f>SUMIFS(tblFleet[Calendar_h],tblFleet[Date],$A57,tblFleet[Equipment_Class],"Excavator")</f>
        <v/>
      </c>
      <c r="BI57" s="57">
        <f>IF($B57=$B56,$BI56,0)+$BH57</f>
        <v/>
      </c>
      <c r="BJ57" s="57">
        <f>$BJ56+$BH57</f>
        <v/>
      </c>
      <c r="BK57" s="57">
        <f>SUMIFS(tblFleet[Available_h],tblFleet[Date],$A57,tblFleet[Equipment_Class],"Excavator")</f>
        <v/>
      </c>
      <c r="BL57" s="57">
        <f>IF($B57=$B56,$BL56,0)+$BK57</f>
        <v/>
      </c>
      <c r="BM57" s="57">
        <f>$BM56+$BK57</f>
        <v/>
      </c>
      <c r="BN57" s="57">
        <f>SUMIFS(tblFleet[Operating_h],tblFleet[Date],$A57,tblFleet[Equipment_Class],"Excavator")</f>
        <v/>
      </c>
      <c r="BO57" s="57">
        <f>IF($B57=$B56,$BO56,0)+$BN57</f>
        <v/>
      </c>
      <c r="BP57" s="57">
        <f>$BP56+$BN57</f>
        <v/>
      </c>
      <c r="BQ57" s="67">
        <f>IFERROR(IF(($BH57)&gt;0,($BK57)/($BH57),""),"")</f>
        <v/>
      </c>
      <c r="BR57" s="67">
        <f>IFERROR(IF(($BI57)&gt;0,($BL57)/($BI57),""),"")</f>
        <v/>
      </c>
      <c r="BS57" s="67">
        <f>IFERROR(IF(($BJ57)&gt;0,($BM57)/($BJ57),""),"")</f>
        <v/>
      </c>
      <c r="BT57" s="67">
        <f>IFERROR(IF(($BK57)&gt;0,($BN57)/($BK57),""),"")</f>
        <v/>
      </c>
      <c r="BU57" s="67">
        <f>IFERROR(IF(($BL57)&gt;0,($BO57)/($BL57),""),"")</f>
        <v/>
      </c>
      <c r="BV57" s="67">
        <f>IFERROR(IF(($BM57)&gt;0,($BP57)/($BM57),""),"")</f>
        <v/>
      </c>
      <c r="BW57" s="57">
        <f>SUMIFS(tblFleet[Calendar_h],tblFleet[Date],$A57,tblFleet[Equipment_Class],"Haul Truck")</f>
        <v/>
      </c>
      <c r="BX57" s="57">
        <f>IF($B57=$B56,$BX56,0)+$BW57</f>
        <v/>
      </c>
      <c r="BY57" s="57">
        <f>$BY56+$BW57</f>
        <v/>
      </c>
      <c r="BZ57" s="57">
        <f>SUMIFS(tblFleet[Available_h],tblFleet[Date],$A57,tblFleet[Equipment_Class],"Haul Truck")</f>
        <v/>
      </c>
      <c r="CA57" s="57">
        <f>IF($B57=$B56,$CA56,0)+$BZ57</f>
        <v/>
      </c>
      <c r="CB57" s="57">
        <f>$CB56+$BZ57</f>
        <v/>
      </c>
      <c r="CC57" s="57">
        <f>SUMIFS(tblFleet[Operating_h],tblFleet[Date],$A57,tblFleet[Equipment_Class],"Haul Truck")</f>
        <v/>
      </c>
      <c r="CD57" s="57">
        <f>IF($B57=$B56,$CD56,0)+$CC57</f>
        <v/>
      </c>
      <c r="CE57" s="57">
        <f>$CE56+$CC57</f>
        <v/>
      </c>
      <c r="CF57" s="67">
        <f>IFERROR(IF(($BW57)&gt;0,($BZ57)/($BW57),""),"")</f>
        <v/>
      </c>
      <c r="CG57" s="67">
        <f>IFERROR(IF(($BX57)&gt;0,($CA57)/($BX57),""),"")</f>
        <v/>
      </c>
      <c r="CH57" s="67">
        <f>IFERROR(IF(($BY57)&gt;0,($CB57)/($BY57),""),"")</f>
        <v/>
      </c>
      <c r="CI57" s="67">
        <f>IFERROR(IF(($BZ57)&gt;0,($CC57)/($BZ57),""),"")</f>
        <v/>
      </c>
      <c r="CJ57" s="67">
        <f>IFERROR(IF(($CA57)&gt;0,($CD57)/($CA57),""),"")</f>
        <v/>
      </c>
      <c r="CK57" s="67">
        <f>IFERROR(IF(($CB57)&gt;0,($CE57)/($CB57),""),"")</f>
        <v/>
      </c>
      <c r="CL57" s="55">
        <f>IFERROR(IF(($BN57)&gt;0,($X57+$AD57)/($BN57),""),"")</f>
        <v/>
      </c>
      <c r="CM57" s="55">
        <f>IFERROR(IF(($BO57)&gt;0,($Y57+$AE57)/($BO57),""),"")</f>
        <v/>
      </c>
      <c r="CN57" s="55">
        <f>IFERROR(IF(($BP57)&gt;0,($Z57+$AF57)/($BP57),""),"")</f>
        <v/>
      </c>
      <c r="CO57" s="55">
        <f>IFERROR(IF(($CC57)&gt;0,($X57+$AD57)/($CC57),""),"")</f>
        <v/>
      </c>
      <c r="CP57" s="55">
        <f>IFERROR(IF(($CD57)&gt;0,($Y57+$AE57)/($CD57),""),"")</f>
        <v/>
      </c>
      <c r="CQ57" s="55">
        <f>IFERROR(IF(($CE57)&gt;0,($Z57+$AF57)/($CE57),""),"")</f>
        <v/>
      </c>
      <c r="CR57" s="55">
        <f>SUMIFS(tblPlant[Crushed_t],tblPlant[Date],$A57)</f>
        <v/>
      </c>
      <c r="CS57" s="55">
        <f>IF($B57=$B56,$CS56,0)+$CR57</f>
        <v/>
      </c>
      <c r="CT57" s="55">
        <f>$CT56+$CR57</f>
        <v/>
      </c>
      <c r="CU57" s="55">
        <f>SUMIFS(tblPlant[Milled_t],tblPlant[Date],$A57)</f>
        <v/>
      </c>
      <c r="CV57" s="55">
        <f>IF($B57=$B56,$CV56,0)+$CU57</f>
        <v/>
      </c>
      <c r="CW57" s="55">
        <f>$CW56+$CU57</f>
        <v/>
      </c>
      <c r="CX57" s="55">
        <f>SUMIFS(tblPlant[Feed_oz],tblPlant[Date],$A57)</f>
        <v/>
      </c>
      <c r="CY57" s="55">
        <f>IF($B57=$B56,$CY56,0)+$CX57</f>
        <v/>
      </c>
      <c r="CZ57" s="55">
        <f>$CZ56+$CX57</f>
        <v/>
      </c>
      <c r="DA57" s="55">
        <f>SUMIFS(tblPlant[Tails_oz],tblPlant[Date],$A57)</f>
        <v/>
      </c>
      <c r="DB57" s="55">
        <f>IF($B57=$B56,$DB56,0)+$DA57</f>
        <v/>
      </c>
      <c r="DC57" s="55">
        <f>$DC56+$DA57</f>
        <v/>
      </c>
      <c r="DD57" s="55">
        <f>SUMIFS(tblPlant[Recovered_oz],tblPlant[Date],$A57)</f>
        <v/>
      </c>
      <c r="DE57" s="55">
        <f>IF($B57=$B56,$DE56,0)+$DD57</f>
        <v/>
      </c>
      <c r="DF57" s="55">
        <f>$DF56+$DD57</f>
        <v/>
      </c>
      <c r="DG57" s="55">
        <f>SUMIFS(tblPlant[Milled_t],tblPlant[Date],$A57,tblPlant[Head_Grade_gpt],"&lt;&gt;")</f>
        <v/>
      </c>
      <c r="DH57" s="55">
        <f>IF($B57=$B56,$DH56,0)+$DG57</f>
        <v/>
      </c>
      <c r="DI57" s="55">
        <f>$DI56+$DG57</f>
        <v/>
      </c>
      <c r="DJ57" s="55">
        <f>SUMIFS(tblPlant[Milled_t],tblPlant[Date],$A57,tblPlant[Tails_Grade_gpt],"&lt;&gt;")</f>
        <v/>
      </c>
      <c r="DK57" s="55">
        <f>IF($B57=$B56,$DK56,0)+$DJ57</f>
        <v/>
      </c>
      <c r="DL57" s="55">
        <f>$DL56+$DJ57</f>
        <v/>
      </c>
      <c r="DM57" s="55">
        <f>SUMIFS(tblPlant[Feed_oz],tblPlant[Date],$A57,tblPlant[Tails_Grade_gpt],"&lt;&gt;")</f>
        <v/>
      </c>
      <c r="DN57" s="55">
        <f>IF($B57=$B56,$DN56,0)+$DM57</f>
        <v/>
      </c>
      <c r="DO57" s="55">
        <f>$DO56+$DM57</f>
        <v/>
      </c>
      <c r="DP57" s="55">
        <f>SUMIFS(tblPlant[Milled_t],tblPlant[Date],$A57,tblPlant[Mill_Run_h],"&lt;&gt;")</f>
        <v/>
      </c>
      <c r="DQ57" s="55">
        <f>IF($B57=$B56,$DQ56,0)+$DP57</f>
        <v/>
      </c>
      <c r="DR57" s="55">
        <f>$DR56+$DP57</f>
        <v/>
      </c>
      <c r="DS57" s="56">
        <f>IFERROR(IF(($DG57)&gt;0,($CX57*cfg_TroyOz)/($DG57),""),"")</f>
        <v/>
      </c>
      <c r="DT57" s="56">
        <f>IFERROR(IF(($DH57)&gt;0,($CY57*cfg_TroyOz)/($DH57),""),"")</f>
        <v/>
      </c>
      <c r="DU57" s="56">
        <f>IFERROR(IF(($DI57)&gt;0,($CZ57*cfg_TroyOz)/($DI57),""),"")</f>
        <v/>
      </c>
      <c r="DV57" s="56">
        <f>IFERROR(IF(($DJ57)&gt;0,($DA57*cfg_TroyOz)/($DJ57),""),"")</f>
        <v/>
      </c>
      <c r="DW57" s="56">
        <f>IFERROR(IF(($DK57)&gt;0,($DB57*cfg_TroyOz)/($DK57),""),"")</f>
        <v/>
      </c>
      <c r="DX57" s="56">
        <f>IFERROR(IF(($DL57)&gt;0,($DC57*cfg_TroyOz)/($DL57),""),"")</f>
        <v/>
      </c>
      <c r="DY57" s="67">
        <f>IFERROR(IF(($DM57)&gt;0,($DD57)/($DM57),""),"")</f>
        <v/>
      </c>
      <c r="DZ57" s="67">
        <f>IFERROR(IF(($DN57)&gt;0,($DE57)/($DN57),""),"")</f>
        <v/>
      </c>
      <c r="EA57" s="67">
        <f>IFERROR(IF(($DO57)&gt;0,($DF57)/($DO57),""),"")</f>
        <v/>
      </c>
      <c r="EB57" s="55">
        <f>SUMIFS(tblPlant[Gravity_Gold_oz],tblPlant[Date],$A57)</f>
        <v/>
      </c>
      <c r="EC57" s="55">
        <f>IF($B57=$B56,$EC56,0)+$EB57</f>
        <v/>
      </c>
      <c r="ED57" s="55">
        <f>$ED56+$EB57</f>
        <v/>
      </c>
      <c r="EE57" s="67">
        <f>IFERROR(IF(($DD57)&gt;0,($EB57)/($DD57),""),"")</f>
        <v/>
      </c>
      <c r="EF57" s="67">
        <f>IFERROR(IF(($DE57)&gt;0,($EC57)/($DE57),""),"")</f>
        <v/>
      </c>
      <c r="EG57" s="67">
        <f>IFERROR(IF(($DF57)&gt;0,($ED57)/($DF57),""),"")</f>
        <v/>
      </c>
      <c r="EH57" s="55">
        <f>SUMIFS(tblPlant[Gold_Poured_oz],tblPlant[Date],$A57)</f>
        <v/>
      </c>
      <c r="EI57" s="55">
        <f>IF($B57=$B56,$EI56,0)+$EH57</f>
        <v/>
      </c>
      <c r="EJ57" s="55">
        <f>$EJ56+$EH57</f>
        <v/>
      </c>
      <c r="EK57" s="57">
        <f>SUMIFS(tblPlant[Mill_Run_h],tblPlant[Date],$A57)</f>
        <v/>
      </c>
      <c r="EL57" s="57">
        <f>IF($B57=$B56,$EL56,0)+$EK57</f>
        <v/>
      </c>
      <c r="EM57" s="57">
        <f>$EM56+$EK57</f>
        <v/>
      </c>
      <c r="EN57" s="57">
        <f>SUMIFS(tblPlant[Mill_Planned_Maint_h],tblPlant[Date],$A57)</f>
        <v/>
      </c>
      <c r="EO57" s="57">
        <f>IF($B57=$B56,$EO56,0)+$EN57</f>
        <v/>
      </c>
      <c r="EP57" s="57">
        <f>$EP56+$EN57</f>
        <v/>
      </c>
      <c r="EQ57" s="57">
        <f>SUMIFS(tblPlant[Mill_Unplanned_Down_h],tblPlant[Date],$A57)</f>
        <v/>
      </c>
      <c r="ER57" s="57">
        <f>IF($B57=$B56,$ER56,0)+$EQ57</f>
        <v/>
      </c>
      <c r="ES57" s="57">
        <f>$ES56+$EQ57</f>
        <v/>
      </c>
      <c r="ET57" s="57">
        <f>IF(COUNTIFS(tblPlant[Date],$A57,tblPlant[Mill_Run_h],"&lt;&gt;")+COUNTIFS(tblPlant[Date],$A57,tblPlant[Mill_Planned_Maint_h],"&lt;&gt;")+COUNTIFS(tblPlant[Date],$A57,tblPlant[Mill_Unplanned_Down_h],"&lt;&gt;")&gt;0,cfg_HoursPerDay,0)</f>
        <v/>
      </c>
      <c r="EU57" s="57">
        <f>IF($B57=$B56,$EU56,0)+$ET57</f>
        <v/>
      </c>
      <c r="EV57" s="57">
        <f>$EV56+$ET57</f>
        <v/>
      </c>
      <c r="EW57" s="57">
        <f>SUMIFS(tblPlant[Crusher_Run_h],tblPlant[Date],$A57)</f>
        <v/>
      </c>
      <c r="EX57" s="57">
        <f>IF($B57=$B56,$EX56,0)+$EW57</f>
        <v/>
      </c>
      <c r="EY57" s="57">
        <f>$EY56+$EW57</f>
        <v/>
      </c>
      <c r="EZ57" s="55">
        <f>IFERROR(IF(($EK57)&gt;0,($DP57)/($EK57),""),"")</f>
        <v/>
      </c>
      <c r="FA57" s="55">
        <f>IFERROR(IF(($EL57)&gt;0,($DQ57)/($EL57),""),"")</f>
        <v/>
      </c>
      <c r="FB57" s="55">
        <f>IFERROR(IF(($EM57)&gt;0,($DR57)/($EM57),""),"")</f>
        <v/>
      </c>
      <c r="FC57" s="67">
        <f>IFERROR(IF(($ET57)&gt;0,($ET57-$EN57-$EQ57)/($ET57),""),"")</f>
        <v/>
      </c>
      <c r="FD57" s="67">
        <f>IFERROR(IF(($EU57)&gt;0,($EU57-$EO57-$ER57)/($EU57),""),"")</f>
        <v/>
      </c>
      <c r="FE57" s="67">
        <f>IFERROR(IF(($EV57)&gt;0,($EV57-$EP57-$ES57)/($EV57),""),"")</f>
        <v/>
      </c>
      <c r="FF57" s="67">
        <f>IFERROR(IF(($ET57-$EN57-$EQ57)&gt;0,($EK57)/($ET57-$EN57-$EQ57),""),"")</f>
        <v/>
      </c>
      <c r="FG57" s="67">
        <f>IFERROR(IF(($EU57-$EO57-$ER57)&gt;0,($EL57)/($EU57-$EO57-$ER57),""),"")</f>
        <v/>
      </c>
      <c r="FH57" s="67">
        <f>IFERROR(IF(($EV57-$EP57-$ES57)&gt;0,($EM57)/($EV57-$EP57-$ES57),""),"")</f>
        <v/>
      </c>
      <c r="FI57" s="55">
        <f>SUMIFS(tblPlant[Cyanide_kg],tblPlant[Date],$A57)</f>
        <v/>
      </c>
      <c r="FJ57" s="55">
        <f>IF($B57=$B56,$FJ56,0)+$FI57</f>
        <v/>
      </c>
      <c r="FK57" s="55">
        <f>$FK56+$FI57</f>
        <v/>
      </c>
      <c r="FL57" s="55">
        <f>SUMIFS(tblPlant[Lime_kg],tblPlant[Date],$A57)</f>
        <v/>
      </c>
      <c r="FM57" s="55">
        <f>IF($B57=$B56,$FM56,0)+$FL57</f>
        <v/>
      </c>
      <c r="FN57" s="55">
        <f>$FN56+$FL57</f>
        <v/>
      </c>
      <c r="FO57" s="55">
        <f>SUMIFS(tblPlant[Grinding_Media_kg],tblPlant[Date],$A57)</f>
        <v/>
      </c>
      <c r="FP57" s="55">
        <f>IF($B57=$B56,$FP56,0)+$FO57</f>
        <v/>
      </c>
      <c r="FQ57" s="55">
        <f>$FQ56+$FO57</f>
        <v/>
      </c>
      <c r="FR57" s="55">
        <f>SUMIFS(tblPlant[Power_kWh],tblPlant[Date],$A57)</f>
        <v/>
      </c>
      <c r="FS57" s="55">
        <f>IF($B57=$B56,$FS56,0)+$FR57</f>
        <v/>
      </c>
      <c r="FT57" s="55">
        <f>$FT56+$FR57</f>
        <v/>
      </c>
      <c r="FU57" s="55">
        <f>SUMIFS(tblPlant[Raw_Water_m3],tblPlant[Date],$A57)</f>
        <v/>
      </c>
      <c r="FV57" s="55">
        <f>IF($B57=$B56,$FV56,0)+$FU57</f>
        <v/>
      </c>
      <c r="FW57" s="55">
        <f>$FW56+$FU57</f>
        <v/>
      </c>
      <c r="FX57" s="56">
        <f>IFERROR(IF(($CU57)&gt;0,($FI57)/($CU57),""),"")</f>
        <v/>
      </c>
      <c r="FY57" s="56">
        <f>IFERROR(IF(($CV57)&gt;0,($FJ57)/($CV57),""),"")</f>
        <v/>
      </c>
      <c r="FZ57" s="56">
        <f>IFERROR(IF(($CW57)&gt;0,($FK57)/($CW57),""),"")</f>
        <v/>
      </c>
      <c r="GA57" s="56">
        <f>IFERROR(IF(($CU57)&gt;0,($FL57)/($CU57),""),"")</f>
        <v/>
      </c>
      <c r="GB57" s="56">
        <f>IFERROR(IF(($CV57)&gt;0,($FM57)/($CV57),""),"")</f>
        <v/>
      </c>
      <c r="GC57" s="56">
        <f>IFERROR(IF(($CW57)&gt;0,($FN57)/($CW57),""),"")</f>
        <v/>
      </c>
      <c r="GD57" s="56">
        <f>IFERROR(IF(($CU57)&gt;0,($FO57)/($CU57),""),"")</f>
        <v/>
      </c>
      <c r="GE57" s="56">
        <f>IFERROR(IF(($CV57)&gt;0,($FP57)/($CV57),""),"")</f>
        <v/>
      </c>
      <c r="GF57" s="56">
        <f>IFERROR(IF(($CW57)&gt;0,($FQ57)/($CW57),""),"")</f>
        <v/>
      </c>
      <c r="GG57" s="79">
        <f>IFERROR(IF(($CU57)&gt;0,($FR57)/($CU57),""),"")</f>
        <v/>
      </c>
      <c r="GH57" s="79">
        <f>IFERROR(IF(($CV57)&gt;0,($FS57)/($CV57),""),"")</f>
        <v/>
      </c>
      <c r="GI57" s="79">
        <f>IFERROR(IF(($CW57)&gt;0,($FT57)/($CW57),""),"")</f>
        <v/>
      </c>
      <c r="GJ57" s="56">
        <f>IFERROR(IF(($CU57)&gt;0,($FU57)/($CU57),""),"")</f>
        <v/>
      </c>
      <c r="GK57" s="56">
        <f>IFERROR(IF(($CV57)&gt;0,($FV57)/($CV57),""),"")</f>
        <v/>
      </c>
      <c r="GL57" s="56">
        <f>IFERROR(IF(($CW57)&gt;0,($FW57)/($CW57),""),"")</f>
        <v/>
      </c>
      <c r="GM57" s="55">
        <f>IF(SUMIFS(tblPlant[GIC_oz],tblPlant[Date],$A57)&gt;0,SUMIFS(tblPlant[GIC_oz],tblPlant[Date],$A57),"")</f>
        <v/>
      </c>
      <c r="GN57" s="55">
        <f>SUMIFS(tblGold[Gold_oz],tblGold[Date],$A57,tblGold[Type],"Shipment")</f>
        <v/>
      </c>
      <c r="GO57" s="55">
        <f>IF($B57=$B56,$GO56,0)+$GN57</f>
        <v/>
      </c>
      <c r="GP57" s="55">
        <f>$GP56+$GN57</f>
        <v/>
      </c>
      <c r="GQ57" s="55">
        <f>SUMIFS(tblGold[Gold_oz],tblGold[Date],$A57,tblGold[Type],"Sale")</f>
        <v/>
      </c>
      <c r="GR57" s="55">
        <f>IF($B57=$B56,$GR56,0)+$GQ57</f>
        <v/>
      </c>
      <c r="GS57" s="55">
        <f>$GS56+$GQ57</f>
        <v/>
      </c>
      <c r="GT57" s="55">
        <f>SUMIFS(tblGold[Dore_kg],tblGold[Date],$A57,tblGold[Type],"Shipment")</f>
        <v/>
      </c>
      <c r="GU57" s="55">
        <f>IF($B57=$B56,$GU56,0)+$GT57</f>
        <v/>
      </c>
      <c r="GV57" s="55">
        <f>$GV56+$GT57</f>
        <v/>
      </c>
      <c r="GW57" s="57">
        <f>SUMIFS(tblSafety[Hours_Total],tblSafety[Date],$A57)</f>
        <v/>
      </c>
      <c r="GX57" s="57">
        <f>IF($B57=$B56,$GX56,0)+$GW57</f>
        <v/>
      </c>
      <c r="GY57" s="57">
        <f>$GY56+$GW57</f>
        <v/>
      </c>
      <c r="GZ57" s="62">
        <f>SUMIFS(tblSafety[Fatality],tblSafety[Date],$A57)</f>
        <v/>
      </c>
      <c r="HA57" s="62">
        <f>IF($B57=$B56,$HA56,0)+$GZ57</f>
        <v/>
      </c>
      <c r="HB57" s="62">
        <f>$HB56+$GZ57</f>
        <v/>
      </c>
      <c r="HC57" s="62">
        <f>SUMIFS(tblSafety[LTI],tblSafety[Date],$A57)</f>
        <v/>
      </c>
      <c r="HD57" s="62">
        <f>IF($B57=$B56,$HD56,0)+$HC57</f>
        <v/>
      </c>
      <c r="HE57" s="62">
        <f>$HE56+$HC57</f>
        <v/>
      </c>
      <c r="HF57" s="62">
        <f>SUMIFS(tblSafety[RWI],tblSafety[Date],$A57)</f>
        <v/>
      </c>
      <c r="HG57" s="62">
        <f>IF($B57=$B56,$HG56,0)+$HF57</f>
        <v/>
      </c>
      <c r="HH57" s="62">
        <f>$HH56+$HF57</f>
        <v/>
      </c>
      <c r="HI57" s="62">
        <f>SUMIFS(tblSafety[MTI],tblSafety[Date],$A57)</f>
        <v/>
      </c>
      <c r="HJ57" s="62">
        <f>IF($B57=$B56,$HJ56,0)+$HI57</f>
        <v/>
      </c>
      <c r="HK57" s="62">
        <f>$HK56+$HI57</f>
        <v/>
      </c>
      <c r="HL57" s="62">
        <f>SUMIFS(tblSafety[FAI],tblSafety[Date],$A57)</f>
        <v/>
      </c>
      <c r="HM57" s="62">
        <f>IF($B57=$B56,$HM56,0)+$HL57</f>
        <v/>
      </c>
      <c r="HN57" s="62">
        <f>$HN56+$HL57</f>
        <v/>
      </c>
      <c r="HO57" s="62">
        <f>SUMIFS(tblSafety[Recordables],tblSafety[Date],$A57)</f>
        <v/>
      </c>
      <c r="HP57" s="62">
        <f>IF($B57=$B56,$HP56,0)+$HO57</f>
        <v/>
      </c>
      <c r="HQ57" s="62">
        <f>$HQ56+$HO57</f>
        <v/>
      </c>
      <c r="HR57" s="62">
        <f>SUMIFS(tblSafety[Near_Miss],tblSafety[Date],$A57)</f>
        <v/>
      </c>
      <c r="HS57" s="62">
        <f>IF($B57=$B56,$HS56,0)+$HR57</f>
        <v/>
      </c>
      <c r="HT57" s="62">
        <f>$HT56+$HR57</f>
        <v/>
      </c>
      <c r="HU57" s="62">
        <f>SUMIFS(tblSafety[Hazard_Reports],tblSafety[Date],$A57)</f>
        <v/>
      </c>
      <c r="HV57" s="62">
        <f>IF($B57=$B56,$HV56,0)+$HU57</f>
        <v/>
      </c>
      <c r="HW57" s="62">
        <f>$HW56+$HU57</f>
        <v/>
      </c>
      <c r="HX57" s="62">
        <f>SUMIFS(tblSafety[HPI],tblSafety[Date],$A57)</f>
        <v/>
      </c>
      <c r="HY57" s="62">
        <f>IF($B57=$B56,$HY56,0)+$HX57</f>
        <v/>
      </c>
      <c r="HZ57" s="62">
        <f>$HZ56+$HX57</f>
        <v/>
      </c>
      <c r="IA57" s="62">
        <f>SUMIFS(tblSafety[Env_Incidents],tblSafety[Date],$A57)</f>
        <v/>
      </c>
      <c r="IB57" s="62">
        <f>IF($B57=$B56,$IB56,0)+$IA57</f>
        <v/>
      </c>
      <c r="IC57" s="62">
        <f>$IC56+$IA57</f>
        <v/>
      </c>
      <c r="ID57" s="62">
        <f>SUMIFS(tblSafety[Community_Incidents],tblSafety[Date],$A57)</f>
        <v/>
      </c>
      <c r="IE57" s="62">
        <f>IF($B57=$B56,$IE56,0)+$ID57</f>
        <v/>
      </c>
      <c r="IF57" s="62">
        <f>$IF56+$ID57</f>
        <v/>
      </c>
      <c r="IG57" s="62">
        <f>SUMIFS(tblSafety[Vehicle_Incidents],tblSafety[Date],$A57)</f>
        <v/>
      </c>
      <c r="IH57" s="62">
        <f>IF($B57=$B56,$IH56,0)+$IG57</f>
        <v/>
      </c>
      <c r="II57" s="62">
        <f>$II56+$IG57</f>
        <v/>
      </c>
      <c r="IJ57" s="62">
        <f>SUMIFS(tblSafety[Toolbox_Talks],tblSafety[Date],$A57)</f>
        <v/>
      </c>
      <c r="IK57" s="62">
        <f>IF($B57=$B56,$IK56,0)+$IJ57</f>
        <v/>
      </c>
      <c r="IL57" s="62">
        <f>$IL56+$IJ57</f>
        <v/>
      </c>
      <c r="IM57" s="62">
        <f>SUMIFS(tblSafety[Inspections],tblSafety[Date],$A57)</f>
        <v/>
      </c>
      <c r="IN57" s="62">
        <f>IF($B57=$B56,$IN56,0)+$IM57</f>
        <v/>
      </c>
      <c r="IO57" s="62">
        <f>$IO56+$IM57</f>
        <v/>
      </c>
      <c r="IP57" s="56">
        <f>IFERROR((SUMIFS(tblSafety[Recordables],tblSafety[Date],"&gt;="&amp;EDATE($E57,-12),tblSafety[Date],"&lt;="&amp;$A57)+SUMIFS(tblSafetyHistory[Recordables],tblSafetyHistory[Month],"&gt;="&amp;EDATE($E57,-12),tblSafetyHistory[Month],"&lt;"&amp;$E57,tblSafetyHistory[Use],1))/(SUMIFS(tblSafety[Hours_Total],tblSafety[Date],"&gt;="&amp;EDATE($E57,-12),tblSafety[Date],"&lt;="&amp;$A57)+SUMIFS(tblSafetyHistory[Hours_Total],tblSafetyHistory[Month],"&gt;="&amp;EDATE($E57,-12),tblSafetyHistory[Month],"&lt;"&amp;$E57,tblSafetyHistory[Use],1))*cfg_RateBasisHours,"")</f>
        <v/>
      </c>
      <c r="IQ57" s="56">
        <f>IFERROR((SUMIFS(tblSafety[LTI],tblSafety[Date],"&gt;="&amp;EDATE($E57,-12),tblSafety[Date],"&lt;="&amp;$A57)+SUMIFS(tblSafetyHistory[LTI],tblSafetyHistory[Month],"&gt;="&amp;EDATE($E57,-12),tblSafetyHistory[Month],"&lt;"&amp;$E57,tblSafetyHistory[Use],1))/(SUMIFS(tblSafety[Hours_Total],tblSafety[Date],"&gt;="&amp;EDATE($E57,-12),tblSafety[Date],"&lt;="&amp;$A57)+SUMIFS(tblSafetyHistory[Hours_Total],tblSafetyHistory[Month],"&gt;="&amp;EDATE($E57,-12),tblSafetyHistory[Month],"&lt;"&amp;$E57,tblSafetyHistory[Use],1))*cfg_RateBasisHours,"")</f>
        <v/>
      </c>
      <c r="IR57" s="62">
        <f>IF(MAX(N(cfg_PriorLTIDate),_xlfn.MAXIFS(tblSafety[Date],tblSafety[LTI],"&gt;0",tblSafety[Date],"&lt;="&amp;$A57))=0,"",$A57-MAX(N(cfg_PriorLTIDate),_xlfn.MAXIFS(tblSafety[Date],tblSafety[LTI],"&gt;0",tblSafety[Date],"&lt;="&amp;$A57)))</f>
        <v/>
      </c>
      <c r="IS57" s="55">
        <f>SUMIFS(tblBudget[Ore_Mined_t],tblBudget[Month],$E57)</f>
        <v/>
      </c>
      <c r="IT57" s="55">
        <f>$IS57*$C57/$D57</f>
        <v/>
      </c>
      <c r="IU57" s="55">
        <f>SUMIFS(tblBudget[Ore_Mined_t],tblBudget[Month],"&lt;"&amp;$E57)+$IT57</f>
        <v/>
      </c>
      <c r="IV57" s="55">
        <f>SUMIFS(tblBudget[Ore_oz],tblBudget[Month],$E57)</f>
        <v/>
      </c>
      <c r="IW57" s="55">
        <f>$IV57*$C57/$D57</f>
        <v/>
      </c>
      <c r="IX57" s="55">
        <f>SUMIFS(tblBudget[Ore_oz],tblBudget[Month],"&lt;"&amp;$E57)+$IW57</f>
        <v/>
      </c>
      <c r="IY57" s="55">
        <f>SUMIFS(tblBudget[Ore_Mined_t],tblBudget[Month],$E57)</f>
        <v/>
      </c>
      <c r="IZ57" s="55">
        <f>$IY57*$C57/$D57</f>
        <v/>
      </c>
      <c r="JA57" s="55">
        <f>SUMIFS(tblBudget[Ore_Mined_t],tblBudget[Month],"&lt;"&amp;$E57)+$IZ57</f>
        <v/>
      </c>
      <c r="JB57" s="56">
        <f>IFERROR(IF(($IY57)&gt;0,($IV57*cfg_TroyOz)/($IY57),""),"")</f>
        <v/>
      </c>
      <c r="JC57" s="56">
        <f>IFERROR(IF(($IZ57)&gt;0,($IW57*cfg_TroyOz)/($IZ57),""),"")</f>
        <v/>
      </c>
      <c r="JD57" s="56">
        <f>IFERROR(IF(($JA57)&gt;0,($IX57*cfg_TroyOz)/($JA57),""),"")</f>
        <v/>
      </c>
      <c r="JE57" s="55">
        <f>SUMIFS(tblBudget[Waste_t],tblBudget[Month],$E57)</f>
        <v/>
      </c>
      <c r="JF57" s="55">
        <f>$JE57*$C57/$D57</f>
        <v/>
      </c>
      <c r="JG57" s="55">
        <f>SUMIFS(tblBudget[Waste_t],tblBudget[Month],"&lt;"&amp;$E57)+$JF57</f>
        <v/>
      </c>
      <c r="JH57" s="55">
        <f>SUMIFS(tblBudget[TMM_t],tblBudget[Month],$E57)</f>
        <v/>
      </c>
      <c r="JI57" s="55">
        <f>$JH57*$C57/$D57</f>
        <v/>
      </c>
      <c r="JJ57" s="55">
        <f>SUMIFS(tblBudget[TMM_t],tblBudget[Month],"&lt;"&amp;$E57)+$JI57</f>
        <v/>
      </c>
      <c r="JK57" s="56">
        <f>IFERROR(IF(($IS57)&gt;0,($JE57)/($IS57),""),"")</f>
        <v/>
      </c>
      <c r="JL57" s="56">
        <f>IFERROR(IF(($IT57)&gt;0,($JF57)/($IT57),""),"")</f>
        <v/>
      </c>
      <c r="JM57" s="56">
        <f>IFERROR(IF(($IU57)&gt;0,($JG57)/($IU57),""),"")</f>
        <v/>
      </c>
      <c r="JN57" s="55">
        <f>SUMIFS(tblBudget[Drill_m],tblBudget[Month],$E57)</f>
        <v/>
      </c>
      <c r="JO57" s="55">
        <f>$JN57*$C57/$D57</f>
        <v/>
      </c>
      <c r="JP57" s="55">
        <f>SUMIFS(tblBudget[Drill_m],tblBudget[Month],"&lt;"&amp;$E57)+$JO57</f>
        <v/>
      </c>
      <c r="JQ57" s="55">
        <f>SUMIFS(tblBudget[Diesel_L],tblBudget[Month],$E57)</f>
        <v/>
      </c>
      <c r="JR57" s="55">
        <f>$JQ57*$C57/$D57</f>
        <v/>
      </c>
      <c r="JS57" s="55">
        <f>SUMIFS(tblBudget[Diesel_L],tblBudget[Month],"&lt;"&amp;$E57)+$JR57</f>
        <v/>
      </c>
      <c r="JT57" s="55">
        <f>SUMIFS(tblBudget[Milled_t],tblBudget[Month],$E57)</f>
        <v/>
      </c>
      <c r="JU57" s="55">
        <f>$JT57*$C57/$D57</f>
        <v/>
      </c>
      <c r="JV57" s="55">
        <f>SUMIFS(tblBudget[Milled_t],tblBudget[Month],"&lt;"&amp;$E57)+$JU57</f>
        <v/>
      </c>
      <c r="JW57" s="55">
        <f>SUMIFS(tblBudget[Feed_oz],tblBudget[Month],$E57)</f>
        <v/>
      </c>
      <c r="JX57" s="55">
        <f>$JW57*$C57/$D57</f>
        <v/>
      </c>
      <c r="JY57" s="55">
        <f>SUMIFS(tblBudget[Feed_oz],tblBudget[Month],"&lt;"&amp;$E57)+$JX57</f>
        <v/>
      </c>
      <c r="JZ57" s="55">
        <f>SUMIFS(tblBudget[Recovered_oz],tblBudget[Month],$E57)</f>
        <v/>
      </c>
      <c r="KA57" s="55">
        <f>$JZ57*$C57/$D57</f>
        <v/>
      </c>
      <c r="KB57" s="55">
        <f>SUMIFS(tblBudget[Recovered_oz],tblBudget[Month],"&lt;"&amp;$E57)+$KA57</f>
        <v/>
      </c>
      <c r="KC57" s="55">
        <f>SUMIFS(tblBudget[Milled_t],tblBudget[Month],$E57)</f>
        <v/>
      </c>
      <c r="KD57" s="55">
        <f>$KC57*$C57/$D57</f>
        <v/>
      </c>
      <c r="KE57" s="55">
        <f>SUMIFS(tblBudget[Milled_t],tblBudget[Month],"&lt;"&amp;$E57)+$KD57</f>
        <v/>
      </c>
      <c r="KF57" s="55">
        <f>SUMIFS(tblBudget[Feed_oz],tblBudget[Month],$E57)</f>
        <v/>
      </c>
      <c r="KG57" s="55">
        <f>$KF57*$C57/$D57</f>
        <v/>
      </c>
      <c r="KH57" s="55">
        <f>SUMIFS(tblBudget[Feed_oz],tblBudget[Month],"&lt;"&amp;$E57)+$KG57</f>
        <v/>
      </c>
      <c r="KI57" s="56">
        <f>IFERROR(IF(($KC57)&gt;0,($JW57*cfg_TroyOz)/($KC57),""),"")</f>
        <v/>
      </c>
      <c r="KJ57" s="56">
        <f>IFERROR(IF(($KD57)&gt;0,($JX57*cfg_TroyOz)/($KD57),""),"")</f>
        <v/>
      </c>
      <c r="KK57" s="56">
        <f>IFERROR(IF(($KE57)&gt;0,($JY57*cfg_TroyOz)/($KE57),""),"")</f>
        <v/>
      </c>
      <c r="KL57" s="67">
        <f>IFERROR(IF(($KF57)&gt;0,($JZ57)/($KF57),""),"")</f>
        <v/>
      </c>
      <c r="KM57" s="67">
        <f>IFERROR(IF(($KG57)&gt;0,($KA57)/($KG57),""),"")</f>
        <v/>
      </c>
      <c r="KN57" s="67">
        <f>IFERROR(IF(($KH57)&gt;0,($KB57)/($KH57),""),"")</f>
        <v/>
      </c>
      <c r="KO57" s="55">
        <f>SUMIFS(tblBudget[Gold_Poured_oz],tblBudget[Month],$E57)</f>
        <v/>
      </c>
      <c r="KP57" s="55">
        <f>$KO57*$C57/$D57</f>
        <v/>
      </c>
      <c r="KQ57" s="55">
        <f>SUMIFS(tblBudget[Gold_Poured_oz],tblBudget[Month],"&lt;"&amp;$E57)+$KP57</f>
        <v/>
      </c>
      <c r="KR57" s="57">
        <f>SUMIFS(tblBudget[Hours_Worked],tblBudget[Month],$E57)</f>
        <v/>
      </c>
      <c r="KS57" s="57">
        <f>$KR57*$C57/$D57</f>
        <v/>
      </c>
      <c r="KT57" s="57">
        <f>SUMIFS(tblBudget[Hours_Worked],tblBudget[Month],"&lt;"&amp;$E57)+$KS57</f>
        <v/>
      </c>
    </row>
    <row r="58">
      <c r="A58" s="54" t="n">
        <v>46079</v>
      </c>
      <c r="B58">
        <f>MONTH($A58)</f>
        <v/>
      </c>
      <c r="C58">
        <f>DAY($A58)</f>
        <v/>
      </c>
      <c r="D58">
        <f>DAY(EOMONTH($A58,0))</f>
        <v/>
      </c>
      <c r="E58" s="54">
        <f>DATE(YEAR($A58),MONTH($A58),1)</f>
        <v/>
      </c>
      <c r="F58" s="55">
        <f>SUMIFS(tblMovement[Tonnes_t],tblMovement[Date],$A58,tblMovement[Is_Ore],1,tblMovement[Source_Type],"Pit")</f>
        <v/>
      </c>
      <c r="G58" s="55">
        <f>IF($B58=$B57,$G57,0)+$F58</f>
        <v/>
      </c>
      <c r="H58" s="55">
        <f>$H57+$F58</f>
        <v/>
      </c>
      <c r="I58" s="55">
        <f>SUMIFS(tblMovement[Ore_oz],tblMovement[Date],$A58,tblMovement[Source_Type],"Pit")</f>
        <v/>
      </c>
      <c r="J58" s="55">
        <f>IF($B58=$B57,$J57,0)+$I58</f>
        <v/>
      </c>
      <c r="K58" s="55">
        <f>$K57+$I58</f>
        <v/>
      </c>
      <c r="L58" s="55">
        <f>SUMIFS(tblMovement[Tonnes_t],tblMovement[Date],$A58,tblMovement[Is_Ore],1,tblMovement[Source_Type],"Pit",tblMovement[Grade_gpt],"&lt;&gt;")</f>
        <v/>
      </c>
      <c r="M58" s="55">
        <f>IF($B58=$B57,$M57,0)+$L58</f>
        <v/>
      </c>
      <c r="N58" s="55">
        <f>$N57+$L58</f>
        <v/>
      </c>
      <c r="O58" s="56">
        <f>IFERROR(IF(($L58)&gt;0,($I58*cfg_TroyOz)/($L58),""),"")</f>
        <v/>
      </c>
      <c r="P58" s="56">
        <f>IFERROR(IF(($M58)&gt;0,($J58*cfg_TroyOz)/($M58),""),"")</f>
        <v/>
      </c>
      <c r="Q58" s="56">
        <f>IFERROR(IF(($N58)&gt;0,($K58*cfg_TroyOz)/($N58),""),"")</f>
        <v/>
      </c>
      <c r="R58" s="55">
        <f>$F58-$L58</f>
        <v/>
      </c>
      <c r="S58" s="55">
        <f>IF($B58=$B57,$S57,0)+$R58</f>
        <v/>
      </c>
      <c r="T58" s="55">
        <f>$T57+$R58</f>
        <v/>
      </c>
      <c r="U58" s="55">
        <f>SUMIFS(tblMovement[Tonnes_t],tblMovement[Date],$A58,tblMovement[Is_Ore],0,tblMovement[Source_Type],"Pit")</f>
        <v/>
      </c>
      <c r="V58" s="55">
        <f>IF($B58=$B57,$V57,0)+$U58</f>
        <v/>
      </c>
      <c r="W58" s="55">
        <f>$W57+$U58</f>
        <v/>
      </c>
      <c r="X58" s="55">
        <f>$F58+$U58</f>
        <v/>
      </c>
      <c r="Y58" s="55">
        <f>IF($B58=$B57,$Y57,0)+$X58</f>
        <v/>
      </c>
      <c r="Z58" s="55">
        <f>$Z57+$X58</f>
        <v/>
      </c>
      <c r="AA58" s="56">
        <f>IFERROR(IF(($F58)&gt;0,($U58)/($F58),""),"")</f>
        <v/>
      </c>
      <c r="AB58" s="56">
        <f>IFERROR(IF(($G58)&gt;0,($V58)/($G58),""),"")</f>
        <v/>
      </c>
      <c r="AC58" s="56">
        <f>IFERROR(IF(($H58)&gt;0,($W58)/($H58),""),"")</f>
        <v/>
      </c>
      <c r="AD58" s="55">
        <f>SUMIFS(tblMovement[Tonnes_t],tblMovement[Date],$A58,tblMovement[Source_Type],"Stockpile")</f>
        <v/>
      </c>
      <c r="AE58" s="55">
        <f>IF($B58=$B57,$AE57,0)+$AD58</f>
        <v/>
      </c>
      <c r="AF58" s="55">
        <f>$AF57+$AD58</f>
        <v/>
      </c>
      <c r="AG58" s="55">
        <f>SUMIFS(tblMovement[Tonnes_t],tblMovement[Date],$A58)</f>
        <v/>
      </c>
      <c r="AH58" s="55">
        <f>IF($B58=$B57,$AH57,0)+$AG58</f>
        <v/>
      </c>
      <c r="AI58" s="55">
        <f>$AI57+$AG58</f>
        <v/>
      </c>
      <c r="AJ58" s="55">
        <f>$AG58-$X58-$AD58</f>
        <v/>
      </c>
      <c r="AK58" s="55">
        <f>IF($B58=$B57,$AK57,0)+$AJ58</f>
        <v/>
      </c>
      <c r="AL58" s="55">
        <f>$AL57+$AJ58</f>
        <v/>
      </c>
      <c r="AM58" s="55">
        <f>SUMIFS(tblMiningDaily[Drill_m],tblMiningDaily[Date],$A58)</f>
        <v/>
      </c>
      <c r="AN58" s="55">
        <f>IF($B58=$B57,$AN57,0)+$AM58</f>
        <v/>
      </c>
      <c r="AO58" s="55">
        <f>$AO57+$AM58</f>
        <v/>
      </c>
      <c r="AP58" s="55">
        <f>SUMIFS(tblMiningDaily[GC_Drill_m],tblMiningDaily[Date],$A58)</f>
        <v/>
      </c>
      <c r="AQ58" s="55">
        <f>IF($B58=$B57,$AQ57,0)+$AP58</f>
        <v/>
      </c>
      <c r="AR58" s="55">
        <f>$AR57+$AP58</f>
        <v/>
      </c>
      <c r="AS58" s="55">
        <f>SUMIFS(tblMiningDaily[Blast_t],tblMiningDaily[Date],$A58)</f>
        <v/>
      </c>
      <c r="AT58" s="55">
        <f>IF($B58=$B57,$AT57,0)+$AS58</f>
        <v/>
      </c>
      <c r="AU58" s="55">
        <f>$AU57+$AS58</f>
        <v/>
      </c>
      <c r="AV58" s="55">
        <f>SUMIFS(tblMiningDaily[Explosives_kg],tblMiningDaily[Date],$A58)</f>
        <v/>
      </c>
      <c r="AW58" s="55">
        <f>IF($B58=$B57,$AW57,0)+$AV58</f>
        <v/>
      </c>
      <c r="AX58" s="55">
        <f>$AX57+$AV58</f>
        <v/>
      </c>
      <c r="AY58" s="56">
        <f>IFERROR(IF(($AS58)&gt;0,($AV58)/($AS58),""),"")</f>
        <v/>
      </c>
      <c r="AZ58" s="56">
        <f>IFERROR(IF(($AT58)&gt;0,($AW58)/($AT58),""),"")</f>
        <v/>
      </c>
      <c r="BA58" s="56">
        <f>IFERROR(IF(($AU58)&gt;0,($AX58)/($AU58),""),"")</f>
        <v/>
      </c>
      <c r="BB58" s="55">
        <f>SUMIFS(tblMiningDaily[Diesel_L],tblMiningDaily[Date],$A58)</f>
        <v/>
      </c>
      <c r="BC58" s="55">
        <f>IF($B58=$B57,$BC57,0)+$BB58</f>
        <v/>
      </c>
      <c r="BD58" s="55">
        <f>$BD57+$BB58</f>
        <v/>
      </c>
      <c r="BE58" s="55">
        <f>SUMIFS(tblMiningDaily[Dewatering_m3],tblMiningDaily[Date],$A58)</f>
        <v/>
      </c>
      <c r="BF58" s="55">
        <f>IF($B58=$B57,$BF57,0)+$BE58</f>
        <v/>
      </c>
      <c r="BG58" s="55">
        <f>$BG57+$BE58</f>
        <v/>
      </c>
      <c r="BH58" s="57">
        <f>SUMIFS(tblFleet[Calendar_h],tblFleet[Date],$A58,tblFleet[Equipment_Class],"Excavator")</f>
        <v/>
      </c>
      <c r="BI58" s="57">
        <f>IF($B58=$B57,$BI57,0)+$BH58</f>
        <v/>
      </c>
      <c r="BJ58" s="57">
        <f>$BJ57+$BH58</f>
        <v/>
      </c>
      <c r="BK58" s="57">
        <f>SUMIFS(tblFleet[Available_h],tblFleet[Date],$A58,tblFleet[Equipment_Class],"Excavator")</f>
        <v/>
      </c>
      <c r="BL58" s="57">
        <f>IF($B58=$B57,$BL57,0)+$BK58</f>
        <v/>
      </c>
      <c r="BM58" s="57">
        <f>$BM57+$BK58</f>
        <v/>
      </c>
      <c r="BN58" s="57">
        <f>SUMIFS(tblFleet[Operating_h],tblFleet[Date],$A58,tblFleet[Equipment_Class],"Excavator")</f>
        <v/>
      </c>
      <c r="BO58" s="57">
        <f>IF($B58=$B57,$BO57,0)+$BN58</f>
        <v/>
      </c>
      <c r="BP58" s="57">
        <f>$BP57+$BN58</f>
        <v/>
      </c>
      <c r="BQ58" s="67">
        <f>IFERROR(IF(($BH58)&gt;0,($BK58)/($BH58),""),"")</f>
        <v/>
      </c>
      <c r="BR58" s="67">
        <f>IFERROR(IF(($BI58)&gt;0,($BL58)/($BI58),""),"")</f>
        <v/>
      </c>
      <c r="BS58" s="67">
        <f>IFERROR(IF(($BJ58)&gt;0,($BM58)/($BJ58),""),"")</f>
        <v/>
      </c>
      <c r="BT58" s="67">
        <f>IFERROR(IF(($BK58)&gt;0,($BN58)/($BK58),""),"")</f>
        <v/>
      </c>
      <c r="BU58" s="67">
        <f>IFERROR(IF(($BL58)&gt;0,($BO58)/($BL58),""),"")</f>
        <v/>
      </c>
      <c r="BV58" s="67">
        <f>IFERROR(IF(($BM58)&gt;0,($BP58)/($BM58),""),"")</f>
        <v/>
      </c>
      <c r="BW58" s="57">
        <f>SUMIFS(tblFleet[Calendar_h],tblFleet[Date],$A58,tblFleet[Equipment_Class],"Haul Truck")</f>
        <v/>
      </c>
      <c r="BX58" s="57">
        <f>IF($B58=$B57,$BX57,0)+$BW58</f>
        <v/>
      </c>
      <c r="BY58" s="57">
        <f>$BY57+$BW58</f>
        <v/>
      </c>
      <c r="BZ58" s="57">
        <f>SUMIFS(tblFleet[Available_h],tblFleet[Date],$A58,tblFleet[Equipment_Class],"Haul Truck")</f>
        <v/>
      </c>
      <c r="CA58" s="57">
        <f>IF($B58=$B57,$CA57,0)+$BZ58</f>
        <v/>
      </c>
      <c r="CB58" s="57">
        <f>$CB57+$BZ58</f>
        <v/>
      </c>
      <c r="CC58" s="57">
        <f>SUMIFS(tblFleet[Operating_h],tblFleet[Date],$A58,tblFleet[Equipment_Class],"Haul Truck")</f>
        <v/>
      </c>
      <c r="CD58" s="57">
        <f>IF($B58=$B57,$CD57,0)+$CC58</f>
        <v/>
      </c>
      <c r="CE58" s="57">
        <f>$CE57+$CC58</f>
        <v/>
      </c>
      <c r="CF58" s="67">
        <f>IFERROR(IF(($BW58)&gt;0,($BZ58)/($BW58),""),"")</f>
        <v/>
      </c>
      <c r="CG58" s="67">
        <f>IFERROR(IF(($BX58)&gt;0,($CA58)/($BX58),""),"")</f>
        <v/>
      </c>
      <c r="CH58" s="67">
        <f>IFERROR(IF(($BY58)&gt;0,($CB58)/($BY58),""),"")</f>
        <v/>
      </c>
      <c r="CI58" s="67">
        <f>IFERROR(IF(($BZ58)&gt;0,($CC58)/($BZ58),""),"")</f>
        <v/>
      </c>
      <c r="CJ58" s="67">
        <f>IFERROR(IF(($CA58)&gt;0,($CD58)/($CA58),""),"")</f>
        <v/>
      </c>
      <c r="CK58" s="67">
        <f>IFERROR(IF(($CB58)&gt;0,($CE58)/($CB58),""),"")</f>
        <v/>
      </c>
      <c r="CL58" s="55">
        <f>IFERROR(IF(($BN58)&gt;0,($X58+$AD58)/($BN58),""),"")</f>
        <v/>
      </c>
      <c r="CM58" s="55">
        <f>IFERROR(IF(($BO58)&gt;0,($Y58+$AE58)/($BO58),""),"")</f>
        <v/>
      </c>
      <c r="CN58" s="55">
        <f>IFERROR(IF(($BP58)&gt;0,($Z58+$AF58)/($BP58),""),"")</f>
        <v/>
      </c>
      <c r="CO58" s="55">
        <f>IFERROR(IF(($CC58)&gt;0,($X58+$AD58)/($CC58),""),"")</f>
        <v/>
      </c>
      <c r="CP58" s="55">
        <f>IFERROR(IF(($CD58)&gt;0,($Y58+$AE58)/($CD58),""),"")</f>
        <v/>
      </c>
      <c r="CQ58" s="55">
        <f>IFERROR(IF(($CE58)&gt;0,($Z58+$AF58)/($CE58),""),"")</f>
        <v/>
      </c>
      <c r="CR58" s="55">
        <f>SUMIFS(tblPlant[Crushed_t],tblPlant[Date],$A58)</f>
        <v/>
      </c>
      <c r="CS58" s="55">
        <f>IF($B58=$B57,$CS57,0)+$CR58</f>
        <v/>
      </c>
      <c r="CT58" s="55">
        <f>$CT57+$CR58</f>
        <v/>
      </c>
      <c r="CU58" s="55">
        <f>SUMIFS(tblPlant[Milled_t],tblPlant[Date],$A58)</f>
        <v/>
      </c>
      <c r="CV58" s="55">
        <f>IF($B58=$B57,$CV57,0)+$CU58</f>
        <v/>
      </c>
      <c r="CW58" s="55">
        <f>$CW57+$CU58</f>
        <v/>
      </c>
      <c r="CX58" s="55">
        <f>SUMIFS(tblPlant[Feed_oz],tblPlant[Date],$A58)</f>
        <v/>
      </c>
      <c r="CY58" s="55">
        <f>IF($B58=$B57,$CY57,0)+$CX58</f>
        <v/>
      </c>
      <c r="CZ58" s="55">
        <f>$CZ57+$CX58</f>
        <v/>
      </c>
      <c r="DA58" s="55">
        <f>SUMIFS(tblPlant[Tails_oz],tblPlant[Date],$A58)</f>
        <v/>
      </c>
      <c r="DB58" s="55">
        <f>IF($B58=$B57,$DB57,0)+$DA58</f>
        <v/>
      </c>
      <c r="DC58" s="55">
        <f>$DC57+$DA58</f>
        <v/>
      </c>
      <c r="DD58" s="55">
        <f>SUMIFS(tblPlant[Recovered_oz],tblPlant[Date],$A58)</f>
        <v/>
      </c>
      <c r="DE58" s="55">
        <f>IF($B58=$B57,$DE57,0)+$DD58</f>
        <v/>
      </c>
      <c r="DF58" s="55">
        <f>$DF57+$DD58</f>
        <v/>
      </c>
      <c r="DG58" s="55">
        <f>SUMIFS(tblPlant[Milled_t],tblPlant[Date],$A58,tblPlant[Head_Grade_gpt],"&lt;&gt;")</f>
        <v/>
      </c>
      <c r="DH58" s="55">
        <f>IF($B58=$B57,$DH57,0)+$DG58</f>
        <v/>
      </c>
      <c r="DI58" s="55">
        <f>$DI57+$DG58</f>
        <v/>
      </c>
      <c r="DJ58" s="55">
        <f>SUMIFS(tblPlant[Milled_t],tblPlant[Date],$A58,tblPlant[Tails_Grade_gpt],"&lt;&gt;")</f>
        <v/>
      </c>
      <c r="DK58" s="55">
        <f>IF($B58=$B57,$DK57,0)+$DJ58</f>
        <v/>
      </c>
      <c r="DL58" s="55">
        <f>$DL57+$DJ58</f>
        <v/>
      </c>
      <c r="DM58" s="55">
        <f>SUMIFS(tblPlant[Feed_oz],tblPlant[Date],$A58,tblPlant[Tails_Grade_gpt],"&lt;&gt;")</f>
        <v/>
      </c>
      <c r="DN58" s="55">
        <f>IF($B58=$B57,$DN57,0)+$DM58</f>
        <v/>
      </c>
      <c r="DO58" s="55">
        <f>$DO57+$DM58</f>
        <v/>
      </c>
      <c r="DP58" s="55">
        <f>SUMIFS(tblPlant[Milled_t],tblPlant[Date],$A58,tblPlant[Mill_Run_h],"&lt;&gt;")</f>
        <v/>
      </c>
      <c r="DQ58" s="55">
        <f>IF($B58=$B57,$DQ57,0)+$DP58</f>
        <v/>
      </c>
      <c r="DR58" s="55">
        <f>$DR57+$DP58</f>
        <v/>
      </c>
      <c r="DS58" s="56">
        <f>IFERROR(IF(($DG58)&gt;0,($CX58*cfg_TroyOz)/($DG58),""),"")</f>
        <v/>
      </c>
      <c r="DT58" s="56">
        <f>IFERROR(IF(($DH58)&gt;0,($CY58*cfg_TroyOz)/($DH58),""),"")</f>
        <v/>
      </c>
      <c r="DU58" s="56">
        <f>IFERROR(IF(($DI58)&gt;0,($CZ58*cfg_TroyOz)/($DI58),""),"")</f>
        <v/>
      </c>
      <c r="DV58" s="56">
        <f>IFERROR(IF(($DJ58)&gt;0,($DA58*cfg_TroyOz)/($DJ58),""),"")</f>
        <v/>
      </c>
      <c r="DW58" s="56">
        <f>IFERROR(IF(($DK58)&gt;0,($DB58*cfg_TroyOz)/($DK58),""),"")</f>
        <v/>
      </c>
      <c r="DX58" s="56">
        <f>IFERROR(IF(($DL58)&gt;0,($DC58*cfg_TroyOz)/($DL58),""),"")</f>
        <v/>
      </c>
      <c r="DY58" s="67">
        <f>IFERROR(IF(($DM58)&gt;0,($DD58)/($DM58),""),"")</f>
        <v/>
      </c>
      <c r="DZ58" s="67">
        <f>IFERROR(IF(($DN58)&gt;0,($DE58)/($DN58),""),"")</f>
        <v/>
      </c>
      <c r="EA58" s="67">
        <f>IFERROR(IF(($DO58)&gt;0,($DF58)/($DO58),""),"")</f>
        <v/>
      </c>
      <c r="EB58" s="55">
        <f>SUMIFS(tblPlant[Gravity_Gold_oz],tblPlant[Date],$A58)</f>
        <v/>
      </c>
      <c r="EC58" s="55">
        <f>IF($B58=$B57,$EC57,0)+$EB58</f>
        <v/>
      </c>
      <c r="ED58" s="55">
        <f>$ED57+$EB58</f>
        <v/>
      </c>
      <c r="EE58" s="67">
        <f>IFERROR(IF(($DD58)&gt;0,($EB58)/($DD58),""),"")</f>
        <v/>
      </c>
      <c r="EF58" s="67">
        <f>IFERROR(IF(($DE58)&gt;0,($EC58)/($DE58),""),"")</f>
        <v/>
      </c>
      <c r="EG58" s="67">
        <f>IFERROR(IF(($DF58)&gt;0,($ED58)/($DF58),""),"")</f>
        <v/>
      </c>
      <c r="EH58" s="55">
        <f>SUMIFS(tblPlant[Gold_Poured_oz],tblPlant[Date],$A58)</f>
        <v/>
      </c>
      <c r="EI58" s="55">
        <f>IF($B58=$B57,$EI57,0)+$EH58</f>
        <v/>
      </c>
      <c r="EJ58" s="55">
        <f>$EJ57+$EH58</f>
        <v/>
      </c>
      <c r="EK58" s="57">
        <f>SUMIFS(tblPlant[Mill_Run_h],tblPlant[Date],$A58)</f>
        <v/>
      </c>
      <c r="EL58" s="57">
        <f>IF($B58=$B57,$EL57,0)+$EK58</f>
        <v/>
      </c>
      <c r="EM58" s="57">
        <f>$EM57+$EK58</f>
        <v/>
      </c>
      <c r="EN58" s="57">
        <f>SUMIFS(tblPlant[Mill_Planned_Maint_h],tblPlant[Date],$A58)</f>
        <v/>
      </c>
      <c r="EO58" s="57">
        <f>IF($B58=$B57,$EO57,0)+$EN58</f>
        <v/>
      </c>
      <c r="EP58" s="57">
        <f>$EP57+$EN58</f>
        <v/>
      </c>
      <c r="EQ58" s="57">
        <f>SUMIFS(tblPlant[Mill_Unplanned_Down_h],tblPlant[Date],$A58)</f>
        <v/>
      </c>
      <c r="ER58" s="57">
        <f>IF($B58=$B57,$ER57,0)+$EQ58</f>
        <v/>
      </c>
      <c r="ES58" s="57">
        <f>$ES57+$EQ58</f>
        <v/>
      </c>
      <c r="ET58" s="57">
        <f>IF(COUNTIFS(tblPlant[Date],$A58,tblPlant[Mill_Run_h],"&lt;&gt;")+COUNTIFS(tblPlant[Date],$A58,tblPlant[Mill_Planned_Maint_h],"&lt;&gt;")+COUNTIFS(tblPlant[Date],$A58,tblPlant[Mill_Unplanned_Down_h],"&lt;&gt;")&gt;0,cfg_HoursPerDay,0)</f>
        <v/>
      </c>
      <c r="EU58" s="57">
        <f>IF($B58=$B57,$EU57,0)+$ET58</f>
        <v/>
      </c>
      <c r="EV58" s="57">
        <f>$EV57+$ET58</f>
        <v/>
      </c>
      <c r="EW58" s="57">
        <f>SUMIFS(tblPlant[Crusher_Run_h],tblPlant[Date],$A58)</f>
        <v/>
      </c>
      <c r="EX58" s="57">
        <f>IF($B58=$B57,$EX57,0)+$EW58</f>
        <v/>
      </c>
      <c r="EY58" s="57">
        <f>$EY57+$EW58</f>
        <v/>
      </c>
      <c r="EZ58" s="55">
        <f>IFERROR(IF(($EK58)&gt;0,($DP58)/($EK58),""),"")</f>
        <v/>
      </c>
      <c r="FA58" s="55">
        <f>IFERROR(IF(($EL58)&gt;0,($DQ58)/($EL58),""),"")</f>
        <v/>
      </c>
      <c r="FB58" s="55">
        <f>IFERROR(IF(($EM58)&gt;0,($DR58)/($EM58),""),"")</f>
        <v/>
      </c>
      <c r="FC58" s="67">
        <f>IFERROR(IF(($ET58)&gt;0,($ET58-$EN58-$EQ58)/($ET58),""),"")</f>
        <v/>
      </c>
      <c r="FD58" s="67">
        <f>IFERROR(IF(($EU58)&gt;0,($EU58-$EO58-$ER58)/($EU58),""),"")</f>
        <v/>
      </c>
      <c r="FE58" s="67">
        <f>IFERROR(IF(($EV58)&gt;0,($EV58-$EP58-$ES58)/($EV58),""),"")</f>
        <v/>
      </c>
      <c r="FF58" s="67">
        <f>IFERROR(IF(($ET58-$EN58-$EQ58)&gt;0,($EK58)/($ET58-$EN58-$EQ58),""),"")</f>
        <v/>
      </c>
      <c r="FG58" s="67">
        <f>IFERROR(IF(($EU58-$EO58-$ER58)&gt;0,($EL58)/($EU58-$EO58-$ER58),""),"")</f>
        <v/>
      </c>
      <c r="FH58" s="67">
        <f>IFERROR(IF(($EV58-$EP58-$ES58)&gt;0,($EM58)/($EV58-$EP58-$ES58),""),"")</f>
        <v/>
      </c>
      <c r="FI58" s="55">
        <f>SUMIFS(tblPlant[Cyanide_kg],tblPlant[Date],$A58)</f>
        <v/>
      </c>
      <c r="FJ58" s="55">
        <f>IF($B58=$B57,$FJ57,0)+$FI58</f>
        <v/>
      </c>
      <c r="FK58" s="55">
        <f>$FK57+$FI58</f>
        <v/>
      </c>
      <c r="FL58" s="55">
        <f>SUMIFS(tblPlant[Lime_kg],tblPlant[Date],$A58)</f>
        <v/>
      </c>
      <c r="FM58" s="55">
        <f>IF($B58=$B57,$FM57,0)+$FL58</f>
        <v/>
      </c>
      <c r="FN58" s="55">
        <f>$FN57+$FL58</f>
        <v/>
      </c>
      <c r="FO58" s="55">
        <f>SUMIFS(tblPlant[Grinding_Media_kg],tblPlant[Date],$A58)</f>
        <v/>
      </c>
      <c r="FP58" s="55">
        <f>IF($B58=$B57,$FP57,0)+$FO58</f>
        <v/>
      </c>
      <c r="FQ58" s="55">
        <f>$FQ57+$FO58</f>
        <v/>
      </c>
      <c r="FR58" s="55">
        <f>SUMIFS(tblPlant[Power_kWh],tblPlant[Date],$A58)</f>
        <v/>
      </c>
      <c r="FS58" s="55">
        <f>IF($B58=$B57,$FS57,0)+$FR58</f>
        <v/>
      </c>
      <c r="FT58" s="55">
        <f>$FT57+$FR58</f>
        <v/>
      </c>
      <c r="FU58" s="55">
        <f>SUMIFS(tblPlant[Raw_Water_m3],tblPlant[Date],$A58)</f>
        <v/>
      </c>
      <c r="FV58" s="55">
        <f>IF($B58=$B57,$FV57,0)+$FU58</f>
        <v/>
      </c>
      <c r="FW58" s="55">
        <f>$FW57+$FU58</f>
        <v/>
      </c>
      <c r="FX58" s="56">
        <f>IFERROR(IF(($CU58)&gt;0,($FI58)/($CU58),""),"")</f>
        <v/>
      </c>
      <c r="FY58" s="56">
        <f>IFERROR(IF(($CV58)&gt;0,($FJ58)/($CV58),""),"")</f>
        <v/>
      </c>
      <c r="FZ58" s="56">
        <f>IFERROR(IF(($CW58)&gt;0,($FK58)/($CW58),""),"")</f>
        <v/>
      </c>
      <c r="GA58" s="56">
        <f>IFERROR(IF(($CU58)&gt;0,($FL58)/($CU58),""),"")</f>
        <v/>
      </c>
      <c r="GB58" s="56">
        <f>IFERROR(IF(($CV58)&gt;0,($FM58)/($CV58),""),"")</f>
        <v/>
      </c>
      <c r="GC58" s="56">
        <f>IFERROR(IF(($CW58)&gt;0,($FN58)/($CW58),""),"")</f>
        <v/>
      </c>
      <c r="GD58" s="56">
        <f>IFERROR(IF(($CU58)&gt;0,($FO58)/($CU58),""),"")</f>
        <v/>
      </c>
      <c r="GE58" s="56">
        <f>IFERROR(IF(($CV58)&gt;0,($FP58)/($CV58),""),"")</f>
        <v/>
      </c>
      <c r="GF58" s="56">
        <f>IFERROR(IF(($CW58)&gt;0,($FQ58)/($CW58),""),"")</f>
        <v/>
      </c>
      <c r="GG58" s="79">
        <f>IFERROR(IF(($CU58)&gt;0,($FR58)/($CU58),""),"")</f>
        <v/>
      </c>
      <c r="GH58" s="79">
        <f>IFERROR(IF(($CV58)&gt;0,($FS58)/($CV58),""),"")</f>
        <v/>
      </c>
      <c r="GI58" s="79">
        <f>IFERROR(IF(($CW58)&gt;0,($FT58)/($CW58),""),"")</f>
        <v/>
      </c>
      <c r="GJ58" s="56">
        <f>IFERROR(IF(($CU58)&gt;0,($FU58)/($CU58),""),"")</f>
        <v/>
      </c>
      <c r="GK58" s="56">
        <f>IFERROR(IF(($CV58)&gt;0,($FV58)/($CV58),""),"")</f>
        <v/>
      </c>
      <c r="GL58" s="56">
        <f>IFERROR(IF(($CW58)&gt;0,($FW58)/($CW58),""),"")</f>
        <v/>
      </c>
      <c r="GM58" s="55">
        <f>IF(SUMIFS(tblPlant[GIC_oz],tblPlant[Date],$A58)&gt;0,SUMIFS(tblPlant[GIC_oz],tblPlant[Date],$A58),"")</f>
        <v/>
      </c>
      <c r="GN58" s="55">
        <f>SUMIFS(tblGold[Gold_oz],tblGold[Date],$A58,tblGold[Type],"Shipment")</f>
        <v/>
      </c>
      <c r="GO58" s="55">
        <f>IF($B58=$B57,$GO57,0)+$GN58</f>
        <v/>
      </c>
      <c r="GP58" s="55">
        <f>$GP57+$GN58</f>
        <v/>
      </c>
      <c r="GQ58" s="55">
        <f>SUMIFS(tblGold[Gold_oz],tblGold[Date],$A58,tblGold[Type],"Sale")</f>
        <v/>
      </c>
      <c r="GR58" s="55">
        <f>IF($B58=$B57,$GR57,0)+$GQ58</f>
        <v/>
      </c>
      <c r="GS58" s="55">
        <f>$GS57+$GQ58</f>
        <v/>
      </c>
      <c r="GT58" s="55">
        <f>SUMIFS(tblGold[Dore_kg],tblGold[Date],$A58,tblGold[Type],"Shipment")</f>
        <v/>
      </c>
      <c r="GU58" s="55">
        <f>IF($B58=$B57,$GU57,0)+$GT58</f>
        <v/>
      </c>
      <c r="GV58" s="55">
        <f>$GV57+$GT58</f>
        <v/>
      </c>
      <c r="GW58" s="57">
        <f>SUMIFS(tblSafety[Hours_Total],tblSafety[Date],$A58)</f>
        <v/>
      </c>
      <c r="GX58" s="57">
        <f>IF($B58=$B57,$GX57,0)+$GW58</f>
        <v/>
      </c>
      <c r="GY58" s="57">
        <f>$GY57+$GW58</f>
        <v/>
      </c>
      <c r="GZ58" s="62">
        <f>SUMIFS(tblSafety[Fatality],tblSafety[Date],$A58)</f>
        <v/>
      </c>
      <c r="HA58" s="62">
        <f>IF($B58=$B57,$HA57,0)+$GZ58</f>
        <v/>
      </c>
      <c r="HB58" s="62">
        <f>$HB57+$GZ58</f>
        <v/>
      </c>
      <c r="HC58" s="62">
        <f>SUMIFS(tblSafety[LTI],tblSafety[Date],$A58)</f>
        <v/>
      </c>
      <c r="HD58" s="62">
        <f>IF($B58=$B57,$HD57,0)+$HC58</f>
        <v/>
      </c>
      <c r="HE58" s="62">
        <f>$HE57+$HC58</f>
        <v/>
      </c>
      <c r="HF58" s="62">
        <f>SUMIFS(tblSafety[RWI],tblSafety[Date],$A58)</f>
        <v/>
      </c>
      <c r="HG58" s="62">
        <f>IF($B58=$B57,$HG57,0)+$HF58</f>
        <v/>
      </c>
      <c r="HH58" s="62">
        <f>$HH57+$HF58</f>
        <v/>
      </c>
      <c r="HI58" s="62">
        <f>SUMIFS(tblSafety[MTI],tblSafety[Date],$A58)</f>
        <v/>
      </c>
      <c r="HJ58" s="62">
        <f>IF($B58=$B57,$HJ57,0)+$HI58</f>
        <v/>
      </c>
      <c r="HK58" s="62">
        <f>$HK57+$HI58</f>
        <v/>
      </c>
      <c r="HL58" s="62">
        <f>SUMIFS(tblSafety[FAI],tblSafety[Date],$A58)</f>
        <v/>
      </c>
      <c r="HM58" s="62">
        <f>IF($B58=$B57,$HM57,0)+$HL58</f>
        <v/>
      </c>
      <c r="HN58" s="62">
        <f>$HN57+$HL58</f>
        <v/>
      </c>
      <c r="HO58" s="62">
        <f>SUMIFS(tblSafety[Recordables],tblSafety[Date],$A58)</f>
        <v/>
      </c>
      <c r="HP58" s="62">
        <f>IF($B58=$B57,$HP57,0)+$HO58</f>
        <v/>
      </c>
      <c r="HQ58" s="62">
        <f>$HQ57+$HO58</f>
        <v/>
      </c>
      <c r="HR58" s="62">
        <f>SUMIFS(tblSafety[Near_Miss],tblSafety[Date],$A58)</f>
        <v/>
      </c>
      <c r="HS58" s="62">
        <f>IF($B58=$B57,$HS57,0)+$HR58</f>
        <v/>
      </c>
      <c r="HT58" s="62">
        <f>$HT57+$HR58</f>
        <v/>
      </c>
      <c r="HU58" s="62">
        <f>SUMIFS(tblSafety[Hazard_Reports],tblSafety[Date],$A58)</f>
        <v/>
      </c>
      <c r="HV58" s="62">
        <f>IF($B58=$B57,$HV57,0)+$HU58</f>
        <v/>
      </c>
      <c r="HW58" s="62">
        <f>$HW57+$HU58</f>
        <v/>
      </c>
      <c r="HX58" s="62">
        <f>SUMIFS(tblSafety[HPI],tblSafety[Date],$A58)</f>
        <v/>
      </c>
      <c r="HY58" s="62">
        <f>IF($B58=$B57,$HY57,0)+$HX58</f>
        <v/>
      </c>
      <c r="HZ58" s="62">
        <f>$HZ57+$HX58</f>
        <v/>
      </c>
      <c r="IA58" s="62">
        <f>SUMIFS(tblSafety[Env_Incidents],tblSafety[Date],$A58)</f>
        <v/>
      </c>
      <c r="IB58" s="62">
        <f>IF($B58=$B57,$IB57,0)+$IA58</f>
        <v/>
      </c>
      <c r="IC58" s="62">
        <f>$IC57+$IA58</f>
        <v/>
      </c>
      <c r="ID58" s="62">
        <f>SUMIFS(tblSafety[Community_Incidents],tblSafety[Date],$A58)</f>
        <v/>
      </c>
      <c r="IE58" s="62">
        <f>IF($B58=$B57,$IE57,0)+$ID58</f>
        <v/>
      </c>
      <c r="IF58" s="62">
        <f>$IF57+$ID58</f>
        <v/>
      </c>
      <c r="IG58" s="62">
        <f>SUMIFS(tblSafety[Vehicle_Incidents],tblSafety[Date],$A58)</f>
        <v/>
      </c>
      <c r="IH58" s="62">
        <f>IF($B58=$B57,$IH57,0)+$IG58</f>
        <v/>
      </c>
      <c r="II58" s="62">
        <f>$II57+$IG58</f>
        <v/>
      </c>
      <c r="IJ58" s="62">
        <f>SUMIFS(tblSafety[Toolbox_Talks],tblSafety[Date],$A58)</f>
        <v/>
      </c>
      <c r="IK58" s="62">
        <f>IF($B58=$B57,$IK57,0)+$IJ58</f>
        <v/>
      </c>
      <c r="IL58" s="62">
        <f>$IL57+$IJ58</f>
        <v/>
      </c>
      <c r="IM58" s="62">
        <f>SUMIFS(tblSafety[Inspections],tblSafety[Date],$A58)</f>
        <v/>
      </c>
      <c r="IN58" s="62">
        <f>IF($B58=$B57,$IN57,0)+$IM58</f>
        <v/>
      </c>
      <c r="IO58" s="62">
        <f>$IO57+$IM58</f>
        <v/>
      </c>
      <c r="IP58" s="56">
        <f>IFERROR((SUMIFS(tblSafety[Recordables],tblSafety[Date],"&gt;="&amp;EDATE($E58,-12),tblSafety[Date],"&lt;="&amp;$A58)+SUMIFS(tblSafetyHistory[Recordables],tblSafetyHistory[Month],"&gt;="&amp;EDATE($E58,-12),tblSafetyHistory[Month],"&lt;"&amp;$E58,tblSafetyHistory[Use],1))/(SUMIFS(tblSafety[Hours_Total],tblSafety[Date],"&gt;="&amp;EDATE($E58,-12),tblSafety[Date],"&lt;="&amp;$A58)+SUMIFS(tblSafetyHistory[Hours_Total],tblSafetyHistory[Month],"&gt;="&amp;EDATE($E58,-12),tblSafetyHistory[Month],"&lt;"&amp;$E58,tblSafetyHistory[Use],1))*cfg_RateBasisHours,"")</f>
        <v/>
      </c>
      <c r="IQ58" s="56">
        <f>IFERROR((SUMIFS(tblSafety[LTI],tblSafety[Date],"&gt;="&amp;EDATE($E58,-12),tblSafety[Date],"&lt;="&amp;$A58)+SUMIFS(tblSafetyHistory[LTI],tblSafetyHistory[Month],"&gt;="&amp;EDATE($E58,-12),tblSafetyHistory[Month],"&lt;"&amp;$E58,tblSafetyHistory[Use],1))/(SUMIFS(tblSafety[Hours_Total],tblSafety[Date],"&gt;="&amp;EDATE($E58,-12),tblSafety[Date],"&lt;="&amp;$A58)+SUMIFS(tblSafetyHistory[Hours_Total],tblSafetyHistory[Month],"&gt;="&amp;EDATE($E58,-12),tblSafetyHistory[Month],"&lt;"&amp;$E58,tblSafetyHistory[Use],1))*cfg_RateBasisHours,"")</f>
        <v/>
      </c>
      <c r="IR58" s="62">
        <f>IF(MAX(N(cfg_PriorLTIDate),_xlfn.MAXIFS(tblSafety[Date],tblSafety[LTI],"&gt;0",tblSafety[Date],"&lt;="&amp;$A58))=0,"",$A58-MAX(N(cfg_PriorLTIDate),_xlfn.MAXIFS(tblSafety[Date],tblSafety[LTI],"&gt;0",tblSafety[Date],"&lt;="&amp;$A58)))</f>
        <v/>
      </c>
      <c r="IS58" s="55">
        <f>SUMIFS(tblBudget[Ore_Mined_t],tblBudget[Month],$E58)</f>
        <v/>
      </c>
      <c r="IT58" s="55">
        <f>$IS58*$C58/$D58</f>
        <v/>
      </c>
      <c r="IU58" s="55">
        <f>SUMIFS(tblBudget[Ore_Mined_t],tblBudget[Month],"&lt;"&amp;$E58)+$IT58</f>
        <v/>
      </c>
      <c r="IV58" s="55">
        <f>SUMIFS(tblBudget[Ore_oz],tblBudget[Month],$E58)</f>
        <v/>
      </c>
      <c r="IW58" s="55">
        <f>$IV58*$C58/$D58</f>
        <v/>
      </c>
      <c r="IX58" s="55">
        <f>SUMIFS(tblBudget[Ore_oz],tblBudget[Month],"&lt;"&amp;$E58)+$IW58</f>
        <v/>
      </c>
      <c r="IY58" s="55">
        <f>SUMIFS(tblBudget[Ore_Mined_t],tblBudget[Month],$E58)</f>
        <v/>
      </c>
      <c r="IZ58" s="55">
        <f>$IY58*$C58/$D58</f>
        <v/>
      </c>
      <c r="JA58" s="55">
        <f>SUMIFS(tblBudget[Ore_Mined_t],tblBudget[Month],"&lt;"&amp;$E58)+$IZ58</f>
        <v/>
      </c>
      <c r="JB58" s="56">
        <f>IFERROR(IF(($IY58)&gt;0,($IV58*cfg_TroyOz)/($IY58),""),"")</f>
        <v/>
      </c>
      <c r="JC58" s="56">
        <f>IFERROR(IF(($IZ58)&gt;0,($IW58*cfg_TroyOz)/($IZ58),""),"")</f>
        <v/>
      </c>
      <c r="JD58" s="56">
        <f>IFERROR(IF(($JA58)&gt;0,($IX58*cfg_TroyOz)/($JA58),""),"")</f>
        <v/>
      </c>
      <c r="JE58" s="55">
        <f>SUMIFS(tblBudget[Waste_t],tblBudget[Month],$E58)</f>
        <v/>
      </c>
      <c r="JF58" s="55">
        <f>$JE58*$C58/$D58</f>
        <v/>
      </c>
      <c r="JG58" s="55">
        <f>SUMIFS(tblBudget[Waste_t],tblBudget[Month],"&lt;"&amp;$E58)+$JF58</f>
        <v/>
      </c>
      <c r="JH58" s="55">
        <f>SUMIFS(tblBudget[TMM_t],tblBudget[Month],$E58)</f>
        <v/>
      </c>
      <c r="JI58" s="55">
        <f>$JH58*$C58/$D58</f>
        <v/>
      </c>
      <c r="JJ58" s="55">
        <f>SUMIFS(tblBudget[TMM_t],tblBudget[Month],"&lt;"&amp;$E58)+$JI58</f>
        <v/>
      </c>
      <c r="JK58" s="56">
        <f>IFERROR(IF(($IS58)&gt;0,($JE58)/($IS58),""),"")</f>
        <v/>
      </c>
      <c r="JL58" s="56">
        <f>IFERROR(IF(($IT58)&gt;0,($JF58)/($IT58),""),"")</f>
        <v/>
      </c>
      <c r="JM58" s="56">
        <f>IFERROR(IF(($IU58)&gt;0,($JG58)/($IU58),""),"")</f>
        <v/>
      </c>
      <c r="JN58" s="55">
        <f>SUMIFS(tblBudget[Drill_m],tblBudget[Month],$E58)</f>
        <v/>
      </c>
      <c r="JO58" s="55">
        <f>$JN58*$C58/$D58</f>
        <v/>
      </c>
      <c r="JP58" s="55">
        <f>SUMIFS(tblBudget[Drill_m],tblBudget[Month],"&lt;"&amp;$E58)+$JO58</f>
        <v/>
      </c>
      <c r="JQ58" s="55">
        <f>SUMIFS(tblBudget[Diesel_L],tblBudget[Month],$E58)</f>
        <v/>
      </c>
      <c r="JR58" s="55">
        <f>$JQ58*$C58/$D58</f>
        <v/>
      </c>
      <c r="JS58" s="55">
        <f>SUMIFS(tblBudget[Diesel_L],tblBudget[Month],"&lt;"&amp;$E58)+$JR58</f>
        <v/>
      </c>
      <c r="JT58" s="55">
        <f>SUMIFS(tblBudget[Milled_t],tblBudget[Month],$E58)</f>
        <v/>
      </c>
      <c r="JU58" s="55">
        <f>$JT58*$C58/$D58</f>
        <v/>
      </c>
      <c r="JV58" s="55">
        <f>SUMIFS(tblBudget[Milled_t],tblBudget[Month],"&lt;"&amp;$E58)+$JU58</f>
        <v/>
      </c>
      <c r="JW58" s="55">
        <f>SUMIFS(tblBudget[Feed_oz],tblBudget[Month],$E58)</f>
        <v/>
      </c>
      <c r="JX58" s="55">
        <f>$JW58*$C58/$D58</f>
        <v/>
      </c>
      <c r="JY58" s="55">
        <f>SUMIFS(tblBudget[Feed_oz],tblBudget[Month],"&lt;"&amp;$E58)+$JX58</f>
        <v/>
      </c>
      <c r="JZ58" s="55">
        <f>SUMIFS(tblBudget[Recovered_oz],tblBudget[Month],$E58)</f>
        <v/>
      </c>
      <c r="KA58" s="55">
        <f>$JZ58*$C58/$D58</f>
        <v/>
      </c>
      <c r="KB58" s="55">
        <f>SUMIFS(tblBudget[Recovered_oz],tblBudget[Month],"&lt;"&amp;$E58)+$KA58</f>
        <v/>
      </c>
      <c r="KC58" s="55">
        <f>SUMIFS(tblBudget[Milled_t],tblBudget[Month],$E58)</f>
        <v/>
      </c>
      <c r="KD58" s="55">
        <f>$KC58*$C58/$D58</f>
        <v/>
      </c>
      <c r="KE58" s="55">
        <f>SUMIFS(tblBudget[Milled_t],tblBudget[Month],"&lt;"&amp;$E58)+$KD58</f>
        <v/>
      </c>
      <c r="KF58" s="55">
        <f>SUMIFS(tblBudget[Feed_oz],tblBudget[Month],$E58)</f>
        <v/>
      </c>
      <c r="KG58" s="55">
        <f>$KF58*$C58/$D58</f>
        <v/>
      </c>
      <c r="KH58" s="55">
        <f>SUMIFS(tblBudget[Feed_oz],tblBudget[Month],"&lt;"&amp;$E58)+$KG58</f>
        <v/>
      </c>
      <c r="KI58" s="56">
        <f>IFERROR(IF(($KC58)&gt;0,($JW58*cfg_TroyOz)/($KC58),""),"")</f>
        <v/>
      </c>
      <c r="KJ58" s="56">
        <f>IFERROR(IF(($KD58)&gt;0,($JX58*cfg_TroyOz)/($KD58),""),"")</f>
        <v/>
      </c>
      <c r="KK58" s="56">
        <f>IFERROR(IF(($KE58)&gt;0,($JY58*cfg_TroyOz)/($KE58),""),"")</f>
        <v/>
      </c>
      <c r="KL58" s="67">
        <f>IFERROR(IF(($KF58)&gt;0,($JZ58)/($KF58),""),"")</f>
        <v/>
      </c>
      <c r="KM58" s="67">
        <f>IFERROR(IF(($KG58)&gt;0,($KA58)/($KG58),""),"")</f>
        <v/>
      </c>
      <c r="KN58" s="67">
        <f>IFERROR(IF(($KH58)&gt;0,($KB58)/($KH58),""),"")</f>
        <v/>
      </c>
      <c r="KO58" s="55">
        <f>SUMIFS(tblBudget[Gold_Poured_oz],tblBudget[Month],$E58)</f>
        <v/>
      </c>
      <c r="KP58" s="55">
        <f>$KO58*$C58/$D58</f>
        <v/>
      </c>
      <c r="KQ58" s="55">
        <f>SUMIFS(tblBudget[Gold_Poured_oz],tblBudget[Month],"&lt;"&amp;$E58)+$KP58</f>
        <v/>
      </c>
      <c r="KR58" s="57">
        <f>SUMIFS(tblBudget[Hours_Worked],tblBudget[Month],$E58)</f>
        <v/>
      </c>
      <c r="KS58" s="57">
        <f>$KR58*$C58/$D58</f>
        <v/>
      </c>
      <c r="KT58" s="57">
        <f>SUMIFS(tblBudget[Hours_Worked],tblBudget[Month],"&lt;"&amp;$E58)+$KS58</f>
        <v/>
      </c>
    </row>
    <row r="59">
      <c r="A59" s="54" t="n">
        <v>46080</v>
      </c>
      <c r="B59">
        <f>MONTH($A59)</f>
        <v/>
      </c>
      <c r="C59">
        <f>DAY($A59)</f>
        <v/>
      </c>
      <c r="D59">
        <f>DAY(EOMONTH($A59,0))</f>
        <v/>
      </c>
      <c r="E59" s="54">
        <f>DATE(YEAR($A59),MONTH($A59),1)</f>
        <v/>
      </c>
      <c r="F59" s="55">
        <f>SUMIFS(tblMovement[Tonnes_t],tblMovement[Date],$A59,tblMovement[Is_Ore],1,tblMovement[Source_Type],"Pit")</f>
        <v/>
      </c>
      <c r="G59" s="55">
        <f>IF($B59=$B58,$G58,0)+$F59</f>
        <v/>
      </c>
      <c r="H59" s="55">
        <f>$H58+$F59</f>
        <v/>
      </c>
      <c r="I59" s="55">
        <f>SUMIFS(tblMovement[Ore_oz],tblMovement[Date],$A59,tblMovement[Source_Type],"Pit")</f>
        <v/>
      </c>
      <c r="J59" s="55">
        <f>IF($B59=$B58,$J58,0)+$I59</f>
        <v/>
      </c>
      <c r="K59" s="55">
        <f>$K58+$I59</f>
        <v/>
      </c>
      <c r="L59" s="55">
        <f>SUMIFS(tblMovement[Tonnes_t],tblMovement[Date],$A59,tblMovement[Is_Ore],1,tblMovement[Source_Type],"Pit",tblMovement[Grade_gpt],"&lt;&gt;")</f>
        <v/>
      </c>
      <c r="M59" s="55">
        <f>IF($B59=$B58,$M58,0)+$L59</f>
        <v/>
      </c>
      <c r="N59" s="55">
        <f>$N58+$L59</f>
        <v/>
      </c>
      <c r="O59" s="56">
        <f>IFERROR(IF(($L59)&gt;0,($I59*cfg_TroyOz)/($L59),""),"")</f>
        <v/>
      </c>
      <c r="P59" s="56">
        <f>IFERROR(IF(($M59)&gt;0,($J59*cfg_TroyOz)/($M59),""),"")</f>
        <v/>
      </c>
      <c r="Q59" s="56">
        <f>IFERROR(IF(($N59)&gt;0,($K59*cfg_TroyOz)/($N59),""),"")</f>
        <v/>
      </c>
      <c r="R59" s="55">
        <f>$F59-$L59</f>
        <v/>
      </c>
      <c r="S59" s="55">
        <f>IF($B59=$B58,$S58,0)+$R59</f>
        <v/>
      </c>
      <c r="T59" s="55">
        <f>$T58+$R59</f>
        <v/>
      </c>
      <c r="U59" s="55">
        <f>SUMIFS(tblMovement[Tonnes_t],tblMovement[Date],$A59,tblMovement[Is_Ore],0,tblMovement[Source_Type],"Pit")</f>
        <v/>
      </c>
      <c r="V59" s="55">
        <f>IF($B59=$B58,$V58,0)+$U59</f>
        <v/>
      </c>
      <c r="W59" s="55">
        <f>$W58+$U59</f>
        <v/>
      </c>
      <c r="X59" s="55">
        <f>$F59+$U59</f>
        <v/>
      </c>
      <c r="Y59" s="55">
        <f>IF($B59=$B58,$Y58,0)+$X59</f>
        <v/>
      </c>
      <c r="Z59" s="55">
        <f>$Z58+$X59</f>
        <v/>
      </c>
      <c r="AA59" s="56">
        <f>IFERROR(IF(($F59)&gt;0,($U59)/($F59),""),"")</f>
        <v/>
      </c>
      <c r="AB59" s="56">
        <f>IFERROR(IF(($G59)&gt;0,($V59)/($G59),""),"")</f>
        <v/>
      </c>
      <c r="AC59" s="56">
        <f>IFERROR(IF(($H59)&gt;0,($W59)/($H59),""),"")</f>
        <v/>
      </c>
      <c r="AD59" s="55">
        <f>SUMIFS(tblMovement[Tonnes_t],tblMovement[Date],$A59,tblMovement[Source_Type],"Stockpile")</f>
        <v/>
      </c>
      <c r="AE59" s="55">
        <f>IF($B59=$B58,$AE58,0)+$AD59</f>
        <v/>
      </c>
      <c r="AF59" s="55">
        <f>$AF58+$AD59</f>
        <v/>
      </c>
      <c r="AG59" s="55">
        <f>SUMIFS(tblMovement[Tonnes_t],tblMovement[Date],$A59)</f>
        <v/>
      </c>
      <c r="AH59" s="55">
        <f>IF($B59=$B58,$AH58,0)+$AG59</f>
        <v/>
      </c>
      <c r="AI59" s="55">
        <f>$AI58+$AG59</f>
        <v/>
      </c>
      <c r="AJ59" s="55">
        <f>$AG59-$X59-$AD59</f>
        <v/>
      </c>
      <c r="AK59" s="55">
        <f>IF($B59=$B58,$AK58,0)+$AJ59</f>
        <v/>
      </c>
      <c r="AL59" s="55">
        <f>$AL58+$AJ59</f>
        <v/>
      </c>
      <c r="AM59" s="55">
        <f>SUMIFS(tblMiningDaily[Drill_m],tblMiningDaily[Date],$A59)</f>
        <v/>
      </c>
      <c r="AN59" s="55">
        <f>IF($B59=$B58,$AN58,0)+$AM59</f>
        <v/>
      </c>
      <c r="AO59" s="55">
        <f>$AO58+$AM59</f>
        <v/>
      </c>
      <c r="AP59" s="55">
        <f>SUMIFS(tblMiningDaily[GC_Drill_m],tblMiningDaily[Date],$A59)</f>
        <v/>
      </c>
      <c r="AQ59" s="55">
        <f>IF($B59=$B58,$AQ58,0)+$AP59</f>
        <v/>
      </c>
      <c r="AR59" s="55">
        <f>$AR58+$AP59</f>
        <v/>
      </c>
      <c r="AS59" s="55">
        <f>SUMIFS(tblMiningDaily[Blast_t],tblMiningDaily[Date],$A59)</f>
        <v/>
      </c>
      <c r="AT59" s="55">
        <f>IF($B59=$B58,$AT58,0)+$AS59</f>
        <v/>
      </c>
      <c r="AU59" s="55">
        <f>$AU58+$AS59</f>
        <v/>
      </c>
      <c r="AV59" s="55">
        <f>SUMIFS(tblMiningDaily[Explosives_kg],tblMiningDaily[Date],$A59)</f>
        <v/>
      </c>
      <c r="AW59" s="55">
        <f>IF($B59=$B58,$AW58,0)+$AV59</f>
        <v/>
      </c>
      <c r="AX59" s="55">
        <f>$AX58+$AV59</f>
        <v/>
      </c>
      <c r="AY59" s="56">
        <f>IFERROR(IF(($AS59)&gt;0,($AV59)/($AS59),""),"")</f>
        <v/>
      </c>
      <c r="AZ59" s="56">
        <f>IFERROR(IF(($AT59)&gt;0,($AW59)/($AT59),""),"")</f>
        <v/>
      </c>
      <c r="BA59" s="56">
        <f>IFERROR(IF(($AU59)&gt;0,($AX59)/($AU59),""),"")</f>
        <v/>
      </c>
      <c r="BB59" s="55">
        <f>SUMIFS(tblMiningDaily[Diesel_L],tblMiningDaily[Date],$A59)</f>
        <v/>
      </c>
      <c r="BC59" s="55">
        <f>IF($B59=$B58,$BC58,0)+$BB59</f>
        <v/>
      </c>
      <c r="BD59" s="55">
        <f>$BD58+$BB59</f>
        <v/>
      </c>
      <c r="BE59" s="55">
        <f>SUMIFS(tblMiningDaily[Dewatering_m3],tblMiningDaily[Date],$A59)</f>
        <v/>
      </c>
      <c r="BF59" s="55">
        <f>IF($B59=$B58,$BF58,0)+$BE59</f>
        <v/>
      </c>
      <c r="BG59" s="55">
        <f>$BG58+$BE59</f>
        <v/>
      </c>
      <c r="BH59" s="57">
        <f>SUMIFS(tblFleet[Calendar_h],tblFleet[Date],$A59,tblFleet[Equipment_Class],"Excavator")</f>
        <v/>
      </c>
      <c r="BI59" s="57">
        <f>IF($B59=$B58,$BI58,0)+$BH59</f>
        <v/>
      </c>
      <c r="BJ59" s="57">
        <f>$BJ58+$BH59</f>
        <v/>
      </c>
      <c r="BK59" s="57">
        <f>SUMIFS(tblFleet[Available_h],tblFleet[Date],$A59,tblFleet[Equipment_Class],"Excavator")</f>
        <v/>
      </c>
      <c r="BL59" s="57">
        <f>IF($B59=$B58,$BL58,0)+$BK59</f>
        <v/>
      </c>
      <c r="BM59" s="57">
        <f>$BM58+$BK59</f>
        <v/>
      </c>
      <c r="BN59" s="57">
        <f>SUMIFS(tblFleet[Operating_h],tblFleet[Date],$A59,tblFleet[Equipment_Class],"Excavator")</f>
        <v/>
      </c>
      <c r="BO59" s="57">
        <f>IF($B59=$B58,$BO58,0)+$BN59</f>
        <v/>
      </c>
      <c r="BP59" s="57">
        <f>$BP58+$BN59</f>
        <v/>
      </c>
      <c r="BQ59" s="67">
        <f>IFERROR(IF(($BH59)&gt;0,($BK59)/($BH59),""),"")</f>
        <v/>
      </c>
      <c r="BR59" s="67">
        <f>IFERROR(IF(($BI59)&gt;0,($BL59)/($BI59),""),"")</f>
        <v/>
      </c>
      <c r="BS59" s="67">
        <f>IFERROR(IF(($BJ59)&gt;0,($BM59)/($BJ59),""),"")</f>
        <v/>
      </c>
      <c r="BT59" s="67">
        <f>IFERROR(IF(($BK59)&gt;0,($BN59)/($BK59),""),"")</f>
        <v/>
      </c>
      <c r="BU59" s="67">
        <f>IFERROR(IF(($BL59)&gt;0,($BO59)/($BL59),""),"")</f>
        <v/>
      </c>
      <c r="BV59" s="67">
        <f>IFERROR(IF(($BM59)&gt;0,($BP59)/($BM59),""),"")</f>
        <v/>
      </c>
      <c r="BW59" s="57">
        <f>SUMIFS(tblFleet[Calendar_h],tblFleet[Date],$A59,tblFleet[Equipment_Class],"Haul Truck")</f>
        <v/>
      </c>
      <c r="BX59" s="57">
        <f>IF($B59=$B58,$BX58,0)+$BW59</f>
        <v/>
      </c>
      <c r="BY59" s="57">
        <f>$BY58+$BW59</f>
        <v/>
      </c>
      <c r="BZ59" s="57">
        <f>SUMIFS(tblFleet[Available_h],tblFleet[Date],$A59,tblFleet[Equipment_Class],"Haul Truck")</f>
        <v/>
      </c>
      <c r="CA59" s="57">
        <f>IF($B59=$B58,$CA58,0)+$BZ59</f>
        <v/>
      </c>
      <c r="CB59" s="57">
        <f>$CB58+$BZ59</f>
        <v/>
      </c>
      <c r="CC59" s="57">
        <f>SUMIFS(tblFleet[Operating_h],tblFleet[Date],$A59,tblFleet[Equipment_Class],"Haul Truck")</f>
        <v/>
      </c>
      <c r="CD59" s="57">
        <f>IF($B59=$B58,$CD58,0)+$CC59</f>
        <v/>
      </c>
      <c r="CE59" s="57">
        <f>$CE58+$CC59</f>
        <v/>
      </c>
      <c r="CF59" s="67">
        <f>IFERROR(IF(($BW59)&gt;0,($BZ59)/($BW59),""),"")</f>
        <v/>
      </c>
      <c r="CG59" s="67">
        <f>IFERROR(IF(($BX59)&gt;0,($CA59)/($BX59),""),"")</f>
        <v/>
      </c>
      <c r="CH59" s="67">
        <f>IFERROR(IF(($BY59)&gt;0,($CB59)/($BY59),""),"")</f>
        <v/>
      </c>
      <c r="CI59" s="67">
        <f>IFERROR(IF(($BZ59)&gt;0,($CC59)/($BZ59),""),"")</f>
        <v/>
      </c>
      <c r="CJ59" s="67">
        <f>IFERROR(IF(($CA59)&gt;0,($CD59)/($CA59),""),"")</f>
        <v/>
      </c>
      <c r="CK59" s="67">
        <f>IFERROR(IF(($CB59)&gt;0,($CE59)/($CB59),""),"")</f>
        <v/>
      </c>
      <c r="CL59" s="55">
        <f>IFERROR(IF(($BN59)&gt;0,($X59+$AD59)/($BN59),""),"")</f>
        <v/>
      </c>
      <c r="CM59" s="55">
        <f>IFERROR(IF(($BO59)&gt;0,($Y59+$AE59)/($BO59),""),"")</f>
        <v/>
      </c>
      <c r="CN59" s="55">
        <f>IFERROR(IF(($BP59)&gt;0,($Z59+$AF59)/($BP59),""),"")</f>
        <v/>
      </c>
      <c r="CO59" s="55">
        <f>IFERROR(IF(($CC59)&gt;0,($X59+$AD59)/($CC59),""),"")</f>
        <v/>
      </c>
      <c r="CP59" s="55">
        <f>IFERROR(IF(($CD59)&gt;0,($Y59+$AE59)/($CD59),""),"")</f>
        <v/>
      </c>
      <c r="CQ59" s="55">
        <f>IFERROR(IF(($CE59)&gt;0,($Z59+$AF59)/($CE59),""),"")</f>
        <v/>
      </c>
      <c r="CR59" s="55">
        <f>SUMIFS(tblPlant[Crushed_t],tblPlant[Date],$A59)</f>
        <v/>
      </c>
      <c r="CS59" s="55">
        <f>IF($B59=$B58,$CS58,0)+$CR59</f>
        <v/>
      </c>
      <c r="CT59" s="55">
        <f>$CT58+$CR59</f>
        <v/>
      </c>
      <c r="CU59" s="55">
        <f>SUMIFS(tblPlant[Milled_t],tblPlant[Date],$A59)</f>
        <v/>
      </c>
      <c r="CV59" s="55">
        <f>IF($B59=$B58,$CV58,0)+$CU59</f>
        <v/>
      </c>
      <c r="CW59" s="55">
        <f>$CW58+$CU59</f>
        <v/>
      </c>
      <c r="CX59" s="55">
        <f>SUMIFS(tblPlant[Feed_oz],tblPlant[Date],$A59)</f>
        <v/>
      </c>
      <c r="CY59" s="55">
        <f>IF($B59=$B58,$CY58,0)+$CX59</f>
        <v/>
      </c>
      <c r="CZ59" s="55">
        <f>$CZ58+$CX59</f>
        <v/>
      </c>
      <c r="DA59" s="55">
        <f>SUMIFS(tblPlant[Tails_oz],tblPlant[Date],$A59)</f>
        <v/>
      </c>
      <c r="DB59" s="55">
        <f>IF($B59=$B58,$DB58,0)+$DA59</f>
        <v/>
      </c>
      <c r="DC59" s="55">
        <f>$DC58+$DA59</f>
        <v/>
      </c>
      <c r="DD59" s="55">
        <f>SUMIFS(tblPlant[Recovered_oz],tblPlant[Date],$A59)</f>
        <v/>
      </c>
      <c r="DE59" s="55">
        <f>IF($B59=$B58,$DE58,0)+$DD59</f>
        <v/>
      </c>
      <c r="DF59" s="55">
        <f>$DF58+$DD59</f>
        <v/>
      </c>
      <c r="DG59" s="55">
        <f>SUMIFS(tblPlant[Milled_t],tblPlant[Date],$A59,tblPlant[Head_Grade_gpt],"&lt;&gt;")</f>
        <v/>
      </c>
      <c r="DH59" s="55">
        <f>IF($B59=$B58,$DH58,0)+$DG59</f>
        <v/>
      </c>
      <c r="DI59" s="55">
        <f>$DI58+$DG59</f>
        <v/>
      </c>
      <c r="DJ59" s="55">
        <f>SUMIFS(tblPlant[Milled_t],tblPlant[Date],$A59,tblPlant[Tails_Grade_gpt],"&lt;&gt;")</f>
        <v/>
      </c>
      <c r="DK59" s="55">
        <f>IF($B59=$B58,$DK58,0)+$DJ59</f>
        <v/>
      </c>
      <c r="DL59" s="55">
        <f>$DL58+$DJ59</f>
        <v/>
      </c>
      <c r="DM59" s="55">
        <f>SUMIFS(tblPlant[Feed_oz],tblPlant[Date],$A59,tblPlant[Tails_Grade_gpt],"&lt;&gt;")</f>
        <v/>
      </c>
      <c r="DN59" s="55">
        <f>IF($B59=$B58,$DN58,0)+$DM59</f>
        <v/>
      </c>
      <c r="DO59" s="55">
        <f>$DO58+$DM59</f>
        <v/>
      </c>
      <c r="DP59" s="55">
        <f>SUMIFS(tblPlant[Milled_t],tblPlant[Date],$A59,tblPlant[Mill_Run_h],"&lt;&gt;")</f>
        <v/>
      </c>
      <c r="DQ59" s="55">
        <f>IF($B59=$B58,$DQ58,0)+$DP59</f>
        <v/>
      </c>
      <c r="DR59" s="55">
        <f>$DR58+$DP59</f>
        <v/>
      </c>
      <c r="DS59" s="56">
        <f>IFERROR(IF(($DG59)&gt;0,($CX59*cfg_TroyOz)/($DG59),""),"")</f>
        <v/>
      </c>
      <c r="DT59" s="56">
        <f>IFERROR(IF(($DH59)&gt;0,($CY59*cfg_TroyOz)/($DH59),""),"")</f>
        <v/>
      </c>
      <c r="DU59" s="56">
        <f>IFERROR(IF(($DI59)&gt;0,($CZ59*cfg_TroyOz)/($DI59),""),"")</f>
        <v/>
      </c>
      <c r="DV59" s="56">
        <f>IFERROR(IF(($DJ59)&gt;0,($DA59*cfg_TroyOz)/($DJ59),""),"")</f>
        <v/>
      </c>
      <c r="DW59" s="56">
        <f>IFERROR(IF(($DK59)&gt;0,($DB59*cfg_TroyOz)/($DK59),""),"")</f>
        <v/>
      </c>
      <c r="DX59" s="56">
        <f>IFERROR(IF(($DL59)&gt;0,($DC59*cfg_TroyOz)/($DL59),""),"")</f>
        <v/>
      </c>
      <c r="DY59" s="67">
        <f>IFERROR(IF(($DM59)&gt;0,($DD59)/($DM59),""),"")</f>
        <v/>
      </c>
      <c r="DZ59" s="67">
        <f>IFERROR(IF(($DN59)&gt;0,($DE59)/($DN59),""),"")</f>
        <v/>
      </c>
      <c r="EA59" s="67">
        <f>IFERROR(IF(($DO59)&gt;0,($DF59)/($DO59),""),"")</f>
        <v/>
      </c>
      <c r="EB59" s="55">
        <f>SUMIFS(tblPlant[Gravity_Gold_oz],tblPlant[Date],$A59)</f>
        <v/>
      </c>
      <c r="EC59" s="55">
        <f>IF($B59=$B58,$EC58,0)+$EB59</f>
        <v/>
      </c>
      <c r="ED59" s="55">
        <f>$ED58+$EB59</f>
        <v/>
      </c>
      <c r="EE59" s="67">
        <f>IFERROR(IF(($DD59)&gt;0,($EB59)/($DD59),""),"")</f>
        <v/>
      </c>
      <c r="EF59" s="67">
        <f>IFERROR(IF(($DE59)&gt;0,($EC59)/($DE59),""),"")</f>
        <v/>
      </c>
      <c r="EG59" s="67">
        <f>IFERROR(IF(($DF59)&gt;0,($ED59)/($DF59),""),"")</f>
        <v/>
      </c>
      <c r="EH59" s="55">
        <f>SUMIFS(tblPlant[Gold_Poured_oz],tblPlant[Date],$A59)</f>
        <v/>
      </c>
      <c r="EI59" s="55">
        <f>IF($B59=$B58,$EI58,0)+$EH59</f>
        <v/>
      </c>
      <c r="EJ59" s="55">
        <f>$EJ58+$EH59</f>
        <v/>
      </c>
      <c r="EK59" s="57">
        <f>SUMIFS(tblPlant[Mill_Run_h],tblPlant[Date],$A59)</f>
        <v/>
      </c>
      <c r="EL59" s="57">
        <f>IF($B59=$B58,$EL58,0)+$EK59</f>
        <v/>
      </c>
      <c r="EM59" s="57">
        <f>$EM58+$EK59</f>
        <v/>
      </c>
      <c r="EN59" s="57">
        <f>SUMIFS(tblPlant[Mill_Planned_Maint_h],tblPlant[Date],$A59)</f>
        <v/>
      </c>
      <c r="EO59" s="57">
        <f>IF($B59=$B58,$EO58,0)+$EN59</f>
        <v/>
      </c>
      <c r="EP59" s="57">
        <f>$EP58+$EN59</f>
        <v/>
      </c>
      <c r="EQ59" s="57">
        <f>SUMIFS(tblPlant[Mill_Unplanned_Down_h],tblPlant[Date],$A59)</f>
        <v/>
      </c>
      <c r="ER59" s="57">
        <f>IF($B59=$B58,$ER58,0)+$EQ59</f>
        <v/>
      </c>
      <c r="ES59" s="57">
        <f>$ES58+$EQ59</f>
        <v/>
      </c>
      <c r="ET59" s="57">
        <f>IF(COUNTIFS(tblPlant[Date],$A59,tblPlant[Mill_Run_h],"&lt;&gt;")+COUNTIFS(tblPlant[Date],$A59,tblPlant[Mill_Planned_Maint_h],"&lt;&gt;")+COUNTIFS(tblPlant[Date],$A59,tblPlant[Mill_Unplanned_Down_h],"&lt;&gt;")&gt;0,cfg_HoursPerDay,0)</f>
        <v/>
      </c>
      <c r="EU59" s="57">
        <f>IF($B59=$B58,$EU58,0)+$ET59</f>
        <v/>
      </c>
      <c r="EV59" s="57">
        <f>$EV58+$ET59</f>
        <v/>
      </c>
      <c r="EW59" s="57">
        <f>SUMIFS(tblPlant[Crusher_Run_h],tblPlant[Date],$A59)</f>
        <v/>
      </c>
      <c r="EX59" s="57">
        <f>IF($B59=$B58,$EX58,0)+$EW59</f>
        <v/>
      </c>
      <c r="EY59" s="57">
        <f>$EY58+$EW59</f>
        <v/>
      </c>
      <c r="EZ59" s="55">
        <f>IFERROR(IF(($EK59)&gt;0,($DP59)/($EK59),""),"")</f>
        <v/>
      </c>
      <c r="FA59" s="55">
        <f>IFERROR(IF(($EL59)&gt;0,($DQ59)/($EL59),""),"")</f>
        <v/>
      </c>
      <c r="FB59" s="55">
        <f>IFERROR(IF(($EM59)&gt;0,($DR59)/($EM59),""),"")</f>
        <v/>
      </c>
      <c r="FC59" s="67">
        <f>IFERROR(IF(($ET59)&gt;0,($ET59-$EN59-$EQ59)/($ET59),""),"")</f>
        <v/>
      </c>
      <c r="FD59" s="67">
        <f>IFERROR(IF(($EU59)&gt;0,($EU59-$EO59-$ER59)/($EU59),""),"")</f>
        <v/>
      </c>
      <c r="FE59" s="67">
        <f>IFERROR(IF(($EV59)&gt;0,($EV59-$EP59-$ES59)/($EV59),""),"")</f>
        <v/>
      </c>
      <c r="FF59" s="67">
        <f>IFERROR(IF(($ET59-$EN59-$EQ59)&gt;0,($EK59)/($ET59-$EN59-$EQ59),""),"")</f>
        <v/>
      </c>
      <c r="FG59" s="67">
        <f>IFERROR(IF(($EU59-$EO59-$ER59)&gt;0,($EL59)/($EU59-$EO59-$ER59),""),"")</f>
        <v/>
      </c>
      <c r="FH59" s="67">
        <f>IFERROR(IF(($EV59-$EP59-$ES59)&gt;0,($EM59)/($EV59-$EP59-$ES59),""),"")</f>
        <v/>
      </c>
      <c r="FI59" s="55">
        <f>SUMIFS(tblPlant[Cyanide_kg],tblPlant[Date],$A59)</f>
        <v/>
      </c>
      <c r="FJ59" s="55">
        <f>IF($B59=$B58,$FJ58,0)+$FI59</f>
        <v/>
      </c>
      <c r="FK59" s="55">
        <f>$FK58+$FI59</f>
        <v/>
      </c>
      <c r="FL59" s="55">
        <f>SUMIFS(tblPlant[Lime_kg],tblPlant[Date],$A59)</f>
        <v/>
      </c>
      <c r="FM59" s="55">
        <f>IF($B59=$B58,$FM58,0)+$FL59</f>
        <v/>
      </c>
      <c r="FN59" s="55">
        <f>$FN58+$FL59</f>
        <v/>
      </c>
      <c r="FO59" s="55">
        <f>SUMIFS(tblPlant[Grinding_Media_kg],tblPlant[Date],$A59)</f>
        <v/>
      </c>
      <c r="FP59" s="55">
        <f>IF($B59=$B58,$FP58,0)+$FO59</f>
        <v/>
      </c>
      <c r="FQ59" s="55">
        <f>$FQ58+$FO59</f>
        <v/>
      </c>
      <c r="FR59" s="55">
        <f>SUMIFS(tblPlant[Power_kWh],tblPlant[Date],$A59)</f>
        <v/>
      </c>
      <c r="FS59" s="55">
        <f>IF($B59=$B58,$FS58,0)+$FR59</f>
        <v/>
      </c>
      <c r="FT59" s="55">
        <f>$FT58+$FR59</f>
        <v/>
      </c>
      <c r="FU59" s="55">
        <f>SUMIFS(tblPlant[Raw_Water_m3],tblPlant[Date],$A59)</f>
        <v/>
      </c>
      <c r="FV59" s="55">
        <f>IF($B59=$B58,$FV58,0)+$FU59</f>
        <v/>
      </c>
      <c r="FW59" s="55">
        <f>$FW58+$FU59</f>
        <v/>
      </c>
      <c r="FX59" s="56">
        <f>IFERROR(IF(($CU59)&gt;0,($FI59)/($CU59),""),"")</f>
        <v/>
      </c>
      <c r="FY59" s="56">
        <f>IFERROR(IF(($CV59)&gt;0,($FJ59)/($CV59),""),"")</f>
        <v/>
      </c>
      <c r="FZ59" s="56">
        <f>IFERROR(IF(($CW59)&gt;0,($FK59)/($CW59),""),"")</f>
        <v/>
      </c>
      <c r="GA59" s="56">
        <f>IFERROR(IF(($CU59)&gt;0,($FL59)/($CU59),""),"")</f>
        <v/>
      </c>
      <c r="GB59" s="56">
        <f>IFERROR(IF(($CV59)&gt;0,($FM59)/($CV59),""),"")</f>
        <v/>
      </c>
      <c r="GC59" s="56">
        <f>IFERROR(IF(($CW59)&gt;0,($FN59)/($CW59),""),"")</f>
        <v/>
      </c>
      <c r="GD59" s="56">
        <f>IFERROR(IF(($CU59)&gt;0,($FO59)/($CU59),""),"")</f>
        <v/>
      </c>
      <c r="GE59" s="56">
        <f>IFERROR(IF(($CV59)&gt;0,($FP59)/($CV59),""),"")</f>
        <v/>
      </c>
      <c r="GF59" s="56">
        <f>IFERROR(IF(($CW59)&gt;0,($FQ59)/($CW59),""),"")</f>
        <v/>
      </c>
      <c r="GG59" s="79">
        <f>IFERROR(IF(($CU59)&gt;0,($FR59)/($CU59),""),"")</f>
        <v/>
      </c>
      <c r="GH59" s="79">
        <f>IFERROR(IF(($CV59)&gt;0,($FS59)/($CV59),""),"")</f>
        <v/>
      </c>
      <c r="GI59" s="79">
        <f>IFERROR(IF(($CW59)&gt;0,($FT59)/($CW59),""),"")</f>
        <v/>
      </c>
      <c r="GJ59" s="56">
        <f>IFERROR(IF(($CU59)&gt;0,($FU59)/($CU59),""),"")</f>
        <v/>
      </c>
      <c r="GK59" s="56">
        <f>IFERROR(IF(($CV59)&gt;0,($FV59)/($CV59),""),"")</f>
        <v/>
      </c>
      <c r="GL59" s="56">
        <f>IFERROR(IF(($CW59)&gt;0,($FW59)/($CW59),""),"")</f>
        <v/>
      </c>
      <c r="GM59" s="55">
        <f>IF(SUMIFS(tblPlant[GIC_oz],tblPlant[Date],$A59)&gt;0,SUMIFS(tblPlant[GIC_oz],tblPlant[Date],$A59),"")</f>
        <v/>
      </c>
      <c r="GN59" s="55">
        <f>SUMIFS(tblGold[Gold_oz],tblGold[Date],$A59,tblGold[Type],"Shipment")</f>
        <v/>
      </c>
      <c r="GO59" s="55">
        <f>IF($B59=$B58,$GO58,0)+$GN59</f>
        <v/>
      </c>
      <c r="GP59" s="55">
        <f>$GP58+$GN59</f>
        <v/>
      </c>
      <c r="GQ59" s="55">
        <f>SUMIFS(tblGold[Gold_oz],tblGold[Date],$A59,tblGold[Type],"Sale")</f>
        <v/>
      </c>
      <c r="GR59" s="55">
        <f>IF($B59=$B58,$GR58,0)+$GQ59</f>
        <v/>
      </c>
      <c r="GS59" s="55">
        <f>$GS58+$GQ59</f>
        <v/>
      </c>
      <c r="GT59" s="55">
        <f>SUMIFS(tblGold[Dore_kg],tblGold[Date],$A59,tblGold[Type],"Shipment")</f>
        <v/>
      </c>
      <c r="GU59" s="55">
        <f>IF($B59=$B58,$GU58,0)+$GT59</f>
        <v/>
      </c>
      <c r="GV59" s="55">
        <f>$GV58+$GT59</f>
        <v/>
      </c>
      <c r="GW59" s="57">
        <f>SUMIFS(tblSafety[Hours_Total],tblSafety[Date],$A59)</f>
        <v/>
      </c>
      <c r="GX59" s="57">
        <f>IF($B59=$B58,$GX58,0)+$GW59</f>
        <v/>
      </c>
      <c r="GY59" s="57">
        <f>$GY58+$GW59</f>
        <v/>
      </c>
      <c r="GZ59" s="62">
        <f>SUMIFS(tblSafety[Fatality],tblSafety[Date],$A59)</f>
        <v/>
      </c>
      <c r="HA59" s="62">
        <f>IF($B59=$B58,$HA58,0)+$GZ59</f>
        <v/>
      </c>
      <c r="HB59" s="62">
        <f>$HB58+$GZ59</f>
        <v/>
      </c>
      <c r="HC59" s="62">
        <f>SUMIFS(tblSafety[LTI],tblSafety[Date],$A59)</f>
        <v/>
      </c>
      <c r="HD59" s="62">
        <f>IF($B59=$B58,$HD58,0)+$HC59</f>
        <v/>
      </c>
      <c r="HE59" s="62">
        <f>$HE58+$HC59</f>
        <v/>
      </c>
      <c r="HF59" s="62">
        <f>SUMIFS(tblSafety[RWI],tblSafety[Date],$A59)</f>
        <v/>
      </c>
      <c r="HG59" s="62">
        <f>IF($B59=$B58,$HG58,0)+$HF59</f>
        <v/>
      </c>
      <c r="HH59" s="62">
        <f>$HH58+$HF59</f>
        <v/>
      </c>
      <c r="HI59" s="62">
        <f>SUMIFS(tblSafety[MTI],tblSafety[Date],$A59)</f>
        <v/>
      </c>
      <c r="HJ59" s="62">
        <f>IF($B59=$B58,$HJ58,0)+$HI59</f>
        <v/>
      </c>
      <c r="HK59" s="62">
        <f>$HK58+$HI59</f>
        <v/>
      </c>
      <c r="HL59" s="62">
        <f>SUMIFS(tblSafety[FAI],tblSafety[Date],$A59)</f>
        <v/>
      </c>
      <c r="HM59" s="62">
        <f>IF($B59=$B58,$HM58,0)+$HL59</f>
        <v/>
      </c>
      <c r="HN59" s="62">
        <f>$HN58+$HL59</f>
        <v/>
      </c>
      <c r="HO59" s="62">
        <f>SUMIFS(tblSafety[Recordables],tblSafety[Date],$A59)</f>
        <v/>
      </c>
      <c r="HP59" s="62">
        <f>IF($B59=$B58,$HP58,0)+$HO59</f>
        <v/>
      </c>
      <c r="HQ59" s="62">
        <f>$HQ58+$HO59</f>
        <v/>
      </c>
      <c r="HR59" s="62">
        <f>SUMIFS(tblSafety[Near_Miss],tblSafety[Date],$A59)</f>
        <v/>
      </c>
      <c r="HS59" s="62">
        <f>IF($B59=$B58,$HS58,0)+$HR59</f>
        <v/>
      </c>
      <c r="HT59" s="62">
        <f>$HT58+$HR59</f>
        <v/>
      </c>
      <c r="HU59" s="62">
        <f>SUMIFS(tblSafety[Hazard_Reports],tblSafety[Date],$A59)</f>
        <v/>
      </c>
      <c r="HV59" s="62">
        <f>IF($B59=$B58,$HV58,0)+$HU59</f>
        <v/>
      </c>
      <c r="HW59" s="62">
        <f>$HW58+$HU59</f>
        <v/>
      </c>
      <c r="HX59" s="62">
        <f>SUMIFS(tblSafety[HPI],tblSafety[Date],$A59)</f>
        <v/>
      </c>
      <c r="HY59" s="62">
        <f>IF($B59=$B58,$HY58,0)+$HX59</f>
        <v/>
      </c>
      <c r="HZ59" s="62">
        <f>$HZ58+$HX59</f>
        <v/>
      </c>
      <c r="IA59" s="62">
        <f>SUMIFS(tblSafety[Env_Incidents],tblSafety[Date],$A59)</f>
        <v/>
      </c>
      <c r="IB59" s="62">
        <f>IF($B59=$B58,$IB58,0)+$IA59</f>
        <v/>
      </c>
      <c r="IC59" s="62">
        <f>$IC58+$IA59</f>
        <v/>
      </c>
      <c r="ID59" s="62">
        <f>SUMIFS(tblSafety[Community_Incidents],tblSafety[Date],$A59)</f>
        <v/>
      </c>
      <c r="IE59" s="62">
        <f>IF($B59=$B58,$IE58,0)+$ID59</f>
        <v/>
      </c>
      <c r="IF59" s="62">
        <f>$IF58+$ID59</f>
        <v/>
      </c>
      <c r="IG59" s="62">
        <f>SUMIFS(tblSafety[Vehicle_Incidents],tblSafety[Date],$A59)</f>
        <v/>
      </c>
      <c r="IH59" s="62">
        <f>IF($B59=$B58,$IH58,0)+$IG59</f>
        <v/>
      </c>
      <c r="II59" s="62">
        <f>$II58+$IG59</f>
        <v/>
      </c>
      <c r="IJ59" s="62">
        <f>SUMIFS(tblSafety[Toolbox_Talks],tblSafety[Date],$A59)</f>
        <v/>
      </c>
      <c r="IK59" s="62">
        <f>IF($B59=$B58,$IK58,0)+$IJ59</f>
        <v/>
      </c>
      <c r="IL59" s="62">
        <f>$IL58+$IJ59</f>
        <v/>
      </c>
      <c r="IM59" s="62">
        <f>SUMIFS(tblSafety[Inspections],tblSafety[Date],$A59)</f>
        <v/>
      </c>
      <c r="IN59" s="62">
        <f>IF($B59=$B58,$IN58,0)+$IM59</f>
        <v/>
      </c>
      <c r="IO59" s="62">
        <f>$IO58+$IM59</f>
        <v/>
      </c>
      <c r="IP59" s="56">
        <f>IFERROR((SUMIFS(tblSafety[Recordables],tblSafety[Date],"&gt;="&amp;EDATE($E59,-12),tblSafety[Date],"&lt;="&amp;$A59)+SUMIFS(tblSafetyHistory[Recordables],tblSafetyHistory[Month],"&gt;="&amp;EDATE($E59,-12),tblSafetyHistory[Month],"&lt;"&amp;$E59,tblSafetyHistory[Use],1))/(SUMIFS(tblSafety[Hours_Total],tblSafety[Date],"&gt;="&amp;EDATE($E59,-12),tblSafety[Date],"&lt;="&amp;$A59)+SUMIFS(tblSafetyHistory[Hours_Total],tblSafetyHistory[Month],"&gt;="&amp;EDATE($E59,-12),tblSafetyHistory[Month],"&lt;"&amp;$E59,tblSafetyHistory[Use],1))*cfg_RateBasisHours,"")</f>
        <v/>
      </c>
      <c r="IQ59" s="56">
        <f>IFERROR((SUMIFS(tblSafety[LTI],tblSafety[Date],"&gt;="&amp;EDATE($E59,-12),tblSafety[Date],"&lt;="&amp;$A59)+SUMIFS(tblSafetyHistory[LTI],tblSafetyHistory[Month],"&gt;="&amp;EDATE($E59,-12),tblSafetyHistory[Month],"&lt;"&amp;$E59,tblSafetyHistory[Use],1))/(SUMIFS(tblSafety[Hours_Total],tblSafety[Date],"&gt;="&amp;EDATE($E59,-12),tblSafety[Date],"&lt;="&amp;$A59)+SUMIFS(tblSafetyHistory[Hours_Total],tblSafetyHistory[Month],"&gt;="&amp;EDATE($E59,-12),tblSafetyHistory[Month],"&lt;"&amp;$E59,tblSafetyHistory[Use],1))*cfg_RateBasisHours,"")</f>
        <v/>
      </c>
      <c r="IR59" s="62">
        <f>IF(MAX(N(cfg_PriorLTIDate),_xlfn.MAXIFS(tblSafety[Date],tblSafety[LTI],"&gt;0",tblSafety[Date],"&lt;="&amp;$A59))=0,"",$A59-MAX(N(cfg_PriorLTIDate),_xlfn.MAXIFS(tblSafety[Date],tblSafety[LTI],"&gt;0",tblSafety[Date],"&lt;="&amp;$A59)))</f>
        <v/>
      </c>
      <c r="IS59" s="55">
        <f>SUMIFS(tblBudget[Ore_Mined_t],tblBudget[Month],$E59)</f>
        <v/>
      </c>
      <c r="IT59" s="55">
        <f>$IS59*$C59/$D59</f>
        <v/>
      </c>
      <c r="IU59" s="55">
        <f>SUMIFS(tblBudget[Ore_Mined_t],tblBudget[Month],"&lt;"&amp;$E59)+$IT59</f>
        <v/>
      </c>
      <c r="IV59" s="55">
        <f>SUMIFS(tblBudget[Ore_oz],tblBudget[Month],$E59)</f>
        <v/>
      </c>
      <c r="IW59" s="55">
        <f>$IV59*$C59/$D59</f>
        <v/>
      </c>
      <c r="IX59" s="55">
        <f>SUMIFS(tblBudget[Ore_oz],tblBudget[Month],"&lt;"&amp;$E59)+$IW59</f>
        <v/>
      </c>
      <c r="IY59" s="55">
        <f>SUMIFS(tblBudget[Ore_Mined_t],tblBudget[Month],$E59)</f>
        <v/>
      </c>
      <c r="IZ59" s="55">
        <f>$IY59*$C59/$D59</f>
        <v/>
      </c>
      <c r="JA59" s="55">
        <f>SUMIFS(tblBudget[Ore_Mined_t],tblBudget[Month],"&lt;"&amp;$E59)+$IZ59</f>
        <v/>
      </c>
      <c r="JB59" s="56">
        <f>IFERROR(IF(($IY59)&gt;0,($IV59*cfg_TroyOz)/($IY59),""),"")</f>
        <v/>
      </c>
      <c r="JC59" s="56">
        <f>IFERROR(IF(($IZ59)&gt;0,($IW59*cfg_TroyOz)/($IZ59),""),"")</f>
        <v/>
      </c>
      <c r="JD59" s="56">
        <f>IFERROR(IF(($JA59)&gt;0,($IX59*cfg_TroyOz)/($JA59),""),"")</f>
        <v/>
      </c>
      <c r="JE59" s="55">
        <f>SUMIFS(tblBudget[Waste_t],tblBudget[Month],$E59)</f>
        <v/>
      </c>
      <c r="JF59" s="55">
        <f>$JE59*$C59/$D59</f>
        <v/>
      </c>
      <c r="JG59" s="55">
        <f>SUMIFS(tblBudget[Waste_t],tblBudget[Month],"&lt;"&amp;$E59)+$JF59</f>
        <v/>
      </c>
      <c r="JH59" s="55">
        <f>SUMIFS(tblBudget[TMM_t],tblBudget[Month],$E59)</f>
        <v/>
      </c>
      <c r="JI59" s="55">
        <f>$JH59*$C59/$D59</f>
        <v/>
      </c>
      <c r="JJ59" s="55">
        <f>SUMIFS(tblBudget[TMM_t],tblBudget[Month],"&lt;"&amp;$E59)+$JI59</f>
        <v/>
      </c>
      <c r="JK59" s="56">
        <f>IFERROR(IF(($IS59)&gt;0,($JE59)/($IS59),""),"")</f>
        <v/>
      </c>
      <c r="JL59" s="56">
        <f>IFERROR(IF(($IT59)&gt;0,($JF59)/($IT59),""),"")</f>
        <v/>
      </c>
      <c r="JM59" s="56">
        <f>IFERROR(IF(($IU59)&gt;0,($JG59)/($IU59),""),"")</f>
        <v/>
      </c>
      <c r="JN59" s="55">
        <f>SUMIFS(tblBudget[Drill_m],tblBudget[Month],$E59)</f>
        <v/>
      </c>
      <c r="JO59" s="55">
        <f>$JN59*$C59/$D59</f>
        <v/>
      </c>
      <c r="JP59" s="55">
        <f>SUMIFS(tblBudget[Drill_m],tblBudget[Month],"&lt;"&amp;$E59)+$JO59</f>
        <v/>
      </c>
      <c r="JQ59" s="55">
        <f>SUMIFS(tblBudget[Diesel_L],tblBudget[Month],$E59)</f>
        <v/>
      </c>
      <c r="JR59" s="55">
        <f>$JQ59*$C59/$D59</f>
        <v/>
      </c>
      <c r="JS59" s="55">
        <f>SUMIFS(tblBudget[Diesel_L],tblBudget[Month],"&lt;"&amp;$E59)+$JR59</f>
        <v/>
      </c>
      <c r="JT59" s="55">
        <f>SUMIFS(tblBudget[Milled_t],tblBudget[Month],$E59)</f>
        <v/>
      </c>
      <c r="JU59" s="55">
        <f>$JT59*$C59/$D59</f>
        <v/>
      </c>
      <c r="JV59" s="55">
        <f>SUMIFS(tblBudget[Milled_t],tblBudget[Month],"&lt;"&amp;$E59)+$JU59</f>
        <v/>
      </c>
      <c r="JW59" s="55">
        <f>SUMIFS(tblBudget[Feed_oz],tblBudget[Month],$E59)</f>
        <v/>
      </c>
      <c r="JX59" s="55">
        <f>$JW59*$C59/$D59</f>
        <v/>
      </c>
      <c r="JY59" s="55">
        <f>SUMIFS(tblBudget[Feed_oz],tblBudget[Month],"&lt;"&amp;$E59)+$JX59</f>
        <v/>
      </c>
      <c r="JZ59" s="55">
        <f>SUMIFS(tblBudget[Recovered_oz],tblBudget[Month],$E59)</f>
        <v/>
      </c>
      <c r="KA59" s="55">
        <f>$JZ59*$C59/$D59</f>
        <v/>
      </c>
      <c r="KB59" s="55">
        <f>SUMIFS(tblBudget[Recovered_oz],tblBudget[Month],"&lt;"&amp;$E59)+$KA59</f>
        <v/>
      </c>
      <c r="KC59" s="55">
        <f>SUMIFS(tblBudget[Milled_t],tblBudget[Month],$E59)</f>
        <v/>
      </c>
      <c r="KD59" s="55">
        <f>$KC59*$C59/$D59</f>
        <v/>
      </c>
      <c r="KE59" s="55">
        <f>SUMIFS(tblBudget[Milled_t],tblBudget[Month],"&lt;"&amp;$E59)+$KD59</f>
        <v/>
      </c>
      <c r="KF59" s="55">
        <f>SUMIFS(tblBudget[Feed_oz],tblBudget[Month],$E59)</f>
        <v/>
      </c>
      <c r="KG59" s="55">
        <f>$KF59*$C59/$D59</f>
        <v/>
      </c>
      <c r="KH59" s="55">
        <f>SUMIFS(tblBudget[Feed_oz],tblBudget[Month],"&lt;"&amp;$E59)+$KG59</f>
        <v/>
      </c>
      <c r="KI59" s="56">
        <f>IFERROR(IF(($KC59)&gt;0,($JW59*cfg_TroyOz)/($KC59),""),"")</f>
        <v/>
      </c>
      <c r="KJ59" s="56">
        <f>IFERROR(IF(($KD59)&gt;0,($JX59*cfg_TroyOz)/($KD59),""),"")</f>
        <v/>
      </c>
      <c r="KK59" s="56">
        <f>IFERROR(IF(($KE59)&gt;0,($JY59*cfg_TroyOz)/($KE59),""),"")</f>
        <v/>
      </c>
      <c r="KL59" s="67">
        <f>IFERROR(IF(($KF59)&gt;0,($JZ59)/($KF59),""),"")</f>
        <v/>
      </c>
      <c r="KM59" s="67">
        <f>IFERROR(IF(($KG59)&gt;0,($KA59)/($KG59),""),"")</f>
        <v/>
      </c>
      <c r="KN59" s="67">
        <f>IFERROR(IF(($KH59)&gt;0,($KB59)/($KH59),""),"")</f>
        <v/>
      </c>
      <c r="KO59" s="55">
        <f>SUMIFS(tblBudget[Gold_Poured_oz],tblBudget[Month],$E59)</f>
        <v/>
      </c>
      <c r="KP59" s="55">
        <f>$KO59*$C59/$D59</f>
        <v/>
      </c>
      <c r="KQ59" s="55">
        <f>SUMIFS(tblBudget[Gold_Poured_oz],tblBudget[Month],"&lt;"&amp;$E59)+$KP59</f>
        <v/>
      </c>
      <c r="KR59" s="57">
        <f>SUMIFS(tblBudget[Hours_Worked],tblBudget[Month],$E59)</f>
        <v/>
      </c>
      <c r="KS59" s="57">
        <f>$KR59*$C59/$D59</f>
        <v/>
      </c>
      <c r="KT59" s="57">
        <f>SUMIFS(tblBudget[Hours_Worked],tblBudget[Month],"&lt;"&amp;$E59)+$KS59</f>
        <v/>
      </c>
    </row>
    <row r="60">
      <c r="A60" s="54" t="n">
        <v>46081</v>
      </c>
      <c r="B60">
        <f>MONTH($A60)</f>
        <v/>
      </c>
      <c r="C60">
        <f>DAY($A60)</f>
        <v/>
      </c>
      <c r="D60">
        <f>DAY(EOMONTH($A60,0))</f>
        <v/>
      </c>
      <c r="E60" s="54">
        <f>DATE(YEAR($A60),MONTH($A60),1)</f>
        <v/>
      </c>
      <c r="F60" s="55">
        <f>SUMIFS(tblMovement[Tonnes_t],tblMovement[Date],$A60,tblMovement[Is_Ore],1,tblMovement[Source_Type],"Pit")</f>
        <v/>
      </c>
      <c r="G60" s="55">
        <f>IF($B60=$B59,$G59,0)+$F60</f>
        <v/>
      </c>
      <c r="H60" s="55">
        <f>$H59+$F60</f>
        <v/>
      </c>
      <c r="I60" s="55">
        <f>SUMIFS(tblMovement[Ore_oz],tblMovement[Date],$A60,tblMovement[Source_Type],"Pit")</f>
        <v/>
      </c>
      <c r="J60" s="55">
        <f>IF($B60=$B59,$J59,0)+$I60</f>
        <v/>
      </c>
      <c r="K60" s="55">
        <f>$K59+$I60</f>
        <v/>
      </c>
      <c r="L60" s="55">
        <f>SUMIFS(tblMovement[Tonnes_t],tblMovement[Date],$A60,tblMovement[Is_Ore],1,tblMovement[Source_Type],"Pit",tblMovement[Grade_gpt],"&lt;&gt;")</f>
        <v/>
      </c>
      <c r="M60" s="55">
        <f>IF($B60=$B59,$M59,0)+$L60</f>
        <v/>
      </c>
      <c r="N60" s="55">
        <f>$N59+$L60</f>
        <v/>
      </c>
      <c r="O60" s="56">
        <f>IFERROR(IF(($L60)&gt;0,($I60*cfg_TroyOz)/($L60),""),"")</f>
        <v/>
      </c>
      <c r="P60" s="56">
        <f>IFERROR(IF(($M60)&gt;0,($J60*cfg_TroyOz)/($M60),""),"")</f>
        <v/>
      </c>
      <c r="Q60" s="56">
        <f>IFERROR(IF(($N60)&gt;0,($K60*cfg_TroyOz)/($N60),""),"")</f>
        <v/>
      </c>
      <c r="R60" s="55">
        <f>$F60-$L60</f>
        <v/>
      </c>
      <c r="S60" s="55">
        <f>IF($B60=$B59,$S59,0)+$R60</f>
        <v/>
      </c>
      <c r="T60" s="55">
        <f>$T59+$R60</f>
        <v/>
      </c>
      <c r="U60" s="55">
        <f>SUMIFS(tblMovement[Tonnes_t],tblMovement[Date],$A60,tblMovement[Is_Ore],0,tblMovement[Source_Type],"Pit")</f>
        <v/>
      </c>
      <c r="V60" s="55">
        <f>IF($B60=$B59,$V59,0)+$U60</f>
        <v/>
      </c>
      <c r="W60" s="55">
        <f>$W59+$U60</f>
        <v/>
      </c>
      <c r="X60" s="55">
        <f>$F60+$U60</f>
        <v/>
      </c>
      <c r="Y60" s="55">
        <f>IF($B60=$B59,$Y59,0)+$X60</f>
        <v/>
      </c>
      <c r="Z60" s="55">
        <f>$Z59+$X60</f>
        <v/>
      </c>
      <c r="AA60" s="56">
        <f>IFERROR(IF(($F60)&gt;0,($U60)/($F60),""),"")</f>
        <v/>
      </c>
      <c r="AB60" s="56">
        <f>IFERROR(IF(($G60)&gt;0,($V60)/($G60),""),"")</f>
        <v/>
      </c>
      <c r="AC60" s="56">
        <f>IFERROR(IF(($H60)&gt;0,($W60)/($H60),""),"")</f>
        <v/>
      </c>
      <c r="AD60" s="55">
        <f>SUMIFS(tblMovement[Tonnes_t],tblMovement[Date],$A60,tblMovement[Source_Type],"Stockpile")</f>
        <v/>
      </c>
      <c r="AE60" s="55">
        <f>IF($B60=$B59,$AE59,0)+$AD60</f>
        <v/>
      </c>
      <c r="AF60" s="55">
        <f>$AF59+$AD60</f>
        <v/>
      </c>
      <c r="AG60" s="55">
        <f>SUMIFS(tblMovement[Tonnes_t],tblMovement[Date],$A60)</f>
        <v/>
      </c>
      <c r="AH60" s="55">
        <f>IF($B60=$B59,$AH59,0)+$AG60</f>
        <v/>
      </c>
      <c r="AI60" s="55">
        <f>$AI59+$AG60</f>
        <v/>
      </c>
      <c r="AJ60" s="55">
        <f>$AG60-$X60-$AD60</f>
        <v/>
      </c>
      <c r="AK60" s="55">
        <f>IF($B60=$B59,$AK59,0)+$AJ60</f>
        <v/>
      </c>
      <c r="AL60" s="55">
        <f>$AL59+$AJ60</f>
        <v/>
      </c>
      <c r="AM60" s="55">
        <f>SUMIFS(tblMiningDaily[Drill_m],tblMiningDaily[Date],$A60)</f>
        <v/>
      </c>
      <c r="AN60" s="55">
        <f>IF($B60=$B59,$AN59,0)+$AM60</f>
        <v/>
      </c>
      <c r="AO60" s="55">
        <f>$AO59+$AM60</f>
        <v/>
      </c>
      <c r="AP60" s="55">
        <f>SUMIFS(tblMiningDaily[GC_Drill_m],tblMiningDaily[Date],$A60)</f>
        <v/>
      </c>
      <c r="AQ60" s="55">
        <f>IF($B60=$B59,$AQ59,0)+$AP60</f>
        <v/>
      </c>
      <c r="AR60" s="55">
        <f>$AR59+$AP60</f>
        <v/>
      </c>
      <c r="AS60" s="55">
        <f>SUMIFS(tblMiningDaily[Blast_t],tblMiningDaily[Date],$A60)</f>
        <v/>
      </c>
      <c r="AT60" s="55">
        <f>IF($B60=$B59,$AT59,0)+$AS60</f>
        <v/>
      </c>
      <c r="AU60" s="55">
        <f>$AU59+$AS60</f>
        <v/>
      </c>
      <c r="AV60" s="55">
        <f>SUMIFS(tblMiningDaily[Explosives_kg],tblMiningDaily[Date],$A60)</f>
        <v/>
      </c>
      <c r="AW60" s="55">
        <f>IF($B60=$B59,$AW59,0)+$AV60</f>
        <v/>
      </c>
      <c r="AX60" s="55">
        <f>$AX59+$AV60</f>
        <v/>
      </c>
      <c r="AY60" s="56">
        <f>IFERROR(IF(($AS60)&gt;0,($AV60)/($AS60),""),"")</f>
        <v/>
      </c>
      <c r="AZ60" s="56">
        <f>IFERROR(IF(($AT60)&gt;0,($AW60)/($AT60),""),"")</f>
        <v/>
      </c>
      <c r="BA60" s="56">
        <f>IFERROR(IF(($AU60)&gt;0,($AX60)/($AU60),""),"")</f>
        <v/>
      </c>
      <c r="BB60" s="55">
        <f>SUMIFS(tblMiningDaily[Diesel_L],tblMiningDaily[Date],$A60)</f>
        <v/>
      </c>
      <c r="BC60" s="55">
        <f>IF($B60=$B59,$BC59,0)+$BB60</f>
        <v/>
      </c>
      <c r="BD60" s="55">
        <f>$BD59+$BB60</f>
        <v/>
      </c>
      <c r="BE60" s="55">
        <f>SUMIFS(tblMiningDaily[Dewatering_m3],tblMiningDaily[Date],$A60)</f>
        <v/>
      </c>
      <c r="BF60" s="55">
        <f>IF($B60=$B59,$BF59,0)+$BE60</f>
        <v/>
      </c>
      <c r="BG60" s="55">
        <f>$BG59+$BE60</f>
        <v/>
      </c>
      <c r="BH60" s="57">
        <f>SUMIFS(tblFleet[Calendar_h],tblFleet[Date],$A60,tblFleet[Equipment_Class],"Excavator")</f>
        <v/>
      </c>
      <c r="BI60" s="57">
        <f>IF($B60=$B59,$BI59,0)+$BH60</f>
        <v/>
      </c>
      <c r="BJ60" s="57">
        <f>$BJ59+$BH60</f>
        <v/>
      </c>
      <c r="BK60" s="57">
        <f>SUMIFS(tblFleet[Available_h],tblFleet[Date],$A60,tblFleet[Equipment_Class],"Excavator")</f>
        <v/>
      </c>
      <c r="BL60" s="57">
        <f>IF($B60=$B59,$BL59,0)+$BK60</f>
        <v/>
      </c>
      <c r="BM60" s="57">
        <f>$BM59+$BK60</f>
        <v/>
      </c>
      <c r="BN60" s="57">
        <f>SUMIFS(tblFleet[Operating_h],tblFleet[Date],$A60,tblFleet[Equipment_Class],"Excavator")</f>
        <v/>
      </c>
      <c r="BO60" s="57">
        <f>IF($B60=$B59,$BO59,0)+$BN60</f>
        <v/>
      </c>
      <c r="BP60" s="57">
        <f>$BP59+$BN60</f>
        <v/>
      </c>
      <c r="BQ60" s="67">
        <f>IFERROR(IF(($BH60)&gt;0,($BK60)/($BH60),""),"")</f>
        <v/>
      </c>
      <c r="BR60" s="67">
        <f>IFERROR(IF(($BI60)&gt;0,($BL60)/($BI60),""),"")</f>
        <v/>
      </c>
      <c r="BS60" s="67">
        <f>IFERROR(IF(($BJ60)&gt;0,($BM60)/($BJ60),""),"")</f>
        <v/>
      </c>
      <c r="BT60" s="67">
        <f>IFERROR(IF(($BK60)&gt;0,($BN60)/($BK60),""),"")</f>
        <v/>
      </c>
      <c r="BU60" s="67">
        <f>IFERROR(IF(($BL60)&gt;0,($BO60)/($BL60),""),"")</f>
        <v/>
      </c>
      <c r="BV60" s="67">
        <f>IFERROR(IF(($BM60)&gt;0,($BP60)/($BM60),""),"")</f>
        <v/>
      </c>
      <c r="BW60" s="57">
        <f>SUMIFS(tblFleet[Calendar_h],tblFleet[Date],$A60,tblFleet[Equipment_Class],"Haul Truck")</f>
        <v/>
      </c>
      <c r="BX60" s="57">
        <f>IF($B60=$B59,$BX59,0)+$BW60</f>
        <v/>
      </c>
      <c r="BY60" s="57">
        <f>$BY59+$BW60</f>
        <v/>
      </c>
      <c r="BZ60" s="57">
        <f>SUMIFS(tblFleet[Available_h],tblFleet[Date],$A60,tblFleet[Equipment_Class],"Haul Truck")</f>
        <v/>
      </c>
      <c r="CA60" s="57">
        <f>IF($B60=$B59,$CA59,0)+$BZ60</f>
        <v/>
      </c>
      <c r="CB60" s="57">
        <f>$CB59+$BZ60</f>
        <v/>
      </c>
      <c r="CC60" s="57">
        <f>SUMIFS(tblFleet[Operating_h],tblFleet[Date],$A60,tblFleet[Equipment_Class],"Haul Truck")</f>
        <v/>
      </c>
      <c r="CD60" s="57">
        <f>IF($B60=$B59,$CD59,0)+$CC60</f>
        <v/>
      </c>
      <c r="CE60" s="57">
        <f>$CE59+$CC60</f>
        <v/>
      </c>
      <c r="CF60" s="67">
        <f>IFERROR(IF(($BW60)&gt;0,($BZ60)/($BW60),""),"")</f>
        <v/>
      </c>
      <c r="CG60" s="67">
        <f>IFERROR(IF(($BX60)&gt;0,($CA60)/($BX60),""),"")</f>
        <v/>
      </c>
      <c r="CH60" s="67">
        <f>IFERROR(IF(($BY60)&gt;0,($CB60)/($BY60),""),"")</f>
        <v/>
      </c>
      <c r="CI60" s="67">
        <f>IFERROR(IF(($BZ60)&gt;0,($CC60)/($BZ60),""),"")</f>
        <v/>
      </c>
      <c r="CJ60" s="67">
        <f>IFERROR(IF(($CA60)&gt;0,($CD60)/($CA60),""),"")</f>
        <v/>
      </c>
      <c r="CK60" s="67">
        <f>IFERROR(IF(($CB60)&gt;0,($CE60)/($CB60),""),"")</f>
        <v/>
      </c>
      <c r="CL60" s="55">
        <f>IFERROR(IF(($BN60)&gt;0,($X60+$AD60)/($BN60),""),"")</f>
        <v/>
      </c>
      <c r="CM60" s="55">
        <f>IFERROR(IF(($BO60)&gt;0,($Y60+$AE60)/($BO60),""),"")</f>
        <v/>
      </c>
      <c r="CN60" s="55">
        <f>IFERROR(IF(($BP60)&gt;0,($Z60+$AF60)/($BP60),""),"")</f>
        <v/>
      </c>
      <c r="CO60" s="55">
        <f>IFERROR(IF(($CC60)&gt;0,($X60+$AD60)/($CC60),""),"")</f>
        <v/>
      </c>
      <c r="CP60" s="55">
        <f>IFERROR(IF(($CD60)&gt;0,($Y60+$AE60)/($CD60),""),"")</f>
        <v/>
      </c>
      <c r="CQ60" s="55">
        <f>IFERROR(IF(($CE60)&gt;0,($Z60+$AF60)/($CE60),""),"")</f>
        <v/>
      </c>
      <c r="CR60" s="55">
        <f>SUMIFS(tblPlant[Crushed_t],tblPlant[Date],$A60)</f>
        <v/>
      </c>
      <c r="CS60" s="55">
        <f>IF($B60=$B59,$CS59,0)+$CR60</f>
        <v/>
      </c>
      <c r="CT60" s="55">
        <f>$CT59+$CR60</f>
        <v/>
      </c>
      <c r="CU60" s="55">
        <f>SUMIFS(tblPlant[Milled_t],tblPlant[Date],$A60)</f>
        <v/>
      </c>
      <c r="CV60" s="55">
        <f>IF($B60=$B59,$CV59,0)+$CU60</f>
        <v/>
      </c>
      <c r="CW60" s="55">
        <f>$CW59+$CU60</f>
        <v/>
      </c>
      <c r="CX60" s="55">
        <f>SUMIFS(tblPlant[Feed_oz],tblPlant[Date],$A60)</f>
        <v/>
      </c>
      <c r="CY60" s="55">
        <f>IF($B60=$B59,$CY59,0)+$CX60</f>
        <v/>
      </c>
      <c r="CZ60" s="55">
        <f>$CZ59+$CX60</f>
        <v/>
      </c>
      <c r="DA60" s="55">
        <f>SUMIFS(tblPlant[Tails_oz],tblPlant[Date],$A60)</f>
        <v/>
      </c>
      <c r="DB60" s="55">
        <f>IF($B60=$B59,$DB59,0)+$DA60</f>
        <v/>
      </c>
      <c r="DC60" s="55">
        <f>$DC59+$DA60</f>
        <v/>
      </c>
      <c r="DD60" s="55">
        <f>SUMIFS(tblPlant[Recovered_oz],tblPlant[Date],$A60)</f>
        <v/>
      </c>
      <c r="DE60" s="55">
        <f>IF($B60=$B59,$DE59,0)+$DD60</f>
        <v/>
      </c>
      <c r="DF60" s="55">
        <f>$DF59+$DD60</f>
        <v/>
      </c>
      <c r="DG60" s="55">
        <f>SUMIFS(tblPlant[Milled_t],tblPlant[Date],$A60,tblPlant[Head_Grade_gpt],"&lt;&gt;")</f>
        <v/>
      </c>
      <c r="DH60" s="55">
        <f>IF($B60=$B59,$DH59,0)+$DG60</f>
        <v/>
      </c>
      <c r="DI60" s="55">
        <f>$DI59+$DG60</f>
        <v/>
      </c>
      <c r="DJ60" s="55">
        <f>SUMIFS(tblPlant[Milled_t],tblPlant[Date],$A60,tblPlant[Tails_Grade_gpt],"&lt;&gt;")</f>
        <v/>
      </c>
      <c r="DK60" s="55">
        <f>IF($B60=$B59,$DK59,0)+$DJ60</f>
        <v/>
      </c>
      <c r="DL60" s="55">
        <f>$DL59+$DJ60</f>
        <v/>
      </c>
      <c r="DM60" s="55">
        <f>SUMIFS(tblPlant[Feed_oz],tblPlant[Date],$A60,tblPlant[Tails_Grade_gpt],"&lt;&gt;")</f>
        <v/>
      </c>
      <c r="DN60" s="55">
        <f>IF($B60=$B59,$DN59,0)+$DM60</f>
        <v/>
      </c>
      <c r="DO60" s="55">
        <f>$DO59+$DM60</f>
        <v/>
      </c>
      <c r="DP60" s="55">
        <f>SUMIFS(tblPlant[Milled_t],tblPlant[Date],$A60,tblPlant[Mill_Run_h],"&lt;&gt;")</f>
        <v/>
      </c>
      <c r="DQ60" s="55">
        <f>IF($B60=$B59,$DQ59,0)+$DP60</f>
        <v/>
      </c>
      <c r="DR60" s="55">
        <f>$DR59+$DP60</f>
        <v/>
      </c>
      <c r="DS60" s="56">
        <f>IFERROR(IF(($DG60)&gt;0,($CX60*cfg_TroyOz)/($DG60),""),"")</f>
        <v/>
      </c>
      <c r="DT60" s="56">
        <f>IFERROR(IF(($DH60)&gt;0,($CY60*cfg_TroyOz)/($DH60),""),"")</f>
        <v/>
      </c>
      <c r="DU60" s="56">
        <f>IFERROR(IF(($DI60)&gt;0,($CZ60*cfg_TroyOz)/($DI60),""),"")</f>
        <v/>
      </c>
      <c r="DV60" s="56">
        <f>IFERROR(IF(($DJ60)&gt;0,($DA60*cfg_TroyOz)/($DJ60),""),"")</f>
        <v/>
      </c>
      <c r="DW60" s="56">
        <f>IFERROR(IF(($DK60)&gt;0,($DB60*cfg_TroyOz)/($DK60),""),"")</f>
        <v/>
      </c>
      <c r="DX60" s="56">
        <f>IFERROR(IF(($DL60)&gt;0,($DC60*cfg_TroyOz)/($DL60),""),"")</f>
        <v/>
      </c>
      <c r="DY60" s="67">
        <f>IFERROR(IF(($DM60)&gt;0,($DD60)/($DM60),""),"")</f>
        <v/>
      </c>
      <c r="DZ60" s="67">
        <f>IFERROR(IF(($DN60)&gt;0,($DE60)/($DN60),""),"")</f>
        <v/>
      </c>
      <c r="EA60" s="67">
        <f>IFERROR(IF(($DO60)&gt;0,($DF60)/($DO60),""),"")</f>
        <v/>
      </c>
      <c r="EB60" s="55">
        <f>SUMIFS(tblPlant[Gravity_Gold_oz],tblPlant[Date],$A60)</f>
        <v/>
      </c>
      <c r="EC60" s="55">
        <f>IF($B60=$B59,$EC59,0)+$EB60</f>
        <v/>
      </c>
      <c r="ED60" s="55">
        <f>$ED59+$EB60</f>
        <v/>
      </c>
      <c r="EE60" s="67">
        <f>IFERROR(IF(($DD60)&gt;0,($EB60)/($DD60),""),"")</f>
        <v/>
      </c>
      <c r="EF60" s="67">
        <f>IFERROR(IF(($DE60)&gt;0,($EC60)/($DE60),""),"")</f>
        <v/>
      </c>
      <c r="EG60" s="67">
        <f>IFERROR(IF(($DF60)&gt;0,($ED60)/($DF60),""),"")</f>
        <v/>
      </c>
      <c r="EH60" s="55">
        <f>SUMIFS(tblPlant[Gold_Poured_oz],tblPlant[Date],$A60)</f>
        <v/>
      </c>
      <c r="EI60" s="55">
        <f>IF($B60=$B59,$EI59,0)+$EH60</f>
        <v/>
      </c>
      <c r="EJ60" s="55">
        <f>$EJ59+$EH60</f>
        <v/>
      </c>
      <c r="EK60" s="57">
        <f>SUMIFS(tblPlant[Mill_Run_h],tblPlant[Date],$A60)</f>
        <v/>
      </c>
      <c r="EL60" s="57">
        <f>IF($B60=$B59,$EL59,0)+$EK60</f>
        <v/>
      </c>
      <c r="EM60" s="57">
        <f>$EM59+$EK60</f>
        <v/>
      </c>
      <c r="EN60" s="57">
        <f>SUMIFS(tblPlant[Mill_Planned_Maint_h],tblPlant[Date],$A60)</f>
        <v/>
      </c>
      <c r="EO60" s="57">
        <f>IF($B60=$B59,$EO59,0)+$EN60</f>
        <v/>
      </c>
      <c r="EP60" s="57">
        <f>$EP59+$EN60</f>
        <v/>
      </c>
      <c r="EQ60" s="57">
        <f>SUMIFS(tblPlant[Mill_Unplanned_Down_h],tblPlant[Date],$A60)</f>
        <v/>
      </c>
      <c r="ER60" s="57">
        <f>IF($B60=$B59,$ER59,0)+$EQ60</f>
        <v/>
      </c>
      <c r="ES60" s="57">
        <f>$ES59+$EQ60</f>
        <v/>
      </c>
      <c r="ET60" s="57">
        <f>IF(COUNTIFS(tblPlant[Date],$A60,tblPlant[Mill_Run_h],"&lt;&gt;")+COUNTIFS(tblPlant[Date],$A60,tblPlant[Mill_Planned_Maint_h],"&lt;&gt;")+COUNTIFS(tblPlant[Date],$A60,tblPlant[Mill_Unplanned_Down_h],"&lt;&gt;")&gt;0,cfg_HoursPerDay,0)</f>
        <v/>
      </c>
      <c r="EU60" s="57">
        <f>IF($B60=$B59,$EU59,0)+$ET60</f>
        <v/>
      </c>
      <c r="EV60" s="57">
        <f>$EV59+$ET60</f>
        <v/>
      </c>
      <c r="EW60" s="57">
        <f>SUMIFS(tblPlant[Crusher_Run_h],tblPlant[Date],$A60)</f>
        <v/>
      </c>
      <c r="EX60" s="57">
        <f>IF($B60=$B59,$EX59,0)+$EW60</f>
        <v/>
      </c>
      <c r="EY60" s="57">
        <f>$EY59+$EW60</f>
        <v/>
      </c>
      <c r="EZ60" s="55">
        <f>IFERROR(IF(($EK60)&gt;0,($DP60)/($EK60),""),"")</f>
        <v/>
      </c>
      <c r="FA60" s="55">
        <f>IFERROR(IF(($EL60)&gt;0,($DQ60)/($EL60),""),"")</f>
        <v/>
      </c>
      <c r="FB60" s="55">
        <f>IFERROR(IF(($EM60)&gt;0,($DR60)/($EM60),""),"")</f>
        <v/>
      </c>
      <c r="FC60" s="67">
        <f>IFERROR(IF(($ET60)&gt;0,($ET60-$EN60-$EQ60)/($ET60),""),"")</f>
        <v/>
      </c>
      <c r="FD60" s="67">
        <f>IFERROR(IF(($EU60)&gt;0,($EU60-$EO60-$ER60)/($EU60),""),"")</f>
        <v/>
      </c>
      <c r="FE60" s="67">
        <f>IFERROR(IF(($EV60)&gt;0,($EV60-$EP60-$ES60)/($EV60),""),"")</f>
        <v/>
      </c>
      <c r="FF60" s="67">
        <f>IFERROR(IF(($ET60-$EN60-$EQ60)&gt;0,($EK60)/($ET60-$EN60-$EQ60),""),"")</f>
        <v/>
      </c>
      <c r="FG60" s="67">
        <f>IFERROR(IF(($EU60-$EO60-$ER60)&gt;0,($EL60)/($EU60-$EO60-$ER60),""),"")</f>
        <v/>
      </c>
      <c r="FH60" s="67">
        <f>IFERROR(IF(($EV60-$EP60-$ES60)&gt;0,($EM60)/($EV60-$EP60-$ES60),""),"")</f>
        <v/>
      </c>
      <c r="FI60" s="55">
        <f>SUMIFS(tblPlant[Cyanide_kg],tblPlant[Date],$A60)</f>
        <v/>
      </c>
      <c r="FJ60" s="55">
        <f>IF($B60=$B59,$FJ59,0)+$FI60</f>
        <v/>
      </c>
      <c r="FK60" s="55">
        <f>$FK59+$FI60</f>
        <v/>
      </c>
      <c r="FL60" s="55">
        <f>SUMIFS(tblPlant[Lime_kg],tblPlant[Date],$A60)</f>
        <v/>
      </c>
      <c r="FM60" s="55">
        <f>IF($B60=$B59,$FM59,0)+$FL60</f>
        <v/>
      </c>
      <c r="FN60" s="55">
        <f>$FN59+$FL60</f>
        <v/>
      </c>
      <c r="FO60" s="55">
        <f>SUMIFS(tblPlant[Grinding_Media_kg],tblPlant[Date],$A60)</f>
        <v/>
      </c>
      <c r="FP60" s="55">
        <f>IF($B60=$B59,$FP59,0)+$FO60</f>
        <v/>
      </c>
      <c r="FQ60" s="55">
        <f>$FQ59+$FO60</f>
        <v/>
      </c>
      <c r="FR60" s="55">
        <f>SUMIFS(tblPlant[Power_kWh],tblPlant[Date],$A60)</f>
        <v/>
      </c>
      <c r="FS60" s="55">
        <f>IF($B60=$B59,$FS59,0)+$FR60</f>
        <v/>
      </c>
      <c r="FT60" s="55">
        <f>$FT59+$FR60</f>
        <v/>
      </c>
      <c r="FU60" s="55">
        <f>SUMIFS(tblPlant[Raw_Water_m3],tblPlant[Date],$A60)</f>
        <v/>
      </c>
      <c r="FV60" s="55">
        <f>IF($B60=$B59,$FV59,0)+$FU60</f>
        <v/>
      </c>
      <c r="FW60" s="55">
        <f>$FW59+$FU60</f>
        <v/>
      </c>
      <c r="FX60" s="56">
        <f>IFERROR(IF(($CU60)&gt;0,($FI60)/($CU60),""),"")</f>
        <v/>
      </c>
      <c r="FY60" s="56">
        <f>IFERROR(IF(($CV60)&gt;0,($FJ60)/($CV60),""),"")</f>
        <v/>
      </c>
      <c r="FZ60" s="56">
        <f>IFERROR(IF(($CW60)&gt;0,($FK60)/($CW60),""),"")</f>
        <v/>
      </c>
      <c r="GA60" s="56">
        <f>IFERROR(IF(($CU60)&gt;0,($FL60)/($CU60),""),"")</f>
        <v/>
      </c>
      <c r="GB60" s="56">
        <f>IFERROR(IF(($CV60)&gt;0,($FM60)/($CV60),""),"")</f>
        <v/>
      </c>
      <c r="GC60" s="56">
        <f>IFERROR(IF(($CW60)&gt;0,($FN60)/($CW60),""),"")</f>
        <v/>
      </c>
      <c r="GD60" s="56">
        <f>IFERROR(IF(($CU60)&gt;0,($FO60)/($CU60),""),"")</f>
        <v/>
      </c>
      <c r="GE60" s="56">
        <f>IFERROR(IF(($CV60)&gt;0,($FP60)/($CV60),""),"")</f>
        <v/>
      </c>
      <c r="GF60" s="56">
        <f>IFERROR(IF(($CW60)&gt;0,($FQ60)/($CW60),""),"")</f>
        <v/>
      </c>
      <c r="GG60" s="79">
        <f>IFERROR(IF(($CU60)&gt;0,($FR60)/($CU60),""),"")</f>
        <v/>
      </c>
      <c r="GH60" s="79">
        <f>IFERROR(IF(($CV60)&gt;0,($FS60)/($CV60),""),"")</f>
        <v/>
      </c>
      <c r="GI60" s="79">
        <f>IFERROR(IF(($CW60)&gt;0,($FT60)/($CW60),""),"")</f>
        <v/>
      </c>
      <c r="GJ60" s="56">
        <f>IFERROR(IF(($CU60)&gt;0,($FU60)/($CU60),""),"")</f>
        <v/>
      </c>
      <c r="GK60" s="56">
        <f>IFERROR(IF(($CV60)&gt;0,($FV60)/($CV60),""),"")</f>
        <v/>
      </c>
      <c r="GL60" s="56">
        <f>IFERROR(IF(($CW60)&gt;0,($FW60)/($CW60),""),"")</f>
        <v/>
      </c>
      <c r="GM60" s="55">
        <f>IF(SUMIFS(tblPlant[GIC_oz],tblPlant[Date],$A60)&gt;0,SUMIFS(tblPlant[GIC_oz],tblPlant[Date],$A60),"")</f>
        <v/>
      </c>
      <c r="GN60" s="55">
        <f>SUMIFS(tblGold[Gold_oz],tblGold[Date],$A60,tblGold[Type],"Shipment")</f>
        <v/>
      </c>
      <c r="GO60" s="55">
        <f>IF($B60=$B59,$GO59,0)+$GN60</f>
        <v/>
      </c>
      <c r="GP60" s="55">
        <f>$GP59+$GN60</f>
        <v/>
      </c>
      <c r="GQ60" s="55">
        <f>SUMIFS(tblGold[Gold_oz],tblGold[Date],$A60,tblGold[Type],"Sale")</f>
        <v/>
      </c>
      <c r="GR60" s="55">
        <f>IF($B60=$B59,$GR59,0)+$GQ60</f>
        <v/>
      </c>
      <c r="GS60" s="55">
        <f>$GS59+$GQ60</f>
        <v/>
      </c>
      <c r="GT60" s="55">
        <f>SUMIFS(tblGold[Dore_kg],tblGold[Date],$A60,tblGold[Type],"Shipment")</f>
        <v/>
      </c>
      <c r="GU60" s="55">
        <f>IF($B60=$B59,$GU59,0)+$GT60</f>
        <v/>
      </c>
      <c r="GV60" s="55">
        <f>$GV59+$GT60</f>
        <v/>
      </c>
      <c r="GW60" s="57">
        <f>SUMIFS(tblSafety[Hours_Total],tblSafety[Date],$A60)</f>
        <v/>
      </c>
      <c r="GX60" s="57">
        <f>IF($B60=$B59,$GX59,0)+$GW60</f>
        <v/>
      </c>
      <c r="GY60" s="57">
        <f>$GY59+$GW60</f>
        <v/>
      </c>
      <c r="GZ60" s="62">
        <f>SUMIFS(tblSafety[Fatality],tblSafety[Date],$A60)</f>
        <v/>
      </c>
      <c r="HA60" s="62">
        <f>IF($B60=$B59,$HA59,0)+$GZ60</f>
        <v/>
      </c>
      <c r="HB60" s="62">
        <f>$HB59+$GZ60</f>
        <v/>
      </c>
      <c r="HC60" s="62">
        <f>SUMIFS(tblSafety[LTI],tblSafety[Date],$A60)</f>
        <v/>
      </c>
      <c r="HD60" s="62">
        <f>IF($B60=$B59,$HD59,0)+$HC60</f>
        <v/>
      </c>
      <c r="HE60" s="62">
        <f>$HE59+$HC60</f>
        <v/>
      </c>
      <c r="HF60" s="62">
        <f>SUMIFS(tblSafety[RWI],tblSafety[Date],$A60)</f>
        <v/>
      </c>
      <c r="HG60" s="62">
        <f>IF($B60=$B59,$HG59,0)+$HF60</f>
        <v/>
      </c>
      <c r="HH60" s="62">
        <f>$HH59+$HF60</f>
        <v/>
      </c>
      <c r="HI60" s="62">
        <f>SUMIFS(tblSafety[MTI],tblSafety[Date],$A60)</f>
        <v/>
      </c>
      <c r="HJ60" s="62">
        <f>IF($B60=$B59,$HJ59,0)+$HI60</f>
        <v/>
      </c>
      <c r="HK60" s="62">
        <f>$HK59+$HI60</f>
        <v/>
      </c>
      <c r="HL60" s="62">
        <f>SUMIFS(tblSafety[FAI],tblSafety[Date],$A60)</f>
        <v/>
      </c>
      <c r="HM60" s="62">
        <f>IF($B60=$B59,$HM59,0)+$HL60</f>
        <v/>
      </c>
      <c r="HN60" s="62">
        <f>$HN59+$HL60</f>
        <v/>
      </c>
      <c r="HO60" s="62">
        <f>SUMIFS(tblSafety[Recordables],tblSafety[Date],$A60)</f>
        <v/>
      </c>
      <c r="HP60" s="62">
        <f>IF($B60=$B59,$HP59,0)+$HO60</f>
        <v/>
      </c>
      <c r="HQ60" s="62">
        <f>$HQ59+$HO60</f>
        <v/>
      </c>
      <c r="HR60" s="62">
        <f>SUMIFS(tblSafety[Near_Miss],tblSafety[Date],$A60)</f>
        <v/>
      </c>
      <c r="HS60" s="62">
        <f>IF($B60=$B59,$HS59,0)+$HR60</f>
        <v/>
      </c>
      <c r="HT60" s="62">
        <f>$HT59+$HR60</f>
        <v/>
      </c>
      <c r="HU60" s="62">
        <f>SUMIFS(tblSafety[Hazard_Reports],tblSafety[Date],$A60)</f>
        <v/>
      </c>
      <c r="HV60" s="62">
        <f>IF($B60=$B59,$HV59,0)+$HU60</f>
        <v/>
      </c>
      <c r="HW60" s="62">
        <f>$HW59+$HU60</f>
        <v/>
      </c>
      <c r="HX60" s="62">
        <f>SUMIFS(tblSafety[HPI],tblSafety[Date],$A60)</f>
        <v/>
      </c>
      <c r="HY60" s="62">
        <f>IF($B60=$B59,$HY59,0)+$HX60</f>
        <v/>
      </c>
      <c r="HZ60" s="62">
        <f>$HZ59+$HX60</f>
        <v/>
      </c>
      <c r="IA60" s="62">
        <f>SUMIFS(tblSafety[Env_Incidents],tblSafety[Date],$A60)</f>
        <v/>
      </c>
      <c r="IB60" s="62">
        <f>IF($B60=$B59,$IB59,0)+$IA60</f>
        <v/>
      </c>
      <c r="IC60" s="62">
        <f>$IC59+$IA60</f>
        <v/>
      </c>
      <c r="ID60" s="62">
        <f>SUMIFS(tblSafety[Community_Incidents],tblSafety[Date],$A60)</f>
        <v/>
      </c>
      <c r="IE60" s="62">
        <f>IF($B60=$B59,$IE59,0)+$ID60</f>
        <v/>
      </c>
      <c r="IF60" s="62">
        <f>$IF59+$ID60</f>
        <v/>
      </c>
      <c r="IG60" s="62">
        <f>SUMIFS(tblSafety[Vehicle_Incidents],tblSafety[Date],$A60)</f>
        <v/>
      </c>
      <c r="IH60" s="62">
        <f>IF($B60=$B59,$IH59,0)+$IG60</f>
        <v/>
      </c>
      <c r="II60" s="62">
        <f>$II59+$IG60</f>
        <v/>
      </c>
      <c r="IJ60" s="62">
        <f>SUMIFS(tblSafety[Toolbox_Talks],tblSafety[Date],$A60)</f>
        <v/>
      </c>
      <c r="IK60" s="62">
        <f>IF($B60=$B59,$IK59,0)+$IJ60</f>
        <v/>
      </c>
      <c r="IL60" s="62">
        <f>$IL59+$IJ60</f>
        <v/>
      </c>
      <c r="IM60" s="62">
        <f>SUMIFS(tblSafety[Inspections],tblSafety[Date],$A60)</f>
        <v/>
      </c>
      <c r="IN60" s="62">
        <f>IF($B60=$B59,$IN59,0)+$IM60</f>
        <v/>
      </c>
      <c r="IO60" s="62">
        <f>$IO59+$IM60</f>
        <v/>
      </c>
      <c r="IP60" s="56">
        <f>IFERROR((SUMIFS(tblSafety[Recordables],tblSafety[Date],"&gt;="&amp;EDATE($E60,-12),tblSafety[Date],"&lt;="&amp;$A60)+SUMIFS(tblSafetyHistory[Recordables],tblSafetyHistory[Month],"&gt;="&amp;EDATE($E60,-12),tblSafetyHistory[Month],"&lt;"&amp;$E60,tblSafetyHistory[Use],1))/(SUMIFS(tblSafety[Hours_Total],tblSafety[Date],"&gt;="&amp;EDATE($E60,-12),tblSafety[Date],"&lt;="&amp;$A60)+SUMIFS(tblSafetyHistory[Hours_Total],tblSafetyHistory[Month],"&gt;="&amp;EDATE($E60,-12),tblSafetyHistory[Month],"&lt;"&amp;$E60,tblSafetyHistory[Use],1))*cfg_RateBasisHours,"")</f>
        <v/>
      </c>
      <c r="IQ60" s="56">
        <f>IFERROR((SUMIFS(tblSafety[LTI],tblSafety[Date],"&gt;="&amp;EDATE($E60,-12),tblSafety[Date],"&lt;="&amp;$A60)+SUMIFS(tblSafetyHistory[LTI],tblSafetyHistory[Month],"&gt;="&amp;EDATE($E60,-12),tblSafetyHistory[Month],"&lt;"&amp;$E60,tblSafetyHistory[Use],1))/(SUMIFS(tblSafety[Hours_Total],tblSafety[Date],"&gt;="&amp;EDATE($E60,-12),tblSafety[Date],"&lt;="&amp;$A60)+SUMIFS(tblSafetyHistory[Hours_Total],tblSafetyHistory[Month],"&gt;="&amp;EDATE($E60,-12),tblSafetyHistory[Month],"&lt;"&amp;$E60,tblSafetyHistory[Use],1))*cfg_RateBasisHours,"")</f>
        <v/>
      </c>
      <c r="IR60" s="62">
        <f>IF(MAX(N(cfg_PriorLTIDate),_xlfn.MAXIFS(tblSafety[Date],tblSafety[LTI],"&gt;0",tblSafety[Date],"&lt;="&amp;$A60))=0,"",$A60-MAX(N(cfg_PriorLTIDate),_xlfn.MAXIFS(tblSafety[Date],tblSafety[LTI],"&gt;0",tblSafety[Date],"&lt;="&amp;$A60)))</f>
        <v/>
      </c>
      <c r="IS60" s="55">
        <f>SUMIFS(tblBudget[Ore_Mined_t],tblBudget[Month],$E60)</f>
        <v/>
      </c>
      <c r="IT60" s="55">
        <f>$IS60*$C60/$D60</f>
        <v/>
      </c>
      <c r="IU60" s="55">
        <f>SUMIFS(tblBudget[Ore_Mined_t],tblBudget[Month],"&lt;"&amp;$E60)+$IT60</f>
        <v/>
      </c>
      <c r="IV60" s="55">
        <f>SUMIFS(tblBudget[Ore_oz],tblBudget[Month],$E60)</f>
        <v/>
      </c>
      <c r="IW60" s="55">
        <f>$IV60*$C60/$D60</f>
        <v/>
      </c>
      <c r="IX60" s="55">
        <f>SUMIFS(tblBudget[Ore_oz],tblBudget[Month],"&lt;"&amp;$E60)+$IW60</f>
        <v/>
      </c>
      <c r="IY60" s="55">
        <f>SUMIFS(tblBudget[Ore_Mined_t],tblBudget[Month],$E60)</f>
        <v/>
      </c>
      <c r="IZ60" s="55">
        <f>$IY60*$C60/$D60</f>
        <v/>
      </c>
      <c r="JA60" s="55">
        <f>SUMIFS(tblBudget[Ore_Mined_t],tblBudget[Month],"&lt;"&amp;$E60)+$IZ60</f>
        <v/>
      </c>
      <c r="JB60" s="56">
        <f>IFERROR(IF(($IY60)&gt;0,($IV60*cfg_TroyOz)/($IY60),""),"")</f>
        <v/>
      </c>
      <c r="JC60" s="56">
        <f>IFERROR(IF(($IZ60)&gt;0,($IW60*cfg_TroyOz)/($IZ60),""),"")</f>
        <v/>
      </c>
      <c r="JD60" s="56">
        <f>IFERROR(IF(($JA60)&gt;0,($IX60*cfg_TroyOz)/($JA60),""),"")</f>
        <v/>
      </c>
      <c r="JE60" s="55">
        <f>SUMIFS(tblBudget[Waste_t],tblBudget[Month],$E60)</f>
        <v/>
      </c>
      <c r="JF60" s="55">
        <f>$JE60*$C60/$D60</f>
        <v/>
      </c>
      <c r="JG60" s="55">
        <f>SUMIFS(tblBudget[Waste_t],tblBudget[Month],"&lt;"&amp;$E60)+$JF60</f>
        <v/>
      </c>
      <c r="JH60" s="55">
        <f>SUMIFS(tblBudget[TMM_t],tblBudget[Month],$E60)</f>
        <v/>
      </c>
      <c r="JI60" s="55">
        <f>$JH60*$C60/$D60</f>
        <v/>
      </c>
      <c r="JJ60" s="55">
        <f>SUMIFS(tblBudget[TMM_t],tblBudget[Month],"&lt;"&amp;$E60)+$JI60</f>
        <v/>
      </c>
      <c r="JK60" s="56">
        <f>IFERROR(IF(($IS60)&gt;0,($JE60)/($IS60),""),"")</f>
        <v/>
      </c>
      <c r="JL60" s="56">
        <f>IFERROR(IF(($IT60)&gt;0,($JF60)/($IT60),""),"")</f>
        <v/>
      </c>
      <c r="JM60" s="56">
        <f>IFERROR(IF(($IU60)&gt;0,($JG60)/($IU60),""),"")</f>
        <v/>
      </c>
      <c r="JN60" s="55">
        <f>SUMIFS(tblBudget[Drill_m],tblBudget[Month],$E60)</f>
        <v/>
      </c>
      <c r="JO60" s="55">
        <f>$JN60*$C60/$D60</f>
        <v/>
      </c>
      <c r="JP60" s="55">
        <f>SUMIFS(tblBudget[Drill_m],tblBudget[Month],"&lt;"&amp;$E60)+$JO60</f>
        <v/>
      </c>
      <c r="JQ60" s="55">
        <f>SUMIFS(tblBudget[Diesel_L],tblBudget[Month],$E60)</f>
        <v/>
      </c>
      <c r="JR60" s="55">
        <f>$JQ60*$C60/$D60</f>
        <v/>
      </c>
      <c r="JS60" s="55">
        <f>SUMIFS(tblBudget[Diesel_L],tblBudget[Month],"&lt;"&amp;$E60)+$JR60</f>
        <v/>
      </c>
      <c r="JT60" s="55">
        <f>SUMIFS(tblBudget[Milled_t],tblBudget[Month],$E60)</f>
        <v/>
      </c>
      <c r="JU60" s="55">
        <f>$JT60*$C60/$D60</f>
        <v/>
      </c>
      <c r="JV60" s="55">
        <f>SUMIFS(tblBudget[Milled_t],tblBudget[Month],"&lt;"&amp;$E60)+$JU60</f>
        <v/>
      </c>
      <c r="JW60" s="55">
        <f>SUMIFS(tblBudget[Feed_oz],tblBudget[Month],$E60)</f>
        <v/>
      </c>
      <c r="JX60" s="55">
        <f>$JW60*$C60/$D60</f>
        <v/>
      </c>
      <c r="JY60" s="55">
        <f>SUMIFS(tblBudget[Feed_oz],tblBudget[Month],"&lt;"&amp;$E60)+$JX60</f>
        <v/>
      </c>
      <c r="JZ60" s="55">
        <f>SUMIFS(tblBudget[Recovered_oz],tblBudget[Month],$E60)</f>
        <v/>
      </c>
      <c r="KA60" s="55">
        <f>$JZ60*$C60/$D60</f>
        <v/>
      </c>
      <c r="KB60" s="55">
        <f>SUMIFS(tblBudget[Recovered_oz],tblBudget[Month],"&lt;"&amp;$E60)+$KA60</f>
        <v/>
      </c>
      <c r="KC60" s="55">
        <f>SUMIFS(tblBudget[Milled_t],tblBudget[Month],$E60)</f>
        <v/>
      </c>
      <c r="KD60" s="55">
        <f>$KC60*$C60/$D60</f>
        <v/>
      </c>
      <c r="KE60" s="55">
        <f>SUMIFS(tblBudget[Milled_t],tblBudget[Month],"&lt;"&amp;$E60)+$KD60</f>
        <v/>
      </c>
      <c r="KF60" s="55">
        <f>SUMIFS(tblBudget[Feed_oz],tblBudget[Month],$E60)</f>
        <v/>
      </c>
      <c r="KG60" s="55">
        <f>$KF60*$C60/$D60</f>
        <v/>
      </c>
      <c r="KH60" s="55">
        <f>SUMIFS(tblBudget[Feed_oz],tblBudget[Month],"&lt;"&amp;$E60)+$KG60</f>
        <v/>
      </c>
      <c r="KI60" s="56">
        <f>IFERROR(IF(($KC60)&gt;0,($JW60*cfg_TroyOz)/($KC60),""),"")</f>
        <v/>
      </c>
      <c r="KJ60" s="56">
        <f>IFERROR(IF(($KD60)&gt;0,($JX60*cfg_TroyOz)/($KD60),""),"")</f>
        <v/>
      </c>
      <c r="KK60" s="56">
        <f>IFERROR(IF(($KE60)&gt;0,($JY60*cfg_TroyOz)/($KE60),""),"")</f>
        <v/>
      </c>
      <c r="KL60" s="67">
        <f>IFERROR(IF(($KF60)&gt;0,($JZ60)/($KF60),""),"")</f>
        <v/>
      </c>
      <c r="KM60" s="67">
        <f>IFERROR(IF(($KG60)&gt;0,($KA60)/($KG60),""),"")</f>
        <v/>
      </c>
      <c r="KN60" s="67">
        <f>IFERROR(IF(($KH60)&gt;0,($KB60)/($KH60),""),"")</f>
        <v/>
      </c>
      <c r="KO60" s="55">
        <f>SUMIFS(tblBudget[Gold_Poured_oz],tblBudget[Month],$E60)</f>
        <v/>
      </c>
      <c r="KP60" s="55">
        <f>$KO60*$C60/$D60</f>
        <v/>
      </c>
      <c r="KQ60" s="55">
        <f>SUMIFS(tblBudget[Gold_Poured_oz],tblBudget[Month],"&lt;"&amp;$E60)+$KP60</f>
        <v/>
      </c>
      <c r="KR60" s="57">
        <f>SUMIFS(tblBudget[Hours_Worked],tblBudget[Month],$E60)</f>
        <v/>
      </c>
      <c r="KS60" s="57">
        <f>$KR60*$C60/$D60</f>
        <v/>
      </c>
      <c r="KT60" s="57">
        <f>SUMIFS(tblBudget[Hours_Worked],tblBudget[Month],"&lt;"&amp;$E60)+$KS60</f>
        <v/>
      </c>
    </row>
    <row r="61">
      <c r="A61" s="54" t="n">
        <v>46082</v>
      </c>
      <c r="B61">
        <f>MONTH($A61)</f>
        <v/>
      </c>
      <c r="C61">
        <f>DAY($A61)</f>
        <v/>
      </c>
      <c r="D61">
        <f>DAY(EOMONTH($A61,0))</f>
        <v/>
      </c>
      <c r="E61" s="54">
        <f>DATE(YEAR($A61),MONTH($A61),1)</f>
        <v/>
      </c>
      <c r="F61" s="55">
        <f>SUMIFS(tblMovement[Tonnes_t],tblMovement[Date],$A61,tblMovement[Is_Ore],1,tblMovement[Source_Type],"Pit")</f>
        <v/>
      </c>
      <c r="G61" s="55">
        <f>IF($B61=$B60,$G60,0)+$F61</f>
        <v/>
      </c>
      <c r="H61" s="55">
        <f>$H60+$F61</f>
        <v/>
      </c>
      <c r="I61" s="55">
        <f>SUMIFS(tblMovement[Ore_oz],tblMovement[Date],$A61,tblMovement[Source_Type],"Pit")</f>
        <v/>
      </c>
      <c r="J61" s="55">
        <f>IF($B61=$B60,$J60,0)+$I61</f>
        <v/>
      </c>
      <c r="K61" s="55">
        <f>$K60+$I61</f>
        <v/>
      </c>
      <c r="L61" s="55">
        <f>SUMIFS(tblMovement[Tonnes_t],tblMovement[Date],$A61,tblMovement[Is_Ore],1,tblMovement[Source_Type],"Pit",tblMovement[Grade_gpt],"&lt;&gt;")</f>
        <v/>
      </c>
      <c r="M61" s="55">
        <f>IF($B61=$B60,$M60,0)+$L61</f>
        <v/>
      </c>
      <c r="N61" s="55">
        <f>$N60+$L61</f>
        <v/>
      </c>
      <c r="O61" s="56">
        <f>IFERROR(IF(($L61)&gt;0,($I61*cfg_TroyOz)/($L61),""),"")</f>
        <v/>
      </c>
      <c r="P61" s="56">
        <f>IFERROR(IF(($M61)&gt;0,($J61*cfg_TroyOz)/($M61),""),"")</f>
        <v/>
      </c>
      <c r="Q61" s="56">
        <f>IFERROR(IF(($N61)&gt;0,($K61*cfg_TroyOz)/($N61),""),"")</f>
        <v/>
      </c>
      <c r="R61" s="55">
        <f>$F61-$L61</f>
        <v/>
      </c>
      <c r="S61" s="55">
        <f>IF($B61=$B60,$S60,0)+$R61</f>
        <v/>
      </c>
      <c r="T61" s="55">
        <f>$T60+$R61</f>
        <v/>
      </c>
      <c r="U61" s="55">
        <f>SUMIFS(tblMovement[Tonnes_t],tblMovement[Date],$A61,tblMovement[Is_Ore],0,tblMovement[Source_Type],"Pit")</f>
        <v/>
      </c>
      <c r="V61" s="55">
        <f>IF($B61=$B60,$V60,0)+$U61</f>
        <v/>
      </c>
      <c r="W61" s="55">
        <f>$W60+$U61</f>
        <v/>
      </c>
      <c r="X61" s="55">
        <f>$F61+$U61</f>
        <v/>
      </c>
      <c r="Y61" s="55">
        <f>IF($B61=$B60,$Y60,0)+$X61</f>
        <v/>
      </c>
      <c r="Z61" s="55">
        <f>$Z60+$X61</f>
        <v/>
      </c>
      <c r="AA61" s="56">
        <f>IFERROR(IF(($F61)&gt;0,($U61)/($F61),""),"")</f>
        <v/>
      </c>
      <c r="AB61" s="56">
        <f>IFERROR(IF(($G61)&gt;0,($V61)/($G61),""),"")</f>
        <v/>
      </c>
      <c r="AC61" s="56">
        <f>IFERROR(IF(($H61)&gt;0,($W61)/($H61),""),"")</f>
        <v/>
      </c>
      <c r="AD61" s="55">
        <f>SUMIFS(tblMovement[Tonnes_t],tblMovement[Date],$A61,tblMovement[Source_Type],"Stockpile")</f>
        <v/>
      </c>
      <c r="AE61" s="55">
        <f>IF($B61=$B60,$AE60,0)+$AD61</f>
        <v/>
      </c>
      <c r="AF61" s="55">
        <f>$AF60+$AD61</f>
        <v/>
      </c>
      <c r="AG61" s="55">
        <f>SUMIFS(tblMovement[Tonnes_t],tblMovement[Date],$A61)</f>
        <v/>
      </c>
      <c r="AH61" s="55">
        <f>IF($B61=$B60,$AH60,0)+$AG61</f>
        <v/>
      </c>
      <c r="AI61" s="55">
        <f>$AI60+$AG61</f>
        <v/>
      </c>
      <c r="AJ61" s="55">
        <f>$AG61-$X61-$AD61</f>
        <v/>
      </c>
      <c r="AK61" s="55">
        <f>IF($B61=$B60,$AK60,0)+$AJ61</f>
        <v/>
      </c>
      <c r="AL61" s="55">
        <f>$AL60+$AJ61</f>
        <v/>
      </c>
      <c r="AM61" s="55">
        <f>SUMIFS(tblMiningDaily[Drill_m],tblMiningDaily[Date],$A61)</f>
        <v/>
      </c>
      <c r="AN61" s="55">
        <f>IF($B61=$B60,$AN60,0)+$AM61</f>
        <v/>
      </c>
      <c r="AO61" s="55">
        <f>$AO60+$AM61</f>
        <v/>
      </c>
      <c r="AP61" s="55">
        <f>SUMIFS(tblMiningDaily[GC_Drill_m],tblMiningDaily[Date],$A61)</f>
        <v/>
      </c>
      <c r="AQ61" s="55">
        <f>IF($B61=$B60,$AQ60,0)+$AP61</f>
        <v/>
      </c>
      <c r="AR61" s="55">
        <f>$AR60+$AP61</f>
        <v/>
      </c>
      <c r="AS61" s="55">
        <f>SUMIFS(tblMiningDaily[Blast_t],tblMiningDaily[Date],$A61)</f>
        <v/>
      </c>
      <c r="AT61" s="55">
        <f>IF($B61=$B60,$AT60,0)+$AS61</f>
        <v/>
      </c>
      <c r="AU61" s="55">
        <f>$AU60+$AS61</f>
        <v/>
      </c>
      <c r="AV61" s="55">
        <f>SUMIFS(tblMiningDaily[Explosives_kg],tblMiningDaily[Date],$A61)</f>
        <v/>
      </c>
      <c r="AW61" s="55">
        <f>IF($B61=$B60,$AW60,0)+$AV61</f>
        <v/>
      </c>
      <c r="AX61" s="55">
        <f>$AX60+$AV61</f>
        <v/>
      </c>
      <c r="AY61" s="56">
        <f>IFERROR(IF(($AS61)&gt;0,($AV61)/($AS61),""),"")</f>
        <v/>
      </c>
      <c r="AZ61" s="56">
        <f>IFERROR(IF(($AT61)&gt;0,($AW61)/($AT61),""),"")</f>
        <v/>
      </c>
      <c r="BA61" s="56">
        <f>IFERROR(IF(($AU61)&gt;0,($AX61)/($AU61),""),"")</f>
        <v/>
      </c>
      <c r="BB61" s="55">
        <f>SUMIFS(tblMiningDaily[Diesel_L],tblMiningDaily[Date],$A61)</f>
        <v/>
      </c>
      <c r="BC61" s="55">
        <f>IF($B61=$B60,$BC60,0)+$BB61</f>
        <v/>
      </c>
      <c r="BD61" s="55">
        <f>$BD60+$BB61</f>
        <v/>
      </c>
      <c r="BE61" s="55">
        <f>SUMIFS(tblMiningDaily[Dewatering_m3],tblMiningDaily[Date],$A61)</f>
        <v/>
      </c>
      <c r="BF61" s="55">
        <f>IF($B61=$B60,$BF60,0)+$BE61</f>
        <v/>
      </c>
      <c r="BG61" s="55">
        <f>$BG60+$BE61</f>
        <v/>
      </c>
      <c r="BH61" s="57">
        <f>SUMIFS(tblFleet[Calendar_h],tblFleet[Date],$A61,tblFleet[Equipment_Class],"Excavator")</f>
        <v/>
      </c>
      <c r="BI61" s="57">
        <f>IF($B61=$B60,$BI60,0)+$BH61</f>
        <v/>
      </c>
      <c r="BJ61" s="57">
        <f>$BJ60+$BH61</f>
        <v/>
      </c>
      <c r="BK61" s="57">
        <f>SUMIFS(tblFleet[Available_h],tblFleet[Date],$A61,tblFleet[Equipment_Class],"Excavator")</f>
        <v/>
      </c>
      <c r="BL61" s="57">
        <f>IF($B61=$B60,$BL60,0)+$BK61</f>
        <v/>
      </c>
      <c r="BM61" s="57">
        <f>$BM60+$BK61</f>
        <v/>
      </c>
      <c r="BN61" s="57">
        <f>SUMIFS(tblFleet[Operating_h],tblFleet[Date],$A61,tblFleet[Equipment_Class],"Excavator")</f>
        <v/>
      </c>
      <c r="BO61" s="57">
        <f>IF($B61=$B60,$BO60,0)+$BN61</f>
        <v/>
      </c>
      <c r="BP61" s="57">
        <f>$BP60+$BN61</f>
        <v/>
      </c>
      <c r="BQ61" s="67">
        <f>IFERROR(IF(($BH61)&gt;0,($BK61)/($BH61),""),"")</f>
        <v/>
      </c>
      <c r="BR61" s="67">
        <f>IFERROR(IF(($BI61)&gt;0,($BL61)/($BI61),""),"")</f>
        <v/>
      </c>
      <c r="BS61" s="67">
        <f>IFERROR(IF(($BJ61)&gt;0,($BM61)/($BJ61),""),"")</f>
        <v/>
      </c>
      <c r="BT61" s="67">
        <f>IFERROR(IF(($BK61)&gt;0,($BN61)/($BK61),""),"")</f>
        <v/>
      </c>
      <c r="BU61" s="67">
        <f>IFERROR(IF(($BL61)&gt;0,($BO61)/($BL61),""),"")</f>
        <v/>
      </c>
      <c r="BV61" s="67">
        <f>IFERROR(IF(($BM61)&gt;0,($BP61)/($BM61),""),"")</f>
        <v/>
      </c>
      <c r="BW61" s="57">
        <f>SUMIFS(tblFleet[Calendar_h],tblFleet[Date],$A61,tblFleet[Equipment_Class],"Haul Truck")</f>
        <v/>
      </c>
      <c r="BX61" s="57">
        <f>IF($B61=$B60,$BX60,0)+$BW61</f>
        <v/>
      </c>
      <c r="BY61" s="57">
        <f>$BY60+$BW61</f>
        <v/>
      </c>
      <c r="BZ61" s="57">
        <f>SUMIFS(tblFleet[Available_h],tblFleet[Date],$A61,tblFleet[Equipment_Class],"Haul Truck")</f>
        <v/>
      </c>
      <c r="CA61" s="57">
        <f>IF($B61=$B60,$CA60,0)+$BZ61</f>
        <v/>
      </c>
      <c r="CB61" s="57">
        <f>$CB60+$BZ61</f>
        <v/>
      </c>
      <c r="CC61" s="57">
        <f>SUMIFS(tblFleet[Operating_h],tblFleet[Date],$A61,tblFleet[Equipment_Class],"Haul Truck")</f>
        <v/>
      </c>
      <c r="CD61" s="57">
        <f>IF($B61=$B60,$CD60,0)+$CC61</f>
        <v/>
      </c>
      <c r="CE61" s="57">
        <f>$CE60+$CC61</f>
        <v/>
      </c>
      <c r="CF61" s="67">
        <f>IFERROR(IF(($BW61)&gt;0,($BZ61)/($BW61),""),"")</f>
        <v/>
      </c>
      <c r="CG61" s="67">
        <f>IFERROR(IF(($BX61)&gt;0,($CA61)/($BX61),""),"")</f>
        <v/>
      </c>
      <c r="CH61" s="67">
        <f>IFERROR(IF(($BY61)&gt;0,($CB61)/($BY61),""),"")</f>
        <v/>
      </c>
      <c r="CI61" s="67">
        <f>IFERROR(IF(($BZ61)&gt;0,($CC61)/($BZ61),""),"")</f>
        <v/>
      </c>
      <c r="CJ61" s="67">
        <f>IFERROR(IF(($CA61)&gt;0,($CD61)/($CA61),""),"")</f>
        <v/>
      </c>
      <c r="CK61" s="67">
        <f>IFERROR(IF(($CB61)&gt;0,($CE61)/($CB61),""),"")</f>
        <v/>
      </c>
      <c r="CL61" s="55">
        <f>IFERROR(IF(($BN61)&gt;0,($X61+$AD61)/($BN61),""),"")</f>
        <v/>
      </c>
      <c r="CM61" s="55">
        <f>IFERROR(IF(($BO61)&gt;0,($Y61+$AE61)/($BO61),""),"")</f>
        <v/>
      </c>
      <c r="CN61" s="55">
        <f>IFERROR(IF(($BP61)&gt;0,($Z61+$AF61)/($BP61),""),"")</f>
        <v/>
      </c>
      <c r="CO61" s="55">
        <f>IFERROR(IF(($CC61)&gt;0,($X61+$AD61)/($CC61),""),"")</f>
        <v/>
      </c>
      <c r="CP61" s="55">
        <f>IFERROR(IF(($CD61)&gt;0,($Y61+$AE61)/($CD61),""),"")</f>
        <v/>
      </c>
      <c r="CQ61" s="55">
        <f>IFERROR(IF(($CE61)&gt;0,($Z61+$AF61)/($CE61),""),"")</f>
        <v/>
      </c>
      <c r="CR61" s="55">
        <f>SUMIFS(tblPlant[Crushed_t],tblPlant[Date],$A61)</f>
        <v/>
      </c>
      <c r="CS61" s="55">
        <f>IF($B61=$B60,$CS60,0)+$CR61</f>
        <v/>
      </c>
      <c r="CT61" s="55">
        <f>$CT60+$CR61</f>
        <v/>
      </c>
      <c r="CU61" s="55">
        <f>SUMIFS(tblPlant[Milled_t],tblPlant[Date],$A61)</f>
        <v/>
      </c>
      <c r="CV61" s="55">
        <f>IF($B61=$B60,$CV60,0)+$CU61</f>
        <v/>
      </c>
      <c r="CW61" s="55">
        <f>$CW60+$CU61</f>
        <v/>
      </c>
      <c r="CX61" s="55">
        <f>SUMIFS(tblPlant[Feed_oz],tblPlant[Date],$A61)</f>
        <v/>
      </c>
      <c r="CY61" s="55">
        <f>IF($B61=$B60,$CY60,0)+$CX61</f>
        <v/>
      </c>
      <c r="CZ61" s="55">
        <f>$CZ60+$CX61</f>
        <v/>
      </c>
      <c r="DA61" s="55">
        <f>SUMIFS(tblPlant[Tails_oz],tblPlant[Date],$A61)</f>
        <v/>
      </c>
      <c r="DB61" s="55">
        <f>IF($B61=$B60,$DB60,0)+$DA61</f>
        <v/>
      </c>
      <c r="DC61" s="55">
        <f>$DC60+$DA61</f>
        <v/>
      </c>
      <c r="DD61" s="55">
        <f>SUMIFS(tblPlant[Recovered_oz],tblPlant[Date],$A61)</f>
        <v/>
      </c>
      <c r="DE61" s="55">
        <f>IF($B61=$B60,$DE60,0)+$DD61</f>
        <v/>
      </c>
      <c r="DF61" s="55">
        <f>$DF60+$DD61</f>
        <v/>
      </c>
      <c r="DG61" s="55">
        <f>SUMIFS(tblPlant[Milled_t],tblPlant[Date],$A61,tblPlant[Head_Grade_gpt],"&lt;&gt;")</f>
        <v/>
      </c>
      <c r="DH61" s="55">
        <f>IF($B61=$B60,$DH60,0)+$DG61</f>
        <v/>
      </c>
      <c r="DI61" s="55">
        <f>$DI60+$DG61</f>
        <v/>
      </c>
      <c r="DJ61" s="55">
        <f>SUMIFS(tblPlant[Milled_t],tblPlant[Date],$A61,tblPlant[Tails_Grade_gpt],"&lt;&gt;")</f>
        <v/>
      </c>
      <c r="DK61" s="55">
        <f>IF($B61=$B60,$DK60,0)+$DJ61</f>
        <v/>
      </c>
      <c r="DL61" s="55">
        <f>$DL60+$DJ61</f>
        <v/>
      </c>
      <c r="DM61" s="55">
        <f>SUMIFS(tblPlant[Feed_oz],tblPlant[Date],$A61,tblPlant[Tails_Grade_gpt],"&lt;&gt;")</f>
        <v/>
      </c>
      <c r="DN61" s="55">
        <f>IF($B61=$B60,$DN60,0)+$DM61</f>
        <v/>
      </c>
      <c r="DO61" s="55">
        <f>$DO60+$DM61</f>
        <v/>
      </c>
      <c r="DP61" s="55">
        <f>SUMIFS(tblPlant[Milled_t],tblPlant[Date],$A61,tblPlant[Mill_Run_h],"&lt;&gt;")</f>
        <v/>
      </c>
      <c r="DQ61" s="55">
        <f>IF($B61=$B60,$DQ60,0)+$DP61</f>
        <v/>
      </c>
      <c r="DR61" s="55">
        <f>$DR60+$DP61</f>
        <v/>
      </c>
      <c r="DS61" s="56">
        <f>IFERROR(IF(($DG61)&gt;0,($CX61*cfg_TroyOz)/($DG61),""),"")</f>
        <v/>
      </c>
      <c r="DT61" s="56">
        <f>IFERROR(IF(($DH61)&gt;0,($CY61*cfg_TroyOz)/($DH61),""),"")</f>
        <v/>
      </c>
      <c r="DU61" s="56">
        <f>IFERROR(IF(($DI61)&gt;0,($CZ61*cfg_TroyOz)/($DI61),""),"")</f>
        <v/>
      </c>
      <c r="DV61" s="56">
        <f>IFERROR(IF(($DJ61)&gt;0,($DA61*cfg_TroyOz)/($DJ61),""),"")</f>
        <v/>
      </c>
      <c r="DW61" s="56">
        <f>IFERROR(IF(($DK61)&gt;0,($DB61*cfg_TroyOz)/($DK61),""),"")</f>
        <v/>
      </c>
      <c r="DX61" s="56">
        <f>IFERROR(IF(($DL61)&gt;0,($DC61*cfg_TroyOz)/($DL61),""),"")</f>
        <v/>
      </c>
      <c r="DY61" s="67">
        <f>IFERROR(IF(($DM61)&gt;0,($DD61)/($DM61),""),"")</f>
        <v/>
      </c>
      <c r="DZ61" s="67">
        <f>IFERROR(IF(($DN61)&gt;0,($DE61)/($DN61),""),"")</f>
        <v/>
      </c>
      <c r="EA61" s="67">
        <f>IFERROR(IF(($DO61)&gt;0,($DF61)/($DO61),""),"")</f>
        <v/>
      </c>
      <c r="EB61" s="55">
        <f>SUMIFS(tblPlant[Gravity_Gold_oz],tblPlant[Date],$A61)</f>
        <v/>
      </c>
      <c r="EC61" s="55">
        <f>IF($B61=$B60,$EC60,0)+$EB61</f>
        <v/>
      </c>
      <c r="ED61" s="55">
        <f>$ED60+$EB61</f>
        <v/>
      </c>
      <c r="EE61" s="67">
        <f>IFERROR(IF(($DD61)&gt;0,($EB61)/($DD61),""),"")</f>
        <v/>
      </c>
      <c r="EF61" s="67">
        <f>IFERROR(IF(($DE61)&gt;0,($EC61)/($DE61),""),"")</f>
        <v/>
      </c>
      <c r="EG61" s="67">
        <f>IFERROR(IF(($DF61)&gt;0,($ED61)/($DF61),""),"")</f>
        <v/>
      </c>
      <c r="EH61" s="55">
        <f>SUMIFS(tblPlant[Gold_Poured_oz],tblPlant[Date],$A61)</f>
        <v/>
      </c>
      <c r="EI61" s="55">
        <f>IF($B61=$B60,$EI60,0)+$EH61</f>
        <v/>
      </c>
      <c r="EJ61" s="55">
        <f>$EJ60+$EH61</f>
        <v/>
      </c>
      <c r="EK61" s="57">
        <f>SUMIFS(tblPlant[Mill_Run_h],tblPlant[Date],$A61)</f>
        <v/>
      </c>
      <c r="EL61" s="57">
        <f>IF($B61=$B60,$EL60,0)+$EK61</f>
        <v/>
      </c>
      <c r="EM61" s="57">
        <f>$EM60+$EK61</f>
        <v/>
      </c>
      <c r="EN61" s="57">
        <f>SUMIFS(tblPlant[Mill_Planned_Maint_h],tblPlant[Date],$A61)</f>
        <v/>
      </c>
      <c r="EO61" s="57">
        <f>IF($B61=$B60,$EO60,0)+$EN61</f>
        <v/>
      </c>
      <c r="EP61" s="57">
        <f>$EP60+$EN61</f>
        <v/>
      </c>
      <c r="EQ61" s="57">
        <f>SUMIFS(tblPlant[Mill_Unplanned_Down_h],tblPlant[Date],$A61)</f>
        <v/>
      </c>
      <c r="ER61" s="57">
        <f>IF($B61=$B60,$ER60,0)+$EQ61</f>
        <v/>
      </c>
      <c r="ES61" s="57">
        <f>$ES60+$EQ61</f>
        <v/>
      </c>
      <c r="ET61" s="57">
        <f>IF(COUNTIFS(tblPlant[Date],$A61,tblPlant[Mill_Run_h],"&lt;&gt;")+COUNTIFS(tblPlant[Date],$A61,tblPlant[Mill_Planned_Maint_h],"&lt;&gt;")+COUNTIFS(tblPlant[Date],$A61,tblPlant[Mill_Unplanned_Down_h],"&lt;&gt;")&gt;0,cfg_HoursPerDay,0)</f>
        <v/>
      </c>
      <c r="EU61" s="57">
        <f>IF($B61=$B60,$EU60,0)+$ET61</f>
        <v/>
      </c>
      <c r="EV61" s="57">
        <f>$EV60+$ET61</f>
        <v/>
      </c>
      <c r="EW61" s="57">
        <f>SUMIFS(tblPlant[Crusher_Run_h],tblPlant[Date],$A61)</f>
        <v/>
      </c>
      <c r="EX61" s="57">
        <f>IF($B61=$B60,$EX60,0)+$EW61</f>
        <v/>
      </c>
      <c r="EY61" s="57">
        <f>$EY60+$EW61</f>
        <v/>
      </c>
      <c r="EZ61" s="55">
        <f>IFERROR(IF(($EK61)&gt;0,($DP61)/($EK61),""),"")</f>
        <v/>
      </c>
      <c r="FA61" s="55">
        <f>IFERROR(IF(($EL61)&gt;0,($DQ61)/($EL61),""),"")</f>
        <v/>
      </c>
      <c r="FB61" s="55">
        <f>IFERROR(IF(($EM61)&gt;0,($DR61)/($EM61),""),"")</f>
        <v/>
      </c>
      <c r="FC61" s="67">
        <f>IFERROR(IF(($ET61)&gt;0,($ET61-$EN61-$EQ61)/($ET61),""),"")</f>
        <v/>
      </c>
      <c r="FD61" s="67">
        <f>IFERROR(IF(($EU61)&gt;0,($EU61-$EO61-$ER61)/($EU61),""),"")</f>
        <v/>
      </c>
      <c r="FE61" s="67">
        <f>IFERROR(IF(($EV61)&gt;0,($EV61-$EP61-$ES61)/($EV61),""),"")</f>
        <v/>
      </c>
      <c r="FF61" s="67">
        <f>IFERROR(IF(($ET61-$EN61-$EQ61)&gt;0,($EK61)/($ET61-$EN61-$EQ61),""),"")</f>
        <v/>
      </c>
      <c r="FG61" s="67">
        <f>IFERROR(IF(($EU61-$EO61-$ER61)&gt;0,($EL61)/($EU61-$EO61-$ER61),""),"")</f>
        <v/>
      </c>
      <c r="FH61" s="67">
        <f>IFERROR(IF(($EV61-$EP61-$ES61)&gt;0,($EM61)/($EV61-$EP61-$ES61),""),"")</f>
        <v/>
      </c>
      <c r="FI61" s="55">
        <f>SUMIFS(tblPlant[Cyanide_kg],tblPlant[Date],$A61)</f>
        <v/>
      </c>
      <c r="FJ61" s="55">
        <f>IF($B61=$B60,$FJ60,0)+$FI61</f>
        <v/>
      </c>
      <c r="FK61" s="55">
        <f>$FK60+$FI61</f>
        <v/>
      </c>
      <c r="FL61" s="55">
        <f>SUMIFS(tblPlant[Lime_kg],tblPlant[Date],$A61)</f>
        <v/>
      </c>
      <c r="FM61" s="55">
        <f>IF($B61=$B60,$FM60,0)+$FL61</f>
        <v/>
      </c>
      <c r="FN61" s="55">
        <f>$FN60+$FL61</f>
        <v/>
      </c>
      <c r="FO61" s="55">
        <f>SUMIFS(tblPlant[Grinding_Media_kg],tblPlant[Date],$A61)</f>
        <v/>
      </c>
      <c r="FP61" s="55">
        <f>IF($B61=$B60,$FP60,0)+$FO61</f>
        <v/>
      </c>
      <c r="FQ61" s="55">
        <f>$FQ60+$FO61</f>
        <v/>
      </c>
      <c r="FR61" s="55">
        <f>SUMIFS(tblPlant[Power_kWh],tblPlant[Date],$A61)</f>
        <v/>
      </c>
      <c r="FS61" s="55">
        <f>IF($B61=$B60,$FS60,0)+$FR61</f>
        <v/>
      </c>
      <c r="FT61" s="55">
        <f>$FT60+$FR61</f>
        <v/>
      </c>
      <c r="FU61" s="55">
        <f>SUMIFS(tblPlant[Raw_Water_m3],tblPlant[Date],$A61)</f>
        <v/>
      </c>
      <c r="FV61" s="55">
        <f>IF($B61=$B60,$FV60,0)+$FU61</f>
        <v/>
      </c>
      <c r="FW61" s="55">
        <f>$FW60+$FU61</f>
        <v/>
      </c>
      <c r="FX61" s="56">
        <f>IFERROR(IF(($CU61)&gt;0,($FI61)/($CU61),""),"")</f>
        <v/>
      </c>
      <c r="FY61" s="56">
        <f>IFERROR(IF(($CV61)&gt;0,($FJ61)/($CV61),""),"")</f>
        <v/>
      </c>
      <c r="FZ61" s="56">
        <f>IFERROR(IF(($CW61)&gt;0,($FK61)/($CW61),""),"")</f>
        <v/>
      </c>
      <c r="GA61" s="56">
        <f>IFERROR(IF(($CU61)&gt;0,($FL61)/($CU61),""),"")</f>
        <v/>
      </c>
      <c r="GB61" s="56">
        <f>IFERROR(IF(($CV61)&gt;0,($FM61)/($CV61),""),"")</f>
        <v/>
      </c>
      <c r="GC61" s="56">
        <f>IFERROR(IF(($CW61)&gt;0,($FN61)/($CW61),""),"")</f>
        <v/>
      </c>
      <c r="GD61" s="56">
        <f>IFERROR(IF(($CU61)&gt;0,($FO61)/($CU61),""),"")</f>
        <v/>
      </c>
      <c r="GE61" s="56">
        <f>IFERROR(IF(($CV61)&gt;0,($FP61)/($CV61),""),"")</f>
        <v/>
      </c>
      <c r="GF61" s="56">
        <f>IFERROR(IF(($CW61)&gt;0,($FQ61)/($CW61),""),"")</f>
        <v/>
      </c>
      <c r="GG61" s="79">
        <f>IFERROR(IF(($CU61)&gt;0,($FR61)/($CU61),""),"")</f>
        <v/>
      </c>
      <c r="GH61" s="79">
        <f>IFERROR(IF(($CV61)&gt;0,($FS61)/($CV61),""),"")</f>
        <v/>
      </c>
      <c r="GI61" s="79">
        <f>IFERROR(IF(($CW61)&gt;0,($FT61)/($CW61),""),"")</f>
        <v/>
      </c>
      <c r="GJ61" s="56">
        <f>IFERROR(IF(($CU61)&gt;0,($FU61)/($CU61),""),"")</f>
        <v/>
      </c>
      <c r="GK61" s="56">
        <f>IFERROR(IF(($CV61)&gt;0,($FV61)/($CV61),""),"")</f>
        <v/>
      </c>
      <c r="GL61" s="56">
        <f>IFERROR(IF(($CW61)&gt;0,($FW61)/($CW61),""),"")</f>
        <v/>
      </c>
      <c r="GM61" s="55">
        <f>IF(SUMIFS(tblPlant[GIC_oz],tblPlant[Date],$A61)&gt;0,SUMIFS(tblPlant[GIC_oz],tblPlant[Date],$A61),"")</f>
        <v/>
      </c>
      <c r="GN61" s="55">
        <f>SUMIFS(tblGold[Gold_oz],tblGold[Date],$A61,tblGold[Type],"Shipment")</f>
        <v/>
      </c>
      <c r="GO61" s="55">
        <f>IF($B61=$B60,$GO60,0)+$GN61</f>
        <v/>
      </c>
      <c r="GP61" s="55">
        <f>$GP60+$GN61</f>
        <v/>
      </c>
      <c r="GQ61" s="55">
        <f>SUMIFS(tblGold[Gold_oz],tblGold[Date],$A61,tblGold[Type],"Sale")</f>
        <v/>
      </c>
      <c r="GR61" s="55">
        <f>IF($B61=$B60,$GR60,0)+$GQ61</f>
        <v/>
      </c>
      <c r="GS61" s="55">
        <f>$GS60+$GQ61</f>
        <v/>
      </c>
      <c r="GT61" s="55">
        <f>SUMIFS(tblGold[Dore_kg],tblGold[Date],$A61,tblGold[Type],"Shipment")</f>
        <v/>
      </c>
      <c r="GU61" s="55">
        <f>IF($B61=$B60,$GU60,0)+$GT61</f>
        <v/>
      </c>
      <c r="GV61" s="55">
        <f>$GV60+$GT61</f>
        <v/>
      </c>
      <c r="GW61" s="57">
        <f>SUMIFS(tblSafety[Hours_Total],tblSafety[Date],$A61)</f>
        <v/>
      </c>
      <c r="GX61" s="57">
        <f>IF($B61=$B60,$GX60,0)+$GW61</f>
        <v/>
      </c>
      <c r="GY61" s="57">
        <f>$GY60+$GW61</f>
        <v/>
      </c>
      <c r="GZ61" s="62">
        <f>SUMIFS(tblSafety[Fatality],tblSafety[Date],$A61)</f>
        <v/>
      </c>
      <c r="HA61" s="62">
        <f>IF($B61=$B60,$HA60,0)+$GZ61</f>
        <v/>
      </c>
      <c r="HB61" s="62">
        <f>$HB60+$GZ61</f>
        <v/>
      </c>
      <c r="HC61" s="62">
        <f>SUMIFS(tblSafety[LTI],tblSafety[Date],$A61)</f>
        <v/>
      </c>
      <c r="HD61" s="62">
        <f>IF($B61=$B60,$HD60,0)+$HC61</f>
        <v/>
      </c>
      <c r="HE61" s="62">
        <f>$HE60+$HC61</f>
        <v/>
      </c>
      <c r="HF61" s="62">
        <f>SUMIFS(tblSafety[RWI],tblSafety[Date],$A61)</f>
        <v/>
      </c>
      <c r="HG61" s="62">
        <f>IF($B61=$B60,$HG60,0)+$HF61</f>
        <v/>
      </c>
      <c r="HH61" s="62">
        <f>$HH60+$HF61</f>
        <v/>
      </c>
      <c r="HI61" s="62">
        <f>SUMIFS(tblSafety[MTI],tblSafety[Date],$A61)</f>
        <v/>
      </c>
      <c r="HJ61" s="62">
        <f>IF($B61=$B60,$HJ60,0)+$HI61</f>
        <v/>
      </c>
      <c r="HK61" s="62">
        <f>$HK60+$HI61</f>
        <v/>
      </c>
      <c r="HL61" s="62">
        <f>SUMIFS(tblSafety[FAI],tblSafety[Date],$A61)</f>
        <v/>
      </c>
      <c r="HM61" s="62">
        <f>IF($B61=$B60,$HM60,0)+$HL61</f>
        <v/>
      </c>
      <c r="HN61" s="62">
        <f>$HN60+$HL61</f>
        <v/>
      </c>
      <c r="HO61" s="62">
        <f>SUMIFS(tblSafety[Recordables],tblSafety[Date],$A61)</f>
        <v/>
      </c>
      <c r="HP61" s="62">
        <f>IF($B61=$B60,$HP60,0)+$HO61</f>
        <v/>
      </c>
      <c r="HQ61" s="62">
        <f>$HQ60+$HO61</f>
        <v/>
      </c>
      <c r="HR61" s="62">
        <f>SUMIFS(tblSafety[Near_Miss],tblSafety[Date],$A61)</f>
        <v/>
      </c>
      <c r="HS61" s="62">
        <f>IF($B61=$B60,$HS60,0)+$HR61</f>
        <v/>
      </c>
      <c r="HT61" s="62">
        <f>$HT60+$HR61</f>
        <v/>
      </c>
      <c r="HU61" s="62">
        <f>SUMIFS(tblSafety[Hazard_Reports],tblSafety[Date],$A61)</f>
        <v/>
      </c>
      <c r="HV61" s="62">
        <f>IF($B61=$B60,$HV60,0)+$HU61</f>
        <v/>
      </c>
      <c r="HW61" s="62">
        <f>$HW60+$HU61</f>
        <v/>
      </c>
      <c r="HX61" s="62">
        <f>SUMIFS(tblSafety[HPI],tblSafety[Date],$A61)</f>
        <v/>
      </c>
      <c r="HY61" s="62">
        <f>IF($B61=$B60,$HY60,0)+$HX61</f>
        <v/>
      </c>
      <c r="HZ61" s="62">
        <f>$HZ60+$HX61</f>
        <v/>
      </c>
      <c r="IA61" s="62">
        <f>SUMIFS(tblSafety[Env_Incidents],tblSafety[Date],$A61)</f>
        <v/>
      </c>
      <c r="IB61" s="62">
        <f>IF($B61=$B60,$IB60,0)+$IA61</f>
        <v/>
      </c>
      <c r="IC61" s="62">
        <f>$IC60+$IA61</f>
        <v/>
      </c>
      <c r="ID61" s="62">
        <f>SUMIFS(tblSafety[Community_Incidents],tblSafety[Date],$A61)</f>
        <v/>
      </c>
      <c r="IE61" s="62">
        <f>IF($B61=$B60,$IE60,0)+$ID61</f>
        <v/>
      </c>
      <c r="IF61" s="62">
        <f>$IF60+$ID61</f>
        <v/>
      </c>
      <c r="IG61" s="62">
        <f>SUMIFS(tblSafety[Vehicle_Incidents],tblSafety[Date],$A61)</f>
        <v/>
      </c>
      <c r="IH61" s="62">
        <f>IF($B61=$B60,$IH60,0)+$IG61</f>
        <v/>
      </c>
      <c r="II61" s="62">
        <f>$II60+$IG61</f>
        <v/>
      </c>
      <c r="IJ61" s="62">
        <f>SUMIFS(tblSafety[Toolbox_Talks],tblSafety[Date],$A61)</f>
        <v/>
      </c>
      <c r="IK61" s="62">
        <f>IF($B61=$B60,$IK60,0)+$IJ61</f>
        <v/>
      </c>
      <c r="IL61" s="62">
        <f>$IL60+$IJ61</f>
        <v/>
      </c>
      <c r="IM61" s="62">
        <f>SUMIFS(tblSafety[Inspections],tblSafety[Date],$A61)</f>
        <v/>
      </c>
      <c r="IN61" s="62">
        <f>IF($B61=$B60,$IN60,0)+$IM61</f>
        <v/>
      </c>
      <c r="IO61" s="62">
        <f>$IO60+$IM61</f>
        <v/>
      </c>
      <c r="IP61" s="56">
        <f>IFERROR((SUMIFS(tblSafety[Recordables],tblSafety[Date],"&gt;="&amp;EDATE($E61,-12),tblSafety[Date],"&lt;="&amp;$A61)+SUMIFS(tblSafetyHistory[Recordables],tblSafetyHistory[Month],"&gt;="&amp;EDATE($E61,-12),tblSafetyHistory[Month],"&lt;"&amp;$E61,tblSafetyHistory[Use],1))/(SUMIFS(tblSafety[Hours_Total],tblSafety[Date],"&gt;="&amp;EDATE($E61,-12),tblSafety[Date],"&lt;="&amp;$A61)+SUMIFS(tblSafetyHistory[Hours_Total],tblSafetyHistory[Month],"&gt;="&amp;EDATE($E61,-12),tblSafetyHistory[Month],"&lt;"&amp;$E61,tblSafetyHistory[Use],1))*cfg_RateBasisHours,"")</f>
        <v/>
      </c>
      <c r="IQ61" s="56">
        <f>IFERROR((SUMIFS(tblSafety[LTI],tblSafety[Date],"&gt;="&amp;EDATE($E61,-12),tblSafety[Date],"&lt;="&amp;$A61)+SUMIFS(tblSafetyHistory[LTI],tblSafetyHistory[Month],"&gt;="&amp;EDATE($E61,-12),tblSafetyHistory[Month],"&lt;"&amp;$E61,tblSafetyHistory[Use],1))/(SUMIFS(tblSafety[Hours_Total],tblSafety[Date],"&gt;="&amp;EDATE($E61,-12),tblSafety[Date],"&lt;="&amp;$A61)+SUMIFS(tblSafetyHistory[Hours_Total],tblSafetyHistory[Month],"&gt;="&amp;EDATE($E61,-12),tblSafetyHistory[Month],"&lt;"&amp;$E61,tblSafetyHistory[Use],1))*cfg_RateBasisHours,"")</f>
        <v/>
      </c>
      <c r="IR61" s="62">
        <f>IF(MAX(N(cfg_PriorLTIDate),_xlfn.MAXIFS(tblSafety[Date],tblSafety[LTI],"&gt;0",tblSafety[Date],"&lt;="&amp;$A61))=0,"",$A61-MAX(N(cfg_PriorLTIDate),_xlfn.MAXIFS(tblSafety[Date],tblSafety[LTI],"&gt;0",tblSafety[Date],"&lt;="&amp;$A61)))</f>
        <v/>
      </c>
      <c r="IS61" s="55">
        <f>SUMIFS(tblBudget[Ore_Mined_t],tblBudget[Month],$E61)</f>
        <v/>
      </c>
      <c r="IT61" s="55">
        <f>$IS61*$C61/$D61</f>
        <v/>
      </c>
      <c r="IU61" s="55">
        <f>SUMIFS(tblBudget[Ore_Mined_t],tblBudget[Month],"&lt;"&amp;$E61)+$IT61</f>
        <v/>
      </c>
      <c r="IV61" s="55">
        <f>SUMIFS(tblBudget[Ore_oz],tblBudget[Month],$E61)</f>
        <v/>
      </c>
      <c r="IW61" s="55">
        <f>$IV61*$C61/$D61</f>
        <v/>
      </c>
      <c r="IX61" s="55">
        <f>SUMIFS(tblBudget[Ore_oz],tblBudget[Month],"&lt;"&amp;$E61)+$IW61</f>
        <v/>
      </c>
      <c r="IY61" s="55">
        <f>SUMIFS(tblBudget[Ore_Mined_t],tblBudget[Month],$E61)</f>
        <v/>
      </c>
      <c r="IZ61" s="55">
        <f>$IY61*$C61/$D61</f>
        <v/>
      </c>
      <c r="JA61" s="55">
        <f>SUMIFS(tblBudget[Ore_Mined_t],tblBudget[Month],"&lt;"&amp;$E61)+$IZ61</f>
        <v/>
      </c>
      <c r="JB61" s="56">
        <f>IFERROR(IF(($IY61)&gt;0,($IV61*cfg_TroyOz)/($IY61),""),"")</f>
        <v/>
      </c>
      <c r="JC61" s="56">
        <f>IFERROR(IF(($IZ61)&gt;0,($IW61*cfg_TroyOz)/($IZ61),""),"")</f>
        <v/>
      </c>
      <c r="JD61" s="56">
        <f>IFERROR(IF(($JA61)&gt;0,($IX61*cfg_TroyOz)/($JA61),""),"")</f>
        <v/>
      </c>
      <c r="JE61" s="55">
        <f>SUMIFS(tblBudget[Waste_t],tblBudget[Month],$E61)</f>
        <v/>
      </c>
      <c r="JF61" s="55">
        <f>$JE61*$C61/$D61</f>
        <v/>
      </c>
      <c r="JG61" s="55">
        <f>SUMIFS(tblBudget[Waste_t],tblBudget[Month],"&lt;"&amp;$E61)+$JF61</f>
        <v/>
      </c>
      <c r="JH61" s="55">
        <f>SUMIFS(tblBudget[TMM_t],tblBudget[Month],$E61)</f>
        <v/>
      </c>
      <c r="JI61" s="55">
        <f>$JH61*$C61/$D61</f>
        <v/>
      </c>
      <c r="JJ61" s="55">
        <f>SUMIFS(tblBudget[TMM_t],tblBudget[Month],"&lt;"&amp;$E61)+$JI61</f>
        <v/>
      </c>
      <c r="JK61" s="56">
        <f>IFERROR(IF(($IS61)&gt;0,($JE61)/($IS61),""),"")</f>
        <v/>
      </c>
      <c r="JL61" s="56">
        <f>IFERROR(IF(($IT61)&gt;0,($JF61)/($IT61),""),"")</f>
        <v/>
      </c>
      <c r="JM61" s="56">
        <f>IFERROR(IF(($IU61)&gt;0,($JG61)/($IU61),""),"")</f>
        <v/>
      </c>
      <c r="JN61" s="55">
        <f>SUMIFS(tblBudget[Drill_m],tblBudget[Month],$E61)</f>
        <v/>
      </c>
      <c r="JO61" s="55">
        <f>$JN61*$C61/$D61</f>
        <v/>
      </c>
      <c r="JP61" s="55">
        <f>SUMIFS(tblBudget[Drill_m],tblBudget[Month],"&lt;"&amp;$E61)+$JO61</f>
        <v/>
      </c>
      <c r="JQ61" s="55">
        <f>SUMIFS(tblBudget[Diesel_L],tblBudget[Month],$E61)</f>
        <v/>
      </c>
      <c r="JR61" s="55">
        <f>$JQ61*$C61/$D61</f>
        <v/>
      </c>
      <c r="JS61" s="55">
        <f>SUMIFS(tblBudget[Diesel_L],tblBudget[Month],"&lt;"&amp;$E61)+$JR61</f>
        <v/>
      </c>
      <c r="JT61" s="55">
        <f>SUMIFS(tblBudget[Milled_t],tblBudget[Month],$E61)</f>
        <v/>
      </c>
      <c r="JU61" s="55">
        <f>$JT61*$C61/$D61</f>
        <v/>
      </c>
      <c r="JV61" s="55">
        <f>SUMIFS(tblBudget[Milled_t],tblBudget[Month],"&lt;"&amp;$E61)+$JU61</f>
        <v/>
      </c>
      <c r="JW61" s="55">
        <f>SUMIFS(tblBudget[Feed_oz],tblBudget[Month],$E61)</f>
        <v/>
      </c>
      <c r="JX61" s="55">
        <f>$JW61*$C61/$D61</f>
        <v/>
      </c>
      <c r="JY61" s="55">
        <f>SUMIFS(tblBudget[Feed_oz],tblBudget[Month],"&lt;"&amp;$E61)+$JX61</f>
        <v/>
      </c>
      <c r="JZ61" s="55">
        <f>SUMIFS(tblBudget[Recovered_oz],tblBudget[Month],$E61)</f>
        <v/>
      </c>
      <c r="KA61" s="55">
        <f>$JZ61*$C61/$D61</f>
        <v/>
      </c>
      <c r="KB61" s="55">
        <f>SUMIFS(tblBudget[Recovered_oz],tblBudget[Month],"&lt;"&amp;$E61)+$KA61</f>
        <v/>
      </c>
      <c r="KC61" s="55">
        <f>SUMIFS(tblBudget[Milled_t],tblBudget[Month],$E61)</f>
        <v/>
      </c>
      <c r="KD61" s="55">
        <f>$KC61*$C61/$D61</f>
        <v/>
      </c>
      <c r="KE61" s="55">
        <f>SUMIFS(tblBudget[Milled_t],tblBudget[Month],"&lt;"&amp;$E61)+$KD61</f>
        <v/>
      </c>
      <c r="KF61" s="55">
        <f>SUMIFS(tblBudget[Feed_oz],tblBudget[Month],$E61)</f>
        <v/>
      </c>
      <c r="KG61" s="55">
        <f>$KF61*$C61/$D61</f>
        <v/>
      </c>
      <c r="KH61" s="55">
        <f>SUMIFS(tblBudget[Feed_oz],tblBudget[Month],"&lt;"&amp;$E61)+$KG61</f>
        <v/>
      </c>
      <c r="KI61" s="56">
        <f>IFERROR(IF(($KC61)&gt;0,($JW61*cfg_TroyOz)/($KC61),""),"")</f>
        <v/>
      </c>
      <c r="KJ61" s="56">
        <f>IFERROR(IF(($KD61)&gt;0,($JX61*cfg_TroyOz)/($KD61),""),"")</f>
        <v/>
      </c>
      <c r="KK61" s="56">
        <f>IFERROR(IF(($KE61)&gt;0,($JY61*cfg_TroyOz)/($KE61),""),"")</f>
        <v/>
      </c>
      <c r="KL61" s="67">
        <f>IFERROR(IF(($KF61)&gt;0,($JZ61)/($KF61),""),"")</f>
        <v/>
      </c>
      <c r="KM61" s="67">
        <f>IFERROR(IF(($KG61)&gt;0,($KA61)/($KG61),""),"")</f>
        <v/>
      </c>
      <c r="KN61" s="67">
        <f>IFERROR(IF(($KH61)&gt;0,($KB61)/($KH61),""),"")</f>
        <v/>
      </c>
      <c r="KO61" s="55">
        <f>SUMIFS(tblBudget[Gold_Poured_oz],tblBudget[Month],$E61)</f>
        <v/>
      </c>
      <c r="KP61" s="55">
        <f>$KO61*$C61/$D61</f>
        <v/>
      </c>
      <c r="KQ61" s="55">
        <f>SUMIFS(tblBudget[Gold_Poured_oz],tblBudget[Month],"&lt;"&amp;$E61)+$KP61</f>
        <v/>
      </c>
      <c r="KR61" s="57">
        <f>SUMIFS(tblBudget[Hours_Worked],tblBudget[Month],$E61)</f>
        <v/>
      </c>
      <c r="KS61" s="57">
        <f>$KR61*$C61/$D61</f>
        <v/>
      </c>
      <c r="KT61" s="57">
        <f>SUMIFS(tblBudget[Hours_Worked],tblBudget[Month],"&lt;"&amp;$E61)+$KS61</f>
        <v/>
      </c>
    </row>
    <row r="62">
      <c r="A62" s="54" t="n">
        <v>46083</v>
      </c>
      <c r="B62">
        <f>MONTH($A62)</f>
        <v/>
      </c>
      <c r="C62">
        <f>DAY($A62)</f>
        <v/>
      </c>
      <c r="D62">
        <f>DAY(EOMONTH($A62,0))</f>
        <v/>
      </c>
      <c r="E62" s="54">
        <f>DATE(YEAR($A62),MONTH($A62),1)</f>
        <v/>
      </c>
      <c r="F62" s="55">
        <f>SUMIFS(tblMovement[Tonnes_t],tblMovement[Date],$A62,tblMovement[Is_Ore],1,tblMovement[Source_Type],"Pit")</f>
        <v/>
      </c>
      <c r="G62" s="55">
        <f>IF($B62=$B61,$G61,0)+$F62</f>
        <v/>
      </c>
      <c r="H62" s="55">
        <f>$H61+$F62</f>
        <v/>
      </c>
      <c r="I62" s="55">
        <f>SUMIFS(tblMovement[Ore_oz],tblMovement[Date],$A62,tblMovement[Source_Type],"Pit")</f>
        <v/>
      </c>
      <c r="J62" s="55">
        <f>IF($B62=$B61,$J61,0)+$I62</f>
        <v/>
      </c>
      <c r="K62" s="55">
        <f>$K61+$I62</f>
        <v/>
      </c>
      <c r="L62" s="55">
        <f>SUMIFS(tblMovement[Tonnes_t],tblMovement[Date],$A62,tblMovement[Is_Ore],1,tblMovement[Source_Type],"Pit",tblMovement[Grade_gpt],"&lt;&gt;")</f>
        <v/>
      </c>
      <c r="M62" s="55">
        <f>IF($B62=$B61,$M61,0)+$L62</f>
        <v/>
      </c>
      <c r="N62" s="55">
        <f>$N61+$L62</f>
        <v/>
      </c>
      <c r="O62" s="56">
        <f>IFERROR(IF(($L62)&gt;0,($I62*cfg_TroyOz)/($L62),""),"")</f>
        <v/>
      </c>
      <c r="P62" s="56">
        <f>IFERROR(IF(($M62)&gt;0,($J62*cfg_TroyOz)/($M62),""),"")</f>
        <v/>
      </c>
      <c r="Q62" s="56">
        <f>IFERROR(IF(($N62)&gt;0,($K62*cfg_TroyOz)/($N62),""),"")</f>
        <v/>
      </c>
      <c r="R62" s="55">
        <f>$F62-$L62</f>
        <v/>
      </c>
      <c r="S62" s="55">
        <f>IF($B62=$B61,$S61,0)+$R62</f>
        <v/>
      </c>
      <c r="T62" s="55">
        <f>$T61+$R62</f>
        <v/>
      </c>
      <c r="U62" s="55">
        <f>SUMIFS(tblMovement[Tonnes_t],tblMovement[Date],$A62,tblMovement[Is_Ore],0,tblMovement[Source_Type],"Pit")</f>
        <v/>
      </c>
      <c r="V62" s="55">
        <f>IF($B62=$B61,$V61,0)+$U62</f>
        <v/>
      </c>
      <c r="W62" s="55">
        <f>$W61+$U62</f>
        <v/>
      </c>
      <c r="X62" s="55">
        <f>$F62+$U62</f>
        <v/>
      </c>
      <c r="Y62" s="55">
        <f>IF($B62=$B61,$Y61,0)+$X62</f>
        <v/>
      </c>
      <c r="Z62" s="55">
        <f>$Z61+$X62</f>
        <v/>
      </c>
      <c r="AA62" s="56">
        <f>IFERROR(IF(($F62)&gt;0,($U62)/($F62),""),"")</f>
        <v/>
      </c>
      <c r="AB62" s="56">
        <f>IFERROR(IF(($G62)&gt;0,($V62)/($G62),""),"")</f>
        <v/>
      </c>
      <c r="AC62" s="56">
        <f>IFERROR(IF(($H62)&gt;0,($W62)/($H62),""),"")</f>
        <v/>
      </c>
      <c r="AD62" s="55">
        <f>SUMIFS(tblMovement[Tonnes_t],tblMovement[Date],$A62,tblMovement[Source_Type],"Stockpile")</f>
        <v/>
      </c>
      <c r="AE62" s="55">
        <f>IF($B62=$B61,$AE61,0)+$AD62</f>
        <v/>
      </c>
      <c r="AF62" s="55">
        <f>$AF61+$AD62</f>
        <v/>
      </c>
      <c r="AG62" s="55">
        <f>SUMIFS(tblMovement[Tonnes_t],tblMovement[Date],$A62)</f>
        <v/>
      </c>
      <c r="AH62" s="55">
        <f>IF($B62=$B61,$AH61,0)+$AG62</f>
        <v/>
      </c>
      <c r="AI62" s="55">
        <f>$AI61+$AG62</f>
        <v/>
      </c>
      <c r="AJ62" s="55">
        <f>$AG62-$X62-$AD62</f>
        <v/>
      </c>
      <c r="AK62" s="55">
        <f>IF($B62=$B61,$AK61,0)+$AJ62</f>
        <v/>
      </c>
      <c r="AL62" s="55">
        <f>$AL61+$AJ62</f>
        <v/>
      </c>
      <c r="AM62" s="55">
        <f>SUMIFS(tblMiningDaily[Drill_m],tblMiningDaily[Date],$A62)</f>
        <v/>
      </c>
      <c r="AN62" s="55">
        <f>IF($B62=$B61,$AN61,0)+$AM62</f>
        <v/>
      </c>
      <c r="AO62" s="55">
        <f>$AO61+$AM62</f>
        <v/>
      </c>
      <c r="AP62" s="55">
        <f>SUMIFS(tblMiningDaily[GC_Drill_m],tblMiningDaily[Date],$A62)</f>
        <v/>
      </c>
      <c r="AQ62" s="55">
        <f>IF($B62=$B61,$AQ61,0)+$AP62</f>
        <v/>
      </c>
      <c r="AR62" s="55">
        <f>$AR61+$AP62</f>
        <v/>
      </c>
      <c r="AS62" s="55">
        <f>SUMIFS(tblMiningDaily[Blast_t],tblMiningDaily[Date],$A62)</f>
        <v/>
      </c>
      <c r="AT62" s="55">
        <f>IF($B62=$B61,$AT61,0)+$AS62</f>
        <v/>
      </c>
      <c r="AU62" s="55">
        <f>$AU61+$AS62</f>
        <v/>
      </c>
      <c r="AV62" s="55">
        <f>SUMIFS(tblMiningDaily[Explosives_kg],tblMiningDaily[Date],$A62)</f>
        <v/>
      </c>
      <c r="AW62" s="55">
        <f>IF($B62=$B61,$AW61,0)+$AV62</f>
        <v/>
      </c>
      <c r="AX62" s="55">
        <f>$AX61+$AV62</f>
        <v/>
      </c>
      <c r="AY62" s="56">
        <f>IFERROR(IF(($AS62)&gt;0,($AV62)/($AS62),""),"")</f>
        <v/>
      </c>
      <c r="AZ62" s="56">
        <f>IFERROR(IF(($AT62)&gt;0,($AW62)/($AT62),""),"")</f>
        <v/>
      </c>
      <c r="BA62" s="56">
        <f>IFERROR(IF(($AU62)&gt;0,($AX62)/($AU62),""),"")</f>
        <v/>
      </c>
      <c r="BB62" s="55">
        <f>SUMIFS(tblMiningDaily[Diesel_L],tblMiningDaily[Date],$A62)</f>
        <v/>
      </c>
      <c r="BC62" s="55">
        <f>IF($B62=$B61,$BC61,0)+$BB62</f>
        <v/>
      </c>
      <c r="BD62" s="55">
        <f>$BD61+$BB62</f>
        <v/>
      </c>
      <c r="BE62" s="55">
        <f>SUMIFS(tblMiningDaily[Dewatering_m3],tblMiningDaily[Date],$A62)</f>
        <v/>
      </c>
      <c r="BF62" s="55">
        <f>IF($B62=$B61,$BF61,0)+$BE62</f>
        <v/>
      </c>
      <c r="BG62" s="55">
        <f>$BG61+$BE62</f>
        <v/>
      </c>
      <c r="BH62" s="57">
        <f>SUMIFS(tblFleet[Calendar_h],tblFleet[Date],$A62,tblFleet[Equipment_Class],"Excavator")</f>
        <v/>
      </c>
      <c r="BI62" s="57">
        <f>IF($B62=$B61,$BI61,0)+$BH62</f>
        <v/>
      </c>
      <c r="BJ62" s="57">
        <f>$BJ61+$BH62</f>
        <v/>
      </c>
      <c r="BK62" s="57">
        <f>SUMIFS(tblFleet[Available_h],tblFleet[Date],$A62,tblFleet[Equipment_Class],"Excavator")</f>
        <v/>
      </c>
      <c r="BL62" s="57">
        <f>IF($B62=$B61,$BL61,0)+$BK62</f>
        <v/>
      </c>
      <c r="BM62" s="57">
        <f>$BM61+$BK62</f>
        <v/>
      </c>
      <c r="BN62" s="57">
        <f>SUMIFS(tblFleet[Operating_h],tblFleet[Date],$A62,tblFleet[Equipment_Class],"Excavator")</f>
        <v/>
      </c>
      <c r="BO62" s="57">
        <f>IF($B62=$B61,$BO61,0)+$BN62</f>
        <v/>
      </c>
      <c r="BP62" s="57">
        <f>$BP61+$BN62</f>
        <v/>
      </c>
      <c r="BQ62" s="67">
        <f>IFERROR(IF(($BH62)&gt;0,($BK62)/($BH62),""),"")</f>
        <v/>
      </c>
      <c r="BR62" s="67">
        <f>IFERROR(IF(($BI62)&gt;0,($BL62)/($BI62),""),"")</f>
        <v/>
      </c>
      <c r="BS62" s="67">
        <f>IFERROR(IF(($BJ62)&gt;0,($BM62)/($BJ62),""),"")</f>
        <v/>
      </c>
      <c r="BT62" s="67">
        <f>IFERROR(IF(($BK62)&gt;0,($BN62)/($BK62),""),"")</f>
        <v/>
      </c>
      <c r="BU62" s="67">
        <f>IFERROR(IF(($BL62)&gt;0,($BO62)/($BL62),""),"")</f>
        <v/>
      </c>
      <c r="BV62" s="67">
        <f>IFERROR(IF(($BM62)&gt;0,($BP62)/($BM62),""),"")</f>
        <v/>
      </c>
      <c r="BW62" s="57">
        <f>SUMIFS(tblFleet[Calendar_h],tblFleet[Date],$A62,tblFleet[Equipment_Class],"Haul Truck")</f>
        <v/>
      </c>
      <c r="BX62" s="57">
        <f>IF($B62=$B61,$BX61,0)+$BW62</f>
        <v/>
      </c>
      <c r="BY62" s="57">
        <f>$BY61+$BW62</f>
        <v/>
      </c>
      <c r="BZ62" s="57">
        <f>SUMIFS(tblFleet[Available_h],tblFleet[Date],$A62,tblFleet[Equipment_Class],"Haul Truck")</f>
        <v/>
      </c>
      <c r="CA62" s="57">
        <f>IF($B62=$B61,$CA61,0)+$BZ62</f>
        <v/>
      </c>
      <c r="CB62" s="57">
        <f>$CB61+$BZ62</f>
        <v/>
      </c>
      <c r="CC62" s="57">
        <f>SUMIFS(tblFleet[Operating_h],tblFleet[Date],$A62,tblFleet[Equipment_Class],"Haul Truck")</f>
        <v/>
      </c>
      <c r="CD62" s="57">
        <f>IF($B62=$B61,$CD61,0)+$CC62</f>
        <v/>
      </c>
      <c r="CE62" s="57">
        <f>$CE61+$CC62</f>
        <v/>
      </c>
      <c r="CF62" s="67">
        <f>IFERROR(IF(($BW62)&gt;0,($BZ62)/($BW62),""),"")</f>
        <v/>
      </c>
      <c r="CG62" s="67">
        <f>IFERROR(IF(($BX62)&gt;0,($CA62)/($BX62),""),"")</f>
        <v/>
      </c>
      <c r="CH62" s="67">
        <f>IFERROR(IF(($BY62)&gt;0,($CB62)/($BY62),""),"")</f>
        <v/>
      </c>
      <c r="CI62" s="67">
        <f>IFERROR(IF(($BZ62)&gt;0,($CC62)/($BZ62),""),"")</f>
        <v/>
      </c>
      <c r="CJ62" s="67">
        <f>IFERROR(IF(($CA62)&gt;0,($CD62)/($CA62),""),"")</f>
        <v/>
      </c>
      <c r="CK62" s="67">
        <f>IFERROR(IF(($CB62)&gt;0,($CE62)/($CB62),""),"")</f>
        <v/>
      </c>
      <c r="CL62" s="55">
        <f>IFERROR(IF(($BN62)&gt;0,($X62+$AD62)/($BN62),""),"")</f>
        <v/>
      </c>
      <c r="CM62" s="55">
        <f>IFERROR(IF(($BO62)&gt;0,($Y62+$AE62)/($BO62),""),"")</f>
        <v/>
      </c>
      <c r="CN62" s="55">
        <f>IFERROR(IF(($BP62)&gt;0,($Z62+$AF62)/($BP62),""),"")</f>
        <v/>
      </c>
      <c r="CO62" s="55">
        <f>IFERROR(IF(($CC62)&gt;0,($X62+$AD62)/($CC62),""),"")</f>
        <v/>
      </c>
      <c r="CP62" s="55">
        <f>IFERROR(IF(($CD62)&gt;0,($Y62+$AE62)/($CD62),""),"")</f>
        <v/>
      </c>
      <c r="CQ62" s="55">
        <f>IFERROR(IF(($CE62)&gt;0,($Z62+$AF62)/($CE62),""),"")</f>
        <v/>
      </c>
      <c r="CR62" s="55">
        <f>SUMIFS(tblPlant[Crushed_t],tblPlant[Date],$A62)</f>
        <v/>
      </c>
      <c r="CS62" s="55">
        <f>IF($B62=$B61,$CS61,0)+$CR62</f>
        <v/>
      </c>
      <c r="CT62" s="55">
        <f>$CT61+$CR62</f>
        <v/>
      </c>
      <c r="CU62" s="55">
        <f>SUMIFS(tblPlant[Milled_t],tblPlant[Date],$A62)</f>
        <v/>
      </c>
      <c r="CV62" s="55">
        <f>IF($B62=$B61,$CV61,0)+$CU62</f>
        <v/>
      </c>
      <c r="CW62" s="55">
        <f>$CW61+$CU62</f>
        <v/>
      </c>
      <c r="CX62" s="55">
        <f>SUMIFS(tblPlant[Feed_oz],tblPlant[Date],$A62)</f>
        <v/>
      </c>
      <c r="CY62" s="55">
        <f>IF($B62=$B61,$CY61,0)+$CX62</f>
        <v/>
      </c>
      <c r="CZ62" s="55">
        <f>$CZ61+$CX62</f>
        <v/>
      </c>
      <c r="DA62" s="55">
        <f>SUMIFS(tblPlant[Tails_oz],tblPlant[Date],$A62)</f>
        <v/>
      </c>
      <c r="DB62" s="55">
        <f>IF($B62=$B61,$DB61,0)+$DA62</f>
        <v/>
      </c>
      <c r="DC62" s="55">
        <f>$DC61+$DA62</f>
        <v/>
      </c>
      <c r="DD62" s="55">
        <f>SUMIFS(tblPlant[Recovered_oz],tblPlant[Date],$A62)</f>
        <v/>
      </c>
      <c r="DE62" s="55">
        <f>IF($B62=$B61,$DE61,0)+$DD62</f>
        <v/>
      </c>
      <c r="DF62" s="55">
        <f>$DF61+$DD62</f>
        <v/>
      </c>
      <c r="DG62" s="55">
        <f>SUMIFS(tblPlant[Milled_t],tblPlant[Date],$A62,tblPlant[Head_Grade_gpt],"&lt;&gt;")</f>
        <v/>
      </c>
      <c r="DH62" s="55">
        <f>IF($B62=$B61,$DH61,0)+$DG62</f>
        <v/>
      </c>
      <c r="DI62" s="55">
        <f>$DI61+$DG62</f>
        <v/>
      </c>
      <c r="DJ62" s="55">
        <f>SUMIFS(tblPlant[Milled_t],tblPlant[Date],$A62,tblPlant[Tails_Grade_gpt],"&lt;&gt;")</f>
        <v/>
      </c>
      <c r="DK62" s="55">
        <f>IF($B62=$B61,$DK61,0)+$DJ62</f>
        <v/>
      </c>
      <c r="DL62" s="55">
        <f>$DL61+$DJ62</f>
        <v/>
      </c>
      <c r="DM62" s="55">
        <f>SUMIFS(tblPlant[Feed_oz],tblPlant[Date],$A62,tblPlant[Tails_Grade_gpt],"&lt;&gt;")</f>
        <v/>
      </c>
      <c r="DN62" s="55">
        <f>IF($B62=$B61,$DN61,0)+$DM62</f>
        <v/>
      </c>
      <c r="DO62" s="55">
        <f>$DO61+$DM62</f>
        <v/>
      </c>
      <c r="DP62" s="55">
        <f>SUMIFS(tblPlant[Milled_t],tblPlant[Date],$A62,tblPlant[Mill_Run_h],"&lt;&gt;")</f>
        <v/>
      </c>
      <c r="DQ62" s="55">
        <f>IF($B62=$B61,$DQ61,0)+$DP62</f>
        <v/>
      </c>
      <c r="DR62" s="55">
        <f>$DR61+$DP62</f>
        <v/>
      </c>
      <c r="DS62" s="56">
        <f>IFERROR(IF(($DG62)&gt;0,($CX62*cfg_TroyOz)/($DG62),""),"")</f>
        <v/>
      </c>
      <c r="DT62" s="56">
        <f>IFERROR(IF(($DH62)&gt;0,($CY62*cfg_TroyOz)/($DH62),""),"")</f>
        <v/>
      </c>
      <c r="DU62" s="56">
        <f>IFERROR(IF(($DI62)&gt;0,($CZ62*cfg_TroyOz)/($DI62),""),"")</f>
        <v/>
      </c>
      <c r="DV62" s="56">
        <f>IFERROR(IF(($DJ62)&gt;0,($DA62*cfg_TroyOz)/($DJ62),""),"")</f>
        <v/>
      </c>
      <c r="DW62" s="56">
        <f>IFERROR(IF(($DK62)&gt;0,($DB62*cfg_TroyOz)/($DK62),""),"")</f>
        <v/>
      </c>
      <c r="DX62" s="56">
        <f>IFERROR(IF(($DL62)&gt;0,($DC62*cfg_TroyOz)/($DL62),""),"")</f>
        <v/>
      </c>
      <c r="DY62" s="67">
        <f>IFERROR(IF(($DM62)&gt;0,($DD62)/($DM62),""),"")</f>
        <v/>
      </c>
      <c r="DZ62" s="67">
        <f>IFERROR(IF(($DN62)&gt;0,($DE62)/($DN62),""),"")</f>
        <v/>
      </c>
      <c r="EA62" s="67">
        <f>IFERROR(IF(($DO62)&gt;0,($DF62)/($DO62),""),"")</f>
        <v/>
      </c>
      <c r="EB62" s="55">
        <f>SUMIFS(tblPlant[Gravity_Gold_oz],tblPlant[Date],$A62)</f>
        <v/>
      </c>
      <c r="EC62" s="55">
        <f>IF($B62=$B61,$EC61,0)+$EB62</f>
        <v/>
      </c>
      <c r="ED62" s="55">
        <f>$ED61+$EB62</f>
        <v/>
      </c>
      <c r="EE62" s="67">
        <f>IFERROR(IF(($DD62)&gt;0,($EB62)/($DD62),""),"")</f>
        <v/>
      </c>
      <c r="EF62" s="67">
        <f>IFERROR(IF(($DE62)&gt;0,($EC62)/($DE62),""),"")</f>
        <v/>
      </c>
      <c r="EG62" s="67">
        <f>IFERROR(IF(($DF62)&gt;0,($ED62)/($DF62),""),"")</f>
        <v/>
      </c>
      <c r="EH62" s="55">
        <f>SUMIFS(tblPlant[Gold_Poured_oz],tblPlant[Date],$A62)</f>
        <v/>
      </c>
      <c r="EI62" s="55">
        <f>IF($B62=$B61,$EI61,0)+$EH62</f>
        <v/>
      </c>
      <c r="EJ62" s="55">
        <f>$EJ61+$EH62</f>
        <v/>
      </c>
      <c r="EK62" s="57">
        <f>SUMIFS(tblPlant[Mill_Run_h],tblPlant[Date],$A62)</f>
        <v/>
      </c>
      <c r="EL62" s="57">
        <f>IF($B62=$B61,$EL61,0)+$EK62</f>
        <v/>
      </c>
      <c r="EM62" s="57">
        <f>$EM61+$EK62</f>
        <v/>
      </c>
      <c r="EN62" s="57">
        <f>SUMIFS(tblPlant[Mill_Planned_Maint_h],tblPlant[Date],$A62)</f>
        <v/>
      </c>
      <c r="EO62" s="57">
        <f>IF($B62=$B61,$EO61,0)+$EN62</f>
        <v/>
      </c>
      <c r="EP62" s="57">
        <f>$EP61+$EN62</f>
        <v/>
      </c>
      <c r="EQ62" s="57">
        <f>SUMIFS(tblPlant[Mill_Unplanned_Down_h],tblPlant[Date],$A62)</f>
        <v/>
      </c>
      <c r="ER62" s="57">
        <f>IF($B62=$B61,$ER61,0)+$EQ62</f>
        <v/>
      </c>
      <c r="ES62" s="57">
        <f>$ES61+$EQ62</f>
        <v/>
      </c>
      <c r="ET62" s="57">
        <f>IF(COUNTIFS(tblPlant[Date],$A62,tblPlant[Mill_Run_h],"&lt;&gt;")+COUNTIFS(tblPlant[Date],$A62,tblPlant[Mill_Planned_Maint_h],"&lt;&gt;")+COUNTIFS(tblPlant[Date],$A62,tblPlant[Mill_Unplanned_Down_h],"&lt;&gt;")&gt;0,cfg_HoursPerDay,0)</f>
        <v/>
      </c>
      <c r="EU62" s="57">
        <f>IF($B62=$B61,$EU61,0)+$ET62</f>
        <v/>
      </c>
      <c r="EV62" s="57">
        <f>$EV61+$ET62</f>
        <v/>
      </c>
      <c r="EW62" s="57">
        <f>SUMIFS(tblPlant[Crusher_Run_h],tblPlant[Date],$A62)</f>
        <v/>
      </c>
      <c r="EX62" s="57">
        <f>IF($B62=$B61,$EX61,0)+$EW62</f>
        <v/>
      </c>
      <c r="EY62" s="57">
        <f>$EY61+$EW62</f>
        <v/>
      </c>
      <c r="EZ62" s="55">
        <f>IFERROR(IF(($EK62)&gt;0,($DP62)/($EK62),""),"")</f>
        <v/>
      </c>
      <c r="FA62" s="55">
        <f>IFERROR(IF(($EL62)&gt;0,($DQ62)/($EL62),""),"")</f>
        <v/>
      </c>
      <c r="FB62" s="55">
        <f>IFERROR(IF(($EM62)&gt;0,($DR62)/($EM62),""),"")</f>
        <v/>
      </c>
      <c r="FC62" s="67">
        <f>IFERROR(IF(($ET62)&gt;0,($ET62-$EN62-$EQ62)/($ET62),""),"")</f>
        <v/>
      </c>
      <c r="FD62" s="67">
        <f>IFERROR(IF(($EU62)&gt;0,($EU62-$EO62-$ER62)/($EU62),""),"")</f>
        <v/>
      </c>
      <c r="FE62" s="67">
        <f>IFERROR(IF(($EV62)&gt;0,($EV62-$EP62-$ES62)/($EV62),""),"")</f>
        <v/>
      </c>
      <c r="FF62" s="67">
        <f>IFERROR(IF(($ET62-$EN62-$EQ62)&gt;0,($EK62)/($ET62-$EN62-$EQ62),""),"")</f>
        <v/>
      </c>
      <c r="FG62" s="67">
        <f>IFERROR(IF(($EU62-$EO62-$ER62)&gt;0,($EL62)/($EU62-$EO62-$ER62),""),"")</f>
        <v/>
      </c>
      <c r="FH62" s="67">
        <f>IFERROR(IF(($EV62-$EP62-$ES62)&gt;0,($EM62)/($EV62-$EP62-$ES62),""),"")</f>
        <v/>
      </c>
      <c r="FI62" s="55">
        <f>SUMIFS(tblPlant[Cyanide_kg],tblPlant[Date],$A62)</f>
        <v/>
      </c>
      <c r="FJ62" s="55">
        <f>IF($B62=$B61,$FJ61,0)+$FI62</f>
        <v/>
      </c>
      <c r="FK62" s="55">
        <f>$FK61+$FI62</f>
        <v/>
      </c>
      <c r="FL62" s="55">
        <f>SUMIFS(tblPlant[Lime_kg],tblPlant[Date],$A62)</f>
        <v/>
      </c>
      <c r="FM62" s="55">
        <f>IF($B62=$B61,$FM61,0)+$FL62</f>
        <v/>
      </c>
      <c r="FN62" s="55">
        <f>$FN61+$FL62</f>
        <v/>
      </c>
      <c r="FO62" s="55">
        <f>SUMIFS(tblPlant[Grinding_Media_kg],tblPlant[Date],$A62)</f>
        <v/>
      </c>
      <c r="FP62" s="55">
        <f>IF($B62=$B61,$FP61,0)+$FO62</f>
        <v/>
      </c>
      <c r="FQ62" s="55">
        <f>$FQ61+$FO62</f>
        <v/>
      </c>
      <c r="FR62" s="55">
        <f>SUMIFS(tblPlant[Power_kWh],tblPlant[Date],$A62)</f>
        <v/>
      </c>
      <c r="FS62" s="55">
        <f>IF($B62=$B61,$FS61,0)+$FR62</f>
        <v/>
      </c>
      <c r="FT62" s="55">
        <f>$FT61+$FR62</f>
        <v/>
      </c>
      <c r="FU62" s="55">
        <f>SUMIFS(tblPlant[Raw_Water_m3],tblPlant[Date],$A62)</f>
        <v/>
      </c>
      <c r="FV62" s="55">
        <f>IF($B62=$B61,$FV61,0)+$FU62</f>
        <v/>
      </c>
      <c r="FW62" s="55">
        <f>$FW61+$FU62</f>
        <v/>
      </c>
      <c r="FX62" s="56">
        <f>IFERROR(IF(($CU62)&gt;0,($FI62)/($CU62),""),"")</f>
        <v/>
      </c>
      <c r="FY62" s="56">
        <f>IFERROR(IF(($CV62)&gt;0,($FJ62)/($CV62),""),"")</f>
        <v/>
      </c>
      <c r="FZ62" s="56">
        <f>IFERROR(IF(($CW62)&gt;0,($FK62)/($CW62),""),"")</f>
        <v/>
      </c>
      <c r="GA62" s="56">
        <f>IFERROR(IF(($CU62)&gt;0,($FL62)/($CU62),""),"")</f>
        <v/>
      </c>
      <c r="GB62" s="56">
        <f>IFERROR(IF(($CV62)&gt;0,($FM62)/($CV62),""),"")</f>
        <v/>
      </c>
      <c r="GC62" s="56">
        <f>IFERROR(IF(($CW62)&gt;0,($FN62)/($CW62),""),"")</f>
        <v/>
      </c>
      <c r="GD62" s="56">
        <f>IFERROR(IF(($CU62)&gt;0,($FO62)/($CU62),""),"")</f>
        <v/>
      </c>
      <c r="GE62" s="56">
        <f>IFERROR(IF(($CV62)&gt;0,($FP62)/($CV62),""),"")</f>
        <v/>
      </c>
      <c r="GF62" s="56">
        <f>IFERROR(IF(($CW62)&gt;0,($FQ62)/($CW62),""),"")</f>
        <v/>
      </c>
      <c r="GG62" s="79">
        <f>IFERROR(IF(($CU62)&gt;0,($FR62)/($CU62),""),"")</f>
        <v/>
      </c>
      <c r="GH62" s="79">
        <f>IFERROR(IF(($CV62)&gt;0,($FS62)/($CV62),""),"")</f>
        <v/>
      </c>
      <c r="GI62" s="79">
        <f>IFERROR(IF(($CW62)&gt;0,($FT62)/($CW62),""),"")</f>
        <v/>
      </c>
      <c r="GJ62" s="56">
        <f>IFERROR(IF(($CU62)&gt;0,($FU62)/($CU62),""),"")</f>
        <v/>
      </c>
      <c r="GK62" s="56">
        <f>IFERROR(IF(($CV62)&gt;0,($FV62)/($CV62),""),"")</f>
        <v/>
      </c>
      <c r="GL62" s="56">
        <f>IFERROR(IF(($CW62)&gt;0,($FW62)/($CW62),""),"")</f>
        <v/>
      </c>
      <c r="GM62" s="55">
        <f>IF(SUMIFS(tblPlant[GIC_oz],tblPlant[Date],$A62)&gt;0,SUMIFS(tblPlant[GIC_oz],tblPlant[Date],$A62),"")</f>
        <v/>
      </c>
      <c r="GN62" s="55">
        <f>SUMIFS(tblGold[Gold_oz],tblGold[Date],$A62,tblGold[Type],"Shipment")</f>
        <v/>
      </c>
      <c r="GO62" s="55">
        <f>IF($B62=$B61,$GO61,0)+$GN62</f>
        <v/>
      </c>
      <c r="GP62" s="55">
        <f>$GP61+$GN62</f>
        <v/>
      </c>
      <c r="GQ62" s="55">
        <f>SUMIFS(tblGold[Gold_oz],tblGold[Date],$A62,tblGold[Type],"Sale")</f>
        <v/>
      </c>
      <c r="GR62" s="55">
        <f>IF($B62=$B61,$GR61,0)+$GQ62</f>
        <v/>
      </c>
      <c r="GS62" s="55">
        <f>$GS61+$GQ62</f>
        <v/>
      </c>
      <c r="GT62" s="55">
        <f>SUMIFS(tblGold[Dore_kg],tblGold[Date],$A62,tblGold[Type],"Shipment")</f>
        <v/>
      </c>
      <c r="GU62" s="55">
        <f>IF($B62=$B61,$GU61,0)+$GT62</f>
        <v/>
      </c>
      <c r="GV62" s="55">
        <f>$GV61+$GT62</f>
        <v/>
      </c>
      <c r="GW62" s="57">
        <f>SUMIFS(tblSafety[Hours_Total],tblSafety[Date],$A62)</f>
        <v/>
      </c>
      <c r="GX62" s="57">
        <f>IF($B62=$B61,$GX61,0)+$GW62</f>
        <v/>
      </c>
      <c r="GY62" s="57">
        <f>$GY61+$GW62</f>
        <v/>
      </c>
      <c r="GZ62" s="62">
        <f>SUMIFS(tblSafety[Fatality],tblSafety[Date],$A62)</f>
        <v/>
      </c>
      <c r="HA62" s="62">
        <f>IF($B62=$B61,$HA61,0)+$GZ62</f>
        <v/>
      </c>
      <c r="HB62" s="62">
        <f>$HB61+$GZ62</f>
        <v/>
      </c>
      <c r="HC62" s="62">
        <f>SUMIFS(tblSafety[LTI],tblSafety[Date],$A62)</f>
        <v/>
      </c>
      <c r="HD62" s="62">
        <f>IF($B62=$B61,$HD61,0)+$HC62</f>
        <v/>
      </c>
      <c r="HE62" s="62">
        <f>$HE61+$HC62</f>
        <v/>
      </c>
      <c r="HF62" s="62">
        <f>SUMIFS(tblSafety[RWI],tblSafety[Date],$A62)</f>
        <v/>
      </c>
      <c r="HG62" s="62">
        <f>IF($B62=$B61,$HG61,0)+$HF62</f>
        <v/>
      </c>
      <c r="HH62" s="62">
        <f>$HH61+$HF62</f>
        <v/>
      </c>
      <c r="HI62" s="62">
        <f>SUMIFS(tblSafety[MTI],tblSafety[Date],$A62)</f>
        <v/>
      </c>
      <c r="HJ62" s="62">
        <f>IF($B62=$B61,$HJ61,0)+$HI62</f>
        <v/>
      </c>
      <c r="HK62" s="62">
        <f>$HK61+$HI62</f>
        <v/>
      </c>
      <c r="HL62" s="62">
        <f>SUMIFS(tblSafety[FAI],tblSafety[Date],$A62)</f>
        <v/>
      </c>
      <c r="HM62" s="62">
        <f>IF($B62=$B61,$HM61,0)+$HL62</f>
        <v/>
      </c>
      <c r="HN62" s="62">
        <f>$HN61+$HL62</f>
        <v/>
      </c>
      <c r="HO62" s="62">
        <f>SUMIFS(tblSafety[Recordables],tblSafety[Date],$A62)</f>
        <v/>
      </c>
      <c r="HP62" s="62">
        <f>IF($B62=$B61,$HP61,0)+$HO62</f>
        <v/>
      </c>
      <c r="HQ62" s="62">
        <f>$HQ61+$HO62</f>
        <v/>
      </c>
      <c r="HR62" s="62">
        <f>SUMIFS(tblSafety[Near_Miss],tblSafety[Date],$A62)</f>
        <v/>
      </c>
      <c r="HS62" s="62">
        <f>IF($B62=$B61,$HS61,0)+$HR62</f>
        <v/>
      </c>
      <c r="HT62" s="62">
        <f>$HT61+$HR62</f>
        <v/>
      </c>
      <c r="HU62" s="62">
        <f>SUMIFS(tblSafety[Hazard_Reports],tblSafety[Date],$A62)</f>
        <v/>
      </c>
      <c r="HV62" s="62">
        <f>IF($B62=$B61,$HV61,0)+$HU62</f>
        <v/>
      </c>
      <c r="HW62" s="62">
        <f>$HW61+$HU62</f>
        <v/>
      </c>
      <c r="HX62" s="62">
        <f>SUMIFS(tblSafety[HPI],tblSafety[Date],$A62)</f>
        <v/>
      </c>
      <c r="HY62" s="62">
        <f>IF($B62=$B61,$HY61,0)+$HX62</f>
        <v/>
      </c>
      <c r="HZ62" s="62">
        <f>$HZ61+$HX62</f>
        <v/>
      </c>
      <c r="IA62" s="62">
        <f>SUMIFS(tblSafety[Env_Incidents],tblSafety[Date],$A62)</f>
        <v/>
      </c>
      <c r="IB62" s="62">
        <f>IF($B62=$B61,$IB61,0)+$IA62</f>
        <v/>
      </c>
      <c r="IC62" s="62">
        <f>$IC61+$IA62</f>
        <v/>
      </c>
      <c r="ID62" s="62">
        <f>SUMIFS(tblSafety[Community_Incidents],tblSafety[Date],$A62)</f>
        <v/>
      </c>
      <c r="IE62" s="62">
        <f>IF($B62=$B61,$IE61,0)+$ID62</f>
        <v/>
      </c>
      <c r="IF62" s="62">
        <f>$IF61+$ID62</f>
        <v/>
      </c>
      <c r="IG62" s="62">
        <f>SUMIFS(tblSafety[Vehicle_Incidents],tblSafety[Date],$A62)</f>
        <v/>
      </c>
      <c r="IH62" s="62">
        <f>IF($B62=$B61,$IH61,0)+$IG62</f>
        <v/>
      </c>
      <c r="II62" s="62">
        <f>$II61+$IG62</f>
        <v/>
      </c>
      <c r="IJ62" s="62">
        <f>SUMIFS(tblSafety[Toolbox_Talks],tblSafety[Date],$A62)</f>
        <v/>
      </c>
      <c r="IK62" s="62">
        <f>IF($B62=$B61,$IK61,0)+$IJ62</f>
        <v/>
      </c>
      <c r="IL62" s="62">
        <f>$IL61+$IJ62</f>
        <v/>
      </c>
      <c r="IM62" s="62">
        <f>SUMIFS(tblSafety[Inspections],tblSafety[Date],$A62)</f>
        <v/>
      </c>
      <c r="IN62" s="62">
        <f>IF($B62=$B61,$IN61,0)+$IM62</f>
        <v/>
      </c>
      <c r="IO62" s="62">
        <f>$IO61+$IM62</f>
        <v/>
      </c>
      <c r="IP62" s="56">
        <f>IFERROR((SUMIFS(tblSafety[Recordables],tblSafety[Date],"&gt;="&amp;EDATE($E62,-12),tblSafety[Date],"&lt;="&amp;$A62)+SUMIFS(tblSafetyHistory[Recordables],tblSafetyHistory[Month],"&gt;="&amp;EDATE($E62,-12),tblSafetyHistory[Month],"&lt;"&amp;$E62,tblSafetyHistory[Use],1))/(SUMIFS(tblSafety[Hours_Total],tblSafety[Date],"&gt;="&amp;EDATE($E62,-12),tblSafety[Date],"&lt;="&amp;$A62)+SUMIFS(tblSafetyHistory[Hours_Total],tblSafetyHistory[Month],"&gt;="&amp;EDATE($E62,-12),tblSafetyHistory[Month],"&lt;"&amp;$E62,tblSafetyHistory[Use],1))*cfg_RateBasisHours,"")</f>
        <v/>
      </c>
      <c r="IQ62" s="56">
        <f>IFERROR((SUMIFS(tblSafety[LTI],tblSafety[Date],"&gt;="&amp;EDATE($E62,-12),tblSafety[Date],"&lt;="&amp;$A62)+SUMIFS(tblSafetyHistory[LTI],tblSafetyHistory[Month],"&gt;="&amp;EDATE($E62,-12),tblSafetyHistory[Month],"&lt;"&amp;$E62,tblSafetyHistory[Use],1))/(SUMIFS(tblSafety[Hours_Total],tblSafety[Date],"&gt;="&amp;EDATE($E62,-12),tblSafety[Date],"&lt;="&amp;$A62)+SUMIFS(tblSafetyHistory[Hours_Total],tblSafetyHistory[Month],"&gt;="&amp;EDATE($E62,-12),tblSafetyHistory[Month],"&lt;"&amp;$E62,tblSafetyHistory[Use],1))*cfg_RateBasisHours,"")</f>
        <v/>
      </c>
      <c r="IR62" s="62">
        <f>IF(MAX(N(cfg_PriorLTIDate),_xlfn.MAXIFS(tblSafety[Date],tblSafety[LTI],"&gt;0",tblSafety[Date],"&lt;="&amp;$A62))=0,"",$A62-MAX(N(cfg_PriorLTIDate),_xlfn.MAXIFS(tblSafety[Date],tblSafety[LTI],"&gt;0",tblSafety[Date],"&lt;="&amp;$A62)))</f>
        <v/>
      </c>
      <c r="IS62" s="55">
        <f>SUMIFS(tblBudget[Ore_Mined_t],tblBudget[Month],$E62)</f>
        <v/>
      </c>
      <c r="IT62" s="55">
        <f>$IS62*$C62/$D62</f>
        <v/>
      </c>
      <c r="IU62" s="55">
        <f>SUMIFS(tblBudget[Ore_Mined_t],tblBudget[Month],"&lt;"&amp;$E62)+$IT62</f>
        <v/>
      </c>
      <c r="IV62" s="55">
        <f>SUMIFS(tblBudget[Ore_oz],tblBudget[Month],$E62)</f>
        <v/>
      </c>
      <c r="IW62" s="55">
        <f>$IV62*$C62/$D62</f>
        <v/>
      </c>
      <c r="IX62" s="55">
        <f>SUMIFS(tblBudget[Ore_oz],tblBudget[Month],"&lt;"&amp;$E62)+$IW62</f>
        <v/>
      </c>
      <c r="IY62" s="55">
        <f>SUMIFS(tblBudget[Ore_Mined_t],tblBudget[Month],$E62)</f>
        <v/>
      </c>
      <c r="IZ62" s="55">
        <f>$IY62*$C62/$D62</f>
        <v/>
      </c>
      <c r="JA62" s="55">
        <f>SUMIFS(tblBudget[Ore_Mined_t],tblBudget[Month],"&lt;"&amp;$E62)+$IZ62</f>
        <v/>
      </c>
      <c r="JB62" s="56">
        <f>IFERROR(IF(($IY62)&gt;0,($IV62*cfg_TroyOz)/($IY62),""),"")</f>
        <v/>
      </c>
      <c r="JC62" s="56">
        <f>IFERROR(IF(($IZ62)&gt;0,($IW62*cfg_TroyOz)/($IZ62),""),"")</f>
        <v/>
      </c>
      <c r="JD62" s="56">
        <f>IFERROR(IF(($JA62)&gt;0,($IX62*cfg_TroyOz)/($JA62),""),"")</f>
        <v/>
      </c>
      <c r="JE62" s="55">
        <f>SUMIFS(tblBudget[Waste_t],tblBudget[Month],$E62)</f>
        <v/>
      </c>
      <c r="JF62" s="55">
        <f>$JE62*$C62/$D62</f>
        <v/>
      </c>
      <c r="JG62" s="55">
        <f>SUMIFS(tblBudget[Waste_t],tblBudget[Month],"&lt;"&amp;$E62)+$JF62</f>
        <v/>
      </c>
      <c r="JH62" s="55">
        <f>SUMIFS(tblBudget[TMM_t],tblBudget[Month],$E62)</f>
        <v/>
      </c>
      <c r="JI62" s="55">
        <f>$JH62*$C62/$D62</f>
        <v/>
      </c>
      <c r="JJ62" s="55">
        <f>SUMIFS(tblBudget[TMM_t],tblBudget[Month],"&lt;"&amp;$E62)+$JI62</f>
        <v/>
      </c>
      <c r="JK62" s="56">
        <f>IFERROR(IF(($IS62)&gt;0,($JE62)/($IS62),""),"")</f>
        <v/>
      </c>
      <c r="JL62" s="56">
        <f>IFERROR(IF(($IT62)&gt;0,($JF62)/($IT62),""),"")</f>
        <v/>
      </c>
      <c r="JM62" s="56">
        <f>IFERROR(IF(($IU62)&gt;0,($JG62)/($IU62),""),"")</f>
        <v/>
      </c>
      <c r="JN62" s="55">
        <f>SUMIFS(tblBudget[Drill_m],tblBudget[Month],$E62)</f>
        <v/>
      </c>
      <c r="JO62" s="55">
        <f>$JN62*$C62/$D62</f>
        <v/>
      </c>
      <c r="JP62" s="55">
        <f>SUMIFS(tblBudget[Drill_m],tblBudget[Month],"&lt;"&amp;$E62)+$JO62</f>
        <v/>
      </c>
      <c r="JQ62" s="55">
        <f>SUMIFS(tblBudget[Diesel_L],tblBudget[Month],$E62)</f>
        <v/>
      </c>
      <c r="JR62" s="55">
        <f>$JQ62*$C62/$D62</f>
        <v/>
      </c>
      <c r="JS62" s="55">
        <f>SUMIFS(tblBudget[Diesel_L],tblBudget[Month],"&lt;"&amp;$E62)+$JR62</f>
        <v/>
      </c>
      <c r="JT62" s="55">
        <f>SUMIFS(tblBudget[Milled_t],tblBudget[Month],$E62)</f>
        <v/>
      </c>
      <c r="JU62" s="55">
        <f>$JT62*$C62/$D62</f>
        <v/>
      </c>
      <c r="JV62" s="55">
        <f>SUMIFS(tblBudget[Milled_t],tblBudget[Month],"&lt;"&amp;$E62)+$JU62</f>
        <v/>
      </c>
      <c r="JW62" s="55">
        <f>SUMIFS(tblBudget[Feed_oz],tblBudget[Month],$E62)</f>
        <v/>
      </c>
      <c r="JX62" s="55">
        <f>$JW62*$C62/$D62</f>
        <v/>
      </c>
      <c r="JY62" s="55">
        <f>SUMIFS(tblBudget[Feed_oz],tblBudget[Month],"&lt;"&amp;$E62)+$JX62</f>
        <v/>
      </c>
      <c r="JZ62" s="55">
        <f>SUMIFS(tblBudget[Recovered_oz],tblBudget[Month],$E62)</f>
        <v/>
      </c>
      <c r="KA62" s="55">
        <f>$JZ62*$C62/$D62</f>
        <v/>
      </c>
      <c r="KB62" s="55">
        <f>SUMIFS(tblBudget[Recovered_oz],tblBudget[Month],"&lt;"&amp;$E62)+$KA62</f>
        <v/>
      </c>
      <c r="KC62" s="55">
        <f>SUMIFS(tblBudget[Milled_t],tblBudget[Month],$E62)</f>
        <v/>
      </c>
      <c r="KD62" s="55">
        <f>$KC62*$C62/$D62</f>
        <v/>
      </c>
      <c r="KE62" s="55">
        <f>SUMIFS(tblBudget[Milled_t],tblBudget[Month],"&lt;"&amp;$E62)+$KD62</f>
        <v/>
      </c>
      <c r="KF62" s="55">
        <f>SUMIFS(tblBudget[Feed_oz],tblBudget[Month],$E62)</f>
        <v/>
      </c>
      <c r="KG62" s="55">
        <f>$KF62*$C62/$D62</f>
        <v/>
      </c>
      <c r="KH62" s="55">
        <f>SUMIFS(tblBudget[Feed_oz],tblBudget[Month],"&lt;"&amp;$E62)+$KG62</f>
        <v/>
      </c>
      <c r="KI62" s="56">
        <f>IFERROR(IF(($KC62)&gt;0,($JW62*cfg_TroyOz)/($KC62),""),"")</f>
        <v/>
      </c>
      <c r="KJ62" s="56">
        <f>IFERROR(IF(($KD62)&gt;0,($JX62*cfg_TroyOz)/($KD62),""),"")</f>
        <v/>
      </c>
      <c r="KK62" s="56">
        <f>IFERROR(IF(($KE62)&gt;0,($JY62*cfg_TroyOz)/($KE62),""),"")</f>
        <v/>
      </c>
      <c r="KL62" s="67">
        <f>IFERROR(IF(($KF62)&gt;0,($JZ62)/($KF62),""),"")</f>
        <v/>
      </c>
      <c r="KM62" s="67">
        <f>IFERROR(IF(($KG62)&gt;0,($KA62)/($KG62),""),"")</f>
        <v/>
      </c>
      <c r="KN62" s="67">
        <f>IFERROR(IF(($KH62)&gt;0,($KB62)/($KH62),""),"")</f>
        <v/>
      </c>
      <c r="KO62" s="55">
        <f>SUMIFS(tblBudget[Gold_Poured_oz],tblBudget[Month],$E62)</f>
        <v/>
      </c>
      <c r="KP62" s="55">
        <f>$KO62*$C62/$D62</f>
        <v/>
      </c>
      <c r="KQ62" s="55">
        <f>SUMIFS(tblBudget[Gold_Poured_oz],tblBudget[Month],"&lt;"&amp;$E62)+$KP62</f>
        <v/>
      </c>
      <c r="KR62" s="57">
        <f>SUMIFS(tblBudget[Hours_Worked],tblBudget[Month],$E62)</f>
        <v/>
      </c>
      <c r="KS62" s="57">
        <f>$KR62*$C62/$D62</f>
        <v/>
      </c>
      <c r="KT62" s="57">
        <f>SUMIFS(tblBudget[Hours_Worked],tblBudget[Month],"&lt;"&amp;$E62)+$KS62</f>
        <v/>
      </c>
    </row>
    <row r="63">
      <c r="A63" s="54" t="n">
        <v>46084</v>
      </c>
      <c r="B63">
        <f>MONTH($A63)</f>
        <v/>
      </c>
      <c r="C63">
        <f>DAY($A63)</f>
        <v/>
      </c>
      <c r="D63">
        <f>DAY(EOMONTH($A63,0))</f>
        <v/>
      </c>
      <c r="E63" s="54">
        <f>DATE(YEAR($A63),MONTH($A63),1)</f>
        <v/>
      </c>
      <c r="F63" s="55">
        <f>SUMIFS(tblMovement[Tonnes_t],tblMovement[Date],$A63,tblMovement[Is_Ore],1,tblMovement[Source_Type],"Pit")</f>
        <v/>
      </c>
      <c r="G63" s="55">
        <f>IF($B63=$B62,$G62,0)+$F63</f>
        <v/>
      </c>
      <c r="H63" s="55">
        <f>$H62+$F63</f>
        <v/>
      </c>
      <c r="I63" s="55">
        <f>SUMIFS(tblMovement[Ore_oz],tblMovement[Date],$A63,tblMovement[Source_Type],"Pit")</f>
        <v/>
      </c>
      <c r="J63" s="55">
        <f>IF($B63=$B62,$J62,0)+$I63</f>
        <v/>
      </c>
      <c r="K63" s="55">
        <f>$K62+$I63</f>
        <v/>
      </c>
      <c r="L63" s="55">
        <f>SUMIFS(tblMovement[Tonnes_t],tblMovement[Date],$A63,tblMovement[Is_Ore],1,tblMovement[Source_Type],"Pit",tblMovement[Grade_gpt],"&lt;&gt;")</f>
        <v/>
      </c>
      <c r="M63" s="55">
        <f>IF($B63=$B62,$M62,0)+$L63</f>
        <v/>
      </c>
      <c r="N63" s="55">
        <f>$N62+$L63</f>
        <v/>
      </c>
      <c r="O63" s="56">
        <f>IFERROR(IF(($L63)&gt;0,($I63*cfg_TroyOz)/($L63),""),"")</f>
        <v/>
      </c>
      <c r="P63" s="56">
        <f>IFERROR(IF(($M63)&gt;0,($J63*cfg_TroyOz)/($M63),""),"")</f>
        <v/>
      </c>
      <c r="Q63" s="56">
        <f>IFERROR(IF(($N63)&gt;0,($K63*cfg_TroyOz)/($N63),""),"")</f>
        <v/>
      </c>
      <c r="R63" s="55">
        <f>$F63-$L63</f>
        <v/>
      </c>
      <c r="S63" s="55">
        <f>IF($B63=$B62,$S62,0)+$R63</f>
        <v/>
      </c>
      <c r="T63" s="55">
        <f>$T62+$R63</f>
        <v/>
      </c>
      <c r="U63" s="55">
        <f>SUMIFS(tblMovement[Tonnes_t],tblMovement[Date],$A63,tblMovement[Is_Ore],0,tblMovement[Source_Type],"Pit")</f>
        <v/>
      </c>
      <c r="V63" s="55">
        <f>IF($B63=$B62,$V62,0)+$U63</f>
        <v/>
      </c>
      <c r="W63" s="55">
        <f>$W62+$U63</f>
        <v/>
      </c>
      <c r="X63" s="55">
        <f>$F63+$U63</f>
        <v/>
      </c>
      <c r="Y63" s="55">
        <f>IF($B63=$B62,$Y62,0)+$X63</f>
        <v/>
      </c>
      <c r="Z63" s="55">
        <f>$Z62+$X63</f>
        <v/>
      </c>
      <c r="AA63" s="56">
        <f>IFERROR(IF(($F63)&gt;0,($U63)/($F63),""),"")</f>
        <v/>
      </c>
      <c r="AB63" s="56">
        <f>IFERROR(IF(($G63)&gt;0,($V63)/($G63),""),"")</f>
        <v/>
      </c>
      <c r="AC63" s="56">
        <f>IFERROR(IF(($H63)&gt;0,($W63)/($H63),""),"")</f>
        <v/>
      </c>
      <c r="AD63" s="55">
        <f>SUMIFS(tblMovement[Tonnes_t],tblMovement[Date],$A63,tblMovement[Source_Type],"Stockpile")</f>
        <v/>
      </c>
      <c r="AE63" s="55">
        <f>IF($B63=$B62,$AE62,0)+$AD63</f>
        <v/>
      </c>
      <c r="AF63" s="55">
        <f>$AF62+$AD63</f>
        <v/>
      </c>
      <c r="AG63" s="55">
        <f>SUMIFS(tblMovement[Tonnes_t],tblMovement[Date],$A63)</f>
        <v/>
      </c>
      <c r="AH63" s="55">
        <f>IF($B63=$B62,$AH62,0)+$AG63</f>
        <v/>
      </c>
      <c r="AI63" s="55">
        <f>$AI62+$AG63</f>
        <v/>
      </c>
      <c r="AJ63" s="55">
        <f>$AG63-$X63-$AD63</f>
        <v/>
      </c>
      <c r="AK63" s="55">
        <f>IF($B63=$B62,$AK62,0)+$AJ63</f>
        <v/>
      </c>
      <c r="AL63" s="55">
        <f>$AL62+$AJ63</f>
        <v/>
      </c>
      <c r="AM63" s="55">
        <f>SUMIFS(tblMiningDaily[Drill_m],tblMiningDaily[Date],$A63)</f>
        <v/>
      </c>
      <c r="AN63" s="55">
        <f>IF($B63=$B62,$AN62,0)+$AM63</f>
        <v/>
      </c>
      <c r="AO63" s="55">
        <f>$AO62+$AM63</f>
        <v/>
      </c>
      <c r="AP63" s="55">
        <f>SUMIFS(tblMiningDaily[GC_Drill_m],tblMiningDaily[Date],$A63)</f>
        <v/>
      </c>
      <c r="AQ63" s="55">
        <f>IF($B63=$B62,$AQ62,0)+$AP63</f>
        <v/>
      </c>
      <c r="AR63" s="55">
        <f>$AR62+$AP63</f>
        <v/>
      </c>
      <c r="AS63" s="55">
        <f>SUMIFS(tblMiningDaily[Blast_t],tblMiningDaily[Date],$A63)</f>
        <v/>
      </c>
      <c r="AT63" s="55">
        <f>IF($B63=$B62,$AT62,0)+$AS63</f>
        <v/>
      </c>
      <c r="AU63" s="55">
        <f>$AU62+$AS63</f>
        <v/>
      </c>
      <c r="AV63" s="55">
        <f>SUMIFS(tblMiningDaily[Explosives_kg],tblMiningDaily[Date],$A63)</f>
        <v/>
      </c>
      <c r="AW63" s="55">
        <f>IF($B63=$B62,$AW62,0)+$AV63</f>
        <v/>
      </c>
      <c r="AX63" s="55">
        <f>$AX62+$AV63</f>
        <v/>
      </c>
      <c r="AY63" s="56">
        <f>IFERROR(IF(($AS63)&gt;0,($AV63)/($AS63),""),"")</f>
        <v/>
      </c>
      <c r="AZ63" s="56">
        <f>IFERROR(IF(($AT63)&gt;0,($AW63)/($AT63),""),"")</f>
        <v/>
      </c>
      <c r="BA63" s="56">
        <f>IFERROR(IF(($AU63)&gt;0,($AX63)/($AU63),""),"")</f>
        <v/>
      </c>
      <c r="BB63" s="55">
        <f>SUMIFS(tblMiningDaily[Diesel_L],tblMiningDaily[Date],$A63)</f>
        <v/>
      </c>
      <c r="BC63" s="55">
        <f>IF($B63=$B62,$BC62,0)+$BB63</f>
        <v/>
      </c>
      <c r="BD63" s="55">
        <f>$BD62+$BB63</f>
        <v/>
      </c>
      <c r="BE63" s="55">
        <f>SUMIFS(tblMiningDaily[Dewatering_m3],tblMiningDaily[Date],$A63)</f>
        <v/>
      </c>
      <c r="BF63" s="55">
        <f>IF($B63=$B62,$BF62,0)+$BE63</f>
        <v/>
      </c>
      <c r="BG63" s="55">
        <f>$BG62+$BE63</f>
        <v/>
      </c>
      <c r="BH63" s="57">
        <f>SUMIFS(tblFleet[Calendar_h],tblFleet[Date],$A63,tblFleet[Equipment_Class],"Excavator")</f>
        <v/>
      </c>
      <c r="BI63" s="57">
        <f>IF($B63=$B62,$BI62,0)+$BH63</f>
        <v/>
      </c>
      <c r="BJ63" s="57">
        <f>$BJ62+$BH63</f>
        <v/>
      </c>
      <c r="BK63" s="57">
        <f>SUMIFS(tblFleet[Available_h],tblFleet[Date],$A63,tblFleet[Equipment_Class],"Excavator")</f>
        <v/>
      </c>
      <c r="BL63" s="57">
        <f>IF($B63=$B62,$BL62,0)+$BK63</f>
        <v/>
      </c>
      <c r="BM63" s="57">
        <f>$BM62+$BK63</f>
        <v/>
      </c>
      <c r="BN63" s="57">
        <f>SUMIFS(tblFleet[Operating_h],tblFleet[Date],$A63,tblFleet[Equipment_Class],"Excavator")</f>
        <v/>
      </c>
      <c r="BO63" s="57">
        <f>IF($B63=$B62,$BO62,0)+$BN63</f>
        <v/>
      </c>
      <c r="BP63" s="57">
        <f>$BP62+$BN63</f>
        <v/>
      </c>
      <c r="BQ63" s="67">
        <f>IFERROR(IF(($BH63)&gt;0,($BK63)/($BH63),""),"")</f>
        <v/>
      </c>
      <c r="BR63" s="67">
        <f>IFERROR(IF(($BI63)&gt;0,($BL63)/($BI63),""),"")</f>
        <v/>
      </c>
      <c r="BS63" s="67">
        <f>IFERROR(IF(($BJ63)&gt;0,($BM63)/($BJ63),""),"")</f>
        <v/>
      </c>
      <c r="BT63" s="67">
        <f>IFERROR(IF(($BK63)&gt;0,($BN63)/($BK63),""),"")</f>
        <v/>
      </c>
      <c r="BU63" s="67">
        <f>IFERROR(IF(($BL63)&gt;0,($BO63)/($BL63),""),"")</f>
        <v/>
      </c>
      <c r="BV63" s="67">
        <f>IFERROR(IF(($BM63)&gt;0,($BP63)/($BM63),""),"")</f>
        <v/>
      </c>
      <c r="BW63" s="57">
        <f>SUMIFS(tblFleet[Calendar_h],tblFleet[Date],$A63,tblFleet[Equipment_Class],"Haul Truck")</f>
        <v/>
      </c>
      <c r="BX63" s="57">
        <f>IF($B63=$B62,$BX62,0)+$BW63</f>
        <v/>
      </c>
      <c r="BY63" s="57">
        <f>$BY62+$BW63</f>
        <v/>
      </c>
      <c r="BZ63" s="57">
        <f>SUMIFS(tblFleet[Available_h],tblFleet[Date],$A63,tblFleet[Equipment_Class],"Haul Truck")</f>
        <v/>
      </c>
      <c r="CA63" s="57">
        <f>IF($B63=$B62,$CA62,0)+$BZ63</f>
        <v/>
      </c>
      <c r="CB63" s="57">
        <f>$CB62+$BZ63</f>
        <v/>
      </c>
      <c r="CC63" s="57">
        <f>SUMIFS(tblFleet[Operating_h],tblFleet[Date],$A63,tblFleet[Equipment_Class],"Haul Truck")</f>
        <v/>
      </c>
      <c r="CD63" s="57">
        <f>IF($B63=$B62,$CD62,0)+$CC63</f>
        <v/>
      </c>
      <c r="CE63" s="57">
        <f>$CE62+$CC63</f>
        <v/>
      </c>
      <c r="CF63" s="67">
        <f>IFERROR(IF(($BW63)&gt;0,($BZ63)/($BW63),""),"")</f>
        <v/>
      </c>
      <c r="CG63" s="67">
        <f>IFERROR(IF(($BX63)&gt;0,($CA63)/($BX63),""),"")</f>
        <v/>
      </c>
      <c r="CH63" s="67">
        <f>IFERROR(IF(($BY63)&gt;0,($CB63)/($BY63),""),"")</f>
        <v/>
      </c>
      <c r="CI63" s="67">
        <f>IFERROR(IF(($BZ63)&gt;0,($CC63)/($BZ63),""),"")</f>
        <v/>
      </c>
      <c r="CJ63" s="67">
        <f>IFERROR(IF(($CA63)&gt;0,($CD63)/($CA63),""),"")</f>
        <v/>
      </c>
      <c r="CK63" s="67">
        <f>IFERROR(IF(($CB63)&gt;0,($CE63)/($CB63),""),"")</f>
        <v/>
      </c>
      <c r="CL63" s="55">
        <f>IFERROR(IF(($BN63)&gt;0,($X63+$AD63)/($BN63),""),"")</f>
        <v/>
      </c>
      <c r="CM63" s="55">
        <f>IFERROR(IF(($BO63)&gt;0,($Y63+$AE63)/($BO63),""),"")</f>
        <v/>
      </c>
      <c r="CN63" s="55">
        <f>IFERROR(IF(($BP63)&gt;0,($Z63+$AF63)/($BP63),""),"")</f>
        <v/>
      </c>
      <c r="CO63" s="55">
        <f>IFERROR(IF(($CC63)&gt;0,($X63+$AD63)/($CC63),""),"")</f>
        <v/>
      </c>
      <c r="CP63" s="55">
        <f>IFERROR(IF(($CD63)&gt;0,($Y63+$AE63)/($CD63),""),"")</f>
        <v/>
      </c>
      <c r="CQ63" s="55">
        <f>IFERROR(IF(($CE63)&gt;0,($Z63+$AF63)/($CE63),""),"")</f>
        <v/>
      </c>
      <c r="CR63" s="55">
        <f>SUMIFS(tblPlant[Crushed_t],tblPlant[Date],$A63)</f>
        <v/>
      </c>
      <c r="CS63" s="55">
        <f>IF($B63=$B62,$CS62,0)+$CR63</f>
        <v/>
      </c>
      <c r="CT63" s="55">
        <f>$CT62+$CR63</f>
        <v/>
      </c>
      <c r="CU63" s="55">
        <f>SUMIFS(tblPlant[Milled_t],tblPlant[Date],$A63)</f>
        <v/>
      </c>
      <c r="CV63" s="55">
        <f>IF($B63=$B62,$CV62,0)+$CU63</f>
        <v/>
      </c>
      <c r="CW63" s="55">
        <f>$CW62+$CU63</f>
        <v/>
      </c>
      <c r="CX63" s="55">
        <f>SUMIFS(tblPlant[Feed_oz],tblPlant[Date],$A63)</f>
        <v/>
      </c>
      <c r="CY63" s="55">
        <f>IF($B63=$B62,$CY62,0)+$CX63</f>
        <v/>
      </c>
      <c r="CZ63" s="55">
        <f>$CZ62+$CX63</f>
        <v/>
      </c>
      <c r="DA63" s="55">
        <f>SUMIFS(tblPlant[Tails_oz],tblPlant[Date],$A63)</f>
        <v/>
      </c>
      <c r="DB63" s="55">
        <f>IF($B63=$B62,$DB62,0)+$DA63</f>
        <v/>
      </c>
      <c r="DC63" s="55">
        <f>$DC62+$DA63</f>
        <v/>
      </c>
      <c r="DD63" s="55">
        <f>SUMIFS(tblPlant[Recovered_oz],tblPlant[Date],$A63)</f>
        <v/>
      </c>
      <c r="DE63" s="55">
        <f>IF($B63=$B62,$DE62,0)+$DD63</f>
        <v/>
      </c>
      <c r="DF63" s="55">
        <f>$DF62+$DD63</f>
        <v/>
      </c>
      <c r="DG63" s="55">
        <f>SUMIFS(tblPlant[Milled_t],tblPlant[Date],$A63,tblPlant[Head_Grade_gpt],"&lt;&gt;")</f>
        <v/>
      </c>
      <c r="DH63" s="55">
        <f>IF($B63=$B62,$DH62,0)+$DG63</f>
        <v/>
      </c>
      <c r="DI63" s="55">
        <f>$DI62+$DG63</f>
        <v/>
      </c>
      <c r="DJ63" s="55">
        <f>SUMIFS(tblPlant[Milled_t],tblPlant[Date],$A63,tblPlant[Tails_Grade_gpt],"&lt;&gt;")</f>
        <v/>
      </c>
      <c r="DK63" s="55">
        <f>IF($B63=$B62,$DK62,0)+$DJ63</f>
        <v/>
      </c>
      <c r="DL63" s="55">
        <f>$DL62+$DJ63</f>
        <v/>
      </c>
      <c r="DM63" s="55">
        <f>SUMIFS(tblPlant[Feed_oz],tblPlant[Date],$A63,tblPlant[Tails_Grade_gpt],"&lt;&gt;")</f>
        <v/>
      </c>
      <c r="DN63" s="55">
        <f>IF($B63=$B62,$DN62,0)+$DM63</f>
        <v/>
      </c>
      <c r="DO63" s="55">
        <f>$DO62+$DM63</f>
        <v/>
      </c>
      <c r="DP63" s="55">
        <f>SUMIFS(tblPlant[Milled_t],tblPlant[Date],$A63,tblPlant[Mill_Run_h],"&lt;&gt;")</f>
        <v/>
      </c>
      <c r="DQ63" s="55">
        <f>IF($B63=$B62,$DQ62,0)+$DP63</f>
        <v/>
      </c>
      <c r="DR63" s="55">
        <f>$DR62+$DP63</f>
        <v/>
      </c>
      <c r="DS63" s="56">
        <f>IFERROR(IF(($DG63)&gt;0,($CX63*cfg_TroyOz)/($DG63),""),"")</f>
        <v/>
      </c>
      <c r="DT63" s="56">
        <f>IFERROR(IF(($DH63)&gt;0,($CY63*cfg_TroyOz)/($DH63),""),"")</f>
        <v/>
      </c>
      <c r="DU63" s="56">
        <f>IFERROR(IF(($DI63)&gt;0,($CZ63*cfg_TroyOz)/($DI63),""),"")</f>
        <v/>
      </c>
      <c r="DV63" s="56">
        <f>IFERROR(IF(($DJ63)&gt;0,($DA63*cfg_TroyOz)/($DJ63),""),"")</f>
        <v/>
      </c>
      <c r="DW63" s="56">
        <f>IFERROR(IF(($DK63)&gt;0,($DB63*cfg_TroyOz)/($DK63),""),"")</f>
        <v/>
      </c>
      <c r="DX63" s="56">
        <f>IFERROR(IF(($DL63)&gt;0,($DC63*cfg_TroyOz)/($DL63),""),"")</f>
        <v/>
      </c>
      <c r="DY63" s="67">
        <f>IFERROR(IF(($DM63)&gt;0,($DD63)/($DM63),""),"")</f>
        <v/>
      </c>
      <c r="DZ63" s="67">
        <f>IFERROR(IF(($DN63)&gt;0,($DE63)/($DN63),""),"")</f>
        <v/>
      </c>
      <c r="EA63" s="67">
        <f>IFERROR(IF(($DO63)&gt;0,($DF63)/($DO63),""),"")</f>
        <v/>
      </c>
      <c r="EB63" s="55">
        <f>SUMIFS(tblPlant[Gravity_Gold_oz],tblPlant[Date],$A63)</f>
        <v/>
      </c>
      <c r="EC63" s="55">
        <f>IF($B63=$B62,$EC62,0)+$EB63</f>
        <v/>
      </c>
      <c r="ED63" s="55">
        <f>$ED62+$EB63</f>
        <v/>
      </c>
      <c r="EE63" s="67">
        <f>IFERROR(IF(($DD63)&gt;0,($EB63)/($DD63),""),"")</f>
        <v/>
      </c>
      <c r="EF63" s="67">
        <f>IFERROR(IF(($DE63)&gt;0,($EC63)/($DE63),""),"")</f>
        <v/>
      </c>
      <c r="EG63" s="67">
        <f>IFERROR(IF(($DF63)&gt;0,($ED63)/($DF63),""),"")</f>
        <v/>
      </c>
      <c r="EH63" s="55">
        <f>SUMIFS(tblPlant[Gold_Poured_oz],tblPlant[Date],$A63)</f>
        <v/>
      </c>
      <c r="EI63" s="55">
        <f>IF($B63=$B62,$EI62,0)+$EH63</f>
        <v/>
      </c>
      <c r="EJ63" s="55">
        <f>$EJ62+$EH63</f>
        <v/>
      </c>
      <c r="EK63" s="57">
        <f>SUMIFS(tblPlant[Mill_Run_h],tblPlant[Date],$A63)</f>
        <v/>
      </c>
      <c r="EL63" s="57">
        <f>IF($B63=$B62,$EL62,0)+$EK63</f>
        <v/>
      </c>
      <c r="EM63" s="57">
        <f>$EM62+$EK63</f>
        <v/>
      </c>
      <c r="EN63" s="57">
        <f>SUMIFS(tblPlant[Mill_Planned_Maint_h],tblPlant[Date],$A63)</f>
        <v/>
      </c>
      <c r="EO63" s="57">
        <f>IF($B63=$B62,$EO62,0)+$EN63</f>
        <v/>
      </c>
      <c r="EP63" s="57">
        <f>$EP62+$EN63</f>
        <v/>
      </c>
      <c r="EQ63" s="57">
        <f>SUMIFS(tblPlant[Mill_Unplanned_Down_h],tblPlant[Date],$A63)</f>
        <v/>
      </c>
      <c r="ER63" s="57">
        <f>IF($B63=$B62,$ER62,0)+$EQ63</f>
        <v/>
      </c>
      <c r="ES63" s="57">
        <f>$ES62+$EQ63</f>
        <v/>
      </c>
      <c r="ET63" s="57">
        <f>IF(COUNTIFS(tblPlant[Date],$A63,tblPlant[Mill_Run_h],"&lt;&gt;")+COUNTIFS(tblPlant[Date],$A63,tblPlant[Mill_Planned_Maint_h],"&lt;&gt;")+COUNTIFS(tblPlant[Date],$A63,tblPlant[Mill_Unplanned_Down_h],"&lt;&gt;")&gt;0,cfg_HoursPerDay,0)</f>
        <v/>
      </c>
      <c r="EU63" s="57">
        <f>IF($B63=$B62,$EU62,0)+$ET63</f>
        <v/>
      </c>
      <c r="EV63" s="57">
        <f>$EV62+$ET63</f>
        <v/>
      </c>
      <c r="EW63" s="57">
        <f>SUMIFS(tblPlant[Crusher_Run_h],tblPlant[Date],$A63)</f>
        <v/>
      </c>
      <c r="EX63" s="57">
        <f>IF($B63=$B62,$EX62,0)+$EW63</f>
        <v/>
      </c>
      <c r="EY63" s="57">
        <f>$EY62+$EW63</f>
        <v/>
      </c>
      <c r="EZ63" s="55">
        <f>IFERROR(IF(($EK63)&gt;0,($DP63)/($EK63),""),"")</f>
        <v/>
      </c>
      <c r="FA63" s="55">
        <f>IFERROR(IF(($EL63)&gt;0,($DQ63)/($EL63),""),"")</f>
        <v/>
      </c>
      <c r="FB63" s="55">
        <f>IFERROR(IF(($EM63)&gt;0,($DR63)/($EM63),""),"")</f>
        <v/>
      </c>
      <c r="FC63" s="67">
        <f>IFERROR(IF(($ET63)&gt;0,($ET63-$EN63-$EQ63)/($ET63),""),"")</f>
        <v/>
      </c>
      <c r="FD63" s="67">
        <f>IFERROR(IF(($EU63)&gt;0,($EU63-$EO63-$ER63)/($EU63),""),"")</f>
        <v/>
      </c>
      <c r="FE63" s="67">
        <f>IFERROR(IF(($EV63)&gt;0,($EV63-$EP63-$ES63)/($EV63),""),"")</f>
        <v/>
      </c>
      <c r="FF63" s="67">
        <f>IFERROR(IF(($ET63-$EN63-$EQ63)&gt;0,($EK63)/($ET63-$EN63-$EQ63),""),"")</f>
        <v/>
      </c>
      <c r="FG63" s="67">
        <f>IFERROR(IF(($EU63-$EO63-$ER63)&gt;0,($EL63)/($EU63-$EO63-$ER63),""),"")</f>
        <v/>
      </c>
      <c r="FH63" s="67">
        <f>IFERROR(IF(($EV63-$EP63-$ES63)&gt;0,($EM63)/($EV63-$EP63-$ES63),""),"")</f>
        <v/>
      </c>
      <c r="FI63" s="55">
        <f>SUMIFS(tblPlant[Cyanide_kg],tblPlant[Date],$A63)</f>
        <v/>
      </c>
      <c r="FJ63" s="55">
        <f>IF($B63=$B62,$FJ62,0)+$FI63</f>
        <v/>
      </c>
      <c r="FK63" s="55">
        <f>$FK62+$FI63</f>
        <v/>
      </c>
      <c r="FL63" s="55">
        <f>SUMIFS(tblPlant[Lime_kg],tblPlant[Date],$A63)</f>
        <v/>
      </c>
      <c r="FM63" s="55">
        <f>IF($B63=$B62,$FM62,0)+$FL63</f>
        <v/>
      </c>
      <c r="FN63" s="55">
        <f>$FN62+$FL63</f>
        <v/>
      </c>
      <c r="FO63" s="55">
        <f>SUMIFS(tblPlant[Grinding_Media_kg],tblPlant[Date],$A63)</f>
        <v/>
      </c>
      <c r="FP63" s="55">
        <f>IF($B63=$B62,$FP62,0)+$FO63</f>
        <v/>
      </c>
      <c r="FQ63" s="55">
        <f>$FQ62+$FO63</f>
        <v/>
      </c>
      <c r="FR63" s="55">
        <f>SUMIFS(tblPlant[Power_kWh],tblPlant[Date],$A63)</f>
        <v/>
      </c>
      <c r="FS63" s="55">
        <f>IF($B63=$B62,$FS62,0)+$FR63</f>
        <v/>
      </c>
      <c r="FT63" s="55">
        <f>$FT62+$FR63</f>
        <v/>
      </c>
      <c r="FU63" s="55">
        <f>SUMIFS(tblPlant[Raw_Water_m3],tblPlant[Date],$A63)</f>
        <v/>
      </c>
      <c r="FV63" s="55">
        <f>IF($B63=$B62,$FV62,0)+$FU63</f>
        <v/>
      </c>
      <c r="FW63" s="55">
        <f>$FW62+$FU63</f>
        <v/>
      </c>
      <c r="FX63" s="56">
        <f>IFERROR(IF(($CU63)&gt;0,($FI63)/($CU63),""),"")</f>
        <v/>
      </c>
      <c r="FY63" s="56">
        <f>IFERROR(IF(($CV63)&gt;0,($FJ63)/($CV63),""),"")</f>
        <v/>
      </c>
      <c r="FZ63" s="56">
        <f>IFERROR(IF(($CW63)&gt;0,($FK63)/($CW63),""),"")</f>
        <v/>
      </c>
      <c r="GA63" s="56">
        <f>IFERROR(IF(($CU63)&gt;0,($FL63)/($CU63),""),"")</f>
        <v/>
      </c>
      <c r="GB63" s="56">
        <f>IFERROR(IF(($CV63)&gt;0,($FM63)/($CV63),""),"")</f>
        <v/>
      </c>
      <c r="GC63" s="56">
        <f>IFERROR(IF(($CW63)&gt;0,($FN63)/($CW63),""),"")</f>
        <v/>
      </c>
      <c r="GD63" s="56">
        <f>IFERROR(IF(($CU63)&gt;0,($FO63)/($CU63),""),"")</f>
        <v/>
      </c>
      <c r="GE63" s="56">
        <f>IFERROR(IF(($CV63)&gt;0,($FP63)/($CV63),""),"")</f>
        <v/>
      </c>
      <c r="GF63" s="56">
        <f>IFERROR(IF(($CW63)&gt;0,($FQ63)/($CW63),""),"")</f>
        <v/>
      </c>
      <c r="GG63" s="79">
        <f>IFERROR(IF(($CU63)&gt;0,($FR63)/($CU63),""),"")</f>
        <v/>
      </c>
      <c r="GH63" s="79">
        <f>IFERROR(IF(($CV63)&gt;0,($FS63)/($CV63),""),"")</f>
        <v/>
      </c>
      <c r="GI63" s="79">
        <f>IFERROR(IF(($CW63)&gt;0,($FT63)/($CW63),""),"")</f>
        <v/>
      </c>
      <c r="GJ63" s="56">
        <f>IFERROR(IF(($CU63)&gt;0,($FU63)/($CU63),""),"")</f>
        <v/>
      </c>
      <c r="GK63" s="56">
        <f>IFERROR(IF(($CV63)&gt;0,($FV63)/($CV63),""),"")</f>
        <v/>
      </c>
      <c r="GL63" s="56">
        <f>IFERROR(IF(($CW63)&gt;0,($FW63)/($CW63),""),"")</f>
        <v/>
      </c>
      <c r="GM63" s="55">
        <f>IF(SUMIFS(tblPlant[GIC_oz],tblPlant[Date],$A63)&gt;0,SUMIFS(tblPlant[GIC_oz],tblPlant[Date],$A63),"")</f>
        <v/>
      </c>
      <c r="GN63" s="55">
        <f>SUMIFS(tblGold[Gold_oz],tblGold[Date],$A63,tblGold[Type],"Shipment")</f>
        <v/>
      </c>
      <c r="GO63" s="55">
        <f>IF($B63=$B62,$GO62,0)+$GN63</f>
        <v/>
      </c>
      <c r="GP63" s="55">
        <f>$GP62+$GN63</f>
        <v/>
      </c>
      <c r="GQ63" s="55">
        <f>SUMIFS(tblGold[Gold_oz],tblGold[Date],$A63,tblGold[Type],"Sale")</f>
        <v/>
      </c>
      <c r="GR63" s="55">
        <f>IF($B63=$B62,$GR62,0)+$GQ63</f>
        <v/>
      </c>
      <c r="GS63" s="55">
        <f>$GS62+$GQ63</f>
        <v/>
      </c>
      <c r="GT63" s="55">
        <f>SUMIFS(tblGold[Dore_kg],tblGold[Date],$A63,tblGold[Type],"Shipment")</f>
        <v/>
      </c>
      <c r="GU63" s="55">
        <f>IF($B63=$B62,$GU62,0)+$GT63</f>
        <v/>
      </c>
      <c r="GV63" s="55">
        <f>$GV62+$GT63</f>
        <v/>
      </c>
      <c r="GW63" s="57">
        <f>SUMIFS(tblSafety[Hours_Total],tblSafety[Date],$A63)</f>
        <v/>
      </c>
      <c r="GX63" s="57">
        <f>IF($B63=$B62,$GX62,0)+$GW63</f>
        <v/>
      </c>
      <c r="GY63" s="57">
        <f>$GY62+$GW63</f>
        <v/>
      </c>
      <c r="GZ63" s="62">
        <f>SUMIFS(tblSafety[Fatality],tblSafety[Date],$A63)</f>
        <v/>
      </c>
      <c r="HA63" s="62">
        <f>IF($B63=$B62,$HA62,0)+$GZ63</f>
        <v/>
      </c>
      <c r="HB63" s="62">
        <f>$HB62+$GZ63</f>
        <v/>
      </c>
      <c r="HC63" s="62">
        <f>SUMIFS(tblSafety[LTI],tblSafety[Date],$A63)</f>
        <v/>
      </c>
      <c r="HD63" s="62">
        <f>IF($B63=$B62,$HD62,0)+$HC63</f>
        <v/>
      </c>
      <c r="HE63" s="62">
        <f>$HE62+$HC63</f>
        <v/>
      </c>
      <c r="HF63" s="62">
        <f>SUMIFS(tblSafety[RWI],tblSafety[Date],$A63)</f>
        <v/>
      </c>
      <c r="HG63" s="62">
        <f>IF($B63=$B62,$HG62,0)+$HF63</f>
        <v/>
      </c>
      <c r="HH63" s="62">
        <f>$HH62+$HF63</f>
        <v/>
      </c>
      <c r="HI63" s="62">
        <f>SUMIFS(tblSafety[MTI],tblSafety[Date],$A63)</f>
        <v/>
      </c>
      <c r="HJ63" s="62">
        <f>IF($B63=$B62,$HJ62,0)+$HI63</f>
        <v/>
      </c>
      <c r="HK63" s="62">
        <f>$HK62+$HI63</f>
        <v/>
      </c>
      <c r="HL63" s="62">
        <f>SUMIFS(tblSafety[FAI],tblSafety[Date],$A63)</f>
        <v/>
      </c>
      <c r="HM63" s="62">
        <f>IF($B63=$B62,$HM62,0)+$HL63</f>
        <v/>
      </c>
      <c r="HN63" s="62">
        <f>$HN62+$HL63</f>
        <v/>
      </c>
      <c r="HO63" s="62">
        <f>SUMIFS(tblSafety[Recordables],tblSafety[Date],$A63)</f>
        <v/>
      </c>
      <c r="HP63" s="62">
        <f>IF($B63=$B62,$HP62,0)+$HO63</f>
        <v/>
      </c>
      <c r="HQ63" s="62">
        <f>$HQ62+$HO63</f>
        <v/>
      </c>
      <c r="HR63" s="62">
        <f>SUMIFS(tblSafety[Near_Miss],tblSafety[Date],$A63)</f>
        <v/>
      </c>
      <c r="HS63" s="62">
        <f>IF($B63=$B62,$HS62,0)+$HR63</f>
        <v/>
      </c>
      <c r="HT63" s="62">
        <f>$HT62+$HR63</f>
        <v/>
      </c>
      <c r="HU63" s="62">
        <f>SUMIFS(tblSafety[Hazard_Reports],tblSafety[Date],$A63)</f>
        <v/>
      </c>
      <c r="HV63" s="62">
        <f>IF($B63=$B62,$HV62,0)+$HU63</f>
        <v/>
      </c>
      <c r="HW63" s="62">
        <f>$HW62+$HU63</f>
        <v/>
      </c>
      <c r="HX63" s="62">
        <f>SUMIFS(tblSafety[HPI],tblSafety[Date],$A63)</f>
        <v/>
      </c>
      <c r="HY63" s="62">
        <f>IF($B63=$B62,$HY62,0)+$HX63</f>
        <v/>
      </c>
      <c r="HZ63" s="62">
        <f>$HZ62+$HX63</f>
        <v/>
      </c>
      <c r="IA63" s="62">
        <f>SUMIFS(tblSafety[Env_Incidents],tblSafety[Date],$A63)</f>
        <v/>
      </c>
      <c r="IB63" s="62">
        <f>IF($B63=$B62,$IB62,0)+$IA63</f>
        <v/>
      </c>
      <c r="IC63" s="62">
        <f>$IC62+$IA63</f>
        <v/>
      </c>
      <c r="ID63" s="62">
        <f>SUMIFS(tblSafety[Community_Incidents],tblSafety[Date],$A63)</f>
        <v/>
      </c>
      <c r="IE63" s="62">
        <f>IF($B63=$B62,$IE62,0)+$ID63</f>
        <v/>
      </c>
      <c r="IF63" s="62">
        <f>$IF62+$ID63</f>
        <v/>
      </c>
      <c r="IG63" s="62">
        <f>SUMIFS(tblSafety[Vehicle_Incidents],tblSafety[Date],$A63)</f>
        <v/>
      </c>
      <c r="IH63" s="62">
        <f>IF($B63=$B62,$IH62,0)+$IG63</f>
        <v/>
      </c>
      <c r="II63" s="62">
        <f>$II62+$IG63</f>
        <v/>
      </c>
      <c r="IJ63" s="62">
        <f>SUMIFS(tblSafety[Toolbox_Talks],tblSafety[Date],$A63)</f>
        <v/>
      </c>
      <c r="IK63" s="62">
        <f>IF($B63=$B62,$IK62,0)+$IJ63</f>
        <v/>
      </c>
      <c r="IL63" s="62">
        <f>$IL62+$IJ63</f>
        <v/>
      </c>
      <c r="IM63" s="62">
        <f>SUMIFS(tblSafety[Inspections],tblSafety[Date],$A63)</f>
        <v/>
      </c>
      <c r="IN63" s="62">
        <f>IF($B63=$B62,$IN62,0)+$IM63</f>
        <v/>
      </c>
      <c r="IO63" s="62">
        <f>$IO62+$IM63</f>
        <v/>
      </c>
      <c r="IP63" s="56">
        <f>IFERROR((SUMIFS(tblSafety[Recordables],tblSafety[Date],"&gt;="&amp;EDATE($E63,-12),tblSafety[Date],"&lt;="&amp;$A63)+SUMIFS(tblSafetyHistory[Recordables],tblSafetyHistory[Month],"&gt;="&amp;EDATE($E63,-12),tblSafetyHistory[Month],"&lt;"&amp;$E63,tblSafetyHistory[Use],1))/(SUMIFS(tblSafety[Hours_Total],tblSafety[Date],"&gt;="&amp;EDATE($E63,-12),tblSafety[Date],"&lt;="&amp;$A63)+SUMIFS(tblSafetyHistory[Hours_Total],tblSafetyHistory[Month],"&gt;="&amp;EDATE($E63,-12),tblSafetyHistory[Month],"&lt;"&amp;$E63,tblSafetyHistory[Use],1))*cfg_RateBasisHours,"")</f>
        <v/>
      </c>
      <c r="IQ63" s="56">
        <f>IFERROR((SUMIFS(tblSafety[LTI],tblSafety[Date],"&gt;="&amp;EDATE($E63,-12),tblSafety[Date],"&lt;="&amp;$A63)+SUMIFS(tblSafetyHistory[LTI],tblSafetyHistory[Month],"&gt;="&amp;EDATE($E63,-12),tblSafetyHistory[Month],"&lt;"&amp;$E63,tblSafetyHistory[Use],1))/(SUMIFS(tblSafety[Hours_Total],tblSafety[Date],"&gt;="&amp;EDATE($E63,-12),tblSafety[Date],"&lt;="&amp;$A63)+SUMIFS(tblSafetyHistory[Hours_Total],tblSafetyHistory[Month],"&gt;="&amp;EDATE($E63,-12),tblSafetyHistory[Month],"&lt;"&amp;$E63,tblSafetyHistory[Use],1))*cfg_RateBasisHours,"")</f>
        <v/>
      </c>
      <c r="IR63" s="62">
        <f>IF(MAX(N(cfg_PriorLTIDate),_xlfn.MAXIFS(tblSafety[Date],tblSafety[LTI],"&gt;0",tblSafety[Date],"&lt;="&amp;$A63))=0,"",$A63-MAX(N(cfg_PriorLTIDate),_xlfn.MAXIFS(tblSafety[Date],tblSafety[LTI],"&gt;0",tblSafety[Date],"&lt;="&amp;$A63)))</f>
        <v/>
      </c>
      <c r="IS63" s="55">
        <f>SUMIFS(tblBudget[Ore_Mined_t],tblBudget[Month],$E63)</f>
        <v/>
      </c>
      <c r="IT63" s="55">
        <f>$IS63*$C63/$D63</f>
        <v/>
      </c>
      <c r="IU63" s="55">
        <f>SUMIFS(tblBudget[Ore_Mined_t],tblBudget[Month],"&lt;"&amp;$E63)+$IT63</f>
        <v/>
      </c>
      <c r="IV63" s="55">
        <f>SUMIFS(tblBudget[Ore_oz],tblBudget[Month],$E63)</f>
        <v/>
      </c>
      <c r="IW63" s="55">
        <f>$IV63*$C63/$D63</f>
        <v/>
      </c>
      <c r="IX63" s="55">
        <f>SUMIFS(tblBudget[Ore_oz],tblBudget[Month],"&lt;"&amp;$E63)+$IW63</f>
        <v/>
      </c>
      <c r="IY63" s="55">
        <f>SUMIFS(tblBudget[Ore_Mined_t],tblBudget[Month],$E63)</f>
        <v/>
      </c>
      <c r="IZ63" s="55">
        <f>$IY63*$C63/$D63</f>
        <v/>
      </c>
      <c r="JA63" s="55">
        <f>SUMIFS(tblBudget[Ore_Mined_t],tblBudget[Month],"&lt;"&amp;$E63)+$IZ63</f>
        <v/>
      </c>
      <c r="JB63" s="56">
        <f>IFERROR(IF(($IY63)&gt;0,($IV63*cfg_TroyOz)/($IY63),""),"")</f>
        <v/>
      </c>
      <c r="JC63" s="56">
        <f>IFERROR(IF(($IZ63)&gt;0,($IW63*cfg_TroyOz)/($IZ63),""),"")</f>
        <v/>
      </c>
      <c r="JD63" s="56">
        <f>IFERROR(IF(($JA63)&gt;0,($IX63*cfg_TroyOz)/($JA63),""),"")</f>
        <v/>
      </c>
      <c r="JE63" s="55">
        <f>SUMIFS(tblBudget[Waste_t],tblBudget[Month],$E63)</f>
        <v/>
      </c>
      <c r="JF63" s="55">
        <f>$JE63*$C63/$D63</f>
        <v/>
      </c>
      <c r="JG63" s="55">
        <f>SUMIFS(tblBudget[Waste_t],tblBudget[Month],"&lt;"&amp;$E63)+$JF63</f>
        <v/>
      </c>
      <c r="JH63" s="55">
        <f>SUMIFS(tblBudget[TMM_t],tblBudget[Month],$E63)</f>
        <v/>
      </c>
      <c r="JI63" s="55">
        <f>$JH63*$C63/$D63</f>
        <v/>
      </c>
      <c r="JJ63" s="55">
        <f>SUMIFS(tblBudget[TMM_t],tblBudget[Month],"&lt;"&amp;$E63)+$JI63</f>
        <v/>
      </c>
      <c r="JK63" s="56">
        <f>IFERROR(IF(($IS63)&gt;0,($JE63)/($IS63),""),"")</f>
        <v/>
      </c>
      <c r="JL63" s="56">
        <f>IFERROR(IF(($IT63)&gt;0,($JF63)/($IT63),""),"")</f>
        <v/>
      </c>
      <c r="JM63" s="56">
        <f>IFERROR(IF(($IU63)&gt;0,($JG63)/($IU63),""),"")</f>
        <v/>
      </c>
      <c r="JN63" s="55">
        <f>SUMIFS(tblBudget[Drill_m],tblBudget[Month],$E63)</f>
        <v/>
      </c>
      <c r="JO63" s="55">
        <f>$JN63*$C63/$D63</f>
        <v/>
      </c>
      <c r="JP63" s="55">
        <f>SUMIFS(tblBudget[Drill_m],tblBudget[Month],"&lt;"&amp;$E63)+$JO63</f>
        <v/>
      </c>
      <c r="JQ63" s="55">
        <f>SUMIFS(tblBudget[Diesel_L],tblBudget[Month],$E63)</f>
        <v/>
      </c>
      <c r="JR63" s="55">
        <f>$JQ63*$C63/$D63</f>
        <v/>
      </c>
      <c r="JS63" s="55">
        <f>SUMIFS(tblBudget[Diesel_L],tblBudget[Month],"&lt;"&amp;$E63)+$JR63</f>
        <v/>
      </c>
      <c r="JT63" s="55">
        <f>SUMIFS(tblBudget[Milled_t],tblBudget[Month],$E63)</f>
        <v/>
      </c>
      <c r="JU63" s="55">
        <f>$JT63*$C63/$D63</f>
        <v/>
      </c>
      <c r="JV63" s="55">
        <f>SUMIFS(tblBudget[Milled_t],tblBudget[Month],"&lt;"&amp;$E63)+$JU63</f>
        <v/>
      </c>
      <c r="JW63" s="55">
        <f>SUMIFS(tblBudget[Feed_oz],tblBudget[Month],$E63)</f>
        <v/>
      </c>
      <c r="JX63" s="55">
        <f>$JW63*$C63/$D63</f>
        <v/>
      </c>
      <c r="JY63" s="55">
        <f>SUMIFS(tblBudget[Feed_oz],tblBudget[Month],"&lt;"&amp;$E63)+$JX63</f>
        <v/>
      </c>
      <c r="JZ63" s="55">
        <f>SUMIFS(tblBudget[Recovered_oz],tblBudget[Month],$E63)</f>
        <v/>
      </c>
      <c r="KA63" s="55">
        <f>$JZ63*$C63/$D63</f>
        <v/>
      </c>
      <c r="KB63" s="55">
        <f>SUMIFS(tblBudget[Recovered_oz],tblBudget[Month],"&lt;"&amp;$E63)+$KA63</f>
        <v/>
      </c>
      <c r="KC63" s="55">
        <f>SUMIFS(tblBudget[Milled_t],tblBudget[Month],$E63)</f>
        <v/>
      </c>
      <c r="KD63" s="55">
        <f>$KC63*$C63/$D63</f>
        <v/>
      </c>
      <c r="KE63" s="55">
        <f>SUMIFS(tblBudget[Milled_t],tblBudget[Month],"&lt;"&amp;$E63)+$KD63</f>
        <v/>
      </c>
      <c r="KF63" s="55">
        <f>SUMIFS(tblBudget[Feed_oz],tblBudget[Month],$E63)</f>
        <v/>
      </c>
      <c r="KG63" s="55">
        <f>$KF63*$C63/$D63</f>
        <v/>
      </c>
      <c r="KH63" s="55">
        <f>SUMIFS(tblBudget[Feed_oz],tblBudget[Month],"&lt;"&amp;$E63)+$KG63</f>
        <v/>
      </c>
      <c r="KI63" s="56">
        <f>IFERROR(IF(($KC63)&gt;0,($JW63*cfg_TroyOz)/($KC63),""),"")</f>
        <v/>
      </c>
      <c r="KJ63" s="56">
        <f>IFERROR(IF(($KD63)&gt;0,($JX63*cfg_TroyOz)/($KD63),""),"")</f>
        <v/>
      </c>
      <c r="KK63" s="56">
        <f>IFERROR(IF(($KE63)&gt;0,($JY63*cfg_TroyOz)/($KE63),""),"")</f>
        <v/>
      </c>
      <c r="KL63" s="67">
        <f>IFERROR(IF(($KF63)&gt;0,($JZ63)/($KF63),""),"")</f>
        <v/>
      </c>
      <c r="KM63" s="67">
        <f>IFERROR(IF(($KG63)&gt;0,($KA63)/($KG63),""),"")</f>
        <v/>
      </c>
      <c r="KN63" s="67">
        <f>IFERROR(IF(($KH63)&gt;0,($KB63)/($KH63),""),"")</f>
        <v/>
      </c>
      <c r="KO63" s="55">
        <f>SUMIFS(tblBudget[Gold_Poured_oz],tblBudget[Month],$E63)</f>
        <v/>
      </c>
      <c r="KP63" s="55">
        <f>$KO63*$C63/$D63</f>
        <v/>
      </c>
      <c r="KQ63" s="55">
        <f>SUMIFS(tblBudget[Gold_Poured_oz],tblBudget[Month],"&lt;"&amp;$E63)+$KP63</f>
        <v/>
      </c>
      <c r="KR63" s="57">
        <f>SUMIFS(tblBudget[Hours_Worked],tblBudget[Month],$E63)</f>
        <v/>
      </c>
      <c r="KS63" s="57">
        <f>$KR63*$C63/$D63</f>
        <v/>
      </c>
      <c r="KT63" s="57">
        <f>SUMIFS(tblBudget[Hours_Worked],tblBudget[Month],"&lt;"&amp;$E63)+$KS63</f>
        <v/>
      </c>
    </row>
    <row r="64">
      <c r="A64" s="54" t="n">
        <v>46085</v>
      </c>
      <c r="B64">
        <f>MONTH($A64)</f>
        <v/>
      </c>
      <c r="C64">
        <f>DAY($A64)</f>
        <v/>
      </c>
      <c r="D64">
        <f>DAY(EOMONTH($A64,0))</f>
        <v/>
      </c>
      <c r="E64" s="54">
        <f>DATE(YEAR($A64),MONTH($A64),1)</f>
        <v/>
      </c>
      <c r="F64" s="55">
        <f>SUMIFS(tblMovement[Tonnes_t],tblMovement[Date],$A64,tblMovement[Is_Ore],1,tblMovement[Source_Type],"Pit")</f>
        <v/>
      </c>
      <c r="G64" s="55">
        <f>IF($B64=$B63,$G63,0)+$F64</f>
        <v/>
      </c>
      <c r="H64" s="55">
        <f>$H63+$F64</f>
        <v/>
      </c>
      <c r="I64" s="55">
        <f>SUMIFS(tblMovement[Ore_oz],tblMovement[Date],$A64,tblMovement[Source_Type],"Pit")</f>
        <v/>
      </c>
      <c r="J64" s="55">
        <f>IF($B64=$B63,$J63,0)+$I64</f>
        <v/>
      </c>
      <c r="K64" s="55">
        <f>$K63+$I64</f>
        <v/>
      </c>
      <c r="L64" s="55">
        <f>SUMIFS(tblMovement[Tonnes_t],tblMovement[Date],$A64,tblMovement[Is_Ore],1,tblMovement[Source_Type],"Pit",tblMovement[Grade_gpt],"&lt;&gt;")</f>
        <v/>
      </c>
      <c r="M64" s="55">
        <f>IF($B64=$B63,$M63,0)+$L64</f>
        <v/>
      </c>
      <c r="N64" s="55">
        <f>$N63+$L64</f>
        <v/>
      </c>
      <c r="O64" s="56">
        <f>IFERROR(IF(($L64)&gt;0,($I64*cfg_TroyOz)/($L64),""),"")</f>
        <v/>
      </c>
      <c r="P64" s="56">
        <f>IFERROR(IF(($M64)&gt;0,($J64*cfg_TroyOz)/($M64),""),"")</f>
        <v/>
      </c>
      <c r="Q64" s="56">
        <f>IFERROR(IF(($N64)&gt;0,($K64*cfg_TroyOz)/($N64),""),"")</f>
        <v/>
      </c>
      <c r="R64" s="55">
        <f>$F64-$L64</f>
        <v/>
      </c>
      <c r="S64" s="55">
        <f>IF($B64=$B63,$S63,0)+$R64</f>
        <v/>
      </c>
      <c r="T64" s="55">
        <f>$T63+$R64</f>
        <v/>
      </c>
      <c r="U64" s="55">
        <f>SUMIFS(tblMovement[Tonnes_t],tblMovement[Date],$A64,tblMovement[Is_Ore],0,tblMovement[Source_Type],"Pit")</f>
        <v/>
      </c>
      <c r="V64" s="55">
        <f>IF($B64=$B63,$V63,0)+$U64</f>
        <v/>
      </c>
      <c r="W64" s="55">
        <f>$W63+$U64</f>
        <v/>
      </c>
      <c r="X64" s="55">
        <f>$F64+$U64</f>
        <v/>
      </c>
      <c r="Y64" s="55">
        <f>IF($B64=$B63,$Y63,0)+$X64</f>
        <v/>
      </c>
      <c r="Z64" s="55">
        <f>$Z63+$X64</f>
        <v/>
      </c>
      <c r="AA64" s="56">
        <f>IFERROR(IF(($F64)&gt;0,($U64)/($F64),""),"")</f>
        <v/>
      </c>
      <c r="AB64" s="56">
        <f>IFERROR(IF(($G64)&gt;0,($V64)/($G64),""),"")</f>
        <v/>
      </c>
      <c r="AC64" s="56">
        <f>IFERROR(IF(($H64)&gt;0,($W64)/($H64),""),"")</f>
        <v/>
      </c>
      <c r="AD64" s="55">
        <f>SUMIFS(tblMovement[Tonnes_t],tblMovement[Date],$A64,tblMovement[Source_Type],"Stockpile")</f>
        <v/>
      </c>
      <c r="AE64" s="55">
        <f>IF($B64=$B63,$AE63,0)+$AD64</f>
        <v/>
      </c>
      <c r="AF64" s="55">
        <f>$AF63+$AD64</f>
        <v/>
      </c>
      <c r="AG64" s="55">
        <f>SUMIFS(tblMovement[Tonnes_t],tblMovement[Date],$A64)</f>
        <v/>
      </c>
      <c r="AH64" s="55">
        <f>IF($B64=$B63,$AH63,0)+$AG64</f>
        <v/>
      </c>
      <c r="AI64" s="55">
        <f>$AI63+$AG64</f>
        <v/>
      </c>
      <c r="AJ64" s="55">
        <f>$AG64-$X64-$AD64</f>
        <v/>
      </c>
      <c r="AK64" s="55">
        <f>IF($B64=$B63,$AK63,0)+$AJ64</f>
        <v/>
      </c>
      <c r="AL64" s="55">
        <f>$AL63+$AJ64</f>
        <v/>
      </c>
      <c r="AM64" s="55">
        <f>SUMIFS(tblMiningDaily[Drill_m],tblMiningDaily[Date],$A64)</f>
        <v/>
      </c>
      <c r="AN64" s="55">
        <f>IF($B64=$B63,$AN63,0)+$AM64</f>
        <v/>
      </c>
      <c r="AO64" s="55">
        <f>$AO63+$AM64</f>
        <v/>
      </c>
      <c r="AP64" s="55">
        <f>SUMIFS(tblMiningDaily[GC_Drill_m],tblMiningDaily[Date],$A64)</f>
        <v/>
      </c>
      <c r="AQ64" s="55">
        <f>IF($B64=$B63,$AQ63,0)+$AP64</f>
        <v/>
      </c>
      <c r="AR64" s="55">
        <f>$AR63+$AP64</f>
        <v/>
      </c>
      <c r="AS64" s="55">
        <f>SUMIFS(tblMiningDaily[Blast_t],tblMiningDaily[Date],$A64)</f>
        <v/>
      </c>
      <c r="AT64" s="55">
        <f>IF($B64=$B63,$AT63,0)+$AS64</f>
        <v/>
      </c>
      <c r="AU64" s="55">
        <f>$AU63+$AS64</f>
        <v/>
      </c>
      <c r="AV64" s="55">
        <f>SUMIFS(tblMiningDaily[Explosives_kg],tblMiningDaily[Date],$A64)</f>
        <v/>
      </c>
      <c r="AW64" s="55">
        <f>IF($B64=$B63,$AW63,0)+$AV64</f>
        <v/>
      </c>
      <c r="AX64" s="55">
        <f>$AX63+$AV64</f>
        <v/>
      </c>
      <c r="AY64" s="56">
        <f>IFERROR(IF(($AS64)&gt;0,($AV64)/($AS64),""),"")</f>
        <v/>
      </c>
      <c r="AZ64" s="56">
        <f>IFERROR(IF(($AT64)&gt;0,($AW64)/($AT64),""),"")</f>
        <v/>
      </c>
      <c r="BA64" s="56">
        <f>IFERROR(IF(($AU64)&gt;0,($AX64)/($AU64),""),"")</f>
        <v/>
      </c>
      <c r="BB64" s="55">
        <f>SUMIFS(tblMiningDaily[Diesel_L],tblMiningDaily[Date],$A64)</f>
        <v/>
      </c>
      <c r="BC64" s="55">
        <f>IF($B64=$B63,$BC63,0)+$BB64</f>
        <v/>
      </c>
      <c r="BD64" s="55">
        <f>$BD63+$BB64</f>
        <v/>
      </c>
      <c r="BE64" s="55">
        <f>SUMIFS(tblMiningDaily[Dewatering_m3],tblMiningDaily[Date],$A64)</f>
        <v/>
      </c>
      <c r="BF64" s="55">
        <f>IF($B64=$B63,$BF63,0)+$BE64</f>
        <v/>
      </c>
      <c r="BG64" s="55">
        <f>$BG63+$BE64</f>
        <v/>
      </c>
      <c r="BH64" s="57">
        <f>SUMIFS(tblFleet[Calendar_h],tblFleet[Date],$A64,tblFleet[Equipment_Class],"Excavator")</f>
        <v/>
      </c>
      <c r="BI64" s="57">
        <f>IF($B64=$B63,$BI63,0)+$BH64</f>
        <v/>
      </c>
      <c r="BJ64" s="57">
        <f>$BJ63+$BH64</f>
        <v/>
      </c>
      <c r="BK64" s="57">
        <f>SUMIFS(tblFleet[Available_h],tblFleet[Date],$A64,tblFleet[Equipment_Class],"Excavator")</f>
        <v/>
      </c>
      <c r="BL64" s="57">
        <f>IF($B64=$B63,$BL63,0)+$BK64</f>
        <v/>
      </c>
      <c r="BM64" s="57">
        <f>$BM63+$BK64</f>
        <v/>
      </c>
      <c r="BN64" s="57">
        <f>SUMIFS(tblFleet[Operating_h],tblFleet[Date],$A64,tblFleet[Equipment_Class],"Excavator")</f>
        <v/>
      </c>
      <c r="BO64" s="57">
        <f>IF($B64=$B63,$BO63,0)+$BN64</f>
        <v/>
      </c>
      <c r="BP64" s="57">
        <f>$BP63+$BN64</f>
        <v/>
      </c>
      <c r="BQ64" s="67">
        <f>IFERROR(IF(($BH64)&gt;0,($BK64)/($BH64),""),"")</f>
        <v/>
      </c>
      <c r="BR64" s="67">
        <f>IFERROR(IF(($BI64)&gt;0,($BL64)/($BI64),""),"")</f>
        <v/>
      </c>
      <c r="BS64" s="67">
        <f>IFERROR(IF(($BJ64)&gt;0,($BM64)/($BJ64),""),"")</f>
        <v/>
      </c>
      <c r="BT64" s="67">
        <f>IFERROR(IF(($BK64)&gt;0,($BN64)/($BK64),""),"")</f>
        <v/>
      </c>
      <c r="BU64" s="67">
        <f>IFERROR(IF(($BL64)&gt;0,($BO64)/($BL64),""),"")</f>
        <v/>
      </c>
      <c r="BV64" s="67">
        <f>IFERROR(IF(($BM64)&gt;0,($BP64)/($BM64),""),"")</f>
        <v/>
      </c>
      <c r="BW64" s="57">
        <f>SUMIFS(tblFleet[Calendar_h],tblFleet[Date],$A64,tblFleet[Equipment_Class],"Haul Truck")</f>
        <v/>
      </c>
      <c r="BX64" s="57">
        <f>IF($B64=$B63,$BX63,0)+$BW64</f>
        <v/>
      </c>
      <c r="BY64" s="57">
        <f>$BY63+$BW64</f>
        <v/>
      </c>
      <c r="BZ64" s="57">
        <f>SUMIFS(tblFleet[Available_h],tblFleet[Date],$A64,tblFleet[Equipment_Class],"Haul Truck")</f>
        <v/>
      </c>
      <c r="CA64" s="57">
        <f>IF($B64=$B63,$CA63,0)+$BZ64</f>
        <v/>
      </c>
      <c r="CB64" s="57">
        <f>$CB63+$BZ64</f>
        <v/>
      </c>
      <c r="CC64" s="57">
        <f>SUMIFS(tblFleet[Operating_h],tblFleet[Date],$A64,tblFleet[Equipment_Class],"Haul Truck")</f>
        <v/>
      </c>
      <c r="CD64" s="57">
        <f>IF($B64=$B63,$CD63,0)+$CC64</f>
        <v/>
      </c>
      <c r="CE64" s="57">
        <f>$CE63+$CC64</f>
        <v/>
      </c>
      <c r="CF64" s="67">
        <f>IFERROR(IF(($BW64)&gt;0,($BZ64)/($BW64),""),"")</f>
        <v/>
      </c>
      <c r="CG64" s="67">
        <f>IFERROR(IF(($BX64)&gt;0,($CA64)/($BX64),""),"")</f>
        <v/>
      </c>
      <c r="CH64" s="67">
        <f>IFERROR(IF(($BY64)&gt;0,($CB64)/($BY64),""),"")</f>
        <v/>
      </c>
      <c r="CI64" s="67">
        <f>IFERROR(IF(($BZ64)&gt;0,($CC64)/($BZ64),""),"")</f>
        <v/>
      </c>
      <c r="CJ64" s="67">
        <f>IFERROR(IF(($CA64)&gt;0,($CD64)/($CA64),""),"")</f>
        <v/>
      </c>
      <c r="CK64" s="67">
        <f>IFERROR(IF(($CB64)&gt;0,($CE64)/($CB64),""),"")</f>
        <v/>
      </c>
      <c r="CL64" s="55">
        <f>IFERROR(IF(($BN64)&gt;0,($X64+$AD64)/($BN64),""),"")</f>
        <v/>
      </c>
      <c r="CM64" s="55">
        <f>IFERROR(IF(($BO64)&gt;0,($Y64+$AE64)/($BO64),""),"")</f>
        <v/>
      </c>
      <c r="CN64" s="55">
        <f>IFERROR(IF(($BP64)&gt;0,($Z64+$AF64)/($BP64),""),"")</f>
        <v/>
      </c>
      <c r="CO64" s="55">
        <f>IFERROR(IF(($CC64)&gt;0,($X64+$AD64)/($CC64),""),"")</f>
        <v/>
      </c>
      <c r="CP64" s="55">
        <f>IFERROR(IF(($CD64)&gt;0,($Y64+$AE64)/($CD64),""),"")</f>
        <v/>
      </c>
      <c r="CQ64" s="55">
        <f>IFERROR(IF(($CE64)&gt;0,($Z64+$AF64)/($CE64),""),"")</f>
        <v/>
      </c>
      <c r="CR64" s="55">
        <f>SUMIFS(tblPlant[Crushed_t],tblPlant[Date],$A64)</f>
        <v/>
      </c>
      <c r="CS64" s="55">
        <f>IF($B64=$B63,$CS63,0)+$CR64</f>
        <v/>
      </c>
      <c r="CT64" s="55">
        <f>$CT63+$CR64</f>
        <v/>
      </c>
      <c r="CU64" s="55">
        <f>SUMIFS(tblPlant[Milled_t],tblPlant[Date],$A64)</f>
        <v/>
      </c>
      <c r="CV64" s="55">
        <f>IF($B64=$B63,$CV63,0)+$CU64</f>
        <v/>
      </c>
      <c r="CW64" s="55">
        <f>$CW63+$CU64</f>
        <v/>
      </c>
      <c r="CX64" s="55">
        <f>SUMIFS(tblPlant[Feed_oz],tblPlant[Date],$A64)</f>
        <v/>
      </c>
      <c r="CY64" s="55">
        <f>IF($B64=$B63,$CY63,0)+$CX64</f>
        <v/>
      </c>
      <c r="CZ64" s="55">
        <f>$CZ63+$CX64</f>
        <v/>
      </c>
      <c r="DA64" s="55">
        <f>SUMIFS(tblPlant[Tails_oz],tblPlant[Date],$A64)</f>
        <v/>
      </c>
      <c r="DB64" s="55">
        <f>IF($B64=$B63,$DB63,0)+$DA64</f>
        <v/>
      </c>
      <c r="DC64" s="55">
        <f>$DC63+$DA64</f>
        <v/>
      </c>
      <c r="DD64" s="55">
        <f>SUMIFS(tblPlant[Recovered_oz],tblPlant[Date],$A64)</f>
        <v/>
      </c>
      <c r="DE64" s="55">
        <f>IF($B64=$B63,$DE63,0)+$DD64</f>
        <v/>
      </c>
      <c r="DF64" s="55">
        <f>$DF63+$DD64</f>
        <v/>
      </c>
      <c r="DG64" s="55">
        <f>SUMIFS(tblPlant[Milled_t],tblPlant[Date],$A64,tblPlant[Head_Grade_gpt],"&lt;&gt;")</f>
        <v/>
      </c>
      <c r="DH64" s="55">
        <f>IF($B64=$B63,$DH63,0)+$DG64</f>
        <v/>
      </c>
      <c r="DI64" s="55">
        <f>$DI63+$DG64</f>
        <v/>
      </c>
      <c r="DJ64" s="55">
        <f>SUMIFS(tblPlant[Milled_t],tblPlant[Date],$A64,tblPlant[Tails_Grade_gpt],"&lt;&gt;")</f>
        <v/>
      </c>
      <c r="DK64" s="55">
        <f>IF($B64=$B63,$DK63,0)+$DJ64</f>
        <v/>
      </c>
      <c r="DL64" s="55">
        <f>$DL63+$DJ64</f>
        <v/>
      </c>
      <c r="DM64" s="55">
        <f>SUMIFS(tblPlant[Feed_oz],tblPlant[Date],$A64,tblPlant[Tails_Grade_gpt],"&lt;&gt;")</f>
        <v/>
      </c>
      <c r="DN64" s="55">
        <f>IF($B64=$B63,$DN63,0)+$DM64</f>
        <v/>
      </c>
      <c r="DO64" s="55">
        <f>$DO63+$DM64</f>
        <v/>
      </c>
      <c r="DP64" s="55">
        <f>SUMIFS(tblPlant[Milled_t],tblPlant[Date],$A64,tblPlant[Mill_Run_h],"&lt;&gt;")</f>
        <v/>
      </c>
      <c r="DQ64" s="55">
        <f>IF($B64=$B63,$DQ63,0)+$DP64</f>
        <v/>
      </c>
      <c r="DR64" s="55">
        <f>$DR63+$DP64</f>
        <v/>
      </c>
      <c r="DS64" s="56">
        <f>IFERROR(IF(($DG64)&gt;0,($CX64*cfg_TroyOz)/($DG64),""),"")</f>
        <v/>
      </c>
      <c r="DT64" s="56">
        <f>IFERROR(IF(($DH64)&gt;0,($CY64*cfg_TroyOz)/($DH64),""),"")</f>
        <v/>
      </c>
      <c r="DU64" s="56">
        <f>IFERROR(IF(($DI64)&gt;0,($CZ64*cfg_TroyOz)/($DI64),""),"")</f>
        <v/>
      </c>
      <c r="DV64" s="56">
        <f>IFERROR(IF(($DJ64)&gt;0,($DA64*cfg_TroyOz)/($DJ64),""),"")</f>
        <v/>
      </c>
      <c r="DW64" s="56">
        <f>IFERROR(IF(($DK64)&gt;0,($DB64*cfg_TroyOz)/($DK64),""),"")</f>
        <v/>
      </c>
      <c r="DX64" s="56">
        <f>IFERROR(IF(($DL64)&gt;0,($DC64*cfg_TroyOz)/($DL64),""),"")</f>
        <v/>
      </c>
      <c r="DY64" s="67">
        <f>IFERROR(IF(($DM64)&gt;0,($DD64)/($DM64),""),"")</f>
        <v/>
      </c>
      <c r="DZ64" s="67">
        <f>IFERROR(IF(($DN64)&gt;0,($DE64)/($DN64),""),"")</f>
        <v/>
      </c>
      <c r="EA64" s="67">
        <f>IFERROR(IF(($DO64)&gt;0,($DF64)/($DO64),""),"")</f>
        <v/>
      </c>
      <c r="EB64" s="55">
        <f>SUMIFS(tblPlant[Gravity_Gold_oz],tblPlant[Date],$A64)</f>
        <v/>
      </c>
      <c r="EC64" s="55">
        <f>IF($B64=$B63,$EC63,0)+$EB64</f>
        <v/>
      </c>
      <c r="ED64" s="55">
        <f>$ED63+$EB64</f>
        <v/>
      </c>
      <c r="EE64" s="67">
        <f>IFERROR(IF(($DD64)&gt;0,($EB64)/($DD64),""),"")</f>
        <v/>
      </c>
      <c r="EF64" s="67">
        <f>IFERROR(IF(($DE64)&gt;0,($EC64)/($DE64),""),"")</f>
        <v/>
      </c>
      <c r="EG64" s="67">
        <f>IFERROR(IF(($DF64)&gt;0,($ED64)/($DF64),""),"")</f>
        <v/>
      </c>
      <c r="EH64" s="55">
        <f>SUMIFS(tblPlant[Gold_Poured_oz],tblPlant[Date],$A64)</f>
        <v/>
      </c>
      <c r="EI64" s="55">
        <f>IF($B64=$B63,$EI63,0)+$EH64</f>
        <v/>
      </c>
      <c r="EJ64" s="55">
        <f>$EJ63+$EH64</f>
        <v/>
      </c>
      <c r="EK64" s="57">
        <f>SUMIFS(tblPlant[Mill_Run_h],tblPlant[Date],$A64)</f>
        <v/>
      </c>
      <c r="EL64" s="57">
        <f>IF($B64=$B63,$EL63,0)+$EK64</f>
        <v/>
      </c>
      <c r="EM64" s="57">
        <f>$EM63+$EK64</f>
        <v/>
      </c>
      <c r="EN64" s="57">
        <f>SUMIFS(tblPlant[Mill_Planned_Maint_h],tblPlant[Date],$A64)</f>
        <v/>
      </c>
      <c r="EO64" s="57">
        <f>IF($B64=$B63,$EO63,0)+$EN64</f>
        <v/>
      </c>
      <c r="EP64" s="57">
        <f>$EP63+$EN64</f>
        <v/>
      </c>
      <c r="EQ64" s="57">
        <f>SUMIFS(tblPlant[Mill_Unplanned_Down_h],tblPlant[Date],$A64)</f>
        <v/>
      </c>
      <c r="ER64" s="57">
        <f>IF($B64=$B63,$ER63,0)+$EQ64</f>
        <v/>
      </c>
      <c r="ES64" s="57">
        <f>$ES63+$EQ64</f>
        <v/>
      </c>
      <c r="ET64" s="57">
        <f>IF(COUNTIFS(tblPlant[Date],$A64,tblPlant[Mill_Run_h],"&lt;&gt;")+COUNTIFS(tblPlant[Date],$A64,tblPlant[Mill_Planned_Maint_h],"&lt;&gt;")+COUNTIFS(tblPlant[Date],$A64,tblPlant[Mill_Unplanned_Down_h],"&lt;&gt;")&gt;0,cfg_HoursPerDay,0)</f>
        <v/>
      </c>
      <c r="EU64" s="57">
        <f>IF($B64=$B63,$EU63,0)+$ET64</f>
        <v/>
      </c>
      <c r="EV64" s="57">
        <f>$EV63+$ET64</f>
        <v/>
      </c>
      <c r="EW64" s="57">
        <f>SUMIFS(tblPlant[Crusher_Run_h],tblPlant[Date],$A64)</f>
        <v/>
      </c>
      <c r="EX64" s="57">
        <f>IF($B64=$B63,$EX63,0)+$EW64</f>
        <v/>
      </c>
      <c r="EY64" s="57">
        <f>$EY63+$EW64</f>
        <v/>
      </c>
      <c r="EZ64" s="55">
        <f>IFERROR(IF(($EK64)&gt;0,($DP64)/($EK64),""),"")</f>
        <v/>
      </c>
      <c r="FA64" s="55">
        <f>IFERROR(IF(($EL64)&gt;0,($DQ64)/($EL64),""),"")</f>
        <v/>
      </c>
      <c r="FB64" s="55">
        <f>IFERROR(IF(($EM64)&gt;0,($DR64)/($EM64),""),"")</f>
        <v/>
      </c>
      <c r="FC64" s="67">
        <f>IFERROR(IF(($ET64)&gt;0,($ET64-$EN64-$EQ64)/($ET64),""),"")</f>
        <v/>
      </c>
      <c r="FD64" s="67">
        <f>IFERROR(IF(($EU64)&gt;0,($EU64-$EO64-$ER64)/($EU64),""),"")</f>
        <v/>
      </c>
      <c r="FE64" s="67">
        <f>IFERROR(IF(($EV64)&gt;0,($EV64-$EP64-$ES64)/($EV64),""),"")</f>
        <v/>
      </c>
      <c r="FF64" s="67">
        <f>IFERROR(IF(($ET64-$EN64-$EQ64)&gt;0,($EK64)/($ET64-$EN64-$EQ64),""),"")</f>
        <v/>
      </c>
      <c r="FG64" s="67">
        <f>IFERROR(IF(($EU64-$EO64-$ER64)&gt;0,($EL64)/($EU64-$EO64-$ER64),""),"")</f>
        <v/>
      </c>
      <c r="FH64" s="67">
        <f>IFERROR(IF(($EV64-$EP64-$ES64)&gt;0,($EM64)/($EV64-$EP64-$ES64),""),"")</f>
        <v/>
      </c>
      <c r="FI64" s="55">
        <f>SUMIFS(tblPlant[Cyanide_kg],tblPlant[Date],$A64)</f>
        <v/>
      </c>
      <c r="FJ64" s="55">
        <f>IF($B64=$B63,$FJ63,0)+$FI64</f>
        <v/>
      </c>
      <c r="FK64" s="55">
        <f>$FK63+$FI64</f>
        <v/>
      </c>
      <c r="FL64" s="55">
        <f>SUMIFS(tblPlant[Lime_kg],tblPlant[Date],$A64)</f>
        <v/>
      </c>
      <c r="FM64" s="55">
        <f>IF($B64=$B63,$FM63,0)+$FL64</f>
        <v/>
      </c>
      <c r="FN64" s="55">
        <f>$FN63+$FL64</f>
        <v/>
      </c>
      <c r="FO64" s="55">
        <f>SUMIFS(tblPlant[Grinding_Media_kg],tblPlant[Date],$A64)</f>
        <v/>
      </c>
      <c r="FP64" s="55">
        <f>IF($B64=$B63,$FP63,0)+$FO64</f>
        <v/>
      </c>
      <c r="FQ64" s="55">
        <f>$FQ63+$FO64</f>
        <v/>
      </c>
      <c r="FR64" s="55">
        <f>SUMIFS(tblPlant[Power_kWh],tblPlant[Date],$A64)</f>
        <v/>
      </c>
      <c r="FS64" s="55">
        <f>IF($B64=$B63,$FS63,0)+$FR64</f>
        <v/>
      </c>
      <c r="FT64" s="55">
        <f>$FT63+$FR64</f>
        <v/>
      </c>
      <c r="FU64" s="55">
        <f>SUMIFS(tblPlant[Raw_Water_m3],tblPlant[Date],$A64)</f>
        <v/>
      </c>
      <c r="FV64" s="55">
        <f>IF($B64=$B63,$FV63,0)+$FU64</f>
        <v/>
      </c>
      <c r="FW64" s="55">
        <f>$FW63+$FU64</f>
        <v/>
      </c>
      <c r="FX64" s="56">
        <f>IFERROR(IF(($CU64)&gt;0,($FI64)/($CU64),""),"")</f>
        <v/>
      </c>
      <c r="FY64" s="56">
        <f>IFERROR(IF(($CV64)&gt;0,($FJ64)/($CV64),""),"")</f>
        <v/>
      </c>
      <c r="FZ64" s="56">
        <f>IFERROR(IF(($CW64)&gt;0,($FK64)/($CW64),""),"")</f>
        <v/>
      </c>
      <c r="GA64" s="56">
        <f>IFERROR(IF(($CU64)&gt;0,($FL64)/($CU64),""),"")</f>
        <v/>
      </c>
      <c r="GB64" s="56">
        <f>IFERROR(IF(($CV64)&gt;0,($FM64)/($CV64),""),"")</f>
        <v/>
      </c>
      <c r="GC64" s="56">
        <f>IFERROR(IF(($CW64)&gt;0,($FN64)/($CW64),""),"")</f>
        <v/>
      </c>
      <c r="GD64" s="56">
        <f>IFERROR(IF(($CU64)&gt;0,($FO64)/($CU64),""),"")</f>
        <v/>
      </c>
      <c r="GE64" s="56">
        <f>IFERROR(IF(($CV64)&gt;0,($FP64)/($CV64),""),"")</f>
        <v/>
      </c>
      <c r="GF64" s="56">
        <f>IFERROR(IF(($CW64)&gt;0,($FQ64)/($CW64),""),"")</f>
        <v/>
      </c>
      <c r="GG64" s="79">
        <f>IFERROR(IF(($CU64)&gt;0,($FR64)/($CU64),""),"")</f>
        <v/>
      </c>
      <c r="GH64" s="79">
        <f>IFERROR(IF(($CV64)&gt;0,($FS64)/($CV64),""),"")</f>
        <v/>
      </c>
      <c r="GI64" s="79">
        <f>IFERROR(IF(($CW64)&gt;0,($FT64)/($CW64),""),"")</f>
        <v/>
      </c>
      <c r="GJ64" s="56">
        <f>IFERROR(IF(($CU64)&gt;0,($FU64)/($CU64),""),"")</f>
        <v/>
      </c>
      <c r="GK64" s="56">
        <f>IFERROR(IF(($CV64)&gt;0,($FV64)/($CV64),""),"")</f>
        <v/>
      </c>
      <c r="GL64" s="56">
        <f>IFERROR(IF(($CW64)&gt;0,($FW64)/($CW64),""),"")</f>
        <v/>
      </c>
      <c r="GM64" s="55">
        <f>IF(SUMIFS(tblPlant[GIC_oz],tblPlant[Date],$A64)&gt;0,SUMIFS(tblPlant[GIC_oz],tblPlant[Date],$A64),"")</f>
        <v/>
      </c>
      <c r="GN64" s="55">
        <f>SUMIFS(tblGold[Gold_oz],tblGold[Date],$A64,tblGold[Type],"Shipment")</f>
        <v/>
      </c>
      <c r="GO64" s="55">
        <f>IF($B64=$B63,$GO63,0)+$GN64</f>
        <v/>
      </c>
      <c r="GP64" s="55">
        <f>$GP63+$GN64</f>
        <v/>
      </c>
      <c r="GQ64" s="55">
        <f>SUMIFS(tblGold[Gold_oz],tblGold[Date],$A64,tblGold[Type],"Sale")</f>
        <v/>
      </c>
      <c r="GR64" s="55">
        <f>IF($B64=$B63,$GR63,0)+$GQ64</f>
        <v/>
      </c>
      <c r="GS64" s="55">
        <f>$GS63+$GQ64</f>
        <v/>
      </c>
      <c r="GT64" s="55">
        <f>SUMIFS(tblGold[Dore_kg],tblGold[Date],$A64,tblGold[Type],"Shipment")</f>
        <v/>
      </c>
      <c r="GU64" s="55">
        <f>IF($B64=$B63,$GU63,0)+$GT64</f>
        <v/>
      </c>
      <c r="GV64" s="55">
        <f>$GV63+$GT64</f>
        <v/>
      </c>
      <c r="GW64" s="57">
        <f>SUMIFS(tblSafety[Hours_Total],tblSafety[Date],$A64)</f>
        <v/>
      </c>
      <c r="GX64" s="57">
        <f>IF($B64=$B63,$GX63,0)+$GW64</f>
        <v/>
      </c>
      <c r="GY64" s="57">
        <f>$GY63+$GW64</f>
        <v/>
      </c>
      <c r="GZ64" s="62">
        <f>SUMIFS(tblSafety[Fatality],tblSafety[Date],$A64)</f>
        <v/>
      </c>
      <c r="HA64" s="62">
        <f>IF($B64=$B63,$HA63,0)+$GZ64</f>
        <v/>
      </c>
      <c r="HB64" s="62">
        <f>$HB63+$GZ64</f>
        <v/>
      </c>
      <c r="HC64" s="62">
        <f>SUMIFS(tblSafety[LTI],tblSafety[Date],$A64)</f>
        <v/>
      </c>
      <c r="HD64" s="62">
        <f>IF($B64=$B63,$HD63,0)+$HC64</f>
        <v/>
      </c>
      <c r="HE64" s="62">
        <f>$HE63+$HC64</f>
        <v/>
      </c>
      <c r="HF64" s="62">
        <f>SUMIFS(tblSafety[RWI],tblSafety[Date],$A64)</f>
        <v/>
      </c>
      <c r="HG64" s="62">
        <f>IF($B64=$B63,$HG63,0)+$HF64</f>
        <v/>
      </c>
      <c r="HH64" s="62">
        <f>$HH63+$HF64</f>
        <v/>
      </c>
      <c r="HI64" s="62">
        <f>SUMIFS(tblSafety[MTI],tblSafety[Date],$A64)</f>
        <v/>
      </c>
      <c r="HJ64" s="62">
        <f>IF($B64=$B63,$HJ63,0)+$HI64</f>
        <v/>
      </c>
      <c r="HK64" s="62">
        <f>$HK63+$HI64</f>
        <v/>
      </c>
      <c r="HL64" s="62">
        <f>SUMIFS(tblSafety[FAI],tblSafety[Date],$A64)</f>
        <v/>
      </c>
      <c r="HM64" s="62">
        <f>IF($B64=$B63,$HM63,0)+$HL64</f>
        <v/>
      </c>
      <c r="HN64" s="62">
        <f>$HN63+$HL64</f>
        <v/>
      </c>
      <c r="HO64" s="62">
        <f>SUMIFS(tblSafety[Recordables],tblSafety[Date],$A64)</f>
        <v/>
      </c>
      <c r="HP64" s="62">
        <f>IF($B64=$B63,$HP63,0)+$HO64</f>
        <v/>
      </c>
      <c r="HQ64" s="62">
        <f>$HQ63+$HO64</f>
        <v/>
      </c>
      <c r="HR64" s="62">
        <f>SUMIFS(tblSafety[Near_Miss],tblSafety[Date],$A64)</f>
        <v/>
      </c>
      <c r="HS64" s="62">
        <f>IF($B64=$B63,$HS63,0)+$HR64</f>
        <v/>
      </c>
      <c r="HT64" s="62">
        <f>$HT63+$HR64</f>
        <v/>
      </c>
      <c r="HU64" s="62">
        <f>SUMIFS(tblSafety[Hazard_Reports],tblSafety[Date],$A64)</f>
        <v/>
      </c>
      <c r="HV64" s="62">
        <f>IF($B64=$B63,$HV63,0)+$HU64</f>
        <v/>
      </c>
      <c r="HW64" s="62">
        <f>$HW63+$HU64</f>
        <v/>
      </c>
      <c r="HX64" s="62">
        <f>SUMIFS(tblSafety[HPI],tblSafety[Date],$A64)</f>
        <v/>
      </c>
      <c r="HY64" s="62">
        <f>IF($B64=$B63,$HY63,0)+$HX64</f>
        <v/>
      </c>
      <c r="HZ64" s="62">
        <f>$HZ63+$HX64</f>
        <v/>
      </c>
      <c r="IA64" s="62">
        <f>SUMIFS(tblSafety[Env_Incidents],tblSafety[Date],$A64)</f>
        <v/>
      </c>
      <c r="IB64" s="62">
        <f>IF($B64=$B63,$IB63,0)+$IA64</f>
        <v/>
      </c>
      <c r="IC64" s="62">
        <f>$IC63+$IA64</f>
        <v/>
      </c>
      <c r="ID64" s="62">
        <f>SUMIFS(tblSafety[Community_Incidents],tblSafety[Date],$A64)</f>
        <v/>
      </c>
      <c r="IE64" s="62">
        <f>IF($B64=$B63,$IE63,0)+$ID64</f>
        <v/>
      </c>
      <c r="IF64" s="62">
        <f>$IF63+$ID64</f>
        <v/>
      </c>
      <c r="IG64" s="62">
        <f>SUMIFS(tblSafety[Vehicle_Incidents],tblSafety[Date],$A64)</f>
        <v/>
      </c>
      <c r="IH64" s="62">
        <f>IF($B64=$B63,$IH63,0)+$IG64</f>
        <v/>
      </c>
      <c r="II64" s="62">
        <f>$II63+$IG64</f>
        <v/>
      </c>
      <c r="IJ64" s="62">
        <f>SUMIFS(tblSafety[Toolbox_Talks],tblSafety[Date],$A64)</f>
        <v/>
      </c>
      <c r="IK64" s="62">
        <f>IF($B64=$B63,$IK63,0)+$IJ64</f>
        <v/>
      </c>
      <c r="IL64" s="62">
        <f>$IL63+$IJ64</f>
        <v/>
      </c>
      <c r="IM64" s="62">
        <f>SUMIFS(tblSafety[Inspections],tblSafety[Date],$A64)</f>
        <v/>
      </c>
      <c r="IN64" s="62">
        <f>IF($B64=$B63,$IN63,0)+$IM64</f>
        <v/>
      </c>
      <c r="IO64" s="62">
        <f>$IO63+$IM64</f>
        <v/>
      </c>
      <c r="IP64" s="56">
        <f>IFERROR((SUMIFS(tblSafety[Recordables],tblSafety[Date],"&gt;="&amp;EDATE($E64,-12),tblSafety[Date],"&lt;="&amp;$A64)+SUMIFS(tblSafetyHistory[Recordables],tblSafetyHistory[Month],"&gt;="&amp;EDATE($E64,-12),tblSafetyHistory[Month],"&lt;"&amp;$E64,tblSafetyHistory[Use],1))/(SUMIFS(tblSafety[Hours_Total],tblSafety[Date],"&gt;="&amp;EDATE($E64,-12),tblSafety[Date],"&lt;="&amp;$A64)+SUMIFS(tblSafetyHistory[Hours_Total],tblSafetyHistory[Month],"&gt;="&amp;EDATE($E64,-12),tblSafetyHistory[Month],"&lt;"&amp;$E64,tblSafetyHistory[Use],1))*cfg_RateBasisHours,"")</f>
        <v/>
      </c>
      <c r="IQ64" s="56">
        <f>IFERROR((SUMIFS(tblSafety[LTI],tblSafety[Date],"&gt;="&amp;EDATE($E64,-12),tblSafety[Date],"&lt;="&amp;$A64)+SUMIFS(tblSafetyHistory[LTI],tblSafetyHistory[Month],"&gt;="&amp;EDATE($E64,-12),tblSafetyHistory[Month],"&lt;"&amp;$E64,tblSafetyHistory[Use],1))/(SUMIFS(tblSafety[Hours_Total],tblSafety[Date],"&gt;="&amp;EDATE($E64,-12),tblSafety[Date],"&lt;="&amp;$A64)+SUMIFS(tblSafetyHistory[Hours_Total],tblSafetyHistory[Month],"&gt;="&amp;EDATE($E64,-12),tblSafetyHistory[Month],"&lt;"&amp;$E64,tblSafetyHistory[Use],1))*cfg_RateBasisHours,"")</f>
        <v/>
      </c>
      <c r="IR64" s="62">
        <f>IF(MAX(N(cfg_PriorLTIDate),_xlfn.MAXIFS(tblSafety[Date],tblSafety[LTI],"&gt;0",tblSafety[Date],"&lt;="&amp;$A64))=0,"",$A64-MAX(N(cfg_PriorLTIDate),_xlfn.MAXIFS(tblSafety[Date],tblSafety[LTI],"&gt;0",tblSafety[Date],"&lt;="&amp;$A64)))</f>
        <v/>
      </c>
      <c r="IS64" s="55">
        <f>SUMIFS(tblBudget[Ore_Mined_t],tblBudget[Month],$E64)</f>
        <v/>
      </c>
      <c r="IT64" s="55">
        <f>$IS64*$C64/$D64</f>
        <v/>
      </c>
      <c r="IU64" s="55">
        <f>SUMIFS(tblBudget[Ore_Mined_t],tblBudget[Month],"&lt;"&amp;$E64)+$IT64</f>
        <v/>
      </c>
      <c r="IV64" s="55">
        <f>SUMIFS(tblBudget[Ore_oz],tblBudget[Month],$E64)</f>
        <v/>
      </c>
      <c r="IW64" s="55">
        <f>$IV64*$C64/$D64</f>
        <v/>
      </c>
      <c r="IX64" s="55">
        <f>SUMIFS(tblBudget[Ore_oz],tblBudget[Month],"&lt;"&amp;$E64)+$IW64</f>
        <v/>
      </c>
      <c r="IY64" s="55">
        <f>SUMIFS(tblBudget[Ore_Mined_t],tblBudget[Month],$E64)</f>
        <v/>
      </c>
      <c r="IZ64" s="55">
        <f>$IY64*$C64/$D64</f>
        <v/>
      </c>
      <c r="JA64" s="55">
        <f>SUMIFS(tblBudget[Ore_Mined_t],tblBudget[Month],"&lt;"&amp;$E64)+$IZ64</f>
        <v/>
      </c>
      <c r="JB64" s="56">
        <f>IFERROR(IF(($IY64)&gt;0,($IV64*cfg_TroyOz)/($IY64),""),"")</f>
        <v/>
      </c>
      <c r="JC64" s="56">
        <f>IFERROR(IF(($IZ64)&gt;0,($IW64*cfg_TroyOz)/($IZ64),""),"")</f>
        <v/>
      </c>
      <c r="JD64" s="56">
        <f>IFERROR(IF(($JA64)&gt;0,($IX64*cfg_TroyOz)/($JA64),""),"")</f>
        <v/>
      </c>
      <c r="JE64" s="55">
        <f>SUMIFS(tblBudget[Waste_t],tblBudget[Month],$E64)</f>
        <v/>
      </c>
      <c r="JF64" s="55">
        <f>$JE64*$C64/$D64</f>
        <v/>
      </c>
      <c r="JG64" s="55">
        <f>SUMIFS(tblBudget[Waste_t],tblBudget[Month],"&lt;"&amp;$E64)+$JF64</f>
        <v/>
      </c>
      <c r="JH64" s="55">
        <f>SUMIFS(tblBudget[TMM_t],tblBudget[Month],$E64)</f>
        <v/>
      </c>
      <c r="JI64" s="55">
        <f>$JH64*$C64/$D64</f>
        <v/>
      </c>
      <c r="JJ64" s="55">
        <f>SUMIFS(tblBudget[TMM_t],tblBudget[Month],"&lt;"&amp;$E64)+$JI64</f>
        <v/>
      </c>
      <c r="JK64" s="56">
        <f>IFERROR(IF(($IS64)&gt;0,($JE64)/($IS64),""),"")</f>
        <v/>
      </c>
      <c r="JL64" s="56">
        <f>IFERROR(IF(($IT64)&gt;0,($JF64)/($IT64),""),"")</f>
        <v/>
      </c>
      <c r="JM64" s="56">
        <f>IFERROR(IF(($IU64)&gt;0,($JG64)/($IU64),""),"")</f>
        <v/>
      </c>
      <c r="JN64" s="55">
        <f>SUMIFS(tblBudget[Drill_m],tblBudget[Month],$E64)</f>
        <v/>
      </c>
      <c r="JO64" s="55">
        <f>$JN64*$C64/$D64</f>
        <v/>
      </c>
      <c r="JP64" s="55">
        <f>SUMIFS(tblBudget[Drill_m],tblBudget[Month],"&lt;"&amp;$E64)+$JO64</f>
        <v/>
      </c>
      <c r="JQ64" s="55">
        <f>SUMIFS(tblBudget[Diesel_L],tblBudget[Month],$E64)</f>
        <v/>
      </c>
      <c r="JR64" s="55">
        <f>$JQ64*$C64/$D64</f>
        <v/>
      </c>
      <c r="JS64" s="55">
        <f>SUMIFS(tblBudget[Diesel_L],tblBudget[Month],"&lt;"&amp;$E64)+$JR64</f>
        <v/>
      </c>
      <c r="JT64" s="55">
        <f>SUMIFS(tblBudget[Milled_t],tblBudget[Month],$E64)</f>
        <v/>
      </c>
      <c r="JU64" s="55">
        <f>$JT64*$C64/$D64</f>
        <v/>
      </c>
      <c r="JV64" s="55">
        <f>SUMIFS(tblBudget[Milled_t],tblBudget[Month],"&lt;"&amp;$E64)+$JU64</f>
        <v/>
      </c>
      <c r="JW64" s="55">
        <f>SUMIFS(tblBudget[Feed_oz],tblBudget[Month],$E64)</f>
        <v/>
      </c>
      <c r="JX64" s="55">
        <f>$JW64*$C64/$D64</f>
        <v/>
      </c>
      <c r="JY64" s="55">
        <f>SUMIFS(tblBudget[Feed_oz],tblBudget[Month],"&lt;"&amp;$E64)+$JX64</f>
        <v/>
      </c>
      <c r="JZ64" s="55">
        <f>SUMIFS(tblBudget[Recovered_oz],tblBudget[Month],$E64)</f>
        <v/>
      </c>
      <c r="KA64" s="55">
        <f>$JZ64*$C64/$D64</f>
        <v/>
      </c>
      <c r="KB64" s="55">
        <f>SUMIFS(tblBudget[Recovered_oz],tblBudget[Month],"&lt;"&amp;$E64)+$KA64</f>
        <v/>
      </c>
      <c r="KC64" s="55">
        <f>SUMIFS(tblBudget[Milled_t],tblBudget[Month],$E64)</f>
        <v/>
      </c>
      <c r="KD64" s="55">
        <f>$KC64*$C64/$D64</f>
        <v/>
      </c>
      <c r="KE64" s="55">
        <f>SUMIFS(tblBudget[Milled_t],tblBudget[Month],"&lt;"&amp;$E64)+$KD64</f>
        <v/>
      </c>
      <c r="KF64" s="55">
        <f>SUMIFS(tblBudget[Feed_oz],tblBudget[Month],$E64)</f>
        <v/>
      </c>
      <c r="KG64" s="55">
        <f>$KF64*$C64/$D64</f>
        <v/>
      </c>
      <c r="KH64" s="55">
        <f>SUMIFS(tblBudget[Feed_oz],tblBudget[Month],"&lt;"&amp;$E64)+$KG64</f>
        <v/>
      </c>
      <c r="KI64" s="56">
        <f>IFERROR(IF(($KC64)&gt;0,($JW64*cfg_TroyOz)/($KC64),""),"")</f>
        <v/>
      </c>
      <c r="KJ64" s="56">
        <f>IFERROR(IF(($KD64)&gt;0,($JX64*cfg_TroyOz)/($KD64),""),"")</f>
        <v/>
      </c>
      <c r="KK64" s="56">
        <f>IFERROR(IF(($KE64)&gt;0,($JY64*cfg_TroyOz)/($KE64),""),"")</f>
        <v/>
      </c>
      <c r="KL64" s="67">
        <f>IFERROR(IF(($KF64)&gt;0,($JZ64)/($KF64),""),"")</f>
        <v/>
      </c>
      <c r="KM64" s="67">
        <f>IFERROR(IF(($KG64)&gt;0,($KA64)/($KG64),""),"")</f>
        <v/>
      </c>
      <c r="KN64" s="67">
        <f>IFERROR(IF(($KH64)&gt;0,($KB64)/($KH64),""),"")</f>
        <v/>
      </c>
      <c r="KO64" s="55">
        <f>SUMIFS(tblBudget[Gold_Poured_oz],tblBudget[Month],$E64)</f>
        <v/>
      </c>
      <c r="KP64" s="55">
        <f>$KO64*$C64/$D64</f>
        <v/>
      </c>
      <c r="KQ64" s="55">
        <f>SUMIFS(tblBudget[Gold_Poured_oz],tblBudget[Month],"&lt;"&amp;$E64)+$KP64</f>
        <v/>
      </c>
      <c r="KR64" s="57">
        <f>SUMIFS(tblBudget[Hours_Worked],tblBudget[Month],$E64)</f>
        <v/>
      </c>
      <c r="KS64" s="57">
        <f>$KR64*$C64/$D64</f>
        <v/>
      </c>
      <c r="KT64" s="57">
        <f>SUMIFS(tblBudget[Hours_Worked],tblBudget[Month],"&lt;"&amp;$E64)+$KS64</f>
        <v/>
      </c>
    </row>
    <row r="65">
      <c r="A65" s="54" t="n">
        <v>46086</v>
      </c>
      <c r="B65">
        <f>MONTH($A65)</f>
        <v/>
      </c>
      <c r="C65">
        <f>DAY($A65)</f>
        <v/>
      </c>
      <c r="D65">
        <f>DAY(EOMONTH($A65,0))</f>
        <v/>
      </c>
      <c r="E65" s="54">
        <f>DATE(YEAR($A65),MONTH($A65),1)</f>
        <v/>
      </c>
      <c r="F65" s="55">
        <f>SUMIFS(tblMovement[Tonnes_t],tblMovement[Date],$A65,tblMovement[Is_Ore],1,tblMovement[Source_Type],"Pit")</f>
        <v/>
      </c>
      <c r="G65" s="55">
        <f>IF($B65=$B64,$G64,0)+$F65</f>
        <v/>
      </c>
      <c r="H65" s="55">
        <f>$H64+$F65</f>
        <v/>
      </c>
      <c r="I65" s="55">
        <f>SUMIFS(tblMovement[Ore_oz],tblMovement[Date],$A65,tblMovement[Source_Type],"Pit")</f>
        <v/>
      </c>
      <c r="J65" s="55">
        <f>IF($B65=$B64,$J64,0)+$I65</f>
        <v/>
      </c>
      <c r="K65" s="55">
        <f>$K64+$I65</f>
        <v/>
      </c>
      <c r="L65" s="55">
        <f>SUMIFS(tblMovement[Tonnes_t],tblMovement[Date],$A65,tblMovement[Is_Ore],1,tblMovement[Source_Type],"Pit",tblMovement[Grade_gpt],"&lt;&gt;")</f>
        <v/>
      </c>
      <c r="M65" s="55">
        <f>IF($B65=$B64,$M64,0)+$L65</f>
        <v/>
      </c>
      <c r="N65" s="55">
        <f>$N64+$L65</f>
        <v/>
      </c>
      <c r="O65" s="56">
        <f>IFERROR(IF(($L65)&gt;0,($I65*cfg_TroyOz)/($L65),""),"")</f>
        <v/>
      </c>
      <c r="P65" s="56">
        <f>IFERROR(IF(($M65)&gt;0,($J65*cfg_TroyOz)/($M65),""),"")</f>
        <v/>
      </c>
      <c r="Q65" s="56">
        <f>IFERROR(IF(($N65)&gt;0,($K65*cfg_TroyOz)/($N65),""),"")</f>
        <v/>
      </c>
      <c r="R65" s="55">
        <f>$F65-$L65</f>
        <v/>
      </c>
      <c r="S65" s="55">
        <f>IF($B65=$B64,$S64,0)+$R65</f>
        <v/>
      </c>
      <c r="T65" s="55">
        <f>$T64+$R65</f>
        <v/>
      </c>
      <c r="U65" s="55">
        <f>SUMIFS(tblMovement[Tonnes_t],tblMovement[Date],$A65,tblMovement[Is_Ore],0,tblMovement[Source_Type],"Pit")</f>
        <v/>
      </c>
      <c r="V65" s="55">
        <f>IF($B65=$B64,$V64,0)+$U65</f>
        <v/>
      </c>
      <c r="W65" s="55">
        <f>$W64+$U65</f>
        <v/>
      </c>
      <c r="X65" s="55">
        <f>$F65+$U65</f>
        <v/>
      </c>
      <c r="Y65" s="55">
        <f>IF($B65=$B64,$Y64,0)+$X65</f>
        <v/>
      </c>
      <c r="Z65" s="55">
        <f>$Z64+$X65</f>
        <v/>
      </c>
      <c r="AA65" s="56">
        <f>IFERROR(IF(($F65)&gt;0,($U65)/($F65),""),"")</f>
        <v/>
      </c>
      <c r="AB65" s="56">
        <f>IFERROR(IF(($G65)&gt;0,($V65)/($G65),""),"")</f>
        <v/>
      </c>
      <c r="AC65" s="56">
        <f>IFERROR(IF(($H65)&gt;0,($W65)/($H65),""),"")</f>
        <v/>
      </c>
      <c r="AD65" s="55">
        <f>SUMIFS(tblMovement[Tonnes_t],tblMovement[Date],$A65,tblMovement[Source_Type],"Stockpile")</f>
        <v/>
      </c>
      <c r="AE65" s="55">
        <f>IF($B65=$B64,$AE64,0)+$AD65</f>
        <v/>
      </c>
      <c r="AF65" s="55">
        <f>$AF64+$AD65</f>
        <v/>
      </c>
      <c r="AG65" s="55">
        <f>SUMIFS(tblMovement[Tonnes_t],tblMovement[Date],$A65)</f>
        <v/>
      </c>
      <c r="AH65" s="55">
        <f>IF($B65=$B64,$AH64,0)+$AG65</f>
        <v/>
      </c>
      <c r="AI65" s="55">
        <f>$AI64+$AG65</f>
        <v/>
      </c>
      <c r="AJ65" s="55">
        <f>$AG65-$X65-$AD65</f>
        <v/>
      </c>
      <c r="AK65" s="55">
        <f>IF($B65=$B64,$AK64,0)+$AJ65</f>
        <v/>
      </c>
      <c r="AL65" s="55">
        <f>$AL64+$AJ65</f>
        <v/>
      </c>
      <c r="AM65" s="55">
        <f>SUMIFS(tblMiningDaily[Drill_m],tblMiningDaily[Date],$A65)</f>
        <v/>
      </c>
      <c r="AN65" s="55">
        <f>IF($B65=$B64,$AN64,0)+$AM65</f>
        <v/>
      </c>
      <c r="AO65" s="55">
        <f>$AO64+$AM65</f>
        <v/>
      </c>
      <c r="AP65" s="55">
        <f>SUMIFS(tblMiningDaily[GC_Drill_m],tblMiningDaily[Date],$A65)</f>
        <v/>
      </c>
      <c r="AQ65" s="55">
        <f>IF($B65=$B64,$AQ64,0)+$AP65</f>
        <v/>
      </c>
      <c r="AR65" s="55">
        <f>$AR64+$AP65</f>
        <v/>
      </c>
      <c r="AS65" s="55">
        <f>SUMIFS(tblMiningDaily[Blast_t],tblMiningDaily[Date],$A65)</f>
        <v/>
      </c>
      <c r="AT65" s="55">
        <f>IF($B65=$B64,$AT64,0)+$AS65</f>
        <v/>
      </c>
      <c r="AU65" s="55">
        <f>$AU64+$AS65</f>
        <v/>
      </c>
      <c r="AV65" s="55">
        <f>SUMIFS(tblMiningDaily[Explosives_kg],tblMiningDaily[Date],$A65)</f>
        <v/>
      </c>
      <c r="AW65" s="55">
        <f>IF($B65=$B64,$AW64,0)+$AV65</f>
        <v/>
      </c>
      <c r="AX65" s="55">
        <f>$AX64+$AV65</f>
        <v/>
      </c>
      <c r="AY65" s="56">
        <f>IFERROR(IF(($AS65)&gt;0,($AV65)/($AS65),""),"")</f>
        <v/>
      </c>
      <c r="AZ65" s="56">
        <f>IFERROR(IF(($AT65)&gt;0,($AW65)/($AT65),""),"")</f>
        <v/>
      </c>
      <c r="BA65" s="56">
        <f>IFERROR(IF(($AU65)&gt;0,($AX65)/($AU65),""),"")</f>
        <v/>
      </c>
      <c r="BB65" s="55">
        <f>SUMIFS(tblMiningDaily[Diesel_L],tblMiningDaily[Date],$A65)</f>
        <v/>
      </c>
      <c r="BC65" s="55">
        <f>IF($B65=$B64,$BC64,0)+$BB65</f>
        <v/>
      </c>
      <c r="BD65" s="55">
        <f>$BD64+$BB65</f>
        <v/>
      </c>
      <c r="BE65" s="55">
        <f>SUMIFS(tblMiningDaily[Dewatering_m3],tblMiningDaily[Date],$A65)</f>
        <v/>
      </c>
      <c r="BF65" s="55">
        <f>IF($B65=$B64,$BF64,0)+$BE65</f>
        <v/>
      </c>
      <c r="BG65" s="55">
        <f>$BG64+$BE65</f>
        <v/>
      </c>
      <c r="BH65" s="57">
        <f>SUMIFS(tblFleet[Calendar_h],tblFleet[Date],$A65,tblFleet[Equipment_Class],"Excavator")</f>
        <v/>
      </c>
      <c r="BI65" s="57">
        <f>IF($B65=$B64,$BI64,0)+$BH65</f>
        <v/>
      </c>
      <c r="BJ65" s="57">
        <f>$BJ64+$BH65</f>
        <v/>
      </c>
      <c r="BK65" s="57">
        <f>SUMIFS(tblFleet[Available_h],tblFleet[Date],$A65,tblFleet[Equipment_Class],"Excavator")</f>
        <v/>
      </c>
      <c r="BL65" s="57">
        <f>IF($B65=$B64,$BL64,0)+$BK65</f>
        <v/>
      </c>
      <c r="BM65" s="57">
        <f>$BM64+$BK65</f>
        <v/>
      </c>
      <c r="BN65" s="57">
        <f>SUMIFS(tblFleet[Operating_h],tblFleet[Date],$A65,tblFleet[Equipment_Class],"Excavator")</f>
        <v/>
      </c>
      <c r="BO65" s="57">
        <f>IF($B65=$B64,$BO64,0)+$BN65</f>
        <v/>
      </c>
      <c r="BP65" s="57">
        <f>$BP64+$BN65</f>
        <v/>
      </c>
      <c r="BQ65" s="67">
        <f>IFERROR(IF(($BH65)&gt;0,($BK65)/($BH65),""),"")</f>
        <v/>
      </c>
      <c r="BR65" s="67">
        <f>IFERROR(IF(($BI65)&gt;0,($BL65)/($BI65),""),"")</f>
        <v/>
      </c>
      <c r="BS65" s="67">
        <f>IFERROR(IF(($BJ65)&gt;0,($BM65)/($BJ65),""),"")</f>
        <v/>
      </c>
      <c r="BT65" s="67">
        <f>IFERROR(IF(($BK65)&gt;0,($BN65)/($BK65),""),"")</f>
        <v/>
      </c>
      <c r="BU65" s="67">
        <f>IFERROR(IF(($BL65)&gt;0,($BO65)/($BL65),""),"")</f>
        <v/>
      </c>
      <c r="BV65" s="67">
        <f>IFERROR(IF(($BM65)&gt;0,($BP65)/($BM65),""),"")</f>
        <v/>
      </c>
      <c r="BW65" s="57">
        <f>SUMIFS(tblFleet[Calendar_h],tblFleet[Date],$A65,tblFleet[Equipment_Class],"Haul Truck")</f>
        <v/>
      </c>
      <c r="BX65" s="57">
        <f>IF($B65=$B64,$BX64,0)+$BW65</f>
        <v/>
      </c>
      <c r="BY65" s="57">
        <f>$BY64+$BW65</f>
        <v/>
      </c>
      <c r="BZ65" s="57">
        <f>SUMIFS(tblFleet[Available_h],tblFleet[Date],$A65,tblFleet[Equipment_Class],"Haul Truck")</f>
        <v/>
      </c>
      <c r="CA65" s="57">
        <f>IF($B65=$B64,$CA64,0)+$BZ65</f>
        <v/>
      </c>
      <c r="CB65" s="57">
        <f>$CB64+$BZ65</f>
        <v/>
      </c>
      <c r="CC65" s="57">
        <f>SUMIFS(tblFleet[Operating_h],tblFleet[Date],$A65,tblFleet[Equipment_Class],"Haul Truck")</f>
        <v/>
      </c>
      <c r="CD65" s="57">
        <f>IF($B65=$B64,$CD64,0)+$CC65</f>
        <v/>
      </c>
      <c r="CE65" s="57">
        <f>$CE64+$CC65</f>
        <v/>
      </c>
      <c r="CF65" s="67">
        <f>IFERROR(IF(($BW65)&gt;0,($BZ65)/($BW65),""),"")</f>
        <v/>
      </c>
      <c r="CG65" s="67">
        <f>IFERROR(IF(($BX65)&gt;0,($CA65)/($BX65),""),"")</f>
        <v/>
      </c>
      <c r="CH65" s="67">
        <f>IFERROR(IF(($BY65)&gt;0,($CB65)/($BY65),""),"")</f>
        <v/>
      </c>
      <c r="CI65" s="67">
        <f>IFERROR(IF(($BZ65)&gt;0,($CC65)/($BZ65),""),"")</f>
        <v/>
      </c>
      <c r="CJ65" s="67">
        <f>IFERROR(IF(($CA65)&gt;0,($CD65)/($CA65),""),"")</f>
        <v/>
      </c>
      <c r="CK65" s="67">
        <f>IFERROR(IF(($CB65)&gt;0,($CE65)/($CB65),""),"")</f>
        <v/>
      </c>
      <c r="CL65" s="55">
        <f>IFERROR(IF(($BN65)&gt;0,($X65+$AD65)/($BN65),""),"")</f>
        <v/>
      </c>
      <c r="CM65" s="55">
        <f>IFERROR(IF(($BO65)&gt;0,($Y65+$AE65)/($BO65),""),"")</f>
        <v/>
      </c>
      <c r="CN65" s="55">
        <f>IFERROR(IF(($BP65)&gt;0,($Z65+$AF65)/($BP65),""),"")</f>
        <v/>
      </c>
      <c r="CO65" s="55">
        <f>IFERROR(IF(($CC65)&gt;0,($X65+$AD65)/($CC65),""),"")</f>
        <v/>
      </c>
      <c r="CP65" s="55">
        <f>IFERROR(IF(($CD65)&gt;0,($Y65+$AE65)/($CD65),""),"")</f>
        <v/>
      </c>
      <c r="CQ65" s="55">
        <f>IFERROR(IF(($CE65)&gt;0,($Z65+$AF65)/($CE65),""),"")</f>
        <v/>
      </c>
      <c r="CR65" s="55">
        <f>SUMIFS(tblPlant[Crushed_t],tblPlant[Date],$A65)</f>
        <v/>
      </c>
      <c r="CS65" s="55">
        <f>IF($B65=$B64,$CS64,0)+$CR65</f>
        <v/>
      </c>
      <c r="CT65" s="55">
        <f>$CT64+$CR65</f>
        <v/>
      </c>
      <c r="CU65" s="55">
        <f>SUMIFS(tblPlant[Milled_t],tblPlant[Date],$A65)</f>
        <v/>
      </c>
      <c r="CV65" s="55">
        <f>IF($B65=$B64,$CV64,0)+$CU65</f>
        <v/>
      </c>
      <c r="CW65" s="55">
        <f>$CW64+$CU65</f>
        <v/>
      </c>
      <c r="CX65" s="55">
        <f>SUMIFS(tblPlant[Feed_oz],tblPlant[Date],$A65)</f>
        <v/>
      </c>
      <c r="CY65" s="55">
        <f>IF($B65=$B64,$CY64,0)+$CX65</f>
        <v/>
      </c>
      <c r="CZ65" s="55">
        <f>$CZ64+$CX65</f>
        <v/>
      </c>
      <c r="DA65" s="55">
        <f>SUMIFS(tblPlant[Tails_oz],tblPlant[Date],$A65)</f>
        <v/>
      </c>
      <c r="DB65" s="55">
        <f>IF($B65=$B64,$DB64,0)+$DA65</f>
        <v/>
      </c>
      <c r="DC65" s="55">
        <f>$DC64+$DA65</f>
        <v/>
      </c>
      <c r="DD65" s="55">
        <f>SUMIFS(tblPlant[Recovered_oz],tblPlant[Date],$A65)</f>
        <v/>
      </c>
      <c r="DE65" s="55">
        <f>IF($B65=$B64,$DE64,0)+$DD65</f>
        <v/>
      </c>
      <c r="DF65" s="55">
        <f>$DF64+$DD65</f>
        <v/>
      </c>
      <c r="DG65" s="55">
        <f>SUMIFS(tblPlant[Milled_t],tblPlant[Date],$A65,tblPlant[Head_Grade_gpt],"&lt;&gt;")</f>
        <v/>
      </c>
      <c r="DH65" s="55">
        <f>IF($B65=$B64,$DH64,0)+$DG65</f>
        <v/>
      </c>
      <c r="DI65" s="55">
        <f>$DI64+$DG65</f>
        <v/>
      </c>
      <c r="DJ65" s="55">
        <f>SUMIFS(tblPlant[Milled_t],tblPlant[Date],$A65,tblPlant[Tails_Grade_gpt],"&lt;&gt;")</f>
        <v/>
      </c>
      <c r="DK65" s="55">
        <f>IF($B65=$B64,$DK64,0)+$DJ65</f>
        <v/>
      </c>
      <c r="DL65" s="55">
        <f>$DL64+$DJ65</f>
        <v/>
      </c>
      <c r="DM65" s="55">
        <f>SUMIFS(tblPlant[Feed_oz],tblPlant[Date],$A65,tblPlant[Tails_Grade_gpt],"&lt;&gt;")</f>
        <v/>
      </c>
      <c r="DN65" s="55">
        <f>IF($B65=$B64,$DN64,0)+$DM65</f>
        <v/>
      </c>
      <c r="DO65" s="55">
        <f>$DO64+$DM65</f>
        <v/>
      </c>
      <c r="DP65" s="55">
        <f>SUMIFS(tblPlant[Milled_t],tblPlant[Date],$A65,tblPlant[Mill_Run_h],"&lt;&gt;")</f>
        <v/>
      </c>
      <c r="DQ65" s="55">
        <f>IF($B65=$B64,$DQ64,0)+$DP65</f>
        <v/>
      </c>
      <c r="DR65" s="55">
        <f>$DR64+$DP65</f>
        <v/>
      </c>
      <c r="DS65" s="56">
        <f>IFERROR(IF(($DG65)&gt;0,($CX65*cfg_TroyOz)/($DG65),""),"")</f>
        <v/>
      </c>
      <c r="DT65" s="56">
        <f>IFERROR(IF(($DH65)&gt;0,($CY65*cfg_TroyOz)/($DH65),""),"")</f>
        <v/>
      </c>
      <c r="DU65" s="56">
        <f>IFERROR(IF(($DI65)&gt;0,($CZ65*cfg_TroyOz)/($DI65),""),"")</f>
        <v/>
      </c>
      <c r="DV65" s="56">
        <f>IFERROR(IF(($DJ65)&gt;0,($DA65*cfg_TroyOz)/($DJ65),""),"")</f>
        <v/>
      </c>
      <c r="DW65" s="56">
        <f>IFERROR(IF(($DK65)&gt;0,($DB65*cfg_TroyOz)/($DK65),""),"")</f>
        <v/>
      </c>
      <c r="DX65" s="56">
        <f>IFERROR(IF(($DL65)&gt;0,($DC65*cfg_TroyOz)/($DL65),""),"")</f>
        <v/>
      </c>
      <c r="DY65" s="67">
        <f>IFERROR(IF(($DM65)&gt;0,($DD65)/($DM65),""),"")</f>
        <v/>
      </c>
      <c r="DZ65" s="67">
        <f>IFERROR(IF(($DN65)&gt;0,($DE65)/($DN65),""),"")</f>
        <v/>
      </c>
      <c r="EA65" s="67">
        <f>IFERROR(IF(($DO65)&gt;0,($DF65)/($DO65),""),"")</f>
        <v/>
      </c>
      <c r="EB65" s="55">
        <f>SUMIFS(tblPlant[Gravity_Gold_oz],tblPlant[Date],$A65)</f>
        <v/>
      </c>
      <c r="EC65" s="55">
        <f>IF($B65=$B64,$EC64,0)+$EB65</f>
        <v/>
      </c>
      <c r="ED65" s="55">
        <f>$ED64+$EB65</f>
        <v/>
      </c>
      <c r="EE65" s="67">
        <f>IFERROR(IF(($DD65)&gt;0,($EB65)/($DD65),""),"")</f>
        <v/>
      </c>
      <c r="EF65" s="67">
        <f>IFERROR(IF(($DE65)&gt;0,($EC65)/($DE65),""),"")</f>
        <v/>
      </c>
      <c r="EG65" s="67">
        <f>IFERROR(IF(($DF65)&gt;0,($ED65)/($DF65),""),"")</f>
        <v/>
      </c>
      <c r="EH65" s="55">
        <f>SUMIFS(tblPlant[Gold_Poured_oz],tblPlant[Date],$A65)</f>
        <v/>
      </c>
      <c r="EI65" s="55">
        <f>IF($B65=$B64,$EI64,0)+$EH65</f>
        <v/>
      </c>
      <c r="EJ65" s="55">
        <f>$EJ64+$EH65</f>
        <v/>
      </c>
      <c r="EK65" s="57">
        <f>SUMIFS(tblPlant[Mill_Run_h],tblPlant[Date],$A65)</f>
        <v/>
      </c>
      <c r="EL65" s="57">
        <f>IF($B65=$B64,$EL64,0)+$EK65</f>
        <v/>
      </c>
      <c r="EM65" s="57">
        <f>$EM64+$EK65</f>
        <v/>
      </c>
      <c r="EN65" s="57">
        <f>SUMIFS(tblPlant[Mill_Planned_Maint_h],tblPlant[Date],$A65)</f>
        <v/>
      </c>
      <c r="EO65" s="57">
        <f>IF($B65=$B64,$EO64,0)+$EN65</f>
        <v/>
      </c>
      <c r="EP65" s="57">
        <f>$EP64+$EN65</f>
        <v/>
      </c>
      <c r="EQ65" s="57">
        <f>SUMIFS(tblPlant[Mill_Unplanned_Down_h],tblPlant[Date],$A65)</f>
        <v/>
      </c>
      <c r="ER65" s="57">
        <f>IF($B65=$B64,$ER64,0)+$EQ65</f>
        <v/>
      </c>
      <c r="ES65" s="57">
        <f>$ES64+$EQ65</f>
        <v/>
      </c>
      <c r="ET65" s="57">
        <f>IF(COUNTIFS(tblPlant[Date],$A65,tblPlant[Mill_Run_h],"&lt;&gt;")+COUNTIFS(tblPlant[Date],$A65,tblPlant[Mill_Planned_Maint_h],"&lt;&gt;")+COUNTIFS(tblPlant[Date],$A65,tblPlant[Mill_Unplanned_Down_h],"&lt;&gt;")&gt;0,cfg_HoursPerDay,0)</f>
        <v/>
      </c>
      <c r="EU65" s="57">
        <f>IF($B65=$B64,$EU64,0)+$ET65</f>
        <v/>
      </c>
      <c r="EV65" s="57">
        <f>$EV64+$ET65</f>
        <v/>
      </c>
      <c r="EW65" s="57">
        <f>SUMIFS(tblPlant[Crusher_Run_h],tblPlant[Date],$A65)</f>
        <v/>
      </c>
      <c r="EX65" s="57">
        <f>IF($B65=$B64,$EX64,0)+$EW65</f>
        <v/>
      </c>
      <c r="EY65" s="57">
        <f>$EY64+$EW65</f>
        <v/>
      </c>
      <c r="EZ65" s="55">
        <f>IFERROR(IF(($EK65)&gt;0,($DP65)/($EK65),""),"")</f>
        <v/>
      </c>
      <c r="FA65" s="55">
        <f>IFERROR(IF(($EL65)&gt;0,($DQ65)/($EL65),""),"")</f>
        <v/>
      </c>
      <c r="FB65" s="55">
        <f>IFERROR(IF(($EM65)&gt;0,($DR65)/($EM65),""),"")</f>
        <v/>
      </c>
      <c r="FC65" s="67">
        <f>IFERROR(IF(($ET65)&gt;0,($ET65-$EN65-$EQ65)/($ET65),""),"")</f>
        <v/>
      </c>
      <c r="FD65" s="67">
        <f>IFERROR(IF(($EU65)&gt;0,($EU65-$EO65-$ER65)/($EU65),""),"")</f>
        <v/>
      </c>
      <c r="FE65" s="67">
        <f>IFERROR(IF(($EV65)&gt;0,($EV65-$EP65-$ES65)/($EV65),""),"")</f>
        <v/>
      </c>
      <c r="FF65" s="67">
        <f>IFERROR(IF(($ET65-$EN65-$EQ65)&gt;0,($EK65)/($ET65-$EN65-$EQ65),""),"")</f>
        <v/>
      </c>
      <c r="FG65" s="67">
        <f>IFERROR(IF(($EU65-$EO65-$ER65)&gt;0,($EL65)/($EU65-$EO65-$ER65),""),"")</f>
        <v/>
      </c>
      <c r="FH65" s="67">
        <f>IFERROR(IF(($EV65-$EP65-$ES65)&gt;0,($EM65)/($EV65-$EP65-$ES65),""),"")</f>
        <v/>
      </c>
      <c r="FI65" s="55">
        <f>SUMIFS(tblPlant[Cyanide_kg],tblPlant[Date],$A65)</f>
        <v/>
      </c>
      <c r="FJ65" s="55">
        <f>IF($B65=$B64,$FJ64,0)+$FI65</f>
        <v/>
      </c>
      <c r="FK65" s="55">
        <f>$FK64+$FI65</f>
        <v/>
      </c>
      <c r="FL65" s="55">
        <f>SUMIFS(tblPlant[Lime_kg],tblPlant[Date],$A65)</f>
        <v/>
      </c>
      <c r="FM65" s="55">
        <f>IF($B65=$B64,$FM64,0)+$FL65</f>
        <v/>
      </c>
      <c r="FN65" s="55">
        <f>$FN64+$FL65</f>
        <v/>
      </c>
      <c r="FO65" s="55">
        <f>SUMIFS(tblPlant[Grinding_Media_kg],tblPlant[Date],$A65)</f>
        <v/>
      </c>
      <c r="FP65" s="55">
        <f>IF($B65=$B64,$FP64,0)+$FO65</f>
        <v/>
      </c>
      <c r="FQ65" s="55">
        <f>$FQ64+$FO65</f>
        <v/>
      </c>
      <c r="FR65" s="55">
        <f>SUMIFS(tblPlant[Power_kWh],tblPlant[Date],$A65)</f>
        <v/>
      </c>
      <c r="FS65" s="55">
        <f>IF($B65=$B64,$FS64,0)+$FR65</f>
        <v/>
      </c>
      <c r="FT65" s="55">
        <f>$FT64+$FR65</f>
        <v/>
      </c>
      <c r="FU65" s="55">
        <f>SUMIFS(tblPlant[Raw_Water_m3],tblPlant[Date],$A65)</f>
        <v/>
      </c>
      <c r="FV65" s="55">
        <f>IF($B65=$B64,$FV64,0)+$FU65</f>
        <v/>
      </c>
      <c r="FW65" s="55">
        <f>$FW64+$FU65</f>
        <v/>
      </c>
      <c r="FX65" s="56">
        <f>IFERROR(IF(($CU65)&gt;0,($FI65)/($CU65),""),"")</f>
        <v/>
      </c>
      <c r="FY65" s="56">
        <f>IFERROR(IF(($CV65)&gt;0,($FJ65)/($CV65),""),"")</f>
        <v/>
      </c>
      <c r="FZ65" s="56">
        <f>IFERROR(IF(($CW65)&gt;0,($FK65)/($CW65),""),"")</f>
        <v/>
      </c>
      <c r="GA65" s="56">
        <f>IFERROR(IF(($CU65)&gt;0,($FL65)/($CU65),""),"")</f>
        <v/>
      </c>
      <c r="GB65" s="56">
        <f>IFERROR(IF(($CV65)&gt;0,($FM65)/($CV65),""),"")</f>
        <v/>
      </c>
      <c r="GC65" s="56">
        <f>IFERROR(IF(($CW65)&gt;0,($FN65)/($CW65),""),"")</f>
        <v/>
      </c>
      <c r="GD65" s="56">
        <f>IFERROR(IF(($CU65)&gt;0,($FO65)/($CU65),""),"")</f>
        <v/>
      </c>
      <c r="GE65" s="56">
        <f>IFERROR(IF(($CV65)&gt;0,($FP65)/($CV65),""),"")</f>
        <v/>
      </c>
      <c r="GF65" s="56">
        <f>IFERROR(IF(($CW65)&gt;0,($FQ65)/($CW65),""),"")</f>
        <v/>
      </c>
      <c r="GG65" s="79">
        <f>IFERROR(IF(($CU65)&gt;0,($FR65)/($CU65),""),"")</f>
        <v/>
      </c>
      <c r="GH65" s="79">
        <f>IFERROR(IF(($CV65)&gt;0,($FS65)/($CV65),""),"")</f>
        <v/>
      </c>
      <c r="GI65" s="79">
        <f>IFERROR(IF(($CW65)&gt;0,($FT65)/($CW65),""),"")</f>
        <v/>
      </c>
      <c r="GJ65" s="56">
        <f>IFERROR(IF(($CU65)&gt;0,($FU65)/($CU65),""),"")</f>
        <v/>
      </c>
      <c r="GK65" s="56">
        <f>IFERROR(IF(($CV65)&gt;0,($FV65)/($CV65),""),"")</f>
        <v/>
      </c>
      <c r="GL65" s="56">
        <f>IFERROR(IF(($CW65)&gt;0,($FW65)/($CW65),""),"")</f>
        <v/>
      </c>
      <c r="GM65" s="55">
        <f>IF(SUMIFS(tblPlant[GIC_oz],tblPlant[Date],$A65)&gt;0,SUMIFS(tblPlant[GIC_oz],tblPlant[Date],$A65),"")</f>
        <v/>
      </c>
      <c r="GN65" s="55">
        <f>SUMIFS(tblGold[Gold_oz],tblGold[Date],$A65,tblGold[Type],"Shipment")</f>
        <v/>
      </c>
      <c r="GO65" s="55">
        <f>IF($B65=$B64,$GO64,0)+$GN65</f>
        <v/>
      </c>
      <c r="GP65" s="55">
        <f>$GP64+$GN65</f>
        <v/>
      </c>
      <c r="GQ65" s="55">
        <f>SUMIFS(tblGold[Gold_oz],tblGold[Date],$A65,tblGold[Type],"Sale")</f>
        <v/>
      </c>
      <c r="GR65" s="55">
        <f>IF($B65=$B64,$GR64,0)+$GQ65</f>
        <v/>
      </c>
      <c r="GS65" s="55">
        <f>$GS64+$GQ65</f>
        <v/>
      </c>
      <c r="GT65" s="55">
        <f>SUMIFS(tblGold[Dore_kg],tblGold[Date],$A65,tblGold[Type],"Shipment")</f>
        <v/>
      </c>
      <c r="GU65" s="55">
        <f>IF($B65=$B64,$GU64,0)+$GT65</f>
        <v/>
      </c>
      <c r="GV65" s="55">
        <f>$GV64+$GT65</f>
        <v/>
      </c>
      <c r="GW65" s="57">
        <f>SUMIFS(tblSafety[Hours_Total],tblSafety[Date],$A65)</f>
        <v/>
      </c>
      <c r="GX65" s="57">
        <f>IF($B65=$B64,$GX64,0)+$GW65</f>
        <v/>
      </c>
      <c r="GY65" s="57">
        <f>$GY64+$GW65</f>
        <v/>
      </c>
      <c r="GZ65" s="62">
        <f>SUMIFS(tblSafety[Fatality],tblSafety[Date],$A65)</f>
        <v/>
      </c>
      <c r="HA65" s="62">
        <f>IF($B65=$B64,$HA64,0)+$GZ65</f>
        <v/>
      </c>
      <c r="HB65" s="62">
        <f>$HB64+$GZ65</f>
        <v/>
      </c>
      <c r="HC65" s="62">
        <f>SUMIFS(tblSafety[LTI],tblSafety[Date],$A65)</f>
        <v/>
      </c>
      <c r="HD65" s="62">
        <f>IF($B65=$B64,$HD64,0)+$HC65</f>
        <v/>
      </c>
      <c r="HE65" s="62">
        <f>$HE64+$HC65</f>
        <v/>
      </c>
      <c r="HF65" s="62">
        <f>SUMIFS(tblSafety[RWI],tblSafety[Date],$A65)</f>
        <v/>
      </c>
      <c r="HG65" s="62">
        <f>IF($B65=$B64,$HG64,0)+$HF65</f>
        <v/>
      </c>
      <c r="HH65" s="62">
        <f>$HH64+$HF65</f>
        <v/>
      </c>
      <c r="HI65" s="62">
        <f>SUMIFS(tblSafety[MTI],tblSafety[Date],$A65)</f>
        <v/>
      </c>
      <c r="HJ65" s="62">
        <f>IF($B65=$B64,$HJ64,0)+$HI65</f>
        <v/>
      </c>
      <c r="HK65" s="62">
        <f>$HK64+$HI65</f>
        <v/>
      </c>
      <c r="HL65" s="62">
        <f>SUMIFS(tblSafety[FAI],tblSafety[Date],$A65)</f>
        <v/>
      </c>
      <c r="HM65" s="62">
        <f>IF($B65=$B64,$HM64,0)+$HL65</f>
        <v/>
      </c>
      <c r="HN65" s="62">
        <f>$HN64+$HL65</f>
        <v/>
      </c>
      <c r="HO65" s="62">
        <f>SUMIFS(tblSafety[Recordables],tblSafety[Date],$A65)</f>
        <v/>
      </c>
      <c r="HP65" s="62">
        <f>IF($B65=$B64,$HP64,0)+$HO65</f>
        <v/>
      </c>
      <c r="HQ65" s="62">
        <f>$HQ64+$HO65</f>
        <v/>
      </c>
      <c r="HR65" s="62">
        <f>SUMIFS(tblSafety[Near_Miss],tblSafety[Date],$A65)</f>
        <v/>
      </c>
      <c r="HS65" s="62">
        <f>IF($B65=$B64,$HS64,0)+$HR65</f>
        <v/>
      </c>
      <c r="HT65" s="62">
        <f>$HT64+$HR65</f>
        <v/>
      </c>
      <c r="HU65" s="62">
        <f>SUMIFS(tblSafety[Hazard_Reports],tblSafety[Date],$A65)</f>
        <v/>
      </c>
      <c r="HV65" s="62">
        <f>IF($B65=$B64,$HV64,0)+$HU65</f>
        <v/>
      </c>
      <c r="HW65" s="62">
        <f>$HW64+$HU65</f>
        <v/>
      </c>
      <c r="HX65" s="62">
        <f>SUMIFS(tblSafety[HPI],tblSafety[Date],$A65)</f>
        <v/>
      </c>
      <c r="HY65" s="62">
        <f>IF($B65=$B64,$HY64,0)+$HX65</f>
        <v/>
      </c>
      <c r="HZ65" s="62">
        <f>$HZ64+$HX65</f>
        <v/>
      </c>
      <c r="IA65" s="62">
        <f>SUMIFS(tblSafety[Env_Incidents],tblSafety[Date],$A65)</f>
        <v/>
      </c>
      <c r="IB65" s="62">
        <f>IF($B65=$B64,$IB64,0)+$IA65</f>
        <v/>
      </c>
      <c r="IC65" s="62">
        <f>$IC64+$IA65</f>
        <v/>
      </c>
      <c r="ID65" s="62">
        <f>SUMIFS(tblSafety[Community_Incidents],tblSafety[Date],$A65)</f>
        <v/>
      </c>
      <c r="IE65" s="62">
        <f>IF($B65=$B64,$IE64,0)+$ID65</f>
        <v/>
      </c>
      <c r="IF65" s="62">
        <f>$IF64+$ID65</f>
        <v/>
      </c>
      <c r="IG65" s="62">
        <f>SUMIFS(tblSafety[Vehicle_Incidents],tblSafety[Date],$A65)</f>
        <v/>
      </c>
      <c r="IH65" s="62">
        <f>IF($B65=$B64,$IH64,0)+$IG65</f>
        <v/>
      </c>
      <c r="II65" s="62">
        <f>$II64+$IG65</f>
        <v/>
      </c>
      <c r="IJ65" s="62">
        <f>SUMIFS(tblSafety[Toolbox_Talks],tblSafety[Date],$A65)</f>
        <v/>
      </c>
      <c r="IK65" s="62">
        <f>IF($B65=$B64,$IK64,0)+$IJ65</f>
        <v/>
      </c>
      <c r="IL65" s="62">
        <f>$IL64+$IJ65</f>
        <v/>
      </c>
      <c r="IM65" s="62">
        <f>SUMIFS(tblSafety[Inspections],tblSafety[Date],$A65)</f>
        <v/>
      </c>
      <c r="IN65" s="62">
        <f>IF($B65=$B64,$IN64,0)+$IM65</f>
        <v/>
      </c>
      <c r="IO65" s="62">
        <f>$IO64+$IM65</f>
        <v/>
      </c>
      <c r="IP65" s="56">
        <f>IFERROR((SUMIFS(tblSafety[Recordables],tblSafety[Date],"&gt;="&amp;EDATE($E65,-12),tblSafety[Date],"&lt;="&amp;$A65)+SUMIFS(tblSafetyHistory[Recordables],tblSafetyHistory[Month],"&gt;="&amp;EDATE($E65,-12),tblSafetyHistory[Month],"&lt;"&amp;$E65,tblSafetyHistory[Use],1))/(SUMIFS(tblSafety[Hours_Total],tblSafety[Date],"&gt;="&amp;EDATE($E65,-12),tblSafety[Date],"&lt;="&amp;$A65)+SUMIFS(tblSafetyHistory[Hours_Total],tblSafetyHistory[Month],"&gt;="&amp;EDATE($E65,-12),tblSafetyHistory[Month],"&lt;"&amp;$E65,tblSafetyHistory[Use],1))*cfg_RateBasisHours,"")</f>
        <v/>
      </c>
      <c r="IQ65" s="56">
        <f>IFERROR((SUMIFS(tblSafety[LTI],tblSafety[Date],"&gt;="&amp;EDATE($E65,-12),tblSafety[Date],"&lt;="&amp;$A65)+SUMIFS(tblSafetyHistory[LTI],tblSafetyHistory[Month],"&gt;="&amp;EDATE($E65,-12),tblSafetyHistory[Month],"&lt;"&amp;$E65,tblSafetyHistory[Use],1))/(SUMIFS(tblSafety[Hours_Total],tblSafety[Date],"&gt;="&amp;EDATE($E65,-12),tblSafety[Date],"&lt;="&amp;$A65)+SUMIFS(tblSafetyHistory[Hours_Total],tblSafetyHistory[Month],"&gt;="&amp;EDATE($E65,-12),tblSafetyHistory[Month],"&lt;"&amp;$E65,tblSafetyHistory[Use],1))*cfg_RateBasisHours,"")</f>
        <v/>
      </c>
      <c r="IR65" s="62">
        <f>IF(MAX(N(cfg_PriorLTIDate),_xlfn.MAXIFS(tblSafety[Date],tblSafety[LTI],"&gt;0",tblSafety[Date],"&lt;="&amp;$A65))=0,"",$A65-MAX(N(cfg_PriorLTIDate),_xlfn.MAXIFS(tblSafety[Date],tblSafety[LTI],"&gt;0",tblSafety[Date],"&lt;="&amp;$A65)))</f>
        <v/>
      </c>
      <c r="IS65" s="55">
        <f>SUMIFS(tblBudget[Ore_Mined_t],tblBudget[Month],$E65)</f>
        <v/>
      </c>
      <c r="IT65" s="55">
        <f>$IS65*$C65/$D65</f>
        <v/>
      </c>
      <c r="IU65" s="55">
        <f>SUMIFS(tblBudget[Ore_Mined_t],tblBudget[Month],"&lt;"&amp;$E65)+$IT65</f>
        <v/>
      </c>
      <c r="IV65" s="55">
        <f>SUMIFS(tblBudget[Ore_oz],tblBudget[Month],$E65)</f>
        <v/>
      </c>
      <c r="IW65" s="55">
        <f>$IV65*$C65/$D65</f>
        <v/>
      </c>
      <c r="IX65" s="55">
        <f>SUMIFS(tblBudget[Ore_oz],tblBudget[Month],"&lt;"&amp;$E65)+$IW65</f>
        <v/>
      </c>
      <c r="IY65" s="55">
        <f>SUMIFS(tblBudget[Ore_Mined_t],tblBudget[Month],$E65)</f>
        <v/>
      </c>
      <c r="IZ65" s="55">
        <f>$IY65*$C65/$D65</f>
        <v/>
      </c>
      <c r="JA65" s="55">
        <f>SUMIFS(tblBudget[Ore_Mined_t],tblBudget[Month],"&lt;"&amp;$E65)+$IZ65</f>
        <v/>
      </c>
      <c r="JB65" s="56">
        <f>IFERROR(IF(($IY65)&gt;0,($IV65*cfg_TroyOz)/($IY65),""),"")</f>
        <v/>
      </c>
      <c r="JC65" s="56">
        <f>IFERROR(IF(($IZ65)&gt;0,($IW65*cfg_TroyOz)/($IZ65),""),"")</f>
        <v/>
      </c>
      <c r="JD65" s="56">
        <f>IFERROR(IF(($JA65)&gt;0,($IX65*cfg_TroyOz)/($JA65),""),"")</f>
        <v/>
      </c>
      <c r="JE65" s="55">
        <f>SUMIFS(tblBudget[Waste_t],tblBudget[Month],$E65)</f>
        <v/>
      </c>
      <c r="JF65" s="55">
        <f>$JE65*$C65/$D65</f>
        <v/>
      </c>
      <c r="JG65" s="55">
        <f>SUMIFS(tblBudget[Waste_t],tblBudget[Month],"&lt;"&amp;$E65)+$JF65</f>
        <v/>
      </c>
      <c r="JH65" s="55">
        <f>SUMIFS(tblBudget[TMM_t],tblBudget[Month],$E65)</f>
        <v/>
      </c>
      <c r="JI65" s="55">
        <f>$JH65*$C65/$D65</f>
        <v/>
      </c>
      <c r="JJ65" s="55">
        <f>SUMIFS(tblBudget[TMM_t],tblBudget[Month],"&lt;"&amp;$E65)+$JI65</f>
        <v/>
      </c>
      <c r="JK65" s="56">
        <f>IFERROR(IF(($IS65)&gt;0,($JE65)/($IS65),""),"")</f>
        <v/>
      </c>
      <c r="JL65" s="56">
        <f>IFERROR(IF(($IT65)&gt;0,($JF65)/($IT65),""),"")</f>
        <v/>
      </c>
      <c r="JM65" s="56">
        <f>IFERROR(IF(($IU65)&gt;0,($JG65)/($IU65),""),"")</f>
        <v/>
      </c>
      <c r="JN65" s="55">
        <f>SUMIFS(tblBudget[Drill_m],tblBudget[Month],$E65)</f>
        <v/>
      </c>
      <c r="JO65" s="55">
        <f>$JN65*$C65/$D65</f>
        <v/>
      </c>
      <c r="JP65" s="55">
        <f>SUMIFS(tblBudget[Drill_m],tblBudget[Month],"&lt;"&amp;$E65)+$JO65</f>
        <v/>
      </c>
      <c r="JQ65" s="55">
        <f>SUMIFS(tblBudget[Diesel_L],tblBudget[Month],$E65)</f>
        <v/>
      </c>
      <c r="JR65" s="55">
        <f>$JQ65*$C65/$D65</f>
        <v/>
      </c>
      <c r="JS65" s="55">
        <f>SUMIFS(tblBudget[Diesel_L],tblBudget[Month],"&lt;"&amp;$E65)+$JR65</f>
        <v/>
      </c>
      <c r="JT65" s="55">
        <f>SUMIFS(tblBudget[Milled_t],tblBudget[Month],$E65)</f>
        <v/>
      </c>
      <c r="JU65" s="55">
        <f>$JT65*$C65/$D65</f>
        <v/>
      </c>
      <c r="JV65" s="55">
        <f>SUMIFS(tblBudget[Milled_t],tblBudget[Month],"&lt;"&amp;$E65)+$JU65</f>
        <v/>
      </c>
      <c r="JW65" s="55">
        <f>SUMIFS(tblBudget[Feed_oz],tblBudget[Month],$E65)</f>
        <v/>
      </c>
      <c r="JX65" s="55">
        <f>$JW65*$C65/$D65</f>
        <v/>
      </c>
      <c r="JY65" s="55">
        <f>SUMIFS(tblBudget[Feed_oz],tblBudget[Month],"&lt;"&amp;$E65)+$JX65</f>
        <v/>
      </c>
      <c r="JZ65" s="55">
        <f>SUMIFS(tblBudget[Recovered_oz],tblBudget[Month],$E65)</f>
        <v/>
      </c>
      <c r="KA65" s="55">
        <f>$JZ65*$C65/$D65</f>
        <v/>
      </c>
      <c r="KB65" s="55">
        <f>SUMIFS(tblBudget[Recovered_oz],tblBudget[Month],"&lt;"&amp;$E65)+$KA65</f>
        <v/>
      </c>
      <c r="KC65" s="55">
        <f>SUMIFS(tblBudget[Milled_t],tblBudget[Month],$E65)</f>
        <v/>
      </c>
      <c r="KD65" s="55">
        <f>$KC65*$C65/$D65</f>
        <v/>
      </c>
      <c r="KE65" s="55">
        <f>SUMIFS(tblBudget[Milled_t],tblBudget[Month],"&lt;"&amp;$E65)+$KD65</f>
        <v/>
      </c>
      <c r="KF65" s="55">
        <f>SUMIFS(tblBudget[Feed_oz],tblBudget[Month],$E65)</f>
        <v/>
      </c>
      <c r="KG65" s="55">
        <f>$KF65*$C65/$D65</f>
        <v/>
      </c>
      <c r="KH65" s="55">
        <f>SUMIFS(tblBudget[Feed_oz],tblBudget[Month],"&lt;"&amp;$E65)+$KG65</f>
        <v/>
      </c>
      <c r="KI65" s="56">
        <f>IFERROR(IF(($KC65)&gt;0,($JW65*cfg_TroyOz)/($KC65),""),"")</f>
        <v/>
      </c>
      <c r="KJ65" s="56">
        <f>IFERROR(IF(($KD65)&gt;0,($JX65*cfg_TroyOz)/($KD65),""),"")</f>
        <v/>
      </c>
      <c r="KK65" s="56">
        <f>IFERROR(IF(($KE65)&gt;0,($JY65*cfg_TroyOz)/($KE65),""),"")</f>
        <v/>
      </c>
      <c r="KL65" s="67">
        <f>IFERROR(IF(($KF65)&gt;0,($JZ65)/($KF65),""),"")</f>
        <v/>
      </c>
      <c r="KM65" s="67">
        <f>IFERROR(IF(($KG65)&gt;0,($KA65)/($KG65),""),"")</f>
        <v/>
      </c>
      <c r="KN65" s="67">
        <f>IFERROR(IF(($KH65)&gt;0,($KB65)/($KH65),""),"")</f>
        <v/>
      </c>
      <c r="KO65" s="55">
        <f>SUMIFS(tblBudget[Gold_Poured_oz],tblBudget[Month],$E65)</f>
        <v/>
      </c>
      <c r="KP65" s="55">
        <f>$KO65*$C65/$D65</f>
        <v/>
      </c>
      <c r="KQ65" s="55">
        <f>SUMIFS(tblBudget[Gold_Poured_oz],tblBudget[Month],"&lt;"&amp;$E65)+$KP65</f>
        <v/>
      </c>
      <c r="KR65" s="57">
        <f>SUMIFS(tblBudget[Hours_Worked],tblBudget[Month],$E65)</f>
        <v/>
      </c>
      <c r="KS65" s="57">
        <f>$KR65*$C65/$D65</f>
        <v/>
      </c>
      <c r="KT65" s="57">
        <f>SUMIFS(tblBudget[Hours_Worked],tblBudget[Month],"&lt;"&amp;$E65)+$KS65</f>
        <v/>
      </c>
    </row>
    <row r="66">
      <c r="A66" s="54" t="n">
        <v>46087</v>
      </c>
      <c r="B66">
        <f>MONTH($A66)</f>
        <v/>
      </c>
      <c r="C66">
        <f>DAY($A66)</f>
        <v/>
      </c>
      <c r="D66">
        <f>DAY(EOMONTH($A66,0))</f>
        <v/>
      </c>
      <c r="E66" s="54">
        <f>DATE(YEAR($A66),MONTH($A66),1)</f>
        <v/>
      </c>
      <c r="F66" s="55">
        <f>SUMIFS(tblMovement[Tonnes_t],tblMovement[Date],$A66,tblMovement[Is_Ore],1,tblMovement[Source_Type],"Pit")</f>
        <v/>
      </c>
      <c r="G66" s="55">
        <f>IF($B66=$B65,$G65,0)+$F66</f>
        <v/>
      </c>
      <c r="H66" s="55">
        <f>$H65+$F66</f>
        <v/>
      </c>
      <c r="I66" s="55">
        <f>SUMIFS(tblMovement[Ore_oz],tblMovement[Date],$A66,tblMovement[Source_Type],"Pit")</f>
        <v/>
      </c>
      <c r="J66" s="55">
        <f>IF($B66=$B65,$J65,0)+$I66</f>
        <v/>
      </c>
      <c r="K66" s="55">
        <f>$K65+$I66</f>
        <v/>
      </c>
      <c r="L66" s="55">
        <f>SUMIFS(tblMovement[Tonnes_t],tblMovement[Date],$A66,tblMovement[Is_Ore],1,tblMovement[Source_Type],"Pit",tblMovement[Grade_gpt],"&lt;&gt;")</f>
        <v/>
      </c>
      <c r="M66" s="55">
        <f>IF($B66=$B65,$M65,0)+$L66</f>
        <v/>
      </c>
      <c r="N66" s="55">
        <f>$N65+$L66</f>
        <v/>
      </c>
      <c r="O66" s="56">
        <f>IFERROR(IF(($L66)&gt;0,($I66*cfg_TroyOz)/($L66),""),"")</f>
        <v/>
      </c>
      <c r="P66" s="56">
        <f>IFERROR(IF(($M66)&gt;0,($J66*cfg_TroyOz)/($M66),""),"")</f>
        <v/>
      </c>
      <c r="Q66" s="56">
        <f>IFERROR(IF(($N66)&gt;0,($K66*cfg_TroyOz)/($N66),""),"")</f>
        <v/>
      </c>
      <c r="R66" s="55">
        <f>$F66-$L66</f>
        <v/>
      </c>
      <c r="S66" s="55">
        <f>IF($B66=$B65,$S65,0)+$R66</f>
        <v/>
      </c>
      <c r="T66" s="55">
        <f>$T65+$R66</f>
        <v/>
      </c>
      <c r="U66" s="55">
        <f>SUMIFS(tblMovement[Tonnes_t],tblMovement[Date],$A66,tblMovement[Is_Ore],0,tblMovement[Source_Type],"Pit")</f>
        <v/>
      </c>
      <c r="V66" s="55">
        <f>IF($B66=$B65,$V65,0)+$U66</f>
        <v/>
      </c>
      <c r="W66" s="55">
        <f>$W65+$U66</f>
        <v/>
      </c>
      <c r="X66" s="55">
        <f>$F66+$U66</f>
        <v/>
      </c>
      <c r="Y66" s="55">
        <f>IF($B66=$B65,$Y65,0)+$X66</f>
        <v/>
      </c>
      <c r="Z66" s="55">
        <f>$Z65+$X66</f>
        <v/>
      </c>
      <c r="AA66" s="56">
        <f>IFERROR(IF(($F66)&gt;0,($U66)/($F66),""),"")</f>
        <v/>
      </c>
      <c r="AB66" s="56">
        <f>IFERROR(IF(($G66)&gt;0,($V66)/($G66),""),"")</f>
        <v/>
      </c>
      <c r="AC66" s="56">
        <f>IFERROR(IF(($H66)&gt;0,($W66)/($H66),""),"")</f>
        <v/>
      </c>
      <c r="AD66" s="55">
        <f>SUMIFS(tblMovement[Tonnes_t],tblMovement[Date],$A66,tblMovement[Source_Type],"Stockpile")</f>
        <v/>
      </c>
      <c r="AE66" s="55">
        <f>IF($B66=$B65,$AE65,0)+$AD66</f>
        <v/>
      </c>
      <c r="AF66" s="55">
        <f>$AF65+$AD66</f>
        <v/>
      </c>
      <c r="AG66" s="55">
        <f>SUMIFS(tblMovement[Tonnes_t],tblMovement[Date],$A66)</f>
        <v/>
      </c>
      <c r="AH66" s="55">
        <f>IF($B66=$B65,$AH65,0)+$AG66</f>
        <v/>
      </c>
      <c r="AI66" s="55">
        <f>$AI65+$AG66</f>
        <v/>
      </c>
      <c r="AJ66" s="55">
        <f>$AG66-$X66-$AD66</f>
        <v/>
      </c>
      <c r="AK66" s="55">
        <f>IF($B66=$B65,$AK65,0)+$AJ66</f>
        <v/>
      </c>
      <c r="AL66" s="55">
        <f>$AL65+$AJ66</f>
        <v/>
      </c>
      <c r="AM66" s="55">
        <f>SUMIFS(tblMiningDaily[Drill_m],tblMiningDaily[Date],$A66)</f>
        <v/>
      </c>
      <c r="AN66" s="55">
        <f>IF($B66=$B65,$AN65,0)+$AM66</f>
        <v/>
      </c>
      <c r="AO66" s="55">
        <f>$AO65+$AM66</f>
        <v/>
      </c>
      <c r="AP66" s="55">
        <f>SUMIFS(tblMiningDaily[GC_Drill_m],tblMiningDaily[Date],$A66)</f>
        <v/>
      </c>
      <c r="AQ66" s="55">
        <f>IF($B66=$B65,$AQ65,0)+$AP66</f>
        <v/>
      </c>
      <c r="AR66" s="55">
        <f>$AR65+$AP66</f>
        <v/>
      </c>
      <c r="AS66" s="55">
        <f>SUMIFS(tblMiningDaily[Blast_t],tblMiningDaily[Date],$A66)</f>
        <v/>
      </c>
      <c r="AT66" s="55">
        <f>IF($B66=$B65,$AT65,0)+$AS66</f>
        <v/>
      </c>
      <c r="AU66" s="55">
        <f>$AU65+$AS66</f>
        <v/>
      </c>
      <c r="AV66" s="55">
        <f>SUMIFS(tblMiningDaily[Explosives_kg],tblMiningDaily[Date],$A66)</f>
        <v/>
      </c>
      <c r="AW66" s="55">
        <f>IF($B66=$B65,$AW65,0)+$AV66</f>
        <v/>
      </c>
      <c r="AX66" s="55">
        <f>$AX65+$AV66</f>
        <v/>
      </c>
      <c r="AY66" s="56">
        <f>IFERROR(IF(($AS66)&gt;0,($AV66)/($AS66),""),"")</f>
        <v/>
      </c>
      <c r="AZ66" s="56">
        <f>IFERROR(IF(($AT66)&gt;0,($AW66)/($AT66),""),"")</f>
        <v/>
      </c>
      <c r="BA66" s="56">
        <f>IFERROR(IF(($AU66)&gt;0,($AX66)/($AU66),""),"")</f>
        <v/>
      </c>
      <c r="BB66" s="55">
        <f>SUMIFS(tblMiningDaily[Diesel_L],tblMiningDaily[Date],$A66)</f>
        <v/>
      </c>
      <c r="BC66" s="55">
        <f>IF($B66=$B65,$BC65,0)+$BB66</f>
        <v/>
      </c>
      <c r="BD66" s="55">
        <f>$BD65+$BB66</f>
        <v/>
      </c>
      <c r="BE66" s="55">
        <f>SUMIFS(tblMiningDaily[Dewatering_m3],tblMiningDaily[Date],$A66)</f>
        <v/>
      </c>
      <c r="BF66" s="55">
        <f>IF($B66=$B65,$BF65,0)+$BE66</f>
        <v/>
      </c>
      <c r="BG66" s="55">
        <f>$BG65+$BE66</f>
        <v/>
      </c>
      <c r="BH66" s="57">
        <f>SUMIFS(tblFleet[Calendar_h],tblFleet[Date],$A66,tblFleet[Equipment_Class],"Excavator")</f>
        <v/>
      </c>
      <c r="BI66" s="57">
        <f>IF($B66=$B65,$BI65,0)+$BH66</f>
        <v/>
      </c>
      <c r="BJ66" s="57">
        <f>$BJ65+$BH66</f>
        <v/>
      </c>
      <c r="BK66" s="57">
        <f>SUMIFS(tblFleet[Available_h],tblFleet[Date],$A66,tblFleet[Equipment_Class],"Excavator")</f>
        <v/>
      </c>
      <c r="BL66" s="57">
        <f>IF($B66=$B65,$BL65,0)+$BK66</f>
        <v/>
      </c>
      <c r="BM66" s="57">
        <f>$BM65+$BK66</f>
        <v/>
      </c>
      <c r="BN66" s="57">
        <f>SUMIFS(tblFleet[Operating_h],tblFleet[Date],$A66,tblFleet[Equipment_Class],"Excavator")</f>
        <v/>
      </c>
      <c r="BO66" s="57">
        <f>IF($B66=$B65,$BO65,0)+$BN66</f>
        <v/>
      </c>
      <c r="BP66" s="57">
        <f>$BP65+$BN66</f>
        <v/>
      </c>
      <c r="BQ66" s="67">
        <f>IFERROR(IF(($BH66)&gt;0,($BK66)/($BH66),""),"")</f>
        <v/>
      </c>
      <c r="BR66" s="67">
        <f>IFERROR(IF(($BI66)&gt;0,($BL66)/($BI66),""),"")</f>
        <v/>
      </c>
      <c r="BS66" s="67">
        <f>IFERROR(IF(($BJ66)&gt;0,($BM66)/($BJ66),""),"")</f>
        <v/>
      </c>
      <c r="BT66" s="67">
        <f>IFERROR(IF(($BK66)&gt;0,($BN66)/($BK66),""),"")</f>
        <v/>
      </c>
      <c r="BU66" s="67">
        <f>IFERROR(IF(($BL66)&gt;0,($BO66)/($BL66),""),"")</f>
        <v/>
      </c>
      <c r="BV66" s="67">
        <f>IFERROR(IF(($BM66)&gt;0,($BP66)/($BM66),""),"")</f>
        <v/>
      </c>
      <c r="BW66" s="57">
        <f>SUMIFS(tblFleet[Calendar_h],tblFleet[Date],$A66,tblFleet[Equipment_Class],"Haul Truck")</f>
        <v/>
      </c>
      <c r="BX66" s="57">
        <f>IF($B66=$B65,$BX65,0)+$BW66</f>
        <v/>
      </c>
      <c r="BY66" s="57">
        <f>$BY65+$BW66</f>
        <v/>
      </c>
      <c r="BZ66" s="57">
        <f>SUMIFS(tblFleet[Available_h],tblFleet[Date],$A66,tblFleet[Equipment_Class],"Haul Truck")</f>
        <v/>
      </c>
      <c r="CA66" s="57">
        <f>IF($B66=$B65,$CA65,0)+$BZ66</f>
        <v/>
      </c>
      <c r="CB66" s="57">
        <f>$CB65+$BZ66</f>
        <v/>
      </c>
      <c r="CC66" s="57">
        <f>SUMIFS(tblFleet[Operating_h],tblFleet[Date],$A66,tblFleet[Equipment_Class],"Haul Truck")</f>
        <v/>
      </c>
      <c r="CD66" s="57">
        <f>IF($B66=$B65,$CD65,0)+$CC66</f>
        <v/>
      </c>
      <c r="CE66" s="57">
        <f>$CE65+$CC66</f>
        <v/>
      </c>
      <c r="CF66" s="67">
        <f>IFERROR(IF(($BW66)&gt;0,($BZ66)/($BW66),""),"")</f>
        <v/>
      </c>
      <c r="CG66" s="67">
        <f>IFERROR(IF(($BX66)&gt;0,($CA66)/($BX66),""),"")</f>
        <v/>
      </c>
      <c r="CH66" s="67">
        <f>IFERROR(IF(($BY66)&gt;0,($CB66)/($BY66),""),"")</f>
        <v/>
      </c>
      <c r="CI66" s="67">
        <f>IFERROR(IF(($BZ66)&gt;0,($CC66)/($BZ66),""),"")</f>
        <v/>
      </c>
      <c r="CJ66" s="67">
        <f>IFERROR(IF(($CA66)&gt;0,($CD66)/($CA66),""),"")</f>
        <v/>
      </c>
      <c r="CK66" s="67">
        <f>IFERROR(IF(($CB66)&gt;0,($CE66)/($CB66),""),"")</f>
        <v/>
      </c>
      <c r="CL66" s="55">
        <f>IFERROR(IF(($BN66)&gt;0,($X66+$AD66)/($BN66),""),"")</f>
        <v/>
      </c>
      <c r="CM66" s="55">
        <f>IFERROR(IF(($BO66)&gt;0,($Y66+$AE66)/($BO66),""),"")</f>
        <v/>
      </c>
      <c r="CN66" s="55">
        <f>IFERROR(IF(($BP66)&gt;0,($Z66+$AF66)/($BP66),""),"")</f>
        <v/>
      </c>
      <c r="CO66" s="55">
        <f>IFERROR(IF(($CC66)&gt;0,($X66+$AD66)/($CC66),""),"")</f>
        <v/>
      </c>
      <c r="CP66" s="55">
        <f>IFERROR(IF(($CD66)&gt;0,($Y66+$AE66)/($CD66),""),"")</f>
        <v/>
      </c>
      <c r="CQ66" s="55">
        <f>IFERROR(IF(($CE66)&gt;0,($Z66+$AF66)/($CE66),""),"")</f>
        <v/>
      </c>
      <c r="CR66" s="55">
        <f>SUMIFS(tblPlant[Crushed_t],tblPlant[Date],$A66)</f>
        <v/>
      </c>
      <c r="CS66" s="55">
        <f>IF($B66=$B65,$CS65,0)+$CR66</f>
        <v/>
      </c>
      <c r="CT66" s="55">
        <f>$CT65+$CR66</f>
        <v/>
      </c>
      <c r="CU66" s="55">
        <f>SUMIFS(tblPlant[Milled_t],tblPlant[Date],$A66)</f>
        <v/>
      </c>
      <c r="CV66" s="55">
        <f>IF($B66=$B65,$CV65,0)+$CU66</f>
        <v/>
      </c>
      <c r="CW66" s="55">
        <f>$CW65+$CU66</f>
        <v/>
      </c>
      <c r="CX66" s="55">
        <f>SUMIFS(tblPlant[Feed_oz],tblPlant[Date],$A66)</f>
        <v/>
      </c>
      <c r="CY66" s="55">
        <f>IF($B66=$B65,$CY65,0)+$CX66</f>
        <v/>
      </c>
      <c r="CZ66" s="55">
        <f>$CZ65+$CX66</f>
        <v/>
      </c>
      <c r="DA66" s="55">
        <f>SUMIFS(tblPlant[Tails_oz],tblPlant[Date],$A66)</f>
        <v/>
      </c>
      <c r="DB66" s="55">
        <f>IF($B66=$B65,$DB65,0)+$DA66</f>
        <v/>
      </c>
      <c r="DC66" s="55">
        <f>$DC65+$DA66</f>
        <v/>
      </c>
      <c r="DD66" s="55">
        <f>SUMIFS(tblPlant[Recovered_oz],tblPlant[Date],$A66)</f>
        <v/>
      </c>
      <c r="DE66" s="55">
        <f>IF($B66=$B65,$DE65,0)+$DD66</f>
        <v/>
      </c>
      <c r="DF66" s="55">
        <f>$DF65+$DD66</f>
        <v/>
      </c>
      <c r="DG66" s="55">
        <f>SUMIFS(tblPlant[Milled_t],tblPlant[Date],$A66,tblPlant[Head_Grade_gpt],"&lt;&gt;")</f>
        <v/>
      </c>
      <c r="DH66" s="55">
        <f>IF($B66=$B65,$DH65,0)+$DG66</f>
        <v/>
      </c>
      <c r="DI66" s="55">
        <f>$DI65+$DG66</f>
        <v/>
      </c>
      <c r="DJ66" s="55">
        <f>SUMIFS(tblPlant[Milled_t],tblPlant[Date],$A66,tblPlant[Tails_Grade_gpt],"&lt;&gt;")</f>
        <v/>
      </c>
      <c r="DK66" s="55">
        <f>IF($B66=$B65,$DK65,0)+$DJ66</f>
        <v/>
      </c>
      <c r="DL66" s="55">
        <f>$DL65+$DJ66</f>
        <v/>
      </c>
      <c r="DM66" s="55">
        <f>SUMIFS(tblPlant[Feed_oz],tblPlant[Date],$A66,tblPlant[Tails_Grade_gpt],"&lt;&gt;")</f>
        <v/>
      </c>
      <c r="DN66" s="55">
        <f>IF($B66=$B65,$DN65,0)+$DM66</f>
        <v/>
      </c>
      <c r="DO66" s="55">
        <f>$DO65+$DM66</f>
        <v/>
      </c>
      <c r="DP66" s="55">
        <f>SUMIFS(tblPlant[Milled_t],tblPlant[Date],$A66,tblPlant[Mill_Run_h],"&lt;&gt;")</f>
        <v/>
      </c>
      <c r="DQ66" s="55">
        <f>IF($B66=$B65,$DQ65,0)+$DP66</f>
        <v/>
      </c>
      <c r="DR66" s="55">
        <f>$DR65+$DP66</f>
        <v/>
      </c>
      <c r="DS66" s="56">
        <f>IFERROR(IF(($DG66)&gt;0,($CX66*cfg_TroyOz)/($DG66),""),"")</f>
        <v/>
      </c>
      <c r="DT66" s="56">
        <f>IFERROR(IF(($DH66)&gt;0,($CY66*cfg_TroyOz)/($DH66),""),"")</f>
        <v/>
      </c>
      <c r="DU66" s="56">
        <f>IFERROR(IF(($DI66)&gt;0,($CZ66*cfg_TroyOz)/($DI66),""),"")</f>
        <v/>
      </c>
      <c r="DV66" s="56">
        <f>IFERROR(IF(($DJ66)&gt;0,($DA66*cfg_TroyOz)/($DJ66),""),"")</f>
        <v/>
      </c>
      <c r="DW66" s="56">
        <f>IFERROR(IF(($DK66)&gt;0,($DB66*cfg_TroyOz)/($DK66),""),"")</f>
        <v/>
      </c>
      <c r="DX66" s="56">
        <f>IFERROR(IF(($DL66)&gt;0,($DC66*cfg_TroyOz)/($DL66),""),"")</f>
        <v/>
      </c>
      <c r="DY66" s="67">
        <f>IFERROR(IF(($DM66)&gt;0,($DD66)/($DM66),""),"")</f>
        <v/>
      </c>
      <c r="DZ66" s="67">
        <f>IFERROR(IF(($DN66)&gt;0,($DE66)/($DN66),""),"")</f>
        <v/>
      </c>
      <c r="EA66" s="67">
        <f>IFERROR(IF(($DO66)&gt;0,($DF66)/($DO66),""),"")</f>
        <v/>
      </c>
      <c r="EB66" s="55">
        <f>SUMIFS(tblPlant[Gravity_Gold_oz],tblPlant[Date],$A66)</f>
        <v/>
      </c>
      <c r="EC66" s="55">
        <f>IF($B66=$B65,$EC65,0)+$EB66</f>
        <v/>
      </c>
      <c r="ED66" s="55">
        <f>$ED65+$EB66</f>
        <v/>
      </c>
      <c r="EE66" s="67">
        <f>IFERROR(IF(($DD66)&gt;0,($EB66)/($DD66),""),"")</f>
        <v/>
      </c>
      <c r="EF66" s="67">
        <f>IFERROR(IF(($DE66)&gt;0,($EC66)/($DE66),""),"")</f>
        <v/>
      </c>
      <c r="EG66" s="67">
        <f>IFERROR(IF(($DF66)&gt;0,($ED66)/($DF66),""),"")</f>
        <v/>
      </c>
      <c r="EH66" s="55">
        <f>SUMIFS(tblPlant[Gold_Poured_oz],tblPlant[Date],$A66)</f>
        <v/>
      </c>
      <c r="EI66" s="55">
        <f>IF($B66=$B65,$EI65,0)+$EH66</f>
        <v/>
      </c>
      <c r="EJ66" s="55">
        <f>$EJ65+$EH66</f>
        <v/>
      </c>
      <c r="EK66" s="57">
        <f>SUMIFS(tblPlant[Mill_Run_h],tblPlant[Date],$A66)</f>
        <v/>
      </c>
      <c r="EL66" s="57">
        <f>IF($B66=$B65,$EL65,0)+$EK66</f>
        <v/>
      </c>
      <c r="EM66" s="57">
        <f>$EM65+$EK66</f>
        <v/>
      </c>
      <c r="EN66" s="57">
        <f>SUMIFS(tblPlant[Mill_Planned_Maint_h],tblPlant[Date],$A66)</f>
        <v/>
      </c>
      <c r="EO66" s="57">
        <f>IF($B66=$B65,$EO65,0)+$EN66</f>
        <v/>
      </c>
      <c r="EP66" s="57">
        <f>$EP65+$EN66</f>
        <v/>
      </c>
      <c r="EQ66" s="57">
        <f>SUMIFS(tblPlant[Mill_Unplanned_Down_h],tblPlant[Date],$A66)</f>
        <v/>
      </c>
      <c r="ER66" s="57">
        <f>IF($B66=$B65,$ER65,0)+$EQ66</f>
        <v/>
      </c>
      <c r="ES66" s="57">
        <f>$ES65+$EQ66</f>
        <v/>
      </c>
      <c r="ET66" s="57">
        <f>IF(COUNTIFS(tblPlant[Date],$A66,tblPlant[Mill_Run_h],"&lt;&gt;")+COUNTIFS(tblPlant[Date],$A66,tblPlant[Mill_Planned_Maint_h],"&lt;&gt;")+COUNTIFS(tblPlant[Date],$A66,tblPlant[Mill_Unplanned_Down_h],"&lt;&gt;")&gt;0,cfg_HoursPerDay,0)</f>
        <v/>
      </c>
      <c r="EU66" s="57">
        <f>IF($B66=$B65,$EU65,0)+$ET66</f>
        <v/>
      </c>
      <c r="EV66" s="57">
        <f>$EV65+$ET66</f>
        <v/>
      </c>
      <c r="EW66" s="57">
        <f>SUMIFS(tblPlant[Crusher_Run_h],tblPlant[Date],$A66)</f>
        <v/>
      </c>
      <c r="EX66" s="57">
        <f>IF($B66=$B65,$EX65,0)+$EW66</f>
        <v/>
      </c>
      <c r="EY66" s="57">
        <f>$EY65+$EW66</f>
        <v/>
      </c>
      <c r="EZ66" s="55">
        <f>IFERROR(IF(($EK66)&gt;0,($DP66)/($EK66),""),"")</f>
        <v/>
      </c>
      <c r="FA66" s="55">
        <f>IFERROR(IF(($EL66)&gt;0,($DQ66)/($EL66),""),"")</f>
        <v/>
      </c>
      <c r="FB66" s="55">
        <f>IFERROR(IF(($EM66)&gt;0,($DR66)/($EM66),""),"")</f>
        <v/>
      </c>
      <c r="FC66" s="67">
        <f>IFERROR(IF(($ET66)&gt;0,($ET66-$EN66-$EQ66)/($ET66),""),"")</f>
        <v/>
      </c>
      <c r="FD66" s="67">
        <f>IFERROR(IF(($EU66)&gt;0,($EU66-$EO66-$ER66)/($EU66),""),"")</f>
        <v/>
      </c>
      <c r="FE66" s="67">
        <f>IFERROR(IF(($EV66)&gt;0,($EV66-$EP66-$ES66)/($EV66),""),"")</f>
        <v/>
      </c>
      <c r="FF66" s="67">
        <f>IFERROR(IF(($ET66-$EN66-$EQ66)&gt;0,($EK66)/($ET66-$EN66-$EQ66),""),"")</f>
        <v/>
      </c>
      <c r="FG66" s="67">
        <f>IFERROR(IF(($EU66-$EO66-$ER66)&gt;0,($EL66)/($EU66-$EO66-$ER66),""),"")</f>
        <v/>
      </c>
      <c r="FH66" s="67">
        <f>IFERROR(IF(($EV66-$EP66-$ES66)&gt;0,($EM66)/($EV66-$EP66-$ES66),""),"")</f>
        <v/>
      </c>
      <c r="FI66" s="55">
        <f>SUMIFS(tblPlant[Cyanide_kg],tblPlant[Date],$A66)</f>
        <v/>
      </c>
      <c r="FJ66" s="55">
        <f>IF($B66=$B65,$FJ65,0)+$FI66</f>
        <v/>
      </c>
      <c r="FK66" s="55">
        <f>$FK65+$FI66</f>
        <v/>
      </c>
      <c r="FL66" s="55">
        <f>SUMIFS(tblPlant[Lime_kg],tblPlant[Date],$A66)</f>
        <v/>
      </c>
      <c r="FM66" s="55">
        <f>IF($B66=$B65,$FM65,0)+$FL66</f>
        <v/>
      </c>
      <c r="FN66" s="55">
        <f>$FN65+$FL66</f>
        <v/>
      </c>
      <c r="FO66" s="55">
        <f>SUMIFS(tblPlant[Grinding_Media_kg],tblPlant[Date],$A66)</f>
        <v/>
      </c>
      <c r="FP66" s="55">
        <f>IF($B66=$B65,$FP65,0)+$FO66</f>
        <v/>
      </c>
      <c r="FQ66" s="55">
        <f>$FQ65+$FO66</f>
        <v/>
      </c>
      <c r="FR66" s="55">
        <f>SUMIFS(tblPlant[Power_kWh],tblPlant[Date],$A66)</f>
        <v/>
      </c>
      <c r="FS66" s="55">
        <f>IF($B66=$B65,$FS65,0)+$FR66</f>
        <v/>
      </c>
      <c r="FT66" s="55">
        <f>$FT65+$FR66</f>
        <v/>
      </c>
      <c r="FU66" s="55">
        <f>SUMIFS(tblPlant[Raw_Water_m3],tblPlant[Date],$A66)</f>
        <v/>
      </c>
      <c r="FV66" s="55">
        <f>IF($B66=$B65,$FV65,0)+$FU66</f>
        <v/>
      </c>
      <c r="FW66" s="55">
        <f>$FW65+$FU66</f>
        <v/>
      </c>
      <c r="FX66" s="56">
        <f>IFERROR(IF(($CU66)&gt;0,($FI66)/($CU66),""),"")</f>
        <v/>
      </c>
      <c r="FY66" s="56">
        <f>IFERROR(IF(($CV66)&gt;0,($FJ66)/($CV66),""),"")</f>
        <v/>
      </c>
      <c r="FZ66" s="56">
        <f>IFERROR(IF(($CW66)&gt;0,($FK66)/($CW66),""),"")</f>
        <v/>
      </c>
      <c r="GA66" s="56">
        <f>IFERROR(IF(($CU66)&gt;0,($FL66)/($CU66),""),"")</f>
        <v/>
      </c>
      <c r="GB66" s="56">
        <f>IFERROR(IF(($CV66)&gt;0,($FM66)/($CV66),""),"")</f>
        <v/>
      </c>
      <c r="GC66" s="56">
        <f>IFERROR(IF(($CW66)&gt;0,($FN66)/($CW66),""),"")</f>
        <v/>
      </c>
      <c r="GD66" s="56">
        <f>IFERROR(IF(($CU66)&gt;0,($FO66)/($CU66),""),"")</f>
        <v/>
      </c>
      <c r="GE66" s="56">
        <f>IFERROR(IF(($CV66)&gt;0,($FP66)/($CV66),""),"")</f>
        <v/>
      </c>
      <c r="GF66" s="56">
        <f>IFERROR(IF(($CW66)&gt;0,($FQ66)/($CW66),""),"")</f>
        <v/>
      </c>
      <c r="GG66" s="79">
        <f>IFERROR(IF(($CU66)&gt;0,($FR66)/($CU66),""),"")</f>
        <v/>
      </c>
      <c r="GH66" s="79">
        <f>IFERROR(IF(($CV66)&gt;0,($FS66)/($CV66),""),"")</f>
        <v/>
      </c>
      <c r="GI66" s="79">
        <f>IFERROR(IF(($CW66)&gt;0,($FT66)/($CW66),""),"")</f>
        <v/>
      </c>
      <c r="GJ66" s="56">
        <f>IFERROR(IF(($CU66)&gt;0,($FU66)/($CU66),""),"")</f>
        <v/>
      </c>
      <c r="GK66" s="56">
        <f>IFERROR(IF(($CV66)&gt;0,($FV66)/($CV66),""),"")</f>
        <v/>
      </c>
      <c r="GL66" s="56">
        <f>IFERROR(IF(($CW66)&gt;0,($FW66)/($CW66),""),"")</f>
        <v/>
      </c>
      <c r="GM66" s="55">
        <f>IF(SUMIFS(tblPlant[GIC_oz],tblPlant[Date],$A66)&gt;0,SUMIFS(tblPlant[GIC_oz],tblPlant[Date],$A66),"")</f>
        <v/>
      </c>
      <c r="GN66" s="55">
        <f>SUMIFS(tblGold[Gold_oz],tblGold[Date],$A66,tblGold[Type],"Shipment")</f>
        <v/>
      </c>
      <c r="GO66" s="55">
        <f>IF($B66=$B65,$GO65,0)+$GN66</f>
        <v/>
      </c>
      <c r="GP66" s="55">
        <f>$GP65+$GN66</f>
        <v/>
      </c>
      <c r="GQ66" s="55">
        <f>SUMIFS(tblGold[Gold_oz],tblGold[Date],$A66,tblGold[Type],"Sale")</f>
        <v/>
      </c>
      <c r="GR66" s="55">
        <f>IF($B66=$B65,$GR65,0)+$GQ66</f>
        <v/>
      </c>
      <c r="GS66" s="55">
        <f>$GS65+$GQ66</f>
        <v/>
      </c>
      <c r="GT66" s="55">
        <f>SUMIFS(tblGold[Dore_kg],tblGold[Date],$A66,tblGold[Type],"Shipment")</f>
        <v/>
      </c>
      <c r="GU66" s="55">
        <f>IF($B66=$B65,$GU65,0)+$GT66</f>
        <v/>
      </c>
      <c r="GV66" s="55">
        <f>$GV65+$GT66</f>
        <v/>
      </c>
      <c r="GW66" s="57">
        <f>SUMIFS(tblSafety[Hours_Total],tblSafety[Date],$A66)</f>
        <v/>
      </c>
      <c r="GX66" s="57">
        <f>IF($B66=$B65,$GX65,0)+$GW66</f>
        <v/>
      </c>
      <c r="GY66" s="57">
        <f>$GY65+$GW66</f>
        <v/>
      </c>
      <c r="GZ66" s="62">
        <f>SUMIFS(tblSafety[Fatality],tblSafety[Date],$A66)</f>
        <v/>
      </c>
      <c r="HA66" s="62">
        <f>IF($B66=$B65,$HA65,0)+$GZ66</f>
        <v/>
      </c>
      <c r="HB66" s="62">
        <f>$HB65+$GZ66</f>
        <v/>
      </c>
      <c r="HC66" s="62">
        <f>SUMIFS(tblSafety[LTI],tblSafety[Date],$A66)</f>
        <v/>
      </c>
      <c r="HD66" s="62">
        <f>IF($B66=$B65,$HD65,0)+$HC66</f>
        <v/>
      </c>
      <c r="HE66" s="62">
        <f>$HE65+$HC66</f>
        <v/>
      </c>
      <c r="HF66" s="62">
        <f>SUMIFS(tblSafety[RWI],tblSafety[Date],$A66)</f>
        <v/>
      </c>
      <c r="HG66" s="62">
        <f>IF($B66=$B65,$HG65,0)+$HF66</f>
        <v/>
      </c>
      <c r="HH66" s="62">
        <f>$HH65+$HF66</f>
        <v/>
      </c>
      <c r="HI66" s="62">
        <f>SUMIFS(tblSafety[MTI],tblSafety[Date],$A66)</f>
        <v/>
      </c>
      <c r="HJ66" s="62">
        <f>IF($B66=$B65,$HJ65,0)+$HI66</f>
        <v/>
      </c>
      <c r="HK66" s="62">
        <f>$HK65+$HI66</f>
        <v/>
      </c>
      <c r="HL66" s="62">
        <f>SUMIFS(tblSafety[FAI],tblSafety[Date],$A66)</f>
        <v/>
      </c>
      <c r="HM66" s="62">
        <f>IF($B66=$B65,$HM65,0)+$HL66</f>
        <v/>
      </c>
      <c r="HN66" s="62">
        <f>$HN65+$HL66</f>
        <v/>
      </c>
      <c r="HO66" s="62">
        <f>SUMIFS(tblSafety[Recordables],tblSafety[Date],$A66)</f>
        <v/>
      </c>
      <c r="HP66" s="62">
        <f>IF($B66=$B65,$HP65,0)+$HO66</f>
        <v/>
      </c>
      <c r="HQ66" s="62">
        <f>$HQ65+$HO66</f>
        <v/>
      </c>
      <c r="HR66" s="62">
        <f>SUMIFS(tblSafety[Near_Miss],tblSafety[Date],$A66)</f>
        <v/>
      </c>
      <c r="HS66" s="62">
        <f>IF($B66=$B65,$HS65,0)+$HR66</f>
        <v/>
      </c>
      <c r="HT66" s="62">
        <f>$HT65+$HR66</f>
        <v/>
      </c>
      <c r="HU66" s="62">
        <f>SUMIFS(tblSafety[Hazard_Reports],tblSafety[Date],$A66)</f>
        <v/>
      </c>
      <c r="HV66" s="62">
        <f>IF($B66=$B65,$HV65,0)+$HU66</f>
        <v/>
      </c>
      <c r="HW66" s="62">
        <f>$HW65+$HU66</f>
        <v/>
      </c>
      <c r="HX66" s="62">
        <f>SUMIFS(tblSafety[HPI],tblSafety[Date],$A66)</f>
        <v/>
      </c>
      <c r="HY66" s="62">
        <f>IF($B66=$B65,$HY65,0)+$HX66</f>
        <v/>
      </c>
      <c r="HZ66" s="62">
        <f>$HZ65+$HX66</f>
        <v/>
      </c>
      <c r="IA66" s="62">
        <f>SUMIFS(tblSafety[Env_Incidents],tblSafety[Date],$A66)</f>
        <v/>
      </c>
      <c r="IB66" s="62">
        <f>IF($B66=$B65,$IB65,0)+$IA66</f>
        <v/>
      </c>
      <c r="IC66" s="62">
        <f>$IC65+$IA66</f>
        <v/>
      </c>
      <c r="ID66" s="62">
        <f>SUMIFS(tblSafety[Community_Incidents],tblSafety[Date],$A66)</f>
        <v/>
      </c>
      <c r="IE66" s="62">
        <f>IF($B66=$B65,$IE65,0)+$ID66</f>
        <v/>
      </c>
      <c r="IF66" s="62">
        <f>$IF65+$ID66</f>
        <v/>
      </c>
      <c r="IG66" s="62">
        <f>SUMIFS(tblSafety[Vehicle_Incidents],tblSafety[Date],$A66)</f>
        <v/>
      </c>
      <c r="IH66" s="62">
        <f>IF($B66=$B65,$IH65,0)+$IG66</f>
        <v/>
      </c>
      <c r="II66" s="62">
        <f>$II65+$IG66</f>
        <v/>
      </c>
      <c r="IJ66" s="62">
        <f>SUMIFS(tblSafety[Toolbox_Talks],tblSafety[Date],$A66)</f>
        <v/>
      </c>
      <c r="IK66" s="62">
        <f>IF($B66=$B65,$IK65,0)+$IJ66</f>
        <v/>
      </c>
      <c r="IL66" s="62">
        <f>$IL65+$IJ66</f>
        <v/>
      </c>
      <c r="IM66" s="62">
        <f>SUMIFS(tblSafety[Inspections],tblSafety[Date],$A66)</f>
        <v/>
      </c>
      <c r="IN66" s="62">
        <f>IF($B66=$B65,$IN65,0)+$IM66</f>
        <v/>
      </c>
      <c r="IO66" s="62">
        <f>$IO65+$IM66</f>
        <v/>
      </c>
      <c r="IP66" s="56">
        <f>IFERROR((SUMIFS(tblSafety[Recordables],tblSafety[Date],"&gt;="&amp;EDATE($E66,-12),tblSafety[Date],"&lt;="&amp;$A66)+SUMIFS(tblSafetyHistory[Recordables],tblSafetyHistory[Month],"&gt;="&amp;EDATE($E66,-12),tblSafetyHistory[Month],"&lt;"&amp;$E66,tblSafetyHistory[Use],1))/(SUMIFS(tblSafety[Hours_Total],tblSafety[Date],"&gt;="&amp;EDATE($E66,-12),tblSafety[Date],"&lt;="&amp;$A66)+SUMIFS(tblSafetyHistory[Hours_Total],tblSafetyHistory[Month],"&gt;="&amp;EDATE($E66,-12),tblSafetyHistory[Month],"&lt;"&amp;$E66,tblSafetyHistory[Use],1))*cfg_RateBasisHours,"")</f>
        <v/>
      </c>
      <c r="IQ66" s="56">
        <f>IFERROR((SUMIFS(tblSafety[LTI],tblSafety[Date],"&gt;="&amp;EDATE($E66,-12),tblSafety[Date],"&lt;="&amp;$A66)+SUMIFS(tblSafetyHistory[LTI],tblSafetyHistory[Month],"&gt;="&amp;EDATE($E66,-12),tblSafetyHistory[Month],"&lt;"&amp;$E66,tblSafetyHistory[Use],1))/(SUMIFS(tblSafety[Hours_Total],tblSafety[Date],"&gt;="&amp;EDATE($E66,-12),tblSafety[Date],"&lt;="&amp;$A66)+SUMIFS(tblSafetyHistory[Hours_Total],tblSafetyHistory[Month],"&gt;="&amp;EDATE($E66,-12),tblSafetyHistory[Month],"&lt;"&amp;$E66,tblSafetyHistory[Use],1))*cfg_RateBasisHours,"")</f>
        <v/>
      </c>
      <c r="IR66" s="62">
        <f>IF(MAX(N(cfg_PriorLTIDate),_xlfn.MAXIFS(tblSafety[Date],tblSafety[LTI],"&gt;0",tblSafety[Date],"&lt;="&amp;$A66))=0,"",$A66-MAX(N(cfg_PriorLTIDate),_xlfn.MAXIFS(tblSafety[Date],tblSafety[LTI],"&gt;0",tblSafety[Date],"&lt;="&amp;$A66)))</f>
        <v/>
      </c>
      <c r="IS66" s="55">
        <f>SUMIFS(tblBudget[Ore_Mined_t],tblBudget[Month],$E66)</f>
        <v/>
      </c>
      <c r="IT66" s="55">
        <f>$IS66*$C66/$D66</f>
        <v/>
      </c>
      <c r="IU66" s="55">
        <f>SUMIFS(tblBudget[Ore_Mined_t],tblBudget[Month],"&lt;"&amp;$E66)+$IT66</f>
        <v/>
      </c>
      <c r="IV66" s="55">
        <f>SUMIFS(tblBudget[Ore_oz],tblBudget[Month],$E66)</f>
        <v/>
      </c>
      <c r="IW66" s="55">
        <f>$IV66*$C66/$D66</f>
        <v/>
      </c>
      <c r="IX66" s="55">
        <f>SUMIFS(tblBudget[Ore_oz],tblBudget[Month],"&lt;"&amp;$E66)+$IW66</f>
        <v/>
      </c>
      <c r="IY66" s="55">
        <f>SUMIFS(tblBudget[Ore_Mined_t],tblBudget[Month],$E66)</f>
        <v/>
      </c>
      <c r="IZ66" s="55">
        <f>$IY66*$C66/$D66</f>
        <v/>
      </c>
      <c r="JA66" s="55">
        <f>SUMIFS(tblBudget[Ore_Mined_t],tblBudget[Month],"&lt;"&amp;$E66)+$IZ66</f>
        <v/>
      </c>
      <c r="JB66" s="56">
        <f>IFERROR(IF(($IY66)&gt;0,($IV66*cfg_TroyOz)/($IY66),""),"")</f>
        <v/>
      </c>
      <c r="JC66" s="56">
        <f>IFERROR(IF(($IZ66)&gt;0,($IW66*cfg_TroyOz)/($IZ66),""),"")</f>
        <v/>
      </c>
      <c r="JD66" s="56">
        <f>IFERROR(IF(($JA66)&gt;0,($IX66*cfg_TroyOz)/($JA66),""),"")</f>
        <v/>
      </c>
      <c r="JE66" s="55">
        <f>SUMIFS(tblBudget[Waste_t],tblBudget[Month],$E66)</f>
        <v/>
      </c>
      <c r="JF66" s="55">
        <f>$JE66*$C66/$D66</f>
        <v/>
      </c>
      <c r="JG66" s="55">
        <f>SUMIFS(tblBudget[Waste_t],tblBudget[Month],"&lt;"&amp;$E66)+$JF66</f>
        <v/>
      </c>
      <c r="JH66" s="55">
        <f>SUMIFS(tblBudget[TMM_t],tblBudget[Month],$E66)</f>
        <v/>
      </c>
      <c r="JI66" s="55">
        <f>$JH66*$C66/$D66</f>
        <v/>
      </c>
      <c r="JJ66" s="55">
        <f>SUMIFS(tblBudget[TMM_t],tblBudget[Month],"&lt;"&amp;$E66)+$JI66</f>
        <v/>
      </c>
      <c r="JK66" s="56">
        <f>IFERROR(IF(($IS66)&gt;0,($JE66)/($IS66),""),"")</f>
        <v/>
      </c>
      <c r="JL66" s="56">
        <f>IFERROR(IF(($IT66)&gt;0,($JF66)/($IT66),""),"")</f>
        <v/>
      </c>
      <c r="JM66" s="56">
        <f>IFERROR(IF(($IU66)&gt;0,($JG66)/($IU66),""),"")</f>
        <v/>
      </c>
      <c r="JN66" s="55">
        <f>SUMIFS(tblBudget[Drill_m],tblBudget[Month],$E66)</f>
        <v/>
      </c>
      <c r="JO66" s="55">
        <f>$JN66*$C66/$D66</f>
        <v/>
      </c>
      <c r="JP66" s="55">
        <f>SUMIFS(tblBudget[Drill_m],tblBudget[Month],"&lt;"&amp;$E66)+$JO66</f>
        <v/>
      </c>
      <c r="JQ66" s="55">
        <f>SUMIFS(tblBudget[Diesel_L],tblBudget[Month],$E66)</f>
        <v/>
      </c>
      <c r="JR66" s="55">
        <f>$JQ66*$C66/$D66</f>
        <v/>
      </c>
      <c r="JS66" s="55">
        <f>SUMIFS(tblBudget[Diesel_L],tblBudget[Month],"&lt;"&amp;$E66)+$JR66</f>
        <v/>
      </c>
      <c r="JT66" s="55">
        <f>SUMIFS(tblBudget[Milled_t],tblBudget[Month],$E66)</f>
        <v/>
      </c>
      <c r="JU66" s="55">
        <f>$JT66*$C66/$D66</f>
        <v/>
      </c>
      <c r="JV66" s="55">
        <f>SUMIFS(tblBudget[Milled_t],tblBudget[Month],"&lt;"&amp;$E66)+$JU66</f>
        <v/>
      </c>
      <c r="JW66" s="55">
        <f>SUMIFS(tblBudget[Feed_oz],tblBudget[Month],$E66)</f>
        <v/>
      </c>
      <c r="JX66" s="55">
        <f>$JW66*$C66/$D66</f>
        <v/>
      </c>
      <c r="JY66" s="55">
        <f>SUMIFS(tblBudget[Feed_oz],tblBudget[Month],"&lt;"&amp;$E66)+$JX66</f>
        <v/>
      </c>
      <c r="JZ66" s="55">
        <f>SUMIFS(tblBudget[Recovered_oz],tblBudget[Month],$E66)</f>
        <v/>
      </c>
      <c r="KA66" s="55">
        <f>$JZ66*$C66/$D66</f>
        <v/>
      </c>
      <c r="KB66" s="55">
        <f>SUMIFS(tblBudget[Recovered_oz],tblBudget[Month],"&lt;"&amp;$E66)+$KA66</f>
        <v/>
      </c>
      <c r="KC66" s="55">
        <f>SUMIFS(tblBudget[Milled_t],tblBudget[Month],$E66)</f>
        <v/>
      </c>
      <c r="KD66" s="55">
        <f>$KC66*$C66/$D66</f>
        <v/>
      </c>
      <c r="KE66" s="55">
        <f>SUMIFS(tblBudget[Milled_t],tblBudget[Month],"&lt;"&amp;$E66)+$KD66</f>
        <v/>
      </c>
      <c r="KF66" s="55">
        <f>SUMIFS(tblBudget[Feed_oz],tblBudget[Month],$E66)</f>
        <v/>
      </c>
      <c r="KG66" s="55">
        <f>$KF66*$C66/$D66</f>
        <v/>
      </c>
      <c r="KH66" s="55">
        <f>SUMIFS(tblBudget[Feed_oz],tblBudget[Month],"&lt;"&amp;$E66)+$KG66</f>
        <v/>
      </c>
      <c r="KI66" s="56">
        <f>IFERROR(IF(($KC66)&gt;0,($JW66*cfg_TroyOz)/($KC66),""),"")</f>
        <v/>
      </c>
      <c r="KJ66" s="56">
        <f>IFERROR(IF(($KD66)&gt;0,($JX66*cfg_TroyOz)/($KD66),""),"")</f>
        <v/>
      </c>
      <c r="KK66" s="56">
        <f>IFERROR(IF(($KE66)&gt;0,($JY66*cfg_TroyOz)/($KE66),""),"")</f>
        <v/>
      </c>
      <c r="KL66" s="67">
        <f>IFERROR(IF(($KF66)&gt;0,($JZ66)/($KF66),""),"")</f>
        <v/>
      </c>
      <c r="KM66" s="67">
        <f>IFERROR(IF(($KG66)&gt;0,($KA66)/($KG66),""),"")</f>
        <v/>
      </c>
      <c r="KN66" s="67">
        <f>IFERROR(IF(($KH66)&gt;0,($KB66)/($KH66),""),"")</f>
        <v/>
      </c>
      <c r="KO66" s="55">
        <f>SUMIFS(tblBudget[Gold_Poured_oz],tblBudget[Month],$E66)</f>
        <v/>
      </c>
      <c r="KP66" s="55">
        <f>$KO66*$C66/$D66</f>
        <v/>
      </c>
      <c r="KQ66" s="55">
        <f>SUMIFS(tblBudget[Gold_Poured_oz],tblBudget[Month],"&lt;"&amp;$E66)+$KP66</f>
        <v/>
      </c>
      <c r="KR66" s="57">
        <f>SUMIFS(tblBudget[Hours_Worked],tblBudget[Month],$E66)</f>
        <v/>
      </c>
      <c r="KS66" s="57">
        <f>$KR66*$C66/$D66</f>
        <v/>
      </c>
      <c r="KT66" s="57">
        <f>SUMIFS(tblBudget[Hours_Worked],tblBudget[Month],"&lt;"&amp;$E66)+$KS66</f>
        <v/>
      </c>
    </row>
    <row r="67">
      <c r="A67" s="54" t="n">
        <v>46088</v>
      </c>
      <c r="B67">
        <f>MONTH($A67)</f>
        <v/>
      </c>
      <c r="C67">
        <f>DAY($A67)</f>
        <v/>
      </c>
      <c r="D67">
        <f>DAY(EOMONTH($A67,0))</f>
        <v/>
      </c>
      <c r="E67" s="54">
        <f>DATE(YEAR($A67),MONTH($A67),1)</f>
        <v/>
      </c>
      <c r="F67" s="55">
        <f>SUMIFS(tblMovement[Tonnes_t],tblMovement[Date],$A67,tblMovement[Is_Ore],1,tblMovement[Source_Type],"Pit")</f>
        <v/>
      </c>
      <c r="G67" s="55">
        <f>IF($B67=$B66,$G66,0)+$F67</f>
        <v/>
      </c>
      <c r="H67" s="55">
        <f>$H66+$F67</f>
        <v/>
      </c>
      <c r="I67" s="55">
        <f>SUMIFS(tblMovement[Ore_oz],tblMovement[Date],$A67,tblMovement[Source_Type],"Pit")</f>
        <v/>
      </c>
      <c r="J67" s="55">
        <f>IF($B67=$B66,$J66,0)+$I67</f>
        <v/>
      </c>
      <c r="K67" s="55">
        <f>$K66+$I67</f>
        <v/>
      </c>
      <c r="L67" s="55">
        <f>SUMIFS(tblMovement[Tonnes_t],tblMovement[Date],$A67,tblMovement[Is_Ore],1,tblMovement[Source_Type],"Pit",tblMovement[Grade_gpt],"&lt;&gt;")</f>
        <v/>
      </c>
      <c r="M67" s="55">
        <f>IF($B67=$B66,$M66,0)+$L67</f>
        <v/>
      </c>
      <c r="N67" s="55">
        <f>$N66+$L67</f>
        <v/>
      </c>
      <c r="O67" s="56">
        <f>IFERROR(IF(($L67)&gt;0,($I67*cfg_TroyOz)/($L67),""),"")</f>
        <v/>
      </c>
      <c r="P67" s="56">
        <f>IFERROR(IF(($M67)&gt;0,($J67*cfg_TroyOz)/($M67),""),"")</f>
        <v/>
      </c>
      <c r="Q67" s="56">
        <f>IFERROR(IF(($N67)&gt;0,($K67*cfg_TroyOz)/($N67),""),"")</f>
        <v/>
      </c>
      <c r="R67" s="55">
        <f>$F67-$L67</f>
        <v/>
      </c>
      <c r="S67" s="55">
        <f>IF($B67=$B66,$S66,0)+$R67</f>
        <v/>
      </c>
      <c r="T67" s="55">
        <f>$T66+$R67</f>
        <v/>
      </c>
      <c r="U67" s="55">
        <f>SUMIFS(tblMovement[Tonnes_t],tblMovement[Date],$A67,tblMovement[Is_Ore],0,tblMovement[Source_Type],"Pit")</f>
        <v/>
      </c>
      <c r="V67" s="55">
        <f>IF($B67=$B66,$V66,0)+$U67</f>
        <v/>
      </c>
      <c r="W67" s="55">
        <f>$W66+$U67</f>
        <v/>
      </c>
      <c r="X67" s="55">
        <f>$F67+$U67</f>
        <v/>
      </c>
      <c r="Y67" s="55">
        <f>IF($B67=$B66,$Y66,0)+$X67</f>
        <v/>
      </c>
      <c r="Z67" s="55">
        <f>$Z66+$X67</f>
        <v/>
      </c>
      <c r="AA67" s="56">
        <f>IFERROR(IF(($F67)&gt;0,($U67)/($F67),""),"")</f>
        <v/>
      </c>
      <c r="AB67" s="56">
        <f>IFERROR(IF(($G67)&gt;0,($V67)/($G67),""),"")</f>
        <v/>
      </c>
      <c r="AC67" s="56">
        <f>IFERROR(IF(($H67)&gt;0,($W67)/($H67),""),"")</f>
        <v/>
      </c>
      <c r="AD67" s="55">
        <f>SUMIFS(tblMovement[Tonnes_t],tblMovement[Date],$A67,tblMovement[Source_Type],"Stockpile")</f>
        <v/>
      </c>
      <c r="AE67" s="55">
        <f>IF($B67=$B66,$AE66,0)+$AD67</f>
        <v/>
      </c>
      <c r="AF67" s="55">
        <f>$AF66+$AD67</f>
        <v/>
      </c>
      <c r="AG67" s="55">
        <f>SUMIFS(tblMovement[Tonnes_t],tblMovement[Date],$A67)</f>
        <v/>
      </c>
      <c r="AH67" s="55">
        <f>IF($B67=$B66,$AH66,0)+$AG67</f>
        <v/>
      </c>
      <c r="AI67" s="55">
        <f>$AI66+$AG67</f>
        <v/>
      </c>
      <c r="AJ67" s="55">
        <f>$AG67-$X67-$AD67</f>
        <v/>
      </c>
      <c r="AK67" s="55">
        <f>IF($B67=$B66,$AK66,0)+$AJ67</f>
        <v/>
      </c>
      <c r="AL67" s="55">
        <f>$AL66+$AJ67</f>
        <v/>
      </c>
      <c r="AM67" s="55">
        <f>SUMIFS(tblMiningDaily[Drill_m],tblMiningDaily[Date],$A67)</f>
        <v/>
      </c>
      <c r="AN67" s="55">
        <f>IF($B67=$B66,$AN66,0)+$AM67</f>
        <v/>
      </c>
      <c r="AO67" s="55">
        <f>$AO66+$AM67</f>
        <v/>
      </c>
      <c r="AP67" s="55">
        <f>SUMIFS(tblMiningDaily[GC_Drill_m],tblMiningDaily[Date],$A67)</f>
        <v/>
      </c>
      <c r="AQ67" s="55">
        <f>IF($B67=$B66,$AQ66,0)+$AP67</f>
        <v/>
      </c>
      <c r="AR67" s="55">
        <f>$AR66+$AP67</f>
        <v/>
      </c>
      <c r="AS67" s="55">
        <f>SUMIFS(tblMiningDaily[Blast_t],tblMiningDaily[Date],$A67)</f>
        <v/>
      </c>
      <c r="AT67" s="55">
        <f>IF($B67=$B66,$AT66,0)+$AS67</f>
        <v/>
      </c>
      <c r="AU67" s="55">
        <f>$AU66+$AS67</f>
        <v/>
      </c>
      <c r="AV67" s="55">
        <f>SUMIFS(tblMiningDaily[Explosives_kg],tblMiningDaily[Date],$A67)</f>
        <v/>
      </c>
      <c r="AW67" s="55">
        <f>IF($B67=$B66,$AW66,0)+$AV67</f>
        <v/>
      </c>
      <c r="AX67" s="55">
        <f>$AX66+$AV67</f>
        <v/>
      </c>
      <c r="AY67" s="56">
        <f>IFERROR(IF(($AS67)&gt;0,($AV67)/($AS67),""),"")</f>
        <v/>
      </c>
      <c r="AZ67" s="56">
        <f>IFERROR(IF(($AT67)&gt;0,($AW67)/($AT67),""),"")</f>
        <v/>
      </c>
      <c r="BA67" s="56">
        <f>IFERROR(IF(($AU67)&gt;0,($AX67)/($AU67),""),"")</f>
        <v/>
      </c>
      <c r="BB67" s="55">
        <f>SUMIFS(tblMiningDaily[Diesel_L],tblMiningDaily[Date],$A67)</f>
        <v/>
      </c>
      <c r="BC67" s="55">
        <f>IF($B67=$B66,$BC66,0)+$BB67</f>
        <v/>
      </c>
      <c r="BD67" s="55">
        <f>$BD66+$BB67</f>
        <v/>
      </c>
      <c r="BE67" s="55">
        <f>SUMIFS(tblMiningDaily[Dewatering_m3],tblMiningDaily[Date],$A67)</f>
        <v/>
      </c>
      <c r="BF67" s="55">
        <f>IF($B67=$B66,$BF66,0)+$BE67</f>
        <v/>
      </c>
      <c r="BG67" s="55">
        <f>$BG66+$BE67</f>
        <v/>
      </c>
      <c r="BH67" s="57">
        <f>SUMIFS(tblFleet[Calendar_h],tblFleet[Date],$A67,tblFleet[Equipment_Class],"Excavator")</f>
        <v/>
      </c>
      <c r="BI67" s="57">
        <f>IF($B67=$B66,$BI66,0)+$BH67</f>
        <v/>
      </c>
      <c r="BJ67" s="57">
        <f>$BJ66+$BH67</f>
        <v/>
      </c>
      <c r="BK67" s="57">
        <f>SUMIFS(tblFleet[Available_h],tblFleet[Date],$A67,tblFleet[Equipment_Class],"Excavator")</f>
        <v/>
      </c>
      <c r="BL67" s="57">
        <f>IF($B67=$B66,$BL66,0)+$BK67</f>
        <v/>
      </c>
      <c r="BM67" s="57">
        <f>$BM66+$BK67</f>
        <v/>
      </c>
      <c r="BN67" s="57">
        <f>SUMIFS(tblFleet[Operating_h],tblFleet[Date],$A67,tblFleet[Equipment_Class],"Excavator")</f>
        <v/>
      </c>
      <c r="BO67" s="57">
        <f>IF($B67=$B66,$BO66,0)+$BN67</f>
        <v/>
      </c>
      <c r="BP67" s="57">
        <f>$BP66+$BN67</f>
        <v/>
      </c>
      <c r="BQ67" s="67">
        <f>IFERROR(IF(($BH67)&gt;0,($BK67)/($BH67),""),"")</f>
        <v/>
      </c>
      <c r="BR67" s="67">
        <f>IFERROR(IF(($BI67)&gt;0,($BL67)/($BI67),""),"")</f>
        <v/>
      </c>
      <c r="BS67" s="67">
        <f>IFERROR(IF(($BJ67)&gt;0,($BM67)/($BJ67),""),"")</f>
        <v/>
      </c>
      <c r="BT67" s="67">
        <f>IFERROR(IF(($BK67)&gt;0,($BN67)/($BK67),""),"")</f>
        <v/>
      </c>
      <c r="BU67" s="67">
        <f>IFERROR(IF(($BL67)&gt;0,($BO67)/($BL67),""),"")</f>
        <v/>
      </c>
      <c r="BV67" s="67">
        <f>IFERROR(IF(($BM67)&gt;0,($BP67)/($BM67),""),"")</f>
        <v/>
      </c>
      <c r="BW67" s="57">
        <f>SUMIFS(tblFleet[Calendar_h],tblFleet[Date],$A67,tblFleet[Equipment_Class],"Haul Truck")</f>
        <v/>
      </c>
      <c r="BX67" s="57">
        <f>IF($B67=$B66,$BX66,0)+$BW67</f>
        <v/>
      </c>
      <c r="BY67" s="57">
        <f>$BY66+$BW67</f>
        <v/>
      </c>
      <c r="BZ67" s="57">
        <f>SUMIFS(tblFleet[Available_h],tblFleet[Date],$A67,tblFleet[Equipment_Class],"Haul Truck")</f>
        <v/>
      </c>
      <c r="CA67" s="57">
        <f>IF($B67=$B66,$CA66,0)+$BZ67</f>
        <v/>
      </c>
      <c r="CB67" s="57">
        <f>$CB66+$BZ67</f>
        <v/>
      </c>
      <c r="CC67" s="57">
        <f>SUMIFS(tblFleet[Operating_h],tblFleet[Date],$A67,tblFleet[Equipment_Class],"Haul Truck")</f>
        <v/>
      </c>
      <c r="CD67" s="57">
        <f>IF($B67=$B66,$CD66,0)+$CC67</f>
        <v/>
      </c>
      <c r="CE67" s="57">
        <f>$CE66+$CC67</f>
        <v/>
      </c>
      <c r="CF67" s="67">
        <f>IFERROR(IF(($BW67)&gt;0,($BZ67)/($BW67),""),"")</f>
        <v/>
      </c>
      <c r="CG67" s="67">
        <f>IFERROR(IF(($BX67)&gt;0,($CA67)/($BX67),""),"")</f>
        <v/>
      </c>
      <c r="CH67" s="67">
        <f>IFERROR(IF(($BY67)&gt;0,($CB67)/($BY67),""),"")</f>
        <v/>
      </c>
      <c r="CI67" s="67">
        <f>IFERROR(IF(($BZ67)&gt;0,($CC67)/($BZ67),""),"")</f>
        <v/>
      </c>
      <c r="CJ67" s="67">
        <f>IFERROR(IF(($CA67)&gt;0,($CD67)/($CA67),""),"")</f>
        <v/>
      </c>
      <c r="CK67" s="67">
        <f>IFERROR(IF(($CB67)&gt;0,($CE67)/($CB67),""),"")</f>
        <v/>
      </c>
      <c r="CL67" s="55">
        <f>IFERROR(IF(($BN67)&gt;0,($X67+$AD67)/($BN67),""),"")</f>
        <v/>
      </c>
      <c r="CM67" s="55">
        <f>IFERROR(IF(($BO67)&gt;0,($Y67+$AE67)/($BO67),""),"")</f>
        <v/>
      </c>
      <c r="CN67" s="55">
        <f>IFERROR(IF(($BP67)&gt;0,($Z67+$AF67)/($BP67),""),"")</f>
        <v/>
      </c>
      <c r="CO67" s="55">
        <f>IFERROR(IF(($CC67)&gt;0,($X67+$AD67)/($CC67),""),"")</f>
        <v/>
      </c>
      <c r="CP67" s="55">
        <f>IFERROR(IF(($CD67)&gt;0,($Y67+$AE67)/($CD67),""),"")</f>
        <v/>
      </c>
      <c r="CQ67" s="55">
        <f>IFERROR(IF(($CE67)&gt;0,($Z67+$AF67)/($CE67),""),"")</f>
        <v/>
      </c>
      <c r="CR67" s="55">
        <f>SUMIFS(tblPlant[Crushed_t],tblPlant[Date],$A67)</f>
        <v/>
      </c>
      <c r="CS67" s="55">
        <f>IF($B67=$B66,$CS66,0)+$CR67</f>
        <v/>
      </c>
      <c r="CT67" s="55">
        <f>$CT66+$CR67</f>
        <v/>
      </c>
      <c r="CU67" s="55">
        <f>SUMIFS(tblPlant[Milled_t],tblPlant[Date],$A67)</f>
        <v/>
      </c>
      <c r="CV67" s="55">
        <f>IF($B67=$B66,$CV66,0)+$CU67</f>
        <v/>
      </c>
      <c r="CW67" s="55">
        <f>$CW66+$CU67</f>
        <v/>
      </c>
      <c r="CX67" s="55">
        <f>SUMIFS(tblPlant[Feed_oz],tblPlant[Date],$A67)</f>
        <v/>
      </c>
      <c r="CY67" s="55">
        <f>IF($B67=$B66,$CY66,0)+$CX67</f>
        <v/>
      </c>
      <c r="CZ67" s="55">
        <f>$CZ66+$CX67</f>
        <v/>
      </c>
      <c r="DA67" s="55">
        <f>SUMIFS(tblPlant[Tails_oz],tblPlant[Date],$A67)</f>
        <v/>
      </c>
      <c r="DB67" s="55">
        <f>IF($B67=$B66,$DB66,0)+$DA67</f>
        <v/>
      </c>
      <c r="DC67" s="55">
        <f>$DC66+$DA67</f>
        <v/>
      </c>
      <c r="DD67" s="55">
        <f>SUMIFS(tblPlant[Recovered_oz],tblPlant[Date],$A67)</f>
        <v/>
      </c>
      <c r="DE67" s="55">
        <f>IF($B67=$B66,$DE66,0)+$DD67</f>
        <v/>
      </c>
      <c r="DF67" s="55">
        <f>$DF66+$DD67</f>
        <v/>
      </c>
      <c r="DG67" s="55">
        <f>SUMIFS(tblPlant[Milled_t],tblPlant[Date],$A67,tblPlant[Head_Grade_gpt],"&lt;&gt;")</f>
        <v/>
      </c>
      <c r="DH67" s="55">
        <f>IF($B67=$B66,$DH66,0)+$DG67</f>
        <v/>
      </c>
      <c r="DI67" s="55">
        <f>$DI66+$DG67</f>
        <v/>
      </c>
      <c r="DJ67" s="55">
        <f>SUMIFS(tblPlant[Milled_t],tblPlant[Date],$A67,tblPlant[Tails_Grade_gpt],"&lt;&gt;")</f>
        <v/>
      </c>
      <c r="DK67" s="55">
        <f>IF($B67=$B66,$DK66,0)+$DJ67</f>
        <v/>
      </c>
      <c r="DL67" s="55">
        <f>$DL66+$DJ67</f>
        <v/>
      </c>
      <c r="DM67" s="55">
        <f>SUMIFS(tblPlant[Feed_oz],tblPlant[Date],$A67,tblPlant[Tails_Grade_gpt],"&lt;&gt;")</f>
        <v/>
      </c>
      <c r="DN67" s="55">
        <f>IF($B67=$B66,$DN66,0)+$DM67</f>
        <v/>
      </c>
      <c r="DO67" s="55">
        <f>$DO66+$DM67</f>
        <v/>
      </c>
      <c r="DP67" s="55">
        <f>SUMIFS(tblPlant[Milled_t],tblPlant[Date],$A67,tblPlant[Mill_Run_h],"&lt;&gt;")</f>
        <v/>
      </c>
      <c r="DQ67" s="55">
        <f>IF($B67=$B66,$DQ66,0)+$DP67</f>
        <v/>
      </c>
      <c r="DR67" s="55">
        <f>$DR66+$DP67</f>
        <v/>
      </c>
      <c r="DS67" s="56">
        <f>IFERROR(IF(($DG67)&gt;0,($CX67*cfg_TroyOz)/($DG67),""),"")</f>
        <v/>
      </c>
      <c r="DT67" s="56">
        <f>IFERROR(IF(($DH67)&gt;0,($CY67*cfg_TroyOz)/($DH67),""),"")</f>
        <v/>
      </c>
      <c r="DU67" s="56">
        <f>IFERROR(IF(($DI67)&gt;0,($CZ67*cfg_TroyOz)/($DI67),""),"")</f>
        <v/>
      </c>
      <c r="DV67" s="56">
        <f>IFERROR(IF(($DJ67)&gt;0,($DA67*cfg_TroyOz)/($DJ67),""),"")</f>
        <v/>
      </c>
      <c r="DW67" s="56">
        <f>IFERROR(IF(($DK67)&gt;0,($DB67*cfg_TroyOz)/($DK67),""),"")</f>
        <v/>
      </c>
      <c r="DX67" s="56">
        <f>IFERROR(IF(($DL67)&gt;0,($DC67*cfg_TroyOz)/($DL67),""),"")</f>
        <v/>
      </c>
      <c r="DY67" s="67">
        <f>IFERROR(IF(($DM67)&gt;0,($DD67)/($DM67),""),"")</f>
        <v/>
      </c>
      <c r="DZ67" s="67">
        <f>IFERROR(IF(($DN67)&gt;0,($DE67)/($DN67),""),"")</f>
        <v/>
      </c>
      <c r="EA67" s="67">
        <f>IFERROR(IF(($DO67)&gt;0,($DF67)/($DO67),""),"")</f>
        <v/>
      </c>
      <c r="EB67" s="55">
        <f>SUMIFS(tblPlant[Gravity_Gold_oz],tblPlant[Date],$A67)</f>
        <v/>
      </c>
      <c r="EC67" s="55">
        <f>IF($B67=$B66,$EC66,0)+$EB67</f>
        <v/>
      </c>
      <c r="ED67" s="55">
        <f>$ED66+$EB67</f>
        <v/>
      </c>
      <c r="EE67" s="67">
        <f>IFERROR(IF(($DD67)&gt;0,($EB67)/($DD67),""),"")</f>
        <v/>
      </c>
      <c r="EF67" s="67">
        <f>IFERROR(IF(($DE67)&gt;0,($EC67)/($DE67),""),"")</f>
        <v/>
      </c>
      <c r="EG67" s="67">
        <f>IFERROR(IF(($DF67)&gt;0,($ED67)/($DF67),""),"")</f>
        <v/>
      </c>
      <c r="EH67" s="55">
        <f>SUMIFS(tblPlant[Gold_Poured_oz],tblPlant[Date],$A67)</f>
        <v/>
      </c>
      <c r="EI67" s="55">
        <f>IF($B67=$B66,$EI66,0)+$EH67</f>
        <v/>
      </c>
      <c r="EJ67" s="55">
        <f>$EJ66+$EH67</f>
        <v/>
      </c>
      <c r="EK67" s="57">
        <f>SUMIFS(tblPlant[Mill_Run_h],tblPlant[Date],$A67)</f>
        <v/>
      </c>
      <c r="EL67" s="57">
        <f>IF($B67=$B66,$EL66,0)+$EK67</f>
        <v/>
      </c>
      <c r="EM67" s="57">
        <f>$EM66+$EK67</f>
        <v/>
      </c>
      <c r="EN67" s="57">
        <f>SUMIFS(tblPlant[Mill_Planned_Maint_h],tblPlant[Date],$A67)</f>
        <v/>
      </c>
      <c r="EO67" s="57">
        <f>IF($B67=$B66,$EO66,0)+$EN67</f>
        <v/>
      </c>
      <c r="EP67" s="57">
        <f>$EP66+$EN67</f>
        <v/>
      </c>
      <c r="EQ67" s="57">
        <f>SUMIFS(tblPlant[Mill_Unplanned_Down_h],tblPlant[Date],$A67)</f>
        <v/>
      </c>
      <c r="ER67" s="57">
        <f>IF($B67=$B66,$ER66,0)+$EQ67</f>
        <v/>
      </c>
      <c r="ES67" s="57">
        <f>$ES66+$EQ67</f>
        <v/>
      </c>
      <c r="ET67" s="57">
        <f>IF(COUNTIFS(tblPlant[Date],$A67,tblPlant[Mill_Run_h],"&lt;&gt;")+COUNTIFS(tblPlant[Date],$A67,tblPlant[Mill_Planned_Maint_h],"&lt;&gt;")+COUNTIFS(tblPlant[Date],$A67,tblPlant[Mill_Unplanned_Down_h],"&lt;&gt;")&gt;0,cfg_HoursPerDay,0)</f>
        <v/>
      </c>
      <c r="EU67" s="57">
        <f>IF($B67=$B66,$EU66,0)+$ET67</f>
        <v/>
      </c>
      <c r="EV67" s="57">
        <f>$EV66+$ET67</f>
        <v/>
      </c>
      <c r="EW67" s="57">
        <f>SUMIFS(tblPlant[Crusher_Run_h],tblPlant[Date],$A67)</f>
        <v/>
      </c>
      <c r="EX67" s="57">
        <f>IF($B67=$B66,$EX66,0)+$EW67</f>
        <v/>
      </c>
      <c r="EY67" s="57">
        <f>$EY66+$EW67</f>
        <v/>
      </c>
      <c r="EZ67" s="55">
        <f>IFERROR(IF(($EK67)&gt;0,($DP67)/($EK67),""),"")</f>
        <v/>
      </c>
      <c r="FA67" s="55">
        <f>IFERROR(IF(($EL67)&gt;0,($DQ67)/($EL67),""),"")</f>
        <v/>
      </c>
      <c r="FB67" s="55">
        <f>IFERROR(IF(($EM67)&gt;0,($DR67)/($EM67),""),"")</f>
        <v/>
      </c>
      <c r="FC67" s="67">
        <f>IFERROR(IF(($ET67)&gt;0,($ET67-$EN67-$EQ67)/($ET67),""),"")</f>
        <v/>
      </c>
      <c r="FD67" s="67">
        <f>IFERROR(IF(($EU67)&gt;0,($EU67-$EO67-$ER67)/($EU67),""),"")</f>
        <v/>
      </c>
      <c r="FE67" s="67">
        <f>IFERROR(IF(($EV67)&gt;0,($EV67-$EP67-$ES67)/($EV67),""),"")</f>
        <v/>
      </c>
      <c r="FF67" s="67">
        <f>IFERROR(IF(($ET67-$EN67-$EQ67)&gt;0,($EK67)/($ET67-$EN67-$EQ67),""),"")</f>
        <v/>
      </c>
      <c r="FG67" s="67">
        <f>IFERROR(IF(($EU67-$EO67-$ER67)&gt;0,($EL67)/($EU67-$EO67-$ER67),""),"")</f>
        <v/>
      </c>
      <c r="FH67" s="67">
        <f>IFERROR(IF(($EV67-$EP67-$ES67)&gt;0,($EM67)/($EV67-$EP67-$ES67),""),"")</f>
        <v/>
      </c>
      <c r="FI67" s="55">
        <f>SUMIFS(tblPlant[Cyanide_kg],tblPlant[Date],$A67)</f>
        <v/>
      </c>
      <c r="FJ67" s="55">
        <f>IF($B67=$B66,$FJ66,0)+$FI67</f>
        <v/>
      </c>
      <c r="FK67" s="55">
        <f>$FK66+$FI67</f>
        <v/>
      </c>
      <c r="FL67" s="55">
        <f>SUMIFS(tblPlant[Lime_kg],tblPlant[Date],$A67)</f>
        <v/>
      </c>
      <c r="FM67" s="55">
        <f>IF($B67=$B66,$FM66,0)+$FL67</f>
        <v/>
      </c>
      <c r="FN67" s="55">
        <f>$FN66+$FL67</f>
        <v/>
      </c>
      <c r="FO67" s="55">
        <f>SUMIFS(tblPlant[Grinding_Media_kg],tblPlant[Date],$A67)</f>
        <v/>
      </c>
      <c r="FP67" s="55">
        <f>IF($B67=$B66,$FP66,0)+$FO67</f>
        <v/>
      </c>
      <c r="FQ67" s="55">
        <f>$FQ66+$FO67</f>
        <v/>
      </c>
      <c r="FR67" s="55">
        <f>SUMIFS(tblPlant[Power_kWh],tblPlant[Date],$A67)</f>
        <v/>
      </c>
      <c r="FS67" s="55">
        <f>IF($B67=$B66,$FS66,0)+$FR67</f>
        <v/>
      </c>
      <c r="FT67" s="55">
        <f>$FT66+$FR67</f>
        <v/>
      </c>
      <c r="FU67" s="55">
        <f>SUMIFS(tblPlant[Raw_Water_m3],tblPlant[Date],$A67)</f>
        <v/>
      </c>
      <c r="FV67" s="55">
        <f>IF($B67=$B66,$FV66,0)+$FU67</f>
        <v/>
      </c>
      <c r="FW67" s="55">
        <f>$FW66+$FU67</f>
        <v/>
      </c>
      <c r="FX67" s="56">
        <f>IFERROR(IF(($CU67)&gt;0,($FI67)/($CU67),""),"")</f>
        <v/>
      </c>
      <c r="FY67" s="56">
        <f>IFERROR(IF(($CV67)&gt;0,($FJ67)/($CV67),""),"")</f>
        <v/>
      </c>
      <c r="FZ67" s="56">
        <f>IFERROR(IF(($CW67)&gt;0,($FK67)/($CW67),""),"")</f>
        <v/>
      </c>
      <c r="GA67" s="56">
        <f>IFERROR(IF(($CU67)&gt;0,($FL67)/($CU67),""),"")</f>
        <v/>
      </c>
      <c r="GB67" s="56">
        <f>IFERROR(IF(($CV67)&gt;0,($FM67)/($CV67),""),"")</f>
        <v/>
      </c>
      <c r="GC67" s="56">
        <f>IFERROR(IF(($CW67)&gt;0,($FN67)/($CW67),""),"")</f>
        <v/>
      </c>
      <c r="GD67" s="56">
        <f>IFERROR(IF(($CU67)&gt;0,($FO67)/($CU67),""),"")</f>
        <v/>
      </c>
      <c r="GE67" s="56">
        <f>IFERROR(IF(($CV67)&gt;0,($FP67)/($CV67),""),"")</f>
        <v/>
      </c>
      <c r="GF67" s="56">
        <f>IFERROR(IF(($CW67)&gt;0,($FQ67)/($CW67),""),"")</f>
        <v/>
      </c>
      <c r="GG67" s="79">
        <f>IFERROR(IF(($CU67)&gt;0,($FR67)/($CU67),""),"")</f>
        <v/>
      </c>
      <c r="GH67" s="79">
        <f>IFERROR(IF(($CV67)&gt;0,($FS67)/($CV67),""),"")</f>
        <v/>
      </c>
      <c r="GI67" s="79">
        <f>IFERROR(IF(($CW67)&gt;0,($FT67)/($CW67),""),"")</f>
        <v/>
      </c>
      <c r="GJ67" s="56">
        <f>IFERROR(IF(($CU67)&gt;0,($FU67)/($CU67),""),"")</f>
        <v/>
      </c>
      <c r="GK67" s="56">
        <f>IFERROR(IF(($CV67)&gt;0,($FV67)/($CV67),""),"")</f>
        <v/>
      </c>
      <c r="GL67" s="56">
        <f>IFERROR(IF(($CW67)&gt;0,($FW67)/($CW67),""),"")</f>
        <v/>
      </c>
      <c r="GM67" s="55">
        <f>IF(SUMIFS(tblPlant[GIC_oz],tblPlant[Date],$A67)&gt;0,SUMIFS(tblPlant[GIC_oz],tblPlant[Date],$A67),"")</f>
        <v/>
      </c>
      <c r="GN67" s="55">
        <f>SUMIFS(tblGold[Gold_oz],tblGold[Date],$A67,tblGold[Type],"Shipment")</f>
        <v/>
      </c>
      <c r="GO67" s="55">
        <f>IF($B67=$B66,$GO66,0)+$GN67</f>
        <v/>
      </c>
      <c r="GP67" s="55">
        <f>$GP66+$GN67</f>
        <v/>
      </c>
      <c r="GQ67" s="55">
        <f>SUMIFS(tblGold[Gold_oz],tblGold[Date],$A67,tblGold[Type],"Sale")</f>
        <v/>
      </c>
      <c r="GR67" s="55">
        <f>IF($B67=$B66,$GR66,0)+$GQ67</f>
        <v/>
      </c>
      <c r="GS67" s="55">
        <f>$GS66+$GQ67</f>
        <v/>
      </c>
      <c r="GT67" s="55">
        <f>SUMIFS(tblGold[Dore_kg],tblGold[Date],$A67,tblGold[Type],"Shipment")</f>
        <v/>
      </c>
      <c r="GU67" s="55">
        <f>IF($B67=$B66,$GU66,0)+$GT67</f>
        <v/>
      </c>
      <c r="GV67" s="55">
        <f>$GV66+$GT67</f>
        <v/>
      </c>
      <c r="GW67" s="57">
        <f>SUMIFS(tblSafety[Hours_Total],tblSafety[Date],$A67)</f>
        <v/>
      </c>
      <c r="GX67" s="57">
        <f>IF($B67=$B66,$GX66,0)+$GW67</f>
        <v/>
      </c>
      <c r="GY67" s="57">
        <f>$GY66+$GW67</f>
        <v/>
      </c>
      <c r="GZ67" s="62">
        <f>SUMIFS(tblSafety[Fatality],tblSafety[Date],$A67)</f>
        <v/>
      </c>
      <c r="HA67" s="62">
        <f>IF($B67=$B66,$HA66,0)+$GZ67</f>
        <v/>
      </c>
      <c r="HB67" s="62">
        <f>$HB66+$GZ67</f>
        <v/>
      </c>
      <c r="HC67" s="62">
        <f>SUMIFS(tblSafety[LTI],tblSafety[Date],$A67)</f>
        <v/>
      </c>
      <c r="HD67" s="62">
        <f>IF($B67=$B66,$HD66,0)+$HC67</f>
        <v/>
      </c>
      <c r="HE67" s="62">
        <f>$HE66+$HC67</f>
        <v/>
      </c>
      <c r="HF67" s="62">
        <f>SUMIFS(tblSafety[RWI],tblSafety[Date],$A67)</f>
        <v/>
      </c>
      <c r="HG67" s="62">
        <f>IF($B67=$B66,$HG66,0)+$HF67</f>
        <v/>
      </c>
      <c r="HH67" s="62">
        <f>$HH66+$HF67</f>
        <v/>
      </c>
      <c r="HI67" s="62">
        <f>SUMIFS(tblSafety[MTI],tblSafety[Date],$A67)</f>
        <v/>
      </c>
      <c r="HJ67" s="62">
        <f>IF($B67=$B66,$HJ66,0)+$HI67</f>
        <v/>
      </c>
      <c r="HK67" s="62">
        <f>$HK66+$HI67</f>
        <v/>
      </c>
      <c r="HL67" s="62">
        <f>SUMIFS(tblSafety[FAI],tblSafety[Date],$A67)</f>
        <v/>
      </c>
      <c r="HM67" s="62">
        <f>IF($B67=$B66,$HM66,0)+$HL67</f>
        <v/>
      </c>
      <c r="HN67" s="62">
        <f>$HN66+$HL67</f>
        <v/>
      </c>
      <c r="HO67" s="62">
        <f>SUMIFS(tblSafety[Recordables],tblSafety[Date],$A67)</f>
        <v/>
      </c>
      <c r="HP67" s="62">
        <f>IF($B67=$B66,$HP66,0)+$HO67</f>
        <v/>
      </c>
      <c r="HQ67" s="62">
        <f>$HQ66+$HO67</f>
        <v/>
      </c>
      <c r="HR67" s="62">
        <f>SUMIFS(tblSafety[Near_Miss],tblSafety[Date],$A67)</f>
        <v/>
      </c>
      <c r="HS67" s="62">
        <f>IF($B67=$B66,$HS66,0)+$HR67</f>
        <v/>
      </c>
      <c r="HT67" s="62">
        <f>$HT66+$HR67</f>
        <v/>
      </c>
      <c r="HU67" s="62">
        <f>SUMIFS(tblSafety[Hazard_Reports],tblSafety[Date],$A67)</f>
        <v/>
      </c>
      <c r="HV67" s="62">
        <f>IF($B67=$B66,$HV66,0)+$HU67</f>
        <v/>
      </c>
      <c r="HW67" s="62">
        <f>$HW66+$HU67</f>
        <v/>
      </c>
      <c r="HX67" s="62">
        <f>SUMIFS(tblSafety[HPI],tblSafety[Date],$A67)</f>
        <v/>
      </c>
      <c r="HY67" s="62">
        <f>IF($B67=$B66,$HY66,0)+$HX67</f>
        <v/>
      </c>
      <c r="HZ67" s="62">
        <f>$HZ66+$HX67</f>
        <v/>
      </c>
      <c r="IA67" s="62">
        <f>SUMIFS(tblSafety[Env_Incidents],tblSafety[Date],$A67)</f>
        <v/>
      </c>
      <c r="IB67" s="62">
        <f>IF($B67=$B66,$IB66,0)+$IA67</f>
        <v/>
      </c>
      <c r="IC67" s="62">
        <f>$IC66+$IA67</f>
        <v/>
      </c>
      <c r="ID67" s="62">
        <f>SUMIFS(tblSafety[Community_Incidents],tblSafety[Date],$A67)</f>
        <v/>
      </c>
      <c r="IE67" s="62">
        <f>IF($B67=$B66,$IE66,0)+$ID67</f>
        <v/>
      </c>
      <c r="IF67" s="62">
        <f>$IF66+$ID67</f>
        <v/>
      </c>
      <c r="IG67" s="62">
        <f>SUMIFS(tblSafety[Vehicle_Incidents],tblSafety[Date],$A67)</f>
        <v/>
      </c>
      <c r="IH67" s="62">
        <f>IF($B67=$B66,$IH66,0)+$IG67</f>
        <v/>
      </c>
      <c r="II67" s="62">
        <f>$II66+$IG67</f>
        <v/>
      </c>
      <c r="IJ67" s="62">
        <f>SUMIFS(tblSafety[Toolbox_Talks],tblSafety[Date],$A67)</f>
        <v/>
      </c>
      <c r="IK67" s="62">
        <f>IF($B67=$B66,$IK66,0)+$IJ67</f>
        <v/>
      </c>
      <c r="IL67" s="62">
        <f>$IL66+$IJ67</f>
        <v/>
      </c>
      <c r="IM67" s="62">
        <f>SUMIFS(tblSafety[Inspections],tblSafety[Date],$A67)</f>
        <v/>
      </c>
      <c r="IN67" s="62">
        <f>IF($B67=$B66,$IN66,0)+$IM67</f>
        <v/>
      </c>
      <c r="IO67" s="62">
        <f>$IO66+$IM67</f>
        <v/>
      </c>
      <c r="IP67" s="56">
        <f>IFERROR((SUMIFS(tblSafety[Recordables],tblSafety[Date],"&gt;="&amp;EDATE($E67,-12),tblSafety[Date],"&lt;="&amp;$A67)+SUMIFS(tblSafetyHistory[Recordables],tblSafetyHistory[Month],"&gt;="&amp;EDATE($E67,-12),tblSafetyHistory[Month],"&lt;"&amp;$E67,tblSafetyHistory[Use],1))/(SUMIFS(tblSafety[Hours_Total],tblSafety[Date],"&gt;="&amp;EDATE($E67,-12),tblSafety[Date],"&lt;="&amp;$A67)+SUMIFS(tblSafetyHistory[Hours_Total],tblSafetyHistory[Month],"&gt;="&amp;EDATE($E67,-12),tblSafetyHistory[Month],"&lt;"&amp;$E67,tblSafetyHistory[Use],1))*cfg_RateBasisHours,"")</f>
        <v/>
      </c>
      <c r="IQ67" s="56">
        <f>IFERROR((SUMIFS(tblSafety[LTI],tblSafety[Date],"&gt;="&amp;EDATE($E67,-12),tblSafety[Date],"&lt;="&amp;$A67)+SUMIFS(tblSafetyHistory[LTI],tblSafetyHistory[Month],"&gt;="&amp;EDATE($E67,-12),tblSafetyHistory[Month],"&lt;"&amp;$E67,tblSafetyHistory[Use],1))/(SUMIFS(tblSafety[Hours_Total],tblSafety[Date],"&gt;="&amp;EDATE($E67,-12),tblSafety[Date],"&lt;="&amp;$A67)+SUMIFS(tblSafetyHistory[Hours_Total],tblSafetyHistory[Month],"&gt;="&amp;EDATE($E67,-12),tblSafetyHistory[Month],"&lt;"&amp;$E67,tblSafetyHistory[Use],1))*cfg_RateBasisHours,"")</f>
        <v/>
      </c>
      <c r="IR67" s="62">
        <f>IF(MAX(N(cfg_PriorLTIDate),_xlfn.MAXIFS(tblSafety[Date],tblSafety[LTI],"&gt;0",tblSafety[Date],"&lt;="&amp;$A67))=0,"",$A67-MAX(N(cfg_PriorLTIDate),_xlfn.MAXIFS(tblSafety[Date],tblSafety[LTI],"&gt;0",tblSafety[Date],"&lt;="&amp;$A67)))</f>
        <v/>
      </c>
      <c r="IS67" s="55">
        <f>SUMIFS(tblBudget[Ore_Mined_t],tblBudget[Month],$E67)</f>
        <v/>
      </c>
      <c r="IT67" s="55">
        <f>$IS67*$C67/$D67</f>
        <v/>
      </c>
      <c r="IU67" s="55">
        <f>SUMIFS(tblBudget[Ore_Mined_t],tblBudget[Month],"&lt;"&amp;$E67)+$IT67</f>
        <v/>
      </c>
      <c r="IV67" s="55">
        <f>SUMIFS(tblBudget[Ore_oz],tblBudget[Month],$E67)</f>
        <v/>
      </c>
      <c r="IW67" s="55">
        <f>$IV67*$C67/$D67</f>
        <v/>
      </c>
      <c r="IX67" s="55">
        <f>SUMIFS(tblBudget[Ore_oz],tblBudget[Month],"&lt;"&amp;$E67)+$IW67</f>
        <v/>
      </c>
      <c r="IY67" s="55">
        <f>SUMIFS(tblBudget[Ore_Mined_t],tblBudget[Month],$E67)</f>
        <v/>
      </c>
      <c r="IZ67" s="55">
        <f>$IY67*$C67/$D67</f>
        <v/>
      </c>
      <c r="JA67" s="55">
        <f>SUMIFS(tblBudget[Ore_Mined_t],tblBudget[Month],"&lt;"&amp;$E67)+$IZ67</f>
        <v/>
      </c>
      <c r="JB67" s="56">
        <f>IFERROR(IF(($IY67)&gt;0,($IV67*cfg_TroyOz)/($IY67),""),"")</f>
        <v/>
      </c>
      <c r="JC67" s="56">
        <f>IFERROR(IF(($IZ67)&gt;0,($IW67*cfg_TroyOz)/($IZ67),""),"")</f>
        <v/>
      </c>
      <c r="JD67" s="56">
        <f>IFERROR(IF(($JA67)&gt;0,($IX67*cfg_TroyOz)/($JA67),""),"")</f>
        <v/>
      </c>
      <c r="JE67" s="55">
        <f>SUMIFS(tblBudget[Waste_t],tblBudget[Month],$E67)</f>
        <v/>
      </c>
      <c r="JF67" s="55">
        <f>$JE67*$C67/$D67</f>
        <v/>
      </c>
      <c r="JG67" s="55">
        <f>SUMIFS(tblBudget[Waste_t],tblBudget[Month],"&lt;"&amp;$E67)+$JF67</f>
        <v/>
      </c>
      <c r="JH67" s="55">
        <f>SUMIFS(tblBudget[TMM_t],tblBudget[Month],$E67)</f>
        <v/>
      </c>
      <c r="JI67" s="55">
        <f>$JH67*$C67/$D67</f>
        <v/>
      </c>
      <c r="JJ67" s="55">
        <f>SUMIFS(tblBudget[TMM_t],tblBudget[Month],"&lt;"&amp;$E67)+$JI67</f>
        <v/>
      </c>
      <c r="JK67" s="56">
        <f>IFERROR(IF(($IS67)&gt;0,($JE67)/($IS67),""),"")</f>
        <v/>
      </c>
      <c r="JL67" s="56">
        <f>IFERROR(IF(($IT67)&gt;0,($JF67)/($IT67),""),"")</f>
        <v/>
      </c>
      <c r="JM67" s="56">
        <f>IFERROR(IF(($IU67)&gt;0,($JG67)/($IU67),""),"")</f>
        <v/>
      </c>
      <c r="JN67" s="55">
        <f>SUMIFS(tblBudget[Drill_m],tblBudget[Month],$E67)</f>
        <v/>
      </c>
      <c r="JO67" s="55">
        <f>$JN67*$C67/$D67</f>
        <v/>
      </c>
      <c r="JP67" s="55">
        <f>SUMIFS(tblBudget[Drill_m],tblBudget[Month],"&lt;"&amp;$E67)+$JO67</f>
        <v/>
      </c>
      <c r="JQ67" s="55">
        <f>SUMIFS(tblBudget[Diesel_L],tblBudget[Month],$E67)</f>
        <v/>
      </c>
      <c r="JR67" s="55">
        <f>$JQ67*$C67/$D67</f>
        <v/>
      </c>
      <c r="JS67" s="55">
        <f>SUMIFS(tblBudget[Diesel_L],tblBudget[Month],"&lt;"&amp;$E67)+$JR67</f>
        <v/>
      </c>
      <c r="JT67" s="55">
        <f>SUMIFS(tblBudget[Milled_t],tblBudget[Month],$E67)</f>
        <v/>
      </c>
      <c r="JU67" s="55">
        <f>$JT67*$C67/$D67</f>
        <v/>
      </c>
      <c r="JV67" s="55">
        <f>SUMIFS(tblBudget[Milled_t],tblBudget[Month],"&lt;"&amp;$E67)+$JU67</f>
        <v/>
      </c>
      <c r="JW67" s="55">
        <f>SUMIFS(tblBudget[Feed_oz],tblBudget[Month],$E67)</f>
        <v/>
      </c>
      <c r="JX67" s="55">
        <f>$JW67*$C67/$D67</f>
        <v/>
      </c>
      <c r="JY67" s="55">
        <f>SUMIFS(tblBudget[Feed_oz],tblBudget[Month],"&lt;"&amp;$E67)+$JX67</f>
        <v/>
      </c>
      <c r="JZ67" s="55">
        <f>SUMIFS(tblBudget[Recovered_oz],tblBudget[Month],$E67)</f>
        <v/>
      </c>
      <c r="KA67" s="55">
        <f>$JZ67*$C67/$D67</f>
        <v/>
      </c>
      <c r="KB67" s="55">
        <f>SUMIFS(tblBudget[Recovered_oz],tblBudget[Month],"&lt;"&amp;$E67)+$KA67</f>
        <v/>
      </c>
      <c r="KC67" s="55">
        <f>SUMIFS(tblBudget[Milled_t],tblBudget[Month],$E67)</f>
        <v/>
      </c>
      <c r="KD67" s="55">
        <f>$KC67*$C67/$D67</f>
        <v/>
      </c>
      <c r="KE67" s="55">
        <f>SUMIFS(tblBudget[Milled_t],tblBudget[Month],"&lt;"&amp;$E67)+$KD67</f>
        <v/>
      </c>
      <c r="KF67" s="55">
        <f>SUMIFS(tblBudget[Feed_oz],tblBudget[Month],$E67)</f>
        <v/>
      </c>
      <c r="KG67" s="55">
        <f>$KF67*$C67/$D67</f>
        <v/>
      </c>
      <c r="KH67" s="55">
        <f>SUMIFS(tblBudget[Feed_oz],tblBudget[Month],"&lt;"&amp;$E67)+$KG67</f>
        <v/>
      </c>
      <c r="KI67" s="56">
        <f>IFERROR(IF(($KC67)&gt;0,($JW67*cfg_TroyOz)/($KC67),""),"")</f>
        <v/>
      </c>
      <c r="KJ67" s="56">
        <f>IFERROR(IF(($KD67)&gt;0,($JX67*cfg_TroyOz)/($KD67),""),"")</f>
        <v/>
      </c>
      <c r="KK67" s="56">
        <f>IFERROR(IF(($KE67)&gt;0,($JY67*cfg_TroyOz)/($KE67),""),"")</f>
        <v/>
      </c>
      <c r="KL67" s="67">
        <f>IFERROR(IF(($KF67)&gt;0,($JZ67)/($KF67),""),"")</f>
        <v/>
      </c>
      <c r="KM67" s="67">
        <f>IFERROR(IF(($KG67)&gt;0,($KA67)/($KG67),""),"")</f>
        <v/>
      </c>
      <c r="KN67" s="67">
        <f>IFERROR(IF(($KH67)&gt;0,($KB67)/($KH67),""),"")</f>
        <v/>
      </c>
      <c r="KO67" s="55">
        <f>SUMIFS(tblBudget[Gold_Poured_oz],tblBudget[Month],$E67)</f>
        <v/>
      </c>
      <c r="KP67" s="55">
        <f>$KO67*$C67/$D67</f>
        <v/>
      </c>
      <c r="KQ67" s="55">
        <f>SUMIFS(tblBudget[Gold_Poured_oz],tblBudget[Month],"&lt;"&amp;$E67)+$KP67</f>
        <v/>
      </c>
      <c r="KR67" s="57">
        <f>SUMIFS(tblBudget[Hours_Worked],tblBudget[Month],$E67)</f>
        <v/>
      </c>
      <c r="KS67" s="57">
        <f>$KR67*$C67/$D67</f>
        <v/>
      </c>
      <c r="KT67" s="57">
        <f>SUMIFS(tblBudget[Hours_Worked],tblBudget[Month],"&lt;"&amp;$E67)+$KS67</f>
        <v/>
      </c>
    </row>
    <row r="68">
      <c r="A68" s="54" t="n">
        <v>46089</v>
      </c>
      <c r="B68">
        <f>MONTH($A68)</f>
        <v/>
      </c>
      <c r="C68">
        <f>DAY($A68)</f>
        <v/>
      </c>
      <c r="D68">
        <f>DAY(EOMONTH($A68,0))</f>
        <v/>
      </c>
      <c r="E68" s="54">
        <f>DATE(YEAR($A68),MONTH($A68),1)</f>
        <v/>
      </c>
      <c r="F68" s="55">
        <f>SUMIFS(tblMovement[Tonnes_t],tblMovement[Date],$A68,tblMovement[Is_Ore],1,tblMovement[Source_Type],"Pit")</f>
        <v/>
      </c>
      <c r="G68" s="55">
        <f>IF($B68=$B67,$G67,0)+$F68</f>
        <v/>
      </c>
      <c r="H68" s="55">
        <f>$H67+$F68</f>
        <v/>
      </c>
      <c r="I68" s="55">
        <f>SUMIFS(tblMovement[Ore_oz],tblMovement[Date],$A68,tblMovement[Source_Type],"Pit")</f>
        <v/>
      </c>
      <c r="J68" s="55">
        <f>IF($B68=$B67,$J67,0)+$I68</f>
        <v/>
      </c>
      <c r="K68" s="55">
        <f>$K67+$I68</f>
        <v/>
      </c>
      <c r="L68" s="55">
        <f>SUMIFS(tblMovement[Tonnes_t],tblMovement[Date],$A68,tblMovement[Is_Ore],1,tblMovement[Source_Type],"Pit",tblMovement[Grade_gpt],"&lt;&gt;")</f>
        <v/>
      </c>
      <c r="M68" s="55">
        <f>IF($B68=$B67,$M67,0)+$L68</f>
        <v/>
      </c>
      <c r="N68" s="55">
        <f>$N67+$L68</f>
        <v/>
      </c>
      <c r="O68" s="56">
        <f>IFERROR(IF(($L68)&gt;0,($I68*cfg_TroyOz)/($L68),""),"")</f>
        <v/>
      </c>
      <c r="P68" s="56">
        <f>IFERROR(IF(($M68)&gt;0,($J68*cfg_TroyOz)/($M68),""),"")</f>
        <v/>
      </c>
      <c r="Q68" s="56">
        <f>IFERROR(IF(($N68)&gt;0,($K68*cfg_TroyOz)/($N68),""),"")</f>
        <v/>
      </c>
      <c r="R68" s="55">
        <f>$F68-$L68</f>
        <v/>
      </c>
      <c r="S68" s="55">
        <f>IF($B68=$B67,$S67,0)+$R68</f>
        <v/>
      </c>
      <c r="T68" s="55">
        <f>$T67+$R68</f>
        <v/>
      </c>
      <c r="U68" s="55">
        <f>SUMIFS(tblMovement[Tonnes_t],tblMovement[Date],$A68,tblMovement[Is_Ore],0,tblMovement[Source_Type],"Pit")</f>
        <v/>
      </c>
      <c r="V68" s="55">
        <f>IF($B68=$B67,$V67,0)+$U68</f>
        <v/>
      </c>
      <c r="W68" s="55">
        <f>$W67+$U68</f>
        <v/>
      </c>
      <c r="X68" s="55">
        <f>$F68+$U68</f>
        <v/>
      </c>
      <c r="Y68" s="55">
        <f>IF($B68=$B67,$Y67,0)+$X68</f>
        <v/>
      </c>
      <c r="Z68" s="55">
        <f>$Z67+$X68</f>
        <v/>
      </c>
      <c r="AA68" s="56">
        <f>IFERROR(IF(($F68)&gt;0,($U68)/($F68),""),"")</f>
        <v/>
      </c>
      <c r="AB68" s="56">
        <f>IFERROR(IF(($G68)&gt;0,($V68)/($G68),""),"")</f>
        <v/>
      </c>
      <c r="AC68" s="56">
        <f>IFERROR(IF(($H68)&gt;0,($W68)/($H68),""),"")</f>
        <v/>
      </c>
      <c r="AD68" s="55">
        <f>SUMIFS(tblMovement[Tonnes_t],tblMovement[Date],$A68,tblMovement[Source_Type],"Stockpile")</f>
        <v/>
      </c>
      <c r="AE68" s="55">
        <f>IF($B68=$B67,$AE67,0)+$AD68</f>
        <v/>
      </c>
      <c r="AF68" s="55">
        <f>$AF67+$AD68</f>
        <v/>
      </c>
      <c r="AG68" s="55">
        <f>SUMIFS(tblMovement[Tonnes_t],tblMovement[Date],$A68)</f>
        <v/>
      </c>
      <c r="AH68" s="55">
        <f>IF($B68=$B67,$AH67,0)+$AG68</f>
        <v/>
      </c>
      <c r="AI68" s="55">
        <f>$AI67+$AG68</f>
        <v/>
      </c>
      <c r="AJ68" s="55">
        <f>$AG68-$X68-$AD68</f>
        <v/>
      </c>
      <c r="AK68" s="55">
        <f>IF($B68=$B67,$AK67,0)+$AJ68</f>
        <v/>
      </c>
      <c r="AL68" s="55">
        <f>$AL67+$AJ68</f>
        <v/>
      </c>
      <c r="AM68" s="55">
        <f>SUMIFS(tblMiningDaily[Drill_m],tblMiningDaily[Date],$A68)</f>
        <v/>
      </c>
      <c r="AN68" s="55">
        <f>IF($B68=$B67,$AN67,0)+$AM68</f>
        <v/>
      </c>
      <c r="AO68" s="55">
        <f>$AO67+$AM68</f>
        <v/>
      </c>
      <c r="AP68" s="55">
        <f>SUMIFS(tblMiningDaily[GC_Drill_m],tblMiningDaily[Date],$A68)</f>
        <v/>
      </c>
      <c r="AQ68" s="55">
        <f>IF($B68=$B67,$AQ67,0)+$AP68</f>
        <v/>
      </c>
      <c r="AR68" s="55">
        <f>$AR67+$AP68</f>
        <v/>
      </c>
      <c r="AS68" s="55">
        <f>SUMIFS(tblMiningDaily[Blast_t],tblMiningDaily[Date],$A68)</f>
        <v/>
      </c>
      <c r="AT68" s="55">
        <f>IF($B68=$B67,$AT67,0)+$AS68</f>
        <v/>
      </c>
      <c r="AU68" s="55">
        <f>$AU67+$AS68</f>
        <v/>
      </c>
      <c r="AV68" s="55">
        <f>SUMIFS(tblMiningDaily[Explosives_kg],tblMiningDaily[Date],$A68)</f>
        <v/>
      </c>
      <c r="AW68" s="55">
        <f>IF($B68=$B67,$AW67,0)+$AV68</f>
        <v/>
      </c>
      <c r="AX68" s="55">
        <f>$AX67+$AV68</f>
        <v/>
      </c>
      <c r="AY68" s="56">
        <f>IFERROR(IF(($AS68)&gt;0,($AV68)/($AS68),""),"")</f>
        <v/>
      </c>
      <c r="AZ68" s="56">
        <f>IFERROR(IF(($AT68)&gt;0,($AW68)/($AT68),""),"")</f>
        <v/>
      </c>
      <c r="BA68" s="56">
        <f>IFERROR(IF(($AU68)&gt;0,($AX68)/($AU68),""),"")</f>
        <v/>
      </c>
      <c r="BB68" s="55">
        <f>SUMIFS(tblMiningDaily[Diesel_L],tblMiningDaily[Date],$A68)</f>
        <v/>
      </c>
      <c r="BC68" s="55">
        <f>IF($B68=$B67,$BC67,0)+$BB68</f>
        <v/>
      </c>
      <c r="BD68" s="55">
        <f>$BD67+$BB68</f>
        <v/>
      </c>
      <c r="BE68" s="55">
        <f>SUMIFS(tblMiningDaily[Dewatering_m3],tblMiningDaily[Date],$A68)</f>
        <v/>
      </c>
      <c r="BF68" s="55">
        <f>IF($B68=$B67,$BF67,0)+$BE68</f>
        <v/>
      </c>
      <c r="BG68" s="55">
        <f>$BG67+$BE68</f>
        <v/>
      </c>
      <c r="BH68" s="57">
        <f>SUMIFS(tblFleet[Calendar_h],tblFleet[Date],$A68,tblFleet[Equipment_Class],"Excavator")</f>
        <v/>
      </c>
      <c r="BI68" s="57">
        <f>IF($B68=$B67,$BI67,0)+$BH68</f>
        <v/>
      </c>
      <c r="BJ68" s="57">
        <f>$BJ67+$BH68</f>
        <v/>
      </c>
      <c r="BK68" s="57">
        <f>SUMIFS(tblFleet[Available_h],tblFleet[Date],$A68,tblFleet[Equipment_Class],"Excavator")</f>
        <v/>
      </c>
      <c r="BL68" s="57">
        <f>IF($B68=$B67,$BL67,0)+$BK68</f>
        <v/>
      </c>
      <c r="BM68" s="57">
        <f>$BM67+$BK68</f>
        <v/>
      </c>
      <c r="BN68" s="57">
        <f>SUMIFS(tblFleet[Operating_h],tblFleet[Date],$A68,tblFleet[Equipment_Class],"Excavator")</f>
        <v/>
      </c>
      <c r="BO68" s="57">
        <f>IF($B68=$B67,$BO67,0)+$BN68</f>
        <v/>
      </c>
      <c r="BP68" s="57">
        <f>$BP67+$BN68</f>
        <v/>
      </c>
      <c r="BQ68" s="67">
        <f>IFERROR(IF(($BH68)&gt;0,($BK68)/($BH68),""),"")</f>
        <v/>
      </c>
      <c r="BR68" s="67">
        <f>IFERROR(IF(($BI68)&gt;0,($BL68)/($BI68),""),"")</f>
        <v/>
      </c>
      <c r="BS68" s="67">
        <f>IFERROR(IF(($BJ68)&gt;0,($BM68)/($BJ68),""),"")</f>
        <v/>
      </c>
      <c r="BT68" s="67">
        <f>IFERROR(IF(($BK68)&gt;0,($BN68)/($BK68),""),"")</f>
        <v/>
      </c>
      <c r="BU68" s="67">
        <f>IFERROR(IF(($BL68)&gt;0,($BO68)/($BL68),""),"")</f>
        <v/>
      </c>
      <c r="BV68" s="67">
        <f>IFERROR(IF(($BM68)&gt;0,($BP68)/($BM68),""),"")</f>
        <v/>
      </c>
      <c r="BW68" s="57">
        <f>SUMIFS(tblFleet[Calendar_h],tblFleet[Date],$A68,tblFleet[Equipment_Class],"Haul Truck")</f>
        <v/>
      </c>
      <c r="BX68" s="57">
        <f>IF($B68=$B67,$BX67,0)+$BW68</f>
        <v/>
      </c>
      <c r="BY68" s="57">
        <f>$BY67+$BW68</f>
        <v/>
      </c>
      <c r="BZ68" s="57">
        <f>SUMIFS(tblFleet[Available_h],tblFleet[Date],$A68,tblFleet[Equipment_Class],"Haul Truck")</f>
        <v/>
      </c>
      <c r="CA68" s="57">
        <f>IF($B68=$B67,$CA67,0)+$BZ68</f>
        <v/>
      </c>
      <c r="CB68" s="57">
        <f>$CB67+$BZ68</f>
        <v/>
      </c>
      <c r="CC68" s="57">
        <f>SUMIFS(tblFleet[Operating_h],tblFleet[Date],$A68,tblFleet[Equipment_Class],"Haul Truck")</f>
        <v/>
      </c>
      <c r="CD68" s="57">
        <f>IF($B68=$B67,$CD67,0)+$CC68</f>
        <v/>
      </c>
      <c r="CE68" s="57">
        <f>$CE67+$CC68</f>
        <v/>
      </c>
      <c r="CF68" s="67">
        <f>IFERROR(IF(($BW68)&gt;0,($BZ68)/($BW68),""),"")</f>
        <v/>
      </c>
      <c r="CG68" s="67">
        <f>IFERROR(IF(($BX68)&gt;0,($CA68)/($BX68),""),"")</f>
        <v/>
      </c>
      <c r="CH68" s="67">
        <f>IFERROR(IF(($BY68)&gt;0,($CB68)/($BY68),""),"")</f>
        <v/>
      </c>
      <c r="CI68" s="67">
        <f>IFERROR(IF(($BZ68)&gt;0,($CC68)/($BZ68),""),"")</f>
        <v/>
      </c>
      <c r="CJ68" s="67">
        <f>IFERROR(IF(($CA68)&gt;0,($CD68)/($CA68),""),"")</f>
        <v/>
      </c>
      <c r="CK68" s="67">
        <f>IFERROR(IF(($CB68)&gt;0,($CE68)/($CB68),""),"")</f>
        <v/>
      </c>
      <c r="CL68" s="55">
        <f>IFERROR(IF(($BN68)&gt;0,($X68+$AD68)/($BN68),""),"")</f>
        <v/>
      </c>
      <c r="CM68" s="55">
        <f>IFERROR(IF(($BO68)&gt;0,($Y68+$AE68)/($BO68),""),"")</f>
        <v/>
      </c>
      <c r="CN68" s="55">
        <f>IFERROR(IF(($BP68)&gt;0,($Z68+$AF68)/($BP68),""),"")</f>
        <v/>
      </c>
      <c r="CO68" s="55">
        <f>IFERROR(IF(($CC68)&gt;0,($X68+$AD68)/($CC68),""),"")</f>
        <v/>
      </c>
      <c r="CP68" s="55">
        <f>IFERROR(IF(($CD68)&gt;0,($Y68+$AE68)/($CD68),""),"")</f>
        <v/>
      </c>
      <c r="CQ68" s="55">
        <f>IFERROR(IF(($CE68)&gt;0,($Z68+$AF68)/($CE68),""),"")</f>
        <v/>
      </c>
      <c r="CR68" s="55">
        <f>SUMIFS(tblPlant[Crushed_t],tblPlant[Date],$A68)</f>
        <v/>
      </c>
      <c r="CS68" s="55">
        <f>IF($B68=$B67,$CS67,0)+$CR68</f>
        <v/>
      </c>
      <c r="CT68" s="55">
        <f>$CT67+$CR68</f>
        <v/>
      </c>
      <c r="CU68" s="55">
        <f>SUMIFS(tblPlant[Milled_t],tblPlant[Date],$A68)</f>
        <v/>
      </c>
      <c r="CV68" s="55">
        <f>IF($B68=$B67,$CV67,0)+$CU68</f>
        <v/>
      </c>
      <c r="CW68" s="55">
        <f>$CW67+$CU68</f>
        <v/>
      </c>
      <c r="CX68" s="55">
        <f>SUMIFS(tblPlant[Feed_oz],tblPlant[Date],$A68)</f>
        <v/>
      </c>
      <c r="CY68" s="55">
        <f>IF($B68=$B67,$CY67,0)+$CX68</f>
        <v/>
      </c>
      <c r="CZ68" s="55">
        <f>$CZ67+$CX68</f>
        <v/>
      </c>
      <c r="DA68" s="55">
        <f>SUMIFS(tblPlant[Tails_oz],tblPlant[Date],$A68)</f>
        <v/>
      </c>
      <c r="DB68" s="55">
        <f>IF($B68=$B67,$DB67,0)+$DA68</f>
        <v/>
      </c>
      <c r="DC68" s="55">
        <f>$DC67+$DA68</f>
        <v/>
      </c>
      <c r="DD68" s="55">
        <f>SUMIFS(tblPlant[Recovered_oz],tblPlant[Date],$A68)</f>
        <v/>
      </c>
      <c r="DE68" s="55">
        <f>IF($B68=$B67,$DE67,0)+$DD68</f>
        <v/>
      </c>
      <c r="DF68" s="55">
        <f>$DF67+$DD68</f>
        <v/>
      </c>
      <c r="DG68" s="55">
        <f>SUMIFS(tblPlant[Milled_t],tblPlant[Date],$A68,tblPlant[Head_Grade_gpt],"&lt;&gt;")</f>
        <v/>
      </c>
      <c r="DH68" s="55">
        <f>IF($B68=$B67,$DH67,0)+$DG68</f>
        <v/>
      </c>
      <c r="DI68" s="55">
        <f>$DI67+$DG68</f>
        <v/>
      </c>
      <c r="DJ68" s="55">
        <f>SUMIFS(tblPlant[Milled_t],tblPlant[Date],$A68,tblPlant[Tails_Grade_gpt],"&lt;&gt;")</f>
        <v/>
      </c>
      <c r="DK68" s="55">
        <f>IF($B68=$B67,$DK67,0)+$DJ68</f>
        <v/>
      </c>
      <c r="DL68" s="55">
        <f>$DL67+$DJ68</f>
        <v/>
      </c>
      <c r="DM68" s="55">
        <f>SUMIFS(tblPlant[Feed_oz],tblPlant[Date],$A68,tblPlant[Tails_Grade_gpt],"&lt;&gt;")</f>
        <v/>
      </c>
      <c r="DN68" s="55">
        <f>IF($B68=$B67,$DN67,0)+$DM68</f>
        <v/>
      </c>
      <c r="DO68" s="55">
        <f>$DO67+$DM68</f>
        <v/>
      </c>
      <c r="DP68" s="55">
        <f>SUMIFS(tblPlant[Milled_t],tblPlant[Date],$A68,tblPlant[Mill_Run_h],"&lt;&gt;")</f>
        <v/>
      </c>
      <c r="DQ68" s="55">
        <f>IF($B68=$B67,$DQ67,0)+$DP68</f>
        <v/>
      </c>
      <c r="DR68" s="55">
        <f>$DR67+$DP68</f>
        <v/>
      </c>
      <c r="DS68" s="56">
        <f>IFERROR(IF(($DG68)&gt;0,($CX68*cfg_TroyOz)/($DG68),""),"")</f>
        <v/>
      </c>
      <c r="DT68" s="56">
        <f>IFERROR(IF(($DH68)&gt;0,($CY68*cfg_TroyOz)/($DH68),""),"")</f>
        <v/>
      </c>
      <c r="DU68" s="56">
        <f>IFERROR(IF(($DI68)&gt;0,($CZ68*cfg_TroyOz)/($DI68),""),"")</f>
        <v/>
      </c>
      <c r="DV68" s="56">
        <f>IFERROR(IF(($DJ68)&gt;0,($DA68*cfg_TroyOz)/($DJ68),""),"")</f>
        <v/>
      </c>
      <c r="DW68" s="56">
        <f>IFERROR(IF(($DK68)&gt;0,($DB68*cfg_TroyOz)/($DK68),""),"")</f>
        <v/>
      </c>
      <c r="DX68" s="56">
        <f>IFERROR(IF(($DL68)&gt;0,($DC68*cfg_TroyOz)/($DL68),""),"")</f>
        <v/>
      </c>
      <c r="DY68" s="67">
        <f>IFERROR(IF(($DM68)&gt;0,($DD68)/($DM68),""),"")</f>
        <v/>
      </c>
      <c r="DZ68" s="67">
        <f>IFERROR(IF(($DN68)&gt;0,($DE68)/($DN68),""),"")</f>
        <v/>
      </c>
      <c r="EA68" s="67">
        <f>IFERROR(IF(($DO68)&gt;0,($DF68)/($DO68),""),"")</f>
        <v/>
      </c>
      <c r="EB68" s="55">
        <f>SUMIFS(tblPlant[Gravity_Gold_oz],tblPlant[Date],$A68)</f>
        <v/>
      </c>
      <c r="EC68" s="55">
        <f>IF($B68=$B67,$EC67,0)+$EB68</f>
        <v/>
      </c>
      <c r="ED68" s="55">
        <f>$ED67+$EB68</f>
        <v/>
      </c>
      <c r="EE68" s="67">
        <f>IFERROR(IF(($DD68)&gt;0,($EB68)/($DD68),""),"")</f>
        <v/>
      </c>
      <c r="EF68" s="67">
        <f>IFERROR(IF(($DE68)&gt;0,($EC68)/($DE68),""),"")</f>
        <v/>
      </c>
      <c r="EG68" s="67">
        <f>IFERROR(IF(($DF68)&gt;0,($ED68)/($DF68),""),"")</f>
        <v/>
      </c>
      <c r="EH68" s="55">
        <f>SUMIFS(tblPlant[Gold_Poured_oz],tblPlant[Date],$A68)</f>
        <v/>
      </c>
      <c r="EI68" s="55">
        <f>IF($B68=$B67,$EI67,0)+$EH68</f>
        <v/>
      </c>
      <c r="EJ68" s="55">
        <f>$EJ67+$EH68</f>
        <v/>
      </c>
      <c r="EK68" s="57">
        <f>SUMIFS(tblPlant[Mill_Run_h],tblPlant[Date],$A68)</f>
        <v/>
      </c>
      <c r="EL68" s="57">
        <f>IF($B68=$B67,$EL67,0)+$EK68</f>
        <v/>
      </c>
      <c r="EM68" s="57">
        <f>$EM67+$EK68</f>
        <v/>
      </c>
      <c r="EN68" s="57">
        <f>SUMIFS(tblPlant[Mill_Planned_Maint_h],tblPlant[Date],$A68)</f>
        <v/>
      </c>
      <c r="EO68" s="57">
        <f>IF($B68=$B67,$EO67,0)+$EN68</f>
        <v/>
      </c>
      <c r="EP68" s="57">
        <f>$EP67+$EN68</f>
        <v/>
      </c>
      <c r="EQ68" s="57">
        <f>SUMIFS(tblPlant[Mill_Unplanned_Down_h],tblPlant[Date],$A68)</f>
        <v/>
      </c>
      <c r="ER68" s="57">
        <f>IF($B68=$B67,$ER67,0)+$EQ68</f>
        <v/>
      </c>
      <c r="ES68" s="57">
        <f>$ES67+$EQ68</f>
        <v/>
      </c>
      <c r="ET68" s="57">
        <f>IF(COUNTIFS(tblPlant[Date],$A68,tblPlant[Mill_Run_h],"&lt;&gt;")+COUNTIFS(tblPlant[Date],$A68,tblPlant[Mill_Planned_Maint_h],"&lt;&gt;")+COUNTIFS(tblPlant[Date],$A68,tblPlant[Mill_Unplanned_Down_h],"&lt;&gt;")&gt;0,cfg_HoursPerDay,0)</f>
        <v/>
      </c>
      <c r="EU68" s="57">
        <f>IF($B68=$B67,$EU67,0)+$ET68</f>
        <v/>
      </c>
      <c r="EV68" s="57">
        <f>$EV67+$ET68</f>
        <v/>
      </c>
      <c r="EW68" s="57">
        <f>SUMIFS(tblPlant[Crusher_Run_h],tblPlant[Date],$A68)</f>
        <v/>
      </c>
      <c r="EX68" s="57">
        <f>IF($B68=$B67,$EX67,0)+$EW68</f>
        <v/>
      </c>
      <c r="EY68" s="57">
        <f>$EY67+$EW68</f>
        <v/>
      </c>
      <c r="EZ68" s="55">
        <f>IFERROR(IF(($EK68)&gt;0,($DP68)/($EK68),""),"")</f>
        <v/>
      </c>
      <c r="FA68" s="55">
        <f>IFERROR(IF(($EL68)&gt;0,($DQ68)/($EL68),""),"")</f>
        <v/>
      </c>
      <c r="FB68" s="55">
        <f>IFERROR(IF(($EM68)&gt;0,($DR68)/($EM68),""),"")</f>
        <v/>
      </c>
      <c r="FC68" s="67">
        <f>IFERROR(IF(($ET68)&gt;0,($ET68-$EN68-$EQ68)/($ET68),""),"")</f>
        <v/>
      </c>
      <c r="FD68" s="67">
        <f>IFERROR(IF(($EU68)&gt;0,($EU68-$EO68-$ER68)/($EU68),""),"")</f>
        <v/>
      </c>
      <c r="FE68" s="67">
        <f>IFERROR(IF(($EV68)&gt;0,($EV68-$EP68-$ES68)/($EV68),""),"")</f>
        <v/>
      </c>
      <c r="FF68" s="67">
        <f>IFERROR(IF(($ET68-$EN68-$EQ68)&gt;0,($EK68)/($ET68-$EN68-$EQ68),""),"")</f>
        <v/>
      </c>
      <c r="FG68" s="67">
        <f>IFERROR(IF(($EU68-$EO68-$ER68)&gt;0,($EL68)/($EU68-$EO68-$ER68),""),"")</f>
        <v/>
      </c>
      <c r="FH68" s="67">
        <f>IFERROR(IF(($EV68-$EP68-$ES68)&gt;0,($EM68)/($EV68-$EP68-$ES68),""),"")</f>
        <v/>
      </c>
      <c r="FI68" s="55">
        <f>SUMIFS(tblPlant[Cyanide_kg],tblPlant[Date],$A68)</f>
        <v/>
      </c>
      <c r="FJ68" s="55">
        <f>IF($B68=$B67,$FJ67,0)+$FI68</f>
        <v/>
      </c>
      <c r="FK68" s="55">
        <f>$FK67+$FI68</f>
        <v/>
      </c>
      <c r="FL68" s="55">
        <f>SUMIFS(tblPlant[Lime_kg],tblPlant[Date],$A68)</f>
        <v/>
      </c>
      <c r="FM68" s="55">
        <f>IF($B68=$B67,$FM67,0)+$FL68</f>
        <v/>
      </c>
      <c r="FN68" s="55">
        <f>$FN67+$FL68</f>
        <v/>
      </c>
      <c r="FO68" s="55">
        <f>SUMIFS(tblPlant[Grinding_Media_kg],tblPlant[Date],$A68)</f>
        <v/>
      </c>
      <c r="FP68" s="55">
        <f>IF($B68=$B67,$FP67,0)+$FO68</f>
        <v/>
      </c>
      <c r="FQ68" s="55">
        <f>$FQ67+$FO68</f>
        <v/>
      </c>
      <c r="FR68" s="55">
        <f>SUMIFS(tblPlant[Power_kWh],tblPlant[Date],$A68)</f>
        <v/>
      </c>
      <c r="FS68" s="55">
        <f>IF($B68=$B67,$FS67,0)+$FR68</f>
        <v/>
      </c>
      <c r="FT68" s="55">
        <f>$FT67+$FR68</f>
        <v/>
      </c>
      <c r="FU68" s="55">
        <f>SUMIFS(tblPlant[Raw_Water_m3],tblPlant[Date],$A68)</f>
        <v/>
      </c>
      <c r="FV68" s="55">
        <f>IF($B68=$B67,$FV67,0)+$FU68</f>
        <v/>
      </c>
      <c r="FW68" s="55">
        <f>$FW67+$FU68</f>
        <v/>
      </c>
      <c r="FX68" s="56">
        <f>IFERROR(IF(($CU68)&gt;0,($FI68)/($CU68),""),"")</f>
        <v/>
      </c>
      <c r="FY68" s="56">
        <f>IFERROR(IF(($CV68)&gt;0,($FJ68)/($CV68),""),"")</f>
        <v/>
      </c>
      <c r="FZ68" s="56">
        <f>IFERROR(IF(($CW68)&gt;0,($FK68)/($CW68),""),"")</f>
        <v/>
      </c>
      <c r="GA68" s="56">
        <f>IFERROR(IF(($CU68)&gt;0,($FL68)/($CU68),""),"")</f>
        <v/>
      </c>
      <c r="GB68" s="56">
        <f>IFERROR(IF(($CV68)&gt;0,($FM68)/($CV68),""),"")</f>
        <v/>
      </c>
      <c r="GC68" s="56">
        <f>IFERROR(IF(($CW68)&gt;0,($FN68)/($CW68),""),"")</f>
        <v/>
      </c>
      <c r="GD68" s="56">
        <f>IFERROR(IF(($CU68)&gt;0,($FO68)/($CU68),""),"")</f>
        <v/>
      </c>
      <c r="GE68" s="56">
        <f>IFERROR(IF(($CV68)&gt;0,($FP68)/($CV68),""),"")</f>
        <v/>
      </c>
      <c r="GF68" s="56">
        <f>IFERROR(IF(($CW68)&gt;0,($FQ68)/($CW68),""),"")</f>
        <v/>
      </c>
      <c r="GG68" s="79">
        <f>IFERROR(IF(($CU68)&gt;0,($FR68)/($CU68),""),"")</f>
        <v/>
      </c>
      <c r="GH68" s="79">
        <f>IFERROR(IF(($CV68)&gt;0,($FS68)/($CV68),""),"")</f>
        <v/>
      </c>
      <c r="GI68" s="79">
        <f>IFERROR(IF(($CW68)&gt;0,($FT68)/($CW68),""),"")</f>
        <v/>
      </c>
      <c r="GJ68" s="56">
        <f>IFERROR(IF(($CU68)&gt;0,($FU68)/($CU68),""),"")</f>
        <v/>
      </c>
      <c r="GK68" s="56">
        <f>IFERROR(IF(($CV68)&gt;0,($FV68)/($CV68),""),"")</f>
        <v/>
      </c>
      <c r="GL68" s="56">
        <f>IFERROR(IF(($CW68)&gt;0,($FW68)/($CW68),""),"")</f>
        <v/>
      </c>
      <c r="GM68" s="55">
        <f>IF(SUMIFS(tblPlant[GIC_oz],tblPlant[Date],$A68)&gt;0,SUMIFS(tblPlant[GIC_oz],tblPlant[Date],$A68),"")</f>
        <v/>
      </c>
      <c r="GN68" s="55">
        <f>SUMIFS(tblGold[Gold_oz],tblGold[Date],$A68,tblGold[Type],"Shipment")</f>
        <v/>
      </c>
      <c r="GO68" s="55">
        <f>IF($B68=$B67,$GO67,0)+$GN68</f>
        <v/>
      </c>
      <c r="GP68" s="55">
        <f>$GP67+$GN68</f>
        <v/>
      </c>
      <c r="GQ68" s="55">
        <f>SUMIFS(tblGold[Gold_oz],tblGold[Date],$A68,tblGold[Type],"Sale")</f>
        <v/>
      </c>
      <c r="GR68" s="55">
        <f>IF($B68=$B67,$GR67,0)+$GQ68</f>
        <v/>
      </c>
      <c r="GS68" s="55">
        <f>$GS67+$GQ68</f>
        <v/>
      </c>
      <c r="GT68" s="55">
        <f>SUMIFS(tblGold[Dore_kg],tblGold[Date],$A68,tblGold[Type],"Shipment")</f>
        <v/>
      </c>
      <c r="GU68" s="55">
        <f>IF($B68=$B67,$GU67,0)+$GT68</f>
        <v/>
      </c>
      <c r="GV68" s="55">
        <f>$GV67+$GT68</f>
        <v/>
      </c>
      <c r="GW68" s="57">
        <f>SUMIFS(tblSafety[Hours_Total],tblSafety[Date],$A68)</f>
        <v/>
      </c>
      <c r="GX68" s="57">
        <f>IF($B68=$B67,$GX67,0)+$GW68</f>
        <v/>
      </c>
      <c r="GY68" s="57">
        <f>$GY67+$GW68</f>
        <v/>
      </c>
      <c r="GZ68" s="62">
        <f>SUMIFS(tblSafety[Fatality],tblSafety[Date],$A68)</f>
        <v/>
      </c>
      <c r="HA68" s="62">
        <f>IF($B68=$B67,$HA67,0)+$GZ68</f>
        <v/>
      </c>
      <c r="HB68" s="62">
        <f>$HB67+$GZ68</f>
        <v/>
      </c>
      <c r="HC68" s="62">
        <f>SUMIFS(tblSafety[LTI],tblSafety[Date],$A68)</f>
        <v/>
      </c>
      <c r="HD68" s="62">
        <f>IF($B68=$B67,$HD67,0)+$HC68</f>
        <v/>
      </c>
      <c r="HE68" s="62">
        <f>$HE67+$HC68</f>
        <v/>
      </c>
      <c r="HF68" s="62">
        <f>SUMIFS(tblSafety[RWI],tblSafety[Date],$A68)</f>
        <v/>
      </c>
      <c r="HG68" s="62">
        <f>IF($B68=$B67,$HG67,0)+$HF68</f>
        <v/>
      </c>
      <c r="HH68" s="62">
        <f>$HH67+$HF68</f>
        <v/>
      </c>
      <c r="HI68" s="62">
        <f>SUMIFS(tblSafety[MTI],tblSafety[Date],$A68)</f>
        <v/>
      </c>
      <c r="HJ68" s="62">
        <f>IF($B68=$B67,$HJ67,0)+$HI68</f>
        <v/>
      </c>
      <c r="HK68" s="62">
        <f>$HK67+$HI68</f>
        <v/>
      </c>
      <c r="HL68" s="62">
        <f>SUMIFS(tblSafety[FAI],tblSafety[Date],$A68)</f>
        <v/>
      </c>
      <c r="HM68" s="62">
        <f>IF($B68=$B67,$HM67,0)+$HL68</f>
        <v/>
      </c>
      <c r="HN68" s="62">
        <f>$HN67+$HL68</f>
        <v/>
      </c>
      <c r="HO68" s="62">
        <f>SUMIFS(tblSafety[Recordables],tblSafety[Date],$A68)</f>
        <v/>
      </c>
      <c r="HP68" s="62">
        <f>IF($B68=$B67,$HP67,0)+$HO68</f>
        <v/>
      </c>
      <c r="HQ68" s="62">
        <f>$HQ67+$HO68</f>
        <v/>
      </c>
      <c r="HR68" s="62">
        <f>SUMIFS(tblSafety[Near_Miss],tblSafety[Date],$A68)</f>
        <v/>
      </c>
      <c r="HS68" s="62">
        <f>IF($B68=$B67,$HS67,0)+$HR68</f>
        <v/>
      </c>
      <c r="HT68" s="62">
        <f>$HT67+$HR68</f>
        <v/>
      </c>
      <c r="HU68" s="62">
        <f>SUMIFS(tblSafety[Hazard_Reports],tblSafety[Date],$A68)</f>
        <v/>
      </c>
      <c r="HV68" s="62">
        <f>IF($B68=$B67,$HV67,0)+$HU68</f>
        <v/>
      </c>
      <c r="HW68" s="62">
        <f>$HW67+$HU68</f>
        <v/>
      </c>
      <c r="HX68" s="62">
        <f>SUMIFS(tblSafety[HPI],tblSafety[Date],$A68)</f>
        <v/>
      </c>
      <c r="HY68" s="62">
        <f>IF($B68=$B67,$HY67,0)+$HX68</f>
        <v/>
      </c>
      <c r="HZ68" s="62">
        <f>$HZ67+$HX68</f>
        <v/>
      </c>
      <c r="IA68" s="62">
        <f>SUMIFS(tblSafety[Env_Incidents],tblSafety[Date],$A68)</f>
        <v/>
      </c>
      <c r="IB68" s="62">
        <f>IF($B68=$B67,$IB67,0)+$IA68</f>
        <v/>
      </c>
      <c r="IC68" s="62">
        <f>$IC67+$IA68</f>
        <v/>
      </c>
      <c r="ID68" s="62">
        <f>SUMIFS(tblSafety[Community_Incidents],tblSafety[Date],$A68)</f>
        <v/>
      </c>
      <c r="IE68" s="62">
        <f>IF($B68=$B67,$IE67,0)+$ID68</f>
        <v/>
      </c>
      <c r="IF68" s="62">
        <f>$IF67+$ID68</f>
        <v/>
      </c>
      <c r="IG68" s="62">
        <f>SUMIFS(tblSafety[Vehicle_Incidents],tblSafety[Date],$A68)</f>
        <v/>
      </c>
      <c r="IH68" s="62">
        <f>IF($B68=$B67,$IH67,0)+$IG68</f>
        <v/>
      </c>
      <c r="II68" s="62">
        <f>$II67+$IG68</f>
        <v/>
      </c>
      <c r="IJ68" s="62">
        <f>SUMIFS(tblSafety[Toolbox_Talks],tblSafety[Date],$A68)</f>
        <v/>
      </c>
      <c r="IK68" s="62">
        <f>IF($B68=$B67,$IK67,0)+$IJ68</f>
        <v/>
      </c>
      <c r="IL68" s="62">
        <f>$IL67+$IJ68</f>
        <v/>
      </c>
      <c r="IM68" s="62">
        <f>SUMIFS(tblSafety[Inspections],tblSafety[Date],$A68)</f>
        <v/>
      </c>
      <c r="IN68" s="62">
        <f>IF($B68=$B67,$IN67,0)+$IM68</f>
        <v/>
      </c>
      <c r="IO68" s="62">
        <f>$IO67+$IM68</f>
        <v/>
      </c>
      <c r="IP68" s="56">
        <f>IFERROR((SUMIFS(tblSafety[Recordables],tblSafety[Date],"&gt;="&amp;EDATE($E68,-12),tblSafety[Date],"&lt;="&amp;$A68)+SUMIFS(tblSafetyHistory[Recordables],tblSafetyHistory[Month],"&gt;="&amp;EDATE($E68,-12),tblSafetyHistory[Month],"&lt;"&amp;$E68,tblSafetyHistory[Use],1))/(SUMIFS(tblSafety[Hours_Total],tblSafety[Date],"&gt;="&amp;EDATE($E68,-12),tblSafety[Date],"&lt;="&amp;$A68)+SUMIFS(tblSafetyHistory[Hours_Total],tblSafetyHistory[Month],"&gt;="&amp;EDATE($E68,-12),tblSafetyHistory[Month],"&lt;"&amp;$E68,tblSafetyHistory[Use],1))*cfg_RateBasisHours,"")</f>
        <v/>
      </c>
      <c r="IQ68" s="56">
        <f>IFERROR((SUMIFS(tblSafety[LTI],tblSafety[Date],"&gt;="&amp;EDATE($E68,-12),tblSafety[Date],"&lt;="&amp;$A68)+SUMIFS(tblSafetyHistory[LTI],tblSafetyHistory[Month],"&gt;="&amp;EDATE($E68,-12),tblSafetyHistory[Month],"&lt;"&amp;$E68,tblSafetyHistory[Use],1))/(SUMIFS(tblSafety[Hours_Total],tblSafety[Date],"&gt;="&amp;EDATE($E68,-12),tblSafety[Date],"&lt;="&amp;$A68)+SUMIFS(tblSafetyHistory[Hours_Total],tblSafetyHistory[Month],"&gt;="&amp;EDATE($E68,-12),tblSafetyHistory[Month],"&lt;"&amp;$E68,tblSafetyHistory[Use],1))*cfg_RateBasisHours,"")</f>
        <v/>
      </c>
      <c r="IR68" s="62">
        <f>IF(MAX(N(cfg_PriorLTIDate),_xlfn.MAXIFS(tblSafety[Date],tblSafety[LTI],"&gt;0",tblSafety[Date],"&lt;="&amp;$A68))=0,"",$A68-MAX(N(cfg_PriorLTIDate),_xlfn.MAXIFS(tblSafety[Date],tblSafety[LTI],"&gt;0",tblSafety[Date],"&lt;="&amp;$A68)))</f>
        <v/>
      </c>
      <c r="IS68" s="55">
        <f>SUMIFS(tblBudget[Ore_Mined_t],tblBudget[Month],$E68)</f>
        <v/>
      </c>
      <c r="IT68" s="55">
        <f>$IS68*$C68/$D68</f>
        <v/>
      </c>
      <c r="IU68" s="55">
        <f>SUMIFS(tblBudget[Ore_Mined_t],tblBudget[Month],"&lt;"&amp;$E68)+$IT68</f>
        <v/>
      </c>
      <c r="IV68" s="55">
        <f>SUMIFS(tblBudget[Ore_oz],tblBudget[Month],$E68)</f>
        <v/>
      </c>
      <c r="IW68" s="55">
        <f>$IV68*$C68/$D68</f>
        <v/>
      </c>
      <c r="IX68" s="55">
        <f>SUMIFS(tblBudget[Ore_oz],tblBudget[Month],"&lt;"&amp;$E68)+$IW68</f>
        <v/>
      </c>
      <c r="IY68" s="55">
        <f>SUMIFS(tblBudget[Ore_Mined_t],tblBudget[Month],$E68)</f>
        <v/>
      </c>
      <c r="IZ68" s="55">
        <f>$IY68*$C68/$D68</f>
        <v/>
      </c>
      <c r="JA68" s="55">
        <f>SUMIFS(tblBudget[Ore_Mined_t],tblBudget[Month],"&lt;"&amp;$E68)+$IZ68</f>
        <v/>
      </c>
      <c r="JB68" s="56">
        <f>IFERROR(IF(($IY68)&gt;0,($IV68*cfg_TroyOz)/($IY68),""),"")</f>
        <v/>
      </c>
      <c r="JC68" s="56">
        <f>IFERROR(IF(($IZ68)&gt;0,($IW68*cfg_TroyOz)/($IZ68),""),"")</f>
        <v/>
      </c>
      <c r="JD68" s="56">
        <f>IFERROR(IF(($JA68)&gt;0,($IX68*cfg_TroyOz)/($JA68),""),"")</f>
        <v/>
      </c>
      <c r="JE68" s="55">
        <f>SUMIFS(tblBudget[Waste_t],tblBudget[Month],$E68)</f>
        <v/>
      </c>
      <c r="JF68" s="55">
        <f>$JE68*$C68/$D68</f>
        <v/>
      </c>
      <c r="JG68" s="55">
        <f>SUMIFS(tblBudget[Waste_t],tblBudget[Month],"&lt;"&amp;$E68)+$JF68</f>
        <v/>
      </c>
      <c r="JH68" s="55">
        <f>SUMIFS(tblBudget[TMM_t],tblBudget[Month],$E68)</f>
        <v/>
      </c>
      <c r="JI68" s="55">
        <f>$JH68*$C68/$D68</f>
        <v/>
      </c>
      <c r="JJ68" s="55">
        <f>SUMIFS(tblBudget[TMM_t],tblBudget[Month],"&lt;"&amp;$E68)+$JI68</f>
        <v/>
      </c>
      <c r="JK68" s="56">
        <f>IFERROR(IF(($IS68)&gt;0,($JE68)/($IS68),""),"")</f>
        <v/>
      </c>
      <c r="JL68" s="56">
        <f>IFERROR(IF(($IT68)&gt;0,($JF68)/($IT68),""),"")</f>
        <v/>
      </c>
      <c r="JM68" s="56">
        <f>IFERROR(IF(($IU68)&gt;0,($JG68)/($IU68),""),"")</f>
        <v/>
      </c>
      <c r="JN68" s="55">
        <f>SUMIFS(tblBudget[Drill_m],tblBudget[Month],$E68)</f>
        <v/>
      </c>
      <c r="JO68" s="55">
        <f>$JN68*$C68/$D68</f>
        <v/>
      </c>
      <c r="JP68" s="55">
        <f>SUMIFS(tblBudget[Drill_m],tblBudget[Month],"&lt;"&amp;$E68)+$JO68</f>
        <v/>
      </c>
      <c r="JQ68" s="55">
        <f>SUMIFS(tblBudget[Diesel_L],tblBudget[Month],$E68)</f>
        <v/>
      </c>
      <c r="JR68" s="55">
        <f>$JQ68*$C68/$D68</f>
        <v/>
      </c>
      <c r="JS68" s="55">
        <f>SUMIFS(tblBudget[Diesel_L],tblBudget[Month],"&lt;"&amp;$E68)+$JR68</f>
        <v/>
      </c>
      <c r="JT68" s="55">
        <f>SUMIFS(tblBudget[Milled_t],tblBudget[Month],$E68)</f>
        <v/>
      </c>
      <c r="JU68" s="55">
        <f>$JT68*$C68/$D68</f>
        <v/>
      </c>
      <c r="JV68" s="55">
        <f>SUMIFS(tblBudget[Milled_t],tblBudget[Month],"&lt;"&amp;$E68)+$JU68</f>
        <v/>
      </c>
      <c r="JW68" s="55">
        <f>SUMIFS(tblBudget[Feed_oz],tblBudget[Month],$E68)</f>
        <v/>
      </c>
      <c r="JX68" s="55">
        <f>$JW68*$C68/$D68</f>
        <v/>
      </c>
      <c r="JY68" s="55">
        <f>SUMIFS(tblBudget[Feed_oz],tblBudget[Month],"&lt;"&amp;$E68)+$JX68</f>
        <v/>
      </c>
      <c r="JZ68" s="55">
        <f>SUMIFS(tblBudget[Recovered_oz],tblBudget[Month],$E68)</f>
        <v/>
      </c>
      <c r="KA68" s="55">
        <f>$JZ68*$C68/$D68</f>
        <v/>
      </c>
      <c r="KB68" s="55">
        <f>SUMIFS(tblBudget[Recovered_oz],tblBudget[Month],"&lt;"&amp;$E68)+$KA68</f>
        <v/>
      </c>
      <c r="KC68" s="55">
        <f>SUMIFS(tblBudget[Milled_t],tblBudget[Month],$E68)</f>
        <v/>
      </c>
      <c r="KD68" s="55">
        <f>$KC68*$C68/$D68</f>
        <v/>
      </c>
      <c r="KE68" s="55">
        <f>SUMIFS(tblBudget[Milled_t],tblBudget[Month],"&lt;"&amp;$E68)+$KD68</f>
        <v/>
      </c>
      <c r="KF68" s="55">
        <f>SUMIFS(tblBudget[Feed_oz],tblBudget[Month],$E68)</f>
        <v/>
      </c>
      <c r="KG68" s="55">
        <f>$KF68*$C68/$D68</f>
        <v/>
      </c>
      <c r="KH68" s="55">
        <f>SUMIFS(tblBudget[Feed_oz],tblBudget[Month],"&lt;"&amp;$E68)+$KG68</f>
        <v/>
      </c>
      <c r="KI68" s="56">
        <f>IFERROR(IF(($KC68)&gt;0,($JW68*cfg_TroyOz)/($KC68),""),"")</f>
        <v/>
      </c>
      <c r="KJ68" s="56">
        <f>IFERROR(IF(($KD68)&gt;0,($JX68*cfg_TroyOz)/($KD68),""),"")</f>
        <v/>
      </c>
      <c r="KK68" s="56">
        <f>IFERROR(IF(($KE68)&gt;0,($JY68*cfg_TroyOz)/($KE68),""),"")</f>
        <v/>
      </c>
      <c r="KL68" s="67">
        <f>IFERROR(IF(($KF68)&gt;0,($JZ68)/($KF68),""),"")</f>
        <v/>
      </c>
      <c r="KM68" s="67">
        <f>IFERROR(IF(($KG68)&gt;0,($KA68)/($KG68),""),"")</f>
        <v/>
      </c>
      <c r="KN68" s="67">
        <f>IFERROR(IF(($KH68)&gt;0,($KB68)/($KH68),""),"")</f>
        <v/>
      </c>
      <c r="KO68" s="55">
        <f>SUMIFS(tblBudget[Gold_Poured_oz],tblBudget[Month],$E68)</f>
        <v/>
      </c>
      <c r="KP68" s="55">
        <f>$KO68*$C68/$D68</f>
        <v/>
      </c>
      <c r="KQ68" s="55">
        <f>SUMIFS(tblBudget[Gold_Poured_oz],tblBudget[Month],"&lt;"&amp;$E68)+$KP68</f>
        <v/>
      </c>
      <c r="KR68" s="57">
        <f>SUMIFS(tblBudget[Hours_Worked],tblBudget[Month],$E68)</f>
        <v/>
      </c>
      <c r="KS68" s="57">
        <f>$KR68*$C68/$D68</f>
        <v/>
      </c>
      <c r="KT68" s="57">
        <f>SUMIFS(tblBudget[Hours_Worked],tblBudget[Month],"&lt;"&amp;$E68)+$KS68</f>
        <v/>
      </c>
    </row>
    <row r="69">
      <c r="A69" s="54" t="n">
        <v>46090</v>
      </c>
      <c r="B69">
        <f>MONTH($A69)</f>
        <v/>
      </c>
      <c r="C69">
        <f>DAY($A69)</f>
        <v/>
      </c>
      <c r="D69">
        <f>DAY(EOMONTH($A69,0))</f>
        <v/>
      </c>
      <c r="E69" s="54">
        <f>DATE(YEAR($A69),MONTH($A69),1)</f>
        <v/>
      </c>
      <c r="F69" s="55">
        <f>SUMIFS(tblMovement[Tonnes_t],tblMovement[Date],$A69,tblMovement[Is_Ore],1,tblMovement[Source_Type],"Pit")</f>
        <v/>
      </c>
      <c r="G69" s="55">
        <f>IF($B69=$B68,$G68,0)+$F69</f>
        <v/>
      </c>
      <c r="H69" s="55">
        <f>$H68+$F69</f>
        <v/>
      </c>
      <c r="I69" s="55">
        <f>SUMIFS(tblMovement[Ore_oz],tblMovement[Date],$A69,tblMovement[Source_Type],"Pit")</f>
        <v/>
      </c>
      <c r="J69" s="55">
        <f>IF($B69=$B68,$J68,0)+$I69</f>
        <v/>
      </c>
      <c r="K69" s="55">
        <f>$K68+$I69</f>
        <v/>
      </c>
      <c r="L69" s="55">
        <f>SUMIFS(tblMovement[Tonnes_t],tblMovement[Date],$A69,tblMovement[Is_Ore],1,tblMovement[Source_Type],"Pit",tblMovement[Grade_gpt],"&lt;&gt;")</f>
        <v/>
      </c>
      <c r="M69" s="55">
        <f>IF($B69=$B68,$M68,0)+$L69</f>
        <v/>
      </c>
      <c r="N69" s="55">
        <f>$N68+$L69</f>
        <v/>
      </c>
      <c r="O69" s="56">
        <f>IFERROR(IF(($L69)&gt;0,($I69*cfg_TroyOz)/($L69),""),"")</f>
        <v/>
      </c>
      <c r="P69" s="56">
        <f>IFERROR(IF(($M69)&gt;0,($J69*cfg_TroyOz)/($M69),""),"")</f>
        <v/>
      </c>
      <c r="Q69" s="56">
        <f>IFERROR(IF(($N69)&gt;0,($K69*cfg_TroyOz)/($N69),""),"")</f>
        <v/>
      </c>
      <c r="R69" s="55">
        <f>$F69-$L69</f>
        <v/>
      </c>
      <c r="S69" s="55">
        <f>IF($B69=$B68,$S68,0)+$R69</f>
        <v/>
      </c>
      <c r="T69" s="55">
        <f>$T68+$R69</f>
        <v/>
      </c>
      <c r="U69" s="55">
        <f>SUMIFS(tblMovement[Tonnes_t],tblMovement[Date],$A69,tblMovement[Is_Ore],0,tblMovement[Source_Type],"Pit")</f>
        <v/>
      </c>
      <c r="V69" s="55">
        <f>IF($B69=$B68,$V68,0)+$U69</f>
        <v/>
      </c>
      <c r="W69" s="55">
        <f>$W68+$U69</f>
        <v/>
      </c>
      <c r="X69" s="55">
        <f>$F69+$U69</f>
        <v/>
      </c>
      <c r="Y69" s="55">
        <f>IF($B69=$B68,$Y68,0)+$X69</f>
        <v/>
      </c>
      <c r="Z69" s="55">
        <f>$Z68+$X69</f>
        <v/>
      </c>
      <c r="AA69" s="56">
        <f>IFERROR(IF(($F69)&gt;0,($U69)/($F69),""),"")</f>
        <v/>
      </c>
      <c r="AB69" s="56">
        <f>IFERROR(IF(($G69)&gt;0,($V69)/($G69),""),"")</f>
        <v/>
      </c>
      <c r="AC69" s="56">
        <f>IFERROR(IF(($H69)&gt;0,($W69)/($H69),""),"")</f>
        <v/>
      </c>
      <c r="AD69" s="55">
        <f>SUMIFS(tblMovement[Tonnes_t],tblMovement[Date],$A69,tblMovement[Source_Type],"Stockpile")</f>
        <v/>
      </c>
      <c r="AE69" s="55">
        <f>IF($B69=$B68,$AE68,0)+$AD69</f>
        <v/>
      </c>
      <c r="AF69" s="55">
        <f>$AF68+$AD69</f>
        <v/>
      </c>
      <c r="AG69" s="55">
        <f>SUMIFS(tblMovement[Tonnes_t],tblMovement[Date],$A69)</f>
        <v/>
      </c>
      <c r="AH69" s="55">
        <f>IF($B69=$B68,$AH68,0)+$AG69</f>
        <v/>
      </c>
      <c r="AI69" s="55">
        <f>$AI68+$AG69</f>
        <v/>
      </c>
      <c r="AJ69" s="55">
        <f>$AG69-$X69-$AD69</f>
        <v/>
      </c>
      <c r="AK69" s="55">
        <f>IF($B69=$B68,$AK68,0)+$AJ69</f>
        <v/>
      </c>
      <c r="AL69" s="55">
        <f>$AL68+$AJ69</f>
        <v/>
      </c>
      <c r="AM69" s="55">
        <f>SUMIFS(tblMiningDaily[Drill_m],tblMiningDaily[Date],$A69)</f>
        <v/>
      </c>
      <c r="AN69" s="55">
        <f>IF($B69=$B68,$AN68,0)+$AM69</f>
        <v/>
      </c>
      <c r="AO69" s="55">
        <f>$AO68+$AM69</f>
        <v/>
      </c>
      <c r="AP69" s="55">
        <f>SUMIFS(tblMiningDaily[GC_Drill_m],tblMiningDaily[Date],$A69)</f>
        <v/>
      </c>
      <c r="AQ69" s="55">
        <f>IF($B69=$B68,$AQ68,0)+$AP69</f>
        <v/>
      </c>
      <c r="AR69" s="55">
        <f>$AR68+$AP69</f>
        <v/>
      </c>
      <c r="AS69" s="55">
        <f>SUMIFS(tblMiningDaily[Blast_t],tblMiningDaily[Date],$A69)</f>
        <v/>
      </c>
      <c r="AT69" s="55">
        <f>IF($B69=$B68,$AT68,0)+$AS69</f>
        <v/>
      </c>
      <c r="AU69" s="55">
        <f>$AU68+$AS69</f>
        <v/>
      </c>
      <c r="AV69" s="55">
        <f>SUMIFS(tblMiningDaily[Explosives_kg],tblMiningDaily[Date],$A69)</f>
        <v/>
      </c>
      <c r="AW69" s="55">
        <f>IF($B69=$B68,$AW68,0)+$AV69</f>
        <v/>
      </c>
      <c r="AX69" s="55">
        <f>$AX68+$AV69</f>
        <v/>
      </c>
      <c r="AY69" s="56">
        <f>IFERROR(IF(($AS69)&gt;0,($AV69)/($AS69),""),"")</f>
        <v/>
      </c>
      <c r="AZ69" s="56">
        <f>IFERROR(IF(($AT69)&gt;0,($AW69)/($AT69),""),"")</f>
        <v/>
      </c>
      <c r="BA69" s="56">
        <f>IFERROR(IF(($AU69)&gt;0,($AX69)/($AU69),""),"")</f>
        <v/>
      </c>
      <c r="BB69" s="55">
        <f>SUMIFS(tblMiningDaily[Diesel_L],tblMiningDaily[Date],$A69)</f>
        <v/>
      </c>
      <c r="BC69" s="55">
        <f>IF($B69=$B68,$BC68,0)+$BB69</f>
        <v/>
      </c>
      <c r="BD69" s="55">
        <f>$BD68+$BB69</f>
        <v/>
      </c>
      <c r="BE69" s="55">
        <f>SUMIFS(tblMiningDaily[Dewatering_m3],tblMiningDaily[Date],$A69)</f>
        <v/>
      </c>
      <c r="BF69" s="55">
        <f>IF($B69=$B68,$BF68,0)+$BE69</f>
        <v/>
      </c>
      <c r="BG69" s="55">
        <f>$BG68+$BE69</f>
        <v/>
      </c>
      <c r="BH69" s="57">
        <f>SUMIFS(tblFleet[Calendar_h],tblFleet[Date],$A69,tblFleet[Equipment_Class],"Excavator")</f>
        <v/>
      </c>
      <c r="BI69" s="57">
        <f>IF($B69=$B68,$BI68,0)+$BH69</f>
        <v/>
      </c>
      <c r="BJ69" s="57">
        <f>$BJ68+$BH69</f>
        <v/>
      </c>
      <c r="BK69" s="57">
        <f>SUMIFS(tblFleet[Available_h],tblFleet[Date],$A69,tblFleet[Equipment_Class],"Excavator")</f>
        <v/>
      </c>
      <c r="BL69" s="57">
        <f>IF($B69=$B68,$BL68,0)+$BK69</f>
        <v/>
      </c>
      <c r="BM69" s="57">
        <f>$BM68+$BK69</f>
        <v/>
      </c>
      <c r="BN69" s="57">
        <f>SUMIFS(tblFleet[Operating_h],tblFleet[Date],$A69,tblFleet[Equipment_Class],"Excavator")</f>
        <v/>
      </c>
      <c r="BO69" s="57">
        <f>IF($B69=$B68,$BO68,0)+$BN69</f>
        <v/>
      </c>
      <c r="BP69" s="57">
        <f>$BP68+$BN69</f>
        <v/>
      </c>
      <c r="BQ69" s="67">
        <f>IFERROR(IF(($BH69)&gt;0,($BK69)/($BH69),""),"")</f>
        <v/>
      </c>
      <c r="BR69" s="67">
        <f>IFERROR(IF(($BI69)&gt;0,($BL69)/($BI69),""),"")</f>
        <v/>
      </c>
      <c r="BS69" s="67">
        <f>IFERROR(IF(($BJ69)&gt;0,($BM69)/($BJ69),""),"")</f>
        <v/>
      </c>
      <c r="BT69" s="67">
        <f>IFERROR(IF(($BK69)&gt;0,($BN69)/($BK69),""),"")</f>
        <v/>
      </c>
      <c r="BU69" s="67">
        <f>IFERROR(IF(($BL69)&gt;0,($BO69)/($BL69),""),"")</f>
        <v/>
      </c>
      <c r="BV69" s="67">
        <f>IFERROR(IF(($BM69)&gt;0,($BP69)/($BM69),""),"")</f>
        <v/>
      </c>
      <c r="BW69" s="57">
        <f>SUMIFS(tblFleet[Calendar_h],tblFleet[Date],$A69,tblFleet[Equipment_Class],"Haul Truck")</f>
        <v/>
      </c>
      <c r="BX69" s="57">
        <f>IF($B69=$B68,$BX68,0)+$BW69</f>
        <v/>
      </c>
      <c r="BY69" s="57">
        <f>$BY68+$BW69</f>
        <v/>
      </c>
      <c r="BZ69" s="57">
        <f>SUMIFS(tblFleet[Available_h],tblFleet[Date],$A69,tblFleet[Equipment_Class],"Haul Truck")</f>
        <v/>
      </c>
      <c r="CA69" s="57">
        <f>IF($B69=$B68,$CA68,0)+$BZ69</f>
        <v/>
      </c>
      <c r="CB69" s="57">
        <f>$CB68+$BZ69</f>
        <v/>
      </c>
      <c r="CC69" s="57">
        <f>SUMIFS(tblFleet[Operating_h],tblFleet[Date],$A69,tblFleet[Equipment_Class],"Haul Truck")</f>
        <v/>
      </c>
      <c r="CD69" s="57">
        <f>IF($B69=$B68,$CD68,0)+$CC69</f>
        <v/>
      </c>
      <c r="CE69" s="57">
        <f>$CE68+$CC69</f>
        <v/>
      </c>
      <c r="CF69" s="67">
        <f>IFERROR(IF(($BW69)&gt;0,($BZ69)/($BW69),""),"")</f>
        <v/>
      </c>
      <c r="CG69" s="67">
        <f>IFERROR(IF(($BX69)&gt;0,($CA69)/($BX69),""),"")</f>
        <v/>
      </c>
      <c r="CH69" s="67">
        <f>IFERROR(IF(($BY69)&gt;0,($CB69)/($BY69),""),"")</f>
        <v/>
      </c>
      <c r="CI69" s="67">
        <f>IFERROR(IF(($BZ69)&gt;0,($CC69)/($BZ69),""),"")</f>
        <v/>
      </c>
      <c r="CJ69" s="67">
        <f>IFERROR(IF(($CA69)&gt;0,($CD69)/($CA69),""),"")</f>
        <v/>
      </c>
      <c r="CK69" s="67">
        <f>IFERROR(IF(($CB69)&gt;0,($CE69)/($CB69),""),"")</f>
        <v/>
      </c>
      <c r="CL69" s="55">
        <f>IFERROR(IF(($BN69)&gt;0,($X69+$AD69)/($BN69),""),"")</f>
        <v/>
      </c>
      <c r="CM69" s="55">
        <f>IFERROR(IF(($BO69)&gt;0,($Y69+$AE69)/($BO69),""),"")</f>
        <v/>
      </c>
      <c r="CN69" s="55">
        <f>IFERROR(IF(($BP69)&gt;0,($Z69+$AF69)/($BP69),""),"")</f>
        <v/>
      </c>
      <c r="CO69" s="55">
        <f>IFERROR(IF(($CC69)&gt;0,($X69+$AD69)/($CC69),""),"")</f>
        <v/>
      </c>
      <c r="CP69" s="55">
        <f>IFERROR(IF(($CD69)&gt;0,($Y69+$AE69)/($CD69),""),"")</f>
        <v/>
      </c>
      <c r="CQ69" s="55">
        <f>IFERROR(IF(($CE69)&gt;0,($Z69+$AF69)/($CE69),""),"")</f>
        <v/>
      </c>
      <c r="CR69" s="55">
        <f>SUMIFS(tblPlant[Crushed_t],tblPlant[Date],$A69)</f>
        <v/>
      </c>
      <c r="CS69" s="55">
        <f>IF($B69=$B68,$CS68,0)+$CR69</f>
        <v/>
      </c>
      <c r="CT69" s="55">
        <f>$CT68+$CR69</f>
        <v/>
      </c>
      <c r="CU69" s="55">
        <f>SUMIFS(tblPlant[Milled_t],tblPlant[Date],$A69)</f>
        <v/>
      </c>
      <c r="CV69" s="55">
        <f>IF($B69=$B68,$CV68,0)+$CU69</f>
        <v/>
      </c>
      <c r="CW69" s="55">
        <f>$CW68+$CU69</f>
        <v/>
      </c>
      <c r="CX69" s="55">
        <f>SUMIFS(tblPlant[Feed_oz],tblPlant[Date],$A69)</f>
        <v/>
      </c>
      <c r="CY69" s="55">
        <f>IF($B69=$B68,$CY68,0)+$CX69</f>
        <v/>
      </c>
      <c r="CZ69" s="55">
        <f>$CZ68+$CX69</f>
        <v/>
      </c>
      <c r="DA69" s="55">
        <f>SUMIFS(tblPlant[Tails_oz],tblPlant[Date],$A69)</f>
        <v/>
      </c>
      <c r="DB69" s="55">
        <f>IF($B69=$B68,$DB68,0)+$DA69</f>
        <v/>
      </c>
      <c r="DC69" s="55">
        <f>$DC68+$DA69</f>
        <v/>
      </c>
      <c r="DD69" s="55">
        <f>SUMIFS(tblPlant[Recovered_oz],tblPlant[Date],$A69)</f>
        <v/>
      </c>
      <c r="DE69" s="55">
        <f>IF($B69=$B68,$DE68,0)+$DD69</f>
        <v/>
      </c>
      <c r="DF69" s="55">
        <f>$DF68+$DD69</f>
        <v/>
      </c>
      <c r="DG69" s="55">
        <f>SUMIFS(tblPlant[Milled_t],tblPlant[Date],$A69,tblPlant[Head_Grade_gpt],"&lt;&gt;")</f>
        <v/>
      </c>
      <c r="DH69" s="55">
        <f>IF($B69=$B68,$DH68,0)+$DG69</f>
        <v/>
      </c>
      <c r="DI69" s="55">
        <f>$DI68+$DG69</f>
        <v/>
      </c>
      <c r="DJ69" s="55">
        <f>SUMIFS(tblPlant[Milled_t],tblPlant[Date],$A69,tblPlant[Tails_Grade_gpt],"&lt;&gt;")</f>
        <v/>
      </c>
      <c r="DK69" s="55">
        <f>IF($B69=$B68,$DK68,0)+$DJ69</f>
        <v/>
      </c>
      <c r="DL69" s="55">
        <f>$DL68+$DJ69</f>
        <v/>
      </c>
      <c r="DM69" s="55">
        <f>SUMIFS(tblPlant[Feed_oz],tblPlant[Date],$A69,tblPlant[Tails_Grade_gpt],"&lt;&gt;")</f>
        <v/>
      </c>
      <c r="DN69" s="55">
        <f>IF($B69=$B68,$DN68,0)+$DM69</f>
        <v/>
      </c>
      <c r="DO69" s="55">
        <f>$DO68+$DM69</f>
        <v/>
      </c>
      <c r="DP69" s="55">
        <f>SUMIFS(tblPlant[Milled_t],tblPlant[Date],$A69,tblPlant[Mill_Run_h],"&lt;&gt;")</f>
        <v/>
      </c>
      <c r="DQ69" s="55">
        <f>IF($B69=$B68,$DQ68,0)+$DP69</f>
        <v/>
      </c>
      <c r="DR69" s="55">
        <f>$DR68+$DP69</f>
        <v/>
      </c>
      <c r="DS69" s="56">
        <f>IFERROR(IF(($DG69)&gt;0,($CX69*cfg_TroyOz)/($DG69),""),"")</f>
        <v/>
      </c>
      <c r="DT69" s="56">
        <f>IFERROR(IF(($DH69)&gt;0,($CY69*cfg_TroyOz)/($DH69),""),"")</f>
        <v/>
      </c>
      <c r="DU69" s="56">
        <f>IFERROR(IF(($DI69)&gt;0,($CZ69*cfg_TroyOz)/($DI69),""),"")</f>
        <v/>
      </c>
      <c r="DV69" s="56">
        <f>IFERROR(IF(($DJ69)&gt;0,($DA69*cfg_TroyOz)/($DJ69),""),"")</f>
        <v/>
      </c>
      <c r="DW69" s="56">
        <f>IFERROR(IF(($DK69)&gt;0,($DB69*cfg_TroyOz)/($DK69),""),"")</f>
        <v/>
      </c>
      <c r="DX69" s="56">
        <f>IFERROR(IF(($DL69)&gt;0,($DC69*cfg_TroyOz)/($DL69),""),"")</f>
        <v/>
      </c>
      <c r="DY69" s="67">
        <f>IFERROR(IF(($DM69)&gt;0,($DD69)/($DM69),""),"")</f>
        <v/>
      </c>
      <c r="DZ69" s="67">
        <f>IFERROR(IF(($DN69)&gt;0,($DE69)/($DN69),""),"")</f>
        <v/>
      </c>
      <c r="EA69" s="67">
        <f>IFERROR(IF(($DO69)&gt;0,($DF69)/($DO69),""),"")</f>
        <v/>
      </c>
      <c r="EB69" s="55">
        <f>SUMIFS(tblPlant[Gravity_Gold_oz],tblPlant[Date],$A69)</f>
        <v/>
      </c>
      <c r="EC69" s="55">
        <f>IF($B69=$B68,$EC68,0)+$EB69</f>
        <v/>
      </c>
      <c r="ED69" s="55">
        <f>$ED68+$EB69</f>
        <v/>
      </c>
      <c r="EE69" s="67">
        <f>IFERROR(IF(($DD69)&gt;0,($EB69)/($DD69),""),"")</f>
        <v/>
      </c>
      <c r="EF69" s="67">
        <f>IFERROR(IF(($DE69)&gt;0,($EC69)/($DE69),""),"")</f>
        <v/>
      </c>
      <c r="EG69" s="67">
        <f>IFERROR(IF(($DF69)&gt;0,($ED69)/($DF69),""),"")</f>
        <v/>
      </c>
      <c r="EH69" s="55">
        <f>SUMIFS(tblPlant[Gold_Poured_oz],tblPlant[Date],$A69)</f>
        <v/>
      </c>
      <c r="EI69" s="55">
        <f>IF($B69=$B68,$EI68,0)+$EH69</f>
        <v/>
      </c>
      <c r="EJ69" s="55">
        <f>$EJ68+$EH69</f>
        <v/>
      </c>
      <c r="EK69" s="57">
        <f>SUMIFS(tblPlant[Mill_Run_h],tblPlant[Date],$A69)</f>
        <v/>
      </c>
      <c r="EL69" s="57">
        <f>IF($B69=$B68,$EL68,0)+$EK69</f>
        <v/>
      </c>
      <c r="EM69" s="57">
        <f>$EM68+$EK69</f>
        <v/>
      </c>
      <c r="EN69" s="57">
        <f>SUMIFS(tblPlant[Mill_Planned_Maint_h],tblPlant[Date],$A69)</f>
        <v/>
      </c>
      <c r="EO69" s="57">
        <f>IF($B69=$B68,$EO68,0)+$EN69</f>
        <v/>
      </c>
      <c r="EP69" s="57">
        <f>$EP68+$EN69</f>
        <v/>
      </c>
      <c r="EQ69" s="57">
        <f>SUMIFS(tblPlant[Mill_Unplanned_Down_h],tblPlant[Date],$A69)</f>
        <v/>
      </c>
      <c r="ER69" s="57">
        <f>IF($B69=$B68,$ER68,0)+$EQ69</f>
        <v/>
      </c>
      <c r="ES69" s="57">
        <f>$ES68+$EQ69</f>
        <v/>
      </c>
      <c r="ET69" s="57">
        <f>IF(COUNTIFS(tblPlant[Date],$A69,tblPlant[Mill_Run_h],"&lt;&gt;")+COUNTIFS(tblPlant[Date],$A69,tblPlant[Mill_Planned_Maint_h],"&lt;&gt;")+COUNTIFS(tblPlant[Date],$A69,tblPlant[Mill_Unplanned_Down_h],"&lt;&gt;")&gt;0,cfg_HoursPerDay,0)</f>
        <v/>
      </c>
      <c r="EU69" s="57">
        <f>IF($B69=$B68,$EU68,0)+$ET69</f>
        <v/>
      </c>
      <c r="EV69" s="57">
        <f>$EV68+$ET69</f>
        <v/>
      </c>
      <c r="EW69" s="57">
        <f>SUMIFS(tblPlant[Crusher_Run_h],tblPlant[Date],$A69)</f>
        <v/>
      </c>
      <c r="EX69" s="57">
        <f>IF($B69=$B68,$EX68,0)+$EW69</f>
        <v/>
      </c>
      <c r="EY69" s="57">
        <f>$EY68+$EW69</f>
        <v/>
      </c>
      <c r="EZ69" s="55">
        <f>IFERROR(IF(($EK69)&gt;0,($DP69)/($EK69),""),"")</f>
        <v/>
      </c>
      <c r="FA69" s="55">
        <f>IFERROR(IF(($EL69)&gt;0,($DQ69)/($EL69),""),"")</f>
        <v/>
      </c>
      <c r="FB69" s="55">
        <f>IFERROR(IF(($EM69)&gt;0,($DR69)/($EM69),""),"")</f>
        <v/>
      </c>
      <c r="FC69" s="67">
        <f>IFERROR(IF(($ET69)&gt;0,($ET69-$EN69-$EQ69)/($ET69),""),"")</f>
        <v/>
      </c>
      <c r="FD69" s="67">
        <f>IFERROR(IF(($EU69)&gt;0,($EU69-$EO69-$ER69)/($EU69),""),"")</f>
        <v/>
      </c>
      <c r="FE69" s="67">
        <f>IFERROR(IF(($EV69)&gt;0,($EV69-$EP69-$ES69)/($EV69),""),"")</f>
        <v/>
      </c>
      <c r="FF69" s="67">
        <f>IFERROR(IF(($ET69-$EN69-$EQ69)&gt;0,($EK69)/($ET69-$EN69-$EQ69),""),"")</f>
        <v/>
      </c>
      <c r="FG69" s="67">
        <f>IFERROR(IF(($EU69-$EO69-$ER69)&gt;0,($EL69)/($EU69-$EO69-$ER69),""),"")</f>
        <v/>
      </c>
      <c r="FH69" s="67">
        <f>IFERROR(IF(($EV69-$EP69-$ES69)&gt;0,($EM69)/($EV69-$EP69-$ES69),""),"")</f>
        <v/>
      </c>
      <c r="FI69" s="55">
        <f>SUMIFS(tblPlant[Cyanide_kg],tblPlant[Date],$A69)</f>
        <v/>
      </c>
      <c r="FJ69" s="55">
        <f>IF($B69=$B68,$FJ68,0)+$FI69</f>
        <v/>
      </c>
      <c r="FK69" s="55">
        <f>$FK68+$FI69</f>
        <v/>
      </c>
      <c r="FL69" s="55">
        <f>SUMIFS(tblPlant[Lime_kg],tblPlant[Date],$A69)</f>
        <v/>
      </c>
      <c r="FM69" s="55">
        <f>IF($B69=$B68,$FM68,0)+$FL69</f>
        <v/>
      </c>
      <c r="FN69" s="55">
        <f>$FN68+$FL69</f>
        <v/>
      </c>
      <c r="FO69" s="55">
        <f>SUMIFS(tblPlant[Grinding_Media_kg],tblPlant[Date],$A69)</f>
        <v/>
      </c>
      <c r="FP69" s="55">
        <f>IF($B69=$B68,$FP68,0)+$FO69</f>
        <v/>
      </c>
      <c r="FQ69" s="55">
        <f>$FQ68+$FO69</f>
        <v/>
      </c>
      <c r="FR69" s="55">
        <f>SUMIFS(tblPlant[Power_kWh],tblPlant[Date],$A69)</f>
        <v/>
      </c>
      <c r="FS69" s="55">
        <f>IF($B69=$B68,$FS68,0)+$FR69</f>
        <v/>
      </c>
      <c r="FT69" s="55">
        <f>$FT68+$FR69</f>
        <v/>
      </c>
      <c r="FU69" s="55">
        <f>SUMIFS(tblPlant[Raw_Water_m3],tblPlant[Date],$A69)</f>
        <v/>
      </c>
      <c r="FV69" s="55">
        <f>IF($B69=$B68,$FV68,0)+$FU69</f>
        <v/>
      </c>
      <c r="FW69" s="55">
        <f>$FW68+$FU69</f>
        <v/>
      </c>
      <c r="FX69" s="56">
        <f>IFERROR(IF(($CU69)&gt;0,($FI69)/($CU69),""),"")</f>
        <v/>
      </c>
      <c r="FY69" s="56">
        <f>IFERROR(IF(($CV69)&gt;0,($FJ69)/($CV69),""),"")</f>
        <v/>
      </c>
      <c r="FZ69" s="56">
        <f>IFERROR(IF(($CW69)&gt;0,($FK69)/($CW69),""),"")</f>
        <v/>
      </c>
      <c r="GA69" s="56">
        <f>IFERROR(IF(($CU69)&gt;0,($FL69)/($CU69),""),"")</f>
        <v/>
      </c>
      <c r="GB69" s="56">
        <f>IFERROR(IF(($CV69)&gt;0,($FM69)/($CV69),""),"")</f>
        <v/>
      </c>
      <c r="GC69" s="56">
        <f>IFERROR(IF(($CW69)&gt;0,($FN69)/($CW69),""),"")</f>
        <v/>
      </c>
      <c r="GD69" s="56">
        <f>IFERROR(IF(($CU69)&gt;0,($FO69)/($CU69),""),"")</f>
        <v/>
      </c>
      <c r="GE69" s="56">
        <f>IFERROR(IF(($CV69)&gt;0,($FP69)/($CV69),""),"")</f>
        <v/>
      </c>
      <c r="GF69" s="56">
        <f>IFERROR(IF(($CW69)&gt;0,($FQ69)/($CW69),""),"")</f>
        <v/>
      </c>
      <c r="GG69" s="79">
        <f>IFERROR(IF(($CU69)&gt;0,($FR69)/($CU69),""),"")</f>
        <v/>
      </c>
      <c r="GH69" s="79">
        <f>IFERROR(IF(($CV69)&gt;0,($FS69)/($CV69),""),"")</f>
        <v/>
      </c>
      <c r="GI69" s="79">
        <f>IFERROR(IF(($CW69)&gt;0,($FT69)/($CW69),""),"")</f>
        <v/>
      </c>
      <c r="GJ69" s="56">
        <f>IFERROR(IF(($CU69)&gt;0,($FU69)/($CU69),""),"")</f>
        <v/>
      </c>
      <c r="GK69" s="56">
        <f>IFERROR(IF(($CV69)&gt;0,($FV69)/($CV69),""),"")</f>
        <v/>
      </c>
      <c r="GL69" s="56">
        <f>IFERROR(IF(($CW69)&gt;0,($FW69)/($CW69),""),"")</f>
        <v/>
      </c>
      <c r="GM69" s="55">
        <f>IF(SUMIFS(tblPlant[GIC_oz],tblPlant[Date],$A69)&gt;0,SUMIFS(tblPlant[GIC_oz],tblPlant[Date],$A69),"")</f>
        <v/>
      </c>
      <c r="GN69" s="55">
        <f>SUMIFS(tblGold[Gold_oz],tblGold[Date],$A69,tblGold[Type],"Shipment")</f>
        <v/>
      </c>
      <c r="GO69" s="55">
        <f>IF($B69=$B68,$GO68,0)+$GN69</f>
        <v/>
      </c>
      <c r="GP69" s="55">
        <f>$GP68+$GN69</f>
        <v/>
      </c>
      <c r="GQ69" s="55">
        <f>SUMIFS(tblGold[Gold_oz],tblGold[Date],$A69,tblGold[Type],"Sale")</f>
        <v/>
      </c>
      <c r="GR69" s="55">
        <f>IF($B69=$B68,$GR68,0)+$GQ69</f>
        <v/>
      </c>
      <c r="GS69" s="55">
        <f>$GS68+$GQ69</f>
        <v/>
      </c>
      <c r="GT69" s="55">
        <f>SUMIFS(tblGold[Dore_kg],tblGold[Date],$A69,tblGold[Type],"Shipment")</f>
        <v/>
      </c>
      <c r="GU69" s="55">
        <f>IF($B69=$B68,$GU68,0)+$GT69</f>
        <v/>
      </c>
      <c r="GV69" s="55">
        <f>$GV68+$GT69</f>
        <v/>
      </c>
      <c r="GW69" s="57">
        <f>SUMIFS(tblSafety[Hours_Total],tblSafety[Date],$A69)</f>
        <v/>
      </c>
      <c r="GX69" s="57">
        <f>IF($B69=$B68,$GX68,0)+$GW69</f>
        <v/>
      </c>
      <c r="GY69" s="57">
        <f>$GY68+$GW69</f>
        <v/>
      </c>
      <c r="GZ69" s="62">
        <f>SUMIFS(tblSafety[Fatality],tblSafety[Date],$A69)</f>
        <v/>
      </c>
      <c r="HA69" s="62">
        <f>IF($B69=$B68,$HA68,0)+$GZ69</f>
        <v/>
      </c>
      <c r="HB69" s="62">
        <f>$HB68+$GZ69</f>
        <v/>
      </c>
      <c r="HC69" s="62">
        <f>SUMIFS(tblSafety[LTI],tblSafety[Date],$A69)</f>
        <v/>
      </c>
      <c r="HD69" s="62">
        <f>IF($B69=$B68,$HD68,0)+$HC69</f>
        <v/>
      </c>
      <c r="HE69" s="62">
        <f>$HE68+$HC69</f>
        <v/>
      </c>
      <c r="HF69" s="62">
        <f>SUMIFS(tblSafety[RWI],tblSafety[Date],$A69)</f>
        <v/>
      </c>
      <c r="HG69" s="62">
        <f>IF($B69=$B68,$HG68,0)+$HF69</f>
        <v/>
      </c>
      <c r="HH69" s="62">
        <f>$HH68+$HF69</f>
        <v/>
      </c>
      <c r="HI69" s="62">
        <f>SUMIFS(tblSafety[MTI],tblSafety[Date],$A69)</f>
        <v/>
      </c>
      <c r="HJ69" s="62">
        <f>IF($B69=$B68,$HJ68,0)+$HI69</f>
        <v/>
      </c>
      <c r="HK69" s="62">
        <f>$HK68+$HI69</f>
        <v/>
      </c>
      <c r="HL69" s="62">
        <f>SUMIFS(tblSafety[FAI],tblSafety[Date],$A69)</f>
        <v/>
      </c>
      <c r="HM69" s="62">
        <f>IF($B69=$B68,$HM68,0)+$HL69</f>
        <v/>
      </c>
      <c r="HN69" s="62">
        <f>$HN68+$HL69</f>
        <v/>
      </c>
      <c r="HO69" s="62">
        <f>SUMIFS(tblSafety[Recordables],tblSafety[Date],$A69)</f>
        <v/>
      </c>
      <c r="HP69" s="62">
        <f>IF($B69=$B68,$HP68,0)+$HO69</f>
        <v/>
      </c>
      <c r="HQ69" s="62">
        <f>$HQ68+$HO69</f>
        <v/>
      </c>
      <c r="HR69" s="62">
        <f>SUMIFS(tblSafety[Near_Miss],tblSafety[Date],$A69)</f>
        <v/>
      </c>
      <c r="HS69" s="62">
        <f>IF($B69=$B68,$HS68,0)+$HR69</f>
        <v/>
      </c>
      <c r="HT69" s="62">
        <f>$HT68+$HR69</f>
        <v/>
      </c>
      <c r="HU69" s="62">
        <f>SUMIFS(tblSafety[Hazard_Reports],tblSafety[Date],$A69)</f>
        <v/>
      </c>
      <c r="HV69" s="62">
        <f>IF($B69=$B68,$HV68,0)+$HU69</f>
        <v/>
      </c>
      <c r="HW69" s="62">
        <f>$HW68+$HU69</f>
        <v/>
      </c>
      <c r="HX69" s="62">
        <f>SUMIFS(tblSafety[HPI],tblSafety[Date],$A69)</f>
        <v/>
      </c>
      <c r="HY69" s="62">
        <f>IF($B69=$B68,$HY68,0)+$HX69</f>
        <v/>
      </c>
      <c r="HZ69" s="62">
        <f>$HZ68+$HX69</f>
        <v/>
      </c>
      <c r="IA69" s="62">
        <f>SUMIFS(tblSafety[Env_Incidents],tblSafety[Date],$A69)</f>
        <v/>
      </c>
      <c r="IB69" s="62">
        <f>IF($B69=$B68,$IB68,0)+$IA69</f>
        <v/>
      </c>
      <c r="IC69" s="62">
        <f>$IC68+$IA69</f>
        <v/>
      </c>
      <c r="ID69" s="62">
        <f>SUMIFS(tblSafety[Community_Incidents],tblSafety[Date],$A69)</f>
        <v/>
      </c>
      <c r="IE69" s="62">
        <f>IF($B69=$B68,$IE68,0)+$ID69</f>
        <v/>
      </c>
      <c r="IF69" s="62">
        <f>$IF68+$ID69</f>
        <v/>
      </c>
      <c r="IG69" s="62">
        <f>SUMIFS(tblSafety[Vehicle_Incidents],tblSafety[Date],$A69)</f>
        <v/>
      </c>
      <c r="IH69" s="62">
        <f>IF($B69=$B68,$IH68,0)+$IG69</f>
        <v/>
      </c>
      <c r="II69" s="62">
        <f>$II68+$IG69</f>
        <v/>
      </c>
      <c r="IJ69" s="62">
        <f>SUMIFS(tblSafety[Toolbox_Talks],tblSafety[Date],$A69)</f>
        <v/>
      </c>
      <c r="IK69" s="62">
        <f>IF($B69=$B68,$IK68,0)+$IJ69</f>
        <v/>
      </c>
      <c r="IL69" s="62">
        <f>$IL68+$IJ69</f>
        <v/>
      </c>
      <c r="IM69" s="62">
        <f>SUMIFS(tblSafety[Inspections],tblSafety[Date],$A69)</f>
        <v/>
      </c>
      <c r="IN69" s="62">
        <f>IF($B69=$B68,$IN68,0)+$IM69</f>
        <v/>
      </c>
      <c r="IO69" s="62">
        <f>$IO68+$IM69</f>
        <v/>
      </c>
      <c r="IP69" s="56">
        <f>IFERROR((SUMIFS(tblSafety[Recordables],tblSafety[Date],"&gt;="&amp;EDATE($E69,-12),tblSafety[Date],"&lt;="&amp;$A69)+SUMIFS(tblSafetyHistory[Recordables],tblSafetyHistory[Month],"&gt;="&amp;EDATE($E69,-12),tblSafetyHistory[Month],"&lt;"&amp;$E69,tblSafetyHistory[Use],1))/(SUMIFS(tblSafety[Hours_Total],tblSafety[Date],"&gt;="&amp;EDATE($E69,-12),tblSafety[Date],"&lt;="&amp;$A69)+SUMIFS(tblSafetyHistory[Hours_Total],tblSafetyHistory[Month],"&gt;="&amp;EDATE($E69,-12),tblSafetyHistory[Month],"&lt;"&amp;$E69,tblSafetyHistory[Use],1))*cfg_RateBasisHours,"")</f>
        <v/>
      </c>
      <c r="IQ69" s="56">
        <f>IFERROR((SUMIFS(tblSafety[LTI],tblSafety[Date],"&gt;="&amp;EDATE($E69,-12),tblSafety[Date],"&lt;="&amp;$A69)+SUMIFS(tblSafetyHistory[LTI],tblSafetyHistory[Month],"&gt;="&amp;EDATE($E69,-12),tblSafetyHistory[Month],"&lt;"&amp;$E69,tblSafetyHistory[Use],1))/(SUMIFS(tblSafety[Hours_Total],tblSafety[Date],"&gt;="&amp;EDATE($E69,-12),tblSafety[Date],"&lt;="&amp;$A69)+SUMIFS(tblSafetyHistory[Hours_Total],tblSafetyHistory[Month],"&gt;="&amp;EDATE($E69,-12),tblSafetyHistory[Month],"&lt;"&amp;$E69,tblSafetyHistory[Use],1))*cfg_RateBasisHours,"")</f>
        <v/>
      </c>
      <c r="IR69" s="62">
        <f>IF(MAX(N(cfg_PriorLTIDate),_xlfn.MAXIFS(tblSafety[Date],tblSafety[LTI],"&gt;0",tblSafety[Date],"&lt;="&amp;$A69))=0,"",$A69-MAX(N(cfg_PriorLTIDate),_xlfn.MAXIFS(tblSafety[Date],tblSafety[LTI],"&gt;0",tblSafety[Date],"&lt;="&amp;$A69)))</f>
        <v/>
      </c>
      <c r="IS69" s="55">
        <f>SUMIFS(tblBudget[Ore_Mined_t],tblBudget[Month],$E69)</f>
        <v/>
      </c>
      <c r="IT69" s="55">
        <f>$IS69*$C69/$D69</f>
        <v/>
      </c>
      <c r="IU69" s="55">
        <f>SUMIFS(tblBudget[Ore_Mined_t],tblBudget[Month],"&lt;"&amp;$E69)+$IT69</f>
        <v/>
      </c>
      <c r="IV69" s="55">
        <f>SUMIFS(tblBudget[Ore_oz],tblBudget[Month],$E69)</f>
        <v/>
      </c>
      <c r="IW69" s="55">
        <f>$IV69*$C69/$D69</f>
        <v/>
      </c>
      <c r="IX69" s="55">
        <f>SUMIFS(tblBudget[Ore_oz],tblBudget[Month],"&lt;"&amp;$E69)+$IW69</f>
        <v/>
      </c>
      <c r="IY69" s="55">
        <f>SUMIFS(tblBudget[Ore_Mined_t],tblBudget[Month],$E69)</f>
        <v/>
      </c>
      <c r="IZ69" s="55">
        <f>$IY69*$C69/$D69</f>
        <v/>
      </c>
      <c r="JA69" s="55">
        <f>SUMIFS(tblBudget[Ore_Mined_t],tblBudget[Month],"&lt;"&amp;$E69)+$IZ69</f>
        <v/>
      </c>
      <c r="JB69" s="56">
        <f>IFERROR(IF(($IY69)&gt;0,($IV69*cfg_TroyOz)/($IY69),""),"")</f>
        <v/>
      </c>
      <c r="JC69" s="56">
        <f>IFERROR(IF(($IZ69)&gt;0,($IW69*cfg_TroyOz)/($IZ69),""),"")</f>
        <v/>
      </c>
      <c r="JD69" s="56">
        <f>IFERROR(IF(($JA69)&gt;0,($IX69*cfg_TroyOz)/($JA69),""),"")</f>
        <v/>
      </c>
      <c r="JE69" s="55">
        <f>SUMIFS(tblBudget[Waste_t],tblBudget[Month],$E69)</f>
        <v/>
      </c>
      <c r="JF69" s="55">
        <f>$JE69*$C69/$D69</f>
        <v/>
      </c>
      <c r="JG69" s="55">
        <f>SUMIFS(tblBudget[Waste_t],tblBudget[Month],"&lt;"&amp;$E69)+$JF69</f>
        <v/>
      </c>
      <c r="JH69" s="55">
        <f>SUMIFS(tblBudget[TMM_t],tblBudget[Month],$E69)</f>
        <v/>
      </c>
      <c r="JI69" s="55">
        <f>$JH69*$C69/$D69</f>
        <v/>
      </c>
      <c r="JJ69" s="55">
        <f>SUMIFS(tblBudget[TMM_t],tblBudget[Month],"&lt;"&amp;$E69)+$JI69</f>
        <v/>
      </c>
      <c r="JK69" s="56">
        <f>IFERROR(IF(($IS69)&gt;0,($JE69)/($IS69),""),"")</f>
        <v/>
      </c>
      <c r="JL69" s="56">
        <f>IFERROR(IF(($IT69)&gt;0,($JF69)/($IT69),""),"")</f>
        <v/>
      </c>
      <c r="JM69" s="56">
        <f>IFERROR(IF(($IU69)&gt;0,($JG69)/($IU69),""),"")</f>
        <v/>
      </c>
      <c r="JN69" s="55">
        <f>SUMIFS(tblBudget[Drill_m],tblBudget[Month],$E69)</f>
        <v/>
      </c>
      <c r="JO69" s="55">
        <f>$JN69*$C69/$D69</f>
        <v/>
      </c>
      <c r="JP69" s="55">
        <f>SUMIFS(tblBudget[Drill_m],tblBudget[Month],"&lt;"&amp;$E69)+$JO69</f>
        <v/>
      </c>
      <c r="JQ69" s="55">
        <f>SUMIFS(tblBudget[Diesel_L],tblBudget[Month],$E69)</f>
        <v/>
      </c>
      <c r="JR69" s="55">
        <f>$JQ69*$C69/$D69</f>
        <v/>
      </c>
      <c r="JS69" s="55">
        <f>SUMIFS(tblBudget[Diesel_L],tblBudget[Month],"&lt;"&amp;$E69)+$JR69</f>
        <v/>
      </c>
      <c r="JT69" s="55">
        <f>SUMIFS(tblBudget[Milled_t],tblBudget[Month],$E69)</f>
        <v/>
      </c>
      <c r="JU69" s="55">
        <f>$JT69*$C69/$D69</f>
        <v/>
      </c>
      <c r="JV69" s="55">
        <f>SUMIFS(tblBudget[Milled_t],tblBudget[Month],"&lt;"&amp;$E69)+$JU69</f>
        <v/>
      </c>
      <c r="JW69" s="55">
        <f>SUMIFS(tblBudget[Feed_oz],tblBudget[Month],$E69)</f>
        <v/>
      </c>
      <c r="JX69" s="55">
        <f>$JW69*$C69/$D69</f>
        <v/>
      </c>
      <c r="JY69" s="55">
        <f>SUMIFS(tblBudget[Feed_oz],tblBudget[Month],"&lt;"&amp;$E69)+$JX69</f>
        <v/>
      </c>
      <c r="JZ69" s="55">
        <f>SUMIFS(tblBudget[Recovered_oz],tblBudget[Month],$E69)</f>
        <v/>
      </c>
      <c r="KA69" s="55">
        <f>$JZ69*$C69/$D69</f>
        <v/>
      </c>
      <c r="KB69" s="55">
        <f>SUMIFS(tblBudget[Recovered_oz],tblBudget[Month],"&lt;"&amp;$E69)+$KA69</f>
        <v/>
      </c>
      <c r="KC69" s="55">
        <f>SUMIFS(tblBudget[Milled_t],tblBudget[Month],$E69)</f>
        <v/>
      </c>
      <c r="KD69" s="55">
        <f>$KC69*$C69/$D69</f>
        <v/>
      </c>
      <c r="KE69" s="55">
        <f>SUMIFS(tblBudget[Milled_t],tblBudget[Month],"&lt;"&amp;$E69)+$KD69</f>
        <v/>
      </c>
      <c r="KF69" s="55">
        <f>SUMIFS(tblBudget[Feed_oz],tblBudget[Month],$E69)</f>
        <v/>
      </c>
      <c r="KG69" s="55">
        <f>$KF69*$C69/$D69</f>
        <v/>
      </c>
      <c r="KH69" s="55">
        <f>SUMIFS(tblBudget[Feed_oz],tblBudget[Month],"&lt;"&amp;$E69)+$KG69</f>
        <v/>
      </c>
      <c r="KI69" s="56">
        <f>IFERROR(IF(($KC69)&gt;0,($JW69*cfg_TroyOz)/($KC69),""),"")</f>
        <v/>
      </c>
      <c r="KJ69" s="56">
        <f>IFERROR(IF(($KD69)&gt;0,($JX69*cfg_TroyOz)/($KD69),""),"")</f>
        <v/>
      </c>
      <c r="KK69" s="56">
        <f>IFERROR(IF(($KE69)&gt;0,($JY69*cfg_TroyOz)/($KE69),""),"")</f>
        <v/>
      </c>
      <c r="KL69" s="67">
        <f>IFERROR(IF(($KF69)&gt;0,($JZ69)/($KF69),""),"")</f>
        <v/>
      </c>
      <c r="KM69" s="67">
        <f>IFERROR(IF(($KG69)&gt;0,($KA69)/($KG69),""),"")</f>
        <v/>
      </c>
      <c r="KN69" s="67">
        <f>IFERROR(IF(($KH69)&gt;0,($KB69)/($KH69),""),"")</f>
        <v/>
      </c>
      <c r="KO69" s="55">
        <f>SUMIFS(tblBudget[Gold_Poured_oz],tblBudget[Month],$E69)</f>
        <v/>
      </c>
      <c r="KP69" s="55">
        <f>$KO69*$C69/$D69</f>
        <v/>
      </c>
      <c r="KQ69" s="55">
        <f>SUMIFS(tblBudget[Gold_Poured_oz],tblBudget[Month],"&lt;"&amp;$E69)+$KP69</f>
        <v/>
      </c>
      <c r="KR69" s="57">
        <f>SUMIFS(tblBudget[Hours_Worked],tblBudget[Month],$E69)</f>
        <v/>
      </c>
      <c r="KS69" s="57">
        <f>$KR69*$C69/$D69</f>
        <v/>
      </c>
      <c r="KT69" s="57">
        <f>SUMIFS(tblBudget[Hours_Worked],tblBudget[Month],"&lt;"&amp;$E69)+$KS69</f>
        <v/>
      </c>
    </row>
    <row r="70">
      <c r="A70" s="54" t="n">
        <v>46091</v>
      </c>
      <c r="B70">
        <f>MONTH($A70)</f>
        <v/>
      </c>
      <c r="C70">
        <f>DAY($A70)</f>
        <v/>
      </c>
      <c r="D70">
        <f>DAY(EOMONTH($A70,0))</f>
        <v/>
      </c>
      <c r="E70" s="54">
        <f>DATE(YEAR($A70),MONTH($A70),1)</f>
        <v/>
      </c>
      <c r="F70" s="55">
        <f>SUMIFS(tblMovement[Tonnes_t],tblMovement[Date],$A70,tblMovement[Is_Ore],1,tblMovement[Source_Type],"Pit")</f>
        <v/>
      </c>
      <c r="G70" s="55">
        <f>IF($B70=$B69,$G69,0)+$F70</f>
        <v/>
      </c>
      <c r="H70" s="55">
        <f>$H69+$F70</f>
        <v/>
      </c>
      <c r="I70" s="55">
        <f>SUMIFS(tblMovement[Ore_oz],tblMovement[Date],$A70,tblMovement[Source_Type],"Pit")</f>
        <v/>
      </c>
      <c r="J70" s="55">
        <f>IF($B70=$B69,$J69,0)+$I70</f>
        <v/>
      </c>
      <c r="K70" s="55">
        <f>$K69+$I70</f>
        <v/>
      </c>
      <c r="L70" s="55">
        <f>SUMIFS(tblMovement[Tonnes_t],tblMovement[Date],$A70,tblMovement[Is_Ore],1,tblMovement[Source_Type],"Pit",tblMovement[Grade_gpt],"&lt;&gt;")</f>
        <v/>
      </c>
      <c r="M70" s="55">
        <f>IF($B70=$B69,$M69,0)+$L70</f>
        <v/>
      </c>
      <c r="N70" s="55">
        <f>$N69+$L70</f>
        <v/>
      </c>
      <c r="O70" s="56">
        <f>IFERROR(IF(($L70)&gt;0,($I70*cfg_TroyOz)/($L70),""),"")</f>
        <v/>
      </c>
      <c r="P70" s="56">
        <f>IFERROR(IF(($M70)&gt;0,($J70*cfg_TroyOz)/($M70),""),"")</f>
        <v/>
      </c>
      <c r="Q70" s="56">
        <f>IFERROR(IF(($N70)&gt;0,($K70*cfg_TroyOz)/($N70),""),"")</f>
        <v/>
      </c>
      <c r="R70" s="55">
        <f>$F70-$L70</f>
        <v/>
      </c>
      <c r="S70" s="55">
        <f>IF($B70=$B69,$S69,0)+$R70</f>
        <v/>
      </c>
      <c r="T70" s="55">
        <f>$T69+$R70</f>
        <v/>
      </c>
      <c r="U70" s="55">
        <f>SUMIFS(tblMovement[Tonnes_t],tblMovement[Date],$A70,tblMovement[Is_Ore],0,tblMovement[Source_Type],"Pit")</f>
        <v/>
      </c>
      <c r="V70" s="55">
        <f>IF($B70=$B69,$V69,0)+$U70</f>
        <v/>
      </c>
      <c r="W70" s="55">
        <f>$W69+$U70</f>
        <v/>
      </c>
      <c r="X70" s="55">
        <f>$F70+$U70</f>
        <v/>
      </c>
      <c r="Y70" s="55">
        <f>IF($B70=$B69,$Y69,0)+$X70</f>
        <v/>
      </c>
      <c r="Z70" s="55">
        <f>$Z69+$X70</f>
        <v/>
      </c>
      <c r="AA70" s="56">
        <f>IFERROR(IF(($F70)&gt;0,($U70)/($F70),""),"")</f>
        <v/>
      </c>
      <c r="AB70" s="56">
        <f>IFERROR(IF(($G70)&gt;0,($V70)/($G70),""),"")</f>
        <v/>
      </c>
      <c r="AC70" s="56">
        <f>IFERROR(IF(($H70)&gt;0,($W70)/($H70),""),"")</f>
        <v/>
      </c>
      <c r="AD70" s="55">
        <f>SUMIFS(tblMovement[Tonnes_t],tblMovement[Date],$A70,tblMovement[Source_Type],"Stockpile")</f>
        <v/>
      </c>
      <c r="AE70" s="55">
        <f>IF($B70=$B69,$AE69,0)+$AD70</f>
        <v/>
      </c>
      <c r="AF70" s="55">
        <f>$AF69+$AD70</f>
        <v/>
      </c>
      <c r="AG70" s="55">
        <f>SUMIFS(tblMovement[Tonnes_t],tblMovement[Date],$A70)</f>
        <v/>
      </c>
      <c r="AH70" s="55">
        <f>IF($B70=$B69,$AH69,0)+$AG70</f>
        <v/>
      </c>
      <c r="AI70" s="55">
        <f>$AI69+$AG70</f>
        <v/>
      </c>
      <c r="AJ70" s="55">
        <f>$AG70-$X70-$AD70</f>
        <v/>
      </c>
      <c r="AK70" s="55">
        <f>IF($B70=$B69,$AK69,0)+$AJ70</f>
        <v/>
      </c>
      <c r="AL70" s="55">
        <f>$AL69+$AJ70</f>
        <v/>
      </c>
      <c r="AM70" s="55">
        <f>SUMIFS(tblMiningDaily[Drill_m],tblMiningDaily[Date],$A70)</f>
        <v/>
      </c>
      <c r="AN70" s="55">
        <f>IF($B70=$B69,$AN69,0)+$AM70</f>
        <v/>
      </c>
      <c r="AO70" s="55">
        <f>$AO69+$AM70</f>
        <v/>
      </c>
      <c r="AP70" s="55">
        <f>SUMIFS(tblMiningDaily[GC_Drill_m],tblMiningDaily[Date],$A70)</f>
        <v/>
      </c>
      <c r="AQ70" s="55">
        <f>IF($B70=$B69,$AQ69,0)+$AP70</f>
        <v/>
      </c>
      <c r="AR70" s="55">
        <f>$AR69+$AP70</f>
        <v/>
      </c>
      <c r="AS70" s="55">
        <f>SUMIFS(tblMiningDaily[Blast_t],tblMiningDaily[Date],$A70)</f>
        <v/>
      </c>
      <c r="AT70" s="55">
        <f>IF($B70=$B69,$AT69,0)+$AS70</f>
        <v/>
      </c>
      <c r="AU70" s="55">
        <f>$AU69+$AS70</f>
        <v/>
      </c>
      <c r="AV70" s="55">
        <f>SUMIFS(tblMiningDaily[Explosives_kg],tblMiningDaily[Date],$A70)</f>
        <v/>
      </c>
      <c r="AW70" s="55">
        <f>IF($B70=$B69,$AW69,0)+$AV70</f>
        <v/>
      </c>
      <c r="AX70" s="55">
        <f>$AX69+$AV70</f>
        <v/>
      </c>
      <c r="AY70" s="56">
        <f>IFERROR(IF(($AS70)&gt;0,($AV70)/($AS70),""),"")</f>
        <v/>
      </c>
      <c r="AZ70" s="56">
        <f>IFERROR(IF(($AT70)&gt;0,($AW70)/($AT70),""),"")</f>
        <v/>
      </c>
      <c r="BA70" s="56">
        <f>IFERROR(IF(($AU70)&gt;0,($AX70)/($AU70),""),"")</f>
        <v/>
      </c>
      <c r="BB70" s="55">
        <f>SUMIFS(tblMiningDaily[Diesel_L],tblMiningDaily[Date],$A70)</f>
        <v/>
      </c>
      <c r="BC70" s="55">
        <f>IF($B70=$B69,$BC69,0)+$BB70</f>
        <v/>
      </c>
      <c r="BD70" s="55">
        <f>$BD69+$BB70</f>
        <v/>
      </c>
      <c r="BE70" s="55">
        <f>SUMIFS(tblMiningDaily[Dewatering_m3],tblMiningDaily[Date],$A70)</f>
        <v/>
      </c>
      <c r="BF70" s="55">
        <f>IF($B70=$B69,$BF69,0)+$BE70</f>
        <v/>
      </c>
      <c r="BG70" s="55">
        <f>$BG69+$BE70</f>
        <v/>
      </c>
      <c r="BH70" s="57">
        <f>SUMIFS(tblFleet[Calendar_h],tblFleet[Date],$A70,tblFleet[Equipment_Class],"Excavator")</f>
        <v/>
      </c>
      <c r="BI70" s="57">
        <f>IF($B70=$B69,$BI69,0)+$BH70</f>
        <v/>
      </c>
      <c r="BJ70" s="57">
        <f>$BJ69+$BH70</f>
        <v/>
      </c>
      <c r="BK70" s="57">
        <f>SUMIFS(tblFleet[Available_h],tblFleet[Date],$A70,tblFleet[Equipment_Class],"Excavator")</f>
        <v/>
      </c>
      <c r="BL70" s="57">
        <f>IF($B70=$B69,$BL69,0)+$BK70</f>
        <v/>
      </c>
      <c r="BM70" s="57">
        <f>$BM69+$BK70</f>
        <v/>
      </c>
      <c r="BN70" s="57">
        <f>SUMIFS(tblFleet[Operating_h],tblFleet[Date],$A70,tblFleet[Equipment_Class],"Excavator")</f>
        <v/>
      </c>
      <c r="BO70" s="57">
        <f>IF($B70=$B69,$BO69,0)+$BN70</f>
        <v/>
      </c>
      <c r="BP70" s="57">
        <f>$BP69+$BN70</f>
        <v/>
      </c>
      <c r="BQ70" s="67">
        <f>IFERROR(IF(($BH70)&gt;0,($BK70)/($BH70),""),"")</f>
        <v/>
      </c>
      <c r="BR70" s="67">
        <f>IFERROR(IF(($BI70)&gt;0,($BL70)/($BI70),""),"")</f>
        <v/>
      </c>
      <c r="BS70" s="67">
        <f>IFERROR(IF(($BJ70)&gt;0,($BM70)/($BJ70),""),"")</f>
        <v/>
      </c>
      <c r="BT70" s="67">
        <f>IFERROR(IF(($BK70)&gt;0,($BN70)/($BK70),""),"")</f>
        <v/>
      </c>
      <c r="BU70" s="67">
        <f>IFERROR(IF(($BL70)&gt;0,($BO70)/($BL70),""),"")</f>
        <v/>
      </c>
      <c r="BV70" s="67">
        <f>IFERROR(IF(($BM70)&gt;0,($BP70)/($BM70),""),"")</f>
        <v/>
      </c>
      <c r="BW70" s="57">
        <f>SUMIFS(tblFleet[Calendar_h],tblFleet[Date],$A70,tblFleet[Equipment_Class],"Haul Truck")</f>
        <v/>
      </c>
      <c r="BX70" s="57">
        <f>IF($B70=$B69,$BX69,0)+$BW70</f>
        <v/>
      </c>
      <c r="BY70" s="57">
        <f>$BY69+$BW70</f>
        <v/>
      </c>
      <c r="BZ70" s="57">
        <f>SUMIFS(tblFleet[Available_h],tblFleet[Date],$A70,tblFleet[Equipment_Class],"Haul Truck")</f>
        <v/>
      </c>
      <c r="CA70" s="57">
        <f>IF($B70=$B69,$CA69,0)+$BZ70</f>
        <v/>
      </c>
      <c r="CB70" s="57">
        <f>$CB69+$BZ70</f>
        <v/>
      </c>
      <c r="CC70" s="57">
        <f>SUMIFS(tblFleet[Operating_h],tblFleet[Date],$A70,tblFleet[Equipment_Class],"Haul Truck")</f>
        <v/>
      </c>
      <c r="CD70" s="57">
        <f>IF($B70=$B69,$CD69,0)+$CC70</f>
        <v/>
      </c>
      <c r="CE70" s="57">
        <f>$CE69+$CC70</f>
        <v/>
      </c>
      <c r="CF70" s="67">
        <f>IFERROR(IF(($BW70)&gt;0,($BZ70)/($BW70),""),"")</f>
        <v/>
      </c>
      <c r="CG70" s="67">
        <f>IFERROR(IF(($BX70)&gt;0,($CA70)/($BX70),""),"")</f>
        <v/>
      </c>
      <c r="CH70" s="67">
        <f>IFERROR(IF(($BY70)&gt;0,($CB70)/($BY70),""),"")</f>
        <v/>
      </c>
      <c r="CI70" s="67">
        <f>IFERROR(IF(($BZ70)&gt;0,($CC70)/($BZ70),""),"")</f>
        <v/>
      </c>
      <c r="CJ70" s="67">
        <f>IFERROR(IF(($CA70)&gt;0,($CD70)/($CA70),""),"")</f>
        <v/>
      </c>
      <c r="CK70" s="67">
        <f>IFERROR(IF(($CB70)&gt;0,($CE70)/($CB70),""),"")</f>
        <v/>
      </c>
      <c r="CL70" s="55">
        <f>IFERROR(IF(($BN70)&gt;0,($X70+$AD70)/($BN70),""),"")</f>
        <v/>
      </c>
      <c r="CM70" s="55">
        <f>IFERROR(IF(($BO70)&gt;0,($Y70+$AE70)/($BO70),""),"")</f>
        <v/>
      </c>
      <c r="CN70" s="55">
        <f>IFERROR(IF(($BP70)&gt;0,($Z70+$AF70)/($BP70),""),"")</f>
        <v/>
      </c>
      <c r="CO70" s="55">
        <f>IFERROR(IF(($CC70)&gt;0,($X70+$AD70)/($CC70),""),"")</f>
        <v/>
      </c>
      <c r="CP70" s="55">
        <f>IFERROR(IF(($CD70)&gt;0,($Y70+$AE70)/($CD70),""),"")</f>
        <v/>
      </c>
      <c r="CQ70" s="55">
        <f>IFERROR(IF(($CE70)&gt;0,($Z70+$AF70)/($CE70),""),"")</f>
        <v/>
      </c>
      <c r="CR70" s="55">
        <f>SUMIFS(tblPlant[Crushed_t],tblPlant[Date],$A70)</f>
        <v/>
      </c>
      <c r="CS70" s="55">
        <f>IF($B70=$B69,$CS69,0)+$CR70</f>
        <v/>
      </c>
      <c r="CT70" s="55">
        <f>$CT69+$CR70</f>
        <v/>
      </c>
      <c r="CU70" s="55">
        <f>SUMIFS(tblPlant[Milled_t],tblPlant[Date],$A70)</f>
        <v/>
      </c>
      <c r="CV70" s="55">
        <f>IF($B70=$B69,$CV69,0)+$CU70</f>
        <v/>
      </c>
      <c r="CW70" s="55">
        <f>$CW69+$CU70</f>
        <v/>
      </c>
      <c r="CX70" s="55">
        <f>SUMIFS(tblPlant[Feed_oz],tblPlant[Date],$A70)</f>
        <v/>
      </c>
      <c r="CY70" s="55">
        <f>IF($B70=$B69,$CY69,0)+$CX70</f>
        <v/>
      </c>
      <c r="CZ70" s="55">
        <f>$CZ69+$CX70</f>
        <v/>
      </c>
      <c r="DA70" s="55">
        <f>SUMIFS(tblPlant[Tails_oz],tblPlant[Date],$A70)</f>
        <v/>
      </c>
      <c r="DB70" s="55">
        <f>IF($B70=$B69,$DB69,0)+$DA70</f>
        <v/>
      </c>
      <c r="DC70" s="55">
        <f>$DC69+$DA70</f>
        <v/>
      </c>
      <c r="DD70" s="55">
        <f>SUMIFS(tblPlant[Recovered_oz],tblPlant[Date],$A70)</f>
        <v/>
      </c>
      <c r="DE70" s="55">
        <f>IF($B70=$B69,$DE69,0)+$DD70</f>
        <v/>
      </c>
      <c r="DF70" s="55">
        <f>$DF69+$DD70</f>
        <v/>
      </c>
      <c r="DG70" s="55">
        <f>SUMIFS(tblPlant[Milled_t],tblPlant[Date],$A70,tblPlant[Head_Grade_gpt],"&lt;&gt;")</f>
        <v/>
      </c>
      <c r="DH70" s="55">
        <f>IF($B70=$B69,$DH69,0)+$DG70</f>
        <v/>
      </c>
      <c r="DI70" s="55">
        <f>$DI69+$DG70</f>
        <v/>
      </c>
      <c r="DJ70" s="55">
        <f>SUMIFS(tblPlant[Milled_t],tblPlant[Date],$A70,tblPlant[Tails_Grade_gpt],"&lt;&gt;")</f>
        <v/>
      </c>
      <c r="DK70" s="55">
        <f>IF($B70=$B69,$DK69,0)+$DJ70</f>
        <v/>
      </c>
      <c r="DL70" s="55">
        <f>$DL69+$DJ70</f>
        <v/>
      </c>
      <c r="DM70" s="55">
        <f>SUMIFS(tblPlant[Feed_oz],tblPlant[Date],$A70,tblPlant[Tails_Grade_gpt],"&lt;&gt;")</f>
        <v/>
      </c>
      <c r="DN70" s="55">
        <f>IF($B70=$B69,$DN69,0)+$DM70</f>
        <v/>
      </c>
      <c r="DO70" s="55">
        <f>$DO69+$DM70</f>
        <v/>
      </c>
      <c r="DP70" s="55">
        <f>SUMIFS(tblPlant[Milled_t],tblPlant[Date],$A70,tblPlant[Mill_Run_h],"&lt;&gt;")</f>
        <v/>
      </c>
      <c r="DQ70" s="55">
        <f>IF($B70=$B69,$DQ69,0)+$DP70</f>
        <v/>
      </c>
      <c r="DR70" s="55">
        <f>$DR69+$DP70</f>
        <v/>
      </c>
      <c r="DS70" s="56">
        <f>IFERROR(IF(($DG70)&gt;0,($CX70*cfg_TroyOz)/($DG70),""),"")</f>
        <v/>
      </c>
      <c r="DT70" s="56">
        <f>IFERROR(IF(($DH70)&gt;0,($CY70*cfg_TroyOz)/($DH70),""),"")</f>
        <v/>
      </c>
      <c r="DU70" s="56">
        <f>IFERROR(IF(($DI70)&gt;0,($CZ70*cfg_TroyOz)/($DI70),""),"")</f>
        <v/>
      </c>
      <c r="DV70" s="56">
        <f>IFERROR(IF(($DJ70)&gt;0,($DA70*cfg_TroyOz)/($DJ70),""),"")</f>
        <v/>
      </c>
      <c r="DW70" s="56">
        <f>IFERROR(IF(($DK70)&gt;0,($DB70*cfg_TroyOz)/($DK70),""),"")</f>
        <v/>
      </c>
      <c r="DX70" s="56">
        <f>IFERROR(IF(($DL70)&gt;0,($DC70*cfg_TroyOz)/($DL70),""),"")</f>
        <v/>
      </c>
      <c r="DY70" s="67">
        <f>IFERROR(IF(($DM70)&gt;0,($DD70)/($DM70),""),"")</f>
        <v/>
      </c>
      <c r="DZ70" s="67">
        <f>IFERROR(IF(($DN70)&gt;0,($DE70)/($DN70),""),"")</f>
        <v/>
      </c>
      <c r="EA70" s="67">
        <f>IFERROR(IF(($DO70)&gt;0,($DF70)/($DO70),""),"")</f>
        <v/>
      </c>
      <c r="EB70" s="55">
        <f>SUMIFS(tblPlant[Gravity_Gold_oz],tblPlant[Date],$A70)</f>
        <v/>
      </c>
      <c r="EC70" s="55">
        <f>IF($B70=$B69,$EC69,0)+$EB70</f>
        <v/>
      </c>
      <c r="ED70" s="55">
        <f>$ED69+$EB70</f>
        <v/>
      </c>
      <c r="EE70" s="67">
        <f>IFERROR(IF(($DD70)&gt;0,($EB70)/($DD70),""),"")</f>
        <v/>
      </c>
      <c r="EF70" s="67">
        <f>IFERROR(IF(($DE70)&gt;0,($EC70)/($DE70),""),"")</f>
        <v/>
      </c>
      <c r="EG70" s="67">
        <f>IFERROR(IF(($DF70)&gt;0,($ED70)/($DF70),""),"")</f>
        <v/>
      </c>
      <c r="EH70" s="55">
        <f>SUMIFS(tblPlant[Gold_Poured_oz],tblPlant[Date],$A70)</f>
        <v/>
      </c>
      <c r="EI70" s="55">
        <f>IF($B70=$B69,$EI69,0)+$EH70</f>
        <v/>
      </c>
      <c r="EJ70" s="55">
        <f>$EJ69+$EH70</f>
        <v/>
      </c>
      <c r="EK70" s="57">
        <f>SUMIFS(tblPlant[Mill_Run_h],tblPlant[Date],$A70)</f>
        <v/>
      </c>
      <c r="EL70" s="57">
        <f>IF($B70=$B69,$EL69,0)+$EK70</f>
        <v/>
      </c>
      <c r="EM70" s="57">
        <f>$EM69+$EK70</f>
        <v/>
      </c>
      <c r="EN70" s="57">
        <f>SUMIFS(tblPlant[Mill_Planned_Maint_h],tblPlant[Date],$A70)</f>
        <v/>
      </c>
      <c r="EO70" s="57">
        <f>IF($B70=$B69,$EO69,0)+$EN70</f>
        <v/>
      </c>
      <c r="EP70" s="57">
        <f>$EP69+$EN70</f>
        <v/>
      </c>
      <c r="EQ70" s="57">
        <f>SUMIFS(tblPlant[Mill_Unplanned_Down_h],tblPlant[Date],$A70)</f>
        <v/>
      </c>
      <c r="ER70" s="57">
        <f>IF($B70=$B69,$ER69,0)+$EQ70</f>
        <v/>
      </c>
      <c r="ES70" s="57">
        <f>$ES69+$EQ70</f>
        <v/>
      </c>
      <c r="ET70" s="57">
        <f>IF(COUNTIFS(tblPlant[Date],$A70,tblPlant[Mill_Run_h],"&lt;&gt;")+COUNTIFS(tblPlant[Date],$A70,tblPlant[Mill_Planned_Maint_h],"&lt;&gt;")+COUNTIFS(tblPlant[Date],$A70,tblPlant[Mill_Unplanned_Down_h],"&lt;&gt;")&gt;0,cfg_HoursPerDay,0)</f>
        <v/>
      </c>
      <c r="EU70" s="57">
        <f>IF($B70=$B69,$EU69,0)+$ET70</f>
        <v/>
      </c>
      <c r="EV70" s="57">
        <f>$EV69+$ET70</f>
        <v/>
      </c>
      <c r="EW70" s="57">
        <f>SUMIFS(tblPlant[Crusher_Run_h],tblPlant[Date],$A70)</f>
        <v/>
      </c>
      <c r="EX70" s="57">
        <f>IF($B70=$B69,$EX69,0)+$EW70</f>
        <v/>
      </c>
      <c r="EY70" s="57">
        <f>$EY69+$EW70</f>
        <v/>
      </c>
      <c r="EZ70" s="55">
        <f>IFERROR(IF(($EK70)&gt;0,($DP70)/($EK70),""),"")</f>
        <v/>
      </c>
      <c r="FA70" s="55">
        <f>IFERROR(IF(($EL70)&gt;0,($DQ70)/($EL70),""),"")</f>
        <v/>
      </c>
      <c r="FB70" s="55">
        <f>IFERROR(IF(($EM70)&gt;0,($DR70)/($EM70),""),"")</f>
        <v/>
      </c>
      <c r="FC70" s="67">
        <f>IFERROR(IF(($ET70)&gt;0,($ET70-$EN70-$EQ70)/($ET70),""),"")</f>
        <v/>
      </c>
      <c r="FD70" s="67">
        <f>IFERROR(IF(($EU70)&gt;0,($EU70-$EO70-$ER70)/($EU70),""),"")</f>
        <v/>
      </c>
      <c r="FE70" s="67">
        <f>IFERROR(IF(($EV70)&gt;0,($EV70-$EP70-$ES70)/($EV70),""),"")</f>
        <v/>
      </c>
      <c r="FF70" s="67">
        <f>IFERROR(IF(($ET70-$EN70-$EQ70)&gt;0,($EK70)/($ET70-$EN70-$EQ70),""),"")</f>
        <v/>
      </c>
      <c r="FG70" s="67">
        <f>IFERROR(IF(($EU70-$EO70-$ER70)&gt;0,($EL70)/($EU70-$EO70-$ER70),""),"")</f>
        <v/>
      </c>
      <c r="FH70" s="67">
        <f>IFERROR(IF(($EV70-$EP70-$ES70)&gt;0,($EM70)/($EV70-$EP70-$ES70),""),"")</f>
        <v/>
      </c>
      <c r="FI70" s="55">
        <f>SUMIFS(tblPlant[Cyanide_kg],tblPlant[Date],$A70)</f>
        <v/>
      </c>
      <c r="FJ70" s="55">
        <f>IF($B70=$B69,$FJ69,0)+$FI70</f>
        <v/>
      </c>
      <c r="FK70" s="55">
        <f>$FK69+$FI70</f>
        <v/>
      </c>
      <c r="FL70" s="55">
        <f>SUMIFS(tblPlant[Lime_kg],tblPlant[Date],$A70)</f>
        <v/>
      </c>
      <c r="FM70" s="55">
        <f>IF($B70=$B69,$FM69,0)+$FL70</f>
        <v/>
      </c>
      <c r="FN70" s="55">
        <f>$FN69+$FL70</f>
        <v/>
      </c>
      <c r="FO70" s="55">
        <f>SUMIFS(tblPlant[Grinding_Media_kg],tblPlant[Date],$A70)</f>
        <v/>
      </c>
      <c r="FP70" s="55">
        <f>IF($B70=$B69,$FP69,0)+$FO70</f>
        <v/>
      </c>
      <c r="FQ70" s="55">
        <f>$FQ69+$FO70</f>
        <v/>
      </c>
      <c r="FR70" s="55">
        <f>SUMIFS(tblPlant[Power_kWh],tblPlant[Date],$A70)</f>
        <v/>
      </c>
      <c r="FS70" s="55">
        <f>IF($B70=$B69,$FS69,0)+$FR70</f>
        <v/>
      </c>
      <c r="FT70" s="55">
        <f>$FT69+$FR70</f>
        <v/>
      </c>
      <c r="FU70" s="55">
        <f>SUMIFS(tblPlant[Raw_Water_m3],tblPlant[Date],$A70)</f>
        <v/>
      </c>
      <c r="FV70" s="55">
        <f>IF($B70=$B69,$FV69,0)+$FU70</f>
        <v/>
      </c>
      <c r="FW70" s="55">
        <f>$FW69+$FU70</f>
        <v/>
      </c>
      <c r="FX70" s="56">
        <f>IFERROR(IF(($CU70)&gt;0,($FI70)/($CU70),""),"")</f>
        <v/>
      </c>
      <c r="FY70" s="56">
        <f>IFERROR(IF(($CV70)&gt;0,($FJ70)/($CV70),""),"")</f>
        <v/>
      </c>
      <c r="FZ70" s="56">
        <f>IFERROR(IF(($CW70)&gt;0,($FK70)/($CW70),""),"")</f>
        <v/>
      </c>
      <c r="GA70" s="56">
        <f>IFERROR(IF(($CU70)&gt;0,($FL70)/($CU70),""),"")</f>
        <v/>
      </c>
      <c r="GB70" s="56">
        <f>IFERROR(IF(($CV70)&gt;0,($FM70)/($CV70),""),"")</f>
        <v/>
      </c>
      <c r="GC70" s="56">
        <f>IFERROR(IF(($CW70)&gt;0,($FN70)/($CW70),""),"")</f>
        <v/>
      </c>
      <c r="GD70" s="56">
        <f>IFERROR(IF(($CU70)&gt;0,($FO70)/($CU70),""),"")</f>
        <v/>
      </c>
      <c r="GE70" s="56">
        <f>IFERROR(IF(($CV70)&gt;0,($FP70)/($CV70),""),"")</f>
        <v/>
      </c>
      <c r="GF70" s="56">
        <f>IFERROR(IF(($CW70)&gt;0,($FQ70)/($CW70),""),"")</f>
        <v/>
      </c>
      <c r="GG70" s="79">
        <f>IFERROR(IF(($CU70)&gt;0,($FR70)/($CU70),""),"")</f>
        <v/>
      </c>
      <c r="GH70" s="79">
        <f>IFERROR(IF(($CV70)&gt;0,($FS70)/($CV70),""),"")</f>
        <v/>
      </c>
      <c r="GI70" s="79">
        <f>IFERROR(IF(($CW70)&gt;0,($FT70)/($CW70),""),"")</f>
        <v/>
      </c>
      <c r="GJ70" s="56">
        <f>IFERROR(IF(($CU70)&gt;0,($FU70)/($CU70),""),"")</f>
        <v/>
      </c>
      <c r="GK70" s="56">
        <f>IFERROR(IF(($CV70)&gt;0,($FV70)/($CV70),""),"")</f>
        <v/>
      </c>
      <c r="GL70" s="56">
        <f>IFERROR(IF(($CW70)&gt;0,($FW70)/($CW70),""),"")</f>
        <v/>
      </c>
      <c r="GM70" s="55">
        <f>IF(SUMIFS(tblPlant[GIC_oz],tblPlant[Date],$A70)&gt;0,SUMIFS(tblPlant[GIC_oz],tblPlant[Date],$A70),"")</f>
        <v/>
      </c>
      <c r="GN70" s="55">
        <f>SUMIFS(tblGold[Gold_oz],tblGold[Date],$A70,tblGold[Type],"Shipment")</f>
        <v/>
      </c>
      <c r="GO70" s="55">
        <f>IF($B70=$B69,$GO69,0)+$GN70</f>
        <v/>
      </c>
      <c r="GP70" s="55">
        <f>$GP69+$GN70</f>
        <v/>
      </c>
      <c r="GQ70" s="55">
        <f>SUMIFS(tblGold[Gold_oz],tblGold[Date],$A70,tblGold[Type],"Sale")</f>
        <v/>
      </c>
      <c r="GR70" s="55">
        <f>IF($B70=$B69,$GR69,0)+$GQ70</f>
        <v/>
      </c>
      <c r="GS70" s="55">
        <f>$GS69+$GQ70</f>
        <v/>
      </c>
      <c r="GT70" s="55">
        <f>SUMIFS(tblGold[Dore_kg],tblGold[Date],$A70,tblGold[Type],"Shipment")</f>
        <v/>
      </c>
      <c r="GU70" s="55">
        <f>IF($B70=$B69,$GU69,0)+$GT70</f>
        <v/>
      </c>
      <c r="GV70" s="55">
        <f>$GV69+$GT70</f>
        <v/>
      </c>
      <c r="GW70" s="57">
        <f>SUMIFS(tblSafety[Hours_Total],tblSafety[Date],$A70)</f>
        <v/>
      </c>
      <c r="GX70" s="57">
        <f>IF($B70=$B69,$GX69,0)+$GW70</f>
        <v/>
      </c>
      <c r="GY70" s="57">
        <f>$GY69+$GW70</f>
        <v/>
      </c>
      <c r="GZ70" s="62">
        <f>SUMIFS(tblSafety[Fatality],tblSafety[Date],$A70)</f>
        <v/>
      </c>
      <c r="HA70" s="62">
        <f>IF($B70=$B69,$HA69,0)+$GZ70</f>
        <v/>
      </c>
      <c r="HB70" s="62">
        <f>$HB69+$GZ70</f>
        <v/>
      </c>
      <c r="HC70" s="62">
        <f>SUMIFS(tblSafety[LTI],tblSafety[Date],$A70)</f>
        <v/>
      </c>
      <c r="HD70" s="62">
        <f>IF($B70=$B69,$HD69,0)+$HC70</f>
        <v/>
      </c>
      <c r="HE70" s="62">
        <f>$HE69+$HC70</f>
        <v/>
      </c>
      <c r="HF70" s="62">
        <f>SUMIFS(tblSafety[RWI],tblSafety[Date],$A70)</f>
        <v/>
      </c>
      <c r="HG70" s="62">
        <f>IF($B70=$B69,$HG69,0)+$HF70</f>
        <v/>
      </c>
      <c r="HH70" s="62">
        <f>$HH69+$HF70</f>
        <v/>
      </c>
      <c r="HI70" s="62">
        <f>SUMIFS(tblSafety[MTI],tblSafety[Date],$A70)</f>
        <v/>
      </c>
      <c r="HJ70" s="62">
        <f>IF($B70=$B69,$HJ69,0)+$HI70</f>
        <v/>
      </c>
      <c r="HK70" s="62">
        <f>$HK69+$HI70</f>
        <v/>
      </c>
      <c r="HL70" s="62">
        <f>SUMIFS(tblSafety[FAI],tblSafety[Date],$A70)</f>
        <v/>
      </c>
      <c r="HM70" s="62">
        <f>IF($B70=$B69,$HM69,0)+$HL70</f>
        <v/>
      </c>
      <c r="HN70" s="62">
        <f>$HN69+$HL70</f>
        <v/>
      </c>
      <c r="HO70" s="62">
        <f>SUMIFS(tblSafety[Recordables],tblSafety[Date],$A70)</f>
        <v/>
      </c>
      <c r="HP70" s="62">
        <f>IF($B70=$B69,$HP69,0)+$HO70</f>
        <v/>
      </c>
      <c r="HQ70" s="62">
        <f>$HQ69+$HO70</f>
        <v/>
      </c>
      <c r="HR70" s="62">
        <f>SUMIFS(tblSafety[Near_Miss],tblSafety[Date],$A70)</f>
        <v/>
      </c>
      <c r="HS70" s="62">
        <f>IF($B70=$B69,$HS69,0)+$HR70</f>
        <v/>
      </c>
      <c r="HT70" s="62">
        <f>$HT69+$HR70</f>
        <v/>
      </c>
      <c r="HU70" s="62">
        <f>SUMIFS(tblSafety[Hazard_Reports],tblSafety[Date],$A70)</f>
        <v/>
      </c>
      <c r="HV70" s="62">
        <f>IF($B70=$B69,$HV69,0)+$HU70</f>
        <v/>
      </c>
      <c r="HW70" s="62">
        <f>$HW69+$HU70</f>
        <v/>
      </c>
      <c r="HX70" s="62">
        <f>SUMIFS(tblSafety[HPI],tblSafety[Date],$A70)</f>
        <v/>
      </c>
      <c r="HY70" s="62">
        <f>IF($B70=$B69,$HY69,0)+$HX70</f>
        <v/>
      </c>
      <c r="HZ70" s="62">
        <f>$HZ69+$HX70</f>
        <v/>
      </c>
      <c r="IA70" s="62">
        <f>SUMIFS(tblSafety[Env_Incidents],tblSafety[Date],$A70)</f>
        <v/>
      </c>
      <c r="IB70" s="62">
        <f>IF($B70=$B69,$IB69,0)+$IA70</f>
        <v/>
      </c>
      <c r="IC70" s="62">
        <f>$IC69+$IA70</f>
        <v/>
      </c>
      <c r="ID70" s="62">
        <f>SUMIFS(tblSafety[Community_Incidents],tblSafety[Date],$A70)</f>
        <v/>
      </c>
      <c r="IE70" s="62">
        <f>IF($B70=$B69,$IE69,0)+$ID70</f>
        <v/>
      </c>
      <c r="IF70" s="62">
        <f>$IF69+$ID70</f>
        <v/>
      </c>
      <c r="IG70" s="62">
        <f>SUMIFS(tblSafety[Vehicle_Incidents],tblSafety[Date],$A70)</f>
        <v/>
      </c>
      <c r="IH70" s="62">
        <f>IF($B70=$B69,$IH69,0)+$IG70</f>
        <v/>
      </c>
      <c r="II70" s="62">
        <f>$II69+$IG70</f>
        <v/>
      </c>
      <c r="IJ70" s="62">
        <f>SUMIFS(tblSafety[Toolbox_Talks],tblSafety[Date],$A70)</f>
        <v/>
      </c>
      <c r="IK70" s="62">
        <f>IF($B70=$B69,$IK69,0)+$IJ70</f>
        <v/>
      </c>
      <c r="IL70" s="62">
        <f>$IL69+$IJ70</f>
        <v/>
      </c>
      <c r="IM70" s="62">
        <f>SUMIFS(tblSafety[Inspections],tblSafety[Date],$A70)</f>
        <v/>
      </c>
      <c r="IN70" s="62">
        <f>IF($B70=$B69,$IN69,0)+$IM70</f>
        <v/>
      </c>
      <c r="IO70" s="62">
        <f>$IO69+$IM70</f>
        <v/>
      </c>
      <c r="IP70" s="56">
        <f>IFERROR((SUMIFS(tblSafety[Recordables],tblSafety[Date],"&gt;="&amp;EDATE($E70,-12),tblSafety[Date],"&lt;="&amp;$A70)+SUMIFS(tblSafetyHistory[Recordables],tblSafetyHistory[Month],"&gt;="&amp;EDATE($E70,-12),tblSafetyHistory[Month],"&lt;"&amp;$E70,tblSafetyHistory[Use],1))/(SUMIFS(tblSafety[Hours_Total],tblSafety[Date],"&gt;="&amp;EDATE($E70,-12),tblSafety[Date],"&lt;="&amp;$A70)+SUMIFS(tblSafetyHistory[Hours_Total],tblSafetyHistory[Month],"&gt;="&amp;EDATE($E70,-12),tblSafetyHistory[Month],"&lt;"&amp;$E70,tblSafetyHistory[Use],1))*cfg_RateBasisHours,"")</f>
        <v/>
      </c>
      <c r="IQ70" s="56">
        <f>IFERROR((SUMIFS(tblSafety[LTI],tblSafety[Date],"&gt;="&amp;EDATE($E70,-12),tblSafety[Date],"&lt;="&amp;$A70)+SUMIFS(tblSafetyHistory[LTI],tblSafetyHistory[Month],"&gt;="&amp;EDATE($E70,-12),tblSafetyHistory[Month],"&lt;"&amp;$E70,tblSafetyHistory[Use],1))/(SUMIFS(tblSafety[Hours_Total],tblSafety[Date],"&gt;="&amp;EDATE($E70,-12),tblSafety[Date],"&lt;="&amp;$A70)+SUMIFS(tblSafetyHistory[Hours_Total],tblSafetyHistory[Month],"&gt;="&amp;EDATE($E70,-12),tblSafetyHistory[Month],"&lt;"&amp;$E70,tblSafetyHistory[Use],1))*cfg_RateBasisHours,"")</f>
        <v/>
      </c>
      <c r="IR70" s="62">
        <f>IF(MAX(N(cfg_PriorLTIDate),_xlfn.MAXIFS(tblSafety[Date],tblSafety[LTI],"&gt;0",tblSafety[Date],"&lt;="&amp;$A70))=0,"",$A70-MAX(N(cfg_PriorLTIDate),_xlfn.MAXIFS(tblSafety[Date],tblSafety[LTI],"&gt;0",tblSafety[Date],"&lt;="&amp;$A70)))</f>
        <v/>
      </c>
      <c r="IS70" s="55">
        <f>SUMIFS(tblBudget[Ore_Mined_t],tblBudget[Month],$E70)</f>
        <v/>
      </c>
      <c r="IT70" s="55">
        <f>$IS70*$C70/$D70</f>
        <v/>
      </c>
      <c r="IU70" s="55">
        <f>SUMIFS(tblBudget[Ore_Mined_t],tblBudget[Month],"&lt;"&amp;$E70)+$IT70</f>
        <v/>
      </c>
      <c r="IV70" s="55">
        <f>SUMIFS(tblBudget[Ore_oz],tblBudget[Month],$E70)</f>
        <v/>
      </c>
      <c r="IW70" s="55">
        <f>$IV70*$C70/$D70</f>
        <v/>
      </c>
      <c r="IX70" s="55">
        <f>SUMIFS(tblBudget[Ore_oz],tblBudget[Month],"&lt;"&amp;$E70)+$IW70</f>
        <v/>
      </c>
      <c r="IY70" s="55">
        <f>SUMIFS(tblBudget[Ore_Mined_t],tblBudget[Month],$E70)</f>
        <v/>
      </c>
      <c r="IZ70" s="55">
        <f>$IY70*$C70/$D70</f>
        <v/>
      </c>
      <c r="JA70" s="55">
        <f>SUMIFS(tblBudget[Ore_Mined_t],tblBudget[Month],"&lt;"&amp;$E70)+$IZ70</f>
        <v/>
      </c>
      <c r="JB70" s="56">
        <f>IFERROR(IF(($IY70)&gt;0,($IV70*cfg_TroyOz)/($IY70),""),"")</f>
        <v/>
      </c>
      <c r="JC70" s="56">
        <f>IFERROR(IF(($IZ70)&gt;0,($IW70*cfg_TroyOz)/($IZ70),""),"")</f>
        <v/>
      </c>
      <c r="JD70" s="56">
        <f>IFERROR(IF(($JA70)&gt;0,($IX70*cfg_TroyOz)/($JA70),""),"")</f>
        <v/>
      </c>
      <c r="JE70" s="55">
        <f>SUMIFS(tblBudget[Waste_t],tblBudget[Month],$E70)</f>
        <v/>
      </c>
      <c r="JF70" s="55">
        <f>$JE70*$C70/$D70</f>
        <v/>
      </c>
      <c r="JG70" s="55">
        <f>SUMIFS(tblBudget[Waste_t],tblBudget[Month],"&lt;"&amp;$E70)+$JF70</f>
        <v/>
      </c>
      <c r="JH70" s="55">
        <f>SUMIFS(tblBudget[TMM_t],tblBudget[Month],$E70)</f>
        <v/>
      </c>
      <c r="JI70" s="55">
        <f>$JH70*$C70/$D70</f>
        <v/>
      </c>
      <c r="JJ70" s="55">
        <f>SUMIFS(tblBudget[TMM_t],tblBudget[Month],"&lt;"&amp;$E70)+$JI70</f>
        <v/>
      </c>
      <c r="JK70" s="56">
        <f>IFERROR(IF(($IS70)&gt;0,($JE70)/($IS70),""),"")</f>
        <v/>
      </c>
      <c r="JL70" s="56">
        <f>IFERROR(IF(($IT70)&gt;0,($JF70)/($IT70),""),"")</f>
        <v/>
      </c>
      <c r="JM70" s="56">
        <f>IFERROR(IF(($IU70)&gt;0,($JG70)/($IU70),""),"")</f>
        <v/>
      </c>
      <c r="JN70" s="55">
        <f>SUMIFS(tblBudget[Drill_m],tblBudget[Month],$E70)</f>
        <v/>
      </c>
      <c r="JO70" s="55">
        <f>$JN70*$C70/$D70</f>
        <v/>
      </c>
      <c r="JP70" s="55">
        <f>SUMIFS(tblBudget[Drill_m],tblBudget[Month],"&lt;"&amp;$E70)+$JO70</f>
        <v/>
      </c>
      <c r="JQ70" s="55">
        <f>SUMIFS(tblBudget[Diesel_L],tblBudget[Month],$E70)</f>
        <v/>
      </c>
      <c r="JR70" s="55">
        <f>$JQ70*$C70/$D70</f>
        <v/>
      </c>
      <c r="JS70" s="55">
        <f>SUMIFS(tblBudget[Diesel_L],tblBudget[Month],"&lt;"&amp;$E70)+$JR70</f>
        <v/>
      </c>
      <c r="JT70" s="55">
        <f>SUMIFS(tblBudget[Milled_t],tblBudget[Month],$E70)</f>
        <v/>
      </c>
      <c r="JU70" s="55">
        <f>$JT70*$C70/$D70</f>
        <v/>
      </c>
      <c r="JV70" s="55">
        <f>SUMIFS(tblBudget[Milled_t],tblBudget[Month],"&lt;"&amp;$E70)+$JU70</f>
        <v/>
      </c>
      <c r="JW70" s="55">
        <f>SUMIFS(tblBudget[Feed_oz],tblBudget[Month],$E70)</f>
        <v/>
      </c>
      <c r="JX70" s="55">
        <f>$JW70*$C70/$D70</f>
        <v/>
      </c>
      <c r="JY70" s="55">
        <f>SUMIFS(tblBudget[Feed_oz],tblBudget[Month],"&lt;"&amp;$E70)+$JX70</f>
        <v/>
      </c>
      <c r="JZ70" s="55">
        <f>SUMIFS(tblBudget[Recovered_oz],tblBudget[Month],$E70)</f>
        <v/>
      </c>
      <c r="KA70" s="55">
        <f>$JZ70*$C70/$D70</f>
        <v/>
      </c>
      <c r="KB70" s="55">
        <f>SUMIFS(tblBudget[Recovered_oz],tblBudget[Month],"&lt;"&amp;$E70)+$KA70</f>
        <v/>
      </c>
      <c r="KC70" s="55">
        <f>SUMIFS(tblBudget[Milled_t],tblBudget[Month],$E70)</f>
        <v/>
      </c>
      <c r="KD70" s="55">
        <f>$KC70*$C70/$D70</f>
        <v/>
      </c>
      <c r="KE70" s="55">
        <f>SUMIFS(tblBudget[Milled_t],tblBudget[Month],"&lt;"&amp;$E70)+$KD70</f>
        <v/>
      </c>
      <c r="KF70" s="55">
        <f>SUMIFS(tblBudget[Feed_oz],tblBudget[Month],$E70)</f>
        <v/>
      </c>
      <c r="KG70" s="55">
        <f>$KF70*$C70/$D70</f>
        <v/>
      </c>
      <c r="KH70" s="55">
        <f>SUMIFS(tblBudget[Feed_oz],tblBudget[Month],"&lt;"&amp;$E70)+$KG70</f>
        <v/>
      </c>
      <c r="KI70" s="56">
        <f>IFERROR(IF(($KC70)&gt;0,($JW70*cfg_TroyOz)/($KC70),""),"")</f>
        <v/>
      </c>
      <c r="KJ70" s="56">
        <f>IFERROR(IF(($KD70)&gt;0,($JX70*cfg_TroyOz)/($KD70),""),"")</f>
        <v/>
      </c>
      <c r="KK70" s="56">
        <f>IFERROR(IF(($KE70)&gt;0,($JY70*cfg_TroyOz)/($KE70),""),"")</f>
        <v/>
      </c>
      <c r="KL70" s="67">
        <f>IFERROR(IF(($KF70)&gt;0,($JZ70)/($KF70),""),"")</f>
        <v/>
      </c>
      <c r="KM70" s="67">
        <f>IFERROR(IF(($KG70)&gt;0,($KA70)/($KG70),""),"")</f>
        <v/>
      </c>
      <c r="KN70" s="67">
        <f>IFERROR(IF(($KH70)&gt;0,($KB70)/($KH70),""),"")</f>
        <v/>
      </c>
      <c r="KO70" s="55">
        <f>SUMIFS(tblBudget[Gold_Poured_oz],tblBudget[Month],$E70)</f>
        <v/>
      </c>
      <c r="KP70" s="55">
        <f>$KO70*$C70/$D70</f>
        <v/>
      </c>
      <c r="KQ70" s="55">
        <f>SUMIFS(tblBudget[Gold_Poured_oz],tblBudget[Month],"&lt;"&amp;$E70)+$KP70</f>
        <v/>
      </c>
      <c r="KR70" s="57">
        <f>SUMIFS(tblBudget[Hours_Worked],tblBudget[Month],$E70)</f>
        <v/>
      </c>
      <c r="KS70" s="57">
        <f>$KR70*$C70/$D70</f>
        <v/>
      </c>
      <c r="KT70" s="57">
        <f>SUMIFS(tblBudget[Hours_Worked],tblBudget[Month],"&lt;"&amp;$E70)+$KS70</f>
        <v/>
      </c>
    </row>
    <row r="71">
      <c r="A71" s="54" t="n">
        <v>46092</v>
      </c>
      <c r="B71">
        <f>MONTH($A71)</f>
        <v/>
      </c>
      <c r="C71">
        <f>DAY($A71)</f>
        <v/>
      </c>
      <c r="D71">
        <f>DAY(EOMONTH($A71,0))</f>
        <v/>
      </c>
      <c r="E71" s="54">
        <f>DATE(YEAR($A71),MONTH($A71),1)</f>
        <v/>
      </c>
      <c r="F71" s="55">
        <f>SUMIFS(tblMovement[Tonnes_t],tblMovement[Date],$A71,tblMovement[Is_Ore],1,tblMovement[Source_Type],"Pit")</f>
        <v/>
      </c>
      <c r="G71" s="55">
        <f>IF($B71=$B70,$G70,0)+$F71</f>
        <v/>
      </c>
      <c r="H71" s="55">
        <f>$H70+$F71</f>
        <v/>
      </c>
      <c r="I71" s="55">
        <f>SUMIFS(tblMovement[Ore_oz],tblMovement[Date],$A71,tblMovement[Source_Type],"Pit")</f>
        <v/>
      </c>
      <c r="J71" s="55">
        <f>IF($B71=$B70,$J70,0)+$I71</f>
        <v/>
      </c>
      <c r="K71" s="55">
        <f>$K70+$I71</f>
        <v/>
      </c>
      <c r="L71" s="55">
        <f>SUMIFS(tblMovement[Tonnes_t],tblMovement[Date],$A71,tblMovement[Is_Ore],1,tblMovement[Source_Type],"Pit",tblMovement[Grade_gpt],"&lt;&gt;")</f>
        <v/>
      </c>
      <c r="M71" s="55">
        <f>IF($B71=$B70,$M70,0)+$L71</f>
        <v/>
      </c>
      <c r="N71" s="55">
        <f>$N70+$L71</f>
        <v/>
      </c>
      <c r="O71" s="56">
        <f>IFERROR(IF(($L71)&gt;0,($I71*cfg_TroyOz)/($L71),""),"")</f>
        <v/>
      </c>
      <c r="P71" s="56">
        <f>IFERROR(IF(($M71)&gt;0,($J71*cfg_TroyOz)/($M71),""),"")</f>
        <v/>
      </c>
      <c r="Q71" s="56">
        <f>IFERROR(IF(($N71)&gt;0,($K71*cfg_TroyOz)/($N71),""),"")</f>
        <v/>
      </c>
      <c r="R71" s="55">
        <f>$F71-$L71</f>
        <v/>
      </c>
      <c r="S71" s="55">
        <f>IF($B71=$B70,$S70,0)+$R71</f>
        <v/>
      </c>
      <c r="T71" s="55">
        <f>$T70+$R71</f>
        <v/>
      </c>
      <c r="U71" s="55">
        <f>SUMIFS(tblMovement[Tonnes_t],tblMovement[Date],$A71,tblMovement[Is_Ore],0,tblMovement[Source_Type],"Pit")</f>
        <v/>
      </c>
      <c r="V71" s="55">
        <f>IF($B71=$B70,$V70,0)+$U71</f>
        <v/>
      </c>
      <c r="W71" s="55">
        <f>$W70+$U71</f>
        <v/>
      </c>
      <c r="X71" s="55">
        <f>$F71+$U71</f>
        <v/>
      </c>
      <c r="Y71" s="55">
        <f>IF($B71=$B70,$Y70,0)+$X71</f>
        <v/>
      </c>
      <c r="Z71" s="55">
        <f>$Z70+$X71</f>
        <v/>
      </c>
      <c r="AA71" s="56">
        <f>IFERROR(IF(($F71)&gt;0,($U71)/($F71),""),"")</f>
        <v/>
      </c>
      <c r="AB71" s="56">
        <f>IFERROR(IF(($G71)&gt;0,($V71)/($G71),""),"")</f>
        <v/>
      </c>
      <c r="AC71" s="56">
        <f>IFERROR(IF(($H71)&gt;0,($W71)/($H71),""),"")</f>
        <v/>
      </c>
      <c r="AD71" s="55">
        <f>SUMIFS(tblMovement[Tonnes_t],tblMovement[Date],$A71,tblMovement[Source_Type],"Stockpile")</f>
        <v/>
      </c>
      <c r="AE71" s="55">
        <f>IF($B71=$B70,$AE70,0)+$AD71</f>
        <v/>
      </c>
      <c r="AF71" s="55">
        <f>$AF70+$AD71</f>
        <v/>
      </c>
      <c r="AG71" s="55">
        <f>SUMIFS(tblMovement[Tonnes_t],tblMovement[Date],$A71)</f>
        <v/>
      </c>
      <c r="AH71" s="55">
        <f>IF($B71=$B70,$AH70,0)+$AG71</f>
        <v/>
      </c>
      <c r="AI71" s="55">
        <f>$AI70+$AG71</f>
        <v/>
      </c>
      <c r="AJ71" s="55">
        <f>$AG71-$X71-$AD71</f>
        <v/>
      </c>
      <c r="AK71" s="55">
        <f>IF($B71=$B70,$AK70,0)+$AJ71</f>
        <v/>
      </c>
      <c r="AL71" s="55">
        <f>$AL70+$AJ71</f>
        <v/>
      </c>
      <c r="AM71" s="55">
        <f>SUMIFS(tblMiningDaily[Drill_m],tblMiningDaily[Date],$A71)</f>
        <v/>
      </c>
      <c r="AN71" s="55">
        <f>IF($B71=$B70,$AN70,0)+$AM71</f>
        <v/>
      </c>
      <c r="AO71" s="55">
        <f>$AO70+$AM71</f>
        <v/>
      </c>
      <c r="AP71" s="55">
        <f>SUMIFS(tblMiningDaily[GC_Drill_m],tblMiningDaily[Date],$A71)</f>
        <v/>
      </c>
      <c r="AQ71" s="55">
        <f>IF($B71=$B70,$AQ70,0)+$AP71</f>
        <v/>
      </c>
      <c r="AR71" s="55">
        <f>$AR70+$AP71</f>
        <v/>
      </c>
      <c r="AS71" s="55">
        <f>SUMIFS(tblMiningDaily[Blast_t],tblMiningDaily[Date],$A71)</f>
        <v/>
      </c>
      <c r="AT71" s="55">
        <f>IF($B71=$B70,$AT70,0)+$AS71</f>
        <v/>
      </c>
      <c r="AU71" s="55">
        <f>$AU70+$AS71</f>
        <v/>
      </c>
      <c r="AV71" s="55">
        <f>SUMIFS(tblMiningDaily[Explosives_kg],tblMiningDaily[Date],$A71)</f>
        <v/>
      </c>
      <c r="AW71" s="55">
        <f>IF($B71=$B70,$AW70,0)+$AV71</f>
        <v/>
      </c>
      <c r="AX71" s="55">
        <f>$AX70+$AV71</f>
        <v/>
      </c>
      <c r="AY71" s="56">
        <f>IFERROR(IF(($AS71)&gt;0,($AV71)/($AS71),""),"")</f>
        <v/>
      </c>
      <c r="AZ71" s="56">
        <f>IFERROR(IF(($AT71)&gt;0,($AW71)/($AT71),""),"")</f>
        <v/>
      </c>
      <c r="BA71" s="56">
        <f>IFERROR(IF(($AU71)&gt;0,($AX71)/($AU71),""),"")</f>
        <v/>
      </c>
      <c r="BB71" s="55">
        <f>SUMIFS(tblMiningDaily[Diesel_L],tblMiningDaily[Date],$A71)</f>
        <v/>
      </c>
      <c r="BC71" s="55">
        <f>IF($B71=$B70,$BC70,0)+$BB71</f>
        <v/>
      </c>
      <c r="BD71" s="55">
        <f>$BD70+$BB71</f>
        <v/>
      </c>
      <c r="BE71" s="55">
        <f>SUMIFS(tblMiningDaily[Dewatering_m3],tblMiningDaily[Date],$A71)</f>
        <v/>
      </c>
      <c r="BF71" s="55">
        <f>IF($B71=$B70,$BF70,0)+$BE71</f>
        <v/>
      </c>
      <c r="BG71" s="55">
        <f>$BG70+$BE71</f>
        <v/>
      </c>
      <c r="BH71" s="57">
        <f>SUMIFS(tblFleet[Calendar_h],tblFleet[Date],$A71,tblFleet[Equipment_Class],"Excavator")</f>
        <v/>
      </c>
      <c r="BI71" s="57">
        <f>IF($B71=$B70,$BI70,0)+$BH71</f>
        <v/>
      </c>
      <c r="BJ71" s="57">
        <f>$BJ70+$BH71</f>
        <v/>
      </c>
      <c r="BK71" s="57">
        <f>SUMIFS(tblFleet[Available_h],tblFleet[Date],$A71,tblFleet[Equipment_Class],"Excavator")</f>
        <v/>
      </c>
      <c r="BL71" s="57">
        <f>IF($B71=$B70,$BL70,0)+$BK71</f>
        <v/>
      </c>
      <c r="BM71" s="57">
        <f>$BM70+$BK71</f>
        <v/>
      </c>
      <c r="BN71" s="57">
        <f>SUMIFS(tblFleet[Operating_h],tblFleet[Date],$A71,tblFleet[Equipment_Class],"Excavator")</f>
        <v/>
      </c>
      <c r="BO71" s="57">
        <f>IF($B71=$B70,$BO70,0)+$BN71</f>
        <v/>
      </c>
      <c r="BP71" s="57">
        <f>$BP70+$BN71</f>
        <v/>
      </c>
      <c r="BQ71" s="67">
        <f>IFERROR(IF(($BH71)&gt;0,($BK71)/($BH71),""),"")</f>
        <v/>
      </c>
      <c r="BR71" s="67">
        <f>IFERROR(IF(($BI71)&gt;0,($BL71)/($BI71),""),"")</f>
        <v/>
      </c>
      <c r="BS71" s="67">
        <f>IFERROR(IF(($BJ71)&gt;0,($BM71)/($BJ71),""),"")</f>
        <v/>
      </c>
      <c r="BT71" s="67">
        <f>IFERROR(IF(($BK71)&gt;0,($BN71)/($BK71),""),"")</f>
        <v/>
      </c>
      <c r="BU71" s="67">
        <f>IFERROR(IF(($BL71)&gt;0,($BO71)/($BL71),""),"")</f>
        <v/>
      </c>
      <c r="BV71" s="67">
        <f>IFERROR(IF(($BM71)&gt;0,($BP71)/($BM71),""),"")</f>
        <v/>
      </c>
      <c r="BW71" s="57">
        <f>SUMIFS(tblFleet[Calendar_h],tblFleet[Date],$A71,tblFleet[Equipment_Class],"Haul Truck")</f>
        <v/>
      </c>
      <c r="BX71" s="57">
        <f>IF($B71=$B70,$BX70,0)+$BW71</f>
        <v/>
      </c>
      <c r="BY71" s="57">
        <f>$BY70+$BW71</f>
        <v/>
      </c>
      <c r="BZ71" s="57">
        <f>SUMIFS(tblFleet[Available_h],tblFleet[Date],$A71,tblFleet[Equipment_Class],"Haul Truck")</f>
        <v/>
      </c>
      <c r="CA71" s="57">
        <f>IF($B71=$B70,$CA70,0)+$BZ71</f>
        <v/>
      </c>
      <c r="CB71" s="57">
        <f>$CB70+$BZ71</f>
        <v/>
      </c>
      <c r="CC71" s="57">
        <f>SUMIFS(tblFleet[Operating_h],tblFleet[Date],$A71,tblFleet[Equipment_Class],"Haul Truck")</f>
        <v/>
      </c>
      <c r="CD71" s="57">
        <f>IF($B71=$B70,$CD70,0)+$CC71</f>
        <v/>
      </c>
      <c r="CE71" s="57">
        <f>$CE70+$CC71</f>
        <v/>
      </c>
      <c r="CF71" s="67">
        <f>IFERROR(IF(($BW71)&gt;0,($BZ71)/($BW71),""),"")</f>
        <v/>
      </c>
      <c r="CG71" s="67">
        <f>IFERROR(IF(($BX71)&gt;0,($CA71)/($BX71),""),"")</f>
        <v/>
      </c>
      <c r="CH71" s="67">
        <f>IFERROR(IF(($BY71)&gt;0,($CB71)/($BY71),""),"")</f>
        <v/>
      </c>
      <c r="CI71" s="67">
        <f>IFERROR(IF(($BZ71)&gt;0,($CC71)/($BZ71),""),"")</f>
        <v/>
      </c>
      <c r="CJ71" s="67">
        <f>IFERROR(IF(($CA71)&gt;0,($CD71)/($CA71),""),"")</f>
        <v/>
      </c>
      <c r="CK71" s="67">
        <f>IFERROR(IF(($CB71)&gt;0,($CE71)/($CB71),""),"")</f>
        <v/>
      </c>
      <c r="CL71" s="55">
        <f>IFERROR(IF(($BN71)&gt;0,($X71+$AD71)/($BN71),""),"")</f>
        <v/>
      </c>
      <c r="CM71" s="55">
        <f>IFERROR(IF(($BO71)&gt;0,($Y71+$AE71)/($BO71),""),"")</f>
        <v/>
      </c>
      <c r="CN71" s="55">
        <f>IFERROR(IF(($BP71)&gt;0,($Z71+$AF71)/($BP71),""),"")</f>
        <v/>
      </c>
      <c r="CO71" s="55">
        <f>IFERROR(IF(($CC71)&gt;0,($X71+$AD71)/($CC71),""),"")</f>
        <v/>
      </c>
      <c r="CP71" s="55">
        <f>IFERROR(IF(($CD71)&gt;0,($Y71+$AE71)/($CD71),""),"")</f>
        <v/>
      </c>
      <c r="CQ71" s="55">
        <f>IFERROR(IF(($CE71)&gt;0,($Z71+$AF71)/($CE71),""),"")</f>
        <v/>
      </c>
      <c r="CR71" s="55">
        <f>SUMIFS(tblPlant[Crushed_t],tblPlant[Date],$A71)</f>
        <v/>
      </c>
      <c r="CS71" s="55">
        <f>IF($B71=$B70,$CS70,0)+$CR71</f>
        <v/>
      </c>
      <c r="CT71" s="55">
        <f>$CT70+$CR71</f>
        <v/>
      </c>
      <c r="CU71" s="55">
        <f>SUMIFS(tblPlant[Milled_t],tblPlant[Date],$A71)</f>
        <v/>
      </c>
      <c r="CV71" s="55">
        <f>IF($B71=$B70,$CV70,0)+$CU71</f>
        <v/>
      </c>
      <c r="CW71" s="55">
        <f>$CW70+$CU71</f>
        <v/>
      </c>
      <c r="CX71" s="55">
        <f>SUMIFS(tblPlant[Feed_oz],tblPlant[Date],$A71)</f>
        <v/>
      </c>
      <c r="CY71" s="55">
        <f>IF($B71=$B70,$CY70,0)+$CX71</f>
        <v/>
      </c>
      <c r="CZ71" s="55">
        <f>$CZ70+$CX71</f>
        <v/>
      </c>
      <c r="DA71" s="55">
        <f>SUMIFS(tblPlant[Tails_oz],tblPlant[Date],$A71)</f>
        <v/>
      </c>
      <c r="DB71" s="55">
        <f>IF($B71=$B70,$DB70,0)+$DA71</f>
        <v/>
      </c>
      <c r="DC71" s="55">
        <f>$DC70+$DA71</f>
        <v/>
      </c>
      <c r="DD71" s="55">
        <f>SUMIFS(tblPlant[Recovered_oz],tblPlant[Date],$A71)</f>
        <v/>
      </c>
      <c r="DE71" s="55">
        <f>IF($B71=$B70,$DE70,0)+$DD71</f>
        <v/>
      </c>
      <c r="DF71" s="55">
        <f>$DF70+$DD71</f>
        <v/>
      </c>
      <c r="DG71" s="55">
        <f>SUMIFS(tblPlant[Milled_t],tblPlant[Date],$A71,tblPlant[Head_Grade_gpt],"&lt;&gt;")</f>
        <v/>
      </c>
      <c r="DH71" s="55">
        <f>IF($B71=$B70,$DH70,0)+$DG71</f>
        <v/>
      </c>
      <c r="DI71" s="55">
        <f>$DI70+$DG71</f>
        <v/>
      </c>
      <c r="DJ71" s="55">
        <f>SUMIFS(tblPlant[Milled_t],tblPlant[Date],$A71,tblPlant[Tails_Grade_gpt],"&lt;&gt;")</f>
        <v/>
      </c>
      <c r="DK71" s="55">
        <f>IF($B71=$B70,$DK70,0)+$DJ71</f>
        <v/>
      </c>
      <c r="DL71" s="55">
        <f>$DL70+$DJ71</f>
        <v/>
      </c>
      <c r="DM71" s="55">
        <f>SUMIFS(tblPlant[Feed_oz],tblPlant[Date],$A71,tblPlant[Tails_Grade_gpt],"&lt;&gt;")</f>
        <v/>
      </c>
      <c r="DN71" s="55">
        <f>IF($B71=$B70,$DN70,0)+$DM71</f>
        <v/>
      </c>
      <c r="DO71" s="55">
        <f>$DO70+$DM71</f>
        <v/>
      </c>
      <c r="DP71" s="55">
        <f>SUMIFS(tblPlant[Milled_t],tblPlant[Date],$A71,tblPlant[Mill_Run_h],"&lt;&gt;")</f>
        <v/>
      </c>
      <c r="DQ71" s="55">
        <f>IF($B71=$B70,$DQ70,0)+$DP71</f>
        <v/>
      </c>
      <c r="DR71" s="55">
        <f>$DR70+$DP71</f>
        <v/>
      </c>
      <c r="DS71" s="56">
        <f>IFERROR(IF(($DG71)&gt;0,($CX71*cfg_TroyOz)/($DG71),""),"")</f>
        <v/>
      </c>
      <c r="DT71" s="56">
        <f>IFERROR(IF(($DH71)&gt;0,($CY71*cfg_TroyOz)/($DH71),""),"")</f>
        <v/>
      </c>
      <c r="DU71" s="56">
        <f>IFERROR(IF(($DI71)&gt;0,($CZ71*cfg_TroyOz)/($DI71),""),"")</f>
        <v/>
      </c>
      <c r="DV71" s="56">
        <f>IFERROR(IF(($DJ71)&gt;0,($DA71*cfg_TroyOz)/($DJ71),""),"")</f>
        <v/>
      </c>
      <c r="DW71" s="56">
        <f>IFERROR(IF(($DK71)&gt;0,($DB71*cfg_TroyOz)/($DK71),""),"")</f>
        <v/>
      </c>
      <c r="DX71" s="56">
        <f>IFERROR(IF(($DL71)&gt;0,($DC71*cfg_TroyOz)/($DL71),""),"")</f>
        <v/>
      </c>
      <c r="DY71" s="67">
        <f>IFERROR(IF(($DM71)&gt;0,($DD71)/($DM71),""),"")</f>
        <v/>
      </c>
      <c r="DZ71" s="67">
        <f>IFERROR(IF(($DN71)&gt;0,($DE71)/($DN71),""),"")</f>
        <v/>
      </c>
      <c r="EA71" s="67">
        <f>IFERROR(IF(($DO71)&gt;0,($DF71)/($DO71),""),"")</f>
        <v/>
      </c>
      <c r="EB71" s="55">
        <f>SUMIFS(tblPlant[Gravity_Gold_oz],tblPlant[Date],$A71)</f>
        <v/>
      </c>
      <c r="EC71" s="55">
        <f>IF($B71=$B70,$EC70,0)+$EB71</f>
        <v/>
      </c>
      <c r="ED71" s="55">
        <f>$ED70+$EB71</f>
        <v/>
      </c>
      <c r="EE71" s="67">
        <f>IFERROR(IF(($DD71)&gt;0,($EB71)/($DD71),""),"")</f>
        <v/>
      </c>
      <c r="EF71" s="67">
        <f>IFERROR(IF(($DE71)&gt;0,($EC71)/($DE71),""),"")</f>
        <v/>
      </c>
      <c r="EG71" s="67">
        <f>IFERROR(IF(($DF71)&gt;0,($ED71)/($DF71),""),"")</f>
        <v/>
      </c>
      <c r="EH71" s="55">
        <f>SUMIFS(tblPlant[Gold_Poured_oz],tblPlant[Date],$A71)</f>
        <v/>
      </c>
      <c r="EI71" s="55">
        <f>IF($B71=$B70,$EI70,0)+$EH71</f>
        <v/>
      </c>
      <c r="EJ71" s="55">
        <f>$EJ70+$EH71</f>
        <v/>
      </c>
      <c r="EK71" s="57">
        <f>SUMIFS(tblPlant[Mill_Run_h],tblPlant[Date],$A71)</f>
        <v/>
      </c>
      <c r="EL71" s="57">
        <f>IF($B71=$B70,$EL70,0)+$EK71</f>
        <v/>
      </c>
      <c r="EM71" s="57">
        <f>$EM70+$EK71</f>
        <v/>
      </c>
      <c r="EN71" s="57">
        <f>SUMIFS(tblPlant[Mill_Planned_Maint_h],tblPlant[Date],$A71)</f>
        <v/>
      </c>
      <c r="EO71" s="57">
        <f>IF($B71=$B70,$EO70,0)+$EN71</f>
        <v/>
      </c>
      <c r="EP71" s="57">
        <f>$EP70+$EN71</f>
        <v/>
      </c>
      <c r="EQ71" s="57">
        <f>SUMIFS(tblPlant[Mill_Unplanned_Down_h],tblPlant[Date],$A71)</f>
        <v/>
      </c>
      <c r="ER71" s="57">
        <f>IF($B71=$B70,$ER70,0)+$EQ71</f>
        <v/>
      </c>
      <c r="ES71" s="57">
        <f>$ES70+$EQ71</f>
        <v/>
      </c>
      <c r="ET71" s="57">
        <f>IF(COUNTIFS(tblPlant[Date],$A71,tblPlant[Mill_Run_h],"&lt;&gt;")+COUNTIFS(tblPlant[Date],$A71,tblPlant[Mill_Planned_Maint_h],"&lt;&gt;")+COUNTIFS(tblPlant[Date],$A71,tblPlant[Mill_Unplanned_Down_h],"&lt;&gt;")&gt;0,cfg_HoursPerDay,0)</f>
        <v/>
      </c>
      <c r="EU71" s="57">
        <f>IF($B71=$B70,$EU70,0)+$ET71</f>
        <v/>
      </c>
      <c r="EV71" s="57">
        <f>$EV70+$ET71</f>
        <v/>
      </c>
      <c r="EW71" s="57">
        <f>SUMIFS(tblPlant[Crusher_Run_h],tblPlant[Date],$A71)</f>
        <v/>
      </c>
      <c r="EX71" s="57">
        <f>IF($B71=$B70,$EX70,0)+$EW71</f>
        <v/>
      </c>
      <c r="EY71" s="57">
        <f>$EY70+$EW71</f>
        <v/>
      </c>
      <c r="EZ71" s="55">
        <f>IFERROR(IF(($EK71)&gt;0,($DP71)/($EK71),""),"")</f>
        <v/>
      </c>
      <c r="FA71" s="55">
        <f>IFERROR(IF(($EL71)&gt;0,($DQ71)/($EL71),""),"")</f>
        <v/>
      </c>
      <c r="FB71" s="55">
        <f>IFERROR(IF(($EM71)&gt;0,($DR71)/($EM71),""),"")</f>
        <v/>
      </c>
      <c r="FC71" s="67">
        <f>IFERROR(IF(($ET71)&gt;0,($ET71-$EN71-$EQ71)/($ET71),""),"")</f>
        <v/>
      </c>
      <c r="FD71" s="67">
        <f>IFERROR(IF(($EU71)&gt;0,($EU71-$EO71-$ER71)/($EU71),""),"")</f>
        <v/>
      </c>
      <c r="FE71" s="67">
        <f>IFERROR(IF(($EV71)&gt;0,($EV71-$EP71-$ES71)/($EV71),""),"")</f>
        <v/>
      </c>
      <c r="FF71" s="67">
        <f>IFERROR(IF(($ET71-$EN71-$EQ71)&gt;0,($EK71)/($ET71-$EN71-$EQ71),""),"")</f>
        <v/>
      </c>
      <c r="FG71" s="67">
        <f>IFERROR(IF(($EU71-$EO71-$ER71)&gt;0,($EL71)/($EU71-$EO71-$ER71),""),"")</f>
        <v/>
      </c>
      <c r="FH71" s="67">
        <f>IFERROR(IF(($EV71-$EP71-$ES71)&gt;0,($EM71)/($EV71-$EP71-$ES71),""),"")</f>
        <v/>
      </c>
      <c r="FI71" s="55">
        <f>SUMIFS(tblPlant[Cyanide_kg],tblPlant[Date],$A71)</f>
        <v/>
      </c>
      <c r="FJ71" s="55">
        <f>IF($B71=$B70,$FJ70,0)+$FI71</f>
        <v/>
      </c>
      <c r="FK71" s="55">
        <f>$FK70+$FI71</f>
        <v/>
      </c>
      <c r="FL71" s="55">
        <f>SUMIFS(tblPlant[Lime_kg],tblPlant[Date],$A71)</f>
        <v/>
      </c>
      <c r="FM71" s="55">
        <f>IF($B71=$B70,$FM70,0)+$FL71</f>
        <v/>
      </c>
      <c r="FN71" s="55">
        <f>$FN70+$FL71</f>
        <v/>
      </c>
      <c r="FO71" s="55">
        <f>SUMIFS(tblPlant[Grinding_Media_kg],tblPlant[Date],$A71)</f>
        <v/>
      </c>
      <c r="FP71" s="55">
        <f>IF($B71=$B70,$FP70,0)+$FO71</f>
        <v/>
      </c>
      <c r="FQ71" s="55">
        <f>$FQ70+$FO71</f>
        <v/>
      </c>
      <c r="FR71" s="55">
        <f>SUMIFS(tblPlant[Power_kWh],tblPlant[Date],$A71)</f>
        <v/>
      </c>
      <c r="FS71" s="55">
        <f>IF($B71=$B70,$FS70,0)+$FR71</f>
        <v/>
      </c>
      <c r="FT71" s="55">
        <f>$FT70+$FR71</f>
        <v/>
      </c>
      <c r="FU71" s="55">
        <f>SUMIFS(tblPlant[Raw_Water_m3],tblPlant[Date],$A71)</f>
        <v/>
      </c>
      <c r="FV71" s="55">
        <f>IF($B71=$B70,$FV70,0)+$FU71</f>
        <v/>
      </c>
      <c r="FW71" s="55">
        <f>$FW70+$FU71</f>
        <v/>
      </c>
      <c r="FX71" s="56">
        <f>IFERROR(IF(($CU71)&gt;0,($FI71)/($CU71),""),"")</f>
        <v/>
      </c>
      <c r="FY71" s="56">
        <f>IFERROR(IF(($CV71)&gt;0,($FJ71)/($CV71),""),"")</f>
        <v/>
      </c>
      <c r="FZ71" s="56">
        <f>IFERROR(IF(($CW71)&gt;0,($FK71)/($CW71),""),"")</f>
        <v/>
      </c>
      <c r="GA71" s="56">
        <f>IFERROR(IF(($CU71)&gt;0,($FL71)/($CU71),""),"")</f>
        <v/>
      </c>
      <c r="GB71" s="56">
        <f>IFERROR(IF(($CV71)&gt;0,($FM71)/($CV71),""),"")</f>
        <v/>
      </c>
      <c r="GC71" s="56">
        <f>IFERROR(IF(($CW71)&gt;0,($FN71)/($CW71),""),"")</f>
        <v/>
      </c>
      <c r="GD71" s="56">
        <f>IFERROR(IF(($CU71)&gt;0,($FO71)/($CU71),""),"")</f>
        <v/>
      </c>
      <c r="GE71" s="56">
        <f>IFERROR(IF(($CV71)&gt;0,($FP71)/($CV71),""),"")</f>
        <v/>
      </c>
      <c r="GF71" s="56">
        <f>IFERROR(IF(($CW71)&gt;0,($FQ71)/($CW71),""),"")</f>
        <v/>
      </c>
      <c r="GG71" s="79">
        <f>IFERROR(IF(($CU71)&gt;0,($FR71)/($CU71),""),"")</f>
        <v/>
      </c>
      <c r="GH71" s="79">
        <f>IFERROR(IF(($CV71)&gt;0,($FS71)/($CV71),""),"")</f>
        <v/>
      </c>
      <c r="GI71" s="79">
        <f>IFERROR(IF(($CW71)&gt;0,($FT71)/($CW71),""),"")</f>
        <v/>
      </c>
      <c r="GJ71" s="56">
        <f>IFERROR(IF(($CU71)&gt;0,($FU71)/($CU71),""),"")</f>
        <v/>
      </c>
      <c r="GK71" s="56">
        <f>IFERROR(IF(($CV71)&gt;0,($FV71)/($CV71),""),"")</f>
        <v/>
      </c>
      <c r="GL71" s="56">
        <f>IFERROR(IF(($CW71)&gt;0,($FW71)/($CW71),""),"")</f>
        <v/>
      </c>
      <c r="GM71" s="55">
        <f>IF(SUMIFS(tblPlant[GIC_oz],tblPlant[Date],$A71)&gt;0,SUMIFS(tblPlant[GIC_oz],tblPlant[Date],$A71),"")</f>
        <v/>
      </c>
      <c r="GN71" s="55">
        <f>SUMIFS(tblGold[Gold_oz],tblGold[Date],$A71,tblGold[Type],"Shipment")</f>
        <v/>
      </c>
      <c r="GO71" s="55">
        <f>IF($B71=$B70,$GO70,0)+$GN71</f>
        <v/>
      </c>
      <c r="GP71" s="55">
        <f>$GP70+$GN71</f>
        <v/>
      </c>
      <c r="GQ71" s="55">
        <f>SUMIFS(tblGold[Gold_oz],tblGold[Date],$A71,tblGold[Type],"Sale")</f>
        <v/>
      </c>
      <c r="GR71" s="55">
        <f>IF($B71=$B70,$GR70,0)+$GQ71</f>
        <v/>
      </c>
      <c r="GS71" s="55">
        <f>$GS70+$GQ71</f>
        <v/>
      </c>
      <c r="GT71" s="55">
        <f>SUMIFS(tblGold[Dore_kg],tblGold[Date],$A71,tblGold[Type],"Shipment")</f>
        <v/>
      </c>
      <c r="GU71" s="55">
        <f>IF($B71=$B70,$GU70,0)+$GT71</f>
        <v/>
      </c>
      <c r="GV71" s="55">
        <f>$GV70+$GT71</f>
        <v/>
      </c>
      <c r="GW71" s="57">
        <f>SUMIFS(tblSafety[Hours_Total],tblSafety[Date],$A71)</f>
        <v/>
      </c>
      <c r="GX71" s="57">
        <f>IF($B71=$B70,$GX70,0)+$GW71</f>
        <v/>
      </c>
      <c r="GY71" s="57">
        <f>$GY70+$GW71</f>
        <v/>
      </c>
      <c r="GZ71" s="62">
        <f>SUMIFS(tblSafety[Fatality],tblSafety[Date],$A71)</f>
        <v/>
      </c>
      <c r="HA71" s="62">
        <f>IF($B71=$B70,$HA70,0)+$GZ71</f>
        <v/>
      </c>
      <c r="HB71" s="62">
        <f>$HB70+$GZ71</f>
        <v/>
      </c>
      <c r="HC71" s="62">
        <f>SUMIFS(tblSafety[LTI],tblSafety[Date],$A71)</f>
        <v/>
      </c>
      <c r="HD71" s="62">
        <f>IF($B71=$B70,$HD70,0)+$HC71</f>
        <v/>
      </c>
      <c r="HE71" s="62">
        <f>$HE70+$HC71</f>
        <v/>
      </c>
      <c r="HF71" s="62">
        <f>SUMIFS(tblSafety[RWI],tblSafety[Date],$A71)</f>
        <v/>
      </c>
      <c r="HG71" s="62">
        <f>IF($B71=$B70,$HG70,0)+$HF71</f>
        <v/>
      </c>
      <c r="HH71" s="62">
        <f>$HH70+$HF71</f>
        <v/>
      </c>
      <c r="HI71" s="62">
        <f>SUMIFS(tblSafety[MTI],tblSafety[Date],$A71)</f>
        <v/>
      </c>
      <c r="HJ71" s="62">
        <f>IF($B71=$B70,$HJ70,0)+$HI71</f>
        <v/>
      </c>
      <c r="HK71" s="62">
        <f>$HK70+$HI71</f>
        <v/>
      </c>
      <c r="HL71" s="62">
        <f>SUMIFS(tblSafety[FAI],tblSafety[Date],$A71)</f>
        <v/>
      </c>
      <c r="HM71" s="62">
        <f>IF($B71=$B70,$HM70,0)+$HL71</f>
        <v/>
      </c>
      <c r="HN71" s="62">
        <f>$HN70+$HL71</f>
        <v/>
      </c>
      <c r="HO71" s="62">
        <f>SUMIFS(tblSafety[Recordables],tblSafety[Date],$A71)</f>
        <v/>
      </c>
      <c r="HP71" s="62">
        <f>IF($B71=$B70,$HP70,0)+$HO71</f>
        <v/>
      </c>
      <c r="HQ71" s="62">
        <f>$HQ70+$HO71</f>
        <v/>
      </c>
      <c r="HR71" s="62">
        <f>SUMIFS(tblSafety[Near_Miss],tblSafety[Date],$A71)</f>
        <v/>
      </c>
      <c r="HS71" s="62">
        <f>IF($B71=$B70,$HS70,0)+$HR71</f>
        <v/>
      </c>
      <c r="HT71" s="62">
        <f>$HT70+$HR71</f>
        <v/>
      </c>
      <c r="HU71" s="62">
        <f>SUMIFS(tblSafety[Hazard_Reports],tblSafety[Date],$A71)</f>
        <v/>
      </c>
      <c r="HV71" s="62">
        <f>IF($B71=$B70,$HV70,0)+$HU71</f>
        <v/>
      </c>
      <c r="HW71" s="62">
        <f>$HW70+$HU71</f>
        <v/>
      </c>
      <c r="HX71" s="62">
        <f>SUMIFS(tblSafety[HPI],tblSafety[Date],$A71)</f>
        <v/>
      </c>
      <c r="HY71" s="62">
        <f>IF($B71=$B70,$HY70,0)+$HX71</f>
        <v/>
      </c>
      <c r="HZ71" s="62">
        <f>$HZ70+$HX71</f>
        <v/>
      </c>
      <c r="IA71" s="62">
        <f>SUMIFS(tblSafety[Env_Incidents],tblSafety[Date],$A71)</f>
        <v/>
      </c>
      <c r="IB71" s="62">
        <f>IF($B71=$B70,$IB70,0)+$IA71</f>
        <v/>
      </c>
      <c r="IC71" s="62">
        <f>$IC70+$IA71</f>
        <v/>
      </c>
      <c r="ID71" s="62">
        <f>SUMIFS(tblSafety[Community_Incidents],tblSafety[Date],$A71)</f>
        <v/>
      </c>
      <c r="IE71" s="62">
        <f>IF($B71=$B70,$IE70,0)+$ID71</f>
        <v/>
      </c>
      <c r="IF71" s="62">
        <f>$IF70+$ID71</f>
        <v/>
      </c>
      <c r="IG71" s="62">
        <f>SUMIFS(tblSafety[Vehicle_Incidents],tblSafety[Date],$A71)</f>
        <v/>
      </c>
      <c r="IH71" s="62">
        <f>IF($B71=$B70,$IH70,0)+$IG71</f>
        <v/>
      </c>
      <c r="II71" s="62">
        <f>$II70+$IG71</f>
        <v/>
      </c>
      <c r="IJ71" s="62">
        <f>SUMIFS(tblSafety[Toolbox_Talks],tblSafety[Date],$A71)</f>
        <v/>
      </c>
      <c r="IK71" s="62">
        <f>IF($B71=$B70,$IK70,0)+$IJ71</f>
        <v/>
      </c>
      <c r="IL71" s="62">
        <f>$IL70+$IJ71</f>
        <v/>
      </c>
      <c r="IM71" s="62">
        <f>SUMIFS(tblSafety[Inspections],tblSafety[Date],$A71)</f>
        <v/>
      </c>
      <c r="IN71" s="62">
        <f>IF($B71=$B70,$IN70,0)+$IM71</f>
        <v/>
      </c>
      <c r="IO71" s="62">
        <f>$IO70+$IM71</f>
        <v/>
      </c>
      <c r="IP71" s="56">
        <f>IFERROR((SUMIFS(tblSafety[Recordables],tblSafety[Date],"&gt;="&amp;EDATE($E71,-12),tblSafety[Date],"&lt;="&amp;$A71)+SUMIFS(tblSafetyHistory[Recordables],tblSafetyHistory[Month],"&gt;="&amp;EDATE($E71,-12),tblSafetyHistory[Month],"&lt;"&amp;$E71,tblSafetyHistory[Use],1))/(SUMIFS(tblSafety[Hours_Total],tblSafety[Date],"&gt;="&amp;EDATE($E71,-12),tblSafety[Date],"&lt;="&amp;$A71)+SUMIFS(tblSafetyHistory[Hours_Total],tblSafetyHistory[Month],"&gt;="&amp;EDATE($E71,-12),tblSafetyHistory[Month],"&lt;"&amp;$E71,tblSafetyHistory[Use],1))*cfg_RateBasisHours,"")</f>
        <v/>
      </c>
      <c r="IQ71" s="56">
        <f>IFERROR((SUMIFS(tblSafety[LTI],tblSafety[Date],"&gt;="&amp;EDATE($E71,-12),tblSafety[Date],"&lt;="&amp;$A71)+SUMIFS(tblSafetyHistory[LTI],tblSafetyHistory[Month],"&gt;="&amp;EDATE($E71,-12),tblSafetyHistory[Month],"&lt;"&amp;$E71,tblSafetyHistory[Use],1))/(SUMIFS(tblSafety[Hours_Total],tblSafety[Date],"&gt;="&amp;EDATE($E71,-12),tblSafety[Date],"&lt;="&amp;$A71)+SUMIFS(tblSafetyHistory[Hours_Total],tblSafetyHistory[Month],"&gt;="&amp;EDATE($E71,-12),tblSafetyHistory[Month],"&lt;"&amp;$E71,tblSafetyHistory[Use],1))*cfg_RateBasisHours,"")</f>
        <v/>
      </c>
      <c r="IR71" s="62">
        <f>IF(MAX(N(cfg_PriorLTIDate),_xlfn.MAXIFS(tblSafety[Date],tblSafety[LTI],"&gt;0",tblSafety[Date],"&lt;="&amp;$A71))=0,"",$A71-MAX(N(cfg_PriorLTIDate),_xlfn.MAXIFS(tblSafety[Date],tblSafety[LTI],"&gt;0",tblSafety[Date],"&lt;="&amp;$A71)))</f>
        <v/>
      </c>
      <c r="IS71" s="55">
        <f>SUMIFS(tblBudget[Ore_Mined_t],tblBudget[Month],$E71)</f>
        <v/>
      </c>
      <c r="IT71" s="55">
        <f>$IS71*$C71/$D71</f>
        <v/>
      </c>
      <c r="IU71" s="55">
        <f>SUMIFS(tblBudget[Ore_Mined_t],tblBudget[Month],"&lt;"&amp;$E71)+$IT71</f>
        <v/>
      </c>
      <c r="IV71" s="55">
        <f>SUMIFS(tblBudget[Ore_oz],tblBudget[Month],$E71)</f>
        <v/>
      </c>
      <c r="IW71" s="55">
        <f>$IV71*$C71/$D71</f>
        <v/>
      </c>
      <c r="IX71" s="55">
        <f>SUMIFS(tblBudget[Ore_oz],tblBudget[Month],"&lt;"&amp;$E71)+$IW71</f>
        <v/>
      </c>
      <c r="IY71" s="55">
        <f>SUMIFS(tblBudget[Ore_Mined_t],tblBudget[Month],$E71)</f>
        <v/>
      </c>
      <c r="IZ71" s="55">
        <f>$IY71*$C71/$D71</f>
        <v/>
      </c>
      <c r="JA71" s="55">
        <f>SUMIFS(tblBudget[Ore_Mined_t],tblBudget[Month],"&lt;"&amp;$E71)+$IZ71</f>
        <v/>
      </c>
      <c r="JB71" s="56">
        <f>IFERROR(IF(($IY71)&gt;0,($IV71*cfg_TroyOz)/($IY71),""),"")</f>
        <v/>
      </c>
      <c r="JC71" s="56">
        <f>IFERROR(IF(($IZ71)&gt;0,($IW71*cfg_TroyOz)/($IZ71),""),"")</f>
        <v/>
      </c>
      <c r="JD71" s="56">
        <f>IFERROR(IF(($JA71)&gt;0,($IX71*cfg_TroyOz)/($JA71),""),"")</f>
        <v/>
      </c>
      <c r="JE71" s="55">
        <f>SUMIFS(tblBudget[Waste_t],tblBudget[Month],$E71)</f>
        <v/>
      </c>
      <c r="JF71" s="55">
        <f>$JE71*$C71/$D71</f>
        <v/>
      </c>
      <c r="JG71" s="55">
        <f>SUMIFS(tblBudget[Waste_t],tblBudget[Month],"&lt;"&amp;$E71)+$JF71</f>
        <v/>
      </c>
      <c r="JH71" s="55">
        <f>SUMIFS(tblBudget[TMM_t],tblBudget[Month],$E71)</f>
        <v/>
      </c>
      <c r="JI71" s="55">
        <f>$JH71*$C71/$D71</f>
        <v/>
      </c>
      <c r="JJ71" s="55">
        <f>SUMIFS(tblBudget[TMM_t],tblBudget[Month],"&lt;"&amp;$E71)+$JI71</f>
        <v/>
      </c>
      <c r="JK71" s="56">
        <f>IFERROR(IF(($IS71)&gt;0,($JE71)/($IS71),""),"")</f>
        <v/>
      </c>
      <c r="JL71" s="56">
        <f>IFERROR(IF(($IT71)&gt;0,($JF71)/($IT71),""),"")</f>
        <v/>
      </c>
      <c r="JM71" s="56">
        <f>IFERROR(IF(($IU71)&gt;0,($JG71)/($IU71),""),"")</f>
        <v/>
      </c>
      <c r="JN71" s="55">
        <f>SUMIFS(tblBudget[Drill_m],tblBudget[Month],$E71)</f>
        <v/>
      </c>
      <c r="JO71" s="55">
        <f>$JN71*$C71/$D71</f>
        <v/>
      </c>
      <c r="JP71" s="55">
        <f>SUMIFS(tblBudget[Drill_m],tblBudget[Month],"&lt;"&amp;$E71)+$JO71</f>
        <v/>
      </c>
      <c r="JQ71" s="55">
        <f>SUMIFS(tblBudget[Diesel_L],tblBudget[Month],$E71)</f>
        <v/>
      </c>
      <c r="JR71" s="55">
        <f>$JQ71*$C71/$D71</f>
        <v/>
      </c>
      <c r="JS71" s="55">
        <f>SUMIFS(tblBudget[Diesel_L],tblBudget[Month],"&lt;"&amp;$E71)+$JR71</f>
        <v/>
      </c>
      <c r="JT71" s="55">
        <f>SUMIFS(tblBudget[Milled_t],tblBudget[Month],$E71)</f>
        <v/>
      </c>
      <c r="JU71" s="55">
        <f>$JT71*$C71/$D71</f>
        <v/>
      </c>
      <c r="JV71" s="55">
        <f>SUMIFS(tblBudget[Milled_t],tblBudget[Month],"&lt;"&amp;$E71)+$JU71</f>
        <v/>
      </c>
      <c r="JW71" s="55">
        <f>SUMIFS(tblBudget[Feed_oz],tblBudget[Month],$E71)</f>
        <v/>
      </c>
      <c r="JX71" s="55">
        <f>$JW71*$C71/$D71</f>
        <v/>
      </c>
      <c r="JY71" s="55">
        <f>SUMIFS(tblBudget[Feed_oz],tblBudget[Month],"&lt;"&amp;$E71)+$JX71</f>
        <v/>
      </c>
      <c r="JZ71" s="55">
        <f>SUMIFS(tblBudget[Recovered_oz],tblBudget[Month],$E71)</f>
        <v/>
      </c>
      <c r="KA71" s="55">
        <f>$JZ71*$C71/$D71</f>
        <v/>
      </c>
      <c r="KB71" s="55">
        <f>SUMIFS(tblBudget[Recovered_oz],tblBudget[Month],"&lt;"&amp;$E71)+$KA71</f>
        <v/>
      </c>
      <c r="KC71" s="55">
        <f>SUMIFS(tblBudget[Milled_t],tblBudget[Month],$E71)</f>
        <v/>
      </c>
      <c r="KD71" s="55">
        <f>$KC71*$C71/$D71</f>
        <v/>
      </c>
      <c r="KE71" s="55">
        <f>SUMIFS(tblBudget[Milled_t],tblBudget[Month],"&lt;"&amp;$E71)+$KD71</f>
        <v/>
      </c>
      <c r="KF71" s="55">
        <f>SUMIFS(tblBudget[Feed_oz],tblBudget[Month],$E71)</f>
        <v/>
      </c>
      <c r="KG71" s="55">
        <f>$KF71*$C71/$D71</f>
        <v/>
      </c>
      <c r="KH71" s="55">
        <f>SUMIFS(tblBudget[Feed_oz],tblBudget[Month],"&lt;"&amp;$E71)+$KG71</f>
        <v/>
      </c>
      <c r="KI71" s="56">
        <f>IFERROR(IF(($KC71)&gt;0,($JW71*cfg_TroyOz)/($KC71),""),"")</f>
        <v/>
      </c>
      <c r="KJ71" s="56">
        <f>IFERROR(IF(($KD71)&gt;0,($JX71*cfg_TroyOz)/($KD71),""),"")</f>
        <v/>
      </c>
      <c r="KK71" s="56">
        <f>IFERROR(IF(($KE71)&gt;0,($JY71*cfg_TroyOz)/($KE71),""),"")</f>
        <v/>
      </c>
      <c r="KL71" s="67">
        <f>IFERROR(IF(($KF71)&gt;0,($JZ71)/($KF71),""),"")</f>
        <v/>
      </c>
      <c r="KM71" s="67">
        <f>IFERROR(IF(($KG71)&gt;0,($KA71)/($KG71),""),"")</f>
        <v/>
      </c>
      <c r="KN71" s="67">
        <f>IFERROR(IF(($KH71)&gt;0,($KB71)/($KH71),""),"")</f>
        <v/>
      </c>
      <c r="KO71" s="55">
        <f>SUMIFS(tblBudget[Gold_Poured_oz],tblBudget[Month],$E71)</f>
        <v/>
      </c>
      <c r="KP71" s="55">
        <f>$KO71*$C71/$D71</f>
        <v/>
      </c>
      <c r="KQ71" s="55">
        <f>SUMIFS(tblBudget[Gold_Poured_oz],tblBudget[Month],"&lt;"&amp;$E71)+$KP71</f>
        <v/>
      </c>
      <c r="KR71" s="57">
        <f>SUMIFS(tblBudget[Hours_Worked],tblBudget[Month],$E71)</f>
        <v/>
      </c>
      <c r="KS71" s="57">
        <f>$KR71*$C71/$D71</f>
        <v/>
      </c>
      <c r="KT71" s="57">
        <f>SUMIFS(tblBudget[Hours_Worked],tblBudget[Month],"&lt;"&amp;$E71)+$KS71</f>
        <v/>
      </c>
    </row>
    <row r="72">
      <c r="A72" s="54" t="n">
        <v>46093</v>
      </c>
      <c r="B72">
        <f>MONTH($A72)</f>
        <v/>
      </c>
      <c r="C72">
        <f>DAY($A72)</f>
        <v/>
      </c>
      <c r="D72">
        <f>DAY(EOMONTH($A72,0))</f>
        <v/>
      </c>
      <c r="E72" s="54">
        <f>DATE(YEAR($A72),MONTH($A72),1)</f>
        <v/>
      </c>
      <c r="F72" s="55">
        <f>SUMIFS(tblMovement[Tonnes_t],tblMovement[Date],$A72,tblMovement[Is_Ore],1,tblMovement[Source_Type],"Pit")</f>
        <v/>
      </c>
      <c r="G72" s="55">
        <f>IF($B72=$B71,$G71,0)+$F72</f>
        <v/>
      </c>
      <c r="H72" s="55">
        <f>$H71+$F72</f>
        <v/>
      </c>
      <c r="I72" s="55">
        <f>SUMIFS(tblMovement[Ore_oz],tblMovement[Date],$A72,tblMovement[Source_Type],"Pit")</f>
        <v/>
      </c>
      <c r="J72" s="55">
        <f>IF($B72=$B71,$J71,0)+$I72</f>
        <v/>
      </c>
      <c r="K72" s="55">
        <f>$K71+$I72</f>
        <v/>
      </c>
      <c r="L72" s="55">
        <f>SUMIFS(tblMovement[Tonnes_t],tblMovement[Date],$A72,tblMovement[Is_Ore],1,tblMovement[Source_Type],"Pit",tblMovement[Grade_gpt],"&lt;&gt;")</f>
        <v/>
      </c>
      <c r="M72" s="55">
        <f>IF($B72=$B71,$M71,0)+$L72</f>
        <v/>
      </c>
      <c r="N72" s="55">
        <f>$N71+$L72</f>
        <v/>
      </c>
      <c r="O72" s="56">
        <f>IFERROR(IF(($L72)&gt;0,($I72*cfg_TroyOz)/($L72),""),"")</f>
        <v/>
      </c>
      <c r="P72" s="56">
        <f>IFERROR(IF(($M72)&gt;0,($J72*cfg_TroyOz)/($M72),""),"")</f>
        <v/>
      </c>
      <c r="Q72" s="56">
        <f>IFERROR(IF(($N72)&gt;0,($K72*cfg_TroyOz)/($N72),""),"")</f>
        <v/>
      </c>
      <c r="R72" s="55">
        <f>$F72-$L72</f>
        <v/>
      </c>
      <c r="S72" s="55">
        <f>IF($B72=$B71,$S71,0)+$R72</f>
        <v/>
      </c>
      <c r="T72" s="55">
        <f>$T71+$R72</f>
        <v/>
      </c>
      <c r="U72" s="55">
        <f>SUMIFS(tblMovement[Tonnes_t],tblMovement[Date],$A72,tblMovement[Is_Ore],0,tblMovement[Source_Type],"Pit")</f>
        <v/>
      </c>
      <c r="V72" s="55">
        <f>IF($B72=$B71,$V71,0)+$U72</f>
        <v/>
      </c>
      <c r="W72" s="55">
        <f>$W71+$U72</f>
        <v/>
      </c>
      <c r="X72" s="55">
        <f>$F72+$U72</f>
        <v/>
      </c>
      <c r="Y72" s="55">
        <f>IF($B72=$B71,$Y71,0)+$X72</f>
        <v/>
      </c>
      <c r="Z72" s="55">
        <f>$Z71+$X72</f>
        <v/>
      </c>
      <c r="AA72" s="56">
        <f>IFERROR(IF(($F72)&gt;0,($U72)/($F72),""),"")</f>
        <v/>
      </c>
      <c r="AB72" s="56">
        <f>IFERROR(IF(($G72)&gt;0,($V72)/($G72),""),"")</f>
        <v/>
      </c>
      <c r="AC72" s="56">
        <f>IFERROR(IF(($H72)&gt;0,($W72)/($H72),""),"")</f>
        <v/>
      </c>
      <c r="AD72" s="55">
        <f>SUMIFS(tblMovement[Tonnes_t],tblMovement[Date],$A72,tblMovement[Source_Type],"Stockpile")</f>
        <v/>
      </c>
      <c r="AE72" s="55">
        <f>IF($B72=$B71,$AE71,0)+$AD72</f>
        <v/>
      </c>
      <c r="AF72" s="55">
        <f>$AF71+$AD72</f>
        <v/>
      </c>
      <c r="AG72" s="55">
        <f>SUMIFS(tblMovement[Tonnes_t],tblMovement[Date],$A72)</f>
        <v/>
      </c>
      <c r="AH72" s="55">
        <f>IF($B72=$B71,$AH71,0)+$AG72</f>
        <v/>
      </c>
      <c r="AI72" s="55">
        <f>$AI71+$AG72</f>
        <v/>
      </c>
      <c r="AJ72" s="55">
        <f>$AG72-$X72-$AD72</f>
        <v/>
      </c>
      <c r="AK72" s="55">
        <f>IF($B72=$B71,$AK71,0)+$AJ72</f>
        <v/>
      </c>
      <c r="AL72" s="55">
        <f>$AL71+$AJ72</f>
        <v/>
      </c>
      <c r="AM72" s="55">
        <f>SUMIFS(tblMiningDaily[Drill_m],tblMiningDaily[Date],$A72)</f>
        <v/>
      </c>
      <c r="AN72" s="55">
        <f>IF($B72=$B71,$AN71,0)+$AM72</f>
        <v/>
      </c>
      <c r="AO72" s="55">
        <f>$AO71+$AM72</f>
        <v/>
      </c>
      <c r="AP72" s="55">
        <f>SUMIFS(tblMiningDaily[GC_Drill_m],tblMiningDaily[Date],$A72)</f>
        <v/>
      </c>
      <c r="AQ72" s="55">
        <f>IF($B72=$B71,$AQ71,0)+$AP72</f>
        <v/>
      </c>
      <c r="AR72" s="55">
        <f>$AR71+$AP72</f>
        <v/>
      </c>
      <c r="AS72" s="55">
        <f>SUMIFS(tblMiningDaily[Blast_t],tblMiningDaily[Date],$A72)</f>
        <v/>
      </c>
      <c r="AT72" s="55">
        <f>IF($B72=$B71,$AT71,0)+$AS72</f>
        <v/>
      </c>
      <c r="AU72" s="55">
        <f>$AU71+$AS72</f>
        <v/>
      </c>
      <c r="AV72" s="55">
        <f>SUMIFS(tblMiningDaily[Explosives_kg],tblMiningDaily[Date],$A72)</f>
        <v/>
      </c>
      <c r="AW72" s="55">
        <f>IF($B72=$B71,$AW71,0)+$AV72</f>
        <v/>
      </c>
      <c r="AX72" s="55">
        <f>$AX71+$AV72</f>
        <v/>
      </c>
      <c r="AY72" s="56">
        <f>IFERROR(IF(($AS72)&gt;0,($AV72)/($AS72),""),"")</f>
        <v/>
      </c>
      <c r="AZ72" s="56">
        <f>IFERROR(IF(($AT72)&gt;0,($AW72)/($AT72),""),"")</f>
        <v/>
      </c>
      <c r="BA72" s="56">
        <f>IFERROR(IF(($AU72)&gt;0,($AX72)/($AU72),""),"")</f>
        <v/>
      </c>
      <c r="BB72" s="55">
        <f>SUMIFS(tblMiningDaily[Diesel_L],tblMiningDaily[Date],$A72)</f>
        <v/>
      </c>
      <c r="BC72" s="55">
        <f>IF($B72=$B71,$BC71,0)+$BB72</f>
        <v/>
      </c>
      <c r="BD72" s="55">
        <f>$BD71+$BB72</f>
        <v/>
      </c>
      <c r="BE72" s="55">
        <f>SUMIFS(tblMiningDaily[Dewatering_m3],tblMiningDaily[Date],$A72)</f>
        <v/>
      </c>
      <c r="BF72" s="55">
        <f>IF($B72=$B71,$BF71,0)+$BE72</f>
        <v/>
      </c>
      <c r="BG72" s="55">
        <f>$BG71+$BE72</f>
        <v/>
      </c>
      <c r="BH72" s="57">
        <f>SUMIFS(tblFleet[Calendar_h],tblFleet[Date],$A72,tblFleet[Equipment_Class],"Excavator")</f>
        <v/>
      </c>
      <c r="BI72" s="57">
        <f>IF($B72=$B71,$BI71,0)+$BH72</f>
        <v/>
      </c>
      <c r="BJ72" s="57">
        <f>$BJ71+$BH72</f>
        <v/>
      </c>
      <c r="BK72" s="57">
        <f>SUMIFS(tblFleet[Available_h],tblFleet[Date],$A72,tblFleet[Equipment_Class],"Excavator")</f>
        <v/>
      </c>
      <c r="BL72" s="57">
        <f>IF($B72=$B71,$BL71,0)+$BK72</f>
        <v/>
      </c>
      <c r="BM72" s="57">
        <f>$BM71+$BK72</f>
        <v/>
      </c>
      <c r="BN72" s="57">
        <f>SUMIFS(tblFleet[Operating_h],tblFleet[Date],$A72,tblFleet[Equipment_Class],"Excavator")</f>
        <v/>
      </c>
      <c r="BO72" s="57">
        <f>IF($B72=$B71,$BO71,0)+$BN72</f>
        <v/>
      </c>
      <c r="BP72" s="57">
        <f>$BP71+$BN72</f>
        <v/>
      </c>
      <c r="BQ72" s="67">
        <f>IFERROR(IF(($BH72)&gt;0,($BK72)/($BH72),""),"")</f>
        <v/>
      </c>
      <c r="BR72" s="67">
        <f>IFERROR(IF(($BI72)&gt;0,($BL72)/($BI72),""),"")</f>
        <v/>
      </c>
      <c r="BS72" s="67">
        <f>IFERROR(IF(($BJ72)&gt;0,($BM72)/($BJ72),""),"")</f>
        <v/>
      </c>
      <c r="BT72" s="67">
        <f>IFERROR(IF(($BK72)&gt;0,($BN72)/($BK72),""),"")</f>
        <v/>
      </c>
      <c r="BU72" s="67">
        <f>IFERROR(IF(($BL72)&gt;0,($BO72)/($BL72),""),"")</f>
        <v/>
      </c>
      <c r="BV72" s="67">
        <f>IFERROR(IF(($BM72)&gt;0,($BP72)/($BM72),""),"")</f>
        <v/>
      </c>
      <c r="BW72" s="57">
        <f>SUMIFS(tblFleet[Calendar_h],tblFleet[Date],$A72,tblFleet[Equipment_Class],"Haul Truck")</f>
        <v/>
      </c>
      <c r="BX72" s="57">
        <f>IF($B72=$B71,$BX71,0)+$BW72</f>
        <v/>
      </c>
      <c r="BY72" s="57">
        <f>$BY71+$BW72</f>
        <v/>
      </c>
      <c r="BZ72" s="57">
        <f>SUMIFS(tblFleet[Available_h],tblFleet[Date],$A72,tblFleet[Equipment_Class],"Haul Truck")</f>
        <v/>
      </c>
      <c r="CA72" s="57">
        <f>IF($B72=$B71,$CA71,0)+$BZ72</f>
        <v/>
      </c>
      <c r="CB72" s="57">
        <f>$CB71+$BZ72</f>
        <v/>
      </c>
      <c r="CC72" s="57">
        <f>SUMIFS(tblFleet[Operating_h],tblFleet[Date],$A72,tblFleet[Equipment_Class],"Haul Truck")</f>
        <v/>
      </c>
      <c r="CD72" s="57">
        <f>IF($B72=$B71,$CD71,0)+$CC72</f>
        <v/>
      </c>
      <c r="CE72" s="57">
        <f>$CE71+$CC72</f>
        <v/>
      </c>
      <c r="CF72" s="67">
        <f>IFERROR(IF(($BW72)&gt;0,($BZ72)/($BW72),""),"")</f>
        <v/>
      </c>
      <c r="CG72" s="67">
        <f>IFERROR(IF(($BX72)&gt;0,($CA72)/($BX72),""),"")</f>
        <v/>
      </c>
      <c r="CH72" s="67">
        <f>IFERROR(IF(($BY72)&gt;0,($CB72)/($BY72),""),"")</f>
        <v/>
      </c>
      <c r="CI72" s="67">
        <f>IFERROR(IF(($BZ72)&gt;0,($CC72)/($BZ72),""),"")</f>
        <v/>
      </c>
      <c r="CJ72" s="67">
        <f>IFERROR(IF(($CA72)&gt;0,($CD72)/($CA72),""),"")</f>
        <v/>
      </c>
      <c r="CK72" s="67">
        <f>IFERROR(IF(($CB72)&gt;0,($CE72)/($CB72),""),"")</f>
        <v/>
      </c>
      <c r="CL72" s="55">
        <f>IFERROR(IF(($BN72)&gt;0,($X72+$AD72)/($BN72),""),"")</f>
        <v/>
      </c>
      <c r="CM72" s="55">
        <f>IFERROR(IF(($BO72)&gt;0,($Y72+$AE72)/($BO72),""),"")</f>
        <v/>
      </c>
      <c r="CN72" s="55">
        <f>IFERROR(IF(($BP72)&gt;0,($Z72+$AF72)/($BP72),""),"")</f>
        <v/>
      </c>
      <c r="CO72" s="55">
        <f>IFERROR(IF(($CC72)&gt;0,($X72+$AD72)/($CC72),""),"")</f>
        <v/>
      </c>
      <c r="CP72" s="55">
        <f>IFERROR(IF(($CD72)&gt;0,($Y72+$AE72)/($CD72),""),"")</f>
        <v/>
      </c>
      <c r="CQ72" s="55">
        <f>IFERROR(IF(($CE72)&gt;0,($Z72+$AF72)/($CE72),""),"")</f>
        <v/>
      </c>
      <c r="CR72" s="55">
        <f>SUMIFS(tblPlant[Crushed_t],tblPlant[Date],$A72)</f>
        <v/>
      </c>
      <c r="CS72" s="55">
        <f>IF($B72=$B71,$CS71,0)+$CR72</f>
        <v/>
      </c>
      <c r="CT72" s="55">
        <f>$CT71+$CR72</f>
        <v/>
      </c>
      <c r="CU72" s="55">
        <f>SUMIFS(tblPlant[Milled_t],tblPlant[Date],$A72)</f>
        <v/>
      </c>
      <c r="CV72" s="55">
        <f>IF($B72=$B71,$CV71,0)+$CU72</f>
        <v/>
      </c>
      <c r="CW72" s="55">
        <f>$CW71+$CU72</f>
        <v/>
      </c>
      <c r="CX72" s="55">
        <f>SUMIFS(tblPlant[Feed_oz],tblPlant[Date],$A72)</f>
        <v/>
      </c>
      <c r="CY72" s="55">
        <f>IF($B72=$B71,$CY71,0)+$CX72</f>
        <v/>
      </c>
      <c r="CZ72" s="55">
        <f>$CZ71+$CX72</f>
        <v/>
      </c>
      <c r="DA72" s="55">
        <f>SUMIFS(tblPlant[Tails_oz],tblPlant[Date],$A72)</f>
        <v/>
      </c>
      <c r="DB72" s="55">
        <f>IF($B72=$B71,$DB71,0)+$DA72</f>
        <v/>
      </c>
      <c r="DC72" s="55">
        <f>$DC71+$DA72</f>
        <v/>
      </c>
      <c r="DD72" s="55">
        <f>SUMIFS(tblPlant[Recovered_oz],tblPlant[Date],$A72)</f>
        <v/>
      </c>
      <c r="DE72" s="55">
        <f>IF($B72=$B71,$DE71,0)+$DD72</f>
        <v/>
      </c>
      <c r="DF72" s="55">
        <f>$DF71+$DD72</f>
        <v/>
      </c>
      <c r="DG72" s="55">
        <f>SUMIFS(tblPlant[Milled_t],tblPlant[Date],$A72,tblPlant[Head_Grade_gpt],"&lt;&gt;")</f>
        <v/>
      </c>
      <c r="DH72" s="55">
        <f>IF($B72=$B71,$DH71,0)+$DG72</f>
        <v/>
      </c>
      <c r="DI72" s="55">
        <f>$DI71+$DG72</f>
        <v/>
      </c>
      <c r="DJ72" s="55">
        <f>SUMIFS(tblPlant[Milled_t],tblPlant[Date],$A72,tblPlant[Tails_Grade_gpt],"&lt;&gt;")</f>
        <v/>
      </c>
      <c r="DK72" s="55">
        <f>IF($B72=$B71,$DK71,0)+$DJ72</f>
        <v/>
      </c>
      <c r="DL72" s="55">
        <f>$DL71+$DJ72</f>
        <v/>
      </c>
      <c r="DM72" s="55">
        <f>SUMIFS(tblPlant[Feed_oz],tblPlant[Date],$A72,tblPlant[Tails_Grade_gpt],"&lt;&gt;")</f>
        <v/>
      </c>
      <c r="DN72" s="55">
        <f>IF($B72=$B71,$DN71,0)+$DM72</f>
        <v/>
      </c>
      <c r="DO72" s="55">
        <f>$DO71+$DM72</f>
        <v/>
      </c>
      <c r="DP72" s="55">
        <f>SUMIFS(tblPlant[Milled_t],tblPlant[Date],$A72,tblPlant[Mill_Run_h],"&lt;&gt;")</f>
        <v/>
      </c>
      <c r="DQ72" s="55">
        <f>IF($B72=$B71,$DQ71,0)+$DP72</f>
        <v/>
      </c>
      <c r="DR72" s="55">
        <f>$DR71+$DP72</f>
        <v/>
      </c>
      <c r="DS72" s="56">
        <f>IFERROR(IF(($DG72)&gt;0,($CX72*cfg_TroyOz)/($DG72),""),"")</f>
        <v/>
      </c>
      <c r="DT72" s="56">
        <f>IFERROR(IF(($DH72)&gt;0,($CY72*cfg_TroyOz)/($DH72),""),"")</f>
        <v/>
      </c>
      <c r="DU72" s="56">
        <f>IFERROR(IF(($DI72)&gt;0,($CZ72*cfg_TroyOz)/($DI72),""),"")</f>
        <v/>
      </c>
      <c r="DV72" s="56">
        <f>IFERROR(IF(($DJ72)&gt;0,($DA72*cfg_TroyOz)/($DJ72),""),"")</f>
        <v/>
      </c>
      <c r="DW72" s="56">
        <f>IFERROR(IF(($DK72)&gt;0,($DB72*cfg_TroyOz)/($DK72),""),"")</f>
        <v/>
      </c>
      <c r="DX72" s="56">
        <f>IFERROR(IF(($DL72)&gt;0,($DC72*cfg_TroyOz)/($DL72),""),"")</f>
        <v/>
      </c>
      <c r="DY72" s="67">
        <f>IFERROR(IF(($DM72)&gt;0,($DD72)/($DM72),""),"")</f>
        <v/>
      </c>
      <c r="DZ72" s="67">
        <f>IFERROR(IF(($DN72)&gt;0,($DE72)/($DN72),""),"")</f>
        <v/>
      </c>
      <c r="EA72" s="67">
        <f>IFERROR(IF(($DO72)&gt;0,($DF72)/($DO72),""),"")</f>
        <v/>
      </c>
      <c r="EB72" s="55">
        <f>SUMIFS(tblPlant[Gravity_Gold_oz],tblPlant[Date],$A72)</f>
        <v/>
      </c>
      <c r="EC72" s="55">
        <f>IF($B72=$B71,$EC71,0)+$EB72</f>
        <v/>
      </c>
      <c r="ED72" s="55">
        <f>$ED71+$EB72</f>
        <v/>
      </c>
      <c r="EE72" s="67">
        <f>IFERROR(IF(($DD72)&gt;0,($EB72)/($DD72),""),"")</f>
        <v/>
      </c>
      <c r="EF72" s="67">
        <f>IFERROR(IF(($DE72)&gt;0,($EC72)/($DE72),""),"")</f>
        <v/>
      </c>
      <c r="EG72" s="67">
        <f>IFERROR(IF(($DF72)&gt;0,($ED72)/($DF72),""),"")</f>
        <v/>
      </c>
      <c r="EH72" s="55">
        <f>SUMIFS(tblPlant[Gold_Poured_oz],tblPlant[Date],$A72)</f>
        <v/>
      </c>
      <c r="EI72" s="55">
        <f>IF($B72=$B71,$EI71,0)+$EH72</f>
        <v/>
      </c>
      <c r="EJ72" s="55">
        <f>$EJ71+$EH72</f>
        <v/>
      </c>
      <c r="EK72" s="57">
        <f>SUMIFS(tblPlant[Mill_Run_h],tblPlant[Date],$A72)</f>
        <v/>
      </c>
      <c r="EL72" s="57">
        <f>IF($B72=$B71,$EL71,0)+$EK72</f>
        <v/>
      </c>
      <c r="EM72" s="57">
        <f>$EM71+$EK72</f>
        <v/>
      </c>
      <c r="EN72" s="57">
        <f>SUMIFS(tblPlant[Mill_Planned_Maint_h],tblPlant[Date],$A72)</f>
        <v/>
      </c>
      <c r="EO72" s="57">
        <f>IF($B72=$B71,$EO71,0)+$EN72</f>
        <v/>
      </c>
      <c r="EP72" s="57">
        <f>$EP71+$EN72</f>
        <v/>
      </c>
      <c r="EQ72" s="57">
        <f>SUMIFS(tblPlant[Mill_Unplanned_Down_h],tblPlant[Date],$A72)</f>
        <v/>
      </c>
      <c r="ER72" s="57">
        <f>IF($B72=$B71,$ER71,0)+$EQ72</f>
        <v/>
      </c>
      <c r="ES72" s="57">
        <f>$ES71+$EQ72</f>
        <v/>
      </c>
      <c r="ET72" s="57">
        <f>IF(COUNTIFS(tblPlant[Date],$A72,tblPlant[Mill_Run_h],"&lt;&gt;")+COUNTIFS(tblPlant[Date],$A72,tblPlant[Mill_Planned_Maint_h],"&lt;&gt;")+COUNTIFS(tblPlant[Date],$A72,tblPlant[Mill_Unplanned_Down_h],"&lt;&gt;")&gt;0,cfg_HoursPerDay,0)</f>
        <v/>
      </c>
      <c r="EU72" s="57">
        <f>IF($B72=$B71,$EU71,0)+$ET72</f>
        <v/>
      </c>
      <c r="EV72" s="57">
        <f>$EV71+$ET72</f>
        <v/>
      </c>
      <c r="EW72" s="57">
        <f>SUMIFS(tblPlant[Crusher_Run_h],tblPlant[Date],$A72)</f>
        <v/>
      </c>
      <c r="EX72" s="57">
        <f>IF($B72=$B71,$EX71,0)+$EW72</f>
        <v/>
      </c>
      <c r="EY72" s="57">
        <f>$EY71+$EW72</f>
        <v/>
      </c>
      <c r="EZ72" s="55">
        <f>IFERROR(IF(($EK72)&gt;0,($DP72)/($EK72),""),"")</f>
        <v/>
      </c>
      <c r="FA72" s="55">
        <f>IFERROR(IF(($EL72)&gt;0,($DQ72)/($EL72),""),"")</f>
        <v/>
      </c>
      <c r="FB72" s="55">
        <f>IFERROR(IF(($EM72)&gt;0,($DR72)/($EM72),""),"")</f>
        <v/>
      </c>
      <c r="FC72" s="67">
        <f>IFERROR(IF(($ET72)&gt;0,($ET72-$EN72-$EQ72)/($ET72),""),"")</f>
        <v/>
      </c>
      <c r="FD72" s="67">
        <f>IFERROR(IF(($EU72)&gt;0,($EU72-$EO72-$ER72)/($EU72),""),"")</f>
        <v/>
      </c>
      <c r="FE72" s="67">
        <f>IFERROR(IF(($EV72)&gt;0,($EV72-$EP72-$ES72)/($EV72),""),"")</f>
        <v/>
      </c>
      <c r="FF72" s="67">
        <f>IFERROR(IF(($ET72-$EN72-$EQ72)&gt;0,($EK72)/($ET72-$EN72-$EQ72),""),"")</f>
        <v/>
      </c>
      <c r="FG72" s="67">
        <f>IFERROR(IF(($EU72-$EO72-$ER72)&gt;0,($EL72)/($EU72-$EO72-$ER72),""),"")</f>
        <v/>
      </c>
      <c r="FH72" s="67">
        <f>IFERROR(IF(($EV72-$EP72-$ES72)&gt;0,($EM72)/($EV72-$EP72-$ES72),""),"")</f>
        <v/>
      </c>
      <c r="FI72" s="55">
        <f>SUMIFS(tblPlant[Cyanide_kg],tblPlant[Date],$A72)</f>
        <v/>
      </c>
      <c r="FJ72" s="55">
        <f>IF($B72=$B71,$FJ71,0)+$FI72</f>
        <v/>
      </c>
      <c r="FK72" s="55">
        <f>$FK71+$FI72</f>
        <v/>
      </c>
      <c r="FL72" s="55">
        <f>SUMIFS(tblPlant[Lime_kg],tblPlant[Date],$A72)</f>
        <v/>
      </c>
      <c r="FM72" s="55">
        <f>IF($B72=$B71,$FM71,0)+$FL72</f>
        <v/>
      </c>
      <c r="FN72" s="55">
        <f>$FN71+$FL72</f>
        <v/>
      </c>
      <c r="FO72" s="55">
        <f>SUMIFS(tblPlant[Grinding_Media_kg],tblPlant[Date],$A72)</f>
        <v/>
      </c>
      <c r="FP72" s="55">
        <f>IF($B72=$B71,$FP71,0)+$FO72</f>
        <v/>
      </c>
      <c r="FQ72" s="55">
        <f>$FQ71+$FO72</f>
        <v/>
      </c>
      <c r="FR72" s="55">
        <f>SUMIFS(tblPlant[Power_kWh],tblPlant[Date],$A72)</f>
        <v/>
      </c>
      <c r="FS72" s="55">
        <f>IF($B72=$B71,$FS71,0)+$FR72</f>
        <v/>
      </c>
      <c r="FT72" s="55">
        <f>$FT71+$FR72</f>
        <v/>
      </c>
      <c r="FU72" s="55">
        <f>SUMIFS(tblPlant[Raw_Water_m3],tblPlant[Date],$A72)</f>
        <v/>
      </c>
      <c r="FV72" s="55">
        <f>IF($B72=$B71,$FV71,0)+$FU72</f>
        <v/>
      </c>
      <c r="FW72" s="55">
        <f>$FW71+$FU72</f>
        <v/>
      </c>
      <c r="FX72" s="56">
        <f>IFERROR(IF(($CU72)&gt;0,($FI72)/($CU72),""),"")</f>
        <v/>
      </c>
      <c r="FY72" s="56">
        <f>IFERROR(IF(($CV72)&gt;0,($FJ72)/($CV72),""),"")</f>
        <v/>
      </c>
      <c r="FZ72" s="56">
        <f>IFERROR(IF(($CW72)&gt;0,($FK72)/($CW72),""),"")</f>
        <v/>
      </c>
      <c r="GA72" s="56">
        <f>IFERROR(IF(($CU72)&gt;0,($FL72)/($CU72),""),"")</f>
        <v/>
      </c>
      <c r="GB72" s="56">
        <f>IFERROR(IF(($CV72)&gt;0,($FM72)/($CV72),""),"")</f>
        <v/>
      </c>
      <c r="GC72" s="56">
        <f>IFERROR(IF(($CW72)&gt;0,($FN72)/($CW72),""),"")</f>
        <v/>
      </c>
      <c r="GD72" s="56">
        <f>IFERROR(IF(($CU72)&gt;0,($FO72)/($CU72),""),"")</f>
        <v/>
      </c>
      <c r="GE72" s="56">
        <f>IFERROR(IF(($CV72)&gt;0,($FP72)/($CV72),""),"")</f>
        <v/>
      </c>
      <c r="GF72" s="56">
        <f>IFERROR(IF(($CW72)&gt;0,($FQ72)/($CW72),""),"")</f>
        <v/>
      </c>
      <c r="GG72" s="79">
        <f>IFERROR(IF(($CU72)&gt;0,($FR72)/($CU72),""),"")</f>
        <v/>
      </c>
      <c r="GH72" s="79">
        <f>IFERROR(IF(($CV72)&gt;0,($FS72)/($CV72),""),"")</f>
        <v/>
      </c>
      <c r="GI72" s="79">
        <f>IFERROR(IF(($CW72)&gt;0,($FT72)/($CW72),""),"")</f>
        <v/>
      </c>
      <c r="GJ72" s="56">
        <f>IFERROR(IF(($CU72)&gt;0,($FU72)/($CU72),""),"")</f>
        <v/>
      </c>
      <c r="GK72" s="56">
        <f>IFERROR(IF(($CV72)&gt;0,($FV72)/($CV72),""),"")</f>
        <v/>
      </c>
      <c r="GL72" s="56">
        <f>IFERROR(IF(($CW72)&gt;0,($FW72)/($CW72),""),"")</f>
        <v/>
      </c>
      <c r="GM72" s="55">
        <f>IF(SUMIFS(tblPlant[GIC_oz],tblPlant[Date],$A72)&gt;0,SUMIFS(tblPlant[GIC_oz],tblPlant[Date],$A72),"")</f>
        <v/>
      </c>
      <c r="GN72" s="55">
        <f>SUMIFS(tblGold[Gold_oz],tblGold[Date],$A72,tblGold[Type],"Shipment")</f>
        <v/>
      </c>
      <c r="GO72" s="55">
        <f>IF($B72=$B71,$GO71,0)+$GN72</f>
        <v/>
      </c>
      <c r="GP72" s="55">
        <f>$GP71+$GN72</f>
        <v/>
      </c>
      <c r="GQ72" s="55">
        <f>SUMIFS(tblGold[Gold_oz],tblGold[Date],$A72,tblGold[Type],"Sale")</f>
        <v/>
      </c>
      <c r="GR72" s="55">
        <f>IF($B72=$B71,$GR71,0)+$GQ72</f>
        <v/>
      </c>
      <c r="GS72" s="55">
        <f>$GS71+$GQ72</f>
        <v/>
      </c>
      <c r="GT72" s="55">
        <f>SUMIFS(tblGold[Dore_kg],tblGold[Date],$A72,tblGold[Type],"Shipment")</f>
        <v/>
      </c>
      <c r="GU72" s="55">
        <f>IF($B72=$B71,$GU71,0)+$GT72</f>
        <v/>
      </c>
      <c r="GV72" s="55">
        <f>$GV71+$GT72</f>
        <v/>
      </c>
      <c r="GW72" s="57">
        <f>SUMIFS(tblSafety[Hours_Total],tblSafety[Date],$A72)</f>
        <v/>
      </c>
      <c r="GX72" s="57">
        <f>IF($B72=$B71,$GX71,0)+$GW72</f>
        <v/>
      </c>
      <c r="GY72" s="57">
        <f>$GY71+$GW72</f>
        <v/>
      </c>
      <c r="GZ72" s="62">
        <f>SUMIFS(tblSafety[Fatality],tblSafety[Date],$A72)</f>
        <v/>
      </c>
      <c r="HA72" s="62">
        <f>IF($B72=$B71,$HA71,0)+$GZ72</f>
        <v/>
      </c>
      <c r="HB72" s="62">
        <f>$HB71+$GZ72</f>
        <v/>
      </c>
      <c r="HC72" s="62">
        <f>SUMIFS(tblSafety[LTI],tblSafety[Date],$A72)</f>
        <v/>
      </c>
      <c r="HD72" s="62">
        <f>IF($B72=$B71,$HD71,0)+$HC72</f>
        <v/>
      </c>
      <c r="HE72" s="62">
        <f>$HE71+$HC72</f>
        <v/>
      </c>
      <c r="HF72" s="62">
        <f>SUMIFS(tblSafety[RWI],tblSafety[Date],$A72)</f>
        <v/>
      </c>
      <c r="HG72" s="62">
        <f>IF($B72=$B71,$HG71,0)+$HF72</f>
        <v/>
      </c>
      <c r="HH72" s="62">
        <f>$HH71+$HF72</f>
        <v/>
      </c>
      <c r="HI72" s="62">
        <f>SUMIFS(tblSafety[MTI],tblSafety[Date],$A72)</f>
        <v/>
      </c>
      <c r="HJ72" s="62">
        <f>IF($B72=$B71,$HJ71,0)+$HI72</f>
        <v/>
      </c>
      <c r="HK72" s="62">
        <f>$HK71+$HI72</f>
        <v/>
      </c>
      <c r="HL72" s="62">
        <f>SUMIFS(tblSafety[FAI],tblSafety[Date],$A72)</f>
        <v/>
      </c>
      <c r="HM72" s="62">
        <f>IF($B72=$B71,$HM71,0)+$HL72</f>
        <v/>
      </c>
      <c r="HN72" s="62">
        <f>$HN71+$HL72</f>
        <v/>
      </c>
      <c r="HO72" s="62">
        <f>SUMIFS(tblSafety[Recordables],tblSafety[Date],$A72)</f>
        <v/>
      </c>
      <c r="HP72" s="62">
        <f>IF($B72=$B71,$HP71,0)+$HO72</f>
        <v/>
      </c>
      <c r="HQ72" s="62">
        <f>$HQ71+$HO72</f>
        <v/>
      </c>
      <c r="HR72" s="62">
        <f>SUMIFS(tblSafety[Near_Miss],tblSafety[Date],$A72)</f>
        <v/>
      </c>
      <c r="HS72" s="62">
        <f>IF($B72=$B71,$HS71,0)+$HR72</f>
        <v/>
      </c>
      <c r="HT72" s="62">
        <f>$HT71+$HR72</f>
        <v/>
      </c>
      <c r="HU72" s="62">
        <f>SUMIFS(tblSafety[Hazard_Reports],tblSafety[Date],$A72)</f>
        <v/>
      </c>
      <c r="HV72" s="62">
        <f>IF($B72=$B71,$HV71,0)+$HU72</f>
        <v/>
      </c>
      <c r="HW72" s="62">
        <f>$HW71+$HU72</f>
        <v/>
      </c>
      <c r="HX72" s="62">
        <f>SUMIFS(tblSafety[HPI],tblSafety[Date],$A72)</f>
        <v/>
      </c>
      <c r="HY72" s="62">
        <f>IF($B72=$B71,$HY71,0)+$HX72</f>
        <v/>
      </c>
      <c r="HZ72" s="62">
        <f>$HZ71+$HX72</f>
        <v/>
      </c>
      <c r="IA72" s="62">
        <f>SUMIFS(tblSafety[Env_Incidents],tblSafety[Date],$A72)</f>
        <v/>
      </c>
      <c r="IB72" s="62">
        <f>IF($B72=$B71,$IB71,0)+$IA72</f>
        <v/>
      </c>
      <c r="IC72" s="62">
        <f>$IC71+$IA72</f>
        <v/>
      </c>
      <c r="ID72" s="62">
        <f>SUMIFS(tblSafety[Community_Incidents],tblSafety[Date],$A72)</f>
        <v/>
      </c>
      <c r="IE72" s="62">
        <f>IF($B72=$B71,$IE71,0)+$ID72</f>
        <v/>
      </c>
      <c r="IF72" s="62">
        <f>$IF71+$ID72</f>
        <v/>
      </c>
      <c r="IG72" s="62">
        <f>SUMIFS(tblSafety[Vehicle_Incidents],tblSafety[Date],$A72)</f>
        <v/>
      </c>
      <c r="IH72" s="62">
        <f>IF($B72=$B71,$IH71,0)+$IG72</f>
        <v/>
      </c>
      <c r="II72" s="62">
        <f>$II71+$IG72</f>
        <v/>
      </c>
      <c r="IJ72" s="62">
        <f>SUMIFS(tblSafety[Toolbox_Talks],tblSafety[Date],$A72)</f>
        <v/>
      </c>
      <c r="IK72" s="62">
        <f>IF($B72=$B71,$IK71,0)+$IJ72</f>
        <v/>
      </c>
      <c r="IL72" s="62">
        <f>$IL71+$IJ72</f>
        <v/>
      </c>
      <c r="IM72" s="62">
        <f>SUMIFS(tblSafety[Inspections],tblSafety[Date],$A72)</f>
        <v/>
      </c>
      <c r="IN72" s="62">
        <f>IF($B72=$B71,$IN71,0)+$IM72</f>
        <v/>
      </c>
      <c r="IO72" s="62">
        <f>$IO71+$IM72</f>
        <v/>
      </c>
      <c r="IP72" s="56">
        <f>IFERROR((SUMIFS(tblSafety[Recordables],tblSafety[Date],"&gt;="&amp;EDATE($E72,-12),tblSafety[Date],"&lt;="&amp;$A72)+SUMIFS(tblSafetyHistory[Recordables],tblSafetyHistory[Month],"&gt;="&amp;EDATE($E72,-12),tblSafetyHistory[Month],"&lt;"&amp;$E72,tblSafetyHistory[Use],1))/(SUMIFS(tblSafety[Hours_Total],tblSafety[Date],"&gt;="&amp;EDATE($E72,-12),tblSafety[Date],"&lt;="&amp;$A72)+SUMIFS(tblSafetyHistory[Hours_Total],tblSafetyHistory[Month],"&gt;="&amp;EDATE($E72,-12),tblSafetyHistory[Month],"&lt;"&amp;$E72,tblSafetyHistory[Use],1))*cfg_RateBasisHours,"")</f>
        <v/>
      </c>
      <c r="IQ72" s="56">
        <f>IFERROR((SUMIFS(tblSafety[LTI],tblSafety[Date],"&gt;="&amp;EDATE($E72,-12),tblSafety[Date],"&lt;="&amp;$A72)+SUMIFS(tblSafetyHistory[LTI],tblSafetyHistory[Month],"&gt;="&amp;EDATE($E72,-12),tblSafetyHistory[Month],"&lt;"&amp;$E72,tblSafetyHistory[Use],1))/(SUMIFS(tblSafety[Hours_Total],tblSafety[Date],"&gt;="&amp;EDATE($E72,-12),tblSafety[Date],"&lt;="&amp;$A72)+SUMIFS(tblSafetyHistory[Hours_Total],tblSafetyHistory[Month],"&gt;="&amp;EDATE($E72,-12),tblSafetyHistory[Month],"&lt;"&amp;$E72,tblSafetyHistory[Use],1))*cfg_RateBasisHours,"")</f>
        <v/>
      </c>
      <c r="IR72" s="62">
        <f>IF(MAX(N(cfg_PriorLTIDate),_xlfn.MAXIFS(tblSafety[Date],tblSafety[LTI],"&gt;0",tblSafety[Date],"&lt;="&amp;$A72))=0,"",$A72-MAX(N(cfg_PriorLTIDate),_xlfn.MAXIFS(tblSafety[Date],tblSafety[LTI],"&gt;0",tblSafety[Date],"&lt;="&amp;$A72)))</f>
        <v/>
      </c>
      <c r="IS72" s="55">
        <f>SUMIFS(tblBudget[Ore_Mined_t],tblBudget[Month],$E72)</f>
        <v/>
      </c>
      <c r="IT72" s="55">
        <f>$IS72*$C72/$D72</f>
        <v/>
      </c>
      <c r="IU72" s="55">
        <f>SUMIFS(tblBudget[Ore_Mined_t],tblBudget[Month],"&lt;"&amp;$E72)+$IT72</f>
        <v/>
      </c>
      <c r="IV72" s="55">
        <f>SUMIFS(tblBudget[Ore_oz],tblBudget[Month],$E72)</f>
        <v/>
      </c>
      <c r="IW72" s="55">
        <f>$IV72*$C72/$D72</f>
        <v/>
      </c>
      <c r="IX72" s="55">
        <f>SUMIFS(tblBudget[Ore_oz],tblBudget[Month],"&lt;"&amp;$E72)+$IW72</f>
        <v/>
      </c>
      <c r="IY72" s="55">
        <f>SUMIFS(tblBudget[Ore_Mined_t],tblBudget[Month],$E72)</f>
        <v/>
      </c>
      <c r="IZ72" s="55">
        <f>$IY72*$C72/$D72</f>
        <v/>
      </c>
      <c r="JA72" s="55">
        <f>SUMIFS(tblBudget[Ore_Mined_t],tblBudget[Month],"&lt;"&amp;$E72)+$IZ72</f>
        <v/>
      </c>
      <c r="JB72" s="56">
        <f>IFERROR(IF(($IY72)&gt;0,($IV72*cfg_TroyOz)/($IY72),""),"")</f>
        <v/>
      </c>
      <c r="JC72" s="56">
        <f>IFERROR(IF(($IZ72)&gt;0,($IW72*cfg_TroyOz)/($IZ72),""),"")</f>
        <v/>
      </c>
      <c r="JD72" s="56">
        <f>IFERROR(IF(($JA72)&gt;0,($IX72*cfg_TroyOz)/($JA72),""),"")</f>
        <v/>
      </c>
      <c r="JE72" s="55">
        <f>SUMIFS(tblBudget[Waste_t],tblBudget[Month],$E72)</f>
        <v/>
      </c>
      <c r="JF72" s="55">
        <f>$JE72*$C72/$D72</f>
        <v/>
      </c>
      <c r="JG72" s="55">
        <f>SUMIFS(tblBudget[Waste_t],tblBudget[Month],"&lt;"&amp;$E72)+$JF72</f>
        <v/>
      </c>
      <c r="JH72" s="55">
        <f>SUMIFS(tblBudget[TMM_t],tblBudget[Month],$E72)</f>
        <v/>
      </c>
      <c r="JI72" s="55">
        <f>$JH72*$C72/$D72</f>
        <v/>
      </c>
      <c r="JJ72" s="55">
        <f>SUMIFS(tblBudget[TMM_t],tblBudget[Month],"&lt;"&amp;$E72)+$JI72</f>
        <v/>
      </c>
      <c r="JK72" s="56">
        <f>IFERROR(IF(($IS72)&gt;0,($JE72)/($IS72),""),"")</f>
        <v/>
      </c>
      <c r="JL72" s="56">
        <f>IFERROR(IF(($IT72)&gt;0,($JF72)/($IT72),""),"")</f>
        <v/>
      </c>
      <c r="JM72" s="56">
        <f>IFERROR(IF(($IU72)&gt;0,($JG72)/($IU72),""),"")</f>
        <v/>
      </c>
      <c r="JN72" s="55">
        <f>SUMIFS(tblBudget[Drill_m],tblBudget[Month],$E72)</f>
        <v/>
      </c>
      <c r="JO72" s="55">
        <f>$JN72*$C72/$D72</f>
        <v/>
      </c>
      <c r="JP72" s="55">
        <f>SUMIFS(tblBudget[Drill_m],tblBudget[Month],"&lt;"&amp;$E72)+$JO72</f>
        <v/>
      </c>
      <c r="JQ72" s="55">
        <f>SUMIFS(tblBudget[Diesel_L],tblBudget[Month],$E72)</f>
        <v/>
      </c>
      <c r="JR72" s="55">
        <f>$JQ72*$C72/$D72</f>
        <v/>
      </c>
      <c r="JS72" s="55">
        <f>SUMIFS(tblBudget[Diesel_L],tblBudget[Month],"&lt;"&amp;$E72)+$JR72</f>
        <v/>
      </c>
      <c r="JT72" s="55">
        <f>SUMIFS(tblBudget[Milled_t],tblBudget[Month],$E72)</f>
        <v/>
      </c>
      <c r="JU72" s="55">
        <f>$JT72*$C72/$D72</f>
        <v/>
      </c>
      <c r="JV72" s="55">
        <f>SUMIFS(tblBudget[Milled_t],tblBudget[Month],"&lt;"&amp;$E72)+$JU72</f>
        <v/>
      </c>
      <c r="JW72" s="55">
        <f>SUMIFS(tblBudget[Feed_oz],tblBudget[Month],$E72)</f>
        <v/>
      </c>
      <c r="JX72" s="55">
        <f>$JW72*$C72/$D72</f>
        <v/>
      </c>
      <c r="JY72" s="55">
        <f>SUMIFS(tblBudget[Feed_oz],tblBudget[Month],"&lt;"&amp;$E72)+$JX72</f>
        <v/>
      </c>
      <c r="JZ72" s="55">
        <f>SUMIFS(tblBudget[Recovered_oz],tblBudget[Month],$E72)</f>
        <v/>
      </c>
      <c r="KA72" s="55">
        <f>$JZ72*$C72/$D72</f>
        <v/>
      </c>
      <c r="KB72" s="55">
        <f>SUMIFS(tblBudget[Recovered_oz],tblBudget[Month],"&lt;"&amp;$E72)+$KA72</f>
        <v/>
      </c>
      <c r="KC72" s="55">
        <f>SUMIFS(tblBudget[Milled_t],tblBudget[Month],$E72)</f>
        <v/>
      </c>
      <c r="KD72" s="55">
        <f>$KC72*$C72/$D72</f>
        <v/>
      </c>
      <c r="KE72" s="55">
        <f>SUMIFS(tblBudget[Milled_t],tblBudget[Month],"&lt;"&amp;$E72)+$KD72</f>
        <v/>
      </c>
      <c r="KF72" s="55">
        <f>SUMIFS(tblBudget[Feed_oz],tblBudget[Month],$E72)</f>
        <v/>
      </c>
      <c r="KG72" s="55">
        <f>$KF72*$C72/$D72</f>
        <v/>
      </c>
      <c r="KH72" s="55">
        <f>SUMIFS(tblBudget[Feed_oz],tblBudget[Month],"&lt;"&amp;$E72)+$KG72</f>
        <v/>
      </c>
      <c r="KI72" s="56">
        <f>IFERROR(IF(($KC72)&gt;0,($JW72*cfg_TroyOz)/($KC72),""),"")</f>
        <v/>
      </c>
      <c r="KJ72" s="56">
        <f>IFERROR(IF(($KD72)&gt;0,($JX72*cfg_TroyOz)/($KD72),""),"")</f>
        <v/>
      </c>
      <c r="KK72" s="56">
        <f>IFERROR(IF(($KE72)&gt;0,($JY72*cfg_TroyOz)/($KE72),""),"")</f>
        <v/>
      </c>
      <c r="KL72" s="67">
        <f>IFERROR(IF(($KF72)&gt;0,($JZ72)/($KF72),""),"")</f>
        <v/>
      </c>
      <c r="KM72" s="67">
        <f>IFERROR(IF(($KG72)&gt;0,($KA72)/($KG72),""),"")</f>
        <v/>
      </c>
      <c r="KN72" s="67">
        <f>IFERROR(IF(($KH72)&gt;0,($KB72)/($KH72),""),"")</f>
        <v/>
      </c>
      <c r="KO72" s="55">
        <f>SUMIFS(tblBudget[Gold_Poured_oz],tblBudget[Month],$E72)</f>
        <v/>
      </c>
      <c r="KP72" s="55">
        <f>$KO72*$C72/$D72</f>
        <v/>
      </c>
      <c r="KQ72" s="55">
        <f>SUMIFS(tblBudget[Gold_Poured_oz],tblBudget[Month],"&lt;"&amp;$E72)+$KP72</f>
        <v/>
      </c>
      <c r="KR72" s="57">
        <f>SUMIFS(tblBudget[Hours_Worked],tblBudget[Month],$E72)</f>
        <v/>
      </c>
      <c r="KS72" s="57">
        <f>$KR72*$C72/$D72</f>
        <v/>
      </c>
      <c r="KT72" s="57">
        <f>SUMIFS(tblBudget[Hours_Worked],tblBudget[Month],"&lt;"&amp;$E72)+$KS72</f>
        <v/>
      </c>
    </row>
    <row r="73">
      <c r="A73" s="54" t="n">
        <v>46094</v>
      </c>
      <c r="B73">
        <f>MONTH($A73)</f>
        <v/>
      </c>
      <c r="C73">
        <f>DAY($A73)</f>
        <v/>
      </c>
      <c r="D73">
        <f>DAY(EOMONTH($A73,0))</f>
        <v/>
      </c>
      <c r="E73" s="54">
        <f>DATE(YEAR($A73),MONTH($A73),1)</f>
        <v/>
      </c>
      <c r="F73" s="55">
        <f>SUMIFS(tblMovement[Tonnes_t],tblMovement[Date],$A73,tblMovement[Is_Ore],1,tblMovement[Source_Type],"Pit")</f>
        <v/>
      </c>
      <c r="G73" s="55">
        <f>IF($B73=$B72,$G72,0)+$F73</f>
        <v/>
      </c>
      <c r="H73" s="55">
        <f>$H72+$F73</f>
        <v/>
      </c>
      <c r="I73" s="55">
        <f>SUMIFS(tblMovement[Ore_oz],tblMovement[Date],$A73,tblMovement[Source_Type],"Pit")</f>
        <v/>
      </c>
      <c r="J73" s="55">
        <f>IF($B73=$B72,$J72,0)+$I73</f>
        <v/>
      </c>
      <c r="K73" s="55">
        <f>$K72+$I73</f>
        <v/>
      </c>
      <c r="L73" s="55">
        <f>SUMIFS(tblMovement[Tonnes_t],tblMovement[Date],$A73,tblMovement[Is_Ore],1,tblMovement[Source_Type],"Pit",tblMovement[Grade_gpt],"&lt;&gt;")</f>
        <v/>
      </c>
      <c r="M73" s="55">
        <f>IF($B73=$B72,$M72,0)+$L73</f>
        <v/>
      </c>
      <c r="N73" s="55">
        <f>$N72+$L73</f>
        <v/>
      </c>
      <c r="O73" s="56">
        <f>IFERROR(IF(($L73)&gt;0,($I73*cfg_TroyOz)/($L73),""),"")</f>
        <v/>
      </c>
      <c r="P73" s="56">
        <f>IFERROR(IF(($M73)&gt;0,($J73*cfg_TroyOz)/($M73),""),"")</f>
        <v/>
      </c>
      <c r="Q73" s="56">
        <f>IFERROR(IF(($N73)&gt;0,($K73*cfg_TroyOz)/($N73),""),"")</f>
        <v/>
      </c>
      <c r="R73" s="55">
        <f>$F73-$L73</f>
        <v/>
      </c>
      <c r="S73" s="55">
        <f>IF($B73=$B72,$S72,0)+$R73</f>
        <v/>
      </c>
      <c r="T73" s="55">
        <f>$T72+$R73</f>
        <v/>
      </c>
      <c r="U73" s="55">
        <f>SUMIFS(tblMovement[Tonnes_t],tblMovement[Date],$A73,tblMovement[Is_Ore],0,tblMovement[Source_Type],"Pit")</f>
        <v/>
      </c>
      <c r="V73" s="55">
        <f>IF($B73=$B72,$V72,0)+$U73</f>
        <v/>
      </c>
      <c r="W73" s="55">
        <f>$W72+$U73</f>
        <v/>
      </c>
      <c r="X73" s="55">
        <f>$F73+$U73</f>
        <v/>
      </c>
      <c r="Y73" s="55">
        <f>IF($B73=$B72,$Y72,0)+$X73</f>
        <v/>
      </c>
      <c r="Z73" s="55">
        <f>$Z72+$X73</f>
        <v/>
      </c>
      <c r="AA73" s="56">
        <f>IFERROR(IF(($F73)&gt;0,($U73)/($F73),""),"")</f>
        <v/>
      </c>
      <c r="AB73" s="56">
        <f>IFERROR(IF(($G73)&gt;0,($V73)/($G73),""),"")</f>
        <v/>
      </c>
      <c r="AC73" s="56">
        <f>IFERROR(IF(($H73)&gt;0,($W73)/($H73),""),"")</f>
        <v/>
      </c>
      <c r="AD73" s="55">
        <f>SUMIFS(tblMovement[Tonnes_t],tblMovement[Date],$A73,tblMovement[Source_Type],"Stockpile")</f>
        <v/>
      </c>
      <c r="AE73" s="55">
        <f>IF($B73=$B72,$AE72,0)+$AD73</f>
        <v/>
      </c>
      <c r="AF73" s="55">
        <f>$AF72+$AD73</f>
        <v/>
      </c>
      <c r="AG73" s="55">
        <f>SUMIFS(tblMovement[Tonnes_t],tblMovement[Date],$A73)</f>
        <v/>
      </c>
      <c r="AH73" s="55">
        <f>IF($B73=$B72,$AH72,0)+$AG73</f>
        <v/>
      </c>
      <c r="AI73" s="55">
        <f>$AI72+$AG73</f>
        <v/>
      </c>
      <c r="AJ73" s="55">
        <f>$AG73-$X73-$AD73</f>
        <v/>
      </c>
      <c r="AK73" s="55">
        <f>IF($B73=$B72,$AK72,0)+$AJ73</f>
        <v/>
      </c>
      <c r="AL73" s="55">
        <f>$AL72+$AJ73</f>
        <v/>
      </c>
      <c r="AM73" s="55">
        <f>SUMIFS(tblMiningDaily[Drill_m],tblMiningDaily[Date],$A73)</f>
        <v/>
      </c>
      <c r="AN73" s="55">
        <f>IF($B73=$B72,$AN72,0)+$AM73</f>
        <v/>
      </c>
      <c r="AO73" s="55">
        <f>$AO72+$AM73</f>
        <v/>
      </c>
      <c r="AP73" s="55">
        <f>SUMIFS(tblMiningDaily[GC_Drill_m],tblMiningDaily[Date],$A73)</f>
        <v/>
      </c>
      <c r="AQ73" s="55">
        <f>IF($B73=$B72,$AQ72,0)+$AP73</f>
        <v/>
      </c>
      <c r="AR73" s="55">
        <f>$AR72+$AP73</f>
        <v/>
      </c>
      <c r="AS73" s="55">
        <f>SUMIFS(tblMiningDaily[Blast_t],tblMiningDaily[Date],$A73)</f>
        <v/>
      </c>
      <c r="AT73" s="55">
        <f>IF($B73=$B72,$AT72,0)+$AS73</f>
        <v/>
      </c>
      <c r="AU73" s="55">
        <f>$AU72+$AS73</f>
        <v/>
      </c>
      <c r="AV73" s="55">
        <f>SUMIFS(tblMiningDaily[Explosives_kg],tblMiningDaily[Date],$A73)</f>
        <v/>
      </c>
      <c r="AW73" s="55">
        <f>IF($B73=$B72,$AW72,0)+$AV73</f>
        <v/>
      </c>
      <c r="AX73" s="55">
        <f>$AX72+$AV73</f>
        <v/>
      </c>
      <c r="AY73" s="56">
        <f>IFERROR(IF(($AS73)&gt;0,($AV73)/($AS73),""),"")</f>
        <v/>
      </c>
      <c r="AZ73" s="56">
        <f>IFERROR(IF(($AT73)&gt;0,($AW73)/($AT73),""),"")</f>
        <v/>
      </c>
      <c r="BA73" s="56">
        <f>IFERROR(IF(($AU73)&gt;0,($AX73)/($AU73),""),"")</f>
        <v/>
      </c>
      <c r="BB73" s="55">
        <f>SUMIFS(tblMiningDaily[Diesel_L],tblMiningDaily[Date],$A73)</f>
        <v/>
      </c>
      <c r="BC73" s="55">
        <f>IF($B73=$B72,$BC72,0)+$BB73</f>
        <v/>
      </c>
      <c r="BD73" s="55">
        <f>$BD72+$BB73</f>
        <v/>
      </c>
      <c r="BE73" s="55">
        <f>SUMIFS(tblMiningDaily[Dewatering_m3],tblMiningDaily[Date],$A73)</f>
        <v/>
      </c>
      <c r="BF73" s="55">
        <f>IF($B73=$B72,$BF72,0)+$BE73</f>
        <v/>
      </c>
      <c r="BG73" s="55">
        <f>$BG72+$BE73</f>
        <v/>
      </c>
      <c r="BH73" s="57">
        <f>SUMIFS(tblFleet[Calendar_h],tblFleet[Date],$A73,tblFleet[Equipment_Class],"Excavator")</f>
        <v/>
      </c>
      <c r="BI73" s="57">
        <f>IF($B73=$B72,$BI72,0)+$BH73</f>
        <v/>
      </c>
      <c r="BJ73" s="57">
        <f>$BJ72+$BH73</f>
        <v/>
      </c>
      <c r="BK73" s="57">
        <f>SUMIFS(tblFleet[Available_h],tblFleet[Date],$A73,tblFleet[Equipment_Class],"Excavator")</f>
        <v/>
      </c>
      <c r="BL73" s="57">
        <f>IF($B73=$B72,$BL72,0)+$BK73</f>
        <v/>
      </c>
      <c r="BM73" s="57">
        <f>$BM72+$BK73</f>
        <v/>
      </c>
      <c r="BN73" s="57">
        <f>SUMIFS(tblFleet[Operating_h],tblFleet[Date],$A73,tblFleet[Equipment_Class],"Excavator")</f>
        <v/>
      </c>
      <c r="BO73" s="57">
        <f>IF($B73=$B72,$BO72,0)+$BN73</f>
        <v/>
      </c>
      <c r="BP73" s="57">
        <f>$BP72+$BN73</f>
        <v/>
      </c>
      <c r="BQ73" s="67">
        <f>IFERROR(IF(($BH73)&gt;0,($BK73)/($BH73),""),"")</f>
        <v/>
      </c>
      <c r="BR73" s="67">
        <f>IFERROR(IF(($BI73)&gt;0,($BL73)/($BI73),""),"")</f>
        <v/>
      </c>
      <c r="BS73" s="67">
        <f>IFERROR(IF(($BJ73)&gt;0,($BM73)/($BJ73),""),"")</f>
        <v/>
      </c>
      <c r="BT73" s="67">
        <f>IFERROR(IF(($BK73)&gt;0,($BN73)/($BK73),""),"")</f>
        <v/>
      </c>
      <c r="BU73" s="67">
        <f>IFERROR(IF(($BL73)&gt;0,($BO73)/($BL73),""),"")</f>
        <v/>
      </c>
      <c r="BV73" s="67">
        <f>IFERROR(IF(($BM73)&gt;0,($BP73)/($BM73),""),"")</f>
        <v/>
      </c>
      <c r="BW73" s="57">
        <f>SUMIFS(tblFleet[Calendar_h],tblFleet[Date],$A73,tblFleet[Equipment_Class],"Haul Truck")</f>
        <v/>
      </c>
      <c r="BX73" s="57">
        <f>IF($B73=$B72,$BX72,0)+$BW73</f>
        <v/>
      </c>
      <c r="BY73" s="57">
        <f>$BY72+$BW73</f>
        <v/>
      </c>
      <c r="BZ73" s="57">
        <f>SUMIFS(tblFleet[Available_h],tblFleet[Date],$A73,tblFleet[Equipment_Class],"Haul Truck")</f>
        <v/>
      </c>
      <c r="CA73" s="57">
        <f>IF($B73=$B72,$CA72,0)+$BZ73</f>
        <v/>
      </c>
      <c r="CB73" s="57">
        <f>$CB72+$BZ73</f>
        <v/>
      </c>
      <c r="CC73" s="57">
        <f>SUMIFS(tblFleet[Operating_h],tblFleet[Date],$A73,tblFleet[Equipment_Class],"Haul Truck")</f>
        <v/>
      </c>
      <c r="CD73" s="57">
        <f>IF($B73=$B72,$CD72,0)+$CC73</f>
        <v/>
      </c>
      <c r="CE73" s="57">
        <f>$CE72+$CC73</f>
        <v/>
      </c>
      <c r="CF73" s="67">
        <f>IFERROR(IF(($BW73)&gt;0,($BZ73)/($BW73),""),"")</f>
        <v/>
      </c>
      <c r="CG73" s="67">
        <f>IFERROR(IF(($BX73)&gt;0,($CA73)/($BX73),""),"")</f>
        <v/>
      </c>
      <c r="CH73" s="67">
        <f>IFERROR(IF(($BY73)&gt;0,($CB73)/($BY73),""),"")</f>
        <v/>
      </c>
      <c r="CI73" s="67">
        <f>IFERROR(IF(($BZ73)&gt;0,($CC73)/($BZ73),""),"")</f>
        <v/>
      </c>
      <c r="CJ73" s="67">
        <f>IFERROR(IF(($CA73)&gt;0,($CD73)/($CA73),""),"")</f>
        <v/>
      </c>
      <c r="CK73" s="67">
        <f>IFERROR(IF(($CB73)&gt;0,($CE73)/($CB73),""),"")</f>
        <v/>
      </c>
      <c r="CL73" s="55">
        <f>IFERROR(IF(($BN73)&gt;0,($X73+$AD73)/($BN73),""),"")</f>
        <v/>
      </c>
      <c r="CM73" s="55">
        <f>IFERROR(IF(($BO73)&gt;0,($Y73+$AE73)/($BO73),""),"")</f>
        <v/>
      </c>
      <c r="CN73" s="55">
        <f>IFERROR(IF(($BP73)&gt;0,($Z73+$AF73)/($BP73),""),"")</f>
        <v/>
      </c>
      <c r="CO73" s="55">
        <f>IFERROR(IF(($CC73)&gt;0,($X73+$AD73)/($CC73),""),"")</f>
        <v/>
      </c>
      <c r="CP73" s="55">
        <f>IFERROR(IF(($CD73)&gt;0,($Y73+$AE73)/($CD73),""),"")</f>
        <v/>
      </c>
      <c r="CQ73" s="55">
        <f>IFERROR(IF(($CE73)&gt;0,($Z73+$AF73)/($CE73),""),"")</f>
        <v/>
      </c>
      <c r="CR73" s="55">
        <f>SUMIFS(tblPlant[Crushed_t],tblPlant[Date],$A73)</f>
        <v/>
      </c>
      <c r="CS73" s="55">
        <f>IF($B73=$B72,$CS72,0)+$CR73</f>
        <v/>
      </c>
      <c r="CT73" s="55">
        <f>$CT72+$CR73</f>
        <v/>
      </c>
      <c r="CU73" s="55">
        <f>SUMIFS(tblPlant[Milled_t],tblPlant[Date],$A73)</f>
        <v/>
      </c>
      <c r="CV73" s="55">
        <f>IF($B73=$B72,$CV72,0)+$CU73</f>
        <v/>
      </c>
      <c r="CW73" s="55">
        <f>$CW72+$CU73</f>
        <v/>
      </c>
      <c r="CX73" s="55">
        <f>SUMIFS(tblPlant[Feed_oz],tblPlant[Date],$A73)</f>
        <v/>
      </c>
      <c r="CY73" s="55">
        <f>IF($B73=$B72,$CY72,0)+$CX73</f>
        <v/>
      </c>
      <c r="CZ73" s="55">
        <f>$CZ72+$CX73</f>
        <v/>
      </c>
      <c r="DA73" s="55">
        <f>SUMIFS(tblPlant[Tails_oz],tblPlant[Date],$A73)</f>
        <v/>
      </c>
      <c r="DB73" s="55">
        <f>IF($B73=$B72,$DB72,0)+$DA73</f>
        <v/>
      </c>
      <c r="DC73" s="55">
        <f>$DC72+$DA73</f>
        <v/>
      </c>
      <c r="DD73" s="55">
        <f>SUMIFS(tblPlant[Recovered_oz],tblPlant[Date],$A73)</f>
        <v/>
      </c>
      <c r="DE73" s="55">
        <f>IF($B73=$B72,$DE72,0)+$DD73</f>
        <v/>
      </c>
      <c r="DF73" s="55">
        <f>$DF72+$DD73</f>
        <v/>
      </c>
      <c r="DG73" s="55">
        <f>SUMIFS(tblPlant[Milled_t],tblPlant[Date],$A73,tblPlant[Head_Grade_gpt],"&lt;&gt;")</f>
        <v/>
      </c>
      <c r="DH73" s="55">
        <f>IF($B73=$B72,$DH72,0)+$DG73</f>
        <v/>
      </c>
      <c r="DI73" s="55">
        <f>$DI72+$DG73</f>
        <v/>
      </c>
      <c r="DJ73" s="55">
        <f>SUMIFS(tblPlant[Milled_t],tblPlant[Date],$A73,tblPlant[Tails_Grade_gpt],"&lt;&gt;")</f>
        <v/>
      </c>
      <c r="DK73" s="55">
        <f>IF($B73=$B72,$DK72,0)+$DJ73</f>
        <v/>
      </c>
      <c r="DL73" s="55">
        <f>$DL72+$DJ73</f>
        <v/>
      </c>
      <c r="DM73" s="55">
        <f>SUMIFS(tblPlant[Feed_oz],tblPlant[Date],$A73,tblPlant[Tails_Grade_gpt],"&lt;&gt;")</f>
        <v/>
      </c>
      <c r="DN73" s="55">
        <f>IF($B73=$B72,$DN72,0)+$DM73</f>
        <v/>
      </c>
      <c r="DO73" s="55">
        <f>$DO72+$DM73</f>
        <v/>
      </c>
      <c r="DP73" s="55">
        <f>SUMIFS(tblPlant[Milled_t],tblPlant[Date],$A73,tblPlant[Mill_Run_h],"&lt;&gt;")</f>
        <v/>
      </c>
      <c r="DQ73" s="55">
        <f>IF($B73=$B72,$DQ72,0)+$DP73</f>
        <v/>
      </c>
      <c r="DR73" s="55">
        <f>$DR72+$DP73</f>
        <v/>
      </c>
      <c r="DS73" s="56">
        <f>IFERROR(IF(($DG73)&gt;0,($CX73*cfg_TroyOz)/($DG73),""),"")</f>
        <v/>
      </c>
      <c r="DT73" s="56">
        <f>IFERROR(IF(($DH73)&gt;0,($CY73*cfg_TroyOz)/($DH73),""),"")</f>
        <v/>
      </c>
      <c r="DU73" s="56">
        <f>IFERROR(IF(($DI73)&gt;0,($CZ73*cfg_TroyOz)/($DI73),""),"")</f>
        <v/>
      </c>
      <c r="DV73" s="56">
        <f>IFERROR(IF(($DJ73)&gt;0,($DA73*cfg_TroyOz)/($DJ73),""),"")</f>
        <v/>
      </c>
      <c r="DW73" s="56">
        <f>IFERROR(IF(($DK73)&gt;0,($DB73*cfg_TroyOz)/($DK73),""),"")</f>
        <v/>
      </c>
      <c r="DX73" s="56">
        <f>IFERROR(IF(($DL73)&gt;0,($DC73*cfg_TroyOz)/($DL73),""),"")</f>
        <v/>
      </c>
      <c r="DY73" s="67">
        <f>IFERROR(IF(($DM73)&gt;0,($DD73)/($DM73),""),"")</f>
        <v/>
      </c>
      <c r="DZ73" s="67">
        <f>IFERROR(IF(($DN73)&gt;0,($DE73)/($DN73),""),"")</f>
        <v/>
      </c>
      <c r="EA73" s="67">
        <f>IFERROR(IF(($DO73)&gt;0,($DF73)/($DO73),""),"")</f>
        <v/>
      </c>
      <c r="EB73" s="55">
        <f>SUMIFS(tblPlant[Gravity_Gold_oz],tblPlant[Date],$A73)</f>
        <v/>
      </c>
      <c r="EC73" s="55">
        <f>IF($B73=$B72,$EC72,0)+$EB73</f>
        <v/>
      </c>
      <c r="ED73" s="55">
        <f>$ED72+$EB73</f>
        <v/>
      </c>
      <c r="EE73" s="67">
        <f>IFERROR(IF(($DD73)&gt;0,($EB73)/($DD73),""),"")</f>
        <v/>
      </c>
      <c r="EF73" s="67">
        <f>IFERROR(IF(($DE73)&gt;0,($EC73)/($DE73),""),"")</f>
        <v/>
      </c>
      <c r="EG73" s="67">
        <f>IFERROR(IF(($DF73)&gt;0,($ED73)/($DF73),""),"")</f>
        <v/>
      </c>
      <c r="EH73" s="55">
        <f>SUMIFS(tblPlant[Gold_Poured_oz],tblPlant[Date],$A73)</f>
        <v/>
      </c>
      <c r="EI73" s="55">
        <f>IF($B73=$B72,$EI72,0)+$EH73</f>
        <v/>
      </c>
      <c r="EJ73" s="55">
        <f>$EJ72+$EH73</f>
        <v/>
      </c>
      <c r="EK73" s="57">
        <f>SUMIFS(tblPlant[Mill_Run_h],tblPlant[Date],$A73)</f>
        <v/>
      </c>
      <c r="EL73" s="57">
        <f>IF($B73=$B72,$EL72,0)+$EK73</f>
        <v/>
      </c>
      <c r="EM73" s="57">
        <f>$EM72+$EK73</f>
        <v/>
      </c>
      <c r="EN73" s="57">
        <f>SUMIFS(tblPlant[Mill_Planned_Maint_h],tblPlant[Date],$A73)</f>
        <v/>
      </c>
      <c r="EO73" s="57">
        <f>IF($B73=$B72,$EO72,0)+$EN73</f>
        <v/>
      </c>
      <c r="EP73" s="57">
        <f>$EP72+$EN73</f>
        <v/>
      </c>
      <c r="EQ73" s="57">
        <f>SUMIFS(tblPlant[Mill_Unplanned_Down_h],tblPlant[Date],$A73)</f>
        <v/>
      </c>
      <c r="ER73" s="57">
        <f>IF($B73=$B72,$ER72,0)+$EQ73</f>
        <v/>
      </c>
      <c r="ES73" s="57">
        <f>$ES72+$EQ73</f>
        <v/>
      </c>
      <c r="ET73" s="57">
        <f>IF(COUNTIFS(tblPlant[Date],$A73,tblPlant[Mill_Run_h],"&lt;&gt;")+COUNTIFS(tblPlant[Date],$A73,tblPlant[Mill_Planned_Maint_h],"&lt;&gt;")+COUNTIFS(tblPlant[Date],$A73,tblPlant[Mill_Unplanned_Down_h],"&lt;&gt;")&gt;0,cfg_HoursPerDay,0)</f>
        <v/>
      </c>
      <c r="EU73" s="57">
        <f>IF($B73=$B72,$EU72,0)+$ET73</f>
        <v/>
      </c>
      <c r="EV73" s="57">
        <f>$EV72+$ET73</f>
        <v/>
      </c>
      <c r="EW73" s="57">
        <f>SUMIFS(tblPlant[Crusher_Run_h],tblPlant[Date],$A73)</f>
        <v/>
      </c>
      <c r="EX73" s="57">
        <f>IF($B73=$B72,$EX72,0)+$EW73</f>
        <v/>
      </c>
      <c r="EY73" s="57">
        <f>$EY72+$EW73</f>
        <v/>
      </c>
      <c r="EZ73" s="55">
        <f>IFERROR(IF(($EK73)&gt;0,($DP73)/($EK73),""),"")</f>
        <v/>
      </c>
      <c r="FA73" s="55">
        <f>IFERROR(IF(($EL73)&gt;0,($DQ73)/($EL73),""),"")</f>
        <v/>
      </c>
      <c r="FB73" s="55">
        <f>IFERROR(IF(($EM73)&gt;0,($DR73)/($EM73),""),"")</f>
        <v/>
      </c>
      <c r="FC73" s="67">
        <f>IFERROR(IF(($ET73)&gt;0,($ET73-$EN73-$EQ73)/($ET73),""),"")</f>
        <v/>
      </c>
      <c r="FD73" s="67">
        <f>IFERROR(IF(($EU73)&gt;0,($EU73-$EO73-$ER73)/($EU73),""),"")</f>
        <v/>
      </c>
      <c r="FE73" s="67">
        <f>IFERROR(IF(($EV73)&gt;0,($EV73-$EP73-$ES73)/($EV73),""),"")</f>
        <v/>
      </c>
      <c r="FF73" s="67">
        <f>IFERROR(IF(($ET73-$EN73-$EQ73)&gt;0,($EK73)/($ET73-$EN73-$EQ73),""),"")</f>
        <v/>
      </c>
      <c r="FG73" s="67">
        <f>IFERROR(IF(($EU73-$EO73-$ER73)&gt;0,($EL73)/($EU73-$EO73-$ER73),""),"")</f>
        <v/>
      </c>
      <c r="FH73" s="67">
        <f>IFERROR(IF(($EV73-$EP73-$ES73)&gt;0,($EM73)/($EV73-$EP73-$ES73),""),"")</f>
        <v/>
      </c>
      <c r="FI73" s="55">
        <f>SUMIFS(tblPlant[Cyanide_kg],tblPlant[Date],$A73)</f>
        <v/>
      </c>
      <c r="FJ73" s="55">
        <f>IF($B73=$B72,$FJ72,0)+$FI73</f>
        <v/>
      </c>
      <c r="FK73" s="55">
        <f>$FK72+$FI73</f>
        <v/>
      </c>
      <c r="FL73" s="55">
        <f>SUMIFS(tblPlant[Lime_kg],tblPlant[Date],$A73)</f>
        <v/>
      </c>
      <c r="FM73" s="55">
        <f>IF($B73=$B72,$FM72,0)+$FL73</f>
        <v/>
      </c>
      <c r="FN73" s="55">
        <f>$FN72+$FL73</f>
        <v/>
      </c>
      <c r="FO73" s="55">
        <f>SUMIFS(tblPlant[Grinding_Media_kg],tblPlant[Date],$A73)</f>
        <v/>
      </c>
      <c r="FP73" s="55">
        <f>IF($B73=$B72,$FP72,0)+$FO73</f>
        <v/>
      </c>
      <c r="FQ73" s="55">
        <f>$FQ72+$FO73</f>
        <v/>
      </c>
      <c r="FR73" s="55">
        <f>SUMIFS(tblPlant[Power_kWh],tblPlant[Date],$A73)</f>
        <v/>
      </c>
      <c r="FS73" s="55">
        <f>IF($B73=$B72,$FS72,0)+$FR73</f>
        <v/>
      </c>
      <c r="FT73" s="55">
        <f>$FT72+$FR73</f>
        <v/>
      </c>
      <c r="FU73" s="55">
        <f>SUMIFS(tblPlant[Raw_Water_m3],tblPlant[Date],$A73)</f>
        <v/>
      </c>
      <c r="FV73" s="55">
        <f>IF($B73=$B72,$FV72,0)+$FU73</f>
        <v/>
      </c>
      <c r="FW73" s="55">
        <f>$FW72+$FU73</f>
        <v/>
      </c>
      <c r="FX73" s="56">
        <f>IFERROR(IF(($CU73)&gt;0,($FI73)/($CU73),""),"")</f>
        <v/>
      </c>
      <c r="FY73" s="56">
        <f>IFERROR(IF(($CV73)&gt;0,($FJ73)/($CV73),""),"")</f>
        <v/>
      </c>
      <c r="FZ73" s="56">
        <f>IFERROR(IF(($CW73)&gt;0,($FK73)/($CW73),""),"")</f>
        <v/>
      </c>
      <c r="GA73" s="56">
        <f>IFERROR(IF(($CU73)&gt;0,($FL73)/($CU73),""),"")</f>
        <v/>
      </c>
      <c r="GB73" s="56">
        <f>IFERROR(IF(($CV73)&gt;0,($FM73)/($CV73),""),"")</f>
        <v/>
      </c>
      <c r="GC73" s="56">
        <f>IFERROR(IF(($CW73)&gt;0,($FN73)/($CW73),""),"")</f>
        <v/>
      </c>
      <c r="GD73" s="56">
        <f>IFERROR(IF(($CU73)&gt;0,($FO73)/($CU73),""),"")</f>
        <v/>
      </c>
      <c r="GE73" s="56">
        <f>IFERROR(IF(($CV73)&gt;0,($FP73)/($CV73),""),"")</f>
        <v/>
      </c>
      <c r="GF73" s="56">
        <f>IFERROR(IF(($CW73)&gt;0,($FQ73)/($CW73),""),"")</f>
        <v/>
      </c>
      <c r="GG73" s="79">
        <f>IFERROR(IF(($CU73)&gt;0,($FR73)/($CU73),""),"")</f>
        <v/>
      </c>
      <c r="GH73" s="79">
        <f>IFERROR(IF(($CV73)&gt;0,($FS73)/($CV73),""),"")</f>
        <v/>
      </c>
      <c r="GI73" s="79">
        <f>IFERROR(IF(($CW73)&gt;0,($FT73)/($CW73),""),"")</f>
        <v/>
      </c>
      <c r="GJ73" s="56">
        <f>IFERROR(IF(($CU73)&gt;0,($FU73)/($CU73),""),"")</f>
        <v/>
      </c>
      <c r="GK73" s="56">
        <f>IFERROR(IF(($CV73)&gt;0,($FV73)/($CV73),""),"")</f>
        <v/>
      </c>
      <c r="GL73" s="56">
        <f>IFERROR(IF(($CW73)&gt;0,($FW73)/($CW73),""),"")</f>
        <v/>
      </c>
      <c r="GM73" s="55">
        <f>IF(SUMIFS(tblPlant[GIC_oz],tblPlant[Date],$A73)&gt;0,SUMIFS(tblPlant[GIC_oz],tblPlant[Date],$A73),"")</f>
        <v/>
      </c>
      <c r="GN73" s="55">
        <f>SUMIFS(tblGold[Gold_oz],tblGold[Date],$A73,tblGold[Type],"Shipment")</f>
        <v/>
      </c>
      <c r="GO73" s="55">
        <f>IF($B73=$B72,$GO72,0)+$GN73</f>
        <v/>
      </c>
      <c r="GP73" s="55">
        <f>$GP72+$GN73</f>
        <v/>
      </c>
      <c r="GQ73" s="55">
        <f>SUMIFS(tblGold[Gold_oz],tblGold[Date],$A73,tblGold[Type],"Sale")</f>
        <v/>
      </c>
      <c r="GR73" s="55">
        <f>IF($B73=$B72,$GR72,0)+$GQ73</f>
        <v/>
      </c>
      <c r="GS73" s="55">
        <f>$GS72+$GQ73</f>
        <v/>
      </c>
      <c r="GT73" s="55">
        <f>SUMIFS(tblGold[Dore_kg],tblGold[Date],$A73,tblGold[Type],"Shipment")</f>
        <v/>
      </c>
      <c r="GU73" s="55">
        <f>IF($B73=$B72,$GU72,0)+$GT73</f>
        <v/>
      </c>
      <c r="GV73" s="55">
        <f>$GV72+$GT73</f>
        <v/>
      </c>
      <c r="GW73" s="57">
        <f>SUMIFS(tblSafety[Hours_Total],tblSafety[Date],$A73)</f>
        <v/>
      </c>
      <c r="GX73" s="57">
        <f>IF($B73=$B72,$GX72,0)+$GW73</f>
        <v/>
      </c>
      <c r="GY73" s="57">
        <f>$GY72+$GW73</f>
        <v/>
      </c>
      <c r="GZ73" s="62">
        <f>SUMIFS(tblSafety[Fatality],tblSafety[Date],$A73)</f>
        <v/>
      </c>
      <c r="HA73" s="62">
        <f>IF($B73=$B72,$HA72,0)+$GZ73</f>
        <v/>
      </c>
      <c r="HB73" s="62">
        <f>$HB72+$GZ73</f>
        <v/>
      </c>
      <c r="HC73" s="62">
        <f>SUMIFS(tblSafety[LTI],tblSafety[Date],$A73)</f>
        <v/>
      </c>
      <c r="HD73" s="62">
        <f>IF($B73=$B72,$HD72,0)+$HC73</f>
        <v/>
      </c>
      <c r="HE73" s="62">
        <f>$HE72+$HC73</f>
        <v/>
      </c>
      <c r="HF73" s="62">
        <f>SUMIFS(tblSafety[RWI],tblSafety[Date],$A73)</f>
        <v/>
      </c>
      <c r="HG73" s="62">
        <f>IF($B73=$B72,$HG72,0)+$HF73</f>
        <v/>
      </c>
      <c r="HH73" s="62">
        <f>$HH72+$HF73</f>
        <v/>
      </c>
      <c r="HI73" s="62">
        <f>SUMIFS(tblSafety[MTI],tblSafety[Date],$A73)</f>
        <v/>
      </c>
      <c r="HJ73" s="62">
        <f>IF($B73=$B72,$HJ72,0)+$HI73</f>
        <v/>
      </c>
      <c r="HK73" s="62">
        <f>$HK72+$HI73</f>
        <v/>
      </c>
      <c r="HL73" s="62">
        <f>SUMIFS(tblSafety[FAI],tblSafety[Date],$A73)</f>
        <v/>
      </c>
      <c r="HM73" s="62">
        <f>IF($B73=$B72,$HM72,0)+$HL73</f>
        <v/>
      </c>
      <c r="HN73" s="62">
        <f>$HN72+$HL73</f>
        <v/>
      </c>
      <c r="HO73" s="62">
        <f>SUMIFS(tblSafety[Recordables],tblSafety[Date],$A73)</f>
        <v/>
      </c>
      <c r="HP73" s="62">
        <f>IF($B73=$B72,$HP72,0)+$HO73</f>
        <v/>
      </c>
      <c r="HQ73" s="62">
        <f>$HQ72+$HO73</f>
        <v/>
      </c>
      <c r="HR73" s="62">
        <f>SUMIFS(tblSafety[Near_Miss],tblSafety[Date],$A73)</f>
        <v/>
      </c>
      <c r="HS73" s="62">
        <f>IF($B73=$B72,$HS72,0)+$HR73</f>
        <v/>
      </c>
      <c r="HT73" s="62">
        <f>$HT72+$HR73</f>
        <v/>
      </c>
      <c r="HU73" s="62">
        <f>SUMIFS(tblSafety[Hazard_Reports],tblSafety[Date],$A73)</f>
        <v/>
      </c>
      <c r="HV73" s="62">
        <f>IF($B73=$B72,$HV72,0)+$HU73</f>
        <v/>
      </c>
      <c r="HW73" s="62">
        <f>$HW72+$HU73</f>
        <v/>
      </c>
      <c r="HX73" s="62">
        <f>SUMIFS(tblSafety[HPI],tblSafety[Date],$A73)</f>
        <v/>
      </c>
      <c r="HY73" s="62">
        <f>IF($B73=$B72,$HY72,0)+$HX73</f>
        <v/>
      </c>
      <c r="HZ73" s="62">
        <f>$HZ72+$HX73</f>
        <v/>
      </c>
      <c r="IA73" s="62">
        <f>SUMIFS(tblSafety[Env_Incidents],tblSafety[Date],$A73)</f>
        <v/>
      </c>
      <c r="IB73" s="62">
        <f>IF($B73=$B72,$IB72,0)+$IA73</f>
        <v/>
      </c>
      <c r="IC73" s="62">
        <f>$IC72+$IA73</f>
        <v/>
      </c>
      <c r="ID73" s="62">
        <f>SUMIFS(tblSafety[Community_Incidents],tblSafety[Date],$A73)</f>
        <v/>
      </c>
      <c r="IE73" s="62">
        <f>IF($B73=$B72,$IE72,0)+$ID73</f>
        <v/>
      </c>
      <c r="IF73" s="62">
        <f>$IF72+$ID73</f>
        <v/>
      </c>
      <c r="IG73" s="62">
        <f>SUMIFS(tblSafety[Vehicle_Incidents],tblSafety[Date],$A73)</f>
        <v/>
      </c>
      <c r="IH73" s="62">
        <f>IF($B73=$B72,$IH72,0)+$IG73</f>
        <v/>
      </c>
      <c r="II73" s="62">
        <f>$II72+$IG73</f>
        <v/>
      </c>
      <c r="IJ73" s="62">
        <f>SUMIFS(tblSafety[Toolbox_Talks],tblSafety[Date],$A73)</f>
        <v/>
      </c>
      <c r="IK73" s="62">
        <f>IF($B73=$B72,$IK72,0)+$IJ73</f>
        <v/>
      </c>
      <c r="IL73" s="62">
        <f>$IL72+$IJ73</f>
        <v/>
      </c>
      <c r="IM73" s="62">
        <f>SUMIFS(tblSafety[Inspections],tblSafety[Date],$A73)</f>
        <v/>
      </c>
      <c r="IN73" s="62">
        <f>IF($B73=$B72,$IN72,0)+$IM73</f>
        <v/>
      </c>
      <c r="IO73" s="62">
        <f>$IO72+$IM73</f>
        <v/>
      </c>
      <c r="IP73" s="56">
        <f>IFERROR((SUMIFS(tblSafety[Recordables],tblSafety[Date],"&gt;="&amp;EDATE($E73,-12),tblSafety[Date],"&lt;="&amp;$A73)+SUMIFS(tblSafetyHistory[Recordables],tblSafetyHistory[Month],"&gt;="&amp;EDATE($E73,-12),tblSafetyHistory[Month],"&lt;"&amp;$E73,tblSafetyHistory[Use],1))/(SUMIFS(tblSafety[Hours_Total],tblSafety[Date],"&gt;="&amp;EDATE($E73,-12),tblSafety[Date],"&lt;="&amp;$A73)+SUMIFS(tblSafetyHistory[Hours_Total],tblSafetyHistory[Month],"&gt;="&amp;EDATE($E73,-12),tblSafetyHistory[Month],"&lt;"&amp;$E73,tblSafetyHistory[Use],1))*cfg_RateBasisHours,"")</f>
        <v/>
      </c>
      <c r="IQ73" s="56">
        <f>IFERROR((SUMIFS(tblSafety[LTI],tblSafety[Date],"&gt;="&amp;EDATE($E73,-12),tblSafety[Date],"&lt;="&amp;$A73)+SUMIFS(tblSafetyHistory[LTI],tblSafetyHistory[Month],"&gt;="&amp;EDATE($E73,-12),tblSafetyHistory[Month],"&lt;"&amp;$E73,tblSafetyHistory[Use],1))/(SUMIFS(tblSafety[Hours_Total],tblSafety[Date],"&gt;="&amp;EDATE($E73,-12),tblSafety[Date],"&lt;="&amp;$A73)+SUMIFS(tblSafetyHistory[Hours_Total],tblSafetyHistory[Month],"&gt;="&amp;EDATE($E73,-12),tblSafetyHistory[Month],"&lt;"&amp;$E73,tblSafetyHistory[Use],1))*cfg_RateBasisHours,"")</f>
        <v/>
      </c>
      <c r="IR73" s="62">
        <f>IF(MAX(N(cfg_PriorLTIDate),_xlfn.MAXIFS(tblSafety[Date],tblSafety[LTI],"&gt;0",tblSafety[Date],"&lt;="&amp;$A73))=0,"",$A73-MAX(N(cfg_PriorLTIDate),_xlfn.MAXIFS(tblSafety[Date],tblSafety[LTI],"&gt;0",tblSafety[Date],"&lt;="&amp;$A73)))</f>
        <v/>
      </c>
      <c r="IS73" s="55">
        <f>SUMIFS(tblBudget[Ore_Mined_t],tblBudget[Month],$E73)</f>
        <v/>
      </c>
      <c r="IT73" s="55">
        <f>$IS73*$C73/$D73</f>
        <v/>
      </c>
      <c r="IU73" s="55">
        <f>SUMIFS(tblBudget[Ore_Mined_t],tblBudget[Month],"&lt;"&amp;$E73)+$IT73</f>
        <v/>
      </c>
      <c r="IV73" s="55">
        <f>SUMIFS(tblBudget[Ore_oz],tblBudget[Month],$E73)</f>
        <v/>
      </c>
      <c r="IW73" s="55">
        <f>$IV73*$C73/$D73</f>
        <v/>
      </c>
      <c r="IX73" s="55">
        <f>SUMIFS(tblBudget[Ore_oz],tblBudget[Month],"&lt;"&amp;$E73)+$IW73</f>
        <v/>
      </c>
      <c r="IY73" s="55">
        <f>SUMIFS(tblBudget[Ore_Mined_t],tblBudget[Month],$E73)</f>
        <v/>
      </c>
      <c r="IZ73" s="55">
        <f>$IY73*$C73/$D73</f>
        <v/>
      </c>
      <c r="JA73" s="55">
        <f>SUMIFS(tblBudget[Ore_Mined_t],tblBudget[Month],"&lt;"&amp;$E73)+$IZ73</f>
        <v/>
      </c>
      <c r="JB73" s="56">
        <f>IFERROR(IF(($IY73)&gt;0,($IV73*cfg_TroyOz)/($IY73),""),"")</f>
        <v/>
      </c>
      <c r="JC73" s="56">
        <f>IFERROR(IF(($IZ73)&gt;0,($IW73*cfg_TroyOz)/($IZ73),""),"")</f>
        <v/>
      </c>
      <c r="JD73" s="56">
        <f>IFERROR(IF(($JA73)&gt;0,($IX73*cfg_TroyOz)/($JA73),""),"")</f>
        <v/>
      </c>
      <c r="JE73" s="55">
        <f>SUMIFS(tblBudget[Waste_t],tblBudget[Month],$E73)</f>
        <v/>
      </c>
      <c r="JF73" s="55">
        <f>$JE73*$C73/$D73</f>
        <v/>
      </c>
      <c r="JG73" s="55">
        <f>SUMIFS(tblBudget[Waste_t],tblBudget[Month],"&lt;"&amp;$E73)+$JF73</f>
        <v/>
      </c>
      <c r="JH73" s="55">
        <f>SUMIFS(tblBudget[TMM_t],tblBudget[Month],$E73)</f>
        <v/>
      </c>
      <c r="JI73" s="55">
        <f>$JH73*$C73/$D73</f>
        <v/>
      </c>
      <c r="JJ73" s="55">
        <f>SUMIFS(tblBudget[TMM_t],tblBudget[Month],"&lt;"&amp;$E73)+$JI73</f>
        <v/>
      </c>
      <c r="JK73" s="56">
        <f>IFERROR(IF(($IS73)&gt;0,($JE73)/($IS73),""),"")</f>
        <v/>
      </c>
      <c r="JL73" s="56">
        <f>IFERROR(IF(($IT73)&gt;0,($JF73)/($IT73),""),"")</f>
        <v/>
      </c>
      <c r="JM73" s="56">
        <f>IFERROR(IF(($IU73)&gt;0,($JG73)/($IU73),""),"")</f>
        <v/>
      </c>
      <c r="JN73" s="55">
        <f>SUMIFS(tblBudget[Drill_m],tblBudget[Month],$E73)</f>
        <v/>
      </c>
      <c r="JO73" s="55">
        <f>$JN73*$C73/$D73</f>
        <v/>
      </c>
      <c r="JP73" s="55">
        <f>SUMIFS(tblBudget[Drill_m],tblBudget[Month],"&lt;"&amp;$E73)+$JO73</f>
        <v/>
      </c>
      <c r="JQ73" s="55">
        <f>SUMIFS(tblBudget[Diesel_L],tblBudget[Month],$E73)</f>
        <v/>
      </c>
      <c r="JR73" s="55">
        <f>$JQ73*$C73/$D73</f>
        <v/>
      </c>
      <c r="JS73" s="55">
        <f>SUMIFS(tblBudget[Diesel_L],tblBudget[Month],"&lt;"&amp;$E73)+$JR73</f>
        <v/>
      </c>
      <c r="JT73" s="55">
        <f>SUMIFS(tblBudget[Milled_t],tblBudget[Month],$E73)</f>
        <v/>
      </c>
      <c r="JU73" s="55">
        <f>$JT73*$C73/$D73</f>
        <v/>
      </c>
      <c r="JV73" s="55">
        <f>SUMIFS(tblBudget[Milled_t],tblBudget[Month],"&lt;"&amp;$E73)+$JU73</f>
        <v/>
      </c>
      <c r="JW73" s="55">
        <f>SUMIFS(tblBudget[Feed_oz],tblBudget[Month],$E73)</f>
        <v/>
      </c>
      <c r="JX73" s="55">
        <f>$JW73*$C73/$D73</f>
        <v/>
      </c>
      <c r="JY73" s="55">
        <f>SUMIFS(tblBudget[Feed_oz],tblBudget[Month],"&lt;"&amp;$E73)+$JX73</f>
        <v/>
      </c>
      <c r="JZ73" s="55">
        <f>SUMIFS(tblBudget[Recovered_oz],tblBudget[Month],$E73)</f>
        <v/>
      </c>
      <c r="KA73" s="55">
        <f>$JZ73*$C73/$D73</f>
        <v/>
      </c>
      <c r="KB73" s="55">
        <f>SUMIFS(tblBudget[Recovered_oz],tblBudget[Month],"&lt;"&amp;$E73)+$KA73</f>
        <v/>
      </c>
      <c r="KC73" s="55">
        <f>SUMIFS(tblBudget[Milled_t],tblBudget[Month],$E73)</f>
        <v/>
      </c>
      <c r="KD73" s="55">
        <f>$KC73*$C73/$D73</f>
        <v/>
      </c>
      <c r="KE73" s="55">
        <f>SUMIFS(tblBudget[Milled_t],tblBudget[Month],"&lt;"&amp;$E73)+$KD73</f>
        <v/>
      </c>
      <c r="KF73" s="55">
        <f>SUMIFS(tblBudget[Feed_oz],tblBudget[Month],$E73)</f>
        <v/>
      </c>
      <c r="KG73" s="55">
        <f>$KF73*$C73/$D73</f>
        <v/>
      </c>
      <c r="KH73" s="55">
        <f>SUMIFS(tblBudget[Feed_oz],tblBudget[Month],"&lt;"&amp;$E73)+$KG73</f>
        <v/>
      </c>
      <c r="KI73" s="56">
        <f>IFERROR(IF(($KC73)&gt;0,($JW73*cfg_TroyOz)/($KC73),""),"")</f>
        <v/>
      </c>
      <c r="KJ73" s="56">
        <f>IFERROR(IF(($KD73)&gt;0,($JX73*cfg_TroyOz)/($KD73),""),"")</f>
        <v/>
      </c>
      <c r="KK73" s="56">
        <f>IFERROR(IF(($KE73)&gt;0,($JY73*cfg_TroyOz)/($KE73),""),"")</f>
        <v/>
      </c>
      <c r="KL73" s="67">
        <f>IFERROR(IF(($KF73)&gt;0,($JZ73)/($KF73),""),"")</f>
        <v/>
      </c>
      <c r="KM73" s="67">
        <f>IFERROR(IF(($KG73)&gt;0,($KA73)/($KG73),""),"")</f>
        <v/>
      </c>
      <c r="KN73" s="67">
        <f>IFERROR(IF(($KH73)&gt;0,($KB73)/($KH73),""),"")</f>
        <v/>
      </c>
      <c r="KO73" s="55">
        <f>SUMIFS(tblBudget[Gold_Poured_oz],tblBudget[Month],$E73)</f>
        <v/>
      </c>
      <c r="KP73" s="55">
        <f>$KO73*$C73/$D73</f>
        <v/>
      </c>
      <c r="KQ73" s="55">
        <f>SUMIFS(tblBudget[Gold_Poured_oz],tblBudget[Month],"&lt;"&amp;$E73)+$KP73</f>
        <v/>
      </c>
      <c r="KR73" s="57">
        <f>SUMIFS(tblBudget[Hours_Worked],tblBudget[Month],$E73)</f>
        <v/>
      </c>
      <c r="KS73" s="57">
        <f>$KR73*$C73/$D73</f>
        <v/>
      </c>
      <c r="KT73" s="57">
        <f>SUMIFS(tblBudget[Hours_Worked],tblBudget[Month],"&lt;"&amp;$E73)+$KS73</f>
        <v/>
      </c>
    </row>
    <row r="74">
      <c r="A74" s="54" t="n">
        <v>46095</v>
      </c>
      <c r="B74">
        <f>MONTH($A74)</f>
        <v/>
      </c>
      <c r="C74">
        <f>DAY($A74)</f>
        <v/>
      </c>
      <c r="D74">
        <f>DAY(EOMONTH($A74,0))</f>
        <v/>
      </c>
      <c r="E74" s="54">
        <f>DATE(YEAR($A74),MONTH($A74),1)</f>
        <v/>
      </c>
      <c r="F74" s="55">
        <f>SUMIFS(tblMovement[Tonnes_t],tblMovement[Date],$A74,tblMovement[Is_Ore],1,tblMovement[Source_Type],"Pit")</f>
        <v/>
      </c>
      <c r="G74" s="55">
        <f>IF($B74=$B73,$G73,0)+$F74</f>
        <v/>
      </c>
      <c r="H74" s="55">
        <f>$H73+$F74</f>
        <v/>
      </c>
      <c r="I74" s="55">
        <f>SUMIFS(tblMovement[Ore_oz],tblMovement[Date],$A74,tblMovement[Source_Type],"Pit")</f>
        <v/>
      </c>
      <c r="J74" s="55">
        <f>IF($B74=$B73,$J73,0)+$I74</f>
        <v/>
      </c>
      <c r="K74" s="55">
        <f>$K73+$I74</f>
        <v/>
      </c>
      <c r="L74" s="55">
        <f>SUMIFS(tblMovement[Tonnes_t],tblMovement[Date],$A74,tblMovement[Is_Ore],1,tblMovement[Source_Type],"Pit",tblMovement[Grade_gpt],"&lt;&gt;")</f>
        <v/>
      </c>
      <c r="M74" s="55">
        <f>IF($B74=$B73,$M73,0)+$L74</f>
        <v/>
      </c>
      <c r="N74" s="55">
        <f>$N73+$L74</f>
        <v/>
      </c>
      <c r="O74" s="56">
        <f>IFERROR(IF(($L74)&gt;0,($I74*cfg_TroyOz)/($L74),""),"")</f>
        <v/>
      </c>
      <c r="P74" s="56">
        <f>IFERROR(IF(($M74)&gt;0,($J74*cfg_TroyOz)/($M74),""),"")</f>
        <v/>
      </c>
      <c r="Q74" s="56">
        <f>IFERROR(IF(($N74)&gt;0,($K74*cfg_TroyOz)/($N74),""),"")</f>
        <v/>
      </c>
      <c r="R74" s="55">
        <f>$F74-$L74</f>
        <v/>
      </c>
      <c r="S74" s="55">
        <f>IF($B74=$B73,$S73,0)+$R74</f>
        <v/>
      </c>
      <c r="T74" s="55">
        <f>$T73+$R74</f>
        <v/>
      </c>
      <c r="U74" s="55">
        <f>SUMIFS(tblMovement[Tonnes_t],tblMovement[Date],$A74,tblMovement[Is_Ore],0,tblMovement[Source_Type],"Pit")</f>
        <v/>
      </c>
      <c r="V74" s="55">
        <f>IF($B74=$B73,$V73,0)+$U74</f>
        <v/>
      </c>
      <c r="W74" s="55">
        <f>$W73+$U74</f>
        <v/>
      </c>
      <c r="X74" s="55">
        <f>$F74+$U74</f>
        <v/>
      </c>
      <c r="Y74" s="55">
        <f>IF($B74=$B73,$Y73,0)+$X74</f>
        <v/>
      </c>
      <c r="Z74" s="55">
        <f>$Z73+$X74</f>
        <v/>
      </c>
      <c r="AA74" s="56">
        <f>IFERROR(IF(($F74)&gt;0,($U74)/($F74),""),"")</f>
        <v/>
      </c>
      <c r="AB74" s="56">
        <f>IFERROR(IF(($G74)&gt;0,($V74)/($G74),""),"")</f>
        <v/>
      </c>
      <c r="AC74" s="56">
        <f>IFERROR(IF(($H74)&gt;0,($W74)/($H74),""),"")</f>
        <v/>
      </c>
      <c r="AD74" s="55">
        <f>SUMIFS(tblMovement[Tonnes_t],tblMovement[Date],$A74,tblMovement[Source_Type],"Stockpile")</f>
        <v/>
      </c>
      <c r="AE74" s="55">
        <f>IF($B74=$B73,$AE73,0)+$AD74</f>
        <v/>
      </c>
      <c r="AF74" s="55">
        <f>$AF73+$AD74</f>
        <v/>
      </c>
      <c r="AG74" s="55">
        <f>SUMIFS(tblMovement[Tonnes_t],tblMovement[Date],$A74)</f>
        <v/>
      </c>
      <c r="AH74" s="55">
        <f>IF($B74=$B73,$AH73,0)+$AG74</f>
        <v/>
      </c>
      <c r="AI74" s="55">
        <f>$AI73+$AG74</f>
        <v/>
      </c>
      <c r="AJ74" s="55">
        <f>$AG74-$X74-$AD74</f>
        <v/>
      </c>
      <c r="AK74" s="55">
        <f>IF($B74=$B73,$AK73,0)+$AJ74</f>
        <v/>
      </c>
      <c r="AL74" s="55">
        <f>$AL73+$AJ74</f>
        <v/>
      </c>
      <c r="AM74" s="55">
        <f>SUMIFS(tblMiningDaily[Drill_m],tblMiningDaily[Date],$A74)</f>
        <v/>
      </c>
      <c r="AN74" s="55">
        <f>IF($B74=$B73,$AN73,0)+$AM74</f>
        <v/>
      </c>
      <c r="AO74" s="55">
        <f>$AO73+$AM74</f>
        <v/>
      </c>
      <c r="AP74" s="55">
        <f>SUMIFS(tblMiningDaily[GC_Drill_m],tblMiningDaily[Date],$A74)</f>
        <v/>
      </c>
      <c r="AQ74" s="55">
        <f>IF($B74=$B73,$AQ73,0)+$AP74</f>
        <v/>
      </c>
      <c r="AR74" s="55">
        <f>$AR73+$AP74</f>
        <v/>
      </c>
      <c r="AS74" s="55">
        <f>SUMIFS(tblMiningDaily[Blast_t],tblMiningDaily[Date],$A74)</f>
        <v/>
      </c>
      <c r="AT74" s="55">
        <f>IF($B74=$B73,$AT73,0)+$AS74</f>
        <v/>
      </c>
      <c r="AU74" s="55">
        <f>$AU73+$AS74</f>
        <v/>
      </c>
      <c r="AV74" s="55">
        <f>SUMIFS(tblMiningDaily[Explosives_kg],tblMiningDaily[Date],$A74)</f>
        <v/>
      </c>
      <c r="AW74" s="55">
        <f>IF($B74=$B73,$AW73,0)+$AV74</f>
        <v/>
      </c>
      <c r="AX74" s="55">
        <f>$AX73+$AV74</f>
        <v/>
      </c>
      <c r="AY74" s="56">
        <f>IFERROR(IF(($AS74)&gt;0,($AV74)/($AS74),""),"")</f>
        <v/>
      </c>
      <c r="AZ74" s="56">
        <f>IFERROR(IF(($AT74)&gt;0,($AW74)/($AT74),""),"")</f>
        <v/>
      </c>
      <c r="BA74" s="56">
        <f>IFERROR(IF(($AU74)&gt;0,($AX74)/($AU74),""),"")</f>
        <v/>
      </c>
      <c r="BB74" s="55">
        <f>SUMIFS(tblMiningDaily[Diesel_L],tblMiningDaily[Date],$A74)</f>
        <v/>
      </c>
      <c r="BC74" s="55">
        <f>IF($B74=$B73,$BC73,0)+$BB74</f>
        <v/>
      </c>
      <c r="BD74" s="55">
        <f>$BD73+$BB74</f>
        <v/>
      </c>
      <c r="BE74" s="55">
        <f>SUMIFS(tblMiningDaily[Dewatering_m3],tblMiningDaily[Date],$A74)</f>
        <v/>
      </c>
      <c r="BF74" s="55">
        <f>IF($B74=$B73,$BF73,0)+$BE74</f>
        <v/>
      </c>
      <c r="BG74" s="55">
        <f>$BG73+$BE74</f>
        <v/>
      </c>
      <c r="BH74" s="57">
        <f>SUMIFS(tblFleet[Calendar_h],tblFleet[Date],$A74,tblFleet[Equipment_Class],"Excavator")</f>
        <v/>
      </c>
      <c r="BI74" s="57">
        <f>IF($B74=$B73,$BI73,0)+$BH74</f>
        <v/>
      </c>
      <c r="BJ74" s="57">
        <f>$BJ73+$BH74</f>
        <v/>
      </c>
      <c r="BK74" s="57">
        <f>SUMIFS(tblFleet[Available_h],tblFleet[Date],$A74,tblFleet[Equipment_Class],"Excavator")</f>
        <v/>
      </c>
      <c r="BL74" s="57">
        <f>IF($B74=$B73,$BL73,0)+$BK74</f>
        <v/>
      </c>
      <c r="BM74" s="57">
        <f>$BM73+$BK74</f>
        <v/>
      </c>
      <c r="BN74" s="57">
        <f>SUMIFS(tblFleet[Operating_h],tblFleet[Date],$A74,tblFleet[Equipment_Class],"Excavator")</f>
        <v/>
      </c>
      <c r="BO74" s="57">
        <f>IF($B74=$B73,$BO73,0)+$BN74</f>
        <v/>
      </c>
      <c r="BP74" s="57">
        <f>$BP73+$BN74</f>
        <v/>
      </c>
      <c r="BQ74" s="67">
        <f>IFERROR(IF(($BH74)&gt;0,($BK74)/($BH74),""),"")</f>
        <v/>
      </c>
      <c r="BR74" s="67">
        <f>IFERROR(IF(($BI74)&gt;0,($BL74)/($BI74),""),"")</f>
        <v/>
      </c>
      <c r="BS74" s="67">
        <f>IFERROR(IF(($BJ74)&gt;0,($BM74)/($BJ74),""),"")</f>
        <v/>
      </c>
      <c r="BT74" s="67">
        <f>IFERROR(IF(($BK74)&gt;0,($BN74)/($BK74),""),"")</f>
        <v/>
      </c>
      <c r="BU74" s="67">
        <f>IFERROR(IF(($BL74)&gt;0,($BO74)/($BL74),""),"")</f>
        <v/>
      </c>
      <c r="BV74" s="67">
        <f>IFERROR(IF(($BM74)&gt;0,($BP74)/($BM74),""),"")</f>
        <v/>
      </c>
      <c r="BW74" s="57">
        <f>SUMIFS(tblFleet[Calendar_h],tblFleet[Date],$A74,tblFleet[Equipment_Class],"Haul Truck")</f>
        <v/>
      </c>
      <c r="BX74" s="57">
        <f>IF($B74=$B73,$BX73,0)+$BW74</f>
        <v/>
      </c>
      <c r="BY74" s="57">
        <f>$BY73+$BW74</f>
        <v/>
      </c>
      <c r="BZ74" s="57">
        <f>SUMIFS(tblFleet[Available_h],tblFleet[Date],$A74,tblFleet[Equipment_Class],"Haul Truck")</f>
        <v/>
      </c>
      <c r="CA74" s="57">
        <f>IF($B74=$B73,$CA73,0)+$BZ74</f>
        <v/>
      </c>
      <c r="CB74" s="57">
        <f>$CB73+$BZ74</f>
        <v/>
      </c>
      <c r="CC74" s="57">
        <f>SUMIFS(tblFleet[Operating_h],tblFleet[Date],$A74,tblFleet[Equipment_Class],"Haul Truck")</f>
        <v/>
      </c>
      <c r="CD74" s="57">
        <f>IF($B74=$B73,$CD73,0)+$CC74</f>
        <v/>
      </c>
      <c r="CE74" s="57">
        <f>$CE73+$CC74</f>
        <v/>
      </c>
      <c r="CF74" s="67">
        <f>IFERROR(IF(($BW74)&gt;0,($BZ74)/($BW74),""),"")</f>
        <v/>
      </c>
      <c r="CG74" s="67">
        <f>IFERROR(IF(($BX74)&gt;0,($CA74)/($BX74),""),"")</f>
        <v/>
      </c>
      <c r="CH74" s="67">
        <f>IFERROR(IF(($BY74)&gt;0,($CB74)/($BY74),""),"")</f>
        <v/>
      </c>
      <c r="CI74" s="67">
        <f>IFERROR(IF(($BZ74)&gt;0,($CC74)/($BZ74),""),"")</f>
        <v/>
      </c>
      <c r="CJ74" s="67">
        <f>IFERROR(IF(($CA74)&gt;0,($CD74)/($CA74),""),"")</f>
        <v/>
      </c>
      <c r="CK74" s="67">
        <f>IFERROR(IF(($CB74)&gt;0,($CE74)/($CB74),""),"")</f>
        <v/>
      </c>
      <c r="CL74" s="55">
        <f>IFERROR(IF(($BN74)&gt;0,($X74+$AD74)/($BN74),""),"")</f>
        <v/>
      </c>
      <c r="CM74" s="55">
        <f>IFERROR(IF(($BO74)&gt;0,($Y74+$AE74)/($BO74),""),"")</f>
        <v/>
      </c>
      <c r="CN74" s="55">
        <f>IFERROR(IF(($BP74)&gt;0,($Z74+$AF74)/($BP74),""),"")</f>
        <v/>
      </c>
      <c r="CO74" s="55">
        <f>IFERROR(IF(($CC74)&gt;0,($X74+$AD74)/($CC74),""),"")</f>
        <v/>
      </c>
      <c r="CP74" s="55">
        <f>IFERROR(IF(($CD74)&gt;0,($Y74+$AE74)/($CD74),""),"")</f>
        <v/>
      </c>
      <c r="CQ74" s="55">
        <f>IFERROR(IF(($CE74)&gt;0,($Z74+$AF74)/($CE74),""),"")</f>
        <v/>
      </c>
      <c r="CR74" s="55">
        <f>SUMIFS(tblPlant[Crushed_t],tblPlant[Date],$A74)</f>
        <v/>
      </c>
      <c r="CS74" s="55">
        <f>IF($B74=$B73,$CS73,0)+$CR74</f>
        <v/>
      </c>
      <c r="CT74" s="55">
        <f>$CT73+$CR74</f>
        <v/>
      </c>
      <c r="CU74" s="55">
        <f>SUMIFS(tblPlant[Milled_t],tblPlant[Date],$A74)</f>
        <v/>
      </c>
      <c r="CV74" s="55">
        <f>IF($B74=$B73,$CV73,0)+$CU74</f>
        <v/>
      </c>
      <c r="CW74" s="55">
        <f>$CW73+$CU74</f>
        <v/>
      </c>
      <c r="CX74" s="55">
        <f>SUMIFS(tblPlant[Feed_oz],tblPlant[Date],$A74)</f>
        <v/>
      </c>
      <c r="CY74" s="55">
        <f>IF($B74=$B73,$CY73,0)+$CX74</f>
        <v/>
      </c>
      <c r="CZ74" s="55">
        <f>$CZ73+$CX74</f>
        <v/>
      </c>
      <c r="DA74" s="55">
        <f>SUMIFS(tblPlant[Tails_oz],tblPlant[Date],$A74)</f>
        <v/>
      </c>
      <c r="DB74" s="55">
        <f>IF($B74=$B73,$DB73,0)+$DA74</f>
        <v/>
      </c>
      <c r="DC74" s="55">
        <f>$DC73+$DA74</f>
        <v/>
      </c>
      <c r="DD74" s="55">
        <f>SUMIFS(tblPlant[Recovered_oz],tblPlant[Date],$A74)</f>
        <v/>
      </c>
      <c r="DE74" s="55">
        <f>IF($B74=$B73,$DE73,0)+$DD74</f>
        <v/>
      </c>
      <c r="DF74" s="55">
        <f>$DF73+$DD74</f>
        <v/>
      </c>
      <c r="DG74" s="55">
        <f>SUMIFS(tblPlant[Milled_t],tblPlant[Date],$A74,tblPlant[Head_Grade_gpt],"&lt;&gt;")</f>
        <v/>
      </c>
      <c r="DH74" s="55">
        <f>IF($B74=$B73,$DH73,0)+$DG74</f>
        <v/>
      </c>
      <c r="DI74" s="55">
        <f>$DI73+$DG74</f>
        <v/>
      </c>
      <c r="DJ74" s="55">
        <f>SUMIFS(tblPlant[Milled_t],tblPlant[Date],$A74,tblPlant[Tails_Grade_gpt],"&lt;&gt;")</f>
        <v/>
      </c>
      <c r="DK74" s="55">
        <f>IF($B74=$B73,$DK73,0)+$DJ74</f>
        <v/>
      </c>
      <c r="DL74" s="55">
        <f>$DL73+$DJ74</f>
        <v/>
      </c>
      <c r="DM74" s="55">
        <f>SUMIFS(tblPlant[Feed_oz],tblPlant[Date],$A74,tblPlant[Tails_Grade_gpt],"&lt;&gt;")</f>
        <v/>
      </c>
      <c r="DN74" s="55">
        <f>IF($B74=$B73,$DN73,0)+$DM74</f>
        <v/>
      </c>
      <c r="DO74" s="55">
        <f>$DO73+$DM74</f>
        <v/>
      </c>
      <c r="DP74" s="55">
        <f>SUMIFS(tblPlant[Milled_t],tblPlant[Date],$A74,tblPlant[Mill_Run_h],"&lt;&gt;")</f>
        <v/>
      </c>
      <c r="DQ74" s="55">
        <f>IF($B74=$B73,$DQ73,0)+$DP74</f>
        <v/>
      </c>
      <c r="DR74" s="55">
        <f>$DR73+$DP74</f>
        <v/>
      </c>
      <c r="DS74" s="56">
        <f>IFERROR(IF(($DG74)&gt;0,($CX74*cfg_TroyOz)/($DG74),""),"")</f>
        <v/>
      </c>
      <c r="DT74" s="56">
        <f>IFERROR(IF(($DH74)&gt;0,($CY74*cfg_TroyOz)/($DH74),""),"")</f>
        <v/>
      </c>
      <c r="DU74" s="56">
        <f>IFERROR(IF(($DI74)&gt;0,($CZ74*cfg_TroyOz)/($DI74),""),"")</f>
        <v/>
      </c>
      <c r="DV74" s="56">
        <f>IFERROR(IF(($DJ74)&gt;0,($DA74*cfg_TroyOz)/($DJ74),""),"")</f>
        <v/>
      </c>
      <c r="DW74" s="56">
        <f>IFERROR(IF(($DK74)&gt;0,($DB74*cfg_TroyOz)/($DK74),""),"")</f>
        <v/>
      </c>
      <c r="DX74" s="56">
        <f>IFERROR(IF(($DL74)&gt;0,($DC74*cfg_TroyOz)/($DL74),""),"")</f>
        <v/>
      </c>
      <c r="DY74" s="67">
        <f>IFERROR(IF(($DM74)&gt;0,($DD74)/($DM74),""),"")</f>
        <v/>
      </c>
      <c r="DZ74" s="67">
        <f>IFERROR(IF(($DN74)&gt;0,($DE74)/($DN74),""),"")</f>
        <v/>
      </c>
      <c r="EA74" s="67">
        <f>IFERROR(IF(($DO74)&gt;0,($DF74)/($DO74),""),"")</f>
        <v/>
      </c>
      <c r="EB74" s="55">
        <f>SUMIFS(tblPlant[Gravity_Gold_oz],tblPlant[Date],$A74)</f>
        <v/>
      </c>
      <c r="EC74" s="55">
        <f>IF($B74=$B73,$EC73,0)+$EB74</f>
        <v/>
      </c>
      <c r="ED74" s="55">
        <f>$ED73+$EB74</f>
        <v/>
      </c>
      <c r="EE74" s="67">
        <f>IFERROR(IF(($DD74)&gt;0,($EB74)/($DD74),""),"")</f>
        <v/>
      </c>
      <c r="EF74" s="67">
        <f>IFERROR(IF(($DE74)&gt;0,($EC74)/($DE74),""),"")</f>
        <v/>
      </c>
      <c r="EG74" s="67">
        <f>IFERROR(IF(($DF74)&gt;0,($ED74)/($DF74),""),"")</f>
        <v/>
      </c>
      <c r="EH74" s="55">
        <f>SUMIFS(tblPlant[Gold_Poured_oz],tblPlant[Date],$A74)</f>
        <v/>
      </c>
      <c r="EI74" s="55">
        <f>IF($B74=$B73,$EI73,0)+$EH74</f>
        <v/>
      </c>
      <c r="EJ74" s="55">
        <f>$EJ73+$EH74</f>
        <v/>
      </c>
      <c r="EK74" s="57">
        <f>SUMIFS(tblPlant[Mill_Run_h],tblPlant[Date],$A74)</f>
        <v/>
      </c>
      <c r="EL74" s="57">
        <f>IF($B74=$B73,$EL73,0)+$EK74</f>
        <v/>
      </c>
      <c r="EM74" s="57">
        <f>$EM73+$EK74</f>
        <v/>
      </c>
      <c r="EN74" s="57">
        <f>SUMIFS(tblPlant[Mill_Planned_Maint_h],tblPlant[Date],$A74)</f>
        <v/>
      </c>
      <c r="EO74" s="57">
        <f>IF($B74=$B73,$EO73,0)+$EN74</f>
        <v/>
      </c>
      <c r="EP74" s="57">
        <f>$EP73+$EN74</f>
        <v/>
      </c>
      <c r="EQ74" s="57">
        <f>SUMIFS(tblPlant[Mill_Unplanned_Down_h],tblPlant[Date],$A74)</f>
        <v/>
      </c>
      <c r="ER74" s="57">
        <f>IF($B74=$B73,$ER73,0)+$EQ74</f>
        <v/>
      </c>
      <c r="ES74" s="57">
        <f>$ES73+$EQ74</f>
        <v/>
      </c>
      <c r="ET74" s="57">
        <f>IF(COUNTIFS(tblPlant[Date],$A74,tblPlant[Mill_Run_h],"&lt;&gt;")+COUNTIFS(tblPlant[Date],$A74,tblPlant[Mill_Planned_Maint_h],"&lt;&gt;")+COUNTIFS(tblPlant[Date],$A74,tblPlant[Mill_Unplanned_Down_h],"&lt;&gt;")&gt;0,cfg_HoursPerDay,0)</f>
        <v/>
      </c>
      <c r="EU74" s="57">
        <f>IF($B74=$B73,$EU73,0)+$ET74</f>
        <v/>
      </c>
      <c r="EV74" s="57">
        <f>$EV73+$ET74</f>
        <v/>
      </c>
      <c r="EW74" s="57">
        <f>SUMIFS(tblPlant[Crusher_Run_h],tblPlant[Date],$A74)</f>
        <v/>
      </c>
      <c r="EX74" s="57">
        <f>IF($B74=$B73,$EX73,0)+$EW74</f>
        <v/>
      </c>
      <c r="EY74" s="57">
        <f>$EY73+$EW74</f>
        <v/>
      </c>
      <c r="EZ74" s="55">
        <f>IFERROR(IF(($EK74)&gt;0,($DP74)/($EK74),""),"")</f>
        <v/>
      </c>
      <c r="FA74" s="55">
        <f>IFERROR(IF(($EL74)&gt;0,($DQ74)/($EL74),""),"")</f>
        <v/>
      </c>
      <c r="FB74" s="55">
        <f>IFERROR(IF(($EM74)&gt;0,($DR74)/($EM74),""),"")</f>
        <v/>
      </c>
      <c r="FC74" s="67">
        <f>IFERROR(IF(($ET74)&gt;0,($ET74-$EN74-$EQ74)/($ET74),""),"")</f>
        <v/>
      </c>
      <c r="FD74" s="67">
        <f>IFERROR(IF(($EU74)&gt;0,($EU74-$EO74-$ER74)/($EU74),""),"")</f>
        <v/>
      </c>
      <c r="FE74" s="67">
        <f>IFERROR(IF(($EV74)&gt;0,($EV74-$EP74-$ES74)/($EV74),""),"")</f>
        <v/>
      </c>
      <c r="FF74" s="67">
        <f>IFERROR(IF(($ET74-$EN74-$EQ74)&gt;0,($EK74)/($ET74-$EN74-$EQ74),""),"")</f>
        <v/>
      </c>
      <c r="FG74" s="67">
        <f>IFERROR(IF(($EU74-$EO74-$ER74)&gt;0,($EL74)/($EU74-$EO74-$ER74),""),"")</f>
        <v/>
      </c>
      <c r="FH74" s="67">
        <f>IFERROR(IF(($EV74-$EP74-$ES74)&gt;0,($EM74)/($EV74-$EP74-$ES74),""),"")</f>
        <v/>
      </c>
      <c r="FI74" s="55">
        <f>SUMIFS(tblPlant[Cyanide_kg],tblPlant[Date],$A74)</f>
        <v/>
      </c>
      <c r="FJ74" s="55">
        <f>IF($B74=$B73,$FJ73,0)+$FI74</f>
        <v/>
      </c>
      <c r="FK74" s="55">
        <f>$FK73+$FI74</f>
        <v/>
      </c>
      <c r="FL74" s="55">
        <f>SUMIFS(tblPlant[Lime_kg],tblPlant[Date],$A74)</f>
        <v/>
      </c>
      <c r="FM74" s="55">
        <f>IF($B74=$B73,$FM73,0)+$FL74</f>
        <v/>
      </c>
      <c r="FN74" s="55">
        <f>$FN73+$FL74</f>
        <v/>
      </c>
      <c r="FO74" s="55">
        <f>SUMIFS(tblPlant[Grinding_Media_kg],tblPlant[Date],$A74)</f>
        <v/>
      </c>
      <c r="FP74" s="55">
        <f>IF($B74=$B73,$FP73,0)+$FO74</f>
        <v/>
      </c>
      <c r="FQ74" s="55">
        <f>$FQ73+$FO74</f>
        <v/>
      </c>
      <c r="FR74" s="55">
        <f>SUMIFS(tblPlant[Power_kWh],tblPlant[Date],$A74)</f>
        <v/>
      </c>
      <c r="FS74" s="55">
        <f>IF($B74=$B73,$FS73,0)+$FR74</f>
        <v/>
      </c>
      <c r="FT74" s="55">
        <f>$FT73+$FR74</f>
        <v/>
      </c>
      <c r="FU74" s="55">
        <f>SUMIFS(tblPlant[Raw_Water_m3],tblPlant[Date],$A74)</f>
        <v/>
      </c>
      <c r="FV74" s="55">
        <f>IF($B74=$B73,$FV73,0)+$FU74</f>
        <v/>
      </c>
      <c r="FW74" s="55">
        <f>$FW73+$FU74</f>
        <v/>
      </c>
      <c r="FX74" s="56">
        <f>IFERROR(IF(($CU74)&gt;0,($FI74)/($CU74),""),"")</f>
        <v/>
      </c>
      <c r="FY74" s="56">
        <f>IFERROR(IF(($CV74)&gt;0,($FJ74)/($CV74),""),"")</f>
        <v/>
      </c>
      <c r="FZ74" s="56">
        <f>IFERROR(IF(($CW74)&gt;0,($FK74)/($CW74),""),"")</f>
        <v/>
      </c>
      <c r="GA74" s="56">
        <f>IFERROR(IF(($CU74)&gt;0,($FL74)/($CU74),""),"")</f>
        <v/>
      </c>
      <c r="GB74" s="56">
        <f>IFERROR(IF(($CV74)&gt;0,($FM74)/($CV74),""),"")</f>
        <v/>
      </c>
      <c r="GC74" s="56">
        <f>IFERROR(IF(($CW74)&gt;0,($FN74)/($CW74),""),"")</f>
        <v/>
      </c>
      <c r="GD74" s="56">
        <f>IFERROR(IF(($CU74)&gt;0,($FO74)/($CU74),""),"")</f>
        <v/>
      </c>
      <c r="GE74" s="56">
        <f>IFERROR(IF(($CV74)&gt;0,($FP74)/($CV74),""),"")</f>
        <v/>
      </c>
      <c r="GF74" s="56">
        <f>IFERROR(IF(($CW74)&gt;0,($FQ74)/($CW74),""),"")</f>
        <v/>
      </c>
      <c r="GG74" s="79">
        <f>IFERROR(IF(($CU74)&gt;0,($FR74)/($CU74),""),"")</f>
        <v/>
      </c>
      <c r="GH74" s="79">
        <f>IFERROR(IF(($CV74)&gt;0,($FS74)/($CV74),""),"")</f>
        <v/>
      </c>
      <c r="GI74" s="79">
        <f>IFERROR(IF(($CW74)&gt;0,($FT74)/($CW74),""),"")</f>
        <v/>
      </c>
      <c r="GJ74" s="56">
        <f>IFERROR(IF(($CU74)&gt;0,($FU74)/($CU74),""),"")</f>
        <v/>
      </c>
      <c r="GK74" s="56">
        <f>IFERROR(IF(($CV74)&gt;0,($FV74)/($CV74),""),"")</f>
        <v/>
      </c>
      <c r="GL74" s="56">
        <f>IFERROR(IF(($CW74)&gt;0,($FW74)/($CW74),""),"")</f>
        <v/>
      </c>
      <c r="GM74" s="55">
        <f>IF(SUMIFS(tblPlant[GIC_oz],tblPlant[Date],$A74)&gt;0,SUMIFS(tblPlant[GIC_oz],tblPlant[Date],$A74),"")</f>
        <v/>
      </c>
      <c r="GN74" s="55">
        <f>SUMIFS(tblGold[Gold_oz],tblGold[Date],$A74,tblGold[Type],"Shipment")</f>
        <v/>
      </c>
      <c r="GO74" s="55">
        <f>IF($B74=$B73,$GO73,0)+$GN74</f>
        <v/>
      </c>
      <c r="GP74" s="55">
        <f>$GP73+$GN74</f>
        <v/>
      </c>
      <c r="GQ74" s="55">
        <f>SUMIFS(tblGold[Gold_oz],tblGold[Date],$A74,tblGold[Type],"Sale")</f>
        <v/>
      </c>
      <c r="GR74" s="55">
        <f>IF($B74=$B73,$GR73,0)+$GQ74</f>
        <v/>
      </c>
      <c r="GS74" s="55">
        <f>$GS73+$GQ74</f>
        <v/>
      </c>
      <c r="GT74" s="55">
        <f>SUMIFS(tblGold[Dore_kg],tblGold[Date],$A74,tblGold[Type],"Shipment")</f>
        <v/>
      </c>
      <c r="GU74" s="55">
        <f>IF($B74=$B73,$GU73,0)+$GT74</f>
        <v/>
      </c>
      <c r="GV74" s="55">
        <f>$GV73+$GT74</f>
        <v/>
      </c>
      <c r="GW74" s="57">
        <f>SUMIFS(tblSafety[Hours_Total],tblSafety[Date],$A74)</f>
        <v/>
      </c>
      <c r="GX74" s="57">
        <f>IF($B74=$B73,$GX73,0)+$GW74</f>
        <v/>
      </c>
      <c r="GY74" s="57">
        <f>$GY73+$GW74</f>
        <v/>
      </c>
      <c r="GZ74" s="62">
        <f>SUMIFS(tblSafety[Fatality],tblSafety[Date],$A74)</f>
        <v/>
      </c>
      <c r="HA74" s="62">
        <f>IF($B74=$B73,$HA73,0)+$GZ74</f>
        <v/>
      </c>
      <c r="HB74" s="62">
        <f>$HB73+$GZ74</f>
        <v/>
      </c>
      <c r="HC74" s="62">
        <f>SUMIFS(tblSafety[LTI],tblSafety[Date],$A74)</f>
        <v/>
      </c>
      <c r="HD74" s="62">
        <f>IF($B74=$B73,$HD73,0)+$HC74</f>
        <v/>
      </c>
      <c r="HE74" s="62">
        <f>$HE73+$HC74</f>
        <v/>
      </c>
      <c r="HF74" s="62">
        <f>SUMIFS(tblSafety[RWI],tblSafety[Date],$A74)</f>
        <v/>
      </c>
      <c r="HG74" s="62">
        <f>IF($B74=$B73,$HG73,0)+$HF74</f>
        <v/>
      </c>
      <c r="HH74" s="62">
        <f>$HH73+$HF74</f>
        <v/>
      </c>
      <c r="HI74" s="62">
        <f>SUMIFS(tblSafety[MTI],tblSafety[Date],$A74)</f>
        <v/>
      </c>
      <c r="HJ74" s="62">
        <f>IF($B74=$B73,$HJ73,0)+$HI74</f>
        <v/>
      </c>
      <c r="HK74" s="62">
        <f>$HK73+$HI74</f>
        <v/>
      </c>
      <c r="HL74" s="62">
        <f>SUMIFS(tblSafety[FAI],tblSafety[Date],$A74)</f>
        <v/>
      </c>
      <c r="HM74" s="62">
        <f>IF($B74=$B73,$HM73,0)+$HL74</f>
        <v/>
      </c>
      <c r="HN74" s="62">
        <f>$HN73+$HL74</f>
        <v/>
      </c>
      <c r="HO74" s="62">
        <f>SUMIFS(tblSafety[Recordables],tblSafety[Date],$A74)</f>
        <v/>
      </c>
      <c r="HP74" s="62">
        <f>IF($B74=$B73,$HP73,0)+$HO74</f>
        <v/>
      </c>
      <c r="HQ74" s="62">
        <f>$HQ73+$HO74</f>
        <v/>
      </c>
      <c r="HR74" s="62">
        <f>SUMIFS(tblSafety[Near_Miss],tblSafety[Date],$A74)</f>
        <v/>
      </c>
      <c r="HS74" s="62">
        <f>IF($B74=$B73,$HS73,0)+$HR74</f>
        <v/>
      </c>
      <c r="HT74" s="62">
        <f>$HT73+$HR74</f>
        <v/>
      </c>
      <c r="HU74" s="62">
        <f>SUMIFS(tblSafety[Hazard_Reports],tblSafety[Date],$A74)</f>
        <v/>
      </c>
      <c r="HV74" s="62">
        <f>IF($B74=$B73,$HV73,0)+$HU74</f>
        <v/>
      </c>
      <c r="HW74" s="62">
        <f>$HW73+$HU74</f>
        <v/>
      </c>
      <c r="HX74" s="62">
        <f>SUMIFS(tblSafety[HPI],tblSafety[Date],$A74)</f>
        <v/>
      </c>
      <c r="HY74" s="62">
        <f>IF($B74=$B73,$HY73,0)+$HX74</f>
        <v/>
      </c>
      <c r="HZ74" s="62">
        <f>$HZ73+$HX74</f>
        <v/>
      </c>
      <c r="IA74" s="62">
        <f>SUMIFS(tblSafety[Env_Incidents],tblSafety[Date],$A74)</f>
        <v/>
      </c>
      <c r="IB74" s="62">
        <f>IF($B74=$B73,$IB73,0)+$IA74</f>
        <v/>
      </c>
      <c r="IC74" s="62">
        <f>$IC73+$IA74</f>
        <v/>
      </c>
      <c r="ID74" s="62">
        <f>SUMIFS(tblSafety[Community_Incidents],tblSafety[Date],$A74)</f>
        <v/>
      </c>
      <c r="IE74" s="62">
        <f>IF($B74=$B73,$IE73,0)+$ID74</f>
        <v/>
      </c>
      <c r="IF74" s="62">
        <f>$IF73+$ID74</f>
        <v/>
      </c>
      <c r="IG74" s="62">
        <f>SUMIFS(tblSafety[Vehicle_Incidents],tblSafety[Date],$A74)</f>
        <v/>
      </c>
      <c r="IH74" s="62">
        <f>IF($B74=$B73,$IH73,0)+$IG74</f>
        <v/>
      </c>
      <c r="II74" s="62">
        <f>$II73+$IG74</f>
        <v/>
      </c>
      <c r="IJ74" s="62">
        <f>SUMIFS(tblSafety[Toolbox_Talks],tblSafety[Date],$A74)</f>
        <v/>
      </c>
      <c r="IK74" s="62">
        <f>IF($B74=$B73,$IK73,0)+$IJ74</f>
        <v/>
      </c>
      <c r="IL74" s="62">
        <f>$IL73+$IJ74</f>
        <v/>
      </c>
      <c r="IM74" s="62">
        <f>SUMIFS(tblSafety[Inspections],tblSafety[Date],$A74)</f>
        <v/>
      </c>
      <c r="IN74" s="62">
        <f>IF($B74=$B73,$IN73,0)+$IM74</f>
        <v/>
      </c>
      <c r="IO74" s="62">
        <f>$IO73+$IM74</f>
        <v/>
      </c>
      <c r="IP74" s="56">
        <f>IFERROR((SUMIFS(tblSafety[Recordables],tblSafety[Date],"&gt;="&amp;EDATE($E74,-12),tblSafety[Date],"&lt;="&amp;$A74)+SUMIFS(tblSafetyHistory[Recordables],tblSafetyHistory[Month],"&gt;="&amp;EDATE($E74,-12),tblSafetyHistory[Month],"&lt;"&amp;$E74,tblSafetyHistory[Use],1))/(SUMIFS(tblSafety[Hours_Total],tblSafety[Date],"&gt;="&amp;EDATE($E74,-12),tblSafety[Date],"&lt;="&amp;$A74)+SUMIFS(tblSafetyHistory[Hours_Total],tblSafetyHistory[Month],"&gt;="&amp;EDATE($E74,-12),tblSafetyHistory[Month],"&lt;"&amp;$E74,tblSafetyHistory[Use],1))*cfg_RateBasisHours,"")</f>
        <v/>
      </c>
      <c r="IQ74" s="56">
        <f>IFERROR((SUMIFS(tblSafety[LTI],tblSafety[Date],"&gt;="&amp;EDATE($E74,-12),tblSafety[Date],"&lt;="&amp;$A74)+SUMIFS(tblSafetyHistory[LTI],tblSafetyHistory[Month],"&gt;="&amp;EDATE($E74,-12),tblSafetyHistory[Month],"&lt;"&amp;$E74,tblSafetyHistory[Use],1))/(SUMIFS(tblSafety[Hours_Total],tblSafety[Date],"&gt;="&amp;EDATE($E74,-12),tblSafety[Date],"&lt;="&amp;$A74)+SUMIFS(tblSafetyHistory[Hours_Total],tblSafetyHistory[Month],"&gt;="&amp;EDATE($E74,-12),tblSafetyHistory[Month],"&lt;"&amp;$E74,tblSafetyHistory[Use],1))*cfg_RateBasisHours,"")</f>
        <v/>
      </c>
      <c r="IR74" s="62">
        <f>IF(MAX(N(cfg_PriorLTIDate),_xlfn.MAXIFS(tblSafety[Date],tblSafety[LTI],"&gt;0",tblSafety[Date],"&lt;="&amp;$A74))=0,"",$A74-MAX(N(cfg_PriorLTIDate),_xlfn.MAXIFS(tblSafety[Date],tblSafety[LTI],"&gt;0",tblSafety[Date],"&lt;="&amp;$A74)))</f>
        <v/>
      </c>
      <c r="IS74" s="55">
        <f>SUMIFS(tblBudget[Ore_Mined_t],tblBudget[Month],$E74)</f>
        <v/>
      </c>
      <c r="IT74" s="55">
        <f>$IS74*$C74/$D74</f>
        <v/>
      </c>
      <c r="IU74" s="55">
        <f>SUMIFS(tblBudget[Ore_Mined_t],tblBudget[Month],"&lt;"&amp;$E74)+$IT74</f>
        <v/>
      </c>
      <c r="IV74" s="55">
        <f>SUMIFS(tblBudget[Ore_oz],tblBudget[Month],$E74)</f>
        <v/>
      </c>
      <c r="IW74" s="55">
        <f>$IV74*$C74/$D74</f>
        <v/>
      </c>
      <c r="IX74" s="55">
        <f>SUMIFS(tblBudget[Ore_oz],tblBudget[Month],"&lt;"&amp;$E74)+$IW74</f>
        <v/>
      </c>
      <c r="IY74" s="55">
        <f>SUMIFS(tblBudget[Ore_Mined_t],tblBudget[Month],$E74)</f>
        <v/>
      </c>
      <c r="IZ74" s="55">
        <f>$IY74*$C74/$D74</f>
        <v/>
      </c>
      <c r="JA74" s="55">
        <f>SUMIFS(tblBudget[Ore_Mined_t],tblBudget[Month],"&lt;"&amp;$E74)+$IZ74</f>
        <v/>
      </c>
      <c r="JB74" s="56">
        <f>IFERROR(IF(($IY74)&gt;0,($IV74*cfg_TroyOz)/($IY74),""),"")</f>
        <v/>
      </c>
      <c r="JC74" s="56">
        <f>IFERROR(IF(($IZ74)&gt;0,($IW74*cfg_TroyOz)/($IZ74),""),"")</f>
        <v/>
      </c>
      <c r="JD74" s="56">
        <f>IFERROR(IF(($JA74)&gt;0,($IX74*cfg_TroyOz)/($JA74),""),"")</f>
        <v/>
      </c>
      <c r="JE74" s="55">
        <f>SUMIFS(tblBudget[Waste_t],tblBudget[Month],$E74)</f>
        <v/>
      </c>
      <c r="JF74" s="55">
        <f>$JE74*$C74/$D74</f>
        <v/>
      </c>
      <c r="JG74" s="55">
        <f>SUMIFS(tblBudget[Waste_t],tblBudget[Month],"&lt;"&amp;$E74)+$JF74</f>
        <v/>
      </c>
      <c r="JH74" s="55">
        <f>SUMIFS(tblBudget[TMM_t],tblBudget[Month],$E74)</f>
        <v/>
      </c>
      <c r="JI74" s="55">
        <f>$JH74*$C74/$D74</f>
        <v/>
      </c>
      <c r="JJ74" s="55">
        <f>SUMIFS(tblBudget[TMM_t],tblBudget[Month],"&lt;"&amp;$E74)+$JI74</f>
        <v/>
      </c>
      <c r="JK74" s="56">
        <f>IFERROR(IF(($IS74)&gt;0,($JE74)/($IS74),""),"")</f>
        <v/>
      </c>
      <c r="JL74" s="56">
        <f>IFERROR(IF(($IT74)&gt;0,($JF74)/($IT74),""),"")</f>
        <v/>
      </c>
      <c r="JM74" s="56">
        <f>IFERROR(IF(($IU74)&gt;0,($JG74)/($IU74),""),"")</f>
        <v/>
      </c>
      <c r="JN74" s="55">
        <f>SUMIFS(tblBudget[Drill_m],tblBudget[Month],$E74)</f>
        <v/>
      </c>
      <c r="JO74" s="55">
        <f>$JN74*$C74/$D74</f>
        <v/>
      </c>
      <c r="JP74" s="55">
        <f>SUMIFS(tblBudget[Drill_m],tblBudget[Month],"&lt;"&amp;$E74)+$JO74</f>
        <v/>
      </c>
      <c r="JQ74" s="55">
        <f>SUMIFS(tblBudget[Diesel_L],tblBudget[Month],$E74)</f>
        <v/>
      </c>
      <c r="JR74" s="55">
        <f>$JQ74*$C74/$D74</f>
        <v/>
      </c>
      <c r="JS74" s="55">
        <f>SUMIFS(tblBudget[Diesel_L],tblBudget[Month],"&lt;"&amp;$E74)+$JR74</f>
        <v/>
      </c>
      <c r="JT74" s="55">
        <f>SUMIFS(tblBudget[Milled_t],tblBudget[Month],$E74)</f>
        <v/>
      </c>
      <c r="JU74" s="55">
        <f>$JT74*$C74/$D74</f>
        <v/>
      </c>
      <c r="JV74" s="55">
        <f>SUMIFS(tblBudget[Milled_t],tblBudget[Month],"&lt;"&amp;$E74)+$JU74</f>
        <v/>
      </c>
      <c r="JW74" s="55">
        <f>SUMIFS(tblBudget[Feed_oz],tblBudget[Month],$E74)</f>
        <v/>
      </c>
      <c r="JX74" s="55">
        <f>$JW74*$C74/$D74</f>
        <v/>
      </c>
      <c r="JY74" s="55">
        <f>SUMIFS(tblBudget[Feed_oz],tblBudget[Month],"&lt;"&amp;$E74)+$JX74</f>
        <v/>
      </c>
      <c r="JZ74" s="55">
        <f>SUMIFS(tblBudget[Recovered_oz],tblBudget[Month],$E74)</f>
        <v/>
      </c>
      <c r="KA74" s="55">
        <f>$JZ74*$C74/$D74</f>
        <v/>
      </c>
      <c r="KB74" s="55">
        <f>SUMIFS(tblBudget[Recovered_oz],tblBudget[Month],"&lt;"&amp;$E74)+$KA74</f>
        <v/>
      </c>
      <c r="KC74" s="55">
        <f>SUMIFS(tblBudget[Milled_t],tblBudget[Month],$E74)</f>
        <v/>
      </c>
      <c r="KD74" s="55">
        <f>$KC74*$C74/$D74</f>
        <v/>
      </c>
      <c r="KE74" s="55">
        <f>SUMIFS(tblBudget[Milled_t],tblBudget[Month],"&lt;"&amp;$E74)+$KD74</f>
        <v/>
      </c>
      <c r="KF74" s="55">
        <f>SUMIFS(tblBudget[Feed_oz],tblBudget[Month],$E74)</f>
        <v/>
      </c>
      <c r="KG74" s="55">
        <f>$KF74*$C74/$D74</f>
        <v/>
      </c>
      <c r="KH74" s="55">
        <f>SUMIFS(tblBudget[Feed_oz],tblBudget[Month],"&lt;"&amp;$E74)+$KG74</f>
        <v/>
      </c>
      <c r="KI74" s="56">
        <f>IFERROR(IF(($KC74)&gt;0,($JW74*cfg_TroyOz)/($KC74),""),"")</f>
        <v/>
      </c>
      <c r="KJ74" s="56">
        <f>IFERROR(IF(($KD74)&gt;0,($JX74*cfg_TroyOz)/($KD74),""),"")</f>
        <v/>
      </c>
      <c r="KK74" s="56">
        <f>IFERROR(IF(($KE74)&gt;0,($JY74*cfg_TroyOz)/($KE74),""),"")</f>
        <v/>
      </c>
      <c r="KL74" s="67">
        <f>IFERROR(IF(($KF74)&gt;0,($JZ74)/($KF74),""),"")</f>
        <v/>
      </c>
      <c r="KM74" s="67">
        <f>IFERROR(IF(($KG74)&gt;0,($KA74)/($KG74),""),"")</f>
        <v/>
      </c>
      <c r="KN74" s="67">
        <f>IFERROR(IF(($KH74)&gt;0,($KB74)/($KH74),""),"")</f>
        <v/>
      </c>
      <c r="KO74" s="55">
        <f>SUMIFS(tblBudget[Gold_Poured_oz],tblBudget[Month],$E74)</f>
        <v/>
      </c>
      <c r="KP74" s="55">
        <f>$KO74*$C74/$D74</f>
        <v/>
      </c>
      <c r="KQ74" s="55">
        <f>SUMIFS(tblBudget[Gold_Poured_oz],tblBudget[Month],"&lt;"&amp;$E74)+$KP74</f>
        <v/>
      </c>
      <c r="KR74" s="57">
        <f>SUMIFS(tblBudget[Hours_Worked],tblBudget[Month],$E74)</f>
        <v/>
      </c>
      <c r="KS74" s="57">
        <f>$KR74*$C74/$D74</f>
        <v/>
      </c>
      <c r="KT74" s="57">
        <f>SUMIFS(tblBudget[Hours_Worked],tblBudget[Month],"&lt;"&amp;$E74)+$KS74</f>
        <v/>
      </c>
    </row>
    <row r="75">
      <c r="A75" s="54" t="n">
        <v>46096</v>
      </c>
      <c r="B75">
        <f>MONTH($A75)</f>
        <v/>
      </c>
      <c r="C75">
        <f>DAY($A75)</f>
        <v/>
      </c>
      <c r="D75">
        <f>DAY(EOMONTH($A75,0))</f>
        <v/>
      </c>
      <c r="E75" s="54">
        <f>DATE(YEAR($A75),MONTH($A75),1)</f>
        <v/>
      </c>
      <c r="F75" s="55">
        <f>SUMIFS(tblMovement[Tonnes_t],tblMovement[Date],$A75,tblMovement[Is_Ore],1,tblMovement[Source_Type],"Pit")</f>
        <v/>
      </c>
      <c r="G75" s="55">
        <f>IF($B75=$B74,$G74,0)+$F75</f>
        <v/>
      </c>
      <c r="H75" s="55">
        <f>$H74+$F75</f>
        <v/>
      </c>
      <c r="I75" s="55">
        <f>SUMIFS(tblMovement[Ore_oz],tblMovement[Date],$A75,tblMovement[Source_Type],"Pit")</f>
        <v/>
      </c>
      <c r="J75" s="55">
        <f>IF($B75=$B74,$J74,0)+$I75</f>
        <v/>
      </c>
      <c r="K75" s="55">
        <f>$K74+$I75</f>
        <v/>
      </c>
      <c r="L75" s="55">
        <f>SUMIFS(tblMovement[Tonnes_t],tblMovement[Date],$A75,tblMovement[Is_Ore],1,tblMovement[Source_Type],"Pit",tblMovement[Grade_gpt],"&lt;&gt;")</f>
        <v/>
      </c>
      <c r="M75" s="55">
        <f>IF($B75=$B74,$M74,0)+$L75</f>
        <v/>
      </c>
      <c r="N75" s="55">
        <f>$N74+$L75</f>
        <v/>
      </c>
      <c r="O75" s="56">
        <f>IFERROR(IF(($L75)&gt;0,($I75*cfg_TroyOz)/($L75),""),"")</f>
        <v/>
      </c>
      <c r="P75" s="56">
        <f>IFERROR(IF(($M75)&gt;0,($J75*cfg_TroyOz)/($M75),""),"")</f>
        <v/>
      </c>
      <c r="Q75" s="56">
        <f>IFERROR(IF(($N75)&gt;0,($K75*cfg_TroyOz)/($N75),""),"")</f>
        <v/>
      </c>
      <c r="R75" s="55">
        <f>$F75-$L75</f>
        <v/>
      </c>
      <c r="S75" s="55">
        <f>IF($B75=$B74,$S74,0)+$R75</f>
        <v/>
      </c>
      <c r="T75" s="55">
        <f>$T74+$R75</f>
        <v/>
      </c>
      <c r="U75" s="55">
        <f>SUMIFS(tblMovement[Tonnes_t],tblMovement[Date],$A75,tblMovement[Is_Ore],0,tblMovement[Source_Type],"Pit")</f>
        <v/>
      </c>
      <c r="V75" s="55">
        <f>IF($B75=$B74,$V74,0)+$U75</f>
        <v/>
      </c>
      <c r="W75" s="55">
        <f>$W74+$U75</f>
        <v/>
      </c>
      <c r="X75" s="55">
        <f>$F75+$U75</f>
        <v/>
      </c>
      <c r="Y75" s="55">
        <f>IF($B75=$B74,$Y74,0)+$X75</f>
        <v/>
      </c>
      <c r="Z75" s="55">
        <f>$Z74+$X75</f>
        <v/>
      </c>
      <c r="AA75" s="56">
        <f>IFERROR(IF(($F75)&gt;0,($U75)/($F75),""),"")</f>
        <v/>
      </c>
      <c r="AB75" s="56">
        <f>IFERROR(IF(($G75)&gt;0,($V75)/($G75),""),"")</f>
        <v/>
      </c>
      <c r="AC75" s="56">
        <f>IFERROR(IF(($H75)&gt;0,($W75)/($H75),""),"")</f>
        <v/>
      </c>
      <c r="AD75" s="55">
        <f>SUMIFS(tblMovement[Tonnes_t],tblMovement[Date],$A75,tblMovement[Source_Type],"Stockpile")</f>
        <v/>
      </c>
      <c r="AE75" s="55">
        <f>IF($B75=$B74,$AE74,0)+$AD75</f>
        <v/>
      </c>
      <c r="AF75" s="55">
        <f>$AF74+$AD75</f>
        <v/>
      </c>
      <c r="AG75" s="55">
        <f>SUMIFS(tblMovement[Tonnes_t],tblMovement[Date],$A75)</f>
        <v/>
      </c>
      <c r="AH75" s="55">
        <f>IF($B75=$B74,$AH74,0)+$AG75</f>
        <v/>
      </c>
      <c r="AI75" s="55">
        <f>$AI74+$AG75</f>
        <v/>
      </c>
      <c r="AJ75" s="55">
        <f>$AG75-$X75-$AD75</f>
        <v/>
      </c>
      <c r="AK75" s="55">
        <f>IF($B75=$B74,$AK74,0)+$AJ75</f>
        <v/>
      </c>
      <c r="AL75" s="55">
        <f>$AL74+$AJ75</f>
        <v/>
      </c>
      <c r="AM75" s="55">
        <f>SUMIFS(tblMiningDaily[Drill_m],tblMiningDaily[Date],$A75)</f>
        <v/>
      </c>
      <c r="AN75" s="55">
        <f>IF($B75=$B74,$AN74,0)+$AM75</f>
        <v/>
      </c>
      <c r="AO75" s="55">
        <f>$AO74+$AM75</f>
        <v/>
      </c>
      <c r="AP75" s="55">
        <f>SUMIFS(tblMiningDaily[GC_Drill_m],tblMiningDaily[Date],$A75)</f>
        <v/>
      </c>
      <c r="AQ75" s="55">
        <f>IF($B75=$B74,$AQ74,0)+$AP75</f>
        <v/>
      </c>
      <c r="AR75" s="55">
        <f>$AR74+$AP75</f>
        <v/>
      </c>
      <c r="AS75" s="55">
        <f>SUMIFS(tblMiningDaily[Blast_t],tblMiningDaily[Date],$A75)</f>
        <v/>
      </c>
      <c r="AT75" s="55">
        <f>IF($B75=$B74,$AT74,0)+$AS75</f>
        <v/>
      </c>
      <c r="AU75" s="55">
        <f>$AU74+$AS75</f>
        <v/>
      </c>
      <c r="AV75" s="55">
        <f>SUMIFS(tblMiningDaily[Explosives_kg],tblMiningDaily[Date],$A75)</f>
        <v/>
      </c>
      <c r="AW75" s="55">
        <f>IF($B75=$B74,$AW74,0)+$AV75</f>
        <v/>
      </c>
      <c r="AX75" s="55">
        <f>$AX74+$AV75</f>
        <v/>
      </c>
      <c r="AY75" s="56">
        <f>IFERROR(IF(($AS75)&gt;0,($AV75)/($AS75),""),"")</f>
        <v/>
      </c>
      <c r="AZ75" s="56">
        <f>IFERROR(IF(($AT75)&gt;0,($AW75)/($AT75),""),"")</f>
        <v/>
      </c>
      <c r="BA75" s="56">
        <f>IFERROR(IF(($AU75)&gt;0,($AX75)/($AU75),""),"")</f>
        <v/>
      </c>
      <c r="BB75" s="55">
        <f>SUMIFS(tblMiningDaily[Diesel_L],tblMiningDaily[Date],$A75)</f>
        <v/>
      </c>
      <c r="BC75" s="55">
        <f>IF($B75=$B74,$BC74,0)+$BB75</f>
        <v/>
      </c>
      <c r="BD75" s="55">
        <f>$BD74+$BB75</f>
        <v/>
      </c>
      <c r="BE75" s="55">
        <f>SUMIFS(tblMiningDaily[Dewatering_m3],tblMiningDaily[Date],$A75)</f>
        <v/>
      </c>
      <c r="BF75" s="55">
        <f>IF($B75=$B74,$BF74,0)+$BE75</f>
        <v/>
      </c>
      <c r="BG75" s="55">
        <f>$BG74+$BE75</f>
        <v/>
      </c>
      <c r="BH75" s="57">
        <f>SUMIFS(tblFleet[Calendar_h],tblFleet[Date],$A75,tblFleet[Equipment_Class],"Excavator")</f>
        <v/>
      </c>
      <c r="BI75" s="57">
        <f>IF($B75=$B74,$BI74,0)+$BH75</f>
        <v/>
      </c>
      <c r="BJ75" s="57">
        <f>$BJ74+$BH75</f>
        <v/>
      </c>
      <c r="BK75" s="57">
        <f>SUMIFS(tblFleet[Available_h],tblFleet[Date],$A75,tblFleet[Equipment_Class],"Excavator")</f>
        <v/>
      </c>
      <c r="BL75" s="57">
        <f>IF($B75=$B74,$BL74,0)+$BK75</f>
        <v/>
      </c>
      <c r="BM75" s="57">
        <f>$BM74+$BK75</f>
        <v/>
      </c>
      <c r="BN75" s="57">
        <f>SUMIFS(tblFleet[Operating_h],tblFleet[Date],$A75,tblFleet[Equipment_Class],"Excavator")</f>
        <v/>
      </c>
      <c r="BO75" s="57">
        <f>IF($B75=$B74,$BO74,0)+$BN75</f>
        <v/>
      </c>
      <c r="BP75" s="57">
        <f>$BP74+$BN75</f>
        <v/>
      </c>
      <c r="BQ75" s="67">
        <f>IFERROR(IF(($BH75)&gt;0,($BK75)/($BH75),""),"")</f>
        <v/>
      </c>
      <c r="BR75" s="67">
        <f>IFERROR(IF(($BI75)&gt;0,($BL75)/($BI75),""),"")</f>
        <v/>
      </c>
      <c r="BS75" s="67">
        <f>IFERROR(IF(($BJ75)&gt;0,($BM75)/($BJ75),""),"")</f>
        <v/>
      </c>
      <c r="BT75" s="67">
        <f>IFERROR(IF(($BK75)&gt;0,($BN75)/($BK75),""),"")</f>
        <v/>
      </c>
      <c r="BU75" s="67">
        <f>IFERROR(IF(($BL75)&gt;0,($BO75)/($BL75),""),"")</f>
        <v/>
      </c>
      <c r="BV75" s="67">
        <f>IFERROR(IF(($BM75)&gt;0,($BP75)/($BM75),""),"")</f>
        <v/>
      </c>
      <c r="BW75" s="57">
        <f>SUMIFS(tblFleet[Calendar_h],tblFleet[Date],$A75,tblFleet[Equipment_Class],"Haul Truck")</f>
        <v/>
      </c>
      <c r="BX75" s="57">
        <f>IF($B75=$B74,$BX74,0)+$BW75</f>
        <v/>
      </c>
      <c r="BY75" s="57">
        <f>$BY74+$BW75</f>
        <v/>
      </c>
      <c r="BZ75" s="57">
        <f>SUMIFS(tblFleet[Available_h],tblFleet[Date],$A75,tblFleet[Equipment_Class],"Haul Truck")</f>
        <v/>
      </c>
      <c r="CA75" s="57">
        <f>IF($B75=$B74,$CA74,0)+$BZ75</f>
        <v/>
      </c>
      <c r="CB75" s="57">
        <f>$CB74+$BZ75</f>
        <v/>
      </c>
      <c r="CC75" s="57">
        <f>SUMIFS(tblFleet[Operating_h],tblFleet[Date],$A75,tblFleet[Equipment_Class],"Haul Truck")</f>
        <v/>
      </c>
      <c r="CD75" s="57">
        <f>IF($B75=$B74,$CD74,0)+$CC75</f>
        <v/>
      </c>
      <c r="CE75" s="57">
        <f>$CE74+$CC75</f>
        <v/>
      </c>
      <c r="CF75" s="67">
        <f>IFERROR(IF(($BW75)&gt;0,($BZ75)/($BW75),""),"")</f>
        <v/>
      </c>
      <c r="CG75" s="67">
        <f>IFERROR(IF(($BX75)&gt;0,($CA75)/($BX75),""),"")</f>
        <v/>
      </c>
      <c r="CH75" s="67">
        <f>IFERROR(IF(($BY75)&gt;0,($CB75)/($BY75),""),"")</f>
        <v/>
      </c>
      <c r="CI75" s="67">
        <f>IFERROR(IF(($BZ75)&gt;0,($CC75)/($BZ75),""),"")</f>
        <v/>
      </c>
      <c r="CJ75" s="67">
        <f>IFERROR(IF(($CA75)&gt;0,($CD75)/($CA75),""),"")</f>
        <v/>
      </c>
      <c r="CK75" s="67">
        <f>IFERROR(IF(($CB75)&gt;0,($CE75)/($CB75),""),"")</f>
        <v/>
      </c>
      <c r="CL75" s="55">
        <f>IFERROR(IF(($BN75)&gt;0,($X75+$AD75)/($BN75),""),"")</f>
        <v/>
      </c>
      <c r="CM75" s="55">
        <f>IFERROR(IF(($BO75)&gt;0,($Y75+$AE75)/($BO75),""),"")</f>
        <v/>
      </c>
      <c r="CN75" s="55">
        <f>IFERROR(IF(($BP75)&gt;0,($Z75+$AF75)/($BP75),""),"")</f>
        <v/>
      </c>
      <c r="CO75" s="55">
        <f>IFERROR(IF(($CC75)&gt;0,($X75+$AD75)/($CC75),""),"")</f>
        <v/>
      </c>
      <c r="CP75" s="55">
        <f>IFERROR(IF(($CD75)&gt;0,($Y75+$AE75)/($CD75),""),"")</f>
        <v/>
      </c>
      <c r="CQ75" s="55">
        <f>IFERROR(IF(($CE75)&gt;0,($Z75+$AF75)/($CE75),""),"")</f>
        <v/>
      </c>
      <c r="CR75" s="55">
        <f>SUMIFS(tblPlant[Crushed_t],tblPlant[Date],$A75)</f>
        <v/>
      </c>
      <c r="CS75" s="55">
        <f>IF($B75=$B74,$CS74,0)+$CR75</f>
        <v/>
      </c>
      <c r="CT75" s="55">
        <f>$CT74+$CR75</f>
        <v/>
      </c>
      <c r="CU75" s="55">
        <f>SUMIFS(tblPlant[Milled_t],tblPlant[Date],$A75)</f>
        <v/>
      </c>
      <c r="CV75" s="55">
        <f>IF($B75=$B74,$CV74,0)+$CU75</f>
        <v/>
      </c>
      <c r="CW75" s="55">
        <f>$CW74+$CU75</f>
        <v/>
      </c>
      <c r="CX75" s="55">
        <f>SUMIFS(tblPlant[Feed_oz],tblPlant[Date],$A75)</f>
        <v/>
      </c>
      <c r="CY75" s="55">
        <f>IF($B75=$B74,$CY74,0)+$CX75</f>
        <v/>
      </c>
      <c r="CZ75" s="55">
        <f>$CZ74+$CX75</f>
        <v/>
      </c>
      <c r="DA75" s="55">
        <f>SUMIFS(tblPlant[Tails_oz],tblPlant[Date],$A75)</f>
        <v/>
      </c>
      <c r="DB75" s="55">
        <f>IF($B75=$B74,$DB74,0)+$DA75</f>
        <v/>
      </c>
      <c r="DC75" s="55">
        <f>$DC74+$DA75</f>
        <v/>
      </c>
      <c r="DD75" s="55">
        <f>SUMIFS(tblPlant[Recovered_oz],tblPlant[Date],$A75)</f>
        <v/>
      </c>
      <c r="DE75" s="55">
        <f>IF($B75=$B74,$DE74,0)+$DD75</f>
        <v/>
      </c>
      <c r="DF75" s="55">
        <f>$DF74+$DD75</f>
        <v/>
      </c>
      <c r="DG75" s="55">
        <f>SUMIFS(tblPlant[Milled_t],tblPlant[Date],$A75,tblPlant[Head_Grade_gpt],"&lt;&gt;")</f>
        <v/>
      </c>
      <c r="DH75" s="55">
        <f>IF($B75=$B74,$DH74,0)+$DG75</f>
        <v/>
      </c>
      <c r="DI75" s="55">
        <f>$DI74+$DG75</f>
        <v/>
      </c>
      <c r="DJ75" s="55">
        <f>SUMIFS(tblPlant[Milled_t],tblPlant[Date],$A75,tblPlant[Tails_Grade_gpt],"&lt;&gt;")</f>
        <v/>
      </c>
      <c r="DK75" s="55">
        <f>IF($B75=$B74,$DK74,0)+$DJ75</f>
        <v/>
      </c>
      <c r="DL75" s="55">
        <f>$DL74+$DJ75</f>
        <v/>
      </c>
      <c r="DM75" s="55">
        <f>SUMIFS(tblPlant[Feed_oz],tblPlant[Date],$A75,tblPlant[Tails_Grade_gpt],"&lt;&gt;")</f>
        <v/>
      </c>
      <c r="DN75" s="55">
        <f>IF($B75=$B74,$DN74,0)+$DM75</f>
        <v/>
      </c>
      <c r="DO75" s="55">
        <f>$DO74+$DM75</f>
        <v/>
      </c>
      <c r="DP75" s="55">
        <f>SUMIFS(tblPlant[Milled_t],tblPlant[Date],$A75,tblPlant[Mill_Run_h],"&lt;&gt;")</f>
        <v/>
      </c>
      <c r="DQ75" s="55">
        <f>IF($B75=$B74,$DQ74,0)+$DP75</f>
        <v/>
      </c>
      <c r="DR75" s="55">
        <f>$DR74+$DP75</f>
        <v/>
      </c>
      <c r="DS75" s="56">
        <f>IFERROR(IF(($DG75)&gt;0,($CX75*cfg_TroyOz)/($DG75),""),"")</f>
        <v/>
      </c>
      <c r="DT75" s="56">
        <f>IFERROR(IF(($DH75)&gt;0,($CY75*cfg_TroyOz)/($DH75),""),"")</f>
        <v/>
      </c>
      <c r="DU75" s="56">
        <f>IFERROR(IF(($DI75)&gt;0,($CZ75*cfg_TroyOz)/($DI75),""),"")</f>
        <v/>
      </c>
      <c r="DV75" s="56">
        <f>IFERROR(IF(($DJ75)&gt;0,($DA75*cfg_TroyOz)/($DJ75),""),"")</f>
        <v/>
      </c>
      <c r="DW75" s="56">
        <f>IFERROR(IF(($DK75)&gt;0,($DB75*cfg_TroyOz)/($DK75),""),"")</f>
        <v/>
      </c>
      <c r="DX75" s="56">
        <f>IFERROR(IF(($DL75)&gt;0,($DC75*cfg_TroyOz)/($DL75),""),"")</f>
        <v/>
      </c>
      <c r="DY75" s="67">
        <f>IFERROR(IF(($DM75)&gt;0,($DD75)/($DM75),""),"")</f>
        <v/>
      </c>
      <c r="DZ75" s="67">
        <f>IFERROR(IF(($DN75)&gt;0,($DE75)/($DN75),""),"")</f>
        <v/>
      </c>
      <c r="EA75" s="67">
        <f>IFERROR(IF(($DO75)&gt;0,($DF75)/($DO75),""),"")</f>
        <v/>
      </c>
      <c r="EB75" s="55">
        <f>SUMIFS(tblPlant[Gravity_Gold_oz],tblPlant[Date],$A75)</f>
        <v/>
      </c>
      <c r="EC75" s="55">
        <f>IF($B75=$B74,$EC74,0)+$EB75</f>
        <v/>
      </c>
      <c r="ED75" s="55">
        <f>$ED74+$EB75</f>
        <v/>
      </c>
      <c r="EE75" s="67">
        <f>IFERROR(IF(($DD75)&gt;0,($EB75)/($DD75),""),"")</f>
        <v/>
      </c>
      <c r="EF75" s="67">
        <f>IFERROR(IF(($DE75)&gt;0,($EC75)/($DE75),""),"")</f>
        <v/>
      </c>
      <c r="EG75" s="67">
        <f>IFERROR(IF(($DF75)&gt;0,($ED75)/($DF75),""),"")</f>
        <v/>
      </c>
      <c r="EH75" s="55">
        <f>SUMIFS(tblPlant[Gold_Poured_oz],tblPlant[Date],$A75)</f>
        <v/>
      </c>
      <c r="EI75" s="55">
        <f>IF($B75=$B74,$EI74,0)+$EH75</f>
        <v/>
      </c>
      <c r="EJ75" s="55">
        <f>$EJ74+$EH75</f>
        <v/>
      </c>
      <c r="EK75" s="57">
        <f>SUMIFS(tblPlant[Mill_Run_h],tblPlant[Date],$A75)</f>
        <v/>
      </c>
      <c r="EL75" s="57">
        <f>IF($B75=$B74,$EL74,0)+$EK75</f>
        <v/>
      </c>
      <c r="EM75" s="57">
        <f>$EM74+$EK75</f>
        <v/>
      </c>
      <c r="EN75" s="57">
        <f>SUMIFS(tblPlant[Mill_Planned_Maint_h],tblPlant[Date],$A75)</f>
        <v/>
      </c>
      <c r="EO75" s="57">
        <f>IF($B75=$B74,$EO74,0)+$EN75</f>
        <v/>
      </c>
      <c r="EP75" s="57">
        <f>$EP74+$EN75</f>
        <v/>
      </c>
      <c r="EQ75" s="57">
        <f>SUMIFS(tblPlant[Mill_Unplanned_Down_h],tblPlant[Date],$A75)</f>
        <v/>
      </c>
      <c r="ER75" s="57">
        <f>IF($B75=$B74,$ER74,0)+$EQ75</f>
        <v/>
      </c>
      <c r="ES75" s="57">
        <f>$ES74+$EQ75</f>
        <v/>
      </c>
      <c r="ET75" s="57">
        <f>IF(COUNTIFS(tblPlant[Date],$A75,tblPlant[Mill_Run_h],"&lt;&gt;")+COUNTIFS(tblPlant[Date],$A75,tblPlant[Mill_Planned_Maint_h],"&lt;&gt;")+COUNTIFS(tblPlant[Date],$A75,tblPlant[Mill_Unplanned_Down_h],"&lt;&gt;")&gt;0,cfg_HoursPerDay,0)</f>
        <v/>
      </c>
      <c r="EU75" s="57">
        <f>IF($B75=$B74,$EU74,0)+$ET75</f>
        <v/>
      </c>
      <c r="EV75" s="57">
        <f>$EV74+$ET75</f>
        <v/>
      </c>
      <c r="EW75" s="57">
        <f>SUMIFS(tblPlant[Crusher_Run_h],tblPlant[Date],$A75)</f>
        <v/>
      </c>
      <c r="EX75" s="57">
        <f>IF($B75=$B74,$EX74,0)+$EW75</f>
        <v/>
      </c>
      <c r="EY75" s="57">
        <f>$EY74+$EW75</f>
        <v/>
      </c>
      <c r="EZ75" s="55">
        <f>IFERROR(IF(($EK75)&gt;0,($DP75)/($EK75),""),"")</f>
        <v/>
      </c>
      <c r="FA75" s="55">
        <f>IFERROR(IF(($EL75)&gt;0,($DQ75)/($EL75),""),"")</f>
        <v/>
      </c>
      <c r="FB75" s="55">
        <f>IFERROR(IF(($EM75)&gt;0,($DR75)/($EM75),""),"")</f>
        <v/>
      </c>
      <c r="FC75" s="67">
        <f>IFERROR(IF(($ET75)&gt;0,($ET75-$EN75-$EQ75)/($ET75),""),"")</f>
        <v/>
      </c>
      <c r="FD75" s="67">
        <f>IFERROR(IF(($EU75)&gt;0,($EU75-$EO75-$ER75)/($EU75),""),"")</f>
        <v/>
      </c>
      <c r="FE75" s="67">
        <f>IFERROR(IF(($EV75)&gt;0,($EV75-$EP75-$ES75)/($EV75),""),"")</f>
        <v/>
      </c>
      <c r="FF75" s="67">
        <f>IFERROR(IF(($ET75-$EN75-$EQ75)&gt;0,($EK75)/($ET75-$EN75-$EQ75),""),"")</f>
        <v/>
      </c>
      <c r="FG75" s="67">
        <f>IFERROR(IF(($EU75-$EO75-$ER75)&gt;0,($EL75)/($EU75-$EO75-$ER75),""),"")</f>
        <v/>
      </c>
      <c r="FH75" s="67">
        <f>IFERROR(IF(($EV75-$EP75-$ES75)&gt;0,($EM75)/($EV75-$EP75-$ES75),""),"")</f>
        <v/>
      </c>
      <c r="FI75" s="55">
        <f>SUMIFS(tblPlant[Cyanide_kg],tblPlant[Date],$A75)</f>
        <v/>
      </c>
      <c r="FJ75" s="55">
        <f>IF($B75=$B74,$FJ74,0)+$FI75</f>
        <v/>
      </c>
      <c r="FK75" s="55">
        <f>$FK74+$FI75</f>
        <v/>
      </c>
      <c r="FL75" s="55">
        <f>SUMIFS(tblPlant[Lime_kg],tblPlant[Date],$A75)</f>
        <v/>
      </c>
      <c r="FM75" s="55">
        <f>IF($B75=$B74,$FM74,0)+$FL75</f>
        <v/>
      </c>
      <c r="FN75" s="55">
        <f>$FN74+$FL75</f>
        <v/>
      </c>
      <c r="FO75" s="55">
        <f>SUMIFS(tblPlant[Grinding_Media_kg],tblPlant[Date],$A75)</f>
        <v/>
      </c>
      <c r="FP75" s="55">
        <f>IF($B75=$B74,$FP74,0)+$FO75</f>
        <v/>
      </c>
      <c r="FQ75" s="55">
        <f>$FQ74+$FO75</f>
        <v/>
      </c>
      <c r="FR75" s="55">
        <f>SUMIFS(tblPlant[Power_kWh],tblPlant[Date],$A75)</f>
        <v/>
      </c>
      <c r="FS75" s="55">
        <f>IF($B75=$B74,$FS74,0)+$FR75</f>
        <v/>
      </c>
      <c r="FT75" s="55">
        <f>$FT74+$FR75</f>
        <v/>
      </c>
      <c r="FU75" s="55">
        <f>SUMIFS(tblPlant[Raw_Water_m3],tblPlant[Date],$A75)</f>
        <v/>
      </c>
      <c r="FV75" s="55">
        <f>IF($B75=$B74,$FV74,0)+$FU75</f>
        <v/>
      </c>
      <c r="FW75" s="55">
        <f>$FW74+$FU75</f>
        <v/>
      </c>
      <c r="FX75" s="56">
        <f>IFERROR(IF(($CU75)&gt;0,($FI75)/($CU75),""),"")</f>
        <v/>
      </c>
      <c r="FY75" s="56">
        <f>IFERROR(IF(($CV75)&gt;0,($FJ75)/($CV75),""),"")</f>
        <v/>
      </c>
      <c r="FZ75" s="56">
        <f>IFERROR(IF(($CW75)&gt;0,($FK75)/($CW75),""),"")</f>
        <v/>
      </c>
      <c r="GA75" s="56">
        <f>IFERROR(IF(($CU75)&gt;0,($FL75)/($CU75),""),"")</f>
        <v/>
      </c>
      <c r="GB75" s="56">
        <f>IFERROR(IF(($CV75)&gt;0,($FM75)/($CV75),""),"")</f>
        <v/>
      </c>
      <c r="GC75" s="56">
        <f>IFERROR(IF(($CW75)&gt;0,($FN75)/($CW75),""),"")</f>
        <v/>
      </c>
      <c r="GD75" s="56">
        <f>IFERROR(IF(($CU75)&gt;0,($FO75)/($CU75),""),"")</f>
        <v/>
      </c>
      <c r="GE75" s="56">
        <f>IFERROR(IF(($CV75)&gt;0,($FP75)/($CV75),""),"")</f>
        <v/>
      </c>
      <c r="GF75" s="56">
        <f>IFERROR(IF(($CW75)&gt;0,($FQ75)/($CW75),""),"")</f>
        <v/>
      </c>
      <c r="GG75" s="79">
        <f>IFERROR(IF(($CU75)&gt;0,($FR75)/($CU75),""),"")</f>
        <v/>
      </c>
      <c r="GH75" s="79">
        <f>IFERROR(IF(($CV75)&gt;0,($FS75)/($CV75),""),"")</f>
        <v/>
      </c>
      <c r="GI75" s="79">
        <f>IFERROR(IF(($CW75)&gt;0,($FT75)/($CW75),""),"")</f>
        <v/>
      </c>
      <c r="GJ75" s="56">
        <f>IFERROR(IF(($CU75)&gt;0,($FU75)/($CU75),""),"")</f>
        <v/>
      </c>
      <c r="GK75" s="56">
        <f>IFERROR(IF(($CV75)&gt;0,($FV75)/($CV75),""),"")</f>
        <v/>
      </c>
      <c r="GL75" s="56">
        <f>IFERROR(IF(($CW75)&gt;0,($FW75)/($CW75),""),"")</f>
        <v/>
      </c>
      <c r="GM75" s="55">
        <f>IF(SUMIFS(tblPlant[GIC_oz],tblPlant[Date],$A75)&gt;0,SUMIFS(tblPlant[GIC_oz],tblPlant[Date],$A75),"")</f>
        <v/>
      </c>
      <c r="GN75" s="55">
        <f>SUMIFS(tblGold[Gold_oz],tblGold[Date],$A75,tblGold[Type],"Shipment")</f>
        <v/>
      </c>
      <c r="GO75" s="55">
        <f>IF($B75=$B74,$GO74,0)+$GN75</f>
        <v/>
      </c>
      <c r="GP75" s="55">
        <f>$GP74+$GN75</f>
        <v/>
      </c>
      <c r="GQ75" s="55">
        <f>SUMIFS(tblGold[Gold_oz],tblGold[Date],$A75,tblGold[Type],"Sale")</f>
        <v/>
      </c>
      <c r="GR75" s="55">
        <f>IF($B75=$B74,$GR74,0)+$GQ75</f>
        <v/>
      </c>
      <c r="GS75" s="55">
        <f>$GS74+$GQ75</f>
        <v/>
      </c>
      <c r="GT75" s="55">
        <f>SUMIFS(tblGold[Dore_kg],tblGold[Date],$A75,tblGold[Type],"Shipment")</f>
        <v/>
      </c>
      <c r="GU75" s="55">
        <f>IF($B75=$B74,$GU74,0)+$GT75</f>
        <v/>
      </c>
      <c r="GV75" s="55">
        <f>$GV74+$GT75</f>
        <v/>
      </c>
      <c r="GW75" s="57">
        <f>SUMIFS(tblSafety[Hours_Total],tblSafety[Date],$A75)</f>
        <v/>
      </c>
      <c r="GX75" s="57">
        <f>IF($B75=$B74,$GX74,0)+$GW75</f>
        <v/>
      </c>
      <c r="GY75" s="57">
        <f>$GY74+$GW75</f>
        <v/>
      </c>
      <c r="GZ75" s="62">
        <f>SUMIFS(tblSafety[Fatality],tblSafety[Date],$A75)</f>
        <v/>
      </c>
      <c r="HA75" s="62">
        <f>IF($B75=$B74,$HA74,0)+$GZ75</f>
        <v/>
      </c>
      <c r="HB75" s="62">
        <f>$HB74+$GZ75</f>
        <v/>
      </c>
      <c r="HC75" s="62">
        <f>SUMIFS(tblSafety[LTI],tblSafety[Date],$A75)</f>
        <v/>
      </c>
      <c r="HD75" s="62">
        <f>IF($B75=$B74,$HD74,0)+$HC75</f>
        <v/>
      </c>
      <c r="HE75" s="62">
        <f>$HE74+$HC75</f>
        <v/>
      </c>
      <c r="HF75" s="62">
        <f>SUMIFS(tblSafety[RWI],tblSafety[Date],$A75)</f>
        <v/>
      </c>
      <c r="HG75" s="62">
        <f>IF($B75=$B74,$HG74,0)+$HF75</f>
        <v/>
      </c>
      <c r="HH75" s="62">
        <f>$HH74+$HF75</f>
        <v/>
      </c>
      <c r="HI75" s="62">
        <f>SUMIFS(tblSafety[MTI],tblSafety[Date],$A75)</f>
        <v/>
      </c>
      <c r="HJ75" s="62">
        <f>IF($B75=$B74,$HJ74,0)+$HI75</f>
        <v/>
      </c>
      <c r="HK75" s="62">
        <f>$HK74+$HI75</f>
        <v/>
      </c>
      <c r="HL75" s="62">
        <f>SUMIFS(tblSafety[FAI],tblSafety[Date],$A75)</f>
        <v/>
      </c>
      <c r="HM75" s="62">
        <f>IF($B75=$B74,$HM74,0)+$HL75</f>
        <v/>
      </c>
      <c r="HN75" s="62">
        <f>$HN74+$HL75</f>
        <v/>
      </c>
      <c r="HO75" s="62">
        <f>SUMIFS(tblSafety[Recordables],tblSafety[Date],$A75)</f>
        <v/>
      </c>
      <c r="HP75" s="62">
        <f>IF($B75=$B74,$HP74,0)+$HO75</f>
        <v/>
      </c>
      <c r="HQ75" s="62">
        <f>$HQ74+$HO75</f>
        <v/>
      </c>
      <c r="HR75" s="62">
        <f>SUMIFS(tblSafety[Near_Miss],tblSafety[Date],$A75)</f>
        <v/>
      </c>
      <c r="HS75" s="62">
        <f>IF($B75=$B74,$HS74,0)+$HR75</f>
        <v/>
      </c>
      <c r="HT75" s="62">
        <f>$HT74+$HR75</f>
        <v/>
      </c>
      <c r="HU75" s="62">
        <f>SUMIFS(tblSafety[Hazard_Reports],tblSafety[Date],$A75)</f>
        <v/>
      </c>
      <c r="HV75" s="62">
        <f>IF($B75=$B74,$HV74,0)+$HU75</f>
        <v/>
      </c>
      <c r="HW75" s="62">
        <f>$HW74+$HU75</f>
        <v/>
      </c>
      <c r="HX75" s="62">
        <f>SUMIFS(tblSafety[HPI],tblSafety[Date],$A75)</f>
        <v/>
      </c>
      <c r="HY75" s="62">
        <f>IF($B75=$B74,$HY74,0)+$HX75</f>
        <v/>
      </c>
      <c r="HZ75" s="62">
        <f>$HZ74+$HX75</f>
        <v/>
      </c>
      <c r="IA75" s="62">
        <f>SUMIFS(tblSafety[Env_Incidents],tblSafety[Date],$A75)</f>
        <v/>
      </c>
      <c r="IB75" s="62">
        <f>IF($B75=$B74,$IB74,0)+$IA75</f>
        <v/>
      </c>
      <c r="IC75" s="62">
        <f>$IC74+$IA75</f>
        <v/>
      </c>
      <c r="ID75" s="62">
        <f>SUMIFS(tblSafety[Community_Incidents],tblSafety[Date],$A75)</f>
        <v/>
      </c>
      <c r="IE75" s="62">
        <f>IF($B75=$B74,$IE74,0)+$ID75</f>
        <v/>
      </c>
      <c r="IF75" s="62">
        <f>$IF74+$ID75</f>
        <v/>
      </c>
      <c r="IG75" s="62">
        <f>SUMIFS(tblSafety[Vehicle_Incidents],tblSafety[Date],$A75)</f>
        <v/>
      </c>
      <c r="IH75" s="62">
        <f>IF($B75=$B74,$IH74,0)+$IG75</f>
        <v/>
      </c>
      <c r="II75" s="62">
        <f>$II74+$IG75</f>
        <v/>
      </c>
      <c r="IJ75" s="62">
        <f>SUMIFS(tblSafety[Toolbox_Talks],tblSafety[Date],$A75)</f>
        <v/>
      </c>
      <c r="IK75" s="62">
        <f>IF($B75=$B74,$IK74,0)+$IJ75</f>
        <v/>
      </c>
      <c r="IL75" s="62">
        <f>$IL74+$IJ75</f>
        <v/>
      </c>
      <c r="IM75" s="62">
        <f>SUMIFS(tblSafety[Inspections],tblSafety[Date],$A75)</f>
        <v/>
      </c>
      <c r="IN75" s="62">
        <f>IF($B75=$B74,$IN74,0)+$IM75</f>
        <v/>
      </c>
      <c r="IO75" s="62">
        <f>$IO74+$IM75</f>
        <v/>
      </c>
      <c r="IP75" s="56">
        <f>IFERROR((SUMIFS(tblSafety[Recordables],tblSafety[Date],"&gt;="&amp;EDATE($E75,-12),tblSafety[Date],"&lt;="&amp;$A75)+SUMIFS(tblSafetyHistory[Recordables],tblSafetyHistory[Month],"&gt;="&amp;EDATE($E75,-12),tblSafetyHistory[Month],"&lt;"&amp;$E75,tblSafetyHistory[Use],1))/(SUMIFS(tblSafety[Hours_Total],tblSafety[Date],"&gt;="&amp;EDATE($E75,-12),tblSafety[Date],"&lt;="&amp;$A75)+SUMIFS(tblSafetyHistory[Hours_Total],tblSafetyHistory[Month],"&gt;="&amp;EDATE($E75,-12),tblSafetyHistory[Month],"&lt;"&amp;$E75,tblSafetyHistory[Use],1))*cfg_RateBasisHours,"")</f>
        <v/>
      </c>
      <c r="IQ75" s="56">
        <f>IFERROR((SUMIFS(tblSafety[LTI],tblSafety[Date],"&gt;="&amp;EDATE($E75,-12),tblSafety[Date],"&lt;="&amp;$A75)+SUMIFS(tblSafetyHistory[LTI],tblSafetyHistory[Month],"&gt;="&amp;EDATE($E75,-12),tblSafetyHistory[Month],"&lt;"&amp;$E75,tblSafetyHistory[Use],1))/(SUMIFS(tblSafety[Hours_Total],tblSafety[Date],"&gt;="&amp;EDATE($E75,-12),tblSafety[Date],"&lt;="&amp;$A75)+SUMIFS(tblSafetyHistory[Hours_Total],tblSafetyHistory[Month],"&gt;="&amp;EDATE($E75,-12),tblSafetyHistory[Month],"&lt;"&amp;$E75,tblSafetyHistory[Use],1))*cfg_RateBasisHours,"")</f>
        <v/>
      </c>
      <c r="IR75" s="62">
        <f>IF(MAX(N(cfg_PriorLTIDate),_xlfn.MAXIFS(tblSafety[Date],tblSafety[LTI],"&gt;0",tblSafety[Date],"&lt;="&amp;$A75))=0,"",$A75-MAX(N(cfg_PriorLTIDate),_xlfn.MAXIFS(tblSafety[Date],tblSafety[LTI],"&gt;0",tblSafety[Date],"&lt;="&amp;$A75)))</f>
        <v/>
      </c>
      <c r="IS75" s="55">
        <f>SUMIFS(tblBudget[Ore_Mined_t],tblBudget[Month],$E75)</f>
        <v/>
      </c>
      <c r="IT75" s="55">
        <f>$IS75*$C75/$D75</f>
        <v/>
      </c>
      <c r="IU75" s="55">
        <f>SUMIFS(tblBudget[Ore_Mined_t],tblBudget[Month],"&lt;"&amp;$E75)+$IT75</f>
        <v/>
      </c>
      <c r="IV75" s="55">
        <f>SUMIFS(tblBudget[Ore_oz],tblBudget[Month],$E75)</f>
        <v/>
      </c>
      <c r="IW75" s="55">
        <f>$IV75*$C75/$D75</f>
        <v/>
      </c>
      <c r="IX75" s="55">
        <f>SUMIFS(tblBudget[Ore_oz],tblBudget[Month],"&lt;"&amp;$E75)+$IW75</f>
        <v/>
      </c>
      <c r="IY75" s="55">
        <f>SUMIFS(tblBudget[Ore_Mined_t],tblBudget[Month],$E75)</f>
        <v/>
      </c>
      <c r="IZ75" s="55">
        <f>$IY75*$C75/$D75</f>
        <v/>
      </c>
      <c r="JA75" s="55">
        <f>SUMIFS(tblBudget[Ore_Mined_t],tblBudget[Month],"&lt;"&amp;$E75)+$IZ75</f>
        <v/>
      </c>
      <c r="JB75" s="56">
        <f>IFERROR(IF(($IY75)&gt;0,($IV75*cfg_TroyOz)/($IY75),""),"")</f>
        <v/>
      </c>
      <c r="JC75" s="56">
        <f>IFERROR(IF(($IZ75)&gt;0,($IW75*cfg_TroyOz)/($IZ75),""),"")</f>
        <v/>
      </c>
      <c r="JD75" s="56">
        <f>IFERROR(IF(($JA75)&gt;0,($IX75*cfg_TroyOz)/($JA75),""),"")</f>
        <v/>
      </c>
      <c r="JE75" s="55">
        <f>SUMIFS(tblBudget[Waste_t],tblBudget[Month],$E75)</f>
        <v/>
      </c>
      <c r="JF75" s="55">
        <f>$JE75*$C75/$D75</f>
        <v/>
      </c>
      <c r="JG75" s="55">
        <f>SUMIFS(tblBudget[Waste_t],tblBudget[Month],"&lt;"&amp;$E75)+$JF75</f>
        <v/>
      </c>
      <c r="JH75" s="55">
        <f>SUMIFS(tblBudget[TMM_t],tblBudget[Month],$E75)</f>
        <v/>
      </c>
      <c r="JI75" s="55">
        <f>$JH75*$C75/$D75</f>
        <v/>
      </c>
      <c r="JJ75" s="55">
        <f>SUMIFS(tblBudget[TMM_t],tblBudget[Month],"&lt;"&amp;$E75)+$JI75</f>
        <v/>
      </c>
      <c r="JK75" s="56">
        <f>IFERROR(IF(($IS75)&gt;0,($JE75)/($IS75),""),"")</f>
        <v/>
      </c>
      <c r="JL75" s="56">
        <f>IFERROR(IF(($IT75)&gt;0,($JF75)/($IT75),""),"")</f>
        <v/>
      </c>
      <c r="JM75" s="56">
        <f>IFERROR(IF(($IU75)&gt;0,($JG75)/($IU75),""),"")</f>
        <v/>
      </c>
      <c r="JN75" s="55">
        <f>SUMIFS(tblBudget[Drill_m],tblBudget[Month],$E75)</f>
        <v/>
      </c>
      <c r="JO75" s="55">
        <f>$JN75*$C75/$D75</f>
        <v/>
      </c>
      <c r="JP75" s="55">
        <f>SUMIFS(tblBudget[Drill_m],tblBudget[Month],"&lt;"&amp;$E75)+$JO75</f>
        <v/>
      </c>
      <c r="JQ75" s="55">
        <f>SUMIFS(tblBudget[Diesel_L],tblBudget[Month],$E75)</f>
        <v/>
      </c>
      <c r="JR75" s="55">
        <f>$JQ75*$C75/$D75</f>
        <v/>
      </c>
      <c r="JS75" s="55">
        <f>SUMIFS(tblBudget[Diesel_L],tblBudget[Month],"&lt;"&amp;$E75)+$JR75</f>
        <v/>
      </c>
      <c r="JT75" s="55">
        <f>SUMIFS(tblBudget[Milled_t],tblBudget[Month],$E75)</f>
        <v/>
      </c>
      <c r="JU75" s="55">
        <f>$JT75*$C75/$D75</f>
        <v/>
      </c>
      <c r="JV75" s="55">
        <f>SUMIFS(tblBudget[Milled_t],tblBudget[Month],"&lt;"&amp;$E75)+$JU75</f>
        <v/>
      </c>
      <c r="JW75" s="55">
        <f>SUMIFS(tblBudget[Feed_oz],tblBudget[Month],$E75)</f>
        <v/>
      </c>
      <c r="JX75" s="55">
        <f>$JW75*$C75/$D75</f>
        <v/>
      </c>
      <c r="JY75" s="55">
        <f>SUMIFS(tblBudget[Feed_oz],tblBudget[Month],"&lt;"&amp;$E75)+$JX75</f>
        <v/>
      </c>
      <c r="JZ75" s="55">
        <f>SUMIFS(tblBudget[Recovered_oz],tblBudget[Month],$E75)</f>
        <v/>
      </c>
      <c r="KA75" s="55">
        <f>$JZ75*$C75/$D75</f>
        <v/>
      </c>
      <c r="KB75" s="55">
        <f>SUMIFS(tblBudget[Recovered_oz],tblBudget[Month],"&lt;"&amp;$E75)+$KA75</f>
        <v/>
      </c>
      <c r="KC75" s="55">
        <f>SUMIFS(tblBudget[Milled_t],tblBudget[Month],$E75)</f>
        <v/>
      </c>
      <c r="KD75" s="55">
        <f>$KC75*$C75/$D75</f>
        <v/>
      </c>
      <c r="KE75" s="55">
        <f>SUMIFS(tblBudget[Milled_t],tblBudget[Month],"&lt;"&amp;$E75)+$KD75</f>
        <v/>
      </c>
      <c r="KF75" s="55">
        <f>SUMIFS(tblBudget[Feed_oz],tblBudget[Month],$E75)</f>
        <v/>
      </c>
      <c r="KG75" s="55">
        <f>$KF75*$C75/$D75</f>
        <v/>
      </c>
      <c r="KH75" s="55">
        <f>SUMIFS(tblBudget[Feed_oz],tblBudget[Month],"&lt;"&amp;$E75)+$KG75</f>
        <v/>
      </c>
      <c r="KI75" s="56">
        <f>IFERROR(IF(($KC75)&gt;0,($JW75*cfg_TroyOz)/($KC75),""),"")</f>
        <v/>
      </c>
      <c r="KJ75" s="56">
        <f>IFERROR(IF(($KD75)&gt;0,($JX75*cfg_TroyOz)/($KD75),""),"")</f>
        <v/>
      </c>
      <c r="KK75" s="56">
        <f>IFERROR(IF(($KE75)&gt;0,($JY75*cfg_TroyOz)/($KE75),""),"")</f>
        <v/>
      </c>
      <c r="KL75" s="67">
        <f>IFERROR(IF(($KF75)&gt;0,($JZ75)/($KF75),""),"")</f>
        <v/>
      </c>
      <c r="KM75" s="67">
        <f>IFERROR(IF(($KG75)&gt;0,($KA75)/($KG75),""),"")</f>
        <v/>
      </c>
      <c r="KN75" s="67">
        <f>IFERROR(IF(($KH75)&gt;0,($KB75)/($KH75),""),"")</f>
        <v/>
      </c>
      <c r="KO75" s="55">
        <f>SUMIFS(tblBudget[Gold_Poured_oz],tblBudget[Month],$E75)</f>
        <v/>
      </c>
      <c r="KP75" s="55">
        <f>$KO75*$C75/$D75</f>
        <v/>
      </c>
      <c r="KQ75" s="55">
        <f>SUMIFS(tblBudget[Gold_Poured_oz],tblBudget[Month],"&lt;"&amp;$E75)+$KP75</f>
        <v/>
      </c>
      <c r="KR75" s="57">
        <f>SUMIFS(tblBudget[Hours_Worked],tblBudget[Month],$E75)</f>
        <v/>
      </c>
      <c r="KS75" s="57">
        <f>$KR75*$C75/$D75</f>
        <v/>
      </c>
      <c r="KT75" s="57">
        <f>SUMIFS(tblBudget[Hours_Worked],tblBudget[Month],"&lt;"&amp;$E75)+$KS75</f>
        <v/>
      </c>
    </row>
    <row r="76">
      <c r="A76" s="54" t="n">
        <v>46097</v>
      </c>
      <c r="B76">
        <f>MONTH($A76)</f>
        <v/>
      </c>
      <c r="C76">
        <f>DAY($A76)</f>
        <v/>
      </c>
      <c r="D76">
        <f>DAY(EOMONTH($A76,0))</f>
        <v/>
      </c>
      <c r="E76" s="54">
        <f>DATE(YEAR($A76),MONTH($A76),1)</f>
        <v/>
      </c>
      <c r="F76" s="55">
        <f>SUMIFS(tblMovement[Tonnes_t],tblMovement[Date],$A76,tblMovement[Is_Ore],1,tblMovement[Source_Type],"Pit")</f>
        <v/>
      </c>
      <c r="G76" s="55">
        <f>IF($B76=$B75,$G75,0)+$F76</f>
        <v/>
      </c>
      <c r="H76" s="55">
        <f>$H75+$F76</f>
        <v/>
      </c>
      <c r="I76" s="55">
        <f>SUMIFS(tblMovement[Ore_oz],tblMovement[Date],$A76,tblMovement[Source_Type],"Pit")</f>
        <v/>
      </c>
      <c r="J76" s="55">
        <f>IF($B76=$B75,$J75,0)+$I76</f>
        <v/>
      </c>
      <c r="K76" s="55">
        <f>$K75+$I76</f>
        <v/>
      </c>
      <c r="L76" s="55">
        <f>SUMIFS(tblMovement[Tonnes_t],tblMovement[Date],$A76,tblMovement[Is_Ore],1,tblMovement[Source_Type],"Pit",tblMovement[Grade_gpt],"&lt;&gt;")</f>
        <v/>
      </c>
      <c r="M76" s="55">
        <f>IF($B76=$B75,$M75,0)+$L76</f>
        <v/>
      </c>
      <c r="N76" s="55">
        <f>$N75+$L76</f>
        <v/>
      </c>
      <c r="O76" s="56">
        <f>IFERROR(IF(($L76)&gt;0,($I76*cfg_TroyOz)/($L76),""),"")</f>
        <v/>
      </c>
      <c r="P76" s="56">
        <f>IFERROR(IF(($M76)&gt;0,($J76*cfg_TroyOz)/($M76),""),"")</f>
        <v/>
      </c>
      <c r="Q76" s="56">
        <f>IFERROR(IF(($N76)&gt;0,($K76*cfg_TroyOz)/($N76),""),"")</f>
        <v/>
      </c>
      <c r="R76" s="55">
        <f>$F76-$L76</f>
        <v/>
      </c>
      <c r="S76" s="55">
        <f>IF($B76=$B75,$S75,0)+$R76</f>
        <v/>
      </c>
      <c r="T76" s="55">
        <f>$T75+$R76</f>
        <v/>
      </c>
      <c r="U76" s="55">
        <f>SUMIFS(tblMovement[Tonnes_t],tblMovement[Date],$A76,tblMovement[Is_Ore],0,tblMovement[Source_Type],"Pit")</f>
        <v/>
      </c>
      <c r="V76" s="55">
        <f>IF($B76=$B75,$V75,0)+$U76</f>
        <v/>
      </c>
      <c r="W76" s="55">
        <f>$W75+$U76</f>
        <v/>
      </c>
      <c r="X76" s="55">
        <f>$F76+$U76</f>
        <v/>
      </c>
      <c r="Y76" s="55">
        <f>IF($B76=$B75,$Y75,0)+$X76</f>
        <v/>
      </c>
      <c r="Z76" s="55">
        <f>$Z75+$X76</f>
        <v/>
      </c>
      <c r="AA76" s="56">
        <f>IFERROR(IF(($F76)&gt;0,($U76)/($F76),""),"")</f>
        <v/>
      </c>
      <c r="AB76" s="56">
        <f>IFERROR(IF(($G76)&gt;0,($V76)/($G76),""),"")</f>
        <v/>
      </c>
      <c r="AC76" s="56">
        <f>IFERROR(IF(($H76)&gt;0,($W76)/($H76),""),"")</f>
        <v/>
      </c>
      <c r="AD76" s="55">
        <f>SUMIFS(tblMovement[Tonnes_t],tblMovement[Date],$A76,tblMovement[Source_Type],"Stockpile")</f>
        <v/>
      </c>
      <c r="AE76" s="55">
        <f>IF($B76=$B75,$AE75,0)+$AD76</f>
        <v/>
      </c>
      <c r="AF76" s="55">
        <f>$AF75+$AD76</f>
        <v/>
      </c>
      <c r="AG76" s="55">
        <f>SUMIFS(tblMovement[Tonnes_t],tblMovement[Date],$A76)</f>
        <v/>
      </c>
      <c r="AH76" s="55">
        <f>IF($B76=$B75,$AH75,0)+$AG76</f>
        <v/>
      </c>
      <c r="AI76" s="55">
        <f>$AI75+$AG76</f>
        <v/>
      </c>
      <c r="AJ76" s="55">
        <f>$AG76-$X76-$AD76</f>
        <v/>
      </c>
      <c r="AK76" s="55">
        <f>IF($B76=$B75,$AK75,0)+$AJ76</f>
        <v/>
      </c>
      <c r="AL76" s="55">
        <f>$AL75+$AJ76</f>
        <v/>
      </c>
      <c r="AM76" s="55">
        <f>SUMIFS(tblMiningDaily[Drill_m],tblMiningDaily[Date],$A76)</f>
        <v/>
      </c>
      <c r="AN76" s="55">
        <f>IF($B76=$B75,$AN75,0)+$AM76</f>
        <v/>
      </c>
      <c r="AO76" s="55">
        <f>$AO75+$AM76</f>
        <v/>
      </c>
      <c r="AP76" s="55">
        <f>SUMIFS(tblMiningDaily[GC_Drill_m],tblMiningDaily[Date],$A76)</f>
        <v/>
      </c>
      <c r="AQ76" s="55">
        <f>IF($B76=$B75,$AQ75,0)+$AP76</f>
        <v/>
      </c>
      <c r="AR76" s="55">
        <f>$AR75+$AP76</f>
        <v/>
      </c>
      <c r="AS76" s="55">
        <f>SUMIFS(tblMiningDaily[Blast_t],tblMiningDaily[Date],$A76)</f>
        <v/>
      </c>
      <c r="AT76" s="55">
        <f>IF($B76=$B75,$AT75,0)+$AS76</f>
        <v/>
      </c>
      <c r="AU76" s="55">
        <f>$AU75+$AS76</f>
        <v/>
      </c>
      <c r="AV76" s="55">
        <f>SUMIFS(tblMiningDaily[Explosives_kg],tblMiningDaily[Date],$A76)</f>
        <v/>
      </c>
      <c r="AW76" s="55">
        <f>IF($B76=$B75,$AW75,0)+$AV76</f>
        <v/>
      </c>
      <c r="AX76" s="55">
        <f>$AX75+$AV76</f>
        <v/>
      </c>
      <c r="AY76" s="56">
        <f>IFERROR(IF(($AS76)&gt;0,($AV76)/($AS76),""),"")</f>
        <v/>
      </c>
      <c r="AZ76" s="56">
        <f>IFERROR(IF(($AT76)&gt;0,($AW76)/($AT76),""),"")</f>
        <v/>
      </c>
      <c r="BA76" s="56">
        <f>IFERROR(IF(($AU76)&gt;0,($AX76)/($AU76),""),"")</f>
        <v/>
      </c>
      <c r="BB76" s="55">
        <f>SUMIFS(tblMiningDaily[Diesel_L],tblMiningDaily[Date],$A76)</f>
        <v/>
      </c>
      <c r="BC76" s="55">
        <f>IF($B76=$B75,$BC75,0)+$BB76</f>
        <v/>
      </c>
      <c r="BD76" s="55">
        <f>$BD75+$BB76</f>
        <v/>
      </c>
      <c r="BE76" s="55">
        <f>SUMIFS(tblMiningDaily[Dewatering_m3],tblMiningDaily[Date],$A76)</f>
        <v/>
      </c>
      <c r="BF76" s="55">
        <f>IF($B76=$B75,$BF75,0)+$BE76</f>
        <v/>
      </c>
      <c r="BG76" s="55">
        <f>$BG75+$BE76</f>
        <v/>
      </c>
      <c r="BH76" s="57">
        <f>SUMIFS(tblFleet[Calendar_h],tblFleet[Date],$A76,tblFleet[Equipment_Class],"Excavator")</f>
        <v/>
      </c>
      <c r="BI76" s="57">
        <f>IF($B76=$B75,$BI75,0)+$BH76</f>
        <v/>
      </c>
      <c r="BJ76" s="57">
        <f>$BJ75+$BH76</f>
        <v/>
      </c>
      <c r="BK76" s="57">
        <f>SUMIFS(tblFleet[Available_h],tblFleet[Date],$A76,tblFleet[Equipment_Class],"Excavator")</f>
        <v/>
      </c>
      <c r="BL76" s="57">
        <f>IF($B76=$B75,$BL75,0)+$BK76</f>
        <v/>
      </c>
      <c r="BM76" s="57">
        <f>$BM75+$BK76</f>
        <v/>
      </c>
      <c r="BN76" s="57">
        <f>SUMIFS(tblFleet[Operating_h],tblFleet[Date],$A76,tblFleet[Equipment_Class],"Excavator")</f>
        <v/>
      </c>
      <c r="BO76" s="57">
        <f>IF($B76=$B75,$BO75,0)+$BN76</f>
        <v/>
      </c>
      <c r="BP76" s="57">
        <f>$BP75+$BN76</f>
        <v/>
      </c>
      <c r="BQ76" s="67">
        <f>IFERROR(IF(($BH76)&gt;0,($BK76)/($BH76),""),"")</f>
        <v/>
      </c>
      <c r="BR76" s="67">
        <f>IFERROR(IF(($BI76)&gt;0,($BL76)/($BI76),""),"")</f>
        <v/>
      </c>
      <c r="BS76" s="67">
        <f>IFERROR(IF(($BJ76)&gt;0,($BM76)/($BJ76),""),"")</f>
        <v/>
      </c>
      <c r="BT76" s="67">
        <f>IFERROR(IF(($BK76)&gt;0,($BN76)/($BK76),""),"")</f>
        <v/>
      </c>
      <c r="BU76" s="67">
        <f>IFERROR(IF(($BL76)&gt;0,($BO76)/($BL76),""),"")</f>
        <v/>
      </c>
      <c r="BV76" s="67">
        <f>IFERROR(IF(($BM76)&gt;0,($BP76)/($BM76),""),"")</f>
        <v/>
      </c>
      <c r="BW76" s="57">
        <f>SUMIFS(tblFleet[Calendar_h],tblFleet[Date],$A76,tblFleet[Equipment_Class],"Haul Truck")</f>
        <v/>
      </c>
      <c r="BX76" s="57">
        <f>IF($B76=$B75,$BX75,0)+$BW76</f>
        <v/>
      </c>
      <c r="BY76" s="57">
        <f>$BY75+$BW76</f>
        <v/>
      </c>
      <c r="BZ76" s="57">
        <f>SUMIFS(tblFleet[Available_h],tblFleet[Date],$A76,tblFleet[Equipment_Class],"Haul Truck")</f>
        <v/>
      </c>
      <c r="CA76" s="57">
        <f>IF($B76=$B75,$CA75,0)+$BZ76</f>
        <v/>
      </c>
      <c r="CB76" s="57">
        <f>$CB75+$BZ76</f>
        <v/>
      </c>
      <c r="CC76" s="57">
        <f>SUMIFS(tblFleet[Operating_h],tblFleet[Date],$A76,tblFleet[Equipment_Class],"Haul Truck")</f>
        <v/>
      </c>
      <c r="CD76" s="57">
        <f>IF($B76=$B75,$CD75,0)+$CC76</f>
        <v/>
      </c>
      <c r="CE76" s="57">
        <f>$CE75+$CC76</f>
        <v/>
      </c>
      <c r="CF76" s="67">
        <f>IFERROR(IF(($BW76)&gt;0,($BZ76)/($BW76),""),"")</f>
        <v/>
      </c>
      <c r="CG76" s="67">
        <f>IFERROR(IF(($BX76)&gt;0,($CA76)/($BX76),""),"")</f>
        <v/>
      </c>
      <c r="CH76" s="67">
        <f>IFERROR(IF(($BY76)&gt;0,($CB76)/($BY76),""),"")</f>
        <v/>
      </c>
      <c r="CI76" s="67">
        <f>IFERROR(IF(($BZ76)&gt;0,($CC76)/($BZ76),""),"")</f>
        <v/>
      </c>
      <c r="CJ76" s="67">
        <f>IFERROR(IF(($CA76)&gt;0,($CD76)/($CA76),""),"")</f>
        <v/>
      </c>
      <c r="CK76" s="67">
        <f>IFERROR(IF(($CB76)&gt;0,($CE76)/($CB76),""),"")</f>
        <v/>
      </c>
      <c r="CL76" s="55">
        <f>IFERROR(IF(($BN76)&gt;0,($X76+$AD76)/($BN76),""),"")</f>
        <v/>
      </c>
      <c r="CM76" s="55">
        <f>IFERROR(IF(($BO76)&gt;0,($Y76+$AE76)/($BO76),""),"")</f>
        <v/>
      </c>
      <c r="CN76" s="55">
        <f>IFERROR(IF(($BP76)&gt;0,($Z76+$AF76)/($BP76),""),"")</f>
        <v/>
      </c>
      <c r="CO76" s="55">
        <f>IFERROR(IF(($CC76)&gt;0,($X76+$AD76)/($CC76),""),"")</f>
        <v/>
      </c>
      <c r="CP76" s="55">
        <f>IFERROR(IF(($CD76)&gt;0,($Y76+$AE76)/($CD76),""),"")</f>
        <v/>
      </c>
      <c r="CQ76" s="55">
        <f>IFERROR(IF(($CE76)&gt;0,($Z76+$AF76)/($CE76),""),"")</f>
        <v/>
      </c>
      <c r="CR76" s="55">
        <f>SUMIFS(tblPlant[Crushed_t],tblPlant[Date],$A76)</f>
        <v/>
      </c>
      <c r="CS76" s="55">
        <f>IF($B76=$B75,$CS75,0)+$CR76</f>
        <v/>
      </c>
      <c r="CT76" s="55">
        <f>$CT75+$CR76</f>
        <v/>
      </c>
      <c r="CU76" s="55">
        <f>SUMIFS(tblPlant[Milled_t],tblPlant[Date],$A76)</f>
        <v/>
      </c>
      <c r="CV76" s="55">
        <f>IF($B76=$B75,$CV75,0)+$CU76</f>
        <v/>
      </c>
      <c r="CW76" s="55">
        <f>$CW75+$CU76</f>
        <v/>
      </c>
      <c r="CX76" s="55">
        <f>SUMIFS(tblPlant[Feed_oz],tblPlant[Date],$A76)</f>
        <v/>
      </c>
      <c r="CY76" s="55">
        <f>IF($B76=$B75,$CY75,0)+$CX76</f>
        <v/>
      </c>
      <c r="CZ76" s="55">
        <f>$CZ75+$CX76</f>
        <v/>
      </c>
      <c r="DA76" s="55">
        <f>SUMIFS(tblPlant[Tails_oz],tblPlant[Date],$A76)</f>
        <v/>
      </c>
      <c r="DB76" s="55">
        <f>IF($B76=$B75,$DB75,0)+$DA76</f>
        <v/>
      </c>
      <c r="DC76" s="55">
        <f>$DC75+$DA76</f>
        <v/>
      </c>
      <c r="DD76" s="55">
        <f>SUMIFS(tblPlant[Recovered_oz],tblPlant[Date],$A76)</f>
        <v/>
      </c>
      <c r="DE76" s="55">
        <f>IF($B76=$B75,$DE75,0)+$DD76</f>
        <v/>
      </c>
      <c r="DF76" s="55">
        <f>$DF75+$DD76</f>
        <v/>
      </c>
      <c r="DG76" s="55">
        <f>SUMIFS(tblPlant[Milled_t],tblPlant[Date],$A76,tblPlant[Head_Grade_gpt],"&lt;&gt;")</f>
        <v/>
      </c>
      <c r="DH76" s="55">
        <f>IF($B76=$B75,$DH75,0)+$DG76</f>
        <v/>
      </c>
      <c r="DI76" s="55">
        <f>$DI75+$DG76</f>
        <v/>
      </c>
      <c r="DJ76" s="55">
        <f>SUMIFS(tblPlant[Milled_t],tblPlant[Date],$A76,tblPlant[Tails_Grade_gpt],"&lt;&gt;")</f>
        <v/>
      </c>
      <c r="DK76" s="55">
        <f>IF($B76=$B75,$DK75,0)+$DJ76</f>
        <v/>
      </c>
      <c r="DL76" s="55">
        <f>$DL75+$DJ76</f>
        <v/>
      </c>
      <c r="DM76" s="55">
        <f>SUMIFS(tblPlant[Feed_oz],tblPlant[Date],$A76,tblPlant[Tails_Grade_gpt],"&lt;&gt;")</f>
        <v/>
      </c>
      <c r="DN76" s="55">
        <f>IF($B76=$B75,$DN75,0)+$DM76</f>
        <v/>
      </c>
      <c r="DO76" s="55">
        <f>$DO75+$DM76</f>
        <v/>
      </c>
      <c r="DP76" s="55">
        <f>SUMIFS(tblPlant[Milled_t],tblPlant[Date],$A76,tblPlant[Mill_Run_h],"&lt;&gt;")</f>
        <v/>
      </c>
      <c r="DQ76" s="55">
        <f>IF($B76=$B75,$DQ75,0)+$DP76</f>
        <v/>
      </c>
      <c r="DR76" s="55">
        <f>$DR75+$DP76</f>
        <v/>
      </c>
      <c r="DS76" s="56">
        <f>IFERROR(IF(($DG76)&gt;0,($CX76*cfg_TroyOz)/($DG76),""),"")</f>
        <v/>
      </c>
      <c r="DT76" s="56">
        <f>IFERROR(IF(($DH76)&gt;0,($CY76*cfg_TroyOz)/($DH76),""),"")</f>
        <v/>
      </c>
      <c r="DU76" s="56">
        <f>IFERROR(IF(($DI76)&gt;0,($CZ76*cfg_TroyOz)/($DI76),""),"")</f>
        <v/>
      </c>
      <c r="DV76" s="56">
        <f>IFERROR(IF(($DJ76)&gt;0,($DA76*cfg_TroyOz)/($DJ76),""),"")</f>
        <v/>
      </c>
      <c r="DW76" s="56">
        <f>IFERROR(IF(($DK76)&gt;0,($DB76*cfg_TroyOz)/($DK76),""),"")</f>
        <v/>
      </c>
      <c r="DX76" s="56">
        <f>IFERROR(IF(($DL76)&gt;0,($DC76*cfg_TroyOz)/($DL76),""),"")</f>
        <v/>
      </c>
      <c r="DY76" s="67">
        <f>IFERROR(IF(($DM76)&gt;0,($DD76)/($DM76),""),"")</f>
        <v/>
      </c>
      <c r="DZ76" s="67">
        <f>IFERROR(IF(($DN76)&gt;0,($DE76)/($DN76),""),"")</f>
        <v/>
      </c>
      <c r="EA76" s="67">
        <f>IFERROR(IF(($DO76)&gt;0,($DF76)/($DO76),""),"")</f>
        <v/>
      </c>
      <c r="EB76" s="55">
        <f>SUMIFS(tblPlant[Gravity_Gold_oz],tblPlant[Date],$A76)</f>
        <v/>
      </c>
      <c r="EC76" s="55">
        <f>IF($B76=$B75,$EC75,0)+$EB76</f>
        <v/>
      </c>
      <c r="ED76" s="55">
        <f>$ED75+$EB76</f>
        <v/>
      </c>
      <c r="EE76" s="67">
        <f>IFERROR(IF(($DD76)&gt;0,($EB76)/($DD76),""),"")</f>
        <v/>
      </c>
      <c r="EF76" s="67">
        <f>IFERROR(IF(($DE76)&gt;0,($EC76)/($DE76),""),"")</f>
        <v/>
      </c>
      <c r="EG76" s="67">
        <f>IFERROR(IF(($DF76)&gt;0,($ED76)/($DF76),""),"")</f>
        <v/>
      </c>
      <c r="EH76" s="55">
        <f>SUMIFS(tblPlant[Gold_Poured_oz],tblPlant[Date],$A76)</f>
        <v/>
      </c>
      <c r="EI76" s="55">
        <f>IF($B76=$B75,$EI75,0)+$EH76</f>
        <v/>
      </c>
      <c r="EJ76" s="55">
        <f>$EJ75+$EH76</f>
        <v/>
      </c>
      <c r="EK76" s="57">
        <f>SUMIFS(tblPlant[Mill_Run_h],tblPlant[Date],$A76)</f>
        <v/>
      </c>
      <c r="EL76" s="57">
        <f>IF($B76=$B75,$EL75,0)+$EK76</f>
        <v/>
      </c>
      <c r="EM76" s="57">
        <f>$EM75+$EK76</f>
        <v/>
      </c>
      <c r="EN76" s="57">
        <f>SUMIFS(tblPlant[Mill_Planned_Maint_h],tblPlant[Date],$A76)</f>
        <v/>
      </c>
      <c r="EO76" s="57">
        <f>IF($B76=$B75,$EO75,0)+$EN76</f>
        <v/>
      </c>
      <c r="EP76" s="57">
        <f>$EP75+$EN76</f>
        <v/>
      </c>
      <c r="EQ76" s="57">
        <f>SUMIFS(tblPlant[Mill_Unplanned_Down_h],tblPlant[Date],$A76)</f>
        <v/>
      </c>
      <c r="ER76" s="57">
        <f>IF($B76=$B75,$ER75,0)+$EQ76</f>
        <v/>
      </c>
      <c r="ES76" s="57">
        <f>$ES75+$EQ76</f>
        <v/>
      </c>
      <c r="ET76" s="57">
        <f>IF(COUNTIFS(tblPlant[Date],$A76,tblPlant[Mill_Run_h],"&lt;&gt;")+COUNTIFS(tblPlant[Date],$A76,tblPlant[Mill_Planned_Maint_h],"&lt;&gt;")+COUNTIFS(tblPlant[Date],$A76,tblPlant[Mill_Unplanned_Down_h],"&lt;&gt;")&gt;0,cfg_HoursPerDay,0)</f>
        <v/>
      </c>
      <c r="EU76" s="57">
        <f>IF($B76=$B75,$EU75,0)+$ET76</f>
        <v/>
      </c>
      <c r="EV76" s="57">
        <f>$EV75+$ET76</f>
        <v/>
      </c>
      <c r="EW76" s="57">
        <f>SUMIFS(tblPlant[Crusher_Run_h],tblPlant[Date],$A76)</f>
        <v/>
      </c>
      <c r="EX76" s="57">
        <f>IF($B76=$B75,$EX75,0)+$EW76</f>
        <v/>
      </c>
      <c r="EY76" s="57">
        <f>$EY75+$EW76</f>
        <v/>
      </c>
      <c r="EZ76" s="55">
        <f>IFERROR(IF(($EK76)&gt;0,($DP76)/($EK76),""),"")</f>
        <v/>
      </c>
      <c r="FA76" s="55">
        <f>IFERROR(IF(($EL76)&gt;0,($DQ76)/($EL76),""),"")</f>
        <v/>
      </c>
      <c r="FB76" s="55">
        <f>IFERROR(IF(($EM76)&gt;0,($DR76)/($EM76),""),"")</f>
        <v/>
      </c>
      <c r="FC76" s="67">
        <f>IFERROR(IF(($ET76)&gt;0,($ET76-$EN76-$EQ76)/($ET76),""),"")</f>
        <v/>
      </c>
      <c r="FD76" s="67">
        <f>IFERROR(IF(($EU76)&gt;0,($EU76-$EO76-$ER76)/($EU76),""),"")</f>
        <v/>
      </c>
      <c r="FE76" s="67">
        <f>IFERROR(IF(($EV76)&gt;0,($EV76-$EP76-$ES76)/($EV76),""),"")</f>
        <v/>
      </c>
      <c r="FF76" s="67">
        <f>IFERROR(IF(($ET76-$EN76-$EQ76)&gt;0,($EK76)/($ET76-$EN76-$EQ76),""),"")</f>
        <v/>
      </c>
      <c r="FG76" s="67">
        <f>IFERROR(IF(($EU76-$EO76-$ER76)&gt;0,($EL76)/($EU76-$EO76-$ER76),""),"")</f>
        <v/>
      </c>
      <c r="FH76" s="67">
        <f>IFERROR(IF(($EV76-$EP76-$ES76)&gt;0,($EM76)/($EV76-$EP76-$ES76),""),"")</f>
        <v/>
      </c>
      <c r="FI76" s="55">
        <f>SUMIFS(tblPlant[Cyanide_kg],tblPlant[Date],$A76)</f>
        <v/>
      </c>
      <c r="FJ76" s="55">
        <f>IF($B76=$B75,$FJ75,0)+$FI76</f>
        <v/>
      </c>
      <c r="FK76" s="55">
        <f>$FK75+$FI76</f>
        <v/>
      </c>
      <c r="FL76" s="55">
        <f>SUMIFS(tblPlant[Lime_kg],tblPlant[Date],$A76)</f>
        <v/>
      </c>
      <c r="FM76" s="55">
        <f>IF($B76=$B75,$FM75,0)+$FL76</f>
        <v/>
      </c>
      <c r="FN76" s="55">
        <f>$FN75+$FL76</f>
        <v/>
      </c>
      <c r="FO76" s="55">
        <f>SUMIFS(tblPlant[Grinding_Media_kg],tblPlant[Date],$A76)</f>
        <v/>
      </c>
      <c r="FP76" s="55">
        <f>IF($B76=$B75,$FP75,0)+$FO76</f>
        <v/>
      </c>
      <c r="FQ76" s="55">
        <f>$FQ75+$FO76</f>
        <v/>
      </c>
      <c r="FR76" s="55">
        <f>SUMIFS(tblPlant[Power_kWh],tblPlant[Date],$A76)</f>
        <v/>
      </c>
      <c r="FS76" s="55">
        <f>IF($B76=$B75,$FS75,0)+$FR76</f>
        <v/>
      </c>
      <c r="FT76" s="55">
        <f>$FT75+$FR76</f>
        <v/>
      </c>
      <c r="FU76" s="55">
        <f>SUMIFS(tblPlant[Raw_Water_m3],tblPlant[Date],$A76)</f>
        <v/>
      </c>
      <c r="FV76" s="55">
        <f>IF($B76=$B75,$FV75,0)+$FU76</f>
        <v/>
      </c>
      <c r="FW76" s="55">
        <f>$FW75+$FU76</f>
        <v/>
      </c>
      <c r="FX76" s="56">
        <f>IFERROR(IF(($CU76)&gt;0,($FI76)/($CU76),""),"")</f>
        <v/>
      </c>
      <c r="FY76" s="56">
        <f>IFERROR(IF(($CV76)&gt;0,($FJ76)/($CV76),""),"")</f>
        <v/>
      </c>
      <c r="FZ76" s="56">
        <f>IFERROR(IF(($CW76)&gt;0,($FK76)/($CW76),""),"")</f>
        <v/>
      </c>
      <c r="GA76" s="56">
        <f>IFERROR(IF(($CU76)&gt;0,($FL76)/($CU76),""),"")</f>
        <v/>
      </c>
      <c r="GB76" s="56">
        <f>IFERROR(IF(($CV76)&gt;0,($FM76)/($CV76),""),"")</f>
        <v/>
      </c>
      <c r="GC76" s="56">
        <f>IFERROR(IF(($CW76)&gt;0,($FN76)/($CW76),""),"")</f>
        <v/>
      </c>
      <c r="GD76" s="56">
        <f>IFERROR(IF(($CU76)&gt;0,($FO76)/($CU76),""),"")</f>
        <v/>
      </c>
      <c r="GE76" s="56">
        <f>IFERROR(IF(($CV76)&gt;0,($FP76)/($CV76),""),"")</f>
        <v/>
      </c>
      <c r="GF76" s="56">
        <f>IFERROR(IF(($CW76)&gt;0,($FQ76)/($CW76),""),"")</f>
        <v/>
      </c>
      <c r="GG76" s="79">
        <f>IFERROR(IF(($CU76)&gt;0,($FR76)/($CU76),""),"")</f>
        <v/>
      </c>
      <c r="GH76" s="79">
        <f>IFERROR(IF(($CV76)&gt;0,($FS76)/($CV76),""),"")</f>
        <v/>
      </c>
      <c r="GI76" s="79">
        <f>IFERROR(IF(($CW76)&gt;0,($FT76)/($CW76),""),"")</f>
        <v/>
      </c>
      <c r="GJ76" s="56">
        <f>IFERROR(IF(($CU76)&gt;0,($FU76)/($CU76),""),"")</f>
        <v/>
      </c>
      <c r="GK76" s="56">
        <f>IFERROR(IF(($CV76)&gt;0,($FV76)/($CV76),""),"")</f>
        <v/>
      </c>
      <c r="GL76" s="56">
        <f>IFERROR(IF(($CW76)&gt;0,($FW76)/($CW76),""),"")</f>
        <v/>
      </c>
      <c r="GM76" s="55">
        <f>IF(SUMIFS(tblPlant[GIC_oz],tblPlant[Date],$A76)&gt;0,SUMIFS(tblPlant[GIC_oz],tblPlant[Date],$A76),"")</f>
        <v/>
      </c>
      <c r="GN76" s="55">
        <f>SUMIFS(tblGold[Gold_oz],tblGold[Date],$A76,tblGold[Type],"Shipment")</f>
        <v/>
      </c>
      <c r="GO76" s="55">
        <f>IF($B76=$B75,$GO75,0)+$GN76</f>
        <v/>
      </c>
      <c r="GP76" s="55">
        <f>$GP75+$GN76</f>
        <v/>
      </c>
      <c r="GQ76" s="55">
        <f>SUMIFS(tblGold[Gold_oz],tblGold[Date],$A76,tblGold[Type],"Sale")</f>
        <v/>
      </c>
      <c r="GR76" s="55">
        <f>IF($B76=$B75,$GR75,0)+$GQ76</f>
        <v/>
      </c>
      <c r="GS76" s="55">
        <f>$GS75+$GQ76</f>
        <v/>
      </c>
      <c r="GT76" s="55">
        <f>SUMIFS(tblGold[Dore_kg],tblGold[Date],$A76,tblGold[Type],"Shipment")</f>
        <v/>
      </c>
      <c r="GU76" s="55">
        <f>IF($B76=$B75,$GU75,0)+$GT76</f>
        <v/>
      </c>
      <c r="GV76" s="55">
        <f>$GV75+$GT76</f>
        <v/>
      </c>
      <c r="GW76" s="57">
        <f>SUMIFS(tblSafety[Hours_Total],tblSafety[Date],$A76)</f>
        <v/>
      </c>
      <c r="GX76" s="57">
        <f>IF($B76=$B75,$GX75,0)+$GW76</f>
        <v/>
      </c>
      <c r="GY76" s="57">
        <f>$GY75+$GW76</f>
        <v/>
      </c>
      <c r="GZ76" s="62">
        <f>SUMIFS(tblSafety[Fatality],tblSafety[Date],$A76)</f>
        <v/>
      </c>
      <c r="HA76" s="62">
        <f>IF($B76=$B75,$HA75,0)+$GZ76</f>
        <v/>
      </c>
      <c r="HB76" s="62">
        <f>$HB75+$GZ76</f>
        <v/>
      </c>
      <c r="HC76" s="62">
        <f>SUMIFS(tblSafety[LTI],tblSafety[Date],$A76)</f>
        <v/>
      </c>
      <c r="HD76" s="62">
        <f>IF($B76=$B75,$HD75,0)+$HC76</f>
        <v/>
      </c>
      <c r="HE76" s="62">
        <f>$HE75+$HC76</f>
        <v/>
      </c>
      <c r="HF76" s="62">
        <f>SUMIFS(tblSafety[RWI],tblSafety[Date],$A76)</f>
        <v/>
      </c>
      <c r="HG76" s="62">
        <f>IF($B76=$B75,$HG75,0)+$HF76</f>
        <v/>
      </c>
      <c r="HH76" s="62">
        <f>$HH75+$HF76</f>
        <v/>
      </c>
      <c r="HI76" s="62">
        <f>SUMIFS(tblSafety[MTI],tblSafety[Date],$A76)</f>
        <v/>
      </c>
      <c r="HJ76" s="62">
        <f>IF($B76=$B75,$HJ75,0)+$HI76</f>
        <v/>
      </c>
      <c r="HK76" s="62">
        <f>$HK75+$HI76</f>
        <v/>
      </c>
      <c r="HL76" s="62">
        <f>SUMIFS(tblSafety[FAI],tblSafety[Date],$A76)</f>
        <v/>
      </c>
      <c r="HM76" s="62">
        <f>IF($B76=$B75,$HM75,0)+$HL76</f>
        <v/>
      </c>
      <c r="HN76" s="62">
        <f>$HN75+$HL76</f>
        <v/>
      </c>
      <c r="HO76" s="62">
        <f>SUMIFS(tblSafety[Recordables],tblSafety[Date],$A76)</f>
        <v/>
      </c>
      <c r="HP76" s="62">
        <f>IF($B76=$B75,$HP75,0)+$HO76</f>
        <v/>
      </c>
      <c r="HQ76" s="62">
        <f>$HQ75+$HO76</f>
        <v/>
      </c>
      <c r="HR76" s="62">
        <f>SUMIFS(tblSafety[Near_Miss],tblSafety[Date],$A76)</f>
        <v/>
      </c>
      <c r="HS76" s="62">
        <f>IF($B76=$B75,$HS75,0)+$HR76</f>
        <v/>
      </c>
      <c r="HT76" s="62">
        <f>$HT75+$HR76</f>
        <v/>
      </c>
      <c r="HU76" s="62">
        <f>SUMIFS(tblSafety[Hazard_Reports],tblSafety[Date],$A76)</f>
        <v/>
      </c>
      <c r="HV76" s="62">
        <f>IF($B76=$B75,$HV75,0)+$HU76</f>
        <v/>
      </c>
      <c r="HW76" s="62">
        <f>$HW75+$HU76</f>
        <v/>
      </c>
      <c r="HX76" s="62">
        <f>SUMIFS(tblSafety[HPI],tblSafety[Date],$A76)</f>
        <v/>
      </c>
      <c r="HY76" s="62">
        <f>IF($B76=$B75,$HY75,0)+$HX76</f>
        <v/>
      </c>
      <c r="HZ76" s="62">
        <f>$HZ75+$HX76</f>
        <v/>
      </c>
      <c r="IA76" s="62">
        <f>SUMIFS(tblSafety[Env_Incidents],tblSafety[Date],$A76)</f>
        <v/>
      </c>
      <c r="IB76" s="62">
        <f>IF($B76=$B75,$IB75,0)+$IA76</f>
        <v/>
      </c>
      <c r="IC76" s="62">
        <f>$IC75+$IA76</f>
        <v/>
      </c>
      <c r="ID76" s="62">
        <f>SUMIFS(tblSafety[Community_Incidents],tblSafety[Date],$A76)</f>
        <v/>
      </c>
      <c r="IE76" s="62">
        <f>IF($B76=$B75,$IE75,0)+$ID76</f>
        <v/>
      </c>
      <c r="IF76" s="62">
        <f>$IF75+$ID76</f>
        <v/>
      </c>
      <c r="IG76" s="62">
        <f>SUMIFS(tblSafety[Vehicle_Incidents],tblSafety[Date],$A76)</f>
        <v/>
      </c>
      <c r="IH76" s="62">
        <f>IF($B76=$B75,$IH75,0)+$IG76</f>
        <v/>
      </c>
      <c r="II76" s="62">
        <f>$II75+$IG76</f>
        <v/>
      </c>
      <c r="IJ76" s="62">
        <f>SUMIFS(tblSafety[Toolbox_Talks],tblSafety[Date],$A76)</f>
        <v/>
      </c>
      <c r="IK76" s="62">
        <f>IF($B76=$B75,$IK75,0)+$IJ76</f>
        <v/>
      </c>
      <c r="IL76" s="62">
        <f>$IL75+$IJ76</f>
        <v/>
      </c>
      <c r="IM76" s="62">
        <f>SUMIFS(tblSafety[Inspections],tblSafety[Date],$A76)</f>
        <v/>
      </c>
      <c r="IN76" s="62">
        <f>IF($B76=$B75,$IN75,0)+$IM76</f>
        <v/>
      </c>
      <c r="IO76" s="62">
        <f>$IO75+$IM76</f>
        <v/>
      </c>
      <c r="IP76" s="56">
        <f>IFERROR((SUMIFS(tblSafety[Recordables],tblSafety[Date],"&gt;="&amp;EDATE($E76,-12),tblSafety[Date],"&lt;="&amp;$A76)+SUMIFS(tblSafetyHistory[Recordables],tblSafetyHistory[Month],"&gt;="&amp;EDATE($E76,-12),tblSafetyHistory[Month],"&lt;"&amp;$E76,tblSafetyHistory[Use],1))/(SUMIFS(tblSafety[Hours_Total],tblSafety[Date],"&gt;="&amp;EDATE($E76,-12),tblSafety[Date],"&lt;="&amp;$A76)+SUMIFS(tblSafetyHistory[Hours_Total],tblSafetyHistory[Month],"&gt;="&amp;EDATE($E76,-12),tblSafetyHistory[Month],"&lt;"&amp;$E76,tblSafetyHistory[Use],1))*cfg_RateBasisHours,"")</f>
        <v/>
      </c>
      <c r="IQ76" s="56">
        <f>IFERROR((SUMIFS(tblSafety[LTI],tblSafety[Date],"&gt;="&amp;EDATE($E76,-12),tblSafety[Date],"&lt;="&amp;$A76)+SUMIFS(tblSafetyHistory[LTI],tblSafetyHistory[Month],"&gt;="&amp;EDATE($E76,-12),tblSafetyHistory[Month],"&lt;"&amp;$E76,tblSafetyHistory[Use],1))/(SUMIFS(tblSafety[Hours_Total],tblSafety[Date],"&gt;="&amp;EDATE($E76,-12),tblSafety[Date],"&lt;="&amp;$A76)+SUMIFS(tblSafetyHistory[Hours_Total],tblSafetyHistory[Month],"&gt;="&amp;EDATE($E76,-12),tblSafetyHistory[Month],"&lt;"&amp;$E76,tblSafetyHistory[Use],1))*cfg_RateBasisHours,"")</f>
        <v/>
      </c>
      <c r="IR76" s="62">
        <f>IF(MAX(N(cfg_PriorLTIDate),_xlfn.MAXIFS(tblSafety[Date],tblSafety[LTI],"&gt;0",tblSafety[Date],"&lt;="&amp;$A76))=0,"",$A76-MAX(N(cfg_PriorLTIDate),_xlfn.MAXIFS(tblSafety[Date],tblSafety[LTI],"&gt;0",tblSafety[Date],"&lt;="&amp;$A76)))</f>
        <v/>
      </c>
      <c r="IS76" s="55">
        <f>SUMIFS(tblBudget[Ore_Mined_t],tblBudget[Month],$E76)</f>
        <v/>
      </c>
      <c r="IT76" s="55">
        <f>$IS76*$C76/$D76</f>
        <v/>
      </c>
      <c r="IU76" s="55">
        <f>SUMIFS(tblBudget[Ore_Mined_t],tblBudget[Month],"&lt;"&amp;$E76)+$IT76</f>
        <v/>
      </c>
      <c r="IV76" s="55">
        <f>SUMIFS(tblBudget[Ore_oz],tblBudget[Month],$E76)</f>
        <v/>
      </c>
      <c r="IW76" s="55">
        <f>$IV76*$C76/$D76</f>
        <v/>
      </c>
      <c r="IX76" s="55">
        <f>SUMIFS(tblBudget[Ore_oz],tblBudget[Month],"&lt;"&amp;$E76)+$IW76</f>
        <v/>
      </c>
      <c r="IY76" s="55">
        <f>SUMIFS(tblBudget[Ore_Mined_t],tblBudget[Month],$E76)</f>
        <v/>
      </c>
      <c r="IZ76" s="55">
        <f>$IY76*$C76/$D76</f>
        <v/>
      </c>
      <c r="JA76" s="55">
        <f>SUMIFS(tblBudget[Ore_Mined_t],tblBudget[Month],"&lt;"&amp;$E76)+$IZ76</f>
        <v/>
      </c>
      <c r="JB76" s="56">
        <f>IFERROR(IF(($IY76)&gt;0,($IV76*cfg_TroyOz)/($IY76),""),"")</f>
        <v/>
      </c>
      <c r="JC76" s="56">
        <f>IFERROR(IF(($IZ76)&gt;0,($IW76*cfg_TroyOz)/($IZ76),""),"")</f>
        <v/>
      </c>
      <c r="JD76" s="56">
        <f>IFERROR(IF(($JA76)&gt;0,($IX76*cfg_TroyOz)/($JA76),""),"")</f>
        <v/>
      </c>
      <c r="JE76" s="55">
        <f>SUMIFS(tblBudget[Waste_t],tblBudget[Month],$E76)</f>
        <v/>
      </c>
      <c r="JF76" s="55">
        <f>$JE76*$C76/$D76</f>
        <v/>
      </c>
      <c r="JG76" s="55">
        <f>SUMIFS(tblBudget[Waste_t],tblBudget[Month],"&lt;"&amp;$E76)+$JF76</f>
        <v/>
      </c>
      <c r="JH76" s="55">
        <f>SUMIFS(tblBudget[TMM_t],tblBudget[Month],$E76)</f>
        <v/>
      </c>
      <c r="JI76" s="55">
        <f>$JH76*$C76/$D76</f>
        <v/>
      </c>
      <c r="JJ76" s="55">
        <f>SUMIFS(tblBudget[TMM_t],tblBudget[Month],"&lt;"&amp;$E76)+$JI76</f>
        <v/>
      </c>
      <c r="JK76" s="56">
        <f>IFERROR(IF(($IS76)&gt;0,($JE76)/($IS76),""),"")</f>
        <v/>
      </c>
      <c r="JL76" s="56">
        <f>IFERROR(IF(($IT76)&gt;0,($JF76)/($IT76),""),"")</f>
        <v/>
      </c>
      <c r="JM76" s="56">
        <f>IFERROR(IF(($IU76)&gt;0,($JG76)/($IU76),""),"")</f>
        <v/>
      </c>
      <c r="JN76" s="55">
        <f>SUMIFS(tblBudget[Drill_m],tblBudget[Month],$E76)</f>
        <v/>
      </c>
      <c r="JO76" s="55">
        <f>$JN76*$C76/$D76</f>
        <v/>
      </c>
      <c r="JP76" s="55">
        <f>SUMIFS(tblBudget[Drill_m],tblBudget[Month],"&lt;"&amp;$E76)+$JO76</f>
        <v/>
      </c>
      <c r="JQ76" s="55">
        <f>SUMIFS(tblBudget[Diesel_L],tblBudget[Month],$E76)</f>
        <v/>
      </c>
      <c r="JR76" s="55">
        <f>$JQ76*$C76/$D76</f>
        <v/>
      </c>
      <c r="JS76" s="55">
        <f>SUMIFS(tblBudget[Diesel_L],tblBudget[Month],"&lt;"&amp;$E76)+$JR76</f>
        <v/>
      </c>
      <c r="JT76" s="55">
        <f>SUMIFS(tblBudget[Milled_t],tblBudget[Month],$E76)</f>
        <v/>
      </c>
      <c r="JU76" s="55">
        <f>$JT76*$C76/$D76</f>
        <v/>
      </c>
      <c r="JV76" s="55">
        <f>SUMIFS(tblBudget[Milled_t],tblBudget[Month],"&lt;"&amp;$E76)+$JU76</f>
        <v/>
      </c>
      <c r="JW76" s="55">
        <f>SUMIFS(tblBudget[Feed_oz],tblBudget[Month],$E76)</f>
        <v/>
      </c>
      <c r="JX76" s="55">
        <f>$JW76*$C76/$D76</f>
        <v/>
      </c>
      <c r="JY76" s="55">
        <f>SUMIFS(tblBudget[Feed_oz],tblBudget[Month],"&lt;"&amp;$E76)+$JX76</f>
        <v/>
      </c>
      <c r="JZ76" s="55">
        <f>SUMIFS(tblBudget[Recovered_oz],tblBudget[Month],$E76)</f>
        <v/>
      </c>
      <c r="KA76" s="55">
        <f>$JZ76*$C76/$D76</f>
        <v/>
      </c>
      <c r="KB76" s="55">
        <f>SUMIFS(tblBudget[Recovered_oz],tblBudget[Month],"&lt;"&amp;$E76)+$KA76</f>
        <v/>
      </c>
      <c r="KC76" s="55">
        <f>SUMIFS(tblBudget[Milled_t],tblBudget[Month],$E76)</f>
        <v/>
      </c>
      <c r="KD76" s="55">
        <f>$KC76*$C76/$D76</f>
        <v/>
      </c>
      <c r="KE76" s="55">
        <f>SUMIFS(tblBudget[Milled_t],tblBudget[Month],"&lt;"&amp;$E76)+$KD76</f>
        <v/>
      </c>
      <c r="KF76" s="55">
        <f>SUMIFS(tblBudget[Feed_oz],tblBudget[Month],$E76)</f>
        <v/>
      </c>
      <c r="KG76" s="55">
        <f>$KF76*$C76/$D76</f>
        <v/>
      </c>
      <c r="KH76" s="55">
        <f>SUMIFS(tblBudget[Feed_oz],tblBudget[Month],"&lt;"&amp;$E76)+$KG76</f>
        <v/>
      </c>
      <c r="KI76" s="56">
        <f>IFERROR(IF(($KC76)&gt;0,($JW76*cfg_TroyOz)/($KC76),""),"")</f>
        <v/>
      </c>
      <c r="KJ76" s="56">
        <f>IFERROR(IF(($KD76)&gt;0,($JX76*cfg_TroyOz)/($KD76),""),"")</f>
        <v/>
      </c>
      <c r="KK76" s="56">
        <f>IFERROR(IF(($KE76)&gt;0,($JY76*cfg_TroyOz)/($KE76),""),"")</f>
        <v/>
      </c>
      <c r="KL76" s="67">
        <f>IFERROR(IF(($KF76)&gt;0,($JZ76)/($KF76),""),"")</f>
        <v/>
      </c>
      <c r="KM76" s="67">
        <f>IFERROR(IF(($KG76)&gt;0,($KA76)/($KG76),""),"")</f>
        <v/>
      </c>
      <c r="KN76" s="67">
        <f>IFERROR(IF(($KH76)&gt;0,($KB76)/($KH76),""),"")</f>
        <v/>
      </c>
      <c r="KO76" s="55">
        <f>SUMIFS(tblBudget[Gold_Poured_oz],tblBudget[Month],$E76)</f>
        <v/>
      </c>
      <c r="KP76" s="55">
        <f>$KO76*$C76/$D76</f>
        <v/>
      </c>
      <c r="KQ76" s="55">
        <f>SUMIFS(tblBudget[Gold_Poured_oz],tblBudget[Month],"&lt;"&amp;$E76)+$KP76</f>
        <v/>
      </c>
      <c r="KR76" s="57">
        <f>SUMIFS(tblBudget[Hours_Worked],tblBudget[Month],$E76)</f>
        <v/>
      </c>
      <c r="KS76" s="57">
        <f>$KR76*$C76/$D76</f>
        <v/>
      </c>
      <c r="KT76" s="57">
        <f>SUMIFS(tblBudget[Hours_Worked],tblBudget[Month],"&lt;"&amp;$E76)+$KS76</f>
        <v/>
      </c>
    </row>
    <row r="77">
      <c r="A77" s="54" t="n">
        <v>46098</v>
      </c>
      <c r="B77">
        <f>MONTH($A77)</f>
        <v/>
      </c>
      <c r="C77">
        <f>DAY($A77)</f>
        <v/>
      </c>
      <c r="D77">
        <f>DAY(EOMONTH($A77,0))</f>
        <v/>
      </c>
      <c r="E77" s="54">
        <f>DATE(YEAR($A77),MONTH($A77),1)</f>
        <v/>
      </c>
      <c r="F77" s="55">
        <f>SUMIFS(tblMovement[Tonnes_t],tblMovement[Date],$A77,tblMovement[Is_Ore],1,tblMovement[Source_Type],"Pit")</f>
        <v/>
      </c>
      <c r="G77" s="55">
        <f>IF($B77=$B76,$G76,0)+$F77</f>
        <v/>
      </c>
      <c r="H77" s="55">
        <f>$H76+$F77</f>
        <v/>
      </c>
      <c r="I77" s="55">
        <f>SUMIFS(tblMovement[Ore_oz],tblMovement[Date],$A77,tblMovement[Source_Type],"Pit")</f>
        <v/>
      </c>
      <c r="J77" s="55">
        <f>IF($B77=$B76,$J76,0)+$I77</f>
        <v/>
      </c>
      <c r="K77" s="55">
        <f>$K76+$I77</f>
        <v/>
      </c>
      <c r="L77" s="55">
        <f>SUMIFS(tblMovement[Tonnes_t],tblMovement[Date],$A77,tblMovement[Is_Ore],1,tblMovement[Source_Type],"Pit",tblMovement[Grade_gpt],"&lt;&gt;")</f>
        <v/>
      </c>
      <c r="M77" s="55">
        <f>IF($B77=$B76,$M76,0)+$L77</f>
        <v/>
      </c>
      <c r="N77" s="55">
        <f>$N76+$L77</f>
        <v/>
      </c>
      <c r="O77" s="56">
        <f>IFERROR(IF(($L77)&gt;0,($I77*cfg_TroyOz)/($L77),""),"")</f>
        <v/>
      </c>
      <c r="P77" s="56">
        <f>IFERROR(IF(($M77)&gt;0,($J77*cfg_TroyOz)/($M77),""),"")</f>
        <v/>
      </c>
      <c r="Q77" s="56">
        <f>IFERROR(IF(($N77)&gt;0,($K77*cfg_TroyOz)/($N77),""),"")</f>
        <v/>
      </c>
      <c r="R77" s="55">
        <f>$F77-$L77</f>
        <v/>
      </c>
      <c r="S77" s="55">
        <f>IF($B77=$B76,$S76,0)+$R77</f>
        <v/>
      </c>
      <c r="T77" s="55">
        <f>$T76+$R77</f>
        <v/>
      </c>
      <c r="U77" s="55">
        <f>SUMIFS(tblMovement[Tonnes_t],tblMovement[Date],$A77,tblMovement[Is_Ore],0,tblMovement[Source_Type],"Pit")</f>
        <v/>
      </c>
      <c r="V77" s="55">
        <f>IF($B77=$B76,$V76,0)+$U77</f>
        <v/>
      </c>
      <c r="W77" s="55">
        <f>$W76+$U77</f>
        <v/>
      </c>
      <c r="X77" s="55">
        <f>$F77+$U77</f>
        <v/>
      </c>
      <c r="Y77" s="55">
        <f>IF($B77=$B76,$Y76,0)+$X77</f>
        <v/>
      </c>
      <c r="Z77" s="55">
        <f>$Z76+$X77</f>
        <v/>
      </c>
      <c r="AA77" s="56">
        <f>IFERROR(IF(($F77)&gt;0,($U77)/($F77),""),"")</f>
        <v/>
      </c>
      <c r="AB77" s="56">
        <f>IFERROR(IF(($G77)&gt;0,($V77)/($G77),""),"")</f>
        <v/>
      </c>
      <c r="AC77" s="56">
        <f>IFERROR(IF(($H77)&gt;0,($W77)/($H77),""),"")</f>
        <v/>
      </c>
      <c r="AD77" s="55">
        <f>SUMIFS(tblMovement[Tonnes_t],tblMovement[Date],$A77,tblMovement[Source_Type],"Stockpile")</f>
        <v/>
      </c>
      <c r="AE77" s="55">
        <f>IF($B77=$B76,$AE76,0)+$AD77</f>
        <v/>
      </c>
      <c r="AF77" s="55">
        <f>$AF76+$AD77</f>
        <v/>
      </c>
      <c r="AG77" s="55">
        <f>SUMIFS(tblMovement[Tonnes_t],tblMovement[Date],$A77)</f>
        <v/>
      </c>
      <c r="AH77" s="55">
        <f>IF($B77=$B76,$AH76,0)+$AG77</f>
        <v/>
      </c>
      <c r="AI77" s="55">
        <f>$AI76+$AG77</f>
        <v/>
      </c>
      <c r="AJ77" s="55">
        <f>$AG77-$X77-$AD77</f>
        <v/>
      </c>
      <c r="AK77" s="55">
        <f>IF($B77=$B76,$AK76,0)+$AJ77</f>
        <v/>
      </c>
      <c r="AL77" s="55">
        <f>$AL76+$AJ77</f>
        <v/>
      </c>
      <c r="AM77" s="55">
        <f>SUMIFS(tblMiningDaily[Drill_m],tblMiningDaily[Date],$A77)</f>
        <v/>
      </c>
      <c r="AN77" s="55">
        <f>IF($B77=$B76,$AN76,0)+$AM77</f>
        <v/>
      </c>
      <c r="AO77" s="55">
        <f>$AO76+$AM77</f>
        <v/>
      </c>
      <c r="AP77" s="55">
        <f>SUMIFS(tblMiningDaily[GC_Drill_m],tblMiningDaily[Date],$A77)</f>
        <v/>
      </c>
      <c r="AQ77" s="55">
        <f>IF($B77=$B76,$AQ76,0)+$AP77</f>
        <v/>
      </c>
      <c r="AR77" s="55">
        <f>$AR76+$AP77</f>
        <v/>
      </c>
      <c r="AS77" s="55">
        <f>SUMIFS(tblMiningDaily[Blast_t],tblMiningDaily[Date],$A77)</f>
        <v/>
      </c>
      <c r="AT77" s="55">
        <f>IF($B77=$B76,$AT76,0)+$AS77</f>
        <v/>
      </c>
      <c r="AU77" s="55">
        <f>$AU76+$AS77</f>
        <v/>
      </c>
      <c r="AV77" s="55">
        <f>SUMIFS(tblMiningDaily[Explosives_kg],tblMiningDaily[Date],$A77)</f>
        <v/>
      </c>
      <c r="AW77" s="55">
        <f>IF($B77=$B76,$AW76,0)+$AV77</f>
        <v/>
      </c>
      <c r="AX77" s="55">
        <f>$AX76+$AV77</f>
        <v/>
      </c>
      <c r="AY77" s="56">
        <f>IFERROR(IF(($AS77)&gt;0,($AV77)/($AS77),""),"")</f>
        <v/>
      </c>
      <c r="AZ77" s="56">
        <f>IFERROR(IF(($AT77)&gt;0,($AW77)/($AT77),""),"")</f>
        <v/>
      </c>
      <c r="BA77" s="56">
        <f>IFERROR(IF(($AU77)&gt;0,($AX77)/($AU77),""),"")</f>
        <v/>
      </c>
      <c r="BB77" s="55">
        <f>SUMIFS(tblMiningDaily[Diesel_L],tblMiningDaily[Date],$A77)</f>
        <v/>
      </c>
      <c r="BC77" s="55">
        <f>IF($B77=$B76,$BC76,0)+$BB77</f>
        <v/>
      </c>
      <c r="BD77" s="55">
        <f>$BD76+$BB77</f>
        <v/>
      </c>
      <c r="BE77" s="55">
        <f>SUMIFS(tblMiningDaily[Dewatering_m3],tblMiningDaily[Date],$A77)</f>
        <v/>
      </c>
      <c r="BF77" s="55">
        <f>IF($B77=$B76,$BF76,0)+$BE77</f>
        <v/>
      </c>
      <c r="BG77" s="55">
        <f>$BG76+$BE77</f>
        <v/>
      </c>
      <c r="BH77" s="57">
        <f>SUMIFS(tblFleet[Calendar_h],tblFleet[Date],$A77,tblFleet[Equipment_Class],"Excavator")</f>
        <v/>
      </c>
      <c r="BI77" s="57">
        <f>IF($B77=$B76,$BI76,0)+$BH77</f>
        <v/>
      </c>
      <c r="BJ77" s="57">
        <f>$BJ76+$BH77</f>
        <v/>
      </c>
      <c r="BK77" s="57">
        <f>SUMIFS(tblFleet[Available_h],tblFleet[Date],$A77,tblFleet[Equipment_Class],"Excavator")</f>
        <v/>
      </c>
      <c r="BL77" s="57">
        <f>IF($B77=$B76,$BL76,0)+$BK77</f>
        <v/>
      </c>
      <c r="BM77" s="57">
        <f>$BM76+$BK77</f>
        <v/>
      </c>
      <c r="BN77" s="57">
        <f>SUMIFS(tblFleet[Operating_h],tblFleet[Date],$A77,tblFleet[Equipment_Class],"Excavator")</f>
        <v/>
      </c>
      <c r="BO77" s="57">
        <f>IF($B77=$B76,$BO76,0)+$BN77</f>
        <v/>
      </c>
      <c r="BP77" s="57">
        <f>$BP76+$BN77</f>
        <v/>
      </c>
      <c r="BQ77" s="67">
        <f>IFERROR(IF(($BH77)&gt;0,($BK77)/($BH77),""),"")</f>
        <v/>
      </c>
      <c r="BR77" s="67">
        <f>IFERROR(IF(($BI77)&gt;0,($BL77)/($BI77),""),"")</f>
        <v/>
      </c>
      <c r="BS77" s="67">
        <f>IFERROR(IF(($BJ77)&gt;0,($BM77)/($BJ77),""),"")</f>
        <v/>
      </c>
      <c r="BT77" s="67">
        <f>IFERROR(IF(($BK77)&gt;0,($BN77)/($BK77),""),"")</f>
        <v/>
      </c>
      <c r="BU77" s="67">
        <f>IFERROR(IF(($BL77)&gt;0,($BO77)/($BL77),""),"")</f>
        <v/>
      </c>
      <c r="BV77" s="67">
        <f>IFERROR(IF(($BM77)&gt;0,($BP77)/($BM77),""),"")</f>
        <v/>
      </c>
      <c r="BW77" s="57">
        <f>SUMIFS(tblFleet[Calendar_h],tblFleet[Date],$A77,tblFleet[Equipment_Class],"Haul Truck")</f>
        <v/>
      </c>
      <c r="BX77" s="57">
        <f>IF($B77=$B76,$BX76,0)+$BW77</f>
        <v/>
      </c>
      <c r="BY77" s="57">
        <f>$BY76+$BW77</f>
        <v/>
      </c>
      <c r="BZ77" s="57">
        <f>SUMIFS(tblFleet[Available_h],tblFleet[Date],$A77,tblFleet[Equipment_Class],"Haul Truck")</f>
        <v/>
      </c>
      <c r="CA77" s="57">
        <f>IF($B77=$B76,$CA76,0)+$BZ77</f>
        <v/>
      </c>
      <c r="CB77" s="57">
        <f>$CB76+$BZ77</f>
        <v/>
      </c>
      <c r="CC77" s="57">
        <f>SUMIFS(tblFleet[Operating_h],tblFleet[Date],$A77,tblFleet[Equipment_Class],"Haul Truck")</f>
        <v/>
      </c>
      <c r="CD77" s="57">
        <f>IF($B77=$B76,$CD76,0)+$CC77</f>
        <v/>
      </c>
      <c r="CE77" s="57">
        <f>$CE76+$CC77</f>
        <v/>
      </c>
      <c r="CF77" s="67">
        <f>IFERROR(IF(($BW77)&gt;0,($BZ77)/($BW77),""),"")</f>
        <v/>
      </c>
      <c r="CG77" s="67">
        <f>IFERROR(IF(($BX77)&gt;0,($CA77)/($BX77),""),"")</f>
        <v/>
      </c>
      <c r="CH77" s="67">
        <f>IFERROR(IF(($BY77)&gt;0,($CB77)/($BY77),""),"")</f>
        <v/>
      </c>
      <c r="CI77" s="67">
        <f>IFERROR(IF(($BZ77)&gt;0,($CC77)/($BZ77),""),"")</f>
        <v/>
      </c>
      <c r="CJ77" s="67">
        <f>IFERROR(IF(($CA77)&gt;0,($CD77)/($CA77),""),"")</f>
        <v/>
      </c>
      <c r="CK77" s="67">
        <f>IFERROR(IF(($CB77)&gt;0,($CE77)/($CB77),""),"")</f>
        <v/>
      </c>
      <c r="CL77" s="55">
        <f>IFERROR(IF(($BN77)&gt;0,($X77+$AD77)/($BN77),""),"")</f>
        <v/>
      </c>
      <c r="CM77" s="55">
        <f>IFERROR(IF(($BO77)&gt;0,($Y77+$AE77)/($BO77),""),"")</f>
        <v/>
      </c>
      <c r="CN77" s="55">
        <f>IFERROR(IF(($BP77)&gt;0,($Z77+$AF77)/($BP77),""),"")</f>
        <v/>
      </c>
      <c r="CO77" s="55">
        <f>IFERROR(IF(($CC77)&gt;0,($X77+$AD77)/($CC77),""),"")</f>
        <v/>
      </c>
      <c r="CP77" s="55">
        <f>IFERROR(IF(($CD77)&gt;0,($Y77+$AE77)/($CD77),""),"")</f>
        <v/>
      </c>
      <c r="CQ77" s="55">
        <f>IFERROR(IF(($CE77)&gt;0,($Z77+$AF77)/($CE77),""),"")</f>
        <v/>
      </c>
      <c r="CR77" s="55">
        <f>SUMIFS(tblPlant[Crushed_t],tblPlant[Date],$A77)</f>
        <v/>
      </c>
      <c r="CS77" s="55">
        <f>IF($B77=$B76,$CS76,0)+$CR77</f>
        <v/>
      </c>
      <c r="CT77" s="55">
        <f>$CT76+$CR77</f>
        <v/>
      </c>
      <c r="CU77" s="55">
        <f>SUMIFS(tblPlant[Milled_t],tblPlant[Date],$A77)</f>
        <v/>
      </c>
      <c r="CV77" s="55">
        <f>IF($B77=$B76,$CV76,0)+$CU77</f>
        <v/>
      </c>
      <c r="CW77" s="55">
        <f>$CW76+$CU77</f>
        <v/>
      </c>
      <c r="CX77" s="55">
        <f>SUMIFS(tblPlant[Feed_oz],tblPlant[Date],$A77)</f>
        <v/>
      </c>
      <c r="CY77" s="55">
        <f>IF($B77=$B76,$CY76,0)+$CX77</f>
        <v/>
      </c>
      <c r="CZ77" s="55">
        <f>$CZ76+$CX77</f>
        <v/>
      </c>
      <c r="DA77" s="55">
        <f>SUMIFS(tblPlant[Tails_oz],tblPlant[Date],$A77)</f>
        <v/>
      </c>
      <c r="DB77" s="55">
        <f>IF($B77=$B76,$DB76,0)+$DA77</f>
        <v/>
      </c>
      <c r="DC77" s="55">
        <f>$DC76+$DA77</f>
        <v/>
      </c>
      <c r="DD77" s="55">
        <f>SUMIFS(tblPlant[Recovered_oz],tblPlant[Date],$A77)</f>
        <v/>
      </c>
      <c r="DE77" s="55">
        <f>IF($B77=$B76,$DE76,0)+$DD77</f>
        <v/>
      </c>
      <c r="DF77" s="55">
        <f>$DF76+$DD77</f>
        <v/>
      </c>
      <c r="DG77" s="55">
        <f>SUMIFS(tblPlant[Milled_t],tblPlant[Date],$A77,tblPlant[Head_Grade_gpt],"&lt;&gt;")</f>
        <v/>
      </c>
      <c r="DH77" s="55">
        <f>IF($B77=$B76,$DH76,0)+$DG77</f>
        <v/>
      </c>
      <c r="DI77" s="55">
        <f>$DI76+$DG77</f>
        <v/>
      </c>
      <c r="DJ77" s="55">
        <f>SUMIFS(tblPlant[Milled_t],tblPlant[Date],$A77,tblPlant[Tails_Grade_gpt],"&lt;&gt;")</f>
        <v/>
      </c>
      <c r="DK77" s="55">
        <f>IF($B77=$B76,$DK76,0)+$DJ77</f>
        <v/>
      </c>
      <c r="DL77" s="55">
        <f>$DL76+$DJ77</f>
        <v/>
      </c>
      <c r="DM77" s="55">
        <f>SUMIFS(tblPlant[Feed_oz],tblPlant[Date],$A77,tblPlant[Tails_Grade_gpt],"&lt;&gt;")</f>
        <v/>
      </c>
      <c r="DN77" s="55">
        <f>IF($B77=$B76,$DN76,0)+$DM77</f>
        <v/>
      </c>
      <c r="DO77" s="55">
        <f>$DO76+$DM77</f>
        <v/>
      </c>
      <c r="DP77" s="55">
        <f>SUMIFS(tblPlant[Milled_t],tblPlant[Date],$A77,tblPlant[Mill_Run_h],"&lt;&gt;")</f>
        <v/>
      </c>
      <c r="DQ77" s="55">
        <f>IF($B77=$B76,$DQ76,0)+$DP77</f>
        <v/>
      </c>
      <c r="DR77" s="55">
        <f>$DR76+$DP77</f>
        <v/>
      </c>
      <c r="DS77" s="56">
        <f>IFERROR(IF(($DG77)&gt;0,($CX77*cfg_TroyOz)/($DG77),""),"")</f>
        <v/>
      </c>
      <c r="DT77" s="56">
        <f>IFERROR(IF(($DH77)&gt;0,($CY77*cfg_TroyOz)/($DH77),""),"")</f>
        <v/>
      </c>
      <c r="DU77" s="56">
        <f>IFERROR(IF(($DI77)&gt;0,($CZ77*cfg_TroyOz)/($DI77),""),"")</f>
        <v/>
      </c>
      <c r="DV77" s="56">
        <f>IFERROR(IF(($DJ77)&gt;0,($DA77*cfg_TroyOz)/($DJ77),""),"")</f>
        <v/>
      </c>
      <c r="DW77" s="56">
        <f>IFERROR(IF(($DK77)&gt;0,($DB77*cfg_TroyOz)/($DK77),""),"")</f>
        <v/>
      </c>
      <c r="DX77" s="56">
        <f>IFERROR(IF(($DL77)&gt;0,($DC77*cfg_TroyOz)/($DL77),""),"")</f>
        <v/>
      </c>
      <c r="DY77" s="67">
        <f>IFERROR(IF(($DM77)&gt;0,($DD77)/($DM77),""),"")</f>
        <v/>
      </c>
      <c r="DZ77" s="67">
        <f>IFERROR(IF(($DN77)&gt;0,($DE77)/($DN77),""),"")</f>
        <v/>
      </c>
      <c r="EA77" s="67">
        <f>IFERROR(IF(($DO77)&gt;0,($DF77)/($DO77),""),"")</f>
        <v/>
      </c>
      <c r="EB77" s="55">
        <f>SUMIFS(tblPlant[Gravity_Gold_oz],tblPlant[Date],$A77)</f>
        <v/>
      </c>
      <c r="EC77" s="55">
        <f>IF($B77=$B76,$EC76,0)+$EB77</f>
        <v/>
      </c>
      <c r="ED77" s="55">
        <f>$ED76+$EB77</f>
        <v/>
      </c>
      <c r="EE77" s="67">
        <f>IFERROR(IF(($DD77)&gt;0,($EB77)/($DD77),""),"")</f>
        <v/>
      </c>
      <c r="EF77" s="67">
        <f>IFERROR(IF(($DE77)&gt;0,($EC77)/($DE77),""),"")</f>
        <v/>
      </c>
      <c r="EG77" s="67">
        <f>IFERROR(IF(($DF77)&gt;0,($ED77)/($DF77),""),"")</f>
        <v/>
      </c>
      <c r="EH77" s="55">
        <f>SUMIFS(tblPlant[Gold_Poured_oz],tblPlant[Date],$A77)</f>
        <v/>
      </c>
      <c r="EI77" s="55">
        <f>IF($B77=$B76,$EI76,0)+$EH77</f>
        <v/>
      </c>
      <c r="EJ77" s="55">
        <f>$EJ76+$EH77</f>
        <v/>
      </c>
      <c r="EK77" s="57">
        <f>SUMIFS(tblPlant[Mill_Run_h],tblPlant[Date],$A77)</f>
        <v/>
      </c>
      <c r="EL77" s="57">
        <f>IF($B77=$B76,$EL76,0)+$EK77</f>
        <v/>
      </c>
      <c r="EM77" s="57">
        <f>$EM76+$EK77</f>
        <v/>
      </c>
      <c r="EN77" s="57">
        <f>SUMIFS(tblPlant[Mill_Planned_Maint_h],tblPlant[Date],$A77)</f>
        <v/>
      </c>
      <c r="EO77" s="57">
        <f>IF($B77=$B76,$EO76,0)+$EN77</f>
        <v/>
      </c>
      <c r="EP77" s="57">
        <f>$EP76+$EN77</f>
        <v/>
      </c>
      <c r="EQ77" s="57">
        <f>SUMIFS(tblPlant[Mill_Unplanned_Down_h],tblPlant[Date],$A77)</f>
        <v/>
      </c>
      <c r="ER77" s="57">
        <f>IF($B77=$B76,$ER76,0)+$EQ77</f>
        <v/>
      </c>
      <c r="ES77" s="57">
        <f>$ES76+$EQ77</f>
        <v/>
      </c>
      <c r="ET77" s="57">
        <f>IF(COUNTIFS(tblPlant[Date],$A77,tblPlant[Mill_Run_h],"&lt;&gt;")+COUNTIFS(tblPlant[Date],$A77,tblPlant[Mill_Planned_Maint_h],"&lt;&gt;")+COUNTIFS(tblPlant[Date],$A77,tblPlant[Mill_Unplanned_Down_h],"&lt;&gt;")&gt;0,cfg_HoursPerDay,0)</f>
        <v/>
      </c>
      <c r="EU77" s="57">
        <f>IF($B77=$B76,$EU76,0)+$ET77</f>
        <v/>
      </c>
      <c r="EV77" s="57">
        <f>$EV76+$ET77</f>
        <v/>
      </c>
      <c r="EW77" s="57">
        <f>SUMIFS(tblPlant[Crusher_Run_h],tblPlant[Date],$A77)</f>
        <v/>
      </c>
      <c r="EX77" s="57">
        <f>IF($B77=$B76,$EX76,0)+$EW77</f>
        <v/>
      </c>
      <c r="EY77" s="57">
        <f>$EY76+$EW77</f>
        <v/>
      </c>
      <c r="EZ77" s="55">
        <f>IFERROR(IF(($EK77)&gt;0,($DP77)/($EK77),""),"")</f>
        <v/>
      </c>
      <c r="FA77" s="55">
        <f>IFERROR(IF(($EL77)&gt;0,($DQ77)/($EL77),""),"")</f>
        <v/>
      </c>
      <c r="FB77" s="55">
        <f>IFERROR(IF(($EM77)&gt;0,($DR77)/($EM77),""),"")</f>
        <v/>
      </c>
      <c r="FC77" s="67">
        <f>IFERROR(IF(($ET77)&gt;0,($ET77-$EN77-$EQ77)/($ET77),""),"")</f>
        <v/>
      </c>
      <c r="FD77" s="67">
        <f>IFERROR(IF(($EU77)&gt;0,($EU77-$EO77-$ER77)/($EU77),""),"")</f>
        <v/>
      </c>
      <c r="FE77" s="67">
        <f>IFERROR(IF(($EV77)&gt;0,($EV77-$EP77-$ES77)/($EV77),""),"")</f>
        <v/>
      </c>
      <c r="FF77" s="67">
        <f>IFERROR(IF(($ET77-$EN77-$EQ77)&gt;0,($EK77)/($ET77-$EN77-$EQ77),""),"")</f>
        <v/>
      </c>
      <c r="FG77" s="67">
        <f>IFERROR(IF(($EU77-$EO77-$ER77)&gt;0,($EL77)/($EU77-$EO77-$ER77),""),"")</f>
        <v/>
      </c>
      <c r="FH77" s="67">
        <f>IFERROR(IF(($EV77-$EP77-$ES77)&gt;0,($EM77)/($EV77-$EP77-$ES77),""),"")</f>
        <v/>
      </c>
      <c r="FI77" s="55">
        <f>SUMIFS(tblPlant[Cyanide_kg],tblPlant[Date],$A77)</f>
        <v/>
      </c>
      <c r="FJ77" s="55">
        <f>IF($B77=$B76,$FJ76,0)+$FI77</f>
        <v/>
      </c>
      <c r="FK77" s="55">
        <f>$FK76+$FI77</f>
        <v/>
      </c>
      <c r="FL77" s="55">
        <f>SUMIFS(tblPlant[Lime_kg],tblPlant[Date],$A77)</f>
        <v/>
      </c>
      <c r="FM77" s="55">
        <f>IF($B77=$B76,$FM76,0)+$FL77</f>
        <v/>
      </c>
      <c r="FN77" s="55">
        <f>$FN76+$FL77</f>
        <v/>
      </c>
      <c r="FO77" s="55">
        <f>SUMIFS(tblPlant[Grinding_Media_kg],tblPlant[Date],$A77)</f>
        <v/>
      </c>
      <c r="FP77" s="55">
        <f>IF($B77=$B76,$FP76,0)+$FO77</f>
        <v/>
      </c>
      <c r="FQ77" s="55">
        <f>$FQ76+$FO77</f>
        <v/>
      </c>
      <c r="FR77" s="55">
        <f>SUMIFS(tblPlant[Power_kWh],tblPlant[Date],$A77)</f>
        <v/>
      </c>
      <c r="FS77" s="55">
        <f>IF($B77=$B76,$FS76,0)+$FR77</f>
        <v/>
      </c>
      <c r="FT77" s="55">
        <f>$FT76+$FR77</f>
        <v/>
      </c>
      <c r="FU77" s="55">
        <f>SUMIFS(tblPlant[Raw_Water_m3],tblPlant[Date],$A77)</f>
        <v/>
      </c>
      <c r="FV77" s="55">
        <f>IF($B77=$B76,$FV76,0)+$FU77</f>
        <v/>
      </c>
      <c r="FW77" s="55">
        <f>$FW76+$FU77</f>
        <v/>
      </c>
      <c r="FX77" s="56">
        <f>IFERROR(IF(($CU77)&gt;0,($FI77)/($CU77),""),"")</f>
        <v/>
      </c>
      <c r="FY77" s="56">
        <f>IFERROR(IF(($CV77)&gt;0,($FJ77)/($CV77),""),"")</f>
        <v/>
      </c>
      <c r="FZ77" s="56">
        <f>IFERROR(IF(($CW77)&gt;0,($FK77)/($CW77),""),"")</f>
        <v/>
      </c>
      <c r="GA77" s="56">
        <f>IFERROR(IF(($CU77)&gt;0,($FL77)/($CU77),""),"")</f>
        <v/>
      </c>
      <c r="GB77" s="56">
        <f>IFERROR(IF(($CV77)&gt;0,($FM77)/($CV77),""),"")</f>
        <v/>
      </c>
      <c r="GC77" s="56">
        <f>IFERROR(IF(($CW77)&gt;0,($FN77)/($CW77),""),"")</f>
        <v/>
      </c>
      <c r="GD77" s="56">
        <f>IFERROR(IF(($CU77)&gt;0,($FO77)/($CU77),""),"")</f>
        <v/>
      </c>
      <c r="GE77" s="56">
        <f>IFERROR(IF(($CV77)&gt;0,($FP77)/($CV77),""),"")</f>
        <v/>
      </c>
      <c r="GF77" s="56">
        <f>IFERROR(IF(($CW77)&gt;0,($FQ77)/($CW77),""),"")</f>
        <v/>
      </c>
      <c r="GG77" s="79">
        <f>IFERROR(IF(($CU77)&gt;0,($FR77)/($CU77),""),"")</f>
        <v/>
      </c>
      <c r="GH77" s="79">
        <f>IFERROR(IF(($CV77)&gt;0,($FS77)/($CV77),""),"")</f>
        <v/>
      </c>
      <c r="GI77" s="79">
        <f>IFERROR(IF(($CW77)&gt;0,($FT77)/($CW77),""),"")</f>
        <v/>
      </c>
      <c r="GJ77" s="56">
        <f>IFERROR(IF(($CU77)&gt;0,($FU77)/($CU77),""),"")</f>
        <v/>
      </c>
      <c r="GK77" s="56">
        <f>IFERROR(IF(($CV77)&gt;0,($FV77)/($CV77),""),"")</f>
        <v/>
      </c>
      <c r="GL77" s="56">
        <f>IFERROR(IF(($CW77)&gt;0,($FW77)/($CW77),""),"")</f>
        <v/>
      </c>
      <c r="GM77" s="55">
        <f>IF(SUMIFS(tblPlant[GIC_oz],tblPlant[Date],$A77)&gt;0,SUMIFS(tblPlant[GIC_oz],tblPlant[Date],$A77),"")</f>
        <v/>
      </c>
      <c r="GN77" s="55">
        <f>SUMIFS(tblGold[Gold_oz],tblGold[Date],$A77,tblGold[Type],"Shipment")</f>
        <v/>
      </c>
      <c r="GO77" s="55">
        <f>IF($B77=$B76,$GO76,0)+$GN77</f>
        <v/>
      </c>
      <c r="GP77" s="55">
        <f>$GP76+$GN77</f>
        <v/>
      </c>
      <c r="GQ77" s="55">
        <f>SUMIFS(tblGold[Gold_oz],tblGold[Date],$A77,tblGold[Type],"Sale")</f>
        <v/>
      </c>
      <c r="GR77" s="55">
        <f>IF($B77=$B76,$GR76,0)+$GQ77</f>
        <v/>
      </c>
      <c r="GS77" s="55">
        <f>$GS76+$GQ77</f>
        <v/>
      </c>
      <c r="GT77" s="55">
        <f>SUMIFS(tblGold[Dore_kg],tblGold[Date],$A77,tblGold[Type],"Shipment")</f>
        <v/>
      </c>
      <c r="GU77" s="55">
        <f>IF($B77=$B76,$GU76,0)+$GT77</f>
        <v/>
      </c>
      <c r="GV77" s="55">
        <f>$GV76+$GT77</f>
        <v/>
      </c>
      <c r="GW77" s="57">
        <f>SUMIFS(tblSafety[Hours_Total],tblSafety[Date],$A77)</f>
        <v/>
      </c>
      <c r="GX77" s="57">
        <f>IF($B77=$B76,$GX76,0)+$GW77</f>
        <v/>
      </c>
      <c r="GY77" s="57">
        <f>$GY76+$GW77</f>
        <v/>
      </c>
      <c r="GZ77" s="62">
        <f>SUMIFS(tblSafety[Fatality],tblSafety[Date],$A77)</f>
        <v/>
      </c>
      <c r="HA77" s="62">
        <f>IF($B77=$B76,$HA76,0)+$GZ77</f>
        <v/>
      </c>
      <c r="HB77" s="62">
        <f>$HB76+$GZ77</f>
        <v/>
      </c>
      <c r="HC77" s="62">
        <f>SUMIFS(tblSafety[LTI],tblSafety[Date],$A77)</f>
        <v/>
      </c>
      <c r="HD77" s="62">
        <f>IF($B77=$B76,$HD76,0)+$HC77</f>
        <v/>
      </c>
      <c r="HE77" s="62">
        <f>$HE76+$HC77</f>
        <v/>
      </c>
      <c r="HF77" s="62">
        <f>SUMIFS(tblSafety[RWI],tblSafety[Date],$A77)</f>
        <v/>
      </c>
      <c r="HG77" s="62">
        <f>IF($B77=$B76,$HG76,0)+$HF77</f>
        <v/>
      </c>
      <c r="HH77" s="62">
        <f>$HH76+$HF77</f>
        <v/>
      </c>
      <c r="HI77" s="62">
        <f>SUMIFS(tblSafety[MTI],tblSafety[Date],$A77)</f>
        <v/>
      </c>
      <c r="HJ77" s="62">
        <f>IF($B77=$B76,$HJ76,0)+$HI77</f>
        <v/>
      </c>
      <c r="HK77" s="62">
        <f>$HK76+$HI77</f>
        <v/>
      </c>
      <c r="HL77" s="62">
        <f>SUMIFS(tblSafety[FAI],tblSafety[Date],$A77)</f>
        <v/>
      </c>
      <c r="HM77" s="62">
        <f>IF($B77=$B76,$HM76,0)+$HL77</f>
        <v/>
      </c>
      <c r="HN77" s="62">
        <f>$HN76+$HL77</f>
        <v/>
      </c>
      <c r="HO77" s="62">
        <f>SUMIFS(tblSafety[Recordables],tblSafety[Date],$A77)</f>
        <v/>
      </c>
      <c r="HP77" s="62">
        <f>IF($B77=$B76,$HP76,0)+$HO77</f>
        <v/>
      </c>
      <c r="HQ77" s="62">
        <f>$HQ76+$HO77</f>
        <v/>
      </c>
      <c r="HR77" s="62">
        <f>SUMIFS(tblSafety[Near_Miss],tblSafety[Date],$A77)</f>
        <v/>
      </c>
      <c r="HS77" s="62">
        <f>IF($B77=$B76,$HS76,0)+$HR77</f>
        <v/>
      </c>
      <c r="HT77" s="62">
        <f>$HT76+$HR77</f>
        <v/>
      </c>
      <c r="HU77" s="62">
        <f>SUMIFS(tblSafety[Hazard_Reports],tblSafety[Date],$A77)</f>
        <v/>
      </c>
      <c r="HV77" s="62">
        <f>IF($B77=$B76,$HV76,0)+$HU77</f>
        <v/>
      </c>
      <c r="HW77" s="62">
        <f>$HW76+$HU77</f>
        <v/>
      </c>
      <c r="HX77" s="62">
        <f>SUMIFS(tblSafety[HPI],tblSafety[Date],$A77)</f>
        <v/>
      </c>
      <c r="HY77" s="62">
        <f>IF($B77=$B76,$HY76,0)+$HX77</f>
        <v/>
      </c>
      <c r="HZ77" s="62">
        <f>$HZ76+$HX77</f>
        <v/>
      </c>
      <c r="IA77" s="62">
        <f>SUMIFS(tblSafety[Env_Incidents],tblSafety[Date],$A77)</f>
        <v/>
      </c>
      <c r="IB77" s="62">
        <f>IF($B77=$B76,$IB76,0)+$IA77</f>
        <v/>
      </c>
      <c r="IC77" s="62">
        <f>$IC76+$IA77</f>
        <v/>
      </c>
      <c r="ID77" s="62">
        <f>SUMIFS(tblSafety[Community_Incidents],tblSafety[Date],$A77)</f>
        <v/>
      </c>
      <c r="IE77" s="62">
        <f>IF($B77=$B76,$IE76,0)+$ID77</f>
        <v/>
      </c>
      <c r="IF77" s="62">
        <f>$IF76+$ID77</f>
        <v/>
      </c>
      <c r="IG77" s="62">
        <f>SUMIFS(tblSafety[Vehicle_Incidents],tblSafety[Date],$A77)</f>
        <v/>
      </c>
      <c r="IH77" s="62">
        <f>IF($B77=$B76,$IH76,0)+$IG77</f>
        <v/>
      </c>
      <c r="II77" s="62">
        <f>$II76+$IG77</f>
        <v/>
      </c>
      <c r="IJ77" s="62">
        <f>SUMIFS(tblSafety[Toolbox_Talks],tblSafety[Date],$A77)</f>
        <v/>
      </c>
      <c r="IK77" s="62">
        <f>IF($B77=$B76,$IK76,0)+$IJ77</f>
        <v/>
      </c>
      <c r="IL77" s="62">
        <f>$IL76+$IJ77</f>
        <v/>
      </c>
      <c r="IM77" s="62">
        <f>SUMIFS(tblSafety[Inspections],tblSafety[Date],$A77)</f>
        <v/>
      </c>
      <c r="IN77" s="62">
        <f>IF($B77=$B76,$IN76,0)+$IM77</f>
        <v/>
      </c>
      <c r="IO77" s="62">
        <f>$IO76+$IM77</f>
        <v/>
      </c>
      <c r="IP77" s="56">
        <f>IFERROR((SUMIFS(tblSafety[Recordables],tblSafety[Date],"&gt;="&amp;EDATE($E77,-12),tblSafety[Date],"&lt;="&amp;$A77)+SUMIFS(tblSafetyHistory[Recordables],tblSafetyHistory[Month],"&gt;="&amp;EDATE($E77,-12),tblSafetyHistory[Month],"&lt;"&amp;$E77,tblSafetyHistory[Use],1))/(SUMIFS(tblSafety[Hours_Total],tblSafety[Date],"&gt;="&amp;EDATE($E77,-12),tblSafety[Date],"&lt;="&amp;$A77)+SUMIFS(tblSafetyHistory[Hours_Total],tblSafetyHistory[Month],"&gt;="&amp;EDATE($E77,-12),tblSafetyHistory[Month],"&lt;"&amp;$E77,tblSafetyHistory[Use],1))*cfg_RateBasisHours,"")</f>
        <v/>
      </c>
      <c r="IQ77" s="56">
        <f>IFERROR((SUMIFS(tblSafety[LTI],tblSafety[Date],"&gt;="&amp;EDATE($E77,-12),tblSafety[Date],"&lt;="&amp;$A77)+SUMIFS(tblSafetyHistory[LTI],tblSafetyHistory[Month],"&gt;="&amp;EDATE($E77,-12),tblSafetyHistory[Month],"&lt;"&amp;$E77,tblSafetyHistory[Use],1))/(SUMIFS(tblSafety[Hours_Total],tblSafety[Date],"&gt;="&amp;EDATE($E77,-12),tblSafety[Date],"&lt;="&amp;$A77)+SUMIFS(tblSafetyHistory[Hours_Total],tblSafetyHistory[Month],"&gt;="&amp;EDATE($E77,-12),tblSafetyHistory[Month],"&lt;"&amp;$E77,tblSafetyHistory[Use],1))*cfg_RateBasisHours,"")</f>
        <v/>
      </c>
      <c r="IR77" s="62">
        <f>IF(MAX(N(cfg_PriorLTIDate),_xlfn.MAXIFS(tblSafety[Date],tblSafety[LTI],"&gt;0",tblSafety[Date],"&lt;="&amp;$A77))=0,"",$A77-MAX(N(cfg_PriorLTIDate),_xlfn.MAXIFS(tblSafety[Date],tblSafety[LTI],"&gt;0",tblSafety[Date],"&lt;="&amp;$A77)))</f>
        <v/>
      </c>
      <c r="IS77" s="55">
        <f>SUMIFS(tblBudget[Ore_Mined_t],tblBudget[Month],$E77)</f>
        <v/>
      </c>
      <c r="IT77" s="55">
        <f>$IS77*$C77/$D77</f>
        <v/>
      </c>
      <c r="IU77" s="55">
        <f>SUMIFS(tblBudget[Ore_Mined_t],tblBudget[Month],"&lt;"&amp;$E77)+$IT77</f>
        <v/>
      </c>
      <c r="IV77" s="55">
        <f>SUMIFS(tblBudget[Ore_oz],tblBudget[Month],$E77)</f>
        <v/>
      </c>
      <c r="IW77" s="55">
        <f>$IV77*$C77/$D77</f>
        <v/>
      </c>
      <c r="IX77" s="55">
        <f>SUMIFS(tblBudget[Ore_oz],tblBudget[Month],"&lt;"&amp;$E77)+$IW77</f>
        <v/>
      </c>
      <c r="IY77" s="55">
        <f>SUMIFS(tblBudget[Ore_Mined_t],tblBudget[Month],$E77)</f>
        <v/>
      </c>
      <c r="IZ77" s="55">
        <f>$IY77*$C77/$D77</f>
        <v/>
      </c>
      <c r="JA77" s="55">
        <f>SUMIFS(tblBudget[Ore_Mined_t],tblBudget[Month],"&lt;"&amp;$E77)+$IZ77</f>
        <v/>
      </c>
      <c r="JB77" s="56">
        <f>IFERROR(IF(($IY77)&gt;0,($IV77*cfg_TroyOz)/($IY77),""),"")</f>
        <v/>
      </c>
      <c r="JC77" s="56">
        <f>IFERROR(IF(($IZ77)&gt;0,($IW77*cfg_TroyOz)/($IZ77),""),"")</f>
        <v/>
      </c>
      <c r="JD77" s="56">
        <f>IFERROR(IF(($JA77)&gt;0,($IX77*cfg_TroyOz)/($JA77),""),"")</f>
        <v/>
      </c>
      <c r="JE77" s="55">
        <f>SUMIFS(tblBudget[Waste_t],tblBudget[Month],$E77)</f>
        <v/>
      </c>
      <c r="JF77" s="55">
        <f>$JE77*$C77/$D77</f>
        <v/>
      </c>
      <c r="JG77" s="55">
        <f>SUMIFS(tblBudget[Waste_t],tblBudget[Month],"&lt;"&amp;$E77)+$JF77</f>
        <v/>
      </c>
      <c r="JH77" s="55">
        <f>SUMIFS(tblBudget[TMM_t],tblBudget[Month],$E77)</f>
        <v/>
      </c>
      <c r="JI77" s="55">
        <f>$JH77*$C77/$D77</f>
        <v/>
      </c>
      <c r="JJ77" s="55">
        <f>SUMIFS(tblBudget[TMM_t],tblBudget[Month],"&lt;"&amp;$E77)+$JI77</f>
        <v/>
      </c>
      <c r="JK77" s="56">
        <f>IFERROR(IF(($IS77)&gt;0,($JE77)/($IS77),""),"")</f>
        <v/>
      </c>
      <c r="JL77" s="56">
        <f>IFERROR(IF(($IT77)&gt;0,($JF77)/($IT77),""),"")</f>
        <v/>
      </c>
      <c r="JM77" s="56">
        <f>IFERROR(IF(($IU77)&gt;0,($JG77)/($IU77),""),"")</f>
        <v/>
      </c>
      <c r="JN77" s="55">
        <f>SUMIFS(tblBudget[Drill_m],tblBudget[Month],$E77)</f>
        <v/>
      </c>
      <c r="JO77" s="55">
        <f>$JN77*$C77/$D77</f>
        <v/>
      </c>
      <c r="JP77" s="55">
        <f>SUMIFS(tblBudget[Drill_m],tblBudget[Month],"&lt;"&amp;$E77)+$JO77</f>
        <v/>
      </c>
      <c r="JQ77" s="55">
        <f>SUMIFS(tblBudget[Diesel_L],tblBudget[Month],$E77)</f>
        <v/>
      </c>
      <c r="JR77" s="55">
        <f>$JQ77*$C77/$D77</f>
        <v/>
      </c>
      <c r="JS77" s="55">
        <f>SUMIFS(tblBudget[Diesel_L],tblBudget[Month],"&lt;"&amp;$E77)+$JR77</f>
        <v/>
      </c>
      <c r="JT77" s="55">
        <f>SUMIFS(tblBudget[Milled_t],tblBudget[Month],$E77)</f>
        <v/>
      </c>
      <c r="JU77" s="55">
        <f>$JT77*$C77/$D77</f>
        <v/>
      </c>
      <c r="JV77" s="55">
        <f>SUMIFS(tblBudget[Milled_t],tblBudget[Month],"&lt;"&amp;$E77)+$JU77</f>
        <v/>
      </c>
      <c r="JW77" s="55">
        <f>SUMIFS(tblBudget[Feed_oz],tblBudget[Month],$E77)</f>
        <v/>
      </c>
      <c r="JX77" s="55">
        <f>$JW77*$C77/$D77</f>
        <v/>
      </c>
      <c r="JY77" s="55">
        <f>SUMIFS(tblBudget[Feed_oz],tblBudget[Month],"&lt;"&amp;$E77)+$JX77</f>
        <v/>
      </c>
      <c r="JZ77" s="55">
        <f>SUMIFS(tblBudget[Recovered_oz],tblBudget[Month],$E77)</f>
        <v/>
      </c>
      <c r="KA77" s="55">
        <f>$JZ77*$C77/$D77</f>
        <v/>
      </c>
      <c r="KB77" s="55">
        <f>SUMIFS(tblBudget[Recovered_oz],tblBudget[Month],"&lt;"&amp;$E77)+$KA77</f>
        <v/>
      </c>
      <c r="KC77" s="55">
        <f>SUMIFS(tblBudget[Milled_t],tblBudget[Month],$E77)</f>
        <v/>
      </c>
      <c r="KD77" s="55">
        <f>$KC77*$C77/$D77</f>
        <v/>
      </c>
      <c r="KE77" s="55">
        <f>SUMIFS(tblBudget[Milled_t],tblBudget[Month],"&lt;"&amp;$E77)+$KD77</f>
        <v/>
      </c>
      <c r="KF77" s="55">
        <f>SUMIFS(tblBudget[Feed_oz],tblBudget[Month],$E77)</f>
        <v/>
      </c>
      <c r="KG77" s="55">
        <f>$KF77*$C77/$D77</f>
        <v/>
      </c>
      <c r="KH77" s="55">
        <f>SUMIFS(tblBudget[Feed_oz],tblBudget[Month],"&lt;"&amp;$E77)+$KG77</f>
        <v/>
      </c>
      <c r="KI77" s="56">
        <f>IFERROR(IF(($KC77)&gt;0,($JW77*cfg_TroyOz)/($KC77),""),"")</f>
        <v/>
      </c>
      <c r="KJ77" s="56">
        <f>IFERROR(IF(($KD77)&gt;0,($JX77*cfg_TroyOz)/($KD77),""),"")</f>
        <v/>
      </c>
      <c r="KK77" s="56">
        <f>IFERROR(IF(($KE77)&gt;0,($JY77*cfg_TroyOz)/($KE77),""),"")</f>
        <v/>
      </c>
      <c r="KL77" s="67">
        <f>IFERROR(IF(($KF77)&gt;0,($JZ77)/($KF77),""),"")</f>
        <v/>
      </c>
      <c r="KM77" s="67">
        <f>IFERROR(IF(($KG77)&gt;0,($KA77)/($KG77),""),"")</f>
        <v/>
      </c>
      <c r="KN77" s="67">
        <f>IFERROR(IF(($KH77)&gt;0,($KB77)/($KH77),""),"")</f>
        <v/>
      </c>
      <c r="KO77" s="55">
        <f>SUMIFS(tblBudget[Gold_Poured_oz],tblBudget[Month],$E77)</f>
        <v/>
      </c>
      <c r="KP77" s="55">
        <f>$KO77*$C77/$D77</f>
        <v/>
      </c>
      <c r="KQ77" s="55">
        <f>SUMIFS(tblBudget[Gold_Poured_oz],tblBudget[Month],"&lt;"&amp;$E77)+$KP77</f>
        <v/>
      </c>
      <c r="KR77" s="57">
        <f>SUMIFS(tblBudget[Hours_Worked],tblBudget[Month],$E77)</f>
        <v/>
      </c>
      <c r="KS77" s="57">
        <f>$KR77*$C77/$D77</f>
        <v/>
      </c>
      <c r="KT77" s="57">
        <f>SUMIFS(tblBudget[Hours_Worked],tblBudget[Month],"&lt;"&amp;$E77)+$KS77</f>
        <v/>
      </c>
    </row>
    <row r="78">
      <c r="A78" s="54" t="n">
        <v>46099</v>
      </c>
      <c r="B78">
        <f>MONTH($A78)</f>
        <v/>
      </c>
      <c r="C78">
        <f>DAY($A78)</f>
        <v/>
      </c>
      <c r="D78">
        <f>DAY(EOMONTH($A78,0))</f>
        <v/>
      </c>
      <c r="E78" s="54">
        <f>DATE(YEAR($A78),MONTH($A78),1)</f>
        <v/>
      </c>
      <c r="F78" s="55">
        <f>SUMIFS(tblMovement[Tonnes_t],tblMovement[Date],$A78,tblMovement[Is_Ore],1,tblMovement[Source_Type],"Pit")</f>
        <v/>
      </c>
      <c r="G78" s="55">
        <f>IF($B78=$B77,$G77,0)+$F78</f>
        <v/>
      </c>
      <c r="H78" s="55">
        <f>$H77+$F78</f>
        <v/>
      </c>
      <c r="I78" s="55">
        <f>SUMIFS(tblMovement[Ore_oz],tblMovement[Date],$A78,tblMovement[Source_Type],"Pit")</f>
        <v/>
      </c>
      <c r="J78" s="55">
        <f>IF($B78=$B77,$J77,0)+$I78</f>
        <v/>
      </c>
      <c r="K78" s="55">
        <f>$K77+$I78</f>
        <v/>
      </c>
      <c r="L78" s="55">
        <f>SUMIFS(tblMovement[Tonnes_t],tblMovement[Date],$A78,tblMovement[Is_Ore],1,tblMovement[Source_Type],"Pit",tblMovement[Grade_gpt],"&lt;&gt;")</f>
        <v/>
      </c>
      <c r="M78" s="55">
        <f>IF($B78=$B77,$M77,0)+$L78</f>
        <v/>
      </c>
      <c r="N78" s="55">
        <f>$N77+$L78</f>
        <v/>
      </c>
      <c r="O78" s="56">
        <f>IFERROR(IF(($L78)&gt;0,($I78*cfg_TroyOz)/($L78),""),"")</f>
        <v/>
      </c>
      <c r="P78" s="56">
        <f>IFERROR(IF(($M78)&gt;0,($J78*cfg_TroyOz)/($M78),""),"")</f>
        <v/>
      </c>
      <c r="Q78" s="56">
        <f>IFERROR(IF(($N78)&gt;0,($K78*cfg_TroyOz)/($N78),""),"")</f>
        <v/>
      </c>
      <c r="R78" s="55">
        <f>$F78-$L78</f>
        <v/>
      </c>
      <c r="S78" s="55">
        <f>IF($B78=$B77,$S77,0)+$R78</f>
        <v/>
      </c>
      <c r="T78" s="55">
        <f>$T77+$R78</f>
        <v/>
      </c>
      <c r="U78" s="55">
        <f>SUMIFS(tblMovement[Tonnes_t],tblMovement[Date],$A78,tblMovement[Is_Ore],0,tblMovement[Source_Type],"Pit")</f>
        <v/>
      </c>
      <c r="V78" s="55">
        <f>IF($B78=$B77,$V77,0)+$U78</f>
        <v/>
      </c>
      <c r="W78" s="55">
        <f>$W77+$U78</f>
        <v/>
      </c>
      <c r="X78" s="55">
        <f>$F78+$U78</f>
        <v/>
      </c>
      <c r="Y78" s="55">
        <f>IF($B78=$B77,$Y77,0)+$X78</f>
        <v/>
      </c>
      <c r="Z78" s="55">
        <f>$Z77+$X78</f>
        <v/>
      </c>
      <c r="AA78" s="56">
        <f>IFERROR(IF(($F78)&gt;0,($U78)/($F78),""),"")</f>
        <v/>
      </c>
      <c r="AB78" s="56">
        <f>IFERROR(IF(($G78)&gt;0,($V78)/($G78),""),"")</f>
        <v/>
      </c>
      <c r="AC78" s="56">
        <f>IFERROR(IF(($H78)&gt;0,($W78)/($H78),""),"")</f>
        <v/>
      </c>
      <c r="AD78" s="55">
        <f>SUMIFS(tblMovement[Tonnes_t],tblMovement[Date],$A78,tblMovement[Source_Type],"Stockpile")</f>
        <v/>
      </c>
      <c r="AE78" s="55">
        <f>IF($B78=$B77,$AE77,0)+$AD78</f>
        <v/>
      </c>
      <c r="AF78" s="55">
        <f>$AF77+$AD78</f>
        <v/>
      </c>
      <c r="AG78" s="55">
        <f>SUMIFS(tblMovement[Tonnes_t],tblMovement[Date],$A78)</f>
        <v/>
      </c>
      <c r="AH78" s="55">
        <f>IF($B78=$B77,$AH77,0)+$AG78</f>
        <v/>
      </c>
      <c r="AI78" s="55">
        <f>$AI77+$AG78</f>
        <v/>
      </c>
      <c r="AJ78" s="55">
        <f>$AG78-$X78-$AD78</f>
        <v/>
      </c>
      <c r="AK78" s="55">
        <f>IF($B78=$B77,$AK77,0)+$AJ78</f>
        <v/>
      </c>
      <c r="AL78" s="55">
        <f>$AL77+$AJ78</f>
        <v/>
      </c>
      <c r="AM78" s="55">
        <f>SUMIFS(tblMiningDaily[Drill_m],tblMiningDaily[Date],$A78)</f>
        <v/>
      </c>
      <c r="AN78" s="55">
        <f>IF($B78=$B77,$AN77,0)+$AM78</f>
        <v/>
      </c>
      <c r="AO78" s="55">
        <f>$AO77+$AM78</f>
        <v/>
      </c>
      <c r="AP78" s="55">
        <f>SUMIFS(tblMiningDaily[GC_Drill_m],tblMiningDaily[Date],$A78)</f>
        <v/>
      </c>
      <c r="AQ78" s="55">
        <f>IF($B78=$B77,$AQ77,0)+$AP78</f>
        <v/>
      </c>
      <c r="AR78" s="55">
        <f>$AR77+$AP78</f>
        <v/>
      </c>
      <c r="AS78" s="55">
        <f>SUMIFS(tblMiningDaily[Blast_t],tblMiningDaily[Date],$A78)</f>
        <v/>
      </c>
      <c r="AT78" s="55">
        <f>IF($B78=$B77,$AT77,0)+$AS78</f>
        <v/>
      </c>
      <c r="AU78" s="55">
        <f>$AU77+$AS78</f>
        <v/>
      </c>
      <c r="AV78" s="55">
        <f>SUMIFS(tblMiningDaily[Explosives_kg],tblMiningDaily[Date],$A78)</f>
        <v/>
      </c>
      <c r="AW78" s="55">
        <f>IF($B78=$B77,$AW77,0)+$AV78</f>
        <v/>
      </c>
      <c r="AX78" s="55">
        <f>$AX77+$AV78</f>
        <v/>
      </c>
      <c r="AY78" s="56">
        <f>IFERROR(IF(($AS78)&gt;0,($AV78)/($AS78),""),"")</f>
        <v/>
      </c>
      <c r="AZ78" s="56">
        <f>IFERROR(IF(($AT78)&gt;0,($AW78)/($AT78),""),"")</f>
        <v/>
      </c>
      <c r="BA78" s="56">
        <f>IFERROR(IF(($AU78)&gt;0,($AX78)/($AU78),""),"")</f>
        <v/>
      </c>
      <c r="BB78" s="55">
        <f>SUMIFS(tblMiningDaily[Diesel_L],tblMiningDaily[Date],$A78)</f>
        <v/>
      </c>
      <c r="BC78" s="55">
        <f>IF($B78=$B77,$BC77,0)+$BB78</f>
        <v/>
      </c>
      <c r="BD78" s="55">
        <f>$BD77+$BB78</f>
        <v/>
      </c>
      <c r="BE78" s="55">
        <f>SUMIFS(tblMiningDaily[Dewatering_m3],tblMiningDaily[Date],$A78)</f>
        <v/>
      </c>
      <c r="BF78" s="55">
        <f>IF($B78=$B77,$BF77,0)+$BE78</f>
        <v/>
      </c>
      <c r="BG78" s="55">
        <f>$BG77+$BE78</f>
        <v/>
      </c>
      <c r="BH78" s="57">
        <f>SUMIFS(tblFleet[Calendar_h],tblFleet[Date],$A78,tblFleet[Equipment_Class],"Excavator")</f>
        <v/>
      </c>
      <c r="BI78" s="57">
        <f>IF($B78=$B77,$BI77,0)+$BH78</f>
        <v/>
      </c>
      <c r="BJ78" s="57">
        <f>$BJ77+$BH78</f>
        <v/>
      </c>
      <c r="BK78" s="57">
        <f>SUMIFS(tblFleet[Available_h],tblFleet[Date],$A78,tblFleet[Equipment_Class],"Excavator")</f>
        <v/>
      </c>
      <c r="BL78" s="57">
        <f>IF($B78=$B77,$BL77,0)+$BK78</f>
        <v/>
      </c>
      <c r="BM78" s="57">
        <f>$BM77+$BK78</f>
        <v/>
      </c>
      <c r="BN78" s="57">
        <f>SUMIFS(tblFleet[Operating_h],tblFleet[Date],$A78,tblFleet[Equipment_Class],"Excavator")</f>
        <v/>
      </c>
      <c r="BO78" s="57">
        <f>IF($B78=$B77,$BO77,0)+$BN78</f>
        <v/>
      </c>
      <c r="BP78" s="57">
        <f>$BP77+$BN78</f>
        <v/>
      </c>
      <c r="BQ78" s="67">
        <f>IFERROR(IF(($BH78)&gt;0,($BK78)/($BH78),""),"")</f>
        <v/>
      </c>
      <c r="BR78" s="67">
        <f>IFERROR(IF(($BI78)&gt;0,($BL78)/($BI78),""),"")</f>
        <v/>
      </c>
      <c r="BS78" s="67">
        <f>IFERROR(IF(($BJ78)&gt;0,($BM78)/($BJ78),""),"")</f>
        <v/>
      </c>
      <c r="BT78" s="67">
        <f>IFERROR(IF(($BK78)&gt;0,($BN78)/($BK78),""),"")</f>
        <v/>
      </c>
      <c r="BU78" s="67">
        <f>IFERROR(IF(($BL78)&gt;0,($BO78)/($BL78),""),"")</f>
        <v/>
      </c>
      <c r="BV78" s="67">
        <f>IFERROR(IF(($BM78)&gt;0,($BP78)/($BM78),""),"")</f>
        <v/>
      </c>
      <c r="BW78" s="57">
        <f>SUMIFS(tblFleet[Calendar_h],tblFleet[Date],$A78,tblFleet[Equipment_Class],"Haul Truck")</f>
        <v/>
      </c>
      <c r="BX78" s="57">
        <f>IF($B78=$B77,$BX77,0)+$BW78</f>
        <v/>
      </c>
      <c r="BY78" s="57">
        <f>$BY77+$BW78</f>
        <v/>
      </c>
      <c r="BZ78" s="57">
        <f>SUMIFS(tblFleet[Available_h],tblFleet[Date],$A78,tblFleet[Equipment_Class],"Haul Truck")</f>
        <v/>
      </c>
      <c r="CA78" s="57">
        <f>IF($B78=$B77,$CA77,0)+$BZ78</f>
        <v/>
      </c>
      <c r="CB78" s="57">
        <f>$CB77+$BZ78</f>
        <v/>
      </c>
      <c r="CC78" s="57">
        <f>SUMIFS(tblFleet[Operating_h],tblFleet[Date],$A78,tblFleet[Equipment_Class],"Haul Truck")</f>
        <v/>
      </c>
      <c r="CD78" s="57">
        <f>IF($B78=$B77,$CD77,0)+$CC78</f>
        <v/>
      </c>
      <c r="CE78" s="57">
        <f>$CE77+$CC78</f>
        <v/>
      </c>
      <c r="CF78" s="67">
        <f>IFERROR(IF(($BW78)&gt;0,($BZ78)/($BW78),""),"")</f>
        <v/>
      </c>
      <c r="CG78" s="67">
        <f>IFERROR(IF(($BX78)&gt;0,($CA78)/($BX78),""),"")</f>
        <v/>
      </c>
      <c r="CH78" s="67">
        <f>IFERROR(IF(($BY78)&gt;0,($CB78)/($BY78),""),"")</f>
        <v/>
      </c>
      <c r="CI78" s="67">
        <f>IFERROR(IF(($BZ78)&gt;0,($CC78)/($BZ78),""),"")</f>
        <v/>
      </c>
      <c r="CJ78" s="67">
        <f>IFERROR(IF(($CA78)&gt;0,($CD78)/($CA78),""),"")</f>
        <v/>
      </c>
      <c r="CK78" s="67">
        <f>IFERROR(IF(($CB78)&gt;0,($CE78)/($CB78),""),"")</f>
        <v/>
      </c>
      <c r="CL78" s="55">
        <f>IFERROR(IF(($BN78)&gt;0,($X78+$AD78)/($BN78),""),"")</f>
        <v/>
      </c>
      <c r="CM78" s="55">
        <f>IFERROR(IF(($BO78)&gt;0,($Y78+$AE78)/($BO78),""),"")</f>
        <v/>
      </c>
      <c r="CN78" s="55">
        <f>IFERROR(IF(($BP78)&gt;0,($Z78+$AF78)/($BP78),""),"")</f>
        <v/>
      </c>
      <c r="CO78" s="55">
        <f>IFERROR(IF(($CC78)&gt;0,($X78+$AD78)/($CC78),""),"")</f>
        <v/>
      </c>
      <c r="CP78" s="55">
        <f>IFERROR(IF(($CD78)&gt;0,($Y78+$AE78)/($CD78),""),"")</f>
        <v/>
      </c>
      <c r="CQ78" s="55">
        <f>IFERROR(IF(($CE78)&gt;0,($Z78+$AF78)/($CE78),""),"")</f>
        <v/>
      </c>
      <c r="CR78" s="55">
        <f>SUMIFS(tblPlant[Crushed_t],tblPlant[Date],$A78)</f>
        <v/>
      </c>
      <c r="CS78" s="55">
        <f>IF($B78=$B77,$CS77,0)+$CR78</f>
        <v/>
      </c>
      <c r="CT78" s="55">
        <f>$CT77+$CR78</f>
        <v/>
      </c>
      <c r="CU78" s="55">
        <f>SUMIFS(tblPlant[Milled_t],tblPlant[Date],$A78)</f>
        <v/>
      </c>
      <c r="CV78" s="55">
        <f>IF($B78=$B77,$CV77,0)+$CU78</f>
        <v/>
      </c>
      <c r="CW78" s="55">
        <f>$CW77+$CU78</f>
        <v/>
      </c>
      <c r="CX78" s="55">
        <f>SUMIFS(tblPlant[Feed_oz],tblPlant[Date],$A78)</f>
        <v/>
      </c>
      <c r="CY78" s="55">
        <f>IF($B78=$B77,$CY77,0)+$CX78</f>
        <v/>
      </c>
      <c r="CZ78" s="55">
        <f>$CZ77+$CX78</f>
        <v/>
      </c>
      <c r="DA78" s="55">
        <f>SUMIFS(tblPlant[Tails_oz],tblPlant[Date],$A78)</f>
        <v/>
      </c>
      <c r="DB78" s="55">
        <f>IF($B78=$B77,$DB77,0)+$DA78</f>
        <v/>
      </c>
      <c r="DC78" s="55">
        <f>$DC77+$DA78</f>
        <v/>
      </c>
      <c r="DD78" s="55">
        <f>SUMIFS(tblPlant[Recovered_oz],tblPlant[Date],$A78)</f>
        <v/>
      </c>
      <c r="DE78" s="55">
        <f>IF($B78=$B77,$DE77,0)+$DD78</f>
        <v/>
      </c>
      <c r="DF78" s="55">
        <f>$DF77+$DD78</f>
        <v/>
      </c>
      <c r="DG78" s="55">
        <f>SUMIFS(tblPlant[Milled_t],tblPlant[Date],$A78,tblPlant[Head_Grade_gpt],"&lt;&gt;")</f>
        <v/>
      </c>
      <c r="DH78" s="55">
        <f>IF($B78=$B77,$DH77,0)+$DG78</f>
        <v/>
      </c>
      <c r="DI78" s="55">
        <f>$DI77+$DG78</f>
        <v/>
      </c>
      <c r="DJ78" s="55">
        <f>SUMIFS(tblPlant[Milled_t],tblPlant[Date],$A78,tblPlant[Tails_Grade_gpt],"&lt;&gt;")</f>
        <v/>
      </c>
      <c r="DK78" s="55">
        <f>IF($B78=$B77,$DK77,0)+$DJ78</f>
        <v/>
      </c>
      <c r="DL78" s="55">
        <f>$DL77+$DJ78</f>
        <v/>
      </c>
      <c r="DM78" s="55">
        <f>SUMIFS(tblPlant[Feed_oz],tblPlant[Date],$A78,tblPlant[Tails_Grade_gpt],"&lt;&gt;")</f>
        <v/>
      </c>
      <c r="DN78" s="55">
        <f>IF($B78=$B77,$DN77,0)+$DM78</f>
        <v/>
      </c>
      <c r="DO78" s="55">
        <f>$DO77+$DM78</f>
        <v/>
      </c>
      <c r="DP78" s="55">
        <f>SUMIFS(tblPlant[Milled_t],tblPlant[Date],$A78,tblPlant[Mill_Run_h],"&lt;&gt;")</f>
        <v/>
      </c>
      <c r="DQ78" s="55">
        <f>IF($B78=$B77,$DQ77,0)+$DP78</f>
        <v/>
      </c>
      <c r="DR78" s="55">
        <f>$DR77+$DP78</f>
        <v/>
      </c>
      <c r="DS78" s="56">
        <f>IFERROR(IF(($DG78)&gt;0,($CX78*cfg_TroyOz)/($DG78),""),"")</f>
        <v/>
      </c>
      <c r="DT78" s="56">
        <f>IFERROR(IF(($DH78)&gt;0,($CY78*cfg_TroyOz)/($DH78),""),"")</f>
        <v/>
      </c>
      <c r="DU78" s="56">
        <f>IFERROR(IF(($DI78)&gt;0,($CZ78*cfg_TroyOz)/($DI78),""),"")</f>
        <v/>
      </c>
      <c r="DV78" s="56">
        <f>IFERROR(IF(($DJ78)&gt;0,($DA78*cfg_TroyOz)/($DJ78),""),"")</f>
        <v/>
      </c>
      <c r="DW78" s="56">
        <f>IFERROR(IF(($DK78)&gt;0,($DB78*cfg_TroyOz)/($DK78),""),"")</f>
        <v/>
      </c>
      <c r="DX78" s="56">
        <f>IFERROR(IF(($DL78)&gt;0,($DC78*cfg_TroyOz)/($DL78),""),"")</f>
        <v/>
      </c>
      <c r="DY78" s="67">
        <f>IFERROR(IF(($DM78)&gt;0,($DD78)/($DM78),""),"")</f>
        <v/>
      </c>
      <c r="DZ78" s="67">
        <f>IFERROR(IF(($DN78)&gt;0,($DE78)/($DN78),""),"")</f>
        <v/>
      </c>
      <c r="EA78" s="67">
        <f>IFERROR(IF(($DO78)&gt;0,($DF78)/($DO78),""),"")</f>
        <v/>
      </c>
      <c r="EB78" s="55">
        <f>SUMIFS(tblPlant[Gravity_Gold_oz],tblPlant[Date],$A78)</f>
        <v/>
      </c>
      <c r="EC78" s="55">
        <f>IF($B78=$B77,$EC77,0)+$EB78</f>
        <v/>
      </c>
      <c r="ED78" s="55">
        <f>$ED77+$EB78</f>
        <v/>
      </c>
      <c r="EE78" s="67">
        <f>IFERROR(IF(($DD78)&gt;0,($EB78)/($DD78),""),"")</f>
        <v/>
      </c>
      <c r="EF78" s="67">
        <f>IFERROR(IF(($DE78)&gt;0,($EC78)/($DE78),""),"")</f>
        <v/>
      </c>
      <c r="EG78" s="67">
        <f>IFERROR(IF(($DF78)&gt;0,($ED78)/($DF78),""),"")</f>
        <v/>
      </c>
      <c r="EH78" s="55">
        <f>SUMIFS(tblPlant[Gold_Poured_oz],tblPlant[Date],$A78)</f>
        <v/>
      </c>
      <c r="EI78" s="55">
        <f>IF($B78=$B77,$EI77,0)+$EH78</f>
        <v/>
      </c>
      <c r="EJ78" s="55">
        <f>$EJ77+$EH78</f>
        <v/>
      </c>
      <c r="EK78" s="57">
        <f>SUMIFS(tblPlant[Mill_Run_h],tblPlant[Date],$A78)</f>
        <v/>
      </c>
      <c r="EL78" s="57">
        <f>IF($B78=$B77,$EL77,0)+$EK78</f>
        <v/>
      </c>
      <c r="EM78" s="57">
        <f>$EM77+$EK78</f>
        <v/>
      </c>
      <c r="EN78" s="57">
        <f>SUMIFS(tblPlant[Mill_Planned_Maint_h],tblPlant[Date],$A78)</f>
        <v/>
      </c>
      <c r="EO78" s="57">
        <f>IF($B78=$B77,$EO77,0)+$EN78</f>
        <v/>
      </c>
      <c r="EP78" s="57">
        <f>$EP77+$EN78</f>
        <v/>
      </c>
      <c r="EQ78" s="57">
        <f>SUMIFS(tblPlant[Mill_Unplanned_Down_h],tblPlant[Date],$A78)</f>
        <v/>
      </c>
      <c r="ER78" s="57">
        <f>IF($B78=$B77,$ER77,0)+$EQ78</f>
        <v/>
      </c>
      <c r="ES78" s="57">
        <f>$ES77+$EQ78</f>
        <v/>
      </c>
      <c r="ET78" s="57">
        <f>IF(COUNTIFS(tblPlant[Date],$A78,tblPlant[Mill_Run_h],"&lt;&gt;")+COUNTIFS(tblPlant[Date],$A78,tblPlant[Mill_Planned_Maint_h],"&lt;&gt;")+COUNTIFS(tblPlant[Date],$A78,tblPlant[Mill_Unplanned_Down_h],"&lt;&gt;")&gt;0,cfg_HoursPerDay,0)</f>
        <v/>
      </c>
      <c r="EU78" s="57">
        <f>IF($B78=$B77,$EU77,0)+$ET78</f>
        <v/>
      </c>
      <c r="EV78" s="57">
        <f>$EV77+$ET78</f>
        <v/>
      </c>
      <c r="EW78" s="57">
        <f>SUMIFS(tblPlant[Crusher_Run_h],tblPlant[Date],$A78)</f>
        <v/>
      </c>
      <c r="EX78" s="57">
        <f>IF($B78=$B77,$EX77,0)+$EW78</f>
        <v/>
      </c>
      <c r="EY78" s="57">
        <f>$EY77+$EW78</f>
        <v/>
      </c>
      <c r="EZ78" s="55">
        <f>IFERROR(IF(($EK78)&gt;0,($DP78)/($EK78),""),"")</f>
        <v/>
      </c>
      <c r="FA78" s="55">
        <f>IFERROR(IF(($EL78)&gt;0,($DQ78)/($EL78),""),"")</f>
        <v/>
      </c>
      <c r="FB78" s="55">
        <f>IFERROR(IF(($EM78)&gt;0,($DR78)/($EM78),""),"")</f>
        <v/>
      </c>
      <c r="FC78" s="67">
        <f>IFERROR(IF(($ET78)&gt;0,($ET78-$EN78-$EQ78)/($ET78),""),"")</f>
        <v/>
      </c>
      <c r="FD78" s="67">
        <f>IFERROR(IF(($EU78)&gt;0,($EU78-$EO78-$ER78)/($EU78),""),"")</f>
        <v/>
      </c>
      <c r="FE78" s="67">
        <f>IFERROR(IF(($EV78)&gt;0,($EV78-$EP78-$ES78)/($EV78),""),"")</f>
        <v/>
      </c>
      <c r="FF78" s="67">
        <f>IFERROR(IF(($ET78-$EN78-$EQ78)&gt;0,($EK78)/($ET78-$EN78-$EQ78),""),"")</f>
        <v/>
      </c>
      <c r="FG78" s="67">
        <f>IFERROR(IF(($EU78-$EO78-$ER78)&gt;0,($EL78)/($EU78-$EO78-$ER78),""),"")</f>
        <v/>
      </c>
      <c r="FH78" s="67">
        <f>IFERROR(IF(($EV78-$EP78-$ES78)&gt;0,($EM78)/($EV78-$EP78-$ES78),""),"")</f>
        <v/>
      </c>
      <c r="FI78" s="55">
        <f>SUMIFS(tblPlant[Cyanide_kg],tblPlant[Date],$A78)</f>
        <v/>
      </c>
      <c r="FJ78" s="55">
        <f>IF($B78=$B77,$FJ77,0)+$FI78</f>
        <v/>
      </c>
      <c r="FK78" s="55">
        <f>$FK77+$FI78</f>
        <v/>
      </c>
      <c r="FL78" s="55">
        <f>SUMIFS(tblPlant[Lime_kg],tblPlant[Date],$A78)</f>
        <v/>
      </c>
      <c r="FM78" s="55">
        <f>IF($B78=$B77,$FM77,0)+$FL78</f>
        <v/>
      </c>
      <c r="FN78" s="55">
        <f>$FN77+$FL78</f>
        <v/>
      </c>
      <c r="FO78" s="55">
        <f>SUMIFS(tblPlant[Grinding_Media_kg],tblPlant[Date],$A78)</f>
        <v/>
      </c>
      <c r="FP78" s="55">
        <f>IF($B78=$B77,$FP77,0)+$FO78</f>
        <v/>
      </c>
      <c r="FQ78" s="55">
        <f>$FQ77+$FO78</f>
        <v/>
      </c>
      <c r="FR78" s="55">
        <f>SUMIFS(tblPlant[Power_kWh],tblPlant[Date],$A78)</f>
        <v/>
      </c>
      <c r="FS78" s="55">
        <f>IF($B78=$B77,$FS77,0)+$FR78</f>
        <v/>
      </c>
      <c r="FT78" s="55">
        <f>$FT77+$FR78</f>
        <v/>
      </c>
      <c r="FU78" s="55">
        <f>SUMIFS(tblPlant[Raw_Water_m3],tblPlant[Date],$A78)</f>
        <v/>
      </c>
      <c r="FV78" s="55">
        <f>IF($B78=$B77,$FV77,0)+$FU78</f>
        <v/>
      </c>
      <c r="FW78" s="55">
        <f>$FW77+$FU78</f>
        <v/>
      </c>
      <c r="FX78" s="56">
        <f>IFERROR(IF(($CU78)&gt;0,($FI78)/($CU78),""),"")</f>
        <v/>
      </c>
      <c r="FY78" s="56">
        <f>IFERROR(IF(($CV78)&gt;0,($FJ78)/($CV78),""),"")</f>
        <v/>
      </c>
      <c r="FZ78" s="56">
        <f>IFERROR(IF(($CW78)&gt;0,($FK78)/($CW78),""),"")</f>
        <v/>
      </c>
      <c r="GA78" s="56">
        <f>IFERROR(IF(($CU78)&gt;0,($FL78)/($CU78),""),"")</f>
        <v/>
      </c>
      <c r="GB78" s="56">
        <f>IFERROR(IF(($CV78)&gt;0,($FM78)/($CV78),""),"")</f>
        <v/>
      </c>
      <c r="GC78" s="56">
        <f>IFERROR(IF(($CW78)&gt;0,($FN78)/($CW78),""),"")</f>
        <v/>
      </c>
      <c r="GD78" s="56">
        <f>IFERROR(IF(($CU78)&gt;0,($FO78)/($CU78),""),"")</f>
        <v/>
      </c>
      <c r="GE78" s="56">
        <f>IFERROR(IF(($CV78)&gt;0,($FP78)/($CV78),""),"")</f>
        <v/>
      </c>
      <c r="GF78" s="56">
        <f>IFERROR(IF(($CW78)&gt;0,($FQ78)/($CW78),""),"")</f>
        <v/>
      </c>
      <c r="GG78" s="79">
        <f>IFERROR(IF(($CU78)&gt;0,($FR78)/($CU78),""),"")</f>
        <v/>
      </c>
      <c r="GH78" s="79">
        <f>IFERROR(IF(($CV78)&gt;0,($FS78)/($CV78),""),"")</f>
        <v/>
      </c>
      <c r="GI78" s="79">
        <f>IFERROR(IF(($CW78)&gt;0,($FT78)/($CW78),""),"")</f>
        <v/>
      </c>
      <c r="GJ78" s="56">
        <f>IFERROR(IF(($CU78)&gt;0,($FU78)/($CU78),""),"")</f>
        <v/>
      </c>
      <c r="GK78" s="56">
        <f>IFERROR(IF(($CV78)&gt;0,($FV78)/($CV78),""),"")</f>
        <v/>
      </c>
      <c r="GL78" s="56">
        <f>IFERROR(IF(($CW78)&gt;0,($FW78)/($CW78),""),"")</f>
        <v/>
      </c>
      <c r="GM78" s="55">
        <f>IF(SUMIFS(tblPlant[GIC_oz],tblPlant[Date],$A78)&gt;0,SUMIFS(tblPlant[GIC_oz],tblPlant[Date],$A78),"")</f>
        <v/>
      </c>
      <c r="GN78" s="55">
        <f>SUMIFS(tblGold[Gold_oz],tblGold[Date],$A78,tblGold[Type],"Shipment")</f>
        <v/>
      </c>
      <c r="GO78" s="55">
        <f>IF($B78=$B77,$GO77,0)+$GN78</f>
        <v/>
      </c>
      <c r="GP78" s="55">
        <f>$GP77+$GN78</f>
        <v/>
      </c>
      <c r="GQ78" s="55">
        <f>SUMIFS(tblGold[Gold_oz],tblGold[Date],$A78,tblGold[Type],"Sale")</f>
        <v/>
      </c>
      <c r="GR78" s="55">
        <f>IF($B78=$B77,$GR77,0)+$GQ78</f>
        <v/>
      </c>
      <c r="GS78" s="55">
        <f>$GS77+$GQ78</f>
        <v/>
      </c>
      <c r="GT78" s="55">
        <f>SUMIFS(tblGold[Dore_kg],tblGold[Date],$A78,tblGold[Type],"Shipment")</f>
        <v/>
      </c>
      <c r="GU78" s="55">
        <f>IF($B78=$B77,$GU77,0)+$GT78</f>
        <v/>
      </c>
      <c r="GV78" s="55">
        <f>$GV77+$GT78</f>
        <v/>
      </c>
      <c r="GW78" s="57">
        <f>SUMIFS(tblSafety[Hours_Total],tblSafety[Date],$A78)</f>
        <v/>
      </c>
      <c r="GX78" s="57">
        <f>IF($B78=$B77,$GX77,0)+$GW78</f>
        <v/>
      </c>
      <c r="GY78" s="57">
        <f>$GY77+$GW78</f>
        <v/>
      </c>
      <c r="GZ78" s="62">
        <f>SUMIFS(tblSafety[Fatality],tblSafety[Date],$A78)</f>
        <v/>
      </c>
      <c r="HA78" s="62">
        <f>IF($B78=$B77,$HA77,0)+$GZ78</f>
        <v/>
      </c>
      <c r="HB78" s="62">
        <f>$HB77+$GZ78</f>
        <v/>
      </c>
      <c r="HC78" s="62">
        <f>SUMIFS(tblSafety[LTI],tblSafety[Date],$A78)</f>
        <v/>
      </c>
      <c r="HD78" s="62">
        <f>IF($B78=$B77,$HD77,0)+$HC78</f>
        <v/>
      </c>
      <c r="HE78" s="62">
        <f>$HE77+$HC78</f>
        <v/>
      </c>
      <c r="HF78" s="62">
        <f>SUMIFS(tblSafety[RWI],tblSafety[Date],$A78)</f>
        <v/>
      </c>
      <c r="HG78" s="62">
        <f>IF($B78=$B77,$HG77,0)+$HF78</f>
        <v/>
      </c>
      <c r="HH78" s="62">
        <f>$HH77+$HF78</f>
        <v/>
      </c>
      <c r="HI78" s="62">
        <f>SUMIFS(tblSafety[MTI],tblSafety[Date],$A78)</f>
        <v/>
      </c>
      <c r="HJ78" s="62">
        <f>IF($B78=$B77,$HJ77,0)+$HI78</f>
        <v/>
      </c>
      <c r="HK78" s="62">
        <f>$HK77+$HI78</f>
        <v/>
      </c>
      <c r="HL78" s="62">
        <f>SUMIFS(tblSafety[FAI],tblSafety[Date],$A78)</f>
        <v/>
      </c>
      <c r="HM78" s="62">
        <f>IF($B78=$B77,$HM77,0)+$HL78</f>
        <v/>
      </c>
      <c r="HN78" s="62">
        <f>$HN77+$HL78</f>
        <v/>
      </c>
      <c r="HO78" s="62">
        <f>SUMIFS(tblSafety[Recordables],tblSafety[Date],$A78)</f>
        <v/>
      </c>
      <c r="HP78" s="62">
        <f>IF($B78=$B77,$HP77,0)+$HO78</f>
        <v/>
      </c>
      <c r="HQ78" s="62">
        <f>$HQ77+$HO78</f>
        <v/>
      </c>
      <c r="HR78" s="62">
        <f>SUMIFS(tblSafety[Near_Miss],tblSafety[Date],$A78)</f>
        <v/>
      </c>
      <c r="HS78" s="62">
        <f>IF($B78=$B77,$HS77,0)+$HR78</f>
        <v/>
      </c>
      <c r="HT78" s="62">
        <f>$HT77+$HR78</f>
        <v/>
      </c>
      <c r="HU78" s="62">
        <f>SUMIFS(tblSafety[Hazard_Reports],tblSafety[Date],$A78)</f>
        <v/>
      </c>
      <c r="HV78" s="62">
        <f>IF($B78=$B77,$HV77,0)+$HU78</f>
        <v/>
      </c>
      <c r="HW78" s="62">
        <f>$HW77+$HU78</f>
        <v/>
      </c>
      <c r="HX78" s="62">
        <f>SUMIFS(tblSafety[HPI],tblSafety[Date],$A78)</f>
        <v/>
      </c>
      <c r="HY78" s="62">
        <f>IF($B78=$B77,$HY77,0)+$HX78</f>
        <v/>
      </c>
      <c r="HZ78" s="62">
        <f>$HZ77+$HX78</f>
        <v/>
      </c>
      <c r="IA78" s="62">
        <f>SUMIFS(tblSafety[Env_Incidents],tblSafety[Date],$A78)</f>
        <v/>
      </c>
      <c r="IB78" s="62">
        <f>IF($B78=$B77,$IB77,0)+$IA78</f>
        <v/>
      </c>
      <c r="IC78" s="62">
        <f>$IC77+$IA78</f>
        <v/>
      </c>
      <c r="ID78" s="62">
        <f>SUMIFS(tblSafety[Community_Incidents],tblSafety[Date],$A78)</f>
        <v/>
      </c>
      <c r="IE78" s="62">
        <f>IF($B78=$B77,$IE77,0)+$ID78</f>
        <v/>
      </c>
      <c r="IF78" s="62">
        <f>$IF77+$ID78</f>
        <v/>
      </c>
      <c r="IG78" s="62">
        <f>SUMIFS(tblSafety[Vehicle_Incidents],tblSafety[Date],$A78)</f>
        <v/>
      </c>
      <c r="IH78" s="62">
        <f>IF($B78=$B77,$IH77,0)+$IG78</f>
        <v/>
      </c>
      <c r="II78" s="62">
        <f>$II77+$IG78</f>
        <v/>
      </c>
      <c r="IJ78" s="62">
        <f>SUMIFS(tblSafety[Toolbox_Talks],tblSafety[Date],$A78)</f>
        <v/>
      </c>
      <c r="IK78" s="62">
        <f>IF($B78=$B77,$IK77,0)+$IJ78</f>
        <v/>
      </c>
      <c r="IL78" s="62">
        <f>$IL77+$IJ78</f>
        <v/>
      </c>
      <c r="IM78" s="62">
        <f>SUMIFS(tblSafety[Inspections],tblSafety[Date],$A78)</f>
        <v/>
      </c>
      <c r="IN78" s="62">
        <f>IF($B78=$B77,$IN77,0)+$IM78</f>
        <v/>
      </c>
      <c r="IO78" s="62">
        <f>$IO77+$IM78</f>
        <v/>
      </c>
      <c r="IP78" s="56">
        <f>IFERROR((SUMIFS(tblSafety[Recordables],tblSafety[Date],"&gt;="&amp;EDATE($E78,-12),tblSafety[Date],"&lt;="&amp;$A78)+SUMIFS(tblSafetyHistory[Recordables],tblSafetyHistory[Month],"&gt;="&amp;EDATE($E78,-12),tblSafetyHistory[Month],"&lt;"&amp;$E78,tblSafetyHistory[Use],1))/(SUMIFS(tblSafety[Hours_Total],tblSafety[Date],"&gt;="&amp;EDATE($E78,-12),tblSafety[Date],"&lt;="&amp;$A78)+SUMIFS(tblSafetyHistory[Hours_Total],tblSafetyHistory[Month],"&gt;="&amp;EDATE($E78,-12),tblSafetyHistory[Month],"&lt;"&amp;$E78,tblSafetyHistory[Use],1))*cfg_RateBasisHours,"")</f>
        <v/>
      </c>
      <c r="IQ78" s="56">
        <f>IFERROR((SUMIFS(tblSafety[LTI],tblSafety[Date],"&gt;="&amp;EDATE($E78,-12),tblSafety[Date],"&lt;="&amp;$A78)+SUMIFS(tblSafetyHistory[LTI],tblSafetyHistory[Month],"&gt;="&amp;EDATE($E78,-12),tblSafetyHistory[Month],"&lt;"&amp;$E78,tblSafetyHistory[Use],1))/(SUMIFS(tblSafety[Hours_Total],tblSafety[Date],"&gt;="&amp;EDATE($E78,-12),tblSafety[Date],"&lt;="&amp;$A78)+SUMIFS(tblSafetyHistory[Hours_Total],tblSafetyHistory[Month],"&gt;="&amp;EDATE($E78,-12),tblSafetyHistory[Month],"&lt;"&amp;$E78,tblSafetyHistory[Use],1))*cfg_RateBasisHours,"")</f>
        <v/>
      </c>
      <c r="IR78" s="62">
        <f>IF(MAX(N(cfg_PriorLTIDate),_xlfn.MAXIFS(tblSafety[Date],tblSafety[LTI],"&gt;0",tblSafety[Date],"&lt;="&amp;$A78))=0,"",$A78-MAX(N(cfg_PriorLTIDate),_xlfn.MAXIFS(tblSafety[Date],tblSafety[LTI],"&gt;0",tblSafety[Date],"&lt;="&amp;$A78)))</f>
        <v/>
      </c>
      <c r="IS78" s="55">
        <f>SUMIFS(tblBudget[Ore_Mined_t],tblBudget[Month],$E78)</f>
        <v/>
      </c>
      <c r="IT78" s="55">
        <f>$IS78*$C78/$D78</f>
        <v/>
      </c>
      <c r="IU78" s="55">
        <f>SUMIFS(tblBudget[Ore_Mined_t],tblBudget[Month],"&lt;"&amp;$E78)+$IT78</f>
        <v/>
      </c>
      <c r="IV78" s="55">
        <f>SUMIFS(tblBudget[Ore_oz],tblBudget[Month],$E78)</f>
        <v/>
      </c>
      <c r="IW78" s="55">
        <f>$IV78*$C78/$D78</f>
        <v/>
      </c>
      <c r="IX78" s="55">
        <f>SUMIFS(tblBudget[Ore_oz],tblBudget[Month],"&lt;"&amp;$E78)+$IW78</f>
        <v/>
      </c>
      <c r="IY78" s="55">
        <f>SUMIFS(tblBudget[Ore_Mined_t],tblBudget[Month],$E78)</f>
        <v/>
      </c>
      <c r="IZ78" s="55">
        <f>$IY78*$C78/$D78</f>
        <v/>
      </c>
      <c r="JA78" s="55">
        <f>SUMIFS(tblBudget[Ore_Mined_t],tblBudget[Month],"&lt;"&amp;$E78)+$IZ78</f>
        <v/>
      </c>
      <c r="JB78" s="56">
        <f>IFERROR(IF(($IY78)&gt;0,($IV78*cfg_TroyOz)/($IY78),""),"")</f>
        <v/>
      </c>
      <c r="JC78" s="56">
        <f>IFERROR(IF(($IZ78)&gt;0,($IW78*cfg_TroyOz)/($IZ78),""),"")</f>
        <v/>
      </c>
      <c r="JD78" s="56">
        <f>IFERROR(IF(($JA78)&gt;0,($IX78*cfg_TroyOz)/($JA78),""),"")</f>
        <v/>
      </c>
      <c r="JE78" s="55">
        <f>SUMIFS(tblBudget[Waste_t],tblBudget[Month],$E78)</f>
        <v/>
      </c>
      <c r="JF78" s="55">
        <f>$JE78*$C78/$D78</f>
        <v/>
      </c>
      <c r="JG78" s="55">
        <f>SUMIFS(tblBudget[Waste_t],tblBudget[Month],"&lt;"&amp;$E78)+$JF78</f>
        <v/>
      </c>
      <c r="JH78" s="55">
        <f>SUMIFS(tblBudget[TMM_t],tblBudget[Month],$E78)</f>
        <v/>
      </c>
      <c r="JI78" s="55">
        <f>$JH78*$C78/$D78</f>
        <v/>
      </c>
      <c r="JJ78" s="55">
        <f>SUMIFS(tblBudget[TMM_t],tblBudget[Month],"&lt;"&amp;$E78)+$JI78</f>
        <v/>
      </c>
      <c r="JK78" s="56">
        <f>IFERROR(IF(($IS78)&gt;0,($JE78)/($IS78),""),"")</f>
        <v/>
      </c>
      <c r="JL78" s="56">
        <f>IFERROR(IF(($IT78)&gt;0,($JF78)/($IT78),""),"")</f>
        <v/>
      </c>
      <c r="JM78" s="56">
        <f>IFERROR(IF(($IU78)&gt;0,($JG78)/($IU78),""),"")</f>
        <v/>
      </c>
      <c r="JN78" s="55">
        <f>SUMIFS(tblBudget[Drill_m],tblBudget[Month],$E78)</f>
        <v/>
      </c>
      <c r="JO78" s="55">
        <f>$JN78*$C78/$D78</f>
        <v/>
      </c>
      <c r="JP78" s="55">
        <f>SUMIFS(tblBudget[Drill_m],tblBudget[Month],"&lt;"&amp;$E78)+$JO78</f>
        <v/>
      </c>
      <c r="JQ78" s="55">
        <f>SUMIFS(tblBudget[Diesel_L],tblBudget[Month],$E78)</f>
        <v/>
      </c>
      <c r="JR78" s="55">
        <f>$JQ78*$C78/$D78</f>
        <v/>
      </c>
      <c r="JS78" s="55">
        <f>SUMIFS(tblBudget[Diesel_L],tblBudget[Month],"&lt;"&amp;$E78)+$JR78</f>
        <v/>
      </c>
      <c r="JT78" s="55">
        <f>SUMIFS(tblBudget[Milled_t],tblBudget[Month],$E78)</f>
        <v/>
      </c>
      <c r="JU78" s="55">
        <f>$JT78*$C78/$D78</f>
        <v/>
      </c>
      <c r="JV78" s="55">
        <f>SUMIFS(tblBudget[Milled_t],tblBudget[Month],"&lt;"&amp;$E78)+$JU78</f>
        <v/>
      </c>
      <c r="JW78" s="55">
        <f>SUMIFS(tblBudget[Feed_oz],tblBudget[Month],$E78)</f>
        <v/>
      </c>
      <c r="JX78" s="55">
        <f>$JW78*$C78/$D78</f>
        <v/>
      </c>
      <c r="JY78" s="55">
        <f>SUMIFS(tblBudget[Feed_oz],tblBudget[Month],"&lt;"&amp;$E78)+$JX78</f>
        <v/>
      </c>
      <c r="JZ78" s="55">
        <f>SUMIFS(tblBudget[Recovered_oz],tblBudget[Month],$E78)</f>
        <v/>
      </c>
      <c r="KA78" s="55">
        <f>$JZ78*$C78/$D78</f>
        <v/>
      </c>
      <c r="KB78" s="55">
        <f>SUMIFS(tblBudget[Recovered_oz],tblBudget[Month],"&lt;"&amp;$E78)+$KA78</f>
        <v/>
      </c>
      <c r="KC78" s="55">
        <f>SUMIFS(tblBudget[Milled_t],tblBudget[Month],$E78)</f>
        <v/>
      </c>
      <c r="KD78" s="55">
        <f>$KC78*$C78/$D78</f>
        <v/>
      </c>
      <c r="KE78" s="55">
        <f>SUMIFS(tblBudget[Milled_t],tblBudget[Month],"&lt;"&amp;$E78)+$KD78</f>
        <v/>
      </c>
      <c r="KF78" s="55">
        <f>SUMIFS(tblBudget[Feed_oz],tblBudget[Month],$E78)</f>
        <v/>
      </c>
      <c r="KG78" s="55">
        <f>$KF78*$C78/$D78</f>
        <v/>
      </c>
      <c r="KH78" s="55">
        <f>SUMIFS(tblBudget[Feed_oz],tblBudget[Month],"&lt;"&amp;$E78)+$KG78</f>
        <v/>
      </c>
      <c r="KI78" s="56">
        <f>IFERROR(IF(($KC78)&gt;0,($JW78*cfg_TroyOz)/($KC78),""),"")</f>
        <v/>
      </c>
      <c r="KJ78" s="56">
        <f>IFERROR(IF(($KD78)&gt;0,($JX78*cfg_TroyOz)/($KD78),""),"")</f>
        <v/>
      </c>
      <c r="KK78" s="56">
        <f>IFERROR(IF(($KE78)&gt;0,($JY78*cfg_TroyOz)/($KE78),""),"")</f>
        <v/>
      </c>
      <c r="KL78" s="67">
        <f>IFERROR(IF(($KF78)&gt;0,($JZ78)/($KF78),""),"")</f>
        <v/>
      </c>
      <c r="KM78" s="67">
        <f>IFERROR(IF(($KG78)&gt;0,($KA78)/($KG78),""),"")</f>
        <v/>
      </c>
      <c r="KN78" s="67">
        <f>IFERROR(IF(($KH78)&gt;0,($KB78)/($KH78),""),"")</f>
        <v/>
      </c>
      <c r="KO78" s="55">
        <f>SUMIFS(tblBudget[Gold_Poured_oz],tblBudget[Month],$E78)</f>
        <v/>
      </c>
      <c r="KP78" s="55">
        <f>$KO78*$C78/$D78</f>
        <v/>
      </c>
      <c r="KQ78" s="55">
        <f>SUMIFS(tblBudget[Gold_Poured_oz],tblBudget[Month],"&lt;"&amp;$E78)+$KP78</f>
        <v/>
      </c>
      <c r="KR78" s="57">
        <f>SUMIFS(tblBudget[Hours_Worked],tblBudget[Month],$E78)</f>
        <v/>
      </c>
      <c r="KS78" s="57">
        <f>$KR78*$C78/$D78</f>
        <v/>
      </c>
      <c r="KT78" s="57">
        <f>SUMIFS(tblBudget[Hours_Worked],tblBudget[Month],"&lt;"&amp;$E78)+$KS78</f>
        <v/>
      </c>
    </row>
    <row r="79">
      <c r="A79" s="54" t="n">
        <v>46100</v>
      </c>
      <c r="B79">
        <f>MONTH($A79)</f>
        <v/>
      </c>
      <c r="C79">
        <f>DAY($A79)</f>
        <v/>
      </c>
      <c r="D79">
        <f>DAY(EOMONTH($A79,0))</f>
        <v/>
      </c>
      <c r="E79" s="54">
        <f>DATE(YEAR($A79),MONTH($A79),1)</f>
        <v/>
      </c>
      <c r="F79" s="55">
        <f>SUMIFS(tblMovement[Tonnes_t],tblMovement[Date],$A79,tblMovement[Is_Ore],1,tblMovement[Source_Type],"Pit")</f>
        <v/>
      </c>
      <c r="G79" s="55">
        <f>IF($B79=$B78,$G78,0)+$F79</f>
        <v/>
      </c>
      <c r="H79" s="55">
        <f>$H78+$F79</f>
        <v/>
      </c>
      <c r="I79" s="55">
        <f>SUMIFS(tblMovement[Ore_oz],tblMovement[Date],$A79,tblMovement[Source_Type],"Pit")</f>
        <v/>
      </c>
      <c r="J79" s="55">
        <f>IF($B79=$B78,$J78,0)+$I79</f>
        <v/>
      </c>
      <c r="K79" s="55">
        <f>$K78+$I79</f>
        <v/>
      </c>
      <c r="L79" s="55">
        <f>SUMIFS(tblMovement[Tonnes_t],tblMovement[Date],$A79,tblMovement[Is_Ore],1,tblMovement[Source_Type],"Pit",tblMovement[Grade_gpt],"&lt;&gt;")</f>
        <v/>
      </c>
      <c r="M79" s="55">
        <f>IF($B79=$B78,$M78,0)+$L79</f>
        <v/>
      </c>
      <c r="N79" s="55">
        <f>$N78+$L79</f>
        <v/>
      </c>
      <c r="O79" s="56">
        <f>IFERROR(IF(($L79)&gt;0,($I79*cfg_TroyOz)/($L79),""),"")</f>
        <v/>
      </c>
      <c r="P79" s="56">
        <f>IFERROR(IF(($M79)&gt;0,($J79*cfg_TroyOz)/($M79),""),"")</f>
        <v/>
      </c>
      <c r="Q79" s="56">
        <f>IFERROR(IF(($N79)&gt;0,($K79*cfg_TroyOz)/($N79),""),"")</f>
        <v/>
      </c>
      <c r="R79" s="55">
        <f>$F79-$L79</f>
        <v/>
      </c>
      <c r="S79" s="55">
        <f>IF($B79=$B78,$S78,0)+$R79</f>
        <v/>
      </c>
      <c r="T79" s="55">
        <f>$T78+$R79</f>
        <v/>
      </c>
      <c r="U79" s="55">
        <f>SUMIFS(tblMovement[Tonnes_t],tblMovement[Date],$A79,tblMovement[Is_Ore],0,tblMovement[Source_Type],"Pit")</f>
        <v/>
      </c>
      <c r="V79" s="55">
        <f>IF($B79=$B78,$V78,0)+$U79</f>
        <v/>
      </c>
      <c r="W79" s="55">
        <f>$W78+$U79</f>
        <v/>
      </c>
      <c r="X79" s="55">
        <f>$F79+$U79</f>
        <v/>
      </c>
      <c r="Y79" s="55">
        <f>IF($B79=$B78,$Y78,0)+$X79</f>
        <v/>
      </c>
      <c r="Z79" s="55">
        <f>$Z78+$X79</f>
        <v/>
      </c>
      <c r="AA79" s="56">
        <f>IFERROR(IF(($F79)&gt;0,($U79)/($F79),""),"")</f>
        <v/>
      </c>
      <c r="AB79" s="56">
        <f>IFERROR(IF(($G79)&gt;0,($V79)/($G79),""),"")</f>
        <v/>
      </c>
      <c r="AC79" s="56">
        <f>IFERROR(IF(($H79)&gt;0,($W79)/($H79),""),"")</f>
        <v/>
      </c>
      <c r="AD79" s="55">
        <f>SUMIFS(tblMovement[Tonnes_t],tblMovement[Date],$A79,tblMovement[Source_Type],"Stockpile")</f>
        <v/>
      </c>
      <c r="AE79" s="55">
        <f>IF($B79=$B78,$AE78,0)+$AD79</f>
        <v/>
      </c>
      <c r="AF79" s="55">
        <f>$AF78+$AD79</f>
        <v/>
      </c>
      <c r="AG79" s="55">
        <f>SUMIFS(tblMovement[Tonnes_t],tblMovement[Date],$A79)</f>
        <v/>
      </c>
      <c r="AH79" s="55">
        <f>IF($B79=$B78,$AH78,0)+$AG79</f>
        <v/>
      </c>
      <c r="AI79" s="55">
        <f>$AI78+$AG79</f>
        <v/>
      </c>
      <c r="AJ79" s="55">
        <f>$AG79-$X79-$AD79</f>
        <v/>
      </c>
      <c r="AK79" s="55">
        <f>IF($B79=$B78,$AK78,0)+$AJ79</f>
        <v/>
      </c>
      <c r="AL79" s="55">
        <f>$AL78+$AJ79</f>
        <v/>
      </c>
      <c r="AM79" s="55">
        <f>SUMIFS(tblMiningDaily[Drill_m],tblMiningDaily[Date],$A79)</f>
        <v/>
      </c>
      <c r="AN79" s="55">
        <f>IF($B79=$B78,$AN78,0)+$AM79</f>
        <v/>
      </c>
      <c r="AO79" s="55">
        <f>$AO78+$AM79</f>
        <v/>
      </c>
      <c r="AP79" s="55">
        <f>SUMIFS(tblMiningDaily[GC_Drill_m],tblMiningDaily[Date],$A79)</f>
        <v/>
      </c>
      <c r="AQ79" s="55">
        <f>IF($B79=$B78,$AQ78,0)+$AP79</f>
        <v/>
      </c>
      <c r="AR79" s="55">
        <f>$AR78+$AP79</f>
        <v/>
      </c>
      <c r="AS79" s="55">
        <f>SUMIFS(tblMiningDaily[Blast_t],tblMiningDaily[Date],$A79)</f>
        <v/>
      </c>
      <c r="AT79" s="55">
        <f>IF($B79=$B78,$AT78,0)+$AS79</f>
        <v/>
      </c>
      <c r="AU79" s="55">
        <f>$AU78+$AS79</f>
        <v/>
      </c>
      <c r="AV79" s="55">
        <f>SUMIFS(tblMiningDaily[Explosives_kg],tblMiningDaily[Date],$A79)</f>
        <v/>
      </c>
      <c r="AW79" s="55">
        <f>IF($B79=$B78,$AW78,0)+$AV79</f>
        <v/>
      </c>
      <c r="AX79" s="55">
        <f>$AX78+$AV79</f>
        <v/>
      </c>
      <c r="AY79" s="56">
        <f>IFERROR(IF(($AS79)&gt;0,($AV79)/($AS79),""),"")</f>
        <v/>
      </c>
      <c r="AZ79" s="56">
        <f>IFERROR(IF(($AT79)&gt;0,($AW79)/($AT79),""),"")</f>
        <v/>
      </c>
      <c r="BA79" s="56">
        <f>IFERROR(IF(($AU79)&gt;0,($AX79)/($AU79),""),"")</f>
        <v/>
      </c>
      <c r="BB79" s="55">
        <f>SUMIFS(tblMiningDaily[Diesel_L],tblMiningDaily[Date],$A79)</f>
        <v/>
      </c>
      <c r="BC79" s="55">
        <f>IF($B79=$B78,$BC78,0)+$BB79</f>
        <v/>
      </c>
      <c r="BD79" s="55">
        <f>$BD78+$BB79</f>
        <v/>
      </c>
      <c r="BE79" s="55">
        <f>SUMIFS(tblMiningDaily[Dewatering_m3],tblMiningDaily[Date],$A79)</f>
        <v/>
      </c>
      <c r="BF79" s="55">
        <f>IF($B79=$B78,$BF78,0)+$BE79</f>
        <v/>
      </c>
      <c r="BG79" s="55">
        <f>$BG78+$BE79</f>
        <v/>
      </c>
      <c r="BH79" s="57">
        <f>SUMIFS(tblFleet[Calendar_h],tblFleet[Date],$A79,tblFleet[Equipment_Class],"Excavator")</f>
        <v/>
      </c>
      <c r="BI79" s="57">
        <f>IF($B79=$B78,$BI78,0)+$BH79</f>
        <v/>
      </c>
      <c r="BJ79" s="57">
        <f>$BJ78+$BH79</f>
        <v/>
      </c>
      <c r="BK79" s="57">
        <f>SUMIFS(tblFleet[Available_h],tblFleet[Date],$A79,tblFleet[Equipment_Class],"Excavator")</f>
        <v/>
      </c>
      <c r="BL79" s="57">
        <f>IF($B79=$B78,$BL78,0)+$BK79</f>
        <v/>
      </c>
      <c r="BM79" s="57">
        <f>$BM78+$BK79</f>
        <v/>
      </c>
      <c r="BN79" s="57">
        <f>SUMIFS(tblFleet[Operating_h],tblFleet[Date],$A79,tblFleet[Equipment_Class],"Excavator")</f>
        <v/>
      </c>
      <c r="BO79" s="57">
        <f>IF($B79=$B78,$BO78,0)+$BN79</f>
        <v/>
      </c>
      <c r="BP79" s="57">
        <f>$BP78+$BN79</f>
        <v/>
      </c>
      <c r="BQ79" s="67">
        <f>IFERROR(IF(($BH79)&gt;0,($BK79)/($BH79),""),"")</f>
        <v/>
      </c>
      <c r="BR79" s="67">
        <f>IFERROR(IF(($BI79)&gt;0,($BL79)/($BI79),""),"")</f>
        <v/>
      </c>
      <c r="BS79" s="67">
        <f>IFERROR(IF(($BJ79)&gt;0,($BM79)/($BJ79),""),"")</f>
        <v/>
      </c>
      <c r="BT79" s="67">
        <f>IFERROR(IF(($BK79)&gt;0,($BN79)/($BK79),""),"")</f>
        <v/>
      </c>
      <c r="BU79" s="67">
        <f>IFERROR(IF(($BL79)&gt;0,($BO79)/($BL79),""),"")</f>
        <v/>
      </c>
      <c r="BV79" s="67">
        <f>IFERROR(IF(($BM79)&gt;0,($BP79)/($BM79),""),"")</f>
        <v/>
      </c>
      <c r="BW79" s="57">
        <f>SUMIFS(tblFleet[Calendar_h],tblFleet[Date],$A79,tblFleet[Equipment_Class],"Haul Truck")</f>
        <v/>
      </c>
      <c r="BX79" s="57">
        <f>IF($B79=$B78,$BX78,0)+$BW79</f>
        <v/>
      </c>
      <c r="BY79" s="57">
        <f>$BY78+$BW79</f>
        <v/>
      </c>
      <c r="BZ79" s="57">
        <f>SUMIFS(tblFleet[Available_h],tblFleet[Date],$A79,tblFleet[Equipment_Class],"Haul Truck")</f>
        <v/>
      </c>
      <c r="CA79" s="57">
        <f>IF($B79=$B78,$CA78,0)+$BZ79</f>
        <v/>
      </c>
      <c r="CB79" s="57">
        <f>$CB78+$BZ79</f>
        <v/>
      </c>
      <c r="CC79" s="57">
        <f>SUMIFS(tblFleet[Operating_h],tblFleet[Date],$A79,tblFleet[Equipment_Class],"Haul Truck")</f>
        <v/>
      </c>
      <c r="CD79" s="57">
        <f>IF($B79=$B78,$CD78,0)+$CC79</f>
        <v/>
      </c>
      <c r="CE79" s="57">
        <f>$CE78+$CC79</f>
        <v/>
      </c>
      <c r="CF79" s="67">
        <f>IFERROR(IF(($BW79)&gt;0,($BZ79)/($BW79),""),"")</f>
        <v/>
      </c>
      <c r="CG79" s="67">
        <f>IFERROR(IF(($BX79)&gt;0,($CA79)/($BX79),""),"")</f>
        <v/>
      </c>
      <c r="CH79" s="67">
        <f>IFERROR(IF(($BY79)&gt;0,($CB79)/($BY79),""),"")</f>
        <v/>
      </c>
      <c r="CI79" s="67">
        <f>IFERROR(IF(($BZ79)&gt;0,($CC79)/($BZ79),""),"")</f>
        <v/>
      </c>
      <c r="CJ79" s="67">
        <f>IFERROR(IF(($CA79)&gt;0,($CD79)/($CA79),""),"")</f>
        <v/>
      </c>
      <c r="CK79" s="67">
        <f>IFERROR(IF(($CB79)&gt;0,($CE79)/($CB79),""),"")</f>
        <v/>
      </c>
      <c r="CL79" s="55">
        <f>IFERROR(IF(($BN79)&gt;0,($X79+$AD79)/($BN79),""),"")</f>
        <v/>
      </c>
      <c r="CM79" s="55">
        <f>IFERROR(IF(($BO79)&gt;0,($Y79+$AE79)/($BO79),""),"")</f>
        <v/>
      </c>
      <c r="CN79" s="55">
        <f>IFERROR(IF(($BP79)&gt;0,($Z79+$AF79)/($BP79),""),"")</f>
        <v/>
      </c>
      <c r="CO79" s="55">
        <f>IFERROR(IF(($CC79)&gt;0,($X79+$AD79)/($CC79),""),"")</f>
        <v/>
      </c>
      <c r="CP79" s="55">
        <f>IFERROR(IF(($CD79)&gt;0,($Y79+$AE79)/($CD79),""),"")</f>
        <v/>
      </c>
      <c r="CQ79" s="55">
        <f>IFERROR(IF(($CE79)&gt;0,($Z79+$AF79)/($CE79),""),"")</f>
        <v/>
      </c>
      <c r="CR79" s="55">
        <f>SUMIFS(tblPlant[Crushed_t],tblPlant[Date],$A79)</f>
        <v/>
      </c>
      <c r="CS79" s="55">
        <f>IF($B79=$B78,$CS78,0)+$CR79</f>
        <v/>
      </c>
      <c r="CT79" s="55">
        <f>$CT78+$CR79</f>
        <v/>
      </c>
      <c r="CU79" s="55">
        <f>SUMIFS(tblPlant[Milled_t],tblPlant[Date],$A79)</f>
        <v/>
      </c>
      <c r="CV79" s="55">
        <f>IF($B79=$B78,$CV78,0)+$CU79</f>
        <v/>
      </c>
      <c r="CW79" s="55">
        <f>$CW78+$CU79</f>
        <v/>
      </c>
      <c r="CX79" s="55">
        <f>SUMIFS(tblPlant[Feed_oz],tblPlant[Date],$A79)</f>
        <v/>
      </c>
      <c r="CY79" s="55">
        <f>IF($B79=$B78,$CY78,0)+$CX79</f>
        <v/>
      </c>
      <c r="CZ79" s="55">
        <f>$CZ78+$CX79</f>
        <v/>
      </c>
      <c r="DA79" s="55">
        <f>SUMIFS(tblPlant[Tails_oz],tblPlant[Date],$A79)</f>
        <v/>
      </c>
      <c r="DB79" s="55">
        <f>IF($B79=$B78,$DB78,0)+$DA79</f>
        <v/>
      </c>
      <c r="DC79" s="55">
        <f>$DC78+$DA79</f>
        <v/>
      </c>
      <c r="DD79" s="55">
        <f>SUMIFS(tblPlant[Recovered_oz],tblPlant[Date],$A79)</f>
        <v/>
      </c>
      <c r="DE79" s="55">
        <f>IF($B79=$B78,$DE78,0)+$DD79</f>
        <v/>
      </c>
      <c r="DF79" s="55">
        <f>$DF78+$DD79</f>
        <v/>
      </c>
      <c r="DG79" s="55">
        <f>SUMIFS(tblPlant[Milled_t],tblPlant[Date],$A79,tblPlant[Head_Grade_gpt],"&lt;&gt;")</f>
        <v/>
      </c>
      <c r="DH79" s="55">
        <f>IF($B79=$B78,$DH78,0)+$DG79</f>
        <v/>
      </c>
      <c r="DI79" s="55">
        <f>$DI78+$DG79</f>
        <v/>
      </c>
      <c r="DJ79" s="55">
        <f>SUMIFS(tblPlant[Milled_t],tblPlant[Date],$A79,tblPlant[Tails_Grade_gpt],"&lt;&gt;")</f>
        <v/>
      </c>
      <c r="DK79" s="55">
        <f>IF($B79=$B78,$DK78,0)+$DJ79</f>
        <v/>
      </c>
      <c r="DL79" s="55">
        <f>$DL78+$DJ79</f>
        <v/>
      </c>
      <c r="DM79" s="55">
        <f>SUMIFS(tblPlant[Feed_oz],tblPlant[Date],$A79,tblPlant[Tails_Grade_gpt],"&lt;&gt;")</f>
        <v/>
      </c>
      <c r="DN79" s="55">
        <f>IF($B79=$B78,$DN78,0)+$DM79</f>
        <v/>
      </c>
      <c r="DO79" s="55">
        <f>$DO78+$DM79</f>
        <v/>
      </c>
      <c r="DP79" s="55">
        <f>SUMIFS(tblPlant[Milled_t],tblPlant[Date],$A79,tblPlant[Mill_Run_h],"&lt;&gt;")</f>
        <v/>
      </c>
      <c r="DQ79" s="55">
        <f>IF($B79=$B78,$DQ78,0)+$DP79</f>
        <v/>
      </c>
      <c r="DR79" s="55">
        <f>$DR78+$DP79</f>
        <v/>
      </c>
      <c r="DS79" s="56">
        <f>IFERROR(IF(($DG79)&gt;0,($CX79*cfg_TroyOz)/($DG79),""),"")</f>
        <v/>
      </c>
      <c r="DT79" s="56">
        <f>IFERROR(IF(($DH79)&gt;0,($CY79*cfg_TroyOz)/($DH79),""),"")</f>
        <v/>
      </c>
      <c r="DU79" s="56">
        <f>IFERROR(IF(($DI79)&gt;0,($CZ79*cfg_TroyOz)/($DI79),""),"")</f>
        <v/>
      </c>
      <c r="DV79" s="56">
        <f>IFERROR(IF(($DJ79)&gt;0,($DA79*cfg_TroyOz)/($DJ79),""),"")</f>
        <v/>
      </c>
      <c r="DW79" s="56">
        <f>IFERROR(IF(($DK79)&gt;0,($DB79*cfg_TroyOz)/($DK79),""),"")</f>
        <v/>
      </c>
      <c r="DX79" s="56">
        <f>IFERROR(IF(($DL79)&gt;0,($DC79*cfg_TroyOz)/($DL79),""),"")</f>
        <v/>
      </c>
      <c r="DY79" s="67">
        <f>IFERROR(IF(($DM79)&gt;0,($DD79)/($DM79),""),"")</f>
        <v/>
      </c>
      <c r="DZ79" s="67">
        <f>IFERROR(IF(($DN79)&gt;0,($DE79)/($DN79),""),"")</f>
        <v/>
      </c>
      <c r="EA79" s="67">
        <f>IFERROR(IF(($DO79)&gt;0,($DF79)/($DO79),""),"")</f>
        <v/>
      </c>
      <c r="EB79" s="55">
        <f>SUMIFS(tblPlant[Gravity_Gold_oz],tblPlant[Date],$A79)</f>
        <v/>
      </c>
      <c r="EC79" s="55">
        <f>IF($B79=$B78,$EC78,0)+$EB79</f>
        <v/>
      </c>
      <c r="ED79" s="55">
        <f>$ED78+$EB79</f>
        <v/>
      </c>
      <c r="EE79" s="67">
        <f>IFERROR(IF(($DD79)&gt;0,($EB79)/($DD79),""),"")</f>
        <v/>
      </c>
      <c r="EF79" s="67">
        <f>IFERROR(IF(($DE79)&gt;0,($EC79)/($DE79),""),"")</f>
        <v/>
      </c>
      <c r="EG79" s="67">
        <f>IFERROR(IF(($DF79)&gt;0,($ED79)/($DF79),""),"")</f>
        <v/>
      </c>
      <c r="EH79" s="55">
        <f>SUMIFS(tblPlant[Gold_Poured_oz],tblPlant[Date],$A79)</f>
        <v/>
      </c>
      <c r="EI79" s="55">
        <f>IF($B79=$B78,$EI78,0)+$EH79</f>
        <v/>
      </c>
      <c r="EJ79" s="55">
        <f>$EJ78+$EH79</f>
        <v/>
      </c>
      <c r="EK79" s="57">
        <f>SUMIFS(tblPlant[Mill_Run_h],tblPlant[Date],$A79)</f>
        <v/>
      </c>
      <c r="EL79" s="57">
        <f>IF($B79=$B78,$EL78,0)+$EK79</f>
        <v/>
      </c>
      <c r="EM79" s="57">
        <f>$EM78+$EK79</f>
        <v/>
      </c>
      <c r="EN79" s="57">
        <f>SUMIFS(tblPlant[Mill_Planned_Maint_h],tblPlant[Date],$A79)</f>
        <v/>
      </c>
      <c r="EO79" s="57">
        <f>IF($B79=$B78,$EO78,0)+$EN79</f>
        <v/>
      </c>
      <c r="EP79" s="57">
        <f>$EP78+$EN79</f>
        <v/>
      </c>
      <c r="EQ79" s="57">
        <f>SUMIFS(tblPlant[Mill_Unplanned_Down_h],tblPlant[Date],$A79)</f>
        <v/>
      </c>
      <c r="ER79" s="57">
        <f>IF($B79=$B78,$ER78,0)+$EQ79</f>
        <v/>
      </c>
      <c r="ES79" s="57">
        <f>$ES78+$EQ79</f>
        <v/>
      </c>
      <c r="ET79" s="57">
        <f>IF(COUNTIFS(tblPlant[Date],$A79,tblPlant[Mill_Run_h],"&lt;&gt;")+COUNTIFS(tblPlant[Date],$A79,tblPlant[Mill_Planned_Maint_h],"&lt;&gt;")+COUNTIFS(tblPlant[Date],$A79,tblPlant[Mill_Unplanned_Down_h],"&lt;&gt;")&gt;0,cfg_HoursPerDay,0)</f>
        <v/>
      </c>
      <c r="EU79" s="57">
        <f>IF($B79=$B78,$EU78,0)+$ET79</f>
        <v/>
      </c>
      <c r="EV79" s="57">
        <f>$EV78+$ET79</f>
        <v/>
      </c>
      <c r="EW79" s="57">
        <f>SUMIFS(tblPlant[Crusher_Run_h],tblPlant[Date],$A79)</f>
        <v/>
      </c>
      <c r="EX79" s="57">
        <f>IF($B79=$B78,$EX78,0)+$EW79</f>
        <v/>
      </c>
      <c r="EY79" s="57">
        <f>$EY78+$EW79</f>
        <v/>
      </c>
      <c r="EZ79" s="55">
        <f>IFERROR(IF(($EK79)&gt;0,($DP79)/($EK79),""),"")</f>
        <v/>
      </c>
      <c r="FA79" s="55">
        <f>IFERROR(IF(($EL79)&gt;0,($DQ79)/($EL79),""),"")</f>
        <v/>
      </c>
      <c r="FB79" s="55">
        <f>IFERROR(IF(($EM79)&gt;0,($DR79)/($EM79),""),"")</f>
        <v/>
      </c>
      <c r="FC79" s="67">
        <f>IFERROR(IF(($ET79)&gt;0,($ET79-$EN79-$EQ79)/($ET79),""),"")</f>
        <v/>
      </c>
      <c r="FD79" s="67">
        <f>IFERROR(IF(($EU79)&gt;0,($EU79-$EO79-$ER79)/($EU79),""),"")</f>
        <v/>
      </c>
      <c r="FE79" s="67">
        <f>IFERROR(IF(($EV79)&gt;0,($EV79-$EP79-$ES79)/($EV79),""),"")</f>
        <v/>
      </c>
      <c r="FF79" s="67">
        <f>IFERROR(IF(($ET79-$EN79-$EQ79)&gt;0,($EK79)/($ET79-$EN79-$EQ79),""),"")</f>
        <v/>
      </c>
      <c r="FG79" s="67">
        <f>IFERROR(IF(($EU79-$EO79-$ER79)&gt;0,($EL79)/($EU79-$EO79-$ER79),""),"")</f>
        <v/>
      </c>
      <c r="FH79" s="67">
        <f>IFERROR(IF(($EV79-$EP79-$ES79)&gt;0,($EM79)/($EV79-$EP79-$ES79),""),"")</f>
        <v/>
      </c>
      <c r="FI79" s="55">
        <f>SUMIFS(tblPlant[Cyanide_kg],tblPlant[Date],$A79)</f>
        <v/>
      </c>
      <c r="FJ79" s="55">
        <f>IF($B79=$B78,$FJ78,0)+$FI79</f>
        <v/>
      </c>
      <c r="FK79" s="55">
        <f>$FK78+$FI79</f>
        <v/>
      </c>
      <c r="FL79" s="55">
        <f>SUMIFS(tblPlant[Lime_kg],tblPlant[Date],$A79)</f>
        <v/>
      </c>
      <c r="FM79" s="55">
        <f>IF($B79=$B78,$FM78,0)+$FL79</f>
        <v/>
      </c>
      <c r="FN79" s="55">
        <f>$FN78+$FL79</f>
        <v/>
      </c>
      <c r="FO79" s="55">
        <f>SUMIFS(tblPlant[Grinding_Media_kg],tblPlant[Date],$A79)</f>
        <v/>
      </c>
      <c r="FP79" s="55">
        <f>IF($B79=$B78,$FP78,0)+$FO79</f>
        <v/>
      </c>
      <c r="FQ79" s="55">
        <f>$FQ78+$FO79</f>
        <v/>
      </c>
      <c r="FR79" s="55">
        <f>SUMIFS(tblPlant[Power_kWh],tblPlant[Date],$A79)</f>
        <v/>
      </c>
      <c r="FS79" s="55">
        <f>IF($B79=$B78,$FS78,0)+$FR79</f>
        <v/>
      </c>
      <c r="FT79" s="55">
        <f>$FT78+$FR79</f>
        <v/>
      </c>
      <c r="FU79" s="55">
        <f>SUMIFS(tblPlant[Raw_Water_m3],tblPlant[Date],$A79)</f>
        <v/>
      </c>
      <c r="FV79" s="55">
        <f>IF($B79=$B78,$FV78,0)+$FU79</f>
        <v/>
      </c>
      <c r="FW79" s="55">
        <f>$FW78+$FU79</f>
        <v/>
      </c>
      <c r="FX79" s="56">
        <f>IFERROR(IF(($CU79)&gt;0,($FI79)/($CU79),""),"")</f>
        <v/>
      </c>
      <c r="FY79" s="56">
        <f>IFERROR(IF(($CV79)&gt;0,($FJ79)/($CV79),""),"")</f>
        <v/>
      </c>
      <c r="FZ79" s="56">
        <f>IFERROR(IF(($CW79)&gt;0,($FK79)/($CW79),""),"")</f>
        <v/>
      </c>
      <c r="GA79" s="56">
        <f>IFERROR(IF(($CU79)&gt;0,($FL79)/($CU79),""),"")</f>
        <v/>
      </c>
      <c r="GB79" s="56">
        <f>IFERROR(IF(($CV79)&gt;0,($FM79)/($CV79),""),"")</f>
        <v/>
      </c>
      <c r="GC79" s="56">
        <f>IFERROR(IF(($CW79)&gt;0,($FN79)/($CW79),""),"")</f>
        <v/>
      </c>
      <c r="GD79" s="56">
        <f>IFERROR(IF(($CU79)&gt;0,($FO79)/($CU79),""),"")</f>
        <v/>
      </c>
      <c r="GE79" s="56">
        <f>IFERROR(IF(($CV79)&gt;0,($FP79)/($CV79),""),"")</f>
        <v/>
      </c>
      <c r="GF79" s="56">
        <f>IFERROR(IF(($CW79)&gt;0,($FQ79)/($CW79),""),"")</f>
        <v/>
      </c>
      <c r="GG79" s="79">
        <f>IFERROR(IF(($CU79)&gt;0,($FR79)/($CU79),""),"")</f>
        <v/>
      </c>
      <c r="GH79" s="79">
        <f>IFERROR(IF(($CV79)&gt;0,($FS79)/($CV79),""),"")</f>
        <v/>
      </c>
      <c r="GI79" s="79">
        <f>IFERROR(IF(($CW79)&gt;0,($FT79)/($CW79),""),"")</f>
        <v/>
      </c>
      <c r="GJ79" s="56">
        <f>IFERROR(IF(($CU79)&gt;0,($FU79)/($CU79),""),"")</f>
        <v/>
      </c>
      <c r="GK79" s="56">
        <f>IFERROR(IF(($CV79)&gt;0,($FV79)/($CV79),""),"")</f>
        <v/>
      </c>
      <c r="GL79" s="56">
        <f>IFERROR(IF(($CW79)&gt;0,($FW79)/($CW79),""),"")</f>
        <v/>
      </c>
      <c r="GM79" s="55">
        <f>IF(SUMIFS(tblPlant[GIC_oz],tblPlant[Date],$A79)&gt;0,SUMIFS(tblPlant[GIC_oz],tblPlant[Date],$A79),"")</f>
        <v/>
      </c>
      <c r="GN79" s="55">
        <f>SUMIFS(tblGold[Gold_oz],tblGold[Date],$A79,tblGold[Type],"Shipment")</f>
        <v/>
      </c>
      <c r="GO79" s="55">
        <f>IF($B79=$B78,$GO78,0)+$GN79</f>
        <v/>
      </c>
      <c r="GP79" s="55">
        <f>$GP78+$GN79</f>
        <v/>
      </c>
      <c r="GQ79" s="55">
        <f>SUMIFS(tblGold[Gold_oz],tblGold[Date],$A79,tblGold[Type],"Sale")</f>
        <v/>
      </c>
      <c r="GR79" s="55">
        <f>IF($B79=$B78,$GR78,0)+$GQ79</f>
        <v/>
      </c>
      <c r="GS79" s="55">
        <f>$GS78+$GQ79</f>
        <v/>
      </c>
      <c r="GT79" s="55">
        <f>SUMIFS(tblGold[Dore_kg],tblGold[Date],$A79,tblGold[Type],"Shipment")</f>
        <v/>
      </c>
      <c r="GU79" s="55">
        <f>IF($B79=$B78,$GU78,0)+$GT79</f>
        <v/>
      </c>
      <c r="GV79" s="55">
        <f>$GV78+$GT79</f>
        <v/>
      </c>
      <c r="GW79" s="57">
        <f>SUMIFS(tblSafety[Hours_Total],tblSafety[Date],$A79)</f>
        <v/>
      </c>
      <c r="GX79" s="57">
        <f>IF($B79=$B78,$GX78,0)+$GW79</f>
        <v/>
      </c>
      <c r="GY79" s="57">
        <f>$GY78+$GW79</f>
        <v/>
      </c>
      <c r="GZ79" s="62">
        <f>SUMIFS(tblSafety[Fatality],tblSafety[Date],$A79)</f>
        <v/>
      </c>
      <c r="HA79" s="62">
        <f>IF($B79=$B78,$HA78,0)+$GZ79</f>
        <v/>
      </c>
      <c r="HB79" s="62">
        <f>$HB78+$GZ79</f>
        <v/>
      </c>
      <c r="HC79" s="62">
        <f>SUMIFS(tblSafety[LTI],tblSafety[Date],$A79)</f>
        <v/>
      </c>
      <c r="HD79" s="62">
        <f>IF($B79=$B78,$HD78,0)+$HC79</f>
        <v/>
      </c>
      <c r="HE79" s="62">
        <f>$HE78+$HC79</f>
        <v/>
      </c>
      <c r="HF79" s="62">
        <f>SUMIFS(tblSafety[RWI],tblSafety[Date],$A79)</f>
        <v/>
      </c>
      <c r="HG79" s="62">
        <f>IF($B79=$B78,$HG78,0)+$HF79</f>
        <v/>
      </c>
      <c r="HH79" s="62">
        <f>$HH78+$HF79</f>
        <v/>
      </c>
      <c r="HI79" s="62">
        <f>SUMIFS(tblSafety[MTI],tblSafety[Date],$A79)</f>
        <v/>
      </c>
      <c r="HJ79" s="62">
        <f>IF($B79=$B78,$HJ78,0)+$HI79</f>
        <v/>
      </c>
      <c r="HK79" s="62">
        <f>$HK78+$HI79</f>
        <v/>
      </c>
      <c r="HL79" s="62">
        <f>SUMIFS(tblSafety[FAI],tblSafety[Date],$A79)</f>
        <v/>
      </c>
      <c r="HM79" s="62">
        <f>IF($B79=$B78,$HM78,0)+$HL79</f>
        <v/>
      </c>
      <c r="HN79" s="62">
        <f>$HN78+$HL79</f>
        <v/>
      </c>
      <c r="HO79" s="62">
        <f>SUMIFS(tblSafety[Recordables],tblSafety[Date],$A79)</f>
        <v/>
      </c>
      <c r="HP79" s="62">
        <f>IF($B79=$B78,$HP78,0)+$HO79</f>
        <v/>
      </c>
      <c r="HQ79" s="62">
        <f>$HQ78+$HO79</f>
        <v/>
      </c>
      <c r="HR79" s="62">
        <f>SUMIFS(tblSafety[Near_Miss],tblSafety[Date],$A79)</f>
        <v/>
      </c>
      <c r="HS79" s="62">
        <f>IF($B79=$B78,$HS78,0)+$HR79</f>
        <v/>
      </c>
      <c r="HT79" s="62">
        <f>$HT78+$HR79</f>
        <v/>
      </c>
      <c r="HU79" s="62">
        <f>SUMIFS(tblSafety[Hazard_Reports],tblSafety[Date],$A79)</f>
        <v/>
      </c>
      <c r="HV79" s="62">
        <f>IF($B79=$B78,$HV78,0)+$HU79</f>
        <v/>
      </c>
      <c r="HW79" s="62">
        <f>$HW78+$HU79</f>
        <v/>
      </c>
      <c r="HX79" s="62">
        <f>SUMIFS(tblSafety[HPI],tblSafety[Date],$A79)</f>
        <v/>
      </c>
      <c r="HY79" s="62">
        <f>IF($B79=$B78,$HY78,0)+$HX79</f>
        <v/>
      </c>
      <c r="HZ79" s="62">
        <f>$HZ78+$HX79</f>
        <v/>
      </c>
      <c r="IA79" s="62">
        <f>SUMIFS(tblSafety[Env_Incidents],tblSafety[Date],$A79)</f>
        <v/>
      </c>
      <c r="IB79" s="62">
        <f>IF($B79=$B78,$IB78,0)+$IA79</f>
        <v/>
      </c>
      <c r="IC79" s="62">
        <f>$IC78+$IA79</f>
        <v/>
      </c>
      <c r="ID79" s="62">
        <f>SUMIFS(tblSafety[Community_Incidents],tblSafety[Date],$A79)</f>
        <v/>
      </c>
      <c r="IE79" s="62">
        <f>IF($B79=$B78,$IE78,0)+$ID79</f>
        <v/>
      </c>
      <c r="IF79" s="62">
        <f>$IF78+$ID79</f>
        <v/>
      </c>
      <c r="IG79" s="62">
        <f>SUMIFS(tblSafety[Vehicle_Incidents],tblSafety[Date],$A79)</f>
        <v/>
      </c>
      <c r="IH79" s="62">
        <f>IF($B79=$B78,$IH78,0)+$IG79</f>
        <v/>
      </c>
      <c r="II79" s="62">
        <f>$II78+$IG79</f>
        <v/>
      </c>
      <c r="IJ79" s="62">
        <f>SUMIFS(tblSafety[Toolbox_Talks],tblSafety[Date],$A79)</f>
        <v/>
      </c>
      <c r="IK79" s="62">
        <f>IF($B79=$B78,$IK78,0)+$IJ79</f>
        <v/>
      </c>
      <c r="IL79" s="62">
        <f>$IL78+$IJ79</f>
        <v/>
      </c>
      <c r="IM79" s="62">
        <f>SUMIFS(tblSafety[Inspections],tblSafety[Date],$A79)</f>
        <v/>
      </c>
      <c r="IN79" s="62">
        <f>IF($B79=$B78,$IN78,0)+$IM79</f>
        <v/>
      </c>
      <c r="IO79" s="62">
        <f>$IO78+$IM79</f>
        <v/>
      </c>
      <c r="IP79" s="56">
        <f>IFERROR((SUMIFS(tblSafety[Recordables],tblSafety[Date],"&gt;="&amp;EDATE($E79,-12),tblSafety[Date],"&lt;="&amp;$A79)+SUMIFS(tblSafetyHistory[Recordables],tblSafetyHistory[Month],"&gt;="&amp;EDATE($E79,-12),tblSafetyHistory[Month],"&lt;"&amp;$E79,tblSafetyHistory[Use],1))/(SUMIFS(tblSafety[Hours_Total],tblSafety[Date],"&gt;="&amp;EDATE($E79,-12),tblSafety[Date],"&lt;="&amp;$A79)+SUMIFS(tblSafetyHistory[Hours_Total],tblSafetyHistory[Month],"&gt;="&amp;EDATE($E79,-12),tblSafetyHistory[Month],"&lt;"&amp;$E79,tblSafetyHistory[Use],1))*cfg_RateBasisHours,"")</f>
        <v/>
      </c>
      <c r="IQ79" s="56">
        <f>IFERROR((SUMIFS(tblSafety[LTI],tblSafety[Date],"&gt;="&amp;EDATE($E79,-12),tblSafety[Date],"&lt;="&amp;$A79)+SUMIFS(tblSafetyHistory[LTI],tblSafetyHistory[Month],"&gt;="&amp;EDATE($E79,-12),tblSafetyHistory[Month],"&lt;"&amp;$E79,tblSafetyHistory[Use],1))/(SUMIFS(tblSafety[Hours_Total],tblSafety[Date],"&gt;="&amp;EDATE($E79,-12),tblSafety[Date],"&lt;="&amp;$A79)+SUMIFS(tblSafetyHistory[Hours_Total],tblSafetyHistory[Month],"&gt;="&amp;EDATE($E79,-12),tblSafetyHistory[Month],"&lt;"&amp;$E79,tblSafetyHistory[Use],1))*cfg_RateBasisHours,"")</f>
        <v/>
      </c>
      <c r="IR79" s="62">
        <f>IF(MAX(N(cfg_PriorLTIDate),_xlfn.MAXIFS(tblSafety[Date],tblSafety[LTI],"&gt;0",tblSafety[Date],"&lt;="&amp;$A79))=0,"",$A79-MAX(N(cfg_PriorLTIDate),_xlfn.MAXIFS(tblSafety[Date],tblSafety[LTI],"&gt;0",tblSafety[Date],"&lt;="&amp;$A79)))</f>
        <v/>
      </c>
      <c r="IS79" s="55">
        <f>SUMIFS(tblBudget[Ore_Mined_t],tblBudget[Month],$E79)</f>
        <v/>
      </c>
      <c r="IT79" s="55">
        <f>$IS79*$C79/$D79</f>
        <v/>
      </c>
      <c r="IU79" s="55">
        <f>SUMIFS(tblBudget[Ore_Mined_t],tblBudget[Month],"&lt;"&amp;$E79)+$IT79</f>
        <v/>
      </c>
      <c r="IV79" s="55">
        <f>SUMIFS(tblBudget[Ore_oz],tblBudget[Month],$E79)</f>
        <v/>
      </c>
      <c r="IW79" s="55">
        <f>$IV79*$C79/$D79</f>
        <v/>
      </c>
      <c r="IX79" s="55">
        <f>SUMIFS(tblBudget[Ore_oz],tblBudget[Month],"&lt;"&amp;$E79)+$IW79</f>
        <v/>
      </c>
      <c r="IY79" s="55">
        <f>SUMIFS(tblBudget[Ore_Mined_t],tblBudget[Month],$E79)</f>
        <v/>
      </c>
      <c r="IZ79" s="55">
        <f>$IY79*$C79/$D79</f>
        <v/>
      </c>
      <c r="JA79" s="55">
        <f>SUMIFS(tblBudget[Ore_Mined_t],tblBudget[Month],"&lt;"&amp;$E79)+$IZ79</f>
        <v/>
      </c>
      <c r="JB79" s="56">
        <f>IFERROR(IF(($IY79)&gt;0,($IV79*cfg_TroyOz)/($IY79),""),"")</f>
        <v/>
      </c>
      <c r="JC79" s="56">
        <f>IFERROR(IF(($IZ79)&gt;0,($IW79*cfg_TroyOz)/($IZ79),""),"")</f>
        <v/>
      </c>
      <c r="JD79" s="56">
        <f>IFERROR(IF(($JA79)&gt;0,($IX79*cfg_TroyOz)/($JA79),""),"")</f>
        <v/>
      </c>
      <c r="JE79" s="55">
        <f>SUMIFS(tblBudget[Waste_t],tblBudget[Month],$E79)</f>
        <v/>
      </c>
      <c r="JF79" s="55">
        <f>$JE79*$C79/$D79</f>
        <v/>
      </c>
      <c r="JG79" s="55">
        <f>SUMIFS(tblBudget[Waste_t],tblBudget[Month],"&lt;"&amp;$E79)+$JF79</f>
        <v/>
      </c>
      <c r="JH79" s="55">
        <f>SUMIFS(tblBudget[TMM_t],tblBudget[Month],$E79)</f>
        <v/>
      </c>
      <c r="JI79" s="55">
        <f>$JH79*$C79/$D79</f>
        <v/>
      </c>
      <c r="JJ79" s="55">
        <f>SUMIFS(tblBudget[TMM_t],tblBudget[Month],"&lt;"&amp;$E79)+$JI79</f>
        <v/>
      </c>
      <c r="JK79" s="56">
        <f>IFERROR(IF(($IS79)&gt;0,($JE79)/($IS79),""),"")</f>
        <v/>
      </c>
      <c r="JL79" s="56">
        <f>IFERROR(IF(($IT79)&gt;0,($JF79)/($IT79),""),"")</f>
        <v/>
      </c>
      <c r="JM79" s="56">
        <f>IFERROR(IF(($IU79)&gt;0,($JG79)/($IU79),""),"")</f>
        <v/>
      </c>
      <c r="JN79" s="55">
        <f>SUMIFS(tblBudget[Drill_m],tblBudget[Month],$E79)</f>
        <v/>
      </c>
      <c r="JO79" s="55">
        <f>$JN79*$C79/$D79</f>
        <v/>
      </c>
      <c r="JP79" s="55">
        <f>SUMIFS(tblBudget[Drill_m],tblBudget[Month],"&lt;"&amp;$E79)+$JO79</f>
        <v/>
      </c>
      <c r="JQ79" s="55">
        <f>SUMIFS(tblBudget[Diesel_L],tblBudget[Month],$E79)</f>
        <v/>
      </c>
      <c r="JR79" s="55">
        <f>$JQ79*$C79/$D79</f>
        <v/>
      </c>
      <c r="JS79" s="55">
        <f>SUMIFS(tblBudget[Diesel_L],tblBudget[Month],"&lt;"&amp;$E79)+$JR79</f>
        <v/>
      </c>
      <c r="JT79" s="55">
        <f>SUMIFS(tblBudget[Milled_t],tblBudget[Month],$E79)</f>
        <v/>
      </c>
      <c r="JU79" s="55">
        <f>$JT79*$C79/$D79</f>
        <v/>
      </c>
      <c r="JV79" s="55">
        <f>SUMIFS(tblBudget[Milled_t],tblBudget[Month],"&lt;"&amp;$E79)+$JU79</f>
        <v/>
      </c>
      <c r="JW79" s="55">
        <f>SUMIFS(tblBudget[Feed_oz],tblBudget[Month],$E79)</f>
        <v/>
      </c>
      <c r="JX79" s="55">
        <f>$JW79*$C79/$D79</f>
        <v/>
      </c>
      <c r="JY79" s="55">
        <f>SUMIFS(tblBudget[Feed_oz],tblBudget[Month],"&lt;"&amp;$E79)+$JX79</f>
        <v/>
      </c>
      <c r="JZ79" s="55">
        <f>SUMIFS(tblBudget[Recovered_oz],tblBudget[Month],$E79)</f>
        <v/>
      </c>
      <c r="KA79" s="55">
        <f>$JZ79*$C79/$D79</f>
        <v/>
      </c>
      <c r="KB79" s="55">
        <f>SUMIFS(tblBudget[Recovered_oz],tblBudget[Month],"&lt;"&amp;$E79)+$KA79</f>
        <v/>
      </c>
      <c r="KC79" s="55">
        <f>SUMIFS(tblBudget[Milled_t],tblBudget[Month],$E79)</f>
        <v/>
      </c>
      <c r="KD79" s="55">
        <f>$KC79*$C79/$D79</f>
        <v/>
      </c>
      <c r="KE79" s="55">
        <f>SUMIFS(tblBudget[Milled_t],tblBudget[Month],"&lt;"&amp;$E79)+$KD79</f>
        <v/>
      </c>
      <c r="KF79" s="55">
        <f>SUMIFS(tblBudget[Feed_oz],tblBudget[Month],$E79)</f>
        <v/>
      </c>
      <c r="KG79" s="55">
        <f>$KF79*$C79/$D79</f>
        <v/>
      </c>
      <c r="KH79" s="55">
        <f>SUMIFS(tblBudget[Feed_oz],tblBudget[Month],"&lt;"&amp;$E79)+$KG79</f>
        <v/>
      </c>
      <c r="KI79" s="56">
        <f>IFERROR(IF(($KC79)&gt;0,($JW79*cfg_TroyOz)/($KC79),""),"")</f>
        <v/>
      </c>
      <c r="KJ79" s="56">
        <f>IFERROR(IF(($KD79)&gt;0,($JX79*cfg_TroyOz)/($KD79),""),"")</f>
        <v/>
      </c>
      <c r="KK79" s="56">
        <f>IFERROR(IF(($KE79)&gt;0,($JY79*cfg_TroyOz)/($KE79),""),"")</f>
        <v/>
      </c>
      <c r="KL79" s="67">
        <f>IFERROR(IF(($KF79)&gt;0,($JZ79)/($KF79),""),"")</f>
        <v/>
      </c>
      <c r="KM79" s="67">
        <f>IFERROR(IF(($KG79)&gt;0,($KA79)/($KG79),""),"")</f>
        <v/>
      </c>
      <c r="KN79" s="67">
        <f>IFERROR(IF(($KH79)&gt;0,($KB79)/($KH79),""),"")</f>
        <v/>
      </c>
      <c r="KO79" s="55">
        <f>SUMIFS(tblBudget[Gold_Poured_oz],tblBudget[Month],$E79)</f>
        <v/>
      </c>
      <c r="KP79" s="55">
        <f>$KO79*$C79/$D79</f>
        <v/>
      </c>
      <c r="KQ79" s="55">
        <f>SUMIFS(tblBudget[Gold_Poured_oz],tblBudget[Month],"&lt;"&amp;$E79)+$KP79</f>
        <v/>
      </c>
      <c r="KR79" s="57">
        <f>SUMIFS(tblBudget[Hours_Worked],tblBudget[Month],$E79)</f>
        <v/>
      </c>
      <c r="KS79" s="57">
        <f>$KR79*$C79/$D79</f>
        <v/>
      </c>
      <c r="KT79" s="57">
        <f>SUMIFS(tblBudget[Hours_Worked],tblBudget[Month],"&lt;"&amp;$E79)+$KS79</f>
        <v/>
      </c>
    </row>
    <row r="80">
      <c r="A80" s="54" t="n">
        <v>46101</v>
      </c>
      <c r="B80">
        <f>MONTH($A80)</f>
        <v/>
      </c>
      <c r="C80">
        <f>DAY($A80)</f>
        <v/>
      </c>
      <c r="D80">
        <f>DAY(EOMONTH($A80,0))</f>
        <v/>
      </c>
      <c r="E80" s="54">
        <f>DATE(YEAR($A80),MONTH($A80),1)</f>
        <v/>
      </c>
      <c r="F80" s="55">
        <f>SUMIFS(tblMovement[Tonnes_t],tblMovement[Date],$A80,tblMovement[Is_Ore],1,tblMovement[Source_Type],"Pit")</f>
        <v/>
      </c>
      <c r="G80" s="55">
        <f>IF($B80=$B79,$G79,0)+$F80</f>
        <v/>
      </c>
      <c r="H80" s="55">
        <f>$H79+$F80</f>
        <v/>
      </c>
      <c r="I80" s="55">
        <f>SUMIFS(tblMovement[Ore_oz],tblMovement[Date],$A80,tblMovement[Source_Type],"Pit")</f>
        <v/>
      </c>
      <c r="J80" s="55">
        <f>IF($B80=$B79,$J79,0)+$I80</f>
        <v/>
      </c>
      <c r="K80" s="55">
        <f>$K79+$I80</f>
        <v/>
      </c>
      <c r="L80" s="55">
        <f>SUMIFS(tblMovement[Tonnes_t],tblMovement[Date],$A80,tblMovement[Is_Ore],1,tblMovement[Source_Type],"Pit",tblMovement[Grade_gpt],"&lt;&gt;")</f>
        <v/>
      </c>
      <c r="M80" s="55">
        <f>IF($B80=$B79,$M79,0)+$L80</f>
        <v/>
      </c>
      <c r="N80" s="55">
        <f>$N79+$L80</f>
        <v/>
      </c>
      <c r="O80" s="56">
        <f>IFERROR(IF(($L80)&gt;0,($I80*cfg_TroyOz)/($L80),""),"")</f>
        <v/>
      </c>
      <c r="P80" s="56">
        <f>IFERROR(IF(($M80)&gt;0,($J80*cfg_TroyOz)/($M80),""),"")</f>
        <v/>
      </c>
      <c r="Q80" s="56">
        <f>IFERROR(IF(($N80)&gt;0,($K80*cfg_TroyOz)/($N80),""),"")</f>
        <v/>
      </c>
      <c r="R80" s="55">
        <f>$F80-$L80</f>
        <v/>
      </c>
      <c r="S80" s="55">
        <f>IF($B80=$B79,$S79,0)+$R80</f>
        <v/>
      </c>
      <c r="T80" s="55">
        <f>$T79+$R80</f>
        <v/>
      </c>
      <c r="U80" s="55">
        <f>SUMIFS(tblMovement[Tonnes_t],tblMovement[Date],$A80,tblMovement[Is_Ore],0,tblMovement[Source_Type],"Pit")</f>
        <v/>
      </c>
      <c r="V80" s="55">
        <f>IF($B80=$B79,$V79,0)+$U80</f>
        <v/>
      </c>
      <c r="W80" s="55">
        <f>$W79+$U80</f>
        <v/>
      </c>
      <c r="X80" s="55">
        <f>$F80+$U80</f>
        <v/>
      </c>
      <c r="Y80" s="55">
        <f>IF($B80=$B79,$Y79,0)+$X80</f>
        <v/>
      </c>
      <c r="Z80" s="55">
        <f>$Z79+$X80</f>
        <v/>
      </c>
      <c r="AA80" s="56">
        <f>IFERROR(IF(($F80)&gt;0,($U80)/($F80),""),"")</f>
        <v/>
      </c>
      <c r="AB80" s="56">
        <f>IFERROR(IF(($G80)&gt;0,($V80)/($G80),""),"")</f>
        <v/>
      </c>
      <c r="AC80" s="56">
        <f>IFERROR(IF(($H80)&gt;0,($W80)/($H80),""),"")</f>
        <v/>
      </c>
      <c r="AD80" s="55">
        <f>SUMIFS(tblMovement[Tonnes_t],tblMovement[Date],$A80,tblMovement[Source_Type],"Stockpile")</f>
        <v/>
      </c>
      <c r="AE80" s="55">
        <f>IF($B80=$B79,$AE79,0)+$AD80</f>
        <v/>
      </c>
      <c r="AF80" s="55">
        <f>$AF79+$AD80</f>
        <v/>
      </c>
      <c r="AG80" s="55">
        <f>SUMIFS(tblMovement[Tonnes_t],tblMovement[Date],$A80)</f>
        <v/>
      </c>
      <c r="AH80" s="55">
        <f>IF($B80=$B79,$AH79,0)+$AG80</f>
        <v/>
      </c>
      <c r="AI80" s="55">
        <f>$AI79+$AG80</f>
        <v/>
      </c>
      <c r="AJ80" s="55">
        <f>$AG80-$X80-$AD80</f>
        <v/>
      </c>
      <c r="AK80" s="55">
        <f>IF($B80=$B79,$AK79,0)+$AJ80</f>
        <v/>
      </c>
      <c r="AL80" s="55">
        <f>$AL79+$AJ80</f>
        <v/>
      </c>
      <c r="AM80" s="55">
        <f>SUMIFS(tblMiningDaily[Drill_m],tblMiningDaily[Date],$A80)</f>
        <v/>
      </c>
      <c r="AN80" s="55">
        <f>IF($B80=$B79,$AN79,0)+$AM80</f>
        <v/>
      </c>
      <c r="AO80" s="55">
        <f>$AO79+$AM80</f>
        <v/>
      </c>
      <c r="AP80" s="55">
        <f>SUMIFS(tblMiningDaily[GC_Drill_m],tblMiningDaily[Date],$A80)</f>
        <v/>
      </c>
      <c r="AQ80" s="55">
        <f>IF($B80=$B79,$AQ79,0)+$AP80</f>
        <v/>
      </c>
      <c r="AR80" s="55">
        <f>$AR79+$AP80</f>
        <v/>
      </c>
      <c r="AS80" s="55">
        <f>SUMIFS(tblMiningDaily[Blast_t],tblMiningDaily[Date],$A80)</f>
        <v/>
      </c>
      <c r="AT80" s="55">
        <f>IF($B80=$B79,$AT79,0)+$AS80</f>
        <v/>
      </c>
      <c r="AU80" s="55">
        <f>$AU79+$AS80</f>
        <v/>
      </c>
      <c r="AV80" s="55">
        <f>SUMIFS(tblMiningDaily[Explosives_kg],tblMiningDaily[Date],$A80)</f>
        <v/>
      </c>
      <c r="AW80" s="55">
        <f>IF($B80=$B79,$AW79,0)+$AV80</f>
        <v/>
      </c>
      <c r="AX80" s="55">
        <f>$AX79+$AV80</f>
        <v/>
      </c>
      <c r="AY80" s="56">
        <f>IFERROR(IF(($AS80)&gt;0,($AV80)/($AS80),""),"")</f>
        <v/>
      </c>
      <c r="AZ80" s="56">
        <f>IFERROR(IF(($AT80)&gt;0,($AW80)/($AT80),""),"")</f>
        <v/>
      </c>
      <c r="BA80" s="56">
        <f>IFERROR(IF(($AU80)&gt;0,($AX80)/($AU80),""),"")</f>
        <v/>
      </c>
      <c r="BB80" s="55">
        <f>SUMIFS(tblMiningDaily[Diesel_L],tblMiningDaily[Date],$A80)</f>
        <v/>
      </c>
      <c r="BC80" s="55">
        <f>IF($B80=$B79,$BC79,0)+$BB80</f>
        <v/>
      </c>
      <c r="BD80" s="55">
        <f>$BD79+$BB80</f>
        <v/>
      </c>
      <c r="BE80" s="55">
        <f>SUMIFS(tblMiningDaily[Dewatering_m3],tblMiningDaily[Date],$A80)</f>
        <v/>
      </c>
      <c r="BF80" s="55">
        <f>IF($B80=$B79,$BF79,0)+$BE80</f>
        <v/>
      </c>
      <c r="BG80" s="55">
        <f>$BG79+$BE80</f>
        <v/>
      </c>
      <c r="BH80" s="57">
        <f>SUMIFS(tblFleet[Calendar_h],tblFleet[Date],$A80,tblFleet[Equipment_Class],"Excavator")</f>
        <v/>
      </c>
      <c r="BI80" s="57">
        <f>IF($B80=$B79,$BI79,0)+$BH80</f>
        <v/>
      </c>
      <c r="BJ80" s="57">
        <f>$BJ79+$BH80</f>
        <v/>
      </c>
      <c r="BK80" s="57">
        <f>SUMIFS(tblFleet[Available_h],tblFleet[Date],$A80,tblFleet[Equipment_Class],"Excavator")</f>
        <v/>
      </c>
      <c r="BL80" s="57">
        <f>IF($B80=$B79,$BL79,0)+$BK80</f>
        <v/>
      </c>
      <c r="BM80" s="57">
        <f>$BM79+$BK80</f>
        <v/>
      </c>
      <c r="BN80" s="57">
        <f>SUMIFS(tblFleet[Operating_h],tblFleet[Date],$A80,tblFleet[Equipment_Class],"Excavator")</f>
        <v/>
      </c>
      <c r="BO80" s="57">
        <f>IF($B80=$B79,$BO79,0)+$BN80</f>
        <v/>
      </c>
      <c r="BP80" s="57">
        <f>$BP79+$BN80</f>
        <v/>
      </c>
      <c r="BQ80" s="67">
        <f>IFERROR(IF(($BH80)&gt;0,($BK80)/($BH80),""),"")</f>
        <v/>
      </c>
      <c r="BR80" s="67">
        <f>IFERROR(IF(($BI80)&gt;0,($BL80)/($BI80),""),"")</f>
        <v/>
      </c>
      <c r="BS80" s="67">
        <f>IFERROR(IF(($BJ80)&gt;0,($BM80)/($BJ80),""),"")</f>
        <v/>
      </c>
      <c r="BT80" s="67">
        <f>IFERROR(IF(($BK80)&gt;0,($BN80)/($BK80),""),"")</f>
        <v/>
      </c>
      <c r="BU80" s="67">
        <f>IFERROR(IF(($BL80)&gt;0,($BO80)/($BL80),""),"")</f>
        <v/>
      </c>
      <c r="BV80" s="67">
        <f>IFERROR(IF(($BM80)&gt;0,($BP80)/($BM80),""),"")</f>
        <v/>
      </c>
      <c r="BW80" s="57">
        <f>SUMIFS(tblFleet[Calendar_h],tblFleet[Date],$A80,tblFleet[Equipment_Class],"Haul Truck")</f>
        <v/>
      </c>
      <c r="BX80" s="57">
        <f>IF($B80=$B79,$BX79,0)+$BW80</f>
        <v/>
      </c>
      <c r="BY80" s="57">
        <f>$BY79+$BW80</f>
        <v/>
      </c>
      <c r="BZ80" s="57">
        <f>SUMIFS(tblFleet[Available_h],tblFleet[Date],$A80,tblFleet[Equipment_Class],"Haul Truck")</f>
        <v/>
      </c>
      <c r="CA80" s="57">
        <f>IF($B80=$B79,$CA79,0)+$BZ80</f>
        <v/>
      </c>
      <c r="CB80" s="57">
        <f>$CB79+$BZ80</f>
        <v/>
      </c>
      <c r="CC80" s="57">
        <f>SUMIFS(tblFleet[Operating_h],tblFleet[Date],$A80,tblFleet[Equipment_Class],"Haul Truck")</f>
        <v/>
      </c>
      <c r="CD80" s="57">
        <f>IF($B80=$B79,$CD79,0)+$CC80</f>
        <v/>
      </c>
      <c r="CE80" s="57">
        <f>$CE79+$CC80</f>
        <v/>
      </c>
      <c r="CF80" s="67">
        <f>IFERROR(IF(($BW80)&gt;0,($BZ80)/($BW80),""),"")</f>
        <v/>
      </c>
      <c r="CG80" s="67">
        <f>IFERROR(IF(($BX80)&gt;0,($CA80)/($BX80),""),"")</f>
        <v/>
      </c>
      <c r="CH80" s="67">
        <f>IFERROR(IF(($BY80)&gt;0,($CB80)/($BY80),""),"")</f>
        <v/>
      </c>
      <c r="CI80" s="67">
        <f>IFERROR(IF(($BZ80)&gt;0,($CC80)/($BZ80),""),"")</f>
        <v/>
      </c>
      <c r="CJ80" s="67">
        <f>IFERROR(IF(($CA80)&gt;0,($CD80)/($CA80),""),"")</f>
        <v/>
      </c>
      <c r="CK80" s="67">
        <f>IFERROR(IF(($CB80)&gt;0,($CE80)/($CB80),""),"")</f>
        <v/>
      </c>
      <c r="CL80" s="55">
        <f>IFERROR(IF(($BN80)&gt;0,($X80+$AD80)/($BN80),""),"")</f>
        <v/>
      </c>
      <c r="CM80" s="55">
        <f>IFERROR(IF(($BO80)&gt;0,($Y80+$AE80)/($BO80),""),"")</f>
        <v/>
      </c>
      <c r="CN80" s="55">
        <f>IFERROR(IF(($BP80)&gt;0,($Z80+$AF80)/($BP80),""),"")</f>
        <v/>
      </c>
      <c r="CO80" s="55">
        <f>IFERROR(IF(($CC80)&gt;0,($X80+$AD80)/($CC80),""),"")</f>
        <v/>
      </c>
      <c r="CP80" s="55">
        <f>IFERROR(IF(($CD80)&gt;0,($Y80+$AE80)/($CD80),""),"")</f>
        <v/>
      </c>
      <c r="CQ80" s="55">
        <f>IFERROR(IF(($CE80)&gt;0,($Z80+$AF80)/($CE80),""),"")</f>
        <v/>
      </c>
      <c r="CR80" s="55">
        <f>SUMIFS(tblPlant[Crushed_t],tblPlant[Date],$A80)</f>
        <v/>
      </c>
      <c r="CS80" s="55">
        <f>IF($B80=$B79,$CS79,0)+$CR80</f>
        <v/>
      </c>
      <c r="CT80" s="55">
        <f>$CT79+$CR80</f>
        <v/>
      </c>
      <c r="CU80" s="55">
        <f>SUMIFS(tblPlant[Milled_t],tblPlant[Date],$A80)</f>
        <v/>
      </c>
      <c r="CV80" s="55">
        <f>IF($B80=$B79,$CV79,0)+$CU80</f>
        <v/>
      </c>
      <c r="CW80" s="55">
        <f>$CW79+$CU80</f>
        <v/>
      </c>
      <c r="CX80" s="55">
        <f>SUMIFS(tblPlant[Feed_oz],tblPlant[Date],$A80)</f>
        <v/>
      </c>
      <c r="CY80" s="55">
        <f>IF($B80=$B79,$CY79,0)+$CX80</f>
        <v/>
      </c>
      <c r="CZ80" s="55">
        <f>$CZ79+$CX80</f>
        <v/>
      </c>
      <c r="DA80" s="55">
        <f>SUMIFS(tblPlant[Tails_oz],tblPlant[Date],$A80)</f>
        <v/>
      </c>
      <c r="DB80" s="55">
        <f>IF($B80=$B79,$DB79,0)+$DA80</f>
        <v/>
      </c>
      <c r="DC80" s="55">
        <f>$DC79+$DA80</f>
        <v/>
      </c>
      <c r="DD80" s="55">
        <f>SUMIFS(tblPlant[Recovered_oz],tblPlant[Date],$A80)</f>
        <v/>
      </c>
      <c r="DE80" s="55">
        <f>IF($B80=$B79,$DE79,0)+$DD80</f>
        <v/>
      </c>
      <c r="DF80" s="55">
        <f>$DF79+$DD80</f>
        <v/>
      </c>
      <c r="DG80" s="55">
        <f>SUMIFS(tblPlant[Milled_t],tblPlant[Date],$A80,tblPlant[Head_Grade_gpt],"&lt;&gt;")</f>
        <v/>
      </c>
      <c r="DH80" s="55">
        <f>IF($B80=$B79,$DH79,0)+$DG80</f>
        <v/>
      </c>
      <c r="DI80" s="55">
        <f>$DI79+$DG80</f>
        <v/>
      </c>
      <c r="DJ80" s="55">
        <f>SUMIFS(tblPlant[Milled_t],tblPlant[Date],$A80,tblPlant[Tails_Grade_gpt],"&lt;&gt;")</f>
        <v/>
      </c>
      <c r="DK80" s="55">
        <f>IF($B80=$B79,$DK79,0)+$DJ80</f>
        <v/>
      </c>
      <c r="DL80" s="55">
        <f>$DL79+$DJ80</f>
        <v/>
      </c>
      <c r="DM80" s="55">
        <f>SUMIFS(tblPlant[Feed_oz],tblPlant[Date],$A80,tblPlant[Tails_Grade_gpt],"&lt;&gt;")</f>
        <v/>
      </c>
      <c r="DN80" s="55">
        <f>IF($B80=$B79,$DN79,0)+$DM80</f>
        <v/>
      </c>
      <c r="DO80" s="55">
        <f>$DO79+$DM80</f>
        <v/>
      </c>
      <c r="DP80" s="55">
        <f>SUMIFS(tblPlant[Milled_t],tblPlant[Date],$A80,tblPlant[Mill_Run_h],"&lt;&gt;")</f>
        <v/>
      </c>
      <c r="DQ80" s="55">
        <f>IF($B80=$B79,$DQ79,0)+$DP80</f>
        <v/>
      </c>
      <c r="DR80" s="55">
        <f>$DR79+$DP80</f>
        <v/>
      </c>
      <c r="DS80" s="56">
        <f>IFERROR(IF(($DG80)&gt;0,($CX80*cfg_TroyOz)/($DG80),""),"")</f>
        <v/>
      </c>
      <c r="DT80" s="56">
        <f>IFERROR(IF(($DH80)&gt;0,($CY80*cfg_TroyOz)/($DH80),""),"")</f>
        <v/>
      </c>
      <c r="DU80" s="56">
        <f>IFERROR(IF(($DI80)&gt;0,($CZ80*cfg_TroyOz)/($DI80),""),"")</f>
        <v/>
      </c>
      <c r="DV80" s="56">
        <f>IFERROR(IF(($DJ80)&gt;0,($DA80*cfg_TroyOz)/($DJ80),""),"")</f>
        <v/>
      </c>
      <c r="DW80" s="56">
        <f>IFERROR(IF(($DK80)&gt;0,($DB80*cfg_TroyOz)/($DK80),""),"")</f>
        <v/>
      </c>
      <c r="DX80" s="56">
        <f>IFERROR(IF(($DL80)&gt;0,($DC80*cfg_TroyOz)/($DL80),""),"")</f>
        <v/>
      </c>
      <c r="DY80" s="67">
        <f>IFERROR(IF(($DM80)&gt;0,($DD80)/($DM80),""),"")</f>
        <v/>
      </c>
      <c r="DZ80" s="67">
        <f>IFERROR(IF(($DN80)&gt;0,($DE80)/($DN80),""),"")</f>
        <v/>
      </c>
      <c r="EA80" s="67">
        <f>IFERROR(IF(($DO80)&gt;0,($DF80)/($DO80),""),"")</f>
        <v/>
      </c>
      <c r="EB80" s="55">
        <f>SUMIFS(tblPlant[Gravity_Gold_oz],tblPlant[Date],$A80)</f>
        <v/>
      </c>
      <c r="EC80" s="55">
        <f>IF($B80=$B79,$EC79,0)+$EB80</f>
        <v/>
      </c>
      <c r="ED80" s="55">
        <f>$ED79+$EB80</f>
        <v/>
      </c>
      <c r="EE80" s="67">
        <f>IFERROR(IF(($DD80)&gt;0,($EB80)/($DD80),""),"")</f>
        <v/>
      </c>
      <c r="EF80" s="67">
        <f>IFERROR(IF(($DE80)&gt;0,($EC80)/($DE80),""),"")</f>
        <v/>
      </c>
      <c r="EG80" s="67">
        <f>IFERROR(IF(($DF80)&gt;0,($ED80)/($DF80),""),"")</f>
        <v/>
      </c>
      <c r="EH80" s="55">
        <f>SUMIFS(tblPlant[Gold_Poured_oz],tblPlant[Date],$A80)</f>
        <v/>
      </c>
      <c r="EI80" s="55">
        <f>IF($B80=$B79,$EI79,0)+$EH80</f>
        <v/>
      </c>
      <c r="EJ80" s="55">
        <f>$EJ79+$EH80</f>
        <v/>
      </c>
      <c r="EK80" s="57">
        <f>SUMIFS(tblPlant[Mill_Run_h],tblPlant[Date],$A80)</f>
        <v/>
      </c>
      <c r="EL80" s="57">
        <f>IF($B80=$B79,$EL79,0)+$EK80</f>
        <v/>
      </c>
      <c r="EM80" s="57">
        <f>$EM79+$EK80</f>
        <v/>
      </c>
      <c r="EN80" s="57">
        <f>SUMIFS(tblPlant[Mill_Planned_Maint_h],tblPlant[Date],$A80)</f>
        <v/>
      </c>
      <c r="EO80" s="57">
        <f>IF($B80=$B79,$EO79,0)+$EN80</f>
        <v/>
      </c>
      <c r="EP80" s="57">
        <f>$EP79+$EN80</f>
        <v/>
      </c>
      <c r="EQ80" s="57">
        <f>SUMIFS(tblPlant[Mill_Unplanned_Down_h],tblPlant[Date],$A80)</f>
        <v/>
      </c>
      <c r="ER80" s="57">
        <f>IF($B80=$B79,$ER79,0)+$EQ80</f>
        <v/>
      </c>
      <c r="ES80" s="57">
        <f>$ES79+$EQ80</f>
        <v/>
      </c>
      <c r="ET80" s="57">
        <f>IF(COUNTIFS(tblPlant[Date],$A80,tblPlant[Mill_Run_h],"&lt;&gt;")+COUNTIFS(tblPlant[Date],$A80,tblPlant[Mill_Planned_Maint_h],"&lt;&gt;")+COUNTIFS(tblPlant[Date],$A80,tblPlant[Mill_Unplanned_Down_h],"&lt;&gt;")&gt;0,cfg_HoursPerDay,0)</f>
        <v/>
      </c>
      <c r="EU80" s="57">
        <f>IF($B80=$B79,$EU79,0)+$ET80</f>
        <v/>
      </c>
      <c r="EV80" s="57">
        <f>$EV79+$ET80</f>
        <v/>
      </c>
      <c r="EW80" s="57">
        <f>SUMIFS(tblPlant[Crusher_Run_h],tblPlant[Date],$A80)</f>
        <v/>
      </c>
      <c r="EX80" s="57">
        <f>IF($B80=$B79,$EX79,0)+$EW80</f>
        <v/>
      </c>
      <c r="EY80" s="57">
        <f>$EY79+$EW80</f>
        <v/>
      </c>
      <c r="EZ80" s="55">
        <f>IFERROR(IF(($EK80)&gt;0,($DP80)/($EK80),""),"")</f>
        <v/>
      </c>
      <c r="FA80" s="55">
        <f>IFERROR(IF(($EL80)&gt;0,($DQ80)/($EL80),""),"")</f>
        <v/>
      </c>
      <c r="FB80" s="55">
        <f>IFERROR(IF(($EM80)&gt;0,($DR80)/($EM80),""),"")</f>
        <v/>
      </c>
      <c r="FC80" s="67">
        <f>IFERROR(IF(($ET80)&gt;0,($ET80-$EN80-$EQ80)/($ET80),""),"")</f>
        <v/>
      </c>
      <c r="FD80" s="67">
        <f>IFERROR(IF(($EU80)&gt;0,($EU80-$EO80-$ER80)/($EU80),""),"")</f>
        <v/>
      </c>
      <c r="FE80" s="67">
        <f>IFERROR(IF(($EV80)&gt;0,($EV80-$EP80-$ES80)/($EV80),""),"")</f>
        <v/>
      </c>
      <c r="FF80" s="67">
        <f>IFERROR(IF(($ET80-$EN80-$EQ80)&gt;0,($EK80)/($ET80-$EN80-$EQ80),""),"")</f>
        <v/>
      </c>
      <c r="FG80" s="67">
        <f>IFERROR(IF(($EU80-$EO80-$ER80)&gt;0,($EL80)/($EU80-$EO80-$ER80),""),"")</f>
        <v/>
      </c>
      <c r="FH80" s="67">
        <f>IFERROR(IF(($EV80-$EP80-$ES80)&gt;0,($EM80)/($EV80-$EP80-$ES80),""),"")</f>
        <v/>
      </c>
      <c r="FI80" s="55">
        <f>SUMIFS(tblPlant[Cyanide_kg],tblPlant[Date],$A80)</f>
        <v/>
      </c>
      <c r="FJ80" s="55">
        <f>IF($B80=$B79,$FJ79,0)+$FI80</f>
        <v/>
      </c>
      <c r="FK80" s="55">
        <f>$FK79+$FI80</f>
        <v/>
      </c>
      <c r="FL80" s="55">
        <f>SUMIFS(tblPlant[Lime_kg],tblPlant[Date],$A80)</f>
        <v/>
      </c>
      <c r="FM80" s="55">
        <f>IF($B80=$B79,$FM79,0)+$FL80</f>
        <v/>
      </c>
      <c r="FN80" s="55">
        <f>$FN79+$FL80</f>
        <v/>
      </c>
      <c r="FO80" s="55">
        <f>SUMIFS(tblPlant[Grinding_Media_kg],tblPlant[Date],$A80)</f>
        <v/>
      </c>
      <c r="FP80" s="55">
        <f>IF($B80=$B79,$FP79,0)+$FO80</f>
        <v/>
      </c>
      <c r="FQ80" s="55">
        <f>$FQ79+$FO80</f>
        <v/>
      </c>
      <c r="FR80" s="55">
        <f>SUMIFS(tblPlant[Power_kWh],tblPlant[Date],$A80)</f>
        <v/>
      </c>
      <c r="FS80" s="55">
        <f>IF($B80=$B79,$FS79,0)+$FR80</f>
        <v/>
      </c>
      <c r="FT80" s="55">
        <f>$FT79+$FR80</f>
        <v/>
      </c>
      <c r="FU80" s="55">
        <f>SUMIFS(tblPlant[Raw_Water_m3],tblPlant[Date],$A80)</f>
        <v/>
      </c>
      <c r="FV80" s="55">
        <f>IF($B80=$B79,$FV79,0)+$FU80</f>
        <v/>
      </c>
      <c r="FW80" s="55">
        <f>$FW79+$FU80</f>
        <v/>
      </c>
      <c r="FX80" s="56">
        <f>IFERROR(IF(($CU80)&gt;0,($FI80)/($CU80),""),"")</f>
        <v/>
      </c>
      <c r="FY80" s="56">
        <f>IFERROR(IF(($CV80)&gt;0,($FJ80)/($CV80),""),"")</f>
        <v/>
      </c>
      <c r="FZ80" s="56">
        <f>IFERROR(IF(($CW80)&gt;0,($FK80)/($CW80),""),"")</f>
        <v/>
      </c>
      <c r="GA80" s="56">
        <f>IFERROR(IF(($CU80)&gt;0,($FL80)/($CU80),""),"")</f>
        <v/>
      </c>
      <c r="GB80" s="56">
        <f>IFERROR(IF(($CV80)&gt;0,($FM80)/($CV80),""),"")</f>
        <v/>
      </c>
      <c r="GC80" s="56">
        <f>IFERROR(IF(($CW80)&gt;0,($FN80)/($CW80),""),"")</f>
        <v/>
      </c>
      <c r="GD80" s="56">
        <f>IFERROR(IF(($CU80)&gt;0,($FO80)/($CU80),""),"")</f>
        <v/>
      </c>
      <c r="GE80" s="56">
        <f>IFERROR(IF(($CV80)&gt;0,($FP80)/($CV80),""),"")</f>
        <v/>
      </c>
      <c r="GF80" s="56">
        <f>IFERROR(IF(($CW80)&gt;0,($FQ80)/($CW80),""),"")</f>
        <v/>
      </c>
      <c r="GG80" s="79">
        <f>IFERROR(IF(($CU80)&gt;0,($FR80)/($CU80),""),"")</f>
        <v/>
      </c>
      <c r="GH80" s="79">
        <f>IFERROR(IF(($CV80)&gt;0,($FS80)/($CV80),""),"")</f>
        <v/>
      </c>
      <c r="GI80" s="79">
        <f>IFERROR(IF(($CW80)&gt;0,($FT80)/($CW80),""),"")</f>
        <v/>
      </c>
      <c r="GJ80" s="56">
        <f>IFERROR(IF(($CU80)&gt;0,($FU80)/($CU80),""),"")</f>
        <v/>
      </c>
      <c r="GK80" s="56">
        <f>IFERROR(IF(($CV80)&gt;0,($FV80)/($CV80),""),"")</f>
        <v/>
      </c>
      <c r="GL80" s="56">
        <f>IFERROR(IF(($CW80)&gt;0,($FW80)/($CW80),""),"")</f>
        <v/>
      </c>
      <c r="GM80" s="55">
        <f>IF(SUMIFS(tblPlant[GIC_oz],tblPlant[Date],$A80)&gt;0,SUMIFS(tblPlant[GIC_oz],tblPlant[Date],$A80),"")</f>
        <v/>
      </c>
      <c r="GN80" s="55">
        <f>SUMIFS(tblGold[Gold_oz],tblGold[Date],$A80,tblGold[Type],"Shipment")</f>
        <v/>
      </c>
      <c r="GO80" s="55">
        <f>IF($B80=$B79,$GO79,0)+$GN80</f>
        <v/>
      </c>
      <c r="GP80" s="55">
        <f>$GP79+$GN80</f>
        <v/>
      </c>
      <c r="GQ80" s="55">
        <f>SUMIFS(tblGold[Gold_oz],tblGold[Date],$A80,tblGold[Type],"Sale")</f>
        <v/>
      </c>
      <c r="GR80" s="55">
        <f>IF($B80=$B79,$GR79,0)+$GQ80</f>
        <v/>
      </c>
      <c r="GS80" s="55">
        <f>$GS79+$GQ80</f>
        <v/>
      </c>
      <c r="GT80" s="55">
        <f>SUMIFS(tblGold[Dore_kg],tblGold[Date],$A80,tblGold[Type],"Shipment")</f>
        <v/>
      </c>
      <c r="GU80" s="55">
        <f>IF($B80=$B79,$GU79,0)+$GT80</f>
        <v/>
      </c>
      <c r="GV80" s="55">
        <f>$GV79+$GT80</f>
        <v/>
      </c>
      <c r="GW80" s="57">
        <f>SUMIFS(tblSafety[Hours_Total],tblSafety[Date],$A80)</f>
        <v/>
      </c>
      <c r="GX80" s="57">
        <f>IF($B80=$B79,$GX79,0)+$GW80</f>
        <v/>
      </c>
      <c r="GY80" s="57">
        <f>$GY79+$GW80</f>
        <v/>
      </c>
      <c r="GZ80" s="62">
        <f>SUMIFS(tblSafety[Fatality],tblSafety[Date],$A80)</f>
        <v/>
      </c>
      <c r="HA80" s="62">
        <f>IF($B80=$B79,$HA79,0)+$GZ80</f>
        <v/>
      </c>
      <c r="HB80" s="62">
        <f>$HB79+$GZ80</f>
        <v/>
      </c>
      <c r="HC80" s="62">
        <f>SUMIFS(tblSafety[LTI],tblSafety[Date],$A80)</f>
        <v/>
      </c>
      <c r="HD80" s="62">
        <f>IF($B80=$B79,$HD79,0)+$HC80</f>
        <v/>
      </c>
      <c r="HE80" s="62">
        <f>$HE79+$HC80</f>
        <v/>
      </c>
      <c r="HF80" s="62">
        <f>SUMIFS(tblSafety[RWI],tblSafety[Date],$A80)</f>
        <v/>
      </c>
      <c r="HG80" s="62">
        <f>IF($B80=$B79,$HG79,0)+$HF80</f>
        <v/>
      </c>
      <c r="HH80" s="62">
        <f>$HH79+$HF80</f>
        <v/>
      </c>
      <c r="HI80" s="62">
        <f>SUMIFS(tblSafety[MTI],tblSafety[Date],$A80)</f>
        <v/>
      </c>
      <c r="HJ80" s="62">
        <f>IF($B80=$B79,$HJ79,0)+$HI80</f>
        <v/>
      </c>
      <c r="HK80" s="62">
        <f>$HK79+$HI80</f>
        <v/>
      </c>
      <c r="HL80" s="62">
        <f>SUMIFS(tblSafety[FAI],tblSafety[Date],$A80)</f>
        <v/>
      </c>
      <c r="HM80" s="62">
        <f>IF($B80=$B79,$HM79,0)+$HL80</f>
        <v/>
      </c>
      <c r="HN80" s="62">
        <f>$HN79+$HL80</f>
        <v/>
      </c>
      <c r="HO80" s="62">
        <f>SUMIFS(tblSafety[Recordables],tblSafety[Date],$A80)</f>
        <v/>
      </c>
      <c r="HP80" s="62">
        <f>IF($B80=$B79,$HP79,0)+$HO80</f>
        <v/>
      </c>
      <c r="HQ80" s="62">
        <f>$HQ79+$HO80</f>
        <v/>
      </c>
      <c r="HR80" s="62">
        <f>SUMIFS(tblSafety[Near_Miss],tblSafety[Date],$A80)</f>
        <v/>
      </c>
      <c r="HS80" s="62">
        <f>IF($B80=$B79,$HS79,0)+$HR80</f>
        <v/>
      </c>
      <c r="HT80" s="62">
        <f>$HT79+$HR80</f>
        <v/>
      </c>
      <c r="HU80" s="62">
        <f>SUMIFS(tblSafety[Hazard_Reports],tblSafety[Date],$A80)</f>
        <v/>
      </c>
      <c r="HV80" s="62">
        <f>IF($B80=$B79,$HV79,0)+$HU80</f>
        <v/>
      </c>
      <c r="HW80" s="62">
        <f>$HW79+$HU80</f>
        <v/>
      </c>
      <c r="HX80" s="62">
        <f>SUMIFS(tblSafety[HPI],tblSafety[Date],$A80)</f>
        <v/>
      </c>
      <c r="HY80" s="62">
        <f>IF($B80=$B79,$HY79,0)+$HX80</f>
        <v/>
      </c>
      <c r="HZ80" s="62">
        <f>$HZ79+$HX80</f>
        <v/>
      </c>
      <c r="IA80" s="62">
        <f>SUMIFS(tblSafety[Env_Incidents],tblSafety[Date],$A80)</f>
        <v/>
      </c>
      <c r="IB80" s="62">
        <f>IF($B80=$B79,$IB79,0)+$IA80</f>
        <v/>
      </c>
      <c r="IC80" s="62">
        <f>$IC79+$IA80</f>
        <v/>
      </c>
      <c r="ID80" s="62">
        <f>SUMIFS(tblSafety[Community_Incidents],tblSafety[Date],$A80)</f>
        <v/>
      </c>
      <c r="IE80" s="62">
        <f>IF($B80=$B79,$IE79,0)+$ID80</f>
        <v/>
      </c>
      <c r="IF80" s="62">
        <f>$IF79+$ID80</f>
        <v/>
      </c>
      <c r="IG80" s="62">
        <f>SUMIFS(tblSafety[Vehicle_Incidents],tblSafety[Date],$A80)</f>
        <v/>
      </c>
      <c r="IH80" s="62">
        <f>IF($B80=$B79,$IH79,0)+$IG80</f>
        <v/>
      </c>
      <c r="II80" s="62">
        <f>$II79+$IG80</f>
        <v/>
      </c>
      <c r="IJ80" s="62">
        <f>SUMIFS(tblSafety[Toolbox_Talks],tblSafety[Date],$A80)</f>
        <v/>
      </c>
      <c r="IK80" s="62">
        <f>IF($B80=$B79,$IK79,0)+$IJ80</f>
        <v/>
      </c>
      <c r="IL80" s="62">
        <f>$IL79+$IJ80</f>
        <v/>
      </c>
      <c r="IM80" s="62">
        <f>SUMIFS(tblSafety[Inspections],tblSafety[Date],$A80)</f>
        <v/>
      </c>
      <c r="IN80" s="62">
        <f>IF($B80=$B79,$IN79,0)+$IM80</f>
        <v/>
      </c>
      <c r="IO80" s="62">
        <f>$IO79+$IM80</f>
        <v/>
      </c>
      <c r="IP80" s="56">
        <f>IFERROR((SUMIFS(tblSafety[Recordables],tblSafety[Date],"&gt;="&amp;EDATE($E80,-12),tblSafety[Date],"&lt;="&amp;$A80)+SUMIFS(tblSafetyHistory[Recordables],tblSafetyHistory[Month],"&gt;="&amp;EDATE($E80,-12),tblSafetyHistory[Month],"&lt;"&amp;$E80,tblSafetyHistory[Use],1))/(SUMIFS(tblSafety[Hours_Total],tblSafety[Date],"&gt;="&amp;EDATE($E80,-12),tblSafety[Date],"&lt;="&amp;$A80)+SUMIFS(tblSafetyHistory[Hours_Total],tblSafetyHistory[Month],"&gt;="&amp;EDATE($E80,-12),tblSafetyHistory[Month],"&lt;"&amp;$E80,tblSafetyHistory[Use],1))*cfg_RateBasisHours,"")</f>
        <v/>
      </c>
      <c r="IQ80" s="56">
        <f>IFERROR((SUMIFS(tblSafety[LTI],tblSafety[Date],"&gt;="&amp;EDATE($E80,-12),tblSafety[Date],"&lt;="&amp;$A80)+SUMIFS(tblSafetyHistory[LTI],tblSafetyHistory[Month],"&gt;="&amp;EDATE($E80,-12),tblSafetyHistory[Month],"&lt;"&amp;$E80,tblSafetyHistory[Use],1))/(SUMIFS(tblSafety[Hours_Total],tblSafety[Date],"&gt;="&amp;EDATE($E80,-12),tblSafety[Date],"&lt;="&amp;$A80)+SUMIFS(tblSafetyHistory[Hours_Total],tblSafetyHistory[Month],"&gt;="&amp;EDATE($E80,-12),tblSafetyHistory[Month],"&lt;"&amp;$E80,tblSafetyHistory[Use],1))*cfg_RateBasisHours,"")</f>
        <v/>
      </c>
      <c r="IR80" s="62">
        <f>IF(MAX(N(cfg_PriorLTIDate),_xlfn.MAXIFS(tblSafety[Date],tblSafety[LTI],"&gt;0",tblSafety[Date],"&lt;="&amp;$A80))=0,"",$A80-MAX(N(cfg_PriorLTIDate),_xlfn.MAXIFS(tblSafety[Date],tblSafety[LTI],"&gt;0",tblSafety[Date],"&lt;="&amp;$A80)))</f>
        <v/>
      </c>
      <c r="IS80" s="55">
        <f>SUMIFS(tblBudget[Ore_Mined_t],tblBudget[Month],$E80)</f>
        <v/>
      </c>
      <c r="IT80" s="55">
        <f>$IS80*$C80/$D80</f>
        <v/>
      </c>
      <c r="IU80" s="55">
        <f>SUMIFS(tblBudget[Ore_Mined_t],tblBudget[Month],"&lt;"&amp;$E80)+$IT80</f>
        <v/>
      </c>
      <c r="IV80" s="55">
        <f>SUMIFS(tblBudget[Ore_oz],tblBudget[Month],$E80)</f>
        <v/>
      </c>
      <c r="IW80" s="55">
        <f>$IV80*$C80/$D80</f>
        <v/>
      </c>
      <c r="IX80" s="55">
        <f>SUMIFS(tblBudget[Ore_oz],tblBudget[Month],"&lt;"&amp;$E80)+$IW80</f>
        <v/>
      </c>
      <c r="IY80" s="55">
        <f>SUMIFS(tblBudget[Ore_Mined_t],tblBudget[Month],$E80)</f>
        <v/>
      </c>
      <c r="IZ80" s="55">
        <f>$IY80*$C80/$D80</f>
        <v/>
      </c>
      <c r="JA80" s="55">
        <f>SUMIFS(tblBudget[Ore_Mined_t],tblBudget[Month],"&lt;"&amp;$E80)+$IZ80</f>
        <v/>
      </c>
      <c r="JB80" s="56">
        <f>IFERROR(IF(($IY80)&gt;0,($IV80*cfg_TroyOz)/($IY80),""),"")</f>
        <v/>
      </c>
      <c r="JC80" s="56">
        <f>IFERROR(IF(($IZ80)&gt;0,($IW80*cfg_TroyOz)/($IZ80),""),"")</f>
        <v/>
      </c>
      <c r="JD80" s="56">
        <f>IFERROR(IF(($JA80)&gt;0,($IX80*cfg_TroyOz)/($JA80),""),"")</f>
        <v/>
      </c>
      <c r="JE80" s="55">
        <f>SUMIFS(tblBudget[Waste_t],tblBudget[Month],$E80)</f>
        <v/>
      </c>
      <c r="JF80" s="55">
        <f>$JE80*$C80/$D80</f>
        <v/>
      </c>
      <c r="JG80" s="55">
        <f>SUMIFS(tblBudget[Waste_t],tblBudget[Month],"&lt;"&amp;$E80)+$JF80</f>
        <v/>
      </c>
      <c r="JH80" s="55">
        <f>SUMIFS(tblBudget[TMM_t],tblBudget[Month],$E80)</f>
        <v/>
      </c>
      <c r="JI80" s="55">
        <f>$JH80*$C80/$D80</f>
        <v/>
      </c>
      <c r="JJ80" s="55">
        <f>SUMIFS(tblBudget[TMM_t],tblBudget[Month],"&lt;"&amp;$E80)+$JI80</f>
        <v/>
      </c>
      <c r="JK80" s="56">
        <f>IFERROR(IF(($IS80)&gt;0,($JE80)/($IS80),""),"")</f>
        <v/>
      </c>
      <c r="JL80" s="56">
        <f>IFERROR(IF(($IT80)&gt;0,($JF80)/($IT80),""),"")</f>
        <v/>
      </c>
      <c r="JM80" s="56">
        <f>IFERROR(IF(($IU80)&gt;0,($JG80)/($IU80),""),"")</f>
        <v/>
      </c>
      <c r="JN80" s="55">
        <f>SUMIFS(tblBudget[Drill_m],tblBudget[Month],$E80)</f>
        <v/>
      </c>
      <c r="JO80" s="55">
        <f>$JN80*$C80/$D80</f>
        <v/>
      </c>
      <c r="JP80" s="55">
        <f>SUMIFS(tblBudget[Drill_m],tblBudget[Month],"&lt;"&amp;$E80)+$JO80</f>
        <v/>
      </c>
      <c r="JQ80" s="55">
        <f>SUMIFS(tblBudget[Diesel_L],tblBudget[Month],$E80)</f>
        <v/>
      </c>
      <c r="JR80" s="55">
        <f>$JQ80*$C80/$D80</f>
        <v/>
      </c>
      <c r="JS80" s="55">
        <f>SUMIFS(tblBudget[Diesel_L],tblBudget[Month],"&lt;"&amp;$E80)+$JR80</f>
        <v/>
      </c>
      <c r="JT80" s="55">
        <f>SUMIFS(tblBudget[Milled_t],tblBudget[Month],$E80)</f>
        <v/>
      </c>
      <c r="JU80" s="55">
        <f>$JT80*$C80/$D80</f>
        <v/>
      </c>
      <c r="JV80" s="55">
        <f>SUMIFS(tblBudget[Milled_t],tblBudget[Month],"&lt;"&amp;$E80)+$JU80</f>
        <v/>
      </c>
      <c r="JW80" s="55">
        <f>SUMIFS(tblBudget[Feed_oz],tblBudget[Month],$E80)</f>
        <v/>
      </c>
      <c r="JX80" s="55">
        <f>$JW80*$C80/$D80</f>
        <v/>
      </c>
      <c r="JY80" s="55">
        <f>SUMIFS(tblBudget[Feed_oz],tblBudget[Month],"&lt;"&amp;$E80)+$JX80</f>
        <v/>
      </c>
      <c r="JZ80" s="55">
        <f>SUMIFS(tblBudget[Recovered_oz],tblBudget[Month],$E80)</f>
        <v/>
      </c>
      <c r="KA80" s="55">
        <f>$JZ80*$C80/$D80</f>
        <v/>
      </c>
      <c r="KB80" s="55">
        <f>SUMIFS(tblBudget[Recovered_oz],tblBudget[Month],"&lt;"&amp;$E80)+$KA80</f>
        <v/>
      </c>
      <c r="KC80" s="55">
        <f>SUMIFS(tblBudget[Milled_t],tblBudget[Month],$E80)</f>
        <v/>
      </c>
      <c r="KD80" s="55">
        <f>$KC80*$C80/$D80</f>
        <v/>
      </c>
      <c r="KE80" s="55">
        <f>SUMIFS(tblBudget[Milled_t],tblBudget[Month],"&lt;"&amp;$E80)+$KD80</f>
        <v/>
      </c>
      <c r="KF80" s="55">
        <f>SUMIFS(tblBudget[Feed_oz],tblBudget[Month],$E80)</f>
        <v/>
      </c>
      <c r="KG80" s="55">
        <f>$KF80*$C80/$D80</f>
        <v/>
      </c>
      <c r="KH80" s="55">
        <f>SUMIFS(tblBudget[Feed_oz],tblBudget[Month],"&lt;"&amp;$E80)+$KG80</f>
        <v/>
      </c>
      <c r="KI80" s="56">
        <f>IFERROR(IF(($KC80)&gt;0,($JW80*cfg_TroyOz)/($KC80),""),"")</f>
        <v/>
      </c>
      <c r="KJ80" s="56">
        <f>IFERROR(IF(($KD80)&gt;0,($JX80*cfg_TroyOz)/($KD80),""),"")</f>
        <v/>
      </c>
      <c r="KK80" s="56">
        <f>IFERROR(IF(($KE80)&gt;0,($JY80*cfg_TroyOz)/($KE80),""),"")</f>
        <v/>
      </c>
      <c r="KL80" s="67">
        <f>IFERROR(IF(($KF80)&gt;0,($JZ80)/($KF80),""),"")</f>
        <v/>
      </c>
      <c r="KM80" s="67">
        <f>IFERROR(IF(($KG80)&gt;0,($KA80)/($KG80),""),"")</f>
        <v/>
      </c>
      <c r="KN80" s="67">
        <f>IFERROR(IF(($KH80)&gt;0,($KB80)/($KH80),""),"")</f>
        <v/>
      </c>
      <c r="KO80" s="55">
        <f>SUMIFS(tblBudget[Gold_Poured_oz],tblBudget[Month],$E80)</f>
        <v/>
      </c>
      <c r="KP80" s="55">
        <f>$KO80*$C80/$D80</f>
        <v/>
      </c>
      <c r="KQ80" s="55">
        <f>SUMIFS(tblBudget[Gold_Poured_oz],tblBudget[Month],"&lt;"&amp;$E80)+$KP80</f>
        <v/>
      </c>
      <c r="KR80" s="57">
        <f>SUMIFS(tblBudget[Hours_Worked],tblBudget[Month],$E80)</f>
        <v/>
      </c>
      <c r="KS80" s="57">
        <f>$KR80*$C80/$D80</f>
        <v/>
      </c>
      <c r="KT80" s="57">
        <f>SUMIFS(tblBudget[Hours_Worked],tblBudget[Month],"&lt;"&amp;$E80)+$KS80</f>
        <v/>
      </c>
    </row>
    <row r="81">
      <c r="A81" s="54" t="n">
        <v>46102</v>
      </c>
      <c r="B81">
        <f>MONTH($A81)</f>
        <v/>
      </c>
      <c r="C81">
        <f>DAY($A81)</f>
        <v/>
      </c>
      <c r="D81">
        <f>DAY(EOMONTH($A81,0))</f>
        <v/>
      </c>
      <c r="E81" s="54">
        <f>DATE(YEAR($A81),MONTH($A81),1)</f>
        <v/>
      </c>
      <c r="F81" s="55">
        <f>SUMIFS(tblMovement[Tonnes_t],tblMovement[Date],$A81,tblMovement[Is_Ore],1,tblMovement[Source_Type],"Pit")</f>
        <v/>
      </c>
      <c r="G81" s="55">
        <f>IF($B81=$B80,$G80,0)+$F81</f>
        <v/>
      </c>
      <c r="H81" s="55">
        <f>$H80+$F81</f>
        <v/>
      </c>
      <c r="I81" s="55">
        <f>SUMIFS(tblMovement[Ore_oz],tblMovement[Date],$A81,tblMovement[Source_Type],"Pit")</f>
        <v/>
      </c>
      <c r="J81" s="55">
        <f>IF($B81=$B80,$J80,0)+$I81</f>
        <v/>
      </c>
      <c r="K81" s="55">
        <f>$K80+$I81</f>
        <v/>
      </c>
      <c r="L81" s="55">
        <f>SUMIFS(tblMovement[Tonnes_t],tblMovement[Date],$A81,tblMovement[Is_Ore],1,tblMovement[Source_Type],"Pit",tblMovement[Grade_gpt],"&lt;&gt;")</f>
        <v/>
      </c>
      <c r="M81" s="55">
        <f>IF($B81=$B80,$M80,0)+$L81</f>
        <v/>
      </c>
      <c r="N81" s="55">
        <f>$N80+$L81</f>
        <v/>
      </c>
      <c r="O81" s="56">
        <f>IFERROR(IF(($L81)&gt;0,($I81*cfg_TroyOz)/($L81),""),"")</f>
        <v/>
      </c>
      <c r="P81" s="56">
        <f>IFERROR(IF(($M81)&gt;0,($J81*cfg_TroyOz)/($M81),""),"")</f>
        <v/>
      </c>
      <c r="Q81" s="56">
        <f>IFERROR(IF(($N81)&gt;0,($K81*cfg_TroyOz)/($N81),""),"")</f>
        <v/>
      </c>
      <c r="R81" s="55">
        <f>$F81-$L81</f>
        <v/>
      </c>
      <c r="S81" s="55">
        <f>IF($B81=$B80,$S80,0)+$R81</f>
        <v/>
      </c>
      <c r="T81" s="55">
        <f>$T80+$R81</f>
        <v/>
      </c>
      <c r="U81" s="55">
        <f>SUMIFS(tblMovement[Tonnes_t],tblMovement[Date],$A81,tblMovement[Is_Ore],0,tblMovement[Source_Type],"Pit")</f>
        <v/>
      </c>
      <c r="V81" s="55">
        <f>IF($B81=$B80,$V80,0)+$U81</f>
        <v/>
      </c>
      <c r="W81" s="55">
        <f>$W80+$U81</f>
        <v/>
      </c>
      <c r="X81" s="55">
        <f>$F81+$U81</f>
        <v/>
      </c>
      <c r="Y81" s="55">
        <f>IF($B81=$B80,$Y80,0)+$X81</f>
        <v/>
      </c>
      <c r="Z81" s="55">
        <f>$Z80+$X81</f>
        <v/>
      </c>
      <c r="AA81" s="56">
        <f>IFERROR(IF(($F81)&gt;0,($U81)/($F81),""),"")</f>
        <v/>
      </c>
      <c r="AB81" s="56">
        <f>IFERROR(IF(($G81)&gt;0,($V81)/($G81),""),"")</f>
        <v/>
      </c>
      <c r="AC81" s="56">
        <f>IFERROR(IF(($H81)&gt;0,($W81)/($H81),""),"")</f>
        <v/>
      </c>
      <c r="AD81" s="55">
        <f>SUMIFS(tblMovement[Tonnes_t],tblMovement[Date],$A81,tblMovement[Source_Type],"Stockpile")</f>
        <v/>
      </c>
      <c r="AE81" s="55">
        <f>IF($B81=$B80,$AE80,0)+$AD81</f>
        <v/>
      </c>
      <c r="AF81" s="55">
        <f>$AF80+$AD81</f>
        <v/>
      </c>
      <c r="AG81" s="55">
        <f>SUMIFS(tblMovement[Tonnes_t],tblMovement[Date],$A81)</f>
        <v/>
      </c>
      <c r="AH81" s="55">
        <f>IF($B81=$B80,$AH80,0)+$AG81</f>
        <v/>
      </c>
      <c r="AI81" s="55">
        <f>$AI80+$AG81</f>
        <v/>
      </c>
      <c r="AJ81" s="55">
        <f>$AG81-$X81-$AD81</f>
        <v/>
      </c>
      <c r="AK81" s="55">
        <f>IF($B81=$B80,$AK80,0)+$AJ81</f>
        <v/>
      </c>
      <c r="AL81" s="55">
        <f>$AL80+$AJ81</f>
        <v/>
      </c>
      <c r="AM81" s="55">
        <f>SUMIFS(tblMiningDaily[Drill_m],tblMiningDaily[Date],$A81)</f>
        <v/>
      </c>
      <c r="AN81" s="55">
        <f>IF($B81=$B80,$AN80,0)+$AM81</f>
        <v/>
      </c>
      <c r="AO81" s="55">
        <f>$AO80+$AM81</f>
        <v/>
      </c>
      <c r="AP81" s="55">
        <f>SUMIFS(tblMiningDaily[GC_Drill_m],tblMiningDaily[Date],$A81)</f>
        <v/>
      </c>
      <c r="AQ81" s="55">
        <f>IF($B81=$B80,$AQ80,0)+$AP81</f>
        <v/>
      </c>
      <c r="AR81" s="55">
        <f>$AR80+$AP81</f>
        <v/>
      </c>
      <c r="AS81" s="55">
        <f>SUMIFS(tblMiningDaily[Blast_t],tblMiningDaily[Date],$A81)</f>
        <v/>
      </c>
      <c r="AT81" s="55">
        <f>IF($B81=$B80,$AT80,0)+$AS81</f>
        <v/>
      </c>
      <c r="AU81" s="55">
        <f>$AU80+$AS81</f>
        <v/>
      </c>
      <c r="AV81" s="55">
        <f>SUMIFS(tblMiningDaily[Explosives_kg],tblMiningDaily[Date],$A81)</f>
        <v/>
      </c>
      <c r="AW81" s="55">
        <f>IF($B81=$B80,$AW80,0)+$AV81</f>
        <v/>
      </c>
      <c r="AX81" s="55">
        <f>$AX80+$AV81</f>
        <v/>
      </c>
      <c r="AY81" s="56">
        <f>IFERROR(IF(($AS81)&gt;0,($AV81)/($AS81),""),"")</f>
        <v/>
      </c>
      <c r="AZ81" s="56">
        <f>IFERROR(IF(($AT81)&gt;0,($AW81)/($AT81),""),"")</f>
        <v/>
      </c>
      <c r="BA81" s="56">
        <f>IFERROR(IF(($AU81)&gt;0,($AX81)/($AU81),""),"")</f>
        <v/>
      </c>
      <c r="BB81" s="55">
        <f>SUMIFS(tblMiningDaily[Diesel_L],tblMiningDaily[Date],$A81)</f>
        <v/>
      </c>
      <c r="BC81" s="55">
        <f>IF($B81=$B80,$BC80,0)+$BB81</f>
        <v/>
      </c>
      <c r="BD81" s="55">
        <f>$BD80+$BB81</f>
        <v/>
      </c>
      <c r="BE81" s="55">
        <f>SUMIFS(tblMiningDaily[Dewatering_m3],tblMiningDaily[Date],$A81)</f>
        <v/>
      </c>
      <c r="BF81" s="55">
        <f>IF($B81=$B80,$BF80,0)+$BE81</f>
        <v/>
      </c>
      <c r="BG81" s="55">
        <f>$BG80+$BE81</f>
        <v/>
      </c>
      <c r="BH81" s="57">
        <f>SUMIFS(tblFleet[Calendar_h],tblFleet[Date],$A81,tblFleet[Equipment_Class],"Excavator")</f>
        <v/>
      </c>
      <c r="BI81" s="57">
        <f>IF($B81=$B80,$BI80,0)+$BH81</f>
        <v/>
      </c>
      <c r="BJ81" s="57">
        <f>$BJ80+$BH81</f>
        <v/>
      </c>
      <c r="BK81" s="57">
        <f>SUMIFS(tblFleet[Available_h],tblFleet[Date],$A81,tblFleet[Equipment_Class],"Excavator")</f>
        <v/>
      </c>
      <c r="BL81" s="57">
        <f>IF($B81=$B80,$BL80,0)+$BK81</f>
        <v/>
      </c>
      <c r="BM81" s="57">
        <f>$BM80+$BK81</f>
        <v/>
      </c>
      <c r="BN81" s="57">
        <f>SUMIFS(tblFleet[Operating_h],tblFleet[Date],$A81,tblFleet[Equipment_Class],"Excavator")</f>
        <v/>
      </c>
      <c r="BO81" s="57">
        <f>IF($B81=$B80,$BO80,0)+$BN81</f>
        <v/>
      </c>
      <c r="BP81" s="57">
        <f>$BP80+$BN81</f>
        <v/>
      </c>
      <c r="BQ81" s="67">
        <f>IFERROR(IF(($BH81)&gt;0,($BK81)/($BH81),""),"")</f>
        <v/>
      </c>
      <c r="BR81" s="67">
        <f>IFERROR(IF(($BI81)&gt;0,($BL81)/($BI81),""),"")</f>
        <v/>
      </c>
      <c r="BS81" s="67">
        <f>IFERROR(IF(($BJ81)&gt;0,($BM81)/($BJ81),""),"")</f>
        <v/>
      </c>
      <c r="BT81" s="67">
        <f>IFERROR(IF(($BK81)&gt;0,($BN81)/($BK81),""),"")</f>
        <v/>
      </c>
      <c r="BU81" s="67">
        <f>IFERROR(IF(($BL81)&gt;0,($BO81)/($BL81),""),"")</f>
        <v/>
      </c>
      <c r="BV81" s="67">
        <f>IFERROR(IF(($BM81)&gt;0,($BP81)/($BM81),""),"")</f>
        <v/>
      </c>
      <c r="BW81" s="57">
        <f>SUMIFS(tblFleet[Calendar_h],tblFleet[Date],$A81,tblFleet[Equipment_Class],"Haul Truck")</f>
        <v/>
      </c>
      <c r="BX81" s="57">
        <f>IF($B81=$B80,$BX80,0)+$BW81</f>
        <v/>
      </c>
      <c r="BY81" s="57">
        <f>$BY80+$BW81</f>
        <v/>
      </c>
      <c r="BZ81" s="57">
        <f>SUMIFS(tblFleet[Available_h],tblFleet[Date],$A81,tblFleet[Equipment_Class],"Haul Truck")</f>
        <v/>
      </c>
      <c r="CA81" s="57">
        <f>IF($B81=$B80,$CA80,0)+$BZ81</f>
        <v/>
      </c>
      <c r="CB81" s="57">
        <f>$CB80+$BZ81</f>
        <v/>
      </c>
      <c r="CC81" s="57">
        <f>SUMIFS(tblFleet[Operating_h],tblFleet[Date],$A81,tblFleet[Equipment_Class],"Haul Truck")</f>
        <v/>
      </c>
      <c r="CD81" s="57">
        <f>IF($B81=$B80,$CD80,0)+$CC81</f>
        <v/>
      </c>
      <c r="CE81" s="57">
        <f>$CE80+$CC81</f>
        <v/>
      </c>
      <c r="CF81" s="67">
        <f>IFERROR(IF(($BW81)&gt;0,($BZ81)/($BW81),""),"")</f>
        <v/>
      </c>
      <c r="CG81" s="67">
        <f>IFERROR(IF(($BX81)&gt;0,($CA81)/($BX81),""),"")</f>
        <v/>
      </c>
      <c r="CH81" s="67">
        <f>IFERROR(IF(($BY81)&gt;0,($CB81)/($BY81),""),"")</f>
        <v/>
      </c>
      <c r="CI81" s="67">
        <f>IFERROR(IF(($BZ81)&gt;0,($CC81)/($BZ81),""),"")</f>
        <v/>
      </c>
      <c r="CJ81" s="67">
        <f>IFERROR(IF(($CA81)&gt;0,($CD81)/($CA81),""),"")</f>
        <v/>
      </c>
      <c r="CK81" s="67">
        <f>IFERROR(IF(($CB81)&gt;0,($CE81)/($CB81),""),"")</f>
        <v/>
      </c>
      <c r="CL81" s="55">
        <f>IFERROR(IF(($BN81)&gt;0,($X81+$AD81)/($BN81),""),"")</f>
        <v/>
      </c>
      <c r="CM81" s="55">
        <f>IFERROR(IF(($BO81)&gt;0,($Y81+$AE81)/($BO81),""),"")</f>
        <v/>
      </c>
      <c r="CN81" s="55">
        <f>IFERROR(IF(($BP81)&gt;0,($Z81+$AF81)/($BP81),""),"")</f>
        <v/>
      </c>
      <c r="CO81" s="55">
        <f>IFERROR(IF(($CC81)&gt;0,($X81+$AD81)/($CC81),""),"")</f>
        <v/>
      </c>
      <c r="CP81" s="55">
        <f>IFERROR(IF(($CD81)&gt;0,($Y81+$AE81)/($CD81),""),"")</f>
        <v/>
      </c>
      <c r="CQ81" s="55">
        <f>IFERROR(IF(($CE81)&gt;0,($Z81+$AF81)/($CE81),""),"")</f>
        <v/>
      </c>
      <c r="CR81" s="55">
        <f>SUMIFS(tblPlant[Crushed_t],tblPlant[Date],$A81)</f>
        <v/>
      </c>
      <c r="CS81" s="55">
        <f>IF($B81=$B80,$CS80,0)+$CR81</f>
        <v/>
      </c>
      <c r="CT81" s="55">
        <f>$CT80+$CR81</f>
        <v/>
      </c>
      <c r="CU81" s="55">
        <f>SUMIFS(tblPlant[Milled_t],tblPlant[Date],$A81)</f>
        <v/>
      </c>
      <c r="CV81" s="55">
        <f>IF($B81=$B80,$CV80,0)+$CU81</f>
        <v/>
      </c>
      <c r="CW81" s="55">
        <f>$CW80+$CU81</f>
        <v/>
      </c>
      <c r="CX81" s="55">
        <f>SUMIFS(tblPlant[Feed_oz],tblPlant[Date],$A81)</f>
        <v/>
      </c>
      <c r="CY81" s="55">
        <f>IF($B81=$B80,$CY80,0)+$CX81</f>
        <v/>
      </c>
      <c r="CZ81" s="55">
        <f>$CZ80+$CX81</f>
        <v/>
      </c>
      <c r="DA81" s="55">
        <f>SUMIFS(tblPlant[Tails_oz],tblPlant[Date],$A81)</f>
        <v/>
      </c>
      <c r="DB81" s="55">
        <f>IF($B81=$B80,$DB80,0)+$DA81</f>
        <v/>
      </c>
      <c r="DC81" s="55">
        <f>$DC80+$DA81</f>
        <v/>
      </c>
      <c r="DD81" s="55">
        <f>SUMIFS(tblPlant[Recovered_oz],tblPlant[Date],$A81)</f>
        <v/>
      </c>
      <c r="DE81" s="55">
        <f>IF($B81=$B80,$DE80,0)+$DD81</f>
        <v/>
      </c>
      <c r="DF81" s="55">
        <f>$DF80+$DD81</f>
        <v/>
      </c>
      <c r="DG81" s="55">
        <f>SUMIFS(tblPlant[Milled_t],tblPlant[Date],$A81,tblPlant[Head_Grade_gpt],"&lt;&gt;")</f>
        <v/>
      </c>
      <c r="DH81" s="55">
        <f>IF($B81=$B80,$DH80,0)+$DG81</f>
        <v/>
      </c>
      <c r="DI81" s="55">
        <f>$DI80+$DG81</f>
        <v/>
      </c>
      <c r="DJ81" s="55">
        <f>SUMIFS(tblPlant[Milled_t],tblPlant[Date],$A81,tblPlant[Tails_Grade_gpt],"&lt;&gt;")</f>
        <v/>
      </c>
      <c r="DK81" s="55">
        <f>IF($B81=$B80,$DK80,0)+$DJ81</f>
        <v/>
      </c>
      <c r="DL81" s="55">
        <f>$DL80+$DJ81</f>
        <v/>
      </c>
      <c r="DM81" s="55">
        <f>SUMIFS(tblPlant[Feed_oz],tblPlant[Date],$A81,tblPlant[Tails_Grade_gpt],"&lt;&gt;")</f>
        <v/>
      </c>
      <c r="DN81" s="55">
        <f>IF($B81=$B80,$DN80,0)+$DM81</f>
        <v/>
      </c>
      <c r="DO81" s="55">
        <f>$DO80+$DM81</f>
        <v/>
      </c>
      <c r="DP81" s="55">
        <f>SUMIFS(tblPlant[Milled_t],tblPlant[Date],$A81,tblPlant[Mill_Run_h],"&lt;&gt;")</f>
        <v/>
      </c>
      <c r="DQ81" s="55">
        <f>IF($B81=$B80,$DQ80,0)+$DP81</f>
        <v/>
      </c>
      <c r="DR81" s="55">
        <f>$DR80+$DP81</f>
        <v/>
      </c>
      <c r="DS81" s="56">
        <f>IFERROR(IF(($DG81)&gt;0,($CX81*cfg_TroyOz)/($DG81),""),"")</f>
        <v/>
      </c>
      <c r="DT81" s="56">
        <f>IFERROR(IF(($DH81)&gt;0,($CY81*cfg_TroyOz)/($DH81),""),"")</f>
        <v/>
      </c>
      <c r="DU81" s="56">
        <f>IFERROR(IF(($DI81)&gt;0,($CZ81*cfg_TroyOz)/($DI81),""),"")</f>
        <v/>
      </c>
      <c r="DV81" s="56">
        <f>IFERROR(IF(($DJ81)&gt;0,($DA81*cfg_TroyOz)/($DJ81),""),"")</f>
        <v/>
      </c>
      <c r="DW81" s="56">
        <f>IFERROR(IF(($DK81)&gt;0,($DB81*cfg_TroyOz)/($DK81),""),"")</f>
        <v/>
      </c>
      <c r="DX81" s="56">
        <f>IFERROR(IF(($DL81)&gt;0,($DC81*cfg_TroyOz)/($DL81),""),"")</f>
        <v/>
      </c>
      <c r="DY81" s="67">
        <f>IFERROR(IF(($DM81)&gt;0,($DD81)/($DM81),""),"")</f>
        <v/>
      </c>
      <c r="DZ81" s="67">
        <f>IFERROR(IF(($DN81)&gt;0,($DE81)/($DN81),""),"")</f>
        <v/>
      </c>
      <c r="EA81" s="67">
        <f>IFERROR(IF(($DO81)&gt;0,($DF81)/($DO81),""),"")</f>
        <v/>
      </c>
      <c r="EB81" s="55">
        <f>SUMIFS(tblPlant[Gravity_Gold_oz],tblPlant[Date],$A81)</f>
        <v/>
      </c>
      <c r="EC81" s="55">
        <f>IF($B81=$B80,$EC80,0)+$EB81</f>
        <v/>
      </c>
      <c r="ED81" s="55">
        <f>$ED80+$EB81</f>
        <v/>
      </c>
      <c r="EE81" s="67">
        <f>IFERROR(IF(($DD81)&gt;0,($EB81)/($DD81),""),"")</f>
        <v/>
      </c>
      <c r="EF81" s="67">
        <f>IFERROR(IF(($DE81)&gt;0,($EC81)/($DE81),""),"")</f>
        <v/>
      </c>
      <c r="EG81" s="67">
        <f>IFERROR(IF(($DF81)&gt;0,($ED81)/($DF81),""),"")</f>
        <v/>
      </c>
      <c r="EH81" s="55">
        <f>SUMIFS(tblPlant[Gold_Poured_oz],tblPlant[Date],$A81)</f>
        <v/>
      </c>
      <c r="EI81" s="55">
        <f>IF($B81=$B80,$EI80,0)+$EH81</f>
        <v/>
      </c>
      <c r="EJ81" s="55">
        <f>$EJ80+$EH81</f>
        <v/>
      </c>
      <c r="EK81" s="57">
        <f>SUMIFS(tblPlant[Mill_Run_h],tblPlant[Date],$A81)</f>
        <v/>
      </c>
      <c r="EL81" s="57">
        <f>IF($B81=$B80,$EL80,0)+$EK81</f>
        <v/>
      </c>
      <c r="EM81" s="57">
        <f>$EM80+$EK81</f>
        <v/>
      </c>
      <c r="EN81" s="57">
        <f>SUMIFS(tblPlant[Mill_Planned_Maint_h],tblPlant[Date],$A81)</f>
        <v/>
      </c>
      <c r="EO81" s="57">
        <f>IF($B81=$B80,$EO80,0)+$EN81</f>
        <v/>
      </c>
      <c r="EP81" s="57">
        <f>$EP80+$EN81</f>
        <v/>
      </c>
      <c r="EQ81" s="57">
        <f>SUMIFS(tblPlant[Mill_Unplanned_Down_h],tblPlant[Date],$A81)</f>
        <v/>
      </c>
      <c r="ER81" s="57">
        <f>IF($B81=$B80,$ER80,0)+$EQ81</f>
        <v/>
      </c>
      <c r="ES81" s="57">
        <f>$ES80+$EQ81</f>
        <v/>
      </c>
      <c r="ET81" s="57">
        <f>IF(COUNTIFS(tblPlant[Date],$A81,tblPlant[Mill_Run_h],"&lt;&gt;")+COUNTIFS(tblPlant[Date],$A81,tblPlant[Mill_Planned_Maint_h],"&lt;&gt;")+COUNTIFS(tblPlant[Date],$A81,tblPlant[Mill_Unplanned_Down_h],"&lt;&gt;")&gt;0,cfg_HoursPerDay,0)</f>
        <v/>
      </c>
      <c r="EU81" s="57">
        <f>IF($B81=$B80,$EU80,0)+$ET81</f>
        <v/>
      </c>
      <c r="EV81" s="57">
        <f>$EV80+$ET81</f>
        <v/>
      </c>
      <c r="EW81" s="57">
        <f>SUMIFS(tblPlant[Crusher_Run_h],tblPlant[Date],$A81)</f>
        <v/>
      </c>
      <c r="EX81" s="57">
        <f>IF($B81=$B80,$EX80,0)+$EW81</f>
        <v/>
      </c>
      <c r="EY81" s="57">
        <f>$EY80+$EW81</f>
        <v/>
      </c>
      <c r="EZ81" s="55">
        <f>IFERROR(IF(($EK81)&gt;0,($DP81)/($EK81),""),"")</f>
        <v/>
      </c>
      <c r="FA81" s="55">
        <f>IFERROR(IF(($EL81)&gt;0,($DQ81)/($EL81),""),"")</f>
        <v/>
      </c>
      <c r="FB81" s="55">
        <f>IFERROR(IF(($EM81)&gt;0,($DR81)/($EM81),""),"")</f>
        <v/>
      </c>
      <c r="FC81" s="67">
        <f>IFERROR(IF(($ET81)&gt;0,($ET81-$EN81-$EQ81)/($ET81),""),"")</f>
        <v/>
      </c>
      <c r="FD81" s="67">
        <f>IFERROR(IF(($EU81)&gt;0,($EU81-$EO81-$ER81)/($EU81),""),"")</f>
        <v/>
      </c>
      <c r="FE81" s="67">
        <f>IFERROR(IF(($EV81)&gt;0,($EV81-$EP81-$ES81)/($EV81),""),"")</f>
        <v/>
      </c>
      <c r="FF81" s="67">
        <f>IFERROR(IF(($ET81-$EN81-$EQ81)&gt;0,($EK81)/($ET81-$EN81-$EQ81),""),"")</f>
        <v/>
      </c>
      <c r="FG81" s="67">
        <f>IFERROR(IF(($EU81-$EO81-$ER81)&gt;0,($EL81)/($EU81-$EO81-$ER81),""),"")</f>
        <v/>
      </c>
      <c r="FH81" s="67">
        <f>IFERROR(IF(($EV81-$EP81-$ES81)&gt;0,($EM81)/($EV81-$EP81-$ES81),""),"")</f>
        <v/>
      </c>
      <c r="FI81" s="55">
        <f>SUMIFS(tblPlant[Cyanide_kg],tblPlant[Date],$A81)</f>
        <v/>
      </c>
      <c r="FJ81" s="55">
        <f>IF($B81=$B80,$FJ80,0)+$FI81</f>
        <v/>
      </c>
      <c r="FK81" s="55">
        <f>$FK80+$FI81</f>
        <v/>
      </c>
      <c r="FL81" s="55">
        <f>SUMIFS(tblPlant[Lime_kg],tblPlant[Date],$A81)</f>
        <v/>
      </c>
      <c r="FM81" s="55">
        <f>IF($B81=$B80,$FM80,0)+$FL81</f>
        <v/>
      </c>
      <c r="FN81" s="55">
        <f>$FN80+$FL81</f>
        <v/>
      </c>
      <c r="FO81" s="55">
        <f>SUMIFS(tblPlant[Grinding_Media_kg],tblPlant[Date],$A81)</f>
        <v/>
      </c>
      <c r="FP81" s="55">
        <f>IF($B81=$B80,$FP80,0)+$FO81</f>
        <v/>
      </c>
      <c r="FQ81" s="55">
        <f>$FQ80+$FO81</f>
        <v/>
      </c>
      <c r="FR81" s="55">
        <f>SUMIFS(tblPlant[Power_kWh],tblPlant[Date],$A81)</f>
        <v/>
      </c>
      <c r="FS81" s="55">
        <f>IF($B81=$B80,$FS80,0)+$FR81</f>
        <v/>
      </c>
      <c r="FT81" s="55">
        <f>$FT80+$FR81</f>
        <v/>
      </c>
      <c r="FU81" s="55">
        <f>SUMIFS(tblPlant[Raw_Water_m3],tblPlant[Date],$A81)</f>
        <v/>
      </c>
      <c r="FV81" s="55">
        <f>IF($B81=$B80,$FV80,0)+$FU81</f>
        <v/>
      </c>
      <c r="FW81" s="55">
        <f>$FW80+$FU81</f>
        <v/>
      </c>
      <c r="FX81" s="56">
        <f>IFERROR(IF(($CU81)&gt;0,($FI81)/($CU81),""),"")</f>
        <v/>
      </c>
      <c r="FY81" s="56">
        <f>IFERROR(IF(($CV81)&gt;0,($FJ81)/($CV81),""),"")</f>
        <v/>
      </c>
      <c r="FZ81" s="56">
        <f>IFERROR(IF(($CW81)&gt;0,($FK81)/($CW81),""),"")</f>
        <v/>
      </c>
      <c r="GA81" s="56">
        <f>IFERROR(IF(($CU81)&gt;0,($FL81)/($CU81),""),"")</f>
        <v/>
      </c>
      <c r="GB81" s="56">
        <f>IFERROR(IF(($CV81)&gt;0,($FM81)/($CV81),""),"")</f>
        <v/>
      </c>
      <c r="GC81" s="56">
        <f>IFERROR(IF(($CW81)&gt;0,($FN81)/($CW81),""),"")</f>
        <v/>
      </c>
      <c r="GD81" s="56">
        <f>IFERROR(IF(($CU81)&gt;0,($FO81)/($CU81),""),"")</f>
        <v/>
      </c>
      <c r="GE81" s="56">
        <f>IFERROR(IF(($CV81)&gt;0,($FP81)/($CV81),""),"")</f>
        <v/>
      </c>
      <c r="GF81" s="56">
        <f>IFERROR(IF(($CW81)&gt;0,($FQ81)/($CW81),""),"")</f>
        <v/>
      </c>
      <c r="GG81" s="79">
        <f>IFERROR(IF(($CU81)&gt;0,($FR81)/($CU81),""),"")</f>
        <v/>
      </c>
      <c r="GH81" s="79">
        <f>IFERROR(IF(($CV81)&gt;0,($FS81)/($CV81),""),"")</f>
        <v/>
      </c>
      <c r="GI81" s="79">
        <f>IFERROR(IF(($CW81)&gt;0,($FT81)/($CW81),""),"")</f>
        <v/>
      </c>
      <c r="GJ81" s="56">
        <f>IFERROR(IF(($CU81)&gt;0,($FU81)/($CU81),""),"")</f>
        <v/>
      </c>
      <c r="GK81" s="56">
        <f>IFERROR(IF(($CV81)&gt;0,($FV81)/($CV81),""),"")</f>
        <v/>
      </c>
      <c r="GL81" s="56">
        <f>IFERROR(IF(($CW81)&gt;0,($FW81)/($CW81),""),"")</f>
        <v/>
      </c>
      <c r="GM81" s="55">
        <f>IF(SUMIFS(tblPlant[GIC_oz],tblPlant[Date],$A81)&gt;0,SUMIFS(tblPlant[GIC_oz],tblPlant[Date],$A81),"")</f>
        <v/>
      </c>
      <c r="GN81" s="55">
        <f>SUMIFS(tblGold[Gold_oz],tblGold[Date],$A81,tblGold[Type],"Shipment")</f>
        <v/>
      </c>
      <c r="GO81" s="55">
        <f>IF($B81=$B80,$GO80,0)+$GN81</f>
        <v/>
      </c>
      <c r="GP81" s="55">
        <f>$GP80+$GN81</f>
        <v/>
      </c>
      <c r="GQ81" s="55">
        <f>SUMIFS(tblGold[Gold_oz],tblGold[Date],$A81,tblGold[Type],"Sale")</f>
        <v/>
      </c>
      <c r="GR81" s="55">
        <f>IF($B81=$B80,$GR80,0)+$GQ81</f>
        <v/>
      </c>
      <c r="GS81" s="55">
        <f>$GS80+$GQ81</f>
        <v/>
      </c>
      <c r="GT81" s="55">
        <f>SUMIFS(tblGold[Dore_kg],tblGold[Date],$A81,tblGold[Type],"Shipment")</f>
        <v/>
      </c>
      <c r="GU81" s="55">
        <f>IF($B81=$B80,$GU80,0)+$GT81</f>
        <v/>
      </c>
      <c r="GV81" s="55">
        <f>$GV80+$GT81</f>
        <v/>
      </c>
      <c r="GW81" s="57">
        <f>SUMIFS(tblSafety[Hours_Total],tblSafety[Date],$A81)</f>
        <v/>
      </c>
      <c r="GX81" s="57">
        <f>IF($B81=$B80,$GX80,0)+$GW81</f>
        <v/>
      </c>
      <c r="GY81" s="57">
        <f>$GY80+$GW81</f>
        <v/>
      </c>
      <c r="GZ81" s="62">
        <f>SUMIFS(tblSafety[Fatality],tblSafety[Date],$A81)</f>
        <v/>
      </c>
      <c r="HA81" s="62">
        <f>IF($B81=$B80,$HA80,0)+$GZ81</f>
        <v/>
      </c>
      <c r="HB81" s="62">
        <f>$HB80+$GZ81</f>
        <v/>
      </c>
      <c r="HC81" s="62">
        <f>SUMIFS(tblSafety[LTI],tblSafety[Date],$A81)</f>
        <v/>
      </c>
      <c r="HD81" s="62">
        <f>IF($B81=$B80,$HD80,0)+$HC81</f>
        <v/>
      </c>
      <c r="HE81" s="62">
        <f>$HE80+$HC81</f>
        <v/>
      </c>
      <c r="HF81" s="62">
        <f>SUMIFS(tblSafety[RWI],tblSafety[Date],$A81)</f>
        <v/>
      </c>
      <c r="HG81" s="62">
        <f>IF($B81=$B80,$HG80,0)+$HF81</f>
        <v/>
      </c>
      <c r="HH81" s="62">
        <f>$HH80+$HF81</f>
        <v/>
      </c>
      <c r="HI81" s="62">
        <f>SUMIFS(tblSafety[MTI],tblSafety[Date],$A81)</f>
        <v/>
      </c>
      <c r="HJ81" s="62">
        <f>IF($B81=$B80,$HJ80,0)+$HI81</f>
        <v/>
      </c>
      <c r="HK81" s="62">
        <f>$HK80+$HI81</f>
        <v/>
      </c>
      <c r="HL81" s="62">
        <f>SUMIFS(tblSafety[FAI],tblSafety[Date],$A81)</f>
        <v/>
      </c>
      <c r="HM81" s="62">
        <f>IF($B81=$B80,$HM80,0)+$HL81</f>
        <v/>
      </c>
      <c r="HN81" s="62">
        <f>$HN80+$HL81</f>
        <v/>
      </c>
      <c r="HO81" s="62">
        <f>SUMIFS(tblSafety[Recordables],tblSafety[Date],$A81)</f>
        <v/>
      </c>
      <c r="HP81" s="62">
        <f>IF($B81=$B80,$HP80,0)+$HO81</f>
        <v/>
      </c>
      <c r="HQ81" s="62">
        <f>$HQ80+$HO81</f>
        <v/>
      </c>
      <c r="HR81" s="62">
        <f>SUMIFS(tblSafety[Near_Miss],tblSafety[Date],$A81)</f>
        <v/>
      </c>
      <c r="HS81" s="62">
        <f>IF($B81=$B80,$HS80,0)+$HR81</f>
        <v/>
      </c>
      <c r="HT81" s="62">
        <f>$HT80+$HR81</f>
        <v/>
      </c>
      <c r="HU81" s="62">
        <f>SUMIFS(tblSafety[Hazard_Reports],tblSafety[Date],$A81)</f>
        <v/>
      </c>
      <c r="HV81" s="62">
        <f>IF($B81=$B80,$HV80,0)+$HU81</f>
        <v/>
      </c>
      <c r="HW81" s="62">
        <f>$HW80+$HU81</f>
        <v/>
      </c>
      <c r="HX81" s="62">
        <f>SUMIFS(tblSafety[HPI],tblSafety[Date],$A81)</f>
        <v/>
      </c>
      <c r="HY81" s="62">
        <f>IF($B81=$B80,$HY80,0)+$HX81</f>
        <v/>
      </c>
      <c r="HZ81" s="62">
        <f>$HZ80+$HX81</f>
        <v/>
      </c>
      <c r="IA81" s="62">
        <f>SUMIFS(tblSafety[Env_Incidents],tblSafety[Date],$A81)</f>
        <v/>
      </c>
      <c r="IB81" s="62">
        <f>IF($B81=$B80,$IB80,0)+$IA81</f>
        <v/>
      </c>
      <c r="IC81" s="62">
        <f>$IC80+$IA81</f>
        <v/>
      </c>
      <c r="ID81" s="62">
        <f>SUMIFS(tblSafety[Community_Incidents],tblSafety[Date],$A81)</f>
        <v/>
      </c>
      <c r="IE81" s="62">
        <f>IF($B81=$B80,$IE80,0)+$ID81</f>
        <v/>
      </c>
      <c r="IF81" s="62">
        <f>$IF80+$ID81</f>
        <v/>
      </c>
      <c r="IG81" s="62">
        <f>SUMIFS(tblSafety[Vehicle_Incidents],tblSafety[Date],$A81)</f>
        <v/>
      </c>
      <c r="IH81" s="62">
        <f>IF($B81=$B80,$IH80,0)+$IG81</f>
        <v/>
      </c>
      <c r="II81" s="62">
        <f>$II80+$IG81</f>
        <v/>
      </c>
      <c r="IJ81" s="62">
        <f>SUMIFS(tblSafety[Toolbox_Talks],tblSafety[Date],$A81)</f>
        <v/>
      </c>
      <c r="IK81" s="62">
        <f>IF($B81=$B80,$IK80,0)+$IJ81</f>
        <v/>
      </c>
      <c r="IL81" s="62">
        <f>$IL80+$IJ81</f>
        <v/>
      </c>
      <c r="IM81" s="62">
        <f>SUMIFS(tblSafety[Inspections],tblSafety[Date],$A81)</f>
        <v/>
      </c>
      <c r="IN81" s="62">
        <f>IF($B81=$B80,$IN80,0)+$IM81</f>
        <v/>
      </c>
      <c r="IO81" s="62">
        <f>$IO80+$IM81</f>
        <v/>
      </c>
      <c r="IP81" s="56">
        <f>IFERROR((SUMIFS(tblSafety[Recordables],tblSafety[Date],"&gt;="&amp;EDATE($E81,-12),tblSafety[Date],"&lt;="&amp;$A81)+SUMIFS(tblSafetyHistory[Recordables],tblSafetyHistory[Month],"&gt;="&amp;EDATE($E81,-12),tblSafetyHistory[Month],"&lt;"&amp;$E81,tblSafetyHistory[Use],1))/(SUMIFS(tblSafety[Hours_Total],tblSafety[Date],"&gt;="&amp;EDATE($E81,-12),tblSafety[Date],"&lt;="&amp;$A81)+SUMIFS(tblSafetyHistory[Hours_Total],tblSafetyHistory[Month],"&gt;="&amp;EDATE($E81,-12),tblSafetyHistory[Month],"&lt;"&amp;$E81,tblSafetyHistory[Use],1))*cfg_RateBasisHours,"")</f>
        <v/>
      </c>
      <c r="IQ81" s="56">
        <f>IFERROR((SUMIFS(tblSafety[LTI],tblSafety[Date],"&gt;="&amp;EDATE($E81,-12),tblSafety[Date],"&lt;="&amp;$A81)+SUMIFS(tblSafetyHistory[LTI],tblSafetyHistory[Month],"&gt;="&amp;EDATE($E81,-12),tblSafetyHistory[Month],"&lt;"&amp;$E81,tblSafetyHistory[Use],1))/(SUMIFS(tblSafety[Hours_Total],tblSafety[Date],"&gt;="&amp;EDATE($E81,-12),tblSafety[Date],"&lt;="&amp;$A81)+SUMIFS(tblSafetyHistory[Hours_Total],tblSafetyHistory[Month],"&gt;="&amp;EDATE($E81,-12),tblSafetyHistory[Month],"&lt;"&amp;$E81,tblSafetyHistory[Use],1))*cfg_RateBasisHours,"")</f>
        <v/>
      </c>
      <c r="IR81" s="62">
        <f>IF(MAX(N(cfg_PriorLTIDate),_xlfn.MAXIFS(tblSafety[Date],tblSafety[LTI],"&gt;0",tblSafety[Date],"&lt;="&amp;$A81))=0,"",$A81-MAX(N(cfg_PriorLTIDate),_xlfn.MAXIFS(tblSafety[Date],tblSafety[LTI],"&gt;0",tblSafety[Date],"&lt;="&amp;$A81)))</f>
        <v/>
      </c>
      <c r="IS81" s="55">
        <f>SUMIFS(tblBudget[Ore_Mined_t],tblBudget[Month],$E81)</f>
        <v/>
      </c>
      <c r="IT81" s="55">
        <f>$IS81*$C81/$D81</f>
        <v/>
      </c>
      <c r="IU81" s="55">
        <f>SUMIFS(tblBudget[Ore_Mined_t],tblBudget[Month],"&lt;"&amp;$E81)+$IT81</f>
        <v/>
      </c>
      <c r="IV81" s="55">
        <f>SUMIFS(tblBudget[Ore_oz],tblBudget[Month],$E81)</f>
        <v/>
      </c>
      <c r="IW81" s="55">
        <f>$IV81*$C81/$D81</f>
        <v/>
      </c>
      <c r="IX81" s="55">
        <f>SUMIFS(tblBudget[Ore_oz],tblBudget[Month],"&lt;"&amp;$E81)+$IW81</f>
        <v/>
      </c>
      <c r="IY81" s="55">
        <f>SUMIFS(tblBudget[Ore_Mined_t],tblBudget[Month],$E81)</f>
        <v/>
      </c>
      <c r="IZ81" s="55">
        <f>$IY81*$C81/$D81</f>
        <v/>
      </c>
      <c r="JA81" s="55">
        <f>SUMIFS(tblBudget[Ore_Mined_t],tblBudget[Month],"&lt;"&amp;$E81)+$IZ81</f>
        <v/>
      </c>
      <c r="JB81" s="56">
        <f>IFERROR(IF(($IY81)&gt;0,($IV81*cfg_TroyOz)/($IY81),""),"")</f>
        <v/>
      </c>
      <c r="JC81" s="56">
        <f>IFERROR(IF(($IZ81)&gt;0,($IW81*cfg_TroyOz)/($IZ81),""),"")</f>
        <v/>
      </c>
      <c r="JD81" s="56">
        <f>IFERROR(IF(($JA81)&gt;0,($IX81*cfg_TroyOz)/($JA81),""),"")</f>
        <v/>
      </c>
      <c r="JE81" s="55">
        <f>SUMIFS(tblBudget[Waste_t],tblBudget[Month],$E81)</f>
        <v/>
      </c>
      <c r="JF81" s="55">
        <f>$JE81*$C81/$D81</f>
        <v/>
      </c>
      <c r="JG81" s="55">
        <f>SUMIFS(tblBudget[Waste_t],tblBudget[Month],"&lt;"&amp;$E81)+$JF81</f>
        <v/>
      </c>
      <c r="JH81" s="55">
        <f>SUMIFS(tblBudget[TMM_t],tblBudget[Month],$E81)</f>
        <v/>
      </c>
      <c r="JI81" s="55">
        <f>$JH81*$C81/$D81</f>
        <v/>
      </c>
      <c r="JJ81" s="55">
        <f>SUMIFS(tblBudget[TMM_t],tblBudget[Month],"&lt;"&amp;$E81)+$JI81</f>
        <v/>
      </c>
      <c r="JK81" s="56">
        <f>IFERROR(IF(($IS81)&gt;0,($JE81)/($IS81),""),"")</f>
        <v/>
      </c>
      <c r="JL81" s="56">
        <f>IFERROR(IF(($IT81)&gt;0,($JF81)/($IT81),""),"")</f>
        <v/>
      </c>
      <c r="JM81" s="56">
        <f>IFERROR(IF(($IU81)&gt;0,($JG81)/($IU81),""),"")</f>
        <v/>
      </c>
      <c r="JN81" s="55">
        <f>SUMIFS(tblBudget[Drill_m],tblBudget[Month],$E81)</f>
        <v/>
      </c>
      <c r="JO81" s="55">
        <f>$JN81*$C81/$D81</f>
        <v/>
      </c>
      <c r="JP81" s="55">
        <f>SUMIFS(tblBudget[Drill_m],tblBudget[Month],"&lt;"&amp;$E81)+$JO81</f>
        <v/>
      </c>
      <c r="JQ81" s="55">
        <f>SUMIFS(tblBudget[Diesel_L],tblBudget[Month],$E81)</f>
        <v/>
      </c>
      <c r="JR81" s="55">
        <f>$JQ81*$C81/$D81</f>
        <v/>
      </c>
      <c r="JS81" s="55">
        <f>SUMIFS(tblBudget[Diesel_L],tblBudget[Month],"&lt;"&amp;$E81)+$JR81</f>
        <v/>
      </c>
      <c r="JT81" s="55">
        <f>SUMIFS(tblBudget[Milled_t],tblBudget[Month],$E81)</f>
        <v/>
      </c>
      <c r="JU81" s="55">
        <f>$JT81*$C81/$D81</f>
        <v/>
      </c>
      <c r="JV81" s="55">
        <f>SUMIFS(tblBudget[Milled_t],tblBudget[Month],"&lt;"&amp;$E81)+$JU81</f>
        <v/>
      </c>
      <c r="JW81" s="55">
        <f>SUMIFS(tblBudget[Feed_oz],tblBudget[Month],$E81)</f>
        <v/>
      </c>
      <c r="JX81" s="55">
        <f>$JW81*$C81/$D81</f>
        <v/>
      </c>
      <c r="JY81" s="55">
        <f>SUMIFS(tblBudget[Feed_oz],tblBudget[Month],"&lt;"&amp;$E81)+$JX81</f>
        <v/>
      </c>
      <c r="JZ81" s="55">
        <f>SUMIFS(tblBudget[Recovered_oz],tblBudget[Month],$E81)</f>
        <v/>
      </c>
      <c r="KA81" s="55">
        <f>$JZ81*$C81/$D81</f>
        <v/>
      </c>
      <c r="KB81" s="55">
        <f>SUMIFS(tblBudget[Recovered_oz],tblBudget[Month],"&lt;"&amp;$E81)+$KA81</f>
        <v/>
      </c>
      <c r="KC81" s="55">
        <f>SUMIFS(tblBudget[Milled_t],tblBudget[Month],$E81)</f>
        <v/>
      </c>
      <c r="KD81" s="55">
        <f>$KC81*$C81/$D81</f>
        <v/>
      </c>
      <c r="KE81" s="55">
        <f>SUMIFS(tblBudget[Milled_t],tblBudget[Month],"&lt;"&amp;$E81)+$KD81</f>
        <v/>
      </c>
      <c r="KF81" s="55">
        <f>SUMIFS(tblBudget[Feed_oz],tblBudget[Month],$E81)</f>
        <v/>
      </c>
      <c r="KG81" s="55">
        <f>$KF81*$C81/$D81</f>
        <v/>
      </c>
      <c r="KH81" s="55">
        <f>SUMIFS(tblBudget[Feed_oz],tblBudget[Month],"&lt;"&amp;$E81)+$KG81</f>
        <v/>
      </c>
      <c r="KI81" s="56">
        <f>IFERROR(IF(($KC81)&gt;0,($JW81*cfg_TroyOz)/($KC81),""),"")</f>
        <v/>
      </c>
      <c r="KJ81" s="56">
        <f>IFERROR(IF(($KD81)&gt;0,($JX81*cfg_TroyOz)/($KD81),""),"")</f>
        <v/>
      </c>
      <c r="KK81" s="56">
        <f>IFERROR(IF(($KE81)&gt;0,($JY81*cfg_TroyOz)/($KE81),""),"")</f>
        <v/>
      </c>
      <c r="KL81" s="67">
        <f>IFERROR(IF(($KF81)&gt;0,($JZ81)/($KF81),""),"")</f>
        <v/>
      </c>
      <c r="KM81" s="67">
        <f>IFERROR(IF(($KG81)&gt;0,($KA81)/($KG81),""),"")</f>
        <v/>
      </c>
      <c r="KN81" s="67">
        <f>IFERROR(IF(($KH81)&gt;0,($KB81)/($KH81),""),"")</f>
        <v/>
      </c>
      <c r="KO81" s="55">
        <f>SUMIFS(tblBudget[Gold_Poured_oz],tblBudget[Month],$E81)</f>
        <v/>
      </c>
      <c r="KP81" s="55">
        <f>$KO81*$C81/$D81</f>
        <v/>
      </c>
      <c r="KQ81" s="55">
        <f>SUMIFS(tblBudget[Gold_Poured_oz],tblBudget[Month],"&lt;"&amp;$E81)+$KP81</f>
        <v/>
      </c>
      <c r="KR81" s="57">
        <f>SUMIFS(tblBudget[Hours_Worked],tblBudget[Month],$E81)</f>
        <v/>
      </c>
      <c r="KS81" s="57">
        <f>$KR81*$C81/$D81</f>
        <v/>
      </c>
      <c r="KT81" s="57">
        <f>SUMIFS(tblBudget[Hours_Worked],tblBudget[Month],"&lt;"&amp;$E81)+$KS81</f>
        <v/>
      </c>
    </row>
    <row r="82">
      <c r="A82" s="54" t="n">
        <v>46103</v>
      </c>
      <c r="B82">
        <f>MONTH($A82)</f>
        <v/>
      </c>
      <c r="C82">
        <f>DAY($A82)</f>
        <v/>
      </c>
      <c r="D82">
        <f>DAY(EOMONTH($A82,0))</f>
        <v/>
      </c>
      <c r="E82" s="54">
        <f>DATE(YEAR($A82),MONTH($A82),1)</f>
        <v/>
      </c>
      <c r="F82" s="55">
        <f>SUMIFS(tblMovement[Tonnes_t],tblMovement[Date],$A82,tblMovement[Is_Ore],1,tblMovement[Source_Type],"Pit")</f>
        <v/>
      </c>
      <c r="G82" s="55">
        <f>IF($B82=$B81,$G81,0)+$F82</f>
        <v/>
      </c>
      <c r="H82" s="55">
        <f>$H81+$F82</f>
        <v/>
      </c>
      <c r="I82" s="55">
        <f>SUMIFS(tblMovement[Ore_oz],tblMovement[Date],$A82,tblMovement[Source_Type],"Pit")</f>
        <v/>
      </c>
      <c r="J82" s="55">
        <f>IF($B82=$B81,$J81,0)+$I82</f>
        <v/>
      </c>
      <c r="K82" s="55">
        <f>$K81+$I82</f>
        <v/>
      </c>
      <c r="L82" s="55">
        <f>SUMIFS(tblMovement[Tonnes_t],tblMovement[Date],$A82,tblMovement[Is_Ore],1,tblMovement[Source_Type],"Pit",tblMovement[Grade_gpt],"&lt;&gt;")</f>
        <v/>
      </c>
      <c r="M82" s="55">
        <f>IF($B82=$B81,$M81,0)+$L82</f>
        <v/>
      </c>
      <c r="N82" s="55">
        <f>$N81+$L82</f>
        <v/>
      </c>
      <c r="O82" s="56">
        <f>IFERROR(IF(($L82)&gt;0,($I82*cfg_TroyOz)/($L82),""),"")</f>
        <v/>
      </c>
      <c r="P82" s="56">
        <f>IFERROR(IF(($M82)&gt;0,($J82*cfg_TroyOz)/($M82),""),"")</f>
        <v/>
      </c>
      <c r="Q82" s="56">
        <f>IFERROR(IF(($N82)&gt;0,($K82*cfg_TroyOz)/($N82),""),"")</f>
        <v/>
      </c>
      <c r="R82" s="55">
        <f>$F82-$L82</f>
        <v/>
      </c>
      <c r="S82" s="55">
        <f>IF($B82=$B81,$S81,0)+$R82</f>
        <v/>
      </c>
      <c r="T82" s="55">
        <f>$T81+$R82</f>
        <v/>
      </c>
      <c r="U82" s="55">
        <f>SUMIFS(tblMovement[Tonnes_t],tblMovement[Date],$A82,tblMovement[Is_Ore],0,tblMovement[Source_Type],"Pit")</f>
        <v/>
      </c>
      <c r="V82" s="55">
        <f>IF($B82=$B81,$V81,0)+$U82</f>
        <v/>
      </c>
      <c r="W82" s="55">
        <f>$W81+$U82</f>
        <v/>
      </c>
      <c r="X82" s="55">
        <f>$F82+$U82</f>
        <v/>
      </c>
      <c r="Y82" s="55">
        <f>IF($B82=$B81,$Y81,0)+$X82</f>
        <v/>
      </c>
      <c r="Z82" s="55">
        <f>$Z81+$X82</f>
        <v/>
      </c>
      <c r="AA82" s="56">
        <f>IFERROR(IF(($F82)&gt;0,($U82)/($F82),""),"")</f>
        <v/>
      </c>
      <c r="AB82" s="56">
        <f>IFERROR(IF(($G82)&gt;0,($V82)/($G82),""),"")</f>
        <v/>
      </c>
      <c r="AC82" s="56">
        <f>IFERROR(IF(($H82)&gt;0,($W82)/($H82),""),"")</f>
        <v/>
      </c>
      <c r="AD82" s="55">
        <f>SUMIFS(tblMovement[Tonnes_t],tblMovement[Date],$A82,tblMovement[Source_Type],"Stockpile")</f>
        <v/>
      </c>
      <c r="AE82" s="55">
        <f>IF($B82=$B81,$AE81,0)+$AD82</f>
        <v/>
      </c>
      <c r="AF82" s="55">
        <f>$AF81+$AD82</f>
        <v/>
      </c>
      <c r="AG82" s="55">
        <f>SUMIFS(tblMovement[Tonnes_t],tblMovement[Date],$A82)</f>
        <v/>
      </c>
      <c r="AH82" s="55">
        <f>IF($B82=$B81,$AH81,0)+$AG82</f>
        <v/>
      </c>
      <c r="AI82" s="55">
        <f>$AI81+$AG82</f>
        <v/>
      </c>
      <c r="AJ82" s="55">
        <f>$AG82-$X82-$AD82</f>
        <v/>
      </c>
      <c r="AK82" s="55">
        <f>IF($B82=$B81,$AK81,0)+$AJ82</f>
        <v/>
      </c>
      <c r="AL82" s="55">
        <f>$AL81+$AJ82</f>
        <v/>
      </c>
      <c r="AM82" s="55">
        <f>SUMIFS(tblMiningDaily[Drill_m],tblMiningDaily[Date],$A82)</f>
        <v/>
      </c>
      <c r="AN82" s="55">
        <f>IF($B82=$B81,$AN81,0)+$AM82</f>
        <v/>
      </c>
      <c r="AO82" s="55">
        <f>$AO81+$AM82</f>
        <v/>
      </c>
      <c r="AP82" s="55">
        <f>SUMIFS(tblMiningDaily[GC_Drill_m],tblMiningDaily[Date],$A82)</f>
        <v/>
      </c>
      <c r="AQ82" s="55">
        <f>IF($B82=$B81,$AQ81,0)+$AP82</f>
        <v/>
      </c>
      <c r="AR82" s="55">
        <f>$AR81+$AP82</f>
        <v/>
      </c>
      <c r="AS82" s="55">
        <f>SUMIFS(tblMiningDaily[Blast_t],tblMiningDaily[Date],$A82)</f>
        <v/>
      </c>
      <c r="AT82" s="55">
        <f>IF($B82=$B81,$AT81,0)+$AS82</f>
        <v/>
      </c>
      <c r="AU82" s="55">
        <f>$AU81+$AS82</f>
        <v/>
      </c>
      <c r="AV82" s="55">
        <f>SUMIFS(tblMiningDaily[Explosives_kg],tblMiningDaily[Date],$A82)</f>
        <v/>
      </c>
      <c r="AW82" s="55">
        <f>IF($B82=$B81,$AW81,0)+$AV82</f>
        <v/>
      </c>
      <c r="AX82" s="55">
        <f>$AX81+$AV82</f>
        <v/>
      </c>
      <c r="AY82" s="56">
        <f>IFERROR(IF(($AS82)&gt;0,($AV82)/($AS82),""),"")</f>
        <v/>
      </c>
      <c r="AZ82" s="56">
        <f>IFERROR(IF(($AT82)&gt;0,($AW82)/($AT82),""),"")</f>
        <v/>
      </c>
      <c r="BA82" s="56">
        <f>IFERROR(IF(($AU82)&gt;0,($AX82)/($AU82),""),"")</f>
        <v/>
      </c>
      <c r="BB82" s="55">
        <f>SUMIFS(tblMiningDaily[Diesel_L],tblMiningDaily[Date],$A82)</f>
        <v/>
      </c>
      <c r="BC82" s="55">
        <f>IF($B82=$B81,$BC81,0)+$BB82</f>
        <v/>
      </c>
      <c r="BD82" s="55">
        <f>$BD81+$BB82</f>
        <v/>
      </c>
      <c r="BE82" s="55">
        <f>SUMIFS(tblMiningDaily[Dewatering_m3],tblMiningDaily[Date],$A82)</f>
        <v/>
      </c>
      <c r="BF82" s="55">
        <f>IF($B82=$B81,$BF81,0)+$BE82</f>
        <v/>
      </c>
      <c r="BG82" s="55">
        <f>$BG81+$BE82</f>
        <v/>
      </c>
      <c r="BH82" s="57">
        <f>SUMIFS(tblFleet[Calendar_h],tblFleet[Date],$A82,tblFleet[Equipment_Class],"Excavator")</f>
        <v/>
      </c>
      <c r="BI82" s="57">
        <f>IF($B82=$B81,$BI81,0)+$BH82</f>
        <v/>
      </c>
      <c r="BJ82" s="57">
        <f>$BJ81+$BH82</f>
        <v/>
      </c>
      <c r="BK82" s="57">
        <f>SUMIFS(tblFleet[Available_h],tblFleet[Date],$A82,tblFleet[Equipment_Class],"Excavator")</f>
        <v/>
      </c>
      <c r="BL82" s="57">
        <f>IF($B82=$B81,$BL81,0)+$BK82</f>
        <v/>
      </c>
      <c r="BM82" s="57">
        <f>$BM81+$BK82</f>
        <v/>
      </c>
      <c r="BN82" s="57">
        <f>SUMIFS(tblFleet[Operating_h],tblFleet[Date],$A82,tblFleet[Equipment_Class],"Excavator")</f>
        <v/>
      </c>
      <c r="BO82" s="57">
        <f>IF($B82=$B81,$BO81,0)+$BN82</f>
        <v/>
      </c>
      <c r="BP82" s="57">
        <f>$BP81+$BN82</f>
        <v/>
      </c>
      <c r="BQ82" s="67">
        <f>IFERROR(IF(($BH82)&gt;0,($BK82)/($BH82),""),"")</f>
        <v/>
      </c>
      <c r="BR82" s="67">
        <f>IFERROR(IF(($BI82)&gt;0,($BL82)/($BI82),""),"")</f>
        <v/>
      </c>
      <c r="BS82" s="67">
        <f>IFERROR(IF(($BJ82)&gt;0,($BM82)/($BJ82),""),"")</f>
        <v/>
      </c>
      <c r="BT82" s="67">
        <f>IFERROR(IF(($BK82)&gt;0,($BN82)/($BK82),""),"")</f>
        <v/>
      </c>
      <c r="BU82" s="67">
        <f>IFERROR(IF(($BL82)&gt;0,($BO82)/($BL82),""),"")</f>
        <v/>
      </c>
      <c r="BV82" s="67">
        <f>IFERROR(IF(($BM82)&gt;0,($BP82)/($BM82),""),"")</f>
        <v/>
      </c>
      <c r="BW82" s="57">
        <f>SUMIFS(tblFleet[Calendar_h],tblFleet[Date],$A82,tblFleet[Equipment_Class],"Haul Truck")</f>
        <v/>
      </c>
      <c r="BX82" s="57">
        <f>IF($B82=$B81,$BX81,0)+$BW82</f>
        <v/>
      </c>
      <c r="BY82" s="57">
        <f>$BY81+$BW82</f>
        <v/>
      </c>
      <c r="BZ82" s="57">
        <f>SUMIFS(tblFleet[Available_h],tblFleet[Date],$A82,tblFleet[Equipment_Class],"Haul Truck")</f>
        <v/>
      </c>
      <c r="CA82" s="57">
        <f>IF($B82=$B81,$CA81,0)+$BZ82</f>
        <v/>
      </c>
      <c r="CB82" s="57">
        <f>$CB81+$BZ82</f>
        <v/>
      </c>
      <c r="CC82" s="57">
        <f>SUMIFS(tblFleet[Operating_h],tblFleet[Date],$A82,tblFleet[Equipment_Class],"Haul Truck")</f>
        <v/>
      </c>
      <c r="CD82" s="57">
        <f>IF($B82=$B81,$CD81,0)+$CC82</f>
        <v/>
      </c>
      <c r="CE82" s="57">
        <f>$CE81+$CC82</f>
        <v/>
      </c>
      <c r="CF82" s="67">
        <f>IFERROR(IF(($BW82)&gt;0,($BZ82)/($BW82),""),"")</f>
        <v/>
      </c>
      <c r="CG82" s="67">
        <f>IFERROR(IF(($BX82)&gt;0,($CA82)/($BX82),""),"")</f>
        <v/>
      </c>
      <c r="CH82" s="67">
        <f>IFERROR(IF(($BY82)&gt;0,($CB82)/($BY82),""),"")</f>
        <v/>
      </c>
      <c r="CI82" s="67">
        <f>IFERROR(IF(($BZ82)&gt;0,($CC82)/($BZ82),""),"")</f>
        <v/>
      </c>
      <c r="CJ82" s="67">
        <f>IFERROR(IF(($CA82)&gt;0,($CD82)/($CA82),""),"")</f>
        <v/>
      </c>
      <c r="CK82" s="67">
        <f>IFERROR(IF(($CB82)&gt;0,($CE82)/($CB82),""),"")</f>
        <v/>
      </c>
      <c r="CL82" s="55">
        <f>IFERROR(IF(($BN82)&gt;0,($X82+$AD82)/($BN82),""),"")</f>
        <v/>
      </c>
      <c r="CM82" s="55">
        <f>IFERROR(IF(($BO82)&gt;0,($Y82+$AE82)/($BO82),""),"")</f>
        <v/>
      </c>
      <c r="CN82" s="55">
        <f>IFERROR(IF(($BP82)&gt;0,($Z82+$AF82)/($BP82),""),"")</f>
        <v/>
      </c>
      <c r="CO82" s="55">
        <f>IFERROR(IF(($CC82)&gt;0,($X82+$AD82)/($CC82),""),"")</f>
        <v/>
      </c>
      <c r="CP82" s="55">
        <f>IFERROR(IF(($CD82)&gt;0,($Y82+$AE82)/($CD82),""),"")</f>
        <v/>
      </c>
      <c r="CQ82" s="55">
        <f>IFERROR(IF(($CE82)&gt;0,($Z82+$AF82)/($CE82),""),"")</f>
        <v/>
      </c>
      <c r="CR82" s="55">
        <f>SUMIFS(tblPlant[Crushed_t],tblPlant[Date],$A82)</f>
        <v/>
      </c>
      <c r="CS82" s="55">
        <f>IF($B82=$B81,$CS81,0)+$CR82</f>
        <v/>
      </c>
      <c r="CT82" s="55">
        <f>$CT81+$CR82</f>
        <v/>
      </c>
      <c r="CU82" s="55">
        <f>SUMIFS(tblPlant[Milled_t],tblPlant[Date],$A82)</f>
        <v/>
      </c>
      <c r="CV82" s="55">
        <f>IF($B82=$B81,$CV81,0)+$CU82</f>
        <v/>
      </c>
      <c r="CW82" s="55">
        <f>$CW81+$CU82</f>
        <v/>
      </c>
      <c r="CX82" s="55">
        <f>SUMIFS(tblPlant[Feed_oz],tblPlant[Date],$A82)</f>
        <v/>
      </c>
      <c r="CY82" s="55">
        <f>IF($B82=$B81,$CY81,0)+$CX82</f>
        <v/>
      </c>
      <c r="CZ82" s="55">
        <f>$CZ81+$CX82</f>
        <v/>
      </c>
      <c r="DA82" s="55">
        <f>SUMIFS(tblPlant[Tails_oz],tblPlant[Date],$A82)</f>
        <v/>
      </c>
      <c r="DB82" s="55">
        <f>IF($B82=$B81,$DB81,0)+$DA82</f>
        <v/>
      </c>
      <c r="DC82" s="55">
        <f>$DC81+$DA82</f>
        <v/>
      </c>
      <c r="DD82" s="55">
        <f>SUMIFS(tblPlant[Recovered_oz],tblPlant[Date],$A82)</f>
        <v/>
      </c>
      <c r="DE82" s="55">
        <f>IF($B82=$B81,$DE81,0)+$DD82</f>
        <v/>
      </c>
      <c r="DF82" s="55">
        <f>$DF81+$DD82</f>
        <v/>
      </c>
      <c r="DG82" s="55">
        <f>SUMIFS(tblPlant[Milled_t],tblPlant[Date],$A82,tblPlant[Head_Grade_gpt],"&lt;&gt;")</f>
        <v/>
      </c>
      <c r="DH82" s="55">
        <f>IF($B82=$B81,$DH81,0)+$DG82</f>
        <v/>
      </c>
      <c r="DI82" s="55">
        <f>$DI81+$DG82</f>
        <v/>
      </c>
      <c r="DJ82" s="55">
        <f>SUMIFS(tblPlant[Milled_t],tblPlant[Date],$A82,tblPlant[Tails_Grade_gpt],"&lt;&gt;")</f>
        <v/>
      </c>
      <c r="DK82" s="55">
        <f>IF($B82=$B81,$DK81,0)+$DJ82</f>
        <v/>
      </c>
      <c r="DL82" s="55">
        <f>$DL81+$DJ82</f>
        <v/>
      </c>
      <c r="DM82" s="55">
        <f>SUMIFS(tblPlant[Feed_oz],tblPlant[Date],$A82,tblPlant[Tails_Grade_gpt],"&lt;&gt;")</f>
        <v/>
      </c>
      <c r="DN82" s="55">
        <f>IF($B82=$B81,$DN81,0)+$DM82</f>
        <v/>
      </c>
      <c r="DO82" s="55">
        <f>$DO81+$DM82</f>
        <v/>
      </c>
      <c r="DP82" s="55">
        <f>SUMIFS(tblPlant[Milled_t],tblPlant[Date],$A82,tblPlant[Mill_Run_h],"&lt;&gt;")</f>
        <v/>
      </c>
      <c r="DQ82" s="55">
        <f>IF($B82=$B81,$DQ81,0)+$DP82</f>
        <v/>
      </c>
      <c r="DR82" s="55">
        <f>$DR81+$DP82</f>
        <v/>
      </c>
      <c r="DS82" s="56">
        <f>IFERROR(IF(($DG82)&gt;0,($CX82*cfg_TroyOz)/($DG82),""),"")</f>
        <v/>
      </c>
      <c r="DT82" s="56">
        <f>IFERROR(IF(($DH82)&gt;0,($CY82*cfg_TroyOz)/($DH82),""),"")</f>
        <v/>
      </c>
      <c r="DU82" s="56">
        <f>IFERROR(IF(($DI82)&gt;0,($CZ82*cfg_TroyOz)/($DI82),""),"")</f>
        <v/>
      </c>
      <c r="DV82" s="56">
        <f>IFERROR(IF(($DJ82)&gt;0,($DA82*cfg_TroyOz)/($DJ82),""),"")</f>
        <v/>
      </c>
      <c r="DW82" s="56">
        <f>IFERROR(IF(($DK82)&gt;0,($DB82*cfg_TroyOz)/($DK82),""),"")</f>
        <v/>
      </c>
      <c r="DX82" s="56">
        <f>IFERROR(IF(($DL82)&gt;0,($DC82*cfg_TroyOz)/($DL82),""),"")</f>
        <v/>
      </c>
      <c r="DY82" s="67">
        <f>IFERROR(IF(($DM82)&gt;0,($DD82)/($DM82),""),"")</f>
        <v/>
      </c>
      <c r="DZ82" s="67">
        <f>IFERROR(IF(($DN82)&gt;0,($DE82)/($DN82),""),"")</f>
        <v/>
      </c>
      <c r="EA82" s="67">
        <f>IFERROR(IF(($DO82)&gt;0,($DF82)/($DO82),""),"")</f>
        <v/>
      </c>
      <c r="EB82" s="55">
        <f>SUMIFS(tblPlant[Gravity_Gold_oz],tblPlant[Date],$A82)</f>
        <v/>
      </c>
      <c r="EC82" s="55">
        <f>IF($B82=$B81,$EC81,0)+$EB82</f>
        <v/>
      </c>
      <c r="ED82" s="55">
        <f>$ED81+$EB82</f>
        <v/>
      </c>
      <c r="EE82" s="67">
        <f>IFERROR(IF(($DD82)&gt;0,($EB82)/($DD82),""),"")</f>
        <v/>
      </c>
      <c r="EF82" s="67">
        <f>IFERROR(IF(($DE82)&gt;0,($EC82)/($DE82),""),"")</f>
        <v/>
      </c>
      <c r="EG82" s="67">
        <f>IFERROR(IF(($DF82)&gt;0,($ED82)/($DF82),""),"")</f>
        <v/>
      </c>
      <c r="EH82" s="55">
        <f>SUMIFS(tblPlant[Gold_Poured_oz],tblPlant[Date],$A82)</f>
        <v/>
      </c>
      <c r="EI82" s="55">
        <f>IF($B82=$B81,$EI81,0)+$EH82</f>
        <v/>
      </c>
      <c r="EJ82" s="55">
        <f>$EJ81+$EH82</f>
        <v/>
      </c>
      <c r="EK82" s="57">
        <f>SUMIFS(tblPlant[Mill_Run_h],tblPlant[Date],$A82)</f>
        <v/>
      </c>
      <c r="EL82" s="57">
        <f>IF($B82=$B81,$EL81,0)+$EK82</f>
        <v/>
      </c>
      <c r="EM82" s="57">
        <f>$EM81+$EK82</f>
        <v/>
      </c>
      <c r="EN82" s="57">
        <f>SUMIFS(tblPlant[Mill_Planned_Maint_h],tblPlant[Date],$A82)</f>
        <v/>
      </c>
      <c r="EO82" s="57">
        <f>IF($B82=$B81,$EO81,0)+$EN82</f>
        <v/>
      </c>
      <c r="EP82" s="57">
        <f>$EP81+$EN82</f>
        <v/>
      </c>
      <c r="EQ82" s="57">
        <f>SUMIFS(tblPlant[Mill_Unplanned_Down_h],tblPlant[Date],$A82)</f>
        <v/>
      </c>
      <c r="ER82" s="57">
        <f>IF($B82=$B81,$ER81,0)+$EQ82</f>
        <v/>
      </c>
      <c r="ES82" s="57">
        <f>$ES81+$EQ82</f>
        <v/>
      </c>
      <c r="ET82" s="57">
        <f>IF(COUNTIFS(tblPlant[Date],$A82,tblPlant[Mill_Run_h],"&lt;&gt;")+COUNTIFS(tblPlant[Date],$A82,tblPlant[Mill_Planned_Maint_h],"&lt;&gt;")+COUNTIFS(tblPlant[Date],$A82,tblPlant[Mill_Unplanned_Down_h],"&lt;&gt;")&gt;0,cfg_HoursPerDay,0)</f>
        <v/>
      </c>
      <c r="EU82" s="57">
        <f>IF($B82=$B81,$EU81,0)+$ET82</f>
        <v/>
      </c>
      <c r="EV82" s="57">
        <f>$EV81+$ET82</f>
        <v/>
      </c>
      <c r="EW82" s="57">
        <f>SUMIFS(tblPlant[Crusher_Run_h],tblPlant[Date],$A82)</f>
        <v/>
      </c>
      <c r="EX82" s="57">
        <f>IF($B82=$B81,$EX81,0)+$EW82</f>
        <v/>
      </c>
      <c r="EY82" s="57">
        <f>$EY81+$EW82</f>
        <v/>
      </c>
      <c r="EZ82" s="55">
        <f>IFERROR(IF(($EK82)&gt;0,($DP82)/($EK82),""),"")</f>
        <v/>
      </c>
      <c r="FA82" s="55">
        <f>IFERROR(IF(($EL82)&gt;0,($DQ82)/($EL82),""),"")</f>
        <v/>
      </c>
      <c r="FB82" s="55">
        <f>IFERROR(IF(($EM82)&gt;0,($DR82)/($EM82),""),"")</f>
        <v/>
      </c>
      <c r="FC82" s="67">
        <f>IFERROR(IF(($ET82)&gt;0,($ET82-$EN82-$EQ82)/($ET82),""),"")</f>
        <v/>
      </c>
      <c r="FD82" s="67">
        <f>IFERROR(IF(($EU82)&gt;0,($EU82-$EO82-$ER82)/($EU82),""),"")</f>
        <v/>
      </c>
      <c r="FE82" s="67">
        <f>IFERROR(IF(($EV82)&gt;0,($EV82-$EP82-$ES82)/($EV82),""),"")</f>
        <v/>
      </c>
      <c r="FF82" s="67">
        <f>IFERROR(IF(($ET82-$EN82-$EQ82)&gt;0,($EK82)/($ET82-$EN82-$EQ82),""),"")</f>
        <v/>
      </c>
      <c r="FG82" s="67">
        <f>IFERROR(IF(($EU82-$EO82-$ER82)&gt;0,($EL82)/($EU82-$EO82-$ER82),""),"")</f>
        <v/>
      </c>
      <c r="FH82" s="67">
        <f>IFERROR(IF(($EV82-$EP82-$ES82)&gt;0,($EM82)/($EV82-$EP82-$ES82),""),"")</f>
        <v/>
      </c>
      <c r="FI82" s="55">
        <f>SUMIFS(tblPlant[Cyanide_kg],tblPlant[Date],$A82)</f>
        <v/>
      </c>
      <c r="FJ82" s="55">
        <f>IF($B82=$B81,$FJ81,0)+$FI82</f>
        <v/>
      </c>
      <c r="FK82" s="55">
        <f>$FK81+$FI82</f>
        <v/>
      </c>
      <c r="FL82" s="55">
        <f>SUMIFS(tblPlant[Lime_kg],tblPlant[Date],$A82)</f>
        <v/>
      </c>
      <c r="FM82" s="55">
        <f>IF($B82=$B81,$FM81,0)+$FL82</f>
        <v/>
      </c>
      <c r="FN82" s="55">
        <f>$FN81+$FL82</f>
        <v/>
      </c>
      <c r="FO82" s="55">
        <f>SUMIFS(tblPlant[Grinding_Media_kg],tblPlant[Date],$A82)</f>
        <v/>
      </c>
      <c r="FP82" s="55">
        <f>IF($B82=$B81,$FP81,0)+$FO82</f>
        <v/>
      </c>
      <c r="FQ82" s="55">
        <f>$FQ81+$FO82</f>
        <v/>
      </c>
      <c r="FR82" s="55">
        <f>SUMIFS(tblPlant[Power_kWh],tblPlant[Date],$A82)</f>
        <v/>
      </c>
      <c r="FS82" s="55">
        <f>IF($B82=$B81,$FS81,0)+$FR82</f>
        <v/>
      </c>
      <c r="FT82" s="55">
        <f>$FT81+$FR82</f>
        <v/>
      </c>
      <c r="FU82" s="55">
        <f>SUMIFS(tblPlant[Raw_Water_m3],tblPlant[Date],$A82)</f>
        <v/>
      </c>
      <c r="FV82" s="55">
        <f>IF($B82=$B81,$FV81,0)+$FU82</f>
        <v/>
      </c>
      <c r="FW82" s="55">
        <f>$FW81+$FU82</f>
        <v/>
      </c>
      <c r="FX82" s="56">
        <f>IFERROR(IF(($CU82)&gt;0,($FI82)/($CU82),""),"")</f>
        <v/>
      </c>
      <c r="FY82" s="56">
        <f>IFERROR(IF(($CV82)&gt;0,($FJ82)/($CV82),""),"")</f>
        <v/>
      </c>
      <c r="FZ82" s="56">
        <f>IFERROR(IF(($CW82)&gt;0,($FK82)/($CW82),""),"")</f>
        <v/>
      </c>
      <c r="GA82" s="56">
        <f>IFERROR(IF(($CU82)&gt;0,($FL82)/($CU82),""),"")</f>
        <v/>
      </c>
      <c r="GB82" s="56">
        <f>IFERROR(IF(($CV82)&gt;0,($FM82)/($CV82),""),"")</f>
        <v/>
      </c>
      <c r="GC82" s="56">
        <f>IFERROR(IF(($CW82)&gt;0,($FN82)/($CW82),""),"")</f>
        <v/>
      </c>
      <c r="GD82" s="56">
        <f>IFERROR(IF(($CU82)&gt;0,($FO82)/($CU82),""),"")</f>
        <v/>
      </c>
      <c r="GE82" s="56">
        <f>IFERROR(IF(($CV82)&gt;0,($FP82)/($CV82),""),"")</f>
        <v/>
      </c>
      <c r="GF82" s="56">
        <f>IFERROR(IF(($CW82)&gt;0,($FQ82)/($CW82),""),"")</f>
        <v/>
      </c>
      <c r="GG82" s="79">
        <f>IFERROR(IF(($CU82)&gt;0,($FR82)/($CU82),""),"")</f>
        <v/>
      </c>
      <c r="GH82" s="79">
        <f>IFERROR(IF(($CV82)&gt;0,($FS82)/($CV82),""),"")</f>
        <v/>
      </c>
      <c r="GI82" s="79">
        <f>IFERROR(IF(($CW82)&gt;0,($FT82)/($CW82),""),"")</f>
        <v/>
      </c>
      <c r="GJ82" s="56">
        <f>IFERROR(IF(($CU82)&gt;0,($FU82)/($CU82),""),"")</f>
        <v/>
      </c>
      <c r="GK82" s="56">
        <f>IFERROR(IF(($CV82)&gt;0,($FV82)/($CV82),""),"")</f>
        <v/>
      </c>
      <c r="GL82" s="56">
        <f>IFERROR(IF(($CW82)&gt;0,($FW82)/($CW82),""),"")</f>
        <v/>
      </c>
      <c r="GM82" s="55">
        <f>IF(SUMIFS(tblPlant[GIC_oz],tblPlant[Date],$A82)&gt;0,SUMIFS(tblPlant[GIC_oz],tblPlant[Date],$A82),"")</f>
        <v/>
      </c>
      <c r="GN82" s="55">
        <f>SUMIFS(tblGold[Gold_oz],tblGold[Date],$A82,tblGold[Type],"Shipment")</f>
        <v/>
      </c>
      <c r="GO82" s="55">
        <f>IF($B82=$B81,$GO81,0)+$GN82</f>
        <v/>
      </c>
      <c r="GP82" s="55">
        <f>$GP81+$GN82</f>
        <v/>
      </c>
      <c r="GQ82" s="55">
        <f>SUMIFS(tblGold[Gold_oz],tblGold[Date],$A82,tblGold[Type],"Sale")</f>
        <v/>
      </c>
      <c r="GR82" s="55">
        <f>IF($B82=$B81,$GR81,0)+$GQ82</f>
        <v/>
      </c>
      <c r="GS82" s="55">
        <f>$GS81+$GQ82</f>
        <v/>
      </c>
      <c r="GT82" s="55">
        <f>SUMIFS(tblGold[Dore_kg],tblGold[Date],$A82,tblGold[Type],"Shipment")</f>
        <v/>
      </c>
      <c r="GU82" s="55">
        <f>IF($B82=$B81,$GU81,0)+$GT82</f>
        <v/>
      </c>
      <c r="GV82" s="55">
        <f>$GV81+$GT82</f>
        <v/>
      </c>
      <c r="GW82" s="57">
        <f>SUMIFS(tblSafety[Hours_Total],tblSafety[Date],$A82)</f>
        <v/>
      </c>
      <c r="GX82" s="57">
        <f>IF($B82=$B81,$GX81,0)+$GW82</f>
        <v/>
      </c>
      <c r="GY82" s="57">
        <f>$GY81+$GW82</f>
        <v/>
      </c>
      <c r="GZ82" s="62">
        <f>SUMIFS(tblSafety[Fatality],tblSafety[Date],$A82)</f>
        <v/>
      </c>
      <c r="HA82" s="62">
        <f>IF($B82=$B81,$HA81,0)+$GZ82</f>
        <v/>
      </c>
      <c r="HB82" s="62">
        <f>$HB81+$GZ82</f>
        <v/>
      </c>
      <c r="HC82" s="62">
        <f>SUMIFS(tblSafety[LTI],tblSafety[Date],$A82)</f>
        <v/>
      </c>
      <c r="HD82" s="62">
        <f>IF($B82=$B81,$HD81,0)+$HC82</f>
        <v/>
      </c>
      <c r="HE82" s="62">
        <f>$HE81+$HC82</f>
        <v/>
      </c>
      <c r="HF82" s="62">
        <f>SUMIFS(tblSafety[RWI],tblSafety[Date],$A82)</f>
        <v/>
      </c>
      <c r="HG82" s="62">
        <f>IF($B82=$B81,$HG81,0)+$HF82</f>
        <v/>
      </c>
      <c r="HH82" s="62">
        <f>$HH81+$HF82</f>
        <v/>
      </c>
      <c r="HI82" s="62">
        <f>SUMIFS(tblSafety[MTI],tblSafety[Date],$A82)</f>
        <v/>
      </c>
      <c r="HJ82" s="62">
        <f>IF($B82=$B81,$HJ81,0)+$HI82</f>
        <v/>
      </c>
      <c r="HK82" s="62">
        <f>$HK81+$HI82</f>
        <v/>
      </c>
      <c r="HL82" s="62">
        <f>SUMIFS(tblSafety[FAI],tblSafety[Date],$A82)</f>
        <v/>
      </c>
      <c r="HM82" s="62">
        <f>IF($B82=$B81,$HM81,0)+$HL82</f>
        <v/>
      </c>
      <c r="HN82" s="62">
        <f>$HN81+$HL82</f>
        <v/>
      </c>
      <c r="HO82" s="62">
        <f>SUMIFS(tblSafety[Recordables],tblSafety[Date],$A82)</f>
        <v/>
      </c>
      <c r="HP82" s="62">
        <f>IF($B82=$B81,$HP81,0)+$HO82</f>
        <v/>
      </c>
      <c r="HQ82" s="62">
        <f>$HQ81+$HO82</f>
        <v/>
      </c>
      <c r="HR82" s="62">
        <f>SUMIFS(tblSafety[Near_Miss],tblSafety[Date],$A82)</f>
        <v/>
      </c>
      <c r="HS82" s="62">
        <f>IF($B82=$B81,$HS81,0)+$HR82</f>
        <v/>
      </c>
      <c r="HT82" s="62">
        <f>$HT81+$HR82</f>
        <v/>
      </c>
      <c r="HU82" s="62">
        <f>SUMIFS(tblSafety[Hazard_Reports],tblSafety[Date],$A82)</f>
        <v/>
      </c>
      <c r="HV82" s="62">
        <f>IF($B82=$B81,$HV81,0)+$HU82</f>
        <v/>
      </c>
      <c r="HW82" s="62">
        <f>$HW81+$HU82</f>
        <v/>
      </c>
      <c r="HX82" s="62">
        <f>SUMIFS(tblSafety[HPI],tblSafety[Date],$A82)</f>
        <v/>
      </c>
      <c r="HY82" s="62">
        <f>IF($B82=$B81,$HY81,0)+$HX82</f>
        <v/>
      </c>
      <c r="HZ82" s="62">
        <f>$HZ81+$HX82</f>
        <v/>
      </c>
      <c r="IA82" s="62">
        <f>SUMIFS(tblSafety[Env_Incidents],tblSafety[Date],$A82)</f>
        <v/>
      </c>
      <c r="IB82" s="62">
        <f>IF($B82=$B81,$IB81,0)+$IA82</f>
        <v/>
      </c>
      <c r="IC82" s="62">
        <f>$IC81+$IA82</f>
        <v/>
      </c>
      <c r="ID82" s="62">
        <f>SUMIFS(tblSafety[Community_Incidents],tblSafety[Date],$A82)</f>
        <v/>
      </c>
      <c r="IE82" s="62">
        <f>IF($B82=$B81,$IE81,0)+$ID82</f>
        <v/>
      </c>
      <c r="IF82" s="62">
        <f>$IF81+$ID82</f>
        <v/>
      </c>
      <c r="IG82" s="62">
        <f>SUMIFS(tblSafety[Vehicle_Incidents],tblSafety[Date],$A82)</f>
        <v/>
      </c>
      <c r="IH82" s="62">
        <f>IF($B82=$B81,$IH81,0)+$IG82</f>
        <v/>
      </c>
      <c r="II82" s="62">
        <f>$II81+$IG82</f>
        <v/>
      </c>
      <c r="IJ82" s="62">
        <f>SUMIFS(tblSafety[Toolbox_Talks],tblSafety[Date],$A82)</f>
        <v/>
      </c>
      <c r="IK82" s="62">
        <f>IF($B82=$B81,$IK81,0)+$IJ82</f>
        <v/>
      </c>
      <c r="IL82" s="62">
        <f>$IL81+$IJ82</f>
        <v/>
      </c>
      <c r="IM82" s="62">
        <f>SUMIFS(tblSafety[Inspections],tblSafety[Date],$A82)</f>
        <v/>
      </c>
      <c r="IN82" s="62">
        <f>IF($B82=$B81,$IN81,0)+$IM82</f>
        <v/>
      </c>
      <c r="IO82" s="62">
        <f>$IO81+$IM82</f>
        <v/>
      </c>
      <c r="IP82" s="56">
        <f>IFERROR((SUMIFS(tblSafety[Recordables],tblSafety[Date],"&gt;="&amp;EDATE($E82,-12),tblSafety[Date],"&lt;="&amp;$A82)+SUMIFS(tblSafetyHistory[Recordables],tblSafetyHistory[Month],"&gt;="&amp;EDATE($E82,-12),tblSafetyHistory[Month],"&lt;"&amp;$E82,tblSafetyHistory[Use],1))/(SUMIFS(tblSafety[Hours_Total],tblSafety[Date],"&gt;="&amp;EDATE($E82,-12),tblSafety[Date],"&lt;="&amp;$A82)+SUMIFS(tblSafetyHistory[Hours_Total],tblSafetyHistory[Month],"&gt;="&amp;EDATE($E82,-12),tblSafetyHistory[Month],"&lt;"&amp;$E82,tblSafetyHistory[Use],1))*cfg_RateBasisHours,"")</f>
        <v/>
      </c>
      <c r="IQ82" s="56">
        <f>IFERROR((SUMIFS(tblSafety[LTI],tblSafety[Date],"&gt;="&amp;EDATE($E82,-12),tblSafety[Date],"&lt;="&amp;$A82)+SUMIFS(tblSafetyHistory[LTI],tblSafetyHistory[Month],"&gt;="&amp;EDATE($E82,-12),tblSafetyHistory[Month],"&lt;"&amp;$E82,tblSafetyHistory[Use],1))/(SUMIFS(tblSafety[Hours_Total],tblSafety[Date],"&gt;="&amp;EDATE($E82,-12),tblSafety[Date],"&lt;="&amp;$A82)+SUMIFS(tblSafetyHistory[Hours_Total],tblSafetyHistory[Month],"&gt;="&amp;EDATE($E82,-12),tblSafetyHistory[Month],"&lt;"&amp;$E82,tblSafetyHistory[Use],1))*cfg_RateBasisHours,"")</f>
        <v/>
      </c>
      <c r="IR82" s="62">
        <f>IF(MAX(N(cfg_PriorLTIDate),_xlfn.MAXIFS(tblSafety[Date],tblSafety[LTI],"&gt;0",tblSafety[Date],"&lt;="&amp;$A82))=0,"",$A82-MAX(N(cfg_PriorLTIDate),_xlfn.MAXIFS(tblSafety[Date],tblSafety[LTI],"&gt;0",tblSafety[Date],"&lt;="&amp;$A82)))</f>
        <v/>
      </c>
      <c r="IS82" s="55">
        <f>SUMIFS(tblBudget[Ore_Mined_t],tblBudget[Month],$E82)</f>
        <v/>
      </c>
      <c r="IT82" s="55">
        <f>$IS82*$C82/$D82</f>
        <v/>
      </c>
      <c r="IU82" s="55">
        <f>SUMIFS(tblBudget[Ore_Mined_t],tblBudget[Month],"&lt;"&amp;$E82)+$IT82</f>
        <v/>
      </c>
      <c r="IV82" s="55">
        <f>SUMIFS(tblBudget[Ore_oz],tblBudget[Month],$E82)</f>
        <v/>
      </c>
      <c r="IW82" s="55">
        <f>$IV82*$C82/$D82</f>
        <v/>
      </c>
      <c r="IX82" s="55">
        <f>SUMIFS(tblBudget[Ore_oz],tblBudget[Month],"&lt;"&amp;$E82)+$IW82</f>
        <v/>
      </c>
      <c r="IY82" s="55">
        <f>SUMIFS(tblBudget[Ore_Mined_t],tblBudget[Month],$E82)</f>
        <v/>
      </c>
      <c r="IZ82" s="55">
        <f>$IY82*$C82/$D82</f>
        <v/>
      </c>
      <c r="JA82" s="55">
        <f>SUMIFS(tblBudget[Ore_Mined_t],tblBudget[Month],"&lt;"&amp;$E82)+$IZ82</f>
        <v/>
      </c>
      <c r="JB82" s="56">
        <f>IFERROR(IF(($IY82)&gt;0,($IV82*cfg_TroyOz)/($IY82),""),"")</f>
        <v/>
      </c>
      <c r="JC82" s="56">
        <f>IFERROR(IF(($IZ82)&gt;0,($IW82*cfg_TroyOz)/($IZ82),""),"")</f>
        <v/>
      </c>
      <c r="JD82" s="56">
        <f>IFERROR(IF(($JA82)&gt;0,($IX82*cfg_TroyOz)/($JA82),""),"")</f>
        <v/>
      </c>
      <c r="JE82" s="55">
        <f>SUMIFS(tblBudget[Waste_t],tblBudget[Month],$E82)</f>
        <v/>
      </c>
      <c r="JF82" s="55">
        <f>$JE82*$C82/$D82</f>
        <v/>
      </c>
      <c r="JG82" s="55">
        <f>SUMIFS(tblBudget[Waste_t],tblBudget[Month],"&lt;"&amp;$E82)+$JF82</f>
        <v/>
      </c>
      <c r="JH82" s="55">
        <f>SUMIFS(tblBudget[TMM_t],tblBudget[Month],$E82)</f>
        <v/>
      </c>
      <c r="JI82" s="55">
        <f>$JH82*$C82/$D82</f>
        <v/>
      </c>
      <c r="JJ82" s="55">
        <f>SUMIFS(tblBudget[TMM_t],tblBudget[Month],"&lt;"&amp;$E82)+$JI82</f>
        <v/>
      </c>
      <c r="JK82" s="56">
        <f>IFERROR(IF(($IS82)&gt;0,($JE82)/($IS82),""),"")</f>
        <v/>
      </c>
      <c r="JL82" s="56">
        <f>IFERROR(IF(($IT82)&gt;0,($JF82)/($IT82),""),"")</f>
        <v/>
      </c>
      <c r="JM82" s="56">
        <f>IFERROR(IF(($IU82)&gt;0,($JG82)/($IU82),""),"")</f>
        <v/>
      </c>
      <c r="JN82" s="55">
        <f>SUMIFS(tblBudget[Drill_m],tblBudget[Month],$E82)</f>
        <v/>
      </c>
      <c r="JO82" s="55">
        <f>$JN82*$C82/$D82</f>
        <v/>
      </c>
      <c r="JP82" s="55">
        <f>SUMIFS(tblBudget[Drill_m],tblBudget[Month],"&lt;"&amp;$E82)+$JO82</f>
        <v/>
      </c>
      <c r="JQ82" s="55">
        <f>SUMIFS(tblBudget[Diesel_L],tblBudget[Month],$E82)</f>
        <v/>
      </c>
      <c r="JR82" s="55">
        <f>$JQ82*$C82/$D82</f>
        <v/>
      </c>
      <c r="JS82" s="55">
        <f>SUMIFS(tblBudget[Diesel_L],tblBudget[Month],"&lt;"&amp;$E82)+$JR82</f>
        <v/>
      </c>
      <c r="JT82" s="55">
        <f>SUMIFS(tblBudget[Milled_t],tblBudget[Month],$E82)</f>
        <v/>
      </c>
      <c r="JU82" s="55">
        <f>$JT82*$C82/$D82</f>
        <v/>
      </c>
      <c r="JV82" s="55">
        <f>SUMIFS(tblBudget[Milled_t],tblBudget[Month],"&lt;"&amp;$E82)+$JU82</f>
        <v/>
      </c>
      <c r="JW82" s="55">
        <f>SUMIFS(tblBudget[Feed_oz],tblBudget[Month],$E82)</f>
        <v/>
      </c>
      <c r="JX82" s="55">
        <f>$JW82*$C82/$D82</f>
        <v/>
      </c>
      <c r="JY82" s="55">
        <f>SUMIFS(tblBudget[Feed_oz],tblBudget[Month],"&lt;"&amp;$E82)+$JX82</f>
        <v/>
      </c>
      <c r="JZ82" s="55">
        <f>SUMIFS(tblBudget[Recovered_oz],tblBudget[Month],$E82)</f>
        <v/>
      </c>
      <c r="KA82" s="55">
        <f>$JZ82*$C82/$D82</f>
        <v/>
      </c>
      <c r="KB82" s="55">
        <f>SUMIFS(tblBudget[Recovered_oz],tblBudget[Month],"&lt;"&amp;$E82)+$KA82</f>
        <v/>
      </c>
      <c r="KC82" s="55">
        <f>SUMIFS(tblBudget[Milled_t],tblBudget[Month],$E82)</f>
        <v/>
      </c>
      <c r="KD82" s="55">
        <f>$KC82*$C82/$D82</f>
        <v/>
      </c>
      <c r="KE82" s="55">
        <f>SUMIFS(tblBudget[Milled_t],tblBudget[Month],"&lt;"&amp;$E82)+$KD82</f>
        <v/>
      </c>
      <c r="KF82" s="55">
        <f>SUMIFS(tblBudget[Feed_oz],tblBudget[Month],$E82)</f>
        <v/>
      </c>
      <c r="KG82" s="55">
        <f>$KF82*$C82/$D82</f>
        <v/>
      </c>
      <c r="KH82" s="55">
        <f>SUMIFS(tblBudget[Feed_oz],tblBudget[Month],"&lt;"&amp;$E82)+$KG82</f>
        <v/>
      </c>
      <c r="KI82" s="56">
        <f>IFERROR(IF(($KC82)&gt;0,($JW82*cfg_TroyOz)/($KC82),""),"")</f>
        <v/>
      </c>
      <c r="KJ82" s="56">
        <f>IFERROR(IF(($KD82)&gt;0,($JX82*cfg_TroyOz)/($KD82),""),"")</f>
        <v/>
      </c>
      <c r="KK82" s="56">
        <f>IFERROR(IF(($KE82)&gt;0,($JY82*cfg_TroyOz)/($KE82),""),"")</f>
        <v/>
      </c>
      <c r="KL82" s="67">
        <f>IFERROR(IF(($KF82)&gt;0,($JZ82)/($KF82),""),"")</f>
        <v/>
      </c>
      <c r="KM82" s="67">
        <f>IFERROR(IF(($KG82)&gt;0,($KA82)/($KG82),""),"")</f>
        <v/>
      </c>
      <c r="KN82" s="67">
        <f>IFERROR(IF(($KH82)&gt;0,($KB82)/($KH82),""),"")</f>
        <v/>
      </c>
      <c r="KO82" s="55">
        <f>SUMIFS(tblBudget[Gold_Poured_oz],tblBudget[Month],$E82)</f>
        <v/>
      </c>
      <c r="KP82" s="55">
        <f>$KO82*$C82/$D82</f>
        <v/>
      </c>
      <c r="KQ82" s="55">
        <f>SUMIFS(tblBudget[Gold_Poured_oz],tblBudget[Month],"&lt;"&amp;$E82)+$KP82</f>
        <v/>
      </c>
      <c r="KR82" s="57">
        <f>SUMIFS(tblBudget[Hours_Worked],tblBudget[Month],$E82)</f>
        <v/>
      </c>
      <c r="KS82" s="57">
        <f>$KR82*$C82/$D82</f>
        <v/>
      </c>
      <c r="KT82" s="57">
        <f>SUMIFS(tblBudget[Hours_Worked],tblBudget[Month],"&lt;"&amp;$E82)+$KS82</f>
        <v/>
      </c>
    </row>
    <row r="83">
      <c r="A83" s="54" t="n">
        <v>46104</v>
      </c>
      <c r="B83">
        <f>MONTH($A83)</f>
        <v/>
      </c>
      <c r="C83">
        <f>DAY($A83)</f>
        <v/>
      </c>
      <c r="D83">
        <f>DAY(EOMONTH($A83,0))</f>
        <v/>
      </c>
      <c r="E83" s="54">
        <f>DATE(YEAR($A83),MONTH($A83),1)</f>
        <v/>
      </c>
      <c r="F83" s="55">
        <f>SUMIFS(tblMovement[Tonnes_t],tblMovement[Date],$A83,tblMovement[Is_Ore],1,tblMovement[Source_Type],"Pit")</f>
        <v/>
      </c>
      <c r="G83" s="55">
        <f>IF($B83=$B82,$G82,0)+$F83</f>
        <v/>
      </c>
      <c r="H83" s="55">
        <f>$H82+$F83</f>
        <v/>
      </c>
      <c r="I83" s="55">
        <f>SUMIFS(tblMovement[Ore_oz],tblMovement[Date],$A83,tblMovement[Source_Type],"Pit")</f>
        <v/>
      </c>
      <c r="J83" s="55">
        <f>IF($B83=$B82,$J82,0)+$I83</f>
        <v/>
      </c>
      <c r="K83" s="55">
        <f>$K82+$I83</f>
        <v/>
      </c>
      <c r="L83" s="55">
        <f>SUMIFS(tblMovement[Tonnes_t],tblMovement[Date],$A83,tblMovement[Is_Ore],1,tblMovement[Source_Type],"Pit",tblMovement[Grade_gpt],"&lt;&gt;")</f>
        <v/>
      </c>
      <c r="M83" s="55">
        <f>IF($B83=$B82,$M82,0)+$L83</f>
        <v/>
      </c>
      <c r="N83" s="55">
        <f>$N82+$L83</f>
        <v/>
      </c>
      <c r="O83" s="56">
        <f>IFERROR(IF(($L83)&gt;0,($I83*cfg_TroyOz)/($L83),""),"")</f>
        <v/>
      </c>
      <c r="P83" s="56">
        <f>IFERROR(IF(($M83)&gt;0,($J83*cfg_TroyOz)/($M83),""),"")</f>
        <v/>
      </c>
      <c r="Q83" s="56">
        <f>IFERROR(IF(($N83)&gt;0,($K83*cfg_TroyOz)/($N83),""),"")</f>
        <v/>
      </c>
      <c r="R83" s="55">
        <f>$F83-$L83</f>
        <v/>
      </c>
      <c r="S83" s="55">
        <f>IF($B83=$B82,$S82,0)+$R83</f>
        <v/>
      </c>
      <c r="T83" s="55">
        <f>$T82+$R83</f>
        <v/>
      </c>
      <c r="U83" s="55">
        <f>SUMIFS(tblMovement[Tonnes_t],tblMovement[Date],$A83,tblMovement[Is_Ore],0,tblMovement[Source_Type],"Pit")</f>
        <v/>
      </c>
      <c r="V83" s="55">
        <f>IF($B83=$B82,$V82,0)+$U83</f>
        <v/>
      </c>
      <c r="W83" s="55">
        <f>$W82+$U83</f>
        <v/>
      </c>
      <c r="X83" s="55">
        <f>$F83+$U83</f>
        <v/>
      </c>
      <c r="Y83" s="55">
        <f>IF($B83=$B82,$Y82,0)+$X83</f>
        <v/>
      </c>
      <c r="Z83" s="55">
        <f>$Z82+$X83</f>
        <v/>
      </c>
      <c r="AA83" s="56">
        <f>IFERROR(IF(($F83)&gt;0,($U83)/($F83),""),"")</f>
        <v/>
      </c>
      <c r="AB83" s="56">
        <f>IFERROR(IF(($G83)&gt;0,($V83)/($G83),""),"")</f>
        <v/>
      </c>
      <c r="AC83" s="56">
        <f>IFERROR(IF(($H83)&gt;0,($W83)/($H83),""),"")</f>
        <v/>
      </c>
      <c r="AD83" s="55">
        <f>SUMIFS(tblMovement[Tonnes_t],tblMovement[Date],$A83,tblMovement[Source_Type],"Stockpile")</f>
        <v/>
      </c>
      <c r="AE83" s="55">
        <f>IF($B83=$B82,$AE82,0)+$AD83</f>
        <v/>
      </c>
      <c r="AF83" s="55">
        <f>$AF82+$AD83</f>
        <v/>
      </c>
      <c r="AG83" s="55">
        <f>SUMIFS(tblMovement[Tonnes_t],tblMovement[Date],$A83)</f>
        <v/>
      </c>
      <c r="AH83" s="55">
        <f>IF($B83=$B82,$AH82,0)+$AG83</f>
        <v/>
      </c>
      <c r="AI83" s="55">
        <f>$AI82+$AG83</f>
        <v/>
      </c>
      <c r="AJ83" s="55">
        <f>$AG83-$X83-$AD83</f>
        <v/>
      </c>
      <c r="AK83" s="55">
        <f>IF($B83=$B82,$AK82,0)+$AJ83</f>
        <v/>
      </c>
      <c r="AL83" s="55">
        <f>$AL82+$AJ83</f>
        <v/>
      </c>
      <c r="AM83" s="55">
        <f>SUMIFS(tblMiningDaily[Drill_m],tblMiningDaily[Date],$A83)</f>
        <v/>
      </c>
      <c r="AN83" s="55">
        <f>IF($B83=$B82,$AN82,0)+$AM83</f>
        <v/>
      </c>
      <c r="AO83" s="55">
        <f>$AO82+$AM83</f>
        <v/>
      </c>
      <c r="AP83" s="55">
        <f>SUMIFS(tblMiningDaily[GC_Drill_m],tblMiningDaily[Date],$A83)</f>
        <v/>
      </c>
      <c r="AQ83" s="55">
        <f>IF($B83=$B82,$AQ82,0)+$AP83</f>
        <v/>
      </c>
      <c r="AR83" s="55">
        <f>$AR82+$AP83</f>
        <v/>
      </c>
      <c r="AS83" s="55">
        <f>SUMIFS(tblMiningDaily[Blast_t],tblMiningDaily[Date],$A83)</f>
        <v/>
      </c>
      <c r="AT83" s="55">
        <f>IF($B83=$B82,$AT82,0)+$AS83</f>
        <v/>
      </c>
      <c r="AU83" s="55">
        <f>$AU82+$AS83</f>
        <v/>
      </c>
      <c r="AV83" s="55">
        <f>SUMIFS(tblMiningDaily[Explosives_kg],tblMiningDaily[Date],$A83)</f>
        <v/>
      </c>
      <c r="AW83" s="55">
        <f>IF($B83=$B82,$AW82,0)+$AV83</f>
        <v/>
      </c>
      <c r="AX83" s="55">
        <f>$AX82+$AV83</f>
        <v/>
      </c>
      <c r="AY83" s="56">
        <f>IFERROR(IF(($AS83)&gt;0,($AV83)/($AS83),""),"")</f>
        <v/>
      </c>
      <c r="AZ83" s="56">
        <f>IFERROR(IF(($AT83)&gt;0,($AW83)/($AT83),""),"")</f>
        <v/>
      </c>
      <c r="BA83" s="56">
        <f>IFERROR(IF(($AU83)&gt;0,($AX83)/($AU83),""),"")</f>
        <v/>
      </c>
      <c r="BB83" s="55">
        <f>SUMIFS(tblMiningDaily[Diesel_L],tblMiningDaily[Date],$A83)</f>
        <v/>
      </c>
      <c r="BC83" s="55">
        <f>IF($B83=$B82,$BC82,0)+$BB83</f>
        <v/>
      </c>
      <c r="BD83" s="55">
        <f>$BD82+$BB83</f>
        <v/>
      </c>
      <c r="BE83" s="55">
        <f>SUMIFS(tblMiningDaily[Dewatering_m3],tblMiningDaily[Date],$A83)</f>
        <v/>
      </c>
      <c r="BF83" s="55">
        <f>IF($B83=$B82,$BF82,0)+$BE83</f>
        <v/>
      </c>
      <c r="BG83" s="55">
        <f>$BG82+$BE83</f>
        <v/>
      </c>
      <c r="BH83" s="57">
        <f>SUMIFS(tblFleet[Calendar_h],tblFleet[Date],$A83,tblFleet[Equipment_Class],"Excavator")</f>
        <v/>
      </c>
      <c r="BI83" s="57">
        <f>IF($B83=$B82,$BI82,0)+$BH83</f>
        <v/>
      </c>
      <c r="BJ83" s="57">
        <f>$BJ82+$BH83</f>
        <v/>
      </c>
      <c r="BK83" s="57">
        <f>SUMIFS(tblFleet[Available_h],tblFleet[Date],$A83,tblFleet[Equipment_Class],"Excavator")</f>
        <v/>
      </c>
      <c r="BL83" s="57">
        <f>IF($B83=$B82,$BL82,0)+$BK83</f>
        <v/>
      </c>
      <c r="BM83" s="57">
        <f>$BM82+$BK83</f>
        <v/>
      </c>
      <c r="BN83" s="57">
        <f>SUMIFS(tblFleet[Operating_h],tblFleet[Date],$A83,tblFleet[Equipment_Class],"Excavator")</f>
        <v/>
      </c>
      <c r="BO83" s="57">
        <f>IF($B83=$B82,$BO82,0)+$BN83</f>
        <v/>
      </c>
      <c r="BP83" s="57">
        <f>$BP82+$BN83</f>
        <v/>
      </c>
      <c r="BQ83" s="67">
        <f>IFERROR(IF(($BH83)&gt;0,($BK83)/($BH83),""),"")</f>
        <v/>
      </c>
      <c r="BR83" s="67">
        <f>IFERROR(IF(($BI83)&gt;0,($BL83)/($BI83),""),"")</f>
        <v/>
      </c>
      <c r="BS83" s="67">
        <f>IFERROR(IF(($BJ83)&gt;0,($BM83)/($BJ83),""),"")</f>
        <v/>
      </c>
      <c r="BT83" s="67">
        <f>IFERROR(IF(($BK83)&gt;0,($BN83)/($BK83),""),"")</f>
        <v/>
      </c>
      <c r="BU83" s="67">
        <f>IFERROR(IF(($BL83)&gt;0,($BO83)/($BL83),""),"")</f>
        <v/>
      </c>
      <c r="BV83" s="67">
        <f>IFERROR(IF(($BM83)&gt;0,($BP83)/($BM83),""),"")</f>
        <v/>
      </c>
      <c r="BW83" s="57">
        <f>SUMIFS(tblFleet[Calendar_h],tblFleet[Date],$A83,tblFleet[Equipment_Class],"Haul Truck")</f>
        <v/>
      </c>
      <c r="BX83" s="57">
        <f>IF($B83=$B82,$BX82,0)+$BW83</f>
        <v/>
      </c>
      <c r="BY83" s="57">
        <f>$BY82+$BW83</f>
        <v/>
      </c>
      <c r="BZ83" s="57">
        <f>SUMIFS(tblFleet[Available_h],tblFleet[Date],$A83,tblFleet[Equipment_Class],"Haul Truck")</f>
        <v/>
      </c>
      <c r="CA83" s="57">
        <f>IF($B83=$B82,$CA82,0)+$BZ83</f>
        <v/>
      </c>
      <c r="CB83" s="57">
        <f>$CB82+$BZ83</f>
        <v/>
      </c>
      <c r="CC83" s="57">
        <f>SUMIFS(tblFleet[Operating_h],tblFleet[Date],$A83,tblFleet[Equipment_Class],"Haul Truck")</f>
        <v/>
      </c>
      <c r="CD83" s="57">
        <f>IF($B83=$B82,$CD82,0)+$CC83</f>
        <v/>
      </c>
      <c r="CE83" s="57">
        <f>$CE82+$CC83</f>
        <v/>
      </c>
      <c r="CF83" s="67">
        <f>IFERROR(IF(($BW83)&gt;0,($BZ83)/($BW83),""),"")</f>
        <v/>
      </c>
      <c r="CG83" s="67">
        <f>IFERROR(IF(($BX83)&gt;0,($CA83)/($BX83),""),"")</f>
        <v/>
      </c>
      <c r="CH83" s="67">
        <f>IFERROR(IF(($BY83)&gt;0,($CB83)/($BY83),""),"")</f>
        <v/>
      </c>
      <c r="CI83" s="67">
        <f>IFERROR(IF(($BZ83)&gt;0,($CC83)/($BZ83),""),"")</f>
        <v/>
      </c>
      <c r="CJ83" s="67">
        <f>IFERROR(IF(($CA83)&gt;0,($CD83)/($CA83),""),"")</f>
        <v/>
      </c>
      <c r="CK83" s="67">
        <f>IFERROR(IF(($CB83)&gt;0,($CE83)/($CB83),""),"")</f>
        <v/>
      </c>
      <c r="CL83" s="55">
        <f>IFERROR(IF(($BN83)&gt;0,($X83+$AD83)/($BN83),""),"")</f>
        <v/>
      </c>
      <c r="CM83" s="55">
        <f>IFERROR(IF(($BO83)&gt;0,($Y83+$AE83)/($BO83),""),"")</f>
        <v/>
      </c>
      <c r="CN83" s="55">
        <f>IFERROR(IF(($BP83)&gt;0,($Z83+$AF83)/($BP83),""),"")</f>
        <v/>
      </c>
      <c r="CO83" s="55">
        <f>IFERROR(IF(($CC83)&gt;0,($X83+$AD83)/($CC83),""),"")</f>
        <v/>
      </c>
      <c r="CP83" s="55">
        <f>IFERROR(IF(($CD83)&gt;0,($Y83+$AE83)/($CD83),""),"")</f>
        <v/>
      </c>
      <c r="CQ83" s="55">
        <f>IFERROR(IF(($CE83)&gt;0,($Z83+$AF83)/($CE83),""),"")</f>
        <v/>
      </c>
      <c r="CR83" s="55">
        <f>SUMIFS(tblPlant[Crushed_t],tblPlant[Date],$A83)</f>
        <v/>
      </c>
      <c r="CS83" s="55">
        <f>IF($B83=$B82,$CS82,0)+$CR83</f>
        <v/>
      </c>
      <c r="CT83" s="55">
        <f>$CT82+$CR83</f>
        <v/>
      </c>
      <c r="CU83" s="55">
        <f>SUMIFS(tblPlant[Milled_t],tblPlant[Date],$A83)</f>
        <v/>
      </c>
      <c r="CV83" s="55">
        <f>IF($B83=$B82,$CV82,0)+$CU83</f>
        <v/>
      </c>
      <c r="CW83" s="55">
        <f>$CW82+$CU83</f>
        <v/>
      </c>
      <c r="CX83" s="55">
        <f>SUMIFS(tblPlant[Feed_oz],tblPlant[Date],$A83)</f>
        <v/>
      </c>
      <c r="CY83" s="55">
        <f>IF($B83=$B82,$CY82,0)+$CX83</f>
        <v/>
      </c>
      <c r="CZ83" s="55">
        <f>$CZ82+$CX83</f>
        <v/>
      </c>
      <c r="DA83" s="55">
        <f>SUMIFS(tblPlant[Tails_oz],tblPlant[Date],$A83)</f>
        <v/>
      </c>
      <c r="DB83" s="55">
        <f>IF($B83=$B82,$DB82,0)+$DA83</f>
        <v/>
      </c>
      <c r="DC83" s="55">
        <f>$DC82+$DA83</f>
        <v/>
      </c>
      <c r="DD83" s="55">
        <f>SUMIFS(tblPlant[Recovered_oz],tblPlant[Date],$A83)</f>
        <v/>
      </c>
      <c r="DE83" s="55">
        <f>IF($B83=$B82,$DE82,0)+$DD83</f>
        <v/>
      </c>
      <c r="DF83" s="55">
        <f>$DF82+$DD83</f>
        <v/>
      </c>
      <c r="DG83" s="55">
        <f>SUMIFS(tblPlant[Milled_t],tblPlant[Date],$A83,tblPlant[Head_Grade_gpt],"&lt;&gt;")</f>
        <v/>
      </c>
      <c r="DH83" s="55">
        <f>IF($B83=$B82,$DH82,0)+$DG83</f>
        <v/>
      </c>
      <c r="DI83" s="55">
        <f>$DI82+$DG83</f>
        <v/>
      </c>
      <c r="DJ83" s="55">
        <f>SUMIFS(tblPlant[Milled_t],tblPlant[Date],$A83,tblPlant[Tails_Grade_gpt],"&lt;&gt;")</f>
        <v/>
      </c>
      <c r="DK83" s="55">
        <f>IF($B83=$B82,$DK82,0)+$DJ83</f>
        <v/>
      </c>
      <c r="DL83" s="55">
        <f>$DL82+$DJ83</f>
        <v/>
      </c>
      <c r="DM83" s="55">
        <f>SUMIFS(tblPlant[Feed_oz],tblPlant[Date],$A83,tblPlant[Tails_Grade_gpt],"&lt;&gt;")</f>
        <v/>
      </c>
      <c r="DN83" s="55">
        <f>IF($B83=$B82,$DN82,0)+$DM83</f>
        <v/>
      </c>
      <c r="DO83" s="55">
        <f>$DO82+$DM83</f>
        <v/>
      </c>
      <c r="DP83" s="55">
        <f>SUMIFS(tblPlant[Milled_t],tblPlant[Date],$A83,tblPlant[Mill_Run_h],"&lt;&gt;")</f>
        <v/>
      </c>
      <c r="DQ83" s="55">
        <f>IF($B83=$B82,$DQ82,0)+$DP83</f>
        <v/>
      </c>
      <c r="DR83" s="55">
        <f>$DR82+$DP83</f>
        <v/>
      </c>
      <c r="DS83" s="56">
        <f>IFERROR(IF(($DG83)&gt;0,($CX83*cfg_TroyOz)/($DG83),""),"")</f>
        <v/>
      </c>
      <c r="DT83" s="56">
        <f>IFERROR(IF(($DH83)&gt;0,($CY83*cfg_TroyOz)/($DH83),""),"")</f>
        <v/>
      </c>
      <c r="DU83" s="56">
        <f>IFERROR(IF(($DI83)&gt;0,($CZ83*cfg_TroyOz)/($DI83),""),"")</f>
        <v/>
      </c>
      <c r="DV83" s="56">
        <f>IFERROR(IF(($DJ83)&gt;0,($DA83*cfg_TroyOz)/($DJ83),""),"")</f>
        <v/>
      </c>
      <c r="DW83" s="56">
        <f>IFERROR(IF(($DK83)&gt;0,($DB83*cfg_TroyOz)/($DK83),""),"")</f>
        <v/>
      </c>
      <c r="DX83" s="56">
        <f>IFERROR(IF(($DL83)&gt;0,($DC83*cfg_TroyOz)/($DL83),""),"")</f>
        <v/>
      </c>
      <c r="DY83" s="67">
        <f>IFERROR(IF(($DM83)&gt;0,($DD83)/($DM83),""),"")</f>
        <v/>
      </c>
      <c r="DZ83" s="67">
        <f>IFERROR(IF(($DN83)&gt;0,($DE83)/($DN83),""),"")</f>
        <v/>
      </c>
      <c r="EA83" s="67">
        <f>IFERROR(IF(($DO83)&gt;0,($DF83)/($DO83),""),"")</f>
        <v/>
      </c>
      <c r="EB83" s="55">
        <f>SUMIFS(tblPlant[Gravity_Gold_oz],tblPlant[Date],$A83)</f>
        <v/>
      </c>
      <c r="EC83" s="55">
        <f>IF($B83=$B82,$EC82,0)+$EB83</f>
        <v/>
      </c>
      <c r="ED83" s="55">
        <f>$ED82+$EB83</f>
        <v/>
      </c>
      <c r="EE83" s="67">
        <f>IFERROR(IF(($DD83)&gt;0,($EB83)/($DD83),""),"")</f>
        <v/>
      </c>
      <c r="EF83" s="67">
        <f>IFERROR(IF(($DE83)&gt;0,($EC83)/($DE83),""),"")</f>
        <v/>
      </c>
      <c r="EG83" s="67">
        <f>IFERROR(IF(($DF83)&gt;0,($ED83)/($DF83),""),"")</f>
        <v/>
      </c>
      <c r="EH83" s="55">
        <f>SUMIFS(tblPlant[Gold_Poured_oz],tblPlant[Date],$A83)</f>
        <v/>
      </c>
      <c r="EI83" s="55">
        <f>IF($B83=$B82,$EI82,0)+$EH83</f>
        <v/>
      </c>
      <c r="EJ83" s="55">
        <f>$EJ82+$EH83</f>
        <v/>
      </c>
      <c r="EK83" s="57">
        <f>SUMIFS(tblPlant[Mill_Run_h],tblPlant[Date],$A83)</f>
        <v/>
      </c>
      <c r="EL83" s="57">
        <f>IF($B83=$B82,$EL82,0)+$EK83</f>
        <v/>
      </c>
      <c r="EM83" s="57">
        <f>$EM82+$EK83</f>
        <v/>
      </c>
      <c r="EN83" s="57">
        <f>SUMIFS(tblPlant[Mill_Planned_Maint_h],tblPlant[Date],$A83)</f>
        <v/>
      </c>
      <c r="EO83" s="57">
        <f>IF($B83=$B82,$EO82,0)+$EN83</f>
        <v/>
      </c>
      <c r="EP83" s="57">
        <f>$EP82+$EN83</f>
        <v/>
      </c>
      <c r="EQ83" s="57">
        <f>SUMIFS(tblPlant[Mill_Unplanned_Down_h],tblPlant[Date],$A83)</f>
        <v/>
      </c>
      <c r="ER83" s="57">
        <f>IF($B83=$B82,$ER82,0)+$EQ83</f>
        <v/>
      </c>
      <c r="ES83" s="57">
        <f>$ES82+$EQ83</f>
        <v/>
      </c>
      <c r="ET83" s="57">
        <f>IF(COUNTIFS(tblPlant[Date],$A83,tblPlant[Mill_Run_h],"&lt;&gt;")+COUNTIFS(tblPlant[Date],$A83,tblPlant[Mill_Planned_Maint_h],"&lt;&gt;")+COUNTIFS(tblPlant[Date],$A83,tblPlant[Mill_Unplanned_Down_h],"&lt;&gt;")&gt;0,cfg_HoursPerDay,0)</f>
        <v/>
      </c>
      <c r="EU83" s="57">
        <f>IF($B83=$B82,$EU82,0)+$ET83</f>
        <v/>
      </c>
      <c r="EV83" s="57">
        <f>$EV82+$ET83</f>
        <v/>
      </c>
      <c r="EW83" s="57">
        <f>SUMIFS(tblPlant[Crusher_Run_h],tblPlant[Date],$A83)</f>
        <v/>
      </c>
      <c r="EX83" s="57">
        <f>IF($B83=$B82,$EX82,0)+$EW83</f>
        <v/>
      </c>
      <c r="EY83" s="57">
        <f>$EY82+$EW83</f>
        <v/>
      </c>
      <c r="EZ83" s="55">
        <f>IFERROR(IF(($EK83)&gt;0,($DP83)/($EK83),""),"")</f>
        <v/>
      </c>
      <c r="FA83" s="55">
        <f>IFERROR(IF(($EL83)&gt;0,($DQ83)/($EL83),""),"")</f>
        <v/>
      </c>
      <c r="FB83" s="55">
        <f>IFERROR(IF(($EM83)&gt;0,($DR83)/($EM83),""),"")</f>
        <v/>
      </c>
      <c r="FC83" s="67">
        <f>IFERROR(IF(($ET83)&gt;0,($ET83-$EN83-$EQ83)/($ET83),""),"")</f>
        <v/>
      </c>
      <c r="FD83" s="67">
        <f>IFERROR(IF(($EU83)&gt;0,($EU83-$EO83-$ER83)/($EU83),""),"")</f>
        <v/>
      </c>
      <c r="FE83" s="67">
        <f>IFERROR(IF(($EV83)&gt;0,($EV83-$EP83-$ES83)/($EV83),""),"")</f>
        <v/>
      </c>
      <c r="FF83" s="67">
        <f>IFERROR(IF(($ET83-$EN83-$EQ83)&gt;0,($EK83)/($ET83-$EN83-$EQ83),""),"")</f>
        <v/>
      </c>
      <c r="FG83" s="67">
        <f>IFERROR(IF(($EU83-$EO83-$ER83)&gt;0,($EL83)/($EU83-$EO83-$ER83),""),"")</f>
        <v/>
      </c>
      <c r="FH83" s="67">
        <f>IFERROR(IF(($EV83-$EP83-$ES83)&gt;0,($EM83)/($EV83-$EP83-$ES83),""),"")</f>
        <v/>
      </c>
      <c r="FI83" s="55">
        <f>SUMIFS(tblPlant[Cyanide_kg],tblPlant[Date],$A83)</f>
        <v/>
      </c>
      <c r="FJ83" s="55">
        <f>IF($B83=$B82,$FJ82,0)+$FI83</f>
        <v/>
      </c>
      <c r="FK83" s="55">
        <f>$FK82+$FI83</f>
        <v/>
      </c>
      <c r="FL83" s="55">
        <f>SUMIFS(tblPlant[Lime_kg],tblPlant[Date],$A83)</f>
        <v/>
      </c>
      <c r="FM83" s="55">
        <f>IF($B83=$B82,$FM82,0)+$FL83</f>
        <v/>
      </c>
      <c r="FN83" s="55">
        <f>$FN82+$FL83</f>
        <v/>
      </c>
      <c r="FO83" s="55">
        <f>SUMIFS(tblPlant[Grinding_Media_kg],tblPlant[Date],$A83)</f>
        <v/>
      </c>
      <c r="FP83" s="55">
        <f>IF($B83=$B82,$FP82,0)+$FO83</f>
        <v/>
      </c>
      <c r="FQ83" s="55">
        <f>$FQ82+$FO83</f>
        <v/>
      </c>
      <c r="FR83" s="55">
        <f>SUMIFS(tblPlant[Power_kWh],tblPlant[Date],$A83)</f>
        <v/>
      </c>
      <c r="FS83" s="55">
        <f>IF($B83=$B82,$FS82,0)+$FR83</f>
        <v/>
      </c>
      <c r="FT83" s="55">
        <f>$FT82+$FR83</f>
        <v/>
      </c>
      <c r="FU83" s="55">
        <f>SUMIFS(tblPlant[Raw_Water_m3],tblPlant[Date],$A83)</f>
        <v/>
      </c>
      <c r="FV83" s="55">
        <f>IF($B83=$B82,$FV82,0)+$FU83</f>
        <v/>
      </c>
      <c r="FW83" s="55">
        <f>$FW82+$FU83</f>
        <v/>
      </c>
      <c r="FX83" s="56">
        <f>IFERROR(IF(($CU83)&gt;0,($FI83)/($CU83),""),"")</f>
        <v/>
      </c>
      <c r="FY83" s="56">
        <f>IFERROR(IF(($CV83)&gt;0,($FJ83)/($CV83),""),"")</f>
        <v/>
      </c>
      <c r="FZ83" s="56">
        <f>IFERROR(IF(($CW83)&gt;0,($FK83)/($CW83),""),"")</f>
        <v/>
      </c>
      <c r="GA83" s="56">
        <f>IFERROR(IF(($CU83)&gt;0,($FL83)/($CU83),""),"")</f>
        <v/>
      </c>
      <c r="GB83" s="56">
        <f>IFERROR(IF(($CV83)&gt;0,($FM83)/($CV83),""),"")</f>
        <v/>
      </c>
      <c r="GC83" s="56">
        <f>IFERROR(IF(($CW83)&gt;0,($FN83)/($CW83),""),"")</f>
        <v/>
      </c>
      <c r="GD83" s="56">
        <f>IFERROR(IF(($CU83)&gt;0,($FO83)/($CU83),""),"")</f>
        <v/>
      </c>
      <c r="GE83" s="56">
        <f>IFERROR(IF(($CV83)&gt;0,($FP83)/($CV83),""),"")</f>
        <v/>
      </c>
      <c r="GF83" s="56">
        <f>IFERROR(IF(($CW83)&gt;0,($FQ83)/($CW83),""),"")</f>
        <v/>
      </c>
      <c r="GG83" s="79">
        <f>IFERROR(IF(($CU83)&gt;0,($FR83)/($CU83),""),"")</f>
        <v/>
      </c>
      <c r="GH83" s="79">
        <f>IFERROR(IF(($CV83)&gt;0,($FS83)/($CV83),""),"")</f>
        <v/>
      </c>
      <c r="GI83" s="79">
        <f>IFERROR(IF(($CW83)&gt;0,($FT83)/($CW83),""),"")</f>
        <v/>
      </c>
      <c r="GJ83" s="56">
        <f>IFERROR(IF(($CU83)&gt;0,($FU83)/($CU83),""),"")</f>
        <v/>
      </c>
      <c r="GK83" s="56">
        <f>IFERROR(IF(($CV83)&gt;0,($FV83)/($CV83),""),"")</f>
        <v/>
      </c>
      <c r="GL83" s="56">
        <f>IFERROR(IF(($CW83)&gt;0,($FW83)/($CW83),""),"")</f>
        <v/>
      </c>
      <c r="GM83" s="55">
        <f>IF(SUMIFS(tblPlant[GIC_oz],tblPlant[Date],$A83)&gt;0,SUMIFS(tblPlant[GIC_oz],tblPlant[Date],$A83),"")</f>
        <v/>
      </c>
      <c r="GN83" s="55">
        <f>SUMIFS(tblGold[Gold_oz],tblGold[Date],$A83,tblGold[Type],"Shipment")</f>
        <v/>
      </c>
      <c r="GO83" s="55">
        <f>IF($B83=$B82,$GO82,0)+$GN83</f>
        <v/>
      </c>
      <c r="GP83" s="55">
        <f>$GP82+$GN83</f>
        <v/>
      </c>
      <c r="GQ83" s="55">
        <f>SUMIFS(tblGold[Gold_oz],tblGold[Date],$A83,tblGold[Type],"Sale")</f>
        <v/>
      </c>
      <c r="GR83" s="55">
        <f>IF($B83=$B82,$GR82,0)+$GQ83</f>
        <v/>
      </c>
      <c r="GS83" s="55">
        <f>$GS82+$GQ83</f>
        <v/>
      </c>
      <c r="GT83" s="55">
        <f>SUMIFS(tblGold[Dore_kg],tblGold[Date],$A83,tblGold[Type],"Shipment")</f>
        <v/>
      </c>
      <c r="GU83" s="55">
        <f>IF($B83=$B82,$GU82,0)+$GT83</f>
        <v/>
      </c>
      <c r="GV83" s="55">
        <f>$GV82+$GT83</f>
        <v/>
      </c>
      <c r="GW83" s="57">
        <f>SUMIFS(tblSafety[Hours_Total],tblSafety[Date],$A83)</f>
        <v/>
      </c>
      <c r="GX83" s="57">
        <f>IF($B83=$B82,$GX82,0)+$GW83</f>
        <v/>
      </c>
      <c r="GY83" s="57">
        <f>$GY82+$GW83</f>
        <v/>
      </c>
      <c r="GZ83" s="62">
        <f>SUMIFS(tblSafety[Fatality],tblSafety[Date],$A83)</f>
        <v/>
      </c>
      <c r="HA83" s="62">
        <f>IF($B83=$B82,$HA82,0)+$GZ83</f>
        <v/>
      </c>
      <c r="HB83" s="62">
        <f>$HB82+$GZ83</f>
        <v/>
      </c>
      <c r="HC83" s="62">
        <f>SUMIFS(tblSafety[LTI],tblSafety[Date],$A83)</f>
        <v/>
      </c>
      <c r="HD83" s="62">
        <f>IF($B83=$B82,$HD82,0)+$HC83</f>
        <v/>
      </c>
      <c r="HE83" s="62">
        <f>$HE82+$HC83</f>
        <v/>
      </c>
      <c r="HF83" s="62">
        <f>SUMIFS(tblSafety[RWI],tblSafety[Date],$A83)</f>
        <v/>
      </c>
      <c r="HG83" s="62">
        <f>IF($B83=$B82,$HG82,0)+$HF83</f>
        <v/>
      </c>
      <c r="HH83" s="62">
        <f>$HH82+$HF83</f>
        <v/>
      </c>
      <c r="HI83" s="62">
        <f>SUMIFS(tblSafety[MTI],tblSafety[Date],$A83)</f>
        <v/>
      </c>
      <c r="HJ83" s="62">
        <f>IF($B83=$B82,$HJ82,0)+$HI83</f>
        <v/>
      </c>
      <c r="HK83" s="62">
        <f>$HK82+$HI83</f>
        <v/>
      </c>
      <c r="HL83" s="62">
        <f>SUMIFS(tblSafety[FAI],tblSafety[Date],$A83)</f>
        <v/>
      </c>
      <c r="HM83" s="62">
        <f>IF($B83=$B82,$HM82,0)+$HL83</f>
        <v/>
      </c>
      <c r="HN83" s="62">
        <f>$HN82+$HL83</f>
        <v/>
      </c>
      <c r="HO83" s="62">
        <f>SUMIFS(tblSafety[Recordables],tblSafety[Date],$A83)</f>
        <v/>
      </c>
      <c r="HP83" s="62">
        <f>IF($B83=$B82,$HP82,0)+$HO83</f>
        <v/>
      </c>
      <c r="HQ83" s="62">
        <f>$HQ82+$HO83</f>
        <v/>
      </c>
      <c r="HR83" s="62">
        <f>SUMIFS(tblSafety[Near_Miss],tblSafety[Date],$A83)</f>
        <v/>
      </c>
      <c r="HS83" s="62">
        <f>IF($B83=$B82,$HS82,0)+$HR83</f>
        <v/>
      </c>
      <c r="HT83" s="62">
        <f>$HT82+$HR83</f>
        <v/>
      </c>
      <c r="HU83" s="62">
        <f>SUMIFS(tblSafety[Hazard_Reports],tblSafety[Date],$A83)</f>
        <v/>
      </c>
      <c r="HV83" s="62">
        <f>IF($B83=$B82,$HV82,0)+$HU83</f>
        <v/>
      </c>
      <c r="HW83" s="62">
        <f>$HW82+$HU83</f>
        <v/>
      </c>
      <c r="HX83" s="62">
        <f>SUMIFS(tblSafety[HPI],tblSafety[Date],$A83)</f>
        <v/>
      </c>
      <c r="HY83" s="62">
        <f>IF($B83=$B82,$HY82,0)+$HX83</f>
        <v/>
      </c>
      <c r="HZ83" s="62">
        <f>$HZ82+$HX83</f>
        <v/>
      </c>
      <c r="IA83" s="62">
        <f>SUMIFS(tblSafety[Env_Incidents],tblSafety[Date],$A83)</f>
        <v/>
      </c>
      <c r="IB83" s="62">
        <f>IF($B83=$B82,$IB82,0)+$IA83</f>
        <v/>
      </c>
      <c r="IC83" s="62">
        <f>$IC82+$IA83</f>
        <v/>
      </c>
      <c r="ID83" s="62">
        <f>SUMIFS(tblSafety[Community_Incidents],tblSafety[Date],$A83)</f>
        <v/>
      </c>
      <c r="IE83" s="62">
        <f>IF($B83=$B82,$IE82,0)+$ID83</f>
        <v/>
      </c>
      <c r="IF83" s="62">
        <f>$IF82+$ID83</f>
        <v/>
      </c>
      <c r="IG83" s="62">
        <f>SUMIFS(tblSafety[Vehicle_Incidents],tblSafety[Date],$A83)</f>
        <v/>
      </c>
      <c r="IH83" s="62">
        <f>IF($B83=$B82,$IH82,0)+$IG83</f>
        <v/>
      </c>
      <c r="II83" s="62">
        <f>$II82+$IG83</f>
        <v/>
      </c>
      <c r="IJ83" s="62">
        <f>SUMIFS(tblSafety[Toolbox_Talks],tblSafety[Date],$A83)</f>
        <v/>
      </c>
      <c r="IK83" s="62">
        <f>IF($B83=$B82,$IK82,0)+$IJ83</f>
        <v/>
      </c>
      <c r="IL83" s="62">
        <f>$IL82+$IJ83</f>
        <v/>
      </c>
      <c r="IM83" s="62">
        <f>SUMIFS(tblSafety[Inspections],tblSafety[Date],$A83)</f>
        <v/>
      </c>
      <c r="IN83" s="62">
        <f>IF($B83=$B82,$IN82,0)+$IM83</f>
        <v/>
      </c>
      <c r="IO83" s="62">
        <f>$IO82+$IM83</f>
        <v/>
      </c>
      <c r="IP83" s="56">
        <f>IFERROR((SUMIFS(tblSafety[Recordables],tblSafety[Date],"&gt;="&amp;EDATE($E83,-12),tblSafety[Date],"&lt;="&amp;$A83)+SUMIFS(tblSafetyHistory[Recordables],tblSafetyHistory[Month],"&gt;="&amp;EDATE($E83,-12),tblSafetyHistory[Month],"&lt;"&amp;$E83,tblSafetyHistory[Use],1))/(SUMIFS(tblSafety[Hours_Total],tblSafety[Date],"&gt;="&amp;EDATE($E83,-12),tblSafety[Date],"&lt;="&amp;$A83)+SUMIFS(tblSafetyHistory[Hours_Total],tblSafetyHistory[Month],"&gt;="&amp;EDATE($E83,-12),tblSafetyHistory[Month],"&lt;"&amp;$E83,tblSafetyHistory[Use],1))*cfg_RateBasisHours,"")</f>
        <v/>
      </c>
      <c r="IQ83" s="56">
        <f>IFERROR((SUMIFS(tblSafety[LTI],tblSafety[Date],"&gt;="&amp;EDATE($E83,-12),tblSafety[Date],"&lt;="&amp;$A83)+SUMIFS(tblSafetyHistory[LTI],tblSafetyHistory[Month],"&gt;="&amp;EDATE($E83,-12),tblSafetyHistory[Month],"&lt;"&amp;$E83,tblSafetyHistory[Use],1))/(SUMIFS(tblSafety[Hours_Total],tblSafety[Date],"&gt;="&amp;EDATE($E83,-12),tblSafety[Date],"&lt;="&amp;$A83)+SUMIFS(tblSafetyHistory[Hours_Total],tblSafetyHistory[Month],"&gt;="&amp;EDATE($E83,-12),tblSafetyHistory[Month],"&lt;"&amp;$E83,tblSafetyHistory[Use],1))*cfg_RateBasisHours,"")</f>
        <v/>
      </c>
      <c r="IR83" s="62">
        <f>IF(MAX(N(cfg_PriorLTIDate),_xlfn.MAXIFS(tblSafety[Date],tblSafety[LTI],"&gt;0",tblSafety[Date],"&lt;="&amp;$A83))=0,"",$A83-MAX(N(cfg_PriorLTIDate),_xlfn.MAXIFS(tblSafety[Date],tblSafety[LTI],"&gt;0",tblSafety[Date],"&lt;="&amp;$A83)))</f>
        <v/>
      </c>
      <c r="IS83" s="55">
        <f>SUMIFS(tblBudget[Ore_Mined_t],tblBudget[Month],$E83)</f>
        <v/>
      </c>
      <c r="IT83" s="55">
        <f>$IS83*$C83/$D83</f>
        <v/>
      </c>
      <c r="IU83" s="55">
        <f>SUMIFS(tblBudget[Ore_Mined_t],tblBudget[Month],"&lt;"&amp;$E83)+$IT83</f>
        <v/>
      </c>
      <c r="IV83" s="55">
        <f>SUMIFS(tblBudget[Ore_oz],tblBudget[Month],$E83)</f>
        <v/>
      </c>
      <c r="IW83" s="55">
        <f>$IV83*$C83/$D83</f>
        <v/>
      </c>
      <c r="IX83" s="55">
        <f>SUMIFS(tblBudget[Ore_oz],tblBudget[Month],"&lt;"&amp;$E83)+$IW83</f>
        <v/>
      </c>
      <c r="IY83" s="55">
        <f>SUMIFS(tblBudget[Ore_Mined_t],tblBudget[Month],$E83)</f>
        <v/>
      </c>
      <c r="IZ83" s="55">
        <f>$IY83*$C83/$D83</f>
        <v/>
      </c>
      <c r="JA83" s="55">
        <f>SUMIFS(tblBudget[Ore_Mined_t],tblBudget[Month],"&lt;"&amp;$E83)+$IZ83</f>
        <v/>
      </c>
      <c r="JB83" s="56">
        <f>IFERROR(IF(($IY83)&gt;0,($IV83*cfg_TroyOz)/($IY83),""),"")</f>
        <v/>
      </c>
      <c r="JC83" s="56">
        <f>IFERROR(IF(($IZ83)&gt;0,($IW83*cfg_TroyOz)/($IZ83),""),"")</f>
        <v/>
      </c>
      <c r="JD83" s="56">
        <f>IFERROR(IF(($JA83)&gt;0,($IX83*cfg_TroyOz)/($JA83),""),"")</f>
        <v/>
      </c>
      <c r="JE83" s="55">
        <f>SUMIFS(tblBudget[Waste_t],tblBudget[Month],$E83)</f>
        <v/>
      </c>
      <c r="JF83" s="55">
        <f>$JE83*$C83/$D83</f>
        <v/>
      </c>
      <c r="JG83" s="55">
        <f>SUMIFS(tblBudget[Waste_t],tblBudget[Month],"&lt;"&amp;$E83)+$JF83</f>
        <v/>
      </c>
      <c r="JH83" s="55">
        <f>SUMIFS(tblBudget[TMM_t],tblBudget[Month],$E83)</f>
        <v/>
      </c>
      <c r="JI83" s="55">
        <f>$JH83*$C83/$D83</f>
        <v/>
      </c>
      <c r="JJ83" s="55">
        <f>SUMIFS(tblBudget[TMM_t],tblBudget[Month],"&lt;"&amp;$E83)+$JI83</f>
        <v/>
      </c>
      <c r="JK83" s="56">
        <f>IFERROR(IF(($IS83)&gt;0,($JE83)/($IS83),""),"")</f>
        <v/>
      </c>
      <c r="JL83" s="56">
        <f>IFERROR(IF(($IT83)&gt;0,($JF83)/($IT83),""),"")</f>
        <v/>
      </c>
      <c r="JM83" s="56">
        <f>IFERROR(IF(($IU83)&gt;0,($JG83)/($IU83),""),"")</f>
        <v/>
      </c>
      <c r="JN83" s="55">
        <f>SUMIFS(tblBudget[Drill_m],tblBudget[Month],$E83)</f>
        <v/>
      </c>
      <c r="JO83" s="55">
        <f>$JN83*$C83/$D83</f>
        <v/>
      </c>
      <c r="JP83" s="55">
        <f>SUMIFS(tblBudget[Drill_m],tblBudget[Month],"&lt;"&amp;$E83)+$JO83</f>
        <v/>
      </c>
      <c r="JQ83" s="55">
        <f>SUMIFS(tblBudget[Diesel_L],tblBudget[Month],$E83)</f>
        <v/>
      </c>
      <c r="JR83" s="55">
        <f>$JQ83*$C83/$D83</f>
        <v/>
      </c>
      <c r="JS83" s="55">
        <f>SUMIFS(tblBudget[Diesel_L],tblBudget[Month],"&lt;"&amp;$E83)+$JR83</f>
        <v/>
      </c>
      <c r="JT83" s="55">
        <f>SUMIFS(tblBudget[Milled_t],tblBudget[Month],$E83)</f>
        <v/>
      </c>
      <c r="JU83" s="55">
        <f>$JT83*$C83/$D83</f>
        <v/>
      </c>
      <c r="JV83" s="55">
        <f>SUMIFS(tblBudget[Milled_t],tblBudget[Month],"&lt;"&amp;$E83)+$JU83</f>
        <v/>
      </c>
      <c r="JW83" s="55">
        <f>SUMIFS(tblBudget[Feed_oz],tblBudget[Month],$E83)</f>
        <v/>
      </c>
      <c r="JX83" s="55">
        <f>$JW83*$C83/$D83</f>
        <v/>
      </c>
      <c r="JY83" s="55">
        <f>SUMIFS(tblBudget[Feed_oz],tblBudget[Month],"&lt;"&amp;$E83)+$JX83</f>
        <v/>
      </c>
      <c r="JZ83" s="55">
        <f>SUMIFS(tblBudget[Recovered_oz],tblBudget[Month],$E83)</f>
        <v/>
      </c>
      <c r="KA83" s="55">
        <f>$JZ83*$C83/$D83</f>
        <v/>
      </c>
      <c r="KB83" s="55">
        <f>SUMIFS(tblBudget[Recovered_oz],tblBudget[Month],"&lt;"&amp;$E83)+$KA83</f>
        <v/>
      </c>
      <c r="KC83" s="55">
        <f>SUMIFS(tblBudget[Milled_t],tblBudget[Month],$E83)</f>
        <v/>
      </c>
      <c r="KD83" s="55">
        <f>$KC83*$C83/$D83</f>
        <v/>
      </c>
      <c r="KE83" s="55">
        <f>SUMIFS(tblBudget[Milled_t],tblBudget[Month],"&lt;"&amp;$E83)+$KD83</f>
        <v/>
      </c>
      <c r="KF83" s="55">
        <f>SUMIFS(tblBudget[Feed_oz],tblBudget[Month],$E83)</f>
        <v/>
      </c>
      <c r="KG83" s="55">
        <f>$KF83*$C83/$D83</f>
        <v/>
      </c>
      <c r="KH83" s="55">
        <f>SUMIFS(tblBudget[Feed_oz],tblBudget[Month],"&lt;"&amp;$E83)+$KG83</f>
        <v/>
      </c>
      <c r="KI83" s="56">
        <f>IFERROR(IF(($KC83)&gt;0,($JW83*cfg_TroyOz)/($KC83),""),"")</f>
        <v/>
      </c>
      <c r="KJ83" s="56">
        <f>IFERROR(IF(($KD83)&gt;0,($JX83*cfg_TroyOz)/($KD83),""),"")</f>
        <v/>
      </c>
      <c r="KK83" s="56">
        <f>IFERROR(IF(($KE83)&gt;0,($JY83*cfg_TroyOz)/($KE83),""),"")</f>
        <v/>
      </c>
      <c r="KL83" s="67">
        <f>IFERROR(IF(($KF83)&gt;0,($JZ83)/($KF83),""),"")</f>
        <v/>
      </c>
      <c r="KM83" s="67">
        <f>IFERROR(IF(($KG83)&gt;0,($KA83)/($KG83),""),"")</f>
        <v/>
      </c>
      <c r="KN83" s="67">
        <f>IFERROR(IF(($KH83)&gt;0,($KB83)/($KH83),""),"")</f>
        <v/>
      </c>
      <c r="KO83" s="55">
        <f>SUMIFS(tblBudget[Gold_Poured_oz],tblBudget[Month],$E83)</f>
        <v/>
      </c>
      <c r="KP83" s="55">
        <f>$KO83*$C83/$D83</f>
        <v/>
      </c>
      <c r="KQ83" s="55">
        <f>SUMIFS(tblBudget[Gold_Poured_oz],tblBudget[Month],"&lt;"&amp;$E83)+$KP83</f>
        <v/>
      </c>
      <c r="KR83" s="57">
        <f>SUMIFS(tblBudget[Hours_Worked],tblBudget[Month],$E83)</f>
        <v/>
      </c>
      <c r="KS83" s="57">
        <f>$KR83*$C83/$D83</f>
        <v/>
      </c>
      <c r="KT83" s="57">
        <f>SUMIFS(tblBudget[Hours_Worked],tblBudget[Month],"&lt;"&amp;$E83)+$KS83</f>
        <v/>
      </c>
    </row>
    <row r="84">
      <c r="A84" s="54" t="n">
        <v>46105</v>
      </c>
      <c r="B84">
        <f>MONTH($A84)</f>
        <v/>
      </c>
      <c r="C84">
        <f>DAY($A84)</f>
        <v/>
      </c>
      <c r="D84">
        <f>DAY(EOMONTH($A84,0))</f>
        <v/>
      </c>
      <c r="E84" s="54">
        <f>DATE(YEAR($A84),MONTH($A84),1)</f>
        <v/>
      </c>
      <c r="F84" s="55">
        <f>SUMIFS(tblMovement[Tonnes_t],tblMovement[Date],$A84,tblMovement[Is_Ore],1,tblMovement[Source_Type],"Pit")</f>
        <v/>
      </c>
      <c r="G84" s="55">
        <f>IF($B84=$B83,$G83,0)+$F84</f>
        <v/>
      </c>
      <c r="H84" s="55">
        <f>$H83+$F84</f>
        <v/>
      </c>
      <c r="I84" s="55">
        <f>SUMIFS(tblMovement[Ore_oz],tblMovement[Date],$A84,tblMovement[Source_Type],"Pit")</f>
        <v/>
      </c>
      <c r="J84" s="55">
        <f>IF($B84=$B83,$J83,0)+$I84</f>
        <v/>
      </c>
      <c r="K84" s="55">
        <f>$K83+$I84</f>
        <v/>
      </c>
      <c r="L84" s="55">
        <f>SUMIFS(tblMovement[Tonnes_t],tblMovement[Date],$A84,tblMovement[Is_Ore],1,tblMovement[Source_Type],"Pit",tblMovement[Grade_gpt],"&lt;&gt;")</f>
        <v/>
      </c>
      <c r="M84" s="55">
        <f>IF($B84=$B83,$M83,0)+$L84</f>
        <v/>
      </c>
      <c r="N84" s="55">
        <f>$N83+$L84</f>
        <v/>
      </c>
      <c r="O84" s="56">
        <f>IFERROR(IF(($L84)&gt;0,($I84*cfg_TroyOz)/($L84),""),"")</f>
        <v/>
      </c>
      <c r="P84" s="56">
        <f>IFERROR(IF(($M84)&gt;0,($J84*cfg_TroyOz)/($M84),""),"")</f>
        <v/>
      </c>
      <c r="Q84" s="56">
        <f>IFERROR(IF(($N84)&gt;0,($K84*cfg_TroyOz)/($N84),""),"")</f>
        <v/>
      </c>
      <c r="R84" s="55">
        <f>$F84-$L84</f>
        <v/>
      </c>
      <c r="S84" s="55">
        <f>IF($B84=$B83,$S83,0)+$R84</f>
        <v/>
      </c>
      <c r="T84" s="55">
        <f>$T83+$R84</f>
        <v/>
      </c>
      <c r="U84" s="55">
        <f>SUMIFS(tblMovement[Tonnes_t],tblMovement[Date],$A84,tblMovement[Is_Ore],0,tblMovement[Source_Type],"Pit")</f>
        <v/>
      </c>
      <c r="V84" s="55">
        <f>IF($B84=$B83,$V83,0)+$U84</f>
        <v/>
      </c>
      <c r="W84" s="55">
        <f>$W83+$U84</f>
        <v/>
      </c>
      <c r="X84" s="55">
        <f>$F84+$U84</f>
        <v/>
      </c>
      <c r="Y84" s="55">
        <f>IF($B84=$B83,$Y83,0)+$X84</f>
        <v/>
      </c>
      <c r="Z84" s="55">
        <f>$Z83+$X84</f>
        <v/>
      </c>
      <c r="AA84" s="56">
        <f>IFERROR(IF(($F84)&gt;0,($U84)/($F84),""),"")</f>
        <v/>
      </c>
      <c r="AB84" s="56">
        <f>IFERROR(IF(($G84)&gt;0,($V84)/($G84),""),"")</f>
        <v/>
      </c>
      <c r="AC84" s="56">
        <f>IFERROR(IF(($H84)&gt;0,($W84)/($H84),""),"")</f>
        <v/>
      </c>
      <c r="AD84" s="55">
        <f>SUMIFS(tblMovement[Tonnes_t],tblMovement[Date],$A84,tblMovement[Source_Type],"Stockpile")</f>
        <v/>
      </c>
      <c r="AE84" s="55">
        <f>IF($B84=$B83,$AE83,0)+$AD84</f>
        <v/>
      </c>
      <c r="AF84" s="55">
        <f>$AF83+$AD84</f>
        <v/>
      </c>
      <c r="AG84" s="55">
        <f>SUMIFS(tblMovement[Tonnes_t],tblMovement[Date],$A84)</f>
        <v/>
      </c>
      <c r="AH84" s="55">
        <f>IF($B84=$B83,$AH83,0)+$AG84</f>
        <v/>
      </c>
      <c r="AI84" s="55">
        <f>$AI83+$AG84</f>
        <v/>
      </c>
      <c r="AJ84" s="55">
        <f>$AG84-$X84-$AD84</f>
        <v/>
      </c>
      <c r="AK84" s="55">
        <f>IF($B84=$B83,$AK83,0)+$AJ84</f>
        <v/>
      </c>
      <c r="AL84" s="55">
        <f>$AL83+$AJ84</f>
        <v/>
      </c>
      <c r="AM84" s="55">
        <f>SUMIFS(tblMiningDaily[Drill_m],tblMiningDaily[Date],$A84)</f>
        <v/>
      </c>
      <c r="AN84" s="55">
        <f>IF($B84=$B83,$AN83,0)+$AM84</f>
        <v/>
      </c>
      <c r="AO84" s="55">
        <f>$AO83+$AM84</f>
        <v/>
      </c>
      <c r="AP84" s="55">
        <f>SUMIFS(tblMiningDaily[GC_Drill_m],tblMiningDaily[Date],$A84)</f>
        <v/>
      </c>
      <c r="AQ84" s="55">
        <f>IF($B84=$B83,$AQ83,0)+$AP84</f>
        <v/>
      </c>
      <c r="AR84" s="55">
        <f>$AR83+$AP84</f>
        <v/>
      </c>
      <c r="AS84" s="55">
        <f>SUMIFS(tblMiningDaily[Blast_t],tblMiningDaily[Date],$A84)</f>
        <v/>
      </c>
      <c r="AT84" s="55">
        <f>IF($B84=$B83,$AT83,0)+$AS84</f>
        <v/>
      </c>
      <c r="AU84" s="55">
        <f>$AU83+$AS84</f>
        <v/>
      </c>
      <c r="AV84" s="55">
        <f>SUMIFS(tblMiningDaily[Explosives_kg],tblMiningDaily[Date],$A84)</f>
        <v/>
      </c>
      <c r="AW84" s="55">
        <f>IF($B84=$B83,$AW83,0)+$AV84</f>
        <v/>
      </c>
      <c r="AX84" s="55">
        <f>$AX83+$AV84</f>
        <v/>
      </c>
      <c r="AY84" s="56">
        <f>IFERROR(IF(($AS84)&gt;0,($AV84)/($AS84),""),"")</f>
        <v/>
      </c>
      <c r="AZ84" s="56">
        <f>IFERROR(IF(($AT84)&gt;0,($AW84)/($AT84),""),"")</f>
        <v/>
      </c>
      <c r="BA84" s="56">
        <f>IFERROR(IF(($AU84)&gt;0,($AX84)/($AU84),""),"")</f>
        <v/>
      </c>
      <c r="BB84" s="55">
        <f>SUMIFS(tblMiningDaily[Diesel_L],tblMiningDaily[Date],$A84)</f>
        <v/>
      </c>
      <c r="BC84" s="55">
        <f>IF($B84=$B83,$BC83,0)+$BB84</f>
        <v/>
      </c>
      <c r="BD84" s="55">
        <f>$BD83+$BB84</f>
        <v/>
      </c>
      <c r="BE84" s="55">
        <f>SUMIFS(tblMiningDaily[Dewatering_m3],tblMiningDaily[Date],$A84)</f>
        <v/>
      </c>
      <c r="BF84" s="55">
        <f>IF($B84=$B83,$BF83,0)+$BE84</f>
        <v/>
      </c>
      <c r="BG84" s="55">
        <f>$BG83+$BE84</f>
        <v/>
      </c>
      <c r="BH84" s="57">
        <f>SUMIFS(tblFleet[Calendar_h],tblFleet[Date],$A84,tblFleet[Equipment_Class],"Excavator")</f>
        <v/>
      </c>
      <c r="BI84" s="57">
        <f>IF($B84=$B83,$BI83,0)+$BH84</f>
        <v/>
      </c>
      <c r="BJ84" s="57">
        <f>$BJ83+$BH84</f>
        <v/>
      </c>
      <c r="BK84" s="57">
        <f>SUMIFS(tblFleet[Available_h],tblFleet[Date],$A84,tblFleet[Equipment_Class],"Excavator")</f>
        <v/>
      </c>
      <c r="BL84" s="57">
        <f>IF($B84=$B83,$BL83,0)+$BK84</f>
        <v/>
      </c>
      <c r="BM84" s="57">
        <f>$BM83+$BK84</f>
        <v/>
      </c>
      <c r="BN84" s="57">
        <f>SUMIFS(tblFleet[Operating_h],tblFleet[Date],$A84,tblFleet[Equipment_Class],"Excavator")</f>
        <v/>
      </c>
      <c r="BO84" s="57">
        <f>IF($B84=$B83,$BO83,0)+$BN84</f>
        <v/>
      </c>
      <c r="BP84" s="57">
        <f>$BP83+$BN84</f>
        <v/>
      </c>
      <c r="BQ84" s="67">
        <f>IFERROR(IF(($BH84)&gt;0,($BK84)/($BH84),""),"")</f>
        <v/>
      </c>
      <c r="BR84" s="67">
        <f>IFERROR(IF(($BI84)&gt;0,($BL84)/($BI84),""),"")</f>
        <v/>
      </c>
      <c r="BS84" s="67">
        <f>IFERROR(IF(($BJ84)&gt;0,($BM84)/($BJ84),""),"")</f>
        <v/>
      </c>
      <c r="BT84" s="67">
        <f>IFERROR(IF(($BK84)&gt;0,($BN84)/($BK84),""),"")</f>
        <v/>
      </c>
      <c r="BU84" s="67">
        <f>IFERROR(IF(($BL84)&gt;0,($BO84)/($BL84),""),"")</f>
        <v/>
      </c>
      <c r="BV84" s="67">
        <f>IFERROR(IF(($BM84)&gt;0,($BP84)/($BM84),""),"")</f>
        <v/>
      </c>
      <c r="BW84" s="57">
        <f>SUMIFS(tblFleet[Calendar_h],tblFleet[Date],$A84,tblFleet[Equipment_Class],"Haul Truck")</f>
        <v/>
      </c>
      <c r="BX84" s="57">
        <f>IF($B84=$B83,$BX83,0)+$BW84</f>
        <v/>
      </c>
      <c r="BY84" s="57">
        <f>$BY83+$BW84</f>
        <v/>
      </c>
      <c r="BZ84" s="57">
        <f>SUMIFS(tblFleet[Available_h],tblFleet[Date],$A84,tblFleet[Equipment_Class],"Haul Truck")</f>
        <v/>
      </c>
      <c r="CA84" s="57">
        <f>IF($B84=$B83,$CA83,0)+$BZ84</f>
        <v/>
      </c>
      <c r="CB84" s="57">
        <f>$CB83+$BZ84</f>
        <v/>
      </c>
      <c r="CC84" s="57">
        <f>SUMIFS(tblFleet[Operating_h],tblFleet[Date],$A84,tblFleet[Equipment_Class],"Haul Truck")</f>
        <v/>
      </c>
      <c r="CD84" s="57">
        <f>IF($B84=$B83,$CD83,0)+$CC84</f>
        <v/>
      </c>
      <c r="CE84" s="57">
        <f>$CE83+$CC84</f>
        <v/>
      </c>
      <c r="CF84" s="67">
        <f>IFERROR(IF(($BW84)&gt;0,($BZ84)/($BW84),""),"")</f>
        <v/>
      </c>
      <c r="CG84" s="67">
        <f>IFERROR(IF(($BX84)&gt;0,($CA84)/($BX84),""),"")</f>
        <v/>
      </c>
      <c r="CH84" s="67">
        <f>IFERROR(IF(($BY84)&gt;0,($CB84)/($BY84),""),"")</f>
        <v/>
      </c>
      <c r="CI84" s="67">
        <f>IFERROR(IF(($BZ84)&gt;0,($CC84)/($BZ84),""),"")</f>
        <v/>
      </c>
      <c r="CJ84" s="67">
        <f>IFERROR(IF(($CA84)&gt;0,($CD84)/($CA84),""),"")</f>
        <v/>
      </c>
      <c r="CK84" s="67">
        <f>IFERROR(IF(($CB84)&gt;0,($CE84)/($CB84),""),"")</f>
        <v/>
      </c>
      <c r="CL84" s="55">
        <f>IFERROR(IF(($BN84)&gt;0,($X84+$AD84)/($BN84),""),"")</f>
        <v/>
      </c>
      <c r="CM84" s="55">
        <f>IFERROR(IF(($BO84)&gt;0,($Y84+$AE84)/($BO84),""),"")</f>
        <v/>
      </c>
      <c r="CN84" s="55">
        <f>IFERROR(IF(($BP84)&gt;0,($Z84+$AF84)/($BP84),""),"")</f>
        <v/>
      </c>
      <c r="CO84" s="55">
        <f>IFERROR(IF(($CC84)&gt;0,($X84+$AD84)/($CC84),""),"")</f>
        <v/>
      </c>
      <c r="CP84" s="55">
        <f>IFERROR(IF(($CD84)&gt;0,($Y84+$AE84)/($CD84),""),"")</f>
        <v/>
      </c>
      <c r="CQ84" s="55">
        <f>IFERROR(IF(($CE84)&gt;0,($Z84+$AF84)/($CE84),""),"")</f>
        <v/>
      </c>
      <c r="CR84" s="55">
        <f>SUMIFS(tblPlant[Crushed_t],tblPlant[Date],$A84)</f>
        <v/>
      </c>
      <c r="CS84" s="55">
        <f>IF($B84=$B83,$CS83,0)+$CR84</f>
        <v/>
      </c>
      <c r="CT84" s="55">
        <f>$CT83+$CR84</f>
        <v/>
      </c>
      <c r="CU84" s="55">
        <f>SUMIFS(tblPlant[Milled_t],tblPlant[Date],$A84)</f>
        <v/>
      </c>
      <c r="CV84" s="55">
        <f>IF($B84=$B83,$CV83,0)+$CU84</f>
        <v/>
      </c>
      <c r="CW84" s="55">
        <f>$CW83+$CU84</f>
        <v/>
      </c>
      <c r="CX84" s="55">
        <f>SUMIFS(tblPlant[Feed_oz],tblPlant[Date],$A84)</f>
        <v/>
      </c>
      <c r="CY84" s="55">
        <f>IF($B84=$B83,$CY83,0)+$CX84</f>
        <v/>
      </c>
      <c r="CZ84" s="55">
        <f>$CZ83+$CX84</f>
        <v/>
      </c>
      <c r="DA84" s="55">
        <f>SUMIFS(tblPlant[Tails_oz],tblPlant[Date],$A84)</f>
        <v/>
      </c>
      <c r="DB84" s="55">
        <f>IF($B84=$B83,$DB83,0)+$DA84</f>
        <v/>
      </c>
      <c r="DC84" s="55">
        <f>$DC83+$DA84</f>
        <v/>
      </c>
      <c r="DD84" s="55">
        <f>SUMIFS(tblPlant[Recovered_oz],tblPlant[Date],$A84)</f>
        <v/>
      </c>
      <c r="DE84" s="55">
        <f>IF($B84=$B83,$DE83,0)+$DD84</f>
        <v/>
      </c>
      <c r="DF84" s="55">
        <f>$DF83+$DD84</f>
        <v/>
      </c>
      <c r="DG84" s="55">
        <f>SUMIFS(tblPlant[Milled_t],tblPlant[Date],$A84,tblPlant[Head_Grade_gpt],"&lt;&gt;")</f>
        <v/>
      </c>
      <c r="DH84" s="55">
        <f>IF($B84=$B83,$DH83,0)+$DG84</f>
        <v/>
      </c>
      <c r="DI84" s="55">
        <f>$DI83+$DG84</f>
        <v/>
      </c>
      <c r="DJ84" s="55">
        <f>SUMIFS(tblPlant[Milled_t],tblPlant[Date],$A84,tblPlant[Tails_Grade_gpt],"&lt;&gt;")</f>
        <v/>
      </c>
      <c r="DK84" s="55">
        <f>IF($B84=$B83,$DK83,0)+$DJ84</f>
        <v/>
      </c>
      <c r="DL84" s="55">
        <f>$DL83+$DJ84</f>
        <v/>
      </c>
      <c r="DM84" s="55">
        <f>SUMIFS(tblPlant[Feed_oz],tblPlant[Date],$A84,tblPlant[Tails_Grade_gpt],"&lt;&gt;")</f>
        <v/>
      </c>
      <c r="DN84" s="55">
        <f>IF($B84=$B83,$DN83,0)+$DM84</f>
        <v/>
      </c>
      <c r="DO84" s="55">
        <f>$DO83+$DM84</f>
        <v/>
      </c>
      <c r="DP84" s="55">
        <f>SUMIFS(tblPlant[Milled_t],tblPlant[Date],$A84,tblPlant[Mill_Run_h],"&lt;&gt;")</f>
        <v/>
      </c>
      <c r="DQ84" s="55">
        <f>IF($B84=$B83,$DQ83,0)+$DP84</f>
        <v/>
      </c>
      <c r="DR84" s="55">
        <f>$DR83+$DP84</f>
        <v/>
      </c>
      <c r="DS84" s="56">
        <f>IFERROR(IF(($DG84)&gt;0,($CX84*cfg_TroyOz)/($DG84),""),"")</f>
        <v/>
      </c>
      <c r="DT84" s="56">
        <f>IFERROR(IF(($DH84)&gt;0,($CY84*cfg_TroyOz)/($DH84),""),"")</f>
        <v/>
      </c>
      <c r="DU84" s="56">
        <f>IFERROR(IF(($DI84)&gt;0,($CZ84*cfg_TroyOz)/($DI84),""),"")</f>
        <v/>
      </c>
      <c r="DV84" s="56">
        <f>IFERROR(IF(($DJ84)&gt;0,($DA84*cfg_TroyOz)/($DJ84),""),"")</f>
        <v/>
      </c>
      <c r="DW84" s="56">
        <f>IFERROR(IF(($DK84)&gt;0,($DB84*cfg_TroyOz)/($DK84),""),"")</f>
        <v/>
      </c>
      <c r="DX84" s="56">
        <f>IFERROR(IF(($DL84)&gt;0,($DC84*cfg_TroyOz)/($DL84),""),"")</f>
        <v/>
      </c>
      <c r="DY84" s="67">
        <f>IFERROR(IF(($DM84)&gt;0,($DD84)/($DM84),""),"")</f>
        <v/>
      </c>
      <c r="DZ84" s="67">
        <f>IFERROR(IF(($DN84)&gt;0,($DE84)/($DN84),""),"")</f>
        <v/>
      </c>
      <c r="EA84" s="67">
        <f>IFERROR(IF(($DO84)&gt;0,($DF84)/($DO84),""),"")</f>
        <v/>
      </c>
      <c r="EB84" s="55">
        <f>SUMIFS(tblPlant[Gravity_Gold_oz],tblPlant[Date],$A84)</f>
        <v/>
      </c>
      <c r="EC84" s="55">
        <f>IF($B84=$B83,$EC83,0)+$EB84</f>
        <v/>
      </c>
      <c r="ED84" s="55">
        <f>$ED83+$EB84</f>
        <v/>
      </c>
      <c r="EE84" s="67">
        <f>IFERROR(IF(($DD84)&gt;0,($EB84)/($DD84),""),"")</f>
        <v/>
      </c>
      <c r="EF84" s="67">
        <f>IFERROR(IF(($DE84)&gt;0,($EC84)/($DE84),""),"")</f>
        <v/>
      </c>
      <c r="EG84" s="67">
        <f>IFERROR(IF(($DF84)&gt;0,($ED84)/($DF84),""),"")</f>
        <v/>
      </c>
      <c r="EH84" s="55">
        <f>SUMIFS(tblPlant[Gold_Poured_oz],tblPlant[Date],$A84)</f>
        <v/>
      </c>
      <c r="EI84" s="55">
        <f>IF($B84=$B83,$EI83,0)+$EH84</f>
        <v/>
      </c>
      <c r="EJ84" s="55">
        <f>$EJ83+$EH84</f>
        <v/>
      </c>
      <c r="EK84" s="57">
        <f>SUMIFS(tblPlant[Mill_Run_h],tblPlant[Date],$A84)</f>
        <v/>
      </c>
      <c r="EL84" s="57">
        <f>IF($B84=$B83,$EL83,0)+$EK84</f>
        <v/>
      </c>
      <c r="EM84" s="57">
        <f>$EM83+$EK84</f>
        <v/>
      </c>
      <c r="EN84" s="57">
        <f>SUMIFS(tblPlant[Mill_Planned_Maint_h],tblPlant[Date],$A84)</f>
        <v/>
      </c>
      <c r="EO84" s="57">
        <f>IF($B84=$B83,$EO83,0)+$EN84</f>
        <v/>
      </c>
      <c r="EP84" s="57">
        <f>$EP83+$EN84</f>
        <v/>
      </c>
      <c r="EQ84" s="57">
        <f>SUMIFS(tblPlant[Mill_Unplanned_Down_h],tblPlant[Date],$A84)</f>
        <v/>
      </c>
      <c r="ER84" s="57">
        <f>IF($B84=$B83,$ER83,0)+$EQ84</f>
        <v/>
      </c>
      <c r="ES84" s="57">
        <f>$ES83+$EQ84</f>
        <v/>
      </c>
      <c r="ET84" s="57">
        <f>IF(COUNTIFS(tblPlant[Date],$A84,tblPlant[Mill_Run_h],"&lt;&gt;")+COUNTIFS(tblPlant[Date],$A84,tblPlant[Mill_Planned_Maint_h],"&lt;&gt;")+COUNTIFS(tblPlant[Date],$A84,tblPlant[Mill_Unplanned_Down_h],"&lt;&gt;")&gt;0,cfg_HoursPerDay,0)</f>
        <v/>
      </c>
      <c r="EU84" s="57">
        <f>IF($B84=$B83,$EU83,0)+$ET84</f>
        <v/>
      </c>
      <c r="EV84" s="57">
        <f>$EV83+$ET84</f>
        <v/>
      </c>
      <c r="EW84" s="57">
        <f>SUMIFS(tblPlant[Crusher_Run_h],tblPlant[Date],$A84)</f>
        <v/>
      </c>
      <c r="EX84" s="57">
        <f>IF($B84=$B83,$EX83,0)+$EW84</f>
        <v/>
      </c>
      <c r="EY84" s="57">
        <f>$EY83+$EW84</f>
        <v/>
      </c>
      <c r="EZ84" s="55">
        <f>IFERROR(IF(($EK84)&gt;0,($DP84)/($EK84),""),"")</f>
        <v/>
      </c>
      <c r="FA84" s="55">
        <f>IFERROR(IF(($EL84)&gt;0,($DQ84)/($EL84),""),"")</f>
        <v/>
      </c>
      <c r="FB84" s="55">
        <f>IFERROR(IF(($EM84)&gt;0,($DR84)/($EM84),""),"")</f>
        <v/>
      </c>
      <c r="FC84" s="67">
        <f>IFERROR(IF(($ET84)&gt;0,($ET84-$EN84-$EQ84)/($ET84),""),"")</f>
        <v/>
      </c>
      <c r="FD84" s="67">
        <f>IFERROR(IF(($EU84)&gt;0,($EU84-$EO84-$ER84)/($EU84),""),"")</f>
        <v/>
      </c>
      <c r="FE84" s="67">
        <f>IFERROR(IF(($EV84)&gt;0,($EV84-$EP84-$ES84)/($EV84),""),"")</f>
        <v/>
      </c>
      <c r="FF84" s="67">
        <f>IFERROR(IF(($ET84-$EN84-$EQ84)&gt;0,($EK84)/($ET84-$EN84-$EQ84),""),"")</f>
        <v/>
      </c>
      <c r="FG84" s="67">
        <f>IFERROR(IF(($EU84-$EO84-$ER84)&gt;0,($EL84)/($EU84-$EO84-$ER84),""),"")</f>
        <v/>
      </c>
      <c r="FH84" s="67">
        <f>IFERROR(IF(($EV84-$EP84-$ES84)&gt;0,($EM84)/($EV84-$EP84-$ES84),""),"")</f>
        <v/>
      </c>
      <c r="FI84" s="55">
        <f>SUMIFS(tblPlant[Cyanide_kg],tblPlant[Date],$A84)</f>
        <v/>
      </c>
      <c r="FJ84" s="55">
        <f>IF($B84=$B83,$FJ83,0)+$FI84</f>
        <v/>
      </c>
      <c r="FK84" s="55">
        <f>$FK83+$FI84</f>
        <v/>
      </c>
      <c r="FL84" s="55">
        <f>SUMIFS(tblPlant[Lime_kg],tblPlant[Date],$A84)</f>
        <v/>
      </c>
      <c r="FM84" s="55">
        <f>IF($B84=$B83,$FM83,0)+$FL84</f>
        <v/>
      </c>
      <c r="FN84" s="55">
        <f>$FN83+$FL84</f>
        <v/>
      </c>
      <c r="FO84" s="55">
        <f>SUMIFS(tblPlant[Grinding_Media_kg],tblPlant[Date],$A84)</f>
        <v/>
      </c>
      <c r="FP84" s="55">
        <f>IF($B84=$B83,$FP83,0)+$FO84</f>
        <v/>
      </c>
      <c r="FQ84" s="55">
        <f>$FQ83+$FO84</f>
        <v/>
      </c>
      <c r="FR84" s="55">
        <f>SUMIFS(tblPlant[Power_kWh],tblPlant[Date],$A84)</f>
        <v/>
      </c>
      <c r="FS84" s="55">
        <f>IF($B84=$B83,$FS83,0)+$FR84</f>
        <v/>
      </c>
      <c r="FT84" s="55">
        <f>$FT83+$FR84</f>
        <v/>
      </c>
      <c r="FU84" s="55">
        <f>SUMIFS(tblPlant[Raw_Water_m3],tblPlant[Date],$A84)</f>
        <v/>
      </c>
      <c r="FV84" s="55">
        <f>IF($B84=$B83,$FV83,0)+$FU84</f>
        <v/>
      </c>
      <c r="FW84" s="55">
        <f>$FW83+$FU84</f>
        <v/>
      </c>
      <c r="FX84" s="56">
        <f>IFERROR(IF(($CU84)&gt;0,($FI84)/($CU84),""),"")</f>
        <v/>
      </c>
      <c r="FY84" s="56">
        <f>IFERROR(IF(($CV84)&gt;0,($FJ84)/($CV84),""),"")</f>
        <v/>
      </c>
      <c r="FZ84" s="56">
        <f>IFERROR(IF(($CW84)&gt;0,($FK84)/($CW84),""),"")</f>
        <v/>
      </c>
      <c r="GA84" s="56">
        <f>IFERROR(IF(($CU84)&gt;0,($FL84)/($CU84),""),"")</f>
        <v/>
      </c>
      <c r="GB84" s="56">
        <f>IFERROR(IF(($CV84)&gt;0,($FM84)/($CV84),""),"")</f>
        <v/>
      </c>
      <c r="GC84" s="56">
        <f>IFERROR(IF(($CW84)&gt;0,($FN84)/($CW84),""),"")</f>
        <v/>
      </c>
      <c r="GD84" s="56">
        <f>IFERROR(IF(($CU84)&gt;0,($FO84)/($CU84),""),"")</f>
        <v/>
      </c>
      <c r="GE84" s="56">
        <f>IFERROR(IF(($CV84)&gt;0,($FP84)/($CV84),""),"")</f>
        <v/>
      </c>
      <c r="GF84" s="56">
        <f>IFERROR(IF(($CW84)&gt;0,($FQ84)/($CW84),""),"")</f>
        <v/>
      </c>
      <c r="GG84" s="79">
        <f>IFERROR(IF(($CU84)&gt;0,($FR84)/($CU84),""),"")</f>
        <v/>
      </c>
      <c r="GH84" s="79">
        <f>IFERROR(IF(($CV84)&gt;0,($FS84)/($CV84),""),"")</f>
        <v/>
      </c>
      <c r="GI84" s="79">
        <f>IFERROR(IF(($CW84)&gt;0,($FT84)/($CW84),""),"")</f>
        <v/>
      </c>
      <c r="GJ84" s="56">
        <f>IFERROR(IF(($CU84)&gt;0,($FU84)/($CU84),""),"")</f>
        <v/>
      </c>
      <c r="GK84" s="56">
        <f>IFERROR(IF(($CV84)&gt;0,($FV84)/($CV84),""),"")</f>
        <v/>
      </c>
      <c r="GL84" s="56">
        <f>IFERROR(IF(($CW84)&gt;0,($FW84)/($CW84),""),"")</f>
        <v/>
      </c>
      <c r="GM84" s="55">
        <f>IF(SUMIFS(tblPlant[GIC_oz],tblPlant[Date],$A84)&gt;0,SUMIFS(tblPlant[GIC_oz],tblPlant[Date],$A84),"")</f>
        <v/>
      </c>
      <c r="GN84" s="55">
        <f>SUMIFS(tblGold[Gold_oz],tblGold[Date],$A84,tblGold[Type],"Shipment")</f>
        <v/>
      </c>
      <c r="GO84" s="55">
        <f>IF($B84=$B83,$GO83,0)+$GN84</f>
        <v/>
      </c>
      <c r="GP84" s="55">
        <f>$GP83+$GN84</f>
        <v/>
      </c>
      <c r="GQ84" s="55">
        <f>SUMIFS(tblGold[Gold_oz],tblGold[Date],$A84,tblGold[Type],"Sale")</f>
        <v/>
      </c>
      <c r="GR84" s="55">
        <f>IF($B84=$B83,$GR83,0)+$GQ84</f>
        <v/>
      </c>
      <c r="GS84" s="55">
        <f>$GS83+$GQ84</f>
        <v/>
      </c>
      <c r="GT84" s="55">
        <f>SUMIFS(tblGold[Dore_kg],tblGold[Date],$A84,tblGold[Type],"Shipment")</f>
        <v/>
      </c>
      <c r="GU84" s="55">
        <f>IF($B84=$B83,$GU83,0)+$GT84</f>
        <v/>
      </c>
      <c r="GV84" s="55">
        <f>$GV83+$GT84</f>
        <v/>
      </c>
      <c r="GW84" s="57">
        <f>SUMIFS(tblSafety[Hours_Total],tblSafety[Date],$A84)</f>
        <v/>
      </c>
      <c r="GX84" s="57">
        <f>IF($B84=$B83,$GX83,0)+$GW84</f>
        <v/>
      </c>
      <c r="GY84" s="57">
        <f>$GY83+$GW84</f>
        <v/>
      </c>
      <c r="GZ84" s="62">
        <f>SUMIFS(tblSafety[Fatality],tblSafety[Date],$A84)</f>
        <v/>
      </c>
      <c r="HA84" s="62">
        <f>IF($B84=$B83,$HA83,0)+$GZ84</f>
        <v/>
      </c>
      <c r="HB84" s="62">
        <f>$HB83+$GZ84</f>
        <v/>
      </c>
      <c r="HC84" s="62">
        <f>SUMIFS(tblSafety[LTI],tblSafety[Date],$A84)</f>
        <v/>
      </c>
      <c r="HD84" s="62">
        <f>IF($B84=$B83,$HD83,0)+$HC84</f>
        <v/>
      </c>
      <c r="HE84" s="62">
        <f>$HE83+$HC84</f>
        <v/>
      </c>
      <c r="HF84" s="62">
        <f>SUMIFS(tblSafety[RWI],tblSafety[Date],$A84)</f>
        <v/>
      </c>
      <c r="HG84" s="62">
        <f>IF($B84=$B83,$HG83,0)+$HF84</f>
        <v/>
      </c>
      <c r="HH84" s="62">
        <f>$HH83+$HF84</f>
        <v/>
      </c>
      <c r="HI84" s="62">
        <f>SUMIFS(tblSafety[MTI],tblSafety[Date],$A84)</f>
        <v/>
      </c>
      <c r="HJ84" s="62">
        <f>IF($B84=$B83,$HJ83,0)+$HI84</f>
        <v/>
      </c>
      <c r="HK84" s="62">
        <f>$HK83+$HI84</f>
        <v/>
      </c>
      <c r="HL84" s="62">
        <f>SUMIFS(tblSafety[FAI],tblSafety[Date],$A84)</f>
        <v/>
      </c>
      <c r="HM84" s="62">
        <f>IF($B84=$B83,$HM83,0)+$HL84</f>
        <v/>
      </c>
      <c r="HN84" s="62">
        <f>$HN83+$HL84</f>
        <v/>
      </c>
      <c r="HO84" s="62">
        <f>SUMIFS(tblSafety[Recordables],tblSafety[Date],$A84)</f>
        <v/>
      </c>
      <c r="HP84" s="62">
        <f>IF($B84=$B83,$HP83,0)+$HO84</f>
        <v/>
      </c>
      <c r="HQ84" s="62">
        <f>$HQ83+$HO84</f>
        <v/>
      </c>
      <c r="HR84" s="62">
        <f>SUMIFS(tblSafety[Near_Miss],tblSafety[Date],$A84)</f>
        <v/>
      </c>
      <c r="HS84" s="62">
        <f>IF($B84=$B83,$HS83,0)+$HR84</f>
        <v/>
      </c>
      <c r="HT84" s="62">
        <f>$HT83+$HR84</f>
        <v/>
      </c>
      <c r="HU84" s="62">
        <f>SUMIFS(tblSafety[Hazard_Reports],tblSafety[Date],$A84)</f>
        <v/>
      </c>
      <c r="HV84" s="62">
        <f>IF($B84=$B83,$HV83,0)+$HU84</f>
        <v/>
      </c>
      <c r="HW84" s="62">
        <f>$HW83+$HU84</f>
        <v/>
      </c>
      <c r="HX84" s="62">
        <f>SUMIFS(tblSafety[HPI],tblSafety[Date],$A84)</f>
        <v/>
      </c>
      <c r="HY84" s="62">
        <f>IF($B84=$B83,$HY83,0)+$HX84</f>
        <v/>
      </c>
      <c r="HZ84" s="62">
        <f>$HZ83+$HX84</f>
        <v/>
      </c>
      <c r="IA84" s="62">
        <f>SUMIFS(tblSafety[Env_Incidents],tblSafety[Date],$A84)</f>
        <v/>
      </c>
      <c r="IB84" s="62">
        <f>IF($B84=$B83,$IB83,0)+$IA84</f>
        <v/>
      </c>
      <c r="IC84" s="62">
        <f>$IC83+$IA84</f>
        <v/>
      </c>
      <c r="ID84" s="62">
        <f>SUMIFS(tblSafety[Community_Incidents],tblSafety[Date],$A84)</f>
        <v/>
      </c>
      <c r="IE84" s="62">
        <f>IF($B84=$B83,$IE83,0)+$ID84</f>
        <v/>
      </c>
      <c r="IF84" s="62">
        <f>$IF83+$ID84</f>
        <v/>
      </c>
      <c r="IG84" s="62">
        <f>SUMIFS(tblSafety[Vehicle_Incidents],tblSafety[Date],$A84)</f>
        <v/>
      </c>
      <c r="IH84" s="62">
        <f>IF($B84=$B83,$IH83,0)+$IG84</f>
        <v/>
      </c>
      <c r="II84" s="62">
        <f>$II83+$IG84</f>
        <v/>
      </c>
      <c r="IJ84" s="62">
        <f>SUMIFS(tblSafety[Toolbox_Talks],tblSafety[Date],$A84)</f>
        <v/>
      </c>
      <c r="IK84" s="62">
        <f>IF($B84=$B83,$IK83,0)+$IJ84</f>
        <v/>
      </c>
      <c r="IL84" s="62">
        <f>$IL83+$IJ84</f>
        <v/>
      </c>
      <c r="IM84" s="62">
        <f>SUMIFS(tblSafety[Inspections],tblSafety[Date],$A84)</f>
        <v/>
      </c>
      <c r="IN84" s="62">
        <f>IF($B84=$B83,$IN83,0)+$IM84</f>
        <v/>
      </c>
      <c r="IO84" s="62">
        <f>$IO83+$IM84</f>
        <v/>
      </c>
      <c r="IP84" s="56">
        <f>IFERROR((SUMIFS(tblSafety[Recordables],tblSafety[Date],"&gt;="&amp;EDATE($E84,-12),tblSafety[Date],"&lt;="&amp;$A84)+SUMIFS(tblSafetyHistory[Recordables],tblSafetyHistory[Month],"&gt;="&amp;EDATE($E84,-12),tblSafetyHistory[Month],"&lt;"&amp;$E84,tblSafetyHistory[Use],1))/(SUMIFS(tblSafety[Hours_Total],tblSafety[Date],"&gt;="&amp;EDATE($E84,-12),tblSafety[Date],"&lt;="&amp;$A84)+SUMIFS(tblSafetyHistory[Hours_Total],tblSafetyHistory[Month],"&gt;="&amp;EDATE($E84,-12),tblSafetyHistory[Month],"&lt;"&amp;$E84,tblSafetyHistory[Use],1))*cfg_RateBasisHours,"")</f>
        <v/>
      </c>
      <c r="IQ84" s="56">
        <f>IFERROR((SUMIFS(tblSafety[LTI],tblSafety[Date],"&gt;="&amp;EDATE($E84,-12),tblSafety[Date],"&lt;="&amp;$A84)+SUMIFS(tblSafetyHistory[LTI],tblSafetyHistory[Month],"&gt;="&amp;EDATE($E84,-12),tblSafetyHistory[Month],"&lt;"&amp;$E84,tblSafetyHistory[Use],1))/(SUMIFS(tblSafety[Hours_Total],tblSafety[Date],"&gt;="&amp;EDATE($E84,-12),tblSafety[Date],"&lt;="&amp;$A84)+SUMIFS(tblSafetyHistory[Hours_Total],tblSafetyHistory[Month],"&gt;="&amp;EDATE($E84,-12),tblSafetyHistory[Month],"&lt;"&amp;$E84,tblSafetyHistory[Use],1))*cfg_RateBasisHours,"")</f>
        <v/>
      </c>
      <c r="IR84" s="62">
        <f>IF(MAX(N(cfg_PriorLTIDate),_xlfn.MAXIFS(tblSafety[Date],tblSafety[LTI],"&gt;0",tblSafety[Date],"&lt;="&amp;$A84))=0,"",$A84-MAX(N(cfg_PriorLTIDate),_xlfn.MAXIFS(tblSafety[Date],tblSafety[LTI],"&gt;0",tblSafety[Date],"&lt;="&amp;$A84)))</f>
        <v/>
      </c>
      <c r="IS84" s="55">
        <f>SUMIFS(tblBudget[Ore_Mined_t],tblBudget[Month],$E84)</f>
        <v/>
      </c>
      <c r="IT84" s="55">
        <f>$IS84*$C84/$D84</f>
        <v/>
      </c>
      <c r="IU84" s="55">
        <f>SUMIFS(tblBudget[Ore_Mined_t],tblBudget[Month],"&lt;"&amp;$E84)+$IT84</f>
        <v/>
      </c>
      <c r="IV84" s="55">
        <f>SUMIFS(tblBudget[Ore_oz],tblBudget[Month],$E84)</f>
        <v/>
      </c>
      <c r="IW84" s="55">
        <f>$IV84*$C84/$D84</f>
        <v/>
      </c>
      <c r="IX84" s="55">
        <f>SUMIFS(tblBudget[Ore_oz],tblBudget[Month],"&lt;"&amp;$E84)+$IW84</f>
        <v/>
      </c>
      <c r="IY84" s="55">
        <f>SUMIFS(tblBudget[Ore_Mined_t],tblBudget[Month],$E84)</f>
        <v/>
      </c>
      <c r="IZ84" s="55">
        <f>$IY84*$C84/$D84</f>
        <v/>
      </c>
      <c r="JA84" s="55">
        <f>SUMIFS(tblBudget[Ore_Mined_t],tblBudget[Month],"&lt;"&amp;$E84)+$IZ84</f>
        <v/>
      </c>
      <c r="JB84" s="56">
        <f>IFERROR(IF(($IY84)&gt;0,($IV84*cfg_TroyOz)/($IY84),""),"")</f>
        <v/>
      </c>
      <c r="JC84" s="56">
        <f>IFERROR(IF(($IZ84)&gt;0,($IW84*cfg_TroyOz)/($IZ84),""),"")</f>
        <v/>
      </c>
      <c r="JD84" s="56">
        <f>IFERROR(IF(($JA84)&gt;0,($IX84*cfg_TroyOz)/($JA84),""),"")</f>
        <v/>
      </c>
      <c r="JE84" s="55">
        <f>SUMIFS(tblBudget[Waste_t],tblBudget[Month],$E84)</f>
        <v/>
      </c>
      <c r="JF84" s="55">
        <f>$JE84*$C84/$D84</f>
        <v/>
      </c>
      <c r="JG84" s="55">
        <f>SUMIFS(tblBudget[Waste_t],tblBudget[Month],"&lt;"&amp;$E84)+$JF84</f>
        <v/>
      </c>
      <c r="JH84" s="55">
        <f>SUMIFS(tblBudget[TMM_t],tblBudget[Month],$E84)</f>
        <v/>
      </c>
      <c r="JI84" s="55">
        <f>$JH84*$C84/$D84</f>
        <v/>
      </c>
      <c r="JJ84" s="55">
        <f>SUMIFS(tblBudget[TMM_t],tblBudget[Month],"&lt;"&amp;$E84)+$JI84</f>
        <v/>
      </c>
      <c r="JK84" s="56">
        <f>IFERROR(IF(($IS84)&gt;0,($JE84)/($IS84),""),"")</f>
        <v/>
      </c>
      <c r="JL84" s="56">
        <f>IFERROR(IF(($IT84)&gt;0,($JF84)/($IT84),""),"")</f>
        <v/>
      </c>
      <c r="JM84" s="56">
        <f>IFERROR(IF(($IU84)&gt;0,($JG84)/($IU84),""),"")</f>
        <v/>
      </c>
      <c r="JN84" s="55">
        <f>SUMIFS(tblBudget[Drill_m],tblBudget[Month],$E84)</f>
        <v/>
      </c>
      <c r="JO84" s="55">
        <f>$JN84*$C84/$D84</f>
        <v/>
      </c>
      <c r="JP84" s="55">
        <f>SUMIFS(tblBudget[Drill_m],tblBudget[Month],"&lt;"&amp;$E84)+$JO84</f>
        <v/>
      </c>
      <c r="JQ84" s="55">
        <f>SUMIFS(tblBudget[Diesel_L],tblBudget[Month],$E84)</f>
        <v/>
      </c>
      <c r="JR84" s="55">
        <f>$JQ84*$C84/$D84</f>
        <v/>
      </c>
      <c r="JS84" s="55">
        <f>SUMIFS(tblBudget[Diesel_L],tblBudget[Month],"&lt;"&amp;$E84)+$JR84</f>
        <v/>
      </c>
      <c r="JT84" s="55">
        <f>SUMIFS(tblBudget[Milled_t],tblBudget[Month],$E84)</f>
        <v/>
      </c>
      <c r="JU84" s="55">
        <f>$JT84*$C84/$D84</f>
        <v/>
      </c>
      <c r="JV84" s="55">
        <f>SUMIFS(tblBudget[Milled_t],tblBudget[Month],"&lt;"&amp;$E84)+$JU84</f>
        <v/>
      </c>
      <c r="JW84" s="55">
        <f>SUMIFS(tblBudget[Feed_oz],tblBudget[Month],$E84)</f>
        <v/>
      </c>
      <c r="JX84" s="55">
        <f>$JW84*$C84/$D84</f>
        <v/>
      </c>
      <c r="JY84" s="55">
        <f>SUMIFS(tblBudget[Feed_oz],tblBudget[Month],"&lt;"&amp;$E84)+$JX84</f>
        <v/>
      </c>
      <c r="JZ84" s="55">
        <f>SUMIFS(tblBudget[Recovered_oz],tblBudget[Month],$E84)</f>
        <v/>
      </c>
      <c r="KA84" s="55">
        <f>$JZ84*$C84/$D84</f>
        <v/>
      </c>
      <c r="KB84" s="55">
        <f>SUMIFS(tblBudget[Recovered_oz],tblBudget[Month],"&lt;"&amp;$E84)+$KA84</f>
        <v/>
      </c>
      <c r="KC84" s="55">
        <f>SUMIFS(tblBudget[Milled_t],tblBudget[Month],$E84)</f>
        <v/>
      </c>
      <c r="KD84" s="55">
        <f>$KC84*$C84/$D84</f>
        <v/>
      </c>
      <c r="KE84" s="55">
        <f>SUMIFS(tblBudget[Milled_t],tblBudget[Month],"&lt;"&amp;$E84)+$KD84</f>
        <v/>
      </c>
      <c r="KF84" s="55">
        <f>SUMIFS(tblBudget[Feed_oz],tblBudget[Month],$E84)</f>
        <v/>
      </c>
      <c r="KG84" s="55">
        <f>$KF84*$C84/$D84</f>
        <v/>
      </c>
      <c r="KH84" s="55">
        <f>SUMIFS(tblBudget[Feed_oz],tblBudget[Month],"&lt;"&amp;$E84)+$KG84</f>
        <v/>
      </c>
      <c r="KI84" s="56">
        <f>IFERROR(IF(($KC84)&gt;0,($JW84*cfg_TroyOz)/($KC84),""),"")</f>
        <v/>
      </c>
      <c r="KJ84" s="56">
        <f>IFERROR(IF(($KD84)&gt;0,($JX84*cfg_TroyOz)/($KD84),""),"")</f>
        <v/>
      </c>
      <c r="KK84" s="56">
        <f>IFERROR(IF(($KE84)&gt;0,($JY84*cfg_TroyOz)/($KE84),""),"")</f>
        <v/>
      </c>
      <c r="KL84" s="67">
        <f>IFERROR(IF(($KF84)&gt;0,($JZ84)/($KF84),""),"")</f>
        <v/>
      </c>
      <c r="KM84" s="67">
        <f>IFERROR(IF(($KG84)&gt;0,($KA84)/($KG84),""),"")</f>
        <v/>
      </c>
      <c r="KN84" s="67">
        <f>IFERROR(IF(($KH84)&gt;0,($KB84)/($KH84),""),"")</f>
        <v/>
      </c>
      <c r="KO84" s="55">
        <f>SUMIFS(tblBudget[Gold_Poured_oz],tblBudget[Month],$E84)</f>
        <v/>
      </c>
      <c r="KP84" s="55">
        <f>$KO84*$C84/$D84</f>
        <v/>
      </c>
      <c r="KQ84" s="55">
        <f>SUMIFS(tblBudget[Gold_Poured_oz],tblBudget[Month],"&lt;"&amp;$E84)+$KP84</f>
        <v/>
      </c>
      <c r="KR84" s="57">
        <f>SUMIFS(tblBudget[Hours_Worked],tblBudget[Month],$E84)</f>
        <v/>
      </c>
      <c r="KS84" s="57">
        <f>$KR84*$C84/$D84</f>
        <v/>
      </c>
      <c r="KT84" s="57">
        <f>SUMIFS(tblBudget[Hours_Worked],tblBudget[Month],"&lt;"&amp;$E84)+$KS84</f>
        <v/>
      </c>
    </row>
    <row r="85">
      <c r="A85" s="54" t="n">
        <v>46106</v>
      </c>
      <c r="B85">
        <f>MONTH($A85)</f>
        <v/>
      </c>
      <c r="C85">
        <f>DAY($A85)</f>
        <v/>
      </c>
      <c r="D85">
        <f>DAY(EOMONTH($A85,0))</f>
        <v/>
      </c>
      <c r="E85" s="54">
        <f>DATE(YEAR($A85),MONTH($A85),1)</f>
        <v/>
      </c>
      <c r="F85" s="55">
        <f>SUMIFS(tblMovement[Tonnes_t],tblMovement[Date],$A85,tblMovement[Is_Ore],1,tblMovement[Source_Type],"Pit")</f>
        <v/>
      </c>
      <c r="G85" s="55">
        <f>IF($B85=$B84,$G84,0)+$F85</f>
        <v/>
      </c>
      <c r="H85" s="55">
        <f>$H84+$F85</f>
        <v/>
      </c>
      <c r="I85" s="55">
        <f>SUMIFS(tblMovement[Ore_oz],tblMovement[Date],$A85,tblMovement[Source_Type],"Pit")</f>
        <v/>
      </c>
      <c r="J85" s="55">
        <f>IF($B85=$B84,$J84,0)+$I85</f>
        <v/>
      </c>
      <c r="K85" s="55">
        <f>$K84+$I85</f>
        <v/>
      </c>
      <c r="L85" s="55">
        <f>SUMIFS(tblMovement[Tonnes_t],tblMovement[Date],$A85,tblMovement[Is_Ore],1,tblMovement[Source_Type],"Pit",tblMovement[Grade_gpt],"&lt;&gt;")</f>
        <v/>
      </c>
      <c r="M85" s="55">
        <f>IF($B85=$B84,$M84,0)+$L85</f>
        <v/>
      </c>
      <c r="N85" s="55">
        <f>$N84+$L85</f>
        <v/>
      </c>
      <c r="O85" s="56">
        <f>IFERROR(IF(($L85)&gt;0,($I85*cfg_TroyOz)/($L85),""),"")</f>
        <v/>
      </c>
      <c r="P85" s="56">
        <f>IFERROR(IF(($M85)&gt;0,($J85*cfg_TroyOz)/($M85),""),"")</f>
        <v/>
      </c>
      <c r="Q85" s="56">
        <f>IFERROR(IF(($N85)&gt;0,($K85*cfg_TroyOz)/($N85),""),"")</f>
        <v/>
      </c>
      <c r="R85" s="55">
        <f>$F85-$L85</f>
        <v/>
      </c>
      <c r="S85" s="55">
        <f>IF($B85=$B84,$S84,0)+$R85</f>
        <v/>
      </c>
      <c r="T85" s="55">
        <f>$T84+$R85</f>
        <v/>
      </c>
      <c r="U85" s="55">
        <f>SUMIFS(tblMovement[Tonnes_t],tblMovement[Date],$A85,tblMovement[Is_Ore],0,tblMovement[Source_Type],"Pit")</f>
        <v/>
      </c>
      <c r="V85" s="55">
        <f>IF($B85=$B84,$V84,0)+$U85</f>
        <v/>
      </c>
      <c r="W85" s="55">
        <f>$W84+$U85</f>
        <v/>
      </c>
      <c r="X85" s="55">
        <f>$F85+$U85</f>
        <v/>
      </c>
      <c r="Y85" s="55">
        <f>IF($B85=$B84,$Y84,0)+$X85</f>
        <v/>
      </c>
      <c r="Z85" s="55">
        <f>$Z84+$X85</f>
        <v/>
      </c>
      <c r="AA85" s="56">
        <f>IFERROR(IF(($F85)&gt;0,($U85)/($F85),""),"")</f>
        <v/>
      </c>
      <c r="AB85" s="56">
        <f>IFERROR(IF(($G85)&gt;0,($V85)/($G85),""),"")</f>
        <v/>
      </c>
      <c r="AC85" s="56">
        <f>IFERROR(IF(($H85)&gt;0,($W85)/($H85),""),"")</f>
        <v/>
      </c>
      <c r="AD85" s="55">
        <f>SUMIFS(tblMovement[Tonnes_t],tblMovement[Date],$A85,tblMovement[Source_Type],"Stockpile")</f>
        <v/>
      </c>
      <c r="AE85" s="55">
        <f>IF($B85=$B84,$AE84,0)+$AD85</f>
        <v/>
      </c>
      <c r="AF85" s="55">
        <f>$AF84+$AD85</f>
        <v/>
      </c>
      <c r="AG85" s="55">
        <f>SUMIFS(tblMovement[Tonnes_t],tblMovement[Date],$A85)</f>
        <v/>
      </c>
      <c r="AH85" s="55">
        <f>IF($B85=$B84,$AH84,0)+$AG85</f>
        <v/>
      </c>
      <c r="AI85" s="55">
        <f>$AI84+$AG85</f>
        <v/>
      </c>
      <c r="AJ85" s="55">
        <f>$AG85-$X85-$AD85</f>
        <v/>
      </c>
      <c r="AK85" s="55">
        <f>IF($B85=$B84,$AK84,0)+$AJ85</f>
        <v/>
      </c>
      <c r="AL85" s="55">
        <f>$AL84+$AJ85</f>
        <v/>
      </c>
      <c r="AM85" s="55">
        <f>SUMIFS(tblMiningDaily[Drill_m],tblMiningDaily[Date],$A85)</f>
        <v/>
      </c>
      <c r="AN85" s="55">
        <f>IF($B85=$B84,$AN84,0)+$AM85</f>
        <v/>
      </c>
      <c r="AO85" s="55">
        <f>$AO84+$AM85</f>
        <v/>
      </c>
      <c r="AP85" s="55">
        <f>SUMIFS(tblMiningDaily[GC_Drill_m],tblMiningDaily[Date],$A85)</f>
        <v/>
      </c>
      <c r="AQ85" s="55">
        <f>IF($B85=$B84,$AQ84,0)+$AP85</f>
        <v/>
      </c>
      <c r="AR85" s="55">
        <f>$AR84+$AP85</f>
        <v/>
      </c>
      <c r="AS85" s="55">
        <f>SUMIFS(tblMiningDaily[Blast_t],tblMiningDaily[Date],$A85)</f>
        <v/>
      </c>
      <c r="AT85" s="55">
        <f>IF($B85=$B84,$AT84,0)+$AS85</f>
        <v/>
      </c>
      <c r="AU85" s="55">
        <f>$AU84+$AS85</f>
        <v/>
      </c>
      <c r="AV85" s="55">
        <f>SUMIFS(tblMiningDaily[Explosives_kg],tblMiningDaily[Date],$A85)</f>
        <v/>
      </c>
      <c r="AW85" s="55">
        <f>IF($B85=$B84,$AW84,0)+$AV85</f>
        <v/>
      </c>
      <c r="AX85" s="55">
        <f>$AX84+$AV85</f>
        <v/>
      </c>
      <c r="AY85" s="56">
        <f>IFERROR(IF(($AS85)&gt;0,($AV85)/($AS85),""),"")</f>
        <v/>
      </c>
      <c r="AZ85" s="56">
        <f>IFERROR(IF(($AT85)&gt;0,($AW85)/($AT85),""),"")</f>
        <v/>
      </c>
      <c r="BA85" s="56">
        <f>IFERROR(IF(($AU85)&gt;0,($AX85)/($AU85),""),"")</f>
        <v/>
      </c>
      <c r="BB85" s="55">
        <f>SUMIFS(tblMiningDaily[Diesel_L],tblMiningDaily[Date],$A85)</f>
        <v/>
      </c>
      <c r="BC85" s="55">
        <f>IF($B85=$B84,$BC84,0)+$BB85</f>
        <v/>
      </c>
      <c r="BD85" s="55">
        <f>$BD84+$BB85</f>
        <v/>
      </c>
      <c r="BE85" s="55">
        <f>SUMIFS(tblMiningDaily[Dewatering_m3],tblMiningDaily[Date],$A85)</f>
        <v/>
      </c>
      <c r="BF85" s="55">
        <f>IF($B85=$B84,$BF84,0)+$BE85</f>
        <v/>
      </c>
      <c r="BG85" s="55">
        <f>$BG84+$BE85</f>
        <v/>
      </c>
      <c r="BH85" s="57">
        <f>SUMIFS(tblFleet[Calendar_h],tblFleet[Date],$A85,tblFleet[Equipment_Class],"Excavator")</f>
        <v/>
      </c>
      <c r="BI85" s="57">
        <f>IF($B85=$B84,$BI84,0)+$BH85</f>
        <v/>
      </c>
      <c r="BJ85" s="57">
        <f>$BJ84+$BH85</f>
        <v/>
      </c>
      <c r="BK85" s="57">
        <f>SUMIFS(tblFleet[Available_h],tblFleet[Date],$A85,tblFleet[Equipment_Class],"Excavator")</f>
        <v/>
      </c>
      <c r="BL85" s="57">
        <f>IF($B85=$B84,$BL84,0)+$BK85</f>
        <v/>
      </c>
      <c r="BM85" s="57">
        <f>$BM84+$BK85</f>
        <v/>
      </c>
      <c r="BN85" s="57">
        <f>SUMIFS(tblFleet[Operating_h],tblFleet[Date],$A85,tblFleet[Equipment_Class],"Excavator")</f>
        <v/>
      </c>
      <c r="BO85" s="57">
        <f>IF($B85=$B84,$BO84,0)+$BN85</f>
        <v/>
      </c>
      <c r="BP85" s="57">
        <f>$BP84+$BN85</f>
        <v/>
      </c>
      <c r="BQ85" s="67">
        <f>IFERROR(IF(($BH85)&gt;0,($BK85)/($BH85),""),"")</f>
        <v/>
      </c>
      <c r="BR85" s="67">
        <f>IFERROR(IF(($BI85)&gt;0,($BL85)/($BI85),""),"")</f>
        <v/>
      </c>
      <c r="BS85" s="67">
        <f>IFERROR(IF(($BJ85)&gt;0,($BM85)/($BJ85),""),"")</f>
        <v/>
      </c>
      <c r="BT85" s="67">
        <f>IFERROR(IF(($BK85)&gt;0,($BN85)/($BK85),""),"")</f>
        <v/>
      </c>
      <c r="BU85" s="67">
        <f>IFERROR(IF(($BL85)&gt;0,($BO85)/($BL85),""),"")</f>
        <v/>
      </c>
      <c r="BV85" s="67">
        <f>IFERROR(IF(($BM85)&gt;0,($BP85)/($BM85),""),"")</f>
        <v/>
      </c>
      <c r="BW85" s="57">
        <f>SUMIFS(tblFleet[Calendar_h],tblFleet[Date],$A85,tblFleet[Equipment_Class],"Haul Truck")</f>
        <v/>
      </c>
      <c r="BX85" s="57">
        <f>IF($B85=$B84,$BX84,0)+$BW85</f>
        <v/>
      </c>
      <c r="BY85" s="57">
        <f>$BY84+$BW85</f>
        <v/>
      </c>
      <c r="BZ85" s="57">
        <f>SUMIFS(tblFleet[Available_h],tblFleet[Date],$A85,tblFleet[Equipment_Class],"Haul Truck")</f>
        <v/>
      </c>
      <c r="CA85" s="57">
        <f>IF($B85=$B84,$CA84,0)+$BZ85</f>
        <v/>
      </c>
      <c r="CB85" s="57">
        <f>$CB84+$BZ85</f>
        <v/>
      </c>
      <c r="CC85" s="57">
        <f>SUMIFS(tblFleet[Operating_h],tblFleet[Date],$A85,tblFleet[Equipment_Class],"Haul Truck")</f>
        <v/>
      </c>
      <c r="CD85" s="57">
        <f>IF($B85=$B84,$CD84,0)+$CC85</f>
        <v/>
      </c>
      <c r="CE85" s="57">
        <f>$CE84+$CC85</f>
        <v/>
      </c>
      <c r="CF85" s="67">
        <f>IFERROR(IF(($BW85)&gt;0,($BZ85)/($BW85),""),"")</f>
        <v/>
      </c>
      <c r="CG85" s="67">
        <f>IFERROR(IF(($BX85)&gt;0,($CA85)/($BX85),""),"")</f>
        <v/>
      </c>
      <c r="CH85" s="67">
        <f>IFERROR(IF(($BY85)&gt;0,($CB85)/($BY85),""),"")</f>
        <v/>
      </c>
      <c r="CI85" s="67">
        <f>IFERROR(IF(($BZ85)&gt;0,($CC85)/($BZ85),""),"")</f>
        <v/>
      </c>
      <c r="CJ85" s="67">
        <f>IFERROR(IF(($CA85)&gt;0,($CD85)/($CA85),""),"")</f>
        <v/>
      </c>
      <c r="CK85" s="67">
        <f>IFERROR(IF(($CB85)&gt;0,($CE85)/($CB85),""),"")</f>
        <v/>
      </c>
      <c r="CL85" s="55">
        <f>IFERROR(IF(($BN85)&gt;0,($X85+$AD85)/($BN85),""),"")</f>
        <v/>
      </c>
      <c r="CM85" s="55">
        <f>IFERROR(IF(($BO85)&gt;0,($Y85+$AE85)/($BO85),""),"")</f>
        <v/>
      </c>
      <c r="CN85" s="55">
        <f>IFERROR(IF(($BP85)&gt;0,($Z85+$AF85)/($BP85),""),"")</f>
        <v/>
      </c>
      <c r="CO85" s="55">
        <f>IFERROR(IF(($CC85)&gt;0,($X85+$AD85)/($CC85),""),"")</f>
        <v/>
      </c>
      <c r="CP85" s="55">
        <f>IFERROR(IF(($CD85)&gt;0,($Y85+$AE85)/($CD85),""),"")</f>
        <v/>
      </c>
      <c r="CQ85" s="55">
        <f>IFERROR(IF(($CE85)&gt;0,($Z85+$AF85)/($CE85),""),"")</f>
        <v/>
      </c>
      <c r="CR85" s="55">
        <f>SUMIFS(tblPlant[Crushed_t],tblPlant[Date],$A85)</f>
        <v/>
      </c>
      <c r="CS85" s="55">
        <f>IF($B85=$B84,$CS84,0)+$CR85</f>
        <v/>
      </c>
      <c r="CT85" s="55">
        <f>$CT84+$CR85</f>
        <v/>
      </c>
      <c r="CU85" s="55">
        <f>SUMIFS(tblPlant[Milled_t],tblPlant[Date],$A85)</f>
        <v/>
      </c>
      <c r="CV85" s="55">
        <f>IF($B85=$B84,$CV84,0)+$CU85</f>
        <v/>
      </c>
      <c r="CW85" s="55">
        <f>$CW84+$CU85</f>
        <v/>
      </c>
      <c r="CX85" s="55">
        <f>SUMIFS(tblPlant[Feed_oz],tblPlant[Date],$A85)</f>
        <v/>
      </c>
      <c r="CY85" s="55">
        <f>IF($B85=$B84,$CY84,0)+$CX85</f>
        <v/>
      </c>
      <c r="CZ85" s="55">
        <f>$CZ84+$CX85</f>
        <v/>
      </c>
      <c r="DA85" s="55">
        <f>SUMIFS(tblPlant[Tails_oz],tblPlant[Date],$A85)</f>
        <v/>
      </c>
      <c r="DB85" s="55">
        <f>IF($B85=$B84,$DB84,0)+$DA85</f>
        <v/>
      </c>
      <c r="DC85" s="55">
        <f>$DC84+$DA85</f>
        <v/>
      </c>
      <c r="DD85" s="55">
        <f>SUMIFS(tblPlant[Recovered_oz],tblPlant[Date],$A85)</f>
        <v/>
      </c>
      <c r="DE85" s="55">
        <f>IF($B85=$B84,$DE84,0)+$DD85</f>
        <v/>
      </c>
      <c r="DF85" s="55">
        <f>$DF84+$DD85</f>
        <v/>
      </c>
      <c r="DG85" s="55">
        <f>SUMIFS(tblPlant[Milled_t],tblPlant[Date],$A85,tblPlant[Head_Grade_gpt],"&lt;&gt;")</f>
        <v/>
      </c>
      <c r="DH85" s="55">
        <f>IF($B85=$B84,$DH84,0)+$DG85</f>
        <v/>
      </c>
      <c r="DI85" s="55">
        <f>$DI84+$DG85</f>
        <v/>
      </c>
      <c r="DJ85" s="55">
        <f>SUMIFS(tblPlant[Milled_t],tblPlant[Date],$A85,tblPlant[Tails_Grade_gpt],"&lt;&gt;")</f>
        <v/>
      </c>
      <c r="DK85" s="55">
        <f>IF($B85=$B84,$DK84,0)+$DJ85</f>
        <v/>
      </c>
      <c r="DL85" s="55">
        <f>$DL84+$DJ85</f>
        <v/>
      </c>
      <c r="DM85" s="55">
        <f>SUMIFS(tblPlant[Feed_oz],tblPlant[Date],$A85,tblPlant[Tails_Grade_gpt],"&lt;&gt;")</f>
        <v/>
      </c>
      <c r="DN85" s="55">
        <f>IF($B85=$B84,$DN84,0)+$DM85</f>
        <v/>
      </c>
      <c r="DO85" s="55">
        <f>$DO84+$DM85</f>
        <v/>
      </c>
      <c r="DP85" s="55">
        <f>SUMIFS(tblPlant[Milled_t],tblPlant[Date],$A85,tblPlant[Mill_Run_h],"&lt;&gt;")</f>
        <v/>
      </c>
      <c r="DQ85" s="55">
        <f>IF($B85=$B84,$DQ84,0)+$DP85</f>
        <v/>
      </c>
      <c r="DR85" s="55">
        <f>$DR84+$DP85</f>
        <v/>
      </c>
      <c r="DS85" s="56">
        <f>IFERROR(IF(($DG85)&gt;0,($CX85*cfg_TroyOz)/($DG85),""),"")</f>
        <v/>
      </c>
      <c r="DT85" s="56">
        <f>IFERROR(IF(($DH85)&gt;0,($CY85*cfg_TroyOz)/($DH85),""),"")</f>
        <v/>
      </c>
      <c r="DU85" s="56">
        <f>IFERROR(IF(($DI85)&gt;0,($CZ85*cfg_TroyOz)/($DI85),""),"")</f>
        <v/>
      </c>
      <c r="DV85" s="56">
        <f>IFERROR(IF(($DJ85)&gt;0,($DA85*cfg_TroyOz)/($DJ85),""),"")</f>
        <v/>
      </c>
      <c r="DW85" s="56">
        <f>IFERROR(IF(($DK85)&gt;0,($DB85*cfg_TroyOz)/($DK85),""),"")</f>
        <v/>
      </c>
      <c r="DX85" s="56">
        <f>IFERROR(IF(($DL85)&gt;0,($DC85*cfg_TroyOz)/($DL85),""),"")</f>
        <v/>
      </c>
      <c r="DY85" s="67">
        <f>IFERROR(IF(($DM85)&gt;0,($DD85)/($DM85),""),"")</f>
        <v/>
      </c>
      <c r="DZ85" s="67">
        <f>IFERROR(IF(($DN85)&gt;0,($DE85)/($DN85),""),"")</f>
        <v/>
      </c>
      <c r="EA85" s="67">
        <f>IFERROR(IF(($DO85)&gt;0,($DF85)/($DO85),""),"")</f>
        <v/>
      </c>
      <c r="EB85" s="55">
        <f>SUMIFS(tblPlant[Gravity_Gold_oz],tblPlant[Date],$A85)</f>
        <v/>
      </c>
      <c r="EC85" s="55">
        <f>IF($B85=$B84,$EC84,0)+$EB85</f>
        <v/>
      </c>
      <c r="ED85" s="55">
        <f>$ED84+$EB85</f>
        <v/>
      </c>
      <c r="EE85" s="67">
        <f>IFERROR(IF(($DD85)&gt;0,($EB85)/($DD85),""),"")</f>
        <v/>
      </c>
      <c r="EF85" s="67">
        <f>IFERROR(IF(($DE85)&gt;0,($EC85)/($DE85),""),"")</f>
        <v/>
      </c>
      <c r="EG85" s="67">
        <f>IFERROR(IF(($DF85)&gt;0,($ED85)/($DF85),""),"")</f>
        <v/>
      </c>
      <c r="EH85" s="55">
        <f>SUMIFS(tblPlant[Gold_Poured_oz],tblPlant[Date],$A85)</f>
        <v/>
      </c>
      <c r="EI85" s="55">
        <f>IF($B85=$B84,$EI84,0)+$EH85</f>
        <v/>
      </c>
      <c r="EJ85" s="55">
        <f>$EJ84+$EH85</f>
        <v/>
      </c>
      <c r="EK85" s="57">
        <f>SUMIFS(tblPlant[Mill_Run_h],tblPlant[Date],$A85)</f>
        <v/>
      </c>
      <c r="EL85" s="57">
        <f>IF($B85=$B84,$EL84,0)+$EK85</f>
        <v/>
      </c>
      <c r="EM85" s="57">
        <f>$EM84+$EK85</f>
        <v/>
      </c>
      <c r="EN85" s="57">
        <f>SUMIFS(tblPlant[Mill_Planned_Maint_h],tblPlant[Date],$A85)</f>
        <v/>
      </c>
      <c r="EO85" s="57">
        <f>IF($B85=$B84,$EO84,0)+$EN85</f>
        <v/>
      </c>
      <c r="EP85" s="57">
        <f>$EP84+$EN85</f>
        <v/>
      </c>
      <c r="EQ85" s="57">
        <f>SUMIFS(tblPlant[Mill_Unplanned_Down_h],tblPlant[Date],$A85)</f>
        <v/>
      </c>
      <c r="ER85" s="57">
        <f>IF($B85=$B84,$ER84,0)+$EQ85</f>
        <v/>
      </c>
      <c r="ES85" s="57">
        <f>$ES84+$EQ85</f>
        <v/>
      </c>
      <c r="ET85" s="57">
        <f>IF(COUNTIFS(tblPlant[Date],$A85,tblPlant[Mill_Run_h],"&lt;&gt;")+COUNTIFS(tblPlant[Date],$A85,tblPlant[Mill_Planned_Maint_h],"&lt;&gt;")+COUNTIFS(tblPlant[Date],$A85,tblPlant[Mill_Unplanned_Down_h],"&lt;&gt;")&gt;0,cfg_HoursPerDay,0)</f>
        <v/>
      </c>
      <c r="EU85" s="57">
        <f>IF($B85=$B84,$EU84,0)+$ET85</f>
        <v/>
      </c>
      <c r="EV85" s="57">
        <f>$EV84+$ET85</f>
        <v/>
      </c>
      <c r="EW85" s="57">
        <f>SUMIFS(tblPlant[Crusher_Run_h],tblPlant[Date],$A85)</f>
        <v/>
      </c>
      <c r="EX85" s="57">
        <f>IF($B85=$B84,$EX84,0)+$EW85</f>
        <v/>
      </c>
      <c r="EY85" s="57">
        <f>$EY84+$EW85</f>
        <v/>
      </c>
      <c r="EZ85" s="55">
        <f>IFERROR(IF(($EK85)&gt;0,($DP85)/($EK85),""),"")</f>
        <v/>
      </c>
      <c r="FA85" s="55">
        <f>IFERROR(IF(($EL85)&gt;0,($DQ85)/($EL85),""),"")</f>
        <v/>
      </c>
      <c r="FB85" s="55">
        <f>IFERROR(IF(($EM85)&gt;0,($DR85)/($EM85),""),"")</f>
        <v/>
      </c>
      <c r="FC85" s="67">
        <f>IFERROR(IF(($ET85)&gt;0,($ET85-$EN85-$EQ85)/($ET85),""),"")</f>
        <v/>
      </c>
      <c r="FD85" s="67">
        <f>IFERROR(IF(($EU85)&gt;0,($EU85-$EO85-$ER85)/($EU85),""),"")</f>
        <v/>
      </c>
      <c r="FE85" s="67">
        <f>IFERROR(IF(($EV85)&gt;0,($EV85-$EP85-$ES85)/($EV85),""),"")</f>
        <v/>
      </c>
      <c r="FF85" s="67">
        <f>IFERROR(IF(($ET85-$EN85-$EQ85)&gt;0,($EK85)/($ET85-$EN85-$EQ85),""),"")</f>
        <v/>
      </c>
      <c r="FG85" s="67">
        <f>IFERROR(IF(($EU85-$EO85-$ER85)&gt;0,($EL85)/($EU85-$EO85-$ER85),""),"")</f>
        <v/>
      </c>
      <c r="FH85" s="67">
        <f>IFERROR(IF(($EV85-$EP85-$ES85)&gt;0,($EM85)/($EV85-$EP85-$ES85),""),"")</f>
        <v/>
      </c>
      <c r="FI85" s="55">
        <f>SUMIFS(tblPlant[Cyanide_kg],tblPlant[Date],$A85)</f>
        <v/>
      </c>
      <c r="FJ85" s="55">
        <f>IF($B85=$B84,$FJ84,0)+$FI85</f>
        <v/>
      </c>
      <c r="FK85" s="55">
        <f>$FK84+$FI85</f>
        <v/>
      </c>
      <c r="FL85" s="55">
        <f>SUMIFS(tblPlant[Lime_kg],tblPlant[Date],$A85)</f>
        <v/>
      </c>
      <c r="FM85" s="55">
        <f>IF($B85=$B84,$FM84,0)+$FL85</f>
        <v/>
      </c>
      <c r="FN85" s="55">
        <f>$FN84+$FL85</f>
        <v/>
      </c>
      <c r="FO85" s="55">
        <f>SUMIFS(tblPlant[Grinding_Media_kg],tblPlant[Date],$A85)</f>
        <v/>
      </c>
      <c r="FP85" s="55">
        <f>IF($B85=$B84,$FP84,0)+$FO85</f>
        <v/>
      </c>
      <c r="FQ85" s="55">
        <f>$FQ84+$FO85</f>
        <v/>
      </c>
      <c r="FR85" s="55">
        <f>SUMIFS(tblPlant[Power_kWh],tblPlant[Date],$A85)</f>
        <v/>
      </c>
      <c r="FS85" s="55">
        <f>IF($B85=$B84,$FS84,0)+$FR85</f>
        <v/>
      </c>
      <c r="FT85" s="55">
        <f>$FT84+$FR85</f>
        <v/>
      </c>
      <c r="FU85" s="55">
        <f>SUMIFS(tblPlant[Raw_Water_m3],tblPlant[Date],$A85)</f>
        <v/>
      </c>
      <c r="FV85" s="55">
        <f>IF($B85=$B84,$FV84,0)+$FU85</f>
        <v/>
      </c>
      <c r="FW85" s="55">
        <f>$FW84+$FU85</f>
        <v/>
      </c>
      <c r="FX85" s="56">
        <f>IFERROR(IF(($CU85)&gt;0,($FI85)/($CU85),""),"")</f>
        <v/>
      </c>
      <c r="FY85" s="56">
        <f>IFERROR(IF(($CV85)&gt;0,($FJ85)/($CV85),""),"")</f>
        <v/>
      </c>
      <c r="FZ85" s="56">
        <f>IFERROR(IF(($CW85)&gt;0,($FK85)/($CW85),""),"")</f>
        <v/>
      </c>
      <c r="GA85" s="56">
        <f>IFERROR(IF(($CU85)&gt;0,($FL85)/($CU85),""),"")</f>
        <v/>
      </c>
      <c r="GB85" s="56">
        <f>IFERROR(IF(($CV85)&gt;0,($FM85)/($CV85),""),"")</f>
        <v/>
      </c>
      <c r="GC85" s="56">
        <f>IFERROR(IF(($CW85)&gt;0,($FN85)/($CW85),""),"")</f>
        <v/>
      </c>
      <c r="GD85" s="56">
        <f>IFERROR(IF(($CU85)&gt;0,($FO85)/($CU85),""),"")</f>
        <v/>
      </c>
      <c r="GE85" s="56">
        <f>IFERROR(IF(($CV85)&gt;0,($FP85)/($CV85),""),"")</f>
        <v/>
      </c>
      <c r="GF85" s="56">
        <f>IFERROR(IF(($CW85)&gt;0,($FQ85)/($CW85),""),"")</f>
        <v/>
      </c>
      <c r="GG85" s="79">
        <f>IFERROR(IF(($CU85)&gt;0,($FR85)/($CU85),""),"")</f>
        <v/>
      </c>
      <c r="GH85" s="79">
        <f>IFERROR(IF(($CV85)&gt;0,($FS85)/($CV85),""),"")</f>
        <v/>
      </c>
      <c r="GI85" s="79">
        <f>IFERROR(IF(($CW85)&gt;0,($FT85)/($CW85),""),"")</f>
        <v/>
      </c>
      <c r="GJ85" s="56">
        <f>IFERROR(IF(($CU85)&gt;0,($FU85)/($CU85),""),"")</f>
        <v/>
      </c>
      <c r="GK85" s="56">
        <f>IFERROR(IF(($CV85)&gt;0,($FV85)/($CV85),""),"")</f>
        <v/>
      </c>
      <c r="GL85" s="56">
        <f>IFERROR(IF(($CW85)&gt;0,($FW85)/($CW85),""),"")</f>
        <v/>
      </c>
      <c r="GM85" s="55">
        <f>IF(SUMIFS(tblPlant[GIC_oz],tblPlant[Date],$A85)&gt;0,SUMIFS(tblPlant[GIC_oz],tblPlant[Date],$A85),"")</f>
        <v/>
      </c>
      <c r="GN85" s="55">
        <f>SUMIFS(tblGold[Gold_oz],tblGold[Date],$A85,tblGold[Type],"Shipment")</f>
        <v/>
      </c>
      <c r="GO85" s="55">
        <f>IF($B85=$B84,$GO84,0)+$GN85</f>
        <v/>
      </c>
      <c r="GP85" s="55">
        <f>$GP84+$GN85</f>
        <v/>
      </c>
      <c r="GQ85" s="55">
        <f>SUMIFS(tblGold[Gold_oz],tblGold[Date],$A85,tblGold[Type],"Sale")</f>
        <v/>
      </c>
      <c r="GR85" s="55">
        <f>IF($B85=$B84,$GR84,0)+$GQ85</f>
        <v/>
      </c>
      <c r="GS85" s="55">
        <f>$GS84+$GQ85</f>
        <v/>
      </c>
      <c r="GT85" s="55">
        <f>SUMIFS(tblGold[Dore_kg],tblGold[Date],$A85,tblGold[Type],"Shipment")</f>
        <v/>
      </c>
      <c r="GU85" s="55">
        <f>IF($B85=$B84,$GU84,0)+$GT85</f>
        <v/>
      </c>
      <c r="GV85" s="55">
        <f>$GV84+$GT85</f>
        <v/>
      </c>
      <c r="GW85" s="57">
        <f>SUMIFS(tblSafety[Hours_Total],tblSafety[Date],$A85)</f>
        <v/>
      </c>
      <c r="GX85" s="57">
        <f>IF($B85=$B84,$GX84,0)+$GW85</f>
        <v/>
      </c>
      <c r="GY85" s="57">
        <f>$GY84+$GW85</f>
        <v/>
      </c>
      <c r="GZ85" s="62">
        <f>SUMIFS(tblSafety[Fatality],tblSafety[Date],$A85)</f>
        <v/>
      </c>
      <c r="HA85" s="62">
        <f>IF($B85=$B84,$HA84,0)+$GZ85</f>
        <v/>
      </c>
      <c r="HB85" s="62">
        <f>$HB84+$GZ85</f>
        <v/>
      </c>
      <c r="HC85" s="62">
        <f>SUMIFS(tblSafety[LTI],tblSafety[Date],$A85)</f>
        <v/>
      </c>
      <c r="HD85" s="62">
        <f>IF($B85=$B84,$HD84,0)+$HC85</f>
        <v/>
      </c>
      <c r="HE85" s="62">
        <f>$HE84+$HC85</f>
        <v/>
      </c>
      <c r="HF85" s="62">
        <f>SUMIFS(tblSafety[RWI],tblSafety[Date],$A85)</f>
        <v/>
      </c>
      <c r="HG85" s="62">
        <f>IF($B85=$B84,$HG84,0)+$HF85</f>
        <v/>
      </c>
      <c r="HH85" s="62">
        <f>$HH84+$HF85</f>
        <v/>
      </c>
      <c r="HI85" s="62">
        <f>SUMIFS(tblSafety[MTI],tblSafety[Date],$A85)</f>
        <v/>
      </c>
      <c r="HJ85" s="62">
        <f>IF($B85=$B84,$HJ84,0)+$HI85</f>
        <v/>
      </c>
      <c r="HK85" s="62">
        <f>$HK84+$HI85</f>
        <v/>
      </c>
      <c r="HL85" s="62">
        <f>SUMIFS(tblSafety[FAI],tblSafety[Date],$A85)</f>
        <v/>
      </c>
      <c r="HM85" s="62">
        <f>IF($B85=$B84,$HM84,0)+$HL85</f>
        <v/>
      </c>
      <c r="HN85" s="62">
        <f>$HN84+$HL85</f>
        <v/>
      </c>
      <c r="HO85" s="62">
        <f>SUMIFS(tblSafety[Recordables],tblSafety[Date],$A85)</f>
        <v/>
      </c>
      <c r="HP85" s="62">
        <f>IF($B85=$B84,$HP84,0)+$HO85</f>
        <v/>
      </c>
      <c r="HQ85" s="62">
        <f>$HQ84+$HO85</f>
        <v/>
      </c>
      <c r="HR85" s="62">
        <f>SUMIFS(tblSafety[Near_Miss],tblSafety[Date],$A85)</f>
        <v/>
      </c>
      <c r="HS85" s="62">
        <f>IF($B85=$B84,$HS84,0)+$HR85</f>
        <v/>
      </c>
      <c r="HT85" s="62">
        <f>$HT84+$HR85</f>
        <v/>
      </c>
      <c r="HU85" s="62">
        <f>SUMIFS(tblSafety[Hazard_Reports],tblSafety[Date],$A85)</f>
        <v/>
      </c>
      <c r="HV85" s="62">
        <f>IF($B85=$B84,$HV84,0)+$HU85</f>
        <v/>
      </c>
      <c r="HW85" s="62">
        <f>$HW84+$HU85</f>
        <v/>
      </c>
      <c r="HX85" s="62">
        <f>SUMIFS(tblSafety[HPI],tblSafety[Date],$A85)</f>
        <v/>
      </c>
      <c r="HY85" s="62">
        <f>IF($B85=$B84,$HY84,0)+$HX85</f>
        <v/>
      </c>
      <c r="HZ85" s="62">
        <f>$HZ84+$HX85</f>
        <v/>
      </c>
      <c r="IA85" s="62">
        <f>SUMIFS(tblSafety[Env_Incidents],tblSafety[Date],$A85)</f>
        <v/>
      </c>
      <c r="IB85" s="62">
        <f>IF($B85=$B84,$IB84,0)+$IA85</f>
        <v/>
      </c>
      <c r="IC85" s="62">
        <f>$IC84+$IA85</f>
        <v/>
      </c>
      <c r="ID85" s="62">
        <f>SUMIFS(tblSafety[Community_Incidents],tblSafety[Date],$A85)</f>
        <v/>
      </c>
      <c r="IE85" s="62">
        <f>IF($B85=$B84,$IE84,0)+$ID85</f>
        <v/>
      </c>
      <c r="IF85" s="62">
        <f>$IF84+$ID85</f>
        <v/>
      </c>
      <c r="IG85" s="62">
        <f>SUMIFS(tblSafety[Vehicle_Incidents],tblSafety[Date],$A85)</f>
        <v/>
      </c>
      <c r="IH85" s="62">
        <f>IF($B85=$B84,$IH84,0)+$IG85</f>
        <v/>
      </c>
      <c r="II85" s="62">
        <f>$II84+$IG85</f>
        <v/>
      </c>
      <c r="IJ85" s="62">
        <f>SUMIFS(tblSafety[Toolbox_Talks],tblSafety[Date],$A85)</f>
        <v/>
      </c>
      <c r="IK85" s="62">
        <f>IF($B85=$B84,$IK84,0)+$IJ85</f>
        <v/>
      </c>
      <c r="IL85" s="62">
        <f>$IL84+$IJ85</f>
        <v/>
      </c>
      <c r="IM85" s="62">
        <f>SUMIFS(tblSafety[Inspections],tblSafety[Date],$A85)</f>
        <v/>
      </c>
      <c r="IN85" s="62">
        <f>IF($B85=$B84,$IN84,0)+$IM85</f>
        <v/>
      </c>
      <c r="IO85" s="62">
        <f>$IO84+$IM85</f>
        <v/>
      </c>
      <c r="IP85" s="56">
        <f>IFERROR((SUMIFS(tblSafety[Recordables],tblSafety[Date],"&gt;="&amp;EDATE($E85,-12),tblSafety[Date],"&lt;="&amp;$A85)+SUMIFS(tblSafetyHistory[Recordables],tblSafetyHistory[Month],"&gt;="&amp;EDATE($E85,-12),tblSafetyHistory[Month],"&lt;"&amp;$E85,tblSafetyHistory[Use],1))/(SUMIFS(tblSafety[Hours_Total],tblSafety[Date],"&gt;="&amp;EDATE($E85,-12),tblSafety[Date],"&lt;="&amp;$A85)+SUMIFS(tblSafetyHistory[Hours_Total],tblSafetyHistory[Month],"&gt;="&amp;EDATE($E85,-12),tblSafetyHistory[Month],"&lt;"&amp;$E85,tblSafetyHistory[Use],1))*cfg_RateBasisHours,"")</f>
        <v/>
      </c>
      <c r="IQ85" s="56">
        <f>IFERROR((SUMIFS(tblSafety[LTI],tblSafety[Date],"&gt;="&amp;EDATE($E85,-12),tblSafety[Date],"&lt;="&amp;$A85)+SUMIFS(tblSafetyHistory[LTI],tblSafetyHistory[Month],"&gt;="&amp;EDATE($E85,-12),tblSafetyHistory[Month],"&lt;"&amp;$E85,tblSafetyHistory[Use],1))/(SUMIFS(tblSafety[Hours_Total],tblSafety[Date],"&gt;="&amp;EDATE($E85,-12),tblSafety[Date],"&lt;="&amp;$A85)+SUMIFS(tblSafetyHistory[Hours_Total],tblSafetyHistory[Month],"&gt;="&amp;EDATE($E85,-12),tblSafetyHistory[Month],"&lt;"&amp;$E85,tblSafetyHistory[Use],1))*cfg_RateBasisHours,"")</f>
        <v/>
      </c>
      <c r="IR85" s="62">
        <f>IF(MAX(N(cfg_PriorLTIDate),_xlfn.MAXIFS(tblSafety[Date],tblSafety[LTI],"&gt;0",tblSafety[Date],"&lt;="&amp;$A85))=0,"",$A85-MAX(N(cfg_PriorLTIDate),_xlfn.MAXIFS(tblSafety[Date],tblSafety[LTI],"&gt;0",tblSafety[Date],"&lt;="&amp;$A85)))</f>
        <v/>
      </c>
      <c r="IS85" s="55">
        <f>SUMIFS(tblBudget[Ore_Mined_t],tblBudget[Month],$E85)</f>
        <v/>
      </c>
      <c r="IT85" s="55">
        <f>$IS85*$C85/$D85</f>
        <v/>
      </c>
      <c r="IU85" s="55">
        <f>SUMIFS(tblBudget[Ore_Mined_t],tblBudget[Month],"&lt;"&amp;$E85)+$IT85</f>
        <v/>
      </c>
      <c r="IV85" s="55">
        <f>SUMIFS(tblBudget[Ore_oz],tblBudget[Month],$E85)</f>
        <v/>
      </c>
      <c r="IW85" s="55">
        <f>$IV85*$C85/$D85</f>
        <v/>
      </c>
      <c r="IX85" s="55">
        <f>SUMIFS(tblBudget[Ore_oz],tblBudget[Month],"&lt;"&amp;$E85)+$IW85</f>
        <v/>
      </c>
      <c r="IY85" s="55">
        <f>SUMIFS(tblBudget[Ore_Mined_t],tblBudget[Month],$E85)</f>
        <v/>
      </c>
      <c r="IZ85" s="55">
        <f>$IY85*$C85/$D85</f>
        <v/>
      </c>
      <c r="JA85" s="55">
        <f>SUMIFS(tblBudget[Ore_Mined_t],tblBudget[Month],"&lt;"&amp;$E85)+$IZ85</f>
        <v/>
      </c>
      <c r="JB85" s="56">
        <f>IFERROR(IF(($IY85)&gt;0,($IV85*cfg_TroyOz)/($IY85),""),"")</f>
        <v/>
      </c>
      <c r="JC85" s="56">
        <f>IFERROR(IF(($IZ85)&gt;0,($IW85*cfg_TroyOz)/($IZ85),""),"")</f>
        <v/>
      </c>
      <c r="JD85" s="56">
        <f>IFERROR(IF(($JA85)&gt;0,($IX85*cfg_TroyOz)/($JA85),""),"")</f>
        <v/>
      </c>
      <c r="JE85" s="55">
        <f>SUMIFS(tblBudget[Waste_t],tblBudget[Month],$E85)</f>
        <v/>
      </c>
      <c r="JF85" s="55">
        <f>$JE85*$C85/$D85</f>
        <v/>
      </c>
      <c r="JG85" s="55">
        <f>SUMIFS(tblBudget[Waste_t],tblBudget[Month],"&lt;"&amp;$E85)+$JF85</f>
        <v/>
      </c>
      <c r="JH85" s="55">
        <f>SUMIFS(tblBudget[TMM_t],tblBudget[Month],$E85)</f>
        <v/>
      </c>
      <c r="JI85" s="55">
        <f>$JH85*$C85/$D85</f>
        <v/>
      </c>
      <c r="JJ85" s="55">
        <f>SUMIFS(tblBudget[TMM_t],tblBudget[Month],"&lt;"&amp;$E85)+$JI85</f>
        <v/>
      </c>
      <c r="JK85" s="56">
        <f>IFERROR(IF(($IS85)&gt;0,($JE85)/($IS85),""),"")</f>
        <v/>
      </c>
      <c r="JL85" s="56">
        <f>IFERROR(IF(($IT85)&gt;0,($JF85)/($IT85),""),"")</f>
        <v/>
      </c>
      <c r="JM85" s="56">
        <f>IFERROR(IF(($IU85)&gt;0,($JG85)/($IU85),""),"")</f>
        <v/>
      </c>
      <c r="JN85" s="55">
        <f>SUMIFS(tblBudget[Drill_m],tblBudget[Month],$E85)</f>
        <v/>
      </c>
      <c r="JO85" s="55">
        <f>$JN85*$C85/$D85</f>
        <v/>
      </c>
      <c r="JP85" s="55">
        <f>SUMIFS(tblBudget[Drill_m],tblBudget[Month],"&lt;"&amp;$E85)+$JO85</f>
        <v/>
      </c>
      <c r="JQ85" s="55">
        <f>SUMIFS(tblBudget[Diesel_L],tblBudget[Month],$E85)</f>
        <v/>
      </c>
      <c r="JR85" s="55">
        <f>$JQ85*$C85/$D85</f>
        <v/>
      </c>
      <c r="JS85" s="55">
        <f>SUMIFS(tblBudget[Diesel_L],tblBudget[Month],"&lt;"&amp;$E85)+$JR85</f>
        <v/>
      </c>
      <c r="JT85" s="55">
        <f>SUMIFS(tblBudget[Milled_t],tblBudget[Month],$E85)</f>
        <v/>
      </c>
      <c r="JU85" s="55">
        <f>$JT85*$C85/$D85</f>
        <v/>
      </c>
      <c r="JV85" s="55">
        <f>SUMIFS(tblBudget[Milled_t],tblBudget[Month],"&lt;"&amp;$E85)+$JU85</f>
        <v/>
      </c>
      <c r="JW85" s="55">
        <f>SUMIFS(tblBudget[Feed_oz],tblBudget[Month],$E85)</f>
        <v/>
      </c>
      <c r="JX85" s="55">
        <f>$JW85*$C85/$D85</f>
        <v/>
      </c>
      <c r="JY85" s="55">
        <f>SUMIFS(tblBudget[Feed_oz],tblBudget[Month],"&lt;"&amp;$E85)+$JX85</f>
        <v/>
      </c>
      <c r="JZ85" s="55">
        <f>SUMIFS(tblBudget[Recovered_oz],tblBudget[Month],$E85)</f>
        <v/>
      </c>
      <c r="KA85" s="55">
        <f>$JZ85*$C85/$D85</f>
        <v/>
      </c>
      <c r="KB85" s="55">
        <f>SUMIFS(tblBudget[Recovered_oz],tblBudget[Month],"&lt;"&amp;$E85)+$KA85</f>
        <v/>
      </c>
      <c r="KC85" s="55">
        <f>SUMIFS(tblBudget[Milled_t],tblBudget[Month],$E85)</f>
        <v/>
      </c>
      <c r="KD85" s="55">
        <f>$KC85*$C85/$D85</f>
        <v/>
      </c>
      <c r="KE85" s="55">
        <f>SUMIFS(tblBudget[Milled_t],tblBudget[Month],"&lt;"&amp;$E85)+$KD85</f>
        <v/>
      </c>
      <c r="KF85" s="55">
        <f>SUMIFS(tblBudget[Feed_oz],tblBudget[Month],$E85)</f>
        <v/>
      </c>
      <c r="KG85" s="55">
        <f>$KF85*$C85/$D85</f>
        <v/>
      </c>
      <c r="KH85" s="55">
        <f>SUMIFS(tblBudget[Feed_oz],tblBudget[Month],"&lt;"&amp;$E85)+$KG85</f>
        <v/>
      </c>
      <c r="KI85" s="56">
        <f>IFERROR(IF(($KC85)&gt;0,($JW85*cfg_TroyOz)/($KC85),""),"")</f>
        <v/>
      </c>
      <c r="KJ85" s="56">
        <f>IFERROR(IF(($KD85)&gt;0,($JX85*cfg_TroyOz)/($KD85),""),"")</f>
        <v/>
      </c>
      <c r="KK85" s="56">
        <f>IFERROR(IF(($KE85)&gt;0,($JY85*cfg_TroyOz)/($KE85),""),"")</f>
        <v/>
      </c>
      <c r="KL85" s="67">
        <f>IFERROR(IF(($KF85)&gt;0,($JZ85)/($KF85),""),"")</f>
        <v/>
      </c>
      <c r="KM85" s="67">
        <f>IFERROR(IF(($KG85)&gt;0,($KA85)/($KG85),""),"")</f>
        <v/>
      </c>
      <c r="KN85" s="67">
        <f>IFERROR(IF(($KH85)&gt;0,($KB85)/($KH85),""),"")</f>
        <v/>
      </c>
      <c r="KO85" s="55">
        <f>SUMIFS(tblBudget[Gold_Poured_oz],tblBudget[Month],$E85)</f>
        <v/>
      </c>
      <c r="KP85" s="55">
        <f>$KO85*$C85/$D85</f>
        <v/>
      </c>
      <c r="KQ85" s="55">
        <f>SUMIFS(tblBudget[Gold_Poured_oz],tblBudget[Month],"&lt;"&amp;$E85)+$KP85</f>
        <v/>
      </c>
      <c r="KR85" s="57">
        <f>SUMIFS(tblBudget[Hours_Worked],tblBudget[Month],$E85)</f>
        <v/>
      </c>
      <c r="KS85" s="57">
        <f>$KR85*$C85/$D85</f>
        <v/>
      </c>
      <c r="KT85" s="57">
        <f>SUMIFS(tblBudget[Hours_Worked],tblBudget[Month],"&lt;"&amp;$E85)+$KS85</f>
        <v/>
      </c>
    </row>
    <row r="86">
      <c r="A86" s="54" t="n">
        <v>46107</v>
      </c>
      <c r="B86">
        <f>MONTH($A86)</f>
        <v/>
      </c>
      <c r="C86">
        <f>DAY($A86)</f>
        <v/>
      </c>
      <c r="D86">
        <f>DAY(EOMONTH($A86,0))</f>
        <v/>
      </c>
      <c r="E86" s="54">
        <f>DATE(YEAR($A86),MONTH($A86),1)</f>
        <v/>
      </c>
      <c r="F86" s="55">
        <f>SUMIFS(tblMovement[Tonnes_t],tblMovement[Date],$A86,tblMovement[Is_Ore],1,tblMovement[Source_Type],"Pit")</f>
        <v/>
      </c>
      <c r="G86" s="55">
        <f>IF($B86=$B85,$G85,0)+$F86</f>
        <v/>
      </c>
      <c r="H86" s="55">
        <f>$H85+$F86</f>
        <v/>
      </c>
      <c r="I86" s="55">
        <f>SUMIFS(tblMovement[Ore_oz],tblMovement[Date],$A86,tblMovement[Source_Type],"Pit")</f>
        <v/>
      </c>
      <c r="J86" s="55">
        <f>IF($B86=$B85,$J85,0)+$I86</f>
        <v/>
      </c>
      <c r="K86" s="55">
        <f>$K85+$I86</f>
        <v/>
      </c>
      <c r="L86" s="55">
        <f>SUMIFS(tblMovement[Tonnes_t],tblMovement[Date],$A86,tblMovement[Is_Ore],1,tblMovement[Source_Type],"Pit",tblMovement[Grade_gpt],"&lt;&gt;")</f>
        <v/>
      </c>
      <c r="M86" s="55">
        <f>IF($B86=$B85,$M85,0)+$L86</f>
        <v/>
      </c>
      <c r="N86" s="55">
        <f>$N85+$L86</f>
        <v/>
      </c>
      <c r="O86" s="56">
        <f>IFERROR(IF(($L86)&gt;0,($I86*cfg_TroyOz)/($L86),""),"")</f>
        <v/>
      </c>
      <c r="P86" s="56">
        <f>IFERROR(IF(($M86)&gt;0,($J86*cfg_TroyOz)/($M86),""),"")</f>
        <v/>
      </c>
      <c r="Q86" s="56">
        <f>IFERROR(IF(($N86)&gt;0,($K86*cfg_TroyOz)/($N86),""),"")</f>
        <v/>
      </c>
      <c r="R86" s="55">
        <f>$F86-$L86</f>
        <v/>
      </c>
      <c r="S86" s="55">
        <f>IF($B86=$B85,$S85,0)+$R86</f>
        <v/>
      </c>
      <c r="T86" s="55">
        <f>$T85+$R86</f>
        <v/>
      </c>
      <c r="U86" s="55">
        <f>SUMIFS(tblMovement[Tonnes_t],tblMovement[Date],$A86,tblMovement[Is_Ore],0,tblMovement[Source_Type],"Pit")</f>
        <v/>
      </c>
      <c r="V86" s="55">
        <f>IF($B86=$B85,$V85,0)+$U86</f>
        <v/>
      </c>
      <c r="W86" s="55">
        <f>$W85+$U86</f>
        <v/>
      </c>
      <c r="X86" s="55">
        <f>$F86+$U86</f>
        <v/>
      </c>
      <c r="Y86" s="55">
        <f>IF($B86=$B85,$Y85,0)+$X86</f>
        <v/>
      </c>
      <c r="Z86" s="55">
        <f>$Z85+$X86</f>
        <v/>
      </c>
      <c r="AA86" s="56">
        <f>IFERROR(IF(($F86)&gt;0,($U86)/($F86),""),"")</f>
        <v/>
      </c>
      <c r="AB86" s="56">
        <f>IFERROR(IF(($G86)&gt;0,($V86)/($G86),""),"")</f>
        <v/>
      </c>
      <c r="AC86" s="56">
        <f>IFERROR(IF(($H86)&gt;0,($W86)/($H86),""),"")</f>
        <v/>
      </c>
      <c r="AD86" s="55">
        <f>SUMIFS(tblMovement[Tonnes_t],tblMovement[Date],$A86,tblMovement[Source_Type],"Stockpile")</f>
        <v/>
      </c>
      <c r="AE86" s="55">
        <f>IF($B86=$B85,$AE85,0)+$AD86</f>
        <v/>
      </c>
      <c r="AF86" s="55">
        <f>$AF85+$AD86</f>
        <v/>
      </c>
      <c r="AG86" s="55">
        <f>SUMIFS(tblMovement[Tonnes_t],tblMovement[Date],$A86)</f>
        <v/>
      </c>
      <c r="AH86" s="55">
        <f>IF($B86=$B85,$AH85,0)+$AG86</f>
        <v/>
      </c>
      <c r="AI86" s="55">
        <f>$AI85+$AG86</f>
        <v/>
      </c>
      <c r="AJ86" s="55">
        <f>$AG86-$X86-$AD86</f>
        <v/>
      </c>
      <c r="AK86" s="55">
        <f>IF($B86=$B85,$AK85,0)+$AJ86</f>
        <v/>
      </c>
      <c r="AL86" s="55">
        <f>$AL85+$AJ86</f>
        <v/>
      </c>
      <c r="AM86" s="55">
        <f>SUMIFS(tblMiningDaily[Drill_m],tblMiningDaily[Date],$A86)</f>
        <v/>
      </c>
      <c r="AN86" s="55">
        <f>IF($B86=$B85,$AN85,0)+$AM86</f>
        <v/>
      </c>
      <c r="AO86" s="55">
        <f>$AO85+$AM86</f>
        <v/>
      </c>
      <c r="AP86" s="55">
        <f>SUMIFS(tblMiningDaily[GC_Drill_m],tblMiningDaily[Date],$A86)</f>
        <v/>
      </c>
      <c r="AQ86" s="55">
        <f>IF($B86=$B85,$AQ85,0)+$AP86</f>
        <v/>
      </c>
      <c r="AR86" s="55">
        <f>$AR85+$AP86</f>
        <v/>
      </c>
      <c r="AS86" s="55">
        <f>SUMIFS(tblMiningDaily[Blast_t],tblMiningDaily[Date],$A86)</f>
        <v/>
      </c>
      <c r="AT86" s="55">
        <f>IF($B86=$B85,$AT85,0)+$AS86</f>
        <v/>
      </c>
      <c r="AU86" s="55">
        <f>$AU85+$AS86</f>
        <v/>
      </c>
      <c r="AV86" s="55">
        <f>SUMIFS(tblMiningDaily[Explosives_kg],tblMiningDaily[Date],$A86)</f>
        <v/>
      </c>
      <c r="AW86" s="55">
        <f>IF($B86=$B85,$AW85,0)+$AV86</f>
        <v/>
      </c>
      <c r="AX86" s="55">
        <f>$AX85+$AV86</f>
        <v/>
      </c>
      <c r="AY86" s="56">
        <f>IFERROR(IF(($AS86)&gt;0,($AV86)/($AS86),""),"")</f>
        <v/>
      </c>
      <c r="AZ86" s="56">
        <f>IFERROR(IF(($AT86)&gt;0,($AW86)/($AT86),""),"")</f>
        <v/>
      </c>
      <c r="BA86" s="56">
        <f>IFERROR(IF(($AU86)&gt;0,($AX86)/($AU86),""),"")</f>
        <v/>
      </c>
      <c r="BB86" s="55">
        <f>SUMIFS(tblMiningDaily[Diesel_L],tblMiningDaily[Date],$A86)</f>
        <v/>
      </c>
      <c r="BC86" s="55">
        <f>IF($B86=$B85,$BC85,0)+$BB86</f>
        <v/>
      </c>
      <c r="BD86" s="55">
        <f>$BD85+$BB86</f>
        <v/>
      </c>
      <c r="BE86" s="55">
        <f>SUMIFS(tblMiningDaily[Dewatering_m3],tblMiningDaily[Date],$A86)</f>
        <v/>
      </c>
      <c r="BF86" s="55">
        <f>IF($B86=$B85,$BF85,0)+$BE86</f>
        <v/>
      </c>
      <c r="BG86" s="55">
        <f>$BG85+$BE86</f>
        <v/>
      </c>
      <c r="BH86" s="57">
        <f>SUMIFS(tblFleet[Calendar_h],tblFleet[Date],$A86,tblFleet[Equipment_Class],"Excavator")</f>
        <v/>
      </c>
      <c r="BI86" s="57">
        <f>IF($B86=$B85,$BI85,0)+$BH86</f>
        <v/>
      </c>
      <c r="BJ86" s="57">
        <f>$BJ85+$BH86</f>
        <v/>
      </c>
      <c r="BK86" s="57">
        <f>SUMIFS(tblFleet[Available_h],tblFleet[Date],$A86,tblFleet[Equipment_Class],"Excavator")</f>
        <v/>
      </c>
      <c r="BL86" s="57">
        <f>IF($B86=$B85,$BL85,0)+$BK86</f>
        <v/>
      </c>
      <c r="BM86" s="57">
        <f>$BM85+$BK86</f>
        <v/>
      </c>
      <c r="BN86" s="57">
        <f>SUMIFS(tblFleet[Operating_h],tblFleet[Date],$A86,tblFleet[Equipment_Class],"Excavator")</f>
        <v/>
      </c>
      <c r="BO86" s="57">
        <f>IF($B86=$B85,$BO85,0)+$BN86</f>
        <v/>
      </c>
      <c r="BP86" s="57">
        <f>$BP85+$BN86</f>
        <v/>
      </c>
      <c r="BQ86" s="67">
        <f>IFERROR(IF(($BH86)&gt;0,($BK86)/($BH86),""),"")</f>
        <v/>
      </c>
      <c r="BR86" s="67">
        <f>IFERROR(IF(($BI86)&gt;0,($BL86)/($BI86),""),"")</f>
        <v/>
      </c>
      <c r="BS86" s="67">
        <f>IFERROR(IF(($BJ86)&gt;0,($BM86)/($BJ86),""),"")</f>
        <v/>
      </c>
      <c r="BT86" s="67">
        <f>IFERROR(IF(($BK86)&gt;0,($BN86)/($BK86),""),"")</f>
        <v/>
      </c>
      <c r="BU86" s="67">
        <f>IFERROR(IF(($BL86)&gt;0,($BO86)/($BL86),""),"")</f>
        <v/>
      </c>
      <c r="BV86" s="67">
        <f>IFERROR(IF(($BM86)&gt;0,($BP86)/($BM86),""),"")</f>
        <v/>
      </c>
      <c r="BW86" s="57">
        <f>SUMIFS(tblFleet[Calendar_h],tblFleet[Date],$A86,tblFleet[Equipment_Class],"Haul Truck")</f>
        <v/>
      </c>
      <c r="BX86" s="57">
        <f>IF($B86=$B85,$BX85,0)+$BW86</f>
        <v/>
      </c>
      <c r="BY86" s="57">
        <f>$BY85+$BW86</f>
        <v/>
      </c>
      <c r="BZ86" s="57">
        <f>SUMIFS(tblFleet[Available_h],tblFleet[Date],$A86,tblFleet[Equipment_Class],"Haul Truck")</f>
        <v/>
      </c>
      <c r="CA86" s="57">
        <f>IF($B86=$B85,$CA85,0)+$BZ86</f>
        <v/>
      </c>
      <c r="CB86" s="57">
        <f>$CB85+$BZ86</f>
        <v/>
      </c>
      <c r="CC86" s="57">
        <f>SUMIFS(tblFleet[Operating_h],tblFleet[Date],$A86,tblFleet[Equipment_Class],"Haul Truck")</f>
        <v/>
      </c>
      <c r="CD86" s="57">
        <f>IF($B86=$B85,$CD85,0)+$CC86</f>
        <v/>
      </c>
      <c r="CE86" s="57">
        <f>$CE85+$CC86</f>
        <v/>
      </c>
      <c r="CF86" s="67">
        <f>IFERROR(IF(($BW86)&gt;0,($BZ86)/($BW86),""),"")</f>
        <v/>
      </c>
      <c r="CG86" s="67">
        <f>IFERROR(IF(($BX86)&gt;0,($CA86)/($BX86),""),"")</f>
        <v/>
      </c>
      <c r="CH86" s="67">
        <f>IFERROR(IF(($BY86)&gt;0,($CB86)/($BY86),""),"")</f>
        <v/>
      </c>
      <c r="CI86" s="67">
        <f>IFERROR(IF(($BZ86)&gt;0,($CC86)/($BZ86),""),"")</f>
        <v/>
      </c>
      <c r="CJ86" s="67">
        <f>IFERROR(IF(($CA86)&gt;0,($CD86)/($CA86),""),"")</f>
        <v/>
      </c>
      <c r="CK86" s="67">
        <f>IFERROR(IF(($CB86)&gt;0,($CE86)/($CB86),""),"")</f>
        <v/>
      </c>
      <c r="CL86" s="55">
        <f>IFERROR(IF(($BN86)&gt;0,($X86+$AD86)/($BN86),""),"")</f>
        <v/>
      </c>
      <c r="CM86" s="55">
        <f>IFERROR(IF(($BO86)&gt;0,($Y86+$AE86)/($BO86),""),"")</f>
        <v/>
      </c>
      <c r="CN86" s="55">
        <f>IFERROR(IF(($BP86)&gt;0,($Z86+$AF86)/($BP86),""),"")</f>
        <v/>
      </c>
      <c r="CO86" s="55">
        <f>IFERROR(IF(($CC86)&gt;0,($X86+$AD86)/($CC86),""),"")</f>
        <v/>
      </c>
      <c r="CP86" s="55">
        <f>IFERROR(IF(($CD86)&gt;0,($Y86+$AE86)/($CD86),""),"")</f>
        <v/>
      </c>
      <c r="CQ86" s="55">
        <f>IFERROR(IF(($CE86)&gt;0,($Z86+$AF86)/($CE86),""),"")</f>
        <v/>
      </c>
      <c r="CR86" s="55">
        <f>SUMIFS(tblPlant[Crushed_t],tblPlant[Date],$A86)</f>
        <v/>
      </c>
      <c r="CS86" s="55">
        <f>IF($B86=$B85,$CS85,0)+$CR86</f>
        <v/>
      </c>
      <c r="CT86" s="55">
        <f>$CT85+$CR86</f>
        <v/>
      </c>
      <c r="CU86" s="55">
        <f>SUMIFS(tblPlant[Milled_t],tblPlant[Date],$A86)</f>
        <v/>
      </c>
      <c r="CV86" s="55">
        <f>IF($B86=$B85,$CV85,0)+$CU86</f>
        <v/>
      </c>
      <c r="CW86" s="55">
        <f>$CW85+$CU86</f>
        <v/>
      </c>
      <c r="CX86" s="55">
        <f>SUMIFS(tblPlant[Feed_oz],tblPlant[Date],$A86)</f>
        <v/>
      </c>
      <c r="CY86" s="55">
        <f>IF($B86=$B85,$CY85,0)+$CX86</f>
        <v/>
      </c>
      <c r="CZ86" s="55">
        <f>$CZ85+$CX86</f>
        <v/>
      </c>
      <c r="DA86" s="55">
        <f>SUMIFS(tblPlant[Tails_oz],tblPlant[Date],$A86)</f>
        <v/>
      </c>
      <c r="DB86" s="55">
        <f>IF($B86=$B85,$DB85,0)+$DA86</f>
        <v/>
      </c>
      <c r="DC86" s="55">
        <f>$DC85+$DA86</f>
        <v/>
      </c>
      <c r="DD86" s="55">
        <f>SUMIFS(tblPlant[Recovered_oz],tblPlant[Date],$A86)</f>
        <v/>
      </c>
      <c r="DE86" s="55">
        <f>IF($B86=$B85,$DE85,0)+$DD86</f>
        <v/>
      </c>
      <c r="DF86" s="55">
        <f>$DF85+$DD86</f>
        <v/>
      </c>
      <c r="DG86" s="55">
        <f>SUMIFS(tblPlant[Milled_t],tblPlant[Date],$A86,tblPlant[Head_Grade_gpt],"&lt;&gt;")</f>
        <v/>
      </c>
      <c r="DH86" s="55">
        <f>IF($B86=$B85,$DH85,0)+$DG86</f>
        <v/>
      </c>
      <c r="DI86" s="55">
        <f>$DI85+$DG86</f>
        <v/>
      </c>
      <c r="DJ86" s="55">
        <f>SUMIFS(tblPlant[Milled_t],tblPlant[Date],$A86,tblPlant[Tails_Grade_gpt],"&lt;&gt;")</f>
        <v/>
      </c>
      <c r="DK86" s="55">
        <f>IF($B86=$B85,$DK85,0)+$DJ86</f>
        <v/>
      </c>
      <c r="DL86" s="55">
        <f>$DL85+$DJ86</f>
        <v/>
      </c>
      <c r="DM86" s="55">
        <f>SUMIFS(tblPlant[Feed_oz],tblPlant[Date],$A86,tblPlant[Tails_Grade_gpt],"&lt;&gt;")</f>
        <v/>
      </c>
      <c r="DN86" s="55">
        <f>IF($B86=$B85,$DN85,0)+$DM86</f>
        <v/>
      </c>
      <c r="DO86" s="55">
        <f>$DO85+$DM86</f>
        <v/>
      </c>
      <c r="DP86" s="55">
        <f>SUMIFS(tblPlant[Milled_t],tblPlant[Date],$A86,tblPlant[Mill_Run_h],"&lt;&gt;")</f>
        <v/>
      </c>
      <c r="DQ86" s="55">
        <f>IF($B86=$B85,$DQ85,0)+$DP86</f>
        <v/>
      </c>
      <c r="DR86" s="55">
        <f>$DR85+$DP86</f>
        <v/>
      </c>
      <c r="DS86" s="56">
        <f>IFERROR(IF(($DG86)&gt;0,($CX86*cfg_TroyOz)/($DG86),""),"")</f>
        <v/>
      </c>
      <c r="DT86" s="56">
        <f>IFERROR(IF(($DH86)&gt;0,($CY86*cfg_TroyOz)/($DH86),""),"")</f>
        <v/>
      </c>
      <c r="DU86" s="56">
        <f>IFERROR(IF(($DI86)&gt;0,($CZ86*cfg_TroyOz)/($DI86),""),"")</f>
        <v/>
      </c>
      <c r="DV86" s="56">
        <f>IFERROR(IF(($DJ86)&gt;0,($DA86*cfg_TroyOz)/($DJ86),""),"")</f>
        <v/>
      </c>
      <c r="DW86" s="56">
        <f>IFERROR(IF(($DK86)&gt;0,($DB86*cfg_TroyOz)/($DK86),""),"")</f>
        <v/>
      </c>
      <c r="DX86" s="56">
        <f>IFERROR(IF(($DL86)&gt;0,($DC86*cfg_TroyOz)/($DL86),""),"")</f>
        <v/>
      </c>
      <c r="DY86" s="67">
        <f>IFERROR(IF(($DM86)&gt;0,($DD86)/($DM86),""),"")</f>
        <v/>
      </c>
      <c r="DZ86" s="67">
        <f>IFERROR(IF(($DN86)&gt;0,($DE86)/($DN86),""),"")</f>
        <v/>
      </c>
      <c r="EA86" s="67">
        <f>IFERROR(IF(($DO86)&gt;0,($DF86)/($DO86),""),"")</f>
        <v/>
      </c>
      <c r="EB86" s="55">
        <f>SUMIFS(tblPlant[Gravity_Gold_oz],tblPlant[Date],$A86)</f>
        <v/>
      </c>
      <c r="EC86" s="55">
        <f>IF($B86=$B85,$EC85,0)+$EB86</f>
        <v/>
      </c>
      <c r="ED86" s="55">
        <f>$ED85+$EB86</f>
        <v/>
      </c>
      <c r="EE86" s="67">
        <f>IFERROR(IF(($DD86)&gt;0,($EB86)/($DD86),""),"")</f>
        <v/>
      </c>
      <c r="EF86" s="67">
        <f>IFERROR(IF(($DE86)&gt;0,($EC86)/($DE86),""),"")</f>
        <v/>
      </c>
      <c r="EG86" s="67">
        <f>IFERROR(IF(($DF86)&gt;0,($ED86)/($DF86),""),"")</f>
        <v/>
      </c>
      <c r="EH86" s="55">
        <f>SUMIFS(tblPlant[Gold_Poured_oz],tblPlant[Date],$A86)</f>
        <v/>
      </c>
      <c r="EI86" s="55">
        <f>IF($B86=$B85,$EI85,0)+$EH86</f>
        <v/>
      </c>
      <c r="EJ86" s="55">
        <f>$EJ85+$EH86</f>
        <v/>
      </c>
      <c r="EK86" s="57">
        <f>SUMIFS(tblPlant[Mill_Run_h],tblPlant[Date],$A86)</f>
        <v/>
      </c>
      <c r="EL86" s="57">
        <f>IF($B86=$B85,$EL85,0)+$EK86</f>
        <v/>
      </c>
      <c r="EM86" s="57">
        <f>$EM85+$EK86</f>
        <v/>
      </c>
      <c r="EN86" s="57">
        <f>SUMIFS(tblPlant[Mill_Planned_Maint_h],tblPlant[Date],$A86)</f>
        <v/>
      </c>
      <c r="EO86" s="57">
        <f>IF($B86=$B85,$EO85,0)+$EN86</f>
        <v/>
      </c>
      <c r="EP86" s="57">
        <f>$EP85+$EN86</f>
        <v/>
      </c>
      <c r="EQ86" s="57">
        <f>SUMIFS(tblPlant[Mill_Unplanned_Down_h],tblPlant[Date],$A86)</f>
        <v/>
      </c>
      <c r="ER86" s="57">
        <f>IF($B86=$B85,$ER85,0)+$EQ86</f>
        <v/>
      </c>
      <c r="ES86" s="57">
        <f>$ES85+$EQ86</f>
        <v/>
      </c>
      <c r="ET86" s="57">
        <f>IF(COUNTIFS(tblPlant[Date],$A86,tblPlant[Mill_Run_h],"&lt;&gt;")+COUNTIFS(tblPlant[Date],$A86,tblPlant[Mill_Planned_Maint_h],"&lt;&gt;")+COUNTIFS(tblPlant[Date],$A86,tblPlant[Mill_Unplanned_Down_h],"&lt;&gt;")&gt;0,cfg_HoursPerDay,0)</f>
        <v/>
      </c>
      <c r="EU86" s="57">
        <f>IF($B86=$B85,$EU85,0)+$ET86</f>
        <v/>
      </c>
      <c r="EV86" s="57">
        <f>$EV85+$ET86</f>
        <v/>
      </c>
      <c r="EW86" s="57">
        <f>SUMIFS(tblPlant[Crusher_Run_h],tblPlant[Date],$A86)</f>
        <v/>
      </c>
      <c r="EX86" s="57">
        <f>IF($B86=$B85,$EX85,0)+$EW86</f>
        <v/>
      </c>
      <c r="EY86" s="57">
        <f>$EY85+$EW86</f>
        <v/>
      </c>
      <c r="EZ86" s="55">
        <f>IFERROR(IF(($EK86)&gt;0,($DP86)/($EK86),""),"")</f>
        <v/>
      </c>
      <c r="FA86" s="55">
        <f>IFERROR(IF(($EL86)&gt;0,($DQ86)/($EL86),""),"")</f>
        <v/>
      </c>
      <c r="FB86" s="55">
        <f>IFERROR(IF(($EM86)&gt;0,($DR86)/($EM86),""),"")</f>
        <v/>
      </c>
      <c r="FC86" s="67">
        <f>IFERROR(IF(($ET86)&gt;0,($ET86-$EN86-$EQ86)/($ET86),""),"")</f>
        <v/>
      </c>
      <c r="FD86" s="67">
        <f>IFERROR(IF(($EU86)&gt;0,($EU86-$EO86-$ER86)/($EU86),""),"")</f>
        <v/>
      </c>
      <c r="FE86" s="67">
        <f>IFERROR(IF(($EV86)&gt;0,($EV86-$EP86-$ES86)/($EV86),""),"")</f>
        <v/>
      </c>
      <c r="FF86" s="67">
        <f>IFERROR(IF(($ET86-$EN86-$EQ86)&gt;0,($EK86)/($ET86-$EN86-$EQ86),""),"")</f>
        <v/>
      </c>
      <c r="FG86" s="67">
        <f>IFERROR(IF(($EU86-$EO86-$ER86)&gt;0,($EL86)/($EU86-$EO86-$ER86),""),"")</f>
        <v/>
      </c>
      <c r="FH86" s="67">
        <f>IFERROR(IF(($EV86-$EP86-$ES86)&gt;0,($EM86)/($EV86-$EP86-$ES86),""),"")</f>
        <v/>
      </c>
      <c r="FI86" s="55">
        <f>SUMIFS(tblPlant[Cyanide_kg],tblPlant[Date],$A86)</f>
        <v/>
      </c>
      <c r="FJ86" s="55">
        <f>IF($B86=$B85,$FJ85,0)+$FI86</f>
        <v/>
      </c>
      <c r="FK86" s="55">
        <f>$FK85+$FI86</f>
        <v/>
      </c>
      <c r="FL86" s="55">
        <f>SUMIFS(tblPlant[Lime_kg],tblPlant[Date],$A86)</f>
        <v/>
      </c>
      <c r="FM86" s="55">
        <f>IF($B86=$B85,$FM85,0)+$FL86</f>
        <v/>
      </c>
      <c r="FN86" s="55">
        <f>$FN85+$FL86</f>
        <v/>
      </c>
      <c r="FO86" s="55">
        <f>SUMIFS(tblPlant[Grinding_Media_kg],tblPlant[Date],$A86)</f>
        <v/>
      </c>
      <c r="FP86" s="55">
        <f>IF($B86=$B85,$FP85,0)+$FO86</f>
        <v/>
      </c>
      <c r="FQ86" s="55">
        <f>$FQ85+$FO86</f>
        <v/>
      </c>
      <c r="FR86" s="55">
        <f>SUMIFS(tblPlant[Power_kWh],tblPlant[Date],$A86)</f>
        <v/>
      </c>
      <c r="FS86" s="55">
        <f>IF($B86=$B85,$FS85,0)+$FR86</f>
        <v/>
      </c>
      <c r="FT86" s="55">
        <f>$FT85+$FR86</f>
        <v/>
      </c>
      <c r="FU86" s="55">
        <f>SUMIFS(tblPlant[Raw_Water_m3],tblPlant[Date],$A86)</f>
        <v/>
      </c>
      <c r="FV86" s="55">
        <f>IF($B86=$B85,$FV85,0)+$FU86</f>
        <v/>
      </c>
      <c r="FW86" s="55">
        <f>$FW85+$FU86</f>
        <v/>
      </c>
      <c r="FX86" s="56">
        <f>IFERROR(IF(($CU86)&gt;0,($FI86)/($CU86),""),"")</f>
        <v/>
      </c>
      <c r="FY86" s="56">
        <f>IFERROR(IF(($CV86)&gt;0,($FJ86)/($CV86),""),"")</f>
        <v/>
      </c>
      <c r="FZ86" s="56">
        <f>IFERROR(IF(($CW86)&gt;0,($FK86)/($CW86),""),"")</f>
        <v/>
      </c>
      <c r="GA86" s="56">
        <f>IFERROR(IF(($CU86)&gt;0,($FL86)/($CU86),""),"")</f>
        <v/>
      </c>
      <c r="GB86" s="56">
        <f>IFERROR(IF(($CV86)&gt;0,($FM86)/($CV86),""),"")</f>
        <v/>
      </c>
      <c r="GC86" s="56">
        <f>IFERROR(IF(($CW86)&gt;0,($FN86)/($CW86),""),"")</f>
        <v/>
      </c>
      <c r="GD86" s="56">
        <f>IFERROR(IF(($CU86)&gt;0,($FO86)/($CU86),""),"")</f>
        <v/>
      </c>
      <c r="GE86" s="56">
        <f>IFERROR(IF(($CV86)&gt;0,($FP86)/($CV86),""),"")</f>
        <v/>
      </c>
      <c r="GF86" s="56">
        <f>IFERROR(IF(($CW86)&gt;0,($FQ86)/($CW86),""),"")</f>
        <v/>
      </c>
      <c r="GG86" s="79">
        <f>IFERROR(IF(($CU86)&gt;0,($FR86)/($CU86),""),"")</f>
        <v/>
      </c>
      <c r="GH86" s="79">
        <f>IFERROR(IF(($CV86)&gt;0,($FS86)/($CV86),""),"")</f>
        <v/>
      </c>
      <c r="GI86" s="79">
        <f>IFERROR(IF(($CW86)&gt;0,($FT86)/($CW86),""),"")</f>
        <v/>
      </c>
      <c r="GJ86" s="56">
        <f>IFERROR(IF(($CU86)&gt;0,($FU86)/($CU86),""),"")</f>
        <v/>
      </c>
      <c r="GK86" s="56">
        <f>IFERROR(IF(($CV86)&gt;0,($FV86)/($CV86),""),"")</f>
        <v/>
      </c>
      <c r="GL86" s="56">
        <f>IFERROR(IF(($CW86)&gt;0,($FW86)/($CW86),""),"")</f>
        <v/>
      </c>
      <c r="GM86" s="55">
        <f>IF(SUMIFS(tblPlant[GIC_oz],tblPlant[Date],$A86)&gt;0,SUMIFS(tblPlant[GIC_oz],tblPlant[Date],$A86),"")</f>
        <v/>
      </c>
      <c r="GN86" s="55">
        <f>SUMIFS(tblGold[Gold_oz],tblGold[Date],$A86,tblGold[Type],"Shipment")</f>
        <v/>
      </c>
      <c r="GO86" s="55">
        <f>IF($B86=$B85,$GO85,0)+$GN86</f>
        <v/>
      </c>
      <c r="GP86" s="55">
        <f>$GP85+$GN86</f>
        <v/>
      </c>
      <c r="GQ86" s="55">
        <f>SUMIFS(tblGold[Gold_oz],tblGold[Date],$A86,tblGold[Type],"Sale")</f>
        <v/>
      </c>
      <c r="GR86" s="55">
        <f>IF($B86=$B85,$GR85,0)+$GQ86</f>
        <v/>
      </c>
      <c r="GS86" s="55">
        <f>$GS85+$GQ86</f>
        <v/>
      </c>
      <c r="GT86" s="55">
        <f>SUMIFS(tblGold[Dore_kg],tblGold[Date],$A86,tblGold[Type],"Shipment")</f>
        <v/>
      </c>
      <c r="GU86" s="55">
        <f>IF($B86=$B85,$GU85,0)+$GT86</f>
        <v/>
      </c>
      <c r="GV86" s="55">
        <f>$GV85+$GT86</f>
        <v/>
      </c>
      <c r="GW86" s="57">
        <f>SUMIFS(tblSafety[Hours_Total],tblSafety[Date],$A86)</f>
        <v/>
      </c>
      <c r="GX86" s="57">
        <f>IF($B86=$B85,$GX85,0)+$GW86</f>
        <v/>
      </c>
      <c r="GY86" s="57">
        <f>$GY85+$GW86</f>
        <v/>
      </c>
      <c r="GZ86" s="62">
        <f>SUMIFS(tblSafety[Fatality],tblSafety[Date],$A86)</f>
        <v/>
      </c>
      <c r="HA86" s="62">
        <f>IF($B86=$B85,$HA85,0)+$GZ86</f>
        <v/>
      </c>
      <c r="HB86" s="62">
        <f>$HB85+$GZ86</f>
        <v/>
      </c>
      <c r="HC86" s="62">
        <f>SUMIFS(tblSafety[LTI],tblSafety[Date],$A86)</f>
        <v/>
      </c>
      <c r="HD86" s="62">
        <f>IF($B86=$B85,$HD85,0)+$HC86</f>
        <v/>
      </c>
      <c r="HE86" s="62">
        <f>$HE85+$HC86</f>
        <v/>
      </c>
      <c r="HF86" s="62">
        <f>SUMIFS(tblSafety[RWI],tblSafety[Date],$A86)</f>
        <v/>
      </c>
      <c r="HG86" s="62">
        <f>IF($B86=$B85,$HG85,0)+$HF86</f>
        <v/>
      </c>
      <c r="HH86" s="62">
        <f>$HH85+$HF86</f>
        <v/>
      </c>
      <c r="HI86" s="62">
        <f>SUMIFS(tblSafety[MTI],tblSafety[Date],$A86)</f>
        <v/>
      </c>
      <c r="HJ86" s="62">
        <f>IF($B86=$B85,$HJ85,0)+$HI86</f>
        <v/>
      </c>
      <c r="HK86" s="62">
        <f>$HK85+$HI86</f>
        <v/>
      </c>
      <c r="HL86" s="62">
        <f>SUMIFS(tblSafety[FAI],tblSafety[Date],$A86)</f>
        <v/>
      </c>
      <c r="HM86" s="62">
        <f>IF($B86=$B85,$HM85,0)+$HL86</f>
        <v/>
      </c>
      <c r="HN86" s="62">
        <f>$HN85+$HL86</f>
        <v/>
      </c>
      <c r="HO86" s="62">
        <f>SUMIFS(tblSafety[Recordables],tblSafety[Date],$A86)</f>
        <v/>
      </c>
      <c r="HP86" s="62">
        <f>IF($B86=$B85,$HP85,0)+$HO86</f>
        <v/>
      </c>
      <c r="HQ86" s="62">
        <f>$HQ85+$HO86</f>
        <v/>
      </c>
      <c r="HR86" s="62">
        <f>SUMIFS(tblSafety[Near_Miss],tblSafety[Date],$A86)</f>
        <v/>
      </c>
      <c r="HS86" s="62">
        <f>IF($B86=$B85,$HS85,0)+$HR86</f>
        <v/>
      </c>
      <c r="HT86" s="62">
        <f>$HT85+$HR86</f>
        <v/>
      </c>
      <c r="HU86" s="62">
        <f>SUMIFS(tblSafety[Hazard_Reports],tblSafety[Date],$A86)</f>
        <v/>
      </c>
      <c r="HV86" s="62">
        <f>IF($B86=$B85,$HV85,0)+$HU86</f>
        <v/>
      </c>
      <c r="HW86" s="62">
        <f>$HW85+$HU86</f>
        <v/>
      </c>
      <c r="HX86" s="62">
        <f>SUMIFS(tblSafety[HPI],tblSafety[Date],$A86)</f>
        <v/>
      </c>
      <c r="HY86" s="62">
        <f>IF($B86=$B85,$HY85,0)+$HX86</f>
        <v/>
      </c>
      <c r="HZ86" s="62">
        <f>$HZ85+$HX86</f>
        <v/>
      </c>
      <c r="IA86" s="62">
        <f>SUMIFS(tblSafety[Env_Incidents],tblSafety[Date],$A86)</f>
        <v/>
      </c>
      <c r="IB86" s="62">
        <f>IF($B86=$B85,$IB85,0)+$IA86</f>
        <v/>
      </c>
      <c r="IC86" s="62">
        <f>$IC85+$IA86</f>
        <v/>
      </c>
      <c r="ID86" s="62">
        <f>SUMIFS(tblSafety[Community_Incidents],tblSafety[Date],$A86)</f>
        <v/>
      </c>
      <c r="IE86" s="62">
        <f>IF($B86=$B85,$IE85,0)+$ID86</f>
        <v/>
      </c>
      <c r="IF86" s="62">
        <f>$IF85+$ID86</f>
        <v/>
      </c>
      <c r="IG86" s="62">
        <f>SUMIFS(tblSafety[Vehicle_Incidents],tblSafety[Date],$A86)</f>
        <v/>
      </c>
      <c r="IH86" s="62">
        <f>IF($B86=$B85,$IH85,0)+$IG86</f>
        <v/>
      </c>
      <c r="II86" s="62">
        <f>$II85+$IG86</f>
        <v/>
      </c>
      <c r="IJ86" s="62">
        <f>SUMIFS(tblSafety[Toolbox_Talks],tblSafety[Date],$A86)</f>
        <v/>
      </c>
      <c r="IK86" s="62">
        <f>IF($B86=$B85,$IK85,0)+$IJ86</f>
        <v/>
      </c>
      <c r="IL86" s="62">
        <f>$IL85+$IJ86</f>
        <v/>
      </c>
      <c r="IM86" s="62">
        <f>SUMIFS(tblSafety[Inspections],tblSafety[Date],$A86)</f>
        <v/>
      </c>
      <c r="IN86" s="62">
        <f>IF($B86=$B85,$IN85,0)+$IM86</f>
        <v/>
      </c>
      <c r="IO86" s="62">
        <f>$IO85+$IM86</f>
        <v/>
      </c>
      <c r="IP86" s="56">
        <f>IFERROR((SUMIFS(tblSafety[Recordables],tblSafety[Date],"&gt;="&amp;EDATE($E86,-12),tblSafety[Date],"&lt;="&amp;$A86)+SUMIFS(tblSafetyHistory[Recordables],tblSafetyHistory[Month],"&gt;="&amp;EDATE($E86,-12),tblSafetyHistory[Month],"&lt;"&amp;$E86,tblSafetyHistory[Use],1))/(SUMIFS(tblSafety[Hours_Total],tblSafety[Date],"&gt;="&amp;EDATE($E86,-12),tblSafety[Date],"&lt;="&amp;$A86)+SUMIFS(tblSafetyHistory[Hours_Total],tblSafetyHistory[Month],"&gt;="&amp;EDATE($E86,-12),tblSafetyHistory[Month],"&lt;"&amp;$E86,tblSafetyHistory[Use],1))*cfg_RateBasisHours,"")</f>
        <v/>
      </c>
      <c r="IQ86" s="56">
        <f>IFERROR((SUMIFS(tblSafety[LTI],tblSafety[Date],"&gt;="&amp;EDATE($E86,-12),tblSafety[Date],"&lt;="&amp;$A86)+SUMIFS(tblSafetyHistory[LTI],tblSafetyHistory[Month],"&gt;="&amp;EDATE($E86,-12),tblSafetyHistory[Month],"&lt;"&amp;$E86,tblSafetyHistory[Use],1))/(SUMIFS(tblSafety[Hours_Total],tblSafety[Date],"&gt;="&amp;EDATE($E86,-12),tblSafety[Date],"&lt;="&amp;$A86)+SUMIFS(tblSafetyHistory[Hours_Total],tblSafetyHistory[Month],"&gt;="&amp;EDATE($E86,-12),tblSafetyHistory[Month],"&lt;"&amp;$E86,tblSafetyHistory[Use],1))*cfg_RateBasisHours,"")</f>
        <v/>
      </c>
      <c r="IR86" s="62">
        <f>IF(MAX(N(cfg_PriorLTIDate),_xlfn.MAXIFS(tblSafety[Date],tblSafety[LTI],"&gt;0",tblSafety[Date],"&lt;="&amp;$A86))=0,"",$A86-MAX(N(cfg_PriorLTIDate),_xlfn.MAXIFS(tblSafety[Date],tblSafety[LTI],"&gt;0",tblSafety[Date],"&lt;="&amp;$A86)))</f>
        <v/>
      </c>
      <c r="IS86" s="55">
        <f>SUMIFS(tblBudget[Ore_Mined_t],tblBudget[Month],$E86)</f>
        <v/>
      </c>
      <c r="IT86" s="55">
        <f>$IS86*$C86/$D86</f>
        <v/>
      </c>
      <c r="IU86" s="55">
        <f>SUMIFS(tblBudget[Ore_Mined_t],tblBudget[Month],"&lt;"&amp;$E86)+$IT86</f>
        <v/>
      </c>
      <c r="IV86" s="55">
        <f>SUMIFS(tblBudget[Ore_oz],tblBudget[Month],$E86)</f>
        <v/>
      </c>
      <c r="IW86" s="55">
        <f>$IV86*$C86/$D86</f>
        <v/>
      </c>
      <c r="IX86" s="55">
        <f>SUMIFS(tblBudget[Ore_oz],tblBudget[Month],"&lt;"&amp;$E86)+$IW86</f>
        <v/>
      </c>
      <c r="IY86" s="55">
        <f>SUMIFS(tblBudget[Ore_Mined_t],tblBudget[Month],$E86)</f>
        <v/>
      </c>
      <c r="IZ86" s="55">
        <f>$IY86*$C86/$D86</f>
        <v/>
      </c>
      <c r="JA86" s="55">
        <f>SUMIFS(tblBudget[Ore_Mined_t],tblBudget[Month],"&lt;"&amp;$E86)+$IZ86</f>
        <v/>
      </c>
      <c r="JB86" s="56">
        <f>IFERROR(IF(($IY86)&gt;0,($IV86*cfg_TroyOz)/($IY86),""),"")</f>
        <v/>
      </c>
      <c r="JC86" s="56">
        <f>IFERROR(IF(($IZ86)&gt;0,($IW86*cfg_TroyOz)/($IZ86),""),"")</f>
        <v/>
      </c>
      <c r="JD86" s="56">
        <f>IFERROR(IF(($JA86)&gt;0,($IX86*cfg_TroyOz)/($JA86),""),"")</f>
        <v/>
      </c>
      <c r="JE86" s="55">
        <f>SUMIFS(tblBudget[Waste_t],tblBudget[Month],$E86)</f>
        <v/>
      </c>
      <c r="JF86" s="55">
        <f>$JE86*$C86/$D86</f>
        <v/>
      </c>
      <c r="JG86" s="55">
        <f>SUMIFS(tblBudget[Waste_t],tblBudget[Month],"&lt;"&amp;$E86)+$JF86</f>
        <v/>
      </c>
      <c r="JH86" s="55">
        <f>SUMIFS(tblBudget[TMM_t],tblBudget[Month],$E86)</f>
        <v/>
      </c>
      <c r="JI86" s="55">
        <f>$JH86*$C86/$D86</f>
        <v/>
      </c>
      <c r="JJ86" s="55">
        <f>SUMIFS(tblBudget[TMM_t],tblBudget[Month],"&lt;"&amp;$E86)+$JI86</f>
        <v/>
      </c>
      <c r="JK86" s="56">
        <f>IFERROR(IF(($IS86)&gt;0,($JE86)/($IS86),""),"")</f>
        <v/>
      </c>
      <c r="JL86" s="56">
        <f>IFERROR(IF(($IT86)&gt;0,($JF86)/($IT86),""),"")</f>
        <v/>
      </c>
      <c r="JM86" s="56">
        <f>IFERROR(IF(($IU86)&gt;0,($JG86)/($IU86),""),"")</f>
        <v/>
      </c>
      <c r="JN86" s="55">
        <f>SUMIFS(tblBudget[Drill_m],tblBudget[Month],$E86)</f>
        <v/>
      </c>
      <c r="JO86" s="55">
        <f>$JN86*$C86/$D86</f>
        <v/>
      </c>
      <c r="JP86" s="55">
        <f>SUMIFS(tblBudget[Drill_m],tblBudget[Month],"&lt;"&amp;$E86)+$JO86</f>
        <v/>
      </c>
      <c r="JQ86" s="55">
        <f>SUMIFS(tblBudget[Diesel_L],tblBudget[Month],$E86)</f>
        <v/>
      </c>
      <c r="JR86" s="55">
        <f>$JQ86*$C86/$D86</f>
        <v/>
      </c>
      <c r="JS86" s="55">
        <f>SUMIFS(tblBudget[Diesel_L],tblBudget[Month],"&lt;"&amp;$E86)+$JR86</f>
        <v/>
      </c>
      <c r="JT86" s="55">
        <f>SUMIFS(tblBudget[Milled_t],tblBudget[Month],$E86)</f>
        <v/>
      </c>
      <c r="JU86" s="55">
        <f>$JT86*$C86/$D86</f>
        <v/>
      </c>
      <c r="JV86" s="55">
        <f>SUMIFS(tblBudget[Milled_t],tblBudget[Month],"&lt;"&amp;$E86)+$JU86</f>
        <v/>
      </c>
      <c r="JW86" s="55">
        <f>SUMIFS(tblBudget[Feed_oz],tblBudget[Month],$E86)</f>
        <v/>
      </c>
      <c r="JX86" s="55">
        <f>$JW86*$C86/$D86</f>
        <v/>
      </c>
      <c r="JY86" s="55">
        <f>SUMIFS(tblBudget[Feed_oz],tblBudget[Month],"&lt;"&amp;$E86)+$JX86</f>
        <v/>
      </c>
      <c r="JZ86" s="55">
        <f>SUMIFS(tblBudget[Recovered_oz],tblBudget[Month],$E86)</f>
        <v/>
      </c>
      <c r="KA86" s="55">
        <f>$JZ86*$C86/$D86</f>
        <v/>
      </c>
      <c r="KB86" s="55">
        <f>SUMIFS(tblBudget[Recovered_oz],tblBudget[Month],"&lt;"&amp;$E86)+$KA86</f>
        <v/>
      </c>
      <c r="KC86" s="55">
        <f>SUMIFS(tblBudget[Milled_t],tblBudget[Month],$E86)</f>
        <v/>
      </c>
      <c r="KD86" s="55">
        <f>$KC86*$C86/$D86</f>
        <v/>
      </c>
      <c r="KE86" s="55">
        <f>SUMIFS(tblBudget[Milled_t],tblBudget[Month],"&lt;"&amp;$E86)+$KD86</f>
        <v/>
      </c>
      <c r="KF86" s="55">
        <f>SUMIFS(tblBudget[Feed_oz],tblBudget[Month],$E86)</f>
        <v/>
      </c>
      <c r="KG86" s="55">
        <f>$KF86*$C86/$D86</f>
        <v/>
      </c>
      <c r="KH86" s="55">
        <f>SUMIFS(tblBudget[Feed_oz],tblBudget[Month],"&lt;"&amp;$E86)+$KG86</f>
        <v/>
      </c>
      <c r="KI86" s="56">
        <f>IFERROR(IF(($KC86)&gt;0,($JW86*cfg_TroyOz)/($KC86),""),"")</f>
        <v/>
      </c>
      <c r="KJ86" s="56">
        <f>IFERROR(IF(($KD86)&gt;0,($JX86*cfg_TroyOz)/($KD86),""),"")</f>
        <v/>
      </c>
      <c r="KK86" s="56">
        <f>IFERROR(IF(($KE86)&gt;0,($JY86*cfg_TroyOz)/($KE86),""),"")</f>
        <v/>
      </c>
      <c r="KL86" s="67">
        <f>IFERROR(IF(($KF86)&gt;0,($JZ86)/($KF86),""),"")</f>
        <v/>
      </c>
      <c r="KM86" s="67">
        <f>IFERROR(IF(($KG86)&gt;0,($KA86)/($KG86),""),"")</f>
        <v/>
      </c>
      <c r="KN86" s="67">
        <f>IFERROR(IF(($KH86)&gt;0,($KB86)/($KH86),""),"")</f>
        <v/>
      </c>
      <c r="KO86" s="55">
        <f>SUMIFS(tblBudget[Gold_Poured_oz],tblBudget[Month],$E86)</f>
        <v/>
      </c>
      <c r="KP86" s="55">
        <f>$KO86*$C86/$D86</f>
        <v/>
      </c>
      <c r="KQ86" s="55">
        <f>SUMIFS(tblBudget[Gold_Poured_oz],tblBudget[Month],"&lt;"&amp;$E86)+$KP86</f>
        <v/>
      </c>
      <c r="KR86" s="57">
        <f>SUMIFS(tblBudget[Hours_Worked],tblBudget[Month],$E86)</f>
        <v/>
      </c>
      <c r="KS86" s="57">
        <f>$KR86*$C86/$D86</f>
        <v/>
      </c>
      <c r="KT86" s="57">
        <f>SUMIFS(tblBudget[Hours_Worked],tblBudget[Month],"&lt;"&amp;$E86)+$KS86</f>
        <v/>
      </c>
    </row>
    <row r="87">
      <c r="A87" s="54" t="n">
        <v>46108</v>
      </c>
      <c r="B87">
        <f>MONTH($A87)</f>
        <v/>
      </c>
      <c r="C87">
        <f>DAY($A87)</f>
        <v/>
      </c>
      <c r="D87">
        <f>DAY(EOMONTH($A87,0))</f>
        <v/>
      </c>
      <c r="E87" s="54">
        <f>DATE(YEAR($A87),MONTH($A87),1)</f>
        <v/>
      </c>
      <c r="F87" s="55">
        <f>SUMIFS(tblMovement[Tonnes_t],tblMovement[Date],$A87,tblMovement[Is_Ore],1,tblMovement[Source_Type],"Pit")</f>
        <v/>
      </c>
      <c r="G87" s="55">
        <f>IF($B87=$B86,$G86,0)+$F87</f>
        <v/>
      </c>
      <c r="H87" s="55">
        <f>$H86+$F87</f>
        <v/>
      </c>
      <c r="I87" s="55">
        <f>SUMIFS(tblMovement[Ore_oz],tblMovement[Date],$A87,tblMovement[Source_Type],"Pit")</f>
        <v/>
      </c>
      <c r="J87" s="55">
        <f>IF($B87=$B86,$J86,0)+$I87</f>
        <v/>
      </c>
      <c r="K87" s="55">
        <f>$K86+$I87</f>
        <v/>
      </c>
      <c r="L87" s="55">
        <f>SUMIFS(tblMovement[Tonnes_t],tblMovement[Date],$A87,tblMovement[Is_Ore],1,tblMovement[Source_Type],"Pit",tblMovement[Grade_gpt],"&lt;&gt;")</f>
        <v/>
      </c>
      <c r="M87" s="55">
        <f>IF($B87=$B86,$M86,0)+$L87</f>
        <v/>
      </c>
      <c r="N87" s="55">
        <f>$N86+$L87</f>
        <v/>
      </c>
      <c r="O87" s="56">
        <f>IFERROR(IF(($L87)&gt;0,($I87*cfg_TroyOz)/($L87),""),"")</f>
        <v/>
      </c>
      <c r="P87" s="56">
        <f>IFERROR(IF(($M87)&gt;0,($J87*cfg_TroyOz)/($M87),""),"")</f>
        <v/>
      </c>
      <c r="Q87" s="56">
        <f>IFERROR(IF(($N87)&gt;0,($K87*cfg_TroyOz)/($N87),""),"")</f>
        <v/>
      </c>
      <c r="R87" s="55">
        <f>$F87-$L87</f>
        <v/>
      </c>
      <c r="S87" s="55">
        <f>IF($B87=$B86,$S86,0)+$R87</f>
        <v/>
      </c>
      <c r="T87" s="55">
        <f>$T86+$R87</f>
        <v/>
      </c>
      <c r="U87" s="55">
        <f>SUMIFS(tblMovement[Tonnes_t],tblMovement[Date],$A87,tblMovement[Is_Ore],0,tblMovement[Source_Type],"Pit")</f>
        <v/>
      </c>
      <c r="V87" s="55">
        <f>IF($B87=$B86,$V86,0)+$U87</f>
        <v/>
      </c>
      <c r="W87" s="55">
        <f>$W86+$U87</f>
        <v/>
      </c>
      <c r="X87" s="55">
        <f>$F87+$U87</f>
        <v/>
      </c>
      <c r="Y87" s="55">
        <f>IF($B87=$B86,$Y86,0)+$X87</f>
        <v/>
      </c>
      <c r="Z87" s="55">
        <f>$Z86+$X87</f>
        <v/>
      </c>
      <c r="AA87" s="56">
        <f>IFERROR(IF(($F87)&gt;0,($U87)/($F87),""),"")</f>
        <v/>
      </c>
      <c r="AB87" s="56">
        <f>IFERROR(IF(($G87)&gt;0,($V87)/($G87),""),"")</f>
        <v/>
      </c>
      <c r="AC87" s="56">
        <f>IFERROR(IF(($H87)&gt;0,($W87)/($H87),""),"")</f>
        <v/>
      </c>
      <c r="AD87" s="55">
        <f>SUMIFS(tblMovement[Tonnes_t],tblMovement[Date],$A87,tblMovement[Source_Type],"Stockpile")</f>
        <v/>
      </c>
      <c r="AE87" s="55">
        <f>IF($B87=$B86,$AE86,0)+$AD87</f>
        <v/>
      </c>
      <c r="AF87" s="55">
        <f>$AF86+$AD87</f>
        <v/>
      </c>
      <c r="AG87" s="55">
        <f>SUMIFS(tblMovement[Tonnes_t],tblMovement[Date],$A87)</f>
        <v/>
      </c>
      <c r="AH87" s="55">
        <f>IF($B87=$B86,$AH86,0)+$AG87</f>
        <v/>
      </c>
      <c r="AI87" s="55">
        <f>$AI86+$AG87</f>
        <v/>
      </c>
      <c r="AJ87" s="55">
        <f>$AG87-$X87-$AD87</f>
        <v/>
      </c>
      <c r="AK87" s="55">
        <f>IF($B87=$B86,$AK86,0)+$AJ87</f>
        <v/>
      </c>
      <c r="AL87" s="55">
        <f>$AL86+$AJ87</f>
        <v/>
      </c>
      <c r="AM87" s="55">
        <f>SUMIFS(tblMiningDaily[Drill_m],tblMiningDaily[Date],$A87)</f>
        <v/>
      </c>
      <c r="AN87" s="55">
        <f>IF($B87=$B86,$AN86,0)+$AM87</f>
        <v/>
      </c>
      <c r="AO87" s="55">
        <f>$AO86+$AM87</f>
        <v/>
      </c>
      <c r="AP87" s="55">
        <f>SUMIFS(tblMiningDaily[GC_Drill_m],tblMiningDaily[Date],$A87)</f>
        <v/>
      </c>
      <c r="AQ87" s="55">
        <f>IF($B87=$B86,$AQ86,0)+$AP87</f>
        <v/>
      </c>
      <c r="AR87" s="55">
        <f>$AR86+$AP87</f>
        <v/>
      </c>
      <c r="AS87" s="55">
        <f>SUMIFS(tblMiningDaily[Blast_t],tblMiningDaily[Date],$A87)</f>
        <v/>
      </c>
      <c r="AT87" s="55">
        <f>IF($B87=$B86,$AT86,0)+$AS87</f>
        <v/>
      </c>
      <c r="AU87" s="55">
        <f>$AU86+$AS87</f>
        <v/>
      </c>
      <c r="AV87" s="55">
        <f>SUMIFS(tblMiningDaily[Explosives_kg],tblMiningDaily[Date],$A87)</f>
        <v/>
      </c>
      <c r="AW87" s="55">
        <f>IF($B87=$B86,$AW86,0)+$AV87</f>
        <v/>
      </c>
      <c r="AX87" s="55">
        <f>$AX86+$AV87</f>
        <v/>
      </c>
      <c r="AY87" s="56">
        <f>IFERROR(IF(($AS87)&gt;0,($AV87)/($AS87),""),"")</f>
        <v/>
      </c>
      <c r="AZ87" s="56">
        <f>IFERROR(IF(($AT87)&gt;0,($AW87)/($AT87),""),"")</f>
        <v/>
      </c>
      <c r="BA87" s="56">
        <f>IFERROR(IF(($AU87)&gt;0,($AX87)/($AU87),""),"")</f>
        <v/>
      </c>
      <c r="BB87" s="55">
        <f>SUMIFS(tblMiningDaily[Diesel_L],tblMiningDaily[Date],$A87)</f>
        <v/>
      </c>
      <c r="BC87" s="55">
        <f>IF($B87=$B86,$BC86,0)+$BB87</f>
        <v/>
      </c>
      <c r="BD87" s="55">
        <f>$BD86+$BB87</f>
        <v/>
      </c>
      <c r="BE87" s="55">
        <f>SUMIFS(tblMiningDaily[Dewatering_m3],tblMiningDaily[Date],$A87)</f>
        <v/>
      </c>
      <c r="BF87" s="55">
        <f>IF($B87=$B86,$BF86,0)+$BE87</f>
        <v/>
      </c>
      <c r="BG87" s="55">
        <f>$BG86+$BE87</f>
        <v/>
      </c>
      <c r="BH87" s="57">
        <f>SUMIFS(tblFleet[Calendar_h],tblFleet[Date],$A87,tblFleet[Equipment_Class],"Excavator")</f>
        <v/>
      </c>
      <c r="BI87" s="57">
        <f>IF($B87=$B86,$BI86,0)+$BH87</f>
        <v/>
      </c>
      <c r="BJ87" s="57">
        <f>$BJ86+$BH87</f>
        <v/>
      </c>
      <c r="BK87" s="57">
        <f>SUMIFS(tblFleet[Available_h],tblFleet[Date],$A87,tblFleet[Equipment_Class],"Excavator")</f>
        <v/>
      </c>
      <c r="BL87" s="57">
        <f>IF($B87=$B86,$BL86,0)+$BK87</f>
        <v/>
      </c>
      <c r="BM87" s="57">
        <f>$BM86+$BK87</f>
        <v/>
      </c>
      <c r="BN87" s="57">
        <f>SUMIFS(tblFleet[Operating_h],tblFleet[Date],$A87,tblFleet[Equipment_Class],"Excavator")</f>
        <v/>
      </c>
      <c r="BO87" s="57">
        <f>IF($B87=$B86,$BO86,0)+$BN87</f>
        <v/>
      </c>
      <c r="BP87" s="57">
        <f>$BP86+$BN87</f>
        <v/>
      </c>
      <c r="BQ87" s="67">
        <f>IFERROR(IF(($BH87)&gt;0,($BK87)/($BH87),""),"")</f>
        <v/>
      </c>
      <c r="BR87" s="67">
        <f>IFERROR(IF(($BI87)&gt;0,($BL87)/($BI87),""),"")</f>
        <v/>
      </c>
      <c r="BS87" s="67">
        <f>IFERROR(IF(($BJ87)&gt;0,($BM87)/($BJ87),""),"")</f>
        <v/>
      </c>
      <c r="BT87" s="67">
        <f>IFERROR(IF(($BK87)&gt;0,($BN87)/($BK87),""),"")</f>
        <v/>
      </c>
      <c r="BU87" s="67">
        <f>IFERROR(IF(($BL87)&gt;0,($BO87)/($BL87),""),"")</f>
        <v/>
      </c>
      <c r="BV87" s="67">
        <f>IFERROR(IF(($BM87)&gt;0,($BP87)/($BM87),""),"")</f>
        <v/>
      </c>
      <c r="BW87" s="57">
        <f>SUMIFS(tblFleet[Calendar_h],tblFleet[Date],$A87,tblFleet[Equipment_Class],"Haul Truck")</f>
        <v/>
      </c>
      <c r="BX87" s="57">
        <f>IF($B87=$B86,$BX86,0)+$BW87</f>
        <v/>
      </c>
      <c r="BY87" s="57">
        <f>$BY86+$BW87</f>
        <v/>
      </c>
      <c r="BZ87" s="57">
        <f>SUMIFS(tblFleet[Available_h],tblFleet[Date],$A87,tblFleet[Equipment_Class],"Haul Truck")</f>
        <v/>
      </c>
      <c r="CA87" s="57">
        <f>IF($B87=$B86,$CA86,0)+$BZ87</f>
        <v/>
      </c>
      <c r="CB87" s="57">
        <f>$CB86+$BZ87</f>
        <v/>
      </c>
      <c r="CC87" s="57">
        <f>SUMIFS(tblFleet[Operating_h],tblFleet[Date],$A87,tblFleet[Equipment_Class],"Haul Truck")</f>
        <v/>
      </c>
      <c r="CD87" s="57">
        <f>IF($B87=$B86,$CD86,0)+$CC87</f>
        <v/>
      </c>
      <c r="CE87" s="57">
        <f>$CE86+$CC87</f>
        <v/>
      </c>
      <c r="CF87" s="67">
        <f>IFERROR(IF(($BW87)&gt;0,($BZ87)/($BW87),""),"")</f>
        <v/>
      </c>
      <c r="CG87" s="67">
        <f>IFERROR(IF(($BX87)&gt;0,($CA87)/($BX87),""),"")</f>
        <v/>
      </c>
      <c r="CH87" s="67">
        <f>IFERROR(IF(($BY87)&gt;0,($CB87)/($BY87),""),"")</f>
        <v/>
      </c>
      <c r="CI87" s="67">
        <f>IFERROR(IF(($BZ87)&gt;0,($CC87)/($BZ87),""),"")</f>
        <v/>
      </c>
      <c r="CJ87" s="67">
        <f>IFERROR(IF(($CA87)&gt;0,($CD87)/($CA87),""),"")</f>
        <v/>
      </c>
      <c r="CK87" s="67">
        <f>IFERROR(IF(($CB87)&gt;0,($CE87)/($CB87),""),"")</f>
        <v/>
      </c>
      <c r="CL87" s="55">
        <f>IFERROR(IF(($BN87)&gt;0,($X87+$AD87)/($BN87),""),"")</f>
        <v/>
      </c>
      <c r="CM87" s="55">
        <f>IFERROR(IF(($BO87)&gt;0,($Y87+$AE87)/($BO87),""),"")</f>
        <v/>
      </c>
      <c r="CN87" s="55">
        <f>IFERROR(IF(($BP87)&gt;0,($Z87+$AF87)/($BP87),""),"")</f>
        <v/>
      </c>
      <c r="CO87" s="55">
        <f>IFERROR(IF(($CC87)&gt;0,($X87+$AD87)/($CC87),""),"")</f>
        <v/>
      </c>
      <c r="CP87" s="55">
        <f>IFERROR(IF(($CD87)&gt;0,($Y87+$AE87)/($CD87),""),"")</f>
        <v/>
      </c>
      <c r="CQ87" s="55">
        <f>IFERROR(IF(($CE87)&gt;0,($Z87+$AF87)/($CE87),""),"")</f>
        <v/>
      </c>
      <c r="CR87" s="55">
        <f>SUMIFS(tblPlant[Crushed_t],tblPlant[Date],$A87)</f>
        <v/>
      </c>
      <c r="CS87" s="55">
        <f>IF($B87=$B86,$CS86,0)+$CR87</f>
        <v/>
      </c>
      <c r="CT87" s="55">
        <f>$CT86+$CR87</f>
        <v/>
      </c>
      <c r="CU87" s="55">
        <f>SUMIFS(tblPlant[Milled_t],tblPlant[Date],$A87)</f>
        <v/>
      </c>
      <c r="CV87" s="55">
        <f>IF($B87=$B86,$CV86,0)+$CU87</f>
        <v/>
      </c>
      <c r="CW87" s="55">
        <f>$CW86+$CU87</f>
        <v/>
      </c>
      <c r="CX87" s="55">
        <f>SUMIFS(tblPlant[Feed_oz],tblPlant[Date],$A87)</f>
        <v/>
      </c>
      <c r="CY87" s="55">
        <f>IF($B87=$B86,$CY86,0)+$CX87</f>
        <v/>
      </c>
      <c r="CZ87" s="55">
        <f>$CZ86+$CX87</f>
        <v/>
      </c>
      <c r="DA87" s="55">
        <f>SUMIFS(tblPlant[Tails_oz],tblPlant[Date],$A87)</f>
        <v/>
      </c>
      <c r="DB87" s="55">
        <f>IF($B87=$B86,$DB86,0)+$DA87</f>
        <v/>
      </c>
      <c r="DC87" s="55">
        <f>$DC86+$DA87</f>
        <v/>
      </c>
      <c r="DD87" s="55">
        <f>SUMIFS(tblPlant[Recovered_oz],tblPlant[Date],$A87)</f>
        <v/>
      </c>
      <c r="DE87" s="55">
        <f>IF($B87=$B86,$DE86,0)+$DD87</f>
        <v/>
      </c>
      <c r="DF87" s="55">
        <f>$DF86+$DD87</f>
        <v/>
      </c>
      <c r="DG87" s="55">
        <f>SUMIFS(tblPlant[Milled_t],tblPlant[Date],$A87,tblPlant[Head_Grade_gpt],"&lt;&gt;")</f>
        <v/>
      </c>
      <c r="DH87" s="55">
        <f>IF($B87=$B86,$DH86,0)+$DG87</f>
        <v/>
      </c>
      <c r="DI87" s="55">
        <f>$DI86+$DG87</f>
        <v/>
      </c>
      <c r="DJ87" s="55">
        <f>SUMIFS(tblPlant[Milled_t],tblPlant[Date],$A87,tblPlant[Tails_Grade_gpt],"&lt;&gt;")</f>
        <v/>
      </c>
      <c r="DK87" s="55">
        <f>IF($B87=$B86,$DK86,0)+$DJ87</f>
        <v/>
      </c>
      <c r="DL87" s="55">
        <f>$DL86+$DJ87</f>
        <v/>
      </c>
      <c r="DM87" s="55">
        <f>SUMIFS(tblPlant[Feed_oz],tblPlant[Date],$A87,tblPlant[Tails_Grade_gpt],"&lt;&gt;")</f>
        <v/>
      </c>
      <c r="DN87" s="55">
        <f>IF($B87=$B86,$DN86,0)+$DM87</f>
        <v/>
      </c>
      <c r="DO87" s="55">
        <f>$DO86+$DM87</f>
        <v/>
      </c>
      <c r="DP87" s="55">
        <f>SUMIFS(tblPlant[Milled_t],tblPlant[Date],$A87,tblPlant[Mill_Run_h],"&lt;&gt;")</f>
        <v/>
      </c>
      <c r="DQ87" s="55">
        <f>IF($B87=$B86,$DQ86,0)+$DP87</f>
        <v/>
      </c>
      <c r="DR87" s="55">
        <f>$DR86+$DP87</f>
        <v/>
      </c>
      <c r="DS87" s="56">
        <f>IFERROR(IF(($DG87)&gt;0,($CX87*cfg_TroyOz)/($DG87),""),"")</f>
        <v/>
      </c>
      <c r="DT87" s="56">
        <f>IFERROR(IF(($DH87)&gt;0,($CY87*cfg_TroyOz)/($DH87),""),"")</f>
        <v/>
      </c>
      <c r="DU87" s="56">
        <f>IFERROR(IF(($DI87)&gt;0,($CZ87*cfg_TroyOz)/($DI87),""),"")</f>
        <v/>
      </c>
      <c r="DV87" s="56">
        <f>IFERROR(IF(($DJ87)&gt;0,($DA87*cfg_TroyOz)/($DJ87),""),"")</f>
        <v/>
      </c>
      <c r="DW87" s="56">
        <f>IFERROR(IF(($DK87)&gt;0,($DB87*cfg_TroyOz)/($DK87),""),"")</f>
        <v/>
      </c>
      <c r="DX87" s="56">
        <f>IFERROR(IF(($DL87)&gt;0,($DC87*cfg_TroyOz)/($DL87),""),"")</f>
        <v/>
      </c>
      <c r="DY87" s="67">
        <f>IFERROR(IF(($DM87)&gt;0,($DD87)/($DM87),""),"")</f>
        <v/>
      </c>
      <c r="DZ87" s="67">
        <f>IFERROR(IF(($DN87)&gt;0,($DE87)/($DN87),""),"")</f>
        <v/>
      </c>
      <c r="EA87" s="67">
        <f>IFERROR(IF(($DO87)&gt;0,($DF87)/($DO87),""),"")</f>
        <v/>
      </c>
      <c r="EB87" s="55">
        <f>SUMIFS(tblPlant[Gravity_Gold_oz],tblPlant[Date],$A87)</f>
        <v/>
      </c>
      <c r="EC87" s="55">
        <f>IF($B87=$B86,$EC86,0)+$EB87</f>
        <v/>
      </c>
      <c r="ED87" s="55">
        <f>$ED86+$EB87</f>
        <v/>
      </c>
      <c r="EE87" s="67">
        <f>IFERROR(IF(($DD87)&gt;0,($EB87)/($DD87),""),"")</f>
        <v/>
      </c>
      <c r="EF87" s="67">
        <f>IFERROR(IF(($DE87)&gt;0,($EC87)/($DE87),""),"")</f>
        <v/>
      </c>
      <c r="EG87" s="67">
        <f>IFERROR(IF(($DF87)&gt;0,($ED87)/($DF87),""),"")</f>
        <v/>
      </c>
      <c r="EH87" s="55">
        <f>SUMIFS(tblPlant[Gold_Poured_oz],tblPlant[Date],$A87)</f>
        <v/>
      </c>
      <c r="EI87" s="55">
        <f>IF($B87=$B86,$EI86,0)+$EH87</f>
        <v/>
      </c>
      <c r="EJ87" s="55">
        <f>$EJ86+$EH87</f>
        <v/>
      </c>
      <c r="EK87" s="57">
        <f>SUMIFS(tblPlant[Mill_Run_h],tblPlant[Date],$A87)</f>
        <v/>
      </c>
      <c r="EL87" s="57">
        <f>IF($B87=$B86,$EL86,0)+$EK87</f>
        <v/>
      </c>
      <c r="EM87" s="57">
        <f>$EM86+$EK87</f>
        <v/>
      </c>
      <c r="EN87" s="57">
        <f>SUMIFS(tblPlant[Mill_Planned_Maint_h],tblPlant[Date],$A87)</f>
        <v/>
      </c>
      <c r="EO87" s="57">
        <f>IF($B87=$B86,$EO86,0)+$EN87</f>
        <v/>
      </c>
      <c r="EP87" s="57">
        <f>$EP86+$EN87</f>
        <v/>
      </c>
      <c r="EQ87" s="57">
        <f>SUMIFS(tblPlant[Mill_Unplanned_Down_h],tblPlant[Date],$A87)</f>
        <v/>
      </c>
      <c r="ER87" s="57">
        <f>IF($B87=$B86,$ER86,0)+$EQ87</f>
        <v/>
      </c>
      <c r="ES87" s="57">
        <f>$ES86+$EQ87</f>
        <v/>
      </c>
      <c r="ET87" s="57">
        <f>IF(COUNTIFS(tblPlant[Date],$A87,tblPlant[Mill_Run_h],"&lt;&gt;")+COUNTIFS(tblPlant[Date],$A87,tblPlant[Mill_Planned_Maint_h],"&lt;&gt;")+COUNTIFS(tblPlant[Date],$A87,tblPlant[Mill_Unplanned_Down_h],"&lt;&gt;")&gt;0,cfg_HoursPerDay,0)</f>
        <v/>
      </c>
      <c r="EU87" s="57">
        <f>IF($B87=$B86,$EU86,0)+$ET87</f>
        <v/>
      </c>
      <c r="EV87" s="57">
        <f>$EV86+$ET87</f>
        <v/>
      </c>
      <c r="EW87" s="57">
        <f>SUMIFS(tblPlant[Crusher_Run_h],tblPlant[Date],$A87)</f>
        <v/>
      </c>
      <c r="EX87" s="57">
        <f>IF($B87=$B86,$EX86,0)+$EW87</f>
        <v/>
      </c>
      <c r="EY87" s="57">
        <f>$EY86+$EW87</f>
        <v/>
      </c>
      <c r="EZ87" s="55">
        <f>IFERROR(IF(($EK87)&gt;0,($DP87)/($EK87),""),"")</f>
        <v/>
      </c>
      <c r="FA87" s="55">
        <f>IFERROR(IF(($EL87)&gt;0,($DQ87)/($EL87),""),"")</f>
        <v/>
      </c>
      <c r="FB87" s="55">
        <f>IFERROR(IF(($EM87)&gt;0,($DR87)/($EM87),""),"")</f>
        <v/>
      </c>
      <c r="FC87" s="67">
        <f>IFERROR(IF(($ET87)&gt;0,($ET87-$EN87-$EQ87)/($ET87),""),"")</f>
        <v/>
      </c>
      <c r="FD87" s="67">
        <f>IFERROR(IF(($EU87)&gt;0,($EU87-$EO87-$ER87)/($EU87),""),"")</f>
        <v/>
      </c>
      <c r="FE87" s="67">
        <f>IFERROR(IF(($EV87)&gt;0,($EV87-$EP87-$ES87)/($EV87),""),"")</f>
        <v/>
      </c>
      <c r="FF87" s="67">
        <f>IFERROR(IF(($ET87-$EN87-$EQ87)&gt;0,($EK87)/($ET87-$EN87-$EQ87),""),"")</f>
        <v/>
      </c>
      <c r="FG87" s="67">
        <f>IFERROR(IF(($EU87-$EO87-$ER87)&gt;0,($EL87)/($EU87-$EO87-$ER87),""),"")</f>
        <v/>
      </c>
      <c r="FH87" s="67">
        <f>IFERROR(IF(($EV87-$EP87-$ES87)&gt;0,($EM87)/($EV87-$EP87-$ES87),""),"")</f>
        <v/>
      </c>
      <c r="FI87" s="55">
        <f>SUMIFS(tblPlant[Cyanide_kg],tblPlant[Date],$A87)</f>
        <v/>
      </c>
      <c r="FJ87" s="55">
        <f>IF($B87=$B86,$FJ86,0)+$FI87</f>
        <v/>
      </c>
      <c r="FK87" s="55">
        <f>$FK86+$FI87</f>
        <v/>
      </c>
      <c r="FL87" s="55">
        <f>SUMIFS(tblPlant[Lime_kg],tblPlant[Date],$A87)</f>
        <v/>
      </c>
      <c r="FM87" s="55">
        <f>IF($B87=$B86,$FM86,0)+$FL87</f>
        <v/>
      </c>
      <c r="FN87" s="55">
        <f>$FN86+$FL87</f>
        <v/>
      </c>
      <c r="FO87" s="55">
        <f>SUMIFS(tblPlant[Grinding_Media_kg],tblPlant[Date],$A87)</f>
        <v/>
      </c>
      <c r="FP87" s="55">
        <f>IF($B87=$B86,$FP86,0)+$FO87</f>
        <v/>
      </c>
      <c r="FQ87" s="55">
        <f>$FQ86+$FO87</f>
        <v/>
      </c>
      <c r="FR87" s="55">
        <f>SUMIFS(tblPlant[Power_kWh],tblPlant[Date],$A87)</f>
        <v/>
      </c>
      <c r="FS87" s="55">
        <f>IF($B87=$B86,$FS86,0)+$FR87</f>
        <v/>
      </c>
      <c r="FT87" s="55">
        <f>$FT86+$FR87</f>
        <v/>
      </c>
      <c r="FU87" s="55">
        <f>SUMIFS(tblPlant[Raw_Water_m3],tblPlant[Date],$A87)</f>
        <v/>
      </c>
      <c r="FV87" s="55">
        <f>IF($B87=$B86,$FV86,0)+$FU87</f>
        <v/>
      </c>
      <c r="FW87" s="55">
        <f>$FW86+$FU87</f>
        <v/>
      </c>
      <c r="FX87" s="56">
        <f>IFERROR(IF(($CU87)&gt;0,($FI87)/($CU87),""),"")</f>
        <v/>
      </c>
      <c r="FY87" s="56">
        <f>IFERROR(IF(($CV87)&gt;0,($FJ87)/($CV87),""),"")</f>
        <v/>
      </c>
      <c r="FZ87" s="56">
        <f>IFERROR(IF(($CW87)&gt;0,($FK87)/($CW87),""),"")</f>
        <v/>
      </c>
      <c r="GA87" s="56">
        <f>IFERROR(IF(($CU87)&gt;0,($FL87)/($CU87),""),"")</f>
        <v/>
      </c>
      <c r="GB87" s="56">
        <f>IFERROR(IF(($CV87)&gt;0,($FM87)/($CV87),""),"")</f>
        <v/>
      </c>
      <c r="GC87" s="56">
        <f>IFERROR(IF(($CW87)&gt;0,($FN87)/($CW87),""),"")</f>
        <v/>
      </c>
      <c r="GD87" s="56">
        <f>IFERROR(IF(($CU87)&gt;0,($FO87)/($CU87),""),"")</f>
        <v/>
      </c>
      <c r="GE87" s="56">
        <f>IFERROR(IF(($CV87)&gt;0,($FP87)/($CV87),""),"")</f>
        <v/>
      </c>
      <c r="GF87" s="56">
        <f>IFERROR(IF(($CW87)&gt;0,($FQ87)/($CW87),""),"")</f>
        <v/>
      </c>
      <c r="GG87" s="79">
        <f>IFERROR(IF(($CU87)&gt;0,($FR87)/($CU87),""),"")</f>
        <v/>
      </c>
      <c r="GH87" s="79">
        <f>IFERROR(IF(($CV87)&gt;0,($FS87)/($CV87),""),"")</f>
        <v/>
      </c>
      <c r="GI87" s="79">
        <f>IFERROR(IF(($CW87)&gt;0,($FT87)/($CW87),""),"")</f>
        <v/>
      </c>
      <c r="GJ87" s="56">
        <f>IFERROR(IF(($CU87)&gt;0,($FU87)/($CU87),""),"")</f>
        <v/>
      </c>
      <c r="GK87" s="56">
        <f>IFERROR(IF(($CV87)&gt;0,($FV87)/($CV87),""),"")</f>
        <v/>
      </c>
      <c r="GL87" s="56">
        <f>IFERROR(IF(($CW87)&gt;0,($FW87)/($CW87),""),"")</f>
        <v/>
      </c>
      <c r="GM87" s="55">
        <f>IF(SUMIFS(tblPlant[GIC_oz],tblPlant[Date],$A87)&gt;0,SUMIFS(tblPlant[GIC_oz],tblPlant[Date],$A87),"")</f>
        <v/>
      </c>
      <c r="GN87" s="55">
        <f>SUMIFS(tblGold[Gold_oz],tblGold[Date],$A87,tblGold[Type],"Shipment")</f>
        <v/>
      </c>
      <c r="GO87" s="55">
        <f>IF($B87=$B86,$GO86,0)+$GN87</f>
        <v/>
      </c>
      <c r="GP87" s="55">
        <f>$GP86+$GN87</f>
        <v/>
      </c>
      <c r="GQ87" s="55">
        <f>SUMIFS(tblGold[Gold_oz],tblGold[Date],$A87,tblGold[Type],"Sale")</f>
        <v/>
      </c>
      <c r="GR87" s="55">
        <f>IF($B87=$B86,$GR86,0)+$GQ87</f>
        <v/>
      </c>
      <c r="GS87" s="55">
        <f>$GS86+$GQ87</f>
        <v/>
      </c>
      <c r="GT87" s="55">
        <f>SUMIFS(tblGold[Dore_kg],tblGold[Date],$A87,tblGold[Type],"Shipment")</f>
        <v/>
      </c>
      <c r="GU87" s="55">
        <f>IF($B87=$B86,$GU86,0)+$GT87</f>
        <v/>
      </c>
      <c r="GV87" s="55">
        <f>$GV86+$GT87</f>
        <v/>
      </c>
      <c r="GW87" s="57">
        <f>SUMIFS(tblSafety[Hours_Total],tblSafety[Date],$A87)</f>
        <v/>
      </c>
      <c r="GX87" s="57">
        <f>IF($B87=$B86,$GX86,0)+$GW87</f>
        <v/>
      </c>
      <c r="GY87" s="57">
        <f>$GY86+$GW87</f>
        <v/>
      </c>
      <c r="GZ87" s="62">
        <f>SUMIFS(tblSafety[Fatality],tblSafety[Date],$A87)</f>
        <v/>
      </c>
      <c r="HA87" s="62">
        <f>IF($B87=$B86,$HA86,0)+$GZ87</f>
        <v/>
      </c>
      <c r="HB87" s="62">
        <f>$HB86+$GZ87</f>
        <v/>
      </c>
      <c r="HC87" s="62">
        <f>SUMIFS(tblSafety[LTI],tblSafety[Date],$A87)</f>
        <v/>
      </c>
      <c r="HD87" s="62">
        <f>IF($B87=$B86,$HD86,0)+$HC87</f>
        <v/>
      </c>
      <c r="HE87" s="62">
        <f>$HE86+$HC87</f>
        <v/>
      </c>
      <c r="HF87" s="62">
        <f>SUMIFS(tblSafety[RWI],tblSafety[Date],$A87)</f>
        <v/>
      </c>
      <c r="HG87" s="62">
        <f>IF($B87=$B86,$HG86,0)+$HF87</f>
        <v/>
      </c>
      <c r="HH87" s="62">
        <f>$HH86+$HF87</f>
        <v/>
      </c>
      <c r="HI87" s="62">
        <f>SUMIFS(tblSafety[MTI],tblSafety[Date],$A87)</f>
        <v/>
      </c>
      <c r="HJ87" s="62">
        <f>IF($B87=$B86,$HJ86,0)+$HI87</f>
        <v/>
      </c>
      <c r="HK87" s="62">
        <f>$HK86+$HI87</f>
        <v/>
      </c>
      <c r="HL87" s="62">
        <f>SUMIFS(tblSafety[FAI],tblSafety[Date],$A87)</f>
        <v/>
      </c>
      <c r="HM87" s="62">
        <f>IF($B87=$B86,$HM86,0)+$HL87</f>
        <v/>
      </c>
      <c r="HN87" s="62">
        <f>$HN86+$HL87</f>
        <v/>
      </c>
      <c r="HO87" s="62">
        <f>SUMIFS(tblSafety[Recordables],tblSafety[Date],$A87)</f>
        <v/>
      </c>
      <c r="HP87" s="62">
        <f>IF($B87=$B86,$HP86,0)+$HO87</f>
        <v/>
      </c>
      <c r="HQ87" s="62">
        <f>$HQ86+$HO87</f>
        <v/>
      </c>
      <c r="HR87" s="62">
        <f>SUMIFS(tblSafety[Near_Miss],tblSafety[Date],$A87)</f>
        <v/>
      </c>
      <c r="HS87" s="62">
        <f>IF($B87=$B86,$HS86,0)+$HR87</f>
        <v/>
      </c>
      <c r="HT87" s="62">
        <f>$HT86+$HR87</f>
        <v/>
      </c>
      <c r="HU87" s="62">
        <f>SUMIFS(tblSafety[Hazard_Reports],tblSafety[Date],$A87)</f>
        <v/>
      </c>
      <c r="HV87" s="62">
        <f>IF($B87=$B86,$HV86,0)+$HU87</f>
        <v/>
      </c>
      <c r="HW87" s="62">
        <f>$HW86+$HU87</f>
        <v/>
      </c>
      <c r="HX87" s="62">
        <f>SUMIFS(tblSafety[HPI],tblSafety[Date],$A87)</f>
        <v/>
      </c>
      <c r="HY87" s="62">
        <f>IF($B87=$B86,$HY86,0)+$HX87</f>
        <v/>
      </c>
      <c r="HZ87" s="62">
        <f>$HZ86+$HX87</f>
        <v/>
      </c>
      <c r="IA87" s="62">
        <f>SUMIFS(tblSafety[Env_Incidents],tblSafety[Date],$A87)</f>
        <v/>
      </c>
      <c r="IB87" s="62">
        <f>IF($B87=$B86,$IB86,0)+$IA87</f>
        <v/>
      </c>
      <c r="IC87" s="62">
        <f>$IC86+$IA87</f>
        <v/>
      </c>
      <c r="ID87" s="62">
        <f>SUMIFS(tblSafety[Community_Incidents],tblSafety[Date],$A87)</f>
        <v/>
      </c>
      <c r="IE87" s="62">
        <f>IF($B87=$B86,$IE86,0)+$ID87</f>
        <v/>
      </c>
      <c r="IF87" s="62">
        <f>$IF86+$ID87</f>
        <v/>
      </c>
      <c r="IG87" s="62">
        <f>SUMIFS(tblSafety[Vehicle_Incidents],tblSafety[Date],$A87)</f>
        <v/>
      </c>
      <c r="IH87" s="62">
        <f>IF($B87=$B86,$IH86,0)+$IG87</f>
        <v/>
      </c>
      <c r="II87" s="62">
        <f>$II86+$IG87</f>
        <v/>
      </c>
      <c r="IJ87" s="62">
        <f>SUMIFS(tblSafety[Toolbox_Talks],tblSafety[Date],$A87)</f>
        <v/>
      </c>
      <c r="IK87" s="62">
        <f>IF($B87=$B86,$IK86,0)+$IJ87</f>
        <v/>
      </c>
      <c r="IL87" s="62">
        <f>$IL86+$IJ87</f>
        <v/>
      </c>
      <c r="IM87" s="62">
        <f>SUMIFS(tblSafety[Inspections],tblSafety[Date],$A87)</f>
        <v/>
      </c>
      <c r="IN87" s="62">
        <f>IF($B87=$B86,$IN86,0)+$IM87</f>
        <v/>
      </c>
      <c r="IO87" s="62">
        <f>$IO86+$IM87</f>
        <v/>
      </c>
      <c r="IP87" s="56">
        <f>IFERROR((SUMIFS(tblSafety[Recordables],tblSafety[Date],"&gt;="&amp;EDATE($E87,-12),tblSafety[Date],"&lt;="&amp;$A87)+SUMIFS(tblSafetyHistory[Recordables],tblSafetyHistory[Month],"&gt;="&amp;EDATE($E87,-12),tblSafetyHistory[Month],"&lt;"&amp;$E87,tblSafetyHistory[Use],1))/(SUMIFS(tblSafety[Hours_Total],tblSafety[Date],"&gt;="&amp;EDATE($E87,-12),tblSafety[Date],"&lt;="&amp;$A87)+SUMIFS(tblSafetyHistory[Hours_Total],tblSafetyHistory[Month],"&gt;="&amp;EDATE($E87,-12),tblSafetyHistory[Month],"&lt;"&amp;$E87,tblSafetyHistory[Use],1))*cfg_RateBasisHours,"")</f>
        <v/>
      </c>
      <c r="IQ87" s="56">
        <f>IFERROR((SUMIFS(tblSafety[LTI],tblSafety[Date],"&gt;="&amp;EDATE($E87,-12),tblSafety[Date],"&lt;="&amp;$A87)+SUMIFS(tblSafetyHistory[LTI],tblSafetyHistory[Month],"&gt;="&amp;EDATE($E87,-12),tblSafetyHistory[Month],"&lt;"&amp;$E87,tblSafetyHistory[Use],1))/(SUMIFS(tblSafety[Hours_Total],tblSafety[Date],"&gt;="&amp;EDATE($E87,-12),tblSafety[Date],"&lt;="&amp;$A87)+SUMIFS(tblSafetyHistory[Hours_Total],tblSafetyHistory[Month],"&gt;="&amp;EDATE($E87,-12),tblSafetyHistory[Month],"&lt;"&amp;$E87,tblSafetyHistory[Use],1))*cfg_RateBasisHours,"")</f>
        <v/>
      </c>
      <c r="IR87" s="62">
        <f>IF(MAX(N(cfg_PriorLTIDate),_xlfn.MAXIFS(tblSafety[Date],tblSafety[LTI],"&gt;0",tblSafety[Date],"&lt;="&amp;$A87))=0,"",$A87-MAX(N(cfg_PriorLTIDate),_xlfn.MAXIFS(tblSafety[Date],tblSafety[LTI],"&gt;0",tblSafety[Date],"&lt;="&amp;$A87)))</f>
        <v/>
      </c>
      <c r="IS87" s="55">
        <f>SUMIFS(tblBudget[Ore_Mined_t],tblBudget[Month],$E87)</f>
        <v/>
      </c>
      <c r="IT87" s="55">
        <f>$IS87*$C87/$D87</f>
        <v/>
      </c>
      <c r="IU87" s="55">
        <f>SUMIFS(tblBudget[Ore_Mined_t],tblBudget[Month],"&lt;"&amp;$E87)+$IT87</f>
        <v/>
      </c>
      <c r="IV87" s="55">
        <f>SUMIFS(tblBudget[Ore_oz],tblBudget[Month],$E87)</f>
        <v/>
      </c>
      <c r="IW87" s="55">
        <f>$IV87*$C87/$D87</f>
        <v/>
      </c>
      <c r="IX87" s="55">
        <f>SUMIFS(tblBudget[Ore_oz],tblBudget[Month],"&lt;"&amp;$E87)+$IW87</f>
        <v/>
      </c>
      <c r="IY87" s="55">
        <f>SUMIFS(tblBudget[Ore_Mined_t],tblBudget[Month],$E87)</f>
        <v/>
      </c>
      <c r="IZ87" s="55">
        <f>$IY87*$C87/$D87</f>
        <v/>
      </c>
      <c r="JA87" s="55">
        <f>SUMIFS(tblBudget[Ore_Mined_t],tblBudget[Month],"&lt;"&amp;$E87)+$IZ87</f>
        <v/>
      </c>
      <c r="JB87" s="56">
        <f>IFERROR(IF(($IY87)&gt;0,($IV87*cfg_TroyOz)/($IY87),""),"")</f>
        <v/>
      </c>
      <c r="JC87" s="56">
        <f>IFERROR(IF(($IZ87)&gt;0,($IW87*cfg_TroyOz)/($IZ87),""),"")</f>
        <v/>
      </c>
      <c r="JD87" s="56">
        <f>IFERROR(IF(($JA87)&gt;0,($IX87*cfg_TroyOz)/($JA87),""),"")</f>
        <v/>
      </c>
      <c r="JE87" s="55">
        <f>SUMIFS(tblBudget[Waste_t],tblBudget[Month],$E87)</f>
        <v/>
      </c>
      <c r="JF87" s="55">
        <f>$JE87*$C87/$D87</f>
        <v/>
      </c>
      <c r="JG87" s="55">
        <f>SUMIFS(tblBudget[Waste_t],tblBudget[Month],"&lt;"&amp;$E87)+$JF87</f>
        <v/>
      </c>
      <c r="JH87" s="55">
        <f>SUMIFS(tblBudget[TMM_t],tblBudget[Month],$E87)</f>
        <v/>
      </c>
      <c r="JI87" s="55">
        <f>$JH87*$C87/$D87</f>
        <v/>
      </c>
      <c r="JJ87" s="55">
        <f>SUMIFS(tblBudget[TMM_t],tblBudget[Month],"&lt;"&amp;$E87)+$JI87</f>
        <v/>
      </c>
      <c r="JK87" s="56">
        <f>IFERROR(IF(($IS87)&gt;0,($JE87)/($IS87),""),"")</f>
        <v/>
      </c>
      <c r="JL87" s="56">
        <f>IFERROR(IF(($IT87)&gt;0,($JF87)/($IT87),""),"")</f>
        <v/>
      </c>
      <c r="JM87" s="56">
        <f>IFERROR(IF(($IU87)&gt;0,($JG87)/($IU87),""),"")</f>
        <v/>
      </c>
      <c r="JN87" s="55">
        <f>SUMIFS(tblBudget[Drill_m],tblBudget[Month],$E87)</f>
        <v/>
      </c>
      <c r="JO87" s="55">
        <f>$JN87*$C87/$D87</f>
        <v/>
      </c>
      <c r="JP87" s="55">
        <f>SUMIFS(tblBudget[Drill_m],tblBudget[Month],"&lt;"&amp;$E87)+$JO87</f>
        <v/>
      </c>
      <c r="JQ87" s="55">
        <f>SUMIFS(tblBudget[Diesel_L],tblBudget[Month],$E87)</f>
        <v/>
      </c>
      <c r="JR87" s="55">
        <f>$JQ87*$C87/$D87</f>
        <v/>
      </c>
      <c r="JS87" s="55">
        <f>SUMIFS(tblBudget[Diesel_L],tblBudget[Month],"&lt;"&amp;$E87)+$JR87</f>
        <v/>
      </c>
      <c r="JT87" s="55">
        <f>SUMIFS(tblBudget[Milled_t],tblBudget[Month],$E87)</f>
        <v/>
      </c>
      <c r="JU87" s="55">
        <f>$JT87*$C87/$D87</f>
        <v/>
      </c>
      <c r="JV87" s="55">
        <f>SUMIFS(tblBudget[Milled_t],tblBudget[Month],"&lt;"&amp;$E87)+$JU87</f>
        <v/>
      </c>
      <c r="JW87" s="55">
        <f>SUMIFS(tblBudget[Feed_oz],tblBudget[Month],$E87)</f>
        <v/>
      </c>
      <c r="JX87" s="55">
        <f>$JW87*$C87/$D87</f>
        <v/>
      </c>
      <c r="JY87" s="55">
        <f>SUMIFS(tblBudget[Feed_oz],tblBudget[Month],"&lt;"&amp;$E87)+$JX87</f>
        <v/>
      </c>
      <c r="JZ87" s="55">
        <f>SUMIFS(tblBudget[Recovered_oz],tblBudget[Month],$E87)</f>
        <v/>
      </c>
      <c r="KA87" s="55">
        <f>$JZ87*$C87/$D87</f>
        <v/>
      </c>
      <c r="KB87" s="55">
        <f>SUMIFS(tblBudget[Recovered_oz],tblBudget[Month],"&lt;"&amp;$E87)+$KA87</f>
        <v/>
      </c>
      <c r="KC87" s="55">
        <f>SUMIFS(tblBudget[Milled_t],tblBudget[Month],$E87)</f>
        <v/>
      </c>
      <c r="KD87" s="55">
        <f>$KC87*$C87/$D87</f>
        <v/>
      </c>
      <c r="KE87" s="55">
        <f>SUMIFS(tblBudget[Milled_t],tblBudget[Month],"&lt;"&amp;$E87)+$KD87</f>
        <v/>
      </c>
      <c r="KF87" s="55">
        <f>SUMIFS(tblBudget[Feed_oz],tblBudget[Month],$E87)</f>
        <v/>
      </c>
      <c r="KG87" s="55">
        <f>$KF87*$C87/$D87</f>
        <v/>
      </c>
      <c r="KH87" s="55">
        <f>SUMIFS(tblBudget[Feed_oz],tblBudget[Month],"&lt;"&amp;$E87)+$KG87</f>
        <v/>
      </c>
      <c r="KI87" s="56">
        <f>IFERROR(IF(($KC87)&gt;0,($JW87*cfg_TroyOz)/($KC87),""),"")</f>
        <v/>
      </c>
      <c r="KJ87" s="56">
        <f>IFERROR(IF(($KD87)&gt;0,($JX87*cfg_TroyOz)/($KD87),""),"")</f>
        <v/>
      </c>
      <c r="KK87" s="56">
        <f>IFERROR(IF(($KE87)&gt;0,($JY87*cfg_TroyOz)/($KE87),""),"")</f>
        <v/>
      </c>
      <c r="KL87" s="67">
        <f>IFERROR(IF(($KF87)&gt;0,($JZ87)/($KF87),""),"")</f>
        <v/>
      </c>
      <c r="KM87" s="67">
        <f>IFERROR(IF(($KG87)&gt;0,($KA87)/($KG87),""),"")</f>
        <v/>
      </c>
      <c r="KN87" s="67">
        <f>IFERROR(IF(($KH87)&gt;0,($KB87)/($KH87),""),"")</f>
        <v/>
      </c>
      <c r="KO87" s="55">
        <f>SUMIFS(tblBudget[Gold_Poured_oz],tblBudget[Month],$E87)</f>
        <v/>
      </c>
      <c r="KP87" s="55">
        <f>$KO87*$C87/$D87</f>
        <v/>
      </c>
      <c r="KQ87" s="55">
        <f>SUMIFS(tblBudget[Gold_Poured_oz],tblBudget[Month],"&lt;"&amp;$E87)+$KP87</f>
        <v/>
      </c>
      <c r="KR87" s="57">
        <f>SUMIFS(tblBudget[Hours_Worked],tblBudget[Month],$E87)</f>
        <v/>
      </c>
      <c r="KS87" s="57">
        <f>$KR87*$C87/$D87</f>
        <v/>
      </c>
      <c r="KT87" s="57">
        <f>SUMIFS(tblBudget[Hours_Worked],tblBudget[Month],"&lt;"&amp;$E87)+$KS87</f>
        <v/>
      </c>
    </row>
    <row r="88">
      <c r="A88" s="54" t="n">
        <v>46109</v>
      </c>
      <c r="B88">
        <f>MONTH($A88)</f>
        <v/>
      </c>
      <c r="C88">
        <f>DAY($A88)</f>
        <v/>
      </c>
      <c r="D88">
        <f>DAY(EOMONTH($A88,0))</f>
        <v/>
      </c>
      <c r="E88" s="54">
        <f>DATE(YEAR($A88),MONTH($A88),1)</f>
        <v/>
      </c>
      <c r="F88" s="55">
        <f>SUMIFS(tblMovement[Tonnes_t],tblMovement[Date],$A88,tblMovement[Is_Ore],1,tblMovement[Source_Type],"Pit")</f>
        <v/>
      </c>
      <c r="G88" s="55">
        <f>IF($B88=$B87,$G87,0)+$F88</f>
        <v/>
      </c>
      <c r="H88" s="55">
        <f>$H87+$F88</f>
        <v/>
      </c>
      <c r="I88" s="55">
        <f>SUMIFS(tblMovement[Ore_oz],tblMovement[Date],$A88,tblMovement[Source_Type],"Pit")</f>
        <v/>
      </c>
      <c r="J88" s="55">
        <f>IF($B88=$B87,$J87,0)+$I88</f>
        <v/>
      </c>
      <c r="K88" s="55">
        <f>$K87+$I88</f>
        <v/>
      </c>
      <c r="L88" s="55">
        <f>SUMIFS(tblMovement[Tonnes_t],tblMovement[Date],$A88,tblMovement[Is_Ore],1,tblMovement[Source_Type],"Pit",tblMovement[Grade_gpt],"&lt;&gt;")</f>
        <v/>
      </c>
      <c r="M88" s="55">
        <f>IF($B88=$B87,$M87,0)+$L88</f>
        <v/>
      </c>
      <c r="N88" s="55">
        <f>$N87+$L88</f>
        <v/>
      </c>
      <c r="O88" s="56">
        <f>IFERROR(IF(($L88)&gt;0,($I88*cfg_TroyOz)/($L88),""),"")</f>
        <v/>
      </c>
      <c r="P88" s="56">
        <f>IFERROR(IF(($M88)&gt;0,($J88*cfg_TroyOz)/($M88),""),"")</f>
        <v/>
      </c>
      <c r="Q88" s="56">
        <f>IFERROR(IF(($N88)&gt;0,($K88*cfg_TroyOz)/($N88),""),"")</f>
        <v/>
      </c>
      <c r="R88" s="55">
        <f>$F88-$L88</f>
        <v/>
      </c>
      <c r="S88" s="55">
        <f>IF($B88=$B87,$S87,0)+$R88</f>
        <v/>
      </c>
      <c r="T88" s="55">
        <f>$T87+$R88</f>
        <v/>
      </c>
      <c r="U88" s="55">
        <f>SUMIFS(tblMovement[Tonnes_t],tblMovement[Date],$A88,tblMovement[Is_Ore],0,tblMovement[Source_Type],"Pit")</f>
        <v/>
      </c>
      <c r="V88" s="55">
        <f>IF($B88=$B87,$V87,0)+$U88</f>
        <v/>
      </c>
      <c r="W88" s="55">
        <f>$W87+$U88</f>
        <v/>
      </c>
      <c r="X88" s="55">
        <f>$F88+$U88</f>
        <v/>
      </c>
      <c r="Y88" s="55">
        <f>IF($B88=$B87,$Y87,0)+$X88</f>
        <v/>
      </c>
      <c r="Z88" s="55">
        <f>$Z87+$X88</f>
        <v/>
      </c>
      <c r="AA88" s="56">
        <f>IFERROR(IF(($F88)&gt;0,($U88)/($F88),""),"")</f>
        <v/>
      </c>
      <c r="AB88" s="56">
        <f>IFERROR(IF(($G88)&gt;0,($V88)/($G88),""),"")</f>
        <v/>
      </c>
      <c r="AC88" s="56">
        <f>IFERROR(IF(($H88)&gt;0,($W88)/($H88),""),"")</f>
        <v/>
      </c>
      <c r="AD88" s="55">
        <f>SUMIFS(tblMovement[Tonnes_t],tblMovement[Date],$A88,tblMovement[Source_Type],"Stockpile")</f>
        <v/>
      </c>
      <c r="AE88" s="55">
        <f>IF($B88=$B87,$AE87,0)+$AD88</f>
        <v/>
      </c>
      <c r="AF88" s="55">
        <f>$AF87+$AD88</f>
        <v/>
      </c>
      <c r="AG88" s="55">
        <f>SUMIFS(tblMovement[Tonnes_t],tblMovement[Date],$A88)</f>
        <v/>
      </c>
      <c r="AH88" s="55">
        <f>IF($B88=$B87,$AH87,0)+$AG88</f>
        <v/>
      </c>
      <c r="AI88" s="55">
        <f>$AI87+$AG88</f>
        <v/>
      </c>
      <c r="AJ88" s="55">
        <f>$AG88-$X88-$AD88</f>
        <v/>
      </c>
      <c r="AK88" s="55">
        <f>IF($B88=$B87,$AK87,0)+$AJ88</f>
        <v/>
      </c>
      <c r="AL88" s="55">
        <f>$AL87+$AJ88</f>
        <v/>
      </c>
      <c r="AM88" s="55">
        <f>SUMIFS(tblMiningDaily[Drill_m],tblMiningDaily[Date],$A88)</f>
        <v/>
      </c>
      <c r="AN88" s="55">
        <f>IF($B88=$B87,$AN87,0)+$AM88</f>
        <v/>
      </c>
      <c r="AO88" s="55">
        <f>$AO87+$AM88</f>
        <v/>
      </c>
      <c r="AP88" s="55">
        <f>SUMIFS(tblMiningDaily[GC_Drill_m],tblMiningDaily[Date],$A88)</f>
        <v/>
      </c>
      <c r="AQ88" s="55">
        <f>IF($B88=$B87,$AQ87,0)+$AP88</f>
        <v/>
      </c>
      <c r="AR88" s="55">
        <f>$AR87+$AP88</f>
        <v/>
      </c>
      <c r="AS88" s="55">
        <f>SUMIFS(tblMiningDaily[Blast_t],tblMiningDaily[Date],$A88)</f>
        <v/>
      </c>
      <c r="AT88" s="55">
        <f>IF($B88=$B87,$AT87,0)+$AS88</f>
        <v/>
      </c>
      <c r="AU88" s="55">
        <f>$AU87+$AS88</f>
        <v/>
      </c>
      <c r="AV88" s="55">
        <f>SUMIFS(tblMiningDaily[Explosives_kg],tblMiningDaily[Date],$A88)</f>
        <v/>
      </c>
      <c r="AW88" s="55">
        <f>IF($B88=$B87,$AW87,0)+$AV88</f>
        <v/>
      </c>
      <c r="AX88" s="55">
        <f>$AX87+$AV88</f>
        <v/>
      </c>
      <c r="AY88" s="56">
        <f>IFERROR(IF(($AS88)&gt;0,($AV88)/($AS88),""),"")</f>
        <v/>
      </c>
      <c r="AZ88" s="56">
        <f>IFERROR(IF(($AT88)&gt;0,($AW88)/($AT88),""),"")</f>
        <v/>
      </c>
      <c r="BA88" s="56">
        <f>IFERROR(IF(($AU88)&gt;0,($AX88)/($AU88),""),"")</f>
        <v/>
      </c>
      <c r="BB88" s="55">
        <f>SUMIFS(tblMiningDaily[Diesel_L],tblMiningDaily[Date],$A88)</f>
        <v/>
      </c>
      <c r="BC88" s="55">
        <f>IF($B88=$B87,$BC87,0)+$BB88</f>
        <v/>
      </c>
      <c r="BD88" s="55">
        <f>$BD87+$BB88</f>
        <v/>
      </c>
      <c r="BE88" s="55">
        <f>SUMIFS(tblMiningDaily[Dewatering_m3],tblMiningDaily[Date],$A88)</f>
        <v/>
      </c>
      <c r="BF88" s="55">
        <f>IF($B88=$B87,$BF87,0)+$BE88</f>
        <v/>
      </c>
      <c r="BG88" s="55">
        <f>$BG87+$BE88</f>
        <v/>
      </c>
      <c r="BH88" s="57">
        <f>SUMIFS(tblFleet[Calendar_h],tblFleet[Date],$A88,tblFleet[Equipment_Class],"Excavator")</f>
        <v/>
      </c>
      <c r="BI88" s="57">
        <f>IF($B88=$B87,$BI87,0)+$BH88</f>
        <v/>
      </c>
      <c r="BJ88" s="57">
        <f>$BJ87+$BH88</f>
        <v/>
      </c>
      <c r="BK88" s="57">
        <f>SUMIFS(tblFleet[Available_h],tblFleet[Date],$A88,tblFleet[Equipment_Class],"Excavator")</f>
        <v/>
      </c>
      <c r="BL88" s="57">
        <f>IF($B88=$B87,$BL87,0)+$BK88</f>
        <v/>
      </c>
      <c r="BM88" s="57">
        <f>$BM87+$BK88</f>
        <v/>
      </c>
      <c r="BN88" s="57">
        <f>SUMIFS(tblFleet[Operating_h],tblFleet[Date],$A88,tblFleet[Equipment_Class],"Excavator")</f>
        <v/>
      </c>
      <c r="BO88" s="57">
        <f>IF($B88=$B87,$BO87,0)+$BN88</f>
        <v/>
      </c>
      <c r="BP88" s="57">
        <f>$BP87+$BN88</f>
        <v/>
      </c>
      <c r="BQ88" s="67">
        <f>IFERROR(IF(($BH88)&gt;0,($BK88)/($BH88),""),"")</f>
        <v/>
      </c>
      <c r="BR88" s="67">
        <f>IFERROR(IF(($BI88)&gt;0,($BL88)/($BI88),""),"")</f>
        <v/>
      </c>
      <c r="BS88" s="67">
        <f>IFERROR(IF(($BJ88)&gt;0,($BM88)/($BJ88),""),"")</f>
        <v/>
      </c>
      <c r="BT88" s="67">
        <f>IFERROR(IF(($BK88)&gt;0,($BN88)/($BK88),""),"")</f>
        <v/>
      </c>
      <c r="BU88" s="67">
        <f>IFERROR(IF(($BL88)&gt;0,($BO88)/($BL88),""),"")</f>
        <v/>
      </c>
      <c r="BV88" s="67">
        <f>IFERROR(IF(($BM88)&gt;0,($BP88)/($BM88),""),"")</f>
        <v/>
      </c>
      <c r="BW88" s="57">
        <f>SUMIFS(tblFleet[Calendar_h],tblFleet[Date],$A88,tblFleet[Equipment_Class],"Haul Truck")</f>
        <v/>
      </c>
      <c r="BX88" s="57">
        <f>IF($B88=$B87,$BX87,0)+$BW88</f>
        <v/>
      </c>
      <c r="BY88" s="57">
        <f>$BY87+$BW88</f>
        <v/>
      </c>
      <c r="BZ88" s="57">
        <f>SUMIFS(tblFleet[Available_h],tblFleet[Date],$A88,tblFleet[Equipment_Class],"Haul Truck")</f>
        <v/>
      </c>
      <c r="CA88" s="57">
        <f>IF($B88=$B87,$CA87,0)+$BZ88</f>
        <v/>
      </c>
      <c r="CB88" s="57">
        <f>$CB87+$BZ88</f>
        <v/>
      </c>
      <c r="CC88" s="57">
        <f>SUMIFS(tblFleet[Operating_h],tblFleet[Date],$A88,tblFleet[Equipment_Class],"Haul Truck")</f>
        <v/>
      </c>
      <c r="CD88" s="57">
        <f>IF($B88=$B87,$CD87,0)+$CC88</f>
        <v/>
      </c>
      <c r="CE88" s="57">
        <f>$CE87+$CC88</f>
        <v/>
      </c>
      <c r="CF88" s="67">
        <f>IFERROR(IF(($BW88)&gt;0,($BZ88)/($BW88),""),"")</f>
        <v/>
      </c>
      <c r="CG88" s="67">
        <f>IFERROR(IF(($BX88)&gt;0,($CA88)/($BX88),""),"")</f>
        <v/>
      </c>
      <c r="CH88" s="67">
        <f>IFERROR(IF(($BY88)&gt;0,($CB88)/($BY88),""),"")</f>
        <v/>
      </c>
      <c r="CI88" s="67">
        <f>IFERROR(IF(($BZ88)&gt;0,($CC88)/($BZ88),""),"")</f>
        <v/>
      </c>
      <c r="CJ88" s="67">
        <f>IFERROR(IF(($CA88)&gt;0,($CD88)/($CA88),""),"")</f>
        <v/>
      </c>
      <c r="CK88" s="67">
        <f>IFERROR(IF(($CB88)&gt;0,($CE88)/($CB88),""),"")</f>
        <v/>
      </c>
      <c r="CL88" s="55">
        <f>IFERROR(IF(($BN88)&gt;0,($X88+$AD88)/($BN88),""),"")</f>
        <v/>
      </c>
      <c r="CM88" s="55">
        <f>IFERROR(IF(($BO88)&gt;0,($Y88+$AE88)/($BO88),""),"")</f>
        <v/>
      </c>
      <c r="CN88" s="55">
        <f>IFERROR(IF(($BP88)&gt;0,($Z88+$AF88)/($BP88),""),"")</f>
        <v/>
      </c>
      <c r="CO88" s="55">
        <f>IFERROR(IF(($CC88)&gt;0,($X88+$AD88)/($CC88),""),"")</f>
        <v/>
      </c>
      <c r="CP88" s="55">
        <f>IFERROR(IF(($CD88)&gt;0,($Y88+$AE88)/($CD88),""),"")</f>
        <v/>
      </c>
      <c r="CQ88" s="55">
        <f>IFERROR(IF(($CE88)&gt;0,($Z88+$AF88)/($CE88),""),"")</f>
        <v/>
      </c>
      <c r="CR88" s="55">
        <f>SUMIFS(tblPlant[Crushed_t],tblPlant[Date],$A88)</f>
        <v/>
      </c>
      <c r="CS88" s="55">
        <f>IF($B88=$B87,$CS87,0)+$CR88</f>
        <v/>
      </c>
      <c r="CT88" s="55">
        <f>$CT87+$CR88</f>
        <v/>
      </c>
      <c r="CU88" s="55">
        <f>SUMIFS(tblPlant[Milled_t],tblPlant[Date],$A88)</f>
        <v/>
      </c>
      <c r="CV88" s="55">
        <f>IF($B88=$B87,$CV87,0)+$CU88</f>
        <v/>
      </c>
      <c r="CW88" s="55">
        <f>$CW87+$CU88</f>
        <v/>
      </c>
      <c r="CX88" s="55">
        <f>SUMIFS(tblPlant[Feed_oz],tblPlant[Date],$A88)</f>
        <v/>
      </c>
      <c r="CY88" s="55">
        <f>IF($B88=$B87,$CY87,0)+$CX88</f>
        <v/>
      </c>
      <c r="CZ88" s="55">
        <f>$CZ87+$CX88</f>
        <v/>
      </c>
      <c r="DA88" s="55">
        <f>SUMIFS(tblPlant[Tails_oz],tblPlant[Date],$A88)</f>
        <v/>
      </c>
      <c r="DB88" s="55">
        <f>IF($B88=$B87,$DB87,0)+$DA88</f>
        <v/>
      </c>
      <c r="DC88" s="55">
        <f>$DC87+$DA88</f>
        <v/>
      </c>
      <c r="DD88" s="55">
        <f>SUMIFS(tblPlant[Recovered_oz],tblPlant[Date],$A88)</f>
        <v/>
      </c>
      <c r="DE88" s="55">
        <f>IF($B88=$B87,$DE87,0)+$DD88</f>
        <v/>
      </c>
      <c r="DF88" s="55">
        <f>$DF87+$DD88</f>
        <v/>
      </c>
      <c r="DG88" s="55">
        <f>SUMIFS(tblPlant[Milled_t],tblPlant[Date],$A88,tblPlant[Head_Grade_gpt],"&lt;&gt;")</f>
        <v/>
      </c>
      <c r="DH88" s="55">
        <f>IF($B88=$B87,$DH87,0)+$DG88</f>
        <v/>
      </c>
      <c r="DI88" s="55">
        <f>$DI87+$DG88</f>
        <v/>
      </c>
      <c r="DJ88" s="55">
        <f>SUMIFS(tblPlant[Milled_t],tblPlant[Date],$A88,tblPlant[Tails_Grade_gpt],"&lt;&gt;")</f>
        <v/>
      </c>
      <c r="DK88" s="55">
        <f>IF($B88=$B87,$DK87,0)+$DJ88</f>
        <v/>
      </c>
      <c r="DL88" s="55">
        <f>$DL87+$DJ88</f>
        <v/>
      </c>
      <c r="DM88" s="55">
        <f>SUMIFS(tblPlant[Feed_oz],tblPlant[Date],$A88,tblPlant[Tails_Grade_gpt],"&lt;&gt;")</f>
        <v/>
      </c>
      <c r="DN88" s="55">
        <f>IF($B88=$B87,$DN87,0)+$DM88</f>
        <v/>
      </c>
      <c r="DO88" s="55">
        <f>$DO87+$DM88</f>
        <v/>
      </c>
      <c r="DP88" s="55">
        <f>SUMIFS(tblPlant[Milled_t],tblPlant[Date],$A88,tblPlant[Mill_Run_h],"&lt;&gt;")</f>
        <v/>
      </c>
      <c r="DQ88" s="55">
        <f>IF($B88=$B87,$DQ87,0)+$DP88</f>
        <v/>
      </c>
      <c r="DR88" s="55">
        <f>$DR87+$DP88</f>
        <v/>
      </c>
      <c r="DS88" s="56">
        <f>IFERROR(IF(($DG88)&gt;0,($CX88*cfg_TroyOz)/($DG88),""),"")</f>
        <v/>
      </c>
      <c r="DT88" s="56">
        <f>IFERROR(IF(($DH88)&gt;0,($CY88*cfg_TroyOz)/($DH88),""),"")</f>
        <v/>
      </c>
      <c r="DU88" s="56">
        <f>IFERROR(IF(($DI88)&gt;0,($CZ88*cfg_TroyOz)/($DI88),""),"")</f>
        <v/>
      </c>
      <c r="DV88" s="56">
        <f>IFERROR(IF(($DJ88)&gt;0,($DA88*cfg_TroyOz)/($DJ88),""),"")</f>
        <v/>
      </c>
      <c r="DW88" s="56">
        <f>IFERROR(IF(($DK88)&gt;0,($DB88*cfg_TroyOz)/($DK88),""),"")</f>
        <v/>
      </c>
      <c r="DX88" s="56">
        <f>IFERROR(IF(($DL88)&gt;0,($DC88*cfg_TroyOz)/($DL88),""),"")</f>
        <v/>
      </c>
      <c r="DY88" s="67">
        <f>IFERROR(IF(($DM88)&gt;0,($DD88)/($DM88),""),"")</f>
        <v/>
      </c>
      <c r="DZ88" s="67">
        <f>IFERROR(IF(($DN88)&gt;0,($DE88)/($DN88),""),"")</f>
        <v/>
      </c>
      <c r="EA88" s="67">
        <f>IFERROR(IF(($DO88)&gt;0,($DF88)/($DO88),""),"")</f>
        <v/>
      </c>
      <c r="EB88" s="55">
        <f>SUMIFS(tblPlant[Gravity_Gold_oz],tblPlant[Date],$A88)</f>
        <v/>
      </c>
      <c r="EC88" s="55">
        <f>IF($B88=$B87,$EC87,0)+$EB88</f>
        <v/>
      </c>
      <c r="ED88" s="55">
        <f>$ED87+$EB88</f>
        <v/>
      </c>
      <c r="EE88" s="67">
        <f>IFERROR(IF(($DD88)&gt;0,($EB88)/($DD88),""),"")</f>
        <v/>
      </c>
      <c r="EF88" s="67">
        <f>IFERROR(IF(($DE88)&gt;0,($EC88)/($DE88),""),"")</f>
        <v/>
      </c>
      <c r="EG88" s="67">
        <f>IFERROR(IF(($DF88)&gt;0,($ED88)/($DF88),""),"")</f>
        <v/>
      </c>
      <c r="EH88" s="55">
        <f>SUMIFS(tblPlant[Gold_Poured_oz],tblPlant[Date],$A88)</f>
        <v/>
      </c>
      <c r="EI88" s="55">
        <f>IF($B88=$B87,$EI87,0)+$EH88</f>
        <v/>
      </c>
      <c r="EJ88" s="55">
        <f>$EJ87+$EH88</f>
        <v/>
      </c>
      <c r="EK88" s="57">
        <f>SUMIFS(tblPlant[Mill_Run_h],tblPlant[Date],$A88)</f>
        <v/>
      </c>
      <c r="EL88" s="57">
        <f>IF($B88=$B87,$EL87,0)+$EK88</f>
        <v/>
      </c>
      <c r="EM88" s="57">
        <f>$EM87+$EK88</f>
        <v/>
      </c>
      <c r="EN88" s="57">
        <f>SUMIFS(tblPlant[Mill_Planned_Maint_h],tblPlant[Date],$A88)</f>
        <v/>
      </c>
      <c r="EO88" s="57">
        <f>IF($B88=$B87,$EO87,0)+$EN88</f>
        <v/>
      </c>
      <c r="EP88" s="57">
        <f>$EP87+$EN88</f>
        <v/>
      </c>
      <c r="EQ88" s="57">
        <f>SUMIFS(tblPlant[Mill_Unplanned_Down_h],tblPlant[Date],$A88)</f>
        <v/>
      </c>
      <c r="ER88" s="57">
        <f>IF($B88=$B87,$ER87,0)+$EQ88</f>
        <v/>
      </c>
      <c r="ES88" s="57">
        <f>$ES87+$EQ88</f>
        <v/>
      </c>
      <c r="ET88" s="57">
        <f>IF(COUNTIFS(tblPlant[Date],$A88,tblPlant[Mill_Run_h],"&lt;&gt;")+COUNTIFS(tblPlant[Date],$A88,tblPlant[Mill_Planned_Maint_h],"&lt;&gt;")+COUNTIFS(tblPlant[Date],$A88,tblPlant[Mill_Unplanned_Down_h],"&lt;&gt;")&gt;0,cfg_HoursPerDay,0)</f>
        <v/>
      </c>
      <c r="EU88" s="57">
        <f>IF($B88=$B87,$EU87,0)+$ET88</f>
        <v/>
      </c>
      <c r="EV88" s="57">
        <f>$EV87+$ET88</f>
        <v/>
      </c>
      <c r="EW88" s="57">
        <f>SUMIFS(tblPlant[Crusher_Run_h],tblPlant[Date],$A88)</f>
        <v/>
      </c>
      <c r="EX88" s="57">
        <f>IF($B88=$B87,$EX87,0)+$EW88</f>
        <v/>
      </c>
      <c r="EY88" s="57">
        <f>$EY87+$EW88</f>
        <v/>
      </c>
      <c r="EZ88" s="55">
        <f>IFERROR(IF(($EK88)&gt;0,($DP88)/($EK88),""),"")</f>
        <v/>
      </c>
      <c r="FA88" s="55">
        <f>IFERROR(IF(($EL88)&gt;0,($DQ88)/($EL88),""),"")</f>
        <v/>
      </c>
      <c r="FB88" s="55">
        <f>IFERROR(IF(($EM88)&gt;0,($DR88)/($EM88),""),"")</f>
        <v/>
      </c>
      <c r="FC88" s="67">
        <f>IFERROR(IF(($ET88)&gt;0,($ET88-$EN88-$EQ88)/($ET88),""),"")</f>
        <v/>
      </c>
      <c r="FD88" s="67">
        <f>IFERROR(IF(($EU88)&gt;0,($EU88-$EO88-$ER88)/($EU88),""),"")</f>
        <v/>
      </c>
      <c r="FE88" s="67">
        <f>IFERROR(IF(($EV88)&gt;0,($EV88-$EP88-$ES88)/($EV88),""),"")</f>
        <v/>
      </c>
      <c r="FF88" s="67">
        <f>IFERROR(IF(($ET88-$EN88-$EQ88)&gt;0,($EK88)/($ET88-$EN88-$EQ88),""),"")</f>
        <v/>
      </c>
      <c r="FG88" s="67">
        <f>IFERROR(IF(($EU88-$EO88-$ER88)&gt;0,($EL88)/($EU88-$EO88-$ER88),""),"")</f>
        <v/>
      </c>
      <c r="FH88" s="67">
        <f>IFERROR(IF(($EV88-$EP88-$ES88)&gt;0,($EM88)/($EV88-$EP88-$ES88),""),"")</f>
        <v/>
      </c>
      <c r="FI88" s="55">
        <f>SUMIFS(tblPlant[Cyanide_kg],tblPlant[Date],$A88)</f>
        <v/>
      </c>
      <c r="FJ88" s="55">
        <f>IF($B88=$B87,$FJ87,0)+$FI88</f>
        <v/>
      </c>
      <c r="FK88" s="55">
        <f>$FK87+$FI88</f>
        <v/>
      </c>
      <c r="FL88" s="55">
        <f>SUMIFS(tblPlant[Lime_kg],tblPlant[Date],$A88)</f>
        <v/>
      </c>
      <c r="FM88" s="55">
        <f>IF($B88=$B87,$FM87,0)+$FL88</f>
        <v/>
      </c>
      <c r="FN88" s="55">
        <f>$FN87+$FL88</f>
        <v/>
      </c>
      <c r="FO88" s="55">
        <f>SUMIFS(tblPlant[Grinding_Media_kg],tblPlant[Date],$A88)</f>
        <v/>
      </c>
      <c r="FP88" s="55">
        <f>IF($B88=$B87,$FP87,0)+$FO88</f>
        <v/>
      </c>
      <c r="FQ88" s="55">
        <f>$FQ87+$FO88</f>
        <v/>
      </c>
      <c r="FR88" s="55">
        <f>SUMIFS(tblPlant[Power_kWh],tblPlant[Date],$A88)</f>
        <v/>
      </c>
      <c r="FS88" s="55">
        <f>IF($B88=$B87,$FS87,0)+$FR88</f>
        <v/>
      </c>
      <c r="FT88" s="55">
        <f>$FT87+$FR88</f>
        <v/>
      </c>
      <c r="FU88" s="55">
        <f>SUMIFS(tblPlant[Raw_Water_m3],tblPlant[Date],$A88)</f>
        <v/>
      </c>
      <c r="FV88" s="55">
        <f>IF($B88=$B87,$FV87,0)+$FU88</f>
        <v/>
      </c>
      <c r="FW88" s="55">
        <f>$FW87+$FU88</f>
        <v/>
      </c>
      <c r="FX88" s="56">
        <f>IFERROR(IF(($CU88)&gt;0,($FI88)/($CU88),""),"")</f>
        <v/>
      </c>
      <c r="FY88" s="56">
        <f>IFERROR(IF(($CV88)&gt;0,($FJ88)/($CV88),""),"")</f>
        <v/>
      </c>
      <c r="FZ88" s="56">
        <f>IFERROR(IF(($CW88)&gt;0,($FK88)/($CW88),""),"")</f>
        <v/>
      </c>
      <c r="GA88" s="56">
        <f>IFERROR(IF(($CU88)&gt;0,($FL88)/($CU88),""),"")</f>
        <v/>
      </c>
      <c r="GB88" s="56">
        <f>IFERROR(IF(($CV88)&gt;0,($FM88)/($CV88),""),"")</f>
        <v/>
      </c>
      <c r="GC88" s="56">
        <f>IFERROR(IF(($CW88)&gt;0,($FN88)/($CW88),""),"")</f>
        <v/>
      </c>
      <c r="GD88" s="56">
        <f>IFERROR(IF(($CU88)&gt;0,($FO88)/($CU88),""),"")</f>
        <v/>
      </c>
      <c r="GE88" s="56">
        <f>IFERROR(IF(($CV88)&gt;0,($FP88)/($CV88),""),"")</f>
        <v/>
      </c>
      <c r="GF88" s="56">
        <f>IFERROR(IF(($CW88)&gt;0,($FQ88)/($CW88),""),"")</f>
        <v/>
      </c>
      <c r="GG88" s="79">
        <f>IFERROR(IF(($CU88)&gt;0,($FR88)/($CU88),""),"")</f>
        <v/>
      </c>
      <c r="GH88" s="79">
        <f>IFERROR(IF(($CV88)&gt;0,($FS88)/($CV88),""),"")</f>
        <v/>
      </c>
      <c r="GI88" s="79">
        <f>IFERROR(IF(($CW88)&gt;0,($FT88)/($CW88),""),"")</f>
        <v/>
      </c>
      <c r="GJ88" s="56">
        <f>IFERROR(IF(($CU88)&gt;0,($FU88)/($CU88),""),"")</f>
        <v/>
      </c>
      <c r="GK88" s="56">
        <f>IFERROR(IF(($CV88)&gt;0,($FV88)/($CV88),""),"")</f>
        <v/>
      </c>
      <c r="GL88" s="56">
        <f>IFERROR(IF(($CW88)&gt;0,($FW88)/($CW88),""),"")</f>
        <v/>
      </c>
      <c r="GM88" s="55">
        <f>IF(SUMIFS(tblPlant[GIC_oz],tblPlant[Date],$A88)&gt;0,SUMIFS(tblPlant[GIC_oz],tblPlant[Date],$A88),"")</f>
        <v/>
      </c>
      <c r="GN88" s="55">
        <f>SUMIFS(tblGold[Gold_oz],tblGold[Date],$A88,tblGold[Type],"Shipment")</f>
        <v/>
      </c>
      <c r="GO88" s="55">
        <f>IF($B88=$B87,$GO87,0)+$GN88</f>
        <v/>
      </c>
      <c r="GP88" s="55">
        <f>$GP87+$GN88</f>
        <v/>
      </c>
      <c r="GQ88" s="55">
        <f>SUMIFS(tblGold[Gold_oz],tblGold[Date],$A88,tblGold[Type],"Sale")</f>
        <v/>
      </c>
      <c r="GR88" s="55">
        <f>IF($B88=$B87,$GR87,0)+$GQ88</f>
        <v/>
      </c>
      <c r="GS88" s="55">
        <f>$GS87+$GQ88</f>
        <v/>
      </c>
      <c r="GT88" s="55">
        <f>SUMIFS(tblGold[Dore_kg],tblGold[Date],$A88,tblGold[Type],"Shipment")</f>
        <v/>
      </c>
      <c r="GU88" s="55">
        <f>IF($B88=$B87,$GU87,0)+$GT88</f>
        <v/>
      </c>
      <c r="GV88" s="55">
        <f>$GV87+$GT88</f>
        <v/>
      </c>
      <c r="GW88" s="57">
        <f>SUMIFS(tblSafety[Hours_Total],tblSafety[Date],$A88)</f>
        <v/>
      </c>
      <c r="GX88" s="57">
        <f>IF($B88=$B87,$GX87,0)+$GW88</f>
        <v/>
      </c>
      <c r="GY88" s="57">
        <f>$GY87+$GW88</f>
        <v/>
      </c>
      <c r="GZ88" s="62">
        <f>SUMIFS(tblSafety[Fatality],tblSafety[Date],$A88)</f>
        <v/>
      </c>
      <c r="HA88" s="62">
        <f>IF($B88=$B87,$HA87,0)+$GZ88</f>
        <v/>
      </c>
      <c r="HB88" s="62">
        <f>$HB87+$GZ88</f>
        <v/>
      </c>
      <c r="HC88" s="62">
        <f>SUMIFS(tblSafety[LTI],tblSafety[Date],$A88)</f>
        <v/>
      </c>
      <c r="HD88" s="62">
        <f>IF($B88=$B87,$HD87,0)+$HC88</f>
        <v/>
      </c>
      <c r="HE88" s="62">
        <f>$HE87+$HC88</f>
        <v/>
      </c>
      <c r="HF88" s="62">
        <f>SUMIFS(tblSafety[RWI],tblSafety[Date],$A88)</f>
        <v/>
      </c>
      <c r="HG88" s="62">
        <f>IF($B88=$B87,$HG87,0)+$HF88</f>
        <v/>
      </c>
      <c r="HH88" s="62">
        <f>$HH87+$HF88</f>
        <v/>
      </c>
      <c r="HI88" s="62">
        <f>SUMIFS(tblSafety[MTI],tblSafety[Date],$A88)</f>
        <v/>
      </c>
      <c r="HJ88" s="62">
        <f>IF($B88=$B87,$HJ87,0)+$HI88</f>
        <v/>
      </c>
      <c r="HK88" s="62">
        <f>$HK87+$HI88</f>
        <v/>
      </c>
      <c r="HL88" s="62">
        <f>SUMIFS(tblSafety[FAI],tblSafety[Date],$A88)</f>
        <v/>
      </c>
      <c r="HM88" s="62">
        <f>IF($B88=$B87,$HM87,0)+$HL88</f>
        <v/>
      </c>
      <c r="HN88" s="62">
        <f>$HN87+$HL88</f>
        <v/>
      </c>
      <c r="HO88" s="62">
        <f>SUMIFS(tblSafety[Recordables],tblSafety[Date],$A88)</f>
        <v/>
      </c>
      <c r="HP88" s="62">
        <f>IF($B88=$B87,$HP87,0)+$HO88</f>
        <v/>
      </c>
      <c r="HQ88" s="62">
        <f>$HQ87+$HO88</f>
        <v/>
      </c>
      <c r="HR88" s="62">
        <f>SUMIFS(tblSafety[Near_Miss],tblSafety[Date],$A88)</f>
        <v/>
      </c>
      <c r="HS88" s="62">
        <f>IF($B88=$B87,$HS87,0)+$HR88</f>
        <v/>
      </c>
      <c r="HT88" s="62">
        <f>$HT87+$HR88</f>
        <v/>
      </c>
      <c r="HU88" s="62">
        <f>SUMIFS(tblSafety[Hazard_Reports],tblSafety[Date],$A88)</f>
        <v/>
      </c>
      <c r="HV88" s="62">
        <f>IF($B88=$B87,$HV87,0)+$HU88</f>
        <v/>
      </c>
      <c r="HW88" s="62">
        <f>$HW87+$HU88</f>
        <v/>
      </c>
      <c r="HX88" s="62">
        <f>SUMIFS(tblSafety[HPI],tblSafety[Date],$A88)</f>
        <v/>
      </c>
      <c r="HY88" s="62">
        <f>IF($B88=$B87,$HY87,0)+$HX88</f>
        <v/>
      </c>
      <c r="HZ88" s="62">
        <f>$HZ87+$HX88</f>
        <v/>
      </c>
      <c r="IA88" s="62">
        <f>SUMIFS(tblSafety[Env_Incidents],tblSafety[Date],$A88)</f>
        <v/>
      </c>
      <c r="IB88" s="62">
        <f>IF($B88=$B87,$IB87,0)+$IA88</f>
        <v/>
      </c>
      <c r="IC88" s="62">
        <f>$IC87+$IA88</f>
        <v/>
      </c>
      <c r="ID88" s="62">
        <f>SUMIFS(tblSafety[Community_Incidents],tblSafety[Date],$A88)</f>
        <v/>
      </c>
      <c r="IE88" s="62">
        <f>IF($B88=$B87,$IE87,0)+$ID88</f>
        <v/>
      </c>
      <c r="IF88" s="62">
        <f>$IF87+$ID88</f>
        <v/>
      </c>
      <c r="IG88" s="62">
        <f>SUMIFS(tblSafety[Vehicle_Incidents],tblSafety[Date],$A88)</f>
        <v/>
      </c>
      <c r="IH88" s="62">
        <f>IF($B88=$B87,$IH87,0)+$IG88</f>
        <v/>
      </c>
      <c r="II88" s="62">
        <f>$II87+$IG88</f>
        <v/>
      </c>
      <c r="IJ88" s="62">
        <f>SUMIFS(tblSafety[Toolbox_Talks],tblSafety[Date],$A88)</f>
        <v/>
      </c>
      <c r="IK88" s="62">
        <f>IF($B88=$B87,$IK87,0)+$IJ88</f>
        <v/>
      </c>
      <c r="IL88" s="62">
        <f>$IL87+$IJ88</f>
        <v/>
      </c>
      <c r="IM88" s="62">
        <f>SUMIFS(tblSafety[Inspections],tblSafety[Date],$A88)</f>
        <v/>
      </c>
      <c r="IN88" s="62">
        <f>IF($B88=$B87,$IN87,0)+$IM88</f>
        <v/>
      </c>
      <c r="IO88" s="62">
        <f>$IO87+$IM88</f>
        <v/>
      </c>
      <c r="IP88" s="56">
        <f>IFERROR((SUMIFS(tblSafety[Recordables],tblSafety[Date],"&gt;="&amp;EDATE($E88,-12),tblSafety[Date],"&lt;="&amp;$A88)+SUMIFS(tblSafetyHistory[Recordables],tblSafetyHistory[Month],"&gt;="&amp;EDATE($E88,-12),tblSafetyHistory[Month],"&lt;"&amp;$E88,tblSafetyHistory[Use],1))/(SUMIFS(tblSafety[Hours_Total],tblSafety[Date],"&gt;="&amp;EDATE($E88,-12),tblSafety[Date],"&lt;="&amp;$A88)+SUMIFS(tblSafetyHistory[Hours_Total],tblSafetyHistory[Month],"&gt;="&amp;EDATE($E88,-12),tblSafetyHistory[Month],"&lt;"&amp;$E88,tblSafetyHistory[Use],1))*cfg_RateBasisHours,"")</f>
        <v/>
      </c>
      <c r="IQ88" s="56">
        <f>IFERROR((SUMIFS(tblSafety[LTI],tblSafety[Date],"&gt;="&amp;EDATE($E88,-12),tblSafety[Date],"&lt;="&amp;$A88)+SUMIFS(tblSafetyHistory[LTI],tblSafetyHistory[Month],"&gt;="&amp;EDATE($E88,-12),tblSafetyHistory[Month],"&lt;"&amp;$E88,tblSafetyHistory[Use],1))/(SUMIFS(tblSafety[Hours_Total],tblSafety[Date],"&gt;="&amp;EDATE($E88,-12),tblSafety[Date],"&lt;="&amp;$A88)+SUMIFS(tblSafetyHistory[Hours_Total],tblSafetyHistory[Month],"&gt;="&amp;EDATE($E88,-12),tblSafetyHistory[Month],"&lt;"&amp;$E88,tblSafetyHistory[Use],1))*cfg_RateBasisHours,"")</f>
        <v/>
      </c>
      <c r="IR88" s="62">
        <f>IF(MAX(N(cfg_PriorLTIDate),_xlfn.MAXIFS(tblSafety[Date],tblSafety[LTI],"&gt;0",tblSafety[Date],"&lt;="&amp;$A88))=0,"",$A88-MAX(N(cfg_PriorLTIDate),_xlfn.MAXIFS(tblSafety[Date],tblSafety[LTI],"&gt;0",tblSafety[Date],"&lt;="&amp;$A88)))</f>
        <v/>
      </c>
      <c r="IS88" s="55">
        <f>SUMIFS(tblBudget[Ore_Mined_t],tblBudget[Month],$E88)</f>
        <v/>
      </c>
      <c r="IT88" s="55">
        <f>$IS88*$C88/$D88</f>
        <v/>
      </c>
      <c r="IU88" s="55">
        <f>SUMIFS(tblBudget[Ore_Mined_t],tblBudget[Month],"&lt;"&amp;$E88)+$IT88</f>
        <v/>
      </c>
      <c r="IV88" s="55">
        <f>SUMIFS(tblBudget[Ore_oz],tblBudget[Month],$E88)</f>
        <v/>
      </c>
      <c r="IW88" s="55">
        <f>$IV88*$C88/$D88</f>
        <v/>
      </c>
      <c r="IX88" s="55">
        <f>SUMIFS(tblBudget[Ore_oz],tblBudget[Month],"&lt;"&amp;$E88)+$IW88</f>
        <v/>
      </c>
      <c r="IY88" s="55">
        <f>SUMIFS(tblBudget[Ore_Mined_t],tblBudget[Month],$E88)</f>
        <v/>
      </c>
      <c r="IZ88" s="55">
        <f>$IY88*$C88/$D88</f>
        <v/>
      </c>
      <c r="JA88" s="55">
        <f>SUMIFS(tblBudget[Ore_Mined_t],tblBudget[Month],"&lt;"&amp;$E88)+$IZ88</f>
        <v/>
      </c>
      <c r="JB88" s="56">
        <f>IFERROR(IF(($IY88)&gt;0,($IV88*cfg_TroyOz)/($IY88),""),"")</f>
        <v/>
      </c>
      <c r="JC88" s="56">
        <f>IFERROR(IF(($IZ88)&gt;0,($IW88*cfg_TroyOz)/($IZ88),""),"")</f>
        <v/>
      </c>
      <c r="JD88" s="56">
        <f>IFERROR(IF(($JA88)&gt;0,($IX88*cfg_TroyOz)/($JA88),""),"")</f>
        <v/>
      </c>
      <c r="JE88" s="55">
        <f>SUMIFS(tblBudget[Waste_t],tblBudget[Month],$E88)</f>
        <v/>
      </c>
      <c r="JF88" s="55">
        <f>$JE88*$C88/$D88</f>
        <v/>
      </c>
      <c r="JG88" s="55">
        <f>SUMIFS(tblBudget[Waste_t],tblBudget[Month],"&lt;"&amp;$E88)+$JF88</f>
        <v/>
      </c>
      <c r="JH88" s="55">
        <f>SUMIFS(tblBudget[TMM_t],tblBudget[Month],$E88)</f>
        <v/>
      </c>
      <c r="JI88" s="55">
        <f>$JH88*$C88/$D88</f>
        <v/>
      </c>
      <c r="JJ88" s="55">
        <f>SUMIFS(tblBudget[TMM_t],tblBudget[Month],"&lt;"&amp;$E88)+$JI88</f>
        <v/>
      </c>
      <c r="JK88" s="56">
        <f>IFERROR(IF(($IS88)&gt;0,($JE88)/($IS88),""),"")</f>
        <v/>
      </c>
      <c r="JL88" s="56">
        <f>IFERROR(IF(($IT88)&gt;0,($JF88)/($IT88),""),"")</f>
        <v/>
      </c>
      <c r="JM88" s="56">
        <f>IFERROR(IF(($IU88)&gt;0,($JG88)/($IU88),""),"")</f>
        <v/>
      </c>
      <c r="JN88" s="55">
        <f>SUMIFS(tblBudget[Drill_m],tblBudget[Month],$E88)</f>
        <v/>
      </c>
      <c r="JO88" s="55">
        <f>$JN88*$C88/$D88</f>
        <v/>
      </c>
      <c r="JP88" s="55">
        <f>SUMIFS(tblBudget[Drill_m],tblBudget[Month],"&lt;"&amp;$E88)+$JO88</f>
        <v/>
      </c>
      <c r="JQ88" s="55">
        <f>SUMIFS(tblBudget[Diesel_L],tblBudget[Month],$E88)</f>
        <v/>
      </c>
      <c r="JR88" s="55">
        <f>$JQ88*$C88/$D88</f>
        <v/>
      </c>
      <c r="JS88" s="55">
        <f>SUMIFS(tblBudget[Diesel_L],tblBudget[Month],"&lt;"&amp;$E88)+$JR88</f>
        <v/>
      </c>
      <c r="JT88" s="55">
        <f>SUMIFS(tblBudget[Milled_t],tblBudget[Month],$E88)</f>
        <v/>
      </c>
      <c r="JU88" s="55">
        <f>$JT88*$C88/$D88</f>
        <v/>
      </c>
      <c r="JV88" s="55">
        <f>SUMIFS(tblBudget[Milled_t],tblBudget[Month],"&lt;"&amp;$E88)+$JU88</f>
        <v/>
      </c>
      <c r="JW88" s="55">
        <f>SUMIFS(tblBudget[Feed_oz],tblBudget[Month],$E88)</f>
        <v/>
      </c>
      <c r="JX88" s="55">
        <f>$JW88*$C88/$D88</f>
        <v/>
      </c>
      <c r="JY88" s="55">
        <f>SUMIFS(tblBudget[Feed_oz],tblBudget[Month],"&lt;"&amp;$E88)+$JX88</f>
        <v/>
      </c>
      <c r="JZ88" s="55">
        <f>SUMIFS(tblBudget[Recovered_oz],tblBudget[Month],$E88)</f>
        <v/>
      </c>
      <c r="KA88" s="55">
        <f>$JZ88*$C88/$D88</f>
        <v/>
      </c>
      <c r="KB88" s="55">
        <f>SUMIFS(tblBudget[Recovered_oz],tblBudget[Month],"&lt;"&amp;$E88)+$KA88</f>
        <v/>
      </c>
      <c r="KC88" s="55">
        <f>SUMIFS(tblBudget[Milled_t],tblBudget[Month],$E88)</f>
        <v/>
      </c>
      <c r="KD88" s="55">
        <f>$KC88*$C88/$D88</f>
        <v/>
      </c>
      <c r="KE88" s="55">
        <f>SUMIFS(tblBudget[Milled_t],tblBudget[Month],"&lt;"&amp;$E88)+$KD88</f>
        <v/>
      </c>
      <c r="KF88" s="55">
        <f>SUMIFS(tblBudget[Feed_oz],tblBudget[Month],$E88)</f>
        <v/>
      </c>
      <c r="KG88" s="55">
        <f>$KF88*$C88/$D88</f>
        <v/>
      </c>
      <c r="KH88" s="55">
        <f>SUMIFS(tblBudget[Feed_oz],tblBudget[Month],"&lt;"&amp;$E88)+$KG88</f>
        <v/>
      </c>
      <c r="KI88" s="56">
        <f>IFERROR(IF(($KC88)&gt;0,($JW88*cfg_TroyOz)/($KC88),""),"")</f>
        <v/>
      </c>
      <c r="KJ88" s="56">
        <f>IFERROR(IF(($KD88)&gt;0,($JX88*cfg_TroyOz)/($KD88),""),"")</f>
        <v/>
      </c>
      <c r="KK88" s="56">
        <f>IFERROR(IF(($KE88)&gt;0,($JY88*cfg_TroyOz)/($KE88),""),"")</f>
        <v/>
      </c>
      <c r="KL88" s="67">
        <f>IFERROR(IF(($KF88)&gt;0,($JZ88)/($KF88),""),"")</f>
        <v/>
      </c>
      <c r="KM88" s="67">
        <f>IFERROR(IF(($KG88)&gt;0,($KA88)/($KG88),""),"")</f>
        <v/>
      </c>
      <c r="KN88" s="67">
        <f>IFERROR(IF(($KH88)&gt;0,($KB88)/($KH88),""),"")</f>
        <v/>
      </c>
      <c r="KO88" s="55">
        <f>SUMIFS(tblBudget[Gold_Poured_oz],tblBudget[Month],$E88)</f>
        <v/>
      </c>
      <c r="KP88" s="55">
        <f>$KO88*$C88/$D88</f>
        <v/>
      </c>
      <c r="KQ88" s="55">
        <f>SUMIFS(tblBudget[Gold_Poured_oz],tblBudget[Month],"&lt;"&amp;$E88)+$KP88</f>
        <v/>
      </c>
      <c r="KR88" s="57">
        <f>SUMIFS(tblBudget[Hours_Worked],tblBudget[Month],$E88)</f>
        <v/>
      </c>
      <c r="KS88" s="57">
        <f>$KR88*$C88/$D88</f>
        <v/>
      </c>
      <c r="KT88" s="57">
        <f>SUMIFS(tblBudget[Hours_Worked],tblBudget[Month],"&lt;"&amp;$E88)+$KS88</f>
        <v/>
      </c>
    </row>
    <row r="89">
      <c r="A89" s="54" t="n">
        <v>46110</v>
      </c>
      <c r="B89">
        <f>MONTH($A89)</f>
        <v/>
      </c>
      <c r="C89">
        <f>DAY($A89)</f>
        <v/>
      </c>
      <c r="D89">
        <f>DAY(EOMONTH($A89,0))</f>
        <v/>
      </c>
      <c r="E89" s="54">
        <f>DATE(YEAR($A89),MONTH($A89),1)</f>
        <v/>
      </c>
      <c r="F89" s="55">
        <f>SUMIFS(tblMovement[Tonnes_t],tblMovement[Date],$A89,tblMovement[Is_Ore],1,tblMovement[Source_Type],"Pit")</f>
        <v/>
      </c>
      <c r="G89" s="55">
        <f>IF($B89=$B88,$G88,0)+$F89</f>
        <v/>
      </c>
      <c r="H89" s="55">
        <f>$H88+$F89</f>
        <v/>
      </c>
      <c r="I89" s="55">
        <f>SUMIFS(tblMovement[Ore_oz],tblMovement[Date],$A89,tblMovement[Source_Type],"Pit")</f>
        <v/>
      </c>
      <c r="J89" s="55">
        <f>IF($B89=$B88,$J88,0)+$I89</f>
        <v/>
      </c>
      <c r="K89" s="55">
        <f>$K88+$I89</f>
        <v/>
      </c>
      <c r="L89" s="55">
        <f>SUMIFS(tblMovement[Tonnes_t],tblMovement[Date],$A89,tblMovement[Is_Ore],1,tblMovement[Source_Type],"Pit",tblMovement[Grade_gpt],"&lt;&gt;")</f>
        <v/>
      </c>
      <c r="M89" s="55">
        <f>IF($B89=$B88,$M88,0)+$L89</f>
        <v/>
      </c>
      <c r="N89" s="55">
        <f>$N88+$L89</f>
        <v/>
      </c>
      <c r="O89" s="56">
        <f>IFERROR(IF(($L89)&gt;0,($I89*cfg_TroyOz)/($L89),""),"")</f>
        <v/>
      </c>
      <c r="P89" s="56">
        <f>IFERROR(IF(($M89)&gt;0,($J89*cfg_TroyOz)/($M89),""),"")</f>
        <v/>
      </c>
      <c r="Q89" s="56">
        <f>IFERROR(IF(($N89)&gt;0,($K89*cfg_TroyOz)/($N89),""),"")</f>
        <v/>
      </c>
      <c r="R89" s="55">
        <f>$F89-$L89</f>
        <v/>
      </c>
      <c r="S89" s="55">
        <f>IF($B89=$B88,$S88,0)+$R89</f>
        <v/>
      </c>
      <c r="T89" s="55">
        <f>$T88+$R89</f>
        <v/>
      </c>
      <c r="U89" s="55">
        <f>SUMIFS(tblMovement[Tonnes_t],tblMovement[Date],$A89,tblMovement[Is_Ore],0,tblMovement[Source_Type],"Pit")</f>
        <v/>
      </c>
      <c r="V89" s="55">
        <f>IF($B89=$B88,$V88,0)+$U89</f>
        <v/>
      </c>
      <c r="W89" s="55">
        <f>$W88+$U89</f>
        <v/>
      </c>
      <c r="X89" s="55">
        <f>$F89+$U89</f>
        <v/>
      </c>
      <c r="Y89" s="55">
        <f>IF($B89=$B88,$Y88,0)+$X89</f>
        <v/>
      </c>
      <c r="Z89" s="55">
        <f>$Z88+$X89</f>
        <v/>
      </c>
      <c r="AA89" s="56">
        <f>IFERROR(IF(($F89)&gt;0,($U89)/($F89),""),"")</f>
        <v/>
      </c>
      <c r="AB89" s="56">
        <f>IFERROR(IF(($G89)&gt;0,($V89)/($G89),""),"")</f>
        <v/>
      </c>
      <c r="AC89" s="56">
        <f>IFERROR(IF(($H89)&gt;0,($W89)/($H89),""),"")</f>
        <v/>
      </c>
      <c r="AD89" s="55">
        <f>SUMIFS(tblMovement[Tonnes_t],tblMovement[Date],$A89,tblMovement[Source_Type],"Stockpile")</f>
        <v/>
      </c>
      <c r="AE89" s="55">
        <f>IF($B89=$B88,$AE88,0)+$AD89</f>
        <v/>
      </c>
      <c r="AF89" s="55">
        <f>$AF88+$AD89</f>
        <v/>
      </c>
      <c r="AG89" s="55">
        <f>SUMIFS(tblMovement[Tonnes_t],tblMovement[Date],$A89)</f>
        <v/>
      </c>
      <c r="AH89" s="55">
        <f>IF($B89=$B88,$AH88,0)+$AG89</f>
        <v/>
      </c>
      <c r="AI89" s="55">
        <f>$AI88+$AG89</f>
        <v/>
      </c>
      <c r="AJ89" s="55">
        <f>$AG89-$X89-$AD89</f>
        <v/>
      </c>
      <c r="AK89" s="55">
        <f>IF($B89=$B88,$AK88,0)+$AJ89</f>
        <v/>
      </c>
      <c r="AL89" s="55">
        <f>$AL88+$AJ89</f>
        <v/>
      </c>
      <c r="AM89" s="55">
        <f>SUMIFS(tblMiningDaily[Drill_m],tblMiningDaily[Date],$A89)</f>
        <v/>
      </c>
      <c r="AN89" s="55">
        <f>IF($B89=$B88,$AN88,0)+$AM89</f>
        <v/>
      </c>
      <c r="AO89" s="55">
        <f>$AO88+$AM89</f>
        <v/>
      </c>
      <c r="AP89" s="55">
        <f>SUMIFS(tblMiningDaily[GC_Drill_m],tblMiningDaily[Date],$A89)</f>
        <v/>
      </c>
      <c r="AQ89" s="55">
        <f>IF($B89=$B88,$AQ88,0)+$AP89</f>
        <v/>
      </c>
      <c r="AR89" s="55">
        <f>$AR88+$AP89</f>
        <v/>
      </c>
      <c r="AS89" s="55">
        <f>SUMIFS(tblMiningDaily[Blast_t],tblMiningDaily[Date],$A89)</f>
        <v/>
      </c>
      <c r="AT89" s="55">
        <f>IF($B89=$B88,$AT88,0)+$AS89</f>
        <v/>
      </c>
      <c r="AU89" s="55">
        <f>$AU88+$AS89</f>
        <v/>
      </c>
      <c r="AV89" s="55">
        <f>SUMIFS(tblMiningDaily[Explosives_kg],tblMiningDaily[Date],$A89)</f>
        <v/>
      </c>
      <c r="AW89" s="55">
        <f>IF($B89=$B88,$AW88,0)+$AV89</f>
        <v/>
      </c>
      <c r="AX89" s="55">
        <f>$AX88+$AV89</f>
        <v/>
      </c>
      <c r="AY89" s="56">
        <f>IFERROR(IF(($AS89)&gt;0,($AV89)/($AS89),""),"")</f>
        <v/>
      </c>
      <c r="AZ89" s="56">
        <f>IFERROR(IF(($AT89)&gt;0,($AW89)/($AT89),""),"")</f>
        <v/>
      </c>
      <c r="BA89" s="56">
        <f>IFERROR(IF(($AU89)&gt;0,($AX89)/($AU89),""),"")</f>
        <v/>
      </c>
      <c r="BB89" s="55">
        <f>SUMIFS(tblMiningDaily[Diesel_L],tblMiningDaily[Date],$A89)</f>
        <v/>
      </c>
      <c r="BC89" s="55">
        <f>IF($B89=$B88,$BC88,0)+$BB89</f>
        <v/>
      </c>
      <c r="BD89" s="55">
        <f>$BD88+$BB89</f>
        <v/>
      </c>
      <c r="BE89" s="55">
        <f>SUMIFS(tblMiningDaily[Dewatering_m3],tblMiningDaily[Date],$A89)</f>
        <v/>
      </c>
      <c r="BF89" s="55">
        <f>IF($B89=$B88,$BF88,0)+$BE89</f>
        <v/>
      </c>
      <c r="BG89" s="55">
        <f>$BG88+$BE89</f>
        <v/>
      </c>
      <c r="BH89" s="57">
        <f>SUMIFS(tblFleet[Calendar_h],tblFleet[Date],$A89,tblFleet[Equipment_Class],"Excavator")</f>
        <v/>
      </c>
      <c r="BI89" s="57">
        <f>IF($B89=$B88,$BI88,0)+$BH89</f>
        <v/>
      </c>
      <c r="BJ89" s="57">
        <f>$BJ88+$BH89</f>
        <v/>
      </c>
      <c r="BK89" s="57">
        <f>SUMIFS(tblFleet[Available_h],tblFleet[Date],$A89,tblFleet[Equipment_Class],"Excavator")</f>
        <v/>
      </c>
      <c r="BL89" s="57">
        <f>IF($B89=$B88,$BL88,0)+$BK89</f>
        <v/>
      </c>
      <c r="BM89" s="57">
        <f>$BM88+$BK89</f>
        <v/>
      </c>
      <c r="BN89" s="57">
        <f>SUMIFS(tblFleet[Operating_h],tblFleet[Date],$A89,tblFleet[Equipment_Class],"Excavator")</f>
        <v/>
      </c>
      <c r="BO89" s="57">
        <f>IF($B89=$B88,$BO88,0)+$BN89</f>
        <v/>
      </c>
      <c r="BP89" s="57">
        <f>$BP88+$BN89</f>
        <v/>
      </c>
      <c r="BQ89" s="67">
        <f>IFERROR(IF(($BH89)&gt;0,($BK89)/($BH89),""),"")</f>
        <v/>
      </c>
      <c r="BR89" s="67">
        <f>IFERROR(IF(($BI89)&gt;0,($BL89)/($BI89),""),"")</f>
        <v/>
      </c>
      <c r="BS89" s="67">
        <f>IFERROR(IF(($BJ89)&gt;0,($BM89)/($BJ89),""),"")</f>
        <v/>
      </c>
      <c r="BT89" s="67">
        <f>IFERROR(IF(($BK89)&gt;0,($BN89)/($BK89),""),"")</f>
        <v/>
      </c>
      <c r="BU89" s="67">
        <f>IFERROR(IF(($BL89)&gt;0,($BO89)/($BL89),""),"")</f>
        <v/>
      </c>
      <c r="BV89" s="67">
        <f>IFERROR(IF(($BM89)&gt;0,($BP89)/($BM89),""),"")</f>
        <v/>
      </c>
      <c r="BW89" s="57">
        <f>SUMIFS(tblFleet[Calendar_h],tblFleet[Date],$A89,tblFleet[Equipment_Class],"Haul Truck")</f>
        <v/>
      </c>
      <c r="BX89" s="57">
        <f>IF($B89=$B88,$BX88,0)+$BW89</f>
        <v/>
      </c>
      <c r="BY89" s="57">
        <f>$BY88+$BW89</f>
        <v/>
      </c>
      <c r="BZ89" s="57">
        <f>SUMIFS(tblFleet[Available_h],tblFleet[Date],$A89,tblFleet[Equipment_Class],"Haul Truck")</f>
        <v/>
      </c>
      <c r="CA89" s="57">
        <f>IF($B89=$B88,$CA88,0)+$BZ89</f>
        <v/>
      </c>
      <c r="CB89" s="57">
        <f>$CB88+$BZ89</f>
        <v/>
      </c>
      <c r="CC89" s="57">
        <f>SUMIFS(tblFleet[Operating_h],tblFleet[Date],$A89,tblFleet[Equipment_Class],"Haul Truck")</f>
        <v/>
      </c>
      <c r="CD89" s="57">
        <f>IF($B89=$B88,$CD88,0)+$CC89</f>
        <v/>
      </c>
      <c r="CE89" s="57">
        <f>$CE88+$CC89</f>
        <v/>
      </c>
      <c r="CF89" s="67">
        <f>IFERROR(IF(($BW89)&gt;0,($BZ89)/($BW89),""),"")</f>
        <v/>
      </c>
      <c r="CG89" s="67">
        <f>IFERROR(IF(($BX89)&gt;0,($CA89)/($BX89),""),"")</f>
        <v/>
      </c>
      <c r="CH89" s="67">
        <f>IFERROR(IF(($BY89)&gt;0,($CB89)/($BY89),""),"")</f>
        <v/>
      </c>
      <c r="CI89" s="67">
        <f>IFERROR(IF(($BZ89)&gt;0,($CC89)/($BZ89),""),"")</f>
        <v/>
      </c>
      <c r="CJ89" s="67">
        <f>IFERROR(IF(($CA89)&gt;0,($CD89)/($CA89),""),"")</f>
        <v/>
      </c>
      <c r="CK89" s="67">
        <f>IFERROR(IF(($CB89)&gt;0,($CE89)/($CB89),""),"")</f>
        <v/>
      </c>
      <c r="CL89" s="55">
        <f>IFERROR(IF(($BN89)&gt;0,($X89+$AD89)/($BN89),""),"")</f>
        <v/>
      </c>
      <c r="CM89" s="55">
        <f>IFERROR(IF(($BO89)&gt;0,($Y89+$AE89)/($BO89),""),"")</f>
        <v/>
      </c>
      <c r="CN89" s="55">
        <f>IFERROR(IF(($BP89)&gt;0,($Z89+$AF89)/($BP89),""),"")</f>
        <v/>
      </c>
      <c r="CO89" s="55">
        <f>IFERROR(IF(($CC89)&gt;0,($X89+$AD89)/($CC89),""),"")</f>
        <v/>
      </c>
      <c r="CP89" s="55">
        <f>IFERROR(IF(($CD89)&gt;0,($Y89+$AE89)/($CD89),""),"")</f>
        <v/>
      </c>
      <c r="CQ89" s="55">
        <f>IFERROR(IF(($CE89)&gt;0,($Z89+$AF89)/($CE89),""),"")</f>
        <v/>
      </c>
      <c r="CR89" s="55">
        <f>SUMIFS(tblPlant[Crushed_t],tblPlant[Date],$A89)</f>
        <v/>
      </c>
      <c r="CS89" s="55">
        <f>IF($B89=$B88,$CS88,0)+$CR89</f>
        <v/>
      </c>
      <c r="CT89" s="55">
        <f>$CT88+$CR89</f>
        <v/>
      </c>
      <c r="CU89" s="55">
        <f>SUMIFS(tblPlant[Milled_t],tblPlant[Date],$A89)</f>
        <v/>
      </c>
      <c r="CV89" s="55">
        <f>IF($B89=$B88,$CV88,0)+$CU89</f>
        <v/>
      </c>
      <c r="CW89" s="55">
        <f>$CW88+$CU89</f>
        <v/>
      </c>
      <c r="CX89" s="55">
        <f>SUMIFS(tblPlant[Feed_oz],tblPlant[Date],$A89)</f>
        <v/>
      </c>
      <c r="CY89" s="55">
        <f>IF($B89=$B88,$CY88,0)+$CX89</f>
        <v/>
      </c>
      <c r="CZ89" s="55">
        <f>$CZ88+$CX89</f>
        <v/>
      </c>
      <c r="DA89" s="55">
        <f>SUMIFS(tblPlant[Tails_oz],tblPlant[Date],$A89)</f>
        <v/>
      </c>
      <c r="DB89" s="55">
        <f>IF($B89=$B88,$DB88,0)+$DA89</f>
        <v/>
      </c>
      <c r="DC89" s="55">
        <f>$DC88+$DA89</f>
        <v/>
      </c>
      <c r="DD89" s="55">
        <f>SUMIFS(tblPlant[Recovered_oz],tblPlant[Date],$A89)</f>
        <v/>
      </c>
      <c r="DE89" s="55">
        <f>IF($B89=$B88,$DE88,0)+$DD89</f>
        <v/>
      </c>
      <c r="DF89" s="55">
        <f>$DF88+$DD89</f>
        <v/>
      </c>
      <c r="DG89" s="55">
        <f>SUMIFS(tblPlant[Milled_t],tblPlant[Date],$A89,tblPlant[Head_Grade_gpt],"&lt;&gt;")</f>
        <v/>
      </c>
      <c r="DH89" s="55">
        <f>IF($B89=$B88,$DH88,0)+$DG89</f>
        <v/>
      </c>
      <c r="DI89" s="55">
        <f>$DI88+$DG89</f>
        <v/>
      </c>
      <c r="DJ89" s="55">
        <f>SUMIFS(tblPlant[Milled_t],tblPlant[Date],$A89,tblPlant[Tails_Grade_gpt],"&lt;&gt;")</f>
        <v/>
      </c>
      <c r="DK89" s="55">
        <f>IF($B89=$B88,$DK88,0)+$DJ89</f>
        <v/>
      </c>
      <c r="DL89" s="55">
        <f>$DL88+$DJ89</f>
        <v/>
      </c>
      <c r="DM89" s="55">
        <f>SUMIFS(tblPlant[Feed_oz],tblPlant[Date],$A89,tblPlant[Tails_Grade_gpt],"&lt;&gt;")</f>
        <v/>
      </c>
      <c r="DN89" s="55">
        <f>IF($B89=$B88,$DN88,0)+$DM89</f>
        <v/>
      </c>
      <c r="DO89" s="55">
        <f>$DO88+$DM89</f>
        <v/>
      </c>
      <c r="DP89" s="55">
        <f>SUMIFS(tblPlant[Milled_t],tblPlant[Date],$A89,tblPlant[Mill_Run_h],"&lt;&gt;")</f>
        <v/>
      </c>
      <c r="DQ89" s="55">
        <f>IF($B89=$B88,$DQ88,0)+$DP89</f>
        <v/>
      </c>
      <c r="DR89" s="55">
        <f>$DR88+$DP89</f>
        <v/>
      </c>
      <c r="DS89" s="56">
        <f>IFERROR(IF(($DG89)&gt;0,($CX89*cfg_TroyOz)/($DG89),""),"")</f>
        <v/>
      </c>
      <c r="DT89" s="56">
        <f>IFERROR(IF(($DH89)&gt;0,($CY89*cfg_TroyOz)/($DH89),""),"")</f>
        <v/>
      </c>
      <c r="DU89" s="56">
        <f>IFERROR(IF(($DI89)&gt;0,($CZ89*cfg_TroyOz)/($DI89),""),"")</f>
        <v/>
      </c>
      <c r="DV89" s="56">
        <f>IFERROR(IF(($DJ89)&gt;0,($DA89*cfg_TroyOz)/($DJ89),""),"")</f>
        <v/>
      </c>
      <c r="DW89" s="56">
        <f>IFERROR(IF(($DK89)&gt;0,($DB89*cfg_TroyOz)/($DK89),""),"")</f>
        <v/>
      </c>
      <c r="DX89" s="56">
        <f>IFERROR(IF(($DL89)&gt;0,($DC89*cfg_TroyOz)/($DL89),""),"")</f>
        <v/>
      </c>
      <c r="DY89" s="67">
        <f>IFERROR(IF(($DM89)&gt;0,($DD89)/($DM89),""),"")</f>
        <v/>
      </c>
      <c r="DZ89" s="67">
        <f>IFERROR(IF(($DN89)&gt;0,($DE89)/($DN89),""),"")</f>
        <v/>
      </c>
      <c r="EA89" s="67">
        <f>IFERROR(IF(($DO89)&gt;0,($DF89)/($DO89),""),"")</f>
        <v/>
      </c>
      <c r="EB89" s="55">
        <f>SUMIFS(tblPlant[Gravity_Gold_oz],tblPlant[Date],$A89)</f>
        <v/>
      </c>
      <c r="EC89" s="55">
        <f>IF($B89=$B88,$EC88,0)+$EB89</f>
        <v/>
      </c>
      <c r="ED89" s="55">
        <f>$ED88+$EB89</f>
        <v/>
      </c>
      <c r="EE89" s="67">
        <f>IFERROR(IF(($DD89)&gt;0,($EB89)/($DD89),""),"")</f>
        <v/>
      </c>
      <c r="EF89" s="67">
        <f>IFERROR(IF(($DE89)&gt;0,($EC89)/($DE89),""),"")</f>
        <v/>
      </c>
      <c r="EG89" s="67">
        <f>IFERROR(IF(($DF89)&gt;0,($ED89)/($DF89),""),"")</f>
        <v/>
      </c>
      <c r="EH89" s="55">
        <f>SUMIFS(tblPlant[Gold_Poured_oz],tblPlant[Date],$A89)</f>
        <v/>
      </c>
      <c r="EI89" s="55">
        <f>IF($B89=$B88,$EI88,0)+$EH89</f>
        <v/>
      </c>
      <c r="EJ89" s="55">
        <f>$EJ88+$EH89</f>
        <v/>
      </c>
      <c r="EK89" s="57">
        <f>SUMIFS(tblPlant[Mill_Run_h],tblPlant[Date],$A89)</f>
        <v/>
      </c>
      <c r="EL89" s="57">
        <f>IF($B89=$B88,$EL88,0)+$EK89</f>
        <v/>
      </c>
      <c r="EM89" s="57">
        <f>$EM88+$EK89</f>
        <v/>
      </c>
      <c r="EN89" s="57">
        <f>SUMIFS(tblPlant[Mill_Planned_Maint_h],tblPlant[Date],$A89)</f>
        <v/>
      </c>
      <c r="EO89" s="57">
        <f>IF($B89=$B88,$EO88,0)+$EN89</f>
        <v/>
      </c>
      <c r="EP89" s="57">
        <f>$EP88+$EN89</f>
        <v/>
      </c>
      <c r="EQ89" s="57">
        <f>SUMIFS(tblPlant[Mill_Unplanned_Down_h],tblPlant[Date],$A89)</f>
        <v/>
      </c>
      <c r="ER89" s="57">
        <f>IF($B89=$B88,$ER88,0)+$EQ89</f>
        <v/>
      </c>
      <c r="ES89" s="57">
        <f>$ES88+$EQ89</f>
        <v/>
      </c>
      <c r="ET89" s="57">
        <f>IF(COUNTIFS(tblPlant[Date],$A89,tblPlant[Mill_Run_h],"&lt;&gt;")+COUNTIFS(tblPlant[Date],$A89,tblPlant[Mill_Planned_Maint_h],"&lt;&gt;")+COUNTIFS(tblPlant[Date],$A89,tblPlant[Mill_Unplanned_Down_h],"&lt;&gt;")&gt;0,cfg_HoursPerDay,0)</f>
        <v/>
      </c>
      <c r="EU89" s="57">
        <f>IF($B89=$B88,$EU88,0)+$ET89</f>
        <v/>
      </c>
      <c r="EV89" s="57">
        <f>$EV88+$ET89</f>
        <v/>
      </c>
      <c r="EW89" s="57">
        <f>SUMIFS(tblPlant[Crusher_Run_h],tblPlant[Date],$A89)</f>
        <v/>
      </c>
      <c r="EX89" s="57">
        <f>IF($B89=$B88,$EX88,0)+$EW89</f>
        <v/>
      </c>
      <c r="EY89" s="57">
        <f>$EY88+$EW89</f>
        <v/>
      </c>
      <c r="EZ89" s="55">
        <f>IFERROR(IF(($EK89)&gt;0,($DP89)/($EK89),""),"")</f>
        <v/>
      </c>
      <c r="FA89" s="55">
        <f>IFERROR(IF(($EL89)&gt;0,($DQ89)/($EL89),""),"")</f>
        <v/>
      </c>
      <c r="FB89" s="55">
        <f>IFERROR(IF(($EM89)&gt;0,($DR89)/($EM89),""),"")</f>
        <v/>
      </c>
      <c r="FC89" s="67">
        <f>IFERROR(IF(($ET89)&gt;0,($ET89-$EN89-$EQ89)/($ET89),""),"")</f>
        <v/>
      </c>
      <c r="FD89" s="67">
        <f>IFERROR(IF(($EU89)&gt;0,($EU89-$EO89-$ER89)/($EU89),""),"")</f>
        <v/>
      </c>
      <c r="FE89" s="67">
        <f>IFERROR(IF(($EV89)&gt;0,($EV89-$EP89-$ES89)/($EV89),""),"")</f>
        <v/>
      </c>
      <c r="FF89" s="67">
        <f>IFERROR(IF(($ET89-$EN89-$EQ89)&gt;0,($EK89)/($ET89-$EN89-$EQ89),""),"")</f>
        <v/>
      </c>
      <c r="FG89" s="67">
        <f>IFERROR(IF(($EU89-$EO89-$ER89)&gt;0,($EL89)/($EU89-$EO89-$ER89),""),"")</f>
        <v/>
      </c>
      <c r="FH89" s="67">
        <f>IFERROR(IF(($EV89-$EP89-$ES89)&gt;0,($EM89)/($EV89-$EP89-$ES89),""),"")</f>
        <v/>
      </c>
      <c r="FI89" s="55">
        <f>SUMIFS(tblPlant[Cyanide_kg],tblPlant[Date],$A89)</f>
        <v/>
      </c>
      <c r="FJ89" s="55">
        <f>IF($B89=$B88,$FJ88,0)+$FI89</f>
        <v/>
      </c>
      <c r="FK89" s="55">
        <f>$FK88+$FI89</f>
        <v/>
      </c>
      <c r="FL89" s="55">
        <f>SUMIFS(tblPlant[Lime_kg],tblPlant[Date],$A89)</f>
        <v/>
      </c>
      <c r="FM89" s="55">
        <f>IF($B89=$B88,$FM88,0)+$FL89</f>
        <v/>
      </c>
      <c r="FN89" s="55">
        <f>$FN88+$FL89</f>
        <v/>
      </c>
      <c r="FO89" s="55">
        <f>SUMIFS(tblPlant[Grinding_Media_kg],tblPlant[Date],$A89)</f>
        <v/>
      </c>
      <c r="FP89" s="55">
        <f>IF($B89=$B88,$FP88,0)+$FO89</f>
        <v/>
      </c>
      <c r="FQ89" s="55">
        <f>$FQ88+$FO89</f>
        <v/>
      </c>
      <c r="FR89" s="55">
        <f>SUMIFS(tblPlant[Power_kWh],tblPlant[Date],$A89)</f>
        <v/>
      </c>
      <c r="FS89" s="55">
        <f>IF($B89=$B88,$FS88,0)+$FR89</f>
        <v/>
      </c>
      <c r="FT89" s="55">
        <f>$FT88+$FR89</f>
        <v/>
      </c>
      <c r="FU89" s="55">
        <f>SUMIFS(tblPlant[Raw_Water_m3],tblPlant[Date],$A89)</f>
        <v/>
      </c>
      <c r="FV89" s="55">
        <f>IF($B89=$B88,$FV88,0)+$FU89</f>
        <v/>
      </c>
      <c r="FW89" s="55">
        <f>$FW88+$FU89</f>
        <v/>
      </c>
      <c r="FX89" s="56">
        <f>IFERROR(IF(($CU89)&gt;0,($FI89)/($CU89),""),"")</f>
        <v/>
      </c>
      <c r="FY89" s="56">
        <f>IFERROR(IF(($CV89)&gt;0,($FJ89)/($CV89),""),"")</f>
        <v/>
      </c>
      <c r="FZ89" s="56">
        <f>IFERROR(IF(($CW89)&gt;0,($FK89)/($CW89),""),"")</f>
        <v/>
      </c>
      <c r="GA89" s="56">
        <f>IFERROR(IF(($CU89)&gt;0,($FL89)/($CU89),""),"")</f>
        <v/>
      </c>
      <c r="GB89" s="56">
        <f>IFERROR(IF(($CV89)&gt;0,($FM89)/($CV89),""),"")</f>
        <v/>
      </c>
      <c r="GC89" s="56">
        <f>IFERROR(IF(($CW89)&gt;0,($FN89)/($CW89),""),"")</f>
        <v/>
      </c>
      <c r="GD89" s="56">
        <f>IFERROR(IF(($CU89)&gt;0,($FO89)/($CU89),""),"")</f>
        <v/>
      </c>
      <c r="GE89" s="56">
        <f>IFERROR(IF(($CV89)&gt;0,($FP89)/($CV89),""),"")</f>
        <v/>
      </c>
      <c r="GF89" s="56">
        <f>IFERROR(IF(($CW89)&gt;0,($FQ89)/($CW89),""),"")</f>
        <v/>
      </c>
      <c r="GG89" s="79">
        <f>IFERROR(IF(($CU89)&gt;0,($FR89)/($CU89),""),"")</f>
        <v/>
      </c>
      <c r="GH89" s="79">
        <f>IFERROR(IF(($CV89)&gt;0,($FS89)/($CV89),""),"")</f>
        <v/>
      </c>
      <c r="GI89" s="79">
        <f>IFERROR(IF(($CW89)&gt;0,($FT89)/($CW89),""),"")</f>
        <v/>
      </c>
      <c r="GJ89" s="56">
        <f>IFERROR(IF(($CU89)&gt;0,($FU89)/($CU89),""),"")</f>
        <v/>
      </c>
      <c r="GK89" s="56">
        <f>IFERROR(IF(($CV89)&gt;0,($FV89)/($CV89),""),"")</f>
        <v/>
      </c>
      <c r="GL89" s="56">
        <f>IFERROR(IF(($CW89)&gt;0,($FW89)/($CW89),""),"")</f>
        <v/>
      </c>
      <c r="GM89" s="55">
        <f>IF(SUMIFS(tblPlant[GIC_oz],tblPlant[Date],$A89)&gt;0,SUMIFS(tblPlant[GIC_oz],tblPlant[Date],$A89),"")</f>
        <v/>
      </c>
      <c r="GN89" s="55">
        <f>SUMIFS(tblGold[Gold_oz],tblGold[Date],$A89,tblGold[Type],"Shipment")</f>
        <v/>
      </c>
      <c r="GO89" s="55">
        <f>IF($B89=$B88,$GO88,0)+$GN89</f>
        <v/>
      </c>
      <c r="GP89" s="55">
        <f>$GP88+$GN89</f>
        <v/>
      </c>
      <c r="GQ89" s="55">
        <f>SUMIFS(tblGold[Gold_oz],tblGold[Date],$A89,tblGold[Type],"Sale")</f>
        <v/>
      </c>
      <c r="GR89" s="55">
        <f>IF($B89=$B88,$GR88,0)+$GQ89</f>
        <v/>
      </c>
      <c r="GS89" s="55">
        <f>$GS88+$GQ89</f>
        <v/>
      </c>
      <c r="GT89" s="55">
        <f>SUMIFS(tblGold[Dore_kg],tblGold[Date],$A89,tblGold[Type],"Shipment")</f>
        <v/>
      </c>
      <c r="GU89" s="55">
        <f>IF($B89=$B88,$GU88,0)+$GT89</f>
        <v/>
      </c>
      <c r="GV89" s="55">
        <f>$GV88+$GT89</f>
        <v/>
      </c>
      <c r="GW89" s="57">
        <f>SUMIFS(tblSafety[Hours_Total],tblSafety[Date],$A89)</f>
        <v/>
      </c>
      <c r="GX89" s="57">
        <f>IF($B89=$B88,$GX88,0)+$GW89</f>
        <v/>
      </c>
      <c r="GY89" s="57">
        <f>$GY88+$GW89</f>
        <v/>
      </c>
      <c r="GZ89" s="62">
        <f>SUMIFS(tblSafety[Fatality],tblSafety[Date],$A89)</f>
        <v/>
      </c>
      <c r="HA89" s="62">
        <f>IF($B89=$B88,$HA88,0)+$GZ89</f>
        <v/>
      </c>
      <c r="HB89" s="62">
        <f>$HB88+$GZ89</f>
        <v/>
      </c>
      <c r="HC89" s="62">
        <f>SUMIFS(tblSafety[LTI],tblSafety[Date],$A89)</f>
        <v/>
      </c>
      <c r="HD89" s="62">
        <f>IF($B89=$B88,$HD88,0)+$HC89</f>
        <v/>
      </c>
      <c r="HE89" s="62">
        <f>$HE88+$HC89</f>
        <v/>
      </c>
      <c r="HF89" s="62">
        <f>SUMIFS(tblSafety[RWI],tblSafety[Date],$A89)</f>
        <v/>
      </c>
      <c r="HG89" s="62">
        <f>IF($B89=$B88,$HG88,0)+$HF89</f>
        <v/>
      </c>
      <c r="HH89" s="62">
        <f>$HH88+$HF89</f>
        <v/>
      </c>
      <c r="HI89" s="62">
        <f>SUMIFS(tblSafety[MTI],tblSafety[Date],$A89)</f>
        <v/>
      </c>
      <c r="HJ89" s="62">
        <f>IF($B89=$B88,$HJ88,0)+$HI89</f>
        <v/>
      </c>
      <c r="HK89" s="62">
        <f>$HK88+$HI89</f>
        <v/>
      </c>
      <c r="HL89" s="62">
        <f>SUMIFS(tblSafety[FAI],tblSafety[Date],$A89)</f>
        <v/>
      </c>
      <c r="HM89" s="62">
        <f>IF($B89=$B88,$HM88,0)+$HL89</f>
        <v/>
      </c>
      <c r="HN89" s="62">
        <f>$HN88+$HL89</f>
        <v/>
      </c>
      <c r="HO89" s="62">
        <f>SUMIFS(tblSafety[Recordables],tblSafety[Date],$A89)</f>
        <v/>
      </c>
      <c r="HP89" s="62">
        <f>IF($B89=$B88,$HP88,0)+$HO89</f>
        <v/>
      </c>
      <c r="HQ89" s="62">
        <f>$HQ88+$HO89</f>
        <v/>
      </c>
      <c r="HR89" s="62">
        <f>SUMIFS(tblSafety[Near_Miss],tblSafety[Date],$A89)</f>
        <v/>
      </c>
      <c r="HS89" s="62">
        <f>IF($B89=$B88,$HS88,0)+$HR89</f>
        <v/>
      </c>
      <c r="HT89" s="62">
        <f>$HT88+$HR89</f>
        <v/>
      </c>
      <c r="HU89" s="62">
        <f>SUMIFS(tblSafety[Hazard_Reports],tblSafety[Date],$A89)</f>
        <v/>
      </c>
      <c r="HV89" s="62">
        <f>IF($B89=$B88,$HV88,0)+$HU89</f>
        <v/>
      </c>
      <c r="HW89" s="62">
        <f>$HW88+$HU89</f>
        <v/>
      </c>
      <c r="HX89" s="62">
        <f>SUMIFS(tblSafety[HPI],tblSafety[Date],$A89)</f>
        <v/>
      </c>
      <c r="HY89" s="62">
        <f>IF($B89=$B88,$HY88,0)+$HX89</f>
        <v/>
      </c>
      <c r="HZ89" s="62">
        <f>$HZ88+$HX89</f>
        <v/>
      </c>
      <c r="IA89" s="62">
        <f>SUMIFS(tblSafety[Env_Incidents],tblSafety[Date],$A89)</f>
        <v/>
      </c>
      <c r="IB89" s="62">
        <f>IF($B89=$B88,$IB88,0)+$IA89</f>
        <v/>
      </c>
      <c r="IC89" s="62">
        <f>$IC88+$IA89</f>
        <v/>
      </c>
      <c r="ID89" s="62">
        <f>SUMIFS(tblSafety[Community_Incidents],tblSafety[Date],$A89)</f>
        <v/>
      </c>
      <c r="IE89" s="62">
        <f>IF($B89=$B88,$IE88,0)+$ID89</f>
        <v/>
      </c>
      <c r="IF89" s="62">
        <f>$IF88+$ID89</f>
        <v/>
      </c>
      <c r="IG89" s="62">
        <f>SUMIFS(tblSafety[Vehicle_Incidents],tblSafety[Date],$A89)</f>
        <v/>
      </c>
      <c r="IH89" s="62">
        <f>IF($B89=$B88,$IH88,0)+$IG89</f>
        <v/>
      </c>
      <c r="II89" s="62">
        <f>$II88+$IG89</f>
        <v/>
      </c>
      <c r="IJ89" s="62">
        <f>SUMIFS(tblSafety[Toolbox_Talks],tblSafety[Date],$A89)</f>
        <v/>
      </c>
      <c r="IK89" s="62">
        <f>IF($B89=$B88,$IK88,0)+$IJ89</f>
        <v/>
      </c>
      <c r="IL89" s="62">
        <f>$IL88+$IJ89</f>
        <v/>
      </c>
      <c r="IM89" s="62">
        <f>SUMIFS(tblSafety[Inspections],tblSafety[Date],$A89)</f>
        <v/>
      </c>
      <c r="IN89" s="62">
        <f>IF($B89=$B88,$IN88,0)+$IM89</f>
        <v/>
      </c>
      <c r="IO89" s="62">
        <f>$IO88+$IM89</f>
        <v/>
      </c>
      <c r="IP89" s="56">
        <f>IFERROR((SUMIFS(tblSafety[Recordables],tblSafety[Date],"&gt;="&amp;EDATE($E89,-12),tblSafety[Date],"&lt;="&amp;$A89)+SUMIFS(tblSafetyHistory[Recordables],tblSafetyHistory[Month],"&gt;="&amp;EDATE($E89,-12),tblSafetyHistory[Month],"&lt;"&amp;$E89,tblSafetyHistory[Use],1))/(SUMIFS(tblSafety[Hours_Total],tblSafety[Date],"&gt;="&amp;EDATE($E89,-12),tblSafety[Date],"&lt;="&amp;$A89)+SUMIFS(tblSafetyHistory[Hours_Total],tblSafetyHistory[Month],"&gt;="&amp;EDATE($E89,-12),tblSafetyHistory[Month],"&lt;"&amp;$E89,tblSafetyHistory[Use],1))*cfg_RateBasisHours,"")</f>
        <v/>
      </c>
      <c r="IQ89" s="56">
        <f>IFERROR((SUMIFS(tblSafety[LTI],tblSafety[Date],"&gt;="&amp;EDATE($E89,-12),tblSafety[Date],"&lt;="&amp;$A89)+SUMIFS(tblSafetyHistory[LTI],tblSafetyHistory[Month],"&gt;="&amp;EDATE($E89,-12),tblSafetyHistory[Month],"&lt;"&amp;$E89,tblSafetyHistory[Use],1))/(SUMIFS(tblSafety[Hours_Total],tblSafety[Date],"&gt;="&amp;EDATE($E89,-12),tblSafety[Date],"&lt;="&amp;$A89)+SUMIFS(tblSafetyHistory[Hours_Total],tblSafetyHistory[Month],"&gt;="&amp;EDATE($E89,-12),tblSafetyHistory[Month],"&lt;"&amp;$E89,tblSafetyHistory[Use],1))*cfg_RateBasisHours,"")</f>
        <v/>
      </c>
      <c r="IR89" s="62">
        <f>IF(MAX(N(cfg_PriorLTIDate),_xlfn.MAXIFS(tblSafety[Date],tblSafety[LTI],"&gt;0",tblSafety[Date],"&lt;="&amp;$A89))=0,"",$A89-MAX(N(cfg_PriorLTIDate),_xlfn.MAXIFS(tblSafety[Date],tblSafety[LTI],"&gt;0",tblSafety[Date],"&lt;="&amp;$A89)))</f>
        <v/>
      </c>
      <c r="IS89" s="55">
        <f>SUMIFS(tblBudget[Ore_Mined_t],tblBudget[Month],$E89)</f>
        <v/>
      </c>
      <c r="IT89" s="55">
        <f>$IS89*$C89/$D89</f>
        <v/>
      </c>
      <c r="IU89" s="55">
        <f>SUMIFS(tblBudget[Ore_Mined_t],tblBudget[Month],"&lt;"&amp;$E89)+$IT89</f>
        <v/>
      </c>
      <c r="IV89" s="55">
        <f>SUMIFS(tblBudget[Ore_oz],tblBudget[Month],$E89)</f>
        <v/>
      </c>
      <c r="IW89" s="55">
        <f>$IV89*$C89/$D89</f>
        <v/>
      </c>
      <c r="IX89" s="55">
        <f>SUMIFS(tblBudget[Ore_oz],tblBudget[Month],"&lt;"&amp;$E89)+$IW89</f>
        <v/>
      </c>
      <c r="IY89" s="55">
        <f>SUMIFS(tblBudget[Ore_Mined_t],tblBudget[Month],$E89)</f>
        <v/>
      </c>
      <c r="IZ89" s="55">
        <f>$IY89*$C89/$D89</f>
        <v/>
      </c>
      <c r="JA89" s="55">
        <f>SUMIFS(tblBudget[Ore_Mined_t],tblBudget[Month],"&lt;"&amp;$E89)+$IZ89</f>
        <v/>
      </c>
      <c r="JB89" s="56">
        <f>IFERROR(IF(($IY89)&gt;0,($IV89*cfg_TroyOz)/($IY89),""),"")</f>
        <v/>
      </c>
      <c r="JC89" s="56">
        <f>IFERROR(IF(($IZ89)&gt;0,($IW89*cfg_TroyOz)/($IZ89),""),"")</f>
        <v/>
      </c>
      <c r="JD89" s="56">
        <f>IFERROR(IF(($JA89)&gt;0,($IX89*cfg_TroyOz)/($JA89),""),"")</f>
        <v/>
      </c>
      <c r="JE89" s="55">
        <f>SUMIFS(tblBudget[Waste_t],tblBudget[Month],$E89)</f>
        <v/>
      </c>
      <c r="JF89" s="55">
        <f>$JE89*$C89/$D89</f>
        <v/>
      </c>
      <c r="JG89" s="55">
        <f>SUMIFS(tblBudget[Waste_t],tblBudget[Month],"&lt;"&amp;$E89)+$JF89</f>
        <v/>
      </c>
      <c r="JH89" s="55">
        <f>SUMIFS(tblBudget[TMM_t],tblBudget[Month],$E89)</f>
        <v/>
      </c>
      <c r="JI89" s="55">
        <f>$JH89*$C89/$D89</f>
        <v/>
      </c>
      <c r="JJ89" s="55">
        <f>SUMIFS(tblBudget[TMM_t],tblBudget[Month],"&lt;"&amp;$E89)+$JI89</f>
        <v/>
      </c>
      <c r="JK89" s="56">
        <f>IFERROR(IF(($IS89)&gt;0,($JE89)/($IS89),""),"")</f>
        <v/>
      </c>
      <c r="JL89" s="56">
        <f>IFERROR(IF(($IT89)&gt;0,($JF89)/($IT89),""),"")</f>
        <v/>
      </c>
      <c r="JM89" s="56">
        <f>IFERROR(IF(($IU89)&gt;0,($JG89)/($IU89),""),"")</f>
        <v/>
      </c>
      <c r="JN89" s="55">
        <f>SUMIFS(tblBudget[Drill_m],tblBudget[Month],$E89)</f>
        <v/>
      </c>
      <c r="JO89" s="55">
        <f>$JN89*$C89/$D89</f>
        <v/>
      </c>
      <c r="JP89" s="55">
        <f>SUMIFS(tblBudget[Drill_m],tblBudget[Month],"&lt;"&amp;$E89)+$JO89</f>
        <v/>
      </c>
      <c r="JQ89" s="55">
        <f>SUMIFS(tblBudget[Diesel_L],tblBudget[Month],$E89)</f>
        <v/>
      </c>
      <c r="JR89" s="55">
        <f>$JQ89*$C89/$D89</f>
        <v/>
      </c>
      <c r="JS89" s="55">
        <f>SUMIFS(tblBudget[Diesel_L],tblBudget[Month],"&lt;"&amp;$E89)+$JR89</f>
        <v/>
      </c>
      <c r="JT89" s="55">
        <f>SUMIFS(tblBudget[Milled_t],tblBudget[Month],$E89)</f>
        <v/>
      </c>
      <c r="JU89" s="55">
        <f>$JT89*$C89/$D89</f>
        <v/>
      </c>
      <c r="JV89" s="55">
        <f>SUMIFS(tblBudget[Milled_t],tblBudget[Month],"&lt;"&amp;$E89)+$JU89</f>
        <v/>
      </c>
      <c r="JW89" s="55">
        <f>SUMIFS(tblBudget[Feed_oz],tblBudget[Month],$E89)</f>
        <v/>
      </c>
      <c r="JX89" s="55">
        <f>$JW89*$C89/$D89</f>
        <v/>
      </c>
      <c r="JY89" s="55">
        <f>SUMIFS(tblBudget[Feed_oz],tblBudget[Month],"&lt;"&amp;$E89)+$JX89</f>
        <v/>
      </c>
      <c r="JZ89" s="55">
        <f>SUMIFS(tblBudget[Recovered_oz],tblBudget[Month],$E89)</f>
        <v/>
      </c>
      <c r="KA89" s="55">
        <f>$JZ89*$C89/$D89</f>
        <v/>
      </c>
      <c r="KB89" s="55">
        <f>SUMIFS(tblBudget[Recovered_oz],tblBudget[Month],"&lt;"&amp;$E89)+$KA89</f>
        <v/>
      </c>
      <c r="KC89" s="55">
        <f>SUMIFS(tblBudget[Milled_t],tblBudget[Month],$E89)</f>
        <v/>
      </c>
      <c r="KD89" s="55">
        <f>$KC89*$C89/$D89</f>
        <v/>
      </c>
      <c r="KE89" s="55">
        <f>SUMIFS(tblBudget[Milled_t],tblBudget[Month],"&lt;"&amp;$E89)+$KD89</f>
        <v/>
      </c>
      <c r="KF89" s="55">
        <f>SUMIFS(tblBudget[Feed_oz],tblBudget[Month],$E89)</f>
        <v/>
      </c>
      <c r="KG89" s="55">
        <f>$KF89*$C89/$D89</f>
        <v/>
      </c>
      <c r="KH89" s="55">
        <f>SUMIFS(tblBudget[Feed_oz],tblBudget[Month],"&lt;"&amp;$E89)+$KG89</f>
        <v/>
      </c>
      <c r="KI89" s="56">
        <f>IFERROR(IF(($KC89)&gt;0,($JW89*cfg_TroyOz)/($KC89),""),"")</f>
        <v/>
      </c>
      <c r="KJ89" s="56">
        <f>IFERROR(IF(($KD89)&gt;0,($JX89*cfg_TroyOz)/($KD89),""),"")</f>
        <v/>
      </c>
      <c r="KK89" s="56">
        <f>IFERROR(IF(($KE89)&gt;0,($JY89*cfg_TroyOz)/($KE89),""),"")</f>
        <v/>
      </c>
      <c r="KL89" s="67">
        <f>IFERROR(IF(($KF89)&gt;0,($JZ89)/($KF89),""),"")</f>
        <v/>
      </c>
      <c r="KM89" s="67">
        <f>IFERROR(IF(($KG89)&gt;0,($KA89)/($KG89),""),"")</f>
        <v/>
      </c>
      <c r="KN89" s="67">
        <f>IFERROR(IF(($KH89)&gt;0,($KB89)/($KH89),""),"")</f>
        <v/>
      </c>
      <c r="KO89" s="55">
        <f>SUMIFS(tblBudget[Gold_Poured_oz],tblBudget[Month],$E89)</f>
        <v/>
      </c>
      <c r="KP89" s="55">
        <f>$KO89*$C89/$D89</f>
        <v/>
      </c>
      <c r="KQ89" s="55">
        <f>SUMIFS(tblBudget[Gold_Poured_oz],tblBudget[Month],"&lt;"&amp;$E89)+$KP89</f>
        <v/>
      </c>
      <c r="KR89" s="57">
        <f>SUMIFS(tblBudget[Hours_Worked],tblBudget[Month],$E89)</f>
        <v/>
      </c>
      <c r="KS89" s="57">
        <f>$KR89*$C89/$D89</f>
        <v/>
      </c>
      <c r="KT89" s="57">
        <f>SUMIFS(tblBudget[Hours_Worked],tblBudget[Month],"&lt;"&amp;$E89)+$KS89</f>
        <v/>
      </c>
    </row>
    <row r="90">
      <c r="A90" s="54" t="n">
        <v>46111</v>
      </c>
      <c r="B90">
        <f>MONTH($A90)</f>
        <v/>
      </c>
      <c r="C90">
        <f>DAY($A90)</f>
        <v/>
      </c>
      <c r="D90">
        <f>DAY(EOMONTH($A90,0))</f>
        <v/>
      </c>
      <c r="E90" s="54">
        <f>DATE(YEAR($A90),MONTH($A90),1)</f>
        <v/>
      </c>
      <c r="F90" s="55">
        <f>SUMIFS(tblMovement[Tonnes_t],tblMovement[Date],$A90,tblMovement[Is_Ore],1,tblMovement[Source_Type],"Pit")</f>
        <v/>
      </c>
      <c r="G90" s="55">
        <f>IF($B90=$B89,$G89,0)+$F90</f>
        <v/>
      </c>
      <c r="H90" s="55">
        <f>$H89+$F90</f>
        <v/>
      </c>
      <c r="I90" s="55">
        <f>SUMIFS(tblMovement[Ore_oz],tblMovement[Date],$A90,tblMovement[Source_Type],"Pit")</f>
        <v/>
      </c>
      <c r="J90" s="55">
        <f>IF($B90=$B89,$J89,0)+$I90</f>
        <v/>
      </c>
      <c r="K90" s="55">
        <f>$K89+$I90</f>
        <v/>
      </c>
      <c r="L90" s="55">
        <f>SUMIFS(tblMovement[Tonnes_t],tblMovement[Date],$A90,tblMovement[Is_Ore],1,tblMovement[Source_Type],"Pit",tblMovement[Grade_gpt],"&lt;&gt;")</f>
        <v/>
      </c>
      <c r="M90" s="55">
        <f>IF($B90=$B89,$M89,0)+$L90</f>
        <v/>
      </c>
      <c r="N90" s="55">
        <f>$N89+$L90</f>
        <v/>
      </c>
      <c r="O90" s="56">
        <f>IFERROR(IF(($L90)&gt;0,($I90*cfg_TroyOz)/($L90),""),"")</f>
        <v/>
      </c>
      <c r="P90" s="56">
        <f>IFERROR(IF(($M90)&gt;0,($J90*cfg_TroyOz)/($M90),""),"")</f>
        <v/>
      </c>
      <c r="Q90" s="56">
        <f>IFERROR(IF(($N90)&gt;0,($K90*cfg_TroyOz)/($N90),""),"")</f>
        <v/>
      </c>
      <c r="R90" s="55">
        <f>$F90-$L90</f>
        <v/>
      </c>
      <c r="S90" s="55">
        <f>IF($B90=$B89,$S89,0)+$R90</f>
        <v/>
      </c>
      <c r="T90" s="55">
        <f>$T89+$R90</f>
        <v/>
      </c>
      <c r="U90" s="55">
        <f>SUMIFS(tblMovement[Tonnes_t],tblMovement[Date],$A90,tblMovement[Is_Ore],0,tblMovement[Source_Type],"Pit")</f>
        <v/>
      </c>
      <c r="V90" s="55">
        <f>IF($B90=$B89,$V89,0)+$U90</f>
        <v/>
      </c>
      <c r="W90" s="55">
        <f>$W89+$U90</f>
        <v/>
      </c>
      <c r="X90" s="55">
        <f>$F90+$U90</f>
        <v/>
      </c>
      <c r="Y90" s="55">
        <f>IF($B90=$B89,$Y89,0)+$X90</f>
        <v/>
      </c>
      <c r="Z90" s="55">
        <f>$Z89+$X90</f>
        <v/>
      </c>
      <c r="AA90" s="56">
        <f>IFERROR(IF(($F90)&gt;0,($U90)/($F90),""),"")</f>
        <v/>
      </c>
      <c r="AB90" s="56">
        <f>IFERROR(IF(($G90)&gt;0,($V90)/($G90),""),"")</f>
        <v/>
      </c>
      <c r="AC90" s="56">
        <f>IFERROR(IF(($H90)&gt;0,($W90)/($H90),""),"")</f>
        <v/>
      </c>
      <c r="AD90" s="55">
        <f>SUMIFS(tblMovement[Tonnes_t],tblMovement[Date],$A90,tblMovement[Source_Type],"Stockpile")</f>
        <v/>
      </c>
      <c r="AE90" s="55">
        <f>IF($B90=$B89,$AE89,0)+$AD90</f>
        <v/>
      </c>
      <c r="AF90" s="55">
        <f>$AF89+$AD90</f>
        <v/>
      </c>
      <c r="AG90" s="55">
        <f>SUMIFS(tblMovement[Tonnes_t],tblMovement[Date],$A90)</f>
        <v/>
      </c>
      <c r="AH90" s="55">
        <f>IF($B90=$B89,$AH89,0)+$AG90</f>
        <v/>
      </c>
      <c r="AI90" s="55">
        <f>$AI89+$AG90</f>
        <v/>
      </c>
      <c r="AJ90" s="55">
        <f>$AG90-$X90-$AD90</f>
        <v/>
      </c>
      <c r="AK90" s="55">
        <f>IF($B90=$B89,$AK89,0)+$AJ90</f>
        <v/>
      </c>
      <c r="AL90" s="55">
        <f>$AL89+$AJ90</f>
        <v/>
      </c>
      <c r="AM90" s="55">
        <f>SUMIFS(tblMiningDaily[Drill_m],tblMiningDaily[Date],$A90)</f>
        <v/>
      </c>
      <c r="AN90" s="55">
        <f>IF($B90=$B89,$AN89,0)+$AM90</f>
        <v/>
      </c>
      <c r="AO90" s="55">
        <f>$AO89+$AM90</f>
        <v/>
      </c>
      <c r="AP90" s="55">
        <f>SUMIFS(tblMiningDaily[GC_Drill_m],tblMiningDaily[Date],$A90)</f>
        <v/>
      </c>
      <c r="AQ90" s="55">
        <f>IF($B90=$B89,$AQ89,0)+$AP90</f>
        <v/>
      </c>
      <c r="AR90" s="55">
        <f>$AR89+$AP90</f>
        <v/>
      </c>
      <c r="AS90" s="55">
        <f>SUMIFS(tblMiningDaily[Blast_t],tblMiningDaily[Date],$A90)</f>
        <v/>
      </c>
      <c r="AT90" s="55">
        <f>IF($B90=$B89,$AT89,0)+$AS90</f>
        <v/>
      </c>
      <c r="AU90" s="55">
        <f>$AU89+$AS90</f>
        <v/>
      </c>
      <c r="AV90" s="55">
        <f>SUMIFS(tblMiningDaily[Explosives_kg],tblMiningDaily[Date],$A90)</f>
        <v/>
      </c>
      <c r="AW90" s="55">
        <f>IF($B90=$B89,$AW89,0)+$AV90</f>
        <v/>
      </c>
      <c r="AX90" s="55">
        <f>$AX89+$AV90</f>
        <v/>
      </c>
      <c r="AY90" s="56">
        <f>IFERROR(IF(($AS90)&gt;0,($AV90)/($AS90),""),"")</f>
        <v/>
      </c>
      <c r="AZ90" s="56">
        <f>IFERROR(IF(($AT90)&gt;0,($AW90)/($AT90),""),"")</f>
        <v/>
      </c>
      <c r="BA90" s="56">
        <f>IFERROR(IF(($AU90)&gt;0,($AX90)/($AU90),""),"")</f>
        <v/>
      </c>
      <c r="BB90" s="55">
        <f>SUMIFS(tblMiningDaily[Diesel_L],tblMiningDaily[Date],$A90)</f>
        <v/>
      </c>
      <c r="BC90" s="55">
        <f>IF($B90=$B89,$BC89,0)+$BB90</f>
        <v/>
      </c>
      <c r="BD90" s="55">
        <f>$BD89+$BB90</f>
        <v/>
      </c>
      <c r="BE90" s="55">
        <f>SUMIFS(tblMiningDaily[Dewatering_m3],tblMiningDaily[Date],$A90)</f>
        <v/>
      </c>
      <c r="BF90" s="55">
        <f>IF($B90=$B89,$BF89,0)+$BE90</f>
        <v/>
      </c>
      <c r="BG90" s="55">
        <f>$BG89+$BE90</f>
        <v/>
      </c>
      <c r="BH90" s="57">
        <f>SUMIFS(tblFleet[Calendar_h],tblFleet[Date],$A90,tblFleet[Equipment_Class],"Excavator")</f>
        <v/>
      </c>
      <c r="BI90" s="57">
        <f>IF($B90=$B89,$BI89,0)+$BH90</f>
        <v/>
      </c>
      <c r="BJ90" s="57">
        <f>$BJ89+$BH90</f>
        <v/>
      </c>
      <c r="BK90" s="57">
        <f>SUMIFS(tblFleet[Available_h],tblFleet[Date],$A90,tblFleet[Equipment_Class],"Excavator")</f>
        <v/>
      </c>
      <c r="BL90" s="57">
        <f>IF($B90=$B89,$BL89,0)+$BK90</f>
        <v/>
      </c>
      <c r="BM90" s="57">
        <f>$BM89+$BK90</f>
        <v/>
      </c>
      <c r="BN90" s="57">
        <f>SUMIFS(tblFleet[Operating_h],tblFleet[Date],$A90,tblFleet[Equipment_Class],"Excavator")</f>
        <v/>
      </c>
      <c r="BO90" s="57">
        <f>IF($B90=$B89,$BO89,0)+$BN90</f>
        <v/>
      </c>
      <c r="BP90" s="57">
        <f>$BP89+$BN90</f>
        <v/>
      </c>
      <c r="BQ90" s="67">
        <f>IFERROR(IF(($BH90)&gt;0,($BK90)/($BH90),""),"")</f>
        <v/>
      </c>
      <c r="BR90" s="67">
        <f>IFERROR(IF(($BI90)&gt;0,($BL90)/($BI90),""),"")</f>
        <v/>
      </c>
      <c r="BS90" s="67">
        <f>IFERROR(IF(($BJ90)&gt;0,($BM90)/($BJ90),""),"")</f>
        <v/>
      </c>
      <c r="BT90" s="67">
        <f>IFERROR(IF(($BK90)&gt;0,($BN90)/($BK90),""),"")</f>
        <v/>
      </c>
      <c r="BU90" s="67">
        <f>IFERROR(IF(($BL90)&gt;0,($BO90)/($BL90),""),"")</f>
        <v/>
      </c>
      <c r="BV90" s="67">
        <f>IFERROR(IF(($BM90)&gt;0,($BP90)/($BM90),""),"")</f>
        <v/>
      </c>
      <c r="BW90" s="57">
        <f>SUMIFS(tblFleet[Calendar_h],tblFleet[Date],$A90,tblFleet[Equipment_Class],"Haul Truck")</f>
        <v/>
      </c>
      <c r="BX90" s="57">
        <f>IF($B90=$B89,$BX89,0)+$BW90</f>
        <v/>
      </c>
      <c r="BY90" s="57">
        <f>$BY89+$BW90</f>
        <v/>
      </c>
      <c r="BZ90" s="57">
        <f>SUMIFS(tblFleet[Available_h],tblFleet[Date],$A90,tblFleet[Equipment_Class],"Haul Truck")</f>
        <v/>
      </c>
      <c r="CA90" s="57">
        <f>IF($B90=$B89,$CA89,0)+$BZ90</f>
        <v/>
      </c>
      <c r="CB90" s="57">
        <f>$CB89+$BZ90</f>
        <v/>
      </c>
      <c r="CC90" s="57">
        <f>SUMIFS(tblFleet[Operating_h],tblFleet[Date],$A90,tblFleet[Equipment_Class],"Haul Truck")</f>
        <v/>
      </c>
      <c r="CD90" s="57">
        <f>IF($B90=$B89,$CD89,0)+$CC90</f>
        <v/>
      </c>
      <c r="CE90" s="57">
        <f>$CE89+$CC90</f>
        <v/>
      </c>
      <c r="CF90" s="67">
        <f>IFERROR(IF(($BW90)&gt;0,($BZ90)/($BW90),""),"")</f>
        <v/>
      </c>
      <c r="CG90" s="67">
        <f>IFERROR(IF(($BX90)&gt;0,($CA90)/($BX90),""),"")</f>
        <v/>
      </c>
      <c r="CH90" s="67">
        <f>IFERROR(IF(($BY90)&gt;0,($CB90)/($BY90),""),"")</f>
        <v/>
      </c>
      <c r="CI90" s="67">
        <f>IFERROR(IF(($BZ90)&gt;0,($CC90)/($BZ90),""),"")</f>
        <v/>
      </c>
      <c r="CJ90" s="67">
        <f>IFERROR(IF(($CA90)&gt;0,($CD90)/($CA90),""),"")</f>
        <v/>
      </c>
      <c r="CK90" s="67">
        <f>IFERROR(IF(($CB90)&gt;0,($CE90)/($CB90),""),"")</f>
        <v/>
      </c>
      <c r="CL90" s="55">
        <f>IFERROR(IF(($BN90)&gt;0,($X90+$AD90)/($BN90),""),"")</f>
        <v/>
      </c>
      <c r="CM90" s="55">
        <f>IFERROR(IF(($BO90)&gt;0,($Y90+$AE90)/($BO90),""),"")</f>
        <v/>
      </c>
      <c r="CN90" s="55">
        <f>IFERROR(IF(($BP90)&gt;0,($Z90+$AF90)/($BP90),""),"")</f>
        <v/>
      </c>
      <c r="CO90" s="55">
        <f>IFERROR(IF(($CC90)&gt;0,($X90+$AD90)/($CC90),""),"")</f>
        <v/>
      </c>
      <c r="CP90" s="55">
        <f>IFERROR(IF(($CD90)&gt;0,($Y90+$AE90)/($CD90),""),"")</f>
        <v/>
      </c>
      <c r="CQ90" s="55">
        <f>IFERROR(IF(($CE90)&gt;0,($Z90+$AF90)/($CE90),""),"")</f>
        <v/>
      </c>
      <c r="CR90" s="55">
        <f>SUMIFS(tblPlant[Crushed_t],tblPlant[Date],$A90)</f>
        <v/>
      </c>
      <c r="CS90" s="55">
        <f>IF($B90=$B89,$CS89,0)+$CR90</f>
        <v/>
      </c>
      <c r="CT90" s="55">
        <f>$CT89+$CR90</f>
        <v/>
      </c>
      <c r="CU90" s="55">
        <f>SUMIFS(tblPlant[Milled_t],tblPlant[Date],$A90)</f>
        <v/>
      </c>
      <c r="CV90" s="55">
        <f>IF($B90=$B89,$CV89,0)+$CU90</f>
        <v/>
      </c>
      <c r="CW90" s="55">
        <f>$CW89+$CU90</f>
        <v/>
      </c>
      <c r="CX90" s="55">
        <f>SUMIFS(tblPlant[Feed_oz],tblPlant[Date],$A90)</f>
        <v/>
      </c>
      <c r="CY90" s="55">
        <f>IF($B90=$B89,$CY89,0)+$CX90</f>
        <v/>
      </c>
      <c r="CZ90" s="55">
        <f>$CZ89+$CX90</f>
        <v/>
      </c>
      <c r="DA90" s="55">
        <f>SUMIFS(tblPlant[Tails_oz],tblPlant[Date],$A90)</f>
        <v/>
      </c>
      <c r="DB90" s="55">
        <f>IF($B90=$B89,$DB89,0)+$DA90</f>
        <v/>
      </c>
      <c r="DC90" s="55">
        <f>$DC89+$DA90</f>
        <v/>
      </c>
      <c r="DD90" s="55">
        <f>SUMIFS(tblPlant[Recovered_oz],tblPlant[Date],$A90)</f>
        <v/>
      </c>
      <c r="DE90" s="55">
        <f>IF($B90=$B89,$DE89,0)+$DD90</f>
        <v/>
      </c>
      <c r="DF90" s="55">
        <f>$DF89+$DD90</f>
        <v/>
      </c>
      <c r="DG90" s="55">
        <f>SUMIFS(tblPlant[Milled_t],tblPlant[Date],$A90,tblPlant[Head_Grade_gpt],"&lt;&gt;")</f>
        <v/>
      </c>
      <c r="DH90" s="55">
        <f>IF($B90=$B89,$DH89,0)+$DG90</f>
        <v/>
      </c>
      <c r="DI90" s="55">
        <f>$DI89+$DG90</f>
        <v/>
      </c>
      <c r="DJ90" s="55">
        <f>SUMIFS(tblPlant[Milled_t],tblPlant[Date],$A90,tblPlant[Tails_Grade_gpt],"&lt;&gt;")</f>
        <v/>
      </c>
      <c r="DK90" s="55">
        <f>IF($B90=$B89,$DK89,0)+$DJ90</f>
        <v/>
      </c>
      <c r="DL90" s="55">
        <f>$DL89+$DJ90</f>
        <v/>
      </c>
      <c r="DM90" s="55">
        <f>SUMIFS(tblPlant[Feed_oz],tblPlant[Date],$A90,tblPlant[Tails_Grade_gpt],"&lt;&gt;")</f>
        <v/>
      </c>
      <c r="DN90" s="55">
        <f>IF($B90=$B89,$DN89,0)+$DM90</f>
        <v/>
      </c>
      <c r="DO90" s="55">
        <f>$DO89+$DM90</f>
        <v/>
      </c>
      <c r="DP90" s="55">
        <f>SUMIFS(tblPlant[Milled_t],tblPlant[Date],$A90,tblPlant[Mill_Run_h],"&lt;&gt;")</f>
        <v/>
      </c>
      <c r="DQ90" s="55">
        <f>IF($B90=$B89,$DQ89,0)+$DP90</f>
        <v/>
      </c>
      <c r="DR90" s="55">
        <f>$DR89+$DP90</f>
        <v/>
      </c>
      <c r="DS90" s="56">
        <f>IFERROR(IF(($DG90)&gt;0,($CX90*cfg_TroyOz)/($DG90),""),"")</f>
        <v/>
      </c>
      <c r="DT90" s="56">
        <f>IFERROR(IF(($DH90)&gt;0,($CY90*cfg_TroyOz)/($DH90),""),"")</f>
        <v/>
      </c>
      <c r="DU90" s="56">
        <f>IFERROR(IF(($DI90)&gt;0,($CZ90*cfg_TroyOz)/($DI90),""),"")</f>
        <v/>
      </c>
      <c r="DV90" s="56">
        <f>IFERROR(IF(($DJ90)&gt;0,($DA90*cfg_TroyOz)/($DJ90),""),"")</f>
        <v/>
      </c>
      <c r="DW90" s="56">
        <f>IFERROR(IF(($DK90)&gt;0,($DB90*cfg_TroyOz)/($DK90),""),"")</f>
        <v/>
      </c>
      <c r="DX90" s="56">
        <f>IFERROR(IF(($DL90)&gt;0,($DC90*cfg_TroyOz)/($DL90),""),"")</f>
        <v/>
      </c>
      <c r="DY90" s="67">
        <f>IFERROR(IF(($DM90)&gt;0,($DD90)/($DM90),""),"")</f>
        <v/>
      </c>
      <c r="DZ90" s="67">
        <f>IFERROR(IF(($DN90)&gt;0,($DE90)/($DN90),""),"")</f>
        <v/>
      </c>
      <c r="EA90" s="67">
        <f>IFERROR(IF(($DO90)&gt;0,($DF90)/($DO90),""),"")</f>
        <v/>
      </c>
      <c r="EB90" s="55">
        <f>SUMIFS(tblPlant[Gravity_Gold_oz],tblPlant[Date],$A90)</f>
        <v/>
      </c>
      <c r="EC90" s="55">
        <f>IF($B90=$B89,$EC89,0)+$EB90</f>
        <v/>
      </c>
      <c r="ED90" s="55">
        <f>$ED89+$EB90</f>
        <v/>
      </c>
      <c r="EE90" s="67">
        <f>IFERROR(IF(($DD90)&gt;0,($EB90)/($DD90),""),"")</f>
        <v/>
      </c>
      <c r="EF90" s="67">
        <f>IFERROR(IF(($DE90)&gt;0,($EC90)/($DE90),""),"")</f>
        <v/>
      </c>
      <c r="EG90" s="67">
        <f>IFERROR(IF(($DF90)&gt;0,($ED90)/($DF90),""),"")</f>
        <v/>
      </c>
      <c r="EH90" s="55">
        <f>SUMIFS(tblPlant[Gold_Poured_oz],tblPlant[Date],$A90)</f>
        <v/>
      </c>
      <c r="EI90" s="55">
        <f>IF($B90=$B89,$EI89,0)+$EH90</f>
        <v/>
      </c>
      <c r="EJ90" s="55">
        <f>$EJ89+$EH90</f>
        <v/>
      </c>
      <c r="EK90" s="57">
        <f>SUMIFS(tblPlant[Mill_Run_h],tblPlant[Date],$A90)</f>
        <v/>
      </c>
      <c r="EL90" s="57">
        <f>IF($B90=$B89,$EL89,0)+$EK90</f>
        <v/>
      </c>
      <c r="EM90" s="57">
        <f>$EM89+$EK90</f>
        <v/>
      </c>
      <c r="EN90" s="57">
        <f>SUMIFS(tblPlant[Mill_Planned_Maint_h],tblPlant[Date],$A90)</f>
        <v/>
      </c>
      <c r="EO90" s="57">
        <f>IF($B90=$B89,$EO89,0)+$EN90</f>
        <v/>
      </c>
      <c r="EP90" s="57">
        <f>$EP89+$EN90</f>
        <v/>
      </c>
      <c r="EQ90" s="57">
        <f>SUMIFS(tblPlant[Mill_Unplanned_Down_h],tblPlant[Date],$A90)</f>
        <v/>
      </c>
      <c r="ER90" s="57">
        <f>IF($B90=$B89,$ER89,0)+$EQ90</f>
        <v/>
      </c>
      <c r="ES90" s="57">
        <f>$ES89+$EQ90</f>
        <v/>
      </c>
      <c r="ET90" s="57">
        <f>IF(COUNTIFS(tblPlant[Date],$A90,tblPlant[Mill_Run_h],"&lt;&gt;")+COUNTIFS(tblPlant[Date],$A90,tblPlant[Mill_Planned_Maint_h],"&lt;&gt;")+COUNTIFS(tblPlant[Date],$A90,tblPlant[Mill_Unplanned_Down_h],"&lt;&gt;")&gt;0,cfg_HoursPerDay,0)</f>
        <v/>
      </c>
      <c r="EU90" s="57">
        <f>IF($B90=$B89,$EU89,0)+$ET90</f>
        <v/>
      </c>
      <c r="EV90" s="57">
        <f>$EV89+$ET90</f>
        <v/>
      </c>
      <c r="EW90" s="57">
        <f>SUMIFS(tblPlant[Crusher_Run_h],tblPlant[Date],$A90)</f>
        <v/>
      </c>
      <c r="EX90" s="57">
        <f>IF($B90=$B89,$EX89,0)+$EW90</f>
        <v/>
      </c>
      <c r="EY90" s="57">
        <f>$EY89+$EW90</f>
        <v/>
      </c>
      <c r="EZ90" s="55">
        <f>IFERROR(IF(($EK90)&gt;0,($DP90)/($EK90),""),"")</f>
        <v/>
      </c>
      <c r="FA90" s="55">
        <f>IFERROR(IF(($EL90)&gt;0,($DQ90)/($EL90),""),"")</f>
        <v/>
      </c>
      <c r="FB90" s="55">
        <f>IFERROR(IF(($EM90)&gt;0,($DR90)/($EM90),""),"")</f>
        <v/>
      </c>
      <c r="FC90" s="67">
        <f>IFERROR(IF(($ET90)&gt;0,($ET90-$EN90-$EQ90)/($ET90),""),"")</f>
        <v/>
      </c>
      <c r="FD90" s="67">
        <f>IFERROR(IF(($EU90)&gt;0,($EU90-$EO90-$ER90)/($EU90),""),"")</f>
        <v/>
      </c>
      <c r="FE90" s="67">
        <f>IFERROR(IF(($EV90)&gt;0,($EV90-$EP90-$ES90)/($EV90),""),"")</f>
        <v/>
      </c>
      <c r="FF90" s="67">
        <f>IFERROR(IF(($ET90-$EN90-$EQ90)&gt;0,($EK90)/($ET90-$EN90-$EQ90),""),"")</f>
        <v/>
      </c>
      <c r="FG90" s="67">
        <f>IFERROR(IF(($EU90-$EO90-$ER90)&gt;0,($EL90)/($EU90-$EO90-$ER90),""),"")</f>
        <v/>
      </c>
      <c r="FH90" s="67">
        <f>IFERROR(IF(($EV90-$EP90-$ES90)&gt;0,($EM90)/($EV90-$EP90-$ES90),""),"")</f>
        <v/>
      </c>
      <c r="FI90" s="55">
        <f>SUMIFS(tblPlant[Cyanide_kg],tblPlant[Date],$A90)</f>
        <v/>
      </c>
      <c r="FJ90" s="55">
        <f>IF($B90=$B89,$FJ89,0)+$FI90</f>
        <v/>
      </c>
      <c r="FK90" s="55">
        <f>$FK89+$FI90</f>
        <v/>
      </c>
      <c r="FL90" s="55">
        <f>SUMIFS(tblPlant[Lime_kg],tblPlant[Date],$A90)</f>
        <v/>
      </c>
      <c r="FM90" s="55">
        <f>IF($B90=$B89,$FM89,0)+$FL90</f>
        <v/>
      </c>
      <c r="FN90" s="55">
        <f>$FN89+$FL90</f>
        <v/>
      </c>
      <c r="FO90" s="55">
        <f>SUMIFS(tblPlant[Grinding_Media_kg],tblPlant[Date],$A90)</f>
        <v/>
      </c>
      <c r="FP90" s="55">
        <f>IF($B90=$B89,$FP89,0)+$FO90</f>
        <v/>
      </c>
      <c r="FQ90" s="55">
        <f>$FQ89+$FO90</f>
        <v/>
      </c>
      <c r="FR90" s="55">
        <f>SUMIFS(tblPlant[Power_kWh],tblPlant[Date],$A90)</f>
        <v/>
      </c>
      <c r="FS90" s="55">
        <f>IF($B90=$B89,$FS89,0)+$FR90</f>
        <v/>
      </c>
      <c r="FT90" s="55">
        <f>$FT89+$FR90</f>
        <v/>
      </c>
      <c r="FU90" s="55">
        <f>SUMIFS(tblPlant[Raw_Water_m3],tblPlant[Date],$A90)</f>
        <v/>
      </c>
      <c r="FV90" s="55">
        <f>IF($B90=$B89,$FV89,0)+$FU90</f>
        <v/>
      </c>
      <c r="FW90" s="55">
        <f>$FW89+$FU90</f>
        <v/>
      </c>
      <c r="FX90" s="56">
        <f>IFERROR(IF(($CU90)&gt;0,($FI90)/($CU90),""),"")</f>
        <v/>
      </c>
      <c r="FY90" s="56">
        <f>IFERROR(IF(($CV90)&gt;0,($FJ90)/($CV90),""),"")</f>
        <v/>
      </c>
      <c r="FZ90" s="56">
        <f>IFERROR(IF(($CW90)&gt;0,($FK90)/($CW90),""),"")</f>
        <v/>
      </c>
      <c r="GA90" s="56">
        <f>IFERROR(IF(($CU90)&gt;0,($FL90)/($CU90),""),"")</f>
        <v/>
      </c>
      <c r="GB90" s="56">
        <f>IFERROR(IF(($CV90)&gt;0,($FM90)/($CV90),""),"")</f>
        <v/>
      </c>
      <c r="GC90" s="56">
        <f>IFERROR(IF(($CW90)&gt;0,($FN90)/($CW90),""),"")</f>
        <v/>
      </c>
      <c r="GD90" s="56">
        <f>IFERROR(IF(($CU90)&gt;0,($FO90)/($CU90),""),"")</f>
        <v/>
      </c>
      <c r="GE90" s="56">
        <f>IFERROR(IF(($CV90)&gt;0,($FP90)/($CV90),""),"")</f>
        <v/>
      </c>
      <c r="GF90" s="56">
        <f>IFERROR(IF(($CW90)&gt;0,($FQ90)/($CW90),""),"")</f>
        <v/>
      </c>
      <c r="GG90" s="79">
        <f>IFERROR(IF(($CU90)&gt;0,($FR90)/($CU90),""),"")</f>
        <v/>
      </c>
      <c r="GH90" s="79">
        <f>IFERROR(IF(($CV90)&gt;0,($FS90)/($CV90),""),"")</f>
        <v/>
      </c>
      <c r="GI90" s="79">
        <f>IFERROR(IF(($CW90)&gt;0,($FT90)/($CW90),""),"")</f>
        <v/>
      </c>
      <c r="GJ90" s="56">
        <f>IFERROR(IF(($CU90)&gt;0,($FU90)/($CU90),""),"")</f>
        <v/>
      </c>
      <c r="GK90" s="56">
        <f>IFERROR(IF(($CV90)&gt;0,($FV90)/($CV90),""),"")</f>
        <v/>
      </c>
      <c r="GL90" s="56">
        <f>IFERROR(IF(($CW90)&gt;0,($FW90)/($CW90),""),"")</f>
        <v/>
      </c>
      <c r="GM90" s="55">
        <f>IF(SUMIFS(tblPlant[GIC_oz],tblPlant[Date],$A90)&gt;0,SUMIFS(tblPlant[GIC_oz],tblPlant[Date],$A90),"")</f>
        <v/>
      </c>
      <c r="GN90" s="55">
        <f>SUMIFS(tblGold[Gold_oz],tblGold[Date],$A90,tblGold[Type],"Shipment")</f>
        <v/>
      </c>
      <c r="GO90" s="55">
        <f>IF($B90=$B89,$GO89,0)+$GN90</f>
        <v/>
      </c>
      <c r="GP90" s="55">
        <f>$GP89+$GN90</f>
        <v/>
      </c>
      <c r="GQ90" s="55">
        <f>SUMIFS(tblGold[Gold_oz],tblGold[Date],$A90,tblGold[Type],"Sale")</f>
        <v/>
      </c>
      <c r="GR90" s="55">
        <f>IF($B90=$B89,$GR89,0)+$GQ90</f>
        <v/>
      </c>
      <c r="GS90" s="55">
        <f>$GS89+$GQ90</f>
        <v/>
      </c>
      <c r="GT90" s="55">
        <f>SUMIFS(tblGold[Dore_kg],tblGold[Date],$A90,tblGold[Type],"Shipment")</f>
        <v/>
      </c>
      <c r="GU90" s="55">
        <f>IF($B90=$B89,$GU89,0)+$GT90</f>
        <v/>
      </c>
      <c r="GV90" s="55">
        <f>$GV89+$GT90</f>
        <v/>
      </c>
      <c r="GW90" s="57">
        <f>SUMIFS(tblSafety[Hours_Total],tblSafety[Date],$A90)</f>
        <v/>
      </c>
      <c r="GX90" s="57">
        <f>IF($B90=$B89,$GX89,0)+$GW90</f>
        <v/>
      </c>
      <c r="GY90" s="57">
        <f>$GY89+$GW90</f>
        <v/>
      </c>
      <c r="GZ90" s="62">
        <f>SUMIFS(tblSafety[Fatality],tblSafety[Date],$A90)</f>
        <v/>
      </c>
      <c r="HA90" s="62">
        <f>IF($B90=$B89,$HA89,0)+$GZ90</f>
        <v/>
      </c>
      <c r="HB90" s="62">
        <f>$HB89+$GZ90</f>
        <v/>
      </c>
      <c r="HC90" s="62">
        <f>SUMIFS(tblSafety[LTI],tblSafety[Date],$A90)</f>
        <v/>
      </c>
      <c r="HD90" s="62">
        <f>IF($B90=$B89,$HD89,0)+$HC90</f>
        <v/>
      </c>
      <c r="HE90" s="62">
        <f>$HE89+$HC90</f>
        <v/>
      </c>
      <c r="HF90" s="62">
        <f>SUMIFS(tblSafety[RWI],tblSafety[Date],$A90)</f>
        <v/>
      </c>
      <c r="HG90" s="62">
        <f>IF($B90=$B89,$HG89,0)+$HF90</f>
        <v/>
      </c>
      <c r="HH90" s="62">
        <f>$HH89+$HF90</f>
        <v/>
      </c>
      <c r="HI90" s="62">
        <f>SUMIFS(tblSafety[MTI],tblSafety[Date],$A90)</f>
        <v/>
      </c>
      <c r="HJ90" s="62">
        <f>IF($B90=$B89,$HJ89,0)+$HI90</f>
        <v/>
      </c>
      <c r="HK90" s="62">
        <f>$HK89+$HI90</f>
        <v/>
      </c>
      <c r="HL90" s="62">
        <f>SUMIFS(tblSafety[FAI],tblSafety[Date],$A90)</f>
        <v/>
      </c>
      <c r="HM90" s="62">
        <f>IF($B90=$B89,$HM89,0)+$HL90</f>
        <v/>
      </c>
      <c r="HN90" s="62">
        <f>$HN89+$HL90</f>
        <v/>
      </c>
      <c r="HO90" s="62">
        <f>SUMIFS(tblSafety[Recordables],tblSafety[Date],$A90)</f>
        <v/>
      </c>
      <c r="HP90" s="62">
        <f>IF($B90=$B89,$HP89,0)+$HO90</f>
        <v/>
      </c>
      <c r="HQ90" s="62">
        <f>$HQ89+$HO90</f>
        <v/>
      </c>
      <c r="HR90" s="62">
        <f>SUMIFS(tblSafety[Near_Miss],tblSafety[Date],$A90)</f>
        <v/>
      </c>
      <c r="HS90" s="62">
        <f>IF($B90=$B89,$HS89,0)+$HR90</f>
        <v/>
      </c>
      <c r="HT90" s="62">
        <f>$HT89+$HR90</f>
        <v/>
      </c>
      <c r="HU90" s="62">
        <f>SUMIFS(tblSafety[Hazard_Reports],tblSafety[Date],$A90)</f>
        <v/>
      </c>
      <c r="HV90" s="62">
        <f>IF($B90=$B89,$HV89,0)+$HU90</f>
        <v/>
      </c>
      <c r="HW90" s="62">
        <f>$HW89+$HU90</f>
        <v/>
      </c>
      <c r="HX90" s="62">
        <f>SUMIFS(tblSafety[HPI],tblSafety[Date],$A90)</f>
        <v/>
      </c>
      <c r="HY90" s="62">
        <f>IF($B90=$B89,$HY89,0)+$HX90</f>
        <v/>
      </c>
      <c r="HZ90" s="62">
        <f>$HZ89+$HX90</f>
        <v/>
      </c>
      <c r="IA90" s="62">
        <f>SUMIFS(tblSafety[Env_Incidents],tblSafety[Date],$A90)</f>
        <v/>
      </c>
      <c r="IB90" s="62">
        <f>IF($B90=$B89,$IB89,0)+$IA90</f>
        <v/>
      </c>
      <c r="IC90" s="62">
        <f>$IC89+$IA90</f>
        <v/>
      </c>
      <c r="ID90" s="62">
        <f>SUMIFS(tblSafety[Community_Incidents],tblSafety[Date],$A90)</f>
        <v/>
      </c>
      <c r="IE90" s="62">
        <f>IF($B90=$B89,$IE89,0)+$ID90</f>
        <v/>
      </c>
      <c r="IF90" s="62">
        <f>$IF89+$ID90</f>
        <v/>
      </c>
      <c r="IG90" s="62">
        <f>SUMIFS(tblSafety[Vehicle_Incidents],tblSafety[Date],$A90)</f>
        <v/>
      </c>
      <c r="IH90" s="62">
        <f>IF($B90=$B89,$IH89,0)+$IG90</f>
        <v/>
      </c>
      <c r="II90" s="62">
        <f>$II89+$IG90</f>
        <v/>
      </c>
      <c r="IJ90" s="62">
        <f>SUMIFS(tblSafety[Toolbox_Talks],tblSafety[Date],$A90)</f>
        <v/>
      </c>
      <c r="IK90" s="62">
        <f>IF($B90=$B89,$IK89,0)+$IJ90</f>
        <v/>
      </c>
      <c r="IL90" s="62">
        <f>$IL89+$IJ90</f>
        <v/>
      </c>
      <c r="IM90" s="62">
        <f>SUMIFS(tblSafety[Inspections],tblSafety[Date],$A90)</f>
        <v/>
      </c>
      <c r="IN90" s="62">
        <f>IF($B90=$B89,$IN89,0)+$IM90</f>
        <v/>
      </c>
      <c r="IO90" s="62">
        <f>$IO89+$IM90</f>
        <v/>
      </c>
      <c r="IP90" s="56">
        <f>IFERROR((SUMIFS(tblSafety[Recordables],tblSafety[Date],"&gt;="&amp;EDATE($E90,-12),tblSafety[Date],"&lt;="&amp;$A90)+SUMIFS(tblSafetyHistory[Recordables],tblSafetyHistory[Month],"&gt;="&amp;EDATE($E90,-12),tblSafetyHistory[Month],"&lt;"&amp;$E90,tblSafetyHistory[Use],1))/(SUMIFS(tblSafety[Hours_Total],tblSafety[Date],"&gt;="&amp;EDATE($E90,-12),tblSafety[Date],"&lt;="&amp;$A90)+SUMIFS(tblSafetyHistory[Hours_Total],tblSafetyHistory[Month],"&gt;="&amp;EDATE($E90,-12),tblSafetyHistory[Month],"&lt;"&amp;$E90,tblSafetyHistory[Use],1))*cfg_RateBasisHours,"")</f>
        <v/>
      </c>
      <c r="IQ90" s="56">
        <f>IFERROR((SUMIFS(tblSafety[LTI],tblSafety[Date],"&gt;="&amp;EDATE($E90,-12),tblSafety[Date],"&lt;="&amp;$A90)+SUMIFS(tblSafetyHistory[LTI],tblSafetyHistory[Month],"&gt;="&amp;EDATE($E90,-12),tblSafetyHistory[Month],"&lt;"&amp;$E90,tblSafetyHistory[Use],1))/(SUMIFS(tblSafety[Hours_Total],tblSafety[Date],"&gt;="&amp;EDATE($E90,-12),tblSafety[Date],"&lt;="&amp;$A90)+SUMIFS(tblSafetyHistory[Hours_Total],tblSafetyHistory[Month],"&gt;="&amp;EDATE($E90,-12),tblSafetyHistory[Month],"&lt;"&amp;$E90,tblSafetyHistory[Use],1))*cfg_RateBasisHours,"")</f>
        <v/>
      </c>
      <c r="IR90" s="62">
        <f>IF(MAX(N(cfg_PriorLTIDate),_xlfn.MAXIFS(tblSafety[Date],tblSafety[LTI],"&gt;0",tblSafety[Date],"&lt;="&amp;$A90))=0,"",$A90-MAX(N(cfg_PriorLTIDate),_xlfn.MAXIFS(tblSafety[Date],tblSafety[LTI],"&gt;0",tblSafety[Date],"&lt;="&amp;$A90)))</f>
        <v/>
      </c>
      <c r="IS90" s="55">
        <f>SUMIFS(tblBudget[Ore_Mined_t],tblBudget[Month],$E90)</f>
        <v/>
      </c>
      <c r="IT90" s="55">
        <f>$IS90*$C90/$D90</f>
        <v/>
      </c>
      <c r="IU90" s="55">
        <f>SUMIFS(tblBudget[Ore_Mined_t],tblBudget[Month],"&lt;"&amp;$E90)+$IT90</f>
        <v/>
      </c>
      <c r="IV90" s="55">
        <f>SUMIFS(tblBudget[Ore_oz],tblBudget[Month],$E90)</f>
        <v/>
      </c>
      <c r="IW90" s="55">
        <f>$IV90*$C90/$D90</f>
        <v/>
      </c>
      <c r="IX90" s="55">
        <f>SUMIFS(tblBudget[Ore_oz],tblBudget[Month],"&lt;"&amp;$E90)+$IW90</f>
        <v/>
      </c>
      <c r="IY90" s="55">
        <f>SUMIFS(tblBudget[Ore_Mined_t],tblBudget[Month],$E90)</f>
        <v/>
      </c>
      <c r="IZ90" s="55">
        <f>$IY90*$C90/$D90</f>
        <v/>
      </c>
      <c r="JA90" s="55">
        <f>SUMIFS(tblBudget[Ore_Mined_t],tblBudget[Month],"&lt;"&amp;$E90)+$IZ90</f>
        <v/>
      </c>
      <c r="JB90" s="56">
        <f>IFERROR(IF(($IY90)&gt;0,($IV90*cfg_TroyOz)/($IY90),""),"")</f>
        <v/>
      </c>
      <c r="JC90" s="56">
        <f>IFERROR(IF(($IZ90)&gt;0,($IW90*cfg_TroyOz)/($IZ90),""),"")</f>
        <v/>
      </c>
      <c r="JD90" s="56">
        <f>IFERROR(IF(($JA90)&gt;0,($IX90*cfg_TroyOz)/($JA90),""),"")</f>
        <v/>
      </c>
      <c r="JE90" s="55">
        <f>SUMIFS(tblBudget[Waste_t],tblBudget[Month],$E90)</f>
        <v/>
      </c>
      <c r="JF90" s="55">
        <f>$JE90*$C90/$D90</f>
        <v/>
      </c>
      <c r="JG90" s="55">
        <f>SUMIFS(tblBudget[Waste_t],tblBudget[Month],"&lt;"&amp;$E90)+$JF90</f>
        <v/>
      </c>
      <c r="JH90" s="55">
        <f>SUMIFS(tblBudget[TMM_t],tblBudget[Month],$E90)</f>
        <v/>
      </c>
      <c r="JI90" s="55">
        <f>$JH90*$C90/$D90</f>
        <v/>
      </c>
      <c r="JJ90" s="55">
        <f>SUMIFS(tblBudget[TMM_t],tblBudget[Month],"&lt;"&amp;$E90)+$JI90</f>
        <v/>
      </c>
      <c r="JK90" s="56">
        <f>IFERROR(IF(($IS90)&gt;0,($JE90)/($IS90),""),"")</f>
        <v/>
      </c>
      <c r="JL90" s="56">
        <f>IFERROR(IF(($IT90)&gt;0,($JF90)/($IT90),""),"")</f>
        <v/>
      </c>
      <c r="JM90" s="56">
        <f>IFERROR(IF(($IU90)&gt;0,($JG90)/($IU90),""),"")</f>
        <v/>
      </c>
      <c r="JN90" s="55">
        <f>SUMIFS(tblBudget[Drill_m],tblBudget[Month],$E90)</f>
        <v/>
      </c>
      <c r="JO90" s="55">
        <f>$JN90*$C90/$D90</f>
        <v/>
      </c>
      <c r="JP90" s="55">
        <f>SUMIFS(tblBudget[Drill_m],tblBudget[Month],"&lt;"&amp;$E90)+$JO90</f>
        <v/>
      </c>
      <c r="JQ90" s="55">
        <f>SUMIFS(tblBudget[Diesel_L],tblBudget[Month],$E90)</f>
        <v/>
      </c>
      <c r="JR90" s="55">
        <f>$JQ90*$C90/$D90</f>
        <v/>
      </c>
      <c r="JS90" s="55">
        <f>SUMIFS(tblBudget[Diesel_L],tblBudget[Month],"&lt;"&amp;$E90)+$JR90</f>
        <v/>
      </c>
      <c r="JT90" s="55">
        <f>SUMIFS(tblBudget[Milled_t],tblBudget[Month],$E90)</f>
        <v/>
      </c>
      <c r="JU90" s="55">
        <f>$JT90*$C90/$D90</f>
        <v/>
      </c>
      <c r="JV90" s="55">
        <f>SUMIFS(tblBudget[Milled_t],tblBudget[Month],"&lt;"&amp;$E90)+$JU90</f>
        <v/>
      </c>
      <c r="JW90" s="55">
        <f>SUMIFS(tblBudget[Feed_oz],tblBudget[Month],$E90)</f>
        <v/>
      </c>
      <c r="JX90" s="55">
        <f>$JW90*$C90/$D90</f>
        <v/>
      </c>
      <c r="JY90" s="55">
        <f>SUMIFS(tblBudget[Feed_oz],tblBudget[Month],"&lt;"&amp;$E90)+$JX90</f>
        <v/>
      </c>
      <c r="JZ90" s="55">
        <f>SUMIFS(tblBudget[Recovered_oz],tblBudget[Month],$E90)</f>
        <v/>
      </c>
      <c r="KA90" s="55">
        <f>$JZ90*$C90/$D90</f>
        <v/>
      </c>
      <c r="KB90" s="55">
        <f>SUMIFS(tblBudget[Recovered_oz],tblBudget[Month],"&lt;"&amp;$E90)+$KA90</f>
        <v/>
      </c>
      <c r="KC90" s="55">
        <f>SUMIFS(tblBudget[Milled_t],tblBudget[Month],$E90)</f>
        <v/>
      </c>
      <c r="KD90" s="55">
        <f>$KC90*$C90/$D90</f>
        <v/>
      </c>
      <c r="KE90" s="55">
        <f>SUMIFS(tblBudget[Milled_t],tblBudget[Month],"&lt;"&amp;$E90)+$KD90</f>
        <v/>
      </c>
      <c r="KF90" s="55">
        <f>SUMIFS(tblBudget[Feed_oz],tblBudget[Month],$E90)</f>
        <v/>
      </c>
      <c r="KG90" s="55">
        <f>$KF90*$C90/$D90</f>
        <v/>
      </c>
      <c r="KH90" s="55">
        <f>SUMIFS(tblBudget[Feed_oz],tblBudget[Month],"&lt;"&amp;$E90)+$KG90</f>
        <v/>
      </c>
      <c r="KI90" s="56">
        <f>IFERROR(IF(($KC90)&gt;0,($JW90*cfg_TroyOz)/($KC90),""),"")</f>
        <v/>
      </c>
      <c r="KJ90" s="56">
        <f>IFERROR(IF(($KD90)&gt;0,($JX90*cfg_TroyOz)/($KD90),""),"")</f>
        <v/>
      </c>
      <c r="KK90" s="56">
        <f>IFERROR(IF(($KE90)&gt;0,($JY90*cfg_TroyOz)/($KE90),""),"")</f>
        <v/>
      </c>
      <c r="KL90" s="67">
        <f>IFERROR(IF(($KF90)&gt;0,($JZ90)/($KF90),""),"")</f>
        <v/>
      </c>
      <c r="KM90" s="67">
        <f>IFERROR(IF(($KG90)&gt;0,($KA90)/($KG90),""),"")</f>
        <v/>
      </c>
      <c r="KN90" s="67">
        <f>IFERROR(IF(($KH90)&gt;0,($KB90)/($KH90),""),"")</f>
        <v/>
      </c>
      <c r="KO90" s="55">
        <f>SUMIFS(tblBudget[Gold_Poured_oz],tblBudget[Month],$E90)</f>
        <v/>
      </c>
      <c r="KP90" s="55">
        <f>$KO90*$C90/$D90</f>
        <v/>
      </c>
      <c r="KQ90" s="55">
        <f>SUMIFS(tblBudget[Gold_Poured_oz],tblBudget[Month],"&lt;"&amp;$E90)+$KP90</f>
        <v/>
      </c>
      <c r="KR90" s="57">
        <f>SUMIFS(tblBudget[Hours_Worked],tblBudget[Month],$E90)</f>
        <v/>
      </c>
      <c r="KS90" s="57">
        <f>$KR90*$C90/$D90</f>
        <v/>
      </c>
      <c r="KT90" s="57">
        <f>SUMIFS(tblBudget[Hours_Worked],tblBudget[Month],"&lt;"&amp;$E90)+$KS90</f>
        <v/>
      </c>
    </row>
    <row r="91">
      <c r="A91" s="54" t="n">
        <v>46112</v>
      </c>
      <c r="B91">
        <f>MONTH($A91)</f>
        <v/>
      </c>
      <c r="C91">
        <f>DAY($A91)</f>
        <v/>
      </c>
      <c r="D91">
        <f>DAY(EOMONTH($A91,0))</f>
        <v/>
      </c>
      <c r="E91" s="54">
        <f>DATE(YEAR($A91),MONTH($A91),1)</f>
        <v/>
      </c>
      <c r="F91" s="55">
        <f>SUMIFS(tblMovement[Tonnes_t],tblMovement[Date],$A91,tblMovement[Is_Ore],1,tblMovement[Source_Type],"Pit")</f>
        <v/>
      </c>
      <c r="G91" s="55">
        <f>IF($B91=$B90,$G90,0)+$F91</f>
        <v/>
      </c>
      <c r="H91" s="55">
        <f>$H90+$F91</f>
        <v/>
      </c>
      <c r="I91" s="55">
        <f>SUMIFS(tblMovement[Ore_oz],tblMovement[Date],$A91,tblMovement[Source_Type],"Pit")</f>
        <v/>
      </c>
      <c r="J91" s="55">
        <f>IF($B91=$B90,$J90,0)+$I91</f>
        <v/>
      </c>
      <c r="K91" s="55">
        <f>$K90+$I91</f>
        <v/>
      </c>
      <c r="L91" s="55">
        <f>SUMIFS(tblMovement[Tonnes_t],tblMovement[Date],$A91,tblMovement[Is_Ore],1,tblMovement[Source_Type],"Pit",tblMovement[Grade_gpt],"&lt;&gt;")</f>
        <v/>
      </c>
      <c r="M91" s="55">
        <f>IF($B91=$B90,$M90,0)+$L91</f>
        <v/>
      </c>
      <c r="N91" s="55">
        <f>$N90+$L91</f>
        <v/>
      </c>
      <c r="O91" s="56">
        <f>IFERROR(IF(($L91)&gt;0,($I91*cfg_TroyOz)/($L91),""),"")</f>
        <v/>
      </c>
      <c r="P91" s="56">
        <f>IFERROR(IF(($M91)&gt;0,($J91*cfg_TroyOz)/($M91),""),"")</f>
        <v/>
      </c>
      <c r="Q91" s="56">
        <f>IFERROR(IF(($N91)&gt;0,($K91*cfg_TroyOz)/($N91),""),"")</f>
        <v/>
      </c>
      <c r="R91" s="55">
        <f>$F91-$L91</f>
        <v/>
      </c>
      <c r="S91" s="55">
        <f>IF($B91=$B90,$S90,0)+$R91</f>
        <v/>
      </c>
      <c r="T91" s="55">
        <f>$T90+$R91</f>
        <v/>
      </c>
      <c r="U91" s="55">
        <f>SUMIFS(tblMovement[Tonnes_t],tblMovement[Date],$A91,tblMovement[Is_Ore],0,tblMovement[Source_Type],"Pit")</f>
        <v/>
      </c>
      <c r="V91" s="55">
        <f>IF($B91=$B90,$V90,0)+$U91</f>
        <v/>
      </c>
      <c r="W91" s="55">
        <f>$W90+$U91</f>
        <v/>
      </c>
      <c r="X91" s="55">
        <f>$F91+$U91</f>
        <v/>
      </c>
      <c r="Y91" s="55">
        <f>IF($B91=$B90,$Y90,0)+$X91</f>
        <v/>
      </c>
      <c r="Z91" s="55">
        <f>$Z90+$X91</f>
        <v/>
      </c>
      <c r="AA91" s="56">
        <f>IFERROR(IF(($F91)&gt;0,($U91)/($F91),""),"")</f>
        <v/>
      </c>
      <c r="AB91" s="56">
        <f>IFERROR(IF(($G91)&gt;0,($V91)/($G91),""),"")</f>
        <v/>
      </c>
      <c r="AC91" s="56">
        <f>IFERROR(IF(($H91)&gt;0,($W91)/($H91),""),"")</f>
        <v/>
      </c>
      <c r="AD91" s="55">
        <f>SUMIFS(tblMovement[Tonnes_t],tblMovement[Date],$A91,tblMovement[Source_Type],"Stockpile")</f>
        <v/>
      </c>
      <c r="AE91" s="55">
        <f>IF($B91=$B90,$AE90,0)+$AD91</f>
        <v/>
      </c>
      <c r="AF91" s="55">
        <f>$AF90+$AD91</f>
        <v/>
      </c>
      <c r="AG91" s="55">
        <f>SUMIFS(tblMovement[Tonnes_t],tblMovement[Date],$A91)</f>
        <v/>
      </c>
      <c r="AH91" s="55">
        <f>IF($B91=$B90,$AH90,0)+$AG91</f>
        <v/>
      </c>
      <c r="AI91" s="55">
        <f>$AI90+$AG91</f>
        <v/>
      </c>
      <c r="AJ91" s="55">
        <f>$AG91-$X91-$AD91</f>
        <v/>
      </c>
      <c r="AK91" s="55">
        <f>IF($B91=$B90,$AK90,0)+$AJ91</f>
        <v/>
      </c>
      <c r="AL91" s="55">
        <f>$AL90+$AJ91</f>
        <v/>
      </c>
      <c r="AM91" s="55">
        <f>SUMIFS(tblMiningDaily[Drill_m],tblMiningDaily[Date],$A91)</f>
        <v/>
      </c>
      <c r="AN91" s="55">
        <f>IF($B91=$B90,$AN90,0)+$AM91</f>
        <v/>
      </c>
      <c r="AO91" s="55">
        <f>$AO90+$AM91</f>
        <v/>
      </c>
      <c r="AP91" s="55">
        <f>SUMIFS(tblMiningDaily[GC_Drill_m],tblMiningDaily[Date],$A91)</f>
        <v/>
      </c>
      <c r="AQ91" s="55">
        <f>IF($B91=$B90,$AQ90,0)+$AP91</f>
        <v/>
      </c>
      <c r="AR91" s="55">
        <f>$AR90+$AP91</f>
        <v/>
      </c>
      <c r="AS91" s="55">
        <f>SUMIFS(tblMiningDaily[Blast_t],tblMiningDaily[Date],$A91)</f>
        <v/>
      </c>
      <c r="AT91" s="55">
        <f>IF($B91=$B90,$AT90,0)+$AS91</f>
        <v/>
      </c>
      <c r="AU91" s="55">
        <f>$AU90+$AS91</f>
        <v/>
      </c>
      <c r="AV91" s="55">
        <f>SUMIFS(tblMiningDaily[Explosives_kg],tblMiningDaily[Date],$A91)</f>
        <v/>
      </c>
      <c r="AW91" s="55">
        <f>IF($B91=$B90,$AW90,0)+$AV91</f>
        <v/>
      </c>
      <c r="AX91" s="55">
        <f>$AX90+$AV91</f>
        <v/>
      </c>
      <c r="AY91" s="56">
        <f>IFERROR(IF(($AS91)&gt;0,($AV91)/($AS91),""),"")</f>
        <v/>
      </c>
      <c r="AZ91" s="56">
        <f>IFERROR(IF(($AT91)&gt;0,($AW91)/($AT91),""),"")</f>
        <v/>
      </c>
      <c r="BA91" s="56">
        <f>IFERROR(IF(($AU91)&gt;0,($AX91)/($AU91),""),"")</f>
        <v/>
      </c>
      <c r="BB91" s="55">
        <f>SUMIFS(tblMiningDaily[Diesel_L],tblMiningDaily[Date],$A91)</f>
        <v/>
      </c>
      <c r="BC91" s="55">
        <f>IF($B91=$B90,$BC90,0)+$BB91</f>
        <v/>
      </c>
      <c r="BD91" s="55">
        <f>$BD90+$BB91</f>
        <v/>
      </c>
      <c r="BE91" s="55">
        <f>SUMIFS(tblMiningDaily[Dewatering_m3],tblMiningDaily[Date],$A91)</f>
        <v/>
      </c>
      <c r="BF91" s="55">
        <f>IF($B91=$B90,$BF90,0)+$BE91</f>
        <v/>
      </c>
      <c r="BG91" s="55">
        <f>$BG90+$BE91</f>
        <v/>
      </c>
      <c r="BH91" s="57">
        <f>SUMIFS(tblFleet[Calendar_h],tblFleet[Date],$A91,tblFleet[Equipment_Class],"Excavator")</f>
        <v/>
      </c>
      <c r="BI91" s="57">
        <f>IF($B91=$B90,$BI90,0)+$BH91</f>
        <v/>
      </c>
      <c r="BJ91" s="57">
        <f>$BJ90+$BH91</f>
        <v/>
      </c>
      <c r="BK91" s="57">
        <f>SUMIFS(tblFleet[Available_h],tblFleet[Date],$A91,tblFleet[Equipment_Class],"Excavator")</f>
        <v/>
      </c>
      <c r="BL91" s="57">
        <f>IF($B91=$B90,$BL90,0)+$BK91</f>
        <v/>
      </c>
      <c r="BM91" s="57">
        <f>$BM90+$BK91</f>
        <v/>
      </c>
      <c r="BN91" s="57">
        <f>SUMIFS(tblFleet[Operating_h],tblFleet[Date],$A91,tblFleet[Equipment_Class],"Excavator")</f>
        <v/>
      </c>
      <c r="BO91" s="57">
        <f>IF($B91=$B90,$BO90,0)+$BN91</f>
        <v/>
      </c>
      <c r="BP91" s="57">
        <f>$BP90+$BN91</f>
        <v/>
      </c>
      <c r="BQ91" s="67">
        <f>IFERROR(IF(($BH91)&gt;0,($BK91)/($BH91),""),"")</f>
        <v/>
      </c>
      <c r="BR91" s="67">
        <f>IFERROR(IF(($BI91)&gt;0,($BL91)/($BI91),""),"")</f>
        <v/>
      </c>
      <c r="BS91" s="67">
        <f>IFERROR(IF(($BJ91)&gt;0,($BM91)/($BJ91),""),"")</f>
        <v/>
      </c>
      <c r="BT91" s="67">
        <f>IFERROR(IF(($BK91)&gt;0,($BN91)/($BK91),""),"")</f>
        <v/>
      </c>
      <c r="BU91" s="67">
        <f>IFERROR(IF(($BL91)&gt;0,($BO91)/($BL91),""),"")</f>
        <v/>
      </c>
      <c r="BV91" s="67">
        <f>IFERROR(IF(($BM91)&gt;0,($BP91)/($BM91),""),"")</f>
        <v/>
      </c>
      <c r="BW91" s="57">
        <f>SUMIFS(tblFleet[Calendar_h],tblFleet[Date],$A91,tblFleet[Equipment_Class],"Haul Truck")</f>
        <v/>
      </c>
      <c r="BX91" s="57">
        <f>IF($B91=$B90,$BX90,0)+$BW91</f>
        <v/>
      </c>
      <c r="BY91" s="57">
        <f>$BY90+$BW91</f>
        <v/>
      </c>
      <c r="BZ91" s="57">
        <f>SUMIFS(tblFleet[Available_h],tblFleet[Date],$A91,tblFleet[Equipment_Class],"Haul Truck")</f>
        <v/>
      </c>
      <c r="CA91" s="57">
        <f>IF($B91=$B90,$CA90,0)+$BZ91</f>
        <v/>
      </c>
      <c r="CB91" s="57">
        <f>$CB90+$BZ91</f>
        <v/>
      </c>
      <c r="CC91" s="57">
        <f>SUMIFS(tblFleet[Operating_h],tblFleet[Date],$A91,tblFleet[Equipment_Class],"Haul Truck")</f>
        <v/>
      </c>
      <c r="CD91" s="57">
        <f>IF($B91=$B90,$CD90,0)+$CC91</f>
        <v/>
      </c>
      <c r="CE91" s="57">
        <f>$CE90+$CC91</f>
        <v/>
      </c>
      <c r="CF91" s="67">
        <f>IFERROR(IF(($BW91)&gt;0,($BZ91)/($BW91),""),"")</f>
        <v/>
      </c>
      <c r="CG91" s="67">
        <f>IFERROR(IF(($BX91)&gt;0,($CA91)/($BX91),""),"")</f>
        <v/>
      </c>
      <c r="CH91" s="67">
        <f>IFERROR(IF(($BY91)&gt;0,($CB91)/($BY91),""),"")</f>
        <v/>
      </c>
      <c r="CI91" s="67">
        <f>IFERROR(IF(($BZ91)&gt;0,($CC91)/($BZ91),""),"")</f>
        <v/>
      </c>
      <c r="CJ91" s="67">
        <f>IFERROR(IF(($CA91)&gt;0,($CD91)/($CA91),""),"")</f>
        <v/>
      </c>
      <c r="CK91" s="67">
        <f>IFERROR(IF(($CB91)&gt;0,($CE91)/($CB91),""),"")</f>
        <v/>
      </c>
      <c r="CL91" s="55">
        <f>IFERROR(IF(($BN91)&gt;0,($X91+$AD91)/($BN91),""),"")</f>
        <v/>
      </c>
      <c r="CM91" s="55">
        <f>IFERROR(IF(($BO91)&gt;0,($Y91+$AE91)/($BO91),""),"")</f>
        <v/>
      </c>
      <c r="CN91" s="55">
        <f>IFERROR(IF(($BP91)&gt;0,($Z91+$AF91)/($BP91),""),"")</f>
        <v/>
      </c>
      <c r="CO91" s="55">
        <f>IFERROR(IF(($CC91)&gt;0,($X91+$AD91)/($CC91),""),"")</f>
        <v/>
      </c>
      <c r="CP91" s="55">
        <f>IFERROR(IF(($CD91)&gt;0,($Y91+$AE91)/($CD91),""),"")</f>
        <v/>
      </c>
      <c r="CQ91" s="55">
        <f>IFERROR(IF(($CE91)&gt;0,($Z91+$AF91)/($CE91),""),"")</f>
        <v/>
      </c>
      <c r="CR91" s="55">
        <f>SUMIFS(tblPlant[Crushed_t],tblPlant[Date],$A91)</f>
        <v/>
      </c>
      <c r="CS91" s="55">
        <f>IF($B91=$B90,$CS90,0)+$CR91</f>
        <v/>
      </c>
      <c r="CT91" s="55">
        <f>$CT90+$CR91</f>
        <v/>
      </c>
      <c r="CU91" s="55">
        <f>SUMIFS(tblPlant[Milled_t],tblPlant[Date],$A91)</f>
        <v/>
      </c>
      <c r="CV91" s="55">
        <f>IF($B91=$B90,$CV90,0)+$CU91</f>
        <v/>
      </c>
      <c r="CW91" s="55">
        <f>$CW90+$CU91</f>
        <v/>
      </c>
      <c r="CX91" s="55">
        <f>SUMIFS(tblPlant[Feed_oz],tblPlant[Date],$A91)</f>
        <v/>
      </c>
      <c r="CY91" s="55">
        <f>IF($B91=$B90,$CY90,0)+$CX91</f>
        <v/>
      </c>
      <c r="CZ91" s="55">
        <f>$CZ90+$CX91</f>
        <v/>
      </c>
      <c r="DA91" s="55">
        <f>SUMIFS(tblPlant[Tails_oz],tblPlant[Date],$A91)</f>
        <v/>
      </c>
      <c r="DB91" s="55">
        <f>IF($B91=$B90,$DB90,0)+$DA91</f>
        <v/>
      </c>
      <c r="DC91" s="55">
        <f>$DC90+$DA91</f>
        <v/>
      </c>
      <c r="DD91" s="55">
        <f>SUMIFS(tblPlant[Recovered_oz],tblPlant[Date],$A91)</f>
        <v/>
      </c>
      <c r="DE91" s="55">
        <f>IF($B91=$B90,$DE90,0)+$DD91</f>
        <v/>
      </c>
      <c r="DF91" s="55">
        <f>$DF90+$DD91</f>
        <v/>
      </c>
      <c r="DG91" s="55">
        <f>SUMIFS(tblPlant[Milled_t],tblPlant[Date],$A91,tblPlant[Head_Grade_gpt],"&lt;&gt;")</f>
        <v/>
      </c>
      <c r="DH91" s="55">
        <f>IF($B91=$B90,$DH90,0)+$DG91</f>
        <v/>
      </c>
      <c r="DI91" s="55">
        <f>$DI90+$DG91</f>
        <v/>
      </c>
      <c r="DJ91" s="55">
        <f>SUMIFS(tblPlant[Milled_t],tblPlant[Date],$A91,tblPlant[Tails_Grade_gpt],"&lt;&gt;")</f>
        <v/>
      </c>
      <c r="DK91" s="55">
        <f>IF($B91=$B90,$DK90,0)+$DJ91</f>
        <v/>
      </c>
      <c r="DL91" s="55">
        <f>$DL90+$DJ91</f>
        <v/>
      </c>
      <c r="DM91" s="55">
        <f>SUMIFS(tblPlant[Feed_oz],tblPlant[Date],$A91,tblPlant[Tails_Grade_gpt],"&lt;&gt;")</f>
        <v/>
      </c>
      <c r="DN91" s="55">
        <f>IF($B91=$B90,$DN90,0)+$DM91</f>
        <v/>
      </c>
      <c r="DO91" s="55">
        <f>$DO90+$DM91</f>
        <v/>
      </c>
      <c r="DP91" s="55">
        <f>SUMIFS(tblPlant[Milled_t],tblPlant[Date],$A91,tblPlant[Mill_Run_h],"&lt;&gt;")</f>
        <v/>
      </c>
      <c r="DQ91" s="55">
        <f>IF($B91=$B90,$DQ90,0)+$DP91</f>
        <v/>
      </c>
      <c r="DR91" s="55">
        <f>$DR90+$DP91</f>
        <v/>
      </c>
      <c r="DS91" s="56">
        <f>IFERROR(IF(($DG91)&gt;0,($CX91*cfg_TroyOz)/($DG91),""),"")</f>
        <v/>
      </c>
      <c r="DT91" s="56">
        <f>IFERROR(IF(($DH91)&gt;0,($CY91*cfg_TroyOz)/($DH91),""),"")</f>
        <v/>
      </c>
      <c r="DU91" s="56">
        <f>IFERROR(IF(($DI91)&gt;0,($CZ91*cfg_TroyOz)/($DI91),""),"")</f>
        <v/>
      </c>
      <c r="DV91" s="56">
        <f>IFERROR(IF(($DJ91)&gt;0,($DA91*cfg_TroyOz)/($DJ91),""),"")</f>
        <v/>
      </c>
      <c r="DW91" s="56">
        <f>IFERROR(IF(($DK91)&gt;0,($DB91*cfg_TroyOz)/($DK91),""),"")</f>
        <v/>
      </c>
      <c r="DX91" s="56">
        <f>IFERROR(IF(($DL91)&gt;0,($DC91*cfg_TroyOz)/($DL91),""),"")</f>
        <v/>
      </c>
      <c r="DY91" s="67">
        <f>IFERROR(IF(($DM91)&gt;0,($DD91)/($DM91),""),"")</f>
        <v/>
      </c>
      <c r="DZ91" s="67">
        <f>IFERROR(IF(($DN91)&gt;0,($DE91)/($DN91),""),"")</f>
        <v/>
      </c>
      <c r="EA91" s="67">
        <f>IFERROR(IF(($DO91)&gt;0,($DF91)/($DO91),""),"")</f>
        <v/>
      </c>
      <c r="EB91" s="55">
        <f>SUMIFS(tblPlant[Gravity_Gold_oz],tblPlant[Date],$A91)</f>
        <v/>
      </c>
      <c r="EC91" s="55">
        <f>IF($B91=$B90,$EC90,0)+$EB91</f>
        <v/>
      </c>
      <c r="ED91" s="55">
        <f>$ED90+$EB91</f>
        <v/>
      </c>
      <c r="EE91" s="67">
        <f>IFERROR(IF(($DD91)&gt;0,($EB91)/($DD91),""),"")</f>
        <v/>
      </c>
      <c r="EF91" s="67">
        <f>IFERROR(IF(($DE91)&gt;0,($EC91)/($DE91),""),"")</f>
        <v/>
      </c>
      <c r="EG91" s="67">
        <f>IFERROR(IF(($DF91)&gt;0,($ED91)/($DF91),""),"")</f>
        <v/>
      </c>
      <c r="EH91" s="55">
        <f>SUMIFS(tblPlant[Gold_Poured_oz],tblPlant[Date],$A91)</f>
        <v/>
      </c>
      <c r="EI91" s="55">
        <f>IF($B91=$B90,$EI90,0)+$EH91</f>
        <v/>
      </c>
      <c r="EJ91" s="55">
        <f>$EJ90+$EH91</f>
        <v/>
      </c>
      <c r="EK91" s="57">
        <f>SUMIFS(tblPlant[Mill_Run_h],tblPlant[Date],$A91)</f>
        <v/>
      </c>
      <c r="EL91" s="57">
        <f>IF($B91=$B90,$EL90,0)+$EK91</f>
        <v/>
      </c>
      <c r="EM91" s="57">
        <f>$EM90+$EK91</f>
        <v/>
      </c>
      <c r="EN91" s="57">
        <f>SUMIFS(tblPlant[Mill_Planned_Maint_h],tblPlant[Date],$A91)</f>
        <v/>
      </c>
      <c r="EO91" s="57">
        <f>IF($B91=$B90,$EO90,0)+$EN91</f>
        <v/>
      </c>
      <c r="EP91" s="57">
        <f>$EP90+$EN91</f>
        <v/>
      </c>
      <c r="EQ91" s="57">
        <f>SUMIFS(tblPlant[Mill_Unplanned_Down_h],tblPlant[Date],$A91)</f>
        <v/>
      </c>
      <c r="ER91" s="57">
        <f>IF($B91=$B90,$ER90,0)+$EQ91</f>
        <v/>
      </c>
      <c r="ES91" s="57">
        <f>$ES90+$EQ91</f>
        <v/>
      </c>
      <c r="ET91" s="57">
        <f>IF(COUNTIFS(tblPlant[Date],$A91,tblPlant[Mill_Run_h],"&lt;&gt;")+COUNTIFS(tblPlant[Date],$A91,tblPlant[Mill_Planned_Maint_h],"&lt;&gt;")+COUNTIFS(tblPlant[Date],$A91,tblPlant[Mill_Unplanned_Down_h],"&lt;&gt;")&gt;0,cfg_HoursPerDay,0)</f>
        <v/>
      </c>
      <c r="EU91" s="57">
        <f>IF($B91=$B90,$EU90,0)+$ET91</f>
        <v/>
      </c>
      <c r="EV91" s="57">
        <f>$EV90+$ET91</f>
        <v/>
      </c>
      <c r="EW91" s="57">
        <f>SUMIFS(tblPlant[Crusher_Run_h],tblPlant[Date],$A91)</f>
        <v/>
      </c>
      <c r="EX91" s="57">
        <f>IF($B91=$B90,$EX90,0)+$EW91</f>
        <v/>
      </c>
      <c r="EY91" s="57">
        <f>$EY90+$EW91</f>
        <v/>
      </c>
      <c r="EZ91" s="55">
        <f>IFERROR(IF(($EK91)&gt;0,($DP91)/($EK91),""),"")</f>
        <v/>
      </c>
      <c r="FA91" s="55">
        <f>IFERROR(IF(($EL91)&gt;0,($DQ91)/($EL91),""),"")</f>
        <v/>
      </c>
      <c r="FB91" s="55">
        <f>IFERROR(IF(($EM91)&gt;0,($DR91)/($EM91),""),"")</f>
        <v/>
      </c>
      <c r="FC91" s="67">
        <f>IFERROR(IF(($ET91)&gt;0,($ET91-$EN91-$EQ91)/($ET91),""),"")</f>
        <v/>
      </c>
      <c r="FD91" s="67">
        <f>IFERROR(IF(($EU91)&gt;0,($EU91-$EO91-$ER91)/($EU91),""),"")</f>
        <v/>
      </c>
      <c r="FE91" s="67">
        <f>IFERROR(IF(($EV91)&gt;0,($EV91-$EP91-$ES91)/($EV91),""),"")</f>
        <v/>
      </c>
      <c r="FF91" s="67">
        <f>IFERROR(IF(($ET91-$EN91-$EQ91)&gt;0,($EK91)/($ET91-$EN91-$EQ91),""),"")</f>
        <v/>
      </c>
      <c r="FG91" s="67">
        <f>IFERROR(IF(($EU91-$EO91-$ER91)&gt;0,($EL91)/($EU91-$EO91-$ER91),""),"")</f>
        <v/>
      </c>
      <c r="FH91" s="67">
        <f>IFERROR(IF(($EV91-$EP91-$ES91)&gt;0,($EM91)/($EV91-$EP91-$ES91),""),"")</f>
        <v/>
      </c>
      <c r="FI91" s="55">
        <f>SUMIFS(tblPlant[Cyanide_kg],tblPlant[Date],$A91)</f>
        <v/>
      </c>
      <c r="FJ91" s="55">
        <f>IF($B91=$B90,$FJ90,0)+$FI91</f>
        <v/>
      </c>
      <c r="FK91" s="55">
        <f>$FK90+$FI91</f>
        <v/>
      </c>
      <c r="FL91" s="55">
        <f>SUMIFS(tblPlant[Lime_kg],tblPlant[Date],$A91)</f>
        <v/>
      </c>
      <c r="FM91" s="55">
        <f>IF($B91=$B90,$FM90,0)+$FL91</f>
        <v/>
      </c>
      <c r="FN91" s="55">
        <f>$FN90+$FL91</f>
        <v/>
      </c>
      <c r="FO91" s="55">
        <f>SUMIFS(tblPlant[Grinding_Media_kg],tblPlant[Date],$A91)</f>
        <v/>
      </c>
      <c r="FP91" s="55">
        <f>IF($B91=$B90,$FP90,0)+$FO91</f>
        <v/>
      </c>
      <c r="FQ91" s="55">
        <f>$FQ90+$FO91</f>
        <v/>
      </c>
      <c r="FR91" s="55">
        <f>SUMIFS(tblPlant[Power_kWh],tblPlant[Date],$A91)</f>
        <v/>
      </c>
      <c r="FS91" s="55">
        <f>IF($B91=$B90,$FS90,0)+$FR91</f>
        <v/>
      </c>
      <c r="FT91" s="55">
        <f>$FT90+$FR91</f>
        <v/>
      </c>
      <c r="FU91" s="55">
        <f>SUMIFS(tblPlant[Raw_Water_m3],tblPlant[Date],$A91)</f>
        <v/>
      </c>
      <c r="FV91" s="55">
        <f>IF($B91=$B90,$FV90,0)+$FU91</f>
        <v/>
      </c>
      <c r="FW91" s="55">
        <f>$FW90+$FU91</f>
        <v/>
      </c>
      <c r="FX91" s="56">
        <f>IFERROR(IF(($CU91)&gt;0,($FI91)/($CU91),""),"")</f>
        <v/>
      </c>
      <c r="FY91" s="56">
        <f>IFERROR(IF(($CV91)&gt;0,($FJ91)/($CV91),""),"")</f>
        <v/>
      </c>
      <c r="FZ91" s="56">
        <f>IFERROR(IF(($CW91)&gt;0,($FK91)/($CW91),""),"")</f>
        <v/>
      </c>
      <c r="GA91" s="56">
        <f>IFERROR(IF(($CU91)&gt;0,($FL91)/($CU91),""),"")</f>
        <v/>
      </c>
      <c r="GB91" s="56">
        <f>IFERROR(IF(($CV91)&gt;0,($FM91)/($CV91),""),"")</f>
        <v/>
      </c>
      <c r="GC91" s="56">
        <f>IFERROR(IF(($CW91)&gt;0,($FN91)/($CW91),""),"")</f>
        <v/>
      </c>
      <c r="GD91" s="56">
        <f>IFERROR(IF(($CU91)&gt;0,($FO91)/($CU91),""),"")</f>
        <v/>
      </c>
      <c r="GE91" s="56">
        <f>IFERROR(IF(($CV91)&gt;0,($FP91)/($CV91),""),"")</f>
        <v/>
      </c>
      <c r="GF91" s="56">
        <f>IFERROR(IF(($CW91)&gt;0,($FQ91)/($CW91),""),"")</f>
        <v/>
      </c>
      <c r="GG91" s="79">
        <f>IFERROR(IF(($CU91)&gt;0,($FR91)/($CU91),""),"")</f>
        <v/>
      </c>
      <c r="GH91" s="79">
        <f>IFERROR(IF(($CV91)&gt;0,($FS91)/($CV91),""),"")</f>
        <v/>
      </c>
      <c r="GI91" s="79">
        <f>IFERROR(IF(($CW91)&gt;0,($FT91)/($CW91),""),"")</f>
        <v/>
      </c>
      <c r="GJ91" s="56">
        <f>IFERROR(IF(($CU91)&gt;0,($FU91)/($CU91),""),"")</f>
        <v/>
      </c>
      <c r="GK91" s="56">
        <f>IFERROR(IF(($CV91)&gt;0,($FV91)/($CV91),""),"")</f>
        <v/>
      </c>
      <c r="GL91" s="56">
        <f>IFERROR(IF(($CW91)&gt;0,($FW91)/($CW91),""),"")</f>
        <v/>
      </c>
      <c r="GM91" s="55">
        <f>IF(SUMIFS(tblPlant[GIC_oz],tblPlant[Date],$A91)&gt;0,SUMIFS(tblPlant[GIC_oz],tblPlant[Date],$A91),"")</f>
        <v/>
      </c>
      <c r="GN91" s="55">
        <f>SUMIFS(tblGold[Gold_oz],tblGold[Date],$A91,tblGold[Type],"Shipment")</f>
        <v/>
      </c>
      <c r="GO91" s="55">
        <f>IF($B91=$B90,$GO90,0)+$GN91</f>
        <v/>
      </c>
      <c r="GP91" s="55">
        <f>$GP90+$GN91</f>
        <v/>
      </c>
      <c r="GQ91" s="55">
        <f>SUMIFS(tblGold[Gold_oz],tblGold[Date],$A91,tblGold[Type],"Sale")</f>
        <v/>
      </c>
      <c r="GR91" s="55">
        <f>IF($B91=$B90,$GR90,0)+$GQ91</f>
        <v/>
      </c>
      <c r="GS91" s="55">
        <f>$GS90+$GQ91</f>
        <v/>
      </c>
      <c r="GT91" s="55">
        <f>SUMIFS(tblGold[Dore_kg],tblGold[Date],$A91,tblGold[Type],"Shipment")</f>
        <v/>
      </c>
      <c r="GU91" s="55">
        <f>IF($B91=$B90,$GU90,0)+$GT91</f>
        <v/>
      </c>
      <c r="GV91" s="55">
        <f>$GV90+$GT91</f>
        <v/>
      </c>
      <c r="GW91" s="57">
        <f>SUMIFS(tblSafety[Hours_Total],tblSafety[Date],$A91)</f>
        <v/>
      </c>
      <c r="GX91" s="57">
        <f>IF($B91=$B90,$GX90,0)+$GW91</f>
        <v/>
      </c>
      <c r="GY91" s="57">
        <f>$GY90+$GW91</f>
        <v/>
      </c>
      <c r="GZ91" s="62">
        <f>SUMIFS(tblSafety[Fatality],tblSafety[Date],$A91)</f>
        <v/>
      </c>
      <c r="HA91" s="62">
        <f>IF($B91=$B90,$HA90,0)+$GZ91</f>
        <v/>
      </c>
      <c r="HB91" s="62">
        <f>$HB90+$GZ91</f>
        <v/>
      </c>
      <c r="HC91" s="62">
        <f>SUMIFS(tblSafety[LTI],tblSafety[Date],$A91)</f>
        <v/>
      </c>
      <c r="HD91" s="62">
        <f>IF($B91=$B90,$HD90,0)+$HC91</f>
        <v/>
      </c>
      <c r="HE91" s="62">
        <f>$HE90+$HC91</f>
        <v/>
      </c>
      <c r="HF91" s="62">
        <f>SUMIFS(tblSafety[RWI],tblSafety[Date],$A91)</f>
        <v/>
      </c>
      <c r="HG91" s="62">
        <f>IF($B91=$B90,$HG90,0)+$HF91</f>
        <v/>
      </c>
      <c r="HH91" s="62">
        <f>$HH90+$HF91</f>
        <v/>
      </c>
      <c r="HI91" s="62">
        <f>SUMIFS(tblSafety[MTI],tblSafety[Date],$A91)</f>
        <v/>
      </c>
      <c r="HJ91" s="62">
        <f>IF($B91=$B90,$HJ90,0)+$HI91</f>
        <v/>
      </c>
      <c r="HK91" s="62">
        <f>$HK90+$HI91</f>
        <v/>
      </c>
      <c r="HL91" s="62">
        <f>SUMIFS(tblSafety[FAI],tblSafety[Date],$A91)</f>
        <v/>
      </c>
      <c r="HM91" s="62">
        <f>IF($B91=$B90,$HM90,0)+$HL91</f>
        <v/>
      </c>
      <c r="HN91" s="62">
        <f>$HN90+$HL91</f>
        <v/>
      </c>
      <c r="HO91" s="62">
        <f>SUMIFS(tblSafety[Recordables],tblSafety[Date],$A91)</f>
        <v/>
      </c>
      <c r="HP91" s="62">
        <f>IF($B91=$B90,$HP90,0)+$HO91</f>
        <v/>
      </c>
      <c r="HQ91" s="62">
        <f>$HQ90+$HO91</f>
        <v/>
      </c>
      <c r="HR91" s="62">
        <f>SUMIFS(tblSafety[Near_Miss],tblSafety[Date],$A91)</f>
        <v/>
      </c>
      <c r="HS91" s="62">
        <f>IF($B91=$B90,$HS90,0)+$HR91</f>
        <v/>
      </c>
      <c r="HT91" s="62">
        <f>$HT90+$HR91</f>
        <v/>
      </c>
      <c r="HU91" s="62">
        <f>SUMIFS(tblSafety[Hazard_Reports],tblSafety[Date],$A91)</f>
        <v/>
      </c>
      <c r="HV91" s="62">
        <f>IF($B91=$B90,$HV90,0)+$HU91</f>
        <v/>
      </c>
      <c r="HW91" s="62">
        <f>$HW90+$HU91</f>
        <v/>
      </c>
      <c r="HX91" s="62">
        <f>SUMIFS(tblSafety[HPI],tblSafety[Date],$A91)</f>
        <v/>
      </c>
      <c r="HY91" s="62">
        <f>IF($B91=$B90,$HY90,0)+$HX91</f>
        <v/>
      </c>
      <c r="HZ91" s="62">
        <f>$HZ90+$HX91</f>
        <v/>
      </c>
      <c r="IA91" s="62">
        <f>SUMIFS(tblSafety[Env_Incidents],tblSafety[Date],$A91)</f>
        <v/>
      </c>
      <c r="IB91" s="62">
        <f>IF($B91=$B90,$IB90,0)+$IA91</f>
        <v/>
      </c>
      <c r="IC91" s="62">
        <f>$IC90+$IA91</f>
        <v/>
      </c>
      <c r="ID91" s="62">
        <f>SUMIFS(tblSafety[Community_Incidents],tblSafety[Date],$A91)</f>
        <v/>
      </c>
      <c r="IE91" s="62">
        <f>IF($B91=$B90,$IE90,0)+$ID91</f>
        <v/>
      </c>
      <c r="IF91" s="62">
        <f>$IF90+$ID91</f>
        <v/>
      </c>
      <c r="IG91" s="62">
        <f>SUMIFS(tblSafety[Vehicle_Incidents],tblSafety[Date],$A91)</f>
        <v/>
      </c>
      <c r="IH91" s="62">
        <f>IF($B91=$B90,$IH90,0)+$IG91</f>
        <v/>
      </c>
      <c r="II91" s="62">
        <f>$II90+$IG91</f>
        <v/>
      </c>
      <c r="IJ91" s="62">
        <f>SUMIFS(tblSafety[Toolbox_Talks],tblSafety[Date],$A91)</f>
        <v/>
      </c>
      <c r="IK91" s="62">
        <f>IF($B91=$B90,$IK90,0)+$IJ91</f>
        <v/>
      </c>
      <c r="IL91" s="62">
        <f>$IL90+$IJ91</f>
        <v/>
      </c>
      <c r="IM91" s="62">
        <f>SUMIFS(tblSafety[Inspections],tblSafety[Date],$A91)</f>
        <v/>
      </c>
      <c r="IN91" s="62">
        <f>IF($B91=$B90,$IN90,0)+$IM91</f>
        <v/>
      </c>
      <c r="IO91" s="62">
        <f>$IO90+$IM91</f>
        <v/>
      </c>
      <c r="IP91" s="56">
        <f>IFERROR((SUMIFS(tblSafety[Recordables],tblSafety[Date],"&gt;="&amp;EDATE($E91,-12),tblSafety[Date],"&lt;="&amp;$A91)+SUMIFS(tblSafetyHistory[Recordables],tblSafetyHistory[Month],"&gt;="&amp;EDATE($E91,-12),tblSafetyHistory[Month],"&lt;"&amp;$E91,tblSafetyHistory[Use],1))/(SUMIFS(tblSafety[Hours_Total],tblSafety[Date],"&gt;="&amp;EDATE($E91,-12),tblSafety[Date],"&lt;="&amp;$A91)+SUMIFS(tblSafetyHistory[Hours_Total],tblSafetyHistory[Month],"&gt;="&amp;EDATE($E91,-12),tblSafetyHistory[Month],"&lt;"&amp;$E91,tblSafetyHistory[Use],1))*cfg_RateBasisHours,"")</f>
        <v/>
      </c>
      <c r="IQ91" s="56">
        <f>IFERROR((SUMIFS(tblSafety[LTI],tblSafety[Date],"&gt;="&amp;EDATE($E91,-12),tblSafety[Date],"&lt;="&amp;$A91)+SUMIFS(tblSafetyHistory[LTI],tblSafetyHistory[Month],"&gt;="&amp;EDATE($E91,-12),tblSafetyHistory[Month],"&lt;"&amp;$E91,tblSafetyHistory[Use],1))/(SUMIFS(tblSafety[Hours_Total],tblSafety[Date],"&gt;="&amp;EDATE($E91,-12),tblSafety[Date],"&lt;="&amp;$A91)+SUMIFS(tblSafetyHistory[Hours_Total],tblSafetyHistory[Month],"&gt;="&amp;EDATE($E91,-12),tblSafetyHistory[Month],"&lt;"&amp;$E91,tblSafetyHistory[Use],1))*cfg_RateBasisHours,"")</f>
        <v/>
      </c>
      <c r="IR91" s="62">
        <f>IF(MAX(N(cfg_PriorLTIDate),_xlfn.MAXIFS(tblSafety[Date],tblSafety[LTI],"&gt;0",tblSafety[Date],"&lt;="&amp;$A91))=0,"",$A91-MAX(N(cfg_PriorLTIDate),_xlfn.MAXIFS(tblSafety[Date],tblSafety[LTI],"&gt;0",tblSafety[Date],"&lt;="&amp;$A91)))</f>
        <v/>
      </c>
      <c r="IS91" s="55">
        <f>SUMIFS(tblBudget[Ore_Mined_t],tblBudget[Month],$E91)</f>
        <v/>
      </c>
      <c r="IT91" s="55">
        <f>$IS91*$C91/$D91</f>
        <v/>
      </c>
      <c r="IU91" s="55">
        <f>SUMIFS(tblBudget[Ore_Mined_t],tblBudget[Month],"&lt;"&amp;$E91)+$IT91</f>
        <v/>
      </c>
      <c r="IV91" s="55">
        <f>SUMIFS(tblBudget[Ore_oz],tblBudget[Month],$E91)</f>
        <v/>
      </c>
      <c r="IW91" s="55">
        <f>$IV91*$C91/$D91</f>
        <v/>
      </c>
      <c r="IX91" s="55">
        <f>SUMIFS(tblBudget[Ore_oz],tblBudget[Month],"&lt;"&amp;$E91)+$IW91</f>
        <v/>
      </c>
      <c r="IY91" s="55">
        <f>SUMIFS(tblBudget[Ore_Mined_t],tblBudget[Month],$E91)</f>
        <v/>
      </c>
      <c r="IZ91" s="55">
        <f>$IY91*$C91/$D91</f>
        <v/>
      </c>
      <c r="JA91" s="55">
        <f>SUMIFS(tblBudget[Ore_Mined_t],tblBudget[Month],"&lt;"&amp;$E91)+$IZ91</f>
        <v/>
      </c>
      <c r="JB91" s="56">
        <f>IFERROR(IF(($IY91)&gt;0,($IV91*cfg_TroyOz)/($IY91),""),"")</f>
        <v/>
      </c>
      <c r="JC91" s="56">
        <f>IFERROR(IF(($IZ91)&gt;0,($IW91*cfg_TroyOz)/($IZ91),""),"")</f>
        <v/>
      </c>
      <c r="JD91" s="56">
        <f>IFERROR(IF(($JA91)&gt;0,($IX91*cfg_TroyOz)/($JA91),""),"")</f>
        <v/>
      </c>
      <c r="JE91" s="55">
        <f>SUMIFS(tblBudget[Waste_t],tblBudget[Month],$E91)</f>
        <v/>
      </c>
      <c r="JF91" s="55">
        <f>$JE91*$C91/$D91</f>
        <v/>
      </c>
      <c r="JG91" s="55">
        <f>SUMIFS(tblBudget[Waste_t],tblBudget[Month],"&lt;"&amp;$E91)+$JF91</f>
        <v/>
      </c>
      <c r="JH91" s="55">
        <f>SUMIFS(tblBudget[TMM_t],tblBudget[Month],$E91)</f>
        <v/>
      </c>
      <c r="JI91" s="55">
        <f>$JH91*$C91/$D91</f>
        <v/>
      </c>
      <c r="JJ91" s="55">
        <f>SUMIFS(tblBudget[TMM_t],tblBudget[Month],"&lt;"&amp;$E91)+$JI91</f>
        <v/>
      </c>
      <c r="JK91" s="56">
        <f>IFERROR(IF(($IS91)&gt;0,($JE91)/($IS91),""),"")</f>
        <v/>
      </c>
      <c r="JL91" s="56">
        <f>IFERROR(IF(($IT91)&gt;0,($JF91)/($IT91),""),"")</f>
        <v/>
      </c>
      <c r="JM91" s="56">
        <f>IFERROR(IF(($IU91)&gt;0,($JG91)/($IU91),""),"")</f>
        <v/>
      </c>
      <c r="JN91" s="55">
        <f>SUMIFS(tblBudget[Drill_m],tblBudget[Month],$E91)</f>
        <v/>
      </c>
      <c r="JO91" s="55">
        <f>$JN91*$C91/$D91</f>
        <v/>
      </c>
      <c r="JP91" s="55">
        <f>SUMIFS(tblBudget[Drill_m],tblBudget[Month],"&lt;"&amp;$E91)+$JO91</f>
        <v/>
      </c>
      <c r="JQ91" s="55">
        <f>SUMIFS(tblBudget[Diesel_L],tblBudget[Month],$E91)</f>
        <v/>
      </c>
      <c r="JR91" s="55">
        <f>$JQ91*$C91/$D91</f>
        <v/>
      </c>
      <c r="JS91" s="55">
        <f>SUMIFS(tblBudget[Diesel_L],tblBudget[Month],"&lt;"&amp;$E91)+$JR91</f>
        <v/>
      </c>
      <c r="JT91" s="55">
        <f>SUMIFS(tblBudget[Milled_t],tblBudget[Month],$E91)</f>
        <v/>
      </c>
      <c r="JU91" s="55">
        <f>$JT91*$C91/$D91</f>
        <v/>
      </c>
      <c r="JV91" s="55">
        <f>SUMIFS(tblBudget[Milled_t],tblBudget[Month],"&lt;"&amp;$E91)+$JU91</f>
        <v/>
      </c>
      <c r="JW91" s="55">
        <f>SUMIFS(tblBudget[Feed_oz],tblBudget[Month],$E91)</f>
        <v/>
      </c>
      <c r="JX91" s="55">
        <f>$JW91*$C91/$D91</f>
        <v/>
      </c>
      <c r="JY91" s="55">
        <f>SUMIFS(tblBudget[Feed_oz],tblBudget[Month],"&lt;"&amp;$E91)+$JX91</f>
        <v/>
      </c>
      <c r="JZ91" s="55">
        <f>SUMIFS(tblBudget[Recovered_oz],tblBudget[Month],$E91)</f>
        <v/>
      </c>
      <c r="KA91" s="55">
        <f>$JZ91*$C91/$D91</f>
        <v/>
      </c>
      <c r="KB91" s="55">
        <f>SUMIFS(tblBudget[Recovered_oz],tblBudget[Month],"&lt;"&amp;$E91)+$KA91</f>
        <v/>
      </c>
      <c r="KC91" s="55">
        <f>SUMIFS(tblBudget[Milled_t],tblBudget[Month],$E91)</f>
        <v/>
      </c>
      <c r="KD91" s="55">
        <f>$KC91*$C91/$D91</f>
        <v/>
      </c>
      <c r="KE91" s="55">
        <f>SUMIFS(tblBudget[Milled_t],tblBudget[Month],"&lt;"&amp;$E91)+$KD91</f>
        <v/>
      </c>
      <c r="KF91" s="55">
        <f>SUMIFS(tblBudget[Feed_oz],tblBudget[Month],$E91)</f>
        <v/>
      </c>
      <c r="KG91" s="55">
        <f>$KF91*$C91/$D91</f>
        <v/>
      </c>
      <c r="KH91" s="55">
        <f>SUMIFS(tblBudget[Feed_oz],tblBudget[Month],"&lt;"&amp;$E91)+$KG91</f>
        <v/>
      </c>
      <c r="KI91" s="56">
        <f>IFERROR(IF(($KC91)&gt;0,($JW91*cfg_TroyOz)/($KC91),""),"")</f>
        <v/>
      </c>
      <c r="KJ91" s="56">
        <f>IFERROR(IF(($KD91)&gt;0,($JX91*cfg_TroyOz)/($KD91),""),"")</f>
        <v/>
      </c>
      <c r="KK91" s="56">
        <f>IFERROR(IF(($KE91)&gt;0,($JY91*cfg_TroyOz)/($KE91),""),"")</f>
        <v/>
      </c>
      <c r="KL91" s="67">
        <f>IFERROR(IF(($KF91)&gt;0,($JZ91)/($KF91),""),"")</f>
        <v/>
      </c>
      <c r="KM91" s="67">
        <f>IFERROR(IF(($KG91)&gt;0,($KA91)/($KG91),""),"")</f>
        <v/>
      </c>
      <c r="KN91" s="67">
        <f>IFERROR(IF(($KH91)&gt;0,($KB91)/($KH91),""),"")</f>
        <v/>
      </c>
      <c r="KO91" s="55">
        <f>SUMIFS(tblBudget[Gold_Poured_oz],tblBudget[Month],$E91)</f>
        <v/>
      </c>
      <c r="KP91" s="55">
        <f>$KO91*$C91/$D91</f>
        <v/>
      </c>
      <c r="KQ91" s="55">
        <f>SUMIFS(tblBudget[Gold_Poured_oz],tblBudget[Month],"&lt;"&amp;$E91)+$KP91</f>
        <v/>
      </c>
      <c r="KR91" s="57">
        <f>SUMIFS(tblBudget[Hours_Worked],tblBudget[Month],$E91)</f>
        <v/>
      </c>
      <c r="KS91" s="57">
        <f>$KR91*$C91/$D91</f>
        <v/>
      </c>
      <c r="KT91" s="57">
        <f>SUMIFS(tblBudget[Hours_Worked],tblBudget[Month],"&lt;"&amp;$E91)+$KS91</f>
        <v/>
      </c>
    </row>
    <row r="92">
      <c r="A92" s="54" t="n">
        <v>46113</v>
      </c>
      <c r="B92">
        <f>MONTH($A92)</f>
        <v/>
      </c>
      <c r="C92">
        <f>DAY($A92)</f>
        <v/>
      </c>
      <c r="D92">
        <f>DAY(EOMONTH($A92,0))</f>
        <v/>
      </c>
      <c r="E92" s="54">
        <f>DATE(YEAR($A92),MONTH($A92),1)</f>
        <v/>
      </c>
      <c r="F92" s="55">
        <f>SUMIFS(tblMovement[Tonnes_t],tblMovement[Date],$A92,tblMovement[Is_Ore],1,tblMovement[Source_Type],"Pit")</f>
        <v/>
      </c>
      <c r="G92" s="55">
        <f>IF($B92=$B91,$G91,0)+$F92</f>
        <v/>
      </c>
      <c r="H92" s="55">
        <f>$H91+$F92</f>
        <v/>
      </c>
      <c r="I92" s="55">
        <f>SUMIFS(tblMovement[Ore_oz],tblMovement[Date],$A92,tblMovement[Source_Type],"Pit")</f>
        <v/>
      </c>
      <c r="J92" s="55">
        <f>IF($B92=$B91,$J91,0)+$I92</f>
        <v/>
      </c>
      <c r="K92" s="55">
        <f>$K91+$I92</f>
        <v/>
      </c>
      <c r="L92" s="55">
        <f>SUMIFS(tblMovement[Tonnes_t],tblMovement[Date],$A92,tblMovement[Is_Ore],1,tblMovement[Source_Type],"Pit",tblMovement[Grade_gpt],"&lt;&gt;")</f>
        <v/>
      </c>
      <c r="M92" s="55">
        <f>IF($B92=$B91,$M91,0)+$L92</f>
        <v/>
      </c>
      <c r="N92" s="55">
        <f>$N91+$L92</f>
        <v/>
      </c>
      <c r="O92" s="56">
        <f>IFERROR(IF(($L92)&gt;0,($I92*cfg_TroyOz)/($L92),""),"")</f>
        <v/>
      </c>
      <c r="P92" s="56">
        <f>IFERROR(IF(($M92)&gt;0,($J92*cfg_TroyOz)/($M92),""),"")</f>
        <v/>
      </c>
      <c r="Q92" s="56">
        <f>IFERROR(IF(($N92)&gt;0,($K92*cfg_TroyOz)/($N92),""),"")</f>
        <v/>
      </c>
      <c r="R92" s="55">
        <f>$F92-$L92</f>
        <v/>
      </c>
      <c r="S92" s="55">
        <f>IF($B92=$B91,$S91,0)+$R92</f>
        <v/>
      </c>
      <c r="T92" s="55">
        <f>$T91+$R92</f>
        <v/>
      </c>
      <c r="U92" s="55">
        <f>SUMIFS(tblMovement[Tonnes_t],tblMovement[Date],$A92,tblMovement[Is_Ore],0,tblMovement[Source_Type],"Pit")</f>
        <v/>
      </c>
      <c r="V92" s="55">
        <f>IF($B92=$B91,$V91,0)+$U92</f>
        <v/>
      </c>
      <c r="W92" s="55">
        <f>$W91+$U92</f>
        <v/>
      </c>
      <c r="X92" s="55">
        <f>$F92+$U92</f>
        <v/>
      </c>
      <c r="Y92" s="55">
        <f>IF($B92=$B91,$Y91,0)+$X92</f>
        <v/>
      </c>
      <c r="Z92" s="55">
        <f>$Z91+$X92</f>
        <v/>
      </c>
      <c r="AA92" s="56">
        <f>IFERROR(IF(($F92)&gt;0,($U92)/($F92),""),"")</f>
        <v/>
      </c>
      <c r="AB92" s="56">
        <f>IFERROR(IF(($G92)&gt;0,($V92)/($G92),""),"")</f>
        <v/>
      </c>
      <c r="AC92" s="56">
        <f>IFERROR(IF(($H92)&gt;0,($W92)/($H92),""),"")</f>
        <v/>
      </c>
      <c r="AD92" s="55">
        <f>SUMIFS(tblMovement[Tonnes_t],tblMovement[Date],$A92,tblMovement[Source_Type],"Stockpile")</f>
        <v/>
      </c>
      <c r="AE92" s="55">
        <f>IF($B92=$B91,$AE91,0)+$AD92</f>
        <v/>
      </c>
      <c r="AF92" s="55">
        <f>$AF91+$AD92</f>
        <v/>
      </c>
      <c r="AG92" s="55">
        <f>SUMIFS(tblMovement[Tonnes_t],tblMovement[Date],$A92)</f>
        <v/>
      </c>
      <c r="AH92" s="55">
        <f>IF($B92=$B91,$AH91,0)+$AG92</f>
        <v/>
      </c>
      <c r="AI92" s="55">
        <f>$AI91+$AG92</f>
        <v/>
      </c>
      <c r="AJ92" s="55">
        <f>$AG92-$X92-$AD92</f>
        <v/>
      </c>
      <c r="AK92" s="55">
        <f>IF($B92=$B91,$AK91,0)+$AJ92</f>
        <v/>
      </c>
      <c r="AL92" s="55">
        <f>$AL91+$AJ92</f>
        <v/>
      </c>
      <c r="AM92" s="55">
        <f>SUMIFS(tblMiningDaily[Drill_m],tblMiningDaily[Date],$A92)</f>
        <v/>
      </c>
      <c r="AN92" s="55">
        <f>IF($B92=$B91,$AN91,0)+$AM92</f>
        <v/>
      </c>
      <c r="AO92" s="55">
        <f>$AO91+$AM92</f>
        <v/>
      </c>
      <c r="AP92" s="55">
        <f>SUMIFS(tblMiningDaily[GC_Drill_m],tblMiningDaily[Date],$A92)</f>
        <v/>
      </c>
      <c r="AQ92" s="55">
        <f>IF($B92=$B91,$AQ91,0)+$AP92</f>
        <v/>
      </c>
      <c r="AR92" s="55">
        <f>$AR91+$AP92</f>
        <v/>
      </c>
      <c r="AS92" s="55">
        <f>SUMIFS(tblMiningDaily[Blast_t],tblMiningDaily[Date],$A92)</f>
        <v/>
      </c>
      <c r="AT92" s="55">
        <f>IF($B92=$B91,$AT91,0)+$AS92</f>
        <v/>
      </c>
      <c r="AU92" s="55">
        <f>$AU91+$AS92</f>
        <v/>
      </c>
      <c r="AV92" s="55">
        <f>SUMIFS(tblMiningDaily[Explosives_kg],tblMiningDaily[Date],$A92)</f>
        <v/>
      </c>
      <c r="AW92" s="55">
        <f>IF($B92=$B91,$AW91,0)+$AV92</f>
        <v/>
      </c>
      <c r="AX92" s="55">
        <f>$AX91+$AV92</f>
        <v/>
      </c>
      <c r="AY92" s="56">
        <f>IFERROR(IF(($AS92)&gt;0,($AV92)/($AS92),""),"")</f>
        <v/>
      </c>
      <c r="AZ92" s="56">
        <f>IFERROR(IF(($AT92)&gt;0,($AW92)/($AT92),""),"")</f>
        <v/>
      </c>
      <c r="BA92" s="56">
        <f>IFERROR(IF(($AU92)&gt;0,($AX92)/($AU92),""),"")</f>
        <v/>
      </c>
      <c r="BB92" s="55">
        <f>SUMIFS(tblMiningDaily[Diesel_L],tblMiningDaily[Date],$A92)</f>
        <v/>
      </c>
      <c r="BC92" s="55">
        <f>IF($B92=$B91,$BC91,0)+$BB92</f>
        <v/>
      </c>
      <c r="BD92" s="55">
        <f>$BD91+$BB92</f>
        <v/>
      </c>
      <c r="BE92" s="55">
        <f>SUMIFS(tblMiningDaily[Dewatering_m3],tblMiningDaily[Date],$A92)</f>
        <v/>
      </c>
      <c r="BF92" s="55">
        <f>IF($B92=$B91,$BF91,0)+$BE92</f>
        <v/>
      </c>
      <c r="BG92" s="55">
        <f>$BG91+$BE92</f>
        <v/>
      </c>
      <c r="BH92" s="57">
        <f>SUMIFS(tblFleet[Calendar_h],tblFleet[Date],$A92,tblFleet[Equipment_Class],"Excavator")</f>
        <v/>
      </c>
      <c r="BI92" s="57">
        <f>IF($B92=$B91,$BI91,0)+$BH92</f>
        <v/>
      </c>
      <c r="BJ92" s="57">
        <f>$BJ91+$BH92</f>
        <v/>
      </c>
      <c r="BK92" s="57">
        <f>SUMIFS(tblFleet[Available_h],tblFleet[Date],$A92,tblFleet[Equipment_Class],"Excavator")</f>
        <v/>
      </c>
      <c r="BL92" s="57">
        <f>IF($B92=$B91,$BL91,0)+$BK92</f>
        <v/>
      </c>
      <c r="BM92" s="57">
        <f>$BM91+$BK92</f>
        <v/>
      </c>
      <c r="BN92" s="57">
        <f>SUMIFS(tblFleet[Operating_h],tblFleet[Date],$A92,tblFleet[Equipment_Class],"Excavator")</f>
        <v/>
      </c>
      <c r="BO92" s="57">
        <f>IF($B92=$B91,$BO91,0)+$BN92</f>
        <v/>
      </c>
      <c r="BP92" s="57">
        <f>$BP91+$BN92</f>
        <v/>
      </c>
      <c r="BQ92" s="67">
        <f>IFERROR(IF(($BH92)&gt;0,($BK92)/($BH92),""),"")</f>
        <v/>
      </c>
      <c r="BR92" s="67">
        <f>IFERROR(IF(($BI92)&gt;0,($BL92)/($BI92),""),"")</f>
        <v/>
      </c>
      <c r="BS92" s="67">
        <f>IFERROR(IF(($BJ92)&gt;0,($BM92)/($BJ92),""),"")</f>
        <v/>
      </c>
      <c r="BT92" s="67">
        <f>IFERROR(IF(($BK92)&gt;0,($BN92)/($BK92),""),"")</f>
        <v/>
      </c>
      <c r="BU92" s="67">
        <f>IFERROR(IF(($BL92)&gt;0,($BO92)/($BL92),""),"")</f>
        <v/>
      </c>
      <c r="BV92" s="67">
        <f>IFERROR(IF(($BM92)&gt;0,($BP92)/($BM92),""),"")</f>
        <v/>
      </c>
      <c r="BW92" s="57">
        <f>SUMIFS(tblFleet[Calendar_h],tblFleet[Date],$A92,tblFleet[Equipment_Class],"Haul Truck")</f>
        <v/>
      </c>
      <c r="BX92" s="57">
        <f>IF($B92=$B91,$BX91,0)+$BW92</f>
        <v/>
      </c>
      <c r="BY92" s="57">
        <f>$BY91+$BW92</f>
        <v/>
      </c>
      <c r="BZ92" s="57">
        <f>SUMIFS(tblFleet[Available_h],tblFleet[Date],$A92,tblFleet[Equipment_Class],"Haul Truck")</f>
        <v/>
      </c>
      <c r="CA92" s="57">
        <f>IF($B92=$B91,$CA91,0)+$BZ92</f>
        <v/>
      </c>
      <c r="CB92" s="57">
        <f>$CB91+$BZ92</f>
        <v/>
      </c>
      <c r="CC92" s="57">
        <f>SUMIFS(tblFleet[Operating_h],tblFleet[Date],$A92,tblFleet[Equipment_Class],"Haul Truck")</f>
        <v/>
      </c>
      <c r="CD92" s="57">
        <f>IF($B92=$B91,$CD91,0)+$CC92</f>
        <v/>
      </c>
      <c r="CE92" s="57">
        <f>$CE91+$CC92</f>
        <v/>
      </c>
      <c r="CF92" s="67">
        <f>IFERROR(IF(($BW92)&gt;0,($BZ92)/($BW92),""),"")</f>
        <v/>
      </c>
      <c r="CG92" s="67">
        <f>IFERROR(IF(($BX92)&gt;0,($CA92)/($BX92),""),"")</f>
        <v/>
      </c>
      <c r="CH92" s="67">
        <f>IFERROR(IF(($BY92)&gt;0,($CB92)/($BY92),""),"")</f>
        <v/>
      </c>
      <c r="CI92" s="67">
        <f>IFERROR(IF(($BZ92)&gt;0,($CC92)/($BZ92),""),"")</f>
        <v/>
      </c>
      <c r="CJ92" s="67">
        <f>IFERROR(IF(($CA92)&gt;0,($CD92)/($CA92),""),"")</f>
        <v/>
      </c>
      <c r="CK92" s="67">
        <f>IFERROR(IF(($CB92)&gt;0,($CE92)/($CB92),""),"")</f>
        <v/>
      </c>
      <c r="CL92" s="55">
        <f>IFERROR(IF(($BN92)&gt;0,($X92+$AD92)/($BN92),""),"")</f>
        <v/>
      </c>
      <c r="CM92" s="55">
        <f>IFERROR(IF(($BO92)&gt;0,($Y92+$AE92)/($BO92),""),"")</f>
        <v/>
      </c>
      <c r="CN92" s="55">
        <f>IFERROR(IF(($BP92)&gt;0,($Z92+$AF92)/($BP92),""),"")</f>
        <v/>
      </c>
      <c r="CO92" s="55">
        <f>IFERROR(IF(($CC92)&gt;0,($X92+$AD92)/($CC92),""),"")</f>
        <v/>
      </c>
      <c r="CP92" s="55">
        <f>IFERROR(IF(($CD92)&gt;0,($Y92+$AE92)/($CD92),""),"")</f>
        <v/>
      </c>
      <c r="CQ92" s="55">
        <f>IFERROR(IF(($CE92)&gt;0,($Z92+$AF92)/($CE92),""),"")</f>
        <v/>
      </c>
      <c r="CR92" s="55">
        <f>SUMIFS(tblPlant[Crushed_t],tblPlant[Date],$A92)</f>
        <v/>
      </c>
      <c r="CS92" s="55">
        <f>IF($B92=$B91,$CS91,0)+$CR92</f>
        <v/>
      </c>
      <c r="CT92" s="55">
        <f>$CT91+$CR92</f>
        <v/>
      </c>
      <c r="CU92" s="55">
        <f>SUMIFS(tblPlant[Milled_t],tblPlant[Date],$A92)</f>
        <v/>
      </c>
      <c r="CV92" s="55">
        <f>IF($B92=$B91,$CV91,0)+$CU92</f>
        <v/>
      </c>
      <c r="CW92" s="55">
        <f>$CW91+$CU92</f>
        <v/>
      </c>
      <c r="CX92" s="55">
        <f>SUMIFS(tblPlant[Feed_oz],tblPlant[Date],$A92)</f>
        <v/>
      </c>
      <c r="CY92" s="55">
        <f>IF($B92=$B91,$CY91,0)+$CX92</f>
        <v/>
      </c>
      <c r="CZ92" s="55">
        <f>$CZ91+$CX92</f>
        <v/>
      </c>
      <c r="DA92" s="55">
        <f>SUMIFS(tblPlant[Tails_oz],tblPlant[Date],$A92)</f>
        <v/>
      </c>
      <c r="DB92" s="55">
        <f>IF($B92=$B91,$DB91,0)+$DA92</f>
        <v/>
      </c>
      <c r="DC92" s="55">
        <f>$DC91+$DA92</f>
        <v/>
      </c>
      <c r="DD92" s="55">
        <f>SUMIFS(tblPlant[Recovered_oz],tblPlant[Date],$A92)</f>
        <v/>
      </c>
      <c r="DE92" s="55">
        <f>IF($B92=$B91,$DE91,0)+$DD92</f>
        <v/>
      </c>
      <c r="DF92" s="55">
        <f>$DF91+$DD92</f>
        <v/>
      </c>
      <c r="DG92" s="55">
        <f>SUMIFS(tblPlant[Milled_t],tblPlant[Date],$A92,tblPlant[Head_Grade_gpt],"&lt;&gt;")</f>
        <v/>
      </c>
      <c r="DH92" s="55">
        <f>IF($B92=$B91,$DH91,0)+$DG92</f>
        <v/>
      </c>
      <c r="DI92" s="55">
        <f>$DI91+$DG92</f>
        <v/>
      </c>
      <c r="DJ92" s="55">
        <f>SUMIFS(tblPlant[Milled_t],tblPlant[Date],$A92,tblPlant[Tails_Grade_gpt],"&lt;&gt;")</f>
        <v/>
      </c>
      <c r="DK92" s="55">
        <f>IF($B92=$B91,$DK91,0)+$DJ92</f>
        <v/>
      </c>
      <c r="DL92" s="55">
        <f>$DL91+$DJ92</f>
        <v/>
      </c>
      <c r="DM92" s="55">
        <f>SUMIFS(tblPlant[Feed_oz],tblPlant[Date],$A92,tblPlant[Tails_Grade_gpt],"&lt;&gt;")</f>
        <v/>
      </c>
      <c r="DN92" s="55">
        <f>IF($B92=$B91,$DN91,0)+$DM92</f>
        <v/>
      </c>
      <c r="DO92" s="55">
        <f>$DO91+$DM92</f>
        <v/>
      </c>
      <c r="DP92" s="55">
        <f>SUMIFS(tblPlant[Milled_t],tblPlant[Date],$A92,tblPlant[Mill_Run_h],"&lt;&gt;")</f>
        <v/>
      </c>
      <c r="DQ92" s="55">
        <f>IF($B92=$B91,$DQ91,0)+$DP92</f>
        <v/>
      </c>
      <c r="DR92" s="55">
        <f>$DR91+$DP92</f>
        <v/>
      </c>
      <c r="DS92" s="56">
        <f>IFERROR(IF(($DG92)&gt;0,($CX92*cfg_TroyOz)/($DG92),""),"")</f>
        <v/>
      </c>
      <c r="DT92" s="56">
        <f>IFERROR(IF(($DH92)&gt;0,($CY92*cfg_TroyOz)/($DH92),""),"")</f>
        <v/>
      </c>
      <c r="DU92" s="56">
        <f>IFERROR(IF(($DI92)&gt;0,($CZ92*cfg_TroyOz)/($DI92),""),"")</f>
        <v/>
      </c>
      <c r="DV92" s="56">
        <f>IFERROR(IF(($DJ92)&gt;0,($DA92*cfg_TroyOz)/($DJ92),""),"")</f>
        <v/>
      </c>
      <c r="DW92" s="56">
        <f>IFERROR(IF(($DK92)&gt;0,($DB92*cfg_TroyOz)/($DK92),""),"")</f>
        <v/>
      </c>
      <c r="DX92" s="56">
        <f>IFERROR(IF(($DL92)&gt;0,($DC92*cfg_TroyOz)/($DL92),""),"")</f>
        <v/>
      </c>
      <c r="DY92" s="67">
        <f>IFERROR(IF(($DM92)&gt;0,($DD92)/($DM92),""),"")</f>
        <v/>
      </c>
      <c r="DZ92" s="67">
        <f>IFERROR(IF(($DN92)&gt;0,($DE92)/($DN92),""),"")</f>
        <v/>
      </c>
      <c r="EA92" s="67">
        <f>IFERROR(IF(($DO92)&gt;0,($DF92)/($DO92),""),"")</f>
        <v/>
      </c>
      <c r="EB92" s="55">
        <f>SUMIFS(tblPlant[Gravity_Gold_oz],tblPlant[Date],$A92)</f>
        <v/>
      </c>
      <c r="EC92" s="55">
        <f>IF($B92=$B91,$EC91,0)+$EB92</f>
        <v/>
      </c>
      <c r="ED92" s="55">
        <f>$ED91+$EB92</f>
        <v/>
      </c>
      <c r="EE92" s="67">
        <f>IFERROR(IF(($DD92)&gt;0,($EB92)/($DD92),""),"")</f>
        <v/>
      </c>
      <c r="EF92" s="67">
        <f>IFERROR(IF(($DE92)&gt;0,($EC92)/($DE92),""),"")</f>
        <v/>
      </c>
      <c r="EG92" s="67">
        <f>IFERROR(IF(($DF92)&gt;0,($ED92)/($DF92),""),"")</f>
        <v/>
      </c>
      <c r="EH92" s="55">
        <f>SUMIFS(tblPlant[Gold_Poured_oz],tblPlant[Date],$A92)</f>
        <v/>
      </c>
      <c r="EI92" s="55">
        <f>IF($B92=$B91,$EI91,0)+$EH92</f>
        <v/>
      </c>
      <c r="EJ92" s="55">
        <f>$EJ91+$EH92</f>
        <v/>
      </c>
      <c r="EK92" s="57">
        <f>SUMIFS(tblPlant[Mill_Run_h],tblPlant[Date],$A92)</f>
        <v/>
      </c>
      <c r="EL92" s="57">
        <f>IF($B92=$B91,$EL91,0)+$EK92</f>
        <v/>
      </c>
      <c r="EM92" s="57">
        <f>$EM91+$EK92</f>
        <v/>
      </c>
      <c r="EN92" s="57">
        <f>SUMIFS(tblPlant[Mill_Planned_Maint_h],tblPlant[Date],$A92)</f>
        <v/>
      </c>
      <c r="EO92" s="57">
        <f>IF($B92=$B91,$EO91,0)+$EN92</f>
        <v/>
      </c>
      <c r="EP92" s="57">
        <f>$EP91+$EN92</f>
        <v/>
      </c>
      <c r="EQ92" s="57">
        <f>SUMIFS(tblPlant[Mill_Unplanned_Down_h],tblPlant[Date],$A92)</f>
        <v/>
      </c>
      <c r="ER92" s="57">
        <f>IF($B92=$B91,$ER91,0)+$EQ92</f>
        <v/>
      </c>
      <c r="ES92" s="57">
        <f>$ES91+$EQ92</f>
        <v/>
      </c>
      <c r="ET92" s="57">
        <f>IF(COUNTIFS(tblPlant[Date],$A92,tblPlant[Mill_Run_h],"&lt;&gt;")+COUNTIFS(tblPlant[Date],$A92,tblPlant[Mill_Planned_Maint_h],"&lt;&gt;")+COUNTIFS(tblPlant[Date],$A92,tblPlant[Mill_Unplanned_Down_h],"&lt;&gt;")&gt;0,cfg_HoursPerDay,0)</f>
        <v/>
      </c>
      <c r="EU92" s="57">
        <f>IF($B92=$B91,$EU91,0)+$ET92</f>
        <v/>
      </c>
      <c r="EV92" s="57">
        <f>$EV91+$ET92</f>
        <v/>
      </c>
      <c r="EW92" s="57">
        <f>SUMIFS(tblPlant[Crusher_Run_h],tblPlant[Date],$A92)</f>
        <v/>
      </c>
      <c r="EX92" s="57">
        <f>IF($B92=$B91,$EX91,0)+$EW92</f>
        <v/>
      </c>
      <c r="EY92" s="57">
        <f>$EY91+$EW92</f>
        <v/>
      </c>
      <c r="EZ92" s="55">
        <f>IFERROR(IF(($EK92)&gt;0,($DP92)/($EK92),""),"")</f>
        <v/>
      </c>
      <c r="FA92" s="55">
        <f>IFERROR(IF(($EL92)&gt;0,($DQ92)/($EL92),""),"")</f>
        <v/>
      </c>
      <c r="FB92" s="55">
        <f>IFERROR(IF(($EM92)&gt;0,($DR92)/($EM92),""),"")</f>
        <v/>
      </c>
      <c r="FC92" s="67">
        <f>IFERROR(IF(($ET92)&gt;0,($ET92-$EN92-$EQ92)/($ET92),""),"")</f>
        <v/>
      </c>
      <c r="FD92" s="67">
        <f>IFERROR(IF(($EU92)&gt;0,($EU92-$EO92-$ER92)/($EU92),""),"")</f>
        <v/>
      </c>
      <c r="FE92" s="67">
        <f>IFERROR(IF(($EV92)&gt;0,($EV92-$EP92-$ES92)/($EV92),""),"")</f>
        <v/>
      </c>
      <c r="FF92" s="67">
        <f>IFERROR(IF(($ET92-$EN92-$EQ92)&gt;0,($EK92)/($ET92-$EN92-$EQ92),""),"")</f>
        <v/>
      </c>
      <c r="FG92" s="67">
        <f>IFERROR(IF(($EU92-$EO92-$ER92)&gt;0,($EL92)/($EU92-$EO92-$ER92),""),"")</f>
        <v/>
      </c>
      <c r="FH92" s="67">
        <f>IFERROR(IF(($EV92-$EP92-$ES92)&gt;0,($EM92)/($EV92-$EP92-$ES92),""),"")</f>
        <v/>
      </c>
      <c r="FI92" s="55">
        <f>SUMIFS(tblPlant[Cyanide_kg],tblPlant[Date],$A92)</f>
        <v/>
      </c>
      <c r="FJ92" s="55">
        <f>IF($B92=$B91,$FJ91,0)+$FI92</f>
        <v/>
      </c>
      <c r="FK92" s="55">
        <f>$FK91+$FI92</f>
        <v/>
      </c>
      <c r="FL92" s="55">
        <f>SUMIFS(tblPlant[Lime_kg],tblPlant[Date],$A92)</f>
        <v/>
      </c>
      <c r="FM92" s="55">
        <f>IF($B92=$B91,$FM91,0)+$FL92</f>
        <v/>
      </c>
      <c r="FN92" s="55">
        <f>$FN91+$FL92</f>
        <v/>
      </c>
      <c r="FO92" s="55">
        <f>SUMIFS(tblPlant[Grinding_Media_kg],tblPlant[Date],$A92)</f>
        <v/>
      </c>
      <c r="FP92" s="55">
        <f>IF($B92=$B91,$FP91,0)+$FO92</f>
        <v/>
      </c>
      <c r="FQ92" s="55">
        <f>$FQ91+$FO92</f>
        <v/>
      </c>
      <c r="FR92" s="55">
        <f>SUMIFS(tblPlant[Power_kWh],tblPlant[Date],$A92)</f>
        <v/>
      </c>
      <c r="FS92" s="55">
        <f>IF($B92=$B91,$FS91,0)+$FR92</f>
        <v/>
      </c>
      <c r="FT92" s="55">
        <f>$FT91+$FR92</f>
        <v/>
      </c>
      <c r="FU92" s="55">
        <f>SUMIFS(tblPlant[Raw_Water_m3],tblPlant[Date],$A92)</f>
        <v/>
      </c>
      <c r="FV92" s="55">
        <f>IF($B92=$B91,$FV91,0)+$FU92</f>
        <v/>
      </c>
      <c r="FW92" s="55">
        <f>$FW91+$FU92</f>
        <v/>
      </c>
      <c r="FX92" s="56">
        <f>IFERROR(IF(($CU92)&gt;0,($FI92)/($CU92),""),"")</f>
        <v/>
      </c>
      <c r="FY92" s="56">
        <f>IFERROR(IF(($CV92)&gt;0,($FJ92)/($CV92),""),"")</f>
        <v/>
      </c>
      <c r="FZ92" s="56">
        <f>IFERROR(IF(($CW92)&gt;0,($FK92)/($CW92),""),"")</f>
        <v/>
      </c>
      <c r="GA92" s="56">
        <f>IFERROR(IF(($CU92)&gt;0,($FL92)/($CU92),""),"")</f>
        <v/>
      </c>
      <c r="GB92" s="56">
        <f>IFERROR(IF(($CV92)&gt;0,($FM92)/($CV92),""),"")</f>
        <v/>
      </c>
      <c r="GC92" s="56">
        <f>IFERROR(IF(($CW92)&gt;0,($FN92)/($CW92),""),"")</f>
        <v/>
      </c>
      <c r="GD92" s="56">
        <f>IFERROR(IF(($CU92)&gt;0,($FO92)/($CU92),""),"")</f>
        <v/>
      </c>
      <c r="GE92" s="56">
        <f>IFERROR(IF(($CV92)&gt;0,($FP92)/($CV92),""),"")</f>
        <v/>
      </c>
      <c r="GF92" s="56">
        <f>IFERROR(IF(($CW92)&gt;0,($FQ92)/($CW92),""),"")</f>
        <v/>
      </c>
      <c r="GG92" s="79">
        <f>IFERROR(IF(($CU92)&gt;0,($FR92)/($CU92),""),"")</f>
        <v/>
      </c>
      <c r="GH92" s="79">
        <f>IFERROR(IF(($CV92)&gt;0,($FS92)/($CV92),""),"")</f>
        <v/>
      </c>
      <c r="GI92" s="79">
        <f>IFERROR(IF(($CW92)&gt;0,($FT92)/($CW92),""),"")</f>
        <v/>
      </c>
      <c r="GJ92" s="56">
        <f>IFERROR(IF(($CU92)&gt;0,($FU92)/($CU92),""),"")</f>
        <v/>
      </c>
      <c r="GK92" s="56">
        <f>IFERROR(IF(($CV92)&gt;0,($FV92)/($CV92),""),"")</f>
        <v/>
      </c>
      <c r="GL92" s="56">
        <f>IFERROR(IF(($CW92)&gt;0,($FW92)/($CW92),""),"")</f>
        <v/>
      </c>
      <c r="GM92" s="55">
        <f>IF(SUMIFS(tblPlant[GIC_oz],tblPlant[Date],$A92)&gt;0,SUMIFS(tblPlant[GIC_oz],tblPlant[Date],$A92),"")</f>
        <v/>
      </c>
      <c r="GN92" s="55">
        <f>SUMIFS(tblGold[Gold_oz],tblGold[Date],$A92,tblGold[Type],"Shipment")</f>
        <v/>
      </c>
      <c r="GO92" s="55">
        <f>IF($B92=$B91,$GO91,0)+$GN92</f>
        <v/>
      </c>
      <c r="GP92" s="55">
        <f>$GP91+$GN92</f>
        <v/>
      </c>
      <c r="GQ92" s="55">
        <f>SUMIFS(tblGold[Gold_oz],tblGold[Date],$A92,tblGold[Type],"Sale")</f>
        <v/>
      </c>
      <c r="GR92" s="55">
        <f>IF($B92=$B91,$GR91,0)+$GQ92</f>
        <v/>
      </c>
      <c r="GS92" s="55">
        <f>$GS91+$GQ92</f>
        <v/>
      </c>
      <c r="GT92" s="55">
        <f>SUMIFS(tblGold[Dore_kg],tblGold[Date],$A92,tblGold[Type],"Shipment")</f>
        <v/>
      </c>
      <c r="GU92" s="55">
        <f>IF($B92=$B91,$GU91,0)+$GT92</f>
        <v/>
      </c>
      <c r="GV92" s="55">
        <f>$GV91+$GT92</f>
        <v/>
      </c>
      <c r="GW92" s="57">
        <f>SUMIFS(tblSafety[Hours_Total],tblSafety[Date],$A92)</f>
        <v/>
      </c>
      <c r="GX92" s="57">
        <f>IF($B92=$B91,$GX91,0)+$GW92</f>
        <v/>
      </c>
      <c r="GY92" s="57">
        <f>$GY91+$GW92</f>
        <v/>
      </c>
      <c r="GZ92" s="62">
        <f>SUMIFS(tblSafety[Fatality],tblSafety[Date],$A92)</f>
        <v/>
      </c>
      <c r="HA92" s="62">
        <f>IF($B92=$B91,$HA91,0)+$GZ92</f>
        <v/>
      </c>
      <c r="HB92" s="62">
        <f>$HB91+$GZ92</f>
        <v/>
      </c>
      <c r="HC92" s="62">
        <f>SUMIFS(tblSafety[LTI],tblSafety[Date],$A92)</f>
        <v/>
      </c>
      <c r="HD92" s="62">
        <f>IF($B92=$B91,$HD91,0)+$HC92</f>
        <v/>
      </c>
      <c r="HE92" s="62">
        <f>$HE91+$HC92</f>
        <v/>
      </c>
      <c r="HF92" s="62">
        <f>SUMIFS(tblSafety[RWI],tblSafety[Date],$A92)</f>
        <v/>
      </c>
      <c r="HG92" s="62">
        <f>IF($B92=$B91,$HG91,0)+$HF92</f>
        <v/>
      </c>
      <c r="HH92" s="62">
        <f>$HH91+$HF92</f>
        <v/>
      </c>
      <c r="HI92" s="62">
        <f>SUMIFS(tblSafety[MTI],tblSafety[Date],$A92)</f>
        <v/>
      </c>
      <c r="HJ92" s="62">
        <f>IF($B92=$B91,$HJ91,0)+$HI92</f>
        <v/>
      </c>
      <c r="HK92" s="62">
        <f>$HK91+$HI92</f>
        <v/>
      </c>
      <c r="HL92" s="62">
        <f>SUMIFS(tblSafety[FAI],tblSafety[Date],$A92)</f>
        <v/>
      </c>
      <c r="HM92" s="62">
        <f>IF($B92=$B91,$HM91,0)+$HL92</f>
        <v/>
      </c>
      <c r="HN92" s="62">
        <f>$HN91+$HL92</f>
        <v/>
      </c>
      <c r="HO92" s="62">
        <f>SUMIFS(tblSafety[Recordables],tblSafety[Date],$A92)</f>
        <v/>
      </c>
      <c r="HP92" s="62">
        <f>IF($B92=$B91,$HP91,0)+$HO92</f>
        <v/>
      </c>
      <c r="HQ92" s="62">
        <f>$HQ91+$HO92</f>
        <v/>
      </c>
      <c r="HR92" s="62">
        <f>SUMIFS(tblSafety[Near_Miss],tblSafety[Date],$A92)</f>
        <v/>
      </c>
      <c r="HS92" s="62">
        <f>IF($B92=$B91,$HS91,0)+$HR92</f>
        <v/>
      </c>
      <c r="HT92" s="62">
        <f>$HT91+$HR92</f>
        <v/>
      </c>
      <c r="HU92" s="62">
        <f>SUMIFS(tblSafety[Hazard_Reports],tblSafety[Date],$A92)</f>
        <v/>
      </c>
      <c r="HV92" s="62">
        <f>IF($B92=$B91,$HV91,0)+$HU92</f>
        <v/>
      </c>
      <c r="HW92" s="62">
        <f>$HW91+$HU92</f>
        <v/>
      </c>
      <c r="HX92" s="62">
        <f>SUMIFS(tblSafety[HPI],tblSafety[Date],$A92)</f>
        <v/>
      </c>
      <c r="HY92" s="62">
        <f>IF($B92=$B91,$HY91,0)+$HX92</f>
        <v/>
      </c>
      <c r="HZ92" s="62">
        <f>$HZ91+$HX92</f>
        <v/>
      </c>
      <c r="IA92" s="62">
        <f>SUMIFS(tblSafety[Env_Incidents],tblSafety[Date],$A92)</f>
        <v/>
      </c>
      <c r="IB92" s="62">
        <f>IF($B92=$B91,$IB91,0)+$IA92</f>
        <v/>
      </c>
      <c r="IC92" s="62">
        <f>$IC91+$IA92</f>
        <v/>
      </c>
      <c r="ID92" s="62">
        <f>SUMIFS(tblSafety[Community_Incidents],tblSafety[Date],$A92)</f>
        <v/>
      </c>
      <c r="IE92" s="62">
        <f>IF($B92=$B91,$IE91,0)+$ID92</f>
        <v/>
      </c>
      <c r="IF92" s="62">
        <f>$IF91+$ID92</f>
        <v/>
      </c>
      <c r="IG92" s="62">
        <f>SUMIFS(tblSafety[Vehicle_Incidents],tblSafety[Date],$A92)</f>
        <v/>
      </c>
      <c r="IH92" s="62">
        <f>IF($B92=$B91,$IH91,0)+$IG92</f>
        <v/>
      </c>
      <c r="II92" s="62">
        <f>$II91+$IG92</f>
        <v/>
      </c>
      <c r="IJ92" s="62">
        <f>SUMIFS(tblSafety[Toolbox_Talks],tblSafety[Date],$A92)</f>
        <v/>
      </c>
      <c r="IK92" s="62">
        <f>IF($B92=$B91,$IK91,0)+$IJ92</f>
        <v/>
      </c>
      <c r="IL92" s="62">
        <f>$IL91+$IJ92</f>
        <v/>
      </c>
      <c r="IM92" s="62">
        <f>SUMIFS(tblSafety[Inspections],tblSafety[Date],$A92)</f>
        <v/>
      </c>
      <c r="IN92" s="62">
        <f>IF($B92=$B91,$IN91,0)+$IM92</f>
        <v/>
      </c>
      <c r="IO92" s="62">
        <f>$IO91+$IM92</f>
        <v/>
      </c>
      <c r="IP92" s="56">
        <f>IFERROR((SUMIFS(tblSafety[Recordables],tblSafety[Date],"&gt;="&amp;EDATE($E92,-12),tblSafety[Date],"&lt;="&amp;$A92)+SUMIFS(tblSafetyHistory[Recordables],tblSafetyHistory[Month],"&gt;="&amp;EDATE($E92,-12),tblSafetyHistory[Month],"&lt;"&amp;$E92,tblSafetyHistory[Use],1))/(SUMIFS(tblSafety[Hours_Total],tblSafety[Date],"&gt;="&amp;EDATE($E92,-12),tblSafety[Date],"&lt;="&amp;$A92)+SUMIFS(tblSafetyHistory[Hours_Total],tblSafetyHistory[Month],"&gt;="&amp;EDATE($E92,-12),tblSafetyHistory[Month],"&lt;"&amp;$E92,tblSafetyHistory[Use],1))*cfg_RateBasisHours,"")</f>
        <v/>
      </c>
      <c r="IQ92" s="56">
        <f>IFERROR((SUMIFS(tblSafety[LTI],tblSafety[Date],"&gt;="&amp;EDATE($E92,-12),tblSafety[Date],"&lt;="&amp;$A92)+SUMIFS(tblSafetyHistory[LTI],tblSafetyHistory[Month],"&gt;="&amp;EDATE($E92,-12),tblSafetyHistory[Month],"&lt;"&amp;$E92,tblSafetyHistory[Use],1))/(SUMIFS(tblSafety[Hours_Total],tblSafety[Date],"&gt;="&amp;EDATE($E92,-12),tblSafety[Date],"&lt;="&amp;$A92)+SUMIFS(tblSafetyHistory[Hours_Total],tblSafetyHistory[Month],"&gt;="&amp;EDATE($E92,-12),tblSafetyHistory[Month],"&lt;"&amp;$E92,tblSafetyHistory[Use],1))*cfg_RateBasisHours,"")</f>
        <v/>
      </c>
      <c r="IR92" s="62">
        <f>IF(MAX(N(cfg_PriorLTIDate),_xlfn.MAXIFS(tblSafety[Date],tblSafety[LTI],"&gt;0",tblSafety[Date],"&lt;="&amp;$A92))=0,"",$A92-MAX(N(cfg_PriorLTIDate),_xlfn.MAXIFS(tblSafety[Date],tblSafety[LTI],"&gt;0",tblSafety[Date],"&lt;="&amp;$A92)))</f>
        <v/>
      </c>
      <c r="IS92" s="55">
        <f>SUMIFS(tblBudget[Ore_Mined_t],tblBudget[Month],$E92)</f>
        <v/>
      </c>
      <c r="IT92" s="55">
        <f>$IS92*$C92/$D92</f>
        <v/>
      </c>
      <c r="IU92" s="55">
        <f>SUMIFS(tblBudget[Ore_Mined_t],tblBudget[Month],"&lt;"&amp;$E92)+$IT92</f>
        <v/>
      </c>
      <c r="IV92" s="55">
        <f>SUMIFS(tblBudget[Ore_oz],tblBudget[Month],$E92)</f>
        <v/>
      </c>
      <c r="IW92" s="55">
        <f>$IV92*$C92/$D92</f>
        <v/>
      </c>
      <c r="IX92" s="55">
        <f>SUMIFS(tblBudget[Ore_oz],tblBudget[Month],"&lt;"&amp;$E92)+$IW92</f>
        <v/>
      </c>
      <c r="IY92" s="55">
        <f>SUMIFS(tblBudget[Ore_Mined_t],tblBudget[Month],$E92)</f>
        <v/>
      </c>
      <c r="IZ92" s="55">
        <f>$IY92*$C92/$D92</f>
        <v/>
      </c>
      <c r="JA92" s="55">
        <f>SUMIFS(tblBudget[Ore_Mined_t],tblBudget[Month],"&lt;"&amp;$E92)+$IZ92</f>
        <v/>
      </c>
      <c r="JB92" s="56">
        <f>IFERROR(IF(($IY92)&gt;0,($IV92*cfg_TroyOz)/($IY92),""),"")</f>
        <v/>
      </c>
      <c r="JC92" s="56">
        <f>IFERROR(IF(($IZ92)&gt;0,($IW92*cfg_TroyOz)/($IZ92),""),"")</f>
        <v/>
      </c>
      <c r="JD92" s="56">
        <f>IFERROR(IF(($JA92)&gt;0,($IX92*cfg_TroyOz)/($JA92),""),"")</f>
        <v/>
      </c>
      <c r="JE92" s="55">
        <f>SUMIFS(tblBudget[Waste_t],tblBudget[Month],$E92)</f>
        <v/>
      </c>
      <c r="JF92" s="55">
        <f>$JE92*$C92/$D92</f>
        <v/>
      </c>
      <c r="JG92" s="55">
        <f>SUMIFS(tblBudget[Waste_t],tblBudget[Month],"&lt;"&amp;$E92)+$JF92</f>
        <v/>
      </c>
      <c r="JH92" s="55">
        <f>SUMIFS(tblBudget[TMM_t],tblBudget[Month],$E92)</f>
        <v/>
      </c>
      <c r="JI92" s="55">
        <f>$JH92*$C92/$D92</f>
        <v/>
      </c>
      <c r="JJ92" s="55">
        <f>SUMIFS(tblBudget[TMM_t],tblBudget[Month],"&lt;"&amp;$E92)+$JI92</f>
        <v/>
      </c>
      <c r="JK92" s="56">
        <f>IFERROR(IF(($IS92)&gt;0,($JE92)/($IS92),""),"")</f>
        <v/>
      </c>
      <c r="JL92" s="56">
        <f>IFERROR(IF(($IT92)&gt;0,($JF92)/($IT92),""),"")</f>
        <v/>
      </c>
      <c r="JM92" s="56">
        <f>IFERROR(IF(($IU92)&gt;0,($JG92)/($IU92),""),"")</f>
        <v/>
      </c>
      <c r="JN92" s="55">
        <f>SUMIFS(tblBudget[Drill_m],tblBudget[Month],$E92)</f>
        <v/>
      </c>
      <c r="JO92" s="55">
        <f>$JN92*$C92/$D92</f>
        <v/>
      </c>
      <c r="JP92" s="55">
        <f>SUMIFS(tblBudget[Drill_m],tblBudget[Month],"&lt;"&amp;$E92)+$JO92</f>
        <v/>
      </c>
      <c r="JQ92" s="55">
        <f>SUMIFS(tblBudget[Diesel_L],tblBudget[Month],$E92)</f>
        <v/>
      </c>
      <c r="JR92" s="55">
        <f>$JQ92*$C92/$D92</f>
        <v/>
      </c>
      <c r="JS92" s="55">
        <f>SUMIFS(tblBudget[Diesel_L],tblBudget[Month],"&lt;"&amp;$E92)+$JR92</f>
        <v/>
      </c>
      <c r="JT92" s="55">
        <f>SUMIFS(tblBudget[Milled_t],tblBudget[Month],$E92)</f>
        <v/>
      </c>
      <c r="JU92" s="55">
        <f>$JT92*$C92/$D92</f>
        <v/>
      </c>
      <c r="JV92" s="55">
        <f>SUMIFS(tblBudget[Milled_t],tblBudget[Month],"&lt;"&amp;$E92)+$JU92</f>
        <v/>
      </c>
      <c r="JW92" s="55">
        <f>SUMIFS(tblBudget[Feed_oz],tblBudget[Month],$E92)</f>
        <v/>
      </c>
      <c r="JX92" s="55">
        <f>$JW92*$C92/$D92</f>
        <v/>
      </c>
      <c r="JY92" s="55">
        <f>SUMIFS(tblBudget[Feed_oz],tblBudget[Month],"&lt;"&amp;$E92)+$JX92</f>
        <v/>
      </c>
      <c r="JZ92" s="55">
        <f>SUMIFS(tblBudget[Recovered_oz],tblBudget[Month],$E92)</f>
        <v/>
      </c>
      <c r="KA92" s="55">
        <f>$JZ92*$C92/$D92</f>
        <v/>
      </c>
      <c r="KB92" s="55">
        <f>SUMIFS(tblBudget[Recovered_oz],tblBudget[Month],"&lt;"&amp;$E92)+$KA92</f>
        <v/>
      </c>
      <c r="KC92" s="55">
        <f>SUMIFS(tblBudget[Milled_t],tblBudget[Month],$E92)</f>
        <v/>
      </c>
      <c r="KD92" s="55">
        <f>$KC92*$C92/$D92</f>
        <v/>
      </c>
      <c r="KE92" s="55">
        <f>SUMIFS(tblBudget[Milled_t],tblBudget[Month],"&lt;"&amp;$E92)+$KD92</f>
        <v/>
      </c>
      <c r="KF92" s="55">
        <f>SUMIFS(tblBudget[Feed_oz],tblBudget[Month],$E92)</f>
        <v/>
      </c>
      <c r="KG92" s="55">
        <f>$KF92*$C92/$D92</f>
        <v/>
      </c>
      <c r="KH92" s="55">
        <f>SUMIFS(tblBudget[Feed_oz],tblBudget[Month],"&lt;"&amp;$E92)+$KG92</f>
        <v/>
      </c>
      <c r="KI92" s="56">
        <f>IFERROR(IF(($KC92)&gt;0,($JW92*cfg_TroyOz)/($KC92),""),"")</f>
        <v/>
      </c>
      <c r="KJ92" s="56">
        <f>IFERROR(IF(($KD92)&gt;0,($JX92*cfg_TroyOz)/($KD92),""),"")</f>
        <v/>
      </c>
      <c r="KK92" s="56">
        <f>IFERROR(IF(($KE92)&gt;0,($JY92*cfg_TroyOz)/($KE92),""),"")</f>
        <v/>
      </c>
      <c r="KL92" s="67">
        <f>IFERROR(IF(($KF92)&gt;0,($JZ92)/($KF92),""),"")</f>
        <v/>
      </c>
      <c r="KM92" s="67">
        <f>IFERROR(IF(($KG92)&gt;0,($KA92)/($KG92),""),"")</f>
        <v/>
      </c>
      <c r="KN92" s="67">
        <f>IFERROR(IF(($KH92)&gt;0,($KB92)/($KH92),""),"")</f>
        <v/>
      </c>
      <c r="KO92" s="55">
        <f>SUMIFS(tblBudget[Gold_Poured_oz],tblBudget[Month],$E92)</f>
        <v/>
      </c>
      <c r="KP92" s="55">
        <f>$KO92*$C92/$D92</f>
        <v/>
      </c>
      <c r="KQ92" s="55">
        <f>SUMIFS(tblBudget[Gold_Poured_oz],tblBudget[Month],"&lt;"&amp;$E92)+$KP92</f>
        <v/>
      </c>
      <c r="KR92" s="57">
        <f>SUMIFS(tblBudget[Hours_Worked],tblBudget[Month],$E92)</f>
        <v/>
      </c>
      <c r="KS92" s="57">
        <f>$KR92*$C92/$D92</f>
        <v/>
      </c>
      <c r="KT92" s="57">
        <f>SUMIFS(tblBudget[Hours_Worked],tblBudget[Month],"&lt;"&amp;$E92)+$KS92</f>
        <v/>
      </c>
    </row>
    <row r="93">
      <c r="A93" s="54" t="n">
        <v>46114</v>
      </c>
      <c r="B93">
        <f>MONTH($A93)</f>
        <v/>
      </c>
      <c r="C93">
        <f>DAY($A93)</f>
        <v/>
      </c>
      <c r="D93">
        <f>DAY(EOMONTH($A93,0))</f>
        <v/>
      </c>
      <c r="E93" s="54">
        <f>DATE(YEAR($A93),MONTH($A93),1)</f>
        <v/>
      </c>
      <c r="F93" s="55">
        <f>SUMIFS(tblMovement[Tonnes_t],tblMovement[Date],$A93,tblMovement[Is_Ore],1,tblMovement[Source_Type],"Pit")</f>
        <v/>
      </c>
      <c r="G93" s="55">
        <f>IF($B93=$B92,$G92,0)+$F93</f>
        <v/>
      </c>
      <c r="H93" s="55">
        <f>$H92+$F93</f>
        <v/>
      </c>
      <c r="I93" s="55">
        <f>SUMIFS(tblMovement[Ore_oz],tblMovement[Date],$A93,tblMovement[Source_Type],"Pit")</f>
        <v/>
      </c>
      <c r="J93" s="55">
        <f>IF($B93=$B92,$J92,0)+$I93</f>
        <v/>
      </c>
      <c r="K93" s="55">
        <f>$K92+$I93</f>
        <v/>
      </c>
      <c r="L93" s="55">
        <f>SUMIFS(tblMovement[Tonnes_t],tblMovement[Date],$A93,tblMovement[Is_Ore],1,tblMovement[Source_Type],"Pit",tblMovement[Grade_gpt],"&lt;&gt;")</f>
        <v/>
      </c>
      <c r="M93" s="55">
        <f>IF($B93=$B92,$M92,0)+$L93</f>
        <v/>
      </c>
      <c r="N93" s="55">
        <f>$N92+$L93</f>
        <v/>
      </c>
      <c r="O93" s="56">
        <f>IFERROR(IF(($L93)&gt;0,($I93*cfg_TroyOz)/($L93),""),"")</f>
        <v/>
      </c>
      <c r="P93" s="56">
        <f>IFERROR(IF(($M93)&gt;0,($J93*cfg_TroyOz)/($M93),""),"")</f>
        <v/>
      </c>
      <c r="Q93" s="56">
        <f>IFERROR(IF(($N93)&gt;0,($K93*cfg_TroyOz)/($N93),""),"")</f>
        <v/>
      </c>
      <c r="R93" s="55">
        <f>$F93-$L93</f>
        <v/>
      </c>
      <c r="S93" s="55">
        <f>IF($B93=$B92,$S92,0)+$R93</f>
        <v/>
      </c>
      <c r="T93" s="55">
        <f>$T92+$R93</f>
        <v/>
      </c>
      <c r="U93" s="55">
        <f>SUMIFS(tblMovement[Tonnes_t],tblMovement[Date],$A93,tblMovement[Is_Ore],0,tblMovement[Source_Type],"Pit")</f>
        <v/>
      </c>
      <c r="V93" s="55">
        <f>IF($B93=$B92,$V92,0)+$U93</f>
        <v/>
      </c>
      <c r="W93" s="55">
        <f>$W92+$U93</f>
        <v/>
      </c>
      <c r="X93" s="55">
        <f>$F93+$U93</f>
        <v/>
      </c>
      <c r="Y93" s="55">
        <f>IF($B93=$B92,$Y92,0)+$X93</f>
        <v/>
      </c>
      <c r="Z93" s="55">
        <f>$Z92+$X93</f>
        <v/>
      </c>
      <c r="AA93" s="56">
        <f>IFERROR(IF(($F93)&gt;0,($U93)/($F93),""),"")</f>
        <v/>
      </c>
      <c r="AB93" s="56">
        <f>IFERROR(IF(($G93)&gt;0,($V93)/($G93),""),"")</f>
        <v/>
      </c>
      <c r="AC93" s="56">
        <f>IFERROR(IF(($H93)&gt;0,($W93)/($H93),""),"")</f>
        <v/>
      </c>
      <c r="AD93" s="55">
        <f>SUMIFS(tblMovement[Tonnes_t],tblMovement[Date],$A93,tblMovement[Source_Type],"Stockpile")</f>
        <v/>
      </c>
      <c r="AE93" s="55">
        <f>IF($B93=$B92,$AE92,0)+$AD93</f>
        <v/>
      </c>
      <c r="AF93" s="55">
        <f>$AF92+$AD93</f>
        <v/>
      </c>
      <c r="AG93" s="55">
        <f>SUMIFS(tblMovement[Tonnes_t],tblMovement[Date],$A93)</f>
        <v/>
      </c>
      <c r="AH93" s="55">
        <f>IF($B93=$B92,$AH92,0)+$AG93</f>
        <v/>
      </c>
      <c r="AI93" s="55">
        <f>$AI92+$AG93</f>
        <v/>
      </c>
      <c r="AJ93" s="55">
        <f>$AG93-$X93-$AD93</f>
        <v/>
      </c>
      <c r="AK93" s="55">
        <f>IF($B93=$B92,$AK92,0)+$AJ93</f>
        <v/>
      </c>
      <c r="AL93" s="55">
        <f>$AL92+$AJ93</f>
        <v/>
      </c>
      <c r="AM93" s="55">
        <f>SUMIFS(tblMiningDaily[Drill_m],tblMiningDaily[Date],$A93)</f>
        <v/>
      </c>
      <c r="AN93" s="55">
        <f>IF($B93=$B92,$AN92,0)+$AM93</f>
        <v/>
      </c>
      <c r="AO93" s="55">
        <f>$AO92+$AM93</f>
        <v/>
      </c>
      <c r="AP93" s="55">
        <f>SUMIFS(tblMiningDaily[GC_Drill_m],tblMiningDaily[Date],$A93)</f>
        <v/>
      </c>
      <c r="AQ93" s="55">
        <f>IF($B93=$B92,$AQ92,0)+$AP93</f>
        <v/>
      </c>
      <c r="AR93" s="55">
        <f>$AR92+$AP93</f>
        <v/>
      </c>
      <c r="AS93" s="55">
        <f>SUMIFS(tblMiningDaily[Blast_t],tblMiningDaily[Date],$A93)</f>
        <v/>
      </c>
      <c r="AT93" s="55">
        <f>IF($B93=$B92,$AT92,0)+$AS93</f>
        <v/>
      </c>
      <c r="AU93" s="55">
        <f>$AU92+$AS93</f>
        <v/>
      </c>
      <c r="AV93" s="55">
        <f>SUMIFS(tblMiningDaily[Explosives_kg],tblMiningDaily[Date],$A93)</f>
        <v/>
      </c>
      <c r="AW93" s="55">
        <f>IF($B93=$B92,$AW92,0)+$AV93</f>
        <v/>
      </c>
      <c r="AX93" s="55">
        <f>$AX92+$AV93</f>
        <v/>
      </c>
      <c r="AY93" s="56">
        <f>IFERROR(IF(($AS93)&gt;0,($AV93)/($AS93),""),"")</f>
        <v/>
      </c>
      <c r="AZ93" s="56">
        <f>IFERROR(IF(($AT93)&gt;0,($AW93)/($AT93),""),"")</f>
        <v/>
      </c>
      <c r="BA93" s="56">
        <f>IFERROR(IF(($AU93)&gt;0,($AX93)/($AU93),""),"")</f>
        <v/>
      </c>
      <c r="BB93" s="55">
        <f>SUMIFS(tblMiningDaily[Diesel_L],tblMiningDaily[Date],$A93)</f>
        <v/>
      </c>
      <c r="BC93" s="55">
        <f>IF($B93=$B92,$BC92,0)+$BB93</f>
        <v/>
      </c>
      <c r="BD93" s="55">
        <f>$BD92+$BB93</f>
        <v/>
      </c>
      <c r="BE93" s="55">
        <f>SUMIFS(tblMiningDaily[Dewatering_m3],tblMiningDaily[Date],$A93)</f>
        <v/>
      </c>
      <c r="BF93" s="55">
        <f>IF($B93=$B92,$BF92,0)+$BE93</f>
        <v/>
      </c>
      <c r="BG93" s="55">
        <f>$BG92+$BE93</f>
        <v/>
      </c>
      <c r="BH93" s="57">
        <f>SUMIFS(tblFleet[Calendar_h],tblFleet[Date],$A93,tblFleet[Equipment_Class],"Excavator")</f>
        <v/>
      </c>
      <c r="BI93" s="57">
        <f>IF($B93=$B92,$BI92,0)+$BH93</f>
        <v/>
      </c>
      <c r="BJ93" s="57">
        <f>$BJ92+$BH93</f>
        <v/>
      </c>
      <c r="BK93" s="57">
        <f>SUMIFS(tblFleet[Available_h],tblFleet[Date],$A93,tblFleet[Equipment_Class],"Excavator")</f>
        <v/>
      </c>
      <c r="BL93" s="57">
        <f>IF($B93=$B92,$BL92,0)+$BK93</f>
        <v/>
      </c>
      <c r="BM93" s="57">
        <f>$BM92+$BK93</f>
        <v/>
      </c>
      <c r="BN93" s="57">
        <f>SUMIFS(tblFleet[Operating_h],tblFleet[Date],$A93,tblFleet[Equipment_Class],"Excavator")</f>
        <v/>
      </c>
      <c r="BO93" s="57">
        <f>IF($B93=$B92,$BO92,0)+$BN93</f>
        <v/>
      </c>
      <c r="BP93" s="57">
        <f>$BP92+$BN93</f>
        <v/>
      </c>
      <c r="BQ93" s="67">
        <f>IFERROR(IF(($BH93)&gt;0,($BK93)/($BH93),""),"")</f>
        <v/>
      </c>
      <c r="BR93" s="67">
        <f>IFERROR(IF(($BI93)&gt;0,($BL93)/($BI93),""),"")</f>
        <v/>
      </c>
      <c r="BS93" s="67">
        <f>IFERROR(IF(($BJ93)&gt;0,($BM93)/($BJ93),""),"")</f>
        <v/>
      </c>
      <c r="BT93" s="67">
        <f>IFERROR(IF(($BK93)&gt;0,($BN93)/($BK93),""),"")</f>
        <v/>
      </c>
      <c r="BU93" s="67">
        <f>IFERROR(IF(($BL93)&gt;0,($BO93)/($BL93),""),"")</f>
        <v/>
      </c>
      <c r="BV93" s="67">
        <f>IFERROR(IF(($BM93)&gt;0,($BP93)/($BM93),""),"")</f>
        <v/>
      </c>
      <c r="BW93" s="57">
        <f>SUMIFS(tblFleet[Calendar_h],tblFleet[Date],$A93,tblFleet[Equipment_Class],"Haul Truck")</f>
        <v/>
      </c>
      <c r="BX93" s="57">
        <f>IF($B93=$B92,$BX92,0)+$BW93</f>
        <v/>
      </c>
      <c r="BY93" s="57">
        <f>$BY92+$BW93</f>
        <v/>
      </c>
      <c r="BZ93" s="57">
        <f>SUMIFS(tblFleet[Available_h],tblFleet[Date],$A93,tblFleet[Equipment_Class],"Haul Truck")</f>
        <v/>
      </c>
      <c r="CA93" s="57">
        <f>IF($B93=$B92,$CA92,0)+$BZ93</f>
        <v/>
      </c>
      <c r="CB93" s="57">
        <f>$CB92+$BZ93</f>
        <v/>
      </c>
      <c r="CC93" s="57">
        <f>SUMIFS(tblFleet[Operating_h],tblFleet[Date],$A93,tblFleet[Equipment_Class],"Haul Truck")</f>
        <v/>
      </c>
      <c r="CD93" s="57">
        <f>IF($B93=$B92,$CD92,0)+$CC93</f>
        <v/>
      </c>
      <c r="CE93" s="57">
        <f>$CE92+$CC93</f>
        <v/>
      </c>
      <c r="CF93" s="67">
        <f>IFERROR(IF(($BW93)&gt;0,($BZ93)/($BW93),""),"")</f>
        <v/>
      </c>
      <c r="CG93" s="67">
        <f>IFERROR(IF(($BX93)&gt;0,($CA93)/($BX93),""),"")</f>
        <v/>
      </c>
      <c r="CH93" s="67">
        <f>IFERROR(IF(($BY93)&gt;0,($CB93)/($BY93),""),"")</f>
        <v/>
      </c>
      <c r="CI93" s="67">
        <f>IFERROR(IF(($BZ93)&gt;0,($CC93)/($BZ93),""),"")</f>
        <v/>
      </c>
      <c r="CJ93" s="67">
        <f>IFERROR(IF(($CA93)&gt;0,($CD93)/($CA93),""),"")</f>
        <v/>
      </c>
      <c r="CK93" s="67">
        <f>IFERROR(IF(($CB93)&gt;0,($CE93)/($CB93),""),"")</f>
        <v/>
      </c>
      <c r="CL93" s="55">
        <f>IFERROR(IF(($BN93)&gt;0,($X93+$AD93)/($BN93),""),"")</f>
        <v/>
      </c>
      <c r="CM93" s="55">
        <f>IFERROR(IF(($BO93)&gt;0,($Y93+$AE93)/($BO93),""),"")</f>
        <v/>
      </c>
      <c r="CN93" s="55">
        <f>IFERROR(IF(($BP93)&gt;0,($Z93+$AF93)/($BP93),""),"")</f>
        <v/>
      </c>
      <c r="CO93" s="55">
        <f>IFERROR(IF(($CC93)&gt;0,($X93+$AD93)/($CC93),""),"")</f>
        <v/>
      </c>
      <c r="CP93" s="55">
        <f>IFERROR(IF(($CD93)&gt;0,($Y93+$AE93)/($CD93),""),"")</f>
        <v/>
      </c>
      <c r="CQ93" s="55">
        <f>IFERROR(IF(($CE93)&gt;0,($Z93+$AF93)/($CE93),""),"")</f>
        <v/>
      </c>
      <c r="CR93" s="55">
        <f>SUMIFS(tblPlant[Crushed_t],tblPlant[Date],$A93)</f>
        <v/>
      </c>
      <c r="CS93" s="55">
        <f>IF($B93=$B92,$CS92,0)+$CR93</f>
        <v/>
      </c>
      <c r="CT93" s="55">
        <f>$CT92+$CR93</f>
        <v/>
      </c>
      <c r="CU93" s="55">
        <f>SUMIFS(tblPlant[Milled_t],tblPlant[Date],$A93)</f>
        <v/>
      </c>
      <c r="CV93" s="55">
        <f>IF($B93=$B92,$CV92,0)+$CU93</f>
        <v/>
      </c>
      <c r="CW93" s="55">
        <f>$CW92+$CU93</f>
        <v/>
      </c>
      <c r="CX93" s="55">
        <f>SUMIFS(tblPlant[Feed_oz],tblPlant[Date],$A93)</f>
        <v/>
      </c>
      <c r="CY93" s="55">
        <f>IF($B93=$B92,$CY92,0)+$CX93</f>
        <v/>
      </c>
      <c r="CZ93" s="55">
        <f>$CZ92+$CX93</f>
        <v/>
      </c>
      <c r="DA93" s="55">
        <f>SUMIFS(tblPlant[Tails_oz],tblPlant[Date],$A93)</f>
        <v/>
      </c>
      <c r="DB93" s="55">
        <f>IF($B93=$B92,$DB92,0)+$DA93</f>
        <v/>
      </c>
      <c r="DC93" s="55">
        <f>$DC92+$DA93</f>
        <v/>
      </c>
      <c r="DD93" s="55">
        <f>SUMIFS(tblPlant[Recovered_oz],tblPlant[Date],$A93)</f>
        <v/>
      </c>
      <c r="DE93" s="55">
        <f>IF($B93=$B92,$DE92,0)+$DD93</f>
        <v/>
      </c>
      <c r="DF93" s="55">
        <f>$DF92+$DD93</f>
        <v/>
      </c>
      <c r="DG93" s="55">
        <f>SUMIFS(tblPlant[Milled_t],tblPlant[Date],$A93,tblPlant[Head_Grade_gpt],"&lt;&gt;")</f>
        <v/>
      </c>
      <c r="DH93" s="55">
        <f>IF($B93=$B92,$DH92,0)+$DG93</f>
        <v/>
      </c>
      <c r="DI93" s="55">
        <f>$DI92+$DG93</f>
        <v/>
      </c>
      <c r="DJ93" s="55">
        <f>SUMIFS(tblPlant[Milled_t],tblPlant[Date],$A93,tblPlant[Tails_Grade_gpt],"&lt;&gt;")</f>
        <v/>
      </c>
      <c r="DK93" s="55">
        <f>IF($B93=$B92,$DK92,0)+$DJ93</f>
        <v/>
      </c>
      <c r="DL93" s="55">
        <f>$DL92+$DJ93</f>
        <v/>
      </c>
      <c r="DM93" s="55">
        <f>SUMIFS(tblPlant[Feed_oz],tblPlant[Date],$A93,tblPlant[Tails_Grade_gpt],"&lt;&gt;")</f>
        <v/>
      </c>
      <c r="DN93" s="55">
        <f>IF($B93=$B92,$DN92,0)+$DM93</f>
        <v/>
      </c>
      <c r="DO93" s="55">
        <f>$DO92+$DM93</f>
        <v/>
      </c>
      <c r="DP93" s="55">
        <f>SUMIFS(tblPlant[Milled_t],tblPlant[Date],$A93,tblPlant[Mill_Run_h],"&lt;&gt;")</f>
        <v/>
      </c>
      <c r="DQ93" s="55">
        <f>IF($B93=$B92,$DQ92,0)+$DP93</f>
        <v/>
      </c>
      <c r="DR93" s="55">
        <f>$DR92+$DP93</f>
        <v/>
      </c>
      <c r="DS93" s="56">
        <f>IFERROR(IF(($DG93)&gt;0,($CX93*cfg_TroyOz)/($DG93),""),"")</f>
        <v/>
      </c>
      <c r="DT93" s="56">
        <f>IFERROR(IF(($DH93)&gt;0,($CY93*cfg_TroyOz)/($DH93),""),"")</f>
        <v/>
      </c>
      <c r="DU93" s="56">
        <f>IFERROR(IF(($DI93)&gt;0,($CZ93*cfg_TroyOz)/($DI93),""),"")</f>
        <v/>
      </c>
      <c r="DV93" s="56">
        <f>IFERROR(IF(($DJ93)&gt;0,($DA93*cfg_TroyOz)/($DJ93),""),"")</f>
        <v/>
      </c>
      <c r="DW93" s="56">
        <f>IFERROR(IF(($DK93)&gt;0,($DB93*cfg_TroyOz)/($DK93),""),"")</f>
        <v/>
      </c>
      <c r="DX93" s="56">
        <f>IFERROR(IF(($DL93)&gt;0,($DC93*cfg_TroyOz)/($DL93),""),"")</f>
        <v/>
      </c>
      <c r="DY93" s="67">
        <f>IFERROR(IF(($DM93)&gt;0,($DD93)/($DM93),""),"")</f>
        <v/>
      </c>
      <c r="DZ93" s="67">
        <f>IFERROR(IF(($DN93)&gt;0,($DE93)/($DN93),""),"")</f>
        <v/>
      </c>
      <c r="EA93" s="67">
        <f>IFERROR(IF(($DO93)&gt;0,($DF93)/($DO93),""),"")</f>
        <v/>
      </c>
      <c r="EB93" s="55">
        <f>SUMIFS(tblPlant[Gravity_Gold_oz],tblPlant[Date],$A93)</f>
        <v/>
      </c>
      <c r="EC93" s="55">
        <f>IF($B93=$B92,$EC92,0)+$EB93</f>
        <v/>
      </c>
      <c r="ED93" s="55">
        <f>$ED92+$EB93</f>
        <v/>
      </c>
      <c r="EE93" s="67">
        <f>IFERROR(IF(($DD93)&gt;0,($EB93)/($DD93),""),"")</f>
        <v/>
      </c>
      <c r="EF93" s="67">
        <f>IFERROR(IF(($DE93)&gt;0,($EC93)/($DE93),""),"")</f>
        <v/>
      </c>
      <c r="EG93" s="67">
        <f>IFERROR(IF(($DF93)&gt;0,($ED93)/($DF93),""),"")</f>
        <v/>
      </c>
      <c r="EH93" s="55">
        <f>SUMIFS(tblPlant[Gold_Poured_oz],tblPlant[Date],$A93)</f>
        <v/>
      </c>
      <c r="EI93" s="55">
        <f>IF($B93=$B92,$EI92,0)+$EH93</f>
        <v/>
      </c>
      <c r="EJ93" s="55">
        <f>$EJ92+$EH93</f>
        <v/>
      </c>
      <c r="EK93" s="57">
        <f>SUMIFS(tblPlant[Mill_Run_h],tblPlant[Date],$A93)</f>
        <v/>
      </c>
      <c r="EL93" s="57">
        <f>IF($B93=$B92,$EL92,0)+$EK93</f>
        <v/>
      </c>
      <c r="EM93" s="57">
        <f>$EM92+$EK93</f>
        <v/>
      </c>
      <c r="EN93" s="57">
        <f>SUMIFS(tblPlant[Mill_Planned_Maint_h],tblPlant[Date],$A93)</f>
        <v/>
      </c>
      <c r="EO93" s="57">
        <f>IF($B93=$B92,$EO92,0)+$EN93</f>
        <v/>
      </c>
      <c r="EP93" s="57">
        <f>$EP92+$EN93</f>
        <v/>
      </c>
      <c r="EQ93" s="57">
        <f>SUMIFS(tblPlant[Mill_Unplanned_Down_h],tblPlant[Date],$A93)</f>
        <v/>
      </c>
      <c r="ER93" s="57">
        <f>IF($B93=$B92,$ER92,0)+$EQ93</f>
        <v/>
      </c>
      <c r="ES93" s="57">
        <f>$ES92+$EQ93</f>
        <v/>
      </c>
      <c r="ET93" s="57">
        <f>IF(COUNTIFS(tblPlant[Date],$A93,tblPlant[Mill_Run_h],"&lt;&gt;")+COUNTIFS(tblPlant[Date],$A93,tblPlant[Mill_Planned_Maint_h],"&lt;&gt;")+COUNTIFS(tblPlant[Date],$A93,tblPlant[Mill_Unplanned_Down_h],"&lt;&gt;")&gt;0,cfg_HoursPerDay,0)</f>
        <v/>
      </c>
      <c r="EU93" s="57">
        <f>IF($B93=$B92,$EU92,0)+$ET93</f>
        <v/>
      </c>
      <c r="EV93" s="57">
        <f>$EV92+$ET93</f>
        <v/>
      </c>
      <c r="EW93" s="57">
        <f>SUMIFS(tblPlant[Crusher_Run_h],tblPlant[Date],$A93)</f>
        <v/>
      </c>
      <c r="EX93" s="57">
        <f>IF($B93=$B92,$EX92,0)+$EW93</f>
        <v/>
      </c>
      <c r="EY93" s="57">
        <f>$EY92+$EW93</f>
        <v/>
      </c>
      <c r="EZ93" s="55">
        <f>IFERROR(IF(($EK93)&gt;0,($DP93)/($EK93),""),"")</f>
        <v/>
      </c>
      <c r="FA93" s="55">
        <f>IFERROR(IF(($EL93)&gt;0,($DQ93)/($EL93),""),"")</f>
        <v/>
      </c>
      <c r="FB93" s="55">
        <f>IFERROR(IF(($EM93)&gt;0,($DR93)/($EM93),""),"")</f>
        <v/>
      </c>
      <c r="FC93" s="67">
        <f>IFERROR(IF(($ET93)&gt;0,($ET93-$EN93-$EQ93)/($ET93),""),"")</f>
        <v/>
      </c>
      <c r="FD93" s="67">
        <f>IFERROR(IF(($EU93)&gt;0,($EU93-$EO93-$ER93)/($EU93),""),"")</f>
        <v/>
      </c>
      <c r="FE93" s="67">
        <f>IFERROR(IF(($EV93)&gt;0,($EV93-$EP93-$ES93)/($EV93),""),"")</f>
        <v/>
      </c>
      <c r="FF93" s="67">
        <f>IFERROR(IF(($ET93-$EN93-$EQ93)&gt;0,($EK93)/($ET93-$EN93-$EQ93),""),"")</f>
        <v/>
      </c>
      <c r="FG93" s="67">
        <f>IFERROR(IF(($EU93-$EO93-$ER93)&gt;0,($EL93)/($EU93-$EO93-$ER93),""),"")</f>
        <v/>
      </c>
      <c r="FH93" s="67">
        <f>IFERROR(IF(($EV93-$EP93-$ES93)&gt;0,($EM93)/($EV93-$EP93-$ES93),""),"")</f>
        <v/>
      </c>
      <c r="FI93" s="55">
        <f>SUMIFS(tblPlant[Cyanide_kg],tblPlant[Date],$A93)</f>
        <v/>
      </c>
      <c r="FJ93" s="55">
        <f>IF($B93=$B92,$FJ92,0)+$FI93</f>
        <v/>
      </c>
      <c r="FK93" s="55">
        <f>$FK92+$FI93</f>
        <v/>
      </c>
      <c r="FL93" s="55">
        <f>SUMIFS(tblPlant[Lime_kg],tblPlant[Date],$A93)</f>
        <v/>
      </c>
      <c r="FM93" s="55">
        <f>IF($B93=$B92,$FM92,0)+$FL93</f>
        <v/>
      </c>
      <c r="FN93" s="55">
        <f>$FN92+$FL93</f>
        <v/>
      </c>
      <c r="FO93" s="55">
        <f>SUMIFS(tblPlant[Grinding_Media_kg],tblPlant[Date],$A93)</f>
        <v/>
      </c>
      <c r="FP93" s="55">
        <f>IF($B93=$B92,$FP92,0)+$FO93</f>
        <v/>
      </c>
      <c r="FQ93" s="55">
        <f>$FQ92+$FO93</f>
        <v/>
      </c>
      <c r="FR93" s="55">
        <f>SUMIFS(tblPlant[Power_kWh],tblPlant[Date],$A93)</f>
        <v/>
      </c>
      <c r="FS93" s="55">
        <f>IF($B93=$B92,$FS92,0)+$FR93</f>
        <v/>
      </c>
      <c r="FT93" s="55">
        <f>$FT92+$FR93</f>
        <v/>
      </c>
      <c r="FU93" s="55">
        <f>SUMIFS(tblPlant[Raw_Water_m3],tblPlant[Date],$A93)</f>
        <v/>
      </c>
      <c r="FV93" s="55">
        <f>IF($B93=$B92,$FV92,0)+$FU93</f>
        <v/>
      </c>
      <c r="FW93" s="55">
        <f>$FW92+$FU93</f>
        <v/>
      </c>
      <c r="FX93" s="56">
        <f>IFERROR(IF(($CU93)&gt;0,($FI93)/($CU93),""),"")</f>
        <v/>
      </c>
      <c r="FY93" s="56">
        <f>IFERROR(IF(($CV93)&gt;0,($FJ93)/($CV93),""),"")</f>
        <v/>
      </c>
      <c r="FZ93" s="56">
        <f>IFERROR(IF(($CW93)&gt;0,($FK93)/($CW93),""),"")</f>
        <v/>
      </c>
      <c r="GA93" s="56">
        <f>IFERROR(IF(($CU93)&gt;0,($FL93)/($CU93),""),"")</f>
        <v/>
      </c>
      <c r="GB93" s="56">
        <f>IFERROR(IF(($CV93)&gt;0,($FM93)/($CV93),""),"")</f>
        <v/>
      </c>
      <c r="GC93" s="56">
        <f>IFERROR(IF(($CW93)&gt;0,($FN93)/($CW93),""),"")</f>
        <v/>
      </c>
      <c r="GD93" s="56">
        <f>IFERROR(IF(($CU93)&gt;0,($FO93)/($CU93),""),"")</f>
        <v/>
      </c>
      <c r="GE93" s="56">
        <f>IFERROR(IF(($CV93)&gt;0,($FP93)/($CV93),""),"")</f>
        <v/>
      </c>
      <c r="GF93" s="56">
        <f>IFERROR(IF(($CW93)&gt;0,($FQ93)/($CW93),""),"")</f>
        <v/>
      </c>
      <c r="GG93" s="79">
        <f>IFERROR(IF(($CU93)&gt;0,($FR93)/($CU93),""),"")</f>
        <v/>
      </c>
      <c r="GH93" s="79">
        <f>IFERROR(IF(($CV93)&gt;0,($FS93)/($CV93),""),"")</f>
        <v/>
      </c>
      <c r="GI93" s="79">
        <f>IFERROR(IF(($CW93)&gt;0,($FT93)/($CW93),""),"")</f>
        <v/>
      </c>
      <c r="GJ93" s="56">
        <f>IFERROR(IF(($CU93)&gt;0,($FU93)/($CU93),""),"")</f>
        <v/>
      </c>
      <c r="GK93" s="56">
        <f>IFERROR(IF(($CV93)&gt;0,($FV93)/($CV93),""),"")</f>
        <v/>
      </c>
      <c r="GL93" s="56">
        <f>IFERROR(IF(($CW93)&gt;0,($FW93)/($CW93),""),"")</f>
        <v/>
      </c>
      <c r="GM93" s="55">
        <f>IF(SUMIFS(tblPlant[GIC_oz],tblPlant[Date],$A93)&gt;0,SUMIFS(tblPlant[GIC_oz],tblPlant[Date],$A93),"")</f>
        <v/>
      </c>
      <c r="GN93" s="55">
        <f>SUMIFS(tblGold[Gold_oz],tblGold[Date],$A93,tblGold[Type],"Shipment")</f>
        <v/>
      </c>
      <c r="GO93" s="55">
        <f>IF($B93=$B92,$GO92,0)+$GN93</f>
        <v/>
      </c>
      <c r="GP93" s="55">
        <f>$GP92+$GN93</f>
        <v/>
      </c>
      <c r="GQ93" s="55">
        <f>SUMIFS(tblGold[Gold_oz],tblGold[Date],$A93,tblGold[Type],"Sale")</f>
        <v/>
      </c>
      <c r="GR93" s="55">
        <f>IF($B93=$B92,$GR92,0)+$GQ93</f>
        <v/>
      </c>
      <c r="GS93" s="55">
        <f>$GS92+$GQ93</f>
        <v/>
      </c>
      <c r="GT93" s="55">
        <f>SUMIFS(tblGold[Dore_kg],tblGold[Date],$A93,tblGold[Type],"Shipment")</f>
        <v/>
      </c>
      <c r="GU93" s="55">
        <f>IF($B93=$B92,$GU92,0)+$GT93</f>
        <v/>
      </c>
      <c r="GV93" s="55">
        <f>$GV92+$GT93</f>
        <v/>
      </c>
      <c r="GW93" s="57">
        <f>SUMIFS(tblSafety[Hours_Total],tblSafety[Date],$A93)</f>
        <v/>
      </c>
      <c r="GX93" s="57">
        <f>IF($B93=$B92,$GX92,0)+$GW93</f>
        <v/>
      </c>
      <c r="GY93" s="57">
        <f>$GY92+$GW93</f>
        <v/>
      </c>
      <c r="GZ93" s="62">
        <f>SUMIFS(tblSafety[Fatality],tblSafety[Date],$A93)</f>
        <v/>
      </c>
      <c r="HA93" s="62">
        <f>IF($B93=$B92,$HA92,0)+$GZ93</f>
        <v/>
      </c>
      <c r="HB93" s="62">
        <f>$HB92+$GZ93</f>
        <v/>
      </c>
      <c r="HC93" s="62">
        <f>SUMIFS(tblSafety[LTI],tblSafety[Date],$A93)</f>
        <v/>
      </c>
      <c r="HD93" s="62">
        <f>IF($B93=$B92,$HD92,0)+$HC93</f>
        <v/>
      </c>
      <c r="HE93" s="62">
        <f>$HE92+$HC93</f>
        <v/>
      </c>
      <c r="HF93" s="62">
        <f>SUMIFS(tblSafety[RWI],tblSafety[Date],$A93)</f>
        <v/>
      </c>
      <c r="HG93" s="62">
        <f>IF($B93=$B92,$HG92,0)+$HF93</f>
        <v/>
      </c>
      <c r="HH93" s="62">
        <f>$HH92+$HF93</f>
        <v/>
      </c>
      <c r="HI93" s="62">
        <f>SUMIFS(tblSafety[MTI],tblSafety[Date],$A93)</f>
        <v/>
      </c>
      <c r="HJ93" s="62">
        <f>IF($B93=$B92,$HJ92,0)+$HI93</f>
        <v/>
      </c>
      <c r="HK93" s="62">
        <f>$HK92+$HI93</f>
        <v/>
      </c>
      <c r="HL93" s="62">
        <f>SUMIFS(tblSafety[FAI],tblSafety[Date],$A93)</f>
        <v/>
      </c>
      <c r="HM93" s="62">
        <f>IF($B93=$B92,$HM92,0)+$HL93</f>
        <v/>
      </c>
      <c r="HN93" s="62">
        <f>$HN92+$HL93</f>
        <v/>
      </c>
      <c r="HO93" s="62">
        <f>SUMIFS(tblSafety[Recordables],tblSafety[Date],$A93)</f>
        <v/>
      </c>
      <c r="HP93" s="62">
        <f>IF($B93=$B92,$HP92,0)+$HO93</f>
        <v/>
      </c>
      <c r="HQ93" s="62">
        <f>$HQ92+$HO93</f>
        <v/>
      </c>
      <c r="HR93" s="62">
        <f>SUMIFS(tblSafety[Near_Miss],tblSafety[Date],$A93)</f>
        <v/>
      </c>
      <c r="HS93" s="62">
        <f>IF($B93=$B92,$HS92,0)+$HR93</f>
        <v/>
      </c>
      <c r="HT93" s="62">
        <f>$HT92+$HR93</f>
        <v/>
      </c>
      <c r="HU93" s="62">
        <f>SUMIFS(tblSafety[Hazard_Reports],tblSafety[Date],$A93)</f>
        <v/>
      </c>
      <c r="HV93" s="62">
        <f>IF($B93=$B92,$HV92,0)+$HU93</f>
        <v/>
      </c>
      <c r="HW93" s="62">
        <f>$HW92+$HU93</f>
        <v/>
      </c>
      <c r="HX93" s="62">
        <f>SUMIFS(tblSafety[HPI],tblSafety[Date],$A93)</f>
        <v/>
      </c>
      <c r="HY93" s="62">
        <f>IF($B93=$B92,$HY92,0)+$HX93</f>
        <v/>
      </c>
      <c r="HZ93" s="62">
        <f>$HZ92+$HX93</f>
        <v/>
      </c>
      <c r="IA93" s="62">
        <f>SUMIFS(tblSafety[Env_Incidents],tblSafety[Date],$A93)</f>
        <v/>
      </c>
      <c r="IB93" s="62">
        <f>IF($B93=$B92,$IB92,0)+$IA93</f>
        <v/>
      </c>
      <c r="IC93" s="62">
        <f>$IC92+$IA93</f>
        <v/>
      </c>
      <c r="ID93" s="62">
        <f>SUMIFS(tblSafety[Community_Incidents],tblSafety[Date],$A93)</f>
        <v/>
      </c>
      <c r="IE93" s="62">
        <f>IF($B93=$B92,$IE92,0)+$ID93</f>
        <v/>
      </c>
      <c r="IF93" s="62">
        <f>$IF92+$ID93</f>
        <v/>
      </c>
      <c r="IG93" s="62">
        <f>SUMIFS(tblSafety[Vehicle_Incidents],tblSafety[Date],$A93)</f>
        <v/>
      </c>
      <c r="IH93" s="62">
        <f>IF($B93=$B92,$IH92,0)+$IG93</f>
        <v/>
      </c>
      <c r="II93" s="62">
        <f>$II92+$IG93</f>
        <v/>
      </c>
      <c r="IJ93" s="62">
        <f>SUMIFS(tblSafety[Toolbox_Talks],tblSafety[Date],$A93)</f>
        <v/>
      </c>
      <c r="IK93" s="62">
        <f>IF($B93=$B92,$IK92,0)+$IJ93</f>
        <v/>
      </c>
      <c r="IL93" s="62">
        <f>$IL92+$IJ93</f>
        <v/>
      </c>
      <c r="IM93" s="62">
        <f>SUMIFS(tblSafety[Inspections],tblSafety[Date],$A93)</f>
        <v/>
      </c>
      <c r="IN93" s="62">
        <f>IF($B93=$B92,$IN92,0)+$IM93</f>
        <v/>
      </c>
      <c r="IO93" s="62">
        <f>$IO92+$IM93</f>
        <v/>
      </c>
      <c r="IP93" s="56">
        <f>IFERROR((SUMIFS(tblSafety[Recordables],tblSafety[Date],"&gt;="&amp;EDATE($E93,-12),tblSafety[Date],"&lt;="&amp;$A93)+SUMIFS(tblSafetyHistory[Recordables],tblSafetyHistory[Month],"&gt;="&amp;EDATE($E93,-12),tblSafetyHistory[Month],"&lt;"&amp;$E93,tblSafetyHistory[Use],1))/(SUMIFS(tblSafety[Hours_Total],tblSafety[Date],"&gt;="&amp;EDATE($E93,-12),tblSafety[Date],"&lt;="&amp;$A93)+SUMIFS(tblSafetyHistory[Hours_Total],tblSafetyHistory[Month],"&gt;="&amp;EDATE($E93,-12),tblSafetyHistory[Month],"&lt;"&amp;$E93,tblSafetyHistory[Use],1))*cfg_RateBasisHours,"")</f>
        <v/>
      </c>
      <c r="IQ93" s="56">
        <f>IFERROR((SUMIFS(tblSafety[LTI],tblSafety[Date],"&gt;="&amp;EDATE($E93,-12),tblSafety[Date],"&lt;="&amp;$A93)+SUMIFS(tblSafetyHistory[LTI],tblSafetyHistory[Month],"&gt;="&amp;EDATE($E93,-12),tblSafetyHistory[Month],"&lt;"&amp;$E93,tblSafetyHistory[Use],1))/(SUMIFS(tblSafety[Hours_Total],tblSafety[Date],"&gt;="&amp;EDATE($E93,-12),tblSafety[Date],"&lt;="&amp;$A93)+SUMIFS(tblSafetyHistory[Hours_Total],tblSafetyHistory[Month],"&gt;="&amp;EDATE($E93,-12),tblSafetyHistory[Month],"&lt;"&amp;$E93,tblSafetyHistory[Use],1))*cfg_RateBasisHours,"")</f>
        <v/>
      </c>
      <c r="IR93" s="62">
        <f>IF(MAX(N(cfg_PriorLTIDate),_xlfn.MAXIFS(tblSafety[Date],tblSafety[LTI],"&gt;0",tblSafety[Date],"&lt;="&amp;$A93))=0,"",$A93-MAX(N(cfg_PriorLTIDate),_xlfn.MAXIFS(tblSafety[Date],tblSafety[LTI],"&gt;0",tblSafety[Date],"&lt;="&amp;$A93)))</f>
        <v/>
      </c>
      <c r="IS93" s="55">
        <f>SUMIFS(tblBudget[Ore_Mined_t],tblBudget[Month],$E93)</f>
        <v/>
      </c>
      <c r="IT93" s="55">
        <f>$IS93*$C93/$D93</f>
        <v/>
      </c>
      <c r="IU93" s="55">
        <f>SUMIFS(tblBudget[Ore_Mined_t],tblBudget[Month],"&lt;"&amp;$E93)+$IT93</f>
        <v/>
      </c>
      <c r="IV93" s="55">
        <f>SUMIFS(tblBudget[Ore_oz],tblBudget[Month],$E93)</f>
        <v/>
      </c>
      <c r="IW93" s="55">
        <f>$IV93*$C93/$D93</f>
        <v/>
      </c>
      <c r="IX93" s="55">
        <f>SUMIFS(tblBudget[Ore_oz],tblBudget[Month],"&lt;"&amp;$E93)+$IW93</f>
        <v/>
      </c>
      <c r="IY93" s="55">
        <f>SUMIFS(tblBudget[Ore_Mined_t],tblBudget[Month],$E93)</f>
        <v/>
      </c>
      <c r="IZ93" s="55">
        <f>$IY93*$C93/$D93</f>
        <v/>
      </c>
      <c r="JA93" s="55">
        <f>SUMIFS(tblBudget[Ore_Mined_t],tblBudget[Month],"&lt;"&amp;$E93)+$IZ93</f>
        <v/>
      </c>
      <c r="JB93" s="56">
        <f>IFERROR(IF(($IY93)&gt;0,($IV93*cfg_TroyOz)/($IY93),""),"")</f>
        <v/>
      </c>
      <c r="JC93" s="56">
        <f>IFERROR(IF(($IZ93)&gt;0,($IW93*cfg_TroyOz)/($IZ93),""),"")</f>
        <v/>
      </c>
      <c r="JD93" s="56">
        <f>IFERROR(IF(($JA93)&gt;0,($IX93*cfg_TroyOz)/($JA93),""),"")</f>
        <v/>
      </c>
      <c r="JE93" s="55">
        <f>SUMIFS(tblBudget[Waste_t],tblBudget[Month],$E93)</f>
        <v/>
      </c>
      <c r="JF93" s="55">
        <f>$JE93*$C93/$D93</f>
        <v/>
      </c>
      <c r="JG93" s="55">
        <f>SUMIFS(tblBudget[Waste_t],tblBudget[Month],"&lt;"&amp;$E93)+$JF93</f>
        <v/>
      </c>
      <c r="JH93" s="55">
        <f>SUMIFS(tblBudget[TMM_t],tblBudget[Month],$E93)</f>
        <v/>
      </c>
      <c r="JI93" s="55">
        <f>$JH93*$C93/$D93</f>
        <v/>
      </c>
      <c r="JJ93" s="55">
        <f>SUMIFS(tblBudget[TMM_t],tblBudget[Month],"&lt;"&amp;$E93)+$JI93</f>
        <v/>
      </c>
      <c r="JK93" s="56">
        <f>IFERROR(IF(($IS93)&gt;0,($JE93)/($IS93),""),"")</f>
        <v/>
      </c>
      <c r="JL93" s="56">
        <f>IFERROR(IF(($IT93)&gt;0,($JF93)/($IT93),""),"")</f>
        <v/>
      </c>
      <c r="JM93" s="56">
        <f>IFERROR(IF(($IU93)&gt;0,($JG93)/($IU93),""),"")</f>
        <v/>
      </c>
      <c r="JN93" s="55">
        <f>SUMIFS(tblBudget[Drill_m],tblBudget[Month],$E93)</f>
        <v/>
      </c>
      <c r="JO93" s="55">
        <f>$JN93*$C93/$D93</f>
        <v/>
      </c>
      <c r="JP93" s="55">
        <f>SUMIFS(tblBudget[Drill_m],tblBudget[Month],"&lt;"&amp;$E93)+$JO93</f>
        <v/>
      </c>
      <c r="JQ93" s="55">
        <f>SUMIFS(tblBudget[Diesel_L],tblBudget[Month],$E93)</f>
        <v/>
      </c>
      <c r="JR93" s="55">
        <f>$JQ93*$C93/$D93</f>
        <v/>
      </c>
      <c r="JS93" s="55">
        <f>SUMIFS(tblBudget[Diesel_L],tblBudget[Month],"&lt;"&amp;$E93)+$JR93</f>
        <v/>
      </c>
      <c r="JT93" s="55">
        <f>SUMIFS(tblBudget[Milled_t],tblBudget[Month],$E93)</f>
        <v/>
      </c>
      <c r="JU93" s="55">
        <f>$JT93*$C93/$D93</f>
        <v/>
      </c>
      <c r="JV93" s="55">
        <f>SUMIFS(tblBudget[Milled_t],tblBudget[Month],"&lt;"&amp;$E93)+$JU93</f>
        <v/>
      </c>
      <c r="JW93" s="55">
        <f>SUMIFS(tblBudget[Feed_oz],tblBudget[Month],$E93)</f>
        <v/>
      </c>
      <c r="JX93" s="55">
        <f>$JW93*$C93/$D93</f>
        <v/>
      </c>
      <c r="JY93" s="55">
        <f>SUMIFS(tblBudget[Feed_oz],tblBudget[Month],"&lt;"&amp;$E93)+$JX93</f>
        <v/>
      </c>
      <c r="JZ93" s="55">
        <f>SUMIFS(tblBudget[Recovered_oz],tblBudget[Month],$E93)</f>
        <v/>
      </c>
      <c r="KA93" s="55">
        <f>$JZ93*$C93/$D93</f>
        <v/>
      </c>
      <c r="KB93" s="55">
        <f>SUMIFS(tblBudget[Recovered_oz],tblBudget[Month],"&lt;"&amp;$E93)+$KA93</f>
        <v/>
      </c>
      <c r="KC93" s="55">
        <f>SUMIFS(tblBudget[Milled_t],tblBudget[Month],$E93)</f>
        <v/>
      </c>
      <c r="KD93" s="55">
        <f>$KC93*$C93/$D93</f>
        <v/>
      </c>
      <c r="KE93" s="55">
        <f>SUMIFS(tblBudget[Milled_t],tblBudget[Month],"&lt;"&amp;$E93)+$KD93</f>
        <v/>
      </c>
      <c r="KF93" s="55">
        <f>SUMIFS(tblBudget[Feed_oz],tblBudget[Month],$E93)</f>
        <v/>
      </c>
      <c r="KG93" s="55">
        <f>$KF93*$C93/$D93</f>
        <v/>
      </c>
      <c r="KH93" s="55">
        <f>SUMIFS(tblBudget[Feed_oz],tblBudget[Month],"&lt;"&amp;$E93)+$KG93</f>
        <v/>
      </c>
      <c r="KI93" s="56">
        <f>IFERROR(IF(($KC93)&gt;0,($JW93*cfg_TroyOz)/($KC93),""),"")</f>
        <v/>
      </c>
      <c r="KJ93" s="56">
        <f>IFERROR(IF(($KD93)&gt;0,($JX93*cfg_TroyOz)/($KD93),""),"")</f>
        <v/>
      </c>
      <c r="KK93" s="56">
        <f>IFERROR(IF(($KE93)&gt;0,($JY93*cfg_TroyOz)/($KE93),""),"")</f>
        <v/>
      </c>
      <c r="KL93" s="67">
        <f>IFERROR(IF(($KF93)&gt;0,($JZ93)/($KF93),""),"")</f>
        <v/>
      </c>
      <c r="KM93" s="67">
        <f>IFERROR(IF(($KG93)&gt;0,($KA93)/($KG93),""),"")</f>
        <v/>
      </c>
      <c r="KN93" s="67">
        <f>IFERROR(IF(($KH93)&gt;0,($KB93)/($KH93),""),"")</f>
        <v/>
      </c>
      <c r="KO93" s="55">
        <f>SUMIFS(tblBudget[Gold_Poured_oz],tblBudget[Month],$E93)</f>
        <v/>
      </c>
      <c r="KP93" s="55">
        <f>$KO93*$C93/$D93</f>
        <v/>
      </c>
      <c r="KQ93" s="55">
        <f>SUMIFS(tblBudget[Gold_Poured_oz],tblBudget[Month],"&lt;"&amp;$E93)+$KP93</f>
        <v/>
      </c>
      <c r="KR93" s="57">
        <f>SUMIFS(tblBudget[Hours_Worked],tblBudget[Month],$E93)</f>
        <v/>
      </c>
      <c r="KS93" s="57">
        <f>$KR93*$C93/$D93</f>
        <v/>
      </c>
      <c r="KT93" s="57">
        <f>SUMIFS(tblBudget[Hours_Worked],tblBudget[Month],"&lt;"&amp;$E93)+$KS93</f>
        <v/>
      </c>
    </row>
    <row r="94">
      <c r="A94" s="54" t="n">
        <v>46115</v>
      </c>
      <c r="B94">
        <f>MONTH($A94)</f>
        <v/>
      </c>
      <c r="C94">
        <f>DAY($A94)</f>
        <v/>
      </c>
      <c r="D94">
        <f>DAY(EOMONTH($A94,0))</f>
        <v/>
      </c>
      <c r="E94" s="54">
        <f>DATE(YEAR($A94),MONTH($A94),1)</f>
        <v/>
      </c>
      <c r="F94" s="55">
        <f>SUMIFS(tblMovement[Tonnes_t],tblMovement[Date],$A94,tblMovement[Is_Ore],1,tblMovement[Source_Type],"Pit")</f>
        <v/>
      </c>
      <c r="G94" s="55">
        <f>IF($B94=$B93,$G93,0)+$F94</f>
        <v/>
      </c>
      <c r="H94" s="55">
        <f>$H93+$F94</f>
        <v/>
      </c>
      <c r="I94" s="55">
        <f>SUMIFS(tblMovement[Ore_oz],tblMovement[Date],$A94,tblMovement[Source_Type],"Pit")</f>
        <v/>
      </c>
      <c r="J94" s="55">
        <f>IF($B94=$B93,$J93,0)+$I94</f>
        <v/>
      </c>
      <c r="K94" s="55">
        <f>$K93+$I94</f>
        <v/>
      </c>
      <c r="L94" s="55">
        <f>SUMIFS(tblMovement[Tonnes_t],tblMovement[Date],$A94,tblMovement[Is_Ore],1,tblMovement[Source_Type],"Pit",tblMovement[Grade_gpt],"&lt;&gt;")</f>
        <v/>
      </c>
      <c r="M94" s="55">
        <f>IF($B94=$B93,$M93,0)+$L94</f>
        <v/>
      </c>
      <c r="N94" s="55">
        <f>$N93+$L94</f>
        <v/>
      </c>
      <c r="O94" s="56">
        <f>IFERROR(IF(($L94)&gt;0,($I94*cfg_TroyOz)/($L94),""),"")</f>
        <v/>
      </c>
      <c r="P94" s="56">
        <f>IFERROR(IF(($M94)&gt;0,($J94*cfg_TroyOz)/($M94),""),"")</f>
        <v/>
      </c>
      <c r="Q94" s="56">
        <f>IFERROR(IF(($N94)&gt;0,($K94*cfg_TroyOz)/($N94),""),"")</f>
        <v/>
      </c>
      <c r="R94" s="55">
        <f>$F94-$L94</f>
        <v/>
      </c>
      <c r="S94" s="55">
        <f>IF($B94=$B93,$S93,0)+$R94</f>
        <v/>
      </c>
      <c r="T94" s="55">
        <f>$T93+$R94</f>
        <v/>
      </c>
      <c r="U94" s="55">
        <f>SUMIFS(tblMovement[Tonnes_t],tblMovement[Date],$A94,tblMovement[Is_Ore],0,tblMovement[Source_Type],"Pit")</f>
        <v/>
      </c>
      <c r="V94" s="55">
        <f>IF($B94=$B93,$V93,0)+$U94</f>
        <v/>
      </c>
      <c r="W94" s="55">
        <f>$W93+$U94</f>
        <v/>
      </c>
      <c r="X94" s="55">
        <f>$F94+$U94</f>
        <v/>
      </c>
      <c r="Y94" s="55">
        <f>IF($B94=$B93,$Y93,0)+$X94</f>
        <v/>
      </c>
      <c r="Z94" s="55">
        <f>$Z93+$X94</f>
        <v/>
      </c>
      <c r="AA94" s="56">
        <f>IFERROR(IF(($F94)&gt;0,($U94)/($F94),""),"")</f>
        <v/>
      </c>
      <c r="AB94" s="56">
        <f>IFERROR(IF(($G94)&gt;0,($V94)/($G94),""),"")</f>
        <v/>
      </c>
      <c r="AC94" s="56">
        <f>IFERROR(IF(($H94)&gt;0,($W94)/($H94),""),"")</f>
        <v/>
      </c>
      <c r="AD94" s="55">
        <f>SUMIFS(tblMovement[Tonnes_t],tblMovement[Date],$A94,tblMovement[Source_Type],"Stockpile")</f>
        <v/>
      </c>
      <c r="AE94" s="55">
        <f>IF($B94=$B93,$AE93,0)+$AD94</f>
        <v/>
      </c>
      <c r="AF94" s="55">
        <f>$AF93+$AD94</f>
        <v/>
      </c>
      <c r="AG94" s="55">
        <f>SUMIFS(tblMovement[Tonnes_t],tblMovement[Date],$A94)</f>
        <v/>
      </c>
      <c r="AH94" s="55">
        <f>IF($B94=$B93,$AH93,0)+$AG94</f>
        <v/>
      </c>
      <c r="AI94" s="55">
        <f>$AI93+$AG94</f>
        <v/>
      </c>
      <c r="AJ94" s="55">
        <f>$AG94-$X94-$AD94</f>
        <v/>
      </c>
      <c r="AK94" s="55">
        <f>IF($B94=$B93,$AK93,0)+$AJ94</f>
        <v/>
      </c>
      <c r="AL94" s="55">
        <f>$AL93+$AJ94</f>
        <v/>
      </c>
      <c r="AM94" s="55">
        <f>SUMIFS(tblMiningDaily[Drill_m],tblMiningDaily[Date],$A94)</f>
        <v/>
      </c>
      <c r="AN94" s="55">
        <f>IF($B94=$B93,$AN93,0)+$AM94</f>
        <v/>
      </c>
      <c r="AO94" s="55">
        <f>$AO93+$AM94</f>
        <v/>
      </c>
      <c r="AP94" s="55">
        <f>SUMIFS(tblMiningDaily[GC_Drill_m],tblMiningDaily[Date],$A94)</f>
        <v/>
      </c>
      <c r="AQ94" s="55">
        <f>IF($B94=$B93,$AQ93,0)+$AP94</f>
        <v/>
      </c>
      <c r="AR94" s="55">
        <f>$AR93+$AP94</f>
        <v/>
      </c>
      <c r="AS94" s="55">
        <f>SUMIFS(tblMiningDaily[Blast_t],tblMiningDaily[Date],$A94)</f>
        <v/>
      </c>
      <c r="AT94" s="55">
        <f>IF($B94=$B93,$AT93,0)+$AS94</f>
        <v/>
      </c>
      <c r="AU94" s="55">
        <f>$AU93+$AS94</f>
        <v/>
      </c>
      <c r="AV94" s="55">
        <f>SUMIFS(tblMiningDaily[Explosives_kg],tblMiningDaily[Date],$A94)</f>
        <v/>
      </c>
      <c r="AW94" s="55">
        <f>IF($B94=$B93,$AW93,0)+$AV94</f>
        <v/>
      </c>
      <c r="AX94" s="55">
        <f>$AX93+$AV94</f>
        <v/>
      </c>
      <c r="AY94" s="56">
        <f>IFERROR(IF(($AS94)&gt;0,($AV94)/($AS94),""),"")</f>
        <v/>
      </c>
      <c r="AZ94" s="56">
        <f>IFERROR(IF(($AT94)&gt;0,($AW94)/($AT94),""),"")</f>
        <v/>
      </c>
      <c r="BA94" s="56">
        <f>IFERROR(IF(($AU94)&gt;0,($AX94)/($AU94),""),"")</f>
        <v/>
      </c>
      <c r="BB94" s="55">
        <f>SUMIFS(tblMiningDaily[Diesel_L],tblMiningDaily[Date],$A94)</f>
        <v/>
      </c>
      <c r="BC94" s="55">
        <f>IF($B94=$B93,$BC93,0)+$BB94</f>
        <v/>
      </c>
      <c r="BD94" s="55">
        <f>$BD93+$BB94</f>
        <v/>
      </c>
      <c r="BE94" s="55">
        <f>SUMIFS(tblMiningDaily[Dewatering_m3],tblMiningDaily[Date],$A94)</f>
        <v/>
      </c>
      <c r="BF94" s="55">
        <f>IF($B94=$B93,$BF93,0)+$BE94</f>
        <v/>
      </c>
      <c r="BG94" s="55">
        <f>$BG93+$BE94</f>
        <v/>
      </c>
      <c r="BH94" s="57">
        <f>SUMIFS(tblFleet[Calendar_h],tblFleet[Date],$A94,tblFleet[Equipment_Class],"Excavator")</f>
        <v/>
      </c>
      <c r="BI94" s="57">
        <f>IF($B94=$B93,$BI93,0)+$BH94</f>
        <v/>
      </c>
      <c r="BJ94" s="57">
        <f>$BJ93+$BH94</f>
        <v/>
      </c>
      <c r="BK94" s="57">
        <f>SUMIFS(tblFleet[Available_h],tblFleet[Date],$A94,tblFleet[Equipment_Class],"Excavator")</f>
        <v/>
      </c>
      <c r="BL94" s="57">
        <f>IF($B94=$B93,$BL93,0)+$BK94</f>
        <v/>
      </c>
      <c r="BM94" s="57">
        <f>$BM93+$BK94</f>
        <v/>
      </c>
      <c r="BN94" s="57">
        <f>SUMIFS(tblFleet[Operating_h],tblFleet[Date],$A94,tblFleet[Equipment_Class],"Excavator")</f>
        <v/>
      </c>
      <c r="BO94" s="57">
        <f>IF($B94=$B93,$BO93,0)+$BN94</f>
        <v/>
      </c>
      <c r="BP94" s="57">
        <f>$BP93+$BN94</f>
        <v/>
      </c>
      <c r="BQ94" s="67">
        <f>IFERROR(IF(($BH94)&gt;0,($BK94)/($BH94),""),"")</f>
        <v/>
      </c>
      <c r="BR94" s="67">
        <f>IFERROR(IF(($BI94)&gt;0,($BL94)/($BI94),""),"")</f>
        <v/>
      </c>
      <c r="BS94" s="67">
        <f>IFERROR(IF(($BJ94)&gt;0,($BM94)/($BJ94),""),"")</f>
        <v/>
      </c>
      <c r="BT94" s="67">
        <f>IFERROR(IF(($BK94)&gt;0,($BN94)/($BK94),""),"")</f>
        <v/>
      </c>
      <c r="BU94" s="67">
        <f>IFERROR(IF(($BL94)&gt;0,($BO94)/($BL94),""),"")</f>
        <v/>
      </c>
      <c r="BV94" s="67">
        <f>IFERROR(IF(($BM94)&gt;0,($BP94)/($BM94),""),"")</f>
        <v/>
      </c>
      <c r="BW94" s="57">
        <f>SUMIFS(tblFleet[Calendar_h],tblFleet[Date],$A94,tblFleet[Equipment_Class],"Haul Truck")</f>
        <v/>
      </c>
      <c r="BX94" s="57">
        <f>IF($B94=$B93,$BX93,0)+$BW94</f>
        <v/>
      </c>
      <c r="BY94" s="57">
        <f>$BY93+$BW94</f>
        <v/>
      </c>
      <c r="BZ94" s="57">
        <f>SUMIFS(tblFleet[Available_h],tblFleet[Date],$A94,tblFleet[Equipment_Class],"Haul Truck")</f>
        <v/>
      </c>
      <c r="CA94" s="57">
        <f>IF($B94=$B93,$CA93,0)+$BZ94</f>
        <v/>
      </c>
      <c r="CB94" s="57">
        <f>$CB93+$BZ94</f>
        <v/>
      </c>
      <c r="CC94" s="57">
        <f>SUMIFS(tblFleet[Operating_h],tblFleet[Date],$A94,tblFleet[Equipment_Class],"Haul Truck")</f>
        <v/>
      </c>
      <c r="CD94" s="57">
        <f>IF($B94=$B93,$CD93,0)+$CC94</f>
        <v/>
      </c>
      <c r="CE94" s="57">
        <f>$CE93+$CC94</f>
        <v/>
      </c>
      <c r="CF94" s="67">
        <f>IFERROR(IF(($BW94)&gt;0,($BZ94)/($BW94),""),"")</f>
        <v/>
      </c>
      <c r="CG94" s="67">
        <f>IFERROR(IF(($BX94)&gt;0,($CA94)/($BX94),""),"")</f>
        <v/>
      </c>
      <c r="CH94" s="67">
        <f>IFERROR(IF(($BY94)&gt;0,($CB94)/($BY94),""),"")</f>
        <v/>
      </c>
      <c r="CI94" s="67">
        <f>IFERROR(IF(($BZ94)&gt;0,($CC94)/($BZ94),""),"")</f>
        <v/>
      </c>
      <c r="CJ94" s="67">
        <f>IFERROR(IF(($CA94)&gt;0,($CD94)/($CA94),""),"")</f>
        <v/>
      </c>
      <c r="CK94" s="67">
        <f>IFERROR(IF(($CB94)&gt;0,($CE94)/($CB94),""),"")</f>
        <v/>
      </c>
      <c r="CL94" s="55">
        <f>IFERROR(IF(($BN94)&gt;0,($X94+$AD94)/($BN94),""),"")</f>
        <v/>
      </c>
      <c r="CM94" s="55">
        <f>IFERROR(IF(($BO94)&gt;0,($Y94+$AE94)/($BO94),""),"")</f>
        <v/>
      </c>
      <c r="CN94" s="55">
        <f>IFERROR(IF(($BP94)&gt;0,($Z94+$AF94)/($BP94),""),"")</f>
        <v/>
      </c>
      <c r="CO94" s="55">
        <f>IFERROR(IF(($CC94)&gt;0,($X94+$AD94)/($CC94),""),"")</f>
        <v/>
      </c>
      <c r="CP94" s="55">
        <f>IFERROR(IF(($CD94)&gt;0,($Y94+$AE94)/($CD94),""),"")</f>
        <v/>
      </c>
      <c r="CQ94" s="55">
        <f>IFERROR(IF(($CE94)&gt;0,($Z94+$AF94)/($CE94),""),"")</f>
        <v/>
      </c>
      <c r="CR94" s="55">
        <f>SUMIFS(tblPlant[Crushed_t],tblPlant[Date],$A94)</f>
        <v/>
      </c>
      <c r="CS94" s="55">
        <f>IF($B94=$B93,$CS93,0)+$CR94</f>
        <v/>
      </c>
      <c r="CT94" s="55">
        <f>$CT93+$CR94</f>
        <v/>
      </c>
      <c r="CU94" s="55">
        <f>SUMIFS(tblPlant[Milled_t],tblPlant[Date],$A94)</f>
        <v/>
      </c>
      <c r="CV94" s="55">
        <f>IF($B94=$B93,$CV93,0)+$CU94</f>
        <v/>
      </c>
      <c r="CW94" s="55">
        <f>$CW93+$CU94</f>
        <v/>
      </c>
      <c r="CX94" s="55">
        <f>SUMIFS(tblPlant[Feed_oz],tblPlant[Date],$A94)</f>
        <v/>
      </c>
      <c r="CY94" s="55">
        <f>IF($B94=$B93,$CY93,0)+$CX94</f>
        <v/>
      </c>
      <c r="CZ94" s="55">
        <f>$CZ93+$CX94</f>
        <v/>
      </c>
      <c r="DA94" s="55">
        <f>SUMIFS(tblPlant[Tails_oz],tblPlant[Date],$A94)</f>
        <v/>
      </c>
      <c r="DB94" s="55">
        <f>IF($B94=$B93,$DB93,0)+$DA94</f>
        <v/>
      </c>
      <c r="DC94" s="55">
        <f>$DC93+$DA94</f>
        <v/>
      </c>
      <c r="DD94" s="55">
        <f>SUMIFS(tblPlant[Recovered_oz],tblPlant[Date],$A94)</f>
        <v/>
      </c>
      <c r="DE94" s="55">
        <f>IF($B94=$B93,$DE93,0)+$DD94</f>
        <v/>
      </c>
      <c r="DF94" s="55">
        <f>$DF93+$DD94</f>
        <v/>
      </c>
      <c r="DG94" s="55">
        <f>SUMIFS(tblPlant[Milled_t],tblPlant[Date],$A94,tblPlant[Head_Grade_gpt],"&lt;&gt;")</f>
        <v/>
      </c>
      <c r="DH94" s="55">
        <f>IF($B94=$B93,$DH93,0)+$DG94</f>
        <v/>
      </c>
      <c r="DI94" s="55">
        <f>$DI93+$DG94</f>
        <v/>
      </c>
      <c r="DJ94" s="55">
        <f>SUMIFS(tblPlant[Milled_t],tblPlant[Date],$A94,tblPlant[Tails_Grade_gpt],"&lt;&gt;")</f>
        <v/>
      </c>
      <c r="DK94" s="55">
        <f>IF($B94=$B93,$DK93,0)+$DJ94</f>
        <v/>
      </c>
      <c r="DL94" s="55">
        <f>$DL93+$DJ94</f>
        <v/>
      </c>
      <c r="DM94" s="55">
        <f>SUMIFS(tblPlant[Feed_oz],tblPlant[Date],$A94,tblPlant[Tails_Grade_gpt],"&lt;&gt;")</f>
        <v/>
      </c>
      <c r="DN94" s="55">
        <f>IF($B94=$B93,$DN93,0)+$DM94</f>
        <v/>
      </c>
      <c r="DO94" s="55">
        <f>$DO93+$DM94</f>
        <v/>
      </c>
      <c r="DP94" s="55">
        <f>SUMIFS(tblPlant[Milled_t],tblPlant[Date],$A94,tblPlant[Mill_Run_h],"&lt;&gt;")</f>
        <v/>
      </c>
      <c r="DQ94" s="55">
        <f>IF($B94=$B93,$DQ93,0)+$DP94</f>
        <v/>
      </c>
      <c r="DR94" s="55">
        <f>$DR93+$DP94</f>
        <v/>
      </c>
      <c r="DS94" s="56">
        <f>IFERROR(IF(($DG94)&gt;0,($CX94*cfg_TroyOz)/($DG94),""),"")</f>
        <v/>
      </c>
      <c r="DT94" s="56">
        <f>IFERROR(IF(($DH94)&gt;0,($CY94*cfg_TroyOz)/($DH94),""),"")</f>
        <v/>
      </c>
      <c r="DU94" s="56">
        <f>IFERROR(IF(($DI94)&gt;0,($CZ94*cfg_TroyOz)/($DI94),""),"")</f>
        <v/>
      </c>
      <c r="DV94" s="56">
        <f>IFERROR(IF(($DJ94)&gt;0,($DA94*cfg_TroyOz)/($DJ94),""),"")</f>
        <v/>
      </c>
      <c r="DW94" s="56">
        <f>IFERROR(IF(($DK94)&gt;0,($DB94*cfg_TroyOz)/($DK94),""),"")</f>
        <v/>
      </c>
      <c r="DX94" s="56">
        <f>IFERROR(IF(($DL94)&gt;0,($DC94*cfg_TroyOz)/($DL94),""),"")</f>
        <v/>
      </c>
      <c r="DY94" s="67">
        <f>IFERROR(IF(($DM94)&gt;0,($DD94)/($DM94),""),"")</f>
        <v/>
      </c>
      <c r="DZ94" s="67">
        <f>IFERROR(IF(($DN94)&gt;0,($DE94)/($DN94),""),"")</f>
        <v/>
      </c>
      <c r="EA94" s="67">
        <f>IFERROR(IF(($DO94)&gt;0,($DF94)/($DO94),""),"")</f>
        <v/>
      </c>
      <c r="EB94" s="55">
        <f>SUMIFS(tblPlant[Gravity_Gold_oz],tblPlant[Date],$A94)</f>
        <v/>
      </c>
      <c r="EC94" s="55">
        <f>IF($B94=$B93,$EC93,0)+$EB94</f>
        <v/>
      </c>
      <c r="ED94" s="55">
        <f>$ED93+$EB94</f>
        <v/>
      </c>
      <c r="EE94" s="67">
        <f>IFERROR(IF(($DD94)&gt;0,($EB94)/($DD94),""),"")</f>
        <v/>
      </c>
      <c r="EF94" s="67">
        <f>IFERROR(IF(($DE94)&gt;0,($EC94)/($DE94),""),"")</f>
        <v/>
      </c>
      <c r="EG94" s="67">
        <f>IFERROR(IF(($DF94)&gt;0,($ED94)/($DF94),""),"")</f>
        <v/>
      </c>
      <c r="EH94" s="55">
        <f>SUMIFS(tblPlant[Gold_Poured_oz],tblPlant[Date],$A94)</f>
        <v/>
      </c>
      <c r="EI94" s="55">
        <f>IF($B94=$B93,$EI93,0)+$EH94</f>
        <v/>
      </c>
      <c r="EJ94" s="55">
        <f>$EJ93+$EH94</f>
        <v/>
      </c>
      <c r="EK94" s="57">
        <f>SUMIFS(tblPlant[Mill_Run_h],tblPlant[Date],$A94)</f>
        <v/>
      </c>
      <c r="EL94" s="57">
        <f>IF($B94=$B93,$EL93,0)+$EK94</f>
        <v/>
      </c>
      <c r="EM94" s="57">
        <f>$EM93+$EK94</f>
        <v/>
      </c>
      <c r="EN94" s="57">
        <f>SUMIFS(tblPlant[Mill_Planned_Maint_h],tblPlant[Date],$A94)</f>
        <v/>
      </c>
      <c r="EO94" s="57">
        <f>IF($B94=$B93,$EO93,0)+$EN94</f>
        <v/>
      </c>
      <c r="EP94" s="57">
        <f>$EP93+$EN94</f>
        <v/>
      </c>
      <c r="EQ94" s="57">
        <f>SUMIFS(tblPlant[Mill_Unplanned_Down_h],tblPlant[Date],$A94)</f>
        <v/>
      </c>
      <c r="ER94" s="57">
        <f>IF($B94=$B93,$ER93,0)+$EQ94</f>
        <v/>
      </c>
      <c r="ES94" s="57">
        <f>$ES93+$EQ94</f>
        <v/>
      </c>
      <c r="ET94" s="57">
        <f>IF(COUNTIFS(tblPlant[Date],$A94,tblPlant[Mill_Run_h],"&lt;&gt;")+COUNTIFS(tblPlant[Date],$A94,tblPlant[Mill_Planned_Maint_h],"&lt;&gt;")+COUNTIFS(tblPlant[Date],$A94,tblPlant[Mill_Unplanned_Down_h],"&lt;&gt;")&gt;0,cfg_HoursPerDay,0)</f>
        <v/>
      </c>
      <c r="EU94" s="57">
        <f>IF($B94=$B93,$EU93,0)+$ET94</f>
        <v/>
      </c>
      <c r="EV94" s="57">
        <f>$EV93+$ET94</f>
        <v/>
      </c>
      <c r="EW94" s="57">
        <f>SUMIFS(tblPlant[Crusher_Run_h],tblPlant[Date],$A94)</f>
        <v/>
      </c>
      <c r="EX94" s="57">
        <f>IF($B94=$B93,$EX93,0)+$EW94</f>
        <v/>
      </c>
      <c r="EY94" s="57">
        <f>$EY93+$EW94</f>
        <v/>
      </c>
      <c r="EZ94" s="55">
        <f>IFERROR(IF(($EK94)&gt;0,($DP94)/($EK94),""),"")</f>
        <v/>
      </c>
      <c r="FA94" s="55">
        <f>IFERROR(IF(($EL94)&gt;0,($DQ94)/($EL94),""),"")</f>
        <v/>
      </c>
      <c r="FB94" s="55">
        <f>IFERROR(IF(($EM94)&gt;0,($DR94)/($EM94),""),"")</f>
        <v/>
      </c>
      <c r="FC94" s="67">
        <f>IFERROR(IF(($ET94)&gt;0,($ET94-$EN94-$EQ94)/($ET94),""),"")</f>
        <v/>
      </c>
      <c r="FD94" s="67">
        <f>IFERROR(IF(($EU94)&gt;0,($EU94-$EO94-$ER94)/($EU94),""),"")</f>
        <v/>
      </c>
      <c r="FE94" s="67">
        <f>IFERROR(IF(($EV94)&gt;0,($EV94-$EP94-$ES94)/($EV94),""),"")</f>
        <v/>
      </c>
      <c r="FF94" s="67">
        <f>IFERROR(IF(($ET94-$EN94-$EQ94)&gt;0,($EK94)/($ET94-$EN94-$EQ94),""),"")</f>
        <v/>
      </c>
      <c r="FG94" s="67">
        <f>IFERROR(IF(($EU94-$EO94-$ER94)&gt;0,($EL94)/($EU94-$EO94-$ER94),""),"")</f>
        <v/>
      </c>
      <c r="FH94" s="67">
        <f>IFERROR(IF(($EV94-$EP94-$ES94)&gt;0,($EM94)/($EV94-$EP94-$ES94),""),"")</f>
        <v/>
      </c>
      <c r="FI94" s="55">
        <f>SUMIFS(tblPlant[Cyanide_kg],tblPlant[Date],$A94)</f>
        <v/>
      </c>
      <c r="FJ94" s="55">
        <f>IF($B94=$B93,$FJ93,0)+$FI94</f>
        <v/>
      </c>
      <c r="FK94" s="55">
        <f>$FK93+$FI94</f>
        <v/>
      </c>
      <c r="FL94" s="55">
        <f>SUMIFS(tblPlant[Lime_kg],tblPlant[Date],$A94)</f>
        <v/>
      </c>
      <c r="FM94" s="55">
        <f>IF($B94=$B93,$FM93,0)+$FL94</f>
        <v/>
      </c>
      <c r="FN94" s="55">
        <f>$FN93+$FL94</f>
        <v/>
      </c>
      <c r="FO94" s="55">
        <f>SUMIFS(tblPlant[Grinding_Media_kg],tblPlant[Date],$A94)</f>
        <v/>
      </c>
      <c r="FP94" s="55">
        <f>IF($B94=$B93,$FP93,0)+$FO94</f>
        <v/>
      </c>
      <c r="FQ94" s="55">
        <f>$FQ93+$FO94</f>
        <v/>
      </c>
      <c r="FR94" s="55">
        <f>SUMIFS(tblPlant[Power_kWh],tblPlant[Date],$A94)</f>
        <v/>
      </c>
      <c r="FS94" s="55">
        <f>IF($B94=$B93,$FS93,0)+$FR94</f>
        <v/>
      </c>
      <c r="FT94" s="55">
        <f>$FT93+$FR94</f>
        <v/>
      </c>
      <c r="FU94" s="55">
        <f>SUMIFS(tblPlant[Raw_Water_m3],tblPlant[Date],$A94)</f>
        <v/>
      </c>
      <c r="FV94" s="55">
        <f>IF($B94=$B93,$FV93,0)+$FU94</f>
        <v/>
      </c>
      <c r="FW94" s="55">
        <f>$FW93+$FU94</f>
        <v/>
      </c>
      <c r="FX94" s="56">
        <f>IFERROR(IF(($CU94)&gt;0,($FI94)/($CU94),""),"")</f>
        <v/>
      </c>
      <c r="FY94" s="56">
        <f>IFERROR(IF(($CV94)&gt;0,($FJ94)/($CV94),""),"")</f>
        <v/>
      </c>
      <c r="FZ94" s="56">
        <f>IFERROR(IF(($CW94)&gt;0,($FK94)/($CW94),""),"")</f>
        <v/>
      </c>
      <c r="GA94" s="56">
        <f>IFERROR(IF(($CU94)&gt;0,($FL94)/($CU94),""),"")</f>
        <v/>
      </c>
      <c r="GB94" s="56">
        <f>IFERROR(IF(($CV94)&gt;0,($FM94)/($CV94),""),"")</f>
        <v/>
      </c>
      <c r="GC94" s="56">
        <f>IFERROR(IF(($CW94)&gt;0,($FN94)/($CW94),""),"")</f>
        <v/>
      </c>
      <c r="GD94" s="56">
        <f>IFERROR(IF(($CU94)&gt;0,($FO94)/($CU94),""),"")</f>
        <v/>
      </c>
      <c r="GE94" s="56">
        <f>IFERROR(IF(($CV94)&gt;0,($FP94)/($CV94),""),"")</f>
        <v/>
      </c>
      <c r="GF94" s="56">
        <f>IFERROR(IF(($CW94)&gt;0,($FQ94)/($CW94),""),"")</f>
        <v/>
      </c>
      <c r="GG94" s="79">
        <f>IFERROR(IF(($CU94)&gt;0,($FR94)/($CU94),""),"")</f>
        <v/>
      </c>
      <c r="GH94" s="79">
        <f>IFERROR(IF(($CV94)&gt;0,($FS94)/($CV94),""),"")</f>
        <v/>
      </c>
      <c r="GI94" s="79">
        <f>IFERROR(IF(($CW94)&gt;0,($FT94)/($CW94),""),"")</f>
        <v/>
      </c>
      <c r="GJ94" s="56">
        <f>IFERROR(IF(($CU94)&gt;0,($FU94)/($CU94),""),"")</f>
        <v/>
      </c>
      <c r="GK94" s="56">
        <f>IFERROR(IF(($CV94)&gt;0,($FV94)/($CV94),""),"")</f>
        <v/>
      </c>
      <c r="GL94" s="56">
        <f>IFERROR(IF(($CW94)&gt;0,($FW94)/($CW94),""),"")</f>
        <v/>
      </c>
      <c r="GM94" s="55">
        <f>IF(SUMIFS(tblPlant[GIC_oz],tblPlant[Date],$A94)&gt;0,SUMIFS(tblPlant[GIC_oz],tblPlant[Date],$A94),"")</f>
        <v/>
      </c>
      <c r="GN94" s="55">
        <f>SUMIFS(tblGold[Gold_oz],tblGold[Date],$A94,tblGold[Type],"Shipment")</f>
        <v/>
      </c>
      <c r="GO94" s="55">
        <f>IF($B94=$B93,$GO93,0)+$GN94</f>
        <v/>
      </c>
      <c r="GP94" s="55">
        <f>$GP93+$GN94</f>
        <v/>
      </c>
      <c r="GQ94" s="55">
        <f>SUMIFS(tblGold[Gold_oz],tblGold[Date],$A94,tblGold[Type],"Sale")</f>
        <v/>
      </c>
      <c r="GR94" s="55">
        <f>IF($B94=$B93,$GR93,0)+$GQ94</f>
        <v/>
      </c>
      <c r="GS94" s="55">
        <f>$GS93+$GQ94</f>
        <v/>
      </c>
      <c r="GT94" s="55">
        <f>SUMIFS(tblGold[Dore_kg],tblGold[Date],$A94,tblGold[Type],"Shipment")</f>
        <v/>
      </c>
      <c r="GU94" s="55">
        <f>IF($B94=$B93,$GU93,0)+$GT94</f>
        <v/>
      </c>
      <c r="GV94" s="55">
        <f>$GV93+$GT94</f>
        <v/>
      </c>
      <c r="GW94" s="57">
        <f>SUMIFS(tblSafety[Hours_Total],tblSafety[Date],$A94)</f>
        <v/>
      </c>
      <c r="GX94" s="57">
        <f>IF($B94=$B93,$GX93,0)+$GW94</f>
        <v/>
      </c>
      <c r="GY94" s="57">
        <f>$GY93+$GW94</f>
        <v/>
      </c>
      <c r="GZ94" s="62">
        <f>SUMIFS(tblSafety[Fatality],tblSafety[Date],$A94)</f>
        <v/>
      </c>
      <c r="HA94" s="62">
        <f>IF($B94=$B93,$HA93,0)+$GZ94</f>
        <v/>
      </c>
      <c r="HB94" s="62">
        <f>$HB93+$GZ94</f>
        <v/>
      </c>
      <c r="HC94" s="62">
        <f>SUMIFS(tblSafety[LTI],tblSafety[Date],$A94)</f>
        <v/>
      </c>
      <c r="HD94" s="62">
        <f>IF($B94=$B93,$HD93,0)+$HC94</f>
        <v/>
      </c>
      <c r="HE94" s="62">
        <f>$HE93+$HC94</f>
        <v/>
      </c>
      <c r="HF94" s="62">
        <f>SUMIFS(tblSafety[RWI],tblSafety[Date],$A94)</f>
        <v/>
      </c>
      <c r="HG94" s="62">
        <f>IF($B94=$B93,$HG93,0)+$HF94</f>
        <v/>
      </c>
      <c r="HH94" s="62">
        <f>$HH93+$HF94</f>
        <v/>
      </c>
      <c r="HI94" s="62">
        <f>SUMIFS(tblSafety[MTI],tblSafety[Date],$A94)</f>
        <v/>
      </c>
      <c r="HJ94" s="62">
        <f>IF($B94=$B93,$HJ93,0)+$HI94</f>
        <v/>
      </c>
      <c r="HK94" s="62">
        <f>$HK93+$HI94</f>
        <v/>
      </c>
      <c r="HL94" s="62">
        <f>SUMIFS(tblSafety[FAI],tblSafety[Date],$A94)</f>
        <v/>
      </c>
      <c r="HM94" s="62">
        <f>IF($B94=$B93,$HM93,0)+$HL94</f>
        <v/>
      </c>
      <c r="HN94" s="62">
        <f>$HN93+$HL94</f>
        <v/>
      </c>
      <c r="HO94" s="62">
        <f>SUMIFS(tblSafety[Recordables],tblSafety[Date],$A94)</f>
        <v/>
      </c>
      <c r="HP94" s="62">
        <f>IF($B94=$B93,$HP93,0)+$HO94</f>
        <v/>
      </c>
      <c r="HQ94" s="62">
        <f>$HQ93+$HO94</f>
        <v/>
      </c>
      <c r="HR94" s="62">
        <f>SUMIFS(tblSafety[Near_Miss],tblSafety[Date],$A94)</f>
        <v/>
      </c>
      <c r="HS94" s="62">
        <f>IF($B94=$B93,$HS93,0)+$HR94</f>
        <v/>
      </c>
      <c r="HT94" s="62">
        <f>$HT93+$HR94</f>
        <v/>
      </c>
      <c r="HU94" s="62">
        <f>SUMIFS(tblSafety[Hazard_Reports],tblSafety[Date],$A94)</f>
        <v/>
      </c>
      <c r="HV94" s="62">
        <f>IF($B94=$B93,$HV93,0)+$HU94</f>
        <v/>
      </c>
      <c r="HW94" s="62">
        <f>$HW93+$HU94</f>
        <v/>
      </c>
      <c r="HX94" s="62">
        <f>SUMIFS(tblSafety[HPI],tblSafety[Date],$A94)</f>
        <v/>
      </c>
      <c r="HY94" s="62">
        <f>IF($B94=$B93,$HY93,0)+$HX94</f>
        <v/>
      </c>
      <c r="HZ94" s="62">
        <f>$HZ93+$HX94</f>
        <v/>
      </c>
      <c r="IA94" s="62">
        <f>SUMIFS(tblSafety[Env_Incidents],tblSafety[Date],$A94)</f>
        <v/>
      </c>
      <c r="IB94" s="62">
        <f>IF($B94=$B93,$IB93,0)+$IA94</f>
        <v/>
      </c>
      <c r="IC94" s="62">
        <f>$IC93+$IA94</f>
        <v/>
      </c>
      <c r="ID94" s="62">
        <f>SUMIFS(tblSafety[Community_Incidents],tblSafety[Date],$A94)</f>
        <v/>
      </c>
      <c r="IE94" s="62">
        <f>IF($B94=$B93,$IE93,0)+$ID94</f>
        <v/>
      </c>
      <c r="IF94" s="62">
        <f>$IF93+$ID94</f>
        <v/>
      </c>
      <c r="IG94" s="62">
        <f>SUMIFS(tblSafety[Vehicle_Incidents],tblSafety[Date],$A94)</f>
        <v/>
      </c>
      <c r="IH94" s="62">
        <f>IF($B94=$B93,$IH93,0)+$IG94</f>
        <v/>
      </c>
      <c r="II94" s="62">
        <f>$II93+$IG94</f>
        <v/>
      </c>
      <c r="IJ94" s="62">
        <f>SUMIFS(tblSafety[Toolbox_Talks],tblSafety[Date],$A94)</f>
        <v/>
      </c>
      <c r="IK94" s="62">
        <f>IF($B94=$B93,$IK93,0)+$IJ94</f>
        <v/>
      </c>
      <c r="IL94" s="62">
        <f>$IL93+$IJ94</f>
        <v/>
      </c>
      <c r="IM94" s="62">
        <f>SUMIFS(tblSafety[Inspections],tblSafety[Date],$A94)</f>
        <v/>
      </c>
      <c r="IN94" s="62">
        <f>IF($B94=$B93,$IN93,0)+$IM94</f>
        <v/>
      </c>
      <c r="IO94" s="62">
        <f>$IO93+$IM94</f>
        <v/>
      </c>
      <c r="IP94" s="56">
        <f>IFERROR((SUMIFS(tblSafety[Recordables],tblSafety[Date],"&gt;="&amp;EDATE($E94,-12),tblSafety[Date],"&lt;="&amp;$A94)+SUMIFS(tblSafetyHistory[Recordables],tblSafetyHistory[Month],"&gt;="&amp;EDATE($E94,-12),tblSafetyHistory[Month],"&lt;"&amp;$E94,tblSafetyHistory[Use],1))/(SUMIFS(tblSafety[Hours_Total],tblSafety[Date],"&gt;="&amp;EDATE($E94,-12),tblSafety[Date],"&lt;="&amp;$A94)+SUMIFS(tblSafetyHistory[Hours_Total],tblSafetyHistory[Month],"&gt;="&amp;EDATE($E94,-12),tblSafetyHistory[Month],"&lt;"&amp;$E94,tblSafetyHistory[Use],1))*cfg_RateBasisHours,"")</f>
        <v/>
      </c>
      <c r="IQ94" s="56">
        <f>IFERROR((SUMIFS(tblSafety[LTI],tblSafety[Date],"&gt;="&amp;EDATE($E94,-12),tblSafety[Date],"&lt;="&amp;$A94)+SUMIFS(tblSafetyHistory[LTI],tblSafetyHistory[Month],"&gt;="&amp;EDATE($E94,-12),tblSafetyHistory[Month],"&lt;"&amp;$E94,tblSafetyHistory[Use],1))/(SUMIFS(tblSafety[Hours_Total],tblSafety[Date],"&gt;="&amp;EDATE($E94,-12),tblSafety[Date],"&lt;="&amp;$A94)+SUMIFS(tblSafetyHistory[Hours_Total],tblSafetyHistory[Month],"&gt;="&amp;EDATE($E94,-12),tblSafetyHistory[Month],"&lt;"&amp;$E94,tblSafetyHistory[Use],1))*cfg_RateBasisHours,"")</f>
        <v/>
      </c>
      <c r="IR94" s="62">
        <f>IF(MAX(N(cfg_PriorLTIDate),_xlfn.MAXIFS(tblSafety[Date],tblSafety[LTI],"&gt;0",tblSafety[Date],"&lt;="&amp;$A94))=0,"",$A94-MAX(N(cfg_PriorLTIDate),_xlfn.MAXIFS(tblSafety[Date],tblSafety[LTI],"&gt;0",tblSafety[Date],"&lt;="&amp;$A94)))</f>
        <v/>
      </c>
      <c r="IS94" s="55">
        <f>SUMIFS(tblBudget[Ore_Mined_t],tblBudget[Month],$E94)</f>
        <v/>
      </c>
      <c r="IT94" s="55">
        <f>$IS94*$C94/$D94</f>
        <v/>
      </c>
      <c r="IU94" s="55">
        <f>SUMIFS(tblBudget[Ore_Mined_t],tblBudget[Month],"&lt;"&amp;$E94)+$IT94</f>
        <v/>
      </c>
      <c r="IV94" s="55">
        <f>SUMIFS(tblBudget[Ore_oz],tblBudget[Month],$E94)</f>
        <v/>
      </c>
      <c r="IW94" s="55">
        <f>$IV94*$C94/$D94</f>
        <v/>
      </c>
      <c r="IX94" s="55">
        <f>SUMIFS(tblBudget[Ore_oz],tblBudget[Month],"&lt;"&amp;$E94)+$IW94</f>
        <v/>
      </c>
      <c r="IY94" s="55">
        <f>SUMIFS(tblBudget[Ore_Mined_t],tblBudget[Month],$E94)</f>
        <v/>
      </c>
      <c r="IZ94" s="55">
        <f>$IY94*$C94/$D94</f>
        <v/>
      </c>
      <c r="JA94" s="55">
        <f>SUMIFS(tblBudget[Ore_Mined_t],tblBudget[Month],"&lt;"&amp;$E94)+$IZ94</f>
        <v/>
      </c>
      <c r="JB94" s="56">
        <f>IFERROR(IF(($IY94)&gt;0,($IV94*cfg_TroyOz)/($IY94),""),"")</f>
        <v/>
      </c>
      <c r="JC94" s="56">
        <f>IFERROR(IF(($IZ94)&gt;0,($IW94*cfg_TroyOz)/($IZ94),""),"")</f>
        <v/>
      </c>
      <c r="JD94" s="56">
        <f>IFERROR(IF(($JA94)&gt;0,($IX94*cfg_TroyOz)/($JA94),""),"")</f>
        <v/>
      </c>
      <c r="JE94" s="55">
        <f>SUMIFS(tblBudget[Waste_t],tblBudget[Month],$E94)</f>
        <v/>
      </c>
      <c r="JF94" s="55">
        <f>$JE94*$C94/$D94</f>
        <v/>
      </c>
      <c r="JG94" s="55">
        <f>SUMIFS(tblBudget[Waste_t],tblBudget[Month],"&lt;"&amp;$E94)+$JF94</f>
        <v/>
      </c>
      <c r="JH94" s="55">
        <f>SUMIFS(tblBudget[TMM_t],tblBudget[Month],$E94)</f>
        <v/>
      </c>
      <c r="JI94" s="55">
        <f>$JH94*$C94/$D94</f>
        <v/>
      </c>
      <c r="JJ94" s="55">
        <f>SUMIFS(tblBudget[TMM_t],tblBudget[Month],"&lt;"&amp;$E94)+$JI94</f>
        <v/>
      </c>
      <c r="JK94" s="56">
        <f>IFERROR(IF(($IS94)&gt;0,($JE94)/($IS94),""),"")</f>
        <v/>
      </c>
      <c r="JL94" s="56">
        <f>IFERROR(IF(($IT94)&gt;0,($JF94)/($IT94),""),"")</f>
        <v/>
      </c>
      <c r="JM94" s="56">
        <f>IFERROR(IF(($IU94)&gt;0,($JG94)/($IU94),""),"")</f>
        <v/>
      </c>
      <c r="JN94" s="55">
        <f>SUMIFS(tblBudget[Drill_m],tblBudget[Month],$E94)</f>
        <v/>
      </c>
      <c r="JO94" s="55">
        <f>$JN94*$C94/$D94</f>
        <v/>
      </c>
      <c r="JP94" s="55">
        <f>SUMIFS(tblBudget[Drill_m],tblBudget[Month],"&lt;"&amp;$E94)+$JO94</f>
        <v/>
      </c>
      <c r="JQ94" s="55">
        <f>SUMIFS(tblBudget[Diesel_L],tblBudget[Month],$E94)</f>
        <v/>
      </c>
      <c r="JR94" s="55">
        <f>$JQ94*$C94/$D94</f>
        <v/>
      </c>
      <c r="JS94" s="55">
        <f>SUMIFS(tblBudget[Diesel_L],tblBudget[Month],"&lt;"&amp;$E94)+$JR94</f>
        <v/>
      </c>
      <c r="JT94" s="55">
        <f>SUMIFS(tblBudget[Milled_t],tblBudget[Month],$E94)</f>
        <v/>
      </c>
      <c r="JU94" s="55">
        <f>$JT94*$C94/$D94</f>
        <v/>
      </c>
      <c r="JV94" s="55">
        <f>SUMIFS(tblBudget[Milled_t],tblBudget[Month],"&lt;"&amp;$E94)+$JU94</f>
        <v/>
      </c>
      <c r="JW94" s="55">
        <f>SUMIFS(tblBudget[Feed_oz],tblBudget[Month],$E94)</f>
        <v/>
      </c>
      <c r="JX94" s="55">
        <f>$JW94*$C94/$D94</f>
        <v/>
      </c>
      <c r="JY94" s="55">
        <f>SUMIFS(tblBudget[Feed_oz],tblBudget[Month],"&lt;"&amp;$E94)+$JX94</f>
        <v/>
      </c>
      <c r="JZ94" s="55">
        <f>SUMIFS(tblBudget[Recovered_oz],tblBudget[Month],$E94)</f>
        <v/>
      </c>
      <c r="KA94" s="55">
        <f>$JZ94*$C94/$D94</f>
        <v/>
      </c>
      <c r="KB94" s="55">
        <f>SUMIFS(tblBudget[Recovered_oz],tblBudget[Month],"&lt;"&amp;$E94)+$KA94</f>
        <v/>
      </c>
      <c r="KC94" s="55">
        <f>SUMIFS(tblBudget[Milled_t],tblBudget[Month],$E94)</f>
        <v/>
      </c>
      <c r="KD94" s="55">
        <f>$KC94*$C94/$D94</f>
        <v/>
      </c>
      <c r="KE94" s="55">
        <f>SUMIFS(tblBudget[Milled_t],tblBudget[Month],"&lt;"&amp;$E94)+$KD94</f>
        <v/>
      </c>
      <c r="KF94" s="55">
        <f>SUMIFS(tblBudget[Feed_oz],tblBudget[Month],$E94)</f>
        <v/>
      </c>
      <c r="KG94" s="55">
        <f>$KF94*$C94/$D94</f>
        <v/>
      </c>
      <c r="KH94" s="55">
        <f>SUMIFS(tblBudget[Feed_oz],tblBudget[Month],"&lt;"&amp;$E94)+$KG94</f>
        <v/>
      </c>
      <c r="KI94" s="56">
        <f>IFERROR(IF(($KC94)&gt;0,($JW94*cfg_TroyOz)/($KC94),""),"")</f>
        <v/>
      </c>
      <c r="KJ94" s="56">
        <f>IFERROR(IF(($KD94)&gt;0,($JX94*cfg_TroyOz)/($KD94),""),"")</f>
        <v/>
      </c>
      <c r="KK94" s="56">
        <f>IFERROR(IF(($KE94)&gt;0,($JY94*cfg_TroyOz)/($KE94),""),"")</f>
        <v/>
      </c>
      <c r="KL94" s="67">
        <f>IFERROR(IF(($KF94)&gt;0,($JZ94)/($KF94),""),"")</f>
        <v/>
      </c>
      <c r="KM94" s="67">
        <f>IFERROR(IF(($KG94)&gt;0,($KA94)/($KG94),""),"")</f>
        <v/>
      </c>
      <c r="KN94" s="67">
        <f>IFERROR(IF(($KH94)&gt;0,($KB94)/($KH94),""),"")</f>
        <v/>
      </c>
      <c r="KO94" s="55">
        <f>SUMIFS(tblBudget[Gold_Poured_oz],tblBudget[Month],$E94)</f>
        <v/>
      </c>
      <c r="KP94" s="55">
        <f>$KO94*$C94/$D94</f>
        <v/>
      </c>
      <c r="KQ94" s="55">
        <f>SUMIFS(tblBudget[Gold_Poured_oz],tblBudget[Month],"&lt;"&amp;$E94)+$KP94</f>
        <v/>
      </c>
      <c r="KR94" s="57">
        <f>SUMIFS(tblBudget[Hours_Worked],tblBudget[Month],$E94)</f>
        <v/>
      </c>
      <c r="KS94" s="57">
        <f>$KR94*$C94/$D94</f>
        <v/>
      </c>
      <c r="KT94" s="57">
        <f>SUMIFS(tblBudget[Hours_Worked],tblBudget[Month],"&lt;"&amp;$E94)+$KS94</f>
        <v/>
      </c>
    </row>
    <row r="95">
      <c r="A95" s="54" t="n">
        <v>46116</v>
      </c>
      <c r="B95">
        <f>MONTH($A95)</f>
        <v/>
      </c>
      <c r="C95">
        <f>DAY($A95)</f>
        <v/>
      </c>
      <c r="D95">
        <f>DAY(EOMONTH($A95,0))</f>
        <v/>
      </c>
      <c r="E95" s="54">
        <f>DATE(YEAR($A95),MONTH($A95),1)</f>
        <v/>
      </c>
      <c r="F95" s="55">
        <f>SUMIFS(tblMovement[Tonnes_t],tblMovement[Date],$A95,tblMovement[Is_Ore],1,tblMovement[Source_Type],"Pit")</f>
        <v/>
      </c>
      <c r="G95" s="55">
        <f>IF($B95=$B94,$G94,0)+$F95</f>
        <v/>
      </c>
      <c r="H95" s="55">
        <f>$H94+$F95</f>
        <v/>
      </c>
      <c r="I95" s="55">
        <f>SUMIFS(tblMovement[Ore_oz],tblMovement[Date],$A95,tblMovement[Source_Type],"Pit")</f>
        <v/>
      </c>
      <c r="J95" s="55">
        <f>IF($B95=$B94,$J94,0)+$I95</f>
        <v/>
      </c>
      <c r="K95" s="55">
        <f>$K94+$I95</f>
        <v/>
      </c>
      <c r="L95" s="55">
        <f>SUMIFS(tblMovement[Tonnes_t],tblMovement[Date],$A95,tblMovement[Is_Ore],1,tblMovement[Source_Type],"Pit",tblMovement[Grade_gpt],"&lt;&gt;")</f>
        <v/>
      </c>
      <c r="M95" s="55">
        <f>IF($B95=$B94,$M94,0)+$L95</f>
        <v/>
      </c>
      <c r="N95" s="55">
        <f>$N94+$L95</f>
        <v/>
      </c>
      <c r="O95" s="56">
        <f>IFERROR(IF(($L95)&gt;0,($I95*cfg_TroyOz)/($L95),""),"")</f>
        <v/>
      </c>
      <c r="P95" s="56">
        <f>IFERROR(IF(($M95)&gt;0,($J95*cfg_TroyOz)/($M95),""),"")</f>
        <v/>
      </c>
      <c r="Q95" s="56">
        <f>IFERROR(IF(($N95)&gt;0,($K95*cfg_TroyOz)/($N95),""),"")</f>
        <v/>
      </c>
      <c r="R95" s="55">
        <f>$F95-$L95</f>
        <v/>
      </c>
      <c r="S95" s="55">
        <f>IF($B95=$B94,$S94,0)+$R95</f>
        <v/>
      </c>
      <c r="T95" s="55">
        <f>$T94+$R95</f>
        <v/>
      </c>
      <c r="U95" s="55">
        <f>SUMIFS(tblMovement[Tonnes_t],tblMovement[Date],$A95,tblMovement[Is_Ore],0,tblMovement[Source_Type],"Pit")</f>
        <v/>
      </c>
      <c r="V95" s="55">
        <f>IF($B95=$B94,$V94,0)+$U95</f>
        <v/>
      </c>
      <c r="W95" s="55">
        <f>$W94+$U95</f>
        <v/>
      </c>
      <c r="X95" s="55">
        <f>$F95+$U95</f>
        <v/>
      </c>
      <c r="Y95" s="55">
        <f>IF($B95=$B94,$Y94,0)+$X95</f>
        <v/>
      </c>
      <c r="Z95" s="55">
        <f>$Z94+$X95</f>
        <v/>
      </c>
      <c r="AA95" s="56">
        <f>IFERROR(IF(($F95)&gt;0,($U95)/($F95),""),"")</f>
        <v/>
      </c>
      <c r="AB95" s="56">
        <f>IFERROR(IF(($G95)&gt;0,($V95)/($G95),""),"")</f>
        <v/>
      </c>
      <c r="AC95" s="56">
        <f>IFERROR(IF(($H95)&gt;0,($W95)/($H95),""),"")</f>
        <v/>
      </c>
      <c r="AD95" s="55">
        <f>SUMIFS(tblMovement[Tonnes_t],tblMovement[Date],$A95,tblMovement[Source_Type],"Stockpile")</f>
        <v/>
      </c>
      <c r="AE95" s="55">
        <f>IF($B95=$B94,$AE94,0)+$AD95</f>
        <v/>
      </c>
      <c r="AF95" s="55">
        <f>$AF94+$AD95</f>
        <v/>
      </c>
      <c r="AG95" s="55">
        <f>SUMIFS(tblMovement[Tonnes_t],tblMovement[Date],$A95)</f>
        <v/>
      </c>
      <c r="AH95" s="55">
        <f>IF($B95=$B94,$AH94,0)+$AG95</f>
        <v/>
      </c>
      <c r="AI95" s="55">
        <f>$AI94+$AG95</f>
        <v/>
      </c>
      <c r="AJ95" s="55">
        <f>$AG95-$X95-$AD95</f>
        <v/>
      </c>
      <c r="AK95" s="55">
        <f>IF($B95=$B94,$AK94,0)+$AJ95</f>
        <v/>
      </c>
      <c r="AL95" s="55">
        <f>$AL94+$AJ95</f>
        <v/>
      </c>
      <c r="AM95" s="55">
        <f>SUMIFS(tblMiningDaily[Drill_m],tblMiningDaily[Date],$A95)</f>
        <v/>
      </c>
      <c r="AN95" s="55">
        <f>IF($B95=$B94,$AN94,0)+$AM95</f>
        <v/>
      </c>
      <c r="AO95" s="55">
        <f>$AO94+$AM95</f>
        <v/>
      </c>
      <c r="AP95" s="55">
        <f>SUMIFS(tblMiningDaily[GC_Drill_m],tblMiningDaily[Date],$A95)</f>
        <v/>
      </c>
      <c r="AQ95" s="55">
        <f>IF($B95=$B94,$AQ94,0)+$AP95</f>
        <v/>
      </c>
      <c r="AR95" s="55">
        <f>$AR94+$AP95</f>
        <v/>
      </c>
      <c r="AS95" s="55">
        <f>SUMIFS(tblMiningDaily[Blast_t],tblMiningDaily[Date],$A95)</f>
        <v/>
      </c>
      <c r="AT95" s="55">
        <f>IF($B95=$B94,$AT94,0)+$AS95</f>
        <v/>
      </c>
      <c r="AU95" s="55">
        <f>$AU94+$AS95</f>
        <v/>
      </c>
      <c r="AV95" s="55">
        <f>SUMIFS(tblMiningDaily[Explosives_kg],tblMiningDaily[Date],$A95)</f>
        <v/>
      </c>
      <c r="AW95" s="55">
        <f>IF($B95=$B94,$AW94,0)+$AV95</f>
        <v/>
      </c>
      <c r="AX95" s="55">
        <f>$AX94+$AV95</f>
        <v/>
      </c>
      <c r="AY95" s="56">
        <f>IFERROR(IF(($AS95)&gt;0,($AV95)/($AS95),""),"")</f>
        <v/>
      </c>
      <c r="AZ95" s="56">
        <f>IFERROR(IF(($AT95)&gt;0,($AW95)/($AT95),""),"")</f>
        <v/>
      </c>
      <c r="BA95" s="56">
        <f>IFERROR(IF(($AU95)&gt;0,($AX95)/($AU95),""),"")</f>
        <v/>
      </c>
      <c r="BB95" s="55">
        <f>SUMIFS(tblMiningDaily[Diesel_L],tblMiningDaily[Date],$A95)</f>
        <v/>
      </c>
      <c r="BC95" s="55">
        <f>IF($B95=$B94,$BC94,0)+$BB95</f>
        <v/>
      </c>
      <c r="BD95" s="55">
        <f>$BD94+$BB95</f>
        <v/>
      </c>
      <c r="BE95" s="55">
        <f>SUMIFS(tblMiningDaily[Dewatering_m3],tblMiningDaily[Date],$A95)</f>
        <v/>
      </c>
      <c r="BF95" s="55">
        <f>IF($B95=$B94,$BF94,0)+$BE95</f>
        <v/>
      </c>
      <c r="BG95" s="55">
        <f>$BG94+$BE95</f>
        <v/>
      </c>
      <c r="BH95" s="57">
        <f>SUMIFS(tblFleet[Calendar_h],tblFleet[Date],$A95,tblFleet[Equipment_Class],"Excavator")</f>
        <v/>
      </c>
      <c r="BI95" s="57">
        <f>IF($B95=$B94,$BI94,0)+$BH95</f>
        <v/>
      </c>
      <c r="BJ95" s="57">
        <f>$BJ94+$BH95</f>
        <v/>
      </c>
      <c r="BK95" s="57">
        <f>SUMIFS(tblFleet[Available_h],tblFleet[Date],$A95,tblFleet[Equipment_Class],"Excavator")</f>
        <v/>
      </c>
      <c r="BL95" s="57">
        <f>IF($B95=$B94,$BL94,0)+$BK95</f>
        <v/>
      </c>
      <c r="BM95" s="57">
        <f>$BM94+$BK95</f>
        <v/>
      </c>
      <c r="BN95" s="57">
        <f>SUMIFS(tblFleet[Operating_h],tblFleet[Date],$A95,tblFleet[Equipment_Class],"Excavator")</f>
        <v/>
      </c>
      <c r="BO95" s="57">
        <f>IF($B95=$B94,$BO94,0)+$BN95</f>
        <v/>
      </c>
      <c r="BP95" s="57">
        <f>$BP94+$BN95</f>
        <v/>
      </c>
      <c r="BQ95" s="67">
        <f>IFERROR(IF(($BH95)&gt;0,($BK95)/($BH95),""),"")</f>
        <v/>
      </c>
      <c r="BR95" s="67">
        <f>IFERROR(IF(($BI95)&gt;0,($BL95)/($BI95),""),"")</f>
        <v/>
      </c>
      <c r="BS95" s="67">
        <f>IFERROR(IF(($BJ95)&gt;0,($BM95)/($BJ95),""),"")</f>
        <v/>
      </c>
      <c r="BT95" s="67">
        <f>IFERROR(IF(($BK95)&gt;0,($BN95)/($BK95),""),"")</f>
        <v/>
      </c>
      <c r="BU95" s="67">
        <f>IFERROR(IF(($BL95)&gt;0,($BO95)/($BL95),""),"")</f>
        <v/>
      </c>
      <c r="BV95" s="67">
        <f>IFERROR(IF(($BM95)&gt;0,($BP95)/($BM95),""),"")</f>
        <v/>
      </c>
      <c r="BW95" s="57">
        <f>SUMIFS(tblFleet[Calendar_h],tblFleet[Date],$A95,tblFleet[Equipment_Class],"Haul Truck")</f>
        <v/>
      </c>
      <c r="BX95" s="57">
        <f>IF($B95=$B94,$BX94,0)+$BW95</f>
        <v/>
      </c>
      <c r="BY95" s="57">
        <f>$BY94+$BW95</f>
        <v/>
      </c>
      <c r="BZ95" s="57">
        <f>SUMIFS(tblFleet[Available_h],tblFleet[Date],$A95,tblFleet[Equipment_Class],"Haul Truck")</f>
        <v/>
      </c>
      <c r="CA95" s="57">
        <f>IF($B95=$B94,$CA94,0)+$BZ95</f>
        <v/>
      </c>
      <c r="CB95" s="57">
        <f>$CB94+$BZ95</f>
        <v/>
      </c>
      <c r="CC95" s="57">
        <f>SUMIFS(tblFleet[Operating_h],tblFleet[Date],$A95,tblFleet[Equipment_Class],"Haul Truck")</f>
        <v/>
      </c>
      <c r="CD95" s="57">
        <f>IF($B95=$B94,$CD94,0)+$CC95</f>
        <v/>
      </c>
      <c r="CE95" s="57">
        <f>$CE94+$CC95</f>
        <v/>
      </c>
      <c r="CF95" s="67">
        <f>IFERROR(IF(($BW95)&gt;0,($BZ95)/($BW95),""),"")</f>
        <v/>
      </c>
      <c r="CG95" s="67">
        <f>IFERROR(IF(($BX95)&gt;0,($CA95)/($BX95),""),"")</f>
        <v/>
      </c>
      <c r="CH95" s="67">
        <f>IFERROR(IF(($BY95)&gt;0,($CB95)/($BY95),""),"")</f>
        <v/>
      </c>
      <c r="CI95" s="67">
        <f>IFERROR(IF(($BZ95)&gt;0,($CC95)/($BZ95),""),"")</f>
        <v/>
      </c>
      <c r="CJ95" s="67">
        <f>IFERROR(IF(($CA95)&gt;0,($CD95)/($CA95),""),"")</f>
        <v/>
      </c>
      <c r="CK95" s="67">
        <f>IFERROR(IF(($CB95)&gt;0,($CE95)/($CB95),""),"")</f>
        <v/>
      </c>
      <c r="CL95" s="55">
        <f>IFERROR(IF(($BN95)&gt;0,($X95+$AD95)/($BN95),""),"")</f>
        <v/>
      </c>
      <c r="CM95" s="55">
        <f>IFERROR(IF(($BO95)&gt;0,($Y95+$AE95)/($BO95),""),"")</f>
        <v/>
      </c>
      <c r="CN95" s="55">
        <f>IFERROR(IF(($BP95)&gt;0,($Z95+$AF95)/($BP95),""),"")</f>
        <v/>
      </c>
      <c r="CO95" s="55">
        <f>IFERROR(IF(($CC95)&gt;0,($X95+$AD95)/($CC95),""),"")</f>
        <v/>
      </c>
      <c r="CP95" s="55">
        <f>IFERROR(IF(($CD95)&gt;0,($Y95+$AE95)/($CD95),""),"")</f>
        <v/>
      </c>
      <c r="CQ95" s="55">
        <f>IFERROR(IF(($CE95)&gt;0,($Z95+$AF95)/($CE95),""),"")</f>
        <v/>
      </c>
      <c r="CR95" s="55">
        <f>SUMIFS(tblPlant[Crushed_t],tblPlant[Date],$A95)</f>
        <v/>
      </c>
      <c r="CS95" s="55">
        <f>IF($B95=$B94,$CS94,0)+$CR95</f>
        <v/>
      </c>
      <c r="CT95" s="55">
        <f>$CT94+$CR95</f>
        <v/>
      </c>
      <c r="CU95" s="55">
        <f>SUMIFS(tblPlant[Milled_t],tblPlant[Date],$A95)</f>
        <v/>
      </c>
      <c r="CV95" s="55">
        <f>IF($B95=$B94,$CV94,0)+$CU95</f>
        <v/>
      </c>
      <c r="CW95" s="55">
        <f>$CW94+$CU95</f>
        <v/>
      </c>
      <c r="CX95" s="55">
        <f>SUMIFS(tblPlant[Feed_oz],tblPlant[Date],$A95)</f>
        <v/>
      </c>
      <c r="CY95" s="55">
        <f>IF($B95=$B94,$CY94,0)+$CX95</f>
        <v/>
      </c>
      <c r="CZ95" s="55">
        <f>$CZ94+$CX95</f>
        <v/>
      </c>
      <c r="DA95" s="55">
        <f>SUMIFS(tblPlant[Tails_oz],tblPlant[Date],$A95)</f>
        <v/>
      </c>
      <c r="DB95" s="55">
        <f>IF($B95=$B94,$DB94,0)+$DA95</f>
        <v/>
      </c>
      <c r="DC95" s="55">
        <f>$DC94+$DA95</f>
        <v/>
      </c>
      <c r="DD95" s="55">
        <f>SUMIFS(tblPlant[Recovered_oz],tblPlant[Date],$A95)</f>
        <v/>
      </c>
      <c r="DE95" s="55">
        <f>IF($B95=$B94,$DE94,0)+$DD95</f>
        <v/>
      </c>
      <c r="DF95" s="55">
        <f>$DF94+$DD95</f>
        <v/>
      </c>
      <c r="DG95" s="55">
        <f>SUMIFS(tblPlant[Milled_t],tblPlant[Date],$A95,tblPlant[Head_Grade_gpt],"&lt;&gt;")</f>
        <v/>
      </c>
      <c r="DH95" s="55">
        <f>IF($B95=$B94,$DH94,0)+$DG95</f>
        <v/>
      </c>
      <c r="DI95" s="55">
        <f>$DI94+$DG95</f>
        <v/>
      </c>
      <c r="DJ95" s="55">
        <f>SUMIFS(tblPlant[Milled_t],tblPlant[Date],$A95,tblPlant[Tails_Grade_gpt],"&lt;&gt;")</f>
        <v/>
      </c>
      <c r="DK95" s="55">
        <f>IF($B95=$B94,$DK94,0)+$DJ95</f>
        <v/>
      </c>
      <c r="DL95" s="55">
        <f>$DL94+$DJ95</f>
        <v/>
      </c>
      <c r="DM95" s="55">
        <f>SUMIFS(tblPlant[Feed_oz],tblPlant[Date],$A95,tblPlant[Tails_Grade_gpt],"&lt;&gt;")</f>
        <v/>
      </c>
      <c r="DN95" s="55">
        <f>IF($B95=$B94,$DN94,0)+$DM95</f>
        <v/>
      </c>
      <c r="DO95" s="55">
        <f>$DO94+$DM95</f>
        <v/>
      </c>
      <c r="DP95" s="55">
        <f>SUMIFS(tblPlant[Milled_t],tblPlant[Date],$A95,tblPlant[Mill_Run_h],"&lt;&gt;")</f>
        <v/>
      </c>
      <c r="DQ95" s="55">
        <f>IF($B95=$B94,$DQ94,0)+$DP95</f>
        <v/>
      </c>
      <c r="DR95" s="55">
        <f>$DR94+$DP95</f>
        <v/>
      </c>
      <c r="DS95" s="56">
        <f>IFERROR(IF(($DG95)&gt;0,($CX95*cfg_TroyOz)/($DG95),""),"")</f>
        <v/>
      </c>
      <c r="DT95" s="56">
        <f>IFERROR(IF(($DH95)&gt;0,($CY95*cfg_TroyOz)/($DH95),""),"")</f>
        <v/>
      </c>
      <c r="DU95" s="56">
        <f>IFERROR(IF(($DI95)&gt;0,($CZ95*cfg_TroyOz)/($DI95),""),"")</f>
        <v/>
      </c>
      <c r="DV95" s="56">
        <f>IFERROR(IF(($DJ95)&gt;0,($DA95*cfg_TroyOz)/($DJ95),""),"")</f>
        <v/>
      </c>
      <c r="DW95" s="56">
        <f>IFERROR(IF(($DK95)&gt;0,($DB95*cfg_TroyOz)/($DK95),""),"")</f>
        <v/>
      </c>
      <c r="DX95" s="56">
        <f>IFERROR(IF(($DL95)&gt;0,($DC95*cfg_TroyOz)/($DL95),""),"")</f>
        <v/>
      </c>
      <c r="DY95" s="67">
        <f>IFERROR(IF(($DM95)&gt;0,($DD95)/($DM95),""),"")</f>
        <v/>
      </c>
      <c r="DZ95" s="67">
        <f>IFERROR(IF(($DN95)&gt;0,($DE95)/($DN95),""),"")</f>
        <v/>
      </c>
      <c r="EA95" s="67">
        <f>IFERROR(IF(($DO95)&gt;0,($DF95)/($DO95),""),"")</f>
        <v/>
      </c>
      <c r="EB95" s="55">
        <f>SUMIFS(tblPlant[Gravity_Gold_oz],tblPlant[Date],$A95)</f>
        <v/>
      </c>
      <c r="EC95" s="55">
        <f>IF($B95=$B94,$EC94,0)+$EB95</f>
        <v/>
      </c>
      <c r="ED95" s="55">
        <f>$ED94+$EB95</f>
        <v/>
      </c>
      <c r="EE95" s="67">
        <f>IFERROR(IF(($DD95)&gt;0,($EB95)/($DD95),""),"")</f>
        <v/>
      </c>
      <c r="EF95" s="67">
        <f>IFERROR(IF(($DE95)&gt;0,($EC95)/($DE95),""),"")</f>
        <v/>
      </c>
      <c r="EG95" s="67">
        <f>IFERROR(IF(($DF95)&gt;0,($ED95)/($DF95),""),"")</f>
        <v/>
      </c>
      <c r="EH95" s="55">
        <f>SUMIFS(tblPlant[Gold_Poured_oz],tblPlant[Date],$A95)</f>
        <v/>
      </c>
      <c r="EI95" s="55">
        <f>IF($B95=$B94,$EI94,0)+$EH95</f>
        <v/>
      </c>
      <c r="EJ95" s="55">
        <f>$EJ94+$EH95</f>
        <v/>
      </c>
      <c r="EK95" s="57">
        <f>SUMIFS(tblPlant[Mill_Run_h],tblPlant[Date],$A95)</f>
        <v/>
      </c>
      <c r="EL95" s="57">
        <f>IF($B95=$B94,$EL94,0)+$EK95</f>
        <v/>
      </c>
      <c r="EM95" s="57">
        <f>$EM94+$EK95</f>
        <v/>
      </c>
      <c r="EN95" s="57">
        <f>SUMIFS(tblPlant[Mill_Planned_Maint_h],tblPlant[Date],$A95)</f>
        <v/>
      </c>
      <c r="EO95" s="57">
        <f>IF($B95=$B94,$EO94,0)+$EN95</f>
        <v/>
      </c>
      <c r="EP95" s="57">
        <f>$EP94+$EN95</f>
        <v/>
      </c>
      <c r="EQ95" s="57">
        <f>SUMIFS(tblPlant[Mill_Unplanned_Down_h],tblPlant[Date],$A95)</f>
        <v/>
      </c>
      <c r="ER95" s="57">
        <f>IF($B95=$B94,$ER94,0)+$EQ95</f>
        <v/>
      </c>
      <c r="ES95" s="57">
        <f>$ES94+$EQ95</f>
        <v/>
      </c>
      <c r="ET95" s="57">
        <f>IF(COUNTIFS(tblPlant[Date],$A95,tblPlant[Mill_Run_h],"&lt;&gt;")+COUNTIFS(tblPlant[Date],$A95,tblPlant[Mill_Planned_Maint_h],"&lt;&gt;")+COUNTIFS(tblPlant[Date],$A95,tblPlant[Mill_Unplanned_Down_h],"&lt;&gt;")&gt;0,cfg_HoursPerDay,0)</f>
        <v/>
      </c>
      <c r="EU95" s="57">
        <f>IF($B95=$B94,$EU94,0)+$ET95</f>
        <v/>
      </c>
      <c r="EV95" s="57">
        <f>$EV94+$ET95</f>
        <v/>
      </c>
      <c r="EW95" s="57">
        <f>SUMIFS(tblPlant[Crusher_Run_h],tblPlant[Date],$A95)</f>
        <v/>
      </c>
      <c r="EX95" s="57">
        <f>IF($B95=$B94,$EX94,0)+$EW95</f>
        <v/>
      </c>
      <c r="EY95" s="57">
        <f>$EY94+$EW95</f>
        <v/>
      </c>
      <c r="EZ95" s="55">
        <f>IFERROR(IF(($EK95)&gt;0,($DP95)/($EK95),""),"")</f>
        <v/>
      </c>
      <c r="FA95" s="55">
        <f>IFERROR(IF(($EL95)&gt;0,($DQ95)/($EL95),""),"")</f>
        <v/>
      </c>
      <c r="FB95" s="55">
        <f>IFERROR(IF(($EM95)&gt;0,($DR95)/($EM95),""),"")</f>
        <v/>
      </c>
      <c r="FC95" s="67">
        <f>IFERROR(IF(($ET95)&gt;0,($ET95-$EN95-$EQ95)/($ET95),""),"")</f>
        <v/>
      </c>
      <c r="FD95" s="67">
        <f>IFERROR(IF(($EU95)&gt;0,($EU95-$EO95-$ER95)/($EU95),""),"")</f>
        <v/>
      </c>
      <c r="FE95" s="67">
        <f>IFERROR(IF(($EV95)&gt;0,($EV95-$EP95-$ES95)/($EV95),""),"")</f>
        <v/>
      </c>
      <c r="FF95" s="67">
        <f>IFERROR(IF(($ET95-$EN95-$EQ95)&gt;0,($EK95)/($ET95-$EN95-$EQ95),""),"")</f>
        <v/>
      </c>
      <c r="FG95" s="67">
        <f>IFERROR(IF(($EU95-$EO95-$ER95)&gt;0,($EL95)/($EU95-$EO95-$ER95),""),"")</f>
        <v/>
      </c>
      <c r="FH95" s="67">
        <f>IFERROR(IF(($EV95-$EP95-$ES95)&gt;0,($EM95)/($EV95-$EP95-$ES95),""),"")</f>
        <v/>
      </c>
      <c r="FI95" s="55">
        <f>SUMIFS(tblPlant[Cyanide_kg],tblPlant[Date],$A95)</f>
        <v/>
      </c>
      <c r="FJ95" s="55">
        <f>IF($B95=$B94,$FJ94,0)+$FI95</f>
        <v/>
      </c>
      <c r="FK95" s="55">
        <f>$FK94+$FI95</f>
        <v/>
      </c>
      <c r="FL95" s="55">
        <f>SUMIFS(tblPlant[Lime_kg],tblPlant[Date],$A95)</f>
        <v/>
      </c>
      <c r="FM95" s="55">
        <f>IF($B95=$B94,$FM94,0)+$FL95</f>
        <v/>
      </c>
      <c r="FN95" s="55">
        <f>$FN94+$FL95</f>
        <v/>
      </c>
      <c r="FO95" s="55">
        <f>SUMIFS(tblPlant[Grinding_Media_kg],tblPlant[Date],$A95)</f>
        <v/>
      </c>
      <c r="FP95" s="55">
        <f>IF($B95=$B94,$FP94,0)+$FO95</f>
        <v/>
      </c>
      <c r="FQ95" s="55">
        <f>$FQ94+$FO95</f>
        <v/>
      </c>
      <c r="FR95" s="55">
        <f>SUMIFS(tblPlant[Power_kWh],tblPlant[Date],$A95)</f>
        <v/>
      </c>
      <c r="FS95" s="55">
        <f>IF($B95=$B94,$FS94,0)+$FR95</f>
        <v/>
      </c>
      <c r="FT95" s="55">
        <f>$FT94+$FR95</f>
        <v/>
      </c>
      <c r="FU95" s="55">
        <f>SUMIFS(tblPlant[Raw_Water_m3],tblPlant[Date],$A95)</f>
        <v/>
      </c>
      <c r="FV95" s="55">
        <f>IF($B95=$B94,$FV94,0)+$FU95</f>
        <v/>
      </c>
      <c r="FW95" s="55">
        <f>$FW94+$FU95</f>
        <v/>
      </c>
      <c r="FX95" s="56">
        <f>IFERROR(IF(($CU95)&gt;0,($FI95)/($CU95),""),"")</f>
        <v/>
      </c>
      <c r="FY95" s="56">
        <f>IFERROR(IF(($CV95)&gt;0,($FJ95)/($CV95),""),"")</f>
        <v/>
      </c>
      <c r="FZ95" s="56">
        <f>IFERROR(IF(($CW95)&gt;0,($FK95)/($CW95),""),"")</f>
        <v/>
      </c>
      <c r="GA95" s="56">
        <f>IFERROR(IF(($CU95)&gt;0,($FL95)/($CU95),""),"")</f>
        <v/>
      </c>
      <c r="GB95" s="56">
        <f>IFERROR(IF(($CV95)&gt;0,($FM95)/($CV95),""),"")</f>
        <v/>
      </c>
      <c r="GC95" s="56">
        <f>IFERROR(IF(($CW95)&gt;0,($FN95)/($CW95),""),"")</f>
        <v/>
      </c>
      <c r="GD95" s="56">
        <f>IFERROR(IF(($CU95)&gt;0,($FO95)/($CU95),""),"")</f>
        <v/>
      </c>
      <c r="GE95" s="56">
        <f>IFERROR(IF(($CV95)&gt;0,($FP95)/($CV95),""),"")</f>
        <v/>
      </c>
      <c r="GF95" s="56">
        <f>IFERROR(IF(($CW95)&gt;0,($FQ95)/($CW95),""),"")</f>
        <v/>
      </c>
      <c r="GG95" s="79">
        <f>IFERROR(IF(($CU95)&gt;0,($FR95)/($CU95),""),"")</f>
        <v/>
      </c>
      <c r="GH95" s="79">
        <f>IFERROR(IF(($CV95)&gt;0,($FS95)/($CV95),""),"")</f>
        <v/>
      </c>
      <c r="GI95" s="79">
        <f>IFERROR(IF(($CW95)&gt;0,($FT95)/($CW95),""),"")</f>
        <v/>
      </c>
      <c r="GJ95" s="56">
        <f>IFERROR(IF(($CU95)&gt;0,($FU95)/($CU95),""),"")</f>
        <v/>
      </c>
      <c r="GK95" s="56">
        <f>IFERROR(IF(($CV95)&gt;0,($FV95)/($CV95),""),"")</f>
        <v/>
      </c>
      <c r="GL95" s="56">
        <f>IFERROR(IF(($CW95)&gt;0,($FW95)/($CW95),""),"")</f>
        <v/>
      </c>
      <c r="GM95" s="55">
        <f>IF(SUMIFS(tblPlant[GIC_oz],tblPlant[Date],$A95)&gt;0,SUMIFS(tblPlant[GIC_oz],tblPlant[Date],$A95),"")</f>
        <v/>
      </c>
      <c r="GN95" s="55">
        <f>SUMIFS(tblGold[Gold_oz],tblGold[Date],$A95,tblGold[Type],"Shipment")</f>
        <v/>
      </c>
      <c r="GO95" s="55">
        <f>IF($B95=$B94,$GO94,0)+$GN95</f>
        <v/>
      </c>
      <c r="GP95" s="55">
        <f>$GP94+$GN95</f>
        <v/>
      </c>
      <c r="GQ95" s="55">
        <f>SUMIFS(tblGold[Gold_oz],tblGold[Date],$A95,tblGold[Type],"Sale")</f>
        <v/>
      </c>
      <c r="GR95" s="55">
        <f>IF($B95=$B94,$GR94,0)+$GQ95</f>
        <v/>
      </c>
      <c r="GS95" s="55">
        <f>$GS94+$GQ95</f>
        <v/>
      </c>
      <c r="GT95" s="55">
        <f>SUMIFS(tblGold[Dore_kg],tblGold[Date],$A95,tblGold[Type],"Shipment")</f>
        <v/>
      </c>
      <c r="GU95" s="55">
        <f>IF($B95=$B94,$GU94,0)+$GT95</f>
        <v/>
      </c>
      <c r="GV95" s="55">
        <f>$GV94+$GT95</f>
        <v/>
      </c>
      <c r="GW95" s="57">
        <f>SUMIFS(tblSafety[Hours_Total],tblSafety[Date],$A95)</f>
        <v/>
      </c>
      <c r="GX95" s="57">
        <f>IF($B95=$B94,$GX94,0)+$GW95</f>
        <v/>
      </c>
      <c r="GY95" s="57">
        <f>$GY94+$GW95</f>
        <v/>
      </c>
      <c r="GZ95" s="62">
        <f>SUMIFS(tblSafety[Fatality],tblSafety[Date],$A95)</f>
        <v/>
      </c>
      <c r="HA95" s="62">
        <f>IF($B95=$B94,$HA94,0)+$GZ95</f>
        <v/>
      </c>
      <c r="HB95" s="62">
        <f>$HB94+$GZ95</f>
        <v/>
      </c>
      <c r="HC95" s="62">
        <f>SUMIFS(tblSafety[LTI],tblSafety[Date],$A95)</f>
        <v/>
      </c>
      <c r="HD95" s="62">
        <f>IF($B95=$B94,$HD94,0)+$HC95</f>
        <v/>
      </c>
      <c r="HE95" s="62">
        <f>$HE94+$HC95</f>
        <v/>
      </c>
      <c r="HF95" s="62">
        <f>SUMIFS(tblSafety[RWI],tblSafety[Date],$A95)</f>
        <v/>
      </c>
      <c r="HG95" s="62">
        <f>IF($B95=$B94,$HG94,0)+$HF95</f>
        <v/>
      </c>
      <c r="HH95" s="62">
        <f>$HH94+$HF95</f>
        <v/>
      </c>
      <c r="HI95" s="62">
        <f>SUMIFS(tblSafety[MTI],tblSafety[Date],$A95)</f>
        <v/>
      </c>
      <c r="HJ95" s="62">
        <f>IF($B95=$B94,$HJ94,0)+$HI95</f>
        <v/>
      </c>
      <c r="HK95" s="62">
        <f>$HK94+$HI95</f>
        <v/>
      </c>
      <c r="HL95" s="62">
        <f>SUMIFS(tblSafety[FAI],tblSafety[Date],$A95)</f>
        <v/>
      </c>
      <c r="HM95" s="62">
        <f>IF($B95=$B94,$HM94,0)+$HL95</f>
        <v/>
      </c>
      <c r="HN95" s="62">
        <f>$HN94+$HL95</f>
        <v/>
      </c>
      <c r="HO95" s="62">
        <f>SUMIFS(tblSafety[Recordables],tblSafety[Date],$A95)</f>
        <v/>
      </c>
      <c r="HP95" s="62">
        <f>IF($B95=$B94,$HP94,0)+$HO95</f>
        <v/>
      </c>
      <c r="HQ95" s="62">
        <f>$HQ94+$HO95</f>
        <v/>
      </c>
      <c r="HR95" s="62">
        <f>SUMIFS(tblSafety[Near_Miss],tblSafety[Date],$A95)</f>
        <v/>
      </c>
      <c r="HS95" s="62">
        <f>IF($B95=$B94,$HS94,0)+$HR95</f>
        <v/>
      </c>
      <c r="HT95" s="62">
        <f>$HT94+$HR95</f>
        <v/>
      </c>
      <c r="HU95" s="62">
        <f>SUMIFS(tblSafety[Hazard_Reports],tblSafety[Date],$A95)</f>
        <v/>
      </c>
      <c r="HV95" s="62">
        <f>IF($B95=$B94,$HV94,0)+$HU95</f>
        <v/>
      </c>
      <c r="HW95" s="62">
        <f>$HW94+$HU95</f>
        <v/>
      </c>
      <c r="HX95" s="62">
        <f>SUMIFS(tblSafety[HPI],tblSafety[Date],$A95)</f>
        <v/>
      </c>
      <c r="HY95" s="62">
        <f>IF($B95=$B94,$HY94,0)+$HX95</f>
        <v/>
      </c>
      <c r="HZ95" s="62">
        <f>$HZ94+$HX95</f>
        <v/>
      </c>
      <c r="IA95" s="62">
        <f>SUMIFS(tblSafety[Env_Incidents],tblSafety[Date],$A95)</f>
        <v/>
      </c>
      <c r="IB95" s="62">
        <f>IF($B95=$B94,$IB94,0)+$IA95</f>
        <v/>
      </c>
      <c r="IC95" s="62">
        <f>$IC94+$IA95</f>
        <v/>
      </c>
      <c r="ID95" s="62">
        <f>SUMIFS(tblSafety[Community_Incidents],tblSafety[Date],$A95)</f>
        <v/>
      </c>
      <c r="IE95" s="62">
        <f>IF($B95=$B94,$IE94,0)+$ID95</f>
        <v/>
      </c>
      <c r="IF95" s="62">
        <f>$IF94+$ID95</f>
        <v/>
      </c>
      <c r="IG95" s="62">
        <f>SUMIFS(tblSafety[Vehicle_Incidents],tblSafety[Date],$A95)</f>
        <v/>
      </c>
      <c r="IH95" s="62">
        <f>IF($B95=$B94,$IH94,0)+$IG95</f>
        <v/>
      </c>
      <c r="II95" s="62">
        <f>$II94+$IG95</f>
        <v/>
      </c>
      <c r="IJ95" s="62">
        <f>SUMIFS(tblSafety[Toolbox_Talks],tblSafety[Date],$A95)</f>
        <v/>
      </c>
      <c r="IK95" s="62">
        <f>IF($B95=$B94,$IK94,0)+$IJ95</f>
        <v/>
      </c>
      <c r="IL95" s="62">
        <f>$IL94+$IJ95</f>
        <v/>
      </c>
      <c r="IM95" s="62">
        <f>SUMIFS(tblSafety[Inspections],tblSafety[Date],$A95)</f>
        <v/>
      </c>
      <c r="IN95" s="62">
        <f>IF($B95=$B94,$IN94,0)+$IM95</f>
        <v/>
      </c>
      <c r="IO95" s="62">
        <f>$IO94+$IM95</f>
        <v/>
      </c>
      <c r="IP95" s="56">
        <f>IFERROR((SUMIFS(tblSafety[Recordables],tblSafety[Date],"&gt;="&amp;EDATE($E95,-12),tblSafety[Date],"&lt;="&amp;$A95)+SUMIFS(tblSafetyHistory[Recordables],tblSafetyHistory[Month],"&gt;="&amp;EDATE($E95,-12),tblSafetyHistory[Month],"&lt;"&amp;$E95,tblSafetyHistory[Use],1))/(SUMIFS(tblSafety[Hours_Total],tblSafety[Date],"&gt;="&amp;EDATE($E95,-12),tblSafety[Date],"&lt;="&amp;$A95)+SUMIFS(tblSafetyHistory[Hours_Total],tblSafetyHistory[Month],"&gt;="&amp;EDATE($E95,-12),tblSafetyHistory[Month],"&lt;"&amp;$E95,tblSafetyHistory[Use],1))*cfg_RateBasisHours,"")</f>
        <v/>
      </c>
      <c r="IQ95" s="56">
        <f>IFERROR((SUMIFS(tblSafety[LTI],tblSafety[Date],"&gt;="&amp;EDATE($E95,-12),tblSafety[Date],"&lt;="&amp;$A95)+SUMIFS(tblSafetyHistory[LTI],tblSafetyHistory[Month],"&gt;="&amp;EDATE($E95,-12),tblSafetyHistory[Month],"&lt;"&amp;$E95,tblSafetyHistory[Use],1))/(SUMIFS(tblSafety[Hours_Total],tblSafety[Date],"&gt;="&amp;EDATE($E95,-12),tblSafety[Date],"&lt;="&amp;$A95)+SUMIFS(tblSafetyHistory[Hours_Total],tblSafetyHistory[Month],"&gt;="&amp;EDATE($E95,-12),tblSafetyHistory[Month],"&lt;"&amp;$E95,tblSafetyHistory[Use],1))*cfg_RateBasisHours,"")</f>
        <v/>
      </c>
      <c r="IR95" s="62">
        <f>IF(MAX(N(cfg_PriorLTIDate),_xlfn.MAXIFS(tblSafety[Date],tblSafety[LTI],"&gt;0",tblSafety[Date],"&lt;="&amp;$A95))=0,"",$A95-MAX(N(cfg_PriorLTIDate),_xlfn.MAXIFS(tblSafety[Date],tblSafety[LTI],"&gt;0",tblSafety[Date],"&lt;="&amp;$A95)))</f>
        <v/>
      </c>
      <c r="IS95" s="55">
        <f>SUMIFS(tblBudget[Ore_Mined_t],tblBudget[Month],$E95)</f>
        <v/>
      </c>
      <c r="IT95" s="55">
        <f>$IS95*$C95/$D95</f>
        <v/>
      </c>
      <c r="IU95" s="55">
        <f>SUMIFS(tblBudget[Ore_Mined_t],tblBudget[Month],"&lt;"&amp;$E95)+$IT95</f>
        <v/>
      </c>
      <c r="IV95" s="55">
        <f>SUMIFS(tblBudget[Ore_oz],tblBudget[Month],$E95)</f>
        <v/>
      </c>
      <c r="IW95" s="55">
        <f>$IV95*$C95/$D95</f>
        <v/>
      </c>
      <c r="IX95" s="55">
        <f>SUMIFS(tblBudget[Ore_oz],tblBudget[Month],"&lt;"&amp;$E95)+$IW95</f>
        <v/>
      </c>
      <c r="IY95" s="55">
        <f>SUMIFS(tblBudget[Ore_Mined_t],tblBudget[Month],$E95)</f>
        <v/>
      </c>
      <c r="IZ95" s="55">
        <f>$IY95*$C95/$D95</f>
        <v/>
      </c>
      <c r="JA95" s="55">
        <f>SUMIFS(tblBudget[Ore_Mined_t],tblBudget[Month],"&lt;"&amp;$E95)+$IZ95</f>
        <v/>
      </c>
      <c r="JB95" s="56">
        <f>IFERROR(IF(($IY95)&gt;0,($IV95*cfg_TroyOz)/($IY95),""),"")</f>
        <v/>
      </c>
      <c r="JC95" s="56">
        <f>IFERROR(IF(($IZ95)&gt;0,($IW95*cfg_TroyOz)/($IZ95),""),"")</f>
        <v/>
      </c>
      <c r="JD95" s="56">
        <f>IFERROR(IF(($JA95)&gt;0,($IX95*cfg_TroyOz)/($JA95),""),"")</f>
        <v/>
      </c>
      <c r="JE95" s="55">
        <f>SUMIFS(tblBudget[Waste_t],tblBudget[Month],$E95)</f>
        <v/>
      </c>
      <c r="JF95" s="55">
        <f>$JE95*$C95/$D95</f>
        <v/>
      </c>
      <c r="JG95" s="55">
        <f>SUMIFS(tblBudget[Waste_t],tblBudget[Month],"&lt;"&amp;$E95)+$JF95</f>
        <v/>
      </c>
      <c r="JH95" s="55">
        <f>SUMIFS(tblBudget[TMM_t],tblBudget[Month],$E95)</f>
        <v/>
      </c>
      <c r="JI95" s="55">
        <f>$JH95*$C95/$D95</f>
        <v/>
      </c>
      <c r="JJ95" s="55">
        <f>SUMIFS(tblBudget[TMM_t],tblBudget[Month],"&lt;"&amp;$E95)+$JI95</f>
        <v/>
      </c>
      <c r="JK95" s="56">
        <f>IFERROR(IF(($IS95)&gt;0,($JE95)/($IS95),""),"")</f>
        <v/>
      </c>
      <c r="JL95" s="56">
        <f>IFERROR(IF(($IT95)&gt;0,($JF95)/($IT95),""),"")</f>
        <v/>
      </c>
      <c r="JM95" s="56">
        <f>IFERROR(IF(($IU95)&gt;0,($JG95)/($IU95),""),"")</f>
        <v/>
      </c>
      <c r="JN95" s="55">
        <f>SUMIFS(tblBudget[Drill_m],tblBudget[Month],$E95)</f>
        <v/>
      </c>
      <c r="JO95" s="55">
        <f>$JN95*$C95/$D95</f>
        <v/>
      </c>
      <c r="JP95" s="55">
        <f>SUMIFS(tblBudget[Drill_m],tblBudget[Month],"&lt;"&amp;$E95)+$JO95</f>
        <v/>
      </c>
      <c r="JQ95" s="55">
        <f>SUMIFS(tblBudget[Diesel_L],tblBudget[Month],$E95)</f>
        <v/>
      </c>
      <c r="JR95" s="55">
        <f>$JQ95*$C95/$D95</f>
        <v/>
      </c>
      <c r="JS95" s="55">
        <f>SUMIFS(tblBudget[Diesel_L],tblBudget[Month],"&lt;"&amp;$E95)+$JR95</f>
        <v/>
      </c>
      <c r="JT95" s="55">
        <f>SUMIFS(tblBudget[Milled_t],tblBudget[Month],$E95)</f>
        <v/>
      </c>
      <c r="JU95" s="55">
        <f>$JT95*$C95/$D95</f>
        <v/>
      </c>
      <c r="JV95" s="55">
        <f>SUMIFS(tblBudget[Milled_t],tblBudget[Month],"&lt;"&amp;$E95)+$JU95</f>
        <v/>
      </c>
      <c r="JW95" s="55">
        <f>SUMIFS(tblBudget[Feed_oz],tblBudget[Month],$E95)</f>
        <v/>
      </c>
      <c r="JX95" s="55">
        <f>$JW95*$C95/$D95</f>
        <v/>
      </c>
      <c r="JY95" s="55">
        <f>SUMIFS(tblBudget[Feed_oz],tblBudget[Month],"&lt;"&amp;$E95)+$JX95</f>
        <v/>
      </c>
      <c r="JZ95" s="55">
        <f>SUMIFS(tblBudget[Recovered_oz],tblBudget[Month],$E95)</f>
        <v/>
      </c>
      <c r="KA95" s="55">
        <f>$JZ95*$C95/$D95</f>
        <v/>
      </c>
      <c r="KB95" s="55">
        <f>SUMIFS(tblBudget[Recovered_oz],tblBudget[Month],"&lt;"&amp;$E95)+$KA95</f>
        <v/>
      </c>
      <c r="KC95" s="55">
        <f>SUMIFS(tblBudget[Milled_t],tblBudget[Month],$E95)</f>
        <v/>
      </c>
      <c r="KD95" s="55">
        <f>$KC95*$C95/$D95</f>
        <v/>
      </c>
      <c r="KE95" s="55">
        <f>SUMIFS(tblBudget[Milled_t],tblBudget[Month],"&lt;"&amp;$E95)+$KD95</f>
        <v/>
      </c>
      <c r="KF95" s="55">
        <f>SUMIFS(tblBudget[Feed_oz],tblBudget[Month],$E95)</f>
        <v/>
      </c>
      <c r="KG95" s="55">
        <f>$KF95*$C95/$D95</f>
        <v/>
      </c>
      <c r="KH95" s="55">
        <f>SUMIFS(tblBudget[Feed_oz],tblBudget[Month],"&lt;"&amp;$E95)+$KG95</f>
        <v/>
      </c>
      <c r="KI95" s="56">
        <f>IFERROR(IF(($KC95)&gt;0,($JW95*cfg_TroyOz)/($KC95),""),"")</f>
        <v/>
      </c>
      <c r="KJ95" s="56">
        <f>IFERROR(IF(($KD95)&gt;0,($JX95*cfg_TroyOz)/($KD95),""),"")</f>
        <v/>
      </c>
      <c r="KK95" s="56">
        <f>IFERROR(IF(($KE95)&gt;0,($JY95*cfg_TroyOz)/($KE95),""),"")</f>
        <v/>
      </c>
      <c r="KL95" s="67">
        <f>IFERROR(IF(($KF95)&gt;0,($JZ95)/($KF95),""),"")</f>
        <v/>
      </c>
      <c r="KM95" s="67">
        <f>IFERROR(IF(($KG95)&gt;0,($KA95)/($KG95),""),"")</f>
        <v/>
      </c>
      <c r="KN95" s="67">
        <f>IFERROR(IF(($KH95)&gt;0,($KB95)/($KH95),""),"")</f>
        <v/>
      </c>
      <c r="KO95" s="55">
        <f>SUMIFS(tblBudget[Gold_Poured_oz],tblBudget[Month],$E95)</f>
        <v/>
      </c>
      <c r="KP95" s="55">
        <f>$KO95*$C95/$D95</f>
        <v/>
      </c>
      <c r="KQ95" s="55">
        <f>SUMIFS(tblBudget[Gold_Poured_oz],tblBudget[Month],"&lt;"&amp;$E95)+$KP95</f>
        <v/>
      </c>
      <c r="KR95" s="57">
        <f>SUMIFS(tblBudget[Hours_Worked],tblBudget[Month],$E95)</f>
        <v/>
      </c>
      <c r="KS95" s="57">
        <f>$KR95*$C95/$D95</f>
        <v/>
      </c>
      <c r="KT95" s="57">
        <f>SUMIFS(tblBudget[Hours_Worked],tblBudget[Month],"&lt;"&amp;$E95)+$KS95</f>
        <v/>
      </c>
    </row>
    <row r="96">
      <c r="A96" s="54" t="n">
        <v>46117</v>
      </c>
      <c r="B96">
        <f>MONTH($A96)</f>
        <v/>
      </c>
      <c r="C96">
        <f>DAY($A96)</f>
        <v/>
      </c>
      <c r="D96">
        <f>DAY(EOMONTH($A96,0))</f>
        <v/>
      </c>
      <c r="E96" s="54">
        <f>DATE(YEAR($A96),MONTH($A96),1)</f>
        <v/>
      </c>
      <c r="F96" s="55">
        <f>SUMIFS(tblMovement[Tonnes_t],tblMovement[Date],$A96,tblMovement[Is_Ore],1,tblMovement[Source_Type],"Pit")</f>
        <v/>
      </c>
      <c r="G96" s="55">
        <f>IF($B96=$B95,$G95,0)+$F96</f>
        <v/>
      </c>
      <c r="H96" s="55">
        <f>$H95+$F96</f>
        <v/>
      </c>
      <c r="I96" s="55">
        <f>SUMIFS(tblMovement[Ore_oz],tblMovement[Date],$A96,tblMovement[Source_Type],"Pit")</f>
        <v/>
      </c>
      <c r="J96" s="55">
        <f>IF($B96=$B95,$J95,0)+$I96</f>
        <v/>
      </c>
      <c r="K96" s="55">
        <f>$K95+$I96</f>
        <v/>
      </c>
      <c r="L96" s="55">
        <f>SUMIFS(tblMovement[Tonnes_t],tblMovement[Date],$A96,tblMovement[Is_Ore],1,tblMovement[Source_Type],"Pit",tblMovement[Grade_gpt],"&lt;&gt;")</f>
        <v/>
      </c>
      <c r="M96" s="55">
        <f>IF($B96=$B95,$M95,0)+$L96</f>
        <v/>
      </c>
      <c r="N96" s="55">
        <f>$N95+$L96</f>
        <v/>
      </c>
      <c r="O96" s="56">
        <f>IFERROR(IF(($L96)&gt;0,($I96*cfg_TroyOz)/($L96),""),"")</f>
        <v/>
      </c>
      <c r="P96" s="56">
        <f>IFERROR(IF(($M96)&gt;0,($J96*cfg_TroyOz)/($M96),""),"")</f>
        <v/>
      </c>
      <c r="Q96" s="56">
        <f>IFERROR(IF(($N96)&gt;0,($K96*cfg_TroyOz)/($N96),""),"")</f>
        <v/>
      </c>
      <c r="R96" s="55">
        <f>$F96-$L96</f>
        <v/>
      </c>
      <c r="S96" s="55">
        <f>IF($B96=$B95,$S95,0)+$R96</f>
        <v/>
      </c>
      <c r="T96" s="55">
        <f>$T95+$R96</f>
        <v/>
      </c>
      <c r="U96" s="55">
        <f>SUMIFS(tblMovement[Tonnes_t],tblMovement[Date],$A96,tblMovement[Is_Ore],0,tblMovement[Source_Type],"Pit")</f>
        <v/>
      </c>
      <c r="V96" s="55">
        <f>IF($B96=$B95,$V95,0)+$U96</f>
        <v/>
      </c>
      <c r="W96" s="55">
        <f>$W95+$U96</f>
        <v/>
      </c>
      <c r="X96" s="55">
        <f>$F96+$U96</f>
        <v/>
      </c>
      <c r="Y96" s="55">
        <f>IF($B96=$B95,$Y95,0)+$X96</f>
        <v/>
      </c>
      <c r="Z96" s="55">
        <f>$Z95+$X96</f>
        <v/>
      </c>
      <c r="AA96" s="56">
        <f>IFERROR(IF(($F96)&gt;0,($U96)/($F96),""),"")</f>
        <v/>
      </c>
      <c r="AB96" s="56">
        <f>IFERROR(IF(($G96)&gt;0,($V96)/($G96),""),"")</f>
        <v/>
      </c>
      <c r="AC96" s="56">
        <f>IFERROR(IF(($H96)&gt;0,($W96)/($H96),""),"")</f>
        <v/>
      </c>
      <c r="AD96" s="55">
        <f>SUMIFS(tblMovement[Tonnes_t],tblMovement[Date],$A96,tblMovement[Source_Type],"Stockpile")</f>
        <v/>
      </c>
      <c r="AE96" s="55">
        <f>IF($B96=$B95,$AE95,0)+$AD96</f>
        <v/>
      </c>
      <c r="AF96" s="55">
        <f>$AF95+$AD96</f>
        <v/>
      </c>
      <c r="AG96" s="55">
        <f>SUMIFS(tblMovement[Tonnes_t],tblMovement[Date],$A96)</f>
        <v/>
      </c>
      <c r="AH96" s="55">
        <f>IF($B96=$B95,$AH95,0)+$AG96</f>
        <v/>
      </c>
      <c r="AI96" s="55">
        <f>$AI95+$AG96</f>
        <v/>
      </c>
      <c r="AJ96" s="55">
        <f>$AG96-$X96-$AD96</f>
        <v/>
      </c>
      <c r="AK96" s="55">
        <f>IF($B96=$B95,$AK95,0)+$AJ96</f>
        <v/>
      </c>
      <c r="AL96" s="55">
        <f>$AL95+$AJ96</f>
        <v/>
      </c>
      <c r="AM96" s="55">
        <f>SUMIFS(tblMiningDaily[Drill_m],tblMiningDaily[Date],$A96)</f>
        <v/>
      </c>
      <c r="AN96" s="55">
        <f>IF($B96=$B95,$AN95,0)+$AM96</f>
        <v/>
      </c>
      <c r="AO96" s="55">
        <f>$AO95+$AM96</f>
        <v/>
      </c>
      <c r="AP96" s="55">
        <f>SUMIFS(tblMiningDaily[GC_Drill_m],tblMiningDaily[Date],$A96)</f>
        <v/>
      </c>
      <c r="AQ96" s="55">
        <f>IF($B96=$B95,$AQ95,0)+$AP96</f>
        <v/>
      </c>
      <c r="AR96" s="55">
        <f>$AR95+$AP96</f>
        <v/>
      </c>
      <c r="AS96" s="55">
        <f>SUMIFS(tblMiningDaily[Blast_t],tblMiningDaily[Date],$A96)</f>
        <v/>
      </c>
      <c r="AT96" s="55">
        <f>IF($B96=$B95,$AT95,0)+$AS96</f>
        <v/>
      </c>
      <c r="AU96" s="55">
        <f>$AU95+$AS96</f>
        <v/>
      </c>
      <c r="AV96" s="55">
        <f>SUMIFS(tblMiningDaily[Explosives_kg],tblMiningDaily[Date],$A96)</f>
        <v/>
      </c>
      <c r="AW96" s="55">
        <f>IF($B96=$B95,$AW95,0)+$AV96</f>
        <v/>
      </c>
      <c r="AX96" s="55">
        <f>$AX95+$AV96</f>
        <v/>
      </c>
      <c r="AY96" s="56">
        <f>IFERROR(IF(($AS96)&gt;0,($AV96)/($AS96),""),"")</f>
        <v/>
      </c>
      <c r="AZ96" s="56">
        <f>IFERROR(IF(($AT96)&gt;0,($AW96)/($AT96),""),"")</f>
        <v/>
      </c>
      <c r="BA96" s="56">
        <f>IFERROR(IF(($AU96)&gt;0,($AX96)/($AU96),""),"")</f>
        <v/>
      </c>
      <c r="BB96" s="55">
        <f>SUMIFS(tblMiningDaily[Diesel_L],tblMiningDaily[Date],$A96)</f>
        <v/>
      </c>
      <c r="BC96" s="55">
        <f>IF($B96=$B95,$BC95,0)+$BB96</f>
        <v/>
      </c>
      <c r="BD96" s="55">
        <f>$BD95+$BB96</f>
        <v/>
      </c>
      <c r="BE96" s="55">
        <f>SUMIFS(tblMiningDaily[Dewatering_m3],tblMiningDaily[Date],$A96)</f>
        <v/>
      </c>
      <c r="BF96" s="55">
        <f>IF($B96=$B95,$BF95,0)+$BE96</f>
        <v/>
      </c>
      <c r="BG96" s="55">
        <f>$BG95+$BE96</f>
        <v/>
      </c>
      <c r="BH96" s="57">
        <f>SUMIFS(tblFleet[Calendar_h],tblFleet[Date],$A96,tblFleet[Equipment_Class],"Excavator")</f>
        <v/>
      </c>
      <c r="BI96" s="57">
        <f>IF($B96=$B95,$BI95,0)+$BH96</f>
        <v/>
      </c>
      <c r="BJ96" s="57">
        <f>$BJ95+$BH96</f>
        <v/>
      </c>
      <c r="BK96" s="57">
        <f>SUMIFS(tblFleet[Available_h],tblFleet[Date],$A96,tblFleet[Equipment_Class],"Excavator")</f>
        <v/>
      </c>
      <c r="BL96" s="57">
        <f>IF($B96=$B95,$BL95,0)+$BK96</f>
        <v/>
      </c>
      <c r="BM96" s="57">
        <f>$BM95+$BK96</f>
        <v/>
      </c>
      <c r="BN96" s="57">
        <f>SUMIFS(tblFleet[Operating_h],tblFleet[Date],$A96,tblFleet[Equipment_Class],"Excavator")</f>
        <v/>
      </c>
      <c r="BO96" s="57">
        <f>IF($B96=$B95,$BO95,0)+$BN96</f>
        <v/>
      </c>
      <c r="BP96" s="57">
        <f>$BP95+$BN96</f>
        <v/>
      </c>
      <c r="BQ96" s="67">
        <f>IFERROR(IF(($BH96)&gt;0,($BK96)/($BH96),""),"")</f>
        <v/>
      </c>
      <c r="BR96" s="67">
        <f>IFERROR(IF(($BI96)&gt;0,($BL96)/($BI96),""),"")</f>
        <v/>
      </c>
      <c r="BS96" s="67">
        <f>IFERROR(IF(($BJ96)&gt;0,($BM96)/($BJ96),""),"")</f>
        <v/>
      </c>
      <c r="BT96" s="67">
        <f>IFERROR(IF(($BK96)&gt;0,($BN96)/($BK96),""),"")</f>
        <v/>
      </c>
      <c r="BU96" s="67">
        <f>IFERROR(IF(($BL96)&gt;0,($BO96)/($BL96),""),"")</f>
        <v/>
      </c>
      <c r="BV96" s="67">
        <f>IFERROR(IF(($BM96)&gt;0,($BP96)/($BM96),""),"")</f>
        <v/>
      </c>
      <c r="BW96" s="57">
        <f>SUMIFS(tblFleet[Calendar_h],tblFleet[Date],$A96,tblFleet[Equipment_Class],"Haul Truck")</f>
        <v/>
      </c>
      <c r="BX96" s="57">
        <f>IF($B96=$B95,$BX95,0)+$BW96</f>
        <v/>
      </c>
      <c r="BY96" s="57">
        <f>$BY95+$BW96</f>
        <v/>
      </c>
      <c r="BZ96" s="57">
        <f>SUMIFS(tblFleet[Available_h],tblFleet[Date],$A96,tblFleet[Equipment_Class],"Haul Truck")</f>
        <v/>
      </c>
      <c r="CA96" s="57">
        <f>IF($B96=$B95,$CA95,0)+$BZ96</f>
        <v/>
      </c>
      <c r="CB96" s="57">
        <f>$CB95+$BZ96</f>
        <v/>
      </c>
      <c r="CC96" s="57">
        <f>SUMIFS(tblFleet[Operating_h],tblFleet[Date],$A96,tblFleet[Equipment_Class],"Haul Truck")</f>
        <v/>
      </c>
      <c r="CD96" s="57">
        <f>IF($B96=$B95,$CD95,0)+$CC96</f>
        <v/>
      </c>
      <c r="CE96" s="57">
        <f>$CE95+$CC96</f>
        <v/>
      </c>
      <c r="CF96" s="67">
        <f>IFERROR(IF(($BW96)&gt;0,($BZ96)/($BW96),""),"")</f>
        <v/>
      </c>
      <c r="CG96" s="67">
        <f>IFERROR(IF(($BX96)&gt;0,($CA96)/($BX96),""),"")</f>
        <v/>
      </c>
      <c r="CH96" s="67">
        <f>IFERROR(IF(($BY96)&gt;0,($CB96)/($BY96),""),"")</f>
        <v/>
      </c>
      <c r="CI96" s="67">
        <f>IFERROR(IF(($BZ96)&gt;0,($CC96)/($BZ96),""),"")</f>
        <v/>
      </c>
      <c r="CJ96" s="67">
        <f>IFERROR(IF(($CA96)&gt;0,($CD96)/($CA96),""),"")</f>
        <v/>
      </c>
      <c r="CK96" s="67">
        <f>IFERROR(IF(($CB96)&gt;0,($CE96)/($CB96),""),"")</f>
        <v/>
      </c>
      <c r="CL96" s="55">
        <f>IFERROR(IF(($BN96)&gt;0,($X96+$AD96)/($BN96),""),"")</f>
        <v/>
      </c>
      <c r="CM96" s="55">
        <f>IFERROR(IF(($BO96)&gt;0,($Y96+$AE96)/($BO96),""),"")</f>
        <v/>
      </c>
      <c r="CN96" s="55">
        <f>IFERROR(IF(($BP96)&gt;0,($Z96+$AF96)/($BP96),""),"")</f>
        <v/>
      </c>
      <c r="CO96" s="55">
        <f>IFERROR(IF(($CC96)&gt;0,($X96+$AD96)/($CC96),""),"")</f>
        <v/>
      </c>
      <c r="CP96" s="55">
        <f>IFERROR(IF(($CD96)&gt;0,($Y96+$AE96)/($CD96),""),"")</f>
        <v/>
      </c>
      <c r="CQ96" s="55">
        <f>IFERROR(IF(($CE96)&gt;0,($Z96+$AF96)/($CE96),""),"")</f>
        <v/>
      </c>
      <c r="CR96" s="55">
        <f>SUMIFS(tblPlant[Crushed_t],tblPlant[Date],$A96)</f>
        <v/>
      </c>
      <c r="CS96" s="55">
        <f>IF($B96=$B95,$CS95,0)+$CR96</f>
        <v/>
      </c>
      <c r="CT96" s="55">
        <f>$CT95+$CR96</f>
        <v/>
      </c>
      <c r="CU96" s="55">
        <f>SUMIFS(tblPlant[Milled_t],tblPlant[Date],$A96)</f>
        <v/>
      </c>
      <c r="CV96" s="55">
        <f>IF($B96=$B95,$CV95,0)+$CU96</f>
        <v/>
      </c>
      <c r="CW96" s="55">
        <f>$CW95+$CU96</f>
        <v/>
      </c>
      <c r="CX96" s="55">
        <f>SUMIFS(tblPlant[Feed_oz],tblPlant[Date],$A96)</f>
        <v/>
      </c>
      <c r="CY96" s="55">
        <f>IF($B96=$B95,$CY95,0)+$CX96</f>
        <v/>
      </c>
      <c r="CZ96" s="55">
        <f>$CZ95+$CX96</f>
        <v/>
      </c>
      <c r="DA96" s="55">
        <f>SUMIFS(tblPlant[Tails_oz],tblPlant[Date],$A96)</f>
        <v/>
      </c>
      <c r="DB96" s="55">
        <f>IF($B96=$B95,$DB95,0)+$DA96</f>
        <v/>
      </c>
      <c r="DC96" s="55">
        <f>$DC95+$DA96</f>
        <v/>
      </c>
      <c r="DD96" s="55">
        <f>SUMIFS(tblPlant[Recovered_oz],tblPlant[Date],$A96)</f>
        <v/>
      </c>
      <c r="DE96" s="55">
        <f>IF($B96=$B95,$DE95,0)+$DD96</f>
        <v/>
      </c>
      <c r="DF96" s="55">
        <f>$DF95+$DD96</f>
        <v/>
      </c>
      <c r="DG96" s="55">
        <f>SUMIFS(tblPlant[Milled_t],tblPlant[Date],$A96,tblPlant[Head_Grade_gpt],"&lt;&gt;")</f>
        <v/>
      </c>
      <c r="DH96" s="55">
        <f>IF($B96=$B95,$DH95,0)+$DG96</f>
        <v/>
      </c>
      <c r="DI96" s="55">
        <f>$DI95+$DG96</f>
        <v/>
      </c>
      <c r="DJ96" s="55">
        <f>SUMIFS(tblPlant[Milled_t],tblPlant[Date],$A96,tblPlant[Tails_Grade_gpt],"&lt;&gt;")</f>
        <v/>
      </c>
      <c r="DK96" s="55">
        <f>IF($B96=$B95,$DK95,0)+$DJ96</f>
        <v/>
      </c>
      <c r="DL96" s="55">
        <f>$DL95+$DJ96</f>
        <v/>
      </c>
      <c r="DM96" s="55">
        <f>SUMIFS(tblPlant[Feed_oz],tblPlant[Date],$A96,tblPlant[Tails_Grade_gpt],"&lt;&gt;")</f>
        <v/>
      </c>
      <c r="DN96" s="55">
        <f>IF($B96=$B95,$DN95,0)+$DM96</f>
        <v/>
      </c>
      <c r="DO96" s="55">
        <f>$DO95+$DM96</f>
        <v/>
      </c>
      <c r="DP96" s="55">
        <f>SUMIFS(tblPlant[Milled_t],tblPlant[Date],$A96,tblPlant[Mill_Run_h],"&lt;&gt;")</f>
        <v/>
      </c>
      <c r="DQ96" s="55">
        <f>IF($B96=$B95,$DQ95,0)+$DP96</f>
        <v/>
      </c>
      <c r="DR96" s="55">
        <f>$DR95+$DP96</f>
        <v/>
      </c>
      <c r="DS96" s="56">
        <f>IFERROR(IF(($DG96)&gt;0,($CX96*cfg_TroyOz)/($DG96),""),"")</f>
        <v/>
      </c>
      <c r="DT96" s="56">
        <f>IFERROR(IF(($DH96)&gt;0,($CY96*cfg_TroyOz)/($DH96),""),"")</f>
        <v/>
      </c>
      <c r="DU96" s="56">
        <f>IFERROR(IF(($DI96)&gt;0,($CZ96*cfg_TroyOz)/($DI96),""),"")</f>
        <v/>
      </c>
      <c r="DV96" s="56">
        <f>IFERROR(IF(($DJ96)&gt;0,($DA96*cfg_TroyOz)/($DJ96),""),"")</f>
        <v/>
      </c>
      <c r="DW96" s="56">
        <f>IFERROR(IF(($DK96)&gt;0,($DB96*cfg_TroyOz)/($DK96),""),"")</f>
        <v/>
      </c>
      <c r="DX96" s="56">
        <f>IFERROR(IF(($DL96)&gt;0,($DC96*cfg_TroyOz)/($DL96),""),"")</f>
        <v/>
      </c>
      <c r="DY96" s="67">
        <f>IFERROR(IF(($DM96)&gt;0,($DD96)/($DM96),""),"")</f>
        <v/>
      </c>
      <c r="DZ96" s="67">
        <f>IFERROR(IF(($DN96)&gt;0,($DE96)/($DN96),""),"")</f>
        <v/>
      </c>
      <c r="EA96" s="67">
        <f>IFERROR(IF(($DO96)&gt;0,($DF96)/($DO96),""),"")</f>
        <v/>
      </c>
      <c r="EB96" s="55">
        <f>SUMIFS(tblPlant[Gravity_Gold_oz],tblPlant[Date],$A96)</f>
        <v/>
      </c>
      <c r="EC96" s="55">
        <f>IF($B96=$B95,$EC95,0)+$EB96</f>
        <v/>
      </c>
      <c r="ED96" s="55">
        <f>$ED95+$EB96</f>
        <v/>
      </c>
      <c r="EE96" s="67">
        <f>IFERROR(IF(($DD96)&gt;0,($EB96)/($DD96),""),"")</f>
        <v/>
      </c>
      <c r="EF96" s="67">
        <f>IFERROR(IF(($DE96)&gt;0,($EC96)/($DE96),""),"")</f>
        <v/>
      </c>
      <c r="EG96" s="67">
        <f>IFERROR(IF(($DF96)&gt;0,($ED96)/($DF96),""),"")</f>
        <v/>
      </c>
      <c r="EH96" s="55">
        <f>SUMIFS(tblPlant[Gold_Poured_oz],tblPlant[Date],$A96)</f>
        <v/>
      </c>
      <c r="EI96" s="55">
        <f>IF($B96=$B95,$EI95,0)+$EH96</f>
        <v/>
      </c>
      <c r="EJ96" s="55">
        <f>$EJ95+$EH96</f>
        <v/>
      </c>
      <c r="EK96" s="57">
        <f>SUMIFS(tblPlant[Mill_Run_h],tblPlant[Date],$A96)</f>
        <v/>
      </c>
      <c r="EL96" s="57">
        <f>IF($B96=$B95,$EL95,0)+$EK96</f>
        <v/>
      </c>
      <c r="EM96" s="57">
        <f>$EM95+$EK96</f>
        <v/>
      </c>
      <c r="EN96" s="57">
        <f>SUMIFS(tblPlant[Mill_Planned_Maint_h],tblPlant[Date],$A96)</f>
        <v/>
      </c>
      <c r="EO96" s="57">
        <f>IF($B96=$B95,$EO95,0)+$EN96</f>
        <v/>
      </c>
      <c r="EP96" s="57">
        <f>$EP95+$EN96</f>
        <v/>
      </c>
      <c r="EQ96" s="57">
        <f>SUMIFS(tblPlant[Mill_Unplanned_Down_h],tblPlant[Date],$A96)</f>
        <v/>
      </c>
      <c r="ER96" s="57">
        <f>IF($B96=$B95,$ER95,0)+$EQ96</f>
        <v/>
      </c>
      <c r="ES96" s="57">
        <f>$ES95+$EQ96</f>
        <v/>
      </c>
      <c r="ET96" s="57">
        <f>IF(COUNTIFS(tblPlant[Date],$A96,tblPlant[Mill_Run_h],"&lt;&gt;")+COUNTIFS(tblPlant[Date],$A96,tblPlant[Mill_Planned_Maint_h],"&lt;&gt;")+COUNTIFS(tblPlant[Date],$A96,tblPlant[Mill_Unplanned_Down_h],"&lt;&gt;")&gt;0,cfg_HoursPerDay,0)</f>
        <v/>
      </c>
      <c r="EU96" s="57">
        <f>IF($B96=$B95,$EU95,0)+$ET96</f>
        <v/>
      </c>
      <c r="EV96" s="57">
        <f>$EV95+$ET96</f>
        <v/>
      </c>
      <c r="EW96" s="57">
        <f>SUMIFS(tblPlant[Crusher_Run_h],tblPlant[Date],$A96)</f>
        <v/>
      </c>
      <c r="EX96" s="57">
        <f>IF($B96=$B95,$EX95,0)+$EW96</f>
        <v/>
      </c>
      <c r="EY96" s="57">
        <f>$EY95+$EW96</f>
        <v/>
      </c>
      <c r="EZ96" s="55">
        <f>IFERROR(IF(($EK96)&gt;0,($DP96)/($EK96),""),"")</f>
        <v/>
      </c>
      <c r="FA96" s="55">
        <f>IFERROR(IF(($EL96)&gt;0,($DQ96)/($EL96),""),"")</f>
        <v/>
      </c>
      <c r="FB96" s="55">
        <f>IFERROR(IF(($EM96)&gt;0,($DR96)/($EM96),""),"")</f>
        <v/>
      </c>
      <c r="FC96" s="67">
        <f>IFERROR(IF(($ET96)&gt;0,($ET96-$EN96-$EQ96)/($ET96),""),"")</f>
        <v/>
      </c>
      <c r="FD96" s="67">
        <f>IFERROR(IF(($EU96)&gt;0,($EU96-$EO96-$ER96)/($EU96),""),"")</f>
        <v/>
      </c>
      <c r="FE96" s="67">
        <f>IFERROR(IF(($EV96)&gt;0,($EV96-$EP96-$ES96)/($EV96),""),"")</f>
        <v/>
      </c>
      <c r="FF96" s="67">
        <f>IFERROR(IF(($ET96-$EN96-$EQ96)&gt;0,($EK96)/($ET96-$EN96-$EQ96),""),"")</f>
        <v/>
      </c>
      <c r="FG96" s="67">
        <f>IFERROR(IF(($EU96-$EO96-$ER96)&gt;0,($EL96)/($EU96-$EO96-$ER96),""),"")</f>
        <v/>
      </c>
      <c r="FH96" s="67">
        <f>IFERROR(IF(($EV96-$EP96-$ES96)&gt;0,($EM96)/($EV96-$EP96-$ES96),""),"")</f>
        <v/>
      </c>
      <c r="FI96" s="55">
        <f>SUMIFS(tblPlant[Cyanide_kg],tblPlant[Date],$A96)</f>
        <v/>
      </c>
      <c r="FJ96" s="55">
        <f>IF($B96=$B95,$FJ95,0)+$FI96</f>
        <v/>
      </c>
      <c r="FK96" s="55">
        <f>$FK95+$FI96</f>
        <v/>
      </c>
      <c r="FL96" s="55">
        <f>SUMIFS(tblPlant[Lime_kg],tblPlant[Date],$A96)</f>
        <v/>
      </c>
      <c r="FM96" s="55">
        <f>IF($B96=$B95,$FM95,0)+$FL96</f>
        <v/>
      </c>
      <c r="FN96" s="55">
        <f>$FN95+$FL96</f>
        <v/>
      </c>
      <c r="FO96" s="55">
        <f>SUMIFS(tblPlant[Grinding_Media_kg],tblPlant[Date],$A96)</f>
        <v/>
      </c>
      <c r="FP96" s="55">
        <f>IF($B96=$B95,$FP95,0)+$FO96</f>
        <v/>
      </c>
      <c r="FQ96" s="55">
        <f>$FQ95+$FO96</f>
        <v/>
      </c>
      <c r="FR96" s="55">
        <f>SUMIFS(tblPlant[Power_kWh],tblPlant[Date],$A96)</f>
        <v/>
      </c>
      <c r="FS96" s="55">
        <f>IF($B96=$B95,$FS95,0)+$FR96</f>
        <v/>
      </c>
      <c r="FT96" s="55">
        <f>$FT95+$FR96</f>
        <v/>
      </c>
      <c r="FU96" s="55">
        <f>SUMIFS(tblPlant[Raw_Water_m3],tblPlant[Date],$A96)</f>
        <v/>
      </c>
      <c r="FV96" s="55">
        <f>IF($B96=$B95,$FV95,0)+$FU96</f>
        <v/>
      </c>
      <c r="FW96" s="55">
        <f>$FW95+$FU96</f>
        <v/>
      </c>
      <c r="FX96" s="56">
        <f>IFERROR(IF(($CU96)&gt;0,($FI96)/($CU96),""),"")</f>
        <v/>
      </c>
      <c r="FY96" s="56">
        <f>IFERROR(IF(($CV96)&gt;0,($FJ96)/($CV96),""),"")</f>
        <v/>
      </c>
      <c r="FZ96" s="56">
        <f>IFERROR(IF(($CW96)&gt;0,($FK96)/($CW96),""),"")</f>
        <v/>
      </c>
      <c r="GA96" s="56">
        <f>IFERROR(IF(($CU96)&gt;0,($FL96)/($CU96),""),"")</f>
        <v/>
      </c>
      <c r="GB96" s="56">
        <f>IFERROR(IF(($CV96)&gt;0,($FM96)/($CV96),""),"")</f>
        <v/>
      </c>
      <c r="GC96" s="56">
        <f>IFERROR(IF(($CW96)&gt;0,($FN96)/($CW96),""),"")</f>
        <v/>
      </c>
      <c r="GD96" s="56">
        <f>IFERROR(IF(($CU96)&gt;0,($FO96)/($CU96),""),"")</f>
        <v/>
      </c>
      <c r="GE96" s="56">
        <f>IFERROR(IF(($CV96)&gt;0,($FP96)/($CV96),""),"")</f>
        <v/>
      </c>
      <c r="GF96" s="56">
        <f>IFERROR(IF(($CW96)&gt;0,($FQ96)/($CW96),""),"")</f>
        <v/>
      </c>
      <c r="GG96" s="79">
        <f>IFERROR(IF(($CU96)&gt;0,($FR96)/($CU96),""),"")</f>
        <v/>
      </c>
      <c r="GH96" s="79">
        <f>IFERROR(IF(($CV96)&gt;0,($FS96)/($CV96),""),"")</f>
        <v/>
      </c>
      <c r="GI96" s="79">
        <f>IFERROR(IF(($CW96)&gt;0,($FT96)/($CW96),""),"")</f>
        <v/>
      </c>
      <c r="GJ96" s="56">
        <f>IFERROR(IF(($CU96)&gt;0,($FU96)/($CU96),""),"")</f>
        <v/>
      </c>
      <c r="GK96" s="56">
        <f>IFERROR(IF(($CV96)&gt;0,($FV96)/($CV96),""),"")</f>
        <v/>
      </c>
      <c r="GL96" s="56">
        <f>IFERROR(IF(($CW96)&gt;0,($FW96)/($CW96),""),"")</f>
        <v/>
      </c>
      <c r="GM96" s="55">
        <f>IF(SUMIFS(tblPlant[GIC_oz],tblPlant[Date],$A96)&gt;0,SUMIFS(tblPlant[GIC_oz],tblPlant[Date],$A96),"")</f>
        <v/>
      </c>
      <c r="GN96" s="55">
        <f>SUMIFS(tblGold[Gold_oz],tblGold[Date],$A96,tblGold[Type],"Shipment")</f>
        <v/>
      </c>
      <c r="GO96" s="55">
        <f>IF($B96=$B95,$GO95,0)+$GN96</f>
        <v/>
      </c>
      <c r="GP96" s="55">
        <f>$GP95+$GN96</f>
        <v/>
      </c>
      <c r="GQ96" s="55">
        <f>SUMIFS(tblGold[Gold_oz],tblGold[Date],$A96,tblGold[Type],"Sale")</f>
        <v/>
      </c>
      <c r="GR96" s="55">
        <f>IF($B96=$B95,$GR95,0)+$GQ96</f>
        <v/>
      </c>
      <c r="GS96" s="55">
        <f>$GS95+$GQ96</f>
        <v/>
      </c>
      <c r="GT96" s="55">
        <f>SUMIFS(tblGold[Dore_kg],tblGold[Date],$A96,tblGold[Type],"Shipment")</f>
        <v/>
      </c>
      <c r="GU96" s="55">
        <f>IF($B96=$B95,$GU95,0)+$GT96</f>
        <v/>
      </c>
      <c r="GV96" s="55">
        <f>$GV95+$GT96</f>
        <v/>
      </c>
      <c r="GW96" s="57">
        <f>SUMIFS(tblSafety[Hours_Total],tblSafety[Date],$A96)</f>
        <v/>
      </c>
      <c r="GX96" s="57">
        <f>IF($B96=$B95,$GX95,0)+$GW96</f>
        <v/>
      </c>
      <c r="GY96" s="57">
        <f>$GY95+$GW96</f>
        <v/>
      </c>
      <c r="GZ96" s="62">
        <f>SUMIFS(tblSafety[Fatality],tblSafety[Date],$A96)</f>
        <v/>
      </c>
      <c r="HA96" s="62">
        <f>IF($B96=$B95,$HA95,0)+$GZ96</f>
        <v/>
      </c>
      <c r="HB96" s="62">
        <f>$HB95+$GZ96</f>
        <v/>
      </c>
      <c r="HC96" s="62">
        <f>SUMIFS(tblSafety[LTI],tblSafety[Date],$A96)</f>
        <v/>
      </c>
      <c r="HD96" s="62">
        <f>IF($B96=$B95,$HD95,0)+$HC96</f>
        <v/>
      </c>
      <c r="HE96" s="62">
        <f>$HE95+$HC96</f>
        <v/>
      </c>
      <c r="HF96" s="62">
        <f>SUMIFS(tblSafety[RWI],tblSafety[Date],$A96)</f>
        <v/>
      </c>
      <c r="HG96" s="62">
        <f>IF($B96=$B95,$HG95,0)+$HF96</f>
        <v/>
      </c>
      <c r="HH96" s="62">
        <f>$HH95+$HF96</f>
        <v/>
      </c>
      <c r="HI96" s="62">
        <f>SUMIFS(tblSafety[MTI],tblSafety[Date],$A96)</f>
        <v/>
      </c>
      <c r="HJ96" s="62">
        <f>IF($B96=$B95,$HJ95,0)+$HI96</f>
        <v/>
      </c>
      <c r="HK96" s="62">
        <f>$HK95+$HI96</f>
        <v/>
      </c>
      <c r="HL96" s="62">
        <f>SUMIFS(tblSafety[FAI],tblSafety[Date],$A96)</f>
        <v/>
      </c>
      <c r="HM96" s="62">
        <f>IF($B96=$B95,$HM95,0)+$HL96</f>
        <v/>
      </c>
      <c r="HN96" s="62">
        <f>$HN95+$HL96</f>
        <v/>
      </c>
      <c r="HO96" s="62">
        <f>SUMIFS(tblSafety[Recordables],tblSafety[Date],$A96)</f>
        <v/>
      </c>
      <c r="HP96" s="62">
        <f>IF($B96=$B95,$HP95,0)+$HO96</f>
        <v/>
      </c>
      <c r="HQ96" s="62">
        <f>$HQ95+$HO96</f>
        <v/>
      </c>
      <c r="HR96" s="62">
        <f>SUMIFS(tblSafety[Near_Miss],tblSafety[Date],$A96)</f>
        <v/>
      </c>
      <c r="HS96" s="62">
        <f>IF($B96=$B95,$HS95,0)+$HR96</f>
        <v/>
      </c>
      <c r="HT96" s="62">
        <f>$HT95+$HR96</f>
        <v/>
      </c>
      <c r="HU96" s="62">
        <f>SUMIFS(tblSafety[Hazard_Reports],tblSafety[Date],$A96)</f>
        <v/>
      </c>
      <c r="HV96" s="62">
        <f>IF($B96=$B95,$HV95,0)+$HU96</f>
        <v/>
      </c>
      <c r="HW96" s="62">
        <f>$HW95+$HU96</f>
        <v/>
      </c>
      <c r="HX96" s="62">
        <f>SUMIFS(tblSafety[HPI],tblSafety[Date],$A96)</f>
        <v/>
      </c>
      <c r="HY96" s="62">
        <f>IF($B96=$B95,$HY95,0)+$HX96</f>
        <v/>
      </c>
      <c r="HZ96" s="62">
        <f>$HZ95+$HX96</f>
        <v/>
      </c>
      <c r="IA96" s="62">
        <f>SUMIFS(tblSafety[Env_Incidents],tblSafety[Date],$A96)</f>
        <v/>
      </c>
      <c r="IB96" s="62">
        <f>IF($B96=$B95,$IB95,0)+$IA96</f>
        <v/>
      </c>
      <c r="IC96" s="62">
        <f>$IC95+$IA96</f>
        <v/>
      </c>
      <c r="ID96" s="62">
        <f>SUMIFS(tblSafety[Community_Incidents],tblSafety[Date],$A96)</f>
        <v/>
      </c>
      <c r="IE96" s="62">
        <f>IF($B96=$B95,$IE95,0)+$ID96</f>
        <v/>
      </c>
      <c r="IF96" s="62">
        <f>$IF95+$ID96</f>
        <v/>
      </c>
      <c r="IG96" s="62">
        <f>SUMIFS(tblSafety[Vehicle_Incidents],tblSafety[Date],$A96)</f>
        <v/>
      </c>
      <c r="IH96" s="62">
        <f>IF($B96=$B95,$IH95,0)+$IG96</f>
        <v/>
      </c>
      <c r="II96" s="62">
        <f>$II95+$IG96</f>
        <v/>
      </c>
      <c r="IJ96" s="62">
        <f>SUMIFS(tblSafety[Toolbox_Talks],tblSafety[Date],$A96)</f>
        <v/>
      </c>
      <c r="IK96" s="62">
        <f>IF($B96=$B95,$IK95,0)+$IJ96</f>
        <v/>
      </c>
      <c r="IL96" s="62">
        <f>$IL95+$IJ96</f>
        <v/>
      </c>
      <c r="IM96" s="62">
        <f>SUMIFS(tblSafety[Inspections],tblSafety[Date],$A96)</f>
        <v/>
      </c>
      <c r="IN96" s="62">
        <f>IF($B96=$B95,$IN95,0)+$IM96</f>
        <v/>
      </c>
      <c r="IO96" s="62">
        <f>$IO95+$IM96</f>
        <v/>
      </c>
      <c r="IP96" s="56">
        <f>IFERROR((SUMIFS(tblSafety[Recordables],tblSafety[Date],"&gt;="&amp;EDATE($E96,-12),tblSafety[Date],"&lt;="&amp;$A96)+SUMIFS(tblSafetyHistory[Recordables],tblSafetyHistory[Month],"&gt;="&amp;EDATE($E96,-12),tblSafetyHistory[Month],"&lt;"&amp;$E96,tblSafetyHistory[Use],1))/(SUMIFS(tblSafety[Hours_Total],tblSafety[Date],"&gt;="&amp;EDATE($E96,-12),tblSafety[Date],"&lt;="&amp;$A96)+SUMIFS(tblSafetyHistory[Hours_Total],tblSafetyHistory[Month],"&gt;="&amp;EDATE($E96,-12),tblSafetyHistory[Month],"&lt;"&amp;$E96,tblSafetyHistory[Use],1))*cfg_RateBasisHours,"")</f>
        <v/>
      </c>
      <c r="IQ96" s="56">
        <f>IFERROR((SUMIFS(tblSafety[LTI],tblSafety[Date],"&gt;="&amp;EDATE($E96,-12),tblSafety[Date],"&lt;="&amp;$A96)+SUMIFS(tblSafetyHistory[LTI],tblSafetyHistory[Month],"&gt;="&amp;EDATE($E96,-12),tblSafetyHistory[Month],"&lt;"&amp;$E96,tblSafetyHistory[Use],1))/(SUMIFS(tblSafety[Hours_Total],tblSafety[Date],"&gt;="&amp;EDATE($E96,-12),tblSafety[Date],"&lt;="&amp;$A96)+SUMIFS(tblSafetyHistory[Hours_Total],tblSafetyHistory[Month],"&gt;="&amp;EDATE($E96,-12),tblSafetyHistory[Month],"&lt;"&amp;$E96,tblSafetyHistory[Use],1))*cfg_RateBasisHours,"")</f>
        <v/>
      </c>
      <c r="IR96" s="62">
        <f>IF(MAX(N(cfg_PriorLTIDate),_xlfn.MAXIFS(tblSafety[Date],tblSafety[LTI],"&gt;0",tblSafety[Date],"&lt;="&amp;$A96))=0,"",$A96-MAX(N(cfg_PriorLTIDate),_xlfn.MAXIFS(tblSafety[Date],tblSafety[LTI],"&gt;0",tblSafety[Date],"&lt;="&amp;$A96)))</f>
        <v/>
      </c>
      <c r="IS96" s="55">
        <f>SUMIFS(tblBudget[Ore_Mined_t],tblBudget[Month],$E96)</f>
        <v/>
      </c>
      <c r="IT96" s="55">
        <f>$IS96*$C96/$D96</f>
        <v/>
      </c>
      <c r="IU96" s="55">
        <f>SUMIFS(tblBudget[Ore_Mined_t],tblBudget[Month],"&lt;"&amp;$E96)+$IT96</f>
        <v/>
      </c>
      <c r="IV96" s="55">
        <f>SUMIFS(tblBudget[Ore_oz],tblBudget[Month],$E96)</f>
        <v/>
      </c>
      <c r="IW96" s="55">
        <f>$IV96*$C96/$D96</f>
        <v/>
      </c>
      <c r="IX96" s="55">
        <f>SUMIFS(tblBudget[Ore_oz],tblBudget[Month],"&lt;"&amp;$E96)+$IW96</f>
        <v/>
      </c>
      <c r="IY96" s="55">
        <f>SUMIFS(tblBudget[Ore_Mined_t],tblBudget[Month],$E96)</f>
        <v/>
      </c>
      <c r="IZ96" s="55">
        <f>$IY96*$C96/$D96</f>
        <v/>
      </c>
      <c r="JA96" s="55">
        <f>SUMIFS(tblBudget[Ore_Mined_t],tblBudget[Month],"&lt;"&amp;$E96)+$IZ96</f>
        <v/>
      </c>
      <c r="JB96" s="56">
        <f>IFERROR(IF(($IY96)&gt;0,($IV96*cfg_TroyOz)/($IY96),""),"")</f>
        <v/>
      </c>
      <c r="JC96" s="56">
        <f>IFERROR(IF(($IZ96)&gt;0,($IW96*cfg_TroyOz)/($IZ96),""),"")</f>
        <v/>
      </c>
      <c r="JD96" s="56">
        <f>IFERROR(IF(($JA96)&gt;0,($IX96*cfg_TroyOz)/($JA96),""),"")</f>
        <v/>
      </c>
      <c r="JE96" s="55">
        <f>SUMIFS(tblBudget[Waste_t],tblBudget[Month],$E96)</f>
        <v/>
      </c>
      <c r="JF96" s="55">
        <f>$JE96*$C96/$D96</f>
        <v/>
      </c>
      <c r="JG96" s="55">
        <f>SUMIFS(tblBudget[Waste_t],tblBudget[Month],"&lt;"&amp;$E96)+$JF96</f>
        <v/>
      </c>
      <c r="JH96" s="55">
        <f>SUMIFS(tblBudget[TMM_t],tblBudget[Month],$E96)</f>
        <v/>
      </c>
      <c r="JI96" s="55">
        <f>$JH96*$C96/$D96</f>
        <v/>
      </c>
      <c r="JJ96" s="55">
        <f>SUMIFS(tblBudget[TMM_t],tblBudget[Month],"&lt;"&amp;$E96)+$JI96</f>
        <v/>
      </c>
      <c r="JK96" s="56">
        <f>IFERROR(IF(($IS96)&gt;0,($JE96)/($IS96),""),"")</f>
        <v/>
      </c>
      <c r="JL96" s="56">
        <f>IFERROR(IF(($IT96)&gt;0,($JF96)/($IT96),""),"")</f>
        <v/>
      </c>
      <c r="JM96" s="56">
        <f>IFERROR(IF(($IU96)&gt;0,($JG96)/($IU96),""),"")</f>
        <v/>
      </c>
      <c r="JN96" s="55">
        <f>SUMIFS(tblBudget[Drill_m],tblBudget[Month],$E96)</f>
        <v/>
      </c>
      <c r="JO96" s="55">
        <f>$JN96*$C96/$D96</f>
        <v/>
      </c>
      <c r="JP96" s="55">
        <f>SUMIFS(tblBudget[Drill_m],tblBudget[Month],"&lt;"&amp;$E96)+$JO96</f>
        <v/>
      </c>
      <c r="JQ96" s="55">
        <f>SUMIFS(tblBudget[Diesel_L],tblBudget[Month],$E96)</f>
        <v/>
      </c>
      <c r="JR96" s="55">
        <f>$JQ96*$C96/$D96</f>
        <v/>
      </c>
      <c r="JS96" s="55">
        <f>SUMIFS(tblBudget[Diesel_L],tblBudget[Month],"&lt;"&amp;$E96)+$JR96</f>
        <v/>
      </c>
      <c r="JT96" s="55">
        <f>SUMIFS(tblBudget[Milled_t],tblBudget[Month],$E96)</f>
        <v/>
      </c>
      <c r="JU96" s="55">
        <f>$JT96*$C96/$D96</f>
        <v/>
      </c>
      <c r="JV96" s="55">
        <f>SUMIFS(tblBudget[Milled_t],tblBudget[Month],"&lt;"&amp;$E96)+$JU96</f>
        <v/>
      </c>
      <c r="JW96" s="55">
        <f>SUMIFS(tblBudget[Feed_oz],tblBudget[Month],$E96)</f>
        <v/>
      </c>
      <c r="JX96" s="55">
        <f>$JW96*$C96/$D96</f>
        <v/>
      </c>
      <c r="JY96" s="55">
        <f>SUMIFS(tblBudget[Feed_oz],tblBudget[Month],"&lt;"&amp;$E96)+$JX96</f>
        <v/>
      </c>
      <c r="JZ96" s="55">
        <f>SUMIFS(tblBudget[Recovered_oz],tblBudget[Month],$E96)</f>
        <v/>
      </c>
      <c r="KA96" s="55">
        <f>$JZ96*$C96/$D96</f>
        <v/>
      </c>
      <c r="KB96" s="55">
        <f>SUMIFS(tblBudget[Recovered_oz],tblBudget[Month],"&lt;"&amp;$E96)+$KA96</f>
        <v/>
      </c>
      <c r="KC96" s="55">
        <f>SUMIFS(tblBudget[Milled_t],tblBudget[Month],$E96)</f>
        <v/>
      </c>
      <c r="KD96" s="55">
        <f>$KC96*$C96/$D96</f>
        <v/>
      </c>
      <c r="KE96" s="55">
        <f>SUMIFS(tblBudget[Milled_t],tblBudget[Month],"&lt;"&amp;$E96)+$KD96</f>
        <v/>
      </c>
      <c r="KF96" s="55">
        <f>SUMIFS(tblBudget[Feed_oz],tblBudget[Month],$E96)</f>
        <v/>
      </c>
      <c r="KG96" s="55">
        <f>$KF96*$C96/$D96</f>
        <v/>
      </c>
      <c r="KH96" s="55">
        <f>SUMIFS(tblBudget[Feed_oz],tblBudget[Month],"&lt;"&amp;$E96)+$KG96</f>
        <v/>
      </c>
      <c r="KI96" s="56">
        <f>IFERROR(IF(($KC96)&gt;0,($JW96*cfg_TroyOz)/($KC96),""),"")</f>
        <v/>
      </c>
      <c r="KJ96" s="56">
        <f>IFERROR(IF(($KD96)&gt;0,($JX96*cfg_TroyOz)/($KD96),""),"")</f>
        <v/>
      </c>
      <c r="KK96" s="56">
        <f>IFERROR(IF(($KE96)&gt;0,($JY96*cfg_TroyOz)/($KE96),""),"")</f>
        <v/>
      </c>
      <c r="KL96" s="67">
        <f>IFERROR(IF(($KF96)&gt;0,($JZ96)/($KF96),""),"")</f>
        <v/>
      </c>
      <c r="KM96" s="67">
        <f>IFERROR(IF(($KG96)&gt;0,($KA96)/($KG96),""),"")</f>
        <v/>
      </c>
      <c r="KN96" s="67">
        <f>IFERROR(IF(($KH96)&gt;0,($KB96)/($KH96),""),"")</f>
        <v/>
      </c>
      <c r="KO96" s="55">
        <f>SUMIFS(tblBudget[Gold_Poured_oz],tblBudget[Month],$E96)</f>
        <v/>
      </c>
      <c r="KP96" s="55">
        <f>$KO96*$C96/$D96</f>
        <v/>
      </c>
      <c r="KQ96" s="55">
        <f>SUMIFS(tblBudget[Gold_Poured_oz],tblBudget[Month],"&lt;"&amp;$E96)+$KP96</f>
        <v/>
      </c>
      <c r="KR96" s="57">
        <f>SUMIFS(tblBudget[Hours_Worked],tblBudget[Month],$E96)</f>
        <v/>
      </c>
      <c r="KS96" s="57">
        <f>$KR96*$C96/$D96</f>
        <v/>
      </c>
      <c r="KT96" s="57">
        <f>SUMIFS(tblBudget[Hours_Worked],tblBudget[Month],"&lt;"&amp;$E96)+$KS96</f>
        <v/>
      </c>
    </row>
    <row r="97">
      <c r="A97" s="54" t="n">
        <v>46118</v>
      </c>
      <c r="B97">
        <f>MONTH($A97)</f>
        <v/>
      </c>
      <c r="C97">
        <f>DAY($A97)</f>
        <v/>
      </c>
      <c r="D97">
        <f>DAY(EOMONTH($A97,0))</f>
        <v/>
      </c>
      <c r="E97" s="54">
        <f>DATE(YEAR($A97),MONTH($A97),1)</f>
        <v/>
      </c>
      <c r="F97" s="55">
        <f>SUMIFS(tblMovement[Tonnes_t],tblMovement[Date],$A97,tblMovement[Is_Ore],1,tblMovement[Source_Type],"Pit")</f>
        <v/>
      </c>
      <c r="G97" s="55">
        <f>IF($B97=$B96,$G96,0)+$F97</f>
        <v/>
      </c>
      <c r="H97" s="55">
        <f>$H96+$F97</f>
        <v/>
      </c>
      <c r="I97" s="55">
        <f>SUMIFS(tblMovement[Ore_oz],tblMovement[Date],$A97,tblMovement[Source_Type],"Pit")</f>
        <v/>
      </c>
      <c r="J97" s="55">
        <f>IF($B97=$B96,$J96,0)+$I97</f>
        <v/>
      </c>
      <c r="K97" s="55">
        <f>$K96+$I97</f>
        <v/>
      </c>
      <c r="L97" s="55">
        <f>SUMIFS(tblMovement[Tonnes_t],tblMovement[Date],$A97,tblMovement[Is_Ore],1,tblMovement[Source_Type],"Pit",tblMovement[Grade_gpt],"&lt;&gt;")</f>
        <v/>
      </c>
      <c r="M97" s="55">
        <f>IF($B97=$B96,$M96,0)+$L97</f>
        <v/>
      </c>
      <c r="N97" s="55">
        <f>$N96+$L97</f>
        <v/>
      </c>
      <c r="O97" s="56">
        <f>IFERROR(IF(($L97)&gt;0,($I97*cfg_TroyOz)/($L97),""),"")</f>
        <v/>
      </c>
      <c r="P97" s="56">
        <f>IFERROR(IF(($M97)&gt;0,($J97*cfg_TroyOz)/($M97),""),"")</f>
        <v/>
      </c>
      <c r="Q97" s="56">
        <f>IFERROR(IF(($N97)&gt;0,($K97*cfg_TroyOz)/($N97),""),"")</f>
        <v/>
      </c>
      <c r="R97" s="55">
        <f>$F97-$L97</f>
        <v/>
      </c>
      <c r="S97" s="55">
        <f>IF($B97=$B96,$S96,0)+$R97</f>
        <v/>
      </c>
      <c r="T97" s="55">
        <f>$T96+$R97</f>
        <v/>
      </c>
      <c r="U97" s="55">
        <f>SUMIFS(tblMovement[Tonnes_t],tblMovement[Date],$A97,tblMovement[Is_Ore],0,tblMovement[Source_Type],"Pit")</f>
        <v/>
      </c>
      <c r="V97" s="55">
        <f>IF($B97=$B96,$V96,0)+$U97</f>
        <v/>
      </c>
      <c r="W97" s="55">
        <f>$W96+$U97</f>
        <v/>
      </c>
      <c r="X97" s="55">
        <f>$F97+$U97</f>
        <v/>
      </c>
      <c r="Y97" s="55">
        <f>IF($B97=$B96,$Y96,0)+$X97</f>
        <v/>
      </c>
      <c r="Z97" s="55">
        <f>$Z96+$X97</f>
        <v/>
      </c>
      <c r="AA97" s="56">
        <f>IFERROR(IF(($F97)&gt;0,($U97)/($F97),""),"")</f>
        <v/>
      </c>
      <c r="AB97" s="56">
        <f>IFERROR(IF(($G97)&gt;0,($V97)/($G97),""),"")</f>
        <v/>
      </c>
      <c r="AC97" s="56">
        <f>IFERROR(IF(($H97)&gt;0,($W97)/($H97),""),"")</f>
        <v/>
      </c>
      <c r="AD97" s="55">
        <f>SUMIFS(tblMovement[Tonnes_t],tblMovement[Date],$A97,tblMovement[Source_Type],"Stockpile")</f>
        <v/>
      </c>
      <c r="AE97" s="55">
        <f>IF($B97=$B96,$AE96,0)+$AD97</f>
        <v/>
      </c>
      <c r="AF97" s="55">
        <f>$AF96+$AD97</f>
        <v/>
      </c>
      <c r="AG97" s="55">
        <f>SUMIFS(tblMovement[Tonnes_t],tblMovement[Date],$A97)</f>
        <v/>
      </c>
      <c r="AH97" s="55">
        <f>IF($B97=$B96,$AH96,0)+$AG97</f>
        <v/>
      </c>
      <c r="AI97" s="55">
        <f>$AI96+$AG97</f>
        <v/>
      </c>
      <c r="AJ97" s="55">
        <f>$AG97-$X97-$AD97</f>
        <v/>
      </c>
      <c r="AK97" s="55">
        <f>IF($B97=$B96,$AK96,0)+$AJ97</f>
        <v/>
      </c>
      <c r="AL97" s="55">
        <f>$AL96+$AJ97</f>
        <v/>
      </c>
      <c r="AM97" s="55">
        <f>SUMIFS(tblMiningDaily[Drill_m],tblMiningDaily[Date],$A97)</f>
        <v/>
      </c>
      <c r="AN97" s="55">
        <f>IF($B97=$B96,$AN96,0)+$AM97</f>
        <v/>
      </c>
      <c r="AO97" s="55">
        <f>$AO96+$AM97</f>
        <v/>
      </c>
      <c r="AP97" s="55">
        <f>SUMIFS(tblMiningDaily[GC_Drill_m],tblMiningDaily[Date],$A97)</f>
        <v/>
      </c>
      <c r="AQ97" s="55">
        <f>IF($B97=$B96,$AQ96,0)+$AP97</f>
        <v/>
      </c>
      <c r="AR97" s="55">
        <f>$AR96+$AP97</f>
        <v/>
      </c>
      <c r="AS97" s="55">
        <f>SUMIFS(tblMiningDaily[Blast_t],tblMiningDaily[Date],$A97)</f>
        <v/>
      </c>
      <c r="AT97" s="55">
        <f>IF($B97=$B96,$AT96,0)+$AS97</f>
        <v/>
      </c>
      <c r="AU97" s="55">
        <f>$AU96+$AS97</f>
        <v/>
      </c>
      <c r="AV97" s="55">
        <f>SUMIFS(tblMiningDaily[Explosives_kg],tblMiningDaily[Date],$A97)</f>
        <v/>
      </c>
      <c r="AW97" s="55">
        <f>IF($B97=$B96,$AW96,0)+$AV97</f>
        <v/>
      </c>
      <c r="AX97" s="55">
        <f>$AX96+$AV97</f>
        <v/>
      </c>
      <c r="AY97" s="56">
        <f>IFERROR(IF(($AS97)&gt;0,($AV97)/($AS97),""),"")</f>
        <v/>
      </c>
      <c r="AZ97" s="56">
        <f>IFERROR(IF(($AT97)&gt;0,($AW97)/($AT97),""),"")</f>
        <v/>
      </c>
      <c r="BA97" s="56">
        <f>IFERROR(IF(($AU97)&gt;0,($AX97)/($AU97),""),"")</f>
        <v/>
      </c>
      <c r="BB97" s="55">
        <f>SUMIFS(tblMiningDaily[Diesel_L],tblMiningDaily[Date],$A97)</f>
        <v/>
      </c>
      <c r="BC97" s="55">
        <f>IF($B97=$B96,$BC96,0)+$BB97</f>
        <v/>
      </c>
      <c r="BD97" s="55">
        <f>$BD96+$BB97</f>
        <v/>
      </c>
      <c r="BE97" s="55">
        <f>SUMIFS(tblMiningDaily[Dewatering_m3],tblMiningDaily[Date],$A97)</f>
        <v/>
      </c>
      <c r="BF97" s="55">
        <f>IF($B97=$B96,$BF96,0)+$BE97</f>
        <v/>
      </c>
      <c r="BG97" s="55">
        <f>$BG96+$BE97</f>
        <v/>
      </c>
      <c r="BH97" s="57">
        <f>SUMIFS(tblFleet[Calendar_h],tblFleet[Date],$A97,tblFleet[Equipment_Class],"Excavator")</f>
        <v/>
      </c>
      <c r="BI97" s="57">
        <f>IF($B97=$B96,$BI96,0)+$BH97</f>
        <v/>
      </c>
      <c r="BJ97" s="57">
        <f>$BJ96+$BH97</f>
        <v/>
      </c>
      <c r="BK97" s="57">
        <f>SUMIFS(tblFleet[Available_h],tblFleet[Date],$A97,tblFleet[Equipment_Class],"Excavator")</f>
        <v/>
      </c>
      <c r="BL97" s="57">
        <f>IF($B97=$B96,$BL96,0)+$BK97</f>
        <v/>
      </c>
      <c r="BM97" s="57">
        <f>$BM96+$BK97</f>
        <v/>
      </c>
      <c r="BN97" s="57">
        <f>SUMIFS(tblFleet[Operating_h],tblFleet[Date],$A97,tblFleet[Equipment_Class],"Excavator")</f>
        <v/>
      </c>
      <c r="BO97" s="57">
        <f>IF($B97=$B96,$BO96,0)+$BN97</f>
        <v/>
      </c>
      <c r="BP97" s="57">
        <f>$BP96+$BN97</f>
        <v/>
      </c>
      <c r="BQ97" s="67">
        <f>IFERROR(IF(($BH97)&gt;0,($BK97)/($BH97),""),"")</f>
        <v/>
      </c>
      <c r="BR97" s="67">
        <f>IFERROR(IF(($BI97)&gt;0,($BL97)/($BI97),""),"")</f>
        <v/>
      </c>
      <c r="BS97" s="67">
        <f>IFERROR(IF(($BJ97)&gt;0,($BM97)/($BJ97),""),"")</f>
        <v/>
      </c>
      <c r="BT97" s="67">
        <f>IFERROR(IF(($BK97)&gt;0,($BN97)/($BK97),""),"")</f>
        <v/>
      </c>
      <c r="BU97" s="67">
        <f>IFERROR(IF(($BL97)&gt;0,($BO97)/($BL97),""),"")</f>
        <v/>
      </c>
      <c r="BV97" s="67">
        <f>IFERROR(IF(($BM97)&gt;0,($BP97)/($BM97),""),"")</f>
        <v/>
      </c>
      <c r="BW97" s="57">
        <f>SUMIFS(tblFleet[Calendar_h],tblFleet[Date],$A97,tblFleet[Equipment_Class],"Haul Truck")</f>
        <v/>
      </c>
      <c r="BX97" s="57">
        <f>IF($B97=$B96,$BX96,0)+$BW97</f>
        <v/>
      </c>
      <c r="BY97" s="57">
        <f>$BY96+$BW97</f>
        <v/>
      </c>
      <c r="BZ97" s="57">
        <f>SUMIFS(tblFleet[Available_h],tblFleet[Date],$A97,tblFleet[Equipment_Class],"Haul Truck")</f>
        <v/>
      </c>
      <c r="CA97" s="57">
        <f>IF($B97=$B96,$CA96,0)+$BZ97</f>
        <v/>
      </c>
      <c r="CB97" s="57">
        <f>$CB96+$BZ97</f>
        <v/>
      </c>
      <c r="CC97" s="57">
        <f>SUMIFS(tblFleet[Operating_h],tblFleet[Date],$A97,tblFleet[Equipment_Class],"Haul Truck")</f>
        <v/>
      </c>
      <c r="CD97" s="57">
        <f>IF($B97=$B96,$CD96,0)+$CC97</f>
        <v/>
      </c>
      <c r="CE97" s="57">
        <f>$CE96+$CC97</f>
        <v/>
      </c>
      <c r="CF97" s="67">
        <f>IFERROR(IF(($BW97)&gt;0,($BZ97)/($BW97),""),"")</f>
        <v/>
      </c>
      <c r="CG97" s="67">
        <f>IFERROR(IF(($BX97)&gt;0,($CA97)/($BX97),""),"")</f>
        <v/>
      </c>
      <c r="CH97" s="67">
        <f>IFERROR(IF(($BY97)&gt;0,($CB97)/($BY97),""),"")</f>
        <v/>
      </c>
      <c r="CI97" s="67">
        <f>IFERROR(IF(($BZ97)&gt;0,($CC97)/($BZ97),""),"")</f>
        <v/>
      </c>
      <c r="CJ97" s="67">
        <f>IFERROR(IF(($CA97)&gt;0,($CD97)/($CA97),""),"")</f>
        <v/>
      </c>
      <c r="CK97" s="67">
        <f>IFERROR(IF(($CB97)&gt;0,($CE97)/($CB97),""),"")</f>
        <v/>
      </c>
      <c r="CL97" s="55">
        <f>IFERROR(IF(($BN97)&gt;0,($X97+$AD97)/($BN97),""),"")</f>
        <v/>
      </c>
      <c r="CM97" s="55">
        <f>IFERROR(IF(($BO97)&gt;0,($Y97+$AE97)/($BO97),""),"")</f>
        <v/>
      </c>
      <c r="CN97" s="55">
        <f>IFERROR(IF(($BP97)&gt;0,($Z97+$AF97)/($BP97),""),"")</f>
        <v/>
      </c>
      <c r="CO97" s="55">
        <f>IFERROR(IF(($CC97)&gt;0,($X97+$AD97)/($CC97),""),"")</f>
        <v/>
      </c>
      <c r="CP97" s="55">
        <f>IFERROR(IF(($CD97)&gt;0,($Y97+$AE97)/($CD97),""),"")</f>
        <v/>
      </c>
      <c r="CQ97" s="55">
        <f>IFERROR(IF(($CE97)&gt;0,($Z97+$AF97)/($CE97),""),"")</f>
        <v/>
      </c>
      <c r="CR97" s="55">
        <f>SUMIFS(tblPlant[Crushed_t],tblPlant[Date],$A97)</f>
        <v/>
      </c>
      <c r="CS97" s="55">
        <f>IF($B97=$B96,$CS96,0)+$CR97</f>
        <v/>
      </c>
      <c r="CT97" s="55">
        <f>$CT96+$CR97</f>
        <v/>
      </c>
      <c r="CU97" s="55">
        <f>SUMIFS(tblPlant[Milled_t],tblPlant[Date],$A97)</f>
        <v/>
      </c>
      <c r="CV97" s="55">
        <f>IF($B97=$B96,$CV96,0)+$CU97</f>
        <v/>
      </c>
      <c r="CW97" s="55">
        <f>$CW96+$CU97</f>
        <v/>
      </c>
      <c r="CX97" s="55">
        <f>SUMIFS(tblPlant[Feed_oz],tblPlant[Date],$A97)</f>
        <v/>
      </c>
      <c r="CY97" s="55">
        <f>IF($B97=$B96,$CY96,0)+$CX97</f>
        <v/>
      </c>
      <c r="CZ97" s="55">
        <f>$CZ96+$CX97</f>
        <v/>
      </c>
      <c r="DA97" s="55">
        <f>SUMIFS(tblPlant[Tails_oz],tblPlant[Date],$A97)</f>
        <v/>
      </c>
      <c r="DB97" s="55">
        <f>IF($B97=$B96,$DB96,0)+$DA97</f>
        <v/>
      </c>
      <c r="DC97" s="55">
        <f>$DC96+$DA97</f>
        <v/>
      </c>
      <c r="DD97" s="55">
        <f>SUMIFS(tblPlant[Recovered_oz],tblPlant[Date],$A97)</f>
        <v/>
      </c>
      <c r="DE97" s="55">
        <f>IF($B97=$B96,$DE96,0)+$DD97</f>
        <v/>
      </c>
      <c r="DF97" s="55">
        <f>$DF96+$DD97</f>
        <v/>
      </c>
      <c r="DG97" s="55">
        <f>SUMIFS(tblPlant[Milled_t],tblPlant[Date],$A97,tblPlant[Head_Grade_gpt],"&lt;&gt;")</f>
        <v/>
      </c>
      <c r="DH97" s="55">
        <f>IF($B97=$B96,$DH96,0)+$DG97</f>
        <v/>
      </c>
      <c r="DI97" s="55">
        <f>$DI96+$DG97</f>
        <v/>
      </c>
      <c r="DJ97" s="55">
        <f>SUMIFS(tblPlant[Milled_t],tblPlant[Date],$A97,tblPlant[Tails_Grade_gpt],"&lt;&gt;")</f>
        <v/>
      </c>
      <c r="DK97" s="55">
        <f>IF($B97=$B96,$DK96,0)+$DJ97</f>
        <v/>
      </c>
      <c r="DL97" s="55">
        <f>$DL96+$DJ97</f>
        <v/>
      </c>
      <c r="DM97" s="55">
        <f>SUMIFS(tblPlant[Feed_oz],tblPlant[Date],$A97,tblPlant[Tails_Grade_gpt],"&lt;&gt;")</f>
        <v/>
      </c>
      <c r="DN97" s="55">
        <f>IF($B97=$B96,$DN96,0)+$DM97</f>
        <v/>
      </c>
      <c r="DO97" s="55">
        <f>$DO96+$DM97</f>
        <v/>
      </c>
      <c r="DP97" s="55">
        <f>SUMIFS(tblPlant[Milled_t],tblPlant[Date],$A97,tblPlant[Mill_Run_h],"&lt;&gt;")</f>
        <v/>
      </c>
      <c r="DQ97" s="55">
        <f>IF($B97=$B96,$DQ96,0)+$DP97</f>
        <v/>
      </c>
      <c r="DR97" s="55">
        <f>$DR96+$DP97</f>
        <v/>
      </c>
      <c r="DS97" s="56">
        <f>IFERROR(IF(($DG97)&gt;0,($CX97*cfg_TroyOz)/($DG97),""),"")</f>
        <v/>
      </c>
      <c r="DT97" s="56">
        <f>IFERROR(IF(($DH97)&gt;0,($CY97*cfg_TroyOz)/($DH97),""),"")</f>
        <v/>
      </c>
      <c r="DU97" s="56">
        <f>IFERROR(IF(($DI97)&gt;0,($CZ97*cfg_TroyOz)/($DI97),""),"")</f>
        <v/>
      </c>
      <c r="DV97" s="56">
        <f>IFERROR(IF(($DJ97)&gt;0,($DA97*cfg_TroyOz)/($DJ97),""),"")</f>
        <v/>
      </c>
      <c r="DW97" s="56">
        <f>IFERROR(IF(($DK97)&gt;0,($DB97*cfg_TroyOz)/($DK97),""),"")</f>
        <v/>
      </c>
      <c r="DX97" s="56">
        <f>IFERROR(IF(($DL97)&gt;0,($DC97*cfg_TroyOz)/($DL97),""),"")</f>
        <v/>
      </c>
      <c r="DY97" s="67">
        <f>IFERROR(IF(($DM97)&gt;0,($DD97)/($DM97),""),"")</f>
        <v/>
      </c>
      <c r="DZ97" s="67">
        <f>IFERROR(IF(($DN97)&gt;0,($DE97)/($DN97),""),"")</f>
        <v/>
      </c>
      <c r="EA97" s="67">
        <f>IFERROR(IF(($DO97)&gt;0,($DF97)/($DO97),""),"")</f>
        <v/>
      </c>
      <c r="EB97" s="55">
        <f>SUMIFS(tblPlant[Gravity_Gold_oz],tblPlant[Date],$A97)</f>
        <v/>
      </c>
      <c r="EC97" s="55">
        <f>IF($B97=$B96,$EC96,0)+$EB97</f>
        <v/>
      </c>
      <c r="ED97" s="55">
        <f>$ED96+$EB97</f>
        <v/>
      </c>
      <c r="EE97" s="67">
        <f>IFERROR(IF(($DD97)&gt;0,($EB97)/($DD97),""),"")</f>
        <v/>
      </c>
      <c r="EF97" s="67">
        <f>IFERROR(IF(($DE97)&gt;0,($EC97)/($DE97),""),"")</f>
        <v/>
      </c>
      <c r="EG97" s="67">
        <f>IFERROR(IF(($DF97)&gt;0,($ED97)/($DF97),""),"")</f>
        <v/>
      </c>
      <c r="EH97" s="55">
        <f>SUMIFS(tblPlant[Gold_Poured_oz],tblPlant[Date],$A97)</f>
        <v/>
      </c>
      <c r="EI97" s="55">
        <f>IF($B97=$B96,$EI96,0)+$EH97</f>
        <v/>
      </c>
      <c r="EJ97" s="55">
        <f>$EJ96+$EH97</f>
        <v/>
      </c>
      <c r="EK97" s="57">
        <f>SUMIFS(tblPlant[Mill_Run_h],tblPlant[Date],$A97)</f>
        <v/>
      </c>
      <c r="EL97" s="57">
        <f>IF($B97=$B96,$EL96,0)+$EK97</f>
        <v/>
      </c>
      <c r="EM97" s="57">
        <f>$EM96+$EK97</f>
        <v/>
      </c>
      <c r="EN97" s="57">
        <f>SUMIFS(tblPlant[Mill_Planned_Maint_h],tblPlant[Date],$A97)</f>
        <v/>
      </c>
      <c r="EO97" s="57">
        <f>IF($B97=$B96,$EO96,0)+$EN97</f>
        <v/>
      </c>
      <c r="EP97" s="57">
        <f>$EP96+$EN97</f>
        <v/>
      </c>
      <c r="EQ97" s="57">
        <f>SUMIFS(tblPlant[Mill_Unplanned_Down_h],tblPlant[Date],$A97)</f>
        <v/>
      </c>
      <c r="ER97" s="57">
        <f>IF($B97=$B96,$ER96,0)+$EQ97</f>
        <v/>
      </c>
      <c r="ES97" s="57">
        <f>$ES96+$EQ97</f>
        <v/>
      </c>
      <c r="ET97" s="57">
        <f>IF(COUNTIFS(tblPlant[Date],$A97,tblPlant[Mill_Run_h],"&lt;&gt;")+COUNTIFS(tblPlant[Date],$A97,tblPlant[Mill_Planned_Maint_h],"&lt;&gt;")+COUNTIFS(tblPlant[Date],$A97,tblPlant[Mill_Unplanned_Down_h],"&lt;&gt;")&gt;0,cfg_HoursPerDay,0)</f>
        <v/>
      </c>
      <c r="EU97" s="57">
        <f>IF($B97=$B96,$EU96,0)+$ET97</f>
        <v/>
      </c>
      <c r="EV97" s="57">
        <f>$EV96+$ET97</f>
        <v/>
      </c>
      <c r="EW97" s="57">
        <f>SUMIFS(tblPlant[Crusher_Run_h],tblPlant[Date],$A97)</f>
        <v/>
      </c>
      <c r="EX97" s="57">
        <f>IF($B97=$B96,$EX96,0)+$EW97</f>
        <v/>
      </c>
      <c r="EY97" s="57">
        <f>$EY96+$EW97</f>
        <v/>
      </c>
      <c r="EZ97" s="55">
        <f>IFERROR(IF(($EK97)&gt;0,($DP97)/($EK97),""),"")</f>
        <v/>
      </c>
      <c r="FA97" s="55">
        <f>IFERROR(IF(($EL97)&gt;0,($DQ97)/($EL97),""),"")</f>
        <v/>
      </c>
      <c r="FB97" s="55">
        <f>IFERROR(IF(($EM97)&gt;0,($DR97)/($EM97),""),"")</f>
        <v/>
      </c>
      <c r="FC97" s="67">
        <f>IFERROR(IF(($ET97)&gt;0,($ET97-$EN97-$EQ97)/($ET97),""),"")</f>
        <v/>
      </c>
      <c r="FD97" s="67">
        <f>IFERROR(IF(($EU97)&gt;0,($EU97-$EO97-$ER97)/($EU97),""),"")</f>
        <v/>
      </c>
      <c r="FE97" s="67">
        <f>IFERROR(IF(($EV97)&gt;0,($EV97-$EP97-$ES97)/($EV97),""),"")</f>
        <v/>
      </c>
      <c r="FF97" s="67">
        <f>IFERROR(IF(($ET97-$EN97-$EQ97)&gt;0,($EK97)/($ET97-$EN97-$EQ97),""),"")</f>
        <v/>
      </c>
      <c r="FG97" s="67">
        <f>IFERROR(IF(($EU97-$EO97-$ER97)&gt;0,($EL97)/($EU97-$EO97-$ER97),""),"")</f>
        <v/>
      </c>
      <c r="FH97" s="67">
        <f>IFERROR(IF(($EV97-$EP97-$ES97)&gt;0,($EM97)/($EV97-$EP97-$ES97),""),"")</f>
        <v/>
      </c>
      <c r="FI97" s="55">
        <f>SUMIFS(tblPlant[Cyanide_kg],tblPlant[Date],$A97)</f>
        <v/>
      </c>
      <c r="FJ97" s="55">
        <f>IF($B97=$B96,$FJ96,0)+$FI97</f>
        <v/>
      </c>
      <c r="FK97" s="55">
        <f>$FK96+$FI97</f>
        <v/>
      </c>
      <c r="FL97" s="55">
        <f>SUMIFS(tblPlant[Lime_kg],tblPlant[Date],$A97)</f>
        <v/>
      </c>
      <c r="FM97" s="55">
        <f>IF($B97=$B96,$FM96,0)+$FL97</f>
        <v/>
      </c>
      <c r="FN97" s="55">
        <f>$FN96+$FL97</f>
        <v/>
      </c>
      <c r="FO97" s="55">
        <f>SUMIFS(tblPlant[Grinding_Media_kg],tblPlant[Date],$A97)</f>
        <v/>
      </c>
      <c r="FP97" s="55">
        <f>IF($B97=$B96,$FP96,0)+$FO97</f>
        <v/>
      </c>
      <c r="FQ97" s="55">
        <f>$FQ96+$FO97</f>
        <v/>
      </c>
      <c r="FR97" s="55">
        <f>SUMIFS(tblPlant[Power_kWh],tblPlant[Date],$A97)</f>
        <v/>
      </c>
      <c r="FS97" s="55">
        <f>IF($B97=$B96,$FS96,0)+$FR97</f>
        <v/>
      </c>
      <c r="FT97" s="55">
        <f>$FT96+$FR97</f>
        <v/>
      </c>
      <c r="FU97" s="55">
        <f>SUMIFS(tblPlant[Raw_Water_m3],tblPlant[Date],$A97)</f>
        <v/>
      </c>
      <c r="FV97" s="55">
        <f>IF($B97=$B96,$FV96,0)+$FU97</f>
        <v/>
      </c>
      <c r="FW97" s="55">
        <f>$FW96+$FU97</f>
        <v/>
      </c>
      <c r="FX97" s="56">
        <f>IFERROR(IF(($CU97)&gt;0,($FI97)/($CU97),""),"")</f>
        <v/>
      </c>
      <c r="FY97" s="56">
        <f>IFERROR(IF(($CV97)&gt;0,($FJ97)/($CV97),""),"")</f>
        <v/>
      </c>
      <c r="FZ97" s="56">
        <f>IFERROR(IF(($CW97)&gt;0,($FK97)/($CW97),""),"")</f>
        <v/>
      </c>
      <c r="GA97" s="56">
        <f>IFERROR(IF(($CU97)&gt;0,($FL97)/($CU97),""),"")</f>
        <v/>
      </c>
      <c r="GB97" s="56">
        <f>IFERROR(IF(($CV97)&gt;0,($FM97)/($CV97),""),"")</f>
        <v/>
      </c>
      <c r="GC97" s="56">
        <f>IFERROR(IF(($CW97)&gt;0,($FN97)/($CW97),""),"")</f>
        <v/>
      </c>
      <c r="GD97" s="56">
        <f>IFERROR(IF(($CU97)&gt;0,($FO97)/($CU97),""),"")</f>
        <v/>
      </c>
      <c r="GE97" s="56">
        <f>IFERROR(IF(($CV97)&gt;0,($FP97)/($CV97),""),"")</f>
        <v/>
      </c>
      <c r="GF97" s="56">
        <f>IFERROR(IF(($CW97)&gt;0,($FQ97)/($CW97),""),"")</f>
        <v/>
      </c>
      <c r="GG97" s="79">
        <f>IFERROR(IF(($CU97)&gt;0,($FR97)/($CU97),""),"")</f>
        <v/>
      </c>
      <c r="GH97" s="79">
        <f>IFERROR(IF(($CV97)&gt;0,($FS97)/($CV97),""),"")</f>
        <v/>
      </c>
      <c r="GI97" s="79">
        <f>IFERROR(IF(($CW97)&gt;0,($FT97)/($CW97),""),"")</f>
        <v/>
      </c>
      <c r="GJ97" s="56">
        <f>IFERROR(IF(($CU97)&gt;0,($FU97)/($CU97),""),"")</f>
        <v/>
      </c>
      <c r="GK97" s="56">
        <f>IFERROR(IF(($CV97)&gt;0,($FV97)/($CV97),""),"")</f>
        <v/>
      </c>
      <c r="GL97" s="56">
        <f>IFERROR(IF(($CW97)&gt;0,($FW97)/($CW97),""),"")</f>
        <v/>
      </c>
      <c r="GM97" s="55">
        <f>IF(SUMIFS(tblPlant[GIC_oz],tblPlant[Date],$A97)&gt;0,SUMIFS(tblPlant[GIC_oz],tblPlant[Date],$A97),"")</f>
        <v/>
      </c>
      <c r="GN97" s="55">
        <f>SUMIFS(tblGold[Gold_oz],tblGold[Date],$A97,tblGold[Type],"Shipment")</f>
        <v/>
      </c>
      <c r="GO97" s="55">
        <f>IF($B97=$B96,$GO96,0)+$GN97</f>
        <v/>
      </c>
      <c r="GP97" s="55">
        <f>$GP96+$GN97</f>
        <v/>
      </c>
      <c r="GQ97" s="55">
        <f>SUMIFS(tblGold[Gold_oz],tblGold[Date],$A97,tblGold[Type],"Sale")</f>
        <v/>
      </c>
      <c r="GR97" s="55">
        <f>IF($B97=$B96,$GR96,0)+$GQ97</f>
        <v/>
      </c>
      <c r="GS97" s="55">
        <f>$GS96+$GQ97</f>
        <v/>
      </c>
      <c r="GT97" s="55">
        <f>SUMIFS(tblGold[Dore_kg],tblGold[Date],$A97,tblGold[Type],"Shipment")</f>
        <v/>
      </c>
      <c r="GU97" s="55">
        <f>IF($B97=$B96,$GU96,0)+$GT97</f>
        <v/>
      </c>
      <c r="GV97" s="55">
        <f>$GV96+$GT97</f>
        <v/>
      </c>
      <c r="GW97" s="57">
        <f>SUMIFS(tblSafety[Hours_Total],tblSafety[Date],$A97)</f>
        <v/>
      </c>
      <c r="GX97" s="57">
        <f>IF($B97=$B96,$GX96,0)+$GW97</f>
        <v/>
      </c>
      <c r="GY97" s="57">
        <f>$GY96+$GW97</f>
        <v/>
      </c>
      <c r="GZ97" s="62">
        <f>SUMIFS(tblSafety[Fatality],tblSafety[Date],$A97)</f>
        <v/>
      </c>
      <c r="HA97" s="62">
        <f>IF($B97=$B96,$HA96,0)+$GZ97</f>
        <v/>
      </c>
      <c r="HB97" s="62">
        <f>$HB96+$GZ97</f>
        <v/>
      </c>
      <c r="HC97" s="62">
        <f>SUMIFS(tblSafety[LTI],tblSafety[Date],$A97)</f>
        <v/>
      </c>
      <c r="HD97" s="62">
        <f>IF($B97=$B96,$HD96,0)+$HC97</f>
        <v/>
      </c>
      <c r="HE97" s="62">
        <f>$HE96+$HC97</f>
        <v/>
      </c>
      <c r="HF97" s="62">
        <f>SUMIFS(tblSafety[RWI],tblSafety[Date],$A97)</f>
        <v/>
      </c>
      <c r="HG97" s="62">
        <f>IF($B97=$B96,$HG96,0)+$HF97</f>
        <v/>
      </c>
      <c r="HH97" s="62">
        <f>$HH96+$HF97</f>
        <v/>
      </c>
      <c r="HI97" s="62">
        <f>SUMIFS(tblSafety[MTI],tblSafety[Date],$A97)</f>
        <v/>
      </c>
      <c r="HJ97" s="62">
        <f>IF($B97=$B96,$HJ96,0)+$HI97</f>
        <v/>
      </c>
      <c r="HK97" s="62">
        <f>$HK96+$HI97</f>
        <v/>
      </c>
      <c r="HL97" s="62">
        <f>SUMIFS(tblSafety[FAI],tblSafety[Date],$A97)</f>
        <v/>
      </c>
      <c r="HM97" s="62">
        <f>IF($B97=$B96,$HM96,0)+$HL97</f>
        <v/>
      </c>
      <c r="HN97" s="62">
        <f>$HN96+$HL97</f>
        <v/>
      </c>
      <c r="HO97" s="62">
        <f>SUMIFS(tblSafety[Recordables],tblSafety[Date],$A97)</f>
        <v/>
      </c>
      <c r="HP97" s="62">
        <f>IF($B97=$B96,$HP96,0)+$HO97</f>
        <v/>
      </c>
      <c r="HQ97" s="62">
        <f>$HQ96+$HO97</f>
        <v/>
      </c>
      <c r="HR97" s="62">
        <f>SUMIFS(tblSafety[Near_Miss],tblSafety[Date],$A97)</f>
        <v/>
      </c>
      <c r="HS97" s="62">
        <f>IF($B97=$B96,$HS96,0)+$HR97</f>
        <v/>
      </c>
      <c r="HT97" s="62">
        <f>$HT96+$HR97</f>
        <v/>
      </c>
      <c r="HU97" s="62">
        <f>SUMIFS(tblSafety[Hazard_Reports],tblSafety[Date],$A97)</f>
        <v/>
      </c>
      <c r="HV97" s="62">
        <f>IF($B97=$B96,$HV96,0)+$HU97</f>
        <v/>
      </c>
      <c r="HW97" s="62">
        <f>$HW96+$HU97</f>
        <v/>
      </c>
      <c r="HX97" s="62">
        <f>SUMIFS(tblSafety[HPI],tblSafety[Date],$A97)</f>
        <v/>
      </c>
      <c r="HY97" s="62">
        <f>IF($B97=$B96,$HY96,0)+$HX97</f>
        <v/>
      </c>
      <c r="HZ97" s="62">
        <f>$HZ96+$HX97</f>
        <v/>
      </c>
      <c r="IA97" s="62">
        <f>SUMIFS(tblSafety[Env_Incidents],tblSafety[Date],$A97)</f>
        <v/>
      </c>
      <c r="IB97" s="62">
        <f>IF($B97=$B96,$IB96,0)+$IA97</f>
        <v/>
      </c>
      <c r="IC97" s="62">
        <f>$IC96+$IA97</f>
        <v/>
      </c>
      <c r="ID97" s="62">
        <f>SUMIFS(tblSafety[Community_Incidents],tblSafety[Date],$A97)</f>
        <v/>
      </c>
      <c r="IE97" s="62">
        <f>IF($B97=$B96,$IE96,0)+$ID97</f>
        <v/>
      </c>
      <c r="IF97" s="62">
        <f>$IF96+$ID97</f>
        <v/>
      </c>
      <c r="IG97" s="62">
        <f>SUMIFS(tblSafety[Vehicle_Incidents],tblSafety[Date],$A97)</f>
        <v/>
      </c>
      <c r="IH97" s="62">
        <f>IF($B97=$B96,$IH96,0)+$IG97</f>
        <v/>
      </c>
      <c r="II97" s="62">
        <f>$II96+$IG97</f>
        <v/>
      </c>
      <c r="IJ97" s="62">
        <f>SUMIFS(tblSafety[Toolbox_Talks],tblSafety[Date],$A97)</f>
        <v/>
      </c>
      <c r="IK97" s="62">
        <f>IF($B97=$B96,$IK96,0)+$IJ97</f>
        <v/>
      </c>
      <c r="IL97" s="62">
        <f>$IL96+$IJ97</f>
        <v/>
      </c>
      <c r="IM97" s="62">
        <f>SUMIFS(tblSafety[Inspections],tblSafety[Date],$A97)</f>
        <v/>
      </c>
      <c r="IN97" s="62">
        <f>IF($B97=$B96,$IN96,0)+$IM97</f>
        <v/>
      </c>
      <c r="IO97" s="62">
        <f>$IO96+$IM97</f>
        <v/>
      </c>
      <c r="IP97" s="56">
        <f>IFERROR((SUMIFS(tblSafety[Recordables],tblSafety[Date],"&gt;="&amp;EDATE($E97,-12),tblSafety[Date],"&lt;="&amp;$A97)+SUMIFS(tblSafetyHistory[Recordables],tblSafetyHistory[Month],"&gt;="&amp;EDATE($E97,-12),tblSafetyHistory[Month],"&lt;"&amp;$E97,tblSafetyHistory[Use],1))/(SUMIFS(tblSafety[Hours_Total],tblSafety[Date],"&gt;="&amp;EDATE($E97,-12),tblSafety[Date],"&lt;="&amp;$A97)+SUMIFS(tblSafetyHistory[Hours_Total],tblSafetyHistory[Month],"&gt;="&amp;EDATE($E97,-12),tblSafetyHistory[Month],"&lt;"&amp;$E97,tblSafetyHistory[Use],1))*cfg_RateBasisHours,"")</f>
        <v/>
      </c>
      <c r="IQ97" s="56">
        <f>IFERROR((SUMIFS(tblSafety[LTI],tblSafety[Date],"&gt;="&amp;EDATE($E97,-12),tblSafety[Date],"&lt;="&amp;$A97)+SUMIFS(tblSafetyHistory[LTI],tblSafetyHistory[Month],"&gt;="&amp;EDATE($E97,-12),tblSafetyHistory[Month],"&lt;"&amp;$E97,tblSafetyHistory[Use],1))/(SUMIFS(tblSafety[Hours_Total],tblSafety[Date],"&gt;="&amp;EDATE($E97,-12),tblSafety[Date],"&lt;="&amp;$A97)+SUMIFS(tblSafetyHistory[Hours_Total],tblSafetyHistory[Month],"&gt;="&amp;EDATE($E97,-12),tblSafetyHistory[Month],"&lt;"&amp;$E97,tblSafetyHistory[Use],1))*cfg_RateBasisHours,"")</f>
        <v/>
      </c>
      <c r="IR97" s="62">
        <f>IF(MAX(N(cfg_PriorLTIDate),_xlfn.MAXIFS(tblSafety[Date],tblSafety[LTI],"&gt;0",tblSafety[Date],"&lt;="&amp;$A97))=0,"",$A97-MAX(N(cfg_PriorLTIDate),_xlfn.MAXIFS(tblSafety[Date],tblSafety[LTI],"&gt;0",tblSafety[Date],"&lt;="&amp;$A97)))</f>
        <v/>
      </c>
      <c r="IS97" s="55">
        <f>SUMIFS(tblBudget[Ore_Mined_t],tblBudget[Month],$E97)</f>
        <v/>
      </c>
      <c r="IT97" s="55">
        <f>$IS97*$C97/$D97</f>
        <v/>
      </c>
      <c r="IU97" s="55">
        <f>SUMIFS(tblBudget[Ore_Mined_t],tblBudget[Month],"&lt;"&amp;$E97)+$IT97</f>
        <v/>
      </c>
      <c r="IV97" s="55">
        <f>SUMIFS(tblBudget[Ore_oz],tblBudget[Month],$E97)</f>
        <v/>
      </c>
      <c r="IW97" s="55">
        <f>$IV97*$C97/$D97</f>
        <v/>
      </c>
      <c r="IX97" s="55">
        <f>SUMIFS(tblBudget[Ore_oz],tblBudget[Month],"&lt;"&amp;$E97)+$IW97</f>
        <v/>
      </c>
      <c r="IY97" s="55">
        <f>SUMIFS(tblBudget[Ore_Mined_t],tblBudget[Month],$E97)</f>
        <v/>
      </c>
      <c r="IZ97" s="55">
        <f>$IY97*$C97/$D97</f>
        <v/>
      </c>
      <c r="JA97" s="55">
        <f>SUMIFS(tblBudget[Ore_Mined_t],tblBudget[Month],"&lt;"&amp;$E97)+$IZ97</f>
        <v/>
      </c>
      <c r="JB97" s="56">
        <f>IFERROR(IF(($IY97)&gt;0,($IV97*cfg_TroyOz)/($IY97),""),"")</f>
        <v/>
      </c>
      <c r="JC97" s="56">
        <f>IFERROR(IF(($IZ97)&gt;0,($IW97*cfg_TroyOz)/($IZ97),""),"")</f>
        <v/>
      </c>
      <c r="JD97" s="56">
        <f>IFERROR(IF(($JA97)&gt;0,($IX97*cfg_TroyOz)/($JA97),""),"")</f>
        <v/>
      </c>
      <c r="JE97" s="55">
        <f>SUMIFS(tblBudget[Waste_t],tblBudget[Month],$E97)</f>
        <v/>
      </c>
      <c r="JF97" s="55">
        <f>$JE97*$C97/$D97</f>
        <v/>
      </c>
      <c r="JG97" s="55">
        <f>SUMIFS(tblBudget[Waste_t],tblBudget[Month],"&lt;"&amp;$E97)+$JF97</f>
        <v/>
      </c>
      <c r="JH97" s="55">
        <f>SUMIFS(tblBudget[TMM_t],tblBudget[Month],$E97)</f>
        <v/>
      </c>
      <c r="JI97" s="55">
        <f>$JH97*$C97/$D97</f>
        <v/>
      </c>
      <c r="JJ97" s="55">
        <f>SUMIFS(tblBudget[TMM_t],tblBudget[Month],"&lt;"&amp;$E97)+$JI97</f>
        <v/>
      </c>
      <c r="JK97" s="56">
        <f>IFERROR(IF(($IS97)&gt;0,($JE97)/($IS97),""),"")</f>
        <v/>
      </c>
      <c r="JL97" s="56">
        <f>IFERROR(IF(($IT97)&gt;0,($JF97)/($IT97),""),"")</f>
        <v/>
      </c>
      <c r="JM97" s="56">
        <f>IFERROR(IF(($IU97)&gt;0,($JG97)/($IU97),""),"")</f>
        <v/>
      </c>
      <c r="JN97" s="55">
        <f>SUMIFS(tblBudget[Drill_m],tblBudget[Month],$E97)</f>
        <v/>
      </c>
      <c r="JO97" s="55">
        <f>$JN97*$C97/$D97</f>
        <v/>
      </c>
      <c r="JP97" s="55">
        <f>SUMIFS(tblBudget[Drill_m],tblBudget[Month],"&lt;"&amp;$E97)+$JO97</f>
        <v/>
      </c>
      <c r="JQ97" s="55">
        <f>SUMIFS(tblBudget[Diesel_L],tblBudget[Month],$E97)</f>
        <v/>
      </c>
      <c r="JR97" s="55">
        <f>$JQ97*$C97/$D97</f>
        <v/>
      </c>
      <c r="JS97" s="55">
        <f>SUMIFS(tblBudget[Diesel_L],tblBudget[Month],"&lt;"&amp;$E97)+$JR97</f>
        <v/>
      </c>
      <c r="JT97" s="55">
        <f>SUMIFS(tblBudget[Milled_t],tblBudget[Month],$E97)</f>
        <v/>
      </c>
      <c r="JU97" s="55">
        <f>$JT97*$C97/$D97</f>
        <v/>
      </c>
      <c r="JV97" s="55">
        <f>SUMIFS(tblBudget[Milled_t],tblBudget[Month],"&lt;"&amp;$E97)+$JU97</f>
        <v/>
      </c>
      <c r="JW97" s="55">
        <f>SUMIFS(tblBudget[Feed_oz],tblBudget[Month],$E97)</f>
        <v/>
      </c>
      <c r="JX97" s="55">
        <f>$JW97*$C97/$D97</f>
        <v/>
      </c>
      <c r="JY97" s="55">
        <f>SUMIFS(tblBudget[Feed_oz],tblBudget[Month],"&lt;"&amp;$E97)+$JX97</f>
        <v/>
      </c>
      <c r="JZ97" s="55">
        <f>SUMIFS(tblBudget[Recovered_oz],tblBudget[Month],$E97)</f>
        <v/>
      </c>
      <c r="KA97" s="55">
        <f>$JZ97*$C97/$D97</f>
        <v/>
      </c>
      <c r="KB97" s="55">
        <f>SUMIFS(tblBudget[Recovered_oz],tblBudget[Month],"&lt;"&amp;$E97)+$KA97</f>
        <v/>
      </c>
      <c r="KC97" s="55">
        <f>SUMIFS(tblBudget[Milled_t],tblBudget[Month],$E97)</f>
        <v/>
      </c>
      <c r="KD97" s="55">
        <f>$KC97*$C97/$D97</f>
        <v/>
      </c>
      <c r="KE97" s="55">
        <f>SUMIFS(tblBudget[Milled_t],tblBudget[Month],"&lt;"&amp;$E97)+$KD97</f>
        <v/>
      </c>
      <c r="KF97" s="55">
        <f>SUMIFS(tblBudget[Feed_oz],tblBudget[Month],$E97)</f>
        <v/>
      </c>
      <c r="KG97" s="55">
        <f>$KF97*$C97/$D97</f>
        <v/>
      </c>
      <c r="KH97" s="55">
        <f>SUMIFS(tblBudget[Feed_oz],tblBudget[Month],"&lt;"&amp;$E97)+$KG97</f>
        <v/>
      </c>
      <c r="KI97" s="56">
        <f>IFERROR(IF(($KC97)&gt;0,($JW97*cfg_TroyOz)/($KC97),""),"")</f>
        <v/>
      </c>
      <c r="KJ97" s="56">
        <f>IFERROR(IF(($KD97)&gt;0,($JX97*cfg_TroyOz)/($KD97),""),"")</f>
        <v/>
      </c>
      <c r="KK97" s="56">
        <f>IFERROR(IF(($KE97)&gt;0,($JY97*cfg_TroyOz)/($KE97),""),"")</f>
        <v/>
      </c>
      <c r="KL97" s="67">
        <f>IFERROR(IF(($KF97)&gt;0,($JZ97)/($KF97),""),"")</f>
        <v/>
      </c>
      <c r="KM97" s="67">
        <f>IFERROR(IF(($KG97)&gt;0,($KA97)/($KG97),""),"")</f>
        <v/>
      </c>
      <c r="KN97" s="67">
        <f>IFERROR(IF(($KH97)&gt;0,($KB97)/($KH97),""),"")</f>
        <v/>
      </c>
      <c r="KO97" s="55">
        <f>SUMIFS(tblBudget[Gold_Poured_oz],tblBudget[Month],$E97)</f>
        <v/>
      </c>
      <c r="KP97" s="55">
        <f>$KO97*$C97/$D97</f>
        <v/>
      </c>
      <c r="KQ97" s="55">
        <f>SUMIFS(tblBudget[Gold_Poured_oz],tblBudget[Month],"&lt;"&amp;$E97)+$KP97</f>
        <v/>
      </c>
      <c r="KR97" s="57">
        <f>SUMIFS(tblBudget[Hours_Worked],tblBudget[Month],$E97)</f>
        <v/>
      </c>
      <c r="KS97" s="57">
        <f>$KR97*$C97/$D97</f>
        <v/>
      </c>
      <c r="KT97" s="57">
        <f>SUMIFS(tblBudget[Hours_Worked],tblBudget[Month],"&lt;"&amp;$E97)+$KS97</f>
        <v/>
      </c>
    </row>
    <row r="98">
      <c r="A98" s="54" t="n">
        <v>46119</v>
      </c>
      <c r="B98">
        <f>MONTH($A98)</f>
        <v/>
      </c>
      <c r="C98">
        <f>DAY($A98)</f>
        <v/>
      </c>
      <c r="D98">
        <f>DAY(EOMONTH($A98,0))</f>
        <v/>
      </c>
      <c r="E98" s="54">
        <f>DATE(YEAR($A98),MONTH($A98),1)</f>
        <v/>
      </c>
      <c r="F98" s="55">
        <f>SUMIFS(tblMovement[Tonnes_t],tblMovement[Date],$A98,tblMovement[Is_Ore],1,tblMovement[Source_Type],"Pit")</f>
        <v/>
      </c>
      <c r="G98" s="55">
        <f>IF($B98=$B97,$G97,0)+$F98</f>
        <v/>
      </c>
      <c r="H98" s="55">
        <f>$H97+$F98</f>
        <v/>
      </c>
      <c r="I98" s="55">
        <f>SUMIFS(tblMovement[Ore_oz],tblMovement[Date],$A98,tblMovement[Source_Type],"Pit")</f>
        <v/>
      </c>
      <c r="J98" s="55">
        <f>IF($B98=$B97,$J97,0)+$I98</f>
        <v/>
      </c>
      <c r="K98" s="55">
        <f>$K97+$I98</f>
        <v/>
      </c>
      <c r="L98" s="55">
        <f>SUMIFS(tblMovement[Tonnes_t],tblMovement[Date],$A98,tblMovement[Is_Ore],1,tblMovement[Source_Type],"Pit",tblMovement[Grade_gpt],"&lt;&gt;")</f>
        <v/>
      </c>
      <c r="M98" s="55">
        <f>IF($B98=$B97,$M97,0)+$L98</f>
        <v/>
      </c>
      <c r="N98" s="55">
        <f>$N97+$L98</f>
        <v/>
      </c>
      <c r="O98" s="56">
        <f>IFERROR(IF(($L98)&gt;0,($I98*cfg_TroyOz)/($L98),""),"")</f>
        <v/>
      </c>
      <c r="P98" s="56">
        <f>IFERROR(IF(($M98)&gt;0,($J98*cfg_TroyOz)/($M98),""),"")</f>
        <v/>
      </c>
      <c r="Q98" s="56">
        <f>IFERROR(IF(($N98)&gt;0,($K98*cfg_TroyOz)/($N98),""),"")</f>
        <v/>
      </c>
      <c r="R98" s="55">
        <f>$F98-$L98</f>
        <v/>
      </c>
      <c r="S98" s="55">
        <f>IF($B98=$B97,$S97,0)+$R98</f>
        <v/>
      </c>
      <c r="T98" s="55">
        <f>$T97+$R98</f>
        <v/>
      </c>
      <c r="U98" s="55">
        <f>SUMIFS(tblMovement[Tonnes_t],tblMovement[Date],$A98,tblMovement[Is_Ore],0,tblMovement[Source_Type],"Pit")</f>
        <v/>
      </c>
      <c r="V98" s="55">
        <f>IF($B98=$B97,$V97,0)+$U98</f>
        <v/>
      </c>
      <c r="W98" s="55">
        <f>$W97+$U98</f>
        <v/>
      </c>
      <c r="X98" s="55">
        <f>$F98+$U98</f>
        <v/>
      </c>
      <c r="Y98" s="55">
        <f>IF($B98=$B97,$Y97,0)+$X98</f>
        <v/>
      </c>
      <c r="Z98" s="55">
        <f>$Z97+$X98</f>
        <v/>
      </c>
      <c r="AA98" s="56">
        <f>IFERROR(IF(($F98)&gt;0,($U98)/($F98),""),"")</f>
        <v/>
      </c>
      <c r="AB98" s="56">
        <f>IFERROR(IF(($G98)&gt;0,($V98)/($G98),""),"")</f>
        <v/>
      </c>
      <c r="AC98" s="56">
        <f>IFERROR(IF(($H98)&gt;0,($W98)/($H98),""),"")</f>
        <v/>
      </c>
      <c r="AD98" s="55">
        <f>SUMIFS(tblMovement[Tonnes_t],tblMovement[Date],$A98,tblMovement[Source_Type],"Stockpile")</f>
        <v/>
      </c>
      <c r="AE98" s="55">
        <f>IF($B98=$B97,$AE97,0)+$AD98</f>
        <v/>
      </c>
      <c r="AF98" s="55">
        <f>$AF97+$AD98</f>
        <v/>
      </c>
      <c r="AG98" s="55">
        <f>SUMIFS(tblMovement[Tonnes_t],tblMovement[Date],$A98)</f>
        <v/>
      </c>
      <c r="AH98" s="55">
        <f>IF($B98=$B97,$AH97,0)+$AG98</f>
        <v/>
      </c>
      <c r="AI98" s="55">
        <f>$AI97+$AG98</f>
        <v/>
      </c>
      <c r="AJ98" s="55">
        <f>$AG98-$X98-$AD98</f>
        <v/>
      </c>
      <c r="AK98" s="55">
        <f>IF($B98=$B97,$AK97,0)+$AJ98</f>
        <v/>
      </c>
      <c r="AL98" s="55">
        <f>$AL97+$AJ98</f>
        <v/>
      </c>
      <c r="AM98" s="55">
        <f>SUMIFS(tblMiningDaily[Drill_m],tblMiningDaily[Date],$A98)</f>
        <v/>
      </c>
      <c r="AN98" s="55">
        <f>IF($B98=$B97,$AN97,0)+$AM98</f>
        <v/>
      </c>
      <c r="AO98" s="55">
        <f>$AO97+$AM98</f>
        <v/>
      </c>
      <c r="AP98" s="55">
        <f>SUMIFS(tblMiningDaily[GC_Drill_m],tblMiningDaily[Date],$A98)</f>
        <v/>
      </c>
      <c r="AQ98" s="55">
        <f>IF($B98=$B97,$AQ97,0)+$AP98</f>
        <v/>
      </c>
      <c r="AR98" s="55">
        <f>$AR97+$AP98</f>
        <v/>
      </c>
      <c r="AS98" s="55">
        <f>SUMIFS(tblMiningDaily[Blast_t],tblMiningDaily[Date],$A98)</f>
        <v/>
      </c>
      <c r="AT98" s="55">
        <f>IF($B98=$B97,$AT97,0)+$AS98</f>
        <v/>
      </c>
      <c r="AU98" s="55">
        <f>$AU97+$AS98</f>
        <v/>
      </c>
      <c r="AV98" s="55">
        <f>SUMIFS(tblMiningDaily[Explosives_kg],tblMiningDaily[Date],$A98)</f>
        <v/>
      </c>
      <c r="AW98" s="55">
        <f>IF($B98=$B97,$AW97,0)+$AV98</f>
        <v/>
      </c>
      <c r="AX98" s="55">
        <f>$AX97+$AV98</f>
        <v/>
      </c>
      <c r="AY98" s="56">
        <f>IFERROR(IF(($AS98)&gt;0,($AV98)/($AS98),""),"")</f>
        <v/>
      </c>
      <c r="AZ98" s="56">
        <f>IFERROR(IF(($AT98)&gt;0,($AW98)/($AT98),""),"")</f>
        <v/>
      </c>
      <c r="BA98" s="56">
        <f>IFERROR(IF(($AU98)&gt;0,($AX98)/($AU98),""),"")</f>
        <v/>
      </c>
      <c r="BB98" s="55">
        <f>SUMIFS(tblMiningDaily[Diesel_L],tblMiningDaily[Date],$A98)</f>
        <v/>
      </c>
      <c r="BC98" s="55">
        <f>IF($B98=$B97,$BC97,0)+$BB98</f>
        <v/>
      </c>
      <c r="BD98" s="55">
        <f>$BD97+$BB98</f>
        <v/>
      </c>
      <c r="BE98" s="55">
        <f>SUMIFS(tblMiningDaily[Dewatering_m3],tblMiningDaily[Date],$A98)</f>
        <v/>
      </c>
      <c r="BF98" s="55">
        <f>IF($B98=$B97,$BF97,0)+$BE98</f>
        <v/>
      </c>
      <c r="BG98" s="55">
        <f>$BG97+$BE98</f>
        <v/>
      </c>
      <c r="BH98" s="57">
        <f>SUMIFS(tblFleet[Calendar_h],tblFleet[Date],$A98,tblFleet[Equipment_Class],"Excavator")</f>
        <v/>
      </c>
      <c r="BI98" s="57">
        <f>IF($B98=$B97,$BI97,0)+$BH98</f>
        <v/>
      </c>
      <c r="BJ98" s="57">
        <f>$BJ97+$BH98</f>
        <v/>
      </c>
      <c r="BK98" s="57">
        <f>SUMIFS(tblFleet[Available_h],tblFleet[Date],$A98,tblFleet[Equipment_Class],"Excavator")</f>
        <v/>
      </c>
      <c r="BL98" s="57">
        <f>IF($B98=$B97,$BL97,0)+$BK98</f>
        <v/>
      </c>
      <c r="BM98" s="57">
        <f>$BM97+$BK98</f>
        <v/>
      </c>
      <c r="BN98" s="57">
        <f>SUMIFS(tblFleet[Operating_h],tblFleet[Date],$A98,tblFleet[Equipment_Class],"Excavator")</f>
        <v/>
      </c>
      <c r="BO98" s="57">
        <f>IF($B98=$B97,$BO97,0)+$BN98</f>
        <v/>
      </c>
      <c r="BP98" s="57">
        <f>$BP97+$BN98</f>
        <v/>
      </c>
      <c r="BQ98" s="67">
        <f>IFERROR(IF(($BH98)&gt;0,($BK98)/($BH98),""),"")</f>
        <v/>
      </c>
      <c r="BR98" s="67">
        <f>IFERROR(IF(($BI98)&gt;0,($BL98)/($BI98),""),"")</f>
        <v/>
      </c>
      <c r="BS98" s="67">
        <f>IFERROR(IF(($BJ98)&gt;0,($BM98)/($BJ98),""),"")</f>
        <v/>
      </c>
      <c r="BT98" s="67">
        <f>IFERROR(IF(($BK98)&gt;0,($BN98)/($BK98),""),"")</f>
        <v/>
      </c>
      <c r="BU98" s="67">
        <f>IFERROR(IF(($BL98)&gt;0,($BO98)/($BL98),""),"")</f>
        <v/>
      </c>
      <c r="BV98" s="67">
        <f>IFERROR(IF(($BM98)&gt;0,($BP98)/($BM98),""),"")</f>
        <v/>
      </c>
      <c r="BW98" s="57">
        <f>SUMIFS(tblFleet[Calendar_h],tblFleet[Date],$A98,tblFleet[Equipment_Class],"Haul Truck")</f>
        <v/>
      </c>
      <c r="BX98" s="57">
        <f>IF($B98=$B97,$BX97,0)+$BW98</f>
        <v/>
      </c>
      <c r="BY98" s="57">
        <f>$BY97+$BW98</f>
        <v/>
      </c>
      <c r="BZ98" s="57">
        <f>SUMIFS(tblFleet[Available_h],tblFleet[Date],$A98,tblFleet[Equipment_Class],"Haul Truck")</f>
        <v/>
      </c>
      <c r="CA98" s="57">
        <f>IF($B98=$B97,$CA97,0)+$BZ98</f>
        <v/>
      </c>
      <c r="CB98" s="57">
        <f>$CB97+$BZ98</f>
        <v/>
      </c>
      <c r="CC98" s="57">
        <f>SUMIFS(tblFleet[Operating_h],tblFleet[Date],$A98,tblFleet[Equipment_Class],"Haul Truck")</f>
        <v/>
      </c>
      <c r="CD98" s="57">
        <f>IF($B98=$B97,$CD97,0)+$CC98</f>
        <v/>
      </c>
      <c r="CE98" s="57">
        <f>$CE97+$CC98</f>
        <v/>
      </c>
      <c r="CF98" s="67">
        <f>IFERROR(IF(($BW98)&gt;0,($BZ98)/($BW98),""),"")</f>
        <v/>
      </c>
      <c r="CG98" s="67">
        <f>IFERROR(IF(($BX98)&gt;0,($CA98)/($BX98),""),"")</f>
        <v/>
      </c>
      <c r="CH98" s="67">
        <f>IFERROR(IF(($BY98)&gt;0,($CB98)/($BY98),""),"")</f>
        <v/>
      </c>
      <c r="CI98" s="67">
        <f>IFERROR(IF(($BZ98)&gt;0,($CC98)/($BZ98),""),"")</f>
        <v/>
      </c>
      <c r="CJ98" s="67">
        <f>IFERROR(IF(($CA98)&gt;0,($CD98)/($CA98),""),"")</f>
        <v/>
      </c>
      <c r="CK98" s="67">
        <f>IFERROR(IF(($CB98)&gt;0,($CE98)/($CB98),""),"")</f>
        <v/>
      </c>
      <c r="CL98" s="55">
        <f>IFERROR(IF(($BN98)&gt;0,($X98+$AD98)/($BN98),""),"")</f>
        <v/>
      </c>
      <c r="CM98" s="55">
        <f>IFERROR(IF(($BO98)&gt;0,($Y98+$AE98)/($BO98),""),"")</f>
        <v/>
      </c>
      <c r="CN98" s="55">
        <f>IFERROR(IF(($BP98)&gt;0,($Z98+$AF98)/($BP98),""),"")</f>
        <v/>
      </c>
      <c r="CO98" s="55">
        <f>IFERROR(IF(($CC98)&gt;0,($X98+$AD98)/($CC98),""),"")</f>
        <v/>
      </c>
      <c r="CP98" s="55">
        <f>IFERROR(IF(($CD98)&gt;0,($Y98+$AE98)/($CD98),""),"")</f>
        <v/>
      </c>
      <c r="CQ98" s="55">
        <f>IFERROR(IF(($CE98)&gt;0,($Z98+$AF98)/($CE98),""),"")</f>
        <v/>
      </c>
      <c r="CR98" s="55">
        <f>SUMIFS(tblPlant[Crushed_t],tblPlant[Date],$A98)</f>
        <v/>
      </c>
      <c r="CS98" s="55">
        <f>IF($B98=$B97,$CS97,0)+$CR98</f>
        <v/>
      </c>
      <c r="CT98" s="55">
        <f>$CT97+$CR98</f>
        <v/>
      </c>
      <c r="CU98" s="55">
        <f>SUMIFS(tblPlant[Milled_t],tblPlant[Date],$A98)</f>
        <v/>
      </c>
      <c r="CV98" s="55">
        <f>IF($B98=$B97,$CV97,0)+$CU98</f>
        <v/>
      </c>
      <c r="CW98" s="55">
        <f>$CW97+$CU98</f>
        <v/>
      </c>
      <c r="CX98" s="55">
        <f>SUMIFS(tblPlant[Feed_oz],tblPlant[Date],$A98)</f>
        <v/>
      </c>
      <c r="CY98" s="55">
        <f>IF($B98=$B97,$CY97,0)+$CX98</f>
        <v/>
      </c>
      <c r="CZ98" s="55">
        <f>$CZ97+$CX98</f>
        <v/>
      </c>
      <c r="DA98" s="55">
        <f>SUMIFS(tblPlant[Tails_oz],tblPlant[Date],$A98)</f>
        <v/>
      </c>
      <c r="DB98" s="55">
        <f>IF($B98=$B97,$DB97,0)+$DA98</f>
        <v/>
      </c>
      <c r="DC98" s="55">
        <f>$DC97+$DA98</f>
        <v/>
      </c>
      <c r="DD98" s="55">
        <f>SUMIFS(tblPlant[Recovered_oz],tblPlant[Date],$A98)</f>
        <v/>
      </c>
      <c r="DE98" s="55">
        <f>IF($B98=$B97,$DE97,0)+$DD98</f>
        <v/>
      </c>
      <c r="DF98" s="55">
        <f>$DF97+$DD98</f>
        <v/>
      </c>
      <c r="DG98" s="55">
        <f>SUMIFS(tblPlant[Milled_t],tblPlant[Date],$A98,tblPlant[Head_Grade_gpt],"&lt;&gt;")</f>
        <v/>
      </c>
      <c r="DH98" s="55">
        <f>IF($B98=$B97,$DH97,0)+$DG98</f>
        <v/>
      </c>
      <c r="DI98" s="55">
        <f>$DI97+$DG98</f>
        <v/>
      </c>
      <c r="DJ98" s="55">
        <f>SUMIFS(tblPlant[Milled_t],tblPlant[Date],$A98,tblPlant[Tails_Grade_gpt],"&lt;&gt;")</f>
        <v/>
      </c>
      <c r="DK98" s="55">
        <f>IF($B98=$B97,$DK97,0)+$DJ98</f>
        <v/>
      </c>
      <c r="DL98" s="55">
        <f>$DL97+$DJ98</f>
        <v/>
      </c>
      <c r="DM98" s="55">
        <f>SUMIFS(tblPlant[Feed_oz],tblPlant[Date],$A98,tblPlant[Tails_Grade_gpt],"&lt;&gt;")</f>
        <v/>
      </c>
      <c r="DN98" s="55">
        <f>IF($B98=$B97,$DN97,0)+$DM98</f>
        <v/>
      </c>
      <c r="DO98" s="55">
        <f>$DO97+$DM98</f>
        <v/>
      </c>
      <c r="DP98" s="55">
        <f>SUMIFS(tblPlant[Milled_t],tblPlant[Date],$A98,tblPlant[Mill_Run_h],"&lt;&gt;")</f>
        <v/>
      </c>
      <c r="DQ98" s="55">
        <f>IF($B98=$B97,$DQ97,0)+$DP98</f>
        <v/>
      </c>
      <c r="DR98" s="55">
        <f>$DR97+$DP98</f>
        <v/>
      </c>
      <c r="DS98" s="56">
        <f>IFERROR(IF(($DG98)&gt;0,($CX98*cfg_TroyOz)/($DG98),""),"")</f>
        <v/>
      </c>
      <c r="DT98" s="56">
        <f>IFERROR(IF(($DH98)&gt;0,($CY98*cfg_TroyOz)/($DH98),""),"")</f>
        <v/>
      </c>
      <c r="DU98" s="56">
        <f>IFERROR(IF(($DI98)&gt;0,($CZ98*cfg_TroyOz)/($DI98),""),"")</f>
        <v/>
      </c>
      <c r="DV98" s="56">
        <f>IFERROR(IF(($DJ98)&gt;0,($DA98*cfg_TroyOz)/($DJ98),""),"")</f>
        <v/>
      </c>
      <c r="DW98" s="56">
        <f>IFERROR(IF(($DK98)&gt;0,($DB98*cfg_TroyOz)/($DK98),""),"")</f>
        <v/>
      </c>
      <c r="DX98" s="56">
        <f>IFERROR(IF(($DL98)&gt;0,($DC98*cfg_TroyOz)/($DL98),""),"")</f>
        <v/>
      </c>
      <c r="DY98" s="67">
        <f>IFERROR(IF(($DM98)&gt;0,($DD98)/($DM98),""),"")</f>
        <v/>
      </c>
      <c r="DZ98" s="67">
        <f>IFERROR(IF(($DN98)&gt;0,($DE98)/($DN98),""),"")</f>
        <v/>
      </c>
      <c r="EA98" s="67">
        <f>IFERROR(IF(($DO98)&gt;0,($DF98)/($DO98),""),"")</f>
        <v/>
      </c>
      <c r="EB98" s="55">
        <f>SUMIFS(tblPlant[Gravity_Gold_oz],tblPlant[Date],$A98)</f>
        <v/>
      </c>
      <c r="EC98" s="55">
        <f>IF($B98=$B97,$EC97,0)+$EB98</f>
        <v/>
      </c>
      <c r="ED98" s="55">
        <f>$ED97+$EB98</f>
        <v/>
      </c>
      <c r="EE98" s="67">
        <f>IFERROR(IF(($DD98)&gt;0,($EB98)/($DD98),""),"")</f>
        <v/>
      </c>
      <c r="EF98" s="67">
        <f>IFERROR(IF(($DE98)&gt;0,($EC98)/($DE98),""),"")</f>
        <v/>
      </c>
      <c r="EG98" s="67">
        <f>IFERROR(IF(($DF98)&gt;0,($ED98)/($DF98),""),"")</f>
        <v/>
      </c>
      <c r="EH98" s="55">
        <f>SUMIFS(tblPlant[Gold_Poured_oz],tblPlant[Date],$A98)</f>
        <v/>
      </c>
      <c r="EI98" s="55">
        <f>IF($B98=$B97,$EI97,0)+$EH98</f>
        <v/>
      </c>
      <c r="EJ98" s="55">
        <f>$EJ97+$EH98</f>
        <v/>
      </c>
      <c r="EK98" s="57">
        <f>SUMIFS(tblPlant[Mill_Run_h],tblPlant[Date],$A98)</f>
        <v/>
      </c>
      <c r="EL98" s="57">
        <f>IF($B98=$B97,$EL97,0)+$EK98</f>
        <v/>
      </c>
      <c r="EM98" s="57">
        <f>$EM97+$EK98</f>
        <v/>
      </c>
      <c r="EN98" s="57">
        <f>SUMIFS(tblPlant[Mill_Planned_Maint_h],tblPlant[Date],$A98)</f>
        <v/>
      </c>
      <c r="EO98" s="57">
        <f>IF($B98=$B97,$EO97,0)+$EN98</f>
        <v/>
      </c>
      <c r="EP98" s="57">
        <f>$EP97+$EN98</f>
        <v/>
      </c>
      <c r="EQ98" s="57">
        <f>SUMIFS(tblPlant[Mill_Unplanned_Down_h],tblPlant[Date],$A98)</f>
        <v/>
      </c>
      <c r="ER98" s="57">
        <f>IF($B98=$B97,$ER97,0)+$EQ98</f>
        <v/>
      </c>
      <c r="ES98" s="57">
        <f>$ES97+$EQ98</f>
        <v/>
      </c>
      <c r="ET98" s="57">
        <f>IF(COUNTIFS(tblPlant[Date],$A98,tblPlant[Mill_Run_h],"&lt;&gt;")+COUNTIFS(tblPlant[Date],$A98,tblPlant[Mill_Planned_Maint_h],"&lt;&gt;")+COUNTIFS(tblPlant[Date],$A98,tblPlant[Mill_Unplanned_Down_h],"&lt;&gt;")&gt;0,cfg_HoursPerDay,0)</f>
        <v/>
      </c>
      <c r="EU98" s="57">
        <f>IF($B98=$B97,$EU97,0)+$ET98</f>
        <v/>
      </c>
      <c r="EV98" s="57">
        <f>$EV97+$ET98</f>
        <v/>
      </c>
      <c r="EW98" s="57">
        <f>SUMIFS(tblPlant[Crusher_Run_h],tblPlant[Date],$A98)</f>
        <v/>
      </c>
      <c r="EX98" s="57">
        <f>IF($B98=$B97,$EX97,0)+$EW98</f>
        <v/>
      </c>
      <c r="EY98" s="57">
        <f>$EY97+$EW98</f>
        <v/>
      </c>
      <c r="EZ98" s="55">
        <f>IFERROR(IF(($EK98)&gt;0,($DP98)/($EK98),""),"")</f>
        <v/>
      </c>
      <c r="FA98" s="55">
        <f>IFERROR(IF(($EL98)&gt;0,($DQ98)/($EL98),""),"")</f>
        <v/>
      </c>
      <c r="FB98" s="55">
        <f>IFERROR(IF(($EM98)&gt;0,($DR98)/($EM98),""),"")</f>
        <v/>
      </c>
      <c r="FC98" s="67">
        <f>IFERROR(IF(($ET98)&gt;0,($ET98-$EN98-$EQ98)/($ET98),""),"")</f>
        <v/>
      </c>
      <c r="FD98" s="67">
        <f>IFERROR(IF(($EU98)&gt;0,($EU98-$EO98-$ER98)/($EU98),""),"")</f>
        <v/>
      </c>
      <c r="FE98" s="67">
        <f>IFERROR(IF(($EV98)&gt;0,($EV98-$EP98-$ES98)/($EV98),""),"")</f>
        <v/>
      </c>
      <c r="FF98" s="67">
        <f>IFERROR(IF(($ET98-$EN98-$EQ98)&gt;0,($EK98)/($ET98-$EN98-$EQ98),""),"")</f>
        <v/>
      </c>
      <c r="FG98" s="67">
        <f>IFERROR(IF(($EU98-$EO98-$ER98)&gt;0,($EL98)/($EU98-$EO98-$ER98),""),"")</f>
        <v/>
      </c>
      <c r="FH98" s="67">
        <f>IFERROR(IF(($EV98-$EP98-$ES98)&gt;0,($EM98)/($EV98-$EP98-$ES98),""),"")</f>
        <v/>
      </c>
      <c r="FI98" s="55">
        <f>SUMIFS(tblPlant[Cyanide_kg],tblPlant[Date],$A98)</f>
        <v/>
      </c>
      <c r="FJ98" s="55">
        <f>IF($B98=$B97,$FJ97,0)+$FI98</f>
        <v/>
      </c>
      <c r="FK98" s="55">
        <f>$FK97+$FI98</f>
        <v/>
      </c>
      <c r="FL98" s="55">
        <f>SUMIFS(tblPlant[Lime_kg],tblPlant[Date],$A98)</f>
        <v/>
      </c>
      <c r="FM98" s="55">
        <f>IF($B98=$B97,$FM97,0)+$FL98</f>
        <v/>
      </c>
      <c r="FN98" s="55">
        <f>$FN97+$FL98</f>
        <v/>
      </c>
      <c r="FO98" s="55">
        <f>SUMIFS(tblPlant[Grinding_Media_kg],tblPlant[Date],$A98)</f>
        <v/>
      </c>
      <c r="FP98" s="55">
        <f>IF($B98=$B97,$FP97,0)+$FO98</f>
        <v/>
      </c>
      <c r="FQ98" s="55">
        <f>$FQ97+$FO98</f>
        <v/>
      </c>
      <c r="FR98" s="55">
        <f>SUMIFS(tblPlant[Power_kWh],tblPlant[Date],$A98)</f>
        <v/>
      </c>
      <c r="FS98" s="55">
        <f>IF($B98=$B97,$FS97,0)+$FR98</f>
        <v/>
      </c>
      <c r="FT98" s="55">
        <f>$FT97+$FR98</f>
        <v/>
      </c>
      <c r="FU98" s="55">
        <f>SUMIFS(tblPlant[Raw_Water_m3],tblPlant[Date],$A98)</f>
        <v/>
      </c>
      <c r="FV98" s="55">
        <f>IF($B98=$B97,$FV97,0)+$FU98</f>
        <v/>
      </c>
      <c r="FW98" s="55">
        <f>$FW97+$FU98</f>
        <v/>
      </c>
      <c r="FX98" s="56">
        <f>IFERROR(IF(($CU98)&gt;0,($FI98)/($CU98),""),"")</f>
        <v/>
      </c>
      <c r="FY98" s="56">
        <f>IFERROR(IF(($CV98)&gt;0,($FJ98)/($CV98),""),"")</f>
        <v/>
      </c>
      <c r="FZ98" s="56">
        <f>IFERROR(IF(($CW98)&gt;0,($FK98)/($CW98),""),"")</f>
        <v/>
      </c>
      <c r="GA98" s="56">
        <f>IFERROR(IF(($CU98)&gt;0,($FL98)/($CU98),""),"")</f>
        <v/>
      </c>
      <c r="GB98" s="56">
        <f>IFERROR(IF(($CV98)&gt;0,($FM98)/($CV98),""),"")</f>
        <v/>
      </c>
      <c r="GC98" s="56">
        <f>IFERROR(IF(($CW98)&gt;0,($FN98)/($CW98),""),"")</f>
        <v/>
      </c>
      <c r="GD98" s="56">
        <f>IFERROR(IF(($CU98)&gt;0,($FO98)/($CU98),""),"")</f>
        <v/>
      </c>
      <c r="GE98" s="56">
        <f>IFERROR(IF(($CV98)&gt;0,($FP98)/($CV98),""),"")</f>
        <v/>
      </c>
      <c r="GF98" s="56">
        <f>IFERROR(IF(($CW98)&gt;0,($FQ98)/($CW98),""),"")</f>
        <v/>
      </c>
      <c r="GG98" s="79">
        <f>IFERROR(IF(($CU98)&gt;0,($FR98)/($CU98),""),"")</f>
        <v/>
      </c>
      <c r="GH98" s="79">
        <f>IFERROR(IF(($CV98)&gt;0,($FS98)/($CV98),""),"")</f>
        <v/>
      </c>
      <c r="GI98" s="79">
        <f>IFERROR(IF(($CW98)&gt;0,($FT98)/($CW98),""),"")</f>
        <v/>
      </c>
      <c r="GJ98" s="56">
        <f>IFERROR(IF(($CU98)&gt;0,($FU98)/($CU98),""),"")</f>
        <v/>
      </c>
      <c r="GK98" s="56">
        <f>IFERROR(IF(($CV98)&gt;0,($FV98)/($CV98),""),"")</f>
        <v/>
      </c>
      <c r="GL98" s="56">
        <f>IFERROR(IF(($CW98)&gt;0,($FW98)/($CW98),""),"")</f>
        <v/>
      </c>
      <c r="GM98" s="55">
        <f>IF(SUMIFS(tblPlant[GIC_oz],tblPlant[Date],$A98)&gt;0,SUMIFS(tblPlant[GIC_oz],tblPlant[Date],$A98),"")</f>
        <v/>
      </c>
      <c r="GN98" s="55">
        <f>SUMIFS(tblGold[Gold_oz],tblGold[Date],$A98,tblGold[Type],"Shipment")</f>
        <v/>
      </c>
      <c r="GO98" s="55">
        <f>IF($B98=$B97,$GO97,0)+$GN98</f>
        <v/>
      </c>
      <c r="GP98" s="55">
        <f>$GP97+$GN98</f>
        <v/>
      </c>
      <c r="GQ98" s="55">
        <f>SUMIFS(tblGold[Gold_oz],tblGold[Date],$A98,tblGold[Type],"Sale")</f>
        <v/>
      </c>
      <c r="GR98" s="55">
        <f>IF($B98=$B97,$GR97,0)+$GQ98</f>
        <v/>
      </c>
      <c r="GS98" s="55">
        <f>$GS97+$GQ98</f>
        <v/>
      </c>
      <c r="GT98" s="55">
        <f>SUMIFS(tblGold[Dore_kg],tblGold[Date],$A98,tblGold[Type],"Shipment")</f>
        <v/>
      </c>
      <c r="GU98" s="55">
        <f>IF($B98=$B97,$GU97,0)+$GT98</f>
        <v/>
      </c>
      <c r="GV98" s="55">
        <f>$GV97+$GT98</f>
        <v/>
      </c>
      <c r="GW98" s="57">
        <f>SUMIFS(tblSafety[Hours_Total],tblSafety[Date],$A98)</f>
        <v/>
      </c>
      <c r="GX98" s="57">
        <f>IF($B98=$B97,$GX97,0)+$GW98</f>
        <v/>
      </c>
      <c r="GY98" s="57">
        <f>$GY97+$GW98</f>
        <v/>
      </c>
      <c r="GZ98" s="62">
        <f>SUMIFS(tblSafety[Fatality],tblSafety[Date],$A98)</f>
        <v/>
      </c>
      <c r="HA98" s="62">
        <f>IF($B98=$B97,$HA97,0)+$GZ98</f>
        <v/>
      </c>
      <c r="HB98" s="62">
        <f>$HB97+$GZ98</f>
        <v/>
      </c>
      <c r="HC98" s="62">
        <f>SUMIFS(tblSafety[LTI],tblSafety[Date],$A98)</f>
        <v/>
      </c>
      <c r="HD98" s="62">
        <f>IF($B98=$B97,$HD97,0)+$HC98</f>
        <v/>
      </c>
      <c r="HE98" s="62">
        <f>$HE97+$HC98</f>
        <v/>
      </c>
      <c r="HF98" s="62">
        <f>SUMIFS(tblSafety[RWI],tblSafety[Date],$A98)</f>
        <v/>
      </c>
      <c r="HG98" s="62">
        <f>IF($B98=$B97,$HG97,0)+$HF98</f>
        <v/>
      </c>
      <c r="HH98" s="62">
        <f>$HH97+$HF98</f>
        <v/>
      </c>
      <c r="HI98" s="62">
        <f>SUMIFS(tblSafety[MTI],tblSafety[Date],$A98)</f>
        <v/>
      </c>
      <c r="HJ98" s="62">
        <f>IF($B98=$B97,$HJ97,0)+$HI98</f>
        <v/>
      </c>
      <c r="HK98" s="62">
        <f>$HK97+$HI98</f>
        <v/>
      </c>
      <c r="HL98" s="62">
        <f>SUMIFS(tblSafety[FAI],tblSafety[Date],$A98)</f>
        <v/>
      </c>
      <c r="HM98" s="62">
        <f>IF($B98=$B97,$HM97,0)+$HL98</f>
        <v/>
      </c>
      <c r="HN98" s="62">
        <f>$HN97+$HL98</f>
        <v/>
      </c>
      <c r="HO98" s="62">
        <f>SUMIFS(tblSafety[Recordables],tblSafety[Date],$A98)</f>
        <v/>
      </c>
      <c r="HP98" s="62">
        <f>IF($B98=$B97,$HP97,0)+$HO98</f>
        <v/>
      </c>
      <c r="HQ98" s="62">
        <f>$HQ97+$HO98</f>
        <v/>
      </c>
      <c r="HR98" s="62">
        <f>SUMIFS(tblSafety[Near_Miss],tblSafety[Date],$A98)</f>
        <v/>
      </c>
      <c r="HS98" s="62">
        <f>IF($B98=$B97,$HS97,0)+$HR98</f>
        <v/>
      </c>
      <c r="HT98" s="62">
        <f>$HT97+$HR98</f>
        <v/>
      </c>
      <c r="HU98" s="62">
        <f>SUMIFS(tblSafety[Hazard_Reports],tblSafety[Date],$A98)</f>
        <v/>
      </c>
      <c r="HV98" s="62">
        <f>IF($B98=$B97,$HV97,0)+$HU98</f>
        <v/>
      </c>
      <c r="HW98" s="62">
        <f>$HW97+$HU98</f>
        <v/>
      </c>
      <c r="HX98" s="62">
        <f>SUMIFS(tblSafety[HPI],tblSafety[Date],$A98)</f>
        <v/>
      </c>
      <c r="HY98" s="62">
        <f>IF($B98=$B97,$HY97,0)+$HX98</f>
        <v/>
      </c>
      <c r="HZ98" s="62">
        <f>$HZ97+$HX98</f>
        <v/>
      </c>
      <c r="IA98" s="62">
        <f>SUMIFS(tblSafety[Env_Incidents],tblSafety[Date],$A98)</f>
        <v/>
      </c>
      <c r="IB98" s="62">
        <f>IF($B98=$B97,$IB97,0)+$IA98</f>
        <v/>
      </c>
      <c r="IC98" s="62">
        <f>$IC97+$IA98</f>
        <v/>
      </c>
      <c r="ID98" s="62">
        <f>SUMIFS(tblSafety[Community_Incidents],tblSafety[Date],$A98)</f>
        <v/>
      </c>
      <c r="IE98" s="62">
        <f>IF($B98=$B97,$IE97,0)+$ID98</f>
        <v/>
      </c>
      <c r="IF98" s="62">
        <f>$IF97+$ID98</f>
        <v/>
      </c>
      <c r="IG98" s="62">
        <f>SUMIFS(tblSafety[Vehicle_Incidents],tblSafety[Date],$A98)</f>
        <v/>
      </c>
      <c r="IH98" s="62">
        <f>IF($B98=$B97,$IH97,0)+$IG98</f>
        <v/>
      </c>
      <c r="II98" s="62">
        <f>$II97+$IG98</f>
        <v/>
      </c>
      <c r="IJ98" s="62">
        <f>SUMIFS(tblSafety[Toolbox_Talks],tblSafety[Date],$A98)</f>
        <v/>
      </c>
      <c r="IK98" s="62">
        <f>IF($B98=$B97,$IK97,0)+$IJ98</f>
        <v/>
      </c>
      <c r="IL98" s="62">
        <f>$IL97+$IJ98</f>
        <v/>
      </c>
      <c r="IM98" s="62">
        <f>SUMIFS(tblSafety[Inspections],tblSafety[Date],$A98)</f>
        <v/>
      </c>
      <c r="IN98" s="62">
        <f>IF($B98=$B97,$IN97,0)+$IM98</f>
        <v/>
      </c>
      <c r="IO98" s="62">
        <f>$IO97+$IM98</f>
        <v/>
      </c>
      <c r="IP98" s="56">
        <f>IFERROR((SUMIFS(tblSafety[Recordables],tblSafety[Date],"&gt;="&amp;EDATE($E98,-12),tblSafety[Date],"&lt;="&amp;$A98)+SUMIFS(tblSafetyHistory[Recordables],tblSafetyHistory[Month],"&gt;="&amp;EDATE($E98,-12),tblSafetyHistory[Month],"&lt;"&amp;$E98,tblSafetyHistory[Use],1))/(SUMIFS(tblSafety[Hours_Total],tblSafety[Date],"&gt;="&amp;EDATE($E98,-12),tblSafety[Date],"&lt;="&amp;$A98)+SUMIFS(tblSafetyHistory[Hours_Total],tblSafetyHistory[Month],"&gt;="&amp;EDATE($E98,-12),tblSafetyHistory[Month],"&lt;"&amp;$E98,tblSafetyHistory[Use],1))*cfg_RateBasisHours,"")</f>
        <v/>
      </c>
      <c r="IQ98" s="56">
        <f>IFERROR((SUMIFS(tblSafety[LTI],tblSafety[Date],"&gt;="&amp;EDATE($E98,-12),tblSafety[Date],"&lt;="&amp;$A98)+SUMIFS(tblSafetyHistory[LTI],tblSafetyHistory[Month],"&gt;="&amp;EDATE($E98,-12),tblSafetyHistory[Month],"&lt;"&amp;$E98,tblSafetyHistory[Use],1))/(SUMIFS(tblSafety[Hours_Total],tblSafety[Date],"&gt;="&amp;EDATE($E98,-12),tblSafety[Date],"&lt;="&amp;$A98)+SUMIFS(tblSafetyHistory[Hours_Total],tblSafetyHistory[Month],"&gt;="&amp;EDATE($E98,-12),tblSafetyHistory[Month],"&lt;"&amp;$E98,tblSafetyHistory[Use],1))*cfg_RateBasisHours,"")</f>
        <v/>
      </c>
      <c r="IR98" s="62">
        <f>IF(MAX(N(cfg_PriorLTIDate),_xlfn.MAXIFS(tblSafety[Date],tblSafety[LTI],"&gt;0",tblSafety[Date],"&lt;="&amp;$A98))=0,"",$A98-MAX(N(cfg_PriorLTIDate),_xlfn.MAXIFS(tblSafety[Date],tblSafety[LTI],"&gt;0",tblSafety[Date],"&lt;="&amp;$A98)))</f>
        <v/>
      </c>
      <c r="IS98" s="55">
        <f>SUMIFS(tblBudget[Ore_Mined_t],tblBudget[Month],$E98)</f>
        <v/>
      </c>
      <c r="IT98" s="55">
        <f>$IS98*$C98/$D98</f>
        <v/>
      </c>
      <c r="IU98" s="55">
        <f>SUMIFS(tblBudget[Ore_Mined_t],tblBudget[Month],"&lt;"&amp;$E98)+$IT98</f>
        <v/>
      </c>
      <c r="IV98" s="55">
        <f>SUMIFS(tblBudget[Ore_oz],tblBudget[Month],$E98)</f>
        <v/>
      </c>
      <c r="IW98" s="55">
        <f>$IV98*$C98/$D98</f>
        <v/>
      </c>
      <c r="IX98" s="55">
        <f>SUMIFS(tblBudget[Ore_oz],tblBudget[Month],"&lt;"&amp;$E98)+$IW98</f>
        <v/>
      </c>
      <c r="IY98" s="55">
        <f>SUMIFS(tblBudget[Ore_Mined_t],tblBudget[Month],$E98)</f>
        <v/>
      </c>
      <c r="IZ98" s="55">
        <f>$IY98*$C98/$D98</f>
        <v/>
      </c>
      <c r="JA98" s="55">
        <f>SUMIFS(tblBudget[Ore_Mined_t],tblBudget[Month],"&lt;"&amp;$E98)+$IZ98</f>
        <v/>
      </c>
      <c r="JB98" s="56">
        <f>IFERROR(IF(($IY98)&gt;0,($IV98*cfg_TroyOz)/($IY98),""),"")</f>
        <v/>
      </c>
      <c r="JC98" s="56">
        <f>IFERROR(IF(($IZ98)&gt;0,($IW98*cfg_TroyOz)/($IZ98),""),"")</f>
        <v/>
      </c>
      <c r="JD98" s="56">
        <f>IFERROR(IF(($JA98)&gt;0,($IX98*cfg_TroyOz)/($JA98),""),"")</f>
        <v/>
      </c>
      <c r="JE98" s="55">
        <f>SUMIFS(tblBudget[Waste_t],tblBudget[Month],$E98)</f>
        <v/>
      </c>
      <c r="JF98" s="55">
        <f>$JE98*$C98/$D98</f>
        <v/>
      </c>
      <c r="JG98" s="55">
        <f>SUMIFS(tblBudget[Waste_t],tblBudget[Month],"&lt;"&amp;$E98)+$JF98</f>
        <v/>
      </c>
      <c r="JH98" s="55">
        <f>SUMIFS(tblBudget[TMM_t],tblBudget[Month],$E98)</f>
        <v/>
      </c>
      <c r="JI98" s="55">
        <f>$JH98*$C98/$D98</f>
        <v/>
      </c>
      <c r="JJ98" s="55">
        <f>SUMIFS(tblBudget[TMM_t],tblBudget[Month],"&lt;"&amp;$E98)+$JI98</f>
        <v/>
      </c>
      <c r="JK98" s="56">
        <f>IFERROR(IF(($IS98)&gt;0,($JE98)/($IS98),""),"")</f>
        <v/>
      </c>
      <c r="JL98" s="56">
        <f>IFERROR(IF(($IT98)&gt;0,($JF98)/($IT98),""),"")</f>
        <v/>
      </c>
      <c r="JM98" s="56">
        <f>IFERROR(IF(($IU98)&gt;0,($JG98)/($IU98),""),"")</f>
        <v/>
      </c>
      <c r="JN98" s="55">
        <f>SUMIFS(tblBudget[Drill_m],tblBudget[Month],$E98)</f>
        <v/>
      </c>
      <c r="JO98" s="55">
        <f>$JN98*$C98/$D98</f>
        <v/>
      </c>
      <c r="JP98" s="55">
        <f>SUMIFS(tblBudget[Drill_m],tblBudget[Month],"&lt;"&amp;$E98)+$JO98</f>
        <v/>
      </c>
      <c r="JQ98" s="55">
        <f>SUMIFS(tblBudget[Diesel_L],tblBudget[Month],$E98)</f>
        <v/>
      </c>
      <c r="JR98" s="55">
        <f>$JQ98*$C98/$D98</f>
        <v/>
      </c>
      <c r="JS98" s="55">
        <f>SUMIFS(tblBudget[Diesel_L],tblBudget[Month],"&lt;"&amp;$E98)+$JR98</f>
        <v/>
      </c>
      <c r="JT98" s="55">
        <f>SUMIFS(tblBudget[Milled_t],tblBudget[Month],$E98)</f>
        <v/>
      </c>
      <c r="JU98" s="55">
        <f>$JT98*$C98/$D98</f>
        <v/>
      </c>
      <c r="JV98" s="55">
        <f>SUMIFS(tblBudget[Milled_t],tblBudget[Month],"&lt;"&amp;$E98)+$JU98</f>
        <v/>
      </c>
      <c r="JW98" s="55">
        <f>SUMIFS(tblBudget[Feed_oz],tblBudget[Month],$E98)</f>
        <v/>
      </c>
      <c r="JX98" s="55">
        <f>$JW98*$C98/$D98</f>
        <v/>
      </c>
      <c r="JY98" s="55">
        <f>SUMIFS(tblBudget[Feed_oz],tblBudget[Month],"&lt;"&amp;$E98)+$JX98</f>
        <v/>
      </c>
      <c r="JZ98" s="55">
        <f>SUMIFS(tblBudget[Recovered_oz],tblBudget[Month],$E98)</f>
        <v/>
      </c>
      <c r="KA98" s="55">
        <f>$JZ98*$C98/$D98</f>
        <v/>
      </c>
      <c r="KB98" s="55">
        <f>SUMIFS(tblBudget[Recovered_oz],tblBudget[Month],"&lt;"&amp;$E98)+$KA98</f>
        <v/>
      </c>
      <c r="KC98" s="55">
        <f>SUMIFS(tblBudget[Milled_t],tblBudget[Month],$E98)</f>
        <v/>
      </c>
      <c r="KD98" s="55">
        <f>$KC98*$C98/$D98</f>
        <v/>
      </c>
      <c r="KE98" s="55">
        <f>SUMIFS(tblBudget[Milled_t],tblBudget[Month],"&lt;"&amp;$E98)+$KD98</f>
        <v/>
      </c>
      <c r="KF98" s="55">
        <f>SUMIFS(tblBudget[Feed_oz],tblBudget[Month],$E98)</f>
        <v/>
      </c>
      <c r="KG98" s="55">
        <f>$KF98*$C98/$D98</f>
        <v/>
      </c>
      <c r="KH98" s="55">
        <f>SUMIFS(tblBudget[Feed_oz],tblBudget[Month],"&lt;"&amp;$E98)+$KG98</f>
        <v/>
      </c>
      <c r="KI98" s="56">
        <f>IFERROR(IF(($KC98)&gt;0,($JW98*cfg_TroyOz)/($KC98),""),"")</f>
        <v/>
      </c>
      <c r="KJ98" s="56">
        <f>IFERROR(IF(($KD98)&gt;0,($JX98*cfg_TroyOz)/($KD98),""),"")</f>
        <v/>
      </c>
      <c r="KK98" s="56">
        <f>IFERROR(IF(($KE98)&gt;0,($JY98*cfg_TroyOz)/($KE98),""),"")</f>
        <v/>
      </c>
      <c r="KL98" s="67">
        <f>IFERROR(IF(($KF98)&gt;0,($JZ98)/($KF98),""),"")</f>
        <v/>
      </c>
      <c r="KM98" s="67">
        <f>IFERROR(IF(($KG98)&gt;0,($KA98)/($KG98),""),"")</f>
        <v/>
      </c>
      <c r="KN98" s="67">
        <f>IFERROR(IF(($KH98)&gt;0,($KB98)/($KH98),""),"")</f>
        <v/>
      </c>
      <c r="KO98" s="55">
        <f>SUMIFS(tblBudget[Gold_Poured_oz],tblBudget[Month],$E98)</f>
        <v/>
      </c>
      <c r="KP98" s="55">
        <f>$KO98*$C98/$D98</f>
        <v/>
      </c>
      <c r="KQ98" s="55">
        <f>SUMIFS(tblBudget[Gold_Poured_oz],tblBudget[Month],"&lt;"&amp;$E98)+$KP98</f>
        <v/>
      </c>
      <c r="KR98" s="57">
        <f>SUMIFS(tblBudget[Hours_Worked],tblBudget[Month],$E98)</f>
        <v/>
      </c>
      <c r="KS98" s="57">
        <f>$KR98*$C98/$D98</f>
        <v/>
      </c>
      <c r="KT98" s="57">
        <f>SUMIFS(tblBudget[Hours_Worked],tblBudget[Month],"&lt;"&amp;$E98)+$KS98</f>
        <v/>
      </c>
    </row>
    <row r="99">
      <c r="A99" s="54" t="n">
        <v>46120</v>
      </c>
      <c r="B99">
        <f>MONTH($A99)</f>
        <v/>
      </c>
      <c r="C99">
        <f>DAY($A99)</f>
        <v/>
      </c>
      <c r="D99">
        <f>DAY(EOMONTH($A99,0))</f>
        <v/>
      </c>
      <c r="E99" s="54">
        <f>DATE(YEAR($A99),MONTH($A99),1)</f>
        <v/>
      </c>
      <c r="F99" s="55">
        <f>SUMIFS(tblMovement[Tonnes_t],tblMovement[Date],$A99,tblMovement[Is_Ore],1,tblMovement[Source_Type],"Pit")</f>
        <v/>
      </c>
      <c r="G99" s="55">
        <f>IF($B99=$B98,$G98,0)+$F99</f>
        <v/>
      </c>
      <c r="H99" s="55">
        <f>$H98+$F99</f>
        <v/>
      </c>
      <c r="I99" s="55">
        <f>SUMIFS(tblMovement[Ore_oz],tblMovement[Date],$A99,tblMovement[Source_Type],"Pit")</f>
        <v/>
      </c>
      <c r="J99" s="55">
        <f>IF($B99=$B98,$J98,0)+$I99</f>
        <v/>
      </c>
      <c r="K99" s="55">
        <f>$K98+$I99</f>
        <v/>
      </c>
      <c r="L99" s="55">
        <f>SUMIFS(tblMovement[Tonnes_t],tblMovement[Date],$A99,tblMovement[Is_Ore],1,tblMovement[Source_Type],"Pit",tblMovement[Grade_gpt],"&lt;&gt;")</f>
        <v/>
      </c>
      <c r="M99" s="55">
        <f>IF($B99=$B98,$M98,0)+$L99</f>
        <v/>
      </c>
      <c r="N99" s="55">
        <f>$N98+$L99</f>
        <v/>
      </c>
      <c r="O99" s="56">
        <f>IFERROR(IF(($L99)&gt;0,($I99*cfg_TroyOz)/($L99),""),"")</f>
        <v/>
      </c>
      <c r="P99" s="56">
        <f>IFERROR(IF(($M99)&gt;0,($J99*cfg_TroyOz)/($M99),""),"")</f>
        <v/>
      </c>
      <c r="Q99" s="56">
        <f>IFERROR(IF(($N99)&gt;0,($K99*cfg_TroyOz)/($N99),""),"")</f>
        <v/>
      </c>
      <c r="R99" s="55">
        <f>$F99-$L99</f>
        <v/>
      </c>
      <c r="S99" s="55">
        <f>IF($B99=$B98,$S98,0)+$R99</f>
        <v/>
      </c>
      <c r="T99" s="55">
        <f>$T98+$R99</f>
        <v/>
      </c>
      <c r="U99" s="55">
        <f>SUMIFS(tblMovement[Tonnes_t],tblMovement[Date],$A99,tblMovement[Is_Ore],0,tblMovement[Source_Type],"Pit")</f>
        <v/>
      </c>
      <c r="V99" s="55">
        <f>IF($B99=$B98,$V98,0)+$U99</f>
        <v/>
      </c>
      <c r="W99" s="55">
        <f>$W98+$U99</f>
        <v/>
      </c>
      <c r="X99" s="55">
        <f>$F99+$U99</f>
        <v/>
      </c>
      <c r="Y99" s="55">
        <f>IF($B99=$B98,$Y98,0)+$X99</f>
        <v/>
      </c>
      <c r="Z99" s="55">
        <f>$Z98+$X99</f>
        <v/>
      </c>
      <c r="AA99" s="56">
        <f>IFERROR(IF(($F99)&gt;0,($U99)/($F99),""),"")</f>
        <v/>
      </c>
      <c r="AB99" s="56">
        <f>IFERROR(IF(($G99)&gt;0,($V99)/($G99),""),"")</f>
        <v/>
      </c>
      <c r="AC99" s="56">
        <f>IFERROR(IF(($H99)&gt;0,($W99)/($H99),""),"")</f>
        <v/>
      </c>
      <c r="AD99" s="55">
        <f>SUMIFS(tblMovement[Tonnes_t],tblMovement[Date],$A99,tblMovement[Source_Type],"Stockpile")</f>
        <v/>
      </c>
      <c r="AE99" s="55">
        <f>IF($B99=$B98,$AE98,0)+$AD99</f>
        <v/>
      </c>
      <c r="AF99" s="55">
        <f>$AF98+$AD99</f>
        <v/>
      </c>
      <c r="AG99" s="55">
        <f>SUMIFS(tblMovement[Tonnes_t],tblMovement[Date],$A99)</f>
        <v/>
      </c>
      <c r="AH99" s="55">
        <f>IF($B99=$B98,$AH98,0)+$AG99</f>
        <v/>
      </c>
      <c r="AI99" s="55">
        <f>$AI98+$AG99</f>
        <v/>
      </c>
      <c r="AJ99" s="55">
        <f>$AG99-$X99-$AD99</f>
        <v/>
      </c>
      <c r="AK99" s="55">
        <f>IF($B99=$B98,$AK98,0)+$AJ99</f>
        <v/>
      </c>
      <c r="AL99" s="55">
        <f>$AL98+$AJ99</f>
        <v/>
      </c>
      <c r="AM99" s="55">
        <f>SUMIFS(tblMiningDaily[Drill_m],tblMiningDaily[Date],$A99)</f>
        <v/>
      </c>
      <c r="AN99" s="55">
        <f>IF($B99=$B98,$AN98,0)+$AM99</f>
        <v/>
      </c>
      <c r="AO99" s="55">
        <f>$AO98+$AM99</f>
        <v/>
      </c>
      <c r="AP99" s="55">
        <f>SUMIFS(tblMiningDaily[GC_Drill_m],tblMiningDaily[Date],$A99)</f>
        <v/>
      </c>
      <c r="AQ99" s="55">
        <f>IF($B99=$B98,$AQ98,0)+$AP99</f>
        <v/>
      </c>
      <c r="AR99" s="55">
        <f>$AR98+$AP99</f>
        <v/>
      </c>
      <c r="AS99" s="55">
        <f>SUMIFS(tblMiningDaily[Blast_t],tblMiningDaily[Date],$A99)</f>
        <v/>
      </c>
      <c r="AT99" s="55">
        <f>IF($B99=$B98,$AT98,0)+$AS99</f>
        <v/>
      </c>
      <c r="AU99" s="55">
        <f>$AU98+$AS99</f>
        <v/>
      </c>
      <c r="AV99" s="55">
        <f>SUMIFS(tblMiningDaily[Explosives_kg],tblMiningDaily[Date],$A99)</f>
        <v/>
      </c>
      <c r="AW99" s="55">
        <f>IF($B99=$B98,$AW98,0)+$AV99</f>
        <v/>
      </c>
      <c r="AX99" s="55">
        <f>$AX98+$AV99</f>
        <v/>
      </c>
      <c r="AY99" s="56">
        <f>IFERROR(IF(($AS99)&gt;0,($AV99)/($AS99),""),"")</f>
        <v/>
      </c>
      <c r="AZ99" s="56">
        <f>IFERROR(IF(($AT99)&gt;0,($AW99)/($AT99),""),"")</f>
        <v/>
      </c>
      <c r="BA99" s="56">
        <f>IFERROR(IF(($AU99)&gt;0,($AX99)/($AU99),""),"")</f>
        <v/>
      </c>
      <c r="BB99" s="55">
        <f>SUMIFS(tblMiningDaily[Diesel_L],tblMiningDaily[Date],$A99)</f>
        <v/>
      </c>
      <c r="BC99" s="55">
        <f>IF($B99=$B98,$BC98,0)+$BB99</f>
        <v/>
      </c>
      <c r="BD99" s="55">
        <f>$BD98+$BB99</f>
        <v/>
      </c>
      <c r="BE99" s="55">
        <f>SUMIFS(tblMiningDaily[Dewatering_m3],tblMiningDaily[Date],$A99)</f>
        <v/>
      </c>
      <c r="BF99" s="55">
        <f>IF($B99=$B98,$BF98,0)+$BE99</f>
        <v/>
      </c>
      <c r="BG99" s="55">
        <f>$BG98+$BE99</f>
        <v/>
      </c>
      <c r="BH99" s="57">
        <f>SUMIFS(tblFleet[Calendar_h],tblFleet[Date],$A99,tblFleet[Equipment_Class],"Excavator")</f>
        <v/>
      </c>
      <c r="BI99" s="57">
        <f>IF($B99=$B98,$BI98,0)+$BH99</f>
        <v/>
      </c>
      <c r="BJ99" s="57">
        <f>$BJ98+$BH99</f>
        <v/>
      </c>
      <c r="BK99" s="57">
        <f>SUMIFS(tblFleet[Available_h],tblFleet[Date],$A99,tblFleet[Equipment_Class],"Excavator")</f>
        <v/>
      </c>
      <c r="BL99" s="57">
        <f>IF($B99=$B98,$BL98,0)+$BK99</f>
        <v/>
      </c>
      <c r="BM99" s="57">
        <f>$BM98+$BK99</f>
        <v/>
      </c>
      <c r="BN99" s="57">
        <f>SUMIFS(tblFleet[Operating_h],tblFleet[Date],$A99,tblFleet[Equipment_Class],"Excavator")</f>
        <v/>
      </c>
      <c r="BO99" s="57">
        <f>IF($B99=$B98,$BO98,0)+$BN99</f>
        <v/>
      </c>
      <c r="BP99" s="57">
        <f>$BP98+$BN99</f>
        <v/>
      </c>
      <c r="BQ99" s="67">
        <f>IFERROR(IF(($BH99)&gt;0,($BK99)/($BH99),""),"")</f>
        <v/>
      </c>
      <c r="BR99" s="67">
        <f>IFERROR(IF(($BI99)&gt;0,($BL99)/($BI99),""),"")</f>
        <v/>
      </c>
      <c r="BS99" s="67">
        <f>IFERROR(IF(($BJ99)&gt;0,($BM99)/($BJ99),""),"")</f>
        <v/>
      </c>
      <c r="BT99" s="67">
        <f>IFERROR(IF(($BK99)&gt;0,($BN99)/($BK99),""),"")</f>
        <v/>
      </c>
      <c r="BU99" s="67">
        <f>IFERROR(IF(($BL99)&gt;0,($BO99)/($BL99),""),"")</f>
        <v/>
      </c>
      <c r="BV99" s="67">
        <f>IFERROR(IF(($BM99)&gt;0,($BP99)/($BM99),""),"")</f>
        <v/>
      </c>
      <c r="BW99" s="57">
        <f>SUMIFS(tblFleet[Calendar_h],tblFleet[Date],$A99,tblFleet[Equipment_Class],"Haul Truck")</f>
        <v/>
      </c>
      <c r="BX99" s="57">
        <f>IF($B99=$B98,$BX98,0)+$BW99</f>
        <v/>
      </c>
      <c r="BY99" s="57">
        <f>$BY98+$BW99</f>
        <v/>
      </c>
      <c r="BZ99" s="57">
        <f>SUMIFS(tblFleet[Available_h],tblFleet[Date],$A99,tblFleet[Equipment_Class],"Haul Truck")</f>
        <v/>
      </c>
      <c r="CA99" s="57">
        <f>IF($B99=$B98,$CA98,0)+$BZ99</f>
        <v/>
      </c>
      <c r="CB99" s="57">
        <f>$CB98+$BZ99</f>
        <v/>
      </c>
      <c r="CC99" s="57">
        <f>SUMIFS(tblFleet[Operating_h],tblFleet[Date],$A99,tblFleet[Equipment_Class],"Haul Truck")</f>
        <v/>
      </c>
      <c r="CD99" s="57">
        <f>IF($B99=$B98,$CD98,0)+$CC99</f>
        <v/>
      </c>
      <c r="CE99" s="57">
        <f>$CE98+$CC99</f>
        <v/>
      </c>
      <c r="CF99" s="67">
        <f>IFERROR(IF(($BW99)&gt;0,($BZ99)/($BW99),""),"")</f>
        <v/>
      </c>
      <c r="CG99" s="67">
        <f>IFERROR(IF(($BX99)&gt;0,($CA99)/($BX99),""),"")</f>
        <v/>
      </c>
      <c r="CH99" s="67">
        <f>IFERROR(IF(($BY99)&gt;0,($CB99)/($BY99),""),"")</f>
        <v/>
      </c>
      <c r="CI99" s="67">
        <f>IFERROR(IF(($BZ99)&gt;0,($CC99)/($BZ99),""),"")</f>
        <v/>
      </c>
      <c r="CJ99" s="67">
        <f>IFERROR(IF(($CA99)&gt;0,($CD99)/($CA99),""),"")</f>
        <v/>
      </c>
      <c r="CK99" s="67">
        <f>IFERROR(IF(($CB99)&gt;0,($CE99)/($CB99),""),"")</f>
        <v/>
      </c>
      <c r="CL99" s="55">
        <f>IFERROR(IF(($BN99)&gt;0,($X99+$AD99)/($BN99),""),"")</f>
        <v/>
      </c>
      <c r="CM99" s="55">
        <f>IFERROR(IF(($BO99)&gt;0,($Y99+$AE99)/($BO99),""),"")</f>
        <v/>
      </c>
      <c r="CN99" s="55">
        <f>IFERROR(IF(($BP99)&gt;0,($Z99+$AF99)/($BP99),""),"")</f>
        <v/>
      </c>
      <c r="CO99" s="55">
        <f>IFERROR(IF(($CC99)&gt;0,($X99+$AD99)/($CC99),""),"")</f>
        <v/>
      </c>
      <c r="CP99" s="55">
        <f>IFERROR(IF(($CD99)&gt;0,($Y99+$AE99)/($CD99),""),"")</f>
        <v/>
      </c>
      <c r="CQ99" s="55">
        <f>IFERROR(IF(($CE99)&gt;0,($Z99+$AF99)/($CE99),""),"")</f>
        <v/>
      </c>
      <c r="CR99" s="55">
        <f>SUMIFS(tblPlant[Crushed_t],tblPlant[Date],$A99)</f>
        <v/>
      </c>
      <c r="CS99" s="55">
        <f>IF($B99=$B98,$CS98,0)+$CR99</f>
        <v/>
      </c>
      <c r="CT99" s="55">
        <f>$CT98+$CR99</f>
        <v/>
      </c>
      <c r="CU99" s="55">
        <f>SUMIFS(tblPlant[Milled_t],tblPlant[Date],$A99)</f>
        <v/>
      </c>
      <c r="CV99" s="55">
        <f>IF($B99=$B98,$CV98,0)+$CU99</f>
        <v/>
      </c>
      <c r="CW99" s="55">
        <f>$CW98+$CU99</f>
        <v/>
      </c>
      <c r="CX99" s="55">
        <f>SUMIFS(tblPlant[Feed_oz],tblPlant[Date],$A99)</f>
        <v/>
      </c>
      <c r="CY99" s="55">
        <f>IF($B99=$B98,$CY98,0)+$CX99</f>
        <v/>
      </c>
      <c r="CZ99" s="55">
        <f>$CZ98+$CX99</f>
        <v/>
      </c>
      <c r="DA99" s="55">
        <f>SUMIFS(tblPlant[Tails_oz],tblPlant[Date],$A99)</f>
        <v/>
      </c>
      <c r="DB99" s="55">
        <f>IF($B99=$B98,$DB98,0)+$DA99</f>
        <v/>
      </c>
      <c r="DC99" s="55">
        <f>$DC98+$DA99</f>
        <v/>
      </c>
      <c r="DD99" s="55">
        <f>SUMIFS(tblPlant[Recovered_oz],tblPlant[Date],$A99)</f>
        <v/>
      </c>
      <c r="DE99" s="55">
        <f>IF($B99=$B98,$DE98,0)+$DD99</f>
        <v/>
      </c>
      <c r="DF99" s="55">
        <f>$DF98+$DD99</f>
        <v/>
      </c>
      <c r="DG99" s="55">
        <f>SUMIFS(tblPlant[Milled_t],tblPlant[Date],$A99,tblPlant[Head_Grade_gpt],"&lt;&gt;")</f>
        <v/>
      </c>
      <c r="DH99" s="55">
        <f>IF($B99=$B98,$DH98,0)+$DG99</f>
        <v/>
      </c>
      <c r="DI99" s="55">
        <f>$DI98+$DG99</f>
        <v/>
      </c>
      <c r="DJ99" s="55">
        <f>SUMIFS(tblPlant[Milled_t],tblPlant[Date],$A99,tblPlant[Tails_Grade_gpt],"&lt;&gt;")</f>
        <v/>
      </c>
      <c r="DK99" s="55">
        <f>IF($B99=$B98,$DK98,0)+$DJ99</f>
        <v/>
      </c>
      <c r="DL99" s="55">
        <f>$DL98+$DJ99</f>
        <v/>
      </c>
      <c r="DM99" s="55">
        <f>SUMIFS(tblPlant[Feed_oz],tblPlant[Date],$A99,tblPlant[Tails_Grade_gpt],"&lt;&gt;")</f>
        <v/>
      </c>
      <c r="DN99" s="55">
        <f>IF($B99=$B98,$DN98,0)+$DM99</f>
        <v/>
      </c>
      <c r="DO99" s="55">
        <f>$DO98+$DM99</f>
        <v/>
      </c>
      <c r="DP99" s="55">
        <f>SUMIFS(tblPlant[Milled_t],tblPlant[Date],$A99,tblPlant[Mill_Run_h],"&lt;&gt;")</f>
        <v/>
      </c>
      <c r="DQ99" s="55">
        <f>IF($B99=$B98,$DQ98,0)+$DP99</f>
        <v/>
      </c>
      <c r="DR99" s="55">
        <f>$DR98+$DP99</f>
        <v/>
      </c>
      <c r="DS99" s="56">
        <f>IFERROR(IF(($DG99)&gt;0,($CX99*cfg_TroyOz)/($DG99),""),"")</f>
        <v/>
      </c>
      <c r="DT99" s="56">
        <f>IFERROR(IF(($DH99)&gt;0,($CY99*cfg_TroyOz)/($DH99),""),"")</f>
        <v/>
      </c>
      <c r="DU99" s="56">
        <f>IFERROR(IF(($DI99)&gt;0,($CZ99*cfg_TroyOz)/($DI99),""),"")</f>
        <v/>
      </c>
      <c r="DV99" s="56">
        <f>IFERROR(IF(($DJ99)&gt;0,($DA99*cfg_TroyOz)/($DJ99),""),"")</f>
        <v/>
      </c>
      <c r="DW99" s="56">
        <f>IFERROR(IF(($DK99)&gt;0,($DB99*cfg_TroyOz)/($DK99),""),"")</f>
        <v/>
      </c>
      <c r="DX99" s="56">
        <f>IFERROR(IF(($DL99)&gt;0,($DC99*cfg_TroyOz)/($DL99),""),"")</f>
        <v/>
      </c>
      <c r="DY99" s="67">
        <f>IFERROR(IF(($DM99)&gt;0,($DD99)/($DM99),""),"")</f>
        <v/>
      </c>
      <c r="DZ99" s="67">
        <f>IFERROR(IF(($DN99)&gt;0,($DE99)/($DN99),""),"")</f>
        <v/>
      </c>
      <c r="EA99" s="67">
        <f>IFERROR(IF(($DO99)&gt;0,($DF99)/($DO99),""),"")</f>
        <v/>
      </c>
      <c r="EB99" s="55">
        <f>SUMIFS(tblPlant[Gravity_Gold_oz],tblPlant[Date],$A99)</f>
        <v/>
      </c>
      <c r="EC99" s="55">
        <f>IF($B99=$B98,$EC98,0)+$EB99</f>
        <v/>
      </c>
      <c r="ED99" s="55">
        <f>$ED98+$EB99</f>
        <v/>
      </c>
      <c r="EE99" s="67">
        <f>IFERROR(IF(($DD99)&gt;0,($EB99)/($DD99),""),"")</f>
        <v/>
      </c>
      <c r="EF99" s="67">
        <f>IFERROR(IF(($DE99)&gt;0,($EC99)/($DE99),""),"")</f>
        <v/>
      </c>
      <c r="EG99" s="67">
        <f>IFERROR(IF(($DF99)&gt;0,($ED99)/($DF99),""),"")</f>
        <v/>
      </c>
      <c r="EH99" s="55">
        <f>SUMIFS(tblPlant[Gold_Poured_oz],tblPlant[Date],$A99)</f>
        <v/>
      </c>
      <c r="EI99" s="55">
        <f>IF($B99=$B98,$EI98,0)+$EH99</f>
        <v/>
      </c>
      <c r="EJ99" s="55">
        <f>$EJ98+$EH99</f>
        <v/>
      </c>
      <c r="EK99" s="57">
        <f>SUMIFS(tblPlant[Mill_Run_h],tblPlant[Date],$A99)</f>
        <v/>
      </c>
      <c r="EL99" s="57">
        <f>IF($B99=$B98,$EL98,0)+$EK99</f>
        <v/>
      </c>
      <c r="EM99" s="57">
        <f>$EM98+$EK99</f>
        <v/>
      </c>
      <c r="EN99" s="57">
        <f>SUMIFS(tblPlant[Mill_Planned_Maint_h],tblPlant[Date],$A99)</f>
        <v/>
      </c>
      <c r="EO99" s="57">
        <f>IF($B99=$B98,$EO98,0)+$EN99</f>
        <v/>
      </c>
      <c r="EP99" s="57">
        <f>$EP98+$EN99</f>
        <v/>
      </c>
      <c r="EQ99" s="57">
        <f>SUMIFS(tblPlant[Mill_Unplanned_Down_h],tblPlant[Date],$A99)</f>
        <v/>
      </c>
      <c r="ER99" s="57">
        <f>IF($B99=$B98,$ER98,0)+$EQ99</f>
        <v/>
      </c>
      <c r="ES99" s="57">
        <f>$ES98+$EQ99</f>
        <v/>
      </c>
      <c r="ET99" s="57">
        <f>IF(COUNTIFS(tblPlant[Date],$A99,tblPlant[Mill_Run_h],"&lt;&gt;")+COUNTIFS(tblPlant[Date],$A99,tblPlant[Mill_Planned_Maint_h],"&lt;&gt;")+COUNTIFS(tblPlant[Date],$A99,tblPlant[Mill_Unplanned_Down_h],"&lt;&gt;")&gt;0,cfg_HoursPerDay,0)</f>
        <v/>
      </c>
      <c r="EU99" s="57">
        <f>IF($B99=$B98,$EU98,0)+$ET99</f>
        <v/>
      </c>
      <c r="EV99" s="57">
        <f>$EV98+$ET99</f>
        <v/>
      </c>
      <c r="EW99" s="57">
        <f>SUMIFS(tblPlant[Crusher_Run_h],tblPlant[Date],$A99)</f>
        <v/>
      </c>
      <c r="EX99" s="57">
        <f>IF($B99=$B98,$EX98,0)+$EW99</f>
        <v/>
      </c>
      <c r="EY99" s="57">
        <f>$EY98+$EW99</f>
        <v/>
      </c>
      <c r="EZ99" s="55">
        <f>IFERROR(IF(($EK99)&gt;0,($DP99)/($EK99),""),"")</f>
        <v/>
      </c>
      <c r="FA99" s="55">
        <f>IFERROR(IF(($EL99)&gt;0,($DQ99)/($EL99),""),"")</f>
        <v/>
      </c>
      <c r="FB99" s="55">
        <f>IFERROR(IF(($EM99)&gt;0,($DR99)/($EM99),""),"")</f>
        <v/>
      </c>
      <c r="FC99" s="67">
        <f>IFERROR(IF(($ET99)&gt;0,($ET99-$EN99-$EQ99)/($ET99),""),"")</f>
        <v/>
      </c>
      <c r="FD99" s="67">
        <f>IFERROR(IF(($EU99)&gt;0,($EU99-$EO99-$ER99)/($EU99),""),"")</f>
        <v/>
      </c>
      <c r="FE99" s="67">
        <f>IFERROR(IF(($EV99)&gt;0,($EV99-$EP99-$ES99)/($EV99),""),"")</f>
        <v/>
      </c>
      <c r="FF99" s="67">
        <f>IFERROR(IF(($ET99-$EN99-$EQ99)&gt;0,($EK99)/($ET99-$EN99-$EQ99),""),"")</f>
        <v/>
      </c>
      <c r="FG99" s="67">
        <f>IFERROR(IF(($EU99-$EO99-$ER99)&gt;0,($EL99)/($EU99-$EO99-$ER99),""),"")</f>
        <v/>
      </c>
      <c r="FH99" s="67">
        <f>IFERROR(IF(($EV99-$EP99-$ES99)&gt;0,($EM99)/($EV99-$EP99-$ES99),""),"")</f>
        <v/>
      </c>
      <c r="FI99" s="55">
        <f>SUMIFS(tblPlant[Cyanide_kg],tblPlant[Date],$A99)</f>
        <v/>
      </c>
      <c r="FJ99" s="55">
        <f>IF($B99=$B98,$FJ98,0)+$FI99</f>
        <v/>
      </c>
      <c r="FK99" s="55">
        <f>$FK98+$FI99</f>
        <v/>
      </c>
      <c r="FL99" s="55">
        <f>SUMIFS(tblPlant[Lime_kg],tblPlant[Date],$A99)</f>
        <v/>
      </c>
      <c r="FM99" s="55">
        <f>IF($B99=$B98,$FM98,0)+$FL99</f>
        <v/>
      </c>
      <c r="FN99" s="55">
        <f>$FN98+$FL99</f>
        <v/>
      </c>
      <c r="FO99" s="55">
        <f>SUMIFS(tblPlant[Grinding_Media_kg],tblPlant[Date],$A99)</f>
        <v/>
      </c>
      <c r="FP99" s="55">
        <f>IF($B99=$B98,$FP98,0)+$FO99</f>
        <v/>
      </c>
      <c r="FQ99" s="55">
        <f>$FQ98+$FO99</f>
        <v/>
      </c>
      <c r="FR99" s="55">
        <f>SUMIFS(tblPlant[Power_kWh],tblPlant[Date],$A99)</f>
        <v/>
      </c>
      <c r="FS99" s="55">
        <f>IF($B99=$B98,$FS98,0)+$FR99</f>
        <v/>
      </c>
      <c r="FT99" s="55">
        <f>$FT98+$FR99</f>
        <v/>
      </c>
      <c r="FU99" s="55">
        <f>SUMIFS(tblPlant[Raw_Water_m3],tblPlant[Date],$A99)</f>
        <v/>
      </c>
      <c r="FV99" s="55">
        <f>IF($B99=$B98,$FV98,0)+$FU99</f>
        <v/>
      </c>
      <c r="FW99" s="55">
        <f>$FW98+$FU99</f>
        <v/>
      </c>
      <c r="FX99" s="56">
        <f>IFERROR(IF(($CU99)&gt;0,($FI99)/($CU99),""),"")</f>
        <v/>
      </c>
      <c r="FY99" s="56">
        <f>IFERROR(IF(($CV99)&gt;0,($FJ99)/($CV99),""),"")</f>
        <v/>
      </c>
      <c r="FZ99" s="56">
        <f>IFERROR(IF(($CW99)&gt;0,($FK99)/($CW99),""),"")</f>
        <v/>
      </c>
      <c r="GA99" s="56">
        <f>IFERROR(IF(($CU99)&gt;0,($FL99)/($CU99),""),"")</f>
        <v/>
      </c>
      <c r="GB99" s="56">
        <f>IFERROR(IF(($CV99)&gt;0,($FM99)/($CV99),""),"")</f>
        <v/>
      </c>
      <c r="GC99" s="56">
        <f>IFERROR(IF(($CW99)&gt;0,($FN99)/($CW99),""),"")</f>
        <v/>
      </c>
      <c r="GD99" s="56">
        <f>IFERROR(IF(($CU99)&gt;0,($FO99)/($CU99),""),"")</f>
        <v/>
      </c>
      <c r="GE99" s="56">
        <f>IFERROR(IF(($CV99)&gt;0,($FP99)/($CV99),""),"")</f>
        <v/>
      </c>
      <c r="GF99" s="56">
        <f>IFERROR(IF(($CW99)&gt;0,($FQ99)/($CW99),""),"")</f>
        <v/>
      </c>
      <c r="GG99" s="79">
        <f>IFERROR(IF(($CU99)&gt;0,($FR99)/($CU99),""),"")</f>
        <v/>
      </c>
      <c r="GH99" s="79">
        <f>IFERROR(IF(($CV99)&gt;0,($FS99)/($CV99),""),"")</f>
        <v/>
      </c>
      <c r="GI99" s="79">
        <f>IFERROR(IF(($CW99)&gt;0,($FT99)/($CW99),""),"")</f>
        <v/>
      </c>
      <c r="GJ99" s="56">
        <f>IFERROR(IF(($CU99)&gt;0,($FU99)/($CU99),""),"")</f>
        <v/>
      </c>
      <c r="GK99" s="56">
        <f>IFERROR(IF(($CV99)&gt;0,($FV99)/($CV99),""),"")</f>
        <v/>
      </c>
      <c r="GL99" s="56">
        <f>IFERROR(IF(($CW99)&gt;0,($FW99)/($CW99),""),"")</f>
        <v/>
      </c>
      <c r="GM99" s="55">
        <f>IF(SUMIFS(tblPlant[GIC_oz],tblPlant[Date],$A99)&gt;0,SUMIFS(tblPlant[GIC_oz],tblPlant[Date],$A99),"")</f>
        <v/>
      </c>
      <c r="GN99" s="55">
        <f>SUMIFS(tblGold[Gold_oz],tblGold[Date],$A99,tblGold[Type],"Shipment")</f>
        <v/>
      </c>
      <c r="GO99" s="55">
        <f>IF($B99=$B98,$GO98,0)+$GN99</f>
        <v/>
      </c>
      <c r="GP99" s="55">
        <f>$GP98+$GN99</f>
        <v/>
      </c>
      <c r="GQ99" s="55">
        <f>SUMIFS(tblGold[Gold_oz],tblGold[Date],$A99,tblGold[Type],"Sale")</f>
        <v/>
      </c>
      <c r="GR99" s="55">
        <f>IF($B99=$B98,$GR98,0)+$GQ99</f>
        <v/>
      </c>
      <c r="GS99" s="55">
        <f>$GS98+$GQ99</f>
        <v/>
      </c>
      <c r="GT99" s="55">
        <f>SUMIFS(tblGold[Dore_kg],tblGold[Date],$A99,tblGold[Type],"Shipment")</f>
        <v/>
      </c>
      <c r="GU99" s="55">
        <f>IF($B99=$B98,$GU98,0)+$GT99</f>
        <v/>
      </c>
      <c r="GV99" s="55">
        <f>$GV98+$GT99</f>
        <v/>
      </c>
      <c r="GW99" s="57">
        <f>SUMIFS(tblSafety[Hours_Total],tblSafety[Date],$A99)</f>
        <v/>
      </c>
      <c r="GX99" s="57">
        <f>IF($B99=$B98,$GX98,0)+$GW99</f>
        <v/>
      </c>
      <c r="GY99" s="57">
        <f>$GY98+$GW99</f>
        <v/>
      </c>
      <c r="GZ99" s="62">
        <f>SUMIFS(tblSafety[Fatality],tblSafety[Date],$A99)</f>
        <v/>
      </c>
      <c r="HA99" s="62">
        <f>IF($B99=$B98,$HA98,0)+$GZ99</f>
        <v/>
      </c>
      <c r="HB99" s="62">
        <f>$HB98+$GZ99</f>
        <v/>
      </c>
      <c r="HC99" s="62">
        <f>SUMIFS(tblSafety[LTI],tblSafety[Date],$A99)</f>
        <v/>
      </c>
      <c r="HD99" s="62">
        <f>IF($B99=$B98,$HD98,0)+$HC99</f>
        <v/>
      </c>
      <c r="HE99" s="62">
        <f>$HE98+$HC99</f>
        <v/>
      </c>
      <c r="HF99" s="62">
        <f>SUMIFS(tblSafety[RWI],tblSafety[Date],$A99)</f>
        <v/>
      </c>
      <c r="HG99" s="62">
        <f>IF($B99=$B98,$HG98,0)+$HF99</f>
        <v/>
      </c>
      <c r="HH99" s="62">
        <f>$HH98+$HF99</f>
        <v/>
      </c>
      <c r="HI99" s="62">
        <f>SUMIFS(tblSafety[MTI],tblSafety[Date],$A99)</f>
        <v/>
      </c>
      <c r="HJ99" s="62">
        <f>IF($B99=$B98,$HJ98,0)+$HI99</f>
        <v/>
      </c>
      <c r="HK99" s="62">
        <f>$HK98+$HI99</f>
        <v/>
      </c>
      <c r="HL99" s="62">
        <f>SUMIFS(tblSafety[FAI],tblSafety[Date],$A99)</f>
        <v/>
      </c>
      <c r="HM99" s="62">
        <f>IF($B99=$B98,$HM98,0)+$HL99</f>
        <v/>
      </c>
      <c r="HN99" s="62">
        <f>$HN98+$HL99</f>
        <v/>
      </c>
      <c r="HO99" s="62">
        <f>SUMIFS(tblSafety[Recordables],tblSafety[Date],$A99)</f>
        <v/>
      </c>
      <c r="HP99" s="62">
        <f>IF($B99=$B98,$HP98,0)+$HO99</f>
        <v/>
      </c>
      <c r="HQ99" s="62">
        <f>$HQ98+$HO99</f>
        <v/>
      </c>
      <c r="HR99" s="62">
        <f>SUMIFS(tblSafety[Near_Miss],tblSafety[Date],$A99)</f>
        <v/>
      </c>
      <c r="HS99" s="62">
        <f>IF($B99=$B98,$HS98,0)+$HR99</f>
        <v/>
      </c>
      <c r="HT99" s="62">
        <f>$HT98+$HR99</f>
        <v/>
      </c>
      <c r="HU99" s="62">
        <f>SUMIFS(tblSafety[Hazard_Reports],tblSafety[Date],$A99)</f>
        <v/>
      </c>
      <c r="HV99" s="62">
        <f>IF($B99=$B98,$HV98,0)+$HU99</f>
        <v/>
      </c>
      <c r="HW99" s="62">
        <f>$HW98+$HU99</f>
        <v/>
      </c>
      <c r="HX99" s="62">
        <f>SUMIFS(tblSafety[HPI],tblSafety[Date],$A99)</f>
        <v/>
      </c>
      <c r="HY99" s="62">
        <f>IF($B99=$B98,$HY98,0)+$HX99</f>
        <v/>
      </c>
      <c r="HZ99" s="62">
        <f>$HZ98+$HX99</f>
        <v/>
      </c>
      <c r="IA99" s="62">
        <f>SUMIFS(tblSafety[Env_Incidents],tblSafety[Date],$A99)</f>
        <v/>
      </c>
      <c r="IB99" s="62">
        <f>IF($B99=$B98,$IB98,0)+$IA99</f>
        <v/>
      </c>
      <c r="IC99" s="62">
        <f>$IC98+$IA99</f>
        <v/>
      </c>
      <c r="ID99" s="62">
        <f>SUMIFS(tblSafety[Community_Incidents],tblSafety[Date],$A99)</f>
        <v/>
      </c>
      <c r="IE99" s="62">
        <f>IF($B99=$B98,$IE98,0)+$ID99</f>
        <v/>
      </c>
      <c r="IF99" s="62">
        <f>$IF98+$ID99</f>
        <v/>
      </c>
      <c r="IG99" s="62">
        <f>SUMIFS(tblSafety[Vehicle_Incidents],tblSafety[Date],$A99)</f>
        <v/>
      </c>
      <c r="IH99" s="62">
        <f>IF($B99=$B98,$IH98,0)+$IG99</f>
        <v/>
      </c>
      <c r="II99" s="62">
        <f>$II98+$IG99</f>
        <v/>
      </c>
      <c r="IJ99" s="62">
        <f>SUMIFS(tblSafety[Toolbox_Talks],tblSafety[Date],$A99)</f>
        <v/>
      </c>
      <c r="IK99" s="62">
        <f>IF($B99=$B98,$IK98,0)+$IJ99</f>
        <v/>
      </c>
      <c r="IL99" s="62">
        <f>$IL98+$IJ99</f>
        <v/>
      </c>
      <c r="IM99" s="62">
        <f>SUMIFS(tblSafety[Inspections],tblSafety[Date],$A99)</f>
        <v/>
      </c>
      <c r="IN99" s="62">
        <f>IF($B99=$B98,$IN98,0)+$IM99</f>
        <v/>
      </c>
      <c r="IO99" s="62">
        <f>$IO98+$IM99</f>
        <v/>
      </c>
      <c r="IP99" s="56">
        <f>IFERROR((SUMIFS(tblSafety[Recordables],tblSafety[Date],"&gt;="&amp;EDATE($E99,-12),tblSafety[Date],"&lt;="&amp;$A99)+SUMIFS(tblSafetyHistory[Recordables],tblSafetyHistory[Month],"&gt;="&amp;EDATE($E99,-12),tblSafetyHistory[Month],"&lt;"&amp;$E99,tblSafetyHistory[Use],1))/(SUMIFS(tblSafety[Hours_Total],tblSafety[Date],"&gt;="&amp;EDATE($E99,-12),tblSafety[Date],"&lt;="&amp;$A99)+SUMIFS(tblSafetyHistory[Hours_Total],tblSafetyHistory[Month],"&gt;="&amp;EDATE($E99,-12),tblSafetyHistory[Month],"&lt;"&amp;$E99,tblSafetyHistory[Use],1))*cfg_RateBasisHours,"")</f>
        <v/>
      </c>
      <c r="IQ99" s="56">
        <f>IFERROR((SUMIFS(tblSafety[LTI],tblSafety[Date],"&gt;="&amp;EDATE($E99,-12),tblSafety[Date],"&lt;="&amp;$A99)+SUMIFS(tblSafetyHistory[LTI],tblSafetyHistory[Month],"&gt;="&amp;EDATE($E99,-12),tblSafetyHistory[Month],"&lt;"&amp;$E99,tblSafetyHistory[Use],1))/(SUMIFS(tblSafety[Hours_Total],tblSafety[Date],"&gt;="&amp;EDATE($E99,-12),tblSafety[Date],"&lt;="&amp;$A99)+SUMIFS(tblSafetyHistory[Hours_Total],tblSafetyHistory[Month],"&gt;="&amp;EDATE($E99,-12),tblSafetyHistory[Month],"&lt;"&amp;$E99,tblSafetyHistory[Use],1))*cfg_RateBasisHours,"")</f>
        <v/>
      </c>
      <c r="IR99" s="62">
        <f>IF(MAX(N(cfg_PriorLTIDate),_xlfn.MAXIFS(tblSafety[Date],tblSafety[LTI],"&gt;0",tblSafety[Date],"&lt;="&amp;$A99))=0,"",$A99-MAX(N(cfg_PriorLTIDate),_xlfn.MAXIFS(tblSafety[Date],tblSafety[LTI],"&gt;0",tblSafety[Date],"&lt;="&amp;$A99)))</f>
        <v/>
      </c>
      <c r="IS99" s="55">
        <f>SUMIFS(tblBudget[Ore_Mined_t],tblBudget[Month],$E99)</f>
        <v/>
      </c>
      <c r="IT99" s="55">
        <f>$IS99*$C99/$D99</f>
        <v/>
      </c>
      <c r="IU99" s="55">
        <f>SUMIFS(tblBudget[Ore_Mined_t],tblBudget[Month],"&lt;"&amp;$E99)+$IT99</f>
        <v/>
      </c>
      <c r="IV99" s="55">
        <f>SUMIFS(tblBudget[Ore_oz],tblBudget[Month],$E99)</f>
        <v/>
      </c>
      <c r="IW99" s="55">
        <f>$IV99*$C99/$D99</f>
        <v/>
      </c>
      <c r="IX99" s="55">
        <f>SUMIFS(tblBudget[Ore_oz],tblBudget[Month],"&lt;"&amp;$E99)+$IW99</f>
        <v/>
      </c>
      <c r="IY99" s="55">
        <f>SUMIFS(tblBudget[Ore_Mined_t],tblBudget[Month],$E99)</f>
        <v/>
      </c>
      <c r="IZ99" s="55">
        <f>$IY99*$C99/$D99</f>
        <v/>
      </c>
      <c r="JA99" s="55">
        <f>SUMIFS(tblBudget[Ore_Mined_t],tblBudget[Month],"&lt;"&amp;$E99)+$IZ99</f>
        <v/>
      </c>
      <c r="JB99" s="56">
        <f>IFERROR(IF(($IY99)&gt;0,($IV99*cfg_TroyOz)/($IY99),""),"")</f>
        <v/>
      </c>
      <c r="JC99" s="56">
        <f>IFERROR(IF(($IZ99)&gt;0,($IW99*cfg_TroyOz)/($IZ99),""),"")</f>
        <v/>
      </c>
      <c r="JD99" s="56">
        <f>IFERROR(IF(($JA99)&gt;0,($IX99*cfg_TroyOz)/($JA99),""),"")</f>
        <v/>
      </c>
      <c r="JE99" s="55">
        <f>SUMIFS(tblBudget[Waste_t],tblBudget[Month],$E99)</f>
        <v/>
      </c>
      <c r="JF99" s="55">
        <f>$JE99*$C99/$D99</f>
        <v/>
      </c>
      <c r="JG99" s="55">
        <f>SUMIFS(tblBudget[Waste_t],tblBudget[Month],"&lt;"&amp;$E99)+$JF99</f>
        <v/>
      </c>
      <c r="JH99" s="55">
        <f>SUMIFS(tblBudget[TMM_t],tblBudget[Month],$E99)</f>
        <v/>
      </c>
      <c r="JI99" s="55">
        <f>$JH99*$C99/$D99</f>
        <v/>
      </c>
      <c r="JJ99" s="55">
        <f>SUMIFS(tblBudget[TMM_t],tblBudget[Month],"&lt;"&amp;$E99)+$JI99</f>
        <v/>
      </c>
      <c r="JK99" s="56">
        <f>IFERROR(IF(($IS99)&gt;0,($JE99)/($IS99),""),"")</f>
        <v/>
      </c>
      <c r="JL99" s="56">
        <f>IFERROR(IF(($IT99)&gt;0,($JF99)/($IT99),""),"")</f>
        <v/>
      </c>
      <c r="JM99" s="56">
        <f>IFERROR(IF(($IU99)&gt;0,($JG99)/($IU99),""),"")</f>
        <v/>
      </c>
      <c r="JN99" s="55">
        <f>SUMIFS(tblBudget[Drill_m],tblBudget[Month],$E99)</f>
        <v/>
      </c>
      <c r="JO99" s="55">
        <f>$JN99*$C99/$D99</f>
        <v/>
      </c>
      <c r="JP99" s="55">
        <f>SUMIFS(tblBudget[Drill_m],tblBudget[Month],"&lt;"&amp;$E99)+$JO99</f>
        <v/>
      </c>
      <c r="JQ99" s="55">
        <f>SUMIFS(tblBudget[Diesel_L],tblBudget[Month],$E99)</f>
        <v/>
      </c>
      <c r="JR99" s="55">
        <f>$JQ99*$C99/$D99</f>
        <v/>
      </c>
      <c r="JS99" s="55">
        <f>SUMIFS(tblBudget[Diesel_L],tblBudget[Month],"&lt;"&amp;$E99)+$JR99</f>
        <v/>
      </c>
      <c r="JT99" s="55">
        <f>SUMIFS(tblBudget[Milled_t],tblBudget[Month],$E99)</f>
        <v/>
      </c>
      <c r="JU99" s="55">
        <f>$JT99*$C99/$D99</f>
        <v/>
      </c>
      <c r="JV99" s="55">
        <f>SUMIFS(tblBudget[Milled_t],tblBudget[Month],"&lt;"&amp;$E99)+$JU99</f>
        <v/>
      </c>
      <c r="JW99" s="55">
        <f>SUMIFS(tblBudget[Feed_oz],tblBudget[Month],$E99)</f>
        <v/>
      </c>
      <c r="JX99" s="55">
        <f>$JW99*$C99/$D99</f>
        <v/>
      </c>
      <c r="JY99" s="55">
        <f>SUMIFS(tblBudget[Feed_oz],tblBudget[Month],"&lt;"&amp;$E99)+$JX99</f>
        <v/>
      </c>
      <c r="JZ99" s="55">
        <f>SUMIFS(tblBudget[Recovered_oz],tblBudget[Month],$E99)</f>
        <v/>
      </c>
      <c r="KA99" s="55">
        <f>$JZ99*$C99/$D99</f>
        <v/>
      </c>
      <c r="KB99" s="55">
        <f>SUMIFS(tblBudget[Recovered_oz],tblBudget[Month],"&lt;"&amp;$E99)+$KA99</f>
        <v/>
      </c>
      <c r="KC99" s="55">
        <f>SUMIFS(tblBudget[Milled_t],tblBudget[Month],$E99)</f>
        <v/>
      </c>
      <c r="KD99" s="55">
        <f>$KC99*$C99/$D99</f>
        <v/>
      </c>
      <c r="KE99" s="55">
        <f>SUMIFS(tblBudget[Milled_t],tblBudget[Month],"&lt;"&amp;$E99)+$KD99</f>
        <v/>
      </c>
      <c r="KF99" s="55">
        <f>SUMIFS(tblBudget[Feed_oz],tblBudget[Month],$E99)</f>
        <v/>
      </c>
      <c r="KG99" s="55">
        <f>$KF99*$C99/$D99</f>
        <v/>
      </c>
      <c r="KH99" s="55">
        <f>SUMIFS(tblBudget[Feed_oz],tblBudget[Month],"&lt;"&amp;$E99)+$KG99</f>
        <v/>
      </c>
      <c r="KI99" s="56">
        <f>IFERROR(IF(($KC99)&gt;0,($JW99*cfg_TroyOz)/($KC99),""),"")</f>
        <v/>
      </c>
      <c r="KJ99" s="56">
        <f>IFERROR(IF(($KD99)&gt;0,($JX99*cfg_TroyOz)/($KD99),""),"")</f>
        <v/>
      </c>
      <c r="KK99" s="56">
        <f>IFERROR(IF(($KE99)&gt;0,($JY99*cfg_TroyOz)/($KE99),""),"")</f>
        <v/>
      </c>
      <c r="KL99" s="67">
        <f>IFERROR(IF(($KF99)&gt;0,($JZ99)/($KF99),""),"")</f>
        <v/>
      </c>
      <c r="KM99" s="67">
        <f>IFERROR(IF(($KG99)&gt;0,($KA99)/($KG99),""),"")</f>
        <v/>
      </c>
      <c r="KN99" s="67">
        <f>IFERROR(IF(($KH99)&gt;0,($KB99)/($KH99),""),"")</f>
        <v/>
      </c>
      <c r="KO99" s="55">
        <f>SUMIFS(tblBudget[Gold_Poured_oz],tblBudget[Month],$E99)</f>
        <v/>
      </c>
      <c r="KP99" s="55">
        <f>$KO99*$C99/$D99</f>
        <v/>
      </c>
      <c r="KQ99" s="55">
        <f>SUMIFS(tblBudget[Gold_Poured_oz],tblBudget[Month],"&lt;"&amp;$E99)+$KP99</f>
        <v/>
      </c>
      <c r="KR99" s="57">
        <f>SUMIFS(tblBudget[Hours_Worked],tblBudget[Month],$E99)</f>
        <v/>
      </c>
      <c r="KS99" s="57">
        <f>$KR99*$C99/$D99</f>
        <v/>
      </c>
      <c r="KT99" s="57">
        <f>SUMIFS(tblBudget[Hours_Worked],tblBudget[Month],"&lt;"&amp;$E99)+$KS99</f>
        <v/>
      </c>
    </row>
    <row r="100">
      <c r="A100" s="54" t="n">
        <v>46121</v>
      </c>
      <c r="B100">
        <f>MONTH($A100)</f>
        <v/>
      </c>
      <c r="C100">
        <f>DAY($A100)</f>
        <v/>
      </c>
      <c r="D100">
        <f>DAY(EOMONTH($A100,0))</f>
        <v/>
      </c>
      <c r="E100" s="54">
        <f>DATE(YEAR($A100),MONTH($A100),1)</f>
        <v/>
      </c>
      <c r="F100" s="55">
        <f>SUMIFS(tblMovement[Tonnes_t],tblMovement[Date],$A100,tblMovement[Is_Ore],1,tblMovement[Source_Type],"Pit")</f>
        <v/>
      </c>
      <c r="G100" s="55">
        <f>IF($B100=$B99,$G99,0)+$F100</f>
        <v/>
      </c>
      <c r="H100" s="55">
        <f>$H99+$F100</f>
        <v/>
      </c>
      <c r="I100" s="55">
        <f>SUMIFS(tblMovement[Ore_oz],tblMovement[Date],$A100,tblMovement[Source_Type],"Pit")</f>
        <v/>
      </c>
      <c r="J100" s="55">
        <f>IF($B100=$B99,$J99,0)+$I100</f>
        <v/>
      </c>
      <c r="K100" s="55">
        <f>$K99+$I100</f>
        <v/>
      </c>
      <c r="L100" s="55">
        <f>SUMIFS(tblMovement[Tonnes_t],tblMovement[Date],$A100,tblMovement[Is_Ore],1,tblMovement[Source_Type],"Pit",tblMovement[Grade_gpt],"&lt;&gt;")</f>
        <v/>
      </c>
      <c r="M100" s="55">
        <f>IF($B100=$B99,$M99,0)+$L100</f>
        <v/>
      </c>
      <c r="N100" s="55">
        <f>$N99+$L100</f>
        <v/>
      </c>
      <c r="O100" s="56">
        <f>IFERROR(IF(($L100)&gt;0,($I100*cfg_TroyOz)/($L100),""),"")</f>
        <v/>
      </c>
      <c r="P100" s="56">
        <f>IFERROR(IF(($M100)&gt;0,($J100*cfg_TroyOz)/($M100),""),"")</f>
        <v/>
      </c>
      <c r="Q100" s="56">
        <f>IFERROR(IF(($N100)&gt;0,($K100*cfg_TroyOz)/($N100),""),"")</f>
        <v/>
      </c>
      <c r="R100" s="55">
        <f>$F100-$L100</f>
        <v/>
      </c>
      <c r="S100" s="55">
        <f>IF($B100=$B99,$S99,0)+$R100</f>
        <v/>
      </c>
      <c r="T100" s="55">
        <f>$T99+$R100</f>
        <v/>
      </c>
      <c r="U100" s="55">
        <f>SUMIFS(tblMovement[Tonnes_t],tblMovement[Date],$A100,tblMovement[Is_Ore],0,tblMovement[Source_Type],"Pit")</f>
        <v/>
      </c>
      <c r="V100" s="55">
        <f>IF($B100=$B99,$V99,0)+$U100</f>
        <v/>
      </c>
      <c r="W100" s="55">
        <f>$W99+$U100</f>
        <v/>
      </c>
      <c r="X100" s="55">
        <f>$F100+$U100</f>
        <v/>
      </c>
      <c r="Y100" s="55">
        <f>IF($B100=$B99,$Y99,0)+$X100</f>
        <v/>
      </c>
      <c r="Z100" s="55">
        <f>$Z99+$X100</f>
        <v/>
      </c>
      <c r="AA100" s="56">
        <f>IFERROR(IF(($F100)&gt;0,($U100)/($F100),""),"")</f>
        <v/>
      </c>
      <c r="AB100" s="56">
        <f>IFERROR(IF(($G100)&gt;0,($V100)/($G100),""),"")</f>
        <v/>
      </c>
      <c r="AC100" s="56">
        <f>IFERROR(IF(($H100)&gt;0,($W100)/($H100),""),"")</f>
        <v/>
      </c>
      <c r="AD100" s="55">
        <f>SUMIFS(tblMovement[Tonnes_t],tblMovement[Date],$A100,tblMovement[Source_Type],"Stockpile")</f>
        <v/>
      </c>
      <c r="AE100" s="55">
        <f>IF($B100=$B99,$AE99,0)+$AD100</f>
        <v/>
      </c>
      <c r="AF100" s="55">
        <f>$AF99+$AD100</f>
        <v/>
      </c>
      <c r="AG100" s="55">
        <f>SUMIFS(tblMovement[Tonnes_t],tblMovement[Date],$A100)</f>
        <v/>
      </c>
      <c r="AH100" s="55">
        <f>IF($B100=$B99,$AH99,0)+$AG100</f>
        <v/>
      </c>
      <c r="AI100" s="55">
        <f>$AI99+$AG100</f>
        <v/>
      </c>
      <c r="AJ100" s="55">
        <f>$AG100-$X100-$AD100</f>
        <v/>
      </c>
      <c r="AK100" s="55">
        <f>IF($B100=$B99,$AK99,0)+$AJ100</f>
        <v/>
      </c>
      <c r="AL100" s="55">
        <f>$AL99+$AJ100</f>
        <v/>
      </c>
      <c r="AM100" s="55">
        <f>SUMIFS(tblMiningDaily[Drill_m],tblMiningDaily[Date],$A100)</f>
        <v/>
      </c>
      <c r="AN100" s="55">
        <f>IF($B100=$B99,$AN99,0)+$AM100</f>
        <v/>
      </c>
      <c r="AO100" s="55">
        <f>$AO99+$AM100</f>
        <v/>
      </c>
      <c r="AP100" s="55">
        <f>SUMIFS(tblMiningDaily[GC_Drill_m],tblMiningDaily[Date],$A100)</f>
        <v/>
      </c>
      <c r="AQ100" s="55">
        <f>IF($B100=$B99,$AQ99,0)+$AP100</f>
        <v/>
      </c>
      <c r="AR100" s="55">
        <f>$AR99+$AP100</f>
        <v/>
      </c>
      <c r="AS100" s="55">
        <f>SUMIFS(tblMiningDaily[Blast_t],tblMiningDaily[Date],$A100)</f>
        <v/>
      </c>
      <c r="AT100" s="55">
        <f>IF($B100=$B99,$AT99,0)+$AS100</f>
        <v/>
      </c>
      <c r="AU100" s="55">
        <f>$AU99+$AS100</f>
        <v/>
      </c>
      <c r="AV100" s="55">
        <f>SUMIFS(tblMiningDaily[Explosives_kg],tblMiningDaily[Date],$A100)</f>
        <v/>
      </c>
      <c r="AW100" s="55">
        <f>IF($B100=$B99,$AW99,0)+$AV100</f>
        <v/>
      </c>
      <c r="AX100" s="55">
        <f>$AX99+$AV100</f>
        <v/>
      </c>
      <c r="AY100" s="56">
        <f>IFERROR(IF(($AS100)&gt;0,($AV100)/($AS100),""),"")</f>
        <v/>
      </c>
      <c r="AZ100" s="56">
        <f>IFERROR(IF(($AT100)&gt;0,($AW100)/($AT100),""),"")</f>
        <v/>
      </c>
      <c r="BA100" s="56">
        <f>IFERROR(IF(($AU100)&gt;0,($AX100)/($AU100),""),"")</f>
        <v/>
      </c>
      <c r="BB100" s="55">
        <f>SUMIFS(tblMiningDaily[Diesel_L],tblMiningDaily[Date],$A100)</f>
        <v/>
      </c>
      <c r="BC100" s="55">
        <f>IF($B100=$B99,$BC99,0)+$BB100</f>
        <v/>
      </c>
      <c r="BD100" s="55">
        <f>$BD99+$BB100</f>
        <v/>
      </c>
      <c r="BE100" s="55">
        <f>SUMIFS(tblMiningDaily[Dewatering_m3],tblMiningDaily[Date],$A100)</f>
        <v/>
      </c>
      <c r="BF100" s="55">
        <f>IF($B100=$B99,$BF99,0)+$BE100</f>
        <v/>
      </c>
      <c r="BG100" s="55">
        <f>$BG99+$BE100</f>
        <v/>
      </c>
      <c r="BH100" s="57">
        <f>SUMIFS(tblFleet[Calendar_h],tblFleet[Date],$A100,tblFleet[Equipment_Class],"Excavator")</f>
        <v/>
      </c>
      <c r="BI100" s="57">
        <f>IF($B100=$B99,$BI99,0)+$BH100</f>
        <v/>
      </c>
      <c r="BJ100" s="57">
        <f>$BJ99+$BH100</f>
        <v/>
      </c>
      <c r="BK100" s="57">
        <f>SUMIFS(tblFleet[Available_h],tblFleet[Date],$A100,tblFleet[Equipment_Class],"Excavator")</f>
        <v/>
      </c>
      <c r="BL100" s="57">
        <f>IF($B100=$B99,$BL99,0)+$BK100</f>
        <v/>
      </c>
      <c r="BM100" s="57">
        <f>$BM99+$BK100</f>
        <v/>
      </c>
      <c r="BN100" s="57">
        <f>SUMIFS(tblFleet[Operating_h],tblFleet[Date],$A100,tblFleet[Equipment_Class],"Excavator")</f>
        <v/>
      </c>
      <c r="BO100" s="57">
        <f>IF($B100=$B99,$BO99,0)+$BN100</f>
        <v/>
      </c>
      <c r="BP100" s="57">
        <f>$BP99+$BN100</f>
        <v/>
      </c>
      <c r="BQ100" s="67">
        <f>IFERROR(IF(($BH100)&gt;0,($BK100)/($BH100),""),"")</f>
        <v/>
      </c>
      <c r="BR100" s="67">
        <f>IFERROR(IF(($BI100)&gt;0,($BL100)/($BI100),""),"")</f>
        <v/>
      </c>
      <c r="BS100" s="67">
        <f>IFERROR(IF(($BJ100)&gt;0,($BM100)/($BJ100),""),"")</f>
        <v/>
      </c>
      <c r="BT100" s="67">
        <f>IFERROR(IF(($BK100)&gt;0,($BN100)/($BK100),""),"")</f>
        <v/>
      </c>
      <c r="BU100" s="67">
        <f>IFERROR(IF(($BL100)&gt;0,($BO100)/($BL100),""),"")</f>
        <v/>
      </c>
      <c r="BV100" s="67">
        <f>IFERROR(IF(($BM100)&gt;0,($BP100)/($BM100),""),"")</f>
        <v/>
      </c>
      <c r="BW100" s="57">
        <f>SUMIFS(tblFleet[Calendar_h],tblFleet[Date],$A100,tblFleet[Equipment_Class],"Haul Truck")</f>
        <v/>
      </c>
      <c r="BX100" s="57">
        <f>IF($B100=$B99,$BX99,0)+$BW100</f>
        <v/>
      </c>
      <c r="BY100" s="57">
        <f>$BY99+$BW100</f>
        <v/>
      </c>
      <c r="BZ100" s="57">
        <f>SUMIFS(tblFleet[Available_h],tblFleet[Date],$A100,tblFleet[Equipment_Class],"Haul Truck")</f>
        <v/>
      </c>
      <c r="CA100" s="57">
        <f>IF($B100=$B99,$CA99,0)+$BZ100</f>
        <v/>
      </c>
      <c r="CB100" s="57">
        <f>$CB99+$BZ100</f>
        <v/>
      </c>
      <c r="CC100" s="57">
        <f>SUMIFS(tblFleet[Operating_h],tblFleet[Date],$A100,tblFleet[Equipment_Class],"Haul Truck")</f>
        <v/>
      </c>
      <c r="CD100" s="57">
        <f>IF($B100=$B99,$CD99,0)+$CC100</f>
        <v/>
      </c>
      <c r="CE100" s="57">
        <f>$CE99+$CC100</f>
        <v/>
      </c>
      <c r="CF100" s="67">
        <f>IFERROR(IF(($BW100)&gt;0,($BZ100)/($BW100),""),"")</f>
        <v/>
      </c>
      <c r="CG100" s="67">
        <f>IFERROR(IF(($BX100)&gt;0,($CA100)/($BX100),""),"")</f>
        <v/>
      </c>
      <c r="CH100" s="67">
        <f>IFERROR(IF(($BY100)&gt;0,($CB100)/($BY100),""),"")</f>
        <v/>
      </c>
      <c r="CI100" s="67">
        <f>IFERROR(IF(($BZ100)&gt;0,($CC100)/($BZ100),""),"")</f>
        <v/>
      </c>
      <c r="CJ100" s="67">
        <f>IFERROR(IF(($CA100)&gt;0,($CD100)/($CA100),""),"")</f>
        <v/>
      </c>
      <c r="CK100" s="67">
        <f>IFERROR(IF(($CB100)&gt;0,($CE100)/($CB100),""),"")</f>
        <v/>
      </c>
      <c r="CL100" s="55">
        <f>IFERROR(IF(($BN100)&gt;0,($X100+$AD100)/($BN100),""),"")</f>
        <v/>
      </c>
      <c r="CM100" s="55">
        <f>IFERROR(IF(($BO100)&gt;0,($Y100+$AE100)/($BO100),""),"")</f>
        <v/>
      </c>
      <c r="CN100" s="55">
        <f>IFERROR(IF(($BP100)&gt;0,($Z100+$AF100)/($BP100),""),"")</f>
        <v/>
      </c>
      <c r="CO100" s="55">
        <f>IFERROR(IF(($CC100)&gt;0,($X100+$AD100)/($CC100),""),"")</f>
        <v/>
      </c>
      <c r="CP100" s="55">
        <f>IFERROR(IF(($CD100)&gt;0,($Y100+$AE100)/($CD100),""),"")</f>
        <v/>
      </c>
      <c r="CQ100" s="55">
        <f>IFERROR(IF(($CE100)&gt;0,($Z100+$AF100)/($CE100),""),"")</f>
        <v/>
      </c>
      <c r="CR100" s="55">
        <f>SUMIFS(tblPlant[Crushed_t],tblPlant[Date],$A100)</f>
        <v/>
      </c>
      <c r="CS100" s="55">
        <f>IF($B100=$B99,$CS99,0)+$CR100</f>
        <v/>
      </c>
      <c r="CT100" s="55">
        <f>$CT99+$CR100</f>
        <v/>
      </c>
      <c r="CU100" s="55">
        <f>SUMIFS(tblPlant[Milled_t],tblPlant[Date],$A100)</f>
        <v/>
      </c>
      <c r="CV100" s="55">
        <f>IF($B100=$B99,$CV99,0)+$CU100</f>
        <v/>
      </c>
      <c r="CW100" s="55">
        <f>$CW99+$CU100</f>
        <v/>
      </c>
      <c r="CX100" s="55">
        <f>SUMIFS(tblPlant[Feed_oz],tblPlant[Date],$A100)</f>
        <v/>
      </c>
      <c r="CY100" s="55">
        <f>IF($B100=$B99,$CY99,0)+$CX100</f>
        <v/>
      </c>
      <c r="CZ100" s="55">
        <f>$CZ99+$CX100</f>
        <v/>
      </c>
      <c r="DA100" s="55">
        <f>SUMIFS(tblPlant[Tails_oz],tblPlant[Date],$A100)</f>
        <v/>
      </c>
      <c r="DB100" s="55">
        <f>IF($B100=$B99,$DB99,0)+$DA100</f>
        <v/>
      </c>
      <c r="DC100" s="55">
        <f>$DC99+$DA100</f>
        <v/>
      </c>
      <c r="DD100" s="55">
        <f>SUMIFS(tblPlant[Recovered_oz],tblPlant[Date],$A100)</f>
        <v/>
      </c>
      <c r="DE100" s="55">
        <f>IF($B100=$B99,$DE99,0)+$DD100</f>
        <v/>
      </c>
      <c r="DF100" s="55">
        <f>$DF99+$DD100</f>
        <v/>
      </c>
      <c r="DG100" s="55">
        <f>SUMIFS(tblPlant[Milled_t],tblPlant[Date],$A100,tblPlant[Head_Grade_gpt],"&lt;&gt;")</f>
        <v/>
      </c>
      <c r="DH100" s="55">
        <f>IF($B100=$B99,$DH99,0)+$DG100</f>
        <v/>
      </c>
      <c r="DI100" s="55">
        <f>$DI99+$DG100</f>
        <v/>
      </c>
      <c r="DJ100" s="55">
        <f>SUMIFS(tblPlant[Milled_t],tblPlant[Date],$A100,tblPlant[Tails_Grade_gpt],"&lt;&gt;")</f>
        <v/>
      </c>
      <c r="DK100" s="55">
        <f>IF($B100=$B99,$DK99,0)+$DJ100</f>
        <v/>
      </c>
      <c r="DL100" s="55">
        <f>$DL99+$DJ100</f>
        <v/>
      </c>
      <c r="DM100" s="55">
        <f>SUMIFS(tblPlant[Feed_oz],tblPlant[Date],$A100,tblPlant[Tails_Grade_gpt],"&lt;&gt;")</f>
        <v/>
      </c>
      <c r="DN100" s="55">
        <f>IF($B100=$B99,$DN99,0)+$DM100</f>
        <v/>
      </c>
      <c r="DO100" s="55">
        <f>$DO99+$DM100</f>
        <v/>
      </c>
      <c r="DP100" s="55">
        <f>SUMIFS(tblPlant[Milled_t],tblPlant[Date],$A100,tblPlant[Mill_Run_h],"&lt;&gt;")</f>
        <v/>
      </c>
      <c r="DQ100" s="55">
        <f>IF($B100=$B99,$DQ99,0)+$DP100</f>
        <v/>
      </c>
      <c r="DR100" s="55">
        <f>$DR99+$DP100</f>
        <v/>
      </c>
      <c r="DS100" s="56">
        <f>IFERROR(IF(($DG100)&gt;0,($CX100*cfg_TroyOz)/($DG100),""),"")</f>
        <v/>
      </c>
      <c r="DT100" s="56">
        <f>IFERROR(IF(($DH100)&gt;0,($CY100*cfg_TroyOz)/($DH100),""),"")</f>
        <v/>
      </c>
      <c r="DU100" s="56">
        <f>IFERROR(IF(($DI100)&gt;0,($CZ100*cfg_TroyOz)/($DI100),""),"")</f>
        <v/>
      </c>
      <c r="DV100" s="56">
        <f>IFERROR(IF(($DJ100)&gt;0,($DA100*cfg_TroyOz)/($DJ100),""),"")</f>
        <v/>
      </c>
      <c r="DW100" s="56">
        <f>IFERROR(IF(($DK100)&gt;0,($DB100*cfg_TroyOz)/($DK100),""),"")</f>
        <v/>
      </c>
      <c r="DX100" s="56">
        <f>IFERROR(IF(($DL100)&gt;0,($DC100*cfg_TroyOz)/($DL100),""),"")</f>
        <v/>
      </c>
      <c r="DY100" s="67">
        <f>IFERROR(IF(($DM100)&gt;0,($DD100)/($DM100),""),"")</f>
        <v/>
      </c>
      <c r="DZ100" s="67">
        <f>IFERROR(IF(($DN100)&gt;0,($DE100)/($DN100),""),"")</f>
        <v/>
      </c>
      <c r="EA100" s="67">
        <f>IFERROR(IF(($DO100)&gt;0,($DF100)/($DO100),""),"")</f>
        <v/>
      </c>
      <c r="EB100" s="55">
        <f>SUMIFS(tblPlant[Gravity_Gold_oz],tblPlant[Date],$A100)</f>
        <v/>
      </c>
      <c r="EC100" s="55">
        <f>IF($B100=$B99,$EC99,0)+$EB100</f>
        <v/>
      </c>
      <c r="ED100" s="55">
        <f>$ED99+$EB100</f>
        <v/>
      </c>
      <c r="EE100" s="67">
        <f>IFERROR(IF(($DD100)&gt;0,($EB100)/($DD100),""),"")</f>
        <v/>
      </c>
      <c r="EF100" s="67">
        <f>IFERROR(IF(($DE100)&gt;0,($EC100)/($DE100),""),"")</f>
        <v/>
      </c>
      <c r="EG100" s="67">
        <f>IFERROR(IF(($DF100)&gt;0,($ED100)/($DF100),""),"")</f>
        <v/>
      </c>
      <c r="EH100" s="55">
        <f>SUMIFS(tblPlant[Gold_Poured_oz],tblPlant[Date],$A100)</f>
        <v/>
      </c>
      <c r="EI100" s="55">
        <f>IF($B100=$B99,$EI99,0)+$EH100</f>
        <v/>
      </c>
      <c r="EJ100" s="55">
        <f>$EJ99+$EH100</f>
        <v/>
      </c>
      <c r="EK100" s="57">
        <f>SUMIFS(tblPlant[Mill_Run_h],tblPlant[Date],$A100)</f>
        <v/>
      </c>
      <c r="EL100" s="57">
        <f>IF($B100=$B99,$EL99,0)+$EK100</f>
        <v/>
      </c>
      <c r="EM100" s="57">
        <f>$EM99+$EK100</f>
        <v/>
      </c>
      <c r="EN100" s="57">
        <f>SUMIFS(tblPlant[Mill_Planned_Maint_h],tblPlant[Date],$A100)</f>
        <v/>
      </c>
      <c r="EO100" s="57">
        <f>IF($B100=$B99,$EO99,0)+$EN100</f>
        <v/>
      </c>
      <c r="EP100" s="57">
        <f>$EP99+$EN100</f>
        <v/>
      </c>
      <c r="EQ100" s="57">
        <f>SUMIFS(tblPlant[Mill_Unplanned_Down_h],tblPlant[Date],$A100)</f>
        <v/>
      </c>
      <c r="ER100" s="57">
        <f>IF($B100=$B99,$ER99,0)+$EQ100</f>
        <v/>
      </c>
      <c r="ES100" s="57">
        <f>$ES99+$EQ100</f>
        <v/>
      </c>
      <c r="ET100" s="57">
        <f>IF(COUNTIFS(tblPlant[Date],$A100,tblPlant[Mill_Run_h],"&lt;&gt;")+COUNTIFS(tblPlant[Date],$A100,tblPlant[Mill_Planned_Maint_h],"&lt;&gt;")+COUNTIFS(tblPlant[Date],$A100,tblPlant[Mill_Unplanned_Down_h],"&lt;&gt;")&gt;0,cfg_HoursPerDay,0)</f>
        <v/>
      </c>
      <c r="EU100" s="57">
        <f>IF($B100=$B99,$EU99,0)+$ET100</f>
        <v/>
      </c>
      <c r="EV100" s="57">
        <f>$EV99+$ET100</f>
        <v/>
      </c>
      <c r="EW100" s="57">
        <f>SUMIFS(tblPlant[Crusher_Run_h],tblPlant[Date],$A100)</f>
        <v/>
      </c>
      <c r="EX100" s="57">
        <f>IF($B100=$B99,$EX99,0)+$EW100</f>
        <v/>
      </c>
      <c r="EY100" s="57">
        <f>$EY99+$EW100</f>
        <v/>
      </c>
      <c r="EZ100" s="55">
        <f>IFERROR(IF(($EK100)&gt;0,($DP100)/($EK100),""),"")</f>
        <v/>
      </c>
      <c r="FA100" s="55">
        <f>IFERROR(IF(($EL100)&gt;0,($DQ100)/($EL100),""),"")</f>
        <v/>
      </c>
      <c r="FB100" s="55">
        <f>IFERROR(IF(($EM100)&gt;0,($DR100)/($EM100),""),"")</f>
        <v/>
      </c>
      <c r="FC100" s="67">
        <f>IFERROR(IF(($ET100)&gt;0,($ET100-$EN100-$EQ100)/($ET100),""),"")</f>
        <v/>
      </c>
      <c r="FD100" s="67">
        <f>IFERROR(IF(($EU100)&gt;0,($EU100-$EO100-$ER100)/($EU100),""),"")</f>
        <v/>
      </c>
      <c r="FE100" s="67">
        <f>IFERROR(IF(($EV100)&gt;0,($EV100-$EP100-$ES100)/($EV100),""),"")</f>
        <v/>
      </c>
      <c r="FF100" s="67">
        <f>IFERROR(IF(($ET100-$EN100-$EQ100)&gt;0,($EK100)/($ET100-$EN100-$EQ100),""),"")</f>
        <v/>
      </c>
      <c r="FG100" s="67">
        <f>IFERROR(IF(($EU100-$EO100-$ER100)&gt;0,($EL100)/($EU100-$EO100-$ER100),""),"")</f>
        <v/>
      </c>
      <c r="FH100" s="67">
        <f>IFERROR(IF(($EV100-$EP100-$ES100)&gt;0,($EM100)/($EV100-$EP100-$ES100),""),"")</f>
        <v/>
      </c>
      <c r="FI100" s="55">
        <f>SUMIFS(tblPlant[Cyanide_kg],tblPlant[Date],$A100)</f>
        <v/>
      </c>
      <c r="FJ100" s="55">
        <f>IF($B100=$B99,$FJ99,0)+$FI100</f>
        <v/>
      </c>
      <c r="FK100" s="55">
        <f>$FK99+$FI100</f>
        <v/>
      </c>
      <c r="FL100" s="55">
        <f>SUMIFS(tblPlant[Lime_kg],tblPlant[Date],$A100)</f>
        <v/>
      </c>
      <c r="FM100" s="55">
        <f>IF($B100=$B99,$FM99,0)+$FL100</f>
        <v/>
      </c>
      <c r="FN100" s="55">
        <f>$FN99+$FL100</f>
        <v/>
      </c>
      <c r="FO100" s="55">
        <f>SUMIFS(tblPlant[Grinding_Media_kg],tblPlant[Date],$A100)</f>
        <v/>
      </c>
      <c r="FP100" s="55">
        <f>IF($B100=$B99,$FP99,0)+$FO100</f>
        <v/>
      </c>
      <c r="FQ100" s="55">
        <f>$FQ99+$FO100</f>
        <v/>
      </c>
      <c r="FR100" s="55">
        <f>SUMIFS(tblPlant[Power_kWh],tblPlant[Date],$A100)</f>
        <v/>
      </c>
      <c r="FS100" s="55">
        <f>IF($B100=$B99,$FS99,0)+$FR100</f>
        <v/>
      </c>
      <c r="FT100" s="55">
        <f>$FT99+$FR100</f>
        <v/>
      </c>
      <c r="FU100" s="55">
        <f>SUMIFS(tblPlant[Raw_Water_m3],tblPlant[Date],$A100)</f>
        <v/>
      </c>
      <c r="FV100" s="55">
        <f>IF($B100=$B99,$FV99,0)+$FU100</f>
        <v/>
      </c>
      <c r="FW100" s="55">
        <f>$FW99+$FU100</f>
        <v/>
      </c>
      <c r="FX100" s="56">
        <f>IFERROR(IF(($CU100)&gt;0,($FI100)/($CU100),""),"")</f>
        <v/>
      </c>
      <c r="FY100" s="56">
        <f>IFERROR(IF(($CV100)&gt;0,($FJ100)/($CV100),""),"")</f>
        <v/>
      </c>
      <c r="FZ100" s="56">
        <f>IFERROR(IF(($CW100)&gt;0,($FK100)/($CW100),""),"")</f>
        <v/>
      </c>
      <c r="GA100" s="56">
        <f>IFERROR(IF(($CU100)&gt;0,($FL100)/($CU100),""),"")</f>
        <v/>
      </c>
      <c r="GB100" s="56">
        <f>IFERROR(IF(($CV100)&gt;0,($FM100)/($CV100),""),"")</f>
        <v/>
      </c>
      <c r="GC100" s="56">
        <f>IFERROR(IF(($CW100)&gt;0,($FN100)/($CW100),""),"")</f>
        <v/>
      </c>
      <c r="GD100" s="56">
        <f>IFERROR(IF(($CU100)&gt;0,($FO100)/($CU100),""),"")</f>
        <v/>
      </c>
      <c r="GE100" s="56">
        <f>IFERROR(IF(($CV100)&gt;0,($FP100)/($CV100),""),"")</f>
        <v/>
      </c>
      <c r="GF100" s="56">
        <f>IFERROR(IF(($CW100)&gt;0,($FQ100)/($CW100),""),"")</f>
        <v/>
      </c>
      <c r="GG100" s="79">
        <f>IFERROR(IF(($CU100)&gt;0,($FR100)/($CU100),""),"")</f>
        <v/>
      </c>
      <c r="GH100" s="79">
        <f>IFERROR(IF(($CV100)&gt;0,($FS100)/($CV100),""),"")</f>
        <v/>
      </c>
      <c r="GI100" s="79">
        <f>IFERROR(IF(($CW100)&gt;0,($FT100)/($CW100),""),"")</f>
        <v/>
      </c>
      <c r="GJ100" s="56">
        <f>IFERROR(IF(($CU100)&gt;0,($FU100)/($CU100),""),"")</f>
        <v/>
      </c>
      <c r="GK100" s="56">
        <f>IFERROR(IF(($CV100)&gt;0,($FV100)/($CV100),""),"")</f>
        <v/>
      </c>
      <c r="GL100" s="56">
        <f>IFERROR(IF(($CW100)&gt;0,($FW100)/($CW100),""),"")</f>
        <v/>
      </c>
      <c r="GM100" s="55">
        <f>IF(SUMIFS(tblPlant[GIC_oz],tblPlant[Date],$A100)&gt;0,SUMIFS(tblPlant[GIC_oz],tblPlant[Date],$A100),"")</f>
        <v/>
      </c>
      <c r="GN100" s="55">
        <f>SUMIFS(tblGold[Gold_oz],tblGold[Date],$A100,tblGold[Type],"Shipment")</f>
        <v/>
      </c>
      <c r="GO100" s="55">
        <f>IF($B100=$B99,$GO99,0)+$GN100</f>
        <v/>
      </c>
      <c r="GP100" s="55">
        <f>$GP99+$GN100</f>
        <v/>
      </c>
      <c r="GQ100" s="55">
        <f>SUMIFS(tblGold[Gold_oz],tblGold[Date],$A100,tblGold[Type],"Sale")</f>
        <v/>
      </c>
      <c r="GR100" s="55">
        <f>IF($B100=$B99,$GR99,0)+$GQ100</f>
        <v/>
      </c>
      <c r="GS100" s="55">
        <f>$GS99+$GQ100</f>
        <v/>
      </c>
      <c r="GT100" s="55">
        <f>SUMIFS(tblGold[Dore_kg],tblGold[Date],$A100,tblGold[Type],"Shipment")</f>
        <v/>
      </c>
      <c r="GU100" s="55">
        <f>IF($B100=$B99,$GU99,0)+$GT100</f>
        <v/>
      </c>
      <c r="GV100" s="55">
        <f>$GV99+$GT100</f>
        <v/>
      </c>
      <c r="GW100" s="57">
        <f>SUMIFS(tblSafety[Hours_Total],tblSafety[Date],$A100)</f>
        <v/>
      </c>
      <c r="GX100" s="57">
        <f>IF($B100=$B99,$GX99,0)+$GW100</f>
        <v/>
      </c>
      <c r="GY100" s="57">
        <f>$GY99+$GW100</f>
        <v/>
      </c>
      <c r="GZ100" s="62">
        <f>SUMIFS(tblSafety[Fatality],tblSafety[Date],$A100)</f>
        <v/>
      </c>
      <c r="HA100" s="62">
        <f>IF($B100=$B99,$HA99,0)+$GZ100</f>
        <v/>
      </c>
      <c r="HB100" s="62">
        <f>$HB99+$GZ100</f>
        <v/>
      </c>
      <c r="HC100" s="62">
        <f>SUMIFS(tblSafety[LTI],tblSafety[Date],$A100)</f>
        <v/>
      </c>
      <c r="HD100" s="62">
        <f>IF($B100=$B99,$HD99,0)+$HC100</f>
        <v/>
      </c>
      <c r="HE100" s="62">
        <f>$HE99+$HC100</f>
        <v/>
      </c>
      <c r="HF100" s="62">
        <f>SUMIFS(tblSafety[RWI],tblSafety[Date],$A100)</f>
        <v/>
      </c>
      <c r="HG100" s="62">
        <f>IF($B100=$B99,$HG99,0)+$HF100</f>
        <v/>
      </c>
      <c r="HH100" s="62">
        <f>$HH99+$HF100</f>
        <v/>
      </c>
      <c r="HI100" s="62">
        <f>SUMIFS(tblSafety[MTI],tblSafety[Date],$A100)</f>
        <v/>
      </c>
      <c r="HJ100" s="62">
        <f>IF($B100=$B99,$HJ99,0)+$HI100</f>
        <v/>
      </c>
      <c r="HK100" s="62">
        <f>$HK99+$HI100</f>
        <v/>
      </c>
      <c r="HL100" s="62">
        <f>SUMIFS(tblSafety[FAI],tblSafety[Date],$A100)</f>
        <v/>
      </c>
      <c r="HM100" s="62">
        <f>IF($B100=$B99,$HM99,0)+$HL100</f>
        <v/>
      </c>
      <c r="HN100" s="62">
        <f>$HN99+$HL100</f>
        <v/>
      </c>
      <c r="HO100" s="62">
        <f>SUMIFS(tblSafety[Recordables],tblSafety[Date],$A100)</f>
        <v/>
      </c>
      <c r="HP100" s="62">
        <f>IF($B100=$B99,$HP99,0)+$HO100</f>
        <v/>
      </c>
      <c r="HQ100" s="62">
        <f>$HQ99+$HO100</f>
        <v/>
      </c>
      <c r="HR100" s="62">
        <f>SUMIFS(tblSafety[Near_Miss],tblSafety[Date],$A100)</f>
        <v/>
      </c>
      <c r="HS100" s="62">
        <f>IF($B100=$B99,$HS99,0)+$HR100</f>
        <v/>
      </c>
      <c r="HT100" s="62">
        <f>$HT99+$HR100</f>
        <v/>
      </c>
      <c r="HU100" s="62">
        <f>SUMIFS(tblSafety[Hazard_Reports],tblSafety[Date],$A100)</f>
        <v/>
      </c>
      <c r="HV100" s="62">
        <f>IF($B100=$B99,$HV99,0)+$HU100</f>
        <v/>
      </c>
      <c r="HW100" s="62">
        <f>$HW99+$HU100</f>
        <v/>
      </c>
      <c r="HX100" s="62">
        <f>SUMIFS(tblSafety[HPI],tblSafety[Date],$A100)</f>
        <v/>
      </c>
      <c r="HY100" s="62">
        <f>IF($B100=$B99,$HY99,0)+$HX100</f>
        <v/>
      </c>
      <c r="HZ100" s="62">
        <f>$HZ99+$HX100</f>
        <v/>
      </c>
      <c r="IA100" s="62">
        <f>SUMIFS(tblSafety[Env_Incidents],tblSafety[Date],$A100)</f>
        <v/>
      </c>
      <c r="IB100" s="62">
        <f>IF($B100=$B99,$IB99,0)+$IA100</f>
        <v/>
      </c>
      <c r="IC100" s="62">
        <f>$IC99+$IA100</f>
        <v/>
      </c>
      <c r="ID100" s="62">
        <f>SUMIFS(tblSafety[Community_Incidents],tblSafety[Date],$A100)</f>
        <v/>
      </c>
      <c r="IE100" s="62">
        <f>IF($B100=$B99,$IE99,0)+$ID100</f>
        <v/>
      </c>
      <c r="IF100" s="62">
        <f>$IF99+$ID100</f>
        <v/>
      </c>
      <c r="IG100" s="62">
        <f>SUMIFS(tblSafety[Vehicle_Incidents],tblSafety[Date],$A100)</f>
        <v/>
      </c>
      <c r="IH100" s="62">
        <f>IF($B100=$B99,$IH99,0)+$IG100</f>
        <v/>
      </c>
      <c r="II100" s="62">
        <f>$II99+$IG100</f>
        <v/>
      </c>
      <c r="IJ100" s="62">
        <f>SUMIFS(tblSafety[Toolbox_Talks],tblSafety[Date],$A100)</f>
        <v/>
      </c>
      <c r="IK100" s="62">
        <f>IF($B100=$B99,$IK99,0)+$IJ100</f>
        <v/>
      </c>
      <c r="IL100" s="62">
        <f>$IL99+$IJ100</f>
        <v/>
      </c>
      <c r="IM100" s="62">
        <f>SUMIFS(tblSafety[Inspections],tblSafety[Date],$A100)</f>
        <v/>
      </c>
      <c r="IN100" s="62">
        <f>IF($B100=$B99,$IN99,0)+$IM100</f>
        <v/>
      </c>
      <c r="IO100" s="62">
        <f>$IO99+$IM100</f>
        <v/>
      </c>
      <c r="IP100" s="56">
        <f>IFERROR((SUMIFS(tblSafety[Recordables],tblSafety[Date],"&gt;="&amp;EDATE($E100,-12),tblSafety[Date],"&lt;="&amp;$A100)+SUMIFS(tblSafetyHistory[Recordables],tblSafetyHistory[Month],"&gt;="&amp;EDATE($E100,-12),tblSafetyHistory[Month],"&lt;"&amp;$E100,tblSafetyHistory[Use],1))/(SUMIFS(tblSafety[Hours_Total],tblSafety[Date],"&gt;="&amp;EDATE($E100,-12),tblSafety[Date],"&lt;="&amp;$A100)+SUMIFS(tblSafetyHistory[Hours_Total],tblSafetyHistory[Month],"&gt;="&amp;EDATE($E100,-12),tblSafetyHistory[Month],"&lt;"&amp;$E100,tblSafetyHistory[Use],1))*cfg_RateBasisHours,"")</f>
        <v/>
      </c>
      <c r="IQ100" s="56">
        <f>IFERROR((SUMIFS(tblSafety[LTI],tblSafety[Date],"&gt;="&amp;EDATE($E100,-12),tblSafety[Date],"&lt;="&amp;$A100)+SUMIFS(tblSafetyHistory[LTI],tblSafetyHistory[Month],"&gt;="&amp;EDATE($E100,-12),tblSafetyHistory[Month],"&lt;"&amp;$E100,tblSafetyHistory[Use],1))/(SUMIFS(tblSafety[Hours_Total],tblSafety[Date],"&gt;="&amp;EDATE($E100,-12),tblSafety[Date],"&lt;="&amp;$A100)+SUMIFS(tblSafetyHistory[Hours_Total],tblSafetyHistory[Month],"&gt;="&amp;EDATE($E100,-12),tblSafetyHistory[Month],"&lt;"&amp;$E100,tblSafetyHistory[Use],1))*cfg_RateBasisHours,"")</f>
        <v/>
      </c>
      <c r="IR100" s="62">
        <f>IF(MAX(N(cfg_PriorLTIDate),_xlfn.MAXIFS(tblSafety[Date],tblSafety[LTI],"&gt;0",tblSafety[Date],"&lt;="&amp;$A100))=0,"",$A100-MAX(N(cfg_PriorLTIDate),_xlfn.MAXIFS(tblSafety[Date],tblSafety[LTI],"&gt;0",tblSafety[Date],"&lt;="&amp;$A100)))</f>
        <v/>
      </c>
      <c r="IS100" s="55">
        <f>SUMIFS(tblBudget[Ore_Mined_t],tblBudget[Month],$E100)</f>
        <v/>
      </c>
      <c r="IT100" s="55">
        <f>$IS100*$C100/$D100</f>
        <v/>
      </c>
      <c r="IU100" s="55">
        <f>SUMIFS(tblBudget[Ore_Mined_t],tblBudget[Month],"&lt;"&amp;$E100)+$IT100</f>
        <v/>
      </c>
      <c r="IV100" s="55">
        <f>SUMIFS(tblBudget[Ore_oz],tblBudget[Month],$E100)</f>
        <v/>
      </c>
      <c r="IW100" s="55">
        <f>$IV100*$C100/$D100</f>
        <v/>
      </c>
      <c r="IX100" s="55">
        <f>SUMIFS(tblBudget[Ore_oz],tblBudget[Month],"&lt;"&amp;$E100)+$IW100</f>
        <v/>
      </c>
      <c r="IY100" s="55">
        <f>SUMIFS(tblBudget[Ore_Mined_t],tblBudget[Month],$E100)</f>
        <v/>
      </c>
      <c r="IZ100" s="55">
        <f>$IY100*$C100/$D100</f>
        <v/>
      </c>
      <c r="JA100" s="55">
        <f>SUMIFS(tblBudget[Ore_Mined_t],tblBudget[Month],"&lt;"&amp;$E100)+$IZ100</f>
        <v/>
      </c>
      <c r="JB100" s="56">
        <f>IFERROR(IF(($IY100)&gt;0,($IV100*cfg_TroyOz)/($IY100),""),"")</f>
        <v/>
      </c>
      <c r="JC100" s="56">
        <f>IFERROR(IF(($IZ100)&gt;0,($IW100*cfg_TroyOz)/($IZ100),""),"")</f>
        <v/>
      </c>
      <c r="JD100" s="56">
        <f>IFERROR(IF(($JA100)&gt;0,($IX100*cfg_TroyOz)/($JA100),""),"")</f>
        <v/>
      </c>
      <c r="JE100" s="55">
        <f>SUMIFS(tblBudget[Waste_t],tblBudget[Month],$E100)</f>
        <v/>
      </c>
      <c r="JF100" s="55">
        <f>$JE100*$C100/$D100</f>
        <v/>
      </c>
      <c r="JG100" s="55">
        <f>SUMIFS(tblBudget[Waste_t],tblBudget[Month],"&lt;"&amp;$E100)+$JF100</f>
        <v/>
      </c>
      <c r="JH100" s="55">
        <f>SUMIFS(tblBudget[TMM_t],tblBudget[Month],$E100)</f>
        <v/>
      </c>
      <c r="JI100" s="55">
        <f>$JH100*$C100/$D100</f>
        <v/>
      </c>
      <c r="JJ100" s="55">
        <f>SUMIFS(tblBudget[TMM_t],tblBudget[Month],"&lt;"&amp;$E100)+$JI100</f>
        <v/>
      </c>
      <c r="JK100" s="56">
        <f>IFERROR(IF(($IS100)&gt;0,($JE100)/($IS100),""),"")</f>
        <v/>
      </c>
      <c r="JL100" s="56">
        <f>IFERROR(IF(($IT100)&gt;0,($JF100)/($IT100),""),"")</f>
        <v/>
      </c>
      <c r="JM100" s="56">
        <f>IFERROR(IF(($IU100)&gt;0,($JG100)/($IU100),""),"")</f>
        <v/>
      </c>
      <c r="JN100" s="55">
        <f>SUMIFS(tblBudget[Drill_m],tblBudget[Month],$E100)</f>
        <v/>
      </c>
      <c r="JO100" s="55">
        <f>$JN100*$C100/$D100</f>
        <v/>
      </c>
      <c r="JP100" s="55">
        <f>SUMIFS(tblBudget[Drill_m],tblBudget[Month],"&lt;"&amp;$E100)+$JO100</f>
        <v/>
      </c>
      <c r="JQ100" s="55">
        <f>SUMIFS(tblBudget[Diesel_L],tblBudget[Month],$E100)</f>
        <v/>
      </c>
      <c r="JR100" s="55">
        <f>$JQ100*$C100/$D100</f>
        <v/>
      </c>
      <c r="JS100" s="55">
        <f>SUMIFS(tblBudget[Diesel_L],tblBudget[Month],"&lt;"&amp;$E100)+$JR100</f>
        <v/>
      </c>
      <c r="JT100" s="55">
        <f>SUMIFS(tblBudget[Milled_t],tblBudget[Month],$E100)</f>
        <v/>
      </c>
      <c r="JU100" s="55">
        <f>$JT100*$C100/$D100</f>
        <v/>
      </c>
      <c r="JV100" s="55">
        <f>SUMIFS(tblBudget[Milled_t],tblBudget[Month],"&lt;"&amp;$E100)+$JU100</f>
        <v/>
      </c>
      <c r="JW100" s="55">
        <f>SUMIFS(tblBudget[Feed_oz],tblBudget[Month],$E100)</f>
        <v/>
      </c>
      <c r="JX100" s="55">
        <f>$JW100*$C100/$D100</f>
        <v/>
      </c>
      <c r="JY100" s="55">
        <f>SUMIFS(tblBudget[Feed_oz],tblBudget[Month],"&lt;"&amp;$E100)+$JX100</f>
        <v/>
      </c>
      <c r="JZ100" s="55">
        <f>SUMIFS(tblBudget[Recovered_oz],tblBudget[Month],$E100)</f>
        <v/>
      </c>
      <c r="KA100" s="55">
        <f>$JZ100*$C100/$D100</f>
        <v/>
      </c>
      <c r="KB100" s="55">
        <f>SUMIFS(tblBudget[Recovered_oz],tblBudget[Month],"&lt;"&amp;$E100)+$KA100</f>
        <v/>
      </c>
      <c r="KC100" s="55">
        <f>SUMIFS(tblBudget[Milled_t],tblBudget[Month],$E100)</f>
        <v/>
      </c>
      <c r="KD100" s="55">
        <f>$KC100*$C100/$D100</f>
        <v/>
      </c>
      <c r="KE100" s="55">
        <f>SUMIFS(tblBudget[Milled_t],tblBudget[Month],"&lt;"&amp;$E100)+$KD100</f>
        <v/>
      </c>
      <c r="KF100" s="55">
        <f>SUMIFS(tblBudget[Feed_oz],tblBudget[Month],$E100)</f>
        <v/>
      </c>
      <c r="KG100" s="55">
        <f>$KF100*$C100/$D100</f>
        <v/>
      </c>
      <c r="KH100" s="55">
        <f>SUMIFS(tblBudget[Feed_oz],tblBudget[Month],"&lt;"&amp;$E100)+$KG100</f>
        <v/>
      </c>
      <c r="KI100" s="56">
        <f>IFERROR(IF(($KC100)&gt;0,($JW100*cfg_TroyOz)/($KC100),""),"")</f>
        <v/>
      </c>
      <c r="KJ100" s="56">
        <f>IFERROR(IF(($KD100)&gt;0,($JX100*cfg_TroyOz)/($KD100),""),"")</f>
        <v/>
      </c>
      <c r="KK100" s="56">
        <f>IFERROR(IF(($KE100)&gt;0,($JY100*cfg_TroyOz)/($KE100),""),"")</f>
        <v/>
      </c>
      <c r="KL100" s="67">
        <f>IFERROR(IF(($KF100)&gt;0,($JZ100)/($KF100),""),"")</f>
        <v/>
      </c>
      <c r="KM100" s="67">
        <f>IFERROR(IF(($KG100)&gt;0,($KA100)/($KG100),""),"")</f>
        <v/>
      </c>
      <c r="KN100" s="67">
        <f>IFERROR(IF(($KH100)&gt;0,($KB100)/($KH100),""),"")</f>
        <v/>
      </c>
      <c r="KO100" s="55">
        <f>SUMIFS(tblBudget[Gold_Poured_oz],tblBudget[Month],$E100)</f>
        <v/>
      </c>
      <c r="KP100" s="55">
        <f>$KO100*$C100/$D100</f>
        <v/>
      </c>
      <c r="KQ100" s="55">
        <f>SUMIFS(tblBudget[Gold_Poured_oz],tblBudget[Month],"&lt;"&amp;$E100)+$KP100</f>
        <v/>
      </c>
      <c r="KR100" s="57">
        <f>SUMIFS(tblBudget[Hours_Worked],tblBudget[Month],$E100)</f>
        <v/>
      </c>
      <c r="KS100" s="57">
        <f>$KR100*$C100/$D100</f>
        <v/>
      </c>
      <c r="KT100" s="57">
        <f>SUMIFS(tblBudget[Hours_Worked],tblBudget[Month],"&lt;"&amp;$E100)+$KS100</f>
        <v/>
      </c>
    </row>
    <row r="101">
      <c r="A101" s="54" t="n">
        <v>46122</v>
      </c>
      <c r="B101">
        <f>MONTH($A101)</f>
        <v/>
      </c>
      <c r="C101">
        <f>DAY($A101)</f>
        <v/>
      </c>
      <c r="D101">
        <f>DAY(EOMONTH($A101,0))</f>
        <v/>
      </c>
      <c r="E101" s="54">
        <f>DATE(YEAR($A101),MONTH($A101),1)</f>
        <v/>
      </c>
      <c r="F101" s="55">
        <f>SUMIFS(tblMovement[Tonnes_t],tblMovement[Date],$A101,tblMovement[Is_Ore],1,tblMovement[Source_Type],"Pit")</f>
        <v/>
      </c>
      <c r="G101" s="55">
        <f>IF($B101=$B100,$G100,0)+$F101</f>
        <v/>
      </c>
      <c r="H101" s="55">
        <f>$H100+$F101</f>
        <v/>
      </c>
      <c r="I101" s="55">
        <f>SUMIFS(tblMovement[Ore_oz],tblMovement[Date],$A101,tblMovement[Source_Type],"Pit")</f>
        <v/>
      </c>
      <c r="J101" s="55">
        <f>IF($B101=$B100,$J100,0)+$I101</f>
        <v/>
      </c>
      <c r="K101" s="55">
        <f>$K100+$I101</f>
        <v/>
      </c>
      <c r="L101" s="55">
        <f>SUMIFS(tblMovement[Tonnes_t],tblMovement[Date],$A101,tblMovement[Is_Ore],1,tblMovement[Source_Type],"Pit",tblMovement[Grade_gpt],"&lt;&gt;")</f>
        <v/>
      </c>
      <c r="M101" s="55">
        <f>IF($B101=$B100,$M100,0)+$L101</f>
        <v/>
      </c>
      <c r="N101" s="55">
        <f>$N100+$L101</f>
        <v/>
      </c>
      <c r="O101" s="56">
        <f>IFERROR(IF(($L101)&gt;0,($I101*cfg_TroyOz)/($L101),""),"")</f>
        <v/>
      </c>
      <c r="P101" s="56">
        <f>IFERROR(IF(($M101)&gt;0,($J101*cfg_TroyOz)/($M101),""),"")</f>
        <v/>
      </c>
      <c r="Q101" s="56">
        <f>IFERROR(IF(($N101)&gt;0,($K101*cfg_TroyOz)/($N101),""),"")</f>
        <v/>
      </c>
      <c r="R101" s="55">
        <f>$F101-$L101</f>
        <v/>
      </c>
      <c r="S101" s="55">
        <f>IF($B101=$B100,$S100,0)+$R101</f>
        <v/>
      </c>
      <c r="T101" s="55">
        <f>$T100+$R101</f>
        <v/>
      </c>
      <c r="U101" s="55">
        <f>SUMIFS(tblMovement[Tonnes_t],tblMovement[Date],$A101,tblMovement[Is_Ore],0,tblMovement[Source_Type],"Pit")</f>
        <v/>
      </c>
      <c r="V101" s="55">
        <f>IF($B101=$B100,$V100,0)+$U101</f>
        <v/>
      </c>
      <c r="W101" s="55">
        <f>$W100+$U101</f>
        <v/>
      </c>
      <c r="X101" s="55">
        <f>$F101+$U101</f>
        <v/>
      </c>
      <c r="Y101" s="55">
        <f>IF($B101=$B100,$Y100,0)+$X101</f>
        <v/>
      </c>
      <c r="Z101" s="55">
        <f>$Z100+$X101</f>
        <v/>
      </c>
      <c r="AA101" s="56">
        <f>IFERROR(IF(($F101)&gt;0,($U101)/($F101),""),"")</f>
        <v/>
      </c>
      <c r="AB101" s="56">
        <f>IFERROR(IF(($G101)&gt;0,($V101)/($G101),""),"")</f>
        <v/>
      </c>
      <c r="AC101" s="56">
        <f>IFERROR(IF(($H101)&gt;0,($W101)/($H101),""),"")</f>
        <v/>
      </c>
      <c r="AD101" s="55">
        <f>SUMIFS(tblMovement[Tonnes_t],tblMovement[Date],$A101,tblMovement[Source_Type],"Stockpile")</f>
        <v/>
      </c>
      <c r="AE101" s="55">
        <f>IF($B101=$B100,$AE100,0)+$AD101</f>
        <v/>
      </c>
      <c r="AF101" s="55">
        <f>$AF100+$AD101</f>
        <v/>
      </c>
      <c r="AG101" s="55">
        <f>SUMIFS(tblMovement[Tonnes_t],tblMovement[Date],$A101)</f>
        <v/>
      </c>
      <c r="AH101" s="55">
        <f>IF($B101=$B100,$AH100,0)+$AG101</f>
        <v/>
      </c>
      <c r="AI101" s="55">
        <f>$AI100+$AG101</f>
        <v/>
      </c>
      <c r="AJ101" s="55">
        <f>$AG101-$X101-$AD101</f>
        <v/>
      </c>
      <c r="AK101" s="55">
        <f>IF($B101=$B100,$AK100,0)+$AJ101</f>
        <v/>
      </c>
      <c r="AL101" s="55">
        <f>$AL100+$AJ101</f>
        <v/>
      </c>
      <c r="AM101" s="55">
        <f>SUMIFS(tblMiningDaily[Drill_m],tblMiningDaily[Date],$A101)</f>
        <v/>
      </c>
      <c r="AN101" s="55">
        <f>IF($B101=$B100,$AN100,0)+$AM101</f>
        <v/>
      </c>
      <c r="AO101" s="55">
        <f>$AO100+$AM101</f>
        <v/>
      </c>
      <c r="AP101" s="55">
        <f>SUMIFS(tblMiningDaily[GC_Drill_m],tblMiningDaily[Date],$A101)</f>
        <v/>
      </c>
      <c r="AQ101" s="55">
        <f>IF($B101=$B100,$AQ100,0)+$AP101</f>
        <v/>
      </c>
      <c r="AR101" s="55">
        <f>$AR100+$AP101</f>
        <v/>
      </c>
      <c r="AS101" s="55">
        <f>SUMIFS(tblMiningDaily[Blast_t],tblMiningDaily[Date],$A101)</f>
        <v/>
      </c>
      <c r="AT101" s="55">
        <f>IF($B101=$B100,$AT100,0)+$AS101</f>
        <v/>
      </c>
      <c r="AU101" s="55">
        <f>$AU100+$AS101</f>
        <v/>
      </c>
      <c r="AV101" s="55">
        <f>SUMIFS(tblMiningDaily[Explosives_kg],tblMiningDaily[Date],$A101)</f>
        <v/>
      </c>
      <c r="AW101" s="55">
        <f>IF($B101=$B100,$AW100,0)+$AV101</f>
        <v/>
      </c>
      <c r="AX101" s="55">
        <f>$AX100+$AV101</f>
        <v/>
      </c>
      <c r="AY101" s="56">
        <f>IFERROR(IF(($AS101)&gt;0,($AV101)/($AS101),""),"")</f>
        <v/>
      </c>
      <c r="AZ101" s="56">
        <f>IFERROR(IF(($AT101)&gt;0,($AW101)/($AT101),""),"")</f>
        <v/>
      </c>
      <c r="BA101" s="56">
        <f>IFERROR(IF(($AU101)&gt;0,($AX101)/($AU101),""),"")</f>
        <v/>
      </c>
      <c r="BB101" s="55">
        <f>SUMIFS(tblMiningDaily[Diesel_L],tblMiningDaily[Date],$A101)</f>
        <v/>
      </c>
      <c r="BC101" s="55">
        <f>IF($B101=$B100,$BC100,0)+$BB101</f>
        <v/>
      </c>
      <c r="BD101" s="55">
        <f>$BD100+$BB101</f>
        <v/>
      </c>
      <c r="BE101" s="55">
        <f>SUMIFS(tblMiningDaily[Dewatering_m3],tblMiningDaily[Date],$A101)</f>
        <v/>
      </c>
      <c r="BF101" s="55">
        <f>IF($B101=$B100,$BF100,0)+$BE101</f>
        <v/>
      </c>
      <c r="BG101" s="55">
        <f>$BG100+$BE101</f>
        <v/>
      </c>
      <c r="BH101" s="57">
        <f>SUMIFS(tblFleet[Calendar_h],tblFleet[Date],$A101,tblFleet[Equipment_Class],"Excavator")</f>
        <v/>
      </c>
      <c r="BI101" s="57">
        <f>IF($B101=$B100,$BI100,0)+$BH101</f>
        <v/>
      </c>
      <c r="BJ101" s="57">
        <f>$BJ100+$BH101</f>
        <v/>
      </c>
      <c r="BK101" s="57">
        <f>SUMIFS(tblFleet[Available_h],tblFleet[Date],$A101,tblFleet[Equipment_Class],"Excavator")</f>
        <v/>
      </c>
      <c r="BL101" s="57">
        <f>IF($B101=$B100,$BL100,0)+$BK101</f>
        <v/>
      </c>
      <c r="BM101" s="57">
        <f>$BM100+$BK101</f>
        <v/>
      </c>
      <c r="BN101" s="57">
        <f>SUMIFS(tblFleet[Operating_h],tblFleet[Date],$A101,tblFleet[Equipment_Class],"Excavator")</f>
        <v/>
      </c>
      <c r="BO101" s="57">
        <f>IF($B101=$B100,$BO100,0)+$BN101</f>
        <v/>
      </c>
      <c r="BP101" s="57">
        <f>$BP100+$BN101</f>
        <v/>
      </c>
      <c r="BQ101" s="67">
        <f>IFERROR(IF(($BH101)&gt;0,($BK101)/($BH101),""),"")</f>
        <v/>
      </c>
      <c r="BR101" s="67">
        <f>IFERROR(IF(($BI101)&gt;0,($BL101)/($BI101),""),"")</f>
        <v/>
      </c>
      <c r="BS101" s="67">
        <f>IFERROR(IF(($BJ101)&gt;0,($BM101)/($BJ101),""),"")</f>
        <v/>
      </c>
      <c r="BT101" s="67">
        <f>IFERROR(IF(($BK101)&gt;0,($BN101)/($BK101),""),"")</f>
        <v/>
      </c>
      <c r="BU101" s="67">
        <f>IFERROR(IF(($BL101)&gt;0,($BO101)/($BL101),""),"")</f>
        <v/>
      </c>
      <c r="BV101" s="67">
        <f>IFERROR(IF(($BM101)&gt;0,($BP101)/($BM101),""),"")</f>
        <v/>
      </c>
      <c r="BW101" s="57">
        <f>SUMIFS(tblFleet[Calendar_h],tblFleet[Date],$A101,tblFleet[Equipment_Class],"Haul Truck")</f>
        <v/>
      </c>
      <c r="BX101" s="57">
        <f>IF($B101=$B100,$BX100,0)+$BW101</f>
        <v/>
      </c>
      <c r="BY101" s="57">
        <f>$BY100+$BW101</f>
        <v/>
      </c>
      <c r="BZ101" s="57">
        <f>SUMIFS(tblFleet[Available_h],tblFleet[Date],$A101,tblFleet[Equipment_Class],"Haul Truck")</f>
        <v/>
      </c>
      <c r="CA101" s="57">
        <f>IF($B101=$B100,$CA100,0)+$BZ101</f>
        <v/>
      </c>
      <c r="CB101" s="57">
        <f>$CB100+$BZ101</f>
        <v/>
      </c>
      <c r="CC101" s="57">
        <f>SUMIFS(tblFleet[Operating_h],tblFleet[Date],$A101,tblFleet[Equipment_Class],"Haul Truck")</f>
        <v/>
      </c>
      <c r="CD101" s="57">
        <f>IF($B101=$B100,$CD100,0)+$CC101</f>
        <v/>
      </c>
      <c r="CE101" s="57">
        <f>$CE100+$CC101</f>
        <v/>
      </c>
      <c r="CF101" s="67">
        <f>IFERROR(IF(($BW101)&gt;0,($BZ101)/($BW101),""),"")</f>
        <v/>
      </c>
      <c r="CG101" s="67">
        <f>IFERROR(IF(($BX101)&gt;0,($CA101)/($BX101),""),"")</f>
        <v/>
      </c>
      <c r="CH101" s="67">
        <f>IFERROR(IF(($BY101)&gt;0,($CB101)/($BY101),""),"")</f>
        <v/>
      </c>
      <c r="CI101" s="67">
        <f>IFERROR(IF(($BZ101)&gt;0,($CC101)/($BZ101),""),"")</f>
        <v/>
      </c>
      <c r="CJ101" s="67">
        <f>IFERROR(IF(($CA101)&gt;0,($CD101)/($CA101),""),"")</f>
        <v/>
      </c>
      <c r="CK101" s="67">
        <f>IFERROR(IF(($CB101)&gt;0,($CE101)/($CB101),""),"")</f>
        <v/>
      </c>
      <c r="CL101" s="55">
        <f>IFERROR(IF(($BN101)&gt;0,($X101+$AD101)/($BN101),""),"")</f>
        <v/>
      </c>
      <c r="CM101" s="55">
        <f>IFERROR(IF(($BO101)&gt;0,($Y101+$AE101)/($BO101),""),"")</f>
        <v/>
      </c>
      <c r="CN101" s="55">
        <f>IFERROR(IF(($BP101)&gt;0,($Z101+$AF101)/($BP101),""),"")</f>
        <v/>
      </c>
      <c r="CO101" s="55">
        <f>IFERROR(IF(($CC101)&gt;0,($X101+$AD101)/($CC101),""),"")</f>
        <v/>
      </c>
      <c r="CP101" s="55">
        <f>IFERROR(IF(($CD101)&gt;0,($Y101+$AE101)/($CD101),""),"")</f>
        <v/>
      </c>
      <c r="CQ101" s="55">
        <f>IFERROR(IF(($CE101)&gt;0,($Z101+$AF101)/($CE101),""),"")</f>
        <v/>
      </c>
      <c r="CR101" s="55">
        <f>SUMIFS(tblPlant[Crushed_t],tblPlant[Date],$A101)</f>
        <v/>
      </c>
      <c r="CS101" s="55">
        <f>IF($B101=$B100,$CS100,0)+$CR101</f>
        <v/>
      </c>
      <c r="CT101" s="55">
        <f>$CT100+$CR101</f>
        <v/>
      </c>
      <c r="CU101" s="55">
        <f>SUMIFS(tblPlant[Milled_t],tblPlant[Date],$A101)</f>
        <v/>
      </c>
      <c r="CV101" s="55">
        <f>IF($B101=$B100,$CV100,0)+$CU101</f>
        <v/>
      </c>
      <c r="CW101" s="55">
        <f>$CW100+$CU101</f>
        <v/>
      </c>
      <c r="CX101" s="55">
        <f>SUMIFS(tblPlant[Feed_oz],tblPlant[Date],$A101)</f>
        <v/>
      </c>
      <c r="CY101" s="55">
        <f>IF($B101=$B100,$CY100,0)+$CX101</f>
        <v/>
      </c>
      <c r="CZ101" s="55">
        <f>$CZ100+$CX101</f>
        <v/>
      </c>
      <c r="DA101" s="55">
        <f>SUMIFS(tblPlant[Tails_oz],tblPlant[Date],$A101)</f>
        <v/>
      </c>
      <c r="DB101" s="55">
        <f>IF($B101=$B100,$DB100,0)+$DA101</f>
        <v/>
      </c>
      <c r="DC101" s="55">
        <f>$DC100+$DA101</f>
        <v/>
      </c>
      <c r="DD101" s="55">
        <f>SUMIFS(tblPlant[Recovered_oz],tblPlant[Date],$A101)</f>
        <v/>
      </c>
      <c r="DE101" s="55">
        <f>IF($B101=$B100,$DE100,0)+$DD101</f>
        <v/>
      </c>
      <c r="DF101" s="55">
        <f>$DF100+$DD101</f>
        <v/>
      </c>
      <c r="DG101" s="55">
        <f>SUMIFS(tblPlant[Milled_t],tblPlant[Date],$A101,tblPlant[Head_Grade_gpt],"&lt;&gt;")</f>
        <v/>
      </c>
      <c r="DH101" s="55">
        <f>IF($B101=$B100,$DH100,0)+$DG101</f>
        <v/>
      </c>
      <c r="DI101" s="55">
        <f>$DI100+$DG101</f>
        <v/>
      </c>
      <c r="DJ101" s="55">
        <f>SUMIFS(tblPlant[Milled_t],tblPlant[Date],$A101,tblPlant[Tails_Grade_gpt],"&lt;&gt;")</f>
        <v/>
      </c>
      <c r="DK101" s="55">
        <f>IF($B101=$B100,$DK100,0)+$DJ101</f>
        <v/>
      </c>
      <c r="DL101" s="55">
        <f>$DL100+$DJ101</f>
        <v/>
      </c>
      <c r="DM101" s="55">
        <f>SUMIFS(tblPlant[Feed_oz],tblPlant[Date],$A101,tblPlant[Tails_Grade_gpt],"&lt;&gt;")</f>
        <v/>
      </c>
      <c r="DN101" s="55">
        <f>IF($B101=$B100,$DN100,0)+$DM101</f>
        <v/>
      </c>
      <c r="DO101" s="55">
        <f>$DO100+$DM101</f>
        <v/>
      </c>
      <c r="DP101" s="55">
        <f>SUMIFS(tblPlant[Milled_t],tblPlant[Date],$A101,tblPlant[Mill_Run_h],"&lt;&gt;")</f>
        <v/>
      </c>
      <c r="DQ101" s="55">
        <f>IF($B101=$B100,$DQ100,0)+$DP101</f>
        <v/>
      </c>
      <c r="DR101" s="55">
        <f>$DR100+$DP101</f>
        <v/>
      </c>
      <c r="DS101" s="56">
        <f>IFERROR(IF(($DG101)&gt;0,($CX101*cfg_TroyOz)/($DG101),""),"")</f>
        <v/>
      </c>
      <c r="DT101" s="56">
        <f>IFERROR(IF(($DH101)&gt;0,($CY101*cfg_TroyOz)/($DH101),""),"")</f>
        <v/>
      </c>
      <c r="DU101" s="56">
        <f>IFERROR(IF(($DI101)&gt;0,($CZ101*cfg_TroyOz)/($DI101),""),"")</f>
        <v/>
      </c>
      <c r="DV101" s="56">
        <f>IFERROR(IF(($DJ101)&gt;0,($DA101*cfg_TroyOz)/($DJ101),""),"")</f>
        <v/>
      </c>
      <c r="DW101" s="56">
        <f>IFERROR(IF(($DK101)&gt;0,($DB101*cfg_TroyOz)/($DK101),""),"")</f>
        <v/>
      </c>
      <c r="DX101" s="56">
        <f>IFERROR(IF(($DL101)&gt;0,($DC101*cfg_TroyOz)/($DL101),""),"")</f>
        <v/>
      </c>
      <c r="DY101" s="67">
        <f>IFERROR(IF(($DM101)&gt;0,($DD101)/($DM101),""),"")</f>
        <v/>
      </c>
      <c r="DZ101" s="67">
        <f>IFERROR(IF(($DN101)&gt;0,($DE101)/($DN101),""),"")</f>
        <v/>
      </c>
      <c r="EA101" s="67">
        <f>IFERROR(IF(($DO101)&gt;0,($DF101)/($DO101),""),"")</f>
        <v/>
      </c>
      <c r="EB101" s="55">
        <f>SUMIFS(tblPlant[Gravity_Gold_oz],tblPlant[Date],$A101)</f>
        <v/>
      </c>
      <c r="EC101" s="55">
        <f>IF($B101=$B100,$EC100,0)+$EB101</f>
        <v/>
      </c>
      <c r="ED101" s="55">
        <f>$ED100+$EB101</f>
        <v/>
      </c>
      <c r="EE101" s="67">
        <f>IFERROR(IF(($DD101)&gt;0,($EB101)/($DD101),""),"")</f>
        <v/>
      </c>
      <c r="EF101" s="67">
        <f>IFERROR(IF(($DE101)&gt;0,($EC101)/($DE101),""),"")</f>
        <v/>
      </c>
      <c r="EG101" s="67">
        <f>IFERROR(IF(($DF101)&gt;0,($ED101)/($DF101),""),"")</f>
        <v/>
      </c>
      <c r="EH101" s="55">
        <f>SUMIFS(tblPlant[Gold_Poured_oz],tblPlant[Date],$A101)</f>
        <v/>
      </c>
      <c r="EI101" s="55">
        <f>IF($B101=$B100,$EI100,0)+$EH101</f>
        <v/>
      </c>
      <c r="EJ101" s="55">
        <f>$EJ100+$EH101</f>
        <v/>
      </c>
      <c r="EK101" s="57">
        <f>SUMIFS(tblPlant[Mill_Run_h],tblPlant[Date],$A101)</f>
        <v/>
      </c>
      <c r="EL101" s="57">
        <f>IF($B101=$B100,$EL100,0)+$EK101</f>
        <v/>
      </c>
      <c r="EM101" s="57">
        <f>$EM100+$EK101</f>
        <v/>
      </c>
      <c r="EN101" s="57">
        <f>SUMIFS(tblPlant[Mill_Planned_Maint_h],tblPlant[Date],$A101)</f>
        <v/>
      </c>
      <c r="EO101" s="57">
        <f>IF($B101=$B100,$EO100,0)+$EN101</f>
        <v/>
      </c>
      <c r="EP101" s="57">
        <f>$EP100+$EN101</f>
        <v/>
      </c>
      <c r="EQ101" s="57">
        <f>SUMIFS(tblPlant[Mill_Unplanned_Down_h],tblPlant[Date],$A101)</f>
        <v/>
      </c>
      <c r="ER101" s="57">
        <f>IF($B101=$B100,$ER100,0)+$EQ101</f>
        <v/>
      </c>
      <c r="ES101" s="57">
        <f>$ES100+$EQ101</f>
        <v/>
      </c>
      <c r="ET101" s="57">
        <f>IF(COUNTIFS(tblPlant[Date],$A101,tblPlant[Mill_Run_h],"&lt;&gt;")+COUNTIFS(tblPlant[Date],$A101,tblPlant[Mill_Planned_Maint_h],"&lt;&gt;")+COUNTIFS(tblPlant[Date],$A101,tblPlant[Mill_Unplanned_Down_h],"&lt;&gt;")&gt;0,cfg_HoursPerDay,0)</f>
        <v/>
      </c>
      <c r="EU101" s="57">
        <f>IF($B101=$B100,$EU100,0)+$ET101</f>
        <v/>
      </c>
      <c r="EV101" s="57">
        <f>$EV100+$ET101</f>
        <v/>
      </c>
      <c r="EW101" s="57">
        <f>SUMIFS(tblPlant[Crusher_Run_h],tblPlant[Date],$A101)</f>
        <v/>
      </c>
      <c r="EX101" s="57">
        <f>IF($B101=$B100,$EX100,0)+$EW101</f>
        <v/>
      </c>
      <c r="EY101" s="57">
        <f>$EY100+$EW101</f>
        <v/>
      </c>
      <c r="EZ101" s="55">
        <f>IFERROR(IF(($EK101)&gt;0,($DP101)/($EK101),""),"")</f>
        <v/>
      </c>
      <c r="FA101" s="55">
        <f>IFERROR(IF(($EL101)&gt;0,($DQ101)/($EL101),""),"")</f>
        <v/>
      </c>
      <c r="FB101" s="55">
        <f>IFERROR(IF(($EM101)&gt;0,($DR101)/($EM101),""),"")</f>
        <v/>
      </c>
      <c r="FC101" s="67">
        <f>IFERROR(IF(($ET101)&gt;0,($ET101-$EN101-$EQ101)/($ET101),""),"")</f>
        <v/>
      </c>
      <c r="FD101" s="67">
        <f>IFERROR(IF(($EU101)&gt;0,($EU101-$EO101-$ER101)/($EU101),""),"")</f>
        <v/>
      </c>
      <c r="FE101" s="67">
        <f>IFERROR(IF(($EV101)&gt;0,($EV101-$EP101-$ES101)/($EV101),""),"")</f>
        <v/>
      </c>
      <c r="FF101" s="67">
        <f>IFERROR(IF(($ET101-$EN101-$EQ101)&gt;0,($EK101)/($ET101-$EN101-$EQ101),""),"")</f>
        <v/>
      </c>
      <c r="FG101" s="67">
        <f>IFERROR(IF(($EU101-$EO101-$ER101)&gt;0,($EL101)/($EU101-$EO101-$ER101),""),"")</f>
        <v/>
      </c>
      <c r="FH101" s="67">
        <f>IFERROR(IF(($EV101-$EP101-$ES101)&gt;0,($EM101)/($EV101-$EP101-$ES101),""),"")</f>
        <v/>
      </c>
      <c r="FI101" s="55">
        <f>SUMIFS(tblPlant[Cyanide_kg],tblPlant[Date],$A101)</f>
        <v/>
      </c>
      <c r="FJ101" s="55">
        <f>IF($B101=$B100,$FJ100,0)+$FI101</f>
        <v/>
      </c>
      <c r="FK101" s="55">
        <f>$FK100+$FI101</f>
        <v/>
      </c>
      <c r="FL101" s="55">
        <f>SUMIFS(tblPlant[Lime_kg],tblPlant[Date],$A101)</f>
        <v/>
      </c>
      <c r="FM101" s="55">
        <f>IF($B101=$B100,$FM100,0)+$FL101</f>
        <v/>
      </c>
      <c r="FN101" s="55">
        <f>$FN100+$FL101</f>
        <v/>
      </c>
      <c r="FO101" s="55">
        <f>SUMIFS(tblPlant[Grinding_Media_kg],tblPlant[Date],$A101)</f>
        <v/>
      </c>
      <c r="FP101" s="55">
        <f>IF($B101=$B100,$FP100,0)+$FO101</f>
        <v/>
      </c>
      <c r="FQ101" s="55">
        <f>$FQ100+$FO101</f>
        <v/>
      </c>
      <c r="FR101" s="55">
        <f>SUMIFS(tblPlant[Power_kWh],tblPlant[Date],$A101)</f>
        <v/>
      </c>
      <c r="FS101" s="55">
        <f>IF($B101=$B100,$FS100,0)+$FR101</f>
        <v/>
      </c>
      <c r="FT101" s="55">
        <f>$FT100+$FR101</f>
        <v/>
      </c>
      <c r="FU101" s="55">
        <f>SUMIFS(tblPlant[Raw_Water_m3],tblPlant[Date],$A101)</f>
        <v/>
      </c>
      <c r="FV101" s="55">
        <f>IF($B101=$B100,$FV100,0)+$FU101</f>
        <v/>
      </c>
      <c r="FW101" s="55">
        <f>$FW100+$FU101</f>
        <v/>
      </c>
      <c r="FX101" s="56">
        <f>IFERROR(IF(($CU101)&gt;0,($FI101)/($CU101),""),"")</f>
        <v/>
      </c>
      <c r="FY101" s="56">
        <f>IFERROR(IF(($CV101)&gt;0,($FJ101)/($CV101),""),"")</f>
        <v/>
      </c>
      <c r="FZ101" s="56">
        <f>IFERROR(IF(($CW101)&gt;0,($FK101)/($CW101),""),"")</f>
        <v/>
      </c>
      <c r="GA101" s="56">
        <f>IFERROR(IF(($CU101)&gt;0,($FL101)/($CU101),""),"")</f>
        <v/>
      </c>
      <c r="GB101" s="56">
        <f>IFERROR(IF(($CV101)&gt;0,($FM101)/($CV101),""),"")</f>
        <v/>
      </c>
      <c r="GC101" s="56">
        <f>IFERROR(IF(($CW101)&gt;0,($FN101)/($CW101),""),"")</f>
        <v/>
      </c>
      <c r="GD101" s="56">
        <f>IFERROR(IF(($CU101)&gt;0,($FO101)/($CU101),""),"")</f>
        <v/>
      </c>
      <c r="GE101" s="56">
        <f>IFERROR(IF(($CV101)&gt;0,($FP101)/($CV101),""),"")</f>
        <v/>
      </c>
      <c r="GF101" s="56">
        <f>IFERROR(IF(($CW101)&gt;0,($FQ101)/($CW101),""),"")</f>
        <v/>
      </c>
      <c r="GG101" s="79">
        <f>IFERROR(IF(($CU101)&gt;0,($FR101)/($CU101),""),"")</f>
        <v/>
      </c>
      <c r="GH101" s="79">
        <f>IFERROR(IF(($CV101)&gt;0,($FS101)/($CV101),""),"")</f>
        <v/>
      </c>
      <c r="GI101" s="79">
        <f>IFERROR(IF(($CW101)&gt;0,($FT101)/($CW101),""),"")</f>
        <v/>
      </c>
      <c r="GJ101" s="56">
        <f>IFERROR(IF(($CU101)&gt;0,($FU101)/($CU101),""),"")</f>
        <v/>
      </c>
      <c r="GK101" s="56">
        <f>IFERROR(IF(($CV101)&gt;0,($FV101)/($CV101),""),"")</f>
        <v/>
      </c>
      <c r="GL101" s="56">
        <f>IFERROR(IF(($CW101)&gt;0,($FW101)/($CW101),""),"")</f>
        <v/>
      </c>
      <c r="GM101" s="55">
        <f>IF(SUMIFS(tblPlant[GIC_oz],tblPlant[Date],$A101)&gt;0,SUMIFS(tblPlant[GIC_oz],tblPlant[Date],$A101),"")</f>
        <v/>
      </c>
      <c r="GN101" s="55">
        <f>SUMIFS(tblGold[Gold_oz],tblGold[Date],$A101,tblGold[Type],"Shipment")</f>
        <v/>
      </c>
      <c r="GO101" s="55">
        <f>IF($B101=$B100,$GO100,0)+$GN101</f>
        <v/>
      </c>
      <c r="GP101" s="55">
        <f>$GP100+$GN101</f>
        <v/>
      </c>
      <c r="GQ101" s="55">
        <f>SUMIFS(tblGold[Gold_oz],tblGold[Date],$A101,tblGold[Type],"Sale")</f>
        <v/>
      </c>
      <c r="GR101" s="55">
        <f>IF($B101=$B100,$GR100,0)+$GQ101</f>
        <v/>
      </c>
      <c r="GS101" s="55">
        <f>$GS100+$GQ101</f>
        <v/>
      </c>
      <c r="GT101" s="55">
        <f>SUMIFS(tblGold[Dore_kg],tblGold[Date],$A101,tblGold[Type],"Shipment")</f>
        <v/>
      </c>
      <c r="GU101" s="55">
        <f>IF($B101=$B100,$GU100,0)+$GT101</f>
        <v/>
      </c>
      <c r="GV101" s="55">
        <f>$GV100+$GT101</f>
        <v/>
      </c>
      <c r="GW101" s="57">
        <f>SUMIFS(tblSafety[Hours_Total],tblSafety[Date],$A101)</f>
        <v/>
      </c>
      <c r="GX101" s="57">
        <f>IF($B101=$B100,$GX100,0)+$GW101</f>
        <v/>
      </c>
      <c r="GY101" s="57">
        <f>$GY100+$GW101</f>
        <v/>
      </c>
      <c r="GZ101" s="62">
        <f>SUMIFS(tblSafety[Fatality],tblSafety[Date],$A101)</f>
        <v/>
      </c>
      <c r="HA101" s="62">
        <f>IF($B101=$B100,$HA100,0)+$GZ101</f>
        <v/>
      </c>
      <c r="HB101" s="62">
        <f>$HB100+$GZ101</f>
        <v/>
      </c>
      <c r="HC101" s="62">
        <f>SUMIFS(tblSafety[LTI],tblSafety[Date],$A101)</f>
        <v/>
      </c>
      <c r="HD101" s="62">
        <f>IF($B101=$B100,$HD100,0)+$HC101</f>
        <v/>
      </c>
      <c r="HE101" s="62">
        <f>$HE100+$HC101</f>
        <v/>
      </c>
      <c r="HF101" s="62">
        <f>SUMIFS(tblSafety[RWI],tblSafety[Date],$A101)</f>
        <v/>
      </c>
      <c r="HG101" s="62">
        <f>IF($B101=$B100,$HG100,0)+$HF101</f>
        <v/>
      </c>
      <c r="HH101" s="62">
        <f>$HH100+$HF101</f>
        <v/>
      </c>
      <c r="HI101" s="62">
        <f>SUMIFS(tblSafety[MTI],tblSafety[Date],$A101)</f>
        <v/>
      </c>
      <c r="HJ101" s="62">
        <f>IF($B101=$B100,$HJ100,0)+$HI101</f>
        <v/>
      </c>
      <c r="HK101" s="62">
        <f>$HK100+$HI101</f>
        <v/>
      </c>
      <c r="HL101" s="62">
        <f>SUMIFS(tblSafety[FAI],tblSafety[Date],$A101)</f>
        <v/>
      </c>
      <c r="HM101" s="62">
        <f>IF($B101=$B100,$HM100,0)+$HL101</f>
        <v/>
      </c>
      <c r="HN101" s="62">
        <f>$HN100+$HL101</f>
        <v/>
      </c>
      <c r="HO101" s="62">
        <f>SUMIFS(tblSafety[Recordables],tblSafety[Date],$A101)</f>
        <v/>
      </c>
      <c r="HP101" s="62">
        <f>IF($B101=$B100,$HP100,0)+$HO101</f>
        <v/>
      </c>
      <c r="HQ101" s="62">
        <f>$HQ100+$HO101</f>
        <v/>
      </c>
      <c r="HR101" s="62">
        <f>SUMIFS(tblSafety[Near_Miss],tblSafety[Date],$A101)</f>
        <v/>
      </c>
      <c r="HS101" s="62">
        <f>IF($B101=$B100,$HS100,0)+$HR101</f>
        <v/>
      </c>
      <c r="HT101" s="62">
        <f>$HT100+$HR101</f>
        <v/>
      </c>
      <c r="HU101" s="62">
        <f>SUMIFS(tblSafety[Hazard_Reports],tblSafety[Date],$A101)</f>
        <v/>
      </c>
      <c r="HV101" s="62">
        <f>IF($B101=$B100,$HV100,0)+$HU101</f>
        <v/>
      </c>
      <c r="HW101" s="62">
        <f>$HW100+$HU101</f>
        <v/>
      </c>
      <c r="HX101" s="62">
        <f>SUMIFS(tblSafety[HPI],tblSafety[Date],$A101)</f>
        <v/>
      </c>
      <c r="HY101" s="62">
        <f>IF($B101=$B100,$HY100,0)+$HX101</f>
        <v/>
      </c>
      <c r="HZ101" s="62">
        <f>$HZ100+$HX101</f>
        <v/>
      </c>
      <c r="IA101" s="62">
        <f>SUMIFS(tblSafety[Env_Incidents],tblSafety[Date],$A101)</f>
        <v/>
      </c>
      <c r="IB101" s="62">
        <f>IF($B101=$B100,$IB100,0)+$IA101</f>
        <v/>
      </c>
      <c r="IC101" s="62">
        <f>$IC100+$IA101</f>
        <v/>
      </c>
      <c r="ID101" s="62">
        <f>SUMIFS(tblSafety[Community_Incidents],tblSafety[Date],$A101)</f>
        <v/>
      </c>
      <c r="IE101" s="62">
        <f>IF($B101=$B100,$IE100,0)+$ID101</f>
        <v/>
      </c>
      <c r="IF101" s="62">
        <f>$IF100+$ID101</f>
        <v/>
      </c>
      <c r="IG101" s="62">
        <f>SUMIFS(tblSafety[Vehicle_Incidents],tblSafety[Date],$A101)</f>
        <v/>
      </c>
      <c r="IH101" s="62">
        <f>IF($B101=$B100,$IH100,0)+$IG101</f>
        <v/>
      </c>
      <c r="II101" s="62">
        <f>$II100+$IG101</f>
        <v/>
      </c>
      <c r="IJ101" s="62">
        <f>SUMIFS(tblSafety[Toolbox_Talks],tblSafety[Date],$A101)</f>
        <v/>
      </c>
      <c r="IK101" s="62">
        <f>IF($B101=$B100,$IK100,0)+$IJ101</f>
        <v/>
      </c>
      <c r="IL101" s="62">
        <f>$IL100+$IJ101</f>
        <v/>
      </c>
      <c r="IM101" s="62">
        <f>SUMIFS(tblSafety[Inspections],tblSafety[Date],$A101)</f>
        <v/>
      </c>
      <c r="IN101" s="62">
        <f>IF($B101=$B100,$IN100,0)+$IM101</f>
        <v/>
      </c>
      <c r="IO101" s="62">
        <f>$IO100+$IM101</f>
        <v/>
      </c>
      <c r="IP101" s="56">
        <f>IFERROR((SUMIFS(tblSafety[Recordables],tblSafety[Date],"&gt;="&amp;EDATE($E101,-12),tblSafety[Date],"&lt;="&amp;$A101)+SUMIFS(tblSafetyHistory[Recordables],tblSafetyHistory[Month],"&gt;="&amp;EDATE($E101,-12),tblSafetyHistory[Month],"&lt;"&amp;$E101,tblSafetyHistory[Use],1))/(SUMIFS(tblSafety[Hours_Total],tblSafety[Date],"&gt;="&amp;EDATE($E101,-12),tblSafety[Date],"&lt;="&amp;$A101)+SUMIFS(tblSafetyHistory[Hours_Total],tblSafetyHistory[Month],"&gt;="&amp;EDATE($E101,-12),tblSafetyHistory[Month],"&lt;"&amp;$E101,tblSafetyHistory[Use],1))*cfg_RateBasisHours,"")</f>
        <v/>
      </c>
      <c r="IQ101" s="56">
        <f>IFERROR((SUMIFS(tblSafety[LTI],tblSafety[Date],"&gt;="&amp;EDATE($E101,-12),tblSafety[Date],"&lt;="&amp;$A101)+SUMIFS(tblSafetyHistory[LTI],tblSafetyHistory[Month],"&gt;="&amp;EDATE($E101,-12),tblSafetyHistory[Month],"&lt;"&amp;$E101,tblSafetyHistory[Use],1))/(SUMIFS(tblSafety[Hours_Total],tblSafety[Date],"&gt;="&amp;EDATE($E101,-12),tblSafety[Date],"&lt;="&amp;$A101)+SUMIFS(tblSafetyHistory[Hours_Total],tblSafetyHistory[Month],"&gt;="&amp;EDATE($E101,-12),tblSafetyHistory[Month],"&lt;"&amp;$E101,tblSafetyHistory[Use],1))*cfg_RateBasisHours,"")</f>
        <v/>
      </c>
      <c r="IR101" s="62">
        <f>IF(MAX(N(cfg_PriorLTIDate),_xlfn.MAXIFS(tblSafety[Date],tblSafety[LTI],"&gt;0",tblSafety[Date],"&lt;="&amp;$A101))=0,"",$A101-MAX(N(cfg_PriorLTIDate),_xlfn.MAXIFS(tblSafety[Date],tblSafety[LTI],"&gt;0",tblSafety[Date],"&lt;="&amp;$A101)))</f>
        <v/>
      </c>
      <c r="IS101" s="55">
        <f>SUMIFS(tblBudget[Ore_Mined_t],tblBudget[Month],$E101)</f>
        <v/>
      </c>
      <c r="IT101" s="55">
        <f>$IS101*$C101/$D101</f>
        <v/>
      </c>
      <c r="IU101" s="55">
        <f>SUMIFS(tblBudget[Ore_Mined_t],tblBudget[Month],"&lt;"&amp;$E101)+$IT101</f>
        <v/>
      </c>
      <c r="IV101" s="55">
        <f>SUMIFS(tblBudget[Ore_oz],tblBudget[Month],$E101)</f>
        <v/>
      </c>
      <c r="IW101" s="55">
        <f>$IV101*$C101/$D101</f>
        <v/>
      </c>
      <c r="IX101" s="55">
        <f>SUMIFS(tblBudget[Ore_oz],tblBudget[Month],"&lt;"&amp;$E101)+$IW101</f>
        <v/>
      </c>
      <c r="IY101" s="55">
        <f>SUMIFS(tblBudget[Ore_Mined_t],tblBudget[Month],$E101)</f>
        <v/>
      </c>
      <c r="IZ101" s="55">
        <f>$IY101*$C101/$D101</f>
        <v/>
      </c>
      <c r="JA101" s="55">
        <f>SUMIFS(tblBudget[Ore_Mined_t],tblBudget[Month],"&lt;"&amp;$E101)+$IZ101</f>
        <v/>
      </c>
      <c r="JB101" s="56">
        <f>IFERROR(IF(($IY101)&gt;0,($IV101*cfg_TroyOz)/($IY101),""),"")</f>
        <v/>
      </c>
      <c r="JC101" s="56">
        <f>IFERROR(IF(($IZ101)&gt;0,($IW101*cfg_TroyOz)/($IZ101),""),"")</f>
        <v/>
      </c>
      <c r="JD101" s="56">
        <f>IFERROR(IF(($JA101)&gt;0,($IX101*cfg_TroyOz)/($JA101),""),"")</f>
        <v/>
      </c>
      <c r="JE101" s="55">
        <f>SUMIFS(tblBudget[Waste_t],tblBudget[Month],$E101)</f>
        <v/>
      </c>
      <c r="JF101" s="55">
        <f>$JE101*$C101/$D101</f>
        <v/>
      </c>
      <c r="JG101" s="55">
        <f>SUMIFS(tblBudget[Waste_t],tblBudget[Month],"&lt;"&amp;$E101)+$JF101</f>
        <v/>
      </c>
      <c r="JH101" s="55">
        <f>SUMIFS(tblBudget[TMM_t],tblBudget[Month],$E101)</f>
        <v/>
      </c>
      <c r="JI101" s="55">
        <f>$JH101*$C101/$D101</f>
        <v/>
      </c>
      <c r="JJ101" s="55">
        <f>SUMIFS(tblBudget[TMM_t],tblBudget[Month],"&lt;"&amp;$E101)+$JI101</f>
        <v/>
      </c>
      <c r="JK101" s="56">
        <f>IFERROR(IF(($IS101)&gt;0,($JE101)/($IS101),""),"")</f>
        <v/>
      </c>
      <c r="JL101" s="56">
        <f>IFERROR(IF(($IT101)&gt;0,($JF101)/($IT101),""),"")</f>
        <v/>
      </c>
      <c r="JM101" s="56">
        <f>IFERROR(IF(($IU101)&gt;0,($JG101)/($IU101),""),"")</f>
        <v/>
      </c>
      <c r="JN101" s="55">
        <f>SUMIFS(tblBudget[Drill_m],tblBudget[Month],$E101)</f>
        <v/>
      </c>
      <c r="JO101" s="55">
        <f>$JN101*$C101/$D101</f>
        <v/>
      </c>
      <c r="JP101" s="55">
        <f>SUMIFS(tblBudget[Drill_m],tblBudget[Month],"&lt;"&amp;$E101)+$JO101</f>
        <v/>
      </c>
      <c r="JQ101" s="55">
        <f>SUMIFS(tblBudget[Diesel_L],tblBudget[Month],$E101)</f>
        <v/>
      </c>
      <c r="JR101" s="55">
        <f>$JQ101*$C101/$D101</f>
        <v/>
      </c>
      <c r="JS101" s="55">
        <f>SUMIFS(tblBudget[Diesel_L],tblBudget[Month],"&lt;"&amp;$E101)+$JR101</f>
        <v/>
      </c>
      <c r="JT101" s="55">
        <f>SUMIFS(tblBudget[Milled_t],tblBudget[Month],$E101)</f>
        <v/>
      </c>
      <c r="JU101" s="55">
        <f>$JT101*$C101/$D101</f>
        <v/>
      </c>
      <c r="JV101" s="55">
        <f>SUMIFS(tblBudget[Milled_t],tblBudget[Month],"&lt;"&amp;$E101)+$JU101</f>
        <v/>
      </c>
      <c r="JW101" s="55">
        <f>SUMIFS(tblBudget[Feed_oz],tblBudget[Month],$E101)</f>
        <v/>
      </c>
      <c r="JX101" s="55">
        <f>$JW101*$C101/$D101</f>
        <v/>
      </c>
      <c r="JY101" s="55">
        <f>SUMIFS(tblBudget[Feed_oz],tblBudget[Month],"&lt;"&amp;$E101)+$JX101</f>
        <v/>
      </c>
      <c r="JZ101" s="55">
        <f>SUMIFS(tblBudget[Recovered_oz],tblBudget[Month],$E101)</f>
        <v/>
      </c>
      <c r="KA101" s="55">
        <f>$JZ101*$C101/$D101</f>
        <v/>
      </c>
      <c r="KB101" s="55">
        <f>SUMIFS(tblBudget[Recovered_oz],tblBudget[Month],"&lt;"&amp;$E101)+$KA101</f>
        <v/>
      </c>
      <c r="KC101" s="55">
        <f>SUMIFS(tblBudget[Milled_t],tblBudget[Month],$E101)</f>
        <v/>
      </c>
      <c r="KD101" s="55">
        <f>$KC101*$C101/$D101</f>
        <v/>
      </c>
      <c r="KE101" s="55">
        <f>SUMIFS(tblBudget[Milled_t],tblBudget[Month],"&lt;"&amp;$E101)+$KD101</f>
        <v/>
      </c>
      <c r="KF101" s="55">
        <f>SUMIFS(tblBudget[Feed_oz],tblBudget[Month],$E101)</f>
        <v/>
      </c>
      <c r="KG101" s="55">
        <f>$KF101*$C101/$D101</f>
        <v/>
      </c>
      <c r="KH101" s="55">
        <f>SUMIFS(tblBudget[Feed_oz],tblBudget[Month],"&lt;"&amp;$E101)+$KG101</f>
        <v/>
      </c>
      <c r="KI101" s="56">
        <f>IFERROR(IF(($KC101)&gt;0,($JW101*cfg_TroyOz)/($KC101),""),"")</f>
        <v/>
      </c>
      <c r="KJ101" s="56">
        <f>IFERROR(IF(($KD101)&gt;0,($JX101*cfg_TroyOz)/($KD101),""),"")</f>
        <v/>
      </c>
      <c r="KK101" s="56">
        <f>IFERROR(IF(($KE101)&gt;0,($JY101*cfg_TroyOz)/($KE101),""),"")</f>
        <v/>
      </c>
      <c r="KL101" s="67">
        <f>IFERROR(IF(($KF101)&gt;0,($JZ101)/($KF101),""),"")</f>
        <v/>
      </c>
      <c r="KM101" s="67">
        <f>IFERROR(IF(($KG101)&gt;0,($KA101)/($KG101),""),"")</f>
        <v/>
      </c>
      <c r="KN101" s="67">
        <f>IFERROR(IF(($KH101)&gt;0,($KB101)/($KH101),""),"")</f>
        <v/>
      </c>
      <c r="KO101" s="55">
        <f>SUMIFS(tblBudget[Gold_Poured_oz],tblBudget[Month],$E101)</f>
        <v/>
      </c>
      <c r="KP101" s="55">
        <f>$KO101*$C101/$D101</f>
        <v/>
      </c>
      <c r="KQ101" s="55">
        <f>SUMIFS(tblBudget[Gold_Poured_oz],tblBudget[Month],"&lt;"&amp;$E101)+$KP101</f>
        <v/>
      </c>
      <c r="KR101" s="57">
        <f>SUMIFS(tblBudget[Hours_Worked],tblBudget[Month],$E101)</f>
        <v/>
      </c>
      <c r="KS101" s="57">
        <f>$KR101*$C101/$D101</f>
        <v/>
      </c>
      <c r="KT101" s="57">
        <f>SUMIFS(tblBudget[Hours_Worked],tblBudget[Month],"&lt;"&amp;$E101)+$KS101</f>
        <v/>
      </c>
    </row>
    <row r="102">
      <c r="A102" s="54" t="n">
        <v>46123</v>
      </c>
      <c r="B102">
        <f>MONTH($A102)</f>
        <v/>
      </c>
      <c r="C102">
        <f>DAY($A102)</f>
        <v/>
      </c>
      <c r="D102">
        <f>DAY(EOMONTH($A102,0))</f>
        <v/>
      </c>
      <c r="E102" s="54">
        <f>DATE(YEAR($A102),MONTH($A102),1)</f>
        <v/>
      </c>
      <c r="F102" s="55">
        <f>SUMIFS(tblMovement[Tonnes_t],tblMovement[Date],$A102,tblMovement[Is_Ore],1,tblMovement[Source_Type],"Pit")</f>
        <v/>
      </c>
      <c r="G102" s="55">
        <f>IF($B102=$B101,$G101,0)+$F102</f>
        <v/>
      </c>
      <c r="H102" s="55">
        <f>$H101+$F102</f>
        <v/>
      </c>
      <c r="I102" s="55">
        <f>SUMIFS(tblMovement[Ore_oz],tblMovement[Date],$A102,tblMovement[Source_Type],"Pit")</f>
        <v/>
      </c>
      <c r="J102" s="55">
        <f>IF($B102=$B101,$J101,0)+$I102</f>
        <v/>
      </c>
      <c r="K102" s="55">
        <f>$K101+$I102</f>
        <v/>
      </c>
      <c r="L102" s="55">
        <f>SUMIFS(tblMovement[Tonnes_t],tblMovement[Date],$A102,tblMovement[Is_Ore],1,tblMovement[Source_Type],"Pit",tblMovement[Grade_gpt],"&lt;&gt;")</f>
        <v/>
      </c>
      <c r="M102" s="55">
        <f>IF($B102=$B101,$M101,0)+$L102</f>
        <v/>
      </c>
      <c r="N102" s="55">
        <f>$N101+$L102</f>
        <v/>
      </c>
      <c r="O102" s="56">
        <f>IFERROR(IF(($L102)&gt;0,($I102*cfg_TroyOz)/($L102),""),"")</f>
        <v/>
      </c>
      <c r="P102" s="56">
        <f>IFERROR(IF(($M102)&gt;0,($J102*cfg_TroyOz)/($M102),""),"")</f>
        <v/>
      </c>
      <c r="Q102" s="56">
        <f>IFERROR(IF(($N102)&gt;0,($K102*cfg_TroyOz)/($N102),""),"")</f>
        <v/>
      </c>
      <c r="R102" s="55">
        <f>$F102-$L102</f>
        <v/>
      </c>
      <c r="S102" s="55">
        <f>IF($B102=$B101,$S101,0)+$R102</f>
        <v/>
      </c>
      <c r="T102" s="55">
        <f>$T101+$R102</f>
        <v/>
      </c>
      <c r="U102" s="55">
        <f>SUMIFS(tblMovement[Tonnes_t],tblMovement[Date],$A102,tblMovement[Is_Ore],0,tblMovement[Source_Type],"Pit")</f>
        <v/>
      </c>
      <c r="V102" s="55">
        <f>IF($B102=$B101,$V101,0)+$U102</f>
        <v/>
      </c>
      <c r="W102" s="55">
        <f>$W101+$U102</f>
        <v/>
      </c>
      <c r="X102" s="55">
        <f>$F102+$U102</f>
        <v/>
      </c>
      <c r="Y102" s="55">
        <f>IF($B102=$B101,$Y101,0)+$X102</f>
        <v/>
      </c>
      <c r="Z102" s="55">
        <f>$Z101+$X102</f>
        <v/>
      </c>
      <c r="AA102" s="56">
        <f>IFERROR(IF(($F102)&gt;0,($U102)/($F102),""),"")</f>
        <v/>
      </c>
      <c r="AB102" s="56">
        <f>IFERROR(IF(($G102)&gt;0,($V102)/($G102),""),"")</f>
        <v/>
      </c>
      <c r="AC102" s="56">
        <f>IFERROR(IF(($H102)&gt;0,($W102)/($H102),""),"")</f>
        <v/>
      </c>
      <c r="AD102" s="55">
        <f>SUMIFS(tblMovement[Tonnes_t],tblMovement[Date],$A102,tblMovement[Source_Type],"Stockpile")</f>
        <v/>
      </c>
      <c r="AE102" s="55">
        <f>IF($B102=$B101,$AE101,0)+$AD102</f>
        <v/>
      </c>
      <c r="AF102" s="55">
        <f>$AF101+$AD102</f>
        <v/>
      </c>
      <c r="AG102" s="55">
        <f>SUMIFS(tblMovement[Tonnes_t],tblMovement[Date],$A102)</f>
        <v/>
      </c>
      <c r="AH102" s="55">
        <f>IF($B102=$B101,$AH101,0)+$AG102</f>
        <v/>
      </c>
      <c r="AI102" s="55">
        <f>$AI101+$AG102</f>
        <v/>
      </c>
      <c r="AJ102" s="55">
        <f>$AG102-$X102-$AD102</f>
        <v/>
      </c>
      <c r="AK102" s="55">
        <f>IF($B102=$B101,$AK101,0)+$AJ102</f>
        <v/>
      </c>
      <c r="AL102" s="55">
        <f>$AL101+$AJ102</f>
        <v/>
      </c>
      <c r="AM102" s="55">
        <f>SUMIFS(tblMiningDaily[Drill_m],tblMiningDaily[Date],$A102)</f>
        <v/>
      </c>
      <c r="AN102" s="55">
        <f>IF($B102=$B101,$AN101,0)+$AM102</f>
        <v/>
      </c>
      <c r="AO102" s="55">
        <f>$AO101+$AM102</f>
        <v/>
      </c>
      <c r="AP102" s="55">
        <f>SUMIFS(tblMiningDaily[GC_Drill_m],tblMiningDaily[Date],$A102)</f>
        <v/>
      </c>
      <c r="AQ102" s="55">
        <f>IF($B102=$B101,$AQ101,0)+$AP102</f>
        <v/>
      </c>
      <c r="AR102" s="55">
        <f>$AR101+$AP102</f>
        <v/>
      </c>
      <c r="AS102" s="55">
        <f>SUMIFS(tblMiningDaily[Blast_t],tblMiningDaily[Date],$A102)</f>
        <v/>
      </c>
      <c r="AT102" s="55">
        <f>IF($B102=$B101,$AT101,0)+$AS102</f>
        <v/>
      </c>
      <c r="AU102" s="55">
        <f>$AU101+$AS102</f>
        <v/>
      </c>
      <c r="AV102" s="55">
        <f>SUMIFS(tblMiningDaily[Explosives_kg],tblMiningDaily[Date],$A102)</f>
        <v/>
      </c>
      <c r="AW102" s="55">
        <f>IF($B102=$B101,$AW101,0)+$AV102</f>
        <v/>
      </c>
      <c r="AX102" s="55">
        <f>$AX101+$AV102</f>
        <v/>
      </c>
      <c r="AY102" s="56">
        <f>IFERROR(IF(($AS102)&gt;0,($AV102)/($AS102),""),"")</f>
        <v/>
      </c>
      <c r="AZ102" s="56">
        <f>IFERROR(IF(($AT102)&gt;0,($AW102)/($AT102),""),"")</f>
        <v/>
      </c>
      <c r="BA102" s="56">
        <f>IFERROR(IF(($AU102)&gt;0,($AX102)/($AU102),""),"")</f>
        <v/>
      </c>
      <c r="BB102" s="55">
        <f>SUMIFS(tblMiningDaily[Diesel_L],tblMiningDaily[Date],$A102)</f>
        <v/>
      </c>
      <c r="BC102" s="55">
        <f>IF($B102=$B101,$BC101,0)+$BB102</f>
        <v/>
      </c>
      <c r="BD102" s="55">
        <f>$BD101+$BB102</f>
        <v/>
      </c>
      <c r="BE102" s="55">
        <f>SUMIFS(tblMiningDaily[Dewatering_m3],tblMiningDaily[Date],$A102)</f>
        <v/>
      </c>
      <c r="BF102" s="55">
        <f>IF($B102=$B101,$BF101,0)+$BE102</f>
        <v/>
      </c>
      <c r="BG102" s="55">
        <f>$BG101+$BE102</f>
        <v/>
      </c>
      <c r="BH102" s="57">
        <f>SUMIFS(tblFleet[Calendar_h],tblFleet[Date],$A102,tblFleet[Equipment_Class],"Excavator")</f>
        <v/>
      </c>
      <c r="BI102" s="57">
        <f>IF($B102=$B101,$BI101,0)+$BH102</f>
        <v/>
      </c>
      <c r="BJ102" s="57">
        <f>$BJ101+$BH102</f>
        <v/>
      </c>
      <c r="BK102" s="57">
        <f>SUMIFS(tblFleet[Available_h],tblFleet[Date],$A102,tblFleet[Equipment_Class],"Excavator")</f>
        <v/>
      </c>
      <c r="BL102" s="57">
        <f>IF($B102=$B101,$BL101,0)+$BK102</f>
        <v/>
      </c>
      <c r="BM102" s="57">
        <f>$BM101+$BK102</f>
        <v/>
      </c>
      <c r="BN102" s="57">
        <f>SUMIFS(tblFleet[Operating_h],tblFleet[Date],$A102,tblFleet[Equipment_Class],"Excavator")</f>
        <v/>
      </c>
      <c r="BO102" s="57">
        <f>IF($B102=$B101,$BO101,0)+$BN102</f>
        <v/>
      </c>
      <c r="BP102" s="57">
        <f>$BP101+$BN102</f>
        <v/>
      </c>
      <c r="BQ102" s="67">
        <f>IFERROR(IF(($BH102)&gt;0,($BK102)/($BH102),""),"")</f>
        <v/>
      </c>
      <c r="BR102" s="67">
        <f>IFERROR(IF(($BI102)&gt;0,($BL102)/($BI102),""),"")</f>
        <v/>
      </c>
      <c r="BS102" s="67">
        <f>IFERROR(IF(($BJ102)&gt;0,($BM102)/($BJ102),""),"")</f>
        <v/>
      </c>
      <c r="BT102" s="67">
        <f>IFERROR(IF(($BK102)&gt;0,($BN102)/($BK102),""),"")</f>
        <v/>
      </c>
      <c r="BU102" s="67">
        <f>IFERROR(IF(($BL102)&gt;0,($BO102)/($BL102),""),"")</f>
        <v/>
      </c>
      <c r="BV102" s="67">
        <f>IFERROR(IF(($BM102)&gt;0,($BP102)/($BM102),""),"")</f>
        <v/>
      </c>
      <c r="BW102" s="57">
        <f>SUMIFS(tblFleet[Calendar_h],tblFleet[Date],$A102,tblFleet[Equipment_Class],"Haul Truck")</f>
        <v/>
      </c>
      <c r="BX102" s="57">
        <f>IF($B102=$B101,$BX101,0)+$BW102</f>
        <v/>
      </c>
      <c r="BY102" s="57">
        <f>$BY101+$BW102</f>
        <v/>
      </c>
      <c r="BZ102" s="57">
        <f>SUMIFS(tblFleet[Available_h],tblFleet[Date],$A102,tblFleet[Equipment_Class],"Haul Truck")</f>
        <v/>
      </c>
      <c r="CA102" s="57">
        <f>IF($B102=$B101,$CA101,0)+$BZ102</f>
        <v/>
      </c>
      <c r="CB102" s="57">
        <f>$CB101+$BZ102</f>
        <v/>
      </c>
      <c r="CC102" s="57">
        <f>SUMIFS(tblFleet[Operating_h],tblFleet[Date],$A102,tblFleet[Equipment_Class],"Haul Truck")</f>
        <v/>
      </c>
      <c r="CD102" s="57">
        <f>IF($B102=$B101,$CD101,0)+$CC102</f>
        <v/>
      </c>
      <c r="CE102" s="57">
        <f>$CE101+$CC102</f>
        <v/>
      </c>
      <c r="CF102" s="67">
        <f>IFERROR(IF(($BW102)&gt;0,($BZ102)/($BW102),""),"")</f>
        <v/>
      </c>
      <c r="CG102" s="67">
        <f>IFERROR(IF(($BX102)&gt;0,($CA102)/($BX102),""),"")</f>
        <v/>
      </c>
      <c r="CH102" s="67">
        <f>IFERROR(IF(($BY102)&gt;0,($CB102)/($BY102),""),"")</f>
        <v/>
      </c>
      <c r="CI102" s="67">
        <f>IFERROR(IF(($BZ102)&gt;0,($CC102)/($BZ102),""),"")</f>
        <v/>
      </c>
      <c r="CJ102" s="67">
        <f>IFERROR(IF(($CA102)&gt;0,($CD102)/($CA102),""),"")</f>
        <v/>
      </c>
      <c r="CK102" s="67">
        <f>IFERROR(IF(($CB102)&gt;0,($CE102)/($CB102),""),"")</f>
        <v/>
      </c>
      <c r="CL102" s="55">
        <f>IFERROR(IF(($BN102)&gt;0,($X102+$AD102)/($BN102),""),"")</f>
        <v/>
      </c>
      <c r="CM102" s="55">
        <f>IFERROR(IF(($BO102)&gt;0,($Y102+$AE102)/($BO102),""),"")</f>
        <v/>
      </c>
      <c r="CN102" s="55">
        <f>IFERROR(IF(($BP102)&gt;0,($Z102+$AF102)/($BP102),""),"")</f>
        <v/>
      </c>
      <c r="CO102" s="55">
        <f>IFERROR(IF(($CC102)&gt;0,($X102+$AD102)/($CC102),""),"")</f>
        <v/>
      </c>
      <c r="CP102" s="55">
        <f>IFERROR(IF(($CD102)&gt;0,($Y102+$AE102)/($CD102),""),"")</f>
        <v/>
      </c>
      <c r="CQ102" s="55">
        <f>IFERROR(IF(($CE102)&gt;0,($Z102+$AF102)/($CE102),""),"")</f>
        <v/>
      </c>
      <c r="CR102" s="55">
        <f>SUMIFS(tblPlant[Crushed_t],tblPlant[Date],$A102)</f>
        <v/>
      </c>
      <c r="CS102" s="55">
        <f>IF($B102=$B101,$CS101,0)+$CR102</f>
        <v/>
      </c>
      <c r="CT102" s="55">
        <f>$CT101+$CR102</f>
        <v/>
      </c>
      <c r="CU102" s="55">
        <f>SUMIFS(tblPlant[Milled_t],tblPlant[Date],$A102)</f>
        <v/>
      </c>
      <c r="CV102" s="55">
        <f>IF($B102=$B101,$CV101,0)+$CU102</f>
        <v/>
      </c>
      <c r="CW102" s="55">
        <f>$CW101+$CU102</f>
        <v/>
      </c>
      <c r="CX102" s="55">
        <f>SUMIFS(tblPlant[Feed_oz],tblPlant[Date],$A102)</f>
        <v/>
      </c>
      <c r="CY102" s="55">
        <f>IF($B102=$B101,$CY101,0)+$CX102</f>
        <v/>
      </c>
      <c r="CZ102" s="55">
        <f>$CZ101+$CX102</f>
        <v/>
      </c>
      <c r="DA102" s="55">
        <f>SUMIFS(tblPlant[Tails_oz],tblPlant[Date],$A102)</f>
        <v/>
      </c>
      <c r="DB102" s="55">
        <f>IF($B102=$B101,$DB101,0)+$DA102</f>
        <v/>
      </c>
      <c r="DC102" s="55">
        <f>$DC101+$DA102</f>
        <v/>
      </c>
      <c r="DD102" s="55">
        <f>SUMIFS(tblPlant[Recovered_oz],tblPlant[Date],$A102)</f>
        <v/>
      </c>
      <c r="DE102" s="55">
        <f>IF($B102=$B101,$DE101,0)+$DD102</f>
        <v/>
      </c>
      <c r="DF102" s="55">
        <f>$DF101+$DD102</f>
        <v/>
      </c>
      <c r="DG102" s="55">
        <f>SUMIFS(tblPlant[Milled_t],tblPlant[Date],$A102,tblPlant[Head_Grade_gpt],"&lt;&gt;")</f>
        <v/>
      </c>
      <c r="DH102" s="55">
        <f>IF($B102=$B101,$DH101,0)+$DG102</f>
        <v/>
      </c>
      <c r="DI102" s="55">
        <f>$DI101+$DG102</f>
        <v/>
      </c>
      <c r="DJ102" s="55">
        <f>SUMIFS(tblPlant[Milled_t],tblPlant[Date],$A102,tblPlant[Tails_Grade_gpt],"&lt;&gt;")</f>
        <v/>
      </c>
      <c r="DK102" s="55">
        <f>IF($B102=$B101,$DK101,0)+$DJ102</f>
        <v/>
      </c>
      <c r="DL102" s="55">
        <f>$DL101+$DJ102</f>
        <v/>
      </c>
      <c r="DM102" s="55">
        <f>SUMIFS(tblPlant[Feed_oz],tblPlant[Date],$A102,tblPlant[Tails_Grade_gpt],"&lt;&gt;")</f>
        <v/>
      </c>
      <c r="DN102" s="55">
        <f>IF($B102=$B101,$DN101,0)+$DM102</f>
        <v/>
      </c>
      <c r="DO102" s="55">
        <f>$DO101+$DM102</f>
        <v/>
      </c>
      <c r="DP102" s="55">
        <f>SUMIFS(tblPlant[Milled_t],tblPlant[Date],$A102,tblPlant[Mill_Run_h],"&lt;&gt;")</f>
        <v/>
      </c>
      <c r="DQ102" s="55">
        <f>IF($B102=$B101,$DQ101,0)+$DP102</f>
        <v/>
      </c>
      <c r="DR102" s="55">
        <f>$DR101+$DP102</f>
        <v/>
      </c>
      <c r="DS102" s="56">
        <f>IFERROR(IF(($DG102)&gt;0,($CX102*cfg_TroyOz)/($DG102),""),"")</f>
        <v/>
      </c>
      <c r="DT102" s="56">
        <f>IFERROR(IF(($DH102)&gt;0,($CY102*cfg_TroyOz)/($DH102),""),"")</f>
        <v/>
      </c>
      <c r="DU102" s="56">
        <f>IFERROR(IF(($DI102)&gt;0,($CZ102*cfg_TroyOz)/($DI102),""),"")</f>
        <v/>
      </c>
      <c r="DV102" s="56">
        <f>IFERROR(IF(($DJ102)&gt;0,($DA102*cfg_TroyOz)/($DJ102),""),"")</f>
        <v/>
      </c>
      <c r="DW102" s="56">
        <f>IFERROR(IF(($DK102)&gt;0,($DB102*cfg_TroyOz)/($DK102),""),"")</f>
        <v/>
      </c>
      <c r="DX102" s="56">
        <f>IFERROR(IF(($DL102)&gt;0,($DC102*cfg_TroyOz)/($DL102),""),"")</f>
        <v/>
      </c>
      <c r="DY102" s="67">
        <f>IFERROR(IF(($DM102)&gt;0,($DD102)/($DM102),""),"")</f>
        <v/>
      </c>
      <c r="DZ102" s="67">
        <f>IFERROR(IF(($DN102)&gt;0,($DE102)/($DN102),""),"")</f>
        <v/>
      </c>
      <c r="EA102" s="67">
        <f>IFERROR(IF(($DO102)&gt;0,($DF102)/($DO102),""),"")</f>
        <v/>
      </c>
      <c r="EB102" s="55">
        <f>SUMIFS(tblPlant[Gravity_Gold_oz],tblPlant[Date],$A102)</f>
        <v/>
      </c>
      <c r="EC102" s="55">
        <f>IF($B102=$B101,$EC101,0)+$EB102</f>
        <v/>
      </c>
      <c r="ED102" s="55">
        <f>$ED101+$EB102</f>
        <v/>
      </c>
      <c r="EE102" s="67">
        <f>IFERROR(IF(($DD102)&gt;0,($EB102)/($DD102),""),"")</f>
        <v/>
      </c>
      <c r="EF102" s="67">
        <f>IFERROR(IF(($DE102)&gt;0,($EC102)/($DE102),""),"")</f>
        <v/>
      </c>
      <c r="EG102" s="67">
        <f>IFERROR(IF(($DF102)&gt;0,($ED102)/($DF102),""),"")</f>
        <v/>
      </c>
      <c r="EH102" s="55">
        <f>SUMIFS(tblPlant[Gold_Poured_oz],tblPlant[Date],$A102)</f>
        <v/>
      </c>
      <c r="EI102" s="55">
        <f>IF($B102=$B101,$EI101,0)+$EH102</f>
        <v/>
      </c>
      <c r="EJ102" s="55">
        <f>$EJ101+$EH102</f>
        <v/>
      </c>
      <c r="EK102" s="57">
        <f>SUMIFS(tblPlant[Mill_Run_h],tblPlant[Date],$A102)</f>
        <v/>
      </c>
      <c r="EL102" s="57">
        <f>IF($B102=$B101,$EL101,0)+$EK102</f>
        <v/>
      </c>
      <c r="EM102" s="57">
        <f>$EM101+$EK102</f>
        <v/>
      </c>
      <c r="EN102" s="57">
        <f>SUMIFS(tblPlant[Mill_Planned_Maint_h],tblPlant[Date],$A102)</f>
        <v/>
      </c>
      <c r="EO102" s="57">
        <f>IF($B102=$B101,$EO101,0)+$EN102</f>
        <v/>
      </c>
      <c r="EP102" s="57">
        <f>$EP101+$EN102</f>
        <v/>
      </c>
      <c r="EQ102" s="57">
        <f>SUMIFS(tblPlant[Mill_Unplanned_Down_h],tblPlant[Date],$A102)</f>
        <v/>
      </c>
      <c r="ER102" s="57">
        <f>IF($B102=$B101,$ER101,0)+$EQ102</f>
        <v/>
      </c>
      <c r="ES102" s="57">
        <f>$ES101+$EQ102</f>
        <v/>
      </c>
      <c r="ET102" s="57">
        <f>IF(COUNTIFS(tblPlant[Date],$A102,tblPlant[Mill_Run_h],"&lt;&gt;")+COUNTIFS(tblPlant[Date],$A102,tblPlant[Mill_Planned_Maint_h],"&lt;&gt;")+COUNTIFS(tblPlant[Date],$A102,tblPlant[Mill_Unplanned_Down_h],"&lt;&gt;")&gt;0,cfg_HoursPerDay,0)</f>
        <v/>
      </c>
      <c r="EU102" s="57">
        <f>IF($B102=$B101,$EU101,0)+$ET102</f>
        <v/>
      </c>
      <c r="EV102" s="57">
        <f>$EV101+$ET102</f>
        <v/>
      </c>
      <c r="EW102" s="57">
        <f>SUMIFS(tblPlant[Crusher_Run_h],tblPlant[Date],$A102)</f>
        <v/>
      </c>
      <c r="EX102" s="57">
        <f>IF($B102=$B101,$EX101,0)+$EW102</f>
        <v/>
      </c>
      <c r="EY102" s="57">
        <f>$EY101+$EW102</f>
        <v/>
      </c>
      <c r="EZ102" s="55">
        <f>IFERROR(IF(($EK102)&gt;0,($DP102)/($EK102),""),"")</f>
        <v/>
      </c>
      <c r="FA102" s="55">
        <f>IFERROR(IF(($EL102)&gt;0,($DQ102)/($EL102),""),"")</f>
        <v/>
      </c>
      <c r="FB102" s="55">
        <f>IFERROR(IF(($EM102)&gt;0,($DR102)/($EM102),""),"")</f>
        <v/>
      </c>
      <c r="FC102" s="67">
        <f>IFERROR(IF(($ET102)&gt;0,($ET102-$EN102-$EQ102)/($ET102),""),"")</f>
        <v/>
      </c>
      <c r="FD102" s="67">
        <f>IFERROR(IF(($EU102)&gt;0,($EU102-$EO102-$ER102)/($EU102),""),"")</f>
        <v/>
      </c>
      <c r="FE102" s="67">
        <f>IFERROR(IF(($EV102)&gt;0,($EV102-$EP102-$ES102)/($EV102),""),"")</f>
        <v/>
      </c>
      <c r="FF102" s="67">
        <f>IFERROR(IF(($ET102-$EN102-$EQ102)&gt;0,($EK102)/($ET102-$EN102-$EQ102),""),"")</f>
        <v/>
      </c>
      <c r="FG102" s="67">
        <f>IFERROR(IF(($EU102-$EO102-$ER102)&gt;0,($EL102)/($EU102-$EO102-$ER102),""),"")</f>
        <v/>
      </c>
      <c r="FH102" s="67">
        <f>IFERROR(IF(($EV102-$EP102-$ES102)&gt;0,($EM102)/($EV102-$EP102-$ES102),""),"")</f>
        <v/>
      </c>
      <c r="FI102" s="55">
        <f>SUMIFS(tblPlant[Cyanide_kg],tblPlant[Date],$A102)</f>
        <v/>
      </c>
      <c r="FJ102" s="55">
        <f>IF($B102=$B101,$FJ101,0)+$FI102</f>
        <v/>
      </c>
      <c r="FK102" s="55">
        <f>$FK101+$FI102</f>
        <v/>
      </c>
      <c r="FL102" s="55">
        <f>SUMIFS(tblPlant[Lime_kg],tblPlant[Date],$A102)</f>
        <v/>
      </c>
      <c r="FM102" s="55">
        <f>IF($B102=$B101,$FM101,0)+$FL102</f>
        <v/>
      </c>
      <c r="FN102" s="55">
        <f>$FN101+$FL102</f>
        <v/>
      </c>
      <c r="FO102" s="55">
        <f>SUMIFS(tblPlant[Grinding_Media_kg],tblPlant[Date],$A102)</f>
        <v/>
      </c>
      <c r="FP102" s="55">
        <f>IF($B102=$B101,$FP101,0)+$FO102</f>
        <v/>
      </c>
      <c r="FQ102" s="55">
        <f>$FQ101+$FO102</f>
        <v/>
      </c>
      <c r="FR102" s="55">
        <f>SUMIFS(tblPlant[Power_kWh],tblPlant[Date],$A102)</f>
        <v/>
      </c>
      <c r="FS102" s="55">
        <f>IF($B102=$B101,$FS101,0)+$FR102</f>
        <v/>
      </c>
      <c r="FT102" s="55">
        <f>$FT101+$FR102</f>
        <v/>
      </c>
      <c r="FU102" s="55">
        <f>SUMIFS(tblPlant[Raw_Water_m3],tblPlant[Date],$A102)</f>
        <v/>
      </c>
      <c r="FV102" s="55">
        <f>IF($B102=$B101,$FV101,0)+$FU102</f>
        <v/>
      </c>
      <c r="FW102" s="55">
        <f>$FW101+$FU102</f>
        <v/>
      </c>
      <c r="FX102" s="56">
        <f>IFERROR(IF(($CU102)&gt;0,($FI102)/($CU102),""),"")</f>
        <v/>
      </c>
      <c r="FY102" s="56">
        <f>IFERROR(IF(($CV102)&gt;0,($FJ102)/($CV102),""),"")</f>
        <v/>
      </c>
      <c r="FZ102" s="56">
        <f>IFERROR(IF(($CW102)&gt;0,($FK102)/($CW102),""),"")</f>
        <v/>
      </c>
      <c r="GA102" s="56">
        <f>IFERROR(IF(($CU102)&gt;0,($FL102)/($CU102),""),"")</f>
        <v/>
      </c>
      <c r="GB102" s="56">
        <f>IFERROR(IF(($CV102)&gt;0,($FM102)/($CV102),""),"")</f>
        <v/>
      </c>
      <c r="GC102" s="56">
        <f>IFERROR(IF(($CW102)&gt;0,($FN102)/($CW102),""),"")</f>
        <v/>
      </c>
      <c r="GD102" s="56">
        <f>IFERROR(IF(($CU102)&gt;0,($FO102)/($CU102),""),"")</f>
        <v/>
      </c>
      <c r="GE102" s="56">
        <f>IFERROR(IF(($CV102)&gt;0,($FP102)/($CV102),""),"")</f>
        <v/>
      </c>
      <c r="GF102" s="56">
        <f>IFERROR(IF(($CW102)&gt;0,($FQ102)/($CW102),""),"")</f>
        <v/>
      </c>
      <c r="GG102" s="79">
        <f>IFERROR(IF(($CU102)&gt;0,($FR102)/($CU102),""),"")</f>
        <v/>
      </c>
      <c r="GH102" s="79">
        <f>IFERROR(IF(($CV102)&gt;0,($FS102)/($CV102),""),"")</f>
        <v/>
      </c>
      <c r="GI102" s="79">
        <f>IFERROR(IF(($CW102)&gt;0,($FT102)/($CW102),""),"")</f>
        <v/>
      </c>
      <c r="GJ102" s="56">
        <f>IFERROR(IF(($CU102)&gt;0,($FU102)/($CU102),""),"")</f>
        <v/>
      </c>
      <c r="GK102" s="56">
        <f>IFERROR(IF(($CV102)&gt;0,($FV102)/($CV102),""),"")</f>
        <v/>
      </c>
      <c r="GL102" s="56">
        <f>IFERROR(IF(($CW102)&gt;0,($FW102)/($CW102),""),"")</f>
        <v/>
      </c>
      <c r="GM102" s="55">
        <f>IF(SUMIFS(tblPlant[GIC_oz],tblPlant[Date],$A102)&gt;0,SUMIFS(tblPlant[GIC_oz],tblPlant[Date],$A102),"")</f>
        <v/>
      </c>
      <c r="GN102" s="55">
        <f>SUMIFS(tblGold[Gold_oz],tblGold[Date],$A102,tblGold[Type],"Shipment")</f>
        <v/>
      </c>
      <c r="GO102" s="55">
        <f>IF($B102=$B101,$GO101,0)+$GN102</f>
        <v/>
      </c>
      <c r="GP102" s="55">
        <f>$GP101+$GN102</f>
        <v/>
      </c>
      <c r="GQ102" s="55">
        <f>SUMIFS(tblGold[Gold_oz],tblGold[Date],$A102,tblGold[Type],"Sale")</f>
        <v/>
      </c>
      <c r="GR102" s="55">
        <f>IF($B102=$B101,$GR101,0)+$GQ102</f>
        <v/>
      </c>
      <c r="GS102" s="55">
        <f>$GS101+$GQ102</f>
        <v/>
      </c>
      <c r="GT102" s="55">
        <f>SUMIFS(tblGold[Dore_kg],tblGold[Date],$A102,tblGold[Type],"Shipment")</f>
        <v/>
      </c>
      <c r="GU102" s="55">
        <f>IF($B102=$B101,$GU101,0)+$GT102</f>
        <v/>
      </c>
      <c r="GV102" s="55">
        <f>$GV101+$GT102</f>
        <v/>
      </c>
      <c r="GW102" s="57">
        <f>SUMIFS(tblSafety[Hours_Total],tblSafety[Date],$A102)</f>
        <v/>
      </c>
      <c r="GX102" s="57">
        <f>IF($B102=$B101,$GX101,0)+$GW102</f>
        <v/>
      </c>
      <c r="GY102" s="57">
        <f>$GY101+$GW102</f>
        <v/>
      </c>
      <c r="GZ102" s="62">
        <f>SUMIFS(tblSafety[Fatality],tblSafety[Date],$A102)</f>
        <v/>
      </c>
      <c r="HA102" s="62">
        <f>IF($B102=$B101,$HA101,0)+$GZ102</f>
        <v/>
      </c>
      <c r="HB102" s="62">
        <f>$HB101+$GZ102</f>
        <v/>
      </c>
      <c r="HC102" s="62">
        <f>SUMIFS(tblSafety[LTI],tblSafety[Date],$A102)</f>
        <v/>
      </c>
      <c r="HD102" s="62">
        <f>IF($B102=$B101,$HD101,0)+$HC102</f>
        <v/>
      </c>
      <c r="HE102" s="62">
        <f>$HE101+$HC102</f>
        <v/>
      </c>
      <c r="HF102" s="62">
        <f>SUMIFS(tblSafety[RWI],tblSafety[Date],$A102)</f>
        <v/>
      </c>
      <c r="HG102" s="62">
        <f>IF($B102=$B101,$HG101,0)+$HF102</f>
        <v/>
      </c>
      <c r="HH102" s="62">
        <f>$HH101+$HF102</f>
        <v/>
      </c>
      <c r="HI102" s="62">
        <f>SUMIFS(tblSafety[MTI],tblSafety[Date],$A102)</f>
        <v/>
      </c>
      <c r="HJ102" s="62">
        <f>IF($B102=$B101,$HJ101,0)+$HI102</f>
        <v/>
      </c>
      <c r="HK102" s="62">
        <f>$HK101+$HI102</f>
        <v/>
      </c>
      <c r="HL102" s="62">
        <f>SUMIFS(tblSafety[FAI],tblSafety[Date],$A102)</f>
        <v/>
      </c>
      <c r="HM102" s="62">
        <f>IF($B102=$B101,$HM101,0)+$HL102</f>
        <v/>
      </c>
      <c r="HN102" s="62">
        <f>$HN101+$HL102</f>
        <v/>
      </c>
      <c r="HO102" s="62">
        <f>SUMIFS(tblSafety[Recordables],tblSafety[Date],$A102)</f>
        <v/>
      </c>
      <c r="HP102" s="62">
        <f>IF($B102=$B101,$HP101,0)+$HO102</f>
        <v/>
      </c>
      <c r="HQ102" s="62">
        <f>$HQ101+$HO102</f>
        <v/>
      </c>
      <c r="HR102" s="62">
        <f>SUMIFS(tblSafety[Near_Miss],tblSafety[Date],$A102)</f>
        <v/>
      </c>
      <c r="HS102" s="62">
        <f>IF($B102=$B101,$HS101,0)+$HR102</f>
        <v/>
      </c>
      <c r="HT102" s="62">
        <f>$HT101+$HR102</f>
        <v/>
      </c>
      <c r="HU102" s="62">
        <f>SUMIFS(tblSafety[Hazard_Reports],tblSafety[Date],$A102)</f>
        <v/>
      </c>
      <c r="HV102" s="62">
        <f>IF($B102=$B101,$HV101,0)+$HU102</f>
        <v/>
      </c>
      <c r="HW102" s="62">
        <f>$HW101+$HU102</f>
        <v/>
      </c>
      <c r="HX102" s="62">
        <f>SUMIFS(tblSafety[HPI],tblSafety[Date],$A102)</f>
        <v/>
      </c>
      <c r="HY102" s="62">
        <f>IF($B102=$B101,$HY101,0)+$HX102</f>
        <v/>
      </c>
      <c r="HZ102" s="62">
        <f>$HZ101+$HX102</f>
        <v/>
      </c>
      <c r="IA102" s="62">
        <f>SUMIFS(tblSafety[Env_Incidents],tblSafety[Date],$A102)</f>
        <v/>
      </c>
      <c r="IB102" s="62">
        <f>IF($B102=$B101,$IB101,0)+$IA102</f>
        <v/>
      </c>
      <c r="IC102" s="62">
        <f>$IC101+$IA102</f>
        <v/>
      </c>
      <c r="ID102" s="62">
        <f>SUMIFS(tblSafety[Community_Incidents],tblSafety[Date],$A102)</f>
        <v/>
      </c>
      <c r="IE102" s="62">
        <f>IF($B102=$B101,$IE101,0)+$ID102</f>
        <v/>
      </c>
      <c r="IF102" s="62">
        <f>$IF101+$ID102</f>
        <v/>
      </c>
      <c r="IG102" s="62">
        <f>SUMIFS(tblSafety[Vehicle_Incidents],tblSafety[Date],$A102)</f>
        <v/>
      </c>
      <c r="IH102" s="62">
        <f>IF($B102=$B101,$IH101,0)+$IG102</f>
        <v/>
      </c>
      <c r="II102" s="62">
        <f>$II101+$IG102</f>
        <v/>
      </c>
      <c r="IJ102" s="62">
        <f>SUMIFS(tblSafety[Toolbox_Talks],tblSafety[Date],$A102)</f>
        <v/>
      </c>
      <c r="IK102" s="62">
        <f>IF($B102=$B101,$IK101,0)+$IJ102</f>
        <v/>
      </c>
      <c r="IL102" s="62">
        <f>$IL101+$IJ102</f>
        <v/>
      </c>
      <c r="IM102" s="62">
        <f>SUMIFS(tblSafety[Inspections],tblSafety[Date],$A102)</f>
        <v/>
      </c>
      <c r="IN102" s="62">
        <f>IF($B102=$B101,$IN101,0)+$IM102</f>
        <v/>
      </c>
      <c r="IO102" s="62">
        <f>$IO101+$IM102</f>
        <v/>
      </c>
      <c r="IP102" s="56">
        <f>IFERROR((SUMIFS(tblSafety[Recordables],tblSafety[Date],"&gt;="&amp;EDATE($E102,-12),tblSafety[Date],"&lt;="&amp;$A102)+SUMIFS(tblSafetyHistory[Recordables],tblSafetyHistory[Month],"&gt;="&amp;EDATE($E102,-12),tblSafetyHistory[Month],"&lt;"&amp;$E102,tblSafetyHistory[Use],1))/(SUMIFS(tblSafety[Hours_Total],tblSafety[Date],"&gt;="&amp;EDATE($E102,-12),tblSafety[Date],"&lt;="&amp;$A102)+SUMIFS(tblSafetyHistory[Hours_Total],tblSafetyHistory[Month],"&gt;="&amp;EDATE($E102,-12),tblSafetyHistory[Month],"&lt;"&amp;$E102,tblSafetyHistory[Use],1))*cfg_RateBasisHours,"")</f>
        <v/>
      </c>
      <c r="IQ102" s="56">
        <f>IFERROR((SUMIFS(tblSafety[LTI],tblSafety[Date],"&gt;="&amp;EDATE($E102,-12),tblSafety[Date],"&lt;="&amp;$A102)+SUMIFS(tblSafetyHistory[LTI],tblSafetyHistory[Month],"&gt;="&amp;EDATE($E102,-12),tblSafetyHistory[Month],"&lt;"&amp;$E102,tblSafetyHistory[Use],1))/(SUMIFS(tblSafety[Hours_Total],tblSafety[Date],"&gt;="&amp;EDATE($E102,-12),tblSafety[Date],"&lt;="&amp;$A102)+SUMIFS(tblSafetyHistory[Hours_Total],tblSafetyHistory[Month],"&gt;="&amp;EDATE($E102,-12),tblSafetyHistory[Month],"&lt;"&amp;$E102,tblSafetyHistory[Use],1))*cfg_RateBasisHours,"")</f>
        <v/>
      </c>
      <c r="IR102" s="62">
        <f>IF(MAX(N(cfg_PriorLTIDate),_xlfn.MAXIFS(tblSafety[Date],tblSafety[LTI],"&gt;0",tblSafety[Date],"&lt;="&amp;$A102))=0,"",$A102-MAX(N(cfg_PriorLTIDate),_xlfn.MAXIFS(tblSafety[Date],tblSafety[LTI],"&gt;0",tblSafety[Date],"&lt;="&amp;$A102)))</f>
        <v/>
      </c>
      <c r="IS102" s="55">
        <f>SUMIFS(tblBudget[Ore_Mined_t],tblBudget[Month],$E102)</f>
        <v/>
      </c>
      <c r="IT102" s="55">
        <f>$IS102*$C102/$D102</f>
        <v/>
      </c>
      <c r="IU102" s="55">
        <f>SUMIFS(tblBudget[Ore_Mined_t],tblBudget[Month],"&lt;"&amp;$E102)+$IT102</f>
        <v/>
      </c>
      <c r="IV102" s="55">
        <f>SUMIFS(tblBudget[Ore_oz],tblBudget[Month],$E102)</f>
        <v/>
      </c>
      <c r="IW102" s="55">
        <f>$IV102*$C102/$D102</f>
        <v/>
      </c>
      <c r="IX102" s="55">
        <f>SUMIFS(tblBudget[Ore_oz],tblBudget[Month],"&lt;"&amp;$E102)+$IW102</f>
        <v/>
      </c>
      <c r="IY102" s="55">
        <f>SUMIFS(tblBudget[Ore_Mined_t],tblBudget[Month],$E102)</f>
        <v/>
      </c>
      <c r="IZ102" s="55">
        <f>$IY102*$C102/$D102</f>
        <v/>
      </c>
      <c r="JA102" s="55">
        <f>SUMIFS(tblBudget[Ore_Mined_t],tblBudget[Month],"&lt;"&amp;$E102)+$IZ102</f>
        <v/>
      </c>
      <c r="JB102" s="56">
        <f>IFERROR(IF(($IY102)&gt;0,($IV102*cfg_TroyOz)/($IY102),""),"")</f>
        <v/>
      </c>
      <c r="JC102" s="56">
        <f>IFERROR(IF(($IZ102)&gt;0,($IW102*cfg_TroyOz)/($IZ102),""),"")</f>
        <v/>
      </c>
      <c r="JD102" s="56">
        <f>IFERROR(IF(($JA102)&gt;0,($IX102*cfg_TroyOz)/($JA102),""),"")</f>
        <v/>
      </c>
      <c r="JE102" s="55">
        <f>SUMIFS(tblBudget[Waste_t],tblBudget[Month],$E102)</f>
        <v/>
      </c>
      <c r="JF102" s="55">
        <f>$JE102*$C102/$D102</f>
        <v/>
      </c>
      <c r="JG102" s="55">
        <f>SUMIFS(tblBudget[Waste_t],tblBudget[Month],"&lt;"&amp;$E102)+$JF102</f>
        <v/>
      </c>
      <c r="JH102" s="55">
        <f>SUMIFS(tblBudget[TMM_t],tblBudget[Month],$E102)</f>
        <v/>
      </c>
      <c r="JI102" s="55">
        <f>$JH102*$C102/$D102</f>
        <v/>
      </c>
      <c r="JJ102" s="55">
        <f>SUMIFS(tblBudget[TMM_t],tblBudget[Month],"&lt;"&amp;$E102)+$JI102</f>
        <v/>
      </c>
      <c r="JK102" s="56">
        <f>IFERROR(IF(($IS102)&gt;0,($JE102)/($IS102),""),"")</f>
        <v/>
      </c>
      <c r="JL102" s="56">
        <f>IFERROR(IF(($IT102)&gt;0,($JF102)/($IT102),""),"")</f>
        <v/>
      </c>
      <c r="JM102" s="56">
        <f>IFERROR(IF(($IU102)&gt;0,($JG102)/($IU102),""),"")</f>
        <v/>
      </c>
      <c r="JN102" s="55">
        <f>SUMIFS(tblBudget[Drill_m],tblBudget[Month],$E102)</f>
        <v/>
      </c>
      <c r="JO102" s="55">
        <f>$JN102*$C102/$D102</f>
        <v/>
      </c>
      <c r="JP102" s="55">
        <f>SUMIFS(tblBudget[Drill_m],tblBudget[Month],"&lt;"&amp;$E102)+$JO102</f>
        <v/>
      </c>
      <c r="JQ102" s="55">
        <f>SUMIFS(tblBudget[Diesel_L],tblBudget[Month],$E102)</f>
        <v/>
      </c>
      <c r="JR102" s="55">
        <f>$JQ102*$C102/$D102</f>
        <v/>
      </c>
      <c r="JS102" s="55">
        <f>SUMIFS(tblBudget[Diesel_L],tblBudget[Month],"&lt;"&amp;$E102)+$JR102</f>
        <v/>
      </c>
      <c r="JT102" s="55">
        <f>SUMIFS(tblBudget[Milled_t],tblBudget[Month],$E102)</f>
        <v/>
      </c>
      <c r="JU102" s="55">
        <f>$JT102*$C102/$D102</f>
        <v/>
      </c>
      <c r="JV102" s="55">
        <f>SUMIFS(tblBudget[Milled_t],tblBudget[Month],"&lt;"&amp;$E102)+$JU102</f>
        <v/>
      </c>
      <c r="JW102" s="55">
        <f>SUMIFS(tblBudget[Feed_oz],tblBudget[Month],$E102)</f>
        <v/>
      </c>
      <c r="JX102" s="55">
        <f>$JW102*$C102/$D102</f>
        <v/>
      </c>
      <c r="JY102" s="55">
        <f>SUMIFS(tblBudget[Feed_oz],tblBudget[Month],"&lt;"&amp;$E102)+$JX102</f>
        <v/>
      </c>
      <c r="JZ102" s="55">
        <f>SUMIFS(tblBudget[Recovered_oz],tblBudget[Month],$E102)</f>
        <v/>
      </c>
      <c r="KA102" s="55">
        <f>$JZ102*$C102/$D102</f>
        <v/>
      </c>
      <c r="KB102" s="55">
        <f>SUMIFS(tblBudget[Recovered_oz],tblBudget[Month],"&lt;"&amp;$E102)+$KA102</f>
        <v/>
      </c>
      <c r="KC102" s="55">
        <f>SUMIFS(tblBudget[Milled_t],tblBudget[Month],$E102)</f>
        <v/>
      </c>
      <c r="KD102" s="55">
        <f>$KC102*$C102/$D102</f>
        <v/>
      </c>
      <c r="KE102" s="55">
        <f>SUMIFS(tblBudget[Milled_t],tblBudget[Month],"&lt;"&amp;$E102)+$KD102</f>
        <v/>
      </c>
      <c r="KF102" s="55">
        <f>SUMIFS(tblBudget[Feed_oz],tblBudget[Month],$E102)</f>
        <v/>
      </c>
      <c r="KG102" s="55">
        <f>$KF102*$C102/$D102</f>
        <v/>
      </c>
      <c r="KH102" s="55">
        <f>SUMIFS(tblBudget[Feed_oz],tblBudget[Month],"&lt;"&amp;$E102)+$KG102</f>
        <v/>
      </c>
      <c r="KI102" s="56">
        <f>IFERROR(IF(($KC102)&gt;0,($JW102*cfg_TroyOz)/($KC102),""),"")</f>
        <v/>
      </c>
      <c r="KJ102" s="56">
        <f>IFERROR(IF(($KD102)&gt;0,($JX102*cfg_TroyOz)/($KD102),""),"")</f>
        <v/>
      </c>
      <c r="KK102" s="56">
        <f>IFERROR(IF(($KE102)&gt;0,($JY102*cfg_TroyOz)/($KE102),""),"")</f>
        <v/>
      </c>
      <c r="KL102" s="67">
        <f>IFERROR(IF(($KF102)&gt;0,($JZ102)/($KF102),""),"")</f>
        <v/>
      </c>
      <c r="KM102" s="67">
        <f>IFERROR(IF(($KG102)&gt;0,($KA102)/($KG102),""),"")</f>
        <v/>
      </c>
      <c r="KN102" s="67">
        <f>IFERROR(IF(($KH102)&gt;0,($KB102)/($KH102),""),"")</f>
        <v/>
      </c>
      <c r="KO102" s="55">
        <f>SUMIFS(tblBudget[Gold_Poured_oz],tblBudget[Month],$E102)</f>
        <v/>
      </c>
      <c r="KP102" s="55">
        <f>$KO102*$C102/$D102</f>
        <v/>
      </c>
      <c r="KQ102" s="55">
        <f>SUMIFS(tblBudget[Gold_Poured_oz],tblBudget[Month],"&lt;"&amp;$E102)+$KP102</f>
        <v/>
      </c>
      <c r="KR102" s="57">
        <f>SUMIFS(tblBudget[Hours_Worked],tblBudget[Month],$E102)</f>
        <v/>
      </c>
      <c r="KS102" s="57">
        <f>$KR102*$C102/$D102</f>
        <v/>
      </c>
      <c r="KT102" s="57">
        <f>SUMIFS(tblBudget[Hours_Worked],tblBudget[Month],"&lt;"&amp;$E102)+$KS102</f>
        <v/>
      </c>
    </row>
    <row r="103">
      <c r="A103" s="54" t="n">
        <v>46124</v>
      </c>
      <c r="B103">
        <f>MONTH($A103)</f>
        <v/>
      </c>
      <c r="C103">
        <f>DAY($A103)</f>
        <v/>
      </c>
      <c r="D103">
        <f>DAY(EOMONTH($A103,0))</f>
        <v/>
      </c>
      <c r="E103" s="54">
        <f>DATE(YEAR($A103),MONTH($A103),1)</f>
        <v/>
      </c>
      <c r="F103" s="55">
        <f>SUMIFS(tblMovement[Tonnes_t],tblMovement[Date],$A103,tblMovement[Is_Ore],1,tblMovement[Source_Type],"Pit")</f>
        <v/>
      </c>
      <c r="G103" s="55">
        <f>IF($B103=$B102,$G102,0)+$F103</f>
        <v/>
      </c>
      <c r="H103" s="55">
        <f>$H102+$F103</f>
        <v/>
      </c>
      <c r="I103" s="55">
        <f>SUMIFS(tblMovement[Ore_oz],tblMovement[Date],$A103,tblMovement[Source_Type],"Pit")</f>
        <v/>
      </c>
      <c r="J103" s="55">
        <f>IF($B103=$B102,$J102,0)+$I103</f>
        <v/>
      </c>
      <c r="K103" s="55">
        <f>$K102+$I103</f>
        <v/>
      </c>
      <c r="L103" s="55">
        <f>SUMIFS(tblMovement[Tonnes_t],tblMovement[Date],$A103,tblMovement[Is_Ore],1,tblMovement[Source_Type],"Pit",tblMovement[Grade_gpt],"&lt;&gt;")</f>
        <v/>
      </c>
      <c r="M103" s="55">
        <f>IF($B103=$B102,$M102,0)+$L103</f>
        <v/>
      </c>
      <c r="N103" s="55">
        <f>$N102+$L103</f>
        <v/>
      </c>
      <c r="O103" s="56">
        <f>IFERROR(IF(($L103)&gt;0,($I103*cfg_TroyOz)/($L103),""),"")</f>
        <v/>
      </c>
      <c r="P103" s="56">
        <f>IFERROR(IF(($M103)&gt;0,($J103*cfg_TroyOz)/($M103),""),"")</f>
        <v/>
      </c>
      <c r="Q103" s="56">
        <f>IFERROR(IF(($N103)&gt;0,($K103*cfg_TroyOz)/($N103),""),"")</f>
        <v/>
      </c>
      <c r="R103" s="55">
        <f>$F103-$L103</f>
        <v/>
      </c>
      <c r="S103" s="55">
        <f>IF($B103=$B102,$S102,0)+$R103</f>
        <v/>
      </c>
      <c r="T103" s="55">
        <f>$T102+$R103</f>
        <v/>
      </c>
      <c r="U103" s="55">
        <f>SUMIFS(tblMovement[Tonnes_t],tblMovement[Date],$A103,tblMovement[Is_Ore],0,tblMovement[Source_Type],"Pit")</f>
        <v/>
      </c>
      <c r="V103" s="55">
        <f>IF($B103=$B102,$V102,0)+$U103</f>
        <v/>
      </c>
      <c r="W103" s="55">
        <f>$W102+$U103</f>
        <v/>
      </c>
      <c r="X103" s="55">
        <f>$F103+$U103</f>
        <v/>
      </c>
      <c r="Y103" s="55">
        <f>IF($B103=$B102,$Y102,0)+$X103</f>
        <v/>
      </c>
      <c r="Z103" s="55">
        <f>$Z102+$X103</f>
        <v/>
      </c>
      <c r="AA103" s="56">
        <f>IFERROR(IF(($F103)&gt;0,($U103)/($F103),""),"")</f>
        <v/>
      </c>
      <c r="AB103" s="56">
        <f>IFERROR(IF(($G103)&gt;0,($V103)/($G103),""),"")</f>
        <v/>
      </c>
      <c r="AC103" s="56">
        <f>IFERROR(IF(($H103)&gt;0,($W103)/($H103),""),"")</f>
        <v/>
      </c>
      <c r="AD103" s="55">
        <f>SUMIFS(tblMovement[Tonnes_t],tblMovement[Date],$A103,tblMovement[Source_Type],"Stockpile")</f>
        <v/>
      </c>
      <c r="AE103" s="55">
        <f>IF($B103=$B102,$AE102,0)+$AD103</f>
        <v/>
      </c>
      <c r="AF103" s="55">
        <f>$AF102+$AD103</f>
        <v/>
      </c>
      <c r="AG103" s="55">
        <f>SUMIFS(tblMovement[Tonnes_t],tblMovement[Date],$A103)</f>
        <v/>
      </c>
      <c r="AH103" s="55">
        <f>IF($B103=$B102,$AH102,0)+$AG103</f>
        <v/>
      </c>
      <c r="AI103" s="55">
        <f>$AI102+$AG103</f>
        <v/>
      </c>
      <c r="AJ103" s="55">
        <f>$AG103-$X103-$AD103</f>
        <v/>
      </c>
      <c r="AK103" s="55">
        <f>IF($B103=$B102,$AK102,0)+$AJ103</f>
        <v/>
      </c>
      <c r="AL103" s="55">
        <f>$AL102+$AJ103</f>
        <v/>
      </c>
      <c r="AM103" s="55">
        <f>SUMIFS(tblMiningDaily[Drill_m],tblMiningDaily[Date],$A103)</f>
        <v/>
      </c>
      <c r="AN103" s="55">
        <f>IF($B103=$B102,$AN102,0)+$AM103</f>
        <v/>
      </c>
      <c r="AO103" s="55">
        <f>$AO102+$AM103</f>
        <v/>
      </c>
      <c r="AP103" s="55">
        <f>SUMIFS(tblMiningDaily[GC_Drill_m],tblMiningDaily[Date],$A103)</f>
        <v/>
      </c>
      <c r="AQ103" s="55">
        <f>IF($B103=$B102,$AQ102,0)+$AP103</f>
        <v/>
      </c>
      <c r="AR103" s="55">
        <f>$AR102+$AP103</f>
        <v/>
      </c>
      <c r="AS103" s="55">
        <f>SUMIFS(tblMiningDaily[Blast_t],tblMiningDaily[Date],$A103)</f>
        <v/>
      </c>
      <c r="AT103" s="55">
        <f>IF($B103=$B102,$AT102,0)+$AS103</f>
        <v/>
      </c>
      <c r="AU103" s="55">
        <f>$AU102+$AS103</f>
        <v/>
      </c>
      <c r="AV103" s="55">
        <f>SUMIFS(tblMiningDaily[Explosives_kg],tblMiningDaily[Date],$A103)</f>
        <v/>
      </c>
      <c r="AW103" s="55">
        <f>IF($B103=$B102,$AW102,0)+$AV103</f>
        <v/>
      </c>
      <c r="AX103" s="55">
        <f>$AX102+$AV103</f>
        <v/>
      </c>
      <c r="AY103" s="56">
        <f>IFERROR(IF(($AS103)&gt;0,($AV103)/($AS103),""),"")</f>
        <v/>
      </c>
      <c r="AZ103" s="56">
        <f>IFERROR(IF(($AT103)&gt;0,($AW103)/($AT103),""),"")</f>
        <v/>
      </c>
      <c r="BA103" s="56">
        <f>IFERROR(IF(($AU103)&gt;0,($AX103)/($AU103),""),"")</f>
        <v/>
      </c>
      <c r="BB103" s="55">
        <f>SUMIFS(tblMiningDaily[Diesel_L],tblMiningDaily[Date],$A103)</f>
        <v/>
      </c>
      <c r="BC103" s="55">
        <f>IF($B103=$B102,$BC102,0)+$BB103</f>
        <v/>
      </c>
      <c r="BD103" s="55">
        <f>$BD102+$BB103</f>
        <v/>
      </c>
      <c r="BE103" s="55">
        <f>SUMIFS(tblMiningDaily[Dewatering_m3],tblMiningDaily[Date],$A103)</f>
        <v/>
      </c>
      <c r="BF103" s="55">
        <f>IF($B103=$B102,$BF102,0)+$BE103</f>
        <v/>
      </c>
      <c r="BG103" s="55">
        <f>$BG102+$BE103</f>
        <v/>
      </c>
      <c r="BH103" s="57">
        <f>SUMIFS(tblFleet[Calendar_h],tblFleet[Date],$A103,tblFleet[Equipment_Class],"Excavator")</f>
        <v/>
      </c>
      <c r="BI103" s="57">
        <f>IF($B103=$B102,$BI102,0)+$BH103</f>
        <v/>
      </c>
      <c r="BJ103" s="57">
        <f>$BJ102+$BH103</f>
        <v/>
      </c>
      <c r="BK103" s="57">
        <f>SUMIFS(tblFleet[Available_h],tblFleet[Date],$A103,tblFleet[Equipment_Class],"Excavator")</f>
        <v/>
      </c>
      <c r="BL103" s="57">
        <f>IF($B103=$B102,$BL102,0)+$BK103</f>
        <v/>
      </c>
      <c r="BM103" s="57">
        <f>$BM102+$BK103</f>
        <v/>
      </c>
      <c r="BN103" s="57">
        <f>SUMIFS(tblFleet[Operating_h],tblFleet[Date],$A103,tblFleet[Equipment_Class],"Excavator")</f>
        <v/>
      </c>
      <c r="BO103" s="57">
        <f>IF($B103=$B102,$BO102,0)+$BN103</f>
        <v/>
      </c>
      <c r="BP103" s="57">
        <f>$BP102+$BN103</f>
        <v/>
      </c>
      <c r="BQ103" s="67">
        <f>IFERROR(IF(($BH103)&gt;0,($BK103)/($BH103),""),"")</f>
        <v/>
      </c>
      <c r="BR103" s="67">
        <f>IFERROR(IF(($BI103)&gt;0,($BL103)/($BI103),""),"")</f>
        <v/>
      </c>
      <c r="BS103" s="67">
        <f>IFERROR(IF(($BJ103)&gt;0,($BM103)/($BJ103),""),"")</f>
        <v/>
      </c>
      <c r="BT103" s="67">
        <f>IFERROR(IF(($BK103)&gt;0,($BN103)/($BK103),""),"")</f>
        <v/>
      </c>
      <c r="BU103" s="67">
        <f>IFERROR(IF(($BL103)&gt;0,($BO103)/($BL103),""),"")</f>
        <v/>
      </c>
      <c r="BV103" s="67">
        <f>IFERROR(IF(($BM103)&gt;0,($BP103)/($BM103),""),"")</f>
        <v/>
      </c>
      <c r="BW103" s="57">
        <f>SUMIFS(tblFleet[Calendar_h],tblFleet[Date],$A103,tblFleet[Equipment_Class],"Haul Truck")</f>
        <v/>
      </c>
      <c r="BX103" s="57">
        <f>IF($B103=$B102,$BX102,0)+$BW103</f>
        <v/>
      </c>
      <c r="BY103" s="57">
        <f>$BY102+$BW103</f>
        <v/>
      </c>
      <c r="BZ103" s="57">
        <f>SUMIFS(tblFleet[Available_h],tblFleet[Date],$A103,tblFleet[Equipment_Class],"Haul Truck")</f>
        <v/>
      </c>
      <c r="CA103" s="57">
        <f>IF($B103=$B102,$CA102,0)+$BZ103</f>
        <v/>
      </c>
      <c r="CB103" s="57">
        <f>$CB102+$BZ103</f>
        <v/>
      </c>
      <c r="CC103" s="57">
        <f>SUMIFS(tblFleet[Operating_h],tblFleet[Date],$A103,tblFleet[Equipment_Class],"Haul Truck")</f>
        <v/>
      </c>
      <c r="CD103" s="57">
        <f>IF($B103=$B102,$CD102,0)+$CC103</f>
        <v/>
      </c>
      <c r="CE103" s="57">
        <f>$CE102+$CC103</f>
        <v/>
      </c>
      <c r="CF103" s="67">
        <f>IFERROR(IF(($BW103)&gt;0,($BZ103)/($BW103),""),"")</f>
        <v/>
      </c>
      <c r="CG103" s="67">
        <f>IFERROR(IF(($BX103)&gt;0,($CA103)/($BX103),""),"")</f>
        <v/>
      </c>
      <c r="CH103" s="67">
        <f>IFERROR(IF(($BY103)&gt;0,($CB103)/($BY103),""),"")</f>
        <v/>
      </c>
      <c r="CI103" s="67">
        <f>IFERROR(IF(($BZ103)&gt;0,($CC103)/($BZ103),""),"")</f>
        <v/>
      </c>
      <c r="CJ103" s="67">
        <f>IFERROR(IF(($CA103)&gt;0,($CD103)/($CA103),""),"")</f>
        <v/>
      </c>
      <c r="CK103" s="67">
        <f>IFERROR(IF(($CB103)&gt;0,($CE103)/($CB103),""),"")</f>
        <v/>
      </c>
      <c r="CL103" s="55">
        <f>IFERROR(IF(($BN103)&gt;0,($X103+$AD103)/($BN103),""),"")</f>
        <v/>
      </c>
      <c r="CM103" s="55">
        <f>IFERROR(IF(($BO103)&gt;0,($Y103+$AE103)/($BO103),""),"")</f>
        <v/>
      </c>
      <c r="CN103" s="55">
        <f>IFERROR(IF(($BP103)&gt;0,($Z103+$AF103)/($BP103),""),"")</f>
        <v/>
      </c>
      <c r="CO103" s="55">
        <f>IFERROR(IF(($CC103)&gt;0,($X103+$AD103)/($CC103),""),"")</f>
        <v/>
      </c>
      <c r="CP103" s="55">
        <f>IFERROR(IF(($CD103)&gt;0,($Y103+$AE103)/($CD103),""),"")</f>
        <v/>
      </c>
      <c r="CQ103" s="55">
        <f>IFERROR(IF(($CE103)&gt;0,($Z103+$AF103)/($CE103),""),"")</f>
        <v/>
      </c>
      <c r="CR103" s="55">
        <f>SUMIFS(tblPlant[Crushed_t],tblPlant[Date],$A103)</f>
        <v/>
      </c>
      <c r="CS103" s="55">
        <f>IF($B103=$B102,$CS102,0)+$CR103</f>
        <v/>
      </c>
      <c r="CT103" s="55">
        <f>$CT102+$CR103</f>
        <v/>
      </c>
      <c r="CU103" s="55">
        <f>SUMIFS(tblPlant[Milled_t],tblPlant[Date],$A103)</f>
        <v/>
      </c>
      <c r="CV103" s="55">
        <f>IF($B103=$B102,$CV102,0)+$CU103</f>
        <v/>
      </c>
      <c r="CW103" s="55">
        <f>$CW102+$CU103</f>
        <v/>
      </c>
      <c r="CX103" s="55">
        <f>SUMIFS(tblPlant[Feed_oz],tblPlant[Date],$A103)</f>
        <v/>
      </c>
      <c r="CY103" s="55">
        <f>IF($B103=$B102,$CY102,0)+$CX103</f>
        <v/>
      </c>
      <c r="CZ103" s="55">
        <f>$CZ102+$CX103</f>
        <v/>
      </c>
      <c r="DA103" s="55">
        <f>SUMIFS(tblPlant[Tails_oz],tblPlant[Date],$A103)</f>
        <v/>
      </c>
      <c r="DB103" s="55">
        <f>IF($B103=$B102,$DB102,0)+$DA103</f>
        <v/>
      </c>
      <c r="DC103" s="55">
        <f>$DC102+$DA103</f>
        <v/>
      </c>
      <c r="DD103" s="55">
        <f>SUMIFS(tblPlant[Recovered_oz],tblPlant[Date],$A103)</f>
        <v/>
      </c>
      <c r="DE103" s="55">
        <f>IF($B103=$B102,$DE102,0)+$DD103</f>
        <v/>
      </c>
      <c r="DF103" s="55">
        <f>$DF102+$DD103</f>
        <v/>
      </c>
      <c r="DG103" s="55">
        <f>SUMIFS(tblPlant[Milled_t],tblPlant[Date],$A103,tblPlant[Head_Grade_gpt],"&lt;&gt;")</f>
        <v/>
      </c>
      <c r="DH103" s="55">
        <f>IF($B103=$B102,$DH102,0)+$DG103</f>
        <v/>
      </c>
      <c r="DI103" s="55">
        <f>$DI102+$DG103</f>
        <v/>
      </c>
      <c r="DJ103" s="55">
        <f>SUMIFS(tblPlant[Milled_t],tblPlant[Date],$A103,tblPlant[Tails_Grade_gpt],"&lt;&gt;")</f>
        <v/>
      </c>
      <c r="DK103" s="55">
        <f>IF($B103=$B102,$DK102,0)+$DJ103</f>
        <v/>
      </c>
      <c r="DL103" s="55">
        <f>$DL102+$DJ103</f>
        <v/>
      </c>
      <c r="DM103" s="55">
        <f>SUMIFS(tblPlant[Feed_oz],tblPlant[Date],$A103,tblPlant[Tails_Grade_gpt],"&lt;&gt;")</f>
        <v/>
      </c>
      <c r="DN103" s="55">
        <f>IF($B103=$B102,$DN102,0)+$DM103</f>
        <v/>
      </c>
      <c r="DO103" s="55">
        <f>$DO102+$DM103</f>
        <v/>
      </c>
      <c r="DP103" s="55">
        <f>SUMIFS(tblPlant[Milled_t],tblPlant[Date],$A103,tblPlant[Mill_Run_h],"&lt;&gt;")</f>
        <v/>
      </c>
      <c r="DQ103" s="55">
        <f>IF($B103=$B102,$DQ102,0)+$DP103</f>
        <v/>
      </c>
      <c r="DR103" s="55">
        <f>$DR102+$DP103</f>
        <v/>
      </c>
      <c r="DS103" s="56">
        <f>IFERROR(IF(($DG103)&gt;0,($CX103*cfg_TroyOz)/($DG103),""),"")</f>
        <v/>
      </c>
      <c r="DT103" s="56">
        <f>IFERROR(IF(($DH103)&gt;0,($CY103*cfg_TroyOz)/($DH103),""),"")</f>
        <v/>
      </c>
      <c r="DU103" s="56">
        <f>IFERROR(IF(($DI103)&gt;0,($CZ103*cfg_TroyOz)/($DI103),""),"")</f>
        <v/>
      </c>
      <c r="DV103" s="56">
        <f>IFERROR(IF(($DJ103)&gt;0,($DA103*cfg_TroyOz)/($DJ103),""),"")</f>
        <v/>
      </c>
      <c r="DW103" s="56">
        <f>IFERROR(IF(($DK103)&gt;0,($DB103*cfg_TroyOz)/($DK103),""),"")</f>
        <v/>
      </c>
      <c r="DX103" s="56">
        <f>IFERROR(IF(($DL103)&gt;0,($DC103*cfg_TroyOz)/($DL103),""),"")</f>
        <v/>
      </c>
      <c r="DY103" s="67">
        <f>IFERROR(IF(($DM103)&gt;0,($DD103)/($DM103),""),"")</f>
        <v/>
      </c>
      <c r="DZ103" s="67">
        <f>IFERROR(IF(($DN103)&gt;0,($DE103)/($DN103),""),"")</f>
        <v/>
      </c>
      <c r="EA103" s="67">
        <f>IFERROR(IF(($DO103)&gt;0,($DF103)/($DO103),""),"")</f>
        <v/>
      </c>
      <c r="EB103" s="55">
        <f>SUMIFS(tblPlant[Gravity_Gold_oz],tblPlant[Date],$A103)</f>
        <v/>
      </c>
      <c r="EC103" s="55">
        <f>IF($B103=$B102,$EC102,0)+$EB103</f>
        <v/>
      </c>
      <c r="ED103" s="55">
        <f>$ED102+$EB103</f>
        <v/>
      </c>
      <c r="EE103" s="67">
        <f>IFERROR(IF(($DD103)&gt;0,($EB103)/($DD103),""),"")</f>
        <v/>
      </c>
      <c r="EF103" s="67">
        <f>IFERROR(IF(($DE103)&gt;0,($EC103)/($DE103),""),"")</f>
        <v/>
      </c>
      <c r="EG103" s="67">
        <f>IFERROR(IF(($DF103)&gt;0,($ED103)/($DF103),""),"")</f>
        <v/>
      </c>
      <c r="EH103" s="55">
        <f>SUMIFS(tblPlant[Gold_Poured_oz],tblPlant[Date],$A103)</f>
        <v/>
      </c>
      <c r="EI103" s="55">
        <f>IF($B103=$B102,$EI102,0)+$EH103</f>
        <v/>
      </c>
      <c r="EJ103" s="55">
        <f>$EJ102+$EH103</f>
        <v/>
      </c>
      <c r="EK103" s="57">
        <f>SUMIFS(tblPlant[Mill_Run_h],tblPlant[Date],$A103)</f>
        <v/>
      </c>
      <c r="EL103" s="57">
        <f>IF($B103=$B102,$EL102,0)+$EK103</f>
        <v/>
      </c>
      <c r="EM103" s="57">
        <f>$EM102+$EK103</f>
        <v/>
      </c>
      <c r="EN103" s="57">
        <f>SUMIFS(tblPlant[Mill_Planned_Maint_h],tblPlant[Date],$A103)</f>
        <v/>
      </c>
      <c r="EO103" s="57">
        <f>IF($B103=$B102,$EO102,0)+$EN103</f>
        <v/>
      </c>
      <c r="EP103" s="57">
        <f>$EP102+$EN103</f>
        <v/>
      </c>
      <c r="EQ103" s="57">
        <f>SUMIFS(tblPlant[Mill_Unplanned_Down_h],tblPlant[Date],$A103)</f>
        <v/>
      </c>
      <c r="ER103" s="57">
        <f>IF($B103=$B102,$ER102,0)+$EQ103</f>
        <v/>
      </c>
      <c r="ES103" s="57">
        <f>$ES102+$EQ103</f>
        <v/>
      </c>
      <c r="ET103" s="57">
        <f>IF(COUNTIFS(tblPlant[Date],$A103,tblPlant[Mill_Run_h],"&lt;&gt;")+COUNTIFS(tblPlant[Date],$A103,tblPlant[Mill_Planned_Maint_h],"&lt;&gt;")+COUNTIFS(tblPlant[Date],$A103,tblPlant[Mill_Unplanned_Down_h],"&lt;&gt;")&gt;0,cfg_HoursPerDay,0)</f>
        <v/>
      </c>
      <c r="EU103" s="57">
        <f>IF($B103=$B102,$EU102,0)+$ET103</f>
        <v/>
      </c>
      <c r="EV103" s="57">
        <f>$EV102+$ET103</f>
        <v/>
      </c>
      <c r="EW103" s="57">
        <f>SUMIFS(tblPlant[Crusher_Run_h],tblPlant[Date],$A103)</f>
        <v/>
      </c>
      <c r="EX103" s="57">
        <f>IF($B103=$B102,$EX102,0)+$EW103</f>
        <v/>
      </c>
      <c r="EY103" s="57">
        <f>$EY102+$EW103</f>
        <v/>
      </c>
      <c r="EZ103" s="55">
        <f>IFERROR(IF(($EK103)&gt;0,($DP103)/($EK103),""),"")</f>
        <v/>
      </c>
      <c r="FA103" s="55">
        <f>IFERROR(IF(($EL103)&gt;0,($DQ103)/($EL103),""),"")</f>
        <v/>
      </c>
      <c r="FB103" s="55">
        <f>IFERROR(IF(($EM103)&gt;0,($DR103)/($EM103),""),"")</f>
        <v/>
      </c>
      <c r="FC103" s="67">
        <f>IFERROR(IF(($ET103)&gt;0,($ET103-$EN103-$EQ103)/($ET103),""),"")</f>
        <v/>
      </c>
      <c r="FD103" s="67">
        <f>IFERROR(IF(($EU103)&gt;0,($EU103-$EO103-$ER103)/($EU103),""),"")</f>
        <v/>
      </c>
      <c r="FE103" s="67">
        <f>IFERROR(IF(($EV103)&gt;0,($EV103-$EP103-$ES103)/($EV103),""),"")</f>
        <v/>
      </c>
      <c r="FF103" s="67">
        <f>IFERROR(IF(($ET103-$EN103-$EQ103)&gt;0,($EK103)/($ET103-$EN103-$EQ103),""),"")</f>
        <v/>
      </c>
      <c r="FG103" s="67">
        <f>IFERROR(IF(($EU103-$EO103-$ER103)&gt;0,($EL103)/($EU103-$EO103-$ER103),""),"")</f>
        <v/>
      </c>
      <c r="FH103" s="67">
        <f>IFERROR(IF(($EV103-$EP103-$ES103)&gt;0,($EM103)/($EV103-$EP103-$ES103),""),"")</f>
        <v/>
      </c>
      <c r="FI103" s="55">
        <f>SUMIFS(tblPlant[Cyanide_kg],tblPlant[Date],$A103)</f>
        <v/>
      </c>
      <c r="FJ103" s="55">
        <f>IF($B103=$B102,$FJ102,0)+$FI103</f>
        <v/>
      </c>
      <c r="FK103" s="55">
        <f>$FK102+$FI103</f>
        <v/>
      </c>
      <c r="FL103" s="55">
        <f>SUMIFS(tblPlant[Lime_kg],tblPlant[Date],$A103)</f>
        <v/>
      </c>
      <c r="FM103" s="55">
        <f>IF($B103=$B102,$FM102,0)+$FL103</f>
        <v/>
      </c>
      <c r="FN103" s="55">
        <f>$FN102+$FL103</f>
        <v/>
      </c>
      <c r="FO103" s="55">
        <f>SUMIFS(tblPlant[Grinding_Media_kg],tblPlant[Date],$A103)</f>
        <v/>
      </c>
      <c r="FP103" s="55">
        <f>IF($B103=$B102,$FP102,0)+$FO103</f>
        <v/>
      </c>
      <c r="FQ103" s="55">
        <f>$FQ102+$FO103</f>
        <v/>
      </c>
      <c r="FR103" s="55">
        <f>SUMIFS(tblPlant[Power_kWh],tblPlant[Date],$A103)</f>
        <v/>
      </c>
      <c r="FS103" s="55">
        <f>IF($B103=$B102,$FS102,0)+$FR103</f>
        <v/>
      </c>
      <c r="FT103" s="55">
        <f>$FT102+$FR103</f>
        <v/>
      </c>
      <c r="FU103" s="55">
        <f>SUMIFS(tblPlant[Raw_Water_m3],tblPlant[Date],$A103)</f>
        <v/>
      </c>
      <c r="FV103" s="55">
        <f>IF($B103=$B102,$FV102,0)+$FU103</f>
        <v/>
      </c>
      <c r="FW103" s="55">
        <f>$FW102+$FU103</f>
        <v/>
      </c>
      <c r="FX103" s="56">
        <f>IFERROR(IF(($CU103)&gt;0,($FI103)/($CU103),""),"")</f>
        <v/>
      </c>
      <c r="FY103" s="56">
        <f>IFERROR(IF(($CV103)&gt;0,($FJ103)/($CV103),""),"")</f>
        <v/>
      </c>
      <c r="FZ103" s="56">
        <f>IFERROR(IF(($CW103)&gt;0,($FK103)/($CW103),""),"")</f>
        <v/>
      </c>
      <c r="GA103" s="56">
        <f>IFERROR(IF(($CU103)&gt;0,($FL103)/($CU103),""),"")</f>
        <v/>
      </c>
      <c r="GB103" s="56">
        <f>IFERROR(IF(($CV103)&gt;0,($FM103)/($CV103),""),"")</f>
        <v/>
      </c>
      <c r="GC103" s="56">
        <f>IFERROR(IF(($CW103)&gt;0,($FN103)/($CW103),""),"")</f>
        <v/>
      </c>
      <c r="GD103" s="56">
        <f>IFERROR(IF(($CU103)&gt;0,($FO103)/($CU103),""),"")</f>
        <v/>
      </c>
      <c r="GE103" s="56">
        <f>IFERROR(IF(($CV103)&gt;0,($FP103)/($CV103),""),"")</f>
        <v/>
      </c>
      <c r="GF103" s="56">
        <f>IFERROR(IF(($CW103)&gt;0,($FQ103)/($CW103),""),"")</f>
        <v/>
      </c>
      <c r="GG103" s="79">
        <f>IFERROR(IF(($CU103)&gt;0,($FR103)/($CU103),""),"")</f>
        <v/>
      </c>
      <c r="GH103" s="79">
        <f>IFERROR(IF(($CV103)&gt;0,($FS103)/($CV103),""),"")</f>
        <v/>
      </c>
      <c r="GI103" s="79">
        <f>IFERROR(IF(($CW103)&gt;0,($FT103)/($CW103),""),"")</f>
        <v/>
      </c>
      <c r="GJ103" s="56">
        <f>IFERROR(IF(($CU103)&gt;0,($FU103)/($CU103),""),"")</f>
        <v/>
      </c>
      <c r="GK103" s="56">
        <f>IFERROR(IF(($CV103)&gt;0,($FV103)/($CV103),""),"")</f>
        <v/>
      </c>
      <c r="GL103" s="56">
        <f>IFERROR(IF(($CW103)&gt;0,($FW103)/($CW103),""),"")</f>
        <v/>
      </c>
      <c r="GM103" s="55">
        <f>IF(SUMIFS(tblPlant[GIC_oz],tblPlant[Date],$A103)&gt;0,SUMIFS(tblPlant[GIC_oz],tblPlant[Date],$A103),"")</f>
        <v/>
      </c>
      <c r="GN103" s="55">
        <f>SUMIFS(tblGold[Gold_oz],tblGold[Date],$A103,tblGold[Type],"Shipment")</f>
        <v/>
      </c>
      <c r="GO103" s="55">
        <f>IF($B103=$B102,$GO102,0)+$GN103</f>
        <v/>
      </c>
      <c r="GP103" s="55">
        <f>$GP102+$GN103</f>
        <v/>
      </c>
      <c r="GQ103" s="55">
        <f>SUMIFS(tblGold[Gold_oz],tblGold[Date],$A103,tblGold[Type],"Sale")</f>
        <v/>
      </c>
      <c r="GR103" s="55">
        <f>IF($B103=$B102,$GR102,0)+$GQ103</f>
        <v/>
      </c>
      <c r="GS103" s="55">
        <f>$GS102+$GQ103</f>
        <v/>
      </c>
      <c r="GT103" s="55">
        <f>SUMIFS(tblGold[Dore_kg],tblGold[Date],$A103,tblGold[Type],"Shipment")</f>
        <v/>
      </c>
      <c r="GU103" s="55">
        <f>IF($B103=$B102,$GU102,0)+$GT103</f>
        <v/>
      </c>
      <c r="GV103" s="55">
        <f>$GV102+$GT103</f>
        <v/>
      </c>
      <c r="GW103" s="57">
        <f>SUMIFS(tblSafety[Hours_Total],tblSafety[Date],$A103)</f>
        <v/>
      </c>
      <c r="GX103" s="57">
        <f>IF($B103=$B102,$GX102,0)+$GW103</f>
        <v/>
      </c>
      <c r="GY103" s="57">
        <f>$GY102+$GW103</f>
        <v/>
      </c>
      <c r="GZ103" s="62">
        <f>SUMIFS(tblSafety[Fatality],tblSafety[Date],$A103)</f>
        <v/>
      </c>
      <c r="HA103" s="62">
        <f>IF($B103=$B102,$HA102,0)+$GZ103</f>
        <v/>
      </c>
      <c r="HB103" s="62">
        <f>$HB102+$GZ103</f>
        <v/>
      </c>
      <c r="HC103" s="62">
        <f>SUMIFS(tblSafety[LTI],tblSafety[Date],$A103)</f>
        <v/>
      </c>
      <c r="HD103" s="62">
        <f>IF($B103=$B102,$HD102,0)+$HC103</f>
        <v/>
      </c>
      <c r="HE103" s="62">
        <f>$HE102+$HC103</f>
        <v/>
      </c>
      <c r="HF103" s="62">
        <f>SUMIFS(tblSafety[RWI],tblSafety[Date],$A103)</f>
        <v/>
      </c>
      <c r="HG103" s="62">
        <f>IF($B103=$B102,$HG102,0)+$HF103</f>
        <v/>
      </c>
      <c r="HH103" s="62">
        <f>$HH102+$HF103</f>
        <v/>
      </c>
      <c r="HI103" s="62">
        <f>SUMIFS(tblSafety[MTI],tblSafety[Date],$A103)</f>
        <v/>
      </c>
      <c r="HJ103" s="62">
        <f>IF($B103=$B102,$HJ102,0)+$HI103</f>
        <v/>
      </c>
      <c r="HK103" s="62">
        <f>$HK102+$HI103</f>
        <v/>
      </c>
      <c r="HL103" s="62">
        <f>SUMIFS(tblSafety[FAI],tblSafety[Date],$A103)</f>
        <v/>
      </c>
      <c r="HM103" s="62">
        <f>IF($B103=$B102,$HM102,0)+$HL103</f>
        <v/>
      </c>
      <c r="HN103" s="62">
        <f>$HN102+$HL103</f>
        <v/>
      </c>
      <c r="HO103" s="62">
        <f>SUMIFS(tblSafety[Recordables],tblSafety[Date],$A103)</f>
        <v/>
      </c>
      <c r="HP103" s="62">
        <f>IF($B103=$B102,$HP102,0)+$HO103</f>
        <v/>
      </c>
      <c r="HQ103" s="62">
        <f>$HQ102+$HO103</f>
        <v/>
      </c>
      <c r="HR103" s="62">
        <f>SUMIFS(tblSafety[Near_Miss],tblSafety[Date],$A103)</f>
        <v/>
      </c>
      <c r="HS103" s="62">
        <f>IF($B103=$B102,$HS102,0)+$HR103</f>
        <v/>
      </c>
      <c r="HT103" s="62">
        <f>$HT102+$HR103</f>
        <v/>
      </c>
      <c r="HU103" s="62">
        <f>SUMIFS(tblSafety[Hazard_Reports],tblSafety[Date],$A103)</f>
        <v/>
      </c>
      <c r="HV103" s="62">
        <f>IF($B103=$B102,$HV102,0)+$HU103</f>
        <v/>
      </c>
      <c r="HW103" s="62">
        <f>$HW102+$HU103</f>
        <v/>
      </c>
      <c r="HX103" s="62">
        <f>SUMIFS(tblSafety[HPI],tblSafety[Date],$A103)</f>
        <v/>
      </c>
      <c r="HY103" s="62">
        <f>IF($B103=$B102,$HY102,0)+$HX103</f>
        <v/>
      </c>
      <c r="HZ103" s="62">
        <f>$HZ102+$HX103</f>
        <v/>
      </c>
      <c r="IA103" s="62">
        <f>SUMIFS(tblSafety[Env_Incidents],tblSafety[Date],$A103)</f>
        <v/>
      </c>
      <c r="IB103" s="62">
        <f>IF($B103=$B102,$IB102,0)+$IA103</f>
        <v/>
      </c>
      <c r="IC103" s="62">
        <f>$IC102+$IA103</f>
        <v/>
      </c>
      <c r="ID103" s="62">
        <f>SUMIFS(tblSafety[Community_Incidents],tblSafety[Date],$A103)</f>
        <v/>
      </c>
      <c r="IE103" s="62">
        <f>IF($B103=$B102,$IE102,0)+$ID103</f>
        <v/>
      </c>
      <c r="IF103" s="62">
        <f>$IF102+$ID103</f>
        <v/>
      </c>
      <c r="IG103" s="62">
        <f>SUMIFS(tblSafety[Vehicle_Incidents],tblSafety[Date],$A103)</f>
        <v/>
      </c>
      <c r="IH103" s="62">
        <f>IF($B103=$B102,$IH102,0)+$IG103</f>
        <v/>
      </c>
      <c r="II103" s="62">
        <f>$II102+$IG103</f>
        <v/>
      </c>
      <c r="IJ103" s="62">
        <f>SUMIFS(tblSafety[Toolbox_Talks],tblSafety[Date],$A103)</f>
        <v/>
      </c>
      <c r="IK103" s="62">
        <f>IF($B103=$B102,$IK102,0)+$IJ103</f>
        <v/>
      </c>
      <c r="IL103" s="62">
        <f>$IL102+$IJ103</f>
        <v/>
      </c>
      <c r="IM103" s="62">
        <f>SUMIFS(tblSafety[Inspections],tblSafety[Date],$A103)</f>
        <v/>
      </c>
      <c r="IN103" s="62">
        <f>IF($B103=$B102,$IN102,0)+$IM103</f>
        <v/>
      </c>
      <c r="IO103" s="62">
        <f>$IO102+$IM103</f>
        <v/>
      </c>
      <c r="IP103" s="56">
        <f>IFERROR((SUMIFS(tblSafety[Recordables],tblSafety[Date],"&gt;="&amp;EDATE($E103,-12),tblSafety[Date],"&lt;="&amp;$A103)+SUMIFS(tblSafetyHistory[Recordables],tblSafetyHistory[Month],"&gt;="&amp;EDATE($E103,-12),tblSafetyHistory[Month],"&lt;"&amp;$E103,tblSafetyHistory[Use],1))/(SUMIFS(tblSafety[Hours_Total],tblSafety[Date],"&gt;="&amp;EDATE($E103,-12),tblSafety[Date],"&lt;="&amp;$A103)+SUMIFS(tblSafetyHistory[Hours_Total],tblSafetyHistory[Month],"&gt;="&amp;EDATE($E103,-12),tblSafetyHistory[Month],"&lt;"&amp;$E103,tblSafetyHistory[Use],1))*cfg_RateBasisHours,"")</f>
        <v/>
      </c>
      <c r="IQ103" s="56">
        <f>IFERROR((SUMIFS(tblSafety[LTI],tblSafety[Date],"&gt;="&amp;EDATE($E103,-12),tblSafety[Date],"&lt;="&amp;$A103)+SUMIFS(tblSafetyHistory[LTI],tblSafetyHistory[Month],"&gt;="&amp;EDATE($E103,-12),tblSafetyHistory[Month],"&lt;"&amp;$E103,tblSafetyHistory[Use],1))/(SUMIFS(tblSafety[Hours_Total],tblSafety[Date],"&gt;="&amp;EDATE($E103,-12),tblSafety[Date],"&lt;="&amp;$A103)+SUMIFS(tblSafetyHistory[Hours_Total],tblSafetyHistory[Month],"&gt;="&amp;EDATE($E103,-12),tblSafetyHistory[Month],"&lt;"&amp;$E103,tblSafetyHistory[Use],1))*cfg_RateBasisHours,"")</f>
        <v/>
      </c>
      <c r="IR103" s="62">
        <f>IF(MAX(N(cfg_PriorLTIDate),_xlfn.MAXIFS(tblSafety[Date],tblSafety[LTI],"&gt;0",tblSafety[Date],"&lt;="&amp;$A103))=0,"",$A103-MAX(N(cfg_PriorLTIDate),_xlfn.MAXIFS(tblSafety[Date],tblSafety[LTI],"&gt;0",tblSafety[Date],"&lt;="&amp;$A103)))</f>
        <v/>
      </c>
      <c r="IS103" s="55">
        <f>SUMIFS(tblBudget[Ore_Mined_t],tblBudget[Month],$E103)</f>
        <v/>
      </c>
      <c r="IT103" s="55">
        <f>$IS103*$C103/$D103</f>
        <v/>
      </c>
      <c r="IU103" s="55">
        <f>SUMIFS(tblBudget[Ore_Mined_t],tblBudget[Month],"&lt;"&amp;$E103)+$IT103</f>
        <v/>
      </c>
      <c r="IV103" s="55">
        <f>SUMIFS(tblBudget[Ore_oz],tblBudget[Month],$E103)</f>
        <v/>
      </c>
      <c r="IW103" s="55">
        <f>$IV103*$C103/$D103</f>
        <v/>
      </c>
      <c r="IX103" s="55">
        <f>SUMIFS(tblBudget[Ore_oz],tblBudget[Month],"&lt;"&amp;$E103)+$IW103</f>
        <v/>
      </c>
      <c r="IY103" s="55">
        <f>SUMIFS(tblBudget[Ore_Mined_t],tblBudget[Month],$E103)</f>
        <v/>
      </c>
      <c r="IZ103" s="55">
        <f>$IY103*$C103/$D103</f>
        <v/>
      </c>
      <c r="JA103" s="55">
        <f>SUMIFS(tblBudget[Ore_Mined_t],tblBudget[Month],"&lt;"&amp;$E103)+$IZ103</f>
        <v/>
      </c>
      <c r="JB103" s="56">
        <f>IFERROR(IF(($IY103)&gt;0,($IV103*cfg_TroyOz)/($IY103),""),"")</f>
        <v/>
      </c>
      <c r="JC103" s="56">
        <f>IFERROR(IF(($IZ103)&gt;0,($IW103*cfg_TroyOz)/($IZ103),""),"")</f>
        <v/>
      </c>
      <c r="JD103" s="56">
        <f>IFERROR(IF(($JA103)&gt;0,($IX103*cfg_TroyOz)/($JA103),""),"")</f>
        <v/>
      </c>
      <c r="JE103" s="55">
        <f>SUMIFS(tblBudget[Waste_t],tblBudget[Month],$E103)</f>
        <v/>
      </c>
      <c r="JF103" s="55">
        <f>$JE103*$C103/$D103</f>
        <v/>
      </c>
      <c r="JG103" s="55">
        <f>SUMIFS(tblBudget[Waste_t],tblBudget[Month],"&lt;"&amp;$E103)+$JF103</f>
        <v/>
      </c>
      <c r="JH103" s="55">
        <f>SUMIFS(tblBudget[TMM_t],tblBudget[Month],$E103)</f>
        <v/>
      </c>
      <c r="JI103" s="55">
        <f>$JH103*$C103/$D103</f>
        <v/>
      </c>
      <c r="JJ103" s="55">
        <f>SUMIFS(tblBudget[TMM_t],tblBudget[Month],"&lt;"&amp;$E103)+$JI103</f>
        <v/>
      </c>
      <c r="JK103" s="56">
        <f>IFERROR(IF(($IS103)&gt;0,($JE103)/($IS103),""),"")</f>
        <v/>
      </c>
      <c r="JL103" s="56">
        <f>IFERROR(IF(($IT103)&gt;0,($JF103)/($IT103),""),"")</f>
        <v/>
      </c>
      <c r="JM103" s="56">
        <f>IFERROR(IF(($IU103)&gt;0,($JG103)/($IU103),""),"")</f>
        <v/>
      </c>
      <c r="JN103" s="55">
        <f>SUMIFS(tblBudget[Drill_m],tblBudget[Month],$E103)</f>
        <v/>
      </c>
      <c r="JO103" s="55">
        <f>$JN103*$C103/$D103</f>
        <v/>
      </c>
      <c r="JP103" s="55">
        <f>SUMIFS(tblBudget[Drill_m],tblBudget[Month],"&lt;"&amp;$E103)+$JO103</f>
        <v/>
      </c>
      <c r="JQ103" s="55">
        <f>SUMIFS(tblBudget[Diesel_L],tblBudget[Month],$E103)</f>
        <v/>
      </c>
      <c r="JR103" s="55">
        <f>$JQ103*$C103/$D103</f>
        <v/>
      </c>
      <c r="JS103" s="55">
        <f>SUMIFS(tblBudget[Diesel_L],tblBudget[Month],"&lt;"&amp;$E103)+$JR103</f>
        <v/>
      </c>
      <c r="JT103" s="55">
        <f>SUMIFS(tblBudget[Milled_t],tblBudget[Month],$E103)</f>
        <v/>
      </c>
      <c r="JU103" s="55">
        <f>$JT103*$C103/$D103</f>
        <v/>
      </c>
      <c r="JV103" s="55">
        <f>SUMIFS(tblBudget[Milled_t],tblBudget[Month],"&lt;"&amp;$E103)+$JU103</f>
        <v/>
      </c>
      <c r="JW103" s="55">
        <f>SUMIFS(tblBudget[Feed_oz],tblBudget[Month],$E103)</f>
        <v/>
      </c>
      <c r="JX103" s="55">
        <f>$JW103*$C103/$D103</f>
        <v/>
      </c>
      <c r="JY103" s="55">
        <f>SUMIFS(tblBudget[Feed_oz],tblBudget[Month],"&lt;"&amp;$E103)+$JX103</f>
        <v/>
      </c>
      <c r="JZ103" s="55">
        <f>SUMIFS(tblBudget[Recovered_oz],tblBudget[Month],$E103)</f>
        <v/>
      </c>
      <c r="KA103" s="55">
        <f>$JZ103*$C103/$D103</f>
        <v/>
      </c>
      <c r="KB103" s="55">
        <f>SUMIFS(tblBudget[Recovered_oz],tblBudget[Month],"&lt;"&amp;$E103)+$KA103</f>
        <v/>
      </c>
      <c r="KC103" s="55">
        <f>SUMIFS(tblBudget[Milled_t],tblBudget[Month],$E103)</f>
        <v/>
      </c>
      <c r="KD103" s="55">
        <f>$KC103*$C103/$D103</f>
        <v/>
      </c>
      <c r="KE103" s="55">
        <f>SUMIFS(tblBudget[Milled_t],tblBudget[Month],"&lt;"&amp;$E103)+$KD103</f>
        <v/>
      </c>
      <c r="KF103" s="55">
        <f>SUMIFS(tblBudget[Feed_oz],tblBudget[Month],$E103)</f>
        <v/>
      </c>
      <c r="KG103" s="55">
        <f>$KF103*$C103/$D103</f>
        <v/>
      </c>
      <c r="KH103" s="55">
        <f>SUMIFS(tblBudget[Feed_oz],tblBudget[Month],"&lt;"&amp;$E103)+$KG103</f>
        <v/>
      </c>
      <c r="KI103" s="56">
        <f>IFERROR(IF(($KC103)&gt;0,($JW103*cfg_TroyOz)/($KC103),""),"")</f>
        <v/>
      </c>
      <c r="KJ103" s="56">
        <f>IFERROR(IF(($KD103)&gt;0,($JX103*cfg_TroyOz)/($KD103),""),"")</f>
        <v/>
      </c>
      <c r="KK103" s="56">
        <f>IFERROR(IF(($KE103)&gt;0,($JY103*cfg_TroyOz)/($KE103),""),"")</f>
        <v/>
      </c>
      <c r="KL103" s="67">
        <f>IFERROR(IF(($KF103)&gt;0,($JZ103)/($KF103),""),"")</f>
        <v/>
      </c>
      <c r="KM103" s="67">
        <f>IFERROR(IF(($KG103)&gt;0,($KA103)/($KG103),""),"")</f>
        <v/>
      </c>
      <c r="KN103" s="67">
        <f>IFERROR(IF(($KH103)&gt;0,($KB103)/($KH103),""),"")</f>
        <v/>
      </c>
      <c r="KO103" s="55">
        <f>SUMIFS(tblBudget[Gold_Poured_oz],tblBudget[Month],$E103)</f>
        <v/>
      </c>
      <c r="KP103" s="55">
        <f>$KO103*$C103/$D103</f>
        <v/>
      </c>
      <c r="KQ103" s="55">
        <f>SUMIFS(tblBudget[Gold_Poured_oz],tblBudget[Month],"&lt;"&amp;$E103)+$KP103</f>
        <v/>
      </c>
      <c r="KR103" s="57">
        <f>SUMIFS(tblBudget[Hours_Worked],tblBudget[Month],$E103)</f>
        <v/>
      </c>
      <c r="KS103" s="57">
        <f>$KR103*$C103/$D103</f>
        <v/>
      </c>
      <c r="KT103" s="57">
        <f>SUMIFS(tblBudget[Hours_Worked],tblBudget[Month],"&lt;"&amp;$E103)+$KS103</f>
        <v/>
      </c>
    </row>
    <row r="104">
      <c r="A104" s="54" t="n">
        <v>46125</v>
      </c>
      <c r="B104">
        <f>MONTH($A104)</f>
        <v/>
      </c>
      <c r="C104">
        <f>DAY($A104)</f>
        <v/>
      </c>
      <c r="D104">
        <f>DAY(EOMONTH($A104,0))</f>
        <v/>
      </c>
      <c r="E104" s="54">
        <f>DATE(YEAR($A104),MONTH($A104),1)</f>
        <v/>
      </c>
      <c r="F104" s="55">
        <f>SUMIFS(tblMovement[Tonnes_t],tblMovement[Date],$A104,tblMovement[Is_Ore],1,tblMovement[Source_Type],"Pit")</f>
        <v/>
      </c>
      <c r="G104" s="55">
        <f>IF($B104=$B103,$G103,0)+$F104</f>
        <v/>
      </c>
      <c r="H104" s="55">
        <f>$H103+$F104</f>
        <v/>
      </c>
      <c r="I104" s="55">
        <f>SUMIFS(tblMovement[Ore_oz],tblMovement[Date],$A104,tblMovement[Source_Type],"Pit")</f>
        <v/>
      </c>
      <c r="J104" s="55">
        <f>IF($B104=$B103,$J103,0)+$I104</f>
        <v/>
      </c>
      <c r="K104" s="55">
        <f>$K103+$I104</f>
        <v/>
      </c>
      <c r="L104" s="55">
        <f>SUMIFS(tblMovement[Tonnes_t],tblMovement[Date],$A104,tblMovement[Is_Ore],1,tblMovement[Source_Type],"Pit",tblMovement[Grade_gpt],"&lt;&gt;")</f>
        <v/>
      </c>
      <c r="M104" s="55">
        <f>IF($B104=$B103,$M103,0)+$L104</f>
        <v/>
      </c>
      <c r="N104" s="55">
        <f>$N103+$L104</f>
        <v/>
      </c>
      <c r="O104" s="56">
        <f>IFERROR(IF(($L104)&gt;0,($I104*cfg_TroyOz)/($L104),""),"")</f>
        <v/>
      </c>
      <c r="P104" s="56">
        <f>IFERROR(IF(($M104)&gt;0,($J104*cfg_TroyOz)/($M104),""),"")</f>
        <v/>
      </c>
      <c r="Q104" s="56">
        <f>IFERROR(IF(($N104)&gt;0,($K104*cfg_TroyOz)/($N104),""),"")</f>
        <v/>
      </c>
      <c r="R104" s="55">
        <f>$F104-$L104</f>
        <v/>
      </c>
      <c r="S104" s="55">
        <f>IF($B104=$B103,$S103,0)+$R104</f>
        <v/>
      </c>
      <c r="T104" s="55">
        <f>$T103+$R104</f>
        <v/>
      </c>
      <c r="U104" s="55">
        <f>SUMIFS(tblMovement[Tonnes_t],tblMovement[Date],$A104,tblMovement[Is_Ore],0,tblMovement[Source_Type],"Pit")</f>
        <v/>
      </c>
      <c r="V104" s="55">
        <f>IF($B104=$B103,$V103,0)+$U104</f>
        <v/>
      </c>
      <c r="W104" s="55">
        <f>$W103+$U104</f>
        <v/>
      </c>
      <c r="X104" s="55">
        <f>$F104+$U104</f>
        <v/>
      </c>
      <c r="Y104" s="55">
        <f>IF($B104=$B103,$Y103,0)+$X104</f>
        <v/>
      </c>
      <c r="Z104" s="55">
        <f>$Z103+$X104</f>
        <v/>
      </c>
      <c r="AA104" s="56">
        <f>IFERROR(IF(($F104)&gt;0,($U104)/($F104),""),"")</f>
        <v/>
      </c>
      <c r="AB104" s="56">
        <f>IFERROR(IF(($G104)&gt;0,($V104)/($G104),""),"")</f>
        <v/>
      </c>
      <c r="AC104" s="56">
        <f>IFERROR(IF(($H104)&gt;0,($W104)/($H104),""),"")</f>
        <v/>
      </c>
      <c r="AD104" s="55">
        <f>SUMIFS(tblMovement[Tonnes_t],tblMovement[Date],$A104,tblMovement[Source_Type],"Stockpile")</f>
        <v/>
      </c>
      <c r="AE104" s="55">
        <f>IF($B104=$B103,$AE103,0)+$AD104</f>
        <v/>
      </c>
      <c r="AF104" s="55">
        <f>$AF103+$AD104</f>
        <v/>
      </c>
      <c r="AG104" s="55">
        <f>SUMIFS(tblMovement[Tonnes_t],tblMovement[Date],$A104)</f>
        <v/>
      </c>
      <c r="AH104" s="55">
        <f>IF($B104=$B103,$AH103,0)+$AG104</f>
        <v/>
      </c>
      <c r="AI104" s="55">
        <f>$AI103+$AG104</f>
        <v/>
      </c>
      <c r="AJ104" s="55">
        <f>$AG104-$X104-$AD104</f>
        <v/>
      </c>
      <c r="AK104" s="55">
        <f>IF($B104=$B103,$AK103,0)+$AJ104</f>
        <v/>
      </c>
      <c r="AL104" s="55">
        <f>$AL103+$AJ104</f>
        <v/>
      </c>
      <c r="AM104" s="55">
        <f>SUMIFS(tblMiningDaily[Drill_m],tblMiningDaily[Date],$A104)</f>
        <v/>
      </c>
      <c r="AN104" s="55">
        <f>IF($B104=$B103,$AN103,0)+$AM104</f>
        <v/>
      </c>
      <c r="AO104" s="55">
        <f>$AO103+$AM104</f>
        <v/>
      </c>
      <c r="AP104" s="55">
        <f>SUMIFS(tblMiningDaily[GC_Drill_m],tblMiningDaily[Date],$A104)</f>
        <v/>
      </c>
      <c r="AQ104" s="55">
        <f>IF($B104=$B103,$AQ103,0)+$AP104</f>
        <v/>
      </c>
      <c r="AR104" s="55">
        <f>$AR103+$AP104</f>
        <v/>
      </c>
      <c r="AS104" s="55">
        <f>SUMIFS(tblMiningDaily[Blast_t],tblMiningDaily[Date],$A104)</f>
        <v/>
      </c>
      <c r="AT104" s="55">
        <f>IF($B104=$B103,$AT103,0)+$AS104</f>
        <v/>
      </c>
      <c r="AU104" s="55">
        <f>$AU103+$AS104</f>
        <v/>
      </c>
      <c r="AV104" s="55">
        <f>SUMIFS(tblMiningDaily[Explosives_kg],tblMiningDaily[Date],$A104)</f>
        <v/>
      </c>
      <c r="AW104" s="55">
        <f>IF($B104=$B103,$AW103,0)+$AV104</f>
        <v/>
      </c>
      <c r="AX104" s="55">
        <f>$AX103+$AV104</f>
        <v/>
      </c>
      <c r="AY104" s="56">
        <f>IFERROR(IF(($AS104)&gt;0,($AV104)/($AS104),""),"")</f>
        <v/>
      </c>
      <c r="AZ104" s="56">
        <f>IFERROR(IF(($AT104)&gt;0,($AW104)/($AT104),""),"")</f>
        <v/>
      </c>
      <c r="BA104" s="56">
        <f>IFERROR(IF(($AU104)&gt;0,($AX104)/($AU104),""),"")</f>
        <v/>
      </c>
      <c r="BB104" s="55">
        <f>SUMIFS(tblMiningDaily[Diesel_L],tblMiningDaily[Date],$A104)</f>
        <v/>
      </c>
      <c r="BC104" s="55">
        <f>IF($B104=$B103,$BC103,0)+$BB104</f>
        <v/>
      </c>
      <c r="BD104" s="55">
        <f>$BD103+$BB104</f>
        <v/>
      </c>
      <c r="BE104" s="55">
        <f>SUMIFS(tblMiningDaily[Dewatering_m3],tblMiningDaily[Date],$A104)</f>
        <v/>
      </c>
      <c r="BF104" s="55">
        <f>IF($B104=$B103,$BF103,0)+$BE104</f>
        <v/>
      </c>
      <c r="BG104" s="55">
        <f>$BG103+$BE104</f>
        <v/>
      </c>
      <c r="BH104" s="57">
        <f>SUMIFS(tblFleet[Calendar_h],tblFleet[Date],$A104,tblFleet[Equipment_Class],"Excavator")</f>
        <v/>
      </c>
      <c r="BI104" s="57">
        <f>IF($B104=$B103,$BI103,0)+$BH104</f>
        <v/>
      </c>
      <c r="BJ104" s="57">
        <f>$BJ103+$BH104</f>
        <v/>
      </c>
      <c r="BK104" s="57">
        <f>SUMIFS(tblFleet[Available_h],tblFleet[Date],$A104,tblFleet[Equipment_Class],"Excavator")</f>
        <v/>
      </c>
      <c r="BL104" s="57">
        <f>IF($B104=$B103,$BL103,0)+$BK104</f>
        <v/>
      </c>
      <c r="BM104" s="57">
        <f>$BM103+$BK104</f>
        <v/>
      </c>
      <c r="BN104" s="57">
        <f>SUMIFS(tblFleet[Operating_h],tblFleet[Date],$A104,tblFleet[Equipment_Class],"Excavator")</f>
        <v/>
      </c>
      <c r="BO104" s="57">
        <f>IF($B104=$B103,$BO103,0)+$BN104</f>
        <v/>
      </c>
      <c r="BP104" s="57">
        <f>$BP103+$BN104</f>
        <v/>
      </c>
      <c r="BQ104" s="67">
        <f>IFERROR(IF(($BH104)&gt;0,($BK104)/($BH104),""),"")</f>
        <v/>
      </c>
      <c r="BR104" s="67">
        <f>IFERROR(IF(($BI104)&gt;0,($BL104)/($BI104),""),"")</f>
        <v/>
      </c>
      <c r="BS104" s="67">
        <f>IFERROR(IF(($BJ104)&gt;0,($BM104)/($BJ104),""),"")</f>
        <v/>
      </c>
      <c r="BT104" s="67">
        <f>IFERROR(IF(($BK104)&gt;0,($BN104)/($BK104),""),"")</f>
        <v/>
      </c>
      <c r="BU104" s="67">
        <f>IFERROR(IF(($BL104)&gt;0,($BO104)/($BL104),""),"")</f>
        <v/>
      </c>
      <c r="BV104" s="67">
        <f>IFERROR(IF(($BM104)&gt;0,($BP104)/($BM104),""),"")</f>
        <v/>
      </c>
      <c r="BW104" s="57">
        <f>SUMIFS(tblFleet[Calendar_h],tblFleet[Date],$A104,tblFleet[Equipment_Class],"Haul Truck")</f>
        <v/>
      </c>
      <c r="BX104" s="57">
        <f>IF($B104=$B103,$BX103,0)+$BW104</f>
        <v/>
      </c>
      <c r="BY104" s="57">
        <f>$BY103+$BW104</f>
        <v/>
      </c>
      <c r="BZ104" s="57">
        <f>SUMIFS(tblFleet[Available_h],tblFleet[Date],$A104,tblFleet[Equipment_Class],"Haul Truck")</f>
        <v/>
      </c>
      <c r="CA104" s="57">
        <f>IF($B104=$B103,$CA103,0)+$BZ104</f>
        <v/>
      </c>
      <c r="CB104" s="57">
        <f>$CB103+$BZ104</f>
        <v/>
      </c>
      <c r="CC104" s="57">
        <f>SUMIFS(tblFleet[Operating_h],tblFleet[Date],$A104,tblFleet[Equipment_Class],"Haul Truck")</f>
        <v/>
      </c>
      <c r="CD104" s="57">
        <f>IF($B104=$B103,$CD103,0)+$CC104</f>
        <v/>
      </c>
      <c r="CE104" s="57">
        <f>$CE103+$CC104</f>
        <v/>
      </c>
      <c r="CF104" s="67">
        <f>IFERROR(IF(($BW104)&gt;0,($BZ104)/($BW104),""),"")</f>
        <v/>
      </c>
      <c r="CG104" s="67">
        <f>IFERROR(IF(($BX104)&gt;0,($CA104)/($BX104),""),"")</f>
        <v/>
      </c>
      <c r="CH104" s="67">
        <f>IFERROR(IF(($BY104)&gt;0,($CB104)/($BY104),""),"")</f>
        <v/>
      </c>
      <c r="CI104" s="67">
        <f>IFERROR(IF(($BZ104)&gt;0,($CC104)/($BZ104),""),"")</f>
        <v/>
      </c>
      <c r="CJ104" s="67">
        <f>IFERROR(IF(($CA104)&gt;0,($CD104)/($CA104),""),"")</f>
        <v/>
      </c>
      <c r="CK104" s="67">
        <f>IFERROR(IF(($CB104)&gt;0,($CE104)/($CB104),""),"")</f>
        <v/>
      </c>
      <c r="CL104" s="55">
        <f>IFERROR(IF(($BN104)&gt;0,($X104+$AD104)/($BN104),""),"")</f>
        <v/>
      </c>
      <c r="CM104" s="55">
        <f>IFERROR(IF(($BO104)&gt;0,($Y104+$AE104)/($BO104),""),"")</f>
        <v/>
      </c>
      <c r="CN104" s="55">
        <f>IFERROR(IF(($BP104)&gt;0,($Z104+$AF104)/($BP104),""),"")</f>
        <v/>
      </c>
      <c r="CO104" s="55">
        <f>IFERROR(IF(($CC104)&gt;0,($X104+$AD104)/($CC104),""),"")</f>
        <v/>
      </c>
      <c r="CP104" s="55">
        <f>IFERROR(IF(($CD104)&gt;0,($Y104+$AE104)/($CD104),""),"")</f>
        <v/>
      </c>
      <c r="CQ104" s="55">
        <f>IFERROR(IF(($CE104)&gt;0,($Z104+$AF104)/($CE104),""),"")</f>
        <v/>
      </c>
      <c r="CR104" s="55">
        <f>SUMIFS(tblPlant[Crushed_t],tblPlant[Date],$A104)</f>
        <v/>
      </c>
      <c r="CS104" s="55">
        <f>IF($B104=$B103,$CS103,0)+$CR104</f>
        <v/>
      </c>
      <c r="CT104" s="55">
        <f>$CT103+$CR104</f>
        <v/>
      </c>
      <c r="CU104" s="55">
        <f>SUMIFS(tblPlant[Milled_t],tblPlant[Date],$A104)</f>
        <v/>
      </c>
      <c r="CV104" s="55">
        <f>IF($B104=$B103,$CV103,0)+$CU104</f>
        <v/>
      </c>
      <c r="CW104" s="55">
        <f>$CW103+$CU104</f>
        <v/>
      </c>
      <c r="CX104" s="55">
        <f>SUMIFS(tblPlant[Feed_oz],tblPlant[Date],$A104)</f>
        <v/>
      </c>
      <c r="CY104" s="55">
        <f>IF($B104=$B103,$CY103,0)+$CX104</f>
        <v/>
      </c>
      <c r="CZ104" s="55">
        <f>$CZ103+$CX104</f>
        <v/>
      </c>
      <c r="DA104" s="55">
        <f>SUMIFS(tblPlant[Tails_oz],tblPlant[Date],$A104)</f>
        <v/>
      </c>
      <c r="DB104" s="55">
        <f>IF($B104=$B103,$DB103,0)+$DA104</f>
        <v/>
      </c>
      <c r="DC104" s="55">
        <f>$DC103+$DA104</f>
        <v/>
      </c>
      <c r="DD104" s="55">
        <f>SUMIFS(tblPlant[Recovered_oz],tblPlant[Date],$A104)</f>
        <v/>
      </c>
      <c r="DE104" s="55">
        <f>IF($B104=$B103,$DE103,0)+$DD104</f>
        <v/>
      </c>
      <c r="DF104" s="55">
        <f>$DF103+$DD104</f>
        <v/>
      </c>
      <c r="DG104" s="55">
        <f>SUMIFS(tblPlant[Milled_t],tblPlant[Date],$A104,tblPlant[Head_Grade_gpt],"&lt;&gt;")</f>
        <v/>
      </c>
      <c r="DH104" s="55">
        <f>IF($B104=$B103,$DH103,0)+$DG104</f>
        <v/>
      </c>
      <c r="DI104" s="55">
        <f>$DI103+$DG104</f>
        <v/>
      </c>
      <c r="DJ104" s="55">
        <f>SUMIFS(tblPlant[Milled_t],tblPlant[Date],$A104,tblPlant[Tails_Grade_gpt],"&lt;&gt;")</f>
        <v/>
      </c>
      <c r="DK104" s="55">
        <f>IF($B104=$B103,$DK103,0)+$DJ104</f>
        <v/>
      </c>
      <c r="DL104" s="55">
        <f>$DL103+$DJ104</f>
        <v/>
      </c>
      <c r="DM104" s="55">
        <f>SUMIFS(tblPlant[Feed_oz],tblPlant[Date],$A104,tblPlant[Tails_Grade_gpt],"&lt;&gt;")</f>
        <v/>
      </c>
      <c r="DN104" s="55">
        <f>IF($B104=$B103,$DN103,0)+$DM104</f>
        <v/>
      </c>
      <c r="DO104" s="55">
        <f>$DO103+$DM104</f>
        <v/>
      </c>
      <c r="DP104" s="55">
        <f>SUMIFS(tblPlant[Milled_t],tblPlant[Date],$A104,tblPlant[Mill_Run_h],"&lt;&gt;")</f>
        <v/>
      </c>
      <c r="DQ104" s="55">
        <f>IF($B104=$B103,$DQ103,0)+$DP104</f>
        <v/>
      </c>
      <c r="DR104" s="55">
        <f>$DR103+$DP104</f>
        <v/>
      </c>
      <c r="DS104" s="56">
        <f>IFERROR(IF(($DG104)&gt;0,($CX104*cfg_TroyOz)/($DG104),""),"")</f>
        <v/>
      </c>
      <c r="DT104" s="56">
        <f>IFERROR(IF(($DH104)&gt;0,($CY104*cfg_TroyOz)/($DH104),""),"")</f>
        <v/>
      </c>
      <c r="DU104" s="56">
        <f>IFERROR(IF(($DI104)&gt;0,($CZ104*cfg_TroyOz)/($DI104),""),"")</f>
        <v/>
      </c>
      <c r="DV104" s="56">
        <f>IFERROR(IF(($DJ104)&gt;0,($DA104*cfg_TroyOz)/($DJ104),""),"")</f>
        <v/>
      </c>
      <c r="DW104" s="56">
        <f>IFERROR(IF(($DK104)&gt;0,($DB104*cfg_TroyOz)/($DK104),""),"")</f>
        <v/>
      </c>
      <c r="DX104" s="56">
        <f>IFERROR(IF(($DL104)&gt;0,($DC104*cfg_TroyOz)/($DL104),""),"")</f>
        <v/>
      </c>
      <c r="DY104" s="67">
        <f>IFERROR(IF(($DM104)&gt;0,($DD104)/($DM104),""),"")</f>
        <v/>
      </c>
      <c r="DZ104" s="67">
        <f>IFERROR(IF(($DN104)&gt;0,($DE104)/($DN104),""),"")</f>
        <v/>
      </c>
      <c r="EA104" s="67">
        <f>IFERROR(IF(($DO104)&gt;0,($DF104)/($DO104),""),"")</f>
        <v/>
      </c>
      <c r="EB104" s="55">
        <f>SUMIFS(tblPlant[Gravity_Gold_oz],tblPlant[Date],$A104)</f>
        <v/>
      </c>
      <c r="EC104" s="55">
        <f>IF($B104=$B103,$EC103,0)+$EB104</f>
        <v/>
      </c>
      <c r="ED104" s="55">
        <f>$ED103+$EB104</f>
        <v/>
      </c>
      <c r="EE104" s="67">
        <f>IFERROR(IF(($DD104)&gt;0,($EB104)/($DD104),""),"")</f>
        <v/>
      </c>
      <c r="EF104" s="67">
        <f>IFERROR(IF(($DE104)&gt;0,($EC104)/($DE104),""),"")</f>
        <v/>
      </c>
      <c r="EG104" s="67">
        <f>IFERROR(IF(($DF104)&gt;0,($ED104)/($DF104),""),"")</f>
        <v/>
      </c>
      <c r="EH104" s="55">
        <f>SUMIFS(tblPlant[Gold_Poured_oz],tblPlant[Date],$A104)</f>
        <v/>
      </c>
      <c r="EI104" s="55">
        <f>IF($B104=$B103,$EI103,0)+$EH104</f>
        <v/>
      </c>
      <c r="EJ104" s="55">
        <f>$EJ103+$EH104</f>
        <v/>
      </c>
      <c r="EK104" s="57">
        <f>SUMIFS(tblPlant[Mill_Run_h],tblPlant[Date],$A104)</f>
        <v/>
      </c>
      <c r="EL104" s="57">
        <f>IF($B104=$B103,$EL103,0)+$EK104</f>
        <v/>
      </c>
      <c r="EM104" s="57">
        <f>$EM103+$EK104</f>
        <v/>
      </c>
      <c r="EN104" s="57">
        <f>SUMIFS(tblPlant[Mill_Planned_Maint_h],tblPlant[Date],$A104)</f>
        <v/>
      </c>
      <c r="EO104" s="57">
        <f>IF($B104=$B103,$EO103,0)+$EN104</f>
        <v/>
      </c>
      <c r="EP104" s="57">
        <f>$EP103+$EN104</f>
        <v/>
      </c>
      <c r="EQ104" s="57">
        <f>SUMIFS(tblPlant[Mill_Unplanned_Down_h],tblPlant[Date],$A104)</f>
        <v/>
      </c>
      <c r="ER104" s="57">
        <f>IF($B104=$B103,$ER103,0)+$EQ104</f>
        <v/>
      </c>
      <c r="ES104" s="57">
        <f>$ES103+$EQ104</f>
        <v/>
      </c>
      <c r="ET104" s="57">
        <f>IF(COUNTIFS(tblPlant[Date],$A104,tblPlant[Mill_Run_h],"&lt;&gt;")+COUNTIFS(tblPlant[Date],$A104,tblPlant[Mill_Planned_Maint_h],"&lt;&gt;")+COUNTIFS(tblPlant[Date],$A104,tblPlant[Mill_Unplanned_Down_h],"&lt;&gt;")&gt;0,cfg_HoursPerDay,0)</f>
        <v/>
      </c>
      <c r="EU104" s="57">
        <f>IF($B104=$B103,$EU103,0)+$ET104</f>
        <v/>
      </c>
      <c r="EV104" s="57">
        <f>$EV103+$ET104</f>
        <v/>
      </c>
      <c r="EW104" s="57">
        <f>SUMIFS(tblPlant[Crusher_Run_h],tblPlant[Date],$A104)</f>
        <v/>
      </c>
      <c r="EX104" s="57">
        <f>IF($B104=$B103,$EX103,0)+$EW104</f>
        <v/>
      </c>
      <c r="EY104" s="57">
        <f>$EY103+$EW104</f>
        <v/>
      </c>
      <c r="EZ104" s="55">
        <f>IFERROR(IF(($EK104)&gt;0,($DP104)/($EK104),""),"")</f>
        <v/>
      </c>
      <c r="FA104" s="55">
        <f>IFERROR(IF(($EL104)&gt;0,($DQ104)/($EL104),""),"")</f>
        <v/>
      </c>
      <c r="FB104" s="55">
        <f>IFERROR(IF(($EM104)&gt;0,($DR104)/($EM104),""),"")</f>
        <v/>
      </c>
      <c r="FC104" s="67">
        <f>IFERROR(IF(($ET104)&gt;0,($ET104-$EN104-$EQ104)/($ET104),""),"")</f>
        <v/>
      </c>
      <c r="FD104" s="67">
        <f>IFERROR(IF(($EU104)&gt;0,($EU104-$EO104-$ER104)/($EU104),""),"")</f>
        <v/>
      </c>
      <c r="FE104" s="67">
        <f>IFERROR(IF(($EV104)&gt;0,($EV104-$EP104-$ES104)/($EV104),""),"")</f>
        <v/>
      </c>
      <c r="FF104" s="67">
        <f>IFERROR(IF(($ET104-$EN104-$EQ104)&gt;0,($EK104)/($ET104-$EN104-$EQ104),""),"")</f>
        <v/>
      </c>
      <c r="FG104" s="67">
        <f>IFERROR(IF(($EU104-$EO104-$ER104)&gt;0,($EL104)/($EU104-$EO104-$ER104),""),"")</f>
        <v/>
      </c>
      <c r="FH104" s="67">
        <f>IFERROR(IF(($EV104-$EP104-$ES104)&gt;0,($EM104)/($EV104-$EP104-$ES104),""),"")</f>
        <v/>
      </c>
      <c r="FI104" s="55">
        <f>SUMIFS(tblPlant[Cyanide_kg],tblPlant[Date],$A104)</f>
        <v/>
      </c>
      <c r="FJ104" s="55">
        <f>IF($B104=$B103,$FJ103,0)+$FI104</f>
        <v/>
      </c>
      <c r="FK104" s="55">
        <f>$FK103+$FI104</f>
        <v/>
      </c>
      <c r="FL104" s="55">
        <f>SUMIFS(tblPlant[Lime_kg],tblPlant[Date],$A104)</f>
        <v/>
      </c>
      <c r="FM104" s="55">
        <f>IF($B104=$B103,$FM103,0)+$FL104</f>
        <v/>
      </c>
      <c r="FN104" s="55">
        <f>$FN103+$FL104</f>
        <v/>
      </c>
      <c r="FO104" s="55">
        <f>SUMIFS(tblPlant[Grinding_Media_kg],tblPlant[Date],$A104)</f>
        <v/>
      </c>
      <c r="FP104" s="55">
        <f>IF($B104=$B103,$FP103,0)+$FO104</f>
        <v/>
      </c>
      <c r="FQ104" s="55">
        <f>$FQ103+$FO104</f>
        <v/>
      </c>
      <c r="FR104" s="55">
        <f>SUMIFS(tblPlant[Power_kWh],tblPlant[Date],$A104)</f>
        <v/>
      </c>
      <c r="FS104" s="55">
        <f>IF($B104=$B103,$FS103,0)+$FR104</f>
        <v/>
      </c>
      <c r="FT104" s="55">
        <f>$FT103+$FR104</f>
        <v/>
      </c>
      <c r="FU104" s="55">
        <f>SUMIFS(tblPlant[Raw_Water_m3],tblPlant[Date],$A104)</f>
        <v/>
      </c>
      <c r="FV104" s="55">
        <f>IF($B104=$B103,$FV103,0)+$FU104</f>
        <v/>
      </c>
      <c r="FW104" s="55">
        <f>$FW103+$FU104</f>
        <v/>
      </c>
      <c r="FX104" s="56">
        <f>IFERROR(IF(($CU104)&gt;0,($FI104)/($CU104),""),"")</f>
        <v/>
      </c>
      <c r="FY104" s="56">
        <f>IFERROR(IF(($CV104)&gt;0,($FJ104)/($CV104),""),"")</f>
        <v/>
      </c>
      <c r="FZ104" s="56">
        <f>IFERROR(IF(($CW104)&gt;0,($FK104)/($CW104),""),"")</f>
        <v/>
      </c>
      <c r="GA104" s="56">
        <f>IFERROR(IF(($CU104)&gt;0,($FL104)/($CU104),""),"")</f>
        <v/>
      </c>
      <c r="GB104" s="56">
        <f>IFERROR(IF(($CV104)&gt;0,($FM104)/($CV104),""),"")</f>
        <v/>
      </c>
      <c r="GC104" s="56">
        <f>IFERROR(IF(($CW104)&gt;0,($FN104)/($CW104),""),"")</f>
        <v/>
      </c>
      <c r="GD104" s="56">
        <f>IFERROR(IF(($CU104)&gt;0,($FO104)/($CU104),""),"")</f>
        <v/>
      </c>
      <c r="GE104" s="56">
        <f>IFERROR(IF(($CV104)&gt;0,($FP104)/($CV104),""),"")</f>
        <v/>
      </c>
      <c r="GF104" s="56">
        <f>IFERROR(IF(($CW104)&gt;0,($FQ104)/($CW104),""),"")</f>
        <v/>
      </c>
      <c r="GG104" s="79">
        <f>IFERROR(IF(($CU104)&gt;0,($FR104)/($CU104),""),"")</f>
        <v/>
      </c>
      <c r="GH104" s="79">
        <f>IFERROR(IF(($CV104)&gt;0,($FS104)/($CV104),""),"")</f>
        <v/>
      </c>
      <c r="GI104" s="79">
        <f>IFERROR(IF(($CW104)&gt;0,($FT104)/($CW104),""),"")</f>
        <v/>
      </c>
      <c r="GJ104" s="56">
        <f>IFERROR(IF(($CU104)&gt;0,($FU104)/($CU104),""),"")</f>
        <v/>
      </c>
      <c r="GK104" s="56">
        <f>IFERROR(IF(($CV104)&gt;0,($FV104)/($CV104),""),"")</f>
        <v/>
      </c>
      <c r="GL104" s="56">
        <f>IFERROR(IF(($CW104)&gt;0,($FW104)/($CW104),""),"")</f>
        <v/>
      </c>
      <c r="GM104" s="55">
        <f>IF(SUMIFS(tblPlant[GIC_oz],tblPlant[Date],$A104)&gt;0,SUMIFS(tblPlant[GIC_oz],tblPlant[Date],$A104),"")</f>
        <v/>
      </c>
      <c r="GN104" s="55">
        <f>SUMIFS(tblGold[Gold_oz],tblGold[Date],$A104,tblGold[Type],"Shipment")</f>
        <v/>
      </c>
      <c r="GO104" s="55">
        <f>IF($B104=$B103,$GO103,0)+$GN104</f>
        <v/>
      </c>
      <c r="GP104" s="55">
        <f>$GP103+$GN104</f>
        <v/>
      </c>
      <c r="GQ104" s="55">
        <f>SUMIFS(tblGold[Gold_oz],tblGold[Date],$A104,tblGold[Type],"Sale")</f>
        <v/>
      </c>
      <c r="GR104" s="55">
        <f>IF($B104=$B103,$GR103,0)+$GQ104</f>
        <v/>
      </c>
      <c r="GS104" s="55">
        <f>$GS103+$GQ104</f>
        <v/>
      </c>
      <c r="GT104" s="55">
        <f>SUMIFS(tblGold[Dore_kg],tblGold[Date],$A104,tblGold[Type],"Shipment")</f>
        <v/>
      </c>
      <c r="GU104" s="55">
        <f>IF($B104=$B103,$GU103,0)+$GT104</f>
        <v/>
      </c>
      <c r="GV104" s="55">
        <f>$GV103+$GT104</f>
        <v/>
      </c>
      <c r="GW104" s="57">
        <f>SUMIFS(tblSafety[Hours_Total],tblSafety[Date],$A104)</f>
        <v/>
      </c>
      <c r="GX104" s="57">
        <f>IF($B104=$B103,$GX103,0)+$GW104</f>
        <v/>
      </c>
      <c r="GY104" s="57">
        <f>$GY103+$GW104</f>
        <v/>
      </c>
      <c r="GZ104" s="62">
        <f>SUMIFS(tblSafety[Fatality],tblSafety[Date],$A104)</f>
        <v/>
      </c>
      <c r="HA104" s="62">
        <f>IF($B104=$B103,$HA103,0)+$GZ104</f>
        <v/>
      </c>
      <c r="HB104" s="62">
        <f>$HB103+$GZ104</f>
        <v/>
      </c>
      <c r="HC104" s="62">
        <f>SUMIFS(tblSafety[LTI],tblSafety[Date],$A104)</f>
        <v/>
      </c>
      <c r="HD104" s="62">
        <f>IF($B104=$B103,$HD103,0)+$HC104</f>
        <v/>
      </c>
      <c r="HE104" s="62">
        <f>$HE103+$HC104</f>
        <v/>
      </c>
      <c r="HF104" s="62">
        <f>SUMIFS(tblSafety[RWI],tblSafety[Date],$A104)</f>
        <v/>
      </c>
      <c r="HG104" s="62">
        <f>IF($B104=$B103,$HG103,0)+$HF104</f>
        <v/>
      </c>
      <c r="HH104" s="62">
        <f>$HH103+$HF104</f>
        <v/>
      </c>
      <c r="HI104" s="62">
        <f>SUMIFS(tblSafety[MTI],tblSafety[Date],$A104)</f>
        <v/>
      </c>
      <c r="HJ104" s="62">
        <f>IF($B104=$B103,$HJ103,0)+$HI104</f>
        <v/>
      </c>
      <c r="HK104" s="62">
        <f>$HK103+$HI104</f>
        <v/>
      </c>
      <c r="HL104" s="62">
        <f>SUMIFS(tblSafety[FAI],tblSafety[Date],$A104)</f>
        <v/>
      </c>
      <c r="HM104" s="62">
        <f>IF($B104=$B103,$HM103,0)+$HL104</f>
        <v/>
      </c>
      <c r="HN104" s="62">
        <f>$HN103+$HL104</f>
        <v/>
      </c>
      <c r="HO104" s="62">
        <f>SUMIFS(tblSafety[Recordables],tblSafety[Date],$A104)</f>
        <v/>
      </c>
      <c r="HP104" s="62">
        <f>IF($B104=$B103,$HP103,0)+$HO104</f>
        <v/>
      </c>
      <c r="HQ104" s="62">
        <f>$HQ103+$HO104</f>
        <v/>
      </c>
      <c r="HR104" s="62">
        <f>SUMIFS(tblSafety[Near_Miss],tblSafety[Date],$A104)</f>
        <v/>
      </c>
      <c r="HS104" s="62">
        <f>IF($B104=$B103,$HS103,0)+$HR104</f>
        <v/>
      </c>
      <c r="HT104" s="62">
        <f>$HT103+$HR104</f>
        <v/>
      </c>
      <c r="HU104" s="62">
        <f>SUMIFS(tblSafety[Hazard_Reports],tblSafety[Date],$A104)</f>
        <v/>
      </c>
      <c r="HV104" s="62">
        <f>IF($B104=$B103,$HV103,0)+$HU104</f>
        <v/>
      </c>
      <c r="HW104" s="62">
        <f>$HW103+$HU104</f>
        <v/>
      </c>
      <c r="HX104" s="62">
        <f>SUMIFS(tblSafety[HPI],tblSafety[Date],$A104)</f>
        <v/>
      </c>
      <c r="HY104" s="62">
        <f>IF($B104=$B103,$HY103,0)+$HX104</f>
        <v/>
      </c>
      <c r="HZ104" s="62">
        <f>$HZ103+$HX104</f>
        <v/>
      </c>
      <c r="IA104" s="62">
        <f>SUMIFS(tblSafety[Env_Incidents],tblSafety[Date],$A104)</f>
        <v/>
      </c>
      <c r="IB104" s="62">
        <f>IF($B104=$B103,$IB103,0)+$IA104</f>
        <v/>
      </c>
      <c r="IC104" s="62">
        <f>$IC103+$IA104</f>
        <v/>
      </c>
      <c r="ID104" s="62">
        <f>SUMIFS(tblSafety[Community_Incidents],tblSafety[Date],$A104)</f>
        <v/>
      </c>
      <c r="IE104" s="62">
        <f>IF($B104=$B103,$IE103,0)+$ID104</f>
        <v/>
      </c>
      <c r="IF104" s="62">
        <f>$IF103+$ID104</f>
        <v/>
      </c>
      <c r="IG104" s="62">
        <f>SUMIFS(tblSafety[Vehicle_Incidents],tblSafety[Date],$A104)</f>
        <v/>
      </c>
      <c r="IH104" s="62">
        <f>IF($B104=$B103,$IH103,0)+$IG104</f>
        <v/>
      </c>
      <c r="II104" s="62">
        <f>$II103+$IG104</f>
        <v/>
      </c>
      <c r="IJ104" s="62">
        <f>SUMIFS(tblSafety[Toolbox_Talks],tblSafety[Date],$A104)</f>
        <v/>
      </c>
      <c r="IK104" s="62">
        <f>IF($B104=$B103,$IK103,0)+$IJ104</f>
        <v/>
      </c>
      <c r="IL104" s="62">
        <f>$IL103+$IJ104</f>
        <v/>
      </c>
      <c r="IM104" s="62">
        <f>SUMIFS(tblSafety[Inspections],tblSafety[Date],$A104)</f>
        <v/>
      </c>
      <c r="IN104" s="62">
        <f>IF($B104=$B103,$IN103,0)+$IM104</f>
        <v/>
      </c>
      <c r="IO104" s="62">
        <f>$IO103+$IM104</f>
        <v/>
      </c>
      <c r="IP104" s="56">
        <f>IFERROR((SUMIFS(tblSafety[Recordables],tblSafety[Date],"&gt;="&amp;EDATE($E104,-12),tblSafety[Date],"&lt;="&amp;$A104)+SUMIFS(tblSafetyHistory[Recordables],tblSafetyHistory[Month],"&gt;="&amp;EDATE($E104,-12),tblSafetyHistory[Month],"&lt;"&amp;$E104,tblSafetyHistory[Use],1))/(SUMIFS(tblSafety[Hours_Total],tblSafety[Date],"&gt;="&amp;EDATE($E104,-12),tblSafety[Date],"&lt;="&amp;$A104)+SUMIFS(tblSafetyHistory[Hours_Total],tblSafetyHistory[Month],"&gt;="&amp;EDATE($E104,-12),tblSafetyHistory[Month],"&lt;"&amp;$E104,tblSafetyHistory[Use],1))*cfg_RateBasisHours,"")</f>
        <v/>
      </c>
      <c r="IQ104" s="56">
        <f>IFERROR((SUMIFS(tblSafety[LTI],tblSafety[Date],"&gt;="&amp;EDATE($E104,-12),tblSafety[Date],"&lt;="&amp;$A104)+SUMIFS(tblSafetyHistory[LTI],tblSafetyHistory[Month],"&gt;="&amp;EDATE($E104,-12),tblSafetyHistory[Month],"&lt;"&amp;$E104,tblSafetyHistory[Use],1))/(SUMIFS(tblSafety[Hours_Total],tblSafety[Date],"&gt;="&amp;EDATE($E104,-12),tblSafety[Date],"&lt;="&amp;$A104)+SUMIFS(tblSafetyHistory[Hours_Total],tblSafetyHistory[Month],"&gt;="&amp;EDATE($E104,-12),tblSafetyHistory[Month],"&lt;"&amp;$E104,tblSafetyHistory[Use],1))*cfg_RateBasisHours,"")</f>
        <v/>
      </c>
      <c r="IR104" s="62">
        <f>IF(MAX(N(cfg_PriorLTIDate),_xlfn.MAXIFS(tblSafety[Date],tblSafety[LTI],"&gt;0",tblSafety[Date],"&lt;="&amp;$A104))=0,"",$A104-MAX(N(cfg_PriorLTIDate),_xlfn.MAXIFS(tblSafety[Date],tblSafety[LTI],"&gt;0",tblSafety[Date],"&lt;="&amp;$A104)))</f>
        <v/>
      </c>
      <c r="IS104" s="55">
        <f>SUMIFS(tblBudget[Ore_Mined_t],tblBudget[Month],$E104)</f>
        <v/>
      </c>
      <c r="IT104" s="55">
        <f>$IS104*$C104/$D104</f>
        <v/>
      </c>
      <c r="IU104" s="55">
        <f>SUMIFS(tblBudget[Ore_Mined_t],tblBudget[Month],"&lt;"&amp;$E104)+$IT104</f>
        <v/>
      </c>
      <c r="IV104" s="55">
        <f>SUMIFS(tblBudget[Ore_oz],tblBudget[Month],$E104)</f>
        <v/>
      </c>
      <c r="IW104" s="55">
        <f>$IV104*$C104/$D104</f>
        <v/>
      </c>
      <c r="IX104" s="55">
        <f>SUMIFS(tblBudget[Ore_oz],tblBudget[Month],"&lt;"&amp;$E104)+$IW104</f>
        <v/>
      </c>
      <c r="IY104" s="55">
        <f>SUMIFS(tblBudget[Ore_Mined_t],tblBudget[Month],$E104)</f>
        <v/>
      </c>
      <c r="IZ104" s="55">
        <f>$IY104*$C104/$D104</f>
        <v/>
      </c>
      <c r="JA104" s="55">
        <f>SUMIFS(tblBudget[Ore_Mined_t],tblBudget[Month],"&lt;"&amp;$E104)+$IZ104</f>
        <v/>
      </c>
      <c r="JB104" s="56">
        <f>IFERROR(IF(($IY104)&gt;0,($IV104*cfg_TroyOz)/($IY104),""),"")</f>
        <v/>
      </c>
      <c r="JC104" s="56">
        <f>IFERROR(IF(($IZ104)&gt;0,($IW104*cfg_TroyOz)/($IZ104),""),"")</f>
        <v/>
      </c>
      <c r="JD104" s="56">
        <f>IFERROR(IF(($JA104)&gt;0,($IX104*cfg_TroyOz)/($JA104),""),"")</f>
        <v/>
      </c>
      <c r="JE104" s="55">
        <f>SUMIFS(tblBudget[Waste_t],tblBudget[Month],$E104)</f>
        <v/>
      </c>
      <c r="JF104" s="55">
        <f>$JE104*$C104/$D104</f>
        <v/>
      </c>
      <c r="JG104" s="55">
        <f>SUMIFS(tblBudget[Waste_t],tblBudget[Month],"&lt;"&amp;$E104)+$JF104</f>
        <v/>
      </c>
      <c r="JH104" s="55">
        <f>SUMIFS(tblBudget[TMM_t],tblBudget[Month],$E104)</f>
        <v/>
      </c>
      <c r="JI104" s="55">
        <f>$JH104*$C104/$D104</f>
        <v/>
      </c>
      <c r="JJ104" s="55">
        <f>SUMIFS(tblBudget[TMM_t],tblBudget[Month],"&lt;"&amp;$E104)+$JI104</f>
        <v/>
      </c>
      <c r="JK104" s="56">
        <f>IFERROR(IF(($IS104)&gt;0,($JE104)/($IS104),""),"")</f>
        <v/>
      </c>
      <c r="JL104" s="56">
        <f>IFERROR(IF(($IT104)&gt;0,($JF104)/($IT104),""),"")</f>
        <v/>
      </c>
      <c r="JM104" s="56">
        <f>IFERROR(IF(($IU104)&gt;0,($JG104)/($IU104),""),"")</f>
        <v/>
      </c>
      <c r="JN104" s="55">
        <f>SUMIFS(tblBudget[Drill_m],tblBudget[Month],$E104)</f>
        <v/>
      </c>
      <c r="JO104" s="55">
        <f>$JN104*$C104/$D104</f>
        <v/>
      </c>
      <c r="JP104" s="55">
        <f>SUMIFS(tblBudget[Drill_m],tblBudget[Month],"&lt;"&amp;$E104)+$JO104</f>
        <v/>
      </c>
      <c r="JQ104" s="55">
        <f>SUMIFS(tblBudget[Diesel_L],tblBudget[Month],$E104)</f>
        <v/>
      </c>
      <c r="JR104" s="55">
        <f>$JQ104*$C104/$D104</f>
        <v/>
      </c>
      <c r="JS104" s="55">
        <f>SUMIFS(tblBudget[Diesel_L],tblBudget[Month],"&lt;"&amp;$E104)+$JR104</f>
        <v/>
      </c>
      <c r="JT104" s="55">
        <f>SUMIFS(tblBudget[Milled_t],tblBudget[Month],$E104)</f>
        <v/>
      </c>
      <c r="JU104" s="55">
        <f>$JT104*$C104/$D104</f>
        <v/>
      </c>
      <c r="JV104" s="55">
        <f>SUMIFS(tblBudget[Milled_t],tblBudget[Month],"&lt;"&amp;$E104)+$JU104</f>
        <v/>
      </c>
      <c r="JW104" s="55">
        <f>SUMIFS(tblBudget[Feed_oz],tblBudget[Month],$E104)</f>
        <v/>
      </c>
      <c r="JX104" s="55">
        <f>$JW104*$C104/$D104</f>
        <v/>
      </c>
      <c r="JY104" s="55">
        <f>SUMIFS(tblBudget[Feed_oz],tblBudget[Month],"&lt;"&amp;$E104)+$JX104</f>
        <v/>
      </c>
      <c r="JZ104" s="55">
        <f>SUMIFS(tblBudget[Recovered_oz],tblBudget[Month],$E104)</f>
        <v/>
      </c>
      <c r="KA104" s="55">
        <f>$JZ104*$C104/$D104</f>
        <v/>
      </c>
      <c r="KB104" s="55">
        <f>SUMIFS(tblBudget[Recovered_oz],tblBudget[Month],"&lt;"&amp;$E104)+$KA104</f>
        <v/>
      </c>
      <c r="KC104" s="55">
        <f>SUMIFS(tblBudget[Milled_t],tblBudget[Month],$E104)</f>
        <v/>
      </c>
      <c r="KD104" s="55">
        <f>$KC104*$C104/$D104</f>
        <v/>
      </c>
      <c r="KE104" s="55">
        <f>SUMIFS(tblBudget[Milled_t],tblBudget[Month],"&lt;"&amp;$E104)+$KD104</f>
        <v/>
      </c>
      <c r="KF104" s="55">
        <f>SUMIFS(tblBudget[Feed_oz],tblBudget[Month],$E104)</f>
        <v/>
      </c>
      <c r="KG104" s="55">
        <f>$KF104*$C104/$D104</f>
        <v/>
      </c>
      <c r="KH104" s="55">
        <f>SUMIFS(tblBudget[Feed_oz],tblBudget[Month],"&lt;"&amp;$E104)+$KG104</f>
        <v/>
      </c>
      <c r="KI104" s="56">
        <f>IFERROR(IF(($KC104)&gt;0,($JW104*cfg_TroyOz)/($KC104),""),"")</f>
        <v/>
      </c>
      <c r="KJ104" s="56">
        <f>IFERROR(IF(($KD104)&gt;0,($JX104*cfg_TroyOz)/($KD104),""),"")</f>
        <v/>
      </c>
      <c r="KK104" s="56">
        <f>IFERROR(IF(($KE104)&gt;0,($JY104*cfg_TroyOz)/($KE104),""),"")</f>
        <v/>
      </c>
      <c r="KL104" s="67">
        <f>IFERROR(IF(($KF104)&gt;0,($JZ104)/($KF104),""),"")</f>
        <v/>
      </c>
      <c r="KM104" s="67">
        <f>IFERROR(IF(($KG104)&gt;0,($KA104)/($KG104),""),"")</f>
        <v/>
      </c>
      <c r="KN104" s="67">
        <f>IFERROR(IF(($KH104)&gt;0,($KB104)/($KH104),""),"")</f>
        <v/>
      </c>
      <c r="KO104" s="55">
        <f>SUMIFS(tblBudget[Gold_Poured_oz],tblBudget[Month],$E104)</f>
        <v/>
      </c>
      <c r="KP104" s="55">
        <f>$KO104*$C104/$D104</f>
        <v/>
      </c>
      <c r="KQ104" s="55">
        <f>SUMIFS(tblBudget[Gold_Poured_oz],tblBudget[Month],"&lt;"&amp;$E104)+$KP104</f>
        <v/>
      </c>
      <c r="KR104" s="57">
        <f>SUMIFS(tblBudget[Hours_Worked],tblBudget[Month],$E104)</f>
        <v/>
      </c>
      <c r="KS104" s="57">
        <f>$KR104*$C104/$D104</f>
        <v/>
      </c>
      <c r="KT104" s="57">
        <f>SUMIFS(tblBudget[Hours_Worked],tblBudget[Month],"&lt;"&amp;$E104)+$KS104</f>
        <v/>
      </c>
    </row>
    <row r="105">
      <c r="A105" s="54" t="n">
        <v>46126</v>
      </c>
      <c r="B105">
        <f>MONTH($A105)</f>
        <v/>
      </c>
      <c r="C105">
        <f>DAY($A105)</f>
        <v/>
      </c>
      <c r="D105">
        <f>DAY(EOMONTH($A105,0))</f>
        <v/>
      </c>
      <c r="E105" s="54">
        <f>DATE(YEAR($A105),MONTH($A105),1)</f>
        <v/>
      </c>
      <c r="F105" s="55">
        <f>SUMIFS(tblMovement[Tonnes_t],tblMovement[Date],$A105,tblMovement[Is_Ore],1,tblMovement[Source_Type],"Pit")</f>
        <v/>
      </c>
      <c r="G105" s="55">
        <f>IF($B105=$B104,$G104,0)+$F105</f>
        <v/>
      </c>
      <c r="H105" s="55">
        <f>$H104+$F105</f>
        <v/>
      </c>
      <c r="I105" s="55">
        <f>SUMIFS(tblMovement[Ore_oz],tblMovement[Date],$A105,tblMovement[Source_Type],"Pit")</f>
        <v/>
      </c>
      <c r="J105" s="55">
        <f>IF($B105=$B104,$J104,0)+$I105</f>
        <v/>
      </c>
      <c r="K105" s="55">
        <f>$K104+$I105</f>
        <v/>
      </c>
      <c r="L105" s="55">
        <f>SUMIFS(tblMovement[Tonnes_t],tblMovement[Date],$A105,tblMovement[Is_Ore],1,tblMovement[Source_Type],"Pit",tblMovement[Grade_gpt],"&lt;&gt;")</f>
        <v/>
      </c>
      <c r="M105" s="55">
        <f>IF($B105=$B104,$M104,0)+$L105</f>
        <v/>
      </c>
      <c r="N105" s="55">
        <f>$N104+$L105</f>
        <v/>
      </c>
      <c r="O105" s="56">
        <f>IFERROR(IF(($L105)&gt;0,($I105*cfg_TroyOz)/($L105),""),"")</f>
        <v/>
      </c>
      <c r="P105" s="56">
        <f>IFERROR(IF(($M105)&gt;0,($J105*cfg_TroyOz)/($M105),""),"")</f>
        <v/>
      </c>
      <c r="Q105" s="56">
        <f>IFERROR(IF(($N105)&gt;0,($K105*cfg_TroyOz)/($N105),""),"")</f>
        <v/>
      </c>
      <c r="R105" s="55">
        <f>$F105-$L105</f>
        <v/>
      </c>
      <c r="S105" s="55">
        <f>IF($B105=$B104,$S104,0)+$R105</f>
        <v/>
      </c>
      <c r="T105" s="55">
        <f>$T104+$R105</f>
        <v/>
      </c>
      <c r="U105" s="55">
        <f>SUMIFS(tblMovement[Tonnes_t],tblMovement[Date],$A105,tblMovement[Is_Ore],0,tblMovement[Source_Type],"Pit")</f>
        <v/>
      </c>
      <c r="V105" s="55">
        <f>IF($B105=$B104,$V104,0)+$U105</f>
        <v/>
      </c>
      <c r="W105" s="55">
        <f>$W104+$U105</f>
        <v/>
      </c>
      <c r="X105" s="55">
        <f>$F105+$U105</f>
        <v/>
      </c>
      <c r="Y105" s="55">
        <f>IF($B105=$B104,$Y104,0)+$X105</f>
        <v/>
      </c>
      <c r="Z105" s="55">
        <f>$Z104+$X105</f>
        <v/>
      </c>
      <c r="AA105" s="56">
        <f>IFERROR(IF(($F105)&gt;0,($U105)/($F105),""),"")</f>
        <v/>
      </c>
      <c r="AB105" s="56">
        <f>IFERROR(IF(($G105)&gt;0,($V105)/($G105),""),"")</f>
        <v/>
      </c>
      <c r="AC105" s="56">
        <f>IFERROR(IF(($H105)&gt;0,($W105)/($H105),""),"")</f>
        <v/>
      </c>
      <c r="AD105" s="55">
        <f>SUMIFS(tblMovement[Tonnes_t],tblMovement[Date],$A105,tblMovement[Source_Type],"Stockpile")</f>
        <v/>
      </c>
      <c r="AE105" s="55">
        <f>IF($B105=$B104,$AE104,0)+$AD105</f>
        <v/>
      </c>
      <c r="AF105" s="55">
        <f>$AF104+$AD105</f>
        <v/>
      </c>
      <c r="AG105" s="55">
        <f>SUMIFS(tblMovement[Tonnes_t],tblMovement[Date],$A105)</f>
        <v/>
      </c>
      <c r="AH105" s="55">
        <f>IF($B105=$B104,$AH104,0)+$AG105</f>
        <v/>
      </c>
      <c r="AI105" s="55">
        <f>$AI104+$AG105</f>
        <v/>
      </c>
      <c r="AJ105" s="55">
        <f>$AG105-$X105-$AD105</f>
        <v/>
      </c>
      <c r="AK105" s="55">
        <f>IF($B105=$B104,$AK104,0)+$AJ105</f>
        <v/>
      </c>
      <c r="AL105" s="55">
        <f>$AL104+$AJ105</f>
        <v/>
      </c>
      <c r="AM105" s="55">
        <f>SUMIFS(tblMiningDaily[Drill_m],tblMiningDaily[Date],$A105)</f>
        <v/>
      </c>
      <c r="AN105" s="55">
        <f>IF($B105=$B104,$AN104,0)+$AM105</f>
        <v/>
      </c>
      <c r="AO105" s="55">
        <f>$AO104+$AM105</f>
        <v/>
      </c>
      <c r="AP105" s="55">
        <f>SUMIFS(tblMiningDaily[GC_Drill_m],tblMiningDaily[Date],$A105)</f>
        <v/>
      </c>
      <c r="AQ105" s="55">
        <f>IF($B105=$B104,$AQ104,0)+$AP105</f>
        <v/>
      </c>
      <c r="AR105" s="55">
        <f>$AR104+$AP105</f>
        <v/>
      </c>
      <c r="AS105" s="55">
        <f>SUMIFS(tblMiningDaily[Blast_t],tblMiningDaily[Date],$A105)</f>
        <v/>
      </c>
      <c r="AT105" s="55">
        <f>IF($B105=$B104,$AT104,0)+$AS105</f>
        <v/>
      </c>
      <c r="AU105" s="55">
        <f>$AU104+$AS105</f>
        <v/>
      </c>
      <c r="AV105" s="55">
        <f>SUMIFS(tblMiningDaily[Explosives_kg],tblMiningDaily[Date],$A105)</f>
        <v/>
      </c>
      <c r="AW105" s="55">
        <f>IF($B105=$B104,$AW104,0)+$AV105</f>
        <v/>
      </c>
      <c r="AX105" s="55">
        <f>$AX104+$AV105</f>
        <v/>
      </c>
      <c r="AY105" s="56">
        <f>IFERROR(IF(($AS105)&gt;0,($AV105)/($AS105),""),"")</f>
        <v/>
      </c>
      <c r="AZ105" s="56">
        <f>IFERROR(IF(($AT105)&gt;0,($AW105)/($AT105),""),"")</f>
        <v/>
      </c>
      <c r="BA105" s="56">
        <f>IFERROR(IF(($AU105)&gt;0,($AX105)/($AU105),""),"")</f>
        <v/>
      </c>
      <c r="BB105" s="55">
        <f>SUMIFS(tblMiningDaily[Diesel_L],tblMiningDaily[Date],$A105)</f>
        <v/>
      </c>
      <c r="BC105" s="55">
        <f>IF($B105=$B104,$BC104,0)+$BB105</f>
        <v/>
      </c>
      <c r="BD105" s="55">
        <f>$BD104+$BB105</f>
        <v/>
      </c>
      <c r="BE105" s="55">
        <f>SUMIFS(tblMiningDaily[Dewatering_m3],tblMiningDaily[Date],$A105)</f>
        <v/>
      </c>
      <c r="BF105" s="55">
        <f>IF($B105=$B104,$BF104,0)+$BE105</f>
        <v/>
      </c>
      <c r="BG105" s="55">
        <f>$BG104+$BE105</f>
        <v/>
      </c>
      <c r="BH105" s="57">
        <f>SUMIFS(tblFleet[Calendar_h],tblFleet[Date],$A105,tblFleet[Equipment_Class],"Excavator")</f>
        <v/>
      </c>
      <c r="BI105" s="57">
        <f>IF($B105=$B104,$BI104,0)+$BH105</f>
        <v/>
      </c>
      <c r="BJ105" s="57">
        <f>$BJ104+$BH105</f>
        <v/>
      </c>
      <c r="BK105" s="57">
        <f>SUMIFS(tblFleet[Available_h],tblFleet[Date],$A105,tblFleet[Equipment_Class],"Excavator")</f>
        <v/>
      </c>
      <c r="BL105" s="57">
        <f>IF($B105=$B104,$BL104,0)+$BK105</f>
        <v/>
      </c>
      <c r="BM105" s="57">
        <f>$BM104+$BK105</f>
        <v/>
      </c>
      <c r="BN105" s="57">
        <f>SUMIFS(tblFleet[Operating_h],tblFleet[Date],$A105,tblFleet[Equipment_Class],"Excavator")</f>
        <v/>
      </c>
      <c r="BO105" s="57">
        <f>IF($B105=$B104,$BO104,0)+$BN105</f>
        <v/>
      </c>
      <c r="BP105" s="57">
        <f>$BP104+$BN105</f>
        <v/>
      </c>
      <c r="BQ105" s="67">
        <f>IFERROR(IF(($BH105)&gt;0,($BK105)/($BH105),""),"")</f>
        <v/>
      </c>
      <c r="BR105" s="67">
        <f>IFERROR(IF(($BI105)&gt;0,($BL105)/($BI105),""),"")</f>
        <v/>
      </c>
      <c r="BS105" s="67">
        <f>IFERROR(IF(($BJ105)&gt;0,($BM105)/($BJ105),""),"")</f>
        <v/>
      </c>
      <c r="BT105" s="67">
        <f>IFERROR(IF(($BK105)&gt;0,($BN105)/($BK105),""),"")</f>
        <v/>
      </c>
      <c r="BU105" s="67">
        <f>IFERROR(IF(($BL105)&gt;0,($BO105)/($BL105),""),"")</f>
        <v/>
      </c>
      <c r="BV105" s="67">
        <f>IFERROR(IF(($BM105)&gt;0,($BP105)/($BM105),""),"")</f>
        <v/>
      </c>
      <c r="BW105" s="57">
        <f>SUMIFS(tblFleet[Calendar_h],tblFleet[Date],$A105,tblFleet[Equipment_Class],"Haul Truck")</f>
        <v/>
      </c>
      <c r="BX105" s="57">
        <f>IF($B105=$B104,$BX104,0)+$BW105</f>
        <v/>
      </c>
      <c r="BY105" s="57">
        <f>$BY104+$BW105</f>
        <v/>
      </c>
      <c r="BZ105" s="57">
        <f>SUMIFS(tblFleet[Available_h],tblFleet[Date],$A105,tblFleet[Equipment_Class],"Haul Truck")</f>
        <v/>
      </c>
      <c r="CA105" s="57">
        <f>IF($B105=$B104,$CA104,0)+$BZ105</f>
        <v/>
      </c>
      <c r="CB105" s="57">
        <f>$CB104+$BZ105</f>
        <v/>
      </c>
      <c r="CC105" s="57">
        <f>SUMIFS(tblFleet[Operating_h],tblFleet[Date],$A105,tblFleet[Equipment_Class],"Haul Truck")</f>
        <v/>
      </c>
      <c r="CD105" s="57">
        <f>IF($B105=$B104,$CD104,0)+$CC105</f>
        <v/>
      </c>
      <c r="CE105" s="57">
        <f>$CE104+$CC105</f>
        <v/>
      </c>
      <c r="CF105" s="67">
        <f>IFERROR(IF(($BW105)&gt;0,($BZ105)/($BW105),""),"")</f>
        <v/>
      </c>
      <c r="CG105" s="67">
        <f>IFERROR(IF(($BX105)&gt;0,($CA105)/($BX105),""),"")</f>
        <v/>
      </c>
      <c r="CH105" s="67">
        <f>IFERROR(IF(($BY105)&gt;0,($CB105)/($BY105),""),"")</f>
        <v/>
      </c>
      <c r="CI105" s="67">
        <f>IFERROR(IF(($BZ105)&gt;0,($CC105)/($BZ105),""),"")</f>
        <v/>
      </c>
      <c r="CJ105" s="67">
        <f>IFERROR(IF(($CA105)&gt;0,($CD105)/($CA105),""),"")</f>
        <v/>
      </c>
      <c r="CK105" s="67">
        <f>IFERROR(IF(($CB105)&gt;0,($CE105)/($CB105),""),"")</f>
        <v/>
      </c>
      <c r="CL105" s="55">
        <f>IFERROR(IF(($BN105)&gt;0,($X105+$AD105)/($BN105),""),"")</f>
        <v/>
      </c>
      <c r="CM105" s="55">
        <f>IFERROR(IF(($BO105)&gt;0,($Y105+$AE105)/($BO105),""),"")</f>
        <v/>
      </c>
      <c r="CN105" s="55">
        <f>IFERROR(IF(($BP105)&gt;0,($Z105+$AF105)/($BP105),""),"")</f>
        <v/>
      </c>
      <c r="CO105" s="55">
        <f>IFERROR(IF(($CC105)&gt;0,($X105+$AD105)/($CC105),""),"")</f>
        <v/>
      </c>
      <c r="CP105" s="55">
        <f>IFERROR(IF(($CD105)&gt;0,($Y105+$AE105)/($CD105),""),"")</f>
        <v/>
      </c>
      <c r="CQ105" s="55">
        <f>IFERROR(IF(($CE105)&gt;0,($Z105+$AF105)/($CE105),""),"")</f>
        <v/>
      </c>
      <c r="CR105" s="55">
        <f>SUMIFS(tblPlant[Crushed_t],tblPlant[Date],$A105)</f>
        <v/>
      </c>
      <c r="CS105" s="55">
        <f>IF($B105=$B104,$CS104,0)+$CR105</f>
        <v/>
      </c>
      <c r="CT105" s="55">
        <f>$CT104+$CR105</f>
        <v/>
      </c>
      <c r="CU105" s="55">
        <f>SUMIFS(tblPlant[Milled_t],tblPlant[Date],$A105)</f>
        <v/>
      </c>
      <c r="CV105" s="55">
        <f>IF($B105=$B104,$CV104,0)+$CU105</f>
        <v/>
      </c>
      <c r="CW105" s="55">
        <f>$CW104+$CU105</f>
        <v/>
      </c>
      <c r="CX105" s="55">
        <f>SUMIFS(tblPlant[Feed_oz],tblPlant[Date],$A105)</f>
        <v/>
      </c>
      <c r="CY105" s="55">
        <f>IF($B105=$B104,$CY104,0)+$CX105</f>
        <v/>
      </c>
      <c r="CZ105" s="55">
        <f>$CZ104+$CX105</f>
        <v/>
      </c>
      <c r="DA105" s="55">
        <f>SUMIFS(tblPlant[Tails_oz],tblPlant[Date],$A105)</f>
        <v/>
      </c>
      <c r="DB105" s="55">
        <f>IF($B105=$B104,$DB104,0)+$DA105</f>
        <v/>
      </c>
      <c r="DC105" s="55">
        <f>$DC104+$DA105</f>
        <v/>
      </c>
      <c r="DD105" s="55">
        <f>SUMIFS(tblPlant[Recovered_oz],tblPlant[Date],$A105)</f>
        <v/>
      </c>
      <c r="DE105" s="55">
        <f>IF($B105=$B104,$DE104,0)+$DD105</f>
        <v/>
      </c>
      <c r="DF105" s="55">
        <f>$DF104+$DD105</f>
        <v/>
      </c>
      <c r="DG105" s="55">
        <f>SUMIFS(tblPlant[Milled_t],tblPlant[Date],$A105,tblPlant[Head_Grade_gpt],"&lt;&gt;")</f>
        <v/>
      </c>
      <c r="DH105" s="55">
        <f>IF($B105=$B104,$DH104,0)+$DG105</f>
        <v/>
      </c>
      <c r="DI105" s="55">
        <f>$DI104+$DG105</f>
        <v/>
      </c>
      <c r="DJ105" s="55">
        <f>SUMIFS(tblPlant[Milled_t],tblPlant[Date],$A105,tblPlant[Tails_Grade_gpt],"&lt;&gt;")</f>
        <v/>
      </c>
      <c r="DK105" s="55">
        <f>IF($B105=$B104,$DK104,0)+$DJ105</f>
        <v/>
      </c>
      <c r="DL105" s="55">
        <f>$DL104+$DJ105</f>
        <v/>
      </c>
      <c r="DM105" s="55">
        <f>SUMIFS(tblPlant[Feed_oz],tblPlant[Date],$A105,tblPlant[Tails_Grade_gpt],"&lt;&gt;")</f>
        <v/>
      </c>
      <c r="DN105" s="55">
        <f>IF($B105=$B104,$DN104,0)+$DM105</f>
        <v/>
      </c>
      <c r="DO105" s="55">
        <f>$DO104+$DM105</f>
        <v/>
      </c>
      <c r="DP105" s="55">
        <f>SUMIFS(tblPlant[Milled_t],tblPlant[Date],$A105,tblPlant[Mill_Run_h],"&lt;&gt;")</f>
        <v/>
      </c>
      <c r="DQ105" s="55">
        <f>IF($B105=$B104,$DQ104,0)+$DP105</f>
        <v/>
      </c>
      <c r="DR105" s="55">
        <f>$DR104+$DP105</f>
        <v/>
      </c>
      <c r="DS105" s="56">
        <f>IFERROR(IF(($DG105)&gt;0,($CX105*cfg_TroyOz)/($DG105),""),"")</f>
        <v/>
      </c>
      <c r="DT105" s="56">
        <f>IFERROR(IF(($DH105)&gt;0,($CY105*cfg_TroyOz)/($DH105),""),"")</f>
        <v/>
      </c>
      <c r="DU105" s="56">
        <f>IFERROR(IF(($DI105)&gt;0,($CZ105*cfg_TroyOz)/($DI105),""),"")</f>
        <v/>
      </c>
      <c r="DV105" s="56">
        <f>IFERROR(IF(($DJ105)&gt;0,($DA105*cfg_TroyOz)/($DJ105),""),"")</f>
        <v/>
      </c>
      <c r="DW105" s="56">
        <f>IFERROR(IF(($DK105)&gt;0,($DB105*cfg_TroyOz)/($DK105),""),"")</f>
        <v/>
      </c>
      <c r="DX105" s="56">
        <f>IFERROR(IF(($DL105)&gt;0,($DC105*cfg_TroyOz)/($DL105),""),"")</f>
        <v/>
      </c>
      <c r="DY105" s="67">
        <f>IFERROR(IF(($DM105)&gt;0,($DD105)/($DM105),""),"")</f>
        <v/>
      </c>
      <c r="DZ105" s="67">
        <f>IFERROR(IF(($DN105)&gt;0,($DE105)/($DN105),""),"")</f>
        <v/>
      </c>
      <c r="EA105" s="67">
        <f>IFERROR(IF(($DO105)&gt;0,($DF105)/($DO105),""),"")</f>
        <v/>
      </c>
      <c r="EB105" s="55">
        <f>SUMIFS(tblPlant[Gravity_Gold_oz],tblPlant[Date],$A105)</f>
        <v/>
      </c>
      <c r="EC105" s="55">
        <f>IF($B105=$B104,$EC104,0)+$EB105</f>
        <v/>
      </c>
      <c r="ED105" s="55">
        <f>$ED104+$EB105</f>
        <v/>
      </c>
      <c r="EE105" s="67">
        <f>IFERROR(IF(($DD105)&gt;0,($EB105)/($DD105),""),"")</f>
        <v/>
      </c>
      <c r="EF105" s="67">
        <f>IFERROR(IF(($DE105)&gt;0,($EC105)/($DE105),""),"")</f>
        <v/>
      </c>
      <c r="EG105" s="67">
        <f>IFERROR(IF(($DF105)&gt;0,($ED105)/($DF105),""),"")</f>
        <v/>
      </c>
      <c r="EH105" s="55">
        <f>SUMIFS(tblPlant[Gold_Poured_oz],tblPlant[Date],$A105)</f>
        <v/>
      </c>
      <c r="EI105" s="55">
        <f>IF($B105=$B104,$EI104,0)+$EH105</f>
        <v/>
      </c>
      <c r="EJ105" s="55">
        <f>$EJ104+$EH105</f>
        <v/>
      </c>
      <c r="EK105" s="57">
        <f>SUMIFS(tblPlant[Mill_Run_h],tblPlant[Date],$A105)</f>
        <v/>
      </c>
      <c r="EL105" s="57">
        <f>IF($B105=$B104,$EL104,0)+$EK105</f>
        <v/>
      </c>
      <c r="EM105" s="57">
        <f>$EM104+$EK105</f>
        <v/>
      </c>
      <c r="EN105" s="57">
        <f>SUMIFS(tblPlant[Mill_Planned_Maint_h],tblPlant[Date],$A105)</f>
        <v/>
      </c>
      <c r="EO105" s="57">
        <f>IF($B105=$B104,$EO104,0)+$EN105</f>
        <v/>
      </c>
      <c r="EP105" s="57">
        <f>$EP104+$EN105</f>
        <v/>
      </c>
      <c r="EQ105" s="57">
        <f>SUMIFS(tblPlant[Mill_Unplanned_Down_h],tblPlant[Date],$A105)</f>
        <v/>
      </c>
      <c r="ER105" s="57">
        <f>IF($B105=$B104,$ER104,0)+$EQ105</f>
        <v/>
      </c>
      <c r="ES105" s="57">
        <f>$ES104+$EQ105</f>
        <v/>
      </c>
      <c r="ET105" s="57">
        <f>IF(COUNTIFS(tblPlant[Date],$A105,tblPlant[Mill_Run_h],"&lt;&gt;")+COUNTIFS(tblPlant[Date],$A105,tblPlant[Mill_Planned_Maint_h],"&lt;&gt;")+COUNTIFS(tblPlant[Date],$A105,tblPlant[Mill_Unplanned_Down_h],"&lt;&gt;")&gt;0,cfg_HoursPerDay,0)</f>
        <v/>
      </c>
      <c r="EU105" s="57">
        <f>IF($B105=$B104,$EU104,0)+$ET105</f>
        <v/>
      </c>
      <c r="EV105" s="57">
        <f>$EV104+$ET105</f>
        <v/>
      </c>
      <c r="EW105" s="57">
        <f>SUMIFS(tblPlant[Crusher_Run_h],tblPlant[Date],$A105)</f>
        <v/>
      </c>
      <c r="EX105" s="57">
        <f>IF($B105=$B104,$EX104,0)+$EW105</f>
        <v/>
      </c>
      <c r="EY105" s="57">
        <f>$EY104+$EW105</f>
        <v/>
      </c>
      <c r="EZ105" s="55">
        <f>IFERROR(IF(($EK105)&gt;0,($DP105)/($EK105),""),"")</f>
        <v/>
      </c>
      <c r="FA105" s="55">
        <f>IFERROR(IF(($EL105)&gt;0,($DQ105)/($EL105),""),"")</f>
        <v/>
      </c>
      <c r="FB105" s="55">
        <f>IFERROR(IF(($EM105)&gt;0,($DR105)/($EM105),""),"")</f>
        <v/>
      </c>
      <c r="FC105" s="67">
        <f>IFERROR(IF(($ET105)&gt;0,($ET105-$EN105-$EQ105)/($ET105),""),"")</f>
        <v/>
      </c>
      <c r="FD105" s="67">
        <f>IFERROR(IF(($EU105)&gt;0,($EU105-$EO105-$ER105)/($EU105),""),"")</f>
        <v/>
      </c>
      <c r="FE105" s="67">
        <f>IFERROR(IF(($EV105)&gt;0,($EV105-$EP105-$ES105)/($EV105),""),"")</f>
        <v/>
      </c>
      <c r="FF105" s="67">
        <f>IFERROR(IF(($ET105-$EN105-$EQ105)&gt;0,($EK105)/($ET105-$EN105-$EQ105),""),"")</f>
        <v/>
      </c>
      <c r="FG105" s="67">
        <f>IFERROR(IF(($EU105-$EO105-$ER105)&gt;0,($EL105)/($EU105-$EO105-$ER105),""),"")</f>
        <v/>
      </c>
      <c r="FH105" s="67">
        <f>IFERROR(IF(($EV105-$EP105-$ES105)&gt;0,($EM105)/($EV105-$EP105-$ES105),""),"")</f>
        <v/>
      </c>
      <c r="FI105" s="55">
        <f>SUMIFS(tblPlant[Cyanide_kg],tblPlant[Date],$A105)</f>
        <v/>
      </c>
      <c r="FJ105" s="55">
        <f>IF($B105=$B104,$FJ104,0)+$FI105</f>
        <v/>
      </c>
      <c r="FK105" s="55">
        <f>$FK104+$FI105</f>
        <v/>
      </c>
      <c r="FL105" s="55">
        <f>SUMIFS(tblPlant[Lime_kg],tblPlant[Date],$A105)</f>
        <v/>
      </c>
      <c r="FM105" s="55">
        <f>IF($B105=$B104,$FM104,0)+$FL105</f>
        <v/>
      </c>
      <c r="FN105" s="55">
        <f>$FN104+$FL105</f>
        <v/>
      </c>
      <c r="FO105" s="55">
        <f>SUMIFS(tblPlant[Grinding_Media_kg],tblPlant[Date],$A105)</f>
        <v/>
      </c>
      <c r="FP105" s="55">
        <f>IF($B105=$B104,$FP104,0)+$FO105</f>
        <v/>
      </c>
      <c r="FQ105" s="55">
        <f>$FQ104+$FO105</f>
        <v/>
      </c>
      <c r="FR105" s="55">
        <f>SUMIFS(tblPlant[Power_kWh],tblPlant[Date],$A105)</f>
        <v/>
      </c>
      <c r="FS105" s="55">
        <f>IF($B105=$B104,$FS104,0)+$FR105</f>
        <v/>
      </c>
      <c r="FT105" s="55">
        <f>$FT104+$FR105</f>
        <v/>
      </c>
      <c r="FU105" s="55">
        <f>SUMIFS(tblPlant[Raw_Water_m3],tblPlant[Date],$A105)</f>
        <v/>
      </c>
      <c r="FV105" s="55">
        <f>IF($B105=$B104,$FV104,0)+$FU105</f>
        <v/>
      </c>
      <c r="FW105" s="55">
        <f>$FW104+$FU105</f>
        <v/>
      </c>
      <c r="FX105" s="56">
        <f>IFERROR(IF(($CU105)&gt;0,($FI105)/($CU105),""),"")</f>
        <v/>
      </c>
      <c r="FY105" s="56">
        <f>IFERROR(IF(($CV105)&gt;0,($FJ105)/($CV105),""),"")</f>
        <v/>
      </c>
      <c r="FZ105" s="56">
        <f>IFERROR(IF(($CW105)&gt;0,($FK105)/($CW105),""),"")</f>
        <v/>
      </c>
      <c r="GA105" s="56">
        <f>IFERROR(IF(($CU105)&gt;0,($FL105)/($CU105),""),"")</f>
        <v/>
      </c>
      <c r="GB105" s="56">
        <f>IFERROR(IF(($CV105)&gt;0,($FM105)/($CV105),""),"")</f>
        <v/>
      </c>
      <c r="GC105" s="56">
        <f>IFERROR(IF(($CW105)&gt;0,($FN105)/($CW105),""),"")</f>
        <v/>
      </c>
      <c r="GD105" s="56">
        <f>IFERROR(IF(($CU105)&gt;0,($FO105)/($CU105),""),"")</f>
        <v/>
      </c>
      <c r="GE105" s="56">
        <f>IFERROR(IF(($CV105)&gt;0,($FP105)/($CV105),""),"")</f>
        <v/>
      </c>
      <c r="GF105" s="56">
        <f>IFERROR(IF(($CW105)&gt;0,($FQ105)/($CW105),""),"")</f>
        <v/>
      </c>
      <c r="GG105" s="79">
        <f>IFERROR(IF(($CU105)&gt;0,($FR105)/($CU105),""),"")</f>
        <v/>
      </c>
      <c r="GH105" s="79">
        <f>IFERROR(IF(($CV105)&gt;0,($FS105)/($CV105),""),"")</f>
        <v/>
      </c>
      <c r="GI105" s="79">
        <f>IFERROR(IF(($CW105)&gt;0,($FT105)/($CW105),""),"")</f>
        <v/>
      </c>
      <c r="GJ105" s="56">
        <f>IFERROR(IF(($CU105)&gt;0,($FU105)/($CU105),""),"")</f>
        <v/>
      </c>
      <c r="GK105" s="56">
        <f>IFERROR(IF(($CV105)&gt;0,($FV105)/($CV105),""),"")</f>
        <v/>
      </c>
      <c r="GL105" s="56">
        <f>IFERROR(IF(($CW105)&gt;0,($FW105)/($CW105),""),"")</f>
        <v/>
      </c>
      <c r="GM105" s="55">
        <f>IF(SUMIFS(tblPlant[GIC_oz],tblPlant[Date],$A105)&gt;0,SUMIFS(tblPlant[GIC_oz],tblPlant[Date],$A105),"")</f>
        <v/>
      </c>
      <c r="GN105" s="55">
        <f>SUMIFS(tblGold[Gold_oz],tblGold[Date],$A105,tblGold[Type],"Shipment")</f>
        <v/>
      </c>
      <c r="GO105" s="55">
        <f>IF($B105=$B104,$GO104,0)+$GN105</f>
        <v/>
      </c>
      <c r="GP105" s="55">
        <f>$GP104+$GN105</f>
        <v/>
      </c>
      <c r="GQ105" s="55">
        <f>SUMIFS(tblGold[Gold_oz],tblGold[Date],$A105,tblGold[Type],"Sale")</f>
        <v/>
      </c>
      <c r="GR105" s="55">
        <f>IF($B105=$B104,$GR104,0)+$GQ105</f>
        <v/>
      </c>
      <c r="GS105" s="55">
        <f>$GS104+$GQ105</f>
        <v/>
      </c>
      <c r="GT105" s="55">
        <f>SUMIFS(tblGold[Dore_kg],tblGold[Date],$A105,tblGold[Type],"Shipment")</f>
        <v/>
      </c>
      <c r="GU105" s="55">
        <f>IF($B105=$B104,$GU104,0)+$GT105</f>
        <v/>
      </c>
      <c r="GV105" s="55">
        <f>$GV104+$GT105</f>
        <v/>
      </c>
      <c r="GW105" s="57">
        <f>SUMIFS(tblSafety[Hours_Total],tblSafety[Date],$A105)</f>
        <v/>
      </c>
      <c r="GX105" s="57">
        <f>IF($B105=$B104,$GX104,0)+$GW105</f>
        <v/>
      </c>
      <c r="GY105" s="57">
        <f>$GY104+$GW105</f>
        <v/>
      </c>
      <c r="GZ105" s="62">
        <f>SUMIFS(tblSafety[Fatality],tblSafety[Date],$A105)</f>
        <v/>
      </c>
      <c r="HA105" s="62">
        <f>IF($B105=$B104,$HA104,0)+$GZ105</f>
        <v/>
      </c>
      <c r="HB105" s="62">
        <f>$HB104+$GZ105</f>
        <v/>
      </c>
      <c r="HC105" s="62">
        <f>SUMIFS(tblSafety[LTI],tblSafety[Date],$A105)</f>
        <v/>
      </c>
      <c r="HD105" s="62">
        <f>IF($B105=$B104,$HD104,0)+$HC105</f>
        <v/>
      </c>
      <c r="HE105" s="62">
        <f>$HE104+$HC105</f>
        <v/>
      </c>
      <c r="HF105" s="62">
        <f>SUMIFS(tblSafety[RWI],tblSafety[Date],$A105)</f>
        <v/>
      </c>
      <c r="HG105" s="62">
        <f>IF($B105=$B104,$HG104,0)+$HF105</f>
        <v/>
      </c>
      <c r="HH105" s="62">
        <f>$HH104+$HF105</f>
        <v/>
      </c>
      <c r="HI105" s="62">
        <f>SUMIFS(tblSafety[MTI],tblSafety[Date],$A105)</f>
        <v/>
      </c>
      <c r="HJ105" s="62">
        <f>IF($B105=$B104,$HJ104,0)+$HI105</f>
        <v/>
      </c>
      <c r="HK105" s="62">
        <f>$HK104+$HI105</f>
        <v/>
      </c>
      <c r="HL105" s="62">
        <f>SUMIFS(tblSafety[FAI],tblSafety[Date],$A105)</f>
        <v/>
      </c>
      <c r="HM105" s="62">
        <f>IF($B105=$B104,$HM104,0)+$HL105</f>
        <v/>
      </c>
      <c r="HN105" s="62">
        <f>$HN104+$HL105</f>
        <v/>
      </c>
      <c r="HO105" s="62">
        <f>SUMIFS(tblSafety[Recordables],tblSafety[Date],$A105)</f>
        <v/>
      </c>
      <c r="HP105" s="62">
        <f>IF($B105=$B104,$HP104,0)+$HO105</f>
        <v/>
      </c>
      <c r="HQ105" s="62">
        <f>$HQ104+$HO105</f>
        <v/>
      </c>
      <c r="HR105" s="62">
        <f>SUMIFS(tblSafety[Near_Miss],tblSafety[Date],$A105)</f>
        <v/>
      </c>
      <c r="HS105" s="62">
        <f>IF($B105=$B104,$HS104,0)+$HR105</f>
        <v/>
      </c>
      <c r="HT105" s="62">
        <f>$HT104+$HR105</f>
        <v/>
      </c>
      <c r="HU105" s="62">
        <f>SUMIFS(tblSafety[Hazard_Reports],tblSafety[Date],$A105)</f>
        <v/>
      </c>
      <c r="HV105" s="62">
        <f>IF($B105=$B104,$HV104,0)+$HU105</f>
        <v/>
      </c>
      <c r="HW105" s="62">
        <f>$HW104+$HU105</f>
        <v/>
      </c>
      <c r="HX105" s="62">
        <f>SUMIFS(tblSafety[HPI],tblSafety[Date],$A105)</f>
        <v/>
      </c>
      <c r="HY105" s="62">
        <f>IF($B105=$B104,$HY104,0)+$HX105</f>
        <v/>
      </c>
      <c r="HZ105" s="62">
        <f>$HZ104+$HX105</f>
        <v/>
      </c>
      <c r="IA105" s="62">
        <f>SUMIFS(tblSafety[Env_Incidents],tblSafety[Date],$A105)</f>
        <v/>
      </c>
      <c r="IB105" s="62">
        <f>IF($B105=$B104,$IB104,0)+$IA105</f>
        <v/>
      </c>
      <c r="IC105" s="62">
        <f>$IC104+$IA105</f>
        <v/>
      </c>
      <c r="ID105" s="62">
        <f>SUMIFS(tblSafety[Community_Incidents],tblSafety[Date],$A105)</f>
        <v/>
      </c>
      <c r="IE105" s="62">
        <f>IF($B105=$B104,$IE104,0)+$ID105</f>
        <v/>
      </c>
      <c r="IF105" s="62">
        <f>$IF104+$ID105</f>
        <v/>
      </c>
      <c r="IG105" s="62">
        <f>SUMIFS(tblSafety[Vehicle_Incidents],tblSafety[Date],$A105)</f>
        <v/>
      </c>
      <c r="IH105" s="62">
        <f>IF($B105=$B104,$IH104,0)+$IG105</f>
        <v/>
      </c>
      <c r="II105" s="62">
        <f>$II104+$IG105</f>
        <v/>
      </c>
      <c r="IJ105" s="62">
        <f>SUMIFS(tblSafety[Toolbox_Talks],tblSafety[Date],$A105)</f>
        <v/>
      </c>
      <c r="IK105" s="62">
        <f>IF($B105=$B104,$IK104,0)+$IJ105</f>
        <v/>
      </c>
      <c r="IL105" s="62">
        <f>$IL104+$IJ105</f>
        <v/>
      </c>
      <c r="IM105" s="62">
        <f>SUMIFS(tblSafety[Inspections],tblSafety[Date],$A105)</f>
        <v/>
      </c>
      <c r="IN105" s="62">
        <f>IF($B105=$B104,$IN104,0)+$IM105</f>
        <v/>
      </c>
      <c r="IO105" s="62">
        <f>$IO104+$IM105</f>
        <v/>
      </c>
      <c r="IP105" s="56">
        <f>IFERROR((SUMIFS(tblSafety[Recordables],tblSafety[Date],"&gt;="&amp;EDATE($E105,-12),tblSafety[Date],"&lt;="&amp;$A105)+SUMIFS(tblSafetyHistory[Recordables],tblSafetyHistory[Month],"&gt;="&amp;EDATE($E105,-12),tblSafetyHistory[Month],"&lt;"&amp;$E105,tblSafetyHistory[Use],1))/(SUMIFS(tblSafety[Hours_Total],tblSafety[Date],"&gt;="&amp;EDATE($E105,-12),tblSafety[Date],"&lt;="&amp;$A105)+SUMIFS(tblSafetyHistory[Hours_Total],tblSafetyHistory[Month],"&gt;="&amp;EDATE($E105,-12),tblSafetyHistory[Month],"&lt;"&amp;$E105,tblSafetyHistory[Use],1))*cfg_RateBasisHours,"")</f>
        <v/>
      </c>
      <c r="IQ105" s="56">
        <f>IFERROR((SUMIFS(tblSafety[LTI],tblSafety[Date],"&gt;="&amp;EDATE($E105,-12),tblSafety[Date],"&lt;="&amp;$A105)+SUMIFS(tblSafetyHistory[LTI],tblSafetyHistory[Month],"&gt;="&amp;EDATE($E105,-12),tblSafetyHistory[Month],"&lt;"&amp;$E105,tblSafetyHistory[Use],1))/(SUMIFS(tblSafety[Hours_Total],tblSafety[Date],"&gt;="&amp;EDATE($E105,-12),tblSafety[Date],"&lt;="&amp;$A105)+SUMIFS(tblSafetyHistory[Hours_Total],tblSafetyHistory[Month],"&gt;="&amp;EDATE($E105,-12),tblSafetyHistory[Month],"&lt;"&amp;$E105,tblSafetyHistory[Use],1))*cfg_RateBasisHours,"")</f>
        <v/>
      </c>
      <c r="IR105" s="62">
        <f>IF(MAX(N(cfg_PriorLTIDate),_xlfn.MAXIFS(tblSafety[Date],tblSafety[LTI],"&gt;0",tblSafety[Date],"&lt;="&amp;$A105))=0,"",$A105-MAX(N(cfg_PriorLTIDate),_xlfn.MAXIFS(tblSafety[Date],tblSafety[LTI],"&gt;0",tblSafety[Date],"&lt;="&amp;$A105)))</f>
        <v/>
      </c>
      <c r="IS105" s="55">
        <f>SUMIFS(tblBudget[Ore_Mined_t],tblBudget[Month],$E105)</f>
        <v/>
      </c>
      <c r="IT105" s="55">
        <f>$IS105*$C105/$D105</f>
        <v/>
      </c>
      <c r="IU105" s="55">
        <f>SUMIFS(tblBudget[Ore_Mined_t],tblBudget[Month],"&lt;"&amp;$E105)+$IT105</f>
        <v/>
      </c>
      <c r="IV105" s="55">
        <f>SUMIFS(tblBudget[Ore_oz],tblBudget[Month],$E105)</f>
        <v/>
      </c>
      <c r="IW105" s="55">
        <f>$IV105*$C105/$D105</f>
        <v/>
      </c>
      <c r="IX105" s="55">
        <f>SUMIFS(tblBudget[Ore_oz],tblBudget[Month],"&lt;"&amp;$E105)+$IW105</f>
        <v/>
      </c>
      <c r="IY105" s="55">
        <f>SUMIFS(tblBudget[Ore_Mined_t],tblBudget[Month],$E105)</f>
        <v/>
      </c>
      <c r="IZ105" s="55">
        <f>$IY105*$C105/$D105</f>
        <v/>
      </c>
      <c r="JA105" s="55">
        <f>SUMIFS(tblBudget[Ore_Mined_t],tblBudget[Month],"&lt;"&amp;$E105)+$IZ105</f>
        <v/>
      </c>
      <c r="JB105" s="56">
        <f>IFERROR(IF(($IY105)&gt;0,($IV105*cfg_TroyOz)/($IY105),""),"")</f>
        <v/>
      </c>
      <c r="JC105" s="56">
        <f>IFERROR(IF(($IZ105)&gt;0,($IW105*cfg_TroyOz)/($IZ105),""),"")</f>
        <v/>
      </c>
      <c r="JD105" s="56">
        <f>IFERROR(IF(($JA105)&gt;0,($IX105*cfg_TroyOz)/($JA105),""),"")</f>
        <v/>
      </c>
      <c r="JE105" s="55">
        <f>SUMIFS(tblBudget[Waste_t],tblBudget[Month],$E105)</f>
        <v/>
      </c>
      <c r="JF105" s="55">
        <f>$JE105*$C105/$D105</f>
        <v/>
      </c>
      <c r="JG105" s="55">
        <f>SUMIFS(tblBudget[Waste_t],tblBudget[Month],"&lt;"&amp;$E105)+$JF105</f>
        <v/>
      </c>
      <c r="JH105" s="55">
        <f>SUMIFS(tblBudget[TMM_t],tblBudget[Month],$E105)</f>
        <v/>
      </c>
      <c r="JI105" s="55">
        <f>$JH105*$C105/$D105</f>
        <v/>
      </c>
      <c r="JJ105" s="55">
        <f>SUMIFS(tblBudget[TMM_t],tblBudget[Month],"&lt;"&amp;$E105)+$JI105</f>
        <v/>
      </c>
      <c r="JK105" s="56">
        <f>IFERROR(IF(($IS105)&gt;0,($JE105)/($IS105),""),"")</f>
        <v/>
      </c>
      <c r="JL105" s="56">
        <f>IFERROR(IF(($IT105)&gt;0,($JF105)/($IT105),""),"")</f>
        <v/>
      </c>
      <c r="JM105" s="56">
        <f>IFERROR(IF(($IU105)&gt;0,($JG105)/($IU105),""),"")</f>
        <v/>
      </c>
      <c r="JN105" s="55">
        <f>SUMIFS(tblBudget[Drill_m],tblBudget[Month],$E105)</f>
        <v/>
      </c>
      <c r="JO105" s="55">
        <f>$JN105*$C105/$D105</f>
        <v/>
      </c>
      <c r="JP105" s="55">
        <f>SUMIFS(tblBudget[Drill_m],tblBudget[Month],"&lt;"&amp;$E105)+$JO105</f>
        <v/>
      </c>
      <c r="JQ105" s="55">
        <f>SUMIFS(tblBudget[Diesel_L],tblBudget[Month],$E105)</f>
        <v/>
      </c>
      <c r="JR105" s="55">
        <f>$JQ105*$C105/$D105</f>
        <v/>
      </c>
      <c r="JS105" s="55">
        <f>SUMIFS(tblBudget[Diesel_L],tblBudget[Month],"&lt;"&amp;$E105)+$JR105</f>
        <v/>
      </c>
      <c r="JT105" s="55">
        <f>SUMIFS(tblBudget[Milled_t],tblBudget[Month],$E105)</f>
        <v/>
      </c>
      <c r="JU105" s="55">
        <f>$JT105*$C105/$D105</f>
        <v/>
      </c>
      <c r="JV105" s="55">
        <f>SUMIFS(tblBudget[Milled_t],tblBudget[Month],"&lt;"&amp;$E105)+$JU105</f>
        <v/>
      </c>
      <c r="JW105" s="55">
        <f>SUMIFS(tblBudget[Feed_oz],tblBudget[Month],$E105)</f>
        <v/>
      </c>
      <c r="JX105" s="55">
        <f>$JW105*$C105/$D105</f>
        <v/>
      </c>
      <c r="JY105" s="55">
        <f>SUMIFS(tblBudget[Feed_oz],tblBudget[Month],"&lt;"&amp;$E105)+$JX105</f>
        <v/>
      </c>
      <c r="JZ105" s="55">
        <f>SUMIFS(tblBudget[Recovered_oz],tblBudget[Month],$E105)</f>
        <v/>
      </c>
      <c r="KA105" s="55">
        <f>$JZ105*$C105/$D105</f>
        <v/>
      </c>
      <c r="KB105" s="55">
        <f>SUMIFS(tblBudget[Recovered_oz],tblBudget[Month],"&lt;"&amp;$E105)+$KA105</f>
        <v/>
      </c>
      <c r="KC105" s="55">
        <f>SUMIFS(tblBudget[Milled_t],tblBudget[Month],$E105)</f>
        <v/>
      </c>
      <c r="KD105" s="55">
        <f>$KC105*$C105/$D105</f>
        <v/>
      </c>
      <c r="KE105" s="55">
        <f>SUMIFS(tblBudget[Milled_t],tblBudget[Month],"&lt;"&amp;$E105)+$KD105</f>
        <v/>
      </c>
      <c r="KF105" s="55">
        <f>SUMIFS(tblBudget[Feed_oz],tblBudget[Month],$E105)</f>
        <v/>
      </c>
      <c r="KG105" s="55">
        <f>$KF105*$C105/$D105</f>
        <v/>
      </c>
      <c r="KH105" s="55">
        <f>SUMIFS(tblBudget[Feed_oz],tblBudget[Month],"&lt;"&amp;$E105)+$KG105</f>
        <v/>
      </c>
      <c r="KI105" s="56">
        <f>IFERROR(IF(($KC105)&gt;0,($JW105*cfg_TroyOz)/($KC105),""),"")</f>
        <v/>
      </c>
      <c r="KJ105" s="56">
        <f>IFERROR(IF(($KD105)&gt;0,($JX105*cfg_TroyOz)/($KD105),""),"")</f>
        <v/>
      </c>
      <c r="KK105" s="56">
        <f>IFERROR(IF(($KE105)&gt;0,($JY105*cfg_TroyOz)/($KE105),""),"")</f>
        <v/>
      </c>
      <c r="KL105" s="67">
        <f>IFERROR(IF(($KF105)&gt;0,($JZ105)/($KF105),""),"")</f>
        <v/>
      </c>
      <c r="KM105" s="67">
        <f>IFERROR(IF(($KG105)&gt;0,($KA105)/($KG105),""),"")</f>
        <v/>
      </c>
      <c r="KN105" s="67">
        <f>IFERROR(IF(($KH105)&gt;0,($KB105)/($KH105),""),"")</f>
        <v/>
      </c>
      <c r="KO105" s="55">
        <f>SUMIFS(tblBudget[Gold_Poured_oz],tblBudget[Month],$E105)</f>
        <v/>
      </c>
      <c r="KP105" s="55">
        <f>$KO105*$C105/$D105</f>
        <v/>
      </c>
      <c r="KQ105" s="55">
        <f>SUMIFS(tblBudget[Gold_Poured_oz],tblBudget[Month],"&lt;"&amp;$E105)+$KP105</f>
        <v/>
      </c>
      <c r="KR105" s="57">
        <f>SUMIFS(tblBudget[Hours_Worked],tblBudget[Month],$E105)</f>
        <v/>
      </c>
      <c r="KS105" s="57">
        <f>$KR105*$C105/$D105</f>
        <v/>
      </c>
      <c r="KT105" s="57">
        <f>SUMIFS(tblBudget[Hours_Worked],tblBudget[Month],"&lt;"&amp;$E105)+$KS105</f>
        <v/>
      </c>
    </row>
    <row r="106">
      <c r="A106" s="54" t="n">
        <v>46127</v>
      </c>
      <c r="B106">
        <f>MONTH($A106)</f>
        <v/>
      </c>
      <c r="C106">
        <f>DAY($A106)</f>
        <v/>
      </c>
      <c r="D106">
        <f>DAY(EOMONTH($A106,0))</f>
        <v/>
      </c>
      <c r="E106" s="54">
        <f>DATE(YEAR($A106),MONTH($A106),1)</f>
        <v/>
      </c>
      <c r="F106" s="55">
        <f>SUMIFS(tblMovement[Tonnes_t],tblMovement[Date],$A106,tblMovement[Is_Ore],1,tblMovement[Source_Type],"Pit")</f>
        <v/>
      </c>
      <c r="G106" s="55">
        <f>IF($B106=$B105,$G105,0)+$F106</f>
        <v/>
      </c>
      <c r="H106" s="55">
        <f>$H105+$F106</f>
        <v/>
      </c>
      <c r="I106" s="55">
        <f>SUMIFS(tblMovement[Ore_oz],tblMovement[Date],$A106,tblMovement[Source_Type],"Pit")</f>
        <v/>
      </c>
      <c r="J106" s="55">
        <f>IF($B106=$B105,$J105,0)+$I106</f>
        <v/>
      </c>
      <c r="K106" s="55">
        <f>$K105+$I106</f>
        <v/>
      </c>
      <c r="L106" s="55">
        <f>SUMIFS(tblMovement[Tonnes_t],tblMovement[Date],$A106,tblMovement[Is_Ore],1,tblMovement[Source_Type],"Pit",tblMovement[Grade_gpt],"&lt;&gt;")</f>
        <v/>
      </c>
      <c r="M106" s="55">
        <f>IF($B106=$B105,$M105,0)+$L106</f>
        <v/>
      </c>
      <c r="N106" s="55">
        <f>$N105+$L106</f>
        <v/>
      </c>
      <c r="O106" s="56">
        <f>IFERROR(IF(($L106)&gt;0,($I106*cfg_TroyOz)/($L106),""),"")</f>
        <v/>
      </c>
      <c r="P106" s="56">
        <f>IFERROR(IF(($M106)&gt;0,($J106*cfg_TroyOz)/($M106),""),"")</f>
        <v/>
      </c>
      <c r="Q106" s="56">
        <f>IFERROR(IF(($N106)&gt;0,($K106*cfg_TroyOz)/($N106),""),"")</f>
        <v/>
      </c>
      <c r="R106" s="55">
        <f>$F106-$L106</f>
        <v/>
      </c>
      <c r="S106" s="55">
        <f>IF($B106=$B105,$S105,0)+$R106</f>
        <v/>
      </c>
      <c r="T106" s="55">
        <f>$T105+$R106</f>
        <v/>
      </c>
      <c r="U106" s="55">
        <f>SUMIFS(tblMovement[Tonnes_t],tblMovement[Date],$A106,tblMovement[Is_Ore],0,tblMovement[Source_Type],"Pit")</f>
        <v/>
      </c>
      <c r="V106" s="55">
        <f>IF($B106=$B105,$V105,0)+$U106</f>
        <v/>
      </c>
      <c r="W106" s="55">
        <f>$W105+$U106</f>
        <v/>
      </c>
      <c r="X106" s="55">
        <f>$F106+$U106</f>
        <v/>
      </c>
      <c r="Y106" s="55">
        <f>IF($B106=$B105,$Y105,0)+$X106</f>
        <v/>
      </c>
      <c r="Z106" s="55">
        <f>$Z105+$X106</f>
        <v/>
      </c>
      <c r="AA106" s="56">
        <f>IFERROR(IF(($F106)&gt;0,($U106)/($F106),""),"")</f>
        <v/>
      </c>
      <c r="AB106" s="56">
        <f>IFERROR(IF(($G106)&gt;0,($V106)/($G106),""),"")</f>
        <v/>
      </c>
      <c r="AC106" s="56">
        <f>IFERROR(IF(($H106)&gt;0,($W106)/($H106),""),"")</f>
        <v/>
      </c>
      <c r="AD106" s="55">
        <f>SUMIFS(tblMovement[Tonnes_t],tblMovement[Date],$A106,tblMovement[Source_Type],"Stockpile")</f>
        <v/>
      </c>
      <c r="AE106" s="55">
        <f>IF($B106=$B105,$AE105,0)+$AD106</f>
        <v/>
      </c>
      <c r="AF106" s="55">
        <f>$AF105+$AD106</f>
        <v/>
      </c>
      <c r="AG106" s="55">
        <f>SUMIFS(tblMovement[Tonnes_t],tblMovement[Date],$A106)</f>
        <v/>
      </c>
      <c r="AH106" s="55">
        <f>IF($B106=$B105,$AH105,0)+$AG106</f>
        <v/>
      </c>
      <c r="AI106" s="55">
        <f>$AI105+$AG106</f>
        <v/>
      </c>
      <c r="AJ106" s="55">
        <f>$AG106-$X106-$AD106</f>
        <v/>
      </c>
      <c r="AK106" s="55">
        <f>IF($B106=$B105,$AK105,0)+$AJ106</f>
        <v/>
      </c>
      <c r="AL106" s="55">
        <f>$AL105+$AJ106</f>
        <v/>
      </c>
      <c r="AM106" s="55">
        <f>SUMIFS(tblMiningDaily[Drill_m],tblMiningDaily[Date],$A106)</f>
        <v/>
      </c>
      <c r="AN106" s="55">
        <f>IF($B106=$B105,$AN105,0)+$AM106</f>
        <v/>
      </c>
      <c r="AO106" s="55">
        <f>$AO105+$AM106</f>
        <v/>
      </c>
      <c r="AP106" s="55">
        <f>SUMIFS(tblMiningDaily[GC_Drill_m],tblMiningDaily[Date],$A106)</f>
        <v/>
      </c>
      <c r="AQ106" s="55">
        <f>IF($B106=$B105,$AQ105,0)+$AP106</f>
        <v/>
      </c>
      <c r="AR106" s="55">
        <f>$AR105+$AP106</f>
        <v/>
      </c>
      <c r="AS106" s="55">
        <f>SUMIFS(tblMiningDaily[Blast_t],tblMiningDaily[Date],$A106)</f>
        <v/>
      </c>
      <c r="AT106" s="55">
        <f>IF($B106=$B105,$AT105,0)+$AS106</f>
        <v/>
      </c>
      <c r="AU106" s="55">
        <f>$AU105+$AS106</f>
        <v/>
      </c>
      <c r="AV106" s="55">
        <f>SUMIFS(tblMiningDaily[Explosives_kg],tblMiningDaily[Date],$A106)</f>
        <v/>
      </c>
      <c r="AW106" s="55">
        <f>IF($B106=$B105,$AW105,0)+$AV106</f>
        <v/>
      </c>
      <c r="AX106" s="55">
        <f>$AX105+$AV106</f>
        <v/>
      </c>
      <c r="AY106" s="56">
        <f>IFERROR(IF(($AS106)&gt;0,($AV106)/($AS106),""),"")</f>
        <v/>
      </c>
      <c r="AZ106" s="56">
        <f>IFERROR(IF(($AT106)&gt;0,($AW106)/($AT106),""),"")</f>
        <v/>
      </c>
      <c r="BA106" s="56">
        <f>IFERROR(IF(($AU106)&gt;0,($AX106)/($AU106),""),"")</f>
        <v/>
      </c>
      <c r="BB106" s="55">
        <f>SUMIFS(tblMiningDaily[Diesel_L],tblMiningDaily[Date],$A106)</f>
        <v/>
      </c>
      <c r="BC106" s="55">
        <f>IF($B106=$B105,$BC105,0)+$BB106</f>
        <v/>
      </c>
      <c r="BD106" s="55">
        <f>$BD105+$BB106</f>
        <v/>
      </c>
      <c r="BE106" s="55">
        <f>SUMIFS(tblMiningDaily[Dewatering_m3],tblMiningDaily[Date],$A106)</f>
        <v/>
      </c>
      <c r="BF106" s="55">
        <f>IF($B106=$B105,$BF105,0)+$BE106</f>
        <v/>
      </c>
      <c r="BG106" s="55">
        <f>$BG105+$BE106</f>
        <v/>
      </c>
      <c r="BH106" s="57">
        <f>SUMIFS(tblFleet[Calendar_h],tblFleet[Date],$A106,tblFleet[Equipment_Class],"Excavator")</f>
        <v/>
      </c>
      <c r="BI106" s="57">
        <f>IF($B106=$B105,$BI105,0)+$BH106</f>
        <v/>
      </c>
      <c r="BJ106" s="57">
        <f>$BJ105+$BH106</f>
        <v/>
      </c>
      <c r="BK106" s="57">
        <f>SUMIFS(tblFleet[Available_h],tblFleet[Date],$A106,tblFleet[Equipment_Class],"Excavator")</f>
        <v/>
      </c>
      <c r="BL106" s="57">
        <f>IF($B106=$B105,$BL105,0)+$BK106</f>
        <v/>
      </c>
      <c r="BM106" s="57">
        <f>$BM105+$BK106</f>
        <v/>
      </c>
      <c r="BN106" s="57">
        <f>SUMIFS(tblFleet[Operating_h],tblFleet[Date],$A106,tblFleet[Equipment_Class],"Excavator")</f>
        <v/>
      </c>
      <c r="BO106" s="57">
        <f>IF($B106=$B105,$BO105,0)+$BN106</f>
        <v/>
      </c>
      <c r="BP106" s="57">
        <f>$BP105+$BN106</f>
        <v/>
      </c>
      <c r="BQ106" s="67">
        <f>IFERROR(IF(($BH106)&gt;0,($BK106)/($BH106),""),"")</f>
        <v/>
      </c>
      <c r="BR106" s="67">
        <f>IFERROR(IF(($BI106)&gt;0,($BL106)/($BI106),""),"")</f>
        <v/>
      </c>
      <c r="BS106" s="67">
        <f>IFERROR(IF(($BJ106)&gt;0,($BM106)/($BJ106),""),"")</f>
        <v/>
      </c>
      <c r="BT106" s="67">
        <f>IFERROR(IF(($BK106)&gt;0,($BN106)/($BK106),""),"")</f>
        <v/>
      </c>
      <c r="BU106" s="67">
        <f>IFERROR(IF(($BL106)&gt;0,($BO106)/($BL106),""),"")</f>
        <v/>
      </c>
      <c r="BV106" s="67">
        <f>IFERROR(IF(($BM106)&gt;0,($BP106)/($BM106),""),"")</f>
        <v/>
      </c>
      <c r="BW106" s="57">
        <f>SUMIFS(tblFleet[Calendar_h],tblFleet[Date],$A106,tblFleet[Equipment_Class],"Haul Truck")</f>
        <v/>
      </c>
      <c r="BX106" s="57">
        <f>IF($B106=$B105,$BX105,0)+$BW106</f>
        <v/>
      </c>
      <c r="BY106" s="57">
        <f>$BY105+$BW106</f>
        <v/>
      </c>
      <c r="BZ106" s="57">
        <f>SUMIFS(tblFleet[Available_h],tblFleet[Date],$A106,tblFleet[Equipment_Class],"Haul Truck")</f>
        <v/>
      </c>
      <c r="CA106" s="57">
        <f>IF($B106=$B105,$CA105,0)+$BZ106</f>
        <v/>
      </c>
      <c r="CB106" s="57">
        <f>$CB105+$BZ106</f>
        <v/>
      </c>
      <c r="CC106" s="57">
        <f>SUMIFS(tblFleet[Operating_h],tblFleet[Date],$A106,tblFleet[Equipment_Class],"Haul Truck")</f>
        <v/>
      </c>
      <c r="CD106" s="57">
        <f>IF($B106=$B105,$CD105,0)+$CC106</f>
        <v/>
      </c>
      <c r="CE106" s="57">
        <f>$CE105+$CC106</f>
        <v/>
      </c>
      <c r="CF106" s="67">
        <f>IFERROR(IF(($BW106)&gt;0,($BZ106)/($BW106),""),"")</f>
        <v/>
      </c>
      <c r="CG106" s="67">
        <f>IFERROR(IF(($BX106)&gt;0,($CA106)/($BX106),""),"")</f>
        <v/>
      </c>
      <c r="CH106" s="67">
        <f>IFERROR(IF(($BY106)&gt;0,($CB106)/($BY106),""),"")</f>
        <v/>
      </c>
      <c r="CI106" s="67">
        <f>IFERROR(IF(($BZ106)&gt;0,($CC106)/($BZ106),""),"")</f>
        <v/>
      </c>
      <c r="CJ106" s="67">
        <f>IFERROR(IF(($CA106)&gt;0,($CD106)/($CA106),""),"")</f>
        <v/>
      </c>
      <c r="CK106" s="67">
        <f>IFERROR(IF(($CB106)&gt;0,($CE106)/($CB106),""),"")</f>
        <v/>
      </c>
      <c r="CL106" s="55">
        <f>IFERROR(IF(($BN106)&gt;0,($X106+$AD106)/($BN106),""),"")</f>
        <v/>
      </c>
      <c r="CM106" s="55">
        <f>IFERROR(IF(($BO106)&gt;0,($Y106+$AE106)/($BO106),""),"")</f>
        <v/>
      </c>
      <c r="CN106" s="55">
        <f>IFERROR(IF(($BP106)&gt;0,($Z106+$AF106)/($BP106),""),"")</f>
        <v/>
      </c>
      <c r="CO106" s="55">
        <f>IFERROR(IF(($CC106)&gt;0,($X106+$AD106)/($CC106),""),"")</f>
        <v/>
      </c>
      <c r="CP106" s="55">
        <f>IFERROR(IF(($CD106)&gt;0,($Y106+$AE106)/($CD106),""),"")</f>
        <v/>
      </c>
      <c r="CQ106" s="55">
        <f>IFERROR(IF(($CE106)&gt;0,($Z106+$AF106)/($CE106),""),"")</f>
        <v/>
      </c>
      <c r="CR106" s="55">
        <f>SUMIFS(tblPlant[Crushed_t],tblPlant[Date],$A106)</f>
        <v/>
      </c>
      <c r="CS106" s="55">
        <f>IF($B106=$B105,$CS105,0)+$CR106</f>
        <v/>
      </c>
      <c r="CT106" s="55">
        <f>$CT105+$CR106</f>
        <v/>
      </c>
      <c r="CU106" s="55">
        <f>SUMIFS(tblPlant[Milled_t],tblPlant[Date],$A106)</f>
        <v/>
      </c>
      <c r="CV106" s="55">
        <f>IF($B106=$B105,$CV105,0)+$CU106</f>
        <v/>
      </c>
      <c r="CW106" s="55">
        <f>$CW105+$CU106</f>
        <v/>
      </c>
      <c r="CX106" s="55">
        <f>SUMIFS(tblPlant[Feed_oz],tblPlant[Date],$A106)</f>
        <v/>
      </c>
      <c r="CY106" s="55">
        <f>IF($B106=$B105,$CY105,0)+$CX106</f>
        <v/>
      </c>
      <c r="CZ106" s="55">
        <f>$CZ105+$CX106</f>
        <v/>
      </c>
      <c r="DA106" s="55">
        <f>SUMIFS(tblPlant[Tails_oz],tblPlant[Date],$A106)</f>
        <v/>
      </c>
      <c r="DB106" s="55">
        <f>IF($B106=$B105,$DB105,0)+$DA106</f>
        <v/>
      </c>
      <c r="DC106" s="55">
        <f>$DC105+$DA106</f>
        <v/>
      </c>
      <c r="DD106" s="55">
        <f>SUMIFS(tblPlant[Recovered_oz],tblPlant[Date],$A106)</f>
        <v/>
      </c>
      <c r="DE106" s="55">
        <f>IF($B106=$B105,$DE105,0)+$DD106</f>
        <v/>
      </c>
      <c r="DF106" s="55">
        <f>$DF105+$DD106</f>
        <v/>
      </c>
      <c r="DG106" s="55">
        <f>SUMIFS(tblPlant[Milled_t],tblPlant[Date],$A106,tblPlant[Head_Grade_gpt],"&lt;&gt;")</f>
        <v/>
      </c>
      <c r="DH106" s="55">
        <f>IF($B106=$B105,$DH105,0)+$DG106</f>
        <v/>
      </c>
      <c r="DI106" s="55">
        <f>$DI105+$DG106</f>
        <v/>
      </c>
      <c r="DJ106" s="55">
        <f>SUMIFS(tblPlant[Milled_t],tblPlant[Date],$A106,tblPlant[Tails_Grade_gpt],"&lt;&gt;")</f>
        <v/>
      </c>
      <c r="DK106" s="55">
        <f>IF($B106=$B105,$DK105,0)+$DJ106</f>
        <v/>
      </c>
      <c r="DL106" s="55">
        <f>$DL105+$DJ106</f>
        <v/>
      </c>
      <c r="DM106" s="55">
        <f>SUMIFS(tblPlant[Feed_oz],tblPlant[Date],$A106,tblPlant[Tails_Grade_gpt],"&lt;&gt;")</f>
        <v/>
      </c>
      <c r="DN106" s="55">
        <f>IF($B106=$B105,$DN105,0)+$DM106</f>
        <v/>
      </c>
      <c r="DO106" s="55">
        <f>$DO105+$DM106</f>
        <v/>
      </c>
      <c r="DP106" s="55">
        <f>SUMIFS(tblPlant[Milled_t],tblPlant[Date],$A106,tblPlant[Mill_Run_h],"&lt;&gt;")</f>
        <v/>
      </c>
      <c r="DQ106" s="55">
        <f>IF($B106=$B105,$DQ105,0)+$DP106</f>
        <v/>
      </c>
      <c r="DR106" s="55">
        <f>$DR105+$DP106</f>
        <v/>
      </c>
      <c r="DS106" s="56">
        <f>IFERROR(IF(($DG106)&gt;0,($CX106*cfg_TroyOz)/($DG106),""),"")</f>
        <v/>
      </c>
      <c r="DT106" s="56">
        <f>IFERROR(IF(($DH106)&gt;0,($CY106*cfg_TroyOz)/($DH106),""),"")</f>
        <v/>
      </c>
      <c r="DU106" s="56">
        <f>IFERROR(IF(($DI106)&gt;0,($CZ106*cfg_TroyOz)/($DI106),""),"")</f>
        <v/>
      </c>
      <c r="DV106" s="56">
        <f>IFERROR(IF(($DJ106)&gt;0,($DA106*cfg_TroyOz)/($DJ106),""),"")</f>
        <v/>
      </c>
      <c r="DW106" s="56">
        <f>IFERROR(IF(($DK106)&gt;0,($DB106*cfg_TroyOz)/($DK106),""),"")</f>
        <v/>
      </c>
      <c r="DX106" s="56">
        <f>IFERROR(IF(($DL106)&gt;0,($DC106*cfg_TroyOz)/($DL106),""),"")</f>
        <v/>
      </c>
      <c r="DY106" s="67">
        <f>IFERROR(IF(($DM106)&gt;0,($DD106)/($DM106),""),"")</f>
        <v/>
      </c>
      <c r="DZ106" s="67">
        <f>IFERROR(IF(($DN106)&gt;0,($DE106)/($DN106),""),"")</f>
        <v/>
      </c>
      <c r="EA106" s="67">
        <f>IFERROR(IF(($DO106)&gt;0,($DF106)/($DO106),""),"")</f>
        <v/>
      </c>
      <c r="EB106" s="55">
        <f>SUMIFS(tblPlant[Gravity_Gold_oz],tblPlant[Date],$A106)</f>
        <v/>
      </c>
      <c r="EC106" s="55">
        <f>IF($B106=$B105,$EC105,0)+$EB106</f>
        <v/>
      </c>
      <c r="ED106" s="55">
        <f>$ED105+$EB106</f>
        <v/>
      </c>
      <c r="EE106" s="67">
        <f>IFERROR(IF(($DD106)&gt;0,($EB106)/($DD106),""),"")</f>
        <v/>
      </c>
      <c r="EF106" s="67">
        <f>IFERROR(IF(($DE106)&gt;0,($EC106)/($DE106),""),"")</f>
        <v/>
      </c>
      <c r="EG106" s="67">
        <f>IFERROR(IF(($DF106)&gt;0,($ED106)/($DF106),""),"")</f>
        <v/>
      </c>
      <c r="EH106" s="55">
        <f>SUMIFS(tblPlant[Gold_Poured_oz],tblPlant[Date],$A106)</f>
        <v/>
      </c>
      <c r="EI106" s="55">
        <f>IF($B106=$B105,$EI105,0)+$EH106</f>
        <v/>
      </c>
      <c r="EJ106" s="55">
        <f>$EJ105+$EH106</f>
        <v/>
      </c>
      <c r="EK106" s="57">
        <f>SUMIFS(tblPlant[Mill_Run_h],tblPlant[Date],$A106)</f>
        <v/>
      </c>
      <c r="EL106" s="57">
        <f>IF($B106=$B105,$EL105,0)+$EK106</f>
        <v/>
      </c>
      <c r="EM106" s="57">
        <f>$EM105+$EK106</f>
        <v/>
      </c>
      <c r="EN106" s="57">
        <f>SUMIFS(tblPlant[Mill_Planned_Maint_h],tblPlant[Date],$A106)</f>
        <v/>
      </c>
      <c r="EO106" s="57">
        <f>IF($B106=$B105,$EO105,0)+$EN106</f>
        <v/>
      </c>
      <c r="EP106" s="57">
        <f>$EP105+$EN106</f>
        <v/>
      </c>
      <c r="EQ106" s="57">
        <f>SUMIFS(tblPlant[Mill_Unplanned_Down_h],tblPlant[Date],$A106)</f>
        <v/>
      </c>
      <c r="ER106" s="57">
        <f>IF($B106=$B105,$ER105,0)+$EQ106</f>
        <v/>
      </c>
      <c r="ES106" s="57">
        <f>$ES105+$EQ106</f>
        <v/>
      </c>
      <c r="ET106" s="57">
        <f>IF(COUNTIFS(tblPlant[Date],$A106,tblPlant[Mill_Run_h],"&lt;&gt;")+COUNTIFS(tblPlant[Date],$A106,tblPlant[Mill_Planned_Maint_h],"&lt;&gt;")+COUNTIFS(tblPlant[Date],$A106,tblPlant[Mill_Unplanned_Down_h],"&lt;&gt;")&gt;0,cfg_HoursPerDay,0)</f>
        <v/>
      </c>
      <c r="EU106" s="57">
        <f>IF($B106=$B105,$EU105,0)+$ET106</f>
        <v/>
      </c>
      <c r="EV106" s="57">
        <f>$EV105+$ET106</f>
        <v/>
      </c>
      <c r="EW106" s="57">
        <f>SUMIFS(tblPlant[Crusher_Run_h],tblPlant[Date],$A106)</f>
        <v/>
      </c>
      <c r="EX106" s="57">
        <f>IF($B106=$B105,$EX105,0)+$EW106</f>
        <v/>
      </c>
      <c r="EY106" s="57">
        <f>$EY105+$EW106</f>
        <v/>
      </c>
      <c r="EZ106" s="55">
        <f>IFERROR(IF(($EK106)&gt;0,($DP106)/($EK106),""),"")</f>
        <v/>
      </c>
      <c r="FA106" s="55">
        <f>IFERROR(IF(($EL106)&gt;0,($DQ106)/($EL106),""),"")</f>
        <v/>
      </c>
      <c r="FB106" s="55">
        <f>IFERROR(IF(($EM106)&gt;0,($DR106)/($EM106),""),"")</f>
        <v/>
      </c>
      <c r="FC106" s="67">
        <f>IFERROR(IF(($ET106)&gt;0,($ET106-$EN106-$EQ106)/($ET106),""),"")</f>
        <v/>
      </c>
      <c r="FD106" s="67">
        <f>IFERROR(IF(($EU106)&gt;0,($EU106-$EO106-$ER106)/($EU106),""),"")</f>
        <v/>
      </c>
      <c r="FE106" s="67">
        <f>IFERROR(IF(($EV106)&gt;0,($EV106-$EP106-$ES106)/($EV106),""),"")</f>
        <v/>
      </c>
      <c r="FF106" s="67">
        <f>IFERROR(IF(($ET106-$EN106-$EQ106)&gt;0,($EK106)/($ET106-$EN106-$EQ106),""),"")</f>
        <v/>
      </c>
      <c r="FG106" s="67">
        <f>IFERROR(IF(($EU106-$EO106-$ER106)&gt;0,($EL106)/($EU106-$EO106-$ER106),""),"")</f>
        <v/>
      </c>
      <c r="FH106" s="67">
        <f>IFERROR(IF(($EV106-$EP106-$ES106)&gt;0,($EM106)/($EV106-$EP106-$ES106),""),"")</f>
        <v/>
      </c>
      <c r="FI106" s="55">
        <f>SUMIFS(tblPlant[Cyanide_kg],tblPlant[Date],$A106)</f>
        <v/>
      </c>
      <c r="FJ106" s="55">
        <f>IF($B106=$B105,$FJ105,0)+$FI106</f>
        <v/>
      </c>
      <c r="FK106" s="55">
        <f>$FK105+$FI106</f>
        <v/>
      </c>
      <c r="FL106" s="55">
        <f>SUMIFS(tblPlant[Lime_kg],tblPlant[Date],$A106)</f>
        <v/>
      </c>
      <c r="FM106" s="55">
        <f>IF($B106=$B105,$FM105,0)+$FL106</f>
        <v/>
      </c>
      <c r="FN106" s="55">
        <f>$FN105+$FL106</f>
        <v/>
      </c>
      <c r="FO106" s="55">
        <f>SUMIFS(tblPlant[Grinding_Media_kg],tblPlant[Date],$A106)</f>
        <v/>
      </c>
      <c r="FP106" s="55">
        <f>IF($B106=$B105,$FP105,0)+$FO106</f>
        <v/>
      </c>
      <c r="FQ106" s="55">
        <f>$FQ105+$FO106</f>
        <v/>
      </c>
      <c r="FR106" s="55">
        <f>SUMIFS(tblPlant[Power_kWh],tblPlant[Date],$A106)</f>
        <v/>
      </c>
      <c r="FS106" s="55">
        <f>IF($B106=$B105,$FS105,0)+$FR106</f>
        <v/>
      </c>
      <c r="FT106" s="55">
        <f>$FT105+$FR106</f>
        <v/>
      </c>
      <c r="FU106" s="55">
        <f>SUMIFS(tblPlant[Raw_Water_m3],tblPlant[Date],$A106)</f>
        <v/>
      </c>
      <c r="FV106" s="55">
        <f>IF($B106=$B105,$FV105,0)+$FU106</f>
        <v/>
      </c>
      <c r="FW106" s="55">
        <f>$FW105+$FU106</f>
        <v/>
      </c>
      <c r="FX106" s="56">
        <f>IFERROR(IF(($CU106)&gt;0,($FI106)/($CU106),""),"")</f>
        <v/>
      </c>
      <c r="FY106" s="56">
        <f>IFERROR(IF(($CV106)&gt;0,($FJ106)/($CV106),""),"")</f>
        <v/>
      </c>
      <c r="FZ106" s="56">
        <f>IFERROR(IF(($CW106)&gt;0,($FK106)/($CW106),""),"")</f>
        <v/>
      </c>
      <c r="GA106" s="56">
        <f>IFERROR(IF(($CU106)&gt;0,($FL106)/($CU106),""),"")</f>
        <v/>
      </c>
      <c r="GB106" s="56">
        <f>IFERROR(IF(($CV106)&gt;0,($FM106)/($CV106),""),"")</f>
        <v/>
      </c>
      <c r="GC106" s="56">
        <f>IFERROR(IF(($CW106)&gt;0,($FN106)/($CW106),""),"")</f>
        <v/>
      </c>
      <c r="GD106" s="56">
        <f>IFERROR(IF(($CU106)&gt;0,($FO106)/($CU106),""),"")</f>
        <v/>
      </c>
      <c r="GE106" s="56">
        <f>IFERROR(IF(($CV106)&gt;0,($FP106)/($CV106),""),"")</f>
        <v/>
      </c>
      <c r="GF106" s="56">
        <f>IFERROR(IF(($CW106)&gt;0,($FQ106)/($CW106),""),"")</f>
        <v/>
      </c>
      <c r="GG106" s="79">
        <f>IFERROR(IF(($CU106)&gt;0,($FR106)/($CU106),""),"")</f>
        <v/>
      </c>
      <c r="GH106" s="79">
        <f>IFERROR(IF(($CV106)&gt;0,($FS106)/($CV106),""),"")</f>
        <v/>
      </c>
      <c r="GI106" s="79">
        <f>IFERROR(IF(($CW106)&gt;0,($FT106)/($CW106),""),"")</f>
        <v/>
      </c>
      <c r="GJ106" s="56">
        <f>IFERROR(IF(($CU106)&gt;0,($FU106)/($CU106),""),"")</f>
        <v/>
      </c>
      <c r="GK106" s="56">
        <f>IFERROR(IF(($CV106)&gt;0,($FV106)/($CV106),""),"")</f>
        <v/>
      </c>
      <c r="GL106" s="56">
        <f>IFERROR(IF(($CW106)&gt;0,($FW106)/($CW106),""),"")</f>
        <v/>
      </c>
      <c r="GM106" s="55">
        <f>IF(SUMIFS(tblPlant[GIC_oz],tblPlant[Date],$A106)&gt;0,SUMIFS(tblPlant[GIC_oz],tblPlant[Date],$A106),"")</f>
        <v/>
      </c>
      <c r="GN106" s="55">
        <f>SUMIFS(tblGold[Gold_oz],tblGold[Date],$A106,tblGold[Type],"Shipment")</f>
        <v/>
      </c>
      <c r="GO106" s="55">
        <f>IF($B106=$B105,$GO105,0)+$GN106</f>
        <v/>
      </c>
      <c r="GP106" s="55">
        <f>$GP105+$GN106</f>
        <v/>
      </c>
      <c r="GQ106" s="55">
        <f>SUMIFS(tblGold[Gold_oz],tblGold[Date],$A106,tblGold[Type],"Sale")</f>
        <v/>
      </c>
      <c r="GR106" s="55">
        <f>IF($B106=$B105,$GR105,0)+$GQ106</f>
        <v/>
      </c>
      <c r="GS106" s="55">
        <f>$GS105+$GQ106</f>
        <v/>
      </c>
      <c r="GT106" s="55">
        <f>SUMIFS(tblGold[Dore_kg],tblGold[Date],$A106,tblGold[Type],"Shipment")</f>
        <v/>
      </c>
      <c r="GU106" s="55">
        <f>IF($B106=$B105,$GU105,0)+$GT106</f>
        <v/>
      </c>
      <c r="GV106" s="55">
        <f>$GV105+$GT106</f>
        <v/>
      </c>
      <c r="GW106" s="57">
        <f>SUMIFS(tblSafety[Hours_Total],tblSafety[Date],$A106)</f>
        <v/>
      </c>
      <c r="GX106" s="57">
        <f>IF($B106=$B105,$GX105,0)+$GW106</f>
        <v/>
      </c>
      <c r="GY106" s="57">
        <f>$GY105+$GW106</f>
        <v/>
      </c>
      <c r="GZ106" s="62">
        <f>SUMIFS(tblSafety[Fatality],tblSafety[Date],$A106)</f>
        <v/>
      </c>
      <c r="HA106" s="62">
        <f>IF($B106=$B105,$HA105,0)+$GZ106</f>
        <v/>
      </c>
      <c r="HB106" s="62">
        <f>$HB105+$GZ106</f>
        <v/>
      </c>
      <c r="HC106" s="62">
        <f>SUMIFS(tblSafety[LTI],tblSafety[Date],$A106)</f>
        <v/>
      </c>
      <c r="HD106" s="62">
        <f>IF($B106=$B105,$HD105,0)+$HC106</f>
        <v/>
      </c>
      <c r="HE106" s="62">
        <f>$HE105+$HC106</f>
        <v/>
      </c>
      <c r="HF106" s="62">
        <f>SUMIFS(tblSafety[RWI],tblSafety[Date],$A106)</f>
        <v/>
      </c>
      <c r="HG106" s="62">
        <f>IF($B106=$B105,$HG105,0)+$HF106</f>
        <v/>
      </c>
      <c r="HH106" s="62">
        <f>$HH105+$HF106</f>
        <v/>
      </c>
      <c r="HI106" s="62">
        <f>SUMIFS(tblSafety[MTI],tblSafety[Date],$A106)</f>
        <v/>
      </c>
      <c r="HJ106" s="62">
        <f>IF($B106=$B105,$HJ105,0)+$HI106</f>
        <v/>
      </c>
      <c r="HK106" s="62">
        <f>$HK105+$HI106</f>
        <v/>
      </c>
      <c r="HL106" s="62">
        <f>SUMIFS(tblSafety[FAI],tblSafety[Date],$A106)</f>
        <v/>
      </c>
      <c r="HM106" s="62">
        <f>IF($B106=$B105,$HM105,0)+$HL106</f>
        <v/>
      </c>
      <c r="HN106" s="62">
        <f>$HN105+$HL106</f>
        <v/>
      </c>
      <c r="HO106" s="62">
        <f>SUMIFS(tblSafety[Recordables],tblSafety[Date],$A106)</f>
        <v/>
      </c>
      <c r="HP106" s="62">
        <f>IF($B106=$B105,$HP105,0)+$HO106</f>
        <v/>
      </c>
      <c r="HQ106" s="62">
        <f>$HQ105+$HO106</f>
        <v/>
      </c>
      <c r="HR106" s="62">
        <f>SUMIFS(tblSafety[Near_Miss],tblSafety[Date],$A106)</f>
        <v/>
      </c>
      <c r="HS106" s="62">
        <f>IF($B106=$B105,$HS105,0)+$HR106</f>
        <v/>
      </c>
      <c r="HT106" s="62">
        <f>$HT105+$HR106</f>
        <v/>
      </c>
      <c r="HU106" s="62">
        <f>SUMIFS(tblSafety[Hazard_Reports],tblSafety[Date],$A106)</f>
        <v/>
      </c>
      <c r="HV106" s="62">
        <f>IF($B106=$B105,$HV105,0)+$HU106</f>
        <v/>
      </c>
      <c r="HW106" s="62">
        <f>$HW105+$HU106</f>
        <v/>
      </c>
      <c r="HX106" s="62">
        <f>SUMIFS(tblSafety[HPI],tblSafety[Date],$A106)</f>
        <v/>
      </c>
      <c r="HY106" s="62">
        <f>IF($B106=$B105,$HY105,0)+$HX106</f>
        <v/>
      </c>
      <c r="HZ106" s="62">
        <f>$HZ105+$HX106</f>
        <v/>
      </c>
      <c r="IA106" s="62">
        <f>SUMIFS(tblSafety[Env_Incidents],tblSafety[Date],$A106)</f>
        <v/>
      </c>
      <c r="IB106" s="62">
        <f>IF($B106=$B105,$IB105,0)+$IA106</f>
        <v/>
      </c>
      <c r="IC106" s="62">
        <f>$IC105+$IA106</f>
        <v/>
      </c>
      <c r="ID106" s="62">
        <f>SUMIFS(tblSafety[Community_Incidents],tblSafety[Date],$A106)</f>
        <v/>
      </c>
      <c r="IE106" s="62">
        <f>IF($B106=$B105,$IE105,0)+$ID106</f>
        <v/>
      </c>
      <c r="IF106" s="62">
        <f>$IF105+$ID106</f>
        <v/>
      </c>
      <c r="IG106" s="62">
        <f>SUMIFS(tblSafety[Vehicle_Incidents],tblSafety[Date],$A106)</f>
        <v/>
      </c>
      <c r="IH106" s="62">
        <f>IF($B106=$B105,$IH105,0)+$IG106</f>
        <v/>
      </c>
      <c r="II106" s="62">
        <f>$II105+$IG106</f>
        <v/>
      </c>
      <c r="IJ106" s="62">
        <f>SUMIFS(tblSafety[Toolbox_Talks],tblSafety[Date],$A106)</f>
        <v/>
      </c>
      <c r="IK106" s="62">
        <f>IF($B106=$B105,$IK105,0)+$IJ106</f>
        <v/>
      </c>
      <c r="IL106" s="62">
        <f>$IL105+$IJ106</f>
        <v/>
      </c>
      <c r="IM106" s="62">
        <f>SUMIFS(tblSafety[Inspections],tblSafety[Date],$A106)</f>
        <v/>
      </c>
      <c r="IN106" s="62">
        <f>IF($B106=$B105,$IN105,0)+$IM106</f>
        <v/>
      </c>
      <c r="IO106" s="62">
        <f>$IO105+$IM106</f>
        <v/>
      </c>
      <c r="IP106" s="56">
        <f>IFERROR((SUMIFS(tblSafety[Recordables],tblSafety[Date],"&gt;="&amp;EDATE($E106,-12),tblSafety[Date],"&lt;="&amp;$A106)+SUMIFS(tblSafetyHistory[Recordables],tblSafetyHistory[Month],"&gt;="&amp;EDATE($E106,-12),tblSafetyHistory[Month],"&lt;"&amp;$E106,tblSafetyHistory[Use],1))/(SUMIFS(tblSafety[Hours_Total],tblSafety[Date],"&gt;="&amp;EDATE($E106,-12),tblSafety[Date],"&lt;="&amp;$A106)+SUMIFS(tblSafetyHistory[Hours_Total],tblSafetyHistory[Month],"&gt;="&amp;EDATE($E106,-12),tblSafetyHistory[Month],"&lt;"&amp;$E106,tblSafetyHistory[Use],1))*cfg_RateBasisHours,"")</f>
        <v/>
      </c>
      <c r="IQ106" s="56">
        <f>IFERROR((SUMIFS(tblSafety[LTI],tblSafety[Date],"&gt;="&amp;EDATE($E106,-12),tblSafety[Date],"&lt;="&amp;$A106)+SUMIFS(tblSafetyHistory[LTI],tblSafetyHistory[Month],"&gt;="&amp;EDATE($E106,-12),tblSafetyHistory[Month],"&lt;"&amp;$E106,tblSafetyHistory[Use],1))/(SUMIFS(tblSafety[Hours_Total],tblSafety[Date],"&gt;="&amp;EDATE($E106,-12),tblSafety[Date],"&lt;="&amp;$A106)+SUMIFS(tblSafetyHistory[Hours_Total],tblSafetyHistory[Month],"&gt;="&amp;EDATE($E106,-12),tblSafetyHistory[Month],"&lt;"&amp;$E106,tblSafetyHistory[Use],1))*cfg_RateBasisHours,"")</f>
        <v/>
      </c>
      <c r="IR106" s="62">
        <f>IF(MAX(N(cfg_PriorLTIDate),_xlfn.MAXIFS(tblSafety[Date],tblSafety[LTI],"&gt;0",tblSafety[Date],"&lt;="&amp;$A106))=0,"",$A106-MAX(N(cfg_PriorLTIDate),_xlfn.MAXIFS(tblSafety[Date],tblSafety[LTI],"&gt;0",tblSafety[Date],"&lt;="&amp;$A106)))</f>
        <v/>
      </c>
      <c r="IS106" s="55">
        <f>SUMIFS(tblBudget[Ore_Mined_t],tblBudget[Month],$E106)</f>
        <v/>
      </c>
      <c r="IT106" s="55">
        <f>$IS106*$C106/$D106</f>
        <v/>
      </c>
      <c r="IU106" s="55">
        <f>SUMIFS(tblBudget[Ore_Mined_t],tblBudget[Month],"&lt;"&amp;$E106)+$IT106</f>
        <v/>
      </c>
      <c r="IV106" s="55">
        <f>SUMIFS(tblBudget[Ore_oz],tblBudget[Month],$E106)</f>
        <v/>
      </c>
      <c r="IW106" s="55">
        <f>$IV106*$C106/$D106</f>
        <v/>
      </c>
      <c r="IX106" s="55">
        <f>SUMIFS(tblBudget[Ore_oz],tblBudget[Month],"&lt;"&amp;$E106)+$IW106</f>
        <v/>
      </c>
      <c r="IY106" s="55">
        <f>SUMIFS(tblBudget[Ore_Mined_t],tblBudget[Month],$E106)</f>
        <v/>
      </c>
      <c r="IZ106" s="55">
        <f>$IY106*$C106/$D106</f>
        <v/>
      </c>
      <c r="JA106" s="55">
        <f>SUMIFS(tblBudget[Ore_Mined_t],tblBudget[Month],"&lt;"&amp;$E106)+$IZ106</f>
        <v/>
      </c>
      <c r="JB106" s="56">
        <f>IFERROR(IF(($IY106)&gt;0,($IV106*cfg_TroyOz)/($IY106),""),"")</f>
        <v/>
      </c>
      <c r="JC106" s="56">
        <f>IFERROR(IF(($IZ106)&gt;0,($IW106*cfg_TroyOz)/($IZ106),""),"")</f>
        <v/>
      </c>
      <c r="JD106" s="56">
        <f>IFERROR(IF(($JA106)&gt;0,($IX106*cfg_TroyOz)/($JA106),""),"")</f>
        <v/>
      </c>
      <c r="JE106" s="55">
        <f>SUMIFS(tblBudget[Waste_t],tblBudget[Month],$E106)</f>
        <v/>
      </c>
      <c r="JF106" s="55">
        <f>$JE106*$C106/$D106</f>
        <v/>
      </c>
      <c r="JG106" s="55">
        <f>SUMIFS(tblBudget[Waste_t],tblBudget[Month],"&lt;"&amp;$E106)+$JF106</f>
        <v/>
      </c>
      <c r="JH106" s="55">
        <f>SUMIFS(tblBudget[TMM_t],tblBudget[Month],$E106)</f>
        <v/>
      </c>
      <c r="JI106" s="55">
        <f>$JH106*$C106/$D106</f>
        <v/>
      </c>
      <c r="JJ106" s="55">
        <f>SUMIFS(tblBudget[TMM_t],tblBudget[Month],"&lt;"&amp;$E106)+$JI106</f>
        <v/>
      </c>
      <c r="JK106" s="56">
        <f>IFERROR(IF(($IS106)&gt;0,($JE106)/($IS106),""),"")</f>
        <v/>
      </c>
      <c r="JL106" s="56">
        <f>IFERROR(IF(($IT106)&gt;0,($JF106)/($IT106),""),"")</f>
        <v/>
      </c>
      <c r="JM106" s="56">
        <f>IFERROR(IF(($IU106)&gt;0,($JG106)/($IU106),""),"")</f>
        <v/>
      </c>
      <c r="JN106" s="55">
        <f>SUMIFS(tblBudget[Drill_m],tblBudget[Month],$E106)</f>
        <v/>
      </c>
      <c r="JO106" s="55">
        <f>$JN106*$C106/$D106</f>
        <v/>
      </c>
      <c r="JP106" s="55">
        <f>SUMIFS(tblBudget[Drill_m],tblBudget[Month],"&lt;"&amp;$E106)+$JO106</f>
        <v/>
      </c>
      <c r="JQ106" s="55">
        <f>SUMIFS(tblBudget[Diesel_L],tblBudget[Month],$E106)</f>
        <v/>
      </c>
      <c r="JR106" s="55">
        <f>$JQ106*$C106/$D106</f>
        <v/>
      </c>
      <c r="JS106" s="55">
        <f>SUMIFS(tblBudget[Diesel_L],tblBudget[Month],"&lt;"&amp;$E106)+$JR106</f>
        <v/>
      </c>
      <c r="JT106" s="55">
        <f>SUMIFS(tblBudget[Milled_t],tblBudget[Month],$E106)</f>
        <v/>
      </c>
      <c r="JU106" s="55">
        <f>$JT106*$C106/$D106</f>
        <v/>
      </c>
      <c r="JV106" s="55">
        <f>SUMIFS(tblBudget[Milled_t],tblBudget[Month],"&lt;"&amp;$E106)+$JU106</f>
        <v/>
      </c>
      <c r="JW106" s="55">
        <f>SUMIFS(tblBudget[Feed_oz],tblBudget[Month],$E106)</f>
        <v/>
      </c>
      <c r="JX106" s="55">
        <f>$JW106*$C106/$D106</f>
        <v/>
      </c>
      <c r="JY106" s="55">
        <f>SUMIFS(tblBudget[Feed_oz],tblBudget[Month],"&lt;"&amp;$E106)+$JX106</f>
        <v/>
      </c>
      <c r="JZ106" s="55">
        <f>SUMIFS(tblBudget[Recovered_oz],tblBudget[Month],$E106)</f>
        <v/>
      </c>
      <c r="KA106" s="55">
        <f>$JZ106*$C106/$D106</f>
        <v/>
      </c>
      <c r="KB106" s="55">
        <f>SUMIFS(tblBudget[Recovered_oz],tblBudget[Month],"&lt;"&amp;$E106)+$KA106</f>
        <v/>
      </c>
      <c r="KC106" s="55">
        <f>SUMIFS(tblBudget[Milled_t],tblBudget[Month],$E106)</f>
        <v/>
      </c>
      <c r="KD106" s="55">
        <f>$KC106*$C106/$D106</f>
        <v/>
      </c>
      <c r="KE106" s="55">
        <f>SUMIFS(tblBudget[Milled_t],tblBudget[Month],"&lt;"&amp;$E106)+$KD106</f>
        <v/>
      </c>
      <c r="KF106" s="55">
        <f>SUMIFS(tblBudget[Feed_oz],tblBudget[Month],$E106)</f>
        <v/>
      </c>
      <c r="KG106" s="55">
        <f>$KF106*$C106/$D106</f>
        <v/>
      </c>
      <c r="KH106" s="55">
        <f>SUMIFS(tblBudget[Feed_oz],tblBudget[Month],"&lt;"&amp;$E106)+$KG106</f>
        <v/>
      </c>
      <c r="KI106" s="56">
        <f>IFERROR(IF(($KC106)&gt;0,($JW106*cfg_TroyOz)/($KC106),""),"")</f>
        <v/>
      </c>
      <c r="KJ106" s="56">
        <f>IFERROR(IF(($KD106)&gt;0,($JX106*cfg_TroyOz)/($KD106),""),"")</f>
        <v/>
      </c>
      <c r="KK106" s="56">
        <f>IFERROR(IF(($KE106)&gt;0,($JY106*cfg_TroyOz)/($KE106),""),"")</f>
        <v/>
      </c>
      <c r="KL106" s="67">
        <f>IFERROR(IF(($KF106)&gt;0,($JZ106)/($KF106),""),"")</f>
        <v/>
      </c>
      <c r="KM106" s="67">
        <f>IFERROR(IF(($KG106)&gt;0,($KA106)/($KG106),""),"")</f>
        <v/>
      </c>
      <c r="KN106" s="67">
        <f>IFERROR(IF(($KH106)&gt;0,($KB106)/($KH106),""),"")</f>
        <v/>
      </c>
      <c r="KO106" s="55">
        <f>SUMIFS(tblBudget[Gold_Poured_oz],tblBudget[Month],$E106)</f>
        <v/>
      </c>
      <c r="KP106" s="55">
        <f>$KO106*$C106/$D106</f>
        <v/>
      </c>
      <c r="KQ106" s="55">
        <f>SUMIFS(tblBudget[Gold_Poured_oz],tblBudget[Month],"&lt;"&amp;$E106)+$KP106</f>
        <v/>
      </c>
      <c r="KR106" s="57">
        <f>SUMIFS(tblBudget[Hours_Worked],tblBudget[Month],$E106)</f>
        <v/>
      </c>
      <c r="KS106" s="57">
        <f>$KR106*$C106/$D106</f>
        <v/>
      </c>
      <c r="KT106" s="57">
        <f>SUMIFS(tblBudget[Hours_Worked],tblBudget[Month],"&lt;"&amp;$E106)+$KS106</f>
        <v/>
      </c>
    </row>
    <row r="107">
      <c r="A107" s="54" t="n">
        <v>46128</v>
      </c>
      <c r="B107">
        <f>MONTH($A107)</f>
        <v/>
      </c>
      <c r="C107">
        <f>DAY($A107)</f>
        <v/>
      </c>
      <c r="D107">
        <f>DAY(EOMONTH($A107,0))</f>
        <v/>
      </c>
      <c r="E107" s="54">
        <f>DATE(YEAR($A107),MONTH($A107),1)</f>
        <v/>
      </c>
      <c r="F107" s="55">
        <f>SUMIFS(tblMovement[Tonnes_t],tblMovement[Date],$A107,tblMovement[Is_Ore],1,tblMovement[Source_Type],"Pit")</f>
        <v/>
      </c>
      <c r="G107" s="55">
        <f>IF($B107=$B106,$G106,0)+$F107</f>
        <v/>
      </c>
      <c r="H107" s="55">
        <f>$H106+$F107</f>
        <v/>
      </c>
      <c r="I107" s="55">
        <f>SUMIFS(tblMovement[Ore_oz],tblMovement[Date],$A107,tblMovement[Source_Type],"Pit")</f>
        <v/>
      </c>
      <c r="J107" s="55">
        <f>IF($B107=$B106,$J106,0)+$I107</f>
        <v/>
      </c>
      <c r="K107" s="55">
        <f>$K106+$I107</f>
        <v/>
      </c>
      <c r="L107" s="55">
        <f>SUMIFS(tblMovement[Tonnes_t],tblMovement[Date],$A107,tblMovement[Is_Ore],1,tblMovement[Source_Type],"Pit",tblMovement[Grade_gpt],"&lt;&gt;")</f>
        <v/>
      </c>
      <c r="M107" s="55">
        <f>IF($B107=$B106,$M106,0)+$L107</f>
        <v/>
      </c>
      <c r="N107" s="55">
        <f>$N106+$L107</f>
        <v/>
      </c>
      <c r="O107" s="56">
        <f>IFERROR(IF(($L107)&gt;0,($I107*cfg_TroyOz)/($L107),""),"")</f>
        <v/>
      </c>
      <c r="P107" s="56">
        <f>IFERROR(IF(($M107)&gt;0,($J107*cfg_TroyOz)/($M107),""),"")</f>
        <v/>
      </c>
      <c r="Q107" s="56">
        <f>IFERROR(IF(($N107)&gt;0,($K107*cfg_TroyOz)/($N107),""),"")</f>
        <v/>
      </c>
      <c r="R107" s="55">
        <f>$F107-$L107</f>
        <v/>
      </c>
      <c r="S107" s="55">
        <f>IF($B107=$B106,$S106,0)+$R107</f>
        <v/>
      </c>
      <c r="T107" s="55">
        <f>$T106+$R107</f>
        <v/>
      </c>
      <c r="U107" s="55">
        <f>SUMIFS(tblMovement[Tonnes_t],tblMovement[Date],$A107,tblMovement[Is_Ore],0,tblMovement[Source_Type],"Pit")</f>
        <v/>
      </c>
      <c r="V107" s="55">
        <f>IF($B107=$B106,$V106,0)+$U107</f>
        <v/>
      </c>
      <c r="W107" s="55">
        <f>$W106+$U107</f>
        <v/>
      </c>
      <c r="X107" s="55">
        <f>$F107+$U107</f>
        <v/>
      </c>
      <c r="Y107" s="55">
        <f>IF($B107=$B106,$Y106,0)+$X107</f>
        <v/>
      </c>
      <c r="Z107" s="55">
        <f>$Z106+$X107</f>
        <v/>
      </c>
      <c r="AA107" s="56">
        <f>IFERROR(IF(($F107)&gt;0,($U107)/($F107),""),"")</f>
        <v/>
      </c>
      <c r="AB107" s="56">
        <f>IFERROR(IF(($G107)&gt;0,($V107)/($G107),""),"")</f>
        <v/>
      </c>
      <c r="AC107" s="56">
        <f>IFERROR(IF(($H107)&gt;0,($W107)/($H107),""),"")</f>
        <v/>
      </c>
      <c r="AD107" s="55">
        <f>SUMIFS(tblMovement[Tonnes_t],tblMovement[Date],$A107,tblMovement[Source_Type],"Stockpile")</f>
        <v/>
      </c>
      <c r="AE107" s="55">
        <f>IF($B107=$B106,$AE106,0)+$AD107</f>
        <v/>
      </c>
      <c r="AF107" s="55">
        <f>$AF106+$AD107</f>
        <v/>
      </c>
      <c r="AG107" s="55">
        <f>SUMIFS(tblMovement[Tonnes_t],tblMovement[Date],$A107)</f>
        <v/>
      </c>
      <c r="AH107" s="55">
        <f>IF($B107=$B106,$AH106,0)+$AG107</f>
        <v/>
      </c>
      <c r="AI107" s="55">
        <f>$AI106+$AG107</f>
        <v/>
      </c>
      <c r="AJ107" s="55">
        <f>$AG107-$X107-$AD107</f>
        <v/>
      </c>
      <c r="AK107" s="55">
        <f>IF($B107=$B106,$AK106,0)+$AJ107</f>
        <v/>
      </c>
      <c r="AL107" s="55">
        <f>$AL106+$AJ107</f>
        <v/>
      </c>
      <c r="AM107" s="55">
        <f>SUMIFS(tblMiningDaily[Drill_m],tblMiningDaily[Date],$A107)</f>
        <v/>
      </c>
      <c r="AN107" s="55">
        <f>IF($B107=$B106,$AN106,0)+$AM107</f>
        <v/>
      </c>
      <c r="AO107" s="55">
        <f>$AO106+$AM107</f>
        <v/>
      </c>
      <c r="AP107" s="55">
        <f>SUMIFS(tblMiningDaily[GC_Drill_m],tblMiningDaily[Date],$A107)</f>
        <v/>
      </c>
      <c r="AQ107" s="55">
        <f>IF($B107=$B106,$AQ106,0)+$AP107</f>
        <v/>
      </c>
      <c r="AR107" s="55">
        <f>$AR106+$AP107</f>
        <v/>
      </c>
      <c r="AS107" s="55">
        <f>SUMIFS(tblMiningDaily[Blast_t],tblMiningDaily[Date],$A107)</f>
        <v/>
      </c>
      <c r="AT107" s="55">
        <f>IF($B107=$B106,$AT106,0)+$AS107</f>
        <v/>
      </c>
      <c r="AU107" s="55">
        <f>$AU106+$AS107</f>
        <v/>
      </c>
      <c r="AV107" s="55">
        <f>SUMIFS(tblMiningDaily[Explosives_kg],tblMiningDaily[Date],$A107)</f>
        <v/>
      </c>
      <c r="AW107" s="55">
        <f>IF($B107=$B106,$AW106,0)+$AV107</f>
        <v/>
      </c>
      <c r="AX107" s="55">
        <f>$AX106+$AV107</f>
        <v/>
      </c>
      <c r="AY107" s="56">
        <f>IFERROR(IF(($AS107)&gt;0,($AV107)/($AS107),""),"")</f>
        <v/>
      </c>
      <c r="AZ107" s="56">
        <f>IFERROR(IF(($AT107)&gt;0,($AW107)/($AT107),""),"")</f>
        <v/>
      </c>
      <c r="BA107" s="56">
        <f>IFERROR(IF(($AU107)&gt;0,($AX107)/($AU107),""),"")</f>
        <v/>
      </c>
      <c r="BB107" s="55">
        <f>SUMIFS(tblMiningDaily[Diesel_L],tblMiningDaily[Date],$A107)</f>
        <v/>
      </c>
      <c r="BC107" s="55">
        <f>IF($B107=$B106,$BC106,0)+$BB107</f>
        <v/>
      </c>
      <c r="BD107" s="55">
        <f>$BD106+$BB107</f>
        <v/>
      </c>
      <c r="BE107" s="55">
        <f>SUMIFS(tblMiningDaily[Dewatering_m3],tblMiningDaily[Date],$A107)</f>
        <v/>
      </c>
      <c r="BF107" s="55">
        <f>IF($B107=$B106,$BF106,0)+$BE107</f>
        <v/>
      </c>
      <c r="BG107" s="55">
        <f>$BG106+$BE107</f>
        <v/>
      </c>
      <c r="BH107" s="57">
        <f>SUMIFS(tblFleet[Calendar_h],tblFleet[Date],$A107,tblFleet[Equipment_Class],"Excavator")</f>
        <v/>
      </c>
      <c r="BI107" s="57">
        <f>IF($B107=$B106,$BI106,0)+$BH107</f>
        <v/>
      </c>
      <c r="BJ107" s="57">
        <f>$BJ106+$BH107</f>
        <v/>
      </c>
      <c r="BK107" s="57">
        <f>SUMIFS(tblFleet[Available_h],tblFleet[Date],$A107,tblFleet[Equipment_Class],"Excavator")</f>
        <v/>
      </c>
      <c r="BL107" s="57">
        <f>IF($B107=$B106,$BL106,0)+$BK107</f>
        <v/>
      </c>
      <c r="BM107" s="57">
        <f>$BM106+$BK107</f>
        <v/>
      </c>
      <c r="BN107" s="57">
        <f>SUMIFS(tblFleet[Operating_h],tblFleet[Date],$A107,tblFleet[Equipment_Class],"Excavator")</f>
        <v/>
      </c>
      <c r="BO107" s="57">
        <f>IF($B107=$B106,$BO106,0)+$BN107</f>
        <v/>
      </c>
      <c r="BP107" s="57">
        <f>$BP106+$BN107</f>
        <v/>
      </c>
      <c r="BQ107" s="67">
        <f>IFERROR(IF(($BH107)&gt;0,($BK107)/($BH107),""),"")</f>
        <v/>
      </c>
      <c r="BR107" s="67">
        <f>IFERROR(IF(($BI107)&gt;0,($BL107)/($BI107),""),"")</f>
        <v/>
      </c>
      <c r="BS107" s="67">
        <f>IFERROR(IF(($BJ107)&gt;0,($BM107)/($BJ107),""),"")</f>
        <v/>
      </c>
      <c r="BT107" s="67">
        <f>IFERROR(IF(($BK107)&gt;0,($BN107)/($BK107),""),"")</f>
        <v/>
      </c>
      <c r="BU107" s="67">
        <f>IFERROR(IF(($BL107)&gt;0,($BO107)/($BL107),""),"")</f>
        <v/>
      </c>
      <c r="BV107" s="67">
        <f>IFERROR(IF(($BM107)&gt;0,($BP107)/($BM107),""),"")</f>
        <v/>
      </c>
      <c r="BW107" s="57">
        <f>SUMIFS(tblFleet[Calendar_h],tblFleet[Date],$A107,tblFleet[Equipment_Class],"Haul Truck")</f>
        <v/>
      </c>
      <c r="BX107" s="57">
        <f>IF($B107=$B106,$BX106,0)+$BW107</f>
        <v/>
      </c>
      <c r="BY107" s="57">
        <f>$BY106+$BW107</f>
        <v/>
      </c>
      <c r="BZ107" s="57">
        <f>SUMIFS(tblFleet[Available_h],tblFleet[Date],$A107,tblFleet[Equipment_Class],"Haul Truck")</f>
        <v/>
      </c>
      <c r="CA107" s="57">
        <f>IF($B107=$B106,$CA106,0)+$BZ107</f>
        <v/>
      </c>
      <c r="CB107" s="57">
        <f>$CB106+$BZ107</f>
        <v/>
      </c>
      <c r="CC107" s="57">
        <f>SUMIFS(tblFleet[Operating_h],tblFleet[Date],$A107,tblFleet[Equipment_Class],"Haul Truck")</f>
        <v/>
      </c>
      <c r="CD107" s="57">
        <f>IF($B107=$B106,$CD106,0)+$CC107</f>
        <v/>
      </c>
      <c r="CE107" s="57">
        <f>$CE106+$CC107</f>
        <v/>
      </c>
      <c r="CF107" s="67">
        <f>IFERROR(IF(($BW107)&gt;0,($BZ107)/($BW107),""),"")</f>
        <v/>
      </c>
      <c r="CG107" s="67">
        <f>IFERROR(IF(($BX107)&gt;0,($CA107)/($BX107),""),"")</f>
        <v/>
      </c>
      <c r="CH107" s="67">
        <f>IFERROR(IF(($BY107)&gt;0,($CB107)/($BY107),""),"")</f>
        <v/>
      </c>
      <c r="CI107" s="67">
        <f>IFERROR(IF(($BZ107)&gt;0,($CC107)/($BZ107),""),"")</f>
        <v/>
      </c>
      <c r="CJ107" s="67">
        <f>IFERROR(IF(($CA107)&gt;0,($CD107)/($CA107),""),"")</f>
        <v/>
      </c>
      <c r="CK107" s="67">
        <f>IFERROR(IF(($CB107)&gt;0,($CE107)/($CB107),""),"")</f>
        <v/>
      </c>
      <c r="CL107" s="55">
        <f>IFERROR(IF(($BN107)&gt;0,($X107+$AD107)/($BN107),""),"")</f>
        <v/>
      </c>
      <c r="CM107" s="55">
        <f>IFERROR(IF(($BO107)&gt;0,($Y107+$AE107)/($BO107),""),"")</f>
        <v/>
      </c>
      <c r="CN107" s="55">
        <f>IFERROR(IF(($BP107)&gt;0,($Z107+$AF107)/($BP107),""),"")</f>
        <v/>
      </c>
      <c r="CO107" s="55">
        <f>IFERROR(IF(($CC107)&gt;0,($X107+$AD107)/($CC107),""),"")</f>
        <v/>
      </c>
      <c r="CP107" s="55">
        <f>IFERROR(IF(($CD107)&gt;0,($Y107+$AE107)/($CD107),""),"")</f>
        <v/>
      </c>
      <c r="CQ107" s="55">
        <f>IFERROR(IF(($CE107)&gt;0,($Z107+$AF107)/($CE107),""),"")</f>
        <v/>
      </c>
      <c r="CR107" s="55">
        <f>SUMIFS(tblPlant[Crushed_t],tblPlant[Date],$A107)</f>
        <v/>
      </c>
      <c r="CS107" s="55">
        <f>IF($B107=$B106,$CS106,0)+$CR107</f>
        <v/>
      </c>
      <c r="CT107" s="55">
        <f>$CT106+$CR107</f>
        <v/>
      </c>
      <c r="CU107" s="55">
        <f>SUMIFS(tblPlant[Milled_t],tblPlant[Date],$A107)</f>
        <v/>
      </c>
      <c r="CV107" s="55">
        <f>IF($B107=$B106,$CV106,0)+$CU107</f>
        <v/>
      </c>
      <c r="CW107" s="55">
        <f>$CW106+$CU107</f>
        <v/>
      </c>
      <c r="CX107" s="55">
        <f>SUMIFS(tblPlant[Feed_oz],tblPlant[Date],$A107)</f>
        <v/>
      </c>
      <c r="CY107" s="55">
        <f>IF($B107=$B106,$CY106,0)+$CX107</f>
        <v/>
      </c>
      <c r="CZ107" s="55">
        <f>$CZ106+$CX107</f>
        <v/>
      </c>
      <c r="DA107" s="55">
        <f>SUMIFS(tblPlant[Tails_oz],tblPlant[Date],$A107)</f>
        <v/>
      </c>
      <c r="DB107" s="55">
        <f>IF($B107=$B106,$DB106,0)+$DA107</f>
        <v/>
      </c>
      <c r="DC107" s="55">
        <f>$DC106+$DA107</f>
        <v/>
      </c>
      <c r="DD107" s="55">
        <f>SUMIFS(tblPlant[Recovered_oz],tblPlant[Date],$A107)</f>
        <v/>
      </c>
      <c r="DE107" s="55">
        <f>IF($B107=$B106,$DE106,0)+$DD107</f>
        <v/>
      </c>
      <c r="DF107" s="55">
        <f>$DF106+$DD107</f>
        <v/>
      </c>
      <c r="DG107" s="55">
        <f>SUMIFS(tblPlant[Milled_t],tblPlant[Date],$A107,tblPlant[Head_Grade_gpt],"&lt;&gt;")</f>
        <v/>
      </c>
      <c r="DH107" s="55">
        <f>IF($B107=$B106,$DH106,0)+$DG107</f>
        <v/>
      </c>
      <c r="DI107" s="55">
        <f>$DI106+$DG107</f>
        <v/>
      </c>
      <c r="DJ107" s="55">
        <f>SUMIFS(tblPlant[Milled_t],tblPlant[Date],$A107,tblPlant[Tails_Grade_gpt],"&lt;&gt;")</f>
        <v/>
      </c>
      <c r="DK107" s="55">
        <f>IF($B107=$B106,$DK106,0)+$DJ107</f>
        <v/>
      </c>
      <c r="DL107" s="55">
        <f>$DL106+$DJ107</f>
        <v/>
      </c>
      <c r="DM107" s="55">
        <f>SUMIFS(tblPlant[Feed_oz],tblPlant[Date],$A107,tblPlant[Tails_Grade_gpt],"&lt;&gt;")</f>
        <v/>
      </c>
      <c r="DN107" s="55">
        <f>IF($B107=$B106,$DN106,0)+$DM107</f>
        <v/>
      </c>
      <c r="DO107" s="55">
        <f>$DO106+$DM107</f>
        <v/>
      </c>
      <c r="DP107" s="55">
        <f>SUMIFS(tblPlant[Milled_t],tblPlant[Date],$A107,tblPlant[Mill_Run_h],"&lt;&gt;")</f>
        <v/>
      </c>
      <c r="DQ107" s="55">
        <f>IF($B107=$B106,$DQ106,0)+$DP107</f>
        <v/>
      </c>
      <c r="DR107" s="55">
        <f>$DR106+$DP107</f>
        <v/>
      </c>
      <c r="DS107" s="56">
        <f>IFERROR(IF(($DG107)&gt;0,($CX107*cfg_TroyOz)/($DG107),""),"")</f>
        <v/>
      </c>
      <c r="DT107" s="56">
        <f>IFERROR(IF(($DH107)&gt;0,($CY107*cfg_TroyOz)/($DH107),""),"")</f>
        <v/>
      </c>
      <c r="DU107" s="56">
        <f>IFERROR(IF(($DI107)&gt;0,($CZ107*cfg_TroyOz)/($DI107),""),"")</f>
        <v/>
      </c>
      <c r="DV107" s="56">
        <f>IFERROR(IF(($DJ107)&gt;0,($DA107*cfg_TroyOz)/($DJ107),""),"")</f>
        <v/>
      </c>
      <c r="DW107" s="56">
        <f>IFERROR(IF(($DK107)&gt;0,($DB107*cfg_TroyOz)/($DK107),""),"")</f>
        <v/>
      </c>
      <c r="DX107" s="56">
        <f>IFERROR(IF(($DL107)&gt;0,($DC107*cfg_TroyOz)/($DL107),""),"")</f>
        <v/>
      </c>
      <c r="DY107" s="67">
        <f>IFERROR(IF(($DM107)&gt;0,($DD107)/($DM107),""),"")</f>
        <v/>
      </c>
      <c r="DZ107" s="67">
        <f>IFERROR(IF(($DN107)&gt;0,($DE107)/($DN107),""),"")</f>
        <v/>
      </c>
      <c r="EA107" s="67">
        <f>IFERROR(IF(($DO107)&gt;0,($DF107)/($DO107),""),"")</f>
        <v/>
      </c>
      <c r="EB107" s="55">
        <f>SUMIFS(tblPlant[Gravity_Gold_oz],tblPlant[Date],$A107)</f>
        <v/>
      </c>
      <c r="EC107" s="55">
        <f>IF($B107=$B106,$EC106,0)+$EB107</f>
        <v/>
      </c>
      <c r="ED107" s="55">
        <f>$ED106+$EB107</f>
        <v/>
      </c>
      <c r="EE107" s="67">
        <f>IFERROR(IF(($DD107)&gt;0,($EB107)/($DD107),""),"")</f>
        <v/>
      </c>
      <c r="EF107" s="67">
        <f>IFERROR(IF(($DE107)&gt;0,($EC107)/($DE107),""),"")</f>
        <v/>
      </c>
      <c r="EG107" s="67">
        <f>IFERROR(IF(($DF107)&gt;0,($ED107)/($DF107),""),"")</f>
        <v/>
      </c>
      <c r="EH107" s="55">
        <f>SUMIFS(tblPlant[Gold_Poured_oz],tblPlant[Date],$A107)</f>
        <v/>
      </c>
      <c r="EI107" s="55">
        <f>IF($B107=$B106,$EI106,0)+$EH107</f>
        <v/>
      </c>
      <c r="EJ107" s="55">
        <f>$EJ106+$EH107</f>
        <v/>
      </c>
      <c r="EK107" s="57">
        <f>SUMIFS(tblPlant[Mill_Run_h],tblPlant[Date],$A107)</f>
        <v/>
      </c>
      <c r="EL107" s="57">
        <f>IF($B107=$B106,$EL106,0)+$EK107</f>
        <v/>
      </c>
      <c r="EM107" s="57">
        <f>$EM106+$EK107</f>
        <v/>
      </c>
      <c r="EN107" s="57">
        <f>SUMIFS(tblPlant[Mill_Planned_Maint_h],tblPlant[Date],$A107)</f>
        <v/>
      </c>
      <c r="EO107" s="57">
        <f>IF($B107=$B106,$EO106,0)+$EN107</f>
        <v/>
      </c>
      <c r="EP107" s="57">
        <f>$EP106+$EN107</f>
        <v/>
      </c>
      <c r="EQ107" s="57">
        <f>SUMIFS(tblPlant[Mill_Unplanned_Down_h],tblPlant[Date],$A107)</f>
        <v/>
      </c>
      <c r="ER107" s="57">
        <f>IF($B107=$B106,$ER106,0)+$EQ107</f>
        <v/>
      </c>
      <c r="ES107" s="57">
        <f>$ES106+$EQ107</f>
        <v/>
      </c>
      <c r="ET107" s="57">
        <f>IF(COUNTIFS(tblPlant[Date],$A107,tblPlant[Mill_Run_h],"&lt;&gt;")+COUNTIFS(tblPlant[Date],$A107,tblPlant[Mill_Planned_Maint_h],"&lt;&gt;")+COUNTIFS(tblPlant[Date],$A107,tblPlant[Mill_Unplanned_Down_h],"&lt;&gt;")&gt;0,cfg_HoursPerDay,0)</f>
        <v/>
      </c>
      <c r="EU107" s="57">
        <f>IF($B107=$B106,$EU106,0)+$ET107</f>
        <v/>
      </c>
      <c r="EV107" s="57">
        <f>$EV106+$ET107</f>
        <v/>
      </c>
      <c r="EW107" s="57">
        <f>SUMIFS(tblPlant[Crusher_Run_h],tblPlant[Date],$A107)</f>
        <v/>
      </c>
      <c r="EX107" s="57">
        <f>IF($B107=$B106,$EX106,0)+$EW107</f>
        <v/>
      </c>
      <c r="EY107" s="57">
        <f>$EY106+$EW107</f>
        <v/>
      </c>
      <c r="EZ107" s="55">
        <f>IFERROR(IF(($EK107)&gt;0,($DP107)/($EK107),""),"")</f>
        <v/>
      </c>
      <c r="FA107" s="55">
        <f>IFERROR(IF(($EL107)&gt;0,($DQ107)/($EL107),""),"")</f>
        <v/>
      </c>
      <c r="FB107" s="55">
        <f>IFERROR(IF(($EM107)&gt;0,($DR107)/($EM107),""),"")</f>
        <v/>
      </c>
      <c r="FC107" s="67">
        <f>IFERROR(IF(($ET107)&gt;0,($ET107-$EN107-$EQ107)/($ET107),""),"")</f>
        <v/>
      </c>
      <c r="FD107" s="67">
        <f>IFERROR(IF(($EU107)&gt;0,($EU107-$EO107-$ER107)/($EU107),""),"")</f>
        <v/>
      </c>
      <c r="FE107" s="67">
        <f>IFERROR(IF(($EV107)&gt;0,($EV107-$EP107-$ES107)/($EV107),""),"")</f>
        <v/>
      </c>
      <c r="FF107" s="67">
        <f>IFERROR(IF(($ET107-$EN107-$EQ107)&gt;0,($EK107)/($ET107-$EN107-$EQ107),""),"")</f>
        <v/>
      </c>
      <c r="FG107" s="67">
        <f>IFERROR(IF(($EU107-$EO107-$ER107)&gt;0,($EL107)/($EU107-$EO107-$ER107),""),"")</f>
        <v/>
      </c>
      <c r="FH107" s="67">
        <f>IFERROR(IF(($EV107-$EP107-$ES107)&gt;0,($EM107)/($EV107-$EP107-$ES107),""),"")</f>
        <v/>
      </c>
      <c r="FI107" s="55">
        <f>SUMIFS(tblPlant[Cyanide_kg],tblPlant[Date],$A107)</f>
        <v/>
      </c>
      <c r="FJ107" s="55">
        <f>IF($B107=$B106,$FJ106,0)+$FI107</f>
        <v/>
      </c>
      <c r="FK107" s="55">
        <f>$FK106+$FI107</f>
        <v/>
      </c>
      <c r="FL107" s="55">
        <f>SUMIFS(tblPlant[Lime_kg],tblPlant[Date],$A107)</f>
        <v/>
      </c>
      <c r="FM107" s="55">
        <f>IF($B107=$B106,$FM106,0)+$FL107</f>
        <v/>
      </c>
      <c r="FN107" s="55">
        <f>$FN106+$FL107</f>
        <v/>
      </c>
      <c r="FO107" s="55">
        <f>SUMIFS(tblPlant[Grinding_Media_kg],tblPlant[Date],$A107)</f>
        <v/>
      </c>
      <c r="FP107" s="55">
        <f>IF($B107=$B106,$FP106,0)+$FO107</f>
        <v/>
      </c>
      <c r="FQ107" s="55">
        <f>$FQ106+$FO107</f>
        <v/>
      </c>
      <c r="FR107" s="55">
        <f>SUMIFS(tblPlant[Power_kWh],tblPlant[Date],$A107)</f>
        <v/>
      </c>
      <c r="FS107" s="55">
        <f>IF($B107=$B106,$FS106,0)+$FR107</f>
        <v/>
      </c>
      <c r="FT107" s="55">
        <f>$FT106+$FR107</f>
        <v/>
      </c>
      <c r="FU107" s="55">
        <f>SUMIFS(tblPlant[Raw_Water_m3],tblPlant[Date],$A107)</f>
        <v/>
      </c>
      <c r="FV107" s="55">
        <f>IF($B107=$B106,$FV106,0)+$FU107</f>
        <v/>
      </c>
      <c r="FW107" s="55">
        <f>$FW106+$FU107</f>
        <v/>
      </c>
      <c r="FX107" s="56">
        <f>IFERROR(IF(($CU107)&gt;0,($FI107)/($CU107),""),"")</f>
        <v/>
      </c>
      <c r="FY107" s="56">
        <f>IFERROR(IF(($CV107)&gt;0,($FJ107)/($CV107),""),"")</f>
        <v/>
      </c>
      <c r="FZ107" s="56">
        <f>IFERROR(IF(($CW107)&gt;0,($FK107)/($CW107),""),"")</f>
        <v/>
      </c>
      <c r="GA107" s="56">
        <f>IFERROR(IF(($CU107)&gt;0,($FL107)/($CU107),""),"")</f>
        <v/>
      </c>
      <c r="GB107" s="56">
        <f>IFERROR(IF(($CV107)&gt;0,($FM107)/($CV107),""),"")</f>
        <v/>
      </c>
      <c r="GC107" s="56">
        <f>IFERROR(IF(($CW107)&gt;0,($FN107)/($CW107),""),"")</f>
        <v/>
      </c>
      <c r="GD107" s="56">
        <f>IFERROR(IF(($CU107)&gt;0,($FO107)/($CU107),""),"")</f>
        <v/>
      </c>
      <c r="GE107" s="56">
        <f>IFERROR(IF(($CV107)&gt;0,($FP107)/($CV107),""),"")</f>
        <v/>
      </c>
      <c r="GF107" s="56">
        <f>IFERROR(IF(($CW107)&gt;0,($FQ107)/($CW107),""),"")</f>
        <v/>
      </c>
      <c r="GG107" s="79">
        <f>IFERROR(IF(($CU107)&gt;0,($FR107)/($CU107),""),"")</f>
        <v/>
      </c>
      <c r="GH107" s="79">
        <f>IFERROR(IF(($CV107)&gt;0,($FS107)/($CV107),""),"")</f>
        <v/>
      </c>
      <c r="GI107" s="79">
        <f>IFERROR(IF(($CW107)&gt;0,($FT107)/($CW107),""),"")</f>
        <v/>
      </c>
      <c r="GJ107" s="56">
        <f>IFERROR(IF(($CU107)&gt;0,($FU107)/($CU107),""),"")</f>
        <v/>
      </c>
      <c r="GK107" s="56">
        <f>IFERROR(IF(($CV107)&gt;0,($FV107)/($CV107),""),"")</f>
        <v/>
      </c>
      <c r="GL107" s="56">
        <f>IFERROR(IF(($CW107)&gt;0,($FW107)/($CW107),""),"")</f>
        <v/>
      </c>
      <c r="GM107" s="55">
        <f>IF(SUMIFS(tblPlant[GIC_oz],tblPlant[Date],$A107)&gt;0,SUMIFS(tblPlant[GIC_oz],tblPlant[Date],$A107),"")</f>
        <v/>
      </c>
      <c r="GN107" s="55">
        <f>SUMIFS(tblGold[Gold_oz],tblGold[Date],$A107,tblGold[Type],"Shipment")</f>
        <v/>
      </c>
      <c r="GO107" s="55">
        <f>IF($B107=$B106,$GO106,0)+$GN107</f>
        <v/>
      </c>
      <c r="GP107" s="55">
        <f>$GP106+$GN107</f>
        <v/>
      </c>
      <c r="GQ107" s="55">
        <f>SUMIFS(tblGold[Gold_oz],tblGold[Date],$A107,tblGold[Type],"Sale")</f>
        <v/>
      </c>
      <c r="GR107" s="55">
        <f>IF($B107=$B106,$GR106,0)+$GQ107</f>
        <v/>
      </c>
      <c r="GS107" s="55">
        <f>$GS106+$GQ107</f>
        <v/>
      </c>
      <c r="GT107" s="55">
        <f>SUMIFS(tblGold[Dore_kg],tblGold[Date],$A107,tblGold[Type],"Shipment")</f>
        <v/>
      </c>
      <c r="GU107" s="55">
        <f>IF($B107=$B106,$GU106,0)+$GT107</f>
        <v/>
      </c>
      <c r="GV107" s="55">
        <f>$GV106+$GT107</f>
        <v/>
      </c>
      <c r="GW107" s="57">
        <f>SUMIFS(tblSafety[Hours_Total],tblSafety[Date],$A107)</f>
        <v/>
      </c>
      <c r="GX107" s="57">
        <f>IF($B107=$B106,$GX106,0)+$GW107</f>
        <v/>
      </c>
      <c r="GY107" s="57">
        <f>$GY106+$GW107</f>
        <v/>
      </c>
      <c r="GZ107" s="62">
        <f>SUMIFS(tblSafety[Fatality],tblSafety[Date],$A107)</f>
        <v/>
      </c>
      <c r="HA107" s="62">
        <f>IF($B107=$B106,$HA106,0)+$GZ107</f>
        <v/>
      </c>
      <c r="HB107" s="62">
        <f>$HB106+$GZ107</f>
        <v/>
      </c>
      <c r="HC107" s="62">
        <f>SUMIFS(tblSafety[LTI],tblSafety[Date],$A107)</f>
        <v/>
      </c>
      <c r="HD107" s="62">
        <f>IF($B107=$B106,$HD106,0)+$HC107</f>
        <v/>
      </c>
      <c r="HE107" s="62">
        <f>$HE106+$HC107</f>
        <v/>
      </c>
      <c r="HF107" s="62">
        <f>SUMIFS(tblSafety[RWI],tblSafety[Date],$A107)</f>
        <v/>
      </c>
      <c r="HG107" s="62">
        <f>IF($B107=$B106,$HG106,0)+$HF107</f>
        <v/>
      </c>
      <c r="HH107" s="62">
        <f>$HH106+$HF107</f>
        <v/>
      </c>
      <c r="HI107" s="62">
        <f>SUMIFS(tblSafety[MTI],tblSafety[Date],$A107)</f>
        <v/>
      </c>
      <c r="HJ107" s="62">
        <f>IF($B107=$B106,$HJ106,0)+$HI107</f>
        <v/>
      </c>
      <c r="HK107" s="62">
        <f>$HK106+$HI107</f>
        <v/>
      </c>
      <c r="HL107" s="62">
        <f>SUMIFS(tblSafety[FAI],tblSafety[Date],$A107)</f>
        <v/>
      </c>
      <c r="HM107" s="62">
        <f>IF($B107=$B106,$HM106,0)+$HL107</f>
        <v/>
      </c>
      <c r="HN107" s="62">
        <f>$HN106+$HL107</f>
        <v/>
      </c>
      <c r="HO107" s="62">
        <f>SUMIFS(tblSafety[Recordables],tblSafety[Date],$A107)</f>
        <v/>
      </c>
      <c r="HP107" s="62">
        <f>IF($B107=$B106,$HP106,0)+$HO107</f>
        <v/>
      </c>
      <c r="HQ107" s="62">
        <f>$HQ106+$HO107</f>
        <v/>
      </c>
      <c r="HR107" s="62">
        <f>SUMIFS(tblSafety[Near_Miss],tblSafety[Date],$A107)</f>
        <v/>
      </c>
      <c r="HS107" s="62">
        <f>IF($B107=$B106,$HS106,0)+$HR107</f>
        <v/>
      </c>
      <c r="HT107" s="62">
        <f>$HT106+$HR107</f>
        <v/>
      </c>
      <c r="HU107" s="62">
        <f>SUMIFS(tblSafety[Hazard_Reports],tblSafety[Date],$A107)</f>
        <v/>
      </c>
      <c r="HV107" s="62">
        <f>IF($B107=$B106,$HV106,0)+$HU107</f>
        <v/>
      </c>
      <c r="HW107" s="62">
        <f>$HW106+$HU107</f>
        <v/>
      </c>
      <c r="HX107" s="62">
        <f>SUMIFS(tblSafety[HPI],tblSafety[Date],$A107)</f>
        <v/>
      </c>
      <c r="HY107" s="62">
        <f>IF($B107=$B106,$HY106,0)+$HX107</f>
        <v/>
      </c>
      <c r="HZ107" s="62">
        <f>$HZ106+$HX107</f>
        <v/>
      </c>
      <c r="IA107" s="62">
        <f>SUMIFS(tblSafety[Env_Incidents],tblSafety[Date],$A107)</f>
        <v/>
      </c>
      <c r="IB107" s="62">
        <f>IF($B107=$B106,$IB106,0)+$IA107</f>
        <v/>
      </c>
      <c r="IC107" s="62">
        <f>$IC106+$IA107</f>
        <v/>
      </c>
      <c r="ID107" s="62">
        <f>SUMIFS(tblSafety[Community_Incidents],tblSafety[Date],$A107)</f>
        <v/>
      </c>
      <c r="IE107" s="62">
        <f>IF($B107=$B106,$IE106,0)+$ID107</f>
        <v/>
      </c>
      <c r="IF107" s="62">
        <f>$IF106+$ID107</f>
        <v/>
      </c>
      <c r="IG107" s="62">
        <f>SUMIFS(tblSafety[Vehicle_Incidents],tblSafety[Date],$A107)</f>
        <v/>
      </c>
      <c r="IH107" s="62">
        <f>IF($B107=$B106,$IH106,0)+$IG107</f>
        <v/>
      </c>
      <c r="II107" s="62">
        <f>$II106+$IG107</f>
        <v/>
      </c>
      <c r="IJ107" s="62">
        <f>SUMIFS(tblSafety[Toolbox_Talks],tblSafety[Date],$A107)</f>
        <v/>
      </c>
      <c r="IK107" s="62">
        <f>IF($B107=$B106,$IK106,0)+$IJ107</f>
        <v/>
      </c>
      <c r="IL107" s="62">
        <f>$IL106+$IJ107</f>
        <v/>
      </c>
      <c r="IM107" s="62">
        <f>SUMIFS(tblSafety[Inspections],tblSafety[Date],$A107)</f>
        <v/>
      </c>
      <c r="IN107" s="62">
        <f>IF($B107=$B106,$IN106,0)+$IM107</f>
        <v/>
      </c>
      <c r="IO107" s="62">
        <f>$IO106+$IM107</f>
        <v/>
      </c>
      <c r="IP107" s="56">
        <f>IFERROR((SUMIFS(tblSafety[Recordables],tblSafety[Date],"&gt;="&amp;EDATE($E107,-12),tblSafety[Date],"&lt;="&amp;$A107)+SUMIFS(tblSafetyHistory[Recordables],tblSafetyHistory[Month],"&gt;="&amp;EDATE($E107,-12),tblSafetyHistory[Month],"&lt;"&amp;$E107,tblSafetyHistory[Use],1))/(SUMIFS(tblSafety[Hours_Total],tblSafety[Date],"&gt;="&amp;EDATE($E107,-12),tblSafety[Date],"&lt;="&amp;$A107)+SUMIFS(tblSafetyHistory[Hours_Total],tblSafetyHistory[Month],"&gt;="&amp;EDATE($E107,-12),tblSafetyHistory[Month],"&lt;"&amp;$E107,tblSafetyHistory[Use],1))*cfg_RateBasisHours,"")</f>
        <v/>
      </c>
      <c r="IQ107" s="56">
        <f>IFERROR((SUMIFS(tblSafety[LTI],tblSafety[Date],"&gt;="&amp;EDATE($E107,-12),tblSafety[Date],"&lt;="&amp;$A107)+SUMIFS(tblSafetyHistory[LTI],tblSafetyHistory[Month],"&gt;="&amp;EDATE($E107,-12),tblSafetyHistory[Month],"&lt;"&amp;$E107,tblSafetyHistory[Use],1))/(SUMIFS(tblSafety[Hours_Total],tblSafety[Date],"&gt;="&amp;EDATE($E107,-12),tblSafety[Date],"&lt;="&amp;$A107)+SUMIFS(tblSafetyHistory[Hours_Total],tblSafetyHistory[Month],"&gt;="&amp;EDATE($E107,-12),tblSafetyHistory[Month],"&lt;"&amp;$E107,tblSafetyHistory[Use],1))*cfg_RateBasisHours,"")</f>
        <v/>
      </c>
      <c r="IR107" s="62">
        <f>IF(MAX(N(cfg_PriorLTIDate),_xlfn.MAXIFS(tblSafety[Date],tblSafety[LTI],"&gt;0",tblSafety[Date],"&lt;="&amp;$A107))=0,"",$A107-MAX(N(cfg_PriorLTIDate),_xlfn.MAXIFS(tblSafety[Date],tblSafety[LTI],"&gt;0",tblSafety[Date],"&lt;="&amp;$A107)))</f>
        <v/>
      </c>
      <c r="IS107" s="55">
        <f>SUMIFS(tblBudget[Ore_Mined_t],tblBudget[Month],$E107)</f>
        <v/>
      </c>
      <c r="IT107" s="55">
        <f>$IS107*$C107/$D107</f>
        <v/>
      </c>
      <c r="IU107" s="55">
        <f>SUMIFS(tblBudget[Ore_Mined_t],tblBudget[Month],"&lt;"&amp;$E107)+$IT107</f>
        <v/>
      </c>
      <c r="IV107" s="55">
        <f>SUMIFS(tblBudget[Ore_oz],tblBudget[Month],$E107)</f>
        <v/>
      </c>
      <c r="IW107" s="55">
        <f>$IV107*$C107/$D107</f>
        <v/>
      </c>
      <c r="IX107" s="55">
        <f>SUMIFS(tblBudget[Ore_oz],tblBudget[Month],"&lt;"&amp;$E107)+$IW107</f>
        <v/>
      </c>
      <c r="IY107" s="55">
        <f>SUMIFS(tblBudget[Ore_Mined_t],tblBudget[Month],$E107)</f>
        <v/>
      </c>
      <c r="IZ107" s="55">
        <f>$IY107*$C107/$D107</f>
        <v/>
      </c>
      <c r="JA107" s="55">
        <f>SUMIFS(tblBudget[Ore_Mined_t],tblBudget[Month],"&lt;"&amp;$E107)+$IZ107</f>
        <v/>
      </c>
      <c r="JB107" s="56">
        <f>IFERROR(IF(($IY107)&gt;0,($IV107*cfg_TroyOz)/($IY107),""),"")</f>
        <v/>
      </c>
      <c r="JC107" s="56">
        <f>IFERROR(IF(($IZ107)&gt;0,($IW107*cfg_TroyOz)/($IZ107),""),"")</f>
        <v/>
      </c>
      <c r="JD107" s="56">
        <f>IFERROR(IF(($JA107)&gt;0,($IX107*cfg_TroyOz)/($JA107),""),"")</f>
        <v/>
      </c>
      <c r="JE107" s="55">
        <f>SUMIFS(tblBudget[Waste_t],tblBudget[Month],$E107)</f>
        <v/>
      </c>
      <c r="JF107" s="55">
        <f>$JE107*$C107/$D107</f>
        <v/>
      </c>
      <c r="JG107" s="55">
        <f>SUMIFS(tblBudget[Waste_t],tblBudget[Month],"&lt;"&amp;$E107)+$JF107</f>
        <v/>
      </c>
      <c r="JH107" s="55">
        <f>SUMIFS(tblBudget[TMM_t],tblBudget[Month],$E107)</f>
        <v/>
      </c>
      <c r="JI107" s="55">
        <f>$JH107*$C107/$D107</f>
        <v/>
      </c>
      <c r="JJ107" s="55">
        <f>SUMIFS(tblBudget[TMM_t],tblBudget[Month],"&lt;"&amp;$E107)+$JI107</f>
        <v/>
      </c>
      <c r="JK107" s="56">
        <f>IFERROR(IF(($IS107)&gt;0,($JE107)/($IS107),""),"")</f>
        <v/>
      </c>
      <c r="JL107" s="56">
        <f>IFERROR(IF(($IT107)&gt;0,($JF107)/($IT107),""),"")</f>
        <v/>
      </c>
      <c r="JM107" s="56">
        <f>IFERROR(IF(($IU107)&gt;0,($JG107)/($IU107),""),"")</f>
        <v/>
      </c>
      <c r="JN107" s="55">
        <f>SUMIFS(tblBudget[Drill_m],tblBudget[Month],$E107)</f>
        <v/>
      </c>
      <c r="JO107" s="55">
        <f>$JN107*$C107/$D107</f>
        <v/>
      </c>
      <c r="JP107" s="55">
        <f>SUMIFS(tblBudget[Drill_m],tblBudget[Month],"&lt;"&amp;$E107)+$JO107</f>
        <v/>
      </c>
      <c r="JQ107" s="55">
        <f>SUMIFS(tblBudget[Diesel_L],tblBudget[Month],$E107)</f>
        <v/>
      </c>
      <c r="JR107" s="55">
        <f>$JQ107*$C107/$D107</f>
        <v/>
      </c>
      <c r="JS107" s="55">
        <f>SUMIFS(tblBudget[Diesel_L],tblBudget[Month],"&lt;"&amp;$E107)+$JR107</f>
        <v/>
      </c>
      <c r="JT107" s="55">
        <f>SUMIFS(tblBudget[Milled_t],tblBudget[Month],$E107)</f>
        <v/>
      </c>
      <c r="JU107" s="55">
        <f>$JT107*$C107/$D107</f>
        <v/>
      </c>
      <c r="JV107" s="55">
        <f>SUMIFS(tblBudget[Milled_t],tblBudget[Month],"&lt;"&amp;$E107)+$JU107</f>
        <v/>
      </c>
      <c r="JW107" s="55">
        <f>SUMIFS(tblBudget[Feed_oz],tblBudget[Month],$E107)</f>
        <v/>
      </c>
      <c r="JX107" s="55">
        <f>$JW107*$C107/$D107</f>
        <v/>
      </c>
      <c r="JY107" s="55">
        <f>SUMIFS(tblBudget[Feed_oz],tblBudget[Month],"&lt;"&amp;$E107)+$JX107</f>
        <v/>
      </c>
      <c r="JZ107" s="55">
        <f>SUMIFS(tblBudget[Recovered_oz],tblBudget[Month],$E107)</f>
        <v/>
      </c>
      <c r="KA107" s="55">
        <f>$JZ107*$C107/$D107</f>
        <v/>
      </c>
      <c r="KB107" s="55">
        <f>SUMIFS(tblBudget[Recovered_oz],tblBudget[Month],"&lt;"&amp;$E107)+$KA107</f>
        <v/>
      </c>
      <c r="KC107" s="55">
        <f>SUMIFS(tblBudget[Milled_t],tblBudget[Month],$E107)</f>
        <v/>
      </c>
      <c r="KD107" s="55">
        <f>$KC107*$C107/$D107</f>
        <v/>
      </c>
      <c r="KE107" s="55">
        <f>SUMIFS(tblBudget[Milled_t],tblBudget[Month],"&lt;"&amp;$E107)+$KD107</f>
        <v/>
      </c>
      <c r="KF107" s="55">
        <f>SUMIFS(tblBudget[Feed_oz],tblBudget[Month],$E107)</f>
        <v/>
      </c>
      <c r="KG107" s="55">
        <f>$KF107*$C107/$D107</f>
        <v/>
      </c>
      <c r="KH107" s="55">
        <f>SUMIFS(tblBudget[Feed_oz],tblBudget[Month],"&lt;"&amp;$E107)+$KG107</f>
        <v/>
      </c>
      <c r="KI107" s="56">
        <f>IFERROR(IF(($KC107)&gt;0,($JW107*cfg_TroyOz)/($KC107),""),"")</f>
        <v/>
      </c>
      <c r="KJ107" s="56">
        <f>IFERROR(IF(($KD107)&gt;0,($JX107*cfg_TroyOz)/($KD107),""),"")</f>
        <v/>
      </c>
      <c r="KK107" s="56">
        <f>IFERROR(IF(($KE107)&gt;0,($JY107*cfg_TroyOz)/($KE107),""),"")</f>
        <v/>
      </c>
      <c r="KL107" s="67">
        <f>IFERROR(IF(($KF107)&gt;0,($JZ107)/($KF107),""),"")</f>
        <v/>
      </c>
      <c r="KM107" s="67">
        <f>IFERROR(IF(($KG107)&gt;0,($KA107)/($KG107),""),"")</f>
        <v/>
      </c>
      <c r="KN107" s="67">
        <f>IFERROR(IF(($KH107)&gt;0,($KB107)/($KH107),""),"")</f>
        <v/>
      </c>
      <c r="KO107" s="55">
        <f>SUMIFS(tblBudget[Gold_Poured_oz],tblBudget[Month],$E107)</f>
        <v/>
      </c>
      <c r="KP107" s="55">
        <f>$KO107*$C107/$D107</f>
        <v/>
      </c>
      <c r="KQ107" s="55">
        <f>SUMIFS(tblBudget[Gold_Poured_oz],tblBudget[Month],"&lt;"&amp;$E107)+$KP107</f>
        <v/>
      </c>
      <c r="KR107" s="57">
        <f>SUMIFS(tblBudget[Hours_Worked],tblBudget[Month],$E107)</f>
        <v/>
      </c>
      <c r="KS107" s="57">
        <f>$KR107*$C107/$D107</f>
        <v/>
      </c>
      <c r="KT107" s="57">
        <f>SUMIFS(tblBudget[Hours_Worked],tblBudget[Month],"&lt;"&amp;$E107)+$KS107</f>
        <v/>
      </c>
    </row>
    <row r="108">
      <c r="A108" s="54" t="n">
        <v>46129</v>
      </c>
      <c r="B108">
        <f>MONTH($A108)</f>
        <v/>
      </c>
      <c r="C108">
        <f>DAY($A108)</f>
        <v/>
      </c>
      <c r="D108">
        <f>DAY(EOMONTH($A108,0))</f>
        <v/>
      </c>
      <c r="E108" s="54">
        <f>DATE(YEAR($A108),MONTH($A108),1)</f>
        <v/>
      </c>
      <c r="F108" s="55">
        <f>SUMIFS(tblMovement[Tonnes_t],tblMovement[Date],$A108,tblMovement[Is_Ore],1,tblMovement[Source_Type],"Pit")</f>
        <v/>
      </c>
      <c r="G108" s="55">
        <f>IF($B108=$B107,$G107,0)+$F108</f>
        <v/>
      </c>
      <c r="H108" s="55">
        <f>$H107+$F108</f>
        <v/>
      </c>
      <c r="I108" s="55">
        <f>SUMIFS(tblMovement[Ore_oz],tblMovement[Date],$A108,tblMovement[Source_Type],"Pit")</f>
        <v/>
      </c>
      <c r="J108" s="55">
        <f>IF($B108=$B107,$J107,0)+$I108</f>
        <v/>
      </c>
      <c r="K108" s="55">
        <f>$K107+$I108</f>
        <v/>
      </c>
      <c r="L108" s="55">
        <f>SUMIFS(tblMovement[Tonnes_t],tblMovement[Date],$A108,tblMovement[Is_Ore],1,tblMovement[Source_Type],"Pit",tblMovement[Grade_gpt],"&lt;&gt;")</f>
        <v/>
      </c>
      <c r="M108" s="55">
        <f>IF($B108=$B107,$M107,0)+$L108</f>
        <v/>
      </c>
      <c r="N108" s="55">
        <f>$N107+$L108</f>
        <v/>
      </c>
      <c r="O108" s="56">
        <f>IFERROR(IF(($L108)&gt;0,($I108*cfg_TroyOz)/($L108),""),"")</f>
        <v/>
      </c>
      <c r="P108" s="56">
        <f>IFERROR(IF(($M108)&gt;0,($J108*cfg_TroyOz)/($M108),""),"")</f>
        <v/>
      </c>
      <c r="Q108" s="56">
        <f>IFERROR(IF(($N108)&gt;0,($K108*cfg_TroyOz)/($N108),""),"")</f>
        <v/>
      </c>
      <c r="R108" s="55">
        <f>$F108-$L108</f>
        <v/>
      </c>
      <c r="S108" s="55">
        <f>IF($B108=$B107,$S107,0)+$R108</f>
        <v/>
      </c>
      <c r="T108" s="55">
        <f>$T107+$R108</f>
        <v/>
      </c>
      <c r="U108" s="55">
        <f>SUMIFS(tblMovement[Tonnes_t],tblMovement[Date],$A108,tblMovement[Is_Ore],0,tblMovement[Source_Type],"Pit")</f>
        <v/>
      </c>
      <c r="V108" s="55">
        <f>IF($B108=$B107,$V107,0)+$U108</f>
        <v/>
      </c>
      <c r="W108" s="55">
        <f>$W107+$U108</f>
        <v/>
      </c>
      <c r="X108" s="55">
        <f>$F108+$U108</f>
        <v/>
      </c>
      <c r="Y108" s="55">
        <f>IF($B108=$B107,$Y107,0)+$X108</f>
        <v/>
      </c>
      <c r="Z108" s="55">
        <f>$Z107+$X108</f>
        <v/>
      </c>
      <c r="AA108" s="56">
        <f>IFERROR(IF(($F108)&gt;0,($U108)/($F108),""),"")</f>
        <v/>
      </c>
      <c r="AB108" s="56">
        <f>IFERROR(IF(($G108)&gt;0,($V108)/($G108),""),"")</f>
        <v/>
      </c>
      <c r="AC108" s="56">
        <f>IFERROR(IF(($H108)&gt;0,($W108)/($H108),""),"")</f>
        <v/>
      </c>
      <c r="AD108" s="55">
        <f>SUMIFS(tblMovement[Tonnes_t],tblMovement[Date],$A108,tblMovement[Source_Type],"Stockpile")</f>
        <v/>
      </c>
      <c r="AE108" s="55">
        <f>IF($B108=$B107,$AE107,0)+$AD108</f>
        <v/>
      </c>
      <c r="AF108" s="55">
        <f>$AF107+$AD108</f>
        <v/>
      </c>
      <c r="AG108" s="55">
        <f>SUMIFS(tblMovement[Tonnes_t],tblMovement[Date],$A108)</f>
        <v/>
      </c>
      <c r="AH108" s="55">
        <f>IF($B108=$B107,$AH107,0)+$AG108</f>
        <v/>
      </c>
      <c r="AI108" s="55">
        <f>$AI107+$AG108</f>
        <v/>
      </c>
      <c r="AJ108" s="55">
        <f>$AG108-$X108-$AD108</f>
        <v/>
      </c>
      <c r="AK108" s="55">
        <f>IF($B108=$B107,$AK107,0)+$AJ108</f>
        <v/>
      </c>
      <c r="AL108" s="55">
        <f>$AL107+$AJ108</f>
        <v/>
      </c>
      <c r="AM108" s="55">
        <f>SUMIFS(tblMiningDaily[Drill_m],tblMiningDaily[Date],$A108)</f>
        <v/>
      </c>
      <c r="AN108" s="55">
        <f>IF($B108=$B107,$AN107,0)+$AM108</f>
        <v/>
      </c>
      <c r="AO108" s="55">
        <f>$AO107+$AM108</f>
        <v/>
      </c>
      <c r="AP108" s="55">
        <f>SUMIFS(tblMiningDaily[GC_Drill_m],tblMiningDaily[Date],$A108)</f>
        <v/>
      </c>
      <c r="AQ108" s="55">
        <f>IF($B108=$B107,$AQ107,0)+$AP108</f>
        <v/>
      </c>
      <c r="AR108" s="55">
        <f>$AR107+$AP108</f>
        <v/>
      </c>
      <c r="AS108" s="55">
        <f>SUMIFS(tblMiningDaily[Blast_t],tblMiningDaily[Date],$A108)</f>
        <v/>
      </c>
      <c r="AT108" s="55">
        <f>IF($B108=$B107,$AT107,0)+$AS108</f>
        <v/>
      </c>
      <c r="AU108" s="55">
        <f>$AU107+$AS108</f>
        <v/>
      </c>
      <c r="AV108" s="55">
        <f>SUMIFS(tblMiningDaily[Explosives_kg],tblMiningDaily[Date],$A108)</f>
        <v/>
      </c>
      <c r="AW108" s="55">
        <f>IF($B108=$B107,$AW107,0)+$AV108</f>
        <v/>
      </c>
      <c r="AX108" s="55">
        <f>$AX107+$AV108</f>
        <v/>
      </c>
      <c r="AY108" s="56">
        <f>IFERROR(IF(($AS108)&gt;0,($AV108)/($AS108),""),"")</f>
        <v/>
      </c>
      <c r="AZ108" s="56">
        <f>IFERROR(IF(($AT108)&gt;0,($AW108)/($AT108),""),"")</f>
        <v/>
      </c>
      <c r="BA108" s="56">
        <f>IFERROR(IF(($AU108)&gt;0,($AX108)/($AU108),""),"")</f>
        <v/>
      </c>
      <c r="BB108" s="55">
        <f>SUMIFS(tblMiningDaily[Diesel_L],tblMiningDaily[Date],$A108)</f>
        <v/>
      </c>
      <c r="BC108" s="55">
        <f>IF($B108=$B107,$BC107,0)+$BB108</f>
        <v/>
      </c>
      <c r="BD108" s="55">
        <f>$BD107+$BB108</f>
        <v/>
      </c>
      <c r="BE108" s="55">
        <f>SUMIFS(tblMiningDaily[Dewatering_m3],tblMiningDaily[Date],$A108)</f>
        <v/>
      </c>
      <c r="BF108" s="55">
        <f>IF($B108=$B107,$BF107,0)+$BE108</f>
        <v/>
      </c>
      <c r="BG108" s="55">
        <f>$BG107+$BE108</f>
        <v/>
      </c>
      <c r="BH108" s="57">
        <f>SUMIFS(tblFleet[Calendar_h],tblFleet[Date],$A108,tblFleet[Equipment_Class],"Excavator")</f>
        <v/>
      </c>
      <c r="BI108" s="57">
        <f>IF($B108=$B107,$BI107,0)+$BH108</f>
        <v/>
      </c>
      <c r="BJ108" s="57">
        <f>$BJ107+$BH108</f>
        <v/>
      </c>
      <c r="BK108" s="57">
        <f>SUMIFS(tblFleet[Available_h],tblFleet[Date],$A108,tblFleet[Equipment_Class],"Excavator")</f>
        <v/>
      </c>
      <c r="BL108" s="57">
        <f>IF($B108=$B107,$BL107,0)+$BK108</f>
        <v/>
      </c>
      <c r="BM108" s="57">
        <f>$BM107+$BK108</f>
        <v/>
      </c>
      <c r="BN108" s="57">
        <f>SUMIFS(tblFleet[Operating_h],tblFleet[Date],$A108,tblFleet[Equipment_Class],"Excavator")</f>
        <v/>
      </c>
      <c r="BO108" s="57">
        <f>IF($B108=$B107,$BO107,0)+$BN108</f>
        <v/>
      </c>
      <c r="BP108" s="57">
        <f>$BP107+$BN108</f>
        <v/>
      </c>
      <c r="BQ108" s="67">
        <f>IFERROR(IF(($BH108)&gt;0,($BK108)/($BH108),""),"")</f>
        <v/>
      </c>
      <c r="BR108" s="67">
        <f>IFERROR(IF(($BI108)&gt;0,($BL108)/($BI108),""),"")</f>
        <v/>
      </c>
      <c r="BS108" s="67">
        <f>IFERROR(IF(($BJ108)&gt;0,($BM108)/($BJ108),""),"")</f>
        <v/>
      </c>
      <c r="BT108" s="67">
        <f>IFERROR(IF(($BK108)&gt;0,($BN108)/($BK108),""),"")</f>
        <v/>
      </c>
      <c r="BU108" s="67">
        <f>IFERROR(IF(($BL108)&gt;0,($BO108)/($BL108),""),"")</f>
        <v/>
      </c>
      <c r="BV108" s="67">
        <f>IFERROR(IF(($BM108)&gt;0,($BP108)/($BM108),""),"")</f>
        <v/>
      </c>
      <c r="BW108" s="57">
        <f>SUMIFS(tblFleet[Calendar_h],tblFleet[Date],$A108,tblFleet[Equipment_Class],"Haul Truck")</f>
        <v/>
      </c>
      <c r="BX108" s="57">
        <f>IF($B108=$B107,$BX107,0)+$BW108</f>
        <v/>
      </c>
      <c r="BY108" s="57">
        <f>$BY107+$BW108</f>
        <v/>
      </c>
      <c r="BZ108" s="57">
        <f>SUMIFS(tblFleet[Available_h],tblFleet[Date],$A108,tblFleet[Equipment_Class],"Haul Truck")</f>
        <v/>
      </c>
      <c r="CA108" s="57">
        <f>IF($B108=$B107,$CA107,0)+$BZ108</f>
        <v/>
      </c>
      <c r="CB108" s="57">
        <f>$CB107+$BZ108</f>
        <v/>
      </c>
      <c r="CC108" s="57">
        <f>SUMIFS(tblFleet[Operating_h],tblFleet[Date],$A108,tblFleet[Equipment_Class],"Haul Truck")</f>
        <v/>
      </c>
      <c r="CD108" s="57">
        <f>IF($B108=$B107,$CD107,0)+$CC108</f>
        <v/>
      </c>
      <c r="CE108" s="57">
        <f>$CE107+$CC108</f>
        <v/>
      </c>
      <c r="CF108" s="67">
        <f>IFERROR(IF(($BW108)&gt;0,($BZ108)/($BW108),""),"")</f>
        <v/>
      </c>
      <c r="CG108" s="67">
        <f>IFERROR(IF(($BX108)&gt;0,($CA108)/($BX108),""),"")</f>
        <v/>
      </c>
      <c r="CH108" s="67">
        <f>IFERROR(IF(($BY108)&gt;0,($CB108)/($BY108),""),"")</f>
        <v/>
      </c>
      <c r="CI108" s="67">
        <f>IFERROR(IF(($BZ108)&gt;0,($CC108)/($BZ108),""),"")</f>
        <v/>
      </c>
      <c r="CJ108" s="67">
        <f>IFERROR(IF(($CA108)&gt;0,($CD108)/($CA108),""),"")</f>
        <v/>
      </c>
      <c r="CK108" s="67">
        <f>IFERROR(IF(($CB108)&gt;0,($CE108)/($CB108),""),"")</f>
        <v/>
      </c>
      <c r="CL108" s="55">
        <f>IFERROR(IF(($BN108)&gt;0,($X108+$AD108)/($BN108),""),"")</f>
        <v/>
      </c>
      <c r="CM108" s="55">
        <f>IFERROR(IF(($BO108)&gt;0,($Y108+$AE108)/($BO108),""),"")</f>
        <v/>
      </c>
      <c r="CN108" s="55">
        <f>IFERROR(IF(($BP108)&gt;0,($Z108+$AF108)/($BP108),""),"")</f>
        <v/>
      </c>
      <c r="CO108" s="55">
        <f>IFERROR(IF(($CC108)&gt;0,($X108+$AD108)/($CC108),""),"")</f>
        <v/>
      </c>
      <c r="CP108" s="55">
        <f>IFERROR(IF(($CD108)&gt;0,($Y108+$AE108)/($CD108),""),"")</f>
        <v/>
      </c>
      <c r="CQ108" s="55">
        <f>IFERROR(IF(($CE108)&gt;0,($Z108+$AF108)/($CE108),""),"")</f>
        <v/>
      </c>
      <c r="CR108" s="55">
        <f>SUMIFS(tblPlant[Crushed_t],tblPlant[Date],$A108)</f>
        <v/>
      </c>
      <c r="CS108" s="55">
        <f>IF($B108=$B107,$CS107,0)+$CR108</f>
        <v/>
      </c>
      <c r="CT108" s="55">
        <f>$CT107+$CR108</f>
        <v/>
      </c>
      <c r="CU108" s="55">
        <f>SUMIFS(tblPlant[Milled_t],tblPlant[Date],$A108)</f>
        <v/>
      </c>
      <c r="CV108" s="55">
        <f>IF($B108=$B107,$CV107,0)+$CU108</f>
        <v/>
      </c>
      <c r="CW108" s="55">
        <f>$CW107+$CU108</f>
        <v/>
      </c>
      <c r="CX108" s="55">
        <f>SUMIFS(tblPlant[Feed_oz],tblPlant[Date],$A108)</f>
        <v/>
      </c>
      <c r="CY108" s="55">
        <f>IF($B108=$B107,$CY107,0)+$CX108</f>
        <v/>
      </c>
      <c r="CZ108" s="55">
        <f>$CZ107+$CX108</f>
        <v/>
      </c>
      <c r="DA108" s="55">
        <f>SUMIFS(tblPlant[Tails_oz],tblPlant[Date],$A108)</f>
        <v/>
      </c>
      <c r="DB108" s="55">
        <f>IF($B108=$B107,$DB107,0)+$DA108</f>
        <v/>
      </c>
      <c r="DC108" s="55">
        <f>$DC107+$DA108</f>
        <v/>
      </c>
      <c r="DD108" s="55">
        <f>SUMIFS(tblPlant[Recovered_oz],tblPlant[Date],$A108)</f>
        <v/>
      </c>
      <c r="DE108" s="55">
        <f>IF($B108=$B107,$DE107,0)+$DD108</f>
        <v/>
      </c>
      <c r="DF108" s="55">
        <f>$DF107+$DD108</f>
        <v/>
      </c>
      <c r="DG108" s="55">
        <f>SUMIFS(tblPlant[Milled_t],tblPlant[Date],$A108,tblPlant[Head_Grade_gpt],"&lt;&gt;")</f>
        <v/>
      </c>
      <c r="DH108" s="55">
        <f>IF($B108=$B107,$DH107,0)+$DG108</f>
        <v/>
      </c>
      <c r="DI108" s="55">
        <f>$DI107+$DG108</f>
        <v/>
      </c>
      <c r="DJ108" s="55">
        <f>SUMIFS(tblPlant[Milled_t],tblPlant[Date],$A108,tblPlant[Tails_Grade_gpt],"&lt;&gt;")</f>
        <v/>
      </c>
      <c r="DK108" s="55">
        <f>IF($B108=$B107,$DK107,0)+$DJ108</f>
        <v/>
      </c>
      <c r="DL108" s="55">
        <f>$DL107+$DJ108</f>
        <v/>
      </c>
      <c r="DM108" s="55">
        <f>SUMIFS(tblPlant[Feed_oz],tblPlant[Date],$A108,tblPlant[Tails_Grade_gpt],"&lt;&gt;")</f>
        <v/>
      </c>
      <c r="DN108" s="55">
        <f>IF($B108=$B107,$DN107,0)+$DM108</f>
        <v/>
      </c>
      <c r="DO108" s="55">
        <f>$DO107+$DM108</f>
        <v/>
      </c>
      <c r="DP108" s="55">
        <f>SUMIFS(tblPlant[Milled_t],tblPlant[Date],$A108,tblPlant[Mill_Run_h],"&lt;&gt;")</f>
        <v/>
      </c>
      <c r="DQ108" s="55">
        <f>IF($B108=$B107,$DQ107,0)+$DP108</f>
        <v/>
      </c>
      <c r="DR108" s="55">
        <f>$DR107+$DP108</f>
        <v/>
      </c>
      <c r="DS108" s="56">
        <f>IFERROR(IF(($DG108)&gt;0,($CX108*cfg_TroyOz)/($DG108),""),"")</f>
        <v/>
      </c>
      <c r="DT108" s="56">
        <f>IFERROR(IF(($DH108)&gt;0,($CY108*cfg_TroyOz)/($DH108),""),"")</f>
        <v/>
      </c>
      <c r="DU108" s="56">
        <f>IFERROR(IF(($DI108)&gt;0,($CZ108*cfg_TroyOz)/($DI108),""),"")</f>
        <v/>
      </c>
      <c r="DV108" s="56">
        <f>IFERROR(IF(($DJ108)&gt;0,($DA108*cfg_TroyOz)/($DJ108),""),"")</f>
        <v/>
      </c>
      <c r="DW108" s="56">
        <f>IFERROR(IF(($DK108)&gt;0,($DB108*cfg_TroyOz)/($DK108),""),"")</f>
        <v/>
      </c>
      <c r="DX108" s="56">
        <f>IFERROR(IF(($DL108)&gt;0,($DC108*cfg_TroyOz)/($DL108),""),"")</f>
        <v/>
      </c>
      <c r="DY108" s="67">
        <f>IFERROR(IF(($DM108)&gt;0,($DD108)/($DM108),""),"")</f>
        <v/>
      </c>
      <c r="DZ108" s="67">
        <f>IFERROR(IF(($DN108)&gt;0,($DE108)/($DN108),""),"")</f>
        <v/>
      </c>
      <c r="EA108" s="67">
        <f>IFERROR(IF(($DO108)&gt;0,($DF108)/($DO108),""),"")</f>
        <v/>
      </c>
      <c r="EB108" s="55">
        <f>SUMIFS(tblPlant[Gravity_Gold_oz],tblPlant[Date],$A108)</f>
        <v/>
      </c>
      <c r="EC108" s="55">
        <f>IF($B108=$B107,$EC107,0)+$EB108</f>
        <v/>
      </c>
      <c r="ED108" s="55">
        <f>$ED107+$EB108</f>
        <v/>
      </c>
      <c r="EE108" s="67">
        <f>IFERROR(IF(($DD108)&gt;0,($EB108)/($DD108),""),"")</f>
        <v/>
      </c>
      <c r="EF108" s="67">
        <f>IFERROR(IF(($DE108)&gt;0,($EC108)/($DE108),""),"")</f>
        <v/>
      </c>
      <c r="EG108" s="67">
        <f>IFERROR(IF(($DF108)&gt;0,($ED108)/($DF108),""),"")</f>
        <v/>
      </c>
      <c r="EH108" s="55">
        <f>SUMIFS(tblPlant[Gold_Poured_oz],tblPlant[Date],$A108)</f>
        <v/>
      </c>
      <c r="EI108" s="55">
        <f>IF($B108=$B107,$EI107,0)+$EH108</f>
        <v/>
      </c>
      <c r="EJ108" s="55">
        <f>$EJ107+$EH108</f>
        <v/>
      </c>
      <c r="EK108" s="57">
        <f>SUMIFS(tblPlant[Mill_Run_h],tblPlant[Date],$A108)</f>
        <v/>
      </c>
      <c r="EL108" s="57">
        <f>IF($B108=$B107,$EL107,0)+$EK108</f>
        <v/>
      </c>
      <c r="EM108" s="57">
        <f>$EM107+$EK108</f>
        <v/>
      </c>
      <c r="EN108" s="57">
        <f>SUMIFS(tblPlant[Mill_Planned_Maint_h],tblPlant[Date],$A108)</f>
        <v/>
      </c>
      <c r="EO108" s="57">
        <f>IF($B108=$B107,$EO107,0)+$EN108</f>
        <v/>
      </c>
      <c r="EP108" s="57">
        <f>$EP107+$EN108</f>
        <v/>
      </c>
      <c r="EQ108" s="57">
        <f>SUMIFS(tblPlant[Mill_Unplanned_Down_h],tblPlant[Date],$A108)</f>
        <v/>
      </c>
      <c r="ER108" s="57">
        <f>IF($B108=$B107,$ER107,0)+$EQ108</f>
        <v/>
      </c>
      <c r="ES108" s="57">
        <f>$ES107+$EQ108</f>
        <v/>
      </c>
      <c r="ET108" s="57">
        <f>IF(COUNTIFS(tblPlant[Date],$A108,tblPlant[Mill_Run_h],"&lt;&gt;")+COUNTIFS(tblPlant[Date],$A108,tblPlant[Mill_Planned_Maint_h],"&lt;&gt;")+COUNTIFS(tblPlant[Date],$A108,tblPlant[Mill_Unplanned_Down_h],"&lt;&gt;")&gt;0,cfg_HoursPerDay,0)</f>
        <v/>
      </c>
      <c r="EU108" s="57">
        <f>IF($B108=$B107,$EU107,0)+$ET108</f>
        <v/>
      </c>
      <c r="EV108" s="57">
        <f>$EV107+$ET108</f>
        <v/>
      </c>
      <c r="EW108" s="57">
        <f>SUMIFS(tblPlant[Crusher_Run_h],tblPlant[Date],$A108)</f>
        <v/>
      </c>
      <c r="EX108" s="57">
        <f>IF($B108=$B107,$EX107,0)+$EW108</f>
        <v/>
      </c>
      <c r="EY108" s="57">
        <f>$EY107+$EW108</f>
        <v/>
      </c>
      <c r="EZ108" s="55">
        <f>IFERROR(IF(($EK108)&gt;0,($DP108)/($EK108),""),"")</f>
        <v/>
      </c>
      <c r="FA108" s="55">
        <f>IFERROR(IF(($EL108)&gt;0,($DQ108)/($EL108),""),"")</f>
        <v/>
      </c>
      <c r="FB108" s="55">
        <f>IFERROR(IF(($EM108)&gt;0,($DR108)/($EM108),""),"")</f>
        <v/>
      </c>
      <c r="FC108" s="67">
        <f>IFERROR(IF(($ET108)&gt;0,($ET108-$EN108-$EQ108)/($ET108),""),"")</f>
        <v/>
      </c>
      <c r="FD108" s="67">
        <f>IFERROR(IF(($EU108)&gt;0,($EU108-$EO108-$ER108)/($EU108),""),"")</f>
        <v/>
      </c>
      <c r="FE108" s="67">
        <f>IFERROR(IF(($EV108)&gt;0,($EV108-$EP108-$ES108)/($EV108),""),"")</f>
        <v/>
      </c>
      <c r="FF108" s="67">
        <f>IFERROR(IF(($ET108-$EN108-$EQ108)&gt;0,($EK108)/($ET108-$EN108-$EQ108),""),"")</f>
        <v/>
      </c>
      <c r="FG108" s="67">
        <f>IFERROR(IF(($EU108-$EO108-$ER108)&gt;0,($EL108)/($EU108-$EO108-$ER108),""),"")</f>
        <v/>
      </c>
      <c r="FH108" s="67">
        <f>IFERROR(IF(($EV108-$EP108-$ES108)&gt;0,($EM108)/($EV108-$EP108-$ES108),""),"")</f>
        <v/>
      </c>
      <c r="FI108" s="55">
        <f>SUMIFS(tblPlant[Cyanide_kg],tblPlant[Date],$A108)</f>
        <v/>
      </c>
      <c r="FJ108" s="55">
        <f>IF($B108=$B107,$FJ107,0)+$FI108</f>
        <v/>
      </c>
      <c r="FK108" s="55">
        <f>$FK107+$FI108</f>
        <v/>
      </c>
      <c r="FL108" s="55">
        <f>SUMIFS(tblPlant[Lime_kg],tblPlant[Date],$A108)</f>
        <v/>
      </c>
      <c r="FM108" s="55">
        <f>IF($B108=$B107,$FM107,0)+$FL108</f>
        <v/>
      </c>
      <c r="FN108" s="55">
        <f>$FN107+$FL108</f>
        <v/>
      </c>
      <c r="FO108" s="55">
        <f>SUMIFS(tblPlant[Grinding_Media_kg],tblPlant[Date],$A108)</f>
        <v/>
      </c>
      <c r="FP108" s="55">
        <f>IF($B108=$B107,$FP107,0)+$FO108</f>
        <v/>
      </c>
      <c r="FQ108" s="55">
        <f>$FQ107+$FO108</f>
        <v/>
      </c>
      <c r="FR108" s="55">
        <f>SUMIFS(tblPlant[Power_kWh],tblPlant[Date],$A108)</f>
        <v/>
      </c>
      <c r="FS108" s="55">
        <f>IF($B108=$B107,$FS107,0)+$FR108</f>
        <v/>
      </c>
      <c r="FT108" s="55">
        <f>$FT107+$FR108</f>
        <v/>
      </c>
      <c r="FU108" s="55">
        <f>SUMIFS(tblPlant[Raw_Water_m3],tblPlant[Date],$A108)</f>
        <v/>
      </c>
      <c r="FV108" s="55">
        <f>IF($B108=$B107,$FV107,0)+$FU108</f>
        <v/>
      </c>
      <c r="FW108" s="55">
        <f>$FW107+$FU108</f>
        <v/>
      </c>
      <c r="FX108" s="56">
        <f>IFERROR(IF(($CU108)&gt;0,($FI108)/($CU108),""),"")</f>
        <v/>
      </c>
      <c r="FY108" s="56">
        <f>IFERROR(IF(($CV108)&gt;0,($FJ108)/($CV108),""),"")</f>
        <v/>
      </c>
      <c r="FZ108" s="56">
        <f>IFERROR(IF(($CW108)&gt;0,($FK108)/($CW108),""),"")</f>
        <v/>
      </c>
      <c r="GA108" s="56">
        <f>IFERROR(IF(($CU108)&gt;0,($FL108)/($CU108),""),"")</f>
        <v/>
      </c>
      <c r="GB108" s="56">
        <f>IFERROR(IF(($CV108)&gt;0,($FM108)/($CV108),""),"")</f>
        <v/>
      </c>
      <c r="GC108" s="56">
        <f>IFERROR(IF(($CW108)&gt;0,($FN108)/($CW108),""),"")</f>
        <v/>
      </c>
      <c r="GD108" s="56">
        <f>IFERROR(IF(($CU108)&gt;0,($FO108)/($CU108),""),"")</f>
        <v/>
      </c>
      <c r="GE108" s="56">
        <f>IFERROR(IF(($CV108)&gt;0,($FP108)/($CV108),""),"")</f>
        <v/>
      </c>
      <c r="GF108" s="56">
        <f>IFERROR(IF(($CW108)&gt;0,($FQ108)/($CW108),""),"")</f>
        <v/>
      </c>
      <c r="GG108" s="79">
        <f>IFERROR(IF(($CU108)&gt;0,($FR108)/($CU108),""),"")</f>
        <v/>
      </c>
      <c r="GH108" s="79">
        <f>IFERROR(IF(($CV108)&gt;0,($FS108)/($CV108),""),"")</f>
        <v/>
      </c>
      <c r="GI108" s="79">
        <f>IFERROR(IF(($CW108)&gt;0,($FT108)/($CW108),""),"")</f>
        <v/>
      </c>
      <c r="GJ108" s="56">
        <f>IFERROR(IF(($CU108)&gt;0,($FU108)/($CU108),""),"")</f>
        <v/>
      </c>
      <c r="GK108" s="56">
        <f>IFERROR(IF(($CV108)&gt;0,($FV108)/($CV108),""),"")</f>
        <v/>
      </c>
      <c r="GL108" s="56">
        <f>IFERROR(IF(($CW108)&gt;0,($FW108)/($CW108),""),"")</f>
        <v/>
      </c>
      <c r="GM108" s="55">
        <f>IF(SUMIFS(tblPlant[GIC_oz],tblPlant[Date],$A108)&gt;0,SUMIFS(tblPlant[GIC_oz],tblPlant[Date],$A108),"")</f>
        <v/>
      </c>
      <c r="GN108" s="55">
        <f>SUMIFS(tblGold[Gold_oz],tblGold[Date],$A108,tblGold[Type],"Shipment")</f>
        <v/>
      </c>
      <c r="GO108" s="55">
        <f>IF($B108=$B107,$GO107,0)+$GN108</f>
        <v/>
      </c>
      <c r="GP108" s="55">
        <f>$GP107+$GN108</f>
        <v/>
      </c>
      <c r="GQ108" s="55">
        <f>SUMIFS(tblGold[Gold_oz],tblGold[Date],$A108,tblGold[Type],"Sale")</f>
        <v/>
      </c>
      <c r="GR108" s="55">
        <f>IF($B108=$B107,$GR107,0)+$GQ108</f>
        <v/>
      </c>
      <c r="GS108" s="55">
        <f>$GS107+$GQ108</f>
        <v/>
      </c>
      <c r="GT108" s="55">
        <f>SUMIFS(tblGold[Dore_kg],tblGold[Date],$A108,tblGold[Type],"Shipment")</f>
        <v/>
      </c>
      <c r="GU108" s="55">
        <f>IF($B108=$B107,$GU107,0)+$GT108</f>
        <v/>
      </c>
      <c r="GV108" s="55">
        <f>$GV107+$GT108</f>
        <v/>
      </c>
      <c r="GW108" s="57">
        <f>SUMIFS(tblSafety[Hours_Total],tblSafety[Date],$A108)</f>
        <v/>
      </c>
      <c r="GX108" s="57">
        <f>IF($B108=$B107,$GX107,0)+$GW108</f>
        <v/>
      </c>
      <c r="GY108" s="57">
        <f>$GY107+$GW108</f>
        <v/>
      </c>
      <c r="GZ108" s="62">
        <f>SUMIFS(tblSafety[Fatality],tblSafety[Date],$A108)</f>
        <v/>
      </c>
      <c r="HA108" s="62">
        <f>IF($B108=$B107,$HA107,0)+$GZ108</f>
        <v/>
      </c>
      <c r="HB108" s="62">
        <f>$HB107+$GZ108</f>
        <v/>
      </c>
      <c r="HC108" s="62">
        <f>SUMIFS(tblSafety[LTI],tblSafety[Date],$A108)</f>
        <v/>
      </c>
      <c r="HD108" s="62">
        <f>IF($B108=$B107,$HD107,0)+$HC108</f>
        <v/>
      </c>
      <c r="HE108" s="62">
        <f>$HE107+$HC108</f>
        <v/>
      </c>
      <c r="HF108" s="62">
        <f>SUMIFS(tblSafety[RWI],tblSafety[Date],$A108)</f>
        <v/>
      </c>
      <c r="HG108" s="62">
        <f>IF($B108=$B107,$HG107,0)+$HF108</f>
        <v/>
      </c>
      <c r="HH108" s="62">
        <f>$HH107+$HF108</f>
        <v/>
      </c>
      <c r="HI108" s="62">
        <f>SUMIFS(tblSafety[MTI],tblSafety[Date],$A108)</f>
        <v/>
      </c>
      <c r="HJ108" s="62">
        <f>IF($B108=$B107,$HJ107,0)+$HI108</f>
        <v/>
      </c>
      <c r="HK108" s="62">
        <f>$HK107+$HI108</f>
        <v/>
      </c>
      <c r="HL108" s="62">
        <f>SUMIFS(tblSafety[FAI],tblSafety[Date],$A108)</f>
        <v/>
      </c>
      <c r="HM108" s="62">
        <f>IF($B108=$B107,$HM107,0)+$HL108</f>
        <v/>
      </c>
      <c r="HN108" s="62">
        <f>$HN107+$HL108</f>
        <v/>
      </c>
      <c r="HO108" s="62">
        <f>SUMIFS(tblSafety[Recordables],tblSafety[Date],$A108)</f>
        <v/>
      </c>
      <c r="HP108" s="62">
        <f>IF($B108=$B107,$HP107,0)+$HO108</f>
        <v/>
      </c>
      <c r="HQ108" s="62">
        <f>$HQ107+$HO108</f>
        <v/>
      </c>
      <c r="HR108" s="62">
        <f>SUMIFS(tblSafety[Near_Miss],tblSafety[Date],$A108)</f>
        <v/>
      </c>
      <c r="HS108" s="62">
        <f>IF($B108=$B107,$HS107,0)+$HR108</f>
        <v/>
      </c>
      <c r="HT108" s="62">
        <f>$HT107+$HR108</f>
        <v/>
      </c>
      <c r="HU108" s="62">
        <f>SUMIFS(tblSafety[Hazard_Reports],tblSafety[Date],$A108)</f>
        <v/>
      </c>
      <c r="HV108" s="62">
        <f>IF($B108=$B107,$HV107,0)+$HU108</f>
        <v/>
      </c>
      <c r="HW108" s="62">
        <f>$HW107+$HU108</f>
        <v/>
      </c>
      <c r="HX108" s="62">
        <f>SUMIFS(tblSafety[HPI],tblSafety[Date],$A108)</f>
        <v/>
      </c>
      <c r="HY108" s="62">
        <f>IF($B108=$B107,$HY107,0)+$HX108</f>
        <v/>
      </c>
      <c r="HZ108" s="62">
        <f>$HZ107+$HX108</f>
        <v/>
      </c>
      <c r="IA108" s="62">
        <f>SUMIFS(tblSafety[Env_Incidents],tblSafety[Date],$A108)</f>
        <v/>
      </c>
      <c r="IB108" s="62">
        <f>IF($B108=$B107,$IB107,0)+$IA108</f>
        <v/>
      </c>
      <c r="IC108" s="62">
        <f>$IC107+$IA108</f>
        <v/>
      </c>
      <c r="ID108" s="62">
        <f>SUMIFS(tblSafety[Community_Incidents],tblSafety[Date],$A108)</f>
        <v/>
      </c>
      <c r="IE108" s="62">
        <f>IF($B108=$B107,$IE107,0)+$ID108</f>
        <v/>
      </c>
      <c r="IF108" s="62">
        <f>$IF107+$ID108</f>
        <v/>
      </c>
      <c r="IG108" s="62">
        <f>SUMIFS(tblSafety[Vehicle_Incidents],tblSafety[Date],$A108)</f>
        <v/>
      </c>
      <c r="IH108" s="62">
        <f>IF($B108=$B107,$IH107,0)+$IG108</f>
        <v/>
      </c>
      <c r="II108" s="62">
        <f>$II107+$IG108</f>
        <v/>
      </c>
      <c r="IJ108" s="62">
        <f>SUMIFS(tblSafety[Toolbox_Talks],tblSafety[Date],$A108)</f>
        <v/>
      </c>
      <c r="IK108" s="62">
        <f>IF($B108=$B107,$IK107,0)+$IJ108</f>
        <v/>
      </c>
      <c r="IL108" s="62">
        <f>$IL107+$IJ108</f>
        <v/>
      </c>
      <c r="IM108" s="62">
        <f>SUMIFS(tblSafety[Inspections],tblSafety[Date],$A108)</f>
        <v/>
      </c>
      <c r="IN108" s="62">
        <f>IF($B108=$B107,$IN107,0)+$IM108</f>
        <v/>
      </c>
      <c r="IO108" s="62">
        <f>$IO107+$IM108</f>
        <v/>
      </c>
      <c r="IP108" s="56">
        <f>IFERROR((SUMIFS(tblSafety[Recordables],tblSafety[Date],"&gt;="&amp;EDATE($E108,-12),tblSafety[Date],"&lt;="&amp;$A108)+SUMIFS(tblSafetyHistory[Recordables],tblSafetyHistory[Month],"&gt;="&amp;EDATE($E108,-12),tblSafetyHistory[Month],"&lt;"&amp;$E108,tblSafetyHistory[Use],1))/(SUMIFS(tblSafety[Hours_Total],tblSafety[Date],"&gt;="&amp;EDATE($E108,-12),tblSafety[Date],"&lt;="&amp;$A108)+SUMIFS(tblSafetyHistory[Hours_Total],tblSafetyHistory[Month],"&gt;="&amp;EDATE($E108,-12),tblSafetyHistory[Month],"&lt;"&amp;$E108,tblSafetyHistory[Use],1))*cfg_RateBasisHours,"")</f>
        <v/>
      </c>
      <c r="IQ108" s="56">
        <f>IFERROR((SUMIFS(tblSafety[LTI],tblSafety[Date],"&gt;="&amp;EDATE($E108,-12),tblSafety[Date],"&lt;="&amp;$A108)+SUMIFS(tblSafetyHistory[LTI],tblSafetyHistory[Month],"&gt;="&amp;EDATE($E108,-12),tblSafetyHistory[Month],"&lt;"&amp;$E108,tblSafetyHistory[Use],1))/(SUMIFS(tblSafety[Hours_Total],tblSafety[Date],"&gt;="&amp;EDATE($E108,-12),tblSafety[Date],"&lt;="&amp;$A108)+SUMIFS(tblSafetyHistory[Hours_Total],tblSafetyHistory[Month],"&gt;="&amp;EDATE($E108,-12),tblSafetyHistory[Month],"&lt;"&amp;$E108,tblSafetyHistory[Use],1))*cfg_RateBasisHours,"")</f>
        <v/>
      </c>
      <c r="IR108" s="62">
        <f>IF(MAX(N(cfg_PriorLTIDate),_xlfn.MAXIFS(tblSafety[Date],tblSafety[LTI],"&gt;0",tblSafety[Date],"&lt;="&amp;$A108))=0,"",$A108-MAX(N(cfg_PriorLTIDate),_xlfn.MAXIFS(tblSafety[Date],tblSafety[LTI],"&gt;0",tblSafety[Date],"&lt;="&amp;$A108)))</f>
        <v/>
      </c>
      <c r="IS108" s="55">
        <f>SUMIFS(tblBudget[Ore_Mined_t],tblBudget[Month],$E108)</f>
        <v/>
      </c>
      <c r="IT108" s="55">
        <f>$IS108*$C108/$D108</f>
        <v/>
      </c>
      <c r="IU108" s="55">
        <f>SUMIFS(tblBudget[Ore_Mined_t],tblBudget[Month],"&lt;"&amp;$E108)+$IT108</f>
        <v/>
      </c>
      <c r="IV108" s="55">
        <f>SUMIFS(tblBudget[Ore_oz],tblBudget[Month],$E108)</f>
        <v/>
      </c>
      <c r="IW108" s="55">
        <f>$IV108*$C108/$D108</f>
        <v/>
      </c>
      <c r="IX108" s="55">
        <f>SUMIFS(tblBudget[Ore_oz],tblBudget[Month],"&lt;"&amp;$E108)+$IW108</f>
        <v/>
      </c>
      <c r="IY108" s="55">
        <f>SUMIFS(tblBudget[Ore_Mined_t],tblBudget[Month],$E108)</f>
        <v/>
      </c>
      <c r="IZ108" s="55">
        <f>$IY108*$C108/$D108</f>
        <v/>
      </c>
      <c r="JA108" s="55">
        <f>SUMIFS(tblBudget[Ore_Mined_t],tblBudget[Month],"&lt;"&amp;$E108)+$IZ108</f>
        <v/>
      </c>
      <c r="JB108" s="56">
        <f>IFERROR(IF(($IY108)&gt;0,($IV108*cfg_TroyOz)/($IY108),""),"")</f>
        <v/>
      </c>
      <c r="JC108" s="56">
        <f>IFERROR(IF(($IZ108)&gt;0,($IW108*cfg_TroyOz)/($IZ108),""),"")</f>
        <v/>
      </c>
      <c r="JD108" s="56">
        <f>IFERROR(IF(($JA108)&gt;0,($IX108*cfg_TroyOz)/($JA108),""),"")</f>
        <v/>
      </c>
      <c r="JE108" s="55">
        <f>SUMIFS(tblBudget[Waste_t],tblBudget[Month],$E108)</f>
        <v/>
      </c>
      <c r="JF108" s="55">
        <f>$JE108*$C108/$D108</f>
        <v/>
      </c>
      <c r="JG108" s="55">
        <f>SUMIFS(tblBudget[Waste_t],tblBudget[Month],"&lt;"&amp;$E108)+$JF108</f>
        <v/>
      </c>
      <c r="JH108" s="55">
        <f>SUMIFS(tblBudget[TMM_t],tblBudget[Month],$E108)</f>
        <v/>
      </c>
      <c r="JI108" s="55">
        <f>$JH108*$C108/$D108</f>
        <v/>
      </c>
      <c r="JJ108" s="55">
        <f>SUMIFS(tblBudget[TMM_t],tblBudget[Month],"&lt;"&amp;$E108)+$JI108</f>
        <v/>
      </c>
      <c r="JK108" s="56">
        <f>IFERROR(IF(($IS108)&gt;0,($JE108)/($IS108),""),"")</f>
        <v/>
      </c>
      <c r="JL108" s="56">
        <f>IFERROR(IF(($IT108)&gt;0,($JF108)/($IT108),""),"")</f>
        <v/>
      </c>
      <c r="JM108" s="56">
        <f>IFERROR(IF(($IU108)&gt;0,($JG108)/($IU108),""),"")</f>
        <v/>
      </c>
      <c r="JN108" s="55">
        <f>SUMIFS(tblBudget[Drill_m],tblBudget[Month],$E108)</f>
        <v/>
      </c>
      <c r="JO108" s="55">
        <f>$JN108*$C108/$D108</f>
        <v/>
      </c>
      <c r="JP108" s="55">
        <f>SUMIFS(tblBudget[Drill_m],tblBudget[Month],"&lt;"&amp;$E108)+$JO108</f>
        <v/>
      </c>
      <c r="JQ108" s="55">
        <f>SUMIFS(tblBudget[Diesel_L],tblBudget[Month],$E108)</f>
        <v/>
      </c>
      <c r="JR108" s="55">
        <f>$JQ108*$C108/$D108</f>
        <v/>
      </c>
      <c r="JS108" s="55">
        <f>SUMIFS(tblBudget[Diesel_L],tblBudget[Month],"&lt;"&amp;$E108)+$JR108</f>
        <v/>
      </c>
      <c r="JT108" s="55">
        <f>SUMIFS(tblBudget[Milled_t],tblBudget[Month],$E108)</f>
        <v/>
      </c>
      <c r="JU108" s="55">
        <f>$JT108*$C108/$D108</f>
        <v/>
      </c>
      <c r="JV108" s="55">
        <f>SUMIFS(tblBudget[Milled_t],tblBudget[Month],"&lt;"&amp;$E108)+$JU108</f>
        <v/>
      </c>
      <c r="JW108" s="55">
        <f>SUMIFS(tblBudget[Feed_oz],tblBudget[Month],$E108)</f>
        <v/>
      </c>
      <c r="JX108" s="55">
        <f>$JW108*$C108/$D108</f>
        <v/>
      </c>
      <c r="JY108" s="55">
        <f>SUMIFS(tblBudget[Feed_oz],tblBudget[Month],"&lt;"&amp;$E108)+$JX108</f>
        <v/>
      </c>
      <c r="JZ108" s="55">
        <f>SUMIFS(tblBudget[Recovered_oz],tblBudget[Month],$E108)</f>
        <v/>
      </c>
      <c r="KA108" s="55">
        <f>$JZ108*$C108/$D108</f>
        <v/>
      </c>
      <c r="KB108" s="55">
        <f>SUMIFS(tblBudget[Recovered_oz],tblBudget[Month],"&lt;"&amp;$E108)+$KA108</f>
        <v/>
      </c>
      <c r="KC108" s="55">
        <f>SUMIFS(tblBudget[Milled_t],tblBudget[Month],$E108)</f>
        <v/>
      </c>
      <c r="KD108" s="55">
        <f>$KC108*$C108/$D108</f>
        <v/>
      </c>
      <c r="KE108" s="55">
        <f>SUMIFS(tblBudget[Milled_t],tblBudget[Month],"&lt;"&amp;$E108)+$KD108</f>
        <v/>
      </c>
      <c r="KF108" s="55">
        <f>SUMIFS(tblBudget[Feed_oz],tblBudget[Month],$E108)</f>
        <v/>
      </c>
      <c r="KG108" s="55">
        <f>$KF108*$C108/$D108</f>
        <v/>
      </c>
      <c r="KH108" s="55">
        <f>SUMIFS(tblBudget[Feed_oz],tblBudget[Month],"&lt;"&amp;$E108)+$KG108</f>
        <v/>
      </c>
      <c r="KI108" s="56">
        <f>IFERROR(IF(($KC108)&gt;0,($JW108*cfg_TroyOz)/($KC108),""),"")</f>
        <v/>
      </c>
      <c r="KJ108" s="56">
        <f>IFERROR(IF(($KD108)&gt;0,($JX108*cfg_TroyOz)/($KD108),""),"")</f>
        <v/>
      </c>
      <c r="KK108" s="56">
        <f>IFERROR(IF(($KE108)&gt;0,($JY108*cfg_TroyOz)/($KE108),""),"")</f>
        <v/>
      </c>
      <c r="KL108" s="67">
        <f>IFERROR(IF(($KF108)&gt;0,($JZ108)/($KF108),""),"")</f>
        <v/>
      </c>
      <c r="KM108" s="67">
        <f>IFERROR(IF(($KG108)&gt;0,($KA108)/($KG108),""),"")</f>
        <v/>
      </c>
      <c r="KN108" s="67">
        <f>IFERROR(IF(($KH108)&gt;0,($KB108)/($KH108),""),"")</f>
        <v/>
      </c>
      <c r="KO108" s="55">
        <f>SUMIFS(tblBudget[Gold_Poured_oz],tblBudget[Month],$E108)</f>
        <v/>
      </c>
      <c r="KP108" s="55">
        <f>$KO108*$C108/$D108</f>
        <v/>
      </c>
      <c r="KQ108" s="55">
        <f>SUMIFS(tblBudget[Gold_Poured_oz],tblBudget[Month],"&lt;"&amp;$E108)+$KP108</f>
        <v/>
      </c>
      <c r="KR108" s="57">
        <f>SUMIFS(tblBudget[Hours_Worked],tblBudget[Month],$E108)</f>
        <v/>
      </c>
      <c r="KS108" s="57">
        <f>$KR108*$C108/$D108</f>
        <v/>
      </c>
      <c r="KT108" s="57">
        <f>SUMIFS(tblBudget[Hours_Worked],tblBudget[Month],"&lt;"&amp;$E108)+$KS108</f>
        <v/>
      </c>
    </row>
    <row r="109">
      <c r="A109" s="54" t="n">
        <v>46130</v>
      </c>
      <c r="B109">
        <f>MONTH($A109)</f>
        <v/>
      </c>
      <c r="C109">
        <f>DAY($A109)</f>
        <v/>
      </c>
      <c r="D109">
        <f>DAY(EOMONTH($A109,0))</f>
        <v/>
      </c>
      <c r="E109" s="54">
        <f>DATE(YEAR($A109),MONTH($A109),1)</f>
        <v/>
      </c>
      <c r="F109" s="55">
        <f>SUMIFS(tblMovement[Tonnes_t],tblMovement[Date],$A109,tblMovement[Is_Ore],1,tblMovement[Source_Type],"Pit")</f>
        <v/>
      </c>
      <c r="G109" s="55">
        <f>IF($B109=$B108,$G108,0)+$F109</f>
        <v/>
      </c>
      <c r="H109" s="55">
        <f>$H108+$F109</f>
        <v/>
      </c>
      <c r="I109" s="55">
        <f>SUMIFS(tblMovement[Ore_oz],tblMovement[Date],$A109,tblMovement[Source_Type],"Pit")</f>
        <v/>
      </c>
      <c r="J109" s="55">
        <f>IF($B109=$B108,$J108,0)+$I109</f>
        <v/>
      </c>
      <c r="K109" s="55">
        <f>$K108+$I109</f>
        <v/>
      </c>
      <c r="L109" s="55">
        <f>SUMIFS(tblMovement[Tonnes_t],tblMovement[Date],$A109,tblMovement[Is_Ore],1,tblMovement[Source_Type],"Pit",tblMovement[Grade_gpt],"&lt;&gt;")</f>
        <v/>
      </c>
      <c r="M109" s="55">
        <f>IF($B109=$B108,$M108,0)+$L109</f>
        <v/>
      </c>
      <c r="N109" s="55">
        <f>$N108+$L109</f>
        <v/>
      </c>
      <c r="O109" s="56">
        <f>IFERROR(IF(($L109)&gt;0,($I109*cfg_TroyOz)/($L109),""),"")</f>
        <v/>
      </c>
      <c r="P109" s="56">
        <f>IFERROR(IF(($M109)&gt;0,($J109*cfg_TroyOz)/($M109),""),"")</f>
        <v/>
      </c>
      <c r="Q109" s="56">
        <f>IFERROR(IF(($N109)&gt;0,($K109*cfg_TroyOz)/($N109),""),"")</f>
        <v/>
      </c>
      <c r="R109" s="55">
        <f>$F109-$L109</f>
        <v/>
      </c>
      <c r="S109" s="55">
        <f>IF($B109=$B108,$S108,0)+$R109</f>
        <v/>
      </c>
      <c r="T109" s="55">
        <f>$T108+$R109</f>
        <v/>
      </c>
      <c r="U109" s="55">
        <f>SUMIFS(tblMovement[Tonnes_t],tblMovement[Date],$A109,tblMovement[Is_Ore],0,tblMovement[Source_Type],"Pit")</f>
        <v/>
      </c>
      <c r="V109" s="55">
        <f>IF($B109=$B108,$V108,0)+$U109</f>
        <v/>
      </c>
      <c r="W109" s="55">
        <f>$W108+$U109</f>
        <v/>
      </c>
      <c r="X109" s="55">
        <f>$F109+$U109</f>
        <v/>
      </c>
      <c r="Y109" s="55">
        <f>IF($B109=$B108,$Y108,0)+$X109</f>
        <v/>
      </c>
      <c r="Z109" s="55">
        <f>$Z108+$X109</f>
        <v/>
      </c>
      <c r="AA109" s="56">
        <f>IFERROR(IF(($F109)&gt;0,($U109)/($F109),""),"")</f>
        <v/>
      </c>
      <c r="AB109" s="56">
        <f>IFERROR(IF(($G109)&gt;0,($V109)/($G109),""),"")</f>
        <v/>
      </c>
      <c r="AC109" s="56">
        <f>IFERROR(IF(($H109)&gt;0,($W109)/($H109),""),"")</f>
        <v/>
      </c>
      <c r="AD109" s="55">
        <f>SUMIFS(tblMovement[Tonnes_t],tblMovement[Date],$A109,tblMovement[Source_Type],"Stockpile")</f>
        <v/>
      </c>
      <c r="AE109" s="55">
        <f>IF($B109=$B108,$AE108,0)+$AD109</f>
        <v/>
      </c>
      <c r="AF109" s="55">
        <f>$AF108+$AD109</f>
        <v/>
      </c>
      <c r="AG109" s="55">
        <f>SUMIFS(tblMovement[Tonnes_t],tblMovement[Date],$A109)</f>
        <v/>
      </c>
      <c r="AH109" s="55">
        <f>IF($B109=$B108,$AH108,0)+$AG109</f>
        <v/>
      </c>
      <c r="AI109" s="55">
        <f>$AI108+$AG109</f>
        <v/>
      </c>
      <c r="AJ109" s="55">
        <f>$AG109-$X109-$AD109</f>
        <v/>
      </c>
      <c r="AK109" s="55">
        <f>IF($B109=$B108,$AK108,0)+$AJ109</f>
        <v/>
      </c>
      <c r="AL109" s="55">
        <f>$AL108+$AJ109</f>
        <v/>
      </c>
      <c r="AM109" s="55">
        <f>SUMIFS(tblMiningDaily[Drill_m],tblMiningDaily[Date],$A109)</f>
        <v/>
      </c>
      <c r="AN109" s="55">
        <f>IF($B109=$B108,$AN108,0)+$AM109</f>
        <v/>
      </c>
      <c r="AO109" s="55">
        <f>$AO108+$AM109</f>
        <v/>
      </c>
      <c r="AP109" s="55">
        <f>SUMIFS(tblMiningDaily[GC_Drill_m],tblMiningDaily[Date],$A109)</f>
        <v/>
      </c>
      <c r="AQ109" s="55">
        <f>IF($B109=$B108,$AQ108,0)+$AP109</f>
        <v/>
      </c>
      <c r="AR109" s="55">
        <f>$AR108+$AP109</f>
        <v/>
      </c>
      <c r="AS109" s="55">
        <f>SUMIFS(tblMiningDaily[Blast_t],tblMiningDaily[Date],$A109)</f>
        <v/>
      </c>
      <c r="AT109" s="55">
        <f>IF($B109=$B108,$AT108,0)+$AS109</f>
        <v/>
      </c>
      <c r="AU109" s="55">
        <f>$AU108+$AS109</f>
        <v/>
      </c>
      <c r="AV109" s="55">
        <f>SUMIFS(tblMiningDaily[Explosives_kg],tblMiningDaily[Date],$A109)</f>
        <v/>
      </c>
      <c r="AW109" s="55">
        <f>IF($B109=$B108,$AW108,0)+$AV109</f>
        <v/>
      </c>
      <c r="AX109" s="55">
        <f>$AX108+$AV109</f>
        <v/>
      </c>
      <c r="AY109" s="56">
        <f>IFERROR(IF(($AS109)&gt;0,($AV109)/($AS109),""),"")</f>
        <v/>
      </c>
      <c r="AZ109" s="56">
        <f>IFERROR(IF(($AT109)&gt;0,($AW109)/($AT109),""),"")</f>
        <v/>
      </c>
      <c r="BA109" s="56">
        <f>IFERROR(IF(($AU109)&gt;0,($AX109)/($AU109),""),"")</f>
        <v/>
      </c>
      <c r="BB109" s="55">
        <f>SUMIFS(tblMiningDaily[Diesel_L],tblMiningDaily[Date],$A109)</f>
        <v/>
      </c>
      <c r="BC109" s="55">
        <f>IF($B109=$B108,$BC108,0)+$BB109</f>
        <v/>
      </c>
      <c r="BD109" s="55">
        <f>$BD108+$BB109</f>
        <v/>
      </c>
      <c r="BE109" s="55">
        <f>SUMIFS(tblMiningDaily[Dewatering_m3],tblMiningDaily[Date],$A109)</f>
        <v/>
      </c>
      <c r="BF109" s="55">
        <f>IF($B109=$B108,$BF108,0)+$BE109</f>
        <v/>
      </c>
      <c r="BG109" s="55">
        <f>$BG108+$BE109</f>
        <v/>
      </c>
      <c r="BH109" s="57">
        <f>SUMIFS(tblFleet[Calendar_h],tblFleet[Date],$A109,tblFleet[Equipment_Class],"Excavator")</f>
        <v/>
      </c>
      <c r="BI109" s="57">
        <f>IF($B109=$B108,$BI108,0)+$BH109</f>
        <v/>
      </c>
      <c r="BJ109" s="57">
        <f>$BJ108+$BH109</f>
        <v/>
      </c>
      <c r="BK109" s="57">
        <f>SUMIFS(tblFleet[Available_h],tblFleet[Date],$A109,tblFleet[Equipment_Class],"Excavator")</f>
        <v/>
      </c>
      <c r="BL109" s="57">
        <f>IF($B109=$B108,$BL108,0)+$BK109</f>
        <v/>
      </c>
      <c r="BM109" s="57">
        <f>$BM108+$BK109</f>
        <v/>
      </c>
      <c r="BN109" s="57">
        <f>SUMIFS(tblFleet[Operating_h],tblFleet[Date],$A109,tblFleet[Equipment_Class],"Excavator")</f>
        <v/>
      </c>
      <c r="BO109" s="57">
        <f>IF($B109=$B108,$BO108,0)+$BN109</f>
        <v/>
      </c>
      <c r="BP109" s="57">
        <f>$BP108+$BN109</f>
        <v/>
      </c>
      <c r="BQ109" s="67">
        <f>IFERROR(IF(($BH109)&gt;0,($BK109)/($BH109),""),"")</f>
        <v/>
      </c>
      <c r="BR109" s="67">
        <f>IFERROR(IF(($BI109)&gt;0,($BL109)/($BI109),""),"")</f>
        <v/>
      </c>
      <c r="BS109" s="67">
        <f>IFERROR(IF(($BJ109)&gt;0,($BM109)/($BJ109),""),"")</f>
        <v/>
      </c>
      <c r="BT109" s="67">
        <f>IFERROR(IF(($BK109)&gt;0,($BN109)/($BK109),""),"")</f>
        <v/>
      </c>
      <c r="BU109" s="67">
        <f>IFERROR(IF(($BL109)&gt;0,($BO109)/($BL109),""),"")</f>
        <v/>
      </c>
      <c r="BV109" s="67">
        <f>IFERROR(IF(($BM109)&gt;0,($BP109)/($BM109),""),"")</f>
        <v/>
      </c>
      <c r="BW109" s="57">
        <f>SUMIFS(tblFleet[Calendar_h],tblFleet[Date],$A109,tblFleet[Equipment_Class],"Haul Truck")</f>
        <v/>
      </c>
      <c r="BX109" s="57">
        <f>IF($B109=$B108,$BX108,0)+$BW109</f>
        <v/>
      </c>
      <c r="BY109" s="57">
        <f>$BY108+$BW109</f>
        <v/>
      </c>
      <c r="BZ109" s="57">
        <f>SUMIFS(tblFleet[Available_h],tblFleet[Date],$A109,tblFleet[Equipment_Class],"Haul Truck")</f>
        <v/>
      </c>
      <c r="CA109" s="57">
        <f>IF($B109=$B108,$CA108,0)+$BZ109</f>
        <v/>
      </c>
      <c r="CB109" s="57">
        <f>$CB108+$BZ109</f>
        <v/>
      </c>
      <c r="CC109" s="57">
        <f>SUMIFS(tblFleet[Operating_h],tblFleet[Date],$A109,tblFleet[Equipment_Class],"Haul Truck")</f>
        <v/>
      </c>
      <c r="CD109" s="57">
        <f>IF($B109=$B108,$CD108,0)+$CC109</f>
        <v/>
      </c>
      <c r="CE109" s="57">
        <f>$CE108+$CC109</f>
        <v/>
      </c>
      <c r="CF109" s="67">
        <f>IFERROR(IF(($BW109)&gt;0,($BZ109)/($BW109),""),"")</f>
        <v/>
      </c>
      <c r="CG109" s="67">
        <f>IFERROR(IF(($BX109)&gt;0,($CA109)/($BX109),""),"")</f>
        <v/>
      </c>
      <c r="CH109" s="67">
        <f>IFERROR(IF(($BY109)&gt;0,($CB109)/($BY109),""),"")</f>
        <v/>
      </c>
      <c r="CI109" s="67">
        <f>IFERROR(IF(($BZ109)&gt;0,($CC109)/($BZ109),""),"")</f>
        <v/>
      </c>
      <c r="CJ109" s="67">
        <f>IFERROR(IF(($CA109)&gt;0,($CD109)/($CA109),""),"")</f>
        <v/>
      </c>
      <c r="CK109" s="67">
        <f>IFERROR(IF(($CB109)&gt;0,($CE109)/($CB109),""),"")</f>
        <v/>
      </c>
      <c r="CL109" s="55">
        <f>IFERROR(IF(($BN109)&gt;0,($X109+$AD109)/($BN109),""),"")</f>
        <v/>
      </c>
      <c r="CM109" s="55">
        <f>IFERROR(IF(($BO109)&gt;0,($Y109+$AE109)/($BO109),""),"")</f>
        <v/>
      </c>
      <c r="CN109" s="55">
        <f>IFERROR(IF(($BP109)&gt;0,($Z109+$AF109)/($BP109),""),"")</f>
        <v/>
      </c>
      <c r="CO109" s="55">
        <f>IFERROR(IF(($CC109)&gt;0,($X109+$AD109)/($CC109),""),"")</f>
        <v/>
      </c>
      <c r="CP109" s="55">
        <f>IFERROR(IF(($CD109)&gt;0,($Y109+$AE109)/($CD109),""),"")</f>
        <v/>
      </c>
      <c r="CQ109" s="55">
        <f>IFERROR(IF(($CE109)&gt;0,($Z109+$AF109)/($CE109),""),"")</f>
        <v/>
      </c>
      <c r="CR109" s="55">
        <f>SUMIFS(tblPlant[Crushed_t],tblPlant[Date],$A109)</f>
        <v/>
      </c>
      <c r="CS109" s="55">
        <f>IF($B109=$B108,$CS108,0)+$CR109</f>
        <v/>
      </c>
      <c r="CT109" s="55">
        <f>$CT108+$CR109</f>
        <v/>
      </c>
      <c r="CU109" s="55">
        <f>SUMIFS(tblPlant[Milled_t],tblPlant[Date],$A109)</f>
        <v/>
      </c>
      <c r="CV109" s="55">
        <f>IF($B109=$B108,$CV108,0)+$CU109</f>
        <v/>
      </c>
      <c r="CW109" s="55">
        <f>$CW108+$CU109</f>
        <v/>
      </c>
      <c r="CX109" s="55">
        <f>SUMIFS(tblPlant[Feed_oz],tblPlant[Date],$A109)</f>
        <v/>
      </c>
      <c r="CY109" s="55">
        <f>IF($B109=$B108,$CY108,0)+$CX109</f>
        <v/>
      </c>
      <c r="CZ109" s="55">
        <f>$CZ108+$CX109</f>
        <v/>
      </c>
      <c r="DA109" s="55">
        <f>SUMIFS(tblPlant[Tails_oz],tblPlant[Date],$A109)</f>
        <v/>
      </c>
      <c r="DB109" s="55">
        <f>IF($B109=$B108,$DB108,0)+$DA109</f>
        <v/>
      </c>
      <c r="DC109" s="55">
        <f>$DC108+$DA109</f>
        <v/>
      </c>
      <c r="DD109" s="55">
        <f>SUMIFS(tblPlant[Recovered_oz],tblPlant[Date],$A109)</f>
        <v/>
      </c>
      <c r="DE109" s="55">
        <f>IF($B109=$B108,$DE108,0)+$DD109</f>
        <v/>
      </c>
      <c r="DF109" s="55">
        <f>$DF108+$DD109</f>
        <v/>
      </c>
      <c r="DG109" s="55">
        <f>SUMIFS(tblPlant[Milled_t],tblPlant[Date],$A109,tblPlant[Head_Grade_gpt],"&lt;&gt;")</f>
        <v/>
      </c>
      <c r="DH109" s="55">
        <f>IF($B109=$B108,$DH108,0)+$DG109</f>
        <v/>
      </c>
      <c r="DI109" s="55">
        <f>$DI108+$DG109</f>
        <v/>
      </c>
      <c r="DJ109" s="55">
        <f>SUMIFS(tblPlant[Milled_t],tblPlant[Date],$A109,tblPlant[Tails_Grade_gpt],"&lt;&gt;")</f>
        <v/>
      </c>
      <c r="DK109" s="55">
        <f>IF($B109=$B108,$DK108,0)+$DJ109</f>
        <v/>
      </c>
      <c r="DL109" s="55">
        <f>$DL108+$DJ109</f>
        <v/>
      </c>
      <c r="DM109" s="55">
        <f>SUMIFS(tblPlant[Feed_oz],tblPlant[Date],$A109,tblPlant[Tails_Grade_gpt],"&lt;&gt;")</f>
        <v/>
      </c>
      <c r="DN109" s="55">
        <f>IF($B109=$B108,$DN108,0)+$DM109</f>
        <v/>
      </c>
      <c r="DO109" s="55">
        <f>$DO108+$DM109</f>
        <v/>
      </c>
      <c r="DP109" s="55">
        <f>SUMIFS(tblPlant[Milled_t],tblPlant[Date],$A109,tblPlant[Mill_Run_h],"&lt;&gt;")</f>
        <v/>
      </c>
      <c r="DQ109" s="55">
        <f>IF($B109=$B108,$DQ108,0)+$DP109</f>
        <v/>
      </c>
      <c r="DR109" s="55">
        <f>$DR108+$DP109</f>
        <v/>
      </c>
      <c r="DS109" s="56">
        <f>IFERROR(IF(($DG109)&gt;0,($CX109*cfg_TroyOz)/($DG109),""),"")</f>
        <v/>
      </c>
      <c r="DT109" s="56">
        <f>IFERROR(IF(($DH109)&gt;0,($CY109*cfg_TroyOz)/($DH109),""),"")</f>
        <v/>
      </c>
      <c r="DU109" s="56">
        <f>IFERROR(IF(($DI109)&gt;0,($CZ109*cfg_TroyOz)/($DI109),""),"")</f>
        <v/>
      </c>
      <c r="DV109" s="56">
        <f>IFERROR(IF(($DJ109)&gt;0,($DA109*cfg_TroyOz)/($DJ109),""),"")</f>
        <v/>
      </c>
      <c r="DW109" s="56">
        <f>IFERROR(IF(($DK109)&gt;0,($DB109*cfg_TroyOz)/($DK109),""),"")</f>
        <v/>
      </c>
      <c r="DX109" s="56">
        <f>IFERROR(IF(($DL109)&gt;0,($DC109*cfg_TroyOz)/($DL109),""),"")</f>
        <v/>
      </c>
      <c r="DY109" s="67">
        <f>IFERROR(IF(($DM109)&gt;0,($DD109)/($DM109),""),"")</f>
        <v/>
      </c>
      <c r="DZ109" s="67">
        <f>IFERROR(IF(($DN109)&gt;0,($DE109)/($DN109),""),"")</f>
        <v/>
      </c>
      <c r="EA109" s="67">
        <f>IFERROR(IF(($DO109)&gt;0,($DF109)/($DO109),""),"")</f>
        <v/>
      </c>
      <c r="EB109" s="55">
        <f>SUMIFS(tblPlant[Gravity_Gold_oz],tblPlant[Date],$A109)</f>
        <v/>
      </c>
      <c r="EC109" s="55">
        <f>IF($B109=$B108,$EC108,0)+$EB109</f>
        <v/>
      </c>
      <c r="ED109" s="55">
        <f>$ED108+$EB109</f>
        <v/>
      </c>
      <c r="EE109" s="67">
        <f>IFERROR(IF(($DD109)&gt;0,($EB109)/($DD109),""),"")</f>
        <v/>
      </c>
      <c r="EF109" s="67">
        <f>IFERROR(IF(($DE109)&gt;0,($EC109)/($DE109),""),"")</f>
        <v/>
      </c>
      <c r="EG109" s="67">
        <f>IFERROR(IF(($DF109)&gt;0,($ED109)/($DF109),""),"")</f>
        <v/>
      </c>
      <c r="EH109" s="55">
        <f>SUMIFS(tblPlant[Gold_Poured_oz],tblPlant[Date],$A109)</f>
        <v/>
      </c>
      <c r="EI109" s="55">
        <f>IF($B109=$B108,$EI108,0)+$EH109</f>
        <v/>
      </c>
      <c r="EJ109" s="55">
        <f>$EJ108+$EH109</f>
        <v/>
      </c>
      <c r="EK109" s="57">
        <f>SUMIFS(tblPlant[Mill_Run_h],tblPlant[Date],$A109)</f>
        <v/>
      </c>
      <c r="EL109" s="57">
        <f>IF($B109=$B108,$EL108,0)+$EK109</f>
        <v/>
      </c>
      <c r="EM109" s="57">
        <f>$EM108+$EK109</f>
        <v/>
      </c>
      <c r="EN109" s="57">
        <f>SUMIFS(tblPlant[Mill_Planned_Maint_h],tblPlant[Date],$A109)</f>
        <v/>
      </c>
      <c r="EO109" s="57">
        <f>IF($B109=$B108,$EO108,0)+$EN109</f>
        <v/>
      </c>
      <c r="EP109" s="57">
        <f>$EP108+$EN109</f>
        <v/>
      </c>
      <c r="EQ109" s="57">
        <f>SUMIFS(tblPlant[Mill_Unplanned_Down_h],tblPlant[Date],$A109)</f>
        <v/>
      </c>
      <c r="ER109" s="57">
        <f>IF($B109=$B108,$ER108,0)+$EQ109</f>
        <v/>
      </c>
      <c r="ES109" s="57">
        <f>$ES108+$EQ109</f>
        <v/>
      </c>
      <c r="ET109" s="57">
        <f>IF(COUNTIFS(tblPlant[Date],$A109,tblPlant[Mill_Run_h],"&lt;&gt;")+COUNTIFS(tblPlant[Date],$A109,tblPlant[Mill_Planned_Maint_h],"&lt;&gt;")+COUNTIFS(tblPlant[Date],$A109,tblPlant[Mill_Unplanned_Down_h],"&lt;&gt;")&gt;0,cfg_HoursPerDay,0)</f>
        <v/>
      </c>
      <c r="EU109" s="57">
        <f>IF($B109=$B108,$EU108,0)+$ET109</f>
        <v/>
      </c>
      <c r="EV109" s="57">
        <f>$EV108+$ET109</f>
        <v/>
      </c>
      <c r="EW109" s="57">
        <f>SUMIFS(tblPlant[Crusher_Run_h],tblPlant[Date],$A109)</f>
        <v/>
      </c>
      <c r="EX109" s="57">
        <f>IF($B109=$B108,$EX108,0)+$EW109</f>
        <v/>
      </c>
      <c r="EY109" s="57">
        <f>$EY108+$EW109</f>
        <v/>
      </c>
      <c r="EZ109" s="55">
        <f>IFERROR(IF(($EK109)&gt;0,($DP109)/($EK109),""),"")</f>
        <v/>
      </c>
      <c r="FA109" s="55">
        <f>IFERROR(IF(($EL109)&gt;0,($DQ109)/($EL109),""),"")</f>
        <v/>
      </c>
      <c r="FB109" s="55">
        <f>IFERROR(IF(($EM109)&gt;0,($DR109)/($EM109),""),"")</f>
        <v/>
      </c>
      <c r="FC109" s="67">
        <f>IFERROR(IF(($ET109)&gt;0,($ET109-$EN109-$EQ109)/($ET109),""),"")</f>
        <v/>
      </c>
      <c r="FD109" s="67">
        <f>IFERROR(IF(($EU109)&gt;0,($EU109-$EO109-$ER109)/($EU109),""),"")</f>
        <v/>
      </c>
      <c r="FE109" s="67">
        <f>IFERROR(IF(($EV109)&gt;0,($EV109-$EP109-$ES109)/($EV109),""),"")</f>
        <v/>
      </c>
      <c r="FF109" s="67">
        <f>IFERROR(IF(($ET109-$EN109-$EQ109)&gt;0,($EK109)/($ET109-$EN109-$EQ109),""),"")</f>
        <v/>
      </c>
      <c r="FG109" s="67">
        <f>IFERROR(IF(($EU109-$EO109-$ER109)&gt;0,($EL109)/($EU109-$EO109-$ER109),""),"")</f>
        <v/>
      </c>
      <c r="FH109" s="67">
        <f>IFERROR(IF(($EV109-$EP109-$ES109)&gt;0,($EM109)/($EV109-$EP109-$ES109),""),"")</f>
        <v/>
      </c>
      <c r="FI109" s="55">
        <f>SUMIFS(tblPlant[Cyanide_kg],tblPlant[Date],$A109)</f>
        <v/>
      </c>
      <c r="FJ109" s="55">
        <f>IF($B109=$B108,$FJ108,0)+$FI109</f>
        <v/>
      </c>
      <c r="FK109" s="55">
        <f>$FK108+$FI109</f>
        <v/>
      </c>
      <c r="FL109" s="55">
        <f>SUMIFS(tblPlant[Lime_kg],tblPlant[Date],$A109)</f>
        <v/>
      </c>
      <c r="FM109" s="55">
        <f>IF($B109=$B108,$FM108,0)+$FL109</f>
        <v/>
      </c>
      <c r="FN109" s="55">
        <f>$FN108+$FL109</f>
        <v/>
      </c>
      <c r="FO109" s="55">
        <f>SUMIFS(tblPlant[Grinding_Media_kg],tblPlant[Date],$A109)</f>
        <v/>
      </c>
      <c r="FP109" s="55">
        <f>IF($B109=$B108,$FP108,0)+$FO109</f>
        <v/>
      </c>
      <c r="FQ109" s="55">
        <f>$FQ108+$FO109</f>
        <v/>
      </c>
      <c r="FR109" s="55">
        <f>SUMIFS(tblPlant[Power_kWh],tblPlant[Date],$A109)</f>
        <v/>
      </c>
      <c r="FS109" s="55">
        <f>IF($B109=$B108,$FS108,0)+$FR109</f>
        <v/>
      </c>
      <c r="FT109" s="55">
        <f>$FT108+$FR109</f>
        <v/>
      </c>
      <c r="FU109" s="55">
        <f>SUMIFS(tblPlant[Raw_Water_m3],tblPlant[Date],$A109)</f>
        <v/>
      </c>
      <c r="FV109" s="55">
        <f>IF($B109=$B108,$FV108,0)+$FU109</f>
        <v/>
      </c>
      <c r="FW109" s="55">
        <f>$FW108+$FU109</f>
        <v/>
      </c>
      <c r="FX109" s="56">
        <f>IFERROR(IF(($CU109)&gt;0,($FI109)/($CU109),""),"")</f>
        <v/>
      </c>
      <c r="FY109" s="56">
        <f>IFERROR(IF(($CV109)&gt;0,($FJ109)/($CV109),""),"")</f>
        <v/>
      </c>
      <c r="FZ109" s="56">
        <f>IFERROR(IF(($CW109)&gt;0,($FK109)/($CW109),""),"")</f>
        <v/>
      </c>
      <c r="GA109" s="56">
        <f>IFERROR(IF(($CU109)&gt;0,($FL109)/($CU109),""),"")</f>
        <v/>
      </c>
      <c r="GB109" s="56">
        <f>IFERROR(IF(($CV109)&gt;0,($FM109)/($CV109),""),"")</f>
        <v/>
      </c>
      <c r="GC109" s="56">
        <f>IFERROR(IF(($CW109)&gt;0,($FN109)/($CW109),""),"")</f>
        <v/>
      </c>
      <c r="GD109" s="56">
        <f>IFERROR(IF(($CU109)&gt;0,($FO109)/($CU109),""),"")</f>
        <v/>
      </c>
      <c r="GE109" s="56">
        <f>IFERROR(IF(($CV109)&gt;0,($FP109)/($CV109),""),"")</f>
        <v/>
      </c>
      <c r="GF109" s="56">
        <f>IFERROR(IF(($CW109)&gt;0,($FQ109)/($CW109),""),"")</f>
        <v/>
      </c>
      <c r="GG109" s="79">
        <f>IFERROR(IF(($CU109)&gt;0,($FR109)/($CU109),""),"")</f>
        <v/>
      </c>
      <c r="GH109" s="79">
        <f>IFERROR(IF(($CV109)&gt;0,($FS109)/($CV109),""),"")</f>
        <v/>
      </c>
      <c r="GI109" s="79">
        <f>IFERROR(IF(($CW109)&gt;0,($FT109)/($CW109),""),"")</f>
        <v/>
      </c>
      <c r="GJ109" s="56">
        <f>IFERROR(IF(($CU109)&gt;0,($FU109)/($CU109),""),"")</f>
        <v/>
      </c>
      <c r="GK109" s="56">
        <f>IFERROR(IF(($CV109)&gt;0,($FV109)/($CV109),""),"")</f>
        <v/>
      </c>
      <c r="GL109" s="56">
        <f>IFERROR(IF(($CW109)&gt;0,($FW109)/($CW109),""),"")</f>
        <v/>
      </c>
      <c r="GM109" s="55">
        <f>IF(SUMIFS(tblPlant[GIC_oz],tblPlant[Date],$A109)&gt;0,SUMIFS(tblPlant[GIC_oz],tblPlant[Date],$A109),"")</f>
        <v/>
      </c>
      <c r="GN109" s="55">
        <f>SUMIFS(tblGold[Gold_oz],tblGold[Date],$A109,tblGold[Type],"Shipment")</f>
        <v/>
      </c>
      <c r="GO109" s="55">
        <f>IF($B109=$B108,$GO108,0)+$GN109</f>
        <v/>
      </c>
      <c r="GP109" s="55">
        <f>$GP108+$GN109</f>
        <v/>
      </c>
      <c r="GQ109" s="55">
        <f>SUMIFS(tblGold[Gold_oz],tblGold[Date],$A109,tblGold[Type],"Sale")</f>
        <v/>
      </c>
      <c r="GR109" s="55">
        <f>IF($B109=$B108,$GR108,0)+$GQ109</f>
        <v/>
      </c>
      <c r="GS109" s="55">
        <f>$GS108+$GQ109</f>
        <v/>
      </c>
      <c r="GT109" s="55">
        <f>SUMIFS(tblGold[Dore_kg],tblGold[Date],$A109,tblGold[Type],"Shipment")</f>
        <v/>
      </c>
      <c r="GU109" s="55">
        <f>IF($B109=$B108,$GU108,0)+$GT109</f>
        <v/>
      </c>
      <c r="GV109" s="55">
        <f>$GV108+$GT109</f>
        <v/>
      </c>
      <c r="GW109" s="57">
        <f>SUMIFS(tblSafety[Hours_Total],tblSafety[Date],$A109)</f>
        <v/>
      </c>
      <c r="GX109" s="57">
        <f>IF($B109=$B108,$GX108,0)+$GW109</f>
        <v/>
      </c>
      <c r="GY109" s="57">
        <f>$GY108+$GW109</f>
        <v/>
      </c>
      <c r="GZ109" s="62">
        <f>SUMIFS(tblSafety[Fatality],tblSafety[Date],$A109)</f>
        <v/>
      </c>
      <c r="HA109" s="62">
        <f>IF($B109=$B108,$HA108,0)+$GZ109</f>
        <v/>
      </c>
      <c r="HB109" s="62">
        <f>$HB108+$GZ109</f>
        <v/>
      </c>
      <c r="HC109" s="62">
        <f>SUMIFS(tblSafety[LTI],tblSafety[Date],$A109)</f>
        <v/>
      </c>
      <c r="HD109" s="62">
        <f>IF($B109=$B108,$HD108,0)+$HC109</f>
        <v/>
      </c>
      <c r="HE109" s="62">
        <f>$HE108+$HC109</f>
        <v/>
      </c>
      <c r="HF109" s="62">
        <f>SUMIFS(tblSafety[RWI],tblSafety[Date],$A109)</f>
        <v/>
      </c>
      <c r="HG109" s="62">
        <f>IF($B109=$B108,$HG108,0)+$HF109</f>
        <v/>
      </c>
      <c r="HH109" s="62">
        <f>$HH108+$HF109</f>
        <v/>
      </c>
      <c r="HI109" s="62">
        <f>SUMIFS(tblSafety[MTI],tblSafety[Date],$A109)</f>
        <v/>
      </c>
      <c r="HJ109" s="62">
        <f>IF($B109=$B108,$HJ108,0)+$HI109</f>
        <v/>
      </c>
      <c r="HK109" s="62">
        <f>$HK108+$HI109</f>
        <v/>
      </c>
      <c r="HL109" s="62">
        <f>SUMIFS(tblSafety[FAI],tblSafety[Date],$A109)</f>
        <v/>
      </c>
      <c r="HM109" s="62">
        <f>IF($B109=$B108,$HM108,0)+$HL109</f>
        <v/>
      </c>
      <c r="HN109" s="62">
        <f>$HN108+$HL109</f>
        <v/>
      </c>
      <c r="HO109" s="62">
        <f>SUMIFS(tblSafety[Recordables],tblSafety[Date],$A109)</f>
        <v/>
      </c>
      <c r="HP109" s="62">
        <f>IF($B109=$B108,$HP108,0)+$HO109</f>
        <v/>
      </c>
      <c r="HQ109" s="62">
        <f>$HQ108+$HO109</f>
        <v/>
      </c>
      <c r="HR109" s="62">
        <f>SUMIFS(tblSafety[Near_Miss],tblSafety[Date],$A109)</f>
        <v/>
      </c>
      <c r="HS109" s="62">
        <f>IF($B109=$B108,$HS108,0)+$HR109</f>
        <v/>
      </c>
      <c r="HT109" s="62">
        <f>$HT108+$HR109</f>
        <v/>
      </c>
      <c r="HU109" s="62">
        <f>SUMIFS(tblSafety[Hazard_Reports],tblSafety[Date],$A109)</f>
        <v/>
      </c>
      <c r="HV109" s="62">
        <f>IF($B109=$B108,$HV108,0)+$HU109</f>
        <v/>
      </c>
      <c r="HW109" s="62">
        <f>$HW108+$HU109</f>
        <v/>
      </c>
      <c r="HX109" s="62">
        <f>SUMIFS(tblSafety[HPI],tblSafety[Date],$A109)</f>
        <v/>
      </c>
      <c r="HY109" s="62">
        <f>IF($B109=$B108,$HY108,0)+$HX109</f>
        <v/>
      </c>
      <c r="HZ109" s="62">
        <f>$HZ108+$HX109</f>
        <v/>
      </c>
      <c r="IA109" s="62">
        <f>SUMIFS(tblSafety[Env_Incidents],tblSafety[Date],$A109)</f>
        <v/>
      </c>
      <c r="IB109" s="62">
        <f>IF($B109=$B108,$IB108,0)+$IA109</f>
        <v/>
      </c>
      <c r="IC109" s="62">
        <f>$IC108+$IA109</f>
        <v/>
      </c>
      <c r="ID109" s="62">
        <f>SUMIFS(tblSafety[Community_Incidents],tblSafety[Date],$A109)</f>
        <v/>
      </c>
      <c r="IE109" s="62">
        <f>IF($B109=$B108,$IE108,0)+$ID109</f>
        <v/>
      </c>
      <c r="IF109" s="62">
        <f>$IF108+$ID109</f>
        <v/>
      </c>
      <c r="IG109" s="62">
        <f>SUMIFS(tblSafety[Vehicle_Incidents],tblSafety[Date],$A109)</f>
        <v/>
      </c>
      <c r="IH109" s="62">
        <f>IF($B109=$B108,$IH108,0)+$IG109</f>
        <v/>
      </c>
      <c r="II109" s="62">
        <f>$II108+$IG109</f>
        <v/>
      </c>
      <c r="IJ109" s="62">
        <f>SUMIFS(tblSafety[Toolbox_Talks],tblSafety[Date],$A109)</f>
        <v/>
      </c>
      <c r="IK109" s="62">
        <f>IF($B109=$B108,$IK108,0)+$IJ109</f>
        <v/>
      </c>
      <c r="IL109" s="62">
        <f>$IL108+$IJ109</f>
        <v/>
      </c>
      <c r="IM109" s="62">
        <f>SUMIFS(tblSafety[Inspections],tblSafety[Date],$A109)</f>
        <v/>
      </c>
      <c r="IN109" s="62">
        <f>IF($B109=$B108,$IN108,0)+$IM109</f>
        <v/>
      </c>
      <c r="IO109" s="62">
        <f>$IO108+$IM109</f>
        <v/>
      </c>
      <c r="IP109" s="56">
        <f>IFERROR((SUMIFS(tblSafety[Recordables],tblSafety[Date],"&gt;="&amp;EDATE($E109,-12),tblSafety[Date],"&lt;="&amp;$A109)+SUMIFS(tblSafetyHistory[Recordables],tblSafetyHistory[Month],"&gt;="&amp;EDATE($E109,-12),tblSafetyHistory[Month],"&lt;"&amp;$E109,tblSafetyHistory[Use],1))/(SUMIFS(tblSafety[Hours_Total],tblSafety[Date],"&gt;="&amp;EDATE($E109,-12),tblSafety[Date],"&lt;="&amp;$A109)+SUMIFS(tblSafetyHistory[Hours_Total],tblSafetyHistory[Month],"&gt;="&amp;EDATE($E109,-12),tblSafetyHistory[Month],"&lt;"&amp;$E109,tblSafetyHistory[Use],1))*cfg_RateBasisHours,"")</f>
        <v/>
      </c>
      <c r="IQ109" s="56">
        <f>IFERROR((SUMIFS(tblSafety[LTI],tblSafety[Date],"&gt;="&amp;EDATE($E109,-12),tblSafety[Date],"&lt;="&amp;$A109)+SUMIFS(tblSafetyHistory[LTI],tblSafetyHistory[Month],"&gt;="&amp;EDATE($E109,-12),tblSafetyHistory[Month],"&lt;"&amp;$E109,tblSafetyHistory[Use],1))/(SUMIFS(tblSafety[Hours_Total],tblSafety[Date],"&gt;="&amp;EDATE($E109,-12),tblSafety[Date],"&lt;="&amp;$A109)+SUMIFS(tblSafetyHistory[Hours_Total],tblSafetyHistory[Month],"&gt;="&amp;EDATE($E109,-12),tblSafetyHistory[Month],"&lt;"&amp;$E109,tblSafetyHistory[Use],1))*cfg_RateBasisHours,"")</f>
        <v/>
      </c>
      <c r="IR109" s="62">
        <f>IF(MAX(N(cfg_PriorLTIDate),_xlfn.MAXIFS(tblSafety[Date],tblSafety[LTI],"&gt;0",tblSafety[Date],"&lt;="&amp;$A109))=0,"",$A109-MAX(N(cfg_PriorLTIDate),_xlfn.MAXIFS(tblSafety[Date],tblSafety[LTI],"&gt;0",tblSafety[Date],"&lt;="&amp;$A109)))</f>
        <v/>
      </c>
      <c r="IS109" s="55">
        <f>SUMIFS(tblBudget[Ore_Mined_t],tblBudget[Month],$E109)</f>
        <v/>
      </c>
      <c r="IT109" s="55">
        <f>$IS109*$C109/$D109</f>
        <v/>
      </c>
      <c r="IU109" s="55">
        <f>SUMIFS(tblBudget[Ore_Mined_t],tblBudget[Month],"&lt;"&amp;$E109)+$IT109</f>
        <v/>
      </c>
      <c r="IV109" s="55">
        <f>SUMIFS(tblBudget[Ore_oz],tblBudget[Month],$E109)</f>
        <v/>
      </c>
      <c r="IW109" s="55">
        <f>$IV109*$C109/$D109</f>
        <v/>
      </c>
      <c r="IX109" s="55">
        <f>SUMIFS(tblBudget[Ore_oz],tblBudget[Month],"&lt;"&amp;$E109)+$IW109</f>
        <v/>
      </c>
      <c r="IY109" s="55">
        <f>SUMIFS(tblBudget[Ore_Mined_t],tblBudget[Month],$E109)</f>
        <v/>
      </c>
      <c r="IZ109" s="55">
        <f>$IY109*$C109/$D109</f>
        <v/>
      </c>
      <c r="JA109" s="55">
        <f>SUMIFS(tblBudget[Ore_Mined_t],tblBudget[Month],"&lt;"&amp;$E109)+$IZ109</f>
        <v/>
      </c>
      <c r="JB109" s="56">
        <f>IFERROR(IF(($IY109)&gt;0,($IV109*cfg_TroyOz)/($IY109),""),"")</f>
        <v/>
      </c>
      <c r="JC109" s="56">
        <f>IFERROR(IF(($IZ109)&gt;0,($IW109*cfg_TroyOz)/($IZ109),""),"")</f>
        <v/>
      </c>
      <c r="JD109" s="56">
        <f>IFERROR(IF(($JA109)&gt;0,($IX109*cfg_TroyOz)/($JA109),""),"")</f>
        <v/>
      </c>
      <c r="JE109" s="55">
        <f>SUMIFS(tblBudget[Waste_t],tblBudget[Month],$E109)</f>
        <v/>
      </c>
      <c r="JF109" s="55">
        <f>$JE109*$C109/$D109</f>
        <v/>
      </c>
      <c r="JG109" s="55">
        <f>SUMIFS(tblBudget[Waste_t],tblBudget[Month],"&lt;"&amp;$E109)+$JF109</f>
        <v/>
      </c>
      <c r="JH109" s="55">
        <f>SUMIFS(tblBudget[TMM_t],tblBudget[Month],$E109)</f>
        <v/>
      </c>
      <c r="JI109" s="55">
        <f>$JH109*$C109/$D109</f>
        <v/>
      </c>
      <c r="JJ109" s="55">
        <f>SUMIFS(tblBudget[TMM_t],tblBudget[Month],"&lt;"&amp;$E109)+$JI109</f>
        <v/>
      </c>
      <c r="JK109" s="56">
        <f>IFERROR(IF(($IS109)&gt;0,($JE109)/($IS109),""),"")</f>
        <v/>
      </c>
      <c r="JL109" s="56">
        <f>IFERROR(IF(($IT109)&gt;0,($JF109)/($IT109),""),"")</f>
        <v/>
      </c>
      <c r="JM109" s="56">
        <f>IFERROR(IF(($IU109)&gt;0,($JG109)/($IU109),""),"")</f>
        <v/>
      </c>
      <c r="JN109" s="55">
        <f>SUMIFS(tblBudget[Drill_m],tblBudget[Month],$E109)</f>
        <v/>
      </c>
      <c r="JO109" s="55">
        <f>$JN109*$C109/$D109</f>
        <v/>
      </c>
      <c r="JP109" s="55">
        <f>SUMIFS(tblBudget[Drill_m],tblBudget[Month],"&lt;"&amp;$E109)+$JO109</f>
        <v/>
      </c>
      <c r="JQ109" s="55">
        <f>SUMIFS(tblBudget[Diesel_L],tblBudget[Month],$E109)</f>
        <v/>
      </c>
      <c r="JR109" s="55">
        <f>$JQ109*$C109/$D109</f>
        <v/>
      </c>
      <c r="JS109" s="55">
        <f>SUMIFS(tblBudget[Diesel_L],tblBudget[Month],"&lt;"&amp;$E109)+$JR109</f>
        <v/>
      </c>
      <c r="JT109" s="55">
        <f>SUMIFS(tblBudget[Milled_t],tblBudget[Month],$E109)</f>
        <v/>
      </c>
      <c r="JU109" s="55">
        <f>$JT109*$C109/$D109</f>
        <v/>
      </c>
      <c r="JV109" s="55">
        <f>SUMIFS(tblBudget[Milled_t],tblBudget[Month],"&lt;"&amp;$E109)+$JU109</f>
        <v/>
      </c>
      <c r="JW109" s="55">
        <f>SUMIFS(tblBudget[Feed_oz],tblBudget[Month],$E109)</f>
        <v/>
      </c>
      <c r="JX109" s="55">
        <f>$JW109*$C109/$D109</f>
        <v/>
      </c>
      <c r="JY109" s="55">
        <f>SUMIFS(tblBudget[Feed_oz],tblBudget[Month],"&lt;"&amp;$E109)+$JX109</f>
        <v/>
      </c>
      <c r="JZ109" s="55">
        <f>SUMIFS(tblBudget[Recovered_oz],tblBudget[Month],$E109)</f>
        <v/>
      </c>
      <c r="KA109" s="55">
        <f>$JZ109*$C109/$D109</f>
        <v/>
      </c>
      <c r="KB109" s="55">
        <f>SUMIFS(tblBudget[Recovered_oz],tblBudget[Month],"&lt;"&amp;$E109)+$KA109</f>
        <v/>
      </c>
      <c r="KC109" s="55">
        <f>SUMIFS(tblBudget[Milled_t],tblBudget[Month],$E109)</f>
        <v/>
      </c>
      <c r="KD109" s="55">
        <f>$KC109*$C109/$D109</f>
        <v/>
      </c>
      <c r="KE109" s="55">
        <f>SUMIFS(tblBudget[Milled_t],tblBudget[Month],"&lt;"&amp;$E109)+$KD109</f>
        <v/>
      </c>
      <c r="KF109" s="55">
        <f>SUMIFS(tblBudget[Feed_oz],tblBudget[Month],$E109)</f>
        <v/>
      </c>
      <c r="KG109" s="55">
        <f>$KF109*$C109/$D109</f>
        <v/>
      </c>
      <c r="KH109" s="55">
        <f>SUMIFS(tblBudget[Feed_oz],tblBudget[Month],"&lt;"&amp;$E109)+$KG109</f>
        <v/>
      </c>
      <c r="KI109" s="56">
        <f>IFERROR(IF(($KC109)&gt;0,($JW109*cfg_TroyOz)/($KC109),""),"")</f>
        <v/>
      </c>
      <c r="KJ109" s="56">
        <f>IFERROR(IF(($KD109)&gt;0,($JX109*cfg_TroyOz)/($KD109),""),"")</f>
        <v/>
      </c>
      <c r="KK109" s="56">
        <f>IFERROR(IF(($KE109)&gt;0,($JY109*cfg_TroyOz)/($KE109),""),"")</f>
        <v/>
      </c>
      <c r="KL109" s="67">
        <f>IFERROR(IF(($KF109)&gt;0,($JZ109)/($KF109),""),"")</f>
        <v/>
      </c>
      <c r="KM109" s="67">
        <f>IFERROR(IF(($KG109)&gt;0,($KA109)/($KG109),""),"")</f>
        <v/>
      </c>
      <c r="KN109" s="67">
        <f>IFERROR(IF(($KH109)&gt;0,($KB109)/($KH109),""),"")</f>
        <v/>
      </c>
      <c r="KO109" s="55">
        <f>SUMIFS(tblBudget[Gold_Poured_oz],tblBudget[Month],$E109)</f>
        <v/>
      </c>
      <c r="KP109" s="55">
        <f>$KO109*$C109/$D109</f>
        <v/>
      </c>
      <c r="KQ109" s="55">
        <f>SUMIFS(tblBudget[Gold_Poured_oz],tblBudget[Month],"&lt;"&amp;$E109)+$KP109</f>
        <v/>
      </c>
      <c r="KR109" s="57">
        <f>SUMIFS(tblBudget[Hours_Worked],tblBudget[Month],$E109)</f>
        <v/>
      </c>
      <c r="KS109" s="57">
        <f>$KR109*$C109/$D109</f>
        <v/>
      </c>
      <c r="KT109" s="57">
        <f>SUMIFS(tblBudget[Hours_Worked],tblBudget[Month],"&lt;"&amp;$E109)+$KS109</f>
        <v/>
      </c>
    </row>
    <row r="110">
      <c r="A110" s="54" t="n">
        <v>46131</v>
      </c>
      <c r="B110">
        <f>MONTH($A110)</f>
        <v/>
      </c>
      <c r="C110">
        <f>DAY($A110)</f>
        <v/>
      </c>
      <c r="D110">
        <f>DAY(EOMONTH($A110,0))</f>
        <v/>
      </c>
      <c r="E110" s="54">
        <f>DATE(YEAR($A110),MONTH($A110),1)</f>
        <v/>
      </c>
      <c r="F110" s="55">
        <f>SUMIFS(tblMovement[Tonnes_t],tblMovement[Date],$A110,tblMovement[Is_Ore],1,tblMovement[Source_Type],"Pit")</f>
        <v/>
      </c>
      <c r="G110" s="55">
        <f>IF($B110=$B109,$G109,0)+$F110</f>
        <v/>
      </c>
      <c r="H110" s="55">
        <f>$H109+$F110</f>
        <v/>
      </c>
      <c r="I110" s="55">
        <f>SUMIFS(tblMovement[Ore_oz],tblMovement[Date],$A110,tblMovement[Source_Type],"Pit")</f>
        <v/>
      </c>
      <c r="J110" s="55">
        <f>IF($B110=$B109,$J109,0)+$I110</f>
        <v/>
      </c>
      <c r="K110" s="55">
        <f>$K109+$I110</f>
        <v/>
      </c>
      <c r="L110" s="55">
        <f>SUMIFS(tblMovement[Tonnes_t],tblMovement[Date],$A110,tblMovement[Is_Ore],1,tblMovement[Source_Type],"Pit",tblMovement[Grade_gpt],"&lt;&gt;")</f>
        <v/>
      </c>
      <c r="M110" s="55">
        <f>IF($B110=$B109,$M109,0)+$L110</f>
        <v/>
      </c>
      <c r="N110" s="55">
        <f>$N109+$L110</f>
        <v/>
      </c>
      <c r="O110" s="56">
        <f>IFERROR(IF(($L110)&gt;0,($I110*cfg_TroyOz)/($L110),""),"")</f>
        <v/>
      </c>
      <c r="P110" s="56">
        <f>IFERROR(IF(($M110)&gt;0,($J110*cfg_TroyOz)/($M110),""),"")</f>
        <v/>
      </c>
      <c r="Q110" s="56">
        <f>IFERROR(IF(($N110)&gt;0,($K110*cfg_TroyOz)/($N110),""),"")</f>
        <v/>
      </c>
      <c r="R110" s="55">
        <f>$F110-$L110</f>
        <v/>
      </c>
      <c r="S110" s="55">
        <f>IF($B110=$B109,$S109,0)+$R110</f>
        <v/>
      </c>
      <c r="T110" s="55">
        <f>$T109+$R110</f>
        <v/>
      </c>
      <c r="U110" s="55">
        <f>SUMIFS(tblMovement[Tonnes_t],tblMovement[Date],$A110,tblMovement[Is_Ore],0,tblMovement[Source_Type],"Pit")</f>
        <v/>
      </c>
      <c r="V110" s="55">
        <f>IF($B110=$B109,$V109,0)+$U110</f>
        <v/>
      </c>
      <c r="W110" s="55">
        <f>$W109+$U110</f>
        <v/>
      </c>
      <c r="X110" s="55">
        <f>$F110+$U110</f>
        <v/>
      </c>
      <c r="Y110" s="55">
        <f>IF($B110=$B109,$Y109,0)+$X110</f>
        <v/>
      </c>
      <c r="Z110" s="55">
        <f>$Z109+$X110</f>
        <v/>
      </c>
      <c r="AA110" s="56">
        <f>IFERROR(IF(($F110)&gt;0,($U110)/($F110),""),"")</f>
        <v/>
      </c>
      <c r="AB110" s="56">
        <f>IFERROR(IF(($G110)&gt;0,($V110)/($G110),""),"")</f>
        <v/>
      </c>
      <c r="AC110" s="56">
        <f>IFERROR(IF(($H110)&gt;0,($W110)/($H110),""),"")</f>
        <v/>
      </c>
      <c r="AD110" s="55">
        <f>SUMIFS(tblMovement[Tonnes_t],tblMovement[Date],$A110,tblMovement[Source_Type],"Stockpile")</f>
        <v/>
      </c>
      <c r="AE110" s="55">
        <f>IF($B110=$B109,$AE109,0)+$AD110</f>
        <v/>
      </c>
      <c r="AF110" s="55">
        <f>$AF109+$AD110</f>
        <v/>
      </c>
      <c r="AG110" s="55">
        <f>SUMIFS(tblMovement[Tonnes_t],tblMovement[Date],$A110)</f>
        <v/>
      </c>
      <c r="AH110" s="55">
        <f>IF($B110=$B109,$AH109,0)+$AG110</f>
        <v/>
      </c>
      <c r="AI110" s="55">
        <f>$AI109+$AG110</f>
        <v/>
      </c>
      <c r="AJ110" s="55">
        <f>$AG110-$X110-$AD110</f>
        <v/>
      </c>
      <c r="AK110" s="55">
        <f>IF($B110=$B109,$AK109,0)+$AJ110</f>
        <v/>
      </c>
      <c r="AL110" s="55">
        <f>$AL109+$AJ110</f>
        <v/>
      </c>
      <c r="AM110" s="55">
        <f>SUMIFS(tblMiningDaily[Drill_m],tblMiningDaily[Date],$A110)</f>
        <v/>
      </c>
      <c r="AN110" s="55">
        <f>IF($B110=$B109,$AN109,0)+$AM110</f>
        <v/>
      </c>
      <c r="AO110" s="55">
        <f>$AO109+$AM110</f>
        <v/>
      </c>
      <c r="AP110" s="55">
        <f>SUMIFS(tblMiningDaily[GC_Drill_m],tblMiningDaily[Date],$A110)</f>
        <v/>
      </c>
      <c r="AQ110" s="55">
        <f>IF($B110=$B109,$AQ109,0)+$AP110</f>
        <v/>
      </c>
      <c r="AR110" s="55">
        <f>$AR109+$AP110</f>
        <v/>
      </c>
      <c r="AS110" s="55">
        <f>SUMIFS(tblMiningDaily[Blast_t],tblMiningDaily[Date],$A110)</f>
        <v/>
      </c>
      <c r="AT110" s="55">
        <f>IF($B110=$B109,$AT109,0)+$AS110</f>
        <v/>
      </c>
      <c r="AU110" s="55">
        <f>$AU109+$AS110</f>
        <v/>
      </c>
      <c r="AV110" s="55">
        <f>SUMIFS(tblMiningDaily[Explosives_kg],tblMiningDaily[Date],$A110)</f>
        <v/>
      </c>
      <c r="AW110" s="55">
        <f>IF($B110=$B109,$AW109,0)+$AV110</f>
        <v/>
      </c>
      <c r="AX110" s="55">
        <f>$AX109+$AV110</f>
        <v/>
      </c>
      <c r="AY110" s="56">
        <f>IFERROR(IF(($AS110)&gt;0,($AV110)/($AS110),""),"")</f>
        <v/>
      </c>
      <c r="AZ110" s="56">
        <f>IFERROR(IF(($AT110)&gt;0,($AW110)/($AT110),""),"")</f>
        <v/>
      </c>
      <c r="BA110" s="56">
        <f>IFERROR(IF(($AU110)&gt;0,($AX110)/($AU110),""),"")</f>
        <v/>
      </c>
      <c r="BB110" s="55">
        <f>SUMIFS(tblMiningDaily[Diesel_L],tblMiningDaily[Date],$A110)</f>
        <v/>
      </c>
      <c r="BC110" s="55">
        <f>IF($B110=$B109,$BC109,0)+$BB110</f>
        <v/>
      </c>
      <c r="BD110" s="55">
        <f>$BD109+$BB110</f>
        <v/>
      </c>
      <c r="BE110" s="55">
        <f>SUMIFS(tblMiningDaily[Dewatering_m3],tblMiningDaily[Date],$A110)</f>
        <v/>
      </c>
      <c r="BF110" s="55">
        <f>IF($B110=$B109,$BF109,0)+$BE110</f>
        <v/>
      </c>
      <c r="BG110" s="55">
        <f>$BG109+$BE110</f>
        <v/>
      </c>
      <c r="BH110" s="57">
        <f>SUMIFS(tblFleet[Calendar_h],tblFleet[Date],$A110,tblFleet[Equipment_Class],"Excavator")</f>
        <v/>
      </c>
      <c r="BI110" s="57">
        <f>IF($B110=$B109,$BI109,0)+$BH110</f>
        <v/>
      </c>
      <c r="BJ110" s="57">
        <f>$BJ109+$BH110</f>
        <v/>
      </c>
      <c r="BK110" s="57">
        <f>SUMIFS(tblFleet[Available_h],tblFleet[Date],$A110,tblFleet[Equipment_Class],"Excavator")</f>
        <v/>
      </c>
      <c r="BL110" s="57">
        <f>IF($B110=$B109,$BL109,0)+$BK110</f>
        <v/>
      </c>
      <c r="BM110" s="57">
        <f>$BM109+$BK110</f>
        <v/>
      </c>
      <c r="BN110" s="57">
        <f>SUMIFS(tblFleet[Operating_h],tblFleet[Date],$A110,tblFleet[Equipment_Class],"Excavator")</f>
        <v/>
      </c>
      <c r="BO110" s="57">
        <f>IF($B110=$B109,$BO109,0)+$BN110</f>
        <v/>
      </c>
      <c r="BP110" s="57">
        <f>$BP109+$BN110</f>
        <v/>
      </c>
      <c r="BQ110" s="67">
        <f>IFERROR(IF(($BH110)&gt;0,($BK110)/($BH110),""),"")</f>
        <v/>
      </c>
      <c r="BR110" s="67">
        <f>IFERROR(IF(($BI110)&gt;0,($BL110)/($BI110),""),"")</f>
        <v/>
      </c>
      <c r="BS110" s="67">
        <f>IFERROR(IF(($BJ110)&gt;0,($BM110)/($BJ110),""),"")</f>
        <v/>
      </c>
      <c r="BT110" s="67">
        <f>IFERROR(IF(($BK110)&gt;0,($BN110)/($BK110),""),"")</f>
        <v/>
      </c>
      <c r="BU110" s="67">
        <f>IFERROR(IF(($BL110)&gt;0,($BO110)/($BL110),""),"")</f>
        <v/>
      </c>
      <c r="BV110" s="67">
        <f>IFERROR(IF(($BM110)&gt;0,($BP110)/($BM110),""),"")</f>
        <v/>
      </c>
      <c r="BW110" s="57">
        <f>SUMIFS(tblFleet[Calendar_h],tblFleet[Date],$A110,tblFleet[Equipment_Class],"Haul Truck")</f>
        <v/>
      </c>
      <c r="BX110" s="57">
        <f>IF($B110=$B109,$BX109,0)+$BW110</f>
        <v/>
      </c>
      <c r="BY110" s="57">
        <f>$BY109+$BW110</f>
        <v/>
      </c>
      <c r="BZ110" s="57">
        <f>SUMIFS(tblFleet[Available_h],tblFleet[Date],$A110,tblFleet[Equipment_Class],"Haul Truck")</f>
        <v/>
      </c>
      <c r="CA110" s="57">
        <f>IF($B110=$B109,$CA109,0)+$BZ110</f>
        <v/>
      </c>
      <c r="CB110" s="57">
        <f>$CB109+$BZ110</f>
        <v/>
      </c>
      <c r="CC110" s="57">
        <f>SUMIFS(tblFleet[Operating_h],tblFleet[Date],$A110,tblFleet[Equipment_Class],"Haul Truck")</f>
        <v/>
      </c>
      <c r="CD110" s="57">
        <f>IF($B110=$B109,$CD109,0)+$CC110</f>
        <v/>
      </c>
      <c r="CE110" s="57">
        <f>$CE109+$CC110</f>
        <v/>
      </c>
      <c r="CF110" s="67">
        <f>IFERROR(IF(($BW110)&gt;0,($BZ110)/($BW110),""),"")</f>
        <v/>
      </c>
      <c r="CG110" s="67">
        <f>IFERROR(IF(($BX110)&gt;0,($CA110)/($BX110),""),"")</f>
        <v/>
      </c>
      <c r="CH110" s="67">
        <f>IFERROR(IF(($BY110)&gt;0,($CB110)/($BY110),""),"")</f>
        <v/>
      </c>
      <c r="CI110" s="67">
        <f>IFERROR(IF(($BZ110)&gt;0,($CC110)/($BZ110),""),"")</f>
        <v/>
      </c>
      <c r="CJ110" s="67">
        <f>IFERROR(IF(($CA110)&gt;0,($CD110)/($CA110),""),"")</f>
        <v/>
      </c>
      <c r="CK110" s="67">
        <f>IFERROR(IF(($CB110)&gt;0,($CE110)/($CB110),""),"")</f>
        <v/>
      </c>
      <c r="CL110" s="55">
        <f>IFERROR(IF(($BN110)&gt;0,($X110+$AD110)/($BN110),""),"")</f>
        <v/>
      </c>
      <c r="CM110" s="55">
        <f>IFERROR(IF(($BO110)&gt;0,($Y110+$AE110)/($BO110),""),"")</f>
        <v/>
      </c>
      <c r="CN110" s="55">
        <f>IFERROR(IF(($BP110)&gt;0,($Z110+$AF110)/($BP110),""),"")</f>
        <v/>
      </c>
      <c r="CO110" s="55">
        <f>IFERROR(IF(($CC110)&gt;0,($X110+$AD110)/($CC110),""),"")</f>
        <v/>
      </c>
      <c r="CP110" s="55">
        <f>IFERROR(IF(($CD110)&gt;0,($Y110+$AE110)/($CD110),""),"")</f>
        <v/>
      </c>
      <c r="CQ110" s="55">
        <f>IFERROR(IF(($CE110)&gt;0,($Z110+$AF110)/($CE110),""),"")</f>
        <v/>
      </c>
      <c r="CR110" s="55">
        <f>SUMIFS(tblPlant[Crushed_t],tblPlant[Date],$A110)</f>
        <v/>
      </c>
      <c r="CS110" s="55">
        <f>IF($B110=$B109,$CS109,0)+$CR110</f>
        <v/>
      </c>
      <c r="CT110" s="55">
        <f>$CT109+$CR110</f>
        <v/>
      </c>
      <c r="CU110" s="55">
        <f>SUMIFS(tblPlant[Milled_t],tblPlant[Date],$A110)</f>
        <v/>
      </c>
      <c r="CV110" s="55">
        <f>IF($B110=$B109,$CV109,0)+$CU110</f>
        <v/>
      </c>
      <c r="CW110" s="55">
        <f>$CW109+$CU110</f>
        <v/>
      </c>
      <c r="CX110" s="55">
        <f>SUMIFS(tblPlant[Feed_oz],tblPlant[Date],$A110)</f>
        <v/>
      </c>
      <c r="CY110" s="55">
        <f>IF($B110=$B109,$CY109,0)+$CX110</f>
        <v/>
      </c>
      <c r="CZ110" s="55">
        <f>$CZ109+$CX110</f>
        <v/>
      </c>
      <c r="DA110" s="55">
        <f>SUMIFS(tblPlant[Tails_oz],tblPlant[Date],$A110)</f>
        <v/>
      </c>
      <c r="DB110" s="55">
        <f>IF($B110=$B109,$DB109,0)+$DA110</f>
        <v/>
      </c>
      <c r="DC110" s="55">
        <f>$DC109+$DA110</f>
        <v/>
      </c>
      <c r="DD110" s="55">
        <f>SUMIFS(tblPlant[Recovered_oz],tblPlant[Date],$A110)</f>
        <v/>
      </c>
      <c r="DE110" s="55">
        <f>IF($B110=$B109,$DE109,0)+$DD110</f>
        <v/>
      </c>
      <c r="DF110" s="55">
        <f>$DF109+$DD110</f>
        <v/>
      </c>
      <c r="DG110" s="55">
        <f>SUMIFS(tblPlant[Milled_t],tblPlant[Date],$A110,tblPlant[Head_Grade_gpt],"&lt;&gt;")</f>
        <v/>
      </c>
      <c r="DH110" s="55">
        <f>IF($B110=$B109,$DH109,0)+$DG110</f>
        <v/>
      </c>
      <c r="DI110" s="55">
        <f>$DI109+$DG110</f>
        <v/>
      </c>
      <c r="DJ110" s="55">
        <f>SUMIFS(tblPlant[Milled_t],tblPlant[Date],$A110,tblPlant[Tails_Grade_gpt],"&lt;&gt;")</f>
        <v/>
      </c>
      <c r="DK110" s="55">
        <f>IF($B110=$B109,$DK109,0)+$DJ110</f>
        <v/>
      </c>
      <c r="DL110" s="55">
        <f>$DL109+$DJ110</f>
        <v/>
      </c>
      <c r="DM110" s="55">
        <f>SUMIFS(tblPlant[Feed_oz],tblPlant[Date],$A110,tblPlant[Tails_Grade_gpt],"&lt;&gt;")</f>
        <v/>
      </c>
      <c r="DN110" s="55">
        <f>IF($B110=$B109,$DN109,0)+$DM110</f>
        <v/>
      </c>
      <c r="DO110" s="55">
        <f>$DO109+$DM110</f>
        <v/>
      </c>
      <c r="DP110" s="55">
        <f>SUMIFS(tblPlant[Milled_t],tblPlant[Date],$A110,tblPlant[Mill_Run_h],"&lt;&gt;")</f>
        <v/>
      </c>
      <c r="DQ110" s="55">
        <f>IF($B110=$B109,$DQ109,0)+$DP110</f>
        <v/>
      </c>
      <c r="DR110" s="55">
        <f>$DR109+$DP110</f>
        <v/>
      </c>
      <c r="DS110" s="56">
        <f>IFERROR(IF(($DG110)&gt;0,($CX110*cfg_TroyOz)/($DG110),""),"")</f>
        <v/>
      </c>
      <c r="DT110" s="56">
        <f>IFERROR(IF(($DH110)&gt;0,($CY110*cfg_TroyOz)/($DH110),""),"")</f>
        <v/>
      </c>
      <c r="DU110" s="56">
        <f>IFERROR(IF(($DI110)&gt;0,($CZ110*cfg_TroyOz)/($DI110),""),"")</f>
        <v/>
      </c>
      <c r="DV110" s="56">
        <f>IFERROR(IF(($DJ110)&gt;0,($DA110*cfg_TroyOz)/($DJ110),""),"")</f>
        <v/>
      </c>
      <c r="DW110" s="56">
        <f>IFERROR(IF(($DK110)&gt;0,($DB110*cfg_TroyOz)/($DK110),""),"")</f>
        <v/>
      </c>
      <c r="DX110" s="56">
        <f>IFERROR(IF(($DL110)&gt;0,($DC110*cfg_TroyOz)/($DL110),""),"")</f>
        <v/>
      </c>
      <c r="DY110" s="67">
        <f>IFERROR(IF(($DM110)&gt;0,($DD110)/($DM110),""),"")</f>
        <v/>
      </c>
      <c r="DZ110" s="67">
        <f>IFERROR(IF(($DN110)&gt;0,($DE110)/($DN110),""),"")</f>
        <v/>
      </c>
      <c r="EA110" s="67">
        <f>IFERROR(IF(($DO110)&gt;0,($DF110)/($DO110),""),"")</f>
        <v/>
      </c>
      <c r="EB110" s="55">
        <f>SUMIFS(tblPlant[Gravity_Gold_oz],tblPlant[Date],$A110)</f>
        <v/>
      </c>
      <c r="EC110" s="55">
        <f>IF($B110=$B109,$EC109,0)+$EB110</f>
        <v/>
      </c>
      <c r="ED110" s="55">
        <f>$ED109+$EB110</f>
        <v/>
      </c>
      <c r="EE110" s="67">
        <f>IFERROR(IF(($DD110)&gt;0,($EB110)/($DD110),""),"")</f>
        <v/>
      </c>
      <c r="EF110" s="67">
        <f>IFERROR(IF(($DE110)&gt;0,($EC110)/($DE110),""),"")</f>
        <v/>
      </c>
      <c r="EG110" s="67">
        <f>IFERROR(IF(($DF110)&gt;0,($ED110)/($DF110),""),"")</f>
        <v/>
      </c>
      <c r="EH110" s="55">
        <f>SUMIFS(tblPlant[Gold_Poured_oz],tblPlant[Date],$A110)</f>
        <v/>
      </c>
      <c r="EI110" s="55">
        <f>IF($B110=$B109,$EI109,0)+$EH110</f>
        <v/>
      </c>
      <c r="EJ110" s="55">
        <f>$EJ109+$EH110</f>
        <v/>
      </c>
      <c r="EK110" s="57">
        <f>SUMIFS(tblPlant[Mill_Run_h],tblPlant[Date],$A110)</f>
        <v/>
      </c>
      <c r="EL110" s="57">
        <f>IF($B110=$B109,$EL109,0)+$EK110</f>
        <v/>
      </c>
      <c r="EM110" s="57">
        <f>$EM109+$EK110</f>
        <v/>
      </c>
      <c r="EN110" s="57">
        <f>SUMIFS(tblPlant[Mill_Planned_Maint_h],tblPlant[Date],$A110)</f>
        <v/>
      </c>
      <c r="EO110" s="57">
        <f>IF($B110=$B109,$EO109,0)+$EN110</f>
        <v/>
      </c>
      <c r="EP110" s="57">
        <f>$EP109+$EN110</f>
        <v/>
      </c>
      <c r="EQ110" s="57">
        <f>SUMIFS(tblPlant[Mill_Unplanned_Down_h],tblPlant[Date],$A110)</f>
        <v/>
      </c>
      <c r="ER110" s="57">
        <f>IF($B110=$B109,$ER109,0)+$EQ110</f>
        <v/>
      </c>
      <c r="ES110" s="57">
        <f>$ES109+$EQ110</f>
        <v/>
      </c>
      <c r="ET110" s="57">
        <f>IF(COUNTIFS(tblPlant[Date],$A110,tblPlant[Mill_Run_h],"&lt;&gt;")+COUNTIFS(tblPlant[Date],$A110,tblPlant[Mill_Planned_Maint_h],"&lt;&gt;")+COUNTIFS(tblPlant[Date],$A110,tblPlant[Mill_Unplanned_Down_h],"&lt;&gt;")&gt;0,cfg_HoursPerDay,0)</f>
        <v/>
      </c>
      <c r="EU110" s="57">
        <f>IF($B110=$B109,$EU109,0)+$ET110</f>
        <v/>
      </c>
      <c r="EV110" s="57">
        <f>$EV109+$ET110</f>
        <v/>
      </c>
      <c r="EW110" s="57">
        <f>SUMIFS(tblPlant[Crusher_Run_h],tblPlant[Date],$A110)</f>
        <v/>
      </c>
      <c r="EX110" s="57">
        <f>IF($B110=$B109,$EX109,0)+$EW110</f>
        <v/>
      </c>
      <c r="EY110" s="57">
        <f>$EY109+$EW110</f>
        <v/>
      </c>
      <c r="EZ110" s="55">
        <f>IFERROR(IF(($EK110)&gt;0,($DP110)/($EK110),""),"")</f>
        <v/>
      </c>
      <c r="FA110" s="55">
        <f>IFERROR(IF(($EL110)&gt;0,($DQ110)/($EL110),""),"")</f>
        <v/>
      </c>
      <c r="FB110" s="55">
        <f>IFERROR(IF(($EM110)&gt;0,($DR110)/($EM110),""),"")</f>
        <v/>
      </c>
      <c r="FC110" s="67">
        <f>IFERROR(IF(($ET110)&gt;0,($ET110-$EN110-$EQ110)/($ET110),""),"")</f>
        <v/>
      </c>
      <c r="FD110" s="67">
        <f>IFERROR(IF(($EU110)&gt;0,($EU110-$EO110-$ER110)/($EU110),""),"")</f>
        <v/>
      </c>
      <c r="FE110" s="67">
        <f>IFERROR(IF(($EV110)&gt;0,($EV110-$EP110-$ES110)/($EV110),""),"")</f>
        <v/>
      </c>
      <c r="FF110" s="67">
        <f>IFERROR(IF(($ET110-$EN110-$EQ110)&gt;0,($EK110)/($ET110-$EN110-$EQ110),""),"")</f>
        <v/>
      </c>
      <c r="FG110" s="67">
        <f>IFERROR(IF(($EU110-$EO110-$ER110)&gt;0,($EL110)/($EU110-$EO110-$ER110),""),"")</f>
        <v/>
      </c>
      <c r="FH110" s="67">
        <f>IFERROR(IF(($EV110-$EP110-$ES110)&gt;0,($EM110)/($EV110-$EP110-$ES110),""),"")</f>
        <v/>
      </c>
      <c r="FI110" s="55">
        <f>SUMIFS(tblPlant[Cyanide_kg],tblPlant[Date],$A110)</f>
        <v/>
      </c>
      <c r="FJ110" s="55">
        <f>IF($B110=$B109,$FJ109,0)+$FI110</f>
        <v/>
      </c>
      <c r="FK110" s="55">
        <f>$FK109+$FI110</f>
        <v/>
      </c>
      <c r="FL110" s="55">
        <f>SUMIFS(tblPlant[Lime_kg],tblPlant[Date],$A110)</f>
        <v/>
      </c>
      <c r="FM110" s="55">
        <f>IF($B110=$B109,$FM109,0)+$FL110</f>
        <v/>
      </c>
      <c r="FN110" s="55">
        <f>$FN109+$FL110</f>
        <v/>
      </c>
      <c r="FO110" s="55">
        <f>SUMIFS(tblPlant[Grinding_Media_kg],tblPlant[Date],$A110)</f>
        <v/>
      </c>
      <c r="FP110" s="55">
        <f>IF($B110=$B109,$FP109,0)+$FO110</f>
        <v/>
      </c>
      <c r="FQ110" s="55">
        <f>$FQ109+$FO110</f>
        <v/>
      </c>
      <c r="FR110" s="55">
        <f>SUMIFS(tblPlant[Power_kWh],tblPlant[Date],$A110)</f>
        <v/>
      </c>
      <c r="FS110" s="55">
        <f>IF($B110=$B109,$FS109,0)+$FR110</f>
        <v/>
      </c>
      <c r="FT110" s="55">
        <f>$FT109+$FR110</f>
        <v/>
      </c>
      <c r="FU110" s="55">
        <f>SUMIFS(tblPlant[Raw_Water_m3],tblPlant[Date],$A110)</f>
        <v/>
      </c>
      <c r="FV110" s="55">
        <f>IF($B110=$B109,$FV109,0)+$FU110</f>
        <v/>
      </c>
      <c r="FW110" s="55">
        <f>$FW109+$FU110</f>
        <v/>
      </c>
      <c r="FX110" s="56">
        <f>IFERROR(IF(($CU110)&gt;0,($FI110)/($CU110),""),"")</f>
        <v/>
      </c>
      <c r="FY110" s="56">
        <f>IFERROR(IF(($CV110)&gt;0,($FJ110)/($CV110),""),"")</f>
        <v/>
      </c>
      <c r="FZ110" s="56">
        <f>IFERROR(IF(($CW110)&gt;0,($FK110)/($CW110),""),"")</f>
        <v/>
      </c>
      <c r="GA110" s="56">
        <f>IFERROR(IF(($CU110)&gt;0,($FL110)/($CU110),""),"")</f>
        <v/>
      </c>
      <c r="GB110" s="56">
        <f>IFERROR(IF(($CV110)&gt;0,($FM110)/($CV110),""),"")</f>
        <v/>
      </c>
      <c r="GC110" s="56">
        <f>IFERROR(IF(($CW110)&gt;0,($FN110)/($CW110),""),"")</f>
        <v/>
      </c>
      <c r="GD110" s="56">
        <f>IFERROR(IF(($CU110)&gt;0,($FO110)/($CU110),""),"")</f>
        <v/>
      </c>
      <c r="GE110" s="56">
        <f>IFERROR(IF(($CV110)&gt;0,($FP110)/($CV110),""),"")</f>
        <v/>
      </c>
      <c r="GF110" s="56">
        <f>IFERROR(IF(($CW110)&gt;0,($FQ110)/($CW110),""),"")</f>
        <v/>
      </c>
      <c r="GG110" s="79">
        <f>IFERROR(IF(($CU110)&gt;0,($FR110)/($CU110),""),"")</f>
        <v/>
      </c>
      <c r="GH110" s="79">
        <f>IFERROR(IF(($CV110)&gt;0,($FS110)/($CV110),""),"")</f>
        <v/>
      </c>
      <c r="GI110" s="79">
        <f>IFERROR(IF(($CW110)&gt;0,($FT110)/($CW110),""),"")</f>
        <v/>
      </c>
      <c r="GJ110" s="56">
        <f>IFERROR(IF(($CU110)&gt;0,($FU110)/($CU110),""),"")</f>
        <v/>
      </c>
      <c r="GK110" s="56">
        <f>IFERROR(IF(($CV110)&gt;0,($FV110)/($CV110),""),"")</f>
        <v/>
      </c>
      <c r="GL110" s="56">
        <f>IFERROR(IF(($CW110)&gt;0,($FW110)/($CW110),""),"")</f>
        <v/>
      </c>
      <c r="GM110" s="55">
        <f>IF(SUMIFS(tblPlant[GIC_oz],tblPlant[Date],$A110)&gt;0,SUMIFS(tblPlant[GIC_oz],tblPlant[Date],$A110),"")</f>
        <v/>
      </c>
      <c r="GN110" s="55">
        <f>SUMIFS(tblGold[Gold_oz],tblGold[Date],$A110,tblGold[Type],"Shipment")</f>
        <v/>
      </c>
      <c r="GO110" s="55">
        <f>IF($B110=$B109,$GO109,0)+$GN110</f>
        <v/>
      </c>
      <c r="GP110" s="55">
        <f>$GP109+$GN110</f>
        <v/>
      </c>
      <c r="GQ110" s="55">
        <f>SUMIFS(tblGold[Gold_oz],tblGold[Date],$A110,tblGold[Type],"Sale")</f>
        <v/>
      </c>
      <c r="GR110" s="55">
        <f>IF($B110=$B109,$GR109,0)+$GQ110</f>
        <v/>
      </c>
      <c r="GS110" s="55">
        <f>$GS109+$GQ110</f>
        <v/>
      </c>
      <c r="GT110" s="55">
        <f>SUMIFS(tblGold[Dore_kg],tblGold[Date],$A110,tblGold[Type],"Shipment")</f>
        <v/>
      </c>
      <c r="GU110" s="55">
        <f>IF($B110=$B109,$GU109,0)+$GT110</f>
        <v/>
      </c>
      <c r="GV110" s="55">
        <f>$GV109+$GT110</f>
        <v/>
      </c>
      <c r="GW110" s="57">
        <f>SUMIFS(tblSafety[Hours_Total],tblSafety[Date],$A110)</f>
        <v/>
      </c>
      <c r="GX110" s="57">
        <f>IF($B110=$B109,$GX109,0)+$GW110</f>
        <v/>
      </c>
      <c r="GY110" s="57">
        <f>$GY109+$GW110</f>
        <v/>
      </c>
      <c r="GZ110" s="62">
        <f>SUMIFS(tblSafety[Fatality],tblSafety[Date],$A110)</f>
        <v/>
      </c>
      <c r="HA110" s="62">
        <f>IF($B110=$B109,$HA109,0)+$GZ110</f>
        <v/>
      </c>
      <c r="HB110" s="62">
        <f>$HB109+$GZ110</f>
        <v/>
      </c>
      <c r="HC110" s="62">
        <f>SUMIFS(tblSafety[LTI],tblSafety[Date],$A110)</f>
        <v/>
      </c>
      <c r="HD110" s="62">
        <f>IF($B110=$B109,$HD109,0)+$HC110</f>
        <v/>
      </c>
      <c r="HE110" s="62">
        <f>$HE109+$HC110</f>
        <v/>
      </c>
      <c r="HF110" s="62">
        <f>SUMIFS(tblSafety[RWI],tblSafety[Date],$A110)</f>
        <v/>
      </c>
      <c r="HG110" s="62">
        <f>IF($B110=$B109,$HG109,0)+$HF110</f>
        <v/>
      </c>
      <c r="HH110" s="62">
        <f>$HH109+$HF110</f>
        <v/>
      </c>
      <c r="HI110" s="62">
        <f>SUMIFS(tblSafety[MTI],tblSafety[Date],$A110)</f>
        <v/>
      </c>
      <c r="HJ110" s="62">
        <f>IF($B110=$B109,$HJ109,0)+$HI110</f>
        <v/>
      </c>
      <c r="HK110" s="62">
        <f>$HK109+$HI110</f>
        <v/>
      </c>
      <c r="HL110" s="62">
        <f>SUMIFS(tblSafety[FAI],tblSafety[Date],$A110)</f>
        <v/>
      </c>
      <c r="HM110" s="62">
        <f>IF($B110=$B109,$HM109,0)+$HL110</f>
        <v/>
      </c>
      <c r="HN110" s="62">
        <f>$HN109+$HL110</f>
        <v/>
      </c>
      <c r="HO110" s="62">
        <f>SUMIFS(tblSafety[Recordables],tblSafety[Date],$A110)</f>
        <v/>
      </c>
      <c r="HP110" s="62">
        <f>IF($B110=$B109,$HP109,0)+$HO110</f>
        <v/>
      </c>
      <c r="HQ110" s="62">
        <f>$HQ109+$HO110</f>
        <v/>
      </c>
      <c r="HR110" s="62">
        <f>SUMIFS(tblSafety[Near_Miss],tblSafety[Date],$A110)</f>
        <v/>
      </c>
      <c r="HS110" s="62">
        <f>IF($B110=$B109,$HS109,0)+$HR110</f>
        <v/>
      </c>
      <c r="HT110" s="62">
        <f>$HT109+$HR110</f>
        <v/>
      </c>
      <c r="HU110" s="62">
        <f>SUMIFS(tblSafety[Hazard_Reports],tblSafety[Date],$A110)</f>
        <v/>
      </c>
      <c r="HV110" s="62">
        <f>IF($B110=$B109,$HV109,0)+$HU110</f>
        <v/>
      </c>
      <c r="HW110" s="62">
        <f>$HW109+$HU110</f>
        <v/>
      </c>
      <c r="HX110" s="62">
        <f>SUMIFS(tblSafety[HPI],tblSafety[Date],$A110)</f>
        <v/>
      </c>
      <c r="HY110" s="62">
        <f>IF($B110=$B109,$HY109,0)+$HX110</f>
        <v/>
      </c>
      <c r="HZ110" s="62">
        <f>$HZ109+$HX110</f>
        <v/>
      </c>
      <c r="IA110" s="62">
        <f>SUMIFS(tblSafety[Env_Incidents],tblSafety[Date],$A110)</f>
        <v/>
      </c>
      <c r="IB110" s="62">
        <f>IF($B110=$B109,$IB109,0)+$IA110</f>
        <v/>
      </c>
      <c r="IC110" s="62">
        <f>$IC109+$IA110</f>
        <v/>
      </c>
      <c r="ID110" s="62">
        <f>SUMIFS(tblSafety[Community_Incidents],tblSafety[Date],$A110)</f>
        <v/>
      </c>
      <c r="IE110" s="62">
        <f>IF($B110=$B109,$IE109,0)+$ID110</f>
        <v/>
      </c>
      <c r="IF110" s="62">
        <f>$IF109+$ID110</f>
        <v/>
      </c>
      <c r="IG110" s="62">
        <f>SUMIFS(tblSafety[Vehicle_Incidents],tblSafety[Date],$A110)</f>
        <v/>
      </c>
      <c r="IH110" s="62">
        <f>IF($B110=$B109,$IH109,0)+$IG110</f>
        <v/>
      </c>
      <c r="II110" s="62">
        <f>$II109+$IG110</f>
        <v/>
      </c>
      <c r="IJ110" s="62">
        <f>SUMIFS(tblSafety[Toolbox_Talks],tblSafety[Date],$A110)</f>
        <v/>
      </c>
      <c r="IK110" s="62">
        <f>IF($B110=$B109,$IK109,0)+$IJ110</f>
        <v/>
      </c>
      <c r="IL110" s="62">
        <f>$IL109+$IJ110</f>
        <v/>
      </c>
      <c r="IM110" s="62">
        <f>SUMIFS(tblSafety[Inspections],tblSafety[Date],$A110)</f>
        <v/>
      </c>
      <c r="IN110" s="62">
        <f>IF($B110=$B109,$IN109,0)+$IM110</f>
        <v/>
      </c>
      <c r="IO110" s="62">
        <f>$IO109+$IM110</f>
        <v/>
      </c>
      <c r="IP110" s="56">
        <f>IFERROR((SUMIFS(tblSafety[Recordables],tblSafety[Date],"&gt;="&amp;EDATE($E110,-12),tblSafety[Date],"&lt;="&amp;$A110)+SUMIFS(tblSafetyHistory[Recordables],tblSafetyHistory[Month],"&gt;="&amp;EDATE($E110,-12),tblSafetyHistory[Month],"&lt;"&amp;$E110,tblSafetyHistory[Use],1))/(SUMIFS(tblSafety[Hours_Total],tblSafety[Date],"&gt;="&amp;EDATE($E110,-12),tblSafety[Date],"&lt;="&amp;$A110)+SUMIFS(tblSafetyHistory[Hours_Total],tblSafetyHistory[Month],"&gt;="&amp;EDATE($E110,-12),tblSafetyHistory[Month],"&lt;"&amp;$E110,tblSafetyHistory[Use],1))*cfg_RateBasisHours,"")</f>
        <v/>
      </c>
      <c r="IQ110" s="56">
        <f>IFERROR((SUMIFS(tblSafety[LTI],tblSafety[Date],"&gt;="&amp;EDATE($E110,-12),tblSafety[Date],"&lt;="&amp;$A110)+SUMIFS(tblSafetyHistory[LTI],tblSafetyHistory[Month],"&gt;="&amp;EDATE($E110,-12),tblSafetyHistory[Month],"&lt;"&amp;$E110,tblSafetyHistory[Use],1))/(SUMIFS(tblSafety[Hours_Total],tblSafety[Date],"&gt;="&amp;EDATE($E110,-12),tblSafety[Date],"&lt;="&amp;$A110)+SUMIFS(tblSafetyHistory[Hours_Total],tblSafetyHistory[Month],"&gt;="&amp;EDATE($E110,-12),tblSafetyHistory[Month],"&lt;"&amp;$E110,tblSafetyHistory[Use],1))*cfg_RateBasisHours,"")</f>
        <v/>
      </c>
      <c r="IR110" s="62">
        <f>IF(MAX(N(cfg_PriorLTIDate),_xlfn.MAXIFS(tblSafety[Date],tblSafety[LTI],"&gt;0",tblSafety[Date],"&lt;="&amp;$A110))=0,"",$A110-MAX(N(cfg_PriorLTIDate),_xlfn.MAXIFS(tblSafety[Date],tblSafety[LTI],"&gt;0",tblSafety[Date],"&lt;="&amp;$A110)))</f>
        <v/>
      </c>
      <c r="IS110" s="55">
        <f>SUMIFS(tblBudget[Ore_Mined_t],tblBudget[Month],$E110)</f>
        <v/>
      </c>
      <c r="IT110" s="55">
        <f>$IS110*$C110/$D110</f>
        <v/>
      </c>
      <c r="IU110" s="55">
        <f>SUMIFS(tblBudget[Ore_Mined_t],tblBudget[Month],"&lt;"&amp;$E110)+$IT110</f>
        <v/>
      </c>
      <c r="IV110" s="55">
        <f>SUMIFS(tblBudget[Ore_oz],tblBudget[Month],$E110)</f>
        <v/>
      </c>
      <c r="IW110" s="55">
        <f>$IV110*$C110/$D110</f>
        <v/>
      </c>
      <c r="IX110" s="55">
        <f>SUMIFS(tblBudget[Ore_oz],tblBudget[Month],"&lt;"&amp;$E110)+$IW110</f>
        <v/>
      </c>
      <c r="IY110" s="55">
        <f>SUMIFS(tblBudget[Ore_Mined_t],tblBudget[Month],$E110)</f>
        <v/>
      </c>
      <c r="IZ110" s="55">
        <f>$IY110*$C110/$D110</f>
        <v/>
      </c>
      <c r="JA110" s="55">
        <f>SUMIFS(tblBudget[Ore_Mined_t],tblBudget[Month],"&lt;"&amp;$E110)+$IZ110</f>
        <v/>
      </c>
      <c r="JB110" s="56">
        <f>IFERROR(IF(($IY110)&gt;0,($IV110*cfg_TroyOz)/($IY110),""),"")</f>
        <v/>
      </c>
      <c r="JC110" s="56">
        <f>IFERROR(IF(($IZ110)&gt;0,($IW110*cfg_TroyOz)/($IZ110),""),"")</f>
        <v/>
      </c>
      <c r="JD110" s="56">
        <f>IFERROR(IF(($JA110)&gt;0,($IX110*cfg_TroyOz)/($JA110),""),"")</f>
        <v/>
      </c>
      <c r="JE110" s="55">
        <f>SUMIFS(tblBudget[Waste_t],tblBudget[Month],$E110)</f>
        <v/>
      </c>
      <c r="JF110" s="55">
        <f>$JE110*$C110/$D110</f>
        <v/>
      </c>
      <c r="JG110" s="55">
        <f>SUMIFS(tblBudget[Waste_t],tblBudget[Month],"&lt;"&amp;$E110)+$JF110</f>
        <v/>
      </c>
      <c r="JH110" s="55">
        <f>SUMIFS(tblBudget[TMM_t],tblBudget[Month],$E110)</f>
        <v/>
      </c>
      <c r="JI110" s="55">
        <f>$JH110*$C110/$D110</f>
        <v/>
      </c>
      <c r="JJ110" s="55">
        <f>SUMIFS(tblBudget[TMM_t],tblBudget[Month],"&lt;"&amp;$E110)+$JI110</f>
        <v/>
      </c>
      <c r="JK110" s="56">
        <f>IFERROR(IF(($IS110)&gt;0,($JE110)/($IS110),""),"")</f>
        <v/>
      </c>
      <c r="JL110" s="56">
        <f>IFERROR(IF(($IT110)&gt;0,($JF110)/($IT110),""),"")</f>
        <v/>
      </c>
      <c r="JM110" s="56">
        <f>IFERROR(IF(($IU110)&gt;0,($JG110)/($IU110),""),"")</f>
        <v/>
      </c>
      <c r="JN110" s="55">
        <f>SUMIFS(tblBudget[Drill_m],tblBudget[Month],$E110)</f>
        <v/>
      </c>
      <c r="JO110" s="55">
        <f>$JN110*$C110/$D110</f>
        <v/>
      </c>
      <c r="JP110" s="55">
        <f>SUMIFS(tblBudget[Drill_m],tblBudget[Month],"&lt;"&amp;$E110)+$JO110</f>
        <v/>
      </c>
      <c r="JQ110" s="55">
        <f>SUMIFS(tblBudget[Diesel_L],tblBudget[Month],$E110)</f>
        <v/>
      </c>
      <c r="JR110" s="55">
        <f>$JQ110*$C110/$D110</f>
        <v/>
      </c>
      <c r="JS110" s="55">
        <f>SUMIFS(tblBudget[Diesel_L],tblBudget[Month],"&lt;"&amp;$E110)+$JR110</f>
        <v/>
      </c>
      <c r="JT110" s="55">
        <f>SUMIFS(tblBudget[Milled_t],tblBudget[Month],$E110)</f>
        <v/>
      </c>
      <c r="JU110" s="55">
        <f>$JT110*$C110/$D110</f>
        <v/>
      </c>
      <c r="JV110" s="55">
        <f>SUMIFS(tblBudget[Milled_t],tblBudget[Month],"&lt;"&amp;$E110)+$JU110</f>
        <v/>
      </c>
      <c r="JW110" s="55">
        <f>SUMIFS(tblBudget[Feed_oz],tblBudget[Month],$E110)</f>
        <v/>
      </c>
      <c r="JX110" s="55">
        <f>$JW110*$C110/$D110</f>
        <v/>
      </c>
      <c r="JY110" s="55">
        <f>SUMIFS(tblBudget[Feed_oz],tblBudget[Month],"&lt;"&amp;$E110)+$JX110</f>
        <v/>
      </c>
      <c r="JZ110" s="55">
        <f>SUMIFS(tblBudget[Recovered_oz],tblBudget[Month],$E110)</f>
        <v/>
      </c>
      <c r="KA110" s="55">
        <f>$JZ110*$C110/$D110</f>
        <v/>
      </c>
      <c r="KB110" s="55">
        <f>SUMIFS(tblBudget[Recovered_oz],tblBudget[Month],"&lt;"&amp;$E110)+$KA110</f>
        <v/>
      </c>
      <c r="KC110" s="55">
        <f>SUMIFS(tblBudget[Milled_t],tblBudget[Month],$E110)</f>
        <v/>
      </c>
      <c r="KD110" s="55">
        <f>$KC110*$C110/$D110</f>
        <v/>
      </c>
      <c r="KE110" s="55">
        <f>SUMIFS(tblBudget[Milled_t],tblBudget[Month],"&lt;"&amp;$E110)+$KD110</f>
        <v/>
      </c>
      <c r="KF110" s="55">
        <f>SUMIFS(tblBudget[Feed_oz],tblBudget[Month],$E110)</f>
        <v/>
      </c>
      <c r="KG110" s="55">
        <f>$KF110*$C110/$D110</f>
        <v/>
      </c>
      <c r="KH110" s="55">
        <f>SUMIFS(tblBudget[Feed_oz],tblBudget[Month],"&lt;"&amp;$E110)+$KG110</f>
        <v/>
      </c>
      <c r="KI110" s="56">
        <f>IFERROR(IF(($KC110)&gt;0,($JW110*cfg_TroyOz)/($KC110),""),"")</f>
        <v/>
      </c>
      <c r="KJ110" s="56">
        <f>IFERROR(IF(($KD110)&gt;0,($JX110*cfg_TroyOz)/($KD110),""),"")</f>
        <v/>
      </c>
      <c r="KK110" s="56">
        <f>IFERROR(IF(($KE110)&gt;0,($JY110*cfg_TroyOz)/($KE110),""),"")</f>
        <v/>
      </c>
      <c r="KL110" s="67">
        <f>IFERROR(IF(($KF110)&gt;0,($JZ110)/($KF110),""),"")</f>
        <v/>
      </c>
      <c r="KM110" s="67">
        <f>IFERROR(IF(($KG110)&gt;0,($KA110)/($KG110),""),"")</f>
        <v/>
      </c>
      <c r="KN110" s="67">
        <f>IFERROR(IF(($KH110)&gt;0,($KB110)/($KH110),""),"")</f>
        <v/>
      </c>
      <c r="KO110" s="55">
        <f>SUMIFS(tblBudget[Gold_Poured_oz],tblBudget[Month],$E110)</f>
        <v/>
      </c>
      <c r="KP110" s="55">
        <f>$KO110*$C110/$D110</f>
        <v/>
      </c>
      <c r="KQ110" s="55">
        <f>SUMIFS(tblBudget[Gold_Poured_oz],tblBudget[Month],"&lt;"&amp;$E110)+$KP110</f>
        <v/>
      </c>
      <c r="KR110" s="57">
        <f>SUMIFS(tblBudget[Hours_Worked],tblBudget[Month],$E110)</f>
        <v/>
      </c>
      <c r="KS110" s="57">
        <f>$KR110*$C110/$D110</f>
        <v/>
      </c>
      <c r="KT110" s="57">
        <f>SUMIFS(tblBudget[Hours_Worked],tblBudget[Month],"&lt;"&amp;$E110)+$KS110</f>
        <v/>
      </c>
    </row>
    <row r="111">
      <c r="A111" s="54" t="n">
        <v>46132</v>
      </c>
      <c r="B111">
        <f>MONTH($A111)</f>
        <v/>
      </c>
      <c r="C111">
        <f>DAY($A111)</f>
        <v/>
      </c>
      <c r="D111">
        <f>DAY(EOMONTH($A111,0))</f>
        <v/>
      </c>
      <c r="E111" s="54">
        <f>DATE(YEAR($A111),MONTH($A111),1)</f>
        <v/>
      </c>
      <c r="F111" s="55">
        <f>SUMIFS(tblMovement[Tonnes_t],tblMovement[Date],$A111,tblMovement[Is_Ore],1,tblMovement[Source_Type],"Pit")</f>
        <v/>
      </c>
      <c r="G111" s="55">
        <f>IF($B111=$B110,$G110,0)+$F111</f>
        <v/>
      </c>
      <c r="H111" s="55">
        <f>$H110+$F111</f>
        <v/>
      </c>
      <c r="I111" s="55">
        <f>SUMIFS(tblMovement[Ore_oz],tblMovement[Date],$A111,tblMovement[Source_Type],"Pit")</f>
        <v/>
      </c>
      <c r="J111" s="55">
        <f>IF($B111=$B110,$J110,0)+$I111</f>
        <v/>
      </c>
      <c r="K111" s="55">
        <f>$K110+$I111</f>
        <v/>
      </c>
      <c r="L111" s="55">
        <f>SUMIFS(tblMovement[Tonnes_t],tblMovement[Date],$A111,tblMovement[Is_Ore],1,tblMovement[Source_Type],"Pit",tblMovement[Grade_gpt],"&lt;&gt;")</f>
        <v/>
      </c>
      <c r="M111" s="55">
        <f>IF($B111=$B110,$M110,0)+$L111</f>
        <v/>
      </c>
      <c r="N111" s="55">
        <f>$N110+$L111</f>
        <v/>
      </c>
      <c r="O111" s="56">
        <f>IFERROR(IF(($L111)&gt;0,($I111*cfg_TroyOz)/($L111),""),"")</f>
        <v/>
      </c>
      <c r="P111" s="56">
        <f>IFERROR(IF(($M111)&gt;0,($J111*cfg_TroyOz)/($M111),""),"")</f>
        <v/>
      </c>
      <c r="Q111" s="56">
        <f>IFERROR(IF(($N111)&gt;0,($K111*cfg_TroyOz)/($N111),""),"")</f>
        <v/>
      </c>
      <c r="R111" s="55">
        <f>$F111-$L111</f>
        <v/>
      </c>
      <c r="S111" s="55">
        <f>IF($B111=$B110,$S110,0)+$R111</f>
        <v/>
      </c>
      <c r="T111" s="55">
        <f>$T110+$R111</f>
        <v/>
      </c>
      <c r="U111" s="55">
        <f>SUMIFS(tblMovement[Tonnes_t],tblMovement[Date],$A111,tblMovement[Is_Ore],0,tblMovement[Source_Type],"Pit")</f>
        <v/>
      </c>
      <c r="V111" s="55">
        <f>IF($B111=$B110,$V110,0)+$U111</f>
        <v/>
      </c>
      <c r="W111" s="55">
        <f>$W110+$U111</f>
        <v/>
      </c>
      <c r="X111" s="55">
        <f>$F111+$U111</f>
        <v/>
      </c>
      <c r="Y111" s="55">
        <f>IF($B111=$B110,$Y110,0)+$X111</f>
        <v/>
      </c>
      <c r="Z111" s="55">
        <f>$Z110+$X111</f>
        <v/>
      </c>
      <c r="AA111" s="56">
        <f>IFERROR(IF(($F111)&gt;0,($U111)/($F111),""),"")</f>
        <v/>
      </c>
      <c r="AB111" s="56">
        <f>IFERROR(IF(($G111)&gt;0,($V111)/($G111),""),"")</f>
        <v/>
      </c>
      <c r="AC111" s="56">
        <f>IFERROR(IF(($H111)&gt;0,($W111)/($H111),""),"")</f>
        <v/>
      </c>
      <c r="AD111" s="55">
        <f>SUMIFS(tblMovement[Tonnes_t],tblMovement[Date],$A111,tblMovement[Source_Type],"Stockpile")</f>
        <v/>
      </c>
      <c r="AE111" s="55">
        <f>IF($B111=$B110,$AE110,0)+$AD111</f>
        <v/>
      </c>
      <c r="AF111" s="55">
        <f>$AF110+$AD111</f>
        <v/>
      </c>
      <c r="AG111" s="55">
        <f>SUMIFS(tblMovement[Tonnes_t],tblMovement[Date],$A111)</f>
        <v/>
      </c>
      <c r="AH111" s="55">
        <f>IF($B111=$B110,$AH110,0)+$AG111</f>
        <v/>
      </c>
      <c r="AI111" s="55">
        <f>$AI110+$AG111</f>
        <v/>
      </c>
      <c r="AJ111" s="55">
        <f>$AG111-$X111-$AD111</f>
        <v/>
      </c>
      <c r="AK111" s="55">
        <f>IF($B111=$B110,$AK110,0)+$AJ111</f>
        <v/>
      </c>
      <c r="AL111" s="55">
        <f>$AL110+$AJ111</f>
        <v/>
      </c>
      <c r="AM111" s="55">
        <f>SUMIFS(tblMiningDaily[Drill_m],tblMiningDaily[Date],$A111)</f>
        <v/>
      </c>
      <c r="AN111" s="55">
        <f>IF($B111=$B110,$AN110,0)+$AM111</f>
        <v/>
      </c>
      <c r="AO111" s="55">
        <f>$AO110+$AM111</f>
        <v/>
      </c>
      <c r="AP111" s="55">
        <f>SUMIFS(tblMiningDaily[GC_Drill_m],tblMiningDaily[Date],$A111)</f>
        <v/>
      </c>
      <c r="AQ111" s="55">
        <f>IF($B111=$B110,$AQ110,0)+$AP111</f>
        <v/>
      </c>
      <c r="AR111" s="55">
        <f>$AR110+$AP111</f>
        <v/>
      </c>
      <c r="AS111" s="55">
        <f>SUMIFS(tblMiningDaily[Blast_t],tblMiningDaily[Date],$A111)</f>
        <v/>
      </c>
      <c r="AT111" s="55">
        <f>IF($B111=$B110,$AT110,0)+$AS111</f>
        <v/>
      </c>
      <c r="AU111" s="55">
        <f>$AU110+$AS111</f>
        <v/>
      </c>
      <c r="AV111" s="55">
        <f>SUMIFS(tblMiningDaily[Explosives_kg],tblMiningDaily[Date],$A111)</f>
        <v/>
      </c>
      <c r="AW111" s="55">
        <f>IF($B111=$B110,$AW110,0)+$AV111</f>
        <v/>
      </c>
      <c r="AX111" s="55">
        <f>$AX110+$AV111</f>
        <v/>
      </c>
      <c r="AY111" s="56">
        <f>IFERROR(IF(($AS111)&gt;0,($AV111)/($AS111),""),"")</f>
        <v/>
      </c>
      <c r="AZ111" s="56">
        <f>IFERROR(IF(($AT111)&gt;0,($AW111)/($AT111),""),"")</f>
        <v/>
      </c>
      <c r="BA111" s="56">
        <f>IFERROR(IF(($AU111)&gt;0,($AX111)/($AU111),""),"")</f>
        <v/>
      </c>
      <c r="BB111" s="55">
        <f>SUMIFS(tblMiningDaily[Diesel_L],tblMiningDaily[Date],$A111)</f>
        <v/>
      </c>
      <c r="BC111" s="55">
        <f>IF($B111=$B110,$BC110,0)+$BB111</f>
        <v/>
      </c>
      <c r="BD111" s="55">
        <f>$BD110+$BB111</f>
        <v/>
      </c>
      <c r="BE111" s="55">
        <f>SUMIFS(tblMiningDaily[Dewatering_m3],tblMiningDaily[Date],$A111)</f>
        <v/>
      </c>
      <c r="BF111" s="55">
        <f>IF($B111=$B110,$BF110,0)+$BE111</f>
        <v/>
      </c>
      <c r="BG111" s="55">
        <f>$BG110+$BE111</f>
        <v/>
      </c>
      <c r="BH111" s="57">
        <f>SUMIFS(tblFleet[Calendar_h],tblFleet[Date],$A111,tblFleet[Equipment_Class],"Excavator")</f>
        <v/>
      </c>
      <c r="BI111" s="57">
        <f>IF($B111=$B110,$BI110,0)+$BH111</f>
        <v/>
      </c>
      <c r="BJ111" s="57">
        <f>$BJ110+$BH111</f>
        <v/>
      </c>
      <c r="BK111" s="57">
        <f>SUMIFS(tblFleet[Available_h],tblFleet[Date],$A111,tblFleet[Equipment_Class],"Excavator")</f>
        <v/>
      </c>
      <c r="BL111" s="57">
        <f>IF($B111=$B110,$BL110,0)+$BK111</f>
        <v/>
      </c>
      <c r="BM111" s="57">
        <f>$BM110+$BK111</f>
        <v/>
      </c>
      <c r="BN111" s="57">
        <f>SUMIFS(tblFleet[Operating_h],tblFleet[Date],$A111,tblFleet[Equipment_Class],"Excavator")</f>
        <v/>
      </c>
      <c r="BO111" s="57">
        <f>IF($B111=$B110,$BO110,0)+$BN111</f>
        <v/>
      </c>
      <c r="BP111" s="57">
        <f>$BP110+$BN111</f>
        <v/>
      </c>
      <c r="BQ111" s="67">
        <f>IFERROR(IF(($BH111)&gt;0,($BK111)/($BH111),""),"")</f>
        <v/>
      </c>
      <c r="BR111" s="67">
        <f>IFERROR(IF(($BI111)&gt;0,($BL111)/($BI111),""),"")</f>
        <v/>
      </c>
      <c r="BS111" s="67">
        <f>IFERROR(IF(($BJ111)&gt;0,($BM111)/($BJ111),""),"")</f>
        <v/>
      </c>
      <c r="BT111" s="67">
        <f>IFERROR(IF(($BK111)&gt;0,($BN111)/($BK111),""),"")</f>
        <v/>
      </c>
      <c r="BU111" s="67">
        <f>IFERROR(IF(($BL111)&gt;0,($BO111)/($BL111),""),"")</f>
        <v/>
      </c>
      <c r="BV111" s="67">
        <f>IFERROR(IF(($BM111)&gt;0,($BP111)/($BM111),""),"")</f>
        <v/>
      </c>
      <c r="BW111" s="57">
        <f>SUMIFS(tblFleet[Calendar_h],tblFleet[Date],$A111,tblFleet[Equipment_Class],"Haul Truck")</f>
        <v/>
      </c>
      <c r="BX111" s="57">
        <f>IF($B111=$B110,$BX110,0)+$BW111</f>
        <v/>
      </c>
      <c r="BY111" s="57">
        <f>$BY110+$BW111</f>
        <v/>
      </c>
      <c r="BZ111" s="57">
        <f>SUMIFS(tblFleet[Available_h],tblFleet[Date],$A111,tblFleet[Equipment_Class],"Haul Truck")</f>
        <v/>
      </c>
      <c r="CA111" s="57">
        <f>IF($B111=$B110,$CA110,0)+$BZ111</f>
        <v/>
      </c>
      <c r="CB111" s="57">
        <f>$CB110+$BZ111</f>
        <v/>
      </c>
      <c r="CC111" s="57">
        <f>SUMIFS(tblFleet[Operating_h],tblFleet[Date],$A111,tblFleet[Equipment_Class],"Haul Truck")</f>
        <v/>
      </c>
      <c r="CD111" s="57">
        <f>IF($B111=$B110,$CD110,0)+$CC111</f>
        <v/>
      </c>
      <c r="CE111" s="57">
        <f>$CE110+$CC111</f>
        <v/>
      </c>
      <c r="CF111" s="67">
        <f>IFERROR(IF(($BW111)&gt;0,($BZ111)/($BW111),""),"")</f>
        <v/>
      </c>
      <c r="CG111" s="67">
        <f>IFERROR(IF(($BX111)&gt;0,($CA111)/($BX111),""),"")</f>
        <v/>
      </c>
      <c r="CH111" s="67">
        <f>IFERROR(IF(($BY111)&gt;0,($CB111)/($BY111),""),"")</f>
        <v/>
      </c>
      <c r="CI111" s="67">
        <f>IFERROR(IF(($BZ111)&gt;0,($CC111)/($BZ111),""),"")</f>
        <v/>
      </c>
      <c r="CJ111" s="67">
        <f>IFERROR(IF(($CA111)&gt;0,($CD111)/($CA111),""),"")</f>
        <v/>
      </c>
      <c r="CK111" s="67">
        <f>IFERROR(IF(($CB111)&gt;0,($CE111)/($CB111),""),"")</f>
        <v/>
      </c>
      <c r="CL111" s="55">
        <f>IFERROR(IF(($BN111)&gt;0,($X111+$AD111)/($BN111),""),"")</f>
        <v/>
      </c>
      <c r="CM111" s="55">
        <f>IFERROR(IF(($BO111)&gt;0,($Y111+$AE111)/($BO111),""),"")</f>
        <v/>
      </c>
      <c r="CN111" s="55">
        <f>IFERROR(IF(($BP111)&gt;0,($Z111+$AF111)/($BP111),""),"")</f>
        <v/>
      </c>
      <c r="CO111" s="55">
        <f>IFERROR(IF(($CC111)&gt;0,($X111+$AD111)/($CC111),""),"")</f>
        <v/>
      </c>
      <c r="CP111" s="55">
        <f>IFERROR(IF(($CD111)&gt;0,($Y111+$AE111)/($CD111),""),"")</f>
        <v/>
      </c>
      <c r="CQ111" s="55">
        <f>IFERROR(IF(($CE111)&gt;0,($Z111+$AF111)/($CE111),""),"")</f>
        <v/>
      </c>
      <c r="CR111" s="55">
        <f>SUMIFS(tblPlant[Crushed_t],tblPlant[Date],$A111)</f>
        <v/>
      </c>
      <c r="CS111" s="55">
        <f>IF($B111=$B110,$CS110,0)+$CR111</f>
        <v/>
      </c>
      <c r="CT111" s="55">
        <f>$CT110+$CR111</f>
        <v/>
      </c>
      <c r="CU111" s="55">
        <f>SUMIFS(tblPlant[Milled_t],tblPlant[Date],$A111)</f>
        <v/>
      </c>
      <c r="CV111" s="55">
        <f>IF($B111=$B110,$CV110,0)+$CU111</f>
        <v/>
      </c>
      <c r="CW111" s="55">
        <f>$CW110+$CU111</f>
        <v/>
      </c>
      <c r="CX111" s="55">
        <f>SUMIFS(tblPlant[Feed_oz],tblPlant[Date],$A111)</f>
        <v/>
      </c>
      <c r="CY111" s="55">
        <f>IF($B111=$B110,$CY110,0)+$CX111</f>
        <v/>
      </c>
      <c r="CZ111" s="55">
        <f>$CZ110+$CX111</f>
        <v/>
      </c>
      <c r="DA111" s="55">
        <f>SUMIFS(tblPlant[Tails_oz],tblPlant[Date],$A111)</f>
        <v/>
      </c>
      <c r="DB111" s="55">
        <f>IF($B111=$B110,$DB110,0)+$DA111</f>
        <v/>
      </c>
      <c r="DC111" s="55">
        <f>$DC110+$DA111</f>
        <v/>
      </c>
      <c r="DD111" s="55">
        <f>SUMIFS(tblPlant[Recovered_oz],tblPlant[Date],$A111)</f>
        <v/>
      </c>
      <c r="DE111" s="55">
        <f>IF($B111=$B110,$DE110,0)+$DD111</f>
        <v/>
      </c>
      <c r="DF111" s="55">
        <f>$DF110+$DD111</f>
        <v/>
      </c>
      <c r="DG111" s="55">
        <f>SUMIFS(tblPlant[Milled_t],tblPlant[Date],$A111,tblPlant[Head_Grade_gpt],"&lt;&gt;")</f>
        <v/>
      </c>
      <c r="DH111" s="55">
        <f>IF($B111=$B110,$DH110,0)+$DG111</f>
        <v/>
      </c>
      <c r="DI111" s="55">
        <f>$DI110+$DG111</f>
        <v/>
      </c>
      <c r="DJ111" s="55">
        <f>SUMIFS(tblPlant[Milled_t],tblPlant[Date],$A111,tblPlant[Tails_Grade_gpt],"&lt;&gt;")</f>
        <v/>
      </c>
      <c r="DK111" s="55">
        <f>IF($B111=$B110,$DK110,0)+$DJ111</f>
        <v/>
      </c>
      <c r="DL111" s="55">
        <f>$DL110+$DJ111</f>
        <v/>
      </c>
      <c r="DM111" s="55">
        <f>SUMIFS(tblPlant[Feed_oz],tblPlant[Date],$A111,tblPlant[Tails_Grade_gpt],"&lt;&gt;")</f>
        <v/>
      </c>
      <c r="DN111" s="55">
        <f>IF($B111=$B110,$DN110,0)+$DM111</f>
        <v/>
      </c>
      <c r="DO111" s="55">
        <f>$DO110+$DM111</f>
        <v/>
      </c>
      <c r="DP111" s="55">
        <f>SUMIFS(tblPlant[Milled_t],tblPlant[Date],$A111,tblPlant[Mill_Run_h],"&lt;&gt;")</f>
        <v/>
      </c>
      <c r="DQ111" s="55">
        <f>IF($B111=$B110,$DQ110,0)+$DP111</f>
        <v/>
      </c>
      <c r="DR111" s="55">
        <f>$DR110+$DP111</f>
        <v/>
      </c>
      <c r="DS111" s="56">
        <f>IFERROR(IF(($DG111)&gt;0,($CX111*cfg_TroyOz)/($DG111),""),"")</f>
        <v/>
      </c>
      <c r="DT111" s="56">
        <f>IFERROR(IF(($DH111)&gt;0,($CY111*cfg_TroyOz)/($DH111),""),"")</f>
        <v/>
      </c>
      <c r="DU111" s="56">
        <f>IFERROR(IF(($DI111)&gt;0,($CZ111*cfg_TroyOz)/($DI111),""),"")</f>
        <v/>
      </c>
      <c r="DV111" s="56">
        <f>IFERROR(IF(($DJ111)&gt;0,($DA111*cfg_TroyOz)/($DJ111),""),"")</f>
        <v/>
      </c>
      <c r="DW111" s="56">
        <f>IFERROR(IF(($DK111)&gt;0,($DB111*cfg_TroyOz)/($DK111),""),"")</f>
        <v/>
      </c>
      <c r="DX111" s="56">
        <f>IFERROR(IF(($DL111)&gt;0,($DC111*cfg_TroyOz)/($DL111),""),"")</f>
        <v/>
      </c>
      <c r="DY111" s="67">
        <f>IFERROR(IF(($DM111)&gt;0,($DD111)/($DM111),""),"")</f>
        <v/>
      </c>
      <c r="DZ111" s="67">
        <f>IFERROR(IF(($DN111)&gt;0,($DE111)/($DN111),""),"")</f>
        <v/>
      </c>
      <c r="EA111" s="67">
        <f>IFERROR(IF(($DO111)&gt;0,($DF111)/($DO111),""),"")</f>
        <v/>
      </c>
      <c r="EB111" s="55">
        <f>SUMIFS(tblPlant[Gravity_Gold_oz],tblPlant[Date],$A111)</f>
        <v/>
      </c>
      <c r="EC111" s="55">
        <f>IF($B111=$B110,$EC110,0)+$EB111</f>
        <v/>
      </c>
      <c r="ED111" s="55">
        <f>$ED110+$EB111</f>
        <v/>
      </c>
      <c r="EE111" s="67">
        <f>IFERROR(IF(($DD111)&gt;0,($EB111)/($DD111),""),"")</f>
        <v/>
      </c>
      <c r="EF111" s="67">
        <f>IFERROR(IF(($DE111)&gt;0,($EC111)/($DE111),""),"")</f>
        <v/>
      </c>
      <c r="EG111" s="67">
        <f>IFERROR(IF(($DF111)&gt;0,($ED111)/($DF111),""),"")</f>
        <v/>
      </c>
      <c r="EH111" s="55">
        <f>SUMIFS(tblPlant[Gold_Poured_oz],tblPlant[Date],$A111)</f>
        <v/>
      </c>
      <c r="EI111" s="55">
        <f>IF($B111=$B110,$EI110,0)+$EH111</f>
        <v/>
      </c>
      <c r="EJ111" s="55">
        <f>$EJ110+$EH111</f>
        <v/>
      </c>
      <c r="EK111" s="57">
        <f>SUMIFS(tblPlant[Mill_Run_h],tblPlant[Date],$A111)</f>
        <v/>
      </c>
      <c r="EL111" s="57">
        <f>IF($B111=$B110,$EL110,0)+$EK111</f>
        <v/>
      </c>
      <c r="EM111" s="57">
        <f>$EM110+$EK111</f>
        <v/>
      </c>
      <c r="EN111" s="57">
        <f>SUMIFS(tblPlant[Mill_Planned_Maint_h],tblPlant[Date],$A111)</f>
        <v/>
      </c>
      <c r="EO111" s="57">
        <f>IF($B111=$B110,$EO110,0)+$EN111</f>
        <v/>
      </c>
      <c r="EP111" s="57">
        <f>$EP110+$EN111</f>
        <v/>
      </c>
      <c r="EQ111" s="57">
        <f>SUMIFS(tblPlant[Mill_Unplanned_Down_h],tblPlant[Date],$A111)</f>
        <v/>
      </c>
      <c r="ER111" s="57">
        <f>IF($B111=$B110,$ER110,0)+$EQ111</f>
        <v/>
      </c>
      <c r="ES111" s="57">
        <f>$ES110+$EQ111</f>
        <v/>
      </c>
      <c r="ET111" s="57">
        <f>IF(COUNTIFS(tblPlant[Date],$A111,tblPlant[Mill_Run_h],"&lt;&gt;")+COUNTIFS(tblPlant[Date],$A111,tblPlant[Mill_Planned_Maint_h],"&lt;&gt;")+COUNTIFS(tblPlant[Date],$A111,tblPlant[Mill_Unplanned_Down_h],"&lt;&gt;")&gt;0,cfg_HoursPerDay,0)</f>
        <v/>
      </c>
      <c r="EU111" s="57">
        <f>IF($B111=$B110,$EU110,0)+$ET111</f>
        <v/>
      </c>
      <c r="EV111" s="57">
        <f>$EV110+$ET111</f>
        <v/>
      </c>
      <c r="EW111" s="57">
        <f>SUMIFS(tblPlant[Crusher_Run_h],tblPlant[Date],$A111)</f>
        <v/>
      </c>
      <c r="EX111" s="57">
        <f>IF($B111=$B110,$EX110,0)+$EW111</f>
        <v/>
      </c>
      <c r="EY111" s="57">
        <f>$EY110+$EW111</f>
        <v/>
      </c>
      <c r="EZ111" s="55">
        <f>IFERROR(IF(($EK111)&gt;0,($DP111)/($EK111),""),"")</f>
        <v/>
      </c>
      <c r="FA111" s="55">
        <f>IFERROR(IF(($EL111)&gt;0,($DQ111)/($EL111),""),"")</f>
        <v/>
      </c>
      <c r="FB111" s="55">
        <f>IFERROR(IF(($EM111)&gt;0,($DR111)/($EM111),""),"")</f>
        <v/>
      </c>
      <c r="FC111" s="67">
        <f>IFERROR(IF(($ET111)&gt;0,($ET111-$EN111-$EQ111)/($ET111),""),"")</f>
        <v/>
      </c>
      <c r="FD111" s="67">
        <f>IFERROR(IF(($EU111)&gt;0,($EU111-$EO111-$ER111)/($EU111),""),"")</f>
        <v/>
      </c>
      <c r="FE111" s="67">
        <f>IFERROR(IF(($EV111)&gt;0,($EV111-$EP111-$ES111)/($EV111),""),"")</f>
        <v/>
      </c>
      <c r="FF111" s="67">
        <f>IFERROR(IF(($ET111-$EN111-$EQ111)&gt;0,($EK111)/($ET111-$EN111-$EQ111),""),"")</f>
        <v/>
      </c>
      <c r="FG111" s="67">
        <f>IFERROR(IF(($EU111-$EO111-$ER111)&gt;0,($EL111)/($EU111-$EO111-$ER111),""),"")</f>
        <v/>
      </c>
      <c r="FH111" s="67">
        <f>IFERROR(IF(($EV111-$EP111-$ES111)&gt;0,($EM111)/($EV111-$EP111-$ES111),""),"")</f>
        <v/>
      </c>
      <c r="FI111" s="55">
        <f>SUMIFS(tblPlant[Cyanide_kg],tblPlant[Date],$A111)</f>
        <v/>
      </c>
      <c r="FJ111" s="55">
        <f>IF($B111=$B110,$FJ110,0)+$FI111</f>
        <v/>
      </c>
      <c r="FK111" s="55">
        <f>$FK110+$FI111</f>
        <v/>
      </c>
      <c r="FL111" s="55">
        <f>SUMIFS(tblPlant[Lime_kg],tblPlant[Date],$A111)</f>
        <v/>
      </c>
      <c r="FM111" s="55">
        <f>IF($B111=$B110,$FM110,0)+$FL111</f>
        <v/>
      </c>
      <c r="FN111" s="55">
        <f>$FN110+$FL111</f>
        <v/>
      </c>
      <c r="FO111" s="55">
        <f>SUMIFS(tblPlant[Grinding_Media_kg],tblPlant[Date],$A111)</f>
        <v/>
      </c>
      <c r="FP111" s="55">
        <f>IF($B111=$B110,$FP110,0)+$FO111</f>
        <v/>
      </c>
      <c r="FQ111" s="55">
        <f>$FQ110+$FO111</f>
        <v/>
      </c>
      <c r="FR111" s="55">
        <f>SUMIFS(tblPlant[Power_kWh],tblPlant[Date],$A111)</f>
        <v/>
      </c>
      <c r="FS111" s="55">
        <f>IF($B111=$B110,$FS110,0)+$FR111</f>
        <v/>
      </c>
      <c r="FT111" s="55">
        <f>$FT110+$FR111</f>
        <v/>
      </c>
      <c r="FU111" s="55">
        <f>SUMIFS(tblPlant[Raw_Water_m3],tblPlant[Date],$A111)</f>
        <v/>
      </c>
      <c r="FV111" s="55">
        <f>IF($B111=$B110,$FV110,0)+$FU111</f>
        <v/>
      </c>
      <c r="FW111" s="55">
        <f>$FW110+$FU111</f>
        <v/>
      </c>
      <c r="FX111" s="56">
        <f>IFERROR(IF(($CU111)&gt;0,($FI111)/($CU111),""),"")</f>
        <v/>
      </c>
      <c r="FY111" s="56">
        <f>IFERROR(IF(($CV111)&gt;0,($FJ111)/($CV111),""),"")</f>
        <v/>
      </c>
      <c r="FZ111" s="56">
        <f>IFERROR(IF(($CW111)&gt;0,($FK111)/($CW111),""),"")</f>
        <v/>
      </c>
      <c r="GA111" s="56">
        <f>IFERROR(IF(($CU111)&gt;0,($FL111)/($CU111),""),"")</f>
        <v/>
      </c>
      <c r="GB111" s="56">
        <f>IFERROR(IF(($CV111)&gt;0,($FM111)/($CV111),""),"")</f>
        <v/>
      </c>
      <c r="GC111" s="56">
        <f>IFERROR(IF(($CW111)&gt;0,($FN111)/($CW111),""),"")</f>
        <v/>
      </c>
      <c r="GD111" s="56">
        <f>IFERROR(IF(($CU111)&gt;0,($FO111)/($CU111),""),"")</f>
        <v/>
      </c>
      <c r="GE111" s="56">
        <f>IFERROR(IF(($CV111)&gt;0,($FP111)/($CV111),""),"")</f>
        <v/>
      </c>
      <c r="GF111" s="56">
        <f>IFERROR(IF(($CW111)&gt;0,($FQ111)/($CW111),""),"")</f>
        <v/>
      </c>
      <c r="GG111" s="79">
        <f>IFERROR(IF(($CU111)&gt;0,($FR111)/($CU111),""),"")</f>
        <v/>
      </c>
      <c r="GH111" s="79">
        <f>IFERROR(IF(($CV111)&gt;0,($FS111)/($CV111),""),"")</f>
        <v/>
      </c>
      <c r="GI111" s="79">
        <f>IFERROR(IF(($CW111)&gt;0,($FT111)/($CW111),""),"")</f>
        <v/>
      </c>
      <c r="GJ111" s="56">
        <f>IFERROR(IF(($CU111)&gt;0,($FU111)/($CU111),""),"")</f>
        <v/>
      </c>
      <c r="GK111" s="56">
        <f>IFERROR(IF(($CV111)&gt;0,($FV111)/($CV111),""),"")</f>
        <v/>
      </c>
      <c r="GL111" s="56">
        <f>IFERROR(IF(($CW111)&gt;0,($FW111)/($CW111),""),"")</f>
        <v/>
      </c>
      <c r="GM111" s="55">
        <f>IF(SUMIFS(tblPlant[GIC_oz],tblPlant[Date],$A111)&gt;0,SUMIFS(tblPlant[GIC_oz],tblPlant[Date],$A111),"")</f>
        <v/>
      </c>
      <c r="GN111" s="55">
        <f>SUMIFS(tblGold[Gold_oz],tblGold[Date],$A111,tblGold[Type],"Shipment")</f>
        <v/>
      </c>
      <c r="GO111" s="55">
        <f>IF($B111=$B110,$GO110,0)+$GN111</f>
        <v/>
      </c>
      <c r="GP111" s="55">
        <f>$GP110+$GN111</f>
        <v/>
      </c>
      <c r="GQ111" s="55">
        <f>SUMIFS(tblGold[Gold_oz],tblGold[Date],$A111,tblGold[Type],"Sale")</f>
        <v/>
      </c>
      <c r="GR111" s="55">
        <f>IF($B111=$B110,$GR110,0)+$GQ111</f>
        <v/>
      </c>
      <c r="GS111" s="55">
        <f>$GS110+$GQ111</f>
        <v/>
      </c>
      <c r="GT111" s="55">
        <f>SUMIFS(tblGold[Dore_kg],tblGold[Date],$A111,tblGold[Type],"Shipment")</f>
        <v/>
      </c>
      <c r="GU111" s="55">
        <f>IF($B111=$B110,$GU110,0)+$GT111</f>
        <v/>
      </c>
      <c r="GV111" s="55">
        <f>$GV110+$GT111</f>
        <v/>
      </c>
      <c r="GW111" s="57">
        <f>SUMIFS(tblSafety[Hours_Total],tblSafety[Date],$A111)</f>
        <v/>
      </c>
      <c r="GX111" s="57">
        <f>IF($B111=$B110,$GX110,0)+$GW111</f>
        <v/>
      </c>
      <c r="GY111" s="57">
        <f>$GY110+$GW111</f>
        <v/>
      </c>
      <c r="GZ111" s="62">
        <f>SUMIFS(tblSafety[Fatality],tblSafety[Date],$A111)</f>
        <v/>
      </c>
      <c r="HA111" s="62">
        <f>IF($B111=$B110,$HA110,0)+$GZ111</f>
        <v/>
      </c>
      <c r="HB111" s="62">
        <f>$HB110+$GZ111</f>
        <v/>
      </c>
      <c r="HC111" s="62">
        <f>SUMIFS(tblSafety[LTI],tblSafety[Date],$A111)</f>
        <v/>
      </c>
      <c r="HD111" s="62">
        <f>IF($B111=$B110,$HD110,0)+$HC111</f>
        <v/>
      </c>
      <c r="HE111" s="62">
        <f>$HE110+$HC111</f>
        <v/>
      </c>
      <c r="HF111" s="62">
        <f>SUMIFS(tblSafety[RWI],tblSafety[Date],$A111)</f>
        <v/>
      </c>
      <c r="HG111" s="62">
        <f>IF($B111=$B110,$HG110,0)+$HF111</f>
        <v/>
      </c>
      <c r="HH111" s="62">
        <f>$HH110+$HF111</f>
        <v/>
      </c>
      <c r="HI111" s="62">
        <f>SUMIFS(tblSafety[MTI],tblSafety[Date],$A111)</f>
        <v/>
      </c>
      <c r="HJ111" s="62">
        <f>IF($B111=$B110,$HJ110,0)+$HI111</f>
        <v/>
      </c>
      <c r="HK111" s="62">
        <f>$HK110+$HI111</f>
        <v/>
      </c>
      <c r="HL111" s="62">
        <f>SUMIFS(tblSafety[FAI],tblSafety[Date],$A111)</f>
        <v/>
      </c>
      <c r="HM111" s="62">
        <f>IF($B111=$B110,$HM110,0)+$HL111</f>
        <v/>
      </c>
      <c r="HN111" s="62">
        <f>$HN110+$HL111</f>
        <v/>
      </c>
      <c r="HO111" s="62">
        <f>SUMIFS(tblSafety[Recordables],tblSafety[Date],$A111)</f>
        <v/>
      </c>
      <c r="HP111" s="62">
        <f>IF($B111=$B110,$HP110,0)+$HO111</f>
        <v/>
      </c>
      <c r="HQ111" s="62">
        <f>$HQ110+$HO111</f>
        <v/>
      </c>
      <c r="HR111" s="62">
        <f>SUMIFS(tblSafety[Near_Miss],tblSafety[Date],$A111)</f>
        <v/>
      </c>
      <c r="HS111" s="62">
        <f>IF($B111=$B110,$HS110,0)+$HR111</f>
        <v/>
      </c>
      <c r="HT111" s="62">
        <f>$HT110+$HR111</f>
        <v/>
      </c>
      <c r="HU111" s="62">
        <f>SUMIFS(tblSafety[Hazard_Reports],tblSafety[Date],$A111)</f>
        <v/>
      </c>
      <c r="HV111" s="62">
        <f>IF($B111=$B110,$HV110,0)+$HU111</f>
        <v/>
      </c>
      <c r="HW111" s="62">
        <f>$HW110+$HU111</f>
        <v/>
      </c>
      <c r="HX111" s="62">
        <f>SUMIFS(tblSafety[HPI],tblSafety[Date],$A111)</f>
        <v/>
      </c>
      <c r="HY111" s="62">
        <f>IF($B111=$B110,$HY110,0)+$HX111</f>
        <v/>
      </c>
      <c r="HZ111" s="62">
        <f>$HZ110+$HX111</f>
        <v/>
      </c>
      <c r="IA111" s="62">
        <f>SUMIFS(tblSafety[Env_Incidents],tblSafety[Date],$A111)</f>
        <v/>
      </c>
      <c r="IB111" s="62">
        <f>IF($B111=$B110,$IB110,0)+$IA111</f>
        <v/>
      </c>
      <c r="IC111" s="62">
        <f>$IC110+$IA111</f>
        <v/>
      </c>
      <c r="ID111" s="62">
        <f>SUMIFS(tblSafety[Community_Incidents],tblSafety[Date],$A111)</f>
        <v/>
      </c>
      <c r="IE111" s="62">
        <f>IF($B111=$B110,$IE110,0)+$ID111</f>
        <v/>
      </c>
      <c r="IF111" s="62">
        <f>$IF110+$ID111</f>
        <v/>
      </c>
      <c r="IG111" s="62">
        <f>SUMIFS(tblSafety[Vehicle_Incidents],tblSafety[Date],$A111)</f>
        <v/>
      </c>
      <c r="IH111" s="62">
        <f>IF($B111=$B110,$IH110,0)+$IG111</f>
        <v/>
      </c>
      <c r="II111" s="62">
        <f>$II110+$IG111</f>
        <v/>
      </c>
      <c r="IJ111" s="62">
        <f>SUMIFS(tblSafety[Toolbox_Talks],tblSafety[Date],$A111)</f>
        <v/>
      </c>
      <c r="IK111" s="62">
        <f>IF($B111=$B110,$IK110,0)+$IJ111</f>
        <v/>
      </c>
      <c r="IL111" s="62">
        <f>$IL110+$IJ111</f>
        <v/>
      </c>
      <c r="IM111" s="62">
        <f>SUMIFS(tblSafety[Inspections],tblSafety[Date],$A111)</f>
        <v/>
      </c>
      <c r="IN111" s="62">
        <f>IF($B111=$B110,$IN110,0)+$IM111</f>
        <v/>
      </c>
      <c r="IO111" s="62">
        <f>$IO110+$IM111</f>
        <v/>
      </c>
      <c r="IP111" s="56">
        <f>IFERROR((SUMIFS(tblSafety[Recordables],tblSafety[Date],"&gt;="&amp;EDATE($E111,-12),tblSafety[Date],"&lt;="&amp;$A111)+SUMIFS(tblSafetyHistory[Recordables],tblSafetyHistory[Month],"&gt;="&amp;EDATE($E111,-12),tblSafetyHistory[Month],"&lt;"&amp;$E111,tblSafetyHistory[Use],1))/(SUMIFS(tblSafety[Hours_Total],tblSafety[Date],"&gt;="&amp;EDATE($E111,-12),tblSafety[Date],"&lt;="&amp;$A111)+SUMIFS(tblSafetyHistory[Hours_Total],tblSafetyHistory[Month],"&gt;="&amp;EDATE($E111,-12),tblSafetyHistory[Month],"&lt;"&amp;$E111,tblSafetyHistory[Use],1))*cfg_RateBasisHours,"")</f>
        <v/>
      </c>
      <c r="IQ111" s="56">
        <f>IFERROR((SUMIFS(tblSafety[LTI],tblSafety[Date],"&gt;="&amp;EDATE($E111,-12),tblSafety[Date],"&lt;="&amp;$A111)+SUMIFS(tblSafetyHistory[LTI],tblSafetyHistory[Month],"&gt;="&amp;EDATE($E111,-12),tblSafetyHistory[Month],"&lt;"&amp;$E111,tblSafetyHistory[Use],1))/(SUMIFS(tblSafety[Hours_Total],tblSafety[Date],"&gt;="&amp;EDATE($E111,-12),tblSafety[Date],"&lt;="&amp;$A111)+SUMIFS(tblSafetyHistory[Hours_Total],tblSafetyHistory[Month],"&gt;="&amp;EDATE($E111,-12),tblSafetyHistory[Month],"&lt;"&amp;$E111,tblSafetyHistory[Use],1))*cfg_RateBasisHours,"")</f>
        <v/>
      </c>
      <c r="IR111" s="62">
        <f>IF(MAX(N(cfg_PriorLTIDate),_xlfn.MAXIFS(tblSafety[Date],tblSafety[LTI],"&gt;0",tblSafety[Date],"&lt;="&amp;$A111))=0,"",$A111-MAX(N(cfg_PriorLTIDate),_xlfn.MAXIFS(tblSafety[Date],tblSafety[LTI],"&gt;0",tblSafety[Date],"&lt;="&amp;$A111)))</f>
        <v/>
      </c>
      <c r="IS111" s="55">
        <f>SUMIFS(tblBudget[Ore_Mined_t],tblBudget[Month],$E111)</f>
        <v/>
      </c>
      <c r="IT111" s="55">
        <f>$IS111*$C111/$D111</f>
        <v/>
      </c>
      <c r="IU111" s="55">
        <f>SUMIFS(tblBudget[Ore_Mined_t],tblBudget[Month],"&lt;"&amp;$E111)+$IT111</f>
        <v/>
      </c>
      <c r="IV111" s="55">
        <f>SUMIFS(tblBudget[Ore_oz],tblBudget[Month],$E111)</f>
        <v/>
      </c>
      <c r="IW111" s="55">
        <f>$IV111*$C111/$D111</f>
        <v/>
      </c>
      <c r="IX111" s="55">
        <f>SUMIFS(tblBudget[Ore_oz],tblBudget[Month],"&lt;"&amp;$E111)+$IW111</f>
        <v/>
      </c>
      <c r="IY111" s="55">
        <f>SUMIFS(tblBudget[Ore_Mined_t],tblBudget[Month],$E111)</f>
        <v/>
      </c>
      <c r="IZ111" s="55">
        <f>$IY111*$C111/$D111</f>
        <v/>
      </c>
      <c r="JA111" s="55">
        <f>SUMIFS(tblBudget[Ore_Mined_t],tblBudget[Month],"&lt;"&amp;$E111)+$IZ111</f>
        <v/>
      </c>
      <c r="JB111" s="56">
        <f>IFERROR(IF(($IY111)&gt;0,($IV111*cfg_TroyOz)/($IY111),""),"")</f>
        <v/>
      </c>
      <c r="JC111" s="56">
        <f>IFERROR(IF(($IZ111)&gt;0,($IW111*cfg_TroyOz)/($IZ111),""),"")</f>
        <v/>
      </c>
      <c r="JD111" s="56">
        <f>IFERROR(IF(($JA111)&gt;0,($IX111*cfg_TroyOz)/($JA111),""),"")</f>
        <v/>
      </c>
      <c r="JE111" s="55">
        <f>SUMIFS(tblBudget[Waste_t],tblBudget[Month],$E111)</f>
        <v/>
      </c>
      <c r="JF111" s="55">
        <f>$JE111*$C111/$D111</f>
        <v/>
      </c>
      <c r="JG111" s="55">
        <f>SUMIFS(tblBudget[Waste_t],tblBudget[Month],"&lt;"&amp;$E111)+$JF111</f>
        <v/>
      </c>
      <c r="JH111" s="55">
        <f>SUMIFS(tblBudget[TMM_t],tblBudget[Month],$E111)</f>
        <v/>
      </c>
      <c r="JI111" s="55">
        <f>$JH111*$C111/$D111</f>
        <v/>
      </c>
      <c r="JJ111" s="55">
        <f>SUMIFS(tblBudget[TMM_t],tblBudget[Month],"&lt;"&amp;$E111)+$JI111</f>
        <v/>
      </c>
      <c r="JK111" s="56">
        <f>IFERROR(IF(($IS111)&gt;0,($JE111)/($IS111),""),"")</f>
        <v/>
      </c>
      <c r="JL111" s="56">
        <f>IFERROR(IF(($IT111)&gt;0,($JF111)/($IT111),""),"")</f>
        <v/>
      </c>
      <c r="JM111" s="56">
        <f>IFERROR(IF(($IU111)&gt;0,($JG111)/($IU111),""),"")</f>
        <v/>
      </c>
      <c r="JN111" s="55">
        <f>SUMIFS(tblBudget[Drill_m],tblBudget[Month],$E111)</f>
        <v/>
      </c>
      <c r="JO111" s="55">
        <f>$JN111*$C111/$D111</f>
        <v/>
      </c>
      <c r="JP111" s="55">
        <f>SUMIFS(tblBudget[Drill_m],tblBudget[Month],"&lt;"&amp;$E111)+$JO111</f>
        <v/>
      </c>
      <c r="JQ111" s="55">
        <f>SUMIFS(tblBudget[Diesel_L],tblBudget[Month],$E111)</f>
        <v/>
      </c>
      <c r="JR111" s="55">
        <f>$JQ111*$C111/$D111</f>
        <v/>
      </c>
      <c r="JS111" s="55">
        <f>SUMIFS(tblBudget[Diesel_L],tblBudget[Month],"&lt;"&amp;$E111)+$JR111</f>
        <v/>
      </c>
      <c r="JT111" s="55">
        <f>SUMIFS(tblBudget[Milled_t],tblBudget[Month],$E111)</f>
        <v/>
      </c>
      <c r="JU111" s="55">
        <f>$JT111*$C111/$D111</f>
        <v/>
      </c>
      <c r="JV111" s="55">
        <f>SUMIFS(tblBudget[Milled_t],tblBudget[Month],"&lt;"&amp;$E111)+$JU111</f>
        <v/>
      </c>
      <c r="JW111" s="55">
        <f>SUMIFS(tblBudget[Feed_oz],tblBudget[Month],$E111)</f>
        <v/>
      </c>
      <c r="JX111" s="55">
        <f>$JW111*$C111/$D111</f>
        <v/>
      </c>
      <c r="JY111" s="55">
        <f>SUMIFS(tblBudget[Feed_oz],tblBudget[Month],"&lt;"&amp;$E111)+$JX111</f>
        <v/>
      </c>
      <c r="JZ111" s="55">
        <f>SUMIFS(tblBudget[Recovered_oz],tblBudget[Month],$E111)</f>
        <v/>
      </c>
      <c r="KA111" s="55">
        <f>$JZ111*$C111/$D111</f>
        <v/>
      </c>
      <c r="KB111" s="55">
        <f>SUMIFS(tblBudget[Recovered_oz],tblBudget[Month],"&lt;"&amp;$E111)+$KA111</f>
        <v/>
      </c>
      <c r="KC111" s="55">
        <f>SUMIFS(tblBudget[Milled_t],tblBudget[Month],$E111)</f>
        <v/>
      </c>
      <c r="KD111" s="55">
        <f>$KC111*$C111/$D111</f>
        <v/>
      </c>
      <c r="KE111" s="55">
        <f>SUMIFS(tblBudget[Milled_t],tblBudget[Month],"&lt;"&amp;$E111)+$KD111</f>
        <v/>
      </c>
      <c r="KF111" s="55">
        <f>SUMIFS(tblBudget[Feed_oz],tblBudget[Month],$E111)</f>
        <v/>
      </c>
      <c r="KG111" s="55">
        <f>$KF111*$C111/$D111</f>
        <v/>
      </c>
      <c r="KH111" s="55">
        <f>SUMIFS(tblBudget[Feed_oz],tblBudget[Month],"&lt;"&amp;$E111)+$KG111</f>
        <v/>
      </c>
      <c r="KI111" s="56">
        <f>IFERROR(IF(($KC111)&gt;0,($JW111*cfg_TroyOz)/($KC111),""),"")</f>
        <v/>
      </c>
      <c r="KJ111" s="56">
        <f>IFERROR(IF(($KD111)&gt;0,($JX111*cfg_TroyOz)/($KD111),""),"")</f>
        <v/>
      </c>
      <c r="KK111" s="56">
        <f>IFERROR(IF(($KE111)&gt;0,($JY111*cfg_TroyOz)/($KE111),""),"")</f>
        <v/>
      </c>
      <c r="KL111" s="67">
        <f>IFERROR(IF(($KF111)&gt;0,($JZ111)/($KF111),""),"")</f>
        <v/>
      </c>
      <c r="KM111" s="67">
        <f>IFERROR(IF(($KG111)&gt;0,($KA111)/($KG111),""),"")</f>
        <v/>
      </c>
      <c r="KN111" s="67">
        <f>IFERROR(IF(($KH111)&gt;0,($KB111)/($KH111),""),"")</f>
        <v/>
      </c>
      <c r="KO111" s="55">
        <f>SUMIFS(tblBudget[Gold_Poured_oz],tblBudget[Month],$E111)</f>
        <v/>
      </c>
      <c r="KP111" s="55">
        <f>$KO111*$C111/$D111</f>
        <v/>
      </c>
      <c r="KQ111" s="55">
        <f>SUMIFS(tblBudget[Gold_Poured_oz],tblBudget[Month],"&lt;"&amp;$E111)+$KP111</f>
        <v/>
      </c>
      <c r="KR111" s="57">
        <f>SUMIFS(tblBudget[Hours_Worked],tblBudget[Month],$E111)</f>
        <v/>
      </c>
      <c r="KS111" s="57">
        <f>$KR111*$C111/$D111</f>
        <v/>
      </c>
      <c r="KT111" s="57">
        <f>SUMIFS(tblBudget[Hours_Worked],tblBudget[Month],"&lt;"&amp;$E111)+$KS111</f>
        <v/>
      </c>
    </row>
    <row r="112">
      <c r="A112" s="54" t="n">
        <v>46133</v>
      </c>
      <c r="B112">
        <f>MONTH($A112)</f>
        <v/>
      </c>
      <c r="C112">
        <f>DAY($A112)</f>
        <v/>
      </c>
      <c r="D112">
        <f>DAY(EOMONTH($A112,0))</f>
        <v/>
      </c>
      <c r="E112" s="54">
        <f>DATE(YEAR($A112),MONTH($A112),1)</f>
        <v/>
      </c>
      <c r="F112" s="55">
        <f>SUMIFS(tblMovement[Tonnes_t],tblMovement[Date],$A112,tblMovement[Is_Ore],1,tblMovement[Source_Type],"Pit")</f>
        <v/>
      </c>
      <c r="G112" s="55">
        <f>IF($B112=$B111,$G111,0)+$F112</f>
        <v/>
      </c>
      <c r="H112" s="55">
        <f>$H111+$F112</f>
        <v/>
      </c>
      <c r="I112" s="55">
        <f>SUMIFS(tblMovement[Ore_oz],tblMovement[Date],$A112,tblMovement[Source_Type],"Pit")</f>
        <v/>
      </c>
      <c r="J112" s="55">
        <f>IF($B112=$B111,$J111,0)+$I112</f>
        <v/>
      </c>
      <c r="K112" s="55">
        <f>$K111+$I112</f>
        <v/>
      </c>
      <c r="L112" s="55">
        <f>SUMIFS(tblMovement[Tonnes_t],tblMovement[Date],$A112,tblMovement[Is_Ore],1,tblMovement[Source_Type],"Pit",tblMovement[Grade_gpt],"&lt;&gt;")</f>
        <v/>
      </c>
      <c r="M112" s="55">
        <f>IF($B112=$B111,$M111,0)+$L112</f>
        <v/>
      </c>
      <c r="N112" s="55">
        <f>$N111+$L112</f>
        <v/>
      </c>
      <c r="O112" s="56">
        <f>IFERROR(IF(($L112)&gt;0,($I112*cfg_TroyOz)/($L112),""),"")</f>
        <v/>
      </c>
      <c r="P112" s="56">
        <f>IFERROR(IF(($M112)&gt;0,($J112*cfg_TroyOz)/($M112),""),"")</f>
        <v/>
      </c>
      <c r="Q112" s="56">
        <f>IFERROR(IF(($N112)&gt;0,($K112*cfg_TroyOz)/($N112),""),"")</f>
        <v/>
      </c>
      <c r="R112" s="55">
        <f>$F112-$L112</f>
        <v/>
      </c>
      <c r="S112" s="55">
        <f>IF($B112=$B111,$S111,0)+$R112</f>
        <v/>
      </c>
      <c r="T112" s="55">
        <f>$T111+$R112</f>
        <v/>
      </c>
      <c r="U112" s="55">
        <f>SUMIFS(tblMovement[Tonnes_t],tblMovement[Date],$A112,tblMovement[Is_Ore],0,tblMovement[Source_Type],"Pit")</f>
        <v/>
      </c>
      <c r="V112" s="55">
        <f>IF($B112=$B111,$V111,0)+$U112</f>
        <v/>
      </c>
      <c r="W112" s="55">
        <f>$W111+$U112</f>
        <v/>
      </c>
      <c r="X112" s="55">
        <f>$F112+$U112</f>
        <v/>
      </c>
      <c r="Y112" s="55">
        <f>IF($B112=$B111,$Y111,0)+$X112</f>
        <v/>
      </c>
      <c r="Z112" s="55">
        <f>$Z111+$X112</f>
        <v/>
      </c>
      <c r="AA112" s="56">
        <f>IFERROR(IF(($F112)&gt;0,($U112)/($F112),""),"")</f>
        <v/>
      </c>
      <c r="AB112" s="56">
        <f>IFERROR(IF(($G112)&gt;0,($V112)/($G112),""),"")</f>
        <v/>
      </c>
      <c r="AC112" s="56">
        <f>IFERROR(IF(($H112)&gt;0,($W112)/($H112),""),"")</f>
        <v/>
      </c>
      <c r="AD112" s="55">
        <f>SUMIFS(tblMovement[Tonnes_t],tblMovement[Date],$A112,tblMovement[Source_Type],"Stockpile")</f>
        <v/>
      </c>
      <c r="AE112" s="55">
        <f>IF($B112=$B111,$AE111,0)+$AD112</f>
        <v/>
      </c>
      <c r="AF112" s="55">
        <f>$AF111+$AD112</f>
        <v/>
      </c>
      <c r="AG112" s="55">
        <f>SUMIFS(tblMovement[Tonnes_t],tblMovement[Date],$A112)</f>
        <v/>
      </c>
      <c r="AH112" s="55">
        <f>IF($B112=$B111,$AH111,0)+$AG112</f>
        <v/>
      </c>
      <c r="AI112" s="55">
        <f>$AI111+$AG112</f>
        <v/>
      </c>
      <c r="AJ112" s="55">
        <f>$AG112-$X112-$AD112</f>
        <v/>
      </c>
      <c r="AK112" s="55">
        <f>IF($B112=$B111,$AK111,0)+$AJ112</f>
        <v/>
      </c>
      <c r="AL112" s="55">
        <f>$AL111+$AJ112</f>
        <v/>
      </c>
      <c r="AM112" s="55">
        <f>SUMIFS(tblMiningDaily[Drill_m],tblMiningDaily[Date],$A112)</f>
        <v/>
      </c>
      <c r="AN112" s="55">
        <f>IF($B112=$B111,$AN111,0)+$AM112</f>
        <v/>
      </c>
      <c r="AO112" s="55">
        <f>$AO111+$AM112</f>
        <v/>
      </c>
      <c r="AP112" s="55">
        <f>SUMIFS(tblMiningDaily[GC_Drill_m],tblMiningDaily[Date],$A112)</f>
        <v/>
      </c>
      <c r="AQ112" s="55">
        <f>IF($B112=$B111,$AQ111,0)+$AP112</f>
        <v/>
      </c>
      <c r="AR112" s="55">
        <f>$AR111+$AP112</f>
        <v/>
      </c>
      <c r="AS112" s="55">
        <f>SUMIFS(tblMiningDaily[Blast_t],tblMiningDaily[Date],$A112)</f>
        <v/>
      </c>
      <c r="AT112" s="55">
        <f>IF($B112=$B111,$AT111,0)+$AS112</f>
        <v/>
      </c>
      <c r="AU112" s="55">
        <f>$AU111+$AS112</f>
        <v/>
      </c>
      <c r="AV112" s="55">
        <f>SUMIFS(tblMiningDaily[Explosives_kg],tblMiningDaily[Date],$A112)</f>
        <v/>
      </c>
      <c r="AW112" s="55">
        <f>IF($B112=$B111,$AW111,0)+$AV112</f>
        <v/>
      </c>
      <c r="AX112" s="55">
        <f>$AX111+$AV112</f>
        <v/>
      </c>
      <c r="AY112" s="56">
        <f>IFERROR(IF(($AS112)&gt;0,($AV112)/($AS112),""),"")</f>
        <v/>
      </c>
      <c r="AZ112" s="56">
        <f>IFERROR(IF(($AT112)&gt;0,($AW112)/($AT112),""),"")</f>
        <v/>
      </c>
      <c r="BA112" s="56">
        <f>IFERROR(IF(($AU112)&gt;0,($AX112)/($AU112),""),"")</f>
        <v/>
      </c>
      <c r="BB112" s="55">
        <f>SUMIFS(tblMiningDaily[Diesel_L],tblMiningDaily[Date],$A112)</f>
        <v/>
      </c>
      <c r="BC112" s="55">
        <f>IF($B112=$B111,$BC111,0)+$BB112</f>
        <v/>
      </c>
      <c r="BD112" s="55">
        <f>$BD111+$BB112</f>
        <v/>
      </c>
      <c r="BE112" s="55">
        <f>SUMIFS(tblMiningDaily[Dewatering_m3],tblMiningDaily[Date],$A112)</f>
        <v/>
      </c>
      <c r="BF112" s="55">
        <f>IF($B112=$B111,$BF111,0)+$BE112</f>
        <v/>
      </c>
      <c r="BG112" s="55">
        <f>$BG111+$BE112</f>
        <v/>
      </c>
      <c r="BH112" s="57">
        <f>SUMIFS(tblFleet[Calendar_h],tblFleet[Date],$A112,tblFleet[Equipment_Class],"Excavator")</f>
        <v/>
      </c>
      <c r="BI112" s="57">
        <f>IF($B112=$B111,$BI111,0)+$BH112</f>
        <v/>
      </c>
      <c r="BJ112" s="57">
        <f>$BJ111+$BH112</f>
        <v/>
      </c>
      <c r="BK112" s="57">
        <f>SUMIFS(tblFleet[Available_h],tblFleet[Date],$A112,tblFleet[Equipment_Class],"Excavator")</f>
        <v/>
      </c>
      <c r="BL112" s="57">
        <f>IF($B112=$B111,$BL111,0)+$BK112</f>
        <v/>
      </c>
      <c r="BM112" s="57">
        <f>$BM111+$BK112</f>
        <v/>
      </c>
      <c r="BN112" s="57">
        <f>SUMIFS(tblFleet[Operating_h],tblFleet[Date],$A112,tblFleet[Equipment_Class],"Excavator")</f>
        <v/>
      </c>
      <c r="BO112" s="57">
        <f>IF($B112=$B111,$BO111,0)+$BN112</f>
        <v/>
      </c>
      <c r="BP112" s="57">
        <f>$BP111+$BN112</f>
        <v/>
      </c>
      <c r="BQ112" s="67">
        <f>IFERROR(IF(($BH112)&gt;0,($BK112)/($BH112),""),"")</f>
        <v/>
      </c>
      <c r="BR112" s="67">
        <f>IFERROR(IF(($BI112)&gt;0,($BL112)/($BI112),""),"")</f>
        <v/>
      </c>
      <c r="BS112" s="67">
        <f>IFERROR(IF(($BJ112)&gt;0,($BM112)/($BJ112),""),"")</f>
        <v/>
      </c>
      <c r="BT112" s="67">
        <f>IFERROR(IF(($BK112)&gt;0,($BN112)/($BK112),""),"")</f>
        <v/>
      </c>
      <c r="BU112" s="67">
        <f>IFERROR(IF(($BL112)&gt;0,($BO112)/($BL112),""),"")</f>
        <v/>
      </c>
      <c r="BV112" s="67">
        <f>IFERROR(IF(($BM112)&gt;0,($BP112)/($BM112),""),"")</f>
        <v/>
      </c>
      <c r="BW112" s="57">
        <f>SUMIFS(tblFleet[Calendar_h],tblFleet[Date],$A112,tblFleet[Equipment_Class],"Haul Truck")</f>
        <v/>
      </c>
      <c r="BX112" s="57">
        <f>IF($B112=$B111,$BX111,0)+$BW112</f>
        <v/>
      </c>
      <c r="BY112" s="57">
        <f>$BY111+$BW112</f>
        <v/>
      </c>
      <c r="BZ112" s="57">
        <f>SUMIFS(tblFleet[Available_h],tblFleet[Date],$A112,tblFleet[Equipment_Class],"Haul Truck")</f>
        <v/>
      </c>
      <c r="CA112" s="57">
        <f>IF($B112=$B111,$CA111,0)+$BZ112</f>
        <v/>
      </c>
      <c r="CB112" s="57">
        <f>$CB111+$BZ112</f>
        <v/>
      </c>
      <c r="CC112" s="57">
        <f>SUMIFS(tblFleet[Operating_h],tblFleet[Date],$A112,tblFleet[Equipment_Class],"Haul Truck")</f>
        <v/>
      </c>
      <c r="CD112" s="57">
        <f>IF($B112=$B111,$CD111,0)+$CC112</f>
        <v/>
      </c>
      <c r="CE112" s="57">
        <f>$CE111+$CC112</f>
        <v/>
      </c>
      <c r="CF112" s="67">
        <f>IFERROR(IF(($BW112)&gt;0,($BZ112)/($BW112),""),"")</f>
        <v/>
      </c>
      <c r="CG112" s="67">
        <f>IFERROR(IF(($BX112)&gt;0,($CA112)/($BX112),""),"")</f>
        <v/>
      </c>
      <c r="CH112" s="67">
        <f>IFERROR(IF(($BY112)&gt;0,($CB112)/($BY112),""),"")</f>
        <v/>
      </c>
      <c r="CI112" s="67">
        <f>IFERROR(IF(($BZ112)&gt;0,($CC112)/($BZ112),""),"")</f>
        <v/>
      </c>
      <c r="CJ112" s="67">
        <f>IFERROR(IF(($CA112)&gt;0,($CD112)/($CA112),""),"")</f>
        <v/>
      </c>
      <c r="CK112" s="67">
        <f>IFERROR(IF(($CB112)&gt;0,($CE112)/($CB112),""),"")</f>
        <v/>
      </c>
      <c r="CL112" s="55">
        <f>IFERROR(IF(($BN112)&gt;0,($X112+$AD112)/($BN112),""),"")</f>
        <v/>
      </c>
      <c r="CM112" s="55">
        <f>IFERROR(IF(($BO112)&gt;0,($Y112+$AE112)/($BO112),""),"")</f>
        <v/>
      </c>
      <c r="CN112" s="55">
        <f>IFERROR(IF(($BP112)&gt;0,($Z112+$AF112)/($BP112),""),"")</f>
        <v/>
      </c>
      <c r="CO112" s="55">
        <f>IFERROR(IF(($CC112)&gt;0,($X112+$AD112)/($CC112),""),"")</f>
        <v/>
      </c>
      <c r="CP112" s="55">
        <f>IFERROR(IF(($CD112)&gt;0,($Y112+$AE112)/($CD112),""),"")</f>
        <v/>
      </c>
      <c r="CQ112" s="55">
        <f>IFERROR(IF(($CE112)&gt;0,($Z112+$AF112)/($CE112),""),"")</f>
        <v/>
      </c>
      <c r="CR112" s="55">
        <f>SUMIFS(tblPlant[Crushed_t],tblPlant[Date],$A112)</f>
        <v/>
      </c>
      <c r="CS112" s="55">
        <f>IF($B112=$B111,$CS111,0)+$CR112</f>
        <v/>
      </c>
      <c r="CT112" s="55">
        <f>$CT111+$CR112</f>
        <v/>
      </c>
      <c r="CU112" s="55">
        <f>SUMIFS(tblPlant[Milled_t],tblPlant[Date],$A112)</f>
        <v/>
      </c>
      <c r="CV112" s="55">
        <f>IF($B112=$B111,$CV111,0)+$CU112</f>
        <v/>
      </c>
      <c r="CW112" s="55">
        <f>$CW111+$CU112</f>
        <v/>
      </c>
      <c r="CX112" s="55">
        <f>SUMIFS(tblPlant[Feed_oz],tblPlant[Date],$A112)</f>
        <v/>
      </c>
      <c r="CY112" s="55">
        <f>IF($B112=$B111,$CY111,0)+$CX112</f>
        <v/>
      </c>
      <c r="CZ112" s="55">
        <f>$CZ111+$CX112</f>
        <v/>
      </c>
      <c r="DA112" s="55">
        <f>SUMIFS(tblPlant[Tails_oz],tblPlant[Date],$A112)</f>
        <v/>
      </c>
      <c r="DB112" s="55">
        <f>IF($B112=$B111,$DB111,0)+$DA112</f>
        <v/>
      </c>
      <c r="DC112" s="55">
        <f>$DC111+$DA112</f>
        <v/>
      </c>
      <c r="DD112" s="55">
        <f>SUMIFS(tblPlant[Recovered_oz],tblPlant[Date],$A112)</f>
        <v/>
      </c>
      <c r="DE112" s="55">
        <f>IF($B112=$B111,$DE111,0)+$DD112</f>
        <v/>
      </c>
      <c r="DF112" s="55">
        <f>$DF111+$DD112</f>
        <v/>
      </c>
      <c r="DG112" s="55">
        <f>SUMIFS(tblPlant[Milled_t],tblPlant[Date],$A112,tblPlant[Head_Grade_gpt],"&lt;&gt;")</f>
        <v/>
      </c>
      <c r="DH112" s="55">
        <f>IF($B112=$B111,$DH111,0)+$DG112</f>
        <v/>
      </c>
      <c r="DI112" s="55">
        <f>$DI111+$DG112</f>
        <v/>
      </c>
      <c r="DJ112" s="55">
        <f>SUMIFS(tblPlant[Milled_t],tblPlant[Date],$A112,tblPlant[Tails_Grade_gpt],"&lt;&gt;")</f>
        <v/>
      </c>
      <c r="DK112" s="55">
        <f>IF($B112=$B111,$DK111,0)+$DJ112</f>
        <v/>
      </c>
      <c r="DL112" s="55">
        <f>$DL111+$DJ112</f>
        <v/>
      </c>
      <c r="DM112" s="55">
        <f>SUMIFS(tblPlant[Feed_oz],tblPlant[Date],$A112,tblPlant[Tails_Grade_gpt],"&lt;&gt;")</f>
        <v/>
      </c>
      <c r="DN112" s="55">
        <f>IF($B112=$B111,$DN111,0)+$DM112</f>
        <v/>
      </c>
      <c r="DO112" s="55">
        <f>$DO111+$DM112</f>
        <v/>
      </c>
      <c r="DP112" s="55">
        <f>SUMIFS(tblPlant[Milled_t],tblPlant[Date],$A112,tblPlant[Mill_Run_h],"&lt;&gt;")</f>
        <v/>
      </c>
      <c r="DQ112" s="55">
        <f>IF($B112=$B111,$DQ111,0)+$DP112</f>
        <v/>
      </c>
      <c r="DR112" s="55">
        <f>$DR111+$DP112</f>
        <v/>
      </c>
      <c r="DS112" s="56">
        <f>IFERROR(IF(($DG112)&gt;0,($CX112*cfg_TroyOz)/($DG112),""),"")</f>
        <v/>
      </c>
      <c r="DT112" s="56">
        <f>IFERROR(IF(($DH112)&gt;0,($CY112*cfg_TroyOz)/($DH112),""),"")</f>
        <v/>
      </c>
      <c r="DU112" s="56">
        <f>IFERROR(IF(($DI112)&gt;0,($CZ112*cfg_TroyOz)/($DI112),""),"")</f>
        <v/>
      </c>
      <c r="DV112" s="56">
        <f>IFERROR(IF(($DJ112)&gt;0,($DA112*cfg_TroyOz)/($DJ112),""),"")</f>
        <v/>
      </c>
      <c r="DW112" s="56">
        <f>IFERROR(IF(($DK112)&gt;0,($DB112*cfg_TroyOz)/($DK112),""),"")</f>
        <v/>
      </c>
      <c r="DX112" s="56">
        <f>IFERROR(IF(($DL112)&gt;0,($DC112*cfg_TroyOz)/($DL112),""),"")</f>
        <v/>
      </c>
      <c r="DY112" s="67">
        <f>IFERROR(IF(($DM112)&gt;0,($DD112)/($DM112),""),"")</f>
        <v/>
      </c>
      <c r="DZ112" s="67">
        <f>IFERROR(IF(($DN112)&gt;0,($DE112)/($DN112),""),"")</f>
        <v/>
      </c>
      <c r="EA112" s="67">
        <f>IFERROR(IF(($DO112)&gt;0,($DF112)/($DO112),""),"")</f>
        <v/>
      </c>
      <c r="EB112" s="55">
        <f>SUMIFS(tblPlant[Gravity_Gold_oz],tblPlant[Date],$A112)</f>
        <v/>
      </c>
      <c r="EC112" s="55">
        <f>IF($B112=$B111,$EC111,0)+$EB112</f>
        <v/>
      </c>
      <c r="ED112" s="55">
        <f>$ED111+$EB112</f>
        <v/>
      </c>
      <c r="EE112" s="67">
        <f>IFERROR(IF(($DD112)&gt;0,($EB112)/($DD112),""),"")</f>
        <v/>
      </c>
      <c r="EF112" s="67">
        <f>IFERROR(IF(($DE112)&gt;0,($EC112)/($DE112),""),"")</f>
        <v/>
      </c>
      <c r="EG112" s="67">
        <f>IFERROR(IF(($DF112)&gt;0,($ED112)/($DF112),""),"")</f>
        <v/>
      </c>
      <c r="EH112" s="55">
        <f>SUMIFS(tblPlant[Gold_Poured_oz],tblPlant[Date],$A112)</f>
        <v/>
      </c>
      <c r="EI112" s="55">
        <f>IF($B112=$B111,$EI111,0)+$EH112</f>
        <v/>
      </c>
      <c r="EJ112" s="55">
        <f>$EJ111+$EH112</f>
        <v/>
      </c>
      <c r="EK112" s="57">
        <f>SUMIFS(tblPlant[Mill_Run_h],tblPlant[Date],$A112)</f>
        <v/>
      </c>
      <c r="EL112" s="57">
        <f>IF($B112=$B111,$EL111,0)+$EK112</f>
        <v/>
      </c>
      <c r="EM112" s="57">
        <f>$EM111+$EK112</f>
        <v/>
      </c>
      <c r="EN112" s="57">
        <f>SUMIFS(tblPlant[Mill_Planned_Maint_h],tblPlant[Date],$A112)</f>
        <v/>
      </c>
      <c r="EO112" s="57">
        <f>IF($B112=$B111,$EO111,0)+$EN112</f>
        <v/>
      </c>
      <c r="EP112" s="57">
        <f>$EP111+$EN112</f>
        <v/>
      </c>
      <c r="EQ112" s="57">
        <f>SUMIFS(tblPlant[Mill_Unplanned_Down_h],tblPlant[Date],$A112)</f>
        <v/>
      </c>
      <c r="ER112" s="57">
        <f>IF($B112=$B111,$ER111,0)+$EQ112</f>
        <v/>
      </c>
      <c r="ES112" s="57">
        <f>$ES111+$EQ112</f>
        <v/>
      </c>
      <c r="ET112" s="57">
        <f>IF(COUNTIFS(tblPlant[Date],$A112,tblPlant[Mill_Run_h],"&lt;&gt;")+COUNTIFS(tblPlant[Date],$A112,tblPlant[Mill_Planned_Maint_h],"&lt;&gt;")+COUNTIFS(tblPlant[Date],$A112,tblPlant[Mill_Unplanned_Down_h],"&lt;&gt;")&gt;0,cfg_HoursPerDay,0)</f>
        <v/>
      </c>
      <c r="EU112" s="57">
        <f>IF($B112=$B111,$EU111,0)+$ET112</f>
        <v/>
      </c>
      <c r="EV112" s="57">
        <f>$EV111+$ET112</f>
        <v/>
      </c>
      <c r="EW112" s="57">
        <f>SUMIFS(tblPlant[Crusher_Run_h],tblPlant[Date],$A112)</f>
        <v/>
      </c>
      <c r="EX112" s="57">
        <f>IF($B112=$B111,$EX111,0)+$EW112</f>
        <v/>
      </c>
      <c r="EY112" s="57">
        <f>$EY111+$EW112</f>
        <v/>
      </c>
      <c r="EZ112" s="55">
        <f>IFERROR(IF(($EK112)&gt;0,($DP112)/($EK112),""),"")</f>
        <v/>
      </c>
      <c r="FA112" s="55">
        <f>IFERROR(IF(($EL112)&gt;0,($DQ112)/($EL112),""),"")</f>
        <v/>
      </c>
      <c r="FB112" s="55">
        <f>IFERROR(IF(($EM112)&gt;0,($DR112)/($EM112),""),"")</f>
        <v/>
      </c>
      <c r="FC112" s="67">
        <f>IFERROR(IF(($ET112)&gt;0,($ET112-$EN112-$EQ112)/($ET112),""),"")</f>
        <v/>
      </c>
      <c r="FD112" s="67">
        <f>IFERROR(IF(($EU112)&gt;0,($EU112-$EO112-$ER112)/($EU112),""),"")</f>
        <v/>
      </c>
      <c r="FE112" s="67">
        <f>IFERROR(IF(($EV112)&gt;0,($EV112-$EP112-$ES112)/($EV112),""),"")</f>
        <v/>
      </c>
      <c r="FF112" s="67">
        <f>IFERROR(IF(($ET112-$EN112-$EQ112)&gt;0,($EK112)/($ET112-$EN112-$EQ112),""),"")</f>
        <v/>
      </c>
      <c r="FG112" s="67">
        <f>IFERROR(IF(($EU112-$EO112-$ER112)&gt;0,($EL112)/($EU112-$EO112-$ER112),""),"")</f>
        <v/>
      </c>
      <c r="FH112" s="67">
        <f>IFERROR(IF(($EV112-$EP112-$ES112)&gt;0,($EM112)/($EV112-$EP112-$ES112),""),"")</f>
        <v/>
      </c>
      <c r="FI112" s="55">
        <f>SUMIFS(tblPlant[Cyanide_kg],tblPlant[Date],$A112)</f>
        <v/>
      </c>
      <c r="FJ112" s="55">
        <f>IF($B112=$B111,$FJ111,0)+$FI112</f>
        <v/>
      </c>
      <c r="FK112" s="55">
        <f>$FK111+$FI112</f>
        <v/>
      </c>
      <c r="FL112" s="55">
        <f>SUMIFS(tblPlant[Lime_kg],tblPlant[Date],$A112)</f>
        <v/>
      </c>
      <c r="FM112" s="55">
        <f>IF($B112=$B111,$FM111,0)+$FL112</f>
        <v/>
      </c>
      <c r="FN112" s="55">
        <f>$FN111+$FL112</f>
        <v/>
      </c>
      <c r="FO112" s="55">
        <f>SUMIFS(tblPlant[Grinding_Media_kg],tblPlant[Date],$A112)</f>
        <v/>
      </c>
      <c r="FP112" s="55">
        <f>IF($B112=$B111,$FP111,0)+$FO112</f>
        <v/>
      </c>
      <c r="FQ112" s="55">
        <f>$FQ111+$FO112</f>
        <v/>
      </c>
      <c r="FR112" s="55">
        <f>SUMIFS(tblPlant[Power_kWh],tblPlant[Date],$A112)</f>
        <v/>
      </c>
      <c r="FS112" s="55">
        <f>IF($B112=$B111,$FS111,0)+$FR112</f>
        <v/>
      </c>
      <c r="FT112" s="55">
        <f>$FT111+$FR112</f>
        <v/>
      </c>
      <c r="FU112" s="55">
        <f>SUMIFS(tblPlant[Raw_Water_m3],tblPlant[Date],$A112)</f>
        <v/>
      </c>
      <c r="FV112" s="55">
        <f>IF($B112=$B111,$FV111,0)+$FU112</f>
        <v/>
      </c>
      <c r="FW112" s="55">
        <f>$FW111+$FU112</f>
        <v/>
      </c>
      <c r="FX112" s="56">
        <f>IFERROR(IF(($CU112)&gt;0,($FI112)/($CU112),""),"")</f>
        <v/>
      </c>
      <c r="FY112" s="56">
        <f>IFERROR(IF(($CV112)&gt;0,($FJ112)/($CV112),""),"")</f>
        <v/>
      </c>
      <c r="FZ112" s="56">
        <f>IFERROR(IF(($CW112)&gt;0,($FK112)/($CW112),""),"")</f>
        <v/>
      </c>
      <c r="GA112" s="56">
        <f>IFERROR(IF(($CU112)&gt;0,($FL112)/($CU112),""),"")</f>
        <v/>
      </c>
      <c r="GB112" s="56">
        <f>IFERROR(IF(($CV112)&gt;0,($FM112)/($CV112),""),"")</f>
        <v/>
      </c>
      <c r="GC112" s="56">
        <f>IFERROR(IF(($CW112)&gt;0,($FN112)/($CW112),""),"")</f>
        <v/>
      </c>
      <c r="GD112" s="56">
        <f>IFERROR(IF(($CU112)&gt;0,($FO112)/($CU112),""),"")</f>
        <v/>
      </c>
      <c r="GE112" s="56">
        <f>IFERROR(IF(($CV112)&gt;0,($FP112)/($CV112),""),"")</f>
        <v/>
      </c>
      <c r="GF112" s="56">
        <f>IFERROR(IF(($CW112)&gt;0,($FQ112)/($CW112),""),"")</f>
        <v/>
      </c>
      <c r="GG112" s="79">
        <f>IFERROR(IF(($CU112)&gt;0,($FR112)/($CU112),""),"")</f>
        <v/>
      </c>
      <c r="GH112" s="79">
        <f>IFERROR(IF(($CV112)&gt;0,($FS112)/($CV112),""),"")</f>
        <v/>
      </c>
      <c r="GI112" s="79">
        <f>IFERROR(IF(($CW112)&gt;0,($FT112)/($CW112),""),"")</f>
        <v/>
      </c>
      <c r="GJ112" s="56">
        <f>IFERROR(IF(($CU112)&gt;0,($FU112)/($CU112),""),"")</f>
        <v/>
      </c>
      <c r="GK112" s="56">
        <f>IFERROR(IF(($CV112)&gt;0,($FV112)/($CV112),""),"")</f>
        <v/>
      </c>
      <c r="GL112" s="56">
        <f>IFERROR(IF(($CW112)&gt;0,($FW112)/($CW112),""),"")</f>
        <v/>
      </c>
      <c r="GM112" s="55">
        <f>IF(SUMIFS(tblPlant[GIC_oz],tblPlant[Date],$A112)&gt;0,SUMIFS(tblPlant[GIC_oz],tblPlant[Date],$A112),"")</f>
        <v/>
      </c>
      <c r="GN112" s="55">
        <f>SUMIFS(tblGold[Gold_oz],tblGold[Date],$A112,tblGold[Type],"Shipment")</f>
        <v/>
      </c>
      <c r="GO112" s="55">
        <f>IF($B112=$B111,$GO111,0)+$GN112</f>
        <v/>
      </c>
      <c r="GP112" s="55">
        <f>$GP111+$GN112</f>
        <v/>
      </c>
      <c r="GQ112" s="55">
        <f>SUMIFS(tblGold[Gold_oz],tblGold[Date],$A112,tblGold[Type],"Sale")</f>
        <v/>
      </c>
      <c r="GR112" s="55">
        <f>IF($B112=$B111,$GR111,0)+$GQ112</f>
        <v/>
      </c>
      <c r="GS112" s="55">
        <f>$GS111+$GQ112</f>
        <v/>
      </c>
      <c r="GT112" s="55">
        <f>SUMIFS(tblGold[Dore_kg],tblGold[Date],$A112,tblGold[Type],"Shipment")</f>
        <v/>
      </c>
      <c r="GU112" s="55">
        <f>IF($B112=$B111,$GU111,0)+$GT112</f>
        <v/>
      </c>
      <c r="GV112" s="55">
        <f>$GV111+$GT112</f>
        <v/>
      </c>
      <c r="GW112" s="57">
        <f>SUMIFS(tblSafety[Hours_Total],tblSafety[Date],$A112)</f>
        <v/>
      </c>
      <c r="GX112" s="57">
        <f>IF($B112=$B111,$GX111,0)+$GW112</f>
        <v/>
      </c>
      <c r="GY112" s="57">
        <f>$GY111+$GW112</f>
        <v/>
      </c>
      <c r="GZ112" s="62">
        <f>SUMIFS(tblSafety[Fatality],tblSafety[Date],$A112)</f>
        <v/>
      </c>
      <c r="HA112" s="62">
        <f>IF($B112=$B111,$HA111,0)+$GZ112</f>
        <v/>
      </c>
      <c r="HB112" s="62">
        <f>$HB111+$GZ112</f>
        <v/>
      </c>
      <c r="HC112" s="62">
        <f>SUMIFS(tblSafety[LTI],tblSafety[Date],$A112)</f>
        <v/>
      </c>
      <c r="HD112" s="62">
        <f>IF($B112=$B111,$HD111,0)+$HC112</f>
        <v/>
      </c>
      <c r="HE112" s="62">
        <f>$HE111+$HC112</f>
        <v/>
      </c>
      <c r="HF112" s="62">
        <f>SUMIFS(tblSafety[RWI],tblSafety[Date],$A112)</f>
        <v/>
      </c>
      <c r="HG112" s="62">
        <f>IF($B112=$B111,$HG111,0)+$HF112</f>
        <v/>
      </c>
      <c r="HH112" s="62">
        <f>$HH111+$HF112</f>
        <v/>
      </c>
      <c r="HI112" s="62">
        <f>SUMIFS(tblSafety[MTI],tblSafety[Date],$A112)</f>
        <v/>
      </c>
      <c r="HJ112" s="62">
        <f>IF($B112=$B111,$HJ111,0)+$HI112</f>
        <v/>
      </c>
      <c r="HK112" s="62">
        <f>$HK111+$HI112</f>
        <v/>
      </c>
      <c r="HL112" s="62">
        <f>SUMIFS(tblSafety[FAI],tblSafety[Date],$A112)</f>
        <v/>
      </c>
      <c r="HM112" s="62">
        <f>IF($B112=$B111,$HM111,0)+$HL112</f>
        <v/>
      </c>
      <c r="HN112" s="62">
        <f>$HN111+$HL112</f>
        <v/>
      </c>
      <c r="HO112" s="62">
        <f>SUMIFS(tblSafety[Recordables],tblSafety[Date],$A112)</f>
        <v/>
      </c>
      <c r="HP112" s="62">
        <f>IF($B112=$B111,$HP111,0)+$HO112</f>
        <v/>
      </c>
      <c r="HQ112" s="62">
        <f>$HQ111+$HO112</f>
        <v/>
      </c>
      <c r="HR112" s="62">
        <f>SUMIFS(tblSafety[Near_Miss],tblSafety[Date],$A112)</f>
        <v/>
      </c>
      <c r="HS112" s="62">
        <f>IF($B112=$B111,$HS111,0)+$HR112</f>
        <v/>
      </c>
      <c r="HT112" s="62">
        <f>$HT111+$HR112</f>
        <v/>
      </c>
      <c r="HU112" s="62">
        <f>SUMIFS(tblSafety[Hazard_Reports],tblSafety[Date],$A112)</f>
        <v/>
      </c>
      <c r="HV112" s="62">
        <f>IF($B112=$B111,$HV111,0)+$HU112</f>
        <v/>
      </c>
      <c r="HW112" s="62">
        <f>$HW111+$HU112</f>
        <v/>
      </c>
      <c r="HX112" s="62">
        <f>SUMIFS(tblSafety[HPI],tblSafety[Date],$A112)</f>
        <v/>
      </c>
      <c r="HY112" s="62">
        <f>IF($B112=$B111,$HY111,0)+$HX112</f>
        <v/>
      </c>
      <c r="HZ112" s="62">
        <f>$HZ111+$HX112</f>
        <v/>
      </c>
      <c r="IA112" s="62">
        <f>SUMIFS(tblSafety[Env_Incidents],tblSafety[Date],$A112)</f>
        <v/>
      </c>
      <c r="IB112" s="62">
        <f>IF($B112=$B111,$IB111,0)+$IA112</f>
        <v/>
      </c>
      <c r="IC112" s="62">
        <f>$IC111+$IA112</f>
        <v/>
      </c>
      <c r="ID112" s="62">
        <f>SUMIFS(tblSafety[Community_Incidents],tblSafety[Date],$A112)</f>
        <v/>
      </c>
      <c r="IE112" s="62">
        <f>IF($B112=$B111,$IE111,0)+$ID112</f>
        <v/>
      </c>
      <c r="IF112" s="62">
        <f>$IF111+$ID112</f>
        <v/>
      </c>
      <c r="IG112" s="62">
        <f>SUMIFS(tblSafety[Vehicle_Incidents],tblSafety[Date],$A112)</f>
        <v/>
      </c>
      <c r="IH112" s="62">
        <f>IF($B112=$B111,$IH111,0)+$IG112</f>
        <v/>
      </c>
      <c r="II112" s="62">
        <f>$II111+$IG112</f>
        <v/>
      </c>
      <c r="IJ112" s="62">
        <f>SUMIFS(tblSafety[Toolbox_Talks],tblSafety[Date],$A112)</f>
        <v/>
      </c>
      <c r="IK112" s="62">
        <f>IF($B112=$B111,$IK111,0)+$IJ112</f>
        <v/>
      </c>
      <c r="IL112" s="62">
        <f>$IL111+$IJ112</f>
        <v/>
      </c>
      <c r="IM112" s="62">
        <f>SUMIFS(tblSafety[Inspections],tblSafety[Date],$A112)</f>
        <v/>
      </c>
      <c r="IN112" s="62">
        <f>IF($B112=$B111,$IN111,0)+$IM112</f>
        <v/>
      </c>
      <c r="IO112" s="62">
        <f>$IO111+$IM112</f>
        <v/>
      </c>
      <c r="IP112" s="56">
        <f>IFERROR((SUMIFS(tblSafety[Recordables],tblSafety[Date],"&gt;="&amp;EDATE($E112,-12),tblSafety[Date],"&lt;="&amp;$A112)+SUMIFS(tblSafetyHistory[Recordables],tblSafetyHistory[Month],"&gt;="&amp;EDATE($E112,-12),tblSafetyHistory[Month],"&lt;"&amp;$E112,tblSafetyHistory[Use],1))/(SUMIFS(tblSafety[Hours_Total],tblSafety[Date],"&gt;="&amp;EDATE($E112,-12),tblSafety[Date],"&lt;="&amp;$A112)+SUMIFS(tblSafetyHistory[Hours_Total],tblSafetyHistory[Month],"&gt;="&amp;EDATE($E112,-12),tblSafetyHistory[Month],"&lt;"&amp;$E112,tblSafetyHistory[Use],1))*cfg_RateBasisHours,"")</f>
        <v/>
      </c>
      <c r="IQ112" s="56">
        <f>IFERROR((SUMIFS(tblSafety[LTI],tblSafety[Date],"&gt;="&amp;EDATE($E112,-12),tblSafety[Date],"&lt;="&amp;$A112)+SUMIFS(tblSafetyHistory[LTI],tblSafetyHistory[Month],"&gt;="&amp;EDATE($E112,-12),tblSafetyHistory[Month],"&lt;"&amp;$E112,tblSafetyHistory[Use],1))/(SUMIFS(tblSafety[Hours_Total],tblSafety[Date],"&gt;="&amp;EDATE($E112,-12),tblSafety[Date],"&lt;="&amp;$A112)+SUMIFS(tblSafetyHistory[Hours_Total],tblSafetyHistory[Month],"&gt;="&amp;EDATE($E112,-12),tblSafetyHistory[Month],"&lt;"&amp;$E112,tblSafetyHistory[Use],1))*cfg_RateBasisHours,"")</f>
        <v/>
      </c>
      <c r="IR112" s="62">
        <f>IF(MAX(N(cfg_PriorLTIDate),_xlfn.MAXIFS(tblSafety[Date],tblSafety[LTI],"&gt;0",tblSafety[Date],"&lt;="&amp;$A112))=0,"",$A112-MAX(N(cfg_PriorLTIDate),_xlfn.MAXIFS(tblSafety[Date],tblSafety[LTI],"&gt;0",tblSafety[Date],"&lt;="&amp;$A112)))</f>
        <v/>
      </c>
      <c r="IS112" s="55">
        <f>SUMIFS(tblBudget[Ore_Mined_t],tblBudget[Month],$E112)</f>
        <v/>
      </c>
      <c r="IT112" s="55">
        <f>$IS112*$C112/$D112</f>
        <v/>
      </c>
      <c r="IU112" s="55">
        <f>SUMIFS(tblBudget[Ore_Mined_t],tblBudget[Month],"&lt;"&amp;$E112)+$IT112</f>
        <v/>
      </c>
      <c r="IV112" s="55">
        <f>SUMIFS(tblBudget[Ore_oz],tblBudget[Month],$E112)</f>
        <v/>
      </c>
      <c r="IW112" s="55">
        <f>$IV112*$C112/$D112</f>
        <v/>
      </c>
      <c r="IX112" s="55">
        <f>SUMIFS(tblBudget[Ore_oz],tblBudget[Month],"&lt;"&amp;$E112)+$IW112</f>
        <v/>
      </c>
      <c r="IY112" s="55">
        <f>SUMIFS(tblBudget[Ore_Mined_t],tblBudget[Month],$E112)</f>
        <v/>
      </c>
      <c r="IZ112" s="55">
        <f>$IY112*$C112/$D112</f>
        <v/>
      </c>
      <c r="JA112" s="55">
        <f>SUMIFS(tblBudget[Ore_Mined_t],tblBudget[Month],"&lt;"&amp;$E112)+$IZ112</f>
        <v/>
      </c>
      <c r="JB112" s="56">
        <f>IFERROR(IF(($IY112)&gt;0,($IV112*cfg_TroyOz)/($IY112),""),"")</f>
        <v/>
      </c>
      <c r="JC112" s="56">
        <f>IFERROR(IF(($IZ112)&gt;0,($IW112*cfg_TroyOz)/($IZ112),""),"")</f>
        <v/>
      </c>
      <c r="JD112" s="56">
        <f>IFERROR(IF(($JA112)&gt;0,($IX112*cfg_TroyOz)/($JA112),""),"")</f>
        <v/>
      </c>
      <c r="JE112" s="55">
        <f>SUMIFS(tblBudget[Waste_t],tblBudget[Month],$E112)</f>
        <v/>
      </c>
      <c r="JF112" s="55">
        <f>$JE112*$C112/$D112</f>
        <v/>
      </c>
      <c r="JG112" s="55">
        <f>SUMIFS(tblBudget[Waste_t],tblBudget[Month],"&lt;"&amp;$E112)+$JF112</f>
        <v/>
      </c>
      <c r="JH112" s="55">
        <f>SUMIFS(tblBudget[TMM_t],tblBudget[Month],$E112)</f>
        <v/>
      </c>
      <c r="JI112" s="55">
        <f>$JH112*$C112/$D112</f>
        <v/>
      </c>
      <c r="JJ112" s="55">
        <f>SUMIFS(tblBudget[TMM_t],tblBudget[Month],"&lt;"&amp;$E112)+$JI112</f>
        <v/>
      </c>
      <c r="JK112" s="56">
        <f>IFERROR(IF(($IS112)&gt;0,($JE112)/($IS112),""),"")</f>
        <v/>
      </c>
      <c r="JL112" s="56">
        <f>IFERROR(IF(($IT112)&gt;0,($JF112)/($IT112),""),"")</f>
        <v/>
      </c>
      <c r="JM112" s="56">
        <f>IFERROR(IF(($IU112)&gt;0,($JG112)/($IU112),""),"")</f>
        <v/>
      </c>
      <c r="JN112" s="55">
        <f>SUMIFS(tblBudget[Drill_m],tblBudget[Month],$E112)</f>
        <v/>
      </c>
      <c r="JO112" s="55">
        <f>$JN112*$C112/$D112</f>
        <v/>
      </c>
      <c r="JP112" s="55">
        <f>SUMIFS(tblBudget[Drill_m],tblBudget[Month],"&lt;"&amp;$E112)+$JO112</f>
        <v/>
      </c>
      <c r="JQ112" s="55">
        <f>SUMIFS(tblBudget[Diesel_L],tblBudget[Month],$E112)</f>
        <v/>
      </c>
      <c r="JR112" s="55">
        <f>$JQ112*$C112/$D112</f>
        <v/>
      </c>
      <c r="JS112" s="55">
        <f>SUMIFS(tblBudget[Diesel_L],tblBudget[Month],"&lt;"&amp;$E112)+$JR112</f>
        <v/>
      </c>
      <c r="JT112" s="55">
        <f>SUMIFS(tblBudget[Milled_t],tblBudget[Month],$E112)</f>
        <v/>
      </c>
      <c r="JU112" s="55">
        <f>$JT112*$C112/$D112</f>
        <v/>
      </c>
      <c r="JV112" s="55">
        <f>SUMIFS(tblBudget[Milled_t],tblBudget[Month],"&lt;"&amp;$E112)+$JU112</f>
        <v/>
      </c>
      <c r="JW112" s="55">
        <f>SUMIFS(tblBudget[Feed_oz],tblBudget[Month],$E112)</f>
        <v/>
      </c>
      <c r="JX112" s="55">
        <f>$JW112*$C112/$D112</f>
        <v/>
      </c>
      <c r="JY112" s="55">
        <f>SUMIFS(tblBudget[Feed_oz],tblBudget[Month],"&lt;"&amp;$E112)+$JX112</f>
        <v/>
      </c>
      <c r="JZ112" s="55">
        <f>SUMIFS(tblBudget[Recovered_oz],tblBudget[Month],$E112)</f>
        <v/>
      </c>
      <c r="KA112" s="55">
        <f>$JZ112*$C112/$D112</f>
        <v/>
      </c>
      <c r="KB112" s="55">
        <f>SUMIFS(tblBudget[Recovered_oz],tblBudget[Month],"&lt;"&amp;$E112)+$KA112</f>
        <v/>
      </c>
      <c r="KC112" s="55">
        <f>SUMIFS(tblBudget[Milled_t],tblBudget[Month],$E112)</f>
        <v/>
      </c>
      <c r="KD112" s="55">
        <f>$KC112*$C112/$D112</f>
        <v/>
      </c>
      <c r="KE112" s="55">
        <f>SUMIFS(tblBudget[Milled_t],tblBudget[Month],"&lt;"&amp;$E112)+$KD112</f>
        <v/>
      </c>
      <c r="KF112" s="55">
        <f>SUMIFS(tblBudget[Feed_oz],tblBudget[Month],$E112)</f>
        <v/>
      </c>
      <c r="KG112" s="55">
        <f>$KF112*$C112/$D112</f>
        <v/>
      </c>
      <c r="KH112" s="55">
        <f>SUMIFS(tblBudget[Feed_oz],tblBudget[Month],"&lt;"&amp;$E112)+$KG112</f>
        <v/>
      </c>
      <c r="KI112" s="56">
        <f>IFERROR(IF(($KC112)&gt;0,($JW112*cfg_TroyOz)/($KC112),""),"")</f>
        <v/>
      </c>
      <c r="KJ112" s="56">
        <f>IFERROR(IF(($KD112)&gt;0,($JX112*cfg_TroyOz)/($KD112),""),"")</f>
        <v/>
      </c>
      <c r="KK112" s="56">
        <f>IFERROR(IF(($KE112)&gt;0,($JY112*cfg_TroyOz)/($KE112),""),"")</f>
        <v/>
      </c>
      <c r="KL112" s="67">
        <f>IFERROR(IF(($KF112)&gt;0,($JZ112)/($KF112),""),"")</f>
        <v/>
      </c>
      <c r="KM112" s="67">
        <f>IFERROR(IF(($KG112)&gt;0,($KA112)/($KG112),""),"")</f>
        <v/>
      </c>
      <c r="KN112" s="67">
        <f>IFERROR(IF(($KH112)&gt;0,($KB112)/($KH112),""),"")</f>
        <v/>
      </c>
      <c r="KO112" s="55">
        <f>SUMIFS(tblBudget[Gold_Poured_oz],tblBudget[Month],$E112)</f>
        <v/>
      </c>
      <c r="KP112" s="55">
        <f>$KO112*$C112/$D112</f>
        <v/>
      </c>
      <c r="KQ112" s="55">
        <f>SUMIFS(tblBudget[Gold_Poured_oz],tblBudget[Month],"&lt;"&amp;$E112)+$KP112</f>
        <v/>
      </c>
      <c r="KR112" s="57">
        <f>SUMIFS(tblBudget[Hours_Worked],tblBudget[Month],$E112)</f>
        <v/>
      </c>
      <c r="KS112" s="57">
        <f>$KR112*$C112/$D112</f>
        <v/>
      </c>
      <c r="KT112" s="57">
        <f>SUMIFS(tblBudget[Hours_Worked],tblBudget[Month],"&lt;"&amp;$E112)+$KS112</f>
        <v/>
      </c>
    </row>
    <row r="113">
      <c r="A113" s="54" t="n">
        <v>46134</v>
      </c>
      <c r="B113">
        <f>MONTH($A113)</f>
        <v/>
      </c>
      <c r="C113">
        <f>DAY($A113)</f>
        <v/>
      </c>
      <c r="D113">
        <f>DAY(EOMONTH($A113,0))</f>
        <v/>
      </c>
      <c r="E113" s="54">
        <f>DATE(YEAR($A113),MONTH($A113),1)</f>
        <v/>
      </c>
      <c r="F113" s="55">
        <f>SUMIFS(tblMovement[Tonnes_t],tblMovement[Date],$A113,tblMovement[Is_Ore],1,tblMovement[Source_Type],"Pit")</f>
        <v/>
      </c>
      <c r="G113" s="55">
        <f>IF($B113=$B112,$G112,0)+$F113</f>
        <v/>
      </c>
      <c r="H113" s="55">
        <f>$H112+$F113</f>
        <v/>
      </c>
      <c r="I113" s="55">
        <f>SUMIFS(tblMovement[Ore_oz],tblMovement[Date],$A113,tblMovement[Source_Type],"Pit")</f>
        <v/>
      </c>
      <c r="J113" s="55">
        <f>IF($B113=$B112,$J112,0)+$I113</f>
        <v/>
      </c>
      <c r="K113" s="55">
        <f>$K112+$I113</f>
        <v/>
      </c>
      <c r="L113" s="55">
        <f>SUMIFS(tblMovement[Tonnes_t],tblMovement[Date],$A113,tblMovement[Is_Ore],1,tblMovement[Source_Type],"Pit",tblMovement[Grade_gpt],"&lt;&gt;")</f>
        <v/>
      </c>
      <c r="M113" s="55">
        <f>IF($B113=$B112,$M112,0)+$L113</f>
        <v/>
      </c>
      <c r="N113" s="55">
        <f>$N112+$L113</f>
        <v/>
      </c>
      <c r="O113" s="56">
        <f>IFERROR(IF(($L113)&gt;0,($I113*cfg_TroyOz)/($L113),""),"")</f>
        <v/>
      </c>
      <c r="P113" s="56">
        <f>IFERROR(IF(($M113)&gt;0,($J113*cfg_TroyOz)/($M113),""),"")</f>
        <v/>
      </c>
      <c r="Q113" s="56">
        <f>IFERROR(IF(($N113)&gt;0,($K113*cfg_TroyOz)/($N113),""),"")</f>
        <v/>
      </c>
      <c r="R113" s="55">
        <f>$F113-$L113</f>
        <v/>
      </c>
      <c r="S113" s="55">
        <f>IF($B113=$B112,$S112,0)+$R113</f>
        <v/>
      </c>
      <c r="T113" s="55">
        <f>$T112+$R113</f>
        <v/>
      </c>
      <c r="U113" s="55">
        <f>SUMIFS(tblMovement[Tonnes_t],tblMovement[Date],$A113,tblMovement[Is_Ore],0,tblMovement[Source_Type],"Pit")</f>
        <v/>
      </c>
      <c r="V113" s="55">
        <f>IF($B113=$B112,$V112,0)+$U113</f>
        <v/>
      </c>
      <c r="W113" s="55">
        <f>$W112+$U113</f>
        <v/>
      </c>
      <c r="X113" s="55">
        <f>$F113+$U113</f>
        <v/>
      </c>
      <c r="Y113" s="55">
        <f>IF($B113=$B112,$Y112,0)+$X113</f>
        <v/>
      </c>
      <c r="Z113" s="55">
        <f>$Z112+$X113</f>
        <v/>
      </c>
      <c r="AA113" s="56">
        <f>IFERROR(IF(($F113)&gt;0,($U113)/($F113),""),"")</f>
        <v/>
      </c>
      <c r="AB113" s="56">
        <f>IFERROR(IF(($G113)&gt;0,($V113)/($G113),""),"")</f>
        <v/>
      </c>
      <c r="AC113" s="56">
        <f>IFERROR(IF(($H113)&gt;0,($W113)/($H113),""),"")</f>
        <v/>
      </c>
      <c r="AD113" s="55">
        <f>SUMIFS(tblMovement[Tonnes_t],tblMovement[Date],$A113,tblMovement[Source_Type],"Stockpile")</f>
        <v/>
      </c>
      <c r="AE113" s="55">
        <f>IF($B113=$B112,$AE112,0)+$AD113</f>
        <v/>
      </c>
      <c r="AF113" s="55">
        <f>$AF112+$AD113</f>
        <v/>
      </c>
      <c r="AG113" s="55">
        <f>SUMIFS(tblMovement[Tonnes_t],tblMovement[Date],$A113)</f>
        <v/>
      </c>
      <c r="AH113" s="55">
        <f>IF($B113=$B112,$AH112,0)+$AG113</f>
        <v/>
      </c>
      <c r="AI113" s="55">
        <f>$AI112+$AG113</f>
        <v/>
      </c>
      <c r="AJ113" s="55">
        <f>$AG113-$X113-$AD113</f>
        <v/>
      </c>
      <c r="AK113" s="55">
        <f>IF($B113=$B112,$AK112,0)+$AJ113</f>
        <v/>
      </c>
      <c r="AL113" s="55">
        <f>$AL112+$AJ113</f>
        <v/>
      </c>
      <c r="AM113" s="55">
        <f>SUMIFS(tblMiningDaily[Drill_m],tblMiningDaily[Date],$A113)</f>
        <v/>
      </c>
      <c r="AN113" s="55">
        <f>IF($B113=$B112,$AN112,0)+$AM113</f>
        <v/>
      </c>
      <c r="AO113" s="55">
        <f>$AO112+$AM113</f>
        <v/>
      </c>
      <c r="AP113" s="55">
        <f>SUMIFS(tblMiningDaily[GC_Drill_m],tblMiningDaily[Date],$A113)</f>
        <v/>
      </c>
      <c r="AQ113" s="55">
        <f>IF($B113=$B112,$AQ112,0)+$AP113</f>
        <v/>
      </c>
      <c r="AR113" s="55">
        <f>$AR112+$AP113</f>
        <v/>
      </c>
      <c r="AS113" s="55">
        <f>SUMIFS(tblMiningDaily[Blast_t],tblMiningDaily[Date],$A113)</f>
        <v/>
      </c>
      <c r="AT113" s="55">
        <f>IF($B113=$B112,$AT112,0)+$AS113</f>
        <v/>
      </c>
      <c r="AU113" s="55">
        <f>$AU112+$AS113</f>
        <v/>
      </c>
      <c r="AV113" s="55">
        <f>SUMIFS(tblMiningDaily[Explosives_kg],tblMiningDaily[Date],$A113)</f>
        <v/>
      </c>
      <c r="AW113" s="55">
        <f>IF($B113=$B112,$AW112,0)+$AV113</f>
        <v/>
      </c>
      <c r="AX113" s="55">
        <f>$AX112+$AV113</f>
        <v/>
      </c>
      <c r="AY113" s="56">
        <f>IFERROR(IF(($AS113)&gt;0,($AV113)/($AS113),""),"")</f>
        <v/>
      </c>
      <c r="AZ113" s="56">
        <f>IFERROR(IF(($AT113)&gt;0,($AW113)/($AT113),""),"")</f>
        <v/>
      </c>
      <c r="BA113" s="56">
        <f>IFERROR(IF(($AU113)&gt;0,($AX113)/($AU113),""),"")</f>
        <v/>
      </c>
      <c r="BB113" s="55">
        <f>SUMIFS(tblMiningDaily[Diesel_L],tblMiningDaily[Date],$A113)</f>
        <v/>
      </c>
      <c r="BC113" s="55">
        <f>IF($B113=$B112,$BC112,0)+$BB113</f>
        <v/>
      </c>
      <c r="BD113" s="55">
        <f>$BD112+$BB113</f>
        <v/>
      </c>
      <c r="BE113" s="55">
        <f>SUMIFS(tblMiningDaily[Dewatering_m3],tblMiningDaily[Date],$A113)</f>
        <v/>
      </c>
      <c r="BF113" s="55">
        <f>IF($B113=$B112,$BF112,0)+$BE113</f>
        <v/>
      </c>
      <c r="BG113" s="55">
        <f>$BG112+$BE113</f>
        <v/>
      </c>
      <c r="BH113" s="57">
        <f>SUMIFS(tblFleet[Calendar_h],tblFleet[Date],$A113,tblFleet[Equipment_Class],"Excavator")</f>
        <v/>
      </c>
      <c r="BI113" s="57">
        <f>IF($B113=$B112,$BI112,0)+$BH113</f>
        <v/>
      </c>
      <c r="BJ113" s="57">
        <f>$BJ112+$BH113</f>
        <v/>
      </c>
      <c r="BK113" s="57">
        <f>SUMIFS(tblFleet[Available_h],tblFleet[Date],$A113,tblFleet[Equipment_Class],"Excavator")</f>
        <v/>
      </c>
      <c r="BL113" s="57">
        <f>IF($B113=$B112,$BL112,0)+$BK113</f>
        <v/>
      </c>
      <c r="BM113" s="57">
        <f>$BM112+$BK113</f>
        <v/>
      </c>
      <c r="BN113" s="57">
        <f>SUMIFS(tblFleet[Operating_h],tblFleet[Date],$A113,tblFleet[Equipment_Class],"Excavator")</f>
        <v/>
      </c>
      <c r="BO113" s="57">
        <f>IF($B113=$B112,$BO112,0)+$BN113</f>
        <v/>
      </c>
      <c r="BP113" s="57">
        <f>$BP112+$BN113</f>
        <v/>
      </c>
      <c r="BQ113" s="67">
        <f>IFERROR(IF(($BH113)&gt;0,($BK113)/($BH113),""),"")</f>
        <v/>
      </c>
      <c r="BR113" s="67">
        <f>IFERROR(IF(($BI113)&gt;0,($BL113)/($BI113),""),"")</f>
        <v/>
      </c>
      <c r="BS113" s="67">
        <f>IFERROR(IF(($BJ113)&gt;0,($BM113)/($BJ113),""),"")</f>
        <v/>
      </c>
      <c r="BT113" s="67">
        <f>IFERROR(IF(($BK113)&gt;0,($BN113)/($BK113),""),"")</f>
        <v/>
      </c>
      <c r="BU113" s="67">
        <f>IFERROR(IF(($BL113)&gt;0,($BO113)/($BL113),""),"")</f>
        <v/>
      </c>
      <c r="BV113" s="67">
        <f>IFERROR(IF(($BM113)&gt;0,($BP113)/($BM113),""),"")</f>
        <v/>
      </c>
      <c r="BW113" s="57">
        <f>SUMIFS(tblFleet[Calendar_h],tblFleet[Date],$A113,tblFleet[Equipment_Class],"Haul Truck")</f>
        <v/>
      </c>
      <c r="BX113" s="57">
        <f>IF($B113=$B112,$BX112,0)+$BW113</f>
        <v/>
      </c>
      <c r="BY113" s="57">
        <f>$BY112+$BW113</f>
        <v/>
      </c>
      <c r="BZ113" s="57">
        <f>SUMIFS(tblFleet[Available_h],tblFleet[Date],$A113,tblFleet[Equipment_Class],"Haul Truck")</f>
        <v/>
      </c>
      <c r="CA113" s="57">
        <f>IF($B113=$B112,$CA112,0)+$BZ113</f>
        <v/>
      </c>
      <c r="CB113" s="57">
        <f>$CB112+$BZ113</f>
        <v/>
      </c>
      <c r="CC113" s="57">
        <f>SUMIFS(tblFleet[Operating_h],tblFleet[Date],$A113,tblFleet[Equipment_Class],"Haul Truck")</f>
        <v/>
      </c>
      <c r="CD113" s="57">
        <f>IF($B113=$B112,$CD112,0)+$CC113</f>
        <v/>
      </c>
      <c r="CE113" s="57">
        <f>$CE112+$CC113</f>
        <v/>
      </c>
      <c r="CF113" s="67">
        <f>IFERROR(IF(($BW113)&gt;0,($BZ113)/($BW113),""),"")</f>
        <v/>
      </c>
      <c r="CG113" s="67">
        <f>IFERROR(IF(($BX113)&gt;0,($CA113)/($BX113),""),"")</f>
        <v/>
      </c>
      <c r="CH113" s="67">
        <f>IFERROR(IF(($BY113)&gt;0,($CB113)/($BY113),""),"")</f>
        <v/>
      </c>
      <c r="CI113" s="67">
        <f>IFERROR(IF(($BZ113)&gt;0,($CC113)/($BZ113),""),"")</f>
        <v/>
      </c>
      <c r="CJ113" s="67">
        <f>IFERROR(IF(($CA113)&gt;0,($CD113)/($CA113),""),"")</f>
        <v/>
      </c>
      <c r="CK113" s="67">
        <f>IFERROR(IF(($CB113)&gt;0,($CE113)/($CB113),""),"")</f>
        <v/>
      </c>
      <c r="CL113" s="55">
        <f>IFERROR(IF(($BN113)&gt;0,($X113+$AD113)/($BN113),""),"")</f>
        <v/>
      </c>
      <c r="CM113" s="55">
        <f>IFERROR(IF(($BO113)&gt;0,($Y113+$AE113)/($BO113),""),"")</f>
        <v/>
      </c>
      <c r="CN113" s="55">
        <f>IFERROR(IF(($BP113)&gt;0,($Z113+$AF113)/($BP113),""),"")</f>
        <v/>
      </c>
      <c r="CO113" s="55">
        <f>IFERROR(IF(($CC113)&gt;0,($X113+$AD113)/($CC113),""),"")</f>
        <v/>
      </c>
      <c r="CP113" s="55">
        <f>IFERROR(IF(($CD113)&gt;0,($Y113+$AE113)/($CD113),""),"")</f>
        <v/>
      </c>
      <c r="CQ113" s="55">
        <f>IFERROR(IF(($CE113)&gt;0,($Z113+$AF113)/($CE113),""),"")</f>
        <v/>
      </c>
      <c r="CR113" s="55">
        <f>SUMIFS(tblPlant[Crushed_t],tblPlant[Date],$A113)</f>
        <v/>
      </c>
      <c r="CS113" s="55">
        <f>IF($B113=$B112,$CS112,0)+$CR113</f>
        <v/>
      </c>
      <c r="CT113" s="55">
        <f>$CT112+$CR113</f>
        <v/>
      </c>
      <c r="CU113" s="55">
        <f>SUMIFS(tblPlant[Milled_t],tblPlant[Date],$A113)</f>
        <v/>
      </c>
      <c r="CV113" s="55">
        <f>IF($B113=$B112,$CV112,0)+$CU113</f>
        <v/>
      </c>
      <c r="CW113" s="55">
        <f>$CW112+$CU113</f>
        <v/>
      </c>
      <c r="CX113" s="55">
        <f>SUMIFS(tblPlant[Feed_oz],tblPlant[Date],$A113)</f>
        <v/>
      </c>
      <c r="CY113" s="55">
        <f>IF($B113=$B112,$CY112,0)+$CX113</f>
        <v/>
      </c>
      <c r="CZ113" s="55">
        <f>$CZ112+$CX113</f>
        <v/>
      </c>
      <c r="DA113" s="55">
        <f>SUMIFS(tblPlant[Tails_oz],tblPlant[Date],$A113)</f>
        <v/>
      </c>
      <c r="DB113" s="55">
        <f>IF($B113=$B112,$DB112,0)+$DA113</f>
        <v/>
      </c>
      <c r="DC113" s="55">
        <f>$DC112+$DA113</f>
        <v/>
      </c>
      <c r="DD113" s="55">
        <f>SUMIFS(tblPlant[Recovered_oz],tblPlant[Date],$A113)</f>
        <v/>
      </c>
      <c r="DE113" s="55">
        <f>IF($B113=$B112,$DE112,0)+$DD113</f>
        <v/>
      </c>
      <c r="DF113" s="55">
        <f>$DF112+$DD113</f>
        <v/>
      </c>
      <c r="DG113" s="55">
        <f>SUMIFS(tblPlant[Milled_t],tblPlant[Date],$A113,tblPlant[Head_Grade_gpt],"&lt;&gt;")</f>
        <v/>
      </c>
      <c r="DH113" s="55">
        <f>IF($B113=$B112,$DH112,0)+$DG113</f>
        <v/>
      </c>
      <c r="DI113" s="55">
        <f>$DI112+$DG113</f>
        <v/>
      </c>
      <c r="DJ113" s="55">
        <f>SUMIFS(tblPlant[Milled_t],tblPlant[Date],$A113,tblPlant[Tails_Grade_gpt],"&lt;&gt;")</f>
        <v/>
      </c>
      <c r="DK113" s="55">
        <f>IF($B113=$B112,$DK112,0)+$DJ113</f>
        <v/>
      </c>
      <c r="DL113" s="55">
        <f>$DL112+$DJ113</f>
        <v/>
      </c>
      <c r="DM113" s="55">
        <f>SUMIFS(tblPlant[Feed_oz],tblPlant[Date],$A113,tblPlant[Tails_Grade_gpt],"&lt;&gt;")</f>
        <v/>
      </c>
      <c r="DN113" s="55">
        <f>IF($B113=$B112,$DN112,0)+$DM113</f>
        <v/>
      </c>
      <c r="DO113" s="55">
        <f>$DO112+$DM113</f>
        <v/>
      </c>
      <c r="DP113" s="55">
        <f>SUMIFS(tblPlant[Milled_t],tblPlant[Date],$A113,tblPlant[Mill_Run_h],"&lt;&gt;")</f>
        <v/>
      </c>
      <c r="DQ113" s="55">
        <f>IF($B113=$B112,$DQ112,0)+$DP113</f>
        <v/>
      </c>
      <c r="DR113" s="55">
        <f>$DR112+$DP113</f>
        <v/>
      </c>
      <c r="DS113" s="56">
        <f>IFERROR(IF(($DG113)&gt;0,($CX113*cfg_TroyOz)/($DG113),""),"")</f>
        <v/>
      </c>
      <c r="DT113" s="56">
        <f>IFERROR(IF(($DH113)&gt;0,($CY113*cfg_TroyOz)/($DH113),""),"")</f>
        <v/>
      </c>
      <c r="DU113" s="56">
        <f>IFERROR(IF(($DI113)&gt;0,($CZ113*cfg_TroyOz)/($DI113),""),"")</f>
        <v/>
      </c>
      <c r="DV113" s="56">
        <f>IFERROR(IF(($DJ113)&gt;0,($DA113*cfg_TroyOz)/($DJ113),""),"")</f>
        <v/>
      </c>
      <c r="DW113" s="56">
        <f>IFERROR(IF(($DK113)&gt;0,($DB113*cfg_TroyOz)/($DK113),""),"")</f>
        <v/>
      </c>
      <c r="DX113" s="56">
        <f>IFERROR(IF(($DL113)&gt;0,($DC113*cfg_TroyOz)/($DL113),""),"")</f>
        <v/>
      </c>
      <c r="DY113" s="67">
        <f>IFERROR(IF(($DM113)&gt;0,($DD113)/($DM113),""),"")</f>
        <v/>
      </c>
      <c r="DZ113" s="67">
        <f>IFERROR(IF(($DN113)&gt;0,($DE113)/($DN113),""),"")</f>
        <v/>
      </c>
      <c r="EA113" s="67">
        <f>IFERROR(IF(($DO113)&gt;0,($DF113)/($DO113),""),"")</f>
        <v/>
      </c>
      <c r="EB113" s="55">
        <f>SUMIFS(tblPlant[Gravity_Gold_oz],tblPlant[Date],$A113)</f>
        <v/>
      </c>
      <c r="EC113" s="55">
        <f>IF($B113=$B112,$EC112,0)+$EB113</f>
        <v/>
      </c>
      <c r="ED113" s="55">
        <f>$ED112+$EB113</f>
        <v/>
      </c>
      <c r="EE113" s="67">
        <f>IFERROR(IF(($DD113)&gt;0,($EB113)/($DD113),""),"")</f>
        <v/>
      </c>
      <c r="EF113" s="67">
        <f>IFERROR(IF(($DE113)&gt;0,($EC113)/($DE113),""),"")</f>
        <v/>
      </c>
      <c r="EG113" s="67">
        <f>IFERROR(IF(($DF113)&gt;0,($ED113)/($DF113),""),"")</f>
        <v/>
      </c>
      <c r="EH113" s="55">
        <f>SUMIFS(tblPlant[Gold_Poured_oz],tblPlant[Date],$A113)</f>
        <v/>
      </c>
      <c r="EI113" s="55">
        <f>IF($B113=$B112,$EI112,0)+$EH113</f>
        <v/>
      </c>
      <c r="EJ113" s="55">
        <f>$EJ112+$EH113</f>
        <v/>
      </c>
      <c r="EK113" s="57">
        <f>SUMIFS(tblPlant[Mill_Run_h],tblPlant[Date],$A113)</f>
        <v/>
      </c>
      <c r="EL113" s="57">
        <f>IF($B113=$B112,$EL112,0)+$EK113</f>
        <v/>
      </c>
      <c r="EM113" s="57">
        <f>$EM112+$EK113</f>
        <v/>
      </c>
      <c r="EN113" s="57">
        <f>SUMIFS(tblPlant[Mill_Planned_Maint_h],tblPlant[Date],$A113)</f>
        <v/>
      </c>
      <c r="EO113" s="57">
        <f>IF($B113=$B112,$EO112,0)+$EN113</f>
        <v/>
      </c>
      <c r="EP113" s="57">
        <f>$EP112+$EN113</f>
        <v/>
      </c>
      <c r="EQ113" s="57">
        <f>SUMIFS(tblPlant[Mill_Unplanned_Down_h],tblPlant[Date],$A113)</f>
        <v/>
      </c>
      <c r="ER113" s="57">
        <f>IF($B113=$B112,$ER112,0)+$EQ113</f>
        <v/>
      </c>
      <c r="ES113" s="57">
        <f>$ES112+$EQ113</f>
        <v/>
      </c>
      <c r="ET113" s="57">
        <f>IF(COUNTIFS(tblPlant[Date],$A113,tblPlant[Mill_Run_h],"&lt;&gt;")+COUNTIFS(tblPlant[Date],$A113,tblPlant[Mill_Planned_Maint_h],"&lt;&gt;")+COUNTIFS(tblPlant[Date],$A113,tblPlant[Mill_Unplanned_Down_h],"&lt;&gt;")&gt;0,cfg_HoursPerDay,0)</f>
        <v/>
      </c>
      <c r="EU113" s="57">
        <f>IF($B113=$B112,$EU112,0)+$ET113</f>
        <v/>
      </c>
      <c r="EV113" s="57">
        <f>$EV112+$ET113</f>
        <v/>
      </c>
      <c r="EW113" s="57">
        <f>SUMIFS(tblPlant[Crusher_Run_h],tblPlant[Date],$A113)</f>
        <v/>
      </c>
      <c r="EX113" s="57">
        <f>IF($B113=$B112,$EX112,0)+$EW113</f>
        <v/>
      </c>
      <c r="EY113" s="57">
        <f>$EY112+$EW113</f>
        <v/>
      </c>
      <c r="EZ113" s="55">
        <f>IFERROR(IF(($EK113)&gt;0,($DP113)/($EK113),""),"")</f>
        <v/>
      </c>
      <c r="FA113" s="55">
        <f>IFERROR(IF(($EL113)&gt;0,($DQ113)/($EL113),""),"")</f>
        <v/>
      </c>
      <c r="FB113" s="55">
        <f>IFERROR(IF(($EM113)&gt;0,($DR113)/($EM113),""),"")</f>
        <v/>
      </c>
      <c r="FC113" s="67">
        <f>IFERROR(IF(($ET113)&gt;0,($ET113-$EN113-$EQ113)/($ET113),""),"")</f>
        <v/>
      </c>
      <c r="FD113" s="67">
        <f>IFERROR(IF(($EU113)&gt;0,($EU113-$EO113-$ER113)/($EU113),""),"")</f>
        <v/>
      </c>
      <c r="FE113" s="67">
        <f>IFERROR(IF(($EV113)&gt;0,($EV113-$EP113-$ES113)/($EV113),""),"")</f>
        <v/>
      </c>
      <c r="FF113" s="67">
        <f>IFERROR(IF(($ET113-$EN113-$EQ113)&gt;0,($EK113)/($ET113-$EN113-$EQ113),""),"")</f>
        <v/>
      </c>
      <c r="FG113" s="67">
        <f>IFERROR(IF(($EU113-$EO113-$ER113)&gt;0,($EL113)/($EU113-$EO113-$ER113),""),"")</f>
        <v/>
      </c>
      <c r="FH113" s="67">
        <f>IFERROR(IF(($EV113-$EP113-$ES113)&gt;0,($EM113)/($EV113-$EP113-$ES113),""),"")</f>
        <v/>
      </c>
      <c r="FI113" s="55">
        <f>SUMIFS(tblPlant[Cyanide_kg],tblPlant[Date],$A113)</f>
        <v/>
      </c>
      <c r="FJ113" s="55">
        <f>IF($B113=$B112,$FJ112,0)+$FI113</f>
        <v/>
      </c>
      <c r="FK113" s="55">
        <f>$FK112+$FI113</f>
        <v/>
      </c>
      <c r="FL113" s="55">
        <f>SUMIFS(tblPlant[Lime_kg],tblPlant[Date],$A113)</f>
        <v/>
      </c>
      <c r="FM113" s="55">
        <f>IF($B113=$B112,$FM112,0)+$FL113</f>
        <v/>
      </c>
      <c r="FN113" s="55">
        <f>$FN112+$FL113</f>
        <v/>
      </c>
      <c r="FO113" s="55">
        <f>SUMIFS(tblPlant[Grinding_Media_kg],tblPlant[Date],$A113)</f>
        <v/>
      </c>
      <c r="FP113" s="55">
        <f>IF($B113=$B112,$FP112,0)+$FO113</f>
        <v/>
      </c>
      <c r="FQ113" s="55">
        <f>$FQ112+$FO113</f>
        <v/>
      </c>
      <c r="FR113" s="55">
        <f>SUMIFS(tblPlant[Power_kWh],tblPlant[Date],$A113)</f>
        <v/>
      </c>
      <c r="FS113" s="55">
        <f>IF($B113=$B112,$FS112,0)+$FR113</f>
        <v/>
      </c>
      <c r="FT113" s="55">
        <f>$FT112+$FR113</f>
        <v/>
      </c>
      <c r="FU113" s="55">
        <f>SUMIFS(tblPlant[Raw_Water_m3],tblPlant[Date],$A113)</f>
        <v/>
      </c>
      <c r="FV113" s="55">
        <f>IF($B113=$B112,$FV112,0)+$FU113</f>
        <v/>
      </c>
      <c r="FW113" s="55">
        <f>$FW112+$FU113</f>
        <v/>
      </c>
      <c r="FX113" s="56">
        <f>IFERROR(IF(($CU113)&gt;0,($FI113)/($CU113),""),"")</f>
        <v/>
      </c>
      <c r="FY113" s="56">
        <f>IFERROR(IF(($CV113)&gt;0,($FJ113)/($CV113),""),"")</f>
        <v/>
      </c>
      <c r="FZ113" s="56">
        <f>IFERROR(IF(($CW113)&gt;0,($FK113)/($CW113),""),"")</f>
        <v/>
      </c>
      <c r="GA113" s="56">
        <f>IFERROR(IF(($CU113)&gt;0,($FL113)/($CU113),""),"")</f>
        <v/>
      </c>
      <c r="GB113" s="56">
        <f>IFERROR(IF(($CV113)&gt;0,($FM113)/($CV113),""),"")</f>
        <v/>
      </c>
      <c r="GC113" s="56">
        <f>IFERROR(IF(($CW113)&gt;0,($FN113)/($CW113),""),"")</f>
        <v/>
      </c>
      <c r="GD113" s="56">
        <f>IFERROR(IF(($CU113)&gt;0,($FO113)/($CU113),""),"")</f>
        <v/>
      </c>
      <c r="GE113" s="56">
        <f>IFERROR(IF(($CV113)&gt;0,($FP113)/($CV113),""),"")</f>
        <v/>
      </c>
      <c r="GF113" s="56">
        <f>IFERROR(IF(($CW113)&gt;0,($FQ113)/($CW113),""),"")</f>
        <v/>
      </c>
      <c r="GG113" s="79">
        <f>IFERROR(IF(($CU113)&gt;0,($FR113)/($CU113),""),"")</f>
        <v/>
      </c>
      <c r="GH113" s="79">
        <f>IFERROR(IF(($CV113)&gt;0,($FS113)/($CV113),""),"")</f>
        <v/>
      </c>
      <c r="GI113" s="79">
        <f>IFERROR(IF(($CW113)&gt;0,($FT113)/($CW113),""),"")</f>
        <v/>
      </c>
      <c r="GJ113" s="56">
        <f>IFERROR(IF(($CU113)&gt;0,($FU113)/($CU113),""),"")</f>
        <v/>
      </c>
      <c r="GK113" s="56">
        <f>IFERROR(IF(($CV113)&gt;0,($FV113)/($CV113),""),"")</f>
        <v/>
      </c>
      <c r="GL113" s="56">
        <f>IFERROR(IF(($CW113)&gt;0,($FW113)/($CW113),""),"")</f>
        <v/>
      </c>
      <c r="GM113" s="55">
        <f>IF(SUMIFS(tblPlant[GIC_oz],tblPlant[Date],$A113)&gt;0,SUMIFS(tblPlant[GIC_oz],tblPlant[Date],$A113),"")</f>
        <v/>
      </c>
      <c r="GN113" s="55">
        <f>SUMIFS(tblGold[Gold_oz],tblGold[Date],$A113,tblGold[Type],"Shipment")</f>
        <v/>
      </c>
      <c r="GO113" s="55">
        <f>IF($B113=$B112,$GO112,0)+$GN113</f>
        <v/>
      </c>
      <c r="GP113" s="55">
        <f>$GP112+$GN113</f>
        <v/>
      </c>
      <c r="GQ113" s="55">
        <f>SUMIFS(tblGold[Gold_oz],tblGold[Date],$A113,tblGold[Type],"Sale")</f>
        <v/>
      </c>
      <c r="GR113" s="55">
        <f>IF($B113=$B112,$GR112,0)+$GQ113</f>
        <v/>
      </c>
      <c r="GS113" s="55">
        <f>$GS112+$GQ113</f>
        <v/>
      </c>
      <c r="GT113" s="55">
        <f>SUMIFS(tblGold[Dore_kg],tblGold[Date],$A113,tblGold[Type],"Shipment")</f>
        <v/>
      </c>
      <c r="GU113" s="55">
        <f>IF($B113=$B112,$GU112,0)+$GT113</f>
        <v/>
      </c>
      <c r="GV113" s="55">
        <f>$GV112+$GT113</f>
        <v/>
      </c>
      <c r="GW113" s="57">
        <f>SUMIFS(tblSafety[Hours_Total],tblSafety[Date],$A113)</f>
        <v/>
      </c>
      <c r="GX113" s="57">
        <f>IF($B113=$B112,$GX112,0)+$GW113</f>
        <v/>
      </c>
      <c r="GY113" s="57">
        <f>$GY112+$GW113</f>
        <v/>
      </c>
      <c r="GZ113" s="62">
        <f>SUMIFS(tblSafety[Fatality],tblSafety[Date],$A113)</f>
        <v/>
      </c>
      <c r="HA113" s="62">
        <f>IF($B113=$B112,$HA112,0)+$GZ113</f>
        <v/>
      </c>
      <c r="HB113" s="62">
        <f>$HB112+$GZ113</f>
        <v/>
      </c>
      <c r="HC113" s="62">
        <f>SUMIFS(tblSafety[LTI],tblSafety[Date],$A113)</f>
        <v/>
      </c>
      <c r="HD113" s="62">
        <f>IF($B113=$B112,$HD112,0)+$HC113</f>
        <v/>
      </c>
      <c r="HE113" s="62">
        <f>$HE112+$HC113</f>
        <v/>
      </c>
      <c r="HF113" s="62">
        <f>SUMIFS(tblSafety[RWI],tblSafety[Date],$A113)</f>
        <v/>
      </c>
      <c r="HG113" s="62">
        <f>IF($B113=$B112,$HG112,0)+$HF113</f>
        <v/>
      </c>
      <c r="HH113" s="62">
        <f>$HH112+$HF113</f>
        <v/>
      </c>
      <c r="HI113" s="62">
        <f>SUMIFS(tblSafety[MTI],tblSafety[Date],$A113)</f>
        <v/>
      </c>
      <c r="HJ113" s="62">
        <f>IF($B113=$B112,$HJ112,0)+$HI113</f>
        <v/>
      </c>
      <c r="HK113" s="62">
        <f>$HK112+$HI113</f>
        <v/>
      </c>
      <c r="HL113" s="62">
        <f>SUMIFS(tblSafety[FAI],tblSafety[Date],$A113)</f>
        <v/>
      </c>
      <c r="HM113" s="62">
        <f>IF($B113=$B112,$HM112,0)+$HL113</f>
        <v/>
      </c>
      <c r="HN113" s="62">
        <f>$HN112+$HL113</f>
        <v/>
      </c>
      <c r="HO113" s="62">
        <f>SUMIFS(tblSafety[Recordables],tblSafety[Date],$A113)</f>
        <v/>
      </c>
      <c r="HP113" s="62">
        <f>IF($B113=$B112,$HP112,0)+$HO113</f>
        <v/>
      </c>
      <c r="HQ113" s="62">
        <f>$HQ112+$HO113</f>
        <v/>
      </c>
      <c r="HR113" s="62">
        <f>SUMIFS(tblSafety[Near_Miss],tblSafety[Date],$A113)</f>
        <v/>
      </c>
      <c r="HS113" s="62">
        <f>IF($B113=$B112,$HS112,0)+$HR113</f>
        <v/>
      </c>
      <c r="HT113" s="62">
        <f>$HT112+$HR113</f>
        <v/>
      </c>
      <c r="HU113" s="62">
        <f>SUMIFS(tblSafety[Hazard_Reports],tblSafety[Date],$A113)</f>
        <v/>
      </c>
      <c r="HV113" s="62">
        <f>IF($B113=$B112,$HV112,0)+$HU113</f>
        <v/>
      </c>
      <c r="HW113" s="62">
        <f>$HW112+$HU113</f>
        <v/>
      </c>
      <c r="HX113" s="62">
        <f>SUMIFS(tblSafety[HPI],tblSafety[Date],$A113)</f>
        <v/>
      </c>
      <c r="HY113" s="62">
        <f>IF($B113=$B112,$HY112,0)+$HX113</f>
        <v/>
      </c>
      <c r="HZ113" s="62">
        <f>$HZ112+$HX113</f>
        <v/>
      </c>
      <c r="IA113" s="62">
        <f>SUMIFS(tblSafety[Env_Incidents],tblSafety[Date],$A113)</f>
        <v/>
      </c>
      <c r="IB113" s="62">
        <f>IF($B113=$B112,$IB112,0)+$IA113</f>
        <v/>
      </c>
      <c r="IC113" s="62">
        <f>$IC112+$IA113</f>
        <v/>
      </c>
      <c r="ID113" s="62">
        <f>SUMIFS(tblSafety[Community_Incidents],tblSafety[Date],$A113)</f>
        <v/>
      </c>
      <c r="IE113" s="62">
        <f>IF($B113=$B112,$IE112,0)+$ID113</f>
        <v/>
      </c>
      <c r="IF113" s="62">
        <f>$IF112+$ID113</f>
        <v/>
      </c>
      <c r="IG113" s="62">
        <f>SUMIFS(tblSafety[Vehicle_Incidents],tblSafety[Date],$A113)</f>
        <v/>
      </c>
      <c r="IH113" s="62">
        <f>IF($B113=$B112,$IH112,0)+$IG113</f>
        <v/>
      </c>
      <c r="II113" s="62">
        <f>$II112+$IG113</f>
        <v/>
      </c>
      <c r="IJ113" s="62">
        <f>SUMIFS(tblSafety[Toolbox_Talks],tblSafety[Date],$A113)</f>
        <v/>
      </c>
      <c r="IK113" s="62">
        <f>IF($B113=$B112,$IK112,0)+$IJ113</f>
        <v/>
      </c>
      <c r="IL113" s="62">
        <f>$IL112+$IJ113</f>
        <v/>
      </c>
      <c r="IM113" s="62">
        <f>SUMIFS(tblSafety[Inspections],tblSafety[Date],$A113)</f>
        <v/>
      </c>
      <c r="IN113" s="62">
        <f>IF($B113=$B112,$IN112,0)+$IM113</f>
        <v/>
      </c>
      <c r="IO113" s="62">
        <f>$IO112+$IM113</f>
        <v/>
      </c>
      <c r="IP113" s="56">
        <f>IFERROR((SUMIFS(tblSafety[Recordables],tblSafety[Date],"&gt;="&amp;EDATE($E113,-12),tblSafety[Date],"&lt;="&amp;$A113)+SUMIFS(tblSafetyHistory[Recordables],tblSafetyHistory[Month],"&gt;="&amp;EDATE($E113,-12),tblSafetyHistory[Month],"&lt;"&amp;$E113,tblSafetyHistory[Use],1))/(SUMIFS(tblSafety[Hours_Total],tblSafety[Date],"&gt;="&amp;EDATE($E113,-12),tblSafety[Date],"&lt;="&amp;$A113)+SUMIFS(tblSafetyHistory[Hours_Total],tblSafetyHistory[Month],"&gt;="&amp;EDATE($E113,-12),tblSafetyHistory[Month],"&lt;"&amp;$E113,tblSafetyHistory[Use],1))*cfg_RateBasisHours,"")</f>
        <v/>
      </c>
      <c r="IQ113" s="56">
        <f>IFERROR((SUMIFS(tblSafety[LTI],tblSafety[Date],"&gt;="&amp;EDATE($E113,-12),tblSafety[Date],"&lt;="&amp;$A113)+SUMIFS(tblSafetyHistory[LTI],tblSafetyHistory[Month],"&gt;="&amp;EDATE($E113,-12),tblSafetyHistory[Month],"&lt;"&amp;$E113,tblSafetyHistory[Use],1))/(SUMIFS(tblSafety[Hours_Total],tblSafety[Date],"&gt;="&amp;EDATE($E113,-12),tblSafety[Date],"&lt;="&amp;$A113)+SUMIFS(tblSafetyHistory[Hours_Total],tblSafetyHistory[Month],"&gt;="&amp;EDATE($E113,-12),tblSafetyHistory[Month],"&lt;"&amp;$E113,tblSafetyHistory[Use],1))*cfg_RateBasisHours,"")</f>
        <v/>
      </c>
      <c r="IR113" s="62">
        <f>IF(MAX(N(cfg_PriorLTIDate),_xlfn.MAXIFS(tblSafety[Date],tblSafety[LTI],"&gt;0",tblSafety[Date],"&lt;="&amp;$A113))=0,"",$A113-MAX(N(cfg_PriorLTIDate),_xlfn.MAXIFS(tblSafety[Date],tblSafety[LTI],"&gt;0",tblSafety[Date],"&lt;="&amp;$A113)))</f>
        <v/>
      </c>
      <c r="IS113" s="55">
        <f>SUMIFS(tblBudget[Ore_Mined_t],tblBudget[Month],$E113)</f>
        <v/>
      </c>
      <c r="IT113" s="55">
        <f>$IS113*$C113/$D113</f>
        <v/>
      </c>
      <c r="IU113" s="55">
        <f>SUMIFS(tblBudget[Ore_Mined_t],tblBudget[Month],"&lt;"&amp;$E113)+$IT113</f>
        <v/>
      </c>
      <c r="IV113" s="55">
        <f>SUMIFS(tblBudget[Ore_oz],tblBudget[Month],$E113)</f>
        <v/>
      </c>
      <c r="IW113" s="55">
        <f>$IV113*$C113/$D113</f>
        <v/>
      </c>
      <c r="IX113" s="55">
        <f>SUMIFS(tblBudget[Ore_oz],tblBudget[Month],"&lt;"&amp;$E113)+$IW113</f>
        <v/>
      </c>
      <c r="IY113" s="55">
        <f>SUMIFS(tblBudget[Ore_Mined_t],tblBudget[Month],$E113)</f>
        <v/>
      </c>
      <c r="IZ113" s="55">
        <f>$IY113*$C113/$D113</f>
        <v/>
      </c>
      <c r="JA113" s="55">
        <f>SUMIFS(tblBudget[Ore_Mined_t],tblBudget[Month],"&lt;"&amp;$E113)+$IZ113</f>
        <v/>
      </c>
      <c r="JB113" s="56">
        <f>IFERROR(IF(($IY113)&gt;0,($IV113*cfg_TroyOz)/($IY113),""),"")</f>
        <v/>
      </c>
      <c r="JC113" s="56">
        <f>IFERROR(IF(($IZ113)&gt;0,($IW113*cfg_TroyOz)/($IZ113),""),"")</f>
        <v/>
      </c>
      <c r="JD113" s="56">
        <f>IFERROR(IF(($JA113)&gt;0,($IX113*cfg_TroyOz)/($JA113),""),"")</f>
        <v/>
      </c>
      <c r="JE113" s="55">
        <f>SUMIFS(tblBudget[Waste_t],tblBudget[Month],$E113)</f>
        <v/>
      </c>
      <c r="JF113" s="55">
        <f>$JE113*$C113/$D113</f>
        <v/>
      </c>
      <c r="JG113" s="55">
        <f>SUMIFS(tblBudget[Waste_t],tblBudget[Month],"&lt;"&amp;$E113)+$JF113</f>
        <v/>
      </c>
      <c r="JH113" s="55">
        <f>SUMIFS(tblBudget[TMM_t],tblBudget[Month],$E113)</f>
        <v/>
      </c>
      <c r="JI113" s="55">
        <f>$JH113*$C113/$D113</f>
        <v/>
      </c>
      <c r="JJ113" s="55">
        <f>SUMIFS(tblBudget[TMM_t],tblBudget[Month],"&lt;"&amp;$E113)+$JI113</f>
        <v/>
      </c>
      <c r="JK113" s="56">
        <f>IFERROR(IF(($IS113)&gt;0,($JE113)/($IS113),""),"")</f>
        <v/>
      </c>
      <c r="JL113" s="56">
        <f>IFERROR(IF(($IT113)&gt;0,($JF113)/($IT113),""),"")</f>
        <v/>
      </c>
      <c r="JM113" s="56">
        <f>IFERROR(IF(($IU113)&gt;0,($JG113)/($IU113),""),"")</f>
        <v/>
      </c>
      <c r="JN113" s="55">
        <f>SUMIFS(tblBudget[Drill_m],tblBudget[Month],$E113)</f>
        <v/>
      </c>
      <c r="JO113" s="55">
        <f>$JN113*$C113/$D113</f>
        <v/>
      </c>
      <c r="JP113" s="55">
        <f>SUMIFS(tblBudget[Drill_m],tblBudget[Month],"&lt;"&amp;$E113)+$JO113</f>
        <v/>
      </c>
      <c r="JQ113" s="55">
        <f>SUMIFS(tblBudget[Diesel_L],tblBudget[Month],$E113)</f>
        <v/>
      </c>
      <c r="JR113" s="55">
        <f>$JQ113*$C113/$D113</f>
        <v/>
      </c>
      <c r="JS113" s="55">
        <f>SUMIFS(tblBudget[Diesel_L],tblBudget[Month],"&lt;"&amp;$E113)+$JR113</f>
        <v/>
      </c>
      <c r="JT113" s="55">
        <f>SUMIFS(tblBudget[Milled_t],tblBudget[Month],$E113)</f>
        <v/>
      </c>
      <c r="JU113" s="55">
        <f>$JT113*$C113/$D113</f>
        <v/>
      </c>
      <c r="JV113" s="55">
        <f>SUMIFS(tblBudget[Milled_t],tblBudget[Month],"&lt;"&amp;$E113)+$JU113</f>
        <v/>
      </c>
      <c r="JW113" s="55">
        <f>SUMIFS(tblBudget[Feed_oz],tblBudget[Month],$E113)</f>
        <v/>
      </c>
      <c r="JX113" s="55">
        <f>$JW113*$C113/$D113</f>
        <v/>
      </c>
      <c r="JY113" s="55">
        <f>SUMIFS(tblBudget[Feed_oz],tblBudget[Month],"&lt;"&amp;$E113)+$JX113</f>
        <v/>
      </c>
      <c r="JZ113" s="55">
        <f>SUMIFS(tblBudget[Recovered_oz],tblBudget[Month],$E113)</f>
        <v/>
      </c>
      <c r="KA113" s="55">
        <f>$JZ113*$C113/$D113</f>
        <v/>
      </c>
      <c r="KB113" s="55">
        <f>SUMIFS(tblBudget[Recovered_oz],tblBudget[Month],"&lt;"&amp;$E113)+$KA113</f>
        <v/>
      </c>
      <c r="KC113" s="55">
        <f>SUMIFS(tblBudget[Milled_t],tblBudget[Month],$E113)</f>
        <v/>
      </c>
      <c r="KD113" s="55">
        <f>$KC113*$C113/$D113</f>
        <v/>
      </c>
      <c r="KE113" s="55">
        <f>SUMIFS(tblBudget[Milled_t],tblBudget[Month],"&lt;"&amp;$E113)+$KD113</f>
        <v/>
      </c>
      <c r="KF113" s="55">
        <f>SUMIFS(tblBudget[Feed_oz],tblBudget[Month],$E113)</f>
        <v/>
      </c>
      <c r="KG113" s="55">
        <f>$KF113*$C113/$D113</f>
        <v/>
      </c>
      <c r="KH113" s="55">
        <f>SUMIFS(tblBudget[Feed_oz],tblBudget[Month],"&lt;"&amp;$E113)+$KG113</f>
        <v/>
      </c>
      <c r="KI113" s="56">
        <f>IFERROR(IF(($KC113)&gt;0,($JW113*cfg_TroyOz)/($KC113),""),"")</f>
        <v/>
      </c>
      <c r="KJ113" s="56">
        <f>IFERROR(IF(($KD113)&gt;0,($JX113*cfg_TroyOz)/($KD113),""),"")</f>
        <v/>
      </c>
      <c r="KK113" s="56">
        <f>IFERROR(IF(($KE113)&gt;0,($JY113*cfg_TroyOz)/($KE113),""),"")</f>
        <v/>
      </c>
      <c r="KL113" s="67">
        <f>IFERROR(IF(($KF113)&gt;0,($JZ113)/($KF113),""),"")</f>
        <v/>
      </c>
      <c r="KM113" s="67">
        <f>IFERROR(IF(($KG113)&gt;0,($KA113)/($KG113),""),"")</f>
        <v/>
      </c>
      <c r="KN113" s="67">
        <f>IFERROR(IF(($KH113)&gt;0,($KB113)/($KH113),""),"")</f>
        <v/>
      </c>
      <c r="KO113" s="55">
        <f>SUMIFS(tblBudget[Gold_Poured_oz],tblBudget[Month],$E113)</f>
        <v/>
      </c>
      <c r="KP113" s="55">
        <f>$KO113*$C113/$D113</f>
        <v/>
      </c>
      <c r="KQ113" s="55">
        <f>SUMIFS(tblBudget[Gold_Poured_oz],tblBudget[Month],"&lt;"&amp;$E113)+$KP113</f>
        <v/>
      </c>
      <c r="KR113" s="57">
        <f>SUMIFS(tblBudget[Hours_Worked],tblBudget[Month],$E113)</f>
        <v/>
      </c>
      <c r="KS113" s="57">
        <f>$KR113*$C113/$D113</f>
        <v/>
      </c>
      <c r="KT113" s="57">
        <f>SUMIFS(tblBudget[Hours_Worked],tblBudget[Month],"&lt;"&amp;$E113)+$KS113</f>
        <v/>
      </c>
    </row>
    <row r="114">
      <c r="A114" s="54" t="n">
        <v>46135</v>
      </c>
      <c r="B114">
        <f>MONTH($A114)</f>
        <v/>
      </c>
      <c r="C114">
        <f>DAY($A114)</f>
        <v/>
      </c>
      <c r="D114">
        <f>DAY(EOMONTH($A114,0))</f>
        <v/>
      </c>
      <c r="E114" s="54">
        <f>DATE(YEAR($A114),MONTH($A114),1)</f>
        <v/>
      </c>
      <c r="F114" s="55">
        <f>SUMIFS(tblMovement[Tonnes_t],tblMovement[Date],$A114,tblMovement[Is_Ore],1,tblMovement[Source_Type],"Pit")</f>
        <v/>
      </c>
      <c r="G114" s="55">
        <f>IF($B114=$B113,$G113,0)+$F114</f>
        <v/>
      </c>
      <c r="H114" s="55">
        <f>$H113+$F114</f>
        <v/>
      </c>
      <c r="I114" s="55">
        <f>SUMIFS(tblMovement[Ore_oz],tblMovement[Date],$A114,tblMovement[Source_Type],"Pit")</f>
        <v/>
      </c>
      <c r="J114" s="55">
        <f>IF($B114=$B113,$J113,0)+$I114</f>
        <v/>
      </c>
      <c r="K114" s="55">
        <f>$K113+$I114</f>
        <v/>
      </c>
      <c r="L114" s="55">
        <f>SUMIFS(tblMovement[Tonnes_t],tblMovement[Date],$A114,tblMovement[Is_Ore],1,tblMovement[Source_Type],"Pit",tblMovement[Grade_gpt],"&lt;&gt;")</f>
        <v/>
      </c>
      <c r="M114" s="55">
        <f>IF($B114=$B113,$M113,0)+$L114</f>
        <v/>
      </c>
      <c r="N114" s="55">
        <f>$N113+$L114</f>
        <v/>
      </c>
      <c r="O114" s="56">
        <f>IFERROR(IF(($L114)&gt;0,($I114*cfg_TroyOz)/($L114),""),"")</f>
        <v/>
      </c>
      <c r="P114" s="56">
        <f>IFERROR(IF(($M114)&gt;0,($J114*cfg_TroyOz)/($M114),""),"")</f>
        <v/>
      </c>
      <c r="Q114" s="56">
        <f>IFERROR(IF(($N114)&gt;0,($K114*cfg_TroyOz)/($N114),""),"")</f>
        <v/>
      </c>
      <c r="R114" s="55">
        <f>$F114-$L114</f>
        <v/>
      </c>
      <c r="S114" s="55">
        <f>IF($B114=$B113,$S113,0)+$R114</f>
        <v/>
      </c>
      <c r="T114" s="55">
        <f>$T113+$R114</f>
        <v/>
      </c>
      <c r="U114" s="55">
        <f>SUMIFS(tblMovement[Tonnes_t],tblMovement[Date],$A114,tblMovement[Is_Ore],0,tblMovement[Source_Type],"Pit")</f>
        <v/>
      </c>
      <c r="V114" s="55">
        <f>IF($B114=$B113,$V113,0)+$U114</f>
        <v/>
      </c>
      <c r="W114" s="55">
        <f>$W113+$U114</f>
        <v/>
      </c>
      <c r="X114" s="55">
        <f>$F114+$U114</f>
        <v/>
      </c>
      <c r="Y114" s="55">
        <f>IF($B114=$B113,$Y113,0)+$X114</f>
        <v/>
      </c>
      <c r="Z114" s="55">
        <f>$Z113+$X114</f>
        <v/>
      </c>
      <c r="AA114" s="56">
        <f>IFERROR(IF(($F114)&gt;0,($U114)/($F114),""),"")</f>
        <v/>
      </c>
      <c r="AB114" s="56">
        <f>IFERROR(IF(($G114)&gt;0,($V114)/($G114),""),"")</f>
        <v/>
      </c>
      <c r="AC114" s="56">
        <f>IFERROR(IF(($H114)&gt;0,($W114)/($H114),""),"")</f>
        <v/>
      </c>
      <c r="AD114" s="55">
        <f>SUMIFS(tblMovement[Tonnes_t],tblMovement[Date],$A114,tblMovement[Source_Type],"Stockpile")</f>
        <v/>
      </c>
      <c r="AE114" s="55">
        <f>IF($B114=$B113,$AE113,0)+$AD114</f>
        <v/>
      </c>
      <c r="AF114" s="55">
        <f>$AF113+$AD114</f>
        <v/>
      </c>
      <c r="AG114" s="55">
        <f>SUMIFS(tblMovement[Tonnes_t],tblMovement[Date],$A114)</f>
        <v/>
      </c>
      <c r="AH114" s="55">
        <f>IF($B114=$B113,$AH113,0)+$AG114</f>
        <v/>
      </c>
      <c r="AI114" s="55">
        <f>$AI113+$AG114</f>
        <v/>
      </c>
      <c r="AJ114" s="55">
        <f>$AG114-$X114-$AD114</f>
        <v/>
      </c>
      <c r="AK114" s="55">
        <f>IF($B114=$B113,$AK113,0)+$AJ114</f>
        <v/>
      </c>
      <c r="AL114" s="55">
        <f>$AL113+$AJ114</f>
        <v/>
      </c>
      <c r="AM114" s="55">
        <f>SUMIFS(tblMiningDaily[Drill_m],tblMiningDaily[Date],$A114)</f>
        <v/>
      </c>
      <c r="AN114" s="55">
        <f>IF($B114=$B113,$AN113,0)+$AM114</f>
        <v/>
      </c>
      <c r="AO114" s="55">
        <f>$AO113+$AM114</f>
        <v/>
      </c>
      <c r="AP114" s="55">
        <f>SUMIFS(tblMiningDaily[GC_Drill_m],tblMiningDaily[Date],$A114)</f>
        <v/>
      </c>
      <c r="AQ114" s="55">
        <f>IF($B114=$B113,$AQ113,0)+$AP114</f>
        <v/>
      </c>
      <c r="AR114" s="55">
        <f>$AR113+$AP114</f>
        <v/>
      </c>
      <c r="AS114" s="55">
        <f>SUMIFS(tblMiningDaily[Blast_t],tblMiningDaily[Date],$A114)</f>
        <v/>
      </c>
      <c r="AT114" s="55">
        <f>IF($B114=$B113,$AT113,0)+$AS114</f>
        <v/>
      </c>
      <c r="AU114" s="55">
        <f>$AU113+$AS114</f>
        <v/>
      </c>
      <c r="AV114" s="55">
        <f>SUMIFS(tblMiningDaily[Explosives_kg],tblMiningDaily[Date],$A114)</f>
        <v/>
      </c>
      <c r="AW114" s="55">
        <f>IF($B114=$B113,$AW113,0)+$AV114</f>
        <v/>
      </c>
      <c r="AX114" s="55">
        <f>$AX113+$AV114</f>
        <v/>
      </c>
      <c r="AY114" s="56">
        <f>IFERROR(IF(($AS114)&gt;0,($AV114)/($AS114),""),"")</f>
        <v/>
      </c>
      <c r="AZ114" s="56">
        <f>IFERROR(IF(($AT114)&gt;0,($AW114)/($AT114),""),"")</f>
        <v/>
      </c>
      <c r="BA114" s="56">
        <f>IFERROR(IF(($AU114)&gt;0,($AX114)/($AU114),""),"")</f>
        <v/>
      </c>
      <c r="BB114" s="55">
        <f>SUMIFS(tblMiningDaily[Diesel_L],tblMiningDaily[Date],$A114)</f>
        <v/>
      </c>
      <c r="BC114" s="55">
        <f>IF($B114=$B113,$BC113,0)+$BB114</f>
        <v/>
      </c>
      <c r="BD114" s="55">
        <f>$BD113+$BB114</f>
        <v/>
      </c>
      <c r="BE114" s="55">
        <f>SUMIFS(tblMiningDaily[Dewatering_m3],tblMiningDaily[Date],$A114)</f>
        <v/>
      </c>
      <c r="BF114" s="55">
        <f>IF($B114=$B113,$BF113,0)+$BE114</f>
        <v/>
      </c>
      <c r="BG114" s="55">
        <f>$BG113+$BE114</f>
        <v/>
      </c>
      <c r="BH114" s="57">
        <f>SUMIFS(tblFleet[Calendar_h],tblFleet[Date],$A114,tblFleet[Equipment_Class],"Excavator")</f>
        <v/>
      </c>
      <c r="BI114" s="57">
        <f>IF($B114=$B113,$BI113,0)+$BH114</f>
        <v/>
      </c>
      <c r="BJ114" s="57">
        <f>$BJ113+$BH114</f>
        <v/>
      </c>
      <c r="BK114" s="57">
        <f>SUMIFS(tblFleet[Available_h],tblFleet[Date],$A114,tblFleet[Equipment_Class],"Excavator")</f>
        <v/>
      </c>
      <c r="BL114" s="57">
        <f>IF($B114=$B113,$BL113,0)+$BK114</f>
        <v/>
      </c>
      <c r="BM114" s="57">
        <f>$BM113+$BK114</f>
        <v/>
      </c>
      <c r="BN114" s="57">
        <f>SUMIFS(tblFleet[Operating_h],tblFleet[Date],$A114,tblFleet[Equipment_Class],"Excavator")</f>
        <v/>
      </c>
      <c r="BO114" s="57">
        <f>IF($B114=$B113,$BO113,0)+$BN114</f>
        <v/>
      </c>
      <c r="BP114" s="57">
        <f>$BP113+$BN114</f>
        <v/>
      </c>
      <c r="BQ114" s="67">
        <f>IFERROR(IF(($BH114)&gt;0,($BK114)/($BH114),""),"")</f>
        <v/>
      </c>
      <c r="BR114" s="67">
        <f>IFERROR(IF(($BI114)&gt;0,($BL114)/($BI114),""),"")</f>
        <v/>
      </c>
      <c r="BS114" s="67">
        <f>IFERROR(IF(($BJ114)&gt;0,($BM114)/($BJ114),""),"")</f>
        <v/>
      </c>
      <c r="BT114" s="67">
        <f>IFERROR(IF(($BK114)&gt;0,($BN114)/($BK114),""),"")</f>
        <v/>
      </c>
      <c r="BU114" s="67">
        <f>IFERROR(IF(($BL114)&gt;0,($BO114)/($BL114),""),"")</f>
        <v/>
      </c>
      <c r="BV114" s="67">
        <f>IFERROR(IF(($BM114)&gt;0,($BP114)/($BM114),""),"")</f>
        <v/>
      </c>
      <c r="BW114" s="57">
        <f>SUMIFS(tblFleet[Calendar_h],tblFleet[Date],$A114,tblFleet[Equipment_Class],"Haul Truck")</f>
        <v/>
      </c>
      <c r="BX114" s="57">
        <f>IF($B114=$B113,$BX113,0)+$BW114</f>
        <v/>
      </c>
      <c r="BY114" s="57">
        <f>$BY113+$BW114</f>
        <v/>
      </c>
      <c r="BZ114" s="57">
        <f>SUMIFS(tblFleet[Available_h],tblFleet[Date],$A114,tblFleet[Equipment_Class],"Haul Truck")</f>
        <v/>
      </c>
      <c r="CA114" s="57">
        <f>IF($B114=$B113,$CA113,0)+$BZ114</f>
        <v/>
      </c>
      <c r="CB114" s="57">
        <f>$CB113+$BZ114</f>
        <v/>
      </c>
      <c r="CC114" s="57">
        <f>SUMIFS(tblFleet[Operating_h],tblFleet[Date],$A114,tblFleet[Equipment_Class],"Haul Truck")</f>
        <v/>
      </c>
      <c r="CD114" s="57">
        <f>IF($B114=$B113,$CD113,0)+$CC114</f>
        <v/>
      </c>
      <c r="CE114" s="57">
        <f>$CE113+$CC114</f>
        <v/>
      </c>
      <c r="CF114" s="67">
        <f>IFERROR(IF(($BW114)&gt;0,($BZ114)/($BW114),""),"")</f>
        <v/>
      </c>
      <c r="CG114" s="67">
        <f>IFERROR(IF(($BX114)&gt;0,($CA114)/($BX114),""),"")</f>
        <v/>
      </c>
      <c r="CH114" s="67">
        <f>IFERROR(IF(($BY114)&gt;0,($CB114)/($BY114),""),"")</f>
        <v/>
      </c>
      <c r="CI114" s="67">
        <f>IFERROR(IF(($BZ114)&gt;0,($CC114)/($BZ114),""),"")</f>
        <v/>
      </c>
      <c r="CJ114" s="67">
        <f>IFERROR(IF(($CA114)&gt;0,($CD114)/($CA114),""),"")</f>
        <v/>
      </c>
      <c r="CK114" s="67">
        <f>IFERROR(IF(($CB114)&gt;0,($CE114)/($CB114),""),"")</f>
        <v/>
      </c>
      <c r="CL114" s="55">
        <f>IFERROR(IF(($BN114)&gt;0,($X114+$AD114)/($BN114),""),"")</f>
        <v/>
      </c>
      <c r="CM114" s="55">
        <f>IFERROR(IF(($BO114)&gt;0,($Y114+$AE114)/($BO114),""),"")</f>
        <v/>
      </c>
      <c r="CN114" s="55">
        <f>IFERROR(IF(($BP114)&gt;0,($Z114+$AF114)/($BP114),""),"")</f>
        <v/>
      </c>
      <c r="CO114" s="55">
        <f>IFERROR(IF(($CC114)&gt;0,($X114+$AD114)/($CC114),""),"")</f>
        <v/>
      </c>
      <c r="CP114" s="55">
        <f>IFERROR(IF(($CD114)&gt;0,($Y114+$AE114)/($CD114),""),"")</f>
        <v/>
      </c>
      <c r="CQ114" s="55">
        <f>IFERROR(IF(($CE114)&gt;0,($Z114+$AF114)/($CE114),""),"")</f>
        <v/>
      </c>
      <c r="CR114" s="55">
        <f>SUMIFS(tblPlant[Crushed_t],tblPlant[Date],$A114)</f>
        <v/>
      </c>
      <c r="CS114" s="55">
        <f>IF($B114=$B113,$CS113,0)+$CR114</f>
        <v/>
      </c>
      <c r="CT114" s="55">
        <f>$CT113+$CR114</f>
        <v/>
      </c>
      <c r="CU114" s="55">
        <f>SUMIFS(tblPlant[Milled_t],tblPlant[Date],$A114)</f>
        <v/>
      </c>
      <c r="CV114" s="55">
        <f>IF($B114=$B113,$CV113,0)+$CU114</f>
        <v/>
      </c>
      <c r="CW114" s="55">
        <f>$CW113+$CU114</f>
        <v/>
      </c>
      <c r="CX114" s="55">
        <f>SUMIFS(tblPlant[Feed_oz],tblPlant[Date],$A114)</f>
        <v/>
      </c>
      <c r="CY114" s="55">
        <f>IF($B114=$B113,$CY113,0)+$CX114</f>
        <v/>
      </c>
      <c r="CZ114" s="55">
        <f>$CZ113+$CX114</f>
        <v/>
      </c>
      <c r="DA114" s="55">
        <f>SUMIFS(tblPlant[Tails_oz],tblPlant[Date],$A114)</f>
        <v/>
      </c>
      <c r="DB114" s="55">
        <f>IF($B114=$B113,$DB113,0)+$DA114</f>
        <v/>
      </c>
      <c r="DC114" s="55">
        <f>$DC113+$DA114</f>
        <v/>
      </c>
      <c r="DD114" s="55">
        <f>SUMIFS(tblPlant[Recovered_oz],tblPlant[Date],$A114)</f>
        <v/>
      </c>
      <c r="DE114" s="55">
        <f>IF($B114=$B113,$DE113,0)+$DD114</f>
        <v/>
      </c>
      <c r="DF114" s="55">
        <f>$DF113+$DD114</f>
        <v/>
      </c>
      <c r="DG114" s="55">
        <f>SUMIFS(tblPlant[Milled_t],tblPlant[Date],$A114,tblPlant[Head_Grade_gpt],"&lt;&gt;")</f>
        <v/>
      </c>
      <c r="DH114" s="55">
        <f>IF($B114=$B113,$DH113,0)+$DG114</f>
        <v/>
      </c>
      <c r="DI114" s="55">
        <f>$DI113+$DG114</f>
        <v/>
      </c>
      <c r="DJ114" s="55">
        <f>SUMIFS(tblPlant[Milled_t],tblPlant[Date],$A114,tblPlant[Tails_Grade_gpt],"&lt;&gt;")</f>
        <v/>
      </c>
      <c r="DK114" s="55">
        <f>IF($B114=$B113,$DK113,0)+$DJ114</f>
        <v/>
      </c>
      <c r="DL114" s="55">
        <f>$DL113+$DJ114</f>
        <v/>
      </c>
      <c r="DM114" s="55">
        <f>SUMIFS(tblPlant[Feed_oz],tblPlant[Date],$A114,tblPlant[Tails_Grade_gpt],"&lt;&gt;")</f>
        <v/>
      </c>
      <c r="DN114" s="55">
        <f>IF($B114=$B113,$DN113,0)+$DM114</f>
        <v/>
      </c>
      <c r="DO114" s="55">
        <f>$DO113+$DM114</f>
        <v/>
      </c>
      <c r="DP114" s="55">
        <f>SUMIFS(tblPlant[Milled_t],tblPlant[Date],$A114,tblPlant[Mill_Run_h],"&lt;&gt;")</f>
        <v/>
      </c>
      <c r="DQ114" s="55">
        <f>IF($B114=$B113,$DQ113,0)+$DP114</f>
        <v/>
      </c>
      <c r="DR114" s="55">
        <f>$DR113+$DP114</f>
        <v/>
      </c>
      <c r="DS114" s="56">
        <f>IFERROR(IF(($DG114)&gt;0,($CX114*cfg_TroyOz)/($DG114),""),"")</f>
        <v/>
      </c>
      <c r="DT114" s="56">
        <f>IFERROR(IF(($DH114)&gt;0,($CY114*cfg_TroyOz)/($DH114),""),"")</f>
        <v/>
      </c>
      <c r="DU114" s="56">
        <f>IFERROR(IF(($DI114)&gt;0,($CZ114*cfg_TroyOz)/($DI114),""),"")</f>
        <v/>
      </c>
      <c r="DV114" s="56">
        <f>IFERROR(IF(($DJ114)&gt;0,($DA114*cfg_TroyOz)/($DJ114),""),"")</f>
        <v/>
      </c>
      <c r="DW114" s="56">
        <f>IFERROR(IF(($DK114)&gt;0,($DB114*cfg_TroyOz)/($DK114),""),"")</f>
        <v/>
      </c>
      <c r="DX114" s="56">
        <f>IFERROR(IF(($DL114)&gt;0,($DC114*cfg_TroyOz)/($DL114),""),"")</f>
        <v/>
      </c>
      <c r="DY114" s="67">
        <f>IFERROR(IF(($DM114)&gt;0,($DD114)/($DM114),""),"")</f>
        <v/>
      </c>
      <c r="DZ114" s="67">
        <f>IFERROR(IF(($DN114)&gt;0,($DE114)/($DN114),""),"")</f>
        <v/>
      </c>
      <c r="EA114" s="67">
        <f>IFERROR(IF(($DO114)&gt;0,($DF114)/($DO114),""),"")</f>
        <v/>
      </c>
      <c r="EB114" s="55">
        <f>SUMIFS(tblPlant[Gravity_Gold_oz],tblPlant[Date],$A114)</f>
        <v/>
      </c>
      <c r="EC114" s="55">
        <f>IF($B114=$B113,$EC113,0)+$EB114</f>
        <v/>
      </c>
      <c r="ED114" s="55">
        <f>$ED113+$EB114</f>
        <v/>
      </c>
      <c r="EE114" s="67">
        <f>IFERROR(IF(($DD114)&gt;0,($EB114)/($DD114),""),"")</f>
        <v/>
      </c>
      <c r="EF114" s="67">
        <f>IFERROR(IF(($DE114)&gt;0,($EC114)/($DE114),""),"")</f>
        <v/>
      </c>
      <c r="EG114" s="67">
        <f>IFERROR(IF(($DF114)&gt;0,($ED114)/($DF114),""),"")</f>
        <v/>
      </c>
      <c r="EH114" s="55">
        <f>SUMIFS(tblPlant[Gold_Poured_oz],tblPlant[Date],$A114)</f>
        <v/>
      </c>
      <c r="EI114" s="55">
        <f>IF($B114=$B113,$EI113,0)+$EH114</f>
        <v/>
      </c>
      <c r="EJ114" s="55">
        <f>$EJ113+$EH114</f>
        <v/>
      </c>
      <c r="EK114" s="57">
        <f>SUMIFS(tblPlant[Mill_Run_h],tblPlant[Date],$A114)</f>
        <v/>
      </c>
      <c r="EL114" s="57">
        <f>IF($B114=$B113,$EL113,0)+$EK114</f>
        <v/>
      </c>
      <c r="EM114" s="57">
        <f>$EM113+$EK114</f>
        <v/>
      </c>
      <c r="EN114" s="57">
        <f>SUMIFS(tblPlant[Mill_Planned_Maint_h],tblPlant[Date],$A114)</f>
        <v/>
      </c>
      <c r="EO114" s="57">
        <f>IF($B114=$B113,$EO113,0)+$EN114</f>
        <v/>
      </c>
      <c r="EP114" s="57">
        <f>$EP113+$EN114</f>
        <v/>
      </c>
      <c r="EQ114" s="57">
        <f>SUMIFS(tblPlant[Mill_Unplanned_Down_h],tblPlant[Date],$A114)</f>
        <v/>
      </c>
      <c r="ER114" s="57">
        <f>IF($B114=$B113,$ER113,0)+$EQ114</f>
        <v/>
      </c>
      <c r="ES114" s="57">
        <f>$ES113+$EQ114</f>
        <v/>
      </c>
      <c r="ET114" s="57">
        <f>IF(COUNTIFS(tblPlant[Date],$A114,tblPlant[Mill_Run_h],"&lt;&gt;")+COUNTIFS(tblPlant[Date],$A114,tblPlant[Mill_Planned_Maint_h],"&lt;&gt;")+COUNTIFS(tblPlant[Date],$A114,tblPlant[Mill_Unplanned_Down_h],"&lt;&gt;")&gt;0,cfg_HoursPerDay,0)</f>
        <v/>
      </c>
      <c r="EU114" s="57">
        <f>IF($B114=$B113,$EU113,0)+$ET114</f>
        <v/>
      </c>
      <c r="EV114" s="57">
        <f>$EV113+$ET114</f>
        <v/>
      </c>
      <c r="EW114" s="57">
        <f>SUMIFS(tblPlant[Crusher_Run_h],tblPlant[Date],$A114)</f>
        <v/>
      </c>
      <c r="EX114" s="57">
        <f>IF($B114=$B113,$EX113,0)+$EW114</f>
        <v/>
      </c>
      <c r="EY114" s="57">
        <f>$EY113+$EW114</f>
        <v/>
      </c>
      <c r="EZ114" s="55">
        <f>IFERROR(IF(($EK114)&gt;0,($DP114)/($EK114),""),"")</f>
        <v/>
      </c>
      <c r="FA114" s="55">
        <f>IFERROR(IF(($EL114)&gt;0,($DQ114)/($EL114),""),"")</f>
        <v/>
      </c>
      <c r="FB114" s="55">
        <f>IFERROR(IF(($EM114)&gt;0,($DR114)/($EM114),""),"")</f>
        <v/>
      </c>
      <c r="FC114" s="67">
        <f>IFERROR(IF(($ET114)&gt;0,($ET114-$EN114-$EQ114)/($ET114),""),"")</f>
        <v/>
      </c>
      <c r="FD114" s="67">
        <f>IFERROR(IF(($EU114)&gt;0,($EU114-$EO114-$ER114)/($EU114),""),"")</f>
        <v/>
      </c>
      <c r="FE114" s="67">
        <f>IFERROR(IF(($EV114)&gt;0,($EV114-$EP114-$ES114)/($EV114),""),"")</f>
        <v/>
      </c>
      <c r="FF114" s="67">
        <f>IFERROR(IF(($ET114-$EN114-$EQ114)&gt;0,($EK114)/($ET114-$EN114-$EQ114),""),"")</f>
        <v/>
      </c>
      <c r="FG114" s="67">
        <f>IFERROR(IF(($EU114-$EO114-$ER114)&gt;0,($EL114)/($EU114-$EO114-$ER114),""),"")</f>
        <v/>
      </c>
      <c r="FH114" s="67">
        <f>IFERROR(IF(($EV114-$EP114-$ES114)&gt;0,($EM114)/($EV114-$EP114-$ES114),""),"")</f>
        <v/>
      </c>
      <c r="FI114" s="55">
        <f>SUMIFS(tblPlant[Cyanide_kg],tblPlant[Date],$A114)</f>
        <v/>
      </c>
      <c r="FJ114" s="55">
        <f>IF($B114=$B113,$FJ113,0)+$FI114</f>
        <v/>
      </c>
      <c r="FK114" s="55">
        <f>$FK113+$FI114</f>
        <v/>
      </c>
      <c r="FL114" s="55">
        <f>SUMIFS(tblPlant[Lime_kg],tblPlant[Date],$A114)</f>
        <v/>
      </c>
      <c r="FM114" s="55">
        <f>IF($B114=$B113,$FM113,0)+$FL114</f>
        <v/>
      </c>
      <c r="FN114" s="55">
        <f>$FN113+$FL114</f>
        <v/>
      </c>
      <c r="FO114" s="55">
        <f>SUMIFS(tblPlant[Grinding_Media_kg],tblPlant[Date],$A114)</f>
        <v/>
      </c>
      <c r="FP114" s="55">
        <f>IF($B114=$B113,$FP113,0)+$FO114</f>
        <v/>
      </c>
      <c r="FQ114" s="55">
        <f>$FQ113+$FO114</f>
        <v/>
      </c>
      <c r="FR114" s="55">
        <f>SUMIFS(tblPlant[Power_kWh],tblPlant[Date],$A114)</f>
        <v/>
      </c>
      <c r="FS114" s="55">
        <f>IF($B114=$B113,$FS113,0)+$FR114</f>
        <v/>
      </c>
      <c r="FT114" s="55">
        <f>$FT113+$FR114</f>
        <v/>
      </c>
      <c r="FU114" s="55">
        <f>SUMIFS(tblPlant[Raw_Water_m3],tblPlant[Date],$A114)</f>
        <v/>
      </c>
      <c r="FV114" s="55">
        <f>IF($B114=$B113,$FV113,0)+$FU114</f>
        <v/>
      </c>
      <c r="FW114" s="55">
        <f>$FW113+$FU114</f>
        <v/>
      </c>
      <c r="FX114" s="56">
        <f>IFERROR(IF(($CU114)&gt;0,($FI114)/($CU114),""),"")</f>
        <v/>
      </c>
      <c r="FY114" s="56">
        <f>IFERROR(IF(($CV114)&gt;0,($FJ114)/($CV114),""),"")</f>
        <v/>
      </c>
      <c r="FZ114" s="56">
        <f>IFERROR(IF(($CW114)&gt;0,($FK114)/($CW114),""),"")</f>
        <v/>
      </c>
      <c r="GA114" s="56">
        <f>IFERROR(IF(($CU114)&gt;0,($FL114)/($CU114),""),"")</f>
        <v/>
      </c>
      <c r="GB114" s="56">
        <f>IFERROR(IF(($CV114)&gt;0,($FM114)/($CV114),""),"")</f>
        <v/>
      </c>
      <c r="GC114" s="56">
        <f>IFERROR(IF(($CW114)&gt;0,($FN114)/($CW114),""),"")</f>
        <v/>
      </c>
      <c r="GD114" s="56">
        <f>IFERROR(IF(($CU114)&gt;0,($FO114)/($CU114),""),"")</f>
        <v/>
      </c>
      <c r="GE114" s="56">
        <f>IFERROR(IF(($CV114)&gt;0,($FP114)/($CV114),""),"")</f>
        <v/>
      </c>
      <c r="GF114" s="56">
        <f>IFERROR(IF(($CW114)&gt;0,($FQ114)/($CW114),""),"")</f>
        <v/>
      </c>
      <c r="GG114" s="79">
        <f>IFERROR(IF(($CU114)&gt;0,($FR114)/($CU114),""),"")</f>
        <v/>
      </c>
      <c r="GH114" s="79">
        <f>IFERROR(IF(($CV114)&gt;0,($FS114)/($CV114),""),"")</f>
        <v/>
      </c>
      <c r="GI114" s="79">
        <f>IFERROR(IF(($CW114)&gt;0,($FT114)/($CW114),""),"")</f>
        <v/>
      </c>
      <c r="GJ114" s="56">
        <f>IFERROR(IF(($CU114)&gt;0,($FU114)/($CU114),""),"")</f>
        <v/>
      </c>
      <c r="GK114" s="56">
        <f>IFERROR(IF(($CV114)&gt;0,($FV114)/($CV114),""),"")</f>
        <v/>
      </c>
      <c r="GL114" s="56">
        <f>IFERROR(IF(($CW114)&gt;0,($FW114)/($CW114),""),"")</f>
        <v/>
      </c>
      <c r="GM114" s="55">
        <f>IF(SUMIFS(tblPlant[GIC_oz],tblPlant[Date],$A114)&gt;0,SUMIFS(tblPlant[GIC_oz],tblPlant[Date],$A114),"")</f>
        <v/>
      </c>
      <c r="GN114" s="55">
        <f>SUMIFS(tblGold[Gold_oz],tblGold[Date],$A114,tblGold[Type],"Shipment")</f>
        <v/>
      </c>
      <c r="GO114" s="55">
        <f>IF($B114=$B113,$GO113,0)+$GN114</f>
        <v/>
      </c>
      <c r="GP114" s="55">
        <f>$GP113+$GN114</f>
        <v/>
      </c>
      <c r="GQ114" s="55">
        <f>SUMIFS(tblGold[Gold_oz],tblGold[Date],$A114,tblGold[Type],"Sale")</f>
        <v/>
      </c>
      <c r="GR114" s="55">
        <f>IF($B114=$B113,$GR113,0)+$GQ114</f>
        <v/>
      </c>
      <c r="GS114" s="55">
        <f>$GS113+$GQ114</f>
        <v/>
      </c>
      <c r="GT114" s="55">
        <f>SUMIFS(tblGold[Dore_kg],tblGold[Date],$A114,tblGold[Type],"Shipment")</f>
        <v/>
      </c>
      <c r="GU114" s="55">
        <f>IF($B114=$B113,$GU113,0)+$GT114</f>
        <v/>
      </c>
      <c r="GV114" s="55">
        <f>$GV113+$GT114</f>
        <v/>
      </c>
      <c r="GW114" s="57">
        <f>SUMIFS(tblSafety[Hours_Total],tblSafety[Date],$A114)</f>
        <v/>
      </c>
      <c r="GX114" s="57">
        <f>IF($B114=$B113,$GX113,0)+$GW114</f>
        <v/>
      </c>
      <c r="GY114" s="57">
        <f>$GY113+$GW114</f>
        <v/>
      </c>
      <c r="GZ114" s="62">
        <f>SUMIFS(tblSafety[Fatality],tblSafety[Date],$A114)</f>
        <v/>
      </c>
      <c r="HA114" s="62">
        <f>IF($B114=$B113,$HA113,0)+$GZ114</f>
        <v/>
      </c>
      <c r="HB114" s="62">
        <f>$HB113+$GZ114</f>
        <v/>
      </c>
      <c r="HC114" s="62">
        <f>SUMIFS(tblSafety[LTI],tblSafety[Date],$A114)</f>
        <v/>
      </c>
      <c r="HD114" s="62">
        <f>IF($B114=$B113,$HD113,0)+$HC114</f>
        <v/>
      </c>
      <c r="HE114" s="62">
        <f>$HE113+$HC114</f>
        <v/>
      </c>
      <c r="HF114" s="62">
        <f>SUMIFS(tblSafety[RWI],tblSafety[Date],$A114)</f>
        <v/>
      </c>
      <c r="HG114" s="62">
        <f>IF($B114=$B113,$HG113,0)+$HF114</f>
        <v/>
      </c>
      <c r="HH114" s="62">
        <f>$HH113+$HF114</f>
        <v/>
      </c>
      <c r="HI114" s="62">
        <f>SUMIFS(tblSafety[MTI],tblSafety[Date],$A114)</f>
        <v/>
      </c>
      <c r="HJ114" s="62">
        <f>IF($B114=$B113,$HJ113,0)+$HI114</f>
        <v/>
      </c>
      <c r="HK114" s="62">
        <f>$HK113+$HI114</f>
        <v/>
      </c>
      <c r="HL114" s="62">
        <f>SUMIFS(tblSafety[FAI],tblSafety[Date],$A114)</f>
        <v/>
      </c>
      <c r="HM114" s="62">
        <f>IF($B114=$B113,$HM113,0)+$HL114</f>
        <v/>
      </c>
      <c r="HN114" s="62">
        <f>$HN113+$HL114</f>
        <v/>
      </c>
      <c r="HO114" s="62">
        <f>SUMIFS(tblSafety[Recordables],tblSafety[Date],$A114)</f>
        <v/>
      </c>
      <c r="HP114" s="62">
        <f>IF($B114=$B113,$HP113,0)+$HO114</f>
        <v/>
      </c>
      <c r="HQ114" s="62">
        <f>$HQ113+$HO114</f>
        <v/>
      </c>
      <c r="HR114" s="62">
        <f>SUMIFS(tblSafety[Near_Miss],tblSafety[Date],$A114)</f>
        <v/>
      </c>
      <c r="HS114" s="62">
        <f>IF($B114=$B113,$HS113,0)+$HR114</f>
        <v/>
      </c>
      <c r="HT114" s="62">
        <f>$HT113+$HR114</f>
        <v/>
      </c>
      <c r="HU114" s="62">
        <f>SUMIFS(tblSafety[Hazard_Reports],tblSafety[Date],$A114)</f>
        <v/>
      </c>
      <c r="HV114" s="62">
        <f>IF($B114=$B113,$HV113,0)+$HU114</f>
        <v/>
      </c>
      <c r="HW114" s="62">
        <f>$HW113+$HU114</f>
        <v/>
      </c>
      <c r="HX114" s="62">
        <f>SUMIFS(tblSafety[HPI],tblSafety[Date],$A114)</f>
        <v/>
      </c>
      <c r="HY114" s="62">
        <f>IF($B114=$B113,$HY113,0)+$HX114</f>
        <v/>
      </c>
      <c r="HZ114" s="62">
        <f>$HZ113+$HX114</f>
        <v/>
      </c>
      <c r="IA114" s="62">
        <f>SUMIFS(tblSafety[Env_Incidents],tblSafety[Date],$A114)</f>
        <v/>
      </c>
      <c r="IB114" s="62">
        <f>IF($B114=$B113,$IB113,0)+$IA114</f>
        <v/>
      </c>
      <c r="IC114" s="62">
        <f>$IC113+$IA114</f>
        <v/>
      </c>
      <c r="ID114" s="62">
        <f>SUMIFS(tblSafety[Community_Incidents],tblSafety[Date],$A114)</f>
        <v/>
      </c>
      <c r="IE114" s="62">
        <f>IF($B114=$B113,$IE113,0)+$ID114</f>
        <v/>
      </c>
      <c r="IF114" s="62">
        <f>$IF113+$ID114</f>
        <v/>
      </c>
      <c r="IG114" s="62">
        <f>SUMIFS(tblSafety[Vehicle_Incidents],tblSafety[Date],$A114)</f>
        <v/>
      </c>
      <c r="IH114" s="62">
        <f>IF($B114=$B113,$IH113,0)+$IG114</f>
        <v/>
      </c>
      <c r="II114" s="62">
        <f>$II113+$IG114</f>
        <v/>
      </c>
      <c r="IJ114" s="62">
        <f>SUMIFS(tblSafety[Toolbox_Talks],tblSafety[Date],$A114)</f>
        <v/>
      </c>
      <c r="IK114" s="62">
        <f>IF($B114=$B113,$IK113,0)+$IJ114</f>
        <v/>
      </c>
      <c r="IL114" s="62">
        <f>$IL113+$IJ114</f>
        <v/>
      </c>
      <c r="IM114" s="62">
        <f>SUMIFS(tblSafety[Inspections],tblSafety[Date],$A114)</f>
        <v/>
      </c>
      <c r="IN114" s="62">
        <f>IF($B114=$B113,$IN113,0)+$IM114</f>
        <v/>
      </c>
      <c r="IO114" s="62">
        <f>$IO113+$IM114</f>
        <v/>
      </c>
      <c r="IP114" s="56">
        <f>IFERROR((SUMIFS(tblSafety[Recordables],tblSafety[Date],"&gt;="&amp;EDATE($E114,-12),tblSafety[Date],"&lt;="&amp;$A114)+SUMIFS(tblSafetyHistory[Recordables],tblSafetyHistory[Month],"&gt;="&amp;EDATE($E114,-12),tblSafetyHistory[Month],"&lt;"&amp;$E114,tblSafetyHistory[Use],1))/(SUMIFS(tblSafety[Hours_Total],tblSafety[Date],"&gt;="&amp;EDATE($E114,-12),tblSafety[Date],"&lt;="&amp;$A114)+SUMIFS(tblSafetyHistory[Hours_Total],tblSafetyHistory[Month],"&gt;="&amp;EDATE($E114,-12),tblSafetyHistory[Month],"&lt;"&amp;$E114,tblSafetyHistory[Use],1))*cfg_RateBasisHours,"")</f>
        <v/>
      </c>
      <c r="IQ114" s="56">
        <f>IFERROR((SUMIFS(tblSafety[LTI],tblSafety[Date],"&gt;="&amp;EDATE($E114,-12),tblSafety[Date],"&lt;="&amp;$A114)+SUMIFS(tblSafetyHistory[LTI],tblSafetyHistory[Month],"&gt;="&amp;EDATE($E114,-12),tblSafetyHistory[Month],"&lt;"&amp;$E114,tblSafetyHistory[Use],1))/(SUMIFS(tblSafety[Hours_Total],tblSafety[Date],"&gt;="&amp;EDATE($E114,-12),tblSafety[Date],"&lt;="&amp;$A114)+SUMIFS(tblSafetyHistory[Hours_Total],tblSafetyHistory[Month],"&gt;="&amp;EDATE($E114,-12),tblSafetyHistory[Month],"&lt;"&amp;$E114,tblSafetyHistory[Use],1))*cfg_RateBasisHours,"")</f>
        <v/>
      </c>
      <c r="IR114" s="62">
        <f>IF(MAX(N(cfg_PriorLTIDate),_xlfn.MAXIFS(tblSafety[Date],tblSafety[LTI],"&gt;0",tblSafety[Date],"&lt;="&amp;$A114))=0,"",$A114-MAX(N(cfg_PriorLTIDate),_xlfn.MAXIFS(tblSafety[Date],tblSafety[LTI],"&gt;0",tblSafety[Date],"&lt;="&amp;$A114)))</f>
        <v/>
      </c>
      <c r="IS114" s="55">
        <f>SUMIFS(tblBudget[Ore_Mined_t],tblBudget[Month],$E114)</f>
        <v/>
      </c>
      <c r="IT114" s="55">
        <f>$IS114*$C114/$D114</f>
        <v/>
      </c>
      <c r="IU114" s="55">
        <f>SUMIFS(tblBudget[Ore_Mined_t],tblBudget[Month],"&lt;"&amp;$E114)+$IT114</f>
        <v/>
      </c>
      <c r="IV114" s="55">
        <f>SUMIFS(tblBudget[Ore_oz],tblBudget[Month],$E114)</f>
        <v/>
      </c>
      <c r="IW114" s="55">
        <f>$IV114*$C114/$D114</f>
        <v/>
      </c>
      <c r="IX114" s="55">
        <f>SUMIFS(tblBudget[Ore_oz],tblBudget[Month],"&lt;"&amp;$E114)+$IW114</f>
        <v/>
      </c>
      <c r="IY114" s="55">
        <f>SUMIFS(tblBudget[Ore_Mined_t],tblBudget[Month],$E114)</f>
        <v/>
      </c>
      <c r="IZ114" s="55">
        <f>$IY114*$C114/$D114</f>
        <v/>
      </c>
      <c r="JA114" s="55">
        <f>SUMIFS(tblBudget[Ore_Mined_t],tblBudget[Month],"&lt;"&amp;$E114)+$IZ114</f>
        <v/>
      </c>
      <c r="JB114" s="56">
        <f>IFERROR(IF(($IY114)&gt;0,($IV114*cfg_TroyOz)/($IY114),""),"")</f>
        <v/>
      </c>
      <c r="JC114" s="56">
        <f>IFERROR(IF(($IZ114)&gt;0,($IW114*cfg_TroyOz)/($IZ114),""),"")</f>
        <v/>
      </c>
      <c r="JD114" s="56">
        <f>IFERROR(IF(($JA114)&gt;0,($IX114*cfg_TroyOz)/($JA114),""),"")</f>
        <v/>
      </c>
      <c r="JE114" s="55">
        <f>SUMIFS(tblBudget[Waste_t],tblBudget[Month],$E114)</f>
        <v/>
      </c>
      <c r="JF114" s="55">
        <f>$JE114*$C114/$D114</f>
        <v/>
      </c>
      <c r="JG114" s="55">
        <f>SUMIFS(tblBudget[Waste_t],tblBudget[Month],"&lt;"&amp;$E114)+$JF114</f>
        <v/>
      </c>
      <c r="JH114" s="55">
        <f>SUMIFS(tblBudget[TMM_t],tblBudget[Month],$E114)</f>
        <v/>
      </c>
      <c r="JI114" s="55">
        <f>$JH114*$C114/$D114</f>
        <v/>
      </c>
      <c r="JJ114" s="55">
        <f>SUMIFS(tblBudget[TMM_t],tblBudget[Month],"&lt;"&amp;$E114)+$JI114</f>
        <v/>
      </c>
      <c r="JK114" s="56">
        <f>IFERROR(IF(($IS114)&gt;0,($JE114)/($IS114),""),"")</f>
        <v/>
      </c>
      <c r="JL114" s="56">
        <f>IFERROR(IF(($IT114)&gt;0,($JF114)/($IT114),""),"")</f>
        <v/>
      </c>
      <c r="JM114" s="56">
        <f>IFERROR(IF(($IU114)&gt;0,($JG114)/($IU114),""),"")</f>
        <v/>
      </c>
      <c r="JN114" s="55">
        <f>SUMIFS(tblBudget[Drill_m],tblBudget[Month],$E114)</f>
        <v/>
      </c>
      <c r="JO114" s="55">
        <f>$JN114*$C114/$D114</f>
        <v/>
      </c>
      <c r="JP114" s="55">
        <f>SUMIFS(tblBudget[Drill_m],tblBudget[Month],"&lt;"&amp;$E114)+$JO114</f>
        <v/>
      </c>
      <c r="JQ114" s="55">
        <f>SUMIFS(tblBudget[Diesel_L],tblBudget[Month],$E114)</f>
        <v/>
      </c>
      <c r="JR114" s="55">
        <f>$JQ114*$C114/$D114</f>
        <v/>
      </c>
      <c r="JS114" s="55">
        <f>SUMIFS(tblBudget[Diesel_L],tblBudget[Month],"&lt;"&amp;$E114)+$JR114</f>
        <v/>
      </c>
      <c r="JT114" s="55">
        <f>SUMIFS(tblBudget[Milled_t],tblBudget[Month],$E114)</f>
        <v/>
      </c>
      <c r="JU114" s="55">
        <f>$JT114*$C114/$D114</f>
        <v/>
      </c>
      <c r="JV114" s="55">
        <f>SUMIFS(tblBudget[Milled_t],tblBudget[Month],"&lt;"&amp;$E114)+$JU114</f>
        <v/>
      </c>
      <c r="JW114" s="55">
        <f>SUMIFS(tblBudget[Feed_oz],tblBudget[Month],$E114)</f>
        <v/>
      </c>
      <c r="JX114" s="55">
        <f>$JW114*$C114/$D114</f>
        <v/>
      </c>
      <c r="JY114" s="55">
        <f>SUMIFS(tblBudget[Feed_oz],tblBudget[Month],"&lt;"&amp;$E114)+$JX114</f>
        <v/>
      </c>
      <c r="JZ114" s="55">
        <f>SUMIFS(tblBudget[Recovered_oz],tblBudget[Month],$E114)</f>
        <v/>
      </c>
      <c r="KA114" s="55">
        <f>$JZ114*$C114/$D114</f>
        <v/>
      </c>
      <c r="KB114" s="55">
        <f>SUMIFS(tblBudget[Recovered_oz],tblBudget[Month],"&lt;"&amp;$E114)+$KA114</f>
        <v/>
      </c>
      <c r="KC114" s="55">
        <f>SUMIFS(tblBudget[Milled_t],tblBudget[Month],$E114)</f>
        <v/>
      </c>
      <c r="KD114" s="55">
        <f>$KC114*$C114/$D114</f>
        <v/>
      </c>
      <c r="KE114" s="55">
        <f>SUMIFS(tblBudget[Milled_t],tblBudget[Month],"&lt;"&amp;$E114)+$KD114</f>
        <v/>
      </c>
      <c r="KF114" s="55">
        <f>SUMIFS(tblBudget[Feed_oz],tblBudget[Month],$E114)</f>
        <v/>
      </c>
      <c r="KG114" s="55">
        <f>$KF114*$C114/$D114</f>
        <v/>
      </c>
      <c r="KH114" s="55">
        <f>SUMIFS(tblBudget[Feed_oz],tblBudget[Month],"&lt;"&amp;$E114)+$KG114</f>
        <v/>
      </c>
      <c r="KI114" s="56">
        <f>IFERROR(IF(($KC114)&gt;0,($JW114*cfg_TroyOz)/($KC114),""),"")</f>
        <v/>
      </c>
      <c r="KJ114" s="56">
        <f>IFERROR(IF(($KD114)&gt;0,($JX114*cfg_TroyOz)/($KD114),""),"")</f>
        <v/>
      </c>
      <c r="KK114" s="56">
        <f>IFERROR(IF(($KE114)&gt;0,($JY114*cfg_TroyOz)/($KE114),""),"")</f>
        <v/>
      </c>
      <c r="KL114" s="67">
        <f>IFERROR(IF(($KF114)&gt;0,($JZ114)/($KF114),""),"")</f>
        <v/>
      </c>
      <c r="KM114" s="67">
        <f>IFERROR(IF(($KG114)&gt;0,($KA114)/($KG114),""),"")</f>
        <v/>
      </c>
      <c r="KN114" s="67">
        <f>IFERROR(IF(($KH114)&gt;0,($KB114)/($KH114),""),"")</f>
        <v/>
      </c>
      <c r="KO114" s="55">
        <f>SUMIFS(tblBudget[Gold_Poured_oz],tblBudget[Month],$E114)</f>
        <v/>
      </c>
      <c r="KP114" s="55">
        <f>$KO114*$C114/$D114</f>
        <v/>
      </c>
      <c r="KQ114" s="55">
        <f>SUMIFS(tblBudget[Gold_Poured_oz],tblBudget[Month],"&lt;"&amp;$E114)+$KP114</f>
        <v/>
      </c>
      <c r="KR114" s="57">
        <f>SUMIFS(tblBudget[Hours_Worked],tblBudget[Month],$E114)</f>
        <v/>
      </c>
      <c r="KS114" s="57">
        <f>$KR114*$C114/$D114</f>
        <v/>
      </c>
      <c r="KT114" s="57">
        <f>SUMIFS(tblBudget[Hours_Worked],tblBudget[Month],"&lt;"&amp;$E114)+$KS114</f>
        <v/>
      </c>
    </row>
    <row r="115">
      <c r="A115" s="54" t="n">
        <v>46136</v>
      </c>
      <c r="B115">
        <f>MONTH($A115)</f>
        <v/>
      </c>
      <c r="C115">
        <f>DAY($A115)</f>
        <v/>
      </c>
      <c r="D115">
        <f>DAY(EOMONTH($A115,0))</f>
        <v/>
      </c>
      <c r="E115" s="54">
        <f>DATE(YEAR($A115),MONTH($A115),1)</f>
        <v/>
      </c>
      <c r="F115" s="55">
        <f>SUMIFS(tblMovement[Tonnes_t],tblMovement[Date],$A115,tblMovement[Is_Ore],1,tblMovement[Source_Type],"Pit")</f>
        <v/>
      </c>
      <c r="G115" s="55">
        <f>IF($B115=$B114,$G114,0)+$F115</f>
        <v/>
      </c>
      <c r="H115" s="55">
        <f>$H114+$F115</f>
        <v/>
      </c>
      <c r="I115" s="55">
        <f>SUMIFS(tblMovement[Ore_oz],tblMovement[Date],$A115,tblMovement[Source_Type],"Pit")</f>
        <v/>
      </c>
      <c r="J115" s="55">
        <f>IF($B115=$B114,$J114,0)+$I115</f>
        <v/>
      </c>
      <c r="K115" s="55">
        <f>$K114+$I115</f>
        <v/>
      </c>
      <c r="L115" s="55">
        <f>SUMIFS(tblMovement[Tonnes_t],tblMovement[Date],$A115,tblMovement[Is_Ore],1,tblMovement[Source_Type],"Pit",tblMovement[Grade_gpt],"&lt;&gt;")</f>
        <v/>
      </c>
      <c r="M115" s="55">
        <f>IF($B115=$B114,$M114,0)+$L115</f>
        <v/>
      </c>
      <c r="N115" s="55">
        <f>$N114+$L115</f>
        <v/>
      </c>
      <c r="O115" s="56">
        <f>IFERROR(IF(($L115)&gt;0,($I115*cfg_TroyOz)/($L115),""),"")</f>
        <v/>
      </c>
      <c r="P115" s="56">
        <f>IFERROR(IF(($M115)&gt;0,($J115*cfg_TroyOz)/($M115),""),"")</f>
        <v/>
      </c>
      <c r="Q115" s="56">
        <f>IFERROR(IF(($N115)&gt;0,($K115*cfg_TroyOz)/($N115),""),"")</f>
        <v/>
      </c>
      <c r="R115" s="55">
        <f>$F115-$L115</f>
        <v/>
      </c>
      <c r="S115" s="55">
        <f>IF($B115=$B114,$S114,0)+$R115</f>
        <v/>
      </c>
      <c r="T115" s="55">
        <f>$T114+$R115</f>
        <v/>
      </c>
      <c r="U115" s="55">
        <f>SUMIFS(tblMovement[Tonnes_t],tblMovement[Date],$A115,tblMovement[Is_Ore],0,tblMovement[Source_Type],"Pit")</f>
        <v/>
      </c>
      <c r="V115" s="55">
        <f>IF($B115=$B114,$V114,0)+$U115</f>
        <v/>
      </c>
      <c r="W115" s="55">
        <f>$W114+$U115</f>
        <v/>
      </c>
      <c r="X115" s="55">
        <f>$F115+$U115</f>
        <v/>
      </c>
      <c r="Y115" s="55">
        <f>IF($B115=$B114,$Y114,0)+$X115</f>
        <v/>
      </c>
      <c r="Z115" s="55">
        <f>$Z114+$X115</f>
        <v/>
      </c>
      <c r="AA115" s="56">
        <f>IFERROR(IF(($F115)&gt;0,($U115)/($F115),""),"")</f>
        <v/>
      </c>
      <c r="AB115" s="56">
        <f>IFERROR(IF(($G115)&gt;0,($V115)/($G115),""),"")</f>
        <v/>
      </c>
      <c r="AC115" s="56">
        <f>IFERROR(IF(($H115)&gt;0,($W115)/($H115),""),"")</f>
        <v/>
      </c>
      <c r="AD115" s="55">
        <f>SUMIFS(tblMovement[Tonnes_t],tblMovement[Date],$A115,tblMovement[Source_Type],"Stockpile")</f>
        <v/>
      </c>
      <c r="AE115" s="55">
        <f>IF($B115=$B114,$AE114,0)+$AD115</f>
        <v/>
      </c>
      <c r="AF115" s="55">
        <f>$AF114+$AD115</f>
        <v/>
      </c>
      <c r="AG115" s="55">
        <f>SUMIFS(tblMovement[Tonnes_t],tblMovement[Date],$A115)</f>
        <v/>
      </c>
      <c r="AH115" s="55">
        <f>IF($B115=$B114,$AH114,0)+$AG115</f>
        <v/>
      </c>
      <c r="AI115" s="55">
        <f>$AI114+$AG115</f>
        <v/>
      </c>
      <c r="AJ115" s="55">
        <f>$AG115-$X115-$AD115</f>
        <v/>
      </c>
      <c r="AK115" s="55">
        <f>IF($B115=$B114,$AK114,0)+$AJ115</f>
        <v/>
      </c>
      <c r="AL115" s="55">
        <f>$AL114+$AJ115</f>
        <v/>
      </c>
      <c r="AM115" s="55">
        <f>SUMIFS(tblMiningDaily[Drill_m],tblMiningDaily[Date],$A115)</f>
        <v/>
      </c>
      <c r="AN115" s="55">
        <f>IF($B115=$B114,$AN114,0)+$AM115</f>
        <v/>
      </c>
      <c r="AO115" s="55">
        <f>$AO114+$AM115</f>
        <v/>
      </c>
      <c r="AP115" s="55">
        <f>SUMIFS(tblMiningDaily[GC_Drill_m],tblMiningDaily[Date],$A115)</f>
        <v/>
      </c>
      <c r="AQ115" s="55">
        <f>IF($B115=$B114,$AQ114,0)+$AP115</f>
        <v/>
      </c>
      <c r="AR115" s="55">
        <f>$AR114+$AP115</f>
        <v/>
      </c>
      <c r="AS115" s="55">
        <f>SUMIFS(tblMiningDaily[Blast_t],tblMiningDaily[Date],$A115)</f>
        <v/>
      </c>
      <c r="AT115" s="55">
        <f>IF($B115=$B114,$AT114,0)+$AS115</f>
        <v/>
      </c>
      <c r="AU115" s="55">
        <f>$AU114+$AS115</f>
        <v/>
      </c>
      <c r="AV115" s="55">
        <f>SUMIFS(tblMiningDaily[Explosives_kg],tblMiningDaily[Date],$A115)</f>
        <v/>
      </c>
      <c r="AW115" s="55">
        <f>IF($B115=$B114,$AW114,0)+$AV115</f>
        <v/>
      </c>
      <c r="AX115" s="55">
        <f>$AX114+$AV115</f>
        <v/>
      </c>
      <c r="AY115" s="56">
        <f>IFERROR(IF(($AS115)&gt;0,($AV115)/($AS115),""),"")</f>
        <v/>
      </c>
      <c r="AZ115" s="56">
        <f>IFERROR(IF(($AT115)&gt;0,($AW115)/($AT115),""),"")</f>
        <v/>
      </c>
      <c r="BA115" s="56">
        <f>IFERROR(IF(($AU115)&gt;0,($AX115)/($AU115),""),"")</f>
        <v/>
      </c>
      <c r="BB115" s="55">
        <f>SUMIFS(tblMiningDaily[Diesel_L],tblMiningDaily[Date],$A115)</f>
        <v/>
      </c>
      <c r="BC115" s="55">
        <f>IF($B115=$B114,$BC114,0)+$BB115</f>
        <v/>
      </c>
      <c r="BD115" s="55">
        <f>$BD114+$BB115</f>
        <v/>
      </c>
      <c r="BE115" s="55">
        <f>SUMIFS(tblMiningDaily[Dewatering_m3],tblMiningDaily[Date],$A115)</f>
        <v/>
      </c>
      <c r="BF115" s="55">
        <f>IF($B115=$B114,$BF114,0)+$BE115</f>
        <v/>
      </c>
      <c r="BG115" s="55">
        <f>$BG114+$BE115</f>
        <v/>
      </c>
      <c r="BH115" s="57">
        <f>SUMIFS(tblFleet[Calendar_h],tblFleet[Date],$A115,tblFleet[Equipment_Class],"Excavator")</f>
        <v/>
      </c>
      <c r="BI115" s="57">
        <f>IF($B115=$B114,$BI114,0)+$BH115</f>
        <v/>
      </c>
      <c r="BJ115" s="57">
        <f>$BJ114+$BH115</f>
        <v/>
      </c>
      <c r="BK115" s="57">
        <f>SUMIFS(tblFleet[Available_h],tblFleet[Date],$A115,tblFleet[Equipment_Class],"Excavator")</f>
        <v/>
      </c>
      <c r="BL115" s="57">
        <f>IF($B115=$B114,$BL114,0)+$BK115</f>
        <v/>
      </c>
      <c r="BM115" s="57">
        <f>$BM114+$BK115</f>
        <v/>
      </c>
      <c r="BN115" s="57">
        <f>SUMIFS(tblFleet[Operating_h],tblFleet[Date],$A115,tblFleet[Equipment_Class],"Excavator")</f>
        <v/>
      </c>
      <c r="BO115" s="57">
        <f>IF($B115=$B114,$BO114,0)+$BN115</f>
        <v/>
      </c>
      <c r="BP115" s="57">
        <f>$BP114+$BN115</f>
        <v/>
      </c>
      <c r="BQ115" s="67">
        <f>IFERROR(IF(($BH115)&gt;0,($BK115)/($BH115),""),"")</f>
        <v/>
      </c>
      <c r="BR115" s="67">
        <f>IFERROR(IF(($BI115)&gt;0,($BL115)/($BI115),""),"")</f>
        <v/>
      </c>
      <c r="BS115" s="67">
        <f>IFERROR(IF(($BJ115)&gt;0,($BM115)/($BJ115),""),"")</f>
        <v/>
      </c>
      <c r="BT115" s="67">
        <f>IFERROR(IF(($BK115)&gt;0,($BN115)/($BK115),""),"")</f>
        <v/>
      </c>
      <c r="BU115" s="67">
        <f>IFERROR(IF(($BL115)&gt;0,($BO115)/($BL115),""),"")</f>
        <v/>
      </c>
      <c r="BV115" s="67">
        <f>IFERROR(IF(($BM115)&gt;0,($BP115)/($BM115),""),"")</f>
        <v/>
      </c>
      <c r="BW115" s="57">
        <f>SUMIFS(tblFleet[Calendar_h],tblFleet[Date],$A115,tblFleet[Equipment_Class],"Haul Truck")</f>
        <v/>
      </c>
      <c r="BX115" s="57">
        <f>IF($B115=$B114,$BX114,0)+$BW115</f>
        <v/>
      </c>
      <c r="BY115" s="57">
        <f>$BY114+$BW115</f>
        <v/>
      </c>
      <c r="BZ115" s="57">
        <f>SUMIFS(tblFleet[Available_h],tblFleet[Date],$A115,tblFleet[Equipment_Class],"Haul Truck")</f>
        <v/>
      </c>
      <c r="CA115" s="57">
        <f>IF($B115=$B114,$CA114,0)+$BZ115</f>
        <v/>
      </c>
      <c r="CB115" s="57">
        <f>$CB114+$BZ115</f>
        <v/>
      </c>
      <c r="CC115" s="57">
        <f>SUMIFS(tblFleet[Operating_h],tblFleet[Date],$A115,tblFleet[Equipment_Class],"Haul Truck")</f>
        <v/>
      </c>
      <c r="CD115" s="57">
        <f>IF($B115=$B114,$CD114,0)+$CC115</f>
        <v/>
      </c>
      <c r="CE115" s="57">
        <f>$CE114+$CC115</f>
        <v/>
      </c>
      <c r="CF115" s="67">
        <f>IFERROR(IF(($BW115)&gt;0,($BZ115)/($BW115),""),"")</f>
        <v/>
      </c>
      <c r="CG115" s="67">
        <f>IFERROR(IF(($BX115)&gt;0,($CA115)/($BX115),""),"")</f>
        <v/>
      </c>
      <c r="CH115" s="67">
        <f>IFERROR(IF(($BY115)&gt;0,($CB115)/($BY115),""),"")</f>
        <v/>
      </c>
      <c r="CI115" s="67">
        <f>IFERROR(IF(($BZ115)&gt;0,($CC115)/($BZ115),""),"")</f>
        <v/>
      </c>
      <c r="CJ115" s="67">
        <f>IFERROR(IF(($CA115)&gt;0,($CD115)/($CA115),""),"")</f>
        <v/>
      </c>
      <c r="CK115" s="67">
        <f>IFERROR(IF(($CB115)&gt;0,($CE115)/($CB115),""),"")</f>
        <v/>
      </c>
      <c r="CL115" s="55">
        <f>IFERROR(IF(($BN115)&gt;0,($X115+$AD115)/($BN115),""),"")</f>
        <v/>
      </c>
      <c r="CM115" s="55">
        <f>IFERROR(IF(($BO115)&gt;0,($Y115+$AE115)/($BO115),""),"")</f>
        <v/>
      </c>
      <c r="CN115" s="55">
        <f>IFERROR(IF(($BP115)&gt;0,($Z115+$AF115)/($BP115),""),"")</f>
        <v/>
      </c>
      <c r="CO115" s="55">
        <f>IFERROR(IF(($CC115)&gt;0,($X115+$AD115)/($CC115),""),"")</f>
        <v/>
      </c>
      <c r="CP115" s="55">
        <f>IFERROR(IF(($CD115)&gt;0,($Y115+$AE115)/($CD115),""),"")</f>
        <v/>
      </c>
      <c r="CQ115" s="55">
        <f>IFERROR(IF(($CE115)&gt;0,($Z115+$AF115)/($CE115),""),"")</f>
        <v/>
      </c>
      <c r="CR115" s="55">
        <f>SUMIFS(tblPlant[Crushed_t],tblPlant[Date],$A115)</f>
        <v/>
      </c>
      <c r="CS115" s="55">
        <f>IF($B115=$B114,$CS114,0)+$CR115</f>
        <v/>
      </c>
      <c r="CT115" s="55">
        <f>$CT114+$CR115</f>
        <v/>
      </c>
      <c r="CU115" s="55">
        <f>SUMIFS(tblPlant[Milled_t],tblPlant[Date],$A115)</f>
        <v/>
      </c>
      <c r="CV115" s="55">
        <f>IF($B115=$B114,$CV114,0)+$CU115</f>
        <v/>
      </c>
      <c r="CW115" s="55">
        <f>$CW114+$CU115</f>
        <v/>
      </c>
      <c r="CX115" s="55">
        <f>SUMIFS(tblPlant[Feed_oz],tblPlant[Date],$A115)</f>
        <v/>
      </c>
      <c r="CY115" s="55">
        <f>IF($B115=$B114,$CY114,0)+$CX115</f>
        <v/>
      </c>
      <c r="CZ115" s="55">
        <f>$CZ114+$CX115</f>
        <v/>
      </c>
      <c r="DA115" s="55">
        <f>SUMIFS(tblPlant[Tails_oz],tblPlant[Date],$A115)</f>
        <v/>
      </c>
      <c r="DB115" s="55">
        <f>IF($B115=$B114,$DB114,0)+$DA115</f>
        <v/>
      </c>
      <c r="DC115" s="55">
        <f>$DC114+$DA115</f>
        <v/>
      </c>
      <c r="DD115" s="55">
        <f>SUMIFS(tblPlant[Recovered_oz],tblPlant[Date],$A115)</f>
        <v/>
      </c>
      <c r="DE115" s="55">
        <f>IF($B115=$B114,$DE114,0)+$DD115</f>
        <v/>
      </c>
      <c r="DF115" s="55">
        <f>$DF114+$DD115</f>
        <v/>
      </c>
      <c r="DG115" s="55">
        <f>SUMIFS(tblPlant[Milled_t],tblPlant[Date],$A115,tblPlant[Head_Grade_gpt],"&lt;&gt;")</f>
        <v/>
      </c>
      <c r="DH115" s="55">
        <f>IF($B115=$B114,$DH114,0)+$DG115</f>
        <v/>
      </c>
      <c r="DI115" s="55">
        <f>$DI114+$DG115</f>
        <v/>
      </c>
      <c r="DJ115" s="55">
        <f>SUMIFS(tblPlant[Milled_t],tblPlant[Date],$A115,tblPlant[Tails_Grade_gpt],"&lt;&gt;")</f>
        <v/>
      </c>
      <c r="DK115" s="55">
        <f>IF($B115=$B114,$DK114,0)+$DJ115</f>
        <v/>
      </c>
      <c r="DL115" s="55">
        <f>$DL114+$DJ115</f>
        <v/>
      </c>
      <c r="DM115" s="55">
        <f>SUMIFS(tblPlant[Feed_oz],tblPlant[Date],$A115,tblPlant[Tails_Grade_gpt],"&lt;&gt;")</f>
        <v/>
      </c>
      <c r="DN115" s="55">
        <f>IF($B115=$B114,$DN114,0)+$DM115</f>
        <v/>
      </c>
      <c r="DO115" s="55">
        <f>$DO114+$DM115</f>
        <v/>
      </c>
      <c r="DP115" s="55">
        <f>SUMIFS(tblPlant[Milled_t],tblPlant[Date],$A115,tblPlant[Mill_Run_h],"&lt;&gt;")</f>
        <v/>
      </c>
      <c r="DQ115" s="55">
        <f>IF($B115=$B114,$DQ114,0)+$DP115</f>
        <v/>
      </c>
      <c r="DR115" s="55">
        <f>$DR114+$DP115</f>
        <v/>
      </c>
      <c r="DS115" s="56">
        <f>IFERROR(IF(($DG115)&gt;0,($CX115*cfg_TroyOz)/($DG115),""),"")</f>
        <v/>
      </c>
      <c r="DT115" s="56">
        <f>IFERROR(IF(($DH115)&gt;0,($CY115*cfg_TroyOz)/($DH115),""),"")</f>
        <v/>
      </c>
      <c r="DU115" s="56">
        <f>IFERROR(IF(($DI115)&gt;0,($CZ115*cfg_TroyOz)/($DI115),""),"")</f>
        <v/>
      </c>
      <c r="DV115" s="56">
        <f>IFERROR(IF(($DJ115)&gt;0,($DA115*cfg_TroyOz)/($DJ115),""),"")</f>
        <v/>
      </c>
      <c r="DW115" s="56">
        <f>IFERROR(IF(($DK115)&gt;0,($DB115*cfg_TroyOz)/($DK115),""),"")</f>
        <v/>
      </c>
      <c r="DX115" s="56">
        <f>IFERROR(IF(($DL115)&gt;0,($DC115*cfg_TroyOz)/($DL115),""),"")</f>
        <v/>
      </c>
      <c r="DY115" s="67">
        <f>IFERROR(IF(($DM115)&gt;0,($DD115)/($DM115),""),"")</f>
        <v/>
      </c>
      <c r="DZ115" s="67">
        <f>IFERROR(IF(($DN115)&gt;0,($DE115)/($DN115),""),"")</f>
        <v/>
      </c>
      <c r="EA115" s="67">
        <f>IFERROR(IF(($DO115)&gt;0,($DF115)/($DO115),""),"")</f>
        <v/>
      </c>
      <c r="EB115" s="55">
        <f>SUMIFS(tblPlant[Gravity_Gold_oz],tblPlant[Date],$A115)</f>
        <v/>
      </c>
      <c r="EC115" s="55">
        <f>IF($B115=$B114,$EC114,0)+$EB115</f>
        <v/>
      </c>
      <c r="ED115" s="55">
        <f>$ED114+$EB115</f>
        <v/>
      </c>
      <c r="EE115" s="67">
        <f>IFERROR(IF(($DD115)&gt;0,($EB115)/($DD115),""),"")</f>
        <v/>
      </c>
      <c r="EF115" s="67">
        <f>IFERROR(IF(($DE115)&gt;0,($EC115)/($DE115),""),"")</f>
        <v/>
      </c>
      <c r="EG115" s="67">
        <f>IFERROR(IF(($DF115)&gt;0,($ED115)/($DF115),""),"")</f>
        <v/>
      </c>
      <c r="EH115" s="55">
        <f>SUMIFS(tblPlant[Gold_Poured_oz],tblPlant[Date],$A115)</f>
        <v/>
      </c>
      <c r="EI115" s="55">
        <f>IF($B115=$B114,$EI114,0)+$EH115</f>
        <v/>
      </c>
      <c r="EJ115" s="55">
        <f>$EJ114+$EH115</f>
        <v/>
      </c>
      <c r="EK115" s="57">
        <f>SUMIFS(tblPlant[Mill_Run_h],tblPlant[Date],$A115)</f>
        <v/>
      </c>
      <c r="EL115" s="57">
        <f>IF($B115=$B114,$EL114,0)+$EK115</f>
        <v/>
      </c>
      <c r="EM115" s="57">
        <f>$EM114+$EK115</f>
        <v/>
      </c>
      <c r="EN115" s="57">
        <f>SUMIFS(tblPlant[Mill_Planned_Maint_h],tblPlant[Date],$A115)</f>
        <v/>
      </c>
      <c r="EO115" s="57">
        <f>IF($B115=$B114,$EO114,0)+$EN115</f>
        <v/>
      </c>
      <c r="EP115" s="57">
        <f>$EP114+$EN115</f>
        <v/>
      </c>
      <c r="EQ115" s="57">
        <f>SUMIFS(tblPlant[Mill_Unplanned_Down_h],tblPlant[Date],$A115)</f>
        <v/>
      </c>
      <c r="ER115" s="57">
        <f>IF($B115=$B114,$ER114,0)+$EQ115</f>
        <v/>
      </c>
      <c r="ES115" s="57">
        <f>$ES114+$EQ115</f>
        <v/>
      </c>
      <c r="ET115" s="57">
        <f>IF(COUNTIFS(tblPlant[Date],$A115,tblPlant[Mill_Run_h],"&lt;&gt;")+COUNTIFS(tblPlant[Date],$A115,tblPlant[Mill_Planned_Maint_h],"&lt;&gt;")+COUNTIFS(tblPlant[Date],$A115,tblPlant[Mill_Unplanned_Down_h],"&lt;&gt;")&gt;0,cfg_HoursPerDay,0)</f>
        <v/>
      </c>
      <c r="EU115" s="57">
        <f>IF($B115=$B114,$EU114,0)+$ET115</f>
        <v/>
      </c>
      <c r="EV115" s="57">
        <f>$EV114+$ET115</f>
        <v/>
      </c>
      <c r="EW115" s="57">
        <f>SUMIFS(tblPlant[Crusher_Run_h],tblPlant[Date],$A115)</f>
        <v/>
      </c>
      <c r="EX115" s="57">
        <f>IF($B115=$B114,$EX114,0)+$EW115</f>
        <v/>
      </c>
      <c r="EY115" s="57">
        <f>$EY114+$EW115</f>
        <v/>
      </c>
      <c r="EZ115" s="55">
        <f>IFERROR(IF(($EK115)&gt;0,($DP115)/($EK115),""),"")</f>
        <v/>
      </c>
      <c r="FA115" s="55">
        <f>IFERROR(IF(($EL115)&gt;0,($DQ115)/($EL115),""),"")</f>
        <v/>
      </c>
      <c r="FB115" s="55">
        <f>IFERROR(IF(($EM115)&gt;0,($DR115)/($EM115),""),"")</f>
        <v/>
      </c>
      <c r="FC115" s="67">
        <f>IFERROR(IF(($ET115)&gt;0,($ET115-$EN115-$EQ115)/($ET115),""),"")</f>
        <v/>
      </c>
      <c r="FD115" s="67">
        <f>IFERROR(IF(($EU115)&gt;0,($EU115-$EO115-$ER115)/($EU115),""),"")</f>
        <v/>
      </c>
      <c r="FE115" s="67">
        <f>IFERROR(IF(($EV115)&gt;0,($EV115-$EP115-$ES115)/($EV115),""),"")</f>
        <v/>
      </c>
      <c r="FF115" s="67">
        <f>IFERROR(IF(($ET115-$EN115-$EQ115)&gt;0,($EK115)/($ET115-$EN115-$EQ115),""),"")</f>
        <v/>
      </c>
      <c r="FG115" s="67">
        <f>IFERROR(IF(($EU115-$EO115-$ER115)&gt;0,($EL115)/($EU115-$EO115-$ER115),""),"")</f>
        <v/>
      </c>
      <c r="FH115" s="67">
        <f>IFERROR(IF(($EV115-$EP115-$ES115)&gt;0,($EM115)/($EV115-$EP115-$ES115),""),"")</f>
        <v/>
      </c>
      <c r="FI115" s="55">
        <f>SUMIFS(tblPlant[Cyanide_kg],tblPlant[Date],$A115)</f>
        <v/>
      </c>
      <c r="FJ115" s="55">
        <f>IF($B115=$B114,$FJ114,0)+$FI115</f>
        <v/>
      </c>
      <c r="FK115" s="55">
        <f>$FK114+$FI115</f>
        <v/>
      </c>
      <c r="FL115" s="55">
        <f>SUMIFS(tblPlant[Lime_kg],tblPlant[Date],$A115)</f>
        <v/>
      </c>
      <c r="FM115" s="55">
        <f>IF($B115=$B114,$FM114,0)+$FL115</f>
        <v/>
      </c>
      <c r="FN115" s="55">
        <f>$FN114+$FL115</f>
        <v/>
      </c>
      <c r="FO115" s="55">
        <f>SUMIFS(tblPlant[Grinding_Media_kg],tblPlant[Date],$A115)</f>
        <v/>
      </c>
      <c r="FP115" s="55">
        <f>IF($B115=$B114,$FP114,0)+$FO115</f>
        <v/>
      </c>
      <c r="FQ115" s="55">
        <f>$FQ114+$FO115</f>
        <v/>
      </c>
      <c r="FR115" s="55">
        <f>SUMIFS(tblPlant[Power_kWh],tblPlant[Date],$A115)</f>
        <v/>
      </c>
      <c r="FS115" s="55">
        <f>IF($B115=$B114,$FS114,0)+$FR115</f>
        <v/>
      </c>
      <c r="FT115" s="55">
        <f>$FT114+$FR115</f>
        <v/>
      </c>
      <c r="FU115" s="55">
        <f>SUMIFS(tblPlant[Raw_Water_m3],tblPlant[Date],$A115)</f>
        <v/>
      </c>
      <c r="FV115" s="55">
        <f>IF($B115=$B114,$FV114,0)+$FU115</f>
        <v/>
      </c>
      <c r="FW115" s="55">
        <f>$FW114+$FU115</f>
        <v/>
      </c>
      <c r="FX115" s="56">
        <f>IFERROR(IF(($CU115)&gt;0,($FI115)/($CU115),""),"")</f>
        <v/>
      </c>
      <c r="FY115" s="56">
        <f>IFERROR(IF(($CV115)&gt;0,($FJ115)/($CV115),""),"")</f>
        <v/>
      </c>
      <c r="FZ115" s="56">
        <f>IFERROR(IF(($CW115)&gt;0,($FK115)/($CW115),""),"")</f>
        <v/>
      </c>
      <c r="GA115" s="56">
        <f>IFERROR(IF(($CU115)&gt;0,($FL115)/($CU115),""),"")</f>
        <v/>
      </c>
      <c r="GB115" s="56">
        <f>IFERROR(IF(($CV115)&gt;0,($FM115)/($CV115),""),"")</f>
        <v/>
      </c>
      <c r="GC115" s="56">
        <f>IFERROR(IF(($CW115)&gt;0,($FN115)/($CW115),""),"")</f>
        <v/>
      </c>
      <c r="GD115" s="56">
        <f>IFERROR(IF(($CU115)&gt;0,($FO115)/($CU115),""),"")</f>
        <v/>
      </c>
      <c r="GE115" s="56">
        <f>IFERROR(IF(($CV115)&gt;0,($FP115)/($CV115),""),"")</f>
        <v/>
      </c>
      <c r="GF115" s="56">
        <f>IFERROR(IF(($CW115)&gt;0,($FQ115)/($CW115),""),"")</f>
        <v/>
      </c>
      <c r="GG115" s="79">
        <f>IFERROR(IF(($CU115)&gt;0,($FR115)/($CU115),""),"")</f>
        <v/>
      </c>
      <c r="GH115" s="79">
        <f>IFERROR(IF(($CV115)&gt;0,($FS115)/($CV115),""),"")</f>
        <v/>
      </c>
      <c r="GI115" s="79">
        <f>IFERROR(IF(($CW115)&gt;0,($FT115)/($CW115),""),"")</f>
        <v/>
      </c>
      <c r="GJ115" s="56">
        <f>IFERROR(IF(($CU115)&gt;0,($FU115)/($CU115),""),"")</f>
        <v/>
      </c>
      <c r="GK115" s="56">
        <f>IFERROR(IF(($CV115)&gt;0,($FV115)/($CV115),""),"")</f>
        <v/>
      </c>
      <c r="GL115" s="56">
        <f>IFERROR(IF(($CW115)&gt;0,($FW115)/($CW115),""),"")</f>
        <v/>
      </c>
      <c r="GM115" s="55">
        <f>IF(SUMIFS(tblPlant[GIC_oz],tblPlant[Date],$A115)&gt;0,SUMIFS(tblPlant[GIC_oz],tblPlant[Date],$A115),"")</f>
        <v/>
      </c>
      <c r="GN115" s="55">
        <f>SUMIFS(tblGold[Gold_oz],tblGold[Date],$A115,tblGold[Type],"Shipment")</f>
        <v/>
      </c>
      <c r="GO115" s="55">
        <f>IF($B115=$B114,$GO114,0)+$GN115</f>
        <v/>
      </c>
      <c r="GP115" s="55">
        <f>$GP114+$GN115</f>
        <v/>
      </c>
      <c r="GQ115" s="55">
        <f>SUMIFS(tblGold[Gold_oz],tblGold[Date],$A115,tblGold[Type],"Sale")</f>
        <v/>
      </c>
      <c r="GR115" s="55">
        <f>IF($B115=$B114,$GR114,0)+$GQ115</f>
        <v/>
      </c>
      <c r="GS115" s="55">
        <f>$GS114+$GQ115</f>
        <v/>
      </c>
      <c r="GT115" s="55">
        <f>SUMIFS(tblGold[Dore_kg],tblGold[Date],$A115,tblGold[Type],"Shipment")</f>
        <v/>
      </c>
      <c r="GU115" s="55">
        <f>IF($B115=$B114,$GU114,0)+$GT115</f>
        <v/>
      </c>
      <c r="GV115" s="55">
        <f>$GV114+$GT115</f>
        <v/>
      </c>
      <c r="GW115" s="57">
        <f>SUMIFS(tblSafety[Hours_Total],tblSafety[Date],$A115)</f>
        <v/>
      </c>
      <c r="GX115" s="57">
        <f>IF($B115=$B114,$GX114,0)+$GW115</f>
        <v/>
      </c>
      <c r="GY115" s="57">
        <f>$GY114+$GW115</f>
        <v/>
      </c>
      <c r="GZ115" s="62">
        <f>SUMIFS(tblSafety[Fatality],tblSafety[Date],$A115)</f>
        <v/>
      </c>
      <c r="HA115" s="62">
        <f>IF($B115=$B114,$HA114,0)+$GZ115</f>
        <v/>
      </c>
      <c r="HB115" s="62">
        <f>$HB114+$GZ115</f>
        <v/>
      </c>
      <c r="HC115" s="62">
        <f>SUMIFS(tblSafety[LTI],tblSafety[Date],$A115)</f>
        <v/>
      </c>
      <c r="HD115" s="62">
        <f>IF($B115=$B114,$HD114,0)+$HC115</f>
        <v/>
      </c>
      <c r="HE115" s="62">
        <f>$HE114+$HC115</f>
        <v/>
      </c>
      <c r="HF115" s="62">
        <f>SUMIFS(tblSafety[RWI],tblSafety[Date],$A115)</f>
        <v/>
      </c>
      <c r="HG115" s="62">
        <f>IF($B115=$B114,$HG114,0)+$HF115</f>
        <v/>
      </c>
      <c r="HH115" s="62">
        <f>$HH114+$HF115</f>
        <v/>
      </c>
      <c r="HI115" s="62">
        <f>SUMIFS(tblSafety[MTI],tblSafety[Date],$A115)</f>
        <v/>
      </c>
      <c r="HJ115" s="62">
        <f>IF($B115=$B114,$HJ114,0)+$HI115</f>
        <v/>
      </c>
      <c r="HK115" s="62">
        <f>$HK114+$HI115</f>
        <v/>
      </c>
      <c r="HL115" s="62">
        <f>SUMIFS(tblSafety[FAI],tblSafety[Date],$A115)</f>
        <v/>
      </c>
      <c r="HM115" s="62">
        <f>IF($B115=$B114,$HM114,0)+$HL115</f>
        <v/>
      </c>
      <c r="HN115" s="62">
        <f>$HN114+$HL115</f>
        <v/>
      </c>
      <c r="HO115" s="62">
        <f>SUMIFS(tblSafety[Recordables],tblSafety[Date],$A115)</f>
        <v/>
      </c>
      <c r="HP115" s="62">
        <f>IF($B115=$B114,$HP114,0)+$HO115</f>
        <v/>
      </c>
      <c r="HQ115" s="62">
        <f>$HQ114+$HO115</f>
        <v/>
      </c>
      <c r="HR115" s="62">
        <f>SUMIFS(tblSafety[Near_Miss],tblSafety[Date],$A115)</f>
        <v/>
      </c>
      <c r="HS115" s="62">
        <f>IF($B115=$B114,$HS114,0)+$HR115</f>
        <v/>
      </c>
      <c r="HT115" s="62">
        <f>$HT114+$HR115</f>
        <v/>
      </c>
      <c r="HU115" s="62">
        <f>SUMIFS(tblSafety[Hazard_Reports],tblSafety[Date],$A115)</f>
        <v/>
      </c>
      <c r="HV115" s="62">
        <f>IF($B115=$B114,$HV114,0)+$HU115</f>
        <v/>
      </c>
      <c r="HW115" s="62">
        <f>$HW114+$HU115</f>
        <v/>
      </c>
      <c r="HX115" s="62">
        <f>SUMIFS(tblSafety[HPI],tblSafety[Date],$A115)</f>
        <v/>
      </c>
      <c r="HY115" s="62">
        <f>IF($B115=$B114,$HY114,0)+$HX115</f>
        <v/>
      </c>
      <c r="HZ115" s="62">
        <f>$HZ114+$HX115</f>
        <v/>
      </c>
      <c r="IA115" s="62">
        <f>SUMIFS(tblSafety[Env_Incidents],tblSafety[Date],$A115)</f>
        <v/>
      </c>
      <c r="IB115" s="62">
        <f>IF($B115=$B114,$IB114,0)+$IA115</f>
        <v/>
      </c>
      <c r="IC115" s="62">
        <f>$IC114+$IA115</f>
        <v/>
      </c>
      <c r="ID115" s="62">
        <f>SUMIFS(tblSafety[Community_Incidents],tblSafety[Date],$A115)</f>
        <v/>
      </c>
      <c r="IE115" s="62">
        <f>IF($B115=$B114,$IE114,0)+$ID115</f>
        <v/>
      </c>
      <c r="IF115" s="62">
        <f>$IF114+$ID115</f>
        <v/>
      </c>
      <c r="IG115" s="62">
        <f>SUMIFS(tblSafety[Vehicle_Incidents],tblSafety[Date],$A115)</f>
        <v/>
      </c>
      <c r="IH115" s="62">
        <f>IF($B115=$B114,$IH114,0)+$IG115</f>
        <v/>
      </c>
      <c r="II115" s="62">
        <f>$II114+$IG115</f>
        <v/>
      </c>
      <c r="IJ115" s="62">
        <f>SUMIFS(tblSafety[Toolbox_Talks],tblSafety[Date],$A115)</f>
        <v/>
      </c>
      <c r="IK115" s="62">
        <f>IF($B115=$B114,$IK114,0)+$IJ115</f>
        <v/>
      </c>
      <c r="IL115" s="62">
        <f>$IL114+$IJ115</f>
        <v/>
      </c>
      <c r="IM115" s="62">
        <f>SUMIFS(tblSafety[Inspections],tblSafety[Date],$A115)</f>
        <v/>
      </c>
      <c r="IN115" s="62">
        <f>IF($B115=$B114,$IN114,0)+$IM115</f>
        <v/>
      </c>
      <c r="IO115" s="62">
        <f>$IO114+$IM115</f>
        <v/>
      </c>
      <c r="IP115" s="56">
        <f>IFERROR((SUMIFS(tblSafety[Recordables],tblSafety[Date],"&gt;="&amp;EDATE($E115,-12),tblSafety[Date],"&lt;="&amp;$A115)+SUMIFS(tblSafetyHistory[Recordables],tblSafetyHistory[Month],"&gt;="&amp;EDATE($E115,-12),tblSafetyHistory[Month],"&lt;"&amp;$E115,tblSafetyHistory[Use],1))/(SUMIFS(tblSafety[Hours_Total],tblSafety[Date],"&gt;="&amp;EDATE($E115,-12),tblSafety[Date],"&lt;="&amp;$A115)+SUMIFS(tblSafetyHistory[Hours_Total],tblSafetyHistory[Month],"&gt;="&amp;EDATE($E115,-12),tblSafetyHistory[Month],"&lt;"&amp;$E115,tblSafetyHistory[Use],1))*cfg_RateBasisHours,"")</f>
        <v/>
      </c>
      <c r="IQ115" s="56">
        <f>IFERROR((SUMIFS(tblSafety[LTI],tblSafety[Date],"&gt;="&amp;EDATE($E115,-12),tblSafety[Date],"&lt;="&amp;$A115)+SUMIFS(tblSafetyHistory[LTI],tblSafetyHistory[Month],"&gt;="&amp;EDATE($E115,-12),tblSafetyHistory[Month],"&lt;"&amp;$E115,tblSafetyHistory[Use],1))/(SUMIFS(tblSafety[Hours_Total],tblSafety[Date],"&gt;="&amp;EDATE($E115,-12),tblSafety[Date],"&lt;="&amp;$A115)+SUMIFS(tblSafetyHistory[Hours_Total],tblSafetyHistory[Month],"&gt;="&amp;EDATE($E115,-12),tblSafetyHistory[Month],"&lt;"&amp;$E115,tblSafetyHistory[Use],1))*cfg_RateBasisHours,"")</f>
        <v/>
      </c>
      <c r="IR115" s="62">
        <f>IF(MAX(N(cfg_PriorLTIDate),_xlfn.MAXIFS(tblSafety[Date],tblSafety[LTI],"&gt;0",tblSafety[Date],"&lt;="&amp;$A115))=0,"",$A115-MAX(N(cfg_PriorLTIDate),_xlfn.MAXIFS(tblSafety[Date],tblSafety[LTI],"&gt;0",tblSafety[Date],"&lt;="&amp;$A115)))</f>
        <v/>
      </c>
      <c r="IS115" s="55">
        <f>SUMIFS(tblBudget[Ore_Mined_t],tblBudget[Month],$E115)</f>
        <v/>
      </c>
      <c r="IT115" s="55">
        <f>$IS115*$C115/$D115</f>
        <v/>
      </c>
      <c r="IU115" s="55">
        <f>SUMIFS(tblBudget[Ore_Mined_t],tblBudget[Month],"&lt;"&amp;$E115)+$IT115</f>
        <v/>
      </c>
      <c r="IV115" s="55">
        <f>SUMIFS(tblBudget[Ore_oz],tblBudget[Month],$E115)</f>
        <v/>
      </c>
      <c r="IW115" s="55">
        <f>$IV115*$C115/$D115</f>
        <v/>
      </c>
      <c r="IX115" s="55">
        <f>SUMIFS(tblBudget[Ore_oz],tblBudget[Month],"&lt;"&amp;$E115)+$IW115</f>
        <v/>
      </c>
      <c r="IY115" s="55">
        <f>SUMIFS(tblBudget[Ore_Mined_t],tblBudget[Month],$E115)</f>
        <v/>
      </c>
      <c r="IZ115" s="55">
        <f>$IY115*$C115/$D115</f>
        <v/>
      </c>
      <c r="JA115" s="55">
        <f>SUMIFS(tblBudget[Ore_Mined_t],tblBudget[Month],"&lt;"&amp;$E115)+$IZ115</f>
        <v/>
      </c>
      <c r="JB115" s="56">
        <f>IFERROR(IF(($IY115)&gt;0,($IV115*cfg_TroyOz)/($IY115),""),"")</f>
        <v/>
      </c>
      <c r="JC115" s="56">
        <f>IFERROR(IF(($IZ115)&gt;0,($IW115*cfg_TroyOz)/($IZ115),""),"")</f>
        <v/>
      </c>
      <c r="JD115" s="56">
        <f>IFERROR(IF(($JA115)&gt;0,($IX115*cfg_TroyOz)/($JA115),""),"")</f>
        <v/>
      </c>
      <c r="JE115" s="55">
        <f>SUMIFS(tblBudget[Waste_t],tblBudget[Month],$E115)</f>
        <v/>
      </c>
      <c r="JF115" s="55">
        <f>$JE115*$C115/$D115</f>
        <v/>
      </c>
      <c r="JG115" s="55">
        <f>SUMIFS(tblBudget[Waste_t],tblBudget[Month],"&lt;"&amp;$E115)+$JF115</f>
        <v/>
      </c>
      <c r="JH115" s="55">
        <f>SUMIFS(tblBudget[TMM_t],tblBudget[Month],$E115)</f>
        <v/>
      </c>
      <c r="JI115" s="55">
        <f>$JH115*$C115/$D115</f>
        <v/>
      </c>
      <c r="JJ115" s="55">
        <f>SUMIFS(tblBudget[TMM_t],tblBudget[Month],"&lt;"&amp;$E115)+$JI115</f>
        <v/>
      </c>
      <c r="JK115" s="56">
        <f>IFERROR(IF(($IS115)&gt;0,($JE115)/($IS115),""),"")</f>
        <v/>
      </c>
      <c r="JL115" s="56">
        <f>IFERROR(IF(($IT115)&gt;0,($JF115)/($IT115),""),"")</f>
        <v/>
      </c>
      <c r="JM115" s="56">
        <f>IFERROR(IF(($IU115)&gt;0,($JG115)/($IU115),""),"")</f>
        <v/>
      </c>
      <c r="JN115" s="55">
        <f>SUMIFS(tblBudget[Drill_m],tblBudget[Month],$E115)</f>
        <v/>
      </c>
      <c r="JO115" s="55">
        <f>$JN115*$C115/$D115</f>
        <v/>
      </c>
      <c r="JP115" s="55">
        <f>SUMIFS(tblBudget[Drill_m],tblBudget[Month],"&lt;"&amp;$E115)+$JO115</f>
        <v/>
      </c>
      <c r="JQ115" s="55">
        <f>SUMIFS(tblBudget[Diesel_L],tblBudget[Month],$E115)</f>
        <v/>
      </c>
      <c r="JR115" s="55">
        <f>$JQ115*$C115/$D115</f>
        <v/>
      </c>
      <c r="JS115" s="55">
        <f>SUMIFS(tblBudget[Diesel_L],tblBudget[Month],"&lt;"&amp;$E115)+$JR115</f>
        <v/>
      </c>
      <c r="JT115" s="55">
        <f>SUMIFS(tblBudget[Milled_t],tblBudget[Month],$E115)</f>
        <v/>
      </c>
      <c r="JU115" s="55">
        <f>$JT115*$C115/$D115</f>
        <v/>
      </c>
      <c r="JV115" s="55">
        <f>SUMIFS(tblBudget[Milled_t],tblBudget[Month],"&lt;"&amp;$E115)+$JU115</f>
        <v/>
      </c>
      <c r="JW115" s="55">
        <f>SUMIFS(tblBudget[Feed_oz],tblBudget[Month],$E115)</f>
        <v/>
      </c>
      <c r="JX115" s="55">
        <f>$JW115*$C115/$D115</f>
        <v/>
      </c>
      <c r="JY115" s="55">
        <f>SUMIFS(tblBudget[Feed_oz],tblBudget[Month],"&lt;"&amp;$E115)+$JX115</f>
        <v/>
      </c>
      <c r="JZ115" s="55">
        <f>SUMIFS(tblBudget[Recovered_oz],tblBudget[Month],$E115)</f>
        <v/>
      </c>
      <c r="KA115" s="55">
        <f>$JZ115*$C115/$D115</f>
        <v/>
      </c>
      <c r="KB115" s="55">
        <f>SUMIFS(tblBudget[Recovered_oz],tblBudget[Month],"&lt;"&amp;$E115)+$KA115</f>
        <v/>
      </c>
      <c r="KC115" s="55">
        <f>SUMIFS(tblBudget[Milled_t],tblBudget[Month],$E115)</f>
        <v/>
      </c>
      <c r="KD115" s="55">
        <f>$KC115*$C115/$D115</f>
        <v/>
      </c>
      <c r="KE115" s="55">
        <f>SUMIFS(tblBudget[Milled_t],tblBudget[Month],"&lt;"&amp;$E115)+$KD115</f>
        <v/>
      </c>
      <c r="KF115" s="55">
        <f>SUMIFS(tblBudget[Feed_oz],tblBudget[Month],$E115)</f>
        <v/>
      </c>
      <c r="KG115" s="55">
        <f>$KF115*$C115/$D115</f>
        <v/>
      </c>
      <c r="KH115" s="55">
        <f>SUMIFS(tblBudget[Feed_oz],tblBudget[Month],"&lt;"&amp;$E115)+$KG115</f>
        <v/>
      </c>
      <c r="KI115" s="56">
        <f>IFERROR(IF(($KC115)&gt;0,($JW115*cfg_TroyOz)/($KC115),""),"")</f>
        <v/>
      </c>
      <c r="KJ115" s="56">
        <f>IFERROR(IF(($KD115)&gt;0,($JX115*cfg_TroyOz)/($KD115),""),"")</f>
        <v/>
      </c>
      <c r="KK115" s="56">
        <f>IFERROR(IF(($KE115)&gt;0,($JY115*cfg_TroyOz)/($KE115),""),"")</f>
        <v/>
      </c>
      <c r="KL115" s="67">
        <f>IFERROR(IF(($KF115)&gt;0,($JZ115)/($KF115),""),"")</f>
        <v/>
      </c>
      <c r="KM115" s="67">
        <f>IFERROR(IF(($KG115)&gt;0,($KA115)/($KG115),""),"")</f>
        <v/>
      </c>
      <c r="KN115" s="67">
        <f>IFERROR(IF(($KH115)&gt;0,($KB115)/($KH115),""),"")</f>
        <v/>
      </c>
      <c r="KO115" s="55">
        <f>SUMIFS(tblBudget[Gold_Poured_oz],tblBudget[Month],$E115)</f>
        <v/>
      </c>
      <c r="KP115" s="55">
        <f>$KO115*$C115/$D115</f>
        <v/>
      </c>
      <c r="KQ115" s="55">
        <f>SUMIFS(tblBudget[Gold_Poured_oz],tblBudget[Month],"&lt;"&amp;$E115)+$KP115</f>
        <v/>
      </c>
      <c r="KR115" s="57">
        <f>SUMIFS(tblBudget[Hours_Worked],tblBudget[Month],$E115)</f>
        <v/>
      </c>
      <c r="KS115" s="57">
        <f>$KR115*$C115/$D115</f>
        <v/>
      </c>
      <c r="KT115" s="57">
        <f>SUMIFS(tblBudget[Hours_Worked],tblBudget[Month],"&lt;"&amp;$E115)+$KS115</f>
        <v/>
      </c>
    </row>
    <row r="116">
      <c r="A116" s="54" t="n">
        <v>46137</v>
      </c>
      <c r="B116">
        <f>MONTH($A116)</f>
        <v/>
      </c>
      <c r="C116">
        <f>DAY($A116)</f>
        <v/>
      </c>
      <c r="D116">
        <f>DAY(EOMONTH($A116,0))</f>
        <v/>
      </c>
      <c r="E116" s="54">
        <f>DATE(YEAR($A116),MONTH($A116),1)</f>
        <v/>
      </c>
      <c r="F116" s="55">
        <f>SUMIFS(tblMovement[Tonnes_t],tblMovement[Date],$A116,tblMovement[Is_Ore],1,tblMovement[Source_Type],"Pit")</f>
        <v/>
      </c>
      <c r="G116" s="55">
        <f>IF($B116=$B115,$G115,0)+$F116</f>
        <v/>
      </c>
      <c r="H116" s="55">
        <f>$H115+$F116</f>
        <v/>
      </c>
      <c r="I116" s="55">
        <f>SUMIFS(tblMovement[Ore_oz],tblMovement[Date],$A116,tblMovement[Source_Type],"Pit")</f>
        <v/>
      </c>
      <c r="J116" s="55">
        <f>IF($B116=$B115,$J115,0)+$I116</f>
        <v/>
      </c>
      <c r="K116" s="55">
        <f>$K115+$I116</f>
        <v/>
      </c>
      <c r="L116" s="55">
        <f>SUMIFS(tblMovement[Tonnes_t],tblMovement[Date],$A116,tblMovement[Is_Ore],1,tblMovement[Source_Type],"Pit",tblMovement[Grade_gpt],"&lt;&gt;")</f>
        <v/>
      </c>
      <c r="M116" s="55">
        <f>IF($B116=$B115,$M115,0)+$L116</f>
        <v/>
      </c>
      <c r="N116" s="55">
        <f>$N115+$L116</f>
        <v/>
      </c>
      <c r="O116" s="56">
        <f>IFERROR(IF(($L116)&gt;0,($I116*cfg_TroyOz)/($L116),""),"")</f>
        <v/>
      </c>
      <c r="P116" s="56">
        <f>IFERROR(IF(($M116)&gt;0,($J116*cfg_TroyOz)/($M116),""),"")</f>
        <v/>
      </c>
      <c r="Q116" s="56">
        <f>IFERROR(IF(($N116)&gt;0,($K116*cfg_TroyOz)/($N116),""),"")</f>
        <v/>
      </c>
      <c r="R116" s="55">
        <f>$F116-$L116</f>
        <v/>
      </c>
      <c r="S116" s="55">
        <f>IF($B116=$B115,$S115,0)+$R116</f>
        <v/>
      </c>
      <c r="T116" s="55">
        <f>$T115+$R116</f>
        <v/>
      </c>
      <c r="U116" s="55">
        <f>SUMIFS(tblMovement[Tonnes_t],tblMovement[Date],$A116,tblMovement[Is_Ore],0,tblMovement[Source_Type],"Pit")</f>
        <v/>
      </c>
      <c r="V116" s="55">
        <f>IF($B116=$B115,$V115,0)+$U116</f>
        <v/>
      </c>
      <c r="W116" s="55">
        <f>$W115+$U116</f>
        <v/>
      </c>
      <c r="X116" s="55">
        <f>$F116+$U116</f>
        <v/>
      </c>
      <c r="Y116" s="55">
        <f>IF($B116=$B115,$Y115,0)+$X116</f>
        <v/>
      </c>
      <c r="Z116" s="55">
        <f>$Z115+$X116</f>
        <v/>
      </c>
      <c r="AA116" s="56">
        <f>IFERROR(IF(($F116)&gt;0,($U116)/($F116),""),"")</f>
        <v/>
      </c>
      <c r="AB116" s="56">
        <f>IFERROR(IF(($G116)&gt;0,($V116)/($G116),""),"")</f>
        <v/>
      </c>
      <c r="AC116" s="56">
        <f>IFERROR(IF(($H116)&gt;0,($W116)/($H116),""),"")</f>
        <v/>
      </c>
      <c r="AD116" s="55">
        <f>SUMIFS(tblMovement[Tonnes_t],tblMovement[Date],$A116,tblMovement[Source_Type],"Stockpile")</f>
        <v/>
      </c>
      <c r="AE116" s="55">
        <f>IF($B116=$B115,$AE115,0)+$AD116</f>
        <v/>
      </c>
      <c r="AF116" s="55">
        <f>$AF115+$AD116</f>
        <v/>
      </c>
      <c r="AG116" s="55">
        <f>SUMIFS(tblMovement[Tonnes_t],tblMovement[Date],$A116)</f>
        <v/>
      </c>
      <c r="AH116" s="55">
        <f>IF($B116=$B115,$AH115,0)+$AG116</f>
        <v/>
      </c>
      <c r="AI116" s="55">
        <f>$AI115+$AG116</f>
        <v/>
      </c>
      <c r="AJ116" s="55">
        <f>$AG116-$X116-$AD116</f>
        <v/>
      </c>
      <c r="AK116" s="55">
        <f>IF($B116=$B115,$AK115,0)+$AJ116</f>
        <v/>
      </c>
      <c r="AL116" s="55">
        <f>$AL115+$AJ116</f>
        <v/>
      </c>
      <c r="AM116" s="55">
        <f>SUMIFS(tblMiningDaily[Drill_m],tblMiningDaily[Date],$A116)</f>
        <v/>
      </c>
      <c r="AN116" s="55">
        <f>IF($B116=$B115,$AN115,0)+$AM116</f>
        <v/>
      </c>
      <c r="AO116" s="55">
        <f>$AO115+$AM116</f>
        <v/>
      </c>
      <c r="AP116" s="55">
        <f>SUMIFS(tblMiningDaily[GC_Drill_m],tblMiningDaily[Date],$A116)</f>
        <v/>
      </c>
      <c r="AQ116" s="55">
        <f>IF($B116=$B115,$AQ115,0)+$AP116</f>
        <v/>
      </c>
      <c r="AR116" s="55">
        <f>$AR115+$AP116</f>
        <v/>
      </c>
      <c r="AS116" s="55">
        <f>SUMIFS(tblMiningDaily[Blast_t],tblMiningDaily[Date],$A116)</f>
        <v/>
      </c>
      <c r="AT116" s="55">
        <f>IF($B116=$B115,$AT115,0)+$AS116</f>
        <v/>
      </c>
      <c r="AU116" s="55">
        <f>$AU115+$AS116</f>
        <v/>
      </c>
      <c r="AV116" s="55">
        <f>SUMIFS(tblMiningDaily[Explosives_kg],tblMiningDaily[Date],$A116)</f>
        <v/>
      </c>
      <c r="AW116" s="55">
        <f>IF($B116=$B115,$AW115,0)+$AV116</f>
        <v/>
      </c>
      <c r="AX116" s="55">
        <f>$AX115+$AV116</f>
        <v/>
      </c>
      <c r="AY116" s="56">
        <f>IFERROR(IF(($AS116)&gt;0,($AV116)/($AS116),""),"")</f>
        <v/>
      </c>
      <c r="AZ116" s="56">
        <f>IFERROR(IF(($AT116)&gt;0,($AW116)/($AT116),""),"")</f>
        <v/>
      </c>
      <c r="BA116" s="56">
        <f>IFERROR(IF(($AU116)&gt;0,($AX116)/($AU116),""),"")</f>
        <v/>
      </c>
      <c r="BB116" s="55">
        <f>SUMIFS(tblMiningDaily[Diesel_L],tblMiningDaily[Date],$A116)</f>
        <v/>
      </c>
      <c r="BC116" s="55">
        <f>IF($B116=$B115,$BC115,0)+$BB116</f>
        <v/>
      </c>
      <c r="BD116" s="55">
        <f>$BD115+$BB116</f>
        <v/>
      </c>
      <c r="BE116" s="55">
        <f>SUMIFS(tblMiningDaily[Dewatering_m3],tblMiningDaily[Date],$A116)</f>
        <v/>
      </c>
      <c r="BF116" s="55">
        <f>IF($B116=$B115,$BF115,0)+$BE116</f>
        <v/>
      </c>
      <c r="BG116" s="55">
        <f>$BG115+$BE116</f>
        <v/>
      </c>
      <c r="BH116" s="57">
        <f>SUMIFS(tblFleet[Calendar_h],tblFleet[Date],$A116,tblFleet[Equipment_Class],"Excavator")</f>
        <v/>
      </c>
      <c r="BI116" s="57">
        <f>IF($B116=$B115,$BI115,0)+$BH116</f>
        <v/>
      </c>
      <c r="BJ116" s="57">
        <f>$BJ115+$BH116</f>
        <v/>
      </c>
      <c r="BK116" s="57">
        <f>SUMIFS(tblFleet[Available_h],tblFleet[Date],$A116,tblFleet[Equipment_Class],"Excavator")</f>
        <v/>
      </c>
      <c r="BL116" s="57">
        <f>IF($B116=$B115,$BL115,0)+$BK116</f>
        <v/>
      </c>
      <c r="BM116" s="57">
        <f>$BM115+$BK116</f>
        <v/>
      </c>
      <c r="BN116" s="57">
        <f>SUMIFS(tblFleet[Operating_h],tblFleet[Date],$A116,tblFleet[Equipment_Class],"Excavator")</f>
        <v/>
      </c>
      <c r="BO116" s="57">
        <f>IF($B116=$B115,$BO115,0)+$BN116</f>
        <v/>
      </c>
      <c r="BP116" s="57">
        <f>$BP115+$BN116</f>
        <v/>
      </c>
      <c r="BQ116" s="67">
        <f>IFERROR(IF(($BH116)&gt;0,($BK116)/($BH116),""),"")</f>
        <v/>
      </c>
      <c r="BR116" s="67">
        <f>IFERROR(IF(($BI116)&gt;0,($BL116)/($BI116),""),"")</f>
        <v/>
      </c>
      <c r="BS116" s="67">
        <f>IFERROR(IF(($BJ116)&gt;0,($BM116)/($BJ116),""),"")</f>
        <v/>
      </c>
      <c r="BT116" s="67">
        <f>IFERROR(IF(($BK116)&gt;0,($BN116)/($BK116),""),"")</f>
        <v/>
      </c>
      <c r="BU116" s="67">
        <f>IFERROR(IF(($BL116)&gt;0,($BO116)/($BL116),""),"")</f>
        <v/>
      </c>
      <c r="BV116" s="67">
        <f>IFERROR(IF(($BM116)&gt;0,($BP116)/($BM116),""),"")</f>
        <v/>
      </c>
      <c r="BW116" s="57">
        <f>SUMIFS(tblFleet[Calendar_h],tblFleet[Date],$A116,tblFleet[Equipment_Class],"Haul Truck")</f>
        <v/>
      </c>
      <c r="BX116" s="57">
        <f>IF($B116=$B115,$BX115,0)+$BW116</f>
        <v/>
      </c>
      <c r="BY116" s="57">
        <f>$BY115+$BW116</f>
        <v/>
      </c>
      <c r="BZ116" s="57">
        <f>SUMIFS(tblFleet[Available_h],tblFleet[Date],$A116,tblFleet[Equipment_Class],"Haul Truck")</f>
        <v/>
      </c>
      <c r="CA116" s="57">
        <f>IF($B116=$B115,$CA115,0)+$BZ116</f>
        <v/>
      </c>
      <c r="CB116" s="57">
        <f>$CB115+$BZ116</f>
        <v/>
      </c>
      <c r="CC116" s="57">
        <f>SUMIFS(tblFleet[Operating_h],tblFleet[Date],$A116,tblFleet[Equipment_Class],"Haul Truck")</f>
        <v/>
      </c>
      <c r="CD116" s="57">
        <f>IF($B116=$B115,$CD115,0)+$CC116</f>
        <v/>
      </c>
      <c r="CE116" s="57">
        <f>$CE115+$CC116</f>
        <v/>
      </c>
      <c r="CF116" s="67">
        <f>IFERROR(IF(($BW116)&gt;0,($BZ116)/($BW116),""),"")</f>
        <v/>
      </c>
      <c r="CG116" s="67">
        <f>IFERROR(IF(($BX116)&gt;0,($CA116)/($BX116),""),"")</f>
        <v/>
      </c>
      <c r="CH116" s="67">
        <f>IFERROR(IF(($BY116)&gt;0,($CB116)/($BY116),""),"")</f>
        <v/>
      </c>
      <c r="CI116" s="67">
        <f>IFERROR(IF(($BZ116)&gt;0,($CC116)/($BZ116),""),"")</f>
        <v/>
      </c>
      <c r="CJ116" s="67">
        <f>IFERROR(IF(($CA116)&gt;0,($CD116)/($CA116),""),"")</f>
        <v/>
      </c>
      <c r="CK116" s="67">
        <f>IFERROR(IF(($CB116)&gt;0,($CE116)/($CB116),""),"")</f>
        <v/>
      </c>
      <c r="CL116" s="55">
        <f>IFERROR(IF(($BN116)&gt;0,($X116+$AD116)/($BN116),""),"")</f>
        <v/>
      </c>
      <c r="CM116" s="55">
        <f>IFERROR(IF(($BO116)&gt;0,($Y116+$AE116)/($BO116),""),"")</f>
        <v/>
      </c>
      <c r="CN116" s="55">
        <f>IFERROR(IF(($BP116)&gt;0,($Z116+$AF116)/($BP116),""),"")</f>
        <v/>
      </c>
      <c r="CO116" s="55">
        <f>IFERROR(IF(($CC116)&gt;0,($X116+$AD116)/($CC116),""),"")</f>
        <v/>
      </c>
      <c r="CP116" s="55">
        <f>IFERROR(IF(($CD116)&gt;0,($Y116+$AE116)/($CD116),""),"")</f>
        <v/>
      </c>
      <c r="CQ116" s="55">
        <f>IFERROR(IF(($CE116)&gt;0,($Z116+$AF116)/($CE116),""),"")</f>
        <v/>
      </c>
      <c r="CR116" s="55">
        <f>SUMIFS(tblPlant[Crushed_t],tblPlant[Date],$A116)</f>
        <v/>
      </c>
      <c r="CS116" s="55">
        <f>IF($B116=$B115,$CS115,0)+$CR116</f>
        <v/>
      </c>
      <c r="CT116" s="55">
        <f>$CT115+$CR116</f>
        <v/>
      </c>
      <c r="CU116" s="55">
        <f>SUMIFS(tblPlant[Milled_t],tblPlant[Date],$A116)</f>
        <v/>
      </c>
      <c r="CV116" s="55">
        <f>IF($B116=$B115,$CV115,0)+$CU116</f>
        <v/>
      </c>
      <c r="CW116" s="55">
        <f>$CW115+$CU116</f>
        <v/>
      </c>
      <c r="CX116" s="55">
        <f>SUMIFS(tblPlant[Feed_oz],tblPlant[Date],$A116)</f>
        <v/>
      </c>
      <c r="CY116" s="55">
        <f>IF($B116=$B115,$CY115,0)+$CX116</f>
        <v/>
      </c>
      <c r="CZ116" s="55">
        <f>$CZ115+$CX116</f>
        <v/>
      </c>
      <c r="DA116" s="55">
        <f>SUMIFS(tblPlant[Tails_oz],tblPlant[Date],$A116)</f>
        <v/>
      </c>
      <c r="DB116" s="55">
        <f>IF($B116=$B115,$DB115,0)+$DA116</f>
        <v/>
      </c>
      <c r="DC116" s="55">
        <f>$DC115+$DA116</f>
        <v/>
      </c>
      <c r="DD116" s="55">
        <f>SUMIFS(tblPlant[Recovered_oz],tblPlant[Date],$A116)</f>
        <v/>
      </c>
      <c r="DE116" s="55">
        <f>IF($B116=$B115,$DE115,0)+$DD116</f>
        <v/>
      </c>
      <c r="DF116" s="55">
        <f>$DF115+$DD116</f>
        <v/>
      </c>
      <c r="DG116" s="55">
        <f>SUMIFS(tblPlant[Milled_t],tblPlant[Date],$A116,tblPlant[Head_Grade_gpt],"&lt;&gt;")</f>
        <v/>
      </c>
      <c r="DH116" s="55">
        <f>IF($B116=$B115,$DH115,0)+$DG116</f>
        <v/>
      </c>
      <c r="DI116" s="55">
        <f>$DI115+$DG116</f>
        <v/>
      </c>
      <c r="DJ116" s="55">
        <f>SUMIFS(tblPlant[Milled_t],tblPlant[Date],$A116,tblPlant[Tails_Grade_gpt],"&lt;&gt;")</f>
        <v/>
      </c>
      <c r="DK116" s="55">
        <f>IF($B116=$B115,$DK115,0)+$DJ116</f>
        <v/>
      </c>
      <c r="DL116" s="55">
        <f>$DL115+$DJ116</f>
        <v/>
      </c>
      <c r="DM116" s="55">
        <f>SUMIFS(tblPlant[Feed_oz],tblPlant[Date],$A116,tblPlant[Tails_Grade_gpt],"&lt;&gt;")</f>
        <v/>
      </c>
      <c r="DN116" s="55">
        <f>IF($B116=$B115,$DN115,0)+$DM116</f>
        <v/>
      </c>
      <c r="DO116" s="55">
        <f>$DO115+$DM116</f>
        <v/>
      </c>
      <c r="DP116" s="55">
        <f>SUMIFS(tblPlant[Milled_t],tblPlant[Date],$A116,tblPlant[Mill_Run_h],"&lt;&gt;")</f>
        <v/>
      </c>
      <c r="DQ116" s="55">
        <f>IF($B116=$B115,$DQ115,0)+$DP116</f>
        <v/>
      </c>
      <c r="DR116" s="55">
        <f>$DR115+$DP116</f>
        <v/>
      </c>
      <c r="DS116" s="56">
        <f>IFERROR(IF(($DG116)&gt;0,($CX116*cfg_TroyOz)/($DG116),""),"")</f>
        <v/>
      </c>
      <c r="DT116" s="56">
        <f>IFERROR(IF(($DH116)&gt;0,($CY116*cfg_TroyOz)/($DH116),""),"")</f>
        <v/>
      </c>
      <c r="DU116" s="56">
        <f>IFERROR(IF(($DI116)&gt;0,($CZ116*cfg_TroyOz)/($DI116),""),"")</f>
        <v/>
      </c>
      <c r="DV116" s="56">
        <f>IFERROR(IF(($DJ116)&gt;0,($DA116*cfg_TroyOz)/($DJ116),""),"")</f>
        <v/>
      </c>
      <c r="DW116" s="56">
        <f>IFERROR(IF(($DK116)&gt;0,($DB116*cfg_TroyOz)/($DK116),""),"")</f>
        <v/>
      </c>
      <c r="DX116" s="56">
        <f>IFERROR(IF(($DL116)&gt;0,($DC116*cfg_TroyOz)/($DL116),""),"")</f>
        <v/>
      </c>
      <c r="DY116" s="67">
        <f>IFERROR(IF(($DM116)&gt;0,($DD116)/($DM116),""),"")</f>
        <v/>
      </c>
      <c r="DZ116" s="67">
        <f>IFERROR(IF(($DN116)&gt;0,($DE116)/($DN116),""),"")</f>
        <v/>
      </c>
      <c r="EA116" s="67">
        <f>IFERROR(IF(($DO116)&gt;0,($DF116)/($DO116),""),"")</f>
        <v/>
      </c>
      <c r="EB116" s="55">
        <f>SUMIFS(tblPlant[Gravity_Gold_oz],tblPlant[Date],$A116)</f>
        <v/>
      </c>
      <c r="EC116" s="55">
        <f>IF($B116=$B115,$EC115,0)+$EB116</f>
        <v/>
      </c>
      <c r="ED116" s="55">
        <f>$ED115+$EB116</f>
        <v/>
      </c>
      <c r="EE116" s="67">
        <f>IFERROR(IF(($DD116)&gt;0,($EB116)/($DD116),""),"")</f>
        <v/>
      </c>
      <c r="EF116" s="67">
        <f>IFERROR(IF(($DE116)&gt;0,($EC116)/($DE116),""),"")</f>
        <v/>
      </c>
      <c r="EG116" s="67">
        <f>IFERROR(IF(($DF116)&gt;0,($ED116)/($DF116),""),"")</f>
        <v/>
      </c>
      <c r="EH116" s="55">
        <f>SUMIFS(tblPlant[Gold_Poured_oz],tblPlant[Date],$A116)</f>
        <v/>
      </c>
      <c r="EI116" s="55">
        <f>IF($B116=$B115,$EI115,0)+$EH116</f>
        <v/>
      </c>
      <c r="EJ116" s="55">
        <f>$EJ115+$EH116</f>
        <v/>
      </c>
      <c r="EK116" s="57">
        <f>SUMIFS(tblPlant[Mill_Run_h],tblPlant[Date],$A116)</f>
        <v/>
      </c>
      <c r="EL116" s="57">
        <f>IF($B116=$B115,$EL115,0)+$EK116</f>
        <v/>
      </c>
      <c r="EM116" s="57">
        <f>$EM115+$EK116</f>
        <v/>
      </c>
      <c r="EN116" s="57">
        <f>SUMIFS(tblPlant[Mill_Planned_Maint_h],tblPlant[Date],$A116)</f>
        <v/>
      </c>
      <c r="EO116" s="57">
        <f>IF($B116=$B115,$EO115,0)+$EN116</f>
        <v/>
      </c>
      <c r="EP116" s="57">
        <f>$EP115+$EN116</f>
        <v/>
      </c>
      <c r="EQ116" s="57">
        <f>SUMIFS(tblPlant[Mill_Unplanned_Down_h],tblPlant[Date],$A116)</f>
        <v/>
      </c>
      <c r="ER116" s="57">
        <f>IF($B116=$B115,$ER115,0)+$EQ116</f>
        <v/>
      </c>
      <c r="ES116" s="57">
        <f>$ES115+$EQ116</f>
        <v/>
      </c>
      <c r="ET116" s="57">
        <f>IF(COUNTIFS(tblPlant[Date],$A116,tblPlant[Mill_Run_h],"&lt;&gt;")+COUNTIFS(tblPlant[Date],$A116,tblPlant[Mill_Planned_Maint_h],"&lt;&gt;")+COUNTIFS(tblPlant[Date],$A116,tblPlant[Mill_Unplanned_Down_h],"&lt;&gt;")&gt;0,cfg_HoursPerDay,0)</f>
        <v/>
      </c>
      <c r="EU116" s="57">
        <f>IF($B116=$B115,$EU115,0)+$ET116</f>
        <v/>
      </c>
      <c r="EV116" s="57">
        <f>$EV115+$ET116</f>
        <v/>
      </c>
      <c r="EW116" s="57">
        <f>SUMIFS(tblPlant[Crusher_Run_h],tblPlant[Date],$A116)</f>
        <v/>
      </c>
      <c r="EX116" s="57">
        <f>IF($B116=$B115,$EX115,0)+$EW116</f>
        <v/>
      </c>
      <c r="EY116" s="57">
        <f>$EY115+$EW116</f>
        <v/>
      </c>
      <c r="EZ116" s="55">
        <f>IFERROR(IF(($EK116)&gt;0,($DP116)/($EK116),""),"")</f>
        <v/>
      </c>
      <c r="FA116" s="55">
        <f>IFERROR(IF(($EL116)&gt;0,($DQ116)/($EL116),""),"")</f>
        <v/>
      </c>
      <c r="FB116" s="55">
        <f>IFERROR(IF(($EM116)&gt;0,($DR116)/($EM116),""),"")</f>
        <v/>
      </c>
      <c r="FC116" s="67">
        <f>IFERROR(IF(($ET116)&gt;0,($ET116-$EN116-$EQ116)/($ET116),""),"")</f>
        <v/>
      </c>
      <c r="FD116" s="67">
        <f>IFERROR(IF(($EU116)&gt;0,($EU116-$EO116-$ER116)/($EU116),""),"")</f>
        <v/>
      </c>
      <c r="FE116" s="67">
        <f>IFERROR(IF(($EV116)&gt;0,($EV116-$EP116-$ES116)/($EV116),""),"")</f>
        <v/>
      </c>
      <c r="FF116" s="67">
        <f>IFERROR(IF(($ET116-$EN116-$EQ116)&gt;0,($EK116)/($ET116-$EN116-$EQ116),""),"")</f>
        <v/>
      </c>
      <c r="FG116" s="67">
        <f>IFERROR(IF(($EU116-$EO116-$ER116)&gt;0,($EL116)/($EU116-$EO116-$ER116),""),"")</f>
        <v/>
      </c>
      <c r="FH116" s="67">
        <f>IFERROR(IF(($EV116-$EP116-$ES116)&gt;0,($EM116)/($EV116-$EP116-$ES116),""),"")</f>
        <v/>
      </c>
      <c r="FI116" s="55">
        <f>SUMIFS(tblPlant[Cyanide_kg],tblPlant[Date],$A116)</f>
        <v/>
      </c>
      <c r="FJ116" s="55">
        <f>IF($B116=$B115,$FJ115,0)+$FI116</f>
        <v/>
      </c>
      <c r="FK116" s="55">
        <f>$FK115+$FI116</f>
        <v/>
      </c>
      <c r="FL116" s="55">
        <f>SUMIFS(tblPlant[Lime_kg],tblPlant[Date],$A116)</f>
        <v/>
      </c>
      <c r="FM116" s="55">
        <f>IF($B116=$B115,$FM115,0)+$FL116</f>
        <v/>
      </c>
      <c r="FN116" s="55">
        <f>$FN115+$FL116</f>
        <v/>
      </c>
      <c r="FO116" s="55">
        <f>SUMIFS(tblPlant[Grinding_Media_kg],tblPlant[Date],$A116)</f>
        <v/>
      </c>
      <c r="FP116" s="55">
        <f>IF($B116=$B115,$FP115,0)+$FO116</f>
        <v/>
      </c>
      <c r="FQ116" s="55">
        <f>$FQ115+$FO116</f>
        <v/>
      </c>
      <c r="FR116" s="55">
        <f>SUMIFS(tblPlant[Power_kWh],tblPlant[Date],$A116)</f>
        <v/>
      </c>
      <c r="FS116" s="55">
        <f>IF($B116=$B115,$FS115,0)+$FR116</f>
        <v/>
      </c>
      <c r="FT116" s="55">
        <f>$FT115+$FR116</f>
        <v/>
      </c>
      <c r="FU116" s="55">
        <f>SUMIFS(tblPlant[Raw_Water_m3],tblPlant[Date],$A116)</f>
        <v/>
      </c>
      <c r="FV116" s="55">
        <f>IF($B116=$B115,$FV115,0)+$FU116</f>
        <v/>
      </c>
      <c r="FW116" s="55">
        <f>$FW115+$FU116</f>
        <v/>
      </c>
      <c r="FX116" s="56">
        <f>IFERROR(IF(($CU116)&gt;0,($FI116)/($CU116),""),"")</f>
        <v/>
      </c>
      <c r="FY116" s="56">
        <f>IFERROR(IF(($CV116)&gt;0,($FJ116)/($CV116),""),"")</f>
        <v/>
      </c>
      <c r="FZ116" s="56">
        <f>IFERROR(IF(($CW116)&gt;0,($FK116)/($CW116),""),"")</f>
        <v/>
      </c>
      <c r="GA116" s="56">
        <f>IFERROR(IF(($CU116)&gt;0,($FL116)/($CU116),""),"")</f>
        <v/>
      </c>
      <c r="GB116" s="56">
        <f>IFERROR(IF(($CV116)&gt;0,($FM116)/($CV116),""),"")</f>
        <v/>
      </c>
      <c r="GC116" s="56">
        <f>IFERROR(IF(($CW116)&gt;0,($FN116)/($CW116),""),"")</f>
        <v/>
      </c>
      <c r="GD116" s="56">
        <f>IFERROR(IF(($CU116)&gt;0,($FO116)/($CU116),""),"")</f>
        <v/>
      </c>
      <c r="GE116" s="56">
        <f>IFERROR(IF(($CV116)&gt;0,($FP116)/($CV116),""),"")</f>
        <v/>
      </c>
      <c r="GF116" s="56">
        <f>IFERROR(IF(($CW116)&gt;0,($FQ116)/($CW116),""),"")</f>
        <v/>
      </c>
      <c r="GG116" s="79">
        <f>IFERROR(IF(($CU116)&gt;0,($FR116)/($CU116),""),"")</f>
        <v/>
      </c>
      <c r="GH116" s="79">
        <f>IFERROR(IF(($CV116)&gt;0,($FS116)/($CV116),""),"")</f>
        <v/>
      </c>
      <c r="GI116" s="79">
        <f>IFERROR(IF(($CW116)&gt;0,($FT116)/($CW116),""),"")</f>
        <v/>
      </c>
      <c r="GJ116" s="56">
        <f>IFERROR(IF(($CU116)&gt;0,($FU116)/($CU116),""),"")</f>
        <v/>
      </c>
      <c r="GK116" s="56">
        <f>IFERROR(IF(($CV116)&gt;0,($FV116)/($CV116),""),"")</f>
        <v/>
      </c>
      <c r="GL116" s="56">
        <f>IFERROR(IF(($CW116)&gt;0,($FW116)/($CW116),""),"")</f>
        <v/>
      </c>
      <c r="GM116" s="55">
        <f>IF(SUMIFS(tblPlant[GIC_oz],tblPlant[Date],$A116)&gt;0,SUMIFS(tblPlant[GIC_oz],tblPlant[Date],$A116),"")</f>
        <v/>
      </c>
      <c r="GN116" s="55">
        <f>SUMIFS(tblGold[Gold_oz],tblGold[Date],$A116,tblGold[Type],"Shipment")</f>
        <v/>
      </c>
      <c r="GO116" s="55">
        <f>IF($B116=$B115,$GO115,0)+$GN116</f>
        <v/>
      </c>
      <c r="GP116" s="55">
        <f>$GP115+$GN116</f>
        <v/>
      </c>
      <c r="GQ116" s="55">
        <f>SUMIFS(tblGold[Gold_oz],tblGold[Date],$A116,tblGold[Type],"Sale")</f>
        <v/>
      </c>
      <c r="GR116" s="55">
        <f>IF($B116=$B115,$GR115,0)+$GQ116</f>
        <v/>
      </c>
      <c r="GS116" s="55">
        <f>$GS115+$GQ116</f>
        <v/>
      </c>
      <c r="GT116" s="55">
        <f>SUMIFS(tblGold[Dore_kg],tblGold[Date],$A116,tblGold[Type],"Shipment")</f>
        <v/>
      </c>
      <c r="GU116" s="55">
        <f>IF($B116=$B115,$GU115,0)+$GT116</f>
        <v/>
      </c>
      <c r="GV116" s="55">
        <f>$GV115+$GT116</f>
        <v/>
      </c>
      <c r="GW116" s="57">
        <f>SUMIFS(tblSafety[Hours_Total],tblSafety[Date],$A116)</f>
        <v/>
      </c>
      <c r="GX116" s="57">
        <f>IF($B116=$B115,$GX115,0)+$GW116</f>
        <v/>
      </c>
      <c r="GY116" s="57">
        <f>$GY115+$GW116</f>
        <v/>
      </c>
      <c r="GZ116" s="62">
        <f>SUMIFS(tblSafety[Fatality],tblSafety[Date],$A116)</f>
        <v/>
      </c>
      <c r="HA116" s="62">
        <f>IF($B116=$B115,$HA115,0)+$GZ116</f>
        <v/>
      </c>
      <c r="HB116" s="62">
        <f>$HB115+$GZ116</f>
        <v/>
      </c>
      <c r="HC116" s="62">
        <f>SUMIFS(tblSafety[LTI],tblSafety[Date],$A116)</f>
        <v/>
      </c>
      <c r="HD116" s="62">
        <f>IF($B116=$B115,$HD115,0)+$HC116</f>
        <v/>
      </c>
      <c r="HE116" s="62">
        <f>$HE115+$HC116</f>
        <v/>
      </c>
      <c r="HF116" s="62">
        <f>SUMIFS(tblSafety[RWI],tblSafety[Date],$A116)</f>
        <v/>
      </c>
      <c r="HG116" s="62">
        <f>IF($B116=$B115,$HG115,0)+$HF116</f>
        <v/>
      </c>
      <c r="HH116" s="62">
        <f>$HH115+$HF116</f>
        <v/>
      </c>
      <c r="HI116" s="62">
        <f>SUMIFS(tblSafety[MTI],tblSafety[Date],$A116)</f>
        <v/>
      </c>
      <c r="HJ116" s="62">
        <f>IF($B116=$B115,$HJ115,0)+$HI116</f>
        <v/>
      </c>
      <c r="HK116" s="62">
        <f>$HK115+$HI116</f>
        <v/>
      </c>
      <c r="HL116" s="62">
        <f>SUMIFS(tblSafety[FAI],tblSafety[Date],$A116)</f>
        <v/>
      </c>
      <c r="HM116" s="62">
        <f>IF($B116=$B115,$HM115,0)+$HL116</f>
        <v/>
      </c>
      <c r="HN116" s="62">
        <f>$HN115+$HL116</f>
        <v/>
      </c>
      <c r="HO116" s="62">
        <f>SUMIFS(tblSafety[Recordables],tblSafety[Date],$A116)</f>
        <v/>
      </c>
      <c r="HP116" s="62">
        <f>IF($B116=$B115,$HP115,0)+$HO116</f>
        <v/>
      </c>
      <c r="HQ116" s="62">
        <f>$HQ115+$HO116</f>
        <v/>
      </c>
      <c r="HR116" s="62">
        <f>SUMIFS(tblSafety[Near_Miss],tblSafety[Date],$A116)</f>
        <v/>
      </c>
      <c r="HS116" s="62">
        <f>IF($B116=$B115,$HS115,0)+$HR116</f>
        <v/>
      </c>
      <c r="HT116" s="62">
        <f>$HT115+$HR116</f>
        <v/>
      </c>
      <c r="HU116" s="62">
        <f>SUMIFS(tblSafety[Hazard_Reports],tblSafety[Date],$A116)</f>
        <v/>
      </c>
      <c r="HV116" s="62">
        <f>IF($B116=$B115,$HV115,0)+$HU116</f>
        <v/>
      </c>
      <c r="HW116" s="62">
        <f>$HW115+$HU116</f>
        <v/>
      </c>
      <c r="HX116" s="62">
        <f>SUMIFS(tblSafety[HPI],tblSafety[Date],$A116)</f>
        <v/>
      </c>
      <c r="HY116" s="62">
        <f>IF($B116=$B115,$HY115,0)+$HX116</f>
        <v/>
      </c>
      <c r="HZ116" s="62">
        <f>$HZ115+$HX116</f>
        <v/>
      </c>
      <c r="IA116" s="62">
        <f>SUMIFS(tblSafety[Env_Incidents],tblSafety[Date],$A116)</f>
        <v/>
      </c>
      <c r="IB116" s="62">
        <f>IF($B116=$B115,$IB115,0)+$IA116</f>
        <v/>
      </c>
      <c r="IC116" s="62">
        <f>$IC115+$IA116</f>
        <v/>
      </c>
      <c r="ID116" s="62">
        <f>SUMIFS(tblSafety[Community_Incidents],tblSafety[Date],$A116)</f>
        <v/>
      </c>
      <c r="IE116" s="62">
        <f>IF($B116=$B115,$IE115,0)+$ID116</f>
        <v/>
      </c>
      <c r="IF116" s="62">
        <f>$IF115+$ID116</f>
        <v/>
      </c>
      <c r="IG116" s="62">
        <f>SUMIFS(tblSafety[Vehicle_Incidents],tblSafety[Date],$A116)</f>
        <v/>
      </c>
      <c r="IH116" s="62">
        <f>IF($B116=$B115,$IH115,0)+$IG116</f>
        <v/>
      </c>
      <c r="II116" s="62">
        <f>$II115+$IG116</f>
        <v/>
      </c>
      <c r="IJ116" s="62">
        <f>SUMIFS(tblSafety[Toolbox_Talks],tblSafety[Date],$A116)</f>
        <v/>
      </c>
      <c r="IK116" s="62">
        <f>IF($B116=$B115,$IK115,0)+$IJ116</f>
        <v/>
      </c>
      <c r="IL116" s="62">
        <f>$IL115+$IJ116</f>
        <v/>
      </c>
      <c r="IM116" s="62">
        <f>SUMIFS(tblSafety[Inspections],tblSafety[Date],$A116)</f>
        <v/>
      </c>
      <c r="IN116" s="62">
        <f>IF($B116=$B115,$IN115,0)+$IM116</f>
        <v/>
      </c>
      <c r="IO116" s="62">
        <f>$IO115+$IM116</f>
        <v/>
      </c>
      <c r="IP116" s="56">
        <f>IFERROR((SUMIFS(tblSafety[Recordables],tblSafety[Date],"&gt;="&amp;EDATE($E116,-12),tblSafety[Date],"&lt;="&amp;$A116)+SUMIFS(tblSafetyHistory[Recordables],tblSafetyHistory[Month],"&gt;="&amp;EDATE($E116,-12),tblSafetyHistory[Month],"&lt;"&amp;$E116,tblSafetyHistory[Use],1))/(SUMIFS(tblSafety[Hours_Total],tblSafety[Date],"&gt;="&amp;EDATE($E116,-12),tblSafety[Date],"&lt;="&amp;$A116)+SUMIFS(tblSafetyHistory[Hours_Total],tblSafetyHistory[Month],"&gt;="&amp;EDATE($E116,-12),tblSafetyHistory[Month],"&lt;"&amp;$E116,tblSafetyHistory[Use],1))*cfg_RateBasisHours,"")</f>
        <v/>
      </c>
      <c r="IQ116" s="56">
        <f>IFERROR((SUMIFS(tblSafety[LTI],tblSafety[Date],"&gt;="&amp;EDATE($E116,-12),tblSafety[Date],"&lt;="&amp;$A116)+SUMIFS(tblSafetyHistory[LTI],tblSafetyHistory[Month],"&gt;="&amp;EDATE($E116,-12),tblSafetyHistory[Month],"&lt;"&amp;$E116,tblSafetyHistory[Use],1))/(SUMIFS(tblSafety[Hours_Total],tblSafety[Date],"&gt;="&amp;EDATE($E116,-12),tblSafety[Date],"&lt;="&amp;$A116)+SUMIFS(tblSafetyHistory[Hours_Total],tblSafetyHistory[Month],"&gt;="&amp;EDATE($E116,-12),tblSafetyHistory[Month],"&lt;"&amp;$E116,tblSafetyHistory[Use],1))*cfg_RateBasisHours,"")</f>
        <v/>
      </c>
      <c r="IR116" s="62">
        <f>IF(MAX(N(cfg_PriorLTIDate),_xlfn.MAXIFS(tblSafety[Date],tblSafety[LTI],"&gt;0",tblSafety[Date],"&lt;="&amp;$A116))=0,"",$A116-MAX(N(cfg_PriorLTIDate),_xlfn.MAXIFS(tblSafety[Date],tblSafety[LTI],"&gt;0",tblSafety[Date],"&lt;="&amp;$A116)))</f>
        <v/>
      </c>
      <c r="IS116" s="55">
        <f>SUMIFS(tblBudget[Ore_Mined_t],tblBudget[Month],$E116)</f>
        <v/>
      </c>
      <c r="IT116" s="55">
        <f>$IS116*$C116/$D116</f>
        <v/>
      </c>
      <c r="IU116" s="55">
        <f>SUMIFS(tblBudget[Ore_Mined_t],tblBudget[Month],"&lt;"&amp;$E116)+$IT116</f>
        <v/>
      </c>
      <c r="IV116" s="55">
        <f>SUMIFS(tblBudget[Ore_oz],tblBudget[Month],$E116)</f>
        <v/>
      </c>
      <c r="IW116" s="55">
        <f>$IV116*$C116/$D116</f>
        <v/>
      </c>
      <c r="IX116" s="55">
        <f>SUMIFS(tblBudget[Ore_oz],tblBudget[Month],"&lt;"&amp;$E116)+$IW116</f>
        <v/>
      </c>
      <c r="IY116" s="55">
        <f>SUMIFS(tblBudget[Ore_Mined_t],tblBudget[Month],$E116)</f>
        <v/>
      </c>
      <c r="IZ116" s="55">
        <f>$IY116*$C116/$D116</f>
        <v/>
      </c>
      <c r="JA116" s="55">
        <f>SUMIFS(tblBudget[Ore_Mined_t],tblBudget[Month],"&lt;"&amp;$E116)+$IZ116</f>
        <v/>
      </c>
      <c r="JB116" s="56">
        <f>IFERROR(IF(($IY116)&gt;0,($IV116*cfg_TroyOz)/($IY116),""),"")</f>
        <v/>
      </c>
      <c r="JC116" s="56">
        <f>IFERROR(IF(($IZ116)&gt;0,($IW116*cfg_TroyOz)/($IZ116),""),"")</f>
        <v/>
      </c>
      <c r="JD116" s="56">
        <f>IFERROR(IF(($JA116)&gt;0,($IX116*cfg_TroyOz)/($JA116),""),"")</f>
        <v/>
      </c>
      <c r="JE116" s="55">
        <f>SUMIFS(tblBudget[Waste_t],tblBudget[Month],$E116)</f>
        <v/>
      </c>
      <c r="JF116" s="55">
        <f>$JE116*$C116/$D116</f>
        <v/>
      </c>
      <c r="JG116" s="55">
        <f>SUMIFS(tblBudget[Waste_t],tblBudget[Month],"&lt;"&amp;$E116)+$JF116</f>
        <v/>
      </c>
      <c r="JH116" s="55">
        <f>SUMIFS(tblBudget[TMM_t],tblBudget[Month],$E116)</f>
        <v/>
      </c>
      <c r="JI116" s="55">
        <f>$JH116*$C116/$D116</f>
        <v/>
      </c>
      <c r="JJ116" s="55">
        <f>SUMIFS(tblBudget[TMM_t],tblBudget[Month],"&lt;"&amp;$E116)+$JI116</f>
        <v/>
      </c>
      <c r="JK116" s="56">
        <f>IFERROR(IF(($IS116)&gt;0,($JE116)/($IS116),""),"")</f>
        <v/>
      </c>
      <c r="JL116" s="56">
        <f>IFERROR(IF(($IT116)&gt;0,($JF116)/($IT116),""),"")</f>
        <v/>
      </c>
      <c r="JM116" s="56">
        <f>IFERROR(IF(($IU116)&gt;0,($JG116)/($IU116),""),"")</f>
        <v/>
      </c>
      <c r="JN116" s="55">
        <f>SUMIFS(tblBudget[Drill_m],tblBudget[Month],$E116)</f>
        <v/>
      </c>
      <c r="JO116" s="55">
        <f>$JN116*$C116/$D116</f>
        <v/>
      </c>
      <c r="JP116" s="55">
        <f>SUMIFS(tblBudget[Drill_m],tblBudget[Month],"&lt;"&amp;$E116)+$JO116</f>
        <v/>
      </c>
      <c r="JQ116" s="55">
        <f>SUMIFS(tblBudget[Diesel_L],tblBudget[Month],$E116)</f>
        <v/>
      </c>
      <c r="JR116" s="55">
        <f>$JQ116*$C116/$D116</f>
        <v/>
      </c>
      <c r="JS116" s="55">
        <f>SUMIFS(tblBudget[Diesel_L],tblBudget[Month],"&lt;"&amp;$E116)+$JR116</f>
        <v/>
      </c>
      <c r="JT116" s="55">
        <f>SUMIFS(tblBudget[Milled_t],tblBudget[Month],$E116)</f>
        <v/>
      </c>
      <c r="JU116" s="55">
        <f>$JT116*$C116/$D116</f>
        <v/>
      </c>
      <c r="JV116" s="55">
        <f>SUMIFS(tblBudget[Milled_t],tblBudget[Month],"&lt;"&amp;$E116)+$JU116</f>
        <v/>
      </c>
      <c r="JW116" s="55">
        <f>SUMIFS(tblBudget[Feed_oz],tblBudget[Month],$E116)</f>
        <v/>
      </c>
      <c r="JX116" s="55">
        <f>$JW116*$C116/$D116</f>
        <v/>
      </c>
      <c r="JY116" s="55">
        <f>SUMIFS(tblBudget[Feed_oz],tblBudget[Month],"&lt;"&amp;$E116)+$JX116</f>
        <v/>
      </c>
      <c r="JZ116" s="55">
        <f>SUMIFS(tblBudget[Recovered_oz],tblBudget[Month],$E116)</f>
        <v/>
      </c>
      <c r="KA116" s="55">
        <f>$JZ116*$C116/$D116</f>
        <v/>
      </c>
      <c r="KB116" s="55">
        <f>SUMIFS(tblBudget[Recovered_oz],tblBudget[Month],"&lt;"&amp;$E116)+$KA116</f>
        <v/>
      </c>
      <c r="KC116" s="55">
        <f>SUMIFS(tblBudget[Milled_t],tblBudget[Month],$E116)</f>
        <v/>
      </c>
      <c r="KD116" s="55">
        <f>$KC116*$C116/$D116</f>
        <v/>
      </c>
      <c r="KE116" s="55">
        <f>SUMIFS(tblBudget[Milled_t],tblBudget[Month],"&lt;"&amp;$E116)+$KD116</f>
        <v/>
      </c>
      <c r="KF116" s="55">
        <f>SUMIFS(tblBudget[Feed_oz],tblBudget[Month],$E116)</f>
        <v/>
      </c>
      <c r="KG116" s="55">
        <f>$KF116*$C116/$D116</f>
        <v/>
      </c>
      <c r="KH116" s="55">
        <f>SUMIFS(tblBudget[Feed_oz],tblBudget[Month],"&lt;"&amp;$E116)+$KG116</f>
        <v/>
      </c>
      <c r="KI116" s="56">
        <f>IFERROR(IF(($KC116)&gt;0,($JW116*cfg_TroyOz)/($KC116),""),"")</f>
        <v/>
      </c>
      <c r="KJ116" s="56">
        <f>IFERROR(IF(($KD116)&gt;0,($JX116*cfg_TroyOz)/($KD116),""),"")</f>
        <v/>
      </c>
      <c r="KK116" s="56">
        <f>IFERROR(IF(($KE116)&gt;0,($JY116*cfg_TroyOz)/($KE116),""),"")</f>
        <v/>
      </c>
      <c r="KL116" s="67">
        <f>IFERROR(IF(($KF116)&gt;0,($JZ116)/($KF116),""),"")</f>
        <v/>
      </c>
      <c r="KM116" s="67">
        <f>IFERROR(IF(($KG116)&gt;0,($KA116)/($KG116),""),"")</f>
        <v/>
      </c>
      <c r="KN116" s="67">
        <f>IFERROR(IF(($KH116)&gt;0,($KB116)/($KH116),""),"")</f>
        <v/>
      </c>
      <c r="KO116" s="55">
        <f>SUMIFS(tblBudget[Gold_Poured_oz],tblBudget[Month],$E116)</f>
        <v/>
      </c>
      <c r="KP116" s="55">
        <f>$KO116*$C116/$D116</f>
        <v/>
      </c>
      <c r="KQ116" s="55">
        <f>SUMIFS(tblBudget[Gold_Poured_oz],tblBudget[Month],"&lt;"&amp;$E116)+$KP116</f>
        <v/>
      </c>
      <c r="KR116" s="57">
        <f>SUMIFS(tblBudget[Hours_Worked],tblBudget[Month],$E116)</f>
        <v/>
      </c>
      <c r="KS116" s="57">
        <f>$KR116*$C116/$D116</f>
        <v/>
      </c>
      <c r="KT116" s="57">
        <f>SUMIFS(tblBudget[Hours_Worked],tblBudget[Month],"&lt;"&amp;$E116)+$KS116</f>
        <v/>
      </c>
    </row>
    <row r="117">
      <c r="A117" s="54" t="n">
        <v>46138</v>
      </c>
      <c r="B117">
        <f>MONTH($A117)</f>
        <v/>
      </c>
      <c r="C117">
        <f>DAY($A117)</f>
        <v/>
      </c>
      <c r="D117">
        <f>DAY(EOMONTH($A117,0))</f>
        <v/>
      </c>
      <c r="E117" s="54">
        <f>DATE(YEAR($A117),MONTH($A117),1)</f>
        <v/>
      </c>
      <c r="F117" s="55">
        <f>SUMIFS(tblMovement[Tonnes_t],tblMovement[Date],$A117,tblMovement[Is_Ore],1,tblMovement[Source_Type],"Pit")</f>
        <v/>
      </c>
      <c r="G117" s="55">
        <f>IF($B117=$B116,$G116,0)+$F117</f>
        <v/>
      </c>
      <c r="H117" s="55">
        <f>$H116+$F117</f>
        <v/>
      </c>
      <c r="I117" s="55">
        <f>SUMIFS(tblMovement[Ore_oz],tblMovement[Date],$A117,tblMovement[Source_Type],"Pit")</f>
        <v/>
      </c>
      <c r="J117" s="55">
        <f>IF($B117=$B116,$J116,0)+$I117</f>
        <v/>
      </c>
      <c r="K117" s="55">
        <f>$K116+$I117</f>
        <v/>
      </c>
      <c r="L117" s="55">
        <f>SUMIFS(tblMovement[Tonnes_t],tblMovement[Date],$A117,tblMovement[Is_Ore],1,tblMovement[Source_Type],"Pit",tblMovement[Grade_gpt],"&lt;&gt;")</f>
        <v/>
      </c>
      <c r="M117" s="55">
        <f>IF($B117=$B116,$M116,0)+$L117</f>
        <v/>
      </c>
      <c r="N117" s="55">
        <f>$N116+$L117</f>
        <v/>
      </c>
      <c r="O117" s="56">
        <f>IFERROR(IF(($L117)&gt;0,($I117*cfg_TroyOz)/($L117),""),"")</f>
        <v/>
      </c>
      <c r="P117" s="56">
        <f>IFERROR(IF(($M117)&gt;0,($J117*cfg_TroyOz)/($M117),""),"")</f>
        <v/>
      </c>
      <c r="Q117" s="56">
        <f>IFERROR(IF(($N117)&gt;0,($K117*cfg_TroyOz)/($N117),""),"")</f>
        <v/>
      </c>
      <c r="R117" s="55">
        <f>$F117-$L117</f>
        <v/>
      </c>
      <c r="S117" s="55">
        <f>IF($B117=$B116,$S116,0)+$R117</f>
        <v/>
      </c>
      <c r="T117" s="55">
        <f>$T116+$R117</f>
        <v/>
      </c>
      <c r="U117" s="55">
        <f>SUMIFS(tblMovement[Tonnes_t],tblMovement[Date],$A117,tblMovement[Is_Ore],0,tblMovement[Source_Type],"Pit")</f>
        <v/>
      </c>
      <c r="V117" s="55">
        <f>IF($B117=$B116,$V116,0)+$U117</f>
        <v/>
      </c>
      <c r="W117" s="55">
        <f>$W116+$U117</f>
        <v/>
      </c>
      <c r="X117" s="55">
        <f>$F117+$U117</f>
        <v/>
      </c>
      <c r="Y117" s="55">
        <f>IF($B117=$B116,$Y116,0)+$X117</f>
        <v/>
      </c>
      <c r="Z117" s="55">
        <f>$Z116+$X117</f>
        <v/>
      </c>
      <c r="AA117" s="56">
        <f>IFERROR(IF(($F117)&gt;0,($U117)/($F117),""),"")</f>
        <v/>
      </c>
      <c r="AB117" s="56">
        <f>IFERROR(IF(($G117)&gt;0,($V117)/($G117),""),"")</f>
        <v/>
      </c>
      <c r="AC117" s="56">
        <f>IFERROR(IF(($H117)&gt;0,($W117)/($H117),""),"")</f>
        <v/>
      </c>
      <c r="AD117" s="55">
        <f>SUMIFS(tblMovement[Tonnes_t],tblMovement[Date],$A117,tblMovement[Source_Type],"Stockpile")</f>
        <v/>
      </c>
      <c r="AE117" s="55">
        <f>IF($B117=$B116,$AE116,0)+$AD117</f>
        <v/>
      </c>
      <c r="AF117" s="55">
        <f>$AF116+$AD117</f>
        <v/>
      </c>
      <c r="AG117" s="55">
        <f>SUMIFS(tblMovement[Tonnes_t],tblMovement[Date],$A117)</f>
        <v/>
      </c>
      <c r="AH117" s="55">
        <f>IF($B117=$B116,$AH116,0)+$AG117</f>
        <v/>
      </c>
      <c r="AI117" s="55">
        <f>$AI116+$AG117</f>
        <v/>
      </c>
      <c r="AJ117" s="55">
        <f>$AG117-$X117-$AD117</f>
        <v/>
      </c>
      <c r="AK117" s="55">
        <f>IF($B117=$B116,$AK116,0)+$AJ117</f>
        <v/>
      </c>
      <c r="AL117" s="55">
        <f>$AL116+$AJ117</f>
        <v/>
      </c>
      <c r="AM117" s="55">
        <f>SUMIFS(tblMiningDaily[Drill_m],tblMiningDaily[Date],$A117)</f>
        <v/>
      </c>
      <c r="AN117" s="55">
        <f>IF($B117=$B116,$AN116,0)+$AM117</f>
        <v/>
      </c>
      <c r="AO117" s="55">
        <f>$AO116+$AM117</f>
        <v/>
      </c>
      <c r="AP117" s="55">
        <f>SUMIFS(tblMiningDaily[GC_Drill_m],tblMiningDaily[Date],$A117)</f>
        <v/>
      </c>
      <c r="AQ117" s="55">
        <f>IF($B117=$B116,$AQ116,0)+$AP117</f>
        <v/>
      </c>
      <c r="AR117" s="55">
        <f>$AR116+$AP117</f>
        <v/>
      </c>
      <c r="AS117" s="55">
        <f>SUMIFS(tblMiningDaily[Blast_t],tblMiningDaily[Date],$A117)</f>
        <v/>
      </c>
      <c r="AT117" s="55">
        <f>IF($B117=$B116,$AT116,0)+$AS117</f>
        <v/>
      </c>
      <c r="AU117" s="55">
        <f>$AU116+$AS117</f>
        <v/>
      </c>
      <c r="AV117" s="55">
        <f>SUMIFS(tblMiningDaily[Explosives_kg],tblMiningDaily[Date],$A117)</f>
        <v/>
      </c>
      <c r="AW117" s="55">
        <f>IF($B117=$B116,$AW116,0)+$AV117</f>
        <v/>
      </c>
      <c r="AX117" s="55">
        <f>$AX116+$AV117</f>
        <v/>
      </c>
      <c r="AY117" s="56">
        <f>IFERROR(IF(($AS117)&gt;0,($AV117)/($AS117),""),"")</f>
        <v/>
      </c>
      <c r="AZ117" s="56">
        <f>IFERROR(IF(($AT117)&gt;0,($AW117)/($AT117),""),"")</f>
        <v/>
      </c>
      <c r="BA117" s="56">
        <f>IFERROR(IF(($AU117)&gt;0,($AX117)/($AU117),""),"")</f>
        <v/>
      </c>
      <c r="BB117" s="55">
        <f>SUMIFS(tblMiningDaily[Diesel_L],tblMiningDaily[Date],$A117)</f>
        <v/>
      </c>
      <c r="BC117" s="55">
        <f>IF($B117=$B116,$BC116,0)+$BB117</f>
        <v/>
      </c>
      <c r="BD117" s="55">
        <f>$BD116+$BB117</f>
        <v/>
      </c>
      <c r="BE117" s="55">
        <f>SUMIFS(tblMiningDaily[Dewatering_m3],tblMiningDaily[Date],$A117)</f>
        <v/>
      </c>
      <c r="BF117" s="55">
        <f>IF($B117=$B116,$BF116,0)+$BE117</f>
        <v/>
      </c>
      <c r="BG117" s="55">
        <f>$BG116+$BE117</f>
        <v/>
      </c>
      <c r="BH117" s="57">
        <f>SUMIFS(tblFleet[Calendar_h],tblFleet[Date],$A117,tblFleet[Equipment_Class],"Excavator")</f>
        <v/>
      </c>
      <c r="BI117" s="57">
        <f>IF($B117=$B116,$BI116,0)+$BH117</f>
        <v/>
      </c>
      <c r="BJ117" s="57">
        <f>$BJ116+$BH117</f>
        <v/>
      </c>
      <c r="BK117" s="57">
        <f>SUMIFS(tblFleet[Available_h],tblFleet[Date],$A117,tblFleet[Equipment_Class],"Excavator")</f>
        <v/>
      </c>
      <c r="BL117" s="57">
        <f>IF($B117=$B116,$BL116,0)+$BK117</f>
        <v/>
      </c>
      <c r="BM117" s="57">
        <f>$BM116+$BK117</f>
        <v/>
      </c>
      <c r="BN117" s="57">
        <f>SUMIFS(tblFleet[Operating_h],tblFleet[Date],$A117,tblFleet[Equipment_Class],"Excavator")</f>
        <v/>
      </c>
      <c r="BO117" s="57">
        <f>IF($B117=$B116,$BO116,0)+$BN117</f>
        <v/>
      </c>
      <c r="BP117" s="57">
        <f>$BP116+$BN117</f>
        <v/>
      </c>
      <c r="BQ117" s="67">
        <f>IFERROR(IF(($BH117)&gt;0,($BK117)/($BH117),""),"")</f>
        <v/>
      </c>
      <c r="BR117" s="67">
        <f>IFERROR(IF(($BI117)&gt;0,($BL117)/($BI117),""),"")</f>
        <v/>
      </c>
      <c r="BS117" s="67">
        <f>IFERROR(IF(($BJ117)&gt;0,($BM117)/($BJ117),""),"")</f>
        <v/>
      </c>
      <c r="BT117" s="67">
        <f>IFERROR(IF(($BK117)&gt;0,($BN117)/($BK117),""),"")</f>
        <v/>
      </c>
      <c r="BU117" s="67">
        <f>IFERROR(IF(($BL117)&gt;0,($BO117)/($BL117),""),"")</f>
        <v/>
      </c>
      <c r="BV117" s="67">
        <f>IFERROR(IF(($BM117)&gt;0,($BP117)/($BM117),""),"")</f>
        <v/>
      </c>
      <c r="BW117" s="57">
        <f>SUMIFS(tblFleet[Calendar_h],tblFleet[Date],$A117,tblFleet[Equipment_Class],"Haul Truck")</f>
        <v/>
      </c>
      <c r="BX117" s="57">
        <f>IF($B117=$B116,$BX116,0)+$BW117</f>
        <v/>
      </c>
      <c r="BY117" s="57">
        <f>$BY116+$BW117</f>
        <v/>
      </c>
      <c r="BZ117" s="57">
        <f>SUMIFS(tblFleet[Available_h],tblFleet[Date],$A117,tblFleet[Equipment_Class],"Haul Truck")</f>
        <v/>
      </c>
      <c r="CA117" s="57">
        <f>IF($B117=$B116,$CA116,0)+$BZ117</f>
        <v/>
      </c>
      <c r="CB117" s="57">
        <f>$CB116+$BZ117</f>
        <v/>
      </c>
      <c r="CC117" s="57">
        <f>SUMIFS(tblFleet[Operating_h],tblFleet[Date],$A117,tblFleet[Equipment_Class],"Haul Truck")</f>
        <v/>
      </c>
      <c r="CD117" s="57">
        <f>IF($B117=$B116,$CD116,0)+$CC117</f>
        <v/>
      </c>
      <c r="CE117" s="57">
        <f>$CE116+$CC117</f>
        <v/>
      </c>
      <c r="CF117" s="67">
        <f>IFERROR(IF(($BW117)&gt;0,($BZ117)/($BW117),""),"")</f>
        <v/>
      </c>
      <c r="CG117" s="67">
        <f>IFERROR(IF(($BX117)&gt;0,($CA117)/($BX117),""),"")</f>
        <v/>
      </c>
      <c r="CH117" s="67">
        <f>IFERROR(IF(($BY117)&gt;0,($CB117)/($BY117),""),"")</f>
        <v/>
      </c>
      <c r="CI117" s="67">
        <f>IFERROR(IF(($BZ117)&gt;0,($CC117)/($BZ117),""),"")</f>
        <v/>
      </c>
      <c r="CJ117" s="67">
        <f>IFERROR(IF(($CA117)&gt;0,($CD117)/($CA117),""),"")</f>
        <v/>
      </c>
      <c r="CK117" s="67">
        <f>IFERROR(IF(($CB117)&gt;0,($CE117)/($CB117),""),"")</f>
        <v/>
      </c>
      <c r="CL117" s="55">
        <f>IFERROR(IF(($BN117)&gt;0,($X117+$AD117)/($BN117),""),"")</f>
        <v/>
      </c>
      <c r="CM117" s="55">
        <f>IFERROR(IF(($BO117)&gt;0,($Y117+$AE117)/($BO117),""),"")</f>
        <v/>
      </c>
      <c r="CN117" s="55">
        <f>IFERROR(IF(($BP117)&gt;0,($Z117+$AF117)/($BP117),""),"")</f>
        <v/>
      </c>
      <c r="CO117" s="55">
        <f>IFERROR(IF(($CC117)&gt;0,($X117+$AD117)/($CC117),""),"")</f>
        <v/>
      </c>
      <c r="CP117" s="55">
        <f>IFERROR(IF(($CD117)&gt;0,($Y117+$AE117)/($CD117),""),"")</f>
        <v/>
      </c>
      <c r="CQ117" s="55">
        <f>IFERROR(IF(($CE117)&gt;0,($Z117+$AF117)/($CE117),""),"")</f>
        <v/>
      </c>
      <c r="CR117" s="55">
        <f>SUMIFS(tblPlant[Crushed_t],tblPlant[Date],$A117)</f>
        <v/>
      </c>
      <c r="CS117" s="55">
        <f>IF($B117=$B116,$CS116,0)+$CR117</f>
        <v/>
      </c>
      <c r="CT117" s="55">
        <f>$CT116+$CR117</f>
        <v/>
      </c>
      <c r="CU117" s="55">
        <f>SUMIFS(tblPlant[Milled_t],tblPlant[Date],$A117)</f>
        <v/>
      </c>
      <c r="CV117" s="55">
        <f>IF($B117=$B116,$CV116,0)+$CU117</f>
        <v/>
      </c>
      <c r="CW117" s="55">
        <f>$CW116+$CU117</f>
        <v/>
      </c>
      <c r="CX117" s="55">
        <f>SUMIFS(tblPlant[Feed_oz],tblPlant[Date],$A117)</f>
        <v/>
      </c>
      <c r="CY117" s="55">
        <f>IF($B117=$B116,$CY116,0)+$CX117</f>
        <v/>
      </c>
      <c r="CZ117" s="55">
        <f>$CZ116+$CX117</f>
        <v/>
      </c>
      <c r="DA117" s="55">
        <f>SUMIFS(tblPlant[Tails_oz],tblPlant[Date],$A117)</f>
        <v/>
      </c>
      <c r="DB117" s="55">
        <f>IF($B117=$B116,$DB116,0)+$DA117</f>
        <v/>
      </c>
      <c r="DC117" s="55">
        <f>$DC116+$DA117</f>
        <v/>
      </c>
      <c r="DD117" s="55">
        <f>SUMIFS(tblPlant[Recovered_oz],tblPlant[Date],$A117)</f>
        <v/>
      </c>
      <c r="DE117" s="55">
        <f>IF($B117=$B116,$DE116,0)+$DD117</f>
        <v/>
      </c>
      <c r="DF117" s="55">
        <f>$DF116+$DD117</f>
        <v/>
      </c>
      <c r="DG117" s="55">
        <f>SUMIFS(tblPlant[Milled_t],tblPlant[Date],$A117,tblPlant[Head_Grade_gpt],"&lt;&gt;")</f>
        <v/>
      </c>
      <c r="DH117" s="55">
        <f>IF($B117=$B116,$DH116,0)+$DG117</f>
        <v/>
      </c>
      <c r="DI117" s="55">
        <f>$DI116+$DG117</f>
        <v/>
      </c>
      <c r="DJ117" s="55">
        <f>SUMIFS(tblPlant[Milled_t],tblPlant[Date],$A117,tblPlant[Tails_Grade_gpt],"&lt;&gt;")</f>
        <v/>
      </c>
      <c r="DK117" s="55">
        <f>IF($B117=$B116,$DK116,0)+$DJ117</f>
        <v/>
      </c>
      <c r="DL117" s="55">
        <f>$DL116+$DJ117</f>
        <v/>
      </c>
      <c r="DM117" s="55">
        <f>SUMIFS(tblPlant[Feed_oz],tblPlant[Date],$A117,tblPlant[Tails_Grade_gpt],"&lt;&gt;")</f>
        <v/>
      </c>
      <c r="DN117" s="55">
        <f>IF($B117=$B116,$DN116,0)+$DM117</f>
        <v/>
      </c>
      <c r="DO117" s="55">
        <f>$DO116+$DM117</f>
        <v/>
      </c>
      <c r="DP117" s="55">
        <f>SUMIFS(tblPlant[Milled_t],tblPlant[Date],$A117,tblPlant[Mill_Run_h],"&lt;&gt;")</f>
        <v/>
      </c>
      <c r="DQ117" s="55">
        <f>IF($B117=$B116,$DQ116,0)+$DP117</f>
        <v/>
      </c>
      <c r="DR117" s="55">
        <f>$DR116+$DP117</f>
        <v/>
      </c>
      <c r="DS117" s="56">
        <f>IFERROR(IF(($DG117)&gt;0,($CX117*cfg_TroyOz)/($DG117),""),"")</f>
        <v/>
      </c>
      <c r="DT117" s="56">
        <f>IFERROR(IF(($DH117)&gt;0,($CY117*cfg_TroyOz)/($DH117),""),"")</f>
        <v/>
      </c>
      <c r="DU117" s="56">
        <f>IFERROR(IF(($DI117)&gt;0,($CZ117*cfg_TroyOz)/($DI117),""),"")</f>
        <v/>
      </c>
      <c r="DV117" s="56">
        <f>IFERROR(IF(($DJ117)&gt;0,($DA117*cfg_TroyOz)/($DJ117),""),"")</f>
        <v/>
      </c>
      <c r="DW117" s="56">
        <f>IFERROR(IF(($DK117)&gt;0,($DB117*cfg_TroyOz)/($DK117),""),"")</f>
        <v/>
      </c>
      <c r="DX117" s="56">
        <f>IFERROR(IF(($DL117)&gt;0,($DC117*cfg_TroyOz)/($DL117),""),"")</f>
        <v/>
      </c>
      <c r="DY117" s="67">
        <f>IFERROR(IF(($DM117)&gt;0,($DD117)/($DM117),""),"")</f>
        <v/>
      </c>
      <c r="DZ117" s="67">
        <f>IFERROR(IF(($DN117)&gt;0,($DE117)/($DN117),""),"")</f>
        <v/>
      </c>
      <c r="EA117" s="67">
        <f>IFERROR(IF(($DO117)&gt;0,($DF117)/($DO117),""),"")</f>
        <v/>
      </c>
      <c r="EB117" s="55">
        <f>SUMIFS(tblPlant[Gravity_Gold_oz],tblPlant[Date],$A117)</f>
        <v/>
      </c>
      <c r="EC117" s="55">
        <f>IF($B117=$B116,$EC116,0)+$EB117</f>
        <v/>
      </c>
      <c r="ED117" s="55">
        <f>$ED116+$EB117</f>
        <v/>
      </c>
      <c r="EE117" s="67">
        <f>IFERROR(IF(($DD117)&gt;0,($EB117)/($DD117),""),"")</f>
        <v/>
      </c>
      <c r="EF117" s="67">
        <f>IFERROR(IF(($DE117)&gt;0,($EC117)/($DE117),""),"")</f>
        <v/>
      </c>
      <c r="EG117" s="67">
        <f>IFERROR(IF(($DF117)&gt;0,($ED117)/($DF117),""),"")</f>
        <v/>
      </c>
      <c r="EH117" s="55">
        <f>SUMIFS(tblPlant[Gold_Poured_oz],tblPlant[Date],$A117)</f>
        <v/>
      </c>
      <c r="EI117" s="55">
        <f>IF($B117=$B116,$EI116,0)+$EH117</f>
        <v/>
      </c>
      <c r="EJ117" s="55">
        <f>$EJ116+$EH117</f>
        <v/>
      </c>
      <c r="EK117" s="57">
        <f>SUMIFS(tblPlant[Mill_Run_h],tblPlant[Date],$A117)</f>
        <v/>
      </c>
      <c r="EL117" s="57">
        <f>IF($B117=$B116,$EL116,0)+$EK117</f>
        <v/>
      </c>
      <c r="EM117" s="57">
        <f>$EM116+$EK117</f>
        <v/>
      </c>
      <c r="EN117" s="57">
        <f>SUMIFS(tblPlant[Mill_Planned_Maint_h],tblPlant[Date],$A117)</f>
        <v/>
      </c>
      <c r="EO117" s="57">
        <f>IF($B117=$B116,$EO116,0)+$EN117</f>
        <v/>
      </c>
      <c r="EP117" s="57">
        <f>$EP116+$EN117</f>
        <v/>
      </c>
      <c r="EQ117" s="57">
        <f>SUMIFS(tblPlant[Mill_Unplanned_Down_h],tblPlant[Date],$A117)</f>
        <v/>
      </c>
      <c r="ER117" s="57">
        <f>IF($B117=$B116,$ER116,0)+$EQ117</f>
        <v/>
      </c>
      <c r="ES117" s="57">
        <f>$ES116+$EQ117</f>
        <v/>
      </c>
      <c r="ET117" s="57">
        <f>IF(COUNTIFS(tblPlant[Date],$A117,tblPlant[Mill_Run_h],"&lt;&gt;")+COUNTIFS(tblPlant[Date],$A117,tblPlant[Mill_Planned_Maint_h],"&lt;&gt;")+COUNTIFS(tblPlant[Date],$A117,tblPlant[Mill_Unplanned_Down_h],"&lt;&gt;")&gt;0,cfg_HoursPerDay,0)</f>
        <v/>
      </c>
      <c r="EU117" s="57">
        <f>IF($B117=$B116,$EU116,0)+$ET117</f>
        <v/>
      </c>
      <c r="EV117" s="57">
        <f>$EV116+$ET117</f>
        <v/>
      </c>
      <c r="EW117" s="57">
        <f>SUMIFS(tblPlant[Crusher_Run_h],tblPlant[Date],$A117)</f>
        <v/>
      </c>
      <c r="EX117" s="57">
        <f>IF($B117=$B116,$EX116,0)+$EW117</f>
        <v/>
      </c>
      <c r="EY117" s="57">
        <f>$EY116+$EW117</f>
        <v/>
      </c>
      <c r="EZ117" s="55">
        <f>IFERROR(IF(($EK117)&gt;0,($DP117)/($EK117),""),"")</f>
        <v/>
      </c>
      <c r="FA117" s="55">
        <f>IFERROR(IF(($EL117)&gt;0,($DQ117)/($EL117),""),"")</f>
        <v/>
      </c>
      <c r="FB117" s="55">
        <f>IFERROR(IF(($EM117)&gt;0,($DR117)/($EM117),""),"")</f>
        <v/>
      </c>
      <c r="FC117" s="67">
        <f>IFERROR(IF(($ET117)&gt;0,($ET117-$EN117-$EQ117)/($ET117),""),"")</f>
        <v/>
      </c>
      <c r="FD117" s="67">
        <f>IFERROR(IF(($EU117)&gt;0,($EU117-$EO117-$ER117)/($EU117),""),"")</f>
        <v/>
      </c>
      <c r="FE117" s="67">
        <f>IFERROR(IF(($EV117)&gt;0,($EV117-$EP117-$ES117)/($EV117),""),"")</f>
        <v/>
      </c>
      <c r="FF117" s="67">
        <f>IFERROR(IF(($ET117-$EN117-$EQ117)&gt;0,($EK117)/($ET117-$EN117-$EQ117),""),"")</f>
        <v/>
      </c>
      <c r="FG117" s="67">
        <f>IFERROR(IF(($EU117-$EO117-$ER117)&gt;0,($EL117)/($EU117-$EO117-$ER117),""),"")</f>
        <v/>
      </c>
      <c r="FH117" s="67">
        <f>IFERROR(IF(($EV117-$EP117-$ES117)&gt;0,($EM117)/($EV117-$EP117-$ES117),""),"")</f>
        <v/>
      </c>
      <c r="FI117" s="55">
        <f>SUMIFS(tblPlant[Cyanide_kg],tblPlant[Date],$A117)</f>
        <v/>
      </c>
      <c r="FJ117" s="55">
        <f>IF($B117=$B116,$FJ116,0)+$FI117</f>
        <v/>
      </c>
      <c r="FK117" s="55">
        <f>$FK116+$FI117</f>
        <v/>
      </c>
      <c r="FL117" s="55">
        <f>SUMIFS(tblPlant[Lime_kg],tblPlant[Date],$A117)</f>
        <v/>
      </c>
      <c r="FM117" s="55">
        <f>IF($B117=$B116,$FM116,0)+$FL117</f>
        <v/>
      </c>
      <c r="FN117" s="55">
        <f>$FN116+$FL117</f>
        <v/>
      </c>
      <c r="FO117" s="55">
        <f>SUMIFS(tblPlant[Grinding_Media_kg],tblPlant[Date],$A117)</f>
        <v/>
      </c>
      <c r="FP117" s="55">
        <f>IF($B117=$B116,$FP116,0)+$FO117</f>
        <v/>
      </c>
      <c r="FQ117" s="55">
        <f>$FQ116+$FO117</f>
        <v/>
      </c>
      <c r="FR117" s="55">
        <f>SUMIFS(tblPlant[Power_kWh],tblPlant[Date],$A117)</f>
        <v/>
      </c>
      <c r="FS117" s="55">
        <f>IF($B117=$B116,$FS116,0)+$FR117</f>
        <v/>
      </c>
      <c r="FT117" s="55">
        <f>$FT116+$FR117</f>
        <v/>
      </c>
      <c r="FU117" s="55">
        <f>SUMIFS(tblPlant[Raw_Water_m3],tblPlant[Date],$A117)</f>
        <v/>
      </c>
      <c r="FV117" s="55">
        <f>IF($B117=$B116,$FV116,0)+$FU117</f>
        <v/>
      </c>
      <c r="FW117" s="55">
        <f>$FW116+$FU117</f>
        <v/>
      </c>
      <c r="FX117" s="56">
        <f>IFERROR(IF(($CU117)&gt;0,($FI117)/($CU117),""),"")</f>
        <v/>
      </c>
      <c r="FY117" s="56">
        <f>IFERROR(IF(($CV117)&gt;0,($FJ117)/($CV117),""),"")</f>
        <v/>
      </c>
      <c r="FZ117" s="56">
        <f>IFERROR(IF(($CW117)&gt;0,($FK117)/($CW117),""),"")</f>
        <v/>
      </c>
      <c r="GA117" s="56">
        <f>IFERROR(IF(($CU117)&gt;0,($FL117)/($CU117),""),"")</f>
        <v/>
      </c>
      <c r="GB117" s="56">
        <f>IFERROR(IF(($CV117)&gt;0,($FM117)/($CV117),""),"")</f>
        <v/>
      </c>
      <c r="GC117" s="56">
        <f>IFERROR(IF(($CW117)&gt;0,($FN117)/($CW117),""),"")</f>
        <v/>
      </c>
      <c r="GD117" s="56">
        <f>IFERROR(IF(($CU117)&gt;0,($FO117)/($CU117),""),"")</f>
        <v/>
      </c>
      <c r="GE117" s="56">
        <f>IFERROR(IF(($CV117)&gt;0,($FP117)/($CV117),""),"")</f>
        <v/>
      </c>
      <c r="GF117" s="56">
        <f>IFERROR(IF(($CW117)&gt;0,($FQ117)/($CW117),""),"")</f>
        <v/>
      </c>
      <c r="GG117" s="79">
        <f>IFERROR(IF(($CU117)&gt;0,($FR117)/($CU117),""),"")</f>
        <v/>
      </c>
      <c r="GH117" s="79">
        <f>IFERROR(IF(($CV117)&gt;0,($FS117)/($CV117),""),"")</f>
        <v/>
      </c>
      <c r="GI117" s="79">
        <f>IFERROR(IF(($CW117)&gt;0,($FT117)/($CW117),""),"")</f>
        <v/>
      </c>
      <c r="GJ117" s="56">
        <f>IFERROR(IF(($CU117)&gt;0,($FU117)/($CU117),""),"")</f>
        <v/>
      </c>
      <c r="GK117" s="56">
        <f>IFERROR(IF(($CV117)&gt;0,($FV117)/($CV117),""),"")</f>
        <v/>
      </c>
      <c r="GL117" s="56">
        <f>IFERROR(IF(($CW117)&gt;0,($FW117)/($CW117),""),"")</f>
        <v/>
      </c>
      <c r="GM117" s="55">
        <f>IF(SUMIFS(tblPlant[GIC_oz],tblPlant[Date],$A117)&gt;0,SUMIFS(tblPlant[GIC_oz],tblPlant[Date],$A117),"")</f>
        <v/>
      </c>
      <c r="GN117" s="55">
        <f>SUMIFS(tblGold[Gold_oz],tblGold[Date],$A117,tblGold[Type],"Shipment")</f>
        <v/>
      </c>
      <c r="GO117" s="55">
        <f>IF($B117=$B116,$GO116,0)+$GN117</f>
        <v/>
      </c>
      <c r="GP117" s="55">
        <f>$GP116+$GN117</f>
        <v/>
      </c>
      <c r="GQ117" s="55">
        <f>SUMIFS(tblGold[Gold_oz],tblGold[Date],$A117,tblGold[Type],"Sale")</f>
        <v/>
      </c>
      <c r="GR117" s="55">
        <f>IF($B117=$B116,$GR116,0)+$GQ117</f>
        <v/>
      </c>
      <c r="GS117" s="55">
        <f>$GS116+$GQ117</f>
        <v/>
      </c>
      <c r="GT117" s="55">
        <f>SUMIFS(tblGold[Dore_kg],tblGold[Date],$A117,tblGold[Type],"Shipment")</f>
        <v/>
      </c>
      <c r="GU117" s="55">
        <f>IF($B117=$B116,$GU116,0)+$GT117</f>
        <v/>
      </c>
      <c r="GV117" s="55">
        <f>$GV116+$GT117</f>
        <v/>
      </c>
      <c r="GW117" s="57">
        <f>SUMIFS(tblSafety[Hours_Total],tblSafety[Date],$A117)</f>
        <v/>
      </c>
      <c r="GX117" s="57">
        <f>IF($B117=$B116,$GX116,0)+$GW117</f>
        <v/>
      </c>
      <c r="GY117" s="57">
        <f>$GY116+$GW117</f>
        <v/>
      </c>
      <c r="GZ117" s="62">
        <f>SUMIFS(tblSafety[Fatality],tblSafety[Date],$A117)</f>
        <v/>
      </c>
      <c r="HA117" s="62">
        <f>IF($B117=$B116,$HA116,0)+$GZ117</f>
        <v/>
      </c>
      <c r="HB117" s="62">
        <f>$HB116+$GZ117</f>
        <v/>
      </c>
      <c r="HC117" s="62">
        <f>SUMIFS(tblSafety[LTI],tblSafety[Date],$A117)</f>
        <v/>
      </c>
      <c r="HD117" s="62">
        <f>IF($B117=$B116,$HD116,0)+$HC117</f>
        <v/>
      </c>
      <c r="HE117" s="62">
        <f>$HE116+$HC117</f>
        <v/>
      </c>
      <c r="HF117" s="62">
        <f>SUMIFS(tblSafety[RWI],tblSafety[Date],$A117)</f>
        <v/>
      </c>
      <c r="HG117" s="62">
        <f>IF($B117=$B116,$HG116,0)+$HF117</f>
        <v/>
      </c>
      <c r="HH117" s="62">
        <f>$HH116+$HF117</f>
        <v/>
      </c>
      <c r="HI117" s="62">
        <f>SUMIFS(tblSafety[MTI],tblSafety[Date],$A117)</f>
        <v/>
      </c>
      <c r="HJ117" s="62">
        <f>IF($B117=$B116,$HJ116,0)+$HI117</f>
        <v/>
      </c>
      <c r="HK117" s="62">
        <f>$HK116+$HI117</f>
        <v/>
      </c>
      <c r="HL117" s="62">
        <f>SUMIFS(tblSafety[FAI],tblSafety[Date],$A117)</f>
        <v/>
      </c>
      <c r="HM117" s="62">
        <f>IF($B117=$B116,$HM116,0)+$HL117</f>
        <v/>
      </c>
      <c r="HN117" s="62">
        <f>$HN116+$HL117</f>
        <v/>
      </c>
      <c r="HO117" s="62">
        <f>SUMIFS(tblSafety[Recordables],tblSafety[Date],$A117)</f>
        <v/>
      </c>
      <c r="HP117" s="62">
        <f>IF($B117=$B116,$HP116,0)+$HO117</f>
        <v/>
      </c>
      <c r="HQ117" s="62">
        <f>$HQ116+$HO117</f>
        <v/>
      </c>
      <c r="HR117" s="62">
        <f>SUMIFS(tblSafety[Near_Miss],tblSafety[Date],$A117)</f>
        <v/>
      </c>
      <c r="HS117" s="62">
        <f>IF($B117=$B116,$HS116,0)+$HR117</f>
        <v/>
      </c>
      <c r="HT117" s="62">
        <f>$HT116+$HR117</f>
        <v/>
      </c>
      <c r="HU117" s="62">
        <f>SUMIFS(tblSafety[Hazard_Reports],tblSafety[Date],$A117)</f>
        <v/>
      </c>
      <c r="HV117" s="62">
        <f>IF($B117=$B116,$HV116,0)+$HU117</f>
        <v/>
      </c>
      <c r="HW117" s="62">
        <f>$HW116+$HU117</f>
        <v/>
      </c>
      <c r="HX117" s="62">
        <f>SUMIFS(tblSafety[HPI],tblSafety[Date],$A117)</f>
        <v/>
      </c>
      <c r="HY117" s="62">
        <f>IF($B117=$B116,$HY116,0)+$HX117</f>
        <v/>
      </c>
      <c r="HZ117" s="62">
        <f>$HZ116+$HX117</f>
        <v/>
      </c>
      <c r="IA117" s="62">
        <f>SUMIFS(tblSafety[Env_Incidents],tblSafety[Date],$A117)</f>
        <v/>
      </c>
      <c r="IB117" s="62">
        <f>IF($B117=$B116,$IB116,0)+$IA117</f>
        <v/>
      </c>
      <c r="IC117" s="62">
        <f>$IC116+$IA117</f>
        <v/>
      </c>
      <c r="ID117" s="62">
        <f>SUMIFS(tblSafety[Community_Incidents],tblSafety[Date],$A117)</f>
        <v/>
      </c>
      <c r="IE117" s="62">
        <f>IF($B117=$B116,$IE116,0)+$ID117</f>
        <v/>
      </c>
      <c r="IF117" s="62">
        <f>$IF116+$ID117</f>
        <v/>
      </c>
      <c r="IG117" s="62">
        <f>SUMIFS(tblSafety[Vehicle_Incidents],tblSafety[Date],$A117)</f>
        <v/>
      </c>
      <c r="IH117" s="62">
        <f>IF($B117=$B116,$IH116,0)+$IG117</f>
        <v/>
      </c>
      <c r="II117" s="62">
        <f>$II116+$IG117</f>
        <v/>
      </c>
      <c r="IJ117" s="62">
        <f>SUMIFS(tblSafety[Toolbox_Talks],tblSafety[Date],$A117)</f>
        <v/>
      </c>
      <c r="IK117" s="62">
        <f>IF($B117=$B116,$IK116,0)+$IJ117</f>
        <v/>
      </c>
      <c r="IL117" s="62">
        <f>$IL116+$IJ117</f>
        <v/>
      </c>
      <c r="IM117" s="62">
        <f>SUMIFS(tblSafety[Inspections],tblSafety[Date],$A117)</f>
        <v/>
      </c>
      <c r="IN117" s="62">
        <f>IF($B117=$B116,$IN116,0)+$IM117</f>
        <v/>
      </c>
      <c r="IO117" s="62">
        <f>$IO116+$IM117</f>
        <v/>
      </c>
      <c r="IP117" s="56">
        <f>IFERROR((SUMIFS(tblSafety[Recordables],tblSafety[Date],"&gt;="&amp;EDATE($E117,-12),tblSafety[Date],"&lt;="&amp;$A117)+SUMIFS(tblSafetyHistory[Recordables],tblSafetyHistory[Month],"&gt;="&amp;EDATE($E117,-12),tblSafetyHistory[Month],"&lt;"&amp;$E117,tblSafetyHistory[Use],1))/(SUMIFS(tblSafety[Hours_Total],tblSafety[Date],"&gt;="&amp;EDATE($E117,-12),tblSafety[Date],"&lt;="&amp;$A117)+SUMIFS(tblSafetyHistory[Hours_Total],tblSafetyHistory[Month],"&gt;="&amp;EDATE($E117,-12),tblSafetyHistory[Month],"&lt;"&amp;$E117,tblSafetyHistory[Use],1))*cfg_RateBasisHours,"")</f>
        <v/>
      </c>
      <c r="IQ117" s="56">
        <f>IFERROR((SUMIFS(tblSafety[LTI],tblSafety[Date],"&gt;="&amp;EDATE($E117,-12),tblSafety[Date],"&lt;="&amp;$A117)+SUMIFS(tblSafetyHistory[LTI],tblSafetyHistory[Month],"&gt;="&amp;EDATE($E117,-12),tblSafetyHistory[Month],"&lt;"&amp;$E117,tblSafetyHistory[Use],1))/(SUMIFS(tblSafety[Hours_Total],tblSafety[Date],"&gt;="&amp;EDATE($E117,-12),tblSafety[Date],"&lt;="&amp;$A117)+SUMIFS(tblSafetyHistory[Hours_Total],tblSafetyHistory[Month],"&gt;="&amp;EDATE($E117,-12),tblSafetyHistory[Month],"&lt;"&amp;$E117,tblSafetyHistory[Use],1))*cfg_RateBasisHours,"")</f>
        <v/>
      </c>
      <c r="IR117" s="62">
        <f>IF(MAX(N(cfg_PriorLTIDate),_xlfn.MAXIFS(tblSafety[Date],tblSafety[LTI],"&gt;0",tblSafety[Date],"&lt;="&amp;$A117))=0,"",$A117-MAX(N(cfg_PriorLTIDate),_xlfn.MAXIFS(tblSafety[Date],tblSafety[LTI],"&gt;0",tblSafety[Date],"&lt;="&amp;$A117)))</f>
        <v/>
      </c>
      <c r="IS117" s="55">
        <f>SUMIFS(tblBudget[Ore_Mined_t],tblBudget[Month],$E117)</f>
        <v/>
      </c>
      <c r="IT117" s="55">
        <f>$IS117*$C117/$D117</f>
        <v/>
      </c>
      <c r="IU117" s="55">
        <f>SUMIFS(tblBudget[Ore_Mined_t],tblBudget[Month],"&lt;"&amp;$E117)+$IT117</f>
        <v/>
      </c>
      <c r="IV117" s="55">
        <f>SUMIFS(tblBudget[Ore_oz],tblBudget[Month],$E117)</f>
        <v/>
      </c>
      <c r="IW117" s="55">
        <f>$IV117*$C117/$D117</f>
        <v/>
      </c>
      <c r="IX117" s="55">
        <f>SUMIFS(tblBudget[Ore_oz],tblBudget[Month],"&lt;"&amp;$E117)+$IW117</f>
        <v/>
      </c>
      <c r="IY117" s="55">
        <f>SUMIFS(tblBudget[Ore_Mined_t],tblBudget[Month],$E117)</f>
        <v/>
      </c>
      <c r="IZ117" s="55">
        <f>$IY117*$C117/$D117</f>
        <v/>
      </c>
      <c r="JA117" s="55">
        <f>SUMIFS(tblBudget[Ore_Mined_t],tblBudget[Month],"&lt;"&amp;$E117)+$IZ117</f>
        <v/>
      </c>
      <c r="JB117" s="56">
        <f>IFERROR(IF(($IY117)&gt;0,($IV117*cfg_TroyOz)/($IY117),""),"")</f>
        <v/>
      </c>
      <c r="JC117" s="56">
        <f>IFERROR(IF(($IZ117)&gt;0,($IW117*cfg_TroyOz)/($IZ117),""),"")</f>
        <v/>
      </c>
      <c r="JD117" s="56">
        <f>IFERROR(IF(($JA117)&gt;0,($IX117*cfg_TroyOz)/($JA117),""),"")</f>
        <v/>
      </c>
      <c r="JE117" s="55">
        <f>SUMIFS(tblBudget[Waste_t],tblBudget[Month],$E117)</f>
        <v/>
      </c>
      <c r="JF117" s="55">
        <f>$JE117*$C117/$D117</f>
        <v/>
      </c>
      <c r="JG117" s="55">
        <f>SUMIFS(tblBudget[Waste_t],tblBudget[Month],"&lt;"&amp;$E117)+$JF117</f>
        <v/>
      </c>
      <c r="JH117" s="55">
        <f>SUMIFS(tblBudget[TMM_t],tblBudget[Month],$E117)</f>
        <v/>
      </c>
      <c r="JI117" s="55">
        <f>$JH117*$C117/$D117</f>
        <v/>
      </c>
      <c r="JJ117" s="55">
        <f>SUMIFS(tblBudget[TMM_t],tblBudget[Month],"&lt;"&amp;$E117)+$JI117</f>
        <v/>
      </c>
      <c r="JK117" s="56">
        <f>IFERROR(IF(($IS117)&gt;0,($JE117)/($IS117),""),"")</f>
        <v/>
      </c>
      <c r="JL117" s="56">
        <f>IFERROR(IF(($IT117)&gt;0,($JF117)/($IT117),""),"")</f>
        <v/>
      </c>
      <c r="JM117" s="56">
        <f>IFERROR(IF(($IU117)&gt;0,($JG117)/($IU117),""),"")</f>
        <v/>
      </c>
      <c r="JN117" s="55">
        <f>SUMIFS(tblBudget[Drill_m],tblBudget[Month],$E117)</f>
        <v/>
      </c>
      <c r="JO117" s="55">
        <f>$JN117*$C117/$D117</f>
        <v/>
      </c>
      <c r="JP117" s="55">
        <f>SUMIFS(tblBudget[Drill_m],tblBudget[Month],"&lt;"&amp;$E117)+$JO117</f>
        <v/>
      </c>
      <c r="JQ117" s="55">
        <f>SUMIFS(tblBudget[Diesel_L],tblBudget[Month],$E117)</f>
        <v/>
      </c>
      <c r="JR117" s="55">
        <f>$JQ117*$C117/$D117</f>
        <v/>
      </c>
      <c r="JS117" s="55">
        <f>SUMIFS(tblBudget[Diesel_L],tblBudget[Month],"&lt;"&amp;$E117)+$JR117</f>
        <v/>
      </c>
      <c r="JT117" s="55">
        <f>SUMIFS(tblBudget[Milled_t],tblBudget[Month],$E117)</f>
        <v/>
      </c>
      <c r="JU117" s="55">
        <f>$JT117*$C117/$D117</f>
        <v/>
      </c>
      <c r="JV117" s="55">
        <f>SUMIFS(tblBudget[Milled_t],tblBudget[Month],"&lt;"&amp;$E117)+$JU117</f>
        <v/>
      </c>
      <c r="JW117" s="55">
        <f>SUMIFS(tblBudget[Feed_oz],tblBudget[Month],$E117)</f>
        <v/>
      </c>
      <c r="JX117" s="55">
        <f>$JW117*$C117/$D117</f>
        <v/>
      </c>
      <c r="JY117" s="55">
        <f>SUMIFS(tblBudget[Feed_oz],tblBudget[Month],"&lt;"&amp;$E117)+$JX117</f>
        <v/>
      </c>
      <c r="JZ117" s="55">
        <f>SUMIFS(tblBudget[Recovered_oz],tblBudget[Month],$E117)</f>
        <v/>
      </c>
      <c r="KA117" s="55">
        <f>$JZ117*$C117/$D117</f>
        <v/>
      </c>
      <c r="KB117" s="55">
        <f>SUMIFS(tblBudget[Recovered_oz],tblBudget[Month],"&lt;"&amp;$E117)+$KA117</f>
        <v/>
      </c>
      <c r="KC117" s="55">
        <f>SUMIFS(tblBudget[Milled_t],tblBudget[Month],$E117)</f>
        <v/>
      </c>
      <c r="KD117" s="55">
        <f>$KC117*$C117/$D117</f>
        <v/>
      </c>
      <c r="KE117" s="55">
        <f>SUMIFS(tblBudget[Milled_t],tblBudget[Month],"&lt;"&amp;$E117)+$KD117</f>
        <v/>
      </c>
      <c r="KF117" s="55">
        <f>SUMIFS(tblBudget[Feed_oz],tblBudget[Month],$E117)</f>
        <v/>
      </c>
      <c r="KG117" s="55">
        <f>$KF117*$C117/$D117</f>
        <v/>
      </c>
      <c r="KH117" s="55">
        <f>SUMIFS(tblBudget[Feed_oz],tblBudget[Month],"&lt;"&amp;$E117)+$KG117</f>
        <v/>
      </c>
      <c r="KI117" s="56">
        <f>IFERROR(IF(($KC117)&gt;0,($JW117*cfg_TroyOz)/($KC117),""),"")</f>
        <v/>
      </c>
      <c r="KJ117" s="56">
        <f>IFERROR(IF(($KD117)&gt;0,($JX117*cfg_TroyOz)/($KD117),""),"")</f>
        <v/>
      </c>
      <c r="KK117" s="56">
        <f>IFERROR(IF(($KE117)&gt;0,($JY117*cfg_TroyOz)/($KE117),""),"")</f>
        <v/>
      </c>
      <c r="KL117" s="67">
        <f>IFERROR(IF(($KF117)&gt;0,($JZ117)/($KF117),""),"")</f>
        <v/>
      </c>
      <c r="KM117" s="67">
        <f>IFERROR(IF(($KG117)&gt;0,($KA117)/($KG117),""),"")</f>
        <v/>
      </c>
      <c r="KN117" s="67">
        <f>IFERROR(IF(($KH117)&gt;0,($KB117)/($KH117),""),"")</f>
        <v/>
      </c>
      <c r="KO117" s="55">
        <f>SUMIFS(tblBudget[Gold_Poured_oz],tblBudget[Month],$E117)</f>
        <v/>
      </c>
      <c r="KP117" s="55">
        <f>$KO117*$C117/$D117</f>
        <v/>
      </c>
      <c r="KQ117" s="55">
        <f>SUMIFS(tblBudget[Gold_Poured_oz],tblBudget[Month],"&lt;"&amp;$E117)+$KP117</f>
        <v/>
      </c>
      <c r="KR117" s="57">
        <f>SUMIFS(tblBudget[Hours_Worked],tblBudget[Month],$E117)</f>
        <v/>
      </c>
      <c r="KS117" s="57">
        <f>$KR117*$C117/$D117</f>
        <v/>
      </c>
      <c r="KT117" s="57">
        <f>SUMIFS(tblBudget[Hours_Worked],tblBudget[Month],"&lt;"&amp;$E117)+$KS117</f>
        <v/>
      </c>
    </row>
    <row r="118">
      <c r="A118" s="54" t="n">
        <v>46139</v>
      </c>
      <c r="B118">
        <f>MONTH($A118)</f>
        <v/>
      </c>
      <c r="C118">
        <f>DAY($A118)</f>
        <v/>
      </c>
      <c r="D118">
        <f>DAY(EOMONTH($A118,0))</f>
        <v/>
      </c>
      <c r="E118" s="54">
        <f>DATE(YEAR($A118),MONTH($A118),1)</f>
        <v/>
      </c>
      <c r="F118" s="55">
        <f>SUMIFS(tblMovement[Tonnes_t],tblMovement[Date],$A118,tblMovement[Is_Ore],1,tblMovement[Source_Type],"Pit")</f>
        <v/>
      </c>
      <c r="G118" s="55">
        <f>IF($B118=$B117,$G117,0)+$F118</f>
        <v/>
      </c>
      <c r="H118" s="55">
        <f>$H117+$F118</f>
        <v/>
      </c>
      <c r="I118" s="55">
        <f>SUMIFS(tblMovement[Ore_oz],tblMovement[Date],$A118,tblMovement[Source_Type],"Pit")</f>
        <v/>
      </c>
      <c r="J118" s="55">
        <f>IF($B118=$B117,$J117,0)+$I118</f>
        <v/>
      </c>
      <c r="K118" s="55">
        <f>$K117+$I118</f>
        <v/>
      </c>
      <c r="L118" s="55">
        <f>SUMIFS(tblMovement[Tonnes_t],tblMovement[Date],$A118,tblMovement[Is_Ore],1,tblMovement[Source_Type],"Pit",tblMovement[Grade_gpt],"&lt;&gt;")</f>
        <v/>
      </c>
      <c r="M118" s="55">
        <f>IF($B118=$B117,$M117,0)+$L118</f>
        <v/>
      </c>
      <c r="N118" s="55">
        <f>$N117+$L118</f>
        <v/>
      </c>
      <c r="O118" s="56">
        <f>IFERROR(IF(($L118)&gt;0,($I118*cfg_TroyOz)/($L118),""),"")</f>
        <v/>
      </c>
      <c r="P118" s="56">
        <f>IFERROR(IF(($M118)&gt;0,($J118*cfg_TroyOz)/($M118),""),"")</f>
        <v/>
      </c>
      <c r="Q118" s="56">
        <f>IFERROR(IF(($N118)&gt;0,($K118*cfg_TroyOz)/($N118),""),"")</f>
        <v/>
      </c>
      <c r="R118" s="55">
        <f>$F118-$L118</f>
        <v/>
      </c>
      <c r="S118" s="55">
        <f>IF($B118=$B117,$S117,0)+$R118</f>
        <v/>
      </c>
      <c r="T118" s="55">
        <f>$T117+$R118</f>
        <v/>
      </c>
      <c r="U118" s="55">
        <f>SUMIFS(tblMovement[Tonnes_t],tblMovement[Date],$A118,tblMovement[Is_Ore],0,tblMovement[Source_Type],"Pit")</f>
        <v/>
      </c>
      <c r="V118" s="55">
        <f>IF($B118=$B117,$V117,0)+$U118</f>
        <v/>
      </c>
      <c r="W118" s="55">
        <f>$W117+$U118</f>
        <v/>
      </c>
      <c r="X118" s="55">
        <f>$F118+$U118</f>
        <v/>
      </c>
      <c r="Y118" s="55">
        <f>IF($B118=$B117,$Y117,0)+$X118</f>
        <v/>
      </c>
      <c r="Z118" s="55">
        <f>$Z117+$X118</f>
        <v/>
      </c>
      <c r="AA118" s="56">
        <f>IFERROR(IF(($F118)&gt;0,($U118)/($F118),""),"")</f>
        <v/>
      </c>
      <c r="AB118" s="56">
        <f>IFERROR(IF(($G118)&gt;0,($V118)/($G118),""),"")</f>
        <v/>
      </c>
      <c r="AC118" s="56">
        <f>IFERROR(IF(($H118)&gt;0,($W118)/($H118),""),"")</f>
        <v/>
      </c>
      <c r="AD118" s="55">
        <f>SUMIFS(tblMovement[Tonnes_t],tblMovement[Date],$A118,tblMovement[Source_Type],"Stockpile")</f>
        <v/>
      </c>
      <c r="AE118" s="55">
        <f>IF($B118=$B117,$AE117,0)+$AD118</f>
        <v/>
      </c>
      <c r="AF118" s="55">
        <f>$AF117+$AD118</f>
        <v/>
      </c>
      <c r="AG118" s="55">
        <f>SUMIFS(tblMovement[Tonnes_t],tblMovement[Date],$A118)</f>
        <v/>
      </c>
      <c r="AH118" s="55">
        <f>IF($B118=$B117,$AH117,0)+$AG118</f>
        <v/>
      </c>
      <c r="AI118" s="55">
        <f>$AI117+$AG118</f>
        <v/>
      </c>
      <c r="AJ118" s="55">
        <f>$AG118-$X118-$AD118</f>
        <v/>
      </c>
      <c r="AK118" s="55">
        <f>IF($B118=$B117,$AK117,0)+$AJ118</f>
        <v/>
      </c>
      <c r="AL118" s="55">
        <f>$AL117+$AJ118</f>
        <v/>
      </c>
      <c r="AM118" s="55">
        <f>SUMIFS(tblMiningDaily[Drill_m],tblMiningDaily[Date],$A118)</f>
        <v/>
      </c>
      <c r="AN118" s="55">
        <f>IF($B118=$B117,$AN117,0)+$AM118</f>
        <v/>
      </c>
      <c r="AO118" s="55">
        <f>$AO117+$AM118</f>
        <v/>
      </c>
      <c r="AP118" s="55">
        <f>SUMIFS(tblMiningDaily[GC_Drill_m],tblMiningDaily[Date],$A118)</f>
        <v/>
      </c>
      <c r="AQ118" s="55">
        <f>IF($B118=$B117,$AQ117,0)+$AP118</f>
        <v/>
      </c>
      <c r="AR118" s="55">
        <f>$AR117+$AP118</f>
        <v/>
      </c>
      <c r="AS118" s="55">
        <f>SUMIFS(tblMiningDaily[Blast_t],tblMiningDaily[Date],$A118)</f>
        <v/>
      </c>
      <c r="AT118" s="55">
        <f>IF($B118=$B117,$AT117,0)+$AS118</f>
        <v/>
      </c>
      <c r="AU118" s="55">
        <f>$AU117+$AS118</f>
        <v/>
      </c>
      <c r="AV118" s="55">
        <f>SUMIFS(tblMiningDaily[Explosives_kg],tblMiningDaily[Date],$A118)</f>
        <v/>
      </c>
      <c r="AW118" s="55">
        <f>IF($B118=$B117,$AW117,0)+$AV118</f>
        <v/>
      </c>
      <c r="AX118" s="55">
        <f>$AX117+$AV118</f>
        <v/>
      </c>
      <c r="AY118" s="56">
        <f>IFERROR(IF(($AS118)&gt;0,($AV118)/($AS118),""),"")</f>
        <v/>
      </c>
      <c r="AZ118" s="56">
        <f>IFERROR(IF(($AT118)&gt;0,($AW118)/($AT118),""),"")</f>
        <v/>
      </c>
      <c r="BA118" s="56">
        <f>IFERROR(IF(($AU118)&gt;0,($AX118)/($AU118),""),"")</f>
        <v/>
      </c>
      <c r="BB118" s="55">
        <f>SUMIFS(tblMiningDaily[Diesel_L],tblMiningDaily[Date],$A118)</f>
        <v/>
      </c>
      <c r="BC118" s="55">
        <f>IF($B118=$B117,$BC117,0)+$BB118</f>
        <v/>
      </c>
      <c r="BD118" s="55">
        <f>$BD117+$BB118</f>
        <v/>
      </c>
      <c r="BE118" s="55">
        <f>SUMIFS(tblMiningDaily[Dewatering_m3],tblMiningDaily[Date],$A118)</f>
        <v/>
      </c>
      <c r="BF118" s="55">
        <f>IF($B118=$B117,$BF117,0)+$BE118</f>
        <v/>
      </c>
      <c r="BG118" s="55">
        <f>$BG117+$BE118</f>
        <v/>
      </c>
      <c r="BH118" s="57">
        <f>SUMIFS(tblFleet[Calendar_h],tblFleet[Date],$A118,tblFleet[Equipment_Class],"Excavator")</f>
        <v/>
      </c>
      <c r="BI118" s="57">
        <f>IF($B118=$B117,$BI117,0)+$BH118</f>
        <v/>
      </c>
      <c r="BJ118" s="57">
        <f>$BJ117+$BH118</f>
        <v/>
      </c>
      <c r="BK118" s="57">
        <f>SUMIFS(tblFleet[Available_h],tblFleet[Date],$A118,tblFleet[Equipment_Class],"Excavator")</f>
        <v/>
      </c>
      <c r="BL118" s="57">
        <f>IF($B118=$B117,$BL117,0)+$BK118</f>
        <v/>
      </c>
      <c r="BM118" s="57">
        <f>$BM117+$BK118</f>
        <v/>
      </c>
      <c r="BN118" s="57">
        <f>SUMIFS(tblFleet[Operating_h],tblFleet[Date],$A118,tblFleet[Equipment_Class],"Excavator")</f>
        <v/>
      </c>
      <c r="BO118" s="57">
        <f>IF($B118=$B117,$BO117,0)+$BN118</f>
        <v/>
      </c>
      <c r="BP118" s="57">
        <f>$BP117+$BN118</f>
        <v/>
      </c>
      <c r="BQ118" s="67">
        <f>IFERROR(IF(($BH118)&gt;0,($BK118)/($BH118),""),"")</f>
        <v/>
      </c>
      <c r="BR118" s="67">
        <f>IFERROR(IF(($BI118)&gt;0,($BL118)/($BI118),""),"")</f>
        <v/>
      </c>
      <c r="BS118" s="67">
        <f>IFERROR(IF(($BJ118)&gt;0,($BM118)/($BJ118),""),"")</f>
        <v/>
      </c>
      <c r="BT118" s="67">
        <f>IFERROR(IF(($BK118)&gt;0,($BN118)/($BK118),""),"")</f>
        <v/>
      </c>
      <c r="BU118" s="67">
        <f>IFERROR(IF(($BL118)&gt;0,($BO118)/($BL118),""),"")</f>
        <v/>
      </c>
      <c r="BV118" s="67">
        <f>IFERROR(IF(($BM118)&gt;0,($BP118)/($BM118),""),"")</f>
        <v/>
      </c>
      <c r="BW118" s="57">
        <f>SUMIFS(tblFleet[Calendar_h],tblFleet[Date],$A118,tblFleet[Equipment_Class],"Haul Truck")</f>
        <v/>
      </c>
      <c r="BX118" s="57">
        <f>IF($B118=$B117,$BX117,0)+$BW118</f>
        <v/>
      </c>
      <c r="BY118" s="57">
        <f>$BY117+$BW118</f>
        <v/>
      </c>
      <c r="BZ118" s="57">
        <f>SUMIFS(tblFleet[Available_h],tblFleet[Date],$A118,tblFleet[Equipment_Class],"Haul Truck")</f>
        <v/>
      </c>
      <c r="CA118" s="57">
        <f>IF($B118=$B117,$CA117,0)+$BZ118</f>
        <v/>
      </c>
      <c r="CB118" s="57">
        <f>$CB117+$BZ118</f>
        <v/>
      </c>
      <c r="CC118" s="57">
        <f>SUMIFS(tblFleet[Operating_h],tblFleet[Date],$A118,tblFleet[Equipment_Class],"Haul Truck")</f>
        <v/>
      </c>
      <c r="CD118" s="57">
        <f>IF($B118=$B117,$CD117,0)+$CC118</f>
        <v/>
      </c>
      <c r="CE118" s="57">
        <f>$CE117+$CC118</f>
        <v/>
      </c>
      <c r="CF118" s="67">
        <f>IFERROR(IF(($BW118)&gt;0,($BZ118)/($BW118),""),"")</f>
        <v/>
      </c>
      <c r="CG118" s="67">
        <f>IFERROR(IF(($BX118)&gt;0,($CA118)/($BX118),""),"")</f>
        <v/>
      </c>
      <c r="CH118" s="67">
        <f>IFERROR(IF(($BY118)&gt;0,($CB118)/($BY118),""),"")</f>
        <v/>
      </c>
      <c r="CI118" s="67">
        <f>IFERROR(IF(($BZ118)&gt;0,($CC118)/($BZ118),""),"")</f>
        <v/>
      </c>
      <c r="CJ118" s="67">
        <f>IFERROR(IF(($CA118)&gt;0,($CD118)/($CA118),""),"")</f>
        <v/>
      </c>
      <c r="CK118" s="67">
        <f>IFERROR(IF(($CB118)&gt;0,($CE118)/($CB118),""),"")</f>
        <v/>
      </c>
      <c r="CL118" s="55">
        <f>IFERROR(IF(($BN118)&gt;0,($X118+$AD118)/($BN118),""),"")</f>
        <v/>
      </c>
      <c r="CM118" s="55">
        <f>IFERROR(IF(($BO118)&gt;0,($Y118+$AE118)/($BO118),""),"")</f>
        <v/>
      </c>
      <c r="CN118" s="55">
        <f>IFERROR(IF(($BP118)&gt;0,($Z118+$AF118)/($BP118),""),"")</f>
        <v/>
      </c>
      <c r="CO118" s="55">
        <f>IFERROR(IF(($CC118)&gt;0,($X118+$AD118)/($CC118),""),"")</f>
        <v/>
      </c>
      <c r="CP118" s="55">
        <f>IFERROR(IF(($CD118)&gt;0,($Y118+$AE118)/($CD118),""),"")</f>
        <v/>
      </c>
      <c r="CQ118" s="55">
        <f>IFERROR(IF(($CE118)&gt;0,($Z118+$AF118)/($CE118),""),"")</f>
        <v/>
      </c>
      <c r="CR118" s="55">
        <f>SUMIFS(tblPlant[Crushed_t],tblPlant[Date],$A118)</f>
        <v/>
      </c>
      <c r="CS118" s="55">
        <f>IF($B118=$B117,$CS117,0)+$CR118</f>
        <v/>
      </c>
      <c r="CT118" s="55">
        <f>$CT117+$CR118</f>
        <v/>
      </c>
      <c r="CU118" s="55">
        <f>SUMIFS(tblPlant[Milled_t],tblPlant[Date],$A118)</f>
        <v/>
      </c>
      <c r="CV118" s="55">
        <f>IF($B118=$B117,$CV117,0)+$CU118</f>
        <v/>
      </c>
      <c r="CW118" s="55">
        <f>$CW117+$CU118</f>
        <v/>
      </c>
      <c r="CX118" s="55">
        <f>SUMIFS(tblPlant[Feed_oz],tblPlant[Date],$A118)</f>
        <v/>
      </c>
      <c r="CY118" s="55">
        <f>IF($B118=$B117,$CY117,0)+$CX118</f>
        <v/>
      </c>
      <c r="CZ118" s="55">
        <f>$CZ117+$CX118</f>
        <v/>
      </c>
      <c r="DA118" s="55">
        <f>SUMIFS(tblPlant[Tails_oz],tblPlant[Date],$A118)</f>
        <v/>
      </c>
      <c r="DB118" s="55">
        <f>IF($B118=$B117,$DB117,0)+$DA118</f>
        <v/>
      </c>
      <c r="DC118" s="55">
        <f>$DC117+$DA118</f>
        <v/>
      </c>
      <c r="DD118" s="55">
        <f>SUMIFS(tblPlant[Recovered_oz],tblPlant[Date],$A118)</f>
        <v/>
      </c>
      <c r="DE118" s="55">
        <f>IF($B118=$B117,$DE117,0)+$DD118</f>
        <v/>
      </c>
      <c r="DF118" s="55">
        <f>$DF117+$DD118</f>
        <v/>
      </c>
      <c r="DG118" s="55">
        <f>SUMIFS(tblPlant[Milled_t],tblPlant[Date],$A118,tblPlant[Head_Grade_gpt],"&lt;&gt;")</f>
        <v/>
      </c>
      <c r="DH118" s="55">
        <f>IF($B118=$B117,$DH117,0)+$DG118</f>
        <v/>
      </c>
      <c r="DI118" s="55">
        <f>$DI117+$DG118</f>
        <v/>
      </c>
      <c r="DJ118" s="55">
        <f>SUMIFS(tblPlant[Milled_t],tblPlant[Date],$A118,tblPlant[Tails_Grade_gpt],"&lt;&gt;")</f>
        <v/>
      </c>
      <c r="DK118" s="55">
        <f>IF($B118=$B117,$DK117,0)+$DJ118</f>
        <v/>
      </c>
      <c r="DL118" s="55">
        <f>$DL117+$DJ118</f>
        <v/>
      </c>
      <c r="DM118" s="55">
        <f>SUMIFS(tblPlant[Feed_oz],tblPlant[Date],$A118,tblPlant[Tails_Grade_gpt],"&lt;&gt;")</f>
        <v/>
      </c>
      <c r="DN118" s="55">
        <f>IF($B118=$B117,$DN117,0)+$DM118</f>
        <v/>
      </c>
      <c r="DO118" s="55">
        <f>$DO117+$DM118</f>
        <v/>
      </c>
      <c r="DP118" s="55">
        <f>SUMIFS(tblPlant[Milled_t],tblPlant[Date],$A118,tblPlant[Mill_Run_h],"&lt;&gt;")</f>
        <v/>
      </c>
      <c r="DQ118" s="55">
        <f>IF($B118=$B117,$DQ117,0)+$DP118</f>
        <v/>
      </c>
      <c r="DR118" s="55">
        <f>$DR117+$DP118</f>
        <v/>
      </c>
      <c r="DS118" s="56">
        <f>IFERROR(IF(($DG118)&gt;0,($CX118*cfg_TroyOz)/($DG118),""),"")</f>
        <v/>
      </c>
      <c r="DT118" s="56">
        <f>IFERROR(IF(($DH118)&gt;0,($CY118*cfg_TroyOz)/($DH118),""),"")</f>
        <v/>
      </c>
      <c r="DU118" s="56">
        <f>IFERROR(IF(($DI118)&gt;0,($CZ118*cfg_TroyOz)/($DI118),""),"")</f>
        <v/>
      </c>
      <c r="DV118" s="56">
        <f>IFERROR(IF(($DJ118)&gt;0,($DA118*cfg_TroyOz)/($DJ118),""),"")</f>
        <v/>
      </c>
      <c r="DW118" s="56">
        <f>IFERROR(IF(($DK118)&gt;0,($DB118*cfg_TroyOz)/($DK118),""),"")</f>
        <v/>
      </c>
      <c r="DX118" s="56">
        <f>IFERROR(IF(($DL118)&gt;0,($DC118*cfg_TroyOz)/($DL118),""),"")</f>
        <v/>
      </c>
      <c r="DY118" s="67">
        <f>IFERROR(IF(($DM118)&gt;0,($DD118)/($DM118),""),"")</f>
        <v/>
      </c>
      <c r="DZ118" s="67">
        <f>IFERROR(IF(($DN118)&gt;0,($DE118)/($DN118),""),"")</f>
        <v/>
      </c>
      <c r="EA118" s="67">
        <f>IFERROR(IF(($DO118)&gt;0,($DF118)/($DO118),""),"")</f>
        <v/>
      </c>
      <c r="EB118" s="55">
        <f>SUMIFS(tblPlant[Gravity_Gold_oz],tblPlant[Date],$A118)</f>
        <v/>
      </c>
      <c r="EC118" s="55">
        <f>IF($B118=$B117,$EC117,0)+$EB118</f>
        <v/>
      </c>
      <c r="ED118" s="55">
        <f>$ED117+$EB118</f>
        <v/>
      </c>
      <c r="EE118" s="67">
        <f>IFERROR(IF(($DD118)&gt;0,($EB118)/($DD118),""),"")</f>
        <v/>
      </c>
      <c r="EF118" s="67">
        <f>IFERROR(IF(($DE118)&gt;0,($EC118)/($DE118),""),"")</f>
        <v/>
      </c>
      <c r="EG118" s="67">
        <f>IFERROR(IF(($DF118)&gt;0,($ED118)/($DF118),""),"")</f>
        <v/>
      </c>
      <c r="EH118" s="55">
        <f>SUMIFS(tblPlant[Gold_Poured_oz],tblPlant[Date],$A118)</f>
        <v/>
      </c>
      <c r="EI118" s="55">
        <f>IF($B118=$B117,$EI117,0)+$EH118</f>
        <v/>
      </c>
      <c r="EJ118" s="55">
        <f>$EJ117+$EH118</f>
        <v/>
      </c>
      <c r="EK118" s="57">
        <f>SUMIFS(tblPlant[Mill_Run_h],tblPlant[Date],$A118)</f>
        <v/>
      </c>
      <c r="EL118" s="57">
        <f>IF($B118=$B117,$EL117,0)+$EK118</f>
        <v/>
      </c>
      <c r="EM118" s="57">
        <f>$EM117+$EK118</f>
        <v/>
      </c>
      <c r="EN118" s="57">
        <f>SUMIFS(tblPlant[Mill_Planned_Maint_h],tblPlant[Date],$A118)</f>
        <v/>
      </c>
      <c r="EO118" s="57">
        <f>IF($B118=$B117,$EO117,0)+$EN118</f>
        <v/>
      </c>
      <c r="EP118" s="57">
        <f>$EP117+$EN118</f>
        <v/>
      </c>
      <c r="EQ118" s="57">
        <f>SUMIFS(tblPlant[Mill_Unplanned_Down_h],tblPlant[Date],$A118)</f>
        <v/>
      </c>
      <c r="ER118" s="57">
        <f>IF($B118=$B117,$ER117,0)+$EQ118</f>
        <v/>
      </c>
      <c r="ES118" s="57">
        <f>$ES117+$EQ118</f>
        <v/>
      </c>
      <c r="ET118" s="57">
        <f>IF(COUNTIFS(tblPlant[Date],$A118,tblPlant[Mill_Run_h],"&lt;&gt;")+COUNTIFS(tblPlant[Date],$A118,tblPlant[Mill_Planned_Maint_h],"&lt;&gt;")+COUNTIFS(tblPlant[Date],$A118,tblPlant[Mill_Unplanned_Down_h],"&lt;&gt;")&gt;0,cfg_HoursPerDay,0)</f>
        <v/>
      </c>
      <c r="EU118" s="57">
        <f>IF($B118=$B117,$EU117,0)+$ET118</f>
        <v/>
      </c>
      <c r="EV118" s="57">
        <f>$EV117+$ET118</f>
        <v/>
      </c>
      <c r="EW118" s="57">
        <f>SUMIFS(tblPlant[Crusher_Run_h],tblPlant[Date],$A118)</f>
        <v/>
      </c>
      <c r="EX118" s="57">
        <f>IF($B118=$B117,$EX117,0)+$EW118</f>
        <v/>
      </c>
      <c r="EY118" s="57">
        <f>$EY117+$EW118</f>
        <v/>
      </c>
      <c r="EZ118" s="55">
        <f>IFERROR(IF(($EK118)&gt;0,($DP118)/($EK118),""),"")</f>
        <v/>
      </c>
      <c r="FA118" s="55">
        <f>IFERROR(IF(($EL118)&gt;0,($DQ118)/($EL118),""),"")</f>
        <v/>
      </c>
      <c r="FB118" s="55">
        <f>IFERROR(IF(($EM118)&gt;0,($DR118)/($EM118),""),"")</f>
        <v/>
      </c>
      <c r="FC118" s="67">
        <f>IFERROR(IF(($ET118)&gt;0,($ET118-$EN118-$EQ118)/($ET118),""),"")</f>
        <v/>
      </c>
      <c r="FD118" s="67">
        <f>IFERROR(IF(($EU118)&gt;0,($EU118-$EO118-$ER118)/($EU118),""),"")</f>
        <v/>
      </c>
      <c r="FE118" s="67">
        <f>IFERROR(IF(($EV118)&gt;0,($EV118-$EP118-$ES118)/($EV118),""),"")</f>
        <v/>
      </c>
      <c r="FF118" s="67">
        <f>IFERROR(IF(($ET118-$EN118-$EQ118)&gt;0,($EK118)/($ET118-$EN118-$EQ118),""),"")</f>
        <v/>
      </c>
      <c r="FG118" s="67">
        <f>IFERROR(IF(($EU118-$EO118-$ER118)&gt;0,($EL118)/($EU118-$EO118-$ER118),""),"")</f>
        <v/>
      </c>
      <c r="FH118" s="67">
        <f>IFERROR(IF(($EV118-$EP118-$ES118)&gt;0,($EM118)/($EV118-$EP118-$ES118),""),"")</f>
        <v/>
      </c>
      <c r="FI118" s="55">
        <f>SUMIFS(tblPlant[Cyanide_kg],tblPlant[Date],$A118)</f>
        <v/>
      </c>
      <c r="FJ118" s="55">
        <f>IF($B118=$B117,$FJ117,0)+$FI118</f>
        <v/>
      </c>
      <c r="FK118" s="55">
        <f>$FK117+$FI118</f>
        <v/>
      </c>
      <c r="FL118" s="55">
        <f>SUMIFS(tblPlant[Lime_kg],tblPlant[Date],$A118)</f>
        <v/>
      </c>
      <c r="FM118" s="55">
        <f>IF($B118=$B117,$FM117,0)+$FL118</f>
        <v/>
      </c>
      <c r="FN118" s="55">
        <f>$FN117+$FL118</f>
        <v/>
      </c>
      <c r="FO118" s="55">
        <f>SUMIFS(tblPlant[Grinding_Media_kg],tblPlant[Date],$A118)</f>
        <v/>
      </c>
      <c r="FP118" s="55">
        <f>IF($B118=$B117,$FP117,0)+$FO118</f>
        <v/>
      </c>
      <c r="FQ118" s="55">
        <f>$FQ117+$FO118</f>
        <v/>
      </c>
      <c r="FR118" s="55">
        <f>SUMIFS(tblPlant[Power_kWh],tblPlant[Date],$A118)</f>
        <v/>
      </c>
      <c r="FS118" s="55">
        <f>IF($B118=$B117,$FS117,0)+$FR118</f>
        <v/>
      </c>
      <c r="FT118" s="55">
        <f>$FT117+$FR118</f>
        <v/>
      </c>
      <c r="FU118" s="55">
        <f>SUMIFS(tblPlant[Raw_Water_m3],tblPlant[Date],$A118)</f>
        <v/>
      </c>
      <c r="FV118" s="55">
        <f>IF($B118=$B117,$FV117,0)+$FU118</f>
        <v/>
      </c>
      <c r="FW118" s="55">
        <f>$FW117+$FU118</f>
        <v/>
      </c>
      <c r="FX118" s="56">
        <f>IFERROR(IF(($CU118)&gt;0,($FI118)/($CU118),""),"")</f>
        <v/>
      </c>
      <c r="FY118" s="56">
        <f>IFERROR(IF(($CV118)&gt;0,($FJ118)/($CV118),""),"")</f>
        <v/>
      </c>
      <c r="FZ118" s="56">
        <f>IFERROR(IF(($CW118)&gt;0,($FK118)/($CW118),""),"")</f>
        <v/>
      </c>
      <c r="GA118" s="56">
        <f>IFERROR(IF(($CU118)&gt;0,($FL118)/($CU118),""),"")</f>
        <v/>
      </c>
      <c r="GB118" s="56">
        <f>IFERROR(IF(($CV118)&gt;0,($FM118)/($CV118),""),"")</f>
        <v/>
      </c>
      <c r="GC118" s="56">
        <f>IFERROR(IF(($CW118)&gt;0,($FN118)/($CW118),""),"")</f>
        <v/>
      </c>
      <c r="GD118" s="56">
        <f>IFERROR(IF(($CU118)&gt;0,($FO118)/($CU118),""),"")</f>
        <v/>
      </c>
      <c r="GE118" s="56">
        <f>IFERROR(IF(($CV118)&gt;0,($FP118)/($CV118),""),"")</f>
        <v/>
      </c>
      <c r="GF118" s="56">
        <f>IFERROR(IF(($CW118)&gt;0,($FQ118)/($CW118),""),"")</f>
        <v/>
      </c>
      <c r="GG118" s="79">
        <f>IFERROR(IF(($CU118)&gt;0,($FR118)/($CU118),""),"")</f>
        <v/>
      </c>
      <c r="GH118" s="79">
        <f>IFERROR(IF(($CV118)&gt;0,($FS118)/($CV118),""),"")</f>
        <v/>
      </c>
      <c r="GI118" s="79">
        <f>IFERROR(IF(($CW118)&gt;0,($FT118)/($CW118),""),"")</f>
        <v/>
      </c>
      <c r="GJ118" s="56">
        <f>IFERROR(IF(($CU118)&gt;0,($FU118)/($CU118),""),"")</f>
        <v/>
      </c>
      <c r="GK118" s="56">
        <f>IFERROR(IF(($CV118)&gt;0,($FV118)/($CV118),""),"")</f>
        <v/>
      </c>
      <c r="GL118" s="56">
        <f>IFERROR(IF(($CW118)&gt;0,($FW118)/($CW118),""),"")</f>
        <v/>
      </c>
      <c r="GM118" s="55">
        <f>IF(SUMIFS(tblPlant[GIC_oz],tblPlant[Date],$A118)&gt;0,SUMIFS(tblPlant[GIC_oz],tblPlant[Date],$A118),"")</f>
        <v/>
      </c>
      <c r="GN118" s="55">
        <f>SUMIFS(tblGold[Gold_oz],tblGold[Date],$A118,tblGold[Type],"Shipment")</f>
        <v/>
      </c>
      <c r="GO118" s="55">
        <f>IF($B118=$B117,$GO117,0)+$GN118</f>
        <v/>
      </c>
      <c r="GP118" s="55">
        <f>$GP117+$GN118</f>
        <v/>
      </c>
      <c r="GQ118" s="55">
        <f>SUMIFS(tblGold[Gold_oz],tblGold[Date],$A118,tblGold[Type],"Sale")</f>
        <v/>
      </c>
      <c r="GR118" s="55">
        <f>IF($B118=$B117,$GR117,0)+$GQ118</f>
        <v/>
      </c>
      <c r="GS118" s="55">
        <f>$GS117+$GQ118</f>
        <v/>
      </c>
      <c r="GT118" s="55">
        <f>SUMIFS(tblGold[Dore_kg],tblGold[Date],$A118,tblGold[Type],"Shipment")</f>
        <v/>
      </c>
      <c r="GU118" s="55">
        <f>IF($B118=$B117,$GU117,0)+$GT118</f>
        <v/>
      </c>
      <c r="GV118" s="55">
        <f>$GV117+$GT118</f>
        <v/>
      </c>
      <c r="GW118" s="57">
        <f>SUMIFS(tblSafety[Hours_Total],tblSafety[Date],$A118)</f>
        <v/>
      </c>
      <c r="GX118" s="57">
        <f>IF($B118=$B117,$GX117,0)+$GW118</f>
        <v/>
      </c>
      <c r="GY118" s="57">
        <f>$GY117+$GW118</f>
        <v/>
      </c>
      <c r="GZ118" s="62">
        <f>SUMIFS(tblSafety[Fatality],tblSafety[Date],$A118)</f>
        <v/>
      </c>
      <c r="HA118" s="62">
        <f>IF($B118=$B117,$HA117,0)+$GZ118</f>
        <v/>
      </c>
      <c r="HB118" s="62">
        <f>$HB117+$GZ118</f>
        <v/>
      </c>
      <c r="HC118" s="62">
        <f>SUMIFS(tblSafety[LTI],tblSafety[Date],$A118)</f>
        <v/>
      </c>
      <c r="HD118" s="62">
        <f>IF($B118=$B117,$HD117,0)+$HC118</f>
        <v/>
      </c>
      <c r="HE118" s="62">
        <f>$HE117+$HC118</f>
        <v/>
      </c>
      <c r="HF118" s="62">
        <f>SUMIFS(tblSafety[RWI],tblSafety[Date],$A118)</f>
        <v/>
      </c>
      <c r="HG118" s="62">
        <f>IF($B118=$B117,$HG117,0)+$HF118</f>
        <v/>
      </c>
      <c r="HH118" s="62">
        <f>$HH117+$HF118</f>
        <v/>
      </c>
      <c r="HI118" s="62">
        <f>SUMIFS(tblSafety[MTI],tblSafety[Date],$A118)</f>
        <v/>
      </c>
      <c r="HJ118" s="62">
        <f>IF($B118=$B117,$HJ117,0)+$HI118</f>
        <v/>
      </c>
      <c r="HK118" s="62">
        <f>$HK117+$HI118</f>
        <v/>
      </c>
      <c r="HL118" s="62">
        <f>SUMIFS(tblSafety[FAI],tblSafety[Date],$A118)</f>
        <v/>
      </c>
      <c r="HM118" s="62">
        <f>IF($B118=$B117,$HM117,0)+$HL118</f>
        <v/>
      </c>
      <c r="HN118" s="62">
        <f>$HN117+$HL118</f>
        <v/>
      </c>
      <c r="HO118" s="62">
        <f>SUMIFS(tblSafety[Recordables],tblSafety[Date],$A118)</f>
        <v/>
      </c>
      <c r="HP118" s="62">
        <f>IF($B118=$B117,$HP117,0)+$HO118</f>
        <v/>
      </c>
      <c r="HQ118" s="62">
        <f>$HQ117+$HO118</f>
        <v/>
      </c>
      <c r="HR118" s="62">
        <f>SUMIFS(tblSafety[Near_Miss],tblSafety[Date],$A118)</f>
        <v/>
      </c>
      <c r="HS118" s="62">
        <f>IF($B118=$B117,$HS117,0)+$HR118</f>
        <v/>
      </c>
      <c r="HT118" s="62">
        <f>$HT117+$HR118</f>
        <v/>
      </c>
      <c r="HU118" s="62">
        <f>SUMIFS(tblSafety[Hazard_Reports],tblSafety[Date],$A118)</f>
        <v/>
      </c>
      <c r="HV118" s="62">
        <f>IF($B118=$B117,$HV117,0)+$HU118</f>
        <v/>
      </c>
      <c r="HW118" s="62">
        <f>$HW117+$HU118</f>
        <v/>
      </c>
      <c r="HX118" s="62">
        <f>SUMIFS(tblSafety[HPI],tblSafety[Date],$A118)</f>
        <v/>
      </c>
      <c r="HY118" s="62">
        <f>IF($B118=$B117,$HY117,0)+$HX118</f>
        <v/>
      </c>
      <c r="HZ118" s="62">
        <f>$HZ117+$HX118</f>
        <v/>
      </c>
      <c r="IA118" s="62">
        <f>SUMIFS(tblSafety[Env_Incidents],tblSafety[Date],$A118)</f>
        <v/>
      </c>
      <c r="IB118" s="62">
        <f>IF($B118=$B117,$IB117,0)+$IA118</f>
        <v/>
      </c>
      <c r="IC118" s="62">
        <f>$IC117+$IA118</f>
        <v/>
      </c>
      <c r="ID118" s="62">
        <f>SUMIFS(tblSafety[Community_Incidents],tblSafety[Date],$A118)</f>
        <v/>
      </c>
      <c r="IE118" s="62">
        <f>IF($B118=$B117,$IE117,0)+$ID118</f>
        <v/>
      </c>
      <c r="IF118" s="62">
        <f>$IF117+$ID118</f>
        <v/>
      </c>
      <c r="IG118" s="62">
        <f>SUMIFS(tblSafety[Vehicle_Incidents],tblSafety[Date],$A118)</f>
        <v/>
      </c>
      <c r="IH118" s="62">
        <f>IF($B118=$B117,$IH117,0)+$IG118</f>
        <v/>
      </c>
      <c r="II118" s="62">
        <f>$II117+$IG118</f>
        <v/>
      </c>
      <c r="IJ118" s="62">
        <f>SUMIFS(tblSafety[Toolbox_Talks],tblSafety[Date],$A118)</f>
        <v/>
      </c>
      <c r="IK118" s="62">
        <f>IF($B118=$B117,$IK117,0)+$IJ118</f>
        <v/>
      </c>
      <c r="IL118" s="62">
        <f>$IL117+$IJ118</f>
        <v/>
      </c>
      <c r="IM118" s="62">
        <f>SUMIFS(tblSafety[Inspections],tblSafety[Date],$A118)</f>
        <v/>
      </c>
      <c r="IN118" s="62">
        <f>IF($B118=$B117,$IN117,0)+$IM118</f>
        <v/>
      </c>
      <c r="IO118" s="62">
        <f>$IO117+$IM118</f>
        <v/>
      </c>
      <c r="IP118" s="56">
        <f>IFERROR((SUMIFS(tblSafety[Recordables],tblSafety[Date],"&gt;="&amp;EDATE($E118,-12),tblSafety[Date],"&lt;="&amp;$A118)+SUMIFS(tblSafetyHistory[Recordables],tblSafetyHistory[Month],"&gt;="&amp;EDATE($E118,-12),tblSafetyHistory[Month],"&lt;"&amp;$E118,tblSafetyHistory[Use],1))/(SUMIFS(tblSafety[Hours_Total],tblSafety[Date],"&gt;="&amp;EDATE($E118,-12),tblSafety[Date],"&lt;="&amp;$A118)+SUMIFS(tblSafetyHistory[Hours_Total],tblSafetyHistory[Month],"&gt;="&amp;EDATE($E118,-12),tblSafetyHistory[Month],"&lt;"&amp;$E118,tblSafetyHistory[Use],1))*cfg_RateBasisHours,"")</f>
        <v/>
      </c>
      <c r="IQ118" s="56">
        <f>IFERROR((SUMIFS(tblSafety[LTI],tblSafety[Date],"&gt;="&amp;EDATE($E118,-12),tblSafety[Date],"&lt;="&amp;$A118)+SUMIFS(tblSafetyHistory[LTI],tblSafetyHistory[Month],"&gt;="&amp;EDATE($E118,-12),tblSafetyHistory[Month],"&lt;"&amp;$E118,tblSafetyHistory[Use],1))/(SUMIFS(tblSafety[Hours_Total],tblSafety[Date],"&gt;="&amp;EDATE($E118,-12),tblSafety[Date],"&lt;="&amp;$A118)+SUMIFS(tblSafetyHistory[Hours_Total],tblSafetyHistory[Month],"&gt;="&amp;EDATE($E118,-12),tblSafetyHistory[Month],"&lt;"&amp;$E118,tblSafetyHistory[Use],1))*cfg_RateBasisHours,"")</f>
        <v/>
      </c>
      <c r="IR118" s="62">
        <f>IF(MAX(N(cfg_PriorLTIDate),_xlfn.MAXIFS(tblSafety[Date],tblSafety[LTI],"&gt;0",tblSafety[Date],"&lt;="&amp;$A118))=0,"",$A118-MAX(N(cfg_PriorLTIDate),_xlfn.MAXIFS(tblSafety[Date],tblSafety[LTI],"&gt;0",tblSafety[Date],"&lt;="&amp;$A118)))</f>
        <v/>
      </c>
      <c r="IS118" s="55">
        <f>SUMIFS(tblBudget[Ore_Mined_t],tblBudget[Month],$E118)</f>
        <v/>
      </c>
      <c r="IT118" s="55">
        <f>$IS118*$C118/$D118</f>
        <v/>
      </c>
      <c r="IU118" s="55">
        <f>SUMIFS(tblBudget[Ore_Mined_t],tblBudget[Month],"&lt;"&amp;$E118)+$IT118</f>
        <v/>
      </c>
      <c r="IV118" s="55">
        <f>SUMIFS(tblBudget[Ore_oz],tblBudget[Month],$E118)</f>
        <v/>
      </c>
      <c r="IW118" s="55">
        <f>$IV118*$C118/$D118</f>
        <v/>
      </c>
      <c r="IX118" s="55">
        <f>SUMIFS(tblBudget[Ore_oz],tblBudget[Month],"&lt;"&amp;$E118)+$IW118</f>
        <v/>
      </c>
      <c r="IY118" s="55">
        <f>SUMIFS(tblBudget[Ore_Mined_t],tblBudget[Month],$E118)</f>
        <v/>
      </c>
      <c r="IZ118" s="55">
        <f>$IY118*$C118/$D118</f>
        <v/>
      </c>
      <c r="JA118" s="55">
        <f>SUMIFS(tblBudget[Ore_Mined_t],tblBudget[Month],"&lt;"&amp;$E118)+$IZ118</f>
        <v/>
      </c>
      <c r="JB118" s="56">
        <f>IFERROR(IF(($IY118)&gt;0,($IV118*cfg_TroyOz)/($IY118),""),"")</f>
        <v/>
      </c>
      <c r="JC118" s="56">
        <f>IFERROR(IF(($IZ118)&gt;0,($IW118*cfg_TroyOz)/($IZ118),""),"")</f>
        <v/>
      </c>
      <c r="JD118" s="56">
        <f>IFERROR(IF(($JA118)&gt;0,($IX118*cfg_TroyOz)/($JA118),""),"")</f>
        <v/>
      </c>
      <c r="JE118" s="55">
        <f>SUMIFS(tblBudget[Waste_t],tblBudget[Month],$E118)</f>
        <v/>
      </c>
      <c r="JF118" s="55">
        <f>$JE118*$C118/$D118</f>
        <v/>
      </c>
      <c r="JG118" s="55">
        <f>SUMIFS(tblBudget[Waste_t],tblBudget[Month],"&lt;"&amp;$E118)+$JF118</f>
        <v/>
      </c>
      <c r="JH118" s="55">
        <f>SUMIFS(tblBudget[TMM_t],tblBudget[Month],$E118)</f>
        <v/>
      </c>
      <c r="JI118" s="55">
        <f>$JH118*$C118/$D118</f>
        <v/>
      </c>
      <c r="JJ118" s="55">
        <f>SUMIFS(tblBudget[TMM_t],tblBudget[Month],"&lt;"&amp;$E118)+$JI118</f>
        <v/>
      </c>
      <c r="JK118" s="56">
        <f>IFERROR(IF(($IS118)&gt;0,($JE118)/($IS118),""),"")</f>
        <v/>
      </c>
      <c r="JL118" s="56">
        <f>IFERROR(IF(($IT118)&gt;0,($JF118)/($IT118),""),"")</f>
        <v/>
      </c>
      <c r="JM118" s="56">
        <f>IFERROR(IF(($IU118)&gt;0,($JG118)/($IU118),""),"")</f>
        <v/>
      </c>
      <c r="JN118" s="55">
        <f>SUMIFS(tblBudget[Drill_m],tblBudget[Month],$E118)</f>
        <v/>
      </c>
      <c r="JO118" s="55">
        <f>$JN118*$C118/$D118</f>
        <v/>
      </c>
      <c r="JP118" s="55">
        <f>SUMIFS(tblBudget[Drill_m],tblBudget[Month],"&lt;"&amp;$E118)+$JO118</f>
        <v/>
      </c>
      <c r="JQ118" s="55">
        <f>SUMIFS(tblBudget[Diesel_L],tblBudget[Month],$E118)</f>
        <v/>
      </c>
      <c r="JR118" s="55">
        <f>$JQ118*$C118/$D118</f>
        <v/>
      </c>
      <c r="JS118" s="55">
        <f>SUMIFS(tblBudget[Diesel_L],tblBudget[Month],"&lt;"&amp;$E118)+$JR118</f>
        <v/>
      </c>
      <c r="JT118" s="55">
        <f>SUMIFS(tblBudget[Milled_t],tblBudget[Month],$E118)</f>
        <v/>
      </c>
      <c r="JU118" s="55">
        <f>$JT118*$C118/$D118</f>
        <v/>
      </c>
      <c r="JV118" s="55">
        <f>SUMIFS(tblBudget[Milled_t],tblBudget[Month],"&lt;"&amp;$E118)+$JU118</f>
        <v/>
      </c>
      <c r="JW118" s="55">
        <f>SUMIFS(tblBudget[Feed_oz],tblBudget[Month],$E118)</f>
        <v/>
      </c>
      <c r="JX118" s="55">
        <f>$JW118*$C118/$D118</f>
        <v/>
      </c>
      <c r="JY118" s="55">
        <f>SUMIFS(tblBudget[Feed_oz],tblBudget[Month],"&lt;"&amp;$E118)+$JX118</f>
        <v/>
      </c>
      <c r="JZ118" s="55">
        <f>SUMIFS(tblBudget[Recovered_oz],tblBudget[Month],$E118)</f>
        <v/>
      </c>
      <c r="KA118" s="55">
        <f>$JZ118*$C118/$D118</f>
        <v/>
      </c>
      <c r="KB118" s="55">
        <f>SUMIFS(tblBudget[Recovered_oz],tblBudget[Month],"&lt;"&amp;$E118)+$KA118</f>
        <v/>
      </c>
      <c r="KC118" s="55">
        <f>SUMIFS(tblBudget[Milled_t],tblBudget[Month],$E118)</f>
        <v/>
      </c>
      <c r="KD118" s="55">
        <f>$KC118*$C118/$D118</f>
        <v/>
      </c>
      <c r="KE118" s="55">
        <f>SUMIFS(tblBudget[Milled_t],tblBudget[Month],"&lt;"&amp;$E118)+$KD118</f>
        <v/>
      </c>
      <c r="KF118" s="55">
        <f>SUMIFS(tblBudget[Feed_oz],tblBudget[Month],$E118)</f>
        <v/>
      </c>
      <c r="KG118" s="55">
        <f>$KF118*$C118/$D118</f>
        <v/>
      </c>
      <c r="KH118" s="55">
        <f>SUMIFS(tblBudget[Feed_oz],tblBudget[Month],"&lt;"&amp;$E118)+$KG118</f>
        <v/>
      </c>
      <c r="KI118" s="56">
        <f>IFERROR(IF(($KC118)&gt;0,($JW118*cfg_TroyOz)/($KC118),""),"")</f>
        <v/>
      </c>
      <c r="KJ118" s="56">
        <f>IFERROR(IF(($KD118)&gt;0,($JX118*cfg_TroyOz)/($KD118),""),"")</f>
        <v/>
      </c>
      <c r="KK118" s="56">
        <f>IFERROR(IF(($KE118)&gt;0,($JY118*cfg_TroyOz)/($KE118),""),"")</f>
        <v/>
      </c>
      <c r="KL118" s="67">
        <f>IFERROR(IF(($KF118)&gt;0,($JZ118)/($KF118),""),"")</f>
        <v/>
      </c>
      <c r="KM118" s="67">
        <f>IFERROR(IF(($KG118)&gt;0,($KA118)/($KG118),""),"")</f>
        <v/>
      </c>
      <c r="KN118" s="67">
        <f>IFERROR(IF(($KH118)&gt;0,($KB118)/($KH118),""),"")</f>
        <v/>
      </c>
      <c r="KO118" s="55">
        <f>SUMIFS(tblBudget[Gold_Poured_oz],tblBudget[Month],$E118)</f>
        <v/>
      </c>
      <c r="KP118" s="55">
        <f>$KO118*$C118/$D118</f>
        <v/>
      </c>
      <c r="KQ118" s="55">
        <f>SUMIFS(tblBudget[Gold_Poured_oz],tblBudget[Month],"&lt;"&amp;$E118)+$KP118</f>
        <v/>
      </c>
      <c r="KR118" s="57">
        <f>SUMIFS(tblBudget[Hours_Worked],tblBudget[Month],$E118)</f>
        <v/>
      </c>
      <c r="KS118" s="57">
        <f>$KR118*$C118/$D118</f>
        <v/>
      </c>
      <c r="KT118" s="57">
        <f>SUMIFS(tblBudget[Hours_Worked],tblBudget[Month],"&lt;"&amp;$E118)+$KS118</f>
        <v/>
      </c>
    </row>
    <row r="119">
      <c r="A119" s="54" t="n">
        <v>46140</v>
      </c>
      <c r="B119">
        <f>MONTH($A119)</f>
        <v/>
      </c>
      <c r="C119">
        <f>DAY($A119)</f>
        <v/>
      </c>
      <c r="D119">
        <f>DAY(EOMONTH($A119,0))</f>
        <v/>
      </c>
      <c r="E119" s="54">
        <f>DATE(YEAR($A119),MONTH($A119),1)</f>
        <v/>
      </c>
      <c r="F119" s="55">
        <f>SUMIFS(tblMovement[Tonnes_t],tblMovement[Date],$A119,tblMovement[Is_Ore],1,tblMovement[Source_Type],"Pit")</f>
        <v/>
      </c>
      <c r="G119" s="55">
        <f>IF($B119=$B118,$G118,0)+$F119</f>
        <v/>
      </c>
      <c r="H119" s="55">
        <f>$H118+$F119</f>
        <v/>
      </c>
      <c r="I119" s="55">
        <f>SUMIFS(tblMovement[Ore_oz],tblMovement[Date],$A119,tblMovement[Source_Type],"Pit")</f>
        <v/>
      </c>
      <c r="J119" s="55">
        <f>IF($B119=$B118,$J118,0)+$I119</f>
        <v/>
      </c>
      <c r="K119" s="55">
        <f>$K118+$I119</f>
        <v/>
      </c>
      <c r="L119" s="55">
        <f>SUMIFS(tblMovement[Tonnes_t],tblMovement[Date],$A119,tblMovement[Is_Ore],1,tblMovement[Source_Type],"Pit",tblMovement[Grade_gpt],"&lt;&gt;")</f>
        <v/>
      </c>
      <c r="M119" s="55">
        <f>IF($B119=$B118,$M118,0)+$L119</f>
        <v/>
      </c>
      <c r="N119" s="55">
        <f>$N118+$L119</f>
        <v/>
      </c>
      <c r="O119" s="56">
        <f>IFERROR(IF(($L119)&gt;0,($I119*cfg_TroyOz)/($L119),""),"")</f>
        <v/>
      </c>
      <c r="P119" s="56">
        <f>IFERROR(IF(($M119)&gt;0,($J119*cfg_TroyOz)/($M119),""),"")</f>
        <v/>
      </c>
      <c r="Q119" s="56">
        <f>IFERROR(IF(($N119)&gt;0,($K119*cfg_TroyOz)/($N119),""),"")</f>
        <v/>
      </c>
      <c r="R119" s="55">
        <f>$F119-$L119</f>
        <v/>
      </c>
      <c r="S119" s="55">
        <f>IF($B119=$B118,$S118,0)+$R119</f>
        <v/>
      </c>
      <c r="T119" s="55">
        <f>$T118+$R119</f>
        <v/>
      </c>
      <c r="U119" s="55">
        <f>SUMIFS(tblMovement[Tonnes_t],tblMovement[Date],$A119,tblMovement[Is_Ore],0,tblMovement[Source_Type],"Pit")</f>
        <v/>
      </c>
      <c r="V119" s="55">
        <f>IF($B119=$B118,$V118,0)+$U119</f>
        <v/>
      </c>
      <c r="W119" s="55">
        <f>$W118+$U119</f>
        <v/>
      </c>
      <c r="X119" s="55">
        <f>$F119+$U119</f>
        <v/>
      </c>
      <c r="Y119" s="55">
        <f>IF($B119=$B118,$Y118,0)+$X119</f>
        <v/>
      </c>
      <c r="Z119" s="55">
        <f>$Z118+$X119</f>
        <v/>
      </c>
      <c r="AA119" s="56">
        <f>IFERROR(IF(($F119)&gt;0,($U119)/($F119),""),"")</f>
        <v/>
      </c>
      <c r="AB119" s="56">
        <f>IFERROR(IF(($G119)&gt;0,($V119)/($G119),""),"")</f>
        <v/>
      </c>
      <c r="AC119" s="56">
        <f>IFERROR(IF(($H119)&gt;0,($W119)/($H119),""),"")</f>
        <v/>
      </c>
      <c r="AD119" s="55">
        <f>SUMIFS(tblMovement[Tonnes_t],tblMovement[Date],$A119,tblMovement[Source_Type],"Stockpile")</f>
        <v/>
      </c>
      <c r="AE119" s="55">
        <f>IF($B119=$B118,$AE118,0)+$AD119</f>
        <v/>
      </c>
      <c r="AF119" s="55">
        <f>$AF118+$AD119</f>
        <v/>
      </c>
      <c r="AG119" s="55">
        <f>SUMIFS(tblMovement[Tonnes_t],tblMovement[Date],$A119)</f>
        <v/>
      </c>
      <c r="AH119" s="55">
        <f>IF($B119=$B118,$AH118,0)+$AG119</f>
        <v/>
      </c>
      <c r="AI119" s="55">
        <f>$AI118+$AG119</f>
        <v/>
      </c>
      <c r="AJ119" s="55">
        <f>$AG119-$X119-$AD119</f>
        <v/>
      </c>
      <c r="AK119" s="55">
        <f>IF($B119=$B118,$AK118,0)+$AJ119</f>
        <v/>
      </c>
      <c r="AL119" s="55">
        <f>$AL118+$AJ119</f>
        <v/>
      </c>
      <c r="AM119" s="55">
        <f>SUMIFS(tblMiningDaily[Drill_m],tblMiningDaily[Date],$A119)</f>
        <v/>
      </c>
      <c r="AN119" s="55">
        <f>IF($B119=$B118,$AN118,0)+$AM119</f>
        <v/>
      </c>
      <c r="AO119" s="55">
        <f>$AO118+$AM119</f>
        <v/>
      </c>
      <c r="AP119" s="55">
        <f>SUMIFS(tblMiningDaily[GC_Drill_m],tblMiningDaily[Date],$A119)</f>
        <v/>
      </c>
      <c r="AQ119" s="55">
        <f>IF($B119=$B118,$AQ118,0)+$AP119</f>
        <v/>
      </c>
      <c r="AR119" s="55">
        <f>$AR118+$AP119</f>
        <v/>
      </c>
      <c r="AS119" s="55">
        <f>SUMIFS(tblMiningDaily[Blast_t],tblMiningDaily[Date],$A119)</f>
        <v/>
      </c>
      <c r="AT119" s="55">
        <f>IF($B119=$B118,$AT118,0)+$AS119</f>
        <v/>
      </c>
      <c r="AU119" s="55">
        <f>$AU118+$AS119</f>
        <v/>
      </c>
      <c r="AV119" s="55">
        <f>SUMIFS(tblMiningDaily[Explosives_kg],tblMiningDaily[Date],$A119)</f>
        <v/>
      </c>
      <c r="AW119" s="55">
        <f>IF($B119=$B118,$AW118,0)+$AV119</f>
        <v/>
      </c>
      <c r="AX119" s="55">
        <f>$AX118+$AV119</f>
        <v/>
      </c>
      <c r="AY119" s="56">
        <f>IFERROR(IF(($AS119)&gt;0,($AV119)/($AS119),""),"")</f>
        <v/>
      </c>
      <c r="AZ119" s="56">
        <f>IFERROR(IF(($AT119)&gt;0,($AW119)/($AT119),""),"")</f>
        <v/>
      </c>
      <c r="BA119" s="56">
        <f>IFERROR(IF(($AU119)&gt;0,($AX119)/($AU119),""),"")</f>
        <v/>
      </c>
      <c r="BB119" s="55">
        <f>SUMIFS(tblMiningDaily[Diesel_L],tblMiningDaily[Date],$A119)</f>
        <v/>
      </c>
      <c r="BC119" s="55">
        <f>IF($B119=$B118,$BC118,0)+$BB119</f>
        <v/>
      </c>
      <c r="BD119" s="55">
        <f>$BD118+$BB119</f>
        <v/>
      </c>
      <c r="BE119" s="55">
        <f>SUMIFS(tblMiningDaily[Dewatering_m3],tblMiningDaily[Date],$A119)</f>
        <v/>
      </c>
      <c r="BF119" s="55">
        <f>IF($B119=$B118,$BF118,0)+$BE119</f>
        <v/>
      </c>
      <c r="BG119" s="55">
        <f>$BG118+$BE119</f>
        <v/>
      </c>
      <c r="BH119" s="57">
        <f>SUMIFS(tblFleet[Calendar_h],tblFleet[Date],$A119,tblFleet[Equipment_Class],"Excavator")</f>
        <v/>
      </c>
      <c r="BI119" s="57">
        <f>IF($B119=$B118,$BI118,0)+$BH119</f>
        <v/>
      </c>
      <c r="BJ119" s="57">
        <f>$BJ118+$BH119</f>
        <v/>
      </c>
      <c r="BK119" s="57">
        <f>SUMIFS(tblFleet[Available_h],tblFleet[Date],$A119,tblFleet[Equipment_Class],"Excavator")</f>
        <v/>
      </c>
      <c r="BL119" s="57">
        <f>IF($B119=$B118,$BL118,0)+$BK119</f>
        <v/>
      </c>
      <c r="BM119" s="57">
        <f>$BM118+$BK119</f>
        <v/>
      </c>
      <c r="BN119" s="57">
        <f>SUMIFS(tblFleet[Operating_h],tblFleet[Date],$A119,tblFleet[Equipment_Class],"Excavator")</f>
        <v/>
      </c>
      <c r="BO119" s="57">
        <f>IF($B119=$B118,$BO118,0)+$BN119</f>
        <v/>
      </c>
      <c r="BP119" s="57">
        <f>$BP118+$BN119</f>
        <v/>
      </c>
      <c r="BQ119" s="67">
        <f>IFERROR(IF(($BH119)&gt;0,($BK119)/($BH119),""),"")</f>
        <v/>
      </c>
      <c r="BR119" s="67">
        <f>IFERROR(IF(($BI119)&gt;0,($BL119)/($BI119),""),"")</f>
        <v/>
      </c>
      <c r="BS119" s="67">
        <f>IFERROR(IF(($BJ119)&gt;0,($BM119)/($BJ119),""),"")</f>
        <v/>
      </c>
      <c r="BT119" s="67">
        <f>IFERROR(IF(($BK119)&gt;0,($BN119)/($BK119),""),"")</f>
        <v/>
      </c>
      <c r="BU119" s="67">
        <f>IFERROR(IF(($BL119)&gt;0,($BO119)/($BL119),""),"")</f>
        <v/>
      </c>
      <c r="BV119" s="67">
        <f>IFERROR(IF(($BM119)&gt;0,($BP119)/($BM119),""),"")</f>
        <v/>
      </c>
      <c r="BW119" s="57">
        <f>SUMIFS(tblFleet[Calendar_h],tblFleet[Date],$A119,tblFleet[Equipment_Class],"Haul Truck")</f>
        <v/>
      </c>
      <c r="BX119" s="57">
        <f>IF($B119=$B118,$BX118,0)+$BW119</f>
        <v/>
      </c>
      <c r="BY119" s="57">
        <f>$BY118+$BW119</f>
        <v/>
      </c>
      <c r="BZ119" s="57">
        <f>SUMIFS(tblFleet[Available_h],tblFleet[Date],$A119,tblFleet[Equipment_Class],"Haul Truck")</f>
        <v/>
      </c>
      <c r="CA119" s="57">
        <f>IF($B119=$B118,$CA118,0)+$BZ119</f>
        <v/>
      </c>
      <c r="CB119" s="57">
        <f>$CB118+$BZ119</f>
        <v/>
      </c>
      <c r="CC119" s="57">
        <f>SUMIFS(tblFleet[Operating_h],tblFleet[Date],$A119,tblFleet[Equipment_Class],"Haul Truck")</f>
        <v/>
      </c>
      <c r="CD119" s="57">
        <f>IF($B119=$B118,$CD118,0)+$CC119</f>
        <v/>
      </c>
      <c r="CE119" s="57">
        <f>$CE118+$CC119</f>
        <v/>
      </c>
      <c r="CF119" s="67">
        <f>IFERROR(IF(($BW119)&gt;0,($BZ119)/($BW119),""),"")</f>
        <v/>
      </c>
      <c r="CG119" s="67">
        <f>IFERROR(IF(($BX119)&gt;0,($CA119)/($BX119),""),"")</f>
        <v/>
      </c>
      <c r="CH119" s="67">
        <f>IFERROR(IF(($BY119)&gt;0,($CB119)/($BY119),""),"")</f>
        <v/>
      </c>
      <c r="CI119" s="67">
        <f>IFERROR(IF(($BZ119)&gt;0,($CC119)/($BZ119),""),"")</f>
        <v/>
      </c>
      <c r="CJ119" s="67">
        <f>IFERROR(IF(($CA119)&gt;0,($CD119)/($CA119),""),"")</f>
        <v/>
      </c>
      <c r="CK119" s="67">
        <f>IFERROR(IF(($CB119)&gt;0,($CE119)/($CB119),""),"")</f>
        <v/>
      </c>
      <c r="CL119" s="55">
        <f>IFERROR(IF(($BN119)&gt;0,($X119+$AD119)/($BN119),""),"")</f>
        <v/>
      </c>
      <c r="CM119" s="55">
        <f>IFERROR(IF(($BO119)&gt;0,($Y119+$AE119)/($BO119),""),"")</f>
        <v/>
      </c>
      <c r="CN119" s="55">
        <f>IFERROR(IF(($BP119)&gt;0,($Z119+$AF119)/($BP119),""),"")</f>
        <v/>
      </c>
      <c r="CO119" s="55">
        <f>IFERROR(IF(($CC119)&gt;0,($X119+$AD119)/($CC119),""),"")</f>
        <v/>
      </c>
      <c r="CP119" s="55">
        <f>IFERROR(IF(($CD119)&gt;0,($Y119+$AE119)/($CD119),""),"")</f>
        <v/>
      </c>
      <c r="CQ119" s="55">
        <f>IFERROR(IF(($CE119)&gt;0,($Z119+$AF119)/($CE119),""),"")</f>
        <v/>
      </c>
      <c r="CR119" s="55">
        <f>SUMIFS(tblPlant[Crushed_t],tblPlant[Date],$A119)</f>
        <v/>
      </c>
      <c r="CS119" s="55">
        <f>IF($B119=$B118,$CS118,0)+$CR119</f>
        <v/>
      </c>
      <c r="CT119" s="55">
        <f>$CT118+$CR119</f>
        <v/>
      </c>
      <c r="CU119" s="55">
        <f>SUMIFS(tblPlant[Milled_t],tblPlant[Date],$A119)</f>
        <v/>
      </c>
      <c r="CV119" s="55">
        <f>IF($B119=$B118,$CV118,0)+$CU119</f>
        <v/>
      </c>
      <c r="CW119" s="55">
        <f>$CW118+$CU119</f>
        <v/>
      </c>
      <c r="CX119" s="55">
        <f>SUMIFS(tblPlant[Feed_oz],tblPlant[Date],$A119)</f>
        <v/>
      </c>
      <c r="CY119" s="55">
        <f>IF($B119=$B118,$CY118,0)+$CX119</f>
        <v/>
      </c>
      <c r="CZ119" s="55">
        <f>$CZ118+$CX119</f>
        <v/>
      </c>
      <c r="DA119" s="55">
        <f>SUMIFS(tblPlant[Tails_oz],tblPlant[Date],$A119)</f>
        <v/>
      </c>
      <c r="DB119" s="55">
        <f>IF($B119=$B118,$DB118,0)+$DA119</f>
        <v/>
      </c>
      <c r="DC119" s="55">
        <f>$DC118+$DA119</f>
        <v/>
      </c>
      <c r="DD119" s="55">
        <f>SUMIFS(tblPlant[Recovered_oz],tblPlant[Date],$A119)</f>
        <v/>
      </c>
      <c r="DE119" s="55">
        <f>IF($B119=$B118,$DE118,0)+$DD119</f>
        <v/>
      </c>
      <c r="DF119" s="55">
        <f>$DF118+$DD119</f>
        <v/>
      </c>
      <c r="DG119" s="55">
        <f>SUMIFS(tblPlant[Milled_t],tblPlant[Date],$A119,tblPlant[Head_Grade_gpt],"&lt;&gt;")</f>
        <v/>
      </c>
      <c r="DH119" s="55">
        <f>IF($B119=$B118,$DH118,0)+$DG119</f>
        <v/>
      </c>
      <c r="DI119" s="55">
        <f>$DI118+$DG119</f>
        <v/>
      </c>
      <c r="DJ119" s="55">
        <f>SUMIFS(tblPlant[Milled_t],tblPlant[Date],$A119,tblPlant[Tails_Grade_gpt],"&lt;&gt;")</f>
        <v/>
      </c>
      <c r="DK119" s="55">
        <f>IF($B119=$B118,$DK118,0)+$DJ119</f>
        <v/>
      </c>
      <c r="DL119" s="55">
        <f>$DL118+$DJ119</f>
        <v/>
      </c>
      <c r="DM119" s="55">
        <f>SUMIFS(tblPlant[Feed_oz],tblPlant[Date],$A119,tblPlant[Tails_Grade_gpt],"&lt;&gt;")</f>
        <v/>
      </c>
      <c r="DN119" s="55">
        <f>IF($B119=$B118,$DN118,0)+$DM119</f>
        <v/>
      </c>
      <c r="DO119" s="55">
        <f>$DO118+$DM119</f>
        <v/>
      </c>
      <c r="DP119" s="55">
        <f>SUMIFS(tblPlant[Milled_t],tblPlant[Date],$A119,tblPlant[Mill_Run_h],"&lt;&gt;")</f>
        <v/>
      </c>
      <c r="DQ119" s="55">
        <f>IF($B119=$B118,$DQ118,0)+$DP119</f>
        <v/>
      </c>
      <c r="DR119" s="55">
        <f>$DR118+$DP119</f>
        <v/>
      </c>
      <c r="DS119" s="56">
        <f>IFERROR(IF(($DG119)&gt;0,($CX119*cfg_TroyOz)/($DG119),""),"")</f>
        <v/>
      </c>
      <c r="DT119" s="56">
        <f>IFERROR(IF(($DH119)&gt;0,($CY119*cfg_TroyOz)/($DH119),""),"")</f>
        <v/>
      </c>
      <c r="DU119" s="56">
        <f>IFERROR(IF(($DI119)&gt;0,($CZ119*cfg_TroyOz)/($DI119),""),"")</f>
        <v/>
      </c>
      <c r="DV119" s="56">
        <f>IFERROR(IF(($DJ119)&gt;0,($DA119*cfg_TroyOz)/($DJ119),""),"")</f>
        <v/>
      </c>
      <c r="DW119" s="56">
        <f>IFERROR(IF(($DK119)&gt;0,($DB119*cfg_TroyOz)/($DK119),""),"")</f>
        <v/>
      </c>
      <c r="DX119" s="56">
        <f>IFERROR(IF(($DL119)&gt;0,($DC119*cfg_TroyOz)/($DL119),""),"")</f>
        <v/>
      </c>
      <c r="DY119" s="67">
        <f>IFERROR(IF(($DM119)&gt;0,($DD119)/($DM119),""),"")</f>
        <v/>
      </c>
      <c r="DZ119" s="67">
        <f>IFERROR(IF(($DN119)&gt;0,($DE119)/($DN119),""),"")</f>
        <v/>
      </c>
      <c r="EA119" s="67">
        <f>IFERROR(IF(($DO119)&gt;0,($DF119)/($DO119),""),"")</f>
        <v/>
      </c>
      <c r="EB119" s="55">
        <f>SUMIFS(tblPlant[Gravity_Gold_oz],tblPlant[Date],$A119)</f>
        <v/>
      </c>
      <c r="EC119" s="55">
        <f>IF($B119=$B118,$EC118,0)+$EB119</f>
        <v/>
      </c>
      <c r="ED119" s="55">
        <f>$ED118+$EB119</f>
        <v/>
      </c>
      <c r="EE119" s="67">
        <f>IFERROR(IF(($DD119)&gt;0,($EB119)/($DD119),""),"")</f>
        <v/>
      </c>
      <c r="EF119" s="67">
        <f>IFERROR(IF(($DE119)&gt;0,($EC119)/($DE119),""),"")</f>
        <v/>
      </c>
      <c r="EG119" s="67">
        <f>IFERROR(IF(($DF119)&gt;0,($ED119)/($DF119),""),"")</f>
        <v/>
      </c>
      <c r="EH119" s="55">
        <f>SUMIFS(tblPlant[Gold_Poured_oz],tblPlant[Date],$A119)</f>
        <v/>
      </c>
      <c r="EI119" s="55">
        <f>IF($B119=$B118,$EI118,0)+$EH119</f>
        <v/>
      </c>
      <c r="EJ119" s="55">
        <f>$EJ118+$EH119</f>
        <v/>
      </c>
      <c r="EK119" s="57">
        <f>SUMIFS(tblPlant[Mill_Run_h],tblPlant[Date],$A119)</f>
        <v/>
      </c>
      <c r="EL119" s="57">
        <f>IF($B119=$B118,$EL118,0)+$EK119</f>
        <v/>
      </c>
      <c r="EM119" s="57">
        <f>$EM118+$EK119</f>
        <v/>
      </c>
      <c r="EN119" s="57">
        <f>SUMIFS(tblPlant[Mill_Planned_Maint_h],tblPlant[Date],$A119)</f>
        <v/>
      </c>
      <c r="EO119" s="57">
        <f>IF($B119=$B118,$EO118,0)+$EN119</f>
        <v/>
      </c>
      <c r="EP119" s="57">
        <f>$EP118+$EN119</f>
        <v/>
      </c>
      <c r="EQ119" s="57">
        <f>SUMIFS(tblPlant[Mill_Unplanned_Down_h],tblPlant[Date],$A119)</f>
        <v/>
      </c>
      <c r="ER119" s="57">
        <f>IF($B119=$B118,$ER118,0)+$EQ119</f>
        <v/>
      </c>
      <c r="ES119" s="57">
        <f>$ES118+$EQ119</f>
        <v/>
      </c>
      <c r="ET119" s="57">
        <f>IF(COUNTIFS(tblPlant[Date],$A119,tblPlant[Mill_Run_h],"&lt;&gt;")+COUNTIFS(tblPlant[Date],$A119,tblPlant[Mill_Planned_Maint_h],"&lt;&gt;")+COUNTIFS(tblPlant[Date],$A119,tblPlant[Mill_Unplanned_Down_h],"&lt;&gt;")&gt;0,cfg_HoursPerDay,0)</f>
        <v/>
      </c>
      <c r="EU119" s="57">
        <f>IF($B119=$B118,$EU118,0)+$ET119</f>
        <v/>
      </c>
      <c r="EV119" s="57">
        <f>$EV118+$ET119</f>
        <v/>
      </c>
      <c r="EW119" s="57">
        <f>SUMIFS(tblPlant[Crusher_Run_h],tblPlant[Date],$A119)</f>
        <v/>
      </c>
      <c r="EX119" s="57">
        <f>IF($B119=$B118,$EX118,0)+$EW119</f>
        <v/>
      </c>
      <c r="EY119" s="57">
        <f>$EY118+$EW119</f>
        <v/>
      </c>
      <c r="EZ119" s="55">
        <f>IFERROR(IF(($EK119)&gt;0,($DP119)/($EK119),""),"")</f>
        <v/>
      </c>
      <c r="FA119" s="55">
        <f>IFERROR(IF(($EL119)&gt;0,($DQ119)/($EL119),""),"")</f>
        <v/>
      </c>
      <c r="FB119" s="55">
        <f>IFERROR(IF(($EM119)&gt;0,($DR119)/($EM119),""),"")</f>
        <v/>
      </c>
      <c r="FC119" s="67">
        <f>IFERROR(IF(($ET119)&gt;0,($ET119-$EN119-$EQ119)/($ET119),""),"")</f>
        <v/>
      </c>
      <c r="FD119" s="67">
        <f>IFERROR(IF(($EU119)&gt;0,($EU119-$EO119-$ER119)/($EU119),""),"")</f>
        <v/>
      </c>
      <c r="FE119" s="67">
        <f>IFERROR(IF(($EV119)&gt;0,($EV119-$EP119-$ES119)/($EV119),""),"")</f>
        <v/>
      </c>
      <c r="FF119" s="67">
        <f>IFERROR(IF(($ET119-$EN119-$EQ119)&gt;0,($EK119)/($ET119-$EN119-$EQ119),""),"")</f>
        <v/>
      </c>
      <c r="FG119" s="67">
        <f>IFERROR(IF(($EU119-$EO119-$ER119)&gt;0,($EL119)/($EU119-$EO119-$ER119),""),"")</f>
        <v/>
      </c>
      <c r="FH119" s="67">
        <f>IFERROR(IF(($EV119-$EP119-$ES119)&gt;0,($EM119)/($EV119-$EP119-$ES119),""),"")</f>
        <v/>
      </c>
      <c r="FI119" s="55">
        <f>SUMIFS(tblPlant[Cyanide_kg],tblPlant[Date],$A119)</f>
        <v/>
      </c>
      <c r="FJ119" s="55">
        <f>IF($B119=$B118,$FJ118,0)+$FI119</f>
        <v/>
      </c>
      <c r="FK119" s="55">
        <f>$FK118+$FI119</f>
        <v/>
      </c>
      <c r="FL119" s="55">
        <f>SUMIFS(tblPlant[Lime_kg],tblPlant[Date],$A119)</f>
        <v/>
      </c>
      <c r="FM119" s="55">
        <f>IF($B119=$B118,$FM118,0)+$FL119</f>
        <v/>
      </c>
      <c r="FN119" s="55">
        <f>$FN118+$FL119</f>
        <v/>
      </c>
      <c r="FO119" s="55">
        <f>SUMIFS(tblPlant[Grinding_Media_kg],tblPlant[Date],$A119)</f>
        <v/>
      </c>
      <c r="FP119" s="55">
        <f>IF($B119=$B118,$FP118,0)+$FO119</f>
        <v/>
      </c>
      <c r="FQ119" s="55">
        <f>$FQ118+$FO119</f>
        <v/>
      </c>
      <c r="FR119" s="55">
        <f>SUMIFS(tblPlant[Power_kWh],tblPlant[Date],$A119)</f>
        <v/>
      </c>
      <c r="FS119" s="55">
        <f>IF($B119=$B118,$FS118,0)+$FR119</f>
        <v/>
      </c>
      <c r="FT119" s="55">
        <f>$FT118+$FR119</f>
        <v/>
      </c>
      <c r="FU119" s="55">
        <f>SUMIFS(tblPlant[Raw_Water_m3],tblPlant[Date],$A119)</f>
        <v/>
      </c>
      <c r="FV119" s="55">
        <f>IF($B119=$B118,$FV118,0)+$FU119</f>
        <v/>
      </c>
      <c r="FW119" s="55">
        <f>$FW118+$FU119</f>
        <v/>
      </c>
      <c r="FX119" s="56">
        <f>IFERROR(IF(($CU119)&gt;0,($FI119)/($CU119),""),"")</f>
        <v/>
      </c>
      <c r="FY119" s="56">
        <f>IFERROR(IF(($CV119)&gt;0,($FJ119)/($CV119),""),"")</f>
        <v/>
      </c>
      <c r="FZ119" s="56">
        <f>IFERROR(IF(($CW119)&gt;0,($FK119)/($CW119),""),"")</f>
        <v/>
      </c>
      <c r="GA119" s="56">
        <f>IFERROR(IF(($CU119)&gt;0,($FL119)/($CU119),""),"")</f>
        <v/>
      </c>
      <c r="GB119" s="56">
        <f>IFERROR(IF(($CV119)&gt;0,($FM119)/($CV119),""),"")</f>
        <v/>
      </c>
      <c r="GC119" s="56">
        <f>IFERROR(IF(($CW119)&gt;0,($FN119)/($CW119),""),"")</f>
        <v/>
      </c>
      <c r="GD119" s="56">
        <f>IFERROR(IF(($CU119)&gt;0,($FO119)/($CU119),""),"")</f>
        <v/>
      </c>
      <c r="GE119" s="56">
        <f>IFERROR(IF(($CV119)&gt;0,($FP119)/($CV119),""),"")</f>
        <v/>
      </c>
      <c r="GF119" s="56">
        <f>IFERROR(IF(($CW119)&gt;0,($FQ119)/($CW119),""),"")</f>
        <v/>
      </c>
      <c r="GG119" s="79">
        <f>IFERROR(IF(($CU119)&gt;0,($FR119)/($CU119),""),"")</f>
        <v/>
      </c>
      <c r="GH119" s="79">
        <f>IFERROR(IF(($CV119)&gt;0,($FS119)/($CV119),""),"")</f>
        <v/>
      </c>
      <c r="GI119" s="79">
        <f>IFERROR(IF(($CW119)&gt;0,($FT119)/($CW119),""),"")</f>
        <v/>
      </c>
      <c r="GJ119" s="56">
        <f>IFERROR(IF(($CU119)&gt;0,($FU119)/($CU119),""),"")</f>
        <v/>
      </c>
      <c r="GK119" s="56">
        <f>IFERROR(IF(($CV119)&gt;0,($FV119)/($CV119),""),"")</f>
        <v/>
      </c>
      <c r="GL119" s="56">
        <f>IFERROR(IF(($CW119)&gt;0,($FW119)/($CW119),""),"")</f>
        <v/>
      </c>
      <c r="GM119" s="55">
        <f>IF(SUMIFS(tblPlant[GIC_oz],tblPlant[Date],$A119)&gt;0,SUMIFS(tblPlant[GIC_oz],tblPlant[Date],$A119),"")</f>
        <v/>
      </c>
      <c r="GN119" s="55">
        <f>SUMIFS(tblGold[Gold_oz],tblGold[Date],$A119,tblGold[Type],"Shipment")</f>
        <v/>
      </c>
      <c r="GO119" s="55">
        <f>IF($B119=$B118,$GO118,0)+$GN119</f>
        <v/>
      </c>
      <c r="GP119" s="55">
        <f>$GP118+$GN119</f>
        <v/>
      </c>
      <c r="GQ119" s="55">
        <f>SUMIFS(tblGold[Gold_oz],tblGold[Date],$A119,tblGold[Type],"Sale")</f>
        <v/>
      </c>
      <c r="GR119" s="55">
        <f>IF($B119=$B118,$GR118,0)+$GQ119</f>
        <v/>
      </c>
      <c r="GS119" s="55">
        <f>$GS118+$GQ119</f>
        <v/>
      </c>
      <c r="GT119" s="55">
        <f>SUMIFS(tblGold[Dore_kg],tblGold[Date],$A119,tblGold[Type],"Shipment")</f>
        <v/>
      </c>
      <c r="GU119" s="55">
        <f>IF($B119=$B118,$GU118,0)+$GT119</f>
        <v/>
      </c>
      <c r="GV119" s="55">
        <f>$GV118+$GT119</f>
        <v/>
      </c>
      <c r="GW119" s="57">
        <f>SUMIFS(tblSafety[Hours_Total],tblSafety[Date],$A119)</f>
        <v/>
      </c>
      <c r="GX119" s="57">
        <f>IF($B119=$B118,$GX118,0)+$GW119</f>
        <v/>
      </c>
      <c r="GY119" s="57">
        <f>$GY118+$GW119</f>
        <v/>
      </c>
      <c r="GZ119" s="62">
        <f>SUMIFS(tblSafety[Fatality],tblSafety[Date],$A119)</f>
        <v/>
      </c>
      <c r="HA119" s="62">
        <f>IF($B119=$B118,$HA118,0)+$GZ119</f>
        <v/>
      </c>
      <c r="HB119" s="62">
        <f>$HB118+$GZ119</f>
        <v/>
      </c>
      <c r="HC119" s="62">
        <f>SUMIFS(tblSafety[LTI],tblSafety[Date],$A119)</f>
        <v/>
      </c>
      <c r="HD119" s="62">
        <f>IF($B119=$B118,$HD118,0)+$HC119</f>
        <v/>
      </c>
      <c r="HE119" s="62">
        <f>$HE118+$HC119</f>
        <v/>
      </c>
      <c r="HF119" s="62">
        <f>SUMIFS(tblSafety[RWI],tblSafety[Date],$A119)</f>
        <v/>
      </c>
      <c r="HG119" s="62">
        <f>IF($B119=$B118,$HG118,0)+$HF119</f>
        <v/>
      </c>
      <c r="HH119" s="62">
        <f>$HH118+$HF119</f>
        <v/>
      </c>
      <c r="HI119" s="62">
        <f>SUMIFS(tblSafety[MTI],tblSafety[Date],$A119)</f>
        <v/>
      </c>
      <c r="HJ119" s="62">
        <f>IF($B119=$B118,$HJ118,0)+$HI119</f>
        <v/>
      </c>
      <c r="HK119" s="62">
        <f>$HK118+$HI119</f>
        <v/>
      </c>
      <c r="HL119" s="62">
        <f>SUMIFS(tblSafety[FAI],tblSafety[Date],$A119)</f>
        <v/>
      </c>
      <c r="HM119" s="62">
        <f>IF($B119=$B118,$HM118,0)+$HL119</f>
        <v/>
      </c>
      <c r="HN119" s="62">
        <f>$HN118+$HL119</f>
        <v/>
      </c>
      <c r="HO119" s="62">
        <f>SUMIFS(tblSafety[Recordables],tblSafety[Date],$A119)</f>
        <v/>
      </c>
      <c r="HP119" s="62">
        <f>IF($B119=$B118,$HP118,0)+$HO119</f>
        <v/>
      </c>
      <c r="HQ119" s="62">
        <f>$HQ118+$HO119</f>
        <v/>
      </c>
      <c r="HR119" s="62">
        <f>SUMIFS(tblSafety[Near_Miss],tblSafety[Date],$A119)</f>
        <v/>
      </c>
      <c r="HS119" s="62">
        <f>IF($B119=$B118,$HS118,0)+$HR119</f>
        <v/>
      </c>
      <c r="HT119" s="62">
        <f>$HT118+$HR119</f>
        <v/>
      </c>
      <c r="HU119" s="62">
        <f>SUMIFS(tblSafety[Hazard_Reports],tblSafety[Date],$A119)</f>
        <v/>
      </c>
      <c r="HV119" s="62">
        <f>IF($B119=$B118,$HV118,0)+$HU119</f>
        <v/>
      </c>
      <c r="HW119" s="62">
        <f>$HW118+$HU119</f>
        <v/>
      </c>
      <c r="HX119" s="62">
        <f>SUMIFS(tblSafety[HPI],tblSafety[Date],$A119)</f>
        <v/>
      </c>
      <c r="HY119" s="62">
        <f>IF($B119=$B118,$HY118,0)+$HX119</f>
        <v/>
      </c>
      <c r="HZ119" s="62">
        <f>$HZ118+$HX119</f>
        <v/>
      </c>
      <c r="IA119" s="62">
        <f>SUMIFS(tblSafety[Env_Incidents],tblSafety[Date],$A119)</f>
        <v/>
      </c>
      <c r="IB119" s="62">
        <f>IF($B119=$B118,$IB118,0)+$IA119</f>
        <v/>
      </c>
      <c r="IC119" s="62">
        <f>$IC118+$IA119</f>
        <v/>
      </c>
      <c r="ID119" s="62">
        <f>SUMIFS(tblSafety[Community_Incidents],tblSafety[Date],$A119)</f>
        <v/>
      </c>
      <c r="IE119" s="62">
        <f>IF($B119=$B118,$IE118,0)+$ID119</f>
        <v/>
      </c>
      <c r="IF119" s="62">
        <f>$IF118+$ID119</f>
        <v/>
      </c>
      <c r="IG119" s="62">
        <f>SUMIFS(tblSafety[Vehicle_Incidents],tblSafety[Date],$A119)</f>
        <v/>
      </c>
      <c r="IH119" s="62">
        <f>IF($B119=$B118,$IH118,0)+$IG119</f>
        <v/>
      </c>
      <c r="II119" s="62">
        <f>$II118+$IG119</f>
        <v/>
      </c>
      <c r="IJ119" s="62">
        <f>SUMIFS(tblSafety[Toolbox_Talks],tblSafety[Date],$A119)</f>
        <v/>
      </c>
      <c r="IK119" s="62">
        <f>IF($B119=$B118,$IK118,0)+$IJ119</f>
        <v/>
      </c>
      <c r="IL119" s="62">
        <f>$IL118+$IJ119</f>
        <v/>
      </c>
      <c r="IM119" s="62">
        <f>SUMIFS(tblSafety[Inspections],tblSafety[Date],$A119)</f>
        <v/>
      </c>
      <c r="IN119" s="62">
        <f>IF($B119=$B118,$IN118,0)+$IM119</f>
        <v/>
      </c>
      <c r="IO119" s="62">
        <f>$IO118+$IM119</f>
        <v/>
      </c>
      <c r="IP119" s="56">
        <f>IFERROR((SUMIFS(tblSafety[Recordables],tblSafety[Date],"&gt;="&amp;EDATE($E119,-12),tblSafety[Date],"&lt;="&amp;$A119)+SUMIFS(tblSafetyHistory[Recordables],tblSafetyHistory[Month],"&gt;="&amp;EDATE($E119,-12),tblSafetyHistory[Month],"&lt;"&amp;$E119,tblSafetyHistory[Use],1))/(SUMIFS(tblSafety[Hours_Total],tblSafety[Date],"&gt;="&amp;EDATE($E119,-12),tblSafety[Date],"&lt;="&amp;$A119)+SUMIFS(tblSafetyHistory[Hours_Total],tblSafetyHistory[Month],"&gt;="&amp;EDATE($E119,-12),tblSafetyHistory[Month],"&lt;"&amp;$E119,tblSafetyHistory[Use],1))*cfg_RateBasisHours,"")</f>
        <v/>
      </c>
      <c r="IQ119" s="56">
        <f>IFERROR((SUMIFS(tblSafety[LTI],tblSafety[Date],"&gt;="&amp;EDATE($E119,-12),tblSafety[Date],"&lt;="&amp;$A119)+SUMIFS(tblSafetyHistory[LTI],tblSafetyHistory[Month],"&gt;="&amp;EDATE($E119,-12),tblSafetyHistory[Month],"&lt;"&amp;$E119,tblSafetyHistory[Use],1))/(SUMIFS(tblSafety[Hours_Total],tblSafety[Date],"&gt;="&amp;EDATE($E119,-12),tblSafety[Date],"&lt;="&amp;$A119)+SUMIFS(tblSafetyHistory[Hours_Total],tblSafetyHistory[Month],"&gt;="&amp;EDATE($E119,-12),tblSafetyHistory[Month],"&lt;"&amp;$E119,tblSafetyHistory[Use],1))*cfg_RateBasisHours,"")</f>
        <v/>
      </c>
      <c r="IR119" s="62">
        <f>IF(MAX(N(cfg_PriorLTIDate),_xlfn.MAXIFS(tblSafety[Date],tblSafety[LTI],"&gt;0",tblSafety[Date],"&lt;="&amp;$A119))=0,"",$A119-MAX(N(cfg_PriorLTIDate),_xlfn.MAXIFS(tblSafety[Date],tblSafety[LTI],"&gt;0",tblSafety[Date],"&lt;="&amp;$A119)))</f>
        <v/>
      </c>
      <c r="IS119" s="55">
        <f>SUMIFS(tblBudget[Ore_Mined_t],tblBudget[Month],$E119)</f>
        <v/>
      </c>
      <c r="IT119" s="55">
        <f>$IS119*$C119/$D119</f>
        <v/>
      </c>
      <c r="IU119" s="55">
        <f>SUMIFS(tblBudget[Ore_Mined_t],tblBudget[Month],"&lt;"&amp;$E119)+$IT119</f>
        <v/>
      </c>
      <c r="IV119" s="55">
        <f>SUMIFS(tblBudget[Ore_oz],tblBudget[Month],$E119)</f>
        <v/>
      </c>
      <c r="IW119" s="55">
        <f>$IV119*$C119/$D119</f>
        <v/>
      </c>
      <c r="IX119" s="55">
        <f>SUMIFS(tblBudget[Ore_oz],tblBudget[Month],"&lt;"&amp;$E119)+$IW119</f>
        <v/>
      </c>
      <c r="IY119" s="55">
        <f>SUMIFS(tblBudget[Ore_Mined_t],tblBudget[Month],$E119)</f>
        <v/>
      </c>
      <c r="IZ119" s="55">
        <f>$IY119*$C119/$D119</f>
        <v/>
      </c>
      <c r="JA119" s="55">
        <f>SUMIFS(tblBudget[Ore_Mined_t],tblBudget[Month],"&lt;"&amp;$E119)+$IZ119</f>
        <v/>
      </c>
      <c r="JB119" s="56">
        <f>IFERROR(IF(($IY119)&gt;0,($IV119*cfg_TroyOz)/($IY119),""),"")</f>
        <v/>
      </c>
      <c r="JC119" s="56">
        <f>IFERROR(IF(($IZ119)&gt;0,($IW119*cfg_TroyOz)/($IZ119),""),"")</f>
        <v/>
      </c>
      <c r="JD119" s="56">
        <f>IFERROR(IF(($JA119)&gt;0,($IX119*cfg_TroyOz)/($JA119),""),"")</f>
        <v/>
      </c>
      <c r="JE119" s="55">
        <f>SUMIFS(tblBudget[Waste_t],tblBudget[Month],$E119)</f>
        <v/>
      </c>
      <c r="JF119" s="55">
        <f>$JE119*$C119/$D119</f>
        <v/>
      </c>
      <c r="JG119" s="55">
        <f>SUMIFS(tblBudget[Waste_t],tblBudget[Month],"&lt;"&amp;$E119)+$JF119</f>
        <v/>
      </c>
      <c r="JH119" s="55">
        <f>SUMIFS(tblBudget[TMM_t],tblBudget[Month],$E119)</f>
        <v/>
      </c>
      <c r="JI119" s="55">
        <f>$JH119*$C119/$D119</f>
        <v/>
      </c>
      <c r="JJ119" s="55">
        <f>SUMIFS(tblBudget[TMM_t],tblBudget[Month],"&lt;"&amp;$E119)+$JI119</f>
        <v/>
      </c>
      <c r="JK119" s="56">
        <f>IFERROR(IF(($IS119)&gt;0,($JE119)/($IS119),""),"")</f>
        <v/>
      </c>
      <c r="JL119" s="56">
        <f>IFERROR(IF(($IT119)&gt;0,($JF119)/($IT119),""),"")</f>
        <v/>
      </c>
      <c r="JM119" s="56">
        <f>IFERROR(IF(($IU119)&gt;0,($JG119)/($IU119),""),"")</f>
        <v/>
      </c>
      <c r="JN119" s="55">
        <f>SUMIFS(tblBudget[Drill_m],tblBudget[Month],$E119)</f>
        <v/>
      </c>
      <c r="JO119" s="55">
        <f>$JN119*$C119/$D119</f>
        <v/>
      </c>
      <c r="JP119" s="55">
        <f>SUMIFS(tblBudget[Drill_m],tblBudget[Month],"&lt;"&amp;$E119)+$JO119</f>
        <v/>
      </c>
      <c r="JQ119" s="55">
        <f>SUMIFS(tblBudget[Diesel_L],tblBudget[Month],$E119)</f>
        <v/>
      </c>
      <c r="JR119" s="55">
        <f>$JQ119*$C119/$D119</f>
        <v/>
      </c>
      <c r="JS119" s="55">
        <f>SUMIFS(tblBudget[Diesel_L],tblBudget[Month],"&lt;"&amp;$E119)+$JR119</f>
        <v/>
      </c>
      <c r="JT119" s="55">
        <f>SUMIFS(tblBudget[Milled_t],tblBudget[Month],$E119)</f>
        <v/>
      </c>
      <c r="JU119" s="55">
        <f>$JT119*$C119/$D119</f>
        <v/>
      </c>
      <c r="JV119" s="55">
        <f>SUMIFS(tblBudget[Milled_t],tblBudget[Month],"&lt;"&amp;$E119)+$JU119</f>
        <v/>
      </c>
      <c r="JW119" s="55">
        <f>SUMIFS(tblBudget[Feed_oz],tblBudget[Month],$E119)</f>
        <v/>
      </c>
      <c r="JX119" s="55">
        <f>$JW119*$C119/$D119</f>
        <v/>
      </c>
      <c r="JY119" s="55">
        <f>SUMIFS(tblBudget[Feed_oz],tblBudget[Month],"&lt;"&amp;$E119)+$JX119</f>
        <v/>
      </c>
      <c r="JZ119" s="55">
        <f>SUMIFS(tblBudget[Recovered_oz],tblBudget[Month],$E119)</f>
        <v/>
      </c>
      <c r="KA119" s="55">
        <f>$JZ119*$C119/$D119</f>
        <v/>
      </c>
      <c r="KB119" s="55">
        <f>SUMIFS(tblBudget[Recovered_oz],tblBudget[Month],"&lt;"&amp;$E119)+$KA119</f>
        <v/>
      </c>
      <c r="KC119" s="55">
        <f>SUMIFS(tblBudget[Milled_t],tblBudget[Month],$E119)</f>
        <v/>
      </c>
      <c r="KD119" s="55">
        <f>$KC119*$C119/$D119</f>
        <v/>
      </c>
      <c r="KE119" s="55">
        <f>SUMIFS(tblBudget[Milled_t],tblBudget[Month],"&lt;"&amp;$E119)+$KD119</f>
        <v/>
      </c>
      <c r="KF119" s="55">
        <f>SUMIFS(tblBudget[Feed_oz],tblBudget[Month],$E119)</f>
        <v/>
      </c>
      <c r="KG119" s="55">
        <f>$KF119*$C119/$D119</f>
        <v/>
      </c>
      <c r="KH119" s="55">
        <f>SUMIFS(tblBudget[Feed_oz],tblBudget[Month],"&lt;"&amp;$E119)+$KG119</f>
        <v/>
      </c>
      <c r="KI119" s="56">
        <f>IFERROR(IF(($KC119)&gt;0,($JW119*cfg_TroyOz)/($KC119),""),"")</f>
        <v/>
      </c>
      <c r="KJ119" s="56">
        <f>IFERROR(IF(($KD119)&gt;0,($JX119*cfg_TroyOz)/($KD119),""),"")</f>
        <v/>
      </c>
      <c r="KK119" s="56">
        <f>IFERROR(IF(($KE119)&gt;0,($JY119*cfg_TroyOz)/($KE119),""),"")</f>
        <v/>
      </c>
      <c r="KL119" s="67">
        <f>IFERROR(IF(($KF119)&gt;0,($JZ119)/($KF119),""),"")</f>
        <v/>
      </c>
      <c r="KM119" s="67">
        <f>IFERROR(IF(($KG119)&gt;0,($KA119)/($KG119),""),"")</f>
        <v/>
      </c>
      <c r="KN119" s="67">
        <f>IFERROR(IF(($KH119)&gt;0,($KB119)/($KH119),""),"")</f>
        <v/>
      </c>
      <c r="KO119" s="55">
        <f>SUMIFS(tblBudget[Gold_Poured_oz],tblBudget[Month],$E119)</f>
        <v/>
      </c>
      <c r="KP119" s="55">
        <f>$KO119*$C119/$D119</f>
        <v/>
      </c>
      <c r="KQ119" s="55">
        <f>SUMIFS(tblBudget[Gold_Poured_oz],tblBudget[Month],"&lt;"&amp;$E119)+$KP119</f>
        <v/>
      </c>
      <c r="KR119" s="57">
        <f>SUMIFS(tblBudget[Hours_Worked],tblBudget[Month],$E119)</f>
        <v/>
      </c>
      <c r="KS119" s="57">
        <f>$KR119*$C119/$D119</f>
        <v/>
      </c>
      <c r="KT119" s="57">
        <f>SUMIFS(tblBudget[Hours_Worked],tblBudget[Month],"&lt;"&amp;$E119)+$KS119</f>
        <v/>
      </c>
    </row>
    <row r="120">
      <c r="A120" s="54" t="n">
        <v>46141</v>
      </c>
      <c r="B120">
        <f>MONTH($A120)</f>
        <v/>
      </c>
      <c r="C120">
        <f>DAY($A120)</f>
        <v/>
      </c>
      <c r="D120">
        <f>DAY(EOMONTH($A120,0))</f>
        <v/>
      </c>
      <c r="E120" s="54">
        <f>DATE(YEAR($A120),MONTH($A120),1)</f>
        <v/>
      </c>
      <c r="F120" s="55">
        <f>SUMIFS(tblMovement[Tonnes_t],tblMovement[Date],$A120,tblMovement[Is_Ore],1,tblMovement[Source_Type],"Pit")</f>
        <v/>
      </c>
      <c r="G120" s="55">
        <f>IF($B120=$B119,$G119,0)+$F120</f>
        <v/>
      </c>
      <c r="H120" s="55">
        <f>$H119+$F120</f>
        <v/>
      </c>
      <c r="I120" s="55">
        <f>SUMIFS(tblMovement[Ore_oz],tblMovement[Date],$A120,tblMovement[Source_Type],"Pit")</f>
        <v/>
      </c>
      <c r="J120" s="55">
        <f>IF($B120=$B119,$J119,0)+$I120</f>
        <v/>
      </c>
      <c r="K120" s="55">
        <f>$K119+$I120</f>
        <v/>
      </c>
      <c r="L120" s="55">
        <f>SUMIFS(tblMovement[Tonnes_t],tblMovement[Date],$A120,tblMovement[Is_Ore],1,tblMovement[Source_Type],"Pit",tblMovement[Grade_gpt],"&lt;&gt;")</f>
        <v/>
      </c>
      <c r="M120" s="55">
        <f>IF($B120=$B119,$M119,0)+$L120</f>
        <v/>
      </c>
      <c r="N120" s="55">
        <f>$N119+$L120</f>
        <v/>
      </c>
      <c r="O120" s="56">
        <f>IFERROR(IF(($L120)&gt;0,($I120*cfg_TroyOz)/($L120),""),"")</f>
        <v/>
      </c>
      <c r="P120" s="56">
        <f>IFERROR(IF(($M120)&gt;0,($J120*cfg_TroyOz)/($M120),""),"")</f>
        <v/>
      </c>
      <c r="Q120" s="56">
        <f>IFERROR(IF(($N120)&gt;0,($K120*cfg_TroyOz)/($N120),""),"")</f>
        <v/>
      </c>
      <c r="R120" s="55">
        <f>$F120-$L120</f>
        <v/>
      </c>
      <c r="S120" s="55">
        <f>IF($B120=$B119,$S119,0)+$R120</f>
        <v/>
      </c>
      <c r="T120" s="55">
        <f>$T119+$R120</f>
        <v/>
      </c>
      <c r="U120" s="55">
        <f>SUMIFS(tblMovement[Tonnes_t],tblMovement[Date],$A120,tblMovement[Is_Ore],0,tblMovement[Source_Type],"Pit")</f>
        <v/>
      </c>
      <c r="V120" s="55">
        <f>IF($B120=$B119,$V119,0)+$U120</f>
        <v/>
      </c>
      <c r="W120" s="55">
        <f>$W119+$U120</f>
        <v/>
      </c>
      <c r="X120" s="55">
        <f>$F120+$U120</f>
        <v/>
      </c>
      <c r="Y120" s="55">
        <f>IF($B120=$B119,$Y119,0)+$X120</f>
        <v/>
      </c>
      <c r="Z120" s="55">
        <f>$Z119+$X120</f>
        <v/>
      </c>
      <c r="AA120" s="56">
        <f>IFERROR(IF(($F120)&gt;0,($U120)/($F120),""),"")</f>
        <v/>
      </c>
      <c r="AB120" s="56">
        <f>IFERROR(IF(($G120)&gt;0,($V120)/($G120),""),"")</f>
        <v/>
      </c>
      <c r="AC120" s="56">
        <f>IFERROR(IF(($H120)&gt;0,($W120)/($H120),""),"")</f>
        <v/>
      </c>
      <c r="AD120" s="55">
        <f>SUMIFS(tblMovement[Tonnes_t],tblMovement[Date],$A120,tblMovement[Source_Type],"Stockpile")</f>
        <v/>
      </c>
      <c r="AE120" s="55">
        <f>IF($B120=$B119,$AE119,0)+$AD120</f>
        <v/>
      </c>
      <c r="AF120" s="55">
        <f>$AF119+$AD120</f>
        <v/>
      </c>
      <c r="AG120" s="55">
        <f>SUMIFS(tblMovement[Tonnes_t],tblMovement[Date],$A120)</f>
        <v/>
      </c>
      <c r="AH120" s="55">
        <f>IF($B120=$B119,$AH119,0)+$AG120</f>
        <v/>
      </c>
      <c r="AI120" s="55">
        <f>$AI119+$AG120</f>
        <v/>
      </c>
      <c r="AJ120" s="55">
        <f>$AG120-$X120-$AD120</f>
        <v/>
      </c>
      <c r="AK120" s="55">
        <f>IF($B120=$B119,$AK119,0)+$AJ120</f>
        <v/>
      </c>
      <c r="AL120" s="55">
        <f>$AL119+$AJ120</f>
        <v/>
      </c>
      <c r="AM120" s="55">
        <f>SUMIFS(tblMiningDaily[Drill_m],tblMiningDaily[Date],$A120)</f>
        <v/>
      </c>
      <c r="AN120" s="55">
        <f>IF($B120=$B119,$AN119,0)+$AM120</f>
        <v/>
      </c>
      <c r="AO120" s="55">
        <f>$AO119+$AM120</f>
        <v/>
      </c>
      <c r="AP120" s="55">
        <f>SUMIFS(tblMiningDaily[GC_Drill_m],tblMiningDaily[Date],$A120)</f>
        <v/>
      </c>
      <c r="AQ120" s="55">
        <f>IF($B120=$B119,$AQ119,0)+$AP120</f>
        <v/>
      </c>
      <c r="AR120" s="55">
        <f>$AR119+$AP120</f>
        <v/>
      </c>
      <c r="AS120" s="55">
        <f>SUMIFS(tblMiningDaily[Blast_t],tblMiningDaily[Date],$A120)</f>
        <v/>
      </c>
      <c r="AT120" s="55">
        <f>IF($B120=$B119,$AT119,0)+$AS120</f>
        <v/>
      </c>
      <c r="AU120" s="55">
        <f>$AU119+$AS120</f>
        <v/>
      </c>
      <c r="AV120" s="55">
        <f>SUMIFS(tblMiningDaily[Explosives_kg],tblMiningDaily[Date],$A120)</f>
        <v/>
      </c>
      <c r="AW120" s="55">
        <f>IF($B120=$B119,$AW119,0)+$AV120</f>
        <v/>
      </c>
      <c r="AX120" s="55">
        <f>$AX119+$AV120</f>
        <v/>
      </c>
      <c r="AY120" s="56">
        <f>IFERROR(IF(($AS120)&gt;0,($AV120)/($AS120),""),"")</f>
        <v/>
      </c>
      <c r="AZ120" s="56">
        <f>IFERROR(IF(($AT120)&gt;0,($AW120)/($AT120),""),"")</f>
        <v/>
      </c>
      <c r="BA120" s="56">
        <f>IFERROR(IF(($AU120)&gt;0,($AX120)/($AU120),""),"")</f>
        <v/>
      </c>
      <c r="BB120" s="55">
        <f>SUMIFS(tblMiningDaily[Diesel_L],tblMiningDaily[Date],$A120)</f>
        <v/>
      </c>
      <c r="BC120" s="55">
        <f>IF($B120=$B119,$BC119,0)+$BB120</f>
        <v/>
      </c>
      <c r="BD120" s="55">
        <f>$BD119+$BB120</f>
        <v/>
      </c>
      <c r="BE120" s="55">
        <f>SUMIFS(tblMiningDaily[Dewatering_m3],tblMiningDaily[Date],$A120)</f>
        <v/>
      </c>
      <c r="BF120" s="55">
        <f>IF($B120=$B119,$BF119,0)+$BE120</f>
        <v/>
      </c>
      <c r="BG120" s="55">
        <f>$BG119+$BE120</f>
        <v/>
      </c>
      <c r="BH120" s="57">
        <f>SUMIFS(tblFleet[Calendar_h],tblFleet[Date],$A120,tblFleet[Equipment_Class],"Excavator")</f>
        <v/>
      </c>
      <c r="BI120" s="57">
        <f>IF($B120=$B119,$BI119,0)+$BH120</f>
        <v/>
      </c>
      <c r="BJ120" s="57">
        <f>$BJ119+$BH120</f>
        <v/>
      </c>
      <c r="BK120" s="57">
        <f>SUMIFS(tblFleet[Available_h],tblFleet[Date],$A120,tblFleet[Equipment_Class],"Excavator")</f>
        <v/>
      </c>
      <c r="BL120" s="57">
        <f>IF($B120=$B119,$BL119,0)+$BK120</f>
        <v/>
      </c>
      <c r="BM120" s="57">
        <f>$BM119+$BK120</f>
        <v/>
      </c>
      <c r="BN120" s="57">
        <f>SUMIFS(tblFleet[Operating_h],tblFleet[Date],$A120,tblFleet[Equipment_Class],"Excavator")</f>
        <v/>
      </c>
      <c r="BO120" s="57">
        <f>IF($B120=$B119,$BO119,0)+$BN120</f>
        <v/>
      </c>
      <c r="BP120" s="57">
        <f>$BP119+$BN120</f>
        <v/>
      </c>
      <c r="BQ120" s="67">
        <f>IFERROR(IF(($BH120)&gt;0,($BK120)/($BH120),""),"")</f>
        <v/>
      </c>
      <c r="BR120" s="67">
        <f>IFERROR(IF(($BI120)&gt;0,($BL120)/($BI120),""),"")</f>
        <v/>
      </c>
      <c r="BS120" s="67">
        <f>IFERROR(IF(($BJ120)&gt;0,($BM120)/($BJ120),""),"")</f>
        <v/>
      </c>
      <c r="BT120" s="67">
        <f>IFERROR(IF(($BK120)&gt;0,($BN120)/($BK120),""),"")</f>
        <v/>
      </c>
      <c r="BU120" s="67">
        <f>IFERROR(IF(($BL120)&gt;0,($BO120)/($BL120),""),"")</f>
        <v/>
      </c>
      <c r="BV120" s="67">
        <f>IFERROR(IF(($BM120)&gt;0,($BP120)/($BM120),""),"")</f>
        <v/>
      </c>
      <c r="BW120" s="57">
        <f>SUMIFS(tblFleet[Calendar_h],tblFleet[Date],$A120,tblFleet[Equipment_Class],"Haul Truck")</f>
        <v/>
      </c>
      <c r="BX120" s="57">
        <f>IF($B120=$B119,$BX119,0)+$BW120</f>
        <v/>
      </c>
      <c r="BY120" s="57">
        <f>$BY119+$BW120</f>
        <v/>
      </c>
      <c r="BZ120" s="57">
        <f>SUMIFS(tblFleet[Available_h],tblFleet[Date],$A120,tblFleet[Equipment_Class],"Haul Truck")</f>
        <v/>
      </c>
      <c r="CA120" s="57">
        <f>IF($B120=$B119,$CA119,0)+$BZ120</f>
        <v/>
      </c>
      <c r="CB120" s="57">
        <f>$CB119+$BZ120</f>
        <v/>
      </c>
      <c r="CC120" s="57">
        <f>SUMIFS(tblFleet[Operating_h],tblFleet[Date],$A120,tblFleet[Equipment_Class],"Haul Truck")</f>
        <v/>
      </c>
      <c r="CD120" s="57">
        <f>IF($B120=$B119,$CD119,0)+$CC120</f>
        <v/>
      </c>
      <c r="CE120" s="57">
        <f>$CE119+$CC120</f>
        <v/>
      </c>
      <c r="CF120" s="67">
        <f>IFERROR(IF(($BW120)&gt;0,($BZ120)/($BW120),""),"")</f>
        <v/>
      </c>
      <c r="CG120" s="67">
        <f>IFERROR(IF(($BX120)&gt;0,($CA120)/($BX120),""),"")</f>
        <v/>
      </c>
      <c r="CH120" s="67">
        <f>IFERROR(IF(($BY120)&gt;0,($CB120)/($BY120),""),"")</f>
        <v/>
      </c>
      <c r="CI120" s="67">
        <f>IFERROR(IF(($BZ120)&gt;0,($CC120)/($BZ120),""),"")</f>
        <v/>
      </c>
      <c r="CJ120" s="67">
        <f>IFERROR(IF(($CA120)&gt;0,($CD120)/($CA120),""),"")</f>
        <v/>
      </c>
      <c r="CK120" s="67">
        <f>IFERROR(IF(($CB120)&gt;0,($CE120)/($CB120),""),"")</f>
        <v/>
      </c>
      <c r="CL120" s="55">
        <f>IFERROR(IF(($BN120)&gt;0,($X120+$AD120)/($BN120),""),"")</f>
        <v/>
      </c>
      <c r="CM120" s="55">
        <f>IFERROR(IF(($BO120)&gt;0,($Y120+$AE120)/($BO120),""),"")</f>
        <v/>
      </c>
      <c r="CN120" s="55">
        <f>IFERROR(IF(($BP120)&gt;0,($Z120+$AF120)/($BP120),""),"")</f>
        <v/>
      </c>
      <c r="CO120" s="55">
        <f>IFERROR(IF(($CC120)&gt;0,($X120+$AD120)/($CC120),""),"")</f>
        <v/>
      </c>
      <c r="CP120" s="55">
        <f>IFERROR(IF(($CD120)&gt;0,($Y120+$AE120)/($CD120),""),"")</f>
        <v/>
      </c>
      <c r="CQ120" s="55">
        <f>IFERROR(IF(($CE120)&gt;0,($Z120+$AF120)/($CE120),""),"")</f>
        <v/>
      </c>
      <c r="CR120" s="55">
        <f>SUMIFS(tblPlant[Crushed_t],tblPlant[Date],$A120)</f>
        <v/>
      </c>
      <c r="CS120" s="55">
        <f>IF($B120=$B119,$CS119,0)+$CR120</f>
        <v/>
      </c>
      <c r="CT120" s="55">
        <f>$CT119+$CR120</f>
        <v/>
      </c>
      <c r="CU120" s="55">
        <f>SUMIFS(tblPlant[Milled_t],tblPlant[Date],$A120)</f>
        <v/>
      </c>
      <c r="CV120" s="55">
        <f>IF($B120=$B119,$CV119,0)+$CU120</f>
        <v/>
      </c>
      <c r="CW120" s="55">
        <f>$CW119+$CU120</f>
        <v/>
      </c>
      <c r="CX120" s="55">
        <f>SUMIFS(tblPlant[Feed_oz],tblPlant[Date],$A120)</f>
        <v/>
      </c>
      <c r="CY120" s="55">
        <f>IF($B120=$B119,$CY119,0)+$CX120</f>
        <v/>
      </c>
      <c r="CZ120" s="55">
        <f>$CZ119+$CX120</f>
        <v/>
      </c>
      <c r="DA120" s="55">
        <f>SUMIFS(tblPlant[Tails_oz],tblPlant[Date],$A120)</f>
        <v/>
      </c>
      <c r="DB120" s="55">
        <f>IF($B120=$B119,$DB119,0)+$DA120</f>
        <v/>
      </c>
      <c r="DC120" s="55">
        <f>$DC119+$DA120</f>
        <v/>
      </c>
      <c r="DD120" s="55">
        <f>SUMIFS(tblPlant[Recovered_oz],tblPlant[Date],$A120)</f>
        <v/>
      </c>
      <c r="DE120" s="55">
        <f>IF($B120=$B119,$DE119,0)+$DD120</f>
        <v/>
      </c>
      <c r="DF120" s="55">
        <f>$DF119+$DD120</f>
        <v/>
      </c>
      <c r="DG120" s="55">
        <f>SUMIFS(tblPlant[Milled_t],tblPlant[Date],$A120,tblPlant[Head_Grade_gpt],"&lt;&gt;")</f>
        <v/>
      </c>
      <c r="DH120" s="55">
        <f>IF($B120=$B119,$DH119,0)+$DG120</f>
        <v/>
      </c>
      <c r="DI120" s="55">
        <f>$DI119+$DG120</f>
        <v/>
      </c>
      <c r="DJ120" s="55">
        <f>SUMIFS(tblPlant[Milled_t],tblPlant[Date],$A120,tblPlant[Tails_Grade_gpt],"&lt;&gt;")</f>
        <v/>
      </c>
      <c r="DK120" s="55">
        <f>IF($B120=$B119,$DK119,0)+$DJ120</f>
        <v/>
      </c>
      <c r="DL120" s="55">
        <f>$DL119+$DJ120</f>
        <v/>
      </c>
      <c r="DM120" s="55">
        <f>SUMIFS(tblPlant[Feed_oz],tblPlant[Date],$A120,tblPlant[Tails_Grade_gpt],"&lt;&gt;")</f>
        <v/>
      </c>
      <c r="DN120" s="55">
        <f>IF($B120=$B119,$DN119,0)+$DM120</f>
        <v/>
      </c>
      <c r="DO120" s="55">
        <f>$DO119+$DM120</f>
        <v/>
      </c>
      <c r="DP120" s="55">
        <f>SUMIFS(tblPlant[Milled_t],tblPlant[Date],$A120,tblPlant[Mill_Run_h],"&lt;&gt;")</f>
        <v/>
      </c>
      <c r="DQ120" s="55">
        <f>IF($B120=$B119,$DQ119,0)+$DP120</f>
        <v/>
      </c>
      <c r="DR120" s="55">
        <f>$DR119+$DP120</f>
        <v/>
      </c>
      <c r="DS120" s="56">
        <f>IFERROR(IF(($DG120)&gt;0,($CX120*cfg_TroyOz)/($DG120),""),"")</f>
        <v/>
      </c>
      <c r="DT120" s="56">
        <f>IFERROR(IF(($DH120)&gt;0,($CY120*cfg_TroyOz)/($DH120),""),"")</f>
        <v/>
      </c>
      <c r="DU120" s="56">
        <f>IFERROR(IF(($DI120)&gt;0,($CZ120*cfg_TroyOz)/($DI120),""),"")</f>
        <v/>
      </c>
      <c r="DV120" s="56">
        <f>IFERROR(IF(($DJ120)&gt;0,($DA120*cfg_TroyOz)/($DJ120),""),"")</f>
        <v/>
      </c>
      <c r="DW120" s="56">
        <f>IFERROR(IF(($DK120)&gt;0,($DB120*cfg_TroyOz)/($DK120),""),"")</f>
        <v/>
      </c>
      <c r="DX120" s="56">
        <f>IFERROR(IF(($DL120)&gt;0,($DC120*cfg_TroyOz)/($DL120),""),"")</f>
        <v/>
      </c>
      <c r="DY120" s="67">
        <f>IFERROR(IF(($DM120)&gt;0,($DD120)/($DM120),""),"")</f>
        <v/>
      </c>
      <c r="DZ120" s="67">
        <f>IFERROR(IF(($DN120)&gt;0,($DE120)/($DN120),""),"")</f>
        <v/>
      </c>
      <c r="EA120" s="67">
        <f>IFERROR(IF(($DO120)&gt;0,($DF120)/($DO120),""),"")</f>
        <v/>
      </c>
      <c r="EB120" s="55">
        <f>SUMIFS(tblPlant[Gravity_Gold_oz],tblPlant[Date],$A120)</f>
        <v/>
      </c>
      <c r="EC120" s="55">
        <f>IF($B120=$B119,$EC119,0)+$EB120</f>
        <v/>
      </c>
      <c r="ED120" s="55">
        <f>$ED119+$EB120</f>
        <v/>
      </c>
      <c r="EE120" s="67">
        <f>IFERROR(IF(($DD120)&gt;0,($EB120)/($DD120),""),"")</f>
        <v/>
      </c>
      <c r="EF120" s="67">
        <f>IFERROR(IF(($DE120)&gt;0,($EC120)/($DE120),""),"")</f>
        <v/>
      </c>
      <c r="EG120" s="67">
        <f>IFERROR(IF(($DF120)&gt;0,($ED120)/($DF120),""),"")</f>
        <v/>
      </c>
      <c r="EH120" s="55">
        <f>SUMIFS(tblPlant[Gold_Poured_oz],tblPlant[Date],$A120)</f>
        <v/>
      </c>
      <c r="EI120" s="55">
        <f>IF($B120=$B119,$EI119,0)+$EH120</f>
        <v/>
      </c>
      <c r="EJ120" s="55">
        <f>$EJ119+$EH120</f>
        <v/>
      </c>
      <c r="EK120" s="57">
        <f>SUMIFS(tblPlant[Mill_Run_h],tblPlant[Date],$A120)</f>
        <v/>
      </c>
      <c r="EL120" s="57">
        <f>IF($B120=$B119,$EL119,0)+$EK120</f>
        <v/>
      </c>
      <c r="EM120" s="57">
        <f>$EM119+$EK120</f>
        <v/>
      </c>
      <c r="EN120" s="57">
        <f>SUMIFS(tblPlant[Mill_Planned_Maint_h],tblPlant[Date],$A120)</f>
        <v/>
      </c>
      <c r="EO120" s="57">
        <f>IF($B120=$B119,$EO119,0)+$EN120</f>
        <v/>
      </c>
      <c r="EP120" s="57">
        <f>$EP119+$EN120</f>
        <v/>
      </c>
      <c r="EQ120" s="57">
        <f>SUMIFS(tblPlant[Mill_Unplanned_Down_h],tblPlant[Date],$A120)</f>
        <v/>
      </c>
      <c r="ER120" s="57">
        <f>IF($B120=$B119,$ER119,0)+$EQ120</f>
        <v/>
      </c>
      <c r="ES120" s="57">
        <f>$ES119+$EQ120</f>
        <v/>
      </c>
      <c r="ET120" s="57">
        <f>IF(COUNTIFS(tblPlant[Date],$A120,tblPlant[Mill_Run_h],"&lt;&gt;")+COUNTIFS(tblPlant[Date],$A120,tblPlant[Mill_Planned_Maint_h],"&lt;&gt;")+COUNTIFS(tblPlant[Date],$A120,tblPlant[Mill_Unplanned_Down_h],"&lt;&gt;")&gt;0,cfg_HoursPerDay,0)</f>
        <v/>
      </c>
      <c r="EU120" s="57">
        <f>IF($B120=$B119,$EU119,0)+$ET120</f>
        <v/>
      </c>
      <c r="EV120" s="57">
        <f>$EV119+$ET120</f>
        <v/>
      </c>
      <c r="EW120" s="57">
        <f>SUMIFS(tblPlant[Crusher_Run_h],tblPlant[Date],$A120)</f>
        <v/>
      </c>
      <c r="EX120" s="57">
        <f>IF($B120=$B119,$EX119,0)+$EW120</f>
        <v/>
      </c>
      <c r="EY120" s="57">
        <f>$EY119+$EW120</f>
        <v/>
      </c>
      <c r="EZ120" s="55">
        <f>IFERROR(IF(($EK120)&gt;0,($DP120)/($EK120),""),"")</f>
        <v/>
      </c>
      <c r="FA120" s="55">
        <f>IFERROR(IF(($EL120)&gt;0,($DQ120)/($EL120),""),"")</f>
        <v/>
      </c>
      <c r="FB120" s="55">
        <f>IFERROR(IF(($EM120)&gt;0,($DR120)/($EM120),""),"")</f>
        <v/>
      </c>
      <c r="FC120" s="67">
        <f>IFERROR(IF(($ET120)&gt;0,($ET120-$EN120-$EQ120)/($ET120),""),"")</f>
        <v/>
      </c>
      <c r="FD120" s="67">
        <f>IFERROR(IF(($EU120)&gt;0,($EU120-$EO120-$ER120)/($EU120),""),"")</f>
        <v/>
      </c>
      <c r="FE120" s="67">
        <f>IFERROR(IF(($EV120)&gt;0,($EV120-$EP120-$ES120)/($EV120),""),"")</f>
        <v/>
      </c>
      <c r="FF120" s="67">
        <f>IFERROR(IF(($ET120-$EN120-$EQ120)&gt;0,($EK120)/($ET120-$EN120-$EQ120),""),"")</f>
        <v/>
      </c>
      <c r="FG120" s="67">
        <f>IFERROR(IF(($EU120-$EO120-$ER120)&gt;0,($EL120)/($EU120-$EO120-$ER120),""),"")</f>
        <v/>
      </c>
      <c r="FH120" s="67">
        <f>IFERROR(IF(($EV120-$EP120-$ES120)&gt;0,($EM120)/($EV120-$EP120-$ES120),""),"")</f>
        <v/>
      </c>
      <c r="FI120" s="55">
        <f>SUMIFS(tblPlant[Cyanide_kg],tblPlant[Date],$A120)</f>
        <v/>
      </c>
      <c r="FJ120" s="55">
        <f>IF($B120=$B119,$FJ119,0)+$FI120</f>
        <v/>
      </c>
      <c r="FK120" s="55">
        <f>$FK119+$FI120</f>
        <v/>
      </c>
      <c r="FL120" s="55">
        <f>SUMIFS(tblPlant[Lime_kg],tblPlant[Date],$A120)</f>
        <v/>
      </c>
      <c r="FM120" s="55">
        <f>IF($B120=$B119,$FM119,0)+$FL120</f>
        <v/>
      </c>
      <c r="FN120" s="55">
        <f>$FN119+$FL120</f>
        <v/>
      </c>
      <c r="FO120" s="55">
        <f>SUMIFS(tblPlant[Grinding_Media_kg],tblPlant[Date],$A120)</f>
        <v/>
      </c>
      <c r="FP120" s="55">
        <f>IF($B120=$B119,$FP119,0)+$FO120</f>
        <v/>
      </c>
      <c r="FQ120" s="55">
        <f>$FQ119+$FO120</f>
        <v/>
      </c>
      <c r="FR120" s="55">
        <f>SUMIFS(tblPlant[Power_kWh],tblPlant[Date],$A120)</f>
        <v/>
      </c>
      <c r="FS120" s="55">
        <f>IF($B120=$B119,$FS119,0)+$FR120</f>
        <v/>
      </c>
      <c r="FT120" s="55">
        <f>$FT119+$FR120</f>
        <v/>
      </c>
      <c r="FU120" s="55">
        <f>SUMIFS(tblPlant[Raw_Water_m3],tblPlant[Date],$A120)</f>
        <v/>
      </c>
      <c r="FV120" s="55">
        <f>IF($B120=$B119,$FV119,0)+$FU120</f>
        <v/>
      </c>
      <c r="FW120" s="55">
        <f>$FW119+$FU120</f>
        <v/>
      </c>
      <c r="FX120" s="56">
        <f>IFERROR(IF(($CU120)&gt;0,($FI120)/($CU120),""),"")</f>
        <v/>
      </c>
      <c r="FY120" s="56">
        <f>IFERROR(IF(($CV120)&gt;0,($FJ120)/($CV120),""),"")</f>
        <v/>
      </c>
      <c r="FZ120" s="56">
        <f>IFERROR(IF(($CW120)&gt;0,($FK120)/($CW120),""),"")</f>
        <v/>
      </c>
      <c r="GA120" s="56">
        <f>IFERROR(IF(($CU120)&gt;0,($FL120)/($CU120),""),"")</f>
        <v/>
      </c>
      <c r="GB120" s="56">
        <f>IFERROR(IF(($CV120)&gt;0,($FM120)/($CV120),""),"")</f>
        <v/>
      </c>
      <c r="GC120" s="56">
        <f>IFERROR(IF(($CW120)&gt;0,($FN120)/($CW120),""),"")</f>
        <v/>
      </c>
      <c r="GD120" s="56">
        <f>IFERROR(IF(($CU120)&gt;0,($FO120)/($CU120),""),"")</f>
        <v/>
      </c>
      <c r="GE120" s="56">
        <f>IFERROR(IF(($CV120)&gt;0,($FP120)/($CV120),""),"")</f>
        <v/>
      </c>
      <c r="GF120" s="56">
        <f>IFERROR(IF(($CW120)&gt;0,($FQ120)/($CW120),""),"")</f>
        <v/>
      </c>
      <c r="GG120" s="79">
        <f>IFERROR(IF(($CU120)&gt;0,($FR120)/($CU120),""),"")</f>
        <v/>
      </c>
      <c r="GH120" s="79">
        <f>IFERROR(IF(($CV120)&gt;0,($FS120)/($CV120),""),"")</f>
        <v/>
      </c>
      <c r="GI120" s="79">
        <f>IFERROR(IF(($CW120)&gt;0,($FT120)/($CW120),""),"")</f>
        <v/>
      </c>
      <c r="GJ120" s="56">
        <f>IFERROR(IF(($CU120)&gt;0,($FU120)/($CU120),""),"")</f>
        <v/>
      </c>
      <c r="GK120" s="56">
        <f>IFERROR(IF(($CV120)&gt;0,($FV120)/($CV120),""),"")</f>
        <v/>
      </c>
      <c r="GL120" s="56">
        <f>IFERROR(IF(($CW120)&gt;0,($FW120)/($CW120),""),"")</f>
        <v/>
      </c>
      <c r="GM120" s="55">
        <f>IF(SUMIFS(tblPlant[GIC_oz],tblPlant[Date],$A120)&gt;0,SUMIFS(tblPlant[GIC_oz],tblPlant[Date],$A120),"")</f>
        <v/>
      </c>
      <c r="GN120" s="55">
        <f>SUMIFS(tblGold[Gold_oz],tblGold[Date],$A120,tblGold[Type],"Shipment")</f>
        <v/>
      </c>
      <c r="GO120" s="55">
        <f>IF($B120=$B119,$GO119,0)+$GN120</f>
        <v/>
      </c>
      <c r="GP120" s="55">
        <f>$GP119+$GN120</f>
        <v/>
      </c>
      <c r="GQ120" s="55">
        <f>SUMIFS(tblGold[Gold_oz],tblGold[Date],$A120,tblGold[Type],"Sale")</f>
        <v/>
      </c>
      <c r="GR120" s="55">
        <f>IF($B120=$B119,$GR119,0)+$GQ120</f>
        <v/>
      </c>
      <c r="GS120" s="55">
        <f>$GS119+$GQ120</f>
        <v/>
      </c>
      <c r="GT120" s="55">
        <f>SUMIFS(tblGold[Dore_kg],tblGold[Date],$A120,tblGold[Type],"Shipment")</f>
        <v/>
      </c>
      <c r="GU120" s="55">
        <f>IF($B120=$B119,$GU119,0)+$GT120</f>
        <v/>
      </c>
      <c r="GV120" s="55">
        <f>$GV119+$GT120</f>
        <v/>
      </c>
      <c r="GW120" s="57">
        <f>SUMIFS(tblSafety[Hours_Total],tblSafety[Date],$A120)</f>
        <v/>
      </c>
      <c r="GX120" s="57">
        <f>IF($B120=$B119,$GX119,0)+$GW120</f>
        <v/>
      </c>
      <c r="GY120" s="57">
        <f>$GY119+$GW120</f>
        <v/>
      </c>
      <c r="GZ120" s="62">
        <f>SUMIFS(tblSafety[Fatality],tblSafety[Date],$A120)</f>
        <v/>
      </c>
      <c r="HA120" s="62">
        <f>IF($B120=$B119,$HA119,0)+$GZ120</f>
        <v/>
      </c>
      <c r="HB120" s="62">
        <f>$HB119+$GZ120</f>
        <v/>
      </c>
      <c r="HC120" s="62">
        <f>SUMIFS(tblSafety[LTI],tblSafety[Date],$A120)</f>
        <v/>
      </c>
      <c r="HD120" s="62">
        <f>IF($B120=$B119,$HD119,0)+$HC120</f>
        <v/>
      </c>
      <c r="HE120" s="62">
        <f>$HE119+$HC120</f>
        <v/>
      </c>
      <c r="HF120" s="62">
        <f>SUMIFS(tblSafety[RWI],tblSafety[Date],$A120)</f>
        <v/>
      </c>
      <c r="HG120" s="62">
        <f>IF($B120=$B119,$HG119,0)+$HF120</f>
        <v/>
      </c>
      <c r="HH120" s="62">
        <f>$HH119+$HF120</f>
        <v/>
      </c>
      <c r="HI120" s="62">
        <f>SUMIFS(tblSafety[MTI],tblSafety[Date],$A120)</f>
        <v/>
      </c>
      <c r="HJ120" s="62">
        <f>IF($B120=$B119,$HJ119,0)+$HI120</f>
        <v/>
      </c>
      <c r="HK120" s="62">
        <f>$HK119+$HI120</f>
        <v/>
      </c>
      <c r="HL120" s="62">
        <f>SUMIFS(tblSafety[FAI],tblSafety[Date],$A120)</f>
        <v/>
      </c>
      <c r="HM120" s="62">
        <f>IF($B120=$B119,$HM119,0)+$HL120</f>
        <v/>
      </c>
      <c r="HN120" s="62">
        <f>$HN119+$HL120</f>
        <v/>
      </c>
      <c r="HO120" s="62">
        <f>SUMIFS(tblSafety[Recordables],tblSafety[Date],$A120)</f>
        <v/>
      </c>
      <c r="HP120" s="62">
        <f>IF($B120=$B119,$HP119,0)+$HO120</f>
        <v/>
      </c>
      <c r="HQ120" s="62">
        <f>$HQ119+$HO120</f>
        <v/>
      </c>
      <c r="HR120" s="62">
        <f>SUMIFS(tblSafety[Near_Miss],tblSafety[Date],$A120)</f>
        <v/>
      </c>
      <c r="HS120" s="62">
        <f>IF($B120=$B119,$HS119,0)+$HR120</f>
        <v/>
      </c>
      <c r="HT120" s="62">
        <f>$HT119+$HR120</f>
        <v/>
      </c>
      <c r="HU120" s="62">
        <f>SUMIFS(tblSafety[Hazard_Reports],tblSafety[Date],$A120)</f>
        <v/>
      </c>
      <c r="HV120" s="62">
        <f>IF($B120=$B119,$HV119,0)+$HU120</f>
        <v/>
      </c>
      <c r="HW120" s="62">
        <f>$HW119+$HU120</f>
        <v/>
      </c>
      <c r="HX120" s="62">
        <f>SUMIFS(tblSafety[HPI],tblSafety[Date],$A120)</f>
        <v/>
      </c>
      <c r="HY120" s="62">
        <f>IF($B120=$B119,$HY119,0)+$HX120</f>
        <v/>
      </c>
      <c r="HZ120" s="62">
        <f>$HZ119+$HX120</f>
        <v/>
      </c>
      <c r="IA120" s="62">
        <f>SUMIFS(tblSafety[Env_Incidents],tblSafety[Date],$A120)</f>
        <v/>
      </c>
      <c r="IB120" s="62">
        <f>IF($B120=$B119,$IB119,0)+$IA120</f>
        <v/>
      </c>
      <c r="IC120" s="62">
        <f>$IC119+$IA120</f>
        <v/>
      </c>
      <c r="ID120" s="62">
        <f>SUMIFS(tblSafety[Community_Incidents],tblSafety[Date],$A120)</f>
        <v/>
      </c>
      <c r="IE120" s="62">
        <f>IF($B120=$B119,$IE119,0)+$ID120</f>
        <v/>
      </c>
      <c r="IF120" s="62">
        <f>$IF119+$ID120</f>
        <v/>
      </c>
      <c r="IG120" s="62">
        <f>SUMIFS(tblSafety[Vehicle_Incidents],tblSafety[Date],$A120)</f>
        <v/>
      </c>
      <c r="IH120" s="62">
        <f>IF($B120=$B119,$IH119,0)+$IG120</f>
        <v/>
      </c>
      <c r="II120" s="62">
        <f>$II119+$IG120</f>
        <v/>
      </c>
      <c r="IJ120" s="62">
        <f>SUMIFS(tblSafety[Toolbox_Talks],tblSafety[Date],$A120)</f>
        <v/>
      </c>
      <c r="IK120" s="62">
        <f>IF($B120=$B119,$IK119,0)+$IJ120</f>
        <v/>
      </c>
      <c r="IL120" s="62">
        <f>$IL119+$IJ120</f>
        <v/>
      </c>
      <c r="IM120" s="62">
        <f>SUMIFS(tblSafety[Inspections],tblSafety[Date],$A120)</f>
        <v/>
      </c>
      <c r="IN120" s="62">
        <f>IF($B120=$B119,$IN119,0)+$IM120</f>
        <v/>
      </c>
      <c r="IO120" s="62">
        <f>$IO119+$IM120</f>
        <v/>
      </c>
      <c r="IP120" s="56">
        <f>IFERROR((SUMIFS(tblSafety[Recordables],tblSafety[Date],"&gt;="&amp;EDATE($E120,-12),tblSafety[Date],"&lt;="&amp;$A120)+SUMIFS(tblSafetyHistory[Recordables],tblSafetyHistory[Month],"&gt;="&amp;EDATE($E120,-12),tblSafetyHistory[Month],"&lt;"&amp;$E120,tblSafetyHistory[Use],1))/(SUMIFS(tblSafety[Hours_Total],tblSafety[Date],"&gt;="&amp;EDATE($E120,-12),tblSafety[Date],"&lt;="&amp;$A120)+SUMIFS(tblSafetyHistory[Hours_Total],tblSafetyHistory[Month],"&gt;="&amp;EDATE($E120,-12),tblSafetyHistory[Month],"&lt;"&amp;$E120,tblSafetyHistory[Use],1))*cfg_RateBasisHours,"")</f>
        <v/>
      </c>
      <c r="IQ120" s="56">
        <f>IFERROR((SUMIFS(tblSafety[LTI],tblSafety[Date],"&gt;="&amp;EDATE($E120,-12),tblSafety[Date],"&lt;="&amp;$A120)+SUMIFS(tblSafetyHistory[LTI],tblSafetyHistory[Month],"&gt;="&amp;EDATE($E120,-12),tblSafetyHistory[Month],"&lt;"&amp;$E120,tblSafetyHistory[Use],1))/(SUMIFS(tblSafety[Hours_Total],tblSafety[Date],"&gt;="&amp;EDATE($E120,-12),tblSafety[Date],"&lt;="&amp;$A120)+SUMIFS(tblSafetyHistory[Hours_Total],tblSafetyHistory[Month],"&gt;="&amp;EDATE($E120,-12),tblSafetyHistory[Month],"&lt;"&amp;$E120,tblSafetyHistory[Use],1))*cfg_RateBasisHours,"")</f>
        <v/>
      </c>
      <c r="IR120" s="62">
        <f>IF(MAX(N(cfg_PriorLTIDate),_xlfn.MAXIFS(tblSafety[Date],tblSafety[LTI],"&gt;0",tblSafety[Date],"&lt;="&amp;$A120))=0,"",$A120-MAX(N(cfg_PriorLTIDate),_xlfn.MAXIFS(tblSafety[Date],tblSafety[LTI],"&gt;0",tblSafety[Date],"&lt;="&amp;$A120)))</f>
        <v/>
      </c>
      <c r="IS120" s="55">
        <f>SUMIFS(tblBudget[Ore_Mined_t],tblBudget[Month],$E120)</f>
        <v/>
      </c>
      <c r="IT120" s="55">
        <f>$IS120*$C120/$D120</f>
        <v/>
      </c>
      <c r="IU120" s="55">
        <f>SUMIFS(tblBudget[Ore_Mined_t],tblBudget[Month],"&lt;"&amp;$E120)+$IT120</f>
        <v/>
      </c>
      <c r="IV120" s="55">
        <f>SUMIFS(tblBudget[Ore_oz],tblBudget[Month],$E120)</f>
        <v/>
      </c>
      <c r="IW120" s="55">
        <f>$IV120*$C120/$D120</f>
        <v/>
      </c>
      <c r="IX120" s="55">
        <f>SUMIFS(tblBudget[Ore_oz],tblBudget[Month],"&lt;"&amp;$E120)+$IW120</f>
        <v/>
      </c>
      <c r="IY120" s="55">
        <f>SUMIFS(tblBudget[Ore_Mined_t],tblBudget[Month],$E120)</f>
        <v/>
      </c>
      <c r="IZ120" s="55">
        <f>$IY120*$C120/$D120</f>
        <v/>
      </c>
      <c r="JA120" s="55">
        <f>SUMIFS(tblBudget[Ore_Mined_t],tblBudget[Month],"&lt;"&amp;$E120)+$IZ120</f>
        <v/>
      </c>
      <c r="JB120" s="56">
        <f>IFERROR(IF(($IY120)&gt;0,($IV120*cfg_TroyOz)/($IY120),""),"")</f>
        <v/>
      </c>
      <c r="JC120" s="56">
        <f>IFERROR(IF(($IZ120)&gt;0,($IW120*cfg_TroyOz)/($IZ120),""),"")</f>
        <v/>
      </c>
      <c r="JD120" s="56">
        <f>IFERROR(IF(($JA120)&gt;0,($IX120*cfg_TroyOz)/($JA120),""),"")</f>
        <v/>
      </c>
      <c r="JE120" s="55">
        <f>SUMIFS(tblBudget[Waste_t],tblBudget[Month],$E120)</f>
        <v/>
      </c>
      <c r="JF120" s="55">
        <f>$JE120*$C120/$D120</f>
        <v/>
      </c>
      <c r="JG120" s="55">
        <f>SUMIFS(tblBudget[Waste_t],tblBudget[Month],"&lt;"&amp;$E120)+$JF120</f>
        <v/>
      </c>
      <c r="JH120" s="55">
        <f>SUMIFS(tblBudget[TMM_t],tblBudget[Month],$E120)</f>
        <v/>
      </c>
      <c r="JI120" s="55">
        <f>$JH120*$C120/$D120</f>
        <v/>
      </c>
      <c r="JJ120" s="55">
        <f>SUMIFS(tblBudget[TMM_t],tblBudget[Month],"&lt;"&amp;$E120)+$JI120</f>
        <v/>
      </c>
      <c r="JK120" s="56">
        <f>IFERROR(IF(($IS120)&gt;0,($JE120)/($IS120),""),"")</f>
        <v/>
      </c>
      <c r="JL120" s="56">
        <f>IFERROR(IF(($IT120)&gt;0,($JF120)/($IT120),""),"")</f>
        <v/>
      </c>
      <c r="JM120" s="56">
        <f>IFERROR(IF(($IU120)&gt;0,($JG120)/($IU120),""),"")</f>
        <v/>
      </c>
      <c r="JN120" s="55">
        <f>SUMIFS(tblBudget[Drill_m],tblBudget[Month],$E120)</f>
        <v/>
      </c>
      <c r="JO120" s="55">
        <f>$JN120*$C120/$D120</f>
        <v/>
      </c>
      <c r="JP120" s="55">
        <f>SUMIFS(tblBudget[Drill_m],tblBudget[Month],"&lt;"&amp;$E120)+$JO120</f>
        <v/>
      </c>
      <c r="JQ120" s="55">
        <f>SUMIFS(tblBudget[Diesel_L],tblBudget[Month],$E120)</f>
        <v/>
      </c>
      <c r="JR120" s="55">
        <f>$JQ120*$C120/$D120</f>
        <v/>
      </c>
      <c r="JS120" s="55">
        <f>SUMIFS(tblBudget[Diesel_L],tblBudget[Month],"&lt;"&amp;$E120)+$JR120</f>
        <v/>
      </c>
      <c r="JT120" s="55">
        <f>SUMIFS(tblBudget[Milled_t],tblBudget[Month],$E120)</f>
        <v/>
      </c>
      <c r="JU120" s="55">
        <f>$JT120*$C120/$D120</f>
        <v/>
      </c>
      <c r="JV120" s="55">
        <f>SUMIFS(tblBudget[Milled_t],tblBudget[Month],"&lt;"&amp;$E120)+$JU120</f>
        <v/>
      </c>
      <c r="JW120" s="55">
        <f>SUMIFS(tblBudget[Feed_oz],tblBudget[Month],$E120)</f>
        <v/>
      </c>
      <c r="JX120" s="55">
        <f>$JW120*$C120/$D120</f>
        <v/>
      </c>
      <c r="JY120" s="55">
        <f>SUMIFS(tblBudget[Feed_oz],tblBudget[Month],"&lt;"&amp;$E120)+$JX120</f>
        <v/>
      </c>
      <c r="JZ120" s="55">
        <f>SUMIFS(tblBudget[Recovered_oz],tblBudget[Month],$E120)</f>
        <v/>
      </c>
      <c r="KA120" s="55">
        <f>$JZ120*$C120/$D120</f>
        <v/>
      </c>
      <c r="KB120" s="55">
        <f>SUMIFS(tblBudget[Recovered_oz],tblBudget[Month],"&lt;"&amp;$E120)+$KA120</f>
        <v/>
      </c>
      <c r="KC120" s="55">
        <f>SUMIFS(tblBudget[Milled_t],tblBudget[Month],$E120)</f>
        <v/>
      </c>
      <c r="KD120" s="55">
        <f>$KC120*$C120/$D120</f>
        <v/>
      </c>
      <c r="KE120" s="55">
        <f>SUMIFS(tblBudget[Milled_t],tblBudget[Month],"&lt;"&amp;$E120)+$KD120</f>
        <v/>
      </c>
      <c r="KF120" s="55">
        <f>SUMIFS(tblBudget[Feed_oz],tblBudget[Month],$E120)</f>
        <v/>
      </c>
      <c r="KG120" s="55">
        <f>$KF120*$C120/$D120</f>
        <v/>
      </c>
      <c r="KH120" s="55">
        <f>SUMIFS(tblBudget[Feed_oz],tblBudget[Month],"&lt;"&amp;$E120)+$KG120</f>
        <v/>
      </c>
      <c r="KI120" s="56">
        <f>IFERROR(IF(($KC120)&gt;0,($JW120*cfg_TroyOz)/($KC120),""),"")</f>
        <v/>
      </c>
      <c r="KJ120" s="56">
        <f>IFERROR(IF(($KD120)&gt;0,($JX120*cfg_TroyOz)/($KD120),""),"")</f>
        <v/>
      </c>
      <c r="KK120" s="56">
        <f>IFERROR(IF(($KE120)&gt;0,($JY120*cfg_TroyOz)/($KE120),""),"")</f>
        <v/>
      </c>
      <c r="KL120" s="67">
        <f>IFERROR(IF(($KF120)&gt;0,($JZ120)/($KF120),""),"")</f>
        <v/>
      </c>
      <c r="KM120" s="67">
        <f>IFERROR(IF(($KG120)&gt;0,($KA120)/($KG120),""),"")</f>
        <v/>
      </c>
      <c r="KN120" s="67">
        <f>IFERROR(IF(($KH120)&gt;0,($KB120)/($KH120),""),"")</f>
        <v/>
      </c>
      <c r="KO120" s="55">
        <f>SUMIFS(tblBudget[Gold_Poured_oz],tblBudget[Month],$E120)</f>
        <v/>
      </c>
      <c r="KP120" s="55">
        <f>$KO120*$C120/$D120</f>
        <v/>
      </c>
      <c r="KQ120" s="55">
        <f>SUMIFS(tblBudget[Gold_Poured_oz],tblBudget[Month],"&lt;"&amp;$E120)+$KP120</f>
        <v/>
      </c>
      <c r="KR120" s="57">
        <f>SUMIFS(tblBudget[Hours_Worked],tblBudget[Month],$E120)</f>
        <v/>
      </c>
      <c r="KS120" s="57">
        <f>$KR120*$C120/$D120</f>
        <v/>
      </c>
      <c r="KT120" s="57">
        <f>SUMIFS(tblBudget[Hours_Worked],tblBudget[Month],"&lt;"&amp;$E120)+$KS120</f>
        <v/>
      </c>
    </row>
    <row r="121">
      <c r="A121" s="54" t="n">
        <v>46142</v>
      </c>
      <c r="B121">
        <f>MONTH($A121)</f>
        <v/>
      </c>
      <c r="C121">
        <f>DAY($A121)</f>
        <v/>
      </c>
      <c r="D121">
        <f>DAY(EOMONTH($A121,0))</f>
        <v/>
      </c>
      <c r="E121" s="54">
        <f>DATE(YEAR($A121),MONTH($A121),1)</f>
        <v/>
      </c>
      <c r="F121" s="55">
        <f>SUMIFS(tblMovement[Tonnes_t],tblMovement[Date],$A121,tblMovement[Is_Ore],1,tblMovement[Source_Type],"Pit")</f>
        <v/>
      </c>
      <c r="G121" s="55">
        <f>IF($B121=$B120,$G120,0)+$F121</f>
        <v/>
      </c>
      <c r="H121" s="55">
        <f>$H120+$F121</f>
        <v/>
      </c>
      <c r="I121" s="55">
        <f>SUMIFS(tblMovement[Ore_oz],tblMovement[Date],$A121,tblMovement[Source_Type],"Pit")</f>
        <v/>
      </c>
      <c r="J121" s="55">
        <f>IF($B121=$B120,$J120,0)+$I121</f>
        <v/>
      </c>
      <c r="K121" s="55">
        <f>$K120+$I121</f>
        <v/>
      </c>
      <c r="L121" s="55">
        <f>SUMIFS(tblMovement[Tonnes_t],tblMovement[Date],$A121,tblMovement[Is_Ore],1,tblMovement[Source_Type],"Pit",tblMovement[Grade_gpt],"&lt;&gt;")</f>
        <v/>
      </c>
      <c r="M121" s="55">
        <f>IF($B121=$B120,$M120,0)+$L121</f>
        <v/>
      </c>
      <c r="N121" s="55">
        <f>$N120+$L121</f>
        <v/>
      </c>
      <c r="O121" s="56">
        <f>IFERROR(IF(($L121)&gt;0,($I121*cfg_TroyOz)/($L121),""),"")</f>
        <v/>
      </c>
      <c r="P121" s="56">
        <f>IFERROR(IF(($M121)&gt;0,($J121*cfg_TroyOz)/($M121),""),"")</f>
        <v/>
      </c>
      <c r="Q121" s="56">
        <f>IFERROR(IF(($N121)&gt;0,($K121*cfg_TroyOz)/($N121),""),"")</f>
        <v/>
      </c>
      <c r="R121" s="55">
        <f>$F121-$L121</f>
        <v/>
      </c>
      <c r="S121" s="55">
        <f>IF($B121=$B120,$S120,0)+$R121</f>
        <v/>
      </c>
      <c r="T121" s="55">
        <f>$T120+$R121</f>
        <v/>
      </c>
      <c r="U121" s="55">
        <f>SUMIFS(tblMovement[Tonnes_t],tblMovement[Date],$A121,tblMovement[Is_Ore],0,tblMovement[Source_Type],"Pit")</f>
        <v/>
      </c>
      <c r="V121" s="55">
        <f>IF($B121=$B120,$V120,0)+$U121</f>
        <v/>
      </c>
      <c r="W121" s="55">
        <f>$W120+$U121</f>
        <v/>
      </c>
      <c r="X121" s="55">
        <f>$F121+$U121</f>
        <v/>
      </c>
      <c r="Y121" s="55">
        <f>IF($B121=$B120,$Y120,0)+$X121</f>
        <v/>
      </c>
      <c r="Z121" s="55">
        <f>$Z120+$X121</f>
        <v/>
      </c>
      <c r="AA121" s="56">
        <f>IFERROR(IF(($F121)&gt;0,($U121)/($F121),""),"")</f>
        <v/>
      </c>
      <c r="AB121" s="56">
        <f>IFERROR(IF(($G121)&gt;0,($V121)/($G121),""),"")</f>
        <v/>
      </c>
      <c r="AC121" s="56">
        <f>IFERROR(IF(($H121)&gt;0,($W121)/($H121),""),"")</f>
        <v/>
      </c>
      <c r="AD121" s="55">
        <f>SUMIFS(tblMovement[Tonnes_t],tblMovement[Date],$A121,tblMovement[Source_Type],"Stockpile")</f>
        <v/>
      </c>
      <c r="AE121" s="55">
        <f>IF($B121=$B120,$AE120,0)+$AD121</f>
        <v/>
      </c>
      <c r="AF121" s="55">
        <f>$AF120+$AD121</f>
        <v/>
      </c>
      <c r="AG121" s="55">
        <f>SUMIFS(tblMovement[Tonnes_t],tblMovement[Date],$A121)</f>
        <v/>
      </c>
      <c r="AH121" s="55">
        <f>IF($B121=$B120,$AH120,0)+$AG121</f>
        <v/>
      </c>
      <c r="AI121" s="55">
        <f>$AI120+$AG121</f>
        <v/>
      </c>
      <c r="AJ121" s="55">
        <f>$AG121-$X121-$AD121</f>
        <v/>
      </c>
      <c r="AK121" s="55">
        <f>IF($B121=$B120,$AK120,0)+$AJ121</f>
        <v/>
      </c>
      <c r="AL121" s="55">
        <f>$AL120+$AJ121</f>
        <v/>
      </c>
      <c r="AM121" s="55">
        <f>SUMIFS(tblMiningDaily[Drill_m],tblMiningDaily[Date],$A121)</f>
        <v/>
      </c>
      <c r="AN121" s="55">
        <f>IF($B121=$B120,$AN120,0)+$AM121</f>
        <v/>
      </c>
      <c r="AO121" s="55">
        <f>$AO120+$AM121</f>
        <v/>
      </c>
      <c r="AP121" s="55">
        <f>SUMIFS(tblMiningDaily[GC_Drill_m],tblMiningDaily[Date],$A121)</f>
        <v/>
      </c>
      <c r="AQ121" s="55">
        <f>IF($B121=$B120,$AQ120,0)+$AP121</f>
        <v/>
      </c>
      <c r="AR121" s="55">
        <f>$AR120+$AP121</f>
        <v/>
      </c>
      <c r="AS121" s="55">
        <f>SUMIFS(tblMiningDaily[Blast_t],tblMiningDaily[Date],$A121)</f>
        <v/>
      </c>
      <c r="AT121" s="55">
        <f>IF($B121=$B120,$AT120,0)+$AS121</f>
        <v/>
      </c>
      <c r="AU121" s="55">
        <f>$AU120+$AS121</f>
        <v/>
      </c>
      <c r="AV121" s="55">
        <f>SUMIFS(tblMiningDaily[Explosives_kg],tblMiningDaily[Date],$A121)</f>
        <v/>
      </c>
      <c r="AW121" s="55">
        <f>IF($B121=$B120,$AW120,0)+$AV121</f>
        <v/>
      </c>
      <c r="AX121" s="55">
        <f>$AX120+$AV121</f>
        <v/>
      </c>
      <c r="AY121" s="56">
        <f>IFERROR(IF(($AS121)&gt;0,($AV121)/($AS121),""),"")</f>
        <v/>
      </c>
      <c r="AZ121" s="56">
        <f>IFERROR(IF(($AT121)&gt;0,($AW121)/($AT121),""),"")</f>
        <v/>
      </c>
      <c r="BA121" s="56">
        <f>IFERROR(IF(($AU121)&gt;0,($AX121)/($AU121),""),"")</f>
        <v/>
      </c>
      <c r="BB121" s="55">
        <f>SUMIFS(tblMiningDaily[Diesel_L],tblMiningDaily[Date],$A121)</f>
        <v/>
      </c>
      <c r="BC121" s="55">
        <f>IF($B121=$B120,$BC120,0)+$BB121</f>
        <v/>
      </c>
      <c r="BD121" s="55">
        <f>$BD120+$BB121</f>
        <v/>
      </c>
      <c r="BE121" s="55">
        <f>SUMIFS(tblMiningDaily[Dewatering_m3],tblMiningDaily[Date],$A121)</f>
        <v/>
      </c>
      <c r="BF121" s="55">
        <f>IF($B121=$B120,$BF120,0)+$BE121</f>
        <v/>
      </c>
      <c r="BG121" s="55">
        <f>$BG120+$BE121</f>
        <v/>
      </c>
      <c r="BH121" s="57">
        <f>SUMIFS(tblFleet[Calendar_h],tblFleet[Date],$A121,tblFleet[Equipment_Class],"Excavator")</f>
        <v/>
      </c>
      <c r="BI121" s="57">
        <f>IF($B121=$B120,$BI120,0)+$BH121</f>
        <v/>
      </c>
      <c r="BJ121" s="57">
        <f>$BJ120+$BH121</f>
        <v/>
      </c>
      <c r="BK121" s="57">
        <f>SUMIFS(tblFleet[Available_h],tblFleet[Date],$A121,tblFleet[Equipment_Class],"Excavator")</f>
        <v/>
      </c>
      <c r="BL121" s="57">
        <f>IF($B121=$B120,$BL120,0)+$BK121</f>
        <v/>
      </c>
      <c r="BM121" s="57">
        <f>$BM120+$BK121</f>
        <v/>
      </c>
      <c r="BN121" s="57">
        <f>SUMIFS(tblFleet[Operating_h],tblFleet[Date],$A121,tblFleet[Equipment_Class],"Excavator")</f>
        <v/>
      </c>
      <c r="BO121" s="57">
        <f>IF($B121=$B120,$BO120,0)+$BN121</f>
        <v/>
      </c>
      <c r="BP121" s="57">
        <f>$BP120+$BN121</f>
        <v/>
      </c>
      <c r="BQ121" s="67">
        <f>IFERROR(IF(($BH121)&gt;0,($BK121)/($BH121),""),"")</f>
        <v/>
      </c>
      <c r="BR121" s="67">
        <f>IFERROR(IF(($BI121)&gt;0,($BL121)/($BI121),""),"")</f>
        <v/>
      </c>
      <c r="BS121" s="67">
        <f>IFERROR(IF(($BJ121)&gt;0,($BM121)/($BJ121),""),"")</f>
        <v/>
      </c>
      <c r="BT121" s="67">
        <f>IFERROR(IF(($BK121)&gt;0,($BN121)/($BK121),""),"")</f>
        <v/>
      </c>
      <c r="BU121" s="67">
        <f>IFERROR(IF(($BL121)&gt;0,($BO121)/($BL121),""),"")</f>
        <v/>
      </c>
      <c r="BV121" s="67">
        <f>IFERROR(IF(($BM121)&gt;0,($BP121)/($BM121),""),"")</f>
        <v/>
      </c>
      <c r="BW121" s="57">
        <f>SUMIFS(tblFleet[Calendar_h],tblFleet[Date],$A121,tblFleet[Equipment_Class],"Haul Truck")</f>
        <v/>
      </c>
      <c r="BX121" s="57">
        <f>IF($B121=$B120,$BX120,0)+$BW121</f>
        <v/>
      </c>
      <c r="BY121" s="57">
        <f>$BY120+$BW121</f>
        <v/>
      </c>
      <c r="BZ121" s="57">
        <f>SUMIFS(tblFleet[Available_h],tblFleet[Date],$A121,tblFleet[Equipment_Class],"Haul Truck")</f>
        <v/>
      </c>
      <c r="CA121" s="57">
        <f>IF($B121=$B120,$CA120,0)+$BZ121</f>
        <v/>
      </c>
      <c r="CB121" s="57">
        <f>$CB120+$BZ121</f>
        <v/>
      </c>
      <c r="CC121" s="57">
        <f>SUMIFS(tblFleet[Operating_h],tblFleet[Date],$A121,tblFleet[Equipment_Class],"Haul Truck")</f>
        <v/>
      </c>
      <c r="CD121" s="57">
        <f>IF($B121=$B120,$CD120,0)+$CC121</f>
        <v/>
      </c>
      <c r="CE121" s="57">
        <f>$CE120+$CC121</f>
        <v/>
      </c>
      <c r="CF121" s="67">
        <f>IFERROR(IF(($BW121)&gt;0,($BZ121)/($BW121),""),"")</f>
        <v/>
      </c>
      <c r="CG121" s="67">
        <f>IFERROR(IF(($BX121)&gt;0,($CA121)/($BX121),""),"")</f>
        <v/>
      </c>
      <c r="CH121" s="67">
        <f>IFERROR(IF(($BY121)&gt;0,($CB121)/($BY121),""),"")</f>
        <v/>
      </c>
      <c r="CI121" s="67">
        <f>IFERROR(IF(($BZ121)&gt;0,($CC121)/($BZ121),""),"")</f>
        <v/>
      </c>
      <c r="CJ121" s="67">
        <f>IFERROR(IF(($CA121)&gt;0,($CD121)/($CA121),""),"")</f>
        <v/>
      </c>
      <c r="CK121" s="67">
        <f>IFERROR(IF(($CB121)&gt;0,($CE121)/($CB121),""),"")</f>
        <v/>
      </c>
      <c r="CL121" s="55">
        <f>IFERROR(IF(($BN121)&gt;0,($X121+$AD121)/($BN121),""),"")</f>
        <v/>
      </c>
      <c r="CM121" s="55">
        <f>IFERROR(IF(($BO121)&gt;0,($Y121+$AE121)/($BO121),""),"")</f>
        <v/>
      </c>
      <c r="CN121" s="55">
        <f>IFERROR(IF(($BP121)&gt;0,($Z121+$AF121)/($BP121),""),"")</f>
        <v/>
      </c>
      <c r="CO121" s="55">
        <f>IFERROR(IF(($CC121)&gt;0,($X121+$AD121)/($CC121),""),"")</f>
        <v/>
      </c>
      <c r="CP121" s="55">
        <f>IFERROR(IF(($CD121)&gt;0,($Y121+$AE121)/($CD121),""),"")</f>
        <v/>
      </c>
      <c r="CQ121" s="55">
        <f>IFERROR(IF(($CE121)&gt;0,($Z121+$AF121)/($CE121),""),"")</f>
        <v/>
      </c>
      <c r="CR121" s="55">
        <f>SUMIFS(tblPlant[Crushed_t],tblPlant[Date],$A121)</f>
        <v/>
      </c>
      <c r="CS121" s="55">
        <f>IF($B121=$B120,$CS120,0)+$CR121</f>
        <v/>
      </c>
      <c r="CT121" s="55">
        <f>$CT120+$CR121</f>
        <v/>
      </c>
      <c r="CU121" s="55">
        <f>SUMIFS(tblPlant[Milled_t],tblPlant[Date],$A121)</f>
        <v/>
      </c>
      <c r="CV121" s="55">
        <f>IF($B121=$B120,$CV120,0)+$CU121</f>
        <v/>
      </c>
      <c r="CW121" s="55">
        <f>$CW120+$CU121</f>
        <v/>
      </c>
      <c r="CX121" s="55">
        <f>SUMIFS(tblPlant[Feed_oz],tblPlant[Date],$A121)</f>
        <v/>
      </c>
      <c r="CY121" s="55">
        <f>IF($B121=$B120,$CY120,0)+$CX121</f>
        <v/>
      </c>
      <c r="CZ121" s="55">
        <f>$CZ120+$CX121</f>
        <v/>
      </c>
      <c r="DA121" s="55">
        <f>SUMIFS(tblPlant[Tails_oz],tblPlant[Date],$A121)</f>
        <v/>
      </c>
      <c r="DB121" s="55">
        <f>IF($B121=$B120,$DB120,0)+$DA121</f>
        <v/>
      </c>
      <c r="DC121" s="55">
        <f>$DC120+$DA121</f>
        <v/>
      </c>
      <c r="DD121" s="55">
        <f>SUMIFS(tblPlant[Recovered_oz],tblPlant[Date],$A121)</f>
        <v/>
      </c>
      <c r="DE121" s="55">
        <f>IF($B121=$B120,$DE120,0)+$DD121</f>
        <v/>
      </c>
      <c r="DF121" s="55">
        <f>$DF120+$DD121</f>
        <v/>
      </c>
      <c r="DG121" s="55">
        <f>SUMIFS(tblPlant[Milled_t],tblPlant[Date],$A121,tblPlant[Head_Grade_gpt],"&lt;&gt;")</f>
        <v/>
      </c>
      <c r="DH121" s="55">
        <f>IF($B121=$B120,$DH120,0)+$DG121</f>
        <v/>
      </c>
      <c r="DI121" s="55">
        <f>$DI120+$DG121</f>
        <v/>
      </c>
      <c r="DJ121" s="55">
        <f>SUMIFS(tblPlant[Milled_t],tblPlant[Date],$A121,tblPlant[Tails_Grade_gpt],"&lt;&gt;")</f>
        <v/>
      </c>
      <c r="DK121" s="55">
        <f>IF($B121=$B120,$DK120,0)+$DJ121</f>
        <v/>
      </c>
      <c r="DL121" s="55">
        <f>$DL120+$DJ121</f>
        <v/>
      </c>
      <c r="DM121" s="55">
        <f>SUMIFS(tblPlant[Feed_oz],tblPlant[Date],$A121,tblPlant[Tails_Grade_gpt],"&lt;&gt;")</f>
        <v/>
      </c>
      <c r="DN121" s="55">
        <f>IF($B121=$B120,$DN120,0)+$DM121</f>
        <v/>
      </c>
      <c r="DO121" s="55">
        <f>$DO120+$DM121</f>
        <v/>
      </c>
      <c r="DP121" s="55">
        <f>SUMIFS(tblPlant[Milled_t],tblPlant[Date],$A121,tblPlant[Mill_Run_h],"&lt;&gt;")</f>
        <v/>
      </c>
      <c r="DQ121" s="55">
        <f>IF($B121=$B120,$DQ120,0)+$DP121</f>
        <v/>
      </c>
      <c r="DR121" s="55">
        <f>$DR120+$DP121</f>
        <v/>
      </c>
      <c r="DS121" s="56">
        <f>IFERROR(IF(($DG121)&gt;0,($CX121*cfg_TroyOz)/($DG121),""),"")</f>
        <v/>
      </c>
      <c r="DT121" s="56">
        <f>IFERROR(IF(($DH121)&gt;0,($CY121*cfg_TroyOz)/($DH121),""),"")</f>
        <v/>
      </c>
      <c r="DU121" s="56">
        <f>IFERROR(IF(($DI121)&gt;0,($CZ121*cfg_TroyOz)/($DI121),""),"")</f>
        <v/>
      </c>
      <c r="DV121" s="56">
        <f>IFERROR(IF(($DJ121)&gt;0,($DA121*cfg_TroyOz)/($DJ121),""),"")</f>
        <v/>
      </c>
      <c r="DW121" s="56">
        <f>IFERROR(IF(($DK121)&gt;0,($DB121*cfg_TroyOz)/($DK121),""),"")</f>
        <v/>
      </c>
      <c r="DX121" s="56">
        <f>IFERROR(IF(($DL121)&gt;0,($DC121*cfg_TroyOz)/($DL121),""),"")</f>
        <v/>
      </c>
      <c r="DY121" s="67">
        <f>IFERROR(IF(($DM121)&gt;0,($DD121)/($DM121),""),"")</f>
        <v/>
      </c>
      <c r="DZ121" s="67">
        <f>IFERROR(IF(($DN121)&gt;0,($DE121)/($DN121),""),"")</f>
        <v/>
      </c>
      <c r="EA121" s="67">
        <f>IFERROR(IF(($DO121)&gt;0,($DF121)/($DO121),""),"")</f>
        <v/>
      </c>
      <c r="EB121" s="55">
        <f>SUMIFS(tblPlant[Gravity_Gold_oz],tblPlant[Date],$A121)</f>
        <v/>
      </c>
      <c r="EC121" s="55">
        <f>IF($B121=$B120,$EC120,0)+$EB121</f>
        <v/>
      </c>
      <c r="ED121" s="55">
        <f>$ED120+$EB121</f>
        <v/>
      </c>
      <c r="EE121" s="67">
        <f>IFERROR(IF(($DD121)&gt;0,($EB121)/($DD121),""),"")</f>
        <v/>
      </c>
      <c r="EF121" s="67">
        <f>IFERROR(IF(($DE121)&gt;0,($EC121)/($DE121),""),"")</f>
        <v/>
      </c>
      <c r="EG121" s="67">
        <f>IFERROR(IF(($DF121)&gt;0,($ED121)/($DF121),""),"")</f>
        <v/>
      </c>
      <c r="EH121" s="55">
        <f>SUMIFS(tblPlant[Gold_Poured_oz],tblPlant[Date],$A121)</f>
        <v/>
      </c>
      <c r="EI121" s="55">
        <f>IF($B121=$B120,$EI120,0)+$EH121</f>
        <v/>
      </c>
      <c r="EJ121" s="55">
        <f>$EJ120+$EH121</f>
        <v/>
      </c>
      <c r="EK121" s="57">
        <f>SUMIFS(tblPlant[Mill_Run_h],tblPlant[Date],$A121)</f>
        <v/>
      </c>
      <c r="EL121" s="57">
        <f>IF($B121=$B120,$EL120,0)+$EK121</f>
        <v/>
      </c>
      <c r="EM121" s="57">
        <f>$EM120+$EK121</f>
        <v/>
      </c>
      <c r="EN121" s="57">
        <f>SUMIFS(tblPlant[Mill_Planned_Maint_h],tblPlant[Date],$A121)</f>
        <v/>
      </c>
      <c r="EO121" s="57">
        <f>IF($B121=$B120,$EO120,0)+$EN121</f>
        <v/>
      </c>
      <c r="EP121" s="57">
        <f>$EP120+$EN121</f>
        <v/>
      </c>
      <c r="EQ121" s="57">
        <f>SUMIFS(tblPlant[Mill_Unplanned_Down_h],tblPlant[Date],$A121)</f>
        <v/>
      </c>
      <c r="ER121" s="57">
        <f>IF($B121=$B120,$ER120,0)+$EQ121</f>
        <v/>
      </c>
      <c r="ES121" s="57">
        <f>$ES120+$EQ121</f>
        <v/>
      </c>
      <c r="ET121" s="57">
        <f>IF(COUNTIFS(tblPlant[Date],$A121,tblPlant[Mill_Run_h],"&lt;&gt;")+COUNTIFS(tblPlant[Date],$A121,tblPlant[Mill_Planned_Maint_h],"&lt;&gt;")+COUNTIFS(tblPlant[Date],$A121,tblPlant[Mill_Unplanned_Down_h],"&lt;&gt;")&gt;0,cfg_HoursPerDay,0)</f>
        <v/>
      </c>
      <c r="EU121" s="57">
        <f>IF($B121=$B120,$EU120,0)+$ET121</f>
        <v/>
      </c>
      <c r="EV121" s="57">
        <f>$EV120+$ET121</f>
        <v/>
      </c>
      <c r="EW121" s="57">
        <f>SUMIFS(tblPlant[Crusher_Run_h],tblPlant[Date],$A121)</f>
        <v/>
      </c>
      <c r="EX121" s="57">
        <f>IF($B121=$B120,$EX120,0)+$EW121</f>
        <v/>
      </c>
      <c r="EY121" s="57">
        <f>$EY120+$EW121</f>
        <v/>
      </c>
      <c r="EZ121" s="55">
        <f>IFERROR(IF(($EK121)&gt;0,($DP121)/($EK121),""),"")</f>
        <v/>
      </c>
      <c r="FA121" s="55">
        <f>IFERROR(IF(($EL121)&gt;0,($DQ121)/($EL121),""),"")</f>
        <v/>
      </c>
      <c r="FB121" s="55">
        <f>IFERROR(IF(($EM121)&gt;0,($DR121)/($EM121),""),"")</f>
        <v/>
      </c>
      <c r="FC121" s="67">
        <f>IFERROR(IF(($ET121)&gt;0,($ET121-$EN121-$EQ121)/($ET121),""),"")</f>
        <v/>
      </c>
      <c r="FD121" s="67">
        <f>IFERROR(IF(($EU121)&gt;0,($EU121-$EO121-$ER121)/($EU121),""),"")</f>
        <v/>
      </c>
      <c r="FE121" s="67">
        <f>IFERROR(IF(($EV121)&gt;0,($EV121-$EP121-$ES121)/($EV121),""),"")</f>
        <v/>
      </c>
      <c r="FF121" s="67">
        <f>IFERROR(IF(($ET121-$EN121-$EQ121)&gt;0,($EK121)/($ET121-$EN121-$EQ121),""),"")</f>
        <v/>
      </c>
      <c r="FG121" s="67">
        <f>IFERROR(IF(($EU121-$EO121-$ER121)&gt;0,($EL121)/($EU121-$EO121-$ER121),""),"")</f>
        <v/>
      </c>
      <c r="FH121" s="67">
        <f>IFERROR(IF(($EV121-$EP121-$ES121)&gt;0,($EM121)/($EV121-$EP121-$ES121),""),"")</f>
        <v/>
      </c>
      <c r="FI121" s="55">
        <f>SUMIFS(tblPlant[Cyanide_kg],tblPlant[Date],$A121)</f>
        <v/>
      </c>
      <c r="FJ121" s="55">
        <f>IF($B121=$B120,$FJ120,0)+$FI121</f>
        <v/>
      </c>
      <c r="FK121" s="55">
        <f>$FK120+$FI121</f>
        <v/>
      </c>
      <c r="FL121" s="55">
        <f>SUMIFS(tblPlant[Lime_kg],tblPlant[Date],$A121)</f>
        <v/>
      </c>
      <c r="FM121" s="55">
        <f>IF($B121=$B120,$FM120,0)+$FL121</f>
        <v/>
      </c>
      <c r="FN121" s="55">
        <f>$FN120+$FL121</f>
        <v/>
      </c>
      <c r="FO121" s="55">
        <f>SUMIFS(tblPlant[Grinding_Media_kg],tblPlant[Date],$A121)</f>
        <v/>
      </c>
      <c r="FP121" s="55">
        <f>IF($B121=$B120,$FP120,0)+$FO121</f>
        <v/>
      </c>
      <c r="FQ121" s="55">
        <f>$FQ120+$FO121</f>
        <v/>
      </c>
      <c r="FR121" s="55">
        <f>SUMIFS(tblPlant[Power_kWh],tblPlant[Date],$A121)</f>
        <v/>
      </c>
      <c r="FS121" s="55">
        <f>IF($B121=$B120,$FS120,0)+$FR121</f>
        <v/>
      </c>
      <c r="FT121" s="55">
        <f>$FT120+$FR121</f>
        <v/>
      </c>
      <c r="FU121" s="55">
        <f>SUMIFS(tblPlant[Raw_Water_m3],tblPlant[Date],$A121)</f>
        <v/>
      </c>
      <c r="FV121" s="55">
        <f>IF($B121=$B120,$FV120,0)+$FU121</f>
        <v/>
      </c>
      <c r="FW121" s="55">
        <f>$FW120+$FU121</f>
        <v/>
      </c>
      <c r="FX121" s="56">
        <f>IFERROR(IF(($CU121)&gt;0,($FI121)/($CU121),""),"")</f>
        <v/>
      </c>
      <c r="FY121" s="56">
        <f>IFERROR(IF(($CV121)&gt;0,($FJ121)/($CV121),""),"")</f>
        <v/>
      </c>
      <c r="FZ121" s="56">
        <f>IFERROR(IF(($CW121)&gt;0,($FK121)/($CW121),""),"")</f>
        <v/>
      </c>
      <c r="GA121" s="56">
        <f>IFERROR(IF(($CU121)&gt;0,($FL121)/($CU121),""),"")</f>
        <v/>
      </c>
      <c r="GB121" s="56">
        <f>IFERROR(IF(($CV121)&gt;0,($FM121)/($CV121),""),"")</f>
        <v/>
      </c>
      <c r="GC121" s="56">
        <f>IFERROR(IF(($CW121)&gt;0,($FN121)/($CW121),""),"")</f>
        <v/>
      </c>
      <c r="GD121" s="56">
        <f>IFERROR(IF(($CU121)&gt;0,($FO121)/($CU121),""),"")</f>
        <v/>
      </c>
      <c r="GE121" s="56">
        <f>IFERROR(IF(($CV121)&gt;0,($FP121)/($CV121),""),"")</f>
        <v/>
      </c>
      <c r="GF121" s="56">
        <f>IFERROR(IF(($CW121)&gt;0,($FQ121)/($CW121),""),"")</f>
        <v/>
      </c>
      <c r="GG121" s="79">
        <f>IFERROR(IF(($CU121)&gt;0,($FR121)/($CU121),""),"")</f>
        <v/>
      </c>
      <c r="GH121" s="79">
        <f>IFERROR(IF(($CV121)&gt;0,($FS121)/($CV121),""),"")</f>
        <v/>
      </c>
      <c r="GI121" s="79">
        <f>IFERROR(IF(($CW121)&gt;0,($FT121)/($CW121),""),"")</f>
        <v/>
      </c>
      <c r="GJ121" s="56">
        <f>IFERROR(IF(($CU121)&gt;0,($FU121)/($CU121),""),"")</f>
        <v/>
      </c>
      <c r="GK121" s="56">
        <f>IFERROR(IF(($CV121)&gt;0,($FV121)/($CV121),""),"")</f>
        <v/>
      </c>
      <c r="GL121" s="56">
        <f>IFERROR(IF(($CW121)&gt;0,($FW121)/($CW121),""),"")</f>
        <v/>
      </c>
      <c r="GM121" s="55">
        <f>IF(SUMIFS(tblPlant[GIC_oz],tblPlant[Date],$A121)&gt;0,SUMIFS(tblPlant[GIC_oz],tblPlant[Date],$A121),"")</f>
        <v/>
      </c>
      <c r="GN121" s="55">
        <f>SUMIFS(tblGold[Gold_oz],tblGold[Date],$A121,tblGold[Type],"Shipment")</f>
        <v/>
      </c>
      <c r="GO121" s="55">
        <f>IF($B121=$B120,$GO120,0)+$GN121</f>
        <v/>
      </c>
      <c r="GP121" s="55">
        <f>$GP120+$GN121</f>
        <v/>
      </c>
      <c r="GQ121" s="55">
        <f>SUMIFS(tblGold[Gold_oz],tblGold[Date],$A121,tblGold[Type],"Sale")</f>
        <v/>
      </c>
      <c r="GR121" s="55">
        <f>IF($B121=$B120,$GR120,0)+$GQ121</f>
        <v/>
      </c>
      <c r="GS121" s="55">
        <f>$GS120+$GQ121</f>
        <v/>
      </c>
      <c r="GT121" s="55">
        <f>SUMIFS(tblGold[Dore_kg],tblGold[Date],$A121,tblGold[Type],"Shipment")</f>
        <v/>
      </c>
      <c r="GU121" s="55">
        <f>IF($B121=$B120,$GU120,0)+$GT121</f>
        <v/>
      </c>
      <c r="GV121" s="55">
        <f>$GV120+$GT121</f>
        <v/>
      </c>
      <c r="GW121" s="57">
        <f>SUMIFS(tblSafety[Hours_Total],tblSafety[Date],$A121)</f>
        <v/>
      </c>
      <c r="GX121" s="57">
        <f>IF($B121=$B120,$GX120,0)+$GW121</f>
        <v/>
      </c>
      <c r="GY121" s="57">
        <f>$GY120+$GW121</f>
        <v/>
      </c>
      <c r="GZ121" s="62">
        <f>SUMIFS(tblSafety[Fatality],tblSafety[Date],$A121)</f>
        <v/>
      </c>
      <c r="HA121" s="62">
        <f>IF($B121=$B120,$HA120,0)+$GZ121</f>
        <v/>
      </c>
      <c r="HB121" s="62">
        <f>$HB120+$GZ121</f>
        <v/>
      </c>
      <c r="HC121" s="62">
        <f>SUMIFS(tblSafety[LTI],tblSafety[Date],$A121)</f>
        <v/>
      </c>
      <c r="HD121" s="62">
        <f>IF($B121=$B120,$HD120,0)+$HC121</f>
        <v/>
      </c>
      <c r="HE121" s="62">
        <f>$HE120+$HC121</f>
        <v/>
      </c>
      <c r="HF121" s="62">
        <f>SUMIFS(tblSafety[RWI],tblSafety[Date],$A121)</f>
        <v/>
      </c>
      <c r="HG121" s="62">
        <f>IF($B121=$B120,$HG120,0)+$HF121</f>
        <v/>
      </c>
      <c r="HH121" s="62">
        <f>$HH120+$HF121</f>
        <v/>
      </c>
      <c r="HI121" s="62">
        <f>SUMIFS(tblSafety[MTI],tblSafety[Date],$A121)</f>
        <v/>
      </c>
      <c r="HJ121" s="62">
        <f>IF($B121=$B120,$HJ120,0)+$HI121</f>
        <v/>
      </c>
      <c r="HK121" s="62">
        <f>$HK120+$HI121</f>
        <v/>
      </c>
      <c r="HL121" s="62">
        <f>SUMIFS(tblSafety[FAI],tblSafety[Date],$A121)</f>
        <v/>
      </c>
      <c r="HM121" s="62">
        <f>IF($B121=$B120,$HM120,0)+$HL121</f>
        <v/>
      </c>
      <c r="HN121" s="62">
        <f>$HN120+$HL121</f>
        <v/>
      </c>
      <c r="HO121" s="62">
        <f>SUMIFS(tblSafety[Recordables],tblSafety[Date],$A121)</f>
        <v/>
      </c>
      <c r="HP121" s="62">
        <f>IF($B121=$B120,$HP120,0)+$HO121</f>
        <v/>
      </c>
      <c r="HQ121" s="62">
        <f>$HQ120+$HO121</f>
        <v/>
      </c>
      <c r="HR121" s="62">
        <f>SUMIFS(tblSafety[Near_Miss],tblSafety[Date],$A121)</f>
        <v/>
      </c>
      <c r="HS121" s="62">
        <f>IF($B121=$B120,$HS120,0)+$HR121</f>
        <v/>
      </c>
      <c r="HT121" s="62">
        <f>$HT120+$HR121</f>
        <v/>
      </c>
      <c r="HU121" s="62">
        <f>SUMIFS(tblSafety[Hazard_Reports],tblSafety[Date],$A121)</f>
        <v/>
      </c>
      <c r="HV121" s="62">
        <f>IF($B121=$B120,$HV120,0)+$HU121</f>
        <v/>
      </c>
      <c r="HW121" s="62">
        <f>$HW120+$HU121</f>
        <v/>
      </c>
      <c r="HX121" s="62">
        <f>SUMIFS(tblSafety[HPI],tblSafety[Date],$A121)</f>
        <v/>
      </c>
      <c r="HY121" s="62">
        <f>IF($B121=$B120,$HY120,0)+$HX121</f>
        <v/>
      </c>
      <c r="HZ121" s="62">
        <f>$HZ120+$HX121</f>
        <v/>
      </c>
      <c r="IA121" s="62">
        <f>SUMIFS(tblSafety[Env_Incidents],tblSafety[Date],$A121)</f>
        <v/>
      </c>
      <c r="IB121" s="62">
        <f>IF($B121=$B120,$IB120,0)+$IA121</f>
        <v/>
      </c>
      <c r="IC121" s="62">
        <f>$IC120+$IA121</f>
        <v/>
      </c>
      <c r="ID121" s="62">
        <f>SUMIFS(tblSafety[Community_Incidents],tblSafety[Date],$A121)</f>
        <v/>
      </c>
      <c r="IE121" s="62">
        <f>IF($B121=$B120,$IE120,0)+$ID121</f>
        <v/>
      </c>
      <c r="IF121" s="62">
        <f>$IF120+$ID121</f>
        <v/>
      </c>
      <c r="IG121" s="62">
        <f>SUMIFS(tblSafety[Vehicle_Incidents],tblSafety[Date],$A121)</f>
        <v/>
      </c>
      <c r="IH121" s="62">
        <f>IF($B121=$B120,$IH120,0)+$IG121</f>
        <v/>
      </c>
      <c r="II121" s="62">
        <f>$II120+$IG121</f>
        <v/>
      </c>
      <c r="IJ121" s="62">
        <f>SUMIFS(tblSafety[Toolbox_Talks],tblSafety[Date],$A121)</f>
        <v/>
      </c>
      <c r="IK121" s="62">
        <f>IF($B121=$B120,$IK120,0)+$IJ121</f>
        <v/>
      </c>
      <c r="IL121" s="62">
        <f>$IL120+$IJ121</f>
        <v/>
      </c>
      <c r="IM121" s="62">
        <f>SUMIFS(tblSafety[Inspections],tblSafety[Date],$A121)</f>
        <v/>
      </c>
      <c r="IN121" s="62">
        <f>IF($B121=$B120,$IN120,0)+$IM121</f>
        <v/>
      </c>
      <c r="IO121" s="62">
        <f>$IO120+$IM121</f>
        <v/>
      </c>
      <c r="IP121" s="56">
        <f>IFERROR((SUMIFS(tblSafety[Recordables],tblSafety[Date],"&gt;="&amp;EDATE($E121,-12),tblSafety[Date],"&lt;="&amp;$A121)+SUMIFS(tblSafetyHistory[Recordables],tblSafetyHistory[Month],"&gt;="&amp;EDATE($E121,-12),tblSafetyHistory[Month],"&lt;"&amp;$E121,tblSafetyHistory[Use],1))/(SUMIFS(tblSafety[Hours_Total],tblSafety[Date],"&gt;="&amp;EDATE($E121,-12),tblSafety[Date],"&lt;="&amp;$A121)+SUMIFS(tblSafetyHistory[Hours_Total],tblSafetyHistory[Month],"&gt;="&amp;EDATE($E121,-12),tblSafetyHistory[Month],"&lt;"&amp;$E121,tblSafetyHistory[Use],1))*cfg_RateBasisHours,"")</f>
        <v/>
      </c>
      <c r="IQ121" s="56">
        <f>IFERROR((SUMIFS(tblSafety[LTI],tblSafety[Date],"&gt;="&amp;EDATE($E121,-12),tblSafety[Date],"&lt;="&amp;$A121)+SUMIFS(tblSafetyHistory[LTI],tblSafetyHistory[Month],"&gt;="&amp;EDATE($E121,-12),tblSafetyHistory[Month],"&lt;"&amp;$E121,tblSafetyHistory[Use],1))/(SUMIFS(tblSafety[Hours_Total],tblSafety[Date],"&gt;="&amp;EDATE($E121,-12),tblSafety[Date],"&lt;="&amp;$A121)+SUMIFS(tblSafetyHistory[Hours_Total],tblSafetyHistory[Month],"&gt;="&amp;EDATE($E121,-12),tblSafetyHistory[Month],"&lt;"&amp;$E121,tblSafetyHistory[Use],1))*cfg_RateBasisHours,"")</f>
        <v/>
      </c>
      <c r="IR121" s="62">
        <f>IF(MAX(N(cfg_PriorLTIDate),_xlfn.MAXIFS(tblSafety[Date],tblSafety[LTI],"&gt;0",tblSafety[Date],"&lt;="&amp;$A121))=0,"",$A121-MAX(N(cfg_PriorLTIDate),_xlfn.MAXIFS(tblSafety[Date],tblSafety[LTI],"&gt;0",tblSafety[Date],"&lt;="&amp;$A121)))</f>
        <v/>
      </c>
      <c r="IS121" s="55">
        <f>SUMIFS(tblBudget[Ore_Mined_t],tblBudget[Month],$E121)</f>
        <v/>
      </c>
      <c r="IT121" s="55">
        <f>$IS121*$C121/$D121</f>
        <v/>
      </c>
      <c r="IU121" s="55">
        <f>SUMIFS(tblBudget[Ore_Mined_t],tblBudget[Month],"&lt;"&amp;$E121)+$IT121</f>
        <v/>
      </c>
      <c r="IV121" s="55">
        <f>SUMIFS(tblBudget[Ore_oz],tblBudget[Month],$E121)</f>
        <v/>
      </c>
      <c r="IW121" s="55">
        <f>$IV121*$C121/$D121</f>
        <v/>
      </c>
      <c r="IX121" s="55">
        <f>SUMIFS(tblBudget[Ore_oz],tblBudget[Month],"&lt;"&amp;$E121)+$IW121</f>
        <v/>
      </c>
      <c r="IY121" s="55">
        <f>SUMIFS(tblBudget[Ore_Mined_t],tblBudget[Month],$E121)</f>
        <v/>
      </c>
      <c r="IZ121" s="55">
        <f>$IY121*$C121/$D121</f>
        <v/>
      </c>
      <c r="JA121" s="55">
        <f>SUMIFS(tblBudget[Ore_Mined_t],tblBudget[Month],"&lt;"&amp;$E121)+$IZ121</f>
        <v/>
      </c>
      <c r="JB121" s="56">
        <f>IFERROR(IF(($IY121)&gt;0,($IV121*cfg_TroyOz)/($IY121),""),"")</f>
        <v/>
      </c>
      <c r="JC121" s="56">
        <f>IFERROR(IF(($IZ121)&gt;0,($IW121*cfg_TroyOz)/($IZ121),""),"")</f>
        <v/>
      </c>
      <c r="JD121" s="56">
        <f>IFERROR(IF(($JA121)&gt;0,($IX121*cfg_TroyOz)/($JA121),""),"")</f>
        <v/>
      </c>
      <c r="JE121" s="55">
        <f>SUMIFS(tblBudget[Waste_t],tblBudget[Month],$E121)</f>
        <v/>
      </c>
      <c r="JF121" s="55">
        <f>$JE121*$C121/$D121</f>
        <v/>
      </c>
      <c r="JG121" s="55">
        <f>SUMIFS(tblBudget[Waste_t],tblBudget[Month],"&lt;"&amp;$E121)+$JF121</f>
        <v/>
      </c>
      <c r="JH121" s="55">
        <f>SUMIFS(tblBudget[TMM_t],tblBudget[Month],$E121)</f>
        <v/>
      </c>
      <c r="JI121" s="55">
        <f>$JH121*$C121/$D121</f>
        <v/>
      </c>
      <c r="JJ121" s="55">
        <f>SUMIFS(tblBudget[TMM_t],tblBudget[Month],"&lt;"&amp;$E121)+$JI121</f>
        <v/>
      </c>
      <c r="JK121" s="56">
        <f>IFERROR(IF(($IS121)&gt;0,($JE121)/($IS121),""),"")</f>
        <v/>
      </c>
      <c r="JL121" s="56">
        <f>IFERROR(IF(($IT121)&gt;0,($JF121)/($IT121),""),"")</f>
        <v/>
      </c>
      <c r="JM121" s="56">
        <f>IFERROR(IF(($IU121)&gt;0,($JG121)/($IU121),""),"")</f>
        <v/>
      </c>
      <c r="JN121" s="55">
        <f>SUMIFS(tblBudget[Drill_m],tblBudget[Month],$E121)</f>
        <v/>
      </c>
      <c r="JO121" s="55">
        <f>$JN121*$C121/$D121</f>
        <v/>
      </c>
      <c r="JP121" s="55">
        <f>SUMIFS(tblBudget[Drill_m],tblBudget[Month],"&lt;"&amp;$E121)+$JO121</f>
        <v/>
      </c>
      <c r="JQ121" s="55">
        <f>SUMIFS(tblBudget[Diesel_L],tblBudget[Month],$E121)</f>
        <v/>
      </c>
      <c r="JR121" s="55">
        <f>$JQ121*$C121/$D121</f>
        <v/>
      </c>
      <c r="JS121" s="55">
        <f>SUMIFS(tblBudget[Diesel_L],tblBudget[Month],"&lt;"&amp;$E121)+$JR121</f>
        <v/>
      </c>
      <c r="JT121" s="55">
        <f>SUMIFS(tblBudget[Milled_t],tblBudget[Month],$E121)</f>
        <v/>
      </c>
      <c r="JU121" s="55">
        <f>$JT121*$C121/$D121</f>
        <v/>
      </c>
      <c r="JV121" s="55">
        <f>SUMIFS(tblBudget[Milled_t],tblBudget[Month],"&lt;"&amp;$E121)+$JU121</f>
        <v/>
      </c>
      <c r="JW121" s="55">
        <f>SUMIFS(tblBudget[Feed_oz],tblBudget[Month],$E121)</f>
        <v/>
      </c>
      <c r="JX121" s="55">
        <f>$JW121*$C121/$D121</f>
        <v/>
      </c>
      <c r="JY121" s="55">
        <f>SUMIFS(tblBudget[Feed_oz],tblBudget[Month],"&lt;"&amp;$E121)+$JX121</f>
        <v/>
      </c>
      <c r="JZ121" s="55">
        <f>SUMIFS(tblBudget[Recovered_oz],tblBudget[Month],$E121)</f>
        <v/>
      </c>
      <c r="KA121" s="55">
        <f>$JZ121*$C121/$D121</f>
        <v/>
      </c>
      <c r="KB121" s="55">
        <f>SUMIFS(tblBudget[Recovered_oz],tblBudget[Month],"&lt;"&amp;$E121)+$KA121</f>
        <v/>
      </c>
      <c r="KC121" s="55">
        <f>SUMIFS(tblBudget[Milled_t],tblBudget[Month],$E121)</f>
        <v/>
      </c>
      <c r="KD121" s="55">
        <f>$KC121*$C121/$D121</f>
        <v/>
      </c>
      <c r="KE121" s="55">
        <f>SUMIFS(tblBudget[Milled_t],tblBudget[Month],"&lt;"&amp;$E121)+$KD121</f>
        <v/>
      </c>
      <c r="KF121" s="55">
        <f>SUMIFS(tblBudget[Feed_oz],tblBudget[Month],$E121)</f>
        <v/>
      </c>
      <c r="KG121" s="55">
        <f>$KF121*$C121/$D121</f>
        <v/>
      </c>
      <c r="KH121" s="55">
        <f>SUMIFS(tblBudget[Feed_oz],tblBudget[Month],"&lt;"&amp;$E121)+$KG121</f>
        <v/>
      </c>
      <c r="KI121" s="56">
        <f>IFERROR(IF(($KC121)&gt;0,($JW121*cfg_TroyOz)/($KC121),""),"")</f>
        <v/>
      </c>
      <c r="KJ121" s="56">
        <f>IFERROR(IF(($KD121)&gt;0,($JX121*cfg_TroyOz)/($KD121),""),"")</f>
        <v/>
      </c>
      <c r="KK121" s="56">
        <f>IFERROR(IF(($KE121)&gt;0,($JY121*cfg_TroyOz)/($KE121),""),"")</f>
        <v/>
      </c>
      <c r="KL121" s="67">
        <f>IFERROR(IF(($KF121)&gt;0,($JZ121)/($KF121),""),"")</f>
        <v/>
      </c>
      <c r="KM121" s="67">
        <f>IFERROR(IF(($KG121)&gt;0,($KA121)/($KG121),""),"")</f>
        <v/>
      </c>
      <c r="KN121" s="67">
        <f>IFERROR(IF(($KH121)&gt;0,($KB121)/($KH121),""),"")</f>
        <v/>
      </c>
      <c r="KO121" s="55">
        <f>SUMIFS(tblBudget[Gold_Poured_oz],tblBudget[Month],$E121)</f>
        <v/>
      </c>
      <c r="KP121" s="55">
        <f>$KO121*$C121/$D121</f>
        <v/>
      </c>
      <c r="KQ121" s="55">
        <f>SUMIFS(tblBudget[Gold_Poured_oz],tblBudget[Month],"&lt;"&amp;$E121)+$KP121</f>
        <v/>
      </c>
      <c r="KR121" s="57">
        <f>SUMIFS(tblBudget[Hours_Worked],tblBudget[Month],$E121)</f>
        <v/>
      </c>
      <c r="KS121" s="57">
        <f>$KR121*$C121/$D121</f>
        <v/>
      </c>
      <c r="KT121" s="57">
        <f>SUMIFS(tblBudget[Hours_Worked],tblBudget[Month],"&lt;"&amp;$E121)+$KS121</f>
        <v/>
      </c>
    </row>
    <row r="122">
      <c r="A122" s="54" t="n">
        <v>46143</v>
      </c>
      <c r="B122">
        <f>MONTH($A122)</f>
        <v/>
      </c>
      <c r="C122">
        <f>DAY($A122)</f>
        <v/>
      </c>
      <c r="D122">
        <f>DAY(EOMONTH($A122,0))</f>
        <v/>
      </c>
      <c r="E122" s="54">
        <f>DATE(YEAR($A122),MONTH($A122),1)</f>
        <v/>
      </c>
      <c r="F122" s="55">
        <f>SUMIFS(tblMovement[Tonnes_t],tblMovement[Date],$A122,tblMovement[Is_Ore],1,tblMovement[Source_Type],"Pit")</f>
        <v/>
      </c>
      <c r="G122" s="55">
        <f>IF($B122=$B121,$G121,0)+$F122</f>
        <v/>
      </c>
      <c r="H122" s="55">
        <f>$H121+$F122</f>
        <v/>
      </c>
      <c r="I122" s="55">
        <f>SUMIFS(tblMovement[Ore_oz],tblMovement[Date],$A122,tblMovement[Source_Type],"Pit")</f>
        <v/>
      </c>
      <c r="J122" s="55">
        <f>IF($B122=$B121,$J121,0)+$I122</f>
        <v/>
      </c>
      <c r="K122" s="55">
        <f>$K121+$I122</f>
        <v/>
      </c>
      <c r="L122" s="55">
        <f>SUMIFS(tblMovement[Tonnes_t],tblMovement[Date],$A122,tblMovement[Is_Ore],1,tblMovement[Source_Type],"Pit",tblMovement[Grade_gpt],"&lt;&gt;")</f>
        <v/>
      </c>
      <c r="M122" s="55">
        <f>IF($B122=$B121,$M121,0)+$L122</f>
        <v/>
      </c>
      <c r="N122" s="55">
        <f>$N121+$L122</f>
        <v/>
      </c>
      <c r="O122" s="56">
        <f>IFERROR(IF(($L122)&gt;0,($I122*cfg_TroyOz)/($L122),""),"")</f>
        <v/>
      </c>
      <c r="P122" s="56">
        <f>IFERROR(IF(($M122)&gt;0,($J122*cfg_TroyOz)/($M122),""),"")</f>
        <v/>
      </c>
      <c r="Q122" s="56">
        <f>IFERROR(IF(($N122)&gt;0,($K122*cfg_TroyOz)/($N122),""),"")</f>
        <v/>
      </c>
      <c r="R122" s="55">
        <f>$F122-$L122</f>
        <v/>
      </c>
      <c r="S122" s="55">
        <f>IF($B122=$B121,$S121,0)+$R122</f>
        <v/>
      </c>
      <c r="T122" s="55">
        <f>$T121+$R122</f>
        <v/>
      </c>
      <c r="U122" s="55">
        <f>SUMIFS(tblMovement[Tonnes_t],tblMovement[Date],$A122,tblMovement[Is_Ore],0,tblMovement[Source_Type],"Pit")</f>
        <v/>
      </c>
      <c r="V122" s="55">
        <f>IF($B122=$B121,$V121,0)+$U122</f>
        <v/>
      </c>
      <c r="W122" s="55">
        <f>$W121+$U122</f>
        <v/>
      </c>
      <c r="X122" s="55">
        <f>$F122+$U122</f>
        <v/>
      </c>
      <c r="Y122" s="55">
        <f>IF($B122=$B121,$Y121,0)+$X122</f>
        <v/>
      </c>
      <c r="Z122" s="55">
        <f>$Z121+$X122</f>
        <v/>
      </c>
      <c r="AA122" s="56">
        <f>IFERROR(IF(($F122)&gt;0,($U122)/($F122),""),"")</f>
        <v/>
      </c>
      <c r="AB122" s="56">
        <f>IFERROR(IF(($G122)&gt;0,($V122)/($G122),""),"")</f>
        <v/>
      </c>
      <c r="AC122" s="56">
        <f>IFERROR(IF(($H122)&gt;0,($W122)/($H122),""),"")</f>
        <v/>
      </c>
      <c r="AD122" s="55">
        <f>SUMIFS(tblMovement[Tonnes_t],tblMovement[Date],$A122,tblMovement[Source_Type],"Stockpile")</f>
        <v/>
      </c>
      <c r="AE122" s="55">
        <f>IF($B122=$B121,$AE121,0)+$AD122</f>
        <v/>
      </c>
      <c r="AF122" s="55">
        <f>$AF121+$AD122</f>
        <v/>
      </c>
      <c r="AG122" s="55">
        <f>SUMIFS(tblMovement[Tonnes_t],tblMovement[Date],$A122)</f>
        <v/>
      </c>
      <c r="AH122" s="55">
        <f>IF($B122=$B121,$AH121,0)+$AG122</f>
        <v/>
      </c>
      <c r="AI122" s="55">
        <f>$AI121+$AG122</f>
        <v/>
      </c>
      <c r="AJ122" s="55">
        <f>$AG122-$X122-$AD122</f>
        <v/>
      </c>
      <c r="AK122" s="55">
        <f>IF($B122=$B121,$AK121,0)+$AJ122</f>
        <v/>
      </c>
      <c r="AL122" s="55">
        <f>$AL121+$AJ122</f>
        <v/>
      </c>
      <c r="AM122" s="55">
        <f>SUMIFS(tblMiningDaily[Drill_m],tblMiningDaily[Date],$A122)</f>
        <v/>
      </c>
      <c r="AN122" s="55">
        <f>IF($B122=$B121,$AN121,0)+$AM122</f>
        <v/>
      </c>
      <c r="AO122" s="55">
        <f>$AO121+$AM122</f>
        <v/>
      </c>
      <c r="AP122" s="55">
        <f>SUMIFS(tblMiningDaily[GC_Drill_m],tblMiningDaily[Date],$A122)</f>
        <v/>
      </c>
      <c r="AQ122" s="55">
        <f>IF($B122=$B121,$AQ121,0)+$AP122</f>
        <v/>
      </c>
      <c r="AR122" s="55">
        <f>$AR121+$AP122</f>
        <v/>
      </c>
      <c r="AS122" s="55">
        <f>SUMIFS(tblMiningDaily[Blast_t],tblMiningDaily[Date],$A122)</f>
        <v/>
      </c>
      <c r="AT122" s="55">
        <f>IF($B122=$B121,$AT121,0)+$AS122</f>
        <v/>
      </c>
      <c r="AU122" s="55">
        <f>$AU121+$AS122</f>
        <v/>
      </c>
      <c r="AV122" s="55">
        <f>SUMIFS(tblMiningDaily[Explosives_kg],tblMiningDaily[Date],$A122)</f>
        <v/>
      </c>
      <c r="AW122" s="55">
        <f>IF($B122=$B121,$AW121,0)+$AV122</f>
        <v/>
      </c>
      <c r="AX122" s="55">
        <f>$AX121+$AV122</f>
        <v/>
      </c>
      <c r="AY122" s="56">
        <f>IFERROR(IF(($AS122)&gt;0,($AV122)/($AS122),""),"")</f>
        <v/>
      </c>
      <c r="AZ122" s="56">
        <f>IFERROR(IF(($AT122)&gt;0,($AW122)/($AT122),""),"")</f>
        <v/>
      </c>
      <c r="BA122" s="56">
        <f>IFERROR(IF(($AU122)&gt;0,($AX122)/($AU122),""),"")</f>
        <v/>
      </c>
      <c r="BB122" s="55">
        <f>SUMIFS(tblMiningDaily[Diesel_L],tblMiningDaily[Date],$A122)</f>
        <v/>
      </c>
      <c r="BC122" s="55">
        <f>IF($B122=$B121,$BC121,0)+$BB122</f>
        <v/>
      </c>
      <c r="BD122" s="55">
        <f>$BD121+$BB122</f>
        <v/>
      </c>
      <c r="BE122" s="55">
        <f>SUMIFS(tblMiningDaily[Dewatering_m3],tblMiningDaily[Date],$A122)</f>
        <v/>
      </c>
      <c r="BF122" s="55">
        <f>IF($B122=$B121,$BF121,0)+$BE122</f>
        <v/>
      </c>
      <c r="BG122" s="55">
        <f>$BG121+$BE122</f>
        <v/>
      </c>
      <c r="BH122" s="57">
        <f>SUMIFS(tblFleet[Calendar_h],tblFleet[Date],$A122,tblFleet[Equipment_Class],"Excavator")</f>
        <v/>
      </c>
      <c r="BI122" s="57">
        <f>IF($B122=$B121,$BI121,0)+$BH122</f>
        <v/>
      </c>
      <c r="BJ122" s="57">
        <f>$BJ121+$BH122</f>
        <v/>
      </c>
      <c r="BK122" s="57">
        <f>SUMIFS(tblFleet[Available_h],tblFleet[Date],$A122,tblFleet[Equipment_Class],"Excavator")</f>
        <v/>
      </c>
      <c r="BL122" s="57">
        <f>IF($B122=$B121,$BL121,0)+$BK122</f>
        <v/>
      </c>
      <c r="BM122" s="57">
        <f>$BM121+$BK122</f>
        <v/>
      </c>
      <c r="BN122" s="57">
        <f>SUMIFS(tblFleet[Operating_h],tblFleet[Date],$A122,tblFleet[Equipment_Class],"Excavator")</f>
        <v/>
      </c>
      <c r="BO122" s="57">
        <f>IF($B122=$B121,$BO121,0)+$BN122</f>
        <v/>
      </c>
      <c r="BP122" s="57">
        <f>$BP121+$BN122</f>
        <v/>
      </c>
      <c r="BQ122" s="67">
        <f>IFERROR(IF(($BH122)&gt;0,($BK122)/($BH122),""),"")</f>
        <v/>
      </c>
      <c r="BR122" s="67">
        <f>IFERROR(IF(($BI122)&gt;0,($BL122)/($BI122),""),"")</f>
        <v/>
      </c>
      <c r="BS122" s="67">
        <f>IFERROR(IF(($BJ122)&gt;0,($BM122)/($BJ122),""),"")</f>
        <v/>
      </c>
      <c r="BT122" s="67">
        <f>IFERROR(IF(($BK122)&gt;0,($BN122)/($BK122),""),"")</f>
        <v/>
      </c>
      <c r="BU122" s="67">
        <f>IFERROR(IF(($BL122)&gt;0,($BO122)/($BL122),""),"")</f>
        <v/>
      </c>
      <c r="BV122" s="67">
        <f>IFERROR(IF(($BM122)&gt;0,($BP122)/($BM122),""),"")</f>
        <v/>
      </c>
      <c r="BW122" s="57">
        <f>SUMIFS(tblFleet[Calendar_h],tblFleet[Date],$A122,tblFleet[Equipment_Class],"Haul Truck")</f>
        <v/>
      </c>
      <c r="BX122" s="57">
        <f>IF($B122=$B121,$BX121,0)+$BW122</f>
        <v/>
      </c>
      <c r="BY122" s="57">
        <f>$BY121+$BW122</f>
        <v/>
      </c>
      <c r="BZ122" s="57">
        <f>SUMIFS(tblFleet[Available_h],tblFleet[Date],$A122,tblFleet[Equipment_Class],"Haul Truck")</f>
        <v/>
      </c>
      <c r="CA122" s="57">
        <f>IF($B122=$B121,$CA121,0)+$BZ122</f>
        <v/>
      </c>
      <c r="CB122" s="57">
        <f>$CB121+$BZ122</f>
        <v/>
      </c>
      <c r="CC122" s="57">
        <f>SUMIFS(tblFleet[Operating_h],tblFleet[Date],$A122,tblFleet[Equipment_Class],"Haul Truck")</f>
        <v/>
      </c>
      <c r="CD122" s="57">
        <f>IF($B122=$B121,$CD121,0)+$CC122</f>
        <v/>
      </c>
      <c r="CE122" s="57">
        <f>$CE121+$CC122</f>
        <v/>
      </c>
      <c r="CF122" s="67">
        <f>IFERROR(IF(($BW122)&gt;0,($BZ122)/($BW122),""),"")</f>
        <v/>
      </c>
      <c r="CG122" s="67">
        <f>IFERROR(IF(($BX122)&gt;0,($CA122)/($BX122),""),"")</f>
        <v/>
      </c>
      <c r="CH122" s="67">
        <f>IFERROR(IF(($BY122)&gt;0,($CB122)/($BY122),""),"")</f>
        <v/>
      </c>
      <c r="CI122" s="67">
        <f>IFERROR(IF(($BZ122)&gt;0,($CC122)/($BZ122),""),"")</f>
        <v/>
      </c>
      <c r="CJ122" s="67">
        <f>IFERROR(IF(($CA122)&gt;0,($CD122)/($CA122),""),"")</f>
        <v/>
      </c>
      <c r="CK122" s="67">
        <f>IFERROR(IF(($CB122)&gt;0,($CE122)/($CB122),""),"")</f>
        <v/>
      </c>
      <c r="CL122" s="55">
        <f>IFERROR(IF(($BN122)&gt;0,($X122+$AD122)/($BN122),""),"")</f>
        <v/>
      </c>
      <c r="CM122" s="55">
        <f>IFERROR(IF(($BO122)&gt;0,($Y122+$AE122)/($BO122),""),"")</f>
        <v/>
      </c>
      <c r="CN122" s="55">
        <f>IFERROR(IF(($BP122)&gt;0,($Z122+$AF122)/($BP122),""),"")</f>
        <v/>
      </c>
      <c r="CO122" s="55">
        <f>IFERROR(IF(($CC122)&gt;0,($X122+$AD122)/($CC122),""),"")</f>
        <v/>
      </c>
      <c r="CP122" s="55">
        <f>IFERROR(IF(($CD122)&gt;0,($Y122+$AE122)/($CD122),""),"")</f>
        <v/>
      </c>
      <c r="CQ122" s="55">
        <f>IFERROR(IF(($CE122)&gt;0,($Z122+$AF122)/($CE122),""),"")</f>
        <v/>
      </c>
      <c r="CR122" s="55">
        <f>SUMIFS(tblPlant[Crushed_t],tblPlant[Date],$A122)</f>
        <v/>
      </c>
      <c r="CS122" s="55">
        <f>IF($B122=$B121,$CS121,0)+$CR122</f>
        <v/>
      </c>
      <c r="CT122" s="55">
        <f>$CT121+$CR122</f>
        <v/>
      </c>
      <c r="CU122" s="55">
        <f>SUMIFS(tblPlant[Milled_t],tblPlant[Date],$A122)</f>
        <v/>
      </c>
      <c r="CV122" s="55">
        <f>IF($B122=$B121,$CV121,0)+$CU122</f>
        <v/>
      </c>
      <c r="CW122" s="55">
        <f>$CW121+$CU122</f>
        <v/>
      </c>
      <c r="CX122" s="55">
        <f>SUMIFS(tblPlant[Feed_oz],tblPlant[Date],$A122)</f>
        <v/>
      </c>
      <c r="CY122" s="55">
        <f>IF($B122=$B121,$CY121,0)+$CX122</f>
        <v/>
      </c>
      <c r="CZ122" s="55">
        <f>$CZ121+$CX122</f>
        <v/>
      </c>
      <c r="DA122" s="55">
        <f>SUMIFS(tblPlant[Tails_oz],tblPlant[Date],$A122)</f>
        <v/>
      </c>
      <c r="DB122" s="55">
        <f>IF($B122=$B121,$DB121,0)+$DA122</f>
        <v/>
      </c>
      <c r="DC122" s="55">
        <f>$DC121+$DA122</f>
        <v/>
      </c>
      <c r="DD122" s="55">
        <f>SUMIFS(tblPlant[Recovered_oz],tblPlant[Date],$A122)</f>
        <v/>
      </c>
      <c r="DE122" s="55">
        <f>IF($B122=$B121,$DE121,0)+$DD122</f>
        <v/>
      </c>
      <c r="DF122" s="55">
        <f>$DF121+$DD122</f>
        <v/>
      </c>
      <c r="DG122" s="55">
        <f>SUMIFS(tblPlant[Milled_t],tblPlant[Date],$A122,tblPlant[Head_Grade_gpt],"&lt;&gt;")</f>
        <v/>
      </c>
      <c r="DH122" s="55">
        <f>IF($B122=$B121,$DH121,0)+$DG122</f>
        <v/>
      </c>
      <c r="DI122" s="55">
        <f>$DI121+$DG122</f>
        <v/>
      </c>
      <c r="DJ122" s="55">
        <f>SUMIFS(tblPlant[Milled_t],tblPlant[Date],$A122,tblPlant[Tails_Grade_gpt],"&lt;&gt;")</f>
        <v/>
      </c>
      <c r="DK122" s="55">
        <f>IF($B122=$B121,$DK121,0)+$DJ122</f>
        <v/>
      </c>
      <c r="DL122" s="55">
        <f>$DL121+$DJ122</f>
        <v/>
      </c>
      <c r="DM122" s="55">
        <f>SUMIFS(tblPlant[Feed_oz],tblPlant[Date],$A122,tblPlant[Tails_Grade_gpt],"&lt;&gt;")</f>
        <v/>
      </c>
      <c r="DN122" s="55">
        <f>IF($B122=$B121,$DN121,0)+$DM122</f>
        <v/>
      </c>
      <c r="DO122" s="55">
        <f>$DO121+$DM122</f>
        <v/>
      </c>
      <c r="DP122" s="55">
        <f>SUMIFS(tblPlant[Milled_t],tblPlant[Date],$A122,tblPlant[Mill_Run_h],"&lt;&gt;")</f>
        <v/>
      </c>
      <c r="DQ122" s="55">
        <f>IF($B122=$B121,$DQ121,0)+$DP122</f>
        <v/>
      </c>
      <c r="DR122" s="55">
        <f>$DR121+$DP122</f>
        <v/>
      </c>
      <c r="DS122" s="56">
        <f>IFERROR(IF(($DG122)&gt;0,($CX122*cfg_TroyOz)/($DG122),""),"")</f>
        <v/>
      </c>
      <c r="DT122" s="56">
        <f>IFERROR(IF(($DH122)&gt;0,($CY122*cfg_TroyOz)/($DH122),""),"")</f>
        <v/>
      </c>
      <c r="DU122" s="56">
        <f>IFERROR(IF(($DI122)&gt;0,($CZ122*cfg_TroyOz)/($DI122),""),"")</f>
        <v/>
      </c>
      <c r="DV122" s="56">
        <f>IFERROR(IF(($DJ122)&gt;0,($DA122*cfg_TroyOz)/($DJ122),""),"")</f>
        <v/>
      </c>
      <c r="DW122" s="56">
        <f>IFERROR(IF(($DK122)&gt;0,($DB122*cfg_TroyOz)/($DK122),""),"")</f>
        <v/>
      </c>
      <c r="DX122" s="56">
        <f>IFERROR(IF(($DL122)&gt;0,($DC122*cfg_TroyOz)/($DL122),""),"")</f>
        <v/>
      </c>
      <c r="DY122" s="67">
        <f>IFERROR(IF(($DM122)&gt;0,($DD122)/($DM122),""),"")</f>
        <v/>
      </c>
      <c r="DZ122" s="67">
        <f>IFERROR(IF(($DN122)&gt;0,($DE122)/($DN122),""),"")</f>
        <v/>
      </c>
      <c r="EA122" s="67">
        <f>IFERROR(IF(($DO122)&gt;0,($DF122)/($DO122),""),"")</f>
        <v/>
      </c>
      <c r="EB122" s="55">
        <f>SUMIFS(tblPlant[Gravity_Gold_oz],tblPlant[Date],$A122)</f>
        <v/>
      </c>
      <c r="EC122" s="55">
        <f>IF($B122=$B121,$EC121,0)+$EB122</f>
        <v/>
      </c>
      <c r="ED122" s="55">
        <f>$ED121+$EB122</f>
        <v/>
      </c>
      <c r="EE122" s="67">
        <f>IFERROR(IF(($DD122)&gt;0,($EB122)/($DD122),""),"")</f>
        <v/>
      </c>
      <c r="EF122" s="67">
        <f>IFERROR(IF(($DE122)&gt;0,($EC122)/($DE122),""),"")</f>
        <v/>
      </c>
      <c r="EG122" s="67">
        <f>IFERROR(IF(($DF122)&gt;0,($ED122)/($DF122),""),"")</f>
        <v/>
      </c>
      <c r="EH122" s="55">
        <f>SUMIFS(tblPlant[Gold_Poured_oz],tblPlant[Date],$A122)</f>
        <v/>
      </c>
      <c r="EI122" s="55">
        <f>IF($B122=$B121,$EI121,0)+$EH122</f>
        <v/>
      </c>
      <c r="EJ122" s="55">
        <f>$EJ121+$EH122</f>
        <v/>
      </c>
      <c r="EK122" s="57">
        <f>SUMIFS(tblPlant[Mill_Run_h],tblPlant[Date],$A122)</f>
        <v/>
      </c>
      <c r="EL122" s="57">
        <f>IF($B122=$B121,$EL121,0)+$EK122</f>
        <v/>
      </c>
      <c r="EM122" s="57">
        <f>$EM121+$EK122</f>
        <v/>
      </c>
      <c r="EN122" s="57">
        <f>SUMIFS(tblPlant[Mill_Planned_Maint_h],tblPlant[Date],$A122)</f>
        <v/>
      </c>
      <c r="EO122" s="57">
        <f>IF($B122=$B121,$EO121,0)+$EN122</f>
        <v/>
      </c>
      <c r="EP122" s="57">
        <f>$EP121+$EN122</f>
        <v/>
      </c>
      <c r="EQ122" s="57">
        <f>SUMIFS(tblPlant[Mill_Unplanned_Down_h],tblPlant[Date],$A122)</f>
        <v/>
      </c>
      <c r="ER122" s="57">
        <f>IF($B122=$B121,$ER121,0)+$EQ122</f>
        <v/>
      </c>
      <c r="ES122" s="57">
        <f>$ES121+$EQ122</f>
        <v/>
      </c>
      <c r="ET122" s="57">
        <f>IF(COUNTIFS(tblPlant[Date],$A122,tblPlant[Mill_Run_h],"&lt;&gt;")+COUNTIFS(tblPlant[Date],$A122,tblPlant[Mill_Planned_Maint_h],"&lt;&gt;")+COUNTIFS(tblPlant[Date],$A122,tblPlant[Mill_Unplanned_Down_h],"&lt;&gt;")&gt;0,cfg_HoursPerDay,0)</f>
        <v/>
      </c>
      <c r="EU122" s="57">
        <f>IF($B122=$B121,$EU121,0)+$ET122</f>
        <v/>
      </c>
      <c r="EV122" s="57">
        <f>$EV121+$ET122</f>
        <v/>
      </c>
      <c r="EW122" s="57">
        <f>SUMIFS(tblPlant[Crusher_Run_h],tblPlant[Date],$A122)</f>
        <v/>
      </c>
      <c r="EX122" s="57">
        <f>IF($B122=$B121,$EX121,0)+$EW122</f>
        <v/>
      </c>
      <c r="EY122" s="57">
        <f>$EY121+$EW122</f>
        <v/>
      </c>
      <c r="EZ122" s="55">
        <f>IFERROR(IF(($EK122)&gt;0,($DP122)/($EK122),""),"")</f>
        <v/>
      </c>
      <c r="FA122" s="55">
        <f>IFERROR(IF(($EL122)&gt;0,($DQ122)/($EL122),""),"")</f>
        <v/>
      </c>
      <c r="FB122" s="55">
        <f>IFERROR(IF(($EM122)&gt;0,($DR122)/($EM122),""),"")</f>
        <v/>
      </c>
      <c r="FC122" s="67">
        <f>IFERROR(IF(($ET122)&gt;0,($ET122-$EN122-$EQ122)/($ET122),""),"")</f>
        <v/>
      </c>
      <c r="FD122" s="67">
        <f>IFERROR(IF(($EU122)&gt;0,($EU122-$EO122-$ER122)/($EU122),""),"")</f>
        <v/>
      </c>
      <c r="FE122" s="67">
        <f>IFERROR(IF(($EV122)&gt;0,($EV122-$EP122-$ES122)/($EV122),""),"")</f>
        <v/>
      </c>
      <c r="FF122" s="67">
        <f>IFERROR(IF(($ET122-$EN122-$EQ122)&gt;0,($EK122)/($ET122-$EN122-$EQ122),""),"")</f>
        <v/>
      </c>
      <c r="FG122" s="67">
        <f>IFERROR(IF(($EU122-$EO122-$ER122)&gt;0,($EL122)/($EU122-$EO122-$ER122),""),"")</f>
        <v/>
      </c>
      <c r="FH122" s="67">
        <f>IFERROR(IF(($EV122-$EP122-$ES122)&gt;0,($EM122)/($EV122-$EP122-$ES122),""),"")</f>
        <v/>
      </c>
      <c r="FI122" s="55">
        <f>SUMIFS(tblPlant[Cyanide_kg],tblPlant[Date],$A122)</f>
        <v/>
      </c>
      <c r="FJ122" s="55">
        <f>IF($B122=$B121,$FJ121,0)+$FI122</f>
        <v/>
      </c>
      <c r="FK122" s="55">
        <f>$FK121+$FI122</f>
        <v/>
      </c>
      <c r="FL122" s="55">
        <f>SUMIFS(tblPlant[Lime_kg],tblPlant[Date],$A122)</f>
        <v/>
      </c>
      <c r="FM122" s="55">
        <f>IF($B122=$B121,$FM121,0)+$FL122</f>
        <v/>
      </c>
      <c r="FN122" s="55">
        <f>$FN121+$FL122</f>
        <v/>
      </c>
      <c r="FO122" s="55">
        <f>SUMIFS(tblPlant[Grinding_Media_kg],tblPlant[Date],$A122)</f>
        <v/>
      </c>
      <c r="FP122" s="55">
        <f>IF($B122=$B121,$FP121,0)+$FO122</f>
        <v/>
      </c>
      <c r="FQ122" s="55">
        <f>$FQ121+$FO122</f>
        <v/>
      </c>
      <c r="FR122" s="55">
        <f>SUMIFS(tblPlant[Power_kWh],tblPlant[Date],$A122)</f>
        <v/>
      </c>
      <c r="FS122" s="55">
        <f>IF($B122=$B121,$FS121,0)+$FR122</f>
        <v/>
      </c>
      <c r="FT122" s="55">
        <f>$FT121+$FR122</f>
        <v/>
      </c>
      <c r="FU122" s="55">
        <f>SUMIFS(tblPlant[Raw_Water_m3],tblPlant[Date],$A122)</f>
        <v/>
      </c>
      <c r="FV122" s="55">
        <f>IF($B122=$B121,$FV121,0)+$FU122</f>
        <v/>
      </c>
      <c r="FW122" s="55">
        <f>$FW121+$FU122</f>
        <v/>
      </c>
      <c r="FX122" s="56">
        <f>IFERROR(IF(($CU122)&gt;0,($FI122)/($CU122),""),"")</f>
        <v/>
      </c>
      <c r="FY122" s="56">
        <f>IFERROR(IF(($CV122)&gt;0,($FJ122)/($CV122),""),"")</f>
        <v/>
      </c>
      <c r="FZ122" s="56">
        <f>IFERROR(IF(($CW122)&gt;0,($FK122)/($CW122),""),"")</f>
        <v/>
      </c>
      <c r="GA122" s="56">
        <f>IFERROR(IF(($CU122)&gt;0,($FL122)/($CU122),""),"")</f>
        <v/>
      </c>
      <c r="GB122" s="56">
        <f>IFERROR(IF(($CV122)&gt;0,($FM122)/($CV122),""),"")</f>
        <v/>
      </c>
      <c r="GC122" s="56">
        <f>IFERROR(IF(($CW122)&gt;0,($FN122)/($CW122),""),"")</f>
        <v/>
      </c>
      <c r="GD122" s="56">
        <f>IFERROR(IF(($CU122)&gt;0,($FO122)/($CU122),""),"")</f>
        <v/>
      </c>
      <c r="GE122" s="56">
        <f>IFERROR(IF(($CV122)&gt;0,($FP122)/($CV122),""),"")</f>
        <v/>
      </c>
      <c r="GF122" s="56">
        <f>IFERROR(IF(($CW122)&gt;0,($FQ122)/($CW122),""),"")</f>
        <v/>
      </c>
      <c r="GG122" s="79">
        <f>IFERROR(IF(($CU122)&gt;0,($FR122)/($CU122),""),"")</f>
        <v/>
      </c>
      <c r="GH122" s="79">
        <f>IFERROR(IF(($CV122)&gt;0,($FS122)/($CV122),""),"")</f>
        <v/>
      </c>
      <c r="GI122" s="79">
        <f>IFERROR(IF(($CW122)&gt;0,($FT122)/($CW122),""),"")</f>
        <v/>
      </c>
      <c r="GJ122" s="56">
        <f>IFERROR(IF(($CU122)&gt;0,($FU122)/($CU122),""),"")</f>
        <v/>
      </c>
      <c r="GK122" s="56">
        <f>IFERROR(IF(($CV122)&gt;0,($FV122)/($CV122),""),"")</f>
        <v/>
      </c>
      <c r="GL122" s="56">
        <f>IFERROR(IF(($CW122)&gt;0,($FW122)/($CW122),""),"")</f>
        <v/>
      </c>
      <c r="GM122" s="55">
        <f>IF(SUMIFS(tblPlant[GIC_oz],tblPlant[Date],$A122)&gt;0,SUMIFS(tblPlant[GIC_oz],tblPlant[Date],$A122),"")</f>
        <v/>
      </c>
      <c r="GN122" s="55">
        <f>SUMIFS(tblGold[Gold_oz],tblGold[Date],$A122,tblGold[Type],"Shipment")</f>
        <v/>
      </c>
      <c r="GO122" s="55">
        <f>IF($B122=$B121,$GO121,0)+$GN122</f>
        <v/>
      </c>
      <c r="GP122" s="55">
        <f>$GP121+$GN122</f>
        <v/>
      </c>
      <c r="GQ122" s="55">
        <f>SUMIFS(tblGold[Gold_oz],tblGold[Date],$A122,tblGold[Type],"Sale")</f>
        <v/>
      </c>
      <c r="GR122" s="55">
        <f>IF($B122=$B121,$GR121,0)+$GQ122</f>
        <v/>
      </c>
      <c r="GS122" s="55">
        <f>$GS121+$GQ122</f>
        <v/>
      </c>
      <c r="GT122" s="55">
        <f>SUMIFS(tblGold[Dore_kg],tblGold[Date],$A122,tblGold[Type],"Shipment")</f>
        <v/>
      </c>
      <c r="GU122" s="55">
        <f>IF($B122=$B121,$GU121,0)+$GT122</f>
        <v/>
      </c>
      <c r="GV122" s="55">
        <f>$GV121+$GT122</f>
        <v/>
      </c>
      <c r="GW122" s="57">
        <f>SUMIFS(tblSafety[Hours_Total],tblSafety[Date],$A122)</f>
        <v/>
      </c>
      <c r="GX122" s="57">
        <f>IF($B122=$B121,$GX121,0)+$GW122</f>
        <v/>
      </c>
      <c r="GY122" s="57">
        <f>$GY121+$GW122</f>
        <v/>
      </c>
      <c r="GZ122" s="62">
        <f>SUMIFS(tblSafety[Fatality],tblSafety[Date],$A122)</f>
        <v/>
      </c>
      <c r="HA122" s="62">
        <f>IF($B122=$B121,$HA121,0)+$GZ122</f>
        <v/>
      </c>
      <c r="HB122" s="62">
        <f>$HB121+$GZ122</f>
        <v/>
      </c>
      <c r="HC122" s="62">
        <f>SUMIFS(tblSafety[LTI],tblSafety[Date],$A122)</f>
        <v/>
      </c>
      <c r="HD122" s="62">
        <f>IF($B122=$B121,$HD121,0)+$HC122</f>
        <v/>
      </c>
      <c r="HE122" s="62">
        <f>$HE121+$HC122</f>
        <v/>
      </c>
      <c r="HF122" s="62">
        <f>SUMIFS(tblSafety[RWI],tblSafety[Date],$A122)</f>
        <v/>
      </c>
      <c r="HG122" s="62">
        <f>IF($B122=$B121,$HG121,0)+$HF122</f>
        <v/>
      </c>
      <c r="HH122" s="62">
        <f>$HH121+$HF122</f>
        <v/>
      </c>
      <c r="HI122" s="62">
        <f>SUMIFS(tblSafety[MTI],tblSafety[Date],$A122)</f>
        <v/>
      </c>
      <c r="HJ122" s="62">
        <f>IF($B122=$B121,$HJ121,0)+$HI122</f>
        <v/>
      </c>
      <c r="HK122" s="62">
        <f>$HK121+$HI122</f>
        <v/>
      </c>
      <c r="HL122" s="62">
        <f>SUMIFS(tblSafety[FAI],tblSafety[Date],$A122)</f>
        <v/>
      </c>
      <c r="HM122" s="62">
        <f>IF($B122=$B121,$HM121,0)+$HL122</f>
        <v/>
      </c>
      <c r="HN122" s="62">
        <f>$HN121+$HL122</f>
        <v/>
      </c>
      <c r="HO122" s="62">
        <f>SUMIFS(tblSafety[Recordables],tblSafety[Date],$A122)</f>
        <v/>
      </c>
      <c r="HP122" s="62">
        <f>IF($B122=$B121,$HP121,0)+$HO122</f>
        <v/>
      </c>
      <c r="HQ122" s="62">
        <f>$HQ121+$HO122</f>
        <v/>
      </c>
      <c r="HR122" s="62">
        <f>SUMIFS(tblSafety[Near_Miss],tblSafety[Date],$A122)</f>
        <v/>
      </c>
      <c r="HS122" s="62">
        <f>IF($B122=$B121,$HS121,0)+$HR122</f>
        <v/>
      </c>
      <c r="HT122" s="62">
        <f>$HT121+$HR122</f>
        <v/>
      </c>
      <c r="HU122" s="62">
        <f>SUMIFS(tblSafety[Hazard_Reports],tblSafety[Date],$A122)</f>
        <v/>
      </c>
      <c r="HV122" s="62">
        <f>IF($B122=$B121,$HV121,0)+$HU122</f>
        <v/>
      </c>
      <c r="HW122" s="62">
        <f>$HW121+$HU122</f>
        <v/>
      </c>
      <c r="HX122" s="62">
        <f>SUMIFS(tblSafety[HPI],tblSafety[Date],$A122)</f>
        <v/>
      </c>
      <c r="HY122" s="62">
        <f>IF($B122=$B121,$HY121,0)+$HX122</f>
        <v/>
      </c>
      <c r="HZ122" s="62">
        <f>$HZ121+$HX122</f>
        <v/>
      </c>
      <c r="IA122" s="62">
        <f>SUMIFS(tblSafety[Env_Incidents],tblSafety[Date],$A122)</f>
        <v/>
      </c>
      <c r="IB122" s="62">
        <f>IF($B122=$B121,$IB121,0)+$IA122</f>
        <v/>
      </c>
      <c r="IC122" s="62">
        <f>$IC121+$IA122</f>
        <v/>
      </c>
      <c r="ID122" s="62">
        <f>SUMIFS(tblSafety[Community_Incidents],tblSafety[Date],$A122)</f>
        <v/>
      </c>
      <c r="IE122" s="62">
        <f>IF($B122=$B121,$IE121,0)+$ID122</f>
        <v/>
      </c>
      <c r="IF122" s="62">
        <f>$IF121+$ID122</f>
        <v/>
      </c>
      <c r="IG122" s="62">
        <f>SUMIFS(tblSafety[Vehicle_Incidents],tblSafety[Date],$A122)</f>
        <v/>
      </c>
      <c r="IH122" s="62">
        <f>IF($B122=$B121,$IH121,0)+$IG122</f>
        <v/>
      </c>
      <c r="II122" s="62">
        <f>$II121+$IG122</f>
        <v/>
      </c>
      <c r="IJ122" s="62">
        <f>SUMIFS(tblSafety[Toolbox_Talks],tblSafety[Date],$A122)</f>
        <v/>
      </c>
      <c r="IK122" s="62">
        <f>IF($B122=$B121,$IK121,0)+$IJ122</f>
        <v/>
      </c>
      <c r="IL122" s="62">
        <f>$IL121+$IJ122</f>
        <v/>
      </c>
      <c r="IM122" s="62">
        <f>SUMIFS(tblSafety[Inspections],tblSafety[Date],$A122)</f>
        <v/>
      </c>
      <c r="IN122" s="62">
        <f>IF($B122=$B121,$IN121,0)+$IM122</f>
        <v/>
      </c>
      <c r="IO122" s="62">
        <f>$IO121+$IM122</f>
        <v/>
      </c>
      <c r="IP122" s="56">
        <f>IFERROR((SUMIFS(tblSafety[Recordables],tblSafety[Date],"&gt;="&amp;EDATE($E122,-12),tblSafety[Date],"&lt;="&amp;$A122)+SUMIFS(tblSafetyHistory[Recordables],tblSafetyHistory[Month],"&gt;="&amp;EDATE($E122,-12),tblSafetyHistory[Month],"&lt;"&amp;$E122,tblSafetyHistory[Use],1))/(SUMIFS(tblSafety[Hours_Total],tblSafety[Date],"&gt;="&amp;EDATE($E122,-12),tblSafety[Date],"&lt;="&amp;$A122)+SUMIFS(tblSafetyHistory[Hours_Total],tblSafetyHistory[Month],"&gt;="&amp;EDATE($E122,-12),tblSafetyHistory[Month],"&lt;"&amp;$E122,tblSafetyHistory[Use],1))*cfg_RateBasisHours,"")</f>
        <v/>
      </c>
      <c r="IQ122" s="56">
        <f>IFERROR((SUMIFS(tblSafety[LTI],tblSafety[Date],"&gt;="&amp;EDATE($E122,-12),tblSafety[Date],"&lt;="&amp;$A122)+SUMIFS(tblSafetyHistory[LTI],tblSafetyHistory[Month],"&gt;="&amp;EDATE($E122,-12),tblSafetyHistory[Month],"&lt;"&amp;$E122,tblSafetyHistory[Use],1))/(SUMIFS(tblSafety[Hours_Total],tblSafety[Date],"&gt;="&amp;EDATE($E122,-12),tblSafety[Date],"&lt;="&amp;$A122)+SUMIFS(tblSafetyHistory[Hours_Total],tblSafetyHistory[Month],"&gt;="&amp;EDATE($E122,-12),tblSafetyHistory[Month],"&lt;"&amp;$E122,tblSafetyHistory[Use],1))*cfg_RateBasisHours,"")</f>
        <v/>
      </c>
      <c r="IR122" s="62">
        <f>IF(MAX(N(cfg_PriorLTIDate),_xlfn.MAXIFS(tblSafety[Date],tblSafety[LTI],"&gt;0",tblSafety[Date],"&lt;="&amp;$A122))=0,"",$A122-MAX(N(cfg_PriorLTIDate),_xlfn.MAXIFS(tblSafety[Date],tblSafety[LTI],"&gt;0",tblSafety[Date],"&lt;="&amp;$A122)))</f>
        <v/>
      </c>
      <c r="IS122" s="55">
        <f>SUMIFS(tblBudget[Ore_Mined_t],tblBudget[Month],$E122)</f>
        <v/>
      </c>
      <c r="IT122" s="55">
        <f>$IS122*$C122/$D122</f>
        <v/>
      </c>
      <c r="IU122" s="55">
        <f>SUMIFS(tblBudget[Ore_Mined_t],tblBudget[Month],"&lt;"&amp;$E122)+$IT122</f>
        <v/>
      </c>
      <c r="IV122" s="55">
        <f>SUMIFS(tblBudget[Ore_oz],tblBudget[Month],$E122)</f>
        <v/>
      </c>
      <c r="IW122" s="55">
        <f>$IV122*$C122/$D122</f>
        <v/>
      </c>
      <c r="IX122" s="55">
        <f>SUMIFS(tblBudget[Ore_oz],tblBudget[Month],"&lt;"&amp;$E122)+$IW122</f>
        <v/>
      </c>
      <c r="IY122" s="55">
        <f>SUMIFS(tblBudget[Ore_Mined_t],tblBudget[Month],$E122)</f>
        <v/>
      </c>
      <c r="IZ122" s="55">
        <f>$IY122*$C122/$D122</f>
        <v/>
      </c>
      <c r="JA122" s="55">
        <f>SUMIFS(tblBudget[Ore_Mined_t],tblBudget[Month],"&lt;"&amp;$E122)+$IZ122</f>
        <v/>
      </c>
      <c r="JB122" s="56">
        <f>IFERROR(IF(($IY122)&gt;0,($IV122*cfg_TroyOz)/($IY122),""),"")</f>
        <v/>
      </c>
      <c r="JC122" s="56">
        <f>IFERROR(IF(($IZ122)&gt;0,($IW122*cfg_TroyOz)/($IZ122),""),"")</f>
        <v/>
      </c>
      <c r="JD122" s="56">
        <f>IFERROR(IF(($JA122)&gt;0,($IX122*cfg_TroyOz)/($JA122),""),"")</f>
        <v/>
      </c>
      <c r="JE122" s="55">
        <f>SUMIFS(tblBudget[Waste_t],tblBudget[Month],$E122)</f>
        <v/>
      </c>
      <c r="JF122" s="55">
        <f>$JE122*$C122/$D122</f>
        <v/>
      </c>
      <c r="JG122" s="55">
        <f>SUMIFS(tblBudget[Waste_t],tblBudget[Month],"&lt;"&amp;$E122)+$JF122</f>
        <v/>
      </c>
      <c r="JH122" s="55">
        <f>SUMIFS(tblBudget[TMM_t],tblBudget[Month],$E122)</f>
        <v/>
      </c>
      <c r="JI122" s="55">
        <f>$JH122*$C122/$D122</f>
        <v/>
      </c>
      <c r="JJ122" s="55">
        <f>SUMIFS(tblBudget[TMM_t],tblBudget[Month],"&lt;"&amp;$E122)+$JI122</f>
        <v/>
      </c>
      <c r="JK122" s="56">
        <f>IFERROR(IF(($IS122)&gt;0,($JE122)/($IS122),""),"")</f>
        <v/>
      </c>
      <c r="JL122" s="56">
        <f>IFERROR(IF(($IT122)&gt;0,($JF122)/($IT122),""),"")</f>
        <v/>
      </c>
      <c r="JM122" s="56">
        <f>IFERROR(IF(($IU122)&gt;0,($JG122)/($IU122),""),"")</f>
        <v/>
      </c>
      <c r="JN122" s="55">
        <f>SUMIFS(tblBudget[Drill_m],tblBudget[Month],$E122)</f>
        <v/>
      </c>
      <c r="JO122" s="55">
        <f>$JN122*$C122/$D122</f>
        <v/>
      </c>
      <c r="JP122" s="55">
        <f>SUMIFS(tblBudget[Drill_m],tblBudget[Month],"&lt;"&amp;$E122)+$JO122</f>
        <v/>
      </c>
      <c r="JQ122" s="55">
        <f>SUMIFS(tblBudget[Diesel_L],tblBudget[Month],$E122)</f>
        <v/>
      </c>
      <c r="JR122" s="55">
        <f>$JQ122*$C122/$D122</f>
        <v/>
      </c>
      <c r="JS122" s="55">
        <f>SUMIFS(tblBudget[Diesel_L],tblBudget[Month],"&lt;"&amp;$E122)+$JR122</f>
        <v/>
      </c>
      <c r="JT122" s="55">
        <f>SUMIFS(tblBudget[Milled_t],tblBudget[Month],$E122)</f>
        <v/>
      </c>
      <c r="JU122" s="55">
        <f>$JT122*$C122/$D122</f>
        <v/>
      </c>
      <c r="JV122" s="55">
        <f>SUMIFS(tblBudget[Milled_t],tblBudget[Month],"&lt;"&amp;$E122)+$JU122</f>
        <v/>
      </c>
      <c r="JW122" s="55">
        <f>SUMIFS(tblBudget[Feed_oz],tblBudget[Month],$E122)</f>
        <v/>
      </c>
      <c r="JX122" s="55">
        <f>$JW122*$C122/$D122</f>
        <v/>
      </c>
      <c r="JY122" s="55">
        <f>SUMIFS(tblBudget[Feed_oz],tblBudget[Month],"&lt;"&amp;$E122)+$JX122</f>
        <v/>
      </c>
      <c r="JZ122" s="55">
        <f>SUMIFS(tblBudget[Recovered_oz],tblBudget[Month],$E122)</f>
        <v/>
      </c>
      <c r="KA122" s="55">
        <f>$JZ122*$C122/$D122</f>
        <v/>
      </c>
      <c r="KB122" s="55">
        <f>SUMIFS(tblBudget[Recovered_oz],tblBudget[Month],"&lt;"&amp;$E122)+$KA122</f>
        <v/>
      </c>
      <c r="KC122" s="55">
        <f>SUMIFS(tblBudget[Milled_t],tblBudget[Month],$E122)</f>
        <v/>
      </c>
      <c r="KD122" s="55">
        <f>$KC122*$C122/$D122</f>
        <v/>
      </c>
      <c r="KE122" s="55">
        <f>SUMIFS(tblBudget[Milled_t],tblBudget[Month],"&lt;"&amp;$E122)+$KD122</f>
        <v/>
      </c>
      <c r="KF122" s="55">
        <f>SUMIFS(tblBudget[Feed_oz],tblBudget[Month],$E122)</f>
        <v/>
      </c>
      <c r="KG122" s="55">
        <f>$KF122*$C122/$D122</f>
        <v/>
      </c>
      <c r="KH122" s="55">
        <f>SUMIFS(tblBudget[Feed_oz],tblBudget[Month],"&lt;"&amp;$E122)+$KG122</f>
        <v/>
      </c>
      <c r="KI122" s="56">
        <f>IFERROR(IF(($KC122)&gt;0,($JW122*cfg_TroyOz)/($KC122),""),"")</f>
        <v/>
      </c>
      <c r="KJ122" s="56">
        <f>IFERROR(IF(($KD122)&gt;0,($JX122*cfg_TroyOz)/($KD122),""),"")</f>
        <v/>
      </c>
      <c r="KK122" s="56">
        <f>IFERROR(IF(($KE122)&gt;0,($JY122*cfg_TroyOz)/($KE122),""),"")</f>
        <v/>
      </c>
      <c r="KL122" s="67">
        <f>IFERROR(IF(($KF122)&gt;0,($JZ122)/($KF122),""),"")</f>
        <v/>
      </c>
      <c r="KM122" s="67">
        <f>IFERROR(IF(($KG122)&gt;0,($KA122)/($KG122),""),"")</f>
        <v/>
      </c>
      <c r="KN122" s="67">
        <f>IFERROR(IF(($KH122)&gt;0,($KB122)/($KH122),""),"")</f>
        <v/>
      </c>
      <c r="KO122" s="55">
        <f>SUMIFS(tblBudget[Gold_Poured_oz],tblBudget[Month],$E122)</f>
        <v/>
      </c>
      <c r="KP122" s="55">
        <f>$KO122*$C122/$D122</f>
        <v/>
      </c>
      <c r="KQ122" s="55">
        <f>SUMIFS(tblBudget[Gold_Poured_oz],tblBudget[Month],"&lt;"&amp;$E122)+$KP122</f>
        <v/>
      </c>
      <c r="KR122" s="57">
        <f>SUMIFS(tblBudget[Hours_Worked],tblBudget[Month],$E122)</f>
        <v/>
      </c>
      <c r="KS122" s="57">
        <f>$KR122*$C122/$D122</f>
        <v/>
      </c>
      <c r="KT122" s="57">
        <f>SUMIFS(tblBudget[Hours_Worked],tblBudget[Month],"&lt;"&amp;$E122)+$KS122</f>
        <v/>
      </c>
    </row>
    <row r="123">
      <c r="A123" s="54" t="n">
        <v>46144</v>
      </c>
      <c r="B123">
        <f>MONTH($A123)</f>
        <v/>
      </c>
      <c r="C123">
        <f>DAY($A123)</f>
        <v/>
      </c>
      <c r="D123">
        <f>DAY(EOMONTH($A123,0))</f>
        <v/>
      </c>
      <c r="E123" s="54">
        <f>DATE(YEAR($A123),MONTH($A123),1)</f>
        <v/>
      </c>
      <c r="F123" s="55">
        <f>SUMIFS(tblMovement[Tonnes_t],tblMovement[Date],$A123,tblMovement[Is_Ore],1,tblMovement[Source_Type],"Pit")</f>
        <v/>
      </c>
      <c r="G123" s="55">
        <f>IF($B123=$B122,$G122,0)+$F123</f>
        <v/>
      </c>
      <c r="H123" s="55">
        <f>$H122+$F123</f>
        <v/>
      </c>
      <c r="I123" s="55">
        <f>SUMIFS(tblMovement[Ore_oz],tblMovement[Date],$A123,tblMovement[Source_Type],"Pit")</f>
        <v/>
      </c>
      <c r="J123" s="55">
        <f>IF($B123=$B122,$J122,0)+$I123</f>
        <v/>
      </c>
      <c r="K123" s="55">
        <f>$K122+$I123</f>
        <v/>
      </c>
      <c r="L123" s="55">
        <f>SUMIFS(tblMovement[Tonnes_t],tblMovement[Date],$A123,tblMovement[Is_Ore],1,tblMovement[Source_Type],"Pit",tblMovement[Grade_gpt],"&lt;&gt;")</f>
        <v/>
      </c>
      <c r="M123" s="55">
        <f>IF($B123=$B122,$M122,0)+$L123</f>
        <v/>
      </c>
      <c r="N123" s="55">
        <f>$N122+$L123</f>
        <v/>
      </c>
      <c r="O123" s="56">
        <f>IFERROR(IF(($L123)&gt;0,($I123*cfg_TroyOz)/($L123),""),"")</f>
        <v/>
      </c>
      <c r="P123" s="56">
        <f>IFERROR(IF(($M123)&gt;0,($J123*cfg_TroyOz)/($M123),""),"")</f>
        <v/>
      </c>
      <c r="Q123" s="56">
        <f>IFERROR(IF(($N123)&gt;0,($K123*cfg_TroyOz)/($N123),""),"")</f>
        <v/>
      </c>
      <c r="R123" s="55">
        <f>$F123-$L123</f>
        <v/>
      </c>
      <c r="S123" s="55">
        <f>IF($B123=$B122,$S122,0)+$R123</f>
        <v/>
      </c>
      <c r="T123" s="55">
        <f>$T122+$R123</f>
        <v/>
      </c>
      <c r="U123" s="55">
        <f>SUMIFS(tblMovement[Tonnes_t],tblMovement[Date],$A123,tblMovement[Is_Ore],0,tblMovement[Source_Type],"Pit")</f>
        <v/>
      </c>
      <c r="V123" s="55">
        <f>IF($B123=$B122,$V122,0)+$U123</f>
        <v/>
      </c>
      <c r="W123" s="55">
        <f>$W122+$U123</f>
        <v/>
      </c>
      <c r="X123" s="55">
        <f>$F123+$U123</f>
        <v/>
      </c>
      <c r="Y123" s="55">
        <f>IF($B123=$B122,$Y122,0)+$X123</f>
        <v/>
      </c>
      <c r="Z123" s="55">
        <f>$Z122+$X123</f>
        <v/>
      </c>
      <c r="AA123" s="56">
        <f>IFERROR(IF(($F123)&gt;0,($U123)/($F123),""),"")</f>
        <v/>
      </c>
      <c r="AB123" s="56">
        <f>IFERROR(IF(($G123)&gt;0,($V123)/($G123),""),"")</f>
        <v/>
      </c>
      <c r="AC123" s="56">
        <f>IFERROR(IF(($H123)&gt;0,($W123)/($H123),""),"")</f>
        <v/>
      </c>
      <c r="AD123" s="55">
        <f>SUMIFS(tblMovement[Tonnes_t],tblMovement[Date],$A123,tblMovement[Source_Type],"Stockpile")</f>
        <v/>
      </c>
      <c r="AE123" s="55">
        <f>IF($B123=$B122,$AE122,0)+$AD123</f>
        <v/>
      </c>
      <c r="AF123" s="55">
        <f>$AF122+$AD123</f>
        <v/>
      </c>
      <c r="AG123" s="55">
        <f>SUMIFS(tblMovement[Tonnes_t],tblMovement[Date],$A123)</f>
        <v/>
      </c>
      <c r="AH123" s="55">
        <f>IF($B123=$B122,$AH122,0)+$AG123</f>
        <v/>
      </c>
      <c r="AI123" s="55">
        <f>$AI122+$AG123</f>
        <v/>
      </c>
      <c r="AJ123" s="55">
        <f>$AG123-$X123-$AD123</f>
        <v/>
      </c>
      <c r="AK123" s="55">
        <f>IF($B123=$B122,$AK122,0)+$AJ123</f>
        <v/>
      </c>
      <c r="AL123" s="55">
        <f>$AL122+$AJ123</f>
        <v/>
      </c>
      <c r="AM123" s="55">
        <f>SUMIFS(tblMiningDaily[Drill_m],tblMiningDaily[Date],$A123)</f>
        <v/>
      </c>
      <c r="AN123" s="55">
        <f>IF($B123=$B122,$AN122,0)+$AM123</f>
        <v/>
      </c>
      <c r="AO123" s="55">
        <f>$AO122+$AM123</f>
        <v/>
      </c>
      <c r="AP123" s="55">
        <f>SUMIFS(tblMiningDaily[GC_Drill_m],tblMiningDaily[Date],$A123)</f>
        <v/>
      </c>
      <c r="AQ123" s="55">
        <f>IF($B123=$B122,$AQ122,0)+$AP123</f>
        <v/>
      </c>
      <c r="AR123" s="55">
        <f>$AR122+$AP123</f>
        <v/>
      </c>
      <c r="AS123" s="55">
        <f>SUMIFS(tblMiningDaily[Blast_t],tblMiningDaily[Date],$A123)</f>
        <v/>
      </c>
      <c r="AT123" s="55">
        <f>IF($B123=$B122,$AT122,0)+$AS123</f>
        <v/>
      </c>
      <c r="AU123" s="55">
        <f>$AU122+$AS123</f>
        <v/>
      </c>
      <c r="AV123" s="55">
        <f>SUMIFS(tblMiningDaily[Explosives_kg],tblMiningDaily[Date],$A123)</f>
        <v/>
      </c>
      <c r="AW123" s="55">
        <f>IF($B123=$B122,$AW122,0)+$AV123</f>
        <v/>
      </c>
      <c r="AX123" s="55">
        <f>$AX122+$AV123</f>
        <v/>
      </c>
      <c r="AY123" s="56">
        <f>IFERROR(IF(($AS123)&gt;0,($AV123)/($AS123),""),"")</f>
        <v/>
      </c>
      <c r="AZ123" s="56">
        <f>IFERROR(IF(($AT123)&gt;0,($AW123)/($AT123),""),"")</f>
        <v/>
      </c>
      <c r="BA123" s="56">
        <f>IFERROR(IF(($AU123)&gt;0,($AX123)/($AU123),""),"")</f>
        <v/>
      </c>
      <c r="BB123" s="55">
        <f>SUMIFS(tblMiningDaily[Diesel_L],tblMiningDaily[Date],$A123)</f>
        <v/>
      </c>
      <c r="BC123" s="55">
        <f>IF($B123=$B122,$BC122,0)+$BB123</f>
        <v/>
      </c>
      <c r="BD123" s="55">
        <f>$BD122+$BB123</f>
        <v/>
      </c>
      <c r="BE123" s="55">
        <f>SUMIFS(tblMiningDaily[Dewatering_m3],tblMiningDaily[Date],$A123)</f>
        <v/>
      </c>
      <c r="BF123" s="55">
        <f>IF($B123=$B122,$BF122,0)+$BE123</f>
        <v/>
      </c>
      <c r="BG123" s="55">
        <f>$BG122+$BE123</f>
        <v/>
      </c>
      <c r="BH123" s="57">
        <f>SUMIFS(tblFleet[Calendar_h],tblFleet[Date],$A123,tblFleet[Equipment_Class],"Excavator")</f>
        <v/>
      </c>
      <c r="BI123" s="57">
        <f>IF($B123=$B122,$BI122,0)+$BH123</f>
        <v/>
      </c>
      <c r="BJ123" s="57">
        <f>$BJ122+$BH123</f>
        <v/>
      </c>
      <c r="BK123" s="57">
        <f>SUMIFS(tblFleet[Available_h],tblFleet[Date],$A123,tblFleet[Equipment_Class],"Excavator")</f>
        <v/>
      </c>
      <c r="BL123" s="57">
        <f>IF($B123=$B122,$BL122,0)+$BK123</f>
        <v/>
      </c>
      <c r="BM123" s="57">
        <f>$BM122+$BK123</f>
        <v/>
      </c>
      <c r="BN123" s="57">
        <f>SUMIFS(tblFleet[Operating_h],tblFleet[Date],$A123,tblFleet[Equipment_Class],"Excavator")</f>
        <v/>
      </c>
      <c r="BO123" s="57">
        <f>IF($B123=$B122,$BO122,0)+$BN123</f>
        <v/>
      </c>
      <c r="BP123" s="57">
        <f>$BP122+$BN123</f>
        <v/>
      </c>
      <c r="BQ123" s="67">
        <f>IFERROR(IF(($BH123)&gt;0,($BK123)/($BH123),""),"")</f>
        <v/>
      </c>
      <c r="BR123" s="67">
        <f>IFERROR(IF(($BI123)&gt;0,($BL123)/($BI123),""),"")</f>
        <v/>
      </c>
      <c r="BS123" s="67">
        <f>IFERROR(IF(($BJ123)&gt;0,($BM123)/($BJ123),""),"")</f>
        <v/>
      </c>
      <c r="BT123" s="67">
        <f>IFERROR(IF(($BK123)&gt;0,($BN123)/($BK123),""),"")</f>
        <v/>
      </c>
      <c r="BU123" s="67">
        <f>IFERROR(IF(($BL123)&gt;0,($BO123)/($BL123),""),"")</f>
        <v/>
      </c>
      <c r="BV123" s="67">
        <f>IFERROR(IF(($BM123)&gt;0,($BP123)/($BM123),""),"")</f>
        <v/>
      </c>
      <c r="BW123" s="57">
        <f>SUMIFS(tblFleet[Calendar_h],tblFleet[Date],$A123,tblFleet[Equipment_Class],"Haul Truck")</f>
        <v/>
      </c>
      <c r="BX123" s="57">
        <f>IF($B123=$B122,$BX122,0)+$BW123</f>
        <v/>
      </c>
      <c r="BY123" s="57">
        <f>$BY122+$BW123</f>
        <v/>
      </c>
      <c r="BZ123" s="57">
        <f>SUMIFS(tblFleet[Available_h],tblFleet[Date],$A123,tblFleet[Equipment_Class],"Haul Truck")</f>
        <v/>
      </c>
      <c r="CA123" s="57">
        <f>IF($B123=$B122,$CA122,0)+$BZ123</f>
        <v/>
      </c>
      <c r="CB123" s="57">
        <f>$CB122+$BZ123</f>
        <v/>
      </c>
      <c r="CC123" s="57">
        <f>SUMIFS(tblFleet[Operating_h],tblFleet[Date],$A123,tblFleet[Equipment_Class],"Haul Truck")</f>
        <v/>
      </c>
      <c r="CD123" s="57">
        <f>IF($B123=$B122,$CD122,0)+$CC123</f>
        <v/>
      </c>
      <c r="CE123" s="57">
        <f>$CE122+$CC123</f>
        <v/>
      </c>
      <c r="CF123" s="67">
        <f>IFERROR(IF(($BW123)&gt;0,($BZ123)/($BW123),""),"")</f>
        <v/>
      </c>
      <c r="CG123" s="67">
        <f>IFERROR(IF(($BX123)&gt;0,($CA123)/($BX123),""),"")</f>
        <v/>
      </c>
      <c r="CH123" s="67">
        <f>IFERROR(IF(($BY123)&gt;0,($CB123)/($BY123),""),"")</f>
        <v/>
      </c>
      <c r="CI123" s="67">
        <f>IFERROR(IF(($BZ123)&gt;0,($CC123)/($BZ123),""),"")</f>
        <v/>
      </c>
      <c r="CJ123" s="67">
        <f>IFERROR(IF(($CA123)&gt;0,($CD123)/($CA123),""),"")</f>
        <v/>
      </c>
      <c r="CK123" s="67">
        <f>IFERROR(IF(($CB123)&gt;0,($CE123)/($CB123),""),"")</f>
        <v/>
      </c>
      <c r="CL123" s="55">
        <f>IFERROR(IF(($BN123)&gt;0,($X123+$AD123)/($BN123),""),"")</f>
        <v/>
      </c>
      <c r="CM123" s="55">
        <f>IFERROR(IF(($BO123)&gt;0,($Y123+$AE123)/($BO123),""),"")</f>
        <v/>
      </c>
      <c r="CN123" s="55">
        <f>IFERROR(IF(($BP123)&gt;0,($Z123+$AF123)/($BP123),""),"")</f>
        <v/>
      </c>
      <c r="CO123" s="55">
        <f>IFERROR(IF(($CC123)&gt;0,($X123+$AD123)/($CC123),""),"")</f>
        <v/>
      </c>
      <c r="CP123" s="55">
        <f>IFERROR(IF(($CD123)&gt;0,($Y123+$AE123)/($CD123),""),"")</f>
        <v/>
      </c>
      <c r="CQ123" s="55">
        <f>IFERROR(IF(($CE123)&gt;0,($Z123+$AF123)/($CE123),""),"")</f>
        <v/>
      </c>
      <c r="CR123" s="55">
        <f>SUMIFS(tblPlant[Crushed_t],tblPlant[Date],$A123)</f>
        <v/>
      </c>
      <c r="CS123" s="55">
        <f>IF($B123=$B122,$CS122,0)+$CR123</f>
        <v/>
      </c>
      <c r="CT123" s="55">
        <f>$CT122+$CR123</f>
        <v/>
      </c>
      <c r="CU123" s="55">
        <f>SUMIFS(tblPlant[Milled_t],tblPlant[Date],$A123)</f>
        <v/>
      </c>
      <c r="CV123" s="55">
        <f>IF($B123=$B122,$CV122,0)+$CU123</f>
        <v/>
      </c>
      <c r="CW123" s="55">
        <f>$CW122+$CU123</f>
        <v/>
      </c>
      <c r="CX123" s="55">
        <f>SUMIFS(tblPlant[Feed_oz],tblPlant[Date],$A123)</f>
        <v/>
      </c>
      <c r="CY123" s="55">
        <f>IF($B123=$B122,$CY122,0)+$CX123</f>
        <v/>
      </c>
      <c r="CZ123" s="55">
        <f>$CZ122+$CX123</f>
        <v/>
      </c>
      <c r="DA123" s="55">
        <f>SUMIFS(tblPlant[Tails_oz],tblPlant[Date],$A123)</f>
        <v/>
      </c>
      <c r="DB123" s="55">
        <f>IF($B123=$B122,$DB122,0)+$DA123</f>
        <v/>
      </c>
      <c r="DC123" s="55">
        <f>$DC122+$DA123</f>
        <v/>
      </c>
      <c r="DD123" s="55">
        <f>SUMIFS(tblPlant[Recovered_oz],tblPlant[Date],$A123)</f>
        <v/>
      </c>
      <c r="DE123" s="55">
        <f>IF($B123=$B122,$DE122,0)+$DD123</f>
        <v/>
      </c>
      <c r="DF123" s="55">
        <f>$DF122+$DD123</f>
        <v/>
      </c>
      <c r="DG123" s="55">
        <f>SUMIFS(tblPlant[Milled_t],tblPlant[Date],$A123,tblPlant[Head_Grade_gpt],"&lt;&gt;")</f>
        <v/>
      </c>
      <c r="DH123" s="55">
        <f>IF($B123=$B122,$DH122,0)+$DG123</f>
        <v/>
      </c>
      <c r="DI123" s="55">
        <f>$DI122+$DG123</f>
        <v/>
      </c>
      <c r="DJ123" s="55">
        <f>SUMIFS(tblPlant[Milled_t],tblPlant[Date],$A123,tblPlant[Tails_Grade_gpt],"&lt;&gt;")</f>
        <v/>
      </c>
      <c r="DK123" s="55">
        <f>IF($B123=$B122,$DK122,0)+$DJ123</f>
        <v/>
      </c>
      <c r="DL123" s="55">
        <f>$DL122+$DJ123</f>
        <v/>
      </c>
      <c r="DM123" s="55">
        <f>SUMIFS(tblPlant[Feed_oz],tblPlant[Date],$A123,tblPlant[Tails_Grade_gpt],"&lt;&gt;")</f>
        <v/>
      </c>
      <c r="DN123" s="55">
        <f>IF($B123=$B122,$DN122,0)+$DM123</f>
        <v/>
      </c>
      <c r="DO123" s="55">
        <f>$DO122+$DM123</f>
        <v/>
      </c>
      <c r="DP123" s="55">
        <f>SUMIFS(tblPlant[Milled_t],tblPlant[Date],$A123,tblPlant[Mill_Run_h],"&lt;&gt;")</f>
        <v/>
      </c>
      <c r="DQ123" s="55">
        <f>IF($B123=$B122,$DQ122,0)+$DP123</f>
        <v/>
      </c>
      <c r="DR123" s="55">
        <f>$DR122+$DP123</f>
        <v/>
      </c>
      <c r="DS123" s="56">
        <f>IFERROR(IF(($DG123)&gt;0,($CX123*cfg_TroyOz)/($DG123),""),"")</f>
        <v/>
      </c>
      <c r="DT123" s="56">
        <f>IFERROR(IF(($DH123)&gt;0,($CY123*cfg_TroyOz)/($DH123),""),"")</f>
        <v/>
      </c>
      <c r="DU123" s="56">
        <f>IFERROR(IF(($DI123)&gt;0,($CZ123*cfg_TroyOz)/($DI123),""),"")</f>
        <v/>
      </c>
      <c r="DV123" s="56">
        <f>IFERROR(IF(($DJ123)&gt;0,($DA123*cfg_TroyOz)/($DJ123),""),"")</f>
        <v/>
      </c>
      <c r="DW123" s="56">
        <f>IFERROR(IF(($DK123)&gt;0,($DB123*cfg_TroyOz)/($DK123),""),"")</f>
        <v/>
      </c>
      <c r="DX123" s="56">
        <f>IFERROR(IF(($DL123)&gt;0,($DC123*cfg_TroyOz)/($DL123),""),"")</f>
        <v/>
      </c>
      <c r="DY123" s="67">
        <f>IFERROR(IF(($DM123)&gt;0,($DD123)/($DM123),""),"")</f>
        <v/>
      </c>
      <c r="DZ123" s="67">
        <f>IFERROR(IF(($DN123)&gt;0,($DE123)/($DN123),""),"")</f>
        <v/>
      </c>
      <c r="EA123" s="67">
        <f>IFERROR(IF(($DO123)&gt;0,($DF123)/($DO123),""),"")</f>
        <v/>
      </c>
      <c r="EB123" s="55">
        <f>SUMIFS(tblPlant[Gravity_Gold_oz],tblPlant[Date],$A123)</f>
        <v/>
      </c>
      <c r="EC123" s="55">
        <f>IF($B123=$B122,$EC122,0)+$EB123</f>
        <v/>
      </c>
      <c r="ED123" s="55">
        <f>$ED122+$EB123</f>
        <v/>
      </c>
      <c r="EE123" s="67">
        <f>IFERROR(IF(($DD123)&gt;0,($EB123)/($DD123),""),"")</f>
        <v/>
      </c>
      <c r="EF123" s="67">
        <f>IFERROR(IF(($DE123)&gt;0,($EC123)/($DE123),""),"")</f>
        <v/>
      </c>
      <c r="EG123" s="67">
        <f>IFERROR(IF(($DF123)&gt;0,($ED123)/($DF123),""),"")</f>
        <v/>
      </c>
      <c r="EH123" s="55">
        <f>SUMIFS(tblPlant[Gold_Poured_oz],tblPlant[Date],$A123)</f>
        <v/>
      </c>
      <c r="EI123" s="55">
        <f>IF($B123=$B122,$EI122,0)+$EH123</f>
        <v/>
      </c>
      <c r="EJ123" s="55">
        <f>$EJ122+$EH123</f>
        <v/>
      </c>
      <c r="EK123" s="57">
        <f>SUMIFS(tblPlant[Mill_Run_h],tblPlant[Date],$A123)</f>
        <v/>
      </c>
      <c r="EL123" s="57">
        <f>IF($B123=$B122,$EL122,0)+$EK123</f>
        <v/>
      </c>
      <c r="EM123" s="57">
        <f>$EM122+$EK123</f>
        <v/>
      </c>
      <c r="EN123" s="57">
        <f>SUMIFS(tblPlant[Mill_Planned_Maint_h],tblPlant[Date],$A123)</f>
        <v/>
      </c>
      <c r="EO123" s="57">
        <f>IF($B123=$B122,$EO122,0)+$EN123</f>
        <v/>
      </c>
      <c r="EP123" s="57">
        <f>$EP122+$EN123</f>
        <v/>
      </c>
      <c r="EQ123" s="57">
        <f>SUMIFS(tblPlant[Mill_Unplanned_Down_h],tblPlant[Date],$A123)</f>
        <v/>
      </c>
      <c r="ER123" s="57">
        <f>IF($B123=$B122,$ER122,0)+$EQ123</f>
        <v/>
      </c>
      <c r="ES123" s="57">
        <f>$ES122+$EQ123</f>
        <v/>
      </c>
      <c r="ET123" s="57">
        <f>IF(COUNTIFS(tblPlant[Date],$A123,tblPlant[Mill_Run_h],"&lt;&gt;")+COUNTIFS(tblPlant[Date],$A123,tblPlant[Mill_Planned_Maint_h],"&lt;&gt;")+COUNTIFS(tblPlant[Date],$A123,tblPlant[Mill_Unplanned_Down_h],"&lt;&gt;")&gt;0,cfg_HoursPerDay,0)</f>
        <v/>
      </c>
      <c r="EU123" s="57">
        <f>IF($B123=$B122,$EU122,0)+$ET123</f>
        <v/>
      </c>
      <c r="EV123" s="57">
        <f>$EV122+$ET123</f>
        <v/>
      </c>
      <c r="EW123" s="57">
        <f>SUMIFS(tblPlant[Crusher_Run_h],tblPlant[Date],$A123)</f>
        <v/>
      </c>
      <c r="EX123" s="57">
        <f>IF($B123=$B122,$EX122,0)+$EW123</f>
        <v/>
      </c>
      <c r="EY123" s="57">
        <f>$EY122+$EW123</f>
        <v/>
      </c>
      <c r="EZ123" s="55">
        <f>IFERROR(IF(($EK123)&gt;0,($DP123)/($EK123),""),"")</f>
        <v/>
      </c>
      <c r="FA123" s="55">
        <f>IFERROR(IF(($EL123)&gt;0,($DQ123)/($EL123),""),"")</f>
        <v/>
      </c>
      <c r="FB123" s="55">
        <f>IFERROR(IF(($EM123)&gt;0,($DR123)/($EM123),""),"")</f>
        <v/>
      </c>
      <c r="FC123" s="67">
        <f>IFERROR(IF(($ET123)&gt;0,($ET123-$EN123-$EQ123)/($ET123),""),"")</f>
        <v/>
      </c>
      <c r="FD123" s="67">
        <f>IFERROR(IF(($EU123)&gt;0,($EU123-$EO123-$ER123)/($EU123),""),"")</f>
        <v/>
      </c>
      <c r="FE123" s="67">
        <f>IFERROR(IF(($EV123)&gt;0,($EV123-$EP123-$ES123)/($EV123),""),"")</f>
        <v/>
      </c>
      <c r="FF123" s="67">
        <f>IFERROR(IF(($ET123-$EN123-$EQ123)&gt;0,($EK123)/($ET123-$EN123-$EQ123),""),"")</f>
        <v/>
      </c>
      <c r="FG123" s="67">
        <f>IFERROR(IF(($EU123-$EO123-$ER123)&gt;0,($EL123)/($EU123-$EO123-$ER123),""),"")</f>
        <v/>
      </c>
      <c r="FH123" s="67">
        <f>IFERROR(IF(($EV123-$EP123-$ES123)&gt;0,($EM123)/($EV123-$EP123-$ES123),""),"")</f>
        <v/>
      </c>
      <c r="FI123" s="55">
        <f>SUMIFS(tblPlant[Cyanide_kg],tblPlant[Date],$A123)</f>
        <v/>
      </c>
      <c r="FJ123" s="55">
        <f>IF($B123=$B122,$FJ122,0)+$FI123</f>
        <v/>
      </c>
      <c r="FK123" s="55">
        <f>$FK122+$FI123</f>
        <v/>
      </c>
      <c r="FL123" s="55">
        <f>SUMIFS(tblPlant[Lime_kg],tblPlant[Date],$A123)</f>
        <v/>
      </c>
      <c r="FM123" s="55">
        <f>IF($B123=$B122,$FM122,0)+$FL123</f>
        <v/>
      </c>
      <c r="FN123" s="55">
        <f>$FN122+$FL123</f>
        <v/>
      </c>
      <c r="FO123" s="55">
        <f>SUMIFS(tblPlant[Grinding_Media_kg],tblPlant[Date],$A123)</f>
        <v/>
      </c>
      <c r="FP123" s="55">
        <f>IF($B123=$B122,$FP122,0)+$FO123</f>
        <v/>
      </c>
      <c r="FQ123" s="55">
        <f>$FQ122+$FO123</f>
        <v/>
      </c>
      <c r="FR123" s="55">
        <f>SUMIFS(tblPlant[Power_kWh],tblPlant[Date],$A123)</f>
        <v/>
      </c>
      <c r="FS123" s="55">
        <f>IF($B123=$B122,$FS122,0)+$FR123</f>
        <v/>
      </c>
      <c r="FT123" s="55">
        <f>$FT122+$FR123</f>
        <v/>
      </c>
      <c r="FU123" s="55">
        <f>SUMIFS(tblPlant[Raw_Water_m3],tblPlant[Date],$A123)</f>
        <v/>
      </c>
      <c r="FV123" s="55">
        <f>IF($B123=$B122,$FV122,0)+$FU123</f>
        <v/>
      </c>
      <c r="FW123" s="55">
        <f>$FW122+$FU123</f>
        <v/>
      </c>
      <c r="FX123" s="56">
        <f>IFERROR(IF(($CU123)&gt;0,($FI123)/($CU123),""),"")</f>
        <v/>
      </c>
      <c r="FY123" s="56">
        <f>IFERROR(IF(($CV123)&gt;0,($FJ123)/($CV123),""),"")</f>
        <v/>
      </c>
      <c r="FZ123" s="56">
        <f>IFERROR(IF(($CW123)&gt;0,($FK123)/($CW123),""),"")</f>
        <v/>
      </c>
      <c r="GA123" s="56">
        <f>IFERROR(IF(($CU123)&gt;0,($FL123)/($CU123),""),"")</f>
        <v/>
      </c>
      <c r="GB123" s="56">
        <f>IFERROR(IF(($CV123)&gt;0,($FM123)/($CV123),""),"")</f>
        <v/>
      </c>
      <c r="GC123" s="56">
        <f>IFERROR(IF(($CW123)&gt;0,($FN123)/($CW123),""),"")</f>
        <v/>
      </c>
      <c r="GD123" s="56">
        <f>IFERROR(IF(($CU123)&gt;0,($FO123)/($CU123),""),"")</f>
        <v/>
      </c>
      <c r="GE123" s="56">
        <f>IFERROR(IF(($CV123)&gt;0,($FP123)/($CV123),""),"")</f>
        <v/>
      </c>
      <c r="GF123" s="56">
        <f>IFERROR(IF(($CW123)&gt;0,($FQ123)/($CW123),""),"")</f>
        <v/>
      </c>
      <c r="GG123" s="79">
        <f>IFERROR(IF(($CU123)&gt;0,($FR123)/($CU123),""),"")</f>
        <v/>
      </c>
      <c r="GH123" s="79">
        <f>IFERROR(IF(($CV123)&gt;0,($FS123)/($CV123),""),"")</f>
        <v/>
      </c>
      <c r="GI123" s="79">
        <f>IFERROR(IF(($CW123)&gt;0,($FT123)/($CW123),""),"")</f>
        <v/>
      </c>
      <c r="GJ123" s="56">
        <f>IFERROR(IF(($CU123)&gt;0,($FU123)/($CU123),""),"")</f>
        <v/>
      </c>
      <c r="GK123" s="56">
        <f>IFERROR(IF(($CV123)&gt;0,($FV123)/($CV123),""),"")</f>
        <v/>
      </c>
      <c r="GL123" s="56">
        <f>IFERROR(IF(($CW123)&gt;0,($FW123)/($CW123),""),"")</f>
        <v/>
      </c>
      <c r="GM123" s="55">
        <f>IF(SUMIFS(tblPlant[GIC_oz],tblPlant[Date],$A123)&gt;0,SUMIFS(tblPlant[GIC_oz],tblPlant[Date],$A123),"")</f>
        <v/>
      </c>
      <c r="GN123" s="55">
        <f>SUMIFS(tblGold[Gold_oz],tblGold[Date],$A123,tblGold[Type],"Shipment")</f>
        <v/>
      </c>
      <c r="GO123" s="55">
        <f>IF($B123=$B122,$GO122,0)+$GN123</f>
        <v/>
      </c>
      <c r="GP123" s="55">
        <f>$GP122+$GN123</f>
        <v/>
      </c>
      <c r="GQ123" s="55">
        <f>SUMIFS(tblGold[Gold_oz],tblGold[Date],$A123,tblGold[Type],"Sale")</f>
        <v/>
      </c>
      <c r="GR123" s="55">
        <f>IF($B123=$B122,$GR122,0)+$GQ123</f>
        <v/>
      </c>
      <c r="GS123" s="55">
        <f>$GS122+$GQ123</f>
        <v/>
      </c>
      <c r="GT123" s="55">
        <f>SUMIFS(tblGold[Dore_kg],tblGold[Date],$A123,tblGold[Type],"Shipment")</f>
        <v/>
      </c>
      <c r="GU123" s="55">
        <f>IF($B123=$B122,$GU122,0)+$GT123</f>
        <v/>
      </c>
      <c r="GV123" s="55">
        <f>$GV122+$GT123</f>
        <v/>
      </c>
      <c r="GW123" s="57">
        <f>SUMIFS(tblSafety[Hours_Total],tblSafety[Date],$A123)</f>
        <v/>
      </c>
      <c r="GX123" s="57">
        <f>IF($B123=$B122,$GX122,0)+$GW123</f>
        <v/>
      </c>
      <c r="GY123" s="57">
        <f>$GY122+$GW123</f>
        <v/>
      </c>
      <c r="GZ123" s="62">
        <f>SUMIFS(tblSafety[Fatality],tblSafety[Date],$A123)</f>
        <v/>
      </c>
      <c r="HA123" s="62">
        <f>IF($B123=$B122,$HA122,0)+$GZ123</f>
        <v/>
      </c>
      <c r="HB123" s="62">
        <f>$HB122+$GZ123</f>
        <v/>
      </c>
      <c r="HC123" s="62">
        <f>SUMIFS(tblSafety[LTI],tblSafety[Date],$A123)</f>
        <v/>
      </c>
      <c r="HD123" s="62">
        <f>IF($B123=$B122,$HD122,0)+$HC123</f>
        <v/>
      </c>
      <c r="HE123" s="62">
        <f>$HE122+$HC123</f>
        <v/>
      </c>
      <c r="HF123" s="62">
        <f>SUMIFS(tblSafety[RWI],tblSafety[Date],$A123)</f>
        <v/>
      </c>
      <c r="HG123" s="62">
        <f>IF($B123=$B122,$HG122,0)+$HF123</f>
        <v/>
      </c>
      <c r="HH123" s="62">
        <f>$HH122+$HF123</f>
        <v/>
      </c>
      <c r="HI123" s="62">
        <f>SUMIFS(tblSafety[MTI],tblSafety[Date],$A123)</f>
        <v/>
      </c>
      <c r="HJ123" s="62">
        <f>IF($B123=$B122,$HJ122,0)+$HI123</f>
        <v/>
      </c>
      <c r="HK123" s="62">
        <f>$HK122+$HI123</f>
        <v/>
      </c>
      <c r="HL123" s="62">
        <f>SUMIFS(tblSafety[FAI],tblSafety[Date],$A123)</f>
        <v/>
      </c>
      <c r="HM123" s="62">
        <f>IF($B123=$B122,$HM122,0)+$HL123</f>
        <v/>
      </c>
      <c r="HN123" s="62">
        <f>$HN122+$HL123</f>
        <v/>
      </c>
      <c r="HO123" s="62">
        <f>SUMIFS(tblSafety[Recordables],tblSafety[Date],$A123)</f>
        <v/>
      </c>
      <c r="HP123" s="62">
        <f>IF($B123=$B122,$HP122,0)+$HO123</f>
        <v/>
      </c>
      <c r="HQ123" s="62">
        <f>$HQ122+$HO123</f>
        <v/>
      </c>
      <c r="HR123" s="62">
        <f>SUMIFS(tblSafety[Near_Miss],tblSafety[Date],$A123)</f>
        <v/>
      </c>
      <c r="HS123" s="62">
        <f>IF($B123=$B122,$HS122,0)+$HR123</f>
        <v/>
      </c>
      <c r="HT123" s="62">
        <f>$HT122+$HR123</f>
        <v/>
      </c>
      <c r="HU123" s="62">
        <f>SUMIFS(tblSafety[Hazard_Reports],tblSafety[Date],$A123)</f>
        <v/>
      </c>
      <c r="HV123" s="62">
        <f>IF($B123=$B122,$HV122,0)+$HU123</f>
        <v/>
      </c>
      <c r="HW123" s="62">
        <f>$HW122+$HU123</f>
        <v/>
      </c>
      <c r="HX123" s="62">
        <f>SUMIFS(tblSafety[HPI],tblSafety[Date],$A123)</f>
        <v/>
      </c>
      <c r="HY123" s="62">
        <f>IF($B123=$B122,$HY122,0)+$HX123</f>
        <v/>
      </c>
      <c r="HZ123" s="62">
        <f>$HZ122+$HX123</f>
        <v/>
      </c>
      <c r="IA123" s="62">
        <f>SUMIFS(tblSafety[Env_Incidents],tblSafety[Date],$A123)</f>
        <v/>
      </c>
      <c r="IB123" s="62">
        <f>IF($B123=$B122,$IB122,0)+$IA123</f>
        <v/>
      </c>
      <c r="IC123" s="62">
        <f>$IC122+$IA123</f>
        <v/>
      </c>
      <c r="ID123" s="62">
        <f>SUMIFS(tblSafety[Community_Incidents],tblSafety[Date],$A123)</f>
        <v/>
      </c>
      <c r="IE123" s="62">
        <f>IF($B123=$B122,$IE122,0)+$ID123</f>
        <v/>
      </c>
      <c r="IF123" s="62">
        <f>$IF122+$ID123</f>
        <v/>
      </c>
      <c r="IG123" s="62">
        <f>SUMIFS(tblSafety[Vehicle_Incidents],tblSafety[Date],$A123)</f>
        <v/>
      </c>
      <c r="IH123" s="62">
        <f>IF($B123=$B122,$IH122,0)+$IG123</f>
        <v/>
      </c>
      <c r="II123" s="62">
        <f>$II122+$IG123</f>
        <v/>
      </c>
      <c r="IJ123" s="62">
        <f>SUMIFS(tblSafety[Toolbox_Talks],tblSafety[Date],$A123)</f>
        <v/>
      </c>
      <c r="IK123" s="62">
        <f>IF($B123=$B122,$IK122,0)+$IJ123</f>
        <v/>
      </c>
      <c r="IL123" s="62">
        <f>$IL122+$IJ123</f>
        <v/>
      </c>
      <c r="IM123" s="62">
        <f>SUMIFS(tblSafety[Inspections],tblSafety[Date],$A123)</f>
        <v/>
      </c>
      <c r="IN123" s="62">
        <f>IF($B123=$B122,$IN122,0)+$IM123</f>
        <v/>
      </c>
      <c r="IO123" s="62">
        <f>$IO122+$IM123</f>
        <v/>
      </c>
      <c r="IP123" s="56">
        <f>IFERROR((SUMIFS(tblSafety[Recordables],tblSafety[Date],"&gt;="&amp;EDATE($E123,-12),tblSafety[Date],"&lt;="&amp;$A123)+SUMIFS(tblSafetyHistory[Recordables],tblSafetyHistory[Month],"&gt;="&amp;EDATE($E123,-12),tblSafetyHistory[Month],"&lt;"&amp;$E123,tblSafetyHistory[Use],1))/(SUMIFS(tblSafety[Hours_Total],tblSafety[Date],"&gt;="&amp;EDATE($E123,-12),tblSafety[Date],"&lt;="&amp;$A123)+SUMIFS(tblSafetyHistory[Hours_Total],tblSafetyHistory[Month],"&gt;="&amp;EDATE($E123,-12),tblSafetyHistory[Month],"&lt;"&amp;$E123,tblSafetyHistory[Use],1))*cfg_RateBasisHours,"")</f>
        <v/>
      </c>
      <c r="IQ123" s="56">
        <f>IFERROR((SUMIFS(tblSafety[LTI],tblSafety[Date],"&gt;="&amp;EDATE($E123,-12),tblSafety[Date],"&lt;="&amp;$A123)+SUMIFS(tblSafetyHistory[LTI],tblSafetyHistory[Month],"&gt;="&amp;EDATE($E123,-12),tblSafetyHistory[Month],"&lt;"&amp;$E123,tblSafetyHistory[Use],1))/(SUMIFS(tblSafety[Hours_Total],tblSafety[Date],"&gt;="&amp;EDATE($E123,-12),tblSafety[Date],"&lt;="&amp;$A123)+SUMIFS(tblSafetyHistory[Hours_Total],tblSafetyHistory[Month],"&gt;="&amp;EDATE($E123,-12),tblSafetyHistory[Month],"&lt;"&amp;$E123,tblSafetyHistory[Use],1))*cfg_RateBasisHours,"")</f>
        <v/>
      </c>
      <c r="IR123" s="62">
        <f>IF(MAX(N(cfg_PriorLTIDate),_xlfn.MAXIFS(tblSafety[Date],tblSafety[LTI],"&gt;0",tblSafety[Date],"&lt;="&amp;$A123))=0,"",$A123-MAX(N(cfg_PriorLTIDate),_xlfn.MAXIFS(tblSafety[Date],tblSafety[LTI],"&gt;0",tblSafety[Date],"&lt;="&amp;$A123)))</f>
        <v/>
      </c>
      <c r="IS123" s="55">
        <f>SUMIFS(tblBudget[Ore_Mined_t],tblBudget[Month],$E123)</f>
        <v/>
      </c>
      <c r="IT123" s="55">
        <f>$IS123*$C123/$D123</f>
        <v/>
      </c>
      <c r="IU123" s="55">
        <f>SUMIFS(tblBudget[Ore_Mined_t],tblBudget[Month],"&lt;"&amp;$E123)+$IT123</f>
        <v/>
      </c>
      <c r="IV123" s="55">
        <f>SUMIFS(tblBudget[Ore_oz],tblBudget[Month],$E123)</f>
        <v/>
      </c>
      <c r="IW123" s="55">
        <f>$IV123*$C123/$D123</f>
        <v/>
      </c>
      <c r="IX123" s="55">
        <f>SUMIFS(tblBudget[Ore_oz],tblBudget[Month],"&lt;"&amp;$E123)+$IW123</f>
        <v/>
      </c>
      <c r="IY123" s="55">
        <f>SUMIFS(tblBudget[Ore_Mined_t],tblBudget[Month],$E123)</f>
        <v/>
      </c>
      <c r="IZ123" s="55">
        <f>$IY123*$C123/$D123</f>
        <v/>
      </c>
      <c r="JA123" s="55">
        <f>SUMIFS(tblBudget[Ore_Mined_t],tblBudget[Month],"&lt;"&amp;$E123)+$IZ123</f>
        <v/>
      </c>
      <c r="JB123" s="56">
        <f>IFERROR(IF(($IY123)&gt;0,($IV123*cfg_TroyOz)/($IY123),""),"")</f>
        <v/>
      </c>
      <c r="JC123" s="56">
        <f>IFERROR(IF(($IZ123)&gt;0,($IW123*cfg_TroyOz)/($IZ123),""),"")</f>
        <v/>
      </c>
      <c r="JD123" s="56">
        <f>IFERROR(IF(($JA123)&gt;0,($IX123*cfg_TroyOz)/($JA123),""),"")</f>
        <v/>
      </c>
      <c r="JE123" s="55">
        <f>SUMIFS(tblBudget[Waste_t],tblBudget[Month],$E123)</f>
        <v/>
      </c>
      <c r="JF123" s="55">
        <f>$JE123*$C123/$D123</f>
        <v/>
      </c>
      <c r="JG123" s="55">
        <f>SUMIFS(tblBudget[Waste_t],tblBudget[Month],"&lt;"&amp;$E123)+$JF123</f>
        <v/>
      </c>
      <c r="JH123" s="55">
        <f>SUMIFS(tblBudget[TMM_t],tblBudget[Month],$E123)</f>
        <v/>
      </c>
      <c r="JI123" s="55">
        <f>$JH123*$C123/$D123</f>
        <v/>
      </c>
      <c r="JJ123" s="55">
        <f>SUMIFS(tblBudget[TMM_t],tblBudget[Month],"&lt;"&amp;$E123)+$JI123</f>
        <v/>
      </c>
      <c r="JK123" s="56">
        <f>IFERROR(IF(($IS123)&gt;0,($JE123)/($IS123),""),"")</f>
        <v/>
      </c>
      <c r="JL123" s="56">
        <f>IFERROR(IF(($IT123)&gt;0,($JF123)/($IT123),""),"")</f>
        <v/>
      </c>
      <c r="JM123" s="56">
        <f>IFERROR(IF(($IU123)&gt;0,($JG123)/($IU123),""),"")</f>
        <v/>
      </c>
      <c r="JN123" s="55">
        <f>SUMIFS(tblBudget[Drill_m],tblBudget[Month],$E123)</f>
        <v/>
      </c>
      <c r="JO123" s="55">
        <f>$JN123*$C123/$D123</f>
        <v/>
      </c>
      <c r="JP123" s="55">
        <f>SUMIFS(tblBudget[Drill_m],tblBudget[Month],"&lt;"&amp;$E123)+$JO123</f>
        <v/>
      </c>
      <c r="JQ123" s="55">
        <f>SUMIFS(tblBudget[Diesel_L],tblBudget[Month],$E123)</f>
        <v/>
      </c>
      <c r="JR123" s="55">
        <f>$JQ123*$C123/$D123</f>
        <v/>
      </c>
      <c r="JS123" s="55">
        <f>SUMIFS(tblBudget[Diesel_L],tblBudget[Month],"&lt;"&amp;$E123)+$JR123</f>
        <v/>
      </c>
      <c r="JT123" s="55">
        <f>SUMIFS(tblBudget[Milled_t],tblBudget[Month],$E123)</f>
        <v/>
      </c>
      <c r="JU123" s="55">
        <f>$JT123*$C123/$D123</f>
        <v/>
      </c>
      <c r="JV123" s="55">
        <f>SUMIFS(tblBudget[Milled_t],tblBudget[Month],"&lt;"&amp;$E123)+$JU123</f>
        <v/>
      </c>
      <c r="JW123" s="55">
        <f>SUMIFS(tblBudget[Feed_oz],tblBudget[Month],$E123)</f>
        <v/>
      </c>
      <c r="JX123" s="55">
        <f>$JW123*$C123/$D123</f>
        <v/>
      </c>
      <c r="JY123" s="55">
        <f>SUMIFS(tblBudget[Feed_oz],tblBudget[Month],"&lt;"&amp;$E123)+$JX123</f>
        <v/>
      </c>
      <c r="JZ123" s="55">
        <f>SUMIFS(tblBudget[Recovered_oz],tblBudget[Month],$E123)</f>
        <v/>
      </c>
      <c r="KA123" s="55">
        <f>$JZ123*$C123/$D123</f>
        <v/>
      </c>
      <c r="KB123" s="55">
        <f>SUMIFS(tblBudget[Recovered_oz],tblBudget[Month],"&lt;"&amp;$E123)+$KA123</f>
        <v/>
      </c>
      <c r="KC123" s="55">
        <f>SUMIFS(tblBudget[Milled_t],tblBudget[Month],$E123)</f>
        <v/>
      </c>
      <c r="KD123" s="55">
        <f>$KC123*$C123/$D123</f>
        <v/>
      </c>
      <c r="KE123" s="55">
        <f>SUMIFS(tblBudget[Milled_t],tblBudget[Month],"&lt;"&amp;$E123)+$KD123</f>
        <v/>
      </c>
      <c r="KF123" s="55">
        <f>SUMIFS(tblBudget[Feed_oz],tblBudget[Month],$E123)</f>
        <v/>
      </c>
      <c r="KG123" s="55">
        <f>$KF123*$C123/$D123</f>
        <v/>
      </c>
      <c r="KH123" s="55">
        <f>SUMIFS(tblBudget[Feed_oz],tblBudget[Month],"&lt;"&amp;$E123)+$KG123</f>
        <v/>
      </c>
      <c r="KI123" s="56">
        <f>IFERROR(IF(($KC123)&gt;0,($JW123*cfg_TroyOz)/($KC123),""),"")</f>
        <v/>
      </c>
      <c r="KJ123" s="56">
        <f>IFERROR(IF(($KD123)&gt;0,($JX123*cfg_TroyOz)/($KD123),""),"")</f>
        <v/>
      </c>
      <c r="KK123" s="56">
        <f>IFERROR(IF(($KE123)&gt;0,($JY123*cfg_TroyOz)/($KE123),""),"")</f>
        <v/>
      </c>
      <c r="KL123" s="67">
        <f>IFERROR(IF(($KF123)&gt;0,($JZ123)/($KF123),""),"")</f>
        <v/>
      </c>
      <c r="KM123" s="67">
        <f>IFERROR(IF(($KG123)&gt;0,($KA123)/($KG123),""),"")</f>
        <v/>
      </c>
      <c r="KN123" s="67">
        <f>IFERROR(IF(($KH123)&gt;0,($KB123)/($KH123),""),"")</f>
        <v/>
      </c>
      <c r="KO123" s="55">
        <f>SUMIFS(tblBudget[Gold_Poured_oz],tblBudget[Month],$E123)</f>
        <v/>
      </c>
      <c r="KP123" s="55">
        <f>$KO123*$C123/$D123</f>
        <v/>
      </c>
      <c r="KQ123" s="55">
        <f>SUMIFS(tblBudget[Gold_Poured_oz],tblBudget[Month],"&lt;"&amp;$E123)+$KP123</f>
        <v/>
      </c>
      <c r="KR123" s="57">
        <f>SUMIFS(tblBudget[Hours_Worked],tblBudget[Month],$E123)</f>
        <v/>
      </c>
      <c r="KS123" s="57">
        <f>$KR123*$C123/$D123</f>
        <v/>
      </c>
      <c r="KT123" s="57">
        <f>SUMIFS(tblBudget[Hours_Worked],tblBudget[Month],"&lt;"&amp;$E123)+$KS123</f>
        <v/>
      </c>
    </row>
    <row r="124">
      <c r="A124" s="54" t="n">
        <v>46145</v>
      </c>
      <c r="B124">
        <f>MONTH($A124)</f>
        <v/>
      </c>
      <c r="C124">
        <f>DAY($A124)</f>
        <v/>
      </c>
      <c r="D124">
        <f>DAY(EOMONTH($A124,0))</f>
        <v/>
      </c>
      <c r="E124" s="54">
        <f>DATE(YEAR($A124),MONTH($A124),1)</f>
        <v/>
      </c>
      <c r="F124" s="55">
        <f>SUMIFS(tblMovement[Tonnes_t],tblMovement[Date],$A124,tblMovement[Is_Ore],1,tblMovement[Source_Type],"Pit")</f>
        <v/>
      </c>
      <c r="G124" s="55">
        <f>IF($B124=$B123,$G123,0)+$F124</f>
        <v/>
      </c>
      <c r="H124" s="55">
        <f>$H123+$F124</f>
        <v/>
      </c>
      <c r="I124" s="55">
        <f>SUMIFS(tblMovement[Ore_oz],tblMovement[Date],$A124,tblMovement[Source_Type],"Pit")</f>
        <v/>
      </c>
      <c r="J124" s="55">
        <f>IF($B124=$B123,$J123,0)+$I124</f>
        <v/>
      </c>
      <c r="K124" s="55">
        <f>$K123+$I124</f>
        <v/>
      </c>
      <c r="L124" s="55">
        <f>SUMIFS(tblMovement[Tonnes_t],tblMovement[Date],$A124,tblMovement[Is_Ore],1,tblMovement[Source_Type],"Pit",tblMovement[Grade_gpt],"&lt;&gt;")</f>
        <v/>
      </c>
      <c r="M124" s="55">
        <f>IF($B124=$B123,$M123,0)+$L124</f>
        <v/>
      </c>
      <c r="N124" s="55">
        <f>$N123+$L124</f>
        <v/>
      </c>
      <c r="O124" s="56">
        <f>IFERROR(IF(($L124)&gt;0,($I124*cfg_TroyOz)/($L124),""),"")</f>
        <v/>
      </c>
      <c r="P124" s="56">
        <f>IFERROR(IF(($M124)&gt;0,($J124*cfg_TroyOz)/($M124),""),"")</f>
        <v/>
      </c>
      <c r="Q124" s="56">
        <f>IFERROR(IF(($N124)&gt;0,($K124*cfg_TroyOz)/($N124),""),"")</f>
        <v/>
      </c>
      <c r="R124" s="55">
        <f>$F124-$L124</f>
        <v/>
      </c>
      <c r="S124" s="55">
        <f>IF($B124=$B123,$S123,0)+$R124</f>
        <v/>
      </c>
      <c r="T124" s="55">
        <f>$T123+$R124</f>
        <v/>
      </c>
      <c r="U124" s="55">
        <f>SUMIFS(tblMovement[Tonnes_t],tblMovement[Date],$A124,tblMovement[Is_Ore],0,tblMovement[Source_Type],"Pit")</f>
        <v/>
      </c>
      <c r="V124" s="55">
        <f>IF($B124=$B123,$V123,0)+$U124</f>
        <v/>
      </c>
      <c r="W124" s="55">
        <f>$W123+$U124</f>
        <v/>
      </c>
      <c r="X124" s="55">
        <f>$F124+$U124</f>
        <v/>
      </c>
      <c r="Y124" s="55">
        <f>IF($B124=$B123,$Y123,0)+$X124</f>
        <v/>
      </c>
      <c r="Z124" s="55">
        <f>$Z123+$X124</f>
        <v/>
      </c>
      <c r="AA124" s="56">
        <f>IFERROR(IF(($F124)&gt;0,($U124)/($F124),""),"")</f>
        <v/>
      </c>
      <c r="AB124" s="56">
        <f>IFERROR(IF(($G124)&gt;0,($V124)/($G124),""),"")</f>
        <v/>
      </c>
      <c r="AC124" s="56">
        <f>IFERROR(IF(($H124)&gt;0,($W124)/($H124),""),"")</f>
        <v/>
      </c>
      <c r="AD124" s="55">
        <f>SUMIFS(tblMovement[Tonnes_t],tblMovement[Date],$A124,tblMovement[Source_Type],"Stockpile")</f>
        <v/>
      </c>
      <c r="AE124" s="55">
        <f>IF($B124=$B123,$AE123,0)+$AD124</f>
        <v/>
      </c>
      <c r="AF124" s="55">
        <f>$AF123+$AD124</f>
        <v/>
      </c>
      <c r="AG124" s="55">
        <f>SUMIFS(tblMovement[Tonnes_t],tblMovement[Date],$A124)</f>
        <v/>
      </c>
      <c r="AH124" s="55">
        <f>IF($B124=$B123,$AH123,0)+$AG124</f>
        <v/>
      </c>
      <c r="AI124" s="55">
        <f>$AI123+$AG124</f>
        <v/>
      </c>
      <c r="AJ124" s="55">
        <f>$AG124-$X124-$AD124</f>
        <v/>
      </c>
      <c r="AK124" s="55">
        <f>IF($B124=$B123,$AK123,0)+$AJ124</f>
        <v/>
      </c>
      <c r="AL124" s="55">
        <f>$AL123+$AJ124</f>
        <v/>
      </c>
      <c r="AM124" s="55">
        <f>SUMIFS(tblMiningDaily[Drill_m],tblMiningDaily[Date],$A124)</f>
        <v/>
      </c>
      <c r="AN124" s="55">
        <f>IF($B124=$B123,$AN123,0)+$AM124</f>
        <v/>
      </c>
      <c r="AO124" s="55">
        <f>$AO123+$AM124</f>
        <v/>
      </c>
      <c r="AP124" s="55">
        <f>SUMIFS(tblMiningDaily[GC_Drill_m],tblMiningDaily[Date],$A124)</f>
        <v/>
      </c>
      <c r="AQ124" s="55">
        <f>IF($B124=$B123,$AQ123,0)+$AP124</f>
        <v/>
      </c>
      <c r="AR124" s="55">
        <f>$AR123+$AP124</f>
        <v/>
      </c>
      <c r="AS124" s="55">
        <f>SUMIFS(tblMiningDaily[Blast_t],tblMiningDaily[Date],$A124)</f>
        <v/>
      </c>
      <c r="AT124" s="55">
        <f>IF($B124=$B123,$AT123,0)+$AS124</f>
        <v/>
      </c>
      <c r="AU124" s="55">
        <f>$AU123+$AS124</f>
        <v/>
      </c>
      <c r="AV124" s="55">
        <f>SUMIFS(tblMiningDaily[Explosives_kg],tblMiningDaily[Date],$A124)</f>
        <v/>
      </c>
      <c r="AW124" s="55">
        <f>IF($B124=$B123,$AW123,0)+$AV124</f>
        <v/>
      </c>
      <c r="AX124" s="55">
        <f>$AX123+$AV124</f>
        <v/>
      </c>
      <c r="AY124" s="56">
        <f>IFERROR(IF(($AS124)&gt;0,($AV124)/($AS124),""),"")</f>
        <v/>
      </c>
      <c r="AZ124" s="56">
        <f>IFERROR(IF(($AT124)&gt;0,($AW124)/($AT124),""),"")</f>
        <v/>
      </c>
      <c r="BA124" s="56">
        <f>IFERROR(IF(($AU124)&gt;0,($AX124)/($AU124),""),"")</f>
        <v/>
      </c>
      <c r="BB124" s="55">
        <f>SUMIFS(tblMiningDaily[Diesel_L],tblMiningDaily[Date],$A124)</f>
        <v/>
      </c>
      <c r="BC124" s="55">
        <f>IF($B124=$B123,$BC123,0)+$BB124</f>
        <v/>
      </c>
      <c r="BD124" s="55">
        <f>$BD123+$BB124</f>
        <v/>
      </c>
      <c r="BE124" s="55">
        <f>SUMIFS(tblMiningDaily[Dewatering_m3],tblMiningDaily[Date],$A124)</f>
        <v/>
      </c>
      <c r="BF124" s="55">
        <f>IF($B124=$B123,$BF123,0)+$BE124</f>
        <v/>
      </c>
      <c r="BG124" s="55">
        <f>$BG123+$BE124</f>
        <v/>
      </c>
      <c r="BH124" s="57">
        <f>SUMIFS(tblFleet[Calendar_h],tblFleet[Date],$A124,tblFleet[Equipment_Class],"Excavator")</f>
        <v/>
      </c>
      <c r="BI124" s="57">
        <f>IF($B124=$B123,$BI123,0)+$BH124</f>
        <v/>
      </c>
      <c r="BJ124" s="57">
        <f>$BJ123+$BH124</f>
        <v/>
      </c>
      <c r="BK124" s="57">
        <f>SUMIFS(tblFleet[Available_h],tblFleet[Date],$A124,tblFleet[Equipment_Class],"Excavator")</f>
        <v/>
      </c>
      <c r="BL124" s="57">
        <f>IF($B124=$B123,$BL123,0)+$BK124</f>
        <v/>
      </c>
      <c r="BM124" s="57">
        <f>$BM123+$BK124</f>
        <v/>
      </c>
      <c r="BN124" s="57">
        <f>SUMIFS(tblFleet[Operating_h],tblFleet[Date],$A124,tblFleet[Equipment_Class],"Excavator")</f>
        <v/>
      </c>
      <c r="BO124" s="57">
        <f>IF($B124=$B123,$BO123,0)+$BN124</f>
        <v/>
      </c>
      <c r="BP124" s="57">
        <f>$BP123+$BN124</f>
        <v/>
      </c>
      <c r="BQ124" s="67">
        <f>IFERROR(IF(($BH124)&gt;0,($BK124)/($BH124),""),"")</f>
        <v/>
      </c>
      <c r="BR124" s="67">
        <f>IFERROR(IF(($BI124)&gt;0,($BL124)/($BI124),""),"")</f>
        <v/>
      </c>
      <c r="BS124" s="67">
        <f>IFERROR(IF(($BJ124)&gt;0,($BM124)/($BJ124),""),"")</f>
        <v/>
      </c>
      <c r="BT124" s="67">
        <f>IFERROR(IF(($BK124)&gt;0,($BN124)/($BK124),""),"")</f>
        <v/>
      </c>
      <c r="BU124" s="67">
        <f>IFERROR(IF(($BL124)&gt;0,($BO124)/($BL124),""),"")</f>
        <v/>
      </c>
      <c r="BV124" s="67">
        <f>IFERROR(IF(($BM124)&gt;0,($BP124)/($BM124),""),"")</f>
        <v/>
      </c>
      <c r="BW124" s="57">
        <f>SUMIFS(tblFleet[Calendar_h],tblFleet[Date],$A124,tblFleet[Equipment_Class],"Haul Truck")</f>
        <v/>
      </c>
      <c r="BX124" s="57">
        <f>IF($B124=$B123,$BX123,0)+$BW124</f>
        <v/>
      </c>
      <c r="BY124" s="57">
        <f>$BY123+$BW124</f>
        <v/>
      </c>
      <c r="BZ124" s="57">
        <f>SUMIFS(tblFleet[Available_h],tblFleet[Date],$A124,tblFleet[Equipment_Class],"Haul Truck")</f>
        <v/>
      </c>
      <c r="CA124" s="57">
        <f>IF($B124=$B123,$CA123,0)+$BZ124</f>
        <v/>
      </c>
      <c r="CB124" s="57">
        <f>$CB123+$BZ124</f>
        <v/>
      </c>
      <c r="CC124" s="57">
        <f>SUMIFS(tblFleet[Operating_h],tblFleet[Date],$A124,tblFleet[Equipment_Class],"Haul Truck")</f>
        <v/>
      </c>
      <c r="CD124" s="57">
        <f>IF($B124=$B123,$CD123,0)+$CC124</f>
        <v/>
      </c>
      <c r="CE124" s="57">
        <f>$CE123+$CC124</f>
        <v/>
      </c>
      <c r="CF124" s="67">
        <f>IFERROR(IF(($BW124)&gt;0,($BZ124)/($BW124),""),"")</f>
        <v/>
      </c>
      <c r="CG124" s="67">
        <f>IFERROR(IF(($BX124)&gt;0,($CA124)/($BX124),""),"")</f>
        <v/>
      </c>
      <c r="CH124" s="67">
        <f>IFERROR(IF(($BY124)&gt;0,($CB124)/($BY124),""),"")</f>
        <v/>
      </c>
      <c r="CI124" s="67">
        <f>IFERROR(IF(($BZ124)&gt;0,($CC124)/($BZ124),""),"")</f>
        <v/>
      </c>
      <c r="CJ124" s="67">
        <f>IFERROR(IF(($CA124)&gt;0,($CD124)/($CA124),""),"")</f>
        <v/>
      </c>
      <c r="CK124" s="67">
        <f>IFERROR(IF(($CB124)&gt;0,($CE124)/($CB124),""),"")</f>
        <v/>
      </c>
      <c r="CL124" s="55">
        <f>IFERROR(IF(($BN124)&gt;0,($X124+$AD124)/($BN124),""),"")</f>
        <v/>
      </c>
      <c r="CM124" s="55">
        <f>IFERROR(IF(($BO124)&gt;0,($Y124+$AE124)/($BO124),""),"")</f>
        <v/>
      </c>
      <c r="CN124" s="55">
        <f>IFERROR(IF(($BP124)&gt;0,($Z124+$AF124)/($BP124),""),"")</f>
        <v/>
      </c>
      <c r="CO124" s="55">
        <f>IFERROR(IF(($CC124)&gt;0,($X124+$AD124)/($CC124),""),"")</f>
        <v/>
      </c>
      <c r="CP124" s="55">
        <f>IFERROR(IF(($CD124)&gt;0,($Y124+$AE124)/($CD124),""),"")</f>
        <v/>
      </c>
      <c r="CQ124" s="55">
        <f>IFERROR(IF(($CE124)&gt;0,($Z124+$AF124)/($CE124),""),"")</f>
        <v/>
      </c>
      <c r="CR124" s="55">
        <f>SUMIFS(tblPlant[Crushed_t],tblPlant[Date],$A124)</f>
        <v/>
      </c>
      <c r="CS124" s="55">
        <f>IF($B124=$B123,$CS123,0)+$CR124</f>
        <v/>
      </c>
      <c r="CT124" s="55">
        <f>$CT123+$CR124</f>
        <v/>
      </c>
      <c r="CU124" s="55">
        <f>SUMIFS(tblPlant[Milled_t],tblPlant[Date],$A124)</f>
        <v/>
      </c>
      <c r="CV124" s="55">
        <f>IF($B124=$B123,$CV123,0)+$CU124</f>
        <v/>
      </c>
      <c r="CW124" s="55">
        <f>$CW123+$CU124</f>
        <v/>
      </c>
      <c r="CX124" s="55">
        <f>SUMIFS(tblPlant[Feed_oz],tblPlant[Date],$A124)</f>
        <v/>
      </c>
      <c r="CY124" s="55">
        <f>IF($B124=$B123,$CY123,0)+$CX124</f>
        <v/>
      </c>
      <c r="CZ124" s="55">
        <f>$CZ123+$CX124</f>
        <v/>
      </c>
      <c r="DA124" s="55">
        <f>SUMIFS(tblPlant[Tails_oz],tblPlant[Date],$A124)</f>
        <v/>
      </c>
      <c r="DB124" s="55">
        <f>IF($B124=$B123,$DB123,0)+$DA124</f>
        <v/>
      </c>
      <c r="DC124" s="55">
        <f>$DC123+$DA124</f>
        <v/>
      </c>
      <c r="DD124" s="55">
        <f>SUMIFS(tblPlant[Recovered_oz],tblPlant[Date],$A124)</f>
        <v/>
      </c>
      <c r="DE124" s="55">
        <f>IF($B124=$B123,$DE123,0)+$DD124</f>
        <v/>
      </c>
      <c r="DF124" s="55">
        <f>$DF123+$DD124</f>
        <v/>
      </c>
      <c r="DG124" s="55">
        <f>SUMIFS(tblPlant[Milled_t],tblPlant[Date],$A124,tblPlant[Head_Grade_gpt],"&lt;&gt;")</f>
        <v/>
      </c>
      <c r="DH124" s="55">
        <f>IF($B124=$B123,$DH123,0)+$DG124</f>
        <v/>
      </c>
      <c r="DI124" s="55">
        <f>$DI123+$DG124</f>
        <v/>
      </c>
      <c r="DJ124" s="55">
        <f>SUMIFS(tblPlant[Milled_t],tblPlant[Date],$A124,tblPlant[Tails_Grade_gpt],"&lt;&gt;")</f>
        <v/>
      </c>
      <c r="DK124" s="55">
        <f>IF($B124=$B123,$DK123,0)+$DJ124</f>
        <v/>
      </c>
      <c r="DL124" s="55">
        <f>$DL123+$DJ124</f>
        <v/>
      </c>
      <c r="DM124" s="55">
        <f>SUMIFS(tblPlant[Feed_oz],tblPlant[Date],$A124,tblPlant[Tails_Grade_gpt],"&lt;&gt;")</f>
        <v/>
      </c>
      <c r="DN124" s="55">
        <f>IF($B124=$B123,$DN123,0)+$DM124</f>
        <v/>
      </c>
      <c r="DO124" s="55">
        <f>$DO123+$DM124</f>
        <v/>
      </c>
      <c r="DP124" s="55">
        <f>SUMIFS(tblPlant[Milled_t],tblPlant[Date],$A124,tblPlant[Mill_Run_h],"&lt;&gt;")</f>
        <v/>
      </c>
      <c r="DQ124" s="55">
        <f>IF($B124=$B123,$DQ123,0)+$DP124</f>
        <v/>
      </c>
      <c r="DR124" s="55">
        <f>$DR123+$DP124</f>
        <v/>
      </c>
      <c r="DS124" s="56">
        <f>IFERROR(IF(($DG124)&gt;0,($CX124*cfg_TroyOz)/($DG124),""),"")</f>
        <v/>
      </c>
      <c r="DT124" s="56">
        <f>IFERROR(IF(($DH124)&gt;0,($CY124*cfg_TroyOz)/($DH124),""),"")</f>
        <v/>
      </c>
      <c r="DU124" s="56">
        <f>IFERROR(IF(($DI124)&gt;0,($CZ124*cfg_TroyOz)/($DI124),""),"")</f>
        <v/>
      </c>
      <c r="DV124" s="56">
        <f>IFERROR(IF(($DJ124)&gt;0,($DA124*cfg_TroyOz)/($DJ124),""),"")</f>
        <v/>
      </c>
      <c r="DW124" s="56">
        <f>IFERROR(IF(($DK124)&gt;0,($DB124*cfg_TroyOz)/($DK124),""),"")</f>
        <v/>
      </c>
      <c r="DX124" s="56">
        <f>IFERROR(IF(($DL124)&gt;0,($DC124*cfg_TroyOz)/($DL124),""),"")</f>
        <v/>
      </c>
      <c r="DY124" s="67">
        <f>IFERROR(IF(($DM124)&gt;0,($DD124)/($DM124),""),"")</f>
        <v/>
      </c>
      <c r="DZ124" s="67">
        <f>IFERROR(IF(($DN124)&gt;0,($DE124)/($DN124),""),"")</f>
        <v/>
      </c>
      <c r="EA124" s="67">
        <f>IFERROR(IF(($DO124)&gt;0,($DF124)/($DO124),""),"")</f>
        <v/>
      </c>
      <c r="EB124" s="55">
        <f>SUMIFS(tblPlant[Gravity_Gold_oz],tblPlant[Date],$A124)</f>
        <v/>
      </c>
      <c r="EC124" s="55">
        <f>IF($B124=$B123,$EC123,0)+$EB124</f>
        <v/>
      </c>
      <c r="ED124" s="55">
        <f>$ED123+$EB124</f>
        <v/>
      </c>
      <c r="EE124" s="67">
        <f>IFERROR(IF(($DD124)&gt;0,($EB124)/($DD124),""),"")</f>
        <v/>
      </c>
      <c r="EF124" s="67">
        <f>IFERROR(IF(($DE124)&gt;0,($EC124)/($DE124),""),"")</f>
        <v/>
      </c>
      <c r="EG124" s="67">
        <f>IFERROR(IF(($DF124)&gt;0,($ED124)/($DF124),""),"")</f>
        <v/>
      </c>
      <c r="EH124" s="55">
        <f>SUMIFS(tblPlant[Gold_Poured_oz],tblPlant[Date],$A124)</f>
        <v/>
      </c>
      <c r="EI124" s="55">
        <f>IF($B124=$B123,$EI123,0)+$EH124</f>
        <v/>
      </c>
      <c r="EJ124" s="55">
        <f>$EJ123+$EH124</f>
        <v/>
      </c>
      <c r="EK124" s="57">
        <f>SUMIFS(tblPlant[Mill_Run_h],tblPlant[Date],$A124)</f>
        <v/>
      </c>
      <c r="EL124" s="57">
        <f>IF($B124=$B123,$EL123,0)+$EK124</f>
        <v/>
      </c>
      <c r="EM124" s="57">
        <f>$EM123+$EK124</f>
        <v/>
      </c>
      <c r="EN124" s="57">
        <f>SUMIFS(tblPlant[Mill_Planned_Maint_h],tblPlant[Date],$A124)</f>
        <v/>
      </c>
      <c r="EO124" s="57">
        <f>IF($B124=$B123,$EO123,0)+$EN124</f>
        <v/>
      </c>
      <c r="EP124" s="57">
        <f>$EP123+$EN124</f>
        <v/>
      </c>
      <c r="EQ124" s="57">
        <f>SUMIFS(tblPlant[Mill_Unplanned_Down_h],tblPlant[Date],$A124)</f>
        <v/>
      </c>
      <c r="ER124" s="57">
        <f>IF($B124=$B123,$ER123,0)+$EQ124</f>
        <v/>
      </c>
      <c r="ES124" s="57">
        <f>$ES123+$EQ124</f>
        <v/>
      </c>
      <c r="ET124" s="57">
        <f>IF(COUNTIFS(tblPlant[Date],$A124,tblPlant[Mill_Run_h],"&lt;&gt;")+COUNTIFS(tblPlant[Date],$A124,tblPlant[Mill_Planned_Maint_h],"&lt;&gt;")+COUNTIFS(tblPlant[Date],$A124,tblPlant[Mill_Unplanned_Down_h],"&lt;&gt;")&gt;0,cfg_HoursPerDay,0)</f>
        <v/>
      </c>
      <c r="EU124" s="57">
        <f>IF($B124=$B123,$EU123,0)+$ET124</f>
        <v/>
      </c>
      <c r="EV124" s="57">
        <f>$EV123+$ET124</f>
        <v/>
      </c>
      <c r="EW124" s="57">
        <f>SUMIFS(tblPlant[Crusher_Run_h],tblPlant[Date],$A124)</f>
        <v/>
      </c>
      <c r="EX124" s="57">
        <f>IF($B124=$B123,$EX123,0)+$EW124</f>
        <v/>
      </c>
      <c r="EY124" s="57">
        <f>$EY123+$EW124</f>
        <v/>
      </c>
      <c r="EZ124" s="55">
        <f>IFERROR(IF(($EK124)&gt;0,($DP124)/($EK124),""),"")</f>
        <v/>
      </c>
      <c r="FA124" s="55">
        <f>IFERROR(IF(($EL124)&gt;0,($DQ124)/($EL124),""),"")</f>
        <v/>
      </c>
      <c r="FB124" s="55">
        <f>IFERROR(IF(($EM124)&gt;0,($DR124)/($EM124),""),"")</f>
        <v/>
      </c>
      <c r="FC124" s="67">
        <f>IFERROR(IF(($ET124)&gt;0,($ET124-$EN124-$EQ124)/($ET124),""),"")</f>
        <v/>
      </c>
      <c r="FD124" s="67">
        <f>IFERROR(IF(($EU124)&gt;0,($EU124-$EO124-$ER124)/($EU124),""),"")</f>
        <v/>
      </c>
      <c r="FE124" s="67">
        <f>IFERROR(IF(($EV124)&gt;0,($EV124-$EP124-$ES124)/($EV124),""),"")</f>
        <v/>
      </c>
      <c r="FF124" s="67">
        <f>IFERROR(IF(($ET124-$EN124-$EQ124)&gt;0,($EK124)/($ET124-$EN124-$EQ124),""),"")</f>
        <v/>
      </c>
      <c r="FG124" s="67">
        <f>IFERROR(IF(($EU124-$EO124-$ER124)&gt;0,($EL124)/($EU124-$EO124-$ER124),""),"")</f>
        <v/>
      </c>
      <c r="FH124" s="67">
        <f>IFERROR(IF(($EV124-$EP124-$ES124)&gt;0,($EM124)/($EV124-$EP124-$ES124),""),"")</f>
        <v/>
      </c>
      <c r="FI124" s="55">
        <f>SUMIFS(tblPlant[Cyanide_kg],tblPlant[Date],$A124)</f>
        <v/>
      </c>
      <c r="FJ124" s="55">
        <f>IF($B124=$B123,$FJ123,0)+$FI124</f>
        <v/>
      </c>
      <c r="FK124" s="55">
        <f>$FK123+$FI124</f>
        <v/>
      </c>
      <c r="FL124" s="55">
        <f>SUMIFS(tblPlant[Lime_kg],tblPlant[Date],$A124)</f>
        <v/>
      </c>
      <c r="FM124" s="55">
        <f>IF($B124=$B123,$FM123,0)+$FL124</f>
        <v/>
      </c>
      <c r="FN124" s="55">
        <f>$FN123+$FL124</f>
        <v/>
      </c>
      <c r="FO124" s="55">
        <f>SUMIFS(tblPlant[Grinding_Media_kg],tblPlant[Date],$A124)</f>
        <v/>
      </c>
      <c r="FP124" s="55">
        <f>IF($B124=$B123,$FP123,0)+$FO124</f>
        <v/>
      </c>
      <c r="FQ124" s="55">
        <f>$FQ123+$FO124</f>
        <v/>
      </c>
      <c r="FR124" s="55">
        <f>SUMIFS(tblPlant[Power_kWh],tblPlant[Date],$A124)</f>
        <v/>
      </c>
      <c r="FS124" s="55">
        <f>IF($B124=$B123,$FS123,0)+$FR124</f>
        <v/>
      </c>
      <c r="FT124" s="55">
        <f>$FT123+$FR124</f>
        <v/>
      </c>
      <c r="FU124" s="55">
        <f>SUMIFS(tblPlant[Raw_Water_m3],tblPlant[Date],$A124)</f>
        <v/>
      </c>
      <c r="FV124" s="55">
        <f>IF($B124=$B123,$FV123,0)+$FU124</f>
        <v/>
      </c>
      <c r="FW124" s="55">
        <f>$FW123+$FU124</f>
        <v/>
      </c>
      <c r="FX124" s="56">
        <f>IFERROR(IF(($CU124)&gt;0,($FI124)/($CU124),""),"")</f>
        <v/>
      </c>
      <c r="FY124" s="56">
        <f>IFERROR(IF(($CV124)&gt;0,($FJ124)/($CV124),""),"")</f>
        <v/>
      </c>
      <c r="FZ124" s="56">
        <f>IFERROR(IF(($CW124)&gt;0,($FK124)/($CW124),""),"")</f>
        <v/>
      </c>
      <c r="GA124" s="56">
        <f>IFERROR(IF(($CU124)&gt;0,($FL124)/($CU124),""),"")</f>
        <v/>
      </c>
      <c r="GB124" s="56">
        <f>IFERROR(IF(($CV124)&gt;0,($FM124)/($CV124),""),"")</f>
        <v/>
      </c>
      <c r="GC124" s="56">
        <f>IFERROR(IF(($CW124)&gt;0,($FN124)/($CW124),""),"")</f>
        <v/>
      </c>
      <c r="GD124" s="56">
        <f>IFERROR(IF(($CU124)&gt;0,($FO124)/($CU124),""),"")</f>
        <v/>
      </c>
      <c r="GE124" s="56">
        <f>IFERROR(IF(($CV124)&gt;0,($FP124)/($CV124),""),"")</f>
        <v/>
      </c>
      <c r="GF124" s="56">
        <f>IFERROR(IF(($CW124)&gt;0,($FQ124)/($CW124),""),"")</f>
        <v/>
      </c>
      <c r="GG124" s="79">
        <f>IFERROR(IF(($CU124)&gt;0,($FR124)/($CU124),""),"")</f>
        <v/>
      </c>
      <c r="GH124" s="79">
        <f>IFERROR(IF(($CV124)&gt;0,($FS124)/($CV124),""),"")</f>
        <v/>
      </c>
      <c r="GI124" s="79">
        <f>IFERROR(IF(($CW124)&gt;0,($FT124)/($CW124),""),"")</f>
        <v/>
      </c>
      <c r="GJ124" s="56">
        <f>IFERROR(IF(($CU124)&gt;0,($FU124)/($CU124),""),"")</f>
        <v/>
      </c>
      <c r="GK124" s="56">
        <f>IFERROR(IF(($CV124)&gt;0,($FV124)/($CV124),""),"")</f>
        <v/>
      </c>
      <c r="GL124" s="56">
        <f>IFERROR(IF(($CW124)&gt;0,($FW124)/($CW124),""),"")</f>
        <v/>
      </c>
      <c r="GM124" s="55">
        <f>IF(SUMIFS(tblPlant[GIC_oz],tblPlant[Date],$A124)&gt;0,SUMIFS(tblPlant[GIC_oz],tblPlant[Date],$A124),"")</f>
        <v/>
      </c>
      <c r="GN124" s="55">
        <f>SUMIFS(tblGold[Gold_oz],tblGold[Date],$A124,tblGold[Type],"Shipment")</f>
        <v/>
      </c>
      <c r="GO124" s="55">
        <f>IF($B124=$B123,$GO123,0)+$GN124</f>
        <v/>
      </c>
      <c r="GP124" s="55">
        <f>$GP123+$GN124</f>
        <v/>
      </c>
      <c r="GQ124" s="55">
        <f>SUMIFS(tblGold[Gold_oz],tblGold[Date],$A124,tblGold[Type],"Sale")</f>
        <v/>
      </c>
      <c r="GR124" s="55">
        <f>IF($B124=$B123,$GR123,0)+$GQ124</f>
        <v/>
      </c>
      <c r="GS124" s="55">
        <f>$GS123+$GQ124</f>
        <v/>
      </c>
      <c r="GT124" s="55">
        <f>SUMIFS(tblGold[Dore_kg],tblGold[Date],$A124,tblGold[Type],"Shipment")</f>
        <v/>
      </c>
      <c r="GU124" s="55">
        <f>IF($B124=$B123,$GU123,0)+$GT124</f>
        <v/>
      </c>
      <c r="GV124" s="55">
        <f>$GV123+$GT124</f>
        <v/>
      </c>
      <c r="GW124" s="57">
        <f>SUMIFS(tblSafety[Hours_Total],tblSafety[Date],$A124)</f>
        <v/>
      </c>
      <c r="GX124" s="57">
        <f>IF($B124=$B123,$GX123,0)+$GW124</f>
        <v/>
      </c>
      <c r="GY124" s="57">
        <f>$GY123+$GW124</f>
        <v/>
      </c>
      <c r="GZ124" s="62">
        <f>SUMIFS(tblSafety[Fatality],tblSafety[Date],$A124)</f>
        <v/>
      </c>
      <c r="HA124" s="62">
        <f>IF($B124=$B123,$HA123,0)+$GZ124</f>
        <v/>
      </c>
      <c r="HB124" s="62">
        <f>$HB123+$GZ124</f>
        <v/>
      </c>
      <c r="HC124" s="62">
        <f>SUMIFS(tblSafety[LTI],tblSafety[Date],$A124)</f>
        <v/>
      </c>
      <c r="HD124" s="62">
        <f>IF($B124=$B123,$HD123,0)+$HC124</f>
        <v/>
      </c>
      <c r="HE124" s="62">
        <f>$HE123+$HC124</f>
        <v/>
      </c>
      <c r="HF124" s="62">
        <f>SUMIFS(tblSafety[RWI],tblSafety[Date],$A124)</f>
        <v/>
      </c>
      <c r="HG124" s="62">
        <f>IF($B124=$B123,$HG123,0)+$HF124</f>
        <v/>
      </c>
      <c r="HH124" s="62">
        <f>$HH123+$HF124</f>
        <v/>
      </c>
      <c r="HI124" s="62">
        <f>SUMIFS(tblSafety[MTI],tblSafety[Date],$A124)</f>
        <v/>
      </c>
      <c r="HJ124" s="62">
        <f>IF($B124=$B123,$HJ123,0)+$HI124</f>
        <v/>
      </c>
      <c r="HK124" s="62">
        <f>$HK123+$HI124</f>
        <v/>
      </c>
      <c r="HL124" s="62">
        <f>SUMIFS(tblSafety[FAI],tblSafety[Date],$A124)</f>
        <v/>
      </c>
      <c r="HM124" s="62">
        <f>IF($B124=$B123,$HM123,0)+$HL124</f>
        <v/>
      </c>
      <c r="HN124" s="62">
        <f>$HN123+$HL124</f>
        <v/>
      </c>
      <c r="HO124" s="62">
        <f>SUMIFS(tblSafety[Recordables],tblSafety[Date],$A124)</f>
        <v/>
      </c>
      <c r="HP124" s="62">
        <f>IF($B124=$B123,$HP123,0)+$HO124</f>
        <v/>
      </c>
      <c r="HQ124" s="62">
        <f>$HQ123+$HO124</f>
        <v/>
      </c>
      <c r="HR124" s="62">
        <f>SUMIFS(tblSafety[Near_Miss],tblSafety[Date],$A124)</f>
        <v/>
      </c>
      <c r="HS124" s="62">
        <f>IF($B124=$B123,$HS123,0)+$HR124</f>
        <v/>
      </c>
      <c r="HT124" s="62">
        <f>$HT123+$HR124</f>
        <v/>
      </c>
      <c r="HU124" s="62">
        <f>SUMIFS(tblSafety[Hazard_Reports],tblSafety[Date],$A124)</f>
        <v/>
      </c>
      <c r="HV124" s="62">
        <f>IF($B124=$B123,$HV123,0)+$HU124</f>
        <v/>
      </c>
      <c r="HW124" s="62">
        <f>$HW123+$HU124</f>
        <v/>
      </c>
      <c r="HX124" s="62">
        <f>SUMIFS(tblSafety[HPI],tblSafety[Date],$A124)</f>
        <v/>
      </c>
      <c r="HY124" s="62">
        <f>IF($B124=$B123,$HY123,0)+$HX124</f>
        <v/>
      </c>
      <c r="HZ124" s="62">
        <f>$HZ123+$HX124</f>
        <v/>
      </c>
      <c r="IA124" s="62">
        <f>SUMIFS(tblSafety[Env_Incidents],tblSafety[Date],$A124)</f>
        <v/>
      </c>
      <c r="IB124" s="62">
        <f>IF($B124=$B123,$IB123,0)+$IA124</f>
        <v/>
      </c>
      <c r="IC124" s="62">
        <f>$IC123+$IA124</f>
        <v/>
      </c>
      <c r="ID124" s="62">
        <f>SUMIFS(tblSafety[Community_Incidents],tblSafety[Date],$A124)</f>
        <v/>
      </c>
      <c r="IE124" s="62">
        <f>IF($B124=$B123,$IE123,0)+$ID124</f>
        <v/>
      </c>
      <c r="IF124" s="62">
        <f>$IF123+$ID124</f>
        <v/>
      </c>
      <c r="IG124" s="62">
        <f>SUMIFS(tblSafety[Vehicle_Incidents],tblSafety[Date],$A124)</f>
        <v/>
      </c>
      <c r="IH124" s="62">
        <f>IF($B124=$B123,$IH123,0)+$IG124</f>
        <v/>
      </c>
      <c r="II124" s="62">
        <f>$II123+$IG124</f>
        <v/>
      </c>
      <c r="IJ124" s="62">
        <f>SUMIFS(tblSafety[Toolbox_Talks],tblSafety[Date],$A124)</f>
        <v/>
      </c>
      <c r="IK124" s="62">
        <f>IF($B124=$B123,$IK123,0)+$IJ124</f>
        <v/>
      </c>
      <c r="IL124" s="62">
        <f>$IL123+$IJ124</f>
        <v/>
      </c>
      <c r="IM124" s="62">
        <f>SUMIFS(tblSafety[Inspections],tblSafety[Date],$A124)</f>
        <v/>
      </c>
      <c r="IN124" s="62">
        <f>IF($B124=$B123,$IN123,0)+$IM124</f>
        <v/>
      </c>
      <c r="IO124" s="62">
        <f>$IO123+$IM124</f>
        <v/>
      </c>
      <c r="IP124" s="56">
        <f>IFERROR((SUMIFS(tblSafety[Recordables],tblSafety[Date],"&gt;="&amp;EDATE($E124,-12),tblSafety[Date],"&lt;="&amp;$A124)+SUMIFS(tblSafetyHistory[Recordables],tblSafetyHistory[Month],"&gt;="&amp;EDATE($E124,-12),tblSafetyHistory[Month],"&lt;"&amp;$E124,tblSafetyHistory[Use],1))/(SUMIFS(tblSafety[Hours_Total],tblSafety[Date],"&gt;="&amp;EDATE($E124,-12),tblSafety[Date],"&lt;="&amp;$A124)+SUMIFS(tblSafetyHistory[Hours_Total],tblSafetyHistory[Month],"&gt;="&amp;EDATE($E124,-12),tblSafetyHistory[Month],"&lt;"&amp;$E124,tblSafetyHistory[Use],1))*cfg_RateBasisHours,"")</f>
        <v/>
      </c>
      <c r="IQ124" s="56">
        <f>IFERROR((SUMIFS(tblSafety[LTI],tblSafety[Date],"&gt;="&amp;EDATE($E124,-12),tblSafety[Date],"&lt;="&amp;$A124)+SUMIFS(tblSafetyHistory[LTI],tblSafetyHistory[Month],"&gt;="&amp;EDATE($E124,-12),tblSafetyHistory[Month],"&lt;"&amp;$E124,tblSafetyHistory[Use],1))/(SUMIFS(tblSafety[Hours_Total],tblSafety[Date],"&gt;="&amp;EDATE($E124,-12),tblSafety[Date],"&lt;="&amp;$A124)+SUMIFS(tblSafetyHistory[Hours_Total],tblSafetyHistory[Month],"&gt;="&amp;EDATE($E124,-12),tblSafetyHistory[Month],"&lt;"&amp;$E124,tblSafetyHistory[Use],1))*cfg_RateBasisHours,"")</f>
        <v/>
      </c>
      <c r="IR124" s="62">
        <f>IF(MAX(N(cfg_PriorLTIDate),_xlfn.MAXIFS(tblSafety[Date],tblSafety[LTI],"&gt;0",tblSafety[Date],"&lt;="&amp;$A124))=0,"",$A124-MAX(N(cfg_PriorLTIDate),_xlfn.MAXIFS(tblSafety[Date],tblSafety[LTI],"&gt;0",tblSafety[Date],"&lt;="&amp;$A124)))</f>
        <v/>
      </c>
      <c r="IS124" s="55">
        <f>SUMIFS(tblBudget[Ore_Mined_t],tblBudget[Month],$E124)</f>
        <v/>
      </c>
      <c r="IT124" s="55">
        <f>$IS124*$C124/$D124</f>
        <v/>
      </c>
      <c r="IU124" s="55">
        <f>SUMIFS(tblBudget[Ore_Mined_t],tblBudget[Month],"&lt;"&amp;$E124)+$IT124</f>
        <v/>
      </c>
      <c r="IV124" s="55">
        <f>SUMIFS(tblBudget[Ore_oz],tblBudget[Month],$E124)</f>
        <v/>
      </c>
      <c r="IW124" s="55">
        <f>$IV124*$C124/$D124</f>
        <v/>
      </c>
      <c r="IX124" s="55">
        <f>SUMIFS(tblBudget[Ore_oz],tblBudget[Month],"&lt;"&amp;$E124)+$IW124</f>
        <v/>
      </c>
      <c r="IY124" s="55">
        <f>SUMIFS(tblBudget[Ore_Mined_t],tblBudget[Month],$E124)</f>
        <v/>
      </c>
      <c r="IZ124" s="55">
        <f>$IY124*$C124/$D124</f>
        <v/>
      </c>
      <c r="JA124" s="55">
        <f>SUMIFS(tblBudget[Ore_Mined_t],tblBudget[Month],"&lt;"&amp;$E124)+$IZ124</f>
        <v/>
      </c>
      <c r="JB124" s="56">
        <f>IFERROR(IF(($IY124)&gt;0,($IV124*cfg_TroyOz)/($IY124),""),"")</f>
        <v/>
      </c>
      <c r="JC124" s="56">
        <f>IFERROR(IF(($IZ124)&gt;0,($IW124*cfg_TroyOz)/($IZ124),""),"")</f>
        <v/>
      </c>
      <c r="JD124" s="56">
        <f>IFERROR(IF(($JA124)&gt;0,($IX124*cfg_TroyOz)/($JA124),""),"")</f>
        <v/>
      </c>
      <c r="JE124" s="55">
        <f>SUMIFS(tblBudget[Waste_t],tblBudget[Month],$E124)</f>
        <v/>
      </c>
      <c r="JF124" s="55">
        <f>$JE124*$C124/$D124</f>
        <v/>
      </c>
      <c r="JG124" s="55">
        <f>SUMIFS(tblBudget[Waste_t],tblBudget[Month],"&lt;"&amp;$E124)+$JF124</f>
        <v/>
      </c>
      <c r="JH124" s="55">
        <f>SUMIFS(tblBudget[TMM_t],tblBudget[Month],$E124)</f>
        <v/>
      </c>
      <c r="JI124" s="55">
        <f>$JH124*$C124/$D124</f>
        <v/>
      </c>
      <c r="JJ124" s="55">
        <f>SUMIFS(tblBudget[TMM_t],tblBudget[Month],"&lt;"&amp;$E124)+$JI124</f>
        <v/>
      </c>
      <c r="JK124" s="56">
        <f>IFERROR(IF(($IS124)&gt;0,($JE124)/($IS124),""),"")</f>
        <v/>
      </c>
      <c r="JL124" s="56">
        <f>IFERROR(IF(($IT124)&gt;0,($JF124)/($IT124),""),"")</f>
        <v/>
      </c>
      <c r="JM124" s="56">
        <f>IFERROR(IF(($IU124)&gt;0,($JG124)/($IU124),""),"")</f>
        <v/>
      </c>
      <c r="JN124" s="55">
        <f>SUMIFS(tblBudget[Drill_m],tblBudget[Month],$E124)</f>
        <v/>
      </c>
      <c r="JO124" s="55">
        <f>$JN124*$C124/$D124</f>
        <v/>
      </c>
      <c r="JP124" s="55">
        <f>SUMIFS(tblBudget[Drill_m],tblBudget[Month],"&lt;"&amp;$E124)+$JO124</f>
        <v/>
      </c>
      <c r="JQ124" s="55">
        <f>SUMIFS(tblBudget[Diesel_L],tblBudget[Month],$E124)</f>
        <v/>
      </c>
      <c r="JR124" s="55">
        <f>$JQ124*$C124/$D124</f>
        <v/>
      </c>
      <c r="JS124" s="55">
        <f>SUMIFS(tblBudget[Diesel_L],tblBudget[Month],"&lt;"&amp;$E124)+$JR124</f>
        <v/>
      </c>
      <c r="JT124" s="55">
        <f>SUMIFS(tblBudget[Milled_t],tblBudget[Month],$E124)</f>
        <v/>
      </c>
      <c r="JU124" s="55">
        <f>$JT124*$C124/$D124</f>
        <v/>
      </c>
      <c r="JV124" s="55">
        <f>SUMIFS(tblBudget[Milled_t],tblBudget[Month],"&lt;"&amp;$E124)+$JU124</f>
        <v/>
      </c>
      <c r="JW124" s="55">
        <f>SUMIFS(tblBudget[Feed_oz],tblBudget[Month],$E124)</f>
        <v/>
      </c>
      <c r="JX124" s="55">
        <f>$JW124*$C124/$D124</f>
        <v/>
      </c>
      <c r="JY124" s="55">
        <f>SUMIFS(tblBudget[Feed_oz],tblBudget[Month],"&lt;"&amp;$E124)+$JX124</f>
        <v/>
      </c>
      <c r="JZ124" s="55">
        <f>SUMIFS(tblBudget[Recovered_oz],tblBudget[Month],$E124)</f>
        <v/>
      </c>
      <c r="KA124" s="55">
        <f>$JZ124*$C124/$D124</f>
        <v/>
      </c>
      <c r="KB124" s="55">
        <f>SUMIFS(tblBudget[Recovered_oz],tblBudget[Month],"&lt;"&amp;$E124)+$KA124</f>
        <v/>
      </c>
      <c r="KC124" s="55">
        <f>SUMIFS(tblBudget[Milled_t],tblBudget[Month],$E124)</f>
        <v/>
      </c>
      <c r="KD124" s="55">
        <f>$KC124*$C124/$D124</f>
        <v/>
      </c>
      <c r="KE124" s="55">
        <f>SUMIFS(tblBudget[Milled_t],tblBudget[Month],"&lt;"&amp;$E124)+$KD124</f>
        <v/>
      </c>
      <c r="KF124" s="55">
        <f>SUMIFS(tblBudget[Feed_oz],tblBudget[Month],$E124)</f>
        <v/>
      </c>
      <c r="KG124" s="55">
        <f>$KF124*$C124/$D124</f>
        <v/>
      </c>
      <c r="KH124" s="55">
        <f>SUMIFS(tblBudget[Feed_oz],tblBudget[Month],"&lt;"&amp;$E124)+$KG124</f>
        <v/>
      </c>
      <c r="KI124" s="56">
        <f>IFERROR(IF(($KC124)&gt;0,($JW124*cfg_TroyOz)/($KC124),""),"")</f>
        <v/>
      </c>
      <c r="KJ124" s="56">
        <f>IFERROR(IF(($KD124)&gt;0,($JX124*cfg_TroyOz)/($KD124),""),"")</f>
        <v/>
      </c>
      <c r="KK124" s="56">
        <f>IFERROR(IF(($KE124)&gt;0,($JY124*cfg_TroyOz)/($KE124),""),"")</f>
        <v/>
      </c>
      <c r="KL124" s="67">
        <f>IFERROR(IF(($KF124)&gt;0,($JZ124)/($KF124),""),"")</f>
        <v/>
      </c>
      <c r="KM124" s="67">
        <f>IFERROR(IF(($KG124)&gt;0,($KA124)/($KG124),""),"")</f>
        <v/>
      </c>
      <c r="KN124" s="67">
        <f>IFERROR(IF(($KH124)&gt;0,($KB124)/($KH124),""),"")</f>
        <v/>
      </c>
      <c r="KO124" s="55">
        <f>SUMIFS(tblBudget[Gold_Poured_oz],tblBudget[Month],$E124)</f>
        <v/>
      </c>
      <c r="KP124" s="55">
        <f>$KO124*$C124/$D124</f>
        <v/>
      </c>
      <c r="KQ124" s="55">
        <f>SUMIFS(tblBudget[Gold_Poured_oz],tblBudget[Month],"&lt;"&amp;$E124)+$KP124</f>
        <v/>
      </c>
      <c r="KR124" s="57">
        <f>SUMIFS(tblBudget[Hours_Worked],tblBudget[Month],$E124)</f>
        <v/>
      </c>
      <c r="KS124" s="57">
        <f>$KR124*$C124/$D124</f>
        <v/>
      </c>
      <c r="KT124" s="57">
        <f>SUMIFS(tblBudget[Hours_Worked],tblBudget[Month],"&lt;"&amp;$E124)+$KS124</f>
        <v/>
      </c>
    </row>
    <row r="125">
      <c r="A125" s="54" t="n">
        <v>46146</v>
      </c>
      <c r="B125">
        <f>MONTH($A125)</f>
        <v/>
      </c>
      <c r="C125">
        <f>DAY($A125)</f>
        <v/>
      </c>
      <c r="D125">
        <f>DAY(EOMONTH($A125,0))</f>
        <v/>
      </c>
      <c r="E125" s="54">
        <f>DATE(YEAR($A125),MONTH($A125),1)</f>
        <v/>
      </c>
      <c r="F125" s="55">
        <f>SUMIFS(tblMovement[Tonnes_t],tblMovement[Date],$A125,tblMovement[Is_Ore],1,tblMovement[Source_Type],"Pit")</f>
        <v/>
      </c>
      <c r="G125" s="55">
        <f>IF($B125=$B124,$G124,0)+$F125</f>
        <v/>
      </c>
      <c r="H125" s="55">
        <f>$H124+$F125</f>
        <v/>
      </c>
      <c r="I125" s="55">
        <f>SUMIFS(tblMovement[Ore_oz],tblMovement[Date],$A125,tblMovement[Source_Type],"Pit")</f>
        <v/>
      </c>
      <c r="J125" s="55">
        <f>IF($B125=$B124,$J124,0)+$I125</f>
        <v/>
      </c>
      <c r="K125" s="55">
        <f>$K124+$I125</f>
        <v/>
      </c>
      <c r="L125" s="55">
        <f>SUMIFS(tblMovement[Tonnes_t],tblMovement[Date],$A125,tblMovement[Is_Ore],1,tblMovement[Source_Type],"Pit",tblMovement[Grade_gpt],"&lt;&gt;")</f>
        <v/>
      </c>
      <c r="M125" s="55">
        <f>IF($B125=$B124,$M124,0)+$L125</f>
        <v/>
      </c>
      <c r="N125" s="55">
        <f>$N124+$L125</f>
        <v/>
      </c>
      <c r="O125" s="56">
        <f>IFERROR(IF(($L125)&gt;0,($I125*cfg_TroyOz)/($L125),""),"")</f>
        <v/>
      </c>
      <c r="P125" s="56">
        <f>IFERROR(IF(($M125)&gt;0,($J125*cfg_TroyOz)/($M125),""),"")</f>
        <v/>
      </c>
      <c r="Q125" s="56">
        <f>IFERROR(IF(($N125)&gt;0,($K125*cfg_TroyOz)/($N125),""),"")</f>
        <v/>
      </c>
      <c r="R125" s="55">
        <f>$F125-$L125</f>
        <v/>
      </c>
      <c r="S125" s="55">
        <f>IF($B125=$B124,$S124,0)+$R125</f>
        <v/>
      </c>
      <c r="T125" s="55">
        <f>$T124+$R125</f>
        <v/>
      </c>
      <c r="U125" s="55">
        <f>SUMIFS(tblMovement[Tonnes_t],tblMovement[Date],$A125,tblMovement[Is_Ore],0,tblMovement[Source_Type],"Pit")</f>
        <v/>
      </c>
      <c r="V125" s="55">
        <f>IF($B125=$B124,$V124,0)+$U125</f>
        <v/>
      </c>
      <c r="W125" s="55">
        <f>$W124+$U125</f>
        <v/>
      </c>
      <c r="X125" s="55">
        <f>$F125+$U125</f>
        <v/>
      </c>
      <c r="Y125" s="55">
        <f>IF($B125=$B124,$Y124,0)+$X125</f>
        <v/>
      </c>
      <c r="Z125" s="55">
        <f>$Z124+$X125</f>
        <v/>
      </c>
      <c r="AA125" s="56">
        <f>IFERROR(IF(($F125)&gt;0,($U125)/($F125),""),"")</f>
        <v/>
      </c>
      <c r="AB125" s="56">
        <f>IFERROR(IF(($G125)&gt;0,($V125)/($G125),""),"")</f>
        <v/>
      </c>
      <c r="AC125" s="56">
        <f>IFERROR(IF(($H125)&gt;0,($W125)/($H125),""),"")</f>
        <v/>
      </c>
      <c r="AD125" s="55">
        <f>SUMIFS(tblMovement[Tonnes_t],tblMovement[Date],$A125,tblMovement[Source_Type],"Stockpile")</f>
        <v/>
      </c>
      <c r="AE125" s="55">
        <f>IF($B125=$B124,$AE124,0)+$AD125</f>
        <v/>
      </c>
      <c r="AF125" s="55">
        <f>$AF124+$AD125</f>
        <v/>
      </c>
      <c r="AG125" s="55">
        <f>SUMIFS(tblMovement[Tonnes_t],tblMovement[Date],$A125)</f>
        <v/>
      </c>
      <c r="AH125" s="55">
        <f>IF($B125=$B124,$AH124,0)+$AG125</f>
        <v/>
      </c>
      <c r="AI125" s="55">
        <f>$AI124+$AG125</f>
        <v/>
      </c>
      <c r="AJ125" s="55">
        <f>$AG125-$X125-$AD125</f>
        <v/>
      </c>
      <c r="AK125" s="55">
        <f>IF($B125=$B124,$AK124,0)+$AJ125</f>
        <v/>
      </c>
      <c r="AL125" s="55">
        <f>$AL124+$AJ125</f>
        <v/>
      </c>
      <c r="AM125" s="55">
        <f>SUMIFS(tblMiningDaily[Drill_m],tblMiningDaily[Date],$A125)</f>
        <v/>
      </c>
      <c r="AN125" s="55">
        <f>IF($B125=$B124,$AN124,0)+$AM125</f>
        <v/>
      </c>
      <c r="AO125" s="55">
        <f>$AO124+$AM125</f>
        <v/>
      </c>
      <c r="AP125" s="55">
        <f>SUMIFS(tblMiningDaily[GC_Drill_m],tblMiningDaily[Date],$A125)</f>
        <v/>
      </c>
      <c r="AQ125" s="55">
        <f>IF($B125=$B124,$AQ124,0)+$AP125</f>
        <v/>
      </c>
      <c r="AR125" s="55">
        <f>$AR124+$AP125</f>
        <v/>
      </c>
      <c r="AS125" s="55">
        <f>SUMIFS(tblMiningDaily[Blast_t],tblMiningDaily[Date],$A125)</f>
        <v/>
      </c>
      <c r="AT125" s="55">
        <f>IF($B125=$B124,$AT124,0)+$AS125</f>
        <v/>
      </c>
      <c r="AU125" s="55">
        <f>$AU124+$AS125</f>
        <v/>
      </c>
      <c r="AV125" s="55">
        <f>SUMIFS(tblMiningDaily[Explosives_kg],tblMiningDaily[Date],$A125)</f>
        <v/>
      </c>
      <c r="AW125" s="55">
        <f>IF($B125=$B124,$AW124,0)+$AV125</f>
        <v/>
      </c>
      <c r="AX125" s="55">
        <f>$AX124+$AV125</f>
        <v/>
      </c>
      <c r="AY125" s="56">
        <f>IFERROR(IF(($AS125)&gt;0,($AV125)/($AS125),""),"")</f>
        <v/>
      </c>
      <c r="AZ125" s="56">
        <f>IFERROR(IF(($AT125)&gt;0,($AW125)/($AT125),""),"")</f>
        <v/>
      </c>
      <c r="BA125" s="56">
        <f>IFERROR(IF(($AU125)&gt;0,($AX125)/($AU125),""),"")</f>
        <v/>
      </c>
      <c r="BB125" s="55">
        <f>SUMIFS(tblMiningDaily[Diesel_L],tblMiningDaily[Date],$A125)</f>
        <v/>
      </c>
      <c r="BC125" s="55">
        <f>IF($B125=$B124,$BC124,0)+$BB125</f>
        <v/>
      </c>
      <c r="BD125" s="55">
        <f>$BD124+$BB125</f>
        <v/>
      </c>
      <c r="BE125" s="55">
        <f>SUMIFS(tblMiningDaily[Dewatering_m3],tblMiningDaily[Date],$A125)</f>
        <v/>
      </c>
      <c r="BF125" s="55">
        <f>IF($B125=$B124,$BF124,0)+$BE125</f>
        <v/>
      </c>
      <c r="BG125" s="55">
        <f>$BG124+$BE125</f>
        <v/>
      </c>
      <c r="BH125" s="57">
        <f>SUMIFS(tblFleet[Calendar_h],tblFleet[Date],$A125,tblFleet[Equipment_Class],"Excavator")</f>
        <v/>
      </c>
      <c r="BI125" s="57">
        <f>IF($B125=$B124,$BI124,0)+$BH125</f>
        <v/>
      </c>
      <c r="BJ125" s="57">
        <f>$BJ124+$BH125</f>
        <v/>
      </c>
      <c r="BK125" s="57">
        <f>SUMIFS(tblFleet[Available_h],tblFleet[Date],$A125,tblFleet[Equipment_Class],"Excavator")</f>
        <v/>
      </c>
      <c r="BL125" s="57">
        <f>IF($B125=$B124,$BL124,0)+$BK125</f>
        <v/>
      </c>
      <c r="BM125" s="57">
        <f>$BM124+$BK125</f>
        <v/>
      </c>
      <c r="BN125" s="57">
        <f>SUMIFS(tblFleet[Operating_h],tblFleet[Date],$A125,tblFleet[Equipment_Class],"Excavator")</f>
        <v/>
      </c>
      <c r="BO125" s="57">
        <f>IF($B125=$B124,$BO124,0)+$BN125</f>
        <v/>
      </c>
      <c r="BP125" s="57">
        <f>$BP124+$BN125</f>
        <v/>
      </c>
      <c r="BQ125" s="67">
        <f>IFERROR(IF(($BH125)&gt;0,($BK125)/($BH125),""),"")</f>
        <v/>
      </c>
      <c r="BR125" s="67">
        <f>IFERROR(IF(($BI125)&gt;0,($BL125)/($BI125),""),"")</f>
        <v/>
      </c>
      <c r="BS125" s="67">
        <f>IFERROR(IF(($BJ125)&gt;0,($BM125)/($BJ125),""),"")</f>
        <v/>
      </c>
      <c r="BT125" s="67">
        <f>IFERROR(IF(($BK125)&gt;0,($BN125)/($BK125),""),"")</f>
        <v/>
      </c>
      <c r="BU125" s="67">
        <f>IFERROR(IF(($BL125)&gt;0,($BO125)/($BL125),""),"")</f>
        <v/>
      </c>
      <c r="BV125" s="67">
        <f>IFERROR(IF(($BM125)&gt;0,($BP125)/($BM125),""),"")</f>
        <v/>
      </c>
      <c r="BW125" s="57">
        <f>SUMIFS(tblFleet[Calendar_h],tblFleet[Date],$A125,tblFleet[Equipment_Class],"Haul Truck")</f>
        <v/>
      </c>
      <c r="BX125" s="57">
        <f>IF($B125=$B124,$BX124,0)+$BW125</f>
        <v/>
      </c>
      <c r="BY125" s="57">
        <f>$BY124+$BW125</f>
        <v/>
      </c>
      <c r="BZ125" s="57">
        <f>SUMIFS(tblFleet[Available_h],tblFleet[Date],$A125,tblFleet[Equipment_Class],"Haul Truck")</f>
        <v/>
      </c>
      <c r="CA125" s="57">
        <f>IF($B125=$B124,$CA124,0)+$BZ125</f>
        <v/>
      </c>
      <c r="CB125" s="57">
        <f>$CB124+$BZ125</f>
        <v/>
      </c>
      <c r="CC125" s="57">
        <f>SUMIFS(tblFleet[Operating_h],tblFleet[Date],$A125,tblFleet[Equipment_Class],"Haul Truck")</f>
        <v/>
      </c>
      <c r="CD125" s="57">
        <f>IF($B125=$B124,$CD124,0)+$CC125</f>
        <v/>
      </c>
      <c r="CE125" s="57">
        <f>$CE124+$CC125</f>
        <v/>
      </c>
      <c r="CF125" s="67">
        <f>IFERROR(IF(($BW125)&gt;0,($BZ125)/($BW125),""),"")</f>
        <v/>
      </c>
      <c r="CG125" s="67">
        <f>IFERROR(IF(($BX125)&gt;0,($CA125)/($BX125),""),"")</f>
        <v/>
      </c>
      <c r="CH125" s="67">
        <f>IFERROR(IF(($BY125)&gt;0,($CB125)/($BY125),""),"")</f>
        <v/>
      </c>
      <c r="CI125" s="67">
        <f>IFERROR(IF(($BZ125)&gt;0,($CC125)/($BZ125),""),"")</f>
        <v/>
      </c>
      <c r="CJ125" s="67">
        <f>IFERROR(IF(($CA125)&gt;0,($CD125)/($CA125),""),"")</f>
        <v/>
      </c>
      <c r="CK125" s="67">
        <f>IFERROR(IF(($CB125)&gt;0,($CE125)/($CB125),""),"")</f>
        <v/>
      </c>
      <c r="CL125" s="55">
        <f>IFERROR(IF(($BN125)&gt;0,($X125+$AD125)/($BN125),""),"")</f>
        <v/>
      </c>
      <c r="CM125" s="55">
        <f>IFERROR(IF(($BO125)&gt;0,($Y125+$AE125)/($BO125),""),"")</f>
        <v/>
      </c>
      <c r="CN125" s="55">
        <f>IFERROR(IF(($BP125)&gt;0,($Z125+$AF125)/($BP125),""),"")</f>
        <v/>
      </c>
      <c r="CO125" s="55">
        <f>IFERROR(IF(($CC125)&gt;0,($X125+$AD125)/($CC125),""),"")</f>
        <v/>
      </c>
      <c r="CP125" s="55">
        <f>IFERROR(IF(($CD125)&gt;0,($Y125+$AE125)/($CD125),""),"")</f>
        <v/>
      </c>
      <c r="CQ125" s="55">
        <f>IFERROR(IF(($CE125)&gt;0,($Z125+$AF125)/($CE125),""),"")</f>
        <v/>
      </c>
      <c r="CR125" s="55">
        <f>SUMIFS(tblPlant[Crushed_t],tblPlant[Date],$A125)</f>
        <v/>
      </c>
      <c r="CS125" s="55">
        <f>IF($B125=$B124,$CS124,0)+$CR125</f>
        <v/>
      </c>
      <c r="CT125" s="55">
        <f>$CT124+$CR125</f>
        <v/>
      </c>
      <c r="CU125" s="55">
        <f>SUMIFS(tblPlant[Milled_t],tblPlant[Date],$A125)</f>
        <v/>
      </c>
      <c r="CV125" s="55">
        <f>IF($B125=$B124,$CV124,0)+$CU125</f>
        <v/>
      </c>
      <c r="CW125" s="55">
        <f>$CW124+$CU125</f>
        <v/>
      </c>
      <c r="CX125" s="55">
        <f>SUMIFS(tblPlant[Feed_oz],tblPlant[Date],$A125)</f>
        <v/>
      </c>
      <c r="CY125" s="55">
        <f>IF($B125=$B124,$CY124,0)+$CX125</f>
        <v/>
      </c>
      <c r="CZ125" s="55">
        <f>$CZ124+$CX125</f>
        <v/>
      </c>
      <c r="DA125" s="55">
        <f>SUMIFS(tblPlant[Tails_oz],tblPlant[Date],$A125)</f>
        <v/>
      </c>
      <c r="DB125" s="55">
        <f>IF($B125=$B124,$DB124,0)+$DA125</f>
        <v/>
      </c>
      <c r="DC125" s="55">
        <f>$DC124+$DA125</f>
        <v/>
      </c>
      <c r="DD125" s="55">
        <f>SUMIFS(tblPlant[Recovered_oz],tblPlant[Date],$A125)</f>
        <v/>
      </c>
      <c r="DE125" s="55">
        <f>IF($B125=$B124,$DE124,0)+$DD125</f>
        <v/>
      </c>
      <c r="DF125" s="55">
        <f>$DF124+$DD125</f>
        <v/>
      </c>
      <c r="DG125" s="55">
        <f>SUMIFS(tblPlant[Milled_t],tblPlant[Date],$A125,tblPlant[Head_Grade_gpt],"&lt;&gt;")</f>
        <v/>
      </c>
      <c r="DH125" s="55">
        <f>IF($B125=$B124,$DH124,0)+$DG125</f>
        <v/>
      </c>
      <c r="DI125" s="55">
        <f>$DI124+$DG125</f>
        <v/>
      </c>
      <c r="DJ125" s="55">
        <f>SUMIFS(tblPlant[Milled_t],tblPlant[Date],$A125,tblPlant[Tails_Grade_gpt],"&lt;&gt;")</f>
        <v/>
      </c>
      <c r="DK125" s="55">
        <f>IF($B125=$B124,$DK124,0)+$DJ125</f>
        <v/>
      </c>
      <c r="DL125" s="55">
        <f>$DL124+$DJ125</f>
        <v/>
      </c>
      <c r="DM125" s="55">
        <f>SUMIFS(tblPlant[Feed_oz],tblPlant[Date],$A125,tblPlant[Tails_Grade_gpt],"&lt;&gt;")</f>
        <v/>
      </c>
      <c r="DN125" s="55">
        <f>IF($B125=$B124,$DN124,0)+$DM125</f>
        <v/>
      </c>
      <c r="DO125" s="55">
        <f>$DO124+$DM125</f>
        <v/>
      </c>
      <c r="DP125" s="55">
        <f>SUMIFS(tblPlant[Milled_t],tblPlant[Date],$A125,tblPlant[Mill_Run_h],"&lt;&gt;")</f>
        <v/>
      </c>
      <c r="DQ125" s="55">
        <f>IF($B125=$B124,$DQ124,0)+$DP125</f>
        <v/>
      </c>
      <c r="DR125" s="55">
        <f>$DR124+$DP125</f>
        <v/>
      </c>
      <c r="DS125" s="56">
        <f>IFERROR(IF(($DG125)&gt;0,($CX125*cfg_TroyOz)/($DG125),""),"")</f>
        <v/>
      </c>
      <c r="DT125" s="56">
        <f>IFERROR(IF(($DH125)&gt;0,($CY125*cfg_TroyOz)/($DH125),""),"")</f>
        <v/>
      </c>
      <c r="DU125" s="56">
        <f>IFERROR(IF(($DI125)&gt;0,($CZ125*cfg_TroyOz)/($DI125),""),"")</f>
        <v/>
      </c>
      <c r="DV125" s="56">
        <f>IFERROR(IF(($DJ125)&gt;0,($DA125*cfg_TroyOz)/($DJ125),""),"")</f>
        <v/>
      </c>
      <c r="DW125" s="56">
        <f>IFERROR(IF(($DK125)&gt;0,($DB125*cfg_TroyOz)/($DK125),""),"")</f>
        <v/>
      </c>
      <c r="DX125" s="56">
        <f>IFERROR(IF(($DL125)&gt;0,($DC125*cfg_TroyOz)/($DL125),""),"")</f>
        <v/>
      </c>
      <c r="DY125" s="67">
        <f>IFERROR(IF(($DM125)&gt;0,($DD125)/($DM125),""),"")</f>
        <v/>
      </c>
      <c r="DZ125" s="67">
        <f>IFERROR(IF(($DN125)&gt;0,($DE125)/($DN125),""),"")</f>
        <v/>
      </c>
      <c r="EA125" s="67">
        <f>IFERROR(IF(($DO125)&gt;0,($DF125)/($DO125),""),"")</f>
        <v/>
      </c>
      <c r="EB125" s="55">
        <f>SUMIFS(tblPlant[Gravity_Gold_oz],tblPlant[Date],$A125)</f>
        <v/>
      </c>
      <c r="EC125" s="55">
        <f>IF($B125=$B124,$EC124,0)+$EB125</f>
        <v/>
      </c>
      <c r="ED125" s="55">
        <f>$ED124+$EB125</f>
        <v/>
      </c>
      <c r="EE125" s="67">
        <f>IFERROR(IF(($DD125)&gt;0,($EB125)/($DD125),""),"")</f>
        <v/>
      </c>
      <c r="EF125" s="67">
        <f>IFERROR(IF(($DE125)&gt;0,($EC125)/($DE125),""),"")</f>
        <v/>
      </c>
      <c r="EG125" s="67">
        <f>IFERROR(IF(($DF125)&gt;0,($ED125)/($DF125),""),"")</f>
        <v/>
      </c>
      <c r="EH125" s="55">
        <f>SUMIFS(tblPlant[Gold_Poured_oz],tblPlant[Date],$A125)</f>
        <v/>
      </c>
      <c r="EI125" s="55">
        <f>IF($B125=$B124,$EI124,0)+$EH125</f>
        <v/>
      </c>
      <c r="EJ125" s="55">
        <f>$EJ124+$EH125</f>
        <v/>
      </c>
      <c r="EK125" s="57">
        <f>SUMIFS(tblPlant[Mill_Run_h],tblPlant[Date],$A125)</f>
        <v/>
      </c>
      <c r="EL125" s="57">
        <f>IF($B125=$B124,$EL124,0)+$EK125</f>
        <v/>
      </c>
      <c r="EM125" s="57">
        <f>$EM124+$EK125</f>
        <v/>
      </c>
      <c r="EN125" s="57">
        <f>SUMIFS(tblPlant[Mill_Planned_Maint_h],tblPlant[Date],$A125)</f>
        <v/>
      </c>
      <c r="EO125" s="57">
        <f>IF($B125=$B124,$EO124,0)+$EN125</f>
        <v/>
      </c>
      <c r="EP125" s="57">
        <f>$EP124+$EN125</f>
        <v/>
      </c>
      <c r="EQ125" s="57">
        <f>SUMIFS(tblPlant[Mill_Unplanned_Down_h],tblPlant[Date],$A125)</f>
        <v/>
      </c>
      <c r="ER125" s="57">
        <f>IF($B125=$B124,$ER124,0)+$EQ125</f>
        <v/>
      </c>
      <c r="ES125" s="57">
        <f>$ES124+$EQ125</f>
        <v/>
      </c>
      <c r="ET125" s="57">
        <f>IF(COUNTIFS(tblPlant[Date],$A125,tblPlant[Mill_Run_h],"&lt;&gt;")+COUNTIFS(tblPlant[Date],$A125,tblPlant[Mill_Planned_Maint_h],"&lt;&gt;")+COUNTIFS(tblPlant[Date],$A125,tblPlant[Mill_Unplanned_Down_h],"&lt;&gt;")&gt;0,cfg_HoursPerDay,0)</f>
        <v/>
      </c>
      <c r="EU125" s="57">
        <f>IF($B125=$B124,$EU124,0)+$ET125</f>
        <v/>
      </c>
      <c r="EV125" s="57">
        <f>$EV124+$ET125</f>
        <v/>
      </c>
      <c r="EW125" s="57">
        <f>SUMIFS(tblPlant[Crusher_Run_h],tblPlant[Date],$A125)</f>
        <v/>
      </c>
      <c r="EX125" s="57">
        <f>IF($B125=$B124,$EX124,0)+$EW125</f>
        <v/>
      </c>
      <c r="EY125" s="57">
        <f>$EY124+$EW125</f>
        <v/>
      </c>
      <c r="EZ125" s="55">
        <f>IFERROR(IF(($EK125)&gt;0,($DP125)/($EK125),""),"")</f>
        <v/>
      </c>
      <c r="FA125" s="55">
        <f>IFERROR(IF(($EL125)&gt;0,($DQ125)/($EL125),""),"")</f>
        <v/>
      </c>
      <c r="FB125" s="55">
        <f>IFERROR(IF(($EM125)&gt;0,($DR125)/($EM125),""),"")</f>
        <v/>
      </c>
      <c r="FC125" s="67">
        <f>IFERROR(IF(($ET125)&gt;0,($ET125-$EN125-$EQ125)/($ET125),""),"")</f>
        <v/>
      </c>
      <c r="FD125" s="67">
        <f>IFERROR(IF(($EU125)&gt;0,($EU125-$EO125-$ER125)/($EU125),""),"")</f>
        <v/>
      </c>
      <c r="FE125" s="67">
        <f>IFERROR(IF(($EV125)&gt;0,($EV125-$EP125-$ES125)/($EV125),""),"")</f>
        <v/>
      </c>
      <c r="FF125" s="67">
        <f>IFERROR(IF(($ET125-$EN125-$EQ125)&gt;0,($EK125)/($ET125-$EN125-$EQ125),""),"")</f>
        <v/>
      </c>
      <c r="FG125" s="67">
        <f>IFERROR(IF(($EU125-$EO125-$ER125)&gt;0,($EL125)/($EU125-$EO125-$ER125),""),"")</f>
        <v/>
      </c>
      <c r="FH125" s="67">
        <f>IFERROR(IF(($EV125-$EP125-$ES125)&gt;0,($EM125)/($EV125-$EP125-$ES125),""),"")</f>
        <v/>
      </c>
      <c r="FI125" s="55">
        <f>SUMIFS(tblPlant[Cyanide_kg],tblPlant[Date],$A125)</f>
        <v/>
      </c>
      <c r="FJ125" s="55">
        <f>IF($B125=$B124,$FJ124,0)+$FI125</f>
        <v/>
      </c>
      <c r="FK125" s="55">
        <f>$FK124+$FI125</f>
        <v/>
      </c>
      <c r="FL125" s="55">
        <f>SUMIFS(tblPlant[Lime_kg],tblPlant[Date],$A125)</f>
        <v/>
      </c>
      <c r="FM125" s="55">
        <f>IF($B125=$B124,$FM124,0)+$FL125</f>
        <v/>
      </c>
      <c r="FN125" s="55">
        <f>$FN124+$FL125</f>
        <v/>
      </c>
      <c r="FO125" s="55">
        <f>SUMIFS(tblPlant[Grinding_Media_kg],tblPlant[Date],$A125)</f>
        <v/>
      </c>
      <c r="FP125" s="55">
        <f>IF($B125=$B124,$FP124,0)+$FO125</f>
        <v/>
      </c>
      <c r="FQ125" s="55">
        <f>$FQ124+$FO125</f>
        <v/>
      </c>
      <c r="FR125" s="55">
        <f>SUMIFS(tblPlant[Power_kWh],tblPlant[Date],$A125)</f>
        <v/>
      </c>
      <c r="FS125" s="55">
        <f>IF($B125=$B124,$FS124,0)+$FR125</f>
        <v/>
      </c>
      <c r="FT125" s="55">
        <f>$FT124+$FR125</f>
        <v/>
      </c>
      <c r="FU125" s="55">
        <f>SUMIFS(tblPlant[Raw_Water_m3],tblPlant[Date],$A125)</f>
        <v/>
      </c>
      <c r="FV125" s="55">
        <f>IF($B125=$B124,$FV124,0)+$FU125</f>
        <v/>
      </c>
      <c r="FW125" s="55">
        <f>$FW124+$FU125</f>
        <v/>
      </c>
      <c r="FX125" s="56">
        <f>IFERROR(IF(($CU125)&gt;0,($FI125)/($CU125),""),"")</f>
        <v/>
      </c>
      <c r="FY125" s="56">
        <f>IFERROR(IF(($CV125)&gt;0,($FJ125)/($CV125),""),"")</f>
        <v/>
      </c>
      <c r="FZ125" s="56">
        <f>IFERROR(IF(($CW125)&gt;0,($FK125)/($CW125),""),"")</f>
        <v/>
      </c>
      <c r="GA125" s="56">
        <f>IFERROR(IF(($CU125)&gt;0,($FL125)/($CU125),""),"")</f>
        <v/>
      </c>
      <c r="GB125" s="56">
        <f>IFERROR(IF(($CV125)&gt;0,($FM125)/($CV125),""),"")</f>
        <v/>
      </c>
      <c r="GC125" s="56">
        <f>IFERROR(IF(($CW125)&gt;0,($FN125)/($CW125),""),"")</f>
        <v/>
      </c>
      <c r="GD125" s="56">
        <f>IFERROR(IF(($CU125)&gt;0,($FO125)/($CU125),""),"")</f>
        <v/>
      </c>
      <c r="GE125" s="56">
        <f>IFERROR(IF(($CV125)&gt;0,($FP125)/($CV125),""),"")</f>
        <v/>
      </c>
      <c r="GF125" s="56">
        <f>IFERROR(IF(($CW125)&gt;0,($FQ125)/($CW125),""),"")</f>
        <v/>
      </c>
      <c r="GG125" s="79">
        <f>IFERROR(IF(($CU125)&gt;0,($FR125)/($CU125),""),"")</f>
        <v/>
      </c>
      <c r="GH125" s="79">
        <f>IFERROR(IF(($CV125)&gt;0,($FS125)/($CV125),""),"")</f>
        <v/>
      </c>
      <c r="GI125" s="79">
        <f>IFERROR(IF(($CW125)&gt;0,($FT125)/($CW125),""),"")</f>
        <v/>
      </c>
      <c r="GJ125" s="56">
        <f>IFERROR(IF(($CU125)&gt;0,($FU125)/($CU125),""),"")</f>
        <v/>
      </c>
      <c r="GK125" s="56">
        <f>IFERROR(IF(($CV125)&gt;0,($FV125)/($CV125),""),"")</f>
        <v/>
      </c>
      <c r="GL125" s="56">
        <f>IFERROR(IF(($CW125)&gt;0,($FW125)/($CW125),""),"")</f>
        <v/>
      </c>
      <c r="GM125" s="55">
        <f>IF(SUMIFS(tblPlant[GIC_oz],tblPlant[Date],$A125)&gt;0,SUMIFS(tblPlant[GIC_oz],tblPlant[Date],$A125),"")</f>
        <v/>
      </c>
      <c r="GN125" s="55">
        <f>SUMIFS(tblGold[Gold_oz],tblGold[Date],$A125,tblGold[Type],"Shipment")</f>
        <v/>
      </c>
      <c r="GO125" s="55">
        <f>IF($B125=$B124,$GO124,0)+$GN125</f>
        <v/>
      </c>
      <c r="GP125" s="55">
        <f>$GP124+$GN125</f>
        <v/>
      </c>
      <c r="GQ125" s="55">
        <f>SUMIFS(tblGold[Gold_oz],tblGold[Date],$A125,tblGold[Type],"Sale")</f>
        <v/>
      </c>
      <c r="GR125" s="55">
        <f>IF($B125=$B124,$GR124,0)+$GQ125</f>
        <v/>
      </c>
      <c r="GS125" s="55">
        <f>$GS124+$GQ125</f>
        <v/>
      </c>
      <c r="GT125" s="55">
        <f>SUMIFS(tblGold[Dore_kg],tblGold[Date],$A125,tblGold[Type],"Shipment")</f>
        <v/>
      </c>
      <c r="GU125" s="55">
        <f>IF($B125=$B124,$GU124,0)+$GT125</f>
        <v/>
      </c>
      <c r="GV125" s="55">
        <f>$GV124+$GT125</f>
        <v/>
      </c>
      <c r="GW125" s="57">
        <f>SUMIFS(tblSafety[Hours_Total],tblSafety[Date],$A125)</f>
        <v/>
      </c>
      <c r="GX125" s="57">
        <f>IF($B125=$B124,$GX124,0)+$GW125</f>
        <v/>
      </c>
      <c r="GY125" s="57">
        <f>$GY124+$GW125</f>
        <v/>
      </c>
      <c r="GZ125" s="62">
        <f>SUMIFS(tblSafety[Fatality],tblSafety[Date],$A125)</f>
        <v/>
      </c>
      <c r="HA125" s="62">
        <f>IF($B125=$B124,$HA124,0)+$GZ125</f>
        <v/>
      </c>
      <c r="HB125" s="62">
        <f>$HB124+$GZ125</f>
        <v/>
      </c>
      <c r="HC125" s="62">
        <f>SUMIFS(tblSafety[LTI],tblSafety[Date],$A125)</f>
        <v/>
      </c>
      <c r="HD125" s="62">
        <f>IF($B125=$B124,$HD124,0)+$HC125</f>
        <v/>
      </c>
      <c r="HE125" s="62">
        <f>$HE124+$HC125</f>
        <v/>
      </c>
      <c r="HF125" s="62">
        <f>SUMIFS(tblSafety[RWI],tblSafety[Date],$A125)</f>
        <v/>
      </c>
      <c r="HG125" s="62">
        <f>IF($B125=$B124,$HG124,0)+$HF125</f>
        <v/>
      </c>
      <c r="HH125" s="62">
        <f>$HH124+$HF125</f>
        <v/>
      </c>
      <c r="HI125" s="62">
        <f>SUMIFS(tblSafety[MTI],tblSafety[Date],$A125)</f>
        <v/>
      </c>
      <c r="HJ125" s="62">
        <f>IF($B125=$B124,$HJ124,0)+$HI125</f>
        <v/>
      </c>
      <c r="HK125" s="62">
        <f>$HK124+$HI125</f>
        <v/>
      </c>
      <c r="HL125" s="62">
        <f>SUMIFS(tblSafety[FAI],tblSafety[Date],$A125)</f>
        <v/>
      </c>
      <c r="HM125" s="62">
        <f>IF($B125=$B124,$HM124,0)+$HL125</f>
        <v/>
      </c>
      <c r="HN125" s="62">
        <f>$HN124+$HL125</f>
        <v/>
      </c>
      <c r="HO125" s="62">
        <f>SUMIFS(tblSafety[Recordables],tblSafety[Date],$A125)</f>
        <v/>
      </c>
      <c r="HP125" s="62">
        <f>IF($B125=$B124,$HP124,0)+$HO125</f>
        <v/>
      </c>
      <c r="HQ125" s="62">
        <f>$HQ124+$HO125</f>
        <v/>
      </c>
      <c r="HR125" s="62">
        <f>SUMIFS(tblSafety[Near_Miss],tblSafety[Date],$A125)</f>
        <v/>
      </c>
      <c r="HS125" s="62">
        <f>IF($B125=$B124,$HS124,0)+$HR125</f>
        <v/>
      </c>
      <c r="HT125" s="62">
        <f>$HT124+$HR125</f>
        <v/>
      </c>
      <c r="HU125" s="62">
        <f>SUMIFS(tblSafety[Hazard_Reports],tblSafety[Date],$A125)</f>
        <v/>
      </c>
      <c r="HV125" s="62">
        <f>IF($B125=$B124,$HV124,0)+$HU125</f>
        <v/>
      </c>
      <c r="HW125" s="62">
        <f>$HW124+$HU125</f>
        <v/>
      </c>
      <c r="HX125" s="62">
        <f>SUMIFS(tblSafety[HPI],tblSafety[Date],$A125)</f>
        <v/>
      </c>
      <c r="HY125" s="62">
        <f>IF($B125=$B124,$HY124,0)+$HX125</f>
        <v/>
      </c>
      <c r="HZ125" s="62">
        <f>$HZ124+$HX125</f>
        <v/>
      </c>
      <c r="IA125" s="62">
        <f>SUMIFS(tblSafety[Env_Incidents],tblSafety[Date],$A125)</f>
        <v/>
      </c>
      <c r="IB125" s="62">
        <f>IF($B125=$B124,$IB124,0)+$IA125</f>
        <v/>
      </c>
      <c r="IC125" s="62">
        <f>$IC124+$IA125</f>
        <v/>
      </c>
      <c r="ID125" s="62">
        <f>SUMIFS(tblSafety[Community_Incidents],tblSafety[Date],$A125)</f>
        <v/>
      </c>
      <c r="IE125" s="62">
        <f>IF($B125=$B124,$IE124,0)+$ID125</f>
        <v/>
      </c>
      <c r="IF125" s="62">
        <f>$IF124+$ID125</f>
        <v/>
      </c>
      <c r="IG125" s="62">
        <f>SUMIFS(tblSafety[Vehicle_Incidents],tblSafety[Date],$A125)</f>
        <v/>
      </c>
      <c r="IH125" s="62">
        <f>IF($B125=$B124,$IH124,0)+$IG125</f>
        <v/>
      </c>
      <c r="II125" s="62">
        <f>$II124+$IG125</f>
        <v/>
      </c>
      <c r="IJ125" s="62">
        <f>SUMIFS(tblSafety[Toolbox_Talks],tblSafety[Date],$A125)</f>
        <v/>
      </c>
      <c r="IK125" s="62">
        <f>IF($B125=$B124,$IK124,0)+$IJ125</f>
        <v/>
      </c>
      <c r="IL125" s="62">
        <f>$IL124+$IJ125</f>
        <v/>
      </c>
      <c r="IM125" s="62">
        <f>SUMIFS(tblSafety[Inspections],tblSafety[Date],$A125)</f>
        <v/>
      </c>
      <c r="IN125" s="62">
        <f>IF($B125=$B124,$IN124,0)+$IM125</f>
        <v/>
      </c>
      <c r="IO125" s="62">
        <f>$IO124+$IM125</f>
        <v/>
      </c>
      <c r="IP125" s="56">
        <f>IFERROR((SUMIFS(tblSafety[Recordables],tblSafety[Date],"&gt;="&amp;EDATE($E125,-12),tblSafety[Date],"&lt;="&amp;$A125)+SUMIFS(tblSafetyHistory[Recordables],tblSafetyHistory[Month],"&gt;="&amp;EDATE($E125,-12),tblSafetyHistory[Month],"&lt;"&amp;$E125,tblSafetyHistory[Use],1))/(SUMIFS(tblSafety[Hours_Total],tblSafety[Date],"&gt;="&amp;EDATE($E125,-12),tblSafety[Date],"&lt;="&amp;$A125)+SUMIFS(tblSafetyHistory[Hours_Total],tblSafetyHistory[Month],"&gt;="&amp;EDATE($E125,-12),tblSafetyHistory[Month],"&lt;"&amp;$E125,tblSafetyHistory[Use],1))*cfg_RateBasisHours,"")</f>
        <v/>
      </c>
      <c r="IQ125" s="56">
        <f>IFERROR((SUMIFS(tblSafety[LTI],tblSafety[Date],"&gt;="&amp;EDATE($E125,-12),tblSafety[Date],"&lt;="&amp;$A125)+SUMIFS(tblSafetyHistory[LTI],tblSafetyHistory[Month],"&gt;="&amp;EDATE($E125,-12),tblSafetyHistory[Month],"&lt;"&amp;$E125,tblSafetyHistory[Use],1))/(SUMIFS(tblSafety[Hours_Total],tblSafety[Date],"&gt;="&amp;EDATE($E125,-12),tblSafety[Date],"&lt;="&amp;$A125)+SUMIFS(tblSafetyHistory[Hours_Total],tblSafetyHistory[Month],"&gt;="&amp;EDATE($E125,-12),tblSafetyHistory[Month],"&lt;"&amp;$E125,tblSafetyHistory[Use],1))*cfg_RateBasisHours,"")</f>
        <v/>
      </c>
      <c r="IR125" s="62">
        <f>IF(MAX(N(cfg_PriorLTIDate),_xlfn.MAXIFS(tblSafety[Date],tblSafety[LTI],"&gt;0",tblSafety[Date],"&lt;="&amp;$A125))=0,"",$A125-MAX(N(cfg_PriorLTIDate),_xlfn.MAXIFS(tblSafety[Date],tblSafety[LTI],"&gt;0",tblSafety[Date],"&lt;="&amp;$A125)))</f>
        <v/>
      </c>
      <c r="IS125" s="55">
        <f>SUMIFS(tblBudget[Ore_Mined_t],tblBudget[Month],$E125)</f>
        <v/>
      </c>
      <c r="IT125" s="55">
        <f>$IS125*$C125/$D125</f>
        <v/>
      </c>
      <c r="IU125" s="55">
        <f>SUMIFS(tblBudget[Ore_Mined_t],tblBudget[Month],"&lt;"&amp;$E125)+$IT125</f>
        <v/>
      </c>
      <c r="IV125" s="55">
        <f>SUMIFS(tblBudget[Ore_oz],tblBudget[Month],$E125)</f>
        <v/>
      </c>
      <c r="IW125" s="55">
        <f>$IV125*$C125/$D125</f>
        <v/>
      </c>
      <c r="IX125" s="55">
        <f>SUMIFS(tblBudget[Ore_oz],tblBudget[Month],"&lt;"&amp;$E125)+$IW125</f>
        <v/>
      </c>
      <c r="IY125" s="55">
        <f>SUMIFS(tblBudget[Ore_Mined_t],tblBudget[Month],$E125)</f>
        <v/>
      </c>
      <c r="IZ125" s="55">
        <f>$IY125*$C125/$D125</f>
        <v/>
      </c>
      <c r="JA125" s="55">
        <f>SUMIFS(tblBudget[Ore_Mined_t],tblBudget[Month],"&lt;"&amp;$E125)+$IZ125</f>
        <v/>
      </c>
      <c r="JB125" s="56">
        <f>IFERROR(IF(($IY125)&gt;0,($IV125*cfg_TroyOz)/($IY125),""),"")</f>
        <v/>
      </c>
      <c r="JC125" s="56">
        <f>IFERROR(IF(($IZ125)&gt;0,($IW125*cfg_TroyOz)/($IZ125),""),"")</f>
        <v/>
      </c>
      <c r="JD125" s="56">
        <f>IFERROR(IF(($JA125)&gt;0,($IX125*cfg_TroyOz)/($JA125),""),"")</f>
        <v/>
      </c>
      <c r="JE125" s="55">
        <f>SUMIFS(tblBudget[Waste_t],tblBudget[Month],$E125)</f>
        <v/>
      </c>
      <c r="JF125" s="55">
        <f>$JE125*$C125/$D125</f>
        <v/>
      </c>
      <c r="JG125" s="55">
        <f>SUMIFS(tblBudget[Waste_t],tblBudget[Month],"&lt;"&amp;$E125)+$JF125</f>
        <v/>
      </c>
      <c r="JH125" s="55">
        <f>SUMIFS(tblBudget[TMM_t],tblBudget[Month],$E125)</f>
        <v/>
      </c>
      <c r="JI125" s="55">
        <f>$JH125*$C125/$D125</f>
        <v/>
      </c>
      <c r="JJ125" s="55">
        <f>SUMIFS(tblBudget[TMM_t],tblBudget[Month],"&lt;"&amp;$E125)+$JI125</f>
        <v/>
      </c>
      <c r="JK125" s="56">
        <f>IFERROR(IF(($IS125)&gt;0,($JE125)/($IS125),""),"")</f>
        <v/>
      </c>
      <c r="JL125" s="56">
        <f>IFERROR(IF(($IT125)&gt;0,($JF125)/($IT125),""),"")</f>
        <v/>
      </c>
      <c r="JM125" s="56">
        <f>IFERROR(IF(($IU125)&gt;0,($JG125)/($IU125),""),"")</f>
        <v/>
      </c>
      <c r="JN125" s="55">
        <f>SUMIFS(tblBudget[Drill_m],tblBudget[Month],$E125)</f>
        <v/>
      </c>
      <c r="JO125" s="55">
        <f>$JN125*$C125/$D125</f>
        <v/>
      </c>
      <c r="JP125" s="55">
        <f>SUMIFS(tblBudget[Drill_m],tblBudget[Month],"&lt;"&amp;$E125)+$JO125</f>
        <v/>
      </c>
      <c r="JQ125" s="55">
        <f>SUMIFS(tblBudget[Diesel_L],tblBudget[Month],$E125)</f>
        <v/>
      </c>
      <c r="JR125" s="55">
        <f>$JQ125*$C125/$D125</f>
        <v/>
      </c>
      <c r="JS125" s="55">
        <f>SUMIFS(tblBudget[Diesel_L],tblBudget[Month],"&lt;"&amp;$E125)+$JR125</f>
        <v/>
      </c>
      <c r="JT125" s="55">
        <f>SUMIFS(tblBudget[Milled_t],tblBudget[Month],$E125)</f>
        <v/>
      </c>
      <c r="JU125" s="55">
        <f>$JT125*$C125/$D125</f>
        <v/>
      </c>
      <c r="JV125" s="55">
        <f>SUMIFS(tblBudget[Milled_t],tblBudget[Month],"&lt;"&amp;$E125)+$JU125</f>
        <v/>
      </c>
      <c r="JW125" s="55">
        <f>SUMIFS(tblBudget[Feed_oz],tblBudget[Month],$E125)</f>
        <v/>
      </c>
      <c r="JX125" s="55">
        <f>$JW125*$C125/$D125</f>
        <v/>
      </c>
      <c r="JY125" s="55">
        <f>SUMIFS(tblBudget[Feed_oz],tblBudget[Month],"&lt;"&amp;$E125)+$JX125</f>
        <v/>
      </c>
      <c r="JZ125" s="55">
        <f>SUMIFS(tblBudget[Recovered_oz],tblBudget[Month],$E125)</f>
        <v/>
      </c>
      <c r="KA125" s="55">
        <f>$JZ125*$C125/$D125</f>
        <v/>
      </c>
      <c r="KB125" s="55">
        <f>SUMIFS(tblBudget[Recovered_oz],tblBudget[Month],"&lt;"&amp;$E125)+$KA125</f>
        <v/>
      </c>
      <c r="KC125" s="55">
        <f>SUMIFS(tblBudget[Milled_t],tblBudget[Month],$E125)</f>
        <v/>
      </c>
      <c r="KD125" s="55">
        <f>$KC125*$C125/$D125</f>
        <v/>
      </c>
      <c r="KE125" s="55">
        <f>SUMIFS(tblBudget[Milled_t],tblBudget[Month],"&lt;"&amp;$E125)+$KD125</f>
        <v/>
      </c>
      <c r="KF125" s="55">
        <f>SUMIFS(tblBudget[Feed_oz],tblBudget[Month],$E125)</f>
        <v/>
      </c>
      <c r="KG125" s="55">
        <f>$KF125*$C125/$D125</f>
        <v/>
      </c>
      <c r="KH125" s="55">
        <f>SUMIFS(tblBudget[Feed_oz],tblBudget[Month],"&lt;"&amp;$E125)+$KG125</f>
        <v/>
      </c>
      <c r="KI125" s="56">
        <f>IFERROR(IF(($KC125)&gt;0,($JW125*cfg_TroyOz)/($KC125),""),"")</f>
        <v/>
      </c>
      <c r="KJ125" s="56">
        <f>IFERROR(IF(($KD125)&gt;0,($JX125*cfg_TroyOz)/($KD125),""),"")</f>
        <v/>
      </c>
      <c r="KK125" s="56">
        <f>IFERROR(IF(($KE125)&gt;0,($JY125*cfg_TroyOz)/($KE125),""),"")</f>
        <v/>
      </c>
      <c r="KL125" s="67">
        <f>IFERROR(IF(($KF125)&gt;0,($JZ125)/($KF125),""),"")</f>
        <v/>
      </c>
      <c r="KM125" s="67">
        <f>IFERROR(IF(($KG125)&gt;0,($KA125)/($KG125),""),"")</f>
        <v/>
      </c>
      <c r="KN125" s="67">
        <f>IFERROR(IF(($KH125)&gt;0,($KB125)/($KH125),""),"")</f>
        <v/>
      </c>
      <c r="KO125" s="55">
        <f>SUMIFS(tblBudget[Gold_Poured_oz],tblBudget[Month],$E125)</f>
        <v/>
      </c>
      <c r="KP125" s="55">
        <f>$KO125*$C125/$D125</f>
        <v/>
      </c>
      <c r="KQ125" s="55">
        <f>SUMIFS(tblBudget[Gold_Poured_oz],tblBudget[Month],"&lt;"&amp;$E125)+$KP125</f>
        <v/>
      </c>
      <c r="KR125" s="57">
        <f>SUMIFS(tblBudget[Hours_Worked],tblBudget[Month],$E125)</f>
        <v/>
      </c>
      <c r="KS125" s="57">
        <f>$KR125*$C125/$D125</f>
        <v/>
      </c>
      <c r="KT125" s="57">
        <f>SUMIFS(tblBudget[Hours_Worked],tblBudget[Month],"&lt;"&amp;$E125)+$KS125</f>
        <v/>
      </c>
    </row>
    <row r="126">
      <c r="A126" s="54" t="n">
        <v>46147</v>
      </c>
      <c r="B126">
        <f>MONTH($A126)</f>
        <v/>
      </c>
      <c r="C126">
        <f>DAY($A126)</f>
        <v/>
      </c>
      <c r="D126">
        <f>DAY(EOMONTH($A126,0))</f>
        <v/>
      </c>
      <c r="E126" s="54">
        <f>DATE(YEAR($A126),MONTH($A126),1)</f>
        <v/>
      </c>
      <c r="F126" s="55">
        <f>SUMIFS(tblMovement[Tonnes_t],tblMovement[Date],$A126,tblMovement[Is_Ore],1,tblMovement[Source_Type],"Pit")</f>
        <v/>
      </c>
      <c r="G126" s="55">
        <f>IF($B126=$B125,$G125,0)+$F126</f>
        <v/>
      </c>
      <c r="H126" s="55">
        <f>$H125+$F126</f>
        <v/>
      </c>
      <c r="I126" s="55">
        <f>SUMIFS(tblMovement[Ore_oz],tblMovement[Date],$A126,tblMovement[Source_Type],"Pit")</f>
        <v/>
      </c>
      <c r="J126" s="55">
        <f>IF($B126=$B125,$J125,0)+$I126</f>
        <v/>
      </c>
      <c r="K126" s="55">
        <f>$K125+$I126</f>
        <v/>
      </c>
      <c r="L126" s="55">
        <f>SUMIFS(tblMovement[Tonnes_t],tblMovement[Date],$A126,tblMovement[Is_Ore],1,tblMovement[Source_Type],"Pit",tblMovement[Grade_gpt],"&lt;&gt;")</f>
        <v/>
      </c>
      <c r="M126" s="55">
        <f>IF($B126=$B125,$M125,0)+$L126</f>
        <v/>
      </c>
      <c r="N126" s="55">
        <f>$N125+$L126</f>
        <v/>
      </c>
      <c r="O126" s="56">
        <f>IFERROR(IF(($L126)&gt;0,($I126*cfg_TroyOz)/($L126),""),"")</f>
        <v/>
      </c>
      <c r="P126" s="56">
        <f>IFERROR(IF(($M126)&gt;0,($J126*cfg_TroyOz)/($M126),""),"")</f>
        <v/>
      </c>
      <c r="Q126" s="56">
        <f>IFERROR(IF(($N126)&gt;0,($K126*cfg_TroyOz)/($N126),""),"")</f>
        <v/>
      </c>
      <c r="R126" s="55">
        <f>$F126-$L126</f>
        <v/>
      </c>
      <c r="S126" s="55">
        <f>IF($B126=$B125,$S125,0)+$R126</f>
        <v/>
      </c>
      <c r="T126" s="55">
        <f>$T125+$R126</f>
        <v/>
      </c>
      <c r="U126" s="55">
        <f>SUMIFS(tblMovement[Tonnes_t],tblMovement[Date],$A126,tblMovement[Is_Ore],0,tblMovement[Source_Type],"Pit")</f>
        <v/>
      </c>
      <c r="V126" s="55">
        <f>IF($B126=$B125,$V125,0)+$U126</f>
        <v/>
      </c>
      <c r="W126" s="55">
        <f>$W125+$U126</f>
        <v/>
      </c>
      <c r="X126" s="55">
        <f>$F126+$U126</f>
        <v/>
      </c>
      <c r="Y126" s="55">
        <f>IF($B126=$B125,$Y125,0)+$X126</f>
        <v/>
      </c>
      <c r="Z126" s="55">
        <f>$Z125+$X126</f>
        <v/>
      </c>
      <c r="AA126" s="56">
        <f>IFERROR(IF(($F126)&gt;0,($U126)/($F126),""),"")</f>
        <v/>
      </c>
      <c r="AB126" s="56">
        <f>IFERROR(IF(($G126)&gt;0,($V126)/($G126),""),"")</f>
        <v/>
      </c>
      <c r="AC126" s="56">
        <f>IFERROR(IF(($H126)&gt;0,($W126)/($H126),""),"")</f>
        <v/>
      </c>
      <c r="AD126" s="55">
        <f>SUMIFS(tblMovement[Tonnes_t],tblMovement[Date],$A126,tblMovement[Source_Type],"Stockpile")</f>
        <v/>
      </c>
      <c r="AE126" s="55">
        <f>IF($B126=$B125,$AE125,0)+$AD126</f>
        <v/>
      </c>
      <c r="AF126" s="55">
        <f>$AF125+$AD126</f>
        <v/>
      </c>
      <c r="AG126" s="55">
        <f>SUMIFS(tblMovement[Tonnes_t],tblMovement[Date],$A126)</f>
        <v/>
      </c>
      <c r="AH126" s="55">
        <f>IF($B126=$B125,$AH125,0)+$AG126</f>
        <v/>
      </c>
      <c r="AI126" s="55">
        <f>$AI125+$AG126</f>
        <v/>
      </c>
      <c r="AJ126" s="55">
        <f>$AG126-$X126-$AD126</f>
        <v/>
      </c>
      <c r="AK126" s="55">
        <f>IF($B126=$B125,$AK125,0)+$AJ126</f>
        <v/>
      </c>
      <c r="AL126" s="55">
        <f>$AL125+$AJ126</f>
        <v/>
      </c>
      <c r="AM126" s="55">
        <f>SUMIFS(tblMiningDaily[Drill_m],tblMiningDaily[Date],$A126)</f>
        <v/>
      </c>
      <c r="AN126" s="55">
        <f>IF($B126=$B125,$AN125,0)+$AM126</f>
        <v/>
      </c>
      <c r="AO126" s="55">
        <f>$AO125+$AM126</f>
        <v/>
      </c>
      <c r="AP126" s="55">
        <f>SUMIFS(tblMiningDaily[GC_Drill_m],tblMiningDaily[Date],$A126)</f>
        <v/>
      </c>
      <c r="AQ126" s="55">
        <f>IF($B126=$B125,$AQ125,0)+$AP126</f>
        <v/>
      </c>
      <c r="AR126" s="55">
        <f>$AR125+$AP126</f>
        <v/>
      </c>
      <c r="AS126" s="55">
        <f>SUMIFS(tblMiningDaily[Blast_t],tblMiningDaily[Date],$A126)</f>
        <v/>
      </c>
      <c r="AT126" s="55">
        <f>IF($B126=$B125,$AT125,0)+$AS126</f>
        <v/>
      </c>
      <c r="AU126" s="55">
        <f>$AU125+$AS126</f>
        <v/>
      </c>
      <c r="AV126" s="55">
        <f>SUMIFS(tblMiningDaily[Explosives_kg],tblMiningDaily[Date],$A126)</f>
        <v/>
      </c>
      <c r="AW126" s="55">
        <f>IF($B126=$B125,$AW125,0)+$AV126</f>
        <v/>
      </c>
      <c r="AX126" s="55">
        <f>$AX125+$AV126</f>
        <v/>
      </c>
      <c r="AY126" s="56">
        <f>IFERROR(IF(($AS126)&gt;0,($AV126)/($AS126),""),"")</f>
        <v/>
      </c>
      <c r="AZ126" s="56">
        <f>IFERROR(IF(($AT126)&gt;0,($AW126)/($AT126),""),"")</f>
        <v/>
      </c>
      <c r="BA126" s="56">
        <f>IFERROR(IF(($AU126)&gt;0,($AX126)/($AU126),""),"")</f>
        <v/>
      </c>
      <c r="BB126" s="55">
        <f>SUMIFS(tblMiningDaily[Diesel_L],tblMiningDaily[Date],$A126)</f>
        <v/>
      </c>
      <c r="BC126" s="55">
        <f>IF($B126=$B125,$BC125,0)+$BB126</f>
        <v/>
      </c>
      <c r="BD126" s="55">
        <f>$BD125+$BB126</f>
        <v/>
      </c>
      <c r="BE126" s="55">
        <f>SUMIFS(tblMiningDaily[Dewatering_m3],tblMiningDaily[Date],$A126)</f>
        <v/>
      </c>
      <c r="BF126" s="55">
        <f>IF($B126=$B125,$BF125,0)+$BE126</f>
        <v/>
      </c>
      <c r="BG126" s="55">
        <f>$BG125+$BE126</f>
        <v/>
      </c>
      <c r="BH126" s="57">
        <f>SUMIFS(tblFleet[Calendar_h],tblFleet[Date],$A126,tblFleet[Equipment_Class],"Excavator")</f>
        <v/>
      </c>
      <c r="BI126" s="57">
        <f>IF($B126=$B125,$BI125,0)+$BH126</f>
        <v/>
      </c>
      <c r="BJ126" s="57">
        <f>$BJ125+$BH126</f>
        <v/>
      </c>
      <c r="BK126" s="57">
        <f>SUMIFS(tblFleet[Available_h],tblFleet[Date],$A126,tblFleet[Equipment_Class],"Excavator")</f>
        <v/>
      </c>
      <c r="BL126" s="57">
        <f>IF($B126=$B125,$BL125,0)+$BK126</f>
        <v/>
      </c>
      <c r="BM126" s="57">
        <f>$BM125+$BK126</f>
        <v/>
      </c>
      <c r="BN126" s="57">
        <f>SUMIFS(tblFleet[Operating_h],tblFleet[Date],$A126,tblFleet[Equipment_Class],"Excavator")</f>
        <v/>
      </c>
      <c r="BO126" s="57">
        <f>IF($B126=$B125,$BO125,0)+$BN126</f>
        <v/>
      </c>
      <c r="BP126" s="57">
        <f>$BP125+$BN126</f>
        <v/>
      </c>
      <c r="BQ126" s="67">
        <f>IFERROR(IF(($BH126)&gt;0,($BK126)/($BH126),""),"")</f>
        <v/>
      </c>
      <c r="BR126" s="67">
        <f>IFERROR(IF(($BI126)&gt;0,($BL126)/($BI126),""),"")</f>
        <v/>
      </c>
      <c r="BS126" s="67">
        <f>IFERROR(IF(($BJ126)&gt;0,($BM126)/($BJ126),""),"")</f>
        <v/>
      </c>
      <c r="BT126" s="67">
        <f>IFERROR(IF(($BK126)&gt;0,($BN126)/($BK126),""),"")</f>
        <v/>
      </c>
      <c r="BU126" s="67">
        <f>IFERROR(IF(($BL126)&gt;0,($BO126)/($BL126),""),"")</f>
        <v/>
      </c>
      <c r="BV126" s="67">
        <f>IFERROR(IF(($BM126)&gt;0,($BP126)/($BM126),""),"")</f>
        <v/>
      </c>
      <c r="BW126" s="57">
        <f>SUMIFS(tblFleet[Calendar_h],tblFleet[Date],$A126,tblFleet[Equipment_Class],"Haul Truck")</f>
        <v/>
      </c>
      <c r="BX126" s="57">
        <f>IF($B126=$B125,$BX125,0)+$BW126</f>
        <v/>
      </c>
      <c r="BY126" s="57">
        <f>$BY125+$BW126</f>
        <v/>
      </c>
      <c r="BZ126" s="57">
        <f>SUMIFS(tblFleet[Available_h],tblFleet[Date],$A126,tblFleet[Equipment_Class],"Haul Truck")</f>
        <v/>
      </c>
      <c r="CA126" s="57">
        <f>IF($B126=$B125,$CA125,0)+$BZ126</f>
        <v/>
      </c>
      <c r="CB126" s="57">
        <f>$CB125+$BZ126</f>
        <v/>
      </c>
      <c r="CC126" s="57">
        <f>SUMIFS(tblFleet[Operating_h],tblFleet[Date],$A126,tblFleet[Equipment_Class],"Haul Truck")</f>
        <v/>
      </c>
      <c r="CD126" s="57">
        <f>IF($B126=$B125,$CD125,0)+$CC126</f>
        <v/>
      </c>
      <c r="CE126" s="57">
        <f>$CE125+$CC126</f>
        <v/>
      </c>
      <c r="CF126" s="67">
        <f>IFERROR(IF(($BW126)&gt;0,($BZ126)/($BW126),""),"")</f>
        <v/>
      </c>
      <c r="CG126" s="67">
        <f>IFERROR(IF(($BX126)&gt;0,($CA126)/($BX126),""),"")</f>
        <v/>
      </c>
      <c r="CH126" s="67">
        <f>IFERROR(IF(($BY126)&gt;0,($CB126)/($BY126),""),"")</f>
        <v/>
      </c>
      <c r="CI126" s="67">
        <f>IFERROR(IF(($BZ126)&gt;0,($CC126)/($BZ126),""),"")</f>
        <v/>
      </c>
      <c r="CJ126" s="67">
        <f>IFERROR(IF(($CA126)&gt;0,($CD126)/($CA126),""),"")</f>
        <v/>
      </c>
      <c r="CK126" s="67">
        <f>IFERROR(IF(($CB126)&gt;0,($CE126)/($CB126),""),"")</f>
        <v/>
      </c>
      <c r="CL126" s="55">
        <f>IFERROR(IF(($BN126)&gt;0,($X126+$AD126)/($BN126),""),"")</f>
        <v/>
      </c>
      <c r="CM126" s="55">
        <f>IFERROR(IF(($BO126)&gt;0,($Y126+$AE126)/($BO126),""),"")</f>
        <v/>
      </c>
      <c r="CN126" s="55">
        <f>IFERROR(IF(($BP126)&gt;0,($Z126+$AF126)/($BP126),""),"")</f>
        <v/>
      </c>
      <c r="CO126" s="55">
        <f>IFERROR(IF(($CC126)&gt;0,($X126+$AD126)/($CC126),""),"")</f>
        <v/>
      </c>
      <c r="CP126" s="55">
        <f>IFERROR(IF(($CD126)&gt;0,($Y126+$AE126)/($CD126),""),"")</f>
        <v/>
      </c>
      <c r="CQ126" s="55">
        <f>IFERROR(IF(($CE126)&gt;0,($Z126+$AF126)/($CE126),""),"")</f>
        <v/>
      </c>
      <c r="CR126" s="55">
        <f>SUMIFS(tblPlant[Crushed_t],tblPlant[Date],$A126)</f>
        <v/>
      </c>
      <c r="CS126" s="55">
        <f>IF($B126=$B125,$CS125,0)+$CR126</f>
        <v/>
      </c>
      <c r="CT126" s="55">
        <f>$CT125+$CR126</f>
        <v/>
      </c>
      <c r="CU126" s="55">
        <f>SUMIFS(tblPlant[Milled_t],tblPlant[Date],$A126)</f>
        <v/>
      </c>
      <c r="CV126" s="55">
        <f>IF($B126=$B125,$CV125,0)+$CU126</f>
        <v/>
      </c>
      <c r="CW126" s="55">
        <f>$CW125+$CU126</f>
        <v/>
      </c>
      <c r="CX126" s="55">
        <f>SUMIFS(tblPlant[Feed_oz],tblPlant[Date],$A126)</f>
        <v/>
      </c>
      <c r="CY126" s="55">
        <f>IF($B126=$B125,$CY125,0)+$CX126</f>
        <v/>
      </c>
      <c r="CZ126" s="55">
        <f>$CZ125+$CX126</f>
        <v/>
      </c>
      <c r="DA126" s="55">
        <f>SUMIFS(tblPlant[Tails_oz],tblPlant[Date],$A126)</f>
        <v/>
      </c>
      <c r="DB126" s="55">
        <f>IF($B126=$B125,$DB125,0)+$DA126</f>
        <v/>
      </c>
      <c r="DC126" s="55">
        <f>$DC125+$DA126</f>
        <v/>
      </c>
      <c r="DD126" s="55">
        <f>SUMIFS(tblPlant[Recovered_oz],tblPlant[Date],$A126)</f>
        <v/>
      </c>
      <c r="DE126" s="55">
        <f>IF($B126=$B125,$DE125,0)+$DD126</f>
        <v/>
      </c>
      <c r="DF126" s="55">
        <f>$DF125+$DD126</f>
        <v/>
      </c>
      <c r="DG126" s="55">
        <f>SUMIFS(tblPlant[Milled_t],tblPlant[Date],$A126,tblPlant[Head_Grade_gpt],"&lt;&gt;")</f>
        <v/>
      </c>
      <c r="DH126" s="55">
        <f>IF($B126=$B125,$DH125,0)+$DG126</f>
        <v/>
      </c>
      <c r="DI126" s="55">
        <f>$DI125+$DG126</f>
        <v/>
      </c>
      <c r="DJ126" s="55">
        <f>SUMIFS(tblPlant[Milled_t],tblPlant[Date],$A126,tblPlant[Tails_Grade_gpt],"&lt;&gt;")</f>
        <v/>
      </c>
      <c r="DK126" s="55">
        <f>IF($B126=$B125,$DK125,0)+$DJ126</f>
        <v/>
      </c>
      <c r="DL126" s="55">
        <f>$DL125+$DJ126</f>
        <v/>
      </c>
      <c r="DM126" s="55">
        <f>SUMIFS(tblPlant[Feed_oz],tblPlant[Date],$A126,tblPlant[Tails_Grade_gpt],"&lt;&gt;")</f>
        <v/>
      </c>
      <c r="DN126" s="55">
        <f>IF($B126=$B125,$DN125,0)+$DM126</f>
        <v/>
      </c>
      <c r="DO126" s="55">
        <f>$DO125+$DM126</f>
        <v/>
      </c>
      <c r="DP126" s="55">
        <f>SUMIFS(tblPlant[Milled_t],tblPlant[Date],$A126,tblPlant[Mill_Run_h],"&lt;&gt;")</f>
        <v/>
      </c>
      <c r="DQ126" s="55">
        <f>IF($B126=$B125,$DQ125,0)+$DP126</f>
        <v/>
      </c>
      <c r="DR126" s="55">
        <f>$DR125+$DP126</f>
        <v/>
      </c>
      <c r="DS126" s="56">
        <f>IFERROR(IF(($DG126)&gt;0,($CX126*cfg_TroyOz)/($DG126),""),"")</f>
        <v/>
      </c>
      <c r="DT126" s="56">
        <f>IFERROR(IF(($DH126)&gt;0,($CY126*cfg_TroyOz)/($DH126),""),"")</f>
        <v/>
      </c>
      <c r="DU126" s="56">
        <f>IFERROR(IF(($DI126)&gt;0,($CZ126*cfg_TroyOz)/($DI126),""),"")</f>
        <v/>
      </c>
      <c r="DV126" s="56">
        <f>IFERROR(IF(($DJ126)&gt;0,($DA126*cfg_TroyOz)/($DJ126),""),"")</f>
        <v/>
      </c>
      <c r="DW126" s="56">
        <f>IFERROR(IF(($DK126)&gt;0,($DB126*cfg_TroyOz)/($DK126),""),"")</f>
        <v/>
      </c>
      <c r="DX126" s="56">
        <f>IFERROR(IF(($DL126)&gt;0,($DC126*cfg_TroyOz)/($DL126),""),"")</f>
        <v/>
      </c>
      <c r="DY126" s="67">
        <f>IFERROR(IF(($DM126)&gt;0,($DD126)/($DM126),""),"")</f>
        <v/>
      </c>
      <c r="DZ126" s="67">
        <f>IFERROR(IF(($DN126)&gt;0,($DE126)/($DN126),""),"")</f>
        <v/>
      </c>
      <c r="EA126" s="67">
        <f>IFERROR(IF(($DO126)&gt;0,($DF126)/($DO126),""),"")</f>
        <v/>
      </c>
      <c r="EB126" s="55">
        <f>SUMIFS(tblPlant[Gravity_Gold_oz],tblPlant[Date],$A126)</f>
        <v/>
      </c>
      <c r="EC126" s="55">
        <f>IF($B126=$B125,$EC125,0)+$EB126</f>
        <v/>
      </c>
      <c r="ED126" s="55">
        <f>$ED125+$EB126</f>
        <v/>
      </c>
      <c r="EE126" s="67">
        <f>IFERROR(IF(($DD126)&gt;0,($EB126)/($DD126),""),"")</f>
        <v/>
      </c>
      <c r="EF126" s="67">
        <f>IFERROR(IF(($DE126)&gt;0,($EC126)/($DE126),""),"")</f>
        <v/>
      </c>
      <c r="EG126" s="67">
        <f>IFERROR(IF(($DF126)&gt;0,($ED126)/($DF126),""),"")</f>
        <v/>
      </c>
      <c r="EH126" s="55">
        <f>SUMIFS(tblPlant[Gold_Poured_oz],tblPlant[Date],$A126)</f>
        <v/>
      </c>
      <c r="EI126" s="55">
        <f>IF($B126=$B125,$EI125,0)+$EH126</f>
        <v/>
      </c>
      <c r="EJ126" s="55">
        <f>$EJ125+$EH126</f>
        <v/>
      </c>
      <c r="EK126" s="57">
        <f>SUMIFS(tblPlant[Mill_Run_h],tblPlant[Date],$A126)</f>
        <v/>
      </c>
      <c r="EL126" s="57">
        <f>IF($B126=$B125,$EL125,0)+$EK126</f>
        <v/>
      </c>
      <c r="EM126" s="57">
        <f>$EM125+$EK126</f>
        <v/>
      </c>
      <c r="EN126" s="57">
        <f>SUMIFS(tblPlant[Mill_Planned_Maint_h],tblPlant[Date],$A126)</f>
        <v/>
      </c>
      <c r="EO126" s="57">
        <f>IF($B126=$B125,$EO125,0)+$EN126</f>
        <v/>
      </c>
      <c r="EP126" s="57">
        <f>$EP125+$EN126</f>
        <v/>
      </c>
      <c r="EQ126" s="57">
        <f>SUMIFS(tblPlant[Mill_Unplanned_Down_h],tblPlant[Date],$A126)</f>
        <v/>
      </c>
      <c r="ER126" s="57">
        <f>IF($B126=$B125,$ER125,0)+$EQ126</f>
        <v/>
      </c>
      <c r="ES126" s="57">
        <f>$ES125+$EQ126</f>
        <v/>
      </c>
      <c r="ET126" s="57">
        <f>IF(COUNTIFS(tblPlant[Date],$A126,tblPlant[Mill_Run_h],"&lt;&gt;")+COUNTIFS(tblPlant[Date],$A126,tblPlant[Mill_Planned_Maint_h],"&lt;&gt;")+COUNTIFS(tblPlant[Date],$A126,tblPlant[Mill_Unplanned_Down_h],"&lt;&gt;")&gt;0,cfg_HoursPerDay,0)</f>
        <v/>
      </c>
      <c r="EU126" s="57">
        <f>IF($B126=$B125,$EU125,0)+$ET126</f>
        <v/>
      </c>
      <c r="EV126" s="57">
        <f>$EV125+$ET126</f>
        <v/>
      </c>
      <c r="EW126" s="57">
        <f>SUMIFS(tblPlant[Crusher_Run_h],tblPlant[Date],$A126)</f>
        <v/>
      </c>
      <c r="EX126" s="57">
        <f>IF($B126=$B125,$EX125,0)+$EW126</f>
        <v/>
      </c>
      <c r="EY126" s="57">
        <f>$EY125+$EW126</f>
        <v/>
      </c>
      <c r="EZ126" s="55">
        <f>IFERROR(IF(($EK126)&gt;0,($DP126)/($EK126),""),"")</f>
        <v/>
      </c>
      <c r="FA126" s="55">
        <f>IFERROR(IF(($EL126)&gt;0,($DQ126)/($EL126),""),"")</f>
        <v/>
      </c>
      <c r="FB126" s="55">
        <f>IFERROR(IF(($EM126)&gt;0,($DR126)/($EM126),""),"")</f>
        <v/>
      </c>
      <c r="FC126" s="67">
        <f>IFERROR(IF(($ET126)&gt;0,($ET126-$EN126-$EQ126)/($ET126),""),"")</f>
        <v/>
      </c>
      <c r="FD126" s="67">
        <f>IFERROR(IF(($EU126)&gt;0,($EU126-$EO126-$ER126)/($EU126),""),"")</f>
        <v/>
      </c>
      <c r="FE126" s="67">
        <f>IFERROR(IF(($EV126)&gt;0,($EV126-$EP126-$ES126)/($EV126),""),"")</f>
        <v/>
      </c>
      <c r="FF126" s="67">
        <f>IFERROR(IF(($ET126-$EN126-$EQ126)&gt;0,($EK126)/($ET126-$EN126-$EQ126),""),"")</f>
        <v/>
      </c>
      <c r="FG126" s="67">
        <f>IFERROR(IF(($EU126-$EO126-$ER126)&gt;0,($EL126)/($EU126-$EO126-$ER126),""),"")</f>
        <v/>
      </c>
      <c r="FH126" s="67">
        <f>IFERROR(IF(($EV126-$EP126-$ES126)&gt;0,($EM126)/($EV126-$EP126-$ES126),""),"")</f>
        <v/>
      </c>
      <c r="FI126" s="55">
        <f>SUMIFS(tblPlant[Cyanide_kg],tblPlant[Date],$A126)</f>
        <v/>
      </c>
      <c r="FJ126" s="55">
        <f>IF($B126=$B125,$FJ125,0)+$FI126</f>
        <v/>
      </c>
      <c r="FK126" s="55">
        <f>$FK125+$FI126</f>
        <v/>
      </c>
      <c r="FL126" s="55">
        <f>SUMIFS(tblPlant[Lime_kg],tblPlant[Date],$A126)</f>
        <v/>
      </c>
      <c r="FM126" s="55">
        <f>IF($B126=$B125,$FM125,0)+$FL126</f>
        <v/>
      </c>
      <c r="FN126" s="55">
        <f>$FN125+$FL126</f>
        <v/>
      </c>
      <c r="FO126" s="55">
        <f>SUMIFS(tblPlant[Grinding_Media_kg],tblPlant[Date],$A126)</f>
        <v/>
      </c>
      <c r="FP126" s="55">
        <f>IF($B126=$B125,$FP125,0)+$FO126</f>
        <v/>
      </c>
      <c r="FQ126" s="55">
        <f>$FQ125+$FO126</f>
        <v/>
      </c>
      <c r="FR126" s="55">
        <f>SUMIFS(tblPlant[Power_kWh],tblPlant[Date],$A126)</f>
        <v/>
      </c>
      <c r="FS126" s="55">
        <f>IF($B126=$B125,$FS125,0)+$FR126</f>
        <v/>
      </c>
      <c r="FT126" s="55">
        <f>$FT125+$FR126</f>
        <v/>
      </c>
      <c r="FU126" s="55">
        <f>SUMIFS(tblPlant[Raw_Water_m3],tblPlant[Date],$A126)</f>
        <v/>
      </c>
      <c r="FV126" s="55">
        <f>IF($B126=$B125,$FV125,0)+$FU126</f>
        <v/>
      </c>
      <c r="FW126" s="55">
        <f>$FW125+$FU126</f>
        <v/>
      </c>
      <c r="FX126" s="56">
        <f>IFERROR(IF(($CU126)&gt;0,($FI126)/($CU126),""),"")</f>
        <v/>
      </c>
      <c r="FY126" s="56">
        <f>IFERROR(IF(($CV126)&gt;0,($FJ126)/($CV126),""),"")</f>
        <v/>
      </c>
      <c r="FZ126" s="56">
        <f>IFERROR(IF(($CW126)&gt;0,($FK126)/($CW126),""),"")</f>
        <v/>
      </c>
      <c r="GA126" s="56">
        <f>IFERROR(IF(($CU126)&gt;0,($FL126)/($CU126),""),"")</f>
        <v/>
      </c>
      <c r="GB126" s="56">
        <f>IFERROR(IF(($CV126)&gt;0,($FM126)/($CV126),""),"")</f>
        <v/>
      </c>
      <c r="GC126" s="56">
        <f>IFERROR(IF(($CW126)&gt;0,($FN126)/($CW126),""),"")</f>
        <v/>
      </c>
      <c r="GD126" s="56">
        <f>IFERROR(IF(($CU126)&gt;0,($FO126)/($CU126),""),"")</f>
        <v/>
      </c>
      <c r="GE126" s="56">
        <f>IFERROR(IF(($CV126)&gt;0,($FP126)/($CV126),""),"")</f>
        <v/>
      </c>
      <c r="GF126" s="56">
        <f>IFERROR(IF(($CW126)&gt;0,($FQ126)/($CW126),""),"")</f>
        <v/>
      </c>
      <c r="GG126" s="79">
        <f>IFERROR(IF(($CU126)&gt;0,($FR126)/($CU126),""),"")</f>
        <v/>
      </c>
      <c r="GH126" s="79">
        <f>IFERROR(IF(($CV126)&gt;0,($FS126)/($CV126),""),"")</f>
        <v/>
      </c>
      <c r="GI126" s="79">
        <f>IFERROR(IF(($CW126)&gt;0,($FT126)/($CW126),""),"")</f>
        <v/>
      </c>
      <c r="GJ126" s="56">
        <f>IFERROR(IF(($CU126)&gt;0,($FU126)/($CU126),""),"")</f>
        <v/>
      </c>
      <c r="GK126" s="56">
        <f>IFERROR(IF(($CV126)&gt;0,($FV126)/($CV126),""),"")</f>
        <v/>
      </c>
      <c r="GL126" s="56">
        <f>IFERROR(IF(($CW126)&gt;0,($FW126)/($CW126),""),"")</f>
        <v/>
      </c>
      <c r="GM126" s="55">
        <f>IF(SUMIFS(tblPlant[GIC_oz],tblPlant[Date],$A126)&gt;0,SUMIFS(tblPlant[GIC_oz],tblPlant[Date],$A126),"")</f>
        <v/>
      </c>
      <c r="GN126" s="55">
        <f>SUMIFS(tblGold[Gold_oz],tblGold[Date],$A126,tblGold[Type],"Shipment")</f>
        <v/>
      </c>
      <c r="GO126" s="55">
        <f>IF($B126=$B125,$GO125,0)+$GN126</f>
        <v/>
      </c>
      <c r="GP126" s="55">
        <f>$GP125+$GN126</f>
        <v/>
      </c>
      <c r="GQ126" s="55">
        <f>SUMIFS(tblGold[Gold_oz],tblGold[Date],$A126,tblGold[Type],"Sale")</f>
        <v/>
      </c>
      <c r="GR126" s="55">
        <f>IF($B126=$B125,$GR125,0)+$GQ126</f>
        <v/>
      </c>
      <c r="GS126" s="55">
        <f>$GS125+$GQ126</f>
        <v/>
      </c>
      <c r="GT126" s="55">
        <f>SUMIFS(tblGold[Dore_kg],tblGold[Date],$A126,tblGold[Type],"Shipment")</f>
        <v/>
      </c>
      <c r="GU126" s="55">
        <f>IF($B126=$B125,$GU125,0)+$GT126</f>
        <v/>
      </c>
      <c r="GV126" s="55">
        <f>$GV125+$GT126</f>
        <v/>
      </c>
      <c r="GW126" s="57">
        <f>SUMIFS(tblSafety[Hours_Total],tblSafety[Date],$A126)</f>
        <v/>
      </c>
      <c r="GX126" s="57">
        <f>IF($B126=$B125,$GX125,0)+$GW126</f>
        <v/>
      </c>
      <c r="GY126" s="57">
        <f>$GY125+$GW126</f>
        <v/>
      </c>
      <c r="GZ126" s="62">
        <f>SUMIFS(tblSafety[Fatality],tblSafety[Date],$A126)</f>
        <v/>
      </c>
      <c r="HA126" s="62">
        <f>IF($B126=$B125,$HA125,0)+$GZ126</f>
        <v/>
      </c>
      <c r="HB126" s="62">
        <f>$HB125+$GZ126</f>
        <v/>
      </c>
      <c r="HC126" s="62">
        <f>SUMIFS(tblSafety[LTI],tblSafety[Date],$A126)</f>
        <v/>
      </c>
      <c r="HD126" s="62">
        <f>IF($B126=$B125,$HD125,0)+$HC126</f>
        <v/>
      </c>
      <c r="HE126" s="62">
        <f>$HE125+$HC126</f>
        <v/>
      </c>
      <c r="HF126" s="62">
        <f>SUMIFS(tblSafety[RWI],tblSafety[Date],$A126)</f>
        <v/>
      </c>
      <c r="HG126" s="62">
        <f>IF($B126=$B125,$HG125,0)+$HF126</f>
        <v/>
      </c>
      <c r="HH126" s="62">
        <f>$HH125+$HF126</f>
        <v/>
      </c>
      <c r="HI126" s="62">
        <f>SUMIFS(tblSafety[MTI],tblSafety[Date],$A126)</f>
        <v/>
      </c>
      <c r="HJ126" s="62">
        <f>IF($B126=$B125,$HJ125,0)+$HI126</f>
        <v/>
      </c>
      <c r="HK126" s="62">
        <f>$HK125+$HI126</f>
        <v/>
      </c>
      <c r="HL126" s="62">
        <f>SUMIFS(tblSafety[FAI],tblSafety[Date],$A126)</f>
        <v/>
      </c>
      <c r="HM126" s="62">
        <f>IF($B126=$B125,$HM125,0)+$HL126</f>
        <v/>
      </c>
      <c r="HN126" s="62">
        <f>$HN125+$HL126</f>
        <v/>
      </c>
      <c r="HO126" s="62">
        <f>SUMIFS(tblSafety[Recordables],tblSafety[Date],$A126)</f>
        <v/>
      </c>
      <c r="HP126" s="62">
        <f>IF($B126=$B125,$HP125,0)+$HO126</f>
        <v/>
      </c>
      <c r="HQ126" s="62">
        <f>$HQ125+$HO126</f>
        <v/>
      </c>
      <c r="HR126" s="62">
        <f>SUMIFS(tblSafety[Near_Miss],tblSafety[Date],$A126)</f>
        <v/>
      </c>
      <c r="HS126" s="62">
        <f>IF($B126=$B125,$HS125,0)+$HR126</f>
        <v/>
      </c>
      <c r="HT126" s="62">
        <f>$HT125+$HR126</f>
        <v/>
      </c>
      <c r="HU126" s="62">
        <f>SUMIFS(tblSafety[Hazard_Reports],tblSafety[Date],$A126)</f>
        <v/>
      </c>
      <c r="HV126" s="62">
        <f>IF($B126=$B125,$HV125,0)+$HU126</f>
        <v/>
      </c>
      <c r="HW126" s="62">
        <f>$HW125+$HU126</f>
        <v/>
      </c>
      <c r="HX126" s="62">
        <f>SUMIFS(tblSafety[HPI],tblSafety[Date],$A126)</f>
        <v/>
      </c>
      <c r="HY126" s="62">
        <f>IF($B126=$B125,$HY125,0)+$HX126</f>
        <v/>
      </c>
      <c r="HZ126" s="62">
        <f>$HZ125+$HX126</f>
        <v/>
      </c>
      <c r="IA126" s="62">
        <f>SUMIFS(tblSafety[Env_Incidents],tblSafety[Date],$A126)</f>
        <v/>
      </c>
      <c r="IB126" s="62">
        <f>IF($B126=$B125,$IB125,0)+$IA126</f>
        <v/>
      </c>
      <c r="IC126" s="62">
        <f>$IC125+$IA126</f>
        <v/>
      </c>
      <c r="ID126" s="62">
        <f>SUMIFS(tblSafety[Community_Incidents],tblSafety[Date],$A126)</f>
        <v/>
      </c>
      <c r="IE126" s="62">
        <f>IF($B126=$B125,$IE125,0)+$ID126</f>
        <v/>
      </c>
      <c r="IF126" s="62">
        <f>$IF125+$ID126</f>
        <v/>
      </c>
      <c r="IG126" s="62">
        <f>SUMIFS(tblSafety[Vehicle_Incidents],tblSafety[Date],$A126)</f>
        <v/>
      </c>
      <c r="IH126" s="62">
        <f>IF($B126=$B125,$IH125,0)+$IG126</f>
        <v/>
      </c>
      <c r="II126" s="62">
        <f>$II125+$IG126</f>
        <v/>
      </c>
      <c r="IJ126" s="62">
        <f>SUMIFS(tblSafety[Toolbox_Talks],tblSafety[Date],$A126)</f>
        <v/>
      </c>
      <c r="IK126" s="62">
        <f>IF($B126=$B125,$IK125,0)+$IJ126</f>
        <v/>
      </c>
      <c r="IL126" s="62">
        <f>$IL125+$IJ126</f>
        <v/>
      </c>
      <c r="IM126" s="62">
        <f>SUMIFS(tblSafety[Inspections],tblSafety[Date],$A126)</f>
        <v/>
      </c>
      <c r="IN126" s="62">
        <f>IF($B126=$B125,$IN125,0)+$IM126</f>
        <v/>
      </c>
      <c r="IO126" s="62">
        <f>$IO125+$IM126</f>
        <v/>
      </c>
      <c r="IP126" s="56">
        <f>IFERROR((SUMIFS(tblSafety[Recordables],tblSafety[Date],"&gt;="&amp;EDATE($E126,-12),tblSafety[Date],"&lt;="&amp;$A126)+SUMIFS(tblSafetyHistory[Recordables],tblSafetyHistory[Month],"&gt;="&amp;EDATE($E126,-12),tblSafetyHistory[Month],"&lt;"&amp;$E126,tblSafetyHistory[Use],1))/(SUMIFS(tblSafety[Hours_Total],tblSafety[Date],"&gt;="&amp;EDATE($E126,-12),tblSafety[Date],"&lt;="&amp;$A126)+SUMIFS(tblSafetyHistory[Hours_Total],tblSafetyHistory[Month],"&gt;="&amp;EDATE($E126,-12),tblSafetyHistory[Month],"&lt;"&amp;$E126,tblSafetyHistory[Use],1))*cfg_RateBasisHours,"")</f>
        <v/>
      </c>
      <c r="IQ126" s="56">
        <f>IFERROR((SUMIFS(tblSafety[LTI],tblSafety[Date],"&gt;="&amp;EDATE($E126,-12),tblSafety[Date],"&lt;="&amp;$A126)+SUMIFS(tblSafetyHistory[LTI],tblSafetyHistory[Month],"&gt;="&amp;EDATE($E126,-12),tblSafetyHistory[Month],"&lt;"&amp;$E126,tblSafetyHistory[Use],1))/(SUMIFS(tblSafety[Hours_Total],tblSafety[Date],"&gt;="&amp;EDATE($E126,-12),tblSafety[Date],"&lt;="&amp;$A126)+SUMIFS(tblSafetyHistory[Hours_Total],tblSafetyHistory[Month],"&gt;="&amp;EDATE($E126,-12),tblSafetyHistory[Month],"&lt;"&amp;$E126,tblSafetyHistory[Use],1))*cfg_RateBasisHours,"")</f>
        <v/>
      </c>
      <c r="IR126" s="62">
        <f>IF(MAX(N(cfg_PriorLTIDate),_xlfn.MAXIFS(tblSafety[Date],tblSafety[LTI],"&gt;0",tblSafety[Date],"&lt;="&amp;$A126))=0,"",$A126-MAX(N(cfg_PriorLTIDate),_xlfn.MAXIFS(tblSafety[Date],tblSafety[LTI],"&gt;0",tblSafety[Date],"&lt;="&amp;$A126)))</f>
        <v/>
      </c>
      <c r="IS126" s="55">
        <f>SUMIFS(tblBudget[Ore_Mined_t],tblBudget[Month],$E126)</f>
        <v/>
      </c>
      <c r="IT126" s="55">
        <f>$IS126*$C126/$D126</f>
        <v/>
      </c>
      <c r="IU126" s="55">
        <f>SUMIFS(tblBudget[Ore_Mined_t],tblBudget[Month],"&lt;"&amp;$E126)+$IT126</f>
        <v/>
      </c>
      <c r="IV126" s="55">
        <f>SUMIFS(tblBudget[Ore_oz],tblBudget[Month],$E126)</f>
        <v/>
      </c>
      <c r="IW126" s="55">
        <f>$IV126*$C126/$D126</f>
        <v/>
      </c>
      <c r="IX126" s="55">
        <f>SUMIFS(tblBudget[Ore_oz],tblBudget[Month],"&lt;"&amp;$E126)+$IW126</f>
        <v/>
      </c>
      <c r="IY126" s="55">
        <f>SUMIFS(tblBudget[Ore_Mined_t],tblBudget[Month],$E126)</f>
        <v/>
      </c>
      <c r="IZ126" s="55">
        <f>$IY126*$C126/$D126</f>
        <v/>
      </c>
      <c r="JA126" s="55">
        <f>SUMIFS(tblBudget[Ore_Mined_t],tblBudget[Month],"&lt;"&amp;$E126)+$IZ126</f>
        <v/>
      </c>
      <c r="JB126" s="56">
        <f>IFERROR(IF(($IY126)&gt;0,($IV126*cfg_TroyOz)/($IY126),""),"")</f>
        <v/>
      </c>
      <c r="JC126" s="56">
        <f>IFERROR(IF(($IZ126)&gt;0,($IW126*cfg_TroyOz)/($IZ126),""),"")</f>
        <v/>
      </c>
      <c r="JD126" s="56">
        <f>IFERROR(IF(($JA126)&gt;0,($IX126*cfg_TroyOz)/($JA126),""),"")</f>
        <v/>
      </c>
      <c r="JE126" s="55">
        <f>SUMIFS(tblBudget[Waste_t],tblBudget[Month],$E126)</f>
        <v/>
      </c>
      <c r="JF126" s="55">
        <f>$JE126*$C126/$D126</f>
        <v/>
      </c>
      <c r="JG126" s="55">
        <f>SUMIFS(tblBudget[Waste_t],tblBudget[Month],"&lt;"&amp;$E126)+$JF126</f>
        <v/>
      </c>
      <c r="JH126" s="55">
        <f>SUMIFS(tblBudget[TMM_t],tblBudget[Month],$E126)</f>
        <v/>
      </c>
      <c r="JI126" s="55">
        <f>$JH126*$C126/$D126</f>
        <v/>
      </c>
      <c r="JJ126" s="55">
        <f>SUMIFS(tblBudget[TMM_t],tblBudget[Month],"&lt;"&amp;$E126)+$JI126</f>
        <v/>
      </c>
      <c r="JK126" s="56">
        <f>IFERROR(IF(($IS126)&gt;0,($JE126)/($IS126),""),"")</f>
        <v/>
      </c>
      <c r="JL126" s="56">
        <f>IFERROR(IF(($IT126)&gt;0,($JF126)/($IT126),""),"")</f>
        <v/>
      </c>
      <c r="JM126" s="56">
        <f>IFERROR(IF(($IU126)&gt;0,($JG126)/($IU126),""),"")</f>
        <v/>
      </c>
      <c r="JN126" s="55">
        <f>SUMIFS(tblBudget[Drill_m],tblBudget[Month],$E126)</f>
        <v/>
      </c>
      <c r="JO126" s="55">
        <f>$JN126*$C126/$D126</f>
        <v/>
      </c>
      <c r="JP126" s="55">
        <f>SUMIFS(tblBudget[Drill_m],tblBudget[Month],"&lt;"&amp;$E126)+$JO126</f>
        <v/>
      </c>
      <c r="JQ126" s="55">
        <f>SUMIFS(tblBudget[Diesel_L],tblBudget[Month],$E126)</f>
        <v/>
      </c>
      <c r="JR126" s="55">
        <f>$JQ126*$C126/$D126</f>
        <v/>
      </c>
      <c r="JS126" s="55">
        <f>SUMIFS(tblBudget[Diesel_L],tblBudget[Month],"&lt;"&amp;$E126)+$JR126</f>
        <v/>
      </c>
      <c r="JT126" s="55">
        <f>SUMIFS(tblBudget[Milled_t],tblBudget[Month],$E126)</f>
        <v/>
      </c>
      <c r="JU126" s="55">
        <f>$JT126*$C126/$D126</f>
        <v/>
      </c>
      <c r="JV126" s="55">
        <f>SUMIFS(tblBudget[Milled_t],tblBudget[Month],"&lt;"&amp;$E126)+$JU126</f>
        <v/>
      </c>
      <c r="JW126" s="55">
        <f>SUMIFS(tblBudget[Feed_oz],tblBudget[Month],$E126)</f>
        <v/>
      </c>
      <c r="JX126" s="55">
        <f>$JW126*$C126/$D126</f>
        <v/>
      </c>
      <c r="JY126" s="55">
        <f>SUMIFS(tblBudget[Feed_oz],tblBudget[Month],"&lt;"&amp;$E126)+$JX126</f>
        <v/>
      </c>
      <c r="JZ126" s="55">
        <f>SUMIFS(tblBudget[Recovered_oz],tblBudget[Month],$E126)</f>
        <v/>
      </c>
      <c r="KA126" s="55">
        <f>$JZ126*$C126/$D126</f>
        <v/>
      </c>
      <c r="KB126" s="55">
        <f>SUMIFS(tblBudget[Recovered_oz],tblBudget[Month],"&lt;"&amp;$E126)+$KA126</f>
        <v/>
      </c>
      <c r="KC126" s="55">
        <f>SUMIFS(tblBudget[Milled_t],tblBudget[Month],$E126)</f>
        <v/>
      </c>
      <c r="KD126" s="55">
        <f>$KC126*$C126/$D126</f>
        <v/>
      </c>
      <c r="KE126" s="55">
        <f>SUMIFS(tblBudget[Milled_t],tblBudget[Month],"&lt;"&amp;$E126)+$KD126</f>
        <v/>
      </c>
      <c r="KF126" s="55">
        <f>SUMIFS(tblBudget[Feed_oz],tblBudget[Month],$E126)</f>
        <v/>
      </c>
      <c r="KG126" s="55">
        <f>$KF126*$C126/$D126</f>
        <v/>
      </c>
      <c r="KH126" s="55">
        <f>SUMIFS(tblBudget[Feed_oz],tblBudget[Month],"&lt;"&amp;$E126)+$KG126</f>
        <v/>
      </c>
      <c r="KI126" s="56">
        <f>IFERROR(IF(($KC126)&gt;0,($JW126*cfg_TroyOz)/($KC126),""),"")</f>
        <v/>
      </c>
      <c r="KJ126" s="56">
        <f>IFERROR(IF(($KD126)&gt;0,($JX126*cfg_TroyOz)/($KD126),""),"")</f>
        <v/>
      </c>
      <c r="KK126" s="56">
        <f>IFERROR(IF(($KE126)&gt;0,($JY126*cfg_TroyOz)/($KE126),""),"")</f>
        <v/>
      </c>
      <c r="KL126" s="67">
        <f>IFERROR(IF(($KF126)&gt;0,($JZ126)/($KF126),""),"")</f>
        <v/>
      </c>
      <c r="KM126" s="67">
        <f>IFERROR(IF(($KG126)&gt;0,($KA126)/($KG126),""),"")</f>
        <v/>
      </c>
      <c r="KN126" s="67">
        <f>IFERROR(IF(($KH126)&gt;0,($KB126)/($KH126),""),"")</f>
        <v/>
      </c>
      <c r="KO126" s="55">
        <f>SUMIFS(tblBudget[Gold_Poured_oz],tblBudget[Month],$E126)</f>
        <v/>
      </c>
      <c r="KP126" s="55">
        <f>$KO126*$C126/$D126</f>
        <v/>
      </c>
      <c r="KQ126" s="55">
        <f>SUMIFS(tblBudget[Gold_Poured_oz],tblBudget[Month],"&lt;"&amp;$E126)+$KP126</f>
        <v/>
      </c>
      <c r="KR126" s="57">
        <f>SUMIFS(tblBudget[Hours_Worked],tblBudget[Month],$E126)</f>
        <v/>
      </c>
      <c r="KS126" s="57">
        <f>$KR126*$C126/$D126</f>
        <v/>
      </c>
      <c r="KT126" s="57">
        <f>SUMIFS(tblBudget[Hours_Worked],tblBudget[Month],"&lt;"&amp;$E126)+$KS126</f>
        <v/>
      </c>
    </row>
    <row r="127">
      <c r="A127" s="54" t="n">
        <v>46148</v>
      </c>
      <c r="B127">
        <f>MONTH($A127)</f>
        <v/>
      </c>
      <c r="C127">
        <f>DAY($A127)</f>
        <v/>
      </c>
      <c r="D127">
        <f>DAY(EOMONTH($A127,0))</f>
        <v/>
      </c>
      <c r="E127" s="54">
        <f>DATE(YEAR($A127),MONTH($A127),1)</f>
        <v/>
      </c>
      <c r="F127" s="55">
        <f>SUMIFS(tblMovement[Tonnes_t],tblMovement[Date],$A127,tblMovement[Is_Ore],1,tblMovement[Source_Type],"Pit")</f>
        <v/>
      </c>
      <c r="G127" s="55">
        <f>IF($B127=$B126,$G126,0)+$F127</f>
        <v/>
      </c>
      <c r="H127" s="55">
        <f>$H126+$F127</f>
        <v/>
      </c>
      <c r="I127" s="55">
        <f>SUMIFS(tblMovement[Ore_oz],tblMovement[Date],$A127,tblMovement[Source_Type],"Pit")</f>
        <v/>
      </c>
      <c r="J127" s="55">
        <f>IF($B127=$B126,$J126,0)+$I127</f>
        <v/>
      </c>
      <c r="K127" s="55">
        <f>$K126+$I127</f>
        <v/>
      </c>
      <c r="L127" s="55">
        <f>SUMIFS(tblMovement[Tonnes_t],tblMovement[Date],$A127,tblMovement[Is_Ore],1,tblMovement[Source_Type],"Pit",tblMovement[Grade_gpt],"&lt;&gt;")</f>
        <v/>
      </c>
      <c r="M127" s="55">
        <f>IF($B127=$B126,$M126,0)+$L127</f>
        <v/>
      </c>
      <c r="N127" s="55">
        <f>$N126+$L127</f>
        <v/>
      </c>
      <c r="O127" s="56">
        <f>IFERROR(IF(($L127)&gt;0,($I127*cfg_TroyOz)/($L127),""),"")</f>
        <v/>
      </c>
      <c r="P127" s="56">
        <f>IFERROR(IF(($M127)&gt;0,($J127*cfg_TroyOz)/($M127),""),"")</f>
        <v/>
      </c>
      <c r="Q127" s="56">
        <f>IFERROR(IF(($N127)&gt;0,($K127*cfg_TroyOz)/($N127),""),"")</f>
        <v/>
      </c>
      <c r="R127" s="55">
        <f>$F127-$L127</f>
        <v/>
      </c>
      <c r="S127" s="55">
        <f>IF($B127=$B126,$S126,0)+$R127</f>
        <v/>
      </c>
      <c r="T127" s="55">
        <f>$T126+$R127</f>
        <v/>
      </c>
      <c r="U127" s="55">
        <f>SUMIFS(tblMovement[Tonnes_t],tblMovement[Date],$A127,tblMovement[Is_Ore],0,tblMovement[Source_Type],"Pit")</f>
        <v/>
      </c>
      <c r="V127" s="55">
        <f>IF($B127=$B126,$V126,0)+$U127</f>
        <v/>
      </c>
      <c r="W127" s="55">
        <f>$W126+$U127</f>
        <v/>
      </c>
      <c r="X127" s="55">
        <f>$F127+$U127</f>
        <v/>
      </c>
      <c r="Y127" s="55">
        <f>IF($B127=$B126,$Y126,0)+$X127</f>
        <v/>
      </c>
      <c r="Z127" s="55">
        <f>$Z126+$X127</f>
        <v/>
      </c>
      <c r="AA127" s="56">
        <f>IFERROR(IF(($F127)&gt;0,($U127)/($F127),""),"")</f>
        <v/>
      </c>
      <c r="AB127" s="56">
        <f>IFERROR(IF(($G127)&gt;0,($V127)/($G127),""),"")</f>
        <v/>
      </c>
      <c r="AC127" s="56">
        <f>IFERROR(IF(($H127)&gt;0,($W127)/($H127),""),"")</f>
        <v/>
      </c>
      <c r="AD127" s="55">
        <f>SUMIFS(tblMovement[Tonnes_t],tblMovement[Date],$A127,tblMovement[Source_Type],"Stockpile")</f>
        <v/>
      </c>
      <c r="AE127" s="55">
        <f>IF($B127=$B126,$AE126,0)+$AD127</f>
        <v/>
      </c>
      <c r="AF127" s="55">
        <f>$AF126+$AD127</f>
        <v/>
      </c>
      <c r="AG127" s="55">
        <f>SUMIFS(tblMovement[Tonnes_t],tblMovement[Date],$A127)</f>
        <v/>
      </c>
      <c r="AH127" s="55">
        <f>IF($B127=$B126,$AH126,0)+$AG127</f>
        <v/>
      </c>
      <c r="AI127" s="55">
        <f>$AI126+$AG127</f>
        <v/>
      </c>
      <c r="AJ127" s="55">
        <f>$AG127-$X127-$AD127</f>
        <v/>
      </c>
      <c r="AK127" s="55">
        <f>IF($B127=$B126,$AK126,0)+$AJ127</f>
        <v/>
      </c>
      <c r="AL127" s="55">
        <f>$AL126+$AJ127</f>
        <v/>
      </c>
      <c r="AM127" s="55">
        <f>SUMIFS(tblMiningDaily[Drill_m],tblMiningDaily[Date],$A127)</f>
        <v/>
      </c>
      <c r="AN127" s="55">
        <f>IF($B127=$B126,$AN126,0)+$AM127</f>
        <v/>
      </c>
      <c r="AO127" s="55">
        <f>$AO126+$AM127</f>
        <v/>
      </c>
      <c r="AP127" s="55">
        <f>SUMIFS(tblMiningDaily[GC_Drill_m],tblMiningDaily[Date],$A127)</f>
        <v/>
      </c>
      <c r="AQ127" s="55">
        <f>IF($B127=$B126,$AQ126,0)+$AP127</f>
        <v/>
      </c>
      <c r="AR127" s="55">
        <f>$AR126+$AP127</f>
        <v/>
      </c>
      <c r="AS127" s="55">
        <f>SUMIFS(tblMiningDaily[Blast_t],tblMiningDaily[Date],$A127)</f>
        <v/>
      </c>
      <c r="AT127" s="55">
        <f>IF($B127=$B126,$AT126,0)+$AS127</f>
        <v/>
      </c>
      <c r="AU127" s="55">
        <f>$AU126+$AS127</f>
        <v/>
      </c>
      <c r="AV127" s="55">
        <f>SUMIFS(tblMiningDaily[Explosives_kg],tblMiningDaily[Date],$A127)</f>
        <v/>
      </c>
      <c r="AW127" s="55">
        <f>IF($B127=$B126,$AW126,0)+$AV127</f>
        <v/>
      </c>
      <c r="AX127" s="55">
        <f>$AX126+$AV127</f>
        <v/>
      </c>
      <c r="AY127" s="56">
        <f>IFERROR(IF(($AS127)&gt;0,($AV127)/($AS127),""),"")</f>
        <v/>
      </c>
      <c r="AZ127" s="56">
        <f>IFERROR(IF(($AT127)&gt;0,($AW127)/($AT127),""),"")</f>
        <v/>
      </c>
      <c r="BA127" s="56">
        <f>IFERROR(IF(($AU127)&gt;0,($AX127)/($AU127),""),"")</f>
        <v/>
      </c>
      <c r="BB127" s="55">
        <f>SUMIFS(tblMiningDaily[Diesel_L],tblMiningDaily[Date],$A127)</f>
        <v/>
      </c>
      <c r="BC127" s="55">
        <f>IF($B127=$B126,$BC126,0)+$BB127</f>
        <v/>
      </c>
      <c r="BD127" s="55">
        <f>$BD126+$BB127</f>
        <v/>
      </c>
      <c r="BE127" s="55">
        <f>SUMIFS(tblMiningDaily[Dewatering_m3],tblMiningDaily[Date],$A127)</f>
        <v/>
      </c>
      <c r="BF127" s="55">
        <f>IF($B127=$B126,$BF126,0)+$BE127</f>
        <v/>
      </c>
      <c r="BG127" s="55">
        <f>$BG126+$BE127</f>
        <v/>
      </c>
      <c r="BH127" s="57">
        <f>SUMIFS(tblFleet[Calendar_h],tblFleet[Date],$A127,tblFleet[Equipment_Class],"Excavator")</f>
        <v/>
      </c>
      <c r="BI127" s="57">
        <f>IF($B127=$B126,$BI126,0)+$BH127</f>
        <v/>
      </c>
      <c r="BJ127" s="57">
        <f>$BJ126+$BH127</f>
        <v/>
      </c>
      <c r="BK127" s="57">
        <f>SUMIFS(tblFleet[Available_h],tblFleet[Date],$A127,tblFleet[Equipment_Class],"Excavator")</f>
        <v/>
      </c>
      <c r="BL127" s="57">
        <f>IF($B127=$B126,$BL126,0)+$BK127</f>
        <v/>
      </c>
      <c r="BM127" s="57">
        <f>$BM126+$BK127</f>
        <v/>
      </c>
      <c r="BN127" s="57">
        <f>SUMIFS(tblFleet[Operating_h],tblFleet[Date],$A127,tblFleet[Equipment_Class],"Excavator")</f>
        <v/>
      </c>
      <c r="BO127" s="57">
        <f>IF($B127=$B126,$BO126,0)+$BN127</f>
        <v/>
      </c>
      <c r="BP127" s="57">
        <f>$BP126+$BN127</f>
        <v/>
      </c>
      <c r="BQ127" s="67">
        <f>IFERROR(IF(($BH127)&gt;0,($BK127)/($BH127),""),"")</f>
        <v/>
      </c>
      <c r="BR127" s="67">
        <f>IFERROR(IF(($BI127)&gt;0,($BL127)/($BI127),""),"")</f>
        <v/>
      </c>
      <c r="BS127" s="67">
        <f>IFERROR(IF(($BJ127)&gt;0,($BM127)/($BJ127),""),"")</f>
        <v/>
      </c>
      <c r="BT127" s="67">
        <f>IFERROR(IF(($BK127)&gt;0,($BN127)/($BK127),""),"")</f>
        <v/>
      </c>
      <c r="BU127" s="67">
        <f>IFERROR(IF(($BL127)&gt;0,($BO127)/($BL127),""),"")</f>
        <v/>
      </c>
      <c r="BV127" s="67">
        <f>IFERROR(IF(($BM127)&gt;0,($BP127)/($BM127),""),"")</f>
        <v/>
      </c>
      <c r="BW127" s="57">
        <f>SUMIFS(tblFleet[Calendar_h],tblFleet[Date],$A127,tblFleet[Equipment_Class],"Haul Truck")</f>
        <v/>
      </c>
      <c r="BX127" s="57">
        <f>IF($B127=$B126,$BX126,0)+$BW127</f>
        <v/>
      </c>
      <c r="BY127" s="57">
        <f>$BY126+$BW127</f>
        <v/>
      </c>
      <c r="BZ127" s="57">
        <f>SUMIFS(tblFleet[Available_h],tblFleet[Date],$A127,tblFleet[Equipment_Class],"Haul Truck")</f>
        <v/>
      </c>
      <c r="CA127" s="57">
        <f>IF($B127=$B126,$CA126,0)+$BZ127</f>
        <v/>
      </c>
      <c r="CB127" s="57">
        <f>$CB126+$BZ127</f>
        <v/>
      </c>
      <c r="CC127" s="57">
        <f>SUMIFS(tblFleet[Operating_h],tblFleet[Date],$A127,tblFleet[Equipment_Class],"Haul Truck")</f>
        <v/>
      </c>
      <c r="CD127" s="57">
        <f>IF($B127=$B126,$CD126,0)+$CC127</f>
        <v/>
      </c>
      <c r="CE127" s="57">
        <f>$CE126+$CC127</f>
        <v/>
      </c>
      <c r="CF127" s="67">
        <f>IFERROR(IF(($BW127)&gt;0,($BZ127)/($BW127),""),"")</f>
        <v/>
      </c>
      <c r="CG127" s="67">
        <f>IFERROR(IF(($BX127)&gt;0,($CA127)/($BX127),""),"")</f>
        <v/>
      </c>
      <c r="CH127" s="67">
        <f>IFERROR(IF(($BY127)&gt;0,($CB127)/($BY127),""),"")</f>
        <v/>
      </c>
      <c r="CI127" s="67">
        <f>IFERROR(IF(($BZ127)&gt;0,($CC127)/($BZ127),""),"")</f>
        <v/>
      </c>
      <c r="CJ127" s="67">
        <f>IFERROR(IF(($CA127)&gt;0,($CD127)/($CA127),""),"")</f>
        <v/>
      </c>
      <c r="CK127" s="67">
        <f>IFERROR(IF(($CB127)&gt;0,($CE127)/($CB127),""),"")</f>
        <v/>
      </c>
      <c r="CL127" s="55">
        <f>IFERROR(IF(($BN127)&gt;0,($X127+$AD127)/($BN127),""),"")</f>
        <v/>
      </c>
      <c r="CM127" s="55">
        <f>IFERROR(IF(($BO127)&gt;0,($Y127+$AE127)/($BO127),""),"")</f>
        <v/>
      </c>
      <c r="CN127" s="55">
        <f>IFERROR(IF(($BP127)&gt;0,($Z127+$AF127)/($BP127),""),"")</f>
        <v/>
      </c>
      <c r="CO127" s="55">
        <f>IFERROR(IF(($CC127)&gt;0,($X127+$AD127)/($CC127),""),"")</f>
        <v/>
      </c>
      <c r="CP127" s="55">
        <f>IFERROR(IF(($CD127)&gt;0,($Y127+$AE127)/($CD127),""),"")</f>
        <v/>
      </c>
      <c r="CQ127" s="55">
        <f>IFERROR(IF(($CE127)&gt;0,($Z127+$AF127)/($CE127),""),"")</f>
        <v/>
      </c>
      <c r="CR127" s="55">
        <f>SUMIFS(tblPlant[Crushed_t],tblPlant[Date],$A127)</f>
        <v/>
      </c>
      <c r="CS127" s="55">
        <f>IF($B127=$B126,$CS126,0)+$CR127</f>
        <v/>
      </c>
      <c r="CT127" s="55">
        <f>$CT126+$CR127</f>
        <v/>
      </c>
      <c r="CU127" s="55">
        <f>SUMIFS(tblPlant[Milled_t],tblPlant[Date],$A127)</f>
        <v/>
      </c>
      <c r="CV127" s="55">
        <f>IF($B127=$B126,$CV126,0)+$CU127</f>
        <v/>
      </c>
      <c r="CW127" s="55">
        <f>$CW126+$CU127</f>
        <v/>
      </c>
      <c r="CX127" s="55">
        <f>SUMIFS(tblPlant[Feed_oz],tblPlant[Date],$A127)</f>
        <v/>
      </c>
      <c r="CY127" s="55">
        <f>IF($B127=$B126,$CY126,0)+$CX127</f>
        <v/>
      </c>
      <c r="CZ127" s="55">
        <f>$CZ126+$CX127</f>
        <v/>
      </c>
      <c r="DA127" s="55">
        <f>SUMIFS(tblPlant[Tails_oz],tblPlant[Date],$A127)</f>
        <v/>
      </c>
      <c r="DB127" s="55">
        <f>IF($B127=$B126,$DB126,0)+$DA127</f>
        <v/>
      </c>
      <c r="DC127" s="55">
        <f>$DC126+$DA127</f>
        <v/>
      </c>
      <c r="DD127" s="55">
        <f>SUMIFS(tblPlant[Recovered_oz],tblPlant[Date],$A127)</f>
        <v/>
      </c>
      <c r="DE127" s="55">
        <f>IF($B127=$B126,$DE126,0)+$DD127</f>
        <v/>
      </c>
      <c r="DF127" s="55">
        <f>$DF126+$DD127</f>
        <v/>
      </c>
      <c r="DG127" s="55">
        <f>SUMIFS(tblPlant[Milled_t],tblPlant[Date],$A127,tblPlant[Head_Grade_gpt],"&lt;&gt;")</f>
        <v/>
      </c>
      <c r="DH127" s="55">
        <f>IF($B127=$B126,$DH126,0)+$DG127</f>
        <v/>
      </c>
      <c r="DI127" s="55">
        <f>$DI126+$DG127</f>
        <v/>
      </c>
      <c r="DJ127" s="55">
        <f>SUMIFS(tblPlant[Milled_t],tblPlant[Date],$A127,tblPlant[Tails_Grade_gpt],"&lt;&gt;")</f>
        <v/>
      </c>
      <c r="DK127" s="55">
        <f>IF($B127=$B126,$DK126,0)+$DJ127</f>
        <v/>
      </c>
      <c r="DL127" s="55">
        <f>$DL126+$DJ127</f>
        <v/>
      </c>
      <c r="DM127" s="55">
        <f>SUMIFS(tblPlant[Feed_oz],tblPlant[Date],$A127,tblPlant[Tails_Grade_gpt],"&lt;&gt;")</f>
        <v/>
      </c>
      <c r="DN127" s="55">
        <f>IF($B127=$B126,$DN126,0)+$DM127</f>
        <v/>
      </c>
      <c r="DO127" s="55">
        <f>$DO126+$DM127</f>
        <v/>
      </c>
      <c r="DP127" s="55">
        <f>SUMIFS(tblPlant[Milled_t],tblPlant[Date],$A127,tblPlant[Mill_Run_h],"&lt;&gt;")</f>
        <v/>
      </c>
      <c r="DQ127" s="55">
        <f>IF($B127=$B126,$DQ126,0)+$DP127</f>
        <v/>
      </c>
      <c r="DR127" s="55">
        <f>$DR126+$DP127</f>
        <v/>
      </c>
      <c r="DS127" s="56">
        <f>IFERROR(IF(($DG127)&gt;0,($CX127*cfg_TroyOz)/($DG127),""),"")</f>
        <v/>
      </c>
      <c r="DT127" s="56">
        <f>IFERROR(IF(($DH127)&gt;0,($CY127*cfg_TroyOz)/($DH127),""),"")</f>
        <v/>
      </c>
      <c r="DU127" s="56">
        <f>IFERROR(IF(($DI127)&gt;0,($CZ127*cfg_TroyOz)/($DI127),""),"")</f>
        <v/>
      </c>
      <c r="DV127" s="56">
        <f>IFERROR(IF(($DJ127)&gt;0,($DA127*cfg_TroyOz)/($DJ127),""),"")</f>
        <v/>
      </c>
      <c r="DW127" s="56">
        <f>IFERROR(IF(($DK127)&gt;0,($DB127*cfg_TroyOz)/($DK127),""),"")</f>
        <v/>
      </c>
      <c r="DX127" s="56">
        <f>IFERROR(IF(($DL127)&gt;0,($DC127*cfg_TroyOz)/($DL127),""),"")</f>
        <v/>
      </c>
      <c r="DY127" s="67">
        <f>IFERROR(IF(($DM127)&gt;0,($DD127)/($DM127),""),"")</f>
        <v/>
      </c>
      <c r="DZ127" s="67">
        <f>IFERROR(IF(($DN127)&gt;0,($DE127)/($DN127),""),"")</f>
        <v/>
      </c>
      <c r="EA127" s="67">
        <f>IFERROR(IF(($DO127)&gt;0,($DF127)/($DO127),""),"")</f>
        <v/>
      </c>
      <c r="EB127" s="55">
        <f>SUMIFS(tblPlant[Gravity_Gold_oz],tblPlant[Date],$A127)</f>
        <v/>
      </c>
      <c r="EC127" s="55">
        <f>IF($B127=$B126,$EC126,0)+$EB127</f>
        <v/>
      </c>
      <c r="ED127" s="55">
        <f>$ED126+$EB127</f>
        <v/>
      </c>
      <c r="EE127" s="67">
        <f>IFERROR(IF(($DD127)&gt;0,($EB127)/($DD127),""),"")</f>
        <v/>
      </c>
      <c r="EF127" s="67">
        <f>IFERROR(IF(($DE127)&gt;0,($EC127)/($DE127),""),"")</f>
        <v/>
      </c>
      <c r="EG127" s="67">
        <f>IFERROR(IF(($DF127)&gt;0,($ED127)/($DF127),""),"")</f>
        <v/>
      </c>
      <c r="EH127" s="55">
        <f>SUMIFS(tblPlant[Gold_Poured_oz],tblPlant[Date],$A127)</f>
        <v/>
      </c>
      <c r="EI127" s="55">
        <f>IF($B127=$B126,$EI126,0)+$EH127</f>
        <v/>
      </c>
      <c r="EJ127" s="55">
        <f>$EJ126+$EH127</f>
        <v/>
      </c>
      <c r="EK127" s="57">
        <f>SUMIFS(tblPlant[Mill_Run_h],tblPlant[Date],$A127)</f>
        <v/>
      </c>
      <c r="EL127" s="57">
        <f>IF($B127=$B126,$EL126,0)+$EK127</f>
        <v/>
      </c>
      <c r="EM127" s="57">
        <f>$EM126+$EK127</f>
        <v/>
      </c>
      <c r="EN127" s="57">
        <f>SUMIFS(tblPlant[Mill_Planned_Maint_h],tblPlant[Date],$A127)</f>
        <v/>
      </c>
      <c r="EO127" s="57">
        <f>IF($B127=$B126,$EO126,0)+$EN127</f>
        <v/>
      </c>
      <c r="EP127" s="57">
        <f>$EP126+$EN127</f>
        <v/>
      </c>
      <c r="EQ127" s="57">
        <f>SUMIFS(tblPlant[Mill_Unplanned_Down_h],tblPlant[Date],$A127)</f>
        <v/>
      </c>
      <c r="ER127" s="57">
        <f>IF($B127=$B126,$ER126,0)+$EQ127</f>
        <v/>
      </c>
      <c r="ES127" s="57">
        <f>$ES126+$EQ127</f>
        <v/>
      </c>
      <c r="ET127" s="57">
        <f>IF(COUNTIFS(tblPlant[Date],$A127,tblPlant[Mill_Run_h],"&lt;&gt;")+COUNTIFS(tblPlant[Date],$A127,tblPlant[Mill_Planned_Maint_h],"&lt;&gt;")+COUNTIFS(tblPlant[Date],$A127,tblPlant[Mill_Unplanned_Down_h],"&lt;&gt;")&gt;0,cfg_HoursPerDay,0)</f>
        <v/>
      </c>
      <c r="EU127" s="57">
        <f>IF($B127=$B126,$EU126,0)+$ET127</f>
        <v/>
      </c>
      <c r="EV127" s="57">
        <f>$EV126+$ET127</f>
        <v/>
      </c>
      <c r="EW127" s="57">
        <f>SUMIFS(tblPlant[Crusher_Run_h],tblPlant[Date],$A127)</f>
        <v/>
      </c>
      <c r="EX127" s="57">
        <f>IF($B127=$B126,$EX126,0)+$EW127</f>
        <v/>
      </c>
      <c r="EY127" s="57">
        <f>$EY126+$EW127</f>
        <v/>
      </c>
      <c r="EZ127" s="55">
        <f>IFERROR(IF(($EK127)&gt;0,($DP127)/($EK127),""),"")</f>
        <v/>
      </c>
      <c r="FA127" s="55">
        <f>IFERROR(IF(($EL127)&gt;0,($DQ127)/($EL127),""),"")</f>
        <v/>
      </c>
      <c r="FB127" s="55">
        <f>IFERROR(IF(($EM127)&gt;0,($DR127)/($EM127),""),"")</f>
        <v/>
      </c>
      <c r="FC127" s="67">
        <f>IFERROR(IF(($ET127)&gt;0,($ET127-$EN127-$EQ127)/($ET127),""),"")</f>
        <v/>
      </c>
      <c r="FD127" s="67">
        <f>IFERROR(IF(($EU127)&gt;0,($EU127-$EO127-$ER127)/($EU127),""),"")</f>
        <v/>
      </c>
      <c r="FE127" s="67">
        <f>IFERROR(IF(($EV127)&gt;0,($EV127-$EP127-$ES127)/($EV127),""),"")</f>
        <v/>
      </c>
      <c r="FF127" s="67">
        <f>IFERROR(IF(($ET127-$EN127-$EQ127)&gt;0,($EK127)/($ET127-$EN127-$EQ127),""),"")</f>
        <v/>
      </c>
      <c r="FG127" s="67">
        <f>IFERROR(IF(($EU127-$EO127-$ER127)&gt;0,($EL127)/($EU127-$EO127-$ER127),""),"")</f>
        <v/>
      </c>
      <c r="FH127" s="67">
        <f>IFERROR(IF(($EV127-$EP127-$ES127)&gt;0,($EM127)/($EV127-$EP127-$ES127),""),"")</f>
        <v/>
      </c>
      <c r="FI127" s="55">
        <f>SUMIFS(tblPlant[Cyanide_kg],tblPlant[Date],$A127)</f>
        <v/>
      </c>
      <c r="FJ127" s="55">
        <f>IF($B127=$B126,$FJ126,0)+$FI127</f>
        <v/>
      </c>
      <c r="FK127" s="55">
        <f>$FK126+$FI127</f>
        <v/>
      </c>
      <c r="FL127" s="55">
        <f>SUMIFS(tblPlant[Lime_kg],tblPlant[Date],$A127)</f>
        <v/>
      </c>
      <c r="FM127" s="55">
        <f>IF($B127=$B126,$FM126,0)+$FL127</f>
        <v/>
      </c>
      <c r="FN127" s="55">
        <f>$FN126+$FL127</f>
        <v/>
      </c>
      <c r="FO127" s="55">
        <f>SUMIFS(tblPlant[Grinding_Media_kg],tblPlant[Date],$A127)</f>
        <v/>
      </c>
      <c r="FP127" s="55">
        <f>IF($B127=$B126,$FP126,0)+$FO127</f>
        <v/>
      </c>
      <c r="FQ127" s="55">
        <f>$FQ126+$FO127</f>
        <v/>
      </c>
      <c r="FR127" s="55">
        <f>SUMIFS(tblPlant[Power_kWh],tblPlant[Date],$A127)</f>
        <v/>
      </c>
      <c r="FS127" s="55">
        <f>IF($B127=$B126,$FS126,0)+$FR127</f>
        <v/>
      </c>
      <c r="FT127" s="55">
        <f>$FT126+$FR127</f>
        <v/>
      </c>
      <c r="FU127" s="55">
        <f>SUMIFS(tblPlant[Raw_Water_m3],tblPlant[Date],$A127)</f>
        <v/>
      </c>
      <c r="FV127" s="55">
        <f>IF($B127=$B126,$FV126,0)+$FU127</f>
        <v/>
      </c>
      <c r="FW127" s="55">
        <f>$FW126+$FU127</f>
        <v/>
      </c>
      <c r="FX127" s="56">
        <f>IFERROR(IF(($CU127)&gt;0,($FI127)/($CU127),""),"")</f>
        <v/>
      </c>
      <c r="FY127" s="56">
        <f>IFERROR(IF(($CV127)&gt;0,($FJ127)/($CV127),""),"")</f>
        <v/>
      </c>
      <c r="FZ127" s="56">
        <f>IFERROR(IF(($CW127)&gt;0,($FK127)/($CW127),""),"")</f>
        <v/>
      </c>
      <c r="GA127" s="56">
        <f>IFERROR(IF(($CU127)&gt;0,($FL127)/($CU127),""),"")</f>
        <v/>
      </c>
      <c r="GB127" s="56">
        <f>IFERROR(IF(($CV127)&gt;0,($FM127)/($CV127),""),"")</f>
        <v/>
      </c>
      <c r="GC127" s="56">
        <f>IFERROR(IF(($CW127)&gt;0,($FN127)/($CW127),""),"")</f>
        <v/>
      </c>
      <c r="GD127" s="56">
        <f>IFERROR(IF(($CU127)&gt;0,($FO127)/($CU127),""),"")</f>
        <v/>
      </c>
      <c r="GE127" s="56">
        <f>IFERROR(IF(($CV127)&gt;0,($FP127)/($CV127),""),"")</f>
        <v/>
      </c>
      <c r="GF127" s="56">
        <f>IFERROR(IF(($CW127)&gt;0,($FQ127)/($CW127),""),"")</f>
        <v/>
      </c>
      <c r="GG127" s="79">
        <f>IFERROR(IF(($CU127)&gt;0,($FR127)/($CU127),""),"")</f>
        <v/>
      </c>
      <c r="GH127" s="79">
        <f>IFERROR(IF(($CV127)&gt;0,($FS127)/($CV127),""),"")</f>
        <v/>
      </c>
      <c r="GI127" s="79">
        <f>IFERROR(IF(($CW127)&gt;0,($FT127)/($CW127),""),"")</f>
        <v/>
      </c>
      <c r="GJ127" s="56">
        <f>IFERROR(IF(($CU127)&gt;0,($FU127)/($CU127),""),"")</f>
        <v/>
      </c>
      <c r="GK127" s="56">
        <f>IFERROR(IF(($CV127)&gt;0,($FV127)/($CV127),""),"")</f>
        <v/>
      </c>
      <c r="GL127" s="56">
        <f>IFERROR(IF(($CW127)&gt;0,($FW127)/($CW127),""),"")</f>
        <v/>
      </c>
      <c r="GM127" s="55">
        <f>IF(SUMIFS(tblPlant[GIC_oz],tblPlant[Date],$A127)&gt;0,SUMIFS(tblPlant[GIC_oz],tblPlant[Date],$A127),"")</f>
        <v/>
      </c>
      <c r="GN127" s="55">
        <f>SUMIFS(tblGold[Gold_oz],tblGold[Date],$A127,tblGold[Type],"Shipment")</f>
        <v/>
      </c>
      <c r="GO127" s="55">
        <f>IF($B127=$B126,$GO126,0)+$GN127</f>
        <v/>
      </c>
      <c r="GP127" s="55">
        <f>$GP126+$GN127</f>
        <v/>
      </c>
      <c r="GQ127" s="55">
        <f>SUMIFS(tblGold[Gold_oz],tblGold[Date],$A127,tblGold[Type],"Sale")</f>
        <v/>
      </c>
      <c r="GR127" s="55">
        <f>IF($B127=$B126,$GR126,0)+$GQ127</f>
        <v/>
      </c>
      <c r="GS127" s="55">
        <f>$GS126+$GQ127</f>
        <v/>
      </c>
      <c r="GT127" s="55">
        <f>SUMIFS(tblGold[Dore_kg],tblGold[Date],$A127,tblGold[Type],"Shipment")</f>
        <v/>
      </c>
      <c r="GU127" s="55">
        <f>IF($B127=$B126,$GU126,0)+$GT127</f>
        <v/>
      </c>
      <c r="GV127" s="55">
        <f>$GV126+$GT127</f>
        <v/>
      </c>
      <c r="GW127" s="57">
        <f>SUMIFS(tblSafety[Hours_Total],tblSafety[Date],$A127)</f>
        <v/>
      </c>
      <c r="GX127" s="57">
        <f>IF($B127=$B126,$GX126,0)+$GW127</f>
        <v/>
      </c>
      <c r="GY127" s="57">
        <f>$GY126+$GW127</f>
        <v/>
      </c>
      <c r="GZ127" s="62">
        <f>SUMIFS(tblSafety[Fatality],tblSafety[Date],$A127)</f>
        <v/>
      </c>
      <c r="HA127" s="62">
        <f>IF($B127=$B126,$HA126,0)+$GZ127</f>
        <v/>
      </c>
      <c r="HB127" s="62">
        <f>$HB126+$GZ127</f>
        <v/>
      </c>
      <c r="HC127" s="62">
        <f>SUMIFS(tblSafety[LTI],tblSafety[Date],$A127)</f>
        <v/>
      </c>
      <c r="HD127" s="62">
        <f>IF($B127=$B126,$HD126,0)+$HC127</f>
        <v/>
      </c>
      <c r="HE127" s="62">
        <f>$HE126+$HC127</f>
        <v/>
      </c>
      <c r="HF127" s="62">
        <f>SUMIFS(tblSafety[RWI],tblSafety[Date],$A127)</f>
        <v/>
      </c>
      <c r="HG127" s="62">
        <f>IF($B127=$B126,$HG126,0)+$HF127</f>
        <v/>
      </c>
      <c r="HH127" s="62">
        <f>$HH126+$HF127</f>
        <v/>
      </c>
      <c r="HI127" s="62">
        <f>SUMIFS(tblSafety[MTI],tblSafety[Date],$A127)</f>
        <v/>
      </c>
      <c r="HJ127" s="62">
        <f>IF($B127=$B126,$HJ126,0)+$HI127</f>
        <v/>
      </c>
      <c r="HK127" s="62">
        <f>$HK126+$HI127</f>
        <v/>
      </c>
      <c r="HL127" s="62">
        <f>SUMIFS(tblSafety[FAI],tblSafety[Date],$A127)</f>
        <v/>
      </c>
      <c r="HM127" s="62">
        <f>IF($B127=$B126,$HM126,0)+$HL127</f>
        <v/>
      </c>
      <c r="HN127" s="62">
        <f>$HN126+$HL127</f>
        <v/>
      </c>
      <c r="HO127" s="62">
        <f>SUMIFS(tblSafety[Recordables],tblSafety[Date],$A127)</f>
        <v/>
      </c>
      <c r="HP127" s="62">
        <f>IF($B127=$B126,$HP126,0)+$HO127</f>
        <v/>
      </c>
      <c r="HQ127" s="62">
        <f>$HQ126+$HO127</f>
        <v/>
      </c>
      <c r="HR127" s="62">
        <f>SUMIFS(tblSafety[Near_Miss],tblSafety[Date],$A127)</f>
        <v/>
      </c>
      <c r="HS127" s="62">
        <f>IF($B127=$B126,$HS126,0)+$HR127</f>
        <v/>
      </c>
      <c r="HT127" s="62">
        <f>$HT126+$HR127</f>
        <v/>
      </c>
      <c r="HU127" s="62">
        <f>SUMIFS(tblSafety[Hazard_Reports],tblSafety[Date],$A127)</f>
        <v/>
      </c>
      <c r="HV127" s="62">
        <f>IF($B127=$B126,$HV126,0)+$HU127</f>
        <v/>
      </c>
      <c r="HW127" s="62">
        <f>$HW126+$HU127</f>
        <v/>
      </c>
      <c r="HX127" s="62">
        <f>SUMIFS(tblSafety[HPI],tblSafety[Date],$A127)</f>
        <v/>
      </c>
      <c r="HY127" s="62">
        <f>IF($B127=$B126,$HY126,0)+$HX127</f>
        <v/>
      </c>
      <c r="HZ127" s="62">
        <f>$HZ126+$HX127</f>
        <v/>
      </c>
      <c r="IA127" s="62">
        <f>SUMIFS(tblSafety[Env_Incidents],tblSafety[Date],$A127)</f>
        <v/>
      </c>
      <c r="IB127" s="62">
        <f>IF($B127=$B126,$IB126,0)+$IA127</f>
        <v/>
      </c>
      <c r="IC127" s="62">
        <f>$IC126+$IA127</f>
        <v/>
      </c>
      <c r="ID127" s="62">
        <f>SUMIFS(tblSafety[Community_Incidents],tblSafety[Date],$A127)</f>
        <v/>
      </c>
      <c r="IE127" s="62">
        <f>IF($B127=$B126,$IE126,0)+$ID127</f>
        <v/>
      </c>
      <c r="IF127" s="62">
        <f>$IF126+$ID127</f>
        <v/>
      </c>
      <c r="IG127" s="62">
        <f>SUMIFS(tblSafety[Vehicle_Incidents],tblSafety[Date],$A127)</f>
        <v/>
      </c>
      <c r="IH127" s="62">
        <f>IF($B127=$B126,$IH126,0)+$IG127</f>
        <v/>
      </c>
      <c r="II127" s="62">
        <f>$II126+$IG127</f>
        <v/>
      </c>
      <c r="IJ127" s="62">
        <f>SUMIFS(tblSafety[Toolbox_Talks],tblSafety[Date],$A127)</f>
        <v/>
      </c>
      <c r="IK127" s="62">
        <f>IF($B127=$B126,$IK126,0)+$IJ127</f>
        <v/>
      </c>
      <c r="IL127" s="62">
        <f>$IL126+$IJ127</f>
        <v/>
      </c>
      <c r="IM127" s="62">
        <f>SUMIFS(tblSafety[Inspections],tblSafety[Date],$A127)</f>
        <v/>
      </c>
      <c r="IN127" s="62">
        <f>IF($B127=$B126,$IN126,0)+$IM127</f>
        <v/>
      </c>
      <c r="IO127" s="62">
        <f>$IO126+$IM127</f>
        <v/>
      </c>
      <c r="IP127" s="56">
        <f>IFERROR((SUMIFS(tblSafety[Recordables],tblSafety[Date],"&gt;="&amp;EDATE($E127,-12),tblSafety[Date],"&lt;="&amp;$A127)+SUMIFS(tblSafetyHistory[Recordables],tblSafetyHistory[Month],"&gt;="&amp;EDATE($E127,-12),tblSafetyHistory[Month],"&lt;"&amp;$E127,tblSafetyHistory[Use],1))/(SUMIFS(tblSafety[Hours_Total],tblSafety[Date],"&gt;="&amp;EDATE($E127,-12),tblSafety[Date],"&lt;="&amp;$A127)+SUMIFS(tblSafetyHistory[Hours_Total],tblSafetyHistory[Month],"&gt;="&amp;EDATE($E127,-12),tblSafetyHistory[Month],"&lt;"&amp;$E127,tblSafetyHistory[Use],1))*cfg_RateBasisHours,"")</f>
        <v/>
      </c>
      <c r="IQ127" s="56">
        <f>IFERROR((SUMIFS(tblSafety[LTI],tblSafety[Date],"&gt;="&amp;EDATE($E127,-12),tblSafety[Date],"&lt;="&amp;$A127)+SUMIFS(tblSafetyHistory[LTI],tblSafetyHistory[Month],"&gt;="&amp;EDATE($E127,-12),tblSafetyHistory[Month],"&lt;"&amp;$E127,tblSafetyHistory[Use],1))/(SUMIFS(tblSafety[Hours_Total],tblSafety[Date],"&gt;="&amp;EDATE($E127,-12),tblSafety[Date],"&lt;="&amp;$A127)+SUMIFS(tblSafetyHistory[Hours_Total],tblSafetyHistory[Month],"&gt;="&amp;EDATE($E127,-12),tblSafetyHistory[Month],"&lt;"&amp;$E127,tblSafetyHistory[Use],1))*cfg_RateBasisHours,"")</f>
        <v/>
      </c>
      <c r="IR127" s="62">
        <f>IF(MAX(N(cfg_PriorLTIDate),_xlfn.MAXIFS(tblSafety[Date],tblSafety[LTI],"&gt;0",tblSafety[Date],"&lt;="&amp;$A127))=0,"",$A127-MAX(N(cfg_PriorLTIDate),_xlfn.MAXIFS(tblSafety[Date],tblSafety[LTI],"&gt;0",tblSafety[Date],"&lt;="&amp;$A127)))</f>
        <v/>
      </c>
      <c r="IS127" s="55">
        <f>SUMIFS(tblBudget[Ore_Mined_t],tblBudget[Month],$E127)</f>
        <v/>
      </c>
      <c r="IT127" s="55">
        <f>$IS127*$C127/$D127</f>
        <v/>
      </c>
      <c r="IU127" s="55">
        <f>SUMIFS(tblBudget[Ore_Mined_t],tblBudget[Month],"&lt;"&amp;$E127)+$IT127</f>
        <v/>
      </c>
      <c r="IV127" s="55">
        <f>SUMIFS(tblBudget[Ore_oz],tblBudget[Month],$E127)</f>
        <v/>
      </c>
      <c r="IW127" s="55">
        <f>$IV127*$C127/$D127</f>
        <v/>
      </c>
      <c r="IX127" s="55">
        <f>SUMIFS(tblBudget[Ore_oz],tblBudget[Month],"&lt;"&amp;$E127)+$IW127</f>
        <v/>
      </c>
      <c r="IY127" s="55">
        <f>SUMIFS(tblBudget[Ore_Mined_t],tblBudget[Month],$E127)</f>
        <v/>
      </c>
      <c r="IZ127" s="55">
        <f>$IY127*$C127/$D127</f>
        <v/>
      </c>
      <c r="JA127" s="55">
        <f>SUMIFS(tblBudget[Ore_Mined_t],tblBudget[Month],"&lt;"&amp;$E127)+$IZ127</f>
        <v/>
      </c>
      <c r="JB127" s="56">
        <f>IFERROR(IF(($IY127)&gt;0,($IV127*cfg_TroyOz)/($IY127),""),"")</f>
        <v/>
      </c>
      <c r="JC127" s="56">
        <f>IFERROR(IF(($IZ127)&gt;0,($IW127*cfg_TroyOz)/($IZ127),""),"")</f>
        <v/>
      </c>
      <c r="JD127" s="56">
        <f>IFERROR(IF(($JA127)&gt;0,($IX127*cfg_TroyOz)/($JA127),""),"")</f>
        <v/>
      </c>
      <c r="JE127" s="55">
        <f>SUMIFS(tblBudget[Waste_t],tblBudget[Month],$E127)</f>
        <v/>
      </c>
      <c r="JF127" s="55">
        <f>$JE127*$C127/$D127</f>
        <v/>
      </c>
      <c r="JG127" s="55">
        <f>SUMIFS(tblBudget[Waste_t],tblBudget[Month],"&lt;"&amp;$E127)+$JF127</f>
        <v/>
      </c>
      <c r="JH127" s="55">
        <f>SUMIFS(tblBudget[TMM_t],tblBudget[Month],$E127)</f>
        <v/>
      </c>
      <c r="JI127" s="55">
        <f>$JH127*$C127/$D127</f>
        <v/>
      </c>
      <c r="JJ127" s="55">
        <f>SUMIFS(tblBudget[TMM_t],tblBudget[Month],"&lt;"&amp;$E127)+$JI127</f>
        <v/>
      </c>
      <c r="JK127" s="56">
        <f>IFERROR(IF(($IS127)&gt;0,($JE127)/($IS127),""),"")</f>
        <v/>
      </c>
      <c r="JL127" s="56">
        <f>IFERROR(IF(($IT127)&gt;0,($JF127)/($IT127),""),"")</f>
        <v/>
      </c>
      <c r="JM127" s="56">
        <f>IFERROR(IF(($IU127)&gt;0,($JG127)/($IU127),""),"")</f>
        <v/>
      </c>
      <c r="JN127" s="55">
        <f>SUMIFS(tblBudget[Drill_m],tblBudget[Month],$E127)</f>
        <v/>
      </c>
      <c r="JO127" s="55">
        <f>$JN127*$C127/$D127</f>
        <v/>
      </c>
      <c r="JP127" s="55">
        <f>SUMIFS(tblBudget[Drill_m],tblBudget[Month],"&lt;"&amp;$E127)+$JO127</f>
        <v/>
      </c>
      <c r="JQ127" s="55">
        <f>SUMIFS(tblBudget[Diesel_L],tblBudget[Month],$E127)</f>
        <v/>
      </c>
      <c r="JR127" s="55">
        <f>$JQ127*$C127/$D127</f>
        <v/>
      </c>
      <c r="JS127" s="55">
        <f>SUMIFS(tblBudget[Diesel_L],tblBudget[Month],"&lt;"&amp;$E127)+$JR127</f>
        <v/>
      </c>
      <c r="JT127" s="55">
        <f>SUMIFS(tblBudget[Milled_t],tblBudget[Month],$E127)</f>
        <v/>
      </c>
      <c r="JU127" s="55">
        <f>$JT127*$C127/$D127</f>
        <v/>
      </c>
      <c r="JV127" s="55">
        <f>SUMIFS(tblBudget[Milled_t],tblBudget[Month],"&lt;"&amp;$E127)+$JU127</f>
        <v/>
      </c>
      <c r="JW127" s="55">
        <f>SUMIFS(tblBudget[Feed_oz],tblBudget[Month],$E127)</f>
        <v/>
      </c>
      <c r="JX127" s="55">
        <f>$JW127*$C127/$D127</f>
        <v/>
      </c>
      <c r="JY127" s="55">
        <f>SUMIFS(tblBudget[Feed_oz],tblBudget[Month],"&lt;"&amp;$E127)+$JX127</f>
        <v/>
      </c>
      <c r="JZ127" s="55">
        <f>SUMIFS(tblBudget[Recovered_oz],tblBudget[Month],$E127)</f>
        <v/>
      </c>
      <c r="KA127" s="55">
        <f>$JZ127*$C127/$D127</f>
        <v/>
      </c>
      <c r="KB127" s="55">
        <f>SUMIFS(tblBudget[Recovered_oz],tblBudget[Month],"&lt;"&amp;$E127)+$KA127</f>
        <v/>
      </c>
      <c r="KC127" s="55">
        <f>SUMIFS(tblBudget[Milled_t],tblBudget[Month],$E127)</f>
        <v/>
      </c>
      <c r="KD127" s="55">
        <f>$KC127*$C127/$D127</f>
        <v/>
      </c>
      <c r="KE127" s="55">
        <f>SUMIFS(tblBudget[Milled_t],tblBudget[Month],"&lt;"&amp;$E127)+$KD127</f>
        <v/>
      </c>
      <c r="KF127" s="55">
        <f>SUMIFS(tblBudget[Feed_oz],tblBudget[Month],$E127)</f>
        <v/>
      </c>
      <c r="KG127" s="55">
        <f>$KF127*$C127/$D127</f>
        <v/>
      </c>
      <c r="KH127" s="55">
        <f>SUMIFS(tblBudget[Feed_oz],tblBudget[Month],"&lt;"&amp;$E127)+$KG127</f>
        <v/>
      </c>
      <c r="KI127" s="56">
        <f>IFERROR(IF(($KC127)&gt;0,($JW127*cfg_TroyOz)/($KC127),""),"")</f>
        <v/>
      </c>
      <c r="KJ127" s="56">
        <f>IFERROR(IF(($KD127)&gt;0,($JX127*cfg_TroyOz)/($KD127),""),"")</f>
        <v/>
      </c>
      <c r="KK127" s="56">
        <f>IFERROR(IF(($KE127)&gt;0,($JY127*cfg_TroyOz)/($KE127),""),"")</f>
        <v/>
      </c>
      <c r="KL127" s="67">
        <f>IFERROR(IF(($KF127)&gt;0,($JZ127)/($KF127),""),"")</f>
        <v/>
      </c>
      <c r="KM127" s="67">
        <f>IFERROR(IF(($KG127)&gt;0,($KA127)/($KG127),""),"")</f>
        <v/>
      </c>
      <c r="KN127" s="67">
        <f>IFERROR(IF(($KH127)&gt;0,($KB127)/($KH127),""),"")</f>
        <v/>
      </c>
      <c r="KO127" s="55">
        <f>SUMIFS(tblBudget[Gold_Poured_oz],tblBudget[Month],$E127)</f>
        <v/>
      </c>
      <c r="KP127" s="55">
        <f>$KO127*$C127/$D127</f>
        <v/>
      </c>
      <c r="KQ127" s="55">
        <f>SUMIFS(tblBudget[Gold_Poured_oz],tblBudget[Month],"&lt;"&amp;$E127)+$KP127</f>
        <v/>
      </c>
      <c r="KR127" s="57">
        <f>SUMIFS(tblBudget[Hours_Worked],tblBudget[Month],$E127)</f>
        <v/>
      </c>
      <c r="KS127" s="57">
        <f>$KR127*$C127/$D127</f>
        <v/>
      </c>
      <c r="KT127" s="57">
        <f>SUMIFS(tblBudget[Hours_Worked],tblBudget[Month],"&lt;"&amp;$E127)+$KS127</f>
        <v/>
      </c>
    </row>
    <row r="128">
      <c r="A128" s="54" t="n">
        <v>46149</v>
      </c>
      <c r="B128">
        <f>MONTH($A128)</f>
        <v/>
      </c>
      <c r="C128">
        <f>DAY($A128)</f>
        <v/>
      </c>
      <c r="D128">
        <f>DAY(EOMONTH($A128,0))</f>
        <v/>
      </c>
      <c r="E128" s="54">
        <f>DATE(YEAR($A128),MONTH($A128),1)</f>
        <v/>
      </c>
      <c r="F128" s="55">
        <f>SUMIFS(tblMovement[Tonnes_t],tblMovement[Date],$A128,tblMovement[Is_Ore],1,tblMovement[Source_Type],"Pit")</f>
        <v/>
      </c>
      <c r="G128" s="55">
        <f>IF($B128=$B127,$G127,0)+$F128</f>
        <v/>
      </c>
      <c r="H128" s="55">
        <f>$H127+$F128</f>
        <v/>
      </c>
      <c r="I128" s="55">
        <f>SUMIFS(tblMovement[Ore_oz],tblMovement[Date],$A128,tblMovement[Source_Type],"Pit")</f>
        <v/>
      </c>
      <c r="J128" s="55">
        <f>IF($B128=$B127,$J127,0)+$I128</f>
        <v/>
      </c>
      <c r="K128" s="55">
        <f>$K127+$I128</f>
        <v/>
      </c>
      <c r="L128" s="55">
        <f>SUMIFS(tblMovement[Tonnes_t],tblMovement[Date],$A128,tblMovement[Is_Ore],1,tblMovement[Source_Type],"Pit",tblMovement[Grade_gpt],"&lt;&gt;")</f>
        <v/>
      </c>
      <c r="M128" s="55">
        <f>IF($B128=$B127,$M127,0)+$L128</f>
        <v/>
      </c>
      <c r="N128" s="55">
        <f>$N127+$L128</f>
        <v/>
      </c>
      <c r="O128" s="56">
        <f>IFERROR(IF(($L128)&gt;0,($I128*cfg_TroyOz)/($L128),""),"")</f>
        <v/>
      </c>
      <c r="P128" s="56">
        <f>IFERROR(IF(($M128)&gt;0,($J128*cfg_TroyOz)/($M128),""),"")</f>
        <v/>
      </c>
      <c r="Q128" s="56">
        <f>IFERROR(IF(($N128)&gt;0,($K128*cfg_TroyOz)/($N128),""),"")</f>
        <v/>
      </c>
      <c r="R128" s="55">
        <f>$F128-$L128</f>
        <v/>
      </c>
      <c r="S128" s="55">
        <f>IF($B128=$B127,$S127,0)+$R128</f>
        <v/>
      </c>
      <c r="T128" s="55">
        <f>$T127+$R128</f>
        <v/>
      </c>
      <c r="U128" s="55">
        <f>SUMIFS(tblMovement[Tonnes_t],tblMovement[Date],$A128,tblMovement[Is_Ore],0,tblMovement[Source_Type],"Pit")</f>
        <v/>
      </c>
      <c r="V128" s="55">
        <f>IF($B128=$B127,$V127,0)+$U128</f>
        <v/>
      </c>
      <c r="W128" s="55">
        <f>$W127+$U128</f>
        <v/>
      </c>
      <c r="X128" s="55">
        <f>$F128+$U128</f>
        <v/>
      </c>
      <c r="Y128" s="55">
        <f>IF($B128=$B127,$Y127,0)+$X128</f>
        <v/>
      </c>
      <c r="Z128" s="55">
        <f>$Z127+$X128</f>
        <v/>
      </c>
      <c r="AA128" s="56">
        <f>IFERROR(IF(($F128)&gt;0,($U128)/($F128),""),"")</f>
        <v/>
      </c>
      <c r="AB128" s="56">
        <f>IFERROR(IF(($G128)&gt;0,($V128)/($G128),""),"")</f>
        <v/>
      </c>
      <c r="AC128" s="56">
        <f>IFERROR(IF(($H128)&gt;0,($W128)/($H128),""),"")</f>
        <v/>
      </c>
      <c r="AD128" s="55">
        <f>SUMIFS(tblMovement[Tonnes_t],tblMovement[Date],$A128,tblMovement[Source_Type],"Stockpile")</f>
        <v/>
      </c>
      <c r="AE128" s="55">
        <f>IF($B128=$B127,$AE127,0)+$AD128</f>
        <v/>
      </c>
      <c r="AF128" s="55">
        <f>$AF127+$AD128</f>
        <v/>
      </c>
      <c r="AG128" s="55">
        <f>SUMIFS(tblMovement[Tonnes_t],tblMovement[Date],$A128)</f>
        <v/>
      </c>
      <c r="AH128" s="55">
        <f>IF($B128=$B127,$AH127,0)+$AG128</f>
        <v/>
      </c>
      <c r="AI128" s="55">
        <f>$AI127+$AG128</f>
        <v/>
      </c>
      <c r="AJ128" s="55">
        <f>$AG128-$X128-$AD128</f>
        <v/>
      </c>
      <c r="AK128" s="55">
        <f>IF($B128=$B127,$AK127,0)+$AJ128</f>
        <v/>
      </c>
      <c r="AL128" s="55">
        <f>$AL127+$AJ128</f>
        <v/>
      </c>
      <c r="AM128" s="55">
        <f>SUMIFS(tblMiningDaily[Drill_m],tblMiningDaily[Date],$A128)</f>
        <v/>
      </c>
      <c r="AN128" s="55">
        <f>IF($B128=$B127,$AN127,0)+$AM128</f>
        <v/>
      </c>
      <c r="AO128" s="55">
        <f>$AO127+$AM128</f>
        <v/>
      </c>
      <c r="AP128" s="55">
        <f>SUMIFS(tblMiningDaily[GC_Drill_m],tblMiningDaily[Date],$A128)</f>
        <v/>
      </c>
      <c r="AQ128" s="55">
        <f>IF($B128=$B127,$AQ127,0)+$AP128</f>
        <v/>
      </c>
      <c r="AR128" s="55">
        <f>$AR127+$AP128</f>
        <v/>
      </c>
      <c r="AS128" s="55">
        <f>SUMIFS(tblMiningDaily[Blast_t],tblMiningDaily[Date],$A128)</f>
        <v/>
      </c>
      <c r="AT128" s="55">
        <f>IF($B128=$B127,$AT127,0)+$AS128</f>
        <v/>
      </c>
      <c r="AU128" s="55">
        <f>$AU127+$AS128</f>
        <v/>
      </c>
      <c r="AV128" s="55">
        <f>SUMIFS(tblMiningDaily[Explosives_kg],tblMiningDaily[Date],$A128)</f>
        <v/>
      </c>
      <c r="AW128" s="55">
        <f>IF($B128=$B127,$AW127,0)+$AV128</f>
        <v/>
      </c>
      <c r="AX128" s="55">
        <f>$AX127+$AV128</f>
        <v/>
      </c>
      <c r="AY128" s="56">
        <f>IFERROR(IF(($AS128)&gt;0,($AV128)/($AS128),""),"")</f>
        <v/>
      </c>
      <c r="AZ128" s="56">
        <f>IFERROR(IF(($AT128)&gt;0,($AW128)/($AT128),""),"")</f>
        <v/>
      </c>
      <c r="BA128" s="56">
        <f>IFERROR(IF(($AU128)&gt;0,($AX128)/($AU128),""),"")</f>
        <v/>
      </c>
      <c r="BB128" s="55">
        <f>SUMIFS(tblMiningDaily[Diesel_L],tblMiningDaily[Date],$A128)</f>
        <v/>
      </c>
      <c r="BC128" s="55">
        <f>IF($B128=$B127,$BC127,0)+$BB128</f>
        <v/>
      </c>
      <c r="BD128" s="55">
        <f>$BD127+$BB128</f>
        <v/>
      </c>
      <c r="BE128" s="55">
        <f>SUMIFS(tblMiningDaily[Dewatering_m3],tblMiningDaily[Date],$A128)</f>
        <v/>
      </c>
      <c r="BF128" s="55">
        <f>IF($B128=$B127,$BF127,0)+$BE128</f>
        <v/>
      </c>
      <c r="BG128" s="55">
        <f>$BG127+$BE128</f>
        <v/>
      </c>
      <c r="BH128" s="57">
        <f>SUMIFS(tblFleet[Calendar_h],tblFleet[Date],$A128,tblFleet[Equipment_Class],"Excavator")</f>
        <v/>
      </c>
      <c r="BI128" s="57">
        <f>IF($B128=$B127,$BI127,0)+$BH128</f>
        <v/>
      </c>
      <c r="BJ128" s="57">
        <f>$BJ127+$BH128</f>
        <v/>
      </c>
      <c r="BK128" s="57">
        <f>SUMIFS(tblFleet[Available_h],tblFleet[Date],$A128,tblFleet[Equipment_Class],"Excavator")</f>
        <v/>
      </c>
      <c r="BL128" s="57">
        <f>IF($B128=$B127,$BL127,0)+$BK128</f>
        <v/>
      </c>
      <c r="BM128" s="57">
        <f>$BM127+$BK128</f>
        <v/>
      </c>
      <c r="BN128" s="57">
        <f>SUMIFS(tblFleet[Operating_h],tblFleet[Date],$A128,tblFleet[Equipment_Class],"Excavator")</f>
        <v/>
      </c>
      <c r="BO128" s="57">
        <f>IF($B128=$B127,$BO127,0)+$BN128</f>
        <v/>
      </c>
      <c r="BP128" s="57">
        <f>$BP127+$BN128</f>
        <v/>
      </c>
      <c r="BQ128" s="67">
        <f>IFERROR(IF(($BH128)&gt;0,($BK128)/($BH128),""),"")</f>
        <v/>
      </c>
      <c r="BR128" s="67">
        <f>IFERROR(IF(($BI128)&gt;0,($BL128)/($BI128),""),"")</f>
        <v/>
      </c>
      <c r="BS128" s="67">
        <f>IFERROR(IF(($BJ128)&gt;0,($BM128)/($BJ128),""),"")</f>
        <v/>
      </c>
      <c r="BT128" s="67">
        <f>IFERROR(IF(($BK128)&gt;0,($BN128)/($BK128),""),"")</f>
        <v/>
      </c>
      <c r="BU128" s="67">
        <f>IFERROR(IF(($BL128)&gt;0,($BO128)/($BL128),""),"")</f>
        <v/>
      </c>
      <c r="BV128" s="67">
        <f>IFERROR(IF(($BM128)&gt;0,($BP128)/($BM128),""),"")</f>
        <v/>
      </c>
      <c r="BW128" s="57">
        <f>SUMIFS(tblFleet[Calendar_h],tblFleet[Date],$A128,tblFleet[Equipment_Class],"Haul Truck")</f>
        <v/>
      </c>
      <c r="BX128" s="57">
        <f>IF($B128=$B127,$BX127,0)+$BW128</f>
        <v/>
      </c>
      <c r="BY128" s="57">
        <f>$BY127+$BW128</f>
        <v/>
      </c>
      <c r="BZ128" s="57">
        <f>SUMIFS(tblFleet[Available_h],tblFleet[Date],$A128,tblFleet[Equipment_Class],"Haul Truck")</f>
        <v/>
      </c>
      <c r="CA128" s="57">
        <f>IF($B128=$B127,$CA127,0)+$BZ128</f>
        <v/>
      </c>
      <c r="CB128" s="57">
        <f>$CB127+$BZ128</f>
        <v/>
      </c>
      <c r="CC128" s="57">
        <f>SUMIFS(tblFleet[Operating_h],tblFleet[Date],$A128,tblFleet[Equipment_Class],"Haul Truck")</f>
        <v/>
      </c>
      <c r="CD128" s="57">
        <f>IF($B128=$B127,$CD127,0)+$CC128</f>
        <v/>
      </c>
      <c r="CE128" s="57">
        <f>$CE127+$CC128</f>
        <v/>
      </c>
      <c r="CF128" s="67">
        <f>IFERROR(IF(($BW128)&gt;0,($BZ128)/($BW128),""),"")</f>
        <v/>
      </c>
      <c r="CG128" s="67">
        <f>IFERROR(IF(($BX128)&gt;0,($CA128)/($BX128),""),"")</f>
        <v/>
      </c>
      <c r="CH128" s="67">
        <f>IFERROR(IF(($BY128)&gt;0,($CB128)/($BY128),""),"")</f>
        <v/>
      </c>
      <c r="CI128" s="67">
        <f>IFERROR(IF(($BZ128)&gt;0,($CC128)/($BZ128),""),"")</f>
        <v/>
      </c>
      <c r="CJ128" s="67">
        <f>IFERROR(IF(($CA128)&gt;0,($CD128)/($CA128),""),"")</f>
        <v/>
      </c>
      <c r="CK128" s="67">
        <f>IFERROR(IF(($CB128)&gt;0,($CE128)/($CB128),""),"")</f>
        <v/>
      </c>
      <c r="CL128" s="55">
        <f>IFERROR(IF(($BN128)&gt;0,($X128+$AD128)/($BN128),""),"")</f>
        <v/>
      </c>
      <c r="CM128" s="55">
        <f>IFERROR(IF(($BO128)&gt;0,($Y128+$AE128)/($BO128),""),"")</f>
        <v/>
      </c>
      <c r="CN128" s="55">
        <f>IFERROR(IF(($BP128)&gt;0,($Z128+$AF128)/($BP128),""),"")</f>
        <v/>
      </c>
      <c r="CO128" s="55">
        <f>IFERROR(IF(($CC128)&gt;0,($X128+$AD128)/($CC128),""),"")</f>
        <v/>
      </c>
      <c r="CP128" s="55">
        <f>IFERROR(IF(($CD128)&gt;0,($Y128+$AE128)/($CD128),""),"")</f>
        <v/>
      </c>
      <c r="CQ128" s="55">
        <f>IFERROR(IF(($CE128)&gt;0,($Z128+$AF128)/($CE128),""),"")</f>
        <v/>
      </c>
      <c r="CR128" s="55">
        <f>SUMIFS(tblPlant[Crushed_t],tblPlant[Date],$A128)</f>
        <v/>
      </c>
      <c r="CS128" s="55">
        <f>IF($B128=$B127,$CS127,0)+$CR128</f>
        <v/>
      </c>
      <c r="CT128" s="55">
        <f>$CT127+$CR128</f>
        <v/>
      </c>
      <c r="CU128" s="55">
        <f>SUMIFS(tblPlant[Milled_t],tblPlant[Date],$A128)</f>
        <v/>
      </c>
      <c r="CV128" s="55">
        <f>IF($B128=$B127,$CV127,0)+$CU128</f>
        <v/>
      </c>
      <c r="CW128" s="55">
        <f>$CW127+$CU128</f>
        <v/>
      </c>
      <c r="CX128" s="55">
        <f>SUMIFS(tblPlant[Feed_oz],tblPlant[Date],$A128)</f>
        <v/>
      </c>
      <c r="CY128" s="55">
        <f>IF($B128=$B127,$CY127,0)+$CX128</f>
        <v/>
      </c>
      <c r="CZ128" s="55">
        <f>$CZ127+$CX128</f>
        <v/>
      </c>
      <c r="DA128" s="55">
        <f>SUMIFS(tblPlant[Tails_oz],tblPlant[Date],$A128)</f>
        <v/>
      </c>
      <c r="DB128" s="55">
        <f>IF($B128=$B127,$DB127,0)+$DA128</f>
        <v/>
      </c>
      <c r="DC128" s="55">
        <f>$DC127+$DA128</f>
        <v/>
      </c>
      <c r="DD128" s="55">
        <f>SUMIFS(tblPlant[Recovered_oz],tblPlant[Date],$A128)</f>
        <v/>
      </c>
      <c r="DE128" s="55">
        <f>IF($B128=$B127,$DE127,0)+$DD128</f>
        <v/>
      </c>
      <c r="DF128" s="55">
        <f>$DF127+$DD128</f>
        <v/>
      </c>
      <c r="DG128" s="55">
        <f>SUMIFS(tblPlant[Milled_t],tblPlant[Date],$A128,tblPlant[Head_Grade_gpt],"&lt;&gt;")</f>
        <v/>
      </c>
      <c r="DH128" s="55">
        <f>IF($B128=$B127,$DH127,0)+$DG128</f>
        <v/>
      </c>
      <c r="DI128" s="55">
        <f>$DI127+$DG128</f>
        <v/>
      </c>
      <c r="DJ128" s="55">
        <f>SUMIFS(tblPlant[Milled_t],tblPlant[Date],$A128,tblPlant[Tails_Grade_gpt],"&lt;&gt;")</f>
        <v/>
      </c>
      <c r="DK128" s="55">
        <f>IF($B128=$B127,$DK127,0)+$DJ128</f>
        <v/>
      </c>
      <c r="DL128" s="55">
        <f>$DL127+$DJ128</f>
        <v/>
      </c>
      <c r="DM128" s="55">
        <f>SUMIFS(tblPlant[Feed_oz],tblPlant[Date],$A128,tblPlant[Tails_Grade_gpt],"&lt;&gt;")</f>
        <v/>
      </c>
      <c r="DN128" s="55">
        <f>IF($B128=$B127,$DN127,0)+$DM128</f>
        <v/>
      </c>
      <c r="DO128" s="55">
        <f>$DO127+$DM128</f>
        <v/>
      </c>
      <c r="DP128" s="55">
        <f>SUMIFS(tblPlant[Milled_t],tblPlant[Date],$A128,tblPlant[Mill_Run_h],"&lt;&gt;")</f>
        <v/>
      </c>
      <c r="DQ128" s="55">
        <f>IF($B128=$B127,$DQ127,0)+$DP128</f>
        <v/>
      </c>
      <c r="DR128" s="55">
        <f>$DR127+$DP128</f>
        <v/>
      </c>
      <c r="DS128" s="56">
        <f>IFERROR(IF(($DG128)&gt;0,($CX128*cfg_TroyOz)/($DG128),""),"")</f>
        <v/>
      </c>
      <c r="DT128" s="56">
        <f>IFERROR(IF(($DH128)&gt;0,($CY128*cfg_TroyOz)/($DH128),""),"")</f>
        <v/>
      </c>
      <c r="DU128" s="56">
        <f>IFERROR(IF(($DI128)&gt;0,($CZ128*cfg_TroyOz)/($DI128),""),"")</f>
        <v/>
      </c>
      <c r="DV128" s="56">
        <f>IFERROR(IF(($DJ128)&gt;0,($DA128*cfg_TroyOz)/($DJ128),""),"")</f>
        <v/>
      </c>
      <c r="DW128" s="56">
        <f>IFERROR(IF(($DK128)&gt;0,($DB128*cfg_TroyOz)/($DK128),""),"")</f>
        <v/>
      </c>
      <c r="DX128" s="56">
        <f>IFERROR(IF(($DL128)&gt;0,($DC128*cfg_TroyOz)/($DL128),""),"")</f>
        <v/>
      </c>
      <c r="DY128" s="67">
        <f>IFERROR(IF(($DM128)&gt;0,($DD128)/($DM128),""),"")</f>
        <v/>
      </c>
      <c r="DZ128" s="67">
        <f>IFERROR(IF(($DN128)&gt;0,($DE128)/($DN128),""),"")</f>
        <v/>
      </c>
      <c r="EA128" s="67">
        <f>IFERROR(IF(($DO128)&gt;0,($DF128)/($DO128),""),"")</f>
        <v/>
      </c>
      <c r="EB128" s="55">
        <f>SUMIFS(tblPlant[Gravity_Gold_oz],tblPlant[Date],$A128)</f>
        <v/>
      </c>
      <c r="EC128" s="55">
        <f>IF($B128=$B127,$EC127,0)+$EB128</f>
        <v/>
      </c>
      <c r="ED128" s="55">
        <f>$ED127+$EB128</f>
        <v/>
      </c>
      <c r="EE128" s="67">
        <f>IFERROR(IF(($DD128)&gt;0,($EB128)/($DD128),""),"")</f>
        <v/>
      </c>
      <c r="EF128" s="67">
        <f>IFERROR(IF(($DE128)&gt;0,($EC128)/($DE128),""),"")</f>
        <v/>
      </c>
      <c r="EG128" s="67">
        <f>IFERROR(IF(($DF128)&gt;0,($ED128)/($DF128),""),"")</f>
        <v/>
      </c>
      <c r="EH128" s="55">
        <f>SUMIFS(tblPlant[Gold_Poured_oz],tblPlant[Date],$A128)</f>
        <v/>
      </c>
      <c r="EI128" s="55">
        <f>IF($B128=$B127,$EI127,0)+$EH128</f>
        <v/>
      </c>
      <c r="EJ128" s="55">
        <f>$EJ127+$EH128</f>
        <v/>
      </c>
      <c r="EK128" s="57">
        <f>SUMIFS(tblPlant[Mill_Run_h],tblPlant[Date],$A128)</f>
        <v/>
      </c>
      <c r="EL128" s="57">
        <f>IF($B128=$B127,$EL127,0)+$EK128</f>
        <v/>
      </c>
      <c r="EM128" s="57">
        <f>$EM127+$EK128</f>
        <v/>
      </c>
      <c r="EN128" s="57">
        <f>SUMIFS(tblPlant[Mill_Planned_Maint_h],tblPlant[Date],$A128)</f>
        <v/>
      </c>
      <c r="EO128" s="57">
        <f>IF($B128=$B127,$EO127,0)+$EN128</f>
        <v/>
      </c>
      <c r="EP128" s="57">
        <f>$EP127+$EN128</f>
        <v/>
      </c>
      <c r="EQ128" s="57">
        <f>SUMIFS(tblPlant[Mill_Unplanned_Down_h],tblPlant[Date],$A128)</f>
        <v/>
      </c>
      <c r="ER128" s="57">
        <f>IF($B128=$B127,$ER127,0)+$EQ128</f>
        <v/>
      </c>
      <c r="ES128" s="57">
        <f>$ES127+$EQ128</f>
        <v/>
      </c>
      <c r="ET128" s="57">
        <f>IF(COUNTIFS(tblPlant[Date],$A128,tblPlant[Mill_Run_h],"&lt;&gt;")+COUNTIFS(tblPlant[Date],$A128,tblPlant[Mill_Planned_Maint_h],"&lt;&gt;")+COUNTIFS(tblPlant[Date],$A128,tblPlant[Mill_Unplanned_Down_h],"&lt;&gt;")&gt;0,cfg_HoursPerDay,0)</f>
        <v/>
      </c>
      <c r="EU128" s="57">
        <f>IF($B128=$B127,$EU127,0)+$ET128</f>
        <v/>
      </c>
      <c r="EV128" s="57">
        <f>$EV127+$ET128</f>
        <v/>
      </c>
      <c r="EW128" s="57">
        <f>SUMIFS(tblPlant[Crusher_Run_h],tblPlant[Date],$A128)</f>
        <v/>
      </c>
      <c r="EX128" s="57">
        <f>IF($B128=$B127,$EX127,0)+$EW128</f>
        <v/>
      </c>
      <c r="EY128" s="57">
        <f>$EY127+$EW128</f>
        <v/>
      </c>
      <c r="EZ128" s="55">
        <f>IFERROR(IF(($EK128)&gt;0,($DP128)/($EK128),""),"")</f>
        <v/>
      </c>
      <c r="FA128" s="55">
        <f>IFERROR(IF(($EL128)&gt;0,($DQ128)/($EL128),""),"")</f>
        <v/>
      </c>
      <c r="FB128" s="55">
        <f>IFERROR(IF(($EM128)&gt;0,($DR128)/($EM128),""),"")</f>
        <v/>
      </c>
      <c r="FC128" s="67">
        <f>IFERROR(IF(($ET128)&gt;0,($ET128-$EN128-$EQ128)/($ET128),""),"")</f>
        <v/>
      </c>
      <c r="FD128" s="67">
        <f>IFERROR(IF(($EU128)&gt;0,($EU128-$EO128-$ER128)/($EU128),""),"")</f>
        <v/>
      </c>
      <c r="FE128" s="67">
        <f>IFERROR(IF(($EV128)&gt;0,($EV128-$EP128-$ES128)/($EV128),""),"")</f>
        <v/>
      </c>
      <c r="FF128" s="67">
        <f>IFERROR(IF(($ET128-$EN128-$EQ128)&gt;0,($EK128)/($ET128-$EN128-$EQ128),""),"")</f>
        <v/>
      </c>
      <c r="FG128" s="67">
        <f>IFERROR(IF(($EU128-$EO128-$ER128)&gt;0,($EL128)/($EU128-$EO128-$ER128),""),"")</f>
        <v/>
      </c>
      <c r="FH128" s="67">
        <f>IFERROR(IF(($EV128-$EP128-$ES128)&gt;0,($EM128)/($EV128-$EP128-$ES128),""),"")</f>
        <v/>
      </c>
      <c r="FI128" s="55">
        <f>SUMIFS(tblPlant[Cyanide_kg],tblPlant[Date],$A128)</f>
        <v/>
      </c>
      <c r="FJ128" s="55">
        <f>IF($B128=$B127,$FJ127,0)+$FI128</f>
        <v/>
      </c>
      <c r="FK128" s="55">
        <f>$FK127+$FI128</f>
        <v/>
      </c>
      <c r="FL128" s="55">
        <f>SUMIFS(tblPlant[Lime_kg],tblPlant[Date],$A128)</f>
        <v/>
      </c>
      <c r="FM128" s="55">
        <f>IF($B128=$B127,$FM127,0)+$FL128</f>
        <v/>
      </c>
      <c r="FN128" s="55">
        <f>$FN127+$FL128</f>
        <v/>
      </c>
      <c r="FO128" s="55">
        <f>SUMIFS(tblPlant[Grinding_Media_kg],tblPlant[Date],$A128)</f>
        <v/>
      </c>
      <c r="FP128" s="55">
        <f>IF($B128=$B127,$FP127,0)+$FO128</f>
        <v/>
      </c>
      <c r="FQ128" s="55">
        <f>$FQ127+$FO128</f>
        <v/>
      </c>
      <c r="FR128" s="55">
        <f>SUMIFS(tblPlant[Power_kWh],tblPlant[Date],$A128)</f>
        <v/>
      </c>
      <c r="FS128" s="55">
        <f>IF($B128=$B127,$FS127,0)+$FR128</f>
        <v/>
      </c>
      <c r="FT128" s="55">
        <f>$FT127+$FR128</f>
        <v/>
      </c>
      <c r="FU128" s="55">
        <f>SUMIFS(tblPlant[Raw_Water_m3],tblPlant[Date],$A128)</f>
        <v/>
      </c>
      <c r="FV128" s="55">
        <f>IF($B128=$B127,$FV127,0)+$FU128</f>
        <v/>
      </c>
      <c r="FW128" s="55">
        <f>$FW127+$FU128</f>
        <v/>
      </c>
      <c r="FX128" s="56">
        <f>IFERROR(IF(($CU128)&gt;0,($FI128)/($CU128),""),"")</f>
        <v/>
      </c>
      <c r="FY128" s="56">
        <f>IFERROR(IF(($CV128)&gt;0,($FJ128)/($CV128),""),"")</f>
        <v/>
      </c>
      <c r="FZ128" s="56">
        <f>IFERROR(IF(($CW128)&gt;0,($FK128)/($CW128),""),"")</f>
        <v/>
      </c>
      <c r="GA128" s="56">
        <f>IFERROR(IF(($CU128)&gt;0,($FL128)/($CU128),""),"")</f>
        <v/>
      </c>
      <c r="GB128" s="56">
        <f>IFERROR(IF(($CV128)&gt;0,($FM128)/($CV128),""),"")</f>
        <v/>
      </c>
      <c r="GC128" s="56">
        <f>IFERROR(IF(($CW128)&gt;0,($FN128)/($CW128),""),"")</f>
        <v/>
      </c>
      <c r="GD128" s="56">
        <f>IFERROR(IF(($CU128)&gt;0,($FO128)/($CU128),""),"")</f>
        <v/>
      </c>
      <c r="GE128" s="56">
        <f>IFERROR(IF(($CV128)&gt;0,($FP128)/($CV128),""),"")</f>
        <v/>
      </c>
      <c r="GF128" s="56">
        <f>IFERROR(IF(($CW128)&gt;0,($FQ128)/($CW128),""),"")</f>
        <v/>
      </c>
      <c r="GG128" s="79">
        <f>IFERROR(IF(($CU128)&gt;0,($FR128)/($CU128),""),"")</f>
        <v/>
      </c>
      <c r="GH128" s="79">
        <f>IFERROR(IF(($CV128)&gt;0,($FS128)/($CV128),""),"")</f>
        <v/>
      </c>
      <c r="GI128" s="79">
        <f>IFERROR(IF(($CW128)&gt;0,($FT128)/($CW128),""),"")</f>
        <v/>
      </c>
      <c r="GJ128" s="56">
        <f>IFERROR(IF(($CU128)&gt;0,($FU128)/($CU128),""),"")</f>
        <v/>
      </c>
      <c r="GK128" s="56">
        <f>IFERROR(IF(($CV128)&gt;0,($FV128)/($CV128),""),"")</f>
        <v/>
      </c>
      <c r="GL128" s="56">
        <f>IFERROR(IF(($CW128)&gt;0,($FW128)/($CW128),""),"")</f>
        <v/>
      </c>
      <c r="GM128" s="55">
        <f>IF(SUMIFS(tblPlant[GIC_oz],tblPlant[Date],$A128)&gt;0,SUMIFS(tblPlant[GIC_oz],tblPlant[Date],$A128),"")</f>
        <v/>
      </c>
      <c r="GN128" s="55">
        <f>SUMIFS(tblGold[Gold_oz],tblGold[Date],$A128,tblGold[Type],"Shipment")</f>
        <v/>
      </c>
      <c r="GO128" s="55">
        <f>IF($B128=$B127,$GO127,0)+$GN128</f>
        <v/>
      </c>
      <c r="GP128" s="55">
        <f>$GP127+$GN128</f>
        <v/>
      </c>
      <c r="GQ128" s="55">
        <f>SUMIFS(tblGold[Gold_oz],tblGold[Date],$A128,tblGold[Type],"Sale")</f>
        <v/>
      </c>
      <c r="GR128" s="55">
        <f>IF($B128=$B127,$GR127,0)+$GQ128</f>
        <v/>
      </c>
      <c r="GS128" s="55">
        <f>$GS127+$GQ128</f>
        <v/>
      </c>
      <c r="GT128" s="55">
        <f>SUMIFS(tblGold[Dore_kg],tblGold[Date],$A128,tblGold[Type],"Shipment")</f>
        <v/>
      </c>
      <c r="GU128" s="55">
        <f>IF($B128=$B127,$GU127,0)+$GT128</f>
        <v/>
      </c>
      <c r="GV128" s="55">
        <f>$GV127+$GT128</f>
        <v/>
      </c>
      <c r="GW128" s="57">
        <f>SUMIFS(tblSafety[Hours_Total],tblSafety[Date],$A128)</f>
        <v/>
      </c>
      <c r="GX128" s="57">
        <f>IF($B128=$B127,$GX127,0)+$GW128</f>
        <v/>
      </c>
      <c r="GY128" s="57">
        <f>$GY127+$GW128</f>
        <v/>
      </c>
      <c r="GZ128" s="62">
        <f>SUMIFS(tblSafety[Fatality],tblSafety[Date],$A128)</f>
        <v/>
      </c>
      <c r="HA128" s="62">
        <f>IF($B128=$B127,$HA127,0)+$GZ128</f>
        <v/>
      </c>
      <c r="HB128" s="62">
        <f>$HB127+$GZ128</f>
        <v/>
      </c>
      <c r="HC128" s="62">
        <f>SUMIFS(tblSafety[LTI],tblSafety[Date],$A128)</f>
        <v/>
      </c>
      <c r="HD128" s="62">
        <f>IF($B128=$B127,$HD127,0)+$HC128</f>
        <v/>
      </c>
      <c r="HE128" s="62">
        <f>$HE127+$HC128</f>
        <v/>
      </c>
      <c r="HF128" s="62">
        <f>SUMIFS(tblSafety[RWI],tblSafety[Date],$A128)</f>
        <v/>
      </c>
      <c r="HG128" s="62">
        <f>IF($B128=$B127,$HG127,0)+$HF128</f>
        <v/>
      </c>
      <c r="HH128" s="62">
        <f>$HH127+$HF128</f>
        <v/>
      </c>
      <c r="HI128" s="62">
        <f>SUMIFS(tblSafety[MTI],tblSafety[Date],$A128)</f>
        <v/>
      </c>
      <c r="HJ128" s="62">
        <f>IF($B128=$B127,$HJ127,0)+$HI128</f>
        <v/>
      </c>
      <c r="HK128" s="62">
        <f>$HK127+$HI128</f>
        <v/>
      </c>
      <c r="HL128" s="62">
        <f>SUMIFS(tblSafety[FAI],tblSafety[Date],$A128)</f>
        <v/>
      </c>
      <c r="HM128" s="62">
        <f>IF($B128=$B127,$HM127,0)+$HL128</f>
        <v/>
      </c>
      <c r="HN128" s="62">
        <f>$HN127+$HL128</f>
        <v/>
      </c>
      <c r="HO128" s="62">
        <f>SUMIFS(tblSafety[Recordables],tblSafety[Date],$A128)</f>
        <v/>
      </c>
      <c r="HP128" s="62">
        <f>IF($B128=$B127,$HP127,0)+$HO128</f>
        <v/>
      </c>
      <c r="HQ128" s="62">
        <f>$HQ127+$HO128</f>
        <v/>
      </c>
      <c r="HR128" s="62">
        <f>SUMIFS(tblSafety[Near_Miss],tblSafety[Date],$A128)</f>
        <v/>
      </c>
      <c r="HS128" s="62">
        <f>IF($B128=$B127,$HS127,0)+$HR128</f>
        <v/>
      </c>
      <c r="HT128" s="62">
        <f>$HT127+$HR128</f>
        <v/>
      </c>
      <c r="HU128" s="62">
        <f>SUMIFS(tblSafety[Hazard_Reports],tblSafety[Date],$A128)</f>
        <v/>
      </c>
      <c r="HV128" s="62">
        <f>IF($B128=$B127,$HV127,0)+$HU128</f>
        <v/>
      </c>
      <c r="HW128" s="62">
        <f>$HW127+$HU128</f>
        <v/>
      </c>
      <c r="HX128" s="62">
        <f>SUMIFS(tblSafety[HPI],tblSafety[Date],$A128)</f>
        <v/>
      </c>
      <c r="HY128" s="62">
        <f>IF($B128=$B127,$HY127,0)+$HX128</f>
        <v/>
      </c>
      <c r="HZ128" s="62">
        <f>$HZ127+$HX128</f>
        <v/>
      </c>
      <c r="IA128" s="62">
        <f>SUMIFS(tblSafety[Env_Incidents],tblSafety[Date],$A128)</f>
        <v/>
      </c>
      <c r="IB128" s="62">
        <f>IF($B128=$B127,$IB127,0)+$IA128</f>
        <v/>
      </c>
      <c r="IC128" s="62">
        <f>$IC127+$IA128</f>
        <v/>
      </c>
      <c r="ID128" s="62">
        <f>SUMIFS(tblSafety[Community_Incidents],tblSafety[Date],$A128)</f>
        <v/>
      </c>
      <c r="IE128" s="62">
        <f>IF($B128=$B127,$IE127,0)+$ID128</f>
        <v/>
      </c>
      <c r="IF128" s="62">
        <f>$IF127+$ID128</f>
        <v/>
      </c>
      <c r="IG128" s="62">
        <f>SUMIFS(tblSafety[Vehicle_Incidents],tblSafety[Date],$A128)</f>
        <v/>
      </c>
      <c r="IH128" s="62">
        <f>IF($B128=$B127,$IH127,0)+$IG128</f>
        <v/>
      </c>
      <c r="II128" s="62">
        <f>$II127+$IG128</f>
        <v/>
      </c>
      <c r="IJ128" s="62">
        <f>SUMIFS(tblSafety[Toolbox_Talks],tblSafety[Date],$A128)</f>
        <v/>
      </c>
      <c r="IK128" s="62">
        <f>IF($B128=$B127,$IK127,0)+$IJ128</f>
        <v/>
      </c>
      <c r="IL128" s="62">
        <f>$IL127+$IJ128</f>
        <v/>
      </c>
      <c r="IM128" s="62">
        <f>SUMIFS(tblSafety[Inspections],tblSafety[Date],$A128)</f>
        <v/>
      </c>
      <c r="IN128" s="62">
        <f>IF($B128=$B127,$IN127,0)+$IM128</f>
        <v/>
      </c>
      <c r="IO128" s="62">
        <f>$IO127+$IM128</f>
        <v/>
      </c>
      <c r="IP128" s="56">
        <f>IFERROR((SUMIFS(tblSafety[Recordables],tblSafety[Date],"&gt;="&amp;EDATE($E128,-12),tblSafety[Date],"&lt;="&amp;$A128)+SUMIFS(tblSafetyHistory[Recordables],tblSafetyHistory[Month],"&gt;="&amp;EDATE($E128,-12),tblSafetyHistory[Month],"&lt;"&amp;$E128,tblSafetyHistory[Use],1))/(SUMIFS(tblSafety[Hours_Total],tblSafety[Date],"&gt;="&amp;EDATE($E128,-12),tblSafety[Date],"&lt;="&amp;$A128)+SUMIFS(tblSafetyHistory[Hours_Total],tblSafetyHistory[Month],"&gt;="&amp;EDATE($E128,-12),tblSafetyHistory[Month],"&lt;"&amp;$E128,tblSafetyHistory[Use],1))*cfg_RateBasisHours,"")</f>
        <v/>
      </c>
      <c r="IQ128" s="56">
        <f>IFERROR((SUMIFS(tblSafety[LTI],tblSafety[Date],"&gt;="&amp;EDATE($E128,-12),tblSafety[Date],"&lt;="&amp;$A128)+SUMIFS(tblSafetyHistory[LTI],tblSafetyHistory[Month],"&gt;="&amp;EDATE($E128,-12),tblSafetyHistory[Month],"&lt;"&amp;$E128,tblSafetyHistory[Use],1))/(SUMIFS(tblSafety[Hours_Total],tblSafety[Date],"&gt;="&amp;EDATE($E128,-12),tblSafety[Date],"&lt;="&amp;$A128)+SUMIFS(tblSafetyHistory[Hours_Total],tblSafetyHistory[Month],"&gt;="&amp;EDATE($E128,-12),tblSafetyHistory[Month],"&lt;"&amp;$E128,tblSafetyHistory[Use],1))*cfg_RateBasisHours,"")</f>
        <v/>
      </c>
      <c r="IR128" s="62">
        <f>IF(MAX(N(cfg_PriorLTIDate),_xlfn.MAXIFS(tblSafety[Date],tblSafety[LTI],"&gt;0",tblSafety[Date],"&lt;="&amp;$A128))=0,"",$A128-MAX(N(cfg_PriorLTIDate),_xlfn.MAXIFS(tblSafety[Date],tblSafety[LTI],"&gt;0",tblSafety[Date],"&lt;="&amp;$A128)))</f>
        <v/>
      </c>
      <c r="IS128" s="55">
        <f>SUMIFS(tblBudget[Ore_Mined_t],tblBudget[Month],$E128)</f>
        <v/>
      </c>
      <c r="IT128" s="55">
        <f>$IS128*$C128/$D128</f>
        <v/>
      </c>
      <c r="IU128" s="55">
        <f>SUMIFS(tblBudget[Ore_Mined_t],tblBudget[Month],"&lt;"&amp;$E128)+$IT128</f>
        <v/>
      </c>
      <c r="IV128" s="55">
        <f>SUMIFS(tblBudget[Ore_oz],tblBudget[Month],$E128)</f>
        <v/>
      </c>
      <c r="IW128" s="55">
        <f>$IV128*$C128/$D128</f>
        <v/>
      </c>
      <c r="IX128" s="55">
        <f>SUMIFS(tblBudget[Ore_oz],tblBudget[Month],"&lt;"&amp;$E128)+$IW128</f>
        <v/>
      </c>
      <c r="IY128" s="55">
        <f>SUMIFS(tblBudget[Ore_Mined_t],tblBudget[Month],$E128)</f>
        <v/>
      </c>
      <c r="IZ128" s="55">
        <f>$IY128*$C128/$D128</f>
        <v/>
      </c>
      <c r="JA128" s="55">
        <f>SUMIFS(tblBudget[Ore_Mined_t],tblBudget[Month],"&lt;"&amp;$E128)+$IZ128</f>
        <v/>
      </c>
      <c r="JB128" s="56">
        <f>IFERROR(IF(($IY128)&gt;0,($IV128*cfg_TroyOz)/($IY128),""),"")</f>
        <v/>
      </c>
      <c r="JC128" s="56">
        <f>IFERROR(IF(($IZ128)&gt;0,($IW128*cfg_TroyOz)/($IZ128),""),"")</f>
        <v/>
      </c>
      <c r="JD128" s="56">
        <f>IFERROR(IF(($JA128)&gt;0,($IX128*cfg_TroyOz)/($JA128),""),"")</f>
        <v/>
      </c>
      <c r="JE128" s="55">
        <f>SUMIFS(tblBudget[Waste_t],tblBudget[Month],$E128)</f>
        <v/>
      </c>
      <c r="JF128" s="55">
        <f>$JE128*$C128/$D128</f>
        <v/>
      </c>
      <c r="JG128" s="55">
        <f>SUMIFS(tblBudget[Waste_t],tblBudget[Month],"&lt;"&amp;$E128)+$JF128</f>
        <v/>
      </c>
      <c r="JH128" s="55">
        <f>SUMIFS(tblBudget[TMM_t],tblBudget[Month],$E128)</f>
        <v/>
      </c>
      <c r="JI128" s="55">
        <f>$JH128*$C128/$D128</f>
        <v/>
      </c>
      <c r="JJ128" s="55">
        <f>SUMIFS(tblBudget[TMM_t],tblBudget[Month],"&lt;"&amp;$E128)+$JI128</f>
        <v/>
      </c>
      <c r="JK128" s="56">
        <f>IFERROR(IF(($IS128)&gt;0,($JE128)/($IS128),""),"")</f>
        <v/>
      </c>
      <c r="JL128" s="56">
        <f>IFERROR(IF(($IT128)&gt;0,($JF128)/($IT128),""),"")</f>
        <v/>
      </c>
      <c r="JM128" s="56">
        <f>IFERROR(IF(($IU128)&gt;0,($JG128)/($IU128),""),"")</f>
        <v/>
      </c>
      <c r="JN128" s="55">
        <f>SUMIFS(tblBudget[Drill_m],tblBudget[Month],$E128)</f>
        <v/>
      </c>
      <c r="JO128" s="55">
        <f>$JN128*$C128/$D128</f>
        <v/>
      </c>
      <c r="JP128" s="55">
        <f>SUMIFS(tblBudget[Drill_m],tblBudget[Month],"&lt;"&amp;$E128)+$JO128</f>
        <v/>
      </c>
      <c r="JQ128" s="55">
        <f>SUMIFS(tblBudget[Diesel_L],tblBudget[Month],$E128)</f>
        <v/>
      </c>
      <c r="JR128" s="55">
        <f>$JQ128*$C128/$D128</f>
        <v/>
      </c>
      <c r="JS128" s="55">
        <f>SUMIFS(tblBudget[Diesel_L],tblBudget[Month],"&lt;"&amp;$E128)+$JR128</f>
        <v/>
      </c>
      <c r="JT128" s="55">
        <f>SUMIFS(tblBudget[Milled_t],tblBudget[Month],$E128)</f>
        <v/>
      </c>
      <c r="JU128" s="55">
        <f>$JT128*$C128/$D128</f>
        <v/>
      </c>
      <c r="JV128" s="55">
        <f>SUMIFS(tblBudget[Milled_t],tblBudget[Month],"&lt;"&amp;$E128)+$JU128</f>
        <v/>
      </c>
      <c r="JW128" s="55">
        <f>SUMIFS(tblBudget[Feed_oz],tblBudget[Month],$E128)</f>
        <v/>
      </c>
      <c r="JX128" s="55">
        <f>$JW128*$C128/$D128</f>
        <v/>
      </c>
      <c r="JY128" s="55">
        <f>SUMIFS(tblBudget[Feed_oz],tblBudget[Month],"&lt;"&amp;$E128)+$JX128</f>
        <v/>
      </c>
      <c r="JZ128" s="55">
        <f>SUMIFS(tblBudget[Recovered_oz],tblBudget[Month],$E128)</f>
        <v/>
      </c>
      <c r="KA128" s="55">
        <f>$JZ128*$C128/$D128</f>
        <v/>
      </c>
      <c r="KB128" s="55">
        <f>SUMIFS(tblBudget[Recovered_oz],tblBudget[Month],"&lt;"&amp;$E128)+$KA128</f>
        <v/>
      </c>
      <c r="KC128" s="55">
        <f>SUMIFS(tblBudget[Milled_t],tblBudget[Month],$E128)</f>
        <v/>
      </c>
      <c r="KD128" s="55">
        <f>$KC128*$C128/$D128</f>
        <v/>
      </c>
      <c r="KE128" s="55">
        <f>SUMIFS(tblBudget[Milled_t],tblBudget[Month],"&lt;"&amp;$E128)+$KD128</f>
        <v/>
      </c>
      <c r="KF128" s="55">
        <f>SUMIFS(tblBudget[Feed_oz],tblBudget[Month],$E128)</f>
        <v/>
      </c>
      <c r="KG128" s="55">
        <f>$KF128*$C128/$D128</f>
        <v/>
      </c>
      <c r="KH128" s="55">
        <f>SUMIFS(tblBudget[Feed_oz],tblBudget[Month],"&lt;"&amp;$E128)+$KG128</f>
        <v/>
      </c>
      <c r="KI128" s="56">
        <f>IFERROR(IF(($KC128)&gt;0,($JW128*cfg_TroyOz)/($KC128),""),"")</f>
        <v/>
      </c>
      <c r="KJ128" s="56">
        <f>IFERROR(IF(($KD128)&gt;0,($JX128*cfg_TroyOz)/($KD128),""),"")</f>
        <v/>
      </c>
      <c r="KK128" s="56">
        <f>IFERROR(IF(($KE128)&gt;0,($JY128*cfg_TroyOz)/($KE128),""),"")</f>
        <v/>
      </c>
      <c r="KL128" s="67">
        <f>IFERROR(IF(($KF128)&gt;0,($JZ128)/($KF128),""),"")</f>
        <v/>
      </c>
      <c r="KM128" s="67">
        <f>IFERROR(IF(($KG128)&gt;0,($KA128)/($KG128),""),"")</f>
        <v/>
      </c>
      <c r="KN128" s="67">
        <f>IFERROR(IF(($KH128)&gt;0,($KB128)/($KH128),""),"")</f>
        <v/>
      </c>
      <c r="KO128" s="55">
        <f>SUMIFS(tblBudget[Gold_Poured_oz],tblBudget[Month],$E128)</f>
        <v/>
      </c>
      <c r="KP128" s="55">
        <f>$KO128*$C128/$D128</f>
        <v/>
      </c>
      <c r="KQ128" s="55">
        <f>SUMIFS(tblBudget[Gold_Poured_oz],tblBudget[Month],"&lt;"&amp;$E128)+$KP128</f>
        <v/>
      </c>
      <c r="KR128" s="57">
        <f>SUMIFS(tblBudget[Hours_Worked],tblBudget[Month],$E128)</f>
        <v/>
      </c>
      <c r="KS128" s="57">
        <f>$KR128*$C128/$D128</f>
        <v/>
      </c>
      <c r="KT128" s="57">
        <f>SUMIFS(tblBudget[Hours_Worked],tblBudget[Month],"&lt;"&amp;$E128)+$KS128</f>
        <v/>
      </c>
    </row>
    <row r="129">
      <c r="A129" s="54" t="n">
        <v>46150</v>
      </c>
      <c r="B129">
        <f>MONTH($A129)</f>
        <v/>
      </c>
      <c r="C129">
        <f>DAY($A129)</f>
        <v/>
      </c>
      <c r="D129">
        <f>DAY(EOMONTH($A129,0))</f>
        <v/>
      </c>
      <c r="E129" s="54">
        <f>DATE(YEAR($A129),MONTH($A129),1)</f>
        <v/>
      </c>
      <c r="F129" s="55">
        <f>SUMIFS(tblMovement[Tonnes_t],tblMovement[Date],$A129,tblMovement[Is_Ore],1,tblMovement[Source_Type],"Pit")</f>
        <v/>
      </c>
      <c r="G129" s="55">
        <f>IF($B129=$B128,$G128,0)+$F129</f>
        <v/>
      </c>
      <c r="H129" s="55">
        <f>$H128+$F129</f>
        <v/>
      </c>
      <c r="I129" s="55">
        <f>SUMIFS(tblMovement[Ore_oz],tblMovement[Date],$A129,tblMovement[Source_Type],"Pit")</f>
        <v/>
      </c>
      <c r="J129" s="55">
        <f>IF($B129=$B128,$J128,0)+$I129</f>
        <v/>
      </c>
      <c r="K129" s="55">
        <f>$K128+$I129</f>
        <v/>
      </c>
      <c r="L129" s="55">
        <f>SUMIFS(tblMovement[Tonnes_t],tblMovement[Date],$A129,tblMovement[Is_Ore],1,tblMovement[Source_Type],"Pit",tblMovement[Grade_gpt],"&lt;&gt;")</f>
        <v/>
      </c>
      <c r="M129" s="55">
        <f>IF($B129=$B128,$M128,0)+$L129</f>
        <v/>
      </c>
      <c r="N129" s="55">
        <f>$N128+$L129</f>
        <v/>
      </c>
      <c r="O129" s="56">
        <f>IFERROR(IF(($L129)&gt;0,($I129*cfg_TroyOz)/($L129),""),"")</f>
        <v/>
      </c>
      <c r="P129" s="56">
        <f>IFERROR(IF(($M129)&gt;0,($J129*cfg_TroyOz)/($M129),""),"")</f>
        <v/>
      </c>
      <c r="Q129" s="56">
        <f>IFERROR(IF(($N129)&gt;0,($K129*cfg_TroyOz)/($N129),""),"")</f>
        <v/>
      </c>
      <c r="R129" s="55">
        <f>$F129-$L129</f>
        <v/>
      </c>
      <c r="S129" s="55">
        <f>IF($B129=$B128,$S128,0)+$R129</f>
        <v/>
      </c>
      <c r="T129" s="55">
        <f>$T128+$R129</f>
        <v/>
      </c>
      <c r="U129" s="55">
        <f>SUMIFS(tblMovement[Tonnes_t],tblMovement[Date],$A129,tblMovement[Is_Ore],0,tblMovement[Source_Type],"Pit")</f>
        <v/>
      </c>
      <c r="V129" s="55">
        <f>IF($B129=$B128,$V128,0)+$U129</f>
        <v/>
      </c>
      <c r="W129" s="55">
        <f>$W128+$U129</f>
        <v/>
      </c>
      <c r="X129" s="55">
        <f>$F129+$U129</f>
        <v/>
      </c>
      <c r="Y129" s="55">
        <f>IF($B129=$B128,$Y128,0)+$X129</f>
        <v/>
      </c>
      <c r="Z129" s="55">
        <f>$Z128+$X129</f>
        <v/>
      </c>
      <c r="AA129" s="56">
        <f>IFERROR(IF(($F129)&gt;0,($U129)/($F129),""),"")</f>
        <v/>
      </c>
      <c r="AB129" s="56">
        <f>IFERROR(IF(($G129)&gt;0,($V129)/($G129),""),"")</f>
        <v/>
      </c>
      <c r="AC129" s="56">
        <f>IFERROR(IF(($H129)&gt;0,($W129)/($H129),""),"")</f>
        <v/>
      </c>
      <c r="AD129" s="55">
        <f>SUMIFS(tblMovement[Tonnes_t],tblMovement[Date],$A129,tblMovement[Source_Type],"Stockpile")</f>
        <v/>
      </c>
      <c r="AE129" s="55">
        <f>IF($B129=$B128,$AE128,0)+$AD129</f>
        <v/>
      </c>
      <c r="AF129" s="55">
        <f>$AF128+$AD129</f>
        <v/>
      </c>
      <c r="AG129" s="55">
        <f>SUMIFS(tblMovement[Tonnes_t],tblMovement[Date],$A129)</f>
        <v/>
      </c>
      <c r="AH129" s="55">
        <f>IF($B129=$B128,$AH128,0)+$AG129</f>
        <v/>
      </c>
      <c r="AI129" s="55">
        <f>$AI128+$AG129</f>
        <v/>
      </c>
      <c r="AJ129" s="55">
        <f>$AG129-$X129-$AD129</f>
        <v/>
      </c>
      <c r="AK129" s="55">
        <f>IF($B129=$B128,$AK128,0)+$AJ129</f>
        <v/>
      </c>
      <c r="AL129" s="55">
        <f>$AL128+$AJ129</f>
        <v/>
      </c>
      <c r="AM129" s="55">
        <f>SUMIFS(tblMiningDaily[Drill_m],tblMiningDaily[Date],$A129)</f>
        <v/>
      </c>
      <c r="AN129" s="55">
        <f>IF($B129=$B128,$AN128,0)+$AM129</f>
        <v/>
      </c>
      <c r="AO129" s="55">
        <f>$AO128+$AM129</f>
        <v/>
      </c>
      <c r="AP129" s="55">
        <f>SUMIFS(tblMiningDaily[GC_Drill_m],tblMiningDaily[Date],$A129)</f>
        <v/>
      </c>
      <c r="AQ129" s="55">
        <f>IF($B129=$B128,$AQ128,0)+$AP129</f>
        <v/>
      </c>
      <c r="AR129" s="55">
        <f>$AR128+$AP129</f>
        <v/>
      </c>
      <c r="AS129" s="55">
        <f>SUMIFS(tblMiningDaily[Blast_t],tblMiningDaily[Date],$A129)</f>
        <v/>
      </c>
      <c r="AT129" s="55">
        <f>IF($B129=$B128,$AT128,0)+$AS129</f>
        <v/>
      </c>
      <c r="AU129" s="55">
        <f>$AU128+$AS129</f>
        <v/>
      </c>
      <c r="AV129" s="55">
        <f>SUMIFS(tblMiningDaily[Explosives_kg],tblMiningDaily[Date],$A129)</f>
        <v/>
      </c>
      <c r="AW129" s="55">
        <f>IF($B129=$B128,$AW128,0)+$AV129</f>
        <v/>
      </c>
      <c r="AX129" s="55">
        <f>$AX128+$AV129</f>
        <v/>
      </c>
      <c r="AY129" s="56">
        <f>IFERROR(IF(($AS129)&gt;0,($AV129)/($AS129),""),"")</f>
        <v/>
      </c>
      <c r="AZ129" s="56">
        <f>IFERROR(IF(($AT129)&gt;0,($AW129)/($AT129),""),"")</f>
        <v/>
      </c>
      <c r="BA129" s="56">
        <f>IFERROR(IF(($AU129)&gt;0,($AX129)/($AU129),""),"")</f>
        <v/>
      </c>
      <c r="BB129" s="55">
        <f>SUMIFS(tblMiningDaily[Diesel_L],tblMiningDaily[Date],$A129)</f>
        <v/>
      </c>
      <c r="BC129" s="55">
        <f>IF($B129=$B128,$BC128,0)+$BB129</f>
        <v/>
      </c>
      <c r="BD129" s="55">
        <f>$BD128+$BB129</f>
        <v/>
      </c>
      <c r="BE129" s="55">
        <f>SUMIFS(tblMiningDaily[Dewatering_m3],tblMiningDaily[Date],$A129)</f>
        <v/>
      </c>
      <c r="BF129" s="55">
        <f>IF($B129=$B128,$BF128,0)+$BE129</f>
        <v/>
      </c>
      <c r="BG129" s="55">
        <f>$BG128+$BE129</f>
        <v/>
      </c>
      <c r="BH129" s="57">
        <f>SUMIFS(tblFleet[Calendar_h],tblFleet[Date],$A129,tblFleet[Equipment_Class],"Excavator")</f>
        <v/>
      </c>
      <c r="BI129" s="57">
        <f>IF($B129=$B128,$BI128,0)+$BH129</f>
        <v/>
      </c>
      <c r="BJ129" s="57">
        <f>$BJ128+$BH129</f>
        <v/>
      </c>
      <c r="BK129" s="57">
        <f>SUMIFS(tblFleet[Available_h],tblFleet[Date],$A129,tblFleet[Equipment_Class],"Excavator")</f>
        <v/>
      </c>
      <c r="BL129" s="57">
        <f>IF($B129=$B128,$BL128,0)+$BK129</f>
        <v/>
      </c>
      <c r="BM129" s="57">
        <f>$BM128+$BK129</f>
        <v/>
      </c>
      <c r="BN129" s="57">
        <f>SUMIFS(tblFleet[Operating_h],tblFleet[Date],$A129,tblFleet[Equipment_Class],"Excavator")</f>
        <v/>
      </c>
      <c r="BO129" s="57">
        <f>IF($B129=$B128,$BO128,0)+$BN129</f>
        <v/>
      </c>
      <c r="BP129" s="57">
        <f>$BP128+$BN129</f>
        <v/>
      </c>
      <c r="BQ129" s="67">
        <f>IFERROR(IF(($BH129)&gt;0,($BK129)/($BH129),""),"")</f>
        <v/>
      </c>
      <c r="BR129" s="67">
        <f>IFERROR(IF(($BI129)&gt;0,($BL129)/($BI129),""),"")</f>
        <v/>
      </c>
      <c r="BS129" s="67">
        <f>IFERROR(IF(($BJ129)&gt;0,($BM129)/($BJ129),""),"")</f>
        <v/>
      </c>
      <c r="BT129" s="67">
        <f>IFERROR(IF(($BK129)&gt;0,($BN129)/($BK129),""),"")</f>
        <v/>
      </c>
      <c r="BU129" s="67">
        <f>IFERROR(IF(($BL129)&gt;0,($BO129)/($BL129),""),"")</f>
        <v/>
      </c>
      <c r="BV129" s="67">
        <f>IFERROR(IF(($BM129)&gt;0,($BP129)/($BM129),""),"")</f>
        <v/>
      </c>
      <c r="BW129" s="57">
        <f>SUMIFS(tblFleet[Calendar_h],tblFleet[Date],$A129,tblFleet[Equipment_Class],"Haul Truck")</f>
        <v/>
      </c>
      <c r="BX129" s="57">
        <f>IF($B129=$B128,$BX128,0)+$BW129</f>
        <v/>
      </c>
      <c r="BY129" s="57">
        <f>$BY128+$BW129</f>
        <v/>
      </c>
      <c r="BZ129" s="57">
        <f>SUMIFS(tblFleet[Available_h],tblFleet[Date],$A129,tblFleet[Equipment_Class],"Haul Truck")</f>
        <v/>
      </c>
      <c r="CA129" s="57">
        <f>IF($B129=$B128,$CA128,0)+$BZ129</f>
        <v/>
      </c>
      <c r="CB129" s="57">
        <f>$CB128+$BZ129</f>
        <v/>
      </c>
      <c r="CC129" s="57">
        <f>SUMIFS(tblFleet[Operating_h],tblFleet[Date],$A129,tblFleet[Equipment_Class],"Haul Truck")</f>
        <v/>
      </c>
      <c r="CD129" s="57">
        <f>IF($B129=$B128,$CD128,0)+$CC129</f>
        <v/>
      </c>
      <c r="CE129" s="57">
        <f>$CE128+$CC129</f>
        <v/>
      </c>
      <c r="CF129" s="67">
        <f>IFERROR(IF(($BW129)&gt;0,($BZ129)/($BW129),""),"")</f>
        <v/>
      </c>
      <c r="CG129" s="67">
        <f>IFERROR(IF(($BX129)&gt;0,($CA129)/($BX129),""),"")</f>
        <v/>
      </c>
      <c r="CH129" s="67">
        <f>IFERROR(IF(($BY129)&gt;0,($CB129)/($BY129),""),"")</f>
        <v/>
      </c>
      <c r="CI129" s="67">
        <f>IFERROR(IF(($BZ129)&gt;0,($CC129)/($BZ129),""),"")</f>
        <v/>
      </c>
      <c r="CJ129" s="67">
        <f>IFERROR(IF(($CA129)&gt;0,($CD129)/($CA129),""),"")</f>
        <v/>
      </c>
      <c r="CK129" s="67">
        <f>IFERROR(IF(($CB129)&gt;0,($CE129)/($CB129),""),"")</f>
        <v/>
      </c>
      <c r="CL129" s="55">
        <f>IFERROR(IF(($BN129)&gt;0,($X129+$AD129)/($BN129),""),"")</f>
        <v/>
      </c>
      <c r="CM129" s="55">
        <f>IFERROR(IF(($BO129)&gt;0,($Y129+$AE129)/($BO129),""),"")</f>
        <v/>
      </c>
      <c r="CN129" s="55">
        <f>IFERROR(IF(($BP129)&gt;0,($Z129+$AF129)/($BP129),""),"")</f>
        <v/>
      </c>
      <c r="CO129" s="55">
        <f>IFERROR(IF(($CC129)&gt;0,($X129+$AD129)/($CC129),""),"")</f>
        <v/>
      </c>
      <c r="CP129" s="55">
        <f>IFERROR(IF(($CD129)&gt;0,($Y129+$AE129)/($CD129),""),"")</f>
        <v/>
      </c>
      <c r="CQ129" s="55">
        <f>IFERROR(IF(($CE129)&gt;0,($Z129+$AF129)/($CE129),""),"")</f>
        <v/>
      </c>
      <c r="CR129" s="55">
        <f>SUMIFS(tblPlant[Crushed_t],tblPlant[Date],$A129)</f>
        <v/>
      </c>
      <c r="CS129" s="55">
        <f>IF($B129=$B128,$CS128,0)+$CR129</f>
        <v/>
      </c>
      <c r="CT129" s="55">
        <f>$CT128+$CR129</f>
        <v/>
      </c>
      <c r="CU129" s="55">
        <f>SUMIFS(tblPlant[Milled_t],tblPlant[Date],$A129)</f>
        <v/>
      </c>
      <c r="CV129" s="55">
        <f>IF($B129=$B128,$CV128,0)+$CU129</f>
        <v/>
      </c>
      <c r="CW129" s="55">
        <f>$CW128+$CU129</f>
        <v/>
      </c>
      <c r="CX129" s="55">
        <f>SUMIFS(tblPlant[Feed_oz],tblPlant[Date],$A129)</f>
        <v/>
      </c>
      <c r="CY129" s="55">
        <f>IF($B129=$B128,$CY128,0)+$CX129</f>
        <v/>
      </c>
      <c r="CZ129" s="55">
        <f>$CZ128+$CX129</f>
        <v/>
      </c>
      <c r="DA129" s="55">
        <f>SUMIFS(tblPlant[Tails_oz],tblPlant[Date],$A129)</f>
        <v/>
      </c>
      <c r="DB129" s="55">
        <f>IF($B129=$B128,$DB128,0)+$DA129</f>
        <v/>
      </c>
      <c r="DC129" s="55">
        <f>$DC128+$DA129</f>
        <v/>
      </c>
      <c r="DD129" s="55">
        <f>SUMIFS(tblPlant[Recovered_oz],tblPlant[Date],$A129)</f>
        <v/>
      </c>
      <c r="DE129" s="55">
        <f>IF($B129=$B128,$DE128,0)+$DD129</f>
        <v/>
      </c>
      <c r="DF129" s="55">
        <f>$DF128+$DD129</f>
        <v/>
      </c>
      <c r="DG129" s="55">
        <f>SUMIFS(tblPlant[Milled_t],tblPlant[Date],$A129,tblPlant[Head_Grade_gpt],"&lt;&gt;")</f>
        <v/>
      </c>
      <c r="DH129" s="55">
        <f>IF($B129=$B128,$DH128,0)+$DG129</f>
        <v/>
      </c>
      <c r="DI129" s="55">
        <f>$DI128+$DG129</f>
        <v/>
      </c>
      <c r="DJ129" s="55">
        <f>SUMIFS(tblPlant[Milled_t],tblPlant[Date],$A129,tblPlant[Tails_Grade_gpt],"&lt;&gt;")</f>
        <v/>
      </c>
      <c r="DK129" s="55">
        <f>IF($B129=$B128,$DK128,0)+$DJ129</f>
        <v/>
      </c>
      <c r="DL129" s="55">
        <f>$DL128+$DJ129</f>
        <v/>
      </c>
      <c r="DM129" s="55">
        <f>SUMIFS(tblPlant[Feed_oz],tblPlant[Date],$A129,tblPlant[Tails_Grade_gpt],"&lt;&gt;")</f>
        <v/>
      </c>
      <c r="DN129" s="55">
        <f>IF($B129=$B128,$DN128,0)+$DM129</f>
        <v/>
      </c>
      <c r="DO129" s="55">
        <f>$DO128+$DM129</f>
        <v/>
      </c>
      <c r="DP129" s="55">
        <f>SUMIFS(tblPlant[Milled_t],tblPlant[Date],$A129,tblPlant[Mill_Run_h],"&lt;&gt;")</f>
        <v/>
      </c>
      <c r="DQ129" s="55">
        <f>IF($B129=$B128,$DQ128,0)+$DP129</f>
        <v/>
      </c>
      <c r="DR129" s="55">
        <f>$DR128+$DP129</f>
        <v/>
      </c>
      <c r="DS129" s="56">
        <f>IFERROR(IF(($DG129)&gt;0,($CX129*cfg_TroyOz)/($DG129),""),"")</f>
        <v/>
      </c>
      <c r="DT129" s="56">
        <f>IFERROR(IF(($DH129)&gt;0,($CY129*cfg_TroyOz)/($DH129),""),"")</f>
        <v/>
      </c>
      <c r="DU129" s="56">
        <f>IFERROR(IF(($DI129)&gt;0,($CZ129*cfg_TroyOz)/($DI129),""),"")</f>
        <v/>
      </c>
      <c r="DV129" s="56">
        <f>IFERROR(IF(($DJ129)&gt;0,($DA129*cfg_TroyOz)/($DJ129),""),"")</f>
        <v/>
      </c>
      <c r="DW129" s="56">
        <f>IFERROR(IF(($DK129)&gt;0,($DB129*cfg_TroyOz)/($DK129),""),"")</f>
        <v/>
      </c>
      <c r="DX129" s="56">
        <f>IFERROR(IF(($DL129)&gt;0,($DC129*cfg_TroyOz)/($DL129),""),"")</f>
        <v/>
      </c>
      <c r="DY129" s="67">
        <f>IFERROR(IF(($DM129)&gt;0,($DD129)/($DM129),""),"")</f>
        <v/>
      </c>
      <c r="DZ129" s="67">
        <f>IFERROR(IF(($DN129)&gt;0,($DE129)/($DN129),""),"")</f>
        <v/>
      </c>
      <c r="EA129" s="67">
        <f>IFERROR(IF(($DO129)&gt;0,($DF129)/($DO129),""),"")</f>
        <v/>
      </c>
      <c r="EB129" s="55">
        <f>SUMIFS(tblPlant[Gravity_Gold_oz],tblPlant[Date],$A129)</f>
        <v/>
      </c>
      <c r="EC129" s="55">
        <f>IF($B129=$B128,$EC128,0)+$EB129</f>
        <v/>
      </c>
      <c r="ED129" s="55">
        <f>$ED128+$EB129</f>
        <v/>
      </c>
      <c r="EE129" s="67">
        <f>IFERROR(IF(($DD129)&gt;0,($EB129)/($DD129),""),"")</f>
        <v/>
      </c>
      <c r="EF129" s="67">
        <f>IFERROR(IF(($DE129)&gt;0,($EC129)/($DE129),""),"")</f>
        <v/>
      </c>
      <c r="EG129" s="67">
        <f>IFERROR(IF(($DF129)&gt;0,($ED129)/($DF129),""),"")</f>
        <v/>
      </c>
      <c r="EH129" s="55">
        <f>SUMIFS(tblPlant[Gold_Poured_oz],tblPlant[Date],$A129)</f>
        <v/>
      </c>
      <c r="EI129" s="55">
        <f>IF($B129=$B128,$EI128,0)+$EH129</f>
        <v/>
      </c>
      <c r="EJ129" s="55">
        <f>$EJ128+$EH129</f>
        <v/>
      </c>
      <c r="EK129" s="57">
        <f>SUMIFS(tblPlant[Mill_Run_h],tblPlant[Date],$A129)</f>
        <v/>
      </c>
      <c r="EL129" s="57">
        <f>IF($B129=$B128,$EL128,0)+$EK129</f>
        <v/>
      </c>
      <c r="EM129" s="57">
        <f>$EM128+$EK129</f>
        <v/>
      </c>
      <c r="EN129" s="57">
        <f>SUMIFS(tblPlant[Mill_Planned_Maint_h],tblPlant[Date],$A129)</f>
        <v/>
      </c>
      <c r="EO129" s="57">
        <f>IF($B129=$B128,$EO128,0)+$EN129</f>
        <v/>
      </c>
      <c r="EP129" s="57">
        <f>$EP128+$EN129</f>
        <v/>
      </c>
      <c r="EQ129" s="57">
        <f>SUMIFS(tblPlant[Mill_Unplanned_Down_h],tblPlant[Date],$A129)</f>
        <v/>
      </c>
      <c r="ER129" s="57">
        <f>IF($B129=$B128,$ER128,0)+$EQ129</f>
        <v/>
      </c>
      <c r="ES129" s="57">
        <f>$ES128+$EQ129</f>
        <v/>
      </c>
      <c r="ET129" s="57">
        <f>IF(COUNTIFS(tblPlant[Date],$A129,tblPlant[Mill_Run_h],"&lt;&gt;")+COUNTIFS(tblPlant[Date],$A129,tblPlant[Mill_Planned_Maint_h],"&lt;&gt;")+COUNTIFS(tblPlant[Date],$A129,tblPlant[Mill_Unplanned_Down_h],"&lt;&gt;")&gt;0,cfg_HoursPerDay,0)</f>
        <v/>
      </c>
      <c r="EU129" s="57">
        <f>IF($B129=$B128,$EU128,0)+$ET129</f>
        <v/>
      </c>
      <c r="EV129" s="57">
        <f>$EV128+$ET129</f>
        <v/>
      </c>
      <c r="EW129" s="57">
        <f>SUMIFS(tblPlant[Crusher_Run_h],tblPlant[Date],$A129)</f>
        <v/>
      </c>
      <c r="EX129" s="57">
        <f>IF($B129=$B128,$EX128,0)+$EW129</f>
        <v/>
      </c>
      <c r="EY129" s="57">
        <f>$EY128+$EW129</f>
        <v/>
      </c>
      <c r="EZ129" s="55">
        <f>IFERROR(IF(($EK129)&gt;0,($DP129)/($EK129),""),"")</f>
        <v/>
      </c>
      <c r="FA129" s="55">
        <f>IFERROR(IF(($EL129)&gt;0,($DQ129)/($EL129),""),"")</f>
        <v/>
      </c>
      <c r="FB129" s="55">
        <f>IFERROR(IF(($EM129)&gt;0,($DR129)/($EM129),""),"")</f>
        <v/>
      </c>
      <c r="FC129" s="67">
        <f>IFERROR(IF(($ET129)&gt;0,($ET129-$EN129-$EQ129)/($ET129),""),"")</f>
        <v/>
      </c>
      <c r="FD129" s="67">
        <f>IFERROR(IF(($EU129)&gt;0,($EU129-$EO129-$ER129)/($EU129),""),"")</f>
        <v/>
      </c>
      <c r="FE129" s="67">
        <f>IFERROR(IF(($EV129)&gt;0,($EV129-$EP129-$ES129)/($EV129),""),"")</f>
        <v/>
      </c>
      <c r="FF129" s="67">
        <f>IFERROR(IF(($ET129-$EN129-$EQ129)&gt;0,($EK129)/($ET129-$EN129-$EQ129),""),"")</f>
        <v/>
      </c>
      <c r="FG129" s="67">
        <f>IFERROR(IF(($EU129-$EO129-$ER129)&gt;0,($EL129)/($EU129-$EO129-$ER129),""),"")</f>
        <v/>
      </c>
      <c r="FH129" s="67">
        <f>IFERROR(IF(($EV129-$EP129-$ES129)&gt;0,($EM129)/($EV129-$EP129-$ES129),""),"")</f>
        <v/>
      </c>
      <c r="FI129" s="55">
        <f>SUMIFS(tblPlant[Cyanide_kg],tblPlant[Date],$A129)</f>
        <v/>
      </c>
      <c r="FJ129" s="55">
        <f>IF($B129=$B128,$FJ128,0)+$FI129</f>
        <v/>
      </c>
      <c r="FK129" s="55">
        <f>$FK128+$FI129</f>
        <v/>
      </c>
      <c r="FL129" s="55">
        <f>SUMIFS(tblPlant[Lime_kg],tblPlant[Date],$A129)</f>
        <v/>
      </c>
      <c r="FM129" s="55">
        <f>IF($B129=$B128,$FM128,0)+$FL129</f>
        <v/>
      </c>
      <c r="FN129" s="55">
        <f>$FN128+$FL129</f>
        <v/>
      </c>
      <c r="FO129" s="55">
        <f>SUMIFS(tblPlant[Grinding_Media_kg],tblPlant[Date],$A129)</f>
        <v/>
      </c>
      <c r="FP129" s="55">
        <f>IF($B129=$B128,$FP128,0)+$FO129</f>
        <v/>
      </c>
      <c r="FQ129" s="55">
        <f>$FQ128+$FO129</f>
        <v/>
      </c>
      <c r="FR129" s="55">
        <f>SUMIFS(tblPlant[Power_kWh],tblPlant[Date],$A129)</f>
        <v/>
      </c>
      <c r="FS129" s="55">
        <f>IF($B129=$B128,$FS128,0)+$FR129</f>
        <v/>
      </c>
      <c r="FT129" s="55">
        <f>$FT128+$FR129</f>
        <v/>
      </c>
      <c r="FU129" s="55">
        <f>SUMIFS(tblPlant[Raw_Water_m3],tblPlant[Date],$A129)</f>
        <v/>
      </c>
      <c r="FV129" s="55">
        <f>IF($B129=$B128,$FV128,0)+$FU129</f>
        <v/>
      </c>
      <c r="FW129" s="55">
        <f>$FW128+$FU129</f>
        <v/>
      </c>
      <c r="FX129" s="56">
        <f>IFERROR(IF(($CU129)&gt;0,($FI129)/($CU129),""),"")</f>
        <v/>
      </c>
      <c r="FY129" s="56">
        <f>IFERROR(IF(($CV129)&gt;0,($FJ129)/($CV129),""),"")</f>
        <v/>
      </c>
      <c r="FZ129" s="56">
        <f>IFERROR(IF(($CW129)&gt;0,($FK129)/($CW129),""),"")</f>
        <v/>
      </c>
      <c r="GA129" s="56">
        <f>IFERROR(IF(($CU129)&gt;0,($FL129)/($CU129),""),"")</f>
        <v/>
      </c>
      <c r="GB129" s="56">
        <f>IFERROR(IF(($CV129)&gt;0,($FM129)/($CV129),""),"")</f>
        <v/>
      </c>
      <c r="GC129" s="56">
        <f>IFERROR(IF(($CW129)&gt;0,($FN129)/($CW129),""),"")</f>
        <v/>
      </c>
      <c r="GD129" s="56">
        <f>IFERROR(IF(($CU129)&gt;0,($FO129)/($CU129),""),"")</f>
        <v/>
      </c>
      <c r="GE129" s="56">
        <f>IFERROR(IF(($CV129)&gt;0,($FP129)/($CV129),""),"")</f>
        <v/>
      </c>
      <c r="GF129" s="56">
        <f>IFERROR(IF(($CW129)&gt;0,($FQ129)/($CW129),""),"")</f>
        <v/>
      </c>
      <c r="GG129" s="79">
        <f>IFERROR(IF(($CU129)&gt;0,($FR129)/($CU129),""),"")</f>
        <v/>
      </c>
      <c r="GH129" s="79">
        <f>IFERROR(IF(($CV129)&gt;0,($FS129)/($CV129),""),"")</f>
        <v/>
      </c>
      <c r="GI129" s="79">
        <f>IFERROR(IF(($CW129)&gt;0,($FT129)/($CW129),""),"")</f>
        <v/>
      </c>
      <c r="GJ129" s="56">
        <f>IFERROR(IF(($CU129)&gt;0,($FU129)/($CU129),""),"")</f>
        <v/>
      </c>
      <c r="GK129" s="56">
        <f>IFERROR(IF(($CV129)&gt;0,($FV129)/($CV129),""),"")</f>
        <v/>
      </c>
      <c r="GL129" s="56">
        <f>IFERROR(IF(($CW129)&gt;0,($FW129)/($CW129),""),"")</f>
        <v/>
      </c>
      <c r="GM129" s="55">
        <f>IF(SUMIFS(tblPlant[GIC_oz],tblPlant[Date],$A129)&gt;0,SUMIFS(tblPlant[GIC_oz],tblPlant[Date],$A129),"")</f>
        <v/>
      </c>
      <c r="GN129" s="55">
        <f>SUMIFS(tblGold[Gold_oz],tblGold[Date],$A129,tblGold[Type],"Shipment")</f>
        <v/>
      </c>
      <c r="GO129" s="55">
        <f>IF($B129=$B128,$GO128,0)+$GN129</f>
        <v/>
      </c>
      <c r="GP129" s="55">
        <f>$GP128+$GN129</f>
        <v/>
      </c>
      <c r="GQ129" s="55">
        <f>SUMIFS(tblGold[Gold_oz],tblGold[Date],$A129,tblGold[Type],"Sale")</f>
        <v/>
      </c>
      <c r="GR129" s="55">
        <f>IF($B129=$B128,$GR128,0)+$GQ129</f>
        <v/>
      </c>
      <c r="GS129" s="55">
        <f>$GS128+$GQ129</f>
        <v/>
      </c>
      <c r="GT129" s="55">
        <f>SUMIFS(tblGold[Dore_kg],tblGold[Date],$A129,tblGold[Type],"Shipment")</f>
        <v/>
      </c>
      <c r="GU129" s="55">
        <f>IF($B129=$B128,$GU128,0)+$GT129</f>
        <v/>
      </c>
      <c r="GV129" s="55">
        <f>$GV128+$GT129</f>
        <v/>
      </c>
      <c r="GW129" s="57">
        <f>SUMIFS(tblSafety[Hours_Total],tblSafety[Date],$A129)</f>
        <v/>
      </c>
      <c r="GX129" s="57">
        <f>IF($B129=$B128,$GX128,0)+$GW129</f>
        <v/>
      </c>
      <c r="GY129" s="57">
        <f>$GY128+$GW129</f>
        <v/>
      </c>
      <c r="GZ129" s="62">
        <f>SUMIFS(tblSafety[Fatality],tblSafety[Date],$A129)</f>
        <v/>
      </c>
      <c r="HA129" s="62">
        <f>IF($B129=$B128,$HA128,0)+$GZ129</f>
        <v/>
      </c>
      <c r="HB129" s="62">
        <f>$HB128+$GZ129</f>
        <v/>
      </c>
      <c r="HC129" s="62">
        <f>SUMIFS(tblSafety[LTI],tblSafety[Date],$A129)</f>
        <v/>
      </c>
      <c r="HD129" s="62">
        <f>IF($B129=$B128,$HD128,0)+$HC129</f>
        <v/>
      </c>
      <c r="HE129" s="62">
        <f>$HE128+$HC129</f>
        <v/>
      </c>
      <c r="HF129" s="62">
        <f>SUMIFS(tblSafety[RWI],tblSafety[Date],$A129)</f>
        <v/>
      </c>
      <c r="HG129" s="62">
        <f>IF($B129=$B128,$HG128,0)+$HF129</f>
        <v/>
      </c>
      <c r="HH129" s="62">
        <f>$HH128+$HF129</f>
        <v/>
      </c>
      <c r="HI129" s="62">
        <f>SUMIFS(tblSafety[MTI],tblSafety[Date],$A129)</f>
        <v/>
      </c>
      <c r="HJ129" s="62">
        <f>IF($B129=$B128,$HJ128,0)+$HI129</f>
        <v/>
      </c>
      <c r="HK129" s="62">
        <f>$HK128+$HI129</f>
        <v/>
      </c>
      <c r="HL129" s="62">
        <f>SUMIFS(tblSafety[FAI],tblSafety[Date],$A129)</f>
        <v/>
      </c>
      <c r="HM129" s="62">
        <f>IF($B129=$B128,$HM128,0)+$HL129</f>
        <v/>
      </c>
      <c r="HN129" s="62">
        <f>$HN128+$HL129</f>
        <v/>
      </c>
      <c r="HO129" s="62">
        <f>SUMIFS(tblSafety[Recordables],tblSafety[Date],$A129)</f>
        <v/>
      </c>
      <c r="HP129" s="62">
        <f>IF($B129=$B128,$HP128,0)+$HO129</f>
        <v/>
      </c>
      <c r="HQ129" s="62">
        <f>$HQ128+$HO129</f>
        <v/>
      </c>
      <c r="HR129" s="62">
        <f>SUMIFS(tblSafety[Near_Miss],tblSafety[Date],$A129)</f>
        <v/>
      </c>
      <c r="HS129" s="62">
        <f>IF($B129=$B128,$HS128,0)+$HR129</f>
        <v/>
      </c>
      <c r="HT129" s="62">
        <f>$HT128+$HR129</f>
        <v/>
      </c>
      <c r="HU129" s="62">
        <f>SUMIFS(tblSafety[Hazard_Reports],tblSafety[Date],$A129)</f>
        <v/>
      </c>
      <c r="HV129" s="62">
        <f>IF($B129=$B128,$HV128,0)+$HU129</f>
        <v/>
      </c>
      <c r="HW129" s="62">
        <f>$HW128+$HU129</f>
        <v/>
      </c>
      <c r="HX129" s="62">
        <f>SUMIFS(tblSafety[HPI],tblSafety[Date],$A129)</f>
        <v/>
      </c>
      <c r="HY129" s="62">
        <f>IF($B129=$B128,$HY128,0)+$HX129</f>
        <v/>
      </c>
      <c r="HZ129" s="62">
        <f>$HZ128+$HX129</f>
        <v/>
      </c>
      <c r="IA129" s="62">
        <f>SUMIFS(tblSafety[Env_Incidents],tblSafety[Date],$A129)</f>
        <v/>
      </c>
      <c r="IB129" s="62">
        <f>IF($B129=$B128,$IB128,0)+$IA129</f>
        <v/>
      </c>
      <c r="IC129" s="62">
        <f>$IC128+$IA129</f>
        <v/>
      </c>
      <c r="ID129" s="62">
        <f>SUMIFS(tblSafety[Community_Incidents],tblSafety[Date],$A129)</f>
        <v/>
      </c>
      <c r="IE129" s="62">
        <f>IF($B129=$B128,$IE128,0)+$ID129</f>
        <v/>
      </c>
      <c r="IF129" s="62">
        <f>$IF128+$ID129</f>
        <v/>
      </c>
      <c r="IG129" s="62">
        <f>SUMIFS(tblSafety[Vehicle_Incidents],tblSafety[Date],$A129)</f>
        <v/>
      </c>
      <c r="IH129" s="62">
        <f>IF($B129=$B128,$IH128,0)+$IG129</f>
        <v/>
      </c>
      <c r="II129" s="62">
        <f>$II128+$IG129</f>
        <v/>
      </c>
      <c r="IJ129" s="62">
        <f>SUMIFS(tblSafety[Toolbox_Talks],tblSafety[Date],$A129)</f>
        <v/>
      </c>
      <c r="IK129" s="62">
        <f>IF($B129=$B128,$IK128,0)+$IJ129</f>
        <v/>
      </c>
      <c r="IL129" s="62">
        <f>$IL128+$IJ129</f>
        <v/>
      </c>
      <c r="IM129" s="62">
        <f>SUMIFS(tblSafety[Inspections],tblSafety[Date],$A129)</f>
        <v/>
      </c>
      <c r="IN129" s="62">
        <f>IF($B129=$B128,$IN128,0)+$IM129</f>
        <v/>
      </c>
      <c r="IO129" s="62">
        <f>$IO128+$IM129</f>
        <v/>
      </c>
      <c r="IP129" s="56">
        <f>IFERROR((SUMIFS(tblSafety[Recordables],tblSafety[Date],"&gt;="&amp;EDATE($E129,-12),tblSafety[Date],"&lt;="&amp;$A129)+SUMIFS(tblSafetyHistory[Recordables],tblSafetyHistory[Month],"&gt;="&amp;EDATE($E129,-12),tblSafetyHistory[Month],"&lt;"&amp;$E129,tblSafetyHistory[Use],1))/(SUMIFS(tblSafety[Hours_Total],tblSafety[Date],"&gt;="&amp;EDATE($E129,-12),tblSafety[Date],"&lt;="&amp;$A129)+SUMIFS(tblSafetyHistory[Hours_Total],tblSafetyHistory[Month],"&gt;="&amp;EDATE($E129,-12),tblSafetyHistory[Month],"&lt;"&amp;$E129,tblSafetyHistory[Use],1))*cfg_RateBasisHours,"")</f>
        <v/>
      </c>
      <c r="IQ129" s="56">
        <f>IFERROR((SUMIFS(tblSafety[LTI],tblSafety[Date],"&gt;="&amp;EDATE($E129,-12),tblSafety[Date],"&lt;="&amp;$A129)+SUMIFS(tblSafetyHistory[LTI],tblSafetyHistory[Month],"&gt;="&amp;EDATE($E129,-12),tblSafetyHistory[Month],"&lt;"&amp;$E129,tblSafetyHistory[Use],1))/(SUMIFS(tblSafety[Hours_Total],tblSafety[Date],"&gt;="&amp;EDATE($E129,-12),tblSafety[Date],"&lt;="&amp;$A129)+SUMIFS(tblSafetyHistory[Hours_Total],tblSafetyHistory[Month],"&gt;="&amp;EDATE($E129,-12),tblSafetyHistory[Month],"&lt;"&amp;$E129,tblSafetyHistory[Use],1))*cfg_RateBasisHours,"")</f>
        <v/>
      </c>
      <c r="IR129" s="62">
        <f>IF(MAX(N(cfg_PriorLTIDate),_xlfn.MAXIFS(tblSafety[Date],tblSafety[LTI],"&gt;0",tblSafety[Date],"&lt;="&amp;$A129))=0,"",$A129-MAX(N(cfg_PriorLTIDate),_xlfn.MAXIFS(tblSafety[Date],tblSafety[LTI],"&gt;0",tblSafety[Date],"&lt;="&amp;$A129)))</f>
        <v/>
      </c>
      <c r="IS129" s="55">
        <f>SUMIFS(tblBudget[Ore_Mined_t],tblBudget[Month],$E129)</f>
        <v/>
      </c>
      <c r="IT129" s="55">
        <f>$IS129*$C129/$D129</f>
        <v/>
      </c>
      <c r="IU129" s="55">
        <f>SUMIFS(tblBudget[Ore_Mined_t],tblBudget[Month],"&lt;"&amp;$E129)+$IT129</f>
        <v/>
      </c>
      <c r="IV129" s="55">
        <f>SUMIFS(tblBudget[Ore_oz],tblBudget[Month],$E129)</f>
        <v/>
      </c>
      <c r="IW129" s="55">
        <f>$IV129*$C129/$D129</f>
        <v/>
      </c>
      <c r="IX129" s="55">
        <f>SUMIFS(tblBudget[Ore_oz],tblBudget[Month],"&lt;"&amp;$E129)+$IW129</f>
        <v/>
      </c>
      <c r="IY129" s="55">
        <f>SUMIFS(tblBudget[Ore_Mined_t],tblBudget[Month],$E129)</f>
        <v/>
      </c>
      <c r="IZ129" s="55">
        <f>$IY129*$C129/$D129</f>
        <v/>
      </c>
      <c r="JA129" s="55">
        <f>SUMIFS(tblBudget[Ore_Mined_t],tblBudget[Month],"&lt;"&amp;$E129)+$IZ129</f>
        <v/>
      </c>
      <c r="JB129" s="56">
        <f>IFERROR(IF(($IY129)&gt;0,($IV129*cfg_TroyOz)/($IY129),""),"")</f>
        <v/>
      </c>
      <c r="JC129" s="56">
        <f>IFERROR(IF(($IZ129)&gt;0,($IW129*cfg_TroyOz)/($IZ129),""),"")</f>
        <v/>
      </c>
      <c r="JD129" s="56">
        <f>IFERROR(IF(($JA129)&gt;0,($IX129*cfg_TroyOz)/($JA129),""),"")</f>
        <v/>
      </c>
      <c r="JE129" s="55">
        <f>SUMIFS(tblBudget[Waste_t],tblBudget[Month],$E129)</f>
        <v/>
      </c>
      <c r="JF129" s="55">
        <f>$JE129*$C129/$D129</f>
        <v/>
      </c>
      <c r="JG129" s="55">
        <f>SUMIFS(tblBudget[Waste_t],tblBudget[Month],"&lt;"&amp;$E129)+$JF129</f>
        <v/>
      </c>
      <c r="JH129" s="55">
        <f>SUMIFS(tblBudget[TMM_t],tblBudget[Month],$E129)</f>
        <v/>
      </c>
      <c r="JI129" s="55">
        <f>$JH129*$C129/$D129</f>
        <v/>
      </c>
      <c r="JJ129" s="55">
        <f>SUMIFS(tblBudget[TMM_t],tblBudget[Month],"&lt;"&amp;$E129)+$JI129</f>
        <v/>
      </c>
      <c r="JK129" s="56">
        <f>IFERROR(IF(($IS129)&gt;0,($JE129)/($IS129),""),"")</f>
        <v/>
      </c>
      <c r="JL129" s="56">
        <f>IFERROR(IF(($IT129)&gt;0,($JF129)/($IT129),""),"")</f>
        <v/>
      </c>
      <c r="JM129" s="56">
        <f>IFERROR(IF(($IU129)&gt;0,($JG129)/($IU129),""),"")</f>
        <v/>
      </c>
      <c r="JN129" s="55">
        <f>SUMIFS(tblBudget[Drill_m],tblBudget[Month],$E129)</f>
        <v/>
      </c>
      <c r="JO129" s="55">
        <f>$JN129*$C129/$D129</f>
        <v/>
      </c>
      <c r="JP129" s="55">
        <f>SUMIFS(tblBudget[Drill_m],tblBudget[Month],"&lt;"&amp;$E129)+$JO129</f>
        <v/>
      </c>
      <c r="JQ129" s="55">
        <f>SUMIFS(tblBudget[Diesel_L],tblBudget[Month],$E129)</f>
        <v/>
      </c>
      <c r="JR129" s="55">
        <f>$JQ129*$C129/$D129</f>
        <v/>
      </c>
      <c r="JS129" s="55">
        <f>SUMIFS(tblBudget[Diesel_L],tblBudget[Month],"&lt;"&amp;$E129)+$JR129</f>
        <v/>
      </c>
      <c r="JT129" s="55">
        <f>SUMIFS(tblBudget[Milled_t],tblBudget[Month],$E129)</f>
        <v/>
      </c>
      <c r="JU129" s="55">
        <f>$JT129*$C129/$D129</f>
        <v/>
      </c>
      <c r="JV129" s="55">
        <f>SUMIFS(tblBudget[Milled_t],tblBudget[Month],"&lt;"&amp;$E129)+$JU129</f>
        <v/>
      </c>
      <c r="JW129" s="55">
        <f>SUMIFS(tblBudget[Feed_oz],tblBudget[Month],$E129)</f>
        <v/>
      </c>
      <c r="JX129" s="55">
        <f>$JW129*$C129/$D129</f>
        <v/>
      </c>
      <c r="JY129" s="55">
        <f>SUMIFS(tblBudget[Feed_oz],tblBudget[Month],"&lt;"&amp;$E129)+$JX129</f>
        <v/>
      </c>
      <c r="JZ129" s="55">
        <f>SUMIFS(tblBudget[Recovered_oz],tblBudget[Month],$E129)</f>
        <v/>
      </c>
      <c r="KA129" s="55">
        <f>$JZ129*$C129/$D129</f>
        <v/>
      </c>
      <c r="KB129" s="55">
        <f>SUMIFS(tblBudget[Recovered_oz],tblBudget[Month],"&lt;"&amp;$E129)+$KA129</f>
        <v/>
      </c>
      <c r="KC129" s="55">
        <f>SUMIFS(tblBudget[Milled_t],tblBudget[Month],$E129)</f>
        <v/>
      </c>
      <c r="KD129" s="55">
        <f>$KC129*$C129/$D129</f>
        <v/>
      </c>
      <c r="KE129" s="55">
        <f>SUMIFS(tblBudget[Milled_t],tblBudget[Month],"&lt;"&amp;$E129)+$KD129</f>
        <v/>
      </c>
      <c r="KF129" s="55">
        <f>SUMIFS(tblBudget[Feed_oz],tblBudget[Month],$E129)</f>
        <v/>
      </c>
      <c r="KG129" s="55">
        <f>$KF129*$C129/$D129</f>
        <v/>
      </c>
      <c r="KH129" s="55">
        <f>SUMIFS(tblBudget[Feed_oz],tblBudget[Month],"&lt;"&amp;$E129)+$KG129</f>
        <v/>
      </c>
      <c r="KI129" s="56">
        <f>IFERROR(IF(($KC129)&gt;0,($JW129*cfg_TroyOz)/($KC129),""),"")</f>
        <v/>
      </c>
      <c r="KJ129" s="56">
        <f>IFERROR(IF(($KD129)&gt;0,($JX129*cfg_TroyOz)/($KD129),""),"")</f>
        <v/>
      </c>
      <c r="KK129" s="56">
        <f>IFERROR(IF(($KE129)&gt;0,($JY129*cfg_TroyOz)/($KE129),""),"")</f>
        <v/>
      </c>
      <c r="KL129" s="67">
        <f>IFERROR(IF(($KF129)&gt;0,($JZ129)/($KF129),""),"")</f>
        <v/>
      </c>
      <c r="KM129" s="67">
        <f>IFERROR(IF(($KG129)&gt;0,($KA129)/($KG129),""),"")</f>
        <v/>
      </c>
      <c r="KN129" s="67">
        <f>IFERROR(IF(($KH129)&gt;0,($KB129)/($KH129),""),"")</f>
        <v/>
      </c>
      <c r="KO129" s="55">
        <f>SUMIFS(tblBudget[Gold_Poured_oz],tblBudget[Month],$E129)</f>
        <v/>
      </c>
      <c r="KP129" s="55">
        <f>$KO129*$C129/$D129</f>
        <v/>
      </c>
      <c r="KQ129" s="55">
        <f>SUMIFS(tblBudget[Gold_Poured_oz],tblBudget[Month],"&lt;"&amp;$E129)+$KP129</f>
        <v/>
      </c>
      <c r="KR129" s="57">
        <f>SUMIFS(tblBudget[Hours_Worked],tblBudget[Month],$E129)</f>
        <v/>
      </c>
      <c r="KS129" s="57">
        <f>$KR129*$C129/$D129</f>
        <v/>
      </c>
      <c r="KT129" s="57">
        <f>SUMIFS(tblBudget[Hours_Worked],tblBudget[Month],"&lt;"&amp;$E129)+$KS129</f>
        <v/>
      </c>
    </row>
    <row r="130">
      <c r="A130" s="54" t="n">
        <v>46151</v>
      </c>
      <c r="B130">
        <f>MONTH($A130)</f>
        <v/>
      </c>
      <c r="C130">
        <f>DAY($A130)</f>
        <v/>
      </c>
      <c r="D130">
        <f>DAY(EOMONTH($A130,0))</f>
        <v/>
      </c>
      <c r="E130" s="54">
        <f>DATE(YEAR($A130),MONTH($A130),1)</f>
        <v/>
      </c>
      <c r="F130" s="55">
        <f>SUMIFS(tblMovement[Tonnes_t],tblMovement[Date],$A130,tblMovement[Is_Ore],1,tblMovement[Source_Type],"Pit")</f>
        <v/>
      </c>
      <c r="G130" s="55">
        <f>IF($B130=$B129,$G129,0)+$F130</f>
        <v/>
      </c>
      <c r="H130" s="55">
        <f>$H129+$F130</f>
        <v/>
      </c>
      <c r="I130" s="55">
        <f>SUMIFS(tblMovement[Ore_oz],tblMovement[Date],$A130,tblMovement[Source_Type],"Pit")</f>
        <v/>
      </c>
      <c r="J130" s="55">
        <f>IF($B130=$B129,$J129,0)+$I130</f>
        <v/>
      </c>
      <c r="K130" s="55">
        <f>$K129+$I130</f>
        <v/>
      </c>
      <c r="L130" s="55">
        <f>SUMIFS(tblMovement[Tonnes_t],tblMovement[Date],$A130,tblMovement[Is_Ore],1,tblMovement[Source_Type],"Pit",tblMovement[Grade_gpt],"&lt;&gt;")</f>
        <v/>
      </c>
      <c r="M130" s="55">
        <f>IF($B130=$B129,$M129,0)+$L130</f>
        <v/>
      </c>
      <c r="N130" s="55">
        <f>$N129+$L130</f>
        <v/>
      </c>
      <c r="O130" s="56">
        <f>IFERROR(IF(($L130)&gt;0,($I130*cfg_TroyOz)/($L130),""),"")</f>
        <v/>
      </c>
      <c r="P130" s="56">
        <f>IFERROR(IF(($M130)&gt;0,($J130*cfg_TroyOz)/($M130),""),"")</f>
        <v/>
      </c>
      <c r="Q130" s="56">
        <f>IFERROR(IF(($N130)&gt;0,($K130*cfg_TroyOz)/($N130),""),"")</f>
        <v/>
      </c>
      <c r="R130" s="55">
        <f>$F130-$L130</f>
        <v/>
      </c>
      <c r="S130" s="55">
        <f>IF($B130=$B129,$S129,0)+$R130</f>
        <v/>
      </c>
      <c r="T130" s="55">
        <f>$T129+$R130</f>
        <v/>
      </c>
      <c r="U130" s="55">
        <f>SUMIFS(tblMovement[Tonnes_t],tblMovement[Date],$A130,tblMovement[Is_Ore],0,tblMovement[Source_Type],"Pit")</f>
        <v/>
      </c>
      <c r="V130" s="55">
        <f>IF($B130=$B129,$V129,0)+$U130</f>
        <v/>
      </c>
      <c r="W130" s="55">
        <f>$W129+$U130</f>
        <v/>
      </c>
      <c r="X130" s="55">
        <f>$F130+$U130</f>
        <v/>
      </c>
      <c r="Y130" s="55">
        <f>IF($B130=$B129,$Y129,0)+$X130</f>
        <v/>
      </c>
      <c r="Z130" s="55">
        <f>$Z129+$X130</f>
        <v/>
      </c>
      <c r="AA130" s="56">
        <f>IFERROR(IF(($F130)&gt;0,($U130)/($F130),""),"")</f>
        <v/>
      </c>
      <c r="AB130" s="56">
        <f>IFERROR(IF(($G130)&gt;0,($V130)/($G130),""),"")</f>
        <v/>
      </c>
      <c r="AC130" s="56">
        <f>IFERROR(IF(($H130)&gt;0,($W130)/($H130),""),"")</f>
        <v/>
      </c>
      <c r="AD130" s="55">
        <f>SUMIFS(tblMovement[Tonnes_t],tblMovement[Date],$A130,tblMovement[Source_Type],"Stockpile")</f>
        <v/>
      </c>
      <c r="AE130" s="55">
        <f>IF($B130=$B129,$AE129,0)+$AD130</f>
        <v/>
      </c>
      <c r="AF130" s="55">
        <f>$AF129+$AD130</f>
        <v/>
      </c>
      <c r="AG130" s="55">
        <f>SUMIFS(tblMovement[Tonnes_t],tblMovement[Date],$A130)</f>
        <v/>
      </c>
      <c r="AH130" s="55">
        <f>IF($B130=$B129,$AH129,0)+$AG130</f>
        <v/>
      </c>
      <c r="AI130" s="55">
        <f>$AI129+$AG130</f>
        <v/>
      </c>
      <c r="AJ130" s="55">
        <f>$AG130-$X130-$AD130</f>
        <v/>
      </c>
      <c r="AK130" s="55">
        <f>IF($B130=$B129,$AK129,0)+$AJ130</f>
        <v/>
      </c>
      <c r="AL130" s="55">
        <f>$AL129+$AJ130</f>
        <v/>
      </c>
      <c r="AM130" s="55">
        <f>SUMIFS(tblMiningDaily[Drill_m],tblMiningDaily[Date],$A130)</f>
        <v/>
      </c>
      <c r="AN130" s="55">
        <f>IF($B130=$B129,$AN129,0)+$AM130</f>
        <v/>
      </c>
      <c r="AO130" s="55">
        <f>$AO129+$AM130</f>
        <v/>
      </c>
      <c r="AP130" s="55">
        <f>SUMIFS(tblMiningDaily[GC_Drill_m],tblMiningDaily[Date],$A130)</f>
        <v/>
      </c>
      <c r="AQ130" s="55">
        <f>IF($B130=$B129,$AQ129,0)+$AP130</f>
        <v/>
      </c>
      <c r="AR130" s="55">
        <f>$AR129+$AP130</f>
        <v/>
      </c>
      <c r="AS130" s="55">
        <f>SUMIFS(tblMiningDaily[Blast_t],tblMiningDaily[Date],$A130)</f>
        <v/>
      </c>
      <c r="AT130" s="55">
        <f>IF($B130=$B129,$AT129,0)+$AS130</f>
        <v/>
      </c>
      <c r="AU130" s="55">
        <f>$AU129+$AS130</f>
        <v/>
      </c>
      <c r="AV130" s="55">
        <f>SUMIFS(tblMiningDaily[Explosives_kg],tblMiningDaily[Date],$A130)</f>
        <v/>
      </c>
      <c r="AW130" s="55">
        <f>IF($B130=$B129,$AW129,0)+$AV130</f>
        <v/>
      </c>
      <c r="AX130" s="55">
        <f>$AX129+$AV130</f>
        <v/>
      </c>
      <c r="AY130" s="56">
        <f>IFERROR(IF(($AS130)&gt;0,($AV130)/($AS130),""),"")</f>
        <v/>
      </c>
      <c r="AZ130" s="56">
        <f>IFERROR(IF(($AT130)&gt;0,($AW130)/($AT130),""),"")</f>
        <v/>
      </c>
      <c r="BA130" s="56">
        <f>IFERROR(IF(($AU130)&gt;0,($AX130)/($AU130),""),"")</f>
        <v/>
      </c>
      <c r="BB130" s="55">
        <f>SUMIFS(tblMiningDaily[Diesel_L],tblMiningDaily[Date],$A130)</f>
        <v/>
      </c>
      <c r="BC130" s="55">
        <f>IF($B130=$B129,$BC129,0)+$BB130</f>
        <v/>
      </c>
      <c r="BD130" s="55">
        <f>$BD129+$BB130</f>
        <v/>
      </c>
      <c r="BE130" s="55">
        <f>SUMIFS(tblMiningDaily[Dewatering_m3],tblMiningDaily[Date],$A130)</f>
        <v/>
      </c>
      <c r="BF130" s="55">
        <f>IF($B130=$B129,$BF129,0)+$BE130</f>
        <v/>
      </c>
      <c r="BG130" s="55">
        <f>$BG129+$BE130</f>
        <v/>
      </c>
      <c r="BH130" s="57">
        <f>SUMIFS(tblFleet[Calendar_h],tblFleet[Date],$A130,tblFleet[Equipment_Class],"Excavator")</f>
        <v/>
      </c>
      <c r="BI130" s="57">
        <f>IF($B130=$B129,$BI129,0)+$BH130</f>
        <v/>
      </c>
      <c r="BJ130" s="57">
        <f>$BJ129+$BH130</f>
        <v/>
      </c>
      <c r="BK130" s="57">
        <f>SUMIFS(tblFleet[Available_h],tblFleet[Date],$A130,tblFleet[Equipment_Class],"Excavator")</f>
        <v/>
      </c>
      <c r="BL130" s="57">
        <f>IF($B130=$B129,$BL129,0)+$BK130</f>
        <v/>
      </c>
      <c r="BM130" s="57">
        <f>$BM129+$BK130</f>
        <v/>
      </c>
      <c r="BN130" s="57">
        <f>SUMIFS(tblFleet[Operating_h],tblFleet[Date],$A130,tblFleet[Equipment_Class],"Excavator")</f>
        <v/>
      </c>
      <c r="BO130" s="57">
        <f>IF($B130=$B129,$BO129,0)+$BN130</f>
        <v/>
      </c>
      <c r="BP130" s="57">
        <f>$BP129+$BN130</f>
        <v/>
      </c>
      <c r="BQ130" s="67">
        <f>IFERROR(IF(($BH130)&gt;0,($BK130)/($BH130),""),"")</f>
        <v/>
      </c>
      <c r="BR130" s="67">
        <f>IFERROR(IF(($BI130)&gt;0,($BL130)/($BI130),""),"")</f>
        <v/>
      </c>
      <c r="BS130" s="67">
        <f>IFERROR(IF(($BJ130)&gt;0,($BM130)/($BJ130),""),"")</f>
        <v/>
      </c>
      <c r="BT130" s="67">
        <f>IFERROR(IF(($BK130)&gt;0,($BN130)/($BK130),""),"")</f>
        <v/>
      </c>
      <c r="BU130" s="67">
        <f>IFERROR(IF(($BL130)&gt;0,($BO130)/($BL130),""),"")</f>
        <v/>
      </c>
      <c r="BV130" s="67">
        <f>IFERROR(IF(($BM130)&gt;0,($BP130)/($BM130),""),"")</f>
        <v/>
      </c>
      <c r="BW130" s="57">
        <f>SUMIFS(tblFleet[Calendar_h],tblFleet[Date],$A130,tblFleet[Equipment_Class],"Haul Truck")</f>
        <v/>
      </c>
      <c r="BX130" s="57">
        <f>IF($B130=$B129,$BX129,0)+$BW130</f>
        <v/>
      </c>
      <c r="BY130" s="57">
        <f>$BY129+$BW130</f>
        <v/>
      </c>
      <c r="BZ130" s="57">
        <f>SUMIFS(tblFleet[Available_h],tblFleet[Date],$A130,tblFleet[Equipment_Class],"Haul Truck")</f>
        <v/>
      </c>
      <c r="CA130" s="57">
        <f>IF($B130=$B129,$CA129,0)+$BZ130</f>
        <v/>
      </c>
      <c r="CB130" s="57">
        <f>$CB129+$BZ130</f>
        <v/>
      </c>
      <c r="CC130" s="57">
        <f>SUMIFS(tblFleet[Operating_h],tblFleet[Date],$A130,tblFleet[Equipment_Class],"Haul Truck")</f>
        <v/>
      </c>
      <c r="CD130" s="57">
        <f>IF($B130=$B129,$CD129,0)+$CC130</f>
        <v/>
      </c>
      <c r="CE130" s="57">
        <f>$CE129+$CC130</f>
        <v/>
      </c>
      <c r="CF130" s="67">
        <f>IFERROR(IF(($BW130)&gt;0,($BZ130)/($BW130),""),"")</f>
        <v/>
      </c>
      <c r="CG130" s="67">
        <f>IFERROR(IF(($BX130)&gt;0,($CA130)/($BX130),""),"")</f>
        <v/>
      </c>
      <c r="CH130" s="67">
        <f>IFERROR(IF(($BY130)&gt;0,($CB130)/($BY130),""),"")</f>
        <v/>
      </c>
      <c r="CI130" s="67">
        <f>IFERROR(IF(($BZ130)&gt;0,($CC130)/($BZ130),""),"")</f>
        <v/>
      </c>
      <c r="CJ130" s="67">
        <f>IFERROR(IF(($CA130)&gt;0,($CD130)/($CA130),""),"")</f>
        <v/>
      </c>
      <c r="CK130" s="67">
        <f>IFERROR(IF(($CB130)&gt;0,($CE130)/($CB130),""),"")</f>
        <v/>
      </c>
      <c r="CL130" s="55">
        <f>IFERROR(IF(($BN130)&gt;0,($X130+$AD130)/($BN130),""),"")</f>
        <v/>
      </c>
      <c r="CM130" s="55">
        <f>IFERROR(IF(($BO130)&gt;0,($Y130+$AE130)/($BO130),""),"")</f>
        <v/>
      </c>
      <c r="CN130" s="55">
        <f>IFERROR(IF(($BP130)&gt;0,($Z130+$AF130)/($BP130),""),"")</f>
        <v/>
      </c>
      <c r="CO130" s="55">
        <f>IFERROR(IF(($CC130)&gt;0,($X130+$AD130)/($CC130),""),"")</f>
        <v/>
      </c>
      <c r="CP130" s="55">
        <f>IFERROR(IF(($CD130)&gt;0,($Y130+$AE130)/($CD130),""),"")</f>
        <v/>
      </c>
      <c r="CQ130" s="55">
        <f>IFERROR(IF(($CE130)&gt;0,($Z130+$AF130)/($CE130),""),"")</f>
        <v/>
      </c>
      <c r="CR130" s="55">
        <f>SUMIFS(tblPlant[Crushed_t],tblPlant[Date],$A130)</f>
        <v/>
      </c>
      <c r="CS130" s="55">
        <f>IF($B130=$B129,$CS129,0)+$CR130</f>
        <v/>
      </c>
      <c r="CT130" s="55">
        <f>$CT129+$CR130</f>
        <v/>
      </c>
      <c r="CU130" s="55">
        <f>SUMIFS(tblPlant[Milled_t],tblPlant[Date],$A130)</f>
        <v/>
      </c>
      <c r="CV130" s="55">
        <f>IF($B130=$B129,$CV129,0)+$CU130</f>
        <v/>
      </c>
      <c r="CW130" s="55">
        <f>$CW129+$CU130</f>
        <v/>
      </c>
      <c r="CX130" s="55">
        <f>SUMIFS(tblPlant[Feed_oz],tblPlant[Date],$A130)</f>
        <v/>
      </c>
      <c r="CY130" s="55">
        <f>IF($B130=$B129,$CY129,0)+$CX130</f>
        <v/>
      </c>
      <c r="CZ130" s="55">
        <f>$CZ129+$CX130</f>
        <v/>
      </c>
      <c r="DA130" s="55">
        <f>SUMIFS(tblPlant[Tails_oz],tblPlant[Date],$A130)</f>
        <v/>
      </c>
      <c r="DB130" s="55">
        <f>IF($B130=$B129,$DB129,0)+$DA130</f>
        <v/>
      </c>
      <c r="DC130" s="55">
        <f>$DC129+$DA130</f>
        <v/>
      </c>
      <c r="DD130" s="55">
        <f>SUMIFS(tblPlant[Recovered_oz],tblPlant[Date],$A130)</f>
        <v/>
      </c>
      <c r="DE130" s="55">
        <f>IF($B130=$B129,$DE129,0)+$DD130</f>
        <v/>
      </c>
      <c r="DF130" s="55">
        <f>$DF129+$DD130</f>
        <v/>
      </c>
      <c r="DG130" s="55">
        <f>SUMIFS(tblPlant[Milled_t],tblPlant[Date],$A130,tblPlant[Head_Grade_gpt],"&lt;&gt;")</f>
        <v/>
      </c>
      <c r="DH130" s="55">
        <f>IF($B130=$B129,$DH129,0)+$DG130</f>
        <v/>
      </c>
      <c r="DI130" s="55">
        <f>$DI129+$DG130</f>
        <v/>
      </c>
      <c r="DJ130" s="55">
        <f>SUMIFS(tblPlant[Milled_t],tblPlant[Date],$A130,tblPlant[Tails_Grade_gpt],"&lt;&gt;")</f>
        <v/>
      </c>
      <c r="DK130" s="55">
        <f>IF($B130=$B129,$DK129,0)+$DJ130</f>
        <v/>
      </c>
      <c r="DL130" s="55">
        <f>$DL129+$DJ130</f>
        <v/>
      </c>
      <c r="DM130" s="55">
        <f>SUMIFS(tblPlant[Feed_oz],tblPlant[Date],$A130,tblPlant[Tails_Grade_gpt],"&lt;&gt;")</f>
        <v/>
      </c>
      <c r="DN130" s="55">
        <f>IF($B130=$B129,$DN129,0)+$DM130</f>
        <v/>
      </c>
      <c r="DO130" s="55">
        <f>$DO129+$DM130</f>
        <v/>
      </c>
      <c r="DP130" s="55">
        <f>SUMIFS(tblPlant[Milled_t],tblPlant[Date],$A130,tblPlant[Mill_Run_h],"&lt;&gt;")</f>
        <v/>
      </c>
      <c r="DQ130" s="55">
        <f>IF($B130=$B129,$DQ129,0)+$DP130</f>
        <v/>
      </c>
      <c r="DR130" s="55">
        <f>$DR129+$DP130</f>
        <v/>
      </c>
      <c r="DS130" s="56">
        <f>IFERROR(IF(($DG130)&gt;0,($CX130*cfg_TroyOz)/($DG130),""),"")</f>
        <v/>
      </c>
      <c r="DT130" s="56">
        <f>IFERROR(IF(($DH130)&gt;0,($CY130*cfg_TroyOz)/($DH130),""),"")</f>
        <v/>
      </c>
      <c r="DU130" s="56">
        <f>IFERROR(IF(($DI130)&gt;0,($CZ130*cfg_TroyOz)/($DI130),""),"")</f>
        <v/>
      </c>
      <c r="DV130" s="56">
        <f>IFERROR(IF(($DJ130)&gt;0,($DA130*cfg_TroyOz)/($DJ130),""),"")</f>
        <v/>
      </c>
      <c r="DW130" s="56">
        <f>IFERROR(IF(($DK130)&gt;0,($DB130*cfg_TroyOz)/($DK130),""),"")</f>
        <v/>
      </c>
      <c r="DX130" s="56">
        <f>IFERROR(IF(($DL130)&gt;0,($DC130*cfg_TroyOz)/($DL130),""),"")</f>
        <v/>
      </c>
      <c r="DY130" s="67">
        <f>IFERROR(IF(($DM130)&gt;0,($DD130)/($DM130),""),"")</f>
        <v/>
      </c>
      <c r="DZ130" s="67">
        <f>IFERROR(IF(($DN130)&gt;0,($DE130)/($DN130),""),"")</f>
        <v/>
      </c>
      <c r="EA130" s="67">
        <f>IFERROR(IF(($DO130)&gt;0,($DF130)/($DO130),""),"")</f>
        <v/>
      </c>
      <c r="EB130" s="55">
        <f>SUMIFS(tblPlant[Gravity_Gold_oz],tblPlant[Date],$A130)</f>
        <v/>
      </c>
      <c r="EC130" s="55">
        <f>IF($B130=$B129,$EC129,0)+$EB130</f>
        <v/>
      </c>
      <c r="ED130" s="55">
        <f>$ED129+$EB130</f>
        <v/>
      </c>
      <c r="EE130" s="67">
        <f>IFERROR(IF(($DD130)&gt;0,($EB130)/($DD130),""),"")</f>
        <v/>
      </c>
      <c r="EF130" s="67">
        <f>IFERROR(IF(($DE130)&gt;0,($EC130)/($DE130),""),"")</f>
        <v/>
      </c>
      <c r="EG130" s="67">
        <f>IFERROR(IF(($DF130)&gt;0,($ED130)/($DF130),""),"")</f>
        <v/>
      </c>
      <c r="EH130" s="55">
        <f>SUMIFS(tblPlant[Gold_Poured_oz],tblPlant[Date],$A130)</f>
        <v/>
      </c>
      <c r="EI130" s="55">
        <f>IF($B130=$B129,$EI129,0)+$EH130</f>
        <v/>
      </c>
      <c r="EJ130" s="55">
        <f>$EJ129+$EH130</f>
        <v/>
      </c>
      <c r="EK130" s="57">
        <f>SUMIFS(tblPlant[Mill_Run_h],tblPlant[Date],$A130)</f>
        <v/>
      </c>
      <c r="EL130" s="57">
        <f>IF($B130=$B129,$EL129,0)+$EK130</f>
        <v/>
      </c>
      <c r="EM130" s="57">
        <f>$EM129+$EK130</f>
        <v/>
      </c>
      <c r="EN130" s="57">
        <f>SUMIFS(tblPlant[Mill_Planned_Maint_h],tblPlant[Date],$A130)</f>
        <v/>
      </c>
      <c r="EO130" s="57">
        <f>IF($B130=$B129,$EO129,0)+$EN130</f>
        <v/>
      </c>
      <c r="EP130" s="57">
        <f>$EP129+$EN130</f>
        <v/>
      </c>
      <c r="EQ130" s="57">
        <f>SUMIFS(tblPlant[Mill_Unplanned_Down_h],tblPlant[Date],$A130)</f>
        <v/>
      </c>
      <c r="ER130" s="57">
        <f>IF($B130=$B129,$ER129,0)+$EQ130</f>
        <v/>
      </c>
      <c r="ES130" s="57">
        <f>$ES129+$EQ130</f>
        <v/>
      </c>
      <c r="ET130" s="57">
        <f>IF(COUNTIFS(tblPlant[Date],$A130,tblPlant[Mill_Run_h],"&lt;&gt;")+COUNTIFS(tblPlant[Date],$A130,tblPlant[Mill_Planned_Maint_h],"&lt;&gt;")+COUNTIFS(tblPlant[Date],$A130,tblPlant[Mill_Unplanned_Down_h],"&lt;&gt;")&gt;0,cfg_HoursPerDay,0)</f>
        <v/>
      </c>
      <c r="EU130" s="57">
        <f>IF($B130=$B129,$EU129,0)+$ET130</f>
        <v/>
      </c>
      <c r="EV130" s="57">
        <f>$EV129+$ET130</f>
        <v/>
      </c>
      <c r="EW130" s="57">
        <f>SUMIFS(tblPlant[Crusher_Run_h],tblPlant[Date],$A130)</f>
        <v/>
      </c>
      <c r="EX130" s="57">
        <f>IF($B130=$B129,$EX129,0)+$EW130</f>
        <v/>
      </c>
      <c r="EY130" s="57">
        <f>$EY129+$EW130</f>
        <v/>
      </c>
      <c r="EZ130" s="55">
        <f>IFERROR(IF(($EK130)&gt;0,($DP130)/($EK130),""),"")</f>
        <v/>
      </c>
      <c r="FA130" s="55">
        <f>IFERROR(IF(($EL130)&gt;0,($DQ130)/($EL130),""),"")</f>
        <v/>
      </c>
      <c r="FB130" s="55">
        <f>IFERROR(IF(($EM130)&gt;0,($DR130)/($EM130),""),"")</f>
        <v/>
      </c>
      <c r="FC130" s="67">
        <f>IFERROR(IF(($ET130)&gt;0,($ET130-$EN130-$EQ130)/($ET130),""),"")</f>
        <v/>
      </c>
      <c r="FD130" s="67">
        <f>IFERROR(IF(($EU130)&gt;0,($EU130-$EO130-$ER130)/($EU130),""),"")</f>
        <v/>
      </c>
      <c r="FE130" s="67">
        <f>IFERROR(IF(($EV130)&gt;0,($EV130-$EP130-$ES130)/($EV130),""),"")</f>
        <v/>
      </c>
      <c r="FF130" s="67">
        <f>IFERROR(IF(($ET130-$EN130-$EQ130)&gt;0,($EK130)/($ET130-$EN130-$EQ130),""),"")</f>
        <v/>
      </c>
      <c r="FG130" s="67">
        <f>IFERROR(IF(($EU130-$EO130-$ER130)&gt;0,($EL130)/($EU130-$EO130-$ER130),""),"")</f>
        <v/>
      </c>
      <c r="FH130" s="67">
        <f>IFERROR(IF(($EV130-$EP130-$ES130)&gt;0,($EM130)/($EV130-$EP130-$ES130),""),"")</f>
        <v/>
      </c>
      <c r="FI130" s="55">
        <f>SUMIFS(tblPlant[Cyanide_kg],tblPlant[Date],$A130)</f>
        <v/>
      </c>
      <c r="FJ130" s="55">
        <f>IF($B130=$B129,$FJ129,0)+$FI130</f>
        <v/>
      </c>
      <c r="FK130" s="55">
        <f>$FK129+$FI130</f>
        <v/>
      </c>
      <c r="FL130" s="55">
        <f>SUMIFS(tblPlant[Lime_kg],tblPlant[Date],$A130)</f>
        <v/>
      </c>
      <c r="FM130" s="55">
        <f>IF($B130=$B129,$FM129,0)+$FL130</f>
        <v/>
      </c>
      <c r="FN130" s="55">
        <f>$FN129+$FL130</f>
        <v/>
      </c>
      <c r="FO130" s="55">
        <f>SUMIFS(tblPlant[Grinding_Media_kg],tblPlant[Date],$A130)</f>
        <v/>
      </c>
      <c r="FP130" s="55">
        <f>IF($B130=$B129,$FP129,0)+$FO130</f>
        <v/>
      </c>
      <c r="FQ130" s="55">
        <f>$FQ129+$FO130</f>
        <v/>
      </c>
      <c r="FR130" s="55">
        <f>SUMIFS(tblPlant[Power_kWh],tblPlant[Date],$A130)</f>
        <v/>
      </c>
      <c r="FS130" s="55">
        <f>IF($B130=$B129,$FS129,0)+$FR130</f>
        <v/>
      </c>
      <c r="FT130" s="55">
        <f>$FT129+$FR130</f>
        <v/>
      </c>
      <c r="FU130" s="55">
        <f>SUMIFS(tblPlant[Raw_Water_m3],tblPlant[Date],$A130)</f>
        <v/>
      </c>
      <c r="FV130" s="55">
        <f>IF($B130=$B129,$FV129,0)+$FU130</f>
        <v/>
      </c>
      <c r="FW130" s="55">
        <f>$FW129+$FU130</f>
        <v/>
      </c>
      <c r="FX130" s="56">
        <f>IFERROR(IF(($CU130)&gt;0,($FI130)/($CU130),""),"")</f>
        <v/>
      </c>
      <c r="FY130" s="56">
        <f>IFERROR(IF(($CV130)&gt;0,($FJ130)/($CV130),""),"")</f>
        <v/>
      </c>
      <c r="FZ130" s="56">
        <f>IFERROR(IF(($CW130)&gt;0,($FK130)/($CW130),""),"")</f>
        <v/>
      </c>
      <c r="GA130" s="56">
        <f>IFERROR(IF(($CU130)&gt;0,($FL130)/($CU130),""),"")</f>
        <v/>
      </c>
      <c r="GB130" s="56">
        <f>IFERROR(IF(($CV130)&gt;0,($FM130)/($CV130),""),"")</f>
        <v/>
      </c>
      <c r="GC130" s="56">
        <f>IFERROR(IF(($CW130)&gt;0,($FN130)/($CW130),""),"")</f>
        <v/>
      </c>
      <c r="GD130" s="56">
        <f>IFERROR(IF(($CU130)&gt;0,($FO130)/($CU130),""),"")</f>
        <v/>
      </c>
      <c r="GE130" s="56">
        <f>IFERROR(IF(($CV130)&gt;0,($FP130)/($CV130),""),"")</f>
        <v/>
      </c>
      <c r="GF130" s="56">
        <f>IFERROR(IF(($CW130)&gt;0,($FQ130)/($CW130),""),"")</f>
        <v/>
      </c>
      <c r="GG130" s="79">
        <f>IFERROR(IF(($CU130)&gt;0,($FR130)/($CU130),""),"")</f>
        <v/>
      </c>
      <c r="GH130" s="79">
        <f>IFERROR(IF(($CV130)&gt;0,($FS130)/($CV130),""),"")</f>
        <v/>
      </c>
      <c r="GI130" s="79">
        <f>IFERROR(IF(($CW130)&gt;0,($FT130)/($CW130),""),"")</f>
        <v/>
      </c>
      <c r="GJ130" s="56">
        <f>IFERROR(IF(($CU130)&gt;0,($FU130)/($CU130),""),"")</f>
        <v/>
      </c>
      <c r="GK130" s="56">
        <f>IFERROR(IF(($CV130)&gt;0,($FV130)/($CV130),""),"")</f>
        <v/>
      </c>
      <c r="GL130" s="56">
        <f>IFERROR(IF(($CW130)&gt;0,($FW130)/($CW130),""),"")</f>
        <v/>
      </c>
      <c r="GM130" s="55">
        <f>IF(SUMIFS(tblPlant[GIC_oz],tblPlant[Date],$A130)&gt;0,SUMIFS(tblPlant[GIC_oz],tblPlant[Date],$A130),"")</f>
        <v/>
      </c>
      <c r="GN130" s="55">
        <f>SUMIFS(tblGold[Gold_oz],tblGold[Date],$A130,tblGold[Type],"Shipment")</f>
        <v/>
      </c>
      <c r="GO130" s="55">
        <f>IF($B130=$B129,$GO129,0)+$GN130</f>
        <v/>
      </c>
      <c r="GP130" s="55">
        <f>$GP129+$GN130</f>
        <v/>
      </c>
      <c r="GQ130" s="55">
        <f>SUMIFS(tblGold[Gold_oz],tblGold[Date],$A130,tblGold[Type],"Sale")</f>
        <v/>
      </c>
      <c r="GR130" s="55">
        <f>IF($B130=$B129,$GR129,0)+$GQ130</f>
        <v/>
      </c>
      <c r="GS130" s="55">
        <f>$GS129+$GQ130</f>
        <v/>
      </c>
      <c r="GT130" s="55">
        <f>SUMIFS(tblGold[Dore_kg],tblGold[Date],$A130,tblGold[Type],"Shipment")</f>
        <v/>
      </c>
      <c r="GU130" s="55">
        <f>IF($B130=$B129,$GU129,0)+$GT130</f>
        <v/>
      </c>
      <c r="GV130" s="55">
        <f>$GV129+$GT130</f>
        <v/>
      </c>
      <c r="GW130" s="57">
        <f>SUMIFS(tblSafety[Hours_Total],tblSafety[Date],$A130)</f>
        <v/>
      </c>
      <c r="GX130" s="57">
        <f>IF($B130=$B129,$GX129,0)+$GW130</f>
        <v/>
      </c>
      <c r="GY130" s="57">
        <f>$GY129+$GW130</f>
        <v/>
      </c>
      <c r="GZ130" s="62">
        <f>SUMIFS(tblSafety[Fatality],tblSafety[Date],$A130)</f>
        <v/>
      </c>
      <c r="HA130" s="62">
        <f>IF($B130=$B129,$HA129,0)+$GZ130</f>
        <v/>
      </c>
      <c r="HB130" s="62">
        <f>$HB129+$GZ130</f>
        <v/>
      </c>
      <c r="HC130" s="62">
        <f>SUMIFS(tblSafety[LTI],tblSafety[Date],$A130)</f>
        <v/>
      </c>
      <c r="HD130" s="62">
        <f>IF($B130=$B129,$HD129,0)+$HC130</f>
        <v/>
      </c>
      <c r="HE130" s="62">
        <f>$HE129+$HC130</f>
        <v/>
      </c>
      <c r="HF130" s="62">
        <f>SUMIFS(tblSafety[RWI],tblSafety[Date],$A130)</f>
        <v/>
      </c>
      <c r="HG130" s="62">
        <f>IF($B130=$B129,$HG129,0)+$HF130</f>
        <v/>
      </c>
      <c r="HH130" s="62">
        <f>$HH129+$HF130</f>
        <v/>
      </c>
      <c r="HI130" s="62">
        <f>SUMIFS(tblSafety[MTI],tblSafety[Date],$A130)</f>
        <v/>
      </c>
      <c r="HJ130" s="62">
        <f>IF($B130=$B129,$HJ129,0)+$HI130</f>
        <v/>
      </c>
      <c r="HK130" s="62">
        <f>$HK129+$HI130</f>
        <v/>
      </c>
      <c r="HL130" s="62">
        <f>SUMIFS(tblSafety[FAI],tblSafety[Date],$A130)</f>
        <v/>
      </c>
      <c r="HM130" s="62">
        <f>IF($B130=$B129,$HM129,0)+$HL130</f>
        <v/>
      </c>
      <c r="HN130" s="62">
        <f>$HN129+$HL130</f>
        <v/>
      </c>
      <c r="HO130" s="62">
        <f>SUMIFS(tblSafety[Recordables],tblSafety[Date],$A130)</f>
        <v/>
      </c>
      <c r="HP130" s="62">
        <f>IF($B130=$B129,$HP129,0)+$HO130</f>
        <v/>
      </c>
      <c r="HQ130" s="62">
        <f>$HQ129+$HO130</f>
        <v/>
      </c>
      <c r="HR130" s="62">
        <f>SUMIFS(tblSafety[Near_Miss],tblSafety[Date],$A130)</f>
        <v/>
      </c>
      <c r="HS130" s="62">
        <f>IF($B130=$B129,$HS129,0)+$HR130</f>
        <v/>
      </c>
      <c r="HT130" s="62">
        <f>$HT129+$HR130</f>
        <v/>
      </c>
      <c r="HU130" s="62">
        <f>SUMIFS(tblSafety[Hazard_Reports],tblSafety[Date],$A130)</f>
        <v/>
      </c>
      <c r="HV130" s="62">
        <f>IF($B130=$B129,$HV129,0)+$HU130</f>
        <v/>
      </c>
      <c r="HW130" s="62">
        <f>$HW129+$HU130</f>
        <v/>
      </c>
      <c r="HX130" s="62">
        <f>SUMIFS(tblSafety[HPI],tblSafety[Date],$A130)</f>
        <v/>
      </c>
      <c r="HY130" s="62">
        <f>IF($B130=$B129,$HY129,0)+$HX130</f>
        <v/>
      </c>
      <c r="HZ130" s="62">
        <f>$HZ129+$HX130</f>
        <v/>
      </c>
      <c r="IA130" s="62">
        <f>SUMIFS(tblSafety[Env_Incidents],tblSafety[Date],$A130)</f>
        <v/>
      </c>
      <c r="IB130" s="62">
        <f>IF($B130=$B129,$IB129,0)+$IA130</f>
        <v/>
      </c>
      <c r="IC130" s="62">
        <f>$IC129+$IA130</f>
        <v/>
      </c>
      <c r="ID130" s="62">
        <f>SUMIFS(tblSafety[Community_Incidents],tblSafety[Date],$A130)</f>
        <v/>
      </c>
      <c r="IE130" s="62">
        <f>IF($B130=$B129,$IE129,0)+$ID130</f>
        <v/>
      </c>
      <c r="IF130" s="62">
        <f>$IF129+$ID130</f>
        <v/>
      </c>
      <c r="IG130" s="62">
        <f>SUMIFS(tblSafety[Vehicle_Incidents],tblSafety[Date],$A130)</f>
        <v/>
      </c>
      <c r="IH130" s="62">
        <f>IF($B130=$B129,$IH129,0)+$IG130</f>
        <v/>
      </c>
      <c r="II130" s="62">
        <f>$II129+$IG130</f>
        <v/>
      </c>
      <c r="IJ130" s="62">
        <f>SUMIFS(tblSafety[Toolbox_Talks],tblSafety[Date],$A130)</f>
        <v/>
      </c>
      <c r="IK130" s="62">
        <f>IF($B130=$B129,$IK129,0)+$IJ130</f>
        <v/>
      </c>
      <c r="IL130" s="62">
        <f>$IL129+$IJ130</f>
        <v/>
      </c>
      <c r="IM130" s="62">
        <f>SUMIFS(tblSafety[Inspections],tblSafety[Date],$A130)</f>
        <v/>
      </c>
      <c r="IN130" s="62">
        <f>IF($B130=$B129,$IN129,0)+$IM130</f>
        <v/>
      </c>
      <c r="IO130" s="62">
        <f>$IO129+$IM130</f>
        <v/>
      </c>
      <c r="IP130" s="56">
        <f>IFERROR((SUMIFS(tblSafety[Recordables],tblSafety[Date],"&gt;="&amp;EDATE($E130,-12),tblSafety[Date],"&lt;="&amp;$A130)+SUMIFS(tblSafetyHistory[Recordables],tblSafetyHistory[Month],"&gt;="&amp;EDATE($E130,-12),tblSafetyHistory[Month],"&lt;"&amp;$E130,tblSafetyHistory[Use],1))/(SUMIFS(tblSafety[Hours_Total],tblSafety[Date],"&gt;="&amp;EDATE($E130,-12),tblSafety[Date],"&lt;="&amp;$A130)+SUMIFS(tblSafetyHistory[Hours_Total],tblSafetyHistory[Month],"&gt;="&amp;EDATE($E130,-12),tblSafetyHistory[Month],"&lt;"&amp;$E130,tblSafetyHistory[Use],1))*cfg_RateBasisHours,"")</f>
        <v/>
      </c>
      <c r="IQ130" s="56">
        <f>IFERROR((SUMIFS(tblSafety[LTI],tblSafety[Date],"&gt;="&amp;EDATE($E130,-12),tblSafety[Date],"&lt;="&amp;$A130)+SUMIFS(tblSafetyHistory[LTI],tblSafetyHistory[Month],"&gt;="&amp;EDATE($E130,-12),tblSafetyHistory[Month],"&lt;"&amp;$E130,tblSafetyHistory[Use],1))/(SUMIFS(tblSafety[Hours_Total],tblSafety[Date],"&gt;="&amp;EDATE($E130,-12),tblSafety[Date],"&lt;="&amp;$A130)+SUMIFS(tblSafetyHistory[Hours_Total],tblSafetyHistory[Month],"&gt;="&amp;EDATE($E130,-12),tblSafetyHistory[Month],"&lt;"&amp;$E130,tblSafetyHistory[Use],1))*cfg_RateBasisHours,"")</f>
        <v/>
      </c>
      <c r="IR130" s="62">
        <f>IF(MAX(N(cfg_PriorLTIDate),_xlfn.MAXIFS(tblSafety[Date],tblSafety[LTI],"&gt;0",tblSafety[Date],"&lt;="&amp;$A130))=0,"",$A130-MAX(N(cfg_PriorLTIDate),_xlfn.MAXIFS(tblSafety[Date],tblSafety[LTI],"&gt;0",tblSafety[Date],"&lt;="&amp;$A130)))</f>
        <v/>
      </c>
      <c r="IS130" s="55">
        <f>SUMIFS(tblBudget[Ore_Mined_t],tblBudget[Month],$E130)</f>
        <v/>
      </c>
      <c r="IT130" s="55">
        <f>$IS130*$C130/$D130</f>
        <v/>
      </c>
      <c r="IU130" s="55">
        <f>SUMIFS(tblBudget[Ore_Mined_t],tblBudget[Month],"&lt;"&amp;$E130)+$IT130</f>
        <v/>
      </c>
      <c r="IV130" s="55">
        <f>SUMIFS(tblBudget[Ore_oz],tblBudget[Month],$E130)</f>
        <v/>
      </c>
      <c r="IW130" s="55">
        <f>$IV130*$C130/$D130</f>
        <v/>
      </c>
      <c r="IX130" s="55">
        <f>SUMIFS(tblBudget[Ore_oz],tblBudget[Month],"&lt;"&amp;$E130)+$IW130</f>
        <v/>
      </c>
      <c r="IY130" s="55">
        <f>SUMIFS(tblBudget[Ore_Mined_t],tblBudget[Month],$E130)</f>
        <v/>
      </c>
      <c r="IZ130" s="55">
        <f>$IY130*$C130/$D130</f>
        <v/>
      </c>
      <c r="JA130" s="55">
        <f>SUMIFS(tblBudget[Ore_Mined_t],tblBudget[Month],"&lt;"&amp;$E130)+$IZ130</f>
        <v/>
      </c>
      <c r="JB130" s="56">
        <f>IFERROR(IF(($IY130)&gt;0,($IV130*cfg_TroyOz)/($IY130),""),"")</f>
        <v/>
      </c>
      <c r="JC130" s="56">
        <f>IFERROR(IF(($IZ130)&gt;0,($IW130*cfg_TroyOz)/($IZ130),""),"")</f>
        <v/>
      </c>
      <c r="JD130" s="56">
        <f>IFERROR(IF(($JA130)&gt;0,($IX130*cfg_TroyOz)/($JA130),""),"")</f>
        <v/>
      </c>
      <c r="JE130" s="55">
        <f>SUMIFS(tblBudget[Waste_t],tblBudget[Month],$E130)</f>
        <v/>
      </c>
      <c r="JF130" s="55">
        <f>$JE130*$C130/$D130</f>
        <v/>
      </c>
      <c r="JG130" s="55">
        <f>SUMIFS(tblBudget[Waste_t],tblBudget[Month],"&lt;"&amp;$E130)+$JF130</f>
        <v/>
      </c>
      <c r="JH130" s="55">
        <f>SUMIFS(tblBudget[TMM_t],tblBudget[Month],$E130)</f>
        <v/>
      </c>
      <c r="JI130" s="55">
        <f>$JH130*$C130/$D130</f>
        <v/>
      </c>
      <c r="JJ130" s="55">
        <f>SUMIFS(tblBudget[TMM_t],tblBudget[Month],"&lt;"&amp;$E130)+$JI130</f>
        <v/>
      </c>
      <c r="JK130" s="56">
        <f>IFERROR(IF(($IS130)&gt;0,($JE130)/($IS130),""),"")</f>
        <v/>
      </c>
      <c r="JL130" s="56">
        <f>IFERROR(IF(($IT130)&gt;0,($JF130)/($IT130),""),"")</f>
        <v/>
      </c>
      <c r="JM130" s="56">
        <f>IFERROR(IF(($IU130)&gt;0,($JG130)/($IU130),""),"")</f>
        <v/>
      </c>
      <c r="JN130" s="55">
        <f>SUMIFS(tblBudget[Drill_m],tblBudget[Month],$E130)</f>
        <v/>
      </c>
      <c r="JO130" s="55">
        <f>$JN130*$C130/$D130</f>
        <v/>
      </c>
      <c r="JP130" s="55">
        <f>SUMIFS(tblBudget[Drill_m],tblBudget[Month],"&lt;"&amp;$E130)+$JO130</f>
        <v/>
      </c>
      <c r="JQ130" s="55">
        <f>SUMIFS(tblBudget[Diesel_L],tblBudget[Month],$E130)</f>
        <v/>
      </c>
      <c r="JR130" s="55">
        <f>$JQ130*$C130/$D130</f>
        <v/>
      </c>
      <c r="JS130" s="55">
        <f>SUMIFS(tblBudget[Diesel_L],tblBudget[Month],"&lt;"&amp;$E130)+$JR130</f>
        <v/>
      </c>
      <c r="JT130" s="55">
        <f>SUMIFS(tblBudget[Milled_t],tblBudget[Month],$E130)</f>
        <v/>
      </c>
      <c r="JU130" s="55">
        <f>$JT130*$C130/$D130</f>
        <v/>
      </c>
      <c r="JV130" s="55">
        <f>SUMIFS(tblBudget[Milled_t],tblBudget[Month],"&lt;"&amp;$E130)+$JU130</f>
        <v/>
      </c>
      <c r="JW130" s="55">
        <f>SUMIFS(tblBudget[Feed_oz],tblBudget[Month],$E130)</f>
        <v/>
      </c>
      <c r="JX130" s="55">
        <f>$JW130*$C130/$D130</f>
        <v/>
      </c>
      <c r="JY130" s="55">
        <f>SUMIFS(tblBudget[Feed_oz],tblBudget[Month],"&lt;"&amp;$E130)+$JX130</f>
        <v/>
      </c>
      <c r="JZ130" s="55">
        <f>SUMIFS(tblBudget[Recovered_oz],tblBudget[Month],$E130)</f>
        <v/>
      </c>
      <c r="KA130" s="55">
        <f>$JZ130*$C130/$D130</f>
        <v/>
      </c>
      <c r="KB130" s="55">
        <f>SUMIFS(tblBudget[Recovered_oz],tblBudget[Month],"&lt;"&amp;$E130)+$KA130</f>
        <v/>
      </c>
      <c r="KC130" s="55">
        <f>SUMIFS(tblBudget[Milled_t],tblBudget[Month],$E130)</f>
        <v/>
      </c>
      <c r="KD130" s="55">
        <f>$KC130*$C130/$D130</f>
        <v/>
      </c>
      <c r="KE130" s="55">
        <f>SUMIFS(tblBudget[Milled_t],tblBudget[Month],"&lt;"&amp;$E130)+$KD130</f>
        <v/>
      </c>
      <c r="KF130" s="55">
        <f>SUMIFS(tblBudget[Feed_oz],tblBudget[Month],$E130)</f>
        <v/>
      </c>
      <c r="KG130" s="55">
        <f>$KF130*$C130/$D130</f>
        <v/>
      </c>
      <c r="KH130" s="55">
        <f>SUMIFS(tblBudget[Feed_oz],tblBudget[Month],"&lt;"&amp;$E130)+$KG130</f>
        <v/>
      </c>
      <c r="KI130" s="56">
        <f>IFERROR(IF(($KC130)&gt;0,($JW130*cfg_TroyOz)/($KC130),""),"")</f>
        <v/>
      </c>
      <c r="KJ130" s="56">
        <f>IFERROR(IF(($KD130)&gt;0,($JX130*cfg_TroyOz)/($KD130),""),"")</f>
        <v/>
      </c>
      <c r="KK130" s="56">
        <f>IFERROR(IF(($KE130)&gt;0,($JY130*cfg_TroyOz)/($KE130),""),"")</f>
        <v/>
      </c>
      <c r="KL130" s="67">
        <f>IFERROR(IF(($KF130)&gt;0,($JZ130)/($KF130),""),"")</f>
        <v/>
      </c>
      <c r="KM130" s="67">
        <f>IFERROR(IF(($KG130)&gt;0,($KA130)/($KG130),""),"")</f>
        <v/>
      </c>
      <c r="KN130" s="67">
        <f>IFERROR(IF(($KH130)&gt;0,($KB130)/($KH130),""),"")</f>
        <v/>
      </c>
      <c r="KO130" s="55">
        <f>SUMIFS(tblBudget[Gold_Poured_oz],tblBudget[Month],$E130)</f>
        <v/>
      </c>
      <c r="KP130" s="55">
        <f>$KO130*$C130/$D130</f>
        <v/>
      </c>
      <c r="KQ130" s="55">
        <f>SUMIFS(tblBudget[Gold_Poured_oz],tblBudget[Month],"&lt;"&amp;$E130)+$KP130</f>
        <v/>
      </c>
      <c r="KR130" s="57">
        <f>SUMIFS(tblBudget[Hours_Worked],tblBudget[Month],$E130)</f>
        <v/>
      </c>
      <c r="KS130" s="57">
        <f>$KR130*$C130/$D130</f>
        <v/>
      </c>
      <c r="KT130" s="57">
        <f>SUMIFS(tblBudget[Hours_Worked],tblBudget[Month],"&lt;"&amp;$E130)+$KS130</f>
        <v/>
      </c>
    </row>
    <row r="131">
      <c r="A131" s="54" t="n">
        <v>46152</v>
      </c>
      <c r="B131">
        <f>MONTH($A131)</f>
        <v/>
      </c>
      <c r="C131">
        <f>DAY($A131)</f>
        <v/>
      </c>
      <c r="D131">
        <f>DAY(EOMONTH($A131,0))</f>
        <v/>
      </c>
      <c r="E131" s="54">
        <f>DATE(YEAR($A131),MONTH($A131),1)</f>
        <v/>
      </c>
      <c r="F131" s="55">
        <f>SUMIFS(tblMovement[Tonnes_t],tblMovement[Date],$A131,tblMovement[Is_Ore],1,tblMovement[Source_Type],"Pit")</f>
        <v/>
      </c>
      <c r="G131" s="55">
        <f>IF($B131=$B130,$G130,0)+$F131</f>
        <v/>
      </c>
      <c r="H131" s="55">
        <f>$H130+$F131</f>
        <v/>
      </c>
      <c r="I131" s="55">
        <f>SUMIFS(tblMovement[Ore_oz],tblMovement[Date],$A131,tblMovement[Source_Type],"Pit")</f>
        <v/>
      </c>
      <c r="J131" s="55">
        <f>IF($B131=$B130,$J130,0)+$I131</f>
        <v/>
      </c>
      <c r="K131" s="55">
        <f>$K130+$I131</f>
        <v/>
      </c>
      <c r="L131" s="55">
        <f>SUMIFS(tblMovement[Tonnes_t],tblMovement[Date],$A131,tblMovement[Is_Ore],1,tblMovement[Source_Type],"Pit",tblMovement[Grade_gpt],"&lt;&gt;")</f>
        <v/>
      </c>
      <c r="M131" s="55">
        <f>IF($B131=$B130,$M130,0)+$L131</f>
        <v/>
      </c>
      <c r="N131" s="55">
        <f>$N130+$L131</f>
        <v/>
      </c>
      <c r="O131" s="56">
        <f>IFERROR(IF(($L131)&gt;0,($I131*cfg_TroyOz)/($L131),""),"")</f>
        <v/>
      </c>
      <c r="P131" s="56">
        <f>IFERROR(IF(($M131)&gt;0,($J131*cfg_TroyOz)/($M131),""),"")</f>
        <v/>
      </c>
      <c r="Q131" s="56">
        <f>IFERROR(IF(($N131)&gt;0,($K131*cfg_TroyOz)/($N131),""),"")</f>
        <v/>
      </c>
      <c r="R131" s="55">
        <f>$F131-$L131</f>
        <v/>
      </c>
      <c r="S131" s="55">
        <f>IF($B131=$B130,$S130,0)+$R131</f>
        <v/>
      </c>
      <c r="T131" s="55">
        <f>$T130+$R131</f>
        <v/>
      </c>
      <c r="U131" s="55">
        <f>SUMIFS(tblMovement[Tonnes_t],tblMovement[Date],$A131,tblMovement[Is_Ore],0,tblMovement[Source_Type],"Pit")</f>
        <v/>
      </c>
      <c r="V131" s="55">
        <f>IF($B131=$B130,$V130,0)+$U131</f>
        <v/>
      </c>
      <c r="W131" s="55">
        <f>$W130+$U131</f>
        <v/>
      </c>
      <c r="X131" s="55">
        <f>$F131+$U131</f>
        <v/>
      </c>
      <c r="Y131" s="55">
        <f>IF($B131=$B130,$Y130,0)+$X131</f>
        <v/>
      </c>
      <c r="Z131" s="55">
        <f>$Z130+$X131</f>
        <v/>
      </c>
      <c r="AA131" s="56">
        <f>IFERROR(IF(($F131)&gt;0,($U131)/($F131),""),"")</f>
        <v/>
      </c>
      <c r="AB131" s="56">
        <f>IFERROR(IF(($G131)&gt;0,($V131)/($G131),""),"")</f>
        <v/>
      </c>
      <c r="AC131" s="56">
        <f>IFERROR(IF(($H131)&gt;0,($W131)/($H131),""),"")</f>
        <v/>
      </c>
      <c r="AD131" s="55">
        <f>SUMIFS(tblMovement[Tonnes_t],tblMovement[Date],$A131,tblMovement[Source_Type],"Stockpile")</f>
        <v/>
      </c>
      <c r="AE131" s="55">
        <f>IF($B131=$B130,$AE130,0)+$AD131</f>
        <v/>
      </c>
      <c r="AF131" s="55">
        <f>$AF130+$AD131</f>
        <v/>
      </c>
      <c r="AG131" s="55">
        <f>SUMIFS(tblMovement[Tonnes_t],tblMovement[Date],$A131)</f>
        <v/>
      </c>
      <c r="AH131" s="55">
        <f>IF($B131=$B130,$AH130,0)+$AG131</f>
        <v/>
      </c>
      <c r="AI131" s="55">
        <f>$AI130+$AG131</f>
        <v/>
      </c>
      <c r="AJ131" s="55">
        <f>$AG131-$X131-$AD131</f>
        <v/>
      </c>
      <c r="AK131" s="55">
        <f>IF($B131=$B130,$AK130,0)+$AJ131</f>
        <v/>
      </c>
      <c r="AL131" s="55">
        <f>$AL130+$AJ131</f>
        <v/>
      </c>
      <c r="AM131" s="55">
        <f>SUMIFS(tblMiningDaily[Drill_m],tblMiningDaily[Date],$A131)</f>
        <v/>
      </c>
      <c r="AN131" s="55">
        <f>IF($B131=$B130,$AN130,0)+$AM131</f>
        <v/>
      </c>
      <c r="AO131" s="55">
        <f>$AO130+$AM131</f>
        <v/>
      </c>
      <c r="AP131" s="55">
        <f>SUMIFS(tblMiningDaily[GC_Drill_m],tblMiningDaily[Date],$A131)</f>
        <v/>
      </c>
      <c r="AQ131" s="55">
        <f>IF($B131=$B130,$AQ130,0)+$AP131</f>
        <v/>
      </c>
      <c r="AR131" s="55">
        <f>$AR130+$AP131</f>
        <v/>
      </c>
      <c r="AS131" s="55">
        <f>SUMIFS(tblMiningDaily[Blast_t],tblMiningDaily[Date],$A131)</f>
        <v/>
      </c>
      <c r="AT131" s="55">
        <f>IF($B131=$B130,$AT130,0)+$AS131</f>
        <v/>
      </c>
      <c r="AU131" s="55">
        <f>$AU130+$AS131</f>
        <v/>
      </c>
      <c r="AV131" s="55">
        <f>SUMIFS(tblMiningDaily[Explosives_kg],tblMiningDaily[Date],$A131)</f>
        <v/>
      </c>
      <c r="AW131" s="55">
        <f>IF($B131=$B130,$AW130,0)+$AV131</f>
        <v/>
      </c>
      <c r="AX131" s="55">
        <f>$AX130+$AV131</f>
        <v/>
      </c>
      <c r="AY131" s="56">
        <f>IFERROR(IF(($AS131)&gt;0,($AV131)/($AS131),""),"")</f>
        <v/>
      </c>
      <c r="AZ131" s="56">
        <f>IFERROR(IF(($AT131)&gt;0,($AW131)/($AT131),""),"")</f>
        <v/>
      </c>
      <c r="BA131" s="56">
        <f>IFERROR(IF(($AU131)&gt;0,($AX131)/($AU131),""),"")</f>
        <v/>
      </c>
      <c r="BB131" s="55">
        <f>SUMIFS(tblMiningDaily[Diesel_L],tblMiningDaily[Date],$A131)</f>
        <v/>
      </c>
      <c r="BC131" s="55">
        <f>IF($B131=$B130,$BC130,0)+$BB131</f>
        <v/>
      </c>
      <c r="BD131" s="55">
        <f>$BD130+$BB131</f>
        <v/>
      </c>
      <c r="BE131" s="55">
        <f>SUMIFS(tblMiningDaily[Dewatering_m3],tblMiningDaily[Date],$A131)</f>
        <v/>
      </c>
      <c r="BF131" s="55">
        <f>IF($B131=$B130,$BF130,0)+$BE131</f>
        <v/>
      </c>
      <c r="BG131" s="55">
        <f>$BG130+$BE131</f>
        <v/>
      </c>
      <c r="BH131" s="57">
        <f>SUMIFS(tblFleet[Calendar_h],tblFleet[Date],$A131,tblFleet[Equipment_Class],"Excavator")</f>
        <v/>
      </c>
      <c r="BI131" s="57">
        <f>IF($B131=$B130,$BI130,0)+$BH131</f>
        <v/>
      </c>
      <c r="BJ131" s="57">
        <f>$BJ130+$BH131</f>
        <v/>
      </c>
      <c r="BK131" s="57">
        <f>SUMIFS(tblFleet[Available_h],tblFleet[Date],$A131,tblFleet[Equipment_Class],"Excavator")</f>
        <v/>
      </c>
      <c r="BL131" s="57">
        <f>IF($B131=$B130,$BL130,0)+$BK131</f>
        <v/>
      </c>
      <c r="BM131" s="57">
        <f>$BM130+$BK131</f>
        <v/>
      </c>
      <c r="BN131" s="57">
        <f>SUMIFS(tblFleet[Operating_h],tblFleet[Date],$A131,tblFleet[Equipment_Class],"Excavator")</f>
        <v/>
      </c>
      <c r="BO131" s="57">
        <f>IF($B131=$B130,$BO130,0)+$BN131</f>
        <v/>
      </c>
      <c r="BP131" s="57">
        <f>$BP130+$BN131</f>
        <v/>
      </c>
      <c r="BQ131" s="67">
        <f>IFERROR(IF(($BH131)&gt;0,($BK131)/($BH131),""),"")</f>
        <v/>
      </c>
      <c r="BR131" s="67">
        <f>IFERROR(IF(($BI131)&gt;0,($BL131)/($BI131),""),"")</f>
        <v/>
      </c>
      <c r="BS131" s="67">
        <f>IFERROR(IF(($BJ131)&gt;0,($BM131)/($BJ131),""),"")</f>
        <v/>
      </c>
      <c r="BT131" s="67">
        <f>IFERROR(IF(($BK131)&gt;0,($BN131)/($BK131),""),"")</f>
        <v/>
      </c>
      <c r="BU131" s="67">
        <f>IFERROR(IF(($BL131)&gt;0,($BO131)/($BL131),""),"")</f>
        <v/>
      </c>
      <c r="BV131" s="67">
        <f>IFERROR(IF(($BM131)&gt;0,($BP131)/($BM131),""),"")</f>
        <v/>
      </c>
      <c r="BW131" s="57">
        <f>SUMIFS(tblFleet[Calendar_h],tblFleet[Date],$A131,tblFleet[Equipment_Class],"Haul Truck")</f>
        <v/>
      </c>
      <c r="BX131" s="57">
        <f>IF($B131=$B130,$BX130,0)+$BW131</f>
        <v/>
      </c>
      <c r="BY131" s="57">
        <f>$BY130+$BW131</f>
        <v/>
      </c>
      <c r="BZ131" s="57">
        <f>SUMIFS(tblFleet[Available_h],tblFleet[Date],$A131,tblFleet[Equipment_Class],"Haul Truck")</f>
        <v/>
      </c>
      <c r="CA131" s="57">
        <f>IF($B131=$B130,$CA130,0)+$BZ131</f>
        <v/>
      </c>
      <c r="CB131" s="57">
        <f>$CB130+$BZ131</f>
        <v/>
      </c>
      <c r="CC131" s="57">
        <f>SUMIFS(tblFleet[Operating_h],tblFleet[Date],$A131,tblFleet[Equipment_Class],"Haul Truck")</f>
        <v/>
      </c>
      <c r="CD131" s="57">
        <f>IF($B131=$B130,$CD130,0)+$CC131</f>
        <v/>
      </c>
      <c r="CE131" s="57">
        <f>$CE130+$CC131</f>
        <v/>
      </c>
      <c r="CF131" s="67">
        <f>IFERROR(IF(($BW131)&gt;0,($BZ131)/($BW131),""),"")</f>
        <v/>
      </c>
      <c r="CG131" s="67">
        <f>IFERROR(IF(($BX131)&gt;0,($CA131)/($BX131),""),"")</f>
        <v/>
      </c>
      <c r="CH131" s="67">
        <f>IFERROR(IF(($BY131)&gt;0,($CB131)/($BY131),""),"")</f>
        <v/>
      </c>
      <c r="CI131" s="67">
        <f>IFERROR(IF(($BZ131)&gt;0,($CC131)/($BZ131),""),"")</f>
        <v/>
      </c>
      <c r="CJ131" s="67">
        <f>IFERROR(IF(($CA131)&gt;0,($CD131)/($CA131),""),"")</f>
        <v/>
      </c>
      <c r="CK131" s="67">
        <f>IFERROR(IF(($CB131)&gt;0,($CE131)/($CB131),""),"")</f>
        <v/>
      </c>
      <c r="CL131" s="55">
        <f>IFERROR(IF(($BN131)&gt;0,($X131+$AD131)/($BN131),""),"")</f>
        <v/>
      </c>
      <c r="CM131" s="55">
        <f>IFERROR(IF(($BO131)&gt;0,($Y131+$AE131)/($BO131),""),"")</f>
        <v/>
      </c>
      <c r="CN131" s="55">
        <f>IFERROR(IF(($BP131)&gt;0,($Z131+$AF131)/($BP131),""),"")</f>
        <v/>
      </c>
      <c r="CO131" s="55">
        <f>IFERROR(IF(($CC131)&gt;0,($X131+$AD131)/($CC131),""),"")</f>
        <v/>
      </c>
      <c r="CP131" s="55">
        <f>IFERROR(IF(($CD131)&gt;0,($Y131+$AE131)/($CD131),""),"")</f>
        <v/>
      </c>
      <c r="CQ131" s="55">
        <f>IFERROR(IF(($CE131)&gt;0,($Z131+$AF131)/($CE131),""),"")</f>
        <v/>
      </c>
      <c r="CR131" s="55">
        <f>SUMIFS(tblPlant[Crushed_t],tblPlant[Date],$A131)</f>
        <v/>
      </c>
      <c r="CS131" s="55">
        <f>IF($B131=$B130,$CS130,0)+$CR131</f>
        <v/>
      </c>
      <c r="CT131" s="55">
        <f>$CT130+$CR131</f>
        <v/>
      </c>
      <c r="CU131" s="55">
        <f>SUMIFS(tblPlant[Milled_t],tblPlant[Date],$A131)</f>
        <v/>
      </c>
      <c r="CV131" s="55">
        <f>IF($B131=$B130,$CV130,0)+$CU131</f>
        <v/>
      </c>
      <c r="CW131" s="55">
        <f>$CW130+$CU131</f>
        <v/>
      </c>
      <c r="CX131" s="55">
        <f>SUMIFS(tblPlant[Feed_oz],tblPlant[Date],$A131)</f>
        <v/>
      </c>
      <c r="CY131" s="55">
        <f>IF($B131=$B130,$CY130,0)+$CX131</f>
        <v/>
      </c>
      <c r="CZ131" s="55">
        <f>$CZ130+$CX131</f>
        <v/>
      </c>
      <c r="DA131" s="55">
        <f>SUMIFS(tblPlant[Tails_oz],tblPlant[Date],$A131)</f>
        <v/>
      </c>
      <c r="DB131" s="55">
        <f>IF($B131=$B130,$DB130,0)+$DA131</f>
        <v/>
      </c>
      <c r="DC131" s="55">
        <f>$DC130+$DA131</f>
        <v/>
      </c>
      <c r="DD131" s="55">
        <f>SUMIFS(tblPlant[Recovered_oz],tblPlant[Date],$A131)</f>
        <v/>
      </c>
      <c r="DE131" s="55">
        <f>IF($B131=$B130,$DE130,0)+$DD131</f>
        <v/>
      </c>
      <c r="DF131" s="55">
        <f>$DF130+$DD131</f>
        <v/>
      </c>
      <c r="DG131" s="55">
        <f>SUMIFS(tblPlant[Milled_t],tblPlant[Date],$A131,tblPlant[Head_Grade_gpt],"&lt;&gt;")</f>
        <v/>
      </c>
      <c r="DH131" s="55">
        <f>IF($B131=$B130,$DH130,0)+$DG131</f>
        <v/>
      </c>
      <c r="DI131" s="55">
        <f>$DI130+$DG131</f>
        <v/>
      </c>
      <c r="DJ131" s="55">
        <f>SUMIFS(tblPlant[Milled_t],tblPlant[Date],$A131,tblPlant[Tails_Grade_gpt],"&lt;&gt;")</f>
        <v/>
      </c>
      <c r="DK131" s="55">
        <f>IF($B131=$B130,$DK130,0)+$DJ131</f>
        <v/>
      </c>
      <c r="DL131" s="55">
        <f>$DL130+$DJ131</f>
        <v/>
      </c>
      <c r="DM131" s="55">
        <f>SUMIFS(tblPlant[Feed_oz],tblPlant[Date],$A131,tblPlant[Tails_Grade_gpt],"&lt;&gt;")</f>
        <v/>
      </c>
      <c r="DN131" s="55">
        <f>IF($B131=$B130,$DN130,0)+$DM131</f>
        <v/>
      </c>
      <c r="DO131" s="55">
        <f>$DO130+$DM131</f>
        <v/>
      </c>
      <c r="DP131" s="55">
        <f>SUMIFS(tblPlant[Milled_t],tblPlant[Date],$A131,tblPlant[Mill_Run_h],"&lt;&gt;")</f>
        <v/>
      </c>
      <c r="DQ131" s="55">
        <f>IF($B131=$B130,$DQ130,0)+$DP131</f>
        <v/>
      </c>
      <c r="DR131" s="55">
        <f>$DR130+$DP131</f>
        <v/>
      </c>
      <c r="DS131" s="56">
        <f>IFERROR(IF(($DG131)&gt;0,($CX131*cfg_TroyOz)/($DG131),""),"")</f>
        <v/>
      </c>
      <c r="DT131" s="56">
        <f>IFERROR(IF(($DH131)&gt;0,($CY131*cfg_TroyOz)/($DH131),""),"")</f>
        <v/>
      </c>
      <c r="DU131" s="56">
        <f>IFERROR(IF(($DI131)&gt;0,($CZ131*cfg_TroyOz)/($DI131),""),"")</f>
        <v/>
      </c>
      <c r="DV131" s="56">
        <f>IFERROR(IF(($DJ131)&gt;0,($DA131*cfg_TroyOz)/($DJ131),""),"")</f>
        <v/>
      </c>
      <c r="DW131" s="56">
        <f>IFERROR(IF(($DK131)&gt;0,($DB131*cfg_TroyOz)/($DK131),""),"")</f>
        <v/>
      </c>
      <c r="DX131" s="56">
        <f>IFERROR(IF(($DL131)&gt;0,($DC131*cfg_TroyOz)/($DL131),""),"")</f>
        <v/>
      </c>
      <c r="DY131" s="67">
        <f>IFERROR(IF(($DM131)&gt;0,($DD131)/($DM131),""),"")</f>
        <v/>
      </c>
      <c r="DZ131" s="67">
        <f>IFERROR(IF(($DN131)&gt;0,($DE131)/($DN131),""),"")</f>
        <v/>
      </c>
      <c r="EA131" s="67">
        <f>IFERROR(IF(($DO131)&gt;0,($DF131)/($DO131),""),"")</f>
        <v/>
      </c>
      <c r="EB131" s="55">
        <f>SUMIFS(tblPlant[Gravity_Gold_oz],tblPlant[Date],$A131)</f>
        <v/>
      </c>
      <c r="EC131" s="55">
        <f>IF($B131=$B130,$EC130,0)+$EB131</f>
        <v/>
      </c>
      <c r="ED131" s="55">
        <f>$ED130+$EB131</f>
        <v/>
      </c>
      <c r="EE131" s="67">
        <f>IFERROR(IF(($DD131)&gt;0,($EB131)/($DD131),""),"")</f>
        <v/>
      </c>
      <c r="EF131" s="67">
        <f>IFERROR(IF(($DE131)&gt;0,($EC131)/($DE131),""),"")</f>
        <v/>
      </c>
      <c r="EG131" s="67">
        <f>IFERROR(IF(($DF131)&gt;0,($ED131)/($DF131),""),"")</f>
        <v/>
      </c>
      <c r="EH131" s="55">
        <f>SUMIFS(tblPlant[Gold_Poured_oz],tblPlant[Date],$A131)</f>
        <v/>
      </c>
      <c r="EI131" s="55">
        <f>IF($B131=$B130,$EI130,0)+$EH131</f>
        <v/>
      </c>
      <c r="EJ131" s="55">
        <f>$EJ130+$EH131</f>
        <v/>
      </c>
      <c r="EK131" s="57">
        <f>SUMIFS(tblPlant[Mill_Run_h],tblPlant[Date],$A131)</f>
        <v/>
      </c>
      <c r="EL131" s="57">
        <f>IF($B131=$B130,$EL130,0)+$EK131</f>
        <v/>
      </c>
      <c r="EM131" s="57">
        <f>$EM130+$EK131</f>
        <v/>
      </c>
      <c r="EN131" s="57">
        <f>SUMIFS(tblPlant[Mill_Planned_Maint_h],tblPlant[Date],$A131)</f>
        <v/>
      </c>
      <c r="EO131" s="57">
        <f>IF($B131=$B130,$EO130,0)+$EN131</f>
        <v/>
      </c>
      <c r="EP131" s="57">
        <f>$EP130+$EN131</f>
        <v/>
      </c>
      <c r="EQ131" s="57">
        <f>SUMIFS(tblPlant[Mill_Unplanned_Down_h],tblPlant[Date],$A131)</f>
        <v/>
      </c>
      <c r="ER131" s="57">
        <f>IF($B131=$B130,$ER130,0)+$EQ131</f>
        <v/>
      </c>
      <c r="ES131" s="57">
        <f>$ES130+$EQ131</f>
        <v/>
      </c>
      <c r="ET131" s="57">
        <f>IF(COUNTIFS(tblPlant[Date],$A131,tblPlant[Mill_Run_h],"&lt;&gt;")+COUNTIFS(tblPlant[Date],$A131,tblPlant[Mill_Planned_Maint_h],"&lt;&gt;")+COUNTIFS(tblPlant[Date],$A131,tblPlant[Mill_Unplanned_Down_h],"&lt;&gt;")&gt;0,cfg_HoursPerDay,0)</f>
        <v/>
      </c>
      <c r="EU131" s="57">
        <f>IF($B131=$B130,$EU130,0)+$ET131</f>
        <v/>
      </c>
      <c r="EV131" s="57">
        <f>$EV130+$ET131</f>
        <v/>
      </c>
      <c r="EW131" s="57">
        <f>SUMIFS(tblPlant[Crusher_Run_h],tblPlant[Date],$A131)</f>
        <v/>
      </c>
      <c r="EX131" s="57">
        <f>IF($B131=$B130,$EX130,0)+$EW131</f>
        <v/>
      </c>
      <c r="EY131" s="57">
        <f>$EY130+$EW131</f>
        <v/>
      </c>
      <c r="EZ131" s="55">
        <f>IFERROR(IF(($EK131)&gt;0,($DP131)/($EK131),""),"")</f>
        <v/>
      </c>
      <c r="FA131" s="55">
        <f>IFERROR(IF(($EL131)&gt;0,($DQ131)/($EL131),""),"")</f>
        <v/>
      </c>
      <c r="FB131" s="55">
        <f>IFERROR(IF(($EM131)&gt;0,($DR131)/($EM131),""),"")</f>
        <v/>
      </c>
      <c r="FC131" s="67">
        <f>IFERROR(IF(($ET131)&gt;0,($ET131-$EN131-$EQ131)/($ET131),""),"")</f>
        <v/>
      </c>
      <c r="FD131" s="67">
        <f>IFERROR(IF(($EU131)&gt;0,($EU131-$EO131-$ER131)/($EU131),""),"")</f>
        <v/>
      </c>
      <c r="FE131" s="67">
        <f>IFERROR(IF(($EV131)&gt;0,($EV131-$EP131-$ES131)/($EV131),""),"")</f>
        <v/>
      </c>
      <c r="FF131" s="67">
        <f>IFERROR(IF(($ET131-$EN131-$EQ131)&gt;0,($EK131)/($ET131-$EN131-$EQ131),""),"")</f>
        <v/>
      </c>
      <c r="FG131" s="67">
        <f>IFERROR(IF(($EU131-$EO131-$ER131)&gt;0,($EL131)/($EU131-$EO131-$ER131),""),"")</f>
        <v/>
      </c>
      <c r="FH131" s="67">
        <f>IFERROR(IF(($EV131-$EP131-$ES131)&gt;0,($EM131)/($EV131-$EP131-$ES131),""),"")</f>
        <v/>
      </c>
      <c r="FI131" s="55">
        <f>SUMIFS(tblPlant[Cyanide_kg],tblPlant[Date],$A131)</f>
        <v/>
      </c>
      <c r="FJ131" s="55">
        <f>IF($B131=$B130,$FJ130,0)+$FI131</f>
        <v/>
      </c>
      <c r="FK131" s="55">
        <f>$FK130+$FI131</f>
        <v/>
      </c>
      <c r="FL131" s="55">
        <f>SUMIFS(tblPlant[Lime_kg],tblPlant[Date],$A131)</f>
        <v/>
      </c>
      <c r="FM131" s="55">
        <f>IF($B131=$B130,$FM130,0)+$FL131</f>
        <v/>
      </c>
      <c r="FN131" s="55">
        <f>$FN130+$FL131</f>
        <v/>
      </c>
      <c r="FO131" s="55">
        <f>SUMIFS(tblPlant[Grinding_Media_kg],tblPlant[Date],$A131)</f>
        <v/>
      </c>
      <c r="FP131" s="55">
        <f>IF($B131=$B130,$FP130,0)+$FO131</f>
        <v/>
      </c>
      <c r="FQ131" s="55">
        <f>$FQ130+$FO131</f>
        <v/>
      </c>
      <c r="FR131" s="55">
        <f>SUMIFS(tblPlant[Power_kWh],tblPlant[Date],$A131)</f>
        <v/>
      </c>
      <c r="FS131" s="55">
        <f>IF($B131=$B130,$FS130,0)+$FR131</f>
        <v/>
      </c>
      <c r="FT131" s="55">
        <f>$FT130+$FR131</f>
        <v/>
      </c>
      <c r="FU131" s="55">
        <f>SUMIFS(tblPlant[Raw_Water_m3],tblPlant[Date],$A131)</f>
        <v/>
      </c>
      <c r="FV131" s="55">
        <f>IF($B131=$B130,$FV130,0)+$FU131</f>
        <v/>
      </c>
      <c r="FW131" s="55">
        <f>$FW130+$FU131</f>
        <v/>
      </c>
      <c r="FX131" s="56">
        <f>IFERROR(IF(($CU131)&gt;0,($FI131)/($CU131),""),"")</f>
        <v/>
      </c>
      <c r="FY131" s="56">
        <f>IFERROR(IF(($CV131)&gt;0,($FJ131)/($CV131),""),"")</f>
        <v/>
      </c>
      <c r="FZ131" s="56">
        <f>IFERROR(IF(($CW131)&gt;0,($FK131)/($CW131),""),"")</f>
        <v/>
      </c>
      <c r="GA131" s="56">
        <f>IFERROR(IF(($CU131)&gt;0,($FL131)/($CU131),""),"")</f>
        <v/>
      </c>
      <c r="GB131" s="56">
        <f>IFERROR(IF(($CV131)&gt;0,($FM131)/($CV131),""),"")</f>
        <v/>
      </c>
      <c r="GC131" s="56">
        <f>IFERROR(IF(($CW131)&gt;0,($FN131)/($CW131),""),"")</f>
        <v/>
      </c>
      <c r="GD131" s="56">
        <f>IFERROR(IF(($CU131)&gt;0,($FO131)/($CU131),""),"")</f>
        <v/>
      </c>
      <c r="GE131" s="56">
        <f>IFERROR(IF(($CV131)&gt;0,($FP131)/($CV131),""),"")</f>
        <v/>
      </c>
      <c r="GF131" s="56">
        <f>IFERROR(IF(($CW131)&gt;0,($FQ131)/($CW131),""),"")</f>
        <v/>
      </c>
      <c r="GG131" s="79">
        <f>IFERROR(IF(($CU131)&gt;0,($FR131)/($CU131),""),"")</f>
        <v/>
      </c>
      <c r="GH131" s="79">
        <f>IFERROR(IF(($CV131)&gt;0,($FS131)/($CV131),""),"")</f>
        <v/>
      </c>
      <c r="GI131" s="79">
        <f>IFERROR(IF(($CW131)&gt;0,($FT131)/($CW131),""),"")</f>
        <v/>
      </c>
      <c r="GJ131" s="56">
        <f>IFERROR(IF(($CU131)&gt;0,($FU131)/($CU131),""),"")</f>
        <v/>
      </c>
      <c r="GK131" s="56">
        <f>IFERROR(IF(($CV131)&gt;0,($FV131)/($CV131),""),"")</f>
        <v/>
      </c>
      <c r="GL131" s="56">
        <f>IFERROR(IF(($CW131)&gt;0,($FW131)/($CW131),""),"")</f>
        <v/>
      </c>
      <c r="GM131" s="55">
        <f>IF(SUMIFS(tblPlant[GIC_oz],tblPlant[Date],$A131)&gt;0,SUMIFS(tblPlant[GIC_oz],tblPlant[Date],$A131),"")</f>
        <v/>
      </c>
      <c r="GN131" s="55">
        <f>SUMIFS(tblGold[Gold_oz],tblGold[Date],$A131,tblGold[Type],"Shipment")</f>
        <v/>
      </c>
      <c r="GO131" s="55">
        <f>IF($B131=$B130,$GO130,0)+$GN131</f>
        <v/>
      </c>
      <c r="GP131" s="55">
        <f>$GP130+$GN131</f>
        <v/>
      </c>
      <c r="GQ131" s="55">
        <f>SUMIFS(tblGold[Gold_oz],tblGold[Date],$A131,tblGold[Type],"Sale")</f>
        <v/>
      </c>
      <c r="GR131" s="55">
        <f>IF($B131=$B130,$GR130,0)+$GQ131</f>
        <v/>
      </c>
      <c r="GS131" s="55">
        <f>$GS130+$GQ131</f>
        <v/>
      </c>
      <c r="GT131" s="55">
        <f>SUMIFS(tblGold[Dore_kg],tblGold[Date],$A131,tblGold[Type],"Shipment")</f>
        <v/>
      </c>
      <c r="GU131" s="55">
        <f>IF($B131=$B130,$GU130,0)+$GT131</f>
        <v/>
      </c>
      <c r="GV131" s="55">
        <f>$GV130+$GT131</f>
        <v/>
      </c>
      <c r="GW131" s="57">
        <f>SUMIFS(tblSafety[Hours_Total],tblSafety[Date],$A131)</f>
        <v/>
      </c>
      <c r="GX131" s="57">
        <f>IF($B131=$B130,$GX130,0)+$GW131</f>
        <v/>
      </c>
      <c r="GY131" s="57">
        <f>$GY130+$GW131</f>
        <v/>
      </c>
      <c r="GZ131" s="62">
        <f>SUMIFS(tblSafety[Fatality],tblSafety[Date],$A131)</f>
        <v/>
      </c>
      <c r="HA131" s="62">
        <f>IF($B131=$B130,$HA130,0)+$GZ131</f>
        <v/>
      </c>
      <c r="HB131" s="62">
        <f>$HB130+$GZ131</f>
        <v/>
      </c>
      <c r="HC131" s="62">
        <f>SUMIFS(tblSafety[LTI],tblSafety[Date],$A131)</f>
        <v/>
      </c>
      <c r="HD131" s="62">
        <f>IF($B131=$B130,$HD130,0)+$HC131</f>
        <v/>
      </c>
      <c r="HE131" s="62">
        <f>$HE130+$HC131</f>
        <v/>
      </c>
      <c r="HF131" s="62">
        <f>SUMIFS(tblSafety[RWI],tblSafety[Date],$A131)</f>
        <v/>
      </c>
      <c r="HG131" s="62">
        <f>IF($B131=$B130,$HG130,0)+$HF131</f>
        <v/>
      </c>
      <c r="HH131" s="62">
        <f>$HH130+$HF131</f>
        <v/>
      </c>
      <c r="HI131" s="62">
        <f>SUMIFS(tblSafety[MTI],tblSafety[Date],$A131)</f>
        <v/>
      </c>
      <c r="HJ131" s="62">
        <f>IF($B131=$B130,$HJ130,0)+$HI131</f>
        <v/>
      </c>
      <c r="HK131" s="62">
        <f>$HK130+$HI131</f>
        <v/>
      </c>
      <c r="HL131" s="62">
        <f>SUMIFS(tblSafety[FAI],tblSafety[Date],$A131)</f>
        <v/>
      </c>
      <c r="HM131" s="62">
        <f>IF($B131=$B130,$HM130,0)+$HL131</f>
        <v/>
      </c>
      <c r="HN131" s="62">
        <f>$HN130+$HL131</f>
        <v/>
      </c>
      <c r="HO131" s="62">
        <f>SUMIFS(tblSafety[Recordables],tblSafety[Date],$A131)</f>
        <v/>
      </c>
      <c r="HP131" s="62">
        <f>IF($B131=$B130,$HP130,0)+$HO131</f>
        <v/>
      </c>
      <c r="HQ131" s="62">
        <f>$HQ130+$HO131</f>
        <v/>
      </c>
      <c r="HR131" s="62">
        <f>SUMIFS(tblSafety[Near_Miss],tblSafety[Date],$A131)</f>
        <v/>
      </c>
      <c r="HS131" s="62">
        <f>IF($B131=$B130,$HS130,0)+$HR131</f>
        <v/>
      </c>
      <c r="HT131" s="62">
        <f>$HT130+$HR131</f>
        <v/>
      </c>
      <c r="HU131" s="62">
        <f>SUMIFS(tblSafety[Hazard_Reports],tblSafety[Date],$A131)</f>
        <v/>
      </c>
      <c r="HV131" s="62">
        <f>IF($B131=$B130,$HV130,0)+$HU131</f>
        <v/>
      </c>
      <c r="HW131" s="62">
        <f>$HW130+$HU131</f>
        <v/>
      </c>
      <c r="HX131" s="62">
        <f>SUMIFS(tblSafety[HPI],tblSafety[Date],$A131)</f>
        <v/>
      </c>
      <c r="HY131" s="62">
        <f>IF($B131=$B130,$HY130,0)+$HX131</f>
        <v/>
      </c>
      <c r="HZ131" s="62">
        <f>$HZ130+$HX131</f>
        <v/>
      </c>
      <c r="IA131" s="62">
        <f>SUMIFS(tblSafety[Env_Incidents],tblSafety[Date],$A131)</f>
        <v/>
      </c>
      <c r="IB131" s="62">
        <f>IF($B131=$B130,$IB130,0)+$IA131</f>
        <v/>
      </c>
      <c r="IC131" s="62">
        <f>$IC130+$IA131</f>
        <v/>
      </c>
      <c r="ID131" s="62">
        <f>SUMIFS(tblSafety[Community_Incidents],tblSafety[Date],$A131)</f>
        <v/>
      </c>
      <c r="IE131" s="62">
        <f>IF($B131=$B130,$IE130,0)+$ID131</f>
        <v/>
      </c>
      <c r="IF131" s="62">
        <f>$IF130+$ID131</f>
        <v/>
      </c>
      <c r="IG131" s="62">
        <f>SUMIFS(tblSafety[Vehicle_Incidents],tblSafety[Date],$A131)</f>
        <v/>
      </c>
      <c r="IH131" s="62">
        <f>IF($B131=$B130,$IH130,0)+$IG131</f>
        <v/>
      </c>
      <c r="II131" s="62">
        <f>$II130+$IG131</f>
        <v/>
      </c>
      <c r="IJ131" s="62">
        <f>SUMIFS(tblSafety[Toolbox_Talks],tblSafety[Date],$A131)</f>
        <v/>
      </c>
      <c r="IK131" s="62">
        <f>IF($B131=$B130,$IK130,0)+$IJ131</f>
        <v/>
      </c>
      <c r="IL131" s="62">
        <f>$IL130+$IJ131</f>
        <v/>
      </c>
      <c r="IM131" s="62">
        <f>SUMIFS(tblSafety[Inspections],tblSafety[Date],$A131)</f>
        <v/>
      </c>
      <c r="IN131" s="62">
        <f>IF($B131=$B130,$IN130,0)+$IM131</f>
        <v/>
      </c>
      <c r="IO131" s="62">
        <f>$IO130+$IM131</f>
        <v/>
      </c>
      <c r="IP131" s="56">
        <f>IFERROR((SUMIFS(tblSafety[Recordables],tblSafety[Date],"&gt;="&amp;EDATE($E131,-12),tblSafety[Date],"&lt;="&amp;$A131)+SUMIFS(tblSafetyHistory[Recordables],tblSafetyHistory[Month],"&gt;="&amp;EDATE($E131,-12),tblSafetyHistory[Month],"&lt;"&amp;$E131,tblSafetyHistory[Use],1))/(SUMIFS(tblSafety[Hours_Total],tblSafety[Date],"&gt;="&amp;EDATE($E131,-12),tblSafety[Date],"&lt;="&amp;$A131)+SUMIFS(tblSafetyHistory[Hours_Total],tblSafetyHistory[Month],"&gt;="&amp;EDATE($E131,-12),tblSafetyHistory[Month],"&lt;"&amp;$E131,tblSafetyHistory[Use],1))*cfg_RateBasisHours,"")</f>
        <v/>
      </c>
      <c r="IQ131" s="56">
        <f>IFERROR((SUMIFS(tblSafety[LTI],tblSafety[Date],"&gt;="&amp;EDATE($E131,-12),tblSafety[Date],"&lt;="&amp;$A131)+SUMIFS(tblSafetyHistory[LTI],tblSafetyHistory[Month],"&gt;="&amp;EDATE($E131,-12),tblSafetyHistory[Month],"&lt;"&amp;$E131,tblSafetyHistory[Use],1))/(SUMIFS(tblSafety[Hours_Total],tblSafety[Date],"&gt;="&amp;EDATE($E131,-12),tblSafety[Date],"&lt;="&amp;$A131)+SUMIFS(tblSafetyHistory[Hours_Total],tblSafetyHistory[Month],"&gt;="&amp;EDATE($E131,-12),tblSafetyHistory[Month],"&lt;"&amp;$E131,tblSafetyHistory[Use],1))*cfg_RateBasisHours,"")</f>
        <v/>
      </c>
      <c r="IR131" s="62">
        <f>IF(MAX(N(cfg_PriorLTIDate),_xlfn.MAXIFS(tblSafety[Date],tblSafety[LTI],"&gt;0",tblSafety[Date],"&lt;="&amp;$A131))=0,"",$A131-MAX(N(cfg_PriorLTIDate),_xlfn.MAXIFS(tblSafety[Date],tblSafety[LTI],"&gt;0",tblSafety[Date],"&lt;="&amp;$A131)))</f>
        <v/>
      </c>
      <c r="IS131" s="55">
        <f>SUMIFS(tblBudget[Ore_Mined_t],tblBudget[Month],$E131)</f>
        <v/>
      </c>
      <c r="IT131" s="55">
        <f>$IS131*$C131/$D131</f>
        <v/>
      </c>
      <c r="IU131" s="55">
        <f>SUMIFS(tblBudget[Ore_Mined_t],tblBudget[Month],"&lt;"&amp;$E131)+$IT131</f>
        <v/>
      </c>
      <c r="IV131" s="55">
        <f>SUMIFS(tblBudget[Ore_oz],tblBudget[Month],$E131)</f>
        <v/>
      </c>
      <c r="IW131" s="55">
        <f>$IV131*$C131/$D131</f>
        <v/>
      </c>
      <c r="IX131" s="55">
        <f>SUMIFS(tblBudget[Ore_oz],tblBudget[Month],"&lt;"&amp;$E131)+$IW131</f>
        <v/>
      </c>
      <c r="IY131" s="55">
        <f>SUMIFS(tblBudget[Ore_Mined_t],tblBudget[Month],$E131)</f>
        <v/>
      </c>
      <c r="IZ131" s="55">
        <f>$IY131*$C131/$D131</f>
        <v/>
      </c>
      <c r="JA131" s="55">
        <f>SUMIFS(tblBudget[Ore_Mined_t],tblBudget[Month],"&lt;"&amp;$E131)+$IZ131</f>
        <v/>
      </c>
      <c r="JB131" s="56">
        <f>IFERROR(IF(($IY131)&gt;0,($IV131*cfg_TroyOz)/($IY131),""),"")</f>
        <v/>
      </c>
      <c r="JC131" s="56">
        <f>IFERROR(IF(($IZ131)&gt;0,($IW131*cfg_TroyOz)/($IZ131),""),"")</f>
        <v/>
      </c>
      <c r="JD131" s="56">
        <f>IFERROR(IF(($JA131)&gt;0,($IX131*cfg_TroyOz)/($JA131),""),"")</f>
        <v/>
      </c>
      <c r="JE131" s="55">
        <f>SUMIFS(tblBudget[Waste_t],tblBudget[Month],$E131)</f>
        <v/>
      </c>
      <c r="JF131" s="55">
        <f>$JE131*$C131/$D131</f>
        <v/>
      </c>
      <c r="JG131" s="55">
        <f>SUMIFS(tblBudget[Waste_t],tblBudget[Month],"&lt;"&amp;$E131)+$JF131</f>
        <v/>
      </c>
      <c r="JH131" s="55">
        <f>SUMIFS(tblBudget[TMM_t],tblBudget[Month],$E131)</f>
        <v/>
      </c>
      <c r="JI131" s="55">
        <f>$JH131*$C131/$D131</f>
        <v/>
      </c>
      <c r="JJ131" s="55">
        <f>SUMIFS(tblBudget[TMM_t],tblBudget[Month],"&lt;"&amp;$E131)+$JI131</f>
        <v/>
      </c>
      <c r="JK131" s="56">
        <f>IFERROR(IF(($IS131)&gt;0,($JE131)/($IS131),""),"")</f>
        <v/>
      </c>
      <c r="JL131" s="56">
        <f>IFERROR(IF(($IT131)&gt;0,($JF131)/($IT131),""),"")</f>
        <v/>
      </c>
      <c r="JM131" s="56">
        <f>IFERROR(IF(($IU131)&gt;0,($JG131)/($IU131),""),"")</f>
        <v/>
      </c>
      <c r="JN131" s="55">
        <f>SUMIFS(tblBudget[Drill_m],tblBudget[Month],$E131)</f>
        <v/>
      </c>
      <c r="JO131" s="55">
        <f>$JN131*$C131/$D131</f>
        <v/>
      </c>
      <c r="JP131" s="55">
        <f>SUMIFS(tblBudget[Drill_m],tblBudget[Month],"&lt;"&amp;$E131)+$JO131</f>
        <v/>
      </c>
      <c r="JQ131" s="55">
        <f>SUMIFS(tblBudget[Diesel_L],tblBudget[Month],$E131)</f>
        <v/>
      </c>
      <c r="JR131" s="55">
        <f>$JQ131*$C131/$D131</f>
        <v/>
      </c>
      <c r="JS131" s="55">
        <f>SUMIFS(tblBudget[Diesel_L],tblBudget[Month],"&lt;"&amp;$E131)+$JR131</f>
        <v/>
      </c>
      <c r="JT131" s="55">
        <f>SUMIFS(tblBudget[Milled_t],tblBudget[Month],$E131)</f>
        <v/>
      </c>
      <c r="JU131" s="55">
        <f>$JT131*$C131/$D131</f>
        <v/>
      </c>
      <c r="JV131" s="55">
        <f>SUMIFS(tblBudget[Milled_t],tblBudget[Month],"&lt;"&amp;$E131)+$JU131</f>
        <v/>
      </c>
      <c r="JW131" s="55">
        <f>SUMIFS(tblBudget[Feed_oz],tblBudget[Month],$E131)</f>
        <v/>
      </c>
      <c r="JX131" s="55">
        <f>$JW131*$C131/$D131</f>
        <v/>
      </c>
      <c r="JY131" s="55">
        <f>SUMIFS(tblBudget[Feed_oz],tblBudget[Month],"&lt;"&amp;$E131)+$JX131</f>
        <v/>
      </c>
      <c r="JZ131" s="55">
        <f>SUMIFS(tblBudget[Recovered_oz],tblBudget[Month],$E131)</f>
        <v/>
      </c>
      <c r="KA131" s="55">
        <f>$JZ131*$C131/$D131</f>
        <v/>
      </c>
      <c r="KB131" s="55">
        <f>SUMIFS(tblBudget[Recovered_oz],tblBudget[Month],"&lt;"&amp;$E131)+$KA131</f>
        <v/>
      </c>
      <c r="KC131" s="55">
        <f>SUMIFS(tblBudget[Milled_t],tblBudget[Month],$E131)</f>
        <v/>
      </c>
      <c r="KD131" s="55">
        <f>$KC131*$C131/$D131</f>
        <v/>
      </c>
      <c r="KE131" s="55">
        <f>SUMIFS(tblBudget[Milled_t],tblBudget[Month],"&lt;"&amp;$E131)+$KD131</f>
        <v/>
      </c>
      <c r="KF131" s="55">
        <f>SUMIFS(tblBudget[Feed_oz],tblBudget[Month],$E131)</f>
        <v/>
      </c>
      <c r="KG131" s="55">
        <f>$KF131*$C131/$D131</f>
        <v/>
      </c>
      <c r="KH131" s="55">
        <f>SUMIFS(tblBudget[Feed_oz],tblBudget[Month],"&lt;"&amp;$E131)+$KG131</f>
        <v/>
      </c>
      <c r="KI131" s="56">
        <f>IFERROR(IF(($KC131)&gt;0,($JW131*cfg_TroyOz)/($KC131),""),"")</f>
        <v/>
      </c>
      <c r="KJ131" s="56">
        <f>IFERROR(IF(($KD131)&gt;0,($JX131*cfg_TroyOz)/($KD131),""),"")</f>
        <v/>
      </c>
      <c r="KK131" s="56">
        <f>IFERROR(IF(($KE131)&gt;0,($JY131*cfg_TroyOz)/($KE131),""),"")</f>
        <v/>
      </c>
      <c r="KL131" s="67">
        <f>IFERROR(IF(($KF131)&gt;0,($JZ131)/($KF131),""),"")</f>
        <v/>
      </c>
      <c r="KM131" s="67">
        <f>IFERROR(IF(($KG131)&gt;0,($KA131)/($KG131),""),"")</f>
        <v/>
      </c>
      <c r="KN131" s="67">
        <f>IFERROR(IF(($KH131)&gt;0,($KB131)/($KH131),""),"")</f>
        <v/>
      </c>
      <c r="KO131" s="55">
        <f>SUMIFS(tblBudget[Gold_Poured_oz],tblBudget[Month],$E131)</f>
        <v/>
      </c>
      <c r="KP131" s="55">
        <f>$KO131*$C131/$D131</f>
        <v/>
      </c>
      <c r="KQ131" s="55">
        <f>SUMIFS(tblBudget[Gold_Poured_oz],tblBudget[Month],"&lt;"&amp;$E131)+$KP131</f>
        <v/>
      </c>
      <c r="KR131" s="57">
        <f>SUMIFS(tblBudget[Hours_Worked],tblBudget[Month],$E131)</f>
        <v/>
      </c>
      <c r="KS131" s="57">
        <f>$KR131*$C131/$D131</f>
        <v/>
      </c>
      <c r="KT131" s="57">
        <f>SUMIFS(tblBudget[Hours_Worked],tblBudget[Month],"&lt;"&amp;$E131)+$KS131</f>
        <v/>
      </c>
    </row>
    <row r="132">
      <c r="A132" s="54" t="n">
        <v>46153</v>
      </c>
      <c r="B132">
        <f>MONTH($A132)</f>
        <v/>
      </c>
      <c r="C132">
        <f>DAY($A132)</f>
        <v/>
      </c>
      <c r="D132">
        <f>DAY(EOMONTH($A132,0))</f>
        <v/>
      </c>
      <c r="E132" s="54">
        <f>DATE(YEAR($A132),MONTH($A132),1)</f>
        <v/>
      </c>
      <c r="F132" s="55">
        <f>SUMIFS(tblMovement[Tonnes_t],tblMovement[Date],$A132,tblMovement[Is_Ore],1,tblMovement[Source_Type],"Pit")</f>
        <v/>
      </c>
      <c r="G132" s="55">
        <f>IF($B132=$B131,$G131,0)+$F132</f>
        <v/>
      </c>
      <c r="H132" s="55">
        <f>$H131+$F132</f>
        <v/>
      </c>
      <c r="I132" s="55">
        <f>SUMIFS(tblMovement[Ore_oz],tblMovement[Date],$A132,tblMovement[Source_Type],"Pit")</f>
        <v/>
      </c>
      <c r="J132" s="55">
        <f>IF($B132=$B131,$J131,0)+$I132</f>
        <v/>
      </c>
      <c r="K132" s="55">
        <f>$K131+$I132</f>
        <v/>
      </c>
      <c r="L132" s="55">
        <f>SUMIFS(tblMovement[Tonnes_t],tblMovement[Date],$A132,tblMovement[Is_Ore],1,tblMovement[Source_Type],"Pit",tblMovement[Grade_gpt],"&lt;&gt;")</f>
        <v/>
      </c>
      <c r="M132" s="55">
        <f>IF($B132=$B131,$M131,0)+$L132</f>
        <v/>
      </c>
      <c r="N132" s="55">
        <f>$N131+$L132</f>
        <v/>
      </c>
      <c r="O132" s="56">
        <f>IFERROR(IF(($L132)&gt;0,($I132*cfg_TroyOz)/($L132),""),"")</f>
        <v/>
      </c>
      <c r="P132" s="56">
        <f>IFERROR(IF(($M132)&gt;0,($J132*cfg_TroyOz)/($M132),""),"")</f>
        <v/>
      </c>
      <c r="Q132" s="56">
        <f>IFERROR(IF(($N132)&gt;0,($K132*cfg_TroyOz)/($N132),""),"")</f>
        <v/>
      </c>
      <c r="R132" s="55">
        <f>$F132-$L132</f>
        <v/>
      </c>
      <c r="S132" s="55">
        <f>IF($B132=$B131,$S131,0)+$R132</f>
        <v/>
      </c>
      <c r="T132" s="55">
        <f>$T131+$R132</f>
        <v/>
      </c>
      <c r="U132" s="55">
        <f>SUMIFS(tblMovement[Tonnes_t],tblMovement[Date],$A132,tblMovement[Is_Ore],0,tblMovement[Source_Type],"Pit")</f>
        <v/>
      </c>
      <c r="V132" s="55">
        <f>IF($B132=$B131,$V131,0)+$U132</f>
        <v/>
      </c>
      <c r="W132" s="55">
        <f>$W131+$U132</f>
        <v/>
      </c>
      <c r="X132" s="55">
        <f>$F132+$U132</f>
        <v/>
      </c>
      <c r="Y132" s="55">
        <f>IF($B132=$B131,$Y131,0)+$X132</f>
        <v/>
      </c>
      <c r="Z132" s="55">
        <f>$Z131+$X132</f>
        <v/>
      </c>
      <c r="AA132" s="56">
        <f>IFERROR(IF(($F132)&gt;0,($U132)/($F132),""),"")</f>
        <v/>
      </c>
      <c r="AB132" s="56">
        <f>IFERROR(IF(($G132)&gt;0,($V132)/($G132),""),"")</f>
        <v/>
      </c>
      <c r="AC132" s="56">
        <f>IFERROR(IF(($H132)&gt;0,($W132)/($H132),""),"")</f>
        <v/>
      </c>
      <c r="AD132" s="55">
        <f>SUMIFS(tblMovement[Tonnes_t],tblMovement[Date],$A132,tblMovement[Source_Type],"Stockpile")</f>
        <v/>
      </c>
      <c r="AE132" s="55">
        <f>IF($B132=$B131,$AE131,0)+$AD132</f>
        <v/>
      </c>
      <c r="AF132" s="55">
        <f>$AF131+$AD132</f>
        <v/>
      </c>
      <c r="AG132" s="55">
        <f>SUMIFS(tblMovement[Tonnes_t],tblMovement[Date],$A132)</f>
        <v/>
      </c>
      <c r="AH132" s="55">
        <f>IF($B132=$B131,$AH131,0)+$AG132</f>
        <v/>
      </c>
      <c r="AI132" s="55">
        <f>$AI131+$AG132</f>
        <v/>
      </c>
      <c r="AJ132" s="55">
        <f>$AG132-$X132-$AD132</f>
        <v/>
      </c>
      <c r="AK132" s="55">
        <f>IF($B132=$B131,$AK131,0)+$AJ132</f>
        <v/>
      </c>
      <c r="AL132" s="55">
        <f>$AL131+$AJ132</f>
        <v/>
      </c>
      <c r="AM132" s="55">
        <f>SUMIFS(tblMiningDaily[Drill_m],tblMiningDaily[Date],$A132)</f>
        <v/>
      </c>
      <c r="AN132" s="55">
        <f>IF($B132=$B131,$AN131,0)+$AM132</f>
        <v/>
      </c>
      <c r="AO132" s="55">
        <f>$AO131+$AM132</f>
        <v/>
      </c>
      <c r="AP132" s="55">
        <f>SUMIFS(tblMiningDaily[GC_Drill_m],tblMiningDaily[Date],$A132)</f>
        <v/>
      </c>
      <c r="AQ132" s="55">
        <f>IF($B132=$B131,$AQ131,0)+$AP132</f>
        <v/>
      </c>
      <c r="AR132" s="55">
        <f>$AR131+$AP132</f>
        <v/>
      </c>
      <c r="AS132" s="55">
        <f>SUMIFS(tblMiningDaily[Blast_t],tblMiningDaily[Date],$A132)</f>
        <v/>
      </c>
      <c r="AT132" s="55">
        <f>IF($B132=$B131,$AT131,0)+$AS132</f>
        <v/>
      </c>
      <c r="AU132" s="55">
        <f>$AU131+$AS132</f>
        <v/>
      </c>
      <c r="AV132" s="55">
        <f>SUMIFS(tblMiningDaily[Explosives_kg],tblMiningDaily[Date],$A132)</f>
        <v/>
      </c>
      <c r="AW132" s="55">
        <f>IF($B132=$B131,$AW131,0)+$AV132</f>
        <v/>
      </c>
      <c r="AX132" s="55">
        <f>$AX131+$AV132</f>
        <v/>
      </c>
      <c r="AY132" s="56">
        <f>IFERROR(IF(($AS132)&gt;0,($AV132)/($AS132),""),"")</f>
        <v/>
      </c>
      <c r="AZ132" s="56">
        <f>IFERROR(IF(($AT132)&gt;0,($AW132)/($AT132),""),"")</f>
        <v/>
      </c>
      <c r="BA132" s="56">
        <f>IFERROR(IF(($AU132)&gt;0,($AX132)/($AU132),""),"")</f>
        <v/>
      </c>
      <c r="BB132" s="55">
        <f>SUMIFS(tblMiningDaily[Diesel_L],tblMiningDaily[Date],$A132)</f>
        <v/>
      </c>
      <c r="BC132" s="55">
        <f>IF($B132=$B131,$BC131,0)+$BB132</f>
        <v/>
      </c>
      <c r="BD132" s="55">
        <f>$BD131+$BB132</f>
        <v/>
      </c>
      <c r="BE132" s="55">
        <f>SUMIFS(tblMiningDaily[Dewatering_m3],tblMiningDaily[Date],$A132)</f>
        <v/>
      </c>
      <c r="BF132" s="55">
        <f>IF($B132=$B131,$BF131,0)+$BE132</f>
        <v/>
      </c>
      <c r="BG132" s="55">
        <f>$BG131+$BE132</f>
        <v/>
      </c>
      <c r="BH132" s="57">
        <f>SUMIFS(tblFleet[Calendar_h],tblFleet[Date],$A132,tblFleet[Equipment_Class],"Excavator")</f>
        <v/>
      </c>
      <c r="BI132" s="57">
        <f>IF($B132=$B131,$BI131,0)+$BH132</f>
        <v/>
      </c>
      <c r="BJ132" s="57">
        <f>$BJ131+$BH132</f>
        <v/>
      </c>
      <c r="BK132" s="57">
        <f>SUMIFS(tblFleet[Available_h],tblFleet[Date],$A132,tblFleet[Equipment_Class],"Excavator")</f>
        <v/>
      </c>
      <c r="BL132" s="57">
        <f>IF($B132=$B131,$BL131,0)+$BK132</f>
        <v/>
      </c>
      <c r="BM132" s="57">
        <f>$BM131+$BK132</f>
        <v/>
      </c>
      <c r="BN132" s="57">
        <f>SUMIFS(tblFleet[Operating_h],tblFleet[Date],$A132,tblFleet[Equipment_Class],"Excavator")</f>
        <v/>
      </c>
      <c r="BO132" s="57">
        <f>IF($B132=$B131,$BO131,0)+$BN132</f>
        <v/>
      </c>
      <c r="BP132" s="57">
        <f>$BP131+$BN132</f>
        <v/>
      </c>
      <c r="BQ132" s="67">
        <f>IFERROR(IF(($BH132)&gt;0,($BK132)/($BH132),""),"")</f>
        <v/>
      </c>
      <c r="BR132" s="67">
        <f>IFERROR(IF(($BI132)&gt;0,($BL132)/($BI132),""),"")</f>
        <v/>
      </c>
      <c r="BS132" s="67">
        <f>IFERROR(IF(($BJ132)&gt;0,($BM132)/($BJ132),""),"")</f>
        <v/>
      </c>
      <c r="BT132" s="67">
        <f>IFERROR(IF(($BK132)&gt;0,($BN132)/($BK132),""),"")</f>
        <v/>
      </c>
      <c r="BU132" s="67">
        <f>IFERROR(IF(($BL132)&gt;0,($BO132)/($BL132),""),"")</f>
        <v/>
      </c>
      <c r="BV132" s="67">
        <f>IFERROR(IF(($BM132)&gt;0,($BP132)/($BM132),""),"")</f>
        <v/>
      </c>
      <c r="BW132" s="57">
        <f>SUMIFS(tblFleet[Calendar_h],tblFleet[Date],$A132,tblFleet[Equipment_Class],"Haul Truck")</f>
        <v/>
      </c>
      <c r="BX132" s="57">
        <f>IF($B132=$B131,$BX131,0)+$BW132</f>
        <v/>
      </c>
      <c r="BY132" s="57">
        <f>$BY131+$BW132</f>
        <v/>
      </c>
      <c r="BZ132" s="57">
        <f>SUMIFS(tblFleet[Available_h],tblFleet[Date],$A132,tblFleet[Equipment_Class],"Haul Truck")</f>
        <v/>
      </c>
      <c r="CA132" s="57">
        <f>IF($B132=$B131,$CA131,0)+$BZ132</f>
        <v/>
      </c>
      <c r="CB132" s="57">
        <f>$CB131+$BZ132</f>
        <v/>
      </c>
      <c r="CC132" s="57">
        <f>SUMIFS(tblFleet[Operating_h],tblFleet[Date],$A132,tblFleet[Equipment_Class],"Haul Truck")</f>
        <v/>
      </c>
      <c r="CD132" s="57">
        <f>IF($B132=$B131,$CD131,0)+$CC132</f>
        <v/>
      </c>
      <c r="CE132" s="57">
        <f>$CE131+$CC132</f>
        <v/>
      </c>
      <c r="CF132" s="67">
        <f>IFERROR(IF(($BW132)&gt;0,($BZ132)/($BW132),""),"")</f>
        <v/>
      </c>
      <c r="CG132" s="67">
        <f>IFERROR(IF(($BX132)&gt;0,($CA132)/($BX132),""),"")</f>
        <v/>
      </c>
      <c r="CH132" s="67">
        <f>IFERROR(IF(($BY132)&gt;0,($CB132)/($BY132),""),"")</f>
        <v/>
      </c>
      <c r="CI132" s="67">
        <f>IFERROR(IF(($BZ132)&gt;0,($CC132)/($BZ132),""),"")</f>
        <v/>
      </c>
      <c r="CJ132" s="67">
        <f>IFERROR(IF(($CA132)&gt;0,($CD132)/($CA132),""),"")</f>
        <v/>
      </c>
      <c r="CK132" s="67">
        <f>IFERROR(IF(($CB132)&gt;0,($CE132)/($CB132),""),"")</f>
        <v/>
      </c>
      <c r="CL132" s="55">
        <f>IFERROR(IF(($BN132)&gt;0,($X132+$AD132)/($BN132),""),"")</f>
        <v/>
      </c>
      <c r="CM132" s="55">
        <f>IFERROR(IF(($BO132)&gt;0,($Y132+$AE132)/($BO132),""),"")</f>
        <v/>
      </c>
      <c r="CN132" s="55">
        <f>IFERROR(IF(($BP132)&gt;0,($Z132+$AF132)/($BP132),""),"")</f>
        <v/>
      </c>
      <c r="CO132" s="55">
        <f>IFERROR(IF(($CC132)&gt;0,($X132+$AD132)/($CC132),""),"")</f>
        <v/>
      </c>
      <c r="CP132" s="55">
        <f>IFERROR(IF(($CD132)&gt;0,($Y132+$AE132)/($CD132),""),"")</f>
        <v/>
      </c>
      <c r="CQ132" s="55">
        <f>IFERROR(IF(($CE132)&gt;0,($Z132+$AF132)/($CE132),""),"")</f>
        <v/>
      </c>
      <c r="CR132" s="55">
        <f>SUMIFS(tblPlant[Crushed_t],tblPlant[Date],$A132)</f>
        <v/>
      </c>
      <c r="CS132" s="55">
        <f>IF($B132=$B131,$CS131,0)+$CR132</f>
        <v/>
      </c>
      <c r="CT132" s="55">
        <f>$CT131+$CR132</f>
        <v/>
      </c>
      <c r="CU132" s="55">
        <f>SUMIFS(tblPlant[Milled_t],tblPlant[Date],$A132)</f>
        <v/>
      </c>
      <c r="CV132" s="55">
        <f>IF($B132=$B131,$CV131,0)+$CU132</f>
        <v/>
      </c>
      <c r="CW132" s="55">
        <f>$CW131+$CU132</f>
        <v/>
      </c>
      <c r="CX132" s="55">
        <f>SUMIFS(tblPlant[Feed_oz],tblPlant[Date],$A132)</f>
        <v/>
      </c>
      <c r="CY132" s="55">
        <f>IF($B132=$B131,$CY131,0)+$CX132</f>
        <v/>
      </c>
      <c r="CZ132" s="55">
        <f>$CZ131+$CX132</f>
        <v/>
      </c>
      <c r="DA132" s="55">
        <f>SUMIFS(tblPlant[Tails_oz],tblPlant[Date],$A132)</f>
        <v/>
      </c>
      <c r="DB132" s="55">
        <f>IF($B132=$B131,$DB131,0)+$DA132</f>
        <v/>
      </c>
      <c r="DC132" s="55">
        <f>$DC131+$DA132</f>
        <v/>
      </c>
      <c r="DD132" s="55">
        <f>SUMIFS(tblPlant[Recovered_oz],tblPlant[Date],$A132)</f>
        <v/>
      </c>
      <c r="DE132" s="55">
        <f>IF($B132=$B131,$DE131,0)+$DD132</f>
        <v/>
      </c>
      <c r="DF132" s="55">
        <f>$DF131+$DD132</f>
        <v/>
      </c>
      <c r="DG132" s="55">
        <f>SUMIFS(tblPlant[Milled_t],tblPlant[Date],$A132,tblPlant[Head_Grade_gpt],"&lt;&gt;")</f>
        <v/>
      </c>
      <c r="DH132" s="55">
        <f>IF($B132=$B131,$DH131,0)+$DG132</f>
        <v/>
      </c>
      <c r="DI132" s="55">
        <f>$DI131+$DG132</f>
        <v/>
      </c>
      <c r="DJ132" s="55">
        <f>SUMIFS(tblPlant[Milled_t],tblPlant[Date],$A132,tblPlant[Tails_Grade_gpt],"&lt;&gt;")</f>
        <v/>
      </c>
      <c r="DK132" s="55">
        <f>IF($B132=$B131,$DK131,0)+$DJ132</f>
        <v/>
      </c>
      <c r="DL132" s="55">
        <f>$DL131+$DJ132</f>
        <v/>
      </c>
      <c r="DM132" s="55">
        <f>SUMIFS(tblPlant[Feed_oz],tblPlant[Date],$A132,tblPlant[Tails_Grade_gpt],"&lt;&gt;")</f>
        <v/>
      </c>
      <c r="DN132" s="55">
        <f>IF($B132=$B131,$DN131,0)+$DM132</f>
        <v/>
      </c>
      <c r="DO132" s="55">
        <f>$DO131+$DM132</f>
        <v/>
      </c>
      <c r="DP132" s="55">
        <f>SUMIFS(tblPlant[Milled_t],tblPlant[Date],$A132,tblPlant[Mill_Run_h],"&lt;&gt;")</f>
        <v/>
      </c>
      <c r="DQ132" s="55">
        <f>IF($B132=$B131,$DQ131,0)+$DP132</f>
        <v/>
      </c>
      <c r="DR132" s="55">
        <f>$DR131+$DP132</f>
        <v/>
      </c>
      <c r="DS132" s="56">
        <f>IFERROR(IF(($DG132)&gt;0,($CX132*cfg_TroyOz)/($DG132),""),"")</f>
        <v/>
      </c>
      <c r="DT132" s="56">
        <f>IFERROR(IF(($DH132)&gt;0,($CY132*cfg_TroyOz)/($DH132),""),"")</f>
        <v/>
      </c>
      <c r="DU132" s="56">
        <f>IFERROR(IF(($DI132)&gt;0,($CZ132*cfg_TroyOz)/($DI132),""),"")</f>
        <v/>
      </c>
      <c r="DV132" s="56">
        <f>IFERROR(IF(($DJ132)&gt;0,($DA132*cfg_TroyOz)/($DJ132),""),"")</f>
        <v/>
      </c>
      <c r="DW132" s="56">
        <f>IFERROR(IF(($DK132)&gt;0,($DB132*cfg_TroyOz)/($DK132),""),"")</f>
        <v/>
      </c>
      <c r="DX132" s="56">
        <f>IFERROR(IF(($DL132)&gt;0,($DC132*cfg_TroyOz)/($DL132),""),"")</f>
        <v/>
      </c>
      <c r="DY132" s="67">
        <f>IFERROR(IF(($DM132)&gt;0,($DD132)/($DM132),""),"")</f>
        <v/>
      </c>
      <c r="DZ132" s="67">
        <f>IFERROR(IF(($DN132)&gt;0,($DE132)/($DN132),""),"")</f>
        <v/>
      </c>
      <c r="EA132" s="67">
        <f>IFERROR(IF(($DO132)&gt;0,($DF132)/($DO132),""),"")</f>
        <v/>
      </c>
      <c r="EB132" s="55">
        <f>SUMIFS(tblPlant[Gravity_Gold_oz],tblPlant[Date],$A132)</f>
        <v/>
      </c>
      <c r="EC132" s="55">
        <f>IF($B132=$B131,$EC131,0)+$EB132</f>
        <v/>
      </c>
      <c r="ED132" s="55">
        <f>$ED131+$EB132</f>
        <v/>
      </c>
      <c r="EE132" s="67">
        <f>IFERROR(IF(($DD132)&gt;0,($EB132)/($DD132),""),"")</f>
        <v/>
      </c>
      <c r="EF132" s="67">
        <f>IFERROR(IF(($DE132)&gt;0,($EC132)/($DE132),""),"")</f>
        <v/>
      </c>
      <c r="EG132" s="67">
        <f>IFERROR(IF(($DF132)&gt;0,($ED132)/($DF132),""),"")</f>
        <v/>
      </c>
      <c r="EH132" s="55">
        <f>SUMIFS(tblPlant[Gold_Poured_oz],tblPlant[Date],$A132)</f>
        <v/>
      </c>
      <c r="EI132" s="55">
        <f>IF($B132=$B131,$EI131,0)+$EH132</f>
        <v/>
      </c>
      <c r="EJ132" s="55">
        <f>$EJ131+$EH132</f>
        <v/>
      </c>
      <c r="EK132" s="57">
        <f>SUMIFS(tblPlant[Mill_Run_h],tblPlant[Date],$A132)</f>
        <v/>
      </c>
      <c r="EL132" s="57">
        <f>IF($B132=$B131,$EL131,0)+$EK132</f>
        <v/>
      </c>
      <c r="EM132" s="57">
        <f>$EM131+$EK132</f>
        <v/>
      </c>
      <c r="EN132" s="57">
        <f>SUMIFS(tblPlant[Mill_Planned_Maint_h],tblPlant[Date],$A132)</f>
        <v/>
      </c>
      <c r="EO132" s="57">
        <f>IF($B132=$B131,$EO131,0)+$EN132</f>
        <v/>
      </c>
      <c r="EP132" s="57">
        <f>$EP131+$EN132</f>
        <v/>
      </c>
      <c r="EQ132" s="57">
        <f>SUMIFS(tblPlant[Mill_Unplanned_Down_h],tblPlant[Date],$A132)</f>
        <v/>
      </c>
      <c r="ER132" s="57">
        <f>IF($B132=$B131,$ER131,0)+$EQ132</f>
        <v/>
      </c>
      <c r="ES132" s="57">
        <f>$ES131+$EQ132</f>
        <v/>
      </c>
      <c r="ET132" s="57">
        <f>IF(COUNTIFS(tblPlant[Date],$A132,tblPlant[Mill_Run_h],"&lt;&gt;")+COUNTIFS(tblPlant[Date],$A132,tblPlant[Mill_Planned_Maint_h],"&lt;&gt;")+COUNTIFS(tblPlant[Date],$A132,tblPlant[Mill_Unplanned_Down_h],"&lt;&gt;")&gt;0,cfg_HoursPerDay,0)</f>
        <v/>
      </c>
      <c r="EU132" s="57">
        <f>IF($B132=$B131,$EU131,0)+$ET132</f>
        <v/>
      </c>
      <c r="EV132" s="57">
        <f>$EV131+$ET132</f>
        <v/>
      </c>
      <c r="EW132" s="57">
        <f>SUMIFS(tblPlant[Crusher_Run_h],tblPlant[Date],$A132)</f>
        <v/>
      </c>
      <c r="EX132" s="57">
        <f>IF($B132=$B131,$EX131,0)+$EW132</f>
        <v/>
      </c>
      <c r="EY132" s="57">
        <f>$EY131+$EW132</f>
        <v/>
      </c>
      <c r="EZ132" s="55">
        <f>IFERROR(IF(($EK132)&gt;0,($DP132)/($EK132),""),"")</f>
        <v/>
      </c>
      <c r="FA132" s="55">
        <f>IFERROR(IF(($EL132)&gt;0,($DQ132)/($EL132),""),"")</f>
        <v/>
      </c>
      <c r="FB132" s="55">
        <f>IFERROR(IF(($EM132)&gt;0,($DR132)/($EM132),""),"")</f>
        <v/>
      </c>
      <c r="FC132" s="67">
        <f>IFERROR(IF(($ET132)&gt;0,($ET132-$EN132-$EQ132)/($ET132),""),"")</f>
        <v/>
      </c>
      <c r="FD132" s="67">
        <f>IFERROR(IF(($EU132)&gt;0,($EU132-$EO132-$ER132)/($EU132),""),"")</f>
        <v/>
      </c>
      <c r="FE132" s="67">
        <f>IFERROR(IF(($EV132)&gt;0,($EV132-$EP132-$ES132)/($EV132),""),"")</f>
        <v/>
      </c>
      <c r="FF132" s="67">
        <f>IFERROR(IF(($ET132-$EN132-$EQ132)&gt;0,($EK132)/($ET132-$EN132-$EQ132),""),"")</f>
        <v/>
      </c>
      <c r="FG132" s="67">
        <f>IFERROR(IF(($EU132-$EO132-$ER132)&gt;0,($EL132)/($EU132-$EO132-$ER132),""),"")</f>
        <v/>
      </c>
      <c r="FH132" s="67">
        <f>IFERROR(IF(($EV132-$EP132-$ES132)&gt;0,($EM132)/($EV132-$EP132-$ES132),""),"")</f>
        <v/>
      </c>
      <c r="FI132" s="55">
        <f>SUMIFS(tblPlant[Cyanide_kg],tblPlant[Date],$A132)</f>
        <v/>
      </c>
      <c r="FJ132" s="55">
        <f>IF($B132=$B131,$FJ131,0)+$FI132</f>
        <v/>
      </c>
      <c r="FK132" s="55">
        <f>$FK131+$FI132</f>
        <v/>
      </c>
      <c r="FL132" s="55">
        <f>SUMIFS(tblPlant[Lime_kg],tblPlant[Date],$A132)</f>
        <v/>
      </c>
      <c r="FM132" s="55">
        <f>IF($B132=$B131,$FM131,0)+$FL132</f>
        <v/>
      </c>
      <c r="FN132" s="55">
        <f>$FN131+$FL132</f>
        <v/>
      </c>
      <c r="FO132" s="55">
        <f>SUMIFS(tblPlant[Grinding_Media_kg],tblPlant[Date],$A132)</f>
        <v/>
      </c>
      <c r="FP132" s="55">
        <f>IF($B132=$B131,$FP131,0)+$FO132</f>
        <v/>
      </c>
      <c r="FQ132" s="55">
        <f>$FQ131+$FO132</f>
        <v/>
      </c>
      <c r="FR132" s="55">
        <f>SUMIFS(tblPlant[Power_kWh],tblPlant[Date],$A132)</f>
        <v/>
      </c>
      <c r="FS132" s="55">
        <f>IF($B132=$B131,$FS131,0)+$FR132</f>
        <v/>
      </c>
      <c r="FT132" s="55">
        <f>$FT131+$FR132</f>
        <v/>
      </c>
      <c r="FU132" s="55">
        <f>SUMIFS(tblPlant[Raw_Water_m3],tblPlant[Date],$A132)</f>
        <v/>
      </c>
      <c r="FV132" s="55">
        <f>IF($B132=$B131,$FV131,0)+$FU132</f>
        <v/>
      </c>
      <c r="FW132" s="55">
        <f>$FW131+$FU132</f>
        <v/>
      </c>
      <c r="FX132" s="56">
        <f>IFERROR(IF(($CU132)&gt;0,($FI132)/($CU132),""),"")</f>
        <v/>
      </c>
      <c r="FY132" s="56">
        <f>IFERROR(IF(($CV132)&gt;0,($FJ132)/($CV132),""),"")</f>
        <v/>
      </c>
      <c r="FZ132" s="56">
        <f>IFERROR(IF(($CW132)&gt;0,($FK132)/($CW132),""),"")</f>
        <v/>
      </c>
      <c r="GA132" s="56">
        <f>IFERROR(IF(($CU132)&gt;0,($FL132)/($CU132),""),"")</f>
        <v/>
      </c>
      <c r="GB132" s="56">
        <f>IFERROR(IF(($CV132)&gt;0,($FM132)/($CV132),""),"")</f>
        <v/>
      </c>
      <c r="GC132" s="56">
        <f>IFERROR(IF(($CW132)&gt;0,($FN132)/($CW132),""),"")</f>
        <v/>
      </c>
      <c r="GD132" s="56">
        <f>IFERROR(IF(($CU132)&gt;0,($FO132)/($CU132),""),"")</f>
        <v/>
      </c>
      <c r="GE132" s="56">
        <f>IFERROR(IF(($CV132)&gt;0,($FP132)/($CV132),""),"")</f>
        <v/>
      </c>
      <c r="GF132" s="56">
        <f>IFERROR(IF(($CW132)&gt;0,($FQ132)/($CW132),""),"")</f>
        <v/>
      </c>
      <c r="GG132" s="79">
        <f>IFERROR(IF(($CU132)&gt;0,($FR132)/($CU132),""),"")</f>
        <v/>
      </c>
      <c r="GH132" s="79">
        <f>IFERROR(IF(($CV132)&gt;0,($FS132)/($CV132),""),"")</f>
        <v/>
      </c>
      <c r="GI132" s="79">
        <f>IFERROR(IF(($CW132)&gt;0,($FT132)/($CW132),""),"")</f>
        <v/>
      </c>
      <c r="GJ132" s="56">
        <f>IFERROR(IF(($CU132)&gt;0,($FU132)/($CU132),""),"")</f>
        <v/>
      </c>
      <c r="GK132" s="56">
        <f>IFERROR(IF(($CV132)&gt;0,($FV132)/($CV132),""),"")</f>
        <v/>
      </c>
      <c r="GL132" s="56">
        <f>IFERROR(IF(($CW132)&gt;0,($FW132)/($CW132),""),"")</f>
        <v/>
      </c>
      <c r="GM132" s="55">
        <f>IF(SUMIFS(tblPlant[GIC_oz],tblPlant[Date],$A132)&gt;0,SUMIFS(tblPlant[GIC_oz],tblPlant[Date],$A132),"")</f>
        <v/>
      </c>
      <c r="GN132" s="55">
        <f>SUMIFS(tblGold[Gold_oz],tblGold[Date],$A132,tblGold[Type],"Shipment")</f>
        <v/>
      </c>
      <c r="GO132" s="55">
        <f>IF($B132=$B131,$GO131,0)+$GN132</f>
        <v/>
      </c>
      <c r="GP132" s="55">
        <f>$GP131+$GN132</f>
        <v/>
      </c>
      <c r="GQ132" s="55">
        <f>SUMIFS(tblGold[Gold_oz],tblGold[Date],$A132,tblGold[Type],"Sale")</f>
        <v/>
      </c>
      <c r="GR132" s="55">
        <f>IF($B132=$B131,$GR131,0)+$GQ132</f>
        <v/>
      </c>
      <c r="GS132" s="55">
        <f>$GS131+$GQ132</f>
        <v/>
      </c>
      <c r="GT132" s="55">
        <f>SUMIFS(tblGold[Dore_kg],tblGold[Date],$A132,tblGold[Type],"Shipment")</f>
        <v/>
      </c>
      <c r="GU132" s="55">
        <f>IF($B132=$B131,$GU131,0)+$GT132</f>
        <v/>
      </c>
      <c r="GV132" s="55">
        <f>$GV131+$GT132</f>
        <v/>
      </c>
      <c r="GW132" s="57">
        <f>SUMIFS(tblSafety[Hours_Total],tblSafety[Date],$A132)</f>
        <v/>
      </c>
      <c r="GX132" s="57">
        <f>IF($B132=$B131,$GX131,0)+$GW132</f>
        <v/>
      </c>
      <c r="GY132" s="57">
        <f>$GY131+$GW132</f>
        <v/>
      </c>
      <c r="GZ132" s="62">
        <f>SUMIFS(tblSafety[Fatality],tblSafety[Date],$A132)</f>
        <v/>
      </c>
      <c r="HA132" s="62">
        <f>IF($B132=$B131,$HA131,0)+$GZ132</f>
        <v/>
      </c>
      <c r="HB132" s="62">
        <f>$HB131+$GZ132</f>
        <v/>
      </c>
      <c r="HC132" s="62">
        <f>SUMIFS(tblSafety[LTI],tblSafety[Date],$A132)</f>
        <v/>
      </c>
      <c r="HD132" s="62">
        <f>IF($B132=$B131,$HD131,0)+$HC132</f>
        <v/>
      </c>
      <c r="HE132" s="62">
        <f>$HE131+$HC132</f>
        <v/>
      </c>
      <c r="HF132" s="62">
        <f>SUMIFS(tblSafety[RWI],tblSafety[Date],$A132)</f>
        <v/>
      </c>
      <c r="HG132" s="62">
        <f>IF($B132=$B131,$HG131,0)+$HF132</f>
        <v/>
      </c>
      <c r="HH132" s="62">
        <f>$HH131+$HF132</f>
        <v/>
      </c>
      <c r="HI132" s="62">
        <f>SUMIFS(tblSafety[MTI],tblSafety[Date],$A132)</f>
        <v/>
      </c>
      <c r="HJ132" s="62">
        <f>IF($B132=$B131,$HJ131,0)+$HI132</f>
        <v/>
      </c>
      <c r="HK132" s="62">
        <f>$HK131+$HI132</f>
        <v/>
      </c>
      <c r="HL132" s="62">
        <f>SUMIFS(tblSafety[FAI],tblSafety[Date],$A132)</f>
        <v/>
      </c>
      <c r="HM132" s="62">
        <f>IF($B132=$B131,$HM131,0)+$HL132</f>
        <v/>
      </c>
      <c r="HN132" s="62">
        <f>$HN131+$HL132</f>
        <v/>
      </c>
      <c r="HO132" s="62">
        <f>SUMIFS(tblSafety[Recordables],tblSafety[Date],$A132)</f>
        <v/>
      </c>
      <c r="HP132" s="62">
        <f>IF($B132=$B131,$HP131,0)+$HO132</f>
        <v/>
      </c>
      <c r="HQ132" s="62">
        <f>$HQ131+$HO132</f>
        <v/>
      </c>
      <c r="HR132" s="62">
        <f>SUMIFS(tblSafety[Near_Miss],tblSafety[Date],$A132)</f>
        <v/>
      </c>
      <c r="HS132" s="62">
        <f>IF($B132=$B131,$HS131,0)+$HR132</f>
        <v/>
      </c>
      <c r="HT132" s="62">
        <f>$HT131+$HR132</f>
        <v/>
      </c>
      <c r="HU132" s="62">
        <f>SUMIFS(tblSafety[Hazard_Reports],tblSafety[Date],$A132)</f>
        <v/>
      </c>
      <c r="HV132" s="62">
        <f>IF($B132=$B131,$HV131,0)+$HU132</f>
        <v/>
      </c>
      <c r="HW132" s="62">
        <f>$HW131+$HU132</f>
        <v/>
      </c>
      <c r="HX132" s="62">
        <f>SUMIFS(tblSafety[HPI],tblSafety[Date],$A132)</f>
        <v/>
      </c>
      <c r="HY132" s="62">
        <f>IF($B132=$B131,$HY131,0)+$HX132</f>
        <v/>
      </c>
      <c r="HZ132" s="62">
        <f>$HZ131+$HX132</f>
        <v/>
      </c>
      <c r="IA132" s="62">
        <f>SUMIFS(tblSafety[Env_Incidents],tblSafety[Date],$A132)</f>
        <v/>
      </c>
      <c r="IB132" s="62">
        <f>IF($B132=$B131,$IB131,0)+$IA132</f>
        <v/>
      </c>
      <c r="IC132" s="62">
        <f>$IC131+$IA132</f>
        <v/>
      </c>
      <c r="ID132" s="62">
        <f>SUMIFS(tblSafety[Community_Incidents],tblSafety[Date],$A132)</f>
        <v/>
      </c>
      <c r="IE132" s="62">
        <f>IF($B132=$B131,$IE131,0)+$ID132</f>
        <v/>
      </c>
      <c r="IF132" s="62">
        <f>$IF131+$ID132</f>
        <v/>
      </c>
      <c r="IG132" s="62">
        <f>SUMIFS(tblSafety[Vehicle_Incidents],tblSafety[Date],$A132)</f>
        <v/>
      </c>
      <c r="IH132" s="62">
        <f>IF($B132=$B131,$IH131,0)+$IG132</f>
        <v/>
      </c>
      <c r="II132" s="62">
        <f>$II131+$IG132</f>
        <v/>
      </c>
      <c r="IJ132" s="62">
        <f>SUMIFS(tblSafety[Toolbox_Talks],tblSafety[Date],$A132)</f>
        <v/>
      </c>
      <c r="IK132" s="62">
        <f>IF($B132=$B131,$IK131,0)+$IJ132</f>
        <v/>
      </c>
      <c r="IL132" s="62">
        <f>$IL131+$IJ132</f>
        <v/>
      </c>
      <c r="IM132" s="62">
        <f>SUMIFS(tblSafety[Inspections],tblSafety[Date],$A132)</f>
        <v/>
      </c>
      <c r="IN132" s="62">
        <f>IF($B132=$B131,$IN131,0)+$IM132</f>
        <v/>
      </c>
      <c r="IO132" s="62">
        <f>$IO131+$IM132</f>
        <v/>
      </c>
      <c r="IP132" s="56">
        <f>IFERROR((SUMIFS(tblSafety[Recordables],tblSafety[Date],"&gt;="&amp;EDATE($E132,-12),tblSafety[Date],"&lt;="&amp;$A132)+SUMIFS(tblSafetyHistory[Recordables],tblSafetyHistory[Month],"&gt;="&amp;EDATE($E132,-12),tblSafetyHistory[Month],"&lt;"&amp;$E132,tblSafetyHistory[Use],1))/(SUMIFS(tblSafety[Hours_Total],tblSafety[Date],"&gt;="&amp;EDATE($E132,-12),tblSafety[Date],"&lt;="&amp;$A132)+SUMIFS(tblSafetyHistory[Hours_Total],tblSafetyHistory[Month],"&gt;="&amp;EDATE($E132,-12),tblSafetyHistory[Month],"&lt;"&amp;$E132,tblSafetyHistory[Use],1))*cfg_RateBasisHours,"")</f>
        <v/>
      </c>
      <c r="IQ132" s="56">
        <f>IFERROR((SUMIFS(tblSafety[LTI],tblSafety[Date],"&gt;="&amp;EDATE($E132,-12),tblSafety[Date],"&lt;="&amp;$A132)+SUMIFS(tblSafetyHistory[LTI],tblSafetyHistory[Month],"&gt;="&amp;EDATE($E132,-12),tblSafetyHistory[Month],"&lt;"&amp;$E132,tblSafetyHistory[Use],1))/(SUMIFS(tblSafety[Hours_Total],tblSafety[Date],"&gt;="&amp;EDATE($E132,-12),tblSafety[Date],"&lt;="&amp;$A132)+SUMIFS(tblSafetyHistory[Hours_Total],tblSafetyHistory[Month],"&gt;="&amp;EDATE($E132,-12),tblSafetyHistory[Month],"&lt;"&amp;$E132,tblSafetyHistory[Use],1))*cfg_RateBasisHours,"")</f>
        <v/>
      </c>
      <c r="IR132" s="62">
        <f>IF(MAX(N(cfg_PriorLTIDate),_xlfn.MAXIFS(tblSafety[Date],tblSafety[LTI],"&gt;0",tblSafety[Date],"&lt;="&amp;$A132))=0,"",$A132-MAX(N(cfg_PriorLTIDate),_xlfn.MAXIFS(tblSafety[Date],tblSafety[LTI],"&gt;0",tblSafety[Date],"&lt;="&amp;$A132)))</f>
        <v/>
      </c>
      <c r="IS132" s="55">
        <f>SUMIFS(tblBudget[Ore_Mined_t],tblBudget[Month],$E132)</f>
        <v/>
      </c>
      <c r="IT132" s="55">
        <f>$IS132*$C132/$D132</f>
        <v/>
      </c>
      <c r="IU132" s="55">
        <f>SUMIFS(tblBudget[Ore_Mined_t],tblBudget[Month],"&lt;"&amp;$E132)+$IT132</f>
        <v/>
      </c>
      <c r="IV132" s="55">
        <f>SUMIFS(tblBudget[Ore_oz],tblBudget[Month],$E132)</f>
        <v/>
      </c>
      <c r="IW132" s="55">
        <f>$IV132*$C132/$D132</f>
        <v/>
      </c>
      <c r="IX132" s="55">
        <f>SUMIFS(tblBudget[Ore_oz],tblBudget[Month],"&lt;"&amp;$E132)+$IW132</f>
        <v/>
      </c>
      <c r="IY132" s="55">
        <f>SUMIFS(tblBudget[Ore_Mined_t],tblBudget[Month],$E132)</f>
        <v/>
      </c>
      <c r="IZ132" s="55">
        <f>$IY132*$C132/$D132</f>
        <v/>
      </c>
      <c r="JA132" s="55">
        <f>SUMIFS(tblBudget[Ore_Mined_t],tblBudget[Month],"&lt;"&amp;$E132)+$IZ132</f>
        <v/>
      </c>
      <c r="JB132" s="56">
        <f>IFERROR(IF(($IY132)&gt;0,($IV132*cfg_TroyOz)/($IY132),""),"")</f>
        <v/>
      </c>
      <c r="JC132" s="56">
        <f>IFERROR(IF(($IZ132)&gt;0,($IW132*cfg_TroyOz)/($IZ132),""),"")</f>
        <v/>
      </c>
      <c r="JD132" s="56">
        <f>IFERROR(IF(($JA132)&gt;0,($IX132*cfg_TroyOz)/($JA132),""),"")</f>
        <v/>
      </c>
      <c r="JE132" s="55">
        <f>SUMIFS(tblBudget[Waste_t],tblBudget[Month],$E132)</f>
        <v/>
      </c>
      <c r="JF132" s="55">
        <f>$JE132*$C132/$D132</f>
        <v/>
      </c>
      <c r="JG132" s="55">
        <f>SUMIFS(tblBudget[Waste_t],tblBudget[Month],"&lt;"&amp;$E132)+$JF132</f>
        <v/>
      </c>
      <c r="JH132" s="55">
        <f>SUMIFS(tblBudget[TMM_t],tblBudget[Month],$E132)</f>
        <v/>
      </c>
      <c r="JI132" s="55">
        <f>$JH132*$C132/$D132</f>
        <v/>
      </c>
      <c r="JJ132" s="55">
        <f>SUMIFS(tblBudget[TMM_t],tblBudget[Month],"&lt;"&amp;$E132)+$JI132</f>
        <v/>
      </c>
      <c r="JK132" s="56">
        <f>IFERROR(IF(($IS132)&gt;0,($JE132)/($IS132),""),"")</f>
        <v/>
      </c>
      <c r="JL132" s="56">
        <f>IFERROR(IF(($IT132)&gt;0,($JF132)/($IT132),""),"")</f>
        <v/>
      </c>
      <c r="JM132" s="56">
        <f>IFERROR(IF(($IU132)&gt;0,($JG132)/($IU132),""),"")</f>
        <v/>
      </c>
      <c r="JN132" s="55">
        <f>SUMIFS(tblBudget[Drill_m],tblBudget[Month],$E132)</f>
        <v/>
      </c>
      <c r="JO132" s="55">
        <f>$JN132*$C132/$D132</f>
        <v/>
      </c>
      <c r="JP132" s="55">
        <f>SUMIFS(tblBudget[Drill_m],tblBudget[Month],"&lt;"&amp;$E132)+$JO132</f>
        <v/>
      </c>
      <c r="JQ132" s="55">
        <f>SUMIFS(tblBudget[Diesel_L],tblBudget[Month],$E132)</f>
        <v/>
      </c>
      <c r="JR132" s="55">
        <f>$JQ132*$C132/$D132</f>
        <v/>
      </c>
      <c r="JS132" s="55">
        <f>SUMIFS(tblBudget[Diesel_L],tblBudget[Month],"&lt;"&amp;$E132)+$JR132</f>
        <v/>
      </c>
      <c r="JT132" s="55">
        <f>SUMIFS(tblBudget[Milled_t],tblBudget[Month],$E132)</f>
        <v/>
      </c>
      <c r="JU132" s="55">
        <f>$JT132*$C132/$D132</f>
        <v/>
      </c>
      <c r="JV132" s="55">
        <f>SUMIFS(tblBudget[Milled_t],tblBudget[Month],"&lt;"&amp;$E132)+$JU132</f>
        <v/>
      </c>
      <c r="JW132" s="55">
        <f>SUMIFS(tblBudget[Feed_oz],tblBudget[Month],$E132)</f>
        <v/>
      </c>
      <c r="JX132" s="55">
        <f>$JW132*$C132/$D132</f>
        <v/>
      </c>
      <c r="JY132" s="55">
        <f>SUMIFS(tblBudget[Feed_oz],tblBudget[Month],"&lt;"&amp;$E132)+$JX132</f>
        <v/>
      </c>
      <c r="JZ132" s="55">
        <f>SUMIFS(tblBudget[Recovered_oz],tblBudget[Month],$E132)</f>
        <v/>
      </c>
      <c r="KA132" s="55">
        <f>$JZ132*$C132/$D132</f>
        <v/>
      </c>
      <c r="KB132" s="55">
        <f>SUMIFS(tblBudget[Recovered_oz],tblBudget[Month],"&lt;"&amp;$E132)+$KA132</f>
        <v/>
      </c>
      <c r="KC132" s="55">
        <f>SUMIFS(tblBudget[Milled_t],tblBudget[Month],$E132)</f>
        <v/>
      </c>
      <c r="KD132" s="55">
        <f>$KC132*$C132/$D132</f>
        <v/>
      </c>
      <c r="KE132" s="55">
        <f>SUMIFS(tblBudget[Milled_t],tblBudget[Month],"&lt;"&amp;$E132)+$KD132</f>
        <v/>
      </c>
      <c r="KF132" s="55">
        <f>SUMIFS(tblBudget[Feed_oz],tblBudget[Month],$E132)</f>
        <v/>
      </c>
      <c r="KG132" s="55">
        <f>$KF132*$C132/$D132</f>
        <v/>
      </c>
      <c r="KH132" s="55">
        <f>SUMIFS(tblBudget[Feed_oz],tblBudget[Month],"&lt;"&amp;$E132)+$KG132</f>
        <v/>
      </c>
      <c r="KI132" s="56">
        <f>IFERROR(IF(($KC132)&gt;0,($JW132*cfg_TroyOz)/($KC132),""),"")</f>
        <v/>
      </c>
      <c r="KJ132" s="56">
        <f>IFERROR(IF(($KD132)&gt;0,($JX132*cfg_TroyOz)/($KD132),""),"")</f>
        <v/>
      </c>
      <c r="KK132" s="56">
        <f>IFERROR(IF(($KE132)&gt;0,($JY132*cfg_TroyOz)/($KE132),""),"")</f>
        <v/>
      </c>
      <c r="KL132" s="67">
        <f>IFERROR(IF(($KF132)&gt;0,($JZ132)/($KF132),""),"")</f>
        <v/>
      </c>
      <c r="KM132" s="67">
        <f>IFERROR(IF(($KG132)&gt;0,($KA132)/($KG132),""),"")</f>
        <v/>
      </c>
      <c r="KN132" s="67">
        <f>IFERROR(IF(($KH132)&gt;0,($KB132)/($KH132),""),"")</f>
        <v/>
      </c>
      <c r="KO132" s="55">
        <f>SUMIFS(tblBudget[Gold_Poured_oz],tblBudget[Month],$E132)</f>
        <v/>
      </c>
      <c r="KP132" s="55">
        <f>$KO132*$C132/$D132</f>
        <v/>
      </c>
      <c r="KQ132" s="55">
        <f>SUMIFS(tblBudget[Gold_Poured_oz],tblBudget[Month],"&lt;"&amp;$E132)+$KP132</f>
        <v/>
      </c>
      <c r="KR132" s="57">
        <f>SUMIFS(tblBudget[Hours_Worked],tblBudget[Month],$E132)</f>
        <v/>
      </c>
      <c r="KS132" s="57">
        <f>$KR132*$C132/$D132</f>
        <v/>
      </c>
      <c r="KT132" s="57">
        <f>SUMIFS(tblBudget[Hours_Worked],tblBudget[Month],"&lt;"&amp;$E132)+$KS132</f>
        <v/>
      </c>
    </row>
    <row r="133">
      <c r="A133" s="54" t="n">
        <v>46154</v>
      </c>
      <c r="B133">
        <f>MONTH($A133)</f>
        <v/>
      </c>
      <c r="C133">
        <f>DAY($A133)</f>
        <v/>
      </c>
      <c r="D133">
        <f>DAY(EOMONTH($A133,0))</f>
        <v/>
      </c>
      <c r="E133" s="54">
        <f>DATE(YEAR($A133),MONTH($A133),1)</f>
        <v/>
      </c>
      <c r="F133" s="55">
        <f>SUMIFS(tblMovement[Tonnes_t],tblMovement[Date],$A133,tblMovement[Is_Ore],1,tblMovement[Source_Type],"Pit")</f>
        <v/>
      </c>
      <c r="G133" s="55">
        <f>IF($B133=$B132,$G132,0)+$F133</f>
        <v/>
      </c>
      <c r="H133" s="55">
        <f>$H132+$F133</f>
        <v/>
      </c>
      <c r="I133" s="55">
        <f>SUMIFS(tblMovement[Ore_oz],tblMovement[Date],$A133,tblMovement[Source_Type],"Pit")</f>
        <v/>
      </c>
      <c r="J133" s="55">
        <f>IF($B133=$B132,$J132,0)+$I133</f>
        <v/>
      </c>
      <c r="K133" s="55">
        <f>$K132+$I133</f>
        <v/>
      </c>
      <c r="L133" s="55">
        <f>SUMIFS(tblMovement[Tonnes_t],tblMovement[Date],$A133,tblMovement[Is_Ore],1,tblMovement[Source_Type],"Pit",tblMovement[Grade_gpt],"&lt;&gt;")</f>
        <v/>
      </c>
      <c r="M133" s="55">
        <f>IF($B133=$B132,$M132,0)+$L133</f>
        <v/>
      </c>
      <c r="N133" s="55">
        <f>$N132+$L133</f>
        <v/>
      </c>
      <c r="O133" s="56">
        <f>IFERROR(IF(($L133)&gt;0,($I133*cfg_TroyOz)/($L133),""),"")</f>
        <v/>
      </c>
      <c r="P133" s="56">
        <f>IFERROR(IF(($M133)&gt;0,($J133*cfg_TroyOz)/($M133),""),"")</f>
        <v/>
      </c>
      <c r="Q133" s="56">
        <f>IFERROR(IF(($N133)&gt;0,($K133*cfg_TroyOz)/($N133),""),"")</f>
        <v/>
      </c>
      <c r="R133" s="55">
        <f>$F133-$L133</f>
        <v/>
      </c>
      <c r="S133" s="55">
        <f>IF($B133=$B132,$S132,0)+$R133</f>
        <v/>
      </c>
      <c r="T133" s="55">
        <f>$T132+$R133</f>
        <v/>
      </c>
      <c r="U133" s="55">
        <f>SUMIFS(tblMovement[Tonnes_t],tblMovement[Date],$A133,tblMovement[Is_Ore],0,tblMovement[Source_Type],"Pit")</f>
        <v/>
      </c>
      <c r="V133" s="55">
        <f>IF($B133=$B132,$V132,0)+$U133</f>
        <v/>
      </c>
      <c r="W133" s="55">
        <f>$W132+$U133</f>
        <v/>
      </c>
      <c r="X133" s="55">
        <f>$F133+$U133</f>
        <v/>
      </c>
      <c r="Y133" s="55">
        <f>IF($B133=$B132,$Y132,0)+$X133</f>
        <v/>
      </c>
      <c r="Z133" s="55">
        <f>$Z132+$X133</f>
        <v/>
      </c>
      <c r="AA133" s="56">
        <f>IFERROR(IF(($F133)&gt;0,($U133)/($F133),""),"")</f>
        <v/>
      </c>
      <c r="AB133" s="56">
        <f>IFERROR(IF(($G133)&gt;0,($V133)/($G133),""),"")</f>
        <v/>
      </c>
      <c r="AC133" s="56">
        <f>IFERROR(IF(($H133)&gt;0,($W133)/($H133),""),"")</f>
        <v/>
      </c>
      <c r="AD133" s="55">
        <f>SUMIFS(tblMovement[Tonnes_t],tblMovement[Date],$A133,tblMovement[Source_Type],"Stockpile")</f>
        <v/>
      </c>
      <c r="AE133" s="55">
        <f>IF($B133=$B132,$AE132,0)+$AD133</f>
        <v/>
      </c>
      <c r="AF133" s="55">
        <f>$AF132+$AD133</f>
        <v/>
      </c>
      <c r="AG133" s="55">
        <f>SUMIFS(tblMovement[Tonnes_t],tblMovement[Date],$A133)</f>
        <v/>
      </c>
      <c r="AH133" s="55">
        <f>IF($B133=$B132,$AH132,0)+$AG133</f>
        <v/>
      </c>
      <c r="AI133" s="55">
        <f>$AI132+$AG133</f>
        <v/>
      </c>
      <c r="AJ133" s="55">
        <f>$AG133-$X133-$AD133</f>
        <v/>
      </c>
      <c r="AK133" s="55">
        <f>IF($B133=$B132,$AK132,0)+$AJ133</f>
        <v/>
      </c>
      <c r="AL133" s="55">
        <f>$AL132+$AJ133</f>
        <v/>
      </c>
      <c r="AM133" s="55">
        <f>SUMIFS(tblMiningDaily[Drill_m],tblMiningDaily[Date],$A133)</f>
        <v/>
      </c>
      <c r="AN133" s="55">
        <f>IF($B133=$B132,$AN132,0)+$AM133</f>
        <v/>
      </c>
      <c r="AO133" s="55">
        <f>$AO132+$AM133</f>
        <v/>
      </c>
      <c r="AP133" s="55">
        <f>SUMIFS(tblMiningDaily[GC_Drill_m],tblMiningDaily[Date],$A133)</f>
        <v/>
      </c>
      <c r="AQ133" s="55">
        <f>IF($B133=$B132,$AQ132,0)+$AP133</f>
        <v/>
      </c>
      <c r="AR133" s="55">
        <f>$AR132+$AP133</f>
        <v/>
      </c>
      <c r="AS133" s="55">
        <f>SUMIFS(tblMiningDaily[Blast_t],tblMiningDaily[Date],$A133)</f>
        <v/>
      </c>
      <c r="AT133" s="55">
        <f>IF($B133=$B132,$AT132,0)+$AS133</f>
        <v/>
      </c>
      <c r="AU133" s="55">
        <f>$AU132+$AS133</f>
        <v/>
      </c>
      <c r="AV133" s="55">
        <f>SUMIFS(tblMiningDaily[Explosives_kg],tblMiningDaily[Date],$A133)</f>
        <v/>
      </c>
      <c r="AW133" s="55">
        <f>IF($B133=$B132,$AW132,0)+$AV133</f>
        <v/>
      </c>
      <c r="AX133" s="55">
        <f>$AX132+$AV133</f>
        <v/>
      </c>
      <c r="AY133" s="56">
        <f>IFERROR(IF(($AS133)&gt;0,($AV133)/($AS133),""),"")</f>
        <v/>
      </c>
      <c r="AZ133" s="56">
        <f>IFERROR(IF(($AT133)&gt;0,($AW133)/($AT133),""),"")</f>
        <v/>
      </c>
      <c r="BA133" s="56">
        <f>IFERROR(IF(($AU133)&gt;0,($AX133)/($AU133),""),"")</f>
        <v/>
      </c>
      <c r="BB133" s="55">
        <f>SUMIFS(tblMiningDaily[Diesel_L],tblMiningDaily[Date],$A133)</f>
        <v/>
      </c>
      <c r="BC133" s="55">
        <f>IF($B133=$B132,$BC132,0)+$BB133</f>
        <v/>
      </c>
      <c r="BD133" s="55">
        <f>$BD132+$BB133</f>
        <v/>
      </c>
      <c r="BE133" s="55">
        <f>SUMIFS(tblMiningDaily[Dewatering_m3],tblMiningDaily[Date],$A133)</f>
        <v/>
      </c>
      <c r="BF133" s="55">
        <f>IF($B133=$B132,$BF132,0)+$BE133</f>
        <v/>
      </c>
      <c r="BG133" s="55">
        <f>$BG132+$BE133</f>
        <v/>
      </c>
      <c r="BH133" s="57">
        <f>SUMIFS(tblFleet[Calendar_h],tblFleet[Date],$A133,tblFleet[Equipment_Class],"Excavator")</f>
        <v/>
      </c>
      <c r="BI133" s="57">
        <f>IF($B133=$B132,$BI132,0)+$BH133</f>
        <v/>
      </c>
      <c r="BJ133" s="57">
        <f>$BJ132+$BH133</f>
        <v/>
      </c>
      <c r="BK133" s="57">
        <f>SUMIFS(tblFleet[Available_h],tblFleet[Date],$A133,tblFleet[Equipment_Class],"Excavator")</f>
        <v/>
      </c>
      <c r="BL133" s="57">
        <f>IF($B133=$B132,$BL132,0)+$BK133</f>
        <v/>
      </c>
      <c r="BM133" s="57">
        <f>$BM132+$BK133</f>
        <v/>
      </c>
      <c r="BN133" s="57">
        <f>SUMIFS(tblFleet[Operating_h],tblFleet[Date],$A133,tblFleet[Equipment_Class],"Excavator")</f>
        <v/>
      </c>
      <c r="BO133" s="57">
        <f>IF($B133=$B132,$BO132,0)+$BN133</f>
        <v/>
      </c>
      <c r="BP133" s="57">
        <f>$BP132+$BN133</f>
        <v/>
      </c>
      <c r="BQ133" s="67">
        <f>IFERROR(IF(($BH133)&gt;0,($BK133)/($BH133),""),"")</f>
        <v/>
      </c>
      <c r="BR133" s="67">
        <f>IFERROR(IF(($BI133)&gt;0,($BL133)/($BI133),""),"")</f>
        <v/>
      </c>
      <c r="BS133" s="67">
        <f>IFERROR(IF(($BJ133)&gt;0,($BM133)/($BJ133),""),"")</f>
        <v/>
      </c>
      <c r="BT133" s="67">
        <f>IFERROR(IF(($BK133)&gt;0,($BN133)/($BK133),""),"")</f>
        <v/>
      </c>
      <c r="BU133" s="67">
        <f>IFERROR(IF(($BL133)&gt;0,($BO133)/($BL133),""),"")</f>
        <v/>
      </c>
      <c r="BV133" s="67">
        <f>IFERROR(IF(($BM133)&gt;0,($BP133)/($BM133),""),"")</f>
        <v/>
      </c>
      <c r="BW133" s="57">
        <f>SUMIFS(tblFleet[Calendar_h],tblFleet[Date],$A133,tblFleet[Equipment_Class],"Haul Truck")</f>
        <v/>
      </c>
      <c r="BX133" s="57">
        <f>IF($B133=$B132,$BX132,0)+$BW133</f>
        <v/>
      </c>
      <c r="BY133" s="57">
        <f>$BY132+$BW133</f>
        <v/>
      </c>
      <c r="BZ133" s="57">
        <f>SUMIFS(tblFleet[Available_h],tblFleet[Date],$A133,tblFleet[Equipment_Class],"Haul Truck")</f>
        <v/>
      </c>
      <c r="CA133" s="57">
        <f>IF($B133=$B132,$CA132,0)+$BZ133</f>
        <v/>
      </c>
      <c r="CB133" s="57">
        <f>$CB132+$BZ133</f>
        <v/>
      </c>
      <c r="CC133" s="57">
        <f>SUMIFS(tblFleet[Operating_h],tblFleet[Date],$A133,tblFleet[Equipment_Class],"Haul Truck")</f>
        <v/>
      </c>
      <c r="CD133" s="57">
        <f>IF($B133=$B132,$CD132,0)+$CC133</f>
        <v/>
      </c>
      <c r="CE133" s="57">
        <f>$CE132+$CC133</f>
        <v/>
      </c>
      <c r="CF133" s="67">
        <f>IFERROR(IF(($BW133)&gt;0,($BZ133)/($BW133),""),"")</f>
        <v/>
      </c>
      <c r="CG133" s="67">
        <f>IFERROR(IF(($BX133)&gt;0,($CA133)/($BX133),""),"")</f>
        <v/>
      </c>
      <c r="CH133" s="67">
        <f>IFERROR(IF(($BY133)&gt;0,($CB133)/($BY133),""),"")</f>
        <v/>
      </c>
      <c r="CI133" s="67">
        <f>IFERROR(IF(($BZ133)&gt;0,($CC133)/($BZ133),""),"")</f>
        <v/>
      </c>
      <c r="CJ133" s="67">
        <f>IFERROR(IF(($CA133)&gt;0,($CD133)/($CA133),""),"")</f>
        <v/>
      </c>
      <c r="CK133" s="67">
        <f>IFERROR(IF(($CB133)&gt;0,($CE133)/($CB133),""),"")</f>
        <v/>
      </c>
      <c r="CL133" s="55">
        <f>IFERROR(IF(($BN133)&gt;0,($X133+$AD133)/($BN133),""),"")</f>
        <v/>
      </c>
      <c r="CM133" s="55">
        <f>IFERROR(IF(($BO133)&gt;0,($Y133+$AE133)/($BO133),""),"")</f>
        <v/>
      </c>
      <c r="CN133" s="55">
        <f>IFERROR(IF(($BP133)&gt;0,($Z133+$AF133)/($BP133),""),"")</f>
        <v/>
      </c>
      <c r="CO133" s="55">
        <f>IFERROR(IF(($CC133)&gt;0,($X133+$AD133)/($CC133),""),"")</f>
        <v/>
      </c>
      <c r="CP133" s="55">
        <f>IFERROR(IF(($CD133)&gt;0,($Y133+$AE133)/($CD133),""),"")</f>
        <v/>
      </c>
      <c r="CQ133" s="55">
        <f>IFERROR(IF(($CE133)&gt;0,($Z133+$AF133)/($CE133),""),"")</f>
        <v/>
      </c>
      <c r="CR133" s="55">
        <f>SUMIFS(tblPlant[Crushed_t],tblPlant[Date],$A133)</f>
        <v/>
      </c>
      <c r="CS133" s="55">
        <f>IF($B133=$B132,$CS132,0)+$CR133</f>
        <v/>
      </c>
      <c r="CT133" s="55">
        <f>$CT132+$CR133</f>
        <v/>
      </c>
      <c r="CU133" s="55">
        <f>SUMIFS(tblPlant[Milled_t],tblPlant[Date],$A133)</f>
        <v/>
      </c>
      <c r="CV133" s="55">
        <f>IF($B133=$B132,$CV132,0)+$CU133</f>
        <v/>
      </c>
      <c r="CW133" s="55">
        <f>$CW132+$CU133</f>
        <v/>
      </c>
      <c r="CX133" s="55">
        <f>SUMIFS(tblPlant[Feed_oz],tblPlant[Date],$A133)</f>
        <v/>
      </c>
      <c r="CY133" s="55">
        <f>IF($B133=$B132,$CY132,0)+$CX133</f>
        <v/>
      </c>
      <c r="CZ133" s="55">
        <f>$CZ132+$CX133</f>
        <v/>
      </c>
      <c r="DA133" s="55">
        <f>SUMIFS(tblPlant[Tails_oz],tblPlant[Date],$A133)</f>
        <v/>
      </c>
      <c r="DB133" s="55">
        <f>IF($B133=$B132,$DB132,0)+$DA133</f>
        <v/>
      </c>
      <c r="DC133" s="55">
        <f>$DC132+$DA133</f>
        <v/>
      </c>
      <c r="DD133" s="55">
        <f>SUMIFS(tblPlant[Recovered_oz],tblPlant[Date],$A133)</f>
        <v/>
      </c>
      <c r="DE133" s="55">
        <f>IF($B133=$B132,$DE132,0)+$DD133</f>
        <v/>
      </c>
      <c r="DF133" s="55">
        <f>$DF132+$DD133</f>
        <v/>
      </c>
      <c r="DG133" s="55">
        <f>SUMIFS(tblPlant[Milled_t],tblPlant[Date],$A133,tblPlant[Head_Grade_gpt],"&lt;&gt;")</f>
        <v/>
      </c>
      <c r="DH133" s="55">
        <f>IF($B133=$B132,$DH132,0)+$DG133</f>
        <v/>
      </c>
      <c r="DI133" s="55">
        <f>$DI132+$DG133</f>
        <v/>
      </c>
      <c r="DJ133" s="55">
        <f>SUMIFS(tblPlant[Milled_t],tblPlant[Date],$A133,tblPlant[Tails_Grade_gpt],"&lt;&gt;")</f>
        <v/>
      </c>
      <c r="DK133" s="55">
        <f>IF($B133=$B132,$DK132,0)+$DJ133</f>
        <v/>
      </c>
      <c r="DL133" s="55">
        <f>$DL132+$DJ133</f>
        <v/>
      </c>
      <c r="DM133" s="55">
        <f>SUMIFS(tblPlant[Feed_oz],tblPlant[Date],$A133,tblPlant[Tails_Grade_gpt],"&lt;&gt;")</f>
        <v/>
      </c>
      <c r="DN133" s="55">
        <f>IF($B133=$B132,$DN132,0)+$DM133</f>
        <v/>
      </c>
      <c r="DO133" s="55">
        <f>$DO132+$DM133</f>
        <v/>
      </c>
      <c r="DP133" s="55">
        <f>SUMIFS(tblPlant[Milled_t],tblPlant[Date],$A133,tblPlant[Mill_Run_h],"&lt;&gt;")</f>
        <v/>
      </c>
      <c r="DQ133" s="55">
        <f>IF($B133=$B132,$DQ132,0)+$DP133</f>
        <v/>
      </c>
      <c r="DR133" s="55">
        <f>$DR132+$DP133</f>
        <v/>
      </c>
      <c r="DS133" s="56">
        <f>IFERROR(IF(($DG133)&gt;0,($CX133*cfg_TroyOz)/($DG133),""),"")</f>
        <v/>
      </c>
      <c r="DT133" s="56">
        <f>IFERROR(IF(($DH133)&gt;0,($CY133*cfg_TroyOz)/($DH133),""),"")</f>
        <v/>
      </c>
      <c r="DU133" s="56">
        <f>IFERROR(IF(($DI133)&gt;0,($CZ133*cfg_TroyOz)/($DI133),""),"")</f>
        <v/>
      </c>
      <c r="DV133" s="56">
        <f>IFERROR(IF(($DJ133)&gt;0,($DA133*cfg_TroyOz)/($DJ133),""),"")</f>
        <v/>
      </c>
      <c r="DW133" s="56">
        <f>IFERROR(IF(($DK133)&gt;0,($DB133*cfg_TroyOz)/($DK133),""),"")</f>
        <v/>
      </c>
      <c r="DX133" s="56">
        <f>IFERROR(IF(($DL133)&gt;0,($DC133*cfg_TroyOz)/($DL133),""),"")</f>
        <v/>
      </c>
      <c r="DY133" s="67">
        <f>IFERROR(IF(($DM133)&gt;0,($DD133)/($DM133),""),"")</f>
        <v/>
      </c>
      <c r="DZ133" s="67">
        <f>IFERROR(IF(($DN133)&gt;0,($DE133)/($DN133),""),"")</f>
        <v/>
      </c>
      <c r="EA133" s="67">
        <f>IFERROR(IF(($DO133)&gt;0,($DF133)/($DO133),""),"")</f>
        <v/>
      </c>
      <c r="EB133" s="55">
        <f>SUMIFS(tblPlant[Gravity_Gold_oz],tblPlant[Date],$A133)</f>
        <v/>
      </c>
      <c r="EC133" s="55">
        <f>IF($B133=$B132,$EC132,0)+$EB133</f>
        <v/>
      </c>
      <c r="ED133" s="55">
        <f>$ED132+$EB133</f>
        <v/>
      </c>
      <c r="EE133" s="67">
        <f>IFERROR(IF(($DD133)&gt;0,($EB133)/($DD133),""),"")</f>
        <v/>
      </c>
      <c r="EF133" s="67">
        <f>IFERROR(IF(($DE133)&gt;0,($EC133)/($DE133),""),"")</f>
        <v/>
      </c>
      <c r="EG133" s="67">
        <f>IFERROR(IF(($DF133)&gt;0,($ED133)/($DF133),""),"")</f>
        <v/>
      </c>
      <c r="EH133" s="55">
        <f>SUMIFS(tblPlant[Gold_Poured_oz],tblPlant[Date],$A133)</f>
        <v/>
      </c>
      <c r="EI133" s="55">
        <f>IF($B133=$B132,$EI132,0)+$EH133</f>
        <v/>
      </c>
      <c r="EJ133" s="55">
        <f>$EJ132+$EH133</f>
        <v/>
      </c>
      <c r="EK133" s="57">
        <f>SUMIFS(tblPlant[Mill_Run_h],tblPlant[Date],$A133)</f>
        <v/>
      </c>
      <c r="EL133" s="57">
        <f>IF($B133=$B132,$EL132,0)+$EK133</f>
        <v/>
      </c>
      <c r="EM133" s="57">
        <f>$EM132+$EK133</f>
        <v/>
      </c>
      <c r="EN133" s="57">
        <f>SUMIFS(tblPlant[Mill_Planned_Maint_h],tblPlant[Date],$A133)</f>
        <v/>
      </c>
      <c r="EO133" s="57">
        <f>IF($B133=$B132,$EO132,0)+$EN133</f>
        <v/>
      </c>
      <c r="EP133" s="57">
        <f>$EP132+$EN133</f>
        <v/>
      </c>
      <c r="EQ133" s="57">
        <f>SUMIFS(tblPlant[Mill_Unplanned_Down_h],tblPlant[Date],$A133)</f>
        <v/>
      </c>
      <c r="ER133" s="57">
        <f>IF($B133=$B132,$ER132,0)+$EQ133</f>
        <v/>
      </c>
      <c r="ES133" s="57">
        <f>$ES132+$EQ133</f>
        <v/>
      </c>
      <c r="ET133" s="57">
        <f>IF(COUNTIFS(tblPlant[Date],$A133,tblPlant[Mill_Run_h],"&lt;&gt;")+COUNTIFS(tblPlant[Date],$A133,tblPlant[Mill_Planned_Maint_h],"&lt;&gt;")+COUNTIFS(tblPlant[Date],$A133,tblPlant[Mill_Unplanned_Down_h],"&lt;&gt;")&gt;0,cfg_HoursPerDay,0)</f>
        <v/>
      </c>
      <c r="EU133" s="57">
        <f>IF($B133=$B132,$EU132,0)+$ET133</f>
        <v/>
      </c>
      <c r="EV133" s="57">
        <f>$EV132+$ET133</f>
        <v/>
      </c>
      <c r="EW133" s="57">
        <f>SUMIFS(tblPlant[Crusher_Run_h],tblPlant[Date],$A133)</f>
        <v/>
      </c>
      <c r="EX133" s="57">
        <f>IF($B133=$B132,$EX132,0)+$EW133</f>
        <v/>
      </c>
      <c r="EY133" s="57">
        <f>$EY132+$EW133</f>
        <v/>
      </c>
      <c r="EZ133" s="55">
        <f>IFERROR(IF(($EK133)&gt;0,($DP133)/($EK133),""),"")</f>
        <v/>
      </c>
      <c r="FA133" s="55">
        <f>IFERROR(IF(($EL133)&gt;0,($DQ133)/($EL133),""),"")</f>
        <v/>
      </c>
      <c r="FB133" s="55">
        <f>IFERROR(IF(($EM133)&gt;0,($DR133)/($EM133),""),"")</f>
        <v/>
      </c>
      <c r="FC133" s="67">
        <f>IFERROR(IF(($ET133)&gt;0,($ET133-$EN133-$EQ133)/($ET133),""),"")</f>
        <v/>
      </c>
      <c r="FD133" s="67">
        <f>IFERROR(IF(($EU133)&gt;0,($EU133-$EO133-$ER133)/($EU133),""),"")</f>
        <v/>
      </c>
      <c r="FE133" s="67">
        <f>IFERROR(IF(($EV133)&gt;0,($EV133-$EP133-$ES133)/($EV133),""),"")</f>
        <v/>
      </c>
      <c r="FF133" s="67">
        <f>IFERROR(IF(($ET133-$EN133-$EQ133)&gt;0,($EK133)/($ET133-$EN133-$EQ133),""),"")</f>
        <v/>
      </c>
      <c r="FG133" s="67">
        <f>IFERROR(IF(($EU133-$EO133-$ER133)&gt;0,($EL133)/($EU133-$EO133-$ER133),""),"")</f>
        <v/>
      </c>
      <c r="FH133" s="67">
        <f>IFERROR(IF(($EV133-$EP133-$ES133)&gt;0,($EM133)/($EV133-$EP133-$ES133),""),"")</f>
        <v/>
      </c>
      <c r="FI133" s="55">
        <f>SUMIFS(tblPlant[Cyanide_kg],tblPlant[Date],$A133)</f>
        <v/>
      </c>
      <c r="FJ133" s="55">
        <f>IF($B133=$B132,$FJ132,0)+$FI133</f>
        <v/>
      </c>
      <c r="FK133" s="55">
        <f>$FK132+$FI133</f>
        <v/>
      </c>
      <c r="FL133" s="55">
        <f>SUMIFS(tblPlant[Lime_kg],tblPlant[Date],$A133)</f>
        <v/>
      </c>
      <c r="FM133" s="55">
        <f>IF($B133=$B132,$FM132,0)+$FL133</f>
        <v/>
      </c>
      <c r="FN133" s="55">
        <f>$FN132+$FL133</f>
        <v/>
      </c>
      <c r="FO133" s="55">
        <f>SUMIFS(tblPlant[Grinding_Media_kg],tblPlant[Date],$A133)</f>
        <v/>
      </c>
      <c r="FP133" s="55">
        <f>IF($B133=$B132,$FP132,0)+$FO133</f>
        <v/>
      </c>
      <c r="FQ133" s="55">
        <f>$FQ132+$FO133</f>
        <v/>
      </c>
      <c r="FR133" s="55">
        <f>SUMIFS(tblPlant[Power_kWh],tblPlant[Date],$A133)</f>
        <v/>
      </c>
      <c r="FS133" s="55">
        <f>IF($B133=$B132,$FS132,0)+$FR133</f>
        <v/>
      </c>
      <c r="FT133" s="55">
        <f>$FT132+$FR133</f>
        <v/>
      </c>
      <c r="FU133" s="55">
        <f>SUMIFS(tblPlant[Raw_Water_m3],tblPlant[Date],$A133)</f>
        <v/>
      </c>
      <c r="FV133" s="55">
        <f>IF($B133=$B132,$FV132,0)+$FU133</f>
        <v/>
      </c>
      <c r="FW133" s="55">
        <f>$FW132+$FU133</f>
        <v/>
      </c>
      <c r="FX133" s="56">
        <f>IFERROR(IF(($CU133)&gt;0,($FI133)/($CU133),""),"")</f>
        <v/>
      </c>
      <c r="FY133" s="56">
        <f>IFERROR(IF(($CV133)&gt;0,($FJ133)/($CV133),""),"")</f>
        <v/>
      </c>
      <c r="FZ133" s="56">
        <f>IFERROR(IF(($CW133)&gt;0,($FK133)/($CW133),""),"")</f>
        <v/>
      </c>
      <c r="GA133" s="56">
        <f>IFERROR(IF(($CU133)&gt;0,($FL133)/($CU133),""),"")</f>
        <v/>
      </c>
      <c r="GB133" s="56">
        <f>IFERROR(IF(($CV133)&gt;0,($FM133)/($CV133),""),"")</f>
        <v/>
      </c>
      <c r="GC133" s="56">
        <f>IFERROR(IF(($CW133)&gt;0,($FN133)/($CW133),""),"")</f>
        <v/>
      </c>
      <c r="GD133" s="56">
        <f>IFERROR(IF(($CU133)&gt;0,($FO133)/($CU133),""),"")</f>
        <v/>
      </c>
      <c r="GE133" s="56">
        <f>IFERROR(IF(($CV133)&gt;0,($FP133)/($CV133),""),"")</f>
        <v/>
      </c>
      <c r="GF133" s="56">
        <f>IFERROR(IF(($CW133)&gt;0,($FQ133)/($CW133),""),"")</f>
        <v/>
      </c>
      <c r="GG133" s="79">
        <f>IFERROR(IF(($CU133)&gt;0,($FR133)/($CU133),""),"")</f>
        <v/>
      </c>
      <c r="GH133" s="79">
        <f>IFERROR(IF(($CV133)&gt;0,($FS133)/($CV133),""),"")</f>
        <v/>
      </c>
      <c r="GI133" s="79">
        <f>IFERROR(IF(($CW133)&gt;0,($FT133)/($CW133),""),"")</f>
        <v/>
      </c>
      <c r="GJ133" s="56">
        <f>IFERROR(IF(($CU133)&gt;0,($FU133)/($CU133),""),"")</f>
        <v/>
      </c>
      <c r="GK133" s="56">
        <f>IFERROR(IF(($CV133)&gt;0,($FV133)/($CV133),""),"")</f>
        <v/>
      </c>
      <c r="GL133" s="56">
        <f>IFERROR(IF(($CW133)&gt;0,($FW133)/($CW133),""),"")</f>
        <v/>
      </c>
      <c r="GM133" s="55">
        <f>IF(SUMIFS(tblPlant[GIC_oz],tblPlant[Date],$A133)&gt;0,SUMIFS(tblPlant[GIC_oz],tblPlant[Date],$A133),"")</f>
        <v/>
      </c>
      <c r="GN133" s="55">
        <f>SUMIFS(tblGold[Gold_oz],tblGold[Date],$A133,tblGold[Type],"Shipment")</f>
        <v/>
      </c>
      <c r="GO133" s="55">
        <f>IF($B133=$B132,$GO132,0)+$GN133</f>
        <v/>
      </c>
      <c r="GP133" s="55">
        <f>$GP132+$GN133</f>
        <v/>
      </c>
      <c r="GQ133" s="55">
        <f>SUMIFS(tblGold[Gold_oz],tblGold[Date],$A133,tblGold[Type],"Sale")</f>
        <v/>
      </c>
      <c r="GR133" s="55">
        <f>IF($B133=$B132,$GR132,0)+$GQ133</f>
        <v/>
      </c>
      <c r="GS133" s="55">
        <f>$GS132+$GQ133</f>
        <v/>
      </c>
      <c r="GT133" s="55">
        <f>SUMIFS(tblGold[Dore_kg],tblGold[Date],$A133,tblGold[Type],"Shipment")</f>
        <v/>
      </c>
      <c r="GU133" s="55">
        <f>IF($B133=$B132,$GU132,0)+$GT133</f>
        <v/>
      </c>
      <c r="GV133" s="55">
        <f>$GV132+$GT133</f>
        <v/>
      </c>
      <c r="GW133" s="57">
        <f>SUMIFS(tblSafety[Hours_Total],tblSafety[Date],$A133)</f>
        <v/>
      </c>
      <c r="GX133" s="57">
        <f>IF($B133=$B132,$GX132,0)+$GW133</f>
        <v/>
      </c>
      <c r="GY133" s="57">
        <f>$GY132+$GW133</f>
        <v/>
      </c>
      <c r="GZ133" s="62">
        <f>SUMIFS(tblSafety[Fatality],tblSafety[Date],$A133)</f>
        <v/>
      </c>
      <c r="HA133" s="62">
        <f>IF($B133=$B132,$HA132,0)+$GZ133</f>
        <v/>
      </c>
      <c r="HB133" s="62">
        <f>$HB132+$GZ133</f>
        <v/>
      </c>
      <c r="HC133" s="62">
        <f>SUMIFS(tblSafety[LTI],tblSafety[Date],$A133)</f>
        <v/>
      </c>
      <c r="HD133" s="62">
        <f>IF($B133=$B132,$HD132,0)+$HC133</f>
        <v/>
      </c>
      <c r="HE133" s="62">
        <f>$HE132+$HC133</f>
        <v/>
      </c>
      <c r="HF133" s="62">
        <f>SUMIFS(tblSafety[RWI],tblSafety[Date],$A133)</f>
        <v/>
      </c>
      <c r="HG133" s="62">
        <f>IF($B133=$B132,$HG132,0)+$HF133</f>
        <v/>
      </c>
      <c r="HH133" s="62">
        <f>$HH132+$HF133</f>
        <v/>
      </c>
      <c r="HI133" s="62">
        <f>SUMIFS(tblSafety[MTI],tblSafety[Date],$A133)</f>
        <v/>
      </c>
      <c r="HJ133" s="62">
        <f>IF($B133=$B132,$HJ132,0)+$HI133</f>
        <v/>
      </c>
      <c r="HK133" s="62">
        <f>$HK132+$HI133</f>
        <v/>
      </c>
      <c r="HL133" s="62">
        <f>SUMIFS(tblSafety[FAI],tblSafety[Date],$A133)</f>
        <v/>
      </c>
      <c r="HM133" s="62">
        <f>IF($B133=$B132,$HM132,0)+$HL133</f>
        <v/>
      </c>
      <c r="HN133" s="62">
        <f>$HN132+$HL133</f>
        <v/>
      </c>
      <c r="HO133" s="62">
        <f>SUMIFS(tblSafety[Recordables],tblSafety[Date],$A133)</f>
        <v/>
      </c>
      <c r="HP133" s="62">
        <f>IF($B133=$B132,$HP132,0)+$HO133</f>
        <v/>
      </c>
      <c r="HQ133" s="62">
        <f>$HQ132+$HO133</f>
        <v/>
      </c>
      <c r="HR133" s="62">
        <f>SUMIFS(tblSafety[Near_Miss],tblSafety[Date],$A133)</f>
        <v/>
      </c>
      <c r="HS133" s="62">
        <f>IF($B133=$B132,$HS132,0)+$HR133</f>
        <v/>
      </c>
      <c r="HT133" s="62">
        <f>$HT132+$HR133</f>
        <v/>
      </c>
      <c r="HU133" s="62">
        <f>SUMIFS(tblSafety[Hazard_Reports],tblSafety[Date],$A133)</f>
        <v/>
      </c>
      <c r="HV133" s="62">
        <f>IF($B133=$B132,$HV132,0)+$HU133</f>
        <v/>
      </c>
      <c r="HW133" s="62">
        <f>$HW132+$HU133</f>
        <v/>
      </c>
      <c r="HX133" s="62">
        <f>SUMIFS(tblSafety[HPI],tblSafety[Date],$A133)</f>
        <v/>
      </c>
      <c r="HY133" s="62">
        <f>IF($B133=$B132,$HY132,0)+$HX133</f>
        <v/>
      </c>
      <c r="HZ133" s="62">
        <f>$HZ132+$HX133</f>
        <v/>
      </c>
      <c r="IA133" s="62">
        <f>SUMIFS(tblSafety[Env_Incidents],tblSafety[Date],$A133)</f>
        <v/>
      </c>
      <c r="IB133" s="62">
        <f>IF($B133=$B132,$IB132,0)+$IA133</f>
        <v/>
      </c>
      <c r="IC133" s="62">
        <f>$IC132+$IA133</f>
        <v/>
      </c>
      <c r="ID133" s="62">
        <f>SUMIFS(tblSafety[Community_Incidents],tblSafety[Date],$A133)</f>
        <v/>
      </c>
      <c r="IE133" s="62">
        <f>IF($B133=$B132,$IE132,0)+$ID133</f>
        <v/>
      </c>
      <c r="IF133" s="62">
        <f>$IF132+$ID133</f>
        <v/>
      </c>
      <c r="IG133" s="62">
        <f>SUMIFS(tblSafety[Vehicle_Incidents],tblSafety[Date],$A133)</f>
        <v/>
      </c>
      <c r="IH133" s="62">
        <f>IF($B133=$B132,$IH132,0)+$IG133</f>
        <v/>
      </c>
      <c r="II133" s="62">
        <f>$II132+$IG133</f>
        <v/>
      </c>
      <c r="IJ133" s="62">
        <f>SUMIFS(tblSafety[Toolbox_Talks],tblSafety[Date],$A133)</f>
        <v/>
      </c>
      <c r="IK133" s="62">
        <f>IF($B133=$B132,$IK132,0)+$IJ133</f>
        <v/>
      </c>
      <c r="IL133" s="62">
        <f>$IL132+$IJ133</f>
        <v/>
      </c>
      <c r="IM133" s="62">
        <f>SUMIFS(tblSafety[Inspections],tblSafety[Date],$A133)</f>
        <v/>
      </c>
      <c r="IN133" s="62">
        <f>IF($B133=$B132,$IN132,0)+$IM133</f>
        <v/>
      </c>
      <c r="IO133" s="62">
        <f>$IO132+$IM133</f>
        <v/>
      </c>
      <c r="IP133" s="56">
        <f>IFERROR((SUMIFS(tblSafety[Recordables],tblSafety[Date],"&gt;="&amp;EDATE($E133,-12),tblSafety[Date],"&lt;="&amp;$A133)+SUMIFS(tblSafetyHistory[Recordables],tblSafetyHistory[Month],"&gt;="&amp;EDATE($E133,-12),tblSafetyHistory[Month],"&lt;"&amp;$E133,tblSafetyHistory[Use],1))/(SUMIFS(tblSafety[Hours_Total],tblSafety[Date],"&gt;="&amp;EDATE($E133,-12),tblSafety[Date],"&lt;="&amp;$A133)+SUMIFS(tblSafetyHistory[Hours_Total],tblSafetyHistory[Month],"&gt;="&amp;EDATE($E133,-12),tblSafetyHistory[Month],"&lt;"&amp;$E133,tblSafetyHistory[Use],1))*cfg_RateBasisHours,"")</f>
        <v/>
      </c>
      <c r="IQ133" s="56">
        <f>IFERROR((SUMIFS(tblSafety[LTI],tblSafety[Date],"&gt;="&amp;EDATE($E133,-12),tblSafety[Date],"&lt;="&amp;$A133)+SUMIFS(tblSafetyHistory[LTI],tblSafetyHistory[Month],"&gt;="&amp;EDATE($E133,-12),tblSafetyHistory[Month],"&lt;"&amp;$E133,tblSafetyHistory[Use],1))/(SUMIFS(tblSafety[Hours_Total],tblSafety[Date],"&gt;="&amp;EDATE($E133,-12),tblSafety[Date],"&lt;="&amp;$A133)+SUMIFS(tblSafetyHistory[Hours_Total],tblSafetyHistory[Month],"&gt;="&amp;EDATE($E133,-12),tblSafetyHistory[Month],"&lt;"&amp;$E133,tblSafetyHistory[Use],1))*cfg_RateBasisHours,"")</f>
        <v/>
      </c>
      <c r="IR133" s="62">
        <f>IF(MAX(N(cfg_PriorLTIDate),_xlfn.MAXIFS(tblSafety[Date],tblSafety[LTI],"&gt;0",tblSafety[Date],"&lt;="&amp;$A133))=0,"",$A133-MAX(N(cfg_PriorLTIDate),_xlfn.MAXIFS(tblSafety[Date],tblSafety[LTI],"&gt;0",tblSafety[Date],"&lt;="&amp;$A133)))</f>
        <v/>
      </c>
      <c r="IS133" s="55">
        <f>SUMIFS(tblBudget[Ore_Mined_t],tblBudget[Month],$E133)</f>
        <v/>
      </c>
      <c r="IT133" s="55">
        <f>$IS133*$C133/$D133</f>
        <v/>
      </c>
      <c r="IU133" s="55">
        <f>SUMIFS(tblBudget[Ore_Mined_t],tblBudget[Month],"&lt;"&amp;$E133)+$IT133</f>
        <v/>
      </c>
      <c r="IV133" s="55">
        <f>SUMIFS(tblBudget[Ore_oz],tblBudget[Month],$E133)</f>
        <v/>
      </c>
      <c r="IW133" s="55">
        <f>$IV133*$C133/$D133</f>
        <v/>
      </c>
      <c r="IX133" s="55">
        <f>SUMIFS(tblBudget[Ore_oz],tblBudget[Month],"&lt;"&amp;$E133)+$IW133</f>
        <v/>
      </c>
      <c r="IY133" s="55">
        <f>SUMIFS(tblBudget[Ore_Mined_t],tblBudget[Month],$E133)</f>
        <v/>
      </c>
      <c r="IZ133" s="55">
        <f>$IY133*$C133/$D133</f>
        <v/>
      </c>
      <c r="JA133" s="55">
        <f>SUMIFS(tblBudget[Ore_Mined_t],tblBudget[Month],"&lt;"&amp;$E133)+$IZ133</f>
        <v/>
      </c>
      <c r="JB133" s="56">
        <f>IFERROR(IF(($IY133)&gt;0,($IV133*cfg_TroyOz)/($IY133),""),"")</f>
        <v/>
      </c>
      <c r="JC133" s="56">
        <f>IFERROR(IF(($IZ133)&gt;0,($IW133*cfg_TroyOz)/($IZ133),""),"")</f>
        <v/>
      </c>
      <c r="JD133" s="56">
        <f>IFERROR(IF(($JA133)&gt;0,($IX133*cfg_TroyOz)/($JA133),""),"")</f>
        <v/>
      </c>
      <c r="JE133" s="55">
        <f>SUMIFS(tblBudget[Waste_t],tblBudget[Month],$E133)</f>
        <v/>
      </c>
      <c r="JF133" s="55">
        <f>$JE133*$C133/$D133</f>
        <v/>
      </c>
      <c r="JG133" s="55">
        <f>SUMIFS(tblBudget[Waste_t],tblBudget[Month],"&lt;"&amp;$E133)+$JF133</f>
        <v/>
      </c>
      <c r="JH133" s="55">
        <f>SUMIFS(tblBudget[TMM_t],tblBudget[Month],$E133)</f>
        <v/>
      </c>
      <c r="JI133" s="55">
        <f>$JH133*$C133/$D133</f>
        <v/>
      </c>
      <c r="JJ133" s="55">
        <f>SUMIFS(tblBudget[TMM_t],tblBudget[Month],"&lt;"&amp;$E133)+$JI133</f>
        <v/>
      </c>
      <c r="JK133" s="56">
        <f>IFERROR(IF(($IS133)&gt;0,($JE133)/($IS133),""),"")</f>
        <v/>
      </c>
      <c r="JL133" s="56">
        <f>IFERROR(IF(($IT133)&gt;0,($JF133)/($IT133),""),"")</f>
        <v/>
      </c>
      <c r="JM133" s="56">
        <f>IFERROR(IF(($IU133)&gt;0,($JG133)/($IU133),""),"")</f>
        <v/>
      </c>
      <c r="JN133" s="55">
        <f>SUMIFS(tblBudget[Drill_m],tblBudget[Month],$E133)</f>
        <v/>
      </c>
      <c r="JO133" s="55">
        <f>$JN133*$C133/$D133</f>
        <v/>
      </c>
      <c r="JP133" s="55">
        <f>SUMIFS(tblBudget[Drill_m],tblBudget[Month],"&lt;"&amp;$E133)+$JO133</f>
        <v/>
      </c>
      <c r="JQ133" s="55">
        <f>SUMIFS(tblBudget[Diesel_L],tblBudget[Month],$E133)</f>
        <v/>
      </c>
      <c r="JR133" s="55">
        <f>$JQ133*$C133/$D133</f>
        <v/>
      </c>
      <c r="JS133" s="55">
        <f>SUMIFS(tblBudget[Diesel_L],tblBudget[Month],"&lt;"&amp;$E133)+$JR133</f>
        <v/>
      </c>
      <c r="JT133" s="55">
        <f>SUMIFS(tblBudget[Milled_t],tblBudget[Month],$E133)</f>
        <v/>
      </c>
      <c r="JU133" s="55">
        <f>$JT133*$C133/$D133</f>
        <v/>
      </c>
      <c r="JV133" s="55">
        <f>SUMIFS(tblBudget[Milled_t],tblBudget[Month],"&lt;"&amp;$E133)+$JU133</f>
        <v/>
      </c>
      <c r="JW133" s="55">
        <f>SUMIFS(tblBudget[Feed_oz],tblBudget[Month],$E133)</f>
        <v/>
      </c>
      <c r="JX133" s="55">
        <f>$JW133*$C133/$D133</f>
        <v/>
      </c>
      <c r="JY133" s="55">
        <f>SUMIFS(tblBudget[Feed_oz],tblBudget[Month],"&lt;"&amp;$E133)+$JX133</f>
        <v/>
      </c>
      <c r="JZ133" s="55">
        <f>SUMIFS(tblBudget[Recovered_oz],tblBudget[Month],$E133)</f>
        <v/>
      </c>
      <c r="KA133" s="55">
        <f>$JZ133*$C133/$D133</f>
        <v/>
      </c>
      <c r="KB133" s="55">
        <f>SUMIFS(tblBudget[Recovered_oz],tblBudget[Month],"&lt;"&amp;$E133)+$KA133</f>
        <v/>
      </c>
      <c r="KC133" s="55">
        <f>SUMIFS(tblBudget[Milled_t],tblBudget[Month],$E133)</f>
        <v/>
      </c>
      <c r="KD133" s="55">
        <f>$KC133*$C133/$D133</f>
        <v/>
      </c>
      <c r="KE133" s="55">
        <f>SUMIFS(tblBudget[Milled_t],tblBudget[Month],"&lt;"&amp;$E133)+$KD133</f>
        <v/>
      </c>
      <c r="KF133" s="55">
        <f>SUMIFS(tblBudget[Feed_oz],tblBudget[Month],$E133)</f>
        <v/>
      </c>
      <c r="KG133" s="55">
        <f>$KF133*$C133/$D133</f>
        <v/>
      </c>
      <c r="KH133" s="55">
        <f>SUMIFS(tblBudget[Feed_oz],tblBudget[Month],"&lt;"&amp;$E133)+$KG133</f>
        <v/>
      </c>
      <c r="KI133" s="56">
        <f>IFERROR(IF(($KC133)&gt;0,($JW133*cfg_TroyOz)/($KC133),""),"")</f>
        <v/>
      </c>
      <c r="KJ133" s="56">
        <f>IFERROR(IF(($KD133)&gt;0,($JX133*cfg_TroyOz)/($KD133),""),"")</f>
        <v/>
      </c>
      <c r="KK133" s="56">
        <f>IFERROR(IF(($KE133)&gt;0,($JY133*cfg_TroyOz)/($KE133),""),"")</f>
        <v/>
      </c>
      <c r="KL133" s="67">
        <f>IFERROR(IF(($KF133)&gt;0,($JZ133)/($KF133),""),"")</f>
        <v/>
      </c>
      <c r="KM133" s="67">
        <f>IFERROR(IF(($KG133)&gt;0,($KA133)/($KG133),""),"")</f>
        <v/>
      </c>
      <c r="KN133" s="67">
        <f>IFERROR(IF(($KH133)&gt;0,($KB133)/($KH133),""),"")</f>
        <v/>
      </c>
      <c r="KO133" s="55">
        <f>SUMIFS(tblBudget[Gold_Poured_oz],tblBudget[Month],$E133)</f>
        <v/>
      </c>
      <c r="KP133" s="55">
        <f>$KO133*$C133/$D133</f>
        <v/>
      </c>
      <c r="KQ133" s="55">
        <f>SUMIFS(tblBudget[Gold_Poured_oz],tblBudget[Month],"&lt;"&amp;$E133)+$KP133</f>
        <v/>
      </c>
      <c r="KR133" s="57">
        <f>SUMIFS(tblBudget[Hours_Worked],tblBudget[Month],$E133)</f>
        <v/>
      </c>
      <c r="KS133" s="57">
        <f>$KR133*$C133/$D133</f>
        <v/>
      </c>
      <c r="KT133" s="57">
        <f>SUMIFS(tblBudget[Hours_Worked],tblBudget[Month],"&lt;"&amp;$E133)+$KS133</f>
        <v/>
      </c>
    </row>
    <row r="134">
      <c r="A134" s="54" t="n">
        <v>46155</v>
      </c>
      <c r="B134">
        <f>MONTH($A134)</f>
        <v/>
      </c>
      <c r="C134">
        <f>DAY($A134)</f>
        <v/>
      </c>
      <c r="D134">
        <f>DAY(EOMONTH($A134,0))</f>
        <v/>
      </c>
      <c r="E134" s="54">
        <f>DATE(YEAR($A134),MONTH($A134),1)</f>
        <v/>
      </c>
      <c r="F134" s="55">
        <f>SUMIFS(tblMovement[Tonnes_t],tblMovement[Date],$A134,tblMovement[Is_Ore],1,tblMovement[Source_Type],"Pit")</f>
        <v/>
      </c>
      <c r="G134" s="55">
        <f>IF($B134=$B133,$G133,0)+$F134</f>
        <v/>
      </c>
      <c r="H134" s="55">
        <f>$H133+$F134</f>
        <v/>
      </c>
      <c r="I134" s="55">
        <f>SUMIFS(tblMovement[Ore_oz],tblMovement[Date],$A134,tblMovement[Source_Type],"Pit")</f>
        <v/>
      </c>
      <c r="J134" s="55">
        <f>IF($B134=$B133,$J133,0)+$I134</f>
        <v/>
      </c>
      <c r="K134" s="55">
        <f>$K133+$I134</f>
        <v/>
      </c>
      <c r="L134" s="55">
        <f>SUMIFS(tblMovement[Tonnes_t],tblMovement[Date],$A134,tblMovement[Is_Ore],1,tblMovement[Source_Type],"Pit",tblMovement[Grade_gpt],"&lt;&gt;")</f>
        <v/>
      </c>
      <c r="M134" s="55">
        <f>IF($B134=$B133,$M133,0)+$L134</f>
        <v/>
      </c>
      <c r="N134" s="55">
        <f>$N133+$L134</f>
        <v/>
      </c>
      <c r="O134" s="56">
        <f>IFERROR(IF(($L134)&gt;0,($I134*cfg_TroyOz)/($L134),""),"")</f>
        <v/>
      </c>
      <c r="P134" s="56">
        <f>IFERROR(IF(($M134)&gt;0,($J134*cfg_TroyOz)/($M134),""),"")</f>
        <v/>
      </c>
      <c r="Q134" s="56">
        <f>IFERROR(IF(($N134)&gt;0,($K134*cfg_TroyOz)/($N134),""),"")</f>
        <v/>
      </c>
      <c r="R134" s="55">
        <f>$F134-$L134</f>
        <v/>
      </c>
      <c r="S134" s="55">
        <f>IF($B134=$B133,$S133,0)+$R134</f>
        <v/>
      </c>
      <c r="T134" s="55">
        <f>$T133+$R134</f>
        <v/>
      </c>
      <c r="U134" s="55">
        <f>SUMIFS(tblMovement[Tonnes_t],tblMovement[Date],$A134,tblMovement[Is_Ore],0,tblMovement[Source_Type],"Pit")</f>
        <v/>
      </c>
      <c r="V134" s="55">
        <f>IF($B134=$B133,$V133,0)+$U134</f>
        <v/>
      </c>
      <c r="W134" s="55">
        <f>$W133+$U134</f>
        <v/>
      </c>
      <c r="X134" s="55">
        <f>$F134+$U134</f>
        <v/>
      </c>
      <c r="Y134" s="55">
        <f>IF($B134=$B133,$Y133,0)+$X134</f>
        <v/>
      </c>
      <c r="Z134" s="55">
        <f>$Z133+$X134</f>
        <v/>
      </c>
      <c r="AA134" s="56">
        <f>IFERROR(IF(($F134)&gt;0,($U134)/($F134),""),"")</f>
        <v/>
      </c>
      <c r="AB134" s="56">
        <f>IFERROR(IF(($G134)&gt;0,($V134)/($G134),""),"")</f>
        <v/>
      </c>
      <c r="AC134" s="56">
        <f>IFERROR(IF(($H134)&gt;0,($W134)/($H134),""),"")</f>
        <v/>
      </c>
      <c r="AD134" s="55">
        <f>SUMIFS(tblMovement[Tonnes_t],tblMovement[Date],$A134,tblMovement[Source_Type],"Stockpile")</f>
        <v/>
      </c>
      <c r="AE134" s="55">
        <f>IF($B134=$B133,$AE133,0)+$AD134</f>
        <v/>
      </c>
      <c r="AF134" s="55">
        <f>$AF133+$AD134</f>
        <v/>
      </c>
      <c r="AG134" s="55">
        <f>SUMIFS(tblMovement[Tonnes_t],tblMovement[Date],$A134)</f>
        <v/>
      </c>
      <c r="AH134" s="55">
        <f>IF($B134=$B133,$AH133,0)+$AG134</f>
        <v/>
      </c>
      <c r="AI134" s="55">
        <f>$AI133+$AG134</f>
        <v/>
      </c>
      <c r="AJ134" s="55">
        <f>$AG134-$X134-$AD134</f>
        <v/>
      </c>
      <c r="AK134" s="55">
        <f>IF($B134=$B133,$AK133,0)+$AJ134</f>
        <v/>
      </c>
      <c r="AL134" s="55">
        <f>$AL133+$AJ134</f>
        <v/>
      </c>
      <c r="AM134" s="55">
        <f>SUMIFS(tblMiningDaily[Drill_m],tblMiningDaily[Date],$A134)</f>
        <v/>
      </c>
      <c r="AN134" s="55">
        <f>IF($B134=$B133,$AN133,0)+$AM134</f>
        <v/>
      </c>
      <c r="AO134" s="55">
        <f>$AO133+$AM134</f>
        <v/>
      </c>
      <c r="AP134" s="55">
        <f>SUMIFS(tblMiningDaily[GC_Drill_m],tblMiningDaily[Date],$A134)</f>
        <v/>
      </c>
      <c r="AQ134" s="55">
        <f>IF($B134=$B133,$AQ133,0)+$AP134</f>
        <v/>
      </c>
      <c r="AR134" s="55">
        <f>$AR133+$AP134</f>
        <v/>
      </c>
      <c r="AS134" s="55">
        <f>SUMIFS(tblMiningDaily[Blast_t],tblMiningDaily[Date],$A134)</f>
        <v/>
      </c>
      <c r="AT134" s="55">
        <f>IF($B134=$B133,$AT133,0)+$AS134</f>
        <v/>
      </c>
      <c r="AU134" s="55">
        <f>$AU133+$AS134</f>
        <v/>
      </c>
      <c r="AV134" s="55">
        <f>SUMIFS(tblMiningDaily[Explosives_kg],tblMiningDaily[Date],$A134)</f>
        <v/>
      </c>
      <c r="AW134" s="55">
        <f>IF($B134=$B133,$AW133,0)+$AV134</f>
        <v/>
      </c>
      <c r="AX134" s="55">
        <f>$AX133+$AV134</f>
        <v/>
      </c>
      <c r="AY134" s="56">
        <f>IFERROR(IF(($AS134)&gt;0,($AV134)/($AS134),""),"")</f>
        <v/>
      </c>
      <c r="AZ134" s="56">
        <f>IFERROR(IF(($AT134)&gt;0,($AW134)/($AT134),""),"")</f>
        <v/>
      </c>
      <c r="BA134" s="56">
        <f>IFERROR(IF(($AU134)&gt;0,($AX134)/($AU134),""),"")</f>
        <v/>
      </c>
      <c r="BB134" s="55">
        <f>SUMIFS(tblMiningDaily[Diesel_L],tblMiningDaily[Date],$A134)</f>
        <v/>
      </c>
      <c r="BC134" s="55">
        <f>IF($B134=$B133,$BC133,0)+$BB134</f>
        <v/>
      </c>
      <c r="BD134" s="55">
        <f>$BD133+$BB134</f>
        <v/>
      </c>
      <c r="BE134" s="55">
        <f>SUMIFS(tblMiningDaily[Dewatering_m3],tblMiningDaily[Date],$A134)</f>
        <v/>
      </c>
      <c r="BF134" s="55">
        <f>IF($B134=$B133,$BF133,0)+$BE134</f>
        <v/>
      </c>
      <c r="BG134" s="55">
        <f>$BG133+$BE134</f>
        <v/>
      </c>
      <c r="BH134" s="57">
        <f>SUMIFS(tblFleet[Calendar_h],tblFleet[Date],$A134,tblFleet[Equipment_Class],"Excavator")</f>
        <v/>
      </c>
      <c r="BI134" s="57">
        <f>IF($B134=$B133,$BI133,0)+$BH134</f>
        <v/>
      </c>
      <c r="BJ134" s="57">
        <f>$BJ133+$BH134</f>
        <v/>
      </c>
      <c r="BK134" s="57">
        <f>SUMIFS(tblFleet[Available_h],tblFleet[Date],$A134,tblFleet[Equipment_Class],"Excavator")</f>
        <v/>
      </c>
      <c r="BL134" s="57">
        <f>IF($B134=$B133,$BL133,0)+$BK134</f>
        <v/>
      </c>
      <c r="BM134" s="57">
        <f>$BM133+$BK134</f>
        <v/>
      </c>
      <c r="BN134" s="57">
        <f>SUMIFS(tblFleet[Operating_h],tblFleet[Date],$A134,tblFleet[Equipment_Class],"Excavator")</f>
        <v/>
      </c>
      <c r="BO134" s="57">
        <f>IF($B134=$B133,$BO133,0)+$BN134</f>
        <v/>
      </c>
      <c r="BP134" s="57">
        <f>$BP133+$BN134</f>
        <v/>
      </c>
      <c r="BQ134" s="67">
        <f>IFERROR(IF(($BH134)&gt;0,($BK134)/($BH134),""),"")</f>
        <v/>
      </c>
      <c r="BR134" s="67">
        <f>IFERROR(IF(($BI134)&gt;0,($BL134)/($BI134),""),"")</f>
        <v/>
      </c>
      <c r="BS134" s="67">
        <f>IFERROR(IF(($BJ134)&gt;0,($BM134)/($BJ134),""),"")</f>
        <v/>
      </c>
      <c r="BT134" s="67">
        <f>IFERROR(IF(($BK134)&gt;0,($BN134)/($BK134),""),"")</f>
        <v/>
      </c>
      <c r="BU134" s="67">
        <f>IFERROR(IF(($BL134)&gt;0,($BO134)/($BL134),""),"")</f>
        <v/>
      </c>
      <c r="BV134" s="67">
        <f>IFERROR(IF(($BM134)&gt;0,($BP134)/($BM134),""),"")</f>
        <v/>
      </c>
      <c r="BW134" s="57">
        <f>SUMIFS(tblFleet[Calendar_h],tblFleet[Date],$A134,tblFleet[Equipment_Class],"Haul Truck")</f>
        <v/>
      </c>
      <c r="BX134" s="57">
        <f>IF($B134=$B133,$BX133,0)+$BW134</f>
        <v/>
      </c>
      <c r="BY134" s="57">
        <f>$BY133+$BW134</f>
        <v/>
      </c>
      <c r="BZ134" s="57">
        <f>SUMIFS(tblFleet[Available_h],tblFleet[Date],$A134,tblFleet[Equipment_Class],"Haul Truck")</f>
        <v/>
      </c>
      <c r="CA134" s="57">
        <f>IF($B134=$B133,$CA133,0)+$BZ134</f>
        <v/>
      </c>
      <c r="CB134" s="57">
        <f>$CB133+$BZ134</f>
        <v/>
      </c>
      <c r="CC134" s="57">
        <f>SUMIFS(tblFleet[Operating_h],tblFleet[Date],$A134,tblFleet[Equipment_Class],"Haul Truck")</f>
        <v/>
      </c>
      <c r="CD134" s="57">
        <f>IF($B134=$B133,$CD133,0)+$CC134</f>
        <v/>
      </c>
      <c r="CE134" s="57">
        <f>$CE133+$CC134</f>
        <v/>
      </c>
      <c r="CF134" s="67">
        <f>IFERROR(IF(($BW134)&gt;0,($BZ134)/($BW134),""),"")</f>
        <v/>
      </c>
      <c r="CG134" s="67">
        <f>IFERROR(IF(($BX134)&gt;0,($CA134)/($BX134),""),"")</f>
        <v/>
      </c>
      <c r="CH134" s="67">
        <f>IFERROR(IF(($BY134)&gt;0,($CB134)/($BY134),""),"")</f>
        <v/>
      </c>
      <c r="CI134" s="67">
        <f>IFERROR(IF(($BZ134)&gt;0,($CC134)/($BZ134),""),"")</f>
        <v/>
      </c>
      <c r="CJ134" s="67">
        <f>IFERROR(IF(($CA134)&gt;0,($CD134)/($CA134),""),"")</f>
        <v/>
      </c>
      <c r="CK134" s="67">
        <f>IFERROR(IF(($CB134)&gt;0,($CE134)/($CB134),""),"")</f>
        <v/>
      </c>
      <c r="CL134" s="55">
        <f>IFERROR(IF(($BN134)&gt;0,($X134+$AD134)/($BN134),""),"")</f>
        <v/>
      </c>
      <c r="CM134" s="55">
        <f>IFERROR(IF(($BO134)&gt;0,($Y134+$AE134)/($BO134),""),"")</f>
        <v/>
      </c>
      <c r="CN134" s="55">
        <f>IFERROR(IF(($BP134)&gt;0,($Z134+$AF134)/($BP134),""),"")</f>
        <v/>
      </c>
      <c r="CO134" s="55">
        <f>IFERROR(IF(($CC134)&gt;0,($X134+$AD134)/($CC134),""),"")</f>
        <v/>
      </c>
      <c r="CP134" s="55">
        <f>IFERROR(IF(($CD134)&gt;0,($Y134+$AE134)/($CD134),""),"")</f>
        <v/>
      </c>
      <c r="CQ134" s="55">
        <f>IFERROR(IF(($CE134)&gt;0,($Z134+$AF134)/($CE134),""),"")</f>
        <v/>
      </c>
      <c r="CR134" s="55">
        <f>SUMIFS(tblPlant[Crushed_t],tblPlant[Date],$A134)</f>
        <v/>
      </c>
      <c r="CS134" s="55">
        <f>IF($B134=$B133,$CS133,0)+$CR134</f>
        <v/>
      </c>
      <c r="CT134" s="55">
        <f>$CT133+$CR134</f>
        <v/>
      </c>
      <c r="CU134" s="55">
        <f>SUMIFS(tblPlant[Milled_t],tblPlant[Date],$A134)</f>
        <v/>
      </c>
      <c r="CV134" s="55">
        <f>IF($B134=$B133,$CV133,0)+$CU134</f>
        <v/>
      </c>
      <c r="CW134" s="55">
        <f>$CW133+$CU134</f>
        <v/>
      </c>
      <c r="CX134" s="55">
        <f>SUMIFS(tblPlant[Feed_oz],tblPlant[Date],$A134)</f>
        <v/>
      </c>
      <c r="CY134" s="55">
        <f>IF($B134=$B133,$CY133,0)+$CX134</f>
        <v/>
      </c>
      <c r="CZ134" s="55">
        <f>$CZ133+$CX134</f>
        <v/>
      </c>
      <c r="DA134" s="55">
        <f>SUMIFS(tblPlant[Tails_oz],tblPlant[Date],$A134)</f>
        <v/>
      </c>
      <c r="DB134" s="55">
        <f>IF($B134=$B133,$DB133,0)+$DA134</f>
        <v/>
      </c>
      <c r="DC134" s="55">
        <f>$DC133+$DA134</f>
        <v/>
      </c>
      <c r="DD134" s="55">
        <f>SUMIFS(tblPlant[Recovered_oz],tblPlant[Date],$A134)</f>
        <v/>
      </c>
      <c r="DE134" s="55">
        <f>IF($B134=$B133,$DE133,0)+$DD134</f>
        <v/>
      </c>
      <c r="DF134" s="55">
        <f>$DF133+$DD134</f>
        <v/>
      </c>
      <c r="DG134" s="55">
        <f>SUMIFS(tblPlant[Milled_t],tblPlant[Date],$A134,tblPlant[Head_Grade_gpt],"&lt;&gt;")</f>
        <v/>
      </c>
      <c r="DH134" s="55">
        <f>IF($B134=$B133,$DH133,0)+$DG134</f>
        <v/>
      </c>
      <c r="DI134" s="55">
        <f>$DI133+$DG134</f>
        <v/>
      </c>
      <c r="DJ134" s="55">
        <f>SUMIFS(tblPlant[Milled_t],tblPlant[Date],$A134,tblPlant[Tails_Grade_gpt],"&lt;&gt;")</f>
        <v/>
      </c>
      <c r="DK134" s="55">
        <f>IF($B134=$B133,$DK133,0)+$DJ134</f>
        <v/>
      </c>
      <c r="DL134" s="55">
        <f>$DL133+$DJ134</f>
        <v/>
      </c>
      <c r="DM134" s="55">
        <f>SUMIFS(tblPlant[Feed_oz],tblPlant[Date],$A134,tblPlant[Tails_Grade_gpt],"&lt;&gt;")</f>
        <v/>
      </c>
      <c r="DN134" s="55">
        <f>IF($B134=$B133,$DN133,0)+$DM134</f>
        <v/>
      </c>
      <c r="DO134" s="55">
        <f>$DO133+$DM134</f>
        <v/>
      </c>
      <c r="DP134" s="55">
        <f>SUMIFS(tblPlant[Milled_t],tblPlant[Date],$A134,tblPlant[Mill_Run_h],"&lt;&gt;")</f>
        <v/>
      </c>
      <c r="DQ134" s="55">
        <f>IF($B134=$B133,$DQ133,0)+$DP134</f>
        <v/>
      </c>
      <c r="DR134" s="55">
        <f>$DR133+$DP134</f>
        <v/>
      </c>
      <c r="DS134" s="56">
        <f>IFERROR(IF(($DG134)&gt;0,($CX134*cfg_TroyOz)/($DG134),""),"")</f>
        <v/>
      </c>
      <c r="DT134" s="56">
        <f>IFERROR(IF(($DH134)&gt;0,($CY134*cfg_TroyOz)/($DH134),""),"")</f>
        <v/>
      </c>
      <c r="DU134" s="56">
        <f>IFERROR(IF(($DI134)&gt;0,($CZ134*cfg_TroyOz)/($DI134),""),"")</f>
        <v/>
      </c>
      <c r="DV134" s="56">
        <f>IFERROR(IF(($DJ134)&gt;0,($DA134*cfg_TroyOz)/($DJ134),""),"")</f>
        <v/>
      </c>
      <c r="DW134" s="56">
        <f>IFERROR(IF(($DK134)&gt;0,($DB134*cfg_TroyOz)/($DK134),""),"")</f>
        <v/>
      </c>
      <c r="DX134" s="56">
        <f>IFERROR(IF(($DL134)&gt;0,($DC134*cfg_TroyOz)/($DL134),""),"")</f>
        <v/>
      </c>
      <c r="DY134" s="67">
        <f>IFERROR(IF(($DM134)&gt;0,($DD134)/($DM134),""),"")</f>
        <v/>
      </c>
      <c r="DZ134" s="67">
        <f>IFERROR(IF(($DN134)&gt;0,($DE134)/($DN134),""),"")</f>
        <v/>
      </c>
      <c r="EA134" s="67">
        <f>IFERROR(IF(($DO134)&gt;0,($DF134)/($DO134),""),"")</f>
        <v/>
      </c>
      <c r="EB134" s="55">
        <f>SUMIFS(tblPlant[Gravity_Gold_oz],tblPlant[Date],$A134)</f>
        <v/>
      </c>
      <c r="EC134" s="55">
        <f>IF($B134=$B133,$EC133,0)+$EB134</f>
        <v/>
      </c>
      <c r="ED134" s="55">
        <f>$ED133+$EB134</f>
        <v/>
      </c>
      <c r="EE134" s="67">
        <f>IFERROR(IF(($DD134)&gt;0,($EB134)/($DD134),""),"")</f>
        <v/>
      </c>
      <c r="EF134" s="67">
        <f>IFERROR(IF(($DE134)&gt;0,($EC134)/($DE134),""),"")</f>
        <v/>
      </c>
      <c r="EG134" s="67">
        <f>IFERROR(IF(($DF134)&gt;0,($ED134)/($DF134),""),"")</f>
        <v/>
      </c>
      <c r="EH134" s="55">
        <f>SUMIFS(tblPlant[Gold_Poured_oz],tblPlant[Date],$A134)</f>
        <v/>
      </c>
      <c r="EI134" s="55">
        <f>IF($B134=$B133,$EI133,0)+$EH134</f>
        <v/>
      </c>
      <c r="EJ134" s="55">
        <f>$EJ133+$EH134</f>
        <v/>
      </c>
      <c r="EK134" s="57">
        <f>SUMIFS(tblPlant[Mill_Run_h],tblPlant[Date],$A134)</f>
        <v/>
      </c>
      <c r="EL134" s="57">
        <f>IF($B134=$B133,$EL133,0)+$EK134</f>
        <v/>
      </c>
      <c r="EM134" s="57">
        <f>$EM133+$EK134</f>
        <v/>
      </c>
      <c r="EN134" s="57">
        <f>SUMIFS(tblPlant[Mill_Planned_Maint_h],tblPlant[Date],$A134)</f>
        <v/>
      </c>
      <c r="EO134" s="57">
        <f>IF($B134=$B133,$EO133,0)+$EN134</f>
        <v/>
      </c>
      <c r="EP134" s="57">
        <f>$EP133+$EN134</f>
        <v/>
      </c>
      <c r="EQ134" s="57">
        <f>SUMIFS(tblPlant[Mill_Unplanned_Down_h],tblPlant[Date],$A134)</f>
        <v/>
      </c>
      <c r="ER134" s="57">
        <f>IF($B134=$B133,$ER133,0)+$EQ134</f>
        <v/>
      </c>
      <c r="ES134" s="57">
        <f>$ES133+$EQ134</f>
        <v/>
      </c>
      <c r="ET134" s="57">
        <f>IF(COUNTIFS(tblPlant[Date],$A134,tblPlant[Mill_Run_h],"&lt;&gt;")+COUNTIFS(tblPlant[Date],$A134,tblPlant[Mill_Planned_Maint_h],"&lt;&gt;")+COUNTIFS(tblPlant[Date],$A134,tblPlant[Mill_Unplanned_Down_h],"&lt;&gt;")&gt;0,cfg_HoursPerDay,0)</f>
        <v/>
      </c>
      <c r="EU134" s="57">
        <f>IF($B134=$B133,$EU133,0)+$ET134</f>
        <v/>
      </c>
      <c r="EV134" s="57">
        <f>$EV133+$ET134</f>
        <v/>
      </c>
      <c r="EW134" s="57">
        <f>SUMIFS(tblPlant[Crusher_Run_h],tblPlant[Date],$A134)</f>
        <v/>
      </c>
      <c r="EX134" s="57">
        <f>IF($B134=$B133,$EX133,0)+$EW134</f>
        <v/>
      </c>
      <c r="EY134" s="57">
        <f>$EY133+$EW134</f>
        <v/>
      </c>
      <c r="EZ134" s="55">
        <f>IFERROR(IF(($EK134)&gt;0,($DP134)/($EK134),""),"")</f>
        <v/>
      </c>
      <c r="FA134" s="55">
        <f>IFERROR(IF(($EL134)&gt;0,($DQ134)/($EL134),""),"")</f>
        <v/>
      </c>
      <c r="FB134" s="55">
        <f>IFERROR(IF(($EM134)&gt;0,($DR134)/($EM134),""),"")</f>
        <v/>
      </c>
      <c r="FC134" s="67">
        <f>IFERROR(IF(($ET134)&gt;0,($ET134-$EN134-$EQ134)/($ET134),""),"")</f>
        <v/>
      </c>
      <c r="FD134" s="67">
        <f>IFERROR(IF(($EU134)&gt;0,($EU134-$EO134-$ER134)/($EU134),""),"")</f>
        <v/>
      </c>
      <c r="FE134" s="67">
        <f>IFERROR(IF(($EV134)&gt;0,($EV134-$EP134-$ES134)/($EV134),""),"")</f>
        <v/>
      </c>
      <c r="FF134" s="67">
        <f>IFERROR(IF(($ET134-$EN134-$EQ134)&gt;0,($EK134)/($ET134-$EN134-$EQ134),""),"")</f>
        <v/>
      </c>
      <c r="FG134" s="67">
        <f>IFERROR(IF(($EU134-$EO134-$ER134)&gt;0,($EL134)/($EU134-$EO134-$ER134),""),"")</f>
        <v/>
      </c>
      <c r="FH134" s="67">
        <f>IFERROR(IF(($EV134-$EP134-$ES134)&gt;0,($EM134)/($EV134-$EP134-$ES134),""),"")</f>
        <v/>
      </c>
      <c r="FI134" s="55">
        <f>SUMIFS(tblPlant[Cyanide_kg],tblPlant[Date],$A134)</f>
        <v/>
      </c>
      <c r="FJ134" s="55">
        <f>IF($B134=$B133,$FJ133,0)+$FI134</f>
        <v/>
      </c>
      <c r="FK134" s="55">
        <f>$FK133+$FI134</f>
        <v/>
      </c>
      <c r="FL134" s="55">
        <f>SUMIFS(tblPlant[Lime_kg],tblPlant[Date],$A134)</f>
        <v/>
      </c>
      <c r="FM134" s="55">
        <f>IF($B134=$B133,$FM133,0)+$FL134</f>
        <v/>
      </c>
      <c r="FN134" s="55">
        <f>$FN133+$FL134</f>
        <v/>
      </c>
      <c r="FO134" s="55">
        <f>SUMIFS(tblPlant[Grinding_Media_kg],tblPlant[Date],$A134)</f>
        <v/>
      </c>
      <c r="FP134" s="55">
        <f>IF($B134=$B133,$FP133,0)+$FO134</f>
        <v/>
      </c>
      <c r="FQ134" s="55">
        <f>$FQ133+$FO134</f>
        <v/>
      </c>
      <c r="FR134" s="55">
        <f>SUMIFS(tblPlant[Power_kWh],tblPlant[Date],$A134)</f>
        <v/>
      </c>
      <c r="FS134" s="55">
        <f>IF($B134=$B133,$FS133,0)+$FR134</f>
        <v/>
      </c>
      <c r="FT134" s="55">
        <f>$FT133+$FR134</f>
        <v/>
      </c>
      <c r="FU134" s="55">
        <f>SUMIFS(tblPlant[Raw_Water_m3],tblPlant[Date],$A134)</f>
        <v/>
      </c>
      <c r="FV134" s="55">
        <f>IF($B134=$B133,$FV133,0)+$FU134</f>
        <v/>
      </c>
      <c r="FW134" s="55">
        <f>$FW133+$FU134</f>
        <v/>
      </c>
      <c r="FX134" s="56">
        <f>IFERROR(IF(($CU134)&gt;0,($FI134)/($CU134),""),"")</f>
        <v/>
      </c>
      <c r="FY134" s="56">
        <f>IFERROR(IF(($CV134)&gt;0,($FJ134)/($CV134),""),"")</f>
        <v/>
      </c>
      <c r="FZ134" s="56">
        <f>IFERROR(IF(($CW134)&gt;0,($FK134)/($CW134),""),"")</f>
        <v/>
      </c>
      <c r="GA134" s="56">
        <f>IFERROR(IF(($CU134)&gt;0,($FL134)/($CU134),""),"")</f>
        <v/>
      </c>
      <c r="GB134" s="56">
        <f>IFERROR(IF(($CV134)&gt;0,($FM134)/($CV134),""),"")</f>
        <v/>
      </c>
      <c r="GC134" s="56">
        <f>IFERROR(IF(($CW134)&gt;0,($FN134)/($CW134),""),"")</f>
        <v/>
      </c>
      <c r="GD134" s="56">
        <f>IFERROR(IF(($CU134)&gt;0,($FO134)/($CU134),""),"")</f>
        <v/>
      </c>
      <c r="GE134" s="56">
        <f>IFERROR(IF(($CV134)&gt;0,($FP134)/($CV134),""),"")</f>
        <v/>
      </c>
      <c r="GF134" s="56">
        <f>IFERROR(IF(($CW134)&gt;0,($FQ134)/($CW134),""),"")</f>
        <v/>
      </c>
      <c r="GG134" s="79">
        <f>IFERROR(IF(($CU134)&gt;0,($FR134)/($CU134),""),"")</f>
        <v/>
      </c>
      <c r="GH134" s="79">
        <f>IFERROR(IF(($CV134)&gt;0,($FS134)/($CV134),""),"")</f>
        <v/>
      </c>
      <c r="GI134" s="79">
        <f>IFERROR(IF(($CW134)&gt;0,($FT134)/($CW134),""),"")</f>
        <v/>
      </c>
      <c r="GJ134" s="56">
        <f>IFERROR(IF(($CU134)&gt;0,($FU134)/($CU134),""),"")</f>
        <v/>
      </c>
      <c r="GK134" s="56">
        <f>IFERROR(IF(($CV134)&gt;0,($FV134)/($CV134),""),"")</f>
        <v/>
      </c>
      <c r="GL134" s="56">
        <f>IFERROR(IF(($CW134)&gt;0,($FW134)/($CW134),""),"")</f>
        <v/>
      </c>
      <c r="GM134" s="55">
        <f>IF(SUMIFS(tblPlant[GIC_oz],tblPlant[Date],$A134)&gt;0,SUMIFS(tblPlant[GIC_oz],tblPlant[Date],$A134),"")</f>
        <v/>
      </c>
      <c r="GN134" s="55">
        <f>SUMIFS(tblGold[Gold_oz],tblGold[Date],$A134,tblGold[Type],"Shipment")</f>
        <v/>
      </c>
      <c r="GO134" s="55">
        <f>IF($B134=$B133,$GO133,0)+$GN134</f>
        <v/>
      </c>
      <c r="GP134" s="55">
        <f>$GP133+$GN134</f>
        <v/>
      </c>
      <c r="GQ134" s="55">
        <f>SUMIFS(tblGold[Gold_oz],tblGold[Date],$A134,tblGold[Type],"Sale")</f>
        <v/>
      </c>
      <c r="GR134" s="55">
        <f>IF($B134=$B133,$GR133,0)+$GQ134</f>
        <v/>
      </c>
      <c r="GS134" s="55">
        <f>$GS133+$GQ134</f>
        <v/>
      </c>
      <c r="GT134" s="55">
        <f>SUMIFS(tblGold[Dore_kg],tblGold[Date],$A134,tblGold[Type],"Shipment")</f>
        <v/>
      </c>
      <c r="GU134" s="55">
        <f>IF($B134=$B133,$GU133,0)+$GT134</f>
        <v/>
      </c>
      <c r="GV134" s="55">
        <f>$GV133+$GT134</f>
        <v/>
      </c>
      <c r="GW134" s="57">
        <f>SUMIFS(tblSafety[Hours_Total],tblSafety[Date],$A134)</f>
        <v/>
      </c>
      <c r="GX134" s="57">
        <f>IF($B134=$B133,$GX133,0)+$GW134</f>
        <v/>
      </c>
      <c r="GY134" s="57">
        <f>$GY133+$GW134</f>
        <v/>
      </c>
      <c r="GZ134" s="62">
        <f>SUMIFS(tblSafety[Fatality],tblSafety[Date],$A134)</f>
        <v/>
      </c>
      <c r="HA134" s="62">
        <f>IF($B134=$B133,$HA133,0)+$GZ134</f>
        <v/>
      </c>
      <c r="HB134" s="62">
        <f>$HB133+$GZ134</f>
        <v/>
      </c>
      <c r="HC134" s="62">
        <f>SUMIFS(tblSafety[LTI],tblSafety[Date],$A134)</f>
        <v/>
      </c>
      <c r="HD134" s="62">
        <f>IF($B134=$B133,$HD133,0)+$HC134</f>
        <v/>
      </c>
      <c r="HE134" s="62">
        <f>$HE133+$HC134</f>
        <v/>
      </c>
      <c r="HF134" s="62">
        <f>SUMIFS(tblSafety[RWI],tblSafety[Date],$A134)</f>
        <v/>
      </c>
      <c r="HG134" s="62">
        <f>IF($B134=$B133,$HG133,0)+$HF134</f>
        <v/>
      </c>
      <c r="HH134" s="62">
        <f>$HH133+$HF134</f>
        <v/>
      </c>
      <c r="HI134" s="62">
        <f>SUMIFS(tblSafety[MTI],tblSafety[Date],$A134)</f>
        <v/>
      </c>
      <c r="HJ134" s="62">
        <f>IF($B134=$B133,$HJ133,0)+$HI134</f>
        <v/>
      </c>
      <c r="HK134" s="62">
        <f>$HK133+$HI134</f>
        <v/>
      </c>
      <c r="HL134" s="62">
        <f>SUMIFS(tblSafety[FAI],tblSafety[Date],$A134)</f>
        <v/>
      </c>
      <c r="HM134" s="62">
        <f>IF($B134=$B133,$HM133,0)+$HL134</f>
        <v/>
      </c>
      <c r="HN134" s="62">
        <f>$HN133+$HL134</f>
        <v/>
      </c>
      <c r="HO134" s="62">
        <f>SUMIFS(tblSafety[Recordables],tblSafety[Date],$A134)</f>
        <v/>
      </c>
      <c r="HP134" s="62">
        <f>IF($B134=$B133,$HP133,0)+$HO134</f>
        <v/>
      </c>
      <c r="HQ134" s="62">
        <f>$HQ133+$HO134</f>
        <v/>
      </c>
      <c r="HR134" s="62">
        <f>SUMIFS(tblSafety[Near_Miss],tblSafety[Date],$A134)</f>
        <v/>
      </c>
      <c r="HS134" s="62">
        <f>IF($B134=$B133,$HS133,0)+$HR134</f>
        <v/>
      </c>
      <c r="HT134" s="62">
        <f>$HT133+$HR134</f>
        <v/>
      </c>
      <c r="HU134" s="62">
        <f>SUMIFS(tblSafety[Hazard_Reports],tblSafety[Date],$A134)</f>
        <v/>
      </c>
      <c r="HV134" s="62">
        <f>IF($B134=$B133,$HV133,0)+$HU134</f>
        <v/>
      </c>
      <c r="HW134" s="62">
        <f>$HW133+$HU134</f>
        <v/>
      </c>
      <c r="HX134" s="62">
        <f>SUMIFS(tblSafety[HPI],tblSafety[Date],$A134)</f>
        <v/>
      </c>
      <c r="HY134" s="62">
        <f>IF($B134=$B133,$HY133,0)+$HX134</f>
        <v/>
      </c>
      <c r="HZ134" s="62">
        <f>$HZ133+$HX134</f>
        <v/>
      </c>
      <c r="IA134" s="62">
        <f>SUMIFS(tblSafety[Env_Incidents],tblSafety[Date],$A134)</f>
        <v/>
      </c>
      <c r="IB134" s="62">
        <f>IF($B134=$B133,$IB133,0)+$IA134</f>
        <v/>
      </c>
      <c r="IC134" s="62">
        <f>$IC133+$IA134</f>
        <v/>
      </c>
      <c r="ID134" s="62">
        <f>SUMIFS(tblSafety[Community_Incidents],tblSafety[Date],$A134)</f>
        <v/>
      </c>
      <c r="IE134" s="62">
        <f>IF($B134=$B133,$IE133,0)+$ID134</f>
        <v/>
      </c>
      <c r="IF134" s="62">
        <f>$IF133+$ID134</f>
        <v/>
      </c>
      <c r="IG134" s="62">
        <f>SUMIFS(tblSafety[Vehicle_Incidents],tblSafety[Date],$A134)</f>
        <v/>
      </c>
      <c r="IH134" s="62">
        <f>IF($B134=$B133,$IH133,0)+$IG134</f>
        <v/>
      </c>
      <c r="II134" s="62">
        <f>$II133+$IG134</f>
        <v/>
      </c>
      <c r="IJ134" s="62">
        <f>SUMIFS(tblSafety[Toolbox_Talks],tblSafety[Date],$A134)</f>
        <v/>
      </c>
      <c r="IK134" s="62">
        <f>IF($B134=$B133,$IK133,0)+$IJ134</f>
        <v/>
      </c>
      <c r="IL134" s="62">
        <f>$IL133+$IJ134</f>
        <v/>
      </c>
      <c r="IM134" s="62">
        <f>SUMIFS(tblSafety[Inspections],tblSafety[Date],$A134)</f>
        <v/>
      </c>
      <c r="IN134" s="62">
        <f>IF($B134=$B133,$IN133,0)+$IM134</f>
        <v/>
      </c>
      <c r="IO134" s="62">
        <f>$IO133+$IM134</f>
        <v/>
      </c>
      <c r="IP134" s="56">
        <f>IFERROR((SUMIFS(tblSafety[Recordables],tblSafety[Date],"&gt;="&amp;EDATE($E134,-12),tblSafety[Date],"&lt;="&amp;$A134)+SUMIFS(tblSafetyHistory[Recordables],tblSafetyHistory[Month],"&gt;="&amp;EDATE($E134,-12),tblSafetyHistory[Month],"&lt;"&amp;$E134,tblSafetyHistory[Use],1))/(SUMIFS(tblSafety[Hours_Total],tblSafety[Date],"&gt;="&amp;EDATE($E134,-12),tblSafety[Date],"&lt;="&amp;$A134)+SUMIFS(tblSafetyHistory[Hours_Total],tblSafetyHistory[Month],"&gt;="&amp;EDATE($E134,-12),tblSafetyHistory[Month],"&lt;"&amp;$E134,tblSafetyHistory[Use],1))*cfg_RateBasisHours,"")</f>
        <v/>
      </c>
      <c r="IQ134" s="56">
        <f>IFERROR((SUMIFS(tblSafety[LTI],tblSafety[Date],"&gt;="&amp;EDATE($E134,-12),tblSafety[Date],"&lt;="&amp;$A134)+SUMIFS(tblSafetyHistory[LTI],tblSafetyHistory[Month],"&gt;="&amp;EDATE($E134,-12),tblSafetyHistory[Month],"&lt;"&amp;$E134,tblSafetyHistory[Use],1))/(SUMIFS(tblSafety[Hours_Total],tblSafety[Date],"&gt;="&amp;EDATE($E134,-12),tblSafety[Date],"&lt;="&amp;$A134)+SUMIFS(tblSafetyHistory[Hours_Total],tblSafetyHistory[Month],"&gt;="&amp;EDATE($E134,-12),tblSafetyHistory[Month],"&lt;"&amp;$E134,tblSafetyHistory[Use],1))*cfg_RateBasisHours,"")</f>
        <v/>
      </c>
      <c r="IR134" s="62">
        <f>IF(MAX(N(cfg_PriorLTIDate),_xlfn.MAXIFS(tblSafety[Date],tblSafety[LTI],"&gt;0",tblSafety[Date],"&lt;="&amp;$A134))=0,"",$A134-MAX(N(cfg_PriorLTIDate),_xlfn.MAXIFS(tblSafety[Date],tblSafety[LTI],"&gt;0",tblSafety[Date],"&lt;="&amp;$A134)))</f>
        <v/>
      </c>
      <c r="IS134" s="55">
        <f>SUMIFS(tblBudget[Ore_Mined_t],tblBudget[Month],$E134)</f>
        <v/>
      </c>
      <c r="IT134" s="55">
        <f>$IS134*$C134/$D134</f>
        <v/>
      </c>
      <c r="IU134" s="55">
        <f>SUMIFS(tblBudget[Ore_Mined_t],tblBudget[Month],"&lt;"&amp;$E134)+$IT134</f>
        <v/>
      </c>
      <c r="IV134" s="55">
        <f>SUMIFS(tblBudget[Ore_oz],tblBudget[Month],$E134)</f>
        <v/>
      </c>
      <c r="IW134" s="55">
        <f>$IV134*$C134/$D134</f>
        <v/>
      </c>
      <c r="IX134" s="55">
        <f>SUMIFS(tblBudget[Ore_oz],tblBudget[Month],"&lt;"&amp;$E134)+$IW134</f>
        <v/>
      </c>
      <c r="IY134" s="55">
        <f>SUMIFS(tblBudget[Ore_Mined_t],tblBudget[Month],$E134)</f>
        <v/>
      </c>
      <c r="IZ134" s="55">
        <f>$IY134*$C134/$D134</f>
        <v/>
      </c>
      <c r="JA134" s="55">
        <f>SUMIFS(tblBudget[Ore_Mined_t],tblBudget[Month],"&lt;"&amp;$E134)+$IZ134</f>
        <v/>
      </c>
      <c r="JB134" s="56">
        <f>IFERROR(IF(($IY134)&gt;0,($IV134*cfg_TroyOz)/($IY134),""),"")</f>
        <v/>
      </c>
      <c r="JC134" s="56">
        <f>IFERROR(IF(($IZ134)&gt;0,($IW134*cfg_TroyOz)/($IZ134),""),"")</f>
        <v/>
      </c>
      <c r="JD134" s="56">
        <f>IFERROR(IF(($JA134)&gt;0,($IX134*cfg_TroyOz)/($JA134),""),"")</f>
        <v/>
      </c>
      <c r="JE134" s="55">
        <f>SUMIFS(tblBudget[Waste_t],tblBudget[Month],$E134)</f>
        <v/>
      </c>
      <c r="JF134" s="55">
        <f>$JE134*$C134/$D134</f>
        <v/>
      </c>
      <c r="JG134" s="55">
        <f>SUMIFS(tblBudget[Waste_t],tblBudget[Month],"&lt;"&amp;$E134)+$JF134</f>
        <v/>
      </c>
      <c r="JH134" s="55">
        <f>SUMIFS(tblBudget[TMM_t],tblBudget[Month],$E134)</f>
        <v/>
      </c>
      <c r="JI134" s="55">
        <f>$JH134*$C134/$D134</f>
        <v/>
      </c>
      <c r="JJ134" s="55">
        <f>SUMIFS(tblBudget[TMM_t],tblBudget[Month],"&lt;"&amp;$E134)+$JI134</f>
        <v/>
      </c>
      <c r="JK134" s="56">
        <f>IFERROR(IF(($IS134)&gt;0,($JE134)/($IS134),""),"")</f>
        <v/>
      </c>
      <c r="JL134" s="56">
        <f>IFERROR(IF(($IT134)&gt;0,($JF134)/($IT134),""),"")</f>
        <v/>
      </c>
      <c r="JM134" s="56">
        <f>IFERROR(IF(($IU134)&gt;0,($JG134)/($IU134),""),"")</f>
        <v/>
      </c>
      <c r="JN134" s="55">
        <f>SUMIFS(tblBudget[Drill_m],tblBudget[Month],$E134)</f>
        <v/>
      </c>
      <c r="JO134" s="55">
        <f>$JN134*$C134/$D134</f>
        <v/>
      </c>
      <c r="JP134" s="55">
        <f>SUMIFS(tblBudget[Drill_m],tblBudget[Month],"&lt;"&amp;$E134)+$JO134</f>
        <v/>
      </c>
      <c r="JQ134" s="55">
        <f>SUMIFS(tblBudget[Diesel_L],tblBudget[Month],$E134)</f>
        <v/>
      </c>
      <c r="JR134" s="55">
        <f>$JQ134*$C134/$D134</f>
        <v/>
      </c>
      <c r="JS134" s="55">
        <f>SUMIFS(tblBudget[Diesel_L],tblBudget[Month],"&lt;"&amp;$E134)+$JR134</f>
        <v/>
      </c>
      <c r="JT134" s="55">
        <f>SUMIFS(tblBudget[Milled_t],tblBudget[Month],$E134)</f>
        <v/>
      </c>
      <c r="JU134" s="55">
        <f>$JT134*$C134/$D134</f>
        <v/>
      </c>
      <c r="JV134" s="55">
        <f>SUMIFS(tblBudget[Milled_t],tblBudget[Month],"&lt;"&amp;$E134)+$JU134</f>
        <v/>
      </c>
      <c r="JW134" s="55">
        <f>SUMIFS(tblBudget[Feed_oz],tblBudget[Month],$E134)</f>
        <v/>
      </c>
      <c r="JX134" s="55">
        <f>$JW134*$C134/$D134</f>
        <v/>
      </c>
      <c r="JY134" s="55">
        <f>SUMIFS(tblBudget[Feed_oz],tblBudget[Month],"&lt;"&amp;$E134)+$JX134</f>
        <v/>
      </c>
      <c r="JZ134" s="55">
        <f>SUMIFS(tblBudget[Recovered_oz],tblBudget[Month],$E134)</f>
        <v/>
      </c>
      <c r="KA134" s="55">
        <f>$JZ134*$C134/$D134</f>
        <v/>
      </c>
      <c r="KB134" s="55">
        <f>SUMIFS(tblBudget[Recovered_oz],tblBudget[Month],"&lt;"&amp;$E134)+$KA134</f>
        <v/>
      </c>
      <c r="KC134" s="55">
        <f>SUMIFS(tblBudget[Milled_t],tblBudget[Month],$E134)</f>
        <v/>
      </c>
      <c r="KD134" s="55">
        <f>$KC134*$C134/$D134</f>
        <v/>
      </c>
      <c r="KE134" s="55">
        <f>SUMIFS(tblBudget[Milled_t],tblBudget[Month],"&lt;"&amp;$E134)+$KD134</f>
        <v/>
      </c>
      <c r="KF134" s="55">
        <f>SUMIFS(tblBudget[Feed_oz],tblBudget[Month],$E134)</f>
        <v/>
      </c>
      <c r="KG134" s="55">
        <f>$KF134*$C134/$D134</f>
        <v/>
      </c>
      <c r="KH134" s="55">
        <f>SUMIFS(tblBudget[Feed_oz],tblBudget[Month],"&lt;"&amp;$E134)+$KG134</f>
        <v/>
      </c>
      <c r="KI134" s="56">
        <f>IFERROR(IF(($KC134)&gt;0,($JW134*cfg_TroyOz)/($KC134),""),"")</f>
        <v/>
      </c>
      <c r="KJ134" s="56">
        <f>IFERROR(IF(($KD134)&gt;0,($JX134*cfg_TroyOz)/($KD134),""),"")</f>
        <v/>
      </c>
      <c r="KK134" s="56">
        <f>IFERROR(IF(($KE134)&gt;0,($JY134*cfg_TroyOz)/($KE134),""),"")</f>
        <v/>
      </c>
      <c r="KL134" s="67">
        <f>IFERROR(IF(($KF134)&gt;0,($JZ134)/($KF134),""),"")</f>
        <v/>
      </c>
      <c r="KM134" s="67">
        <f>IFERROR(IF(($KG134)&gt;0,($KA134)/($KG134),""),"")</f>
        <v/>
      </c>
      <c r="KN134" s="67">
        <f>IFERROR(IF(($KH134)&gt;0,($KB134)/($KH134),""),"")</f>
        <v/>
      </c>
      <c r="KO134" s="55">
        <f>SUMIFS(tblBudget[Gold_Poured_oz],tblBudget[Month],$E134)</f>
        <v/>
      </c>
      <c r="KP134" s="55">
        <f>$KO134*$C134/$D134</f>
        <v/>
      </c>
      <c r="KQ134" s="55">
        <f>SUMIFS(tblBudget[Gold_Poured_oz],tblBudget[Month],"&lt;"&amp;$E134)+$KP134</f>
        <v/>
      </c>
      <c r="KR134" s="57">
        <f>SUMIFS(tblBudget[Hours_Worked],tblBudget[Month],$E134)</f>
        <v/>
      </c>
      <c r="KS134" s="57">
        <f>$KR134*$C134/$D134</f>
        <v/>
      </c>
      <c r="KT134" s="57">
        <f>SUMIFS(tblBudget[Hours_Worked],tblBudget[Month],"&lt;"&amp;$E134)+$KS134</f>
        <v/>
      </c>
    </row>
    <row r="135">
      <c r="A135" s="54" t="n">
        <v>46156</v>
      </c>
      <c r="B135">
        <f>MONTH($A135)</f>
        <v/>
      </c>
      <c r="C135">
        <f>DAY($A135)</f>
        <v/>
      </c>
      <c r="D135">
        <f>DAY(EOMONTH($A135,0))</f>
        <v/>
      </c>
      <c r="E135" s="54">
        <f>DATE(YEAR($A135),MONTH($A135),1)</f>
        <v/>
      </c>
      <c r="F135" s="55">
        <f>SUMIFS(tblMovement[Tonnes_t],tblMovement[Date],$A135,tblMovement[Is_Ore],1,tblMovement[Source_Type],"Pit")</f>
        <v/>
      </c>
      <c r="G135" s="55">
        <f>IF($B135=$B134,$G134,0)+$F135</f>
        <v/>
      </c>
      <c r="H135" s="55">
        <f>$H134+$F135</f>
        <v/>
      </c>
      <c r="I135" s="55">
        <f>SUMIFS(tblMovement[Ore_oz],tblMovement[Date],$A135,tblMovement[Source_Type],"Pit")</f>
        <v/>
      </c>
      <c r="J135" s="55">
        <f>IF($B135=$B134,$J134,0)+$I135</f>
        <v/>
      </c>
      <c r="K135" s="55">
        <f>$K134+$I135</f>
        <v/>
      </c>
      <c r="L135" s="55">
        <f>SUMIFS(tblMovement[Tonnes_t],tblMovement[Date],$A135,tblMovement[Is_Ore],1,tblMovement[Source_Type],"Pit",tblMovement[Grade_gpt],"&lt;&gt;")</f>
        <v/>
      </c>
      <c r="M135" s="55">
        <f>IF($B135=$B134,$M134,0)+$L135</f>
        <v/>
      </c>
      <c r="N135" s="55">
        <f>$N134+$L135</f>
        <v/>
      </c>
      <c r="O135" s="56">
        <f>IFERROR(IF(($L135)&gt;0,($I135*cfg_TroyOz)/($L135),""),"")</f>
        <v/>
      </c>
      <c r="P135" s="56">
        <f>IFERROR(IF(($M135)&gt;0,($J135*cfg_TroyOz)/($M135),""),"")</f>
        <v/>
      </c>
      <c r="Q135" s="56">
        <f>IFERROR(IF(($N135)&gt;0,($K135*cfg_TroyOz)/($N135),""),"")</f>
        <v/>
      </c>
      <c r="R135" s="55">
        <f>$F135-$L135</f>
        <v/>
      </c>
      <c r="S135" s="55">
        <f>IF($B135=$B134,$S134,0)+$R135</f>
        <v/>
      </c>
      <c r="T135" s="55">
        <f>$T134+$R135</f>
        <v/>
      </c>
      <c r="U135" s="55">
        <f>SUMIFS(tblMovement[Tonnes_t],tblMovement[Date],$A135,tblMovement[Is_Ore],0,tblMovement[Source_Type],"Pit")</f>
        <v/>
      </c>
      <c r="V135" s="55">
        <f>IF($B135=$B134,$V134,0)+$U135</f>
        <v/>
      </c>
      <c r="W135" s="55">
        <f>$W134+$U135</f>
        <v/>
      </c>
      <c r="X135" s="55">
        <f>$F135+$U135</f>
        <v/>
      </c>
      <c r="Y135" s="55">
        <f>IF($B135=$B134,$Y134,0)+$X135</f>
        <v/>
      </c>
      <c r="Z135" s="55">
        <f>$Z134+$X135</f>
        <v/>
      </c>
      <c r="AA135" s="56">
        <f>IFERROR(IF(($F135)&gt;0,($U135)/($F135),""),"")</f>
        <v/>
      </c>
      <c r="AB135" s="56">
        <f>IFERROR(IF(($G135)&gt;0,($V135)/($G135),""),"")</f>
        <v/>
      </c>
      <c r="AC135" s="56">
        <f>IFERROR(IF(($H135)&gt;0,($W135)/($H135),""),"")</f>
        <v/>
      </c>
      <c r="AD135" s="55">
        <f>SUMIFS(tblMovement[Tonnes_t],tblMovement[Date],$A135,tblMovement[Source_Type],"Stockpile")</f>
        <v/>
      </c>
      <c r="AE135" s="55">
        <f>IF($B135=$B134,$AE134,0)+$AD135</f>
        <v/>
      </c>
      <c r="AF135" s="55">
        <f>$AF134+$AD135</f>
        <v/>
      </c>
      <c r="AG135" s="55">
        <f>SUMIFS(tblMovement[Tonnes_t],tblMovement[Date],$A135)</f>
        <v/>
      </c>
      <c r="AH135" s="55">
        <f>IF($B135=$B134,$AH134,0)+$AG135</f>
        <v/>
      </c>
      <c r="AI135" s="55">
        <f>$AI134+$AG135</f>
        <v/>
      </c>
      <c r="AJ135" s="55">
        <f>$AG135-$X135-$AD135</f>
        <v/>
      </c>
      <c r="AK135" s="55">
        <f>IF($B135=$B134,$AK134,0)+$AJ135</f>
        <v/>
      </c>
      <c r="AL135" s="55">
        <f>$AL134+$AJ135</f>
        <v/>
      </c>
      <c r="AM135" s="55">
        <f>SUMIFS(tblMiningDaily[Drill_m],tblMiningDaily[Date],$A135)</f>
        <v/>
      </c>
      <c r="AN135" s="55">
        <f>IF($B135=$B134,$AN134,0)+$AM135</f>
        <v/>
      </c>
      <c r="AO135" s="55">
        <f>$AO134+$AM135</f>
        <v/>
      </c>
      <c r="AP135" s="55">
        <f>SUMIFS(tblMiningDaily[GC_Drill_m],tblMiningDaily[Date],$A135)</f>
        <v/>
      </c>
      <c r="AQ135" s="55">
        <f>IF($B135=$B134,$AQ134,0)+$AP135</f>
        <v/>
      </c>
      <c r="AR135" s="55">
        <f>$AR134+$AP135</f>
        <v/>
      </c>
      <c r="AS135" s="55">
        <f>SUMIFS(tblMiningDaily[Blast_t],tblMiningDaily[Date],$A135)</f>
        <v/>
      </c>
      <c r="AT135" s="55">
        <f>IF($B135=$B134,$AT134,0)+$AS135</f>
        <v/>
      </c>
      <c r="AU135" s="55">
        <f>$AU134+$AS135</f>
        <v/>
      </c>
      <c r="AV135" s="55">
        <f>SUMIFS(tblMiningDaily[Explosives_kg],tblMiningDaily[Date],$A135)</f>
        <v/>
      </c>
      <c r="AW135" s="55">
        <f>IF($B135=$B134,$AW134,0)+$AV135</f>
        <v/>
      </c>
      <c r="AX135" s="55">
        <f>$AX134+$AV135</f>
        <v/>
      </c>
      <c r="AY135" s="56">
        <f>IFERROR(IF(($AS135)&gt;0,($AV135)/($AS135),""),"")</f>
        <v/>
      </c>
      <c r="AZ135" s="56">
        <f>IFERROR(IF(($AT135)&gt;0,($AW135)/($AT135),""),"")</f>
        <v/>
      </c>
      <c r="BA135" s="56">
        <f>IFERROR(IF(($AU135)&gt;0,($AX135)/($AU135),""),"")</f>
        <v/>
      </c>
      <c r="BB135" s="55">
        <f>SUMIFS(tblMiningDaily[Diesel_L],tblMiningDaily[Date],$A135)</f>
        <v/>
      </c>
      <c r="BC135" s="55">
        <f>IF($B135=$B134,$BC134,0)+$BB135</f>
        <v/>
      </c>
      <c r="BD135" s="55">
        <f>$BD134+$BB135</f>
        <v/>
      </c>
      <c r="BE135" s="55">
        <f>SUMIFS(tblMiningDaily[Dewatering_m3],tblMiningDaily[Date],$A135)</f>
        <v/>
      </c>
      <c r="BF135" s="55">
        <f>IF($B135=$B134,$BF134,0)+$BE135</f>
        <v/>
      </c>
      <c r="BG135" s="55">
        <f>$BG134+$BE135</f>
        <v/>
      </c>
      <c r="BH135" s="57">
        <f>SUMIFS(tblFleet[Calendar_h],tblFleet[Date],$A135,tblFleet[Equipment_Class],"Excavator")</f>
        <v/>
      </c>
      <c r="BI135" s="57">
        <f>IF($B135=$B134,$BI134,0)+$BH135</f>
        <v/>
      </c>
      <c r="BJ135" s="57">
        <f>$BJ134+$BH135</f>
        <v/>
      </c>
      <c r="BK135" s="57">
        <f>SUMIFS(tblFleet[Available_h],tblFleet[Date],$A135,tblFleet[Equipment_Class],"Excavator")</f>
        <v/>
      </c>
      <c r="BL135" s="57">
        <f>IF($B135=$B134,$BL134,0)+$BK135</f>
        <v/>
      </c>
      <c r="BM135" s="57">
        <f>$BM134+$BK135</f>
        <v/>
      </c>
      <c r="BN135" s="57">
        <f>SUMIFS(tblFleet[Operating_h],tblFleet[Date],$A135,tblFleet[Equipment_Class],"Excavator")</f>
        <v/>
      </c>
      <c r="BO135" s="57">
        <f>IF($B135=$B134,$BO134,0)+$BN135</f>
        <v/>
      </c>
      <c r="BP135" s="57">
        <f>$BP134+$BN135</f>
        <v/>
      </c>
      <c r="BQ135" s="67">
        <f>IFERROR(IF(($BH135)&gt;0,($BK135)/($BH135),""),"")</f>
        <v/>
      </c>
      <c r="BR135" s="67">
        <f>IFERROR(IF(($BI135)&gt;0,($BL135)/($BI135),""),"")</f>
        <v/>
      </c>
      <c r="BS135" s="67">
        <f>IFERROR(IF(($BJ135)&gt;0,($BM135)/($BJ135),""),"")</f>
        <v/>
      </c>
      <c r="BT135" s="67">
        <f>IFERROR(IF(($BK135)&gt;0,($BN135)/($BK135),""),"")</f>
        <v/>
      </c>
      <c r="BU135" s="67">
        <f>IFERROR(IF(($BL135)&gt;0,($BO135)/($BL135),""),"")</f>
        <v/>
      </c>
      <c r="BV135" s="67">
        <f>IFERROR(IF(($BM135)&gt;0,($BP135)/($BM135),""),"")</f>
        <v/>
      </c>
      <c r="BW135" s="57">
        <f>SUMIFS(tblFleet[Calendar_h],tblFleet[Date],$A135,tblFleet[Equipment_Class],"Haul Truck")</f>
        <v/>
      </c>
      <c r="BX135" s="57">
        <f>IF($B135=$B134,$BX134,0)+$BW135</f>
        <v/>
      </c>
      <c r="BY135" s="57">
        <f>$BY134+$BW135</f>
        <v/>
      </c>
      <c r="BZ135" s="57">
        <f>SUMIFS(tblFleet[Available_h],tblFleet[Date],$A135,tblFleet[Equipment_Class],"Haul Truck")</f>
        <v/>
      </c>
      <c r="CA135" s="57">
        <f>IF($B135=$B134,$CA134,0)+$BZ135</f>
        <v/>
      </c>
      <c r="CB135" s="57">
        <f>$CB134+$BZ135</f>
        <v/>
      </c>
      <c r="CC135" s="57">
        <f>SUMIFS(tblFleet[Operating_h],tblFleet[Date],$A135,tblFleet[Equipment_Class],"Haul Truck")</f>
        <v/>
      </c>
      <c r="CD135" s="57">
        <f>IF($B135=$B134,$CD134,0)+$CC135</f>
        <v/>
      </c>
      <c r="CE135" s="57">
        <f>$CE134+$CC135</f>
        <v/>
      </c>
      <c r="CF135" s="67">
        <f>IFERROR(IF(($BW135)&gt;0,($BZ135)/($BW135),""),"")</f>
        <v/>
      </c>
      <c r="CG135" s="67">
        <f>IFERROR(IF(($BX135)&gt;0,($CA135)/($BX135),""),"")</f>
        <v/>
      </c>
      <c r="CH135" s="67">
        <f>IFERROR(IF(($BY135)&gt;0,($CB135)/($BY135),""),"")</f>
        <v/>
      </c>
      <c r="CI135" s="67">
        <f>IFERROR(IF(($BZ135)&gt;0,($CC135)/($BZ135),""),"")</f>
        <v/>
      </c>
      <c r="CJ135" s="67">
        <f>IFERROR(IF(($CA135)&gt;0,($CD135)/($CA135),""),"")</f>
        <v/>
      </c>
      <c r="CK135" s="67">
        <f>IFERROR(IF(($CB135)&gt;0,($CE135)/($CB135),""),"")</f>
        <v/>
      </c>
      <c r="CL135" s="55">
        <f>IFERROR(IF(($BN135)&gt;0,($X135+$AD135)/($BN135),""),"")</f>
        <v/>
      </c>
      <c r="CM135" s="55">
        <f>IFERROR(IF(($BO135)&gt;0,($Y135+$AE135)/($BO135),""),"")</f>
        <v/>
      </c>
      <c r="CN135" s="55">
        <f>IFERROR(IF(($BP135)&gt;0,($Z135+$AF135)/($BP135),""),"")</f>
        <v/>
      </c>
      <c r="CO135" s="55">
        <f>IFERROR(IF(($CC135)&gt;0,($X135+$AD135)/($CC135),""),"")</f>
        <v/>
      </c>
      <c r="CP135" s="55">
        <f>IFERROR(IF(($CD135)&gt;0,($Y135+$AE135)/($CD135),""),"")</f>
        <v/>
      </c>
      <c r="CQ135" s="55">
        <f>IFERROR(IF(($CE135)&gt;0,($Z135+$AF135)/($CE135),""),"")</f>
        <v/>
      </c>
      <c r="CR135" s="55">
        <f>SUMIFS(tblPlant[Crushed_t],tblPlant[Date],$A135)</f>
        <v/>
      </c>
      <c r="CS135" s="55">
        <f>IF($B135=$B134,$CS134,0)+$CR135</f>
        <v/>
      </c>
      <c r="CT135" s="55">
        <f>$CT134+$CR135</f>
        <v/>
      </c>
      <c r="CU135" s="55">
        <f>SUMIFS(tblPlant[Milled_t],tblPlant[Date],$A135)</f>
        <v/>
      </c>
      <c r="CV135" s="55">
        <f>IF($B135=$B134,$CV134,0)+$CU135</f>
        <v/>
      </c>
      <c r="CW135" s="55">
        <f>$CW134+$CU135</f>
        <v/>
      </c>
      <c r="CX135" s="55">
        <f>SUMIFS(tblPlant[Feed_oz],tblPlant[Date],$A135)</f>
        <v/>
      </c>
      <c r="CY135" s="55">
        <f>IF($B135=$B134,$CY134,0)+$CX135</f>
        <v/>
      </c>
      <c r="CZ135" s="55">
        <f>$CZ134+$CX135</f>
        <v/>
      </c>
      <c r="DA135" s="55">
        <f>SUMIFS(tblPlant[Tails_oz],tblPlant[Date],$A135)</f>
        <v/>
      </c>
      <c r="DB135" s="55">
        <f>IF($B135=$B134,$DB134,0)+$DA135</f>
        <v/>
      </c>
      <c r="DC135" s="55">
        <f>$DC134+$DA135</f>
        <v/>
      </c>
      <c r="DD135" s="55">
        <f>SUMIFS(tblPlant[Recovered_oz],tblPlant[Date],$A135)</f>
        <v/>
      </c>
      <c r="DE135" s="55">
        <f>IF($B135=$B134,$DE134,0)+$DD135</f>
        <v/>
      </c>
      <c r="DF135" s="55">
        <f>$DF134+$DD135</f>
        <v/>
      </c>
      <c r="DG135" s="55">
        <f>SUMIFS(tblPlant[Milled_t],tblPlant[Date],$A135,tblPlant[Head_Grade_gpt],"&lt;&gt;")</f>
        <v/>
      </c>
      <c r="DH135" s="55">
        <f>IF($B135=$B134,$DH134,0)+$DG135</f>
        <v/>
      </c>
      <c r="DI135" s="55">
        <f>$DI134+$DG135</f>
        <v/>
      </c>
      <c r="DJ135" s="55">
        <f>SUMIFS(tblPlant[Milled_t],tblPlant[Date],$A135,tblPlant[Tails_Grade_gpt],"&lt;&gt;")</f>
        <v/>
      </c>
      <c r="DK135" s="55">
        <f>IF($B135=$B134,$DK134,0)+$DJ135</f>
        <v/>
      </c>
      <c r="DL135" s="55">
        <f>$DL134+$DJ135</f>
        <v/>
      </c>
      <c r="DM135" s="55">
        <f>SUMIFS(tblPlant[Feed_oz],tblPlant[Date],$A135,tblPlant[Tails_Grade_gpt],"&lt;&gt;")</f>
        <v/>
      </c>
      <c r="DN135" s="55">
        <f>IF($B135=$B134,$DN134,0)+$DM135</f>
        <v/>
      </c>
      <c r="DO135" s="55">
        <f>$DO134+$DM135</f>
        <v/>
      </c>
      <c r="DP135" s="55">
        <f>SUMIFS(tblPlant[Milled_t],tblPlant[Date],$A135,tblPlant[Mill_Run_h],"&lt;&gt;")</f>
        <v/>
      </c>
      <c r="DQ135" s="55">
        <f>IF($B135=$B134,$DQ134,0)+$DP135</f>
        <v/>
      </c>
      <c r="DR135" s="55">
        <f>$DR134+$DP135</f>
        <v/>
      </c>
      <c r="DS135" s="56">
        <f>IFERROR(IF(($DG135)&gt;0,($CX135*cfg_TroyOz)/($DG135),""),"")</f>
        <v/>
      </c>
      <c r="DT135" s="56">
        <f>IFERROR(IF(($DH135)&gt;0,($CY135*cfg_TroyOz)/($DH135),""),"")</f>
        <v/>
      </c>
      <c r="DU135" s="56">
        <f>IFERROR(IF(($DI135)&gt;0,($CZ135*cfg_TroyOz)/($DI135),""),"")</f>
        <v/>
      </c>
      <c r="DV135" s="56">
        <f>IFERROR(IF(($DJ135)&gt;0,($DA135*cfg_TroyOz)/($DJ135),""),"")</f>
        <v/>
      </c>
      <c r="DW135" s="56">
        <f>IFERROR(IF(($DK135)&gt;0,($DB135*cfg_TroyOz)/($DK135),""),"")</f>
        <v/>
      </c>
      <c r="DX135" s="56">
        <f>IFERROR(IF(($DL135)&gt;0,($DC135*cfg_TroyOz)/($DL135),""),"")</f>
        <v/>
      </c>
      <c r="DY135" s="67">
        <f>IFERROR(IF(($DM135)&gt;0,($DD135)/($DM135),""),"")</f>
        <v/>
      </c>
      <c r="DZ135" s="67">
        <f>IFERROR(IF(($DN135)&gt;0,($DE135)/($DN135),""),"")</f>
        <v/>
      </c>
      <c r="EA135" s="67">
        <f>IFERROR(IF(($DO135)&gt;0,($DF135)/($DO135),""),"")</f>
        <v/>
      </c>
      <c r="EB135" s="55">
        <f>SUMIFS(tblPlant[Gravity_Gold_oz],tblPlant[Date],$A135)</f>
        <v/>
      </c>
      <c r="EC135" s="55">
        <f>IF($B135=$B134,$EC134,0)+$EB135</f>
        <v/>
      </c>
      <c r="ED135" s="55">
        <f>$ED134+$EB135</f>
        <v/>
      </c>
      <c r="EE135" s="67">
        <f>IFERROR(IF(($DD135)&gt;0,($EB135)/($DD135),""),"")</f>
        <v/>
      </c>
      <c r="EF135" s="67">
        <f>IFERROR(IF(($DE135)&gt;0,($EC135)/($DE135),""),"")</f>
        <v/>
      </c>
      <c r="EG135" s="67">
        <f>IFERROR(IF(($DF135)&gt;0,($ED135)/($DF135),""),"")</f>
        <v/>
      </c>
      <c r="EH135" s="55">
        <f>SUMIFS(tblPlant[Gold_Poured_oz],tblPlant[Date],$A135)</f>
        <v/>
      </c>
      <c r="EI135" s="55">
        <f>IF($B135=$B134,$EI134,0)+$EH135</f>
        <v/>
      </c>
      <c r="EJ135" s="55">
        <f>$EJ134+$EH135</f>
        <v/>
      </c>
      <c r="EK135" s="57">
        <f>SUMIFS(tblPlant[Mill_Run_h],tblPlant[Date],$A135)</f>
        <v/>
      </c>
      <c r="EL135" s="57">
        <f>IF($B135=$B134,$EL134,0)+$EK135</f>
        <v/>
      </c>
      <c r="EM135" s="57">
        <f>$EM134+$EK135</f>
        <v/>
      </c>
      <c r="EN135" s="57">
        <f>SUMIFS(tblPlant[Mill_Planned_Maint_h],tblPlant[Date],$A135)</f>
        <v/>
      </c>
      <c r="EO135" s="57">
        <f>IF($B135=$B134,$EO134,0)+$EN135</f>
        <v/>
      </c>
      <c r="EP135" s="57">
        <f>$EP134+$EN135</f>
        <v/>
      </c>
      <c r="EQ135" s="57">
        <f>SUMIFS(tblPlant[Mill_Unplanned_Down_h],tblPlant[Date],$A135)</f>
        <v/>
      </c>
      <c r="ER135" s="57">
        <f>IF($B135=$B134,$ER134,0)+$EQ135</f>
        <v/>
      </c>
      <c r="ES135" s="57">
        <f>$ES134+$EQ135</f>
        <v/>
      </c>
      <c r="ET135" s="57">
        <f>IF(COUNTIFS(tblPlant[Date],$A135,tblPlant[Mill_Run_h],"&lt;&gt;")+COUNTIFS(tblPlant[Date],$A135,tblPlant[Mill_Planned_Maint_h],"&lt;&gt;")+COUNTIFS(tblPlant[Date],$A135,tblPlant[Mill_Unplanned_Down_h],"&lt;&gt;")&gt;0,cfg_HoursPerDay,0)</f>
        <v/>
      </c>
      <c r="EU135" s="57">
        <f>IF($B135=$B134,$EU134,0)+$ET135</f>
        <v/>
      </c>
      <c r="EV135" s="57">
        <f>$EV134+$ET135</f>
        <v/>
      </c>
      <c r="EW135" s="57">
        <f>SUMIFS(tblPlant[Crusher_Run_h],tblPlant[Date],$A135)</f>
        <v/>
      </c>
      <c r="EX135" s="57">
        <f>IF($B135=$B134,$EX134,0)+$EW135</f>
        <v/>
      </c>
      <c r="EY135" s="57">
        <f>$EY134+$EW135</f>
        <v/>
      </c>
      <c r="EZ135" s="55">
        <f>IFERROR(IF(($EK135)&gt;0,($DP135)/($EK135),""),"")</f>
        <v/>
      </c>
      <c r="FA135" s="55">
        <f>IFERROR(IF(($EL135)&gt;0,($DQ135)/($EL135),""),"")</f>
        <v/>
      </c>
      <c r="FB135" s="55">
        <f>IFERROR(IF(($EM135)&gt;0,($DR135)/($EM135),""),"")</f>
        <v/>
      </c>
      <c r="FC135" s="67">
        <f>IFERROR(IF(($ET135)&gt;0,($ET135-$EN135-$EQ135)/($ET135),""),"")</f>
        <v/>
      </c>
      <c r="FD135" s="67">
        <f>IFERROR(IF(($EU135)&gt;0,($EU135-$EO135-$ER135)/($EU135),""),"")</f>
        <v/>
      </c>
      <c r="FE135" s="67">
        <f>IFERROR(IF(($EV135)&gt;0,($EV135-$EP135-$ES135)/($EV135),""),"")</f>
        <v/>
      </c>
      <c r="FF135" s="67">
        <f>IFERROR(IF(($ET135-$EN135-$EQ135)&gt;0,($EK135)/($ET135-$EN135-$EQ135),""),"")</f>
        <v/>
      </c>
      <c r="FG135" s="67">
        <f>IFERROR(IF(($EU135-$EO135-$ER135)&gt;0,($EL135)/($EU135-$EO135-$ER135),""),"")</f>
        <v/>
      </c>
      <c r="FH135" s="67">
        <f>IFERROR(IF(($EV135-$EP135-$ES135)&gt;0,($EM135)/($EV135-$EP135-$ES135),""),"")</f>
        <v/>
      </c>
      <c r="FI135" s="55">
        <f>SUMIFS(tblPlant[Cyanide_kg],tblPlant[Date],$A135)</f>
        <v/>
      </c>
      <c r="FJ135" s="55">
        <f>IF($B135=$B134,$FJ134,0)+$FI135</f>
        <v/>
      </c>
      <c r="FK135" s="55">
        <f>$FK134+$FI135</f>
        <v/>
      </c>
      <c r="FL135" s="55">
        <f>SUMIFS(tblPlant[Lime_kg],tblPlant[Date],$A135)</f>
        <v/>
      </c>
      <c r="FM135" s="55">
        <f>IF($B135=$B134,$FM134,0)+$FL135</f>
        <v/>
      </c>
      <c r="FN135" s="55">
        <f>$FN134+$FL135</f>
        <v/>
      </c>
      <c r="FO135" s="55">
        <f>SUMIFS(tblPlant[Grinding_Media_kg],tblPlant[Date],$A135)</f>
        <v/>
      </c>
      <c r="FP135" s="55">
        <f>IF($B135=$B134,$FP134,0)+$FO135</f>
        <v/>
      </c>
      <c r="FQ135" s="55">
        <f>$FQ134+$FO135</f>
        <v/>
      </c>
      <c r="FR135" s="55">
        <f>SUMIFS(tblPlant[Power_kWh],tblPlant[Date],$A135)</f>
        <v/>
      </c>
      <c r="FS135" s="55">
        <f>IF($B135=$B134,$FS134,0)+$FR135</f>
        <v/>
      </c>
      <c r="FT135" s="55">
        <f>$FT134+$FR135</f>
        <v/>
      </c>
      <c r="FU135" s="55">
        <f>SUMIFS(tblPlant[Raw_Water_m3],tblPlant[Date],$A135)</f>
        <v/>
      </c>
      <c r="FV135" s="55">
        <f>IF($B135=$B134,$FV134,0)+$FU135</f>
        <v/>
      </c>
      <c r="FW135" s="55">
        <f>$FW134+$FU135</f>
        <v/>
      </c>
      <c r="FX135" s="56">
        <f>IFERROR(IF(($CU135)&gt;0,($FI135)/($CU135),""),"")</f>
        <v/>
      </c>
      <c r="FY135" s="56">
        <f>IFERROR(IF(($CV135)&gt;0,($FJ135)/($CV135),""),"")</f>
        <v/>
      </c>
      <c r="FZ135" s="56">
        <f>IFERROR(IF(($CW135)&gt;0,($FK135)/($CW135),""),"")</f>
        <v/>
      </c>
      <c r="GA135" s="56">
        <f>IFERROR(IF(($CU135)&gt;0,($FL135)/($CU135),""),"")</f>
        <v/>
      </c>
      <c r="GB135" s="56">
        <f>IFERROR(IF(($CV135)&gt;0,($FM135)/($CV135),""),"")</f>
        <v/>
      </c>
      <c r="GC135" s="56">
        <f>IFERROR(IF(($CW135)&gt;0,($FN135)/($CW135),""),"")</f>
        <v/>
      </c>
      <c r="GD135" s="56">
        <f>IFERROR(IF(($CU135)&gt;0,($FO135)/($CU135),""),"")</f>
        <v/>
      </c>
      <c r="GE135" s="56">
        <f>IFERROR(IF(($CV135)&gt;0,($FP135)/($CV135),""),"")</f>
        <v/>
      </c>
      <c r="GF135" s="56">
        <f>IFERROR(IF(($CW135)&gt;0,($FQ135)/($CW135),""),"")</f>
        <v/>
      </c>
      <c r="GG135" s="79">
        <f>IFERROR(IF(($CU135)&gt;0,($FR135)/($CU135),""),"")</f>
        <v/>
      </c>
      <c r="GH135" s="79">
        <f>IFERROR(IF(($CV135)&gt;0,($FS135)/($CV135),""),"")</f>
        <v/>
      </c>
      <c r="GI135" s="79">
        <f>IFERROR(IF(($CW135)&gt;0,($FT135)/($CW135),""),"")</f>
        <v/>
      </c>
      <c r="GJ135" s="56">
        <f>IFERROR(IF(($CU135)&gt;0,($FU135)/($CU135),""),"")</f>
        <v/>
      </c>
      <c r="GK135" s="56">
        <f>IFERROR(IF(($CV135)&gt;0,($FV135)/($CV135),""),"")</f>
        <v/>
      </c>
      <c r="GL135" s="56">
        <f>IFERROR(IF(($CW135)&gt;0,($FW135)/($CW135),""),"")</f>
        <v/>
      </c>
      <c r="GM135" s="55">
        <f>IF(SUMIFS(tblPlant[GIC_oz],tblPlant[Date],$A135)&gt;0,SUMIFS(tblPlant[GIC_oz],tblPlant[Date],$A135),"")</f>
        <v/>
      </c>
      <c r="GN135" s="55">
        <f>SUMIFS(tblGold[Gold_oz],tblGold[Date],$A135,tblGold[Type],"Shipment")</f>
        <v/>
      </c>
      <c r="GO135" s="55">
        <f>IF($B135=$B134,$GO134,0)+$GN135</f>
        <v/>
      </c>
      <c r="GP135" s="55">
        <f>$GP134+$GN135</f>
        <v/>
      </c>
      <c r="GQ135" s="55">
        <f>SUMIFS(tblGold[Gold_oz],tblGold[Date],$A135,tblGold[Type],"Sale")</f>
        <v/>
      </c>
      <c r="GR135" s="55">
        <f>IF($B135=$B134,$GR134,0)+$GQ135</f>
        <v/>
      </c>
      <c r="GS135" s="55">
        <f>$GS134+$GQ135</f>
        <v/>
      </c>
      <c r="GT135" s="55">
        <f>SUMIFS(tblGold[Dore_kg],tblGold[Date],$A135,tblGold[Type],"Shipment")</f>
        <v/>
      </c>
      <c r="GU135" s="55">
        <f>IF($B135=$B134,$GU134,0)+$GT135</f>
        <v/>
      </c>
      <c r="GV135" s="55">
        <f>$GV134+$GT135</f>
        <v/>
      </c>
      <c r="GW135" s="57">
        <f>SUMIFS(tblSafety[Hours_Total],tblSafety[Date],$A135)</f>
        <v/>
      </c>
      <c r="GX135" s="57">
        <f>IF($B135=$B134,$GX134,0)+$GW135</f>
        <v/>
      </c>
      <c r="GY135" s="57">
        <f>$GY134+$GW135</f>
        <v/>
      </c>
      <c r="GZ135" s="62">
        <f>SUMIFS(tblSafety[Fatality],tblSafety[Date],$A135)</f>
        <v/>
      </c>
      <c r="HA135" s="62">
        <f>IF($B135=$B134,$HA134,0)+$GZ135</f>
        <v/>
      </c>
      <c r="HB135" s="62">
        <f>$HB134+$GZ135</f>
        <v/>
      </c>
      <c r="HC135" s="62">
        <f>SUMIFS(tblSafety[LTI],tblSafety[Date],$A135)</f>
        <v/>
      </c>
      <c r="HD135" s="62">
        <f>IF($B135=$B134,$HD134,0)+$HC135</f>
        <v/>
      </c>
      <c r="HE135" s="62">
        <f>$HE134+$HC135</f>
        <v/>
      </c>
      <c r="HF135" s="62">
        <f>SUMIFS(tblSafety[RWI],tblSafety[Date],$A135)</f>
        <v/>
      </c>
      <c r="HG135" s="62">
        <f>IF($B135=$B134,$HG134,0)+$HF135</f>
        <v/>
      </c>
      <c r="HH135" s="62">
        <f>$HH134+$HF135</f>
        <v/>
      </c>
      <c r="HI135" s="62">
        <f>SUMIFS(tblSafety[MTI],tblSafety[Date],$A135)</f>
        <v/>
      </c>
      <c r="HJ135" s="62">
        <f>IF($B135=$B134,$HJ134,0)+$HI135</f>
        <v/>
      </c>
      <c r="HK135" s="62">
        <f>$HK134+$HI135</f>
        <v/>
      </c>
      <c r="HL135" s="62">
        <f>SUMIFS(tblSafety[FAI],tblSafety[Date],$A135)</f>
        <v/>
      </c>
      <c r="HM135" s="62">
        <f>IF($B135=$B134,$HM134,0)+$HL135</f>
        <v/>
      </c>
      <c r="HN135" s="62">
        <f>$HN134+$HL135</f>
        <v/>
      </c>
      <c r="HO135" s="62">
        <f>SUMIFS(tblSafety[Recordables],tblSafety[Date],$A135)</f>
        <v/>
      </c>
      <c r="HP135" s="62">
        <f>IF($B135=$B134,$HP134,0)+$HO135</f>
        <v/>
      </c>
      <c r="HQ135" s="62">
        <f>$HQ134+$HO135</f>
        <v/>
      </c>
      <c r="HR135" s="62">
        <f>SUMIFS(tblSafety[Near_Miss],tblSafety[Date],$A135)</f>
        <v/>
      </c>
      <c r="HS135" s="62">
        <f>IF($B135=$B134,$HS134,0)+$HR135</f>
        <v/>
      </c>
      <c r="HT135" s="62">
        <f>$HT134+$HR135</f>
        <v/>
      </c>
      <c r="HU135" s="62">
        <f>SUMIFS(tblSafety[Hazard_Reports],tblSafety[Date],$A135)</f>
        <v/>
      </c>
      <c r="HV135" s="62">
        <f>IF($B135=$B134,$HV134,0)+$HU135</f>
        <v/>
      </c>
      <c r="HW135" s="62">
        <f>$HW134+$HU135</f>
        <v/>
      </c>
      <c r="HX135" s="62">
        <f>SUMIFS(tblSafety[HPI],tblSafety[Date],$A135)</f>
        <v/>
      </c>
      <c r="HY135" s="62">
        <f>IF($B135=$B134,$HY134,0)+$HX135</f>
        <v/>
      </c>
      <c r="HZ135" s="62">
        <f>$HZ134+$HX135</f>
        <v/>
      </c>
      <c r="IA135" s="62">
        <f>SUMIFS(tblSafety[Env_Incidents],tblSafety[Date],$A135)</f>
        <v/>
      </c>
      <c r="IB135" s="62">
        <f>IF($B135=$B134,$IB134,0)+$IA135</f>
        <v/>
      </c>
      <c r="IC135" s="62">
        <f>$IC134+$IA135</f>
        <v/>
      </c>
      <c r="ID135" s="62">
        <f>SUMIFS(tblSafety[Community_Incidents],tblSafety[Date],$A135)</f>
        <v/>
      </c>
      <c r="IE135" s="62">
        <f>IF($B135=$B134,$IE134,0)+$ID135</f>
        <v/>
      </c>
      <c r="IF135" s="62">
        <f>$IF134+$ID135</f>
        <v/>
      </c>
      <c r="IG135" s="62">
        <f>SUMIFS(tblSafety[Vehicle_Incidents],tblSafety[Date],$A135)</f>
        <v/>
      </c>
      <c r="IH135" s="62">
        <f>IF($B135=$B134,$IH134,0)+$IG135</f>
        <v/>
      </c>
      <c r="II135" s="62">
        <f>$II134+$IG135</f>
        <v/>
      </c>
      <c r="IJ135" s="62">
        <f>SUMIFS(tblSafety[Toolbox_Talks],tblSafety[Date],$A135)</f>
        <v/>
      </c>
      <c r="IK135" s="62">
        <f>IF($B135=$B134,$IK134,0)+$IJ135</f>
        <v/>
      </c>
      <c r="IL135" s="62">
        <f>$IL134+$IJ135</f>
        <v/>
      </c>
      <c r="IM135" s="62">
        <f>SUMIFS(tblSafety[Inspections],tblSafety[Date],$A135)</f>
        <v/>
      </c>
      <c r="IN135" s="62">
        <f>IF($B135=$B134,$IN134,0)+$IM135</f>
        <v/>
      </c>
      <c r="IO135" s="62">
        <f>$IO134+$IM135</f>
        <v/>
      </c>
      <c r="IP135" s="56">
        <f>IFERROR((SUMIFS(tblSafety[Recordables],tblSafety[Date],"&gt;="&amp;EDATE($E135,-12),tblSafety[Date],"&lt;="&amp;$A135)+SUMIFS(tblSafetyHistory[Recordables],tblSafetyHistory[Month],"&gt;="&amp;EDATE($E135,-12),tblSafetyHistory[Month],"&lt;"&amp;$E135,tblSafetyHistory[Use],1))/(SUMIFS(tblSafety[Hours_Total],tblSafety[Date],"&gt;="&amp;EDATE($E135,-12),tblSafety[Date],"&lt;="&amp;$A135)+SUMIFS(tblSafetyHistory[Hours_Total],tblSafetyHistory[Month],"&gt;="&amp;EDATE($E135,-12),tblSafetyHistory[Month],"&lt;"&amp;$E135,tblSafetyHistory[Use],1))*cfg_RateBasisHours,"")</f>
        <v/>
      </c>
      <c r="IQ135" s="56">
        <f>IFERROR((SUMIFS(tblSafety[LTI],tblSafety[Date],"&gt;="&amp;EDATE($E135,-12),tblSafety[Date],"&lt;="&amp;$A135)+SUMIFS(tblSafetyHistory[LTI],tblSafetyHistory[Month],"&gt;="&amp;EDATE($E135,-12),tblSafetyHistory[Month],"&lt;"&amp;$E135,tblSafetyHistory[Use],1))/(SUMIFS(tblSafety[Hours_Total],tblSafety[Date],"&gt;="&amp;EDATE($E135,-12),tblSafety[Date],"&lt;="&amp;$A135)+SUMIFS(tblSafetyHistory[Hours_Total],tblSafetyHistory[Month],"&gt;="&amp;EDATE($E135,-12),tblSafetyHistory[Month],"&lt;"&amp;$E135,tblSafetyHistory[Use],1))*cfg_RateBasisHours,"")</f>
        <v/>
      </c>
      <c r="IR135" s="62">
        <f>IF(MAX(N(cfg_PriorLTIDate),_xlfn.MAXIFS(tblSafety[Date],tblSafety[LTI],"&gt;0",tblSafety[Date],"&lt;="&amp;$A135))=0,"",$A135-MAX(N(cfg_PriorLTIDate),_xlfn.MAXIFS(tblSafety[Date],tblSafety[LTI],"&gt;0",tblSafety[Date],"&lt;="&amp;$A135)))</f>
        <v/>
      </c>
      <c r="IS135" s="55">
        <f>SUMIFS(tblBudget[Ore_Mined_t],tblBudget[Month],$E135)</f>
        <v/>
      </c>
      <c r="IT135" s="55">
        <f>$IS135*$C135/$D135</f>
        <v/>
      </c>
      <c r="IU135" s="55">
        <f>SUMIFS(tblBudget[Ore_Mined_t],tblBudget[Month],"&lt;"&amp;$E135)+$IT135</f>
        <v/>
      </c>
      <c r="IV135" s="55">
        <f>SUMIFS(tblBudget[Ore_oz],tblBudget[Month],$E135)</f>
        <v/>
      </c>
      <c r="IW135" s="55">
        <f>$IV135*$C135/$D135</f>
        <v/>
      </c>
      <c r="IX135" s="55">
        <f>SUMIFS(tblBudget[Ore_oz],tblBudget[Month],"&lt;"&amp;$E135)+$IW135</f>
        <v/>
      </c>
      <c r="IY135" s="55">
        <f>SUMIFS(tblBudget[Ore_Mined_t],tblBudget[Month],$E135)</f>
        <v/>
      </c>
      <c r="IZ135" s="55">
        <f>$IY135*$C135/$D135</f>
        <v/>
      </c>
      <c r="JA135" s="55">
        <f>SUMIFS(tblBudget[Ore_Mined_t],tblBudget[Month],"&lt;"&amp;$E135)+$IZ135</f>
        <v/>
      </c>
      <c r="JB135" s="56">
        <f>IFERROR(IF(($IY135)&gt;0,($IV135*cfg_TroyOz)/($IY135),""),"")</f>
        <v/>
      </c>
      <c r="JC135" s="56">
        <f>IFERROR(IF(($IZ135)&gt;0,($IW135*cfg_TroyOz)/($IZ135),""),"")</f>
        <v/>
      </c>
      <c r="JD135" s="56">
        <f>IFERROR(IF(($JA135)&gt;0,($IX135*cfg_TroyOz)/($JA135),""),"")</f>
        <v/>
      </c>
      <c r="JE135" s="55">
        <f>SUMIFS(tblBudget[Waste_t],tblBudget[Month],$E135)</f>
        <v/>
      </c>
      <c r="JF135" s="55">
        <f>$JE135*$C135/$D135</f>
        <v/>
      </c>
      <c r="JG135" s="55">
        <f>SUMIFS(tblBudget[Waste_t],tblBudget[Month],"&lt;"&amp;$E135)+$JF135</f>
        <v/>
      </c>
      <c r="JH135" s="55">
        <f>SUMIFS(tblBudget[TMM_t],tblBudget[Month],$E135)</f>
        <v/>
      </c>
      <c r="JI135" s="55">
        <f>$JH135*$C135/$D135</f>
        <v/>
      </c>
      <c r="JJ135" s="55">
        <f>SUMIFS(tblBudget[TMM_t],tblBudget[Month],"&lt;"&amp;$E135)+$JI135</f>
        <v/>
      </c>
      <c r="JK135" s="56">
        <f>IFERROR(IF(($IS135)&gt;0,($JE135)/($IS135),""),"")</f>
        <v/>
      </c>
      <c r="JL135" s="56">
        <f>IFERROR(IF(($IT135)&gt;0,($JF135)/($IT135),""),"")</f>
        <v/>
      </c>
      <c r="JM135" s="56">
        <f>IFERROR(IF(($IU135)&gt;0,($JG135)/($IU135),""),"")</f>
        <v/>
      </c>
      <c r="JN135" s="55">
        <f>SUMIFS(tblBudget[Drill_m],tblBudget[Month],$E135)</f>
        <v/>
      </c>
      <c r="JO135" s="55">
        <f>$JN135*$C135/$D135</f>
        <v/>
      </c>
      <c r="JP135" s="55">
        <f>SUMIFS(tblBudget[Drill_m],tblBudget[Month],"&lt;"&amp;$E135)+$JO135</f>
        <v/>
      </c>
      <c r="JQ135" s="55">
        <f>SUMIFS(tblBudget[Diesel_L],tblBudget[Month],$E135)</f>
        <v/>
      </c>
      <c r="JR135" s="55">
        <f>$JQ135*$C135/$D135</f>
        <v/>
      </c>
      <c r="JS135" s="55">
        <f>SUMIFS(tblBudget[Diesel_L],tblBudget[Month],"&lt;"&amp;$E135)+$JR135</f>
        <v/>
      </c>
      <c r="JT135" s="55">
        <f>SUMIFS(tblBudget[Milled_t],tblBudget[Month],$E135)</f>
        <v/>
      </c>
      <c r="JU135" s="55">
        <f>$JT135*$C135/$D135</f>
        <v/>
      </c>
      <c r="JV135" s="55">
        <f>SUMIFS(tblBudget[Milled_t],tblBudget[Month],"&lt;"&amp;$E135)+$JU135</f>
        <v/>
      </c>
      <c r="JW135" s="55">
        <f>SUMIFS(tblBudget[Feed_oz],tblBudget[Month],$E135)</f>
        <v/>
      </c>
      <c r="JX135" s="55">
        <f>$JW135*$C135/$D135</f>
        <v/>
      </c>
      <c r="JY135" s="55">
        <f>SUMIFS(tblBudget[Feed_oz],tblBudget[Month],"&lt;"&amp;$E135)+$JX135</f>
        <v/>
      </c>
      <c r="JZ135" s="55">
        <f>SUMIFS(tblBudget[Recovered_oz],tblBudget[Month],$E135)</f>
        <v/>
      </c>
      <c r="KA135" s="55">
        <f>$JZ135*$C135/$D135</f>
        <v/>
      </c>
      <c r="KB135" s="55">
        <f>SUMIFS(tblBudget[Recovered_oz],tblBudget[Month],"&lt;"&amp;$E135)+$KA135</f>
        <v/>
      </c>
      <c r="KC135" s="55">
        <f>SUMIFS(tblBudget[Milled_t],tblBudget[Month],$E135)</f>
        <v/>
      </c>
      <c r="KD135" s="55">
        <f>$KC135*$C135/$D135</f>
        <v/>
      </c>
      <c r="KE135" s="55">
        <f>SUMIFS(tblBudget[Milled_t],tblBudget[Month],"&lt;"&amp;$E135)+$KD135</f>
        <v/>
      </c>
      <c r="KF135" s="55">
        <f>SUMIFS(tblBudget[Feed_oz],tblBudget[Month],$E135)</f>
        <v/>
      </c>
      <c r="KG135" s="55">
        <f>$KF135*$C135/$D135</f>
        <v/>
      </c>
      <c r="KH135" s="55">
        <f>SUMIFS(tblBudget[Feed_oz],tblBudget[Month],"&lt;"&amp;$E135)+$KG135</f>
        <v/>
      </c>
      <c r="KI135" s="56">
        <f>IFERROR(IF(($KC135)&gt;0,($JW135*cfg_TroyOz)/($KC135),""),"")</f>
        <v/>
      </c>
      <c r="KJ135" s="56">
        <f>IFERROR(IF(($KD135)&gt;0,($JX135*cfg_TroyOz)/($KD135),""),"")</f>
        <v/>
      </c>
      <c r="KK135" s="56">
        <f>IFERROR(IF(($KE135)&gt;0,($JY135*cfg_TroyOz)/($KE135),""),"")</f>
        <v/>
      </c>
      <c r="KL135" s="67">
        <f>IFERROR(IF(($KF135)&gt;0,($JZ135)/($KF135),""),"")</f>
        <v/>
      </c>
      <c r="KM135" s="67">
        <f>IFERROR(IF(($KG135)&gt;0,($KA135)/($KG135),""),"")</f>
        <v/>
      </c>
      <c r="KN135" s="67">
        <f>IFERROR(IF(($KH135)&gt;0,($KB135)/($KH135),""),"")</f>
        <v/>
      </c>
      <c r="KO135" s="55">
        <f>SUMIFS(tblBudget[Gold_Poured_oz],tblBudget[Month],$E135)</f>
        <v/>
      </c>
      <c r="KP135" s="55">
        <f>$KO135*$C135/$D135</f>
        <v/>
      </c>
      <c r="KQ135" s="55">
        <f>SUMIFS(tblBudget[Gold_Poured_oz],tblBudget[Month],"&lt;"&amp;$E135)+$KP135</f>
        <v/>
      </c>
      <c r="KR135" s="57">
        <f>SUMIFS(tblBudget[Hours_Worked],tblBudget[Month],$E135)</f>
        <v/>
      </c>
      <c r="KS135" s="57">
        <f>$KR135*$C135/$D135</f>
        <v/>
      </c>
      <c r="KT135" s="57">
        <f>SUMIFS(tblBudget[Hours_Worked],tblBudget[Month],"&lt;"&amp;$E135)+$KS135</f>
        <v/>
      </c>
    </row>
    <row r="136">
      <c r="A136" s="54" t="n">
        <v>46157</v>
      </c>
      <c r="B136">
        <f>MONTH($A136)</f>
        <v/>
      </c>
      <c r="C136">
        <f>DAY($A136)</f>
        <v/>
      </c>
      <c r="D136">
        <f>DAY(EOMONTH($A136,0))</f>
        <v/>
      </c>
      <c r="E136" s="54">
        <f>DATE(YEAR($A136),MONTH($A136),1)</f>
        <v/>
      </c>
      <c r="F136" s="55">
        <f>SUMIFS(tblMovement[Tonnes_t],tblMovement[Date],$A136,tblMovement[Is_Ore],1,tblMovement[Source_Type],"Pit")</f>
        <v/>
      </c>
      <c r="G136" s="55">
        <f>IF($B136=$B135,$G135,0)+$F136</f>
        <v/>
      </c>
      <c r="H136" s="55">
        <f>$H135+$F136</f>
        <v/>
      </c>
      <c r="I136" s="55">
        <f>SUMIFS(tblMovement[Ore_oz],tblMovement[Date],$A136,tblMovement[Source_Type],"Pit")</f>
        <v/>
      </c>
      <c r="J136" s="55">
        <f>IF($B136=$B135,$J135,0)+$I136</f>
        <v/>
      </c>
      <c r="K136" s="55">
        <f>$K135+$I136</f>
        <v/>
      </c>
      <c r="L136" s="55">
        <f>SUMIFS(tblMovement[Tonnes_t],tblMovement[Date],$A136,tblMovement[Is_Ore],1,tblMovement[Source_Type],"Pit",tblMovement[Grade_gpt],"&lt;&gt;")</f>
        <v/>
      </c>
      <c r="M136" s="55">
        <f>IF($B136=$B135,$M135,0)+$L136</f>
        <v/>
      </c>
      <c r="N136" s="55">
        <f>$N135+$L136</f>
        <v/>
      </c>
      <c r="O136" s="56">
        <f>IFERROR(IF(($L136)&gt;0,($I136*cfg_TroyOz)/($L136),""),"")</f>
        <v/>
      </c>
      <c r="P136" s="56">
        <f>IFERROR(IF(($M136)&gt;0,($J136*cfg_TroyOz)/($M136),""),"")</f>
        <v/>
      </c>
      <c r="Q136" s="56">
        <f>IFERROR(IF(($N136)&gt;0,($K136*cfg_TroyOz)/($N136),""),"")</f>
        <v/>
      </c>
      <c r="R136" s="55">
        <f>$F136-$L136</f>
        <v/>
      </c>
      <c r="S136" s="55">
        <f>IF($B136=$B135,$S135,0)+$R136</f>
        <v/>
      </c>
      <c r="T136" s="55">
        <f>$T135+$R136</f>
        <v/>
      </c>
      <c r="U136" s="55">
        <f>SUMIFS(tblMovement[Tonnes_t],tblMovement[Date],$A136,tblMovement[Is_Ore],0,tblMovement[Source_Type],"Pit")</f>
        <v/>
      </c>
      <c r="V136" s="55">
        <f>IF($B136=$B135,$V135,0)+$U136</f>
        <v/>
      </c>
      <c r="W136" s="55">
        <f>$W135+$U136</f>
        <v/>
      </c>
      <c r="X136" s="55">
        <f>$F136+$U136</f>
        <v/>
      </c>
      <c r="Y136" s="55">
        <f>IF($B136=$B135,$Y135,0)+$X136</f>
        <v/>
      </c>
      <c r="Z136" s="55">
        <f>$Z135+$X136</f>
        <v/>
      </c>
      <c r="AA136" s="56">
        <f>IFERROR(IF(($F136)&gt;0,($U136)/($F136),""),"")</f>
        <v/>
      </c>
      <c r="AB136" s="56">
        <f>IFERROR(IF(($G136)&gt;0,($V136)/($G136),""),"")</f>
        <v/>
      </c>
      <c r="AC136" s="56">
        <f>IFERROR(IF(($H136)&gt;0,($W136)/($H136),""),"")</f>
        <v/>
      </c>
      <c r="AD136" s="55">
        <f>SUMIFS(tblMovement[Tonnes_t],tblMovement[Date],$A136,tblMovement[Source_Type],"Stockpile")</f>
        <v/>
      </c>
      <c r="AE136" s="55">
        <f>IF($B136=$B135,$AE135,0)+$AD136</f>
        <v/>
      </c>
      <c r="AF136" s="55">
        <f>$AF135+$AD136</f>
        <v/>
      </c>
      <c r="AG136" s="55">
        <f>SUMIFS(tblMovement[Tonnes_t],tblMovement[Date],$A136)</f>
        <v/>
      </c>
      <c r="AH136" s="55">
        <f>IF($B136=$B135,$AH135,0)+$AG136</f>
        <v/>
      </c>
      <c r="AI136" s="55">
        <f>$AI135+$AG136</f>
        <v/>
      </c>
      <c r="AJ136" s="55">
        <f>$AG136-$X136-$AD136</f>
        <v/>
      </c>
      <c r="AK136" s="55">
        <f>IF($B136=$B135,$AK135,0)+$AJ136</f>
        <v/>
      </c>
      <c r="AL136" s="55">
        <f>$AL135+$AJ136</f>
        <v/>
      </c>
      <c r="AM136" s="55">
        <f>SUMIFS(tblMiningDaily[Drill_m],tblMiningDaily[Date],$A136)</f>
        <v/>
      </c>
      <c r="AN136" s="55">
        <f>IF($B136=$B135,$AN135,0)+$AM136</f>
        <v/>
      </c>
      <c r="AO136" s="55">
        <f>$AO135+$AM136</f>
        <v/>
      </c>
      <c r="AP136" s="55">
        <f>SUMIFS(tblMiningDaily[GC_Drill_m],tblMiningDaily[Date],$A136)</f>
        <v/>
      </c>
      <c r="AQ136" s="55">
        <f>IF($B136=$B135,$AQ135,0)+$AP136</f>
        <v/>
      </c>
      <c r="AR136" s="55">
        <f>$AR135+$AP136</f>
        <v/>
      </c>
      <c r="AS136" s="55">
        <f>SUMIFS(tblMiningDaily[Blast_t],tblMiningDaily[Date],$A136)</f>
        <v/>
      </c>
      <c r="AT136" s="55">
        <f>IF($B136=$B135,$AT135,0)+$AS136</f>
        <v/>
      </c>
      <c r="AU136" s="55">
        <f>$AU135+$AS136</f>
        <v/>
      </c>
      <c r="AV136" s="55">
        <f>SUMIFS(tblMiningDaily[Explosives_kg],tblMiningDaily[Date],$A136)</f>
        <v/>
      </c>
      <c r="AW136" s="55">
        <f>IF($B136=$B135,$AW135,0)+$AV136</f>
        <v/>
      </c>
      <c r="AX136" s="55">
        <f>$AX135+$AV136</f>
        <v/>
      </c>
      <c r="AY136" s="56">
        <f>IFERROR(IF(($AS136)&gt;0,($AV136)/($AS136),""),"")</f>
        <v/>
      </c>
      <c r="AZ136" s="56">
        <f>IFERROR(IF(($AT136)&gt;0,($AW136)/($AT136),""),"")</f>
        <v/>
      </c>
      <c r="BA136" s="56">
        <f>IFERROR(IF(($AU136)&gt;0,($AX136)/($AU136),""),"")</f>
        <v/>
      </c>
      <c r="BB136" s="55">
        <f>SUMIFS(tblMiningDaily[Diesel_L],tblMiningDaily[Date],$A136)</f>
        <v/>
      </c>
      <c r="BC136" s="55">
        <f>IF($B136=$B135,$BC135,0)+$BB136</f>
        <v/>
      </c>
      <c r="BD136" s="55">
        <f>$BD135+$BB136</f>
        <v/>
      </c>
      <c r="BE136" s="55">
        <f>SUMIFS(tblMiningDaily[Dewatering_m3],tblMiningDaily[Date],$A136)</f>
        <v/>
      </c>
      <c r="BF136" s="55">
        <f>IF($B136=$B135,$BF135,0)+$BE136</f>
        <v/>
      </c>
      <c r="BG136" s="55">
        <f>$BG135+$BE136</f>
        <v/>
      </c>
      <c r="BH136" s="57">
        <f>SUMIFS(tblFleet[Calendar_h],tblFleet[Date],$A136,tblFleet[Equipment_Class],"Excavator")</f>
        <v/>
      </c>
      <c r="BI136" s="57">
        <f>IF($B136=$B135,$BI135,0)+$BH136</f>
        <v/>
      </c>
      <c r="BJ136" s="57">
        <f>$BJ135+$BH136</f>
        <v/>
      </c>
      <c r="BK136" s="57">
        <f>SUMIFS(tblFleet[Available_h],tblFleet[Date],$A136,tblFleet[Equipment_Class],"Excavator")</f>
        <v/>
      </c>
      <c r="BL136" s="57">
        <f>IF($B136=$B135,$BL135,0)+$BK136</f>
        <v/>
      </c>
      <c r="BM136" s="57">
        <f>$BM135+$BK136</f>
        <v/>
      </c>
      <c r="BN136" s="57">
        <f>SUMIFS(tblFleet[Operating_h],tblFleet[Date],$A136,tblFleet[Equipment_Class],"Excavator")</f>
        <v/>
      </c>
      <c r="BO136" s="57">
        <f>IF($B136=$B135,$BO135,0)+$BN136</f>
        <v/>
      </c>
      <c r="BP136" s="57">
        <f>$BP135+$BN136</f>
        <v/>
      </c>
      <c r="BQ136" s="67">
        <f>IFERROR(IF(($BH136)&gt;0,($BK136)/($BH136),""),"")</f>
        <v/>
      </c>
      <c r="BR136" s="67">
        <f>IFERROR(IF(($BI136)&gt;0,($BL136)/($BI136),""),"")</f>
        <v/>
      </c>
      <c r="BS136" s="67">
        <f>IFERROR(IF(($BJ136)&gt;0,($BM136)/($BJ136),""),"")</f>
        <v/>
      </c>
      <c r="BT136" s="67">
        <f>IFERROR(IF(($BK136)&gt;0,($BN136)/($BK136),""),"")</f>
        <v/>
      </c>
      <c r="BU136" s="67">
        <f>IFERROR(IF(($BL136)&gt;0,($BO136)/($BL136),""),"")</f>
        <v/>
      </c>
      <c r="BV136" s="67">
        <f>IFERROR(IF(($BM136)&gt;0,($BP136)/($BM136),""),"")</f>
        <v/>
      </c>
      <c r="BW136" s="57">
        <f>SUMIFS(tblFleet[Calendar_h],tblFleet[Date],$A136,tblFleet[Equipment_Class],"Haul Truck")</f>
        <v/>
      </c>
      <c r="BX136" s="57">
        <f>IF($B136=$B135,$BX135,0)+$BW136</f>
        <v/>
      </c>
      <c r="BY136" s="57">
        <f>$BY135+$BW136</f>
        <v/>
      </c>
      <c r="BZ136" s="57">
        <f>SUMIFS(tblFleet[Available_h],tblFleet[Date],$A136,tblFleet[Equipment_Class],"Haul Truck")</f>
        <v/>
      </c>
      <c r="CA136" s="57">
        <f>IF($B136=$B135,$CA135,0)+$BZ136</f>
        <v/>
      </c>
      <c r="CB136" s="57">
        <f>$CB135+$BZ136</f>
        <v/>
      </c>
      <c r="CC136" s="57">
        <f>SUMIFS(tblFleet[Operating_h],tblFleet[Date],$A136,tblFleet[Equipment_Class],"Haul Truck")</f>
        <v/>
      </c>
      <c r="CD136" s="57">
        <f>IF($B136=$B135,$CD135,0)+$CC136</f>
        <v/>
      </c>
      <c r="CE136" s="57">
        <f>$CE135+$CC136</f>
        <v/>
      </c>
      <c r="CF136" s="67">
        <f>IFERROR(IF(($BW136)&gt;0,($BZ136)/($BW136),""),"")</f>
        <v/>
      </c>
      <c r="CG136" s="67">
        <f>IFERROR(IF(($BX136)&gt;0,($CA136)/($BX136),""),"")</f>
        <v/>
      </c>
      <c r="CH136" s="67">
        <f>IFERROR(IF(($BY136)&gt;0,($CB136)/($BY136),""),"")</f>
        <v/>
      </c>
      <c r="CI136" s="67">
        <f>IFERROR(IF(($BZ136)&gt;0,($CC136)/($BZ136),""),"")</f>
        <v/>
      </c>
      <c r="CJ136" s="67">
        <f>IFERROR(IF(($CA136)&gt;0,($CD136)/($CA136),""),"")</f>
        <v/>
      </c>
      <c r="CK136" s="67">
        <f>IFERROR(IF(($CB136)&gt;0,($CE136)/($CB136),""),"")</f>
        <v/>
      </c>
      <c r="CL136" s="55">
        <f>IFERROR(IF(($BN136)&gt;0,($X136+$AD136)/($BN136),""),"")</f>
        <v/>
      </c>
      <c r="CM136" s="55">
        <f>IFERROR(IF(($BO136)&gt;0,($Y136+$AE136)/($BO136),""),"")</f>
        <v/>
      </c>
      <c r="CN136" s="55">
        <f>IFERROR(IF(($BP136)&gt;0,($Z136+$AF136)/($BP136),""),"")</f>
        <v/>
      </c>
      <c r="CO136" s="55">
        <f>IFERROR(IF(($CC136)&gt;0,($X136+$AD136)/($CC136),""),"")</f>
        <v/>
      </c>
      <c r="CP136" s="55">
        <f>IFERROR(IF(($CD136)&gt;0,($Y136+$AE136)/($CD136),""),"")</f>
        <v/>
      </c>
      <c r="CQ136" s="55">
        <f>IFERROR(IF(($CE136)&gt;0,($Z136+$AF136)/($CE136),""),"")</f>
        <v/>
      </c>
      <c r="CR136" s="55">
        <f>SUMIFS(tblPlant[Crushed_t],tblPlant[Date],$A136)</f>
        <v/>
      </c>
      <c r="CS136" s="55">
        <f>IF($B136=$B135,$CS135,0)+$CR136</f>
        <v/>
      </c>
      <c r="CT136" s="55">
        <f>$CT135+$CR136</f>
        <v/>
      </c>
      <c r="CU136" s="55">
        <f>SUMIFS(tblPlant[Milled_t],tblPlant[Date],$A136)</f>
        <v/>
      </c>
      <c r="CV136" s="55">
        <f>IF($B136=$B135,$CV135,0)+$CU136</f>
        <v/>
      </c>
      <c r="CW136" s="55">
        <f>$CW135+$CU136</f>
        <v/>
      </c>
      <c r="CX136" s="55">
        <f>SUMIFS(tblPlant[Feed_oz],tblPlant[Date],$A136)</f>
        <v/>
      </c>
      <c r="CY136" s="55">
        <f>IF($B136=$B135,$CY135,0)+$CX136</f>
        <v/>
      </c>
      <c r="CZ136" s="55">
        <f>$CZ135+$CX136</f>
        <v/>
      </c>
      <c r="DA136" s="55">
        <f>SUMIFS(tblPlant[Tails_oz],tblPlant[Date],$A136)</f>
        <v/>
      </c>
      <c r="DB136" s="55">
        <f>IF($B136=$B135,$DB135,0)+$DA136</f>
        <v/>
      </c>
      <c r="DC136" s="55">
        <f>$DC135+$DA136</f>
        <v/>
      </c>
      <c r="DD136" s="55">
        <f>SUMIFS(tblPlant[Recovered_oz],tblPlant[Date],$A136)</f>
        <v/>
      </c>
      <c r="DE136" s="55">
        <f>IF($B136=$B135,$DE135,0)+$DD136</f>
        <v/>
      </c>
      <c r="DF136" s="55">
        <f>$DF135+$DD136</f>
        <v/>
      </c>
      <c r="DG136" s="55">
        <f>SUMIFS(tblPlant[Milled_t],tblPlant[Date],$A136,tblPlant[Head_Grade_gpt],"&lt;&gt;")</f>
        <v/>
      </c>
      <c r="DH136" s="55">
        <f>IF($B136=$B135,$DH135,0)+$DG136</f>
        <v/>
      </c>
      <c r="DI136" s="55">
        <f>$DI135+$DG136</f>
        <v/>
      </c>
      <c r="DJ136" s="55">
        <f>SUMIFS(tblPlant[Milled_t],tblPlant[Date],$A136,tblPlant[Tails_Grade_gpt],"&lt;&gt;")</f>
        <v/>
      </c>
      <c r="DK136" s="55">
        <f>IF($B136=$B135,$DK135,0)+$DJ136</f>
        <v/>
      </c>
      <c r="DL136" s="55">
        <f>$DL135+$DJ136</f>
        <v/>
      </c>
      <c r="DM136" s="55">
        <f>SUMIFS(tblPlant[Feed_oz],tblPlant[Date],$A136,tblPlant[Tails_Grade_gpt],"&lt;&gt;")</f>
        <v/>
      </c>
      <c r="DN136" s="55">
        <f>IF($B136=$B135,$DN135,0)+$DM136</f>
        <v/>
      </c>
      <c r="DO136" s="55">
        <f>$DO135+$DM136</f>
        <v/>
      </c>
      <c r="DP136" s="55">
        <f>SUMIFS(tblPlant[Milled_t],tblPlant[Date],$A136,tblPlant[Mill_Run_h],"&lt;&gt;")</f>
        <v/>
      </c>
      <c r="DQ136" s="55">
        <f>IF($B136=$B135,$DQ135,0)+$DP136</f>
        <v/>
      </c>
      <c r="DR136" s="55">
        <f>$DR135+$DP136</f>
        <v/>
      </c>
      <c r="DS136" s="56">
        <f>IFERROR(IF(($DG136)&gt;0,($CX136*cfg_TroyOz)/($DG136),""),"")</f>
        <v/>
      </c>
      <c r="DT136" s="56">
        <f>IFERROR(IF(($DH136)&gt;0,($CY136*cfg_TroyOz)/($DH136),""),"")</f>
        <v/>
      </c>
      <c r="DU136" s="56">
        <f>IFERROR(IF(($DI136)&gt;0,($CZ136*cfg_TroyOz)/($DI136),""),"")</f>
        <v/>
      </c>
      <c r="DV136" s="56">
        <f>IFERROR(IF(($DJ136)&gt;0,($DA136*cfg_TroyOz)/($DJ136),""),"")</f>
        <v/>
      </c>
      <c r="DW136" s="56">
        <f>IFERROR(IF(($DK136)&gt;0,($DB136*cfg_TroyOz)/($DK136),""),"")</f>
        <v/>
      </c>
      <c r="DX136" s="56">
        <f>IFERROR(IF(($DL136)&gt;0,($DC136*cfg_TroyOz)/($DL136),""),"")</f>
        <v/>
      </c>
      <c r="DY136" s="67">
        <f>IFERROR(IF(($DM136)&gt;0,($DD136)/($DM136),""),"")</f>
        <v/>
      </c>
      <c r="DZ136" s="67">
        <f>IFERROR(IF(($DN136)&gt;0,($DE136)/($DN136),""),"")</f>
        <v/>
      </c>
      <c r="EA136" s="67">
        <f>IFERROR(IF(($DO136)&gt;0,($DF136)/($DO136),""),"")</f>
        <v/>
      </c>
      <c r="EB136" s="55">
        <f>SUMIFS(tblPlant[Gravity_Gold_oz],tblPlant[Date],$A136)</f>
        <v/>
      </c>
      <c r="EC136" s="55">
        <f>IF($B136=$B135,$EC135,0)+$EB136</f>
        <v/>
      </c>
      <c r="ED136" s="55">
        <f>$ED135+$EB136</f>
        <v/>
      </c>
      <c r="EE136" s="67">
        <f>IFERROR(IF(($DD136)&gt;0,($EB136)/($DD136),""),"")</f>
        <v/>
      </c>
      <c r="EF136" s="67">
        <f>IFERROR(IF(($DE136)&gt;0,($EC136)/($DE136),""),"")</f>
        <v/>
      </c>
      <c r="EG136" s="67">
        <f>IFERROR(IF(($DF136)&gt;0,($ED136)/($DF136),""),"")</f>
        <v/>
      </c>
      <c r="EH136" s="55">
        <f>SUMIFS(tblPlant[Gold_Poured_oz],tblPlant[Date],$A136)</f>
        <v/>
      </c>
      <c r="EI136" s="55">
        <f>IF($B136=$B135,$EI135,0)+$EH136</f>
        <v/>
      </c>
      <c r="EJ136" s="55">
        <f>$EJ135+$EH136</f>
        <v/>
      </c>
      <c r="EK136" s="57">
        <f>SUMIFS(tblPlant[Mill_Run_h],tblPlant[Date],$A136)</f>
        <v/>
      </c>
      <c r="EL136" s="57">
        <f>IF($B136=$B135,$EL135,0)+$EK136</f>
        <v/>
      </c>
      <c r="EM136" s="57">
        <f>$EM135+$EK136</f>
        <v/>
      </c>
      <c r="EN136" s="57">
        <f>SUMIFS(tblPlant[Mill_Planned_Maint_h],tblPlant[Date],$A136)</f>
        <v/>
      </c>
      <c r="EO136" s="57">
        <f>IF($B136=$B135,$EO135,0)+$EN136</f>
        <v/>
      </c>
      <c r="EP136" s="57">
        <f>$EP135+$EN136</f>
        <v/>
      </c>
      <c r="EQ136" s="57">
        <f>SUMIFS(tblPlant[Mill_Unplanned_Down_h],tblPlant[Date],$A136)</f>
        <v/>
      </c>
      <c r="ER136" s="57">
        <f>IF($B136=$B135,$ER135,0)+$EQ136</f>
        <v/>
      </c>
      <c r="ES136" s="57">
        <f>$ES135+$EQ136</f>
        <v/>
      </c>
      <c r="ET136" s="57">
        <f>IF(COUNTIFS(tblPlant[Date],$A136,tblPlant[Mill_Run_h],"&lt;&gt;")+COUNTIFS(tblPlant[Date],$A136,tblPlant[Mill_Planned_Maint_h],"&lt;&gt;")+COUNTIFS(tblPlant[Date],$A136,tblPlant[Mill_Unplanned_Down_h],"&lt;&gt;")&gt;0,cfg_HoursPerDay,0)</f>
        <v/>
      </c>
      <c r="EU136" s="57">
        <f>IF($B136=$B135,$EU135,0)+$ET136</f>
        <v/>
      </c>
      <c r="EV136" s="57">
        <f>$EV135+$ET136</f>
        <v/>
      </c>
      <c r="EW136" s="57">
        <f>SUMIFS(tblPlant[Crusher_Run_h],tblPlant[Date],$A136)</f>
        <v/>
      </c>
      <c r="EX136" s="57">
        <f>IF($B136=$B135,$EX135,0)+$EW136</f>
        <v/>
      </c>
      <c r="EY136" s="57">
        <f>$EY135+$EW136</f>
        <v/>
      </c>
      <c r="EZ136" s="55">
        <f>IFERROR(IF(($EK136)&gt;0,($DP136)/($EK136),""),"")</f>
        <v/>
      </c>
      <c r="FA136" s="55">
        <f>IFERROR(IF(($EL136)&gt;0,($DQ136)/($EL136),""),"")</f>
        <v/>
      </c>
      <c r="FB136" s="55">
        <f>IFERROR(IF(($EM136)&gt;0,($DR136)/($EM136),""),"")</f>
        <v/>
      </c>
      <c r="FC136" s="67">
        <f>IFERROR(IF(($ET136)&gt;0,($ET136-$EN136-$EQ136)/($ET136),""),"")</f>
        <v/>
      </c>
      <c r="FD136" s="67">
        <f>IFERROR(IF(($EU136)&gt;0,($EU136-$EO136-$ER136)/($EU136),""),"")</f>
        <v/>
      </c>
      <c r="FE136" s="67">
        <f>IFERROR(IF(($EV136)&gt;0,($EV136-$EP136-$ES136)/($EV136),""),"")</f>
        <v/>
      </c>
      <c r="FF136" s="67">
        <f>IFERROR(IF(($ET136-$EN136-$EQ136)&gt;0,($EK136)/($ET136-$EN136-$EQ136),""),"")</f>
        <v/>
      </c>
      <c r="FG136" s="67">
        <f>IFERROR(IF(($EU136-$EO136-$ER136)&gt;0,($EL136)/($EU136-$EO136-$ER136),""),"")</f>
        <v/>
      </c>
      <c r="FH136" s="67">
        <f>IFERROR(IF(($EV136-$EP136-$ES136)&gt;0,($EM136)/($EV136-$EP136-$ES136),""),"")</f>
        <v/>
      </c>
      <c r="FI136" s="55">
        <f>SUMIFS(tblPlant[Cyanide_kg],tblPlant[Date],$A136)</f>
        <v/>
      </c>
      <c r="FJ136" s="55">
        <f>IF($B136=$B135,$FJ135,0)+$FI136</f>
        <v/>
      </c>
      <c r="FK136" s="55">
        <f>$FK135+$FI136</f>
        <v/>
      </c>
      <c r="FL136" s="55">
        <f>SUMIFS(tblPlant[Lime_kg],tblPlant[Date],$A136)</f>
        <v/>
      </c>
      <c r="FM136" s="55">
        <f>IF($B136=$B135,$FM135,0)+$FL136</f>
        <v/>
      </c>
      <c r="FN136" s="55">
        <f>$FN135+$FL136</f>
        <v/>
      </c>
      <c r="FO136" s="55">
        <f>SUMIFS(tblPlant[Grinding_Media_kg],tblPlant[Date],$A136)</f>
        <v/>
      </c>
      <c r="FP136" s="55">
        <f>IF($B136=$B135,$FP135,0)+$FO136</f>
        <v/>
      </c>
      <c r="FQ136" s="55">
        <f>$FQ135+$FO136</f>
        <v/>
      </c>
      <c r="FR136" s="55">
        <f>SUMIFS(tblPlant[Power_kWh],tblPlant[Date],$A136)</f>
        <v/>
      </c>
      <c r="FS136" s="55">
        <f>IF($B136=$B135,$FS135,0)+$FR136</f>
        <v/>
      </c>
      <c r="FT136" s="55">
        <f>$FT135+$FR136</f>
        <v/>
      </c>
      <c r="FU136" s="55">
        <f>SUMIFS(tblPlant[Raw_Water_m3],tblPlant[Date],$A136)</f>
        <v/>
      </c>
      <c r="FV136" s="55">
        <f>IF($B136=$B135,$FV135,0)+$FU136</f>
        <v/>
      </c>
      <c r="FW136" s="55">
        <f>$FW135+$FU136</f>
        <v/>
      </c>
      <c r="FX136" s="56">
        <f>IFERROR(IF(($CU136)&gt;0,($FI136)/($CU136),""),"")</f>
        <v/>
      </c>
      <c r="FY136" s="56">
        <f>IFERROR(IF(($CV136)&gt;0,($FJ136)/($CV136),""),"")</f>
        <v/>
      </c>
      <c r="FZ136" s="56">
        <f>IFERROR(IF(($CW136)&gt;0,($FK136)/($CW136),""),"")</f>
        <v/>
      </c>
      <c r="GA136" s="56">
        <f>IFERROR(IF(($CU136)&gt;0,($FL136)/($CU136),""),"")</f>
        <v/>
      </c>
      <c r="GB136" s="56">
        <f>IFERROR(IF(($CV136)&gt;0,($FM136)/($CV136),""),"")</f>
        <v/>
      </c>
      <c r="GC136" s="56">
        <f>IFERROR(IF(($CW136)&gt;0,($FN136)/($CW136),""),"")</f>
        <v/>
      </c>
      <c r="GD136" s="56">
        <f>IFERROR(IF(($CU136)&gt;0,($FO136)/($CU136),""),"")</f>
        <v/>
      </c>
      <c r="GE136" s="56">
        <f>IFERROR(IF(($CV136)&gt;0,($FP136)/($CV136),""),"")</f>
        <v/>
      </c>
      <c r="GF136" s="56">
        <f>IFERROR(IF(($CW136)&gt;0,($FQ136)/($CW136),""),"")</f>
        <v/>
      </c>
      <c r="GG136" s="79">
        <f>IFERROR(IF(($CU136)&gt;0,($FR136)/($CU136),""),"")</f>
        <v/>
      </c>
      <c r="GH136" s="79">
        <f>IFERROR(IF(($CV136)&gt;0,($FS136)/($CV136),""),"")</f>
        <v/>
      </c>
      <c r="GI136" s="79">
        <f>IFERROR(IF(($CW136)&gt;0,($FT136)/($CW136),""),"")</f>
        <v/>
      </c>
      <c r="GJ136" s="56">
        <f>IFERROR(IF(($CU136)&gt;0,($FU136)/($CU136),""),"")</f>
        <v/>
      </c>
      <c r="GK136" s="56">
        <f>IFERROR(IF(($CV136)&gt;0,($FV136)/($CV136),""),"")</f>
        <v/>
      </c>
      <c r="GL136" s="56">
        <f>IFERROR(IF(($CW136)&gt;0,($FW136)/($CW136),""),"")</f>
        <v/>
      </c>
      <c r="GM136" s="55">
        <f>IF(SUMIFS(tblPlant[GIC_oz],tblPlant[Date],$A136)&gt;0,SUMIFS(tblPlant[GIC_oz],tblPlant[Date],$A136),"")</f>
        <v/>
      </c>
      <c r="GN136" s="55">
        <f>SUMIFS(tblGold[Gold_oz],tblGold[Date],$A136,tblGold[Type],"Shipment")</f>
        <v/>
      </c>
      <c r="GO136" s="55">
        <f>IF($B136=$B135,$GO135,0)+$GN136</f>
        <v/>
      </c>
      <c r="GP136" s="55">
        <f>$GP135+$GN136</f>
        <v/>
      </c>
      <c r="GQ136" s="55">
        <f>SUMIFS(tblGold[Gold_oz],tblGold[Date],$A136,tblGold[Type],"Sale")</f>
        <v/>
      </c>
      <c r="GR136" s="55">
        <f>IF($B136=$B135,$GR135,0)+$GQ136</f>
        <v/>
      </c>
      <c r="GS136" s="55">
        <f>$GS135+$GQ136</f>
        <v/>
      </c>
      <c r="GT136" s="55">
        <f>SUMIFS(tblGold[Dore_kg],tblGold[Date],$A136,tblGold[Type],"Shipment")</f>
        <v/>
      </c>
      <c r="GU136" s="55">
        <f>IF($B136=$B135,$GU135,0)+$GT136</f>
        <v/>
      </c>
      <c r="GV136" s="55">
        <f>$GV135+$GT136</f>
        <v/>
      </c>
      <c r="GW136" s="57">
        <f>SUMIFS(tblSafety[Hours_Total],tblSafety[Date],$A136)</f>
        <v/>
      </c>
      <c r="GX136" s="57">
        <f>IF($B136=$B135,$GX135,0)+$GW136</f>
        <v/>
      </c>
      <c r="GY136" s="57">
        <f>$GY135+$GW136</f>
        <v/>
      </c>
      <c r="GZ136" s="62">
        <f>SUMIFS(tblSafety[Fatality],tblSafety[Date],$A136)</f>
        <v/>
      </c>
      <c r="HA136" s="62">
        <f>IF($B136=$B135,$HA135,0)+$GZ136</f>
        <v/>
      </c>
      <c r="HB136" s="62">
        <f>$HB135+$GZ136</f>
        <v/>
      </c>
      <c r="HC136" s="62">
        <f>SUMIFS(tblSafety[LTI],tblSafety[Date],$A136)</f>
        <v/>
      </c>
      <c r="HD136" s="62">
        <f>IF($B136=$B135,$HD135,0)+$HC136</f>
        <v/>
      </c>
      <c r="HE136" s="62">
        <f>$HE135+$HC136</f>
        <v/>
      </c>
      <c r="HF136" s="62">
        <f>SUMIFS(tblSafety[RWI],tblSafety[Date],$A136)</f>
        <v/>
      </c>
      <c r="HG136" s="62">
        <f>IF($B136=$B135,$HG135,0)+$HF136</f>
        <v/>
      </c>
      <c r="HH136" s="62">
        <f>$HH135+$HF136</f>
        <v/>
      </c>
      <c r="HI136" s="62">
        <f>SUMIFS(tblSafety[MTI],tblSafety[Date],$A136)</f>
        <v/>
      </c>
      <c r="HJ136" s="62">
        <f>IF($B136=$B135,$HJ135,0)+$HI136</f>
        <v/>
      </c>
      <c r="HK136" s="62">
        <f>$HK135+$HI136</f>
        <v/>
      </c>
      <c r="HL136" s="62">
        <f>SUMIFS(tblSafety[FAI],tblSafety[Date],$A136)</f>
        <v/>
      </c>
      <c r="HM136" s="62">
        <f>IF($B136=$B135,$HM135,0)+$HL136</f>
        <v/>
      </c>
      <c r="HN136" s="62">
        <f>$HN135+$HL136</f>
        <v/>
      </c>
      <c r="HO136" s="62">
        <f>SUMIFS(tblSafety[Recordables],tblSafety[Date],$A136)</f>
        <v/>
      </c>
      <c r="HP136" s="62">
        <f>IF($B136=$B135,$HP135,0)+$HO136</f>
        <v/>
      </c>
      <c r="HQ136" s="62">
        <f>$HQ135+$HO136</f>
        <v/>
      </c>
      <c r="HR136" s="62">
        <f>SUMIFS(tblSafety[Near_Miss],tblSafety[Date],$A136)</f>
        <v/>
      </c>
      <c r="HS136" s="62">
        <f>IF($B136=$B135,$HS135,0)+$HR136</f>
        <v/>
      </c>
      <c r="HT136" s="62">
        <f>$HT135+$HR136</f>
        <v/>
      </c>
      <c r="HU136" s="62">
        <f>SUMIFS(tblSafety[Hazard_Reports],tblSafety[Date],$A136)</f>
        <v/>
      </c>
      <c r="HV136" s="62">
        <f>IF($B136=$B135,$HV135,0)+$HU136</f>
        <v/>
      </c>
      <c r="HW136" s="62">
        <f>$HW135+$HU136</f>
        <v/>
      </c>
      <c r="HX136" s="62">
        <f>SUMIFS(tblSafety[HPI],tblSafety[Date],$A136)</f>
        <v/>
      </c>
      <c r="HY136" s="62">
        <f>IF($B136=$B135,$HY135,0)+$HX136</f>
        <v/>
      </c>
      <c r="HZ136" s="62">
        <f>$HZ135+$HX136</f>
        <v/>
      </c>
      <c r="IA136" s="62">
        <f>SUMIFS(tblSafety[Env_Incidents],tblSafety[Date],$A136)</f>
        <v/>
      </c>
      <c r="IB136" s="62">
        <f>IF($B136=$B135,$IB135,0)+$IA136</f>
        <v/>
      </c>
      <c r="IC136" s="62">
        <f>$IC135+$IA136</f>
        <v/>
      </c>
      <c r="ID136" s="62">
        <f>SUMIFS(tblSafety[Community_Incidents],tblSafety[Date],$A136)</f>
        <v/>
      </c>
      <c r="IE136" s="62">
        <f>IF($B136=$B135,$IE135,0)+$ID136</f>
        <v/>
      </c>
      <c r="IF136" s="62">
        <f>$IF135+$ID136</f>
        <v/>
      </c>
      <c r="IG136" s="62">
        <f>SUMIFS(tblSafety[Vehicle_Incidents],tblSafety[Date],$A136)</f>
        <v/>
      </c>
      <c r="IH136" s="62">
        <f>IF($B136=$B135,$IH135,0)+$IG136</f>
        <v/>
      </c>
      <c r="II136" s="62">
        <f>$II135+$IG136</f>
        <v/>
      </c>
      <c r="IJ136" s="62">
        <f>SUMIFS(tblSafety[Toolbox_Talks],tblSafety[Date],$A136)</f>
        <v/>
      </c>
      <c r="IK136" s="62">
        <f>IF($B136=$B135,$IK135,0)+$IJ136</f>
        <v/>
      </c>
      <c r="IL136" s="62">
        <f>$IL135+$IJ136</f>
        <v/>
      </c>
      <c r="IM136" s="62">
        <f>SUMIFS(tblSafety[Inspections],tblSafety[Date],$A136)</f>
        <v/>
      </c>
      <c r="IN136" s="62">
        <f>IF($B136=$B135,$IN135,0)+$IM136</f>
        <v/>
      </c>
      <c r="IO136" s="62">
        <f>$IO135+$IM136</f>
        <v/>
      </c>
      <c r="IP136" s="56">
        <f>IFERROR((SUMIFS(tblSafety[Recordables],tblSafety[Date],"&gt;="&amp;EDATE($E136,-12),tblSafety[Date],"&lt;="&amp;$A136)+SUMIFS(tblSafetyHistory[Recordables],tblSafetyHistory[Month],"&gt;="&amp;EDATE($E136,-12),tblSafetyHistory[Month],"&lt;"&amp;$E136,tblSafetyHistory[Use],1))/(SUMIFS(tblSafety[Hours_Total],tblSafety[Date],"&gt;="&amp;EDATE($E136,-12),tblSafety[Date],"&lt;="&amp;$A136)+SUMIFS(tblSafetyHistory[Hours_Total],tblSafetyHistory[Month],"&gt;="&amp;EDATE($E136,-12),tblSafetyHistory[Month],"&lt;"&amp;$E136,tblSafetyHistory[Use],1))*cfg_RateBasisHours,"")</f>
        <v/>
      </c>
      <c r="IQ136" s="56">
        <f>IFERROR((SUMIFS(tblSafety[LTI],tblSafety[Date],"&gt;="&amp;EDATE($E136,-12),tblSafety[Date],"&lt;="&amp;$A136)+SUMIFS(tblSafetyHistory[LTI],tblSafetyHistory[Month],"&gt;="&amp;EDATE($E136,-12),tblSafetyHistory[Month],"&lt;"&amp;$E136,tblSafetyHistory[Use],1))/(SUMIFS(tblSafety[Hours_Total],tblSafety[Date],"&gt;="&amp;EDATE($E136,-12),tblSafety[Date],"&lt;="&amp;$A136)+SUMIFS(tblSafetyHistory[Hours_Total],tblSafetyHistory[Month],"&gt;="&amp;EDATE($E136,-12),tblSafetyHistory[Month],"&lt;"&amp;$E136,tblSafetyHistory[Use],1))*cfg_RateBasisHours,"")</f>
        <v/>
      </c>
      <c r="IR136" s="62">
        <f>IF(MAX(N(cfg_PriorLTIDate),_xlfn.MAXIFS(tblSafety[Date],tblSafety[LTI],"&gt;0",tblSafety[Date],"&lt;="&amp;$A136))=0,"",$A136-MAX(N(cfg_PriorLTIDate),_xlfn.MAXIFS(tblSafety[Date],tblSafety[LTI],"&gt;0",tblSafety[Date],"&lt;="&amp;$A136)))</f>
        <v/>
      </c>
      <c r="IS136" s="55">
        <f>SUMIFS(tblBudget[Ore_Mined_t],tblBudget[Month],$E136)</f>
        <v/>
      </c>
      <c r="IT136" s="55">
        <f>$IS136*$C136/$D136</f>
        <v/>
      </c>
      <c r="IU136" s="55">
        <f>SUMIFS(tblBudget[Ore_Mined_t],tblBudget[Month],"&lt;"&amp;$E136)+$IT136</f>
        <v/>
      </c>
      <c r="IV136" s="55">
        <f>SUMIFS(tblBudget[Ore_oz],tblBudget[Month],$E136)</f>
        <v/>
      </c>
      <c r="IW136" s="55">
        <f>$IV136*$C136/$D136</f>
        <v/>
      </c>
      <c r="IX136" s="55">
        <f>SUMIFS(tblBudget[Ore_oz],tblBudget[Month],"&lt;"&amp;$E136)+$IW136</f>
        <v/>
      </c>
      <c r="IY136" s="55">
        <f>SUMIFS(tblBudget[Ore_Mined_t],tblBudget[Month],$E136)</f>
        <v/>
      </c>
      <c r="IZ136" s="55">
        <f>$IY136*$C136/$D136</f>
        <v/>
      </c>
      <c r="JA136" s="55">
        <f>SUMIFS(tblBudget[Ore_Mined_t],tblBudget[Month],"&lt;"&amp;$E136)+$IZ136</f>
        <v/>
      </c>
      <c r="JB136" s="56">
        <f>IFERROR(IF(($IY136)&gt;0,($IV136*cfg_TroyOz)/($IY136),""),"")</f>
        <v/>
      </c>
      <c r="JC136" s="56">
        <f>IFERROR(IF(($IZ136)&gt;0,($IW136*cfg_TroyOz)/($IZ136),""),"")</f>
        <v/>
      </c>
      <c r="JD136" s="56">
        <f>IFERROR(IF(($JA136)&gt;0,($IX136*cfg_TroyOz)/($JA136),""),"")</f>
        <v/>
      </c>
      <c r="JE136" s="55">
        <f>SUMIFS(tblBudget[Waste_t],tblBudget[Month],$E136)</f>
        <v/>
      </c>
      <c r="JF136" s="55">
        <f>$JE136*$C136/$D136</f>
        <v/>
      </c>
      <c r="JG136" s="55">
        <f>SUMIFS(tblBudget[Waste_t],tblBudget[Month],"&lt;"&amp;$E136)+$JF136</f>
        <v/>
      </c>
      <c r="JH136" s="55">
        <f>SUMIFS(tblBudget[TMM_t],tblBudget[Month],$E136)</f>
        <v/>
      </c>
      <c r="JI136" s="55">
        <f>$JH136*$C136/$D136</f>
        <v/>
      </c>
      <c r="JJ136" s="55">
        <f>SUMIFS(tblBudget[TMM_t],tblBudget[Month],"&lt;"&amp;$E136)+$JI136</f>
        <v/>
      </c>
      <c r="JK136" s="56">
        <f>IFERROR(IF(($IS136)&gt;0,($JE136)/($IS136),""),"")</f>
        <v/>
      </c>
      <c r="JL136" s="56">
        <f>IFERROR(IF(($IT136)&gt;0,($JF136)/($IT136),""),"")</f>
        <v/>
      </c>
      <c r="JM136" s="56">
        <f>IFERROR(IF(($IU136)&gt;0,($JG136)/($IU136),""),"")</f>
        <v/>
      </c>
      <c r="JN136" s="55">
        <f>SUMIFS(tblBudget[Drill_m],tblBudget[Month],$E136)</f>
        <v/>
      </c>
      <c r="JO136" s="55">
        <f>$JN136*$C136/$D136</f>
        <v/>
      </c>
      <c r="JP136" s="55">
        <f>SUMIFS(tblBudget[Drill_m],tblBudget[Month],"&lt;"&amp;$E136)+$JO136</f>
        <v/>
      </c>
      <c r="JQ136" s="55">
        <f>SUMIFS(tblBudget[Diesel_L],tblBudget[Month],$E136)</f>
        <v/>
      </c>
      <c r="JR136" s="55">
        <f>$JQ136*$C136/$D136</f>
        <v/>
      </c>
      <c r="JS136" s="55">
        <f>SUMIFS(tblBudget[Diesel_L],tblBudget[Month],"&lt;"&amp;$E136)+$JR136</f>
        <v/>
      </c>
      <c r="JT136" s="55">
        <f>SUMIFS(tblBudget[Milled_t],tblBudget[Month],$E136)</f>
        <v/>
      </c>
      <c r="JU136" s="55">
        <f>$JT136*$C136/$D136</f>
        <v/>
      </c>
      <c r="JV136" s="55">
        <f>SUMIFS(tblBudget[Milled_t],tblBudget[Month],"&lt;"&amp;$E136)+$JU136</f>
        <v/>
      </c>
      <c r="JW136" s="55">
        <f>SUMIFS(tblBudget[Feed_oz],tblBudget[Month],$E136)</f>
        <v/>
      </c>
      <c r="JX136" s="55">
        <f>$JW136*$C136/$D136</f>
        <v/>
      </c>
      <c r="JY136" s="55">
        <f>SUMIFS(tblBudget[Feed_oz],tblBudget[Month],"&lt;"&amp;$E136)+$JX136</f>
        <v/>
      </c>
      <c r="JZ136" s="55">
        <f>SUMIFS(tblBudget[Recovered_oz],tblBudget[Month],$E136)</f>
        <v/>
      </c>
      <c r="KA136" s="55">
        <f>$JZ136*$C136/$D136</f>
        <v/>
      </c>
      <c r="KB136" s="55">
        <f>SUMIFS(tblBudget[Recovered_oz],tblBudget[Month],"&lt;"&amp;$E136)+$KA136</f>
        <v/>
      </c>
      <c r="KC136" s="55">
        <f>SUMIFS(tblBudget[Milled_t],tblBudget[Month],$E136)</f>
        <v/>
      </c>
      <c r="KD136" s="55">
        <f>$KC136*$C136/$D136</f>
        <v/>
      </c>
      <c r="KE136" s="55">
        <f>SUMIFS(tblBudget[Milled_t],tblBudget[Month],"&lt;"&amp;$E136)+$KD136</f>
        <v/>
      </c>
      <c r="KF136" s="55">
        <f>SUMIFS(tblBudget[Feed_oz],tblBudget[Month],$E136)</f>
        <v/>
      </c>
      <c r="KG136" s="55">
        <f>$KF136*$C136/$D136</f>
        <v/>
      </c>
      <c r="KH136" s="55">
        <f>SUMIFS(tblBudget[Feed_oz],tblBudget[Month],"&lt;"&amp;$E136)+$KG136</f>
        <v/>
      </c>
      <c r="KI136" s="56">
        <f>IFERROR(IF(($KC136)&gt;0,($JW136*cfg_TroyOz)/($KC136),""),"")</f>
        <v/>
      </c>
      <c r="KJ136" s="56">
        <f>IFERROR(IF(($KD136)&gt;0,($JX136*cfg_TroyOz)/($KD136),""),"")</f>
        <v/>
      </c>
      <c r="KK136" s="56">
        <f>IFERROR(IF(($KE136)&gt;0,($JY136*cfg_TroyOz)/($KE136),""),"")</f>
        <v/>
      </c>
      <c r="KL136" s="67">
        <f>IFERROR(IF(($KF136)&gt;0,($JZ136)/($KF136),""),"")</f>
        <v/>
      </c>
      <c r="KM136" s="67">
        <f>IFERROR(IF(($KG136)&gt;0,($KA136)/($KG136),""),"")</f>
        <v/>
      </c>
      <c r="KN136" s="67">
        <f>IFERROR(IF(($KH136)&gt;0,($KB136)/($KH136),""),"")</f>
        <v/>
      </c>
      <c r="KO136" s="55">
        <f>SUMIFS(tblBudget[Gold_Poured_oz],tblBudget[Month],$E136)</f>
        <v/>
      </c>
      <c r="KP136" s="55">
        <f>$KO136*$C136/$D136</f>
        <v/>
      </c>
      <c r="KQ136" s="55">
        <f>SUMIFS(tblBudget[Gold_Poured_oz],tblBudget[Month],"&lt;"&amp;$E136)+$KP136</f>
        <v/>
      </c>
      <c r="KR136" s="57">
        <f>SUMIFS(tblBudget[Hours_Worked],tblBudget[Month],$E136)</f>
        <v/>
      </c>
      <c r="KS136" s="57">
        <f>$KR136*$C136/$D136</f>
        <v/>
      </c>
      <c r="KT136" s="57">
        <f>SUMIFS(tblBudget[Hours_Worked],tblBudget[Month],"&lt;"&amp;$E136)+$KS136</f>
        <v/>
      </c>
    </row>
    <row r="137">
      <c r="A137" s="54" t="n">
        <v>46158</v>
      </c>
      <c r="B137">
        <f>MONTH($A137)</f>
        <v/>
      </c>
      <c r="C137">
        <f>DAY($A137)</f>
        <v/>
      </c>
      <c r="D137">
        <f>DAY(EOMONTH($A137,0))</f>
        <v/>
      </c>
      <c r="E137" s="54">
        <f>DATE(YEAR($A137),MONTH($A137),1)</f>
        <v/>
      </c>
      <c r="F137" s="55">
        <f>SUMIFS(tblMovement[Tonnes_t],tblMovement[Date],$A137,tblMovement[Is_Ore],1,tblMovement[Source_Type],"Pit")</f>
        <v/>
      </c>
      <c r="G137" s="55">
        <f>IF($B137=$B136,$G136,0)+$F137</f>
        <v/>
      </c>
      <c r="H137" s="55">
        <f>$H136+$F137</f>
        <v/>
      </c>
      <c r="I137" s="55">
        <f>SUMIFS(tblMovement[Ore_oz],tblMovement[Date],$A137,tblMovement[Source_Type],"Pit")</f>
        <v/>
      </c>
      <c r="J137" s="55">
        <f>IF($B137=$B136,$J136,0)+$I137</f>
        <v/>
      </c>
      <c r="K137" s="55">
        <f>$K136+$I137</f>
        <v/>
      </c>
      <c r="L137" s="55">
        <f>SUMIFS(tblMovement[Tonnes_t],tblMovement[Date],$A137,tblMovement[Is_Ore],1,tblMovement[Source_Type],"Pit",tblMovement[Grade_gpt],"&lt;&gt;")</f>
        <v/>
      </c>
      <c r="M137" s="55">
        <f>IF($B137=$B136,$M136,0)+$L137</f>
        <v/>
      </c>
      <c r="N137" s="55">
        <f>$N136+$L137</f>
        <v/>
      </c>
      <c r="O137" s="56">
        <f>IFERROR(IF(($L137)&gt;0,($I137*cfg_TroyOz)/($L137),""),"")</f>
        <v/>
      </c>
      <c r="P137" s="56">
        <f>IFERROR(IF(($M137)&gt;0,($J137*cfg_TroyOz)/($M137),""),"")</f>
        <v/>
      </c>
      <c r="Q137" s="56">
        <f>IFERROR(IF(($N137)&gt;0,($K137*cfg_TroyOz)/($N137),""),"")</f>
        <v/>
      </c>
      <c r="R137" s="55">
        <f>$F137-$L137</f>
        <v/>
      </c>
      <c r="S137" s="55">
        <f>IF($B137=$B136,$S136,0)+$R137</f>
        <v/>
      </c>
      <c r="T137" s="55">
        <f>$T136+$R137</f>
        <v/>
      </c>
      <c r="U137" s="55">
        <f>SUMIFS(tblMovement[Tonnes_t],tblMovement[Date],$A137,tblMovement[Is_Ore],0,tblMovement[Source_Type],"Pit")</f>
        <v/>
      </c>
      <c r="V137" s="55">
        <f>IF($B137=$B136,$V136,0)+$U137</f>
        <v/>
      </c>
      <c r="W137" s="55">
        <f>$W136+$U137</f>
        <v/>
      </c>
      <c r="X137" s="55">
        <f>$F137+$U137</f>
        <v/>
      </c>
      <c r="Y137" s="55">
        <f>IF($B137=$B136,$Y136,0)+$X137</f>
        <v/>
      </c>
      <c r="Z137" s="55">
        <f>$Z136+$X137</f>
        <v/>
      </c>
      <c r="AA137" s="56">
        <f>IFERROR(IF(($F137)&gt;0,($U137)/($F137),""),"")</f>
        <v/>
      </c>
      <c r="AB137" s="56">
        <f>IFERROR(IF(($G137)&gt;0,($V137)/($G137),""),"")</f>
        <v/>
      </c>
      <c r="AC137" s="56">
        <f>IFERROR(IF(($H137)&gt;0,($W137)/($H137),""),"")</f>
        <v/>
      </c>
      <c r="AD137" s="55">
        <f>SUMIFS(tblMovement[Tonnes_t],tblMovement[Date],$A137,tblMovement[Source_Type],"Stockpile")</f>
        <v/>
      </c>
      <c r="AE137" s="55">
        <f>IF($B137=$B136,$AE136,0)+$AD137</f>
        <v/>
      </c>
      <c r="AF137" s="55">
        <f>$AF136+$AD137</f>
        <v/>
      </c>
      <c r="AG137" s="55">
        <f>SUMIFS(tblMovement[Tonnes_t],tblMovement[Date],$A137)</f>
        <v/>
      </c>
      <c r="AH137" s="55">
        <f>IF($B137=$B136,$AH136,0)+$AG137</f>
        <v/>
      </c>
      <c r="AI137" s="55">
        <f>$AI136+$AG137</f>
        <v/>
      </c>
      <c r="AJ137" s="55">
        <f>$AG137-$X137-$AD137</f>
        <v/>
      </c>
      <c r="AK137" s="55">
        <f>IF($B137=$B136,$AK136,0)+$AJ137</f>
        <v/>
      </c>
      <c r="AL137" s="55">
        <f>$AL136+$AJ137</f>
        <v/>
      </c>
      <c r="AM137" s="55">
        <f>SUMIFS(tblMiningDaily[Drill_m],tblMiningDaily[Date],$A137)</f>
        <v/>
      </c>
      <c r="AN137" s="55">
        <f>IF($B137=$B136,$AN136,0)+$AM137</f>
        <v/>
      </c>
      <c r="AO137" s="55">
        <f>$AO136+$AM137</f>
        <v/>
      </c>
      <c r="AP137" s="55">
        <f>SUMIFS(tblMiningDaily[GC_Drill_m],tblMiningDaily[Date],$A137)</f>
        <v/>
      </c>
      <c r="AQ137" s="55">
        <f>IF($B137=$B136,$AQ136,0)+$AP137</f>
        <v/>
      </c>
      <c r="AR137" s="55">
        <f>$AR136+$AP137</f>
        <v/>
      </c>
      <c r="AS137" s="55">
        <f>SUMIFS(tblMiningDaily[Blast_t],tblMiningDaily[Date],$A137)</f>
        <v/>
      </c>
      <c r="AT137" s="55">
        <f>IF($B137=$B136,$AT136,0)+$AS137</f>
        <v/>
      </c>
      <c r="AU137" s="55">
        <f>$AU136+$AS137</f>
        <v/>
      </c>
      <c r="AV137" s="55">
        <f>SUMIFS(tblMiningDaily[Explosives_kg],tblMiningDaily[Date],$A137)</f>
        <v/>
      </c>
      <c r="AW137" s="55">
        <f>IF($B137=$B136,$AW136,0)+$AV137</f>
        <v/>
      </c>
      <c r="AX137" s="55">
        <f>$AX136+$AV137</f>
        <v/>
      </c>
      <c r="AY137" s="56">
        <f>IFERROR(IF(($AS137)&gt;0,($AV137)/($AS137),""),"")</f>
        <v/>
      </c>
      <c r="AZ137" s="56">
        <f>IFERROR(IF(($AT137)&gt;0,($AW137)/($AT137),""),"")</f>
        <v/>
      </c>
      <c r="BA137" s="56">
        <f>IFERROR(IF(($AU137)&gt;0,($AX137)/($AU137),""),"")</f>
        <v/>
      </c>
      <c r="BB137" s="55">
        <f>SUMIFS(tblMiningDaily[Diesel_L],tblMiningDaily[Date],$A137)</f>
        <v/>
      </c>
      <c r="BC137" s="55">
        <f>IF($B137=$B136,$BC136,0)+$BB137</f>
        <v/>
      </c>
      <c r="BD137" s="55">
        <f>$BD136+$BB137</f>
        <v/>
      </c>
      <c r="BE137" s="55">
        <f>SUMIFS(tblMiningDaily[Dewatering_m3],tblMiningDaily[Date],$A137)</f>
        <v/>
      </c>
      <c r="BF137" s="55">
        <f>IF($B137=$B136,$BF136,0)+$BE137</f>
        <v/>
      </c>
      <c r="BG137" s="55">
        <f>$BG136+$BE137</f>
        <v/>
      </c>
      <c r="BH137" s="57">
        <f>SUMIFS(tblFleet[Calendar_h],tblFleet[Date],$A137,tblFleet[Equipment_Class],"Excavator")</f>
        <v/>
      </c>
      <c r="BI137" s="57">
        <f>IF($B137=$B136,$BI136,0)+$BH137</f>
        <v/>
      </c>
      <c r="BJ137" s="57">
        <f>$BJ136+$BH137</f>
        <v/>
      </c>
      <c r="BK137" s="57">
        <f>SUMIFS(tblFleet[Available_h],tblFleet[Date],$A137,tblFleet[Equipment_Class],"Excavator")</f>
        <v/>
      </c>
      <c r="BL137" s="57">
        <f>IF($B137=$B136,$BL136,0)+$BK137</f>
        <v/>
      </c>
      <c r="BM137" s="57">
        <f>$BM136+$BK137</f>
        <v/>
      </c>
      <c r="BN137" s="57">
        <f>SUMIFS(tblFleet[Operating_h],tblFleet[Date],$A137,tblFleet[Equipment_Class],"Excavator")</f>
        <v/>
      </c>
      <c r="BO137" s="57">
        <f>IF($B137=$B136,$BO136,0)+$BN137</f>
        <v/>
      </c>
      <c r="BP137" s="57">
        <f>$BP136+$BN137</f>
        <v/>
      </c>
      <c r="BQ137" s="67">
        <f>IFERROR(IF(($BH137)&gt;0,($BK137)/($BH137),""),"")</f>
        <v/>
      </c>
      <c r="BR137" s="67">
        <f>IFERROR(IF(($BI137)&gt;0,($BL137)/($BI137),""),"")</f>
        <v/>
      </c>
      <c r="BS137" s="67">
        <f>IFERROR(IF(($BJ137)&gt;0,($BM137)/($BJ137),""),"")</f>
        <v/>
      </c>
      <c r="BT137" s="67">
        <f>IFERROR(IF(($BK137)&gt;0,($BN137)/($BK137),""),"")</f>
        <v/>
      </c>
      <c r="BU137" s="67">
        <f>IFERROR(IF(($BL137)&gt;0,($BO137)/($BL137),""),"")</f>
        <v/>
      </c>
      <c r="BV137" s="67">
        <f>IFERROR(IF(($BM137)&gt;0,($BP137)/($BM137),""),"")</f>
        <v/>
      </c>
      <c r="BW137" s="57">
        <f>SUMIFS(tblFleet[Calendar_h],tblFleet[Date],$A137,tblFleet[Equipment_Class],"Haul Truck")</f>
        <v/>
      </c>
      <c r="BX137" s="57">
        <f>IF($B137=$B136,$BX136,0)+$BW137</f>
        <v/>
      </c>
      <c r="BY137" s="57">
        <f>$BY136+$BW137</f>
        <v/>
      </c>
      <c r="BZ137" s="57">
        <f>SUMIFS(tblFleet[Available_h],tblFleet[Date],$A137,tblFleet[Equipment_Class],"Haul Truck")</f>
        <v/>
      </c>
      <c r="CA137" s="57">
        <f>IF($B137=$B136,$CA136,0)+$BZ137</f>
        <v/>
      </c>
      <c r="CB137" s="57">
        <f>$CB136+$BZ137</f>
        <v/>
      </c>
      <c r="CC137" s="57">
        <f>SUMIFS(tblFleet[Operating_h],tblFleet[Date],$A137,tblFleet[Equipment_Class],"Haul Truck")</f>
        <v/>
      </c>
      <c r="CD137" s="57">
        <f>IF($B137=$B136,$CD136,0)+$CC137</f>
        <v/>
      </c>
      <c r="CE137" s="57">
        <f>$CE136+$CC137</f>
        <v/>
      </c>
      <c r="CF137" s="67">
        <f>IFERROR(IF(($BW137)&gt;0,($BZ137)/($BW137),""),"")</f>
        <v/>
      </c>
      <c r="CG137" s="67">
        <f>IFERROR(IF(($BX137)&gt;0,($CA137)/($BX137),""),"")</f>
        <v/>
      </c>
      <c r="CH137" s="67">
        <f>IFERROR(IF(($BY137)&gt;0,($CB137)/($BY137),""),"")</f>
        <v/>
      </c>
      <c r="CI137" s="67">
        <f>IFERROR(IF(($BZ137)&gt;0,($CC137)/($BZ137),""),"")</f>
        <v/>
      </c>
      <c r="CJ137" s="67">
        <f>IFERROR(IF(($CA137)&gt;0,($CD137)/($CA137),""),"")</f>
        <v/>
      </c>
      <c r="CK137" s="67">
        <f>IFERROR(IF(($CB137)&gt;0,($CE137)/($CB137),""),"")</f>
        <v/>
      </c>
      <c r="CL137" s="55">
        <f>IFERROR(IF(($BN137)&gt;0,($X137+$AD137)/($BN137),""),"")</f>
        <v/>
      </c>
      <c r="CM137" s="55">
        <f>IFERROR(IF(($BO137)&gt;0,($Y137+$AE137)/($BO137),""),"")</f>
        <v/>
      </c>
      <c r="CN137" s="55">
        <f>IFERROR(IF(($BP137)&gt;0,($Z137+$AF137)/($BP137),""),"")</f>
        <v/>
      </c>
      <c r="CO137" s="55">
        <f>IFERROR(IF(($CC137)&gt;0,($X137+$AD137)/($CC137),""),"")</f>
        <v/>
      </c>
      <c r="CP137" s="55">
        <f>IFERROR(IF(($CD137)&gt;0,($Y137+$AE137)/($CD137),""),"")</f>
        <v/>
      </c>
      <c r="CQ137" s="55">
        <f>IFERROR(IF(($CE137)&gt;0,($Z137+$AF137)/($CE137),""),"")</f>
        <v/>
      </c>
      <c r="CR137" s="55">
        <f>SUMIFS(tblPlant[Crushed_t],tblPlant[Date],$A137)</f>
        <v/>
      </c>
      <c r="CS137" s="55">
        <f>IF($B137=$B136,$CS136,0)+$CR137</f>
        <v/>
      </c>
      <c r="CT137" s="55">
        <f>$CT136+$CR137</f>
        <v/>
      </c>
      <c r="CU137" s="55">
        <f>SUMIFS(tblPlant[Milled_t],tblPlant[Date],$A137)</f>
        <v/>
      </c>
      <c r="CV137" s="55">
        <f>IF($B137=$B136,$CV136,0)+$CU137</f>
        <v/>
      </c>
      <c r="CW137" s="55">
        <f>$CW136+$CU137</f>
        <v/>
      </c>
      <c r="CX137" s="55">
        <f>SUMIFS(tblPlant[Feed_oz],tblPlant[Date],$A137)</f>
        <v/>
      </c>
      <c r="CY137" s="55">
        <f>IF($B137=$B136,$CY136,0)+$CX137</f>
        <v/>
      </c>
      <c r="CZ137" s="55">
        <f>$CZ136+$CX137</f>
        <v/>
      </c>
      <c r="DA137" s="55">
        <f>SUMIFS(tblPlant[Tails_oz],tblPlant[Date],$A137)</f>
        <v/>
      </c>
      <c r="DB137" s="55">
        <f>IF($B137=$B136,$DB136,0)+$DA137</f>
        <v/>
      </c>
      <c r="DC137" s="55">
        <f>$DC136+$DA137</f>
        <v/>
      </c>
      <c r="DD137" s="55">
        <f>SUMIFS(tblPlant[Recovered_oz],tblPlant[Date],$A137)</f>
        <v/>
      </c>
      <c r="DE137" s="55">
        <f>IF($B137=$B136,$DE136,0)+$DD137</f>
        <v/>
      </c>
      <c r="DF137" s="55">
        <f>$DF136+$DD137</f>
        <v/>
      </c>
      <c r="DG137" s="55">
        <f>SUMIFS(tblPlant[Milled_t],tblPlant[Date],$A137,tblPlant[Head_Grade_gpt],"&lt;&gt;")</f>
        <v/>
      </c>
      <c r="DH137" s="55">
        <f>IF($B137=$B136,$DH136,0)+$DG137</f>
        <v/>
      </c>
      <c r="DI137" s="55">
        <f>$DI136+$DG137</f>
        <v/>
      </c>
      <c r="DJ137" s="55">
        <f>SUMIFS(tblPlant[Milled_t],tblPlant[Date],$A137,tblPlant[Tails_Grade_gpt],"&lt;&gt;")</f>
        <v/>
      </c>
      <c r="DK137" s="55">
        <f>IF($B137=$B136,$DK136,0)+$DJ137</f>
        <v/>
      </c>
      <c r="DL137" s="55">
        <f>$DL136+$DJ137</f>
        <v/>
      </c>
      <c r="DM137" s="55">
        <f>SUMIFS(tblPlant[Feed_oz],tblPlant[Date],$A137,tblPlant[Tails_Grade_gpt],"&lt;&gt;")</f>
        <v/>
      </c>
      <c r="DN137" s="55">
        <f>IF($B137=$B136,$DN136,0)+$DM137</f>
        <v/>
      </c>
      <c r="DO137" s="55">
        <f>$DO136+$DM137</f>
        <v/>
      </c>
      <c r="DP137" s="55">
        <f>SUMIFS(tblPlant[Milled_t],tblPlant[Date],$A137,tblPlant[Mill_Run_h],"&lt;&gt;")</f>
        <v/>
      </c>
      <c r="DQ137" s="55">
        <f>IF($B137=$B136,$DQ136,0)+$DP137</f>
        <v/>
      </c>
      <c r="DR137" s="55">
        <f>$DR136+$DP137</f>
        <v/>
      </c>
      <c r="DS137" s="56">
        <f>IFERROR(IF(($DG137)&gt;0,($CX137*cfg_TroyOz)/($DG137),""),"")</f>
        <v/>
      </c>
      <c r="DT137" s="56">
        <f>IFERROR(IF(($DH137)&gt;0,($CY137*cfg_TroyOz)/($DH137),""),"")</f>
        <v/>
      </c>
      <c r="DU137" s="56">
        <f>IFERROR(IF(($DI137)&gt;0,($CZ137*cfg_TroyOz)/($DI137),""),"")</f>
        <v/>
      </c>
      <c r="DV137" s="56">
        <f>IFERROR(IF(($DJ137)&gt;0,($DA137*cfg_TroyOz)/($DJ137),""),"")</f>
        <v/>
      </c>
      <c r="DW137" s="56">
        <f>IFERROR(IF(($DK137)&gt;0,($DB137*cfg_TroyOz)/($DK137),""),"")</f>
        <v/>
      </c>
      <c r="DX137" s="56">
        <f>IFERROR(IF(($DL137)&gt;0,($DC137*cfg_TroyOz)/($DL137),""),"")</f>
        <v/>
      </c>
      <c r="DY137" s="67">
        <f>IFERROR(IF(($DM137)&gt;0,($DD137)/($DM137),""),"")</f>
        <v/>
      </c>
      <c r="DZ137" s="67">
        <f>IFERROR(IF(($DN137)&gt;0,($DE137)/($DN137),""),"")</f>
        <v/>
      </c>
      <c r="EA137" s="67">
        <f>IFERROR(IF(($DO137)&gt;0,($DF137)/($DO137),""),"")</f>
        <v/>
      </c>
      <c r="EB137" s="55">
        <f>SUMIFS(tblPlant[Gravity_Gold_oz],tblPlant[Date],$A137)</f>
        <v/>
      </c>
      <c r="EC137" s="55">
        <f>IF($B137=$B136,$EC136,0)+$EB137</f>
        <v/>
      </c>
      <c r="ED137" s="55">
        <f>$ED136+$EB137</f>
        <v/>
      </c>
      <c r="EE137" s="67">
        <f>IFERROR(IF(($DD137)&gt;0,($EB137)/($DD137),""),"")</f>
        <v/>
      </c>
      <c r="EF137" s="67">
        <f>IFERROR(IF(($DE137)&gt;0,($EC137)/($DE137),""),"")</f>
        <v/>
      </c>
      <c r="EG137" s="67">
        <f>IFERROR(IF(($DF137)&gt;0,($ED137)/($DF137),""),"")</f>
        <v/>
      </c>
      <c r="EH137" s="55">
        <f>SUMIFS(tblPlant[Gold_Poured_oz],tblPlant[Date],$A137)</f>
        <v/>
      </c>
      <c r="EI137" s="55">
        <f>IF($B137=$B136,$EI136,0)+$EH137</f>
        <v/>
      </c>
      <c r="EJ137" s="55">
        <f>$EJ136+$EH137</f>
        <v/>
      </c>
      <c r="EK137" s="57">
        <f>SUMIFS(tblPlant[Mill_Run_h],tblPlant[Date],$A137)</f>
        <v/>
      </c>
      <c r="EL137" s="57">
        <f>IF($B137=$B136,$EL136,0)+$EK137</f>
        <v/>
      </c>
      <c r="EM137" s="57">
        <f>$EM136+$EK137</f>
        <v/>
      </c>
      <c r="EN137" s="57">
        <f>SUMIFS(tblPlant[Mill_Planned_Maint_h],tblPlant[Date],$A137)</f>
        <v/>
      </c>
      <c r="EO137" s="57">
        <f>IF($B137=$B136,$EO136,0)+$EN137</f>
        <v/>
      </c>
      <c r="EP137" s="57">
        <f>$EP136+$EN137</f>
        <v/>
      </c>
      <c r="EQ137" s="57">
        <f>SUMIFS(tblPlant[Mill_Unplanned_Down_h],tblPlant[Date],$A137)</f>
        <v/>
      </c>
      <c r="ER137" s="57">
        <f>IF($B137=$B136,$ER136,0)+$EQ137</f>
        <v/>
      </c>
      <c r="ES137" s="57">
        <f>$ES136+$EQ137</f>
        <v/>
      </c>
      <c r="ET137" s="57">
        <f>IF(COUNTIFS(tblPlant[Date],$A137,tblPlant[Mill_Run_h],"&lt;&gt;")+COUNTIFS(tblPlant[Date],$A137,tblPlant[Mill_Planned_Maint_h],"&lt;&gt;")+COUNTIFS(tblPlant[Date],$A137,tblPlant[Mill_Unplanned_Down_h],"&lt;&gt;")&gt;0,cfg_HoursPerDay,0)</f>
        <v/>
      </c>
      <c r="EU137" s="57">
        <f>IF($B137=$B136,$EU136,0)+$ET137</f>
        <v/>
      </c>
      <c r="EV137" s="57">
        <f>$EV136+$ET137</f>
        <v/>
      </c>
      <c r="EW137" s="57">
        <f>SUMIFS(tblPlant[Crusher_Run_h],tblPlant[Date],$A137)</f>
        <v/>
      </c>
      <c r="EX137" s="57">
        <f>IF($B137=$B136,$EX136,0)+$EW137</f>
        <v/>
      </c>
      <c r="EY137" s="57">
        <f>$EY136+$EW137</f>
        <v/>
      </c>
      <c r="EZ137" s="55">
        <f>IFERROR(IF(($EK137)&gt;0,($DP137)/($EK137),""),"")</f>
        <v/>
      </c>
      <c r="FA137" s="55">
        <f>IFERROR(IF(($EL137)&gt;0,($DQ137)/($EL137),""),"")</f>
        <v/>
      </c>
      <c r="FB137" s="55">
        <f>IFERROR(IF(($EM137)&gt;0,($DR137)/($EM137),""),"")</f>
        <v/>
      </c>
      <c r="FC137" s="67">
        <f>IFERROR(IF(($ET137)&gt;0,($ET137-$EN137-$EQ137)/($ET137),""),"")</f>
        <v/>
      </c>
      <c r="FD137" s="67">
        <f>IFERROR(IF(($EU137)&gt;0,($EU137-$EO137-$ER137)/($EU137),""),"")</f>
        <v/>
      </c>
      <c r="FE137" s="67">
        <f>IFERROR(IF(($EV137)&gt;0,($EV137-$EP137-$ES137)/($EV137),""),"")</f>
        <v/>
      </c>
      <c r="FF137" s="67">
        <f>IFERROR(IF(($ET137-$EN137-$EQ137)&gt;0,($EK137)/($ET137-$EN137-$EQ137),""),"")</f>
        <v/>
      </c>
      <c r="FG137" s="67">
        <f>IFERROR(IF(($EU137-$EO137-$ER137)&gt;0,($EL137)/($EU137-$EO137-$ER137),""),"")</f>
        <v/>
      </c>
      <c r="FH137" s="67">
        <f>IFERROR(IF(($EV137-$EP137-$ES137)&gt;0,($EM137)/($EV137-$EP137-$ES137),""),"")</f>
        <v/>
      </c>
      <c r="FI137" s="55">
        <f>SUMIFS(tblPlant[Cyanide_kg],tblPlant[Date],$A137)</f>
        <v/>
      </c>
      <c r="FJ137" s="55">
        <f>IF($B137=$B136,$FJ136,0)+$FI137</f>
        <v/>
      </c>
      <c r="FK137" s="55">
        <f>$FK136+$FI137</f>
        <v/>
      </c>
      <c r="FL137" s="55">
        <f>SUMIFS(tblPlant[Lime_kg],tblPlant[Date],$A137)</f>
        <v/>
      </c>
      <c r="FM137" s="55">
        <f>IF($B137=$B136,$FM136,0)+$FL137</f>
        <v/>
      </c>
      <c r="FN137" s="55">
        <f>$FN136+$FL137</f>
        <v/>
      </c>
      <c r="FO137" s="55">
        <f>SUMIFS(tblPlant[Grinding_Media_kg],tblPlant[Date],$A137)</f>
        <v/>
      </c>
      <c r="FP137" s="55">
        <f>IF($B137=$B136,$FP136,0)+$FO137</f>
        <v/>
      </c>
      <c r="FQ137" s="55">
        <f>$FQ136+$FO137</f>
        <v/>
      </c>
      <c r="FR137" s="55">
        <f>SUMIFS(tblPlant[Power_kWh],tblPlant[Date],$A137)</f>
        <v/>
      </c>
      <c r="FS137" s="55">
        <f>IF($B137=$B136,$FS136,0)+$FR137</f>
        <v/>
      </c>
      <c r="FT137" s="55">
        <f>$FT136+$FR137</f>
        <v/>
      </c>
      <c r="FU137" s="55">
        <f>SUMIFS(tblPlant[Raw_Water_m3],tblPlant[Date],$A137)</f>
        <v/>
      </c>
      <c r="FV137" s="55">
        <f>IF($B137=$B136,$FV136,0)+$FU137</f>
        <v/>
      </c>
      <c r="FW137" s="55">
        <f>$FW136+$FU137</f>
        <v/>
      </c>
      <c r="FX137" s="56">
        <f>IFERROR(IF(($CU137)&gt;0,($FI137)/($CU137),""),"")</f>
        <v/>
      </c>
      <c r="FY137" s="56">
        <f>IFERROR(IF(($CV137)&gt;0,($FJ137)/($CV137),""),"")</f>
        <v/>
      </c>
      <c r="FZ137" s="56">
        <f>IFERROR(IF(($CW137)&gt;0,($FK137)/($CW137),""),"")</f>
        <v/>
      </c>
      <c r="GA137" s="56">
        <f>IFERROR(IF(($CU137)&gt;0,($FL137)/($CU137),""),"")</f>
        <v/>
      </c>
      <c r="GB137" s="56">
        <f>IFERROR(IF(($CV137)&gt;0,($FM137)/($CV137),""),"")</f>
        <v/>
      </c>
      <c r="GC137" s="56">
        <f>IFERROR(IF(($CW137)&gt;0,($FN137)/($CW137),""),"")</f>
        <v/>
      </c>
      <c r="GD137" s="56">
        <f>IFERROR(IF(($CU137)&gt;0,($FO137)/($CU137),""),"")</f>
        <v/>
      </c>
      <c r="GE137" s="56">
        <f>IFERROR(IF(($CV137)&gt;0,($FP137)/($CV137),""),"")</f>
        <v/>
      </c>
      <c r="GF137" s="56">
        <f>IFERROR(IF(($CW137)&gt;0,($FQ137)/($CW137),""),"")</f>
        <v/>
      </c>
      <c r="GG137" s="79">
        <f>IFERROR(IF(($CU137)&gt;0,($FR137)/($CU137),""),"")</f>
        <v/>
      </c>
      <c r="GH137" s="79">
        <f>IFERROR(IF(($CV137)&gt;0,($FS137)/($CV137),""),"")</f>
        <v/>
      </c>
      <c r="GI137" s="79">
        <f>IFERROR(IF(($CW137)&gt;0,($FT137)/($CW137),""),"")</f>
        <v/>
      </c>
      <c r="GJ137" s="56">
        <f>IFERROR(IF(($CU137)&gt;0,($FU137)/($CU137),""),"")</f>
        <v/>
      </c>
      <c r="GK137" s="56">
        <f>IFERROR(IF(($CV137)&gt;0,($FV137)/($CV137),""),"")</f>
        <v/>
      </c>
      <c r="GL137" s="56">
        <f>IFERROR(IF(($CW137)&gt;0,($FW137)/($CW137),""),"")</f>
        <v/>
      </c>
      <c r="GM137" s="55">
        <f>IF(SUMIFS(tblPlant[GIC_oz],tblPlant[Date],$A137)&gt;0,SUMIFS(tblPlant[GIC_oz],tblPlant[Date],$A137),"")</f>
        <v/>
      </c>
      <c r="GN137" s="55">
        <f>SUMIFS(tblGold[Gold_oz],tblGold[Date],$A137,tblGold[Type],"Shipment")</f>
        <v/>
      </c>
      <c r="GO137" s="55">
        <f>IF($B137=$B136,$GO136,0)+$GN137</f>
        <v/>
      </c>
      <c r="GP137" s="55">
        <f>$GP136+$GN137</f>
        <v/>
      </c>
      <c r="GQ137" s="55">
        <f>SUMIFS(tblGold[Gold_oz],tblGold[Date],$A137,tblGold[Type],"Sale")</f>
        <v/>
      </c>
      <c r="GR137" s="55">
        <f>IF($B137=$B136,$GR136,0)+$GQ137</f>
        <v/>
      </c>
      <c r="GS137" s="55">
        <f>$GS136+$GQ137</f>
        <v/>
      </c>
      <c r="GT137" s="55">
        <f>SUMIFS(tblGold[Dore_kg],tblGold[Date],$A137,tblGold[Type],"Shipment")</f>
        <v/>
      </c>
      <c r="GU137" s="55">
        <f>IF($B137=$B136,$GU136,0)+$GT137</f>
        <v/>
      </c>
      <c r="GV137" s="55">
        <f>$GV136+$GT137</f>
        <v/>
      </c>
      <c r="GW137" s="57">
        <f>SUMIFS(tblSafety[Hours_Total],tblSafety[Date],$A137)</f>
        <v/>
      </c>
      <c r="GX137" s="57">
        <f>IF($B137=$B136,$GX136,0)+$GW137</f>
        <v/>
      </c>
      <c r="GY137" s="57">
        <f>$GY136+$GW137</f>
        <v/>
      </c>
      <c r="GZ137" s="62">
        <f>SUMIFS(tblSafety[Fatality],tblSafety[Date],$A137)</f>
        <v/>
      </c>
      <c r="HA137" s="62">
        <f>IF($B137=$B136,$HA136,0)+$GZ137</f>
        <v/>
      </c>
      <c r="HB137" s="62">
        <f>$HB136+$GZ137</f>
        <v/>
      </c>
      <c r="HC137" s="62">
        <f>SUMIFS(tblSafety[LTI],tblSafety[Date],$A137)</f>
        <v/>
      </c>
      <c r="HD137" s="62">
        <f>IF($B137=$B136,$HD136,0)+$HC137</f>
        <v/>
      </c>
      <c r="HE137" s="62">
        <f>$HE136+$HC137</f>
        <v/>
      </c>
      <c r="HF137" s="62">
        <f>SUMIFS(tblSafety[RWI],tblSafety[Date],$A137)</f>
        <v/>
      </c>
      <c r="HG137" s="62">
        <f>IF($B137=$B136,$HG136,0)+$HF137</f>
        <v/>
      </c>
      <c r="HH137" s="62">
        <f>$HH136+$HF137</f>
        <v/>
      </c>
      <c r="HI137" s="62">
        <f>SUMIFS(tblSafety[MTI],tblSafety[Date],$A137)</f>
        <v/>
      </c>
      <c r="HJ137" s="62">
        <f>IF($B137=$B136,$HJ136,0)+$HI137</f>
        <v/>
      </c>
      <c r="HK137" s="62">
        <f>$HK136+$HI137</f>
        <v/>
      </c>
      <c r="HL137" s="62">
        <f>SUMIFS(tblSafety[FAI],tblSafety[Date],$A137)</f>
        <v/>
      </c>
      <c r="HM137" s="62">
        <f>IF($B137=$B136,$HM136,0)+$HL137</f>
        <v/>
      </c>
      <c r="HN137" s="62">
        <f>$HN136+$HL137</f>
        <v/>
      </c>
      <c r="HO137" s="62">
        <f>SUMIFS(tblSafety[Recordables],tblSafety[Date],$A137)</f>
        <v/>
      </c>
      <c r="HP137" s="62">
        <f>IF($B137=$B136,$HP136,0)+$HO137</f>
        <v/>
      </c>
      <c r="HQ137" s="62">
        <f>$HQ136+$HO137</f>
        <v/>
      </c>
      <c r="HR137" s="62">
        <f>SUMIFS(tblSafety[Near_Miss],tblSafety[Date],$A137)</f>
        <v/>
      </c>
      <c r="HS137" s="62">
        <f>IF($B137=$B136,$HS136,0)+$HR137</f>
        <v/>
      </c>
      <c r="HT137" s="62">
        <f>$HT136+$HR137</f>
        <v/>
      </c>
      <c r="HU137" s="62">
        <f>SUMIFS(tblSafety[Hazard_Reports],tblSafety[Date],$A137)</f>
        <v/>
      </c>
      <c r="HV137" s="62">
        <f>IF($B137=$B136,$HV136,0)+$HU137</f>
        <v/>
      </c>
      <c r="HW137" s="62">
        <f>$HW136+$HU137</f>
        <v/>
      </c>
      <c r="HX137" s="62">
        <f>SUMIFS(tblSafety[HPI],tblSafety[Date],$A137)</f>
        <v/>
      </c>
      <c r="HY137" s="62">
        <f>IF($B137=$B136,$HY136,0)+$HX137</f>
        <v/>
      </c>
      <c r="HZ137" s="62">
        <f>$HZ136+$HX137</f>
        <v/>
      </c>
      <c r="IA137" s="62">
        <f>SUMIFS(tblSafety[Env_Incidents],tblSafety[Date],$A137)</f>
        <v/>
      </c>
      <c r="IB137" s="62">
        <f>IF($B137=$B136,$IB136,0)+$IA137</f>
        <v/>
      </c>
      <c r="IC137" s="62">
        <f>$IC136+$IA137</f>
        <v/>
      </c>
      <c r="ID137" s="62">
        <f>SUMIFS(tblSafety[Community_Incidents],tblSafety[Date],$A137)</f>
        <v/>
      </c>
      <c r="IE137" s="62">
        <f>IF($B137=$B136,$IE136,0)+$ID137</f>
        <v/>
      </c>
      <c r="IF137" s="62">
        <f>$IF136+$ID137</f>
        <v/>
      </c>
      <c r="IG137" s="62">
        <f>SUMIFS(tblSafety[Vehicle_Incidents],tblSafety[Date],$A137)</f>
        <v/>
      </c>
      <c r="IH137" s="62">
        <f>IF($B137=$B136,$IH136,0)+$IG137</f>
        <v/>
      </c>
      <c r="II137" s="62">
        <f>$II136+$IG137</f>
        <v/>
      </c>
      <c r="IJ137" s="62">
        <f>SUMIFS(tblSafety[Toolbox_Talks],tblSafety[Date],$A137)</f>
        <v/>
      </c>
      <c r="IK137" s="62">
        <f>IF($B137=$B136,$IK136,0)+$IJ137</f>
        <v/>
      </c>
      <c r="IL137" s="62">
        <f>$IL136+$IJ137</f>
        <v/>
      </c>
      <c r="IM137" s="62">
        <f>SUMIFS(tblSafety[Inspections],tblSafety[Date],$A137)</f>
        <v/>
      </c>
      <c r="IN137" s="62">
        <f>IF($B137=$B136,$IN136,0)+$IM137</f>
        <v/>
      </c>
      <c r="IO137" s="62">
        <f>$IO136+$IM137</f>
        <v/>
      </c>
      <c r="IP137" s="56">
        <f>IFERROR((SUMIFS(tblSafety[Recordables],tblSafety[Date],"&gt;="&amp;EDATE($E137,-12),tblSafety[Date],"&lt;="&amp;$A137)+SUMIFS(tblSafetyHistory[Recordables],tblSafetyHistory[Month],"&gt;="&amp;EDATE($E137,-12),tblSafetyHistory[Month],"&lt;"&amp;$E137,tblSafetyHistory[Use],1))/(SUMIFS(tblSafety[Hours_Total],tblSafety[Date],"&gt;="&amp;EDATE($E137,-12),tblSafety[Date],"&lt;="&amp;$A137)+SUMIFS(tblSafetyHistory[Hours_Total],tblSafetyHistory[Month],"&gt;="&amp;EDATE($E137,-12),tblSafetyHistory[Month],"&lt;"&amp;$E137,tblSafetyHistory[Use],1))*cfg_RateBasisHours,"")</f>
        <v/>
      </c>
      <c r="IQ137" s="56">
        <f>IFERROR((SUMIFS(tblSafety[LTI],tblSafety[Date],"&gt;="&amp;EDATE($E137,-12),tblSafety[Date],"&lt;="&amp;$A137)+SUMIFS(tblSafetyHistory[LTI],tblSafetyHistory[Month],"&gt;="&amp;EDATE($E137,-12),tblSafetyHistory[Month],"&lt;"&amp;$E137,tblSafetyHistory[Use],1))/(SUMIFS(tblSafety[Hours_Total],tblSafety[Date],"&gt;="&amp;EDATE($E137,-12),tblSafety[Date],"&lt;="&amp;$A137)+SUMIFS(tblSafetyHistory[Hours_Total],tblSafetyHistory[Month],"&gt;="&amp;EDATE($E137,-12),tblSafetyHistory[Month],"&lt;"&amp;$E137,tblSafetyHistory[Use],1))*cfg_RateBasisHours,"")</f>
        <v/>
      </c>
      <c r="IR137" s="62">
        <f>IF(MAX(N(cfg_PriorLTIDate),_xlfn.MAXIFS(tblSafety[Date],tblSafety[LTI],"&gt;0",tblSafety[Date],"&lt;="&amp;$A137))=0,"",$A137-MAX(N(cfg_PriorLTIDate),_xlfn.MAXIFS(tblSafety[Date],tblSafety[LTI],"&gt;0",tblSafety[Date],"&lt;="&amp;$A137)))</f>
        <v/>
      </c>
      <c r="IS137" s="55">
        <f>SUMIFS(tblBudget[Ore_Mined_t],tblBudget[Month],$E137)</f>
        <v/>
      </c>
      <c r="IT137" s="55">
        <f>$IS137*$C137/$D137</f>
        <v/>
      </c>
      <c r="IU137" s="55">
        <f>SUMIFS(tblBudget[Ore_Mined_t],tblBudget[Month],"&lt;"&amp;$E137)+$IT137</f>
        <v/>
      </c>
      <c r="IV137" s="55">
        <f>SUMIFS(tblBudget[Ore_oz],tblBudget[Month],$E137)</f>
        <v/>
      </c>
      <c r="IW137" s="55">
        <f>$IV137*$C137/$D137</f>
        <v/>
      </c>
      <c r="IX137" s="55">
        <f>SUMIFS(tblBudget[Ore_oz],tblBudget[Month],"&lt;"&amp;$E137)+$IW137</f>
        <v/>
      </c>
      <c r="IY137" s="55">
        <f>SUMIFS(tblBudget[Ore_Mined_t],tblBudget[Month],$E137)</f>
        <v/>
      </c>
      <c r="IZ137" s="55">
        <f>$IY137*$C137/$D137</f>
        <v/>
      </c>
      <c r="JA137" s="55">
        <f>SUMIFS(tblBudget[Ore_Mined_t],tblBudget[Month],"&lt;"&amp;$E137)+$IZ137</f>
        <v/>
      </c>
      <c r="JB137" s="56">
        <f>IFERROR(IF(($IY137)&gt;0,($IV137*cfg_TroyOz)/($IY137),""),"")</f>
        <v/>
      </c>
      <c r="JC137" s="56">
        <f>IFERROR(IF(($IZ137)&gt;0,($IW137*cfg_TroyOz)/($IZ137),""),"")</f>
        <v/>
      </c>
      <c r="JD137" s="56">
        <f>IFERROR(IF(($JA137)&gt;0,($IX137*cfg_TroyOz)/($JA137),""),"")</f>
        <v/>
      </c>
      <c r="JE137" s="55">
        <f>SUMIFS(tblBudget[Waste_t],tblBudget[Month],$E137)</f>
        <v/>
      </c>
      <c r="JF137" s="55">
        <f>$JE137*$C137/$D137</f>
        <v/>
      </c>
      <c r="JG137" s="55">
        <f>SUMIFS(tblBudget[Waste_t],tblBudget[Month],"&lt;"&amp;$E137)+$JF137</f>
        <v/>
      </c>
      <c r="JH137" s="55">
        <f>SUMIFS(tblBudget[TMM_t],tblBudget[Month],$E137)</f>
        <v/>
      </c>
      <c r="JI137" s="55">
        <f>$JH137*$C137/$D137</f>
        <v/>
      </c>
      <c r="JJ137" s="55">
        <f>SUMIFS(tblBudget[TMM_t],tblBudget[Month],"&lt;"&amp;$E137)+$JI137</f>
        <v/>
      </c>
      <c r="JK137" s="56">
        <f>IFERROR(IF(($IS137)&gt;0,($JE137)/($IS137),""),"")</f>
        <v/>
      </c>
      <c r="JL137" s="56">
        <f>IFERROR(IF(($IT137)&gt;0,($JF137)/($IT137),""),"")</f>
        <v/>
      </c>
      <c r="JM137" s="56">
        <f>IFERROR(IF(($IU137)&gt;0,($JG137)/($IU137),""),"")</f>
        <v/>
      </c>
      <c r="JN137" s="55">
        <f>SUMIFS(tblBudget[Drill_m],tblBudget[Month],$E137)</f>
        <v/>
      </c>
      <c r="JO137" s="55">
        <f>$JN137*$C137/$D137</f>
        <v/>
      </c>
      <c r="JP137" s="55">
        <f>SUMIFS(tblBudget[Drill_m],tblBudget[Month],"&lt;"&amp;$E137)+$JO137</f>
        <v/>
      </c>
      <c r="JQ137" s="55">
        <f>SUMIFS(tblBudget[Diesel_L],tblBudget[Month],$E137)</f>
        <v/>
      </c>
      <c r="JR137" s="55">
        <f>$JQ137*$C137/$D137</f>
        <v/>
      </c>
      <c r="JS137" s="55">
        <f>SUMIFS(tblBudget[Diesel_L],tblBudget[Month],"&lt;"&amp;$E137)+$JR137</f>
        <v/>
      </c>
      <c r="JT137" s="55">
        <f>SUMIFS(tblBudget[Milled_t],tblBudget[Month],$E137)</f>
        <v/>
      </c>
      <c r="JU137" s="55">
        <f>$JT137*$C137/$D137</f>
        <v/>
      </c>
      <c r="JV137" s="55">
        <f>SUMIFS(tblBudget[Milled_t],tblBudget[Month],"&lt;"&amp;$E137)+$JU137</f>
        <v/>
      </c>
      <c r="JW137" s="55">
        <f>SUMIFS(tblBudget[Feed_oz],tblBudget[Month],$E137)</f>
        <v/>
      </c>
      <c r="JX137" s="55">
        <f>$JW137*$C137/$D137</f>
        <v/>
      </c>
      <c r="JY137" s="55">
        <f>SUMIFS(tblBudget[Feed_oz],tblBudget[Month],"&lt;"&amp;$E137)+$JX137</f>
        <v/>
      </c>
      <c r="JZ137" s="55">
        <f>SUMIFS(tblBudget[Recovered_oz],tblBudget[Month],$E137)</f>
        <v/>
      </c>
      <c r="KA137" s="55">
        <f>$JZ137*$C137/$D137</f>
        <v/>
      </c>
      <c r="KB137" s="55">
        <f>SUMIFS(tblBudget[Recovered_oz],tblBudget[Month],"&lt;"&amp;$E137)+$KA137</f>
        <v/>
      </c>
      <c r="KC137" s="55">
        <f>SUMIFS(tblBudget[Milled_t],tblBudget[Month],$E137)</f>
        <v/>
      </c>
      <c r="KD137" s="55">
        <f>$KC137*$C137/$D137</f>
        <v/>
      </c>
      <c r="KE137" s="55">
        <f>SUMIFS(tblBudget[Milled_t],tblBudget[Month],"&lt;"&amp;$E137)+$KD137</f>
        <v/>
      </c>
      <c r="KF137" s="55">
        <f>SUMIFS(tblBudget[Feed_oz],tblBudget[Month],$E137)</f>
        <v/>
      </c>
      <c r="KG137" s="55">
        <f>$KF137*$C137/$D137</f>
        <v/>
      </c>
      <c r="KH137" s="55">
        <f>SUMIFS(tblBudget[Feed_oz],tblBudget[Month],"&lt;"&amp;$E137)+$KG137</f>
        <v/>
      </c>
      <c r="KI137" s="56">
        <f>IFERROR(IF(($KC137)&gt;0,($JW137*cfg_TroyOz)/($KC137),""),"")</f>
        <v/>
      </c>
      <c r="KJ137" s="56">
        <f>IFERROR(IF(($KD137)&gt;0,($JX137*cfg_TroyOz)/($KD137),""),"")</f>
        <v/>
      </c>
      <c r="KK137" s="56">
        <f>IFERROR(IF(($KE137)&gt;0,($JY137*cfg_TroyOz)/($KE137),""),"")</f>
        <v/>
      </c>
      <c r="KL137" s="67">
        <f>IFERROR(IF(($KF137)&gt;0,($JZ137)/($KF137),""),"")</f>
        <v/>
      </c>
      <c r="KM137" s="67">
        <f>IFERROR(IF(($KG137)&gt;0,($KA137)/($KG137),""),"")</f>
        <v/>
      </c>
      <c r="KN137" s="67">
        <f>IFERROR(IF(($KH137)&gt;0,($KB137)/($KH137),""),"")</f>
        <v/>
      </c>
      <c r="KO137" s="55">
        <f>SUMIFS(tblBudget[Gold_Poured_oz],tblBudget[Month],$E137)</f>
        <v/>
      </c>
      <c r="KP137" s="55">
        <f>$KO137*$C137/$D137</f>
        <v/>
      </c>
      <c r="KQ137" s="55">
        <f>SUMIFS(tblBudget[Gold_Poured_oz],tblBudget[Month],"&lt;"&amp;$E137)+$KP137</f>
        <v/>
      </c>
      <c r="KR137" s="57">
        <f>SUMIFS(tblBudget[Hours_Worked],tblBudget[Month],$E137)</f>
        <v/>
      </c>
      <c r="KS137" s="57">
        <f>$KR137*$C137/$D137</f>
        <v/>
      </c>
      <c r="KT137" s="57">
        <f>SUMIFS(tblBudget[Hours_Worked],tblBudget[Month],"&lt;"&amp;$E137)+$KS137</f>
        <v/>
      </c>
    </row>
    <row r="138">
      <c r="A138" s="54" t="n">
        <v>46159</v>
      </c>
      <c r="B138">
        <f>MONTH($A138)</f>
        <v/>
      </c>
      <c r="C138">
        <f>DAY($A138)</f>
        <v/>
      </c>
      <c r="D138">
        <f>DAY(EOMONTH($A138,0))</f>
        <v/>
      </c>
      <c r="E138" s="54">
        <f>DATE(YEAR($A138),MONTH($A138),1)</f>
        <v/>
      </c>
      <c r="F138" s="55">
        <f>SUMIFS(tblMovement[Tonnes_t],tblMovement[Date],$A138,tblMovement[Is_Ore],1,tblMovement[Source_Type],"Pit")</f>
        <v/>
      </c>
      <c r="G138" s="55">
        <f>IF($B138=$B137,$G137,0)+$F138</f>
        <v/>
      </c>
      <c r="H138" s="55">
        <f>$H137+$F138</f>
        <v/>
      </c>
      <c r="I138" s="55">
        <f>SUMIFS(tblMovement[Ore_oz],tblMovement[Date],$A138,tblMovement[Source_Type],"Pit")</f>
        <v/>
      </c>
      <c r="J138" s="55">
        <f>IF($B138=$B137,$J137,0)+$I138</f>
        <v/>
      </c>
      <c r="K138" s="55">
        <f>$K137+$I138</f>
        <v/>
      </c>
      <c r="L138" s="55">
        <f>SUMIFS(tblMovement[Tonnes_t],tblMovement[Date],$A138,tblMovement[Is_Ore],1,tblMovement[Source_Type],"Pit",tblMovement[Grade_gpt],"&lt;&gt;")</f>
        <v/>
      </c>
      <c r="M138" s="55">
        <f>IF($B138=$B137,$M137,0)+$L138</f>
        <v/>
      </c>
      <c r="N138" s="55">
        <f>$N137+$L138</f>
        <v/>
      </c>
      <c r="O138" s="56">
        <f>IFERROR(IF(($L138)&gt;0,($I138*cfg_TroyOz)/($L138),""),"")</f>
        <v/>
      </c>
      <c r="P138" s="56">
        <f>IFERROR(IF(($M138)&gt;0,($J138*cfg_TroyOz)/($M138),""),"")</f>
        <v/>
      </c>
      <c r="Q138" s="56">
        <f>IFERROR(IF(($N138)&gt;0,($K138*cfg_TroyOz)/($N138),""),"")</f>
        <v/>
      </c>
      <c r="R138" s="55">
        <f>$F138-$L138</f>
        <v/>
      </c>
      <c r="S138" s="55">
        <f>IF($B138=$B137,$S137,0)+$R138</f>
        <v/>
      </c>
      <c r="T138" s="55">
        <f>$T137+$R138</f>
        <v/>
      </c>
      <c r="U138" s="55">
        <f>SUMIFS(tblMovement[Tonnes_t],tblMovement[Date],$A138,tblMovement[Is_Ore],0,tblMovement[Source_Type],"Pit")</f>
        <v/>
      </c>
      <c r="V138" s="55">
        <f>IF($B138=$B137,$V137,0)+$U138</f>
        <v/>
      </c>
      <c r="W138" s="55">
        <f>$W137+$U138</f>
        <v/>
      </c>
      <c r="X138" s="55">
        <f>$F138+$U138</f>
        <v/>
      </c>
      <c r="Y138" s="55">
        <f>IF($B138=$B137,$Y137,0)+$X138</f>
        <v/>
      </c>
      <c r="Z138" s="55">
        <f>$Z137+$X138</f>
        <v/>
      </c>
      <c r="AA138" s="56">
        <f>IFERROR(IF(($F138)&gt;0,($U138)/($F138),""),"")</f>
        <v/>
      </c>
      <c r="AB138" s="56">
        <f>IFERROR(IF(($G138)&gt;0,($V138)/($G138),""),"")</f>
        <v/>
      </c>
      <c r="AC138" s="56">
        <f>IFERROR(IF(($H138)&gt;0,($W138)/($H138),""),"")</f>
        <v/>
      </c>
      <c r="AD138" s="55">
        <f>SUMIFS(tblMovement[Tonnes_t],tblMovement[Date],$A138,tblMovement[Source_Type],"Stockpile")</f>
        <v/>
      </c>
      <c r="AE138" s="55">
        <f>IF($B138=$B137,$AE137,0)+$AD138</f>
        <v/>
      </c>
      <c r="AF138" s="55">
        <f>$AF137+$AD138</f>
        <v/>
      </c>
      <c r="AG138" s="55">
        <f>SUMIFS(tblMovement[Tonnes_t],tblMovement[Date],$A138)</f>
        <v/>
      </c>
      <c r="AH138" s="55">
        <f>IF($B138=$B137,$AH137,0)+$AG138</f>
        <v/>
      </c>
      <c r="AI138" s="55">
        <f>$AI137+$AG138</f>
        <v/>
      </c>
      <c r="AJ138" s="55">
        <f>$AG138-$X138-$AD138</f>
        <v/>
      </c>
      <c r="AK138" s="55">
        <f>IF($B138=$B137,$AK137,0)+$AJ138</f>
        <v/>
      </c>
      <c r="AL138" s="55">
        <f>$AL137+$AJ138</f>
        <v/>
      </c>
      <c r="AM138" s="55">
        <f>SUMIFS(tblMiningDaily[Drill_m],tblMiningDaily[Date],$A138)</f>
        <v/>
      </c>
      <c r="AN138" s="55">
        <f>IF($B138=$B137,$AN137,0)+$AM138</f>
        <v/>
      </c>
      <c r="AO138" s="55">
        <f>$AO137+$AM138</f>
        <v/>
      </c>
      <c r="AP138" s="55">
        <f>SUMIFS(tblMiningDaily[GC_Drill_m],tblMiningDaily[Date],$A138)</f>
        <v/>
      </c>
      <c r="AQ138" s="55">
        <f>IF($B138=$B137,$AQ137,0)+$AP138</f>
        <v/>
      </c>
      <c r="AR138" s="55">
        <f>$AR137+$AP138</f>
        <v/>
      </c>
      <c r="AS138" s="55">
        <f>SUMIFS(tblMiningDaily[Blast_t],tblMiningDaily[Date],$A138)</f>
        <v/>
      </c>
      <c r="AT138" s="55">
        <f>IF($B138=$B137,$AT137,0)+$AS138</f>
        <v/>
      </c>
      <c r="AU138" s="55">
        <f>$AU137+$AS138</f>
        <v/>
      </c>
      <c r="AV138" s="55">
        <f>SUMIFS(tblMiningDaily[Explosives_kg],tblMiningDaily[Date],$A138)</f>
        <v/>
      </c>
      <c r="AW138" s="55">
        <f>IF($B138=$B137,$AW137,0)+$AV138</f>
        <v/>
      </c>
      <c r="AX138" s="55">
        <f>$AX137+$AV138</f>
        <v/>
      </c>
      <c r="AY138" s="56">
        <f>IFERROR(IF(($AS138)&gt;0,($AV138)/($AS138),""),"")</f>
        <v/>
      </c>
      <c r="AZ138" s="56">
        <f>IFERROR(IF(($AT138)&gt;0,($AW138)/($AT138),""),"")</f>
        <v/>
      </c>
      <c r="BA138" s="56">
        <f>IFERROR(IF(($AU138)&gt;0,($AX138)/($AU138),""),"")</f>
        <v/>
      </c>
      <c r="BB138" s="55">
        <f>SUMIFS(tblMiningDaily[Diesel_L],tblMiningDaily[Date],$A138)</f>
        <v/>
      </c>
      <c r="BC138" s="55">
        <f>IF($B138=$B137,$BC137,0)+$BB138</f>
        <v/>
      </c>
      <c r="BD138" s="55">
        <f>$BD137+$BB138</f>
        <v/>
      </c>
      <c r="BE138" s="55">
        <f>SUMIFS(tblMiningDaily[Dewatering_m3],tblMiningDaily[Date],$A138)</f>
        <v/>
      </c>
      <c r="BF138" s="55">
        <f>IF($B138=$B137,$BF137,0)+$BE138</f>
        <v/>
      </c>
      <c r="BG138" s="55">
        <f>$BG137+$BE138</f>
        <v/>
      </c>
      <c r="BH138" s="57">
        <f>SUMIFS(tblFleet[Calendar_h],tblFleet[Date],$A138,tblFleet[Equipment_Class],"Excavator")</f>
        <v/>
      </c>
      <c r="BI138" s="57">
        <f>IF($B138=$B137,$BI137,0)+$BH138</f>
        <v/>
      </c>
      <c r="BJ138" s="57">
        <f>$BJ137+$BH138</f>
        <v/>
      </c>
      <c r="BK138" s="57">
        <f>SUMIFS(tblFleet[Available_h],tblFleet[Date],$A138,tblFleet[Equipment_Class],"Excavator")</f>
        <v/>
      </c>
      <c r="BL138" s="57">
        <f>IF($B138=$B137,$BL137,0)+$BK138</f>
        <v/>
      </c>
      <c r="BM138" s="57">
        <f>$BM137+$BK138</f>
        <v/>
      </c>
      <c r="BN138" s="57">
        <f>SUMIFS(tblFleet[Operating_h],tblFleet[Date],$A138,tblFleet[Equipment_Class],"Excavator")</f>
        <v/>
      </c>
      <c r="BO138" s="57">
        <f>IF($B138=$B137,$BO137,0)+$BN138</f>
        <v/>
      </c>
      <c r="BP138" s="57">
        <f>$BP137+$BN138</f>
        <v/>
      </c>
      <c r="BQ138" s="67">
        <f>IFERROR(IF(($BH138)&gt;0,($BK138)/($BH138),""),"")</f>
        <v/>
      </c>
      <c r="BR138" s="67">
        <f>IFERROR(IF(($BI138)&gt;0,($BL138)/($BI138),""),"")</f>
        <v/>
      </c>
      <c r="BS138" s="67">
        <f>IFERROR(IF(($BJ138)&gt;0,($BM138)/($BJ138),""),"")</f>
        <v/>
      </c>
      <c r="BT138" s="67">
        <f>IFERROR(IF(($BK138)&gt;0,($BN138)/($BK138),""),"")</f>
        <v/>
      </c>
      <c r="BU138" s="67">
        <f>IFERROR(IF(($BL138)&gt;0,($BO138)/($BL138),""),"")</f>
        <v/>
      </c>
      <c r="BV138" s="67">
        <f>IFERROR(IF(($BM138)&gt;0,($BP138)/($BM138),""),"")</f>
        <v/>
      </c>
      <c r="BW138" s="57">
        <f>SUMIFS(tblFleet[Calendar_h],tblFleet[Date],$A138,tblFleet[Equipment_Class],"Haul Truck")</f>
        <v/>
      </c>
      <c r="BX138" s="57">
        <f>IF($B138=$B137,$BX137,0)+$BW138</f>
        <v/>
      </c>
      <c r="BY138" s="57">
        <f>$BY137+$BW138</f>
        <v/>
      </c>
      <c r="BZ138" s="57">
        <f>SUMIFS(tblFleet[Available_h],tblFleet[Date],$A138,tblFleet[Equipment_Class],"Haul Truck")</f>
        <v/>
      </c>
      <c r="CA138" s="57">
        <f>IF($B138=$B137,$CA137,0)+$BZ138</f>
        <v/>
      </c>
      <c r="CB138" s="57">
        <f>$CB137+$BZ138</f>
        <v/>
      </c>
      <c r="CC138" s="57">
        <f>SUMIFS(tblFleet[Operating_h],tblFleet[Date],$A138,tblFleet[Equipment_Class],"Haul Truck")</f>
        <v/>
      </c>
      <c r="CD138" s="57">
        <f>IF($B138=$B137,$CD137,0)+$CC138</f>
        <v/>
      </c>
      <c r="CE138" s="57">
        <f>$CE137+$CC138</f>
        <v/>
      </c>
      <c r="CF138" s="67">
        <f>IFERROR(IF(($BW138)&gt;0,($BZ138)/($BW138),""),"")</f>
        <v/>
      </c>
      <c r="CG138" s="67">
        <f>IFERROR(IF(($BX138)&gt;0,($CA138)/($BX138),""),"")</f>
        <v/>
      </c>
      <c r="CH138" s="67">
        <f>IFERROR(IF(($BY138)&gt;0,($CB138)/($BY138),""),"")</f>
        <v/>
      </c>
      <c r="CI138" s="67">
        <f>IFERROR(IF(($BZ138)&gt;0,($CC138)/($BZ138),""),"")</f>
        <v/>
      </c>
      <c r="CJ138" s="67">
        <f>IFERROR(IF(($CA138)&gt;0,($CD138)/($CA138),""),"")</f>
        <v/>
      </c>
      <c r="CK138" s="67">
        <f>IFERROR(IF(($CB138)&gt;0,($CE138)/($CB138),""),"")</f>
        <v/>
      </c>
      <c r="CL138" s="55">
        <f>IFERROR(IF(($BN138)&gt;0,($X138+$AD138)/($BN138),""),"")</f>
        <v/>
      </c>
      <c r="CM138" s="55">
        <f>IFERROR(IF(($BO138)&gt;0,($Y138+$AE138)/($BO138),""),"")</f>
        <v/>
      </c>
      <c r="CN138" s="55">
        <f>IFERROR(IF(($BP138)&gt;0,($Z138+$AF138)/($BP138),""),"")</f>
        <v/>
      </c>
      <c r="CO138" s="55">
        <f>IFERROR(IF(($CC138)&gt;0,($X138+$AD138)/($CC138),""),"")</f>
        <v/>
      </c>
      <c r="CP138" s="55">
        <f>IFERROR(IF(($CD138)&gt;0,($Y138+$AE138)/($CD138),""),"")</f>
        <v/>
      </c>
      <c r="CQ138" s="55">
        <f>IFERROR(IF(($CE138)&gt;0,($Z138+$AF138)/($CE138),""),"")</f>
        <v/>
      </c>
      <c r="CR138" s="55">
        <f>SUMIFS(tblPlant[Crushed_t],tblPlant[Date],$A138)</f>
        <v/>
      </c>
      <c r="CS138" s="55">
        <f>IF($B138=$B137,$CS137,0)+$CR138</f>
        <v/>
      </c>
      <c r="CT138" s="55">
        <f>$CT137+$CR138</f>
        <v/>
      </c>
      <c r="CU138" s="55">
        <f>SUMIFS(tblPlant[Milled_t],tblPlant[Date],$A138)</f>
        <v/>
      </c>
      <c r="CV138" s="55">
        <f>IF($B138=$B137,$CV137,0)+$CU138</f>
        <v/>
      </c>
      <c r="CW138" s="55">
        <f>$CW137+$CU138</f>
        <v/>
      </c>
      <c r="CX138" s="55">
        <f>SUMIFS(tblPlant[Feed_oz],tblPlant[Date],$A138)</f>
        <v/>
      </c>
      <c r="CY138" s="55">
        <f>IF($B138=$B137,$CY137,0)+$CX138</f>
        <v/>
      </c>
      <c r="CZ138" s="55">
        <f>$CZ137+$CX138</f>
        <v/>
      </c>
      <c r="DA138" s="55">
        <f>SUMIFS(tblPlant[Tails_oz],tblPlant[Date],$A138)</f>
        <v/>
      </c>
      <c r="DB138" s="55">
        <f>IF($B138=$B137,$DB137,0)+$DA138</f>
        <v/>
      </c>
      <c r="DC138" s="55">
        <f>$DC137+$DA138</f>
        <v/>
      </c>
      <c r="DD138" s="55">
        <f>SUMIFS(tblPlant[Recovered_oz],tblPlant[Date],$A138)</f>
        <v/>
      </c>
      <c r="DE138" s="55">
        <f>IF($B138=$B137,$DE137,0)+$DD138</f>
        <v/>
      </c>
      <c r="DF138" s="55">
        <f>$DF137+$DD138</f>
        <v/>
      </c>
      <c r="DG138" s="55">
        <f>SUMIFS(tblPlant[Milled_t],tblPlant[Date],$A138,tblPlant[Head_Grade_gpt],"&lt;&gt;")</f>
        <v/>
      </c>
      <c r="DH138" s="55">
        <f>IF($B138=$B137,$DH137,0)+$DG138</f>
        <v/>
      </c>
      <c r="DI138" s="55">
        <f>$DI137+$DG138</f>
        <v/>
      </c>
      <c r="DJ138" s="55">
        <f>SUMIFS(tblPlant[Milled_t],tblPlant[Date],$A138,tblPlant[Tails_Grade_gpt],"&lt;&gt;")</f>
        <v/>
      </c>
      <c r="DK138" s="55">
        <f>IF($B138=$B137,$DK137,0)+$DJ138</f>
        <v/>
      </c>
      <c r="DL138" s="55">
        <f>$DL137+$DJ138</f>
        <v/>
      </c>
      <c r="DM138" s="55">
        <f>SUMIFS(tblPlant[Feed_oz],tblPlant[Date],$A138,tblPlant[Tails_Grade_gpt],"&lt;&gt;")</f>
        <v/>
      </c>
      <c r="DN138" s="55">
        <f>IF($B138=$B137,$DN137,0)+$DM138</f>
        <v/>
      </c>
      <c r="DO138" s="55">
        <f>$DO137+$DM138</f>
        <v/>
      </c>
      <c r="DP138" s="55">
        <f>SUMIFS(tblPlant[Milled_t],tblPlant[Date],$A138,tblPlant[Mill_Run_h],"&lt;&gt;")</f>
        <v/>
      </c>
      <c r="DQ138" s="55">
        <f>IF($B138=$B137,$DQ137,0)+$DP138</f>
        <v/>
      </c>
      <c r="DR138" s="55">
        <f>$DR137+$DP138</f>
        <v/>
      </c>
      <c r="DS138" s="56">
        <f>IFERROR(IF(($DG138)&gt;0,($CX138*cfg_TroyOz)/($DG138),""),"")</f>
        <v/>
      </c>
      <c r="DT138" s="56">
        <f>IFERROR(IF(($DH138)&gt;0,($CY138*cfg_TroyOz)/($DH138),""),"")</f>
        <v/>
      </c>
      <c r="DU138" s="56">
        <f>IFERROR(IF(($DI138)&gt;0,($CZ138*cfg_TroyOz)/($DI138),""),"")</f>
        <v/>
      </c>
      <c r="DV138" s="56">
        <f>IFERROR(IF(($DJ138)&gt;0,($DA138*cfg_TroyOz)/($DJ138),""),"")</f>
        <v/>
      </c>
      <c r="DW138" s="56">
        <f>IFERROR(IF(($DK138)&gt;0,($DB138*cfg_TroyOz)/($DK138),""),"")</f>
        <v/>
      </c>
      <c r="DX138" s="56">
        <f>IFERROR(IF(($DL138)&gt;0,($DC138*cfg_TroyOz)/($DL138),""),"")</f>
        <v/>
      </c>
      <c r="DY138" s="67">
        <f>IFERROR(IF(($DM138)&gt;0,($DD138)/($DM138),""),"")</f>
        <v/>
      </c>
      <c r="DZ138" s="67">
        <f>IFERROR(IF(($DN138)&gt;0,($DE138)/($DN138),""),"")</f>
        <v/>
      </c>
      <c r="EA138" s="67">
        <f>IFERROR(IF(($DO138)&gt;0,($DF138)/($DO138),""),"")</f>
        <v/>
      </c>
      <c r="EB138" s="55">
        <f>SUMIFS(tblPlant[Gravity_Gold_oz],tblPlant[Date],$A138)</f>
        <v/>
      </c>
      <c r="EC138" s="55">
        <f>IF($B138=$B137,$EC137,0)+$EB138</f>
        <v/>
      </c>
      <c r="ED138" s="55">
        <f>$ED137+$EB138</f>
        <v/>
      </c>
      <c r="EE138" s="67">
        <f>IFERROR(IF(($DD138)&gt;0,($EB138)/($DD138),""),"")</f>
        <v/>
      </c>
      <c r="EF138" s="67">
        <f>IFERROR(IF(($DE138)&gt;0,($EC138)/($DE138),""),"")</f>
        <v/>
      </c>
      <c r="EG138" s="67">
        <f>IFERROR(IF(($DF138)&gt;0,($ED138)/($DF138),""),"")</f>
        <v/>
      </c>
      <c r="EH138" s="55">
        <f>SUMIFS(tblPlant[Gold_Poured_oz],tblPlant[Date],$A138)</f>
        <v/>
      </c>
      <c r="EI138" s="55">
        <f>IF($B138=$B137,$EI137,0)+$EH138</f>
        <v/>
      </c>
      <c r="EJ138" s="55">
        <f>$EJ137+$EH138</f>
        <v/>
      </c>
      <c r="EK138" s="57">
        <f>SUMIFS(tblPlant[Mill_Run_h],tblPlant[Date],$A138)</f>
        <v/>
      </c>
      <c r="EL138" s="57">
        <f>IF($B138=$B137,$EL137,0)+$EK138</f>
        <v/>
      </c>
      <c r="EM138" s="57">
        <f>$EM137+$EK138</f>
        <v/>
      </c>
      <c r="EN138" s="57">
        <f>SUMIFS(tblPlant[Mill_Planned_Maint_h],tblPlant[Date],$A138)</f>
        <v/>
      </c>
      <c r="EO138" s="57">
        <f>IF($B138=$B137,$EO137,0)+$EN138</f>
        <v/>
      </c>
      <c r="EP138" s="57">
        <f>$EP137+$EN138</f>
        <v/>
      </c>
      <c r="EQ138" s="57">
        <f>SUMIFS(tblPlant[Mill_Unplanned_Down_h],tblPlant[Date],$A138)</f>
        <v/>
      </c>
      <c r="ER138" s="57">
        <f>IF($B138=$B137,$ER137,0)+$EQ138</f>
        <v/>
      </c>
      <c r="ES138" s="57">
        <f>$ES137+$EQ138</f>
        <v/>
      </c>
      <c r="ET138" s="57">
        <f>IF(COUNTIFS(tblPlant[Date],$A138,tblPlant[Mill_Run_h],"&lt;&gt;")+COUNTIFS(tblPlant[Date],$A138,tblPlant[Mill_Planned_Maint_h],"&lt;&gt;")+COUNTIFS(tblPlant[Date],$A138,tblPlant[Mill_Unplanned_Down_h],"&lt;&gt;")&gt;0,cfg_HoursPerDay,0)</f>
        <v/>
      </c>
      <c r="EU138" s="57">
        <f>IF($B138=$B137,$EU137,0)+$ET138</f>
        <v/>
      </c>
      <c r="EV138" s="57">
        <f>$EV137+$ET138</f>
        <v/>
      </c>
      <c r="EW138" s="57">
        <f>SUMIFS(tblPlant[Crusher_Run_h],tblPlant[Date],$A138)</f>
        <v/>
      </c>
      <c r="EX138" s="57">
        <f>IF($B138=$B137,$EX137,0)+$EW138</f>
        <v/>
      </c>
      <c r="EY138" s="57">
        <f>$EY137+$EW138</f>
        <v/>
      </c>
      <c r="EZ138" s="55">
        <f>IFERROR(IF(($EK138)&gt;0,($DP138)/($EK138),""),"")</f>
        <v/>
      </c>
      <c r="FA138" s="55">
        <f>IFERROR(IF(($EL138)&gt;0,($DQ138)/($EL138),""),"")</f>
        <v/>
      </c>
      <c r="FB138" s="55">
        <f>IFERROR(IF(($EM138)&gt;0,($DR138)/($EM138),""),"")</f>
        <v/>
      </c>
      <c r="FC138" s="67">
        <f>IFERROR(IF(($ET138)&gt;0,($ET138-$EN138-$EQ138)/($ET138),""),"")</f>
        <v/>
      </c>
      <c r="FD138" s="67">
        <f>IFERROR(IF(($EU138)&gt;0,($EU138-$EO138-$ER138)/($EU138),""),"")</f>
        <v/>
      </c>
      <c r="FE138" s="67">
        <f>IFERROR(IF(($EV138)&gt;0,($EV138-$EP138-$ES138)/($EV138),""),"")</f>
        <v/>
      </c>
      <c r="FF138" s="67">
        <f>IFERROR(IF(($ET138-$EN138-$EQ138)&gt;0,($EK138)/($ET138-$EN138-$EQ138),""),"")</f>
        <v/>
      </c>
      <c r="FG138" s="67">
        <f>IFERROR(IF(($EU138-$EO138-$ER138)&gt;0,($EL138)/($EU138-$EO138-$ER138),""),"")</f>
        <v/>
      </c>
      <c r="FH138" s="67">
        <f>IFERROR(IF(($EV138-$EP138-$ES138)&gt;0,($EM138)/($EV138-$EP138-$ES138),""),"")</f>
        <v/>
      </c>
      <c r="FI138" s="55">
        <f>SUMIFS(tblPlant[Cyanide_kg],tblPlant[Date],$A138)</f>
        <v/>
      </c>
      <c r="FJ138" s="55">
        <f>IF($B138=$B137,$FJ137,0)+$FI138</f>
        <v/>
      </c>
      <c r="FK138" s="55">
        <f>$FK137+$FI138</f>
        <v/>
      </c>
      <c r="FL138" s="55">
        <f>SUMIFS(tblPlant[Lime_kg],tblPlant[Date],$A138)</f>
        <v/>
      </c>
      <c r="FM138" s="55">
        <f>IF($B138=$B137,$FM137,0)+$FL138</f>
        <v/>
      </c>
      <c r="FN138" s="55">
        <f>$FN137+$FL138</f>
        <v/>
      </c>
      <c r="FO138" s="55">
        <f>SUMIFS(tblPlant[Grinding_Media_kg],tblPlant[Date],$A138)</f>
        <v/>
      </c>
      <c r="FP138" s="55">
        <f>IF($B138=$B137,$FP137,0)+$FO138</f>
        <v/>
      </c>
      <c r="FQ138" s="55">
        <f>$FQ137+$FO138</f>
        <v/>
      </c>
      <c r="FR138" s="55">
        <f>SUMIFS(tblPlant[Power_kWh],tblPlant[Date],$A138)</f>
        <v/>
      </c>
      <c r="FS138" s="55">
        <f>IF($B138=$B137,$FS137,0)+$FR138</f>
        <v/>
      </c>
      <c r="FT138" s="55">
        <f>$FT137+$FR138</f>
        <v/>
      </c>
      <c r="FU138" s="55">
        <f>SUMIFS(tblPlant[Raw_Water_m3],tblPlant[Date],$A138)</f>
        <v/>
      </c>
      <c r="FV138" s="55">
        <f>IF($B138=$B137,$FV137,0)+$FU138</f>
        <v/>
      </c>
      <c r="FW138" s="55">
        <f>$FW137+$FU138</f>
        <v/>
      </c>
      <c r="FX138" s="56">
        <f>IFERROR(IF(($CU138)&gt;0,($FI138)/($CU138),""),"")</f>
        <v/>
      </c>
      <c r="FY138" s="56">
        <f>IFERROR(IF(($CV138)&gt;0,($FJ138)/($CV138),""),"")</f>
        <v/>
      </c>
      <c r="FZ138" s="56">
        <f>IFERROR(IF(($CW138)&gt;0,($FK138)/($CW138),""),"")</f>
        <v/>
      </c>
      <c r="GA138" s="56">
        <f>IFERROR(IF(($CU138)&gt;0,($FL138)/($CU138),""),"")</f>
        <v/>
      </c>
      <c r="GB138" s="56">
        <f>IFERROR(IF(($CV138)&gt;0,($FM138)/($CV138),""),"")</f>
        <v/>
      </c>
      <c r="GC138" s="56">
        <f>IFERROR(IF(($CW138)&gt;0,($FN138)/($CW138),""),"")</f>
        <v/>
      </c>
      <c r="GD138" s="56">
        <f>IFERROR(IF(($CU138)&gt;0,($FO138)/($CU138),""),"")</f>
        <v/>
      </c>
      <c r="GE138" s="56">
        <f>IFERROR(IF(($CV138)&gt;0,($FP138)/($CV138),""),"")</f>
        <v/>
      </c>
      <c r="GF138" s="56">
        <f>IFERROR(IF(($CW138)&gt;0,($FQ138)/($CW138),""),"")</f>
        <v/>
      </c>
      <c r="GG138" s="79">
        <f>IFERROR(IF(($CU138)&gt;0,($FR138)/($CU138),""),"")</f>
        <v/>
      </c>
      <c r="GH138" s="79">
        <f>IFERROR(IF(($CV138)&gt;0,($FS138)/($CV138),""),"")</f>
        <v/>
      </c>
      <c r="GI138" s="79">
        <f>IFERROR(IF(($CW138)&gt;0,($FT138)/($CW138),""),"")</f>
        <v/>
      </c>
      <c r="GJ138" s="56">
        <f>IFERROR(IF(($CU138)&gt;0,($FU138)/($CU138),""),"")</f>
        <v/>
      </c>
      <c r="GK138" s="56">
        <f>IFERROR(IF(($CV138)&gt;0,($FV138)/($CV138),""),"")</f>
        <v/>
      </c>
      <c r="GL138" s="56">
        <f>IFERROR(IF(($CW138)&gt;0,($FW138)/($CW138),""),"")</f>
        <v/>
      </c>
      <c r="GM138" s="55">
        <f>IF(SUMIFS(tblPlant[GIC_oz],tblPlant[Date],$A138)&gt;0,SUMIFS(tblPlant[GIC_oz],tblPlant[Date],$A138),"")</f>
        <v/>
      </c>
      <c r="GN138" s="55">
        <f>SUMIFS(tblGold[Gold_oz],tblGold[Date],$A138,tblGold[Type],"Shipment")</f>
        <v/>
      </c>
      <c r="GO138" s="55">
        <f>IF($B138=$B137,$GO137,0)+$GN138</f>
        <v/>
      </c>
      <c r="GP138" s="55">
        <f>$GP137+$GN138</f>
        <v/>
      </c>
      <c r="GQ138" s="55">
        <f>SUMIFS(tblGold[Gold_oz],tblGold[Date],$A138,tblGold[Type],"Sale")</f>
        <v/>
      </c>
      <c r="GR138" s="55">
        <f>IF($B138=$B137,$GR137,0)+$GQ138</f>
        <v/>
      </c>
      <c r="GS138" s="55">
        <f>$GS137+$GQ138</f>
        <v/>
      </c>
      <c r="GT138" s="55">
        <f>SUMIFS(tblGold[Dore_kg],tblGold[Date],$A138,tblGold[Type],"Shipment")</f>
        <v/>
      </c>
      <c r="GU138" s="55">
        <f>IF($B138=$B137,$GU137,0)+$GT138</f>
        <v/>
      </c>
      <c r="GV138" s="55">
        <f>$GV137+$GT138</f>
        <v/>
      </c>
      <c r="GW138" s="57">
        <f>SUMIFS(tblSafety[Hours_Total],tblSafety[Date],$A138)</f>
        <v/>
      </c>
      <c r="GX138" s="57">
        <f>IF($B138=$B137,$GX137,0)+$GW138</f>
        <v/>
      </c>
      <c r="GY138" s="57">
        <f>$GY137+$GW138</f>
        <v/>
      </c>
      <c r="GZ138" s="62">
        <f>SUMIFS(tblSafety[Fatality],tblSafety[Date],$A138)</f>
        <v/>
      </c>
      <c r="HA138" s="62">
        <f>IF($B138=$B137,$HA137,0)+$GZ138</f>
        <v/>
      </c>
      <c r="HB138" s="62">
        <f>$HB137+$GZ138</f>
        <v/>
      </c>
      <c r="HC138" s="62">
        <f>SUMIFS(tblSafety[LTI],tblSafety[Date],$A138)</f>
        <v/>
      </c>
      <c r="HD138" s="62">
        <f>IF($B138=$B137,$HD137,0)+$HC138</f>
        <v/>
      </c>
      <c r="HE138" s="62">
        <f>$HE137+$HC138</f>
        <v/>
      </c>
      <c r="HF138" s="62">
        <f>SUMIFS(tblSafety[RWI],tblSafety[Date],$A138)</f>
        <v/>
      </c>
      <c r="HG138" s="62">
        <f>IF($B138=$B137,$HG137,0)+$HF138</f>
        <v/>
      </c>
      <c r="HH138" s="62">
        <f>$HH137+$HF138</f>
        <v/>
      </c>
      <c r="HI138" s="62">
        <f>SUMIFS(tblSafety[MTI],tblSafety[Date],$A138)</f>
        <v/>
      </c>
      <c r="HJ138" s="62">
        <f>IF($B138=$B137,$HJ137,0)+$HI138</f>
        <v/>
      </c>
      <c r="HK138" s="62">
        <f>$HK137+$HI138</f>
        <v/>
      </c>
      <c r="HL138" s="62">
        <f>SUMIFS(tblSafety[FAI],tblSafety[Date],$A138)</f>
        <v/>
      </c>
      <c r="HM138" s="62">
        <f>IF($B138=$B137,$HM137,0)+$HL138</f>
        <v/>
      </c>
      <c r="HN138" s="62">
        <f>$HN137+$HL138</f>
        <v/>
      </c>
      <c r="HO138" s="62">
        <f>SUMIFS(tblSafety[Recordables],tblSafety[Date],$A138)</f>
        <v/>
      </c>
      <c r="HP138" s="62">
        <f>IF($B138=$B137,$HP137,0)+$HO138</f>
        <v/>
      </c>
      <c r="HQ138" s="62">
        <f>$HQ137+$HO138</f>
        <v/>
      </c>
      <c r="HR138" s="62">
        <f>SUMIFS(tblSafety[Near_Miss],tblSafety[Date],$A138)</f>
        <v/>
      </c>
      <c r="HS138" s="62">
        <f>IF($B138=$B137,$HS137,0)+$HR138</f>
        <v/>
      </c>
      <c r="HT138" s="62">
        <f>$HT137+$HR138</f>
        <v/>
      </c>
      <c r="HU138" s="62">
        <f>SUMIFS(tblSafety[Hazard_Reports],tblSafety[Date],$A138)</f>
        <v/>
      </c>
      <c r="HV138" s="62">
        <f>IF($B138=$B137,$HV137,0)+$HU138</f>
        <v/>
      </c>
      <c r="HW138" s="62">
        <f>$HW137+$HU138</f>
        <v/>
      </c>
      <c r="HX138" s="62">
        <f>SUMIFS(tblSafety[HPI],tblSafety[Date],$A138)</f>
        <v/>
      </c>
      <c r="HY138" s="62">
        <f>IF($B138=$B137,$HY137,0)+$HX138</f>
        <v/>
      </c>
      <c r="HZ138" s="62">
        <f>$HZ137+$HX138</f>
        <v/>
      </c>
      <c r="IA138" s="62">
        <f>SUMIFS(tblSafety[Env_Incidents],tblSafety[Date],$A138)</f>
        <v/>
      </c>
      <c r="IB138" s="62">
        <f>IF($B138=$B137,$IB137,0)+$IA138</f>
        <v/>
      </c>
      <c r="IC138" s="62">
        <f>$IC137+$IA138</f>
        <v/>
      </c>
      <c r="ID138" s="62">
        <f>SUMIFS(tblSafety[Community_Incidents],tblSafety[Date],$A138)</f>
        <v/>
      </c>
      <c r="IE138" s="62">
        <f>IF($B138=$B137,$IE137,0)+$ID138</f>
        <v/>
      </c>
      <c r="IF138" s="62">
        <f>$IF137+$ID138</f>
        <v/>
      </c>
      <c r="IG138" s="62">
        <f>SUMIFS(tblSafety[Vehicle_Incidents],tblSafety[Date],$A138)</f>
        <v/>
      </c>
      <c r="IH138" s="62">
        <f>IF($B138=$B137,$IH137,0)+$IG138</f>
        <v/>
      </c>
      <c r="II138" s="62">
        <f>$II137+$IG138</f>
        <v/>
      </c>
      <c r="IJ138" s="62">
        <f>SUMIFS(tblSafety[Toolbox_Talks],tblSafety[Date],$A138)</f>
        <v/>
      </c>
      <c r="IK138" s="62">
        <f>IF($B138=$B137,$IK137,0)+$IJ138</f>
        <v/>
      </c>
      <c r="IL138" s="62">
        <f>$IL137+$IJ138</f>
        <v/>
      </c>
      <c r="IM138" s="62">
        <f>SUMIFS(tblSafety[Inspections],tblSafety[Date],$A138)</f>
        <v/>
      </c>
      <c r="IN138" s="62">
        <f>IF($B138=$B137,$IN137,0)+$IM138</f>
        <v/>
      </c>
      <c r="IO138" s="62">
        <f>$IO137+$IM138</f>
        <v/>
      </c>
      <c r="IP138" s="56">
        <f>IFERROR((SUMIFS(tblSafety[Recordables],tblSafety[Date],"&gt;="&amp;EDATE($E138,-12),tblSafety[Date],"&lt;="&amp;$A138)+SUMIFS(tblSafetyHistory[Recordables],tblSafetyHistory[Month],"&gt;="&amp;EDATE($E138,-12),tblSafetyHistory[Month],"&lt;"&amp;$E138,tblSafetyHistory[Use],1))/(SUMIFS(tblSafety[Hours_Total],tblSafety[Date],"&gt;="&amp;EDATE($E138,-12),tblSafety[Date],"&lt;="&amp;$A138)+SUMIFS(tblSafetyHistory[Hours_Total],tblSafetyHistory[Month],"&gt;="&amp;EDATE($E138,-12),tblSafetyHistory[Month],"&lt;"&amp;$E138,tblSafetyHistory[Use],1))*cfg_RateBasisHours,"")</f>
        <v/>
      </c>
      <c r="IQ138" s="56">
        <f>IFERROR((SUMIFS(tblSafety[LTI],tblSafety[Date],"&gt;="&amp;EDATE($E138,-12),tblSafety[Date],"&lt;="&amp;$A138)+SUMIFS(tblSafetyHistory[LTI],tblSafetyHistory[Month],"&gt;="&amp;EDATE($E138,-12),tblSafetyHistory[Month],"&lt;"&amp;$E138,tblSafetyHistory[Use],1))/(SUMIFS(tblSafety[Hours_Total],tblSafety[Date],"&gt;="&amp;EDATE($E138,-12),tblSafety[Date],"&lt;="&amp;$A138)+SUMIFS(tblSafetyHistory[Hours_Total],tblSafetyHistory[Month],"&gt;="&amp;EDATE($E138,-12),tblSafetyHistory[Month],"&lt;"&amp;$E138,tblSafetyHistory[Use],1))*cfg_RateBasisHours,"")</f>
        <v/>
      </c>
      <c r="IR138" s="62">
        <f>IF(MAX(N(cfg_PriorLTIDate),_xlfn.MAXIFS(tblSafety[Date],tblSafety[LTI],"&gt;0",tblSafety[Date],"&lt;="&amp;$A138))=0,"",$A138-MAX(N(cfg_PriorLTIDate),_xlfn.MAXIFS(tblSafety[Date],tblSafety[LTI],"&gt;0",tblSafety[Date],"&lt;="&amp;$A138)))</f>
        <v/>
      </c>
      <c r="IS138" s="55">
        <f>SUMIFS(tblBudget[Ore_Mined_t],tblBudget[Month],$E138)</f>
        <v/>
      </c>
      <c r="IT138" s="55">
        <f>$IS138*$C138/$D138</f>
        <v/>
      </c>
      <c r="IU138" s="55">
        <f>SUMIFS(tblBudget[Ore_Mined_t],tblBudget[Month],"&lt;"&amp;$E138)+$IT138</f>
        <v/>
      </c>
      <c r="IV138" s="55">
        <f>SUMIFS(tblBudget[Ore_oz],tblBudget[Month],$E138)</f>
        <v/>
      </c>
      <c r="IW138" s="55">
        <f>$IV138*$C138/$D138</f>
        <v/>
      </c>
      <c r="IX138" s="55">
        <f>SUMIFS(tblBudget[Ore_oz],tblBudget[Month],"&lt;"&amp;$E138)+$IW138</f>
        <v/>
      </c>
      <c r="IY138" s="55">
        <f>SUMIFS(tblBudget[Ore_Mined_t],tblBudget[Month],$E138)</f>
        <v/>
      </c>
      <c r="IZ138" s="55">
        <f>$IY138*$C138/$D138</f>
        <v/>
      </c>
      <c r="JA138" s="55">
        <f>SUMIFS(tblBudget[Ore_Mined_t],tblBudget[Month],"&lt;"&amp;$E138)+$IZ138</f>
        <v/>
      </c>
      <c r="JB138" s="56">
        <f>IFERROR(IF(($IY138)&gt;0,($IV138*cfg_TroyOz)/($IY138),""),"")</f>
        <v/>
      </c>
      <c r="JC138" s="56">
        <f>IFERROR(IF(($IZ138)&gt;0,($IW138*cfg_TroyOz)/($IZ138),""),"")</f>
        <v/>
      </c>
      <c r="JD138" s="56">
        <f>IFERROR(IF(($JA138)&gt;0,($IX138*cfg_TroyOz)/($JA138),""),"")</f>
        <v/>
      </c>
      <c r="JE138" s="55">
        <f>SUMIFS(tblBudget[Waste_t],tblBudget[Month],$E138)</f>
        <v/>
      </c>
      <c r="JF138" s="55">
        <f>$JE138*$C138/$D138</f>
        <v/>
      </c>
      <c r="JG138" s="55">
        <f>SUMIFS(tblBudget[Waste_t],tblBudget[Month],"&lt;"&amp;$E138)+$JF138</f>
        <v/>
      </c>
      <c r="JH138" s="55">
        <f>SUMIFS(tblBudget[TMM_t],tblBudget[Month],$E138)</f>
        <v/>
      </c>
      <c r="JI138" s="55">
        <f>$JH138*$C138/$D138</f>
        <v/>
      </c>
      <c r="JJ138" s="55">
        <f>SUMIFS(tblBudget[TMM_t],tblBudget[Month],"&lt;"&amp;$E138)+$JI138</f>
        <v/>
      </c>
      <c r="JK138" s="56">
        <f>IFERROR(IF(($IS138)&gt;0,($JE138)/($IS138),""),"")</f>
        <v/>
      </c>
      <c r="JL138" s="56">
        <f>IFERROR(IF(($IT138)&gt;0,($JF138)/($IT138),""),"")</f>
        <v/>
      </c>
      <c r="JM138" s="56">
        <f>IFERROR(IF(($IU138)&gt;0,($JG138)/($IU138),""),"")</f>
        <v/>
      </c>
      <c r="JN138" s="55">
        <f>SUMIFS(tblBudget[Drill_m],tblBudget[Month],$E138)</f>
        <v/>
      </c>
      <c r="JO138" s="55">
        <f>$JN138*$C138/$D138</f>
        <v/>
      </c>
      <c r="JP138" s="55">
        <f>SUMIFS(tblBudget[Drill_m],tblBudget[Month],"&lt;"&amp;$E138)+$JO138</f>
        <v/>
      </c>
      <c r="JQ138" s="55">
        <f>SUMIFS(tblBudget[Diesel_L],tblBudget[Month],$E138)</f>
        <v/>
      </c>
      <c r="JR138" s="55">
        <f>$JQ138*$C138/$D138</f>
        <v/>
      </c>
      <c r="JS138" s="55">
        <f>SUMIFS(tblBudget[Diesel_L],tblBudget[Month],"&lt;"&amp;$E138)+$JR138</f>
        <v/>
      </c>
      <c r="JT138" s="55">
        <f>SUMIFS(tblBudget[Milled_t],tblBudget[Month],$E138)</f>
        <v/>
      </c>
      <c r="JU138" s="55">
        <f>$JT138*$C138/$D138</f>
        <v/>
      </c>
      <c r="JV138" s="55">
        <f>SUMIFS(tblBudget[Milled_t],tblBudget[Month],"&lt;"&amp;$E138)+$JU138</f>
        <v/>
      </c>
      <c r="JW138" s="55">
        <f>SUMIFS(tblBudget[Feed_oz],tblBudget[Month],$E138)</f>
        <v/>
      </c>
      <c r="JX138" s="55">
        <f>$JW138*$C138/$D138</f>
        <v/>
      </c>
      <c r="JY138" s="55">
        <f>SUMIFS(tblBudget[Feed_oz],tblBudget[Month],"&lt;"&amp;$E138)+$JX138</f>
        <v/>
      </c>
      <c r="JZ138" s="55">
        <f>SUMIFS(tblBudget[Recovered_oz],tblBudget[Month],$E138)</f>
        <v/>
      </c>
      <c r="KA138" s="55">
        <f>$JZ138*$C138/$D138</f>
        <v/>
      </c>
      <c r="KB138" s="55">
        <f>SUMIFS(tblBudget[Recovered_oz],tblBudget[Month],"&lt;"&amp;$E138)+$KA138</f>
        <v/>
      </c>
      <c r="KC138" s="55">
        <f>SUMIFS(tblBudget[Milled_t],tblBudget[Month],$E138)</f>
        <v/>
      </c>
      <c r="KD138" s="55">
        <f>$KC138*$C138/$D138</f>
        <v/>
      </c>
      <c r="KE138" s="55">
        <f>SUMIFS(tblBudget[Milled_t],tblBudget[Month],"&lt;"&amp;$E138)+$KD138</f>
        <v/>
      </c>
      <c r="KF138" s="55">
        <f>SUMIFS(tblBudget[Feed_oz],tblBudget[Month],$E138)</f>
        <v/>
      </c>
      <c r="KG138" s="55">
        <f>$KF138*$C138/$D138</f>
        <v/>
      </c>
      <c r="KH138" s="55">
        <f>SUMIFS(tblBudget[Feed_oz],tblBudget[Month],"&lt;"&amp;$E138)+$KG138</f>
        <v/>
      </c>
      <c r="KI138" s="56">
        <f>IFERROR(IF(($KC138)&gt;0,($JW138*cfg_TroyOz)/($KC138),""),"")</f>
        <v/>
      </c>
      <c r="KJ138" s="56">
        <f>IFERROR(IF(($KD138)&gt;0,($JX138*cfg_TroyOz)/($KD138),""),"")</f>
        <v/>
      </c>
      <c r="KK138" s="56">
        <f>IFERROR(IF(($KE138)&gt;0,($JY138*cfg_TroyOz)/($KE138),""),"")</f>
        <v/>
      </c>
      <c r="KL138" s="67">
        <f>IFERROR(IF(($KF138)&gt;0,($JZ138)/($KF138),""),"")</f>
        <v/>
      </c>
      <c r="KM138" s="67">
        <f>IFERROR(IF(($KG138)&gt;0,($KA138)/($KG138),""),"")</f>
        <v/>
      </c>
      <c r="KN138" s="67">
        <f>IFERROR(IF(($KH138)&gt;0,($KB138)/($KH138),""),"")</f>
        <v/>
      </c>
      <c r="KO138" s="55">
        <f>SUMIFS(tblBudget[Gold_Poured_oz],tblBudget[Month],$E138)</f>
        <v/>
      </c>
      <c r="KP138" s="55">
        <f>$KO138*$C138/$D138</f>
        <v/>
      </c>
      <c r="KQ138" s="55">
        <f>SUMIFS(tblBudget[Gold_Poured_oz],tblBudget[Month],"&lt;"&amp;$E138)+$KP138</f>
        <v/>
      </c>
      <c r="KR138" s="57">
        <f>SUMIFS(tblBudget[Hours_Worked],tblBudget[Month],$E138)</f>
        <v/>
      </c>
      <c r="KS138" s="57">
        <f>$KR138*$C138/$D138</f>
        <v/>
      </c>
      <c r="KT138" s="57">
        <f>SUMIFS(tblBudget[Hours_Worked],tblBudget[Month],"&lt;"&amp;$E138)+$KS138</f>
        <v/>
      </c>
    </row>
    <row r="139">
      <c r="A139" s="54" t="n">
        <v>46160</v>
      </c>
      <c r="B139">
        <f>MONTH($A139)</f>
        <v/>
      </c>
      <c r="C139">
        <f>DAY($A139)</f>
        <v/>
      </c>
      <c r="D139">
        <f>DAY(EOMONTH($A139,0))</f>
        <v/>
      </c>
      <c r="E139" s="54">
        <f>DATE(YEAR($A139),MONTH($A139),1)</f>
        <v/>
      </c>
      <c r="F139" s="55">
        <f>SUMIFS(tblMovement[Tonnes_t],tblMovement[Date],$A139,tblMovement[Is_Ore],1,tblMovement[Source_Type],"Pit")</f>
        <v/>
      </c>
      <c r="G139" s="55">
        <f>IF($B139=$B138,$G138,0)+$F139</f>
        <v/>
      </c>
      <c r="H139" s="55">
        <f>$H138+$F139</f>
        <v/>
      </c>
      <c r="I139" s="55">
        <f>SUMIFS(tblMovement[Ore_oz],tblMovement[Date],$A139,tblMovement[Source_Type],"Pit")</f>
        <v/>
      </c>
      <c r="J139" s="55">
        <f>IF($B139=$B138,$J138,0)+$I139</f>
        <v/>
      </c>
      <c r="K139" s="55">
        <f>$K138+$I139</f>
        <v/>
      </c>
      <c r="L139" s="55">
        <f>SUMIFS(tblMovement[Tonnes_t],tblMovement[Date],$A139,tblMovement[Is_Ore],1,tblMovement[Source_Type],"Pit",tblMovement[Grade_gpt],"&lt;&gt;")</f>
        <v/>
      </c>
      <c r="M139" s="55">
        <f>IF($B139=$B138,$M138,0)+$L139</f>
        <v/>
      </c>
      <c r="N139" s="55">
        <f>$N138+$L139</f>
        <v/>
      </c>
      <c r="O139" s="56">
        <f>IFERROR(IF(($L139)&gt;0,($I139*cfg_TroyOz)/($L139),""),"")</f>
        <v/>
      </c>
      <c r="P139" s="56">
        <f>IFERROR(IF(($M139)&gt;0,($J139*cfg_TroyOz)/($M139),""),"")</f>
        <v/>
      </c>
      <c r="Q139" s="56">
        <f>IFERROR(IF(($N139)&gt;0,($K139*cfg_TroyOz)/($N139),""),"")</f>
        <v/>
      </c>
      <c r="R139" s="55">
        <f>$F139-$L139</f>
        <v/>
      </c>
      <c r="S139" s="55">
        <f>IF($B139=$B138,$S138,0)+$R139</f>
        <v/>
      </c>
      <c r="T139" s="55">
        <f>$T138+$R139</f>
        <v/>
      </c>
      <c r="U139" s="55">
        <f>SUMIFS(tblMovement[Tonnes_t],tblMovement[Date],$A139,tblMovement[Is_Ore],0,tblMovement[Source_Type],"Pit")</f>
        <v/>
      </c>
      <c r="V139" s="55">
        <f>IF($B139=$B138,$V138,0)+$U139</f>
        <v/>
      </c>
      <c r="W139" s="55">
        <f>$W138+$U139</f>
        <v/>
      </c>
      <c r="X139" s="55">
        <f>$F139+$U139</f>
        <v/>
      </c>
      <c r="Y139" s="55">
        <f>IF($B139=$B138,$Y138,0)+$X139</f>
        <v/>
      </c>
      <c r="Z139" s="55">
        <f>$Z138+$X139</f>
        <v/>
      </c>
      <c r="AA139" s="56">
        <f>IFERROR(IF(($F139)&gt;0,($U139)/($F139),""),"")</f>
        <v/>
      </c>
      <c r="AB139" s="56">
        <f>IFERROR(IF(($G139)&gt;0,($V139)/($G139),""),"")</f>
        <v/>
      </c>
      <c r="AC139" s="56">
        <f>IFERROR(IF(($H139)&gt;0,($W139)/($H139),""),"")</f>
        <v/>
      </c>
      <c r="AD139" s="55">
        <f>SUMIFS(tblMovement[Tonnes_t],tblMovement[Date],$A139,tblMovement[Source_Type],"Stockpile")</f>
        <v/>
      </c>
      <c r="AE139" s="55">
        <f>IF($B139=$B138,$AE138,0)+$AD139</f>
        <v/>
      </c>
      <c r="AF139" s="55">
        <f>$AF138+$AD139</f>
        <v/>
      </c>
      <c r="AG139" s="55">
        <f>SUMIFS(tblMovement[Tonnes_t],tblMovement[Date],$A139)</f>
        <v/>
      </c>
      <c r="AH139" s="55">
        <f>IF($B139=$B138,$AH138,0)+$AG139</f>
        <v/>
      </c>
      <c r="AI139" s="55">
        <f>$AI138+$AG139</f>
        <v/>
      </c>
      <c r="AJ139" s="55">
        <f>$AG139-$X139-$AD139</f>
        <v/>
      </c>
      <c r="AK139" s="55">
        <f>IF($B139=$B138,$AK138,0)+$AJ139</f>
        <v/>
      </c>
      <c r="AL139" s="55">
        <f>$AL138+$AJ139</f>
        <v/>
      </c>
      <c r="AM139" s="55">
        <f>SUMIFS(tblMiningDaily[Drill_m],tblMiningDaily[Date],$A139)</f>
        <v/>
      </c>
      <c r="AN139" s="55">
        <f>IF($B139=$B138,$AN138,0)+$AM139</f>
        <v/>
      </c>
      <c r="AO139" s="55">
        <f>$AO138+$AM139</f>
        <v/>
      </c>
      <c r="AP139" s="55">
        <f>SUMIFS(tblMiningDaily[GC_Drill_m],tblMiningDaily[Date],$A139)</f>
        <v/>
      </c>
      <c r="AQ139" s="55">
        <f>IF($B139=$B138,$AQ138,0)+$AP139</f>
        <v/>
      </c>
      <c r="AR139" s="55">
        <f>$AR138+$AP139</f>
        <v/>
      </c>
      <c r="AS139" s="55">
        <f>SUMIFS(tblMiningDaily[Blast_t],tblMiningDaily[Date],$A139)</f>
        <v/>
      </c>
      <c r="AT139" s="55">
        <f>IF($B139=$B138,$AT138,0)+$AS139</f>
        <v/>
      </c>
      <c r="AU139" s="55">
        <f>$AU138+$AS139</f>
        <v/>
      </c>
      <c r="AV139" s="55">
        <f>SUMIFS(tblMiningDaily[Explosives_kg],tblMiningDaily[Date],$A139)</f>
        <v/>
      </c>
      <c r="AW139" s="55">
        <f>IF($B139=$B138,$AW138,0)+$AV139</f>
        <v/>
      </c>
      <c r="AX139" s="55">
        <f>$AX138+$AV139</f>
        <v/>
      </c>
      <c r="AY139" s="56">
        <f>IFERROR(IF(($AS139)&gt;0,($AV139)/($AS139),""),"")</f>
        <v/>
      </c>
      <c r="AZ139" s="56">
        <f>IFERROR(IF(($AT139)&gt;0,($AW139)/($AT139),""),"")</f>
        <v/>
      </c>
      <c r="BA139" s="56">
        <f>IFERROR(IF(($AU139)&gt;0,($AX139)/($AU139),""),"")</f>
        <v/>
      </c>
      <c r="BB139" s="55">
        <f>SUMIFS(tblMiningDaily[Diesel_L],tblMiningDaily[Date],$A139)</f>
        <v/>
      </c>
      <c r="BC139" s="55">
        <f>IF($B139=$B138,$BC138,0)+$BB139</f>
        <v/>
      </c>
      <c r="BD139" s="55">
        <f>$BD138+$BB139</f>
        <v/>
      </c>
      <c r="BE139" s="55">
        <f>SUMIFS(tblMiningDaily[Dewatering_m3],tblMiningDaily[Date],$A139)</f>
        <v/>
      </c>
      <c r="BF139" s="55">
        <f>IF($B139=$B138,$BF138,0)+$BE139</f>
        <v/>
      </c>
      <c r="BG139" s="55">
        <f>$BG138+$BE139</f>
        <v/>
      </c>
      <c r="BH139" s="57">
        <f>SUMIFS(tblFleet[Calendar_h],tblFleet[Date],$A139,tblFleet[Equipment_Class],"Excavator")</f>
        <v/>
      </c>
      <c r="BI139" s="57">
        <f>IF($B139=$B138,$BI138,0)+$BH139</f>
        <v/>
      </c>
      <c r="BJ139" s="57">
        <f>$BJ138+$BH139</f>
        <v/>
      </c>
      <c r="BK139" s="57">
        <f>SUMIFS(tblFleet[Available_h],tblFleet[Date],$A139,tblFleet[Equipment_Class],"Excavator")</f>
        <v/>
      </c>
      <c r="BL139" s="57">
        <f>IF($B139=$B138,$BL138,0)+$BK139</f>
        <v/>
      </c>
      <c r="BM139" s="57">
        <f>$BM138+$BK139</f>
        <v/>
      </c>
      <c r="BN139" s="57">
        <f>SUMIFS(tblFleet[Operating_h],tblFleet[Date],$A139,tblFleet[Equipment_Class],"Excavator")</f>
        <v/>
      </c>
      <c r="BO139" s="57">
        <f>IF($B139=$B138,$BO138,0)+$BN139</f>
        <v/>
      </c>
      <c r="BP139" s="57">
        <f>$BP138+$BN139</f>
        <v/>
      </c>
      <c r="BQ139" s="67">
        <f>IFERROR(IF(($BH139)&gt;0,($BK139)/($BH139),""),"")</f>
        <v/>
      </c>
      <c r="BR139" s="67">
        <f>IFERROR(IF(($BI139)&gt;0,($BL139)/($BI139),""),"")</f>
        <v/>
      </c>
      <c r="BS139" s="67">
        <f>IFERROR(IF(($BJ139)&gt;0,($BM139)/($BJ139),""),"")</f>
        <v/>
      </c>
      <c r="BT139" s="67">
        <f>IFERROR(IF(($BK139)&gt;0,($BN139)/($BK139),""),"")</f>
        <v/>
      </c>
      <c r="BU139" s="67">
        <f>IFERROR(IF(($BL139)&gt;0,($BO139)/($BL139),""),"")</f>
        <v/>
      </c>
      <c r="BV139" s="67">
        <f>IFERROR(IF(($BM139)&gt;0,($BP139)/($BM139),""),"")</f>
        <v/>
      </c>
      <c r="BW139" s="57">
        <f>SUMIFS(tblFleet[Calendar_h],tblFleet[Date],$A139,tblFleet[Equipment_Class],"Haul Truck")</f>
        <v/>
      </c>
      <c r="BX139" s="57">
        <f>IF($B139=$B138,$BX138,0)+$BW139</f>
        <v/>
      </c>
      <c r="BY139" s="57">
        <f>$BY138+$BW139</f>
        <v/>
      </c>
      <c r="BZ139" s="57">
        <f>SUMIFS(tblFleet[Available_h],tblFleet[Date],$A139,tblFleet[Equipment_Class],"Haul Truck")</f>
        <v/>
      </c>
      <c r="CA139" s="57">
        <f>IF($B139=$B138,$CA138,0)+$BZ139</f>
        <v/>
      </c>
      <c r="CB139" s="57">
        <f>$CB138+$BZ139</f>
        <v/>
      </c>
      <c r="CC139" s="57">
        <f>SUMIFS(tblFleet[Operating_h],tblFleet[Date],$A139,tblFleet[Equipment_Class],"Haul Truck")</f>
        <v/>
      </c>
      <c r="CD139" s="57">
        <f>IF($B139=$B138,$CD138,0)+$CC139</f>
        <v/>
      </c>
      <c r="CE139" s="57">
        <f>$CE138+$CC139</f>
        <v/>
      </c>
      <c r="CF139" s="67">
        <f>IFERROR(IF(($BW139)&gt;0,($BZ139)/($BW139),""),"")</f>
        <v/>
      </c>
      <c r="CG139" s="67">
        <f>IFERROR(IF(($BX139)&gt;0,($CA139)/($BX139),""),"")</f>
        <v/>
      </c>
      <c r="CH139" s="67">
        <f>IFERROR(IF(($BY139)&gt;0,($CB139)/($BY139),""),"")</f>
        <v/>
      </c>
      <c r="CI139" s="67">
        <f>IFERROR(IF(($BZ139)&gt;0,($CC139)/($BZ139),""),"")</f>
        <v/>
      </c>
      <c r="CJ139" s="67">
        <f>IFERROR(IF(($CA139)&gt;0,($CD139)/($CA139),""),"")</f>
        <v/>
      </c>
      <c r="CK139" s="67">
        <f>IFERROR(IF(($CB139)&gt;0,($CE139)/($CB139),""),"")</f>
        <v/>
      </c>
      <c r="CL139" s="55">
        <f>IFERROR(IF(($BN139)&gt;0,($X139+$AD139)/($BN139),""),"")</f>
        <v/>
      </c>
      <c r="CM139" s="55">
        <f>IFERROR(IF(($BO139)&gt;0,($Y139+$AE139)/($BO139),""),"")</f>
        <v/>
      </c>
      <c r="CN139" s="55">
        <f>IFERROR(IF(($BP139)&gt;0,($Z139+$AF139)/($BP139),""),"")</f>
        <v/>
      </c>
      <c r="CO139" s="55">
        <f>IFERROR(IF(($CC139)&gt;0,($X139+$AD139)/($CC139),""),"")</f>
        <v/>
      </c>
      <c r="CP139" s="55">
        <f>IFERROR(IF(($CD139)&gt;0,($Y139+$AE139)/($CD139),""),"")</f>
        <v/>
      </c>
      <c r="CQ139" s="55">
        <f>IFERROR(IF(($CE139)&gt;0,($Z139+$AF139)/($CE139),""),"")</f>
        <v/>
      </c>
      <c r="CR139" s="55">
        <f>SUMIFS(tblPlant[Crushed_t],tblPlant[Date],$A139)</f>
        <v/>
      </c>
      <c r="CS139" s="55">
        <f>IF($B139=$B138,$CS138,0)+$CR139</f>
        <v/>
      </c>
      <c r="CT139" s="55">
        <f>$CT138+$CR139</f>
        <v/>
      </c>
      <c r="CU139" s="55">
        <f>SUMIFS(tblPlant[Milled_t],tblPlant[Date],$A139)</f>
        <v/>
      </c>
      <c r="CV139" s="55">
        <f>IF($B139=$B138,$CV138,0)+$CU139</f>
        <v/>
      </c>
      <c r="CW139" s="55">
        <f>$CW138+$CU139</f>
        <v/>
      </c>
      <c r="CX139" s="55">
        <f>SUMIFS(tblPlant[Feed_oz],tblPlant[Date],$A139)</f>
        <v/>
      </c>
      <c r="CY139" s="55">
        <f>IF($B139=$B138,$CY138,0)+$CX139</f>
        <v/>
      </c>
      <c r="CZ139" s="55">
        <f>$CZ138+$CX139</f>
        <v/>
      </c>
      <c r="DA139" s="55">
        <f>SUMIFS(tblPlant[Tails_oz],tblPlant[Date],$A139)</f>
        <v/>
      </c>
      <c r="DB139" s="55">
        <f>IF($B139=$B138,$DB138,0)+$DA139</f>
        <v/>
      </c>
      <c r="DC139" s="55">
        <f>$DC138+$DA139</f>
        <v/>
      </c>
      <c r="DD139" s="55">
        <f>SUMIFS(tblPlant[Recovered_oz],tblPlant[Date],$A139)</f>
        <v/>
      </c>
      <c r="DE139" s="55">
        <f>IF($B139=$B138,$DE138,0)+$DD139</f>
        <v/>
      </c>
      <c r="DF139" s="55">
        <f>$DF138+$DD139</f>
        <v/>
      </c>
      <c r="DG139" s="55">
        <f>SUMIFS(tblPlant[Milled_t],tblPlant[Date],$A139,tblPlant[Head_Grade_gpt],"&lt;&gt;")</f>
        <v/>
      </c>
      <c r="DH139" s="55">
        <f>IF($B139=$B138,$DH138,0)+$DG139</f>
        <v/>
      </c>
      <c r="DI139" s="55">
        <f>$DI138+$DG139</f>
        <v/>
      </c>
      <c r="DJ139" s="55">
        <f>SUMIFS(tblPlant[Milled_t],tblPlant[Date],$A139,tblPlant[Tails_Grade_gpt],"&lt;&gt;")</f>
        <v/>
      </c>
      <c r="DK139" s="55">
        <f>IF($B139=$B138,$DK138,0)+$DJ139</f>
        <v/>
      </c>
      <c r="DL139" s="55">
        <f>$DL138+$DJ139</f>
        <v/>
      </c>
      <c r="DM139" s="55">
        <f>SUMIFS(tblPlant[Feed_oz],tblPlant[Date],$A139,tblPlant[Tails_Grade_gpt],"&lt;&gt;")</f>
        <v/>
      </c>
      <c r="DN139" s="55">
        <f>IF($B139=$B138,$DN138,0)+$DM139</f>
        <v/>
      </c>
      <c r="DO139" s="55">
        <f>$DO138+$DM139</f>
        <v/>
      </c>
      <c r="DP139" s="55">
        <f>SUMIFS(tblPlant[Milled_t],tblPlant[Date],$A139,tblPlant[Mill_Run_h],"&lt;&gt;")</f>
        <v/>
      </c>
      <c r="DQ139" s="55">
        <f>IF($B139=$B138,$DQ138,0)+$DP139</f>
        <v/>
      </c>
      <c r="DR139" s="55">
        <f>$DR138+$DP139</f>
        <v/>
      </c>
      <c r="DS139" s="56">
        <f>IFERROR(IF(($DG139)&gt;0,($CX139*cfg_TroyOz)/($DG139),""),"")</f>
        <v/>
      </c>
      <c r="DT139" s="56">
        <f>IFERROR(IF(($DH139)&gt;0,($CY139*cfg_TroyOz)/($DH139),""),"")</f>
        <v/>
      </c>
      <c r="DU139" s="56">
        <f>IFERROR(IF(($DI139)&gt;0,($CZ139*cfg_TroyOz)/($DI139),""),"")</f>
        <v/>
      </c>
      <c r="DV139" s="56">
        <f>IFERROR(IF(($DJ139)&gt;0,($DA139*cfg_TroyOz)/($DJ139),""),"")</f>
        <v/>
      </c>
      <c r="DW139" s="56">
        <f>IFERROR(IF(($DK139)&gt;0,($DB139*cfg_TroyOz)/($DK139),""),"")</f>
        <v/>
      </c>
      <c r="DX139" s="56">
        <f>IFERROR(IF(($DL139)&gt;0,($DC139*cfg_TroyOz)/($DL139),""),"")</f>
        <v/>
      </c>
      <c r="DY139" s="67">
        <f>IFERROR(IF(($DM139)&gt;0,($DD139)/($DM139),""),"")</f>
        <v/>
      </c>
      <c r="DZ139" s="67">
        <f>IFERROR(IF(($DN139)&gt;0,($DE139)/($DN139),""),"")</f>
        <v/>
      </c>
      <c r="EA139" s="67">
        <f>IFERROR(IF(($DO139)&gt;0,($DF139)/($DO139),""),"")</f>
        <v/>
      </c>
      <c r="EB139" s="55">
        <f>SUMIFS(tblPlant[Gravity_Gold_oz],tblPlant[Date],$A139)</f>
        <v/>
      </c>
      <c r="EC139" s="55">
        <f>IF($B139=$B138,$EC138,0)+$EB139</f>
        <v/>
      </c>
      <c r="ED139" s="55">
        <f>$ED138+$EB139</f>
        <v/>
      </c>
      <c r="EE139" s="67">
        <f>IFERROR(IF(($DD139)&gt;0,($EB139)/($DD139),""),"")</f>
        <v/>
      </c>
      <c r="EF139" s="67">
        <f>IFERROR(IF(($DE139)&gt;0,($EC139)/($DE139),""),"")</f>
        <v/>
      </c>
      <c r="EG139" s="67">
        <f>IFERROR(IF(($DF139)&gt;0,($ED139)/($DF139),""),"")</f>
        <v/>
      </c>
      <c r="EH139" s="55">
        <f>SUMIFS(tblPlant[Gold_Poured_oz],tblPlant[Date],$A139)</f>
        <v/>
      </c>
      <c r="EI139" s="55">
        <f>IF($B139=$B138,$EI138,0)+$EH139</f>
        <v/>
      </c>
      <c r="EJ139" s="55">
        <f>$EJ138+$EH139</f>
        <v/>
      </c>
      <c r="EK139" s="57">
        <f>SUMIFS(tblPlant[Mill_Run_h],tblPlant[Date],$A139)</f>
        <v/>
      </c>
      <c r="EL139" s="57">
        <f>IF($B139=$B138,$EL138,0)+$EK139</f>
        <v/>
      </c>
      <c r="EM139" s="57">
        <f>$EM138+$EK139</f>
        <v/>
      </c>
      <c r="EN139" s="57">
        <f>SUMIFS(tblPlant[Mill_Planned_Maint_h],tblPlant[Date],$A139)</f>
        <v/>
      </c>
      <c r="EO139" s="57">
        <f>IF($B139=$B138,$EO138,0)+$EN139</f>
        <v/>
      </c>
      <c r="EP139" s="57">
        <f>$EP138+$EN139</f>
        <v/>
      </c>
      <c r="EQ139" s="57">
        <f>SUMIFS(tblPlant[Mill_Unplanned_Down_h],tblPlant[Date],$A139)</f>
        <v/>
      </c>
      <c r="ER139" s="57">
        <f>IF($B139=$B138,$ER138,0)+$EQ139</f>
        <v/>
      </c>
      <c r="ES139" s="57">
        <f>$ES138+$EQ139</f>
        <v/>
      </c>
      <c r="ET139" s="57">
        <f>IF(COUNTIFS(tblPlant[Date],$A139,tblPlant[Mill_Run_h],"&lt;&gt;")+COUNTIFS(tblPlant[Date],$A139,tblPlant[Mill_Planned_Maint_h],"&lt;&gt;")+COUNTIFS(tblPlant[Date],$A139,tblPlant[Mill_Unplanned_Down_h],"&lt;&gt;")&gt;0,cfg_HoursPerDay,0)</f>
        <v/>
      </c>
      <c r="EU139" s="57">
        <f>IF($B139=$B138,$EU138,0)+$ET139</f>
        <v/>
      </c>
      <c r="EV139" s="57">
        <f>$EV138+$ET139</f>
        <v/>
      </c>
      <c r="EW139" s="57">
        <f>SUMIFS(tblPlant[Crusher_Run_h],tblPlant[Date],$A139)</f>
        <v/>
      </c>
      <c r="EX139" s="57">
        <f>IF($B139=$B138,$EX138,0)+$EW139</f>
        <v/>
      </c>
      <c r="EY139" s="57">
        <f>$EY138+$EW139</f>
        <v/>
      </c>
      <c r="EZ139" s="55">
        <f>IFERROR(IF(($EK139)&gt;0,($DP139)/($EK139),""),"")</f>
        <v/>
      </c>
      <c r="FA139" s="55">
        <f>IFERROR(IF(($EL139)&gt;0,($DQ139)/($EL139),""),"")</f>
        <v/>
      </c>
      <c r="FB139" s="55">
        <f>IFERROR(IF(($EM139)&gt;0,($DR139)/($EM139),""),"")</f>
        <v/>
      </c>
      <c r="FC139" s="67">
        <f>IFERROR(IF(($ET139)&gt;0,($ET139-$EN139-$EQ139)/($ET139),""),"")</f>
        <v/>
      </c>
      <c r="FD139" s="67">
        <f>IFERROR(IF(($EU139)&gt;0,($EU139-$EO139-$ER139)/($EU139),""),"")</f>
        <v/>
      </c>
      <c r="FE139" s="67">
        <f>IFERROR(IF(($EV139)&gt;0,($EV139-$EP139-$ES139)/($EV139),""),"")</f>
        <v/>
      </c>
      <c r="FF139" s="67">
        <f>IFERROR(IF(($ET139-$EN139-$EQ139)&gt;0,($EK139)/($ET139-$EN139-$EQ139),""),"")</f>
        <v/>
      </c>
      <c r="FG139" s="67">
        <f>IFERROR(IF(($EU139-$EO139-$ER139)&gt;0,($EL139)/($EU139-$EO139-$ER139),""),"")</f>
        <v/>
      </c>
      <c r="FH139" s="67">
        <f>IFERROR(IF(($EV139-$EP139-$ES139)&gt;0,($EM139)/($EV139-$EP139-$ES139),""),"")</f>
        <v/>
      </c>
      <c r="FI139" s="55">
        <f>SUMIFS(tblPlant[Cyanide_kg],tblPlant[Date],$A139)</f>
        <v/>
      </c>
      <c r="FJ139" s="55">
        <f>IF($B139=$B138,$FJ138,0)+$FI139</f>
        <v/>
      </c>
      <c r="FK139" s="55">
        <f>$FK138+$FI139</f>
        <v/>
      </c>
      <c r="FL139" s="55">
        <f>SUMIFS(tblPlant[Lime_kg],tblPlant[Date],$A139)</f>
        <v/>
      </c>
      <c r="FM139" s="55">
        <f>IF($B139=$B138,$FM138,0)+$FL139</f>
        <v/>
      </c>
      <c r="FN139" s="55">
        <f>$FN138+$FL139</f>
        <v/>
      </c>
      <c r="FO139" s="55">
        <f>SUMIFS(tblPlant[Grinding_Media_kg],tblPlant[Date],$A139)</f>
        <v/>
      </c>
      <c r="FP139" s="55">
        <f>IF($B139=$B138,$FP138,0)+$FO139</f>
        <v/>
      </c>
      <c r="FQ139" s="55">
        <f>$FQ138+$FO139</f>
        <v/>
      </c>
      <c r="FR139" s="55">
        <f>SUMIFS(tblPlant[Power_kWh],tblPlant[Date],$A139)</f>
        <v/>
      </c>
      <c r="FS139" s="55">
        <f>IF($B139=$B138,$FS138,0)+$FR139</f>
        <v/>
      </c>
      <c r="FT139" s="55">
        <f>$FT138+$FR139</f>
        <v/>
      </c>
      <c r="FU139" s="55">
        <f>SUMIFS(tblPlant[Raw_Water_m3],tblPlant[Date],$A139)</f>
        <v/>
      </c>
      <c r="FV139" s="55">
        <f>IF($B139=$B138,$FV138,0)+$FU139</f>
        <v/>
      </c>
      <c r="FW139" s="55">
        <f>$FW138+$FU139</f>
        <v/>
      </c>
      <c r="FX139" s="56">
        <f>IFERROR(IF(($CU139)&gt;0,($FI139)/($CU139),""),"")</f>
        <v/>
      </c>
      <c r="FY139" s="56">
        <f>IFERROR(IF(($CV139)&gt;0,($FJ139)/($CV139),""),"")</f>
        <v/>
      </c>
      <c r="FZ139" s="56">
        <f>IFERROR(IF(($CW139)&gt;0,($FK139)/($CW139),""),"")</f>
        <v/>
      </c>
      <c r="GA139" s="56">
        <f>IFERROR(IF(($CU139)&gt;0,($FL139)/($CU139),""),"")</f>
        <v/>
      </c>
      <c r="GB139" s="56">
        <f>IFERROR(IF(($CV139)&gt;0,($FM139)/($CV139),""),"")</f>
        <v/>
      </c>
      <c r="GC139" s="56">
        <f>IFERROR(IF(($CW139)&gt;0,($FN139)/($CW139),""),"")</f>
        <v/>
      </c>
      <c r="GD139" s="56">
        <f>IFERROR(IF(($CU139)&gt;0,($FO139)/($CU139),""),"")</f>
        <v/>
      </c>
      <c r="GE139" s="56">
        <f>IFERROR(IF(($CV139)&gt;0,($FP139)/($CV139),""),"")</f>
        <v/>
      </c>
      <c r="GF139" s="56">
        <f>IFERROR(IF(($CW139)&gt;0,($FQ139)/($CW139),""),"")</f>
        <v/>
      </c>
      <c r="GG139" s="79">
        <f>IFERROR(IF(($CU139)&gt;0,($FR139)/($CU139),""),"")</f>
        <v/>
      </c>
      <c r="GH139" s="79">
        <f>IFERROR(IF(($CV139)&gt;0,($FS139)/($CV139),""),"")</f>
        <v/>
      </c>
      <c r="GI139" s="79">
        <f>IFERROR(IF(($CW139)&gt;0,($FT139)/($CW139),""),"")</f>
        <v/>
      </c>
      <c r="GJ139" s="56">
        <f>IFERROR(IF(($CU139)&gt;0,($FU139)/($CU139),""),"")</f>
        <v/>
      </c>
      <c r="GK139" s="56">
        <f>IFERROR(IF(($CV139)&gt;0,($FV139)/($CV139),""),"")</f>
        <v/>
      </c>
      <c r="GL139" s="56">
        <f>IFERROR(IF(($CW139)&gt;0,($FW139)/($CW139),""),"")</f>
        <v/>
      </c>
      <c r="GM139" s="55">
        <f>IF(SUMIFS(tblPlant[GIC_oz],tblPlant[Date],$A139)&gt;0,SUMIFS(tblPlant[GIC_oz],tblPlant[Date],$A139),"")</f>
        <v/>
      </c>
      <c r="GN139" s="55">
        <f>SUMIFS(tblGold[Gold_oz],tblGold[Date],$A139,tblGold[Type],"Shipment")</f>
        <v/>
      </c>
      <c r="GO139" s="55">
        <f>IF($B139=$B138,$GO138,0)+$GN139</f>
        <v/>
      </c>
      <c r="GP139" s="55">
        <f>$GP138+$GN139</f>
        <v/>
      </c>
      <c r="GQ139" s="55">
        <f>SUMIFS(tblGold[Gold_oz],tblGold[Date],$A139,tblGold[Type],"Sale")</f>
        <v/>
      </c>
      <c r="GR139" s="55">
        <f>IF($B139=$B138,$GR138,0)+$GQ139</f>
        <v/>
      </c>
      <c r="GS139" s="55">
        <f>$GS138+$GQ139</f>
        <v/>
      </c>
      <c r="GT139" s="55">
        <f>SUMIFS(tblGold[Dore_kg],tblGold[Date],$A139,tblGold[Type],"Shipment")</f>
        <v/>
      </c>
      <c r="GU139" s="55">
        <f>IF($B139=$B138,$GU138,0)+$GT139</f>
        <v/>
      </c>
      <c r="GV139" s="55">
        <f>$GV138+$GT139</f>
        <v/>
      </c>
      <c r="GW139" s="57">
        <f>SUMIFS(tblSafety[Hours_Total],tblSafety[Date],$A139)</f>
        <v/>
      </c>
      <c r="GX139" s="57">
        <f>IF($B139=$B138,$GX138,0)+$GW139</f>
        <v/>
      </c>
      <c r="GY139" s="57">
        <f>$GY138+$GW139</f>
        <v/>
      </c>
      <c r="GZ139" s="62">
        <f>SUMIFS(tblSafety[Fatality],tblSafety[Date],$A139)</f>
        <v/>
      </c>
      <c r="HA139" s="62">
        <f>IF($B139=$B138,$HA138,0)+$GZ139</f>
        <v/>
      </c>
      <c r="HB139" s="62">
        <f>$HB138+$GZ139</f>
        <v/>
      </c>
      <c r="HC139" s="62">
        <f>SUMIFS(tblSafety[LTI],tblSafety[Date],$A139)</f>
        <v/>
      </c>
      <c r="HD139" s="62">
        <f>IF($B139=$B138,$HD138,0)+$HC139</f>
        <v/>
      </c>
      <c r="HE139" s="62">
        <f>$HE138+$HC139</f>
        <v/>
      </c>
      <c r="HF139" s="62">
        <f>SUMIFS(tblSafety[RWI],tblSafety[Date],$A139)</f>
        <v/>
      </c>
      <c r="HG139" s="62">
        <f>IF($B139=$B138,$HG138,0)+$HF139</f>
        <v/>
      </c>
      <c r="HH139" s="62">
        <f>$HH138+$HF139</f>
        <v/>
      </c>
      <c r="HI139" s="62">
        <f>SUMIFS(tblSafety[MTI],tblSafety[Date],$A139)</f>
        <v/>
      </c>
      <c r="HJ139" s="62">
        <f>IF($B139=$B138,$HJ138,0)+$HI139</f>
        <v/>
      </c>
      <c r="HK139" s="62">
        <f>$HK138+$HI139</f>
        <v/>
      </c>
      <c r="HL139" s="62">
        <f>SUMIFS(tblSafety[FAI],tblSafety[Date],$A139)</f>
        <v/>
      </c>
      <c r="HM139" s="62">
        <f>IF($B139=$B138,$HM138,0)+$HL139</f>
        <v/>
      </c>
      <c r="HN139" s="62">
        <f>$HN138+$HL139</f>
        <v/>
      </c>
      <c r="HO139" s="62">
        <f>SUMIFS(tblSafety[Recordables],tblSafety[Date],$A139)</f>
        <v/>
      </c>
      <c r="HP139" s="62">
        <f>IF($B139=$B138,$HP138,0)+$HO139</f>
        <v/>
      </c>
      <c r="HQ139" s="62">
        <f>$HQ138+$HO139</f>
        <v/>
      </c>
      <c r="HR139" s="62">
        <f>SUMIFS(tblSafety[Near_Miss],tblSafety[Date],$A139)</f>
        <v/>
      </c>
      <c r="HS139" s="62">
        <f>IF($B139=$B138,$HS138,0)+$HR139</f>
        <v/>
      </c>
      <c r="HT139" s="62">
        <f>$HT138+$HR139</f>
        <v/>
      </c>
      <c r="HU139" s="62">
        <f>SUMIFS(tblSafety[Hazard_Reports],tblSafety[Date],$A139)</f>
        <v/>
      </c>
      <c r="HV139" s="62">
        <f>IF($B139=$B138,$HV138,0)+$HU139</f>
        <v/>
      </c>
      <c r="HW139" s="62">
        <f>$HW138+$HU139</f>
        <v/>
      </c>
      <c r="HX139" s="62">
        <f>SUMIFS(tblSafety[HPI],tblSafety[Date],$A139)</f>
        <v/>
      </c>
      <c r="HY139" s="62">
        <f>IF($B139=$B138,$HY138,0)+$HX139</f>
        <v/>
      </c>
      <c r="HZ139" s="62">
        <f>$HZ138+$HX139</f>
        <v/>
      </c>
      <c r="IA139" s="62">
        <f>SUMIFS(tblSafety[Env_Incidents],tblSafety[Date],$A139)</f>
        <v/>
      </c>
      <c r="IB139" s="62">
        <f>IF($B139=$B138,$IB138,0)+$IA139</f>
        <v/>
      </c>
      <c r="IC139" s="62">
        <f>$IC138+$IA139</f>
        <v/>
      </c>
      <c r="ID139" s="62">
        <f>SUMIFS(tblSafety[Community_Incidents],tblSafety[Date],$A139)</f>
        <v/>
      </c>
      <c r="IE139" s="62">
        <f>IF($B139=$B138,$IE138,0)+$ID139</f>
        <v/>
      </c>
      <c r="IF139" s="62">
        <f>$IF138+$ID139</f>
        <v/>
      </c>
      <c r="IG139" s="62">
        <f>SUMIFS(tblSafety[Vehicle_Incidents],tblSafety[Date],$A139)</f>
        <v/>
      </c>
      <c r="IH139" s="62">
        <f>IF($B139=$B138,$IH138,0)+$IG139</f>
        <v/>
      </c>
      <c r="II139" s="62">
        <f>$II138+$IG139</f>
        <v/>
      </c>
      <c r="IJ139" s="62">
        <f>SUMIFS(tblSafety[Toolbox_Talks],tblSafety[Date],$A139)</f>
        <v/>
      </c>
      <c r="IK139" s="62">
        <f>IF($B139=$B138,$IK138,0)+$IJ139</f>
        <v/>
      </c>
      <c r="IL139" s="62">
        <f>$IL138+$IJ139</f>
        <v/>
      </c>
      <c r="IM139" s="62">
        <f>SUMIFS(tblSafety[Inspections],tblSafety[Date],$A139)</f>
        <v/>
      </c>
      <c r="IN139" s="62">
        <f>IF($B139=$B138,$IN138,0)+$IM139</f>
        <v/>
      </c>
      <c r="IO139" s="62">
        <f>$IO138+$IM139</f>
        <v/>
      </c>
      <c r="IP139" s="56">
        <f>IFERROR((SUMIFS(tblSafety[Recordables],tblSafety[Date],"&gt;="&amp;EDATE($E139,-12),tblSafety[Date],"&lt;="&amp;$A139)+SUMIFS(tblSafetyHistory[Recordables],tblSafetyHistory[Month],"&gt;="&amp;EDATE($E139,-12),tblSafetyHistory[Month],"&lt;"&amp;$E139,tblSafetyHistory[Use],1))/(SUMIFS(tblSafety[Hours_Total],tblSafety[Date],"&gt;="&amp;EDATE($E139,-12),tblSafety[Date],"&lt;="&amp;$A139)+SUMIFS(tblSafetyHistory[Hours_Total],tblSafetyHistory[Month],"&gt;="&amp;EDATE($E139,-12),tblSafetyHistory[Month],"&lt;"&amp;$E139,tblSafetyHistory[Use],1))*cfg_RateBasisHours,"")</f>
        <v/>
      </c>
      <c r="IQ139" s="56">
        <f>IFERROR((SUMIFS(tblSafety[LTI],tblSafety[Date],"&gt;="&amp;EDATE($E139,-12),tblSafety[Date],"&lt;="&amp;$A139)+SUMIFS(tblSafetyHistory[LTI],tblSafetyHistory[Month],"&gt;="&amp;EDATE($E139,-12),tblSafetyHistory[Month],"&lt;"&amp;$E139,tblSafetyHistory[Use],1))/(SUMIFS(tblSafety[Hours_Total],tblSafety[Date],"&gt;="&amp;EDATE($E139,-12),tblSafety[Date],"&lt;="&amp;$A139)+SUMIFS(tblSafetyHistory[Hours_Total],tblSafetyHistory[Month],"&gt;="&amp;EDATE($E139,-12),tblSafetyHistory[Month],"&lt;"&amp;$E139,tblSafetyHistory[Use],1))*cfg_RateBasisHours,"")</f>
        <v/>
      </c>
      <c r="IR139" s="62">
        <f>IF(MAX(N(cfg_PriorLTIDate),_xlfn.MAXIFS(tblSafety[Date],tblSafety[LTI],"&gt;0",tblSafety[Date],"&lt;="&amp;$A139))=0,"",$A139-MAX(N(cfg_PriorLTIDate),_xlfn.MAXIFS(tblSafety[Date],tblSafety[LTI],"&gt;0",tblSafety[Date],"&lt;="&amp;$A139)))</f>
        <v/>
      </c>
      <c r="IS139" s="55">
        <f>SUMIFS(tblBudget[Ore_Mined_t],tblBudget[Month],$E139)</f>
        <v/>
      </c>
      <c r="IT139" s="55">
        <f>$IS139*$C139/$D139</f>
        <v/>
      </c>
      <c r="IU139" s="55">
        <f>SUMIFS(tblBudget[Ore_Mined_t],tblBudget[Month],"&lt;"&amp;$E139)+$IT139</f>
        <v/>
      </c>
      <c r="IV139" s="55">
        <f>SUMIFS(tblBudget[Ore_oz],tblBudget[Month],$E139)</f>
        <v/>
      </c>
      <c r="IW139" s="55">
        <f>$IV139*$C139/$D139</f>
        <v/>
      </c>
      <c r="IX139" s="55">
        <f>SUMIFS(tblBudget[Ore_oz],tblBudget[Month],"&lt;"&amp;$E139)+$IW139</f>
        <v/>
      </c>
      <c r="IY139" s="55">
        <f>SUMIFS(tblBudget[Ore_Mined_t],tblBudget[Month],$E139)</f>
        <v/>
      </c>
      <c r="IZ139" s="55">
        <f>$IY139*$C139/$D139</f>
        <v/>
      </c>
      <c r="JA139" s="55">
        <f>SUMIFS(tblBudget[Ore_Mined_t],tblBudget[Month],"&lt;"&amp;$E139)+$IZ139</f>
        <v/>
      </c>
      <c r="JB139" s="56">
        <f>IFERROR(IF(($IY139)&gt;0,($IV139*cfg_TroyOz)/($IY139),""),"")</f>
        <v/>
      </c>
      <c r="JC139" s="56">
        <f>IFERROR(IF(($IZ139)&gt;0,($IW139*cfg_TroyOz)/($IZ139),""),"")</f>
        <v/>
      </c>
      <c r="JD139" s="56">
        <f>IFERROR(IF(($JA139)&gt;0,($IX139*cfg_TroyOz)/($JA139),""),"")</f>
        <v/>
      </c>
      <c r="JE139" s="55">
        <f>SUMIFS(tblBudget[Waste_t],tblBudget[Month],$E139)</f>
        <v/>
      </c>
      <c r="JF139" s="55">
        <f>$JE139*$C139/$D139</f>
        <v/>
      </c>
      <c r="JG139" s="55">
        <f>SUMIFS(tblBudget[Waste_t],tblBudget[Month],"&lt;"&amp;$E139)+$JF139</f>
        <v/>
      </c>
      <c r="JH139" s="55">
        <f>SUMIFS(tblBudget[TMM_t],tblBudget[Month],$E139)</f>
        <v/>
      </c>
      <c r="JI139" s="55">
        <f>$JH139*$C139/$D139</f>
        <v/>
      </c>
      <c r="JJ139" s="55">
        <f>SUMIFS(tblBudget[TMM_t],tblBudget[Month],"&lt;"&amp;$E139)+$JI139</f>
        <v/>
      </c>
      <c r="JK139" s="56">
        <f>IFERROR(IF(($IS139)&gt;0,($JE139)/($IS139),""),"")</f>
        <v/>
      </c>
      <c r="JL139" s="56">
        <f>IFERROR(IF(($IT139)&gt;0,($JF139)/($IT139),""),"")</f>
        <v/>
      </c>
      <c r="JM139" s="56">
        <f>IFERROR(IF(($IU139)&gt;0,($JG139)/($IU139),""),"")</f>
        <v/>
      </c>
      <c r="JN139" s="55">
        <f>SUMIFS(tblBudget[Drill_m],tblBudget[Month],$E139)</f>
        <v/>
      </c>
      <c r="JO139" s="55">
        <f>$JN139*$C139/$D139</f>
        <v/>
      </c>
      <c r="JP139" s="55">
        <f>SUMIFS(tblBudget[Drill_m],tblBudget[Month],"&lt;"&amp;$E139)+$JO139</f>
        <v/>
      </c>
      <c r="JQ139" s="55">
        <f>SUMIFS(tblBudget[Diesel_L],tblBudget[Month],$E139)</f>
        <v/>
      </c>
      <c r="JR139" s="55">
        <f>$JQ139*$C139/$D139</f>
        <v/>
      </c>
      <c r="JS139" s="55">
        <f>SUMIFS(tblBudget[Diesel_L],tblBudget[Month],"&lt;"&amp;$E139)+$JR139</f>
        <v/>
      </c>
      <c r="JT139" s="55">
        <f>SUMIFS(tblBudget[Milled_t],tblBudget[Month],$E139)</f>
        <v/>
      </c>
      <c r="JU139" s="55">
        <f>$JT139*$C139/$D139</f>
        <v/>
      </c>
      <c r="JV139" s="55">
        <f>SUMIFS(tblBudget[Milled_t],tblBudget[Month],"&lt;"&amp;$E139)+$JU139</f>
        <v/>
      </c>
      <c r="JW139" s="55">
        <f>SUMIFS(tblBudget[Feed_oz],tblBudget[Month],$E139)</f>
        <v/>
      </c>
      <c r="JX139" s="55">
        <f>$JW139*$C139/$D139</f>
        <v/>
      </c>
      <c r="JY139" s="55">
        <f>SUMIFS(tblBudget[Feed_oz],tblBudget[Month],"&lt;"&amp;$E139)+$JX139</f>
        <v/>
      </c>
      <c r="JZ139" s="55">
        <f>SUMIFS(tblBudget[Recovered_oz],tblBudget[Month],$E139)</f>
        <v/>
      </c>
      <c r="KA139" s="55">
        <f>$JZ139*$C139/$D139</f>
        <v/>
      </c>
      <c r="KB139" s="55">
        <f>SUMIFS(tblBudget[Recovered_oz],tblBudget[Month],"&lt;"&amp;$E139)+$KA139</f>
        <v/>
      </c>
      <c r="KC139" s="55">
        <f>SUMIFS(tblBudget[Milled_t],tblBudget[Month],$E139)</f>
        <v/>
      </c>
      <c r="KD139" s="55">
        <f>$KC139*$C139/$D139</f>
        <v/>
      </c>
      <c r="KE139" s="55">
        <f>SUMIFS(tblBudget[Milled_t],tblBudget[Month],"&lt;"&amp;$E139)+$KD139</f>
        <v/>
      </c>
      <c r="KF139" s="55">
        <f>SUMIFS(tblBudget[Feed_oz],tblBudget[Month],$E139)</f>
        <v/>
      </c>
      <c r="KG139" s="55">
        <f>$KF139*$C139/$D139</f>
        <v/>
      </c>
      <c r="KH139" s="55">
        <f>SUMIFS(tblBudget[Feed_oz],tblBudget[Month],"&lt;"&amp;$E139)+$KG139</f>
        <v/>
      </c>
      <c r="KI139" s="56">
        <f>IFERROR(IF(($KC139)&gt;0,($JW139*cfg_TroyOz)/($KC139),""),"")</f>
        <v/>
      </c>
      <c r="KJ139" s="56">
        <f>IFERROR(IF(($KD139)&gt;0,($JX139*cfg_TroyOz)/($KD139),""),"")</f>
        <v/>
      </c>
      <c r="KK139" s="56">
        <f>IFERROR(IF(($KE139)&gt;0,($JY139*cfg_TroyOz)/($KE139),""),"")</f>
        <v/>
      </c>
      <c r="KL139" s="67">
        <f>IFERROR(IF(($KF139)&gt;0,($JZ139)/($KF139),""),"")</f>
        <v/>
      </c>
      <c r="KM139" s="67">
        <f>IFERROR(IF(($KG139)&gt;0,($KA139)/($KG139),""),"")</f>
        <v/>
      </c>
      <c r="KN139" s="67">
        <f>IFERROR(IF(($KH139)&gt;0,($KB139)/($KH139),""),"")</f>
        <v/>
      </c>
      <c r="KO139" s="55">
        <f>SUMIFS(tblBudget[Gold_Poured_oz],tblBudget[Month],$E139)</f>
        <v/>
      </c>
      <c r="KP139" s="55">
        <f>$KO139*$C139/$D139</f>
        <v/>
      </c>
      <c r="KQ139" s="55">
        <f>SUMIFS(tblBudget[Gold_Poured_oz],tblBudget[Month],"&lt;"&amp;$E139)+$KP139</f>
        <v/>
      </c>
      <c r="KR139" s="57">
        <f>SUMIFS(tblBudget[Hours_Worked],tblBudget[Month],$E139)</f>
        <v/>
      </c>
      <c r="KS139" s="57">
        <f>$KR139*$C139/$D139</f>
        <v/>
      </c>
      <c r="KT139" s="57">
        <f>SUMIFS(tblBudget[Hours_Worked],tblBudget[Month],"&lt;"&amp;$E139)+$KS139</f>
        <v/>
      </c>
    </row>
    <row r="140">
      <c r="A140" s="54" t="n">
        <v>46161</v>
      </c>
      <c r="B140">
        <f>MONTH($A140)</f>
        <v/>
      </c>
      <c r="C140">
        <f>DAY($A140)</f>
        <v/>
      </c>
      <c r="D140">
        <f>DAY(EOMONTH($A140,0))</f>
        <v/>
      </c>
      <c r="E140" s="54">
        <f>DATE(YEAR($A140),MONTH($A140),1)</f>
        <v/>
      </c>
      <c r="F140" s="55">
        <f>SUMIFS(tblMovement[Tonnes_t],tblMovement[Date],$A140,tblMovement[Is_Ore],1,tblMovement[Source_Type],"Pit")</f>
        <v/>
      </c>
      <c r="G140" s="55">
        <f>IF($B140=$B139,$G139,0)+$F140</f>
        <v/>
      </c>
      <c r="H140" s="55">
        <f>$H139+$F140</f>
        <v/>
      </c>
      <c r="I140" s="55">
        <f>SUMIFS(tblMovement[Ore_oz],tblMovement[Date],$A140,tblMovement[Source_Type],"Pit")</f>
        <v/>
      </c>
      <c r="J140" s="55">
        <f>IF($B140=$B139,$J139,0)+$I140</f>
        <v/>
      </c>
      <c r="K140" s="55">
        <f>$K139+$I140</f>
        <v/>
      </c>
      <c r="L140" s="55">
        <f>SUMIFS(tblMovement[Tonnes_t],tblMovement[Date],$A140,tblMovement[Is_Ore],1,tblMovement[Source_Type],"Pit",tblMovement[Grade_gpt],"&lt;&gt;")</f>
        <v/>
      </c>
      <c r="M140" s="55">
        <f>IF($B140=$B139,$M139,0)+$L140</f>
        <v/>
      </c>
      <c r="N140" s="55">
        <f>$N139+$L140</f>
        <v/>
      </c>
      <c r="O140" s="56">
        <f>IFERROR(IF(($L140)&gt;0,($I140*cfg_TroyOz)/($L140),""),"")</f>
        <v/>
      </c>
      <c r="P140" s="56">
        <f>IFERROR(IF(($M140)&gt;0,($J140*cfg_TroyOz)/($M140),""),"")</f>
        <v/>
      </c>
      <c r="Q140" s="56">
        <f>IFERROR(IF(($N140)&gt;0,($K140*cfg_TroyOz)/($N140),""),"")</f>
        <v/>
      </c>
      <c r="R140" s="55">
        <f>$F140-$L140</f>
        <v/>
      </c>
      <c r="S140" s="55">
        <f>IF($B140=$B139,$S139,0)+$R140</f>
        <v/>
      </c>
      <c r="T140" s="55">
        <f>$T139+$R140</f>
        <v/>
      </c>
      <c r="U140" s="55">
        <f>SUMIFS(tblMovement[Tonnes_t],tblMovement[Date],$A140,tblMovement[Is_Ore],0,tblMovement[Source_Type],"Pit")</f>
        <v/>
      </c>
      <c r="V140" s="55">
        <f>IF($B140=$B139,$V139,0)+$U140</f>
        <v/>
      </c>
      <c r="W140" s="55">
        <f>$W139+$U140</f>
        <v/>
      </c>
      <c r="X140" s="55">
        <f>$F140+$U140</f>
        <v/>
      </c>
      <c r="Y140" s="55">
        <f>IF($B140=$B139,$Y139,0)+$X140</f>
        <v/>
      </c>
      <c r="Z140" s="55">
        <f>$Z139+$X140</f>
        <v/>
      </c>
      <c r="AA140" s="56">
        <f>IFERROR(IF(($F140)&gt;0,($U140)/($F140),""),"")</f>
        <v/>
      </c>
      <c r="AB140" s="56">
        <f>IFERROR(IF(($G140)&gt;0,($V140)/($G140),""),"")</f>
        <v/>
      </c>
      <c r="AC140" s="56">
        <f>IFERROR(IF(($H140)&gt;0,($W140)/($H140),""),"")</f>
        <v/>
      </c>
      <c r="AD140" s="55">
        <f>SUMIFS(tblMovement[Tonnes_t],tblMovement[Date],$A140,tblMovement[Source_Type],"Stockpile")</f>
        <v/>
      </c>
      <c r="AE140" s="55">
        <f>IF($B140=$B139,$AE139,0)+$AD140</f>
        <v/>
      </c>
      <c r="AF140" s="55">
        <f>$AF139+$AD140</f>
        <v/>
      </c>
      <c r="AG140" s="55">
        <f>SUMIFS(tblMovement[Tonnes_t],tblMovement[Date],$A140)</f>
        <v/>
      </c>
      <c r="AH140" s="55">
        <f>IF($B140=$B139,$AH139,0)+$AG140</f>
        <v/>
      </c>
      <c r="AI140" s="55">
        <f>$AI139+$AG140</f>
        <v/>
      </c>
      <c r="AJ140" s="55">
        <f>$AG140-$X140-$AD140</f>
        <v/>
      </c>
      <c r="AK140" s="55">
        <f>IF($B140=$B139,$AK139,0)+$AJ140</f>
        <v/>
      </c>
      <c r="AL140" s="55">
        <f>$AL139+$AJ140</f>
        <v/>
      </c>
      <c r="AM140" s="55">
        <f>SUMIFS(tblMiningDaily[Drill_m],tblMiningDaily[Date],$A140)</f>
        <v/>
      </c>
      <c r="AN140" s="55">
        <f>IF($B140=$B139,$AN139,0)+$AM140</f>
        <v/>
      </c>
      <c r="AO140" s="55">
        <f>$AO139+$AM140</f>
        <v/>
      </c>
      <c r="AP140" s="55">
        <f>SUMIFS(tblMiningDaily[GC_Drill_m],tblMiningDaily[Date],$A140)</f>
        <v/>
      </c>
      <c r="AQ140" s="55">
        <f>IF($B140=$B139,$AQ139,0)+$AP140</f>
        <v/>
      </c>
      <c r="AR140" s="55">
        <f>$AR139+$AP140</f>
        <v/>
      </c>
      <c r="AS140" s="55">
        <f>SUMIFS(tblMiningDaily[Blast_t],tblMiningDaily[Date],$A140)</f>
        <v/>
      </c>
      <c r="AT140" s="55">
        <f>IF($B140=$B139,$AT139,0)+$AS140</f>
        <v/>
      </c>
      <c r="AU140" s="55">
        <f>$AU139+$AS140</f>
        <v/>
      </c>
      <c r="AV140" s="55">
        <f>SUMIFS(tblMiningDaily[Explosives_kg],tblMiningDaily[Date],$A140)</f>
        <v/>
      </c>
      <c r="AW140" s="55">
        <f>IF($B140=$B139,$AW139,0)+$AV140</f>
        <v/>
      </c>
      <c r="AX140" s="55">
        <f>$AX139+$AV140</f>
        <v/>
      </c>
      <c r="AY140" s="56">
        <f>IFERROR(IF(($AS140)&gt;0,($AV140)/($AS140),""),"")</f>
        <v/>
      </c>
      <c r="AZ140" s="56">
        <f>IFERROR(IF(($AT140)&gt;0,($AW140)/($AT140),""),"")</f>
        <v/>
      </c>
      <c r="BA140" s="56">
        <f>IFERROR(IF(($AU140)&gt;0,($AX140)/($AU140),""),"")</f>
        <v/>
      </c>
      <c r="BB140" s="55">
        <f>SUMIFS(tblMiningDaily[Diesel_L],tblMiningDaily[Date],$A140)</f>
        <v/>
      </c>
      <c r="BC140" s="55">
        <f>IF($B140=$B139,$BC139,0)+$BB140</f>
        <v/>
      </c>
      <c r="BD140" s="55">
        <f>$BD139+$BB140</f>
        <v/>
      </c>
      <c r="BE140" s="55">
        <f>SUMIFS(tblMiningDaily[Dewatering_m3],tblMiningDaily[Date],$A140)</f>
        <v/>
      </c>
      <c r="BF140" s="55">
        <f>IF($B140=$B139,$BF139,0)+$BE140</f>
        <v/>
      </c>
      <c r="BG140" s="55">
        <f>$BG139+$BE140</f>
        <v/>
      </c>
      <c r="BH140" s="57">
        <f>SUMIFS(tblFleet[Calendar_h],tblFleet[Date],$A140,tblFleet[Equipment_Class],"Excavator")</f>
        <v/>
      </c>
      <c r="BI140" s="57">
        <f>IF($B140=$B139,$BI139,0)+$BH140</f>
        <v/>
      </c>
      <c r="BJ140" s="57">
        <f>$BJ139+$BH140</f>
        <v/>
      </c>
      <c r="BK140" s="57">
        <f>SUMIFS(tblFleet[Available_h],tblFleet[Date],$A140,tblFleet[Equipment_Class],"Excavator")</f>
        <v/>
      </c>
      <c r="BL140" s="57">
        <f>IF($B140=$B139,$BL139,0)+$BK140</f>
        <v/>
      </c>
      <c r="BM140" s="57">
        <f>$BM139+$BK140</f>
        <v/>
      </c>
      <c r="BN140" s="57">
        <f>SUMIFS(tblFleet[Operating_h],tblFleet[Date],$A140,tblFleet[Equipment_Class],"Excavator")</f>
        <v/>
      </c>
      <c r="BO140" s="57">
        <f>IF($B140=$B139,$BO139,0)+$BN140</f>
        <v/>
      </c>
      <c r="BP140" s="57">
        <f>$BP139+$BN140</f>
        <v/>
      </c>
      <c r="BQ140" s="67">
        <f>IFERROR(IF(($BH140)&gt;0,($BK140)/($BH140),""),"")</f>
        <v/>
      </c>
      <c r="BR140" s="67">
        <f>IFERROR(IF(($BI140)&gt;0,($BL140)/($BI140),""),"")</f>
        <v/>
      </c>
      <c r="BS140" s="67">
        <f>IFERROR(IF(($BJ140)&gt;0,($BM140)/($BJ140),""),"")</f>
        <v/>
      </c>
      <c r="BT140" s="67">
        <f>IFERROR(IF(($BK140)&gt;0,($BN140)/($BK140),""),"")</f>
        <v/>
      </c>
      <c r="BU140" s="67">
        <f>IFERROR(IF(($BL140)&gt;0,($BO140)/($BL140),""),"")</f>
        <v/>
      </c>
      <c r="BV140" s="67">
        <f>IFERROR(IF(($BM140)&gt;0,($BP140)/($BM140),""),"")</f>
        <v/>
      </c>
      <c r="BW140" s="57">
        <f>SUMIFS(tblFleet[Calendar_h],tblFleet[Date],$A140,tblFleet[Equipment_Class],"Haul Truck")</f>
        <v/>
      </c>
      <c r="BX140" s="57">
        <f>IF($B140=$B139,$BX139,0)+$BW140</f>
        <v/>
      </c>
      <c r="BY140" s="57">
        <f>$BY139+$BW140</f>
        <v/>
      </c>
      <c r="BZ140" s="57">
        <f>SUMIFS(tblFleet[Available_h],tblFleet[Date],$A140,tblFleet[Equipment_Class],"Haul Truck")</f>
        <v/>
      </c>
      <c r="CA140" s="57">
        <f>IF($B140=$B139,$CA139,0)+$BZ140</f>
        <v/>
      </c>
      <c r="CB140" s="57">
        <f>$CB139+$BZ140</f>
        <v/>
      </c>
      <c r="CC140" s="57">
        <f>SUMIFS(tblFleet[Operating_h],tblFleet[Date],$A140,tblFleet[Equipment_Class],"Haul Truck")</f>
        <v/>
      </c>
      <c r="CD140" s="57">
        <f>IF($B140=$B139,$CD139,0)+$CC140</f>
        <v/>
      </c>
      <c r="CE140" s="57">
        <f>$CE139+$CC140</f>
        <v/>
      </c>
      <c r="CF140" s="67">
        <f>IFERROR(IF(($BW140)&gt;0,($BZ140)/($BW140),""),"")</f>
        <v/>
      </c>
      <c r="CG140" s="67">
        <f>IFERROR(IF(($BX140)&gt;0,($CA140)/($BX140),""),"")</f>
        <v/>
      </c>
      <c r="CH140" s="67">
        <f>IFERROR(IF(($BY140)&gt;0,($CB140)/($BY140),""),"")</f>
        <v/>
      </c>
      <c r="CI140" s="67">
        <f>IFERROR(IF(($BZ140)&gt;0,($CC140)/($BZ140),""),"")</f>
        <v/>
      </c>
      <c r="CJ140" s="67">
        <f>IFERROR(IF(($CA140)&gt;0,($CD140)/($CA140),""),"")</f>
        <v/>
      </c>
      <c r="CK140" s="67">
        <f>IFERROR(IF(($CB140)&gt;0,($CE140)/($CB140),""),"")</f>
        <v/>
      </c>
      <c r="CL140" s="55">
        <f>IFERROR(IF(($BN140)&gt;0,($X140+$AD140)/($BN140),""),"")</f>
        <v/>
      </c>
      <c r="CM140" s="55">
        <f>IFERROR(IF(($BO140)&gt;0,($Y140+$AE140)/($BO140),""),"")</f>
        <v/>
      </c>
      <c r="CN140" s="55">
        <f>IFERROR(IF(($BP140)&gt;0,($Z140+$AF140)/($BP140),""),"")</f>
        <v/>
      </c>
      <c r="CO140" s="55">
        <f>IFERROR(IF(($CC140)&gt;0,($X140+$AD140)/($CC140),""),"")</f>
        <v/>
      </c>
      <c r="CP140" s="55">
        <f>IFERROR(IF(($CD140)&gt;0,($Y140+$AE140)/($CD140),""),"")</f>
        <v/>
      </c>
      <c r="CQ140" s="55">
        <f>IFERROR(IF(($CE140)&gt;0,($Z140+$AF140)/($CE140),""),"")</f>
        <v/>
      </c>
      <c r="CR140" s="55">
        <f>SUMIFS(tblPlant[Crushed_t],tblPlant[Date],$A140)</f>
        <v/>
      </c>
      <c r="CS140" s="55">
        <f>IF($B140=$B139,$CS139,0)+$CR140</f>
        <v/>
      </c>
      <c r="CT140" s="55">
        <f>$CT139+$CR140</f>
        <v/>
      </c>
      <c r="CU140" s="55">
        <f>SUMIFS(tblPlant[Milled_t],tblPlant[Date],$A140)</f>
        <v/>
      </c>
      <c r="CV140" s="55">
        <f>IF($B140=$B139,$CV139,0)+$CU140</f>
        <v/>
      </c>
      <c r="CW140" s="55">
        <f>$CW139+$CU140</f>
        <v/>
      </c>
      <c r="CX140" s="55">
        <f>SUMIFS(tblPlant[Feed_oz],tblPlant[Date],$A140)</f>
        <v/>
      </c>
      <c r="CY140" s="55">
        <f>IF($B140=$B139,$CY139,0)+$CX140</f>
        <v/>
      </c>
      <c r="CZ140" s="55">
        <f>$CZ139+$CX140</f>
        <v/>
      </c>
      <c r="DA140" s="55">
        <f>SUMIFS(tblPlant[Tails_oz],tblPlant[Date],$A140)</f>
        <v/>
      </c>
      <c r="DB140" s="55">
        <f>IF($B140=$B139,$DB139,0)+$DA140</f>
        <v/>
      </c>
      <c r="DC140" s="55">
        <f>$DC139+$DA140</f>
        <v/>
      </c>
      <c r="DD140" s="55">
        <f>SUMIFS(tblPlant[Recovered_oz],tblPlant[Date],$A140)</f>
        <v/>
      </c>
      <c r="DE140" s="55">
        <f>IF($B140=$B139,$DE139,0)+$DD140</f>
        <v/>
      </c>
      <c r="DF140" s="55">
        <f>$DF139+$DD140</f>
        <v/>
      </c>
      <c r="DG140" s="55">
        <f>SUMIFS(tblPlant[Milled_t],tblPlant[Date],$A140,tblPlant[Head_Grade_gpt],"&lt;&gt;")</f>
        <v/>
      </c>
      <c r="DH140" s="55">
        <f>IF($B140=$B139,$DH139,0)+$DG140</f>
        <v/>
      </c>
      <c r="DI140" s="55">
        <f>$DI139+$DG140</f>
        <v/>
      </c>
      <c r="DJ140" s="55">
        <f>SUMIFS(tblPlant[Milled_t],tblPlant[Date],$A140,tblPlant[Tails_Grade_gpt],"&lt;&gt;")</f>
        <v/>
      </c>
      <c r="DK140" s="55">
        <f>IF($B140=$B139,$DK139,0)+$DJ140</f>
        <v/>
      </c>
      <c r="DL140" s="55">
        <f>$DL139+$DJ140</f>
        <v/>
      </c>
      <c r="DM140" s="55">
        <f>SUMIFS(tblPlant[Feed_oz],tblPlant[Date],$A140,tblPlant[Tails_Grade_gpt],"&lt;&gt;")</f>
        <v/>
      </c>
      <c r="DN140" s="55">
        <f>IF($B140=$B139,$DN139,0)+$DM140</f>
        <v/>
      </c>
      <c r="DO140" s="55">
        <f>$DO139+$DM140</f>
        <v/>
      </c>
      <c r="DP140" s="55">
        <f>SUMIFS(tblPlant[Milled_t],tblPlant[Date],$A140,tblPlant[Mill_Run_h],"&lt;&gt;")</f>
        <v/>
      </c>
      <c r="DQ140" s="55">
        <f>IF($B140=$B139,$DQ139,0)+$DP140</f>
        <v/>
      </c>
      <c r="DR140" s="55">
        <f>$DR139+$DP140</f>
        <v/>
      </c>
      <c r="DS140" s="56">
        <f>IFERROR(IF(($DG140)&gt;0,($CX140*cfg_TroyOz)/($DG140),""),"")</f>
        <v/>
      </c>
      <c r="DT140" s="56">
        <f>IFERROR(IF(($DH140)&gt;0,($CY140*cfg_TroyOz)/($DH140),""),"")</f>
        <v/>
      </c>
      <c r="DU140" s="56">
        <f>IFERROR(IF(($DI140)&gt;0,($CZ140*cfg_TroyOz)/($DI140),""),"")</f>
        <v/>
      </c>
      <c r="DV140" s="56">
        <f>IFERROR(IF(($DJ140)&gt;0,($DA140*cfg_TroyOz)/($DJ140),""),"")</f>
        <v/>
      </c>
      <c r="DW140" s="56">
        <f>IFERROR(IF(($DK140)&gt;0,($DB140*cfg_TroyOz)/($DK140),""),"")</f>
        <v/>
      </c>
      <c r="DX140" s="56">
        <f>IFERROR(IF(($DL140)&gt;0,($DC140*cfg_TroyOz)/($DL140),""),"")</f>
        <v/>
      </c>
      <c r="DY140" s="67">
        <f>IFERROR(IF(($DM140)&gt;0,($DD140)/($DM140),""),"")</f>
        <v/>
      </c>
      <c r="DZ140" s="67">
        <f>IFERROR(IF(($DN140)&gt;0,($DE140)/($DN140),""),"")</f>
        <v/>
      </c>
      <c r="EA140" s="67">
        <f>IFERROR(IF(($DO140)&gt;0,($DF140)/($DO140),""),"")</f>
        <v/>
      </c>
      <c r="EB140" s="55">
        <f>SUMIFS(tblPlant[Gravity_Gold_oz],tblPlant[Date],$A140)</f>
        <v/>
      </c>
      <c r="EC140" s="55">
        <f>IF($B140=$B139,$EC139,0)+$EB140</f>
        <v/>
      </c>
      <c r="ED140" s="55">
        <f>$ED139+$EB140</f>
        <v/>
      </c>
      <c r="EE140" s="67">
        <f>IFERROR(IF(($DD140)&gt;0,($EB140)/($DD140),""),"")</f>
        <v/>
      </c>
      <c r="EF140" s="67">
        <f>IFERROR(IF(($DE140)&gt;0,($EC140)/($DE140),""),"")</f>
        <v/>
      </c>
      <c r="EG140" s="67">
        <f>IFERROR(IF(($DF140)&gt;0,($ED140)/($DF140),""),"")</f>
        <v/>
      </c>
      <c r="EH140" s="55">
        <f>SUMIFS(tblPlant[Gold_Poured_oz],tblPlant[Date],$A140)</f>
        <v/>
      </c>
      <c r="EI140" s="55">
        <f>IF($B140=$B139,$EI139,0)+$EH140</f>
        <v/>
      </c>
      <c r="EJ140" s="55">
        <f>$EJ139+$EH140</f>
        <v/>
      </c>
      <c r="EK140" s="57">
        <f>SUMIFS(tblPlant[Mill_Run_h],tblPlant[Date],$A140)</f>
        <v/>
      </c>
      <c r="EL140" s="57">
        <f>IF($B140=$B139,$EL139,0)+$EK140</f>
        <v/>
      </c>
      <c r="EM140" s="57">
        <f>$EM139+$EK140</f>
        <v/>
      </c>
      <c r="EN140" s="57">
        <f>SUMIFS(tblPlant[Mill_Planned_Maint_h],tblPlant[Date],$A140)</f>
        <v/>
      </c>
      <c r="EO140" s="57">
        <f>IF($B140=$B139,$EO139,0)+$EN140</f>
        <v/>
      </c>
      <c r="EP140" s="57">
        <f>$EP139+$EN140</f>
        <v/>
      </c>
      <c r="EQ140" s="57">
        <f>SUMIFS(tblPlant[Mill_Unplanned_Down_h],tblPlant[Date],$A140)</f>
        <v/>
      </c>
      <c r="ER140" s="57">
        <f>IF($B140=$B139,$ER139,0)+$EQ140</f>
        <v/>
      </c>
      <c r="ES140" s="57">
        <f>$ES139+$EQ140</f>
        <v/>
      </c>
      <c r="ET140" s="57">
        <f>IF(COUNTIFS(tblPlant[Date],$A140,tblPlant[Mill_Run_h],"&lt;&gt;")+COUNTIFS(tblPlant[Date],$A140,tblPlant[Mill_Planned_Maint_h],"&lt;&gt;")+COUNTIFS(tblPlant[Date],$A140,tblPlant[Mill_Unplanned_Down_h],"&lt;&gt;")&gt;0,cfg_HoursPerDay,0)</f>
        <v/>
      </c>
      <c r="EU140" s="57">
        <f>IF($B140=$B139,$EU139,0)+$ET140</f>
        <v/>
      </c>
      <c r="EV140" s="57">
        <f>$EV139+$ET140</f>
        <v/>
      </c>
      <c r="EW140" s="57">
        <f>SUMIFS(tblPlant[Crusher_Run_h],tblPlant[Date],$A140)</f>
        <v/>
      </c>
      <c r="EX140" s="57">
        <f>IF($B140=$B139,$EX139,0)+$EW140</f>
        <v/>
      </c>
      <c r="EY140" s="57">
        <f>$EY139+$EW140</f>
        <v/>
      </c>
      <c r="EZ140" s="55">
        <f>IFERROR(IF(($EK140)&gt;0,($DP140)/($EK140),""),"")</f>
        <v/>
      </c>
      <c r="FA140" s="55">
        <f>IFERROR(IF(($EL140)&gt;0,($DQ140)/($EL140),""),"")</f>
        <v/>
      </c>
      <c r="FB140" s="55">
        <f>IFERROR(IF(($EM140)&gt;0,($DR140)/($EM140),""),"")</f>
        <v/>
      </c>
      <c r="FC140" s="67">
        <f>IFERROR(IF(($ET140)&gt;0,($ET140-$EN140-$EQ140)/($ET140),""),"")</f>
        <v/>
      </c>
      <c r="FD140" s="67">
        <f>IFERROR(IF(($EU140)&gt;0,($EU140-$EO140-$ER140)/($EU140),""),"")</f>
        <v/>
      </c>
      <c r="FE140" s="67">
        <f>IFERROR(IF(($EV140)&gt;0,($EV140-$EP140-$ES140)/($EV140),""),"")</f>
        <v/>
      </c>
      <c r="FF140" s="67">
        <f>IFERROR(IF(($ET140-$EN140-$EQ140)&gt;0,($EK140)/($ET140-$EN140-$EQ140),""),"")</f>
        <v/>
      </c>
      <c r="FG140" s="67">
        <f>IFERROR(IF(($EU140-$EO140-$ER140)&gt;0,($EL140)/($EU140-$EO140-$ER140),""),"")</f>
        <v/>
      </c>
      <c r="FH140" s="67">
        <f>IFERROR(IF(($EV140-$EP140-$ES140)&gt;0,($EM140)/($EV140-$EP140-$ES140),""),"")</f>
        <v/>
      </c>
      <c r="FI140" s="55">
        <f>SUMIFS(tblPlant[Cyanide_kg],tblPlant[Date],$A140)</f>
        <v/>
      </c>
      <c r="FJ140" s="55">
        <f>IF($B140=$B139,$FJ139,0)+$FI140</f>
        <v/>
      </c>
      <c r="FK140" s="55">
        <f>$FK139+$FI140</f>
        <v/>
      </c>
      <c r="FL140" s="55">
        <f>SUMIFS(tblPlant[Lime_kg],tblPlant[Date],$A140)</f>
        <v/>
      </c>
      <c r="FM140" s="55">
        <f>IF($B140=$B139,$FM139,0)+$FL140</f>
        <v/>
      </c>
      <c r="FN140" s="55">
        <f>$FN139+$FL140</f>
        <v/>
      </c>
      <c r="FO140" s="55">
        <f>SUMIFS(tblPlant[Grinding_Media_kg],tblPlant[Date],$A140)</f>
        <v/>
      </c>
      <c r="FP140" s="55">
        <f>IF($B140=$B139,$FP139,0)+$FO140</f>
        <v/>
      </c>
      <c r="FQ140" s="55">
        <f>$FQ139+$FO140</f>
        <v/>
      </c>
      <c r="FR140" s="55">
        <f>SUMIFS(tblPlant[Power_kWh],tblPlant[Date],$A140)</f>
        <v/>
      </c>
      <c r="FS140" s="55">
        <f>IF($B140=$B139,$FS139,0)+$FR140</f>
        <v/>
      </c>
      <c r="FT140" s="55">
        <f>$FT139+$FR140</f>
        <v/>
      </c>
      <c r="FU140" s="55">
        <f>SUMIFS(tblPlant[Raw_Water_m3],tblPlant[Date],$A140)</f>
        <v/>
      </c>
      <c r="FV140" s="55">
        <f>IF($B140=$B139,$FV139,0)+$FU140</f>
        <v/>
      </c>
      <c r="FW140" s="55">
        <f>$FW139+$FU140</f>
        <v/>
      </c>
      <c r="FX140" s="56">
        <f>IFERROR(IF(($CU140)&gt;0,($FI140)/($CU140),""),"")</f>
        <v/>
      </c>
      <c r="FY140" s="56">
        <f>IFERROR(IF(($CV140)&gt;0,($FJ140)/($CV140),""),"")</f>
        <v/>
      </c>
      <c r="FZ140" s="56">
        <f>IFERROR(IF(($CW140)&gt;0,($FK140)/($CW140),""),"")</f>
        <v/>
      </c>
      <c r="GA140" s="56">
        <f>IFERROR(IF(($CU140)&gt;0,($FL140)/($CU140),""),"")</f>
        <v/>
      </c>
      <c r="GB140" s="56">
        <f>IFERROR(IF(($CV140)&gt;0,($FM140)/($CV140),""),"")</f>
        <v/>
      </c>
      <c r="GC140" s="56">
        <f>IFERROR(IF(($CW140)&gt;0,($FN140)/($CW140),""),"")</f>
        <v/>
      </c>
      <c r="GD140" s="56">
        <f>IFERROR(IF(($CU140)&gt;0,($FO140)/($CU140),""),"")</f>
        <v/>
      </c>
      <c r="GE140" s="56">
        <f>IFERROR(IF(($CV140)&gt;0,($FP140)/($CV140),""),"")</f>
        <v/>
      </c>
      <c r="GF140" s="56">
        <f>IFERROR(IF(($CW140)&gt;0,($FQ140)/($CW140),""),"")</f>
        <v/>
      </c>
      <c r="GG140" s="79">
        <f>IFERROR(IF(($CU140)&gt;0,($FR140)/($CU140),""),"")</f>
        <v/>
      </c>
      <c r="GH140" s="79">
        <f>IFERROR(IF(($CV140)&gt;0,($FS140)/($CV140),""),"")</f>
        <v/>
      </c>
      <c r="GI140" s="79">
        <f>IFERROR(IF(($CW140)&gt;0,($FT140)/($CW140),""),"")</f>
        <v/>
      </c>
      <c r="GJ140" s="56">
        <f>IFERROR(IF(($CU140)&gt;0,($FU140)/($CU140),""),"")</f>
        <v/>
      </c>
      <c r="GK140" s="56">
        <f>IFERROR(IF(($CV140)&gt;0,($FV140)/($CV140),""),"")</f>
        <v/>
      </c>
      <c r="GL140" s="56">
        <f>IFERROR(IF(($CW140)&gt;0,($FW140)/($CW140),""),"")</f>
        <v/>
      </c>
      <c r="GM140" s="55">
        <f>IF(SUMIFS(tblPlant[GIC_oz],tblPlant[Date],$A140)&gt;0,SUMIFS(tblPlant[GIC_oz],tblPlant[Date],$A140),"")</f>
        <v/>
      </c>
      <c r="GN140" s="55">
        <f>SUMIFS(tblGold[Gold_oz],tblGold[Date],$A140,tblGold[Type],"Shipment")</f>
        <v/>
      </c>
      <c r="GO140" s="55">
        <f>IF($B140=$B139,$GO139,0)+$GN140</f>
        <v/>
      </c>
      <c r="GP140" s="55">
        <f>$GP139+$GN140</f>
        <v/>
      </c>
      <c r="GQ140" s="55">
        <f>SUMIFS(tblGold[Gold_oz],tblGold[Date],$A140,tblGold[Type],"Sale")</f>
        <v/>
      </c>
      <c r="GR140" s="55">
        <f>IF($B140=$B139,$GR139,0)+$GQ140</f>
        <v/>
      </c>
      <c r="GS140" s="55">
        <f>$GS139+$GQ140</f>
        <v/>
      </c>
      <c r="GT140" s="55">
        <f>SUMIFS(tblGold[Dore_kg],tblGold[Date],$A140,tblGold[Type],"Shipment")</f>
        <v/>
      </c>
      <c r="GU140" s="55">
        <f>IF($B140=$B139,$GU139,0)+$GT140</f>
        <v/>
      </c>
      <c r="GV140" s="55">
        <f>$GV139+$GT140</f>
        <v/>
      </c>
      <c r="GW140" s="57">
        <f>SUMIFS(tblSafety[Hours_Total],tblSafety[Date],$A140)</f>
        <v/>
      </c>
      <c r="GX140" s="57">
        <f>IF($B140=$B139,$GX139,0)+$GW140</f>
        <v/>
      </c>
      <c r="GY140" s="57">
        <f>$GY139+$GW140</f>
        <v/>
      </c>
      <c r="GZ140" s="62">
        <f>SUMIFS(tblSafety[Fatality],tblSafety[Date],$A140)</f>
        <v/>
      </c>
      <c r="HA140" s="62">
        <f>IF($B140=$B139,$HA139,0)+$GZ140</f>
        <v/>
      </c>
      <c r="HB140" s="62">
        <f>$HB139+$GZ140</f>
        <v/>
      </c>
      <c r="HC140" s="62">
        <f>SUMIFS(tblSafety[LTI],tblSafety[Date],$A140)</f>
        <v/>
      </c>
      <c r="HD140" s="62">
        <f>IF($B140=$B139,$HD139,0)+$HC140</f>
        <v/>
      </c>
      <c r="HE140" s="62">
        <f>$HE139+$HC140</f>
        <v/>
      </c>
      <c r="HF140" s="62">
        <f>SUMIFS(tblSafety[RWI],tblSafety[Date],$A140)</f>
        <v/>
      </c>
      <c r="HG140" s="62">
        <f>IF($B140=$B139,$HG139,0)+$HF140</f>
        <v/>
      </c>
      <c r="HH140" s="62">
        <f>$HH139+$HF140</f>
        <v/>
      </c>
      <c r="HI140" s="62">
        <f>SUMIFS(tblSafety[MTI],tblSafety[Date],$A140)</f>
        <v/>
      </c>
      <c r="HJ140" s="62">
        <f>IF($B140=$B139,$HJ139,0)+$HI140</f>
        <v/>
      </c>
      <c r="HK140" s="62">
        <f>$HK139+$HI140</f>
        <v/>
      </c>
      <c r="HL140" s="62">
        <f>SUMIFS(tblSafety[FAI],tblSafety[Date],$A140)</f>
        <v/>
      </c>
      <c r="HM140" s="62">
        <f>IF($B140=$B139,$HM139,0)+$HL140</f>
        <v/>
      </c>
      <c r="HN140" s="62">
        <f>$HN139+$HL140</f>
        <v/>
      </c>
      <c r="HO140" s="62">
        <f>SUMIFS(tblSafety[Recordables],tblSafety[Date],$A140)</f>
        <v/>
      </c>
      <c r="HP140" s="62">
        <f>IF($B140=$B139,$HP139,0)+$HO140</f>
        <v/>
      </c>
      <c r="HQ140" s="62">
        <f>$HQ139+$HO140</f>
        <v/>
      </c>
      <c r="HR140" s="62">
        <f>SUMIFS(tblSafety[Near_Miss],tblSafety[Date],$A140)</f>
        <v/>
      </c>
      <c r="HS140" s="62">
        <f>IF($B140=$B139,$HS139,0)+$HR140</f>
        <v/>
      </c>
      <c r="HT140" s="62">
        <f>$HT139+$HR140</f>
        <v/>
      </c>
      <c r="HU140" s="62">
        <f>SUMIFS(tblSafety[Hazard_Reports],tblSafety[Date],$A140)</f>
        <v/>
      </c>
      <c r="HV140" s="62">
        <f>IF($B140=$B139,$HV139,0)+$HU140</f>
        <v/>
      </c>
      <c r="HW140" s="62">
        <f>$HW139+$HU140</f>
        <v/>
      </c>
      <c r="HX140" s="62">
        <f>SUMIFS(tblSafety[HPI],tblSafety[Date],$A140)</f>
        <v/>
      </c>
      <c r="HY140" s="62">
        <f>IF($B140=$B139,$HY139,0)+$HX140</f>
        <v/>
      </c>
      <c r="HZ140" s="62">
        <f>$HZ139+$HX140</f>
        <v/>
      </c>
      <c r="IA140" s="62">
        <f>SUMIFS(tblSafety[Env_Incidents],tblSafety[Date],$A140)</f>
        <v/>
      </c>
      <c r="IB140" s="62">
        <f>IF($B140=$B139,$IB139,0)+$IA140</f>
        <v/>
      </c>
      <c r="IC140" s="62">
        <f>$IC139+$IA140</f>
        <v/>
      </c>
      <c r="ID140" s="62">
        <f>SUMIFS(tblSafety[Community_Incidents],tblSafety[Date],$A140)</f>
        <v/>
      </c>
      <c r="IE140" s="62">
        <f>IF($B140=$B139,$IE139,0)+$ID140</f>
        <v/>
      </c>
      <c r="IF140" s="62">
        <f>$IF139+$ID140</f>
        <v/>
      </c>
      <c r="IG140" s="62">
        <f>SUMIFS(tblSafety[Vehicle_Incidents],tblSafety[Date],$A140)</f>
        <v/>
      </c>
      <c r="IH140" s="62">
        <f>IF($B140=$B139,$IH139,0)+$IG140</f>
        <v/>
      </c>
      <c r="II140" s="62">
        <f>$II139+$IG140</f>
        <v/>
      </c>
      <c r="IJ140" s="62">
        <f>SUMIFS(tblSafety[Toolbox_Talks],tblSafety[Date],$A140)</f>
        <v/>
      </c>
      <c r="IK140" s="62">
        <f>IF($B140=$B139,$IK139,0)+$IJ140</f>
        <v/>
      </c>
      <c r="IL140" s="62">
        <f>$IL139+$IJ140</f>
        <v/>
      </c>
      <c r="IM140" s="62">
        <f>SUMIFS(tblSafety[Inspections],tblSafety[Date],$A140)</f>
        <v/>
      </c>
      <c r="IN140" s="62">
        <f>IF($B140=$B139,$IN139,0)+$IM140</f>
        <v/>
      </c>
      <c r="IO140" s="62">
        <f>$IO139+$IM140</f>
        <v/>
      </c>
      <c r="IP140" s="56">
        <f>IFERROR((SUMIFS(tblSafety[Recordables],tblSafety[Date],"&gt;="&amp;EDATE($E140,-12),tblSafety[Date],"&lt;="&amp;$A140)+SUMIFS(tblSafetyHistory[Recordables],tblSafetyHistory[Month],"&gt;="&amp;EDATE($E140,-12),tblSafetyHistory[Month],"&lt;"&amp;$E140,tblSafetyHistory[Use],1))/(SUMIFS(tblSafety[Hours_Total],tblSafety[Date],"&gt;="&amp;EDATE($E140,-12),tblSafety[Date],"&lt;="&amp;$A140)+SUMIFS(tblSafetyHistory[Hours_Total],tblSafetyHistory[Month],"&gt;="&amp;EDATE($E140,-12),tblSafetyHistory[Month],"&lt;"&amp;$E140,tblSafetyHistory[Use],1))*cfg_RateBasisHours,"")</f>
        <v/>
      </c>
      <c r="IQ140" s="56">
        <f>IFERROR((SUMIFS(tblSafety[LTI],tblSafety[Date],"&gt;="&amp;EDATE($E140,-12),tblSafety[Date],"&lt;="&amp;$A140)+SUMIFS(tblSafetyHistory[LTI],tblSafetyHistory[Month],"&gt;="&amp;EDATE($E140,-12),tblSafetyHistory[Month],"&lt;"&amp;$E140,tblSafetyHistory[Use],1))/(SUMIFS(tblSafety[Hours_Total],tblSafety[Date],"&gt;="&amp;EDATE($E140,-12),tblSafety[Date],"&lt;="&amp;$A140)+SUMIFS(tblSafetyHistory[Hours_Total],tblSafetyHistory[Month],"&gt;="&amp;EDATE($E140,-12),tblSafetyHistory[Month],"&lt;"&amp;$E140,tblSafetyHistory[Use],1))*cfg_RateBasisHours,"")</f>
        <v/>
      </c>
      <c r="IR140" s="62">
        <f>IF(MAX(N(cfg_PriorLTIDate),_xlfn.MAXIFS(tblSafety[Date],tblSafety[LTI],"&gt;0",tblSafety[Date],"&lt;="&amp;$A140))=0,"",$A140-MAX(N(cfg_PriorLTIDate),_xlfn.MAXIFS(tblSafety[Date],tblSafety[LTI],"&gt;0",tblSafety[Date],"&lt;="&amp;$A140)))</f>
        <v/>
      </c>
      <c r="IS140" s="55">
        <f>SUMIFS(tblBudget[Ore_Mined_t],tblBudget[Month],$E140)</f>
        <v/>
      </c>
      <c r="IT140" s="55">
        <f>$IS140*$C140/$D140</f>
        <v/>
      </c>
      <c r="IU140" s="55">
        <f>SUMIFS(tblBudget[Ore_Mined_t],tblBudget[Month],"&lt;"&amp;$E140)+$IT140</f>
        <v/>
      </c>
      <c r="IV140" s="55">
        <f>SUMIFS(tblBudget[Ore_oz],tblBudget[Month],$E140)</f>
        <v/>
      </c>
      <c r="IW140" s="55">
        <f>$IV140*$C140/$D140</f>
        <v/>
      </c>
      <c r="IX140" s="55">
        <f>SUMIFS(tblBudget[Ore_oz],tblBudget[Month],"&lt;"&amp;$E140)+$IW140</f>
        <v/>
      </c>
      <c r="IY140" s="55">
        <f>SUMIFS(tblBudget[Ore_Mined_t],tblBudget[Month],$E140)</f>
        <v/>
      </c>
      <c r="IZ140" s="55">
        <f>$IY140*$C140/$D140</f>
        <v/>
      </c>
      <c r="JA140" s="55">
        <f>SUMIFS(tblBudget[Ore_Mined_t],tblBudget[Month],"&lt;"&amp;$E140)+$IZ140</f>
        <v/>
      </c>
      <c r="JB140" s="56">
        <f>IFERROR(IF(($IY140)&gt;0,($IV140*cfg_TroyOz)/($IY140),""),"")</f>
        <v/>
      </c>
      <c r="JC140" s="56">
        <f>IFERROR(IF(($IZ140)&gt;0,($IW140*cfg_TroyOz)/($IZ140),""),"")</f>
        <v/>
      </c>
      <c r="JD140" s="56">
        <f>IFERROR(IF(($JA140)&gt;0,($IX140*cfg_TroyOz)/($JA140),""),"")</f>
        <v/>
      </c>
      <c r="JE140" s="55">
        <f>SUMIFS(tblBudget[Waste_t],tblBudget[Month],$E140)</f>
        <v/>
      </c>
      <c r="JF140" s="55">
        <f>$JE140*$C140/$D140</f>
        <v/>
      </c>
      <c r="JG140" s="55">
        <f>SUMIFS(tblBudget[Waste_t],tblBudget[Month],"&lt;"&amp;$E140)+$JF140</f>
        <v/>
      </c>
      <c r="JH140" s="55">
        <f>SUMIFS(tblBudget[TMM_t],tblBudget[Month],$E140)</f>
        <v/>
      </c>
      <c r="JI140" s="55">
        <f>$JH140*$C140/$D140</f>
        <v/>
      </c>
      <c r="JJ140" s="55">
        <f>SUMIFS(tblBudget[TMM_t],tblBudget[Month],"&lt;"&amp;$E140)+$JI140</f>
        <v/>
      </c>
      <c r="JK140" s="56">
        <f>IFERROR(IF(($IS140)&gt;0,($JE140)/($IS140),""),"")</f>
        <v/>
      </c>
      <c r="JL140" s="56">
        <f>IFERROR(IF(($IT140)&gt;0,($JF140)/($IT140),""),"")</f>
        <v/>
      </c>
      <c r="JM140" s="56">
        <f>IFERROR(IF(($IU140)&gt;0,($JG140)/($IU140),""),"")</f>
        <v/>
      </c>
      <c r="JN140" s="55">
        <f>SUMIFS(tblBudget[Drill_m],tblBudget[Month],$E140)</f>
        <v/>
      </c>
      <c r="JO140" s="55">
        <f>$JN140*$C140/$D140</f>
        <v/>
      </c>
      <c r="JP140" s="55">
        <f>SUMIFS(tblBudget[Drill_m],tblBudget[Month],"&lt;"&amp;$E140)+$JO140</f>
        <v/>
      </c>
      <c r="JQ140" s="55">
        <f>SUMIFS(tblBudget[Diesel_L],tblBudget[Month],$E140)</f>
        <v/>
      </c>
      <c r="JR140" s="55">
        <f>$JQ140*$C140/$D140</f>
        <v/>
      </c>
      <c r="JS140" s="55">
        <f>SUMIFS(tblBudget[Diesel_L],tblBudget[Month],"&lt;"&amp;$E140)+$JR140</f>
        <v/>
      </c>
      <c r="JT140" s="55">
        <f>SUMIFS(tblBudget[Milled_t],tblBudget[Month],$E140)</f>
        <v/>
      </c>
      <c r="JU140" s="55">
        <f>$JT140*$C140/$D140</f>
        <v/>
      </c>
      <c r="JV140" s="55">
        <f>SUMIFS(tblBudget[Milled_t],tblBudget[Month],"&lt;"&amp;$E140)+$JU140</f>
        <v/>
      </c>
      <c r="JW140" s="55">
        <f>SUMIFS(tblBudget[Feed_oz],tblBudget[Month],$E140)</f>
        <v/>
      </c>
      <c r="JX140" s="55">
        <f>$JW140*$C140/$D140</f>
        <v/>
      </c>
      <c r="JY140" s="55">
        <f>SUMIFS(tblBudget[Feed_oz],tblBudget[Month],"&lt;"&amp;$E140)+$JX140</f>
        <v/>
      </c>
      <c r="JZ140" s="55">
        <f>SUMIFS(tblBudget[Recovered_oz],tblBudget[Month],$E140)</f>
        <v/>
      </c>
      <c r="KA140" s="55">
        <f>$JZ140*$C140/$D140</f>
        <v/>
      </c>
      <c r="KB140" s="55">
        <f>SUMIFS(tblBudget[Recovered_oz],tblBudget[Month],"&lt;"&amp;$E140)+$KA140</f>
        <v/>
      </c>
      <c r="KC140" s="55">
        <f>SUMIFS(tblBudget[Milled_t],tblBudget[Month],$E140)</f>
        <v/>
      </c>
      <c r="KD140" s="55">
        <f>$KC140*$C140/$D140</f>
        <v/>
      </c>
      <c r="KE140" s="55">
        <f>SUMIFS(tblBudget[Milled_t],tblBudget[Month],"&lt;"&amp;$E140)+$KD140</f>
        <v/>
      </c>
      <c r="KF140" s="55">
        <f>SUMIFS(tblBudget[Feed_oz],tblBudget[Month],$E140)</f>
        <v/>
      </c>
      <c r="KG140" s="55">
        <f>$KF140*$C140/$D140</f>
        <v/>
      </c>
      <c r="KH140" s="55">
        <f>SUMIFS(tblBudget[Feed_oz],tblBudget[Month],"&lt;"&amp;$E140)+$KG140</f>
        <v/>
      </c>
      <c r="KI140" s="56">
        <f>IFERROR(IF(($KC140)&gt;0,($JW140*cfg_TroyOz)/($KC140),""),"")</f>
        <v/>
      </c>
      <c r="KJ140" s="56">
        <f>IFERROR(IF(($KD140)&gt;0,($JX140*cfg_TroyOz)/($KD140),""),"")</f>
        <v/>
      </c>
      <c r="KK140" s="56">
        <f>IFERROR(IF(($KE140)&gt;0,($JY140*cfg_TroyOz)/($KE140),""),"")</f>
        <v/>
      </c>
      <c r="KL140" s="67">
        <f>IFERROR(IF(($KF140)&gt;0,($JZ140)/($KF140),""),"")</f>
        <v/>
      </c>
      <c r="KM140" s="67">
        <f>IFERROR(IF(($KG140)&gt;0,($KA140)/($KG140),""),"")</f>
        <v/>
      </c>
      <c r="KN140" s="67">
        <f>IFERROR(IF(($KH140)&gt;0,($KB140)/($KH140),""),"")</f>
        <v/>
      </c>
      <c r="KO140" s="55">
        <f>SUMIFS(tblBudget[Gold_Poured_oz],tblBudget[Month],$E140)</f>
        <v/>
      </c>
      <c r="KP140" s="55">
        <f>$KO140*$C140/$D140</f>
        <v/>
      </c>
      <c r="KQ140" s="55">
        <f>SUMIFS(tblBudget[Gold_Poured_oz],tblBudget[Month],"&lt;"&amp;$E140)+$KP140</f>
        <v/>
      </c>
      <c r="KR140" s="57">
        <f>SUMIFS(tblBudget[Hours_Worked],tblBudget[Month],$E140)</f>
        <v/>
      </c>
      <c r="KS140" s="57">
        <f>$KR140*$C140/$D140</f>
        <v/>
      </c>
      <c r="KT140" s="57">
        <f>SUMIFS(tblBudget[Hours_Worked],tblBudget[Month],"&lt;"&amp;$E140)+$KS140</f>
        <v/>
      </c>
    </row>
    <row r="141">
      <c r="A141" s="54" t="n">
        <v>46162</v>
      </c>
      <c r="B141">
        <f>MONTH($A141)</f>
        <v/>
      </c>
      <c r="C141">
        <f>DAY($A141)</f>
        <v/>
      </c>
      <c r="D141">
        <f>DAY(EOMONTH($A141,0))</f>
        <v/>
      </c>
      <c r="E141" s="54">
        <f>DATE(YEAR($A141),MONTH($A141),1)</f>
        <v/>
      </c>
      <c r="F141" s="55">
        <f>SUMIFS(tblMovement[Tonnes_t],tblMovement[Date],$A141,tblMovement[Is_Ore],1,tblMovement[Source_Type],"Pit")</f>
        <v/>
      </c>
      <c r="G141" s="55">
        <f>IF($B141=$B140,$G140,0)+$F141</f>
        <v/>
      </c>
      <c r="H141" s="55">
        <f>$H140+$F141</f>
        <v/>
      </c>
      <c r="I141" s="55">
        <f>SUMIFS(tblMovement[Ore_oz],tblMovement[Date],$A141,tblMovement[Source_Type],"Pit")</f>
        <v/>
      </c>
      <c r="J141" s="55">
        <f>IF($B141=$B140,$J140,0)+$I141</f>
        <v/>
      </c>
      <c r="K141" s="55">
        <f>$K140+$I141</f>
        <v/>
      </c>
      <c r="L141" s="55">
        <f>SUMIFS(tblMovement[Tonnes_t],tblMovement[Date],$A141,tblMovement[Is_Ore],1,tblMovement[Source_Type],"Pit",tblMovement[Grade_gpt],"&lt;&gt;")</f>
        <v/>
      </c>
      <c r="M141" s="55">
        <f>IF($B141=$B140,$M140,0)+$L141</f>
        <v/>
      </c>
      <c r="N141" s="55">
        <f>$N140+$L141</f>
        <v/>
      </c>
      <c r="O141" s="56">
        <f>IFERROR(IF(($L141)&gt;0,($I141*cfg_TroyOz)/($L141),""),"")</f>
        <v/>
      </c>
      <c r="P141" s="56">
        <f>IFERROR(IF(($M141)&gt;0,($J141*cfg_TroyOz)/($M141),""),"")</f>
        <v/>
      </c>
      <c r="Q141" s="56">
        <f>IFERROR(IF(($N141)&gt;0,($K141*cfg_TroyOz)/($N141),""),"")</f>
        <v/>
      </c>
      <c r="R141" s="55">
        <f>$F141-$L141</f>
        <v/>
      </c>
      <c r="S141" s="55">
        <f>IF($B141=$B140,$S140,0)+$R141</f>
        <v/>
      </c>
      <c r="T141" s="55">
        <f>$T140+$R141</f>
        <v/>
      </c>
      <c r="U141" s="55">
        <f>SUMIFS(tblMovement[Tonnes_t],tblMovement[Date],$A141,tblMovement[Is_Ore],0,tblMovement[Source_Type],"Pit")</f>
        <v/>
      </c>
      <c r="V141" s="55">
        <f>IF($B141=$B140,$V140,0)+$U141</f>
        <v/>
      </c>
      <c r="W141" s="55">
        <f>$W140+$U141</f>
        <v/>
      </c>
      <c r="X141" s="55">
        <f>$F141+$U141</f>
        <v/>
      </c>
      <c r="Y141" s="55">
        <f>IF($B141=$B140,$Y140,0)+$X141</f>
        <v/>
      </c>
      <c r="Z141" s="55">
        <f>$Z140+$X141</f>
        <v/>
      </c>
      <c r="AA141" s="56">
        <f>IFERROR(IF(($F141)&gt;0,($U141)/($F141),""),"")</f>
        <v/>
      </c>
      <c r="AB141" s="56">
        <f>IFERROR(IF(($G141)&gt;0,($V141)/($G141),""),"")</f>
        <v/>
      </c>
      <c r="AC141" s="56">
        <f>IFERROR(IF(($H141)&gt;0,($W141)/($H141),""),"")</f>
        <v/>
      </c>
      <c r="AD141" s="55">
        <f>SUMIFS(tblMovement[Tonnes_t],tblMovement[Date],$A141,tblMovement[Source_Type],"Stockpile")</f>
        <v/>
      </c>
      <c r="AE141" s="55">
        <f>IF($B141=$B140,$AE140,0)+$AD141</f>
        <v/>
      </c>
      <c r="AF141" s="55">
        <f>$AF140+$AD141</f>
        <v/>
      </c>
      <c r="AG141" s="55">
        <f>SUMIFS(tblMovement[Tonnes_t],tblMovement[Date],$A141)</f>
        <v/>
      </c>
      <c r="AH141" s="55">
        <f>IF($B141=$B140,$AH140,0)+$AG141</f>
        <v/>
      </c>
      <c r="AI141" s="55">
        <f>$AI140+$AG141</f>
        <v/>
      </c>
      <c r="AJ141" s="55">
        <f>$AG141-$X141-$AD141</f>
        <v/>
      </c>
      <c r="AK141" s="55">
        <f>IF($B141=$B140,$AK140,0)+$AJ141</f>
        <v/>
      </c>
      <c r="AL141" s="55">
        <f>$AL140+$AJ141</f>
        <v/>
      </c>
      <c r="AM141" s="55">
        <f>SUMIFS(tblMiningDaily[Drill_m],tblMiningDaily[Date],$A141)</f>
        <v/>
      </c>
      <c r="AN141" s="55">
        <f>IF($B141=$B140,$AN140,0)+$AM141</f>
        <v/>
      </c>
      <c r="AO141" s="55">
        <f>$AO140+$AM141</f>
        <v/>
      </c>
      <c r="AP141" s="55">
        <f>SUMIFS(tblMiningDaily[GC_Drill_m],tblMiningDaily[Date],$A141)</f>
        <v/>
      </c>
      <c r="AQ141" s="55">
        <f>IF($B141=$B140,$AQ140,0)+$AP141</f>
        <v/>
      </c>
      <c r="AR141" s="55">
        <f>$AR140+$AP141</f>
        <v/>
      </c>
      <c r="AS141" s="55">
        <f>SUMIFS(tblMiningDaily[Blast_t],tblMiningDaily[Date],$A141)</f>
        <v/>
      </c>
      <c r="AT141" s="55">
        <f>IF($B141=$B140,$AT140,0)+$AS141</f>
        <v/>
      </c>
      <c r="AU141" s="55">
        <f>$AU140+$AS141</f>
        <v/>
      </c>
      <c r="AV141" s="55">
        <f>SUMIFS(tblMiningDaily[Explosives_kg],tblMiningDaily[Date],$A141)</f>
        <v/>
      </c>
      <c r="AW141" s="55">
        <f>IF($B141=$B140,$AW140,0)+$AV141</f>
        <v/>
      </c>
      <c r="AX141" s="55">
        <f>$AX140+$AV141</f>
        <v/>
      </c>
      <c r="AY141" s="56">
        <f>IFERROR(IF(($AS141)&gt;0,($AV141)/($AS141),""),"")</f>
        <v/>
      </c>
      <c r="AZ141" s="56">
        <f>IFERROR(IF(($AT141)&gt;0,($AW141)/($AT141),""),"")</f>
        <v/>
      </c>
      <c r="BA141" s="56">
        <f>IFERROR(IF(($AU141)&gt;0,($AX141)/($AU141),""),"")</f>
        <v/>
      </c>
      <c r="BB141" s="55">
        <f>SUMIFS(tblMiningDaily[Diesel_L],tblMiningDaily[Date],$A141)</f>
        <v/>
      </c>
      <c r="BC141" s="55">
        <f>IF($B141=$B140,$BC140,0)+$BB141</f>
        <v/>
      </c>
      <c r="BD141" s="55">
        <f>$BD140+$BB141</f>
        <v/>
      </c>
      <c r="BE141" s="55">
        <f>SUMIFS(tblMiningDaily[Dewatering_m3],tblMiningDaily[Date],$A141)</f>
        <v/>
      </c>
      <c r="BF141" s="55">
        <f>IF($B141=$B140,$BF140,0)+$BE141</f>
        <v/>
      </c>
      <c r="BG141" s="55">
        <f>$BG140+$BE141</f>
        <v/>
      </c>
      <c r="BH141" s="57">
        <f>SUMIFS(tblFleet[Calendar_h],tblFleet[Date],$A141,tblFleet[Equipment_Class],"Excavator")</f>
        <v/>
      </c>
      <c r="BI141" s="57">
        <f>IF($B141=$B140,$BI140,0)+$BH141</f>
        <v/>
      </c>
      <c r="BJ141" s="57">
        <f>$BJ140+$BH141</f>
        <v/>
      </c>
      <c r="BK141" s="57">
        <f>SUMIFS(tblFleet[Available_h],tblFleet[Date],$A141,tblFleet[Equipment_Class],"Excavator")</f>
        <v/>
      </c>
      <c r="BL141" s="57">
        <f>IF($B141=$B140,$BL140,0)+$BK141</f>
        <v/>
      </c>
      <c r="BM141" s="57">
        <f>$BM140+$BK141</f>
        <v/>
      </c>
      <c r="BN141" s="57">
        <f>SUMIFS(tblFleet[Operating_h],tblFleet[Date],$A141,tblFleet[Equipment_Class],"Excavator")</f>
        <v/>
      </c>
      <c r="BO141" s="57">
        <f>IF($B141=$B140,$BO140,0)+$BN141</f>
        <v/>
      </c>
      <c r="BP141" s="57">
        <f>$BP140+$BN141</f>
        <v/>
      </c>
      <c r="BQ141" s="67">
        <f>IFERROR(IF(($BH141)&gt;0,($BK141)/($BH141),""),"")</f>
        <v/>
      </c>
      <c r="BR141" s="67">
        <f>IFERROR(IF(($BI141)&gt;0,($BL141)/($BI141),""),"")</f>
        <v/>
      </c>
      <c r="BS141" s="67">
        <f>IFERROR(IF(($BJ141)&gt;0,($BM141)/($BJ141),""),"")</f>
        <v/>
      </c>
      <c r="BT141" s="67">
        <f>IFERROR(IF(($BK141)&gt;0,($BN141)/($BK141),""),"")</f>
        <v/>
      </c>
      <c r="BU141" s="67">
        <f>IFERROR(IF(($BL141)&gt;0,($BO141)/($BL141),""),"")</f>
        <v/>
      </c>
      <c r="BV141" s="67">
        <f>IFERROR(IF(($BM141)&gt;0,($BP141)/($BM141),""),"")</f>
        <v/>
      </c>
      <c r="BW141" s="57">
        <f>SUMIFS(tblFleet[Calendar_h],tblFleet[Date],$A141,tblFleet[Equipment_Class],"Haul Truck")</f>
        <v/>
      </c>
      <c r="BX141" s="57">
        <f>IF($B141=$B140,$BX140,0)+$BW141</f>
        <v/>
      </c>
      <c r="BY141" s="57">
        <f>$BY140+$BW141</f>
        <v/>
      </c>
      <c r="BZ141" s="57">
        <f>SUMIFS(tblFleet[Available_h],tblFleet[Date],$A141,tblFleet[Equipment_Class],"Haul Truck")</f>
        <v/>
      </c>
      <c r="CA141" s="57">
        <f>IF($B141=$B140,$CA140,0)+$BZ141</f>
        <v/>
      </c>
      <c r="CB141" s="57">
        <f>$CB140+$BZ141</f>
        <v/>
      </c>
      <c r="CC141" s="57">
        <f>SUMIFS(tblFleet[Operating_h],tblFleet[Date],$A141,tblFleet[Equipment_Class],"Haul Truck")</f>
        <v/>
      </c>
      <c r="CD141" s="57">
        <f>IF($B141=$B140,$CD140,0)+$CC141</f>
        <v/>
      </c>
      <c r="CE141" s="57">
        <f>$CE140+$CC141</f>
        <v/>
      </c>
      <c r="CF141" s="67">
        <f>IFERROR(IF(($BW141)&gt;0,($BZ141)/($BW141),""),"")</f>
        <v/>
      </c>
      <c r="CG141" s="67">
        <f>IFERROR(IF(($BX141)&gt;0,($CA141)/($BX141),""),"")</f>
        <v/>
      </c>
      <c r="CH141" s="67">
        <f>IFERROR(IF(($BY141)&gt;0,($CB141)/($BY141),""),"")</f>
        <v/>
      </c>
      <c r="CI141" s="67">
        <f>IFERROR(IF(($BZ141)&gt;0,($CC141)/($BZ141),""),"")</f>
        <v/>
      </c>
      <c r="CJ141" s="67">
        <f>IFERROR(IF(($CA141)&gt;0,($CD141)/($CA141),""),"")</f>
        <v/>
      </c>
      <c r="CK141" s="67">
        <f>IFERROR(IF(($CB141)&gt;0,($CE141)/($CB141),""),"")</f>
        <v/>
      </c>
      <c r="CL141" s="55">
        <f>IFERROR(IF(($BN141)&gt;0,($X141+$AD141)/($BN141),""),"")</f>
        <v/>
      </c>
      <c r="CM141" s="55">
        <f>IFERROR(IF(($BO141)&gt;0,($Y141+$AE141)/($BO141),""),"")</f>
        <v/>
      </c>
      <c r="CN141" s="55">
        <f>IFERROR(IF(($BP141)&gt;0,($Z141+$AF141)/($BP141),""),"")</f>
        <v/>
      </c>
      <c r="CO141" s="55">
        <f>IFERROR(IF(($CC141)&gt;0,($X141+$AD141)/($CC141),""),"")</f>
        <v/>
      </c>
      <c r="CP141" s="55">
        <f>IFERROR(IF(($CD141)&gt;0,($Y141+$AE141)/($CD141),""),"")</f>
        <v/>
      </c>
      <c r="CQ141" s="55">
        <f>IFERROR(IF(($CE141)&gt;0,($Z141+$AF141)/($CE141),""),"")</f>
        <v/>
      </c>
      <c r="CR141" s="55">
        <f>SUMIFS(tblPlant[Crushed_t],tblPlant[Date],$A141)</f>
        <v/>
      </c>
      <c r="CS141" s="55">
        <f>IF($B141=$B140,$CS140,0)+$CR141</f>
        <v/>
      </c>
      <c r="CT141" s="55">
        <f>$CT140+$CR141</f>
        <v/>
      </c>
      <c r="CU141" s="55">
        <f>SUMIFS(tblPlant[Milled_t],tblPlant[Date],$A141)</f>
        <v/>
      </c>
      <c r="CV141" s="55">
        <f>IF($B141=$B140,$CV140,0)+$CU141</f>
        <v/>
      </c>
      <c r="CW141" s="55">
        <f>$CW140+$CU141</f>
        <v/>
      </c>
      <c r="CX141" s="55">
        <f>SUMIFS(tblPlant[Feed_oz],tblPlant[Date],$A141)</f>
        <v/>
      </c>
      <c r="CY141" s="55">
        <f>IF($B141=$B140,$CY140,0)+$CX141</f>
        <v/>
      </c>
      <c r="CZ141" s="55">
        <f>$CZ140+$CX141</f>
        <v/>
      </c>
      <c r="DA141" s="55">
        <f>SUMIFS(tblPlant[Tails_oz],tblPlant[Date],$A141)</f>
        <v/>
      </c>
      <c r="DB141" s="55">
        <f>IF($B141=$B140,$DB140,0)+$DA141</f>
        <v/>
      </c>
      <c r="DC141" s="55">
        <f>$DC140+$DA141</f>
        <v/>
      </c>
      <c r="DD141" s="55">
        <f>SUMIFS(tblPlant[Recovered_oz],tblPlant[Date],$A141)</f>
        <v/>
      </c>
      <c r="DE141" s="55">
        <f>IF($B141=$B140,$DE140,0)+$DD141</f>
        <v/>
      </c>
      <c r="DF141" s="55">
        <f>$DF140+$DD141</f>
        <v/>
      </c>
      <c r="DG141" s="55">
        <f>SUMIFS(tblPlant[Milled_t],tblPlant[Date],$A141,tblPlant[Head_Grade_gpt],"&lt;&gt;")</f>
        <v/>
      </c>
      <c r="DH141" s="55">
        <f>IF($B141=$B140,$DH140,0)+$DG141</f>
        <v/>
      </c>
      <c r="DI141" s="55">
        <f>$DI140+$DG141</f>
        <v/>
      </c>
      <c r="DJ141" s="55">
        <f>SUMIFS(tblPlant[Milled_t],tblPlant[Date],$A141,tblPlant[Tails_Grade_gpt],"&lt;&gt;")</f>
        <v/>
      </c>
      <c r="DK141" s="55">
        <f>IF($B141=$B140,$DK140,0)+$DJ141</f>
        <v/>
      </c>
      <c r="DL141" s="55">
        <f>$DL140+$DJ141</f>
        <v/>
      </c>
      <c r="DM141" s="55">
        <f>SUMIFS(tblPlant[Feed_oz],tblPlant[Date],$A141,tblPlant[Tails_Grade_gpt],"&lt;&gt;")</f>
        <v/>
      </c>
      <c r="DN141" s="55">
        <f>IF($B141=$B140,$DN140,0)+$DM141</f>
        <v/>
      </c>
      <c r="DO141" s="55">
        <f>$DO140+$DM141</f>
        <v/>
      </c>
      <c r="DP141" s="55">
        <f>SUMIFS(tblPlant[Milled_t],tblPlant[Date],$A141,tblPlant[Mill_Run_h],"&lt;&gt;")</f>
        <v/>
      </c>
      <c r="DQ141" s="55">
        <f>IF($B141=$B140,$DQ140,0)+$DP141</f>
        <v/>
      </c>
      <c r="DR141" s="55">
        <f>$DR140+$DP141</f>
        <v/>
      </c>
      <c r="DS141" s="56">
        <f>IFERROR(IF(($DG141)&gt;0,($CX141*cfg_TroyOz)/($DG141),""),"")</f>
        <v/>
      </c>
      <c r="DT141" s="56">
        <f>IFERROR(IF(($DH141)&gt;0,($CY141*cfg_TroyOz)/($DH141),""),"")</f>
        <v/>
      </c>
      <c r="DU141" s="56">
        <f>IFERROR(IF(($DI141)&gt;0,($CZ141*cfg_TroyOz)/($DI141),""),"")</f>
        <v/>
      </c>
      <c r="DV141" s="56">
        <f>IFERROR(IF(($DJ141)&gt;0,($DA141*cfg_TroyOz)/($DJ141),""),"")</f>
        <v/>
      </c>
      <c r="DW141" s="56">
        <f>IFERROR(IF(($DK141)&gt;0,($DB141*cfg_TroyOz)/($DK141),""),"")</f>
        <v/>
      </c>
      <c r="DX141" s="56">
        <f>IFERROR(IF(($DL141)&gt;0,($DC141*cfg_TroyOz)/($DL141),""),"")</f>
        <v/>
      </c>
      <c r="DY141" s="67">
        <f>IFERROR(IF(($DM141)&gt;0,($DD141)/($DM141),""),"")</f>
        <v/>
      </c>
      <c r="DZ141" s="67">
        <f>IFERROR(IF(($DN141)&gt;0,($DE141)/($DN141),""),"")</f>
        <v/>
      </c>
      <c r="EA141" s="67">
        <f>IFERROR(IF(($DO141)&gt;0,($DF141)/($DO141),""),"")</f>
        <v/>
      </c>
      <c r="EB141" s="55">
        <f>SUMIFS(tblPlant[Gravity_Gold_oz],tblPlant[Date],$A141)</f>
        <v/>
      </c>
      <c r="EC141" s="55">
        <f>IF($B141=$B140,$EC140,0)+$EB141</f>
        <v/>
      </c>
      <c r="ED141" s="55">
        <f>$ED140+$EB141</f>
        <v/>
      </c>
      <c r="EE141" s="67">
        <f>IFERROR(IF(($DD141)&gt;0,($EB141)/($DD141),""),"")</f>
        <v/>
      </c>
      <c r="EF141" s="67">
        <f>IFERROR(IF(($DE141)&gt;0,($EC141)/($DE141),""),"")</f>
        <v/>
      </c>
      <c r="EG141" s="67">
        <f>IFERROR(IF(($DF141)&gt;0,($ED141)/($DF141),""),"")</f>
        <v/>
      </c>
      <c r="EH141" s="55">
        <f>SUMIFS(tblPlant[Gold_Poured_oz],tblPlant[Date],$A141)</f>
        <v/>
      </c>
      <c r="EI141" s="55">
        <f>IF($B141=$B140,$EI140,0)+$EH141</f>
        <v/>
      </c>
      <c r="EJ141" s="55">
        <f>$EJ140+$EH141</f>
        <v/>
      </c>
      <c r="EK141" s="57">
        <f>SUMIFS(tblPlant[Mill_Run_h],tblPlant[Date],$A141)</f>
        <v/>
      </c>
      <c r="EL141" s="57">
        <f>IF($B141=$B140,$EL140,0)+$EK141</f>
        <v/>
      </c>
      <c r="EM141" s="57">
        <f>$EM140+$EK141</f>
        <v/>
      </c>
      <c r="EN141" s="57">
        <f>SUMIFS(tblPlant[Mill_Planned_Maint_h],tblPlant[Date],$A141)</f>
        <v/>
      </c>
      <c r="EO141" s="57">
        <f>IF($B141=$B140,$EO140,0)+$EN141</f>
        <v/>
      </c>
      <c r="EP141" s="57">
        <f>$EP140+$EN141</f>
        <v/>
      </c>
      <c r="EQ141" s="57">
        <f>SUMIFS(tblPlant[Mill_Unplanned_Down_h],tblPlant[Date],$A141)</f>
        <v/>
      </c>
      <c r="ER141" s="57">
        <f>IF($B141=$B140,$ER140,0)+$EQ141</f>
        <v/>
      </c>
      <c r="ES141" s="57">
        <f>$ES140+$EQ141</f>
        <v/>
      </c>
      <c r="ET141" s="57">
        <f>IF(COUNTIFS(tblPlant[Date],$A141,tblPlant[Mill_Run_h],"&lt;&gt;")+COUNTIFS(tblPlant[Date],$A141,tblPlant[Mill_Planned_Maint_h],"&lt;&gt;")+COUNTIFS(tblPlant[Date],$A141,tblPlant[Mill_Unplanned_Down_h],"&lt;&gt;")&gt;0,cfg_HoursPerDay,0)</f>
        <v/>
      </c>
      <c r="EU141" s="57">
        <f>IF($B141=$B140,$EU140,0)+$ET141</f>
        <v/>
      </c>
      <c r="EV141" s="57">
        <f>$EV140+$ET141</f>
        <v/>
      </c>
      <c r="EW141" s="57">
        <f>SUMIFS(tblPlant[Crusher_Run_h],tblPlant[Date],$A141)</f>
        <v/>
      </c>
      <c r="EX141" s="57">
        <f>IF($B141=$B140,$EX140,0)+$EW141</f>
        <v/>
      </c>
      <c r="EY141" s="57">
        <f>$EY140+$EW141</f>
        <v/>
      </c>
      <c r="EZ141" s="55">
        <f>IFERROR(IF(($EK141)&gt;0,($DP141)/($EK141),""),"")</f>
        <v/>
      </c>
      <c r="FA141" s="55">
        <f>IFERROR(IF(($EL141)&gt;0,($DQ141)/($EL141),""),"")</f>
        <v/>
      </c>
      <c r="FB141" s="55">
        <f>IFERROR(IF(($EM141)&gt;0,($DR141)/($EM141),""),"")</f>
        <v/>
      </c>
      <c r="FC141" s="67">
        <f>IFERROR(IF(($ET141)&gt;0,($ET141-$EN141-$EQ141)/($ET141),""),"")</f>
        <v/>
      </c>
      <c r="FD141" s="67">
        <f>IFERROR(IF(($EU141)&gt;0,($EU141-$EO141-$ER141)/($EU141),""),"")</f>
        <v/>
      </c>
      <c r="FE141" s="67">
        <f>IFERROR(IF(($EV141)&gt;0,($EV141-$EP141-$ES141)/($EV141),""),"")</f>
        <v/>
      </c>
      <c r="FF141" s="67">
        <f>IFERROR(IF(($ET141-$EN141-$EQ141)&gt;0,($EK141)/($ET141-$EN141-$EQ141),""),"")</f>
        <v/>
      </c>
      <c r="FG141" s="67">
        <f>IFERROR(IF(($EU141-$EO141-$ER141)&gt;0,($EL141)/($EU141-$EO141-$ER141),""),"")</f>
        <v/>
      </c>
      <c r="FH141" s="67">
        <f>IFERROR(IF(($EV141-$EP141-$ES141)&gt;0,($EM141)/($EV141-$EP141-$ES141),""),"")</f>
        <v/>
      </c>
      <c r="FI141" s="55">
        <f>SUMIFS(tblPlant[Cyanide_kg],tblPlant[Date],$A141)</f>
        <v/>
      </c>
      <c r="FJ141" s="55">
        <f>IF($B141=$B140,$FJ140,0)+$FI141</f>
        <v/>
      </c>
      <c r="FK141" s="55">
        <f>$FK140+$FI141</f>
        <v/>
      </c>
      <c r="FL141" s="55">
        <f>SUMIFS(tblPlant[Lime_kg],tblPlant[Date],$A141)</f>
        <v/>
      </c>
      <c r="FM141" s="55">
        <f>IF($B141=$B140,$FM140,0)+$FL141</f>
        <v/>
      </c>
      <c r="FN141" s="55">
        <f>$FN140+$FL141</f>
        <v/>
      </c>
      <c r="FO141" s="55">
        <f>SUMIFS(tblPlant[Grinding_Media_kg],tblPlant[Date],$A141)</f>
        <v/>
      </c>
      <c r="FP141" s="55">
        <f>IF($B141=$B140,$FP140,0)+$FO141</f>
        <v/>
      </c>
      <c r="FQ141" s="55">
        <f>$FQ140+$FO141</f>
        <v/>
      </c>
      <c r="FR141" s="55">
        <f>SUMIFS(tblPlant[Power_kWh],tblPlant[Date],$A141)</f>
        <v/>
      </c>
      <c r="FS141" s="55">
        <f>IF($B141=$B140,$FS140,0)+$FR141</f>
        <v/>
      </c>
      <c r="FT141" s="55">
        <f>$FT140+$FR141</f>
        <v/>
      </c>
      <c r="FU141" s="55">
        <f>SUMIFS(tblPlant[Raw_Water_m3],tblPlant[Date],$A141)</f>
        <v/>
      </c>
      <c r="FV141" s="55">
        <f>IF($B141=$B140,$FV140,0)+$FU141</f>
        <v/>
      </c>
      <c r="FW141" s="55">
        <f>$FW140+$FU141</f>
        <v/>
      </c>
      <c r="FX141" s="56">
        <f>IFERROR(IF(($CU141)&gt;0,($FI141)/($CU141),""),"")</f>
        <v/>
      </c>
      <c r="FY141" s="56">
        <f>IFERROR(IF(($CV141)&gt;0,($FJ141)/($CV141),""),"")</f>
        <v/>
      </c>
      <c r="FZ141" s="56">
        <f>IFERROR(IF(($CW141)&gt;0,($FK141)/($CW141),""),"")</f>
        <v/>
      </c>
      <c r="GA141" s="56">
        <f>IFERROR(IF(($CU141)&gt;0,($FL141)/($CU141),""),"")</f>
        <v/>
      </c>
      <c r="GB141" s="56">
        <f>IFERROR(IF(($CV141)&gt;0,($FM141)/($CV141),""),"")</f>
        <v/>
      </c>
      <c r="GC141" s="56">
        <f>IFERROR(IF(($CW141)&gt;0,($FN141)/($CW141),""),"")</f>
        <v/>
      </c>
      <c r="GD141" s="56">
        <f>IFERROR(IF(($CU141)&gt;0,($FO141)/($CU141),""),"")</f>
        <v/>
      </c>
      <c r="GE141" s="56">
        <f>IFERROR(IF(($CV141)&gt;0,($FP141)/($CV141),""),"")</f>
        <v/>
      </c>
      <c r="GF141" s="56">
        <f>IFERROR(IF(($CW141)&gt;0,($FQ141)/($CW141),""),"")</f>
        <v/>
      </c>
      <c r="GG141" s="79">
        <f>IFERROR(IF(($CU141)&gt;0,($FR141)/($CU141),""),"")</f>
        <v/>
      </c>
      <c r="GH141" s="79">
        <f>IFERROR(IF(($CV141)&gt;0,($FS141)/($CV141),""),"")</f>
        <v/>
      </c>
      <c r="GI141" s="79">
        <f>IFERROR(IF(($CW141)&gt;0,($FT141)/($CW141),""),"")</f>
        <v/>
      </c>
      <c r="GJ141" s="56">
        <f>IFERROR(IF(($CU141)&gt;0,($FU141)/($CU141),""),"")</f>
        <v/>
      </c>
      <c r="GK141" s="56">
        <f>IFERROR(IF(($CV141)&gt;0,($FV141)/($CV141),""),"")</f>
        <v/>
      </c>
      <c r="GL141" s="56">
        <f>IFERROR(IF(($CW141)&gt;0,($FW141)/($CW141),""),"")</f>
        <v/>
      </c>
      <c r="GM141" s="55">
        <f>IF(SUMIFS(tblPlant[GIC_oz],tblPlant[Date],$A141)&gt;0,SUMIFS(tblPlant[GIC_oz],tblPlant[Date],$A141),"")</f>
        <v/>
      </c>
      <c r="GN141" s="55">
        <f>SUMIFS(tblGold[Gold_oz],tblGold[Date],$A141,tblGold[Type],"Shipment")</f>
        <v/>
      </c>
      <c r="GO141" s="55">
        <f>IF($B141=$B140,$GO140,0)+$GN141</f>
        <v/>
      </c>
      <c r="GP141" s="55">
        <f>$GP140+$GN141</f>
        <v/>
      </c>
      <c r="GQ141" s="55">
        <f>SUMIFS(tblGold[Gold_oz],tblGold[Date],$A141,tblGold[Type],"Sale")</f>
        <v/>
      </c>
      <c r="GR141" s="55">
        <f>IF($B141=$B140,$GR140,0)+$GQ141</f>
        <v/>
      </c>
      <c r="GS141" s="55">
        <f>$GS140+$GQ141</f>
        <v/>
      </c>
      <c r="GT141" s="55">
        <f>SUMIFS(tblGold[Dore_kg],tblGold[Date],$A141,tblGold[Type],"Shipment")</f>
        <v/>
      </c>
      <c r="GU141" s="55">
        <f>IF($B141=$B140,$GU140,0)+$GT141</f>
        <v/>
      </c>
      <c r="GV141" s="55">
        <f>$GV140+$GT141</f>
        <v/>
      </c>
      <c r="GW141" s="57">
        <f>SUMIFS(tblSafety[Hours_Total],tblSafety[Date],$A141)</f>
        <v/>
      </c>
      <c r="GX141" s="57">
        <f>IF($B141=$B140,$GX140,0)+$GW141</f>
        <v/>
      </c>
      <c r="GY141" s="57">
        <f>$GY140+$GW141</f>
        <v/>
      </c>
      <c r="GZ141" s="62">
        <f>SUMIFS(tblSafety[Fatality],tblSafety[Date],$A141)</f>
        <v/>
      </c>
      <c r="HA141" s="62">
        <f>IF($B141=$B140,$HA140,0)+$GZ141</f>
        <v/>
      </c>
      <c r="HB141" s="62">
        <f>$HB140+$GZ141</f>
        <v/>
      </c>
      <c r="HC141" s="62">
        <f>SUMIFS(tblSafety[LTI],tblSafety[Date],$A141)</f>
        <v/>
      </c>
      <c r="HD141" s="62">
        <f>IF($B141=$B140,$HD140,0)+$HC141</f>
        <v/>
      </c>
      <c r="HE141" s="62">
        <f>$HE140+$HC141</f>
        <v/>
      </c>
      <c r="HF141" s="62">
        <f>SUMIFS(tblSafety[RWI],tblSafety[Date],$A141)</f>
        <v/>
      </c>
      <c r="HG141" s="62">
        <f>IF($B141=$B140,$HG140,0)+$HF141</f>
        <v/>
      </c>
      <c r="HH141" s="62">
        <f>$HH140+$HF141</f>
        <v/>
      </c>
      <c r="HI141" s="62">
        <f>SUMIFS(tblSafety[MTI],tblSafety[Date],$A141)</f>
        <v/>
      </c>
      <c r="HJ141" s="62">
        <f>IF($B141=$B140,$HJ140,0)+$HI141</f>
        <v/>
      </c>
      <c r="HK141" s="62">
        <f>$HK140+$HI141</f>
        <v/>
      </c>
      <c r="HL141" s="62">
        <f>SUMIFS(tblSafety[FAI],tblSafety[Date],$A141)</f>
        <v/>
      </c>
      <c r="HM141" s="62">
        <f>IF($B141=$B140,$HM140,0)+$HL141</f>
        <v/>
      </c>
      <c r="HN141" s="62">
        <f>$HN140+$HL141</f>
        <v/>
      </c>
      <c r="HO141" s="62">
        <f>SUMIFS(tblSafety[Recordables],tblSafety[Date],$A141)</f>
        <v/>
      </c>
      <c r="HP141" s="62">
        <f>IF($B141=$B140,$HP140,0)+$HO141</f>
        <v/>
      </c>
      <c r="HQ141" s="62">
        <f>$HQ140+$HO141</f>
        <v/>
      </c>
      <c r="HR141" s="62">
        <f>SUMIFS(tblSafety[Near_Miss],tblSafety[Date],$A141)</f>
        <v/>
      </c>
      <c r="HS141" s="62">
        <f>IF($B141=$B140,$HS140,0)+$HR141</f>
        <v/>
      </c>
      <c r="HT141" s="62">
        <f>$HT140+$HR141</f>
        <v/>
      </c>
      <c r="HU141" s="62">
        <f>SUMIFS(tblSafety[Hazard_Reports],tblSafety[Date],$A141)</f>
        <v/>
      </c>
      <c r="HV141" s="62">
        <f>IF($B141=$B140,$HV140,0)+$HU141</f>
        <v/>
      </c>
      <c r="HW141" s="62">
        <f>$HW140+$HU141</f>
        <v/>
      </c>
      <c r="HX141" s="62">
        <f>SUMIFS(tblSafety[HPI],tblSafety[Date],$A141)</f>
        <v/>
      </c>
      <c r="HY141" s="62">
        <f>IF($B141=$B140,$HY140,0)+$HX141</f>
        <v/>
      </c>
      <c r="HZ141" s="62">
        <f>$HZ140+$HX141</f>
        <v/>
      </c>
      <c r="IA141" s="62">
        <f>SUMIFS(tblSafety[Env_Incidents],tblSafety[Date],$A141)</f>
        <v/>
      </c>
      <c r="IB141" s="62">
        <f>IF($B141=$B140,$IB140,0)+$IA141</f>
        <v/>
      </c>
      <c r="IC141" s="62">
        <f>$IC140+$IA141</f>
        <v/>
      </c>
      <c r="ID141" s="62">
        <f>SUMIFS(tblSafety[Community_Incidents],tblSafety[Date],$A141)</f>
        <v/>
      </c>
      <c r="IE141" s="62">
        <f>IF($B141=$B140,$IE140,0)+$ID141</f>
        <v/>
      </c>
      <c r="IF141" s="62">
        <f>$IF140+$ID141</f>
        <v/>
      </c>
      <c r="IG141" s="62">
        <f>SUMIFS(tblSafety[Vehicle_Incidents],tblSafety[Date],$A141)</f>
        <v/>
      </c>
      <c r="IH141" s="62">
        <f>IF($B141=$B140,$IH140,0)+$IG141</f>
        <v/>
      </c>
      <c r="II141" s="62">
        <f>$II140+$IG141</f>
        <v/>
      </c>
      <c r="IJ141" s="62">
        <f>SUMIFS(tblSafety[Toolbox_Talks],tblSafety[Date],$A141)</f>
        <v/>
      </c>
      <c r="IK141" s="62">
        <f>IF($B141=$B140,$IK140,0)+$IJ141</f>
        <v/>
      </c>
      <c r="IL141" s="62">
        <f>$IL140+$IJ141</f>
        <v/>
      </c>
      <c r="IM141" s="62">
        <f>SUMIFS(tblSafety[Inspections],tblSafety[Date],$A141)</f>
        <v/>
      </c>
      <c r="IN141" s="62">
        <f>IF($B141=$B140,$IN140,0)+$IM141</f>
        <v/>
      </c>
      <c r="IO141" s="62">
        <f>$IO140+$IM141</f>
        <v/>
      </c>
      <c r="IP141" s="56">
        <f>IFERROR((SUMIFS(tblSafety[Recordables],tblSafety[Date],"&gt;="&amp;EDATE($E141,-12),tblSafety[Date],"&lt;="&amp;$A141)+SUMIFS(tblSafetyHistory[Recordables],tblSafetyHistory[Month],"&gt;="&amp;EDATE($E141,-12),tblSafetyHistory[Month],"&lt;"&amp;$E141,tblSafetyHistory[Use],1))/(SUMIFS(tblSafety[Hours_Total],tblSafety[Date],"&gt;="&amp;EDATE($E141,-12),tblSafety[Date],"&lt;="&amp;$A141)+SUMIFS(tblSafetyHistory[Hours_Total],tblSafetyHistory[Month],"&gt;="&amp;EDATE($E141,-12),tblSafetyHistory[Month],"&lt;"&amp;$E141,tblSafetyHistory[Use],1))*cfg_RateBasisHours,"")</f>
        <v/>
      </c>
      <c r="IQ141" s="56">
        <f>IFERROR((SUMIFS(tblSafety[LTI],tblSafety[Date],"&gt;="&amp;EDATE($E141,-12),tblSafety[Date],"&lt;="&amp;$A141)+SUMIFS(tblSafetyHistory[LTI],tblSafetyHistory[Month],"&gt;="&amp;EDATE($E141,-12),tblSafetyHistory[Month],"&lt;"&amp;$E141,tblSafetyHistory[Use],1))/(SUMIFS(tblSafety[Hours_Total],tblSafety[Date],"&gt;="&amp;EDATE($E141,-12),tblSafety[Date],"&lt;="&amp;$A141)+SUMIFS(tblSafetyHistory[Hours_Total],tblSafetyHistory[Month],"&gt;="&amp;EDATE($E141,-12),tblSafetyHistory[Month],"&lt;"&amp;$E141,tblSafetyHistory[Use],1))*cfg_RateBasisHours,"")</f>
        <v/>
      </c>
      <c r="IR141" s="62">
        <f>IF(MAX(N(cfg_PriorLTIDate),_xlfn.MAXIFS(tblSafety[Date],tblSafety[LTI],"&gt;0",tblSafety[Date],"&lt;="&amp;$A141))=0,"",$A141-MAX(N(cfg_PriorLTIDate),_xlfn.MAXIFS(tblSafety[Date],tblSafety[LTI],"&gt;0",tblSafety[Date],"&lt;="&amp;$A141)))</f>
        <v/>
      </c>
      <c r="IS141" s="55">
        <f>SUMIFS(tblBudget[Ore_Mined_t],tblBudget[Month],$E141)</f>
        <v/>
      </c>
      <c r="IT141" s="55">
        <f>$IS141*$C141/$D141</f>
        <v/>
      </c>
      <c r="IU141" s="55">
        <f>SUMIFS(tblBudget[Ore_Mined_t],tblBudget[Month],"&lt;"&amp;$E141)+$IT141</f>
        <v/>
      </c>
      <c r="IV141" s="55">
        <f>SUMIFS(tblBudget[Ore_oz],tblBudget[Month],$E141)</f>
        <v/>
      </c>
      <c r="IW141" s="55">
        <f>$IV141*$C141/$D141</f>
        <v/>
      </c>
      <c r="IX141" s="55">
        <f>SUMIFS(tblBudget[Ore_oz],tblBudget[Month],"&lt;"&amp;$E141)+$IW141</f>
        <v/>
      </c>
      <c r="IY141" s="55">
        <f>SUMIFS(tblBudget[Ore_Mined_t],tblBudget[Month],$E141)</f>
        <v/>
      </c>
      <c r="IZ141" s="55">
        <f>$IY141*$C141/$D141</f>
        <v/>
      </c>
      <c r="JA141" s="55">
        <f>SUMIFS(tblBudget[Ore_Mined_t],tblBudget[Month],"&lt;"&amp;$E141)+$IZ141</f>
        <v/>
      </c>
      <c r="JB141" s="56">
        <f>IFERROR(IF(($IY141)&gt;0,($IV141*cfg_TroyOz)/($IY141),""),"")</f>
        <v/>
      </c>
      <c r="JC141" s="56">
        <f>IFERROR(IF(($IZ141)&gt;0,($IW141*cfg_TroyOz)/($IZ141),""),"")</f>
        <v/>
      </c>
      <c r="JD141" s="56">
        <f>IFERROR(IF(($JA141)&gt;0,($IX141*cfg_TroyOz)/($JA141),""),"")</f>
        <v/>
      </c>
      <c r="JE141" s="55">
        <f>SUMIFS(tblBudget[Waste_t],tblBudget[Month],$E141)</f>
        <v/>
      </c>
      <c r="JF141" s="55">
        <f>$JE141*$C141/$D141</f>
        <v/>
      </c>
      <c r="JG141" s="55">
        <f>SUMIFS(tblBudget[Waste_t],tblBudget[Month],"&lt;"&amp;$E141)+$JF141</f>
        <v/>
      </c>
      <c r="JH141" s="55">
        <f>SUMIFS(tblBudget[TMM_t],tblBudget[Month],$E141)</f>
        <v/>
      </c>
      <c r="JI141" s="55">
        <f>$JH141*$C141/$D141</f>
        <v/>
      </c>
      <c r="JJ141" s="55">
        <f>SUMIFS(tblBudget[TMM_t],tblBudget[Month],"&lt;"&amp;$E141)+$JI141</f>
        <v/>
      </c>
      <c r="JK141" s="56">
        <f>IFERROR(IF(($IS141)&gt;0,($JE141)/($IS141),""),"")</f>
        <v/>
      </c>
      <c r="JL141" s="56">
        <f>IFERROR(IF(($IT141)&gt;0,($JF141)/($IT141),""),"")</f>
        <v/>
      </c>
      <c r="JM141" s="56">
        <f>IFERROR(IF(($IU141)&gt;0,($JG141)/($IU141),""),"")</f>
        <v/>
      </c>
      <c r="JN141" s="55">
        <f>SUMIFS(tblBudget[Drill_m],tblBudget[Month],$E141)</f>
        <v/>
      </c>
      <c r="JO141" s="55">
        <f>$JN141*$C141/$D141</f>
        <v/>
      </c>
      <c r="JP141" s="55">
        <f>SUMIFS(tblBudget[Drill_m],tblBudget[Month],"&lt;"&amp;$E141)+$JO141</f>
        <v/>
      </c>
      <c r="JQ141" s="55">
        <f>SUMIFS(tblBudget[Diesel_L],tblBudget[Month],$E141)</f>
        <v/>
      </c>
      <c r="JR141" s="55">
        <f>$JQ141*$C141/$D141</f>
        <v/>
      </c>
      <c r="JS141" s="55">
        <f>SUMIFS(tblBudget[Diesel_L],tblBudget[Month],"&lt;"&amp;$E141)+$JR141</f>
        <v/>
      </c>
      <c r="JT141" s="55">
        <f>SUMIFS(tblBudget[Milled_t],tblBudget[Month],$E141)</f>
        <v/>
      </c>
      <c r="JU141" s="55">
        <f>$JT141*$C141/$D141</f>
        <v/>
      </c>
      <c r="JV141" s="55">
        <f>SUMIFS(tblBudget[Milled_t],tblBudget[Month],"&lt;"&amp;$E141)+$JU141</f>
        <v/>
      </c>
      <c r="JW141" s="55">
        <f>SUMIFS(tblBudget[Feed_oz],tblBudget[Month],$E141)</f>
        <v/>
      </c>
      <c r="JX141" s="55">
        <f>$JW141*$C141/$D141</f>
        <v/>
      </c>
      <c r="JY141" s="55">
        <f>SUMIFS(tblBudget[Feed_oz],tblBudget[Month],"&lt;"&amp;$E141)+$JX141</f>
        <v/>
      </c>
      <c r="JZ141" s="55">
        <f>SUMIFS(tblBudget[Recovered_oz],tblBudget[Month],$E141)</f>
        <v/>
      </c>
      <c r="KA141" s="55">
        <f>$JZ141*$C141/$D141</f>
        <v/>
      </c>
      <c r="KB141" s="55">
        <f>SUMIFS(tblBudget[Recovered_oz],tblBudget[Month],"&lt;"&amp;$E141)+$KA141</f>
        <v/>
      </c>
      <c r="KC141" s="55">
        <f>SUMIFS(tblBudget[Milled_t],tblBudget[Month],$E141)</f>
        <v/>
      </c>
      <c r="KD141" s="55">
        <f>$KC141*$C141/$D141</f>
        <v/>
      </c>
      <c r="KE141" s="55">
        <f>SUMIFS(tblBudget[Milled_t],tblBudget[Month],"&lt;"&amp;$E141)+$KD141</f>
        <v/>
      </c>
      <c r="KF141" s="55">
        <f>SUMIFS(tblBudget[Feed_oz],tblBudget[Month],$E141)</f>
        <v/>
      </c>
      <c r="KG141" s="55">
        <f>$KF141*$C141/$D141</f>
        <v/>
      </c>
      <c r="KH141" s="55">
        <f>SUMIFS(tblBudget[Feed_oz],tblBudget[Month],"&lt;"&amp;$E141)+$KG141</f>
        <v/>
      </c>
      <c r="KI141" s="56">
        <f>IFERROR(IF(($KC141)&gt;0,($JW141*cfg_TroyOz)/($KC141),""),"")</f>
        <v/>
      </c>
      <c r="KJ141" s="56">
        <f>IFERROR(IF(($KD141)&gt;0,($JX141*cfg_TroyOz)/($KD141),""),"")</f>
        <v/>
      </c>
      <c r="KK141" s="56">
        <f>IFERROR(IF(($KE141)&gt;0,($JY141*cfg_TroyOz)/($KE141),""),"")</f>
        <v/>
      </c>
      <c r="KL141" s="67">
        <f>IFERROR(IF(($KF141)&gt;0,($JZ141)/($KF141),""),"")</f>
        <v/>
      </c>
      <c r="KM141" s="67">
        <f>IFERROR(IF(($KG141)&gt;0,($KA141)/($KG141),""),"")</f>
        <v/>
      </c>
      <c r="KN141" s="67">
        <f>IFERROR(IF(($KH141)&gt;0,($KB141)/($KH141),""),"")</f>
        <v/>
      </c>
      <c r="KO141" s="55">
        <f>SUMIFS(tblBudget[Gold_Poured_oz],tblBudget[Month],$E141)</f>
        <v/>
      </c>
      <c r="KP141" s="55">
        <f>$KO141*$C141/$D141</f>
        <v/>
      </c>
      <c r="KQ141" s="55">
        <f>SUMIFS(tblBudget[Gold_Poured_oz],tblBudget[Month],"&lt;"&amp;$E141)+$KP141</f>
        <v/>
      </c>
      <c r="KR141" s="57">
        <f>SUMIFS(tblBudget[Hours_Worked],tblBudget[Month],$E141)</f>
        <v/>
      </c>
      <c r="KS141" s="57">
        <f>$KR141*$C141/$D141</f>
        <v/>
      </c>
      <c r="KT141" s="57">
        <f>SUMIFS(tblBudget[Hours_Worked],tblBudget[Month],"&lt;"&amp;$E141)+$KS141</f>
        <v/>
      </c>
    </row>
    <row r="142">
      <c r="A142" s="54" t="n">
        <v>46163</v>
      </c>
      <c r="B142">
        <f>MONTH($A142)</f>
        <v/>
      </c>
      <c r="C142">
        <f>DAY($A142)</f>
        <v/>
      </c>
      <c r="D142">
        <f>DAY(EOMONTH($A142,0))</f>
        <v/>
      </c>
      <c r="E142" s="54">
        <f>DATE(YEAR($A142),MONTH($A142),1)</f>
        <v/>
      </c>
      <c r="F142" s="55">
        <f>SUMIFS(tblMovement[Tonnes_t],tblMovement[Date],$A142,tblMovement[Is_Ore],1,tblMovement[Source_Type],"Pit")</f>
        <v/>
      </c>
      <c r="G142" s="55">
        <f>IF($B142=$B141,$G141,0)+$F142</f>
        <v/>
      </c>
      <c r="H142" s="55">
        <f>$H141+$F142</f>
        <v/>
      </c>
      <c r="I142" s="55">
        <f>SUMIFS(tblMovement[Ore_oz],tblMovement[Date],$A142,tblMovement[Source_Type],"Pit")</f>
        <v/>
      </c>
      <c r="J142" s="55">
        <f>IF($B142=$B141,$J141,0)+$I142</f>
        <v/>
      </c>
      <c r="K142" s="55">
        <f>$K141+$I142</f>
        <v/>
      </c>
      <c r="L142" s="55">
        <f>SUMIFS(tblMovement[Tonnes_t],tblMovement[Date],$A142,tblMovement[Is_Ore],1,tblMovement[Source_Type],"Pit",tblMovement[Grade_gpt],"&lt;&gt;")</f>
        <v/>
      </c>
      <c r="M142" s="55">
        <f>IF($B142=$B141,$M141,0)+$L142</f>
        <v/>
      </c>
      <c r="N142" s="55">
        <f>$N141+$L142</f>
        <v/>
      </c>
      <c r="O142" s="56">
        <f>IFERROR(IF(($L142)&gt;0,($I142*cfg_TroyOz)/($L142),""),"")</f>
        <v/>
      </c>
      <c r="P142" s="56">
        <f>IFERROR(IF(($M142)&gt;0,($J142*cfg_TroyOz)/($M142),""),"")</f>
        <v/>
      </c>
      <c r="Q142" s="56">
        <f>IFERROR(IF(($N142)&gt;0,($K142*cfg_TroyOz)/($N142),""),"")</f>
        <v/>
      </c>
      <c r="R142" s="55">
        <f>$F142-$L142</f>
        <v/>
      </c>
      <c r="S142" s="55">
        <f>IF($B142=$B141,$S141,0)+$R142</f>
        <v/>
      </c>
      <c r="T142" s="55">
        <f>$T141+$R142</f>
        <v/>
      </c>
      <c r="U142" s="55">
        <f>SUMIFS(tblMovement[Tonnes_t],tblMovement[Date],$A142,tblMovement[Is_Ore],0,tblMovement[Source_Type],"Pit")</f>
        <v/>
      </c>
      <c r="V142" s="55">
        <f>IF($B142=$B141,$V141,0)+$U142</f>
        <v/>
      </c>
      <c r="W142" s="55">
        <f>$W141+$U142</f>
        <v/>
      </c>
      <c r="X142" s="55">
        <f>$F142+$U142</f>
        <v/>
      </c>
      <c r="Y142" s="55">
        <f>IF($B142=$B141,$Y141,0)+$X142</f>
        <v/>
      </c>
      <c r="Z142" s="55">
        <f>$Z141+$X142</f>
        <v/>
      </c>
      <c r="AA142" s="56">
        <f>IFERROR(IF(($F142)&gt;0,($U142)/($F142),""),"")</f>
        <v/>
      </c>
      <c r="AB142" s="56">
        <f>IFERROR(IF(($G142)&gt;0,($V142)/($G142),""),"")</f>
        <v/>
      </c>
      <c r="AC142" s="56">
        <f>IFERROR(IF(($H142)&gt;0,($W142)/($H142),""),"")</f>
        <v/>
      </c>
      <c r="AD142" s="55">
        <f>SUMIFS(tblMovement[Tonnes_t],tblMovement[Date],$A142,tblMovement[Source_Type],"Stockpile")</f>
        <v/>
      </c>
      <c r="AE142" s="55">
        <f>IF($B142=$B141,$AE141,0)+$AD142</f>
        <v/>
      </c>
      <c r="AF142" s="55">
        <f>$AF141+$AD142</f>
        <v/>
      </c>
      <c r="AG142" s="55">
        <f>SUMIFS(tblMovement[Tonnes_t],tblMovement[Date],$A142)</f>
        <v/>
      </c>
      <c r="AH142" s="55">
        <f>IF($B142=$B141,$AH141,0)+$AG142</f>
        <v/>
      </c>
      <c r="AI142" s="55">
        <f>$AI141+$AG142</f>
        <v/>
      </c>
      <c r="AJ142" s="55">
        <f>$AG142-$X142-$AD142</f>
        <v/>
      </c>
      <c r="AK142" s="55">
        <f>IF($B142=$B141,$AK141,0)+$AJ142</f>
        <v/>
      </c>
      <c r="AL142" s="55">
        <f>$AL141+$AJ142</f>
        <v/>
      </c>
      <c r="AM142" s="55">
        <f>SUMIFS(tblMiningDaily[Drill_m],tblMiningDaily[Date],$A142)</f>
        <v/>
      </c>
      <c r="AN142" s="55">
        <f>IF($B142=$B141,$AN141,0)+$AM142</f>
        <v/>
      </c>
      <c r="AO142" s="55">
        <f>$AO141+$AM142</f>
        <v/>
      </c>
      <c r="AP142" s="55">
        <f>SUMIFS(tblMiningDaily[GC_Drill_m],tblMiningDaily[Date],$A142)</f>
        <v/>
      </c>
      <c r="AQ142" s="55">
        <f>IF($B142=$B141,$AQ141,0)+$AP142</f>
        <v/>
      </c>
      <c r="AR142" s="55">
        <f>$AR141+$AP142</f>
        <v/>
      </c>
      <c r="AS142" s="55">
        <f>SUMIFS(tblMiningDaily[Blast_t],tblMiningDaily[Date],$A142)</f>
        <v/>
      </c>
      <c r="AT142" s="55">
        <f>IF($B142=$B141,$AT141,0)+$AS142</f>
        <v/>
      </c>
      <c r="AU142" s="55">
        <f>$AU141+$AS142</f>
        <v/>
      </c>
      <c r="AV142" s="55">
        <f>SUMIFS(tblMiningDaily[Explosives_kg],tblMiningDaily[Date],$A142)</f>
        <v/>
      </c>
      <c r="AW142" s="55">
        <f>IF($B142=$B141,$AW141,0)+$AV142</f>
        <v/>
      </c>
      <c r="AX142" s="55">
        <f>$AX141+$AV142</f>
        <v/>
      </c>
      <c r="AY142" s="56">
        <f>IFERROR(IF(($AS142)&gt;0,($AV142)/($AS142),""),"")</f>
        <v/>
      </c>
      <c r="AZ142" s="56">
        <f>IFERROR(IF(($AT142)&gt;0,($AW142)/($AT142),""),"")</f>
        <v/>
      </c>
      <c r="BA142" s="56">
        <f>IFERROR(IF(($AU142)&gt;0,($AX142)/($AU142),""),"")</f>
        <v/>
      </c>
      <c r="BB142" s="55">
        <f>SUMIFS(tblMiningDaily[Diesel_L],tblMiningDaily[Date],$A142)</f>
        <v/>
      </c>
      <c r="BC142" s="55">
        <f>IF($B142=$B141,$BC141,0)+$BB142</f>
        <v/>
      </c>
      <c r="BD142" s="55">
        <f>$BD141+$BB142</f>
        <v/>
      </c>
      <c r="BE142" s="55">
        <f>SUMIFS(tblMiningDaily[Dewatering_m3],tblMiningDaily[Date],$A142)</f>
        <v/>
      </c>
      <c r="BF142" s="55">
        <f>IF($B142=$B141,$BF141,0)+$BE142</f>
        <v/>
      </c>
      <c r="BG142" s="55">
        <f>$BG141+$BE142</f>
        <v/>
      </c>
      <c r="BH142" s="57">
        <f>SUMIFS(tblFleet[Calendar_h],tblFleet[Date],$A142,tblFleet[Equipment_Class],"Excavator")</f>
        <v/>
      </c>
      <c r="BI142" s="57">
        <f>IF($B142=$B141,$BI141,0)+$BH142</f>
        <v/>
      </c>
      <c r="BJ142" s="57">
        <f>$BJ141+$BH142</f>
        <v/>
      </c>
      <c r="BK142" s="57">
        <f>SUMIFS(tblFleet[Available_h],tblFleet[Date],$A142,tblFleet[Equipment_Class],"Excavator")</f>
        <v/>
      </c>
      <c r="BL142" s="57">
        <f>IF($B142=$B141,$BL141,0)+$BK142</f>
        <v/>
      </c>
      <c r="BM142" s="57">
        <f>$BM141+$BK142</f>
        <v/>
      </c>
      <c r="BN142" s="57">
        <f>SUMIFS(tblFleet[Operating_h],tblFleet[Date],$A142,tblFleet[Equipment_Class],"Excavator")</f>
        <v/>
      </c>
      <c r="BO142" s="57">
        <f>IF($B142=$B141,$BO141,0)+$BN142</f>
        <v/>
      </c>
      <c r="BP142" s="57">
        <f>$BP141+$BN142</f>
        <v/>
      </c>
      <c r="BQ142" s="67">
        <f>IFERROR(IF(($BH142)&gt;0,($BK142)/($BH142),""),"")</f>
        <v/>
      </c>
      <c r="BR142" s="67">
        <f>IFERROR(IF(($BI142)&gt;0,($BL142)/($BI142),""),"")</f>
        <v/>
      </c>
      <c r="BS142" s="67">
        <f>IFERROR(IF(($BJ142)&gt;0,($BM142)/($BJ142),""),"")</f>
        <v/>
      </c>
      <c r="BT142" s="67">
        <f>IFERROR(IF(($BK142)&gt;0,($BN142)/($BK142),""),"")</f>
        <v/>
      </c>
      <c r="BU142" s="67">
        <f>IFERROR(IF(($BL142)&gt;0,($BO142)/($BL142),""),"")</f>
        <v/>
      </c>
      <c r="BV142" s="67">
        <f>IFERROR(IF(($BM142)&gt;0,($BP142)/($BM142),""),"")</f>
        <v/>
      </c>
      <c r="BW142" s="57">
        <f>SUMIFS(tblFleet[Calendar_h],tblFleet[Date],$A142,tblFleet[Equipment_Class],"Haul Truck")</f>
        <v/>
      </c>
      <c r="BX142" s="57">
        <f>IF($B142=$B141,$BX141,0)+$BW142</f>
        <v/>
      </c>
      <c r="BY142" s="57">
        <f>$BY141+$BW142</f>
        <v/>
      </c>
      <c r="BZ142" s="57">
        <f>SUMIFS(tblFleet[Available_h],tblFleet[Date],$A142,tblFleet[Equipment_Class],"Haul Truck")</f>
        <v/>
      </c>
      <c r="CA142" s="57">
        <f>IF($B142=$B141,$CA141,0)+$BZ142</f>
        <v/>
      </c>
      <c r="CB142" s="57">
        <f>$CB141+$BZ142</f>
        <v/>
      </c>
      <c r="CC142" s="57">
        <f>SUMIFS(tblFleet[Operating_h],tblFleet[Date],$A142,tblFleet[Equipment_Class],"Haul Truck")</f>
        <v/>
      </c>
      <c r="CD142" s="57">
        <f>IF($B142=$B141,$CD141,0)+$CC142</f>
        <v/>
      </c>
      <c r="CE142" s="57">
        <f>$CE141+$CC142</f>
        <v/>
      </c>
      <c r="CF142" s="67">
        <f>IFERROR(IF(($BW142)&gt;0,($BZ142)/($BW142),""),"")</f>
        <v/>
      </c>
      <c r="CG142" s="67">
        <f>IFERROR(IF(($BX142)&gt;0,($CA142)/($BX142),""),"")</f>
        <v/>
      </c>
      <c r="CH142" s="67">
        <f>IFERROR(IF(($BY142)&gt;0,($CB142)/($BY142),""),"")</f>
        <v/>
      </c>
      <c r="CI142" s="67">
        <f>IFERROR(IF(($BZ142)&gt;0,($CC142)/($BZ142),""),"")</f>
        <v/>
      </c>
      <c r="CJ142" s="67">
        <f>IFERROR(IF(($CA142)&gt;0,($CD142)/($CA142),""),"")</f>
        <v/>
      </c>
      <c r="CK142" s="67">
        <f>IFERROR(IF(($CB142)&gt;0,($CE142)/($CB142),""),"")</f>
        <v/>
      </c>
      <c r="CL142" s="55">
        <f>IFERROR(IF(($BN142)&gt;0,($X142+$AD142)/($BN142),""),"")</f>
        <v/>
      </c>
      <c r="CM142" s="55">
        <f>IFERROR(IF(($BO142)&gt;0,($Y142+$AE142)/($BO142),""),"")</f>
        <v/>
      </c>
      <c r="CN142" s="55">
        <f>IFERROR(IF(($BP142)&gt;0,($Z142+$AF142)/($BP142),""),"")</f>
        <v/>
      </c>
      <c r="CO142" s="55">
        <f>IFERROR(IF(($CC142)&gt;0,($X142+$AD142)/($CC142),""),"")</f>
        <v/>
      </c>
      <c r="CP142" s="55">
        <f>IFERROR(IF(($CD142)&gt;0,($Y142+$AE142)/($CD142),""),"")</f>
        <v/>
      </c>
      <c r="CQ142" s="55">
        <f>IFERROR(IF(($CE142)&gt;0,($Z142+$AF142)/($CE142),""),"")</f>
        <v/>
      </c>
      <c r="CR142" s="55">
        <f>SUMIFS(tblPlant[Crushed_t],tblPlant[Date],$A142)</f>
        <v/>
      </c>
      <c r="CS142" s="55">
        <f>IF($B142=$B141,$CS141,0)+$CR142</f>
        <v/>
      </c>
      <c r="CT142" s="55">
        <f>$CT141+$CR142</f>
        <v/>
      </c>
      <c r="CU142" s="55">
        <f>SUMIFS(tblPlant[Milled_t],tblPlant[Date],$A142)</f>
        <v/>
      </c>
      <c r="CV142" s="55">
        <f>IF($B142=$B141,$CV141,0)+$CU142</f>
        <v/>
      </c>
      <c r="CW142" s="55">
        <f>$CW141+$CU142</f>
        <v/>
      </c>
      <c r="CX142" s="55">
        <f>SUMIFS(tblPlant[Feed_oz],tblPlant[Date],$A142)</f>
        <v/>
      </c>
      <c r="CY142" s="55">
        <f>IF($B142=$B141,$CY141,0)+$CX142</f>
        <v/>
      </c>
      <c r="CZ142" s="55">
        <f>$CZ141+$CX142</f>
        <v/>
      </c>
      <c r="DA142" s="55">
        <f>SUMIFS(tblPlant[Tails_oz],tblPlant[Date],$A142)</f>
        <v/>
      </c>
      <c r="DB142" s="55">
        <f>IF($B142=$B141,$DB141,0)+$DA142</f>
        <v/>
      </c>
      <c r="DC142" s="55">
        <f>$DC141+$DA142</f>
        <v/>
      </c>
      <c r="DD142" s="55">
        <f>SUMIFS(tblPlant[Recovered_oz],tblPlant[Date],$A142)</f>
        <v/>
      </c>
      <c r="DE142" s="55">
        <f>IF($B142=$B141,$DE141,0)+$DD142</f>
        <v/>
      </c>
      <c r="DF142" s="55">
        <f>$DF141+$DD142</f>
        <v/>
      </c>
      <c r="DG142" s="55">
        <f>SUMIFS(tblPlant[Milled_t],tblPlant[Date],$A142,tblPlant[Head_Grade_gpt],"&lt;&gt;")</f>
        <v/>
      </c>
      <c r="DH142" s="55">
        <f>IF($B142=$B141,$DH141,0)+$DG142</f>
        <v/>
      </c>
      <c r="DI142" s="55">
        <f>$DI141+$DG142</f>
        <v/>
      </c>
      <c r="DJ142" s="55">
        <f>SUMIFS(tblPlant[Milled_t],tblPlant[Date],$A142,tblPlant[Tails_Grade_gpt],"&lt;&gt;")</f>
        <v/>
      </c>
      <c r="DK142" s="55">
        <f>IF($B142=$B141,$DK141,0)+$DJ142</f>
        <v/>
      </c>
      <c r="DL142" s="55">
        <f>$DL141+$DJ142</f>
        <v/>
      </c>
      <c r="DM142" s="55">
        <f>SUMIFS(tblPlant[Feed_oz],tblPlant[Date],$A142,tblPlant[Tails_Grade_gpt],"&lt;&gt;")</f>
        <v/>
      </c>
      <c r="DN142" s="55">
        <f>IF($B142=$B141,$DN141,0)+$DM142</f>
        <v/>
      </c>
      <c r="DO142" s="55">
        <f>$DO141+$DM142</f>
        <v/>
      </c>
      <c r="DP142" s="55">
        <f>SUMIFS(tblPlant[Milled_t],tblPlant[Date],$A142,tblPlant[Mill_Run_h],"&lt;&gt;")</f>
        <v/>
      </c>
      <c r="DQ142" s="55">
        <f>IF($B142=$B141,$DQ141,0)+$DP142</f>
        <v/>
      </c>
      <c r="DR142" s="55">
        <f>$DR141+$DP142</f>
        <v/>
      </c>
      <c r="DS142" s="56">
        <f>IFERROR(IF(($DG142)&gt;0,($CX142*cfg_TroyOz)/($DG142),""),"")</f>
        <v/>
      </c>
      <c r="DT142" s="56">
        <f>IFERROR(IF(($DH142)&gt;0,($CY142*cfg_TroyOz)/($DH142),""),"")</f>
        <v/>
      </c>
      <c r="DU142" s="56">
        <f>IFERROR(IF(($DI142)&gt;0,($CZ142*cfg_TroyOz)/($DI142),""),"")</f>
        <v/>
      </c>
      <c r="DV142" s="56">
        <f>IFERROR(IF(($DJ142)&gt;0,($DA142*cfg_TroyOz)/($DJ142),""),"")</f>
        <v/>
      </c>
      <c r="DW142" s="56">
        <f>IFERROR(IF(($DK142)&gt;0,($DB142*cfg_TroyOz)/($DK142),""),"")</f>
        <v/>
      </c>
      <c r="DX142" s="56">
        <f>IFERROR(IF(($DL142)&gt;0,($DC142*cfg_TroyOz)/($DL142),""),"")</f>
        <v/>
      </c>
      <c r="DY142" s="67">
        <f>IFERROR(IF(($DM142)&gt;0,($DD142)/($DM142),""),"")</f>
        <v/>
      </c>
      <c r="DZ142" s="67">
        <f>IFERROR(IF(($DN142)&gt;0,($DE142)/($DN142),""),"")</f>
        <v/>
      </c>
      <c r="EA142" s="67">
        <f>IFERROR(IF(($DO142)&gt;0,($DF142)/($DO142),""),"")</f>
        <v/>
      </c>
      <c r="EB142" s="55">
        <f>SUMIFS(tblPlant[Gravity_Gold_oz],tblPlant[Date],$A142)</f>
        <v/>
      </c>
      <c r="EC142" s="55">
        <f>IF($B142=$B141,$EC141,0)+$EB142</f>
        <v/>
      </c>
      <c r="ED142" s="55">
        <f>$ED141+$EB142</f>
        <v/>
      </c>
      <c r="EE142" s="67">
        <f>IFERROR(IF(($DD142)&gt;0,($EB142)/($DD142),""),"")</f>
        <v/>
      </c>
      <c r="EF142" s="67">
        <f>IFERROR(IF(($DE142)&gt;0,($EC142)/($DE142),""),"")</f>
        <v/>
      </c>
      <c r="EG142" s="67">
        <f>IFERROR(IF(($DF142)&gt;0,($ED142)/($DF142),""),"")</f>
        <v/>
      </c>
      <c r="EH142" s="55">
        <f>SUMIFS(tblPlant[Gold_Poured_oz],tblPlant[Date],$A142)</f>
        <v/>
      </c>
      <c r="EI142" s="55">
        <f>IF($B142=$B141,$EI141,0)+$EH142</f>
        <v/>
      </c>
      <c r="EJ142" s="55">
        <f>$EJ141+$EH142</f>
        <v/>
      </c>
      <c r="EK142" s="57">
        <f>SUMIFS(tblPlant[Mill_Run_h],tblPlant[Date],$A142)</f>
        <v/>
      </c>
      <c r="EL142" s="57">
        <f>IF($B142=$B141,$EL141,0)+$EK142</f>
        <v/>
      </c>
      <c r="EM142" s="57">
        <f>$EM141+$EK142</f>
        <v/>
      </c>
      <c r="EN142" s="57">
        <f>SUMIFS(tblPlant[Mill_Planned_Maint_h],tblPlant[Date],$A142)</f>
        <v/>
      </c>
      <c r="EO142" s="57">
        <f>IF($B142=$B141,$EO141,0)+$EN142</f>
        <v/>
      </c>
      <c r="EP142" s="57">
        <f>$EP141+$EN142</f>
        <v/>
      </c>
      <c r="EQ142" s="57">
        <f>SUMIFS(tblPlant[Mill_Unplanned_Down_h],tblPlant[Date],$A142)</f>
        <v/>
      </c>
      <c r="ER142" s="57">
        <f>IF($B142=$B141,$ER141,0)+$EQ142</f>
        <v/>
      </c>
      <c r="ES142" s="57">
        <f>$ES141+$EQ142</f>
        <v/>
      </c>
      <c r="ET142" s="57">
        <f>IF(COUNTIFS(tblPlant[Date],$A142,tblPlant[Mill_Run_h],"&lt;&gt;")+COUNTIFS(tblPlant[Date],$A142,tblPlant[Mill_Planned_Maint_h],"&lt;&gt;")+COUNTIFS(tblPlant[Date],$A142,tblPlant[Mill_Unplanned_Down_h],"&lt;&gt;")&gt;0,cfg_HoursPerDay,0)</f>
        <v/>
      </c>
      <c r="EU142" s="57">
        <f>IF($B142=$B141,$EU141,0)+$ET142</f>
        <v/>
      </c>
      <c r="EV142" s="57">
        <f>$EV141+$ET142</f>
        <v/>
      </c>
      <c r="EW142" s="57">
        <f>SUMIFS(tblPlant[Crusher_Run_h],tblPlant[Date],$A142)</f>
        <v/>
      </c>
      <c r="EX142" s="57">
        <f>IF($B142=$B141,$EX141,0)+$EW142</f>
        <v/>
      </c>
      <c r="EY142" s="57">
        <f>$EY141+$EW142</f>
        <v/>
      </c>
      <c r="EZ142" s="55">
        <f>IFERROR(IF(($EK142)&gt;0,($DP142)/($EK142),""),"")</f>
        <v/>
      </c>
      <c r="FA142" s="55">
        <f>IFERROR(IF(($EL142)&gt;0,($DQ142)/($EL142),""),"")</f>
        <v/>
      </c>
      <c r="FB142" s="55">
        <f>IFERROR(IF(($EM142)&gt;0,($DR142)/($EM142),""),"")</f>
        <v/>
      </c>
      <c r="FC142" s="67">
        <f>IFERROR(IF(($ET142)&gt;0,($ET142-$EN142-$EQ142)/($ET142),""),"")</f>
        <v/>
      </c>
      <c r="FD142" s="67">
        <f>IFERROR(IF(($EU142)&gt;0,($EU142-$EO142-$ER142)/($EU142),""),"")</f>
        <v/>
      </c>
      <c r="FE142" s="67">
        <f>IFERROR(IF(($EV142)&gt;0,($EV142-$EP142-$ES142)/($EV142),""),"")</f>
        <v/>
      </c>
      <c r="FF142" s="67">
        <f>IFERROR(IF(($ET142-$EN142-$EQ142)&gt;0,($EK142)/($ET142-$EN142-$EQ142),""),"")</f>
        <v/>
      </c>
      <c r="FG142" s="67">
        <f>IFERROR(IF(($EU142-$EO142-$ER142)&gt;0,($EL142)/($EU142-$EO142-$ER142),""),"")</f>
        <v/>
      </c>
      <c r="FH142" s="67">
        <f>IFERROR(IF(($EV142-$EP142-$ES142)&gt;0,($EM142)/($EV142-$EP142-$ES142),""),"")</f>
        <v/>
      </c>
      <c r="FI142" s="55">
        <f>SUMIFS(tblPlant[Cyanide_kg],tblPlant[Date],$A142)</f>
        <v/>
      </c>
      <c r="FJ142" s="55">
        <f>IF($B142=$B141,$FJ141,0)+$FI142</f>
        <v/>
      </c>
      <c r="FK142" s="55">
        <f>$FK141+$FI142</f>
        <v/>
      </c>
      <c r="FL142" s="55">
        <f>SUMIFS(tblPlant[Lime_kg],tblPlant[Date],$A142)</f>
        <v/>
      </c>
      <c r="FM142" s="55">
        <f>IF($B142=$B141,$FM141,0)+$FL142</f>
        <v/>
      </c>
      <c r="FN142" s="55">
        <f>$FN141+$FL142</f>
        <v/>
      </c>
      <c r="FO142" s="55">
        <f>SUMIFS(tblPlant[Grinding_Media_kg],tblPlant[Date],$A142)</f>
        <v/>
      </c>
      <c r="FP142" s="55">
        <f>IF($B142=$B141,$FP141,0)+$FO142</f>
        <v/>
      </c>
      <c r="FQ142" s="55">
        <f>$FQ141+$FO142</f>
        <v/>
      </c>
      <c r="FR142" s="55">
        <f>SUMIFS(tblPlant[Power_kWh],tblPlant[Date],$A142)</f>
        <v/>
      </c>
      <c r="FS142" s="55">
        <f>IF($B142=$B141,$FS141,0)+$FR142</f>
        <v/>
      </c>
      <c r="FT142" s="55">
        <f>$FT141+$FR142</f>
        <v/>
      </c>
      <c r="FU142" s="55">
        <f>SUMIFS(tblPlant[Raw_Water_m3],tblPlant[Date],$A142)</f>
        <v/>
      </c>
      <c r="FV142" s="55">
        <f>IF($B142=$B141,$FV141,0)+$FU142</f>
        <v/>
      </c>
      <c r="FW142" s="55">
        <f>$FW141+$FU142</f>
        <v/>
      </c>
      <c r="FX142" s="56">
        <f>IFERROR(IF(($CU142)&gt;0,($FI142)/($CU142),""),"")</f>
        <v/>
      </c>
      <c r="FY142" s="56">
        <f>IFERROR(IF(($CV142)&gt;0,($FJ142)/($CV142),""),"")</f>
        <v/>
      </c>
      <c r="FZ142" s="56">
        <f>IFERROR(IF(($CW142)&gt;0,($FK142)/($CW142),""),"")</f>
        <v/>
      </c>
      <c r="GA142" s="56">
        <f>IFERROR(IF(($CU142)&gt;0,($FL142)/($CU142),""),"")</f>
        <v/>
      </c>
      <c r="GB142" s="56">
        <f>IFERROR(IF(($CV142)&gt;0,($FM142)/($CV142),""),"")</f>
        <v/>
      </c>
      <c r="GC142" s="56">
        <f>IFERROR(IF(($CW142)&gt;0,($FN142)/($CW142),""),"")</f>
        <v/>
      </c>
      <c r="GD142" s="56">
        <f>IFERROR(IF(($CU142)&gt;0,($FO142)/($CU142),""),"")</f>
        <v/>
      </c>
      <c r="GE142" s="56">
        <f>IFERROR(IF(($CV142)&gt;0,($FP142)/($CV142),""),"")</f>
        <v/>
      </c>
      <c r="GF142" s="56">
        <f>IFERROR(IF(($CW142)&gt;0,($FQ142)/($CW142),""),"")</f>
        <v/>
      </c>
      <c r="GG142" s="79">
        <f>IFERROR(IF(($CU142)&gt;0,($FR142)/($CU142),""),"")</f>
        <v/>
      </c>
      <c r="GH142" s="79">
        <f>IFERROR(IF(($CV142)&gt;0,($FS142)/($CV142),""),"")</f>
        <v/>
      </c>
      <c r="GI142" s="79">
        <f>IFERROR(IF(($CW142)&gt;0,($FT142)/($CW142),""),"")</f>
        <v/>
      </c>
      <c r="GJ142" s="56">
        <f>IFERROR(IF(($CU142)&gt;0,($FU142)/($CU142),""),"")</f>
        <v/>
      </c>
      <c r="GK142" s="56">
        <f>IFERROR(IF(($CV142)&gt;0,($FV142)/($CV142),""),"")</f>
        <v/>
      </c>
      <c r="GL142" s="56">
        <f>IFERROR(IF(($CW142)&gt;0,($FW142)/($CW142),""),"")</f>
        <v/>
      </c>
      <c r="GM142" s="55">
        <f>IF(SUMIFS(tblPlant[GIC_oz],tblPlant[Date],$A142)&gt;0,SUMIFS(tblPlant[GIC_oz],tblPlant[Date],$A142),"")</f>
        <v/>
      </c>
      <c r="GN142" s="55">
        <f>SUMIFS(tblGold[Gold_oz],tblGold[Date],$A142,tblGold[Type],"Shipment")</f>
        <v/>
      </c>
      <c r="GO142" s="55">
        <f>IF($B142=$B141,$GO141,0)+$GN142</f>
        <v/>
      </c>
      <c r="GP142" s="55">
        <f>$GP141+$GN142</f>
        <v/>
      </c>
      <c r="GQ142" s="55">
        <f>SUMIFS(tblGold[Gold_oz],tblGold[Date],$A142,tblGold[Type],"Sale")</f>
        <v/>
      </c>
      <c r="GR142" s="55">
        <f>IF($B142=$B141,$GR141,0)+$GQ142</f>
        <v/>
      </c>
      <c r="GS142" s="55">
        <f>$GS141+$GQ142</f>
        <v/>
      </c>
      <c r="GT142" s="55">
        <f>SUMIFS(tblGold[Dore_kg],tblGold[Date],$A142,tblGold[Type],"Shipment")</f>
        <v/>
      </c>
      <c r="GU142" s="55">
        <f>IF($B142=$B141,$GU141,0)+$GT142</f>
        <v/>
      </c>
      <c r="GV142" s="55">
        <f>$GV141+$GT142</f>
        <v/>
      </c>
      <c r="GW142" s="57">
        <f>SUMIFS(tblSafety[Hours_Total],tblSafety[Date],$A142)</f>
        <v/>
      </c>
      <c r="GX142" s="57">
        <f>IF($B142=$B141,$GX141,0)+$GW142</f>
        <v/>
      </c>
      <c r="GY142" s="57">
        <f>$GY141+$GW142</f>
        <v/>
      </c>
      <c r="GZ142" s="62">
        <f>SUMIFS(tblSafety[Fatality],tblSafety[Date],$A142)</f>
        <v/>
      </c>
      <c r="HA142" s="62">
        <f>IF($B142=$B141,$HA141,0)+$GZ142</f>
        <v/>
      </c>
      <c r="HB142" s="62">
        <f>$HB141+$GZ142</f>
        <v/>
      </c>
      <c r="HC142" s="62">
        <f>SUMIFS(tblSafety[LTI],tblSafety[Date],$A142)</f>
        <v/>
      </c>
      <c r="HD142" s="62">
        <f>IF($B142=$B141,$HD141,0)+$HC142</f>
        <v/>
      </c>
      <c r="HE142" s="62">
        <f>$HE141+$HC142</f>
        <v/>
      </c>
      <c r="HF142" s="62">
        <f>SUMIFS(tblSafety[RWI],tblSafety[Date],$A142)</f>
        <v/>
      </c>
      <c r="HG142" s="62">
        <f>IF($B142=$B141,$HG141,0)+$HF142</f>
        <v/>
      </c>
      <c r="HH142" s="62">
        <f>$HH141+$HF142</f>
        <v/>
      </c>
      <c r="HI142" s="62">
        <f>SUMIFS(tblSafety[MTI],tblSafety[Date],$A142)</f>
        <v/>
      </c>
      <c r="HJ142" s="62">
        <f>IF($B142=$B141,$HJ141,0)+$HI142</f>
        <v/>
      </c>
      <c r="HK142" s="62">
        <f>$HK141+$HI142</f>
        <v/>
      </c>
      <c r="HL142" s="62">
        <f>SUMIFS(tblSafety[FAI],tblSafety[Date],$A142)</f>
        <v/>
      </c>
      <c r="HM142" s="62">
        <f>IF($B142=$B141,$HM141,0)+$HL142</f>
        <v/>
      </c>
      <c r="HN142" s="62">
        <f>$HN141+$HL142</f>
        <v/>
      </c>
      <c r="HO142" s="62">
        <f>SUMIFS(tblSafety[Recordables],tblSafety[Date],$A142)</f>
        <v/>
      </c>
      <c r="HP142" s="62">
        <f>IF($B142=$B141,$HP141,0)+$HO142</f>
        <v/>
      </c>
      <c r="HQ142" s="62">
        <f>$HQ141+$HO142</f>
        <v/>
      </c>
      <c r="HR142" s="62">
        <f>SUMIFS(tblSafety[Near_Miss],tblSafety[Date],$A142)</f>
        <v/>
      </c>
      <c r="HS142" s="62">
        <f>IF($B142=$B141,$HS141,0)+$HR142</f>
        <v/>
      </c>
      <c r="HT142" s="62">
        <f>$HT141+$HR142</f>
        <v/>
      </c>
      <c r="HU142" s="62">
        <f>SUMIFS(tblSafety[Hazard_Reports],tblSafety[Date],$A142)</f>
        <v/>
      </c>
      <c r="HV142" s="62">
        <f>IF($B142=$B141,$HV141,0)+$HU142</f>
        <v/>
      </c>
      <c r="HW142" s="62">
        <f>$HW141+$HU142</f>
        <v/>
      </c>
      <c r="HX142" s="62">
        <f>SUMIFS(tblSafety[HPI],tblSafety[Date],$A142)</f>
        <v/>
      </c>
      <c r="HY142" s="62">
        <f>IF($B142=$B141,$HY141,0)+$HX142</f>
        <v/>
      </c>
      <c r="HZ142" s="62">
        <f>$HZ141+$HX142</f>
        <v/>
      </c>
      <c r="IA142" s="62">
        <f>SUMIFS(tblSafety[Env_Incidents],tblSafety[Date],$A142)</f>
        <v/>
      </c>
      <c r="IB142" s="62">
        <f>IF($B142=$B141,$IB141,0)+$IA142</f>
        <v/>
      </c>
      <c r="IC142" s="62">
        <f>$IC141+$IA142</f>
        <v/>
      </c>
      <c r="ID142" s="62">
        <f>SUMIFS(tblSafety[Community_Incidents],tblSafety[Date],$A142)</f>
        <v/>
      </c>
      <c r="IE142" s="62">
        <f>IF($B142=$B141,$IE141,0)+$ID142</f>
        <v/>
      </c>
      <c r="IF142" s="62">
        <f>$IF141+$ID142</f>
        <v/>
      </c>
      <c r="IG142" s="62">
        <f>SUMIFS(tblSafety[Vehicle_Incidents],tblSafety[Date],$A142)</f>
        <v/>
      </c>
      <c r="IH142" s="62">
        <f>IF($B142=$B141,$IH141,0)+$IG142</f>
        <v/>
      </c>
      <c r="II142" s="62">
        <f>$II141+$IG142</f>
        <v/>
      </c>
      <c r="IJ142" s="62">
        <f>SUMIFS(tblSafety[Toolbox_Talks],tblSafety[Date],$A142)</f>
        <v/>
      </c>
      <c r="IK142" s="62">
        <f>IF($B142=$B141,$IK141,0)+$IJ142</f>
        <v/>
      </c>
      <c r="IL142" s="62">
        <f>$IL141+$IJ142</f>
        <v/>
      </c>
      <c r="IM142" s="62">
        <f>SUMIFS(tblSafety[Inspections],tblSafety[Date],$A142)</f>
        <v/>
      </c>
      <c r="IN142" s="62">
        <f>IF($B142=$B141,$IN141,0)+$IM142</f>
        <v/>
      </c>
      <c r="IO142" s="62">
        <f>$IO141+$IM142</f>
        <v/>
      </c>
      <c r="IP142" s="56">
        <f>IFERROR((SUMIFS(tblSafety[Recordables],tblSafety[Date],"&gt;="&amp;EDATE($E142,-12),tblSafety[Date],"&lt;="&amp;$A142)+SUMIFS(tblSafetyHistory[Recordables],tblSafetyHistory[Month],"&gt;="&amp;EDATE($E142,-12),tblSafetyHistory[Month],"&lt;"&amp;$E142,tblSafetyHistory[Use],1))/(SUMIFS(tblSafety[Hours_Total],tblSafety[Date],"&gt;="&amp;EDATE($E142,-12),tblSafety[Date],"&lt;="&amp;$A142)+SUMIFS(tblSafetyHistory[Hours_Total],tblSafetyHistory[Month],"&gt;="&amp;EDATE($E142,-12),tblSafetyHistory[Month],"&lt;"&amp;$E142,tblSafetyHistory[Use],1))*cfg_RateBasisHours,"")</f>
        <v/>
      </c>
      <c r="IQ142" s="56">
        <f>IFERROR((SUMIFS(tblSafety[LTI],tblSafety[Date],"&gt;="&amp;EDATE($E142,-12),tblSafety[Date],"&lt;="&amp;$A142)+SUMIFS(tblSafetyHistory[LTI],tblSafetyHistory[Month],"&gt;="&amp;EDATE($E142,-12),tblSafetyHistory[Month],"&lt;"&amp;$E142,tblSafetyHistory[Use],1))/(SUMIFS(tblSafety[Hours_Total],tblSafety[Date],"&gt;="&amp;EDATE($E142,-12),tblSafety[Date],"&lt;="&amp;$A142)+SUMIFS(tblSafetyHistory[Hours_Total],tblSafetyHistory[Month],"&gt;="&amp;EDATE($E142,-12),tblSafetyHistory[Month],"&lt;"&amp;$E142,tblSafetyHistory[Use],1))*cfg_RateBasisHours,"")</f>
        <v/>
      </c>
      <c r="IR142" s="62">
        <f>IF(MAX(N(cfg_PriorLTIDate),_xlfn.MAXIFS(tblSafety[Date],tblSafety[LTI],"&gt;0",tblSafety[Date],"&lt;="&amp;$A142))=0,"",$A142-MAX(N(cfg_PriorLTIDate),_xlfn.MAXIFS(tblSafety[Date],tblSafety[LTI],"&gt;0",tblSafety[Date],"&lt;="&amp;$A142)))</f>
        <v/>
      </c>
      <c r="IS142" s="55">
        <f>SUMIFS(tblBudget[Ore_Mined_t],tblBudget[Month],$E142)</f>
        <v/>
      </c>
      <c r="IT142" s="55">
        <f>$IS142*$C142/$D142</f>
        <v/>
      </c>
      <c r="IU142" s="55">
        <f>SUMIFS(tblBudget[Ore_Mined_t],tblBudget[Month],"&lt;"&amp;$E142)+$IT142</f>
        <v/>
      </c>
      <c r="IV142" s="55">
        <f>SUMIFS(tblBudget[Ore_oz],tblBudget[Month],$E142)</f>
        <v/>
      </c>
      <c r="IW142" s="55">
        <f>$IV142*$C142/$D142</f>
        <v/>
      </c>
      <c r="IX142" s="55">
        <f>SUMIFS(tblBudget[Ore_oz],tblBudget[Month],"&lt;"&amp;$E142)+$IW142</f>
        <v/>
      </c>
      <c r="IY142" s="55">
        <f>SUMIFS(tblBudget[Ore_Mined_t],tblBudget[Month],$E142)</f>
        <v/>
      </c>
      <c r="IZ142" s="55">
        <f>$IY142*$C142/$D142</f>
        <v/>
      </c>
      <c r="JA142" s="55">
        <f>SUMIFS(tblBudget[Ore_Mined_t],tblBudget[Month],"&lt;"&amp;$E142)+$IZ142</f>
        <v/>
      </c>
      <c r="JB142" s="56">
        <f>IFERROR(IF(($IY142)&gt;0,($IV142*cfg_TroyOz)/($IY142),""),"")</f>
        <v/>
      </c>
      <c r="JC142" s="56">
        <f>IFERROR(IF(($IZ142)&gt;0,($IW142*cfg_TroyOz)/($IZ142),""),"")</f>
        <v/>
      </c>
      <c r="JD142" s="56">
        <f>IFERROR(IF(($JA142)&gt;0,($IX142*cfg_TroyOz)/($JA142),""),"")</f>
        <v/>
      </c>
      <c r="JE142" s="55">
        <f>SUMIFS(tblBudget[Waste_t],tblBudget[Month],$E142)</f>
        <v/>
      </c>
      <c r="JF142" s="55">
        <f>$JE142*$C142/$D142</f>
        <v/>
      </c>
      <c r="JG142" s="55">
        <f>SUMIFS(tblBudget[Waste_t],tblBudget[Month],"&lt;"&amp;$E142)+$JF142</f>
        <v/>
      </c>
      <c r="JH142" s="55">
        <f>SUMIFS(tblBudget[TMM_t],tblBudget[Month],$E142)</f>
        <v/>
      </c>
      <c r="JI142" s="55">
        <f>$JH142*$C142/$D142</f>
        <v/>
      </c>
      <c r="JJ142" s="55">
        <f>SUMIFS(tblBudget[TMM_t],tblBudget[Month],"&lt;"&amp;$E142)+$JI142</f>
        <v/>
      </c>
      <c r="JK142" s="56">
        <f>IFERROR(IF(($IS142)&gt;0,($JE142)/($IS142),""),"")</f>
        <v/>
      </c>
      <c r="JL142" s="56">
        <f>IFERROR(IF(($IT142)&gt;0,($JF142)/($IT142),""),"")</f>
        <v/>
      </c>
      <c r="JM142" s="56">
        <f>IFERROR(IF(($IU142)&gt;0,($JG142)/($IU142),""),"")</f>
        <v/>
      </c>
      <c r="JN142" s="55">
        <f>SUMIFS(tblBudget[Drill_m],tblBudget[Month],$E142)</f>
        <v/>
      </c>
      <c r="JO142" s="55">
        <f>$JN142*$C142/$D142</f>
        <v/>
      </c>
      <c r="JP142" s="55">
        <f>SUMIFS(tblBudget[Drill_m],tblBudget[Month],"&lt;"&amp;$E142)+$JO142</f>
        <v/>
      </c>
      <c r="JQ142" s="55">
        <f>SUMIFS(tblBudget[Diesel_L],tblBudget[Month],$E142)</f>
        <v/>
      </c>
      <c r="JR142" s="55">
        <f>$JQ142*$C142/$D142</f>
        <v/>
      </c>
      <c r="JS142" s="55">
        <f>SUMIFS(tblBudget[Diesel_L],tblBudget[Month],"&lt;"&amp;$E142)+$JR142</f>
        <v/>
      </c>
      <c r="JT142" s="55">
        <f>SUMIFS(tblBudget[Milled_t],tblBudget[Month],$E142)</f>
        <v/>
      </c>
      <c r="JU142" s="55">
        <f>$JT142*$C142/$D142</f>
        <v/>
      </c>
      <c r="JV142" s="55">
        <f>SUMIFS(tblBudget[Milled_t],tblBudget[Month],"&lt;"&amp;$E142)+$JU142</f>
        <v/>
      </c>
      <c r="JW142" s="55">
        <f>SUMIFS(tblBudget[Feed_oz],tblBudget[Month],$E142)</f>
        <v/>
      </c>
      <c r="JX142" s="55">
        <f>$JW142*$C142/$D142</f>
        <v/>
      </c>
      <c r="JY142" s="55">
        <f>SUMIFS(tblBudget[Feed_oz],tblBudget[Month],"&lt;"&amp;$E142)+$JX142</f>
        <v/>
      </c>
      <c r="JZ142" s="55">
        <f>SUMIFS(tblBudget[Recovered_oz],tblBudget[Month],$E142)</f>
        <v/>
      </c>
      <c r="KA142" s="55">
        <f>$JZ142*$C142/$D142</f>
        <v/>
      </c>
      <c r="KB142" s="55">
        <f>SUMIFS(tblBudget[Recovered_oz],tblBudget[Month],"&lt;"&amp;$E142)+$KA142</f>
        <v/>
      </c>
      <c r="KC142" s="55">
        <f>SUMIFS(tblBudget[Milled_t],tblBudget[Month],$E142)</f>
        <v/>
      </c>
      <c r="KD142" s="55">
        <f>$KC142*$C142/$D142</f>
        <v/>
      </c>
      <c r="KE142" s="55">
        <f>SUMIFS(tblBudget[Milled_t],tblBudget[Month],"&lt;"&amp;$E142)+$KD142</f>
        <v/>
      </c>
      <c r="KF142" s="55">
        <f>SUMIFS(tblBudget[Feed_oz],tblBudget[Month],$E142)</f>
        <v/>
      </c>
      <c r="KG142" s="55">
        <f>$KF142*$C142/$D142</f>
        <v/>
      </c>
      <c r="KH142" s="55">
        <f>SUMIFS(tblBudget[Feed_oz],tblBudget[Month],"&lt;"&amp;$E142)+$KG142</f>
        <v/>
      </c>
      <c r="KI142" s="56">
        <f>IFERROR(IF(($KC142)&gt;0,($JW142*cfg_TroyOz)/($KC142),""),"")</f>
        <v/>
      </c>
      <c r="KJ142" s="56">
        <f>IFERROR(IF(($KD142)&gt;0,($JX142*cfg_TroyOz)/($KD142),""),"")</f>
        <v/>
      </c>
      <c r="KK142" s="56">
        <f>IFERROR(IF(($KE142)&gt;0,($JY142*cfg_TroyOz)/($KE142),""),"")</f>
        <v/>
      </c>
      <c r="KL142" s="67">
        <f>IFERROR(IF(($KF142)&gt;0,($JZ142)/($KF142),""),"")</f>
        <v/>
      </c>
      <c r="KM142" s="67">
        <f>IFERROR(IF(($KG142)&gt;0,($KA142)/($KG142),""),"")</f>
        <v/>
      </c>
      <c r="KN142" s="67">
        <f>IFERROR(IF(($KH142)&gt;0,($KB142)/($KH142),""),"")</f>
        <v/>
      </c>
      <c r="KO142" s="55">
        <f>SUMIFS(tblBudget[Gold_Poured_oz],tblBudget[Month],$E142)</f>
        <v/>
      </c>
      <c r="KP142" s="55">
        <f>$KO142*$C142/$D142</f>
        <v/>
      </c>
      <c r="KQ142" s="55">
        <f>SUMIFS(tblBudget[Gold_Poured_oz],tblBudget[Month],"&lt;"&amp;$E142)+$KP142</f>
        <v/>
      </c>
      <c r="KR142" s="57">
        <f>SUMIFS(tblBudget[Hours_Worked],tblBudget[Month],$E142)</f>
        <v/>
      </c>
      <c r="KS142" s="57">
        <f>$KR142*$C142/$D142</f>
        <v/>
      </c>
      <c r="KT142" s="57">
        <f>SUMIFS(tblBudget[Hours_Worked],tblBudget[Month],"&lt;"&amp;$E142)+$KS142</f>
        <v/>
      </c>
    </row>
    <row r="143">
      <c r="A143" s="54" t="n">
        <v>46164</v>
      </c>
      <c r="B143">
        <f>MONTH($A143)</f>
        <v/>
      </c>
      <c r="C143">
        <f>DAY($A143)</f>
        <v/>
      </c>
      <c r="D143">
        <f>DAY(EOMONTH($A143,0))</f>
        <v/>
      </c>
      <c r="E143" s="54">
        <f>DATE(YEAR($A143),MONTH($A143),1)</f>
        <v/>
      </c>
      <c r="F143" s="55">
        <f>SUMIFS(tblMovement[Tonnes_t],tblMovement[Date],$A143,tblMovement[Is_Ore],1,tblMovement[Source_Type],"Pit")</f>
        <v/>
      </c>
      <c r="G143" s="55">
        <f>IF($B143=$B142,$G142,0)+$F143</f>
        <v/>
      </c>
      <c r="H143" s="55">
        <f>$H142+$F143</f>
        <v/>
      </c>
      <c r="I143" s="55">
        <f>SUMIFS(tblMovement[Ore_oz],tblMovement[Date],$A143,tblMovement[Source_Type],"Pit")</f>
        <v/>
      </c>
      <c r="J143" s="55">
        <f>IF($B143=$B142,$J142,0)+$I143</f>
        <v/>
      </c>
      <c r="K143" s="55">
        <f>$K142+$I143</f>
        <v/>
      </c>
      <c r="L143" s="55">
        <f>SUMIFS(tblMovement[Tonnes_t],tblMovement[Date],$A143,tblMovement[Is_Ore],1,tblMovement[Source_Type],"Pit",tblMovement[Grade_gpt],"&lt;&gt;")</f>
        <v/>
      </c>
      <c r="M143" s="55">
        <f>IF($B143=$B142,$M142,0)+$L143</f>
        <v/>
      </c>
      <c r="N143" s="55">
        <f>$N142+$L143</f>
        <v/>
      </c>
      <c r="O143" s="56">
        <f>IFERROR(IF(($L143)&gt;0,($I143*cfg_TroyOz)/($L143),""),"")</f>
        <v/>
      </c>
      <c r="P143" s="56">
        <f>IFERROR(IF(($M143)&gt;0,($J143*cfg_TroyOz)/($M143),""),"")</f>
        <v/>
      </c>
      <c r="Q143" s="56">
        <f>IFERROR(IF(($N143)&gt;0,($K143*cfg_TroyOz)/($N143),""),"")</f>
        <v/>
      </c>
      <c r="R143" s="55">
        <f>$F143-$L143</f>
        <v/>
      </c>
      <c r="S143" s="55">
        <f>IF($B143=$B142,$S142,0)+$R143</f>
        <v/>
      </c>
      <c r="T143" s="55">
        <f>$T142+$R143</f>
        <v/>
      </c>
      <c r="U143" s="55">
        <f>SUMIFS(tblMovement[Tonnes_t],tblMovement[Date],$A143,tblMovement[Is_Ore],0,tblMovement[Source_Type],"Pit")</f>
        <v/>
      </c>
      <c r="V143" s="55">
        <f>IF($B143=$B142,$V142,0)+$U143</f>
        <v/>
      </c>
      <c r="W143" s="55">
        <f>$W142+$U143</f>
        <v/>
      </c>
      <c r="X143" s="55">
        <f>$F143+$U143</f>
        <v/>
      </c>
      <c r="Y143" s="55">
        <f>IF($B143=$B142,$Y142,0)+$X143</f>
        <v/>
      </c>
      <c r="Z143" s="55">
        <f>$Z142+$X143</f>
        <v/>
      </c>
      <c r="AA143" s="56">
        <f>IFERROR(IF(($F143)&gt;0,($U143)/($F143),""),"")</f>
        <v/>
      </c>
      <c r="AB143" s="56">
        <f>IFERROR(IF(($G143)&gt;0,($V143)/($G143),""),"")</f>
        <v/>
      </c>
      <c r="AC143" s="56">
        <f>IFERROR(IF(($H143)&gt;0,($W143)/($H143),""),"")</f>
        <v/>
      </c>
      <c r="AD143" s="55">
        <f>SUMIFS(tblMovement[Tonnes_t],tblMovement[Date],$A143,tblMovement[Source_Type],"Stockpile")</f>
        <v/>
      </c>
      <c r="AE143" s="55">
        <f>IF($B143=$B142,$AE142,0)+$AD143</f>
        <v/>
      </c>
      <c r="AF143" s="55">
        <f>$AF142+$AD143</f>
        <v/>
      </c>
      <c r="AG143" s="55">
        <f>SUMIFS(tblMovement[Tonnes_t],tblMovement[Date],$A143)</f>
        <v/>
      </c>
      <c r="AH143" s="55">
        <f>IF($B143=$B142,$AH142,0)+$AG143</f>
        <v/>
      </c>
      <c r="AI143" s="55">
        <f>$AI142+$AG143</f>
        <v/>
      </c>
      <c r="AJ143" s="55">
        <f>$AG143-$X143-$AD143</f>
        <v/>
      </c>
      <c r="AK143" s="55">
        <f>IF($B143=$B142,$AK142,0)+$AJ143</f>
        <v/>
      </c>
      <c r="AL143" s="55">
        <f>$AL142+$AJ143</f>
        <v/>
      </c>
      <c r="AM143" s="55">
        <f>SUMIFS(tblMiningDaily[Drill_m],tblMiningDaily[Date],$A143)</f>
        <v/>
      </c>
      <c r="AN143" s="55">
        <f>IF($B143=$B142,$AN142,0)+$AM143</f>
        <v/>
      </c>
      <c r="AO143" s="55">
        <f>$AO142+$AM143</f>
        <v/>
      </c>
      <c r="AP143" s="55">
        <f>SUMIFS(tblMiningDaily[GC_Drill_m],tblMiningDaily[Date],$A143)</f>
        <v/>
      </c>
      <c r="AQ143" s="55">
        <f>IF($B143=$B142,$AQ142,0)+$AP143</f>
        <v/>
      </c>
      <c r="AR143" s="55">
        <f>$AR142+$AP143</f>
        <v/>
      </c>
      <c r="AS143" s="55">
        <f>SUMIFS(tblMiningDaily[Blast_t],tblMiningDaily[Date],$A143)</f>
        <v/>
      </c>
      <c r="AT143" s="55">
        <f>IF($B143=$B142,$AT142,0)+$AS143</f>
        <v/>
      </c>
      <c r="AU143" s="55">
        <f>$AU142+$AS143</f>
        <v/>
      </c>
      <c r="AV143" s="55">
        <f>SUMIFS(tblMiningDaily[Explosives_kg],tblMiningDaily[Date],$A143)</f>
        <v/>
      </c>
      <c r="AW143" s="55">
        <f>IF($B143=$B142,$AW142,0)+$AV143</f>
        <v/>
      </c>
      <c r="AX143" s="55">
        <f>$AX142+$AV143</f>
        <v/>
      </c>
      <c r="AY143" s="56">
        <f>IFERROR(IF(($AS143)&gt;0,($AV143)/($AS143),""),"")</f>
        <v/>
      </c>
      <c r="AZ143" s="56">
        <f>IFERROR(IF(($AT143)&gt;0,($AW143)/($AT143),""),"")</f>
        <v/>
      </c>
      <c r="BA143" s="56">
        <f>IFERROR(IF(($AU143)&gt;0,($AX143)/($AU143),""),"")</f>
        <v/>
      </c>
      <c r="BB143" s="55">
        <f>SUMIFS(tblMiningDaily[Diesel_L],tblMiningDaily[Date],$A143)</f>
        <v/>
      </c>
      <c r="BC143" s="55">
        <f>IF($B143=$B142,$BC142,0)+$BB143</f>
        <v/>
      </c>
      <c r="BD143" s="55">
        <f>$BD142+$BB143</f>
        <v/>
      </c>
      <c r="BE143" s="55">
        <f>SUMIFS(tblMiningDaily[Dewatering_m3],tblMiningDaily[Date],$A143)</f>
        <v/>
      </c>
      <c r="BF143" s="55">
        <f>IF($B143=$B142,$BF142,0)+$BE143</f>
        <v/>
      </c>
      <c r="BG143" s="55">
        <f>$BG142+$BE143</f>
        <v/>
      </c>
      <c r="BH143" s="57">
        <f>SUMIFS(tblFleet[Calendar_h],tblFleet[Date],$A143,tblFleet[Equipment_Class],"Excavator")</f>
        <v/>
      </c>
      <c r="BI143" s="57">
        <f>IF($B143=$B142,$BI142,0)+$BH143</f>
        <v/>
      </c>
      <c r="BJ143" s="57">
        <f>$BJ142+$BH143</f>
        <v/>
      </c>
      <c r="BK143" s="57">
        <f>SUMIFS(tblFleet[Available_h],tblFleet[Date],$A143,tblFleet[Equipment_Class],"Excavator")</f>
        <v/>
      </c>
      <c r="BL143" s="57">
        <f>IF($B143=$B142,$BL142,0)+$BK143</f>
        <v/>
      </c>
      <c r="BM143" s="57">
        <f>$BM142+$BK143</f>
        <v/>
      </c>
      <c r="BN143" s="57">
        <f>SUMIFS(tblFleet[Operating_h],tblFleet[Date],$A143,tblFleet[Equipment_Class],"Excavator")</f>
        <v/>
      </c>
      <c r="BO143" s="57">
        <f>IF($B143=$B142,$BO142,0)+$BN143</f>
        <v/>
      </c>
      <c r="BP143" s="57">
        <f>$BP142+$BN143</f>
        <v/>
      </c>
      <c r="BQ143" s="67">
        <f>IFERROR(IF(($BH143)&gt;0,($BK143)/($BH143),""),"")</f>
        <v/>
      </c>
      <c r="BR143" s="67">
        <f>IFERROR(IF(($BI143)&gt;0,($BL143)/($BI143),""),"")</f>
        <v/>
      </c>
      <c r="BS143" s="67">
        <f>IFERROR(IF(($BJ143)&gt;0,($BM143)/($BJ143),""),"")</f>
        <v/>
      </c>
      <c r="BT143" s="67">
        <f>IFERROR(IF(($BK143)&gt;0,($BN143)/($BK143),""),"")</f>
        <v/>
      </c>
      <c r="BU143" s="67">
        <f>IFERROR(IF(($BL143)&gt;0,($BO143)/($BL143),""),"")</f>
        <v/>
      </c>
      <c r="BV143" s="67">
        <f>IFERROR(IF(($BM143)&gt;0,($BP143)/($BM143),""),"")</f>
        <v/>
      </c>
      <c r="BW143" s="57">
        <f>SUMIFS(tblFleet[Calendar_h],tblFleet[Date],$A143,tblFleet[Equipment_Class],"Haul Truck")</f>
        <v/>
      </c>
      <c r="BX143" s="57">
        <f>IF($B143=$B142,$BX142,0)+$BW143</f>
        <v/>
      </c>
      <c r="BY143" s="57">
        <f>$BY142+$BW143</f>
        <v/>
      </c>
      <c r="BZ143" s="57">
        <f>SUMIFS(tblFleet[Available_h],tblFleet[Date],$A143,tblFleet[Equipment_Class],"Haul Truck")</f>
        <v/>
      </c>
      <c r="CA143" s="57">
        <f>IF($B143=$B142,$CA142,0)+$BZ143</f>
        <v/>
      </c>
      <c r="CB143" s="57">
        <f>$CB142+$BZ143</f>
        <v/>
      </c>
      <c r="CC143" s="57">
        <f>SUMIFS(tblFleet[Operating_h],tblFleet[Date],$A143,tblFleet[Equipment_Class],"Haul Truck")</f>
        <v/>
      </c>
      <c r="CD143" s="57">
        <f>IF($B143=$B142,$CD142,0)+$CC143</f>
        <v/>
      </c>
      <c r="CE143" s="57">
        <f>$CE142+$CC143</f>
        <v/>
      </c>
      <c r="CF143" s="67">
        <f>IFERROR(IF(($BW143)&gt;0,($BZ143)/($BW143),""),"")</f>
        <v/>
      </c>
      <c r="CG143" s="67">
        <f>IFERROR(IF(($BX143)&gt;0,($CA143)/($BX143),""),"")</f>
        <v/>
      </c>
      <c r="CH143" s="67">
        <f>IFERROR(IF(($BY143)&gt;0,($CB143)/($BY143),""),"")</f>
        <v/>
      </c>
      <c r="CI143" s="67">
        <f>IFERROR(IF(($BZ143)&gt;0,($CC143)/($BZ143),""),"")</f>
        <v/>
      </c>
      <c r="CJ143" s="67">
        <f>IFERROR(IF(($CA143)&gt;0,($CD143)/($CA143),""),"")</f>
        <v/>
      </c>
      <c r="CK143" s="67">
        <f>IFERROR(IF(($CB143)&gt;0,($CE143)/($CB143),""),"")</f>
        <v/>
      </c>
      <c r="CL143" s="55">
        <f>IFERROR(IF(($BN143)&gt;0,($X143+$AD143)/($BN143),""),"")</f>
        <v/>
      </c>
      <c r="CM143" s="55">
        <f>IFERROR(IF(($BO143)&gt;0,($Y143+$AE143)/($BO143),""),"")</f>
        <v/>
      </c>
      <c r="CN143" s="55">
        <f>IFERROR(IF(($BP143)&gt;0,($Z143+$AF143)/($BP143),""),"")</f>
        <v/>
      </c>
      <c r="CO143" s="55">
        <f>IFERROR(IF(($CC143)&gt;0,($X143+$AD143)/($CC143),""),"")</f>
        <v/>
      </c>
      <c r="CP143" s="55">
        <f>IFERROR(IF(($CD143)&gt;0,($Y143+$AE143)/($CD143),""),"")</f>
        <v/>
      </c>
      <c r="CQ143" s="55">
        <f>IFERROR(IF(($CE143)&gt;0,($Z143+$AF143)/($CE143),""),"")</f>
        <v/>
      </c>
      <c r="CR143" s="55">
        <f>SUMIFS(tblPlant[Crushed_t],tblPlant[Date],$A143)</f>
        <v/>
      </c>
      <c r="CS143" s="55">
        <f>IF($B143=$B142,$CS142,0)+$CR143</f>
        <v/>
      </c>
      <c r="CT143" s="55">
        <f>$CT142+$CR143</f>
        <v/>
      </c>
      <c r="CU143" s="55">
        <f>SUMIFS(tblPlant[Milled_t],tblPlant[Date],$A143)</f>
        <v/>
      </c>
      <c r="CV143" s="55">
        <f>IF($B143=$B142,$CV142,0)+$CU143</f>
        <v/>
      </c>
      <c r="CW143" s="55">
        <f>$CW142+$CU143</f>
        <v/>
      </c>
      <c r="CX143" s="55">
        <f>SUMIFS(tblPlant[Feed_oz],tblPlant[Date],$A143)</f>
        <v/>
      </c>
      <c r="CY143" s="55">
        <f>IF($B143=$B142,$CY142,0)+$CX143</f>
        <v/>
      </c>
      <c r="CZ143" s="55">
        <f>$CZ142+$CX143</f>
        <v/>
      </c>
      <c r="DA143" s="55">
        <f>SUMIFS(tblPlant[Tails_oz],tblPlant[Date],$A143)</f>
        <v/>
      </c>
      <c r="DB143" s="55">
        <f>IF($B143=$B142,$DB142,0)+$DA143</f>
        <v/>
      </c>
      <c r="DC143" s="55">
        <f>$DC142+$DA143</f>
        <v/>
      </c>
      <c r="DD143" s="55">
        <f>SUMIFS(tblPlant[Recovered_oz],tblPlant[Date],$A143)</f>
        <v/>
      </c>
      <c r="DE143" s="55">
        <f>IF($B143=$B142,$DE142,0)+$DD143</f>
        <v/>
      </c>
      <c r="DF143" s="55">
        <f>$DF142+$DD143</f>
        <v/>
      </c>
      <c r="DG143" s="55">
        <f>SUMIFS(tblPlant[Milled_t],tblPlant[Date],$A143,tblPlant[Head_Grade_gpt],"&lt;&gt;")</f>
        <v/>
      </c>
      <c r="DH143" s="55">
        <f>IF($B143=$B142,$DH142,0)+$DG143</f>
        <v/>
      </c>
      <c r="DI143" s="55">
        <f>$DI142+$DG143</f>
        <v/>
      </c>
      <c r="DJ143" s="55">
        <f>SUMIFS(tblPlant[Milled_t],tblPlant[Date],$A143,tblPlant[Tails_Grade_gpt],"&lt;&gt;")</f>
        <v/>
      </c>
      <c r="DK143" s="55">
        <f>IF($B143=$B142,$DK142,0)+$DJ143</f>
        <v/>
      </c>
      <c r="DL143" s="55">
        <f>$DL142+$DJ143</f>
        <v/>
      </c>
      <c r="DM143" s="55">
        <f>SUMIFS(tblPlant[Feed_oz],tblPlant[Date],$A143,tblPlant[Tails_Grade_gpt],"&lt;&gt;")</f>
        <v/>
      </c>
      <c r="DN143" s="55">
        <f>IF($B143=$B142,$DN142,0)+$DM143</f>
        <v/>
      </c>
      <c r="DO143" s="55">
        <f>$DO142+$DM143</f>
        <v/>
      </c>
      <c r="DP143" s="55">
        <f>SUMIFS(tblPlant[Milled_t],tblPlant[Date],$A143,tblPlant[Mill_Run_h],"&lt;&gt;")</f>
        <v/>
      </c>
      <c r="DQ143" s="55">
        <f>IF($B143=$B142,$DQ142,0)+$DP143</f>
        <v/>
      </c>
      <c r="DR143" s="55">
        <f>$DR142+$DP143</f>
        <v/>
      </c>
      <c r="DS143" s="56">
        <f>IFERROR(IF(($DG143)&gt;0,($CX143*cfg_TroyOz)/($DG143),""),"")</f>
        <v/>
      </c>
      <c r="DT143" s="56">
        <f>IFERROR(IF(($DH143)&gt;0,($CY143*cfg_TroyOz)/($DH143),""),"")</f>
        <v/>
      </c>
      <c r="DU143" s="56">
        <f>IFERROR(IF(($DI143)&gt;0,($CZ143*cfg_TroyOz)/($DI143),""),"")</f>
        <v/>
      </c>
      <c r="DV143" s="56">
        <f>IFERROR(IF(($DJ143)&gt;0,($DA143*cfg_TroyOz)/($DJ143),""),"")</f>
        <v/>
      </c>
      <c r="DW143" s="56">
        <f>IFERROR(IF(($DK143)&gt;0,($DB143*cfg_TroyOz)/($DK143),""),"")</f>
        <v/>
      </c>
      <c r="DX143" s="56">
        <f>IFERROR(IF(($DL143)&gt;0,($DC143*cfg_TroyOz)/($DL143),""),"")</f>
        <v/>
      </c>
      <c r="DY143" s="67">
        <f>IFERROR(IF(($DM143)&gt;0,($DD143)/($DM143),""),"")</f>
        <v/>
      </c>
      <c r="DZ143" s="67">
        <f>IFERROR(IF(($DN143)&gt;0,($DE143)/($DN143),""),"")</f>
        <v/>
      </c>
      <c r="EA143" s="67">
        <f>IFERROR(IF(($DO143)&gt;0,($DF143)/($DO143),""),"")</f>
        <v/>
      </c>
      <c r="EB143" s="55">
        <f>SUMIFS(tblPlant[Gravity_Gold_oz],tblPlant[Date],$A143)</f>
        <v/>
      </c>
      <c r="EC143" s="55">
        <f>IF($B143=$B142,$EC142,0)+$EB143</f>
        <v/>
      </c>
      <c r="ED143" s="55">
        <f>$ED142+$EB143</f>
        <v/>
      </c>
      <c r="EE143" s="67">
        <f>IFERROR(IF(($DD143)&gt;0,($EB143)/($DD143),""),"")</f>
        <v/>
      </c>
      <c r="EF143" s="67">
        <f>IFERROR(IF(($DE143)&gt;0,($EC143)/($DE143),""),"")</f>
        <v/>
      </c>
      <c r="EG143" s="67">
        <f>IFERROR(IF(($DF143)&gt;0,($ED143)/($DF143),""),"")</f>
        <v/>
      </c>
      <c r="EH143" s="55">
        <f>SUMIFS(tblPlant[Gold_Poured_oz],tblPlant[Date],$A143)</f>
        <v/>
      </c>
      <c r="EI143" s="55">
        <f>IF($B143=$B142,$EI142,0)+$EH143</f>
        <v/>
      </c>
      <c r="EJ143" s="55">
        <f>$EJ142+$EH143</f>
        <v/>
      </c>
      <c r="EK143" s="57">
        <f>SUMIFS(tblPlant[Mill_Run_h],tblPlant[Date],$A143)</f>
        <v/>
      </c>
      <c r="EL143" s="57">
        <f>IF($B143=$B142,$EL142,0)+$EK143</f>
        <v/>
      </c>
      <c r="EM143" s="57">
        <f>$EM142+$EK143</f>
        <v/>
      </c>
      <c r="EN143" s="57">
        <f>SUMIFS(tblPlant[Mill_Planned_Maint_h],tblPlant[Date],$A143)</f>
        <v/>
      </c>
      <c r="EO143" s="57">
        <f>IF($B143=$B142,$EO142,0)+$EN143</f>
        <v/>
      </c>
      <c r="EP143" s="57">
        <f>$EP142+$EN143</f>
        <v/>
      </c>
      <c r="EQ143" s="57">
        <f>SUMIFS(tblPlant[Mill_Unplanned_Down_h],tblPlant[Date],$A143)</f>
        <v/>
      </c>
      <c r="ER143" s="57">
        <f>IF($B143=$B142,$ER142,0)+$EQ143</f>
        <v/>
      </c>
      <c r="ES143" s="57">
        <f>$ES142+$EQ143</f>
        <v/>
      </c>
      <c r="ET143" s="57">
        <f>IF(COUNTIFS(tblPlant[Date],$A143,tblPlant[Mill_Run_h],"&lt;&gt;")+COUNTIFS(tblPlant[Date],$A143,tblPlant[Mill_Planned_Maint_h],"&lt;&gt;")+COUNTIFS(tblPlant[Date],$A143,tblPlant[Mill_Unplanned_Down_h],"&lt;&gt;")&gt;0,cfg_HoursPerDay,0)</f>
        <v/>
      </c>
      <c r="EU143" s="57">
        <f>IF($B143=$B142,$EU142,0)+$ET143</f>
        <v/>
      </c>
      <c r="EV143" s="57">
        <f>$EV142+$ET143</f>
        <v/>
      </c>
      <c r="EW143" s="57">
        <f>SUMIFS(tblPlant[Crusher_Run_h],tblPlant[Date],$A143)</f>
        <v/>
      </c>
      <c r="EX143" s="57">
        <f>IF($B143=$B142,$EX142,0)+$EW143</f>
        <v/>
      </c>
      <c r="EY143" s="57">
        <f>$EY142+$EW143</f>
        <v/>
      </c>
      <c r="EZ143" s="55">
        <f>IFERROR(IF(($EK143)&gt;0,($DP143)/($EK143),""),"")</f>
        <v/>
      </c>
      <c r="FA143" s="55">
        <f>IFERROR(IF(($EL143)&gt;0,($DQ143)/($EL143),""),"")</f>
        <v/>
      </c>
      <c r="FB143" s="55">
        <f>IFERROR(IF(($EM143)&gt;0,($DR143)/($EM143),""),"")</f>
        <v/>
      </c>
      <c r="FC143" s="67">
        <f>IFERROR(IF(($ET143)&gt;0,($ET143-$EN143-$EQ143)/($ET143),""),"")</f>
        <v/>
      </c>
      <c r="FD143" s="67">
        <f>IFERROR(IF(($EU143)&gt;0,($EU143-$EO143-$ER143)/($EU143),""),"")</f>
        <v/>
      </c>
      <c r="FE143" s="67">
        <f>IFERROR(IF(($EV143)&gt;0,($EV143-$EP143-$ES143)/($EV143),""),"")</f>
        <v/>
      </c>
      <c r="FF143" s="67">
        <f>IFERROR(IF(($ET143-$EN143-$EQ143)&gt;0,($EK143)/($ET143-$EN143-$EQ143),""),"")</f>
        <v/>
      </c>
      <c r="FG143" s="67">
        <f>IFERROR(IF(($EU143-$EO143-$ER143)&gt;0,($EL143)/($EU143-$EO143-$ER143),""),"")</f>
        <v/>
      </c>
      <c r="FH143" s="67">
        <f>IFERROR(IF(($EV143-$EP143-$ES143)&gt;0,($EM143)/($EV143-$EP143-$ES143),""),"")</f>
        <v/>
      </c>
      <c r="FI143" s="55">
        <f>SUMIFS(tblPlant[Cyanide_kg],tblPlant[Date],$A143)</f>
        <v/>
      </c>
      <c r="FJ143" s="55">
        <f>IF($B143=$B142,$FJ142,0)+$FI143</f>
        <v/>
      </c>
      <c r="FK143" s="55">
        <f>$FK142+$FI143</f>
        <v/>
      </c>
      <c r="FL143" s="55">
        <f>SUMIFS(tblPlant[Lime_kg],tblPlant[Date],$A143)</f>
        <v/>
      </c>
      <c r="FM143" s="55">
        <f>IF($B143=$B142,$FM142,0)+$FL143</f>
        <v/>
      </c>
      <c r="FN143" s="55">
        <f>$FN142+$FL143</f>
        <v/>
      </c>
      <c r="FO143" s="55">
        <f>SUMIFS(tblPlant[Grinding_Media_kg],tblPlant[Date],$A143)</f>
        <v/>
      </c>
      <c r="FP143" s="55">
        <f>IF($B143=$B142,$FP142,0)+$FO143</f>
        <v/>
      </c>
      <c r="FQ143" s="55">
        <f>$FQ142+$FO143</f>
        <v/>
      </c>
      <c r="FR143" s="55">
        <f>SUMIFS(tblPlant[Power_kWh],tblPlant[Date],$A143)</f>
        <v/>
      </c>
      <c r="FS143" s="55">
        <f>IF($B143=$B142,$FS142,0)+$FR143</f>
        <v/>
      </c>
      <c r="FT143" s="55">
        <f>$FT142+$FR143</f>
        <v/>
      </c>
      <c r="FU143" s="55">
        <f>SUMIFS(tblPlant[Raw_Water_m3],tblPlant[Date],$A143)</f>
        <v/>
      </c>
      <c r="FV143" s="55">
        <f>IF($B143=$B142,$FV142,0)+$FU143</f>
        <v/>
      </c>
      <c r="FW143" s="55">
        <f>$FW142+$FU143</f>
        <v/>
      </c>
      <c r="FX143" s="56">
        <f>IFERROR(IF(($CU143)&gt;0,($FI143)/($CU143),""),"")</f>
        <v/>
      </c>
      <c r="FY143" s="56">
        <f>IFERROR(IF(($CV143)&gt;0,($FJ143)/($CV143),""),"")</f>
        <v/>
      </c>
      <c r="FZ143" s="56">
        <f>IFERROR(IF(($CW143)&gt;0,($FK143)/($CW143),""),"")</f>
        <v/>
      </c>
      <c r="GA143" s="56">
        <f>IFERROR(IF(($CU143)&gt;0,($FL143)/($CU143),""),"")</f>
        <v/>
      </c>
      <c r="GB143" s="56">
        <f>IFERROR(IF(($CV143)&gt;0,($FM143)/($CV143),""),"")</f>
        <v/>
      </c>
      <c r="GC143" s="56">
        <f>IFERROR(IF(($CW143)&gt;0,($FN143)/($CW143),""),"")</f>
        <v/>
      </c>
      <c r="GD143" s="56">
        <f>IFERROR(IF(($CU143)&gt;0,($FO143)/($CU143),""),"")</f>
        <v/>
      </c>
      <c r="GE143" s="56">
        <f>IFERROR(IF(($CV143)&gt;0,($FP143)/($CV143),""),"")</f>
        <v/>
      </c>
      <c r="GF143" s="56">
        <f>IFERROR(IF(($CW143)&gt;0,($FQ143)/($CW143),""),"")</f>
        <v/>
      </c>
      <c r="GG143" s="79">
        <f>IFERROR(IF(($CU143)&gt;0,($FR143)/($CU143),""),"")</f>
        <v/>
      </c>
      <c r="GH143" s="79">
        <f>IFERROR(IF(($CV143)&gt;0,($FS143)/($CV143),""),"")</f>
        <v/>
      </c>
      <c r="GI143" s="79">
        <f>IFERROR(IF(($CW143)&gt;0,($FT143)/($CW143),""),"")</f>
        <v/>
      </c>
      <c r="GJ143" s="56">
        <f>IFERROR(IF(($CU143)&gt;0,($FU143)/($CU143),""),"")</f>
        <v/>
      </c>
      <c r="GK143" s="56">
        <f>IFERROR(IF(($CV143)&gt;0,($FV143)/($CV143),""),"")</f>
        <v/>
      </c>
      <c r="GL143" s="56">
        <f>IFERROR(IF(($CW143)&gt;0,($FW143)/($CW143),""),"")</f>
        <v/>
      </c>
      <c r="GM143" s="55">
        <f>IF(SUMIFS(tblPlant[GIC_oz],tblPlant[Date],$A143)&gt;0,SUMIFS(tblPlant[GIC_oz],tblPlant[Date],$A143),"")</f>
        <v/>
      </c>
      <c r="GN143" s="55">
        <f>SUMIFS(tblGold[Gold_oz],tblGold[Date],$A143,tblGold[Type],"Shipment")</f>
        <v/>
      </c>
      <c r="GO143" s="55">
        <f>IF($B143=$B142,$GO142,0)+$GN143</f>
        <v/>
      </c>
      <c r="GP143" s="55">
        <f>$GP142+$GN143</f>
        <v/>
      </c>
      <c r="GQ143" s="55">
        <f>SUMIFS(tblGold[Gold_oz],tblGold[Date],$A143,tblGold[Type],"Sale")</f>
        <v/>
      </c>
      <c r="GR143" s="55">
        <f>IF($B143=$B142,$GR142,0)+$GQ143</f>
        <v/>
      </c>
      <c r="GS143" s="55">
        <f>$GS142+$GQ143</f>
        <v/>
      </c>
      <c r="GT143" s="55">
        <f>SUMIFS(tblGold[Dore_kg],tblGold[Date],$A143,tblGold[Type],"Shipment")</f>
        <v/>
      </c>
      <c r="GU143" s="55">
        <f>IF($B143=$B142,$GU142,0)+$GT143</f>
        <v/>
      </c>
      <c r="GV143" s="55">
        <f>$GV142+$GT143</f>
        <v/>
      </c>
      <c r="GW143" s="57">
        <f>SUMIFS(tblSafety[Hours_Total],tblSafety[Date],$A143)</f>
        <v/>
      </c>
      <c r="GX143" s="57">
        <f>IF($B143=$B142,$GX142,0)+$GW143</f>
        <v/>
      </c>
      <c r="GY143" s="57">
        <f>$GY142+$GW143</f>
        <v/>
      </c>
      <c r="GZ143" s="62">
        <f>SUMIFS(tblSafety[Fatality],tblSafety[Date],$A143)</f>
        <v/>
      </c>
      <c r="HA143" s="62">
        <f>IF($B143=$B142,$HA142,0)+$GZ143</f>
        <v/>
      </c>
      <c r="HB143" s="62">
        <f>$HB142+$GZ143</f>
        <v/>
      </c>
      <c r="HC143" s="62">
        <f>SUMIFS(tblSafety[LTI],tblSafety[Date],$A143)</f>
        <v/>
      </c>
      <c r="HD143" s="62">
        <f>IF($B143=$B142,$HD142,0)+$HC143</f>
        <v/>
      </c>
      <c r="HE143" s="62">
        <f>$HE142+$HC143</f>
        <v/>
      </c>
      <c r="HF143" s="62">
        <f>SUMIFS(tblSafety[RWI],tblSafety[Date],$A143)</f>
        <v/>
      </c>
      <c r="HG143" s="62">
        <f>IF($B143=$B142,$HG142,0)+$HF143</f>
        <v/>
      </c>
      <c r="HH143" s="62">
        <f>$HH142+$HF143</f>
        <v/>
      </c>
      <c r="HI143" s="62">
        <f>SUMIFS(tblSafety[MTI],tblSafety[Date],$A143)</f>
        <v/>
      </c>
      <c r="HJ143" s="62">
        <f>IF($B143=$B142,$HJ142,0)+$HI143</f>
        <v/>
      </c>
      <c r="HK143" s="62">
        <f>$HK142+$HI143</f>
        <v/>
      </c>
      <c r="HL143" s="62">
        <f>SUMIFS(tblSafety[FAI],tblSafety[Date],$A143)</f>
        <v/>
      </c>
      <c r="HM143" s="62">
        <f>IF($B143=$B142,$HM142,0)+$HL143</f>
        <v/>
      </c>
      <c r="HN143" s="62">
        <f>$HN142+$HL143</f>
        <v/>
      </c>
      <c r="HO143" s="62">
        <f>SUMIFS(tblSafety[Recordables],tblSafety[Date],$A143)</f>
        <v/>
      </c>
      <c r="HP143" s="62">
        <f>IF($B143=$B142,$HP142,0)+$HO143</f>
        <v/>
      </c>
      <c r="HQ143" s="62">
        <f>$HQ142+$HO143</f>
        <v/>
      </c>
      <c r="HR143" s="62">
        <f>SUMIFS(tblSafety[Near_Miss],tblSafety[Date],$A143)</f>
        <v/>
      </c>
      <c r="HS143" s="62">
        <f>IF($B143=$B142,$HS142,0)+$HR143</f>
        <v/>
      </c>
      <c r="HT143" s="62">
        <f>$HT142+$HR143</f>
        <v/>
      </c>
      <c r="HU143" s="62">
        <f>SUMIFS(tblSafety[Hazard_Reports],tblSafety[Date],$A143)</f>
        <v/>
      </c>
      <c r="HV143" s="62">
        <f>IF($B143=$B142,$HV142,0)+$HU143</f>
        <v/>
      </c>
      <c r="HW143" s="62">
        <f>$HW142+$HU143</f>
        <v/>
      </c>
      <c r="HX143" s="62">
        <f>SUMIFS(tblSafety[HPI],tblSafety[Date],$A143)</f>
        <v/>
      </c>
      <c r="HY143" s="62">
        <f>IF($B143=$B142,$HY142,0)+$HX143</f>
        <v/>
      </c>
      <c r="HZ143" s="62">
        <f>$HZ142+$HX143</f>
        <v/>
      </c>
      <c r="IA143" s="62">
        <f>SUMIFS(tblSafety[Env_Incidents],tblSafety[Date],$A143)</f>
        <v/>
      </c>
      <c r="IB143" s="62">
        <f>IF($B143=$B142,$IB142,0)+$IA143</f>
        <v/>
      </c>
      <c r="IC143" s="62">
        <f>$IC142+$IA143</f>
        <v/>
      </c>
      <c r="ID143" s="62">
        <f>SUMIFS(tblSafety[Community_Incidents],tblSafety[Date],$A143)</f>
        <v/>
      </c>
      <c r="IE143" s="62">
        <f>IF($B143=$B142,$IE142,0)+$ID143</f>
        <v/>
      </c>
      <c r="IF143" s="62">
        <f>$IF142+$ID143</f>
        <v/>
      </c>
      <c r="IG143" s="62">
        <f>SUMIFS(tblSafety[Vehicle_Incidents],tblSafety[Date],$A143)</f>
        <v/>
      </c>
      <c r="IH143" s="62">
        <f>IF($B143=$B142,$IH142,0)+$IG143</f>
        <v/>
      </c>
      <c r="II143" s="62">
        <f>$II142+$IG143</f>
        <v/>
      </c>
      <c r="IJ143" s="62">
        <f>SUMIFS(tblSafety[Toolbox_Talks],tblSafety[Date],$A143)</f>
        <v/>
      </c>
      <c r="IK143" s="62">
        <f>IF($B143=$B142,$IK142,0)+$IJ143</f>
        <v/>
      </c>
      <c r="IL143" s="62">
        <f>$IL142+$IJ143</f>
        <v/>
      </c>
      <c r="IM143" s="62">
        <f>SUMIFS(tblSafety[Inspections],tblSafety[Date],$A143)</f>
        <v/>
      </c>
      <c r="IN143" s="62">
        <f>IF($B143=$B142,$IN142,0)+$IM143</f>
        <v/>
      </c>
      <c r="IO143" s="62">
        <f>$IO142+$IM143</f>
        <v/>
      </c>
      <c r="IP143" s="56">
        <f>IFERROR((SUMIFS(tblSafety[Recordables],tblSafety[Date],"&gt;="&amp;EDATE($E143,-12),tblSafety[Date],"&lt;="&amp;$A143)+SUMIFS(tblSafetyHistory[Recordables],tblSafetyHistory[Month],"&gt;="&amp;EDATE($E143,-12),tblSafetyHistory[Month],"&lt;"&amp;$E143,tblSafetyHistory[Use],1))/(SUMIFS(tblSafety[Hours_Total],tblSafety[Date],"&gt;="&amp;EDATE($E143,-12),tblSafety[Date],"&lt;="&amp;$A143)+SUMIFS(tblSafetyHistory[Hours_Total],tblSafetyHistory[Month],"&gt;="&amp;EDATE($E143,-12),tblSafetyHistory[Month],"&lt;"&amp;$E143,tblSafetyHistory[Use],1))*cfg_RateBasisHours,"")</f>
        <v/>
      </c>
      <c r="IQ143" s="56">
        <f>IFERROR((SUMIFS(tblSafety[LTI],tblSafety[Date],"&gt;="&amp;EDATE($E143,-12),tblSafety[Date],"&lt;="&amp;$A143)+SUMIFS(tblSafetyHistory[LTI],tblSafetyHistory[Month],"&gt;="&amp;EDATE($E143,-12),tblSafetyHistory[Month],"&lt;"&amp;$E143,tblSafetyHistory[Use],1))/(SUMIFS(tblSafety[Hours_Total],tblSafety[Date],"&gt;="&amp;EDATE($E143,-12),tblSafety[Date],"&lt;="&amp;$A143)+SUMIFS(tblSafetyHistory[Hours_Total],tblSafetyHistory[Month],"&gt;="&amp;EDATE($E143,-12),tblSafetyHistory[Month],"&lt;"&amp;$E143,tblSafetyHistory[Use],1))*cfg_RateBasisHours,"")</f>
        <v/>
      </c>
      <c r="IR143" s="62">
        <f>IF(MAX(N(cfg_PriorLTIDate),_xlfn.MAXIFS(tblSafety[Date],tblSafety[LTI],"&gt;0",tblSafety[Date],"&lt;="&amp;$A143))=0,"",$A143-MAX(N(cfg_PriorLTIDate),_xlfn.MAXIFS(tblSafety[Date],tblSafety[LTI],"&gt;0",tblSafety[Date],"&lt;="&amp;$A143)))</f>
        <v/>
      </c>
      <c r="IS143" s="55">
        <f>SUMIFS(tblBudget[Ore_Mined_t],tblBudget[Month],$E143)</f>
        <v/>
      </c>
      <c r="IT143" s="55">
        <f>$IS143*$C143/$D143</f>
        <v/>
      </c>
      <c r="IU143" s="55">
        <f>SUMIFS(tblBudget[Ore_Mined_t],tblBudget[Month],"&lt;"&amp;$E143)+$IT143</f>
        <v/>
      </c>
      <c r="IV143" s="55">
        <f>SUMIFS(tblBudget[Ore_oz],tblBudget[Month],$E143)</f>
        <v/>
      </c>
      <c r="IW143" s="55">
        <f>$IV143*$C143/$D143</f>
        <v/>
      </c>
      <c r="IX143" s="55">
        <f>SUMIFS(tblBudget[Ore_oz],tblBudget[Month],"&lt;"&amp;$E143)+$IW143</f>
        <v/>
      </c>
      <c r="IY143" s="55">
        <f>SUMIFS(tblBudget[Ore_Mined_t],tblBudget[Month],$E143)</f>
        <v/>
      </c>
      <c r="IZ143" s="55">
        <f>$IY143*$C143/$D143</f>
        <v/>
      </c>
      <c r="JA143" s="55">
        <f>SUMIFS(tblBudget[Ore_Mined_t],tblBudget[Month],"&lt;"&amp;$E143)+$IZ143</f>
        <v/>
      </c>
      <c r="JB143" s="56">
        <f>IFERROR(IF(($IY143)&gt;0,($IV143*cfg_TroyOz)/($IY143),""),"")</f>
        <v/>
      </c>
      <c r="JC143" s="56">
        <f>IFERROR(IF(($IZ143)&gt;0,($IW143*cfg_TroyOz)/($IZ143),""),"")</f>
        <v/>
      </c>
      <c r="JD143" s="56">
        <f>IFERROR(IF(($JA143)&gt;0,($IX143*cfg_TroyOz)/($JA143),""),"")</f>
        <v/>
      </c>
      <c r="JE143" s="55">
        <f>SUMIFS(tblBudget[Waste_t],tblBudget[Month],$E143)</f>
        <v/>
      </c>
      <c r="JF143" s="55">
        <f>$JE143*$C143/$D143</f>
        <v/>
      </c>
      <c r="JG143" s="55">
        <f>SUMIFS(tblBudget[Waste_t],tblBudget[Month],"&lt;"&amp;$E143)+$JF143</f>
        <v/>
      </c>
      <c r="JH143" s="55">
        <f>SUMIFS(tblBudget[TMM_t],tblBudget[Month],$E143)</f>
        <v/>
      </c>
      <c r="JI143" s="55">
        <f>$JH143*$C143/$D143</f>
        <v/>
      </c>
      <c r="JJ143" s="55">
        <f>SUMIFS(tblBudget[TMM_t],tblBudget[Month],"&lt;"&amp;$E143)+$JI143</f>
        <v/>
      </c>
      <c r="JK143" s="56">
        <f>IFERROR(IF(($IS143)&gt;0,($JE143)/($IS143),""),"")</f>
        <v/>
      </c>
      <c r="JL143" s="56">
        <f>IFERROR(IF(($IT143)&gt;0,($JF143)/($IT143),""),"")</f>
        <v/>
      </c>
      <c r="JM143" s="56">
        <f>IFERROR(IF(($IU143)&gt;0,($JG143)/($IU143),""),"")</f>
        <v/>
      </c>
      <c r="JN143" s="55">
        <f>SUMIFS(tblBudget[Drill_m],tblBudget[Month],$E143)</f>
        <v/>
      </c>
      <c r="JO143" s="55">
        <f>$JN143*$C143/$D143</f>
        <v/>
      </c>
      <c r="JP143" s="55">
        <f>SUMIFS(tblBudget[Drill_m],tblBudget[Month],"&lt;"&amp;$E143)+$JO143</f>
        <v/>
      </c>
      <c r="JQ143" s="55">
        <f>SUMIFS(tblBudget[Diesel_L],tblBudget[Month],$E143)</f>
        <v/>
      </c>
      <c r="JR143" s="55">
        <f>$JQ143*$C143/$D143</f>
        <v/>
      </c>
      <c r="JS143" s="55">
        <f>SUMIFS(tblBudget[Diesel_L],tblBudget[Month],"&lt;"&amp;$E143)+$JR143</f>
        <v/>
      </c>
      <c r="JT143" s="55">
        <f>SUMIFS(tblBudget[Milled_t],tblBudget[Month],$E143)</f>
        <v/>
      </c>
      <c r="JU143" s="55">
        <f>$JT143*$C143/$D143</f>
        <v/>
      </c>
      <c r="JV143" s="55">
        <f>SUMIFS(tblBudget[Milled_t],tblBudget[Month],"&lt;"&amp;$E143)+$JU143</f>
        <v/>
      </c>
      <c r="JW143" s="55">
        <f>SUMIFS(tblBudget[Feed_oz],tblBudget[Month],$E143)</f>
        <v/>
      </c>
      <c r="JX143" s="55">
        <f>$JW143*$C143/$D143</f>
        <v/>
      </c>
      <c r="JY143" s="55">
        <f>SUMIFS(tblBudget[Feed_oz],tblBudget[Month],"&lt;"&amp;$E143)+$JX143</f>
        <v/>
      </c>
      <c r="JZ143" s="55">
        <f>SUMIFS(tblBudget[Recovered_oz],tblBudget[Month],$E143)</f>
        <v/>
      </c>
      <c r="KA143" s="55">
        <f>$JZ143*$C143/$D143</f>
        <v/>
      </c>
      <c r="KB143" s="55">
        <f>SUMIFS(tblBudget[Recovered_oz],tblBudget[Month],"&lt;"&amp;$E143)+$KA143</f>
        <v/>
      </c>
      <c r="KC143" s="55">
        <f>SUMIFS(tblBudget[Milled_t],tblBudget[Month],$E143)</f>
        <v/>
      </c>
      <c r="KD143" s="55">
        <f>$KC143*$C143/$D143</f>
        <v/>
      </c>
      <c r="KE143" s="55">
        <f>SUMIFS(tblBudget[Milled_t],tblBudget[Month],"&lt;"&amp;$E143)+$KD143</f>
        <v/>
      </c>
      <c r="KF143" s="55">
        <f>SUMIFS(tblBudget[Feed_oz],tblBudget[Month],$E143)</f>
        <v/>
      </c>
      <c r="KG143" s="55">
        <f>$KF143*$C143/$D143</f>
        <v/>
      </c>
      <c r="KH143" s="55">
        <f>SUMIFS(tblBudget[Feed_oz],tblBudget[Month],"&lt;"&amp;$E143)+$KG143</f>
        <v/>
      </c>
      <c r="KI143" s="56">
        <f>IFERROR(IF(($KC143)&gt;0,($JW143*cfg_TroyOz)/($KC143),""),"")</f>
        <v/>
      </c>
      <c r="KJ143" s="56">
        <f>IFERROR(IF(($KD143)&gt;0,($JX143*cfg_TroyOz)/($KD143),""),"")</f>
        <v/>
      </c>
      <c r="KK143" s="56">
        <f>IFERROR(IF(($KE143)&gt;0,($JY143*cfg_TroyOz)/($KE143),""),"")</f>
        <v/>
      </c>
      <c r="KL143" s="67">
        <f>IFERROR(IF(($KF143)&gt;0,($JZ143)/($KF143),""),"")</f>
        <v/>
      </c>
      <c r="KM143" s="67">
        <f>IFERROR(IF(($KG143)&gt;0,($KA143)/($KG143),""),"")</f>
        <v/>
      </c>
      <c r="KN143" s="67">
        <f>IFERROR(IF(($KH143)&gt;0,($KB143)/($KH143),""),"")</f>
        <v/>
      </c>
      <c r="KO143" s="55">
        <f>SUMIFS(tblBudget[Gold_Poured_oz],tblBudget[Month],$E143)</f>
        <v/>
      </c>
      <c r="KP143" s="55">
        <f>$KO143*$C143/$D143</f>
        <v/>
      </c>
      <c r="KQ143" s="55">
        <f>SUMIFS(tblBudget[Gold_Poured_oz],tblBudget[Month],"&lt;"&amp;$E143)+$KP143</f>
        <v/>
      </c>
      <c r="KR143" s="57">
        <f>SUMIFS(tblBudget[Hours_Worked],tblBudget[Month],$E143)</f>
        <v/>
      </c>
      <c r="KS143" s="57">
        <f>$KR143*$C143/$D143</f>
        <v/>
      </c>
      <c r="KT143" s="57">
        <f>SUMIFS(tblBudget[Hours_Worked],tblBudget[Month],"&lt;"&amp;$E143)+$KS143</f>
        <v/>
      </c>
    </row>
    <row r="144">
      <c r="A144" s="54" t="n">
        <v>46165</v>
      </c>
      <c r="B144">
        <f>MONTH($A144)</f>
        <v/>
      </c>
      <c r="C144">
        <f>DAY($A144)</f>
        <v/>
      </c>
      <c r="D144">
        <f>DAY(EOMONTH($A144,0))</f>
        <v/>
      </c>
      <c r="E144" s="54">
        <f>DATE(YEAR($A144),MONTH($A144),1)</f>
        <v/>
      </c>
      <c r="F144" s="55">
        <f>SUMIFS(tblMovement[Tonnes_t],tblMovement[Date],$A144,tblMovement[Is_Ore],1,tblMovement[Source_Type],"Pit")</f>
        <v/>
      </c>
      <c r="G144" s="55">
        <f>IF($B144=$B143,$G143,0)+$F144</f>
        <v/>
      </c>
      <c r="H144" s="55">
        <f>$H143+$F144</f>
        <v/>
      </c>
      <c r="I144" s="55">
        <f>SUMIFS(tblMovement[Ore_oz],tblMovement[Date],$A144,tblMovement[Source_Type],"Pit")</f>
        <v/>
      </c>
      <c r="J144" s="55">
        <f>IF($B144=$B143,$J143,0)+$I144</f>
        <v/>
      </c>
      <c r="K144" s="55">
        <f>$K143+$I144</f>
        <v/>
      </c>
      <c r="L144" s="55">
        <f>SUMIFS(tblMovement[Tonnes_t],tblMovement[Date],$A144,tblMovement[Is_Ore],1,tblMovement[Source_Type],"Pit",tblMovement[Grade_gpt],"&lt;&gt;")</f>
        <v/>
      </c>
      <c r="M144" s="55">
        <f>IF($B144=$B143,$M143,0)+$L144</f>
        <v/>
      </c>
      <c r="N144" s="55">
        <f>$N143+$L144</f>
        <v/>
      </c>
      <c r="O144" s="56">
        <f>IFERROR(IF(($L144)&gt;0,($I144*cfg_TroyOz)/($L144),""),"")</f>
        <v/>
      </c>
      <c r="P144" s="56">
        <f>IFERROR(IF(($M144)&gt;0,($J144*cfg_TroyOz)/($M144),""),"")</f>
        <v/>
      </c>
      <c r="Q144" s="56">
        <f>IFERROR(IF(($N144)&gt;0,($K144*cfg_TroyOz)/($N144),""),"")</f>
        <v/>
      </c>
      <c r="R144" s="55">
        <f>$F144-$L144</f>
        <v/>
      </c>
      <c r="S144" s="55">
        <f>IF($B144=$B143,$S143,0)+$R144</f>
        <v/>
      </c>
      <c r="T144" s="55">
        <f>$T143+$R144</f>
        <v/>
      </c>
      <c r="U144" s="55">
        <f>SUMIFS(tblMovement[Tonnes_t],tblMovement[Date],$A144,tblMovement[Is_Ore],0,tblMovement[Source_Type],"Pit")</f>
        <v/>
      </c>
      <c r="V144" s="55">
        <f>IF($B144=$B143,$V143,0)+$U144</f>
        <v/>
      </c>
      <c r="W144" s="55">
        <f>$W143+$U144</f>
        <v/>
      </c>
      <c r="X144" s="55">
        <f>$F144+$U144</f>
        <v/>
      </c>
      <c r="Y144" s="55">
        <f>IF($B144=$B143,$Y143,0)+$X144</f>
        <v/>
      </c>
      <c r="Z144" s="55">
        <f>$Z143+$X144</f>
        <v/>
      </c>
      <c r="AA144" s="56">
        <f>IFERROR(IF(($F144)&gt;0,($U144)/($F144),""),"")</f>
        <v/>
      </c>
      <c r="AB144" s="56">
        <f>IFERROR(IF(($G144)&gt;0,($V144)/($G144),""),"")</f>
        <v/>
      </c>
      <c r="AC144" s="56">
        <f>IFERROR(IF(($H144)&gt;0,($W144)/($H144),""),"")</f>
        <v/>
      </c>
      <c r="AD144" s="55">
        <f>SUMIFS(tblMovement[Tonnes_t],tblMovement[Date],$A144,tblMovement[Source_Type],"Stockpile")</f>
        <v/>
      </c>
      <c r="AE144" s="55">
        <f>IF($B144=$B143,$AE143,0)+$AD144</f>
        <v/>
      </c>
      <c r="AF144" s="55">
        <f>$AF143+$AD144</f>
        <v/>
      </c>
      <c r="AG144" s="55">
        <f>SUMIFS(tblMovement[Tonnes_t],tblMovement[Date],$A144)</f>
        <v/>
      </c>
      <c r="AH144" s="55">
        <f>IF($B144=$B143,$AH143,0)+$AG144</f>
        <v/>
      </c>
      <c r="AI144" s="55">
        <f>$AI143+$AG144</f>
        <v/>
      </c>
      <c r="AJ144" s="55">
        <f>$AG144-$X144-$AD144</f>
        <v/>
      </c>
      <c r="AK144" s="55">
        <f>IF($B144=$B143,$AK143,0)+$AJ144</f>
        <v/>
      </c>
      <c r="AL144" s="55">
        <f>$AL143+$AJ144</f>
        <v/>
      </c>
      <c r="AM144" s="55">
        <f>SUMIFS(tblMiningDaily[Drill_m],tblMiningDaily[Date],$A144)</f>
        <v/>
      </c>
      <c r="AN144" s="55">
        <f>IF($B144=$B143,$AN143,0)+$AM144</f>
        <v/>
      </c>
      <c r="AO144" s="55">
        <f>$AO143+$AM144</f>
        <v/>
      </c>
      <c r="AP144" s="55">
        <f>SUMIFS(tblMiningDaily[GC_Drill_m],tblMiningDaily[Date],$A144)</f>
        <v/>
      </c>
      <c r="AQ144" s="55">
        <f>IF($B144=$B143,$AQ143,0)+$AP144</f>
        <v/>
      </c>
      <c r="AR144" s="55">
        <f>$AR143+$AP144</f>
        <v/>
      </c>
      <c r="AS144" s="55">
        <f>SUMIFS(tblMiningDaily[Blast_t],tblMiningDaily[Date],$A144)</f>
        <v/>
      </c>
      <c r="AT144" s="55">
        <f>IF($B144=$B143,$AT143,0)+$AS144</f>
        <v/>
      </c>
      <c r="AU144" s="55">
        <f>$AU143+$AS144</f>
        <v/>
      </c>
      <c r="AV144" s="55">
        <f>SUMIFS(tblMiningDaily[Explosives_kg],tblMiningDaily[Date],$A144)</f>
        <v/>
      </c>
      <c r="AW144" s="55">
        <f>IF($B144=$B143,$AW143,0)+$AV144</f>
        <v/>
      </c>
      <c r="AX144" s="55">
        <f>$AX143+$AV144</f>
        <v/>
      </c>
      <c r="AY144" s="56">
        <f>IFERROR(IF(($AS144)&gt;0,($AV144)/($AS144),""),"")</f>
        <v/>
      </c>
      <c r="AZ144" s="56">
        <f>IFERROR(IF(($AT144)&gt;0,($AW144)/($AT144),""),"")</f>
        <v/>
      </c>
      <c r="BA144" s="56">
        <f>IFERROR(IF(($AU144)&gt;0,($AX144)/($AU144),""),"")</f>
        <v/>
      </c>
      <c r="BB144" s="55">
        <f>SUMIFS(tblMiningDaily[Diesel_L],tblMiningDaily[Date],$A144)</f>
        <v/>
      </c>
      <c r="BC144" s="55">
        <f>IF($B144=$B143,$BC143,0)+$BB144</f>
        <v/>
      </c>
      <c r="BD144" s="55">
        <f>$BD143+$BB144</f>
        <v/>
      </c>
      <c r="BE144" s="55">
        <f>SUMIFS(tblMiningDaily[Dewatering_m3],tblMiningDaily[Date],$A144)</f>
        <v/>
      </c>
      <c r="BF144" s="55">
        <f>IF($B144=$B143,$BF143,0)+$BE144</f>
        <v/>
      </c>
      <c r="BG144" s="55">
        <f>$BG143+$BE144</f>
        <v/>
      </c>
      <c r="BH144" s="57">
        <f>SUMIFS(tblFleet[Calendar_h],tblFleet[Date],$A144,tblFleet[Equipment_Class],"Excavator")</f>
        <v/>
      </c>
      <c r="BI144" s="57">
        <f>IF($B144=$B143,$BI143,0)+$BH144</f>
        <v/>
      </c>
      <c r="BJ144" s="57">
        <f>$BJ143+$BH144</f>
        <v/>
      </c>
      <c r="BK144" s="57">
        <f>SUMIFS(tblFleet[Available_h],tblFleet[Date],$A144,tblFleet[Equipment_Class],"Excavator")</f>
        <v/>
      </c>
      <c r="BL144" s="57">
        <f>IF($B144=$B143,$BL143,0)+$BK144</f>
        <v/>
      </c>
      <c r="BM144" s="57">
        <f>$BM143+$BK144</f>
        <v/>
      </c>
      <c r="BN144" s="57">
        <f>SUMIFS(tblFleet[Operating_h],tblFleet[Date],$A144,tblFleet[Equipment_Class],"Excavator")</f>
        <v/>
      </c>
      <c r="BO144" s="57">
        <f>IF($B144=$B143,$BO143,0)+$BN144</f>
        <v/>
      </c>
      <c r="BP144" s="57">
        <f>$BP143+$BN144</f>
        <v/>
      </c>
      <c r="BQ144" s="67">
        <f>IFERROR(IF(($BH144)&gt;0,($BK144)/($BH144),""),"")</f>
        <v/>
      </c>
      <c r="BR144" s="67">
        <f>IFERROR(IF(($BI144)&gt;0,($BL144)/($BI144),""),"")</f>
        <v/>
      </c>
      <c r="BS144" s="67">
        <f>IFERROR(IF(($BJ144)&gt;0,($BM144)/($BJ144),""),"")</f>
        <v/>
      </c>
      <c r="BT144" s="67">
        <f>IFERROR(IF(($BK144)&gt;0,($BN144)/($BK144),""),"")</f>
        <v/>
      </c>
      <c r="BU144" s="67">
        <f>IFERROR(IF(($BL144)&gt;0,($BO144)/($BL144),""),"")</f>
        <v/>
      </c>
      <c r="BV144" s="67">
        <f>IFERROR(IF(($BM144)&gt;0,($BP144)/($BM144),""),"")</f>
        <v/>
      </c>
      <c r="BW144" s="57">
        <f>SUMIFS(tblFleet[Calendar_h],tblFleet[Date],$A144,tblFleet[Equipment_Class],"Haul Truck")</f>
        <v/>
      </c>
      <c r="BX144" s="57">
        <f>IF($B144=$B143,$BX143,0)+$BW144</f>
        <v/>
      </c>
      <c r="BY144" s="57">
        <f>$BY143+$BW144</f>
        <v/>
      </c>
      <c r="BZ144" s="57">
        <f>SUMIFS(tblFleet[Available_h],tblFleet[Date],$A144,tblFleet[Equipment_Class],"Haul Truck")</f>
        <v/>
      </c>
      <c r="CA144" s="57">
        <f>IF($B144=$B143,$CA143,0)+$BZ144</f>
        <v/>
      </c>
      <c r="CB144" s="57">
        <f>$CB143+$BZ144</f>
        <v/>
      </c>
      <c r="CC144" s="57">
        <f>SUMIFS(tblFleet[Operating_h],tblFleet[Date],$A144,tblFleet[Equipment_Class],"Haul Truck")</f>
        <v/>
      </c>
      <c r="CD144" s="57">
        <f>IF($B144=$B143,$CD143,0)+$CC144</f>
        <v/>
      </c>
      <c r="CE144" s="57">
        <f>$CE143+$CC144</f>
        <v/>
      </c>
      <c r="CF144" s="67">
        <f>IFERROR(IF(($BW144)&gt;0,($BZ144)/($BW144),""),"")</f>
        <v/>
      </c>
      <c r="CG144" s="67">
        <f>IFERROR(IF(($BX144)&gt;0,($CA144)/($BX144),""),"")</f>
        <v/>
      </c>
      <c r="CH144" s="67">
        <f>IFERROR(IF(($BY144)&gt;0,($CB144)/($BY144),""),"")</f>
        <v/>
      </c>
      <c r="CI144" s="67">
        <f>IFERROR(IF(($BZ144)&gt;0,($CC144)/($BZ144),""),"")</f>
        <v/>
      </c>
      <c r="CJ144" s="67">
        <f>IFERROR(IF(($CA144)&gt;0,($CD144)/($CA144),""),"")</f>
        <v/>
      </c>
      <c r="CK144" s="67">
        <f>IFERROR(IF(($CB144)&gt;0,($CE144)/($CB144),""),"")</f>
        <v/>
      </c>
      <c r="CL144" s="55">
        <f>IFERROR(IF(($BN144)&gt;0,($X144+$AD144)/($BN144),""),"")</f>
        <v/>
      </c>
      <c r="CM144" s="55">
        <f>IFERROR(IF(($BO144)&gt;0,($Y144+$AE144)/($BO144),""),"")</f>
        <v/>
      </c>
      <c r="CN144" s="55">
        <f>IFERROR(IF(($BP144)&gt;0,($Z144+$AF144)/($BP144),""),"")</f>
        <v/>
      </c>
      <c r="CO144" s="55">
        <f>IFERROR(IF(($CC144)&gt;0,($X144+$AD144)/($CC144),""),"")</f>
        <v/>
      </c>
      <c r="CP144" s="55">
        <f>IFERROR(IF(($CD144)&gt;0,($Y144+$AE144)/($CD144),""),"")</f>
        <v/>
      </c>
      <c r="CQ144" s="55">
        <f>IFERROR(IF(($CE144)&gt;0,($Z144+$AF144)/($CE144),""),"")</f>
        <v/>
      </c>
      <c r="CR144" s="55">
        <f>SUMIFS(tblPlant[Crushed_t],tblPlant[Date],$A144)</f>
        <v/>
      </c>
      <c r="CS144" s="55">
        <f>IF($B144=$B143,$CS143,0)+$CR144</f>
        <v/>
      </c>
      <c r="CT144" s="55">
        <f>$CT143+$CR144</f>
        <v/>
      </c>
      <c r="CU144" s="55">
        <f>SUMIFS(tblPlant[Milled_t],tblPlant[Date],$A144)</f>
        <v/>
      </c>
      <c r="CV144" s="55">
        <f>IF($B144=$B143,$CV143,0)+$CU144</f>
        <v/>
      </c>
      <c r="CW144" s="55">
        <f>$CW143+$CU144</f>
        <v/>
      </c>
      <c r="CX144" s="55">
        <f>SUMIFS(tblPlant[Feed_oz],tblPlant[Date],$A144)</f>
        <v/>
      </c>
      <c r="CY144" s="55">
        <f>IF($B144=$B143,$CY143,0)+$CX144</f>
        <v/>
      </c>
      <c r="CZ144" s="55">
        <f>$CZ143+$CX144</f>
        <v/>
      </c>
      <c r="DA144" s="55">
        <f>SUMIFS(tblPlant[Tails_oz],tblPlant[Date],$A144)</f>
        <v/>
      </c>
      <c r="DB144" s="55">
        <f>IF($B144=$B143,$DB143,0)+$DA144</f>
        <v/>
      </c>
      <c r="DC144" s="55">
        <f>$DC143+$DA144</f>
        <v/>
      </c>
      <c r="DD144" s="55">
        <f>SUMIFS(tblPlant[Recovered_oz],tblPlant[Date],$A144)</f>
        <v/>
      </c>
      <c r="DE144" s="55">
        <f>IF($B144=$B143,$DE143,0)+$DD144</f>
        <v/>
      </c>
      <c r="DF144" s="55">
        <f>$DF143+$DD144</f>
        <v/>
      </c>
      <c r="DG144" s="55">
        <f>SUMIFS(tblPlant[Milled_t],tblPlant[Date],$A144,tblPlant[Head_Grade_gpt],"&lt;&gt;")</f>
        <v/>
      </c>
      <c r="DH144" s="55">
        <f>IF($B144=$B143,$DH143,0)+$DG144</f>
        <v/>
      </c>
      <c r="DI144" s="55">
        <f>$DI143+$DG144</f>
        <v/>
      </c>
      <c r="DJ144" s="55">
        <f>SUMIFS(tblPlant[Milled_t],tblPlant[Date],$A144,tblPlant[Tails_Grade_gpt],"&lt;&gt;")</f>
        <v/>
      </c>
      <c r="DK144" s="55">
        <f>IF($B144=$B143,$DK143,0)+$DJ144</f>
        <v/>
      </c>
      <c r="DL144" s="55">
        <f>$DL143+$DJ144</f>
        <v/>
      </c>
      <c r="DM144" s="55">
        <f>SUMIFS(tblPlant[Feed_oz],tblPlant[Date],$A144,tblPlant[Tails_Grade_gpt],"&lt;&gt;")</f>
        <v/>
      </c>
      <c r="DN144" s="55">
        <f>IF($B144=$B143,$DN143,0)+$DM144</f>
        <v/>
      </c>
      <c r="DO144" s="55">
        <f>$DO143+$DM144</f>
        <v/>
      </c>
      <c r="DP144" s="55">
        <f>SUMIFS(tblPlant[Milled_t],tblPlant[Date],$A144,tblPlant[Mill_Run_h],"&lt;&gt;")</f>
        <v/>
      </c>
      <c r="DQ144" s="55">
        <f>IF($B144=$B143,$DQ143,0)+$DP144</f>
        <v/>
      </c>
      <c r="DR144" s="55">
        <f>$DR143+$DP144</f>
        <v/>
      </c>
      <c r="DS144" s="56">
        <f>IFERROR(IF(($DG144)&gt;0,($CX144*cfg_TroyOz)/($DG144),""),"")</f>
        <v/>
      </c>
      <c r="DT144" s="56">
        <f>IFERROR(IF(($DH144)&gt;0,($CY144*cfg_TroyOz)/($DH144),""),"")</f>
        <v/>
      </c>
      <c r="DU144" s="56">
        <f>IFERROR(IF(($DI144)&gt;0,($CZ144*cfg_TroyOz)/($DI144),""),"")</f>
        <v/>
      </c>
      <c r="DV144" s="56">
        <f>IFERROR(IF(($DJ144)&gt;0,($DA144*cfg_TroyOz)/($DJ144),""),"")</f>
        <v/>
      </c>
      <c r="DW144" s="56">
        <f>IFERROR(IF(($DK144)&gt;0,($DB144*cfg_TroyOz)/($DK144),""),"")</f>
        <v/>
      </c>
      <c r="DX144" s="56">
        <f>IFERROR(IF(($DL144)&gt;0,($DC144*cfg_TroyOz)/($DL144),""),"")</f>
        <v/>
      </c>
      <c r="DY144" s="67">
        <f>IFERROR(IF(($DM144)&gt;0,($DD144)/($DM144),""),"")</f>
        <v/>
      </c>
      <c r="DZ144" s="67">
        <f>IFERROR(IF(($DN144)&gt;0,($DE144)/($DN144),""),"")</f>
        <v/>
      </c>
      <c r="EA144" s="67">
        <f>IFERROR(IF(($DO144)&gt;0,($DF144)/($DO144),""),"")</f>
        <v/>
      </c>
      <c r="EB144" s="55">
        <f>SUMIFS(tblPlant[Gravity_Gold_oz],tblPlant[Date],$A144)</f>
        <v/>
      </c>
      <c r="EC144" s="55">
        <f>IF($B144=$B143,$EC143,0)+$EB144</f>
        <v/>
      </c>
      <c r="ED144" s="55">
        <f>$ED143+$EB144</f>
        <v/>
      </c>
      <c r="EE144" s="67">
        <f>IFERROR(IF(($DD144)&gt;0,($EB144)/($DD144),""),"")</f>
        <v/>
      </c>
      <c r="EF144" s="67">
        <f>IFERROR(IF(($DE144)&gt;0,($EC144)/($DE144),""),"")</f>
        <v/>
      </c>
      <c r="EG144" s="67">
        <f>IFERROR(IF(($DF144)&gt;0,($ED144)/($DF144),""),"")</f>
        <v/>
      </c>
      <c r="EH144" s="55">
        <f>SUMIFS(tblPlant[Gold_Poured_oz],tblPlant[Date],$A144)</f>
        <v/>
      </c>
      <c r="EI144" s="55">
        <f>IF($B144=$B143,$EI143,0)+$EH144</f>
        <v/>
      </c>
      <c r="EJ144" s="55">
        <f>$EJ143+$EH144</f>
        <v/>
      </c>
      <c r="EK144" s="57">
        <f>SUMIFS(tblPlant[Mill_Run_h],tblPlant[Date],$A144)</f>
        <v/>
      </c>
      <c r="EL144" s="57">
        <f>IF($B144=$B143,$EL143,0)+$EK144</f>
        <v/>
      </c>
      <c r="EM144" s="57">
        <f>$EM143+$EK144</f>
        <v/>
      </c>
      <c r="EN144" s="57">
        <f>SUMIFS(tblPlant[Mill_Planned_Maint_h],tblPlant[Date],$A144)</f>
        <v/>
      </c>
      <c r="EO144" s="57">
        <f>IF($B144=$B143,$EO143,0)+$EN144</f>
        <v/>
      </c>
      <c r="EP144" s="57">
        <f>$EP143+$EN144</f>
        <v/>
      </c>
      <c r="EQ144" s="57">
        <f>SUMIFS(tblPlant[Mill_Unplanned_Down_h],tblPlant[Date],$A144)</f>
        <v/>
      </c>
      <c r="ER144" s="57">
        <f>IF($B144=$B143,$ER143,0)+$EQ144</f>
        <v/>
      </c>
      <c r="ES144" s="57">
        <f>$ES143+$EQ144</f>
        <v/>
      </c>
      <c r="ET144" s="57">
        <f>IF(COUNTIFS(tblPlant[Date],$A144,tblPlant[Mill_Run_h],"&lt;&gt;")+COUNTIFS(tblPlant[Date],$A144,tblPlant[Mill_Planned_Maint_h],"&lt;&gt;")+COUNTIFS(tblPlant[Date],$A144,tblPlant[Mill_Unplanned_Down_h],"&lt;&gt;")&gt;0,cfg_HoursPerDay,0)</f>
        <v/>
      </c>
      <c r="EU144" s="57">
        <f>IF($B144=$B143,$EU143,0)+$ET144</f>
        <v/>
      </c>
      <c r="EV144" s="57">
        <f>$EV143+$ET144</f>
        <v/>
      </c>
      <c r="EW144" s="57">
        <f>SUMIFS(tblPlant[Crusher_Run_h],tblPlant[Date],$A144)</f>
        <v/>
      </c>
      <c r="EX144" s="57">
        <f>IF($B144=$B143,$EX143,0)+$EW144</f>
        <v/>
      </c>
      <c r="EY144" s="57">
        <f>$EY143+$EW144</f>
        <v/>
      </c>
      <c r="EZ144" s="55">
        <f>IFERROR(IF(($EK144)&gt;0,($DP144)/($EK144),""),"")</f>
        <v/>
      </c>
      <c r="FA144" s="55">
        <f>IFERROR(IF(($EL144)&gt;0,($DQ144)/($EL144),""),"")</f>
        <v/>
      </c>
      <c r="FB144" s="55">
        <f>IFERROR(IF(($EM144)&gt;0,($DR144)/($EM144),""),"")</f>
        <v/>
      </c>
      <c r="FC144" s="67">
        <f>IFERROR(IF(($ET144)&gt;0,($ET144-$EN144-$EQ144)/($ET144),""),"")</f>
        <v/>
      </c>
      <c r="FD144" s="67">
        <f>IFERROR(IF(($EU144)&gt;0,($EU144-$EO144-$ER144)/($EU144),""),"")</f>
        <v/>
      </c>
      <c r="FE144" s="67">
        <f>IFERROR(IF(($EV144)&gt;0,($EV144-$EP144-$ES144)/($EV144),""),"")</f>
        <v/>
      </c>
      <c r="FF144" s="67">
        <f>IFERROR(IF(($ET144-$EN144-$EQ144)&gt;0,($EK144)/($ET144-$EN144-$EQ144),""),"")</f>
        <v/>
      </c>
      <c r="FG144" s="67">
        <f>IFERROR(IF(($EU144-$EO144-$ER144)&gt;0,($EL144)/($EU144-$EO144-$ER144),""),"")</f>
        <v/>
      </c>
      <c r="FH144" s="67">
        <f>IFERROR(IF(($EV144-$EP144-$ES144)&gt;0,($EM144)/($EV144-$EP144-$ES144),""),"")</f>
        <v/>
      </c>
      <c r="FI144" s="55">
        <f>SUMIFS(tblPlant[Cyanide_kg],tblPlant[Date],$A144)</f>
        <v/>
      </c>
      <c r="FJ144" s="55">
        <f>IF($B144=$B143,$FJ143,0)+$FI144</f>
        <v/>
      </c>
      <c r="FK144" s="55">
        <f>$FK143+$FI144</f>
        <v/>
      </c>
      <c r="FL144" s="55">
        <f>SUMIFS(tblPlant[Lime_kg],tblPlant[Date],$A144)</f>
        <v/>
      </c>
      <c r="FM144" s="55">
        <f>IF($B144=$B143,$FM143,0)+$FL144</f>
        <v/>
      </c>
      <c r="FN144" s="55">
        <f>$FN143+$FL144</f>
        <v/>
      </c>
      <c r="FO144" s="55">
        <f>SUMIFS(tblPlant[Grinding_Media_kg],tblPlant[Date],$A144)</f>
        <v/>
      </c>
      <c r="FP144" s="55">
        <f>IF($B144=$B143,$FP143,0)+$FO144</f>
        <v/>
      </c>
      <c r="FQ144" s="55">
        <f>$FQ143+$FO144</f>
        <v/>
      </c>
      <c r="FR144" s="55">
        <f>SUMIFS(tblPlant[Power_kWh],tblPlant[Date],$A144)</f>
        <v/>
      </c>
      <c r="FS144" s="55">
        <f>IF($B144=$B143,$FS143,0)+$FR144</f>
        <v/>
      </c>
      <c r="FT144" s="55">
        <f>$FT143+$FR144</f>
        <v/>
      </c>
      <c r="FU144" s="55">
        <f>SUMIFS(tblPlant[Raw_Water_m3],tblPlant[Date],$A144)</f>
        <v/>
      </c>
      <c r="FV144" s="55">
        <f>IF($B144=$B143,$FV143,0)+$FU144</f>
        <v/>
      </c>
      <c r="FW144" s="55">
        <f>$FW143+$FU144</f>
        <v/>
      </c>
      <c r="FX144" s="56">
        <f>IFERROR(IF(($CU144)&gt;0,($FI144)/($CU144),""),"")</f>
        <v/>
      </c>
      <c r="FY144" s="56">
        <f>IFERROR(IF(($CV144)&gt;0,($FJ144)/($CV144),""),"")</f>
        <v/>
      </c>
      <c r="FZ144" s="56">
        <f>IFERROR(IF(($CW144)&gt;0,($FK144)/($CW144),""),"")</f>
        <v/>
      </c>
      <c r="GA144" s="56">
        <f>IFERROR(IF(($CU144)&gt;0,($FL144)/($CU144),""),"")</f>
        <v/>
      </c>
      <c r="GB144" s="56">
        <f>IFERROR(IF(($CV144)&gt;0,($FM144)/($CV144),""),"")</f>
        <v/>
      </c>
      <c r="GC144" s="56">
        <f>IFERROR(IF(($CW144)&gt;0,($FN144)/($CW144),""),"")</f>
        <v/>
      </c>
      <c r="GD144" s="56">
        <f>IFERROR(IF(($CU144)&gt;0,($FO144)/($CU144),""),"")</f>
        <v/>
      </c>
      <c r="GE144" s="56">
        <f>IFERROR(IF(($CV144)&gt;0,($FP144)/($CV144),""),"")</f>
        <v/>
      </c>
      <c r="GF144" s="56">
        <f>IFERROR(IF(($CW144)&gt;0,($FQ144)/($CW144),""),"")</f>
        <v/>
      </c>
      <c r="GG144" s="79">
        <f>IFERROR(IF(($CU144)&gt;0,($FR144)/($CU144),""),"")</f>
        <v/>
      </c>
      <c r="GH144" s="79">
        <f>IFERROR(IF(($CV144)&gt;0,($FS144)/($CV144),""),"")</f>
        <v/>
      </c>
      <c r="GI144" s="79">
        <f>IFERROR(IF(($CW144)&gt;0,($FT144)/($CW144),""),"")</f>
        <v/>
      </c>
      <c r="GJ144" s="56">
        <f>IFERROR(IF(($CU144)&gt;0,($FU144)/($CU144),""),"")</f>
        <v/>
      </c>
      <c r="GK144" s="56">
        <f>IFERROR(IF(($CV144)&gt;0,($FV144)/($CV144),""),"")</f>
        <v/>
      </c>
      <c r="GL144" s="56">
        <f>IFERROR(IF(($CW144)&gt;0,($FW144)/($CW144),""),"")</f>
        <v/>
      </c>
      <c r="GM144" s="55">
        <f>IF(SUMIFS(tblPlant[GIC_oz],tblPlant[Date],$A144)&gt;0,SUMIFS(tblPlant[GIC_oz],tblPlant[Date],$A144),"")</f>
        <v/>
      </c>
      <c r="GN144" s="55">
        <f>SUMIFS(tblGold[Gold_oz],tblGold[Date],$A144,tblGold[Type],"Shipment")</f>
        <v/>
      </c>
      <c r="GO144" s="55">
        <f>IF($B144=$B143,$GO143,0)+$GN144</f>
        <v/>
      </c>
      <c r="GP144" s="55">
        <f>$GP143+$GN144</f>
        <v/>
      </c>
      <c r="GQ144" s="55">
        <f>SUMIFS(tblGold[Gold_oz],tblGold[Date],$A144,tblGold[Type],"Sale")</f>
        <v/>
      </c>
      <c r="GR144" s="55">
        <f>IF($B144=$B143,$GR143,0)+$GQ144</f>
        <v/>
      </c>
      <c r="GS144" s="55">
        <f>$GS143+$GQ144</f>
        <v/>
      </c>
      <c r="GT144" s="55">
        <f>SUMIFS(tblGold[Dore_kg],tblGold[Date],$A144,tblGold[Type],"Shipment")</f>
        <v/>
      </c>
      <c r="GU144" s="55">
        <f>IF($B144=$B143,$GU143,0)+$GT144</f>
        <v/>
      </c>
      <c r="GV144" s="55">
        <f>$GV143+$GT144</f>
        <v/>
      </c>
      <c r="GW144" s="57">
        <f>SUMIFS(tblSafety[Hours_Total],tblSafety[Date],$A144)</f>
        <v/>
      </c>
      <c r="GX144" s="57">
        <f>IF($B144=$B143,$GX143,0)+$GW144</f>
        <v/>
      </c>
      <c r="GY144" s="57">
        <f>$GY143+$GW144</f>
        <v/>
      </c>
      <c r="GZ144" s="62">
        <f>SUMIFS(tblSafety[Fatality],tblSafety[Date],$A144)</f>
        <v/>
      </c>
      <c r="HA144" s="62">
        <f>IF($B144=$B143,$HA143,0)+$GZ144</f>
        <v/>
      </c>
      <c r="HB144" s="62">
        <f>$HB143+$GZ144</f>
        <v/>
      </c>
      <c r="HC144" s="62">
        <f>SUMIFS(tblSafety[LTI],tblSafety[Date],$A144)</f>
        <v/>
      </c>
      <c r="HD144" s="62">
        <f>IF($B144=$B143,$HD143,0)+$HC144</f>
        <v/>
      </c>
      <c r="HE144" s="62">
        <f>$HE143+$HC144</f>
        <v/>
      </c>
      <c r="HF144" s="62">
        <f>SUMIFS(tblSafety[RWI],tblSafety[Date],$A144)</f>
        <v/>
      </c>
      <c r="HG144" s="62">
        <f>IF($B144=$B143,$HG143,0)+$HF144</f>
        <v/>
      </c>
      <c r="HH144" s="62">
        <f>$HH143+$HF144</f>
        <v/>
      </c>
      <c r="HI144" s="62">
        <f>SUMIFS(tblSafety[MTI],tblSafety[Date],$A144)</f>
        <v/>
      </c>
      <c r="HJ144" s="62">
        <f>IF($B144=$B143,$HJ143,0)+$HI144</f>
        <v/>
      </c>
      <c r="HK144" s="62">
        <f>$HK143+$HI144</f>
        <v/>
      </c>
      <c r="HL144" s="62">
        <f>SUMIFS(tblSafety[FAI],tblSafety[Date],$A144)</f>
        <v/>
      </c>
      <c r="HM144" s="62">
        <f>IF($B144=$B143,$HM143,0)+$HL144</f>
        <v/>
      </c>
      <c r="HN144" s="62">
        <f>$HN143+$HL144</f>
        <v/>
      </c>
      <c r="HO144" s="62">
        <f>SUMIFS(tblSafety[Recordables],tblSafety[Date],$A144)</f>
        <v/>
      </c>
      <c r="HP144" s="62">
        <f>IF($B144=$B143,$HP143,0)+$HO144</f>
        <v/>
      </c>
      <c r="HQ144" s="62">
        <f>$HQ143+$HO144</f>
        <v/>
      </c>
      <c r="HR144" s="62">
        <f>SUMIFS(tblSafety[Near_Miss],tblSafety[Date],$A144)</f>
        <v/>
      </c>
      <c r="HS144" s="62">
        <f>IF($B144=$B143,$HS143,0)+$HR144</f>
        <v/>
      </c>
      <c r="HT144" s="62">
        <f>$HT143+$HR144</f>
        <v/>
      </c>
      <c r="HU144" s="62">
        <f>SUMIFS(tblSafety[Hazard_Reports],tblSafety[Date],$A144)</f>
        <v/>
      </c>
      <c r="HV144" s="62">
        <f>IF($B144=$B143,$HV143,0)+$HU144</f>
        <v/>
      </c>
      <c r="HW144" s="62">
        <f>$HW143+$HU144</f>
        <v/>
      </c>
      <c r="HX144" s="62">
        <f>SUMIFS(tblSafety[HPI],tblSafety[Date],$A144)</f>
        <v/>
      </c>
      <c r="HY144" s="62">
        <f>IF($B144=$B143,$HY143,0)+$HX144</f>
        <v/>
      </c>
      <c r="HZ144" s="62">
        <f>$HZ143+$HX144</f>
        <v/>
      </c>
      <c r="IA144" s="62">
        <f>SUMIFS(tblSafety[Env_Incidents],tblSafety[Date],$A144)</f>
        <v/>
      </c>
      <c r="IB144" s="62">
        <f>IF($B144=$B143,$IB143,0)+$IA144</f>
        <v/>
      </c>
      <c r="IC144" s="62">
        <f>$IC143+$IA144</f>
        <v/>
      </c>
      <c r="ID144" s="62">
        <f>SUMIFS(tblSafety[Community_Incidents],tblSafety[Date],$A144)</f>
        <v/>
      </c>
      <c r="IE144" s="62">
        <f>IF($B144=$B143,$IE143,0)+$ID144</f>
        <v/>
      </c>
      <c r="IF144" s="62">
        <f>$IF143+$ID144</f>
        <v/>
      </c>
      <c r="IG144" s="62">
        <f>SUMIFS(tblSafety[Vehicle_Incidents],tblSafety[Date],$A144)</f>
        <v/>
      </c>
      <c r="IH144" s="62">
        <f>IF($B144=$B143,$IH143,0)+$IG144</f>
        <v/>
      </c>
      <c r="II144" s="62">
        <f>$II143+$IG144</f>
        <v/>
      </c>
      <c r="IJ144" s="62">
        <f>SUMIFS(tblSafety[Toolbox_Talks],tblSafety[Date],$A144)</f>
        <v/>
      </c>
      <c r="IK144" s="62">
        <f>IF($B144=$B143,$IK143,0)+$IJ144</f>
        <v/>
      </c>
      <c r="IL144" s="62">
        <f>$IL143+$IJ144</f>
        <v/>
      </c>
      <c r="IM144" s="62">
        <f>SUMIFS(tblSafety[Inspections],tblSafety[Date],$A144)</f>
        <v/>
      </c>
      <c r="IN144" s="62">
        <f>IF($B144=$B143,$IN143,0)+$IM144</f>
        <v/>
      </c>
      <c r="IO144" s="62">
        <f>$IO143+$IM144</f>
        <v/>
      </c>
      <c r="IP144" s="56">
        <f>IFERROR((SUMIFS(tblSafety[Recordables],tblSafety[Date],"&gt;="&amp;EDATE($E144,-12),tblSafety[Date],"&lt;="&amp;$A144)+SUMIFS(tblSafetyHistory[Recordables],tblSafetyHistory[Month],"&gt;="&amp;EDATE($E144,-12),tblSafetyHistory[Month],"&lt;"&amp;$E144,tblSafetyHistory[Use],1))/(SUMIFS(tblSafety[Hours_Total],tblSafety[Date],"&gt;="&amp;EDATE($E144,-12),tblSafety[Date],"&lt;="&amp;$A144)+SUMIFS(tblSafetyHistory[Hours_Total],tblSafetyHistory[Month],"&gt;="&amp;EDATE($E144,-12),tblSafetyHistory[Month],"&lt;"&amp;$E144,tblSafetyHistory[Use],1))*cfg_RateBasisHours,"")</f>
        <v/>
      </c>
      <c r="IQ144" s="56">
        <f>IFERROR((SUMIFS(tblSafety[LTI],tblSafety[Date],"&gt;="&amp;EDATE($E144,-12),tblSafety[Date],"&lt;="&amp;$A144)+SUMIFS(tblSafetyHistory[LTI],tblSafetyHistory[Month],"&gt;="&amp;EDATE($E144,-12),tblSafetyHistory[Month],"&lt;"&amp;$E144,tblSafetyHistory[Use],1))/(SUMIFS(tblSafety[Hours_Total],tblSafety[Date],"&gt;="&amp;EDATE($E144,-12),tblSafety[Date],"&lt;="&amp;$A144)+SUMIFS(tblSafetyHistory[Hours_Total],tblSafetyHistory[Month],"&gt;="&amp;EDATE($E144,-12),tblSafetyHistory[Month],"&lt;"&amp;$E144,tblSafetyHistory[Use],1))*cfg_RateBasisHours,"")</f>
        <v/>
      </c>
      <c r="IR144" s="62">
        <f>IF(MAX(N(cfg_PriorLTIDate),_xlfn.MAXIFS(tblSafety[Date],tblSafety[LTI],"&gt;0",tblSafety[Date],"&lt;="&amp;$A144))=0,"",$A144-MAX(N(cfg_PriorLTIDate),_xlfn.MAXIFS(tblSafety[Date],tblSafety[LTI],"&gt;0",tblSafety[Date],"&lt;="&amp;$A144)))</f>
        <v/>
      </c>
      <c r="IS144" s="55">
        <f>SUMIFS(tblBudget[Ore_Mined_t],tblBudget[Month],$E144)</f>
        <v/>
      </c>
      <c r="IT144" s="55">
        <f>$IS144*$C144/$D144</f>
        <v/>
      </c>
      <c r="IU144" s="55">
        <f>SUMIFS(tblBudget[Ore_Mined_t],tblBudget[Month],"&lt;"&amp;$E144)+$IT144</f>
        <v/>
      </c>
      <c r="IV144" s="55">
        <f>SUMIFS(tblBudget[Ore_oz],tblBudget[Month],$E144)</f>
        <v/>
      </c>
      <c r="IW144" s="55">
        <f>$IV144*$C144/$D144</f>
        <v/>
      </c>
      <c r="IX144" s="55">
        <f>SUMIFS(tblBudget[Ore_oz],tblBudget[Month],"&lt;"&amp;$E144)+$IW144</f>
        <v/>
      </c>
      <c r="IY144" s="55">
        <f>SUMIFS(tblBudget[Ore_Mined_t],tblBudget[Month],$E144)</f>
        <v/>
      </c>
      <c r="IZ144" s="55">
        <f>$IY144*$C144/$D144</f>
        <v/>
      </c>
      <c r="JA144" s="55">
        <f>SUMIFS(tblBudget[Ore_Mined_t],tblBudget[Month],"&lt;"&amp;$E144)+$IZ144</f>
        <v/>
      </c>
      <c r="JB144" s="56">
        <f>IFERROR(IF(($IY144)&gt;0,($IV144*cfg_TroyOz)/($IY144),""),"")</f>
        <v/>
      </c>
      <c r="JC144" s="56">
        <f>IFERROR(IF(($IZ144)&gt;0,($IW144*cfg_TroyOz)/($IZ144),""),"")</f>
        <v/>
      </c>
      <c r="JD144" s="56">
        <f>IFERROR(IF(($JA144)&gt;0,($IX144*cfg_TroyOz)/($JA144),""),"")</f>
        <v/>
      </c>
      <c r="JE144" s="55">
        <f>SUMIFS(tblBudget[Waste_t],tblBudget[Month],$E144)</f>
        <v/>
      </c>
      <c r="JF144" s="55">
        <f>$JE144*$C144/$D144</f>
        <v/>
      </c>
      <c r="JG144" s="55">
        <f>SUMIFS(tblBudget[Waste_t],tblBudget[Month],"&lt;"&amp;$E144)+$JF144</f>
        <v/>
      </c>
      <c r="JH144" s="55">
        <f>SUMIFS(tblBudget[TMM_t],tblBudget[Month],$E144)</f>
        <v/>
      </c>
      <c r="JI144" s="55">
        <f>$JH144*$C144/$D144</f>
        <v/>
      </c>
      <c r="JJ144" s="55">
        <f>SUMIFS(tblBudget[TMM_t],tblBudget[Month],"&lt;"&amp;$E144)+$JI144</f>
        <v/>
      </c>
      <c r="JK144" s="56">
        <f>IFERROR(IF(($IS144)&gt;0,($JE144)/($IS144),""),"")</f>
        <v/>
      </c>
      <c r="JL144" s="56">
        <f>IFERROR(IF(($IT144)&gt;0,($JF144)/($IT144),""),"")</f>
        <v/>
      </c>
      <c r="JM144" s="56">
        <f>IFERROR(IF(($IU144)&gt;0,($JG144)/($IU144),""),"")</f>
        <v/>
      </c>
      <c r="JN144" s="55">
        <f>SUMIFS(tblBudget[Drill_m],tblBudget[Month],$E144)</f>
        <v/>
      </c>
      <c r="JO144" s="55">
        <f>$JN144*$C144/$D144</f>
        <v/>
      </c>
      <c r="JP144" s="55">
        <f>SUMIFS(tblBudget[Drill_m],tblBudget[Month],"&lt;"&amp;$E144)+$JO144</f>
        <v/>
      </c>
      <c r="JQ144" s="55">
        <f>SUMIFS(tblBudget[Diesel_L],tblBudget[Month],$E144)</f>
        <v/>
      </c>
      <c r="JR144" s="55">
        <f>$JQ144*$C144/$D144</f>
        <v/>
      </c>
      <c r="JS144" s="55">
        <f>SUMIFS(tblBudget[Diesel_L],tblBudget[Month],"&lt;"&amp;$E144)+$JR144</f>
        <v/>
      </c>
      <c r="JT144" s="55">
        <f>SUMIFS(tblBudget[Milled_t],tblBudget[Month],$E144)</f>
        <v/>
      </c>
      <c r="JU144" s="55">
        <f>$JT144*$C144/$D144</f>
        <v/>
      </c>
      <c r="JV144" s="55">
        <f>SUMIFS(tblBudget[Milled_t],tblBudget[Month],"&lt;"&amp;$E144)+$JU144</f>
        <v/>
      </c>
      <c r="JW144" s="55">
        <f>SUMIFS(tblBudget[Feed_oz],tblBudget[Month],$E144)</f>
        <v/>
      </c>
      <c r="JX144" s="55">
        <f>$JW144*$C144/$D144</f>
        <v/>
      </c>
      <c r="JY144" s="55">
        <f>SUMIFS(tblBudget[Feed_oz],tblBudget[Month],"&lt;"&amp;$E144)+$JX144</f>
        <v/>
      </c>
      <c r="JZ144" s="55">
        <f>SUMIFS(tblBudget[Recovered_oz],tblBudget[Month],$E144)</f>
        <v/>
      </c>
      <c r="KA144" s="55">
        <f>$JZ144*$C144/$D144</f>
        <v/>
      </c>
      <c r="KB144" s="55">
        <f>SUMIFS(tblBudget[Recovered_oz],tblBudget[Month],"&lt;"&amp;$E144)+$KA144</f>
        <v/>
      </c>
      <c r="KC144" s="55">
        <f>SUMIFS(tblBudget[Milled_t],tblBudget[Month],$E144)</f>
        <v/>
      </c>
      <c r="KD144" s="55">
        <f>$KC144*$C144/$D144</f>
        <v/>
      </c>
      <c r="KE144" s="55">
        <f>SUMIFS(tblBudget[Milled_t],tblBudget[Month],"&lt;"&amp;$E144)+$KD144</f>
        <v/>
      </c>
      <c r="KF144" s="55">
        <f>SUMIFS(tblBudget[Feed_oz],tblBudget[Month],$E144)</f>
        <v/>
      </c>
      <c r="KG144" s="55">
        <f>$KF144*$C144/$D144</f>
        <v/>
      </c>
      <c r="KH144" s="55">
        <f>SUMIFS(tblBudget[Feed_oz],tblBudget[Month],"&lt;"&amp;$E144)+$KG144</f>
        <v/>
      </c>
      <c r="KI144" s="56">
        <f>IFERROR(IF(($KC144)&gt;0,($JW144*cfg_TroyOz)/($KC144),""),"")</f>
        <v/>
      </c>
      <c r="KJ144" s="56">
        <f>IFERROR(IF(($KD144)&gt;0,($JX144*cfg_TroyOz)/($KD144),""),"")</f>
        <v/>
      </c>
      <c r="KK144" s="56">
        <f>IFERROR(IF(($KE144)&gt;0,($JY144*cfg_TroyOz)/($KE144),""),"")</f>
        <v/>
      </c>
      <c r="KL144" s="67">
        <f>IFERROR(IF(($KF144)&gt;0,($JZ144)/($KF144),""),"")</f>
        <v/>
      </c>
      <c r="KM144" s="67">
        <f>IFERROR(IF(($KG144)&gt;0,($KA144)/($KG144),""),"")</f>
        <v/>
      </c>
      <c r="KN144" s="67">
        <f>IFERROR(IF(($KH144)&gt;0,($KB144)/($KH144),""),"")</f>
        <v/>
      </c>
      <c r="KO144" s="55">
        <f>SUMIFS(tblBudget[Gold_Poured_oz],tblBudget[Month],$E144)</f>
        <v/>
      </c>
      <c r="KP144" s="55">
        <f>$KO144*$C144/$D144</f>
        <v/>
      </c>
      <c r="KQ144" s="55">
        <f>SUMIFS(tblBudget[Gold_Poured_oz],tblBudget[Month],"&lt;"&amp;$E144)+$KP144</f>
        <v/>
      </c>
      <c r="KR144" s="57">
        <f>SUMIFS(tblBudget[Hours_Worked],tblBudget[Month],$E144)</f>
        <v/>
      </c>
      <c r="KS144" s="57">
        <f>$KR144*$C144/$D144</f>
        <v/>
      </c>
      <c r="KT144" s="57">
        <f>SUMIFS(tblBudget[Hours_Worked],tblBudget[Month],"&lt;"&amp;$E144)+$KS144</f>
        <v/>
      </c>
    </row>
    <row r="145">
      <c r="A145" s="54" t="n">
        <v>46166</v>
      </c>
      <c r="B145">
        <f>MONTH($A145)</f>
        <v/>
      </c>
      <c r="C145">
        <f>DAY($A145)</f>
        <v/>
      </c>
      <c r="D145">
        <f>DAY(EOMONTH($A145,0))</f>
        <v/>
      </c>
      <c r="E145" s="54">
        <f>DATE(YEAR($A145),MONTH($A145),1)</f>
        <v/>
      </c>
      <c r="F145" s="55">
        <f>SUMIFS(tblMovement[Tonnes_t],tblMovement[Date],$A145,tblMovement[Is_Ore],1,tblMovement[Source_Type],"Pit")</f>
        <v/>
      </c>
      <c r="G145" s="55">
        <f>IF($B145=$B144,$G144,0)+$F145</f>
        <v/>
      </c>
      <c r="H145" s="55">
        <f>$H144+$F145</f>
        <v/>
      </c>
      <c r="I145" s="55">
        <f>SUMIFS(tblMovement[Ore_oz],tblMovement[Date],$A145,tblMovement[Source_Type],"Pit")</f>
        <v/>
      </c>
      <c r="J145" s="55">
        <f>IF($B145=$B144,$J144,0)+$I145</f>
        <v/>
      </c>
      <c r="K145" s="55">
        <f>$K144+$I145</f>
        <v/>
      </c>
      <c r="L145" s="55">
        <f>SUMIFS(tblMovement[Tonnes_t],tblMovement[Date],$A145,tblMovement[Is_Ore],1,tblMovement[Source_Type],"Pit",tblMovement[Grade_gpt],"&lt;&gt;")</f>
        <v/>
      </c>
      <c r="M145" s="55">
        <f>IF($B145=$B144,$M144,0)+$L145</f>
        <v/>
      </c>
      <c r="N145" s="55">
        <f>$N144+$L145</f>
        <v/>
      </c>
      <c r="O145" s="56">
        <f>IFERROR(IF(($L145)&gt;0,($I145*cfg_TroyOz)/($L145),""),"")</f>
        <v/>
      </c>
      <c r="P145" s="56">
        <f>IFERROR(IF(($M145)&gt;0,($J145*cfg_TroyOz)/($M145),""),"")</f>
        <v/>
      </c>
      <c r="Q145" s="56">
        <f>IFERROR(IF(($N145)&gt;0,($K145*cfg_TroyOz)/($N145),""),"")</f>
        <v/>
      </c>
      <c r="R145" s="55">
        <f>$F145-$L145</f>
        <v/>
      </c>
      <c r="S145" s="55">
        <f>IF($B145=$B144,$S144,0)+$R145</f>
        <v/>
      </c>
      <c r="T145" s="55">
        <f>$T144+$R145</f>
        <v/>
      </c>
      <c r="U145" s="55">
        <f>SUMIFS(tblMovement[Tonnes_t],tblMovement[Date],$A145,tblMovement[Is_Ore],0,tblMovement[Source_Type],"Pit")</f>
        <v/>
      </c>
      <c r="V145" s="55">
        <f>IF($B145=$B144,$V144,0)+$U145</f>
        <v/>
      </c>
      <c r="W145" s="55">
        <f>$W144+$U145</f>
        <v/>
      </c>
      <c r="X145" s="55">
        <f>$F145+$U145</f>
        <v/>
      </c>
      <c r="Y145" s="55">
        <f>IF($B145=$B144,$Y144,0)+$X145</f>
        <v/>
      </c>
      <c r="Z145" s="55">
        <f>$Z144+$X145</f>
        <v/>
      </c>
      <c r="AA145" s="56">
        <f>IFERROR(IF(($F145)&gt;0,($U145)/($F145),""),"")</f>
        <v/>
      </c>
      <c r="AB145" s="56">
        <f>IFERROR(IF(($G145)&gt;0,($V145)/($G145),""),"")</f>
        <v/>
      </c>
      <c r="AC145" s="56">
        <f>IFERROR(IF(($H145)&gt;0,($W145)/($H145),""),"")</f>
        <v/>
      </c>
      <c r="AD145" s="55">
        <f>SUMIFS(tblMovement[Tonnes_t],tblMovement[Date],$A145,tblMovement[Source_Type],"Stockpile")</f>
        <v/>
      </c>
      <c r="AE145" s="55">
        <f>IF($B145=$B144,$AE144,0)+$AD145</f>
        <v/>
      </c>
      <c r="AF145" s="55">
        <f>$AF144+$AD145</f>
        <v/>
      </c>
      <c r="AG145" s="55">
        <f>SUMIFS(tblMovement[Tonnes_t],tblMovement[Date],$A145)</f>
        <v/>
      </c>
      <c r="AH145" s="55">
        <f>IF($B145=$B144,$AH144,0)+$AG145</f>
        <v/>
      </c>
      <c r="AI145" s="55">
        <f>$AI144+$AG145</f>
        <v/>
      </c>
      <c r="AJ145" s="55">
        <f>$AG145-$X145-$AD145</f>
        <v/>
      </c>
      <c r="AK145" s="55">
        <f>IF($B145=$B144,$AK144,0)+$AJ145</f>
        <v/>
      </c>
      <c r="AL145" s="55">
        <f>$AL144+$AJ145</f>
        <v/>
      </c>
      <c r="AM145" s="55">
        <f>SUMIFS(tblMiningDaily[Drill_m],tblMiningDaily[Date],$A145)</f>
        <v/>
      </c>
      <c r="AN145" s="55">
        <f>IF($B145=$B144,$AN144,0)+$AM145</f>
        <v/>
      </c>
      <c r="AO145" s="55">
        <f>$AO144+$AM145</f>
        <v/>
      </c>
      <c r="AP145" s="55">
        <f>SUMIFS(tblMiningDaily[GC_Drill_m],tblMiningDaily[Date],$A145)</f>
        <v/>
      </c>
      <c r="AQ145" s="55">
        <f>IF($B145=$B144,$AQ144,0)+$AP145</f>
        <v/>
      </c>
      <c r="AR145" s="55">
        <f>$AR144+$AP145</f>
        <v/>
      </c>
      <c r="AS145" s="55">
        <f>SUMIFS(tblMiningDaily[Blast_t],tblMiningDaily[Date],$A145)</f>
        <v/>
      </c>
      <c r="AT145" s="55">
        <f>IF($B145=$B144,$AT144,0)+$AS145</f>
        <v/>
      </c>
      <c r="AU145" s="55">
        <f>$AU144+$AS145</f>
        <v/>
      </c>
      <c r="AV145" s="55">
        <f>SUMIFS(tblMiningDaily[Explosives_kg],tblMiningDaily[Date],$A145)</f>
        <v/>
      </c>
      <c r="AW145" s="55">
        <f>IF($B145=$B144,$AW144,0)+$AV145</f>
        <v/>
      </c>
      <c r="AX145" s="55">
        <f>$AX144+$AV145</f>
        <v/>
      </c>
      <c r="AY145" s="56">
        <f>IFERROR(IF(($AS145)&gt;0,($AV145)/($AS145),""),"")</f>
        <v/>
      </c>
      <c r="AZ145" s="56">
        <f>IFERROR(IF(($AT145)&gt;0,($AW145)/($AT145),""),"")</f>
        <v/>
      </c>
      <c r="BA145" s="56">
        <f>IFERROR(IF(($AU145)&gt;0,($AX145)/($AU145),""),"")</f>
        <v/>
      </c>
      <c r="BB145" s="55">
        <f>SUMIFS(tblMiningDaily[Diesel_L],tblMiningDaily[Date],$A145)</f>
        <v/>
      </c>
      <c r="BC145" s="55">
        <f>IF($B145=$B144,$BC144,0)+$BB145</f>
        <v/>
      </c>
      <c r="BD145" s="55">
        <f>$BD144+$BB145</f>
        <v/>
      </c>
      <c r="BE145" s="55">
        <f>SUMIFS(tblMiningDaily[Dewatering_m3],tblMiningDaily[Date],$A145)</f>
        <v/>
      </c>
      <c r="BF145" s="55">
        <f>IF($B145=$B144,$BF144,0)+$BE145</f>
        <v/>
      </c>
      <c r="BG145" s="55">
        <f>$BG144+$BE145</f>
        <v/>
      </c>
      <c r="BH145" s="57">
        <f>SUMIFS(tblFleet[Calendar_h],tblFleet[Date],$A145,tblFleet[Equipment_Class],"Excavator")</f>
        <v/>
      </c>
      <c r="BI145" s="57">
        <f>IF($B145=$B144,$BI144,0)+$BH145</f>
        <v/>
      </c>
      <c r="BJ145" s="57">
        <f>$BJ144+$BH145</f>
        <v/>
      </c>
      <c r="BK145" s="57">
        <f>SUMIFS(tblFleet[Available_h],tblFleet[Date],$A145,tblFleet[Equipment_Class],"Excavator")</f>
        <v/>
      </c>
      <c r="BL145" s="57">
        <f>IF($B145=$B144,$BL144,0)+$BK145</f>
        <v/>
      </c>
      <c r="BM145" s="57">
        <f>$BM144+$BK145</f>
        <v/>
      </c>
      <c r="BN145" s="57">
        <f>SUMIFS(tblFleet[Operating_h],tblFleet[Date],$A145,tblFleet[Equipment_Class],"Excavator")</f>
        <v/>
      </c>
      <c r="BO145" s="57">
        <f>IF($B145=$B144,$BO144,0)+$BN145</f>
        <v/>
      </c>
      <c r="BP145" s="57">
        <f>$BP144+$BN145</f>
        <v/>
      </c>
      <c r="BQ145" s="67">
        <f>IFERROR(IF(($BH145)&gt;0,($BK145)/($BH145),""),"")</f>
        <v/>
      </c>
      <c r="BR145" s="67">
        <f>IFERROR(IF(($BI145)&gt;0,($BL145)/($BI145),""),"")</f>
        <v/>
      </c>
      <c r="BS145" s="67">
        <f>IFERROR(IF(($BJ145)&gt;0,($BM145)/($BJ145),""),"")</f>
        <v/>
      </c>
      <c r="BT145" s="67">
        <f>IFERROR(IF(($BK145)&gt;0,($BN145)/($BK145),""),"")</f>
        <v/>
      </c>
      <c r="BU145" s="67">
        <f>IFERROR(IF(($BL145)&gt;0,($BO145)/($BL145),""),"")</f>
        <v/>
      </c>
      <c r="BV145" s="67">
        <f>IFERROR(IF(($BM145)&gt;0,($BP145)/($BM145),""),"")</f>
        <v/>
      </c>
      <c r="BW145" s="57">
        <f>SUMIFS(tblFleet[Calendar_h],tblFleet[Date],$A145,tblFleet[Equipment_Class],"Haul Truck")</f>
        <v/>
      </c>
      <c r="BX145" s="57">
        <f>IF($B145=$B144,$BX144,0)+$BW145</f>
        <v/>
      </c>
      <c r="BY145" s="57">
        <f>$BY144+$BW145</f>
        <v/>
      </c>
      <c r="BZ145" s="57">
        <f>SUMIFS(tblFleet[Available_h],tblFleet[Date],$A145,tblFleet[Equipment_Class],"Haul Truck")</f>
        <v/>
      </c>
      <c r="CA145" s="57">
        <f>IF($B145=$B144,$CA144,0)+$BZ145</f>
        <v/>
      </c>
      <c r="CB145" s="57">
        <f>$CB144+$BZ145</f>
        <v/>
      </c>
      <c r="CC145" s="57">
        <f>SUMIFS(tblFleet[Operating_h],tblFleet[Date],$A145,tblFleet[Equipment_Class],"Haul Truck")</f>
        <v/>
      </c>
      <c r="CD145" s="57">
        <f>IF($B145=$B144,$CD144,0)+$CC145</f>
        <v/>
      </c>
      <c r="CE145" s="57">
        <f>$CE144+$CC145</f>
        <v/>
      </c>
      <c r="CF145" s="67">
        <f>IFERROR(IF(($BW145)&gt;0,($BZ145)/($BW145),""),"")</f>
        <v/>
      </c>
      <c r="CG145" s="67">
        <f>IFERROR(IF(($BX145)&gt;0,($CA145)/($BX145),""),"")</f>
        <v/>
      </c>
      <c r="CH145" s="67">
        <f>IFERROR(IF(($BY145)&gt;0,($CB145)/($BY145),""),"")</f>
        <v/>
      </c>
      <c r="CI145" s="67">
        <f>IFERROR(IF(($BZ145)&gt;0,($CC145)/($BZ145),""),"")</f>
        <v/>
      </c>
      <c r="CJ145" s="67">
        <f>IFERROR(IF(($CA145)&gt;0,($CD145)/($CA145),""),"")</f>
        <v/>
      </c>
      <c r="CK145" s="67">
        <f>IFERROR(IF(($CB145)&gt;0,($CE145)/($CB145),""),"")</f>
        <v/>
      </c>
      <c r="CL145" s="55">
        <f>IFERROR(IF(($BN145)&gt;0,($X145+$AD145)/($BN145),""),"")</f>
        <v/>
      </c>
      <c r="CM145" s="55">
        <f>IFERROR(IF(($BO145)&gt;0,($Y145+$AE145)/($BO145),""),"")</f>
        <v/>
      </c>
      <c r="CN145" s="55">
        <f>IFERROR(IF(($BP145)&gt;0,($Z145+$AF145)/($BP145),""),"")</f>
        <v/>
      </c>
      <c r="CO145" s="55">
        <f>IFERROR(IF(($CC145)&gt;0,($X145+$AD145)/($CC145),""),"")</f>
        <v/>
      </c>
      <c r="CP145" s="55">
        <f>IFERROR(IF(($CD145)&gt;0,($Y145+$AE145)/($CD145),""),"")</f>
        <v/>
      </c>
      <c r="CQ145" s="55">
        <f>IFERROR(IF(($CE145)&gt;0,($Z145+$AF145)/($CE145),""),"")</f>
        <v/>
      </c>
      <c r="CR145" s="55">
        <f>SUMIFS(tblPlant[Crushed_t],tblPlant[Date],$A145)</f>
        <v/>
      </c>
      <c r="CS145" s="55">
        <f>IF($B145=$B144,$CS144,0)+$CR145</f>
        <v/>
      </c>
      <c r="CT145" s="55">
        <f>$CT144+$CR145</f>
        <v/>
      </c>
      <c r="CU145" s="55">
        <f>SUMIFS(tblPlant[Milled_t],tblPlant[Date],$A145)</f>
        <v/>
      </c>
      <c r="CV145" s="55">
        <f>IF($B145=$B144,$CV144,0)+$CU145</f>
        <v/>
      </c>
      <c r="CW145" s="55">
        <f>$CW144+$CU145</f>
        <v/>
      </c>
      <c r="CX145" s="55">
        <f>SUMIFS(tblPlant[Feed_oz],tblPlant[Date],$A145)</f>
        <v/>
      </c>
      <c r="CY145" s="55">
        <f>IF($B145=$B144,$CY144,0)+$CX145</f>
        <v/>
      </c>
      <c r="CZ145" s="55">
        <f>$CZ144+$CX145</f>
        <v/>
      </c>
      <c r="DA145" s="55">
        <f>SUMIFS(tblPlant[Tails_oz],tblPlant[Date],$A145)</f>
        <v/>
      </c>
      <c r="DB145" s="55">
        <f>IF($B145=$B144,$DB144,0)+$DA145</f>
        <v/>
      </c>
      <c r="DC145" s="55">
        <f>$DC144+$DA145</f>
        <v/>
      </c>
      <c r="DD145" s="55">
        <f>SUMIFS(tblPlant[Recovered_oz],tblPlant[Date],$A145)</f>
        <v/>
      </c>
      <c r="DE145" s="55">
        <f>IF($B145=$B144,$DE144,0)+$DD145</f>
        <v/>
      </c>
      <c r="DF145" s="55">
        <f>$DF144+$DD145</f>
        <v/>
      </c>
      <c r="DG145" s="55">
        <f>SUMIFS(tblPlant[Milled_t],tblPlant[Date],$A145,tblPlant[Head_Grade_gpt],"&lt;&gt;")</f>
        <v/>
      </c>
      <c r="DH145" s="55">
        <f>IF($B145=$B144,$DH144,0)+$DG145</f>
        <v/>
      </c>
      <c r="DI145" s="55">
        <f>$DI144+$DG145</f>
        <v/>
      </c>
      <c r="DJ145" s="55">
        <f>SUMIFS(tblPlant[Milled_t],tblPlant[Date],$A145,tblPlant[Tails_Grade_gpt],"&lt;&gt;")</f>
        <v/>
      </c>
      <c r="DK145" s="55">
        <f>IF($B145=$B144,$DK144,0)+$DJ145</f>
        <v/>
      </c>
      <c r="DL145" s="55">
        <f>$DL144+$DJ145</f>
        <v/>
      </c>
      <c r="DM145" s="55">
        <f>SUMIFS(tblPlant[Feed_oz],tblPlant[Date],$A145,tblPlant[Tails_Grade_gpt],"&lt;&gt;")</f>
        <v/>
      </c>
      <c r="DN145" s="55">
        <f>IF($B145=$B144,$DN144,0)+$DM145</f>
        <v/>
      </c>
      <c r="DO145" s="55">
        <f>$DO144+$DM145</f>
        <v/>
      </c>
      <c r="DP145" s="55">
        <f>SUMIFS(tblPlant[Milled_t],tblPlant[Date],$A145,tblPlant[Mill_Run_h],"&lt;&gt;")</f>
        <v/>
      </c>
      <c r="DQ145" s="55">
        <f>IF($B145=$B144,$DQ144,0)+$DP145</f>
        <v/>
      </c>
      <c r="DR145" s="55">
        <f>$DR144+$DP145</f>
        <v/>
      </c>
      <c r="DS145" s="56">
        <f>IFERROR(IF(($DG145)&gt;0,($CX145*cfg_TroyOz)/($DG145),""),"")</f>
        <v/>
      </c>
      <c r="DT145" s="56">
        <f>IFERROR(IF(($DH145)&gt;0,($CY145*cfg_TroyOz)/($DH145),""),"")</f>
        <v/>
      </c>
      <c r="DU145" s="56">
        <f>IFERROR(IF(($DI145)&gt;0,($CZ145*cfg_TroyOz)/($DI145),""),"")</f>
        <v/>
      </c>
      <c r="DV145" s="56">
        <f>IFERROR(IF(($DJ145)&gt;0,($DA145*cfg_TroyOz)/($DJ145),""),"")</f>
        <v/>
      </c>
      <c r="DW145" s="56">
        <f>IFERROR(IF(($DK145)&gt;0,($DB145*cfg_TroyOz)/($DK145),""),"")</f>
        <v/>
      </c>
      <c r="DX145" s="56">
        <f>IFERROR(IF(($DL145)&gt;0,($DC145*cfg_TroyOz)/($DL145),""),"")</f>
        <v/>
      </c>
      <c r="DY145" s="67">
        <f>IFERROR(IF(($DM145)&gt;0,($DD145)/($DM145),""),"")</f>
        <v/>
      </c>
      <c r="DZ145" s="67">
        <f>IFERROR(IF(($DN145)&gt;0,($DE145)/($DN145),""),"")</f>
        <v/>
      </c>
      <c r="EA145" s="67">
        <f>IFERROR(IF(($DO145)&gt;0,($DF145)/($DO145),""),"")</f>
        <v/>
      </c>
      <c r="EB145" s="55">
        <f>SUMIFS(tblPlant[Gravity_Gold_oz],tblPlant[Date],$A145)</f>
        <v/>
      </c>
      <c r="EC145" s="55">
        <f>IF($B145=$B144,$EC144,0)+$EB145</f>
        <v/>
      </c>
      <c r="ED145" s="55">
        <f>$ED144+$EB145</f>
        <v/>
      </c>
      <c r="EE145" s="67">
        <f>IFERROR(IF(($DD145)&gt;0,($EB145)/($DD145),""),"")</f>
        <v/>
      </c>
      <c r="EF145" s="67">
        <f>IFERROR(IF(($DE145)&gt;0,($EC145)/($DE145),""),"")</f>
        <v/>
      </c>
      <c r="EG145" s="67">
        <f>IFERROR(IF(($DF145)&gt;0,($ED145)/($DF145),""),"")</f>
        <v/>
      </c>
      <c r="EH145" s="55">
        <f>SUMIFS(tblPlant[Gold_Poured_oz],tblPlant[Date],$A145)</f>
        <v/>
      </c>
      <c r="EI145" s="55">
        <f>IF($B145=$B144,$EI144,0)+$EH145</f>
        <v/>
      </c>
      <c r="EJ145" s="55">
        <f>$EJ144+$EH145</f>
        <v/>
      </c>
      <c r="EK145" s="57">
        <f>SUMIFS(tblPlant[Mill_Run_h],tblPlant[Date],$A145)</f>
        <v/>
      </c>
      <c r="EL145" s="57">
        <f>IF($B145=$B144,$EL144,0)+$EK145</f>
        <v/>
      </c>
      <c r="EM145" s="57">
        <f>$EM144+$EK145</f>
        <v/>
      </c>
      <c r="EN145" s="57">
        <f>SUMIFS(tblPlant[Mill_Planned_Maint_h],tblPlant[Date],$A145)</f>
        <v/>
      </c>
      <c r="EO145" s="57">
        <f>IF($B145=$B144,$EO144,0)+$EN145</f>
        <v/>
      </c>
      <c r="EP145" s="57">
        <f>$EP144+$EN145</f>
        <v/>
      </c>
      <c r="EQ145" s="57">
        <f>SUMIFS(tblPlant[Mill_Unplanned_Down_h],tblPlant[Date],$A145)</f>
        <v/>
      </c>
      <c r="ER145" s="57">
        <f>IF($B145=$B144,$ER144,0)+$EQ145</f>
        <v/>
      </c>
      <c r="ES145" s="57">
        <f>$ES144+$EQ145</f>
        <v/>
      </c>
      <c r="ET145" s="57">
        <f>IF(COUNTIFS(tblPlant[Date],$A145,tblPlant[Mill_Run_h],"&lt;&gt;")+COUNTIFS(tblPlant[Date],$A145,tblPlant[Mill_Planned_Maint_h],"&lt;&gt;")+COUNTIFS(tblPlant[Date],$A145,tblPlant[Mill_Unplanned_Down_h],"&lt;&gt;")&gt;0,cfg_HoursPerDay,0)</f>
        <v/>
      </c>
      <c r="EU145" s="57">
        <f>IF($B145=$B144,$EU144,0)+$ET145</f>
        <v/>
      </c>
      <c r="EV145" s="57">
        <f>$EV144+$ET145</f>
        <v/>
      </c>
      <c r="EW145" s="57">
        <f>SUMIFS(tblPlant[Crusher_Run_h],tblPlant[Date],$A145)</f>
        <v/>
      </c>
      <c r="EX145" s="57">
        <f>IF($B145=$B144,$EX144,0)+$EW145</f>
        <v/>
      </c>
      <c r="EY145" s="57">
        <f>$EY144+$EW145</f>
        <v/>
      </c>
      <c r="EZ145" s="55">
        <f>IFERROR(IF(($EK145)&gt;0,($DP145)/($EK145),""),"")</f>
        <v/>
      </c>
      <c r="FA145" s="55">
        <f>IFERROR(IF(($EL145)&gt;0,($DQ145)/($EL145),""),"")</f>
        <v/>
      </c>
      <c r="FB145" s="55">
        <f>IFERROR(IF(($EM145)&gt;0,($DR145)/($EM145),""),"")</f>
        <v/>
      </c>
      <c r="FC145" s="67">
        <f>IFERROR(IF(($ET145)&gt;0,($ET145-$EN145-$EQ145)/($ET145),""),"")</f>
        <v/>
      </c>
      <c r="FD145" s="67">
        <f>IFERROR(IF(($EU145)&gt;0,($EU145-$EO145-$ER145)/($EU145),""),"")</f>
        <v/>
      </c>
      <c r="FE145" s="67">
        <f>IFERROR(IF(($EV145)&gt;0,($EV145-$EP145-$ES145)/($EV145),""),"")</f>
        <v/>
      </c>
      <c r="FF145" s="67">
        <f>IFERROR(IF(($ET145-$EN145-$EQ145)&gt;0,($EK145)/($ET145-$EN145-$EQ145),""),"")</f>
        <v/>
      </c>
      <c r="FG145" s="67">
        <f>IFERROR(IF(($EU145-$EO145-$ER145)&gt;0,($EL145)/($EU145-$EO145-$ER145),""),"")</f>
        <v/>
      </c>
      <c r="FH145" s="67">
        <f>IFERROR(IF(($EV145-$EP145-$ES145)&gt;0,($EM145)/($EV145-$EP145-$ES145),""),"")</f>
        <v/>
      </c>
      <c r="FI145" s="55">
        <f>SUMIFS(tblPlant[Cyanide_kg],tblPlant[Date],$A145)</f>
        <v/>
      </c>
      <c r="FJ145" s="55">
        <f>IF($B145=$B144,$FJ144,0)+$FI145</f>
        <v/>
      </c>
      <c r="FK145" s="55">
        <f>$FK144+$FI145</f>
        <v/>
      </c>
      <c r="FL145" s="55">
        <f>SUMIFS(tblPlant[Lime_kg],tblPlant[Date],$A145)</f>
        <v/>
      </c>
      <c r="FM145" s="55">
        <f>IF($B145=$B144,$FM144,0)+$FL145</f>
        <v/>
      </c>
      <c r="FN145" s="55">
        <f>$FN144+$FL145</f>
        <v/>
      </c>
      <c r="FO145" s="55">
        <f>SUMIFS(tblPlant[Grinding_Media_kg],tblPlant[Date],$A145)</f>
        <v/>
      </c>
      <c r="FP145" s="55">
        <f>IF($B145=$B144,$FP144,0)+$FO145</f>
        <v/>
      </c>
      <c r="FQ145" s="55">
        <f>$FQ144+$FO145</f>
        <v/>
      </c>
      <c r="FR145" s="55">
        <f>SUMIFS(tblPlant[Power_kWh],tblPlant[Date],$A145)</f>
        <v/>
      </c>
      <c r="FS145" s="55">
        <f>IF($B145=$B144,$FS144,0)+$FR145</f>
        <v/>
      </c>
      <c r="FT145" s="55">
        <f>$FT144+$FR145</f>
        <v/>
      </c>
      <c r="FU145" s="55">
        <f>SUMIFS(tblPlant[Raw_Water_m3],tblPlant[Date],$A145)</f>
        <v/>
      </c>
      <c r="FV145" s="55">
        <f>IF($B145=$B144,$FV144,0)+$FU145</f>
        <v/>
      </c>
      <c r="FW145" s="55">
        <f>$FW144+$FU145</f>
        <v/>
      </c>
      <c r="FX145" s="56">
        <f>IFERROR(IF(($CU145)&gt;0,($FI145)/($CU145),""),"")</f>
        <v/>
      </c>
      <c r="FY145" s="56">
        <f>IFERROR(IF(($CV145)&gt;0,($FJ145)/($CV145),""),"")</f>
        <v/>
      </c>
      <c r="FZ145" s="56">
        <f>IFERROR(IF(($CW145)&gt;0,($FK145)/($CW145),""),"")</f>
        <v/>
      </c>
      <c r="GA145" s="56">
        <f>IFERROR(IF(($CU145)&gt;0,($FL145)/($CU145),""),"")</f>
        <v/>
      </c>
      <c r="GB145" s="56">
        <f>IFERROR(IF(($CV145)&gt;0,($FM145)/($CV145),""),"")</f>
        <v/>
      </c>
      <c r="GC145" s="56">
        <f>IFERROR(IF(($CW145)&gt;0,($FN145)/($CW145),""),"")</f>
        <v/>
      </c>
      <c r="GD145" s="56">
        <f>IFERROR(IF(($CU145)&gt;0,($FO145)/($CU145),""),"")</f>
        <v/>
      </c>
      <c r="GE145" s="56">
        <f>IFERROR(IF(($CV145)&gt;0,($FP145)/($CV145),""),"")</f>
        <v/>
      </c>
      <c r="GF145" s="56">
        <f>IFERROR(IF(($CW145)&gt;0,($FQ145)/($CW145),""),"")</f>
        <v/>
      </c>
      <c r="GG145" s="79">
        <f>IFERROR(IF(($CU145)&gt;0,($FR145)/($CU145),""),"")</f>
        <v/>
      </c>
      <c r="GH145" s="79">
        <f>IFERROR(IF(($CV145)&gt;0,($FS145)/($CV145),""),"")</f>
        <v/>
      </c>
      <c r="GI145" s="79">
        <f>IFERROR(IF(($CW145)&gt;0,($FT145)/($CW145),""),"")</f>
        <v/>
      </c>
      <c r="GJ145" s="56">
        <f>IFERROR(IF(($CU145)&gt;0,($FU145)/($CU145),""),"")</f>
        <v/>
      </c>
      <c r="GK145" s="56">
        <f>IFERROR(IF(($CV145)&gt;0,($FV145)/($CV145),""),"")</f>
        <v/>
      </c>
      <c r="GL145" s="56">
        <f>IFERROR(IF(($CW145)&gt;0,($FW145)/($CW145),""),"")</f>
        <v/>
      </c>
      <c r="GM145" s="55">
        <f>IF(SUMIFS(tblPlant[GIC_oz],tblPlant[Date],$A145)&gt;0,SUMIFS(tblPlant[GIC_oz],tblPlant[Date],$A145),"")</f>
        <v/>
      </c>
      <c r="GN145" s="55">
        <f>SUMIFS(tblGold[Gold_oz],tblGold[Date],$A145,tblGold[Type],"Shipment")</f>
        <v/>
      </c>
      <c r="GO145" s="55">
        <f>IF($B145=$B144,$GO144,0)+$GN145</f>
        <v/>
      </c>
      <c r="GP145" s="55">
        <f>$GP144+$GN145</f>
        <v/>
      </c>
      <c r="GQ145" s="55">
        <f>SUMIFS(tblGold[Gold_oz],tblGold[Date],$A145,tblGold[Type],"Sale")</f>
        <v/>
      </c>
      <c r="GR145" s="55">
        <f>IF($B145=$B144,$GR144,0)+$GQ145</f>
        <v/>
      </c>
      <c r="GS145" s="55">
        <f>$GS144+$GQ145</f>
        <v/>
      </c>
      <c r="GT145" s="55">
        <f>SUMIFS(tblGold[Dore_kg],tblGold[Date],$A145,tblGold[Type],"Shipment")</f>
        <v/>
      </c>
      <c r="GU145" s="55">
        <f>IF($B145=$B144,$GU144,0)+$GT145</f>
        <v/>
      </c>
      <c r="GV145" s="55">
        <f>$GV144+$GT145</f>
        <v/>
      </c>
      <c r="GW145" s="57">
        <f>SUMIFS(tblSafety[Hours_Total],tblSafety[Date],$A145)</f>
        <v/>
      </c>
      <c r="GX145" s="57">
        <f>IF($B145=$B144,$GX144,0)+$GW145</f>
        <v/>
      </c>
      <c r="GY145" s="57">
        <f>$GY144+$GW145</f>
        <v/>
      </c>
      <c r="GZ145" s="62">
        <f>SUMIFS(tblSafety[Fatality],tblSafety[Date],$A145)</f>
        <v/>
      </c>
      <c r="HA145" s="62">
        <f>IF($B145=$B144,$HA144,0)+$GZ145</f>
        <v/>
      </c>
      <c r="HB145" s="62">
        <f>$HB144+$GZ145</f>
        <v/>
      </c>
      <c r="HC145" s="62">
        <f>SUMIFS(tblSafety[LTI],tblSafety[Date],$A145)</f>
        <v/>
      </c>
      <c r="HD145" s="62">
        <f>IF($B145=$B144,$HD144,0)+$HC145</f>
        <v/>
      </c>
      <c r="HE145" s="62">
        <f>$HE144+$HC145</f>
        <v/>
      </c>
      <c r="HF145" s="62">
        <f>SUMIFS(tblSafety[RWI],tblSafety[Date],$A145)</f>
        <v/>
      </c>
      <c r="HG145" s="62">
        <f>IF($B145=$B144,$HG144,0)+$HF145</f>
        <v/>
      </c>
      <c r="HH145" s="62">
        <f>$HH144+$HF145</f>
        <v/>
      </c>
      <c r="HI145" s="62">
        <f>SUMIFS(tblSafety[MTI],tblSafety[Date],$A145)</f>
        <v/>
      </c>
      <c r="HJ145" s="62">
        <f>IF($B145=$B144,$HJ144,0)+$HI145</f>
        <v/>
      </c>
      <c r="HK145" s="62">
        <f>$HK144+$HI145</f>
        <v/>
      </c>
      <c r="HL145" s="62">
        <f>SUMIFS(tblSafety[FAI],tblSafety[Date],$A145)</f>
        <v/>
      </c>
      <c r="HM145" s="62">
        <f>IF($B145=$B144,$HM144,0)+$HL145</f>
        <v/>
      </c>
      <c r="HN145" s="62">
        <f>$HN144+$HL145</f>
        <v/>
      </c>
      <c r="HO145" s="62">
        <f>SUMIFS(tblSafety[Recordables],tblSafety[Date],$A145)</f>
        <v/>
      </c>
      <c r="HP145" s="62">
        <f>IF($B145=$B144,$HP144,0)+$HO145</f>
        <v/>
      </c>
      <c r="HQ145" s="62">
        <f>$HQ144+$HO145</f>
        <v/>
      </c>
      <c r="HR145" s="62">
        <f>SUMIFS(tblSafety[Near_Miss],tblSafety[Date],$A145)</f>
        <v/>
      </c>
      <c r="HS145" s="62">
        <f>IF($B145=$B144,$HS144,0)+$HR145</f>
        <v/>
      </c>
      <c r="HT145" s="62">
        <f>$HT144+$HR145</f>
        <v/>
      </c>
      <c r="HU145" s="62">
        <f>SUMIFS(tblSafety[Hazard_Reports],tblSafety[Date],$A145)</f>
        <v/>
      </c>
      <c r="HV145" s="62">
        <f>IF($B145=$B144,$HV144,0)+$HU145</f>
        <v/>
      </c>
      <c r="HW145" s="62">
        <f>$HW144+$HU145</f>
        <v/>
      </c>
      <c r="HX145" s="62">
        <f>SUMIFS(tblSafety[HPI],tblSafety[Date],$A145)</f>
        <v/>
      </c>
      <c r="HY145" s="62">
        <f>IF($B145=$B144,$HY144,0)+$HX145</f>
        <v/>
      </c>
      <c r="HZ145" s="62">
        <f>$HZ144+$HX145</f>
        <v/>
      </c>
      <c r="IA145" s="62">
        <f>SUMIFS(tblSafety[Env_Incidents],tblSafety[Date],$A145)</f>
        <v/>
      </c>
      <c r="IB145" s="62">
        <f>IF($B145=$B144,$IB144,0)+$IA145</f>
        <v/>
      </c>
      <c r="IC145" s="62">
        <f>$IC144+$IA145</f>
        <v/>
      </c>
      <c r="ID145" s="62">
        <f>SUMIFS(tblSafety[Community_Incidents],tblSafety[Date],$A145)</f>
        <v/>
      </c>
      <c r="IE145" s="62">
        <f>IF($B145=$B144,$IE144,0)+$ID145</f>
        <v/>
      </c>
      <c r="IF145" s="62">
        <f>$IF144+$ID145</f>
        <v/>
      </c>
      <c r="IG145" s="62">
        <f>SUMIFS(tblSafety[Vehicle_Incidents],tblSafety[Date],$A145)</f>
        <v/>
      </c>
      <c r="IH145" s="62">
        <f>IF($B145=$B144,$IH144,0)+$IG145</f>
        <v/>
      </c>
      <c r="II145" s="62">
        <f>$II144+$IG145</f>
        <v/>
      </c>
      <c r="IJ145" s="62">
        <f>SUMIFS(tblSafety[Toolbox_Talks],tblSafety[Date],$A145)</f>
        <v/>
      </c>
      <c r="IK145" s="62">
        <f>IF($B145=$B144,$IK144,0)+$IJ145</f>
        <v/>
      </c>
      <c r="IL145" s="62">
        <f>$IL144+$IJ145</f>
        <v/>
      </c>
      <c r="IM145" s="62">
        <f>SUMIFS(tblSafety[Inspections],tblSafety[Date],$A145)</f>
        <v/>
      </c>
      <c r="IN145" s="62">
        <f>IF($B145=$B144,$IN144,0)+$IM145</f>
        <v/>
      </c>
      <c r="IO145" s="62">
        <f>$IO144+$IM145</f>
        <v/>
      </c>
      <c r="IP145" s="56">
        <f>IFERROR((SUMIFS(tblSafety[Recordables],tblSafety[Date],"&gt;="&amp;EDATE($E145,-12),tblSafety[Date],"&lt;="&amp;$A145)+SUMIFS(tblSafetyHistory[Recordables],tblSafetyHistory[Month],"&gt;="&amp;EDATE($E145,-12),tblSafetyHistory[Month],"&lt;"&amp;$E145,tblSafetyHistory[Use],1))/(SUMIFS(tblSafety[Hours_Total],tblSafety[Date],"&gt;="&amp;EDATE($E145,-12),tblSafety[Date],"&lt;="&amp;$A145)+SUMIFS(tblSafetyHistory[Hours_Total],tblSafetyHistory[Month],"&gt;="&amp;EDATE($E145,-12),tblSafetyHistory[Month],"&lt;"&amp;$E145,tblSafetyHistory[Use],1))*cfg_RateBasisHours,"")</f>
        <v/>
      </c>
      <c r="IQ145" s="56">
        <f>IFERROR((SUMIFS(tblSafety[LTI],tblSafety[Date],"&gt;="&amp;EDATE($E145,-12),tblSafety[Date],"&lt;="&amp;$A145)+SUMIFS(tblSafetyHistory[LTI],tblSafetyHistory[Month],"&gt;="&amp;EDATE($E145,-12),tblSafetyHistory[Month],"&lt;"&amp;$E145,tblSafetyHistory[Use],1))/(SUMIFS(tblSafety[Hours_Total],tblSafety[Date],"&gt;="&amp;EDATE($E145,-12),tblSafety[Date],"&lt;="&amp;$A145)+SUMIFS(tblSafetyHistory[Hours_Total],tblSafetyHistory[Month],"&gt;="&amp;EDATE($E145,-12),tblSafetyHistory[Month],"&lt;"&amp;$E145,tblSafetyHistory[Use],1))*cfg_RateBasisHours,"")</f>
        <v/>
      </c>
      <c r="IR145" s="62">
        <f>IF(MAX(N(cfg_PriorLTIDate),_xlfn.MAXIFS(tblSafety[Date],tblSafety[LTI],"&gt;0",tblSafety[Date],"&lt;="&amp;$A145))=0,"",$A145-MAX(N(cfg_PriorLTIDate),_xlfn.MAXIFS(tblSafety[Date],tblSafety[LTI],"&gt;0",tblSafety[Date],"&lt;="&amp;$A145)))</f>
        <v/>
      </c>
      <c r="IS145" s="55">
        <f>SUMIFS(tblBudget[Ore_Mined_t],tblBudget[Month],$E145)</f>
        <v/>
      </c>
      <c r="IT145" s="55">
        <f>$IS145*$C145/$D145</f>
        <v/>
      </c>
      <c r="IU145" s="55">
        <f>SUMIFS(tblBudget[Ore_Mined_t],tblBudget[Month],"&lt;"&amp;$E145)+$IT145</f>
        <v/>
      </c>
      <c r="IV145" s="55">
        <f>SUMIFS(tblBudget[Ore_oz],tblBudget[Month],$E145)</f>
        <v/>
      </c>
      <c r="IW145" s="55">
        <f>$IV145*$C145/$D145</f>
        <v/>
      </c>
      <c r="IX145" s="55">
        <f>SUMIFS(tblBudget[Ore_oz],tblBudget[Month],"&lt;"&amp;$E145)+$IW145</f>
        <v/>
      </c>
      <c r="IY145" s="55">
        <f>SUMIFS(tblBudget[Ore_Mined_t],tblBudget[Month],$E145)</f>
        <v/>
      </c>
      <c r="IZ145" s="55">
        <f>$IY145*$C145/$D145</f>
        <v/>
      </c>
      <c r="JA145" s="55">
        <f>SUMIFS(tblBudget[Ore_Mined_t],tblBudget[Month],"&lt;"&amp;$E145)+$IZ145</f>
        <v/>
      </c>
      <c r="JB145" s="56">
        <f>IFERROR(IF(($IY145)&gt;0,($IV145*cfg_TroyOz)/($IY145),""),"")</f>
        <v/>
      </c>
      <c r="JC145" s="56">
        <f>IFERROR(IF(($IZ145)&gt;0,($IW145*cfg_TroyOz)/($IZ145),""),"")</f>
        <v/>
      </c>
      <c r="JD145" s="56">
        <f>IFERROR(IF(($JA145)&gt;0,($IX145*cfg_TroyOz)/($JA145),""),"")</f>
        <v/>
      </c>
      <c r="JE145" s="55">
        <f>SUMIFS(tblBudget[Waste_t],tblBudget[Month],$E145)</f>
        <v/>
      </c>
      <c r="JF145" s="55">
        <f>$JE145*$C145/$D145</f>
        <v/>
      </c>
      <c r="JG145" s="55">
        <f>SUMIFS(tblBudget[Waste_t],tblBudget[Month],"&lt;"&amp;$E145)+$JF145</f>
        <v/>
      </c>
      <c r="JH145" s="55">
        <f>SUMIFS(tblBudget[TMM_t],tblBudget[Month],$E145)</f>
        <v/>
      </c>
      <c r="JI145" s="55">
        <f>$JH145*$C145/$D145</f>
        <v/>
      </c>
      <c r="JJ145" s="55">
        <f>SUMIFS(tblBudget[TMM_t],tblBudget[Month],"&lt;"&amp;$E145)+$JI145</f>
        <v/>
      </c>
      <c r="JK145" s="56">
        <f>IFERROR(IF(($IS145)&gt;0,($JE145)/($IS145),""),"")</f>
        <v/>
      </c>
      <c r="JL145" s="56">
        <f>IFERROR(IF(($IT145)&gt;0,($JF145)/($IT145),""),"")</f>
        <v/>
      </c>
      <c r="JM145" s="56">
        <f>IFERROR(IF(($IU145)&gt;0,($JG145)/($IU145),""),"")</f>
        <v/>
      </c>
      <c r="JN145" s="55">
        <f>SUMIFS(tblBudget[Drill_m],tblBudget[Month],$E145)</f>
        <v/>
      </c>
      <c r="JO145" s="55">
        <f>$JN145*$C145/$D145</f>
        <v/>
      </c>
      <c r="JP145" s="55">
        <f>SUMIFS(tblBudget[Drill_m],tblBudget[Month],"&lt;"&amp;$E145)+$JO145</f>
        <v/>
      </c>
      <c r="JQ145" s="55">
        <f>SUMIFS(tblBudget[Diesel_L],tblBudget[Month],$E145)</f>
        <v/>
      </c>
      <c r="JR145" s="55">
        <f>$JQ145*$C145/$D145</f>
        <v/>
      </c>
      <c r="JS145" s="55">
        <f>SUMIFS(tblBudget[Diesel_L],tblBudget[Month],"&lt;"&amp;$E145)+$JR145</f>
        <v/>
      </c>
      <c r="JT145" s="55">
        <f>SUMIFS(tblBudget[Milled_t],tblBudget[Month],$E145)</f>
        <v/>
      </c>
      <c r="JU145" s="55">
        <f>$JT145*$C145/$D145</f>
        <v/>
      </c>
      <c r="JV145" s="55">
        <f>SUMIFS(tblBudget[Milled_t],tblBudget[Month],"&lt;"&amp;$E145)+$JU145</f>
        <v/>
      </c>
      <c r="JW145" s="55">
        <f>SUMIFS(tblBudget[Feed_oz],tblBudget[Month],$E145)</f>
        <v/>
      </c>
      <c r="JX145" s="55">
        <f>$JW145*$C145/$D145</f>
        <v/>
      </c>
      <c r="JY145" s="55">
        <f>SUMIFS(tblBudget[Feed_oz],tblBudget[Month],"&lt;"&amp;$E145)+$JX145</f>
        <v/>
      </c>
      <c r="JZ145" s="55">
        <f>SUMIFS(tblBudget[Recovered_oz],tblBudget[Month],$E145)</f>
        <v/>
      </c>
      <c r="KA145" s="55">
        <f>$JZ145*$C145/$D145</f>
        <v/>
      </c>
      <c r="KB145" s="55">
        <f>SUMIFS(tblBudget[Recovered_oz],tblBudget[Month],"&lt;"&amp;$E145)+$KA145</f>
        <v/>
      </c>
      <c r="KC145" s="55">
        <f>SUMIFS(tblBudget[Milled_t],tblBudget[Month],$E145)</f>
        <v/>
      </c>
      <c r="KD145" s="55">
        <f>$KC145*$C145/$D145</f>
        <v/>
      </c>
      <c r="KE145" s="55">
        <f>SUMIFS(tblBudget[Milled_t],tblBudget[Month],"&lt;"&amp;$E145)+$KD145</f>
        <v/>
      </c>
      <c r="KF145" s="55">
        <f>SUMIFS(tblBudget[Feed_oz],tblBudget[Month],$E145)</f>
        <v/>
      </c>
      <c r="KG145" s="55">
        <f>$KF145*$C145/$D145</f>
        <v/>
      </c>
      <c r="KH145" s="55">
        <f>SUMIFS(tblBudget[Feed_oz],tblBudget[Month],"&lt;"&amp;$E145)+$KG145</f>
        <v/>
      </c>
      <c r="KI145" s="56">
        <f>IFERROR(IF(($KC145)&gt;0,($JW145*cfg_TroyOz)/($KC145),""),"")</f>
        <v/>
      </c>
      <c r="KJ145" s="56">
        <f>IFERROR(IF(($KD145)&gt;0,($JX145*cfg_TroyOz)/($KD145),""),"")</f>
        <v/>
      </c>
      <c r="KK145" s="56">
        <f>IFERROR(IF(($KE145)&gt;0,($JY145*cfg_TroyOz)/($KE145),""),"")</f>
        <v/>
      </c>
      <c r="KL145" s="67">
        <f>IFERROR(IF(($KF145)&gt;0,($JZ145)/($KF145),""),"")</f>
        <v/>
      </c>
      <c r="KM145" s="67">
        <f>IFERROR(IF(($KG145)&gt;0,($KA145)/($KG145),""),"")</f>
        <v/>
      </c>
      <c r="KN145" s="67">
        <f>IFERROR(IF(($KH145)&gt;0,($KB145)/($KH145),""),"")</f>
        <v/>
      </c>
      <c r="KO145" s="55">
        <f>SUMIFS(tblBudget[Gold_Poured_oz],tblBudget[Month],$E145)</f>
        <v/>
      </c>
      <c r="KP145" s="55">
        <f>$KO145*$C145/$D145</f>
        <v/>
      </c>
      <c r="KQ145" s="55">
        <f>SUMIFS(tblBudget[Gold_Poured_oz],tblBudget[Month],"&lt;"&amp;$E145)+$KP145</f>
        <v/>
      </c>
      <c r="KR145" s="57">
        <f>SUMIFS(tblBudget[Hours_Worked],tblBudget[Month],$E145)</f>
        <v/>
      </c>
      <c r="KS145" s="57">
        <f>$KR145*$C145/$D145</f>
        <v/>
      </c>
      <c r="KT145" s="57">
        <f>SUMIFS(tblBudget[Hours_Worked],tblBudget[Month],"&lt;"&amp;$E145)+$KS145</f>
        <v/>
      </c>
    </row>
    <row r="146">
      <c r="A146" s="54" t="n">
        <v>46167</v>
      </c>
      <c r="B146">
        <f>MONTH($A146)</f>
        <v/>
      </c>
      <c r="C146">
        <f>DAY($A146)</f>
        <v/>
      </c>
      <c r="D146">
        <f>DAY(EOMONTH($A146,0))</f>
        <v/>
      </c>
      <c r="E146" s="54">
        <f>DATE(YEAR($A146),MONTH($A146),1)</f>
        <v/>
      </c>
      <c r="F146" s="55">
        <f>SUMIFS(tblMovement[Tonnes_t],tblMovement[Date],$A146,tblMovement[Is_Ore],1,tblMovement[Source_Type],"Pit")</f>
        <v/>
      </c>
      <c r="G146" s="55">
        <f>IF($B146=$B145,$G145,0)+$F146</f>
        <v/>
      </c>
      <c r="H146" s="55">
        <f>$H145+$F146</f>
        <v/>
      </c>
      <c r="I146" s="55">
        <f>SUMIFS(tblMovement[Ore_oz],tblMovement[Date],$A146,tblMovement[Source_Type],"Pit")</f>
        <v/>
      </c>
      <c r="J146" s="55">
        <f>IF($B146=$B145,$J145,0)+$I146</f>
        <v/>
      </c>
      <c r="K146" s="55">
        <f>$K145+$I146</f>
        <v/>
      </c>
      <c r="L146" s="55">
        <f>SUMIFS(tblMovement[Tonnes_t],tblMovement[Date],$A146,tblMovement[Is_Ore],1,tblMovement[Source_Type],"Pit",tblMovement[Grade_gpt],"&lt;&gt;")</f>
        <v/>
      </c>
      <c r="M146" s="55">
        <f>IF($B146=$B145,$M145,0)+$L146</f>
        <v/>
      </c>
      <c r="N146" s="55">
        <f>$N145+$L146</f>
        <v/>
      </c>
      <c r="O146" s="56">
        <f>IFERROR(IF(($L146)&gt;0,($I146*cfg_TroyOz)/($L146),""),"")</f>
        <v/>
      </c>
      <c r="P146" s="56">
        <f>IFERROR(IF(($M146)&gt;0,($J146*cfg_TroyOz)/($M146),""),"")</f>
        <v/>
      </c>
      <c r="Q146" s="56">
        <f>IFERROR(IF(($N146)&gt;0,($K146*cfg_TroyOz)/($N146),""),"")</f>
        <v/>
      </c>
      <c r="R146" s="55">
        <f>$F146-$L146</f>
        <v/>
      </c>
      <c r="S146" s="55">
        <f>IF($B146=$B145,$S145,0)+$R146</f>
        <v/>
      </c>
      <c r="T146" s="55">
        <f>$T145+$R146</f>
        <v/>
      </c>
      <c r="U146" s="55">
        <f>SUMIFS(tblMovement[Tonnes_t],tblMovement[Date],$A146,tblMovement[Is_Ore],0,tblMovement[Source_Type],"Pit")</f>
        <v/>
      </c>
      <c r="V146" s="55">
        <f>IF($B146=$B145,$V145,0)+$U146</f>
        <v/>
      </c>
      <c r="W146" s="55">
        <f>$W145+$U146</f>
        <v/>
      </c>
      <c r="X146" s="55">
        <f>$F146+$U146</f>
        <v/>
      </c>
      <c r="Y146" s="55">
        <f>IF($B146=$B145,$Y145,0)+$X146</f>
        <v/>
      </c>
      <c r="Z146" s="55">
        <f>$Z145+$X146</f>
        <v/>
      </c>
      <c r="AA146" s="56">
        <f>IFERROR(IF(($F146)&gt;0,($U146)/($F146),""),"")</f>
        <v/>
      </c>
      <c r="AB146" s="56">
        <f>IFERROR(IF(($G146)&gt;0,($V146)/($G146),""),"")</f>
        <v/>
      </c>
      <c r="AC146" s="56">
        <f>IFERROR(IF(($H146)&gt;0,($W146)/($H146),""),"")</f>
        <v/>
      </c>
      <c r="AD146" s="55">
        <f>SUMIFS(tblMovement[Tonnes_t],tblMovement[Date],$A146,tblMovement[Source_Type],"Stockpile")</f>
        <v/>
      </c>
      <c r="AE146" s="55">
        <f>IF($B146=$B145,$AE145,0)+$AD146</f>
        <v/>
      </c>
      <c r="AF146" s="55">
        <f>$AF145+$AD146</f>
        <v/>
      </c>
      <c r="AG146" s="55">
        <f>SUMIFS(tblMovement[Tonnes_t],tblMovement[Date],$A146)</f>
        <v/>
      </c>
      <c r="AH146" s="55">
        <f>IF($B146=$B145,$AH145,0)+$AG146</f>
        <v/>
      </c>
      <c r="AI146" s="55">
        <f>$AI145+$AG146</f>
        <v/>
      </c>
      <c r="AJ146" s="55">
        <f>$AG146-$X146-$AD146</f>
        <v/>
      </c>
      <c r="AK146" s="55">
        <f>IF($B146=$B145,$AK145,0)+$AJ146</f>
        <v/>
      </c>
      <c r="AL146" s="55">
        <f>$AL145+$AJ146</f>
        <v/>
      </c>
      <c r="AM146" s="55">
        <f>SUMIFS(tblMiningDaily[Drill_m],tblMiningDaily[Date],$A146)</f>
        <v/>
      </c>
      <c r="AN146" s="55">
        <f>IF($B146=$B145,$AN145,0)+$AM146</f>
        <v/>
      </c>
      <c r="AO146" s="55">
        <f>$AO145+$AM146</f>
        <v/>
      </c>
      <c r="AP146" s="55">
        <f>SUMIFS(tblMiningDaily[GC_Drill_m],tblMiningDaily[Date],$A146)</f>
        <v/>
      </c>
      <c r="AQ146" s="55">
        <f>IF($B146=$B145,$AQ145,0)+$AP146</f>
        <v/>
      </c>
      <c r="AR146" s="55">
        <f>$AR145+$AP146</f>
        <v/>
      </c>
      <c r="AS146" s="55">
        <f>SUMIFS(tblMiningDaily[Blast_t],tblMiningDaily[Date],$A146)</f>
        <v/>
      </c>
      <c r="AT146" s="55">
        <f>IF($B146=$B145,$AT145,0)+$AS146</f>
        <v/>
      </c>
      <c r="AU146" s="55">
        <f>$AU145+$AS146</f>
        <v/>
      </c>
      <c r="AV146" s="55">
        <f>SUMIFS(tblMiningDaily[Explosives_kg],tblMiningDaily[Date],$A146)</f>
        <v/>
      </c>
      <c r="AW146" s="55">
        <f>IF($B146=$B145,$AW145,0)+$AV146</f>
        <v/>
      </c>
      <c r="AX146" s="55">
        <f>$AX145+$AV146</f>
        <v/>
      </c>
      <c r="AY146" s="56">
        <f>IFERROR(IF(($AS146)&gt;0,($AV146)/($AS146),""),"")</f>
        <v/>
      </c>
      <c r="AZ146" s="56">
        <f>IFERROR(IF(($AT146)&gt;0,($AW146)/($AT146),""),"")</f>
        <v/>
      </c>
      <c r="BA146" s="56">
        <f>IFERROR(IF(($AU146)&gt;0,($AX146)/($AU146),""),"")</f>
        <v/>
      </c>
      <c r="BB146" s="55">
        <f>SUMIFS(tblMiningDaily[Diesel_L],tblMiningDaily[Date],$A146)</f>
        <v/>
      </c>
      <c r="BC146" s="55">
        <f>IF($B146=$B145,$BC145,0)+$BB146</f>
        <v/>
      </c>
      <c r="BD146" s="55">
        <f>$BD145+$BB146</f>
        <v/>
      </c>
      <c r="BE146" s="55">
        <f>SUMIFS(tblMiningDaily[Dewatering_m3],tblMiningDaily[Date],$A146)</f>
        <v/>
      </c>
      <c r="BF146" s="55">
        <f>IF($B146=$B145,$BF145,0)+$BE146</f>
        <v/>
      </c>
      <c r="BG146" s="55">
        <f>$BG145+$BE146</f>
        <v/>
      </c>
      <c r="BH146" s="57">
        <f>SUMIFS(tblFleet[Calendar_h],tblFleet[Date],$A146,tblFleet[Equipment_Class],"Excavator")</f>
        <v/>
      </c>
      <c r="BI146" s="57">
        <f>IF($B146=$B145,$BI145,0)+$BH146</f>
        <v/>
      </c>
      <c r="BJ146" s="57">
        <f>$BJ145+$BH146</f>
        <v/>
      </c>
      <c r="BK146" s="57">
        <f>SUMIFS(tblFleet[Available_h],tblFleet[Date],$A146,tblFleet[Equipment_Class],"Excavator")</f>
        <v/>
      </c>
      <c r="BL146" s="57">
        <f>IF($B146=$B145,$BL145,0)+$BK146</f>
        <v/>
      </c>
      <c r="BM146" s="57">
        <f>$BM145+$BK146</f>
        <v/>
      </c>
      <c r="BN146" s="57">
        <f>SUMIFS(tblFleet[Operating_h],tblFleet[Date],$A146,tblFleet[Equipment_Class],"Excavator")</f>
        <v/>
      </c>
      <c r="BO146" s="57">
        <f>IF($B146=$B145,$BO145,0)+$BN146</f>
        <v/>
      </c>
      <c r="BP146" s="57">
        <f>$BP145+$BN146</f>
        <v/>
      </c>
      <c r="BQ146" s="67">
        <f>IFERROR(IF(($BH146)&gt;0,($BK146)/($BH146),""),"")</f>
        <v/>
      </c>
      <c r="BR146" s="67">
        <f>IFERROR(IF(($BI146)&gt;0,($BL146)/($BI146),""),"")</f>
        <v/>
      </c>
      <c r="BS146" s="67">
        <f>IFERROR(IF(($BJ146)&gt;0,($BM146)/($BJ146),""),"")</f>
        <v/>
      </c>
      <c r="BT146" s="67">
        <f>IFERROR(IF(($BK146)&gt;0,($BN146)/($BK146),""),"")</f>
        <v/>
      </c>
      <c r="BU146" s="67">
        <f>IFERROR(IF(($BL146)&gt;0,($BO146)/($BL146),""),"")</f>
        <v/>
      </c>
      <c r="BV146" s="67">
        <f>IFERROR(IF(($BM146)&gt;0,($BP146)/($BM146),""),"")</f>
        <v/>
      </c>
      <c r="BW146" s="57">
        <f>SUMIFS(tblFleet[Calendar_h],tblFleet[Date],$A146,tblFleet[Equipment_Class],"Haul Truck")</f>
        <v/>
      </c>
      <c r="BX146" s="57">
        <f>IF($B146=$B145,$BX145,0)+$BW146</f>
        <v/>
      </c>
      <c r="BY146" s="57">
        <f>$BY145+$BW146</f>
        <v/>
      </c>
      <c r="BZ146" s="57">
        <f>SUMIFS(tblFleet[Available_h],tblFleet[Date],$A146,tblFleet[Equipment_Class],"Haul Truck")</f>
        <v/>
      </c>
      <c r="CA146" s="57">
        <f>IF($B146=$B145,$CA145,0)+$BZ146</f>
        <v/>
      </c>
      <c r="CB146" s="57">
        <f>$CB145+$BZ146</f>
        <v/>
      </c>
      <c r="CC146" s="57">
        <f>SUMIFS(tblFleet[Operating_h],tblFleet[Date],$A146,tblFleet[Equipment_Class],"Haul Truck")</f>
        <v/>
      </c>
      <c r="CD146" s="57">
        <f>IF($B146=$B145,$CD145,0)+$CC146</f>
        <v/>
      </c>
      <c r="CE146" s="57">
        <f>$CE145+$CC146</f>
        <v/>
      </c>
      <c r="CF146" s="67">
        <f>IFERROR(IF(($BW146)&gt;0,($BZ146)/($BW146),""),"")</f>
        <v/>
      </c>
      <c r="CG146" s="67">
        <f>IFERROR(IF(($BX146)&gt;0,($CA146)/($BX146),""),"")</f>
        <v/>
      </c>
      <c r="CH146" s="67">
        <f>IFERROR(IF(($BY146)&gt;0,($CB146)/($BY146),""),"")</f>
        <v/>
      </c>
      <c r="CI146" s="67">
        <f>IFERROR(IF(($BZ146)&gt;0,($CC146)/($BZ146),""),"")</f>
        <v/>
      </c>
      <c r="CJ146" s="67">
        <f>IFERROR(IF(($CA146)&gt;0,($CD146)/($CA146),""),"")</f>
        <v/>
      </c>
      <c r="CK146" s="67">
        <f>IFERROR(IF(($CB146)&gt;0,($CE146)/($CB146),""),"")</f>
        <v/>
      </c>
      <c r="CL146" s="55">
        <f>IFERROR(IF(($BN146)&gt;0,($X146+$AD146)/($BN146),""),"")</f>
        <v/>
      </c>
      <c r="CM146" s="55">
        <f>IFERROR(IF(($BO146)&gt;0,($Y146+$AE146)/($BO146),""),"")</f>
        <v/>
      </c>
      <c r="CN146" s="55">
        <f>IFERROR(IF(($BP146)&gt;0,($Z146+$AF146)/($BP146),""),"")</f>
        <v/>
      </c>
      <c r="CO146" s="55">
        <f>IFERROR(IF(($CC146)&gt;0,($X146+$AD146)/($CC146),""),"")</f>
        <v/>
      </c>
      <c r="CP146" s="55">
        <f>IFERROR(IF(($CD146)&gt;0,($Y146+$AE146)/($CD146),""),"")</f>
        <v/>
      </c>
      <c r="CQ146" s="55">
        <f>IFERROR(IF(($CE146)&gt;0,($Z146+$AF146)/($CE146),""),"")</f>
        <v/>
      </c>
      <c r="CR146" s="55">
        <f>SUMIFS(tblPlant[Crushed_t],tblPlant[Date],$A146)</f>
        <v/>
      </c>
      <c r="CS146" s="55">
        <f>IF($B146=$B145,$CS145,0)+$CR146</f>
        <v/>
      </c>
      <c r="CT146" s="55">
        <f>$CT145+$CR146</f>
        <v/>
      </c>
      <c r="CU146" s="55">
        <f>SUMIFS(tblPlant[Milled_t],tblPlant[Date],$A146)</f>
        <v/>
      </c>
      <c r="CV146" s="55">
        <f>IF($B146=$B145,$CV145,0)+$CU146</f>
        <v/>
      </c>
      <c r="CW146" s="55">
        <f>$CW145+$CU146</f>
        <v/>
      </c>
      <c r="CX146" s="55">
        <f>SUMIFS(tblPlant[Feed_oz],tblPlant[Date],$A146)</f>
        <v/>
      </c>
      <c r="CY146" s="55">
        <f>IF($B146=$B145,$CY145,0)+$CX146</f>
        <v/>
      </c>
      <c r="CZ146" s="55">
        <f>$CZ145+$CX146</f>
        <v/>
      </c>
      <c r="DA146" s="55">
        <f>SUMIFS(tblPlant[Tails_oz],tblPlant[Date],$A146)</f>
        <v/>
      </c>
      <c r="DB146" s="55">
        <f>IF($B146=$B145,$DB145,0)+$DA146</f>
        <v/>
      </c>
      <c r="DC146" s="55">
        <f>$DC145+$DA146</f>
        <v/>
      </c>
      <c r="DD146" s="55">
        <f>SUMIFS(tblPlant[Recovered_oz],tblPlant[Date],$A146)</f>
        <v/>
      </c>
      <c r="DE146" s="55">
        <f>IF($B146=$B145,$DE145,0)+$DD146</f>
        <v/>
      </c>
      <c r="DF146" s="55">
        <f>$DF145+$DD146</f>
        <v/>
      </c>
      <c r="DG146" s="55">
        <f>SUMIFS(tblPlant[Milled_t],tblPlant[Date],$A146,tblPlant[Head_Grade_gpt],"&lt;&gt;")</f>
        <v/>
      </c>
      <c r="DH146" s="55">
        <f>IF($B146=$B145,$DH145,0)+$DG146</f>
        <v/>
      </c>
      <c r="DI146" s="55">
        <f>$DI145+$DG146</f>
        <v/>
      </c>
      <c r="DJ146" s="55">
        <f>SUMIFS(tblPlant[Milled_t],tblPlant[Date],$A146,tblPlant[Tails_Grade_gpt],"&lt;&gt;")</f>
        <v/>
      </c>
      <c r="DK146" s="55">
        <f>IF($B146=$B145,$DK145,0)+$DJ146</f>
        <v/>
      </c>
      <c r="DL146" s="55">
        <f>$DL145+$DJ146</f>
        <v/>
      </c>
      <c r="DM146" s="55">
        <f>SUMIFS(tblPlant[Feed_oz],tblPlant[Date],$A146,tblPlant[Tails_Grade_gpt],"&lt;&gt;")</f>
        <v/>
      </c>
      <c r="DN146" s="55">
        <f>IF($B146=$B145,$DN145,0)+$DM146</f>
        <v/>
      </c>
      <c r="DO146" s="55">
        <f>$DO145+$DM146</f>
        <v/>
      </c>
      <c r="DP146" s="55">
        <f>SUMIFS(tblPlant[Milled_t],tblPlant[Date],$A146,tblPlant[Mill_Run_h],"&lt;&gt;")</f>
        <v/>
      </c>
      <c r="DQ146" s="55">
        <f>IF($B146=$B145,$DQ145,0)+$DP146</f>
        <v/>
      </c>
      <c r="DR146" s="55">
        <f>$DR145+$DP146</f>
        <v/>
      </c>
      <c r="DS146" s="56">
        <f>IFERROR(IF(($DG146)&gt;0,($CX146*cfg_TroyOz)/($DG146),""),"")</f>
        <v/>
      </c>
      <c r="DT146" s="56">
        <f>IFERROR(IF(($DH146)&gt;0,($CY146*cfg_TroyOz)/($DH146),""),"")</f>
        <v/>
      </c>
      <c r="DU146" s="56">
        <f>IFERROR(IF(($DI146)&gt;0,($CZ146*cfg_TroyOz)/($DI146),""),"")</f>
        <v/>
      </c>
      <c r="DV146" s="56">
        <f>IFERROR(IF(($DJ146)&gt;0,($DA146*cfg_TroyOz)/($DJ146),""),"")</f>
        <v/>
      </c>
      <c r="DW146" s="56">
        <f>IFERROR(IF(($DK146)&gt;0,($DB146*cfg_TroyOz)/($DK146),""),"")</f>
        <v/>
      </c>
      <c r="DX146" s="56">
        <f>IFERROR(IF(($DL146)&gt;0,($DC146*cfg_TroyOz)/($DL146),""),"")</f>
        <v/>
      </c>
      <c r="DY146" s="67">
        <f>IFERROR(IF(($DM146)&gt;0,($DD146)/($DM146),""),"")</f>
        <v/>
      </c>
      <c r="DZ146" s="67">
        <f>IFERROR(IF(($DN146)&gt;0,($DE146)/($DN146),""),"")</f>
        <v/>
      </c>
      <c r="EA146" s="67">
        <f>IFERROR(IF(($DO146)&gt;0,($DF146)/($DO146),""),"")</f>
        <v/>
      </c>
      <c r="EB146" s="55">
        <f>SUMIFS(tblPlant[Gravity_Gold_oz],tblPlant[Date],$A146)</f>
        <v/>
      </c>
      <c r="EC146" s="55">
        <f>IF($B146=$B145,$EC145,0)+$EB146</f>
        <v/>
      </c>
      <c r="ED146" s="55">
        <f>$ED145+$EB146</f>
        <v/>
      </c>
      <c r="EE146" s="67">
        <f>IFERROR(IF(($DD146)&gt;0,($EB146)/($DD146),""),"")</f>
        <v/>
      </c>
      <c r="EF146" s="67">
        <f>IFERROR(IF(($DE146)&gt;0,($EC146)/($DE146),""),"")</f>
        <v/>
      </c>
      <c r="EG146" s="67">
        <f>IFERROR(IF(($DF146)&gt;0,($ED146)/($DF146),""),"")</f>
        <v/>
      </c>
      <c r="EH146" s="55">
        <f>SUMIFS(tblPlant[Gold_Poured_oz],tblPlant[Date],$A146)</f>
        <v/>
      </c>
      <c r="EI146" s="55">
        <f>IF($B146=$B145,$EI145,0)+$EH146</f>
        <v/>
      </c>
      <c r="EJ146" s="55">
        <f>$EJ145+$EH146</f>
        <v/>
      </c>
      <c r="EK146" s="57">
        <f>SUMIFS(tblPlant[Mill_Run_h],tblPlant[Date],$A146)</f>
        <v/>
      </c>
      <c r="EL146" s="57">
        <f>IF($B146=$B145,$EL145,0)+$EK146</f>
        <v/>
      </c>
      <c r="EM146" s="57">
        <f>$EM145+$EK146</f>
        <v/>
      </c>
      <c r="EN146" s="57">
        <f>SUMIFS(tblPlant[Mill_Planned_Maint_h],tblPlant[Date],$A146)</f>
        <v/>
      </c>
      <c r="EO146" s="57">
        <f>IF($B146=$B145,$EO145,0)+$EN146</f>
        <v/>
      </c>
      <c r="EP146" s="57">
        <f>$EP145+$EN146</f>
        <v/>
      </c>
      <c r="EQ146" s="57">
        <f>SUMIFS(tblPlant[Mill_Unplanned_Down_h],tblPlant[Date],$A146)</f>
        <v/>
      </c>
      <c r="ER146" s="57">
        <f>IF($B146=$B145,$ER145,0)+$EQ146</f>
        <v/>
      </c>
      <c r="ES146" s="57">
        <f>$ES145+$EQ146</f>
        <v/>
      </c>
      <c r="ET146" s="57">
        <f>IF(COUNTIFS(tblPlant[Date],$A146,tblPlant[Mill_Run_h],"&lt;&gt;")+COUNTIFS(tblPlant[Date],$A146,tblPlant[Mill_Planned_Maint_h],"&lt;&gt;")+COUNTIFS(tblPlant[Date],$A146,tblPlant[Mill_Unplanned_Down_h],"&lt;&gt;")&gt;0,cfg_HoursPerDay,0)</f>
        <v/>
      </c>
      <c r="EU146" s="57">
        <f>IF($B146=$B145,$EU145,0)+$ET146</f>
        <v/>
      </c>
      <c r="EV146" s="57">
        <f>$EV145+$ET146</f>
        <v/>
      </c>
      <c r="EW146" s="57">
        <f>SUMIFS(tblPlant[Crusher_Run_h],tblPlant[Date],$A146)</f>
        <v/>
      </c>
      <c r="EX146" s="57">
        <f>IF($B146=$B145,$EX145,0)+$EW146</f>
        <v/>
      </c>
      <c r="EY146" s="57">
        <f>$EY145+$EW146</f>
        <v/>
      </c>
      <c r="EZ146" s="55">
        <f>IFERROR(IF(($EK146)&gt;0,($DP146)/($EK146),""),"")</f>
        <v/>
      </c>
      <c r="FA146" s="55">
        <f>IFERROR(IF(($EL146)&gt;0,($DQ146)/($EL146),""),"")</f>
        <v/>
      </c>
      <c r="FB146" s="55">
        <f>IFERROR(IF(($EM146)&gt;0,($DR146)/($EM146),""),"")</f>
        <v/>
      </c>
      <c r="FC146" s="67">
        <f>IFERROR(IF(($ET146)&gt;0,($ET146-$EN146-$EQ146)/($ET146),""),"")</f>
        <v/>
      </c>
      <c r="FD146" s="67">
        <f>IFERROR(IF(($EU146)&gt;0,($EU146-$EO146-$ER146)/($EU146),""),"")</f>
        <v/>
      </c>
      <c r="FE146" s="67">
        <f>IFERROR(IF(($EV146)&gt;0,($EV146-$EP146-$ES146)/($EV146),""),"")</f>
        <v/>
      </c>
      <c r="FF146" s="67">
        <f>IFERROR(IF(($ET146-$EN146-$EQ146)&gt;0,($EK146)/($ET146-$EN146-$EQ146),""),"")</f>
        <v/>
      </c>
      <c r="FG146" s="67">
        <f>IFERROR(IF(($EU146-$EO146-$ER146)&gt;0,($EL146)/($EU146-$EO146-$ER146),""),"")</f>
        <v/>
      </c>
      <c r="FH146" s="67">
        <f>IFERROR(IF(($EV146-$EP146-$ES146)&gt;0,($EM146)/($EV146-$EP146-$ES146),""),"")</f>
        <v/>
      </c>
      <c r="FI146" s="55">
        <f>SUMIFS(tblPlant[Cyanide_kg],tblPlant[Date],$A146)</f>
        <v/>
      </c>
      <c r="FJ146" s="55">
        <f>IF($B146=$B145,$FJ145,0)+$FI146</f>
        <v/>
      </c>
      <c r="FK146" s="55">
        <f>$FK145+$FI146</f>
        <v/>
      </c>
      <c r="FL146" s="55">
        <f>SUMIFS(tblPlant[Lime_kg],tblPlant[Date],$A146)</f>
        <v/>
      </c>
      <c r="FM146" s="55">
        <f>IF($B146=$B145,$FM145,0)+$FL146</f>
        <v/>
      </c>
      <c r="FN146" s="55">
        <f>$FN145+$FL146</f>
        <v/>
      </c>
      <c r="FO146" s="55">
        <f>SUMIFS(tblPlant[Grinding_Media_kg],tblPlant[Date],$A146)</f>
        <v/>
      </c>
      <c r="FP146" s="55">
        <f>IF($B146=$B145,$FP145,0)+$FO146</f>
        <v/>
      </c>
      <c r="FQ146" s="55">
        <f>$FQ145+$FO146</f>
        <v/>
      </c>
      <c r="FR146" s="55">
        <f>SUMIFS(tblPlant[Power_kWh],tblPlant[Date],$A146)</f>
        <v/>
      </c>
      <c r="FS146" s="55">
        <f>IF($B146=$B145,$FS145,0)+$FR146</f>
        <v/>
      </c>
      <c r="FT146" s="55">
        <f>$FT145+$FR146</f>
        <v/>
      </c>
      <c r="FU146" s="55">
        <f>SUMIFS(tblPlant[Raw_Water_m3],tblPlant[Date],$A146)</f>
        <v/>
      </c>
      <c r="FV146" s="55">
        <f>IF($B146=$B145,$FV145,0)+$FU146</f>
        <v/>
      </c>
      <c r="FW146" s="55">
        <f>$FW145+$FU146</f>
        <v/>
      </c>
      <c r="FX146" s="56">
        <f>IFERROR(IF(($CU146)&gt;0,($FI146)/($CU146),""),"")</f>
        <v/>
      </c>
      <c r="FY146" s="56">
        <f>IFERROR(IF(($CV146)&gt;0,($FJ146)/($CV146),""),"")</f>
        <v/>
      </c>
      <c r="FZ146" s="56">
        <f>IFERROR(IF(($CW146)&gt;0,($FK146)/($CW146),""),"")</f>
        <v/>
      </c>
      <c r="GA146" s="56">
        <f>IFERROR(IF(($CU146)&gt;0,($FL146)/($CU146),""),"")</f>
        <v/>
      </c>
      <c r="GB146" s="56">
        <f>IFERROR(IF(($CV146)&gt;0,($FM146)/($CV146),""),"")</f>
        <v/>
      </c>
      <c r="GC146" s="56">
        <f>IFERROR(IF(($CW146)&gt;0,($FN146)/($CW146),""),"")</f>
        <v/>
      </c>
      <c r="GD146" s="56">
        <f>IFERROR(IF(($CU146)&gt;0,($FO146)/($CU146),""),"")</f>
        <v/>
      </c>
      <c r="GE146" s="56">
        <f>IFERROR(IF(($CV146)&gt;0,($FP146)/($CV146),""),"")</f>
        <v/>
      </c>
      <c r="GF146" s="56">
        <f>IFERROR(IF(($CW146)&gt;0,($FQ146)/($CW146),""),"")</f>
        <v/>
      </c>
      <c r="GG146" s="79">
        <f>IFERROR(IF(($CU146)&gt;0,($FR146)/($CU146),""),"")</f>
        <v/>
      </c>
      <c r="GH146" s="79">
        <f>IFERROR(IF(($CV146)&gt;0,($FS146)/($CV146),""),"")</f>
        <v/>
      </c>
      <c r="GI146" s="79">
        <f>IFERROR(IF(($CW146)&gt;0,($FT146)/($CW146),""),"")</f>
        <v/>
      </c>
      <c r="GJ146" s="56">
        <f>IFERROR(IF(($CU146)&gt;0,($FU146)/($CU146),""),"")</f>
        <v/>
      </c>
      <c r="GK146" s="56">
        <f>IFERROR(IF(($CV146)&gt;0,($FV146)/($CV146),""),"")</f>
        <v/>
      </c>
      <c r="GL146" s="56">
        <f>IFERROR(IF(($CW146)&gt;0,($FW146)/($CW146),""),"")</f>
        <v/>
      </c>
      <c r="GM146" s="55">
        <f>IF(SUMIFS(tblPlant[GIC_oz],tblPlant[Date],$A146)&gt;0,SUMIFS(tblPlant[GIC_oz],tblPlant[Date],$A146),"")</f>
        <v/>
      </c>
      <c r="GN146" s="55">
        <f>SUMIFS(tblGold[Gold_oz],tblGold[Date],$A146,tblGold[Type],"Shipment")</f>
        <v/>
      </c>
      <c r="GO146" s="55">
        <f>IF($B146=$B145,$GO145,0)+$GN146</f>
        <v/>
      </c>
      <c r="GP146" s="55">
        <f>$GP145+$GN146</f>
        <v/>
      </c>
      <c r="GQ146" s="55">
        <f>SUMIFS(tblGold[Gold_oz],tblGold[Date],$A146,tblGold[Type],"Sale")</f>
        <v/>
      </c>
      <c r="GR146" s="55">
        <f>IF($B146=$B145,$GR145,0)+$GQ146</f>
        <v/>
      </c>
      <c r="GS146" s="55">
        <f>$GS145+$GQ146</f>
        <v/>
      </c>
      <c r="GT146" s="55">
        <f>SUMIFS(tblGold[Dore_kg],tblGold[Date],$A146,tblGold[Type],"Shipment")</f>
        <v/>
      </c>
      <c r="GU146" s="55">
        <f>IF($B146=$B145,$GU145,0)+$GT146</f>
        <v/>
      </c>
      <c r="GV146" s="55">
        <f>$GV145+$GT146</f>
        <v/>
      </c>
      <c r="GW146" s="57">
        <f>SUMIFS(tblSafety[Hours_Total],tblSafety[Date],$A146)</f>
        <v/>
      </c>
      <c r="GX146" s="57">
        <f>IF($B146=$B145,$GX145,0)+$GW146</f>
        <v/>
      </c>
      <c r="GY146" s="57">
        <f>$GY145+$GW146</f>
        <v/>
      </c>
      <c r="GZ146" s="62">
        <f>SUMIFS(tblSafety[Fatality],tblSafety[Date],$A146)</f>
        <v/>
      </c>
      <c r="HA146" s="62">
        <f>IF($B146=$B145,$HA145,0)+$GZ146</f>
        <v/>
      </c>
      <c r="HB146" s="62">
        <f>$HB145+$GZ146</f>
        <v/>
      </c>
      <c r="HC146" s="62">
        <f>SUMIFS(tblSafety[LTI],tblSafety[Date],$A146)</f>
        <v/>
      </c>
      <c r="HD146" s="62">
        <f>IF($B146=$B145,$HD145,0)+$HC146</f>
        <v/>
      </c>
      <c r="HE146" s="62">
        <f>$HE145+$HC146</f>
        <v/>
      </c>
      <c r="HF146" s="62">
        <f>SUMIFS(tblSafety[RWI],tblSafety[Date],$A146)</f>
        <v/>
      </c>
      <c r="HG146" s="62">
        <f>IF($B146=$B145,$HG145,0)+$HF146</f>
        <v/>
      </c>
      <c r="HH146" s="62">
        <f>$HH145+$HF146</f>
        <v/>
      </c>
      <c r="HI146" s="62">
        <f>SUMIFS(tblSafety[MTI],tblSafety[Date],$A146)</f>
        <v/>
      </c>
      <c r="HJ146" s="62">
        <f>IF($B146=$B145,$HJ145,0)+$HI146</f>
        <v/>
      </c>
      <c r="HK146" s="62">
        <f>$HK145+$HI146</f>
        <v/>
      </c>
      <c r="HL146" s="62">
        <f>SUMIFS(tblSafety[FAI],tblSafety[Date],$A146)</f>
        <v/>
      </c>
      <c r="HM146" s="62">
        <f>IF($B146=$B145,$HM145,0)+$HL146</f>
        <v/>
      </c>
      <c r="HN146" s="62">
        <f>$HN145+$HL146</f>
        <v/>
      </c>
      <c r="HO146" s="62">
        <f>SUMIFS(tblSafety[Recordables],tblSafety[Date],$A146)</f>
        <v/>
      </c>
      <c r="HP146" s="62">
        <f>IF($B146=$B145,$HP145,0)+$HO146</f>
        <v/>
      </c>
      <c r="HQ146" s="62">
        <f>$HQ145+$HO146</f>
        <v/>
      </c>
      <c r="HR146" s="62">
        <f>SUMIFS(tblSafety[Near_Miss],tblSafety[Date],$A146)</f>
        <v/>
      </c>
      <c r="HS146" s="62">
        <f>IF($B146=$B145,$HS145,0)+$HR146</f>
        <v/>
      </c>
      <c r="HT146" s="62">
        <f>$HT145+$HR146</f>
        <v/>
      </c>
      <c r="HU146" s="62">
        <f>SUMIFS(tblSafety[Hazard_Reports],tblSafety[Date],$A146)</f>
        <v/>
      </c>
      <c r="HV146" s="62">
        <f>IF($B146=$B145,$HV145,0)+$HU146</f>
        <v/>
      </c>
      <c r="HW146" s="62">
        <f>$HW145+$HU146</f>
        <v/>
      </c>
      <c r="HX146" s="62">
        <f>SUMIFS(tblSafety[HPI],tblSafety[Date],$A146)</f>
        <v/>
      </c>
      <c r="HY146" s="62">
        <f>IF($B146=$B145,$HY145,0)+$HX146</f>
        <v/>
      </c>
      <c r="HZ146" s="62">
        <f>$HZ145+$HX146</f>
        <v/>
      </c>
      <c r="IA146" s="62">
        <f>SUMIFS(tblSafety[Env_Incidents],tblSafety[Date],$A146)</f>
        <v/>
      </c>
      <c r="IB146" s="62">
        <f>IF($B146=$B145,$IB145,0)+$IA146</f>
        <v/>
      </c>
      <c r="IC146" s="62">
        <f>$IC145+$IA146</f>
        <v/>
      </c>
      <c r="ID146" s="62">
        <f>SUMIFS(tblSafety[Community_Incidents],tblSafety[Date],$A146)</f>
        <v/>
      </c>
      <c r="IE146" s="62">
        <f>IF($B146=$B145,$IE145,0)+$ID146</f>
        <v/>
      </c>
      <c r="IF146" s="62">
        <f>$IF145+$ID146</f>
        <v/>
      </c>
      <c r="IG146" s="62">
        <f>SUMIFS(tblSafety[Vehicle_Incidents],tblSafety[Date],$A146)</f>
        <v/>
      </c>
      <c r="IH146" s="62">
        <f>IF($B146=$B145,$IH145,0)+$IG146</f>
        <v/>
      </c>
      <c r="II146" s="62">
        <f>$II145+$IG146</f>
        <v/>
      </c>
      <c r="IJ146" s="62">
        <f>SUMIFS(tblSafety[Toolbox_Talks],tblSafety[Date],$A146)</f>
        <v/>
      </c>
      <c r="IK146" s="62">
        <f>IF($B146=$B145,$IK145,0)+$IJ146</f>
        <v/>
      </c>
      <c r="IL146" s="62">
        <f>$IL145+$IJ146</f>
        <v/>
      </c>
      <c r="IM146" s="62">
        <f>SUMIFS(tblSafety[Inspections],tblSafety[Date],$A146)</f>
        <v/>
      </c>
      <c r="IN146" s="62">
        <f>IF($B146=$B145,$IN145,0)+$IM146</f>
        <v/>
      </c>
      <c r="IO146" s="62">
        <f>$IO145+$IM146</f>
        <v/>
      </c>
      <c r="IP146" s="56">
        <f>IFERROR((SUMIFS(tblSafety[Recordables],tblSafety[Date],"&gt;="&amp;EDATE($E146,-12),tblSafety[Date],"&lt;="&amp;$A146)+SUMIFS(tblSafetyHistory[Recordables],tblSafetyHistory[Month],"&gt;="&amp;EDATE($E146,-12),tblSafetyHistory[Month],"&lt;"&amp;$E146,tblSafetyHistory[Use],1))/(SUMIFS(tblSafety[Hours_Total],tblSafety[Date],"&gt;="&amp;EDATE($E146,-12),tblSafety[Date],"&lt;="&amp;$A146)+SUMIFS(tblSafetyHistory[Hours_Total],tblSafetyHistory[Month],"&gt;="&amp;EDATE($E146,-12),tblSafetyHistory[Month],"&lt;"&amp;$E146,tblSafetyHistory[Use],1))*cfg_RateBasisHours,"")</f>
        <v/>
      </c>
      <c r="IQ146" s="56">
        <f>IFERROR((SUMIFS(tblSafety[LTI],tblSafety[Date],"&gt;="&amp;EDATE($E146,-12),tblSafety[Date],"&lt;="&amp;$A146)+SUMIFS(tblSafetyHistory[LTI],tblSafetyHistory[Month],"&gt;="&amp;EDATE($E146,-12),tblSafetyHistory[Month],"&lt;"&amp;$E146,tblSafetyHistory[Use],1))/(SUMIFS(tblSafety[Hours_Total],tblSafety[Date],"&gt;="&amp;EDATE($E146,-12),tblSafety[Date],"&lt;="&amp;$A146)+SUMIFS(tblSafetyHistory[Hours_Total],tblSafetyHistory[Month],"&gt;="&amp;EDATE($E146,-12),tblSafetyHistory[Month],"&lt;"&amp;$E146,tblSafetyHistory[Use],1))*cfg_RateBasisHours,"")</f>
        <v/>
      </c>
      <c r="IR146" s="62">
        <f>IF(MAX(N(cfg_PriorLTIDate),_xlfn.MAXIFS(tblSafety[Date],tblSafety[LTI],"&gt;0",tblSafety[Date],"&lt;="&amp;$A146))=0,"",$A146-MAX(N(cfg_PriorLTIDate),_xlfn.MAXIFS(tblSafety[Date],tblSafety[LTI],"&gt;0",tblSafety[Date],"&lt;="&amp;$A146)))</f>
        <v/>
      </c>
      <c r="IS146" s="55">
        <f>SUMIFS(tblBudget[Ore_Mined_t],tblBudget[Month],$E146)</f>
        <v/>
      </c>
      <c r="IT146" s="55">
        <f>$IS146*$C146/$D146</f>
        <v/>
      </c>
      <c r="IU146" s="55">
        <f>SUMIFS(tblBudget[Ore_Mined_t],tblBudget[Month],"&lt;"&amp;$E146)+$IT146</f>
        <v/>
      </c>
      <c r="IV146" s="55">
        <f>SUMIFS(tblBudget[Ore_oz],tblBudget[Month],$E146)</f>
        <v/>
      </c>
      <c r="IW146" s="55">
        <f>$IV146*$C146/$D146</f>
        <v/>
      </c>
      <c r="IX146" s="55">
        <f>SUMIFS(tblBudget[Ore_oz],tblBudget[Month],"&lt;"&amp;$E146)+$IW146</f>
        <v/>
      </c>
      <c r="IY146" s="55">
        <f>SUMIFS(tblBudget[Ore_Mined_t],tblBudget[Month],$E146)</f>
        <v/>
      </c>
      <c r="IZ146" s="55">
        <f>$IY146*$C146/$D146</f>
        <v/>
      </c>
      <c r="JA146" s="55">
        <f>SUMIFS(tblBudget[Ore_Mined_t],tblBudget[Month],"&lt;"&amp;$E146)+$IZ146</f>
        <v/>
      </c>
      <c r="JB146" s="56">
        <f>IFERROR(IF(($IY146)&gt;0,($IV146*cfg_TroyOz)/($IY146),""),"")</f>
        <v/>
      </c>
      <c r="JC146" s="56">
        <f>IFERROR(IF(($IZ146)&gt;0,($IW146*cfg_TroyOz)/($IZ146),""),"")</f>
        <v/>
      </c>
      <c r="JD146" s="56">
        <f>IFERROR(IF(($JA146)&gt;0,($IX146*cfg_TroyOz)/($JA146),""),"")</f>
        <v/>
      </c>
      <c r="JE146" s="55">
        <f>SUMIFS(tblBudget[Waste_t],tblBudget[Month],$E146)</f>
        <v/>
      </c>
      <c r="JF146" s="55">
        <f>$JE146*$C146/$D146</f>
        <v/>
      </c>
      <c r="JG146" s="55">
        <f>SUMIFS(tblBudget[Waste_t],tblBudget[Month],"&lt;"&amp;$E146)+$JF146</f>
        <v/>
      </c>
      <c r="JH146" s="55">
        <f>SUMIFS(tblBudget[TMM_t],tblBudget[Month],$E146)</f>
        <v/>
      </c>
      <c r="JI146" s="55">
        <f>$JH146*$C146/$D146</f>
        <v/>
      </c>
      <c r="JJ146" s="55">
        <f>SUMIFS(tblBudget[TMM_t],tblBudget[Month],"&lt;"&amp;$E146)+$JI146</f>
        <v/>
      </c>
      <c r="JK146" s="56">
        <f>IFERROR(IF(($IS146)&gt;0,($JE146)/($IS146),""),"")</f>
        <v/>
      </c>
      <c r="JL146" s="56">
        <f>IFERROR(IF(($IT146)&gt;0,($JF146)/($IT146),""),"")</f>
        <v/>
      </c>
      <c r="JM146" s="56">
        <f>IFERROR(IF(($IU146)&gt;0,($JG146)/($IU146),""),"")</f>
        <v/>
      </c>
      <c r="JN146" s="55">
        <f>SUMIFS(tblBudget[Drill_m],tblBudget[Month],$E146)</f>
        <v/>
      </c>
      <c r="JO146" s="55">
        <f>$JN146*$C146/$D146</f>
        <v/>
      </c>
      <c r="JP146" s="55">
        <f>SUMIFS(tblBudget[Drill_m],tblBudget[Month],"&lt;"&amp;$E146)+$JO146</f>
        <v/>
      </c>
      <c r="JQ146" s="55">
        <f>SUMIFS(tblBudget[Diesel_L],tblBudget[Month],$E146)</f>
        <v/>
      </c>
      <c r="JR146" s="55">
        <f>$JQ146*$C146/$D146</f>
        <v/>
      </c>
      <c r="JS146" s="55">
        <f>SUMIFS(tblBudget[Diesel_L],tblBudget[Month],"&lt;"&amp;$E146)+$JR146</f>
        <v/>
      </c>
      <c r="JT146" s="55">
        <f>SUMIFS(tblBudget[Milled_t],tblBudget[Month],$E146)</f>
        <v/>
      </c>
      <c r="JU146" s="55">
        <f>$JT146*$C146/$D146</f>
        <v/>
      </c>
      <c r="JV146" s="55">
        <f>SUMIFS(tblBudget[Milled_t],tblBudget[Month],"&lt;"&amp;$E146)+$JU146</f>
        <v/>
      </c>
      <c r="JW146" s="55">
        <f>SUMIFS(tblBudget[Feed_oz],tblBudget[Month],$E146)</f>
        <v/>
      </c>
      <c r="JX146" s="55">
        <f>$JW146*$C146/$D146</f>
        <v/>
      </c>
      <c r="JY146" s="55">
        <f>SUMIFS(tblBudget[Feed_oz],tblBudget[Month],"&lt;"&amp;$E146)+$JX146</f>
        <v/>
      </c>
      <c r="JZ146" s="55">
        <f>SUMIFS(tblBudget[Recovered_oz],tblBudget[Month],$E146)</f>
        <v/>
      </c>
      <c r="KA146" s="55">
        <f>$JZ146*$C146/$D146</f>
        <v/>
      </c>
      <c r="KB146" s="55">
        <f>SUMIFS(tblBudget[Recovered_oz],tblBudget[Month],"&lt;"&amp;$E146)+$KA146</f>
        <v/>
      </c>
      <c r="KC146" s="55">
        <f>SUMIFS(tblBudget[Milled_t],tblBudget[Month],$E146)</f>
        <v/>
      </c>
      <c r="KD146" s="55">
        <f>$KC146*$C146/$D146</f>
        <v/>
      </c>
      <c r="KE146" s="55">
        <f>SUMIFS(tblBudget[Milled_t],tblBudget[Month],"&lt;"&amp;$E146)+$KD146</f>
        <v/>
      </c>
      <c r="KF146" s="55">
        <f>SUMIFS(tblBudget[Feed_oz],tblBudget[Month],$E146)</f>
        <v/>
      </c>
      <c r="KG146" s="55">
        <f>$KF146*$C146/$D146</f>
        <v/>
      </c>
      <c r="KH146" s="55">
        <f>SUMIFS(tblBudget[Feed_oz],tblBudget[Month],"&lt;"&amp;$E146)+$KG146</f>
        <v/>
      </c>
      <c r="KI146" s="56">
        <f>IFERROR(IF(($KC146)&gt;0,($JW146*cfg_TroyOz)/($KC146),""),"")</f>
        <v/>
      </c>
      <c r="KJ146" s="56">
        <f>IFERROR(IF(($KD146)&gt;0,($JX146*cfg_TroyOz)/($KD146),""),"")</f>
        <v/>
      </c>
      <c r="KK146" s="56">
        <f>IFERROR(IF(($KE146)&gt;0,($JY146*cfg_TroyOz)/($KE146),""),"")</f>
        <v/>
      </c>
      <c r="KL146" s="67">
        <f>IFERROR(IF(($KF146)&gt;0,($JZ146)/($KF146),""),"")</f>
        <v/>
      </c>
      <c r="KM146" s="67">
        <f>IFERROR(IF(($KG146)&gt;0,($KA146)/($KG146),""),"")</f>
        <v/>
      </c>
      <c r="KN146" s="67">
        <f>IFERROR(IF(($KH146)&gt;0,($KB146)/($KH146),""),"")</f>
        <v/>
      </c>
      <c r="KO146" s="55">
        <f>SUMIFS(tblBudget[Gold_Poured_oz],tblBudget[Month],$E146)</f>
        <v/>
      </c>
      <c r="KP146" s="55">
        <f>$KO146*$C146/$D146</f>
        <v/>
      </c>
      <c r="KQ146" s="55">
        <f>SUMIFS(tblBudget[Gold_Poured_oz],tblBudget[Month],"&lt;"&amp;$E146)+$KP146</f>
        <v/>
      </c>
      <c r="KR146" s="57">
        <f>SUMIFS(tblBudget[Hours_Worked],tblBudget[Month],$E146)</f>
        <v/>
      </c>
      <c r="KS146" s="57">
        <f>$KR146*$C146/$D146</f>
        <v/>
      </c>
      <c r="KT146" s="57">
        <f>SUMIFS(tblBudget[Hours_Worked],tblBudget[Month],"&lt;"&amp;$E146)+$KS146</f>
        <v/>
      </c>
    </row>
    <row r="147">
      <c r="A147" s="54" t="n">
        <v>46168</v>
      </c>
      <c r="B147">
        <f>MONTH($A147)</f>
        <v/>
      </c>
      <c r="C147">
        <f>DAY($A147)</f>
        <v/>
      </c>
      <c r="D147">
        <f>DAY(EOMONTH($A147,0))</f>
        <v/>
      </c>
      <c r="E147" s="54">
        <f>DATE(YEAR($A147),MONTH($A147),1)</f>
        <v/>
      </c>
      <c r="F147" s="55">
        <f>SUMIFS(tblMovement[Tonnes_t],tblMovement[Date],$A147,tblMovement[Is_Ore],1,tblMovement[Source_Type],"Pit")</f>
        <v/>
      </c>
      <c r="G147" s="55">
        <f>IF($B147=$B146,$G146,0)+$F147</f>
        <v/>
      </c>
      <c r="H147" s="55">
        <f>$H146+$F147</f>
        <v/>
      </c>
      <c r="I147" s="55">
        <f>SUMIFS(tblMovement[Ore_oz],tblMovement[Date],$A147,tblMovement[Source_Type],"Pit")</f>
        <v/>
      </c>
      <c r="J147" s="55">
        <f>IF($B147=$B146,$J146,0)+$I147</f>
        <v/>
      </c>
      <c r="K147" s="55">
        <f>$K146+$I147</f>
        <v/>
      </c>
      <c r="L147" s="55">
        <f>SUMIFS(tblMovement[Tonnes_t],tblMovement[Date],$A147,tblMovement[Is_Ore],1,tblMovement[Source_Type],"Pit",tblMovement[Grade_gpt],"&lt;&gt;")</f>
        <v/>
      </c>
      <c r="M147" s="55">
        <f>IF($B147=$B146,$M146,0)+$L147</f>
        <v/>
      </c>
      <c r="N147" s="55">
        <f>$N146+$L147</f>
        <v/>
      </c>
      <c r="O147" s="56">
        <f>IFERROR(IF(($L147)&gt;0,($I147*cfg_TroyOz)/($L147),""),"")</f>
        <v/>
      </c>
      <c r="P147" s="56">
        <f>IFERROR(IF(($M147)&gt;0,($J147*cfg_TroyOz)/($M147),""),"")</f>
        <v/>
      </c>
      <c r="Q147" s="56">
        <f>IFERROR(IF(($N147)&gt;0,($K147*cfg_TroyOz)/($N147),""),"")</f>
        <v/>
      </c>
      <c r="R147" s="55">
        <f>$F147-$L147</f>
        <v/>
      </c>
      <c r="S147" s="55">
        <f>IF($B147=$B146,$S146,0)+$R147</f>
        <v/>
      </c>
      <c r="T147" s="55">
        <f>$T146+$R147</f>
        <v/>
      </c>
      <c r="U147" s="55">
        <f>SUMIFS(tblMovement[Tonnes_t],tblMovement[Date],$A147,tblMovement[Is_Ore],0,tblMovement[Source_Type],"Pit")</f>
        <v/>
      </c>
      <c r="V147" s="55">
        <f>IF($B147=$B146,$V146,0)+$U147</f>
        <v/>
      </c>
      <c r="W147" s="55">
        <f>$W146+$U147</f>
        <v/>
      </c>
      <c r="X147" s="55">
        <f>$F147+$U147</f>
        <v/>
      </c>
      <c r="Y147" s="55">
        <f>IF($B147=$B146,$Y146,0)+$X147</f>
        <v/>
      </c>
      <c r="Z147" s="55">
        <f>$Z146+$X147</f>
        <v/>
      </c>
      <c r="AA147" s="56">
        <f>IFERROR(IF(($F147)&gt;0,($U147)/($F147),""),"")</f>
        <v/>
      </c>
      <c r="AB147" s="56">
        <f>IFERROR(IF(($G147)&gt;0,($V147)/($G147),""),"")</f>
        <v/>
      </c>
      <c r="AC147" s="56">
        <f>IFERROR(IF(($H147)&gt;0,($W147)/($H147),""),"")</f>
        <v/>
      </c>
      <c r="AD147" s="55">
        <f>SUMIFS(tblMovement[Tonnes_t],tblMovement[Date],$A147,tblMovement[Source_Type],"Stockpile")</f>
        <v/>
      </c>
      <c r="AE147" s="55">
        <f>IF($B147=$B146,$AE146,0)+$AD147</f>
        <v/>
      </c>
      <c r="AF147" s="55">
        <f>$AF146+$AD147</f>
        <v/>
      </c>
      <c r="AG147" s="55">
        <f>SUMIFS(tblMovement[Tonnes_t],tblMovement[Date],$A147)</f>
        <v/>
      </c>
      <c r="AH147" s="55">
        <f>IF($B147=$B146,$AH146,0)+$AG147</f>
        <v/>
      </c>
      <c r="AI147" s="55">
        <f>$AI146+$AG147</f>
        <v/>
      </c>
      <c r="AJ147" s="55">
        <f>$AG147-$X147-$AD147</f>
        <v/>
      </c>
      <c r="AK147" s="55">
        <f>IF($B147=$B146,$AK146,0)+$AJ147</f>
        <v/>
      </c>
      <c r="AL147" s="55">
        <f>$AL146+$AJ147</f>
        <v/>
      </c>
      <c r="AM147" s="55">
        <f>SUMIFS(tblMiningDaily[Drill_m],tblMiningDaily[Date],$A147)</f>
        <v/>
      </c>
      <c r="AN147" s="55">
        <f>IF($B147=$B146,$AN146,0)+$AM147</f>
        <v/>
      </c>
      <c r="AO147" s="55">
        <f>$AO146+$AM147</f>
        <v/>
      </c>
      <c r="AP147" s="55">
        <f>SUMIFS(tblMiningDaily[GC_Drill_m],tblMiningDaily[Date],$A147)</f>
        <v/>
      </c>
      <c r="AQ147" s="55">
        <f>IF($B147=$B146,$AQ146,0)+$AP147</f>
        <v/>
      </c>
      <c r="AR147" s="55">
        <f>$AR146+$AP147</f>
        <v/>
      </c>
      <c r="AS147" s="55">
        <f>SUMIFS(tblMiningDaily[Blast_t],tblMiningDaily[Date],$A147)</f>
        <v/>
      </c>
      <c r="AT147" s="55">
        <f>IF($B147=$B146,$AT146,0)+$AS147</f>
        <v/>
      </c>
      <c r="AU147" s="55">
        <f>$AU146+$AS147</f>
        <v/>
      </c>
      <c r="AV147" s="55">
        <f>SUMIFS(tblMiningDaily[Explosives_kg],tblMiningDaily[Date],$A147)</f>
        <v/>
      </c>
      <c r="AW147" s="55">
        <f>IF($B147=$B146,$AW146,0)+$AV147</f>
        <v/>
      </c>
      <c r="AX147" s="55">
        <f>$AX146+$AV147</f>
        <v/>
      </c>
      <c r="AY147" s="56">
        <f>IFERROR(IF(($AS147)&gt;0,($AV147)/($AS147),""),"")</f>
        <v/>
      </c>
      <c r="AZ147" s="56">
        <f>IFERROR(IF(($AT147)&gt;0,($AW147)/($AT147),""),"")</f>
        <v/>
      </c>
      <c r="BA147" s="56">
        <f>IFERROR(IF(($AU147)&gt;0,($AX147)/($AU147),""),"")</f>
        <v/>
      </c>
      <c r="BB147" s="55">
        <f>SUMIFS(tblMiningDaily[Diesel_L],tblMiningDaily[Date],$A147)</f>
        <v/>
      </c>
      <c r="BC147" s="55">
        <f>IF($B147=$B146,$BC146,0)+$BB147</f>
        <v/>
      </c>
      <c r="BD147" s="55">
        <f>$BD146+$BB147</f>
        <v/>
      </c>
      <c r="BE147" s="55">
        <f>SUMIFS(tblMiningDaily[Dewatering_m3],tblMiningDaily[Date],$A147)</f>
        <v/>
      </c>
      <c r="BF147" s="55">
        <f>IF($B147=$B146,$BF146,0)+$BE147</f>
        <v/>
      </c>
      <c r="BG147" s="55">
        <f>$BG146+$BE147</f>
        <v/>
      </c>
      <c r="BH147" s="57">
        <f>SUMIFS(tblFleet[Calendar_h],tblFleet[Date],$A147,tblFleet[Equipment_Class],"Excavator")</f>
        <v/>
      </c>
      <c r="BI147" s="57">
        <f>IF($B147=$B146,$BI146,0)+$BH147</f>
        <v/>
      </c>
      <c r="BJ147" s="57">
        <f>$BJ146+$BH147</f>
        <v/>
      </c>
      <c r="BK147" s="57">
        <f>SUMIFS(tblFleet[Available_h],tblFleet[Date],$A147,tblFleet[Equipment_Class],"Excavator")</f>
        <v/>
      </c>
      <c r="BL147" s="57">
        <f>IF($B147=$B146,$BL146,0)+$BK147</f>
        <v/>
      </c>
      <c r="BM147" s="57">
        <f>$BM146+$BK147</f>
        <v/>
      </c>
      <c r="BN147" s="57">
        <f>SUMIFS(tblFleet[Operating_h],tblFleet[Date],$A147,tblFleet[Equipment_Class],"Excavator")</f>
        <v/>
      </c>
      <c r="BO147" s="57">
        <f>IF($B147=$B146,$BO146,0)+$BN147</f>
        <v/>
      </c>
      <c r="BP147" s="57">
        <f>$BP146+$BN147</f>
        <v/>
      </c>
      <c r="BQ147" s="67">
        <f>IFERROR(IF(($BH147)&gt;0,($BK147)/($BH147),""),"")</f>
        <v/>
      </c>
      <c r="BR147" s="67">
        <f>IFERROR(IF(($BI147)&gt;0,($BL147)/($BI147),""),"")</f>
        <v/>
      </c>
      <c r="BS147" s="67">
        <f>IFERROR(IF(($BJ147)&gt;0,($BM147)/($BJ147),""),"")</f>
        <v/>
      </c>
      <c r="BT147" s="67">
        <f>IFERROR(IF(($BK147)&gt;0,($BN147)/($BK147),""),"")</f>
        <v/>
      </c>
      <c r="BU147" s="67">
        <f>IFERROR(IF(($BL147)&gt;0,($BO147)/($BL147),""),"")</f>
        <v/>
      </c>
      <c r="BV147" s="67">
        <f>IFERROR(IF(($BM147)&gt;0,($BP147)/($BM147),""),"")</f>
        <v/>
      </c>
      <c r="BW147" s="57">
        <f>SUMIFS(tblFleet[Calendar_h],tblFleet[Date],$A147,tblFleet[Equipment_Class],"Haul Truck")</f>
        <v/>
      </c>
      <c r="BX147" s="57">
        <f>IF($B147=$B146,$BX146,0)+$BW147</f>
        <v/>
      </c>
      <c r="BY147" s="57">
        <f>$BY146+$BW147</f>
        <v/>
      </c>
      <c r="BZ147" s="57">
        <f>SUMIFS(tblFleet[Available_h],tblFleet[Date],$A147,tblFleet[Equipment_Class],"Haul Truck")</f>
        <v/>
      </c>
      <c r="CA147" s="57">
        <f>IF($B147=$B146,$CA146,0)+$BZ147</f>
        <v/>
      </c>
      <c r="CB147" s="57">
        <f>$CB146+$BZ147</f>
        <v/>
      </c>
      <c r="CC147" s="57">
        <f>SUMIFS(tblFleet[Operating_h],tblFleet[Date],$A147,tblFleet[Equipment_Class],"Haul Truck")</f>
        <v/>
      </c>
      <c r="CD147" s="57">
        <f>IF($B147=$B146,$CD146,0)+$CC147</f>
        <v/>
      </c>
      <c r="CE147" s="57">
        <f>$CE146+$CC147</f>
        <v/>
      </c>
      <c r="CF147" s="67">
        <f>IFERROR(IF(($BW147)&gt;0,($BZ147)/($BW147),""),"")</f>
        <v/>
      </c>
      <c r="CG147" s="67">
        <f>IFERROR(IF(($BX147)&gt;0,($CA147)/($BX147),""),"")</f>
        <v/>
      </c>
      <c r="CH147" s="67">
        <f>IFERROR(IF(($BY147)&gt;0,($CB147)/($BY147),""),"")</f>
        <v/>
      </c>
      <c r="CI147" s="67">
        <f>IFERROR(IF(($BZ147)&gt;0,($CC147)/($BZ147),""),"")</f>
        <v/>
      </c>
      <c r="CJ147" s="67">
        <f>IFERROR(IF(($CA147)&gt;0,($CD147)/($CA147),""),"")</f>
        <v/>
      </c>
      <c r="CK147" s="67">
        <f>IFERROR(IF(($CB147)&gt;0,($CE147)/($CB147),""),"")</f>
        <v/>
      </c>
      <c r="CL147" s="55">
        <f>IFERROR(IF(($BN147)&gt;0,($X147+$AD147)/($BN147),""),"")</f>
        <v/>
      </c>
      <c r="CM147" s="55">
        <f>IFERROR(IF(($BO147)&gt;0,($Y147+$AE147)/($BO147),""),"")</f>
        <v/>
      </c>
      <c r="CN147" s="55">
        <f>IFERROR(IF(($BP147)&gt;0,($Z147+$AF147)/($BP147),""),"")</f>
        <v/>
      </c>
      <c r="CO147" s="55">
        <f>IFERROR(IF(($CC147)&gt;0,($X147+$AD147)/($CC147),""),"")</f>
        <v/>
      </c>
      <c r="CP147" s="55">
        <f>IFERROR(IF(($CD147)&gt;0,($Y147+$AE147)/($CD147),""),"")</f>
        <v/>
      </c>
      <c r="CQ147" s="55">
        <f>IFERROR(IF(($CE147)&gt;0,($Z147+$AF147)/($CE147),""),"")</f>
        <v/>
      </c>
      <c r="CR147" s="55">
        <f>SUMIFS(tblPlant[Crushed_t],tblPlant[Date],$A147)</f>
        <v/>
      </c>
      <c r="CS147" s="55">
        <f>IF($B147=$B146,$CS146,0)+$CR147</f>
        <v/>
      </c>
      <c r="CT147" s="55">
        <f>$CT146+$CR147</f>
        <v/>
      </c>
      <c r="CU147" s="55">
        <f>SUMIFS(tblPlant[Milled_t],tblPlant[Date],$A147)</f>
        <v/>
      </c>
      <c r="CV147" s="55">
        <f>IF($B147=$B146,$CV146,0)+$CU147</f>
        <v/>
      </c>
      <c r="CW147" s="55">
        <f>$CW146+$CU147</f>
        <v/>
      </c>
      <c r="CX147" s="55">
        <f>SUMIFS(tblPlant[Feed_oz],tblPlant[Date],$A147)</f>
        <v/>
      </c>
      <c r="CY147" s="55">
        <f>IF($B147=$B146,$CY146,0)+$CX147</f>
        <v/>
      </c>
      <c r="CZ147" s="55">
        <f>$CZ146+$CX147</f>
        <v/>
      </c>
      <c r="DA147" s="55">
        <f>SUMIFS(tblPlant[Tails_oz],tblPlant[Date],$A147)</f>
        <v/>
      </c>
      <c r="DB147" s="55">
        <f>IF($B147=$B146,$DB146,0)+$DA147</f>
        <v/>
      </c>
      <c r="DC147" s="55">
        <f>$DC146+$DA147</f>
        <v/>
      </c>
      <c r="DD147" s="55">
        <f>SUMIFS(tblPlant[Recovered_oz],tblPlant[Date],$A147)</f>
        <v/>
      </c>
      <c r="DE147" s="55">
        <f>IF($B147=$B146,$DE146,0)+$DD147</f>
        <v/>
      </c>
      <c r="DF147" s="55">
        <f>$DF146+$DD147</f>
        <v/>
      </c>
      <c r="DG147" s="55">
        <f>SUMIFS(tblPlant[Milled_t],tblPlant[Date],$A147,tblPlant[Head_Grade_gpt],"&lt;&gt;")</f>
        <v/>
      </c>
      <c r="DH147" s="55">
        <f>IF($B147=$B146,$DH146,0)+$DG147</f>
        <v/>
      </c>
      <c r="DI147" s="55">
        <f>$DI146+$DG147</f>
        <v/>
      </c>
      <c r="DJ147" s="55">
        <f>SUMIFS(tblPlant[Milled_t],tblPlant[Date],$A147,tblPlant[Tails_Grade_gpt],"&lt;&gt;")</f>
        <v/>
      </c>
      <c r="DK147" s="55">
        <f>IF($B147=$B146,$DK146,0)+$DJ147</f>
        <v/>
      </c>
      <c r="DL147" s="55">
        <f>$DL146+$DJ147</f>
        <v/>
      </c>
      <c r="DM147" s="55">
        <f>SUMIFS(tblPlant[Feed_oz],tblPlant[Date],$A147,tblPlant[Tails_Grade_gpt],"&lt;&gt;")</f>
        <v/>
      </c>
      <c r="DN147" s="55">
        <f>IF($B147=$B146,$DN146,0)+$DM147</f>
        <v/>
      </c>
      <c r="DO147" s="55">
        <f>$DO146+$DM147</f>
        <v/>
      </c>
      <c r="DP147" s="55">
        <f>SUMIFS(tblPlant[Milled_t],tblPlant[Date],$A147,tblPlant[Mill_Run_h],"&lt;&gt;")</f>
        <v/>
      </c>
      <c r="DQ147" s="55">
        <f>IF($B147=$B146,$DQ146,0)+$DP147</f>
        <v/>
      </c>
      <c r="DR147" s="55">
        <f>$DR146+$DP147</f>
        <v/>
      </c>
      <c r="DS147" s="56">
        <f>IFERROR(IF(($DG147)&gt;0,($CX147*cfg_TroyOz)/($DG147),""),"")</f>
        <v/>
      </c>
      <c r="DT147" s="56">
        <f>IFERROR(IF(($DH147)&gt;0,($CY147*cfg_TroyOz)/($DH147),""),"")</f>
        <v/>
      </c>
      <c r="DU147" s="56">
        <f>IFERROR(IF(($DI147)&gt;0,($CZ147*cfg_TroyOz)/($DI147),""),"")</f>
        <v/>
      </c>
      <c r="DV147" s="56">
        <f>IFERROR(IF(($DJ147)&gt;0,($DA147*cfg_TroyOz)/($DJ147),""),"")</f>
        <v/>
      </c>
      <c r="DW147" s="56">
        <f>IFERROR(IF(($DK147)&gt;0,($DB147*cfg_TroyOz)/($DK147),""),"")</f>
        <v/>
      </c>
      <c r="DX147" s="56">
        <f>IFERROR(IF(($DL147)&gt;0,($DC147*cfg_TroyOz)/($DL147),""),"")</f>
        <v/>
      </c>
      <c r="DY147" s="67">
        <f>IFERROR(IF(($DM147)&gt;0,($DD147)/($DM147),""),"")</f>
        <v/>
      </c>
      <c r="DZ147" s="67">
        <f>IFERROR(IF(($DN147)&gt;0,($DE147)/($DN147),""),"")</f>
        <v/>
      </c>
      <c r="EA147" s="67">
        <f>IFERROR(IF(($DO147)&gt;0,($DF147)/($DO147),""),"")</f>
        <v/>
      </c>
      <c r="EB147" s="55">
        <f>SUMIFS(tblPlant[Gravity_Gold_oz],tblPlant[Date],$A147)</f>
        <v/>
      </c>
      <c r="EC147" s="55">
        <f>IF($B147=$B146,$EC146,0)+$EB147</f>
        <v/>
      </c>
      <c r="ED147" s="55">
        <f>$ED146+$EB147</f>
        <v/>
      </c>
      <c r="EE147" s="67">
        <f>IFERROR(IF(($DD147)&gt;0,($EB147)/($DD147),""),"")</f>
        <v/>
      </c>
      <c r="EF147" s="67">
        <f>IFERROR(IF(($DE147)&gt;0,($EC147)/($DE147),""),"")</f>
        <v/>
      </c>
      <c r="EG147" s="67">
        <f>IFERROR(IF(($DF147)&gt;0,($ED147)/($DF147),""),"")</f>
        <v/>
      </c>
      <c r="EH147" s="55">
        <f>SUMIFS(tblPlant[Gold_Poured_oz],tblPlant[Date],$A147)</f>
        <v/>
      </c>
      <c r="EI147" s="55">
        <f>IF($B147=$B146,$EI146,0)+$EH147</f>
        <v/>
      </c>
      <c r="EJ147" s="55">
        <f>$EJ146+$EH147</f>
        <v/>
      </c>
      <c r="EK147" s="57">
        <f>SUMIFS(tblPlant[Mill_Run_h],tblPlant[Date],$A147)</f>
        <v/>
      </c>
      <c r="EL147" s="57">
        <f>IF($B147=$B146,$EL146,0)+$EK147</f>
        <v/>
      </c>
      <c r="EM147" s="57">
        <f>$EM146+$EK147</f>
        <v/>
      </c>
      <c r="EN147" s="57">
        <f>SUMIFS(tblPlant[Mill_Planned_Maint_h],tblPlant[Date],$A147)</f>
        <v/>
      </c>
      <c r="EO147" s="57">
        <f>IF($B147=$B146,$EO146,0)+$EN147</f>
        <v/>
      </c>
      <c r="EP147" s="57">
        <f>$EP146+$EN147</f>
        <v/>
      </c>
      <c r="EQ147" s="57">
        <f>SUMIFS(tblPlant[Mill_Unplanned_Down_h],tblPlant[Date],$A147)</f>
        <v/>
      </c>
      <c r="ER147" s="57">
        <f>IF($B147=$B146,$ER146,0)+$EQ147</f>
        <v/>
      </c>
      <c r="ES147" s="57">
        <f>$ES146+$EQ147</f>
        <v/>
      </c>
      <c r="ET147" s="57">
        <f>IF(COUNTIFS(tblPlant[Date],$A147,tblPlant[Mill_Run_h],"&lt;&gt;")+COUNTIFS(tblPlant[Date],$A147,tblPlant[Mill_Planned_Maint_h],"&lt;&gt;")+COUNTIFS(tblPlant[Date],$A147,tblPlant[Mill_Unplanned_Down_h],"&lt;&gt;")&gt;0,cfg_HoursPerDay,0)</f>
        <v/>
      </c>
      <c r="EU147" s="57">
        <f>IF($B147=$B146,$EU146,0)+$ET147</f>
        <v/>
      </c>
      <c r="EV147" s="57">
        <f>$EV146+$ET147</f>
        <v/>
      </c>
      <c r="EW147" s="57">
        <f>SUMIFS(tblPlant[Crusher_Run_h],tblPlant[Date],$A147)</f>
        <v/>
      </c>
      <c r="EX147" s="57">
        <f>IF($B147=$B146,$EX146,0)+$EW147</f>
        <v/>
      </c>
      <c r="EY147" s="57">
        <f>$EY146+$EW147</f>
        <v/>
      </c>
      <c r="EZ147" s="55">
        <f>IFERROR(IF(($EK147)&gt;0,($DP147)/($EK147),""),"")</f>
        <v/>
      </c>
      <c r="FA147" s="55">
        <f>IFERROR(IF(($EL147)&gt;0,($DQ147)/($EL147),""),"")</f>
        <v/>
      </c>
      <c r="FB147" s="55">
        <f>IFERROR(IF(($EM147)&gt;0,($DR147)/($EM147),""),"")</f>
        <v/>
      </c>
      <c r="FC147" s="67">
        <f>IFERROR(IF(($ET147)&gt;0,($ET147-$EN147-$EQ147)/($ET147),""),"")</f>
        <v/>
      </c>
      <c r="FD147" s="67">
        <f>IFERROR(IF(($EU147)&gt;0,($EU147-$EO147-$ER147)/($EU147),""),"")</f>
        <v/>
      </c>
      <c r="FE147" s="67">
        <f>IFERROR(IF(($EV147)&gt;0,($EV147-$EP147-$ES147)/($EV147),""),"")</f>
        <v/>
      </c>
      <c r="FF147" s="67">
        <f>IFERROR(IF(($ET147-$EN147-$EQ147)&gt;0,($EK147)/($ET147-$EN147-$EQ147),""),"")</f>
        <v/>
      </c>
      <c r="FG147" s="67">
        <f>IFERROR(IF(($EU147-$EO147-$ER147)&gt;0,($EL147)/($EU147-$EO147-$ER147),""),"")</f>
        <v/>
      </c>
      <c r="FH147" s="67">
        <f>IFERROR(IF(($EV147-$EP147-$ES147)&gt;0,($EM147)/($EV147-$EP147-$ES147),""),"")</f>
        <v/>
      </c>
      <c r="FI147" s="55">
        <f>SUMIFS(tblPlant[Cyanide_kg],tblPlant[Date],$A147)</f>
        <v/>
      </c>
      <c r="FJ147" s="55">
        <f>IF($B147=$B146,$FJ146,0)+$FI147</f>
        <v/>
      </c>
      <c r="FK147" s="55">
        <f>$FK146+$FI147</f>
        <v/>
      </c>
      <c r="FL147" s="55">
        <f>SUMIFS(tblPlant[Lime_kg],tblPlant[Date],$A147)</f>
        <v/>
      </c>
      <c r="FM147" s="55">
        <f>IF($B147=$B146,$FM146,0)+$FL147</f>
        <v/>
      </c>
      <c r="FN147" s="55">
        <f>$FN146+$FL147</f>
        <v/>
      </c>
      <c r="FO147" s="55">
        <f>SUMIFS(tblPlant[Grinding_Media_kg],tblPlant[Date],$A147)</f>
        <v/>
      </c>
      <c r="FP147" s="55">
        <f>IF($B147=$B146,$FP146,0)+$FO147</f>
        <v/>
      </c>
      <c r="FQ147" s="55">
        <f>$FQ146+$FO147</f>
        <v/>
      </c>
      <c r="FR147" s="55">
        <f>SUMIFS(tblPlant[Power_kWh],tblPlant[Date],$A147)</f>
        <v/>
      </c>
      <c r="FS147" s="55">
        <f>IF($B147=$B146,$FS146,0)+$FR147</f>
        <v/>
      </c>
      <c r="FT147" s="55">
        <f>$FT146+$FR147</f>
        <v/>
      </c>
      <c r="FU147" s="55">
        <f>SUMIFS(tblPlant[Raw_Water_m3],tblPlant[Date],$A147)</f>
        <v/>
      </c>
      <c r="FV147" s="55">
        <f>IF($B147=$B146,$FV146,0)+$FU147</f>
        <v/>
      </c>
      <c r="FW147" s="55">
        <f>$FW146+$FU147</f>
        <v/>
      </c>
      <c r="FX147" s="56">
        <f>IFERROR(IF(($CU147)&gt;0,($FI147)/($CU147),""),"")</f>
        <v/>
      </c>
      <c r="FY147" s="56">
        <f>IFERROR(IF(($CV147)&gt;0,($FJ147)/($CV147),""),"")</f>
        <v/>
      </c>
      <c r="FZ147" s="56">
        <f>IFERROR(IF(($CW147)&gt;0,($FK147)/($CW147),""),"")</f>
        <v/>
      </c>
      <c r="GA147" s="56">
        <f>IFERROR(IF(($CU147)&gt;0,($FL147)/($CU147),""),"")</f>
        <v/>
      </c>
      <c r="GB147" s="56">
        <f>IFERROR(IF(($CV147)&gt;0,($FM147)/($CV147),""),"")</f>
        <v/>
      </c>
      <c r="GC147" s="56">
        <f>IFERROR(IF(($CW147)&gt;0,($FN147)/($CW147),""),"")</f>
        <v/>
      </c>
      <c r="GD147" s="56">
        <f>IFERROR(IF(($CU147)&gt;0,($FO147)/($CU147),""),"")</f>
        <v/>
      </c>
      <c r="GE147" s="56">
        <f>IFERROR(IF(($CV147)&gt;0,($FP147)/($CV147),""),"")</f>
        <v/>
      </c>
      <c r="GF147" s="56">
        <f>IFERROR(IF(($CW147)&gt;0,($FQ147)/($CW147),""),"")</f>
        <v/>
      </c>
      <c r="GG147" s="79">
        <f>IFERROR(IF(($CU147)&gt;0,($FR147)/($CU147),""),"")</f>
        <v/>
      </c>
      <c r="GH147" s="79">
        <f>IFERROR(IF(($CV147)&gt;0,($FS147)/($CV147),""),"")</f>
        <v/>
      </c>
      <c r="GI147" s="79">
        <f>IFERROR(IF(($CW147)&gt;0,($FT147)/($CW147),""),"")</f>
        <v/>
      </c>
      <c r="GJ147" s="56">
        <f>IFERROR(IF(($CU147)&gt;0,($FU147)/($CU147),""),"")</f>
        <v/>
      </c>
      <c r="GK147" s="56">
        <f>IFERROR(IF(($CV147)&gt;0,($FV147)/($CV147),""),"")</f>
        <v/>
      </c>
      <c r="GL147" s="56">
        <f>IFERROR(IF(($CW147)&gt;0,($FW147)/($CW147),""),"")</f>
        <v/>
      </c>
      <c r="GM147" s="55">
        <f>IF(SUMIFS(tblPlant[GIC_oz],tblPlant[Date],$A147)&gt;0,SUMIFS(tblPlant[GIC_oz],tblPlant[Date],$A147),"")</f>
        <v/>
      </c>
      <c r="GN147" s="55">
        <f>SUMIFS(tblGold[Gold_oz],tblGold[Date],$A147,tblGold[Type],"Shipment")</f>
        <v/>
      </c>
      <c r="GO147" s="55">
        <f>IF($B147=$B146,$GO146,0)+$GN147</f>
        <v/>
      </c>
      <c r="GP147" s="55">
        <f>$GP146+$GN147</f>
        <v/>
      </c>
      <c r="GQ147" s="55">
        <f>SUMIFS(tblGold[Gold_oz],tblGold[Date],$A147,tblGold[Type],"Sale")</f>
        <v/>
      </c>
      <c r="GR147" s="55">
        <f>IF($B147=$B146,$GR146,0)+$GQ147</f>
        <v/>
      </c>
      <c r="GS147" s="55">
        <f>$GS146+$GQ147</f>
        <v/>
      </c>
      <c r="GT147" s="55">
        <f>SUMIFS(tblGold[Dore_kg],tblGold[Date],$A147,tblGold[Type],"Shipment")</f>
        <v/>
      </c>
      <c r="GU147" s="55">
        <f>IF($B147=$B146,$GU146,0)+$GT147</f>
        <v/>
      </c>
      <c r="GV147" s="55">
        <f>$GV146+$GT147</f>
        <v/>
      </c>
      <c r="GW147" s="57">
        <f>SUMIFS(tblSafety[Hours_Total],tblSafety[Date],$A147)</f>
        <v/>
      </c>
      <c r="GX147" s="57">
        <f>IF($B147=$B146,$GX146,0)+$GW147</f>
        <v/>
      </c>
      <c r="GY147" s="57">
        <f>$GY146+$GW147</f>
        <v/>
      </c>
      <c r="GZ147" s="62">
        <f>SUMIFS(tblSafety[Fatality],tblSafety[Date],$A147)</f>
        <v/>
      </c>
      <c r="HA147" s="62">
        <f>IF($B147=$B146,$HA146,0)+$GZ147</f>
        <v/>
      </c>
      <c r="HB147" s="62">
        <f>$HB146+$GZ147</f>
        <v/>
      </c>
      <c r="HC147" s="62">
        <f>SUMIFS(tblSafety[LTI],tblSafety[Date],$A147)</f>
        <v/>
      </c>
      <c r="HD147" s="62">
        <f>IF($B147=$B146,$HD146,0)+$HC147</f>
        <v/>
      </c>
      <c r="HE147" s="62">
        <f>$HE146+$HC147</f>
        <v/>
      </c>
      <c r="HF147" s="62">
        <f>SUMIFS(tblSafety[RWI],tblSafety[Date],$A147)</f>
        <v/>
      </c>
      <c r="HG147" s="62">
        <f>IF($B147=$B146,$HG146,0)+$HF147</f>
        <v/>
      </c>
      <c r="HH147" s="62">
        <f>$HH146+$HF147</f>
        <v/>
      </c>
      <c r="HI147" s="62">
        <f>SUMIFS(tblSafety[MTI],tblSafety[Date],$A147)</f>
        <v/>
      </c>
      <c r="HJ147" s="62">
        <f>IF($B147=$B146,$HJ146,0)+$HI147</f>
        <v/>
      </c>
      <c r="HK147" s="62">
        <f>$HK146+$HI147</f>
        <v/>
      </c>
      <c r="HL147" s="62">
        <f>SUMIFS(tblSafety[FAI],tblSafety[Date],$A147)</f>
        <v/>
      </c>
      <c r="HM147" s="62">
        <f>IF($B147=$B146,$HM146,0)+$HL147</f>
        <v/>
      </c>
      <c r="HN147" s="62">
        <f>$HN146+$HL147</f>
        <v/>
      </c>
      <c r="HO147" s="62">
        <f>SUMIFS(tblSafety[Recordables],tblSafety[Date],$A147)</f>
        <v/>
      </c>
      <c r="HP147" s="62">
        <f>IF($B147=$B146,$HP146,0)+$HO147</f>
        <v/>
      </c>
      <c r="HQ147" s="62">
        <f>$HQ146+$HO147</f>
        <v/>
      </c>
      <c r="HR147" s="62">
        <f>SUMIFS(tblSafety[Near_Miss],tblSafety[Date],$A147)</f>
        <v/>
      </c>
      <c r="HS147" s="62">
        <f>IF($B147=$B146,$HS146,0)+$HR147</f>
        <v/>
      </c>
      <c r="HT147" s="62">
        <f>$HT146+$HR147</f>
        <v/>
      </c>
      <c r="HU147" s="62">
        <f>SUMIFS(tblSafety[Hazard_Reports],tblSafety[Date],$A147)</f>
        <v/>
      </c>
      <c r="HV147" s="62">
        <f>IF($B147=$B146,$HV146,0)+$HU147</f>
        <v/>
      </c>
      <c r="HW147" s="62">
        <f>$HW146+$HU147</f>
        <v/>
      </c>
      <c r="HX147" s="62">
        <f>SUMIFS(tblSafety[HPI],tblSafety[Date],$A147)</f>
        <v/>
      </c>
      <c r="HY147" s="62">
        <f>IF($B147=$B146,$HY146,0)+$HX147</f>
        <v/>
      </c>
      <c r="HZ147" s="62">
        <f>$HZ146+$HX147</f>
        <v/>
      </c>
      <c r="IA147" s="62">
        <f>SUMIFS(tblSafety[Env_Incidents],tblSafety[Date],$A147)</f>
        <v/>
      </c>
      <c r="IB147" s="62">
        <f>IF($B147=$B146,$IB146,0)+$IA147</f>
        <v/>
      </c>
      <c r="IC147" s="62">
        <f>$IC146+$IA147</f>
        <v/>
      </c>
      <c r="ID147" s="62">
        <f>SUMIFS(tblSafety[Community_Incidents],tblSafety[Date],$A147)</f>
        <v/>
      </c>
      <c r="IE147" s="62">
        <f>IF($B147=$B146,$IE146,0)+$ID147</f>
        <v/>
      </c>
      <c r="IF147" s="62">
        <f>$IF146+$ID147</f>
        <v/>
      </c>
      <c r="IG147" s="62">
        <f>SUMIFS(tblSafety[Vehicle_Incidents],tblSafety[Date],$A147)</f>
        <v/>
      </c>
      <c r="IH147" s="62">
        <f>IF($B147=$B146,$IH146,0)+$IG147</f>
        <v/>
      </c>
      <c r="II147" s="62">
        <f>$II146+$IG147</f>
        <v/>
      </c>
      <c r="IJ147" s="62">
        <f>SUMIFS(tblSafety[Toolbox_Talks],tblSafety[Date],$A147)</f>
        <v/>
      </c>
      <c r="IK147" s="62">
        <f>IF($B147=$B146,$IK146,0)+$IJ147</f>
        <v/>
      </c>
      <c r="IL147" s="62">
        <f>$IL146+$IJ147</f>
        <v/>
      </c>
      <c r="IM147" s="62">
        <f>SUMIFS(tblSafety[Inspections],tblSafety[Date],$A147)</f>
        <v/>
      </c>
      <c r="IN147" s="62">
        <f>IF($B147=$B146,$IN146,0)+$IM147</f>
        <v/>
      </c>
      <c r="IO147" s="62">
        <f>$IO146+$IM147</f>
        <v/>
      </c>
      <c r="IP147" s="56">
        <f>IFERROR((SUMIFS(tblSafety[Recordables],tblSafety[Date],"&gt;="&amp;EDATE($E147,-12),tblSafety[Date],"&lt;="&amp;$A147)+SUMIFS(tblSafetyHistory[Recordables],tblSafetyHistory[Month],"&gt;="&amp;EDATE($E147,-12),tblSafetyHistory[Month],"&lt;"&amp;$E147,tblSafetyHistory[Use],1))/(SUMIFS(tblSafety[Hours_Total],tblSafety[Date],"&gt;="&amp;EDATE($E147,-12),tblSafety[Date],"&lt;="&amp;$A147)+SUMIFS(tblSafetyHistory[Hours_Total],tblSafetyHistory[Month],"&gt;="&amp;EDATE($E147,-12),tblSafetyHistory[Month],"&lt;"&amp;$E147,tblSafetyHistory[Use],1))*cfg_RateBasisHours,"")</f>
        <v/>
      </c>
      <c r="IQ147" s="56">
        <f>IFERROR((SUMIFS(tblSafety[LTI],tblSafety[Date],"&gt;="&amp;EDATE($E147,-12),tblSafety[Date],"&lt;="&amp;$A147)+SUMIFS(tblSafetyHistory[LTI],tblSafetyHistory[Month],"&gt;="&amp;EDATE($E147,-12),tblSafetyHistory[Month],"&lt;"&amp;$E147,tblSafetyHistory[Use],1))/(SUMIFS(tblSafety[Hours_Total],tblSafety[Date],"&gt;="&amp;EDATE($E147,-12),tblSafety[Date],"&lt;="&amp;$A147)+SUMIFS(tblSafetyHistory[Hours_Total],tblSafetyHistory[Month],"&gt;="&amp;EDATE($E147,-12),tblSafetyHistory[Month],"&lt;"&amp;$E147,tblSafetyHistory[Use],1))*cfg_RateBasisHours,"")</f>
        <v/>
      </c>
      <c r="IR147" s="62">
        <f>IF(MAX(N(cfg_PriorLTIDate),_xlfn.MAXIFS(tblSafety[Date],tblSafety[LTI],"&gt;0",tblSafety[Date],"&lt;="&amp;$A147))=0,"",$A147-MAX(N(cfg_PriorLTIDate),_xlfn.MAXIFS(tblSafety[Date],tblSafety[LTI],"&gt;0",tblSafety[Date],"&lt;="&amp;$A147)))</f>
        <v/>
      </c>
      <c r="IS147" s="55">
        <f>SUMIFS(tblBudget[Ore_Mined_t],tblBudget[Month],$E147)</f>
        <v/>
      </c>
      <c r="IT147" s="55">
        <f>$IS147*$C147/$D147</f>
        <v/>
      </c>
      <c r="IU147" s="55">
        <f>SUMIFS(tblBudget[Ore_Mined_t],tblBudget[Month],"&lt;"&amp;$E147)+$IT147</f>
        <v/>
      </c>
      <c r="IV147" s="55">
        <f>SUMIFS(tblBudget[Ore_oz],tblBudget[Month],$E147)</f>
        <v/>
      </c>
      <c r="IW147" s="55">
        <f>$IV147*$C147/$D147</f>
        <v/>
      </c>
      <c r="IX147" s="55">
        <f>SUMIFS(tblBudget[Ore_oz],tblBudget[Month],"&lt;"&amp;$E147)+$IW147</f>
        <v/>
      </c>
      <c r="IY147" s="55">
        <f>SUMIFS(tblBudget[Ore_Mined_t],tblBudget[Month],$E147)</f>
        <v/>
      </c>
      <c r="IZ147" s="55">
        <f>$IY147*$C147/$D147</f>
        <v/>
      </c>
      <c r="JA147" s="55">
        <f>SUMIFS(tblBudget[Ore_Mined_t],tblBudget[Month],"&lt;"&amp;$E147)+$IZ147</f>
        <v/>
      </c>
      <c r="JB147" s="56">
        <f>IFERROR(IF(($IY147)&gt;0,($IV147*cfg_TroyOz)/($IY147),""),"")</f>
        <v/>
      </c>
      <c r="JC147" s="56">
        <f>IFERROR(IF(($IZ147)&gt;0,($IW147*cfg_TroyOz)/($IZ147),""),"")</f>
        <v/>
      </c>
      <c r="JD147" s="56">
        <f>IFERROR(IF(($JA147)&gt;0,($IX147*cfg_TroyOz)/($JA147),""),"")</f>
        <v/>
      </c>
      <c r="JE147" s="55">
        <f>SUMIFS(tblBudget[Waste_t],tblBudget[Month],$E147)</f>
        <v/>
      </c>
      <c r="JF147" s="55">
        <f>$JE147*$C147/$D147</f>
        <v/>
      </c>
      <c r="JG147" s="55">
        <f>SUMIFS(tblBudget[Waste_t],tblBudget[Month],"&lt;"&amp;$E147)+$JF147</f>
        <v/>
      </c>
      <c r="JH147" s="55">
        <f>SUMIFS(tblBudget[TMM_t],tblBudget[Month],$E147)</f>
        <v/>
      </c>
      <c r="JI147" s="55">
        <f>$JH147*$C147/$D147</f>
        <v/>
      </c>
      <c r="JJ147" s="55">
        <f>SUMIFS(tblBudget[TMM_t],tblBudget[Month],"&lt;"&amp;$E147)+$JI147</f>
        <v/>
      </c>
      <c r="JK147" s="56">
        <f>IFERROR(IF(($IS147)&gt;0,($JE147)/($IS147),""),"")</f>
        <v/>
      </c>
      <c r="JL147" s="56">
        <f>IFERROR(IF(($IT147)&gt;0,($JF147)/($IT147),""),"")</f>
        <v/>
      </c>
      <c r="JM147" s="56">
        <f>IFERROR(IF(($IU147)&gt;0,($JG147)/($IU147),""),"")</f>
        <v/>
      </c>
      <c r="JN147" s="55">
        <f>SUMIFS(tblBudget[Drill_m],tblBudget[Month],$E147)</f>
        <v/>
      </c>
      <c r="JO147" s="55">
        <f>$JN147*$C147/$D147</f>
        <v/>
      </c>
      <c r="JP147" s="55">
        <f>SUMIFS(tblBudget[Drill_m],tblBudget[Month],"&lt;"&amp;$E147)+$JO147</f>
        <v/>
      </c>
      <c r="JQ147" s="55">
        <f>SUMIFS(tblBudget[Diesel_L],tblBudget[Month],$E147)</f>
        <v/>
      </c>
      <c r="JR147" s="55">
        <f>$JQ147*$C147/$D147</f>
        <v/>
      </c>
      <c r="JS147" s="55">
        <f>SUMIFS(tblBudget[Diesel_L],tblBudget[Month],"&lt;"&amp;$E147)+$JR147</f>
        <v/>
      </c>
      <c r="JT147" s="55">
        <f>SUMIFS(tblBudget[Milled_t],tblBudget[Month],$E147)</f>
        <v/>
      </c>
      <c r="JU147" s="55">
        <f>$JT147*$C147/$D147</f>
        <v/>
      </c>
      <c r="JV147" s="55">
        <f>SUMIFS(tblBudget[Milled_t],tblBudget[Month],"&lt;"&amp;$E147)+$JU147</f>
        <v/>
      </c>
      <c r="JW147" s="55">
        <f>SUMIFS(tblBudget[Feed_oz],tblBudget[Month],$E147)</f>
        <v/>
      </c>
      <c r="JX147" s="55">
        <f>$JW147*$C147/$D147</f>
        <v/>
      </c>
      <c r="JY147" s="55">
        <f>SUMIFS(tblBudget[Feed_oz],tblBudget[Month],"&lt;"&amp;$E147)+$JX147</f>
        <v/>
      </c>
      <c r="JZ147" s="55">
        <f>SUMIFS(tblBudget[Recovered_oz],tblBudget[Month],$E147)</f>
        <v/>
      </c>
      <c r="KA147" s="55">
        <f>$JZ147*$C147/$D147</f>
        <v/>
      </c>
      <c r="KB147" s="55">
        <f>SUMIFS(tblBudget[Recovered_oz],tblBudget[Month],"&lt;"&amp;$E147)+$KA147</f>
        <v/>
      </c>
      <c r="KC147" s="55">
        <f>SUMIFS(tblBudget[Milled_t],tblBudget[Month],$E147)</f>
        <v/>
      </c>
      <c r="KD147" s="55">
        <f>$KC147*$C147/$D147</f>
        <v/>
      </c>
      <c r="KE147" s="55">
        <f>SUMIFS(tblBudget[Milled_t],tblBudget[Month],"&lt;"&amp;$E147)+$KD147</f>
        <v/>
      </c>
      <c r="KF147" s="55">
        <f>SUMIFS(tblBudget[Feed_oz],tblBudget[Month],$E147)</f>
        <v/>
      </c>
      <c r="KG147" s="55">
        <f>$KF147*$C147/$D147</f>
        <v/>
      </c>
      <c r="KH147" s="55">
        <f>SUMIFS(tblBudget[Feed_oz],tblBudget[Month],"&lt;"&amp;$E147)+$KG147</f>
        <v/>
      </c>
      <c r="KI147" s="56">
        <f>IFERROR(IF(($KC147)&gt;0,($JW147*cfg_TroyOz)/($KC147),""),"")</f>
        <v/>
      </c>
      <c r="KJ147" s="56">
        <f>IFERROR(IF(($KD147)&gt;0,($JX147*cfg_TroyOz)/($KD147),""),"")</f>
        <v/>
      </c>
      <c r="KK147" s="56">
        <f>IFERROR(IF(($KE147)&gt;0,($JY147*cfg_TroyOz)/($KE147),""),"")</f>
        <v/>
      </c>
      <c r="KL147" s="67">
        <f>IFERROR(IF(($KF147)&gt;0,($JZ147)/($KF147),""),"")</f>
        <v/>
      </c>
      <c r="KM147" s="67">
        <f>IFERROR(IF(($KG147)&gt;0,($KA147)/($KG147),""),"")</f>
        <v/>
      </c>
      <c r="KN147" s="67">
        <f>IFERROR(IF(($KH147)&gt;0,($KB147)/($KH147),""),"")</f>
        <v/>
      </c>
      <c r="KO147" s="55">
        <f>SUMIFS(tblBudget[Gold_Poured_oz],tblBudget[Month],$E147)</f>
        <v/>
      </c>
      <c r="KP147" s="55">
        <f>$KO147*$C147/$D147</f>
        <v/>
      </c>
      <c r="KQ147" s="55">
        <f>SUMIFS(tblBudget[Gold_Poured_oz],tblBudget[Month],"&lt;"&amp;$E147)+$KP147</f>
        <v/>
      </c>
      <c r="KR147" s="57">
        <f>SUMIFS(tblBudget[Hours_Worked],tblBudget[Month],$E147)</f>
        <v/>
      </c>
      <c r="KS147" s="57">
        <f>$KR147*$C147/$D147</f>
        <v/>
      </c>
      <c r="KT147" s="57">
        <f>SUMIFS(tblBudget[Hours_Worked],tblBudget[Month],"&lt;"&amp;$E147)+$KS147</f>
        <v/>
      </c>
    </row>
    <row r="148">
      <c r="A148" s="54" t="n">
        <v>46169</v>
      </c>
      <c r="B148">
        <f>MONTH($A148)</f>
        <v/>
      </c>
      <c r="C148">
        <f>DAY($A148)</f>
        <v/>
      </c>
      <c r="D148">
        <f>DAY(EOMONTH($A148,0))</f>
        <v/>
      </c>
      <c r="E148" s="54">
        <f>DATE(YEAR($A148),MONTH($A148),1)</f>
        <v/>
      </c>
      <c r="F148" s="55">
        <f>SUMIFS(tblMovement[Tonnes_t],tblMovement[Date],$A148,tblMovement[Is_Ore],1,tblMovement[Source_Type],"Pit")</f>
        <v/>
      </c>
      <c r="G148" s="55">
        <f>IF($B148=$B147,$G147,0)+$F148</f>
        <v/>
      </c>
      <c r="H148" s="55">
        <f>$H147+$F148</f>
        <v/>
      </c>
      <c r="I148" s="55">
        <f>SUMIFS(tblMovement[Ore_oz],tblMovement[Date],$A148,tblMovement[Source_Type],"Pit")</f>
        <v/>
      </c>
      <c r="J148" s="55">
        <f>IF($B148=$B147,$J147,0)+$I148</f>
        <v/>
      </c>
      <c r="K148" s="55">
        <f>$K147+$I148</f>
        <v/>
      </c>
      <c r="L148" s="55">
        <f>SUMIFS(tblMovement[Tonnes_t],tblMovement[Date],$A148,tblMovement[Is_Ore],1,tblMovement[Source_Type],"Pit",tblMovement[Grade_gpt],"&lt;&gt;")</f>
        <v/>
      </c>
      <c r="M148" s="55">
        <f>IF($B148=$B147,$M147,0)+$L148</f>
        <v/>
      </c>
      <c r="N148" s="55">
        <f>$N147+$L148</f>
        <v/>
      </c>
      <c r="O148" s="56">
        <f>IFERROR(IF(($L148)&gt;0,($I148*cfg_TroyOz)/($L148),""),"")</f>
        <v/>
      </c>
      <c r="P148" s="56">
        <f>IFERROR(IF(($M148)&gt;0,($J148*cfg_TroyOz)/($M148),""),"")</f>
        <v/>
      </c>
      <c r="Q148" s="56">
        <f>IFERROR(IF(($N148)&gt;0,($K148*cfg_TroyOz)/($N148),""),"")</f>
        <v/>
      </c>
      <c r="R148" s="55">
        <f>$F148-$L148</f>
        <v/>
      </c>
      <c r="S148" s="55">
        <f>IF($B148=$B147,$S147,0)+$R148</f>
        <v/>
      </c>
      <c r="T148" s="55">
        <f>$T147+$R148</f>
        <v/>
      </c>
      <c r="U148" s="55">
        <f>SUMIFS(tblMovement[Tonnes_t],tblMovement[Date],$A148,tblMovement[Is_Ore],0,tblMovement[Source_Type],"Pit")</f>
        <v/>
      </c>
      <c r="V148" s="55">
        <f>IF($B148=$B147,$V147,0)+$U148</f>
        <v/>
      </c>
      <c r="W148" s="55">
        <f>$W147+$U148</f>
        <v/>
      </c>
      <c r="X148" s="55">
        <f>$F148+$U148</f>
        <v/>
      </c>
      <c r="Y148" s="55">
        <f>IF($B148=$B147,$Y147,0)+$X148</f>
        <v/>
      </c>
      <c r="Z148" s="55">
        <f>$Z147+$X148</f>
        <v/>
      </c>
      <c r="AA148" s="56">
        <f>IFERROR(IF(($F148)&gt;0,($U148)/($F148),""),"")</f>
        <v/>
      </c>
      <c r="AB148" s="56">
        <f>IFERROR(IF(($G148)&gt;0,($V148)/($G148),""),"")</f>
        <v/>
      </c>
      <c r="AC148" s="56">
        <f>IFERROR(IF(($H148)&gt;0,($W148)/($H148),""),"")</f>
        <v/>
      </c>
      <c r="AD148" s="55">
        <f>SUMIFS(tblMovement[Tonnes_t],tblMovement[Date],$A148,tblMovement[Source_Type],"Stockpile")</f>
        <v/>
      </c>
      <c r="AE148" s="55">
        <f>IF($B148=$B147,$AE147,0)+$AD148</f>
        <v/>
      </c>
      <c r="AF148" s="55">
        <f>$AF147+$AD148</f>
        <v/>
      </c>
      <c r="AG148" s="55">
        <f>SUMIFS(tblMovement[Tonnes_t],tblMovement[Date],$A148)</f>
        <v/>
      </c>
      <c r="AH148" s="55">
        <f>IF($B148=$B147,$AH147,0)+$AG148</f>
        <v/>
      </c>
      <c r="AI148" s="55">
        <f>$AI147+$AG148</f>
        <v/>
      </c>
      <c r="AJ148" s="55">
        <f>$AG148-$X148-$AD148</f>
        <v/>
      </c>
      <c r="AK148" s="55">
        <f>IF($B148=$B147,$AK147,0)+$AJ148</f>
        <v/>
      </c>
      <c r="AL148" s="55">
        <f>$AL147+$AJ148</f>
        <v/>
      </c>
      <c r="AM148" s="55">
        <f>SUMIFS(tblMiningDaily[Drill_m],tblMiningDaily[Date],$A148)</f>
        <v/>
      </c>
      <c r="AN148" s="55">
        <f>IF($B148=$B147,$AN147,0)+$AM148</f>
        <v/>
      </c>
      <c r="AO148" s="55">
        <f>$AO147+$AM148</f>
        <v/>
      </c>
      <c r="AP148" s="55">
        <f>SUMIFS(tblMiningDaily[GC_Drill_m],tblMiningDaily[Date],$A148)</f>
        <v/>
      </c>
      <c r="AQ148" s="55">
        <f>IF($B148=$B147,$AQ147,0)+$AP148</f>
        <v/>
      </c>
      <c r="AR148" s="55">
        <f>$AR147+$AP148</f>
        <v/>
      </c>
      <c r="AS148" s="55">
        <f>SUMIFS(tblMiningDaily[Blast_t],tblMiningDaily[Date],$A148)</f>
        <v/>
      </c>
      <c r="AT148" s="55">
        <f>IF($B148=$B147,$AT147,0)+$AS148</f>
        <v/>
      </c>
      <c r="AU148" s="55">
        <f>$AU147+$AS148</f>
        <v/>
      </c>
      <c r="AV148" s="55">
        <f>SUMIFS(tblMiningDaily[Explosives_kg],tblMiningDaily[Date],$A148)</f>
        <v/>
      </c>
      <c r="AW148" s="55">
        <f>IF($B148=$B147,$AW147,0)+$AV148</f>
        <v/>
      </c>
      <c r="AX148" s="55">
        <f>$AX147+$AV148</f>
        <v/>
      </c>
      <c r="AY148" s="56">
        <f>IFERROR(IF(($AS148)&gt;0,($AV148)/($AS148),""),"")</f>
        <v/>
      </c>
      <c r="AZ148" s="56">
        <f>IFERROR(IF(($AT148)&gt;0,($AW148)/($AT148),""),"")</f>
        <v/>
      </c>
      <c r="BA148" s="56">
        <f>IFERROR(IF(($AU148)&gt;0,($AX148)/($AU148),""),"")</f>
        <v/>
      </c>
      <c r="BB148" s="55">
        <f>SUMIFS(tblMiningDaily[Diesel_L],tblMiningDaily[Date],$A148)</f>
        <v/>
      </c>
      <c r="BC148" s="55">
        <f>IF($B148=$B147,$BC147,0)+$BB148</f>
        <v/>
      </c>
      <c r="BD148" s="55">
        <f>$BD147+$BB148</f>
        <v/>
      </c>
      <c r="BE148" s="55">
        <f>SUMIFS(tblMiningDaily[Dewatering_m3],tblMiningDaily[Date],$A148)</f>
        <v/>
      </c>
      <c r="BF148" s="55">
        <f>IF($B148=$B147,$BF147,0)+$BE148</f>
        <v/>
      </c>
      <c r="BG148" s="55">
        <f>$BG147+$BE148</f>
        <v/>
      </c>
      <c r="BH148" s="57">
        <f>SUMIFS(tblFleet[Calendar_h],tblFleet[Date],$A148,tblFleet[Equipment_Class],"Excavator")</f>
        <v/>
      </c>
      <c r="BI148" s="57">
        <f>IF($B148=$B147,$BI147,0)+$BH148</f>
        <v/>
      </c>
      <c r="BJ148" s="57">
        <f>$BJ147+$BH148</f>
        <v/>
      </c>
      <c r="BK148" s="57">
        <f>SUMIFS(tblFleet[Available_h],tblFleet[Date],$A148,tblFleet[Equipment_Class],"Excavator")</f>
        <v/>
      </c>
      <c r="BL148" s="57">
        <f>IF($B148=$B147,$BL147,0)+$BK148</f>
        <v/>
      </c>
      <c r="BM148" s="57">
        <f>$BM147+$BK148</f>
        <v/>
      </c>
      <c r="BN148" s="57">
        <f>SUMIFS(tblFleet[Operating_h],tblFleet[Date],$A148,tblFleet[Equipment_Class],"Excavator")</f>
        <v/>
      </c>
      <c r="BO148" s="57">
        <f>IF($B148=$B147,$BO147,0)+$BN148</f>
        <v/>
      </c>
      <c r="BP148" s="57">
        <f>$BP147+$BN148</f>
        <v/>
      </c>
      <c r="BQ148" s="67">
        <f>IFERROR(IF(($BH148)&gt;0,($BK148)/($BH148),""),"")</f>
        <v/>
      </c>
      <c r="BR148" s="67">
        <f>IFERROR(IF(($BI148)&gt;0,($BL148)/($BI148),""),"")</f>
        <v/>
      </c>
      <c r="BS148" s="67">
        <f>IFERROR(IF(($BJ148)&gt;0,($BM148)/($BJ148),""),"")</f>
        <v/>
      </c>
      <c r="BT148" s="67">
        <f>IFERROR(IF(($BK148)&gt;0,($BN148)/($BK148),""),"")</f>
        <v/>
      </c>
      <c r="BU148" s="67">
        <f>IFERROR(IF(($BL148)&gt;0,($BO148)/($BL148),""),"")</f>
        <v/>
      </c>
      <c r="BV148" s="67">
        <f>IFERROR(IF(($BM148)&gt;0,($BP148)/($BM148),""),"")</f>
        <v/>
      </c>
      <c r="BW148" s="57">
        <f>SUMIFS(tblFleet[Calendar_h],tblFleet[Date],$A148,tblFleet[Equipment_Class],"Haul Truck")</f>
        <v/>
      </c>
      <c r="BX148" s="57">
        <f>IF($B148=$B147,$BX147,0)+$BW148</f>
        <v/>
      </c>
      <c r="BY148" s="57">
        <f>$BY147+$BW148</f>
        <v/>
      </c>
      <c r="BZ148" s="57">
        <f>SUMIFS(tblFleet[Available_h],tblFleet[Date],$A148,tblFleet[Equipment_Class],"Haul Truck")</f>
        <v/>
      </c>
      <c r="CA148" s="57">
        <f>IF($B148=$B147,$CA147,0)+$BZ148</f>
        <v/>
      </c>
      <c r="CB148" s="57">
        <f>$CB147+$BZ148</f>
        <v/>
      </c>
      <c r="CC148" s="57">
        <f>SUMIFS(tblFleet[Operating_h],tblFleet[Date],$A148,tblFleet[Equipment_Class],"Haul Truck")</f>
        <v/>
      </c>
      <c r="CD148" s="57">
        <f>IF($B148=$B147,$CD147,0)+$CC148</f>
        <v/>
      </c>
      <c r="CE148" s="57">
        <f>$CE147+$CC148</f>
        <v/>
      </c>
      <c r="CF148" s="67">
        <f>IFERROR(IF(($BW148)&gt;0,($BZ148)/($BW148),""),"")</f>
        <v/>
      </c>
      <c r="CG148" s="67">
        <f>IFERROR(IF(($BX148)&gt;0,($CA148)/($BX148),""),"")</f>
        <v/>
      </c>
      <c r="CH148" s="67">
        <f>IFERROR(IF(($BY148)&gt;0,($CB148)/($BY148),""),"")</f>
        <v/>
      </c>
      <c r="CI148" s="67">
        <f>IFERROR(IF(($BZ148)&gt;0,($CC148)/($BZ148),""),"")</f>
        <v/>
      </c>
      <c r="CJ148" s="67">
        <f>IFERROR(IF(($CA148)&gt;0,($CD148)/($CA148),""),"")</f>
        <v/>
      </c>
      <c r="CK148" s="67">
        <f>IFERROR(IF(($CB148)&gt;0,($CE148)/($CB148),""),"")</f>
        <v/>
      </c>
      <c r="CL148" s="55">
        <f>IFERROR(IF(($BN148)&gt;0,($X148+$AD148)/($BN148),""),"")</f>
        <v/>
      </c>
      <c r="CM148" s="55">
        <f>IFERROR(IF(($BO148)&gt;0,($Y148+$AE148)/($BO148),""),"")</f>
        <v/>
      </c>
      <c r="CN148" s="55">
        <f>IFERROR(IF(($BP148)&gt;0,($Z148+$AF148)/($BP148),""),"")</f>
        <v/>
      </c>
      <c r="CO148" s="55">
        <f>IFERROR(IF(($CC148)&gt;0,($X148+$AD148)/($CC148),""),"")</f>
        <v/>
      </c>
      <c r="CP148" s="55">
        <f>IFERROR(IF(($CD148)&gt;0,($Y148+$AE148)/($CD148),""),"")</f>
        <v/>
      </c>
      <c r="CQ148" s="55">
        <f>IFERROR(IF(($CE148)&gt;0,($Z148+$AF148)/($CE148),""),"")</f>
        <v/>
      </c>
      <c r="CR148" s="55">
        <f>SUMIFS(tblPlant[Crushed_t],tblPlant[Date],$A148)</f>
        <v/>
      </c>
      <c r="CS148" s="55">
        <f>IF($B148=$B147,$CS147,0)+$CR148</f>
        <v/>
      </c>
      <c r="CT148" s="55">
        <f>$CT147+$CR148</f>
        <v/>
      </c>
      <c r="CU148" s="55">
        <f>SUMIFS(tblPlant[Milled_t],tblPlant[Date],$A148)</f>
        <v/>
      </c>
      <c r="CV148" s="55">
        <f>IF($B148=$B147,$CV147,0)+$CU148</f>
        <v/>
      </c>
      <c r="CW148" s="55">
        <f>$CW147+$CU148</f>
        <v/>
      </c>
      <c r="CX148" s="55">
        <f>SUMIFS(tblPlant[Feed_oz],tblPlant[Date],$A148)</f>
        <v/>
      </c>
      <c r="CY148" s="55">
        <f>IF($B148=$B147,$CY147,0)+$CX148</f>
        <v/>
      </c>
      <c r="CZ148" s="55">
        <f>$CZ147+$CX148</f>
        <v/>
      </c>
      <c r="DA148" s="55">
        <f>SUMIFS(tblPlant[Tails_oz],tblPlant[Date],$A148)</f>
        <v/>
      </c>
      <c r="DB148" s="55">
        <f>IF($B148=$B147,$DB147,0)+$DA148</f>
        <v/>
      </c>
      <c r="DC148" s="55">
        <f>$DC147+$DA148</f>
        <v/>
      </c>
      <c r="DD148" s="55">
        <f>SUMIFS(tblPlant[Recovered_oz],tblPlant[Date],$A148)</f>
        <v/>
      </c>
      <c r="DE148" s="55">
        <f>IF($B148=$B147,$DE147,0)+$DD148</f>
        <v/>
      </c>
      <c r="DF148" s="55">
        <f>$DF147+$DD148</f>
        <v/>
      </c>
      <c r="DG148" s="55">
        <f>SUMIFS(tblPlant[Milled_t],tblPlant[Date],$A148,tblPlant[Head_Grade_gpt],"&lt;&gt;")</f>
        <v/>
      </c>
      <c r="DH148" s="55">
        <f>IF($B148=$B147,$DH147,0)+$DG148</f>
        <v/>
      </c>
      <c r="DI148" s="55">
        <f>$DI147+$DG148</f>
        <v/>
      </c>
      <c r="DJ148" s="55">
        <f>SUMIFS(tblPlant[Milled_t],tblPlant[Date],$A148,tblPlant[Tails_Grade_gpt],"&lt;&gt;")</f>
        <v/>
      </c>
      <c r="DK148" s="55">
        <f>IF($B148=$B147,$DK147,0)+$DJ148</f>
        <v/>
      </c>
      <c r="DL148" s="55">
        <f>$DL147+$DJ148</f>
        <v/>
      </c>
      <c r="DM148" s="55">
        <f>SUMIFS(tblPlant[Feed_oz],tblPlant[Date],$A148,tblPlant[Tails_Grade_gpt],"&lt;&gt;")</f>
        <v/>
      </c>
      <c r="DN148" s="55">
        <f>IF($B148=$B147,$DN147,0)+$DM148</f>
        <v/>
      </c>
      <c r="DO148" s="55">
        <f>$DO147+$DM148</f>
        <v/>
      </c>
      <c r="DP148" s="55">
        <f>SUMIFS(tblPlant[Milled_t],tblPlant[Date],$A148,tblPlant[Mill_Run_h],"&lt;&gt;")</f>
        <v/>
      </c>
      <c r="DQ148" s="55">
        <f>IF($B148=$B147,$DQ147,0)+$DP148</f>
        <v/>
      </c>
      <c r="DR148" s="55">
        <f>$DR147+$DP148</f>
        <v/>
      </c>
      <c r="DS148" s="56">
        <f>IFERROR(IF(($DG148)&gt;0,($CX148*cfg_TroyOz)/($DG148),""),"")</f>
        <v/>
      </c>
      <c r="DT148" s="56">
        <f>IFERROR(IF(($DH148)&gt;0,($CY148*cfg_TroyOz)/($DH148),""),"")</f>
        <v/>
      </c>
      <c r="DU148" s="56">
        <f>IFERROR(IF(($DI148)&gt;0,($CZ148*cfg_TroyOz)/($DI148),""),"")</f>
        <v/>
      </c>
      <c r="DV148" s="56">
        <f>IFERROR(IF(($DJ148)&gt;0,($DA148*cfg_TroyOz)/($DJ148),""),"")</f>
        <v/>
      </c>
      <c r="DW148" s="56">
        <f>IFERROR(IF(($DK148)&gt;0,($DB148*cfg_TroyOz)/($DK148),""),"")</f>
        <v/>
      </c>
      <c r="DX148" s="56">
        <f>IFERROR(IF(($DL148)&gt;0,($DC148*cfg_TroyOz)/($DL148),""),"")</f>
        <v/>
      </c>
      <c r="DY148" s="67">
        <f>IFERROR(IF(($DM148)&gt;0,($DD148)/($DM148),""),"")</f>
        <v/>
      </c>
      <c r="DZ148" s="67">
        <f>IFERROR(IF(($DN148)&gt;0,($DE148)/($DN148),""),"")</f>
        <v/>
      </c>
      <c r="EA148" s="67">
        <f>IFERROR(IF(($DO148)&gt;0,($DF148)/($DO148),""),"")</f>
        <v/>
      </c>
      <c r="EB148" s="55">
        <f>SUMIFS(tblPlant[Gravity_Gold_oz],tblPlant[Date],$A148)</f>
        <v/>
      </c>
      <c r="EC148" s="55">
        <f>IF($B148=$B147,$EC147,0)+$EB148</f>
        <v/>
      </c>
      <c r="ED148" s="55">
        <f>$ED147+$EB148</f>
        <v/>
      </c>
      <c r="EE148" s="67">
        <f>IFERROR(IF(($DD148)&gt;0,($EB148)/($DD148),""),"")</f>
        <v/>
      </c>
      <c r="EF148" s="67">
        <f>IFERROR(IF(($DE148)&gt;0,($EC148)/($DE148),""),"")</f>
        <v/>
      </c>
      <c r="EG148" s="67">
        <f>IFERROR(IF(($DF148)&gt;0,($ED148)/($DF148),""),"")</f>
        <v/>
      </c>
      <c r="EH148" s="55">
        <f>SUMIFS(tblPlant[Gold_Poured_oz],tblPlant[Date],$A148)</f>
        <v/>
      </c>
      <c r="EI148" s="55">
        <f>IF($B148=$B147,$EI147,0)+$EH148</f>
        <v/>
      </c>
      <c r="EJ148" s="55">
        <f>$EJ147+$EH148</f>
        <v/>
      </c>
      <c r="EK148" s="57">
        <f>SUMIFS(tblPlant[Mill_Run_h],tblPlant[Date],$A148)</f>
        <v/>
      </c>
      <c r="EL148" s="57">
        <f>IF($B148=$B147,$EL147,0)+$EK148</f>
        <v/>
      </c>
      <c r="EM148" s="57">
        <f>$EM147+$EK148</f>
        <v/>
      </c>
      <c r="EN148" s="57">
        <f>SUMIFS(tblPlant[Mill_Planned_Maint_h],tblPlant[Date],$A148)</f>
        <v/>
      </c>
      <c r="EO148" s="57">
        <f>IF($B148=$B147,$EO147,0)+$EN148</f>
        <v/>
      </c>
      <c r="EP148" s="57">
        <f>$EP147+$EN148</f>
        <v/>
      </c>
      <c r="EQ148" s="57">
        <f>SUMIFS(tblPlant[Mill_Unplanned_Down_h],tblPlant[Date],$A148)</f>
        <v/>
      </c>
      <c r="ER148" s="57">
        <f>IF($B148=$B147,$ER147,0)+$EQ148</f>
        <v/>
      </c>
      <c r="ES148" s="57">
        <f>$ES147+$EQ148</f>
        <v/>
      </c>
      <c r="ET148" s="57">
        <f>IF(COUNTIFS(tblPlant[Date],$A148,tblPlant[Mill_Run_h],"&lt;&gt;")+COUNTIFS(tblPlant[Date],$A148,tblPlant[Mill_Planned_Maint_h],"&lt;&gt;")+COUNTIFS(tblPlant[Date],$A148,tblPlant[Mill_Unplanned_Down_h],"&lt;&gt;")&gt;0,cfg_HoursPerDay,0)</f>
        <v/>
      </c>
      <c r="EU148" s="57">
        <f>IF($B148=$B147,$EU147,0)+$ET148</f>
        <v/>
      </c>
      <c r="EV148" s="57">
        <f>$EV147+$ET148</f>
        <v/>
      </c>
      <c r="EW148" s="57">
        <f>SUMIFS(tblPlant[Crusher_Run_h],tblPlant[Date],$A148)</f>
        <v/>
      </c>
      <c r="EX148" s="57">
        <f>IF($B148=$B147,$EX147,0)+$EW148</f>
        <v/>
      </c>
      <c r="EY148" s="57">
        <f>$EY147+$EW148</f>
        <v/>
      </c>
      <c r="EZ148" s="55">
        <f>IFERROR(IF(($EK148)&gt;0,($DP148)/($EK148),""),"")</f>
        <v/>
      </c>
      <c r="FA148" s="55">
        <f>IFERROR(IF(($EL148)&gt;0,($DQ148)/($EL148),""),"")</f>
        <v/>
      </c>
      <c r="FB148" s="55">
        <f>IFERROR(IF(($EM148)&gt;0,($DR148)/($EM148),""),"")</f>
        <v/>
      </c>
      <c r="FC148" s="67">
        <f>IFERROR(IF(($ET148)&gt;0,($ET148-$EN148-$EQ148)/($ET148),""),"")</f>
        <v/>
      </c>
      <c r="FD148" s="67">
        <f>IFERROR(IF(($EU148)&gt;0,($EU148-$EO148-$ER148)/($EU148),""),"")</f>
        <v/>
      </c>
      <c r="FE148" s="67">
        <f>IFERROR(IF(($EV148)&gt;0,($EV148-$EP148-$ES148)/($EV148),""),"")</f>
        <v/>
      </c>
      <c r="FF148" s="67">
        <f>IFERROR(IF(($ET148-$EN148-$EQ148)&gt;0,($EK148)/($ET148-$EN148-$EQ148),""),"")</f>
        <v/>
      </c>
      <c r="FG148" s="67">
        <f>IFERROR(IF(($EU148-$EO148-$ER148)&gt;0,($EL148)/($EU148-$EO148-$ER148),""),"")</f>
        <v/>
      </c>
      <c r="FH148" s="67">
        <f>IFERROR(IF(($EV148-$EP148-$ES148)&gt;0,($EM148)/($EV148-$EP148-$ES148),""),"")</f>
        <v/>
      </c>
      <c r="FI148" s="55">
        <f>SUMIFS(tblPlant[Cyanide_kg],tblPlant[Date],$A148)</f>
        <v/>
      </c>
      <c r="FJ148" s="55">
        <f>IF($B148=$B147,$FJ147,0)+$FI148</f>
        <v/>
      </c>
      <c r="FK148" s="55">
        <f>$FK147+$FI148</f>
        <v/>
      </c>
      <c r="FL148" s="55">
        <f>SUMIFS(tblPlant[Lime_kg],tblPlant[Date],$A148)</f>
        <v/>
      </c>
      <c r="FM148" s="55">
        <f>IF($B148=$B147,$FM147,0)+$FL148</f>
        <v/>
      </c>
      <c r="FN148" s="55">
        <f>$FN147+$FL148</f>
        <v/>
      </c>
      <c r="FO148" s="55">
        <f>SUMIFS(tblPlant[Grinding_Media_kg],tblPlant[Date],$A148)</f>
        <v/>
      </c>
      <c r="FP148" s="55">
        <f>IF($B148=$B147,$FP147,0)+$FO148</f>
        <v/>
      </c>
      <c r="FQ148" s="55">
        <f>$FQ147+$FO148</f>
        <v/>
      </c>
      <c r="FR148" s="55">
        <f>SUMIFS(tblPlant[Power_kWh],tblPlant[Date],$A148)</f>
        <v/>
      </c>
      <c r="FS148" s="55">
        <f>IF($B148=$B147,$FS147,0)+$FR148</f>
        <v/>
      </c>
      <c r="FT148" s="55">
        <f>$FT147+$FR148</f>
        <v/>
      </c>
      <c r="FU148" s="55">
        <f>SUMIFS(tblPlant[Raw_Water_m3],tblPlant[Date],$A148)</f>
        <v/>
      </c>
      <c r="FV148" s="55">
        <f>IF($B148=$B147,$FV147,0)+$FU148</f>
        <v/>
      </c>
      <c r="FW148" s="55">
        <f>$FW147+$FU148</f>
        <v/>
      </c>
      <c r="FX148" s="56">
        <f>IFERROR(IF(($CU148)&gt;0,($FI148)/($CU148),""),"")</f>
        <v/>
      </c>
      <c r="FY148" s="56">
        <f>IFERROR(IF(($CV148)&gt;0,($FJ148)/($CV148),""),"")</f>
        <v/>
      </c>
      <c r="FZ148" s="56">
        <f>IFERROR(IF(($CW148)&gt;0,($FK148)/($CW148),""),"")</f>
        <v/>
      </c>
      <c r="GA148" s="56">
        <f>IFERROR(IF(($CU148)&gt;0,($FL148)/($CU148),""),"")</f>
        <v/>
      </c>
      <c r="GB148" s="56">
        <f>IFERROR(IF(($CV148)&gt;0,($FM148)/($CV148),""),"")</f>
        <v/>
      </c>
      <c r="GC148" s="56">
        <f>IFERROR(IF(($CW148)&gt;0,($FN148)/($CW148),""),"")</f>
        <v/>
      </c>
      <c r="GD148" s="56">
        <f>IFERROR(IF(($CU148)&gt;0,($FO148)/($CU148),""),"")</f>
        <v/>
      </c>
      <c r="GE148" s="56">
        <f>IFERROR(IF(($CV148)&gt;0,($FP148)/($CV148),""),"")</f>
        <v/>
      </c>
      <c r="GF148" s="56">
        <f>IFERROR(IF(($CW148)&gt;0,($FQ148)/($CW148),""),"")</f>
        <v/>
      </c>
      <c r="GG148" s="79">
        <f>IFERROR(IF(($CU148)&gt;0,($FR148)/($CU148),""),"")</f>
        <v/>
      </c>
      <c r="GH148" s="79">
        <f>IFERROR(IF(($CV148)&gt;0,($FS148)/($CV148),""),"")</f>
        <v/>
      </c>
      <c r="GI148" s="79">
        <f>IFERROR(IF(($CW148)&gt;0,($FT148)/($CW148),""),"")</f>
        <v/>
      </c>
      <c r="GJ148" s="56">
        <f>IFERROR(IF(($CU148)&gt;0,($FU148)/($CU148),""),"")</f>
        <v/>
      </c>
      <c r="GK148" s="56">
        <f>IFERROR(IF(($CV148)&gt;0,($FV148)/($CV148),""),"")</f>
        <v/>
      </c>
      <c r="GL148" s="56">
        <f>IFERROR(IF(($CW148)&gt;0,($FW148)/($CW148),""),"")</f>
        <v/>
      </c>
      <c r="GM148" s="55">
        <f>IF(SUMIFS(tblPlant[GIC_oz],tblPlant[Date],$A148)&gt;0,SUMIFS(tblPlant[GIC_oz],tblPlant[Date],$A148),"")</f>
        <v/>
      </c>
      <c r="GN148" s="55">
        <f>SUMIFS(tblGold[Gold_oz],tblGold[Date],$A148,tblGold[Type],"Shipment")</f>
        <v/>
      </c>
      <c r="GO148" s="55">
        <f>IF($B148=$B147,$GO147,0)+$GN148</f>
        <v/>
      </c>
      <c r="GP148" s="55">
        <f>$GP147+$GN148</f>
        <v/>
      </c>
      <c r="GQ148" s="55">
        <f>SUMIFS(tblGold[Gold_oz],tblGold[Date],$A148,tblGold[Type],"Sale")</f>
        <v/>
      </c>
      <c r="GR148" s="55">
        <f>IF($B148=$B147,$GR147,0)+$GQ148</f>
        <v/>
      </c>
      <c r="GS148" s="55">
        <f>$GS147+$GQ148</f>
        <v/>
      </c>
      <c r="GT148" s="55">
        <f>SUMIFS(tblGold[Dore_kg],tblGold[Date],$A148,tblGold[Type],"Shipment")</f>
        <v/>
      </c>
      <c r="GU148" s="55">
        <f>IF($B148=$B147,$GU147,0)+$GT148</f>
        <v/>
      </c>
      <c r="GV148" s="55">
        <f>$GV147+$GT148</f>
        <v/>
      </c>
      <c r="GW148" s="57">
        <f>SUMIFS(tblSafety[Hours_Total],tblSafety[Date],$A148)</f>
        <v/>
      </c>
      <c r="GX148" s="57">
        <f>IF($B148=$B147,$GX147,0)+$GW148</f>
        <v/>
      </c>
      <c r="GY148" s="57">
        <f>$GY147+$GW148</f>
        <v/>
      </c>
      <c r="GZ148" s="62">
        <f>SUMIFS(tblSafety[Fatality],tblSafety[Date],$A148)</f>
        <v/>
      </c>
      <c r="HA148" s="62">
        <f>IF($B148=$B147,$HA147,0)+$GZ148</f>
        <v/>
      </c>
      <c r="HB148" s="62">
        <f>$HB147+$GZ148</f>
        <v/>
      </c>
      <c r="HC148" s="62">
        <f>SUMIFS(tblSafety[LTI],tblSafety[Date],$A148)</f>
        <v/>
      </c>
      <c r="HD148" s="62">
        <f>IF($B148=$B147,$HD147,0)+$HC148</f>
        <v/>
      </c>
      <c r="HE148" s="62">
        <f>$HE147+$HC148</f>
        <v/>
      </c>
      <c r="HF148" s="62">
        <f>SUMIFS(tblSafety[RWI],tblSafety[Date],$A148)</f>
        <v/>
      </c>
      <c r="HG148" s="62">
        <f>IF($B148=$B147,$HG147,0)+$HF148</f>
        <v/>
      </c>
      <c r="HH148" s="62">
        <f>$HH147+$HF148</f>
        <v/>
      </c>
      <c r="HI148" s="62">
        <f>SUMIFS(tblSafety[MTI],tblSafety[Date],$A148)</f>
        <v/>
      </c>
      <c r="HJ148" s="62">
        <f>IF($B148=$B147,$HJ147,0)+$HI148</f>
        <v/>
      </c>
      <c r="HK148" s="62">
        <f>$HK147+$HI148</f>
        <v/>
      </c>
      <c r="HL148" s="62">
        <f>SUMIFS(tblSafety[FAI],tblSafety[Date],$A148)</f>
        <v/>
      </c>
      <c r="HM148" s="62">
        <f>IF($B148=$B147,$HM147,0)+$HL148</f>
        <v/>
      </c>
      <c r="HN148" s="62">
        <f>$HN147+$HL148</f>
        <v/>
      </c>
      <c r="HO148" s="62">
        <f>SUMIFS(tblSafety[Recordables],tblSafety[Date],$A148)</f>
        <v/>
      </c>
      <c r="HP148" s="62">
        <f>IF($B148=$B147,$HP147,0)+$HO148</f>
        <v/>
      </c>
      <c r="HQ148" s="62">
        <f>$HQ147+$HO148</f>
        <v/>
      </c>
      <c r="HR148" s="62">
        <f>SUMIFS(tblSafety[Near_Miss],tblSafety[Date],$A148)</f>
        <v/>
      </c>
      <c r="HS148" s="62">
        <f>IF($B148=$B147,$HS147,0)+$HR148</f>
        <v/>
      </c>
      <c r="HT148" s="62">
        <f>$HT147+$HR148</f>
        <v/>
      </c>
      <c r="HU148" s="62">
        <f>SUMIFS(tblSafety[Hazard_Reports],tblSafety[Date],$A148)</f>
        <v/>
      </c>
      <c r="HV148" s="62">
        <f>IF($B148=$B147,$HV147,0)+$HU148</f>
        <v/>
      </c>
      <c r="HW148" s="62">
        <f>$HW147+$HU148</f>
        <v/>
      </c>
      <c r="HX148" s="62">
        <f>SUMIFS(tblSafety[HPI],tblSafety[Date],$A148)</f>
        <v/>
      </c>
      <c r="HY148" s="62">
        <f>IF($B148=$B147,$HY147,0)+$HX148</f>
        <v/>
      </c>
      <c r="HZ148" s="62">
        <f>$HZ147+$HX148</f>
        <v/>
      </c>
      <c r="IA148" s="62">
        <f>SUMIFS(tblSafety[Env_Incidents],tblSafety[Date],$A148)</f>
        <v/>
      </c>
      <c r="IB148" s="62">
        <f>IF($B148=$B147,$IB147,0)+$IA148</f>
        <v/>
      </c>
      <c r="IC148" s="62">
        <f>$IC147+$IA148</f>
        <v/>
      </c>
      <c r="ID148" s="62">
        <f>SUMIFS(tblSafety[Community_Incidents],tblSafety[Date],$A148)</f>
        <v/>
      </c>
      <c r="IE148" s="62">
        <f>IF($B148=$B147,$IE147,0)+$ID148</f>
        <v/>
      </c>
      <c r="IF148" s="62">
        <f>$IF147+$ID148</f>
        <v/>
      </c>
      <c r="IG148" s="62">
        <f>SUMIFS(tblSafety[Vehicle_Incidents],tblSafety[Date],$A148)</f>
        <v/>
      </c>
      <c r="IH148" s="62">
        <f>IF($B148=$B147,$IH147,0)+$IG148</f>
        <v/>
      </c>
      <c r="II148" s="62">
        <f>$II147+$IG148</f>
        <v/>
      </c>
      <c r="IJ148" s="62">
        <f>SUMIFS(tblSafety[Toolbox_Talks],tblSafety[Date],$A148)</f>
        <v/>
      </c>
      <c r="IK148" s="62">
        <f>IF($B148=$B147,$IK147,0)+$IJ148</f>
        <v/>
      </c>
      <c r="IL148" s="62">
        <f>$IL147+$IJ148</f>
        <v/>
      </c>
      <c r="IM148" s="62">
        <f>SUMIFS(tblSafety[Inspections],tblSafety[Date],$A148)</f>
        <v/>
      </c>
      <c r="IN148" s="62">
        <f>IF($B148=$B147,$IN147,0)+$IM148</f>
        <v/>
      </c>
      <c r="IO148" s="62">
        <f>$IO147+$IM148</f>
        <v/>
      </c>
      <c r="IP148" s="56">
        <f>IFERROR((SUMIFS(tblSafety[Recordables],tblSafety[Date],"&gt;="&amp;EDATE($E148,-12),tblSafety[Date],"&lt;="&amp;$A148)+SUMIFS(tblSafetyHistory[Recordables],tblSafetyHistory[Month],"&gt;="&amp;EDATE($E148,-12),tblSafetyHistory[Month],"&lt;"&amp;$E148,tblSafetyHistory[Use],1))/(SUMIFS(tblSafety[Hours_Total],tblSafety[Date],"&gt;="&amp;EDATE($E148,-12),tblSafety[Date],"&lt;="&amp;$A148)+SUMIFS(tblSafetyHistory[Hours_Total],tblSafetyHistory[Month],"&gt;="&amp;EDATE($E148,-12),tblSafetyHistory[Month],"&lt;"&amp;$E148,tblSafetyHistory[Use],1))*cfg_RateBasisHours,"")</f>
        <v/>
      </c>
      <c r="IQ148" s="56">
        <f>IFERROR((SUMIFS(tblSafety[LTI],tblSafety[Date],"&gt;="&amp;EDATE($E148,-12),tblSafety[Date],"&lt;="&amp;$A148)+SUMIFS(tblSafetyHistory[LTI],tblSafetyHistory[Month],"&gt;="&amp;EDATE($E148,-12),tblSafetyHistory[Month],"&lt;"&amp;$E148,tblSafetyHistory[Use],1))/(SUMIFS(tblSafety[Hours_Total],tblSafety[Date],"&gt;="&amp;EDATE($E148,-12),tblSafety[Date],"&lt;="&amp;$A148)+SUMIFS(tblSafetyHistory[Hours_Total],tblSafetyHistory[Month],"&gt;="&amp;EDATE($E148,-12),tblSafetyHistory[Month],"&lt;"&amp;$E148,tblSafetyHistory[Use],1))*cfg_RateBasisHours,"")</f>
        <v/>
      </c>
      <c r="IR148" s="62">
        <f>IF(MAX(N(cfg_PriorLTIDate),_xlfn.MAXIFS(tblSafety[Date],tblSafety[LTI],"&gt;0",tblSafety[Date],"&lt;="&amp;$A148))=0,"",$A148-MAX(N(cfg_PriorLTIDate),_xlfn.MAXIFS(tblSafety[Date],tblSafety[LTI],"&gt;0",tblSafety[Date],"&lt;="&amp;$A148)))</f>
        <v/>
      </c>
      <c r="IS148" s="55">
        <f>SUMIFS(tblBudget[Ore_Mined_t],tblBudget[Month],$E148)</f>
        <v/>
      </c>
      <c r="IT148" s="55">
        <f>$IS148*$C148/$D148</f>
        <v/>
      </c>
      <c r="IU148" s="55">
        <f>SUMIFS(tblBudget[Ore_Mined_t],tblBudget[Month],"&lt;"&amp;$E148)+$IT148</f>
        <v/>
      </c>
      <c r="IV148" s="55">
        <f>SUMIFS(tblBudget[Ore_oz],tblBudget[Month],$E148)</f>
        <v/>
      </c>
      <c r="IW148" s="55">
        <f>$IV148*$C148/$D148</f>
        <v/>
      </c>
      <c r="IX148" s="55">
        <f>SUMIFS(tblBudget[Ore_oz],tblBudget[Month],"&lt;"&amp;$E148)+$IW148</f>
        <v/>
      </c>
      <c r="IY148" s="55">
        <f>SUMIFS(tblBudget[Ore_Mined_t],tblBudget[Month],$E148)</f>
        <v/>
      </c>
      <c r="IZ148" s="55">
        <f>$IY148*$C148/$D148</f>
        <v/>
      </c>
      <c r="JA148" s="55">
        <f>SUMIFS(tblBudget[Ore_Mined_t],tblBudget[Month],"&lt;"&amp;$E148)+$IZ148</f>
        <v/>
      </c>
      <c r="JB148" s="56">
        <f>IFERROR(IF(($IY148)&gt;0,($IV148*cfg_TroyOz)/($IY148),""),"")</f>
        <v/>
      </c>
      <c r="JC148" s="56">
        <f>IFERROR(IF(($IZ148)&gt;0,($IW148*cfg_TroyOz)/($IZ148),""),"")</f>
        <v/>
      </c>
      <c r="JD148" s="56">
        <f>IFERROR(IF(($JA148)&gt;0,($IX148*cfg_TroyOz)/($JA148),""),"")</f>
        <v/>
      </c>
      <c r="JE148" s="55">
        <f>SUMIFS(tblBudget[Waste_t],tblBudget[Month],$E148)</f>
        <v/>
      </c>
      <c r="JF148" s="55">
        <f>$JE148*$C148/$D148</f>
        <v/>
      </c>
      <c r="JG148" s="55">
        <f>SUMIFS(tblBudget[Waste_t],tblBudget[Month],"&lt;"&amp;$E148)+$JF148</f>
        <v/>
      </c>
      <c r="JH148" s="55">
        <f>SUMIFS(tblBudget[TMM_t],tblBudget[Month],$E148)</f>
        <v/>
      </c>
      <c r="JI148" s="55">
        <f>$JH148*$C148/$D148</f>
        <v/>
      </c>
      <c r="JJ148" s="55">
        <f>SUMIFS(tblBudget[TMM_t],tblBudget[Month],"&lt;"&amp;$E148)+$JI148</f>
        <v/>
      </c>
      <c r="JK148" s="56">
        <f>IFERROR(IF(($IS148)&gt;0,($JE148)/($IS148),""),"")</f>
        <v/>
      </c>
      <c r="JL148" s="56">
        <f>IFERROR(IF(($IT148)&gt;0,($JF148)/($IT148),""),"")</f>
        <v/>
      </c>
      <c r="JM148" s="56">
        <f>IFERROR(IF(($IU148)&gt;0,($JG148)/($IU148),""),"")</f>
        <v/>
      </c>
      <c r="JN148" s="55">
        <f>SUMIFS(tblBudget[Drill_m],tblBudget[Month],$E148)</f>
        <v/>
      </c>
      <c r="JO148" s="55">
        <f>$JN148*$C148/$D148</f>
        <v/>
      </c>
      <c r="JP148" s="55">
        <f>SUMIFS(tblBudget[Drill_m],tblBudget[Month],"&lt;"&amp;$E148)+$JO148</f>
        <v/>
      </c>
      <c r="JQ148" s="55">
        <f>SUMIFS(tblBudget[Diesel_L],tblBudget[Month],$E148)</f>
        <v/>
      </c>
      <c r="JR148" s="55">
        <f>$JQ148*$C148/$D148</f>
        <v/>
      </c>
      <c r="JS148" s="55">
        <f>SUMIFS(tblBudget[Diesel_L],tblBudget[Month],"&lt;"&amp;$E148)+$JR148</f>
        <v/>
      </c>
      <c r="JT148" s="55">
        <f>SUMIFS(tblBudget[Milled_t],tblBudget[Month],$E148)</f>
        <v/>
      </c>
      <c r="JU148" s="55">
        <f>$JT148*$C148/$D148</f>
        <v/>
      </c>
      <c r="JV148" s="55">
        <f>SUMIFS(tblBudget[Milled_t],tblBudget[Month],"&lt;"&amp;$E148)+$JU148</f>
        <v/>
      </c>
      <c r="JW148" s="55">
        <f>SUMIFS(tblBudget[Feed_oz],tblBudget[Month],$E148)</f>
        <v/>
      </c>
      <c r="JX148" s="55">
        <f>$JW148*$C148/$D148</f>
        <v/>
      </c>
      <c r="JY148" s="55">
        <f>SUMIFS(tblBudget[Feed_oz],tblBudget[Month],"&lt;"&amp;$E148)+$JX148</f>
        <v/>
      </c>
      <c r="JZ148" s="55">
        <f>SUMIFS(tblBudget[Recovered_oz],tblBudget[Month],$E148)</f>
        <v/>
      </c>
      <c r="KA148" s="55">
        <f>$JZ148*$C148/$D148</f>
        <v/>
      </c>
      <c r="KB148" s="55">
        <f>SUMIFS(tblBudget[Recovered_oz],tblBudget[Month],"&lt;"&amp;$E148)+$KA148</f>
        <v/>
      </c>
      <c r="KC148" s="55">
        <f>SUMIFS(tblBudget[Milled_t],tblBudget[Month],$E148)</f>
        <v/>
      </c>
      <c r="KD148" s="55">
        <f>$KC148*$C148/$D148</f>
        <v/>
      </c>
      <c r="KE148" s="55">
        <f>SUMIFS(tblBudget[Milled_t],tblBudget[Month],"&lt;"&amp;$E148)+$KD148</f>
        <v/>
      </c>
      <c r="KF148" s="55">
        <f>SUMIFS(tblBudget[Feed_oz],tblBudget[Month],$E148)</f>
        <v/>
      </c>
      <c r="KG148" s="55">
        <f>$KF148*$C148/$D148</f>
        <v/>
      </c>
      <c r="KH148" s="55">
        <f>SUMIFS(tblBudget[Feed_oz],tblBudget[Month],"&lt;"&amp;$E148)+$KG148</f>
        <v/>
      </c>
      <c r="KI148" s="56">
        <f>IFERROR(IF(($KC148)&gt;0,($JW148*cfg_TroyOz)/($KC148),""),"")</f>
        <v/>
      </c>
      <c r="KJ148" s="56">
        <f>IFERROR(IF(($KD148)&gt;0,($JX148*cfg_TroyOz)/($KD148),""),"")</f>
        <v/>
      </c>
      <c r="KK148" s="56">
        <f>IFERROR(IF(($KE148)&gt;0,($JY148*cfg_TroyOz)/($KE148),""),"")</f>
        <v/>
      </c>
      <c r="KL148" s="67">
        <f>IFERROR(IF(($KF148)&gt;0,($JZ148)/($KF148),""),"")</f>
        <v/>
      </c>
      <c r="KM148" s="67">
        <f>IFERROR(IF(($KG148)&gt;0,($KA148)/($KG148),""),"")</f>
        <v/>
      </c>
      <c r="KN148" s="67">
        <f>IFERROR(IF(($KH148)&gt;0,($KB148)/($KH148),""),"")</f>
        <v/>
      </c>
      <c r="KO148" s="55">
        <f>SUMIFS(tblBudget[Gold_Poured_oz],tblBudget[Month],$E148)</f>
        <v/>
      </c>
      <c r="KP148" s="55">
        <f>$KO148*$C148/$D148</f>
        <v/>
      </c>
      <c r="KQ148" s="55">
        <f>SUMIFS(tblBudget[Gold_Poured_oz],tblBudget[Month],"&lt;"&amp;$E148)+$KP148</f>
        <v/>
      </c>
      <c r="KR148" s="57">
        <f>SUMIFS(tblBudget[Hours_Worked],tblBudget[Month],$E148)</f>
        <v/>
      </c>
      <c r="KS148" s="57">
        <f>$KR148*$C148/$D148</f>
        <v/>
      </c>
      <c r="KT148" s="57">
        <f>SUMIFS(tblBudget[Hours_Worked],tblBudget[Month],"&lt;"&amp;$E148)+$KS148</f>
        <v/>
      </c>
    </row>
    <row r="149">
      <c r="A149" s="54" t="n">
        <v>46170</v>
      </c>
      <c r="B149">
        <f>MONTH($A149)</f>
        <v/>
      </c>
      <c r="C149">
        <f>DAY($A149)</f>
        <v/>
      </c>
      <c r="D149">
        <f>DAY(EOMONTH($A149,0))</f>
        <v/>
      </c>
      <c r="E149" s="54">
        <f>DATE(YEAR($A149),MONTH($A149),1)</f>
        <v/>
      </c>
      <c r="F149" s="55">
        <f>SUMIFS(tblMovement[Tonnes_t],tblMovement[Date],$A149,tblMovement[Is_Ore],1,tblMovement[Source_Type],"Pit")</f>
        <v/>
      </c>
      <c r="G149" s="55">
        <f>IF($B149=$B148,$G148,0)+$F149</f>
        <v/>
      </c>
      <c r="H149" s="55">
        <f>$H148+$F149</f>
        <v/>
      </c>
      <c r="I149" s="55">
        <f>SUMIFS(tblMovement[Ore_oz],tblMovement[Date],$A149,tblMovement[Source_Type],"Pit")</f>
        <v/>
      </c>
      <c r="J149" s="55">
        <f>IF($B149=$B148,$J148,0)+$I149</f>
        <v/>
      </c>
      <c r="K149" s="55">
        <f>$K148+$I149</f>
        <v/>
      </c>
      <c r="L149" s="55">
        <f>SUMIFS(tblMovement[Tonnes_t],tblMovement[Date],$A149,tblMovement[Is_Ore],1,tblMovement[Source_Type],"Pit",tblMovement[Grade_gpt],"&lt;&gt;")</f>
        <v/>
      </c>
      <c r="M149" s="55">
        <f>IF($B149=$B148,$M148,0)+$L149</f>
        <v/>
      </c>
      <c r="N149" s="55">
        <f>$N148+$L149</f>
        <v/>
      </c>
      <c r="O149" s="56">
        <f>IFERROR(IF(($L149)&gt;0,($I149*cfg_TroyOz)/($L149),""),"")</f>
        <v/>
      </c>
      <c r="P149" s="56">
        <f>IFERROR(IF(($M149)&gt;0,($J149*cfg_TroyOz)/($M149),""),"")</f>
        <v/>
      </c>
      <c r="Q149" s="56">
        <f>IFERROR(IF(($N149)&gt;0,($K149*cfg_TroyOz)/($N149),""),"")</f>
        <v/>
      </c>
      <c r="R149" s="55">
        <f>$F149-$L149</f>
        <v/>
      </c>
      <c r="S149" s="55">
        <f>IF($B149=$B148,$S148,0)+$R149</f>
        <v/>
      </c>
      <c r="T149" s="55">
        <f>$T148+$R149</f>
        <v/>
      </c>
      <c r="U149" s="55">
        <f>SUMIFS(tblMovement[Tonnes_t],tblMovement[Date],$A149,tblMovement[Is_Ore],0,tblMovement[Source_Type],"Pit")</f>
        <v/>
      </c>
      <c r="V149" s="55">
        <f>IF($B149=$B148,$V148,0)+$U149</f>
        <v/>
      </c>
      <c r="W149" s="55">
        <f>$W148+$U149</f>
        <v/>
      </c>
      <c r="X149" s="55">
        <f>$F149+$U149</f>
        <v/>
      </c>
      <c r="Y149" s="55">
        <f>IF($B149=$B148,$Y148,0)+$X149</f>
        <v/>
      </c>
      <c r="Z149" s="55">
        <f>$Z148+$X149</f>
        <v/>
      </c>
      <c r="AA149" s="56">
        <f>IFERROR(IF(($F149)&gt;0,($U149)/($F149),""),"")</f>
        <v/>
      </c>
      <c r="AB149" s="56">
        <f>IFERROR(IF(($G149)&gt;0,($V149)/($G149),""),"")</f>
        <v/>
      </c>
      <c r="AC149" s="56">
        <f>IFERROR(IF(($H149)&gt;0,($W149)/($H149),""),"")</f>
        <v/>
      </c>
      <c r="AD149" s="55">
        <f>SUMIFS(tblMovement[Tonnes_t],tblMovement[Date],$A149,tblMovement[Source_Type],"Stockpile")</f>
        <v/>
      </c>
      <c r="AE149" s="55">
        <f>IF($B149=$B148,$AE148,0)+$AD149</f>
        <v/>
      </c>
      <c r="AF149" s="55">
        <f>$AF148+$AD149</f>
        <v/>
      </c>
      <c r="AG149" s="55">
        <f>SUMIFS(tblMovement[Tonnes_t],tblMovement[Date],$A149)</f>
        <v/>
      </c>
      <c r="AH149" s="55">
        <f>IF($B149=$B148,$AH148,0)+$AG149</f>
        <v/>
      </c>
      <c r="AI149" s="55">
        <f>$AI148+$AG149</f>
        <v/>
      </c>
      <c r="AJ149" s="55">
        <f>$AG149-$X149-$AD149</f>
        <v/>
      </c>
      <c r="AK149" s="55">
        <f>IF($B149=$B148,$AK148,0)+$AJ149</f>
        <v/>
      </c>
      <c r="AL149" s="55">
        <f>$AL148+$AJ149</f>
        <v/>
      </c>
      <c r="AM149" s="55">
        <f>SUMIFS(tblMiningDaily[Drill_m],tblMiningDaily[Date],$A149)</f>
        <v/>
      </c>
      <c r="AN149" s="55">
        <f>IF($B149=$B148,$AN148,0)+$AM149</f>
        <v/>
      </c>
      <c r="AO149" s="55">
        <f>$AO148+$AM149</f>
        <v/>
      </c>
      <c r="AP149" s="55">
        <f>SUMIFS(tblMiningDaily[GC_Drill_m],tblMiningDaily[Date],$A149)</f>
        <v/>
      </c>
      <c r="AQ149" s="55">
        <f>IF($B149=$B148,$AQ148,0)+$AP149</f>
        <v/>
      </c>
      <c r="AR149" s="55">
        <f>$AR148+$AP149</f>
        <v/>
      </c>
      <c r="AS149" s="55">
        <f>SUMIFS(tblMiningDaily[Blast_t],tblMiningDaily[Date],$A149)</f>
        <v/>
      </c>
      <c r="AT149" s="55">
        <f>IF($B149=$B148,$AT148,0)+$AS149</f>
        <v/>
      </c>
      <c r="AU149" s="55">
        <f>$AU148+$AS149</f>
        <v/>
      </c>
      <c r="AV149" s="55">
        <f>SUMIFS(tblMiningDaily[Explosives_kg],tblMiningDaily[Date],$A149)</f>
        <v/>
      </c>
      <c r="AW149" s="55">
        <f>IF($B149=$B148,$AW148,0)+$AV149</f>
        <v/>
      </c>
      <c r="AX149" s="55">
        <f>$AX148+$AV149</f>
        <v/>
      </c>
      <c r="AY149" s="56">
        <f>IFERROR(IF(($AS149)&gt;0,($AV149)/($AS149),""),"")</f>
        <v/>
      </c>
      <c r="AZ149" s="56">
        <f>IFERROR(IF(($AT149)&gt;0,($AW149)/($AT149),""),"")</f>
        <v/>
      </c>
      <c r="BA149" s="56">
        <f>IFERROR(IF(($AU149)&gt;0,($AX149)/($AU149),""),"")</f>
        <v/>
      </c>
      <c r="BB149" s="55">
        <f>SUMIFS(tblMiningDaily[Diesel_L],tblMiningDaily[Date],$A149)</f>
        <v/>
      </c>
      <c r="BC149" s="55">
        <f>IF($B149=$B148,$BC148,0)+$BB149</f>
        <v/>
      </c>
      <c r="BD149" s="55">
        <f>$BD148+$BB149</f>
        <v/>
      </c>
      <c r="BE149" s="55">
        <f>SUMIFS(tblMiningDaily[Dewatering_m3],tblMiningDaily[Date],$A149)</f>
        <v/>
      </c>
      <c r="BF149" s="55">
        <f>IF($B149=$B148,$BF148,0)+$BE149</f>
        <v/>
      </c>
      <c r="BG149" s="55">
        <f>$BG148+$BE149</f>
        <v/>
      </c>
      <c r="BH149" s="57">
        <f>SUMIFS(tblFleet[Calendar_h],tblFleet[Date],$A149,tblFleet[Equipment_Class],"Excavator")</f>
        <v/>
      </c>
      <c r="BI149" s="57">
        <f>IF($B149=$B148,$BI148,0)+$BH149</f>
        <v/>
      </c>
      <c r="BJ149" s="57">
        <f>$BJ148+$BH149</f>
        <v/>
      </c>
      <c r="BK149" s="57">
        <f>SUMIFS(tblFleet[Available_h],tblFleet[Date],$A149,tblFleet[Equipment_Class],"Excavator")</f>
        <v/>
      </c>
      <c r="BL149" s="57">
        <f>IF($B149=$B148,$BL148,0)+$BK149</f>
        <v/>
      </c>
      <c r="BM149" s="57">
        <f>$BM148+$BK149</f>
        <v/>
      </c>
      <c r="BN149" s="57">
        <f>SUMIFS(tblFleet[Operating_h],tblFleet[Date],$A149,tblFleet[Equipment_Class],"Excavator")</f>
        <v/>
      </c>
      <c r="BO149" s="57">
        <f>IF($B149=$B148,$BO148,0)+$BN149</f>
        <v/>
      </c>
      <c r="BP149" s="57">
        <f>$BP148+$BN149</f>
        <v/>
      </c>
      <c r="BQ149" s="67">
        <f>IFERROR(IF(($BH149)&gt;0,($BK149)/($BH149),""),"")</f>
        <v/>
      </c>
      <c r="BR149" s="67">
        <f>IFERROR(IF(($BI149)&gt;0,($BL149)/($BI149),""),"")</f>
        <v/>
      </c>
      <c r="BS149" s="67">
        <f>IFERROR(IF(($BJ149)&gt;0,($BM149)/($BJ149),""),"")</f>
        <v/>
      </c>
      <c r="BT149" s="67">
        <f>IFERROR(IF(($BK149)&gt;0,($BN149)/($BK149),""),"")</f>
        <v/>
      </c>
      <c r="BU149" s="67">
        <f>IFERROR(IF(($BL149)&gt;0,($BO149)/($BL149),""),"")</f>
        <v/>
      </c>
      <c r="BV149" s="67">
        <f>IFERROR(IF(($BM149)&gt;0,($BP149)/($BM149),""),"")</f>
        <v/>
      </c>
      <c r="BW149" s="57">
        <f>SUMIFS(tblFleet[Calendar_h],tblFleet[Date],$A149,tblFleet[Equipment_Class],"Haul Truck")</f>
        <v/>
      </c>
      <c r="BX149" s="57">
        <f>IF($B149=$B148,$BX148,0)+$BW149</f>
        <v/>
      </c>
      <c r="BY149" s="57">
        <f>$BY148+$BW149</f>
        <v/>
      </c>
      <c r="BZ149" s="57">
        <f>SUMIFS(tblFleet[Available_h],tblFleet[Date],$A149,tblFleet[Equipment_Class],"Haul Truck")</f>
        <v/>
      </c>
      <c r="CA149" s="57">
        <f>IF($B149=$B148,$CA148,0)+$BZ149</f>
        <v/>
      </c>
      <c r="CB149" s="57">
        <f>$CB148+$BZ149</f>
        <v/>
      </c>
      <c r="CC149" s="57">
        <f>SUMIFS(tblFleet[Operating_h],tblFleet[Date],$A149,tblFleet[Equipment_Class],"Haul Truck")</f>
        <v/>
      </c>
      <c r="CD149" s="57">
        <f>IF($B149=$B148,$CD148,0)+$CC149</f>
        <v/>
      </c>
      <c r="CE149" s="57">
        <f>$CE148+$CC149</f>
        <v/>
      </c>
      <c r="CF149" s="67">
        <f>IFERROR(IF(($BW149)&gt;0,($BZ149)/($BW149),""),"")</f>
        <v/>
      </c>
      <c r="CG149" s="67">
        <f>IFERROR(IF(($BX149)&gt;0,($CA149)/($BX149),""),"")</f>
        <v/>
      </c>
      <c r="CH149" s="67">
        <f>IFERROR(IF(($BY149)&gt;0,($CB149)/($BY149),""),"")</f>
        <v/>
      </c>
      <c r="CI149" s="67">
        <f>IFERROR(IF(($BZ149)&gt;0,($CC149)/($BZ149),""),"")</f>
        <v/>
      </c>
      <c r="CJ149" s="67">
        <f>IFERROR(IF(($CA149)&gt;0,($CD149)/($CA149),""),"")</f>
        <v/>
      </c>
      <c r="CK149" s="67">
        <f>IFERROR(IF(($CB149)&gt;0,($CE149)/($CB149),""),"")</f>
        <v/>
      </c>
      <c r="CL149" s="55">
        <f>IFERROR(IF(($BN149)&gt;0,($X149+$AD149)/($BN149),""),"")</f>
        <v/>
      </c>
      <c r="CM149" s="55">
        <f>IFERROR(IF(($BO149)&gt;0,($Y149+$AE149)/($BO149),""),"")</f>
        <v/>
      </c>
      <c r="CN149" s="55">
        <f>IFERROR(IF(($BP149)&gt;0,($Z149+$AF149)/($BP149),""),"")</f>
        <v/>
      </c>
      <c r="CO149" s="55">
        <f>IFERROR(IF(($CC149)&gt;0,($X149+$AD149)/($CC149),""),"")</f>
        <v/>
      </c>
      <c r="CP149" s="55">
        <f>IFERROR(IF(($CD149)&gt;0,($Y149+$AE149)/($CD149),""),"")</f>
        <v/>
      </c>
      <c r="CQ149" s="55">
        <f>IFERROR(IF(($CE149)&gt;0,($Z149+$AF149)/($CE149),""),"")</f>
        <v/>
      </c>
      <c r="CR149" s="55">
        <f>SUMIFS(tblPlant[Crushed_t],tblPlant[Date],$A149)</f>
        <v/>
      </c>
      <c r="CS149" s="55">
        <f>IF($B149=$B148,$CS148,0)+$CR149</f>
        <v/>
      </c>
      <c r="CT149" s="55">
        <f>$CT148+$CR149</f>
        <v/>
      </c>
      <c r="CU149" s="55">
        <f>SUMIFS(tblPlant[Milled_t],tblPlant[Date],$A149)</f>
        <v/>
      </c>
      <c r="CV149" s="55">
        <f>IF($B149=$B148,$CV148,0)+$CU149</f>
        <v/>
      </c>
      <c r="CW149" s="55">
        <f>$CW148+$CU149</f>
        <v/>
      </c>
      <c r="CX149" s="55">
        <f>SUMIFS(tblPlant[Feed_oz],tblPlant[Date],$A149)</f>
        <v/>
      </c>
      <c r="CY149" s="55">
        <f>IF($B149=$B148,$CY148,0)+$CX149</f>
        <v/>
      </c>
      <c r="CZ149" s="55">
        <f>$CZ148+$CX149</f>
        <v/>
      </c>
      <c r="DA149" s="55">
        <f>SUMIFS(tblPlant[Tails_oz],tblPlant[Date],$A149)</f>
        <v/>
      </c>
      <c r="DB149" s="55">
        <f>IF($B149=$B148,$DB148,0)+$DA149</f>
        <v/>
      </c>
      <c r="DC149" s="55">
        <f>$DC148+$DA149</f>
        <v/>
      </c>
      <c r="DD149" s="55">
        <f>SUMIFS(tblPlant[Recovered_oz],tblPlant[Date],$A149)</f>
        <v/>
      </c>
      <c r="DE149" s="55">
        <f>IF($B149=$B148,$DE148,0)+$DD149</f>
        <v/>
      </c>
      <c r="DF149" s="55">
        <f>$DF148+$DD149</f>
        <v/>
      </c>
      <c r="DG149" s="55">
        <f>SUMIFS(tblPlant[Milled_t],tblPlant[Date],$A149,tblPlant[Head_Grade_gpt],"&lt;&gt;")</f>
        <v/>
      </c>
      <c r="DH149" s="55">
        <f>IF($B149=$B148,$DH148,0)+$DG149</f>
        <v/>
      </c>
      <c r="DI149" s="55">
        <f>$DI148+$DG149</f>
        <v/>
      </c>
      <c r="DJ149" s="55">
        <f>SUMIFS(tblPlant[Milled_t],tblPlant[Date],$A149,tblPlant[Tails_Grade_gpt],"&lt;&gt;")</f>
        <v/>
      </c>
      <c r="DK149" s="55">
        <f>IF($B149=$B148,$DK148,0)+$DJ149</f>
        <v/>
      </c>
      <c r="DL149" s="55">
        <f>$DL148+$DJ149</f>
        <v/>
      </c>
      <c r="DM149" s="55">
        <f>SUMIFS(tblPlant[Feed_oz],tblPlant[Date],$A149,tblPlant[Tails_Grade_gpt],"&lt;&gt;")</f>
        <v/>
      </c>
      <c r="DN149" s="55">
        <f>IF($B149=$B148,$DN148,0)+$DM149</f>
        <v/>
      </c>
      <c r="DO149" s="55">
        <f>$DO148+$DM149</f>
        <v/>
      </c>
      <c r="DP149" s="55">
        <f>SUMIFS(tblPlant[Milled_t],tblPlant[Date],$A149,tblPlant[Mill_Run_h],"&lt;&gt;")</f>
        <v/>
      </c>
      <c r="DQ149" s="55">
        <f>IF($B149=$B148,$DQ148,0)+$DP149</f>
        <v/>
      </c>
      <c r="DR149" s="55">
        <f>$DR148+$DP149</f>
        <v/>
      </c>
      <c r="DS149" s="56">
        <f>IFERROR(IF(($DG149)&gt;0,($CX149*cfg_TroyOz)/($DG149),""),"")</f>
        <v/>
      </c>
      <c r="DT149" s="56">
        <f>IFERROR(IF(($DH149)&gt;0,($CY149*cfg_TroyOz)/($DH149),""),"")</f>
        <v/>
      </c>
      <c r="DU149" s="56">
        <f>IFERROR(IF(($DI149)&gt;0,($CZ149*cfg_TroyOz)/($DI149),""),"")</f>
        <v/>
      </c>
      <c r="DV149" s="56">
        <f>IFERROR(IF(($DJ149)&gt;0,($DA149*cfg_TroyOz)/($DJ149),""),"")</f>
        <v/>
      </c>
      <c r="DW149" s="56">
        <f>IFERROR(IF(($DK149)&gt;0,($DB149*cfg_TroyOz)/($DK149),""),"")</f>
        <v/>
      </c>
      <c r="DX149" s="56">
        <f>IFERROR(IF(($DL149)&gt;0,($DC149*cfg_TroyOz)/($DL149),""),"")</f>
        <v/>
      </c>
      <c r="DY149" s="67">
        <f>IFERROR(IF(($DM149)&gt;0,($DD149)/($DM149),""),"")</f>
        <v/>
      </c>
      <c r="DZ149" s="67">
        <f>IFERROR(IF(($DN149)&gt;0,($DE149)/($DN149),""),"")</f>
        <v/>
      </c>
      <c r="EA149" s="67">
        <f>IFERROR(IF(($DO149)&gt;0,($DF149)/($DO149),""),"")</f>
        <v/>
      </c>
      <c r="EB149" s="55">
        <f>SUMIFS(tblPlant[Gravity_Gold_oz],tblPlant[Date],$A149)</f>
        <v/>
      </c>
      <c r="EC149" s="55">
        <f>IF($B149=$B148,$EC148,0)+$EB149</f>
        <v/>
      </c>
      <c r="ED149" s="55">
        <f>$ED148+$EB149</f>
        <v/>
      </c>
      <c r="EE149" s="67">
        <f>IFERROR(IF(($DD149)&gt;0,($EB149)/($DD149),""),"")</f>
        <v/>
      </c>
      <c r="EF149" s="67">
        <f>IFERROR(IF(($DE149)&gt;0,($EC149)/($DE149),""),"")</f>
        <v/>
      </c>
      <c r="EG149" s="67">
        <f>IFERROR(IF(($DF149)&gt;0,($ED149)/($DF149),""),"")</f>
        <v/>
      </c>
      <c r="EH149" s="55">
        <f>SUMIFS(tblPlant[Gold_Poured_oz],tblPlant[Date],$A149)</f>
        <v/>
      </c>
      <c r="EI149" s="55">
        <f>IF($B149=$B148,$EI148,0)+$EH149</f>
        <v/>
      </c>
      <c r="EJ149" s="55">
        <f>$EJ148+$EH149</f>
        <v/>
      </c>
      <c r="EK149" s="57">
        <f>SUMIFS(tblPlant[Mill_Run_h],tblPlant[Date],$A149)</f>
        <v/>
      </c>
      <c r="EL149" s="57">
        <f>IF($B149=$B148,$EL148,0)+$EK149</f>
        <v/>
      </c>
      <c r="EM149" s="57">
        <f>$EM148+$EK149</f>
        <v/>
      </c>
      <c r="EN149" s="57">
        <f>SUMIFS(tblPlant[Mill_Planned_Maint_h],tblPlant[Date],$A149)</f>
        <v/>
      </c>
      <c r="EO149" s="57">
        <f>IF($B149=$B148,$EO148,0)+$EN149</f>
        <v/>
      </c>
      <c r="EP149" s="57">
        <f>$EP148+$EN149</f>
        <v/>
      </c>
      <c r="EQ149" s="57">
        <f>SUMIFS(tblPlant[Mill_Unplanned_Down_h],tblPlant[Date],$A149)</f>
        <v/>
      </c>
      <c r="ER149" s="57">
        <f>IF($B149=$B148,$ER148,0)+$EQ149</f>
        <v/>
      </c>
      <c r="ES149" s="57">
        <f>$ES148+$EQ149</f>
        <v/>
      </c>
      <c r="ET149" s="57">
        <f>IF(COUNTIFS(tblPlant[Date],$A149,tblPlant[Mill_Run_h],"&lt;&gt;")+COUNTIFS(tblPlant[Date],$A149,tblPlant[Mill_Planned_Maint_h],"&lt;&gt;")+COUNTIFS(tblPlant[Date],$A149,tblPlant[Mill_Unplanned_Down_h],"&lt;&gt;")&gt;0,cfg_HoursPerDay,0)</f>
        <v/>
      </c>
      <c r="EU149" s="57">
        <f>IF($B149=$B148,$EU148,0)+$ET149</f>
        <v/>
      </c>
      <c r="EV149" s="57">
        <f>$EV148+$ET149</f>
        <v/>
      </c>
      <c r="EW149" s="57">
        <f>SUMIFS(tblPlant[Crusher_Run_h],tblPlant[Date],$A149)</f>
        <v/>
      </c>
      <c r="EX149" s="57">
        <f>IF($B149=$B148,$EX148,0)+$EW149</f>
        <v/>
      </c>
      <c r="EY149" s="57">
        <f>$EY148+$EW149</f>
        <v/>
      </c>
      <c r="EZ149" s="55">
        <f>IFERROR(IF(($EK149)&gt;0,($DP149)/($EK149),""),"")</f>
        <v/>
      </c>
      <c r="FA149" s="55">
        <f>IFERROR(IF(($EL149)&gt;0,($DQ149)/($EL149),""),"")</f>
        <v/>
      </c>
      <c r="FB149" s="55">
        <f>IFERROR(IF(($EM149)&gt;0,($DR149)/($EM149),""),"")</f>
        <v/>
      </c>
      <c r="FC149" s="67">
        <f>IFERROR(IF(($ET149)&gt;0,($ET149-$EN149-$EQ149)/($ET149),""),"")</f>
        <v/>
      </c>
      <c r="FD149" s="67">
        <f>IFERROR(IF(($EU149)&gt;0,($EU149-$EO149-$ER149)/($EU149),""),"")</f>
        <v/>
      </c>
      <c r="FE149" s="67">
        <f>IFERROR(IF(($EV149)&gt;0,($EV149-$EP149-$ES149)/($EV149),""),"")</f>
        <v/>
      </c>
      <c r="FF149" s="67">
        <f>IFERROR(IF(($ET149-$EN149-$EQ149)&gt;0,($EK149)/($ET149-$EN149-$EQ149),""),"")</f>
        <v/>
      </c>
      <c r="FG149" s="67">
        <f>IFERROR(IF(($EU149-$EO149-$ER149)&gt;0,($EL149)/($EU149-$EO149-$ER149),""),"")</f>
        <v/>
      </c>
      <c r="FH149" s="67">
        <f>IFERROR(IF(($EV149-$EP149-$ES149)&gt;0,($EM149)/($EV149-$EP149-$ES149),""),"")</f>
        <v/>
      </c>
      <c r="FI149" s="55">
        <f>SUMIFS(tblPlant[Cyanide_kg],tblPlant[Date],$A149)</f>
        <v/>
      </c>
      <c r="FJ149" s="55">
        <f>IF($B149=$B148,$FJ148,0)+$FI149</f>
        <v/>
      </c>
      <c r="FK149" s="55">
        <f>$FK148+$FI149</f>
        <v/>
      </c>
      <c r="FL149" s="55">
        <f>SUMIFS(tblPlant[Lime_kg],tblPlant[Date],$A149)</f>
        <v/>
      </c>
      <c r="FM149" s="55">
        <f>IF($B149=$B148,$FM148,0)+$FL149</f>
        <v/>
      </c>
      <c r="FN149" s="55">
        <f>$FN148+$FL149</f>
        <v/>
      </c>
      <c r="FO149" s="55">
        <f>SUMIFS(tblPlant[Grinding_Media_kg],tblPlant[Date],$A149)</f>
        <v/>
      </c>
      <c r="FP149" s="55">
        <f>IF($B149=$B148,$FP148,0)+$FO149</f>
        <v/>
      </c>
      <c r="FQ149" s="55">
        <f>$FQ148+$FO149</f>
        <v/>
      </c>
      <c r="FR149" s="55">
        <f>SUMIFS(tblPlant[Power_kWh],tblPlant[Date],$A149)</f>
        <v/>
      </c>
      <c r="FS149" s="55">
        <f>IF($B149=$B148,$FS148,0)+$FR149</f>
        <v/>
      </c>
      <c r="FT149" s="55">
        <f>$FT148+$FR149</f>
        <v/>
      </c>
      <c r="FU149" s="55">
        <f>SUMIFS(tblPlant[Raw_Water_m3],tblPlant[Date],$A149)</f>
        <v/>
      </c>
      <c r="FV149" s="55">
        <f>IF($B149=$B148,$FV148,0)+$FU149</f>
        <v/>
      </c>
      <c r="FW149" s="55">
        <f>$FW148+$FU149</f>
        <v/>
      </c>
      <c r="FX149" s="56">
        <f>IFERROR(IF(($CU149)&gt;0,($FI149)/($CU149),""),"")</f>
        <v/>
      </c>
      <c r="FY149" s="56">
        <f>IFERROR(IF(($CV149)&gt;0,($FJ149)/($CV149),""),"")</f>
        <v/>
      </c>
      <c r="FZ149" s="56">
        <f>IFERROR(IF(($CW149)&gt;0,($FK149)/($CW149),""),"")</f>
        <v/>
      </c>
      <c r="GA149" s="56">
        <f>IFERROR(IF(($CU149)&gt;0,($FL149)/($CU149),""),"")</f>
        <v/>
      </c>
      <c r="GB149" s="56">
        <f>IFERROR(IF(($CV149)&gt;0,($FM149)/($CV149),""),"")</f>
        <v/>
      </c>
      <c r="GC149" s="56">
        <f>IFERROR(IF(($CW149)&gt;0,($FN149)/($CW149),""),"")</f>
        <v/>
      </c>
      <c r="GD149" s="56">
        <f>IFERROR(IF(($CU149)&gt;0,($FO149)/($CU149),""),"")</f>
        <v/>
      </c>
      <c r="GE149" s="56">
        <f>IFERROR(IF(($CV149)&gt;0,($FP149)/($CV149),""),"")</f>
        <v/>
      </c>
      <c r="GF149" s="56">
        <f>IFERROR(IF(($CW149)&gt;0,($FQ149)/($CW149),""),"")</f>
        <v/>
      </c>
      <c r="GG149" s="79">
        <f>IFERROR(IF(($CU149)&gt;0,($FR149)/($CU149),""),"")</f>
        <v/>
      </c>
      <c r="GH149" s="79">
        <f>IFERROR(IF(($CV149)&gt;0,($FS149)/($CV149),""),"")</f>
        <v/>
      </c>
      <c r="GI149" s="79">
        <f>IFERROR(IF(($CW149)&gt;0,($FT149)/($CW149),""),"")</f>
        <v/>
      </c>
      <c r="GJ149" s="56">
        <f>IFERROR(IF(($CU149)&gt;0,($FU149)/($CU149),""),"")</f>
        <v/>
      </c>
      <c r="GK149" s="56">
        <f>IFERROR(IF(($CV149)&gt;0,($FV149)/($CV149),""),"")</f>
        <v/>
      </c>
      <c r="GL149" s="56">
        <f>IFERROR(IF(($CW149)&gt;0,($FW149)/($CW149),""),"")</f>
        <v/>
      </c>
      <c r="GM149" s="55">
        <f>IF(SUMIFS(tblPlant[GIC_oz],tblPlant[Date],$A149)&gt;0,SUMIFS(tblPlant[GIC_oz],tblPlant[Date],$A149),"")</f>
        <v/>
      </c>
      <c r="GN149" s="55">
        <f>SUMIFS(tblGold[Gold_oz],tblGold[Date],$A149,tblGold[Type],"Shipment")</f>
        <v/>
      </c>
      <c r="GO149" s="55">
        <f>IF($B149=$B148,$GO148,0)+$GN149</f>
        <v/>
      </c>
      <c r="GP149" s="55">
        <f>$GP148+$GN149</f>
        <v/>
      </c>
      <c r="GQ149" s="55">
        <f>SUMIFS(tblGold[Gold_oz],tblGold[Date],$A149,tblGold[Type],"Sale")</f>
        <v/>
      </c>
      <c r="GR149" s="55">
        <f>IF($B149=$B148,$GR148,0)+$GQ149</f>
        <v/>
      </c>
      <c r="GS149" s="55">
        <f>$GS148+$GQ149</f>
        <v/>
      </c>
      <c r="GT149" s="55">
        <f>SUMIFS(tblGold[Dore_kg],tblGold[Date],$A149,tblGold[Type],"Shipment")</f>
        <v/>
      </c>
      <c r="GU149" s="55">
        <f>IF($B149=$B148,$GU148,0)+$GT149</f>
        <v/>
      </c>
      <c r="GV149" s="55">
        <f>$GV148+$GT149</f>
        <v/>
      </c>
      <c r="GW149" s="57">
        <f>SUMIFS(tblSafety[Hours_Total],tblSafety[Date],$A149)</f>
        <v/>
      </c>
      <c r="GX149" s="57">
        <f>IF($B149=$B148,$GX148,0)+$GW149</f>
        <v/>
      </c>
      <c r="GY149" s="57">
        <f>$GY148+$GW149</f>
        <v/>
      </c>
      <c r="GZ149" s="62">
        <f>SUMIFS(tblSafety[Fatality],tblSafety[Date],$A149)</f>
        <v/>
      </c>
      <c r="HA149" s="62">
        <f>IF($B149=$B148,$HA148,0)+$GZ149</f>
        <v/>
      </c>
      <c r="HB149" s="62">
        <f>$HB148+$GZ149</f>
        <v/>
      </c>
      <c r="HC149" s="62">
        <f>SUMIFS(tblSafety[LTI],tblSafety[Date],$A149)</f>
        <v/>
      </c>
      <c r="HD149" s="62">
        <f>IF($B149=$B148,$HD148,0)+$HC149</f>
        <v/>
      </c>
      <c r="HE149" s="62">
        <f>$HE148+$HC149</f>
        <v/>
      </c>
      <c r="HF149" s="62">
        <f>SUMIFS(tblSafety[RWI],tblSafety[Date],$A149)</f>
        <v/>
      </c>
      <c r="HG149" s="62">
        <f>IF($B149=$B148,$HG148,0)+$HF149</f>
        <v/>
      </c>
      <c r="HH149" s="62">
        <f>$HH148+$HF149</f>
        <v/>
      </c>
      <c r="HI149" s="62">
        <f>SUMIFS(tblSafety[MTI],tblSafety[Date],$A149)</f>
        <v/>
      </c>
      <c r="HJ149" s="62">
        <f>IF($B149=$B148,$HJ148,0)+$HI149</f>
        <v/>
      </c>
      <c r="HK149" s="62">
        <f>$HK148+$HI149</f>
        <v/>
      </c>
      <c r="HL149" s="62">
        <f>SUMIFS(tblSafety[FAI],tblSafety[Date],$A149)</f>
        <v/>
      </c>
      <c r="HM149" s="62">
        <f>IF($B149=$B148,$HM148,0)+$HL149</f>
        <v/>
      </c>
      <c r="HN149" s="62">
        <f>$HN148+$HL149</f>
        <v/>
      </c>
      <c r="HO149" s="62">
        <f>SUMIFS(tblSafety[Recordables],tblSafety[Date],$A149)</f>
        <v/>
      </c>
      <c r="HP149" s="62">
        <f>IF($B149=$B148,$HP148,0)+$HO149</f>
        <v/>
      </c>
      <c r="HQ149" s="62">
        <f>$HQ148+$HO149</f>
        <v/>
      </c>
      <c r="HR149" s="62">
        <f>SUMIFS(tblSafety[Near_Miss],tblSafety[Date],$A149)</f>
        <v/>
      </c>
      <c r="HS149" s="62">
        <f>IF($B149=$B148,$HS148,0)+$HR149</f>
        <v/>
      </c>
      <c r="HT149" s="62">
        <f>$HT148+$HR149</f>
        <v/>
      </c>
      <c r="HU149" s="62">
        <f>SUMIFS(tblSafety[Hazard_Reports],tblSafety[Date],$A149)</f>
        <v/>
      </c>
      <c r="HV149" s="62">
        <f>IF($B149=$B148,$HV148,0)+$HU149</f>
        <v/>
      </c>
      <c r="HW149" s="62">
        <f>$HW148+$HU149</f>
        <v/>
      </c>
      <c r="HX149" s="62">
        <f>SUMIFS(tblSafety[HPI],tblSafety[Date],$A149)</f>
        <v/>
      </c>
      <c r="HY149" s="62">
        <f>IF($B149=$B148,$HY148,0)+$HX149</f>
        <v/>
      </c>
      <c r="HZ149" s="62">
        <f>$HZ148+$HX149</f>
        <v/>
      </c>
      <c r="IA149" s="62">
        <f>SUMIFS(tblSafety[Env_Incidents],tblSafety[Date],$A149)</f>
        <v/>
      </c>
      <c r="IB149" s="62">
        <f>IF($B149=$B148,$IB148,0)+$IA149</f>
        <v/>
      </c>
      <c r="IC149" s="62">
        <f>$IC148+$IA149</f>
        <v/>
      </c>
      <c r="ID149" s="62">
        <f>SUMIFS(tblSafety[Community_Incidents],tblSafety[Date],$A149)</f>
        <v/>
      </c>
      <c r="IE149" s="62">
        <f>IF($B149=$B148,$IE148,0)+$ID149</f>
        <v/>
      </c>
      <c r="IF149" s="62">
        <f>$IF148+$ID149</f>
        <v/>
      </c>
      <c r="IG149" s="62">
        <f>SUMIFS(tblSafety[Vehicle_Incidents],tblSafety[Date],$A149)</f>
        <v/>
      </c>
      <c r="IH149" s="62">
        <f>IF($B149=$B148,$IH148,0)+$IG149</f>
        <v/>
      </c>
      <c r="II149" s="62">
        <f>$II148+$IG149</f>
        <v/>
      </c>
      <c r="IJ149" s="62">
        <f>SUMIFS(tblSafety[Toolbox_Talks],tblSafety[Date],$A149)</f>
        <v/>
      </c>
      <c r="IK149" s="62">
        <f>IF($B149=$B148,$IK148,0)+$IJ149</f>
        <v/>
      </c>
      <c r="IL149" s="62">
        <f>$IL148+$IJ149</f>
        <v/>
      </c>
      <c r="IM149" s="62">
        <f>SUMIFS(tblSafety[Inspections],tblSafety[Date],$A149)</f>
        <v/>
      </c>
      <c r="IN149" s="62">
        <f>IF($B149=$B148,$IN148,0)+$IM149</f>
        <v/>
      </c>
      <c r="IO149" s="62">
        <f>$IO148+$IM149</f>
        <v/>
      </c>
      <c r="IP149" s="56">
        <f>IFERROR((SUMIFS(tblSafety[Recordables],tblSafety[Date],"&gt;="&amp;EDATE($E149,-12),tblSafety[Date],"&lt;="&amp;$A149)+SUMIFS(tblSafetyHistory[Recordables],tblSafetyHistory[Month],"&gt;="&amp;EDATE($E149,-12),tblSafetyHistory[Month],"&lt;"&amp;$E149,tblSafetyHistory[Use],1))/(SUMIFS(tblSafety[Hours_Total],tblSafety[Date],"&gt;="&amp;EDATE($E149,-12),tblSafety[Date],"&lt;="&amp;$A149)+SUMIFS(tblSafetyHistory[Hours_Total],tblSafetyHistory[Month],"&gt;="&amp;EDATE($E149,-12),tblSafetyHistory[Month],"&lt;"&amp;$E149,tblSafetyHistory[Use],1))*cfg_RateBasisHours,"")</f>
        <v/>
      </c>
      <c r="IQ149" s="56">
        <f>IFERROR((SUMIFS(tblSafety[LTI],tblSafety[Date],"&gt;="&amp;EDATE($E149,-12),tblSafety[Date],"&lt;="&amp;$A149)+SUMIFS(tblSafetyHistory[LTI],tblSafetyHistory[Month],"&gt;="&amp;EDATE($E149,-12),tblSafetyHistory[Month],"&lt;"&amp;$E149,tblSafetyHistory[Use],1))/(SUMIFS(tblSafety[Hours_Total],tblSafety[Date],"&gt;="&amp;EDATE($E149,-12),tblSafety[Date],"&lt;="&amp;$A149)+SUMIFS(tblSafetyHistory[Hours_Total],tblSafetyHistory[Month],"&gt;="&amp;EDATE($E149,-12),tblSafetyHistory[Month],"&lt;"&amp;$E149,tblSafetyHistory[Use],1))*cfg_RateBasisHours,"")</f>
        <v/>
      </c>
      <c r="IR149" s="62">
        <f>IF(MAX(N(cfg_PriorLTIDate),_xlfn.MAXIFS(tblSafety[Date],tblSafety[LTI],"&gt;0",tblSafety[Date],"&lt;="&amp;$A149))=0,"",$A149-MAX(N(cfg_PriorLTIDate),_xlfn.MAXIFS(tblSafety[Date],tblSafety[LTI],"&gt;0",tblSafety[Date],"&lt;="&amp;$A149)))</f>
        <v/>
      </c>
      <c r="IS149" s="55">
        <f>SUMIFS(tblBudget[Ore_Mined_t],tblBudget[Month],$E149)</f>
        <v/>
      </c>
      <c r="IT149" s="55">
        <f>$IS149*$C149/$D149</f>
        <v/>
      </c>
      <c r="IU149" s="55">
        <f>SUMIFS(tblBudget[Ore_Mined_t],tblBudget[Month],"&lt;"&amp;$E149)+$IT149</f>
        <v/>
      </c>
      <c r="IV149" s="55">
        <f>SUMIFS(tblBudget[Ore_oz],tblBudget[Month],$E149)</f>
        <v/>
      </c>
      <c r="IW149" s="55">
        <f>$IV149*$C149/$D149</f>
        <v/>
      </c>
      <c r="IX149" s="55">
        <f>SUMIFS(tblBudget[Ore_oz],tblBudget[Month],"&lt;"&amp;$E149)+$IW149</f>
        <v/>
      </c>
      <c r="IY149" s="55">
        <f>SUMIFS(tblBudget[Ore_Mined_t],tblBudget[Month],$E149)</f>
        <v/>
      </c>
      <c r="IZ149" s="55">
        <f>$IY149*$C149/$D149</f>
        <v/>
      </c>
      <c r="JA149" s="55">
        <f>SUMIFS(tblBudget[Ore_Mined_t],tblBudget[Month],"&lt;"&amp;$E149)+$IZ149</f>
        <v/>
      </c>
      <c r="JB149" s="56">
        <f>IFERROR(IF(($IY149)&gt;0,($IV149*cfg_TroyOz)/($IY149),""),"")</f>
        <v/>
      </c>
      <c r="JC149" s="56">
        <f>IFERROR(IF(($IZ149)&gt;0,($IW149*cfg_TroyOz)/($IZ149),""),"")</f>
        <v/>
      </c>
      <c r="JD149" s="56">
        <f>IFERROR(IF(($JA149)&gt;0,($IX149*cfg_TroyOz)/($JA149),""),"")</f>
        <v/>
      </c>
      <c r="JE149" s="55">
        <f>SUMIFS(tblBudget[Waste_t],tblBudget[Month],$E149)</f>
        <v/>
      </c>
      <c r="JF149" s="55">
        <f>$JE149*$C149/$D149</f>
        <v/>
      </c>
      <c r="JG149" s="55">
        <f>SUMIFS(tblBudget[Waste_t],tblBudget[Month],"&lt;"&amp;$E149)+$JF149</f>
        <v/>
      </c>
      <c r="JH149" s="55">
        <f>SUMIFS(tblBudget[TMM_t],tblBudget[Month],$E149)</f>
        <v/>
      </c>
      <c r="JI149" s="55">
        <f>$JH149*$C149/$D149</f>
        <v/>
      </c>
      <c r="JJ149" s="55">
        <f>SUMIFS(tblBudget[TMM_t],tblBudget[Month],"&lt;"&amp;$E149)+$JI149</f>
        <v/>
      </c>
      <c r="JK149" s="56">
        <f>IFERROR(IF(($IS149)&gt;0,($JE149)/($IS149),""),"")</f>
        <v/>
      </c>
      <c r="JL149" s="56">
        <f>IFERROR(IF(($IT149)&gt;0,($JF149)/($IT149),""),"")</f>
        <v/>
      </c>
      <c r="JM149" s="56">
        <f>IFERROR(IF(($IU149)&gt;0,($JG149)/($IU149),""),"")</f>
        <v/>
      </c>
      <c r="JN149" s="55">
        <f>SUMIFS(tblBudget[Drill_m],tblBudget[Month],$E149)</f>
        <v/>
      </c>
      <c r="JO149" s="55">
        <f>$JN149*$C149/$D149</f>
        <v/>
      </c>
      <c r="JP149" s="55">
        <f>SUMIFS(tblBudget[Drill_m],tblBudget[Month],"&lt;"&amp;$E149)+$JO149</f>
        <v/>
      </c>
      <c r="JQ149" s="55">
        <f>SUMIFS(tblBudget[Diesel_L],tblBudget[Month],$E149)</f>
        <v/>
      </c>
      <c r="JR149" s="55">
        <f>$JQ149*$C149/$D149</f>
        <v/>
      </c>
      <c r="JS149" s="55">
        <f>SUMIFS(tblBudget[Diesel_L],tblBudget[Month],"&lt;"&amp;$E149)+$JR149</f>
        <v/>
      </c>
      <c r="JT149" s="55">
        <f>SUMIFS(tblBudget[Milled_t],tblBudget[Month],$E149)</f>
        <v/>
      </c>
      <c r="JU149" s="55">
        <f>$JT149*$C149/$D149</f>
        <v/>
      </c>
      <c r="JV149" s="55">
        <f>SUMIFS(tblBudget[Milled_t],tblBudget[Month],"&lt;"&amp;$E149)+$JU149</f>
        <v/>
      </c>
      <c r="JW149" s="55">
        <f>SUMIFS(tblBudget[Feed_oz],tblBudget[Month],$E149)</f>
        <v/>
      </c>
      <c r="JX149" s="55">
        <f>$JW149*$C149/$D149</f>
        <v/>
      </c>
      <c r="JY149" s="55">
        <f>SUMIFS(tblBudget[Feed_oz],tblBudget[Month],"&lt;"&amp;$E149)+$JX149</f>
        <v/>
      </c>
      <c r="JZ149" s="55">
        <f>SUMIFS(tblBudget[Recovered_oz],tblBudget[Month],$E149)</f>
        <v/>
      </c>
      <c r="KA149" s="55">
        <f>$JZ149*$C149/$D149</f>
        <v/>
      </c>
      <c r="KB149" s="55">
        <f>SUMIFS(tblBudget[Recovered_oz],tblBudget[Month],"&lt;"&amp;$E149)+$KA149</f>
        <v/>
      </c>
      <c r="KC149" s="55">
        <f>SUMIFS(tblBudget[Milled_t],tblBudget[Month],$E149)</f>
        <v/>
      </c>
      <c r="KD149" s="55">
        <f>$KC149*$C149/$D149</f>
        <v/>
      </c>
      <c r="KE149" s="55">
        <f>SUMIFS(tblBudget[Milled_t],tblBudget[Month],"&lt;"&amp;$E149)+$KD149</f>
        <v/>
      </c>
      <c r="KF149" s="55">
        <f>SUMIFS(tblBudget[Feed_oz],tblBudget[Month],$E149)</f>
        <v/>
      </c>
      <c r="KG149" s="55">
        <f>$KF149*$C149/$D149</f>
        <v/>
      </c>
      <c r="KH149" s="55">
        <f>SUMIFS(tblBudget[Feed_oz],tblBudget[Month],"&lt;"&amp;$E149)+$KG149</f>
        <v/>
      </c>
      <c r="KI149" s="56">
        <f>IFERROR(IF(($KC149)&gt;0,($JW149*cfg_TroyOz)/($KC149),""),"")</f>
        <v/>
      </c>
      <c r="KJ149" s="56">
        <f>IFERROR(IF(($KD149)&gt;0,($JX149*cfg_TroyOz)/($KD149),""),"")</f>
        <v/>
      </c>
      <c r="KK149" s="56">
        <f>IFERROR(IF(($KE149)&gt;0,($JY149*cfg_TroyOz)/($KE149),""),"")</f>
        <v/>
      </c>
      <c r="KL149" s="67">
        <f>IFERROR(IF(($KF149)&gt;0,($JZ149)/($KF149),""),"")</f>
        <v/>
      </c>
      <c r="KM149" s="67">
        <f>IFERROR(IF(($KG149)&gt;0,($KA149)/($KG149),""),"")</f>
        <v/>
      </c>
      <c r="KN149" s="67">
        <f>IFERROR(IF(($KH149)&gt;0,($KB149)/($KH149),""),"")</f>
        <v/>
      </c>
      <c r="KO149" s="55">
        <f>SUMIFS(tblBudget[Gold_Poured_oz],tblBudget[Month],$E149)</f>
        <v/>
      </c>
      <c r="KP149" s="55">
        <f>$KO149*$C149/$D149</f>
        <v/>
      </c>
      <c r="KQ149" s="55">
        <f>SUMIFS(tblBudget[Gold_Poured_oz],tblBudget[Month],"&lt;"&amp;$E149)+$KP149</f>
        <v/>
      </c>
      <c r="KR149" s="57">
        <f>SUMIFS(tblBudget[Hours_Worked],tblBudget[Month],$E149)</f>
        <v/>
      </c>
      <c r="KS149" s="57">
        <f>$KR149*$C149/$D149</f>
        <v/>
      </c>
      <c r="KT149" s="57">
        <f>SUMIFS(tblBudget[Hours_Worked],tblBudget[Month],"&lt;"&amp;$E149)+$KS149</f>
        <v/>
      </c>
    </row>
    <row r="150">
      <c r="A150" s="54" t="n">
        <v>46171</v>
      </c>
      <c r="B150">
        <f>MONTH($A150)</f>
        <v/>
      </c>
      <c r="C150">
        <f>DAY($A150)</f>
        <v/>
      </c>
      <c r="D150">
        <f>DAY(EOMONTH($A150,0))</f>
        <v/>
      </c>
      <c r="E150" s="54">
        <f>DATE(YEAR($A150),MONTH($A150),1)</f>
        <v/>
      </c>
      <c r="F150" s="55">
        <f>SUMIFS(tblMovement[Tonnes_t],tblMovement[Date],$A150,tblMovement[Is_Ore],1,tblMovement[Source_Type],"Pit")</f>
        <v/>
      </c>
      <c r="G150" s="55">
        <f>IF($B150=$B149,$G149,0)+$F150</f>
        <v/>
      </c>
      <c r="H150" s="55">
        <f>$H149+$F150</f>
        <v/>
      </c>
      <c r="I150" s="55">
        <f>SUMIFS(tblMovement[Ore_oz],tblMovement[Date],$A150,tblMovement[Source_Type],"Pit")</f>
        <v/>
      </c>
      <c r="J150" s="55">
        <f>IF($B150=$B149,$J149,0)+$I150</f>
        <v/>
      </c>
      <c r="K150" s="55">
        <f>$K149+$I150</f>
        <v/>
      </c>
      <c r="L150" s="55">
        <f>SUMIFS(tblMovement[Tonnes_t],tblMovement[Date],$A150,tblMovement[Is_Ore],1,tblMovement[Source_Type],"Pit",tblMovement[Grade_gpt],"&lt;&gt;")</f>
        <v/>
      </c>
      <c r="M150" s="55">
        <f>IF($B150=$B149,$M149,0)+$L150</f>
        <v/>
      </c>
      <c r="N150" s="55">
        <f>$N149+$L150</f>
        <v/>
      </c>
      <c r="O150" s="56">
        <f>IFERROR(IF(($L150)&gt;0,($I150*cfg_TroyOz)/($L150),""),"")</f>
        <v/>
      </c>
      <c r="P150" s="56">
        <f>IFERROR(IF(($M150)&gt;0,($J150*cfg_TroyOz)/($M150),""),"")</f>
        <v/>
      </c>
      <c r="Q150" s="56">
        <f>IFERROR(IF(($N150)&gt;0,($K150*cfg_TroyOz)/($N150),""),"")</f>
        <v/>
      </c>
      <c r="R150" s="55">
        <f>$F150-$L150</f>
        <v/>
      </c>
      <c r="S150" s="55">
        <f>IF($B150=$B149,$S149,0)+$R150</f>
        <v/>
      </c>
      <c r="T150" s="55">
        <f>$T149+$R150</f>
        <v/>
      </c>
      <c r="U150" s="55">
        <f>SUMIFS(tblMovement[Tonnes_t],tblMovement[Date],$A150,tblMovement[Is_Ore],0,tblMovement[Source_Type],"Pit")</f>
        <v/>
      </c>
      <c r="V150" s="55">
        <f>IF($B150=$B149,$V149,0)+$U150</f>
        <v/>
      </c>
      <c r="W150" s="55">
        <f>$W149+$U150</f>
        <v/>
      </c>
      <c r="X150" s="55">
        <f>$F150+$U150</f>
        <v/>
      </c>
      <c r="Y150" s="55">
        <f>IF($B150=$B149,$Y149,0)+$X150</f>
        <v/>
      </c>
      <c r="Z150" s="55">
        <f>$Z149+$X150</f>
        <v/>
      </c>
      <c r="AA150" s="56">
        <f>IFERROR(IF(($F150)&gt;0,($U150)/($F150),""),"")</f>
        <v/>
      </c>
      <c r="AB150" s="56">
        <f>IFERROR(IF(($G150)&gt;0,($V150)/($G150),""),"")</f>
        <v/>
      </c>
      <c r="AC150" s="56">
        <f>IFERROR(IF(($H150)&gt;0,($W150)/($H150),""),"")</f>
        <v/>
      </c>
      <c r="AD150" s="55">
        <f>SUMIFS(tblMovement[Tonnes_t],tblMovement[Date],$A150,tblMovement[Source_Type],"Stockpile")</f>
        <v/>
      </c>
      <c r="AE150" s="55">
        <f>IF($B150=$B149,$AE149,0)+$AD150</f>
        <v/>
      </c>
      <c r="AF150" s="55">
        <f>$AF149+$AD150</f>
        <v/>
      </c>
      <c r="AG150" s="55">
        <f>SUMIFS(tblMovement[Tonnes_t],tblMovement[Date],$A150)</f>
        <v/>
      </c>
      <c r="AH150" s="55">
        <f>IF($B150=$B149,$AH149,0)+$AG150</f>
        <v/>
      </c>
      <c r="AI150" s="55">
        <f>$AI149+$AG150</f>
        <v/>
      </c>
      <c r="AJ150" s="55">
        <f>$AG150-$X150-$AD150</f>
        <v/>
      </c>
      <c r="AK150" s="55">
        <f>IF($B150=$B149,$AK149,0)+$AJ150</f>
        <v/>
      </c>
      <c r="AL150" s="55">
        <f>$AL149+$AJ150</f>
        <v/>
      </c>
      <c r="AM150" s="55">
        <f>SUMIFS(tblMiningDaily[Drill_m],tblMiningDaily[Date],$A150)</f>
        <v/>
      </c>
      <c r="AN150" s="55">
        <f>IF($B150=$B149,$AN149,0)+$AM150</f>
        <v/>
      </c>
      <c r="AO150" s="55">
        <f>$AO149+$AM150</f>
        <v/>
      </c>
      <c r="AP150" s="55">
        <f>SUMIFS(tblMiningDaily[GC_Drill_m],tblMiningDaily[Date],$A150)</f>
        <v/>
      </c>
      <c r="AQ150" s="55">
        <f>IF($B150=$B149,$AQ149,0)+$AP150</f>
        <v/>
      </c>
      <c r="AR150" s="55">
        <f>$AR149+$AP150</f>
        <v/>
      </c>
      <c r="AS150" s="55">
        <f>SUMIFS(tblMiningDaily[Blast_t],tblMiningDaily[Date],$A150)</f>
        <v/>
      </c>
      <c r="AT150" s="55">
        <f>IF($B150=$B149,$AT149,0)+$AS150</f>
        <v/>
      </c>
      <c r="AU150" s="55">
        <f>$AU149+$AS150</f>
        <v/>
      </c>
      <c r="AV150" s="55">
        <f>SUMIFS(tblMiningDaily[Explosives_kg],tblMiningDaily[Date],$A150)</f>
        <v/>
      </c>
      <c r="AW150" s="55">
        <f>IF($B150=$B149,$AW149,0)+$AV150</f>
        <v/>
      </c>
      <c r="AX150" s="55">
        <f>$AX149+$AV150</f>
        <v/>
      </c>
      <c r="AY150" s="56">
        <f>IFERROR(IF(($AS150)&gt;0,($AV150)/($AS150),""),"")</f>
        <v/>
      </c>
      <c r="AZ150" s="56">
        <f>IFERROR(IF(($AT150)&gt;0,($AW150)/($AT150),""),"")</f>
        <v/>
      </c>
      <c r="BA150" s="56">
        <f>IFERROR(IF(($AU150)&gt;0,($AX150)/($AU150),""),"")</f>
        <v/>
      </c>
      <c r="BB150" s="55">
        <f>SUMIFS(tblMiningDaily[Diesel_L],tblMiningDaily[Date],$A150)</f>
        <v/>
      </c>
      <c r="BC150" s="55">
        <f>IF($B150=$B149,$BC149,0)+$BB150</f>
        <v/>
      </c>
      <c r="BD150" s="55">
        <f>$BD149+$BB150</f>
        <v/>
      </c>
      <c r="BE150" s="55">
        <f>SUMIFS(tblMiningDaily[Dewatering_m3],tblMiningDaily[Date],$A150)</f>
        <v/>
      </c>
      <c r="BF150" s="55">
        <f>IF($B150=$B149,$BF149,0)+$BE150</f>
        <v/>
      </c>
      <c r="BG150" s="55">
        <f>$BG149+$BE150</f>
        <v/>
      </c>
      <c r="BH150" s="57">
        <f>SUMIFS(tblFleet[Calendar_h],tblFleet[Date],$A150,tblFleet[Equipment_Class],"Excavator")</f>
        <v/>
      </c>
      <c r="BI150" s="57">
        <f>IF($B150=$B149,$BI149,0)+$BH150</f>
        <v/>
      </c>
      <c r="BJ150" s="57">
        <f>$BJ149+$BH150</f>
        <v/>
      </c>
      <c r="BK150" s="57">
        <f>SUMIFS(tblFleet[Available_h],tblFleet[Date],$A150,tblFleet[Equipment_Class],"Excavator")</f>
        <v/>
      </c>
      <c r="BL150" s="57">
        <f>IF($B150=$B149,$BL149,0)+$BK150</f>
        <v/>
      </c>
      <c r="BM150" s="57">
        <f>$BM149+$BK150</f>
        <v/>
      </c>
      <c r="BN150" s="57">
        <f>SUMIFS(tblFleet[Operating_h],tblFleet[Date],$A150,tblFleet[Equipment_Class],"Excavator")</f>
        <v/>
      </c>
      <c r="BO150" s="57">
        <f>IF($B150=$B149,$BO149,0)+$BN150</f>
        <v/>
      </c>
      <c r="BP150" s="57">
        <f>$BP149+$BN150</f>
        <v/>
      </c>
      <c r="BQ150" s="67">
        <f>IFERROR(IF(($BH150)&gt;0,($BK150)/($BH150),""),"")</f>
        <v/>
      </c>
      <c r="BR150" s="67">
        <f>IFERROR(IF(($BI150)&gt;0,($BL150)/($BI150),""),"")</f>
        <v/>
      </c>
      <c r="BS150" s="67">
        <f>IFERROR(IF(($BJ150)&gt;0,($BM150)/($BJ150),""),"")</f>
        <v/>
      </c>
      <c r="BT150" s="67">
        <f>IFERROR(IF(($BK150)&gt;0,($BN150)/($BK150),""),"")</f>
        <v/>
      </c>
      <c r="BU150" s="67">
        <f>IFERROR(IF(($BL150)&gt;0,($BO150)/($BL150),""),"")</f>
        <v/>
      </c>
      <c r="BV150" s="67">
        <f>IFERROR(IF(($BM150)&gt;0,($BP150)/($BM150),""),"")</f>
        <v/>
      </c>
      <c r="BW150" s="57">
        <f>SUMIFS(tblFleet[Calendar_h],tblFleet[Date],$A150,tblFleet[Equipment_Class],"Haul Truck")</f>
        <v/>
      </c>
      <c r="BX150" s="57">
        <f>IF($B150=$B149,$BX149,0)+$BW150</f>
        <v/>
      </c>
      <c r="BY150" s="57">
        <f>$BY149+$BW150</f>
        <v/>
      </c>
      <c r="BZ150" s="57">
        <f>SUMIFS(tblFleet[Available_h],tblFleet[Date],$A150,tblFleet[Equipment_Class],"Haul Truck")</f>
        <v/>
      </c>
      <c r="CA150" s="57">
        <f>IF($B150=$B149,$CA149,0)+$BZ150</f>
        <v/>
      </c>
      <c r="CB150" s="57">
        <f>$CB149+$BZ150</f>
        <v/>
      </c>
      <c r="CC150" s="57">
        <f>SUMIFS(tblFleet[Operating_h],tblFleet[Date],$A150,tblFleet[Equipment_Class],"Haul Truck")</f>
        <v/>
      </c>
      <c r="CD150" s="57">
        <f>IF($B150=$B149,$CD149,0)+$CC150</f>
        <v/>
      </c>
      <c r="CE150" s="57">
        <f>$CE149+$CC150</f>
        <v/>
      </c>
      <c r="CF150" s="67">
        <f>IFERROR(IF(($BW150)&gt;0,($BZ150)/($BW150),""),"")</f>
        <v/>
      </c>
      <c r="CG150" s="67">
        <f>IFERROR(IF(($BX150)&gt;0,($CA150)/($BX150),""),"")</f>
        <v/>
      </c>
      <c r="CH150" s="67">
        <f>IFERROR(IF(($BY150)&gt;0,($CB150)/($BY150),""),"")</f>
        <v/>
      </c>
      <c r="CI150" s="67">
        <f>IFERROR(IF(($BZ150)&gt;0,($CC150)/($BZ150),""),"")</f>
        <v/>
      </c>
      <c r="CJ150" s="67">
        <f>IFERROR(IF(($CA150)&gt;0,($CD150)/($CA150),""),"")</f>
        <v/>
      </c>
      <c r="CK150" s="67">
        <f>IFERROR(IF(($CB150)&gt;0,($CE150)/($CB150),""),"")</f>
        <v/>
      </c>
      <c r="CL150" s="55">
        <f>IFERROR(IF(($BN150)&gt;0,($X150+$AD150)/($BN150),""),"")</f>
        <v/>
      </c>
      <c r="CM150" s="55">
        <f>IFERROR(IF(($BO150)&gt;0,($Y150+$AE150)/($BO150),""),"")</f>
        <v/>
      </c>
      <c r="CN150" s="55">
        <f>IFERROR(IF(($BP150)&gt;0,($Z150+$AF150)/($BP150),""),"")</f>
        <v/>
      </c>
      <c r="CO150" s="55">
        <f>IFERROR(IF(($CC150)&gt;0,($X150+$AD150)/($CC150),""),"")</f>
        <v/>
      </c>
      <c r="CP150" s="55">
        <f>IFERROR(IF(($CD150)&gt;0,($Y150+$AE150)/($CD150),""),"")</f>
        <v/>
      </c>
      <c r="CQ150" s="55">
        <f>IFERROR(IF(($CE150)&gt;0,($Z150+$AF150)/($CE150),""),"")</f>
        <v/>
      </c>
      <c r="CR150" s="55">
        <f>SUMIFS(tblPlant[Crushed_t],tblPlant[Date],$A150)</f>
        <v/>
      </c>
      <c r="CS150" s="55">
        <f>IF($B150=$B149,$CS149,0)+$CR150</f>
        <v/>
      </c>
      <c r="CT150" s="55">
        <f>$CT149+$CR150</f>
        <v/>
      </c>
      <c r="CU150" s="55">
        <f>SUMIFS(tblPlant[Milled_t],tblPlant[Date],$A150)</f>
        <v/>
      </c>
      <c r="CV150" s="55">
        <f>IF($B150=$B149,$CV149,0)+$CU150</f>
        <v/>
      </c>
      <c r="CW150" s="55">
        <f>$CW149+$CU150</f>
        <v/>
      </c>
      <c r="CX150" s="55">
        <f>SUMIFS(tblPlant[Feed_oz],tblPlant[Date],$A150)</f>
        <v/>
      </c>
      <c r="CY150" s="55">
        <f>IF($B150=$B149,$CY149,0)+$CX150</f>
        <v/>
      </c>
      <c r="CZ150" s="55">
        <f>$CZ149+$CX150</f>
        <v/>
      </c>
      <c r="DA150" s="55">
        <f>SUMIFS(tblPlant[Tails_oz],tblPlant[Date],$A150)</f>
        <v/>
      </c>
      <c r="DB150" s="55">
        <f>IF($B150=$B149,$DB149,0)+$DA150</f>
        <v/>
      </c>
      <c r="DC150" s="55">
        <f>$DC149+$DA150</f>
        <v/>
      </c>
      <c r="DD150" s="55">
        <f>SUMIFS(tblPlant[Recovered_oz],tblPlant[Date],$A150)</f>
        <v/>
      </c>
      <c r="DE150" s="55">
        <f>IF($B150=$B149,$DE149,0)+$DD150</f>
        <v/>
      </c>
      <c r="DF150" s="55">
        <f>$DF149+$DD150</f>
        <v/>
      </c>
      <c r="DG150" s="55">
        <f>SUMIFS(tblPlant[Milled_t],tblPlant[Date],$A150,tblPlant[Head_Grade_gpt],"&lt;&gt;")</f>
        <v/>
      </c>
      <c r="DH150" s="55">
        <f>IF($B150=$B149,$DH149,0)+$DG150</f>
        <v/>
      </c>
      <c r="DI150" s="55">
        <f>$DI149+$DG150</f>
        <v/>
      </c>
      <c r="DJ150" s="55">
        <f>SUMIFS(tblPlant[Milled_t],tblPlant[Date],$A150,tblPlant[Tails_Grade_gpt],"&lt;&gt;")</f>
        <v/>
      </c>
      <c r="DK150" s="55">
        <f>IF($B150=$B149,$DK149,0)+$DJ150</f>
        <v/>
      </c>
      <c r="DL150" s="55">
        <f>$DL149+$DJ150</f>
        <v/>
      </c>
      <c r="DM150" s="55">
        <f>SUMIFS(tblPlant[Feed_oz],tblPlant[Date],$A150,tblPlant[Tails_Grade_gpt],"&lt;&gt;")</f>
        <v/>
      </c>
      <c r="DN150" s="55">
        <f>IF($B150=$B149,$DN149,0)+$DM150</f>
        <v/>
      </c>
      <c r="DO150" s="55">
        <f>$DO149+$DM150</f>
        <v/>
      </c>
      <c r="DP150" s="55">
        <f>SUMIFS(tblPlant[Milled_t],tblPlant[Date],$A150,tblPlant[Mill_Run_h],"&lt;&gt;")</f>
        <v/>
      </c>
      <c r="DQ150" s="55">
        <f>IF($B150=$B149,$DQ149,0)+$DP150</f>
        <v/>
      </c>
      <c r="DR150" s="55">
        <f>$DR149+$DP150</f>
        <v/>
      </c>
      <c r="DS150" s="56">
        <f>IFERROR(IF(($DG150)&gt;0,($CX150*cfg_TroyOz)/($DG150),""),"")</f>
        <v/>
      </c>
      <c r="DT150" s="56">
        <f>IFERROR(IF(($DH150)&gt;0,($CY150*cfg_TroyOz)/($DH150),""),"")</f>
        <v/>
      </c>
      <c r="DU150" s="56">
        <f>IFERROR(IF(($DI150)&gt;0,($CZ150*cfg_TroyOz)/($DI150),""),"")</f>
        <v/>
      </c>
      <c r="DV150" s="56">
        <f>IFERROR(IF(($DJ150)&gt;0,($DA150*cfg_TroyOz)/($DJ150),""),"")</f>
        <v/>
      </c>
      <c r="DW150" s="56">
        <f>IFERROR(IF(($DK150)&gt;0,($DB150*cfg_TroyOz)/($DK150),""),"")</f>
        <v/>
      </c>
      <c r="DX150" s="56">
        <f>IFERROR(IF(($DL150)&gt;0,($DC150*cfg_TroyOz)/($DL150),""),"")</f>
        <v/>
      </c>
      <c r="DY150" s="67">
        <f>IFERROR(IF(($DM150)&gt;0,($DD150)/($DM150),""),"")</f>
        <v/>
      </c>
      <c r="DZ150" s="67">
        <f>IFERROR(IF(($DN150)&gt;0,($DE150)/($DN150),""),"")</f>
        <v/>
      </c>
      <c r="EA150" s="67">
        <f>IFERROR(IF(($DO150)&gt;0,($DF150)/($DO150),""),"")</f>
        <v/>
      </c>
      <c r="EB150" s="55">
        <f>SUMIFS(tblPlant[Gravity_Gold_oz],tblPlant[Date],$A150)</f>
        <v/>
      </c>
      <c r="EC150" s="55">
        <f>IF($B150=$B149,$EC149,0)+$EB150</f>
        <v/>
      </c>
      <c r="ED150" s="55">
        <f>$ED149+$EB150</f>
        <v/>
      </c>
      <c r="EE150" s="67">
        <f>IFERROR(IF(($DD150)&gt;0,($EB150)/($DD150),""),"")</f>
        <v/>
      </c>
      <c r="EF150" s="67">
        <f>IFERROR(IF(($DE150)&gt;0,($EC150)/($DE150),""),"")</f>
        <v/>
      </c>
      <c r="EG150" s="67">
        <f>IFERROR(IF(($DF150)&gt;0,($ED150)/($DF150),""),"")</f>
        <v/>
      </c>
      <c r="EH150" s="55">
        <f>SUMIFS(tblPlant[Gold_Poured_oz],tblPlant[Date],$A150)</f>
        <v/>
      </c>
      <c r="EI150" s="55">
        <f>IF($B150=$B149,$EI149,0)+$EH150</f>
        <v/>
      </c>
      <c r="EJ150" s="55">
        <f>$EJ149+$EH150</f>
        <v/>
      </c>
      <c r="EK150" s="57">
        <f>SUMIFS(tblPlant[Mill_Run_h],tblPlant[Date],$A150)</f>
        <v/>
      </c>
      <c r="EL150" s="57">
        <f>IF($B150=$B149,$EL149,0)+$EK150</f>
        <v/>
      </c>
      <c r="EM150" s="57">
        <f>$EM149+$EK150</f>
        <v/>
      </c>
      <c r="EN150" s="57">
        <f>SUMIFS(tblPlant[Mill_Planned_Maint_h],tblPlant[Date],$A150)</f>
        <v/>
      </c>
      <c r="EO150" s="57">
        <f>IF($B150=$B149,$EO149,0)+$EN150</f>
        <v/>
      </c>
      <c r="EP150" s="57">
        <f>$EP149+$EN150</f>
        <v/>
      </c>
      <c r="EQ150" s="57">
        <f>SUMIFS(tblPlant[Mill_Unplanned_Down_h],tblPlant[Date],$A150)</f>
        <v/>
      </c>
      <c r="ER150" s="57">
        <f>IF($B150=$B149,$ER149,0)+$EQ150</f>
        <v/>
      </c>
      <c r="ES150" s="57">
        <f>$ES149+$EQ150</f>
        <v/>
      </c>
      <c r="ET150" s="57">
        <f>IF(COUNTIFS(tblPlant[Date],$A150,tblPlant[Mill_Run_h],"&lt;&gt;")+COUNTIFS(tblPlant[Date],$A150,tblPlant[Mill_Planned_Maint_h],"&lt;&gt;")+COUNTIFS(tblPlant[Date],$A150,tblPlant[Mill_Unplanned_Down_h],"&lt;&gt;")&gt;0,cfg_HoursPerDay,0)</f>
        <v/>
      </c>
      <c r="EU150" s="57">
        <f>IF($B150=$B149,$EU149,0)+$ET150</f>
        <v/>
      </c>
      <c r="EV150" s="57">
        <f>$EV149+$ET150</f>
        <v/>
      </c>
      <c r="EW150" s="57">
        <f>SUMIFS(tblPlant[Crusher_Run_h],tblPlant[Date],$A150)</f>
        <v/>
      </c>
      <c r="EX150" s="57">
        <f>IF($B150=$B149,$EX149,0)+$EW150</f>
        <v/>
      </c>
      <c r="EY150" s="57">
        <f>$EY149+$EW150</f>
        <v/>
      </c>
      <c r="EZ150" s="55">
        <f>IFERROR(IF(($EK150)&gt;0,($DP150)/($EK150),""),"")</f>
        <v/>
      </c>
      <c r="FA150" s="55">
        <f>IFERROR(IF(($EL150)&gt;0,($DQ150)/($EL150),""),"")</f>
        <v/>
      </c>
      <c r="FB150" s="55">
        <f>IFERROR(IF(($EM150)&gt;0,($DR150)/($EM150),""),"")</f>
        <v/>
      </c>
      <c r="FC150" s="67">
        <f>IFERROR(IF(($ET150)&gt;0,($ET150-$EN150-$EQ150)/($ET150),""),"")</f>
        <v/>
      </c>
      <c r="FD150" s="67">
        <f>IFERROR(IF(($EU150)&gt;0,($EU150-$EO150-$ER150)/($EU150),""),"")</f>
        <v/>
      </c>
      <c r="FE150" s="67">
        <f>IFERROR(IF(($EV150)&gt;0,($EV150-$EP150-$ES150)/($EV150),""),"")</f>
        <v/>
      </c>
      <c r="FF150" s="67">
        <f>IFERROR(IF(($ET150-$EN150-$EQ150)&gt;0,($EK150)/($ET150-$EN150-$EQ150),""),"")</f>
        <v/>
      </c>
      <c r="FG150" s="67">
        <f>IFERROR(IF(($EU150-$EO150-$ER150)&gt;0,($EL150)/($EU150-$EO150-$ER150),""),"")</f>
        <v/>
      </c>
      <c r="FH150" s="67">
        <f>IFERROR(IF(($EV150-$EP150-$ES150)&gt;0,($EM150)/($EV150-$EP150-$ES150),""),"")</f>
        <v/>
      </c>
      <c r="FI150" s="55">
        <f>SUMIFS(tblPlant[Cyanide_kg],tblPlant[Date],$A150)</f>
        <v/>
      </c>
      <c r="FJ150" s="55">
        <f>IF($B150=$B149,$FJ149,0)+$FI150</f>
        <v/>
      </c>
      <c r="FK150" s="55">
        <f>$FK149+$FI150</f>
        <v/>
      </c>
      <c r="FL150" s="55">
        <f>SUMIFS(tblPlant[Lime_kg],tblPlant[Date],$A150)</f>
        <v/>
      </c>
      <c r="FM150" s="55">
        <f>IF($B150=$B149,$FM149,0)+$FL150</f>
        <v/>
      </c>
      <c r="FN150" s="55">
        <f>$FN149+$FL150</f>
        <v/>
      </c>
      <c r="FO150" s="55">
        <f>SUMIFS(tblPlant[Grinding_Media_kg],tblPlant[Date],$A150)</f>
        <v/>
      </c>
      <c r="FP150" s="55">
        <f>IF($B150=$B149,$FP149,0)+$FO150</f>
        <v/>
      </c>
      <c r="FQ150" s="55">
        <f>$FQ149+$FO150</f>
        <v/>
      </c>
      <c r="FR150" s="55">
        <f>SUMIFS(tblPlant[Power_kWh],tblPlant[Date],$A150)</f>
        <v/>
      </c>
      <c r="FS150" s="55">
        <f>IF($B150=$B149,$FS149,0)+$FR150</f>
        <v/>
      </c>
      <c r="FT150" s="55">
        <f>$FT149+$FR150</f>
        <v/>
      </c>
      <c r="FU150" s="55">
        <f>SUMIFS(tblPlant[Raw_Water_m3],tblPlant[Date],$A150)</f>
        <v/>
      </c>
      <c r="FV150" s="55">
        <f>IF($B150=$B149,$FV149,0)+$FU150</f>
        <v/>
      </c>
      <c r="FW150" s="55">
        <f>$FW149+$FU150</f>
        <v/>
      </c>
      <c r="FX150" s="56">
        <f>IFERROR(IF(($CU150)&gt;0,($FI150)/($CU150),""),"")</f>
        <v/>
      </c>
      <c r="FY150" s="56">
        <f>IFERROR(IF(($CV150)&gt;0,($FJ150)/($CV150),""),"")</f>
        <v/>
      </c>
      <c r="FZ150" s="56">
        <f>IFERROR(IF(($CW150)&gt;0,($FK150)/($CW150),""),"")</f>
        <v/>
      </c>
      <c r="GA150" s="56">
        <f>IFERROR(IF(($CU150)&gt;0,($FL150)/($CU150),""),"")</f>
        <v/>
      </c>
      <c r="GB150" s="56">
        <f>IFERROR(IF(($CV150)&gt;0,($FM150)/($CV150),""),"")</f>
        <v/>
      </c>
      <c r="GC150" s="56">
        <f>IFERROR(IF(($CW150)&gt;0,($FN150)/($CW150),""),"")</f>
        <v/>
      </c>
      <c r="GD150" s="56">
        <f>IFERROR(IF(($CU150)&gt;0,($FO150)/($CU150),""),"")</f>
        <v/>
      </c>
      <c r="GE150" s="56">
        <f>IFERROR(IF(($CV150)&gt;0,($FP150)/($CV150),""),"")</f>
        <v/>
      </c>
      <c r="GF150" s="56">
        <f>IFERROR(IF(($CW150)&gt;0,($FQ150)/($CW150),""),"")</f>
        <v/>
      </c>
      <c r="GG150" s="79">
        <f>IFERROR(IF(($CU150)&gt;0,($FR150)/($CU150),""),"")</f>
        <v/>
      </c>
      <c r="GH150" s="79">
        <f>IFERROR(IF(($CV150)&gt;0,($FS150)/($CV150),""),"")</f>
        <v/>
      </c>
      <c r="GI150" s="79">
        <f>IFERROR(IF(($CW150)&gt;0,($FT150)/($CW150),""),"")</f>
        <v/>
      </c>
      <c r="GJ150" s="56">
        <f>IFERROR(IF(($CU150)&gt;0,($FU150)/($CU150),""),"")</f>
        <v/>
      </c>
      <c r="GK150" s="56">
        <f>IFERROR(IF(($CV150)&gt;0,($FV150)/($CV150),""),"")</f>
        <v/>
      </c>
      <c r="GL150" s="56">
        <f>IFERROR(IF(($CW150)&gt;0,($FW150)/($CW150),""),"")</f>
        <v/>
      </c>
      <c r="GM150" s="55">
        <f>IF(SUMIFS(tblPlant[GIC_oz],tblPlant[Date],$A150)&gt;0,SUMIFS(tblPlant[GIC_oz],tblPlant[Date],$A150),"")</f>
        <v/>
      </c>
      <c r="GN150" s="55">
        <f>SUMIFS(tblGold[Gold_oz],tblGold[Date],$A150,tblGold[Type],"Shipment")</f>
        <v/>
      </c>
      <c r="GO150" s="55">
        <f>IF($B150=$B149,$GO149,0)+$GN150</f>
        <v/>
      </c>
      <c r="GP150" s="55">
        <f>$GP149+$GN150</f>
        <v/>
      </c>
      <c r="GQ150" s="55">
        <f>SUMIFS(tblGold[Gold_oz],tblGold[Date],$A150,tblGold[Type],"Sale")</f>
        <v/>
      </c>
      <c r="GR150" s="55">
        <f>IF($B150=$B149,$GR149,0)+$GQ150</f>
        <v/>
      </c>
      <c r="GS150" s="55">
        <f>$GS149+$GQ150</f>
        <v/>
      </c>
      <c r="GT150" s="55">
        <f>SUMIFS(tblGold[Dore_kg],tblGold[Date],$A150,tblGold[Type],"Shipment")</f>
        <v/>
      </c>
      <c r="GU150" s="55">
        <f>IF($B150=$B149,$GU149,0)+$GT150</f>
        <v/>
      </c>
      <c r="GV150" s="55">
        <f>$GV149+$GT150</f>
        <v/>
      </c>
      <c r="GW150" s="57">
        <f>SUMIFS(tblSafety[Hours_Total],tblSafety[Date],$A150)</f>
        <v/>
      </c>
      <c r="GX150" s="57">
        <f>IF($B150=$B149,$GX149,0)+$GW150</f>
        <v/>
      </c>
      <c r="GY150" s="57">
        <f>$GY149+$GW150</f>
        <v/>
      </c>
      <c r="GZ150" s="62">
        <f>SUMIFS(tblSafety[Fatality],tblSafety[Date],$A150)</f>
        <v/>
      </c>
      <c r="HA150" s="62">
        <f>IF($B150=$B149,$HA149,0)+$GZ150</f>
        <v/>
      </c>
      <c r="HB150" s="62">
        <f>$HB149+$GZ150</f>
        <v/>
      </c>
      <c r="HC150" s="62">
        <f>SUMIFS(tblSafety[LTI],tblSafety[Date],$A150)</f>
        <v/>
      </c>
      <c r="HD150" s="62">
        <f>IF($B150=$B149,$HD149,0)+$HC150</f>
        <v/>
      </c>
      <c r="HE150" s="62">
        <f>$HE149+$HC150</f>
        <v/>
      </c>
      <c r="HF150" s="62">
        <f>SUMIFS(tblSafety[RWI],tblSafety[Date],$A150)</f>
        <v/>
      </c>
      <c r="HG150" s="62">
        <f>IF($B150=$B149,$HG149,0)+$HF150</f>
        <v/>
      </c>
      <c r="HH150" s="62">
        <f>$HH149+$HF150</f>
        <v/>
      </c>
      <c r="HI150" s="62">
        <f>SUMIFS(tblSafety[MTI],tblSafety[Date],$A150)</f>
        <v/>
      </c>
      <c r="HJ150" s="62">
        <f>IF($B150=$B149,$HJ149,0)+$HI150</f>
        <v/>
      </c>
      <c r="HK150" s="62">
        <f>$HK149+$HI150</f>
        <v/>
      </c>
      <c r="HL150" s="62">
        <f>SUMIFS(tblSafety[FAI],tblSafety[Date],$A150)</f>
        <v/>
      </c>
      <c r="HM150" s="62">
        <f>IF($B150=$B149,$HM149,0)+$HL150</f>
        <v/>
      </c>
      <c r="HN150" s="62">
        <f>$HN149+$HL150</f>
        <v/>
      </c>
      <c r="HO150" s="62">
        <f>SUMIFS(tblSafety[Recordables],tblSafety[Date],$A150)</f>
        <v/>
      </c>
      <c r="HP150" s="62">
        <f>IF($B150=$B149,$HP149,0)+$HO150</f>
        <v/>
      </c>
      <c r="HQ150" s="62">
        <f>$HQ149+$HO150</f>
        <v/>
      </c>
      <c r="HR150" s="62">
        <f>SUMIFS(tblSafety[Near_Miss],tblSafety[Date],$A150)</f>
        <v/>
      </c>
      <c r="HS150" s="62">
        <f>IF($B150=$B149,$HS149,0)+$HR150</f>
        <v/>
      </c>
      <c r="HT150" s="62">
        <f>$HT149+$HR150</f>
        <v/>
      </c>
      <c r="HU150" s="62">
        <f>SUMIFS(tblSafety[Hazard_Reports],tblSafety[Date],$A150)</f>
        <v/>
      </c>
      <c r="HV150" s="62">
        <f>IF($B150=$B149,$HV149,0)+$HU150</f>
        <v/>
      </c>
      <c r="HW150" s="62">
        <f>$HW149+$HU150</f>
        <v/>
      </c>
      <c r="HX150" s="62">
        <f>SUMIFS(tblSafety[HPI],tblSafety[Date],$A150)</f>
        <v/>
      </c>
      <c r="HY150" s="62">
        <f>IF($B150=$B149,$HY149,0)+$HX150</f>
        <v/>
      </c>
      <c r="HZ150" s="62">
        <f>$HZ149+$HX150</f>
        <v/>
      </c>
      <c r="IA150" s="62">
        <f>SUMIFS(tblSafety[Env_Incidents],tblSafety[Date],$A150)</f>
        <v/>
      </c>
      <c r="IB150" s="62">
        <f>IF($B150=$B149,$IB149,0)+$IA150</f>
        <v/>
      </c>
      <c r="IC150" s="62">
        <f>$IC149+$IA150</f>
        <v/>
      </c>
      <c r="ID150" s="62">
        <f>SUMIFS(tblSafety[Community_Incidents],tblSafety[Date],$A150)</f>
        <v/>
      </c>
      <c r="IE150" s="62">
        <f>IF($B150=$B149,$IE149,0)+$ID150</f>
        <v/>
      </c>
      <c r="IF150" s="62">
        <f>$IF149+$ID150</f>
        <v/>
      </c>
      <c r="IG150" s="62">
        <f>SUMIFS(tblSafety[Vehicle_Incidents],tblSafety[Date],$A150)</f>
        <v/>
      </c>
      <c r="IH150" s="62">
        <f>IF($B150=$B149,$IH149,0)+$IG150</f>
        <v/>
      </c>
      <c r="II150" s="62">
        <f>$II149+$IG150</f>
        <v/>
      </c>
      <c r="IJ150" s="62">
        <f>SUMIFS(tblSafety[Toolbox_Talks],tblSafety[Date],$A150)</f>
        <v/>
      </c>
      <c r="IK150" s="62">
        <f>IF($B150=$B149,$IK149,0)+$IJ150</f>
        <v/>
      </c>
      <c r="IL150" s="62">
        <f>$IL149+$IJ150</f>
        <v/>
      </c>
      <c r="IM150" s="62">
        <f>SUMIFS(tblSafety[Inspections],tblSafety[Date],$A150)</f>
        <v/>
      </c>
      <c r="IN150" s="62">
        <f>IF($B150=$B149,$IN149,0)+$IM150</f>
        <v/>
      </c>
      <c r="IO150" s="62">
        <f>$IO149+$IM150</f>
        <v/>
      </c>
      <c r="IP150" s="56">
        <f>IFERROR((SUMIFS(tblSafety[Recordables],tblSafety[Date],"&gt;="&amp;EDATE($E150,-12),tblSafety[Date],"&lt;="&amp;$A150)+SUMIFS(tblSafetyHistory[Recordables],tblSafetyHistory[Month],"&gt;="&amp;EDATE($E150,-12),tblSafetyHistory[Month],"&lt;"&amp;$E150,tblSafetyHistory[Use],1))/(SUMIFS(tblSafety[Hours_Total],tblSafety[Date],"&gt;="&amp;EDATE($E150,-12),tblSafety[Date],"&lt;="&amp;$A150)+SUMIFS(tblSafetyHistory[Hours_Total],tblSafetyHistory[Month],"&gt;="&amp;EDATE($E150,-12),tblSafetyHistory[Month],"&lt;"&amp;$E150,tblSafetyHistory[Use],1))*cfg_RateBasisHours,"")</f>
        <v/>
      </c>
      <c r="IQ150" s="56">
        <f>IFERROR((SUMIFS(tblSafety[LTI],tblSafety[Date],"&gt;="&amp;EDATE($E150,-12),tblSafety[Date],"&lt;="&amp;$A150)+SUMIFS(tblSafetyHistory[LTI],tblSafetyHistory[Month],"&gt;="&amp;EDATE($E150,-12),tblSafetyHistory[Month],"&lt;"&amp;$E150,tblSafetyHistory[Use],1))/(SUMIFS(tblSafety[Hours_Total],tblSafety[Date],"&gt;="&amp;EDATE($E150,-12),tblSafety[Date],"&lt;="&amp;$A150)+SUMIFS(tblSafetyHistory[Hours_Total],tblSafetyHistory[Month],"&gt;="&amp;EDATE($E150,-12),tblSafetyHistory[Month],"&lt;"&amp;$E150,tblSafetyHistory[Use],1))*cfg_RateBasisHours,"")</f>
        <v/>
      </c>
      <c r="IR150" s="62">
        <f>IF(MAX(N(cfg_PriorLTIDate),_xlfn.MAXIFS(tblSafety[Date],tblSafety[LTI],"&gt;0",tblSafety[Date],"&lt;="&amp;$A150))=0,"",$A150-MAX(N(cfg_PriorLTIDate),_xlfn.MAXIFS(tblSafety[Date],tblSafety[LTI],"&gt;0",tblSafety[Date],"&lt;="&amp;$A150)))</f>
        <v/>
      </c>
      <c r="IS150" s="55">
        <f>SUMIFS(tblBudget[Ore_Mined_t],tblBudget[Month],$E150)</f>
        <v/>
      </c>
      <c r="IT150" s="55">
        <f>$IS150*$C150/$D150</f>
        <v/>
      </c>
      <c r="IU150" s="55">
        <f>SUMIFS(tblBudget[Ore_Mined_t],tblBudget[Month],"&lt;"&amp;$E150)+$IT150</f>
        <v/>
      </c>
      <c r="IV150" s="55">
        <f>SUMIFS(tblBudget[Ore_oz],tblBudget[Month],$E150)</f>
        <v/>
      </c>
      <c r="IW150" s="55">
        <f>$IV150*$C150/$D150</f>
        <v/>
      </c>
      <c r="IX150" s="55">
        <f>SUMIFS(tblBudget[Ore_oz],tblBudget[Month],"&lt;"&amp;$E150)+$IW150</f>
        <v/>
      </c>
      <c r="IY150" s="55">
        <f>SUMIFS(tblBudget[Ore_Mined_t],tblBudget[Month],$E150)</f>
        <v/>
      </c>
      <c r="IZ150" s="55">
        <f>$IY150*$C150/$D150</f>
        <v/>
      </c>
      <c r="JA150" s="55">
        <f>SUMIFS(tblBudget[Ore_Mined_t],tblBudget[Month],"&lt;"&amp;$E150)+$IZ150</f>
        <v/>
      </c>
      <c r="JB150" s="56">
        <f>IFERROR(IF(($IY150)&gt;0,($IV150*cfg_TroyOz)/($IY150),""),"")</f>
        <v/>
      </c>
      <c r="JC150" s="56">
        <f>IFERROR(IF(($IZ150)&gt;0,($IW150*cfg_TroyOz)/($IZ150),""),"")</f>
        <v/>
      </c>
      <c r="JD150" s="56">
        <f>IFERROR(IF(($JA150)&gt;0,($IX150*cfg_TroyOz)/($JA150),""),"")</f>
        <v/>
      </c>
      <c r="JE150" s="55">
        <f>SUMIFS(tblBudget[Waste_t],tblBudget[Month],$E150)</f>
        <v/>
      </c>
      <c r="JF150" s="55">
        <f>$JE150*$C150/$D150</f>
        <v/>
      </c>
      <c r="JG150" s="55">
        <f>SUMIFS(tblBudget[Waste_t],tblBudget[Month],"&lt;"&amp;$E150)+$JF150</f>
        <v/>
      </c>
      <c r="JH150" s="55">
        <f>SUMIFS(tblBudget[TMM_t],tblBudget[Month],$E150)</f>
        <v/>
      </c>
      <c r="JI150" s="55">
        <f>$JH150*$C150/$D150</f>
        <v/>
      </c>
      <c r="JJ150" s="55">
        <f>SUMIFS(tblBudget[TMM_t],tblBudget[Month],"&lt;"&amp;$E150)+$JI150</f>
        <v/>
      </c>
      <c r="JK150" s="56">
        <f>IFERROR(IF(($IS150)&gt;0,($JE150)/($IS150),""),"")</f>
        <v/>
      </c>
      <c r="JL150" s="56">
        <f>IFERROR(IF(($IT150)&gt;0,($JF150)/($IT150),""),"")</f>
        <v/>
      </c>
      <c r="JM150" s="56">
        <f>IFERROR(IF(($IU150)&gt;0,($JG150)/($IU150),""),"")</f>
        <v/>
      </c>
      <c r="JN150" s="55">
        <f>SUMIFS(tblBudget[Drill_m],tblBudget[Month],$E150)</f>
        <v/>
      </c>
      <c r="JO150" s="55">
        <f>$JN150*$C150/$D150</f>
        <v/>
      </c>
      <c r="JP150" s="55">
        <f>SUMIFS(tblBudget[Drill_m],tblBudget[Month],"&lt;"&amp;$E150)+$JO150</f>
        <v/>
      </c>
      <c r="JQ150" s="55">
        <f>SUMIFS(tblBudget[Diesel_L],tblBudget[Month],$E150)</f>
        <v/>
      </c>
      <c r="JR150" s="55">
        <f>$JQ150*$C150/$D150</f>
        <v/>
      </c>
      <c r="JS150" s="55">
        <f>SUMIFS(tblBudget[Diesel_L],tblBudget[Month],"&lt;"&amp;$E150)+$JR150</f>
        <v/>
      </c>
      <c r="JT150" s="55">
        <f>SUMIFS(tblBudget[Milled_t],tblBudget[Month],$E150)</f>
        <v/>
      </c>
      <c r="JU150" s="55">
        <f>$JT150*$C150/$D150</f>
        <v/>
      </c>
      <c r="JV150" s="55">
        <f>SUMIFS(tblBudget[Milled_t],tblBudget[Month],"&lt;"&amp;$E150)+$JU150</f>
        <v/>
      </c>
      <c r="JW150" s="55">
        <f>SUMIFS(tblBudget[Feed_oz],tblBudget[Month],$E150)</f>
        <v/>
      </c>
      <c r="JX150" s="55">
        <f>$JW150*$C150/$D150</f>
        <v/>
      </c>
      <c r="JY150" s="55">
        <f>SUMIFS(tblBudget[Feed_oz],tblBudget[Month],"&lt;"&amp;$E150)+$JX150</f>
        <v/>
      </c>
      <c r="JZ150" s="55">
        <f>SUMIFS(tblBudget[Recovered_oz],tblBudget[Month],$E150)</f>
        <v/>
      </c>
      <c r="KA150" s="55">
        <f>$JZ150*$C150/$D150</f>
        <v/>
      </c>
      <c r="KB150" s="55">
        <f>SUMIFS(tblBudget[Recovered_oz],tblBudget[Month],"&lt;"&amp;$E150)+$KA150</f>
        <v/>
      </c>
      <c r="KC150" s="55">
        <f>SUMIFS(tblBudget[Milled_t],tblBudget[Month],$E150)</f>
        <v/>
      </c>
      <c r="KD150" s="55">
        <f>$KC150*$C150/$D150</f>
        <v/>
      </c>
      <c r="KE150" s="55">
        <f>SUMIFS(tblBudget[Milled_t],tblBudget[Month],"&lt;"&amp;$E150)+$KD150</f>
        <v/>
      </c>
      <c r="KF150" s="55">
        <f>SUMIFS(tblBudget[Feed_oz],tblBudget[Month],$E150)</f>
        <v/>
      </c>
      <c r="KG150" s="55">
        <f>$KF150*$C150/$D150</f>
        <v/>
      </c>
      <c r="KH150" s="55">
        <f>SUMIFS(tblBudget[Feed_oz],tblBudget[Month],"&lt;"&amp;$E150)+$KG150</f>
        <v/>
      </c>
      <c r="KI150" s="56">
        <f>IFERROR(IF(($KC150)&gt;0,($JW150*cfg_TroyOz)/($KC150),""),"")</f>
        <v/>
      </c>
      <c r="KJ150" s="56">
        <f>IFERROR(IF(($KD150)&gt;0,($JX150*cfg_TroyOz)/($KD150),""),"")</f>
        <v/>
      </c>
      <c r="KK150" s="56">
        <f>IFERROR(IF(($KE150)&gt;0,($JY150*cfg_TroyOz)/($KE150),""),"")</f>
        <v/>
      </c>
      <c r="KL150" s="67">
        <f>IFERROR(IF(($KF150)&gt;0,($JZ150)/($KF150),""),"")</f>
        <v/>
      </c>
      <c r="KM150" s="67">
        <f>IFERROR(IF(($KG150)&gt;0,($KA150)/($KG150),""),"")</f>
        <v/>
      </c>
      <c r="KN150" s="67">
        <f>IFERROR(IF(($KH150)&gt;0,($KB150)/($KH150),""),"")</f>
        <v/>
      </c>
      <c r="KO150" s="55">
        <f>SUMIFS(tblBudget[Gold_Poured_oz],tblBudget[Month],$E150)</f>
        <v/>
      </c>
      <c r="KP150" s="55">
        <f>$KO150*$C150/$D150</f>
        <v/>
      </c>
      <c r="KQ150" s="55">
        <f>SUMIFS(tblBudget[Gold_Poured_oz],tblBudget[Month],"&lt;"&amp;$E150)+$KP150</f>
        <v/>
      </c>
      <c r="KR150" s="57">
        <f>SUMIFS(tblBudget[Hours_Worked],tblBudget[Month],$E150)</f>
        <v/>
      </c>
      <c r="KS150" s="57">
        <f>$KR150*$C150/$D150</f>
        <v/>
      </c>
      <c r="KT150" s="57">
        <f>SUMIFS(tblBudget[Hours_Worked],tblBudget[Month],"&lt;"&amp;$E150)+$KS150</f>
        <v/>
      </c>
    </row>
    <row r="151">
      <c r="A151" s="54" t="n">
        <v>46172</v>
      </c>
      <c r="B151">
        <f>MONTH($A151)</f>
        <v/>
      </c>
      <c r="C151">
        <f>DAY($A151)</f>
        <v/>
      </c>
      <c r="D151">
        <f>DAY(EOMONTH($A151,0))</f>
        <v/>
      </c>
      <c r="E151" s="54">
        <f>DATE(YEAR($A151),MONTH($A151),1)</f>
        <v/>
      </c>
      <c r="F151" s="55">
        <f>SUMIFS(tblMovement[Tonnes_t],tblMovement[Date],$A151,tblMovement[Is_Ore],1,tblMovement[Source_Type],"Pit")</f>
        <v/>
      </c>
      <c r="G151" s="55">
        <f>IF($B151=$B150,$G150,0)+$F151</f>
        <v/>
      </c>
      <c r="H151" s="55">
        <f>$H150+$F151</f>
        <v/>
      </c>
      <c r="I151" s="55">
        <f>SUMIFS(tblMovement[Ore_oz],tblMovement[Date],$A151,tblMovement[Source_Type],"Pit")</f>
        <v/>
      </c>
      <c r="J151" s="55">
        <f>IF($B151=$B150,$J150,0)+$I151</f>
        <v/>
      </c>
      <c r="K151" s="55">
        <f>$K150+$I151</f>
        <v/>
      </c>
      <c r="L151" s="55">
        <f>SUMIFS(tblMovement[Tonnes_t],tblMovement[Date],$A151,tblMovement[Is_Ore],1,tblMovement[Source_Type],"Pit",tblMovement[Grade_gpt],"&lt;&gt;")</f>
        <v/>
      </c>
      <c r="M151" s="55">
        <f>IF($B151=$B150,$M150,0)+$L151</f>
        <v/>
      </c>
      <c r="N151" s="55">
        <f>$N150+$L151</f>
        <v/>
      </c>
      <c r="O151" s="56">
        <f>IFERROR(IF(($L151)&gt;0,($I151*cfg_TroyOz)/($L151),""),"")</f>
        <v/>
      </c>
      <c r="P151" s="56">
        <f>IFERROR(IF(($M151)&gt;0,($J151*cfg_TroyOz)/($M151),""),"")</f>
        <v/>
      </c>
      <c r="Q151" s="56">
        <f>IFERROR(IF(($N151)&gt;0,($K151*cfg_TroyOz)/($N151),""),"")</f>
        <v/>
      </c>
      <c r="R151" s="55">
        <f>$F151-$L151</f>
        <v/>
      </c>
      <c r="S151" s="55">
        <f>IF($B151=$B150,$S150,0)+$R151</f>
        <v/>
      </c>
      <c r="T151" s="55">
        <f>$T150+$R151</f>
        <v/>
      </c>
      <c r="U151" s="55">
        <f>SUMIFS(tblMovement[Tonnes_t],tblMovement[Date],$A151,tblMovement[Is_Ore],0,tblMovement[Source_Type],"Pit")</f>
        <v/>
      </c>
      <c r="V151" s="55">
        <f>IF($B151=$B150,$V150,0)+$U151</f>
        <v/>
      </c>
      <c r="W151" s="55">
        <f>$W150+$U151</f>
        <v/>
      </c>
      <c r="X151" s="55">
        <f>$F151+$U151</f>
        <v/>
      </c>
      <c r="Y151" s="55">
        <f>IF($B151=$B150,$Y150,0)+$X151</f>
        <v/>
      </c>
      <c r="Z151" s="55">
        <f>$Z150+$X151</f>
        <v/>
      </c>
      <c r="AA151" s="56">
        <f>IFERROR(IF(($F151)&gt;0,($U151)/($F151),""),"")</f>
        <v/>
      </c>
      <c r="AB151" s="56">
        <f>IFERROR(IF(($G151)&gt;0,($V151)/($G151),""),"")</f>
        <v/>
      </c>
      <c r="AC151" s="56">
        <f>IFERROR(IF(($H151)&gt;0,($W151)/($H151),""),"")</f>
        <v/>
      </c>
      <c r="AD151" s="55">
        <f>SUMIFS(tblMovement[Tonnes_t],tblMovement[Date],$A151,tblMovement[Source_Type],"Stockpile")</f>
        <v/>
      </c>
      <c r="AE151" s="55">
        <f>IF($B151=$B150,$AE150,0)+$AD151</f>
        <v/>
      </c>
      <c r="AF151" s="55">
        <f>$AF150+$AD151</f>
        <v/>
      </c>
      <c r="AG151" s="55">
        <f>SUMIFS(tblMovement[Tonnes_t],tblMovement[Date],$A151)</f>
        <v/>
      </c>
      <c r="AH151" s="55">
        <f>IF($B151=$B150,$AH150,0)+$AG151</f>
        <v/>
      </c>
      <c r="AI151" s="55">
        <f>$AI150+$AG151</f>
        <v/>
      </c>
      <c r="AJ151" s="55">
        <f>$AG151-$X151-$AD151</f>
        <v/>
      </c>
      <c r="AK151" s="55">
        <f>IF($B151=$B150,$AK150,0)+$AJ151</f>
        <v/>
      </c>
      <c r="AL151" s="55">
        <f>$AL150+$AJ151</f>
        <v/>
      </c>
      <c r="AM151" s="55">
        <f>SUMIFS(tblMiningDaily[Drill_m],tblMiningDaily[Date],$A151)</f>
        <v/>
      </c>
      <c r="AN151" s="55">
        <f>IF($B151=$B150,$AN150,0)+$AM151</f>
        <v/>
      </c>
      <c r="AO151" s="55">
        <f>$AO150+$AM151</f>
        <v/>
      </c>
      <c r="AP151" s="55">
        <f>SUMIFS(tblMiningDaily[GC_Drill_m],tblMiningDaily[Date],$A151)</f>
        <v/>
      </c>
      <c r="AQ151" s="55">
        <f>IF($B151=$B150,$AQ150,0)+$AP151</f>
        <v/>
      </c>
      <c r="AR151" s="55">
        <f>$AR150+$AP151</f>
        <v/>
      </c>
      <c r="AS151" s="55">
        <f>SUMIFS(tblMiningDaily[Blast_t],tblMiningDaily[Date],$A151)</f>
        <v/>
      </c>
      <c r="AT151" s="55">
        <f>IF($B151=$B150,$AT150,0)+$AS151</f>
        <v/>
      </c>
      <c r="AU151" s="55">
        <f>$AU150+$AS151</f>
        <v/>
      </c>
      <c r="AV151" s="55">
        <f>SUMIFS(tblMiningDaily[Explosives_kg],tblMiningDaily[Date],$A151)</f>
        <v/>
      </c>
      <c r="AW151" s="55">
        <f>IF($B151=$B150,$AW150,0)+$AV151</f>
        <v/>
      </c>
      <c r="AX151" s="55">
        <f>$AX150+$AV151</f>
        <v/>
      </c>
      <c r="AY151" s="56">
        <f>IFERROR(IF(($AS151)&gt;0,($AV151)/($AS151),""),"")</f>
        <v/>
      </c>
      <c r="AZ151" s="56">
        <f>IFERROR(IF(($AT151)&gt;0,($AW151)/($AT151),""),"")</f>
        <v/>
      </c>
      <c r="BA151" s="56">
        <f>IFERROR(IF(($AU151)&gt;0,($AX151)/($AU151),""),"")</f>
        <v/>
      </c>
      <c r="BB151" s="55">
        <f>SUMIFS(tblMiningDaily[Diesel_L],tblMiningDaily[Date],$A151)</f>
        <v/>
      </c>
      <c r="BC151" s="55">
        <f>IF($B151=$B150,$BC150,0)+$BB151</f>
        <v/>
      </c>
      <c r="BD151" s="55">
        <f>$BD150+$BB151</f>
        <v/>
      </c>
      <c r="BE151" s="55">
        <f>SUMIFS(tblMiningDaily[Dewatering_m3],tblMiningDaily[Date],$A151)</f>
        <v/>
      </c>
      <c r="BF151" s="55">
        <f>IF($B151=$B150,$BF150,0)+$BE151</f>
        <v/>
      </c>
      <c r="BG151" s="55">
        <f>$BG150+$BE151</f>
        <v/>
      </c>
      <c r="BH151" s="57">
        <f>SUMIFS(tblFleet[Calendar_h],tblFleet[Date],$A151,tblFleet[Equipment_Class],"Excavator")</f>
        <v/>
      </c>
      <c r="BI151" s="57">
        <f>IF($B151=$B150,$BI150,0)+$BH151</f>
        <v/>
      </c>
      <c r="BJ151" s="57">
        <f>$BJ150+$BH151</f>
        <v/>
      </c>
      <c r="BK151" s="57">
        <f>SUMIFS(tblFleet[Available_h],tblFleet[Date],$A151,tblFleet[Equipment_Class],"Excavator")</f>
        <v/>
      </c>
      <c r="BL151" s="57">
        <f>IF($B151=$B150,$BL150,0)+$BK151</f>
        <v/>
      </c>
      <c r="BM151" s="57">
        <f>$BM150+$BK151</f>
        <v/>
      </c>
      <c r="BN151" s="57">
        <f>SUMIFS(tblFleet[Operating_h],tblFleet[Date],$A151,tblFleet[Equipment_Class],"Excavator")</f>
        <v/>
      </c>
      <c r="BO151" s="57">
        <f>IF($B151=$B150,$BO150,0)+$BN151</f>
        <v/>
      </c>
      <c r="BP151" s="57">
        <f>$BP150+$BN151</f>
        <v/>
      </c>
      <c r="BQ151" s="67">
        <f>IFERROR(IF(($BH151)&gt;0,($BK151)/($BH151),""),"")</f>
        <v/>
      </c>
      <c r="BR151" s="67">
        <f>IFERROR(IF(($BI151)&gt;0,($BL151)/($BI151),""),"")</f>
        <v/>
      </c>
      <c r="BS151" s="67">
        <f>IFERROR(IF(($BJ151)&gt;0,($BM151)/($BJ151),""),"")</f>
        <v/>
      </c>
      <c r="BT151" s="67">
        <f>IFERROR(IF(($BK151)&gt;0,($BN151)/($BK151),""),"")</f>
        <v/>
      </c>
      <c r="BU151" s="67">
        <f>IFERROR(IF(($BL151)&gt;0,($BO151)/($BL151),""),"")</f>
        <v/>
      </c>
      <c r="BV151" s="67">
        <f>IFERROR(IF(($BM151)&gt;0,($BP151)/($BM151),""),"")</f>
        <v/>
      </c>
      <c r="BW151" s="57">
        <f>SUMIFS(tblFleet[Calendar_h],tblFleet[Date],$A151,tblFleet[Equipment_Class],"Haul Truck")</f>
        <v/>
      </c>
      <c r="BX151" s="57">
        <f>IF($B151=$B150,$BX150,0)+$BW151</f>
        <v/>
      </c>
      <c r="BY151" s="57">
        <f>$BY150+$BW151</f>
        <v/>
      </c>
      <c r="BZ151" s="57">
        <f>SUMIFS(tblFleet[Available_h],tblFleet[Date],$A151,tblFleet[Equipment_Class],"Haul Truck")</f>
        <v/>
      </c>
      <c r="CA151" s="57">
        <f>IF($B151=$B150,$CA150,0)+$BZ151</f>
        <v/>
      </c>
      <c r="CB151" s="57">
        <f>$CB150+$BZ151</f>
        <v/>
      </c>
      <c r="CC151" s="57">
        <f>SUMIFS(tblFleet[Operating_h],tblFleet[Date],$A151,tblFleet[Equipment_Class],"Haul Truck")</f>
        <v/>
      </c>
      <c r="CD151" s="57">
        <f>IF($B151=$B150,$CD150,0)+$CC151</f>
        <v/>
      </c>
      <c r="CE151" s="57">
        <f>$CE150+$CC151</f>
        <v/>
      </c>
      <c r="CF151" s="67">
        <f>IFERROR(IF(($BW151)&gt;0,($BZ151)/($BW151),""),"")</f>
        <v/>
      </c>
      <c r="CG151" s="67">
        <f>IFERROR(IF(($BX151)&gt;0,($CA151)/($BX151),""),"")</f>
        <v/>
      </c>
      <c r="CH151" s="67">
        <f>IFERROR(IF(($BY151)&gt;0,($CB151)/($BY151),""),"")</f>
        <v/>
      </c>
      <c r="CI151" s="67">
        <f>IFERROR(IF(($BZ151)&gt;0,($CC151)/($BZ151),""),"")</f>
        <v/>
      </c>
      <c r="CJ151" s="67">
        <f>IFERROR(IF(($CA151)&gt;0,($CD151)/($CA151),""),"")</f>
        <v/>
      </c>
      <c r="CK151" s="67">
        <f>IFERROR(IF(($CB151)&gt;0,($CE151)/($CB151),""),"")</f>
        <v/>
      </c>
      <c r="CL151" s="55">
        <f>IFERROR(IF(($BN151)&gt;0,($X151+$AD151)/($BN151),""),"")</f>
        <v/>
      </c>
      <c r="CM151" s="55">
        <f>IFERROR(IF(($BO151)&gt;0,($Y151+$AE151)/($BO151),""),"")</f>
        <v/>
      </c>
      <c r="CN151" s="55">
        <f>IFERROR(IF(($BP151)&gt;0,($Z151+$AF151)/($BP151),""),"")</f>
        <v/>
      </c>
      <c r="CO151" s="55">
        <f>IFERROR(IF(($CC151)&gt;0,($X151+$AD151)/($CC151),""),"")</f>
        <v/>
      </c>
      <c r="CP151" s="55">
        <f>IFERROR(IF(($CD151)&gt;0,($Y151+$AE151)/($CD151),""),"")</f>
        <v/>
      </c>
      <c r="CQ151" s="55">
        <f>IFERROR(IF(($CE151)&gt;0,($Z151+$AF151)/($CE151),""),"")</f>
        <v/>
      </c>
      <c r="CR151" s="55">
        <f>SUMIFS(tblPlant[Crushed_t],tblPlant[Date],$A151)</f>
        <v/>
      </c>
      <c r="CS151" s="55">
        <f>IF($B151=$B150,$CS150,0)+$CR151</f>
        <v/>
      </c>
      <c r="CT151" s="55">
        <f>$CT150+$CR151</f>
        <v/>
      </c>
      <c r="CU151" s="55">
        <f>SUMIFS(tblPlant[Milled_t],tblPlant[Date],$A151)</f>
        <v/>
      </c>
      <c r="CV151" s="55">
        <f>IF($B151=$B150,$CV150,0)+$CU151</f>
        <v/>
      </c>
      <c r="CW151" s="55">
        <f>$CW150+$CU151</f>
        <v/>
      </c>
      <c r="CX151" s="55">
        <f>SUMIFS(tblPlant[Feed_oz],tblPlant[Date],$A151)</f>
        <v/>
      </c>
      <c r="CY151" s="55">
        <f>IF($B151=$B150,$CY150,0)+$CX151</f>
        <v/>
      </c>
      <c r="CZ151" s="55">
        <f>$CZ150+$CX151</f>
        <v/>
      </c>
      <c r="DA151" s="55">
        <f>SUMIFS(tblPlant[Tails_oz],tblPlant[Date],$A151)</f>
        <v/>
      </c>
      <c r="DB151" s="55">
        <f>IF($B151=$B150,$DB150,0)+$DA151</f>
        <v/>
      </c>
      <c r="DC151" s="55">
        <f>$DC150+$DA151</f>
        <v/>
      </c>
      <c r="DD151" s="55">
        <f>SUMIFS(tblPlant[Recovered_oz],tblPlant[Date],$A151)</f>
        <v/>
      </c>
      <c r="DE151" s="55">
        <f>IF($B151=$B150,$DE150,0)+$DD151</f>
        <v/>
      </c>
      <c r="DF151" s="55">
        <f>$DF150+$DD151</f>
        <v/>
      </c>
      <c r="DG151" s="55">
        <f>SUMIFS(tblPlant[Milled_t],tblPlant[Date],$A151,tblPlant[Head_Grade_gpt],"&lt;&gt;")</f>
        <v/>
      </c>
      <c r="DH151" s="55">
        <f>IF($B151=$B150,$DH150,0)+$DG151</f>
        <v/>
      </c>
      <c r="DI151" s="55">
        <f>$DI150+$DG151</f>
        <v/>
      </c>
      <c r="DJ151" s="55">
        <f>SUMIFS(tblPlant[Milled_t],tblPlant[Date],$A151,tblPlant[Tails_Grade_gpt],"&lt;&gt;")</f>
        <v/>
      </c>
      <c r="DK151" s="55">
        <f>IF($B151=$B150,$DK150,0)+$DJ151</f>
        <v/>
      </c>
      <c r="DL151" s="55">
        <f>$DL150+$DJ151</f>
        <v/>
      </c>
      <c r="DM151" s="55">
        <f>SUMIFS(tblPlant[Feed_oz],tblPlant[Date],$A151,tblPlant[Tails_Grade_gpt],"&lt;&gt;")</f>
        <v/>
      </c>
      <c r="DN151" s="55">
        <f>IF($B151=$B150,$DN150,0)+$DM151</f>
        <v/>
      </c>
      <c r="DO151" s="55">
        <f>$DO150+$DM151</f>
        <v/>
      </c>
      <c r="DP151" s="55">
        <f>SUMIFS(tblPlant[Milled_t],tblPlant[Date],$A151,tblPlant[Mill_Run_h],"&lt;&gt;")</f>
        <v/>
      </c>
      <c r="DQ151" s="55">
        <f>IF($B151=$B150,$DQ150,0)+$DP151</f>
        <v/>
      </c>
      <c r="DR151" s="55">
        <f>$DR150+$DP151</f>
        <v/>
      </c>
      <c r="DS151" s="56">
        <f>IFERROR(IF(($DG151)&gt;0,($CX151*cfg_TroyOz)/($DG151),""),"")</f>
        <v/>
      </c>
      <c r="DT151" s="56">
        <f>IFERROR(IF(($DH151)&gt;0,($CY151*cfg_TroyOz)/($DH151),""),"")</f>
        <v/>
      </c>
      <c r="DU151" s="56">
        <f>IFERROR(IF(($DI151)&gt;0,($CZ151*cfg_TroyOz)/($DI151),""),"")</f>
        <v/>
      </c>
      <c r="DV151" s="56">
        <f>IFERROR(IF(($DJ151)&gt;0,($DA151*cfg_TroyOz)/($DJ151),""),"")</f>
        <v/>
      </c>
      <c r="DW151" s="56">
        <f>IFERROR(IF(($DK151)&gt;0,($DB151*cfg_TroyOz)/($DK151),""),"")</f>
        <v/>
      </c>
      <c r="DX151" s="56">
        <f>IFERROR(IF(($DL151)&gt;0,($DC151*cfg_TroyOz)/($DL151),""),"")</f>
        <v/>
      </c>
      <c r="DY151" s="67">
        <f>IFERROR(IF(($DM151)&gt;0,($DD151)/($DM151),""),"")</f>
        <v/>
      </c>
      <c r="DZ151" s="67">
        <f>IFERROR(IF(($DN151)&gt;0,($DE151)/($DN151),""),"")</f>
        <v/>
      </c>
      <c r="EA151" s="67">
        <f>IFERROR(IF(($DO151)&gt;0,($DF151)/($DO151),""),"")</f>
        <v/>
      </c>
      <c r="EB151" s="55">
        <f>SUMIFS(tblPlant[Gravity_Gold_oz],tblPlant[Date],$A151)</f>
        <v/>
      </c>
      <c r="EC151" s="55">
        <f>IF($B151=$B150,$EC150,0)+$EB151</f>
        <v/>
      </c>
      <c r="ED151" s="55">
        <f>$ED150+$EB151</f>
        <v/>
      </c>
      <c r="EE151" s="67">
        <f>IFERROR(IF(($DD151)&gt;0,($EB151)/($DD151),""),"")</f>
        <v/>
      </c>
      <c r="EF151" s="67">
        <f>IFERROR(IF(($DE151)&gt;0,($EC151)/($DE151),""),"")</f>
        <v/>
      </c>
      <c r="EG151" s="67">
        <f>IFERROR(IF(($DF151)&gt;0,($ED151)/($DF151),""),"")</f>
        <v/>
      </c>
      <c r="EH151" s="55">
        <f>SUMIFS(tblPlant[Gold_Poured_oz],tblPlant[Date],$A151)</f>
        <v/>
      </c>
      <c r="EI151" s="55">
        <f>IF($B151=$B150,$EI150,0)+$EH151</f>
        <v/>
      </c>
      <c r="EJ151" s="55">
        <f>$EJ150+$EH151</f>
        <v/>
      </c>
      <c r="EK151" s="57">
        <f>SUMIFS(tblPlant[Mill_Run_h],tblPlant[Date],$A151)</f>
        <v/>
      </c>
      <c r="EL151" s="57">
        <f>IF($B151=$B150,$EL150,0)+$EK151</f>
        <v/>
      </c>
      <c r="EM151" s="57">
        <f>$EM150+$EK151</f>
        <v/>
      </c>
      <c r="EN151" s="57">
        <f>SUMIFS(tblPlant[Mill_Planned_Maint_h],tblPlant[Date],$A151)</f>
        <v/>
      </c>
      <c r="EO151" s="57">
        <f>IF($B151=$B150,$EO150,0)+$EN151</f>
        <v/>
      </c>
      <c r="EP151" s="57">
        <f>$EP150+$EN151</f>
        <v/>
      </c>
      <c r="EQ151" s="57">
        <f>SUMIFS(tblPlant[Mill_Unplanned_Down_h],tblPlant[Date],$A151)</f>
        <v/>
      </c>
      <c r="ER151" s="57">
        <f>IF($B151=$B150,$ER150,0)+$EQ151</f>
        <v/>
      </c>
      <c r="ES151" s="57">
        <f>$ES150+$EQ151</f>
        <v/>
      </c>
      <c r="ET151" s="57">
        <f>IF(COUNTIFS(tblPlant[Date],$A151,tblPlant[Mill_Run_h],"&lt;&gt;")+COUNTIFS(tblPlant[Date],$A151,tblPlant[Mill_Planned_Maint_h],"&lt;&gt;")+COUNTIFS(tblPlant[Date],$A151,tblPlant[Mill_Unplanned_Down_h],"&lt;&gt;")&gt;0,cfg_HoursPerDay,0)</f>
        <v/>
      </c>
      <c r="EU151" s="57">
        <f>IF($B151=$B150,$EU150,0)+$ET151</f>
        <v/>
      </c>
      <c r="EV151" s="57">
        <f>$EV150+$ET151</f>
        <v/>
      </c>
      <c r="EW151" s="57">
        <f>SUMIFS(tblPlant[Crusher_Run_h],tblPlant[Date],$A151)</f>
        <v/>
      </c>
      <c r="EX151" s="57">
        <f>IF($B151=$B150,$EX150,0)+$EW151</f>
        <v/>
      </c>
      <c r="EY151" s="57">
        <f>$EY150+$EW151</f>
        <v/>
      </c>
      <c r="EZ151" s="55">
        <f>IFERROR(IF(($EK151)&gt;0,($DP151)/($EK151),""),"")</f>
        <v/>
      </c>
      <c r="FA151" s="55">
        <f>IFERROR(IF(($EL151)&gt;0,($DQ151)/($EL151),""),"")</f>
        <v/>
      </c>
      <c r="FB151" s="55">
        <f>IFERROR(IF(($EM151)&gt;0,($DR151)/($EM151),""),"")</f>
        <v/>
      </c>
      <c r="FC151" s="67">
        <f>IFERROR(IF(($ET151)&gt;0,($ET151-$EN151-$EQ151)/($ET151),""),"")</f>
        <v/>
      </c>
      <c r="FD151" s="67">
        <f>IFERROR(IF(($EU151)&gt;0,($EU151-$EO151-$ER151)/($EU151),""),"")</f>
        <v/>
      </c>
      <c r="FE151" s="67">
        <f>IFERROR(IF(($EV151)&gt;0,($EV151-$EP151-$ES151)/($EV151),""),"")</f>
        <v/>
      </c>
      <c r="FF151" s="67">
        <f>IFERROR(IF(($ET151-$EN151-$EQ151)&gt;0,($EK151)/($ET151-$EN151-$EQ151),""),"")</f>
        <v/>
      </c>
      <c r="FG151" s="67">
        <f>IFERROR(IF(($EU151-$EO151-$ER151)&gt;0,($EL151)/($EU151-$EO151-$ER151),""),"")</f>
        <v/>
      </c>
      <c r="FH151" s="67">
        <f>IFERROR(IF(($EV151-$EP151-$ES151)&gt;0,($EM151)/($EV151-$EP151-$ES151),""),"")</f>
        <v/>
      </c>
      <c r="FI151" s="55">
        <f>SUMIFS(tblPlant[Cyanide_kg],tblPlant[Date],$A151)</f>
        <v/>
      </c>
      <c r="FJ151" s="55">
        <f>IF($B151=$B150,$FJ150,0)+$FI151</f>
        <v/>
      </c>
      <c r="FK151" s="55">
        <f>$FK150+$FI151</f>
        <v/>
      </c>
      <c r="FL151" s="55">
        <f>SUMIFS(tblPlant[Lime_kg],tblPlant[Date],$A151)</f>
        <v/>
      </c>
      <c r="FM151" s="55">
        <f>IF($B151=$B150,$FM150,0)+$FL151</f>
        <v/>
      </c>
      <c r="FN151" s="55">
        <f>$FN150+$FL151</f>
        <v/>
      </c>
      <c r="FO151" s="55">
        <f>SUMIFS(tblPlant[Grinding_Media_kg],tblPlant[Date],$A151)</f>
        <v/>
      </c>
      <c r="FP151" s="55">
        <f>IF($B151=$B150,$FP150,0)+$FO151</f>
        <v/>
      </c>
      <c r="FQ151" s="55">
        <f>$FQ150+$FO151</f>
        <v/>
      </c>
      <c r="FR151" s="55">
        <f>SUMIFS(tblPlant[Power_kWh],tblPlant[Date],$A151)</f>
        <v/>
      </c>
      <c r="FS151" s="55">
        <f>IF($B151=$B150,$FS150,0)+$FR151</f>
        <v/>
      </c>
      <c r="FT151" s="55">
        <f>$FT150+$FR151</f>
        <v/>
      </c>
      <c r="FU151" s="55">
        <f>SUMIFS(tblPlant[Raw_Water_m3],tblPlant[Date],$A151)</f>
        <v/>
      </c>
      <c r="FV151" s="55">
        <f>IF($B151=$B150,$FV150,0)+$FU151</f>
        <v/>
      </c>
      <c r="FW151" s="55">
        <f>$FW150+$FU151</f>
        <v/>
      </c>
      <c r="FX151" s="56">
        <f>IFERROR(IF(($CU151)&gt;0,($FI151)/($CU151),""),"")</f>
        <v/>
      </c>
      <c r="FY151" s="56">
        <f>IFERROR(IF(($CV151)&gt;0,($FJ151)/($CV151),""),"")</f>
        <v/>
      </c>
      <c r="FZ151" s="56">
        <f>IFERROR(IF(($CW151)&gt;0,($FK151)/($CW151),""),"")</f>
        <v/>
      </c>
      <c r="GA151" s="56">
        <f>IFERROR(IF(($CU151)&gt;0,($FL151)/($CU151),""),"")</f>
        <v/>
      </c>
      <c r="GB151" s="56">
        <f>IFERROR(IF(($CV151)&gt;0,($FM151)/($CV151),""),"")</f>
        <v/>
      </c>
      <c r="GC151" s="56">
        <f>IFERROR(IF(($CW151)&gt;0,($FN151)/($CW151),""),"")</f>
        <v/>
      </c>
      <c r="GD151" s="56">
        <f>IFERROR(IF(($CU151)&gt;0,($FO151)/($CU151),""),"")</f>
        <v/>
      </c>
      <c r="GE151" s="56">
        <f>IFERROR(IF(($CV151)&gt;0,($FP151)/($CV151),""),"")</f>
        <v/>
      </c>
      <c r="GF151" s="56">
        <f>IFERROR(IF(($CW151)&gt;0,($FQ151)/($CW151),""),"")</f>
        <v/>
      </c>
      <c r="GG151" s="79">
        <f>IFERROR(IF(($CU151)&gt;0,($FR151)/($CU151),""),"")</f>
        <v/>
      </c>
      <c r="GH151" s="79">
        <f>IFERROR(IF(($CV151)&gt;0,($FS151)/($CV151),""),"")</f>
        <v/>
      </c>
      <c r="GI151" s="79">
        <f>IFERROR(IF(($CW151)&gt;0,($FT151)/($CW151),""),"")</f>
        <v/>
      </c>
      <c r="GJ151" s="56">
        <f>IFERROR(IF(($CU151)&gt;0,($FU151)/($CU151),""),"")</f>
        <v/>
      </c>
      <c r="GK151" s="56">
        <f>IFERROR(IF(($CV151)&gt;0,($FV151)/($CV151),""),"")</f>
        <v/>
      </c>
      <c r="GL151" s="56">
        <f>IFERROR(IF(($CW151)&gt;0,($FW151)/($CW151),""),"")</f>
        <v/>
      </c>
      <c r="GM151" s="55">
        <f>IF(SUMIFS(tblPlant[GIC_oz],tblPlant[Date],$A151)&gt;0,SUMIFS(tblPlant[GIC_oz],tblPlant[Date],$A151),"")</f>
        <v/>
      </c>
      <c r="GN151" s="55">
        <f>SUMIFS(tblGold[Gold_oz],tblGold[Date],$A151,tblGold[Type],"Shipment")</f>
        <v/>
      </c>
      <c r="GO151" s="55">
        <f>IF($B151=$B150,$GO150,0)+$GN151</f>
        <v/>
      </c>
      <c r="GP151" s="55">
        <f>$GP150+$GN151</f>
        <v/>
      </c>
      <c r="GQ151" s="55">
        <f>SUMIFS(tblGold[Gold_oz],tblGold[Date],$A151,tblGold[Type],"Sale")</f>
        <v/>
      </c>
      <c r="GR151" s="55">
        <f>IF($B151=$B150,$GR150,0)+$GQ151</f>
        <v/>
      </c>
      <c r="GS151" s="55">
        <f>$GS150+$GQ151</f>
        <v/>
      </c>
      <c r="GT151" s="55">
        <f>SUMIFS(tblGold[Dore_kg],tblGold[Date],$A151,tblGold[Type],"Shipment")</f>
        <v/>
      </c>
      <c r="GU151" s="55">
        <f>IF($B151=$B150,$GU150,0)+$GT151</f>
        <v/>
      </c>
      <c r="GV151" s="55">
        <f>$GV150+$GT151</f>
        <v/>
      </c>
      <c r="GW151" s="57">
        <f>SUMIFS(tblSafety[Hours_Total],tblSafety[Date],$A151)</f>
        <v/>
      </c>
      <c r="GX151" s="57">
        <f>IF($B151=$B150,$GX150,0)+$GW151</f>
        <v/>
      </c>
      <c r="GY151" s="57">
        <f>$GY150+$GW151</f>
        <v/>
      </c>
      <c r="GZ151" s="62">
        <f>SUMIFS(tblSafety[Fatality],tblSafety[Date],$A151)</f>
        <v/>
      </c>
      <c r="HA151" s="62">
        <f>IF($B151=$B150,$HA150,0)+$GZ151</f>
        <v/>
      </c>
      <c r="HB151" s="62">
        <f>$HB150+$GZ151</f>
        <v/>
      </c>
      <c r="HC151" s="62">
        <f>SUMIFS(tblSafety[LTI],tblSafety[Date],$A151)</f>
        <v/>
      </c>
      <c r="HD151" s="62">
        <f>IF($B151=$B150,$HD150,0)+$HC151</f>
        <v/>
      </c>
      <c r="HE151" s="62">
        <f>$HE150+$HC151</f>
        <v/>
      </c>
      <c r="HF151" s="62">
        <f>SUMIFS(tblSafety[RWI],tblSafety[Date],$A151)</f>
        <v/>
      </c>
      <c r="HG151" s="62">
        <f>IF($B151=$B150,$HG150,0)+$HF151</f>
        <v/>
      </c>
      <c r="HH151" s="62">
        <f>$HH150+$HF151</f>
        <v/>
      </c>
      <c r="HI151" s="62">
        <f>SUMIFS(tblSafety[MTI],tblSafety[Date],$A151)</f>
        <v/>
      </c>
      <c r="HJ151" s="62">
        <f>IF($B151=$B150,$HJ150,0)+$HI151</f>
        <v/>
      </c>
      <c r="HK151" s="62">
        <f>$HK150+$HI151</f>
        <v/>
      </c>
      <c r="HL151" s="62">
        <f>SUMIFS(tblSafety[FAI],tblSafety[Date],$A151)</f>
        <v/>
      </c>
      <c r="HM151" s="62">
        <f>IF($B151=$B150,$HM150,0)+$HL151</f>
        <v/>
      </c>
      <c r="HN151" s="62">
        <f>$HN150+$HL151</f>
        <v/>
      </c>
      <c r="HO151" s="62">
        <f>SUMIFS(tblSafety[Recordables],tblSafety[Date],$A151)</f>
        <v/>
      </c>
      <c r="HP151" s="62">
        <f>IF($B151=$B150,$HP150,0)+$HO151</f>
        <v/>
      </c>
      <c r="HQ151" s="62">
        <f>$HQ150+$HO151</f>
        <v/>
      </c>
      <c r="HR151" s="62">
        <f>SUMIFS(tblSafety[Near_Miss],tblSafety[Date],$A151)</f>
        <v/>
      </c>
      <c r="HS151" s="62">
        <f>IF($B151=$B150,$HS150,0)+$HR151</f>
        <v/>
      </c>
      <c r="HT151" s="62">
        <f>$HT150+$HR151</f>
        <v/>
      </c>
      <c r="HU151" s="62">
        <f>SUMIFS(tblSafety[Hazard_Reports],tblSafety[Date],$A151)</f>
        <v/>
      </c>
      <c r="HV151" s="62">
        <f>IF($B151=$B150,$HV150,0)+$HU151</f>
        <v/>
      </c>
      <c r="HW151" s="62">
        <f>$HW150+$HU151</f>
        <v/>
      </c>
      <c r="HX151" s="62">
        <f>SUMIFS(tblSafety[HPI],tblSafety[Date],$A151)</f>
        <v/>
      </c>
      <c r="HY151" s="62">
        <f>IF($B151=$B150,$HY150,0)+$HX151</f>
        <v/>
      </c>
      <c r="HZ151" s="62">
        <f>$HZ150+$HX151</f>
        <v/>
      </c>
      <c r="IA151" s="62">
        <f>SUMIFS(tblSafety[Env_Incidents],tblSafety[Date],$A151)</f>
        <v/>
      </c>
      <c r="IB151" s="62">
        <f>IF($B151=$B150,$IB150,0)+$IA151</f>
        <v/>
      </c>
      <c r="IC151" s="62">
        <f>$IC150+$IA151</f>
        <v/>
      </c>
      <c r="ID151" s="62">
        <f>SUMIFS(tblSafety[Community_Incidents],tblSafety[Date],$A151)</f>
        <v/>
      </c>
      <c r="IE151" s="62">
        <f>IF($B151=$B150,$IE150,0)+$ID151</f>
        <v/>
      </c>
      <c r="IF151" s="62">
        <f>$IF150+$ID151</f>
        <v/>
      </c>
      <c r="IG151" s="62">
        <f>SUMIFS(tblSafety[Vehicle_Incidents],tblSafety[Date],$A151)</f>
        <v/>
      </c>
      <c r="IH151" s="62">
        <f>IF($B151=$B150,$IH150,0)+$IG151</f>
        <v/>
      </c>
      <c r="II151" s="62">
        <f>$II150+$IG151</f>
        <v/>
      </c>
      <c r="IJ151" s="62">
        <f>SUMIFS(tblSafety[Toolbox_Talks],tblSafety[Date],$A151)</f>
        <v/>
      </c>
      <c r="IK151" s="62">
        <f>IF($B151=$B150,$IK150,0)+$IJ151</f>
        <v/>
      </c>
      <c r="IL151" s="62">
        <f>$IL150+$IJ151</f>
        <v/>
      </c>
      <c r="IM151" s="62">
        <f>SUMIFS(tblSafety[Inspections],tblSafety[Date],$A151)</f>
        <v/>
      </c>
      <c r="IN151" s="62">
        <f>IF($B151=$B150,$IN150,0)+$IM151</f>
        <v/>
      </c>
      <c r="IO151" s="62">
        <f>$IO150+$IM151</f>
        <v/>
      </c>
      <c r="IP151" s="56">
        <f>IFERROR((SUMIFS(tblSafety[Recordables],tblSafety[Date],"&gt;="&amp;EDATE($E151,-12),tblSafety[Date],"&lt;="&amp;$A151)+SUMIFS(tblSafetyHistory[Recordables],tblSafetyHistory[Month],"&gt;="&amp;EDATE($E151,-12),tblSafetyHistory[Month],"&lt;"&amp;$E151,tblSafetyHistory[Use],1))/(SUMIFS(tblSafety[Hours_Total],tblSafety[Date],"&gt;="&amp;EDATE($E151,-12),tblSafety[Date],"&lt;="&amp;$A151)+SUMIFS(tblSafetyHistory[Hours_Total],tblSafetyHistory[Month],"&gt;="&amp;EDATE($E151,-12),tblSafetyHistory[Month],"&lt;"&amp;$E151,tblSafetyHistory[Use],1))*cfg_RateBasisHours,"")</f>
        <v/>
      </c>
      <c r="IQ151" s="56">
        <f>IFERROR((SUMIFS(tblSafety[LTI],tblSafety[Date],"&gt;="&amp;EDATE($E151,-12),tblSafety[Date],"&lt;="&amp;$A151)+SUMIFS(tblSafetyHistory[LTI],tblSafetyHistory[Month],"&gt;="&amp;EDATE($E151,-12),tblSafetyHistory[Month],"&lt;"&amp;$E151,tblSafetyHistory[Use],1))/(SUMIFS(tblSafety[Hours_Total],tblSafety[Date],"&gt;="&amp;EDATE($E151,-12),tblSafety[Date],"&lt;="&amp;$A151)+SUMIFS(tblSafetyHistory[Hours_Total],tblSafetyHistory[Month],"&gt;="&amp;EDATE($E151,-12),tblSafetyHistory[Month],"&lt;"&amp;$E151,tblSafetyHistory[Use],1))*cfg_RateBasisHours,"")</f>
        <v/>
      </c>
      <c r="IR151" s="62">
        <f>IF(MAX(N(cfg_PriorLTIDate),_xlfn.MAXIFS(tblSafety[Date],tblSafety[LTI],"&gt;0",tblSafety[Date],"&lt;="&amp;$A151))=0,"",$A151-MAX(N(cfg_PriorLTIDate),_xlfn.MAXIFS(tblSafety[Date],tblSafety[LTI],"&gt;0",tblSafety[Date],"&lt;="&amp;$A151)))</f>
        <v/>
      </c>
      <c r="IS151" s="55">
        <f>SUMIFS(tblBudget[Ore_Mined_t],tblBudget[Month],$E151)</f>
        <v/>
      </c>
      <c r="IT151" s="55">
        <f>$IS151*$C151/$D151</f>
        <v/>
      </c>
      <c r="IU151" s="55">
        <f>SUMIFS(tblBudget[Ore_Mined_t],tblBudget[Month],"&lt;"&amp;$E151)+$IT151</f>
        <v/>
      </c>
      <c r="IV151" s="55">
        <f>SUMIFS(tblBudget[Ore_oz],tblBudget[Month],$E151)</f>
        <v/>
      </c>
      <c r="IW151" s="55">
        <f>$IV151*$C151/$D151</f>
        <v/>
      </c>
      <c r="IX151" s="55">
        <f>SUMIFS(tblBudget[Ore_oz],tblBudget[Month],"&lt;"&amp;$E151)+$IW151</f>
        <v/>
      </c>
      <c r="IY151" s="55">
        <f>SUMIFS(tblBudget[Ore_Mined_t],tblBudget[Month],$E151)</f>
        <v/>
      </c>
      <c r="IZ151" s="55">
        <f>$IY151*$C151/$D151</f>
        <v/>
      </c>
      <c r="JA151" s="55">
        <f>SUMIFS(tblBudget[Ore_Mined_t],tblBudget[Month],"&lt;"&amp;$E151)+$IZ151</f>
        <v/>
      </c>
      <c r="JB151" s="56">
        <f>IFERROR(IF(($IY151)&gt;0,($IV151*cfg_TroyOz)/($IY151),""),"")</f>
        <v/>
      </c>
      <c r="JC151" s="56">
        <f>IFERROR(IF(($IZ151)&gt;0,($IW151*cfg_TroyOz)/($IZ151),""),"")</f>
        <v/>
      </c>
      <c r="JD151" s="56">
        <f>IFERROR(IF(($JA151)&gt;0,($IX151*cfg_TroyOz)/($JA151),""),"")</f>
        <v/>
      </c>
      <c r="JE151" s="55">
        <f>SUMIFS(tblBudget[Waste_t],tblBudget[Month],$E151)</f>
        <v/>
      </c>
      <c r="JF151" s="55">
        <f>$JE151*$C151/$D151</f>
        <v/>
      </c>
      <c r="JG151" s="55">
        <f>SUMIFS(tblBudget[Waste_t],tblBudget[Month],"&lt;"&amp;$E151)+$JF151</f>
        <v/>
      </c>
      <c r="JH151" s="55">
        <f>SUMIFS(tblBudget[TMM_t],tblBudget[Month],$E151)</f>
        <v/>
      </c>
      <c r="JI151" s="55">
        <f>$JH151*$C151/$D151</f>
        <v/>
      </c>
      <c r="JJ151" s="55">
        <f>SUMIFS(tblBudget[TMM_t],tblBudget[Month],"&lt;"&amp;$E151)+$JI151</f>
        <v/>
      </c>
      <c r="JK151" s="56">
        <f>IFERROR(IF(($IS151)&gt;0,($JE151)/($IS151),""),"")</f>
        <v/>
      </c>
      <c r="JL151" s="56">
        <f>IFERROR(IF(($IT151)&gt;0,($JF151)/($IT151),""),"")</f>
        <v/>
      </c>
      <c r="JM151" s="56">
        <f>IFERROR(IF(($IU151)&gt;0,($JG151)/($IU151),""),"")</f>
        <v/>
      </c>
      <c r="JN151" s="55">
        <f>SUMIFS(tblBudget[Drill_m],tblBudget[Month],$E151)</f>
        <v/>
      </c>
      <c r="JO151" s="55">
        <f>$JN151*$C151/$D151</f>
        <v/>
      </c>
      <c r="JP151" s="55">
        <f>SUMIFS(tblBudget[Drill_m],tblBudget[Month],"&lt;"&amp;$E151)+$JO151</f>
        <v/>
      </c>
      <c r="JQ151" s="55">
        <f>SUMIFS(tblBudget[Diesel_L],tblBudget[Month],$E151)</f>
        <v/>
      </c>
      <c r="JR151" s="55">
        <f>$JQ151*$C151/$D151</f>
        <v/>
      </c>
      <c r="JS151" s="55">
        <f>SUMIFS(tblBudget[Diesel_L],tblBudget[Month],"&lt;"&amp;$E151)+$JR151</f>
        <v/>
      </c>
      <c r="JT151" s="55">
        <f>SUMIFS(tblBudget[Milled_t],tblBudget[Month],$E151)</f>
        <v/>
      </c>
      <c r="JU151" s="55">
        <f>$JT151*$C151/$D151</f>
        <v/>
      </c>
      <c r="JV151" s="55">
        <f>SUMIFS(tblBudget[Milled_t],tblBudget[Month],"&lt;"&amp;$E151)+$JU151</f>
        <v/>
      </c>
      <c r="JW151" s="55">
        <f>SUMIFS(tblBudget[Feed_oz],tblBudget[Month],$E151)</f>
        <v/>
      </c>
      <c r="JX151" s="55">
        <f>$JW151*$C151/$D151</f>
        <v/>
      </c>
      <c r="JY151" s="55">
        <f>SUMIFS(tblBudget[Feed_oz],tblBudget[Month],"&lt;"&amp;$E151)+$JX151</f>
        <v/>
      </c>
      <c r="JZ151" s="55">
        <f>SUMIFS(tblBudget[Recovered_oz],tblBudget[Month],$E151)</f>
        <v/>
      </c>
      <c r="KA151" s="55">
        <f>$JZ151*$C151/$D151</f>
        <v/>
      </c>
      <c r="KB151" s="55">
        <f>SUMIFS(tblBudget[Recovered_oz],tblBudget[Month],"&lt;"&amp;$E151)+$KA151</f>
        <v/>
      </c>
      <c r="KC151" s="55">
        <f>SUMIFS(tblBudget[Milled_t],tblBudget[Month],$E151)</f>
        <v/>
      </c>
      <c r="KD151" s="55">
        <f>$KC151*$C151/$D151</f>
        <v/>
      </c>
      <c r="KE151" s="55">
        <f>SUMIFS(tblBudget[Milled_t],tblBudget[Month],"&lt;"&amp;$E151)+$KD151</f>
        <v/>
      </c>
      <c r="KF151" s="55">
        <f>SUMIFS(tblBudget[Feed_oz],tblBudget[Month],$E151)</f>
        <v/>
      </c>
      <c r="KG151" s="55">
        <f>$KF151*$C151/$D151</f>
        <v/>
      </c>
      <c r="KH151" s="55">
        <f>SUMIFS(tblBudget[Feed_oz],tblBudget[Month],"&lt;"&amp;$E151)+$KG151</f>
        <v/>
      </c>
      <c r="KI151" s="56">
        <f>IFERROR(IF(($KC151)&gt;0,($JW151*cfg_TroyOz)/($KC151),""),"")</f>
        <v/>
      </c>
      <c r="KJ151" s="56">
        <f>IFERROR(IF(($KD151)&gt;0,($JX151*cfg_TroyOz)/($KD151),""),"")</f>
        <v/>
      </c>
      <c r="KK151" s="56">
        <f>IFERROR(IF(($KE151)&gt;0,($JY151*cfg_TroyOz)/($KE151),""),"")</f>
        <v/>
      </c>
      <c r="KL151" s="67">
        <f>IFERROR(IF(($KF151)&gt;0,($JZ151)/($KF151),""),"")</f>
        <v/>
      </c>
      <c r="KM151" s="67">
        <f>IFERROR(IF(($KG151)&gt;0,($KA151)/($KG151),""),"")</f>
        <v/>
      </c>
      <c r="KN151" s="67">
        <f>IFERROR(IF(($KH151)&gt;0,($KB151)/($KH151),""),"")</f>
        <v/>
      </c>
      <c r="KO151" s="55">
        <f>SUMIFS(tblBudget[Gold_Poured_oz],tblBudget[Month],$E151)</f>
        <v/>
      </c>
      <c r="KP151" s="55">
        <f>$KO151*$C151/$D151</f>
        <v/>
      </c>
      <c r="KQ151" s="55">
        <f>SUMIFS(tblBudget[Gold_Poured_oz],tblBudget[Month],"&lt;"&amp;$E151)+$KP151</f>
        <v/>
      </c>
      <c r="KR151" s="57">
        <f>SUMIFS(tblBudget[Hours_Worked],tblBudget[Month],$E151)</f>
        <v/>
      </c>
      <c r="KS151" s="57">
        <f>$KR151*$C151/$D151</f>
        <v/>
      </c>
      <c r="KT151" s="57">
        <f>SUMIFS(tblBudget[Hours_Worked],tblBudget[Month],"&lt;"&amp;$E151)+$KS151</f>
        <v/>
      </c>
    </row>
    <row r="152">
      <c r="A152" s="54" t="n">
        <v>46173</v>
      </c>
      <c r="B152">
        <f>MONTH($A152)</f>
        <v/>
      </c>
      <c r="C152">
        <f>DAY($A152)</f>
        <v/>
      </c>
      <c r="D152">
        <f>DAY(EOMONTH($A152,0))</f>
        <v/>
      </c>
      <c r="E152" s="54">
        <f>DATE(YEAR($A152),MONTH($A152),1)</f>
        <v/>
      </c>
      <c r="F152" s="55">
        <f>SUMIFS(tblMovement[Tonnes_t],tblMovement[Date],$A152,tblMovement[Is_Ore],1,tblMovement[Source_Type],"Pit")</f>
        <v/>
      </c>
      <c r="G152" s="55">
        <f>IF($B152=$B151,$G151,0)+$F152</f>
        <v/>
      </c>
      <c r="H152" s="55">
        <f>$H151+$F152</f>
        <v/>
      </c>
      <c r="I152" s="55">
        <f>SUMIFS(tblMovement[Ore_oz],tblMovement[Date],$A152,tblMovement[Source_Type],"Pit")</f>
        <v/>
      </c>
      <c r="J152" s="55">
        <f>IF($B152=$B151,$J151,0)+$I152</f>
        <v/>
      </c>
      <c r="K152" s="55">
        <f>$K151+$I152</f>
        <v/>
      </c>
      <c r="L152" s="55">
        <f>SUMIFS(tblMovement[Tonnes_t],tblMovement[Date],$A152,tblMovement[Is_Ore],1,tblMovement[Source_Type],"Pit",tblMovement[Grade_gpt],"&lt;&gt;")</f>
        <v/>
      </c>
      <c r="M152" s="55">
        <f>IF($B152=$B151,$M151,0)+$L152</f>
        <v/>
      </c>
      <c r="N152" s="55">
        <f>$N151+$L152</f>
        <v/>
      </c>
      <c r="O152" s="56">
        <f>IFERROR(IF(($L152)&gt;0,($I152*cfg_TroyOz)/($L152),""),"")</f>
        <v/>
      </c>
      <c r="P152" s="56">
        <f>IFERROR(IF(($M152)&gt;0,($J152*cfg_TroyOz)/($M152),""),"")</f>
        <v/>
      </c>
      <c r="Q152" s="56">
        <f>IFERROR(IF(($N152)&gt;0,($K152*cfg_TroyOz)/($N152),""),"")</f>
        <v/>
      </c>
      <c r="R152" s="55">
        <f>$F152-$L152</f>
        <v/>
      </c>
      <c r="S152" s="55">
        <f>IF($B152=$B151,$S151,0)+$R152</f>
        <v/>
      </c>
      <c r="T152" s="55">
        <f>$T151+$R152</f>
        <v/>
      </c>
      <c r="U152" s="55">
        <f>SUMIFS(tblMovement[Tonnes_t],tblMovement[Date],$A152,tblMovement[Is_Ore],0,tblMovement[Source_Type],"Pit")</f>
        <v/>
      </c>
      <c r="V152" s="55">
        <f>IF($B152=$B151,$V151,0)+$U152</f>
        <v/>
      </c>
      <c r="W152" s="55">
        <f>$W151+$U152</f>
        <v/>
      </c>
      <c r="X152" s="55">
        <f>$F152+$U152</f>
        <v/>
      </c>
      <c r="Y152" s="55">
        <f>IF($B152=$B151,$Y151,0)+$X152</f>
        <v/>
      </c>
      <c r="Z152" s="55">
        <f>$Z151+$X152</f>
        <v/>
      </c>
      <c r="AA152" s="56">
        <f>IFERROR(IF(($F152)&gt;0,($U152)/($F152),""),"")</f>
        <v/>
      </c>
      <c r="AB152" s="56">
        <f>IFERROR(IF(($G152)&gt;0,($V152)/($G152),""),"")</f>
        <v/>
      </c>
      <c r="AC152" s="56">
        <f>IFERROR(IF(($H152)&gt;0,($W152)/($H152),""),"")</f>
        <v/>
      </c>
      <c r="AD152" s="55">
        <f>SUMIFS(tblMovement[Tonnes_t],tblMovement[Date],$A152,tblMovement[Source_Type],"Stockpile")</f>
        <v/>
      </c>
      <c r="AE152" s="55">
        <f>IF($B152=$B151,$AE151,0)+$AD152</f>
        <v/>
      </c>
      <c r="AF152" s="55">
        <f>$AF151+$AD152</f>
        <v/>
      </c>
      <c r="AG152" s="55">
        <f>SUMIFS(tblMovement[Tonnes_t],tblMovement[Date],$A152)</f>
        <v/>
      </c>
      <c r="AH152" s="55">
        <f>IF($B152=$B151,$AH151,0)+$AG152</f>
        <v/>
      </c>
      <c r="AI152" s="55">
        <f>$AI151+$AG152</f>
        <v/>
      </c>
      <c r="AJ152" s="55">
        <f>$AG152-$X152-$AD152</f>
        <v/>
      </c>
      <c r="AK152" s="55">
        <f>IF($B152=$B151,$AK151,0)+$AJ152</f>
        <v/>
      </c>
      <c r="AL152" s="55">
        <f>$AL151+$AJ152</f>
        <v/>
      </c>
      <c r="AM152" s="55">
        <f>SUMIFS(tblMiningDaily[Drill_m],tblMiningDaily[Date],$A152)</f>
        <v/>
      </c>
      <c r="AN152" s="55">
        <f>IF($B152=$B151,$AN151,0)+$AM152</f>
        <v/>
      </c>
      <c r="AO152" s="55">
        <f>$AO151+$AM152</f>
        <v/>
      </c>
      <c r="AP152" s="55">
        <f>SUMIFS(tblMiningDaily[GC_Drill_m],tblMiningDaily[Date],$A152)</f>
        <v/>
      </c>
      <c r="AQ152" s="55">
        <f>IF($B152=$B151,$AQ151,0)+$AP152</f>
        <v/>
      </c>
      <c r="AR152" s="55">
        <f>$AR151+$AP152</f>
        <v/>
      </c>
      <c r="AS152" s="55">
        <f>SUMIFS(tblMiningDaily[Blast_t],tblMiningDaily[Date],$A152)</f>
        <v/>
      </c>
      <c r="AT152" s="55">
        <f>IF($B152=$B151,$AT151,0)+$AS152</f>
        <v/>
      </c>
      <c r="AU152" s="55">
        <f>$AU151+$AS152</f>
        <v/>
      </c>
      <c r="AV152" s="55">
        <f>SUMIFS(tblMiningDaily[Explosives_kg],tblMiningDaily[Date],$A152)</f>
        <v/>
      </c>
      <c r="AW152" s="55">
        <f>IF($B152=$B151,$AW151,0)+$AV152</f>
        <v/>
      </c>
      <c r="AX152" s="55">
        <f>$AX151+$AV152</f>
        <v/>
      </c>
      <c r="AY152" s="56">
        <f>IFERROR(IF(($AS152)&gt;0,($AV152)/($AS152),""),"")</f>
        <v/>
      </c>
      <c r="AZ152" s="56">
        <f>IFERROR(IF(($AT152)&gt;0,($AW152)/($AT152),""),"")</f>
        <v/>
      </c>
      <c r="BA152" s="56">
        <f>IFERROR(IF(($AU152)&gt;0,($AX152)/($AU152),""),"")</f>
        <v/>
      </c>
      <c r="BB152" s="55">
        <f>SUMIFS(tblMiningDaily[Diesel_L],tblMiningDaily[Date],$A152)</f>
        <v/>
      </c>
      <c r="BC152" s="55">
        <f>IF($B152=$B151,$BC151,0)+$BB152</f>
        <v/>
      </c>
      <c r="BD152" s="55">
        <f>$BD151+$BB152</f>
        <v/>
      </c>
      <c r="BE152" s="55">
        <f>SUMIFS(tblMiningDaily[Dewatering_m3],tblMiningDaily[Date],$A152)</f>
        <v/>
      </c>
      <c r="BF152" s="55">
        <f>IF($B152=$B151,$BF151,0)+$BE152</f>
        <v/>
      </c>
      <c r="BG152" s="55">
        <f>$BG151+$BE152</f>
        <v/>
      </c>
      <c r="BH152" s="57">
        <f>SUMIFS(tblFleet[Calendar_h],tblFleet[Date],$A152,tblFleet[Equipment_Class],"Excavator")</f>
        <v/>
      </c>
      <c r="BI152" s="57">
        <f>IF($B152=$B151,$BI151,0)+$BH152</f>
        <v/>
      </c>
      <c r="BJ152" s="57">
        <f>$BJ151+$BH152</f>
        <v/>
      </c>
      <c r="BK152" s="57">
        <f>SUMIFS(tblFleet[Available_h],tblFleet[Date],$A152,tblFleet[Equipment_Class],"Excavator")</f>
        <v/>
      </c>
      <c r="BL152" s="57">
        <f>IF($B152=$B151,$BL151,0)+$BK152</f>
        <v/>
      </c>
      <c r="BM152" s="57">
        <f>$BM151+$BK152</f>
        <v/>
      </c>
      <c r="BN152" s="57">
        <f>SUMIFS(tblFleet[Operating_h],tblFleet[Date],$A152,tblFleet[Equipment_Class],"Excavator")</f>
        <v/>
      </c>
      <c r="BO152" s="57">
        <f>IF($B152=$B151,$BO151,0)+$BN152</f>
        <v/>
      </c>
      <c r="BP152" s="57">
        <f>$BP151+$BN152</f>
        <v/>
      </c>
      <c r="BQ152" s="67">
        <f>IFERROR(IF(($BH152)&gt;0,($BK152)/($BH152),""),"")</f>
        <v/>
      </c>
      <c r="BR152" s="67">
        <f>IFERROR(IF(($BI152)&gt;0,($BL152)/($BI152),""),"")</f>
        <v/>
      </c>
      <c r="BS152" s="67">
        <f>IFERROR(IF(($BJ152)&gt;0,($BM152)/($BJ152),""),"")</f>
        <v/>
      </c>
      <c r="BT152" s="67">
        <f>IFERROR(IF(($BK152)&gt;0,($BN152)/($BK152),""),"")</f>
        <v/>
      </c>
      <c r="BU152" s="67">
        <f>IFERROR(IF(($BL152)&gt;0,($BO152)/($BL152),""),"")</f>
        <v/>
      </c>
      <c r="BV152" s="67">
        <f>IFERROR(IF(($BM152)&gt;0,($BP152)/($BM152),""),"")</f>
        <v/>
      </c>
      <c r="BW152" s="57">
        <f>SUMIFS(tblFleet[Calendar_h],tblFleet[Date],$A152,tblFleet[Equipment_Class],"Haul Truck")</f>
        <v/>
      </c>
      <c r="BX152" s="57">
        <f>IF($B152=$B151,$BX151,0)+$BW152</f>
        <v/>
      </c>
      <c r="BY152" s="57">
        <f>$BY151+$BW152</f>
        <v/>
      </c>
      <c r="BZ152" s="57">
        <f>SUMIFS(tblFleet[Available_h],tblFleet[Date],$A152,tblFleet[Equipment_Class],"Haul Truck")</f>
        <v/>
      </c>
      <c r="CA152" s="57">
        <f>IF($B152=$B151,$CA151,0)+$BZ152</f>
        <v/>
      </c>
      <c r="CB152" s="57">
        <f>$CB151+$BZ152</f>
        <v/>
      </c>
      <c r="CC152" s="57">
        <f>SUMIFS(tblFleet[Operating_h],tblFleet[Date],$A152,tblFleet[Equipment_Class],"Haul Truck")</f>
        <v/>
      </c>
      <c r="CD152" s="57">
        <f>IF($B152=$B151,$CD151,0)+$CC152</f>
        <v/>
      </c>
      <c r="CE152" s="57">
        <f>$CE151+$CC152</f>
        <v/>
      </c>
      <c r="CF152" s="67">
        <f>IFERROR(IF(($BW152)&gt;0,($BZ152)/($BW152),""),"")</f>
        <v/>
      </c>
      <c r="CG152" s="67">
        <f>IFERROR(IF(($BX152)&gt;0,($CA152)/($BX152),""),"")</f>
        <v/>
      </c>
      <c r="CH152" s="67">
        <f>IFERROR(IF(($BY152)&gt;0,($CB152)/($BY152),""),"")</f>
        <v/>
      </c>
      <c r="CI152" s="67">
        <f>IFERROR(IF(($BZ152)&gt;0,($CC152)/($BZ152),""),"")</f>
        <v/>
      </c>
      <c r="CJ152" s="67">
        <f>IFERROR(IF(($CA152)&gt;0,($CD152)/($CA152),""),"")</f>
        <v/>
      </c>
      <c r="CK152" s="67">
        <f>IFERROR(IF(($CB152)&gt;0,($CE152)/($CB152),""),"")</f>
        <v/>
      </c>
      <c r="CL152" s="55">
        <f>IFERROR(IF(($BN152)&gt;0,($X152+$AD152)/($BN152),""),"")</f>
        <v/>
      </c>
      <c r="CM152" s="55">
        <f>IFERROR(IF(($BO152)&gt;0,($Y152+$AE152)/($BO152),""),"")</f>
        <v/>
      </c>
      <c r="CN152" s="55">
        <f>IFERROR(IF(($BP152)&gt;0,($Z152+$AF152)/($BP152),""),"")</f>
        <v/>
      </c>
      <c r="CO152" s="55">
        <f>IFERROR(IF(($CC152)&gt;0,($X152+$AD152)/($CC152),""),"")</f>
        <v/>
      </c>
      <c r="CP152" s="55">
        <f>IFERROR(IF(($CD152)&gt;0,($Y152+$AE152)/($CD152),""),"")</f>
        <v/>
      </c>
      <c r="CQ152" s="55">
        <f>IFERROR(IF(($CE152)&gt;0,($Z152+$AF152)/($CE152),""),"")</f>
        <v/>
      </c>
      <c r="CR152" s="55">
        <f>SUMIFS(tblPlant[Crushed_t],tblPlant[Date],$A152)</f>
        <v/>
      </c>
      <c r="CS152" s="55">
        <f>IF($B152=$B151,$CS151,0)+$CR152</f>
        <v/>
      </c>
      <c r="CT152" s="55">
        <f>$CT151+$CR152</f>
        <v/>
      </c>
      <c r="CU152" s="55">
        <f>SUMIFS(tblPlant[Milled_t],tblPlant[Date],$A152)</f>
        <v/>
      </c>
      <c r="CV152" s="55">
        <f>IF($B152=$B151,$CV151,0)+$CU152</f>
        <v/>
      </c>
      <c r="CW152" s="55">
        <f>$CW151+$CU152</f>
        <v/>
      </c>
      <c r="CX152" s="55">
        <f>SUMIFS(tblPlant[Feed_oz],tblPlant[Date],$A152)</f>
        <v/>
      </c>
      <c r="CY152" s="55">
        <f>IF($B152=$B151,$CY151,0)+$CX152</f>
        <v/>
      </c>
      <c r="CZ152" s="55">
        <f>$CZ151+$CX152</f>
        <v/>
      </c>
      <c r="DA152" s="55">
        <f>SUMIFS(tblPlant[Tails_oz],tblPlant[Date],$A152)</f>
        <v/>
      </c>
      <c r="DB152" s="55">
        <f>IF($B152=$B151,$DB151,0)+$DA152</f>
        <v/>
      </c>
      <c r="DC152" s="55">
        <f>$DC151+$DA152</f>
        <v/>
      </c>
      <c r="DD152" s="55">
        <f>SUMIFS(tblPlant[Recovered_oz],tblPlant[Date],$A152)</f>
        <v/>
      </c>
      <c r="DE152" s="55">
        <f>IF($B152=$B151,$DE151,0)+$DD152</f>
        <v/>
      </c>
      <c r="DF152" s="55">
        <f>$DF151+$DD152</f>
        <v/>
      </c>
      <c r="DG152" s="55">
        <f>SUMIFS(tblPlant[Milled_t],tblPlant[Date],$A152,tblPlant[Head_Grade_gpt],"&lt;&gt;")</f>
        <v/>
      </c>
      <c r="DH152" s="55">
        <f>IF($B152=$B151,$DH151,0)+$DG152</f>
        <v/>
      </c>
      <c r="DI152" s="55">
        <f>$DI151+$DG152</f>
        <v/>
      </c>
      <c r="DJ152" s="55">
        <f>SUMIFS(tblPlant[Milled_t],tblPlant[Date],$A152,tblPlant[Tails_Grade_gpt],"&lt;&gt;")</f>
        <v/>
      </c>
      <c r="DK152" s="55">
        <f>IF($B152=$B151,$DK151,0)+$DJ152</f>
        <v/>
      </c>
      <c r="DL152" s="55">
        <f>$DL151+$DJ152</f>
        <v/>
      </c>
      <c r="DM152" s="55">
        <f>SUMIFS(tblPlant[Feed_oz],tblPlant[Date],$A152,tblPlant[Tails_Grade_gpt],"&lt;&gt;")</f>
        <v/>
      </c>
      <c r="DN152" s="55">
        <f>IF($B152=$B151,$DN151,0)+$DM152</f>
        <v/>
      </c>
      <c r="DO152" s="55">
        <f>$DO151+$DM152</f>
        <v/>
      </c>
      <c r="DP152" s="55">
        <f>SUMIFS(tblPlant[Milled_t],tblPlant[Date],$A152,tblPlant[Mill_Run_h],"&lt;&gt;")</f>
        <v/>
      </c>
      <c r="DQ152" s="55">
        <f>IF($B152=$B151,$DQ151,0)+$DP152</f>
        <v/>
      </c>
      <c r="DR152" s="55">
        <f>$DR151+$DP152</f>
        <v/>
      </c>
      <c r="DS152" s="56">
        <f>IFERROR(IF(($DG152)&gt;0,($CX152*cfg_TroyOz)/($DG152),""),"")</f>
        <v/>
      </c>
      <c r="DT152" s="56">
        <f>IFERROR(IF(($DH152)&gt;0,($CY152*cfg_TroyOz)/($DH152),""),"")</f>
        <v/>
      </c>
      <c r="DU152" s="56">
        <f>IFERROR(IF(($DI152)&gt;0,($CZ152*cfg_TroyOz)/($DI152),""),"")</f>
        <v/>
      </c>
      <c r="DV152" s="56">
        <f>IFERROR(IF(($DJ152)&gt;0,($DA152*cfg_TroyOz)/($DJ152),""),"")</f>
        <v/>
      </c>
      <c r="DW152" s="56">
        <f>IFERROR(IF(($DK152)&gt;0,($DB152*cfg_TroyOz)/($DK152),""),"")</f>
        <v/>
      </c>
      <c r="DX152" s="56">
        <f>IFERROR(IF(($DL152)&gt;0,($DC152*cfg_TroyOz)/($DL152),""),"")</f>
        <v/>
      </c>
      <c r="DY152" s="67">
        <f>IFERROR(IF(($DM152)&gt;0,($DD152)/($DM152),""),"")</f>
        <v/>
      </c>
      <c r="DZ152" s="67">
        <f>IFERROR(IF(($DN152)&gt;0,($DE152)/($DN152),""),"")</f>
        <v/>
      </c>
      <c r="EA152" s="67">
        <f>IFERROR(IF(($DO152)&gt;0,($DF152)/($DO152),""),"")</f>
        <v/>
      </c>
      <c r="EB152" s="55">
        <f>SUMIFS(tblPlant[Gravity_Gold_oz],tblPlant[Date],$A152)</f>
        <v/>
      </c>
      <c r="EC152" s="55">
        <f>IF($B152=$B151,$EC151,0)+$EB152</f>
        <v/>
      </c>
      <c r="ED152" s="55">
        <f>$ED151+$EB152</f>
        <v/>
      </c>
      <c r="EE152" s="67">
        <f>IFERROR(IF(($DD152)&gt;0,($EB152)/($DD152),""),"")</f>
        <v/>
      </c>
      <c r="EF152" s="67">
        <f>IFERROR(IF(($DE152)&gt;0,($EC152)/($DE152),""),"")</f>
        <v/>
      </c>
      <c r="EG152" s="67">
        <f>IFERROR(IF(($DF152)&gt;0,($ED152)/($DF152),""),"")</f>
        <v/>
      </c>
      <c r="EH152" s="55">
        <f>SUMIFS(tblPlant[Gold_Poured_oz],tblPlant[Date],$A152)</f>
        <v/>
      </c>
      <c r="EI152" s="55">
        <f>IF($B152=$B151,$EI151,0)+$EH152</f>
        <v/>
      </c>
      <c r="EJ152" s="55">
        <f>$EJ151+$EH152</f>
        <v/>
      </c>
      <c r="EK152" s="57">
        <f>SUMIFS(tblPlant[Mill_Run_h],tblPlant[Date],$A152)</f>
        <v/>
      </c>
      <c r="EL152" s="57">
        <f>IF($B152=$B151,$EL151,0)+$EK152</f>
        <v/>
      </c>
      <c r="EM152" s="57">
        <f>$EM151+$EK152</f>
        <v/>
      </c>
      <c r="EN152" s="57">
        <f>SUMIFS(tblPlant[Mill_Planned_Maint_h],tblPlant[Date],$A152)</f>
        <v/>
      </c>
      <c r="EO152" s="57">
        <f>IF($B152=$B151,$EO151,0)+$EN152</f>
        <v/>
      </c>
      <c r="EP152" s="57">
        <f>$EP151+$EN152</f>
        <v/>
      </c>
      <c r="EQ152" s="57">
        <f>SUMIFS(tblPlant[Mill_Unplanned_Down_h],tblPlant[Date],$A152)</f>
        <v/>
      </c>
      <c r="ER152" s="57">
        <f>IF($B152=$B151,$ER151,0)+$EQ152</f>
        <v/>
      </c>
      <c r="ES152" s="57">
        <f>$ES151+$EQ152</f>
        <v/>
      </c>
      <c r="ET152" s="57">
        <f>IF(COUNTIFS(tblPlant[Date],$A152,tblPlant[Mill_Run_h],"&lt;&gt;")+COUNTIFS(tblPlant[Date],$A152,tblPlant[Mill_Planned_Maint_h],"&lt;&gt;")+COUNTIFS(tblPlant[Date],$A152,tblPlant[Mill_Unplanned_Down_h],"&lt;&gt;")&gt;0,cfg_HoursPerDay,0)</f>
        <v/>
      </c>
      <c r="EU152" s="57">
        <f>IF($B152=$B151,$EU151,0)+$ET152</f>
        <v/>
      </c>
      <c r="EV152" s="57">
        <f>$EV151+$ET152</f>
        <v/>
      </c>
      <c r="EW152" s="57">
        <f>SUMIFS(tblPlant[Crusher_Run_h],tblPlant[Date],$A152)</f>
        <v/>
      </c>
      <c r="EX152" s="57">
        <f>IF($B152=$B151,$EX151,0)+$EW152</f>
        <v/>
      </c>
      <c r="EY152" s="57">
        <f>$EY151+$EW152</f>
        <v/>
      </c>
      <c r="EZ152" s="55">
        <f>IFERROR(IF(($EK152)&gt;0,($DP152)/($EK152),""),"")</f>
        <v/>
      </c>
      <c r="FA152" s="55">
        <f>IFERROR(IF(($EL152)&gt;0,($DQ152)/($EL152),""),"")</f>
        <v/>
      </c>
      <c r="FB152" s="55">
        <f>IFERROR(IF(($EM152)&gt;0,($DR152)/($EM152),""),"")</f>
        <v/>
      </c>
      <c r="FC152" s="67">
        <f>IFERROR(IF(($ET152)&gt;0,($ET152-$EN152-$EQ152)/($ET152),""),"")</f>
        <v/>
      </c>
      <c r="FD152" s="67">
        <f>IFERROR(IF(($EU152)&gt;0,($EU152-$EO152-$ER152)/($EU152),""),"")</f>
        <v/>
      </c>
      <c r="FE152" s="67">
        <f>IFERROR(IF(($EV152)&gt;0,($EV152-$EP152-$ES152)/($EV152),""),"")</f>
        <v/>
      </c>
      <c r="FF152" s="67">
        <f>IFERROR(IF(($ET152-$EN152-$EQ152)&gt;0,($EK152)/($ET152-$EN152-$EQ152),""),"")</f>
        <v/>
      </c>
      <c r="FG152" s="67">
        <f>IFERROR(IF(($EU152-$EO152-$ER152)&gt;0,($EL152)/($EU152-$EO152-$ER152),""),"")</f>
        <v/>
      </c>
      <c r="FH152" s="67">
        <f>IFERROR(IF(($EV152-$EP152-$ES152)&gt;0,($EM152)/($EV152-$EP152-$ES152),""),"")</f>
        <v/>
      </c>
      <c r="FI152" s="55">
        <f>SUMIFS(tblPlant[Cyanide_kg],tblPlant[Date],$A152)</f>
        <v/>
      </c>
      <c r="FJ152" s="55">
        <f>IF($B152=$B151,$FJ151,0)+$FI152</f>
        <v/>
      </c>
      <c r="FK152" s="55">
        <f>$FK151+$FI152</f>
        <v/>
      </c>
      <c r="FL152" s="55">
        <f>SUMIFS(tblPlant[Lime_kg],tblPlant[Date],$A152)</f>
        <v/>
      </c>
      <c r="FM152" s="55">
        <f>IF($B152=$B151,$FM151,0)+$FL152</f>
        <v/>
      </c>
      <c r="FN152" s="55">
        <f>$FN151+$FL152</f>
        <v/>
      </c>
      <c r="FO152" s="55">
        <f>SUMIFS(tblPlant[Grinding_Media_kg],tblPlant[Date],$A152)</f>
        <v/>
      </c>
      <c r="FP152" s="55">
        <f>IF($B152=$B151,$FP151,0)+$FO152</f>
        <v/>
      </c>
      <c r="FQ152" s="55">
        <f>$FQ151+$FO152</f>
        <v/>
      </c>
      <c r="FR152" s="55">
        <f>SUMIFS(tblPlant[Power_kWh],tblPlant[Date],$A152)</f>
        <v/>
      </c>
      <c r="FS152" s="55">
        <f>IF($B152=$B151,$FS151,0)+$FR152</f>
        <v/>
      </c>
      <c r="FT152" s="55">
        <f>$FT151+$FR152</f>
        <v/>
      </c>
      <c r="FU152" s="55">
        <f>SUMIFS(tblPlant[Raw_Water_m3],tblPlant[Date],$A152)</f>
        <v/>
      </c>
      <c r="FV152" s="55">
        <f>IF($B152=$B151,$FV151,0)+$FU152</f>
        <v/>
      </c>
      <c r="FW152" s="55">
        <f>$FW151+$FU152</f>
        <v/>
      </c>
      <c r="FX152" s="56">
        <f>IFERROR(IF(($CU152)&gt;0,($FI152)/($CU152),""),"")</f>
        <v/>
      </c>
      <c r="FY152" s="56">
        <f>IFERROR(IF(($CV152)&gt;0,($FJ152)/($CV152),""),"")</f>
        <v/>
      </c>
      <c r="FZ152" s="56">
        <f>IFERROR(IF(($CW152)&gt;0,($FK152)/($CW152),""),"")</f>
        <v/>
      </c>
      <c r="GA152" s="56">
        <f>IFERROR(IF(($CU152)&gt;0,($FL152)/($CU152),""),"")</f>
        <v/>
      </c>
      <c r="GB152" s="56">
        <f>IFERROR(IF(($CV152)&gt;0,($FM152)/($CV152),""),"")</f>
        <v/>
      </c>
      <c r="GC152" s="56">
        <f>IFERROR(IF(($CW152)&gt;0,($FN152)/($CW152),""),"")</f>
        <v/>
      </c>
      <c r="GD152" s="56">
        <f>IFERROR(IF(($CU152)&gt;0,($FO152)/($CU152),""),"")</f>
        <v/>
      </c>
      <c r="GE152" s="56">
        <f>IFERROR(IF(($CV152)&gt;0,($FP152)/($CV152),""),"")</f>
        <v/>
      </c>
      <c r="GF152" s="56">
        <f>IFERROR(IF(($CW152)&gt;0,($FQ152)/($CW152),""),"")</f>
        <v/>
      </c>
      <c r="GG152" s="79">
        <f>IFERROR(IF(($CU152)&gt;0,($FR152)/($CU152),""),"")</f>
        <v/>
      </c>
      <c r="GH152" s="79">
        <f>IFERROR(IF(($CV152)&gt;0,($FS152)/($CV152),""),"")</f>
        <v/>
      </c>
      <c r="GI152" s="79">
        <f>IFERROR(IF(($CW152)&gt;0,($FT152)/($CW152),""),"")</f>
        <v/>
      </c>
      <c r="GJ152" s="56">
        <f>IFERROR(IF(($CU152)&gt;0,($FU152)/($CU152),""),"")</f>
        <v/>
      </c>
      <c r="GK152" s="56">
        <f>IFERROR(IF(($CV152)&gt;0,($FV152)/($CV152),""),"")</f>
        <v/>
      </c>
      <c r="GL152" s="56">
        <f>IFERROR(IF(($CW152)&gt;0,($FW152)/($CW152),""),"")</f>
        <v/>
      </c>
      <c r="GM152" s="55">
        <f>IF(SUMIFS(tblPlant[GIC_oz],tblPlant[Date],$A152)&gt;0,SUMIFS(tblPlant[GIC_oz],tblPlant[Date],$A152),"")</f>
        <v/>
      </c>
      <c r="GN152" s="55">
        <f>SUMIFS(tblGold[Gold_oz],tblGold[Date],$A152,tblGold[Type],"Shipment")</f>
        <v/>
      </c>
      <c r="GO152" s="55">
        <f>IF($B152=$B151,$GO151,0)+$GN152</f>
        <v/>
      </c>
      <c r="GP152" s="55">
        <f>$GP151+$GN152</f>
        <v/>
      </c>
      <c r="GQ152" s="55">
        <f>SUMIFS(tblGold[Gold_oz],tblGold[Date],$A152,tblGold[Type],"Sale")</f>
        <v/>
      </c>
      <c r="GR152" s="55">
        <f>IF($B152=$B151,$GR151,0)+$GQ152</f>
        <v/>
      </c>
      <c r="GS152" s="55">
        <f>$GS151+$GQ152</f>
        <v/>
      </c>
      <c r="GT152" s="55">
        <f>SUMIFS(tblGold[Dore_kg],tblGold[Date],$A152,tblGold[Type],"Shipment")</f>
        <v/>
      </c>
      <c r="GU152" s="55">
        <f>IF($B152=$B151,$GU151,0)+$GT152</f>
        <v/>
      </c>
      <c r="GV152" s="55">
        <f>$GV151+$GT152</f>
        <v/>
      </c>
      <c r="GW152" s="57">
        <f>SUMIFS(tblSafety[Hours_Total],tblSafety[Date],$A152)</f>
        <v/>
      </c>
      <c r="GX152" s="57">
        <f>IF($B152=$B151,$GX151,0)+$GW152</f>
        <v/>
      </c>
      <c r="GY152" s="57">
        <f>$GY151+$GW152</f>
        <v/>
      </c>
      <c r="GZ152" s="62">
        <f>SUMIFS(tblSafety[Fatality],tblSafety[Date],$A152)</f>
        <v/>
      </c>
      <c r="HA152" s="62">
        <f>IF($B152=$B151,$HA151,0)+$GZ152</f>
        <v/>
      </c>
      <c r="HB152" s="62">
        <f>$HB151+$GZ152</f>
        <v/>
      </c>
      <c r="HC152" s="62">
        <f>SUMIFS(tblSafety[LTI],tblSafety[Date],$A152)</f>
        <v/>
      </c>
      <c r="HD152" s="62">
        <f>IF($B152=$B151,$HD151,0)+$HC152</f>
        <v/>
      </c>
      <c r="HE152" s="62">
        <f>$HE151+$HC152</f>
        <v/>
      </c>
      <c r="HF152" s="62">
        <f>SUMIFS(tblSafety[RWI],tblSafety[Date],$A152)</f>
        <v/>
      </c>
      <c r="HG152" s="62">
        <f>IF($B152=$B151,$HG151,0)+$HF152</f>
        <v/>
      </c>
      <c r="HH152" s="62">
        <f>$HH151+$HF152</f>
        <v/>
      </c>
      <c r="HI152" s="62">
        <f>SUMIFS(tblSafety[MTI],tblSafety[Date],$A152)</f>
        <v/>
      </c>
      <c r="HJ152" s="62">
        <f>IF($B152=$B151,$HJ151,0)+$HI152</f>
        <v/>
      </c>
      <c r="HK152" s="62">
        <f>$HK151+$HI152</f>
        <v/>
      </c>
      <c r="HL152" s="62">
        <f>SUMIFS(tblSafety[FAI],tblSafety[Date],$A152)</f>
        <v/>
      </c>
      <c r="HM152" s="62">
        <f>IF($B152=$B151,$HM151,0)+$HL152</f>
        <v/>
      </c>
      <c r="HN152" s="62">
        <f>$HN151+$HL152</f>
        <v/>
      </c>
      <c r="HO152" s="62">
        <f>SUMIFS(tblSafety[Recordables],tblSafety[Date],$A152)</f>
        <v/>
      </c>
      <c r="HP152" s="62">
        <f>IF($B152=$B151,$HP151,0)+$HO152</f>
        <v/>
      </c>
      <c r="HQ152" s="62">
        <f>$HQ151+$HO152</f>
        <v/>
      </c>
      <c r="HR152" s="62">
        <f>SUMIFS(tblSafety[Near_Miss],tblSafety[Date],$A152)</f>
        <v/>
      </c>
      <c r="HS152" s="62">
        <f>IF($B152=$B151,$HS151,0)+$HR152</f>
        <v/>
      </c>
      <c r="HT152" s="62">
        <f>$HT151+$HR152</f>
        <v/>
      </c>
      <c r="HU152" s="62">
        <f>SUMIFS(tblSafety[Hazard_Reports],tblSafety[Date],$A152)</f>
        <v/>
      </c>
      <c r="HV152" s="62">
        <f>IF($B152=$B151,$HV151,0)+$HU152</f>
        <v/>
      </c>
      <c r="HW152" s="62">
        <f>$HW151+$HU152</f>
        <v/>
      </c>
      <c r="HX152" s="62">
        <f>SUMIFS(tblSafety[HPI],tblSafety[Date],$A152)</f>
        <v/>
      </c>
      <c r="HY152" s="62">
        <f>IF($B152=$B151,$HY151,0)+$HX152</f>
        <v/>
      </c>
      <c r="HZ152" s="62">
        <f>$HZ151+$HX152</f>
        <v/>
      </c>
      <c r="IA152" s="62">
        <f>SUMIFS(tblSafety[Env_Incidents],tblSafety[Date],$A152)</f>
        <v/>
      </c>
      <c r="IB152" s="62">
        <f>IF($B152=$B151,$IB151,0)+$IA152</f>
        <v/>
      </c>
      <c r="IC152" s="62">
        <f>$IC151+$IA152</f>
        <v/>
      </c>
      <c r="ID152" s="62">
        <f>SUMIFS(tblSafety[Community_Incidents],tblSafety[Date],$A152)</f>
        <v/>
      </c>
      <c r="IE152" s="62">
        <f>IF($B152=$B151,$IE151,0)+$ID152</f>
        <v/>
      </c>
      <c r="IF152" s="62">
        <f>$IF151+$ID152</f>
        <v/>
      </c>
      <c r="IG152" s="62">
        <f>SUMIFS(tblSafety[Vehicle_Incidents],tblSafety[Date],$A152)</f>
        <v/>
      </c>
      <c r="IH152" s="62">
        <f>IF($B152=$B151,$IH151,0)+$IG152</f>
        <v/>
      </c>
      <c r="II152" s="62">
        <f>$II151+$IG152</f>
        <v/>
      </c>
      <c r="IJ152" s="62">
        <f>SUMIFS(tblSafety[Toolbox_Talks],tblSafety[Date],$A152)</f>
        <v/>
      </c>
      <c r="IK152" s="62">
        <f>IF($B152=$B151,$IK151,0)+$IJ152</f>
        <v/>
      </c>
      <c r="IL152" s="62">
        <f>$IL151+$IJ152</f>
        <v/>
      </c>
      <c r="IM152" s="62">
        <f>SUMIFS(tblSafety[Inspections],tblSafety[Date],$A152)</f>
        <v/>
      </c>
      <c r="IN152" s="62">
        <f>IF($B152=$B151,$IN151,0)+$IM152</f>
        <v/>
      </c>
      <c r="IO152" s="62">
        <f>$IO151+$IM152</f>
        <v/>
      </c>
      <c r="IP152" s="56">
        <f>IFERROR((SUMIFS(tblSafety[Recordables],tblSafety[Date],"&gt;="&amp;EDATE($E152,-12),tblSafety[Date],"&lt;="&amp;$A152)+SUMIFS(tblSafetyHistory[Recordables],tblSafetyHistory[Month],"&gt;="&amp;EDATE($E152,-12),tblSafetyHistory[Month],"&lt;"&amp;$E152,tblSafetyHistory[Use],1))/(SUMIFS(tblSafety[Hours_Total],tblSafety[Date],"&gt;="&amp;EDATE($E152,-12),tblSafety[Date],"&lt;="&amp;$A152)+SUMIFS(tblSafetyHistory[Hours_Total],tblSafetyHistory[Month],"&gt;="&amp;EDATE($E152,-12),tblSafetyHistory[Month],"&lt;"&amp;$E152,tblSafetyHistory[Use],1))*cfg_RateBasisHours,"")</f>
        <v/>
      </c>
      <c r="IQ152" s="56">
        <f>IFERROR((SUMIFS(tblSafety[LTI],tblSafety[Date],"&gt;="&amp;EDATE($E152,-12),tblSafety[Date],"&lt;="&amp;$A152)+SUMIFS(tblSafetyHistory[LTI],tblSafetyHistory[Month],"&gt;="&amp;EDATE($E152,-12),tblSafetyHistory[Month],"&lt;"&amp;$E152,tblSafetyHistory[Use],1))/(SUMIFS(tblSafety[Hours_Total],tblSafety[Date],"&gt;="&amp;EDATE($E152,-12),tblSafety[Date],"&lt;="&amp;$A152)+SUMIFS(tblSafetyHistory[Hours_Total],tblSafetyHistory[Month],"&gt;="&amp;EDATE($E152,-12),tblSafetyHistory[Month],"&lt;"&amp;$E152,tblSafetyHistory[Use],1))*cfg_RateBasisHours,"")</f>
        <v/>
      </c>
      <c r="IR152" s="62">
        <f>IF(MAX(N(cfg_PriorLTIDate),_xlfn.MAXIFS(tblSafety[Date],tblSafety[LTI],"&gt;0",tblSafety[Date],"&lt;="&amp;$A152))=0,"",$A152-MAX(N(cfg_PriorLTIDate),_xlfn.MAXIFS(tblSafety[Date],tblSafety[LTI],"&gt;0",tblSafety[Date],"&lt;="&amp;$A152)))</f>
        <v/>
      </c>
      <c r="IS152" s="55">
        <f>SUMIFS(tblBudget[Ore_Mined_t],tblBudget[Month],$E152)</f>
        <v/>
      </c>
      <c r="IT152" s="55">
        <f>$IS152*$C152/$D152</f>
        <v/>
      </c>
      <c r="IU152" s="55">
        <f>SUMIFS(tblBudget[Ore_Mined_t],tblBudget[Month],"&lt;"&amp;$E152)+$IT152</f>
        <v/>
      </c>
      <c r="IV152" s="55">
        <f>SUMIFS(tblBudget[Ore_oz],tblBudget[Month],$E152)</f>
        <v/>
      </c>
      <c r="IW152" s="55">
        <f>$IV152*$C152/$D152</f>
        <v/>
      </c>
      <c r="IX152" s="55">
        <f>SUMIFS(tblBudget[Ore_oz],tblBudget[Month],"&lt;"&amp;$E152)+$IW152</f>
        <v/>
      </c>
      <c r="IY152" s="55">
        <f>SUMIFS(tblBudget[Ore_Mined_t],tblBudget[Month],$E152)</f>
        <v/>
      </c>
      <c r="IZ152" s="55">
        <f>$IY152*$C152/$D152</f>
        <v/>
      </c>
      <c r="JA152" s="55">
        <f>SUMIFS(tblBudget[Ore_Mined_t],tblBudget[Month],"&lt;"&amp;$E152)+$IZ152</f>
        <v/>
      </c>
      <c r="JB152" s="56">
        <f>IFERROR(IF(($IY152)&gt;0,($IV152*cfg_TroyOz)/($IY152),""),"")</f>
        <v/>
      </c>
      <c r="JC152" s="56">
        <f>IFERROR(IF(($IZ152)&gt;0,($IW152*cfg_TroyOz)/($IZ152),""),"")</f>
        <v/>
      </c>
      <c r="JD152" s="56">
        <f>IFERROR(IF(($JA152)&gt;0,($IX152*cfg_TroyOz)/($JA152),""),"")</f>
        <v/>
      </c>
      <c r="JE152" s="55">
        <f>SUMIFS(tblBudget[Waste_t],tblBudget[Month],$E152)</f>
        <v/>
      </c>
      <c r="JF152" s="55">
        <f>$JE152*$C152/$D152</f>
        <v/>
      </c>
      <c r="JG152" s="55">
        <f>SUMIFS(tblBudget[Waste_t],tblBudget[Month],"&lt;"&amp;$E152)+$JF152</f>
        <v/>
      </c>
      <c r="JH152" s="55">
        <f>SUMIFS(tblBudget[TMM_t],tblBudget[Month],$E152)</f>
        <v/>
      </c>
      <c r="JI152" s="55">
        <f>$JH152*$C152/$D152</f>
        <v/>
      </c>
      <c r="JJ152" s="55">
        <f>SUMIFS(tblBudget[TMM_t],tblBudget[Month],"&lt;"&amp;$E152)+$JI152</f>
        <v/>
      </c>
      <c r="JK152" s="56">
        <f>IFERROR(IF(($IS152)&gt;0,($JE152)/($IS152),""),"")</f>
        <v/>
      </c>
      <c r="JL152" s="56">
        <f>IFERROR(IF(($IT152)&gt;0,($JF152)/($IT152),""),"")</f>
        <v/>
      </c>
      <c r="JM152" s="56">
        <f>IFERROR(IF(($IU152)&gt;0,($JG152)/($IU152),""),"")</f>
        <v/>
      </c>
      <c r="JN152" s="55">
        <f>SUMIFS(tblBudget[Drill_m],tblBudget[Month],$E152)</f>
        <v/>
      </c>
      <c r="JO152" s="55">
        <f>$JN152*$C152/$D152</f>
        <v/>
      </c>
      <c r="JP152" s="55">
        <f>SUMIFS(tblBudget[Drill_m],tblBudget[Month],"&lt;"&amp;$E152)+$JO152</f>
        <v/>
      </c>
      <c r="JQ152" s="55">
        <f>SUMIFS(tblBudget[Diesel_L],tblBudget[Month],$E152)</f>
        <v/>
      </c>
      <c r="JR152" s="55">
        <f>$JQ152*$C152/$D152</f>
        <v/>
      </c>
      <c r="JS152" s="55">
        <f>SUMIFS(tblBudget[Diesel_L],tblBudget[Month],"&lt;"&amp;$E152)+$JR152</f>
        <v/>
      </c>
      <c r="JT152" s="55">
        <f>SUMIFS(tblBudget[Milled_t],tblBudget[Month],$E152)</f>
        <v/>
      </c>
      <c r="JU152" s="55">
        <f>$JT152*$C152/$D152</f>
        <v/>
      </c>
      <c r="JV152" s="55">
        <f>SUMIFS(tblBudget[Milled_t],tblBudget[Month],"&lt;"&amp;$E152)+$JU152</f>
        <v/>
      </c>
      <c r="JW152" s="55">
        <f>SUMIFS(tblBudget[Feed_oz],tblBudget[Month],$E152)</f>
        <v/>
      </c>
      <c r="JX152" s="55">
        <f>$JW152*$C152/$D152</f>
        <v/>
      </c>
      <c r="JY152" s="55">
        <f>SUMIFS(tblBudget[Feed_oz],tblBudget[Month],"&lt;"&amp;$E152)+$JX152</f>
        <v/>
      </c>
      <c r="JZ152" s="55">
        <f>SUMIFS(tblBudget[Recovered_oz],tblBudget[Month],$E152)</f>
        <v/>
      </c>
      <c r="KA152" s="55">
        <f>$JZ152*$C152/$D152</f>
        <v/>
      </c>
      <c r="KB152" s="55">
        <f>SUMIFS(tblBudget[Recovered_oz],tblBudget[Month],"&lt;"&amp;$E152)+$KA152</f>
        <v/>
      </c>
      <c r="KC152" s="55">
        <f>SUMIFS(tblBudget[Milled_t],tblBudget[Month],$E152)</f>
        <v/>
      </c>
      <c r="KD152" s="55">
        <f>$KC152*$C152/$D152</f>
        <v/>
      </c>
      <c r="KE152" s="55">
        <f>SUMIFS(tblBudget[Milled_t],tblBudget[Month],"&lt;"&amp;$E152)+$KD152</f>
        <v/>
      </c>
      <c r="KF152" s="55">
        <f>SUMIFS(tblBudget[Feed_oz],tblBudget[Month],$E152)</f>
        <v/>
      </c>
      <c r="KG152" s="55">
        <f>$KF152*$C152/$D152</f>
        <v/>
      </c>
      <c r="KH152" s="55">
        <f>SUMIFS(tblBudget[Feed_oz],tblBudget[Month],"&lt;"&amp;$E152)+$KG152</f>
        <v/>
      </c>
      <c r="KI152" s="56">
        <f>IFERROR(IF(($KC152)&gt;0,($JW152*cfg_TroyOz)/($KC152),""),"")</f>
        <v/>
      </c>
      <c r="KJ152" s="56">
        <f>IFERROR(IF(($KD152)&gt;0,($JX152*cfg_TroyOz)/($KD152),""),"")</f>
        <v/>
      </c>
      <c r="KK152" s="56">
        <f>IFERROR(IF(($KE152)&gt;0,($JY152*cfg_TroyOz)/($KE152),""),"")</f>
        <v/>
      </c>
      <c r="KL152" s="67">
        <f>IFERROR(IF(($KF152)&gt;0,($JZ152)/($KF152),""),"")</f>
        <v/>
      </c>
      <c r="KM152" s="67">
        <f>IFERROR(IF(($KG152)&gt;0,($KA152)/($KG152),""),"")</f>
        <v/>
      </c>
      <c r="KN152" s="67">
        <f>IFERROR(IF(($KH152)&gt;0,($KB152)/($KH152),""),"")</f>
        <v/>
      </c>
      <c r="KO152" s="55">
        <f>SUMIFS(tblBudget[Gold_Poured_oz],tblBudget[Month],$E152)</f>
        <v/>
      </c>
      <c r="KP152" s="55">
        <f>$KO152*$C152/$D152</f>
        <v/>
      </c>
      <c r="KQ152" s="55">
        <f>SUMIFS(tblBudget[Gold_Poured_oz],tblBudget[Month],"&lt;"&amp;$E152)+$KP152</f>
        <v/>
      </c>
      <c r="KR152" s="57">
        <f>SUMIFS(tblBudget[Hours_Worked],tblBudget[Month],$E152)</f>
        <v/>
      </c>
      <c r="KS152" s="57">
        <f>$KR152*$C152/$D152</f>
        <v/>
      </c>
      <c r="KT152" s="57">
        <f>SUMIFS(tblBudget[Hours_Worked],tblBudget[Month],"&lt;"&amp;$E152)+$KS152</f>
        <v/>
      </c>
    </row>
    <row r="153">
      <c r="A153" s="54" t="n">
        <v>46174</v>
      </c>
      <c r="B153">
        <f>MONTH($A153)</f>
        <v/>
      </c>
      <c r="C153">
        <f>DAY($A153)</f>
        <v/>
      </c>
      <c r="D153">
        <f>DAY(EOMONTH($A153,0))</f>
        <v/>
      </c>
      <c r="E153" s="54">
        <f>DATE(YEAR($A153),MONTH($A153),1)</f>
        <v/>
      </c>
      <c r="F153" s="55">
        <f>SUMIFS(tblMovement[Tonnes_t],tblMovement[Date],$A153,tblMovement[Is_Ore],1,tblMovement[Source_Type],"Pit")</f>
        <v/>
      </c>
      <c r="G153" s="55">
        <f>IF($B153=$B152,$G152,0)+$F153</f>
        <v/>
      </c>
      <c r="H153" s="55">
        <f>$H152+$F153</f>
        <v/>
      </c>
      <c r="I153" s="55">
        <f>SUMIFS(tblMovement[Ore_oz],tblMovement[Date],$A153,tblMovement[Source_Type],"Pit")</f>
        <v/>
      </c>
      <c r="J153" s="55">
        <f>IF($B153=$B152,$J152,0)+$I153</f>
        <v/>
      </c>
      <c r="K153" s="55">
        <f>$K152+$I153</f>
        <v/>
      </c>
      <c r="L153" s="55">
        <f>SUMIFS(tblMovement[Tonnes_t],tblMovement[Date],$A153,tblMovement[Is_Ore],1,tblMovement[Source_Type],"Pit",tblMovement[Grade_gpt],"&lt;&gt;")</f>
        <v/>
      </c>
      <c r="M153" s="55">
        <f>IF($B153=$B152,$M152,0)+$L153</f>
        <v/>
      </c>
      <c r="N153" s="55">
        <f>$N152+$L153</f>
        <v/>
      </c>
      <c r="O153" s="56">
        <f>IFERROR(IF(($L153)&gt;0,($I153*cfg_TroyOz)/($L153),""),"")</f>
        <v/>
      </c>
      <c r="P153" s="56">
        <f>IFERROR(IF(($M153)&gt;0,($J153*cfg_TroyOz)/($M153),""),"")</f>
        <v/>
      </c>
      <c r="Q153" s="56">
        <f>IFERROR(IF(($N153)&gt;0,($K153*cfg_TroyOz)/($N153),""),"")</f>
        <v/>
      </c>
      <c r="R153" s="55">
        <f>$F153-$L153</f>
        <v/>
      </c>
      <c r="S153" s="55">
        <f>IF($B153=$B152,$S152,0)+$R153</f>
        <v/>
      </c>
      <c r="T153" s="55">
        <f>$T152+$R153</f>
        <v/>
      </c>
      <c r="U153" s="55">
        <f>SUMIFS(tblMovement[Tonnes_t],tblMovement[Date],$A153,tblMovement[Is_Ore],0,tblMovement[Source_Type],"Pit")</f>
        <v/>
      </c>
      <c r="V153" s="55">
        <f>IF($B153=$B152,$V152,0)+$U153</f>
        <v/>
      </c>
      <c r="W153" s="55">
        <f>$W152+$U153</f>
        <v/>
      </c>
      <c r="X153" s="55">
        <f>$F153+$U153</f>
        <v/>
      </c>
      <c r="Y153" s="55">
        <f>IF($B153=$B152,$Y152,0)+$X153</f>
        <v/>
      </c>
      <c r="Z153" s="55">
        <f>$Z152+$X153</f>
        <v/>
      </c>
      <c r="AA153" s="56">
        <f>IFERROR(IF(($F153)&gt;0,($U153)/($F153),""),"")</f>
        <v/>
      </c>
      <c r="AB153" s="56">
        <f>IFERROR(IF(($G153)&gt;0,($V153)/($G153),""),"")</f>
        <v/>
      </c>
      <c r="AC153" s="56">
        <f>IFERROR(IF(($H153)&gt;0,($W153)/($H153),""),"")</f>
        <v/>
      </c>
      <c r="AD153" s="55">
        <f>SUMIFS(tblMovement[Tonnes_t],tblMovement[Date],$A153,tblMovement[Source_Type],"Stockpile")</f>
        <v/>
      </c>
      <c r="AE153" s="55">
        <f>IF($B153=$B152,$AE152,0)+$AD153</f>
        <v/>
      </c>
      <c r="AF153" s="55">
        <f>$AF152+$AD153</f>
        <v/>
      </c>
      <c r="AG153" s="55">
        <f>SUMIFS(tblMovement[Tonnes_t],tblMovement[Date],$A153)</f>
        <v/>
      </c>
      <c r="AH153" s="55">
        <f>IF($B153=$B152,$AH152,0)+$AG153</f>
        <v/>
      </c>
      <c r="AI153" s="55">
        <f>$AI152+$AG153</f>
        <v/>
      </c>
      <c r="AJ153" s="55">
        <f>$AG153-$X153-$AD153</f>
        <v/>
      </c>
      <c r="AK153" s="55">
        <f>IF($B153=$B152,$AK152,0)+$AJ153</f>
        <v/>
      </c>
      <c r="AL153" s="55">
        <f>$AL152+$AJ153</f>
        <v/>
      </c>
      <c r="AM153" s="55">
        <f>SUMIFS(tblMiningDaily[Drill_m],tblMiningDaily[Date],$A153)</f>
        <v/>
      </c>
      <c r="AN153" s="55">
        <f>IF($B153=$B152,$AN152,0)+$AM153</f>
        <v/>
      </c>
      <c r="AO153" s="55">
        <f>$AO152+$AM153</f>
        <v/>
      </c>
      <c r="AP153" s="55">
        <f>SUMIFS(tblMiningDaily[GC_Drill_m],tblMiningDaily[Date],$A153)</f>
        <v/>
      </c>
      <c r="AQ153" s="55">
        <f>IF($B153=$B152,$AQ152,0)+$AP153</f>
        <v/>
      </c>
      <c r="AR153" s="55">
        <f>$AR152+$AP153</f>
        <v/>
      </c>
      <c r="AS153" s="55">
        <f>SUMIFS(tblMiningDaily[Blast_t],tblMiningDaily[Date],$A153)</f>
        <v/>
      </c>
      <c r="AT153" s="55">
        <f>IF($B153=$B152,$AT152,0)+$AS153</f>
        <v/>
      </c>
      <c r="AU153" s="55">
        <f>$AU152+$AS153</f>
        <v/>
      </c>
      <c r="AV153" s="55">
        <f>SUMIFS(tblMiningDaily[Explosives_kg],tblMiningDaily[Date],$A153)</f>
        <v/>
      </c>
      <c r="AW153" s="55">
        <f>IF($B153=$B152,$AW152,0)+$AV153</f>
        <v/>
      </c>
      <c r="AX153" s="55">
        <f>$AX152+$AV153</f>
        <v/>
      </c>
      <c r="AY153" s="56">
        <f>IFERROR(IF(($AS153)&gt;0,($AV153)/($AS153),""),"")</f>
        <v/>
      </c>
      <c r="AZ153" s="56">
        <f>IFERROR(IF(($AT153)&gt;0,($AW153)/($AT153),""),"")</f>
        <v/>
      </c>
      <c r="BA153" s="56">
        <f>IFERROR(IF(($AU153)&gt;0,($AX153)/($AU153),""),"")</f>
        <v/>
      </c>
      <c r="BB153" s="55">
        <f>SUMIFS(tblMiningDaily[Diesel_L],tblMiningDaily[Date],$A153)</f>
        <v/>
      </c>
      <c r="BC153" s="55">
        <f>IF($B153=$B152,$BC152,0)+$BB153</f>
        <v/>
      </c>
      <c r="BD153" s="55">
        <f>$BD152+$BB153</f>
        <v/>
      </c>
      <c r="BE153" s="55">
        <f>SUMIFS(tblMiningDaily[Dewatering_m3],tblMiningDaily[Date],$A153)</f>
        <v/>
      </c>
      <c r="BF153" s="55">
        <f>IF($B153=$B152,$BF152,0)+$BE153</f>
        <v/>
      </c>
      <c r="BG153" s="55">
        <f>$BG152+$BE153</f>
        <v/>
      </c>
      <c r="BH153" s="57">
        <f>SUMIFS(tblFleet[Calendar_h],tblFleet[Date],$A153,tblFleet[Equipment_Class],"Excavator")</f>
        <v/>
      </c>
      <c r="BI153" s="57">
        <f>IF($B153=$B152,$BI152,0)+$BH153</f>
        <v/>
      </c>
      <c r="BJ153" s="57">
        <f>$BJ152+$BH153</f>
        <v/>
      </c>
      <c r="BK153" s="57">
        <f>SUMIFS(tblFleet[Available_h],tblFleet[Date],$A153,tblFleet[Equipment_Class],"Excavator")</f>
        <v/>
      </c>
      <c r="BL153" s="57">
        <f>IF($B153=$B152,$BL152,0)+$BK153</f>
        <v/>
      </c>
      <c r="BM153" s="57">
        <f>$BM152+$BK153</f>
        <v/>
      </c>
      <c r="BN153" s="57">
        <f>SUMIFS(tblFleet[Operating_h],tblFleet[Date],$A153,tblFleet[Equipment_Class],"Excavator")</f>
        <v/>
      </c>
      <c r="BO153" s="57">
        <f>IF($B153=$B152,$BO152,0)+$BN153</f>
        <v/>
      </c>
      <c r="BP153" s="57">
        <f>$BP152+$BN153</f>
        <v/>
      </c>
      <c r="BQ153" s="67">
        <f>IFERROR(IF(($BH153)&gt;0,($BK153)/($BH153),""),"")</f>
        <v/>
      </c>
      <c r="BR153" s="67">
        <f>IFERROR(IF(($BI153)&gt;0,($BL153)/($BI153),""),"")</f>
        <v/>
      </c>
      <c r="BS153" s="67">
        <f>IFERROR(IF(($BJ153)&gt;0,($BM153)/($BJ153),""),"")</f>
        <v/>
      </c>
      <c r="BT153" s="67">
        <f>IFERROR(IF(($BK153)&gt;0,($BN153)/($BK153),""),"")</f>
        <v/>
      </c>
      <c r="BU153" s="67">
        <f>IFERROR(IF(($BL153)&gt;0,($BO153)/($BL153),""),"")</f>
        <v/>
      </c>
      <c r="BV153" s="67">
        <f>IFERROR(IF(($BM153)&gt;0,($BP153)/($BM153),""),"")</f>
        <v/>
      </c>
      <c r="BW153" s="57">
        <f>SUMIFS(tblFleet[Calendar_h],tblFleet[Date],$A153,tblFleet[Equipment_Class],"Haul Truck")</f>
        <v/>
      </c>
      <c r="BX153" s="57">
        <f>IF($B153=$B152,$BX152,0)+$BW153</f>
        <v/>
      </c>
      <c r="BY153" s="57">
        <f>$BY152+$BW153</f>
        <v/>
      </c>
      <c r="BZ153" s="57">
        <f>SUMIFS(tblFleet[Available_h],tblFleet[Date],$A153,tblFleet[Equipment_Class],"Haul Truck")</f>
        <v/>
      </c>
      <c r="CA153" s="57">
        <f>IF($B153=$B152,$CA152,0)+$BZ153</f>
        <v/>
      </c>
      <c r="CB153" s="57">
        <f>$CB152+$BZ153</f>
        <v/>
      </c>
      <c r="CC153" s="57">
        <f>SUMIFS(tblFleet[Operating_h],tblFleet[Date],$A153,tblFleet[Equipment_Class],"Haul Truck")</f>
        <v/>
      </c>
      <c r="CD153" s="57">
        <f>IF($B153=$B152,$CD152,0)+$CC153</f>
        <v/>
      </c>
      <c r="CE153" s="57">
        <f>$CE152+$CC153</f>
        <v/>
      </c>
      <c r="CF153" s="67">
        <f>IFERROR(IF(($BW153)&gt;0,($BZ153)/($BW153),""),"")</f>
        <v/>
      </c>
      <c r="CG153" s="67">
        <f>IFERROR(IF(($BX153)&gt;0,($CA153)/($BX153),""),"")</f>
        <v/>
      </c>
      <c r="CH153" s="67">
        <f>IFERROR(IF(($BY153)&gt;0,($CB153)/($BY153),""),"")</f>
        <v/>
      </c>
      <c r="CI153" s="67">
        <f>IFERROR(IF(($BZ153)&gt;0,($CC153)/($BZ153),""),"")</f>
        <v/>
      </c>
      <c r="CJ153" s="67">
        <f>IFERROR(IF(($CA153)&gt;0,($CD153)/($CA153),""),"")</f>
        <v/>
      </c>
      <c r="CK153" s="67">
        <f>IFERROR(IF(($CB153)&gt;0,($CE153)/($CB153),""),"")</f>
        <v/>
      </c>
      <c r="CL153" s="55">
        <f>IFERROR(IF(($BN153)&gt;0,($X153+$AD153)/($BN153),""),"")</f>
        <v/>
      </c>
      <c r="CM153" s="55">
        <f>IFERROR(IF(($BO153)&gt;0,($Y153+$AE153)/($BO153),""),"")</f>
        <v/>
      </c>
      <c r="CN153" s="55">
        <f>IFERROR(IF(($BP153)&gt;0,($Z153+$AF153)/($BP153),""),"")</f>
        <v/>
      </c>
      <c r="CO153" s="55">
        <f>IFERROR(IF(($CC153)&gt;0,($X153+$AD153)/($CC153),""),"")</f>
        <v/>
      </c>
      <c r="CP153" s="55">
        <f>IFERROR(IF(($CD153)&gt;0,($Y153+$AE153)/($CD153),""),"")</f>
        <v/>
      </c>
      <c r="CQ153" s="55">
        <f>IFERROR(IF(($CE153)&gt;0,($Z153+$AF153)/($CE153),""),"")</f>
        <v/>
      </c>
      <c r="CR153" s="55">
        <f>SUMIFS(tblPlant[Crushed_t],tblPlant[Date],$A153)</f>
        <v/>
      </c>
      <c r="CS153" s="55">
        <f>IF($B153=$B152,$CS152,0)+$CR153</f>
        <v/>
      </c>
      <c r="CT153" s="55">
        <f>$CT152+$CR153</f>
        <v/>
      </c>
      <c r="CU153" s="55">
        <f>SUMIFS(tblPlant[Milled_t],tblPlant[Date],$A153)</f>
        <v/>
      </c>
      <c r="CV153" s="55">
        <f>IF($B153=$B152,$CV152,0)+$CU153</f>
        <v/>
      </c>
      <c r="CW153" s="55">
        <f>$CW152+$CU153</f>
        <v/>
      </c>
      <c r="CX153" s="55">
        <f>SUMIFS(tblPlant[Feed_oz],tblPlant[Date],$A153)</f>
        <v/>
      </c>
      <c r="CY153" s="55">
        <f>IF($B153=$B152,$CY152,0)+$CX153</f>
        <v/>
      </c>
      <c r="CZ153" s="55">
        <f>$CZ152+$CX153</f>
        <v/>
      </c>
      <c r="DA153" s="55">
        <f>SUMIFS(tblPlant[Tails_oz],tblPlant[Date],$A153)</f>
        <v/>
      </c>
      <c r="DB153" s="55">
        <f>IF($B153=$B152,$DB152,0)+$DA153</f>
        <v/>
      </c>
      <c r="DC153" s="55">
        <f>$DC152+$DA153</f>
        <v/>
      </c>
      <c r="DD153" s="55">
        <f>SUMIFS(tblPlant[Recovered_oz],tblPlant[Date],$A153)</f>
        <v/>
      </c>
      <c r="DE153" s="55">
        <f>IF($B153=$B152,$DE152,0)+$DD153</f>
        <v/>
      </c>
      <c r="DF153" s="55">
        <f>$DF152+$DD153</f>
        <v/>
      </c>
      <c r="DG153" s="55">
        <f>SUMIFS(tblPlant[Milled_t],tblPlant[Date],$A153,tblPlant[Head_Grade_gpt],"&lt;&gt;")</f>
        <v/>
      </c>
      <c r="DH153" s="55">
        <f>IF($B153=$B152,$DH152,0)+$DG153</f>
        <v/>
      </c>
      <c r="DI153" s="55">
        <f>$DI152+$DG153</f>
        <v/>
      </c>
      <c r="DJ153" s="55">
        <f>SUMIFS(tblPlant[Milled_t],tblPlant[Date],$A153,tblPlant[Tails_Grade_gpt],"&lt;&gt;")</f>
        <v/>
      </c>
      <c r="DK153" s="55">
        <f>IF($B153=$B152,$DK152,0)+$DJ153</f>
        <v/>
      </c>
      <c r="DL153" s="55">
        <f>$DL152+$DJ153</f>
        <v/>
      </c>
      <c r="DM153" s="55">
        <f>SUMIFS(tblPlant[Feed_oz],tblPlant[Date],$A153,tblPlant[Tails_Grade_gpt],"&lt;&gt;")</f>
        <v/>
      </c>
      <c r="DN153" s="55">
        <f>IF($B153=$B152,$DN152,0)+$DM153</f>
        <v/>
      </c>
      <c r="DO153" s="55">
        <f>$DO152+$DM153</f>
        <v/>
      </c>
      <c r="DP153" s="55">
        <f>SUMIFS(tblPlant[Milled_t],tblPlant[Date],$A153,tblPlant[Mill_Run_h],"&lt;&gt;")</f>
        <v/>
      </c>
      <c r="DQ153" s="55">
        <f>IF($B153=$B152,$DQ152,0)+$DP153</f>
        <v/>
      </c>
      <c r="DR153" s="55">
        <f>$DR152+$DP153</f>
        <v/>
      </c>
      <c r="DS153" s="56">
        <f>IFERROR(IF(($DG153)&gt;0,($CX153*cfg_TroyOz)/($DG153),""),"")</f>
        <v/>
      </c>
      <c r="DT153" s="56">
        <f>IFERROR(IF(($DH153)&gt;0,($CY153*cfg_TroyOz)/($DH153),""),"")</f>
        <v/>
      </c>
      <c r="DU153" s="56">
        <f>IFERROR(IF(($DI153)&gt;0,($CZ153*cfg_TroyOz)/($DI153),""),"")</f>
        <v/>
      </c>
      <c r="DV153" s="56">
        <f>IFERROR(IF(($DJ153)&gt;0,($DA153*cfg_TroyOz)/($DJ153),""),"")</f>
        <v/>
      </c>
      <c r="DW153" s="56">
        <f>IFERROR(IF(($DK153)&gt;0,($DB153*cfg_TroyOz)/($DK153),""),"")</f>
        <v/>
      </c>
      <c r="DX153" s="56">
        <f>IFERROR(IF(($DL153)&gt;0,($DC153*cfg_TroyOz)/($DL153),""),"")</f>
        <v/>
      </c>
      <c r="DY153" s="67">
        <f>IFERROR(IF(($DM153)&gt;0,($DD153)/($DM153),""),"")</f>
        <v/>
      </c>
      <c r="DZ153" s="67">
        <f>IFERROR(IF(($DN153)&gt;0,($DE153)/($DN153),""),"")</f>
        <v/>
      </c>
      <c r="EA153" s="67">
        <f>IFERROR(IF(($DO153)&gt;0,($DF153)/($DO153),""),"")</f>
        <v/>
      </c>
      <c r="EB153" s="55">
        <f>SUMIFS(tblPlant[Gravity_Gold_oz],tblPlant[Date],$A153)</f>
        <v/>
      </c>
      <c r="EC153" s="55">
        <f>IF($B153=$B152,$EC152,0)+$EB153</f>
        <v/>
      </c>
      <c r="ED153" s="55">
        <f>$ED152+$EB153</f>
        <v/>
      </c>
      <c r="EE153" s="67">
        <f>IFERROR(IF(($DD153)&gt;0,($EB153)/($DD153),""),"")</f>
        <v/>
      </c>
      <c r="EF153" s="67">
        <f>IFERROR(IF(($DE153)&gt;0,($EC153)/($DE153),""),"")</f>
        <v/>
      </c>
      <c r="EG153" s="67">
        <f>IFERROR(IF(($DF153)&gt;0,($ED153)/($DF153),""),"")</f>
        <v/>
      </c>
      <c r="EH153" s="55">
        <f>SUMIFS(tblPlant[Gold_Poured_oz],tblPlant[Date],$A153)</f>
        <v/>
      </c>
      <c r="EI153" s="55">
        <f>IF($B153=$B152,$EI152,0)+$EH153</f>
        <v/>
      </c>
      <c r="EJ153" s="55">
        <f>$EJ152+$EH153</f>
        <v/>
      </c>
      <c r="EK153" s="57">
        <f>SUMIFS(tblPlant[Mill_Run_h],tblPlant[Date],$A153)</f>
        <v/>
      </c>
      <c r="EL153" s="57">
        <f>IF($B153=$B152,$EL152,0)+$EK153</f>
        <v/>
      </c>
      <c r="EM153" s="57">
        <f>$EM152+$EK153</f>
        <v/>
      </c>
      <c r="EN153" s="57">
        <f>SUMIFS(tblPlant[Mill_Planned_Maint_h],tblPlant[Date],$A153)</f>
        <v/>
      </c>
      <c r="EO153" s="57">
        <f>IF($B153=$B152,$EO152,0)+$EN153</f>
        <v/>
      </c>
      <c r="EP153" s="57">
        <f>$EP152+$EN153</f>
        <v/>
      </c>
      <c r="EQ153" s="57">
        <f>SUMIFS(tblPlant[Mill_Unplanned_Down_h],tblPlant[Date],$A153)</f>
        <v/>
      </c>
      <c r="ER153" s="57">
        <f>IF($B153=$B152,$ER152,0)+$EQ153</f>
        <v/>
      </c>
      <c r="ES153" s="57">
        <f>$ES152+$EQ153</f>
        <v/>
      </c>
      <c r="ET153" s="57">
        <f>IF(COUNTIFS(tblPlant[Date],$A153,tblPlant[Mill_Run_h],"&lt;&gt;")+COUNTIFS(tblPlant[Date],$A153,tblPlant[Mill_Planned_Maint_h],"&lt;&gt;")+COUNTIFS(tblPlant[Date],$A153,tblPlant[Mill_Unplanned_Down_h],"&lt;&gt;")&gt;0,cfg_HoursPerDay,0)</f>
        <v/>
      </c>
      <c r="EU153" s="57">
        <f>IF($B153=$B152,$EU152,0)+$ET153</f>
        <v/>
      </c>
      <c r="EV153" s="57">
        <f>$EV152+$ET153</f>
        <v/>
      </c>
      <c r="EW153" s="57">
        <f>SUMIFS(tblPlant[Crusher_Run_h],tblPlant[Date],$A153)</f>
        <v/>
      </c>
      <c r="EX153" s="57">
        <f>IF($B153=$B152,$EX152,0)+$EW153</f>
        <v/>
      </c>
      <c r="EY153" s="57">
        <f>$EY152+$EW153</f>
        <v/>
      </c>
      <c r="EZ153" s="55">
        <f>IFERROR(IF(($EK153)&gt;0,($DP153)/($EK153),""),"")</f>
        <v/>
      </c>
      <c r="FA153" s="55">
        <f>IFERROR(IF(($EL153)&gt;0,($DQ153)/($EL153),""),"")</f>
        <v/>
      </c>
      <c r="FB153" s="55">
        <f>IFERROR(IF(($EM153)&gt;0,($DR153)/($EM153),""),"")</f>
        <v/>
      </c>
      <c r="FC153" s="67">
        <f>IFERROR(IF(($ET153)&gt;0,($ET153-$EN153-$EQ153)/($ET153),""),"")</f>
        <v/>
      </c>
      <c r="FD153" s="67">
        <f>IFERROR(IF(($EU153)&gt;0,($EU153-$EO153-$ER153)/($EU153),""),"")</f>
        <v/>
      </c>
      <c r="FE153" s="67">
        <f>IFERROR(IF(($EV153)&gt;0,($EV153-$EP153-$ES153)/($EV153),""),"")</f>
        <v/>
      </c>
      <c r="FF153" s="67">
        <f>IFERROR(IF(($ET153-$EN153-$EQ153)&gt;0,($EK153)/($ET153-$EN153-$EQ153),""),"")</f>
        <v/>
      </c>
      <c r="FG153" s="67">
        <f>IFERROR(IF(($EU153-$EO153-$ER153)&gt;0,($EL153)/($EU153-$EO153-$ER153),""),"")</f>
        <v/>
      </c>
      <c r="FH153" s="67">
        <f>IFERROR(IF(($EV153-$EP153-$ES153)&gt;0,($EM153)/($EV153-$EP153-$ES153),""),"")</f>
        <v/>
      </c>
      <c r="FI153" s="55">
        <f>SUMIFS(tblPlant[Cyanide_kg],tblPlant[Date],$A153)</f>
        <v/>
      </c>
      <c r="FJ153" s="55">
        <f>IF($B153=$B152,$FJ152,0)+$FI153</f>
        <v/>
      </c>
      <c r="FK153" s="55">
        <f>$FK152+$FI153</f>
        <v/>
      </c>
      <c r="FL153" s="55">
        <f>SUMIFS(tblPlant[Lime_kg],tblPlant[Date],$A153)</f>
        <v/>
      </c>
      <c r="FM153" s="55">
        <f>IF($B153=$B152,$FM152,0)+$FL153</f>
        <v/>
      </c>
      <c r="FN153" s="55">
        <f>$FN152+$FL153</f>
        <v/>
      </c>
      <c r="FO153" s="55">
        <f>SUMIFS(tblPlant[Grinding_Media_kg],tblPlant[Date],$A153)</f>
        <v/>
      </c>
      <c r="FP153" s="55">
        <f>IF($B153=$B152,$FP152,0)+$FO153</f>
        <v/>
      </c>
      <c r="FQ153" s="55">
        <f>$FQ152+$FO153</f>
        <v/>
      </c>
      <c r="FR153" s="55">
        <f>SUMIFS(tblPlant[Power_kWh],tblPlant[Date],$A153)</f>
        <v/>
      </c>
      <c r="FS153" s="55">
        <f>IF($B153=$B152,$FS152,0)+$FR153</f>
        <v/>
      </c>
      <c r="FT153" s="55">
        <f>$FT152+$FR153</f>
        <v/>
      </c>
      <c r="FU153" s="55">
        <f>SUMIFS(tblPlant[Raw_Water_m3],tblPlant[Date],$A153)</f>
        <v/>
      </c>
      <c r="FV153" s="55">
        <f>IF($B153=$B152,$FV152,0)+$FU153</f>
        <v/>
      </c>
      <c r="FW153" s="55">
        <f>$FW152+$FU153</f>
        <v/>
      </c>
      <c r="FX153" s="56">
        <f>IFERROR(IF(($CU153)&gt;0,($FI153)/($CU153),""),"")</f>
        <v/>
      </c>
      <c r="FY153" s="56">
        <f>IFERROR(IF(($CV153)&gt;0,($FJ153)/($CV153),""),"")</f>
        <v/>
      </c>
      <c r="FZ153" s="56">
        <f>IFERROR(IF(($CW153)&gt;0,($FK153)/($CW153),""),"")</f>
        <v/>
      </c>
      <c r="GA153" s="56">
        <f>IFERROR(IF(($CU153)&gt;0,($FL153)/($CU153),""),"")</f>
        <v/>
      </c>
      <c r="GB153" s="56">
        <f>IFERROR(IF(($CV153)&gt;0,($FM153)/($CV153),""),"")</f>
        <v/>
      </c>
      <c r="GC153" s="56">
        <f>IFERROR(IF(($CW153)&gt;0,($FN153)/($CW153),""),"")</f>
        <v/>
      </c>
      <c r="GD153" s="56">
        <f>IFERROR(IF(($CU153)&gt;0,($FO153)/($CU153),""),"")</f>
        <v/>
      </c>
      <c r="GE153" s="56">
        <f>IFERROR(IF(($CV153)&gt;0,($FP153)/($CV153),""),"")</f>
        <v/>
      </c>
      <c r="GF153" s="56">
        <f>IFERROR(IF(($CW153)&gt;0,($FQ153)/($CW153),""),"")</f>
        <v/>
      </c>
      <c r="GG153" s="79">
        <f>IFERROR(IF(($CU153)&gt;0,($FR153)/($CU153),""),"")</f>
        <v/>
      </c>
      <c r="GH153" s="79">
        <f>IFERROR(IF(($CV153)&gt;0,($FS153)/($CV153),""),"")</f>
        <v/>
      </c>
      <c r="GI153" s="79">
        <f>IFERROR(IF(($CW153)&gt;0,($FT153)/($CW153),""),"")</f>
        <v/>
      </c>
      <c r="GJ153" s="56">
        <f>IFERROR(IF(($CU153)&gt;0,($FU153)/($CU153),""),"")</f>
        <v/>
      </c>
      <c r="GK153" s="56">
        <f>IFERROR(IF(($CV153)&gt;0,($FV153)/($CV153),""),"")</f>
        <v/>
      </c>
      <c r="GL153" s="56">
        <f>IFERROR(IF(($CW153)&gt;0,($FW153)/($CW153),""),"")</f>
        <v/>
      </c>
      <c r="GM153" s="55">
        <f>IF(SUMIFS(tblPlant[GIC_oz],tblPlant[Date],$A153)&gt;0,SUMIFS(tblPlant[GIC_oz],tblPlant[Date],$A153),"")</f>
        <v/>
      </c>
      <c r="GN153" s="55">
        <f>SUMIFS(tblGold[Gold_oz],tblGold[Date],$A153,tblGold[Type],"Shipment")</f>
        <v/>
      </c>
      <c r="GO153" s="55">
        <f>IF($B153=$B152,$GO152,0)+$GN153</f>
        <v/>
      </c>
      <c r="GP153" s="55">
        <f>$GP152+$GN153</f>
        <v/>
      </c>
      <c r="GQ153" s="55">
        <f>SUMIFS(tblGold[Gold_oz],tblGold[Date],$A153,tblGold[Type],"Sale")</f>
        <v/>
      </c>
      <c r="GR153" s="55">
        <f>IF($B153=$B152,$GR152,0)+$GQ153</f>
        <v/>
      </c>
      <c r="GS153" s="55">
        <f>$GS152+$GQ153</f>
        <v/>
      </c>
      <c r="GT153" s="55">
        <f>SUMIFS(tblGold[Dore_kg],tblGold[Date],$A153,tblGold[Type],"Shipment")</f>
        <v/>
      </c>
      <c r="GU153" s="55">
        <f>IF($B153=$B152,$GU152,0)+$GT153</f>
        <v/>
      </c>
      <c r="GV153" s="55">
        <f>$GV152+$GT153</f>
        <v/>
      </c>
      <c r="GW153" s="57">
        <f>SUMIFS(tblSafety[Hours_Total],tblSafety[Date],$A153)</f>
        <v/>
      </c>
      <c r="GX153" s="57">
        <f>IF($B153=$B152,$GX152,0)+$GW153</f>
        <v/>
      </c>
      <c r="GY153" s="57">
        <f>$GY152+$GW153</f>
        <v/>
      </c>
      <c r="GZ153" s="62">
        <f>SUMIFS(tblSafety[Fatality],tblSafety[Date],$A153)</f>
        <v/>
      </c>
      <c r="HA153" s="62">
        <f>IF($B153=$B152,$HA152,0)+$GZ153</f>
        <v/>
      </c>
      <c r="HB153" s="62">
        <f>$HB152+$GZ153</f>
        <v/>
      </c>
      <c r="HC153" s="62">
        <f>SUMIFS(tblSafety[LTI],tblSafety[Date],$A153)</f>
        <v/>
      </c>
      <c r="HD153" s="62">
        <f>IF($B153=$B152,$HD152,0)+$HC153</f>
        <v/>
      </c>
      <c r="HE153" s="62">
        <f>$HE152+$HC153</f>
        <v/>
      </c>
      <c r="HF153" s="62">
        <f>SUMIFS(tblSafety[RWI],tblSafety[Date],$A153)</f>
        <v/>
      </c>
      <c r="HG153" s="62">
        <f>IF($B153=$B152,$HG152,0)+$HF153</f>
        <v/>
      </c>
      <c r="HH153" s="62">
        <f>$HH152+$HF153</f>
        <v/>
      </c>
      <c r="HI153" s="62">
        <f>SUMIFS(tblSafety[MTI],tblSafety[Date],$A153)</f>
        <v/>
      </c>
      <c r="HJ153" s="62">
        <f>IF($B153=$B152,$HJ152,0)+$HI153</f>
        <v/>
      </c>
      <c r="HK153" s="62">
        <f>$HK152+$HI153</f>
        <v/>
      </c>
      <c r="HL153" s="62">
        <f>SUMIFS(tblSafety[FAI],tblSafety[Date],$A153)</f>
        <v/>
      </c>
      <c r="HM153" s="62">
        <f>IF($B153=$B152,$HM152,0)+$HL153</f>
        <v/>
      </c>
      <c r="HN153" s="62">
        <f>$HN152+$HL153</f>
        <v/>
      </c>
      <c r="HO153" s="62">
        <f>SUMIFS(tblSafety[Recordables],tblSafety[Date],$A153)</f>
        <v/>
      </c>
      <c r="HP153" s="62">
        <f>IF($B153=$B152,$HP152,0)+$HO153</f>
        <v/>
      </c>
      <c r="HQ153" s="62">
        <f>$HQ152+$HO153</f>
        <v/>
      </c>
      <c r="HR153" s="62">
        <f>SUMIFS(tblSafety[Near_Miss],tblSafety[Date],$A153)</f>
        <v/>
      </c>
      <c r="HS153" s="62">
        <f>IF($B153=$B152,$HS152,0)+$HR153</f>
        <v/>
      </c>
      <c r="HT153" s="62">
        <f>$HT152+$HR153</f>
        <v/>
      </c>
      <c r="HU153" s="62">
        <f>SUMIFS(tblSafety[Hazard_Reports],tblSafety[Date],$A153)</f>
        <v/>
      </c>
      <c r="HV153" s="62">
        <f>IF($B153=$B152,$HV152,0)+$HU153</f>
        <v/>
      </c>
      <c r="HW153" s="62">
        <f>$HW152+$HU153</f>
        <v/>
      </c>
      <c r="HX153" s="62">
        <f>SUMIFS(tblSafety[HPI],tblSafety[Date],$A153)</f>
        <v/>
      </c>
      <c r="HY153" s="62">
        <f>IF($B153=$B152,$HY152,0)+$HX153</f>
        <v/>
      </c>
      <c r="HZ153" s="62">
        <f>$HZ152+$HX153</f>
        <v/>
      </c>
      <c r="IA153" s="62">
        <f>SUMIFS(tblSafety[Env_Incidents],tblSafety[Date],$A153)</f>
        <v/>
      </c>
      <c r="IB153" s="62">
        <f>IF($B153=$B152,$IB152,0)+$IA153</f>
        <v/>
      </c>
      <c r="IC153" s="62">
        <f>$IC152+$IA153</f>
        <v/>
      </c>
      <c r="ID153" s="62">
        <f>SUMIFS(tblSafety[Community_Incidents],tblSafety[Date],$A153)</f>
        <v/>
      </c>
      <c r="IE153" s="62">
        <f>IF($B153=$B152,$IE152,0)+$ID153</f>
        <v/>
      </c>
      <c r="IF153" s="62">
        <f>$IF152+$ID153</f>
        <v/>
      </c>
      <c r="IG153" s="62">
        <f>SUMIFS(tblSafety[Vehicle_Incidents],tblSafety[Date],$A153)</f>
        <v/>
      </c>
      <c r="IH153" s="62">
        <f>IF($B153=$B152,$IH152,0)+$IG153</f>
        <v/>
      </c>
      <c r="II153" s="62">
        <f>$II152+$IG153</f>
        <v/>
      </c>
      <c r="IJ153" s="62">
        <f>SUMIFS(tblSafety[Toolbox_Talks],tblSafety[Date],$A153)</f>
        <v/>
      </c>
      <c r="IK153" s="62">
        <f>IF($B153=$B152,$IK152,0)+$IJ153</f>
        <v/>
      </c>
      <c r="IL153" s="62">
        <f>$IL152+$IJ153</f>
        <v/>
      </c>
      <c r="IM153" s="62">
        <f>SUMIFS(tblSafety[Inspections],tblSafety[Date],$A153)</f>
        <v/>
      </c>
      <c r="IN153" s="62">
        <f>IF($B153=$B152,$IN152,0)+$IM153</f>
        <v/>
      </c>
      <c r="IO153" s="62">
        <f>$IO152+$IM153</f>
        <v/>
      </c>
      <c r="IP153" s="56">
        <f>IFERROR((SUMIFS(tblSafety[Recordables],tblSafety[Date],"&gt;="&amp;EDATE($E153,-12),tblSafety[Date],"&lt;="&amp;$A153)+SUMIFS(tblSafetyHistory[Recordables],tblSafetyHistory[Month],"&gt;="&amp;EDATE($E153,-12),tblSafetyHistory[Month],"&lt;"&amp;$E153,tblSafetyHistory[Use],1))/(SUMIFS(tblSafety[Hours_Total],tblSafety[Date],"&gt;="&amp;EDATE($E153,-12),tblSafety[Date],"&lt;="&amp;$A153)+SUMIFS(tblSafetyHistory[Hours_Total],tblSafetyHistory[Month],"&gt;="&amp;EDATE($E153,-12),tblSafetyHistory[Month],"&lt;"&amp;$E153,tblSafetyHistory[Use],1))*cfg_RateBasisHours,"")</f>
        <v/>
      </c>
      <c r="IQ153" s="56">
        <f>IFERROR((SUMIFS(tblSafety[LTI],tblSafety[Date],"&gt;="&amp;EDATE($E153,-12),tblSafety[Date],"&lt;="&amp;$A153)+SUMIFS(tblSafetyHistory[LTI],tblSafetyHistory[Month],"&gt;="&amp;EDATE($E153,-12),tblSafetyHistory[Month],"&lt;"&amp;$E153,tblSafetyHistory[Use],1))/(SUMIFS(tblSafety[Hours_Total],tblSafety[Date],"&gt;="&amp;EDATE($E153,-12),tblSafety[Date],"&lt;="&amp;$A153)+SUMIFS(tblSafetyHistory[Hours_Total],tblSafetyHistory[Month],"&gt;="&amp;EDATE($E153,-12),tblSafetyHistory[Month],"&lt;"&amp;$E153,tblSafetyHistory[Use],1))*cfg_RateBasisHours,"")</f>
        <v/>
      </c>
      <c r="IR153" s="62">
        <f>IF(MAX(N(cfg_PriorLTIDate),_xlfn.MAXIFS(tblSafety[Date],tblSafety[LTI],"&gt;0",tblSafety[Date],"&lt;="&amp;$A153))=0,"",$A153-MAX(N(cfg_PriorLTIDate),_xlfn.MAXIFS(tblSafety[Date],tblSafety[LTI],"&gt;0",tblSafety[Date],"&lt;="&amp;$A153)))</f>
        <v/>
      </c>
      <c r="IS153" s="55">
        <f>SUMIFS(tblBudget[Ore_Mined_t],tblBudget[Month],$E153)</f>
        <v/>
      </c>
      <c r="IT153" s="55">
        <f>$IS153*$C153/$D153</f>
        <v/>
      </c>
      <c r="IU153" s="55">
        <f>SUMIFS(tblBudget[Ore_Mined_t],tblBudget[Month],"&lt;"&amp;$E153)+$IT153</f>
        <v/>
      </c>
      <c r="IV153" s="55">
        <f>SUMIFS(tblBudget[Ore_oz],tblBudget[Month],$E153)</f>
        <v/>
      </c>
      <c r="IW153" s="55">
        <f>$IV153*$C153/$D153</f>
        <v/>
      </c>
      <c r="IX153" s="55">
        <f>SUMIFS(tblBudget[Ore_oz],tblBudget[Month],"&lt;"&amp;$E153)+$IW153</f>
        <v/>
      </c>
      <c r="IY153" s="55">
        <f>SUMIFS(tblBudget[Ore_Mined_t],tblBudget[Month],$E153)</f>
        <v/>
      </c>
      <c r="IZ153" s="55">
        <f>$IY153*$C153/$D153</f>
        <v/>
      </c>
      <c r="JA153" s="55">
        <f>SUMIFS(tblBudget[Ore_Mined_t],tblBudget[Month],"&lt;"&amp;$E153)+$IZ153</f>
        <v/>
      </c>
      <c r="JB153" s="56">
        <f>IFERROR(IF(($IY153)&gt;0,($IV153*cfg_TroyOz)/($IY153),""),"")</f>
        <v/>
      </c>
      <c r="JC153" s="56">
        <f>IFERROR(IF(($IZ153)&gt;0,($IW153*cfg_TroyOz)/($IZ153),""),"")</f>
        <v/>
      </c>
      <c r="JD153" s="56">
        <f>IFERROR(IF(($JA153)&gt;0,($IX153*cfg_TroyOz)/($JA153),""),"")</f>
        <v/>
      </c>
      <c r="JE153" s="55">
        <f>SUMIFS(tblBudget[Waste_t],tblBudget[Month],$E153)</f>
        <v/>
      </c>
      <c r="JF153" s="55">
        <f>$JE153*$C153/$D153</f>
        <v/>
      </c>
      <c r="JG153" s="55">
        <f>SUMIFS(tblBudget[Waste_t],tblBudget[Month],"&lt;"&amp;$E153)+$JF153</f>
        <v/>
      </c>
      <c r="JH153" s="55">
        <f>SUMIFS(tblBudget[TMM_t],tblBudget[Month],$E153)</f>
        <v/>
      </c>
      <c r="JI153" s="55">
        <f>$JH153*$C153/$D153</f>
        <v/>
      </c>
      <c r="JJ153" s="55">
        <f>SUMIFS(tblBudget[TMM_t],tblBudget[Month],"&lt;"&amp;$E153)+$JI153</f>
        <v/>
      </c>
      <c r="JK153" s="56">
        <f>IFERROR(IF(($IS153)&gt;0,($JE153)/($IS153),""),"")</f>
        <v/>
      </c>
      <c r="JL153" s="56">
        <f>IFERROR(IF(($IT153)&gt;0,($JF153)/($IT153),""),"")</f>
        <v/>
      </c>
      <c r="JM153" s="56">
        <f>IFERROR(IF(($IU153)&gt;0,($JG153)/($IU153),""),"")</f>
        <v/>
      </c>
      <c r="JN153" s="55">
        <f>SUMIFS(tblBudget[Drill_m],tblBudget[Month],$E153)</f>
        <v/>
      </c>
      <c r="JO153" s="55">
        <f>$JN153*$C153/$D153</f>
        <v/>
      </c>
      <c r="JP153" s="55">
        <f>SUMIFS(tblBudget[Drill_m],tblBudget[Month],"&lt;"&amp;$E153)+$JO153</f>
        <v/>
      </c>
      <c r="JQ153" s="55">
        <f>SUMIFS(tblBudget[Diesel_L],tblBudget[Month],$E153)</f>
        <v/>
      </c>
      <c r="JR153" s="55">
        <f>$JQ153*$C153/$D153</f>
        <v/>
      </c>
      <c r="JS153" s="55">
        <f>SUMIFS(tblBudget[Diesel_L],tblBudget[Month],"&lt;"&amp;$E153)+$JR153</f>
        <v/>
      </c>
      <c r="JT153" s="55">
        <f>SUMIFS(tblBudget[Milled_t],tblBudget[Month],$E153)</f>
        <v/>
      </c>
      <c r="JU153" s="55">
        <f>$JT153*$C153/$D153</f>
        <v/>
      </c>
      <c r="JV153" s="55">
        <f>SUMIFS(tblBudget[Milled_t],tblBudget[Month],"&lt;"&amp;$E153)+$JU153</f>
        <v/>
      </c>
      <c r="JW153" s="55">
        <f>SUMIFS(tblBudget[Feed_oz],tblBudget[Month],$E153)</f>
        <v/>
      </c>
      <c r="JX153" s="55">
        <f>$JW153*$C153/$D153</f>
        <v/>
      </c>
      <c r="JY153" s="55">
        <f>SUMIFS(tblBudget[Feed_oz],tblBudget[Month],"&lt;"&amp;$E153)+$JX153</f>
        <v/>
      </c>
      <c r="JZ153" s="55">
        <f>SUMIFS(tblBudget[Recovered_oz],tblBudget[Month],$E153)</f>
        <v/>
      </c>
      <c r="KA153" s="55">
        <f>$JZ153*$C153/$D153</f>
        <v/>
      </c>
      <c r="KB153" s="55">
        <f>SUMIFS(tblBudget[Recovered_oz],tblBudget[Month],"&lt;"&amp;$E153)+$KA153</f>
        <v/>
      </c>
      <c r="KC153" s="55">
        <f>SUMIFS(tblBudget[Milled_t],tblBudget[Month],$E153)</f>
        <v/>
      </c>
      <c r="KD153" s="55">
        <f>$KC153*$C153/$D153</f>
        <v/>
      </c>
      <c r="KE153" s="55">
        <f>SUMIFS(tblBudget[Milled_t],tblBudget[Month],"&lt;"&amp;$E153)+$KD153</f>
        <v/>
      </c>
      <c r="KF153" s="55">
        <f>SUMIFS(tblBudget[Feed_oz],tblBudget[Month],$E153)</f>
        <v/>
      </c>
      <c r="KG153" s="55">
        <f>$KF153*$C153/$D153</f>
        <v/>
      </c>
      <c r="KH153" s="55">
        <f>SUMIFS(tblBudget[Feed_oz],tblBudget[Month],"&lt;"&amp;$E153)+$KG153</f>
        <v/>
      </c>
      <c r="KI153" s="56">
        <f>IFERROR(IF(($KC153)&gt;0,($JW153*cfg_TroyOz)/($KC153),""),"")</f>
        <v/>
      </c>
      <c r="KJ153" s="56">
        <f>IFERROR(IF(($KD153)&gt;0,($JX153*cfg_TroyOz)/($KD153),""),"")</f>
        <v/>
      </c>
      <c r="KK153" s="56">
        <f>IFERROR(IF(($KE153)&gt;0,($JY153*cfg_TroyOz)/($KE153),""),"")</f>
        <v/>
      </c>
      <c r="KL153" s="67">
        <f>IFERROR(IF(($KF153)&gt;0,($JZ153)/($KF153),""),"")</f>
        <v/>
      </c>
      <c r="KM153" s="67">
        <f>IFERROR(IF(($KG153)&gt;0,($KA153)/($KG153),""),"")</f>
        <v/>
      </c>
      <c r="KN153" s="67">
        <f>IFERROR(IF(($KH153)&gt;0,($KB153)/($KH153),""),"")</f>
        <v/>
      </c>
      <c r="KO153" s="55">
        <f>SUMIFS(tblBudget[Gold_Poured_oz],tblBudget[Month],$E153)</f>
        <v/>
      </c>
      <c r="KP153" s="55">
        <f>$KO153*$C153/$D153</f>
        <v/>
      </c>
      <c r="KQ153" s="55">
        <f>SUMIFS(tblBudget[Gold_Poured_oz],tblBudget[Month],"&lt;"&amp;$E153)+$KP153</f>
        <v/>
      </c>
      <c r="KR153" s="57">
        <f>SUMIFS(tblBudget[Hours_Worked],tblBudget[Month],$E153)</f>
        <v/>
      </c>
      <c r="KS153" s="57">
        <f>$KR153*$C153/$D153</f>
        <v/>
      </c>
      <c r="KT153" s="57">
        <f>SUMIFS(tblBudget[Hours_Worked],tblBudget[Month],"&lt;"&amp;$E153)+$KS153</f>
        <v/>
      </c>
    </row>
    <row r="154">
      <c r="A154" s="54" t="n">
        <v>46175</v>
      </c>
      <c r="B154">
        <f>MONTH($A154)</f>
        <v/>
      </c>
      <c r="C154">
        <f>DAY($A154)</f>
        <v/>
      </c>
      <c r="D154">
        <f>DAY(EOMONTH($A154,0))</f>
        <v/>
      </c>
      <c r="E154" s="54">
        <f>DATE(YEAR($A154),MONTH($A154),1)</f>
        <v/>
      </c>
      <c r="F154" s="55">
        <f>SUMIFS(tblMovement[Tonnes_t],tblMovement[Date],$A154,tblMovement[Is_Ore],1,tblMovement[Source_Type],"Pit")</f>
        <v/>
      </c>
      <c r="G154" s="55">
        <f>IF($B154=$B153,$G153,0)+$F154</f>
        <v/>
      </c>
      <c r="H154" s="55">
        <f>$H153+$F154</f>
        <v/>
      </c>
      <c r="I154" s="55">
        <f>SUMIFS(tblMovement[Ore_oz],tblMovement[Date],$A154,tblMovement[Source_Type],"Pit")</f>
        <v/>
      </c>
      <c r="J154" s="55">
        <f>IF($B154=$B153,$J153,0)+$I154</f>
        <v/>
      </c>
      <c r="K154" s="55">
        <f>$K153+$I154</f>
        <v/>
      </c>
      <c r="L154" s="55">
        <f>SUMIFS(tblMovement[Tonnes_t],tblMovement[Date],$A154,tblMovement[Is_Ore],1,tblMovement[Source_Type],"Pit",tblMovement[Grade_gpt],"&lt;&gt;")</f>
        <v/>
      </c>
      <c r="M154" s="55">
        <f>IF($B154=$B153,$M153,0)+$L154</f>
        <v/>
      </c>
      <c r="N154" s="55">
        <f>$N153+$L154</f>
        <v/>
      </c>
      <c r="O154" s="56">
        <f>IFERROR(IF(($L154)&gt;0,($I154*cfg_TroyOz)/($L154),""),"")</f>
        <v/>
      </c>
      <c r="P154" s="56">
        <f>IFERROR(IF(($M154)&gt;0,($J154*cfg_TroyOz)/($M154),""),"")</f>
        <v/>
      </c>
      <c r="Q154" s="56">
        <f>IFERROR(IF(($N154)&gt;0,($K154*cfg_TroyOz)/($N154),""),"")</f>
        <v/>
      </c>
      <c r="R154" s="55">
        <f>$F154-$L154</f>
        <v/>
      </c>
      <c r="S154" s="55">
        <f>IF($B154=$B153,$S153,0)+$R154</f>
        <v/>
      </c>
      <c r="T154" s="55">
        <f>$T153+$R154</f>
        <v/>
      </c>
      <c r="U154" s="55">
        <f>SUMIFS(tblMovement[Tonnes_t],tblMovement[Date],$A154,tblMovement[Is_Ore],0,tblMovement[Source_Type],"Pit")</f>
        <v/>
      </c>
      <c r="V154" s="55">
        <f>IF($B154=$B153,$V153,0)+$U154</f>
        <v/>
      </c>
      <c r="W154" s="55">
        <f>$W153+$U154</f>
        <v/>
      </c>
      <c r="X154" s="55">
        <f>$F154+$U154</f>
        <v/>
      </c>
      <c r="Y154" s="55">
        <f>IF($B154=$B153,$Y153,0)+$X154</f>
        <v/>
      </c>
      <c r="Z154" s="55">
        <f>$Z153+$X154</f>
        <v/>
      </c>
      <c r="AA154" s="56">
        <f>IFERROR(IF(($F154)&gt;0,($U154)/($F154),""),"")</f>
        <v/>
      </c>
      <c r="AB154" s="56">
        <f>IFERROR(IF(($G154)&gt;0,($V154)/($G154),""),"")</f>
        <v/>
      </c>
      <c r="AC154" s="56">
        <f>IFERROR(IF(($H154)&gt;0,($W154)/($H154),""),"")</f>
        <v/>
      </c>
      <c r="AD154" s="55">
        <f>SUMIFS(tblMovement[Tonnes_t],tblMovement[Date],$A154,tblMovement[Source_Type],"Stockpile")</f>
        <v/>
      </c>
      <c r="AE154" s="55">
        <f>IF($B154=$B153,$AE153,0)+$AD154</f>
        <v/>
      </c>
      <c r="AF154" s="55">
        <f>$AF153+$AD154</f>
        <v/>
      </c>
      <c r="AG154" s="55">
        <f>SUMIFS(tblMovement[Tonnes_t],tblMovement[Date],$A154)</f>
        <v/>
      </c>
      <c r="AH154" s="55">
        <f>IF($B154=$B153,$AH153,0)+$AG154</f>
        <v/>
      </c>
      <c r="AI154" s="55">
        <f>$AI153+$AG154</f>
        <v/>
      </c>
      <c r="AJ154" s="55">
        <f>$AG154-$X154-$AD154</f>
        <v/>
      </c>
      <c r="AK154" s="55">
        <f>IF($B154=$B153,$AK153,0)+$AJ154</f>
        <v/>
      </c>
      <c r="AL154" s="55">
        <f>$AL153+$AJ154</f>
        <v/>
      </c>
      <c r="AM154" s="55">
        <f>SUMIFS(tblMiningDaily[Drill_m],tblMiningDaily[Date],$A154)</f>
        <v/>
      </c>
      <c r="AN154" s="55">
        <f>IF($B154=$B153,$AN153,0)+$AM154</f>
        <v/>
      </c>
      <c r="AO154" s="55">
        <f>$AO153+$AM154</f>
        <v/>
      </c>
      <c r="AP154" s="55">
        <f>SUMIFS(tblMiningDaily[GC_Drill_m],tblMiningDaily[Date],$A154)</f>
        <v/>
      </c>
      <c r="AQ154" s="55">
        <f>IF($B154=$B153,$AQ153,0)+$AP154</f>
        <v/>
      </c>
      <c r="AR154" s="55">
        <f>$AR153+$AP154</f>
        <v/>
      </c>
      <c r="AS154" s="55">
        <f>SUMIFS(tblMiningDaily[Blast_t],tblMiningDaily[Date],$A154)</f>
        <v/>
      </c>
      <c r="AT154" s="55">
        <f>IF($B154=$B153,$AT153,0)+$AS154</f>
        <v/>
      </c>
      <c r="AU154" s="55">
        <f>$AU153+$AS154</f>
        <v/>
      </c>
      <c r="AV154" s="55">
        <f>SUMIFS(tblMiningDaily[Explosives_kg],tblMiningDaily[Date],$A154)</f>
        <v/>
      </c>
      <c r="AW154" s="55">
        <f>IF($B154=$B153,$AW153,0)+$AV154</f>
        <v/>
      </c>
      <c r="AX154" s="55">
        <f>$AX153+$AV154</f>
        <v/>
      </c>
      <c r="AY154" s="56">
        <f>IFERROR(IF(($AS154)&gt;0,($AV154)/($AS154),""),"")</f>
        <v/>
      </c>
      <c r="AZ154" s="56">
        <f>IFERROR(IF(($AT154)&gt;0,($AW154)/($AT154),""),"")</f>
        <v/>
      </c>
      <c r="BA154" s="56">
        <f>IFERROR(IF(($AU154)&gt;0,($AX154)/($AU154),""),"")</f>
        <v/>
      </c>
      <c r="BB154" s="55">
        <f>SUMIFS(tblMiningDaily[Diesel_L],tblMiningDaily[Date],$A154)</f>
        <v/>
      </c>
      <c r="BC154" s="55">
        <f>IF($B154=$B153,$BC153,0)+$BB154</f>
        <v/>
      </c>
      <c r="BD154" s="55">
        <f>$BD153+$BB154</f>
        <v/>
      </c>
      <c r="BE154" s="55">
        <f>SUMIFS(tblMiningDaily[Dewatering_m3],tblMiningDaily[Date],$A154)</f>
        <v/>
      </c>
      <c r="BF154" s="55">
        <f>IF($B154=$B153,$BF153,0)+$BE154</f>
        <v/>
      </c>
      <c r="BG154" s="55">
        <f>$BG153+$BE154</f>
        <v/>
      </c>
      <c r="BH154" s="57">
        <f>SUMIFS(tblFleet[Calendar_h],tblFleet[Date],$A154,tblFleet[Equipment_Class],"Excavator")</f>
        <v/>
      </c>
      <c r="BI154" s="57">
        <f>IF($B154=$B153,$BI153,0)+$BH154</f>
        <v/>
      </c>
      <c r="BJ154" s="57">
        <f>$BJ153+$BH154</f>
        <v/>
      </c>
      <c r="BK154" s="57">
        <f>SUMIFS(tblFleet[Available_h],tblFleet[Date],$A154,tblFleet[Equipment_Class],"Excavator")</f>
        <v/>
      </c>
      <c r="BL154" s="57">
        <f>IF($B154=$B153,$BL153,0)+$BK154</f>
        <v/>
      </c>
      <c r="BM154" s="57">
        <f>$BM153+$BK154</f>
        <v/>
      </c>
      <c r="BN154" s="57">
        <f>SUMIFS(tblFleet[Operating_h],tblFleet[Date],$A154,tblFleet[Equipment_Class],"Excavator")</f>
        <v/>
      </c>
      <c r="BO154" s="57">
        <f>IF($B154=$B153,$BO153,0)+$BN154</f>
        <v/>
      </c>
      <c r="BP154" s="57">
        <f>$BP153+$BN154</f>
        <v/>
      </c>
      <c r="BQ154" s="67">
        <f>IFERROR(IF(($BH154)&gt;0,($BK154)/($BH154),""),"")</f>
        <v/>
      </c>
      <c r="BR154" s="67">
        <f>IFERROR(IF(($BI154)&gt;0,($BL154)/($BI154),""),"")</f>
        <v/>
      </c>
      <c r="BS154" s="67">
        <f>IFERROR(IF(($BJ154)&gt;0,($BM154)/($BJ154),""),"")</f>
        <v/>
      </c>
      <c r="BT154" s="67">
        <f>IFERROR(IF(($BK154)&gt;0,($BN154)/($BK154),""),"")</f>
        <v/>
      </c>
      <c r="BU154" s="67">
        <f>IFERROR(IF(($BL154)&gt;0,($BO154)/($BL154),""),"")</f>
        <v/>
      </c>
      <c r="BV154" s="67">
        <f>IFERROR(IF(($BM154)&gt;0,($BP154)/($BM154),""),"")</f>
        <v/>
      </c>
      <c r="BW154" s="57">
        <f>SUMIFS(tblFleet[Calendar_h],tblFleet[Date],$A154,tblFleet[Equipment_Class],"Haul Truck")</f>
        <v/>
      </c>
      <c r="BX154" s="57">
        <f>IF($B154=$B153,$BX153,0)+$BW154</f>
        <v/>
      </c>
      <c r="BY154" s="57">
        <f>$BY153+$BW154</f>
        <v/>
      </c>
      <c r="BZ154" s="57">
        <f>SUMIFS(tblFleet[Available_h],tblFleet[Date],$A154,tblFleet[Equipment_Class],"Haul Truck")</f>
        <v/>
      </c>
      <c r="CA154" s="57">
        <f>IF($B154=$B153,$CA153,0)+$BZ154</f>
        <v/>
      </c>
      <c r="CB154" s="57">
        <f>$CB153+$BZ154</f>
        <v/>
      </c>
      <c r="CC154" s="57">
        <f>SUMIFS(tblFleet[Operating_h],tblFleet[Date],$A154,tblFleet[Equipment_Class],"Haul Truck")</f>
        <v/>
      </c>
      <c r="CD154" s="57">
        <f>IF($B154=$B153,$CD153,0)+$CC154</f>
        <v/>
      </c>
      <c r="CE154" s="57">
        <f>$CE153+$CC154</f>
        <v/>
      </c>
      <c r="CF154" s="67">
        <f>IFERROR(IF(($BW154)&gt;0,($BZ154)/($BW154),""),"")</f>
        <v/>
      </c>
      <c r="CG154" s="67">
        <f>IFERROR(IF(($BX154)&gt;0,($CA154)/($BX154),""),"")</f>
        <v/>
      </c>
      <c r="CH154" s="67">
        <f>IFERROR(IF(($BY154)&gt;0,($CB154)/($BY154),""),"")</f>
        <v/>
      </c>
      <c r="CI154" s="67">
        <f>IFERROR(IF(($BZ154)&gt;0,($CC154)/($BZ154),""),"")</f>
        <v/>
      </c>
      <c r="CJ154" s="67">
        <f>IFERROR(IF(($CA154)&gt;0,($CD154)/($CA154),""),"")</f>
        <v/>
      </c>
      <c r="CK154" s="67">
        <f>IFERROR(IF(($CB154)&gt;0,($CE154)/($CB154),""),"")</f>
        <v/>
      </c>
      <c r="CL154" s="55">
        <f>IFERROR(IF(($BN154)&gt;0,($X154+$AD154)/($BN154),""),"")</f>
        <v/>
      </c>
      <c r="CM154" s="55">
        <f>IFERROR(IF(($BO154)&gt;0,($Y154+$AE154)/($BO154),""),"")</f>
        <v/>
      </c>
      <c r="CN154" s="55">
        <f>IFERROR(IF(($BP154)&gt;0,($Z154+$AF154)/($BP154),""),"")</f>
        <v/>
      </c>
      <c r="CO154" s="55">
        <f>IFERROR(IF(($CC154)&gt;0,($X154+$AD154)/($CC154),""),"")</f>
        <v/>
      </c>
      <c r="CP154" s="55">
        <f>IFERROR(IF(($CD154)&gt;0,($Y154+$AE154)/($CD154),""),"")</f>
        <v/>
      </c>
      <c r="CQ154" s="55">
        <f>IFERROR(IF(($CE154)&gt;0,($Z154+$AF154)/($CE154),""),"")</f>
        <v/>
      </c>
      <c r="CR154" s="55">
        <f>SUMIFS(tblPlant[Crushed_t],tblPlant[Date],$A154)</f>
        <v/>
      </c>
      <c r="CS154" s="55">
        <f>IF($B154=$B153,$CS153,0)+$CR154</f>
        <v/>
      </c>
      <c r="CT154" s="55">
        <f>$CT153+$CR154</f>
        <v/>
      </c>
      <c r="CU154" s="55">
        <f>SUMIFS(tblPlant[Milled_t],tblPlant[Date],$A154)</f>
        <v/>
      </c>
      <c r="CV154" s="55">
        <f>IF($B154=$B153,$CV153,0)+$CU154</f>
        <v/>
      </c>
      <c r="CW154" s="55">
        <f>$CW153+$CU154</f>
        <v/>
      </c>
      <c r="CX154" s="55">
        <f>SUMIFS(tblPlant[Feed_oz],tblPlant[Date],$A154)</f>
        <v/>
      </c>
      <c r="CY154" s="55">
        <f>IF($B154=$B153,$CY153,0)+$CX154</f>
        <v/>
      </c>
      <c r="CZ154" s="55">
        <f>$CZ153+$CX154</f>
        <v/>
      </c>
      <c r="DA154" s="55">
        <f>SUMIFS(tblPlant[Tails_oz],tblPlant[Date],$A154)</f>
        <v/>
      </c>
      <c r="DB154" s="55">
        <f>IF($B154=$B153,$DB153,0)+$DA154</f>
        <v/>
      </c>
      <c r="DC154" s="55">
        <f>$DC153+$DA154</f>
        <v/>
      </c>
      <c r="DD154" s="55">
        <f>SUMIFS(tblPlant[Recovered_oz],tblPlant[Date],$A154)</f>
        <v/>
      </c>
      <c r="DE154" s="55">
        <f>IF($B154=$B153,$DE153,0)+$DD154</f>
        <v/>
      </c>
      <c r="DF154" s="55">
        <f>$DF153+$DD154</f>
        <v/>
      </c>
      <c r="DG154" s="55">
        <f>SUMIFS(tblPlant[Milled_t],tblPlant[Date],$A154,tblPlant[Head_Grade_gpt],"&lt;&gt;")</f>
        <v/>
      </c>
      <c r="DH154" s="55">
        <f>IF($B154=$B153,$DH153,0)+$DG154</f>
        <v/>
      </c>
      <c r="DI154" s="55">
        <f>$DI153+$DG154</f>
        <v/>
      </c>
      <c r="DJ154" s="55">
        <f>SUMIFS(tblPlant[Milled_t],tblPlant[Date],$A154,tblPlant[Tails_Grade_gpt],"&lt;&gt;")</f>
        <v/>
      </c>
      <c r="DK154" s="55">
        <f>IF($B154=$B153,$DK153,0)+$DJ154</f>
        <v/>
      </c>
      <c r="DL154" s="55">
        <f>$DL153+$DJ154</f>
        <v/>
      </c>
      <c r="DM154" s="55">
        <f>SUMIFS(tblPlant[Feed_oz],tblPlant[Date],$A154,tblPlant[Tails_Grade_gpt],"&lt;&gt;")</f>
        <v/>
      </c>
      <c r="DN154" s="55">
        <f>IF($B154=$B153,$DN153,0)+$DM154</f>
        <v/>
      </c>
      <c r="DO154" s="55">
        <f>$DO153+$DM154</f>
        <v/>
      </c>
      <c r="DP154" s="55">
        <f>SUMIFS(tblPlant[Milled_t],tblPlant[Date],$A154,tblPlant[Mill_Run_h],"&lt;&gt;")</f>
        <v/>
      </c>
      <c r="DQ154" s="55">
        <f>IF($B154=$B153,$DQ153,0)+$DP154</f>
        <v/>
      </c>
      <c r="DR154" s="55">
        <f>$DR153+$DP154</f>
        <v/>
      </c>
      <c r="DS154" s="56">
        <f>IFERROR(IF(($DG154)&gt;0,($CX154*cfg_TroyOz)/($DG154),""),"")</f>
        <v/>
      </c>
      <c r="DT154" s="56">
        <f>IFERROR(IF(($DH154)&gt;0,($CY154*cfg_TroyOz)/($DH154),""),"")</f>
        <v/>
      </c>
      <c r="DU154" s="56">
        <f>IFERROR(IF(($DI154)&gt;0,($CZ154*cfg_TroyOz)/($DI154),""),"")</f>
        <v/>
      </c>
      <c r="DV154" s="56">
        <f>IFERROR(IF(($DJ154)&gt;0,($DA154*cfg_TroyOz)/($DJ154),""),"")</f>
        <v/>
      </c>
      <c r="DW154" s="56">
        <f>IFERROR(IF(($DK154)&gt;0,($DB154*cfg_TroyOz)/($DK154),""),"")</f>
        <v/>
      </c>
      <c r="DX154" s="56">
        <f>IFERROR(IF(($DL154)&gt;0,($DC154*cfg_TroyOz)/($DL154),""),"")</f>
        <v/>
      </c>
      <c r="DY154" s="67">
        <f>IFERROR(IF(($DM154)&gt;0,($DD154)/($DM154),""),"")</f>
        <v/>
      </c>
      <c r="DZ154" s="67">
        <f>IFERROR(IF(($DN154)&gt;0,($DE154)/($DN154),""),"")</f>
        <v/>
      </c>
      <c r="EA154" s="67">
        <f>IFERROR(IF(($DO154)&gt;0,($DF154)/($DO154),""),"")</f>
        <v/>
      </c>
      <c r="EB154" s="55">
        <f>SUMIFS(tblPlant[Gravity_Gold_oz],tblPlant[Date],$A154)</f>
        <v/>
      </c>
      <c r="EC154" s="55">
        <f>IF($B154=$B153,$EC153,0)+$EB154</f>
        <v/>
      </c>
      <c r="ED154" s="55">
        <f>$ED153+$EB154</f>
        <v/>
      </c>
      <c r="EE154" s="67">
        <f>IFERROR(IF(($DD154)&gt;0,($EB154)/($DD154),""),"")</f>
        <v/>
      </c>
      <c r="EF154" s="67">
        <f>IFERROR(IF(($DE154)&gt;0,($EC154)/($DE154),""),"")</f>
        <v/>
      </c>
      <c r="EG154" s="67">
        <f>IFERROR(IF(($DF154)&gt;0,($ED154)/($DF154),""),"")</f>
        <v/>
      </c>
      <c r="EH154" s="55">
        <f>SUMIFS(tblPlant[Gold_Poured_oz],tblPlant[Date],$A154)</f>
        <v/>
      </c>
      <c r="EI154" s="55">
        <f>IF($B154=$B153,$EI153,0)+$EH154</f>
        <v/>
      </c>
      <c r="EJ154" s="55">
        <f>$EJ153+$EH154</f>
        <v/>
      </c>
      <c r="EK154" s="57">
        <f>SUMIFS(tblPlant[Mill_Run_h],tblPlant[Date],$A154)</f>
        <v/>
      </c>
      <c r="EL154" s="57">
        <f>IF($B154=$B153,$EL153,0)+$EK154</f>
        <v/>
      </c>
      <c r="EM154" s="57">
        <f>$EM153+$EK154</f>
        <v/>
      </c>
      <c r="EN154" s="57">
        <f>SUMIFS(tblPlant[Mill_Planned_Maint_h],tblPlant[Date],$A154)</f>
        <v/>
      </c>
      <c r="EO154" s="57">
        <f>IF($B154=$B153,$EO153,0)+$EN154</f>
        <v/>
      </c>
      <c r="EP154" s="57">
        <f>$EP153+$EN154</f>
        <v/>
      </c>
      <c r="EQ154" s="57">
        <f>SUMIFS(tblPlant[Mill_Unplanned_Down_h],tblPlant[Date],$A154)</f>
        <v/>
      </c>
      <c r="ER154" s="57">
        <f>IF($B154=$B153,$ER153,0)+$EQ154</f>
        <v/>
      </c>
      <c r="ES154" s="57">
        <f>$ES153+$EQ154</f>
        <v/>
      </c>
      <c r="ET154" s="57">
        <f>IF(COUNTIFS(tblPlant[Date],$A154,tblPlant[Mill_Run_h],"&lt;&gt;")+COUNTIFS(tblPlant[Date],$A154,tblPlant[Mill_Planned_Maint_h],"&lt;&gt;")+COUNTIFS(tblPlant[Date],$A154,tblPlant[Mill_Unplanned_Down_h],"&lt;&gt;")&gt;0,cfg_HoursPerDay,0)</f>
        <v/>
      </c>
      <c r="EU154" s="57">
        <f>IF($B154=$B153,$EU153,0)+$ET154</f>
        <v/>
      </c>
      <c r="EV154" s="57">
        <f>$EV153+$ET154</f>
        <v/>
      </c>
      <c r="EW154" s="57">
        <f>SUMIFS(tblPlant[Crusher_Run_h],tblPlant[Date],$A154)</f>
        <v/>
      </c>
      <c r="EX154" s="57">
        <f>IF($B154=$B153,$EX153,0)+$EW154</f>
        <v/>
      </c>
      <c r="EY154" s="57">
        <f>$EY153+$EW154</f>
        <v/>
      </c>
      <c r="EZ154" s="55">
        <f>IFERROR(IF(($EK154)&gt;0,($DP154)/($EK154),""),"")</f>
        <v/>
      </c>
      <c r="FA154" s="55">
        <f>IFERROR(IF(($EL154)&gt;0,($DQ154)/($EL154),""),"")</f>
        <v/>
      </c>
      <c r="FB154" s="55">
        <f>IFERROR(IF(($EM154)&gt;0,($DR154)/($EM154),""),"")</f>
        <v/>
      </c>
      <c r="FC154" s="67">
        <f>IFERROR(IF(($ET154)&gt;0,($ET154-$EN154-$EQ154)/($ET154),""),"")</f>
        <v/>
      </c>
      <c r="FD154" s="67">
        <f>IFERROR(IF(($EU154)&gt;0,($EU154-$EO154-$ER154)/($EU154),""),"")</f>
        <v/>
      </c>
      <c r="FE154" s="67">
        <f>IFERROR(IF(($EV154)&gt;0,($EV154-$EP154-$ES154)/($EV154),""),"")</f>
        <v/>
      </c>
      <c r="FF154" s="67">
        <f>IFERROR(IF(($ET154-$EN154-$EQ154)&gt;0,($EK154)/($ET154-$EN154-$EQ154),""),"")</f>
        <v/>
      </c>
      <c r="FG154" s="67">
        <f>IFERROR(IF(($EU154-$EO154-$ER154)&gt;0,($EL154)/($EU154-$EO154-$ER154),""),"")</f>
        <v/>
      </c>
      <c r="FH154" s="67">
        <f>IFERROR(IF(($EV154-$EP154-$ES154)&gt;0,($EM154)/($EV154-$EP154-$ES154),""),"")</f>
        <v/>
      </c>
      <c r="FI154" s="55">
        <f>SUMIFS(tblPlant[Cyanide_kg],tblPlant[Date],$A154)</f>
        <v/>
      </c>
      <c r="FJ154" s="55">
        <f>IF($B154=$B153,$FJ153,0)+$FI154</f>
        <v/>
      </c>
      <c r="FK154" s="55">
        <f>$FK153+$FI154</f>
        <v/>
      </c>
      <c r="FL154" s="55">
        <f>SUMIFS(tblPlant[Lime_kg],tblPlant[Date],$A154)</f>
        <v/>
      </c>
      <c r="FM154" s="55">
        <f>IF($B154=$B153,$FM153,0)+$FL154</f>
        <v/>
      </c>
      <c r="FN154" s="55">
        <f>$FN153+$FL154</f>
        <v/>
      </c>
      <c r="FO154" s="55">
        <f>SUMIFS(tblPlant[Grinding_Media_kg],tblPlant[Date],$A154)</f>
        <v/>
      </c>
      <c r="FP154" s="55">
        <f>IF($B154=$B153,$FP153,0)+$FO154</f>
        <v/>
      </c>
      <c r="FQ154" s="55">
        <f>$FQ153+$FO154</f>
        <v/>
      </c>
      <c r="FR154" s="55">
        <f>SUMIFS(tblPlant[Power_kWh],tblPlant[Date],$A154)</f>
        <v/>
      </c>
      <c r="FS154" s="55">
        <f>IF($B154=$B153,$FS153,0)+$FR154</f>
        <v/>
      </c>
      <c r="FT154" s="55">
        <f>$FT153+$FR154</f>
        <v/>
      </c>
      <c r="FU154" s="55">
        <f>SUMIFS(tblPlant[Raw_Water_m3],tblPlant[Date],$A154)</f>
        <v/>
      </c>
      <c r="FV154" s="55">
        <f>IF($B154=$B153,$FV153,0)+$FU154</f>
        <v/>
      </c>
      <c r="FW154" s="55">
        <f>$FW153+$FU154</f>
        <v/>
      </c>
      <c r="FX154" s="56">
        <f>IFERROR(IF(($CU154)&gt;0,($FI154)/($CU154),""),"")</f>
        <v/>
      </c>
      <c r="FY154" s="56">
        <f>IFERROR(IF(($CV154)&gt;0,($FJ154)/($CV154),""),"")</f>
        <v/>
      </c>
      <c r="FZ154" s="56">
        <f>IFERROR(IF(($CW154)&gt;0,($FK154)/($CW154),""),"")</f>
        <v/>
      </c>
      <c r="GA154" s="56">
        <f>IFERROR(IF(($CU154)&gt;0,($FL154)/($CU154),""),"")</f>
        <v/>
      </c>
      <c r="GB154" s="56">
        <f>IFERROR(IF(($CV154)&gt;0,($FM154)/($CV154),""),"")</f>
        <v/>
      </c>
      <c r="GC154" s="56">
        <f>IFERROR(IF(($CW154)&gt;0,($FN154)/($CW154),""),"")</f>
        <v/>
      </c>
      <c r="GD154" s="56">
        <f>IFERROR(IF(($CU154)&gt;0,($FO154)/($CU154),""),"")</f>
        <v/>
      </c>
      <c r="GE154" s="56">
        <f>IFERROR(IF(($CV154)&gt;0,($FP154)/($CV154),""),"")</f>
        <v/>
      </c>
      <c r="GF154" s="56">
        <f>IFERROR(IF(($CW154)&gt;0,($FQ154)/($CW154),""),"")</f>
        <v/>
      </c>
      <c r="GG154" s="79">
        <f>IFERROR(IF(($CU154)&gt;0,($FR154)/($CU154),""),"")</f>
        <v/>
      </c>
      <c r="GH154" s="79">
        <f>IFERROR(IF(($CV154)&gt;0,($FS154)/($CV154),""),"")</f>
        <v/>
      </c>
      <c r="GI154" s="79">
        <f>IFERROR(IF(($CW154)&gt;0,($FT154)/($CW154),""),"")</f>
        <v/>
      </c>
      <c r="GJ154" s="56">
        <f>IFERROR(IF(($CU154)&gt;0,($FU154)/($CU154),""),"")</f>
        <v/>
      </c>
      <c r="GK154" s="56">
        <f>IFERROR(IF(($CV154)&gt;0,($FV154)/($CV154),""),"")</f>
        <v/>
      </c>
      <c r="GL154" s="56">
        <f>IFERROR(IF(($CW154)&gt;0,($FW154)/($CW154),""),"")</f>
        <v/>
      </c>
      <c r="GM154" s="55">
        <f>IF(SUMIFS(tblPlant[GIC_oz],tblPlant[Date],$A154)&gt;0,SUMIFS(tblPlant[GIC_oz],tblPlant[Date],$A154),"")</f>
        <v/>
      </c>
      <c r="GN154" s="55">
        <f>SUMIFS(tblGold[Gold_oz],tblGold[Date],$A154,tblGold[Type],"Shipment")</f>
        <v/>
      </c>
      <c r="GO154" s="55">
        <f>IF($B154=$B153,$GO153,0)+$GN154</f>
        <v/>
      </c>
      <c r="GP154" s="55">
        <f>$GP153+$GN154</f>
        <v/>
      </c>
      <c r="GQ154" s="55">
        <f>SUMIFS(tblGold[Gold_oz],tblGold[Date],$A154,tblGold[Type],"Sale")</f>
        <v/>
      </c>
      <c r="GR154" s="55">
        <f>IF($B154=$B153,$GR153,0)+$GQ154</f>
        <v/>
      </c>
      <c r="GS154" s="55">
        <f>$GS153+$GQ154</f>
        <v/>
      </c>
      <c r="GT154" s="55">
        <f>SUMIFS(tblGold[Dore_kg],tblGold[Date],$A154,tblGold[Type],"Shipment")</f>
        <v/>
      </c>
      <c r="GU154" s="55">
        <f>IF($B154=$B153,$GU153,0)+$GT154</f>
        <v/>
      </c>
      <c r="GV154" s="55">
        <f>$GV153+$GT154</f>
        <v/>
      </c>
      <c r="GW154" s="57">
        <f>SUMIFS(tblSafety[Hours_Total],tblSafety[Date],$A154)</f>
        <v/>
      </c>
      <c r="GX154" s="57">
        <f>IF($B154=$B153,$GX153,0)+$GW154</f>
        <v/>
      </c>
      <c r="GY154" s="57">
        <f>$GY153+$GW154</f>
        <v/>
      </c>
      <c r="GZ154" s="62">
        <f>SUMIFS(tblSafety[Fatality],tblSafety[Date],$A154)</f>
        <v/>
      </c>
      <c r="HA154" s="62">
        <f>IF($B154=$B153,$HA153,0)+$GZ154</f>
        <v/>
      </c>
      <c r="HB154" s="62">
        <f>$HB153+$GZ154</f>
        <v/>
      </c>
      <c r="HC154" s="62">
        <f>SUMIFS(tblSafety[LTI],tblSafety[Date],$A154)</f>
        <v/>
      </c>
      <c r="HD154" s="62">
        <f>IF($B154=$B153,$HD153,0)+$HC154</f>
        <v/>
      </c>
      <c r="HE154" s="62">
        <f>$HE153+$HC154</f>
        <v/>
      </c>
      <c r="HF154" s="62">
        <f>SUMIFS(tblSafety[RWI],tblSafety[Date],$A154)</f>
        <v/>
      </c>
      <c r="HG154" s="62">
        <f>IF($B154=$B153,$HG153,0)+$HF154</f>
        <v/>
      </c>
      <c r="HH154" s="62">
        <f>$HH153+$HF154</f>
        <v/>
      </c>
      <c r="HI154" s="62">
        <f>SUMIFS(tblSafety[MTI],tblSafety[Date],$A154)</f>
        <v/>
      </c>
      <c r="HJ154" s="62">
        <f>IF($B154=$B153,$HJ153,0)+$HI154</f>
        <v/>
      </c>
      <c r="HK154" s="62">
        <f>$HK153+$HI154</f>
        <v/>
      </c>
      <c r="HL154" s="62">
        <f>SUMIFS(tblSafety[FAI],tblSafety[Date],$A154)</f>
        <v/>
      </c>
      <c r="HM154" s="62">
        <f>IF($B154=$B153,$HM153,0)+$HL154</f>
        <v/>
      </c>
      <c r="HN154" s="62">
        <f>$HN153+$HL154</f>
        <v/>
      </c>
      <c r="HO154" s="62">
        <f>SUMIFS(tblSafety[Recordables],tblSafety[Date],$A154)</f>
        <v/>
      </c>
      <c r="HP154" s="62">
        <f>IF($B154=$B153,$HP153,0)+$HO154</f>
        <v/>
      </c>
      <c r="HQ154" s="62">
        <f>$HQ153+$HO154</f>
        <v/>
      </c>
      <c r="HR154" s="62">
        <f>SUMIFS(tblSafety[Near_Miss],tblSafety[Date],$A154)</f>
        <v/>
      </c>
      <c r="HS154" s="62">
        <f>IF($B154=$B153,$HS153,0)+$HR154</f>
        <v/>
      </c>
      <c r="HT154" s="62">
        <f>$HT153+$HR154</f>
        <v/>
      </c>
      <c r="HU154" s="62">
        <f>SUMIFS(tblSafety[Hazard_Reports],tblSafety[Date],$A154)</f>
        <v/>
      </c>
      <c r="HV154" s="62">
        <f>IF($B154=$B153,$HV153,0)+$HU154</f>
        <v/>
      </c>
      <c r="HW154" s="62">
        <f>$HW153+$HU154</f>
        <v/>
      </c>
      <c r="HX154" s="62">
        <f>SUMIFS(tblSafety[HPI],tblSafety[Date],$A154)</f>
        <v/>
      </c>
      <c r="HY154" s="62">
        <f>IF($B154=$B153,$HY153,0)+$HX154</f>
        <v/>
      </c>
      <c r="HZ154" s="62">
        <f>$HZ153+$HX154</f>
        <v/>
      </c>
      <c r="IA154" s="62">
        <f>SUMIFS(tblSafety[Env_Incidents],tblSafety[Date],$A154)</f>
        <v/>
      </c>
      <c r="IB154" s="62">
        <f>IF($B154=$B153,$IB153,0)+$IA154</f>
        <v/>
      </c>
      <c r="IC154" s="62">
        <f>$IC153+$IA154</f>
        <v/>
      </c>
      <c r="ID154" s="62">
        <f>SUMIFS(tblSafety[Community_Incidents],tblSafety[Date],$A154)</f>
        <v/>
      </c>
      <c r="IE154" s="62">
        <f>IF($B154=$B153,$IE153,0)+$ID154</f>
        <v/>
      </c>
      <c r="IF154" s="62">
        <f>$IF153+$ID154</f>
        <v/>
      </c>
      <c r="IG154" s="62">
        <f>SUMIFS(tblSafety[Vehicle_Incidents],tblSafety[Date],$A154)</f>
        <v/>
      </c>
      <c r="IH154" s="62">
        <f>IF($B154=$B153,$IH153,0)+$IG154</f>
        <v/>
      </c>
      <c r="II154" s="62">
        <f>$II153+$IG154</f>
        <v/>
      </c>
      <c r="IJ154" s="62">
        <f>SUMIFS(tblSafety[Toolbox_Talks],tblSafety[Date],$A154)</f>
        <v/>
      </c>
      <c r="IK154" s="62">
        <f>IF($B154=$B153,$IK153,0)+$IJ154</f>
        <v/>
      </c>
      <c r="IL154" s="62">
        <f>$IL153+$IJ154</f>
        <v/>
      </c>
      <c r="IM154" s="62">
        <f>SUMIFS(tblSafety[Inspections],tblSafety[Date],$A154)</f>
        <v/>
      </c>
      <c r="IN154" s="62">
        <f>IF($B154=$B153,$IN153,0)+$IM154</f>
        <v/>
      </c>
      <c r="IO154" s="62">
        <f>$IO153+$IM154</f>
        <v/>
      </c>
      <c r="IP154" s="56">
        <f>IFERROR((SUMIFS(tblSafety[Recordables],tblSafety[Date],"&gt;="&amp;EDATE($E154,-12),tblSafety[Date],"&lt;="&amp;$A154)+SUMIFS(tblSafetyHistory[Recordables],tblSafetyHistory[Month],"&gt;="&amp;EDATE($E154,-12),tblSafetyHistory[Month],"&lt;"&amp;$E154,tblSafetyHistory[Use],1))/(SUMIFS(tblSafety[Hours_Total],tblSafety[Date],"&gt;="&amp;EDATE($E154,-12),tblSafety[Date],"&lt;="&amp;$A154)+SUMIFS(tblSafetyHistory[Hours_Total],tblSafetyHistory[Month],"&gt;="&amp;EDATE($E154,-12),tblSafetyHistory[Month],"&lt;"&amp;$E154,tblSafetyHistory[Use],1))*cfg_RateBasisHours,"")</f>
        <v/>
      </c>
      <c r="IQ154" s="56">
        <f>IFERROR((SUMIFS(tblSafety[LTI],tblSafety[Date],"&gt;="&amp;EDATE($E154,-12),tblSafety[Date],"&lt;="&amp;$A154)+SUMIFS(tblSafetyHistory[LTI],tblSafetyHistory[Month],"&gt;="&amp;EDATE($E154,-12),tblSafetyHistory[Month],"&lt;"&amp;$E154,tblSafetyHistory[Use],1))/(SUMIFS(tblSafety[Hours_Total],tblSafety[Date],"&gt;="&amp;EDATE($E154,-12),tblSafety[Date],"&lt;="&amp;$A154)+SUMIFS(tblSafetyHistory[Hours_Total],tblSafetyHistory[Month],"&gt;="&amp;EDATE($E154,-12),tblSafetyHistory[Month],"&lt;"&amp;$E154,tblSafetyHistory[Use],1))*cfg_RateBasisHours,"")</f>
        <v/>
      </c>
      <c r="IR154" s="62">
        <f>IF(MAX(N(cfg_PriorLTIDate),_xlfn.MAXIFS(tblSafety[Date],tblSafety[LTI],"&gt;0",tblSafety[Date],"&lt;="&amp;$A154))=0,"",$A154-MAX(N(cfg_PriorLTIDate),_xlfn.MAXIFS(tblSafety[Date],tblSafety[LTI],"&gt;0",tblSafety[Date],"&lt;="&amp;$A154)))</f>
        <v/>
      </c>
      <c r="IS154" s="55">
        <f>SUMIFS(tblBudget[Ore_Mined_t],tblBudget[Month],$E154)</f>
        <v/>
      </c>
      <c r="IT154" s="55">
        <f>$IS154*$C154/$D154</f>
        <v/>
      </c>
      <c r="IU154" s="55">
        <f>SUMIFS(tblBudget[Ore_Mined_t],tblBudget[Month],"&lt;"&amp;$E154)+$IT154</f>
        <v/>
      </c>
      <c r="IV154" s="55">
        <f>SUMIFS(tblBudget[Ore_oz],tblBudget[Month],$E154)</f>
        <v/>
      </c>
      <c r="IW154" s="55">
        <f>$IV154*$C154/$D154</f>
        <v/>
      </c>
      <c r="IX154" s="55">
        <f>SUMIFS(tblBudget[Ore_oz],tblBudget[Month],"&lt;"&amp;$E154)+$IW154</f>
        <v/>
      </c>
      <c r="IY154" s="55">
        <f>SUMIFS(tblBudget[Ore_Mined_t],tblBudget[Month],$E154)</f>
        <v/>
      </c>
      <c r="IZ154" s="55">
        <f>$IY154*$C154/$D154</f>
        <v/>
      </c>
      <c r="JA154" s="55">
        <f>SUMIFS(tblBudget[Ore_Mined_t],tblBudget[Month],"&lt;"&amp;$E154)+$IZ154</f>
        <v/>
      </c>
      <c r="JB154" s="56">
        <f>IFERROR(IF(($IY154)&gt;0,($IV154*cfg_TroyOz)/($IY154),""),"")</f>
        <v/>
      </c>
      <c r="JC154" s="56">
        <f>IFERROR(IF(($IZ154)&gt;0,($IW154*cfg_TroyOz)/($IZ154),""),"")</f>
        <v/>
      </c>
      <c r="JD154" s="56">
        <f>IFERROR(IF(($JA154)&gt;0,($IX154*cfg_TroyOz)/($JA154),""),"")</f>
        <v/>
      </c>
      <c r="JE154" s="55">
        <f>SUMIFS(tblBudget[Waste_t],tblBudget[Month],$E154)</f>
        <v/>
      </c>
      <c r="JF154" s="55">
        <f>$JE154*$C154/$D154</f>
        <v/>
      </c>
      <c r="JG154" s="55">
        <f>SUMIFS(tblBudget[Waste_t],tblBudget[Month],"&lt;"&amp;$E154)+$JF154</f>
        <v/>
      </c>
      <c r="JH154" s="55">
        <f>SUMIFS(tblBudget[TMM_t],tblBudget[Month],$E154)</f>
        <v/>
      </c>
      <c r="JI154" s="55">
        <f>$JH154*$C154/$D154</f>
        <v/>
      </c>
      <c r="JJ154" s="55">
        <f>SUMIFS(tblBudget[TMM_t],tblBudget[Month],"&lt;"&amp;$E154)+$JI154</f>
        <v/>
      </c>
      <c r="JK154" s="56">
        <f>IFERROR(IF(($IS154)&gt;0,($JE154)/($IS154),""),"")</f>
        <v/>
      </c>
      <c r="JL154" s="56">
        <f>IFERROR(IF(($IT154)&gt;0,($JF154)/($IT154),""),"")</f>
        <v/>
      </c>
      <c r="JM154" s="56">
        <f>IFERROR(IF(($IU154)&gt;0,($JG154)/($IU154),""),"")</f>
        <v/>
      </c>
      <c r="JN154" s="55">
        <f>SUMIFS(tblBudget[Drill_m],tblBudget[Month],$E154)</f>
        <v/>
      </c>
      <c r="JO154" s="55">
        <f>$JN154*$C154/$D154</f>
        <v/>
      </c>
      <c r="JP154" s="55">
        <f>SUMIFS(tblBudget[Drill_m],tblBudget[Month],"&lt;"&amp;$E154)+$JO154</f>
        <v/>
      </c>
      <c r="JQ154" s="55">
        <f>SUMIFS(tblBudget[Diesel_L],tblBudget[Month],$E154)</f>
        <v/>
      </c>
      <c r="JR154" s="55">
        <f>$JQ154*$C154/$D154</f>
        <v/>
      </c>
      <c r="JS154" s="55">
        <f>SUMIFS(tblBudget[Diesel_L],tblBudget[Month],"&lt;"&amp;$E154)+$JR154</f>
        <v/>
      </c>
      <c r="JT154" s="55">
        <f>SUMIFS(tblBudget[Milled_t],tblBudget[Month],$E154)</f>
        <v/>
      </c>
      <c r="JU154" s="55">
        <f>$JT154*$C154/$D154</f>
        <v/>
      </c>
      <c r="JV154" s="55">
        <f>SUMIFS(tblBudget[Milled_t],tblBudget[Month],"&lt;"&amp;$E154)+$JU154</f>
        <v/>
      </c>
      <c r="JW154" s="55">
        <f>SUMIFS(tblBudget[Feed_oz],tblBudget[Month],$E154)</f>
        <v/>
      </c>
      <c r="JX154" s="55">
        <f>$JW154*$C154/$D154</f>
        <v/>
      </c>
      <c r="JY154" s="55">
        <f>SUMIFS(tblBudget[Feed_oz],tblBudget[Month],"&lt;"&amp;$E154)+$JX154</f>
        <v/>
      </c>
      <c r="JZ154" s="55">
        <f>SUMIFS(tblBudget[Recovered_oz],tblBudget[Month],$E154)</f>
        <v/>
      </c>
      <c r="KA154" s="55">
        <f>$JZ154*$C154/$D154</f>
        <v/>
      </c>
      <c r="KB154" s="55">
        <f>SUMIFS(tblBudget[Recovered_oz],tblBudget[Month],"&lt;"&amp;$E154)+$KA154</f>
        <v/>
      </c>
      <c r="KC154" s="55">
        <f>SUMIFS(tblBudget[Milled_t],tblBudget[Month],$E154)</f>
        <v/>
      </c>
      <c r="KD154" s="55">
        <f>$KC154*$C154/$D154</f>
        <v/>
      </c>
      <c r="KE154" s="55">
        <f>SUMIFS(tblBudget[Milled_t],tblBudget[Month],"&lt;"&amp;$E154)+$KD154</f>
        <v/>
      </c>
      <c r="KF154" s="55">
        <f>SUMIFS(tblBudget[Feed_oz],tblBudget[Month],$E154)</f>
        <v/>
      </c>
      <c r="KG154" s="55">
        <f>$KF154*$C154/$D154</f>
        <v/>
      </c>
      <c r="KH154" s="55">
        <f>SUMIFS(tblBudget[Feed_oz],tblBudget[Month],"&lt;"&amp;$E154)+$KG154</f>
        <v/>
      </c>
      <c r="KI154" s="56">
        <f>IFERROR(IF(($KC154)&gt;0,($JW154*cfg_TroyOz)/($KC154),""),"")</f>
        <v/>
      </c>
      <c r="KJ154" s="56">
        <f>IFERROR(IF(($KD154)&gt;0,($JX154*cfg_TroyOz)/($KD154),""),"")</f>
        <v/>
      </c>
      <c r="KK154" s="56">
        <f>IFERROR(IF(($KE154)&gt;0,($JY154*cfg_TroyOz)/($KE154),""),"")</f>
        <v/>
      </c>
      <c r="KL154" s="67">
        <f>IFERROR(IF(($KF154)&gt;0,($JZ154)/($KF154),""),"")</f>
        <v/>
      </c>
      <c r="KM154" s="67">
        <f>IFERROR(IF(($KG154)&gt;0,($KA154)/($KG154),""),"")</f>
        <v/>
      </c>
      <c r="KN154" s="67">
        <f>IFERROR(IF(($KH154)&gt;0,($KB154)/($KH154),""),"")</f>
        <v/>
      </c>
      <c r="KO154" s="55">
        <f>SUMIFS(tblBudget[Gold_Poured_oz],tblBudget[Month],$E154)</f>
        <v/>
      </c>
      <c r="KP154" s="55">
        <f>$KO154*$C154/$D154</f>
        <v/>
      </c>
      <c r="KQ154" s="55">
        <f>SUMIFS(tblBudget[Gold_Poured_oz],tblBudget[Month],"&lt;"&amp;$E154)+$KP154</f>
        <v/>
      </c>
      <c r="KR154" s="57">
        <f>SUMIFS(tblBudget[Hours_Worked],tblBudget[Month],$E154)</f>
        <v/>
      </c>
      <c r="KS154" s="57">
        <f>$KR154*$C154/$D154</f>
        <v/>
      </c>
      <c r="KT154" s="57">
        <f>SUMIFS(tblBudget[Hours_Worked],tblBudget[Month],"&lt;"&amp;$E154)+$KS154</f>
        <v/>
      </c>
    </row>
    <row r="155">
      <c r="A155" s="54" t="n">
        <v>46176</v>
      </c>
      <c r="B155">
        <f>MONTH($A155)</f>
        <v/>
      </c>
      <c r="C155">
        <f>DAY($A155)</f>
        <v/>
      </c>
      <c r="D155">
        <f>DAY(EOMONTH($A155,0))</f>
        <v/>
      </c>
      <c r="E155" s="54">
        <f>DATE(YEAR($A155),MONTH($A155),1)</f>
        <v/>
      </c>
      <c r="F155" s="55">
        <f>SUMIFS(tblMovement[Tonnes_t],tblMovement[Date],$A155,tblMovement[Is_Ore],1,tblMovement[Source_Type],"Pit")</f>
        <v/>
      </c>
      <c r="G155" s="55">
        <f>IF($B155=$B154,$G154,0)+$F155</f>
        <v/>
      </c>
      <c r="H155" s="55">
        <f>$H154+$F155</f>
        <v/>
      </c>
      <c r="I155" s="55">
        <f>SUMIFS(tblMovement[Ore_oz],tblMovement[Date],$A155,tblMovement[Source_Type],"Pit")</f>
        <v/>
      </c>
      <c r="J155" s="55">
        <f>IF($B155=$B154,$J154,0)+$I155</f>
        <v/>
      </c>
      <c r="K155" s="55">
        <f>$K154+$I155</f>
        <v/>
      </c>
      <c r="L155" s="55">
        <f>SUMIFS(tblMovement[Tonnes_t],tblMovement[Date],$A155,tblMovement[Is_Ore],1,tblMovement[Source_Type],"Pit",tblMovement[Grade_gpt],"&lt;&gt;")</f>
        <v/>
      </c>
      <c r="M155" s="55">
        <f>IF($B155=$B154,$M154,0)+$L155</f>
        <v/>
      </c>
      <c r="N155" s="55">
        <f>$N154+$L155</f>
        <v/>
      </c>
      <c r="O155" s="56">
        <f>IFERROR(IF(($L155)&gt;0,($I155*cfg_TroyOz)/($L155),""),"")</f>
        <v/>
      </c>
      <c r="P155" s="56">
        <f>IFERROR(IF(($M155)&gt;0,($J155*cfg_TroyOz)/($M155),""),"")</f>
        <v/>
      </c>
      <c r="Q155" s="56">
        <f>IFERROR(IF(($N155)&gt;0,($K155*cfg_TroyOz)/($N155),""),"")</f>
        <v/>
      </c>
      <c r="R155" s="55">
        <f>$F155-$L155</f>
        <v/>
      </c>
      <c r="S155" s="55">
        <f>IF($B155=$B154,$S154,0)+$R155</f>
        <v/>
      </c>
      <c r="T155" s="55">
        <f>$T154+$R155</f>
        <v/>
      </c>
      <c r="U155" s="55">
        <f>SUMIFS(tblMovement[Tonnes_t],tblMovement[Date],$A155,tblMovement[Is_Ore],0,tblMovement[Source_Type],"Pit")</f>
        <v/>
      </c>
      <c r="V155" s="55">
        <f>IF($B155=$B154,$V154,0)+$U155</f>
        <v/>
      </c>
      <c r="W155" s="55">
        <f>$W154+$U155</f>
        <v/>
      </c>
      <c r="X155" s="55">
        <f>$F155+$U155</f>
        <v/>
      </c>
      <c r="Y155" s="55">
        <f>IF($B155=$B154,$Y154,0)+$X155</f>
        <v/>
      </c>
      <c r="Z155" s="55">
        <f>$Z154+$X155</f>
        <v/>
      </c>
      <c r="AA155" s="56">
        <f>IFERROR(IF(($F155)&gt;0,($U155)/($F155),""),"")</f>
        <v/>
      </c>
      <c r="AB155" s="56">
        <f>IFERROR(IF(($G155)&gt;0,($V155)/($G155),""),"")</f>
        <v/>
      </c>
      <c r="AC155" s="56">
        <f>IFERROR(IF(($H155)&gt;0,($W155)/($H155),""),"")</f>
        <v/>
      </c>
      <c r="AD155" s="55">
        <f>SUMIFS(tblMovement[Tonnes_t],tblMovement[Date],$A155,tblMovement[Source_Type],"Stockpile")</f>
        <v/>
      </c>
      <c r="AE155" s="55">
        <f>IF($B155=$B154,$AE154,0)+$AD155</f>
        <v/>
      </c>
      <c r="AF155" s="55">
        <f>$AF154+$AD155</f>
        <v/>
      </c>
      <c r="AG155" s="55">
        <f>SUMIFS(tblMovement[Tonnes_t],tblMovement[Date],$A155)</f>
        <v/>
      </c>
      <c r="AH155" s="55">
        <f>IF($B155=$B154,$AH154,0)+$AG155</f>
        <v/>
      </c>
      <c r="AI155" s="55">
        <f>$AI154+$AG155</f>
        <v/>
      </c>
      <c r="AJ155" s="55">
        <f>$AG155-$X155-$AD155</f>
        <v/>
      </c>
      <c r="AK155" s="55">
        <f>IF($B155=$B154,$AK154,0)+$AJ155</f>
        <v/>
      </c>
      <c r="AL155" s="55">
        <f>$AL154+$AJ155</f>
        <v/>
      </c>
      <c r="AM155" s="55">
        <f>SUMIFS(tblMiningDaily[Drill_m],tblMiningDaily[Date],$A155)</f>
        <v/>
      </c>
      <c r="AN155" s="55">
        <f>IF($B155=$B154,$AN154,0)+$AM155</f>
        <v/>
      </c>
      <c r="AO155" s="55">
        <f>$AO154+$AM155</f>
        <v/>
      </c>
      <c r="AP155" s="55">
        <f>SUMIFS(tblMiningDaily[GC_Drill_m],tblMiningDaily[Date],$A155)</f>
        <v/>
      </c>
      <c r="AQ155" s="55">
        <f>IF($B155=$B154,$AQ154,0)+$AP155</f>
        <v/>
      </c>
      <c r="AR155" s="55">
        <f>$AR154+$AP155</f>
        <v/>
      </c>
      <c r="AS155" s="55">
        <f>SUMIFS(tblMiningDaily[Blast_t],tblMiningDaily[Date],$A155)</f>
        <v/>
      </c>
      <c r="AT155" s="55">
        <f>IF($B155=$B154,$AT154,0)+$AS155</f>
        <v/>
      </c>
      <c r="AU155" s="55">
        <f>$AU154+$AS155</f>
        <v/>
      </c>
      <c r="AV155" s="55">
        <f>SUMIFS(tblMiningDaily[Explosives_kg],tblMiningDaily[Date],$A155)</f>
        <v/>
      </c>
      <c r="AW155" s="55">
        <f>IF($B155=$B154,$AW154,0)+$AV155</f>
        <v/>
      </c>
      <c r="AX155" s="55">
        <f>$AX154+$AV155</f>
        <v/>
      </c>
      <c r="AY155" s="56">
        <f>IFERROR(IF(($AS155)&gt;0,($AV155)/($AS155),""),"")</f>
        <v/>
      </c>
      <c r="AZ155" s="56">
        <f>IFERROR(IF(($AT155)&gt;0,($AW155)/($AT155),""),"")</f>
        <v/>
      </c>
      <c r="BA155" s="56">
        <f>IFERROR(IF(($AU155)&gt;0,($AX155)/($AU155),""),"")</f>
        <v/>
      </c>
      <c r="BB155" s="55">
        <f>SUMIFS(tblMiningDaily[Diesel_L],tblMiningDaily[Date],$A155)</f>
        <v/>
      </c>
      <c r="BC155" s="55">
        <f>IF($B155=$B154,$BC154,0)+$BB155</f>
        <v/>
      </c>
      <c r="BD155" s="55">
        <f>$BD154+$BB155</f>
        <v/>
      </c>
      <c r="BE155" s="55">
        <f>SUMIFS(tblMiningDaily[Dewatering_m3],tblMiningDaily[Date],$A155)</f>
        <v/>
      </c>
      <c r="BF155" s="55">
        <f>IF($B155=$B154,$BF154,0)+$BE155</f>
        <v/>
      </c>
      <c r="BG155" s="55">
        <f>$BG154+$BE155</f>
        <v/>
      </c>
      <c r="BH155" s="57">
        <f>SUMIFS(tblFleet[Calendar_h],tblFleet[Date],$A155,tblFleet[Equipment_Class],"Excavator")</f>
        <v/>
      </c>
      <c r="BI155" s="57">
        <f>IF($B155=$B154,$BI154,0)+$BH155</f>
        <v/>
      </c>
      <c r="BJ155" s="57">
        <f>$BJ154+$BH155</f>
        <v/>
      </c>
      <c r="BK155" s="57">
        <f>SUMIFS(tblFleet[Available_h],tblFleet[Date],$A155,tblFleet[Equipment_Class],"Excavator")</f>
        <v/>
      </c>
      <c r="BL155" s="57">
        <f>IF($B155=$B154,$BL154,0)+$BK155</f>
        <v/>
      </c>
      <c r="BM155" s="57">
        <f>$BM154+$BK155</f>
        <v/>
      </c>
      <c r="BN155" s="57">
        <f>SUMIFS(tblFleet[Operating_h],tblFleet[Date],$A155,tblFleet[Equipment_Class],"Excavator")</f>
        <v/>
      </c>
      <c r="BO155" s="57">
        <f>IF($B155=$B154,$BO154,0)+$BN155</f>
        <v/>
      </c>
      <c r="BP155" s="57">
        <f>$BP154+$BN155</f>
        <v/>
      </c>
      <c r="BQ155" s="67">
        <f>IFERROR(IF(($BH155)&gt;0,($BK155)/($BH155),""),"")</f>
        <v/>
      </c>
      <c r="BR155" s="67">
        <f>IFERROR(IF(($BI155)&gt;0,($BL155)/($BI155),""),"")</f>
        <v/>
      </c>
      <c r="BS155" s="67">
        <f>IFERROR(IF(($BJ155)&gt;0,($BM155)/($BJ155),""),"")</f>
        <v/>
      </c>
      <c r="BT155" s="67">
        <f>IFERROR(IF(($BK155)&gt;0,($BN155)/($BK155),""),"")</f>
        <v/>
      </c>
      <c r="BU155" s="67">
        <f>IFERROR(IF(($BL155)&gt;0,($BO155)/($BL155),""),"")</f>
        <v/>
      </c>
      <c r="BV155" s="67">
        <f>IFERROR(IF(($BM155)&gt;0,($BP155)/($BM155),""),"")</f>
        <v/>
      </c>
      <c r="BW155" s="57">
        <f>SUMIFS(tblFleet[Calendar_h],tblFleet[Date],$A155,tblFleet[Equipment_Class],"Haul Truck")</f>
        <v/>
      </c>
      <c r="BX155" s="57">
        <f>IF($B155=$B154,$BX154,0)+$BW155</f>
        <v/>
      </c>
      <c r="BY155" s="57">
        <f>$BY154+$BW155</f>
        <v/>
      </c>
      <c r="BZ155" s="57">
        <f>SUMIFS(tblFleet[Available_h],tblFleet[Date],$A155,tblFleet[Equipment_Class],"Haul Truck")</f>
        <v/>
      </c>
      <c r="CA155" s="57">
        <f>IF($B155=$B154,$CA154,0)+$BZ155</f>
        <v/>
      </c>
      <c r="CB155" s="57">
        <f>$CB154+$BZ155</f>
        <v/>
      </c>
      <c r="CC155" s="57">
        <f>SUMIFS(tblFleet[Operating_h],tblFleet[Date],$A155,tblFleet[Equipment_Class],"Haul Truck")</f>
        <v/>
      </c>
      <c r="CD155" s="57">
        <f>IF($B155=$B154,$CD154,0)+$CC155</f>
        <v/>
      </c>
      <c r="CE155" s="57">
        <f>$CE154+$CC155</f>
        <v/>
      </c>
      <c r="CF155" s="67">
        <f>IFERROR(IF(($BW155)&gt;0,($BZ155)/($BW155),""),"")</f>
        <v/>
      </c>
      <c r="CG155" s="67">
        <f>IFERROR(IF(($BX155)&gt;0,($CA155)/($BX155),""),"")</f>
        <v/>
      </c>
      <c r="CH155" s="67">
        <f>IFERROR(IF(($BY155)&gt;0,($CB155)/($BY155),""),"")</f>
        <v/>
      </c>
      <c r="CI155" s="67">
        <f>IFERROR(IF(($BZ155)&gt;0,($CC155)/($BZ155),""),"")</f>
        <v/>
      </c>
      <c r="CJ155" s="67">
        <f>IFERROR(IF(($CA155)&gt;0,($CD155)/($CA155),""),"")</f>
        <v/>
      </c>
      <c r="CK155" s="67">
        <f>IFERROR(IF(($CB155)&gt;0,($CE155)/($CB155),""),"")</f>
        <v/>
      </c>
      <c r="CL155" s="55">
        <f>IFERROR(IF(($BN155)&gt;0,($X155+$AD155)/($BN155),""),"")</f>
        <v/>
      </c>
      <c r="CM155" s="55">
        <f>IFERROR(IF(($BO155)&gt;0,($Y155+$AE155)/($BO155),""),"")</f>
        <v/>
      </c>
      <c r="CN155" s="55">
        <f>IFERROR(IF(($BP155)&gt;0,($Z155+$AF155)/($BP155),""),"")</f>
        <v/>
      </c>
      <c r="CO155" s="55">
        <f>IFERROR(IF(($CC155)&gt;0,($X155+$AD155)/($CC155),""),"")</f>
        <v/>
      </c>
      <c r="CP155" s="55">
        <f>IFERROR(IF(($CD155)&gt;0,($Y155+$AE155)/($CD155),""),"")</f>
        <v/>
      </c>
      <c r="CQ155" s="55">
        <f>IFERROR(IF(($CE155)&gt;0,($Z155+$AF155)/($CE155),""),"")</f>
        <v/>
      </c>
      <c r="CR155" s="55">
        <f>SUMIFS(tblPlant[Crushed_t],tblPlant[Date],$A155)</f>
        <v/>
      </c>
      <c r="CS155" s="55">
        <f>IF($B155=$B154,$CS154,0)+$CR155</f>
        <v/>
      </c>
      <c r="CT155" s="55">
        <f>$CT154+$CR155</f>
        <v/>
      </c>
      <c r="CU155" s="55">
        <f>SUMIFS(tblPlant[Milled_t],tblPlant[Date],$A155)</f>
        <v/>
      </c>
      <c r="CV155" s="55">
        <f>IF($B155=$B154,$CV154,0)+$CU155</f>
        <v/>
      </c>
      <c r="CW155" s="55">
        <f>$CW154+$CU155</f>
        <v/>
      </c>
      <c r="CX155" s="55">
        <f>SUMIFS(tblPlant[Feed_oz],tblPlant[Date],$A155)</f>
        <v/>
      </c>
      <c r="CY155" s="55">
        <f>IF($B155=$B154,$CY154,0)+$CX155</f>
        <v/>
      </c>
      <c r="CZ155" s="55">
        <f>$CZ154+$CX155</f>
        <v/>
      </c>
      <c r="DA155" s="55">
        <f>SUMIFS(tblPlant[Tails_oz],tblPlant[Date],$A155)</f>
        <v/>
      </c>
      <c r="DB155" s="55">
        <f>IF($B155=$B154,$DB154,0)+$DA155</f>
        <v/>
      </c>
      <c r="DC155" s="55">
        <f>$DC154+$DA155</f>
        <v/>
      </c>
      <c r="DD155" s="55">
        <f>SUMIFS(tblPlant[Recovered_oz],tblPlant[Date],$A155)</f>
        <v/>
      </c>
      <c r="DE155" s="55">
        <f>IF($B155=$B154,$DE154,0)+$DD155</f>
        <v/>
      </c>
      <c r="DF155" s="55">
        <f>$DF154+$DD155</f>
        <v/>
      </c>
      <c r="DG155" s="55">
        <f>SUMIFS(tblPlant[Milled_t],tblPlant[Date],$A155,tblPlant[Head_Grade_gpt],"&lt;&gt;")</f>
        <v/>
      </c>
      <c r="DH155" s="55">
        <f>IF($B155=$B154,$DH154,0)+$DG155</f>
        <v/>
      </c>
      <c r="DI155" s="55">
        <f>$DI154+$DG155</f>
        <v/>
      </c>
      <c r="DJ155" s="55">
        <f>SUMIFS(tblPlant[Milled_t],tblPlant[Date],$A155,tblPlant[Tails_Grade_gpt],"&lt;&gt;")</f>
        <v/>
      </c>
      <c r="DK155" s="55">
        <f>IF($B155=$B154,$DK154,0)+$DJ155</f>
        <v/>
      </c>
      <c r="DL155" s="55">
        <f>$DL154+$DJ155</f>
        <v/>
      </c>
      <c r="DM155" s="55">
        <f>SUMIFS(tblPlant[Feed_oz],tblPlant[Date],$A155,tblPlant[Tails_Grade_gpt],"&lt;&gt;")</f>
        <v/>
      </c>
      <c r="DN155" s="55">
        <f>IF($B155=$B154,$DN154,0)+$DM155</f>
        <v/>
      </c>
      <c r="DO155" s="55">
        <f>$DO154+$DM155</f>
        <v/>
      </c>
      <c r="DP155" s="55">
        <f>SUMIFS(tblPlant[Milled_t],tblPlant[Date],$A155,tblPlant[Mill_Run_h],"&lt;&gt;")</f>
        <v/>
      </c>
      <c r="DQ155" s="55">
        <f>IF($B155=$B154,$DQ154,0)+$DP155</f>
        <v/>
      </c>
      <c r="DR155" s="55">
        <f>$DR154+$DP155</f>
        <v/>
      </c>
      <c r="DS155" s="56">
        <f>IFERROR(IF(($DG155)&gt;0,($CX155*cfg_TroyOz)/($DG155),""),"")</f>
        <v/>
      </c>
      <c r="DT155" s="56">
        <f>IFERROR(IF(($DH155)&gt;0,($CY155*cfg_TroyOz)/($DH155),""),"")</f>
        <v/>
      </c>
      <c r="DU155" s="56">
        <f>IFERROR(IF(($DI155)&gt;0,($CZ155*cfg_TroyOz)/($DI155),""),"")</f>
        <v/>
      </c>
      <c r="DV155" s="56">
        <f>IFERROR(IF(($DJ155)&gt;0,($DA155*cfg_TroyOz)/($DJ155),""),"")</f>
        <v/>
      </c>
      <c r="DW155" s="56">
        <f>IFERROR(IF(($DK155)&gt;0,($DB155*cfg_TroyOz)/($DK155),""),"")</f>
        <v/>
      </c>
      <c r="DX155" s="56">
        <f>IFERROR(IF(($DL155)&gt;0,($DC155*cfg_TroyOz)/($DL155),""),"")</f>
        <v/>
      </c>
      <c r="DY155" s="67">
        <f>IFERROR(IF(($DM155)&gt;0,($DD155)/($DM155),""),"")</f>
        <v/>
      </c>
      <c r="DZ155" s="67">
        <f>IFERROR(IF(($DN155)&gt;0,($DE155)/($DN155),""),"")</f>
        <v/>
      </c>
      <c r="EA155" s="67">
        <f>IFERROR(IF(($DO155)&gt;0,($DF155)/($DO155),""),"")</f>
        <v/>
      </c>
      <c r="EB155" s="55">
        <f>SUMIFS(tblPlant[Gravity_Gold_oz],tblPlant[Date],$A155)</f>
        <v/>
      </c>
      <c r="EC155" s="55">
        <f>IF($B155=$B154,$EC154,0)+$EB155</f>
        <v/>
      </c>
      <c r="ED155" s="55">
        <f>$ED154+$EB155</f>
        <v/>
      </c>
      <c r="EE155" s="67">
        <f>IFERROR(IF(($DD155)&gt;0,($EB155)/($DD155),""),"")</f>
        <v/>
      </c>
      <c r="EF155" s="67">
        <f>IFERROR(IF(($DE155)&gt;0,($EC155)/($DE155),""),"")</f>
        <v/>
      </c>
      <c r="EG155" s="67">
        <f>IFERROR(IF(($DF155)&gt;0,($ED155)/($DF155),""),"")</f>
        <v/>
      </c>
      <c r="EH155" s="55">
        <f>SUMIFS(tblPlant[Gold_Poured_oz],tblPlant[Date],$A155)</f>
        <v/>
      </c>
      <c r="EI155" s="55">
        <f>IF($B155=$B154,$EI154,0)+$EH155</f>
        <v/>
      </c>
      <c r="EJ155" s="55">
        <f>$EJ154+$EH155</f>
        <v/>
      </c>
      <c r="EK155" s="57">
        <f>SUMIFS(tblPlant[Mill_Run_h],tblPlant[Date],$A155)</f>
        <v/>
      </c>
      <c r="EL155" s="57">
        <f>IF($B155=$B154,$EL154,0)+$EK155</f>
        <v/>
      </c>
      <c r="EM155" s="57">
        <f>$EM154+$EK155</f>
        <v/>
      </c>
      <c r="EN155" s="57">
        <f>SUMIFS(tblPlant[Mill_Planned_Maint_h],tblPlant[Date],$A155)</f>
        <v/>
      </c>
      <c r="EO155" s="57">
        <f>IF($B155=$B154,$EO154,0)+$EN155</f>
        <v/>
      </c>
      <c r="EP155" s="57">
        <f>$EP154+$EN155</f>
        <v/>
      </c>
      <c r="EQ155" s="57">
        <f>SUMIFS(tblPlant[Mill_Unplanned_Down_h],tblPlant[Date],$A155)</f>
        <v/>
      </c>
      <c r="ER155" s="57">
        <f>IF($B155=$B154,$ER154,0)+$EQ155</f>
        <v/>
      </c>
      <c r="ES155" s="57">
        <f>$ES154+$EQ155</f>
        <v/>
      </c>
      <c r="ET155" s="57">
        <f>IF(COUNTIFS(tblPlant[Date],$A155,tblPlant[Mill_Run_h],"&lt;&gt;")+COUNTIFS(tblPlant[Date],$A155,tblPlant[Mill_Planned_Maint_h],"&lt;&gt;")+COUNTIFS(tblPlant[Date],$A155,tblPlant[Mill_Unplanned_Down_h],"&lt;&gt;")&gt;0,cfg_HoursPerDay,0)</f>
        <v/>
      </c>
      <c r="EU155" s="57">
        <f>IF($B155=$B154,$EU154,0)+$ET155</f>
        <v/>
      </c>
      <c r="EV155" s="57">
        <f>$EV154+$ET155</f>
        <v/>
      </c>
      <c r="EW155" s="57">
        <f>SUMIFS(tblPlant[Crusher_Run_h],tblPlant[Date],$A155)</f>
        <v/>
      </c>
      <c r="EX155" s="57">
        <f>IF($B155=$B154,$EX154,0)+$EW155</f>
        <v/>
      </c>
      <c r="EY155" s="57">
        <f>$EY154+$EW155</f>
        <v/>
      </c>
      <c r="EZ155" s="55">
        <f>IFERROR(IF(($EK155)&gt;0,($DP155)/($EK155),""),"")</f>
        <v/>
      </c>
      <c r="FA155" s="55">
        <f>IFERROR(IF(($EL155)&gt;0,($DQ155)/($EL155),""),"")</f>
        <v/>
      </c>
      <c r="FB155" s="55">
        <f>IFERROR(IF(($EM155)&gt;0,($DR155)/($EM155),""),"")</f>
        <v/>
      </c>
      <c r="FC155" s="67">
        <f>IFERROR(IF(($ET155)&gt;0,($ET155-$EN155-$EQ155)/($ET155),""),"")</f>
        <v/>
      </c>
      <c r="FD155" s="67">
        <f>IFERROR(IF(($EU155)&gt;0,($EU155-$EO155-$ER155)/($EU155),""),"")</f>
        <v/>
      </c>
      <c r="FE155" s="67">
        <f>IFERROR(IF(($EV155)&gt;0,($EV155-$EP155-$ES155)/($EV155),""),"")</f>
        <v/>
      </c>
      <c r="FF155" s="67">
        <f>IFERROR(IF(($ET155-$EN155-$EQ155)&gt;0,($EK155)/($ET155-$EN155-$EQ155),""),"")</f>
        <v/>
      </c>
      <c r="FG155" s="67">
        <f>IFERROR(IF(($EU155-$EO155-$ER155)&gt;0,($EL155)/($EU155-$EO155-$ER155),""),"")</f>
        <v/>
      </c>
      <c r="FH155" s="67">
        <f>IFERROR(IF(($EV155-$EP155-$ES155)&gt;0,($EM155)/($EV155-$EP155-$ES155),""),"")</f>
        <v/>
      </c>
      <c r="FI155" s="55">
        <f>SUMIFS(tblPlant[Cyanide_kg],tblPlant[Date],$A155)</f>
        <v/>
      </c>
      <c r="FJ155" s="55">
        <f>IF($B155=$B154,$FJ154,0)+$FI155</f>
        <v/>
      </c>
      <c r="FK155" s="55">
        <f>$FK154+$FI155</f>
        <v/>
      </c>
      <c r="FL155" s="55">
        <f>SUMIFS(tblPlant[Lime_kg],tblPlant[Date],$A155)</f>
        <v/>
      </c>
      <c r="FM155" s="55">
        <f>IF($B155=$B154,$FM154,0)+$FL155</f>
        <v/>
      </c>
      <c r="FN155" s="55">
        <f>$FN154+$FL155</f>
        <v/>
      </c>
      <c r="FO155" s="55">
        <f>SUMIFS(tblPlant[Grinding_Media_kg],tblPlant[Date],$A155)</f>
        <v/>
      </c>
      <c r="FP155" s="55">
        <f>IF($B155=$B154,$FP154,0)+$FO155</f>
        <v/>
      </c>
      <c r="FQ155" s="55">
        <f>$FQ154+$FO155</f>
        <v/>
      </c>
      <c r="FR155" s="55">
        <f>SUMIFS(tblPlant[Power_kWh],tblPlant[Date],$A155)</f>
        <v/>
      </c>
      <c r="FS155" s="55">
        <f>IF($B155=$B154,$FS154,0)+$FR155</f>
        <v/>
      </c>
      <c r="FT155" s="55">
        <f>$FT154+$FR155</f>
        <v/>
      </c>
      <c r="FU155" s="55">
        <f>SUMIFS(tblPlant[Raw_Water_m3],tblPlant[Date],$A155)</f>
        <v/>
      </c>
      <c r="FV155" s="55">
        <f>IF($B155=$B154,$FV154,0)+$FU155</f>
        <v/>
      </c>
      <c r="FW155" s="55">
        <f>$FW154+$FU155</f>
        <v/>
      </c>
      <c r="FX155" s="56">
        <f>IFERROR(IF(($CU155)&gt;0,($FI155)/($CU155),""),"")</f>
        <v/>
      </c>
      <c r="FY155" s="56">
        <f>IFERROR(IF(($CV155)&gt;0,($FJ155)/($CV155),""),"")</f>
        <v/>
      </c>
      <c r="FZ155" s="56">
        <f>IFERROR(IF(($CW155)&gt;0,($FK155)/($CW155),""),"")</f>
        <v/>
      </c>
      <c r="GA155" s="56">
        <f>IFERROR(IF(($CU155)&gt;0,($FL155)/($CU155),""),"")</f>
        <v/>
      </c>
      <c r="GB155" s="56">
        <f>IFERROR(IF(($CV155)&gt;0,($FM155)/($CV155),""),"")</f>
        <v/>
      </c>
      <c r="GC155" s="56">
        <f>IFERROR(IF(($CW155)&gt;0,($FN155)/($CW155),""),"")</f>
        <v/>
      </c>
      <c r="GD155" s="56">
        <f>IFERROR(IF(($CU155)&gt;0,($FO155)/($CU155),""),"")</f>
        <v/>
      </c>
      <c r="GE155" s="56">
        <f>IFERROR(IF(($CV155)&gt;0,($FP155)/($CV155),""),"")</f>
        <v/>
      </c>
      <c r="GF155" s="56">
        <f>IFERROR(IF(($CW155)&gt;0,($FQ155)/($CW155),""),"")</f>
        <v/>
      </c>
      <c r="GG155" s="79">
        <f>IFERROR(IF(($CU155)&gt;0,($FR155)/($CU155),""),"")</f>
        <v/>
      </c>
      <c r="GH155" s="79">
        <f>IFERROR(IF(($CV155)&gt;0,($FS155)/($CV155),""),"")</f>
        <v/>
      </c>
      <c r="GI155" s="79">
        <f>IFERROR(IF(($CW155)&gt;0,($FT155)/($CW155),""),"")</f>
        <v/>
      </c>
      <c r="GJ155" s="56">
        <f>IFERROR(IF(($CU155)&gt;0,($FU155)/($CU155),""),"")</f>
        <v/>
      </c>
      <c r="GK155" s="56">
        <f>IFERROR(IF(($CV155)&gt;0,($FV155)/($CV155),""),"")</f>
        <v/>
      </c>
      <c r="GL155" s="56">
        <f>IFERROR(IF(($CW155)&gt;0,($FW155)/($CW155),""),"")</f>
        <v/>
      </c>
      <c r="GM155" s="55">
        <f>IF(SUMIFS(tblPlant[GIC_oz],tblPlant[Date],$A155)&gt;0,SUMIFS(tblPlant[GIC_oz],tblPlant[Date],$A155),"")</f>
        <v/>
      </c>
      <c r="GN155" s="55">
        <f>SUMIFS(tblGold[Gold_oz],tblGold[Date],$A155,tblGold[Type],"Shipment")</f>
        <v/>
      </c>
      <c r="GO155" s="55">
        <f>IF($B155=$B154,$GO154,0)+$GN155</f>
        <v/>
      </c>
      <c r="GP155" s="55">
        <f>$GP154+$GN155</f>
        <v/>
      </c>
      <c r="GQ155" s="55">
        <f>SUMIFS(tblGold[Gold_oz],tblGold[Date],$A155,tblGold[Type],"Sale")</f>
        <v/>
      </c>
      <c r="GR155" s="55">
        <f>IF($B155=$B154,$GR154,0)+$GQ155</f>
        <v/>
      </c>
      <c r="GS155" s="55">
        <f>$GS154+$GQ155</f>
        <v/>
      </c>
      <c r="GT155" s="55">
        <f>SUMIFS(tblGold[Dore_kg],tblGold[Date],$A155,tblGold[Type],"Shipment")</f>
        <v/>
      </c>
      <c r="GU155" s="55">
        <f>IF($B155=$B154,$GU154,0)+$GT155</f>
        <v/>
      </c>
      <c r="GV155" s="55">
        <f>$GV154+$GT155</f>
        <v/>
      </c>
      <c r="GW155" s="57">
        <f>SUMIFS(tblSafety[Hours_Total],tblSafety[Date],$A155)</f>
        <v/>
      </c>
      <c r="GX155" s="57">
        <f>IF($B155=$B154,$GX154,0)+$GW155</f>
        <v/>
      </c>
      <c r="GY155" s="57">
        <f>$GY154+$GW155</f>
        <v/>
      </c>
      <c r="GZ155" s="62">
        <f>SUMIFS(tblSafety[Fatality],tblSafety[Date],$A155)</f>
        <v/>
      </c>
      <c r="HA155" s="62">
        <f>IF($B155=$B154,$HA154,0)+$GZ155</f>
        <v/>
      </c>
      <c r="HB155" s="62">
        <f>$HB154+$GZ155</f>
        <v/>
      </c>
      <c r="HC155" s="62">
        <f>SUMIFS(tblSafety[LTI],tblSafety[Date],$A155)</f>
        <v/>
      </c>
      <c r="HD155" s="62">
        <f>IF($B155=$B154,$HD154,0)+$HC155</f>
        <v/>
      </c>
      <c r="HE155" s="62">
        <f>$HE154+$HC155</f>
        <v/>
      </c>
      <c r="HF155" s="62">
        <f>SUMIFS(tblSafety[RWI],tblSafety[Date],$A155)</f>
        <v/>
      </c>
      <c r="HG155" s="62">
        <f>IF($B155=$B154,$HG154,0)+$HF155</f>
        <v/>
      </c>
      <c r="HH155" s="62">
        <f>$HH154+$HF155</f>
        <v/>
      </c>
      <c r="HI155" s="62">
        <f>SUMIFS(tblSafety[MTI],tblSafety[Date],$A155)</f>
        <v/>
      </c>
      <c r="HJ155" s="62">
        <f>IF($B155=$B154,$HJ154,0)+$HI155</f>
        <v/>
      </c>
      <c r="HK155" s="62">
        <f>$HK154+$HI155</f>
        <v/>
      </c>
      <c r="HL155" s="62">
        <f>SUMIFS(tblSafety[FAI],tblSafety[Date],$A155)</f>
        <v/>
      </c>
      <c r="HM155" s="62">
        <f>IF($B155=$B154,$HM154,0)+$HL155</f>
        <v/>
      </c>
      <c r="HN155" s="62">
        <f>$HN154+$HL155</f>
        <v/>
      </c>
      <c r="HO155" s="62">
        <f>SUMIFS(tblSafety[Recordables],tblSafety[Date],$A155)</f>
        <v/>
      </c>
      <c r="HP155" s="62">
        <f>IF($B155=$B154,$HP154,0)+$HO155</f>
        <v/>
      </c>
      <c r="HQ155" s="62">
        <f>$HQ154+$HO155</f>
        <v/>
      </c>
      <c r="HR155" s="62">
        <f>SUMIFS(tblSafety[Near_Miss],tblSafety[Date],$A155)</f>
        <v/>
      </c>
      <c r="HS155" s="62">
        <f>IF($B155=$B154,$HS154,0)+$HR155</f>
        <v/>
      </c>
      <c r="HT155" s="62">
        <f>$HT154+$HR155</f>
        <v/>
      </c>
      <c r="HU155" s="62">
        <f>SUMIFS(tblSafety[Hazard_Reports],tblSafety[Date],$A155)</f>
        <v/>
      </c>
      <c r="HV155" s="62">
        <f>IF($B155=$B154,$HV154,0)+$HU155</f>
        <v/>
      </c>
      <c r="HW155" s="62">
        <f>$HW154+$HU155</f>
        <v/>
      </c>
      <c r="HX155" s="62">
        <f>SUMIFS(tblSafety[HPI],tblSafety[Date],$A155)</f>
        <v/>
      </c>
      <c r="HY155" s="62">
        <f>IF($B155=$B154,$HY154,0)+$HX155</f>
        <v/>
      </c>
      <c r="HZ155" s="62">
        <f>$HZ154+$HX155</f>
        <v/>
      </c>
      <c r="IA155" s="62">
        <f>SUMIFS(tblSafety[Env_Incidents],tblSafety[Date],$A155)</f>
        <v/>
      </c>
      <c r="IB155" s="62">
        <f>IF($B155=$B154,$IB154,0)+$IA155</f>
        <v/>
      </c>
      <c r="IC155" s="62">
        <f>$IC154+$IA155</f>
        <v/>
      </c>
      <c r="ID155" s="62">
        <f>SUMIFS(tblSafety[Community_Incidents],tblSafety[Date],$A155)</f>
        <v/>
      </c>
      <c r="IE155" s="62">
        <f>IF($B155=$B154,$IE154,0)+$ID155</f>
        <v/>
      </c>
      <c r="IF155" s="62">
        <f>$IF154+$ID155</f>
        <v/>
      </c>
      <c r="IG155" s="62">
        <f>SUMIFS(tblSafety[Vehicle_Incidents],tblSafety[Date],$A155)</f>
        <v/>
      </c>
      <c r="IH155" s="62">
        <f>IF($B155=$B154,$IH154,0)+$IG155</f>
        <v/>
      </c>
      <c r="II155" s="62">
        <f>$II154+$IG155</f>
        <v/>
      </c>
      <c r="IJ155" s="62">
        <f>SUMIFS(tblSafety[Toolbox_Talks],tblSafety[Date],$A155)</f>
        <v/>
      </c>
      <c r="IK155" s="62">
        <f>IF($B155=$B154,$IK154,0)+$IJ155</f>
        <v/>
      </c>
      <c r="IL155" s="62">
        <f>$IL154+$IJ155</f>
        <v/>
      </c>
      <c r="IM155" s="62">
        <f>SUMIFS(tblSafety[Inspections],tblSafety[Date],$A155)</f>
        <v/>
      </c>
      <c r="IN155" s="62">
        <f>IF($B155=$B154,$IN154,0)+$IM155</f>
        <v/>
      </c>
      <c r="IO155" s="62">
        <f>$IO154+$IM155</f>
        <v/>
      </c>
      <c r="IP155" s="56">
        <f>IFERROR((SUMIFS(tblSafety[Recordables],tblSafety[Date],"&gt;="&amp;EDATE($E155,-12),tblSafety[Date],"&lt;="&amp;$A155)+SUMIFS(tblSafetyHistory[Recordables],tblSafetyHistory[Month],"&gt;="&amp;EDATE($E155,-12),tblSafetyHistory[Month],"&lt;"&amp;$E155,tblSafetyHistory[Use],1))/(SUMIFS(tblSafety[Hours_Total],tblSafety[Date],"&gt;="&amp;EDATE($E155,-12),tblSafety[Date],"&lt;="&amp;$A155)+SUMIFS(tblSafetyHistory[Hours_Total],tblSafetyHistory[Month],"&gt;="&amp;EDATE($E155,-12),tblSafetyHistory[Month],"&lt;"&amp;$E155,tblSafetyHistory[Use],1))*cfg_RateBasisHours,"")</f>
        <v/>
      </c>
      <c r="IQ155" s="56">
        <f>IFERROR((SUMIFS(tblSafety[LTI],tblSafety[Date],"&gt;="&amp;EDATE($E155,-12),tblSafety[Date],"&lt;="&amp;$A155)+SUMIFS(tblSafetyHistory[LTI],tblSafetyHistory[Month],"&gt;="&amp;EDATE($E155,-12),tblSafetyHistory[Month],"&lt;"&amp;$E155,tblSafetyHistory[Use],1))/(SUMIFS(tblSafety[Hours_Total],tblSafety[Date],"&gt;="&amp;EDATE($E155,-12),tblSafety[Date],"&lt;="&amp;$A155)+SUMIFS(tblSafetyHistory[Hours_Total],tblSafetyHistory[Month],"&gt;="&amp;EDATE($E155,-12),tblSafetyHistory[Month],"&lt;"&amp;$E155,tblSafetyHistory[Use],1))*cfg_RateBasisHours,"")</f>
        <v/>
      </c>
      <c r="IR155" s="62">
        <f>IF(MAX(N(cfg_PriorLTIDate),_xlfn.MAXIFS(tblSafety[Date],tblSafety[LTI],"&gt;0",tblSafety[Date],"&lt;="&amp;$A155))=0,"",$A155-MAX(N(cfg_PriorLTIDate),_xlfn.MAXIFS(tblSafety[Date],tblSafety[LTI],"&gt;0",tblSafety[Date],"&lt;="&amp;$A155)))</f>
        <v/>
      </c>
      <c r="IS155" s="55">
        <f>SUMIFS(tblBudget[Ore_Mined_t],tblBudget[Month],$E155)</f>
        <v/>
      </c>
      <c r="IT155" s="55">
        <f>$IS155*$C155/$D155</f>
        <v/>
      </c>
      <c r="IU155" s="55">
        <f>SUMIFS(tblBudget[Ore_Mined_t],tblBudget[Month],"&lt;"&amp;$E155)+$IT155</f>
        <v/>
      </c>
      <c r="IV155" s="55">
        <f>SUMIFS(tblBudget[Ore_oz],tblBudget[Month],$E155)</f>
        <v/>
      </c>
      <c r="IW155" s="55">
        <f>$IV155*$C155/$D155</f>
        <v/>
      </c>
      <c r="IX155" s="55">
        <f>SUMIFS(tblBudget[Ore_oz],tblBudget[Month],"&lt;"&amp;$E155)+$IW155</f>
        <v/>
      </c>
      <c r="IY155" s="55">
        <f>SUMIFS(tblBudget[Ore_Mined_t],tblBudget[Month],$E155)</f>
        <v/>
      </c>
      <c r="IZ155" s="55">
        <f>$IY155*$C155/$D155</f>
        <v/>
      </c>
      <c r="JA155" s="55">
        <f>SUMIFS(tblBudget[Ore_Mined_t],tblBudget[Month],"&lt;"&amp;$E155)+$IZ155</f>
        <v/>
      </c>
      <c r="JB155" s="56">
        <f>IFERROR(IF(($IY155)&gt;0,($IV155*cfg_TroyOz)/($IY155),""),"")</f>
        <v/>
      </c>
      <c r="JC155" s="56">
        <f>IFERROR(IF(($IZ155)&gt;0,($IW155*cfg_TroyOz)/($IZ155),""),"")</f>
        <v/>
      </c>
      <c r="JD155" s="56">
        <f>IFERROR(IF(($JA155)&gt;0,($IX155*cfg_TroyOz)/($JA155),""),"")</f>
        <v/>
      </c>
      <c r="JE155" s="55">
        <f>SUMIFS(tblBudget[Waste_t],tblBudget[Month],$E155)</f>
        <v/>
      </c>
      <c r="JF155" s="55">
        <f>$JE155*$C155/$D155</f>
        <v/>
      </c>
      <c r="JG155" s="55">
        <f>SUMIFS(tblBudget[Waste_t],tblBudget[Month],"&lt;"&amp;$E155)+$JF155</f>
        <v/>
      </c>
      <c r="JH155" s="55">
        <f>SUMIFS(tblBudget[TMM_t],tblBudget[Month],$E155)</f>
        <v/>
      </c>
      <c r="JI155" s="55">
        <f>$JH155*$C155/$D155</f>
        <v/>
      </c>
      <c r="JJ155" s="55">
        <f>SUMIFS(tblBudget[TMM_t],tblBudget[Month],"&lt;"&amp;$E155)+$JI155</f>
        <v/>
      </c>
      <c r="JK155" s="56">
        <f>IFERROR(IF(($IS155)&gt;0,($JE155)/($IS155),""),"")</f>
        <v/>
      </c>
      <c r="JL155" s="56">
        <f>IFERROR(IF(($IT155)&gt;0,($JF155)/($IT155),""),"")</f>
        <v/>
      </c>
      <c r="JM155" s="56">
        <f>IFERROR(IF(($IU155)&gt;0,($JG155)/($IU155),""),"")</f>
        <v/>
      </c>
      <c r="JN155" s="55">
        <f>SUMIFS(tblBudget[Drill_m],tblBudget[Month],$E155)</f>
        <v/>
      </c>
      <c r="JO155" s="55">
        <f>$JN155*$C155/$D155</f>
        <v/>
      </c>
      <c r="JP155" s="55">
        <f>SUMIFS(tblBudget[Drill_m],tblBudget[Month],"&lt;"&amp;$E155)+$JO155</f>
        <v/>
      </c>
      <c r="JQ155" s="55">
        <f>SUMIFS(tblBudget[Diesel_L],tblBudget[Month],$E155)</f>
        <v/>
      </c>
      <c r="JR155" s="55">
        <f>$JQ155*$C155/$D155</f>
        <v/>
      </c>
      <c r="JS155" s="55">
        <f>SUMIFS(tblBudget[Diesel_L],tblBudget[Month],"&lt;"&amp;$E155)+$JR155</f>
        <v/>
      </c>
      <c r="JT155" s="55">
        <f>SUMIFS(tblBudget[Milled_t],tblBudget[Month],$E155)</f>
        <v/>
      </c>
      <c r="JU155" s="55">
        <f>$JT155*$C155/$D155</f>
        <v/>
      </c>
      <c r="JV155" s="55">
        <f>SUMIFS(tblBudget[Milled_t],tblBudget[Month],"&lt;"&amp;$E155)+$JU155</f>
        <v/>
      </c>
      <c r="JW155" s="55">
        <f>SUMIFS(tblBudget[Feed_oz],tblBudget[Month],$E155)</f>
        <v/>
      </c>
      <c r="JX155" s="55">
        <f>$JW155*$C155/$D155</f>
        <v/>
      </c>
      <c r="JY155" s="55">
        <f>SUMIFS(tblBudget[Feed_oz],tblBudget[Month],"&lt;"&amp;$E155)+$JX155</f>
        <v/>
      </c>
      <c r="JZ155" s="55">
        <f>SUMIFS(tblBudget[Recovered_oz],tblBudget[Month],$E155)</f>
        <v/>
      </c>
      <c r="KA155" s="55">
        <f>$JZ155*$C155/$D155</f>
        <v/>
      </c>
      <c r="KB155" s="55">
        <f>SUMIFS(tblBudget[Recovered_oz],tblBudget[Month],"&lt;"&amp;$E155)+$KA155</f>
        <v/>
      </c>
      <c r="KC155" s="55">
        <f>SUMIFS(tblBudget[Milled_t],tblBudget[Month],$E155)</f>
        <v/>
      </c>
      <c r="KD155" s="55">
        <f>$KC155*$C155/$D155</f>
        <v/>
      </c>
      <c r="KE155" s="55">
        <f>SUMIFS(tblBudget[Milled_t],tblBudget[Month],"&lt;"&amp;$E155)+$KD155</f>
        <v/>
      </c>
      <c r="KF155" s="55">
        <f>SUMIFS(tblBudget[Feed_oz],tblBudget[Month],$E155)</f>
        <v/>
      </c>
      <c r="KG155" s="55">
        <f>$KF155*$C155/$D155</f>
        <v/>
      </c>
      <c r="KH155" s="55">
        <f>SUMIFS(tblBudget[Feed_oz],tblBudget[Month],"&lt;"&amp;$E155)+$KG155</f>
        <v/>
      </c>
      <c r="KI155" s="56">
        <f>IFERROR(IF(($KC155)&gt;0,($JW155*cfg_TroyOz)/($KC155),""),"")</f>
        <v/>
      </c>
      <c r="KJ155" s="56">
        <f>IFERROR(IF(($KD155)&gt;0,($JX155*cfg_TroyOz)/($KD155),""),"")</f>
        <v/>
      </c>
      <c r="KK155" s="56">
        <f>IFERROR(IF(($KE155)&gt;0,($JY155*cfg_TroyOz)/($KE155),""),"")</f>
        <v/>
      </c>
      <c r="KL155" s="67">
        <f>IFERROR(IF(($KF155)&gt;0,($JZ155)/($KF155),""),"")</f>
        <v/>
      </c>
      <c r="KM155" s="67">
        <f>IFERROR(IF(($KG155)&gt;0,($KA155)/($KG155),""),"")</f>
        <v/>
      </c>
      <c r="KN155" s="67">
        <f>IFERROR(IF(($KH155)&gt;0,($KB155)/($KH155),""),"")</f>
        <v/>
      </c>
      <c r="KO155" s="55">
        <f>SUMIFS(tblBudget[Gold_Poured_oz],tblBudget[Month],$E155)</f>
        <v/>
      </c>
      <c r="KP155" s="55">
        <f>$KO155*$C155/$D155</f>
        <v/>
      </c>
      <c r="KQ155" s="55">
        <f>SUMIFS(tblBudget[Gold_Poured_oz],tblBudget[Month],"&lt;"&amp;$E155)+$KP155</f>
        <v/>
      </c>
      <c r="KR155" s="57">
        <f>SUMIFS(tblBudget[Hours_Worked],tblBudget[Month],$E155)</f>
        <v/>
      </c>
      <c r="KS155" s="57">
        <f>$KR155*$C155/$D155</f>
        <v/>
      </c>
      <c r="KT155" s="57">
        <f>SUMIFS(tblBudget[Hours_Worked],tblBudget[Month],"&lt;"&amp;$E155)+$KS155</f>
        <v/>
      </c>
    </row>
    <row r="156">
      <c r="A156" s="54" t="n">
        <v>46177</v>
      </c>
      <c r="B156">
        <f>MONTH($A156)</f>
        <v/>
      </c>
      <c r="C156">
        <f>DAY($A156)</f>
        <v/>
      </c>
      <c r="D156">
        <f>DAY(EOMONTH($A156,0))</f>
        <v/>
      </c>
      <c r="E156" s="54">
        <f>DATE(YEAR($A156),MONTH($A156),1)</f>
        <v/>
      </c>
      <c r="F156" s="55">
        <f>SUMIFS(tblMovement[Tonnes_t],tblMovement[Date],$A156,tblMovement[Is_Ore],1,tblMovement[Source_Type],"Pit")</f>
        <v/>
      </c>
      <c r="G156" s="55">
        <f>IF($B156=$B155,$G155,0)+$F156</f>
        <v/>
      </c>
      <c r="H156" s="55">
        <f>$H155+$F156</f>
        <v/>
      </c>
      <c r="I156" s="55">
        <f>SUMIFS(tblMovement[Ore_oz],tblMovement[Date],$A156,tblMovement[Source_Type],"Pit")</f>
        <v/>
      </c>
      <c r="J156" s="55">
        <f>IF($B156=$B155,$J155,0)+$I156</f>
        <v/>
      </c>
      <c r="K156" s="55">
        <f>$K155+$I156</f>
        <v/>
      </c>
      <c r="L156" s="55">
        <f>SUMIFS(tblMovement[Tonnes_t],tblMovement[Date],$A156,tblMovement[Is_Ore],1,tblMovement[Source_Type],"Pit",tblMovement[Grade_gpt],"&lt;&gt;")</f>
        <v/>
      </c>
      <c r="M156" s="55">
        <f>IF($B156=$B155,$M155,0)+$L156</f>
        <v/>
      </c>
      <c r="N156" s="55">
        <f>$N155+$L156</f>
        <v/>
      </c>
      <c r="O156" s="56">
        <f>IFERROR(IF(($L156)&gt;0,($I156*cfg_TroyOz)/($L156),""),"")</f>
        <v/>
      </c>
      <c r="P156" s="56">
        <f>IFERROR(IF(($M156)&gt;0,($J156*cfg_TroyOz)/($M156),""),"")</f>
        <v/>
      </c>
      <c r="Q156" s="56">
        <f>IFERROR(IF(($N156)&gt;0,($K156*cfg_TroyOz)/($N156),""),"")</f>
        <v/>
      </c>
      <c r="R156" s="55">
        <f>$F156-$L156</f>
        <v/>
      </c>
      <c r="S156" s="55">
        <f>IF($B156=$B155,$S155,0)+$R156</f>
        <v/>
      </c>
      <c r="T156" s="55">
        <f>$T155+$R156</f>
        <v/>
      </c>
      <c r="U156" s="55">
        <f>SUMIFS(tblMovement[Tonnes_t],tblMovement[Date],$A156,tblMovement[Is_Ore],0,tblMovement[Source_Type],"Pit")</f>
        <v/>
      </c>
      <c r="V156" s="55">
        <f>IF($B156=$B155,$V155,0)+$U156</f>
        <v/>
      </c>
      <c r="W156" s="55">
        <f>$W155+$U156</f>
        <v/>
      </c>
      <c r="X156" s="55">
        <f>$F156+$U156</f>
        <v/>
      </c>
      <c r="Y156" s="55">
        <f>IF($B156=$B155,$Y155,0)+$X156</f>
        <v/>
      </c>
      <c r="Z156" s="55">
        <f>$Z155+$X156</f>
        <v/>
      </c>
      <c r="AA156" s="56">
        <f>IFERROR(IF(($F156)&gt;0,($U156)/($F156),""),"")</f>
        <v/>
      </c>
      <c r="AB156" s="56">
        <f>IFERROR(IF(($G156)&gt;0,($V156)/($G156),""),"")</f>
        <v/>
      </c>
      <c r="AC156" s="56">
        <f>IFERROR(IF(($H156)&gt;0,($W156)/($H156),""),"")</f>
        <v/>
      </c>
      <c r="AD156" s="55">
        <f>SUMIFS(tblMovement[Tonnes_t],tblMovement[Date],$A156,tblMovement[Source_Type],"Stockpile")</f>
        <v/>
      </c>
      <c r="AE156" s="55">
        <f>IF($B156=$B155,$AE155,0)+$AD156</f>
        <v/>
      </c>
      <c r="AF156" s="55">
        <f>$AF155+$AD156</f>
        <v/>
      </c>
      <c r="AG156" s="55">
        <f>SUMIFS(tblMovement[Tonnes_t],tblMovement[Date],$A156)</f>
        <v/>
      </c>
      <c r="AH156" s="55">
        <f>IF($B156=$B155,$AH155,0)+$AG156</f>
        <v/>
      </c>
      <c r="AI156" s="55">
        <f>$AI155+$AG156</f>
        <v/>
      </c>
      <c r="AJ156" s="55">
        <f>$AG156-$X156-$AD156</f>
        <v/>
      </c>
      <c r="AK156" s="55">
        <f>IF($B156=$B155,$AK155,0)+$AJ156</f>
        <v/>
      </c>
      <c r="AL156" s="55">
        <f>$AL155+$AJ156</f>
        <v/>
      </c>
      <c r="AM156" s="55">
        <f>SUMIFS(tblMiningDaily[Drill_m],tblMiningDaily[Date],$A156)</f>
        <v/>
      </c>
      <c r="AN156" s="55">
        <f>IF($B156=$B155,$AN155,0)+$AM156</f>
        <v/>
      </c>
      <c r="AO156" s="55">
        <f>$AO155+$AM156</f>
        <v/>
      </c>
      <c r="AP156" s="55">
        <f>SUMIFS(tblMiningDaily[GC_Drill_m],tblMiningDaily[Date],$A156)</f>
        <v/>
      </c>
      <c r="AQ156" s="55">
        <f>IF($B156=$B155,$AQ155,0)+$AP156</f>
        <v/>
      </c>
      <c r="AR156" s="55">
        <f>$AR155+$AP156</f>
        <v/>
      </c>
      <c r="AS156" s="55">
        <f>SUMIFS(tblMiningDaily[Blast_t],tblMiningDaily[Date],$A156)</f>
        <v/>
      </c>
      <c r="AT156" s="55">
        <f>IF($B156=$B155,$AT155,0)+$AS156</f>
        <v/>
      </c>
      <c r="AU156" s="55">
        <f>$AU155+$AS156</f>
        <v/>
      </c>
      <c r="AV156" s="55">
        <f>SUMIFS(tblMiningDaily[Explosives_kg],tblMiningDaily[Date],$A156)</f>
        <v/>
      </c>
      <c r="AW156" s="55">
        <f>IF($B156=$B155,$AW155,0)+$AV156</f>
        <v/>
      </c>
      <c r="AX156" s="55">
        <f>$AX155+$AV156</f>
        <v/>
      </c>
      <c r="AY156" s="56">
        <f>IFERROR(IF(($AS156)&gt;0,($AV156)/($AS156),""),"")</f>
        <v/>
      </c>
      <c r="AZ156" s="56">
        <f>IFERROR(IF(($AT156)&gt;0,($AW156)/($AT156),""),"")</f>
        <v/>
      </c>
      <c r="BA156" s="56">
        <f>IFERROR(IF(($AU156)&gt;0,($AX156)/($AU156),""),"")</f>
        <v/>
      </c>
      <c r="BB156" s="55">
        <f>SUMIFS(tblMiningDaily[Diesel_L],tblMiningDaily[Date],$A156)</f>
        <v/>
      </c>
      <c r="BC156" s="55">
        <f>IF($B156=$B155,$BC155,0)+$BB156</f>
        <v/>
      </c>
      <c r="BD156" s="55">
        <f>$BD155+$BB156</f>
        <v/>
      </c>
      <c r="BE156" s="55">
        <f>SUMIFS(tblMiningDaily[Dewatering_m3],tblMiningDaily[Date],$A156)</f>
        <v/>
      </c>
      <c r="BF156" s="55">
        <f>IF($B156=$B155,$BF155,0)+$BE156</f>
        <v/>
      </c>
      <c r="BG156" s="55">
        <f>$BG155+$BE156</f>
        <v/>
      </c>
      <c r="BH156" s="57">
        <f>SUMIFS(tblFleet[Calendar_h],tblFleet[Date],$A156,tblFleet[Equipment_Class],"Excavator")</f>
        <v/>
      </c>
      <c r="BI156" s="57">
        <f>IF($B156=$B155,$BI155,0)+$BH156</f>
        <v/>
      </c>
      <c r="BJ156" s="57">
        <f>$BJ155+$BH156</f>
        <v/>
      </c>
      <c r="BK156" s="57">
        <f>SUMIFS(tblFleet[Available_h],tblFleet[Date],$A156,tblFleet[Equipment_Class],"Excavator")</f>
        <v/>
      </c>
      <c r="BL156" s="57">
        <f>IF($B156=$B155,$BL155,0)+$BK156</f>
        <v/>
      </c>
      <c r="BM156" s="57">
        <f>$BM155+$BK156</f>
        <v/>
      </c>
      <c r="BN156" s="57">
        <f>SUMIFS(tblFleet[Operating_h],tblFleet[Date],$A156,tblFleet[Equipment_Class],"Excavator")</f>
        <v/>
      </c>
      <c r="BO156" s="57">
        <f>IF($B156=$B155,$BO155,0)+$BN156</f>
        <v/>
      </c>
      <c r="BP156" s="57">
        <f>$BP155+$BN156</f>
        <v/>
      </c>
      <c r="BQ156" s="67">
        <f>IFERROR(IF(($BH156)&gt;0,($BK156)/($BH156),""),"")</f>
        <v/>
      </c>
      <c r="BR156" s="67">
        <f>IFERROR(IF(($BI156)&gt;0,($BL156)/($BI156),""),"")</f>
        <v/>
      </c>
      <c r="BS156" s="67">
        <f>IFERROR(IF(($BJ156)&gt;0,($BM156)/($BJ156),""),"")</f>
        <v/>
      </c>
      <c r="BT156" s="67">
        <f>IFERROR(IF(($BK156)&gt;0,($BN156)/($BK156),""),"")</f>
        <v/>
      </c>
      <c r="BU156" s="67">
        <f>IFERROR(IF(($BL156)&gt;0,($BO156)/($BL156),""),"")</f>
        <v/>
      </c>
      <c r="BV156" s="67">
        <f>IFERROR(IF(($BM156)&gt;0,($BP156)/($BM156),""),"")</f>
        <v/>
      </c>
      <c r="BW156" s="57">
        <f>SUMIFS(tblFleet[Calendar_h],tblFleet[Date],$A156,tblFleet[Equipment_Class],"Haul Truck")</f>
        <v/>
      </c>
      <c r="BX156" s="57">
        <f>IF($B156=$B155,$BX155,0)+$BW156</f>
        <v/>
      </c>
      <c r="BY156" s="57">
        <f>$BY155+$BW156</f>
        <v/>
      </c>
      <c r="BZ156" s="57">
        <f>SUMIFS(tblFleet[Available_h],tblFleet[Date],$A156,tblFleet[Equipment_Class],"Haul Truck")</f>
        <v/>
      </c>
      <c r="CA156" s="57">
        <f>IF($B156=$B155,$CA155,0)+$BZ156</f>
        <v/>
      </c>
      <c r="CB156" s="57">
        <f>$CB155+$BZ156</f>
        <v/>
      </c>
      <c r="CC156" s="57">
        <f>SUMIFS(tblFleet[Operating_h],tblFleet[Date],$A156,tblFleet[Equipment_Class],"Haul Truck")</f>
        <v/>
      </c>
      <c r="CD156" s="57">
        <f>IF($B156=$B155,$CD155,0)+$CC156</f>
        <v/>
      </c>
      <c r="CE156" s="57">
        <f>$CE155+$CC156</f>
        <v/>
      </c>
      <c r="CF156" s="67">
        <f>IFERROR(IF(($BW156)&gt;0,($BZ156)/($BW156),""),"")</f>
        <v/>
      </c>
      <c r="CG156" s="67">
        <f>IFERROR(IF(($BX156)&gt;0,($CA156)/($BX156),""),"")</f>
        <v/>
      </c>
      <c r="CH156" s="67">
        <f>IFERROR(IF(($BY156)&gt;0,($CB156)/($BY156),""),"")</f>
        <v/>
      </c>
      <c r="CI156" s="67">
        <f>IFERROR(IF(($BZ156)&gt;0,($CC156)/($BZ156),""),"")</f>
        <v/>
      </c>
      <c r="CJ156" s="67">
        <f>IFERROR(IF(($CA156)&gt;0,($CD156)/($CA156),""),"")</f>
        <v/>
      </c>
      <c r="CK156" s="67">
        <f>IFERROR(IF(($CB156)&gt;0,($CE156)/($CB156),""),"")</f>
        <v/>
      </c>
      <c r="CL156" s="55">
        <f>IFERROR(IF(($BN156)&gt;0,($X156+$AD156)/($BN156),""),"")</f>
        <v/>
      </c>
      <c r="CM156" s="55">
        <f>IFERROR(IF(($BO156)&gt;0,($Y156+$AE156)/($BO156),""),"")</f>
        <v/>
      </c>
      <c r="CN156" s="55">
        <f>IFERROR(IF(($BP156)&gt;0,($Z156+$AF156)/($BP156),""),"")</f>
        <v/>
      </c>
      <c r="CO156" s="55">
        <f>IFERROR(IF(($CC156)&gt;0,($X156+$AD156)/($CC156),""),"")</f>
        <v/>
      </c>
      <c r="CP156" s="55">
        <f>IFERROR(IF(($CD156)&gt;0,($Y156+$AE156)/($CD156),""),"")</f>
        <v/>
      </c>
      <c r="CQ156" s="55">
        <f>IFERROR(IF(($CE156)&gt;0,($Z156+$AF156)/($CE156),""),"")</f>
        <v/>
      </c>
      <c r="CR156" s="55">
        <f>SUMIFS(tblPlant[Crushed_t],tblPlant[Date],$A156)</f>
        <v/>
      </c>
      <c r="CS156" s="55">
        <f>IF($B156=$B155,$CS155,0)+$CR156</f>
        <v/>
      </c>
      <c r="CT156" s="55">
        <f>$CT155+$CR156</f>
        <v/>
      </c>
      <c r="CU156" s="55">
        <f>SUMIFS(tblPlant[Milled_t],tblPlant[Date],$A156)</f>
        <v/>
      </c>
      <c r="CV156" s="55">
        <f>IF($B156=$B155,$CV155,0)+$CU156</f>
        <v/>
      </c>
      <c r="CW156" s="55">
        <f>$CW155+$CU156</f>
        <v/>
      </c>
      <c r="CX156" s="55">
        <f>SUMIFS(tblPlant[Feed_oz],tblPlant[Date],$A156)</f>
        <v/>
      </c>
      <c r="CY156" s="55">
        <f>IF($B156=$B155,$CY155,0)+$CX156</f>
        <v/>
      </c>
      <c r="CZ156" s="55">
        <f>$CZ155+$CX156</f>
        <v/>
      </c>
      <c r="DA156" s="55">
        <f>SUMIFS(tblPlant[Tails_oz],tblPlant[Date],$A156)</f>
        <v/>
      </c>
      <c r="DB156" s="55">
        <f>IF($B156=$B155,$DB155,0)+$DA156</f>
        <v/>
      </c>
      <c r="DC156" s="55">
        <f>$DC155+$DA156</f>
        <v/>
      </c>
      <c r="DD156" s="55">
        <f>SUMIFS(tblPlant[Recovered_oz],tblPlant[Date],$A156)</f>
        <v/>
      </c>
      <c r="DE156" s="55">
        <f>IF($B156=$B155,$DE155,0)+$DD156</f>
        <v/>
      </c>
      <c r="DF156" s="55">
        <f>$DF155+$DD156</f>
        <v/>
      </c>
      <c r="DG156" s="55">
        <f>SUMIFS(tblPlant[Milled_t],tblPlant[Date],$A156,tblPlant[Head_Grade_gpt],"&lt;&gt;")</f>
        <v/>
      </c>
      <c r="DH156" s="55">
        <f>IF($B156=$B155,$DH155,0)+$DG156</f>
        <v/>
      </c>
      <c r="DI156" s="55">
        <f>$DI155+$DG156</f>
        <v/>
      </c>
      <c r="DJ156" s="55">
        <f>SUMIFS(tblPlant[Milled_t],tblPlant[Date],$A156,tblPlant[Tails_Grade_gpt],"&lt;&gt;")</f>
        <v/>
      </c>
      <c r="DK156" s="55">
        <f>IF($B156=$B155,$DK155,0)+$DJ156</f>
        <v/>
      </c>
      <c r="DL156" s="55">
        <f>$DL155+$DJ156</f>
        <v/>
      </c>
      <c r="DM156" s="55">
        <f>SUMIFS(tblPlant[Feed_oz],tblPlant[Date],$A156,tblPlant[Tails_Grade_gpt],"&lt;&gt;")</f>
        <v/>
      </c>
      <c r="DN156" s="55">
        <f>IF($B156=$B155,$DN155,0)+$DM156</f>
        <v/>
      </c>
      <c r="DO156" s="55">
        <f>$DO155+$DM156</f>
        <v/>
      </c>
      <c r="DP156" s="55">
        <f>SUMIFS(tblPlant[Milled_t],tblPlant[Date],$A156,tblPlant[Mill_Run_h],"&lt;&gt;")</f>
        <v/>
      </c>
      <c r="DQ156" s="55">
        <f>IF($B156=$B155,$DQ155,0)+$DP156</f>
        <v/>
      </c>
      <c r="DR156" s="55">
        <f>$DR155+$DP156</f>
        <v/>
      </c>
      <c r="DS156" s="56">
        <f>IFERROR(IF(($DG156)&gt;0,($CX156*cfg_TroyOz)/($DG156),""),"")</f>
        <v/>
      </c>
      <c r="DT156" s="56">
        <f>IFERROR(IF(($DH156)&gt;0,($CY156*cfg_TroyOz)/($DH156),""),"")</f>
        <v/>
      </c>
      <c r="DU156" s="56">
        <f>IFERROR(IF(($DI156)&gt;0,($CZ156*cfg_TroyOz)/($DI156),""),"")</f>
        <v/>
      </c>
      <c r="DV156" s="56">
        <f>IFERROR(IF(($DJ156)&gt;0,($DA156*cfg_TroyOz)/($DJ156),""),"")</f>
        <v/>
      </c>
      <c r="DW156" s="56">
        <f>IFERROR(IF(($DK156)&gt;0,($DB156*cfg_TroyOz)/($DK156),""),"")</f>
        <v/>
      </c>
      <c r="DX156" s="56">
        <f>IFERROR(IF(($DL156)&gt;0,($DC156*cfg_TroyOz)/($DL156),""),"")</f>
        <v/>
      </c>
      <c r="DY156" s="67">
        <f>IFERROR(IF(($DM156)&gt;0,($DD156)/($DM156),""),"")</f>
        <v/>
      </c>
      <c r="DZ156" s="67">
        <f>IFERROR(IF(($DN156)&gt;0,($DE156)/($DN156),""),"")</f>
        <v/>
      </c>
      <c r="EA156" s="67">
        <f>IFERROR(IF(($DO156)&gt;0,($DF156)/($DO156),""),"")</f>
        <v/>
      </c>
      <c r="EB156" s="55">
        <f>SUMIFS(tblPlant[Gravity_Gold_oz],tblPlant[Date],$A156)</f>
        <v/>
      </c>
      <c r="EC156" s="55">
        <f>IF($B156=$B155,$EC155,0)+$EB156</f>
        <v/>
      </c>
      <c r="ED156" s="55">
        <f>$ED155+$EB156</f>
        <v/>
      </c>
      <c r="EE156" s="67">
        <f>IFERROR(IF(($DD156)&gt;0,($EB156)/($DD156),""),"")</f>
        <v/>
      </c>
      <c r="EF156" s="67">
        <f>IFERROR(IF(($DE156)&gt;0,($EC156)/($DE156),""),"")</f>
        <v/>
      </c>
      <c r="EG156" s="67">
        <f>IFERROR(IF(($DF156)&gt;0,($ED156)/($DF156),""),"")</f>
        <v/>
      </c>
      <c r="EH156" s="55">
        <f>SUMIFS(tblPlant[Gold_Poured_oz],tblPlant[Date],$A156)</f>
        <v/>
      </c>
      <c r="EI156" s="55">
        <f>IF($B156=$B155,$EI155,0)+$EH156</f>
        <v/>
      </c>
      <c r="EJ156" s="55">
        <f>$EJ155+$EH156</f>
        <v/>
      </c>
      <c r="EK156" s="57">
        <f>SUMIFS(tblPlant[Mill_Run_h],tblPlant[Date],$A156)</f>
        <v/>
      </c>
      <c r="EL156" s="57">
        <f>IF($B156=$B155,$EL155,0)+$EK156</f>
        <v/>
      </c>
      <c r="EM156" s="57">
        <f>$EM155+$EK156</f>
        <v/>
      </c>
      <c r="EN156" s="57">
        <f>SUMIFS(tblPlant[Mill_Planned_Maint_h],tblPlant[Date],$A156)</f>
        <v/>
      </c>
      <c r="EO156" s="57">
        <f>IF($B156=$B155,$EO155,0)+$EN156</f>
        <v/>
      </c>
      <c r="EP156" s="57">
        <f>$EP155+$EN156</f>
        <v/>
      </c>
      <c r="EQ156" s="57">
        <f>SUMIFS(tblPlant[Mill_Unplanned_Down_h],tblPlant[Date],$A156)</f>
        <v/>
      </c>
      <c r="ER156" s="57">
        <f>IF($B156=$B155,$ER155,0)+$EQ156</f>
        <v/>
      </c>
      <c r="ES156" s="57">
        <f>$ES155+$EQ156</f>
        <v/>
      </c>
      <c r="ET156" s="57">
        <f>IF(COUNTIFS(tblPlant[Date],$A156,tblPlant[Mill_Run_h],"&lt;&gt;")+COUNTIFS(tblPlant[Date],$A156,tblPlant[Mill_Planned_Maint_h],"&lt;&gt;")+COUNTIFS(tblPlant[Date],$A156,tblPlant[Mill_Unplanned_Down_h],"&lt;&gt;")&gt;0,cfg_HoursPerDay,0)</f>
        <v/>
      </c>
      <c r="EU156" s="57">
        <f>IF($B156=$B155,$EU155,0)+$ET156</f>
        <v/>
      </c>
      <c r="EV156" s="57">
        <f>$EV155+$ET156</f>
        <v/>
      </c>
      <c r="EW156" s="57">
        <f>SUMIFS(tblPlant[Crusher_Run_h],tblPlant[Date],$A156)</f>
        <v/>
      </c>
      <c r="EX156" s="57">
        <f>IF($B156=$B155,$EX155,0)+$EW156</f>
        <v/>
      </c>
      <c r="EY156" s="57">
        <f>$EY155+$EW156</f>
        <v/>
      </c>
      <c r="EZ156" s="55">
        <f>IFERROR(IF(($EK156)&gt;0,($DP156)/($EK156),""),"")</f>
        <v/>
      </c>
      <c r="FA156" s="55">
        <f>IFERROR(IF(($EL156)&gt;0,($DQ156)/($EL156),""),"")</f>
        <v/>
      </c>
      <c r="FB156" s="55">
        <f>IFERROR(IF(($EM156)&gt;0,($DR156)/($EM156),""),"")</f>
        <v/>
      </c>
      <c r="FC156" s="67">
        <f>IFERROR(IF(($ET156)&gt;0,($ET156-$EN156-$EQ156)/($ET156),""),"")</f>
        <v/>
      </c>
      <c r="FD156" s="67">
        <f>IFERROR(IF(($EU156)&gt;0,($EU156-$EO156-$ER156)/($EU156),""),"")</f>
        <v/>
      </c>
      <c r="FE156" s="67">
        <f>IFERROR(IF(($EV156)&gt;0,($EV156-$EP156-$ES156)/($EV156),""),"")</f>
        <v/>
      </c>
      <c r="FF156" s="67">
        <f>IFERROR(IF(($ET156-$EN156-$EQ156)&gt;0,($EK156)/($ET156-$EN156-$EQ156),""),"")</f>
        <v/>
      </c>
      <c r="FG156" s="67">
        <f>IFERROR(IF(($EU156-$EO156-$ER156)&gt;0,($EL156)/($EU156-$EO156-$ER156),""),"")</f>
        <v/>
      </c>
      <c r="FH156" s="67">
        <f>IFERROR(IF(($EV156-$EP156-$ES156)&gt;0,($EM156)/($EV156-$EP156-$ES156),""),"")</f>
        <v/>
      </c>
      <c r="FI156" s="55">
        <f>SUMIFS(tblPlant[Cyanide_kg],tblPlant[Date],$A156)</f>
        <v/>
      </c>
      <c r="FJ156" s="55">
        <f>IF($B156=$B155,$FJ155,0)+$FI156</f>
        <v/>
      </c>
      <c r="FK156" s="55">
        <f>$FK155+$FI156</f>
        <v/>
      </c>
      <c r="FL156" s="55">
        <f>SUMIFS(tblPlant[Lime_kg],tblPlant[Date],$A156)</f>
        <v/>
      </c>
      <c r="FM156" s="55">
        <f>IF($B156=$B155,$FM155,0)+$FL156</f>
        <v/>
      </c>
      <c r="FN156" s="55">
        <f>$FN155+$FL156</f>
        <v/>
      </c>
      <c r="FO156" s="55">
        <f>SUMIFS(tblPlant[Grinding_Media_kg],tblPlant[Date],$A156)</f>
        <v/>
      </c>
      <c r="FP156" s="55">
        <f>IF($B156=$B155,$FP155,0)+$FO156</f>
        <v/>
      </c>
      <c r="FQ156" s="55">
        <f>$FQ155+$FO156</f>
        <v/>
      </c>
      <c r="FR156" s="55">
        <f>SUMIFS(tblPlant[Power_kWh],tblPlant[Date],$A156)</f>
        <v/>
      </c>
      <c r="FS156" s="55">
        <f>IF($B156=$B155,$FS155,0)+$FR156</f>
        <v/>
      </c>
      <c r="FT156" s="55">
        <f>$FT155+$FR156</f>
        <v/>
      </c>
      <c r="FU156" s="55">
        <f>SUMIFS(tblPlant[Raw_Water_m3],tblPlant[Date],$A156)</f>
        <v/>
      </c>
      <c r="FV156" s="55">
        <f>IF($B156=$B155,$FV155,0)+$FU156</f>
        <v/>
      </c>
      <c r="FW156" s="55">
        <f>$FW155+$FU156</f>
        <v/>
      </c>
      <c r="FX156" s="56">
        <f>IFERROR(IF(($CU156)&gt;0,($FI156)/($CU156),""),"")</f>
        <v/>
      </c>
      <c r="FY156" s="56">
        <f>IFERROR(IF(($CV156)&gt;0,($FJ156)/($CV156),""),"")</f>
        <v/>
      </c>
      <c r="FZ156" s="56">
        <f>IFERROR(IF(($CW156)&gt;0,($FK156)/($CW156),""),"")</f>
        <v/>
      </c>
      <c r="GA156" s="56">
        <f>IFERROR(IF(($CU156)&gt;0,($FL156)/($CU156),""),"")</f>
        <v/>
      </c>
      <c r="GB156" s="56">
        <f>IFERROR(IF(($CV156)&gt;0,($FM156)/($CV156),""),"")</f>
        <v/>
      </c>
      <c r="GC156" s="56">
        <f>IFERROR(IF(($CW156)&gt;0,($FN156)/($CW156),""),"")</f>
        <v/>
      </c>
      <c r="GD156" s="56">
        <f>IFERROR(IF(($CU156)&gt;0,($FO156)/($CU156),""),"")</f>
        <v/>
      </c>
      <c r="GE156" s="56">
        <f>IFERROR(IF(($CV156)&gt;0,($FP156)/($CV156),""),"")</f>
        <v/>
      </c>
      <c r="GF156" s="56">
        <f>IFERROR(IF(($CW156)&gt;0,($FQ156)/($CW156),""),"")</f>
        <v/>
      </c>
      <c r="GG156" s="79">
        <f>IFERROR(IF(($CU156)&gt;0,($FR156)/($CU156),""),"")</f>
        <v/>
      </c>
      <c r="GH156" s="79">
        <f>IFERROR(IF(($CV156)&gt;0,($FS156)/($CV156),""),"")</f>
        <v/>
      </c>
      <c r="GI156" s="79">
        <f>IFERROR(IF(($CW156)&gt;0,($FT156)/($CW156),""),"")</f>
        <v/>
      </c>
      <c r="GJ156" s="56">
        <f>IFERROR(IF(($CU156)&gt;0,($FU156)/($CU156),""),"")</f>
        <v/>
      </c>
      <c r="GK156" s="56">
        <f>IFERROR(IF(($CV156)&gt;0,($FV156)/($CV156),""),"")</f>
        <v/>
      </c>
      <c r="GL156" s="56">
        <f>IFERROR(IF(($CW156)&gt;0,($FW156)/($CW156),""),"")</f>
        <v/>
      </c>
      <c r="GM156" s="55">
        <f>IF(SUMIFS(tblPlant[GIC_oz],tblPlant[Date],$A156)&gt;0,SUMIFS(tblPlant[GIC_oz],tblPlant[Date],$A156),"")</f>
        <v/>
      </c>
      <c r="GN156" s="55">
        <f>SUMIFS(tblGold[Gold_oz],tblGold[Date],$A156,tblGold[Type],"Shipment")</f>
        <v/>
      </c>
      <c r="GO156" s="55">
        <f>IF($B156=$B155,$GO155,0)+$GN156</f>
        <v/>
      </c>
      <c r="GP156" s="55">
        <f>$GP155+$GN156</f>
        <v/>
      </c>
      <c r="GQ156" s="55">
        <f>SUMIFS(tblGold[Gold_oz],tblGold[Date],$A156,tblGold[Type],"Sale")</f>
        <v/>
      </c>
      <c r="GR156" s="55">
        <f>IF($B156=$B155,$GR155,0)+$GQ156</f>
        <v/>
      </c>
      <c r="GS156" s="55">
        <f>$GS155+$GQ156</f>
        <v/>
      </c>
      <c r="GT156" s="55">
        <f>SUMIFS(tblGold[Dore_kg],tblGold[Date],$A156,tblGold[Type],"Shipment")</f>
        <v/>
      </c>
      <c r="GU156" s="55">
        <f>IF($B156=$B155,$GU155,0)+$GT156</f>
        <v/>
      </c>
      <c r="GV156" s="55">
        <f>$GV155+$GT156</f>
        <v/>
      </c>
      <c r="GW156" s="57">
        <f>SUMIFS(tblSafety[Hours_Total],tblSafety[Date],$A156)</f>
        <v/>
      </c>
      <c r="GX156" s="57">
        <f>IF($B156=$B155,$GX155,0)+$GW156</f>
        <v/>
      </c>
      <c r="GY156" s="57">
        <f>$GY155+$GW156</f>
        <v/>
      </c>
      <c r="GZ156" s="62">
        <f>SUMIFS(tblSafety[Fatality],tblSafety[Date],$A156)</f>
        <v/>
      </c>
      <c r="HA156" s="62">
        <f>IF($B156=$B155,$HA155,0)+$GZ156</f>
        <v/>
      </c>
      <c r="HB156" s="62">
        <f>$HB155+$GZ156</f>
        <v/>
      </c>
      <c r="HC156" s="62">
        <f>SUMIFS(tblSafety[LTI],tblSafety[Date],$A156)</f>
        <v/>
      </c>
      <c r="HD156" s="62">
        <f>IF($B156=$B155,$HD155,0)+$HC156</f>
        <v/>
      </c>
      <c r="HE156" s="62">
        <f>$HE155+$HC156</f>
        <v/>
      </c>
      <c r="HF156" s="62">
        <f>SUMIFS(tblSafety[RWI],tblSafety[Date],$A156)</f>
        <v/>
      </c>
      <c r="HG156" s="62">
        <f>IF($B156=$B155,$HG155,0)+$HF156</f>
        <v/>
      </c>
      <c r="HH156" s="62">
        <f>$HH155+$HF156</f>
        <v/>
      </c>
      <c r="HI156" s="62">
        <f>SUMIFS(tblSafety[MTI],tblSafety[Date],$A156)</f>
        <v/>
      </c>
      <c r="HJ156" s="62">
        <f>IF($B156=$B155,$HJ155,0)+$HI156</f>
        <v/>
      </c>
      <c r="HK156" s="62">
        <f>$HK155+$HI156</f>
        <v/>
      </c>
      <c r="HL156" s="62">
        <f>SUMIFS(tblSafety[FAI],tblSafety[Date],$A156)</f>
        <v/>
      </c>
      <c r="HM156" s="62">
        <f>IF($B156=$B155,$HM155,0)+$HL156</f>
        <v/>
      </c>
      <c r="HN156" s="62">
        <f>$HN155+$HL156</f>
        <v/>
      </c>
      <c r="HO156" s="62">
        <f>SUMIFS(tblSafety[Recordables],tblSafety[Date],$A156)</f>
        <v/>
      </c>
      <c r="HP156" s="62">
        <f>IF($B156=$B155,$HP155,0)+$HO156</f>
        <v/>
      </c>
      <c r="HQ156" s="62">
        <f>$HQ155+$HO156</f>
        <v/>
      </c>
      <c r="HR156" s="62">
        <f>SUMIFS(tblSafety[Near_Miss],tblSafety[Date],$A156)</f>
        <v/>
      </c>
      <c r="HS156" s="62">
        <f>IF($B156=$B155,$HS155,0)+$HR156</f>
        <v/>
      </c>
      <c r="HT156" s="62">
        <f>$HT155+$HR156</f>
        <v/>
      </c>
      <c r="HU156" s="62">
        <f>SUMIFS(tblSafety[Hazard_Reports],tblSafety[Date],$A156)</f>
        <v/>
      </c>
      <c r="HV156" s="62">
        <f>IF($B156=$B155,$HV155,0)+$HU156</f>
        <v/>
      </c>
      <c r="HW156" s="62">
        <f>$HW155+$HU156</f>
        <v/>
      </c>
      <c r="HX156" s="62">
        <f>SUMIFS(tblSafety[HPI],tblSafety[Date],$A156)</f>
        <v/>
      </c>
      <c r="HY156" s="62">
        <f>IF($B156=$B155,$HY155,0)+$HX156</f>
        <v/>
      </c>
      <c r="HZ156" s="62">
        <f>$HZ155+$HX156</f>
        <v/>
      </c>
      <c r="IA156" s="62">
        <f>SUMIFS(tblSafety[Env_Incidents],tblSafety[Date],$A156)</f>
        <v/>
      </c>
      <c r="IB156" s="62">
        <f>IF($B156=$B155,$IB155,0)+$IA156</f>
        <v/>
      </c>
      <c r="IC156" s="62">
        <f>$IC155+$IA156</f>
        <v/>
      </c>
      <c r="ID156" s="62">
        <f>SUMIFS(tblSafety[Community_Incidents],tblSafety[Date],$A156)</f>
        <v/>
      </c>
      <c r="IE156" s="62">
        <f>IF($B156=$B155,$IE155,0)+$ID156</f>
        <v/>
      </c>
      <c r="IF156" s="62">
        <f>$IF155+$ID156</f>
        <v/>
      </c>
      <c r="IG156" s="62">
        <f>SUMIFS(tblSafety[Vehicle_Incidents],tblSafety[Date],$A156)</f>
        <v/>
      </c>
      <c r="IH156" s="62">
        <f>IF($B156=$B155,$IH155,0)+$IG156</f>
        <v/>
      </c>
      <c r="II156" s="62">
        <f>$II155+$IG156</f>
        <v/>
      </c>
      <c r="IJ156" s="62">
        <f>SUMIFS(tblSafety[Toolbox_Talks],tblSafety[Date],$A156)</f>
        <v/>
      </c>
      <c r="IK156" s="62">
        <f>IF($B156=$B155,$IK155,0)+$IJ156</f>
        <v/>
      </c>
      <c r="IL156" s="62">
        <f>$IL155+$IJ156</f>
        <v/>
      </c>
      <c r="IM156" s="62">
        <f>SUMIFS(tblSafety[Inspections],tblSafety[Date],$A156)</f>
        <v/>
      </c>
      <c r="IN156" s="62">
        <f>IF($B156=$B155,$IN155,0)+$IM156</f>
        <v/>
      </c>
      <c r="IO156" s="62">
        <f>$IO155+$IM156</f>
        <v/>
      </c>
      <c r="IP156" s="56">
        <f>IFERROR((SUMIFS(tblSafety[Recordables],tblSafety[Date],"&gt;="&amp;EDATE($E156,-12),tblSafety[Date],"&lt;="&amp;$A156)+SUMIFS(tblSafetyHistory[Recordables],tblSafetyHistory[Month],"&gt;="&amp;EDATE($E156,-12),tblSafetyHistory[Month],"&lt;"&amp;$E156,tblSafetyHistory[Use],1))/(SUMIFS(tblSafety[Hours_Total],tblSafety[Date],"&gt;="&amp;EDATE($E156,-12),tblSafety[Date],"&lt;="&amp;$A156)+SUMIFS(tblSafetyHistory[Hours_Total],tblSafetyHistory[Month],"&gt;="&amp;EDATE($E156,-12),tblSafetyHistory[Month],"&lt;"&amp;$E156,tblSafetyHistory[Use],1))*cfg_RateBasisHours,"")</f>
        <v/>
      </c>
      <c r="IQ156" s="56">
        <f>IFERROR((SUMIFS(tblSafety[LTI],tblSafety[Date],"&gt;="&amp;EDATE($E156,-12),tblSafety[Date],"&lt;="&amp;$A156)+SUMIFS(tblSafetyHistory[LTI],tblSafetyHistory[Month],"&gt;="&amp;EDATE($E156,-12),tblSafetyHistory[Month],"&lt;"&amp;$E156,tblSafetyHistory[Use],1))/(SUMIFS(tblSafety[Hours_Total],tblSafety[Date],"&gt;="&amp;EDATE($E156,-12),tblSafety[Date],"&lt;="&amp;$A156)+SUMIFS(tblSafetyHistory[Hours_Total],tblSafetyHistory[Month],"&gt;="&amp;EDATE($E156,-12),tblSafetyHistory[Month],"&lt;"&amp;$E156,tblSafetyHistory[Use],1))*cfg_RateBasisHours,"")</f>
        <v/>
      </c>
      <c r="IR156" s="62">
        <f>IF(MAX(N(cfg_PriorLTIDate),_xlfn.MAXIFS(tblSafety[Date],tblSafety[LTI],"&gt;0",tblSafety[Date],"&lt;="&amp;$A156))=0,"",$A156-MAX(N(cfg_PriorLTIDate),_xlfn.MAXIFS(tblSafety[Date],tblSafety[LTI],"&gt;0",tblSafety[Date],"&lt;="&amp;$A156)))</f>
        <v/>
      </c>
      <c r="IS156" s="55">
        <f>SUMIFS(tblBudget[Ore_Mined_t],tblBudget[Month],$E156)</f>
        <v/>
      </c>
      <c r="IT156" s="55">
        <f>$IS156*$C156/$D156</f>
        <v/>
      </c>
      <c r="IU156" s="55">
        <f>SUMIFS(tblBudget[Ore_Mined_t],tblBudget[Month],"&lt;"&amp;$E156)+$IT156</f>
        <v/>
      </c>
      <c r="IV156" s="55">
        <f>SUMIFS(tblBudget[Ore_oz],tblBudget[Month],$E156)</f>
        <v/>
      </c>
      <c r="IW156" s="55">
        <f>$IV156*$C156/$D156</f>
        <v/>
      </c>
      <c r="IX156" s="55">
        <f>SUMIFS(tblBudget[Ore_oz],tblBudget[Month],"&lt;"&amp;$E156)+$IW156</f>
        <v/>
      </c>
      <c r="IY156" s="55">
        <f>SUMIFS(tblBudget[Ore_Mined_t],tblBudget[Month],$E156)</f>
        <v/>
      </c>
      <c r="IZ156" s="55">
        <f>$IY156*$C156/$D156</f>
        <v/>
      </c>
      <c r="JA156" s="55">
        <f>SUMIFS(tblBudget[Ore_Mined_t],tblBudget[Month],"&lt;"&amp;$E156)+$IZ156</f>
        <v/>
      </c>
      <c r="JB156" s="56">
        <f>IFERROR(IF(($IY156)&gt;0,($IV156*cfg_TroyOz)/($IY156),""),"")</f>
        <v/>
      </c>
      <c r="JC156" s="56">
        <f>IFERROR(IF(($IZ156)&gt;0,($IW156*cfg_TroyOz)/($IZ156),""),"")</f>
        <v/>
      </c>
      <c r="JD156" s="56">
        <f>IFERROR(IF(($JA156)&gt;0,($IX156*cfg_TroyOz)/($JA156),""),"")</f>
        <v/>
      </c>
      <c r="JE156" s="55">
        <f>SUMIFS(tblBudget[Waste_t],tblBudget[Month],$E156)</f>
        <v/>
      </c>
      <c r="JF156" s="55">
        <f>$JE156*$C156/$D156</f>
        <v/>
      </c>
      <c r="JG156" s="55">
        <f>SUMIFS(tblBudget[Waste_t],tblBudget[Month],"&lt;"&amp;$E156)+$JF156</f>
        <v/>
      </c>
      <c r="JH156" s="55">
        <f>SUMIFS(tblBudget[TMM_t],tblBudget[Month],$E156)</f>
        <v/>
      </c>
      <c r="JI156" s="55">
        <f>$JH156*$C156/$D156</f>
        <v/>
      </c>
      <c r="JJ156" s="55">
        <f>SUMIFS(tblBudget[TMM_t],tblBudget[Month],"&lt;"&amp;$E156)+$JI156</f>
        <v/>
      </c>
      <c r="JK156" s="56">
        <f>IFERROR(IF(($IS156)&gt;0,($JE156)/($IS156),""),"")</f>
        <v/>
      </c>
      <c r="JL156" s="56">
        <f>IFERROR(IF(($IT156)&gt;0,($JF156)/($IT156),""),"")</f>
        <v/>
      </c>
      <c r="JM156" s="56">
        <f>IFERROR(IF(($IU156)&gt;0,($JG156)/($IU156),""),"")</f>
        <v/>
      </c>
      <c r="JN156" s="55">
        <f>SUMIFS(tblBudget[Drill_m],tblBudget[Month],$E156)</f>
        <v/>
      </c>
      <c r="JO156" s="55">
        <f>$JN156*$C156/$D156</f>
        <v/>
      </c>
      <c r="JP156" s="55">
        <f>SUMIFS(tblBudget[Drill_m],tblBudget[Month],"&lt;"&amp;$E156)+$JO156</f>
        <v/>
      </c>
      <c r="JQ156" s="55">
        <f>SUMIFS(tblBudget[Diesel_L],tblBudget[Month],$E156)</f>
        <v/>
      </c>
      <c r="JR156" s="55">
        <f>$JQ156*$C156/$D156</f>
        <v/>
      </c>
      <c r="JS156" s="55">
        <f>SUMIFS(tblBudget[Diesel_L],tblBudget[Month],"&lt;"&amp;$E156)+$JR156</f>
        <v/>
      </c>
      <c r="JT156" s="55">
        <f>SUMIFS(tblBudget[Milled_t],tblBudget[Month],$E156)</f>
        <v/>
      </c>
      <c r="JU156" s="55">
        <f>$JT156*$C156/$D156</f>
        <v/>
      </c>
      <c r="JV156" s="55">
        <f>SUMIFS(tblBudget[Milled_t],tblBudget[Month],"&lt;"&amp;$E156)+$JU156</f>
        <v/>
      </c>
      <c r="JW156" s="55">
        <f>SUMIFS(tblBudget[Feed_oz],tblBudget[Month],$E156)</f>
        <v/>
      </c>
      <c r="JX156" s="55">
        <f>$JW156*$C156/$D156</f>
        <v/>
      </c>
      <c r="JY156" s="55">
        <f>SUMIFS(tblBudget[Feed_oz],tblBudget[Month],"&lt;"&amp;$E156)+$JX156</f>
        <v/>
      </c>
      <c r="JZ156" s="55">
        <f>SUMIFS(tblBudget[Recovered_oz],tblBudget[Month],$E156)</f>
        <v/>
      </c>
      <c r="KA156" s="55">
        <f>$JZ156*$C156/$D156</f>
        <v/>
      </c>
      <c r="KB156" s="55">
        <f>SUMIFS(tblBudget[Recovered_oz],tblBudget[Month],"&lt;"&amp;$E156)+$KA156</f>
        <v/>
      </c>
      <c r="KC156" s="55">
        <f>SUMIFS(tblBudget[Milled_t],tblBudget[Month],$E156)</f>
        <v/>
      </c>
      <c r="KD156" s="55">
        <f>$KC156*$C156/$D156</f>
        <v/>
      </c>
      <c r="KE156" s="55">
        <f>SUMIFS(tblBudget[Milled_t],tblBudget[Month],"&lt;"&amp;$E156)+$KD156</f>
        <v/>
      </c>
      <c r="KF156" s="55">
        <f>SUMIFS(tblBudget[Feed_oz],tblBudget[Month],$E156)</f>
        <v/>
      </c>
      <c r="KG156" s="55">
        <f>$KF156*$C156/$D156</f>
        <v/>
      </c>
      <c r="KH156" s="55">
        <f>SUMIFS(tblBudget[Feed_oz],tblBudget[Month],"&lt;"&amp;$E156)+$KG156</f>
        <v/>
      </c>
      <c r="KI156" s="56">
        <f>IFERROR(IF(($KC156)&gt;0,($JW156*cfg_TroyOz)/($KC156),""),"")</f>
        <v/>
      </c>
      <c r="KJ156" s="56">
        <f>IFERROR(IF(($KD156)&gt;0,($JX156*cfg_TroyOz)/($KD156),""),"")</f>
        <v/>
      </c>
      <c r="KK156" s="56">
        <f>IFERROR(IF(($KE156)&gt;0,($JY156*cfg_TroyOz)/($KE156),""),"")</f>
        <v/>
      </c>
      <c r="KL156" s="67">
        <f>IFERROR(IF(($KF156)&gt;0,($JZ156)/($KF156),""),"")</f>
        <v/>
      </c>
      <c r="KM156" s="67">
        <f>IFERROR(IF(($KG156)&gt;0,($KA156)/($KG156),""),"")</f>
        <v/>
      </c>
      <c r="KN156" s="67">
        <f>IFERROR(IF(($KH156)&gt;0,($KB156)/($KH156),""),"")</f>
        <v/>
      </c>
      <c r="KO156" s="55">
        <f>SUMIFS(tblBudget[Gold_Poured_oz],tblBudget[Month],$E156)</f>
        <v/>
      </c>
      <c r="KP156" s="55">
        <f>$KO156*$C156/$D156</f>
        <v/>
      </c>
      <c r="KQ156" s="55">
        <f>SUMIFS(tblBudget[Gold_Poured_oz],tblBudget[Month],"&lt;"&amp;$E156)+$KP156</f>
        <v/>
      </c>
      <c r="KR156" s="57">
        <f>SUMIFS(tblBudget[Hours_Worked],tblBudget[Month],$E156)</f>
        <v/>
      </c>
      <c r="KS156" s="57">
        <f>$KR156*$C156/$D156</f>
        <v/>
      </c>
      <c r="KT156" s="57">
        <f>SUMIFS(tblBudget[Hours_Worked],tblBudget[Month],"&lt;"&amp;$E156)+$KS156</f>
        <v/>
      </c>
    </row>
    <row r="157">
      <c r="A157" s="54" t="n">
        <v>46178</v>
      </c>
      <c r="B157">
        <f>MONTH($A157)</f>
        <v/>
      </c>
      <c r="C157">
        <f>DAY($A157)</f>
        <v/>
      </c>
      <c r="D157">
        <f>DAY(EOMONTH($A157,0))</f>
        <v/>
      </c>
      <c r="E157" s="54">
        <f>DATE(YEAR($A157),MONTH($A157),1)</f>
        <v/>
      </c>
      <c r="F157" s="55">
        <f>SUMIFS(tblMovement[Tonnes_t],tblMovement[Date],$A157,tblMovement[Is_Ore],1,tblMovement[Source_Type],"Pit")</f>
        <v/>
      </c>
      <c r="G157" s="55">
        <f>IF($B157=$B156,$G156,0)+$F157</f>
        <v/>
      </c>
      <c r="H157" s="55">
        <f>$H156+$F157</f>
        <v/>
      </c>
      <c r="I157" s="55">
        <f>SUMIFS(tblMovement[Ore_oz],tblMovement[Date],$A157,tblMovement[Source_Type],"Pit")</f>
        <v/>
      </c>
      <c r="J157" s="55">
        <f>IF($B157=$B156,$J156,0)+$I157</f>
        <v/>
      </c>
      <c r="K157" s="55">
        <f>$K156+$I157</f>
        <v/>
      </c>
      <c r="L157" s="55">
        <f>SUMIFS(tblMovement[Tonnes_t],tblMovement[Date],$A157,tblMovement[Is_Ore],1,tblMovement[Source_Type],"Pit",tblMovement[Grade_gpt],"&lt;&gt;")</f>
        <v/>
      </c>
      <c r="M157" s="55">
        <f>IF($B157=$B156,$M156,0)+$L157</f>
        <v/>
      </c>
      <c r="N157" s="55">
        <f>$N156+$L157</f>
        <v/>
      </c>
      <c r="O157" s="56">
        <f>IFERROR(IF(($L157)&gt;0,($I157*cfg_TroyOz)/($L157),""),"")</f>
        <v/>
      </c>
      <c r="P157" s="56">
        <f>IFERROR(IF(($M157)&gt;0,($J157*cfg_TroyOz)/($M157),""),"")</f>
        <v/>
      </c>
      <c r="Q157" s="56">
        <f>IFERROR(IF(($N157)&gt;0,($K157*cfg_TroyOz)/($N157),""),"")</f>
        <v/>
      </c>
      <c r="R157" s="55">
        <f>$F157-$L157</f>
        <v/>
      </c>
      <c r="S157" s="55">
        <f>IF($B157=$B156,$S156,0)+$R157</f>
        <v/>
      </c>
      <c r="T157" s="55">
        <f>$T156+$R157</f>
        <v/>
      </c>
      <c r="U157" s="55">
        <f>SUMIFS(tblMovement[Tonnes_t],tblMovement[Date],$A157,tblMovement[Is_Ore],0,tblMovement[Source_Type],"Pit")</f>
        <v/>
      </c>
      <c r="V157" s="55">
        <f>IF($B157=$B156,$V156,0)+$U157</f>
        <v/>
      </c>
      <c r="W157" s="55">
        <f>$W156+$U157</f>
        <v/>
      </c>
      <c r="X157" s="55">
        <f>$F157+$U157</f>
        <v/>
      </c>
      <c r="Y157" s="55">
        <f>IF($B157=$B156,$Y156,0)+$X157</f>
        <v/>
      </c>
      <c r="Z157" s="55">
        <f>$Z156+$X157</f>
        <v/>
      </c>
      <c r="AA157" s="56">
        <f>IFERROR(IF(($F157)&gt;0,($U157)/($F157),""),"")</f>
        <v/>
      </c>
      <c r="AB157" s="56">
        <f>IFERROR(IF(($G157)&gt;0,($V157)/($G157),""),"")</f>
        <v/>
      </c>
      <c r="AC157" s="56">
        <f>IFERROR(IF(($H157)&gt;0,($W157)/($H157),""),"")</f>
        <v/>
      </c>
      <c r="AD157" s="55">
        <f>SUMIFS(tblMovement[Tonnes_t],tblMovement[Date],$A157,tblMovement[Source_Type],"Stockpile")</f>
        <v/>
      </c>
      <c r="AE157" s="55">
        <f>IF($B157=$B156,$AE156,0)+$AD157</f>
        <v/>
      </c>
      <c r="AF157" s="55">
        <f>$AF156+$AD157</f>
        <v/>
      </c>
      <c r="AG157" s="55">
        <f>SUMIFS(tblMovement[Tonnes_t],tblMovement[Date],$A157)</f>
        <v/>
      </c>
      <c r="AH157" s="55">
        <f>IF($B157=$B156,$AH156,0)+$AG157</f>
        <v/>
      </c>
      <c r="AI157" s="55">
        <f>$AI156+$AG157</f>
        <v/>
      </c>
      <c r="AJ157" s="55">
        <f>$AG157-$X157-$AD157</f>
        <v/>
      </c>
      <c r="AK157" s="55">
        <f>IF($B157=$B156,$AK156,0)+$AJ157</f>
        <v/>
      </c>
      <c r="AL157" s="55">
        <f>$AL156+$AJ157</f>
        <v/>
      </c>
      <c r="AM157" s="55">
        <f>SUMIFS(tblMiningDaily[Drill_m],tblMiningDaily[Date],$A157)</f>
        <v/>
      </c>
      <c r="AN157" s="55">
        <f>IF($B157=$B156,$AN156,0)+$AM157</f>
        <v/>
      </c>
      <c r="AO157" s="55">
        <f>$AO156+$AM157</f>
        <v/>
      </c>
      <c r="AP157" s="55">
        <f>SUMIFS(tblMiningDaily[GC_Drill_m],tblMiningDaily[Date],$A157)</f>
        <v/>
      </c>
      <c r="AQ157" s="55">
        <f>IF($B157=$B156,$AQ156,0)+$AP157</f>
        <v/>
      </c>
      <c r="AR157" s="55">
        <f>$AR156+$AP157</f>
        <v/>
      </c>
      <c r="AS157" s="55">
        <f>SUMIFS(tblMiningDaily[Blast_t],tblMiningDaily[Date],$A157)</f>
        <v/>
      </c>
      <c r="AT157" s="55">
        <f>IF($B157=$B156,$AT156,0)+$AS157</f>
        <v/>
      </c>
      <c r="AU157" s="55">
        <f>$AU156+$AS157</f>
        <v/>
      </c>
      <c r="AV157" s="55">
        <f>SUMIFS(tblMiningDaily[Explosives_kg],tblMiningDaily[Date],$A157)</f>
        <v/>
      </c>
      <c r="AW157" s="55">
        <f>IF($B157=$B156,$AW156,0)+$AV157</f>
        <v/>
      </c>
      <c r="AX157" s="55">
        <f>$AX156+$AV157</f>
        <v/>
      </c>
      <c r="AY157" s="56">
        <f>IFERROR(IF(($AS157)&gt;0,($AV157)/($AS157),""),"")</f>
        <v/>
      </c>
      <c r="AZ157" s="56">
        <f>IFERROR(IF(($AT157)&gt;0,($AW157)/($AT157),""),"")</f>
        <v/>
      </c>
      <c r="BA157" s="56">
        <f>IFERROR(IF(($AU157)&gt;0,($AX157)/($AU157),""),"")</f>
        <v/>
      </c>
      <c r="BB157" s="55">
        <f>SUMIFS(tblMiningDaily[Diesel_L],tblMiningDaily[Date],$A157)</f>
        <v/>
      </c>
      <c r="BC157" s="55">
        <f>IF($B157=$B156,$BC156,0)+$BB157</f>
        <v/>
      </c>
      <c r="BD157" s="55">
        <f>$BD156+$BB157</f>
        <v/>
      </c>
      <c r="BE157" s="55">
        <f>SUMIFS(tblMiningDaily[Dewatering_m3],tblMiningDaily[Date],$A157)</f>
        <v/>
      </c>
      <c r="BF157" s="55">
        <f>IF($B157=$B156,$BF156,0)+$BE157</f>
        <v/>
      </c>
      <c r="BG157" s="55">
        <f>$BG156+$BE157</f>
        <v/>
      </c>
      <c r="BH157" s="57">
        <f>SUMIFS(tblFleet[Calendar_h],tblFleet[Date],$A157,tblFleet[Equipment_Class],"Excavator")</f>
        <v/>
      </c>
      <c r="BI157" s="57">
        <f>IF($B157=$B156,$BI156,0)+$BH157</f>
        <v/>
      </c>
      <c r="BJ157" s="57">
        <f>$BJ156+$BH157</f>
        <v/>
      </c>
      <c r="BK157" s="57">
        <f>SUMIFS(tblFleet[Available_h],tblFleet[Date],$A157,tblFleet[Equipment_Class],"Excavator")</f>
        <v/>
      </c>
      <c r="BL157" s="57">
        <f>IF($B157=$B156,$BL156,0)+$BK157</f>
        <v/>
      </c>
      <c r="BM157" s="57">
        <f>$BM156+$BK157</f>
        <v/>
      </c>
      <c r="BN157" s="57">
        <f>SUMIFS(tblFleet[Operating_h],tblFleet[Date],$A157,tblFleet[Equipment_Class],"Excavator")</f>
        <v/>
      </c>
      <c r="BO157" s="57">
        <f>IF($B157=$B156,$BO156,0)+$BN157</f>
        <v/>
      </c>
      <c r="BP157" s="57">
        <f>$BP156+$BN157</f>
        <v/>
      </c>
      <c r="BQ157" s="67">
        <f>IFERROR(IF(($BH157)&gt;0,($BK157)/($BH157),""),"")</f>
        <v/>
      </c>
      <c r="BR157" s="67">
        <f>IFERROR(IF(($BI157)&gt;0,($BL157)/($BI157),""),"")</f>
        <v/>
      </c>
      <c r="BS157" s="67">
        <f>IFERROR(IF(($BJ157)&gt;0,($BM157)/($BJ157),""),"")</f>
        <v/>
      </c>
      <c r="BT157" s="67">
        <f>IFERROR(IF(($BK157)&gt;0,($BN157)/($BK157),""),"")</f>
        <v/>
      </c>
      <c r="BU157" s="67">
        <f>IFERROR(IF(($BL157)&gt;0,($BO157)/($BL157),""),"")</f>
        <v/>
      </c>
      <c r="BV157" s="67">
        <f>IFERROR(IF(($BM157)&gt;0,($BP157)/($BM157),""),"")</f>
        <v/>
      </c>
      <c r="BW157" s="57">
        <f>SUMIFS(tblFleet[Calendar_h],tblFleet[Date],$A157,tblFleet[Equipment_Class],"Haul Truck")</f>
        <v/>
      </c>
      <c r="BX157" s="57">
        <f>IF($B157=$B156,$BX156,0)+$BW157</f>
        <v/>
      </c>
      <c r="BY157" s="57">
        <f>$BY156+$BW157</f>
        <v/>
      </c>
      <c r="BZ157" s="57">
        <f>SUMIFS(tblFleet[Available_h],tblFleet[Date],$A157,tblFleet[Equipment_Class],"Haul Truck")</f>
        <v/>
      </c>
      <c r="CA157" s="57">
        <f>IF($B157=$B156,$CA156,0)+$BZ157</f>
        <v/>
      </c>
      <c r="CB157" s="57">
        <f>$CB156+$BZ157</f>
        <v/>
      </c>
      <c r="CC157" s="57">
        <f>SUMIFS(tblFleet[Operating_h],tblFleet[Date],$A157,tblFleet[Equipment_Class],"Haul Truck")</f>
        <v/>
      </c>
      <c r="CD157" s="57">
        <f>IF($B157=$B156,$CD156,0)+$CC157</f>
        <v/>
      </c>
      <c r="CE157" s="57">
        <f>$CE156+$CC157</f>
        <v/>
      </c>
      <c r="CF157" s="67">
        <f>IFERROR(IF(($BW157)&gt;0,($BZ157)/($BW157),""),"")</f>
        <v/>
      </c>
      <c r="CG157" s="67">
        <f>IFERROR(IF(($BX157)&gt;0,($CA157)/($BX157),""),"")</f>
        <v/>
      </c>
      <c r="CH157" s="67">
        <f>IFERROR(IF(($BY157)&gt;0,($CB157)/($BY157),""),"")</f>
        <v/>
      </c>
      <c r="CI157" s="67">
        <f>IFERROR(IF(($BZ157)&gt;0,($CC157)/($BZ157),""),"")</f>
        <v/>
      </c>
      <c r="CJ157" s="67">
        <f>IFERROR(IF(($CA157)&gt;0,($CD157)/($CA157),""),"")</f>
        <v/>
      </c>
      <c r="CK157" s="67">
        <f>IFERROR(IF(($CB157)&gt;0,($CE157)/($CB157),""),"")</f>
        <v/>
      </c>
      <c r="CL157" s="55">
        <f>IFERROR(IF(($BN157)&gt;0,($X157+$AD157)/($BN157),""),"")</f>
        <v/>
      </c>
      <c r="CM157" s="55">
        <f>IFERROR(IF(($BO157)&gt;0,($Y157+$AE157)/($BO157),""),"")</f>
        <v/>
      </c>
      <c r="CN157" s="55">
        <f>IFERROR(IF(($BP157)&gt;0,($Z157+$AF157)/($BP157),""),"")</f>
        <v/>
      </c>
      <c r="CO157" s="55">
        <f>IFERROR(IF(($CC157)&gt;0,($X157+$AD157)/($CC157),""),"")</f>
        <v/>
      </c>
      <c r="CP157" s="55">
        <f>IFERROR(IF(($CD157)&gt;0,($Y157+$AE157)/($CD157),""),"")</f>
        <v/>
      </c>
      <c r="CQ157" s="55">
        <f>IFERROR(IF(($CE157)&gt;0,($Z157+$AF157)/($CE157),""),"")</f>
        <v/>
      </c>
      <c r="CR157" s="55">
        <f>SUMIFS(tblPlant[Crushed_t],tblPlant[Date],$A157)</f>
        <v/>
      </c>
      <c r="CS157" s="55">
        <f>IF($B157=$B156,$CS156,0)+$CR157</f>
        <v/>
      </c>
      <c r="CT157" s="55">
        <f>$CT156+$CR157</f>
        <v/>
      </c>
      <c r="CU157" s="55">
        <f>SUMIFS(tblPlant[Milled_t],tblPlant[Date],$A157)</f>
        <v/>
      </c>
      <c r="CV157" s="55">
        <f>IF($B157=$B156,$CV156,0)+$CU157</f>
        <v/>
      </c>
      <c r="CW157" s="55">
        <f>$CW156+$CU157</f>
        <v/>
      </c>
      <c r="CX157" s="55">
        <f>SUMIFS(tblPlant[Feed_oz],tblPlant[Date],$A157)</f>
        <v/>
      </c>
      <c r="CY157" s="55">
        <f>IF($B157=$B156,$CY156,0)+$CX157</f>
        <v/>
      </c>
      <c r="CZ157" s="55">
        <f>$CZ156+$CX157</f>
        <v/>
      </c>
      <c r="DA157" s="55">
        <f>SUMIFS(tblPlant[Tails_oz],tblPlant[Date],$A157)</f>
        <v/>
      </c>
      <c r="DB157" s="55">
        <f>IF($B157=$B156,$DB156,0)+$DA157</f>
        <v/>
      </c>
      <c r="DC157" s="55">
        <f>$DC156+$DA157</f>
        <v/>
      </c>
      <c r="DD157" s="55">
        <f>SUMIFS(tblPlant[Recovered_oz],tblPlant[Date],$A157)</f>
        <v/>
      </c>
      <c r="DE157" s="55">
        <f>IF($B157=$B156,$DE156,0)+$DD157</f>
        <v/>
      </c>
      <c r="DF157" s="55">
        <f>$DF156+$DD157</f>
        <v/>
      </c>
      <c r="DG157" s="55">
        <f>SUMIFS(tblPlant[Milled_t],tblPlant[Date],$A157,tblPlant[Head_Grade_gpt],"&lt;&gt;")</f>
        <v/>
      </c>
      <c r="DH157" s="55">
        <f>IF($B157=$B156,$DH156,0)+$DG157</f>
        <v/>
      </c>
      <c r="DI157" s="55">
        <f>$DI156+$DG157</f>
        <v/>
      </c>
      <c r="DJ157" s="55">
        <f>SUMIFS(tblPlant[Milled_t],tblPlant[Date],$A157,tblPlant[Tails_Grade_gpt],"&lt;&gt;")</f>
        <v/>
      </c>
      <c r="DK157" s="55">
        <f>IF($B157=$B156,$DK156,0)+$DJ157</f>
        <v/>
      </c>
      <c r="DL157" s="55">
        <f>$DL156+$DJ157</f>
        <v/>
      </c>
      <c r="DM157" s="55">
        <f>SUMIFS(tblPlant[Feed_oz],tblPlant[Date],$A157,tblPlant[Tails_Grade_gpt],"&lt;&gt;")</f>
        <v/>
      </c>
      <c r="DN157" s="55">
        <f>IF($B157=$B156,$DN156,0)+$DM157</f>
        <v/>
      </c>
      <c r="DO157" s="55">
        <f>$DO156+$DM157</f>
        <v/>
      </c>
      <c r="DP157" s="55">
        <f>SUMIFS(tblPlant[Milled_t],tblPlant[Date],$A157,tblPlant[Mill_Run_h],"&lt;&gt;")</f>
        <v/>
      </c>
      <c r="DQ157" s="55">
        <f>IF($B157=$B156,$DQ156,0)+$DP157</f>
        <v/>
      </c>
      <c r="DR157" s="55">
        <f>$DR156+$DP157</f>
        <v/>
      </c>
      <c r="DS157" s="56">
        <f>IFERROR(IF(($DG157)&gt;0,($CX157*cfg_TroyOz)/($DG157),""),"")</f>
        <v/>
      </c>
      <c r="DT157" s="56">
        <f>IFERROR(IF(($DH157)&gt;0,($CY157*cfg_TroyOz)/($DH157),""),"")</f>
        <v/>
      </c>
      <c r="DU157" s="56">
        <f>IFERROR(IF(($DI157)&gt;0,($CZ157*cfg_TroyOz)/($DI157),""),"")</f>
        <v/>
      </c>
      <c r="DV157" s="56">
        <f>IFERROR(IF(($DJ157)&gt;0,($DA157*cfg_TroyOz)/($DJ157),""),"")</f>
        <v/>
      </c>
      <c r="DW157" s="56">
        <f>IFERROR(IF(($DK157)&gt;0,($DB157*cfg_TroyOz)/($DK157),""),"")</f>
        <v/>
      </c>
      <c r="DX157" s="56">
        <f>IFERROR(IF(($DL157)&gt;0,($DC157*cfg_TroyOz)/($DL157),""),"")</f>
        <v/>
      </c>
      <c r="DY157" s="67">
        <f>IFERROR(IF(($DM157)&gt;0,($DD157)/($DM157),""),"")</f>
        <v/>
      </c>
      <c r="DZ157" s="67">
        <f>IFERROR(IF(($DN157)&gt;0,($DE157)/($DN157),""),"")</f>
        <v/>
      </c>
      <c r="EA157" s="67">
        <f>IFERROR(IF(($DO157)&gt;0,($DF157)/($DO157),""),"")</f>
        <v/>
      </c>
      <c r="EB157" s="55">
        <f>SUMIFS(tblPlant[Gravity_Gold_oz],tblPlant[Date],$A157)</f>
        <v/>
      </c>
      <c r="EC157" s="55">
        <f>IF($B157=$B156,$EC156,0)+$EB157</f>
        <v/>
      </c>
      <c r="ED157" s="55">
        <f>$ED156+$EB157</f>
        <v/>
      </c>
      <c r="EE157" s="67">
        <f>IFERROR(IF(($DD157)&gt;0,($EB157)/($DD157),""),"")</f>
        <v/>
      </c>
      <c r="EF157" s="67">
        <f>IFERROR(IF(($DE157)&gt;0,($EC157)/($DE157),""),"")</f>
        <v/>
      </c>
      <c r="EG157" s="67">
        <f>IFERROR(IF(($DF157)&gt;0,($ED157)/($DF157),""),"")</f>
        <v/>
      </c>
      <c r="EH157" s="55">
        <f>SUMIFS(tblPlant[Gold_Poured_oz],tblPlant[Date],$A157)</f>
        <v/>
      </c>
      <c r="EI157" s="55">
        <f>IF($B157=$B156,$EI156,0)+$EH157</f>
        <v/>
      </c>
      <c r="EJ157" s="55">
        <f>$EJ156+$EH157</f>
        <v/>
      </c>
      <c r="EK157" s="57">
        <f>SUMIFS(tblPlant[Mill_Run_h],tblPlant[Date],$A157)</f>
        <v/>
      </c>
      <c r="EL157" s="57">
        <f>IF($B157=$B156,$EL156,0)+$EK157</f>
        <v/>
      </c>
      <c r="EM157" s="57">
        <f>$EM156+$EK157</f>
        <v/>
      </c>
      <c r="EN157" s="57">
        <f>SUMIFS(tblPlant[Mill_Planned_Maint_h],tblPlant[Date],$A157)</f>
        <v/>
      </c>
      <c r="EO157" s="57">
        <f>IF($B157=$B156,$EO156,0)+$EN157</f>
        <v/>
      </c>
      <c r="EP157" s="57">
        <f>$EP156+$EN157</f>
        <v/>
      </c>
      <c r="EQ157" s="57">
        <f>SUMIFS(tblPlant[Mill_Unplanned_Down_h],tblPlant[Date],$A157)</f>
        <v/>
      </c>
      <c r="ER157" s="57">
        <f>IF($B157=$B156,$ER156,0)+$EQ157</f>
        <v/>
      </c>
      <c r="ES157" s="57">
        <f>$ES156+$EQ157</f>
        <v/>
      </c>
      <c r="ET157" s="57">
        <f>IF(COUNTIFS(tblPlant[Date],$A157,tblPlant[Mill_Run_h],"&lt;&gt;")+COUNTIFS(tblPlant[Date],$A157,tblPlant[Mill_Planned_Maint_h],"&lt;&gt;")+COUNTIFS(tblPlant[Date],$A157,tblPlant[Mill_Unplanned_Down_h],"&lt;&gt;")&gt;0,cfg_HoursPerDay,0)</f>
        <v/>
      </c>
      <c r="EU157" s="57">
        <f>IF($B157=$B156,$EU156,0)+$ET157</f>
        <v/>
      </c>
      <c r="EV157" s="57">
        <f>$EV156+$ET157</f>
        <v/>
      </c>
      <c r="EW157" s="57">
        <f>SUMIFS(tblPlant[Crusher_Run_h],tblPlant[Date],$A157)</f>
        <v/>
      </c>
      <c r="EX157" s="57">
        <f>IF($B157=$B156,$EX156,0)+$EW157</f>
        <v/>
      </c>
      <c r="EY157" s="57">
        <f>$EY156+$EW157</f>
        <v/>
      </c>
      <c r="EZ157" s="55">
        <f>IFERROR(IF(($EK157)&gt;0,($DP157)/($EK157),""),"")</f>
        <v/>
      </c>
      <c r="FA157" s="55">
        <f>IFERROR(IF(($EL157)&gt;0,($DQ157)/($EL157),""),"")</f>
        <v/>
      </c>
      <c r="FB157" s="55">
        <f>IFERROR(IF(($EM157)&gt;0,($DR157)/($EM157),""),"")</f>
        <v/>
      </c>
      <c r="FC157" s="67">
        <f>IFERROR(IF(($ET157)&gt;0,($ET157-$EN157-$EQ157)/($ET157),""),"")</f>
        <v/>
      </c>
      <c r="FD157" s="67">
        <f>IFERROR(IF(($EU157)&gt;0,($EU157-$EO157-$ER157)/($EU157),""),"")</f>
        <v/>
      </c>
      <c r="FE157" s="67">
        <f>IFERROR(IF(($EV157)&gt;0,($EV157-$EP157-$ES157)/($EV157),""),"")</f>
        <v/>
      </c>
      <c r="FF157" s="67">
        <f>IFERROR(IF(($ET157-$EN157-$EQ157)&gt;0,($EK157)/($ET157-$EN157-$EQ157),""),"")</f>
        <v/>
      </c>
      <c r="FG157" s="67">
        <f>IFERROR(IF(($EU157-$EO157-$ER157)&gt;0,($EL157)/($EU157-$EO157-$ER157),""),"")</f>
        <v/>
      </c>
      <c r="FH157" s="67">
        <f>IFERROR(IF(($EV157-$EP157-$ES157)&gt;0,($EM157)/($EV157-$EP157-$ES157),""),"")</f>
        <v/>
      </c>
      <c r="FI157" s="55">
        <f>SUMIFS(tblPlant[Cyanide_kg],tblPlant[Date],$A157)</f>
        <v/>
      </c>
      <c r="FJ157" s="55">
        <f>IF($B157=$B156,$FJ156,0)+$FI157</f>
        <v/>
      </c>
      <c r="FK157" s="55">
        <f>$FK156+$FI157</f>
        <v/>
      </c>
      <c r="FL157" s="55">
        <f>SUMIFS(tblPlant[Lime_kg],tblPlant[Date],$A157)</f>
        <v/>
      </c>
      <c r="FM157" s="55">
        <f>IF($B157=$B156,$FM156,0)+$FL157</f>
        <v/>
      </c>
      <c r="FN157" s="55">
        <f>$FN156+$FL157</f>
        <v/>
      </c>
      <c r="FO157" s="55">
        <f>SUMIFS(tblPlant[Grinding_Media_kg],tblPlant[Date],$A157)</f>
        <v/>
      </c>
      <c r="FP157" s="55">
        <f>IF($B157=$B156,$FP156,0)+$FO157</f>
        <v/>
      </c>
      <c r="FQ157" s="55">
        <f>$FQ156+$FO157</f>
        <v/>
      </c>
      <c r="FR157" s="55">
        <f>SUMIFS(tblPlant[Power_kWh],tblPlant[Date],$A157)</f>
        <v/>
      </c>
      <c r="FS157" s="55">
        <f>IF($B157=$B156,$FS156,0)+$FR157</f>
        <v/>
      </c>
      <c r="FT157" s="55">
        <f>$FT156+$FR157</f>
        <v/>
      </c>
      <c r="FU157" s="55">
        <f>SUMIFS(tblPlant[Raw_Water_m3],tblPlant[Date],$A157)</f>
        <v/>
      </c>
      <c r="FV157" s="55">
        <f>IF($B157=$B156,$FV156,0)+$FU157</f>
        <v/>
      </c>
      <c r="FW157" s="55">
        <f>$FW156+$FU157</f>
        <v/>
      </c>
      <c r="FX157" s="56">
        <f>IFERROR(IF(($CU157)&gt;0,($FI157)/($CU157),""),"")</f>
        <v/>
      </c>
      <c r="FY157" s="56">
        <f>IFERROR(IF(($CV157)&gt;0,($FJ157)/($CV157),""),"")</f>
        <v/>
      </c>
      <c r="FZ157" s="56">
        <f>IFERROR(IF(($CW157)&gt;0,($FK157)/($CW157),""),"")</f>
        <v/>
      </c>
      <c r="GA157" s="56">
        <f>IFERROR(IF(($CU157)&gt;0,($FL157)/($CU157),""),"")</f>
        <v/>
      </c>
      <c r="GB157" s="56">
        <f>IFERROR(IF(($CV157)&gt;0,($FM157)/($CV157),""),"")</f>
        <v/>
      </c>
      <c r="GC157" s="56">
        <f>IFERROR(IF(($CW157)&gt;0,($FN157)/($CW157),""),"")</f>
        <v/>
      </c>
      <c r="GD157" s="56">
        <f>IFERROR(IF(($CU157)&gt;0,($FO157)/($CU157),""),"")</f>
        <v/>
      </c>
      <c r="GE157" s="56">
        <f>IFERROR(IF(($CV157)&gt;0,($FP157)/($CV157),""),"")</f>
        <v/>
      </c>
      <c r="GF157" s="56">
        <f>IFERROR(IF(($CW157)&gt;0,($FQ157)/($CW157),""),"")</f>
        <v/>
      </c>
      <c r="GG157" s="79">
        <f>IFERROR(IF(($CU157)&gt;0,($FR157)/($CU157),""),"")</f>
        <v/>
      </c>
      <c r="GH157" s="79">
        <f>IFERROR(IF(($CV157)&gt;0,($FS157)/($CV157),""),"")</f>
        <v/>
      </c>
      <c r="GI157" s="79">
        <f>IFERROR(IF(($CW157)&gt;0,($FT157)/($CW157),""),"")</f>
        <v/>
      </c>
      <c r="GJ157" s="56">
        <f>IFERROR(IF(($CU157)&gt;0,($FU157)/($CU157),""),"")</f>
        <v/>
      </c>
      <c r="GK157" s="56">
        <f>IFERROR(IF(($CV157)&gt;0,($FV157)/($CV157),""),"")</f>
        <v/>
      </c>
      <c r="GL157" s="56">
        <f>IFERROR(IF(($CW157)&gt;0,($FW157)/($CW157),""),"")</f>
        <v/>
      </c>
      <c r="GM157" s="55">
        <f>IF(SUMIFS(tblPlant[GIC_oz],tblPlant[Date],$A157)&gt;0,SUMIFS(tblPlant[GIC_oz],tblPlant[Date],$A157),"")</f>
        <v/>
      </c>
      <c r="GN157" s="55">
        <f>SUMIFS(tblGold[Gold_oz],tblGold[Date],$A157,tblGold[Type],"Shipment")</f>
        <v/>
      </c>
      <c r="GO157" s="55">
        <f>IF($B157=$B156,$GO156,0)+$GN157</f>
        <v/>
      </c>
      <c r="GP157" s="55">
        <f>$GP156+$GN157</f>
        <v/>
      </c>
      <c r="GQ157" s="55">
        <f>SUMIFS(tblGold[Gold_oz],tblGold[Date],$A157,tblGold[Type],"Sale")</f>
        <v/>
      </c>
      <c r="GR157" s="55">
        <f>IF($B157=$B156,$GR156,0)+$GQ157</f>
        <v/>
      </c>
      <c r="GS157" s="55">
        <f>$GS156+$GQ157</f>
        <v/>
      </c>
      <c r="GT157" s="55">
        <f>SUMIFS(tblGold[Dore_kg],tblGold[Date],$A157,tblGold[Type],"Shipment")</f>
        <v/>
      </c>
      <c r="GU157" s="55">
        <f>IF($B157=$B156,$GU156,0)+$GT157</f>
        <v/>
      </c>
      <c r="GV157" s="55">
        <f>$GV156+$GT157</f>
        <v/>
      </c>
      <c r="GW157" s="57">
        <f>SUMIFS(tblSafety[Hours_Total],tblSafety[Date],$A157)</f>
        <v/>
      </c>
      <c r="GX157" s="57">
        <f>IF($B157=$B156,$GX156,0)+$GW157</f>
        <v/>
      </c>
      <c r="GY157" s="57">
        <f>$GY156+$GW157</f>
        <v/>
      </c>
      <c r="GZ157" s="62">
        <f>SUMIFS(tblSafety[Fatality],tblSafety[Date],$A157)</f>
        <v/>
      </c>
      <c r="HA157" s="62">
        <f>IF($B157=$B156,$HA156,0)+$GZ157</f>
        <v/>
      </c>
      <c r="HB157" s="62">
        <f>$HB156+$GZ157</f>
        <v/>
      </c>
      <c r="HC157" s="62">
        <f>SUMIFS(tblSafety[LTI],tblSafety[Date],$A157)</f>
        <v/>
      </c>
      <c r="HD157" s="62">
        <f>IF($B157=$B156,$HD156,0)+$HC157</f>
        <v/>
      </c>
      <c r="HE157" s="62">
        <f>$HE156+$HC157</f>
        <v/>
      </c>
      <c r="HF157" s="62">
        <f>SUMIFS(tblSafety[RWI],tblSafety[Date],$A157)</f>
        <v/>
      </c>
      <c r="HG157" s="62">
        <f>IF($B157=$B156,$HG156,0)+$HF157</f>
        <v/>
      </c>
      <c r="HH157" s="62">
        <f>$HH156+$HF157</f>
        <v/>
      </c>
      <c r="HI157" s="62">
        <f>SUMIFS(tblSafety[MTI],tblSafety[Date],$A157)</f>
        <v/>
      </c>
      <c r="HJ157" s="62">
        <f>IF($B157=$B156,$HJ156,0)+$HI157</f>
        <v/>
      </c>
      <c r="HK157" s="62">
        <f>$HK156+$HI157</f>
        <v/>
      </c>
      <c r="HL157" s="62">
        <f>SUMIFS(tblSafety[FAI],tblSafety[Date],$A157)</f>
        <v/>
      </c>
      <c r="HM157" s="62">
        <f>IF($B157=$B156,$HM156,0)+$HL157</f>
        <v/>
      </c>
      <c r="HN157" s="62">
        <f>$HN156+$HL157</f>
        <v/>
      </c>
      <c r="HO157" s="62">
        <f>SUMIFS(tblSafety[Recordables],tblSafety[Date],$A157)</f>
        <v/>
      </c>
      <c r="HP157" s="62">
        <f>IF($B157=$B156,$HP156,0)+$HO157</f>
        <v/>
      </c>
      <c r="HQ157" s="62">
        <f>$HQ156+$HO157</f>
        <v/>
      </c>
      <c r="HR157" s="62">
        <f>SUMIFS(tblSafety[Near_Miss],tblSafety[Date],$A157)</f>
        <v/>
      </c>
      <c r="HS157" s="62">
        <f>IF($B157=$B156,$HS156,0)+$HR157</f>
        <v/>
      </c>
      <c r="HT157" s="62">
        <f>$HT156+$HR157</f>
        <v/>
      </c>
      <c r="HU157" s="62">
        <f>SUMIFS(tblSafety[Hazard_Reports],tblSafety[Date],$A157)</f>
        <v/>
      </c>
      <c r="HV157" s="62">
        <f>IF($B157=$B156,$HV156,0)+$HU157</f>
        <v/>
      </c>
      <c r="HW157" s="62">
        <f>$HW156+$HU157</f>
        <v/>
      </c>
      <c r="HX157" s="62">
        <f>SUMIFS(tblSafety[HPI],tblSafety[Date],$A157)</f>
        <v/>
      </c>
      <c r="HY157" s="62">
        <f>IF($B157=$B156,$HY156,0)+$HX157</f>
        <v/>
      </c>
      <c r="HZ157" s="62">
        <f>$HZ156+$HX157</f>
        <v/>
      </c>
      <c r="IA157" s="62">
        <f>SUMIFS(tblSafety[Env_Incidents],tblSafety[Date],$A157)</f>
        <v/>
      </c>
      <c r="IB157" s="62">
        <f>IF($B157=$B156,$IB156,0)+$IA157</f>
        <v/>
      </c>
      <c r="IC157" s="62">
        <f>$IC156+$IA157</f>
        <v/>
      </c>
      <c r="ID157" s="62">
        <f>SUMIFS(tblSafety[Community_Incidents],tblSafety[Date],$A157)</f>
        <v/>
      </c>
      <c r="IE157" s="62">
        <f>IF($B157=$B156,$IE156,0)+$ID157</f>
        <v/>
      </c>
      <c r="IF157" s="62">
        <f>$IF156+$ID157</f>
        <v/>
      </c>
      <c r="IG157" s="62">
        <f>SUMIFS(tblSafety[Vehicle_Incidents],tblSafety[Date],$A157)</f>
        <v/>
      </c>
      <c r="IH157" s="62">
        <f>IF($B157=$B156,$IH156,0)+$IG157</f>
        <v/>
      </c>
      <c r="II157" s="62">
        <f>$II156+$IG157</f>
        <v/>
      </c>
      <c r="IJ157" s="62">
        <f>SUMIFS(tblSafety[Toolbox_Talks],tblSafety[Date],$A157)</f>
        <v/>
      </c>
      <c r="IK157" s="62">
        <f>IF($B157=$B156,$IK156,0)+$IJ157</f>
        <v/>
      </c>
      <c r="IL157" s="62">
        <f>$IL156+$IJ157</f>
        <v/>
      </c>
      <c r="IM157" s="62">
        <f>SUMIFS(tblSafety[Inspections],tblSafety[Date],$A157)</f>
        <v/>
      </c>
      <c r="IN157" s="62">
        <f>IF($B157=$B156,$IN156,0)+$IM157</f>
        <v/>
      </c>
      <c r="IO157" s="62">
        <f>$IO156+$IM157</f>
        <v/>
      </c>
      <c r="IP157" s="56">
        <f>IFERROR((SUMIFS(tblSafety[Recordables],tblSafety[Date],"&gt;="&amp;EDATE($E157,-12),tblSafety[Date],"&lt;="&amp;$A157)+SUMIFS(tblSafetyHistory[Recordables],tblSafetyHistory[Month],"&gt;="&amp;EDATE($E157,-12),tblSafetyHistory[Month],"&lt;"&amp;$E157,tblSafetyHistory[Use],1))/(SUMIFS(tblSafety[Hours_Total],tblSafety[Date],"&gt;="&amp;EDATE($E157,-12),tblSafety[Date],"&lt;="&amp;$A157)+SUMIFS(tblSafetyHistory[Hours_Total],tblSafetyHistory[Month],"&gt;="&amp;EDATE($E157,-12),tblSafetyHistory[Month],"&lt;"&amp;$E157,tblSafetyHistory[Use],1))*cfg_RateBasisHours,"")</f>
        <v/>
      </c>
      <c r="IQ157" s="56">
        <f>IFERROR((SUMIFS(tblSafety[LTI],tblSafety[Date],"&gt;="&amp;EDATE($E157,-12),tblSafety[Date],"&lt;="&amp;$A157)+SUMIFS(tblSafetyHistory[LTI],tblSafetyHistory[Month],"&gt;="&amp;EDATE($E157,-12),tblSafetyHistory[Month],"&lt;"&amp;$E157,tblSafetyHistory[Use],1))/(SUMIFS(tblSafety[Hours_Total],tblSafety[Date],"&gt;="&amp;EDATE($E157,-12),tblSafety[Date],"&lt;="&amp;$A157)+SUMIFS(tblSafetyHistory[Hours_Total],tblSafetyHistory[Month],"&gt;="&amp;EDATE($E157,-12),tblSafetyHistory[Month],"&lt;"&amp;$E157,tblSafetyHistory[Use],1))*cfg_RateBasisHours,"")</f>
        <v/>
      </c>
      <c r="IR157" s="62">
        <f>IF(MAX(N(cfg_PriorLTIDate),_xlfn.MAXIFS(tblSafety[Date],tblSafety[LTI],"&gt;0",tblSafety[Date],"&lt;="&amp;$A157))=0,"",$A157-MAX(N(cfg_PriorLTIDate),_xlfn.MAXIFS(tblSafety[Date],tblSafety[LTI],"&gt;0",tblSafety[Date],"&lt;="&amp;$A157)))</f>
        <v/>
      </c>
      <c r="IS157" s="55">
        <f>SUMIFS(tblBudget[Ore_Mined_t],tblBudget[Month],$E157)</f>
        <v/>
      </c>
      <c r="IT157" s="55">
        <f>$IS157*$C157/$D157</f>
        <v/>
      </c>
      <c r="IU157" s="55">
        <f>SUMIFS(tblBudget[Ore_Mined_t],tblBudget[Month],"&lt;"&amp;$E157)+$IT157</f>
        <v/>
      </c>
      <c r="IV157" s="55">
        <f>SUMIFS(tblBudget[Ore_oz],tblBudget[Month],$E157)</f>
        <v/>
      </c>
      <c r="IW157" s="55">
        <f>$IV157*$C157/$D157</f>
        <v/>
      </c>
      <c r="IX157" s="55">
        <f>SUMIFS(tblBudget[Ore_oz],tblBudget[Month],"&lt;"&amp;$E157)+$IW157</f>
        <v/>
      </c>
      <c r="IY157" s="55">
        <f>SUMIFS(tblBudget[Ore_Mined_t],tblBudget[Month],$E157)</f>
        <v/>
      </c>
      <c r="IZ157" s="55">
        <f>$IY157*$C157/$D157</f>
        <v/>
      </c>
      <c r="JA157" s="55">
        <f>SUMIFS(tblBudget[Ore_Mined_t],tblBudget[Month],"&lt;"&amp;$E157)+$IZ157</f>
        <v/>
      </c>
      <c r="JB157" s="56">
        <f>IFERROR(IF(($IY157)&gt;0,($IV157*cfg_TroyOz)/($IY157),""),"")</f>
        <v/>
      </c>
      <c r="JC157" s="56">
        <f>IFERROR(IF(($IZ157)&gt;0,($IW157*cfg_TroyOz)/($IZ157),""),"")</f>
        <v/>
      </c>
      <c r="JD157" s="56">
        <f>IFERROR(IF(($JA157)&gt;0,($IX157*cfg_TroyOz)/($JA157),""),"")</f>
        <v/>
      </c>
      <c r="JE157" s="55">
        <f>SUMIFS(tblBudget[Waste_t],tblBudget[Month],$E157)</f>
        <v/>
      </c>
      <c r="JF157" s="55">
        <f>$JE157*$C157/$D157</f>
        <v/>
      </c>
      <c r="JG157" s="55">
        <f>SUMIFS(tblBudget[Waste_t],tblBudget[Month],"&lt;"&amp;$E157)+$JF157</f>
        <v/>
      </c>
      <c r="JH157" s="55">
        <f>SUMIFS(tblBudget[TMM_t],tblBudget[Month],$E157)</f>
        <v/>
      </c>
      <c r="JI157" s="55">
        <f>$JH157*$C157/$D157</f>
        <v/>
      </c>
      <c r="JJ157" s="55">
        <f>SUMIFS(tblBudget[TMM_t],tblBudget[Month],"&lt;"&amp;$E157)+$JI157</f>
        <v/>
      </c>
      <c r="JK157" s="56">
        <f>IFERROR(IF(($IS157)&gt;0,($JE157)/($IS157),""),"")</f>
        <v/>
      </c>
      <c r="JL157" s="56">
        <f>IFERROR(IF(($IT157)&gt;0,($JF157)/($IT157),""),"")</f>
        <v/>
      </c>
      <c r="JM157" s="56">
        <f>IFERROR(IF(($IU157)&gt;0,($JG157)/($IU157),""),"")</f>
        <v/>
      </c>
      <c r="JN157" s="55">
        <f>SUMIFS(tblBudget[Drill_m],tblBudget[Month],$E157)</f>
        <v/>
      </c>
      <c r="JO157" s="55">
        <f>$JN157*$C157/$D157</f>
        <v/>
      </c>
      <c r="JP157" s="55">
        <f>SUMIFS(tblBudget[Drill_m],tblBudget[Month],"&lt;"&amp;$E157)+$JO157</f>
        <v/>
      </c>
      <c r="JQ157" s="55">
        <f>SUMIFS(tblBudget[Diesel_L],tblBudget[Month],$E157)</f>
        <v/>
      </c>
      <c r="JR157" s="55">
        <f>$JQ157*$C157/$D157</f>
        <v/>
      </c>
      <c r="JS157" s="55">
        <f>SUMIFS(tblBudget[Diesel_L],tblBudget[Month],"&lt;"&amp;$E157)+$JR157</f>
        <v/>
      </c>
      <c r="JT157" s="55">
        <f>SUMIFS(tblBudget[Milled_t],tblBudget[Month],$E157)</f>
        <v/>
      </c>
      <c r="JU157" s="55">
        <f>$JT157*$C157/$D157</f>
        <v/>
      </c>
      <c r="JV157" s="55">
        <f>SUMIFS(tblBudget[Milled_t],tblBudget[Month],"&lt;"&amp;$E157)+$JU157</f>
        <v/>
      </c>
      <c r="JW157" s="55">
        <f>SUMIFS(tblBudget[Feed_oz],tblBudget[Month],$E157)</f>
        <v/>
      </c>
      <c r="JX157" s="55">
        <f>$JW157*$C157/$D157</f>
        <v/>
      </c>
      <c r="JY157" s="55">
        <f>SUMIFS(tblBudget[Feed_oz],tblBudget[Month],"&lt;"&amp;$E157)+$JX157</f>
        <v/>
      </c>
      <c r="JZ157" s="55">
        <f>SUMIFS(tblBudget[Recovered_oz],tblBudget[Month],$E157)</f>
        <v/>
      </c>
      <c r="KA157" s="55">
        <f>$JZ157*$C157/$D157</f>
        <v/>
      </c>
      <c r="KB157" s="55">
        <f>SUMIFS(tblBudget[Recovered_oz],tblBudget[Month],"&lt;"&amp;$E157)+$KA157</f>
        <v/>
      </c>
      <c r="KC157" s="55">
        <f>SUMIFS(tblBudget[Milled_t],tblBudget[Month],$E157)</f>
        <v/>
      </c>
      <c r="KD157" s="55">
        <f>$KC157*$C157/$D157</f>
        <v/>
      </c>
      <c r="KE157" s="55">
        <f>SUMIFS(tblBudget[Milled_t],tblBudget[Month],"&lt;"&amp;$E157)+$KD157</f>
        <v/>
      </c>
      <c r="KF157" s="55">
        <f>SUMIFS(tblBudget[Feed_oz],tblBudget[Month],$E157)</f>
        <v/>
      </c>
      <c r="KG157" s="55">
        <f>$KF157*$C157/$D157</f>
        <v/>
      </c>
      <c r="KH157" s="55">
        <f>SUMIFS(tblBudget[Feed_oz],tblBudget[Month],"&lt;"&amp;$E157)+$KG157</f>
        <v/>
      </c>
      <c r="KI157" s="56">
        <f>IFERROR(IF(($KC157)&gt;0,($JW157*cfg_TroyOz)/($KC157),""),"")</f>
        <v/>
      </c>
      <c r="KJ157" s="56">
        <f>IFERROR(IF(($KD157)&gt;0,($JX157*cfg_TroyOz)/($KD157),""),"")</f>
        <v/>
      </c>
      <c r="KK157" s="56">
        <f>IFERROR(IF(($KE157)&gt;0,($JY157*cfg_TroyOz)/($KE157),""),"")</f>
        <v/>
      </c>
      <c r="KL157" s="67">
        <f>IFERROR(IF(($KF157)&gt;0,($JZ157)/($KF157),""),"")</f>
        <v/>
      </c>
      <c r="KM157" s="67">
        <f>IFERROR(IF(($KG157)&gt;0,($KA157)/($KG157),""),"")</f>
        <v/>
      </c>
      <c r="KN157" s="67">
        <f>IFERROR(IF(($KH157)&gt;0,($KB157)/($KH157),""),"")</f>
        <v/>
      </c>
      <c r="KO157" s="55">
        <f>SUMIFS(tblBudget[Gold_Poured_oz],tblBudget[Month],$E157)</f>
        <v/>
      </c>
      <c r="KP157" s="55">
        <f>$KO157*$C157/$D157</f>
        <v/>
      </c>
      <c r="KQ157" s="55">
        <f>SUMIFS(tblBudget[Gold_Poured_oz],tblBudget[Month],"&lt;"&amp;$E157)+$KP157</f>
        <v/>
      </c>
      <c r="KR157" s="57">
        <f>SUMIFS(tblBudget[Hours_Worked],tblBudget[Month],$E157)</f>
        <v/>
      </c>
      <c r="KS157" s="57">
        <f>$KR157*$C157/$D157</f>
        <v/>
      </c>
      <c r="KT157" s="57">
        <f>SUMIFS(tblBudget[Hours_Worked],tblBudget[Month],"&lt;"&amp;$E157)+$KS157</f>
        <v/>
      </c>
    </row>
    <row r="158">
      <c r="A158" s="54" t="n">
        <v>46179</v>
      </c>
      <c r="B158">
        <f>MONTH($A158)</f>
        <v/>
      </c>
      <c r="C158">
        <f>DAY($A158)</f>
        <v/>
      </c>
      <c r="D158">
        <f>DAY(EOMONTH($A158,0))</f>
        <v/>
      </c>
      <c r="E158" s="54">
        <f>DATE(YEAR($A158),MONTH($A158),1)</f>
        <v/>
      </c>
      <c r="F158" s="55">
        <f>SUMIFS(tblMovement[Tonnes_t],tblMovement[Date],$A158,tblMovement[Is_Ore],1,tblMovement[Source_Type],"Pit")</f>
        <v/>
      </c>
      <c r="G158" s="55">
        <f>IF($B158=$B157,$G157,0)+$F158</f>
        <v/>
      </c>
      <c r="H158" s="55">
        <f>$H157+$F158</f>
        <v/>
      </c>
      <c r="I158" s="55">
        <f>SUMIFS(tblMovement[Ore_oz],tblMovement[Date],$A158,tblMovement[Source_Type],"Pit")</f>
        <v/>
      </c>
      <c r="J158" s="55">
        <f>IF($B158=$B157,$J157,0)+$I158</f>
        <v/>
      </c>
      <c r="K158" s="55">
        <f>$K157+$I158</f>
        <v/>
      </c>
      <c r="L158" s="55">
        <f>SUMIFS(tblMovement[Tonnes_t],tblMovement[Date],$A158,tblMovement[Is_Ore],1,tblMovement[Source_Type],"Pit",tblMovement[Grade_gpt],"&lt;&gt;")</f>
        <v/>
      </c>
      <c r="M158" s="55">
        <f>IF($B158=$B157,$M157,0)+$L158</f>
        <v/>
      </c>
      <c r="N158" s="55">
        <f>$N157+$L158</f>
        <v/>
      </c>
      <c r="O158" s="56">
        <f>IFERROR(IF(($L158)&gt;0,($I158*cfg_TroyOz)/($L158),""),"")</f>
        <v/>
      </c>
      <c r="P158" s="56">
        <f>IFERROR(IF(($M158)&gt;0,($J158*cfg_TroyOz)/($M158),""),"")</f>
        <v/>
      </c>
      <c r="Q158" s="56">
        <f>IFERROR(IF(($N158)&gt;0,($K158*cfg_TroyOz)/($N158),""),"")</f>
        <v/>
      </c>
      <c r="R158" s="55">
        <f>$F158-$L158</f>
        <v/>
      </c>
      <c r="S158" s="55">
        <f>IF($B158=$B157,$S157,0)+$R158</f>
        <v/>
      </c>
      <c r="T158" s="55">
        <f>$T157+$R158</f>
        <v/>
      </c>
      <c r="U158" s="55">
        <f>SUMIFS(tblMovement[Tonnes_t],tblMovement[Date],$A158,tblMovement[Is_Ore],0,tblMovement[Source_Type],"Pit")</f>
        <v/>
      </c>
      <c r="V158" s="55">
        <f>IF($B158=$B157,$V157,0)+$U158</f>
        <v/>
      </c>
      <c r="W158" s="55">
        <f>$W157+$U158</f>
        <v/>
      </c>
      <c r="X158" s="55">
        <f>$F158+$U158</f>
        <v/>
      </c>
      <c r="Y158" s="55">
        <f>IF($B158=$B157,$Y157,0)+$X158</f>
        <v/>
      </c>
      <c r="Z158" s="55">
        <f>$Z157+$X158</f>
        <v/>
      </c>
      <c r="AA158" s="56">
        <f>IFERROR(IF(($F158)&gt;0,($U158)/($F158),""),"")</f>
        <v/>
      </c>
      <c r="AB158" s="56">
        <f>IFERROR(IF(($G158)&gt;0,($V158)/($G158),""),"")</f>
        <v/>
      </c>
      <c r="AC158" s="56">
        <f>IFERROR(IF(($H158)&gt;0,($W158)/($H158),""),"")</f>
        <v/>
      </c>
      <c r="AD158" s="55">
        <f>SUMIFS(tblMovement[Tonnes_t],tblMovement[Date],$A158,tblMovement[Source_Type],"Stockpile")</f>
        <v/>
      </c>
      <c r="AE158" s="55">
        <f>IF($B158=$B157,$AE157,0)+$AD158</f>
        <v/>
      </c>
      <c r="AF158" s="55">
        <f>$AF157+$AD158</f>
        <v/>
      </c>
      <c r="AG158" s="55">
        <f>SUMIFS(tblMovement[Tonnes_t],tblMovement[Date],$A158)</f>
        <v/>
      </c>
      <c r="AH158" s="55">
        <f>IF($B158=$B157,$AH157,0)+$AG158</f>
        <v/>
      </c>
      <c r="AI158" s="55">
        <f>$AI157+$AG158</f>
        <v/>
      </c>
      <c r="AJ158" s="55">
        <f>$AG158-$X158-$AD158</f>
        <v/>
      </c>
      <c r="AK158" s="55">
        <f>IF($B158=$B157,$AK157,0)+$AJ158</f>
        <v/>
      </c>
      <c r="AL158" s="55">
        <f>$AL157+$AJ158</f>
        <v/>
      </c>
      <c r="AM158" s="55">
        <f>SUMIFS(tblMiningDaily[Drill_m],tblMiningDaily[Date],$A158)</f>
        <v/>
      </c>
      <c r="AN158" s="55">
        <f>IF($B158=$B157,$AN157,0)+$AM158</f>
        <v/>
      </c>
      <c r="AO158" s="55">
        <f>$AO157+$AM158</f>
        <v/>
      </c>
      <c r="AP158" s="55">
        <f>SUMIFS(tblMiningDaily[GC_Drill_m],tblMiningDaily[Date],$A158)</f>
        <v/>
      </c>
      <c r="AQ158" s="55">
        <f>IF($B158=$B157,$AQ157,0)+$AP158</f>
        <v/>
      </c>
      <c r="AR158" s="55">
        <f>$AR157+$AP158</f>
        <v/>
      </c>
      <c r="AS158" s="55">
        <f>SUMIFS(tblMiningDaily[Blast_t],tblMiningDaily[Date],$A158)</f>
        <v/>
      </c>
      <c r="AT158" s="55">
        <f>IF($B158=$B157,$AT157,0)+$AS158</f>
        <v/>
      </c>
      <c r="AU158" s="55">
        <f>$AU157+$AS158</f>
        <v/>
      </c>
      <c r="AV158" s="55">
        <f>SUMIFS(tblMiningDaily[Explosives_kg],tblMiningDaily[Date],$A158)</f>
        <v/>
      </c>
      <c r="AW158" s="55">
        <f>IF($B158=$B157,$AW157,0)+$AV158</f>
        <v/>
      </c>
      <c r="AX158" s="55">
        <f>$AX157+$AV158</f>
        <v/>
      </c>
      <c r="AY158" s="56">
        <f>IFERROR(IF(($AS158)&gt;0,($AV158)/($AS158),""),"")</f>
        <v/>
      </c>
      <c r="AZ158" s="56">
        <f>IFERROR(IF(($AT158)&gt;0,($AW158)/($AT158),""),"")</f>
        <v/>
      </c>
      <c r="BA158" s="56">
        <f>IFERROR(IF(($AU158)&gt;0,($AX158)/($AU158),""),"")</f>
        <v/>
      </c>
      <c r="BB158" s="55">
        <f>SUMIFS(tblMiningDaily[Diesel_L],tblMiningDaily[Date],$A158)</f>
        <v/>
      </c>
      <c r="BC158" s="55">
        <f>IF($B158=$B157,$BC157,0)+$BB158</f>
        <v/>
      </c>
      <c r="BD158" s="55">
        <f>$BD157+$BB158</f>
        <v/>
      </c>
      <c r="BE158" s="55">
        <f>SUMIFS(tblMiningDaily[Dewatering_m3],tblMiningDaily[Date],$A158)</f>
        <v/>
      </c>
      <c r="BF158" s="55">
        <f>IF($B158=$B157,$BF157,0)+$BE158</f>
        <v/>
      </c>
      <c r="BG158" s="55">
        <f>$BG157+$BE158</f>
        <v/>
      </c>
      <c r="BH158" s="57">
        <f>SUMIFS(tblFleet[Calendar_h],tblFleet[Date],$A158,tblFleet[Equipment_Class],"Excavator")</f>
        <v/>
      </c>
      <c r="BI158" s="57">
        <f>IF($B158=$B157,$BI157,0)+$BH158</f>
        <v/>
      </c>
      <c r="BJ158" s="57">
        <f>$BJ157+$BH158</f>
        <v/>
      </c>
      <c r="BK158" s="57">
        <f>SUMIFS(tblFleet[Available_h],tblFleet[Date],$A158,tblFleet[Equipment_Class],"Excavator")</f>
        <v/>
      </c>
      <c r="BL158" s="57">
        <f>IF($B158=$B157,$BL157,0)+$BK158</f>
        <v/>
      </c>
      <c r="BM158" s="57">
        <f>$BM157+$BK158</f>
        <v/>
      </c>
      <c r="BN158" s="57">
        <f>SUMIFS(tblFleet[Operating_h],tblFleet[Date],$A158,tblFleet[Equipment_Class],"Excavator")</f>
        <v/>
      </c>
      <c r="BO158" s="57">
        <f>IF($B158=$B157,$BO157,0)+$BN158</f>
        <v/>
      </c>
      <c r="BP158" s="57">
        <f>$BP157+$BN158</f>
        <v/>
      </c>
      <c r="BQ158" s="67">
        <f>IFERROR(IF(($BH158)&gt;0,($BK158)/($BH158),""),"")</f>
        <v/>
      </c>
      <c r="BR158" s="67">
        <f>IFERROR(IF(($BI158)&gt;0,($BL158)/($BI158),""),"")</f>
        <v/>
      </c>
      <c r="BS158" s="67">
        <f>IFERROR(IF(($BJ158)&gt;0,($BM158)/($BJ158),""),"")</f>
        <v/>
      </c>
      <c r="BT158" s="67">
        <f>IFERROR(IF(($BK158)&gt;0,($BN158)/($BK158),""),"")</f>
        <v/>
      </c>
      <c r="BU158" s="67">
        <f>IFERROR(IF(($BL158)&gt;0,($BO158)/($BL158),""),"")</f>
        <v/>
      </c>
      <c r="BV158" s="67">
        <f>IFERROR(IF(($BM158)&gt;0,($BP158)/($BM158),""),"")</f>
        <v/>
      </c>
      <c r="BW158" s="57">
        <f>SUMIFS(tblFleet[Calendar_h],tblFleet[Date],$A158,tblFleet[Equipment_Class],"Haul Truck")</f>
        <v/>
      </c>
      <c r="BX158" s="57">
        <f>IF($B158=$B157,$BX157,0)+$BW158</f>
        <v/>
      </c>
      <c r="BY158" s="57">
        <f>$BY157+$BW158</f>
        <v/>
      </c>
      <c r="BZ158" s="57">
        <f>SUMIFS(tblFleet[Available_h],tblFleet[Date],$A158,tblFleet[Equipment_Class],"Haul Truck")</f>
        <v/>
      </c>
      <c r="CA158" s="57">
        <f>IF($B158=$B157,$CA157,0)+$BZ158</f>
        <v/>
      </c>
      <c r="CB158" s="57">
        <f>$CB157+$BZ158</f>
        <v/>
      </c>
      <c r="CC158" s="57">
        <f>SUMIFS(tblFleet[Operating_h],tblFleet[Date],$A158,tblFleet[Equipment_Class],"Haul Truck")</f>
        <v/>
      </c>
      <c r="CD158" s="57">
        <f>IF($B158=$B157,$CD157,0)+$CC158</f>
        <v/>
      </c>
      <c r="CE158" s="57">
        <f>$CE157+$CC158</f>
        <v/>
      </c>
      <c r="CF158" s="67">
        <f>IFERROR(IF(($BW158)&gt;0,($BZ158)/($BW158),""),"")</f>
        <v/>
      </c>
      <c r="CG158" s="67">
        <f>IFERROR(IF(($BX158)&gt;0,($CA158)/($BX158),""),"")</f>
        <v/>
      </c>
      <c r="CH158" s="67">
        <f>IFERROR(IF(($BY158)&gt;0,($CB158)/($BY158),""),"")</f>
        <v/>
      </c>
      <c r="CI158" s="67">
        <f>IFERROR(IF(($BZ158)&gt;0,($CC158)/($BZ158),""),"")</f>
        <v/>
      </c>
      <c r="CJ158" s="67">
        <f>IFERROR(IF(($CA158)&gt;0,($CD158)/($CA158),""),"")</f>
        <v/>
      </c>
      <c r="CK158" s="67">
        <f>IFERROR(IF(($CB158)&gt;0,($CE158)/($CB158),""),"")</f>
        <v/>
      </c>
      <c r="CL158" s="55">
        <f>IFERROR(IF(($BN158)&gt;0,($X158+$AD158)/($BN158),""),"")</f>
        <v/>
      </c>
      <c r="CM158" s="55">
        <f>IFERROR(IF(($BO158)&gt;0,($Y158+$AE158)/($BO158),""),"")</f>
        <v/>
      </c>
      <c r="CN158" s="55">
        <f>IFERROR(IF(($BP158)&gt;0,($Z158+$AF158)/($BP158),""),"")</f>
        <v/>
      </c>
      <c r="CO158" s="55">
        <f>IFERROR(IF(($CC158)&gt;0,($X158+$AD158)/($CC158),""),"")</f>
        <v/>
      </c>
      <c r="CP158" s="55">
        <f>IFERROR(IF(($CD158)&gt;0,($Y158+$AE158)/($CD158),""),"")</f>
        <v/>
      </c>
      <c r="CQ158" s="55">
        <f>IFERROR(IF(($CE158)&gt;0,($Z158+$AF158)/($CE158),""),"")</f>
        <v/>
      </c>
      <c r="CR158" s="55">
        <f>SUMIFS(tblPlant[Crushed_t],tblPlant[Date],$A158)</f>
        <v/>
      </c>
      <c r="CS158" s="55">
        <f>IF($B158=$B157,$CS157,0)+$CR158</f>
        <v/>
      </c>
      <c r="CT158" s="55">
        <f>$CT157+$CR158</f>
        <v/>
      </c>
      <c r="CU158" s="55">
        <f>SUMIFS(tblPlant[Milled_t],tblPlant[Date],$A158)</f>
        <v/>
      </c>
      <c r="CV158" s="55">
        <f>IF($B158=$B157,$CV157,0)+$CU158</f>
        <v/>
      </c>
      <c r="CW158" s="55">
        <f>$CW157+$CU158</f>
        <v/>
      </c>
      <c r="CX158" s="55">
        <f>SUMIFS(tblPlant[Feed_oz],tblPlant[Date],$A158)</f>
        <v/>
      </c>
      <c r="CY158" s="55">
        <f>IF($B158=$B157,$CY157,0)+$CX158</f>
        <v/>
      </c>
      <c r="CZ158" s="55">
        <f>$CZ157+$CX158</f>
        <v/>
      </c>
      <c r="DA158" s="55">
        <f>SUMIFS(tblPlant[Tails_oz],tblPlant[Date],$A158)</f>
        <v/>
      </c>
      <c r="DB158" s="55">
        <f>IF($B158=$B157,$DB157,0)+$DA158</f>
        <v/>
      </c>
      <c r="DC158" s="55">
        <f>$DC157+$DA158</f>
        <v/>
      </c>
      <c r="DD158" s="55">
        <f>SUMIFS(tblPlant[Recovered_oz],tblPlant[Date],$A158)</f>
        <v/>
      </c>
      <c r="DE158" s="55">
        <f>IF($B158=$B157,$DE157,0)+$DD158</f>
        <v/>
      </c>
      <c r="DF158" s="55">
        <f>$DF157+$DD158</f>
        <v/>
      </c>
      <c r="DG158" s="55">
        <f>SUMIFS(tblPlant[Milled_t],tblPlant[Date],$A158,tblPlant[Head_Grade_gpt],"&lt;&gt;")</f>
        <v/>
      </c>
      <c r="DH158" s="55">
        <f>IF($B158=$B157,$DH157,0)+$DG158</f>
        <v/>
      </c>
      <c r="DI158" s="55">
        <f>$DI157+$DG158</f>
        <v/>
      </c>
      <c r="DJ158" s="55">
        <f>SUMIFS(tblPlant[Milled_t],tblPlant[Date],$A158,tblPlant[Tails_Grade_gpt],"&lt;&gt;")</f>
        <v/>
      </c>
      <c r="DK158" s="55">
        <f>IF($B158=$B157,$DK157,0)+$DJ158</f>
        <v/>
      </c>
      <c r="DL158" s="55">
        <f>$DL157+$DJ158</f>
        <v/>
      </c>
      <c r="DM158" s="55">
        <f>SUMIFS(tblPlant[Feed_oz],tblPlant[Date],$A158,tblPlant[Tails_Grade_gpt],"&lt;&gt;")</f>
        <v/>
      </c>
      <c r="DN158" s="55">
        <f>IF($B158=$B157,$DN157,0)+$DM158</f>
        <v/>
      </c>
      <c r="DO158" s="55">
        <f>$DO157+$DM158</f>
        <v/>
      </c>
      <c r="DP158" s="55">
        <f>SUMIFS(tblPlant[Milled_t],tblPlant[Date],$A158,tblPlant[Mill_Run_h],"&lt;&gt;")</f>
        <v/>
      </c>
      <c r="DQ158" s="55">
        <f>IF($B158=$B157,$DQ157,0)+$DP158</f>
        <v/>
      </c>
      <c r="DR158" s="55">
        <f>$DR157+$DP158</f>
        <v/>
      </c>
      <c r="DS158" s="56">
        <f>IFERROR(IF(($DG158)&gt;0,($CX158*cfg_TroyOz)/($DG158),""),"")</f>
        <v/>
      </c>
      <c r="DT158" s="56">
        <f>IFERROR(IF(($DH158)&gt;0,($CY158*cfg_TroyOz)/($DH158),""),"")</f>
        <v/>
      </c>
      <c r="DU158" s="56">
        <f>IFERROR(IF(($DI158)&gt;0,($CZ158*cfg_TroyOz)/($DI158),""),"")</f>
        <v/>
      </c>
      <c r="DV158" s="56">
        <f>IFERROR(IF(($DJ158)&gt;0,($DA158*cfg_TroyOz)/($DJ158),""),"")</f>
        <v/>
      </c>
      <c r="DW158" s="56">
        <f>IFERROR(IF(($DK158)&gt;0,($DB158*cfg_TroyOz)/($DK158),""),"")</f>
        <v/>
      </c>
      <c r="DX158" s="56">
        <f>IFERROR(IF(($DL158)&gt;0,($DC158*cfg_TroyOz)/($DL158),""),"")</f>
        <v/>
      </c>
      <c r="DY158" s="67">
        <f>IFERROR(IF(($DM158)&gt;0,($DD158)/($DM158),""),"")</f>
        <v/>
      </c>
      <c r="DZ158" s="67">
        <f>IFERROR(IF(($DN158)&gt;0,($DE158)/($DN158),""),"")</f>
        <v/>
      </c>
      <c r="EA158" s="67">
        <f>IFERROR(IF(($DO158)&gt;0,($DF158)/($DO158),""),"")</f>
        <v/>
      </c>
      <c r="EB158" s="55">
        <f>SUMIFS(tblPlant[Gravity_Gold_oz],tblPlant[Date],$A158)</f>
        <v/>
      </c>
      <c r="EC158" s="55">
        <f>IF($B158=$B157,$EC157,0)+$EB158</f>
        <v/>
      </c>
      <c r="ED158" s="55">
        <f>$ED157+$EB158</f>
        <v/>
      </c>
      <c r="EE158" s="67">
        <f>IFERROR(IF(($DD158)&gt;0,($EB158)/($DD158),""),"")</f>
        <v/>
      </c>
      <c r="EF158" s="67">
        <f>IFERROR(IF(($DE158)&gt;0,($EC158)/($DE158),""),"")</f>
        <v/>
      </c>
      <c r="EG158" s="67">
        <f>IFERROR(IF(($DF158)&gt;0,($ED158)/($DF158),""),"")</f>
        <v/>
      </c>
      <c r="EH158" s="55">
        <f>SUMIFS(tblPlant[Gold_Poured_oz],tblPlant[Date],$A158)</f>
        <v/>
      </c>
      <c r="EI158" s="55">
        <f>IF($B158=$B157,$EI157,0)+$EH158</f>
        <v/>
      </c>
      <c r="EJ158" s="55">
        <f>$EJ157+$EH158</f>
        <v/>
      </c>
      <c r="EK158" s="57">
        <f>SUMIFS(tblPlant[Mill_Run_h],tblPlant[Date],$A158)</f>
        <v/>
      </c>
      <c r="EL158" s="57">
        <f>IF($B158=$B157,$EL157,0)+$EK158</f>
        <v/>
      </c>
      <c r="EM158" s="57">
        <f>$EM157+$EK158</f>
        <v/>
      </c>
      <c r="EN158" s="57">
        <f>SUMIFS(tblPlant[Mill_Planned_Maint_h],tblPlant[Date],$A158)</f>
        <v/>
      </c>
      <c r="EO158" s="57">
        <f>IF($B158=$B157,$EO157,0)+$EN158</f>
        <v/>
      </c>
      <c r="EP158" s="57">
        <f>$EP157+$EN158</f>
        <v/>
      </c>
      <c r="EQ158" s="57">
        <f>SUMIFS(tblPlant[Mill_Unplanned_Down_h],tblPlant[Date],$A158)</f>
        <v/>
      </c>
      <c r="ER158" s="57">
        <f>IF($B158=$B157,$ER157,0)+$EQ158</f>
        <v/>
      </c>
      <c r="ES158" s="57">
        <f>$ES157+$EQ158</f>
        <v/>
      </c>
      <c r="ET158" s="57">
        <f>IF(COUNTIFS(tblPlant[Date],$A158,tblPlant[Mill_Run_h],"&lt;&gt;")+COUNTIFS(tblPlant[Date],$A158,tblPlant[Mill_Planned_Maint_h],"&lt;&gt;")+COUNTIFS(tblPlant[Date],$A158,tblPlant[Mill_Unplanned_Down_h],"&lt;&gt;")&gt;0,cfg_HoursPerDay,0)</f>
        <v/>
      </c>
      <c r="EU158" s="57">
        <f>IF($B158=$B157,$EU157,0)+$ET158</f>
        <v/>
      </c>
      <c r="EV158" s="57">
        <f>$EV157+$ET158</f>
        <v/>
      </c>
      <c r="EW158" s="57">
        <f>SUMIFS(tblPlant[Crusher_Run_h],tblPlant[Date],$A158)</f>
        <v/>
      </c>
      <c r="EX158" s="57">
        <f>IF($B158=$B157,$EX157,0)+$EW158</f>
        <v/>
      </c>
      <c r="EY158" s="57">
        <f>$EY157+$EW158</f>
        <v/>
      </c>
      <c r="EZ158" s="55">
        <f>IFERROR(IF(($EK158)&gt;0,($DP158)/($EK158),""),"")</f>
        <v/>
      </c>
      <c r="FA158" s="55">
        <f>IFERROR(IF(($EL158)&gt;0,($DQ158)/($EL158),""),"")</f>
        <v/>
      </c>
      <c r="FB158" s="55">
        <f>IFERROR(IF(($EM158)&gt;0,($DR158)/($EM158),""),"")</f>
        <v/>
      </c>
      <c r="FC158" s="67">
        <f>IFERROR(IF(($ET158)&gt;0,($ET158-$EN158-$EQ158)/($ET158),""),"")</f>
        <v/>
      </c>
      <c r="FD158" s="67">
        <f>IFERROR(IF(($EU158)&gt;0,($EU158-$EO158-$ER158)/($EU158),""),"")</f>
        <v/>
      </c>
      <c r="FE158" s="67">
        <f>IFERROR(IF(($EV158)&gt;0,($EV158-$EP158-$ES158)/($EV158),""),"")</f>
        <v/>
      </c>
      <c r="FF158" s="67">
        <f>IFERROR(IF(($ET158-$EN158-$EQ158)&gt;0,($EK158)/($ET158-$EN158-$EQ158),""),"")</f>
        <v/>
      </c>
      <c r="FG158" s="67">
        <f>IFERROR(IF(($EU158-$EO158-$ER158)&gt;0,($EL158)/($EU158-$EO158-$ER158),""),"")</f>
        <v/>
      </c>
      <c r="FH158" s="67">
        <f>IFERROR(IF(($EV158-$EP158-$ES158)&gt;0,($EM158)/($EV158-$EP158-$ES158),""),"")</f>
        <v/>
      </c>
      <c r="FI158" s="55">
        <f>SUMIFS(tblPlant[Cyanide_kg],tblPlant[Date],$A158)</f>
        <v/>
      </c>
      <c r="FJ158" s="55">
        <f>IF($B158=$B157,$FJ157,0)+$FI158</f>
        <v/>
      </c>
      <c r="FK158" s="55">
        <f>$FK157+$FI158</f>
        <v/>
      </c>
      <c r="FL158" s="55">
        <f>SUMIFS(tblPlant[Lime_kg],tblPlant[Date],$A158)</f>
        <v/>
      </c>
      <c r="FM158" s="55">
        <f>IF($B158=$B157,$FM157,0)+$FL158</f>
        <v/>
      </c>
      <c r="FN158" s="55">
        <f>$FN157+$FL158</f>
        <v/>
      </c>
      <c r="FO158" s="55">
        <f>SUMIFS(tblPlant[Grinding_Media_kg],tblPlant[Date],$A158)</f>
        <v/>
      </c>
      <c r="FP158" s="55">
        <f>IF($B158=$B157,$FP157,0)+$FO158</f>
        <v/>
      </c>
      <c r="FQ158" s="55">
        <f>$FQ157+$FO158</f>
        <v/>
      </c>
      <c r="FR158" s="55">
        <f>SUMIFS(tblPlant[Power_kWh],tblPlant[Date],$A158)</f>
        <v/>
      </c>
      <c r="FS158" s="55">
        <f>IF($B158=$B157,$FS157,0)+$FR158</f>
        <v/>
      </c>
      <c r="FT158" s="55">
        <f>$FT157+$FR158</f>
        <v/>
      </c>
      <c r="FU158" s="55">
        <f>SUMIFS(tblPlant[Raw_Water_m3],tblPlant[Date],$A158)</f>
        <v/>
      </c>
      <c r="FV158" s="55">
        <f>IF($B158=$B157,$FV157,0)+$FU158</f>
        <v/>
      </c>
      <c r="FW158" s="55">
        <f>$FW157+$FU158</f>
        <v/>
      </c>
      <c r="FX158" s="56">
        <f>IFERROR(IF(($CU158)&gt;0,($FI158)/($CU158),""),"")</f>
        <v/>
      </c>
      <c r="FY158" s="56">
        <f>IFERROR(IF(($CV158)&gt;0,($FJ158)/($CV158),""),"")</f>
        <v/>
      </c>
      <c r="FZ158" s="56">
        <f>IFERROR(IF(($CW158)&gt;0,($FK158)/($CW158),""),"")</f>
        <v/>
      </c>
      <c r="GA158" s="56">
        <f>IFERROR(IF(($CU158)&gt;0,($FL158)/($CU158),""),"")</f>
        <v/>
      </c>
      <c r="GB158" s="56">
        <f>IFERROR(IF(($CV158)&gt;0,($FM158)/($CV158),""),"")</f>
        <v/>
      </c>
      <c r="GC158" s="56">
        <f>IFERROR(IF(($CW158)&gt;0,($FN158)/($CW158),""),"")</f>
        <v/>
      </c>
      <c r="GD158" s="56">
        <f>IFERROR(IF(($CU158)&gt;0,($FO158)/($CU158),""),"")</f>
        <v/>
      </c>
      <c r="GE158" s="56">
        <f>IFERROR(IF(($CV158)&gt;0,($FP158)/($CV158),""),"")</f>
        <v/>
      </c>
      <c r="GF158" s="56">
        <f>IFERROR(IF(($CW158)&gt;0,($FQ158)/($CW158),""),"")</f>
        <v/>
      </c>
      <c r="GG158" s="79">
        <f>IFERROR(IF(($CU158)&gt;0,($FR158)/($CU158),""),"")</f>
        <v/>
      </c>
      <c r="GH158" s="79">
        <f>IFERROR(IF(($CV158)&gt;0,($FS158)/($CV158),""),"")</f>
        <v/>
      </c>
      <c r="GI158" s="79">
        <f>IFERROR(IF(($CW158)&gt;0,($FT158)/($CW158),""),"")</f>
        <v/>
      </c>
      <c r="GJ158" s="56">
        <f>IFERROR(IF(($CU158)&gt;0,($FU158)/($CU158),""),"")</f>
        <v/>
      </c>
      <c r="GK158" s="56">
        <f>IFERROR(IF(($CV158)&gt;0,($FV158)/($CV158),""),"")</f>
        <v/>
      </c>
      <c r="GL158" s="56">
        <f>IFERROR(IF(($CW158)&gt;0,($FW158)/($CW158),""),"")</f>
        <v/>
      </c>
      <c r="GM158" s="55">
        <f>IF(SUMIFS(tblPlant[GIC_oz],tblPlant[Date],$A158)&gt;0,SUMIFS(tblPlant[GIC_oz],tblPlant[Date],$A158),"")</f>
        <v/>
      </c>
      <c r="GN158" s="55">
        <f>SUMIFS(tblGold[Gold_oz],tblGold[Date],$A158,tblGold[Type],"Shipment")</f>
        <v/>
      </c>
      <c r="GO158" s="55">
        <f>IF($B158=$B157,$GO157,0)+$GN158</f>
        <v/>
      </c>
      <c r="GP158" s="55">
        <f>$GP157+$GN158</f>
        <v/>
      </c>
      <c r="GQ158" s="55">
        <f>SUMIFS(tblGold[Gold_oz],tblGold[Date],$A158,tblGold[Type],"Sale")</f>
        <v/>
      </c>
      <c r="GR158" s="55">
        <f>IF($B158=$B157,$GR157,0)+$GQ158</f>
        <v/>
      </c>
      <c r="GS158" s="55">
        <f>$GS157+$GQ158</f>
        <v/>
      </c>
      <c r="GT158" s="55">
        <f>SUMIFS(tblGold[Dore_kg],tblGold[Date],$A158,tblGold[Type],"Shipment")</f>
        <v/>
      </c>
      <c r="GU158" s="55">
        <f>IF($B158=$B157,$GU157,0)+$GT158</f>
        <v/>
      </c>
      <c r="GV158" s="55">
        <f>$GV157+$GT158</f>
        <v/>
      </c>
      <c r="GW158" s="57">
        <f>SUMIFS(tblSafety[Hours_Total],tblSafety[Date],$A158)</f>
        <v/>
      </c>
      <c r="GX158" s="57">
        <f>IF($B158=$B157,$GX157,0)+$GW158</f>
        <v/>
      </c>
      <c r="GY158" s="57">
        <f>$GY157+$GW158</f>
        <v/>
      </c>
      <c r="GZ158" s="62">
        <f>SUMIFS(tblSafety[Fatality],tblSafety[Date],$A158)</f>
        <v/>
      </c>
      <c r="HA158" s="62">
        <f>IF($B158=$B157,$HA157,0)+$GZ158</f>
        <v/>
      </c>
      <c r="HB158" s="62">
        <f>$HB157+$GZ158</f>
        <v/>
      </c>
      <c r="HC158" s="62">
        <f>SUMIFS(tblSafety[LTI],tblSafety[Date],$A158)</f>
        <v/>
      </c>
      <c r="HD158" s="62">
        <f>IF($B158=$B157,$HD157,0)+$HC158</f>
        <v/>
      </c>
      <c r="HE158" s="62">
        <f>$HE157+$HC158</f>
        <v/>
      </c>
      <c r="HF158" s="62">
        <f>SUMIFS(tblSafety[RWI],tblSafety[Date],$A158)</f>
        <v/>
      </c>
      <c r="HG158" s="62">
        <f>IF($B158=$B157,$HG157,0)+$HF158</f>
        <v/>
      </c>
      <c r="HH158" s="62">
        <f>$HH157+$HF158</f>
        <v/>
      </c>
      <c r="HI158" s="62">
        <f>SUMIFS(tblSafety[MTI],tblSafety[Date],$A158)</f>
        <v/>
      </c>
      <c r="HJ158" s="62">
        <f>IF($B158=$B157,$HJ157,0)+$HI158</f>
        <v/>
      </c>
      <c r="HK158" s="62">
        <f>$HK157+$HI158</f>
        <v/>
      </c>
      <c r="HL158" s="62">
        <f>SUMIFS(tblSafety[FAI],tblSafety[Date],$A158)</f>
        <v/>
      </c>
      <c r="HM158" s="62">
        <f>IF($B158=$B157,$HM157,0)+$HL158</f>
        <v/>
      </c>
      <c r="HN158" s="62">
        <f>$HN157+$HL158</f>
        <v/>
      </c>
      <c r="HO158" s="62">
        <f>SUMIFS(tblSafety[Recordables],tblSafety[Date],$A158)</f>
        <v/>
      </c>
      <c r="HP158" s="62">
        <f>IF($B158=$B157,$HP157,0)+$HO158</f>
        <v/>
      </c>
      <c r="HQ158" s="62">
        <f>$HQ157+$HO158</f>
        <v/>
      </c>
      <c r="HR158" s="62">
        <f>SUMIFS(tblSafety[Near_Miss],tblSafety[Date],$A158)</f>
        <v/>
      </c>
      <c r="HS158" s="62">
        <f>IF($B158=$B157,$HS157,0)+$HR158</f>
        <v/>
      </c>
      <c r="HT158" s="62">
        <f>$HT157+$HR158</f>
        <v/>
      </c>
      <c r="HU158" s="62">
        <f>SUMIFS(tblSafety[Hazard_Reports],tblSafety[Date],$A158)</f>
        <v/>
      </c>
      <c r="HV158" s="62">
        <f>IF($B158=$B157,$HV157,0)+$HU158</f>
        <v/>
      </c>
      <c r="HW158" s="62">
        <f>$HW157+$HU158</f>
        <v/>
      </c>
      <c r="HX158" s="62">
        <f>SUMIFS(tblSafety[HPI],tblSafety[Date],$A158)</f>
        <v/>
      </c>
      <c r="HY158" s="62">
        <f>IF($B158=$B157,$HY157,0)+$HX158</f>
        <v/>
      </c>
      <c r="HZ158" s="62">
        <f>$HZ157+$HX158</f>
        <v/>
      </c>
      <c r="IA158" s="62">
        <f>SUMIFS(tblSafety[Env_Incidents],tblSafety[Date],$A158)</f>
        <v/>
      </c>
      <c r="IB158" s="62">
        <f>IF($B158=$B157,$IB157,0)+$IA158</f>
        <v/>
      </c>
      <c r="IC158" s="62">
        <f>$IC157+$IA158</f>
        <v/>
      </c>
      <c r="ID158" s="62">
        <f>SUMIFS(tblSafety[Community_Incidents],tblSafety[Date],$A158)</f>
        <v/>
      </c>
      <c r="IE158" s="62">
        <f>IF($B158=$B157,$IE157,0)+$ID158</f>
        <v/>
      </c>
      <c r="IF158" s="62">
        <f>$IF157+$ID158</f>
        <v/>
      </c>
      <c r="IG158" s="62">
        <f>SUMIFS(tblSafety[Vehicle_Incidents],tblSafety[Date],$A158)</f>
        <v/>
      </c>
      <c r="IH158" s="62">
        <f>IF($B158=$B157,$IH157,0)+$IG158</f>
        <v/>
      </c>
      <c r="II158" s="62">
        <f>$II157+$IG158</f>
        <v/>
      </c>
      <c r="IJ158" s="62">
        <f>SUMIFS(tblSafety[Toolbox_Talks],tblSafety[Date],$A158)</f>
        <v/>
      </c>
      <c r="IK158" s="62">
        <f>IF($B158=$B157,$IK157,0)+$IJ158</f>
        <v/>
      </c>
      <c r="IL158" s="62">
        <f>$IL157+$IJ158</f>
        <v/>
      </c>
      <c r="IM158" s="62">
        <f>SUMIFS(tblSafety[Inspections],tblSafety[Date],$A158)</f>
        <v/>
      </c>
      <c r="IN158" s="62">
        <f>IF($B158=$B157,$IN157,0)+$IM158</f>
        <v/>
      </c>
      <c r="IO158" s="62">
        <f>$IO157+$IM158</f>
        <v/>
      </c>
      <c r="IP158" s="56">
        <f>IFERROR((SUMIFS(tblSafety[Recordables],tblSafety[Date],"&gt;="&amp;EDATE($E158,-12),tblSafety[Date],"&lt;="&amp;$A158)+SUMIFS(tblSafetyHistory[Recordables],tblSafetyHistory[Month],"&gt;="&amp;EDATE($E158,-12),tblSafetyHistory[Month],"&lt;"&amp;$E158,tblSafetyHistory[Use],1))/(SUMIFS(tblSafety[Hours_Total],tblSafety[Date],"&gt;="&amp;EDATE($E158,-12),tblSafety[Date],"&lt;="&amp;$A158)+SUMIFS(tblSafetyHistory[Hours_Total],tblSafetyHistory[Month],"&gt;="&amp;EDATE($E158,-12),tblSafetyHistory[Month],"&lt;"&amp;$E158,tblSafetyHistory[Use],1))*cfg_RateBasisHours,"")</f>
        <v/>
      </c>
      <c r="IQ158" s="56">
        <f>IFERROR((SUMIFS(tblSafety[LTI],tblSafety[Date],"&gt;="&amp;EDATE($E158,-12),tblSafety[Date],"&lt;="&amp;$A158)+SUMIFS(tblSafetyHistory[LTI],tblSafetyHistory[Month],"&gt;="&amp;EDATE($E158,-12),tblSafetyHistory[Month],"&lt;"&amp;$E158,tblSafetyHistory[Use],1))/(SUMIFS(tblSafety[Hours_Total],tblSafety[Date],"&gt;="&amp;EDATE($E158,-12),tblSafety[Date],"&lt;="&amp;$A158)+SUMIFS(tblSafetyHistory[Hours_Total],tblSafetyHistory[Month],"&gt;="&amp;EDATE($E158,-12),tblSafetyHistory[Month],"&lt;"&amp;$E158,tblSafetyHistory[Use],1))*cfg_RateBasisHours,"")</f>
        <v/>
      </c>
      <c r="IR158" s="62">
        <f>IF(MAX(N(cfg_PriorLTIDate),_xlfn.MAXIFS(tblSafety[Date],tblSafety[LTI],"&gt;0",tblSafety[Date],"&lt;="&amp;$A158))=0,"",$A158-MAX(N(cfg_PriorLTIDate),_xlfn.MAXIFS(tblSafety[Date],tblSafety[LTI],"&gt;0",tblSafety[Date],"&lt;="&amp;$A158)))</f>
        <v/>
      </c>
      <c r="IS158" s="55">
        <f>SUMIFS(tblBudget[Ore_Mined_t],tblBudget[Month],$E158)</f>
        <v/>
      </c>
      <c r="IT158" s="55">
        <f>$IS158*$C158/$D158</f>
        <v/>
      </c>
      <c r="IU158" s="55">
        <f>SUMIFS(tblBudget[Ore_Mined_t],tblBudget[Month],"&lt;"&amp;$E158)+$IT158</f>
        <v/>
      </c>
      <c r="IV158" s="55">
        <f>SUMIFS(tblBudget[Ore_oz],tblBudget[Month],$E158)</f>
        <v/>
      </c>
      <c r="IW158" s="55">
        <f>$IV158*$C158/$D158</f>
        <v/>
      </c>
      <c r="IX158" s="55">
        <f>SUMIFS(tblBudget[Ore_oz],tblBudget[Month],"&lt;"&amp;$E158)+$IW158</f>
        <v/>
      </c>
      <c r="IY158" s="55">
        <f>SUMIFS(tblBudget[Ore_Mined_t],tblBudget[Month],$E158)</f>
        <v/>
      </c>
      <c r="IZ158" s="55">
        <f>$IY158*$C158/$D158</f>
        <v/>
      </c>
      <c r="JA158" s="55">
        <f>SUMIFS(tblBudget[Ore_Mined_t],tblBudget[Month],"&lt;"&amp;$E158)+$IZ158</f>
        <v/>
      </c>
      <c r="JB158" s="56">
        <f>IFERROR(IF(($IY158)&gt;0,($IV158*cfg_TroyOz)/($IY158),""),"")</f>
        <v/>
      </c>
      <c r="JC158" s="56">
        <f>IFERROR(IF(($IZ158)&gt;0,($IW158*cfg_TroyOz)/($IZ158),""),"")</f>
        <v/>
      </c>
      <c r="JD158" s="56">
        <f>IFERROR(IF(($JA158)&gt;0,($IX158*cfg_TroyOz)/($JA158),""),"")</f>
        <v/>
      </c>
      <c r="JE158" s="55">
        <f>SUMIFS(tblBudget[Waste_t],tblBudget[Month],$E158)</f>
        <v/>
      </c>
      <c r="JF158" s="55">
        <f>$JE158*$C158/$D158</f>
        <v/>
      </c>
      <c r="JG158" s="55">
        <f>SUMIFS(tblBudget[Waste_t],tblBudget[Month],"&lt;"&amp;$E158)+$JF158</f>
        <v/>
      </c>
      <c r="JH158" s="55">
        <f>SUMIFS(tblBudget[TMM_t],tblBudget[Month],$E158)</f>
        <v/>
      </c>
      <c r="JI158" s="55">
        <f>$JH158*$C158/$D158</f>
        <v/>
      </c>
      <c r="JJ158" s="55">
        <f>SUMIFS(tblBudget[TMM_t],tblBudget[Month],"&lt;"&amp;$E158)+$JI158</f>
        <v/>
      </c>
      <c r="JK158" s="56">
        <f>IFERROR(IF(($IS158)&gt;0,($JE158)/($IS158),""),"")</f>
        <v/>
      </c>
      <c r="JL158" s="56">
        <f>IFERROR(IF(($IT158)&gt;0,($JF158)/($IT158),""),"")</f>
        <v/>
      </c>
      <c r="JM158" s="56">
        <f>IFERROR(IF(($IU158)&gt;0,($JG158)/($IU158),""),"")</f>
        <v/>
      </c>
      <c r="JN158" s="55">
        <f>SUMIFS(tblBudget[Drill_m],tblBudget[Month],$E158)</f>
        <v/>
      </c>
      <c r="JO158" s="55">
        <f>$JN158*$C158/$D158</f>
        <v/>
      </c>
      <c r="JP158" s="55">
        <f>SUMIFS(tblBudget[Drill_m],tblBudget[Month],"&lt;"&amp;$E158)+$JO158</f>
        <v/>
      </c>
      <c r="JQ158" s="55">
        <f>SUMIFS(tblBudget[Diesel_L],tblBudget[Month],$E158)</f>
        <v/>
      </c>
      <c r="JR158" s="55">
        <f>$JQ158*$C158/$D158</f>
        <v/>
      </c>
      <c r="JS158" s="55">
        <f>SUMIFS(tblBudget[Diesel_L],tblBudget[Month],"&lt;"&amp;$E158)+$JR158</f>
        <v/>
      </c>
      <c r="JT158" s="55">
        <f>SUMIFS(tblBudget[Milled_t],tblBudget[Month],$E158)</f>
        <v/>
      </c>
      <c r="JU158" s="55">
        <f>$JT158*$C158/$D158</f>
        <v/>
      </c>
      <c r="JV158" s="55">
        <f>SUMIFS(tblBudget[Milled_t],tblBudget[Month],"&lt;"&amp;$E158)+$JU158</f>
        <v/>
      </c>
      <c r="JW158" s="55">
        <f>SUMIFS(tblBudget[Feed_oz],tblBudget[Month],$E158)</f>
        <v/>
      </c>
      <c r="JX158" s="55">
        <f>$JW158*$C158/$D158</f>
        <v/>
      </c>
      <c r="JY158" s="55">
        <f>SUMIFS(tblBudget[Feed_oz],tblBudget[Month],"&lt;"&amp;$E158)+$JX158</f>
        <v/>
      </c>
      <c r="JZ158" s="55">
        <f>SUMIFS(tblBudget[Recovered_oz],tblBudget[Month],$E158)</f>
        <v/>
      </c>
      <c r="KA158" s="55">
        <f>$JZ158*$C158/$D158</f>
        <v/>
      </c>
      <c r="KB158" s="55">
        <f>SUMIFS(tblBudget[Recovered_oz],tblBudget[Month],"&lt;"&amp;$E158)+$KA158</f>
        <v/>
      </c>
      <c r="KC158" s="55">
        <f>SUMIFS(tblBudget[Milled_t],tblBudget[Month],$E158)</f>
        <v/>
      </c>
      <c r="KD158" s="55">
        <f>$KC158*$C158/$D158</f>
        <v/>
      </c>
      <c r="KE158" s="55">
        <f>SUMIFS(tblBudget[Milled_t],tblBudget[Month],"&lt;"&amp;$E158)+$KD158</f>
        <v/>
      </c>
      <c r="KF158" s="55">
        <f>SUMIFS(tblBudget[Feed_oz],tblBudget[Month],$E158)</f>
        <v/>
      </c>
      <c r="KG158" s="55">
        <f>$KF158*$C158/$D158</f>
        <v/>
      </c>
      <c r="KH158" s="55">
        <f>SUMIFS(tblBudget[Feed_oz],tblBudget[Month],"&lt;"&amp;$E158)+$KG158</f>
        <v/>
      </c>
      <c r="KI158" s="56">
        <f>IFERROR(IF(($KC158)&gt;0,($JW158*cfg_TroyOz)/($KC158),""),"")</f>
        <v/>
      </c>
      <c r="KJ158" s="56">
        <f>IFERROR(IF(($KD158)&gt;0,($JX158*cfg_TroyOz)/($KD158),""),"")</f>
        <v/>
      </c>
      <c r="KK158" s="56">
        <f>IFERROR(IF(($KE158)&gt;0,($JY158*cfg_TroyOz)/($KE158),""),"")</f>
        <v/>
      </c>
      <c r="KL158" s="67">
        <f>IFERROR(IF(($KF158)&gt;0,($JZ158)/($KF158),""),"")</f>
        <v/>
      </c>
      <c r="KM158" s="67">
        <f>IFERROR(IF(($KG158)&gt;0,($KA158)/($KG158),""),"")</f>
        <v/>
      </c>
      <c r="KN158" s="67">
        <f>IFERROR(IF(($KH158)&gt;0,($KB158)/($KH158),""),"")</f>
        <v/>
      </c>
      <c r="KO158" s="55">
        <f>SUMIFS(tblBudget[Gold_Poured_oz],tblBudget[Month],$E158)</f>
        <v/>
      </c>
      <c r="KP158" s="55">
        <f>$KO158*$C158/$D158</f>
        <v/>
      </c>
      <c r="KQ158" s="55">
        <f>SUMIFS(tblBudget[Gold_Poured_oz],tblBudget[Month],"&lt;"&amp;$E158)+$KP158</f>
        <v/>
      </c>
      <c r="KR158" s="57">
        <f>SUMIFS(tblBudget[Hours_Worked],tblBudget[Month],$E158)</f>
        <v/>
      </c>
      <c r="KS158" s="57">
        <f>$KR158*$C158/$D158</f>
        <v/>
      </c>
      <c r="KT158" s="57">
        <f>SUMIFS(tblBudget[Hours_Worked],tblBudget[Month],"&lt;"&amp;$E158)+$KS158</f>
        <v/>
      </c>
    </row>
    <row r="159">
      <c r="A159" s="54" t="n">
        <v>46180</v>
      </c>
      <c r="B159">
        <f>MONTH($A159)</f>
        <v/>
      </c>
      <c r="C159">
        <f>DAY($A159)</f>
        <v/>
      </c>
      <c r="D159">
        <f>DAY(EOMONTH($A159,0))</f>
        <v/>
      </c>
      <c r="E159" s="54">
        <f>DATE(YEAR($A159),MONTH($A159),1)</f>
        <v/>
      </c>
      <c r="F159" s="55">
        <f>SUMIFS(tblMovement[Tonnes_t],tblMovement[Date],$A159,tblMovement[Is_Ore],1,tblMovement[Source_Type],"Pit")</f>
        <v/>
      </c>
      <c r="G159" s="55">
        <f>IF($B159=$B158,$G158,0)+$F159</f>
        <v/>
      </c>
      <c r="H159" s="55">
        <f>$H158+$F159</f>
        <v/>
      </c>
      <c r="I159" s="55">
        <f>SUMIFS(tblMovement[Ore_oz],tblMovement[Date],$A159,tblMovement[Source_Type],"Pit")</f>
        <v/>
      </c>
      <c r="J159" s="55">
        <f>IF($B159=$B158,$J158,0)+$I159</f>
        <v/>
      </c>
      <c r="K159" s="55">
        <f>$K158+$I159</f>
        <v/>
      </c>
      <c r="L159" s="55">
        <f>SUMIFS(tblMovement[Tonnes_t],tblMovement[Date],$A159,tblMovement[Is_Ore],1,tblMovement[Source_Type],"Pit",tblMovement[Grade_gpt],"&lt;&gt;")</f>
        <v/>
      </c>
      <c r="M159" s="55">
        <f>IF($B159=$B158,$M158,0)+$L159</f>
        <v/>
      </c>
      <c r="N159" s="55">
        <f>$N158+$L159</f>
        <v/>
      </c>
      <c r="O159" s="56">
        <f>IFERROR(IF(($L159)&gt;0,($I159*cfg_TroyOz)/($L159),""),"")</f>
        <v/>
      </c>
      <c r="P159" s="56">
        <f>IFERROR(IF(($M159)&gt;0,($J159*cfg_TroyOz)/($M159),""),"")</f>
        <v/>
      </c>
      <c r="Q159" s="56">
        <f>IFERROR(IF(($N159)&gt;0,($K159*cfg_TroyOz)/($N159),""),"")</f>
        <v/>
      </c>
      <c r="R159" s="55">
        <f>$F159-$L159</f>
        <v/>
      </c>
      <c r="S159" s="55">
        <f>IF($B159=$B158,$S158,0)+$R159</f>
        <v/>
      </c>
      <c r="T159" s="55">
        <f>$T158+$R159</f>
        <v/>
      </c>
      <c r="U159" s="55">
        <f>SUMIFS(tblMovement[Tonnes_t],tblMovement[Date],$A159,tblMovement[Is_Ore],0,tblMovement[Source_Type],"Pit")</f>
        <v/>
      </c>
      <c r="V159" s="55">
        <f>IF($B159=$B158,$V158,0)+$U159</f>
        <v/>
      </c>
      <c r="W159" s="55">
        <f>$W158+$U159</f>
        <v/>
      </c>
      <c r="X159" s="55">
        <f>$F159+$U159</f>
        <v/>
      </c>
      <c r="Y159" s="55">
        <f>IF($B159=$B158,$Y158,0)+$X159</f>
        <v/>
      </c>
      <c r="Z159" s="55">
        <f>$Z158+$X159</f>
        <v/>
      </c>
      <c r="AA159" s="56">
        <f>IFERROR(IF(($F159)&gt;0,($U159)/($F159),""),"")</f>
        <v/>
      </c>
      <c r="AB159" s="56">
        <f>IFERROR(IF(($G159)&gt;0,($V159)/($G159),""),"")</f>
        <v/>
      </c>
      <c r="AC159" s="56">
        <f>IFERROR(IF(($H159)&gt;0,($W159)/($H159),""),"")</f>
        <v/>
      </c>
      <c r="AD159" s="55">
        <f>SUMIFS(tblMovement[Tonnes_t],tblMovement[Date],$A159,tblMovement[Source_Type],"Stockpile")</f>
        <v/>
      </c>
      <c r="AE159" s="55">
        <f>IF($B159=$B158,$AE158,0)+$AD159</f>
        <v/>
      </c>
      <c r="AF159" s="55">
        <f>$AF158+$AD159</f>
        <v/>
      </c>
      <c r="AG159" s="55">
        <f>SUMIFS(tblMovement[Tonnes_t],tblMovement[Date],$A159)</f>
        <v/>
      </c>
      <c r="AH159" s="55">
        <f>IF($B159=$B158,$AH158,0)+$AG159</f>
        <v/>
      </c>
      <c r="AI159" s="55">
        <f>$AI158+$AG159</f>
        <v/>
      </c>
      <c r="AJ159" s="55">
        <f>$AG159-$X159-$AD159</f>
        <v/>
      </c>
      <c r="AK159" s="55">
        <f>IF($B159=$B158,$AK158,0)+$AJ159</f>
        <v/>
      </c>
      <c r="AL159" s="55">
        <f>$AL158+$AJ159</f>
        <v/>
      </c>
      <c r="AM159" s="55">
        <f>SUMIFS(tblMiningDaily[Drill_m],tblMiningDaily[Date],$A159)</f>
        <v/>
      </c>
      <c r="AN159" s="55">
        <f>IF($B159=$B158,$AN158,0)+$AM159</f>
        <v/>
      </c>
      <c r="AO159" s="55">
        <f>$AO158+$AM159</f>
        <v/>
      </c>
      <c r="AP159" s="55">
        <f>SUMIFS(tblMiningDaily[GC_Drill_m],tblMiningDaily[Date],$A159)</f>
        <v/>
      </c>
      <c r="AQ159" s="55">
        <f>IF($B159=$B158,$AQ158,0)+$AP159</f>
        <v/>
      </c>
      <c r="AR159" s="55">
        <f>$AR158+$AP159</f>
        <v/>
      </c>
      <c r="AS159" s="55">
        <f>SUMIFS(tblMiningDaily[Blast_t],tblMiningDaily[Date],$A159)</f>
        <v/>
      </c>
      <c r="AT159" s="55">
        <f>IF($B159=$B158,$AT158,0)+$AS159</f>
        <v/>
      </c>
      <c r="AU159" s="55">
        <f>$AU158+$AS159</f>
        <v/>
      </c>
      <c r="AV159" s="55">
        <f>SUMIFS(tblMiningDaily[Explosives_kg],tblMiningDaily[Date],$A159)</f>
        <v/>
      </c>
      <c r="AW159" s="55">
        <f>IF($B159=$B158,$AW158,0)+$AV159</f>
        <v/>
      </c>
      <c r="AX159" s="55">
        <f>$AX158+$AV159</f>
        <v/>
      </c>
      <c r="AY159" s="56">
        <f>IFERROR(IF(($AS159)&gt;0,($AV159)/($AS159),""),"")</f>
        <v/>
      </c>
      <c r="AZ159" s="56">
        <f>IFERROR(IF(($AT159)&gt;0,($AW159)/($AT159),""),"")</f>
        <v/>
      </c>
      <c r="BA159" s="56">
        <f>IFERROR(IF(($AU159)&gt;0,($AX159)/($AU159),""),"")</f>
        <v/>
      </c>
      <c r="BB159" s="55">
        <f>SUMIFS(tblMiningDaily[Diesel_L],tblMiningDaily[Date],$A159)</f>
        <v/>
      </c>
      <c r="BC159" s="55">
        <f>IF($B159=$B158,$BC158,0)+$BB159</f>
        <v/>
      </c>
      <c r="BD159" s="55">
        <f>$BD158+$BB159</f>
        <v/>
      </c>
      <c r="BE159" s="55">
        <f>SUMIFS(tblMiningDaily[Dewatering_m3],tblMiningDaily[Date],$A159)</f>
        <v/>
      </c>
      <c r="BF159" s="55">
        <f>IF($B159=$B158,$BF158,0)+$BE159</f>
        <v/>
      </c>
      <c r="BG159" s="55">
        <f>$BG158+$BE159</f>
        <v/>
      </c>
      <c r="BH159" s="57">
        <f>SUMIFS(tblFleet[Calendar_h],tblFleet[Date],$A159,tblFleet[Equipment_Class],"Excavator")</f>
        <v/>
      </c>
      <c r="BI159" s="57">
        <f>IF($B159=$B158,$BI158,0)+$BH159</f>
        <v/>
      </c>
      <c r="BJ159" s="57">
        <f>$BJ158+$BH159</f>
        <v/>
      </c>
      <c r="BK159" s="57">
        <f>SUMIFS(tblFleet[Available_h],tblFleet[Date],$A159,tblFleet[Equipment_Class],"Excavator")</f>
        <v/>
      </c>
      <c r="BL159" s="57">
        <f>IF($B159=$B158,$BL158,0)+$BK159</f>
        <v/>
      </c>
      <c r="BM159" s="57">
        <f>$BM158+$BK159</f>
        <v/>
      </c>
      <c r="BN159" s="57">
        <f>SUMIFS(tblFleet[Operating_h],tblFleet[Date],$A159,tblFleet[Equipment_Class],"Excavator")</f>
        <v/>
      </c>
      <c r="BO159" s="57">
        <f>IF($B159=$B158,$BO158,0)+$BN159</f>
        <v/>
      </c>
      <c r="BP159" s="57">
        <f>$BP158+$BN159</f>
        <v/>
      </c>
      <c r="BQ159" s="67">
        <f>IFERROR(IF(($BH159)&gt;0,($BK159)/($BH159),""),"")</f>
        <v/>
      </c>
      <c r="BR159" s="67">
        <f>IFERROR(IF(($BI159)&gt;0,($BL159)/($BI159),""),"")</f>
        <v/>
      </c>
      <c r="BS159" s="67">
        <f>IFERROR(IF(($BJ159)&gt;0,($BM159)/($BJ159),""),"")</f>
        <v/>
      </c>
      <c r="BT159" s="67">
        <f>IFERROR(IF(($BK159)&gt;0,($BN159)/($BK159),""),"")</f>
        <v/>
      </c>
      <c r="BU159" s="67">
        <f>IFERROR(IF(($BL159)&gt;0,($BO159)/($BL159),""),"")</f>
        <v/>
      </c>
      <c r="BV159" s="67">
        <f>IFERROR(IF(($BM159)&gt;0,($BP159)/($BM159),""),"")</f>
        <v/>
      </c>
      <c r="BW159" s="57">
        <f>SUMIFS(tblFleet[Calendar_h],tblFleet[Date],$A159,tblFleet[Equipment_Class],"Haul Truck")</f>
        <v/>
      </c>
      <c r="BX159" s="57">
        <f>IF($B159=$B158,$BX158,0)+$BW159</f>
        <v/>
      </c>
      <c r="BY159" s="57">
        <f>$BY158+$BW159</f>
        <v/>
      </c>
      <c r="BZ159" s="57">
        <f>SUMIFS(tblFleet[Available_h],tblFleet[Date],$A159,tblFleet[Equipment_Class],"Haul Truck")</f>
        <v/>
      </c>
      <c r="CA159" s="57">
        <f>IF($B159=$B158,$CA158,0)+$BZ159</f>
        <v/>
      </c>
      <c r="CB159" s="57">
        <f>$CB158+$BZ159</f>
        <v/>
      </c>
      <c r="CC159" s="57">
        <f>SUMIFS(tblFleet[Operating_h],tblFleet[Date],$A159,tblFleet[Equipment_Class],"Haul Truck")</f>
        <v/>
      </c>
      <c r="CD159" s="57">
        <f>IF($B159=$B158,$CD158,0)+$CC159</f>
        <v/>
      </c>
      <c r="CE159" s="57">
        <f>$CE158+$CC159</f>
        <v/>
      </c>
      <c r="CF159" s="67">
        <f>IFERROR(IF(($BW159)&gt;0,($BZ159)/($BW159),""),"")</f>
        <v/>
      </c>
      <c r="CG159" s="67">
        <f>IFERROR(IF(($BX159)&gt;0,($CA159)/($BX159),""),"")</f>
        <v/>
      </c>
      <c r="CH159" s="67">
        <f>IFERROR(IF(($BY159)&gt;0,($CB159)/($BY159),""),"")</f>
        <v/>
      </c>
      <c r="CI159" s="67">
        <f>IFERROR(IF(($BZ159)&gt;0,($CC159)/($BZ159),""),"")</f>
        <v/>
      </c>
      <c r="CJ159" s="67">
        <f>IFERROR(IF(($CA159)&gt;0,($CD159)/($CA159),""),"")</f>
        <v/>
      </c>
      <c r="CK159" s="67">
        <f>IFERROR(IF(($CB159)&gt;0,($CE159)/($CB159),""),"")</f>
        <v/>
      </c>
      <c r="CL159" s="55">
        <f>IFERROR(IF(($BN159)&gt;0,($X159+$AD159)/($BN159),""),"")</f>
        <v/>
      </c>
      <c r="CM159" s="55">
        <f>IFERROR(IF(($BO159)&gt;0,($Y159+$AE159)/($BO159),""),"")</f>
        <v/>
      </c>
      <c r="CN159" s="55">
        <f>IFERROR(IF(($BP159)&gt;0,($Z159+$AF159)/($BP159),""),"")</f>
        <v/>
      </c>
      <c r="CO159" s="55">
        <f>IFERROR(IF(($CC159)&gt;0,($X159+$AD159)/($CC159),""),"")</f>
        <v/>
      </c>
      <c r="CP159" s="55">
        <f>IFERROR(IF(($CD159)&gt;0,($Y159+$AE159)/($CD159),""),"")</f>
        <v/>
      </c>
      <c r="CQ159" s="55">
        <f>IFERROR(IF(($CE159)&gt;0,($Z159+$AF159)/($CE159),""),"")</f>
        <v/>
      </c>
      <c r="CR159" s="55">
        <f>SUMIFS(tblPlant[Crushed_t],tblPlant[Date],$A159)</f>
        <v/>
      </c>
      <c r="CS159" s="55">
        <f>IF($B159=$B158,$CS158,0)+$CR159</f>
        <v/>
      </c>
      <c r="CT159" s="55">
        <f>$CT158+$CR159</f>
        <v/>
      </c>
      <c r="CU159" s="55">
        <f>SUMIFS(tblPlant[Milled_t],tblPlant[Date],$A159)</f>
        <v/>
      </c>
      <c r="CV159" s="55">
        <f>IF($B159=$B158,$CV158,0)+$CU159</f>
        <v/>
      </c>
      <c r="CW159" s="55">
        <f>$CW158+$CU159</f>
        <v/>
      </c>
      <c r="CX159" s="55">
        <f>SUMIFS(tblPlant[Feed_oz],tblPlant[Date],$A159)</f>
        <v/>
      </c>
      <c r="CY159" s="55">
        <f>IF($B159=$B158,$CY158,0)+$CX159</f>
        <v/>
      </c>
      <c r="CZ159" s="55">
        <f>$CZ158+$CX159</f>
        <v/>
      </c>
      <c r="DA159" s="55">
        <f>SUMIFS(tblPlant[Tails_oz],tblPlant[Date],$A159)</f>
        <v/>
      </c>
      <c r="DB159" s="55">
        <f>IF($B159=$B158,$DB158,0)+$DA159</f>
        <v/>
      </c>
      <c r="DC159" s="55">
        <f>$DC158+$DA159</f>
        <v/>
      </c>
      <c r="DD159" s="55">
        <f>SUMIFS(tblPlant[Recovered_oz],tblPlant[Date],$A159)</f>
        <v/>
      </c>
      <c r="DE159" s="55">
        <f>IF($B159=$B158,$DE158,0)+$DD159</f>
        <v/>
      </c>
      <c r="DF159" s="55">
        <f>$DF158+$DD159</f>
        <v/>
      </c>
      <c r="DG159" s="55">
        <f>SUMIFS(tblPlant[Milled_t],tblPlant[Date],$A159,tblPlant[Head_Grade_gpt],"&lt;&gt;")</f>
        <v/>
      </c>
      <c r="DH159" s="55">
        <f>IF($B159=$B158,$DH158,0)+$DG159</f>
        <v/>
      </c>
      <c r="DI159" s="55">
        <f>$DI158+$DG159</f>
        <v/>
      </c>
      <c r="DJ159" s="55">
        <f>SUMIFS(tblPlant[Milled_t],tblPlant[Date],$A159,tblPlant[Tails_Grade_gpt],"&lt;&gt;")</f>
        <v/>
      </c>
      <c r="DK159" s="55">
        <f>IF($B159=$B158,$DK158,0)+$DJ159</f>
        <v/>
      </c>
      <c r="DL159" s="55">
        <f>$DL158+$DJ159</f>
        <v/>
      </c>
      <c r="DM159" s="55">
        <f>SUMIFS(tblPlant[Feed_oz],tblPlant[Date],$A159,tblPlant[Tails_Grade_gpt],"&lt;&gt;")</f>
        <v/>
      </c>
      <c r="DN159" s="55">
        <f>IF($B159=$B158,$DN158,0)+$DM159</f>
        <v/>
      </c>
      <c r="DO159" s="55">
        <f>$DO158+$DM159</f>
        <v/>
      </c>
      <c r="DP159" s="55">
        <f>SUMIFS(tblPlant[Milled_t],tblPlant[Date],$A159,tblPlant[Mill_Run_h],"&lt;&gt;")</f>
        <v/>
      </c>
      <c r="DQ159" s="55">
        <f>IF($B159=$B158,$DQ158,0)+$DP159</f>
        <v/>
      </c>
      <c r="DR159" s="55">
        <f>$DR158+$DP159</f>
        <v/>
      </c>
      <c r="DS159" s="56">
        <f>IFERROR(IF(($DG159)&gt;0,($CX159*cfg_TroyOz)/($DG159),""),"")</f>
        <v/>
      </c>
      <c r="DT159" s="56">
        <f>IFERROR(IF(($DH159)&gt;0,($CY159*cfg_TroyOz)/($DH159),""),"")</f>
        <v/>
      </c>
      <c r="DU159" s="56">
        <f>IFERROR(IF(($DI159)&gt;0,($CZ159*cfg_TroyOz)/($DI159),""),"")</f>
        <v/>
      </c>
      <c r="DV159" s="56">
        <f>IFERROR(IF(($DJ159)&gt;0,($DA159*cfg_TroyOz)/($DJ159),""),"")</f>
        <v/>
      </c>
      <c r="DW159" s="56">
        <f>IFERROR(IF(($DK159)&gt;0,($DB159*cfg_TroyOz)/($DK159),""),"")</f>
        <v/>
      </c>
      <c r="DX159" s="56">
        <f>IFERROR(IF(($DL159)&gt;0,($DC159*cfg_TroyOz)/($DL159),""),"")</f>
        <v/>
      </c>
      <c r="DY159" s="67">
        <f>IFERROR(IF(($DM159)&gt;0,($DD159)/($DM159),""),"")</f>
        <v/>
      </c>
      <c r="DZ159" s="67">
        <f>IFERROR(IF(($DN159)&gt;0,($DE159)/($DN159),""),"")</f>
        <v/>
      </c>
      <c r="EA159" s="67">
        <f>IFERROR(IF(($DO159)&gt;0,($DF159)/($DO159),""),"")</f>
        <v/>
      </c>
      <c r="EB159" s="55">
        <f>SUMIFS(tblPlant[Gravity_Gold_oz],tblPlant[Date],$A159)</f>
        <v/>
      </c>
      <c r="EC159" s="55">
        <f>IF($B159=$B158,$EC158,0)+$EB159</f>
        <v/>
      </c>
      <c r="ED159" s="55">
        <f>$ED158+$EB159</f>
        <v/>
      </c>
      <c r="EE159" s="67">
        <f>IFERROR(IF(($DD159)&gt;0,($EB159)/($DD159),""),"")</f>
        <v/>
      </c>
      <c r="EF159" s="67">
        <f>IFERROR(IF(($DE159)&gt;0,($EC159)/($DE159),""),"")</f>
        <v/>
      </c>
      <c r="EG159" s="67">
        <f>IFERROR(IF(($DF159)&gt;0,($ED159)/($DF159),""),"")</f>
        <v/>
      </c>
      <c r="EH159" s="55">
        <f>SUMIFS(tblPlant[Gold_Poured_oz],tblPlant[Date],$A159)</f>
        <v/>
      </c>
      <c r="EI159" s="55">
        <f>IF($B159=$B158,$EI158,0)+$EH159</f>
        <v/>
      </c>
      <c r="EJ159" s="55">
        <f>$EJ158+$EH159</f>
        <v/>
      </c>
      <c r="EK159" s="57">
        <f>SUMIFS(tblPlant[Mill_Run_h],tblPlant[Date],$A159)</f>
        <v/>
      </c>
      <c r="EL159" s="57">
        <f>IF($B159=$B158,$EL158,0)+$EK159</f>
        <v/>
      </c>
      <c r="EM159" s="57">
        <f>$EM158+$EK159</f>
        <v/>
      </c>
      <c r="EN159" s="57">
        <f>SUMIFS(tblPlant[Mill_Planned_Maint_h],tblPlant[Date],$A159)</f>
        <v/>
      </c>
      <c r="EO159" s="57">
        <f>IF($B159=$B158,$EO158,0)+$EN159</f>
        <v/>
      </c>
      <c r="EP159" s="57">
        <f>$EP158+$EN159</f>
        <v/>
      </c>
      <c r="EQ159" s="57">
        <f>SUMIFS(tblPlant[Mill_Unplanned_Down_h],tblPlant[Date],$A159)</f>
        <v/>
      </c>
      <c r="ER159" s="57">
        <f>IF($B159=$B158,$ER158,0)+$EQ159</f>
        <v/>
      </c>
      <c r="ES159" s="57">
        <f>$ES158+$EQ159</f>
        <v/>
      </c>
      <c r="ET159" s="57">
        <f>IF(COUNTIFS(tblPlant[Date],$A159,tblPlant[Mill_Run_h],"&lt;&gt;")+COUNTIFS(tblPlant[Date],$A159,tblPlant[Mill_Planned_Maint_h],"&lt;&gt;")+COUNTIFS(tblPlant[Date],$A159,tblPlant[Mill_Unplanned_Down_h],"&lt;&gt;")&gt;0,cfg_HoursPerDay,0)</f>
        <v/>
      </c>
      <c r="EU159" s="57">
        <f>IF($B159=$B158,$EU158,0)+$ET159</f>
        <v/>
      </c>
      <c r="EV159" s="57">
        <f>$EV158+$ET159</f>
        <v/>
      </c>
      <c r="EW159" s="57">
        <f>SUMIFS(tblPlant[Crusher_Run_h],tblPlant[Date],$A159)</f>
        <v/>
      </c>
      <c r="EX159" s="57">
        <f>IF($B159=$B158,$EX158,0)+$EW159</f>
        <v/>
      </c>
      <c r="EY159" s="57">
        <f>$EY158+$EW159</f>
        <v/>
      </c>
      <c r="EZ159" s="55">
        <f>IFERROR(IF(($EK159)&gt;0,($DP159)/($EK159),""),"")</f>
        <v/>
      </c>
      <c r="FA159" s="55">
        <f>IFERROR(IF(($EL159)&gt;0,($DQ159)/($EL159),""),"")</f>
        <v/>
      </c>
      <c r="FB159" s="55">
        <f>IFERROR(IF(($EM159)&gt;0,($DR159)/($EM159),""),"")</f>
        <v/>
      </c>
      <c r="FC159" s="67">
        <f>IFERROR(IF(($ET159)&gt;0,($ET159-$EN159-$EQ159)/($ET159),""),"")</f>
        <v/>
      </c>
      <c r="FD159" s="67">
        <f>IFERROR(IF(($EU159)&gt;0,($EU159-$EO159-$ER159)/($EU159),""),"")</f>
        <v/>
      </c>
      <c r="FE159" s="67">
        <f>IFERROR(IF(($EV159)&gt;0,($EV159-$EP159-$ES159)/($EV159),""),"")</f>
        <v/>
      </c>
      <c r="FF159" s="67">
        <f>IFERROR(IF(($ET159-$EN159-$EQ159)&gt;0,($EK159)/($ET159-$EN159-$EQ159),""),"")</f>
        <v/>
      </c>
      <c r="FG159" s="67">
        <f>IFERROR(IF(($EU159-$EO159-$ER159)&gt;0,($EL159)/($EU159-$EO159-$ER159),""),"")</f>
        <v/>
      </c>
      <c r="FH159" s="67">
        <f>IFERROR(IF(($EV159-$EP159-$ES159)&gt;0,($EM159)/($EV159-$EP159-$ES159),""),"")</f>
        <v/>
      </c>
      <c r="FI159" s="55">
        <f>SUMIFS(tblPlant[Cyanide_kg],tblPlant[Date],$A159)</f>
        <v/>
      </c>
      <c r="FJ159" s="55">
        <f>IF($B159=$B158,$FJ158,0)+$FI159</f>
        <v/>
      </c>
      <c r="FK159" s="55">
        <f>$FK158+$FI159</f>
        <v/>
      </c>
      <c r="FL159" s="55">
        <f>SUMIFS(tblPlant[Lime_kg],tblPlant[Date],$A159)</f>
        <v/>
      </c>
      <c r="FM159" s="55">
        <f>IF($B159=$B158,$FM158,0)+$FL159</f>
        <v/>
      </c>
      <c r="FN159" s="55">
        <f>$FN158+$FL159</f>
        <v/>
      </c>
      <c r="FO159" s="55">
        <f>SUMIFS(tblPlant[Grinding_Media_kg],tblPlant[Date],$A159)</f>
        <v/>
      </c>
      <c r="FP159" s="55">
        <f>IF($B159=$B158,$FP158,0)+$FO159</f>
        <v/>
      </c>
      <c r="FQ159" s="55">
        <f>$FQ158+$FO159</f>
        <v/>
      </c>
      <c r="FR159" s="55">
        <f>SUMIFS(tblPlant[Power_kWh],tblPlant[Date],$A159)</f>
        <v/>
      </c>
      <c r="FS159" s="55">
        <f>IF($B159=$B158,$FS158,0)+$FR159</f>
        <v/>
      </c>
      <c r="FT159" s="55">
        <f>$FT158+$FR159</f>
        <v/>
      </c>
      <c r="FU159" s="55">
        <f>SUMIFS(tblPlant[Raw_Water_m3],tblPlant[Date],$A159)</f>
        <v/>
      </c>
      <c r="FV159" s="55">
        <f>IF($B159=$B158,$FV158,0)+$FU159</f>
        <v/>
      </c>
      <c r="FW159" s="55">
        <f>$FW158+$FU159</f>
        <v/>
      </c>
      <c r="FX159" s="56">
        <f>IFERROR(IF(($CU159)&gt;0,($FI159)/($CU159),""),"")</f>
        <v/>
      </c>
      <c r="FY159" s="56">
        <f>IFERROR(IF(($CV159)&gt;0,($FJ159)/($CV159),""),"")</f>
        <v/>
      </c>
      <c r="FZ159" s="56">
        <f>IFERROR(IF(($CW159)&gt;0,($FK159)/($CW159),""),"")</f>
        <v/>
      </c>
      <c r="GA159" s="56">
        <f>IFERROR(IF(($CU159)&gt;0,($FL159)/($CU159),""),"")</f>
        <v/>
      </c>
      <c r="GB159" s="56">
        <f>IFERROR(IF(($CV159)&gt;0,($FM159)/($CV159),""),"")</f>
        <v/>
      </c>
      <c r="GC159" s="56">
        <f>IFERROR(IF(($CW159)&gt;0,($FN159)/($CW159),""),"")</f>
        <v/>
      </c>
      <c r="GD159" s="56">
        <f>IFERROR(IF(($CU159)&gt;0,($FO159)/($CU159),""),"")</f>
        <v/>
      </c>
      <c r="GE159" s="56">
        <f>IFERROR(IF(($CV159)&gt;0,($FP159)/($CV159),""),"")</f>
        <v/>
      </c>
      <c r="GF159" s="56">
        <f>IFERROR(IF(($CW159)&gt;0,($FQ159)/($CW159),""),"")</f>
        <v/>
      </c>
      <c r="GG159" s="79">
        <f>IFERROR(IF(($CU159)&gt;0,($FR159)/($CU159),""),"")</f>
        <v/>
      </c>
      <c r="GH159" s="79">
        <f>IFERROR(IF(($CV159)&gt;0,($FS159)/($CV159),""),"")</f>
        <v/>
      </c>
      <c r="GI159" s="79">
        <f>IFERROR(IF(($CW159)&gt;0,($FT159)/($CW159),""),"")</f>
        <v/>
      </c>
      <c r="GJ159" s="56">
        <f>IFERROR(IF(($CU159)&gt;0,($FU159)/($CU159),""),"")</f>
        <v/>
      </c>
      <c r="GK159" s="56">
        <f>IFERROR(IF(($CV159)&gt;0,($FV159)/($CV159),""),"")</f>
        <v/>
      </c>
      <c r="GL159" s="56">
        <f>IFERROR(IF(($CW159)&gt;0,($FW159)/($CW159),""),"")</f>
        <v/>
      </c>
      <c r="GM159" s="55">
        <f>IF(SUMIFS(tblPlant[GIC_oz],tblPlant[Date],$A159)&gt;0,SUMIFS(tblPlant[GIC_oz],tblPlant[Date],$A159),"")</f>
        <v/>
      </c>
      <c r="GN159" s="55">
        <f>SUMIFS(tblGold[Gold_oz],tblGold[Date],$A159,tblGold[Type],"Shipment")</f>
        <v/>
      </c>
      <c r="GO159" s="55">
        <f>IF($B159=$B158,$GO158,0)+$GN159</f>
        <v/>
      </c>
      <c r="GP159" s="55">
        <f>$GP158+$GN159</f>
        <v/>
      </c>
      <c r="GQ159" s="55">
        <f>SUMIFS(tblGold[Gold_oz],tblGold[Date],$A159,tblGold[Type],"Sale")</f>
        <v/>
      </c>
      <c r="GR159" s="55">
        <f>IF($B159=$B158,$GR158,0)+$GQ159</f>
        <v/>
      </c>
      <c r="GS159" s="55">
        <f>$GS158+$GQ159</f>
        <v/>
      </c>
      <c r="GT159" s="55">
        <f>SUMIFS(tblGold[Dore_kg],tblGold[Date],$A159,tblGold[Type],"Shipment")</f>
        <v/>
      </c>
      <c r="GU159" s="55">
        <f>IF($B159=$B158,$GU158,0)+$GT159</f>
        <v/>
      </c>
      <c r="GV159" s="55">
        <f>$GV158+$GT159</f>
        <v/>
      </c>
      <c r="GW159" s="57">
        <f>SUMIFS(tblSafety[Hours_Total],tblSafety[Date],$A159)</f>
        <v/>
      </c>
      <c r="GX159" s="57">
        <f>IF($B159=$B158,$GX158,0)+$GW159</f>
        <v/>
      </c>
      <c r="GY159" s="57">
        <f>$GY158+$GW159</f>
        <v/>
      </c>
      <c r="GZ159" s="62">
        <f>SUMIFS(tblSafety[Fatality],tblSafety[Date],$A159)</f>
        <v/>
      </c>
      <c r="HA159" s="62">
        <f>IF($B159=$B158,$HA158,0)+$GZ159</f>
        <v/>
      </c>
      <c r="HB159" s="62">
        <f>$HB158+$GZ159</f>
        <v/>
      </c>
      <c r="HC159" s="62">
        <f>SUMIFS(tblSafety[LTI],tblSafety[Date],$A159)</f>
        <v/>
      </c>
      <c r="HD159" s="62">
        <f>IF($B159=$B158,$HD158,0)+$HC159</f>
        <v/>
      </c>
      <c r="HE159" s="62">
        <f>$HE158+$HC159</f>
        <v/>
      </c>
      <c r="HF159" s="62">
        <f>SUMIFS(tblSafety[RWI],tblSafety[Date],$A159)</f>
        <v/>
      </c>
      <c r="HG159" s="62">
        <f>IF($B159=$B158,$HG158,0)+$HF159</f>
        <v/>
      </c>
      <c r="HH159" s="62">
        <f>$HH158+$HF159</f>
        <v/>
      </c>
      <c r="HI159" s="62">
        <f>SUMIFS(tblSafety[MTI],tblSafety[Date],$A159)</f>
        <v/>
      </c>
      <c r="HJ159" s="62">
        <f>IF($B159=$B158,$HJ158,0)+$HI159</f>
        <v/>
      </c>
      <c r="HK159" s="62">
        <f>$HK158+$HI159</f>
        <v/>
      </c>
      <c r="HL159" s="62">
        <f>SUMIFS(tblSafety[FAI],tblSafety[Date],$A159)</f>
        <v/>
      </c>
      <c r="HM159" s="62">
        <f>IF($B159=$B158,$HM158,0)+$HL159</f>
        <v/>
      </c>
      <c r="HN159" s="62">
        <f>$HN158+$HL159</f>
        <v/>
      </c>
      <c r="HO159" s="62">
        <f>SUMIFS(tblSafety[Recordables],tblSafety[Date],$A159)</f>
        <v/>
      </c>
      <c r="HP159" s="62">
        <f>IF($B159=$B158,$HP158,0)+$HO159</f>
        <v/>
      </c>
      <c r="HQ159" s="62">
        <f>$HQ158+$HO159</f>
        <v/>
      </c>
      <c r="HR159" s="62">
        <f>SUMIFS(tblSafety[Near_Miss],tblSafety[Date],$A159)</f>
        <v/>
      </c>
      <c r="HS159" s="62">
        <f>IF($B159=$B158,$HS158,0)+$HR159</f>
        <v/>
      </c>
      <c r="HT159" s="62">
        <f>$HT158+$HR159</f>
        <v/>
      </c>
      <c r="HU159" s="62">
        <f>SUMIFS(tblSafety[Hazard_Reports],tblSafety[Date],$A159)</f>
        <v/>
      </c>
      <c r="HV159" s="62">
        <f>IF($B159=$B158,$HV158,0)+$HU159</f>
        <v/>
      </c>
      <c r="HW159" s="62">
        <f>$HW158+$HU159</f>
        <v/>
      </c>
      <c r="HX159" s="62">
        <f>SUMIFS(tblSafety[HPI],tblSafety[Date],$A159)</f>
        <v/>
      </c>
      <c r="HY159" s="62">
        <f>IF($B159=$B158,$HY158,0)+$HX159</f>
        <v/>
      </c>
      <c r="HZ159" s="62">
        <f>$HZ158+$HX159</f>
        <v/>
      </c>
      <c r="IA159" s="62">
        <f>SUMIFS(tblSafety[Env_Incidents],tblSafety[Date],$A159)</f>
        <v/>
      </c>
      <c r="IB159" s="62">
        <f>IF($B159=$B158,$IB158,0)+$IA159</f>
        <v/>
      </c>
      <c r="IC159" s="62">
        <f>$IC158+$IA159</f>
        <v/>
      </c>
      <c r="ID159" s="62">
        <f>SUMIFS(tblSafety[Community_Incidents],tblSafety[Date],$A159)</f>
        <v/>
      </c>
      <c r="IE159" s="62">
        <f>IF($B159=$B158,$IE158,0)+$ID159</f>
        <v/>
      </c>
      <c r="IF159" s="62">
        <f>$IF158+$ID159</f>
        <v/>
      </c>
      <c r="IG159" s="62">
        <f>SUMIFS(tblSafety[Vehicle_Incidents],tblSafety[Date],$A159)</f>
        <v/>
      </c>
      <c r="IH159" s="62">
        <f>IF($B159=$B158,$IH158,0)+$IG159</f>
        <v/>
      </c>
      <c r="II159" s="62">
        <f>$II158+$IG159</f>
        <v/>
      </c>
      <c r="IJ159" s="62">
        <f>SUMIFS(tblSafety[Toolbox_Talks],tblSafety[Date],$A159)</f>
        <v/>
      </c>
      <c r="IK159" s="62">
        <f>IF($B159=$B158,$IK158,0)+$IJ159</f>
        <v/>
      </c>
      <c r="IL159" s="62">
        <f>$IL158+$IJ159</f>
        <v/>
      </c>
      <c r="IM159" s="62">
        <f>SUMIFS(tblSafety[Inspections],tblSafety[Date],$A159)</f>
        <v/>
      </c>
      <c r="IN159" s="62">
        <f>IF($B159=$B158,$IN158,0)+$IM159</f>
        <v/>
      </c>
      <c r="IO159" s="62">
        <f>$IO158+$IM159</f>
        <v/>
      </c>
      <c r="IP159" s="56">
        <f>IFERROR((SUMIFS(tblSafety[Recordables],tblSafety[Date],"&gt;="&amp;EDATE($E159,-12),tblSafety[Date],"&lt;="&amp;$A159)+SUMIFS(tblSafetyHistory[Recordables],tblSafetyHistory[Month],"&gt;="&amp;EDATE($E159,-12),tblSafetyHistory[Month],"&lt;"&amp;$E159,tblSafetyHistory[Use],1))/(SUMIFS(tblSafety[Hours_Total],tblSafety[Date],"&gt;="&amp;EDATE($E159,-12),tblSafety[Date],"&lt;="&amp;$A159)+SUMIFS(tblSafetyHistory[Hours_Total],tblSafetyHistory[Month],"&gt;="&amp;EDATE($E159,-12),tblSafetyHistory[Month],"&lt;"&amp;$E159,tblSafetyHistory[Use],1))*cfg_RateBasisHours,"")</f>
        <v/>
      </c>
      <c r="IQ159" s="56">
        <f>IFERROR((SUMIFS(tblSafety[LTI],tblSafety[Date],"&gt;="&amp;EDATE($E159,-12),tblSafety[Date],"&lt;="&amp;$A159)+SUMIFS(tblSafetyHistory[LTI],tblSafetyHistory[Month],"&gt;="&amp;EDATE($E159,-12),tblSafetyHistory[Month],"&lt;"&amp;$E159,tblSafetyHistory[Use],1))/(SUMIFS(tblSafety[Hours_Total],tblSafety[Date],"&gt;="&amp;EDATE($E159,-12),tblSafety[Date],"&lt;="&amp;$A159)+SUMIFS(tblSafetyHistory[Hours_Total],tblSafetyHistory[Month],"&gt;="&amp;EDATE($E159,-12),tblSafetyHistory[Month],"&lt;"&amp;$E159,tblSafetyHistory[Use],1))*cfg_RateBasisHours,"")</f>
        <v/>
      </c>
      <c r="IR159" s="62">
        <f>IF(MAX(N(cfg_PriorLTIDate),_xlfn.MAXIFS(tblSafety[Date],tblSafety[LTI],"&gt;0",tblSafety[Date],"&lt;="&amp;$A159))=0,"",$A159-MAX(N(cfg_PriorLTIDate),_xlfn.MAXIFS(tblSafety[Date],tblSafety[LTI],"&gt;0",tblSafety[Date],"&lt;="&amp;$A159)))</f>
        <v/>
      </c>
      <c r="IS159" s="55">
        <f>SUMIFS(tblBudget[Ore_Mined_t],tblBudget[Month],$E159)</f>
        <v/>
      </c>
      <c r="IT159" s="55">
        <f>$IS159*$C159/$D159</f>
        <v/>
      </c>
      <c r="IU159" s="55">
        <f>SUMIFS(tblBudget[Ore_Mined_t],tblBudget[Month],"&lt;"&amp;$E159)+$IT159</f>
        <v/>
      </c>
      <c r="IV159" s="55">
        <f>SUMIFS(tblBudget[Ore_oz],tblBudget[Month],$E159)</f>
        <v/>
      </c>
      <c r="IW159" s="55">
        <f>$IV159*$C159/$D159</f>
        <v/>
      </c>
      <c r="IX159" s="55">
        <f>SUMIFS(tblBudget[Ore_oz],tblBudget[Month],"&lt;"&amp;$E159)+$IW159</f>
        <v/>
      </c>
      <c r="IY159" s="55">
        <f>SUMIFS(tblBudget[Ore_Mined_t],tblBudget[Month],$E159)</f>
        <v/>
      </c>
      <c r="IZ159" s="55">
        <f>$IY159*$C159/$D159</f>
        <v/>
      </c>
      <c r="JA159" s="55">
        <f>SUMIFS(tblBudget[Ore_Mined_t],tblBudget[Month],"&lt;"&amp;$E159)+$IZ159</f>
        <v/>
      </c>
      <c r="JB159" s="56">
        <f>IFERROR(IF(($IY159)&gt;0,($IV159*cfg_TroyOz)/($IY159),""),"")</f>
        <v/>
      </c>
      <c r="JC159" s="56">
        <f>IFERROR(IF(($IZ159)&gt;0,($IW159*cfg_TroyOz)/($IZ159),""),"")</f>
        <v/>
      </c>
      <c r="JD159" s="56">
        <f>IFERROR(IF(($JA159)&gt;0,($IX159*cfg_TroyOz)/($JA159),""),"")</f>
        <v/>
      </c>
      <c r="JE159" s="55">
        <f>SUMIFS(tblBudget[Waste_t],tblBudget[Month],$E159)</f>
        <v/>
      </c>
      <c r="JF159" s="55">
        <f>$JE159*$C159/$D159</f>
        <v/>
      </c>
      <c r="JG159" s="55">
        <f>SUMIFS(tblBudget[Waste_t],tblBudget[Month],"&lt;"&amp;$E159)+$JF159</f>
        <v/>
      </c>
      <c r="JH159" s="55">
        <f>SUMIFS(tblBudget[TMM_t],tblBudget[Month],$E159)</f>
        <v/>
      </c>
      <c r="JI159" s="55">
        <f>$JH159*$C159/$D159</f>
        <v/>
      </c>
      <c r="JJ159" s="55">
        <f>SUMIFS(tblBudget[TMM_t],tblBudget[Month],"&lt;"&amp;$E159)+$JI159</f>
        <v/>
      </c>
      <c r="JK159" s="56">
        <f>IFERROR(IF(($IS159)&gt;0,($JE159)/($IS159),""),"")</f>
        <v/>
      </c>
      <c r="JL159" s="56">
        <f>IFERROR(IF(($IT159)&gt;0,($JF159)/($IT159),""),"")</f>
        <v/>
      </c>
      <c r="JM159" s="56">
        <f>IFERROR(IF(($IU159)&gt;0,($JG159)/($IU159),""),"")</f>
        <v/>
      </c>
      <c r="JN159" s="55">
        <f>SUMIFS(tblBudget[Drill_m],tblBudget[Month],$E159)</f>
        <v/>
      </c>
      <c r="JO159" s="55">
        <f>$JN159*$C159/$D159</f>
        <v/>
      </c>
      <c r="JP159" s="55">
        <f>SUMIFS(tblBudget[Drill_m],tblBudget[Month],"&lt;"&amp;$E159)+$JO159</f>
        <v/>
      </c>
      <c r="JQ159" s="55">
        <f>SUMIFS(tblBudget[Diesel_L],tblBudget[Month],$E159)</f>
        <v/>
      </c>
      <c r="JR159" s="55">
        <f>$JQ159*$C159/$D159</f>
        <v/>
      </c>
      <c r="JS159" s="55">
        <f>SUMIFS(tblBudget[Diesel_L],tblBudget[Month],"&lt;"&amp;$E159)+$JR159</f>
        <v/>
      </c>
      <c r="JT159" s="55">
        <f>SUMIFS(tblBudget[Milled_t],tblBudget[Month],$E159)</f>
        <v/>
      </c>
      <c r="JU159" s="55">
        <f>$JT159*$C159/$D159</f>
        <v/>
      </c>
      <c r="JV159" s="55">
        <f>SUMIFS(tblBudget[Milled_t],tblBudget[Month],"&lt;"&amp;$E159)+$JU159</f>
        <v/>
      </c>
      <c r="JW159" s="55">
        <f>SUMIFS(tblBudget[Feed_oz],tblBudget[Month],$E159)</f>
        <v/>
      </c>
      <c r="JX159" s="55">
        <f>$JW159*$C159/$D159</f>
        <v/>
      </c>
      <c r="JY159" s="55">
        <f>SUMIFS(tblBudget[Feed_oz],tblBudget[Month],"&lt;"&amp;$E159)+$JX159</f>
        <v/>
      </c>
      <c r="JZ159" s="55">
        <f>SUMIFS(tblBudget[Recovered_oz],tblBudget[Month],$E159)</f>
        <v/>
      </c>
      <c r="KA159" s="55">
        <f>$JZ159*$C159/$D159</f>
        <v/>
      </c>
      <c r="KB159" s="55">
        <f>SUMIFS(tblBudget[Recovered_oz],tblBudget[Month],"&lt;"&amp;$E159)+$KA159</f>
        <v/>
      </c>
      <c r="KC159" s="55">
        <f>SUMIFS(tblBudget[Milled_t],tblBudget[Month],$E159)</f>
        <v/>
      </c>
      <c r="KD159" s="55">
        <f>$KC159*$C159/$D159</f>
        <v/>
      </c>
      <c r="KE159" s="55">
        <f>SUMIFS(tblBudget[Milled_t],tblBudget[Month],"&lt;"&amp;$E159)+$KD159</f>
        <v/>
      </c>
      <c r="KF159" s="55">
        <f>SUMIFS(tblBudget[Feed_oz],tblBudget[Month],$E159)</f>
        <v/>
      </c>
      <c r="KG159" s="55">
        <f>$KF159*$C159/$D159</f>
        <v/>
      </c>
      <c r="KH159" s="55">
        <f>SUMIFS(tblBudget[Feed_oz],tblBudget[Month],"&lt;"&amp;$E159)+$KG159</f>
        <v/>
      </c>
      <c r="KI159" s="56">
        <f>IFERROR(IF(($KC159)&gt;0,($JW159*cfg_TroyOz)/($KC159),""),"")</f>
        <v/>
      </c>
      <c r="KJ159" s="56">
        <f>IFERROR(IF(($KD159)&gt;0,($JX159*cfg_TroyOz)/($KD159),""),"")</f>
        <v/>
      </c>
      <c r="KK159" s="56">
        <f>IFERROR(IF(($KE159)&gt;0,($JY159*cfg_TroyOz)/($KE159),""),"")</f>
        <v/>
      </c>
      <c r="KL159" s="67">
        <f>IFERROR(IF(($KF159)&gt;0,($JZ159)/($KF159),""),"")</f>
        <v/>
      </c>
      <c r="KM159" s="67">
        <f>IFERROR(IF(($KG159)&gt;0,($KA159)/($KG159),""),"")</f>
        <v/>
      </c>
      <c r="KN159" s="67">
        <f>IFERROR(IF(($KH159)&gt;0,($KB159)/($KH159),""),"")</f>
        <v/>
      </c>
      <c r="KO159" s="55">
        <f>SUMIFS(tblBudget[Gold_Poured_oz],tblBudget[Month],$E159)</f>
        <v/>
      </c>
      <c r="KP159" s="55">
        <f>$KO159*$C159/$D159</f>
        <v/>
      </c>
      <c r="KQ159" s="55">
        <f>SUMIFS(tblBudget[Gold_Poured_oz],tblBudget[Month],"&lt;"&amp;$E159)+$KP159</f>
        <v/>
      </c>
      <c r="KR159" s="57">
        <f>SUMIFS(tblBudget[Hours_Worked],tblBudget[Month],$E159)</f>
        <v/>
      </c>
      <c r="KS159" s="57">
        <f>$KR159*$C159/$D159</f>
        <v/>
      </c>
      <c r="KT159" s="57">
        <f>SUMIFS(tblBudget[Hours_Worked],tblBudget[Month],"&lt;"&amp;$E159)+$KS159</f>
        <v/>
      </c>
    </row>
    <row r="160">
      <c r="A160" s="54" t="n">
        <v>46181</v>
      </c>
      <c r="B160">
        <f>MONTH($A160)</f>
        <v/>
      </c>
      <c r="C160">
        <f>DAY($A160)</f>
        <v/>
      </c>
      <c r="D160">
        <f>DAY(EOMONTH($A160,0))</f>
        <v/>
      </c>
      <c r="E160" s="54">
        <f>DATE(YEAR($A160),MONTH($A160),1)</f>
        <v/>
      </c>
      <c r="F160" s="55">
        <f>SUMIFS(tblMovement[Tonnes_t],tblMovement[Date],$A160,tblMovement[Is_Ore],1,tblMovement[Source_Type],"Pit")</f>
        <v/>
      </c>
      <c r="G160" s="55">
        <f>IF($B160=$B159,$G159,0)+$F160</f>
        <v/>
      </c>
      <c r="H160" s="55">
        <f>$H159+$F160</f>
        <v/>
      </c>
      <c r="I160" s="55">
        <f>SUMIFS(tblMovement[Ore_oz],tblMovement[Date],$A160,tblMovement[Source_Type],"Pit")</f>
        <v/>
      </c>
      <c r="J160" s="55">
        <f>IF($B160=$B159,$J159,0)+$I160</f>
        <v/>
      </c>
      <c r="K160" s="55">
        <f>$K159+$I160</f>
        <v/>
      </c>
      <c r="L160" s="55">
        <f>SUMIFS(tblMovement[Tonnes_t],tblMovement[Date],$A160,tblMovement[Is_Ore],1,tblMovement[Source_Type],"Pit",tblMovement[Grade_gpt],"&lt;&gt;")</f>
        <v/>
      </c>
      <c r="M160" s="55">
        <f>IF($B160=$B159,$M159,0)+$L160</f>
        <v/>
      </c>
      <c r="N160" s="55">
        <f>$N159+$L160</f>
        <v/>
      </c>
      <c r="O160" s="56">
        <f>IFERROR(IF(($L160)&gt;0,($I160*cfg_TroyOz)/($L160),""),"")</f>
        <v/>
      </c>
      <c r="P160" s="56">
        <f>IFERROR(IF(($M160)&gt;0,($J160*cfg_TroyOz)/($M160),""),"")</f>
        <v/>
      </c>
      <c r="Q160" s="56">
        <f>IFERROR(IF(($N160)&gt;0,($K160*cfg_TroyOz)/($N160),""),"")</f>
        <v/>
      </c>
      <c r="R160" s="55">
        <f>$F160-$L160</f>
        <v/>
      </c>
      <c r="S160" s="55">
        <f>IF($B160=$B159,$S159,0)+$R160</f>
        <v/>
      </c>
      <c r="T160" s="55">
        <f>$T159+$R160</f>
        <v/>
      </c>
      <c r="U160" s="55">
        <f>SUMIFS(tblMovement[Tonnes_t],tblMovement[Date],$A160,tblMovement[Is_Ore],0,tblMovement[Source_Type],"Pit")</f>
        <v/>
      </c>
      <c r="V160" s="55">
        <f>IF($B160=$B159,$V159,0)+$U160</f>
        <v/>
      </c>
      <c r="W160" s="55">
        <f>$W159+$U160</f>
        <v/>
      </c>
      <c r="X160" s="55">
        <f>$F160+$U160</f>
        <v/>
      </c>
      <c r="Y160" s="55">
        <f>IF($B160=$B159,$Y159,0)+$X160</f>
        <v/>
      </c>
      <c r="Z160" s="55">
        <f>$Z159+$X160</f>
        <v/>
      </c>
      <c r="AA160" s="56">
        <f>IFERROR(IF(($F160)&gt;0,($U160)/($F160),""),"")</f>
        <v/>
      </c>
      <c r="AB160" s="56">
        <f>IFERROR(IF(($G160)&gt;0,($V160)/($G160),""),"")</f>
        <v/>
      </c>
      <c r="AC160" s="56">
        <f>IFERROR(IF(($H160)&gt;0,($W160)/($H160),""),"")</f>
        <v/>
      </c>
      <c r="AD160" s="55">
        <f>SUMIFS(tblMovement[Tonnes_t],tblMovement[Date],$A160,tblMovement[Source_Type],"Stockpile")</f>
        <v/>
      </c>
      <c r="AE160" s="55">
        <f>IF($B160=$B159,$AE159,0)+$AD160</f>
        <v/>
      </c>
      <c r="AF160" s="55">
        <f>$AF159+$AD160</f>
        <v/>
      </c>
      <c r="AG160" s="55">
        <f>SUMIFS(tblMovement[Tonnes_t],tblMovement[Date],$A160)</f>
        <v/>
      </c>
      <c r="AH160" s="55">
        <f>IF($B160=$B159,$AH159,0)+$AG160</f>
        <v/>
      </c>
      <c r="AI160" s="55">
        <f>$AI159+$AG160</f>
        <v/>
      </c>
      <c r="AJ160" s="55">
        <f>$AG160-$X160-$AD160</f>
        <v/>
      </c>
      <c r="AK160" s="55">
        <f>IF($B160=$B159,$AK159,0)+$AJ160</f>
        <v/>
      </c>
      <c r="AL160" s="55">
        <f>$AL159+$AJ160</f>
        <v/>
      </c>
      <c r="AM160" s="55">
        <f>SUMIFS(tblMiningDaily[Drill_m],tblMiningDaily[Date],$A160)</f>
        <v/>
      </c>
      <c r="AN160" s="55">
        <f>IF($B160=$B159,$AN159,0)+$AM160</f>
        <v/>
      </c>
      <c r="AO160" s="55">
        <f>$AO159+$AM160</f>
        <v/>
      </c>
      <c r="AP160" s="55">
        <f>SUMIFS(tblMiningDaily[GC_Drill_m],tblMiningDaily[Date],$A160)</f>
        <v/>
      </c>
      <c r="AQ160" s="55">
        <f>IF($B160=$B159,$AQ159,0)+$AP160</f>
        <v/>
      </c>
      <c r="AR160" s="55">
        <f>$AR159+$AP160</f>
        <v/>
      </c>
      <c r="AS160" s="55">
        <f>SUMIFS(tblMiningDaily[Blast_t],tblMiningDaily[Date],$A160)</f>
        <v/>
      </c>
      <c r="AT160" s="55">
        <f>IF($B160=$B159,$AT159,0)+$AS160</f>
        <v/>
      </c>
      <c r="AU160" s="55">
        <f>$AU159+$AS160</f>
        <v/>
      </c>
      <c r="AV160" s="55">
        <f>SUMIFS(tblMiningDaily[Explosives_kg],tblMiningDaily[Date],$A160)</f>
        <v/>
      </c>
      <c r="AW160" s="55">
        <f>IF($B160=$B159,$AW159,0)+$AV160</f>
        <v/>
      </c>
      <c r="AX160" s="55">
        <f>$AX159+$AV160</f>
        <v/>
      </c>
      <c r="AY160" s="56">
        <f>IFERROR(IF(($AS160)&gt;0,($AV160)/($AS160),""),"")</f>
        <v/>
      </c>
      <c r="AZ160" s="56">
        <f>IFERROR(IF(($AT160)&gt;0,($AW160)/($AT160),""),"")</f>
        <v/>
      </c>
      <c r="BA160" s="56">
        <f>IFERROR(IF(($AU160)&gt;0,($AX160)/($AU160),""),"")</f>
        <v/>
      </c>
      <c r="BB160" s="55">
        <f>SUMIFS(tblMiningDaily[Diesel_L],tblMiningDaily[Date],$A160)</f>
        <v/>
      </c>
      <c r="BC160" s="55">
        <f>IF($B160=$B159,$BC159,0)+$BB160</f>
        <v/>
      </c>
      <c r="BD160" s="55">
        <f>$BD159+$BB160</f>
        <v/>
      </c>
      <c r="BE160" s="55">
        <f>SUMIFS(tblMiningDaily[Dewatering_m3],tblMiningDaily[Date],$A160)</f>
        <v/>
      </c>
      <c r="BF160" s="55">
        <f>IF($B160=$B159,$BF159,0)+$BE160</f>
        <v/>
      </c>
      <c r="BG160" s="55">
        <f>$BG159+$BE160</f>
        <v/>
      </c>
      <c r="BH160" s="57">
        <f>SUMIFS(tblFleet[Calendar_h],tblFleet[Date],$A160,tblFleet[Equipment_Class],"Excavator")</f>
        <v/>
      </c>
      <c r="BI160" s="57">
        <f>IF($B160=$B159,$BI159,0)+$BH160</f>
        <v/>
      </c>
      <c r="BJ160" s="57">
        <f>$BJ159+$BH160</f>
        <v/>
      </c>
      <c r="BK160" s="57">
        <f>SUMIFS(tblFleet[Available_h],tblFleet[Date],$A160,tblFleet[Equipment_Class],"Excavator")</f>
        <v/>
      </c>
      <c r="BL160" s="57">
        <f>IF($B160=$B159,$BL159,0)+$BK160</f>
        <v/>
      </c>
      <c r="BM160" s="57">
        <f>$BM159+$BK160</f>
        <v/>
      </c>
      <c r="BN160" s="57">
        <f>SUMIFS(tblFleet[Operating_h],tblFleet[Date],$A160,tblFleet[Equipment_Class],"Excavator")</f>
        <v/>
      </c>
      <c r="BO160" s="57">
        <f>IF($B160=$B159,$BO159,0)+$BN160</f>
        <v/>
      </c>
      <c r="BP160" s="57">
        <f>$BP159+$BN160</f>
        <v/>
      </c>
      <c r="BQ160" s="67">
        <f>IFERROR(IF(($BH160)&gt;0,($BK160)/($BH160),""),"")</f>
        <v/>
      </c>
      <c r="BR160" s="67">
        <f>IFERROR(IF(($BI160)&gt;0,($BL160)/($BI160),""),"")</f>
        <v/>
      </c>
      <c r="BS160" s="67">
        <f>IFERROR(IF(($BJ160)&gt;0,($BM160)/($BJ160),""),"")</f>
        <v/>
      </c>
      <c r="BT160" s="67">
        <f>IFERROR(IF(($BK160)&gt;0,($BN160)/($BK160),""),"")</f>
        <v/>
      </c>
      <c r="BU160" s="67">
        <f>IFERROR(IF(($BL160)&gt;0,($BO160)/($BL160),""),"")</f>
        <v/>
      </c>
      <c r="BV160" s="67">
        <f>IFERROR(IF(($BM160)&gt;0,($BP160)/($BM160),""),"")</f>
        <v/>
      </c>
      <c r="BW160" s="57">
        <f>SUMIFS(tblFleet[Calendar_h],tblFleet[Date],$A160,tblFleet[Equipment_Class],"Haul Truck")</f>
        <v/>
      </c>
      <c r="BX160" s="57">
        <f>IF($B160=$B159,$BX159,0)+$BW160</f>
        <v/>
      </c>
      <c r="BY160" s="57">
        <f>$BY159+$BW160</f>
        <v/>
      </c>
      <c r="BZ160" s="57">
        <f>SUMIFS(tblFleet[Available_h],tblFleet[Date],$A160,tblFleet[Equipment_Class],"Haul Truck")</f>
        <v/>
      </c>
      <c r="CA160" s="57">
        <f>IF($B160=$B159,$CA159,0)+$BZ160</f>
        <v/>
      </c>
      <c r="CB160" s="57">
        <f>$CB159+$BZ160</f>
        <v/>
      </c>
      <c r="CC160" s="57">
        <f>SUMIFS(tblFleet[Operating_h],tblFleet[Date],$A160,tblFleet[Equipment_Class],"Haul Truck")</f>
        <v/>
      </c>
      <c r="CD160" s="57">
        <f>IF($B160=$B159,$CD159,0)+$CC160</f>
        <v/>
      </c>
      <c r="CE160" s="57">
        <f>$CE159+$CC160</f>
        <v/>
      </c>
      <c r="CF160" s="67">
        <f>IFERROR(IF(($BW160)&gt;0,($BZ160)/($BW160),""),"")</f>
        <v/>
      </c>
      <c r="CG160" s="67">
        <f>IFERROR(IF(($BX160)&gt;0,($CA160)/($BX160),""),"")</f>
        <v/>
      </c>
      <c r="CH160" s="67">
        <f>IFERROR(IF(($BY160)&gt;0,($CB160)/($BY160),""),"")</f>
        <v/>
      </c>
      <c r="CI160" s="67">
        <f>IFERROR(IF(($BZ160)&gt;0,($CC160)/($BZ160),""),"")</f>
        <v/>
      </c>
      <c r="CJ160" s="67">
        <f>IFERROR(IF(($CA160)&gt;0,($CD160)/($CA160),""),"")</f>
        <v/>
      </c>
      <c r="CK160" s="67">
        <f>IFERROR(IF(($CB160)&gt;0,($CE160)/($CB160),""),"")</f>
        <v/>
      </c>
      <c r="CL160" s="55">
        <f>IFERROR(IF(($BN160)&gt;0,($X160+$AD160)/($BN160),""),"")</f>
        <v/>
      </c>
      <c r="CM160" s="55">
        <f>IFERROR(IF(($BO160)&gt;0,($Y160+$AE160)/($BO160),""),"")</f>
        <v/>
      </c>
      <c r="CN160" s="55">
        <f>IFERROR(IF(($BP160)&gt;0,($Z160+$AF160)/($BP160),""),"")</f>
        <v/>
      </c>
      <c r="CO160" s="55">
        <f>IFERROR(IF(($CC160)&gt;0,($X160+$AD160)/($CC160),""),"")</f>
        <v/>
      </c>
      <c r="CP160" s="55">
        <f>IFERROR(IF(($CD160)&gt;0,($Y160+$AE160)/($CD160),""),"")</f>
        <v/>
      </c>
      <c r="CQ160" s="55">
        <f>IFERROR(IF(($CE160)&gt;0,($Z160+$AF160)/($CE160),""),"")</f>
        <v/>
      </c>
      <c r="CR160" s="55">
        <f>SUMIFS(tblPlant[Crushed_t],tblPlant[Date],$A160)</f>
        <v/>
      </c>
      <c r="CS160" s="55">
        <f>IF($B160=$B159,$CS159,0)+$CR160</f>
        <v/>
      </c>
      <c r="CT160" s="55">
        <f>$CT159+$CR160</f>
        <v/>
      </c>
      <c r="CU160" s="55">
        <f>SUMIFS(tblPlant[Milled_t],tblPlant[Date],$A160)</f>
        <v/>
      </c>
      <c r="CV160" s="55">
        <f>IF($B160=$B159,$CV159,0)+$CU160</f>
        <v/>
      </c>
      <c r="CW160" s="55">
        <f>$CW159+$CU160</f>
        <v/>
      </c>
      <c r="CX160" s="55">
        <f>SUMIFS(tblPlant[Feed_oz],tblPlant[Date],$A160)</f>
        <v/>
      </c>
      <c r="CY160" s="55">
        <f>IF($B160=$B159,$CY159,0)+$CX160</f>
        <v/>
      </c>
      <c r="CZ160" s="55">
        <f>$CZ159+$CX160</f>
        <v/>
      </c>
      <c r="DA160" s="55">
        <f>SUMIFS(tblPlant[Tails_oz],tblPlant[Date],$A160)</f>
        <v/>
      </c>
      <c r="DB160" s="55">
        <f>IF($B160=$B159,$DB159,0)+$DA160</f>
        <v/>
      </c>
      <c r="DC160" s="55">
        <f>$DC159+$DA160</f>
        <v/>
      </c>
      <c r="DD160" s="55">
        <f>SUMIFS(tblPlant[Recovered_oz],tblPlant[Date],$A160)</f>
        <v/>
      </c>
      <c r="DE160" s="55">
        <f>IF($B160=$B159,$DE159,0)+$DD160</f>
        <v/>
      </c>
      <c r="DF160" s="55">
        <f>$DF159+$DD160</f>
        <v/>
      </c>
      <c r="DG160" s="55">
        <f>SUMIFS(tblPlant[Milled_t],tblPlant[Date],$A160,tblPlant[Head_Grade_gpt],"&lt;&gt;")</f>
        <v/>
      </c>
      <c r="DH160" s="55">
        <f>IF($B160=$B159,$DH159,0)+$DG160</f>
        <v/>
      </c>
      <c r="DI160" s="55">
        <f>$DI159+$DG160</f>
        <v/>
      </c>
      <c r="DJ160" s="55">
        <f>SUMIFS(tblPlant[Milled_t],tblPlant[Date],$A160,tblPlant[Tails_Grade_gpt],"&lt;&gt;")</f>
        <v/>
      </c>
      <c r="DK160" s="55">
        <f>IF($B160=$B159,$DK159,0)+$DJ160</f>
        <v/>
      </c>
      <c r="DL160" s="55">
        <f>$DL159+$DJ160</f>
        <v/>
      </c>
      <c r="DM160" s="55">
        <f>SUMIFS(tblPlant[Feed_oz],tblPlant[Date],$A160,tblPlant[Tails_Grade_gpt],"&lt;&gt;")</f>
        <v/>
      </c>
      <c r="DN160" s="55">
        <f>IF($B160=$B159,$DN159,0)+$DM160</f>
        <v/>
      </c>
      <c r="DO160" s="55">
        <f>$DO159+$DM160</f>
        <v/>
      </c>
      <c r="DP160" s="55">
        <f>SUMIFS(tblPlant[Milled_t],tblPlant[Date],$A160,tblPlant[Mill_Run_h],"&lt;&gt;")</f>
        <v/>
      </c>
      <c r="DQ160" s="55">
        <f>IF($B160=$B159,$DQ159,0)+$DP160</f>
        <v/>
      </c>
      <c r="DR160" s="55">
        <f>$DR159+$DP160</f>
        <v/>
      </c>
      <c r="DS160" s="56">
        <f>IFERROR(IF(($DG160)&gt;0,($CX160*cfg_TroyOz)/($DG160),""),"")</f>
        <v/>
      </c>
      <c r="DT160" s="56">
        <f>IFERROR(IF(($DH160)&gt;0,($CY160*cfg_TroyOz)/($DH160),""),"")</f>
        <v/>
      </c>
      <c r="DU160" s="56">
        <f>IFERROR(IF(($DI160)&gt;0,($CZ160*cfg_TroyOz)/($DI160),""),"")</f>
        <v/>
      </c>
      <c r="DV160" s="56">
        <f>IFERROR(IF(($DJ160)&gt;0,($DA160*cfg_TroyOz)/($DJ160),""),"")</f>
        <v/>
      </c>
      <c r="DW160" s="56">
        <f>IFERROR(IF(($DK160)&gt;0,($DB160*cfg_TroyOz)/($DK160),""),"")</f>
        <v/>
      </c>
      <c r="DX160" s="56">
        <f>IFERROR(IF(($DL160)&gt;0,($DC160*cfg_TroyOz)/($DL160),""),"")</f>
        <v/>
      </c>
      <c r="DY160" s="67">
        <f>IFERROR(IF(($DM160)&gt;0,($DD160)/($DM160),""),"")</f>
        <v/>
      </c>
      <c r="DZ160" s="67">
        <f>IFERROR(IF(($DN160)&gt;0,($DE160)/($DN160),""),"")</f>
        <v/>
      </c>
      <c r="EA160" s="67">
        <f>IFERROR(IF(($DO160)&gt;0,($DF160)/($DO160),""),"")</f>
        <v/>
      </c>
      <c r="EB160" s="55">
        <f>SUMIFS(tblPlant[Gravity_Gold_oz],tblPlant[Date],$A160)</f>
        <v/>
      </c>
      <c r="EC160" s="55">
        <f>IF($B160=$B159,$EC159,0)+$EB160</f>
        <v/>
      </c>
      <c r="ED160" s="55">
        <f>$ED159+$EB160</f>
        <v/>
      </c>
      <c r="EE160" s="67">
        <f>IFERROR(IF(($DD160)&gt;0,($EB160)/($DD160),""),"")</f>
        <v/>
      </c>
      <c r="EF160" s="67">
        <f>IFERROR(IF(($DE160)&gt;0,($EC160)/($DE160),""),"")</f>
        <v/>
      </c>
      <c r="EG160" s="67">
        <f>IFERROR(IF(($DF160)&gt;0,($ED160)/($DF160),""),"")</f>
        <v/>
      </c>
      <c r="EH160" s="55">
        <f>SUMIFS(tblPlant[Gold_Poured_oz],tblPlant[Date],$A160)</f>
        <v/>
      </c>
      <c r="EI160" s="55">
        <f>IF($B160=$B159,$EI159,0)+$EH160</f>
        <v/>
      </c>
      <c r="EJ160" s="55">
        <f>$EJ159+$EH160</f>
        <v/>
      </c>
      <c r="EK160" s="57">
        <f>SUMIFS(tblPlant[Mill_Run_h],tblPlant[Date],$A160)</f>
        <v/>
      </c>
      <c r="EL160" s="57">
        <f>IF($B160=$B159,$EL159,0)+$EK160</f>
        <v/>
      </c>
      <c r="EM160" s="57">
        <f>$EM159+$EK160</f>
        <v/>
      </c>
      <c r="EN160" s="57">
        <f>SUMIFS(tblPlant[Mill_Planned_Maint_h],tblPlant[Date],$A160)</f>
        <v/>
      </c>
      <c r="EO160" s="57">
        <f>IF($B160=$B159,$EO159,0)+$EN160</f>
        <v/>
      </c>
      <c r="EP160" s="57">
        <f>$EP159+$EN160</f>
        <v/>
      </c>
      <c r="EQ160" s="57">
        <f>SUMIFS(tblPlant[Mill_Unplanned_Down_h],tblPlant[Date],$A160)</f>
        <v/>
      </c>
      <c r="ER160" s="57">
        <f>IF($B160=$B159,$ER159,0)+$EQ160</f>
        <v/>
      </c>
      <c r="ES160" s="57">
        <f>$ES159+$EQ160</f>
        <v/>
      </c>
      <c r="ET160" s="57">
        <f>IF(COUNTIFS(tblPlant[Date],$A160,tblPlant[Mill_Run_h],"&lt;&gt;")+COUNTIFS(tblPlant[Date],$A160,tblPlant[Mill_Planned_Maint_h],"&lt;&gt;")+COUNTIFS(tblPlant[Date],$A160,tblPlant[Mill_Unplanned_Down_h],"&lt;&gt;")&gt;0,cfg_HoursPerDay,0)</f>
        <v/>
      </c>
      <c r="EU160" s="57">
        <f>IF($B160=$B159,$EU159,0)+$ET160</f>
        <v/>
      </c>
      <c r="EV160" s="57">
        <f>$EV159+$ET160</f>
        <v/>
      </c>
      <c r="EW160" s="57">
        <f>SUMIFS(tblPlant[Crusher_Run_h],tblPlant[Date],$A160)</f>
        <v/>
      </c>
      <c r="EX160" s="57">
        <f>IF($B160=$B159,$EX159,0)+$EW160</f>
        <v/>
      </c>
      <c r="EY160" s="57">
        <f>$EY159+$EW160</f>
        <v/>
      </c>
      <c r="EZ160" s="55">
        <f>IFERROR(IF(($EK160)&gt;0,($DP160)/($EK160),""),"")</f>
        <v/>
      </c>
      <c r="FA160" s="55">
        <f>IFERROR(IF(($EL160)&gt;0,($DQ160)/($EL160),""),"")</f>
        <v/>
      </c>
      <c r="FB160" s="55">
        <f>IFERROR(IF(($EM160)&gt;0,($DR160)/($EM160),""),"")</f>
        <v/>
      </c>
      <c r="FC160" s="67">
        <f>IFERROR(IF(($ET160)&gt;0,($ET160-$EN160-$EQ160)/($ET160),""),"")</f>
        <v/>
      </c>
      <c r="FD160" s="67">
        <f>IFERROR(IF(($EU160)&gt;0,($EU160-$EO160-$ER160)/($EU160),""),"")</f>
        <v/>
      </c>
      <c r="FE160" s="67">
        <f>IFERROR(IF(($EV160)&gt;0,($EV160-$EP160-$ES160)/($EV160),""),"")</f>
        <v/>
      </c>
      <c r="FF160" s="67">
        <f>IFERROR(IF(($ET160-$EN160-$EQ160)&gt;0,($EK160)/($ET160-$EN160-$EQ160),""),"")</f>
        <v/>
      </c>
      <c r="FG160" s="67">
        <f>IFERROR(IF(($EU160-$EO160-$ER160)&gt;0,($EL160)/($EU160-$EO160-$ER160),""),"")</f>
        <v/>
      </c>
      <c r="FH160" s="67">
        <f>IFERROR(IF(($EV160-$EP160-$ES160)&gt;0,($EM160)/($EV160-$EP160-$ES160),""),"")</f>
        <v/>
      </c>
      <c r="FI160" s="55">
        <f>SUMIFS(tblPlant[Cyanide_kg],tblPlant[Date],$A160)</f>
        <v/>
      </c>
      <c r="FJ160" s="55">
        <f>IF($B160=$B159,$FJ159,0)+$FI160</f>
        <v/>
      </c>
      <c r="FK160" s="55">
        <f>$FK159+$FI160</f>
        <v/>
      </c>
      <c r="FL160" s="55">
        <f>SUMIFS(tblPlant[Lime_kg],tblPlant[Date],$A160)</f>
        <v/>
      </c>
      <c r="FM160" s="55">
        <f>IF($B160=$B159,$FM159,0)+$FL160</f>
        <v/>
      </c>
      <c r="FN160" s="55">
        <f>$FN159+$FL160</f>
        <v/>
      </c>
      <c r="FO160" s="55">
        <f>SUMIFS(tblPlant[Grinding_Media_kg],tblPlant[Date],$A160)</f>
        <v/>
      </c>
      <c r="FP160" s="55">
        <f>IF($B160=$B159,$FP159,0)+$FO160</f>
        <v/>
      </c>
      <c r="FQ160" s="55">
        <f>$FQ159+$FO160</f>
        <v/>
      </c>
      <c r="FR160" s="55">
        <f>SUMIFS(tblPlant[Power_kWh],tblPlant[Date],$A160)</f>
        <v/>
      </c>
      <c r="FS160" s="55">
        <f>IF($B160=$B159,$FS159,0)+$FR160</f>
        <v/>
      </c>
      <c r="FT160" s="55">
        <f>$FT159+$FR160</f>
        <v/>
      </c>
      <c r="FU160" s="55">
        <f>SUMIFS(tblPlant[Raw_Water_m3],tblPlant[Date],$A160)</f>
        <v/>
      </c>
      <c r="FV160" s="55">
        <f>IF($B160=$B159,$FV159,0)+$FU160</f>
        <v/>
      </c>
      <c r="FW160" s="55">
        <f>$FW159+$FU160</f>
        <v/>
      </c>
      <c r="FX160" s="56">
        <f>IFERROR(IF(($CU160)&gt;0,($FI160)/($CU160),""),"")</f>
        <v/>
      </c>
      <c r="FY160" s="56">
        <f>IFERROR(IF(($CV160)&gt;0,($FJ160)/($CV160),""),"")</f>
        <v/>
      </c>
      <c r="FZ160" s="56">
        <f>IFERROR(IF(($CW160)&gt;0,($FK160)/($CW160),""),"")</f>
        <v/>
      </c>
      <c r="GA160" s="56">
        <f>IFERROR(IF(($CU160)&gt;0,($FL160)/($CU160),""),"")</f>
        <v/>
      </c>
      <c r="GB160" s="56">
        <f>IFERROR(IF(($CV160)&gt;0,($FM160)/($CV160),""),"")</f>
        <v/>
      </c>
      <c r="GC160" s="56">
        <f>IFERROR(IF(($CW160)&gt;0,($FN160)/($CW160),""),"")</f>
        <v/>
      </c>
      <c r="GD160" s="56">
        <f>IFERROR(IF(($CU160)&gt;0,($FO160)/($CU160),""),"")</f>
        <v/>
      </c>
      <c r="GE160" s="56">
        <f>IFERROR(IF(($CV160)&gt;0,($FP160)/($CV160),""),"")</f>
        <v/>
      </c>
      <c r="GF160" s="56">
        <f>IFERROR(IF(($CW160)&gt;0,($FQ160)/($CW160),""),"")</f>
        <v/>
      </c>
      <c r="GG160" s="79">
        <f>IFERROR(IF(($CU160)&gt;0,($FR160)/($CU160),""),"")</f>
        <v/>
      </c>
      <c r="GH160" s="79">
        <f>IFERROR(IF(($CV160)&gt;0,($FS160)/($CV160),""),"")</f>
        <v/>
      </c>
      <c r="GI160" s="79">
        <f>IFERROR(IF(($CW160)&gt;0,($FT160)/($CW160),""),"")</f>
        <v/>
      </c>
      <c r="GJ160" s="56">
        <f>IFERROR(IF(($CU160)&gt;0,($FU160)/($CU160),""),"")</f>
        <v/>
      </c>
      <c r="GK160" s="56">
        <f>IFERROR(IF(($CV160)&gt;0,($FV160)/($CV160),""),"")</f>
        <v/>
      </c>
      <c r="GL160" s="56">
        <f>IFERROR(IF(($CW160)&gt;0,($FW160)/($CW160),""),"")</f>
        <v/>
      </c>
      <c r="GM160" s="55">
        <f>IF(SUMIFS(tblPlant[GIC_oz],tblPlant[Date],$A160)&gt;0,SUMIFS(tblPlant[GIC_oz],tblPlant[Date],$A160),"")</f>
        <v/>
      </c>
      <c r="GN160" s="55">
        <f>SUMIFS(tblGold[Gold_oz],tblGold[Date],$A160,tblGold[Type],"Shipment")</f>
        <v/>
      </c>
      <c r="GO160" s="55">
        <f>IF($B160=$B159,$GO159,0)+$GN160</f>
        <v/>
      </c>
      <c r="GP160" s="55">
        <f>$GP159+$GN160</f>
        <v/>
      </c>
      <c r="GQ160" s="55">
        <f>SUMIFS(tblGold[Gold_oz],tblGold[Date],$A160,tblGold[Type],"Sale")</f>
        <v/>
      </c>
      <c r="GR160" s="55">
        <f>IF($B160=$B159,$GR159,0)+$GQ160</f>
        <v/>
      </c>
      <c r="GS160" s="55">
        <f>$GS159+$GQ160</f>
        <v/>
      </c>
      <c r="GT160" s="55">
        <f>SUMIFS(tblGold[Dore_kg],tblGold[Date],$A160,tblGold[Type],"Shipment")</f>
        <v/>
      </c>
      <c r="GU160" s="55">
        <f>IF($B160=$B159,$GU159,0)+$GT160</f>
        <v/>
      </c>
      <c r="GV160" s="55">
        <f>$GV159+$GT160</f>
        <v/>
      </c>
      <c r="GW160" s="57">
        <f>SUMIFS(tblSafety[Hours_Total],tblSafety[Date],$A160)</f>
        <v/>
      </c>
      <c r="GX160" s="57">
        <f>IF($B160=$B159,$GX159,0)+$GW160</f>
        <v/>
      </c>
      <c r="GY160" s="57">
        <f>$GY159+$GW160</f>
        <v/>
      </c>
      <c r="GZ160" s="62">
        <f>SUMIFS(tblSafety[Fatality],tblSafety[Date],$A160)</f>
        <v/>
      </c>
      <c r="HA160" s="62">
        <f>IF($B160=$B159,$HA159,0)+$GZ160</f>
        <v/>
      </c>
      <c r="HB160" s="62">
        <f>$HB159+$GZ160</f>
        <v/>
      </c>
      <c r="HC160" s="62">
        <f>SUMIFS(tblSafety[LTI],tblSafety[Date],$A160)</f>
        <v/>
      </c>
      <c r="HD160" s="62">
        <f>IF($B160=$B159,$HD159,0)+$HC160</f>
        <v/>
      </c>
      <c r="HE160" s="62">
        <f>$HE159+$HC160</f>
        <v/>
      </c>
      <c r="HF160" s="62">
        <f>SUMIFS(tblSafety[RWI],tblSafety[Date],$A160)</f>
        <v/>
      </c>
      <c r="HG160" s="62">
        <f>IF($B160=$B159,$HG159,0)+$HF160</f>
        <v/>
      </c>
      <c r="HH160" s="62">
        <f>$HH159+$HF160</f>
        <v/>
      </c>
      <c r="HI160" s="62">
        <f>SUMIFS(tblSafety[MTI],tblSafety[Date],$A160)</f>
        <v/>
      </c>
      <c r="HJ160" s="62">
        <f>IF($B160=$B159,$HJ159,0)+$HI160</f>
        <v/>
      </c>
      <c r="HK160" s="62">
        <f>$HK159+$HI160</f>
        <v/>
      </c>
      <c r="HL160" s="62">
        <f>SUMIFS(tblSafety[FAI],tblSafety[Date],$A160)</f>
        <v/>
      </c>
      <c r="HM160" s="62">
        <f>IF($B160=$B159,$HM159,0)+$HL160</f>
        <v/>
      </c>
      <c r="HN160" s="62">
        <f>$HN159+$HL160</f>
        <v/>
      </c>
      <c r="HO160" s="62">
        <f>SUMIFS(tblSafety[Recordables],tblSafety[Date],$A160)</f>
        <v/>
      </c>
      <c r="HP160" s="62">
        <f>IF($B160=$B159,$HP159,0)+$HO160</f>
        <v/>
      </c>
      <c r="HQ160" s="62">
        <f>$HQ159+$HO160</f>
        <v/>
      </c>
      <c r="HR160" s="62">
        <f>SUMIFS(tblSafety[Near_Miss],tblSafety[Date],$A160)</f>
        <v/>
      </c>
      <c r="HS160" s="62">
        <f>IF($B160=$B159,$HS159,0)+$HR160</f>
        <v/>
      </c>
      <c r="HT160" s="62">
        <f>$HT159+$HR160</f>
        <v/>
      </c>
      <c r="HU160" s="62">
        <f>SUMIFS(tblSafety[Hazard_Reports],tblSafety[Date],$A160)</f>
        <v/>
      </c>
      <c r="HV160" s="62">
        <f>IF($B160=$B159,$HV159,0)+$HU160</f>
        <v/>
      </c>
      <c r="HW160" s="62">
        <f>$HW159+$HU160</f>
        <v/>
      </c>
      <c r="HX160" s="62">
        <f>SUMIFS(tblSafety[HPI],tblSafety[Date],$A160)</f>
        <v/>
      </c>
      <c r="HY160" s="62">
        <f>IF($B160=$B159,$HY159,0)+$HX160</f>
        <v/>
      </c>
      <c r="HZ160" s="62">
        <f>$HZ159+$HX160</f>
        <v/>
      </c>
      <c r="IA160" s="62">
        <f>SUMIFS(tblSafety[Env_Incidents],tblSafety[Date],$A160)</f>
        <v/>
      </c>
      <c r="IB160" s="62">
        <f>IF($B160=$B159,$IB159,0)+$IA160</f>
        <v/>
      </c>
      <c r="IC160" s="62">
        <f>$IC159+$IA160</f>
        <v/>
      </c>
      <c r="ID160" s="62">
        <f>SUMIFS(tblSafety[Community_Incidents],tblSafety[Date],$A160)</f>
        <v/>
      </c>
      <c r="IE160" s="62">
        <f>IF($B160=$B159,$IE159,0)+$ID160</f>
        <v/>
      </c>
      <c r="IF160" s="62">
        <f>$IF159+$ID160</f>
        <v/>
      </c>
      <c r="IG160" s="62">
        <f>SUMIFS(tblSafety[Vehicle_Incidents],tblSafety[Date],$A160)</f>
        <v/>
      </c>
      <c r="IH160" s="62">
        <f>IF($B160=$B159,$IH159,0)+$IG160</f>
        <v/>
      </c>
      <c r="II160" s="62">
        <f>$II159+$IG160</f>
        <v/>
      </c>
      <c r="IJ160" s="62">
        <f>SUMIFS(tblSafety[Toolbox_Talks],tblSafety[Date],$A160)</f>
        <v/>
      </c>
      <c r="IK160" s="62">
        <f>IF($B160=$B159,$IK159,0)+$IJ160</f>
        <v/>
      </c>
      <c r="IL160" s="62">
        <f>$IL159+$IJ160</f>
        <v/>
      </c>
      <c r="IM160" s="62">
        <f>SUMIFS(tblSafety[Inspections],tblSafety[Date],$A160)</f>
        <v/>
      </c>
      <c r="IN160" s="62">
        <f>IF($B160=$B159,$IN159,0)+$IM160</f>
        <v/>
      </c>
      <c r="IO160" s="62">
        <f>$IO159+$IM160</f>
        <v/>
      </c>
      <c r="IP160" s="56">
        <f>IFERROR((SUMIFS(tblSafety[Recordables],tblSafety[Date],"&gt;="&amp;EDATE($E160,-12),tblSafety[Date],"&lt;="&amp;$A160)+SUMIFS(tblSafetyHistory[Recordables],tblSafetyHistory[Month],"&gt;="&amp;EDATE($E160,-12),tblSafetyHistory[Month],"&lt;"&amp;$E160,tblSafetyHistory[Use],1))/(SUMIFS(tblSafety[Hours_Total],tblSafety[Date],"&gt;="&amp;EDATE($E160,-12),tblSafety[Date],"&lt;="&amp;$A160)+SUMIFS(tblSafetyHistory[Hours_Total],tblSafetyHistory[Month],"&gt;="&amp;EDATE($E160,-12),tblSafetyHistory[Month],"&lt;"&amp;$E160,tblSafetyHistory[Use],1))*cfg_RateBasisHours,"")</f>
        <v/>
      </c>
      <c r="IQ160" s="56">
        <f>IFERROR((SUMIFS(tblSafety[LTI],tblSafety[Date],"&gt;="&amp;EDATE($E160,-12),tblSafety[Date],"&lt;="&amp;$A160)+SUMIFS(tblSafetyHistory[LTI],tblSafetyHistory[Month],"&gt;="&amp;EDATE($E160,-12),tblSafetyHistory[Month],"&lt;"&amp;$E160,tblSafetyHistory[Use],1))/(SUMIFS(tblSafety[Hours_Total],tblSafety[Date],"&gt;="&amp;EDATE($E160,-12),tblSafety[Date],"&lt;="&amp;$A160)+SUMIFS(tblSafetyHistory[Hours_Total],tblSafetyHistory[Month],"&gt;="&amp;EDATE($E160,-12),tblSafetyHistory[Month],"&lt;"&amp;$E160,tblSafetyHistory[Use],1))*cfg_RateBasisHours,"")</f>
        <v/>
      </c>
      <c r="IR160" s="62">
        <f>IF(MAX(N(cfg_PriorLTIDate),_xlfn.MAXIFS(tblSafety[Date],tblSafety[LTI],"&gt;0",tblSafety[Date],"&lt;="&amp;$A160))=0,"",$A160-MAX(N(cfg_PriorLTIDate),_xlfn.MAXIFS(tblSafety[Date],tblSafety[LTI],"&gt;0",tblSafety[Date],"&lt;="&amp;$A160)))</f>
        <v/>
      </c>
      <c r="IS160" s="55">
        <f>SUMIFS(tblBudget[Ore_Mined_t],tblBudget[Month],$E160)</f>
        <v/>
      </c>
      <c r="IT160" s="55">
        <f>$IS160*$C160/$D160</f>
        <v/>
      </c>
      <c r="IU160" s="55">
        <f>SUMIFS(tblBudget[Ore_Mined_t],tblBudget[Month],"&lt;"&amp;$E160)+$IT160</f>
        <v/>
      </c>
      <c r="IV160" s="55">
        <f>SUMIFS(tblBudget[Ore_oz],tblBudget[Month],$E160)</f>
        <v/>
      </c>
      <c r="IW160" s="55">
        <f>$IV160*$C160/$D160</f>
        <v/>
      </c>
      <c r="IX160" s="55">
        <f>SUMIFS(tblBudget[Ore_oz],tblBudget[Month],"&lt;"&amp;$E160)+$IW160</f>
        <v/>
      </c>
      <c r="IY160" s="55">
        <f>SUMIFS(tblBudget[Ore_Mined_t],tblBudget[Month],$E160)</f>
        <v/>
      </c>
      <c r="IZ160" s="55">
        <f>$IY160*$C160/$D160</f>
        <v/>
      </c>
      <c r="JA160" s="55">
        <f>SUMIFS(tblBudget[Ore_Mined_t],tblBudget[Month],"&lt;"&amp;$E160)+$IZ160</f>
        <v/>
      </c>
      <c r="JB160" s="56">
        <f>IFERROR(IF(($IY160)&gt;0,($IV160*cfg_TroyOz)/($IY160),""),"")</f>
        <v/>
      </c>
      <c r="JC160" s="56">
        <f>IFERROR(IF(($IZ160)&gt;0,($IW160*cfg_TroyOz)/($IZ160),""),"")</f>
        <v/>
      </c>
      <c r="JD160" s="56">
        <f>IFERROR(IF(($JA160)&gt;0,($IX160*cfg_TroyOz)/($JA160),""),"")</f>
        <v/>
      </c>
      <c r="JE160" s="55">
        <f>SUMIFS(tblBudget[Waste_t],tblBudget[Month],$E160)</f>
        <v/>
      </c>
      <c r="JF160" s="55">
        <f>$JE160*$C160/$D160</f>
        <v/>
      </c>
      <c r="JG160" s="55">
        <f>SUMIFS(tblBudget[Waste_t],tblBudget[Month],"&lt;"&amp;$E160)+$JF160</f>
        <v/>
      </c>
      <c r="JH160" s="55">
        <f>SUMIFS(tblBudget[TMM_t],tblBudget[Month],$E160)</f>
        <v/>
      </c>
      <c r="JI160" s="55">
        <f>$JH160*$C160/$D160</f>
        <v/>
      </c>
      <c r="JJ160" s="55">
        <f>SUMIFS(tblBudget[TMM_t],tblBudget[Month],"&lt;"&amp;$E160)+$JI160</f>
        <v/>
      </c>
      <c r="JK160" s="56">
        <f>IFERROR(IF(($IS160)&gt;0,($JE160)/($IS160),""),"")</f>
        <v/>
      </c>
      <c r="JL160" s="56">
        <f>IFERROR(IF(($IT160)&gt;0,($JF160)/($IT160),""),"")</f>
        <v/>
      </c>
      <c r="JM160" s="56">
        <f>IFERROR(IF(($IU160)&gt;0,($JG160)/($IU160),""),"")</f>
        <v/>
      </c>
      <c r="JN160" s="55">
        <f>SUMIFS(tblBudget[Drill_m],tblBudget[Month],$E160)</f>
        <v/>
      </c>
      <c r="JO160" s="55">
        <f>$JN160*$C160/$D160</f>
        <v/>
      </c>
      <c r="JP160" s="55">
        <f>SUMIFS(tblBudget[Drill_m],tblBudget[Month],"&lt;"&amp;$E160)+$JO160</f>
        <v/>
      </c>
      <c r="JQ160" s="55">
        <f>SUMIFS(tblBudget[Diesel_L],tblBudget[Month],$E160)</f>
        <v/>
      </c>
      <c r="JR160" s="55">
        <f>$JQ160*$C160/$D160</f>
        <v/>
      </c>
      <c r="JS160" s="55">
        <f>SUMIFS(tblBudget[Diesel_L],tblBudget[Month],"&lt;"&amp;$E160)+$JR160</f>
        <v/>
      </c>
      <c r="JT160" s="55">
        <f>SUMIFS(tblBudget[Milled_t],tblBudget[Month],$E160)</f>
        <v/>
      </c>
      <c r="JU160" s="55">
        <f>$JT160*$C160/$D160</f>
        <v/>
      </c>
      <c r="JV160" s="55">
        <f>SUMIFS(tblBudget[Milled_t],tblBudget[Month],"&lt;"&amp;$E160)+$JU160</f>
        <v/>
      </c>
      <c r="JW160" s="55">
        <f>SUMIFS(tblBudget[Feed_oz],tblBudget[Month],$E160)</f>
        <v/>
      </c>
      <c r="JX160" s="55">
        <f>$JW160*$C160/$D160</f>
        <v/>
      </c>
      <c r="JY160" s="55">
        <f>SUMIFS(tblBudget[Feed_oz],tblBudget[Month],"&lt;"&amp;$E160)+$JX160</f>
        <v/>
      </c>
      <c r="JZ160" s="55">
        <f>SUMIFS(tblBudget[Recovered_oz],tblBudget[Month],$E160)</f>
        <v/>
      </c>
      <c r="KA160" s="55">
        <f>$JZ160*$C160/$D160</f>
        <v/>
      </c>
      <c r="KB160" s="55">
        <f>SUMIFS(tblBudget[Recovered_oz],tblBudget[Month],"&lt;"&amp;$E160)+$KA160</f>
        <v/>
      </c>
      <c r="KC160" s="55">
        <f>SUMIFS(tblBudget[Milled_t],tblBudget[Month],$E160)</f>
        <v/>
      </c>
      <c r="KD160" s="55">
        <f>$KC160*$C160/$D160</f>
        <v/>
      </c>
      <c r="KE160" s="55">
        <f>SUMIFS(tblBudget[Milled_t],tblBudget[Month],"&lt;"&amp;$E160)+$KD160</f>
        <v/>
      </c>
      <c r="KF160" s="55">
        <f>SUMIFS(tblBudget[Feed_oz],tblBudget[Month],$E160)</f>
        <v/>
      </c>
      <c r="KG160" s="55">
        <f>$KF160*$C160/$D160</f>
        <v/>
      </c>
      <c r="KH160" s="55">
        <f>SUMIFS(tblBudget[Feed_oz],tblBudget[Month],"&lt;"&amp;$E160)+$KG160</f>
        <v/>
      </c>
      <c r="KI160" s="56">
        <f>IFERROR(IF(($KC160)&gt;0,($JW160*cfg_TroyOz)/($KC160),""),"")</f>
        <v/>
      </c>
      <c r="KJ160" s="56">
        <f>IFERROR(IF(($KD160)&gt;0,($JX160*cfg_TroyOz)/($KD160),""),"")</f>
        <v/>
      </c>
      <c r="KK160" s="56">
        <f>IFERROR(IF(($KE160)&gt;0,($JY160*cfg_TroyOz)/($KE160),""),"")</f>
        <v/>
      </c>
      <c r="KL160" s="67">
        <f>IFERROR(IF(($KF160)&gt;0,($JZ160)/($KF160),""),"")</f>
        <v/>
      </c>
      <c r="KM160" s="67">
        <f>IFERROR(IF(($KG160)&gt;0,($KA160)/($KG160),""),"")</f>
        <v/>
      </c>
      <c r="KN160" s="67">
        <f>IFERROR(IF(($KH160)&gt;0,($KB160)/($KH160),""),"")</f>
        <v/>
      </c>
      <c r="KO160" s="55">
        <f>SUMIFS(tblBudget[Gold_Poured_oz],tblBudget[Month],$E160)</f>
        <v/>
      </c>
      <c r="KP160" s="55">
        <f>$KO160*$C160/$D160</f>
        <v/>
      </c>
      <c r="KQ160" s="55">
        <f>SUMIFS(tblBudget[Gold_Poured_oz],tblBudget[Month],"&lt;"&amp;$E160)+$KP160</f>
        <v/>
      </c>
      <c r="KR160" s="57">
        <f>SUMIFS(tblBudget[Hours_Worked],tblBudget[Month],$E160)</f>
        <v/>
      </c>
      <c r="KS160" s="57">
        <f>$KR160*$C160/$D160</f>
        <v/>
      </c>
      <c r="KT160" s="57">
        <f>SUMIFS(tblBudget[Hours_Worked],tblBudget[Month],"&lt;"&amp;$E160)+$KS160</f>
        <v/>
      </c>
    </row>
    <row r="161">
      <c r="A161" s="54" t="n">
        <v>46182</v>
      </c>
      <c r="B161">
        <f>MONTH($A161)</f>
        <v/>
      </c>
      <c r="C161">
        <f>DAY($A161)</f>
        <v/>
      </c>
      <c r="D161">
        <f>DAY(EOMONTH($A161,0))</f>
        <v/>
      </c>
      <c r="E161" s="54">
        <f>DATE(YEAR($A161),MONTH($A161),1)</f>
        <v/>
      </c>
      <c r="F161" s="55">
        <f>SUMIFS(tblMovement[Tonnes_t],tblMovement[Date],$A161,tblMovement[Is_Ore],1,tblMovement[Source_Type],"Pit")</f>
        <v/>
      </c>
      <c r="G161" s="55">
        <f>IF($B161=$B160,$G160,0)+$F161</f>
        <v/>
      </c>
      <c r="H161" s="55">
        <f>$H160+$F161</f>
        <v/>
      </c>
      <c r="I161" s="55">
        <f>SUMIFS(tblMovement[Ore_oz],tblMovement[Date],$A161,tblMovement[Source_Type],"Pit")</f>
        <v/>
      </c>
      <c r="J161" s="55">
        <f>IF($B161=$B160,$J160,0)+$I161</f>
        <v/>
      </c>
      <c r="K161" s="55">
        <f>$K160+$I161</f>
        <v/>
      </c>
      <c r="L161" s="55">
        <f>SUMIFS(tblMovement[Tonnes_t],tblMovement[Date],$A161,tblMovement[Is_Ore],1,tblMovement[Source_Type],"Pit",tblMovement[Grade_gpt],"&lt;&gt;")</f>
        <v/>
      </c>
      <c r="M161" s="55">
        <f>IF($B161=$B160,$M160,0)+$L161</f>
        <v/>
      </c>
      <c r="N161" s="55">
        <f>$N160+$L161</f>
        <v/>
      </c>
      <c r="O161" s="56">
        <f>IFERROR(IF(($L161)&gt;0,($I161*cfg_TroyOz)/($L161),""),"")</f>
        <v/>
      </c>
      <c r="P161" s="56">
        <f>IFERROR(IF(($M161)&gt;0,($J161*cfg_TroyOz)/($M161),""),"")</f>
        <v/>
      </c>
      <c r="Q161" s="56">
        <f>IFERROR(IF(($N161)&gt;0,($K161*cfg_TroyOz)/($N161),""),"")</f>
        <v/>
      </c>
      <c r="R161" s="55">
        <f>$F161-$L161</f>
        <v/>
      </c>
      <c r="S161" s="55">
        <f>IF($B161=$B160,$S160,0)+$R161</f>
        <v/>
      </c>
      <c r="T161" s="55">
        <f>$T160+$R161</f>
        <v/>
      </c>
      <c r="U161" s="55">
        <f>SUMIFS(tblMovement[Tonnes_t],tblMovement[Date],$A161,tblMovement[Is_Ore],0,tblMovement[Source_Type],"Pit")</f>
        <v/>
      </c>
      <c r="V161" s="55">
        <f>IF($B161=$B160,$V160,0)+$U161</f>
        <v/>
      </c>
      <c r="W161" s="55">
        <f>$W160+$U161</f>
        <v/>
      </c>
      <c r="X161" s="55">
        <f>$F161+$U161</f>
        <v/>
      </c>
      <c r="Y161" s="55">
        <f>IF($B161=$B160,$Y160,0)+$X161</f>
        <v/>
      </c>
      <c r="Z161" s="55">
        <f>$Z160+$X161</f>
        <v/>
      </c>
      <c r="AA161" s="56">
        <f>IFERROR(IF(($F161)&gt;0,($U161)/($F161),""),"")</f>
        <v/>
      </c>
      <c r="AB161" s="56">
        <f>IFERROR(IF(($G161)&gt;0,($V161)/($G161),""),"")</f>
        <v/>
      </c>
      <c r="AC161" s="56">
        <f>IFERROR(IF(($H161)&gt;0,($W161)/($H161),""),"")</f>
        <v/>
      </c>
      <c r="AD161" s="55">
        <f>SUMIFS(tblMovement[Tonnes_t],tblMovement[Date],$A161,tblMovement[Source_Type],"Stockpile")</f>
        <v/>
      </c>
      <c r="AE161" s="55">
        <f>IF($B161=$B160,$AE160,0)+$AD161</f>
        <v/>
      </c>
      <c r="AF161" s="55">
        <f>$AF160+$AD161</f>
        <v/>
      </c>
      <c r="AG161" s="55">
        <f>SUMIFS(tblMovement[Tonnes_t],tblMovement[Date],$A161)</f>
        <v/>
      </c>
      <c r="AH161" s="55">
        <f>IF($B161=$B160,$AH160,0)+$AG161</f>
        <v/>
      </c>
      <c r="AI161" s="55">
        <f>$AI160+$AG161</f>
        <v/>
      </c>
      <c r="AJ161" s="55">
        <f>$AG161-$X161-$AD161</f>
        <v/>
      </c>
      <c r="AK161" s="55">
        <f>IF($B161=$B160,$AK160,0)+$AJ161</f>
        <v/>
      </c>
      <c r="AL161" s="55">
        <f>$AL160+$AJ161</f>
        <v/>
      </c>
      <c r="AM161" s="55">
        <f>SUMIFS(tblMiningDaily[Drill_m],tblMiningDaily[Date],$A161)</f>
        <v/>
      </c>
      <c r="AN161" s="55">
        <f>IF($B161=$B160,$AN160,0)+$AM161</f>
        <v/>
      </c>
      <c r="AO161" s="55">
        <f>$AO160+$AM161</f>
        <v/>
      </c>
      <c r="AP161" s="55">
        <f>SUMIFS(tblMiningDaily[GC_Drill_m],tblMiningDaily[Date],$A161)</f>
        <v/>
      </c>
      <c r="AQ161" s="55">
        <f>IF($B161=$B160,$AQ160,0)+$AP161</f>
        <v/>
      </c>
      <c r="AR161" s="55">
        <f>$AR160+$AP161</f>
        <v/>
      </c>
      <c r="AS161" s="55">
        <f>SUMIFS(tblMiningDaily[Blast_t],tblMiningDaily[Date],$A161)</f>
        <v/>
      </c>
      <c r="AT161" s="55">
        <f>IF($B161=$B160,$AT160,0)+$AS161</f>
        <v/>
      </c>
      <c r="AU161" s="55">
        <f>$AU160+$AS161</f>
        <v/>
      </c>
      <c r="AV161" s="55">
        <f>SUMIFS(tblMiningDaily[Explosives_kg],tblMiningDaily[Date],$A161)</f>
        <v/>
      </c>
      <c r="AW161" s="55">
        <f>IF($B161=$B160,$AW160,0)+$AV161</f>
        <v/>
      </c>
      <c r="AX161" s="55">
        <f>$AX160+$AV161</f>
        <v/>
      </c>
      <c r="AY161" s="56">
        <f>IFERROR(IF(($AS161)&gt;0,($AV161)/($AS161),""),"")</f>
        <v/>
      </c>
      <c r="AZ161" s="56">
        <f>IFERROR(IF(($AT161)&gt;0,($AW161)/($AT161),""),"")</f>
        <v/>
      </c>
      <c r="BA161" s="56">
        <f>IFERROR(IF(($AU161)&gt;0,($AX161)/($AU161),""),"")</f>
        <v/>
      </c>
      <c r="BB161" s="55">
        <f>SUMIFS(tblMiningDaily[Diesel_L],tblMiningDaily[Date],$A161)</f>
        <v/>
      </c>
      <c r="BC161" s="55">
        <f>IF($B161=$B160,$BC160,0)+$BB161</f>
        <v/>
      </c>
      <c r="BD161" s="55">
        <f>$BD160+$BB161</f>
        <v/>
      </c>
      <c r="BE161" s="55">
        <f>SUMIFS(tblMiningDaily[Dewatering_m3],tblMiningDaily[Date],$A161)</f>
        <v/>
      </c>
      <c r="BF161" s="55">
        <f>IF($B161=$B160,$BF160,0)+$BE161</f>
        <v/>
      </c>
      <c r="BG161" s="55">
        <f>$BG160+$BE161</f>
        <v/>
      </c>
      <c r="BH161" s="57">
        <f>SUMIFS(tblFleet[Calendar_h],tblFleet[Date],$A161,tblFleet[Equipment_Class],"Excavator")</f>
        <v/>
      </c>
      <c r="BI161" s="57">
        <f>IF($B161=$B160,$BI160,0)+$BH161</f>
        <v/>
      </c>
      <c r="BJ161" s="57">
        <f>$BJ160+$BH161</f>
        <v/>
      </c>
      <c r="BK161" s="57">
        <f>SUMIFS(tblFleet[Available_h],tblFleet[Date],$A161,tblFleet[Equipment_Class],"Excavator")</f>
        <v/>
      </c>
      <c r="BL161" s="57">
        <f>IF($B161=$B160,$BL160,0)+$BK161</f>
        <v/>
      </c>
      <c r="BM161" s="57">
        <f>$BM160+$BK161</f>
        <v/>
      </c>
      <c r="BN161" s="57">
        <f>SUMIFS(tblFleet[Operating_h],tblFleet[Date],$A161,tblFleet[Equipment_Class],"Excavator")</f>
        <v/>
      </c>
      <c r="BO161" s="57">
        <f>IF($B161=$B160,$BO160,0)+$BN161</f>
        <v/>
      </c>
      <c r="BP161" s="57">
        <f>$BP160+$BN161</f>
        <v/>
      </c>
      <c r="BQ161" s="67">
        <f>IFERROR(IF(($BH161)&gt;0,($BK161)/($BH161),""),"")</f>
        <v/>
      </c>
      <c r="BR161" s="67">
        <f>IFERROR(IF(($BI161)&gt;0,($BL161)/($BI161),""),"")</f>
        <v/>
      </c>
      <c r="BS161" s="67">
        <f>IFERROR(IF(($BJ161)&gt;0,($BM161)/($BJ161),""),"")</f>
        <v/>
      </c>
      <c r="BT161" s="67">
        <f>IFERROR(IF(($BK161)&gt;0,($BN161)/($BK161),""),"")</f>
        <v/>
      </c>
      <c r="BU161" s="67">
        <f>IFERROR(IF(($BL161)&gt;0,($BO161)/($BL161),""),"")</f>
        <v/>
      </c>
      <c r="BV161" s="67">
        <f>IFERROR(IF(($BM161)&gt;0,($BP161)/($BM161),""),"")</f>
        <v/>
      </c>
      <c r="BW161" s="57">
        <f>SUMIFS(tblFleet[Calendar_h],tblFleet[Date],$A161,tblFleet[Equipment_Class],"Haul Truck")</f>
        <v/>
      </c>
      <c r="BX161" s="57">
        <f>IF($B161=$B160,$BX160,0)+$BW161</f>
        <v/>
      </c>
      <c r="BY161" s="57">
        <f>$BY160+$BW161</f>
        <v/>
      </c>
      <c r="BZ161" s="57">
        <f>SUMIFS(tblFleet[Available_h],tblFleet[Date],$A161,tblFleet[Equipment_Class],"Haul Truck")</f>
        <v/>
      </c>
      <c r="CA161" s="57">
        <f>IF($B161=$B160,$CA160,0)+$BZ161</f>
        <v/>
      </c>
      <c r="CB161" s="57">
        <f>$CB160+$BZ161</f>
        <v/>
      </c>
      <c r="CC161" s="57">
        <f>SUMIFS(tblFleet[Operating_h],tblFleet[Date],$A161,tblFleet[Equipment_Class],"Haul Truck")</f>
        <v/>
      </c>
      <c r="CD161" s="57">
        <f>IF($B161=$B160,$CD160,0)+$CC161</f>
        <v/>
      </c>
      <c r="CE161" s="57">
        <f>$CE160+$CC161</f>
        <v/>
      </c>
      <c r="CF161" s="67">
        <f>IFERROR(IF(($BW161)&gt;0,($BZ161)/($BW161),""),"")</f>
        <v/>
      </c>
      <c r="CG161" s="67">
        <f>IFERROR(IF(($BX161)&gt;0,($CA161)/($BX161),""),"")</f>
        <v/>
      </c>
      <c r="CH161" s="67">
        <f>IFERROR(IF(($BY161)&gt;0,($CB161)/($BY161),""),"")</f>
        <v/>
      </c>
      <c r="CI161" s="67">
        <f>IFERROR(IF(($BZ161)&gt;0,($CC161)/($BZ161),""),"")</f>
        <v/>
      </c>
      <c r="CJ161" s="67">
        <f>IFERROR(IF(($CA161)&gt;0,($CD161)/($CA161),""),"")</f>
        <v/>
      </c>
      <c r="CK161" s="67">
        <f>IFERROR(IF(($CB161)&gt;0,($CE161)/($CB161),""),"")</f>
        <v/>
      </c>
      <c r="CL161" s="55">
        <f>IFERROR(IF(($BN161)&gt;0,($X161+$AD161)/($BN161),""),"")</f>
        <v/>
      </c>
      <c r="CM161" s="55">
        <f>IFERROR(IF(($BO161)&gt;0,($Y161+$AE161)/($BO161),""),"")</f>
        <v/>
      </c>
      <c r="CN161" s="55">
        <f>IFERROR(IF(($BP161)&gt;0,($Z161+$AF161)/($BP161),""),"")</f>
        <v/>
      </c>
      <c r="CO161" s="55">
        <f>IFERROR(IF(($CC161)&gt;0,($X161+$AD161)/($CC161),""),"")</f>
        <v/>
      </c>
      <c r="CP161" s="55">
        <f>IFERROR(IF(($CD161)&gt;0,($Y161+$AE161)/($CD161),""),"")</f>
        <v/>
      </c>
      <c r="CQ161" s="55">
        <f>IFERROR(IF(($CE161)&gt;0,($Z161+$AF161)/($CE161),""),"")</f>
        <v/>
      </c>
      <c r="CR161" s="55">
        <f>SUMIFS(tblPlant[Crushed_t],tblPlant[Date],$A161)</f>
        <v/>
      </c>
      <c r="CS161" s="55">
        <f>IF($B161=$B160,$CS160,0)+$CR161</f>
        <v/>
      </c>
      <c r="CT161" s="55">
        <f>$CT160+$CR161</f>
        <v/>
      </c>
      <c r="CU161" s="55">
        <f>SUMIFS(tblPlant[Milled_t],tblPlant[Date],$A161)</f>
        <v/>
      </c>
      <c r="CV161" s="55">
        <f>IF($B161=$B160,$CV160,0)+$CU161</f>
        <v/>
      </c>
      <c r="CW161" s="55">
        <f>$CW160+$CU161</f>
        <v/>
      </c>
      <c r="CX161" s="55">
        <f>SUMIFS(tblPlant[Feed_oz],tblPlant[Date],$A161)</f>
        <v/>
      </c>
      <c r="CY161" s="55">
        <f>IF($B161=$B160,$CY160,0)+$CX161</f>
        <v/>
      </c>
      <c r="CZ161" s="55">
        <f>$CZ160+$CX161</f>
        <v/>
      </c>
      <c r="DA161" s="55">
        <f>SUMIFS(tblPlant[Tails_oz],tblPlant[Date],$A161)</f>
        <v/>
      </c>
      <c r="DB161" s="55">
        <f>IF($B161=$B160,$DB160,0)+$DA161</f>
        <v/>
      </c>
      <c r="DC161" s="55">
        <f>$DC160+$DA161</f>
        <v/>
      </c>
      <c r="DD161" s="55">
        <f>SUMIFS(tblPlant[Recovered_oz],tblPlant[Date],$A161)</f>
        <v/>
      </c>
      <c r="DE161" s="55">
        <f>IF($B161=$B160,$DE160,0)+$DD161</f>
        <v/>
      </c>
      <c r="DF161" s="55">
        <f>$DF160+$DD161</f>
        <v/>
      </c>
      <c r="DG161" s="55">
        <f>SUMIFS(tblPlant[Milled_t],tblPlant[Date],$A161,tblPlant[Head_Grade_gpt],"&lt;&gt;")</f>
        <v/>
      </c>
      <c r="DH161" s="55">
        <f>IF($B161=$B160,$DH160,0)+$DG161</f>
        <v/>
      </c>
      <c r="DI161" s="55">
        <f>$DI160+$DG161</f>
        <v/>
      </c>
      <c r="DJ161" s="55">
        <f>SUMIFS(tblPlant[Milled_t],tblPlant[Date],$A161,tblPlant[Tails_Grade_gpt],"&lt;&gt;")</f>
        <v/>
      </c>
      <c r="DK161" s="55">
        <f>IF($B161=$B160,$DK160,0)+$DJ161</f>
        <v/>
      </c>
      <c r="DL161" s="55">
        <f>$DL160+$DJ161</f>
        <v/>
      </c>
      <c r="DM161" s="55">
        <f>SUMIFS(tblPlant[Feed_oz],tblPlant[Date],$A161,tblPlant[Tails_Grade_gpt],"&lt;&gt;")</f>
        <v/>
      </c>
      <c r="DN161" s="55">
        <f>IF($B161=$B160,$DN160,0)+$DM161</f>
        <v/>
      </c>
      <c r="DO161" s="55">
        <f>$DO160+$DM161</f>
        <v/>
      </c>
      <c r="DP161" s="55">
        <f>SUMIFS(tblPlant[Milled_t],tblPlant[Date],$A161,tblPlant[Mill_Run_h],"&lt;&gt;")</f>
        <v/>
      </c>
      <c r="DQ161" s="55">
        <f>IF($B161=$B160,$DQ160,0)+$DP161</f>
        <v/>
      </c>
      <c r="DR161" s="55">
        <f>$DR160+$DP161</f>
        <v/>
      </c>
      <c r="DS161" s="56">
        <f>IFERROR(IF(($DG161)&gt;0,($CX161*cfg_TroyOz)/($DG161),""),"")</f>
        <v/>
      </c>
      <c r="DT161" s="56">
        <f>IFERROR(IF(($DH161)&gt;0,($CY161*cfg_TroyOz)/($DH161),""),"")</f>
        <v/>
      </c>
      <c r="DU161" s="56">
        <f>IFERROR(IF(($DI161)&gt;0,($CZ161*cfg_TroyOz)/($DI161),""),"")</f>
        <v/>
      </c>
      <c r="DV161" s="56">
        <f>IFERROR(IF(($DJ161)&gt;0,($DA161*cfg_TroyOz)/($DJ161),""),"")</f>
        <v/>
      </c>
      <c r="DW161" s="56">
        <f>IFERROR(IF(($DK161)&gt;0,($DB161*cfg_TroyOz)/($DK161),""),"")</f>
        <v/>
      </c>
      <c r="DX161" s="56">
        <f>IFERROR(IF(($DL161)&gt;0,($DC161*cfg_TroyOz)/($DL161),""),"")</f>
        <v/>
      </c>
      <c r="DY161" s="67">
        <f>IFERROR(IF(($DM161)&gt;0,($DD161)/($DM161),""),"")</f>
        <v/>
      </c>
      <c r="DZ161" s="67">
        <f>IFERROR(IF(($DN161)&gt;0,($DE161)/($DN161),""),"")</f>
        <v/>
      </c>
      <c r="EA161" s="67">
        <f>IFERROR(IF(($DO161)&gt;0,($DF161)/($DO161),""),"")</f>
        <v/>
      </c>
      <c r="EB161" s="55">
        <f>SUMIFS(tblPlant[Gravity_Gold_oz],tblPlant[Date],$A161)</f>
        <v/>
      </c>
      <c r="EC161" s="55">
        <f>IF($B161=$B160,$EC160,0)+$EB161</f>
        <v/>
      </c>
      <c r="ED161" s="55">
        <f>$ED160+$EB161</f>
        <v/>
      </c>
      <c r="EE161" s="67">
        <f>IFERROR(IF(($DD161)&gt;0,($EB161)/($DD161),""),"")</f>
        <v/>
      </c>
      <c r="EF161" s="67">
        <f>IFERROR(IF(($DE161)&gt;0,($EC161)/($DE161),""),"")</f>
        <v/>
      </c>
      <c r="EG161" s="67">
        <f>IFERROR(IF(($DF161)&gt;0,($ED161)/($DF161),""),"")</f>
        <v/>
      </c>
      <c r="EH161" s="55">
        <f>SUMIFS(tblPlant[Gold_Poured_oz],tblPlant[Date],$A161)</f>
        <v/>
      </c>
      <c r="EI161" s="55">
        <f>IF($B161=$B160,$EI160,0)+$EH161</f>
        <v/>
      </c>
      <c r="EJ161" s="55">
        <f>$EJ160+$EH161</f>
        <v/>
      </c>
      <c r="EK161" s="57">
        <f>SUMIFS(tblPlant[Mill_Run_h],tblPlant[Date],$A161)</f>
        <v/>
      </c>
      <c r="EL161" s="57">
        <f>IF($B161=$B160,$EL160,0)+$EK161</f>
        <v/>
      </c>
      <c r="EM161" s="57">
        <f>$EM160+$EK161</f>
        <v/>
      </c>
      <c r="EN161" s="57">
        <f>SUMIFS(tblPlant[Mill_Planned_Maint_h],tblPlant[Date],$A161)</f>
        <v/>
      </c>
      <c r="EO161" s="57">
        <f>IF($B161=$B160,$EO160,0)+$EN161</f>
        <v/>
      </c>
      <c r="EP161" s="57">
        <f>$EP160+$EN161</f>
        <v/>
      </c>
      <c r="EQ161" s="57">
        <f>SUMIFS(tblPlant[Mill_Unplanned_Down_h],tblPlant[Date],$A161)</f>
        <v/>
      </c>
      <c r="ER161" s="57">
        <f>IF($B161=$B160,$ER160,0)+$EQ161</f>
        <v/>
      </c>
      <c r="ES161" s="57">
        <f>$ES160+$EQ161</f>
        <v/>
      </c>
      <c r="ET161" s="57">
        <f>IF(COUNTIFS(tblPlant[Date],$A161,tblPlant[Mill_Run_h],"&lt;&gt;")+COUNTIFS(tblPlant[Date],$A161,tblPlant[Mill_Planned_Maint_h],"&lt;&gt;")+COUNTIFS(tblPlant[Date],$A161,tblPlant[Mill_Unplanned_Down_h],"&lt;&gt;")&gt;0,cfg_HoursPerDay,0)</f>
        <v/>
      </c>
      <c r="EU161" s="57">
        <f>IF($B161=$B160,$EU160,0)+$ET161</f>
        <v/>
      </c>
      <c r="EV161" s="57">
        <f>$EV160+$ET161</f>
        <v/>
      </c>
      <c r="EW161" s="57">
        <f>SUMIFS(tblPlant[Crusher_Run_h],tblPlant[Date],$A161)</f>
        <v/>
      </c>
      <c r="EX161" s="57">
        <f>IF($B161=$B160,$EX160,0)+$EW161</f>
        <v/>
      </c>
      <c r="EY161" s="57">
        <f>$EY160+$EW161</f>
        <v/>
      </c>
      <c r="EZ161" s="55">
        <f>IFERROR(IF(($EK161)&gt;0,($DP161)/($EK161),""),"")</f>
        <v/>
      </c>
      <c r="FA161" s="55">
        <f>IFERROR(IF(($EL161)&gt;0,($DQ161)/($EL161),""),"")</f>
        <v/>
      </c>
      <c r="FB161" s="55">
        <f>IFERROR(IF(($EM161)&gt;0,($DR161)/($EM161),""),"")</f>
        <v/>
      </c>
      <c r="FC161" s="67">
        <f>IFERROR(IF(($ET161)&gt;0,($ET161-$EN161-$EQ161)/($ET161),""),"")</f>
        <v/>
      </c>
      <c r="FD161" s="67">
        <f>IFERROR(IF(($EU161)&gt;0,($EU161-$EO161-$ER161)/($EU161),""),"")</f>
        <v/>
      </c>
      <c r="FE161" s="67">
        <f>IFERROR(IF(($EV161)&gt;0,($EV161-$EP161-$ES161)/($EV161),""),"")</f>
        <v/>
      </c>
      <c r="FF161" s="67">
        <f>IFERROR(IF(($ET161-$EN161-$EQ161)&gt;0,($EK161)/($ET161-$EN161-$EQ161),""),"")</f>
        <v/>
      </c>
      <c r="FG161" s="67">
        <f>IFERROR(IF(($EU161-$EO161-$ER161)&gt;0,($EL161)/($EU161-$EO161-$ER161),""),"")</f>
        <v/>
      </c>
      <c r="FH161" s="67">
        <f>IFERROR(IF(($EV161-$EP161-$ES161)&gt;0,($EM161)/($EV161-$EP161-$ES161),""),"")</f>
        <v/>
      </c>
      <c r="FI161" s="55">
        <f>SUMIFS(tblPlant[Cyanide_kg],tblPlant[Date],$A161)</f>
        <v/>
      </c>
      <c r="FJ161" s="55">
        <f>IF($B161=$B160,$FJ160,0)+$FI161</f>
        <v/>
      </c>
      <c r="FK161" s="55">
        <f>$FK160+$FI161</f>
        <v/>
      </c>
      <c r="FL161" s="55">
        <f>SUMIFS(tblPlant[Lime_kg],tblPlant[Date],$A161)</f>
        <v/>
      </c>
      <c r="FM161" s="55">
        <f>IF($B161=$B160,$FM160,0)+$FL161</f>
        <v/>
      </c>
      <c r="FN161" s="55">
        <f>$FN160+$FL161</f>
        <v/>
      </c>
      <c r="FO161" s="55">
        <f>SUMIFS(tblPlant[Grinding_Media_kg],tblPlant[Date],$A161)</f>
        <v/>
      </c>
      <c r="FP161" s="55">
        <f>IF($B161=$B160,$FP160,0)+$FO161</f>
        <v/>
      </c>
      <c r="FQ161" s="55">
        <f>$FQ160+$FO161</f>
        <v/>
      </c>
      <c r="FR161" s="55">
        <f>SUMIFS(tblPlant[Power_kWh],tblPlant[Date],$A161)</f>
        <v/>
      </c>
      <c r="FS161" s="55">
        <f>IF($B161=$B160,$FS160,0)+$FR161</f>
        <v/>
      </c>
      <c r="FT161" s="55">
        <f>$FT160+$FR161</f>
        <v/>
      </c>
      <c r="FU161" s="55">
        <f>SUMIFS(tblPlant[Raw_Water_m3],tblPlant[Date],$A161)</f>
        <v/>
      </c>
      <c r="FV161" s="55">
        <f>IF($B161=$B160,$FV160,0)+$FU161</f>
        <v/>
      </c>
      <c r="FW161" s="55">
        <f>$FW160+$FU161</f>
        <v/>
      </c>
      <c r="FX161" s="56">
        <f>IFERROR(IF(($CU161)&gt;0,($FI161)/($CU161),""),"")</f>
        <v/>
      </c>
      <c r="FY161" s="56">
        <f>IFERROR(IF(($CV161)&gt;0,($FJ161)/($CV161),""),"")</f>
        <v/>
      </c>
      <c r="FZ161" s="56">
        <f>IFERROR(IF(($CW161)&gt;0,($FK161)/($CW161),""),"")</f>
        <v/>
      </c>
      <c r="GA161" s="56">
        <f>IFERROR(IF(($CU161)&gt;0,($FL161)/($CU161),""),"")</f>
        <v/>
      </c>
      <c r="GB161" s="56">
        <f>IFERROR(IF(($CV161)&gt;0,($FM161)/($CV161),""),"")</f>
        <v/>
      </c>
      <c r="GC161" s="56">
        <f>IFERROR(IF(($CW161)&gt;0,($FN161)/($CW161),""),"")</f>
        <v/>
      </c>
      <c r="GD161" s="56">
        <f>IFERROR(IF(($CU161)&gt;0,($FO161)/($CU161),""),"")</f>
        <v/>
      </c>
      <c r="GE161" s="56">
        <f>IFERROR(IF(($CV161)&gt;0,($FP161)/($CV161),""),"")</f>
        <v/>
      </c>
      <c r="GF161" s="56">
        <f>IFERROR(IF(($CW161)&gt;0,($FQ161)/($CW161),""),"")</f>
        <v/>
      </c>
      <c r="GG161" s="79">
        <f>IFERROR(IF(($CU161)&gt;0,($FR161)/($CU161),""),"")</f>
        <v/>
      </c>
      <c r="GH161" s="79">
        <f>IFERROR(IF(($CV161)&gt;0,($FS161)/($CV161),""),"")</f>
        <v/>
      </c>
      <c r="GI161" s="79">
        <f>IFERROR(IF(($CW161)&gt;0,($FT161)/($CW161),""),"")</f>
        <v/>
      </c>
      <c r="GJ161" s="56">
        <f>IFERROR(IF(($CU161)&gt;0,($FU161)/($CU161),""),"")</f>
        <v/>
      </c>
      <c r="GK161" s="56">
        <f>IFERROR(IF(($CV161)&gt;0,($FV161)/($CV161),""),"")</f>
        <v/>
      </c>
      <c r="GL161" s="56">
        <f>IFERROR(IF(($CW161)&gt;0,($FW161)/($CW161),""),"")</f>
        <v/>
      </c>
      <c r="GM161" s="55">
        <f>IF(SUMIFS(tblPlant[GIC_oz],tblPlant[Date],$A161)&gt;0,SUMIFS(tblPlant[GIC_oz],tblPlant[Date],$A161),"")</f>
        <v/>
      </c>
      <c r="GN161" s="55">
        <f>SUMIFS(tblGold[Gold_oz],tblGold[Date],$A161,tblGold[Type],"Shipment")</f>
        <v/>
      </c>
      <c r="GO161" s="55">
        <f>IF($B161=$B160,$GO160,0)+$GN161</f>
        <v/>
      </c>
      <c r="GP161" s="55">
        <f>$GP160+$GN161</f>
        <v/>
      </c>
      <c r="GQ161" s="55">
        <f>SUMIFS(tblGold[Gold_oz],tblGold[Date],$A161,tblGold[Type],"Sale")</f>
        <v/>
      </c>
      <c r="GR161" s="55">
        <f>IF($B161=$B160,$GR160,0)+$GQ161</f>
        <v/>
      </c>
      <c r="GS161" s="55">
        <f>$GS160+$GQ161</f>
        <v/>
      </c>
      <c r="GT161" s="55">
        <f>SUMIFS(tblGold[Dore_kg],tblGold[Date],$A161,tblGold[Type],"Shipment")</f>
        <v/>
      </c>
      <c r="GU161" s="55">
        <f>IF($B161=$B160,$GU160,0)+$GT161</f>
        <v/>
      </c>
      <c r="GV161" s="55">
        <f>$GV160+$GT161</f>
        <v/>
      </c>
      <c r="GW161" s="57">
        <f>SUMIFS(tblSafety[Hours_Total],tblSafety[Date],$A161)</f>
        <v/>
      </c>
      <c r="GX161" s="57">
        <f>IF($B161=$B160,$GX160,0)+$GW161</f>
        <v/>
      </c>
      <c r="GY161" s="57">
        <f>$GY160+$GW161</f>
        <v/>
      </c>
      <c r="GZ161" s="62">
        <f>SUMIFS(tblSafety[Fatality],tblSafety[Date],$A161)</f>
        <v/>
      </c>
      <c r="HA161" s="62">
        <f>IF($B161=$B160,$HA160,0)+$GZ161</f>
        <v/>
      </c>
      <c r="HB161" s="62">
        <f>$HB160+$GZ161</f>
        <v/>
      </c>
      <c r="HC161" s="62">
        <f>SUMIFS(tblSafety[LTI],tblSafety[Date],$A161)</f>
        <v/>
      </c>
      <c r="HD161" s="62">
        <f>IF($B161=$B160,$HD160,0)+$HC161</f>
        <v/>
      </c>
      <c r="HE161" s="62">
        <f>$HE160+$HC161</f>
        <v/>
      </c>
      <c r="HF161" s="62">
        <f>SUMIFS(tblSafety[RWI],tblSafety[Date],$A161)</f>
        <v/>
      </c>
      <c r="HG161" s="62">
        <f>IF($B161=$B160,$HG160,0)+$HF161</f>
        <v/>
      </c>
      <c r="HH161" s="62">
        <f>$HH160+$HF161</f>
        <v/>
      </c>
      <c r="HI161" s="62">
        <f>SUMIFS(tblSafety[MTI],tblSafety[Date],$A161)</f>
        <v/>
      </c>
      <c r="HJ161" s="62">
        <f>IF($B161=$B160,$HJ160,0)+$HI161</f>
        <v/>
      </c>
      <c r="HK161" s="62">
        <f>$HK160+$HI161</f>
        <v/>
      </c>
      <c r="HL161" s="62">
        <f>SUMIFS(tblSafety[FAI],tblSafety[Date],$A161)</f>
        <v/>
      </c>
      <c r="HM161" s="62">
        <f>IF($B161=$B160,$HM160,0)+$HL161</f>
        <v/>
      </c>
      <c r="HN161" s="62">
        <f>$HN160+$HL161</f>
        <v/>
      </c>
      <c r="HO161" s="62">
        <f>SUMIFS(tblSafety[Recordables],tblSafety[Date],$A161)</f>
        <v/>
      </c>
      <c r="HP161" s="62">
        <f>IF($B161=$B160,$HP160,0)+$HO161</f>
        <v/>
      </c>
      <c r="HQ161" s="62">
        <f>$HQ160+$HO161</f>
        <v/>
      </c>
      <c r="HR161" s="62">
        <f>SUMIFS(tblSafety[Near_Miss],tblSafety[Date],$A161)</f>
        <v/>
      </c>
      <c r="HS161" s="62">
        <f>IF($B161=$B160,$HS160,0)+$HR161</f>
        <v/>
      </c>
      <c r="HT161" s="62">
        <f>$HT160+$HR161</f>
        <v/>
      </c>
      <c r="HU161" s="62">
        <f>SUMIFS(tblSafety[Hazard_Reports],tblSafety[Date],$A161)</f>
        <v/>
      </c>
      <c r="HV161" s="62">
        <f>IF($B161=$B160,$HV160,0)+$HU161</f>
        <v/>
      </c>
      <c r="HW161" s="62">
        <f>$HW160+$HU161</f>
        <v/>
      </c>
      <c r="HX161" s="62">
        <f>SUMIFS(tblSafety[HPI],tblSafety[Date],$A161)</f>
        <v/>
      </c>
      <c r="HY161" s="62">
        <f>IF($B161=$B160,$HY160,0)+$HX161</f>
        <v/>
      </c>
      <c r="HZ161" s="62">
        <f>$HZ160+$HX161</f>
        <v/>
      </c>
      <c r="IA161" s="62">
        <f>SUMIFS(tblSafety[Env_Incidents],tblSafety[Date],$A161)</f>
        <v/>
      </c>
      <c r="IB161" s="62">
        <f>IF($B161=$B160,$IB160,0)+$IA161</f>
        <v/>
      </c>
      <c r="IC161" s="62">
        <f>$IC160+$IA161</f>
        <v/>
      </c>
      <c r="ID161" s="62">
        <f>SUMIFS(tblSafety[Community_Incidents],tblSafety[Date],$A161)</f>
        <v/>
      </c>
      <c r="IE161" s="62">
        <f>IF($B161=$B160,$IE160,0)+$ID161</f>
        <v/>
      </c>
      <c r="IF161" s="62">
        <f>$IF160+$ID161</f>
        <v/>
      </c>
      <c r="IG161" s="62">
        <f>SUMIFS(tblSafety[Vehicle_Incidents],tblSafety[Date],$A161)</f>
        <v/>
      </c>
      <c r="IH161" s="62">
        <f>IF($B161=$B160,$IH160,0)+$IG161</f>
        <v/>
      </c>
      <c r="II161" s="62">
        <f>$II160+$IG161</f>
        <v/>
      </c>
      <c r="IJ161" s="62">
        <f>SUMIFS(tblSafety[Toolbox_Talks],tblSafety[Date],$A161)</f>
        <v/>
      </c>
      <c r="IK161" s="62">
        <f>IF($B161=$B160,$IK160,0)+$IJ161</f>
        <v/>
      </c>
      <c r="IL161" s="62">
        <f>$IL160+$IJ161</f>
        <v/>
      </c>
      <c r="IM161" s="62">
        <f>SUMIFS(tblSafety[Inspections],tblSafety[Date],$A161)</f>
        <v/>
      </c>
      <c r="IN161" s="62">
        <f>IF($B161=$B160,$IN160,0)+$IM161</f>
        <v/>
      </c>
      <c r="IO161" s="62">
        <f>$IO160+$IM161</f>
        <v/>
      </c>
      <c r="IP161" s="56">
        <f>IFERROR((SUMIFS(tblSafety[Recordables],tblSafety[Date],"&gt;="&amp;EDATE($E161,-12),tblSafety[Date],"&lt;="&amp;$A161)+SUMIFS(tblSafetyHistory[Recordables],tblSafetyHistory[Month],"&gt;="&amp;EDATE($E161,-12),tblSafetyHistory[Month],"&lt;"&amp;$E161,tblSafetyHistory[Use],1))/(SUMIFS(tblSafety[Hours_Total],tblSafety[Date],"&gt;="&amp;EDATE($E161,-12),tblSafety[Date],"&lt;="&amp;$A161)+SUMIFS(tblSafetyHistory[Hours_Total],tblSafetyHistory[Month],"&gt;="&amp;EDATE($E161,-12),tblSafetyHistory[Month],"&lt;"&amp;$E161,tblSafetyHistory[Use],1))*cfg_RateBasisHours,"")</f>
        <v/>
      </c>
      <c r="IQ161" s="56">
        <f>IFERROR((SUMIFS(tblSafety[LTI],tblSafety[Date],"&gt;="&amp;EDATE($E161,-12),tblSafety[Date],"&lt;="&amp;$A161)+SUMIFS(tblSafetyHistory[LTI],tblSafetyHistory[Month],"&gt;="&amp;EDATE($E161,-12),tblSafetyHistory[Month],"&lt;"&amp;$E161,tblSafetyHistory[Use],1))/(SUMIFS(tblSafety[Hours_Total],tblSafety[Date],"&gt;="&amp;EDATE($E161,-12),tblSafety[Date],"&lt;="&amp;$A161)+SUMIFS(tblSafetyHistory[Hours_Total],tblSafetyHistory[Month],"&gt;="&amp;EDATE($E161,-12),tblSafetyHistory[Month],"&lt;"&amp;$E161,tblSafetyHistory[Use],1))*cfg_RateBasisHours,"")</f>
        <v/>
      </c>
      <c r="IR161" s="62">
        <f>IF(MAX(N(cfg_PriorLTIDate),_xlfn.MAXIFS(tblSafety[Date],tblSafety[LTI],"&gt;0",tblSafety[Date],"&lt;="&amp;$A161))=0,"",$A161-MAX(N(cfg_PriorLTIDate),_xlfn.MAXIFS(tblSafety[Date],tblSafety[LTI],"&gt;0",tblSafety[Date],"&lt;="&amp;$A161)))</f>
        <v/>
      </c>
      <c r="IS161" s="55">
        <f>SUMIFS(tblBudget[Ore_Mined_t],tblBudget[Month],$E161)</f>
        <v/>
      </c>
      <c r="IT161" s="55">
        <f>$IS161*$C161/$D161</f>
        <v/>
      </c>
      <c r="IU161" s="55">
        <f>SUMIFS(tblBudget[Ore_Mined_t],tblBudget[Month],"&lt;"&amp;$E161)+$IT161</f>
        <v/>
      </c>
      <c r="IV161" s="55">
        <f>SUMIFS(tblBudget[Ore_oz],tblBudget[Month],$E161)</f>
        <v/>
      </c>
      <c r="IW161" s="55">
        <f>$IV161*$C161/$D161</f>
        <v/>
      </c>
      <c r="IX161" s="55">
        <f>SUMIFS(tblBudget[Ore_oz],tblBudget[Month],"&lt;"&amp;$E161)+$IW161</f>
        <v/>
      </c>
      <c r="IY161" s="55">
        <f>SUMIFS(tblBudget[Ore_Mined_t],tblBudget[Month],$E161)</f>
        <v/>
      </c>
      <c r="IZ161" s="55">
        <f>$IY161*$C161/$D161</f>
        <v/>
      </c>
      <c r="JA161" s="55">
        <f>SUMIFS(tblBudget[Ore_Mined_t],tblBudget[Month],"&lt;"&amp;$E161)+$IZ161</f>
        <v/>
      </c>
      <c r="JB161" s="56">
        <f>IFERROR(IF(($IY161)&gt;0,($IV161*cfg_TroyOz)/($IY161),""),"")</f>
        <v/>
      </c>
      <c r="JC161" s="56">
        <f>IFERROR(IF(($IZ161)&gt;0,($IW161*cfg_TroyOz)/($IZ161),""),"")</f>
        <v/>
      </c>
      <c r="JD161" s="56">
        <f>IFERROR(IF(($JA161)&gt;0,($IX161*cfg_TroyOz)/($JA161),""),"")</f>
        <v/>
      </c>
      <c r="JE161" s="55">
        <f>SUMIFS(tblBudget[Waste_t],tblBudget[Month],$E161)</f>
        <v/>
      </c>
      <c r="JF161" s="55">
        <f>$JE161*$C161/$D161</f>
        <v/>
      </c>
      <c r="JG161" s="55">
        <f>SUMIFS(tblBudget[Waste_t],tblBudget[Month],"&lt;"&amp;$E161)+$JF161</f>
        <v/>
      </c>
      <c r="JH161" s="55">
        <f>SUMIFS(tblBudget[TMM_t],tblBudget[Month],$E161)</f>
        <v/>
      </c>
      <c r="JI161" s="55">
        <f>$JH161*$C161/$D161</f>
        <v/>
      </c>
      <c r="JJ161" s="55">
        <f>SUMIFS(tblBudget[TMM_t],tblBudget[Month],"&lt;"&amp;$E161)+$JI161</f>
        <v/>
      </c>
      <c r="JK161" s="56">
        <f>IFERROR(IF(($IS161)&gt;0,($JE161)/($IS161),""),"")</f>
        <v/>
      </c>
      <c r="JL161" s="56">
        <f>IFERROR(IF(($IT161)&gt;0,($JF161)/($IT161),""),"")</f>
        <v/>
      </c>
      <c r="JM161" s="56">
        <f>IFERROR(IF(($IU161)&gt;0,($JG161)/($IU161),""),"")</f>
        <v/>
      </c>
      <c r="JN161" s="55">
        <f>SUMIFS(tblBudget[Drill_m],tblBudget[Month],$E161)</f>
        <v/>
      </c>
      <c r="JO161" s="55">
        <f>$JN161*$C161/$D161</f>
        <v/>
      </c>
      <c r="JP161" s="55">
        <f>SUMIFS(tblBudget[Drill_m],tblBudget[Month],"&lt;"&amp;$E161)+$JO161</f>
        <v/>
      </c>
      <c r="JQ161" s="55">
        <f>SUMIFS(tblBudget[Diesel_L],tblBudget[Month],$E161)</f>
        <v/>
      </c>
      <c r="JR161" s="55">
        <f>$JQ161*$C161/$D161</f>
        <v/>
      </c>
      <c r="JS161" s="55">
        <f>SUMIFS(tblBudget[Diesel_L],tblBudget[Month],"&lt;"&amp;$E161)+$JR161</f>
        <v/>
      </c>
      <c r="JT161" s="55">
        <f>SUMIFS(tblBudget[Milled_t],tblBudget[Month],$E161)</f>
        <v/>
      </c>
      <c r="JU161" s="55">
        <f>$JT161*$C161/$D161</f>
        <v/>
      </c>
      <c r="JV161" s="55">
        <f>SUMIFS(tblBudget[Milled_t],tblBudget[Month],"&lt;"&amp;$E161)+$JU161</f>
        <v/>
      </c>
      <c r="JW161" s="55">
        <f>SUMIFS(tblBudget[Feed_oz],tblBudget[Month],$E161)</f>
        <v/>
      </c>
      <c r="JX161" s="55">
        <f>$JW161*$C161/$D161</f>
        <v/>
      </c>
      <c r="JY161" s="55">
        <f>SUMIFS(tblBudget[Feed_oz],tblBudget[Month],"&lt;"&amp;$E161)+$JX161</f>
        <v/>
      </c>
      <c r="JZ161" s="55">
        <f>SUMIFS(tblBudget[Recovered_oz],tblBudget[Month],$E161)</f>
        <v/>
      </c>
      <c r="KA161" s="55">
        <f>$JZ161*$C161/$D161</f>
        <v/>
      </c>
      <c r="KB161" s="55">
        <f>SUMIFS(tblBudget[Recovered_oz],tblBudget[Month],"&lt;"&amp;$E161)+$KA161</f>
        <v/>
      </c>
      <c r="KC161" s="55">
        <f>SUMIFS(tblBudget[Milled_t],tblBudget[Month],$E161)</f>
        <v/>
      </c>
      <c r="KD161" s="55">
        <f>$KC161*$C161/$D161</f>
        <v/>
      </c>
      <c r="KE161" s="55">
        <f>SUMIFS(tblBudget[Milled_t],tblBudget[Month],"&lt;"&amp;$E161)+$KD161</f>
        <v/>
      </c>
      <c r="KF161" s="55">
        <f>SUMIFS(tblBudget[Feed_oz],tblBudget[Month],$E161)</f>
        <v/>
      </c>
      <c r="KG161" s="55">
        <f>$KF161*$C161/$D161</f>
        <v/>
      </c>
      <c r="KH161" s="55">
        <f>SUMIFS(tblBudget[Feed_oz],tblBudget[Month],"&lt;"&amp;$E161)+$KG161</f>
        <v/>
      </c>
      <c r="KI161" s="56">
        <f>IFERROR(IF(($KC161)&gt;0,($JW161*cfg_TroyOz)/($KC161),""),"")</f>
        <v/>
      </c>
      <c r="KJ161" s="56">
        <f>IFERROR(IF(($KD161)&gt;0,($JX161*cfg_TroyOz)/($KD161),""),"")</f>
        <v/>
      </c>
      <c r="KK161" s="56">
        <f>IFERROR(IF(($KE161)&gt;0,($JY161*cfg_TroyOz)/($KE161),""),"")</f>
        <v/>
      </c>
      <c r="KL161" s="67">
        <f>IFERROR(IF(($KF161)&gt;0,($JZ161)/($KF161),""),"")</f>
        <v/>
      </c>
      <c r="KM161" s="67">
        <f>IFERROR(IF(($KG161)&gt;0,($KA161)/($KG161),""),"")</f>
        <v/>
      </c>
      <c r="KN161" s="67">
        <f>IFERROR(IF(($KH161)&gt;0,($KB161)/($KH161),""),"")</f>
        <v/>
      </c>
      <c r="KO161" s="55">
        <f>SUMIFS(tblBudget[Gold_Poured_oz],tblBudget[Month],$E161)</f>
        <v/>
      </c>
      <c r="KP161" s="55">
        <f>$KO161*$C161/$D161</f>
        <v/>
      </c>
      <c r="KQ161" s="55">
        <f>SUMIFS(tblBudget[Gold_Poured_oz],tblBudget[Month],"&lt;"&amp;$E161)+$KP161</f>
        <v/>
      </c>
      <c r="KR161" s="57">
        <f>SUMIFS(tblBudget[Hours_Worked],tblBudget[Month],$E161)</f>
        <v/>
      </c>
      <c r="KS161" s="57">
        <f>$KR161*$C161/$D161</f>
        <v/>
      </c>
      <c r="KT161" s="57">
        <f>SUMIFS(tblBudget[Hours_Worked],tblBudget[Month],"&lt;"&amp;$E161)+$KS161</f>
        <v/>
      </c>
    </row>
    <row r="162">
      <c r="A162" s="54" t="n">
        <v>46183</v>
      </c>
      <c r="B162">
        <f>MONTH($A162)</f>
        <v/>
      </c>
      <c r="C162">
        <f>DAY($A162)</f>
        <v/>
      </c>
      <c r="D162">
        <f>DAY(EOMONTH($A162,0))</f>
        <v/>
      </c>
      <c r="E162" s="54">
        <f>DATE(YEAR($A162),MONTH($A162),1)</f>
        <v/>
      </c>
      <c r="F162" s="55">
        <f>SUMIFS(tblMovement[Tonnes_t],tblMovement[Date],$A162,tblMovement[Is_Ore],1,tblMovement[Source_Type],"Pit")</f>
        <v/>
      </c>
      <c r="G162" s="55">
        <f>IF($B162=$B161,$G161,0)+$F162</f>
        <v/>
      </c>
      <c r="H162" s="55">
        <f>$H161+$F162</f>
        <v/>
      </c>
      <c r="I162" s="55">
        <f>SUMIFS(tblMovement[Ore_oz],tblMovement[Date],$A162,tblMovement[Source_Type],"Pit")</f>
        <v/>
      </c>
      <c r="J162" s="55">
        <f>IF($B162=$B161,$J161,0)+$I162</f>
        <v/>
      </c>
      <c r="K162" s="55">
        <f>$K161+$I162</f>
        <v/>
      </c>
      <c r="L162" s="55">
        <f>SUMIFS(tblMovement[Tonnes_t],tblMovement[Date],$A162,tblMovement[Is_Ore],1,tblMovement[Source_Type],"Pit",tblMovement[Grade_gpt],"&lt;&gt;")</f>
        <v/>
      </c>
      <c r="M162" s="55">
        <f>IF($B162=$B161,$M161,0)+$L162</f>
        <v/>
      </c>
      <c r="N162" s="55">
        <f>$N161+$L162</f>
        <v/>
      </c>
      <c r="O162" s="56">
        <f>IFERROR(IF(($L162)&gt;0,($I162*cfg_TroyOz)/($L162),""),"")</f>
        <v/>
      </c>
      <c r="P162" s="56">
        <f>IFERROR(IF(($M162)&gt;0,($J162*cfg_TroyOz)/($M162),""),"")</f>
        <v/>
      </c>
      <c r="Q162" s="56">
        <f>IFERROR(IF(($N162)&gt;0,($K162*cfg_TroyOz)/($N162),""),"")</f>
        <v/>
      </c>
      <c r="R162" s="55">
        <f>$F162-$L162</f>
        <v/>
      </c>
      <c r="S162" s="55">
        <f>IF($B162=$B161,$S161,0)+$R162</f>
        <v/>
      </c>
      <c r="T162" s="55">
        <f>$T161+$R162</f>
        <v/>
      </c>
      <c r="U162" s="55">
        <f>SUMIFS(tblMovement[Tonnes_t],tblMovement[Date],$A162,tblMovement[Is_Ore],0,tblMovement[Source_Type],"Pit")</f>
        <v/>
      </c>
      <c r="V162" s="55">
        <f>IF($B162=$B161,$V161,0)+$U162</f>
        <v/>
      </c>
      <c r="W162" s="55">
        <f>$W161+$U162</f>
        <v/>
      </c>
      <c r="X162" s="55">
        <f>$F162+$U162</f>
        <v/>
      </c>
      <c r="Y162" s="55">
        <f>IF($B162=$B161,$Y161,0)+$X162</f>
        <v/>
      </c>
      <c r="Z162" s="55">
        <f>$Z161+$X162</f>
        <v/>
      </c>
      <c r="AA162" s="56">
        <f>IFERROR(IF(($F162)&gt;0,($U162)/($F162),""),"")</f>
        <v/>
      </c>
      <c r="AB162" s="56">
        <f>IFERROR(IF(($G162)&gt;0,($V162)/($G162),""),"")</f>
        <v/>
      </c>
      <c r="AC162" s="56">
        <f>IFERROR(IF(($H162)&gt;0,($W162)/($H162),""),"")</f>
        <v/>
      </c>
      <c r="AD162" s="55">
        <f>SUMIFS(tblMovement[Tonnes_t],tblMovement[Date],$A162,tblMovement[Source_Type],"Stockpile")</f>
        <v/>
      </c>
      <c r="AE162" s="55">
        <f>IF($B162=$B161,$AE161,0)+$AD162</f>
        <v/>
      </c>
      <c r="AF162" s="55">
        <f>$AF161+$AD162</f>
        <v/>
      </c>
      <c r="AG162" s="55">
        <f>SUMIFS(tblMovement[Tonnes_t],tblMovement[Date],$A162)</f>
        <v/>
      </c>
      <c r="AH162" s="55">
        <f>IF($B162=$B161,$AH161,0)+$AG162</f>
        <v/>
      </c>
      <c r="AI162" s="55">
        <f>$AI161+$AG162</f>
        <v/>
      </c>
      <c r="AJ162" s="55">
        <f>$AG162-$X162-$AD162</f>
        <v/>
      </c>
      <c r="AK162" s="55">
        <f>IF($B162=$B161,$AK161,0)+$AJ162</f>
        <v/>
      </c>
      <c r="AL162" s="55">
        <f>$AL161+$AJ162</f>
        <v/>
      </c>
      <c r="AM162" s="55">
        <f>SUMIFS(tblMiningDaily[Drill_m],tblMiningDaily[Date],$A162)</f>
        <v/>
      </c>
      <c r="AN162" s="55">
        <f>IF($B162=$B161,$AN161,0)+$AM162</f>
        <v/>
      </c>
      <c r="AO162" s="55">
        <f>$AO161+$AM162</f>
        <v/>
      </c>
      <c r="AP162" s="55">
        <f>SUMIFS(tblMiningDaily[GC_Drill_m],tblMiningDaily[Date],$A162)</f>
        <v/>
      </c>
      <c r="AQ162" s="55">
        <f>IF($B162=$B161,$AQ161,0)+$AP162</f>
        <v/>
      </c>
      <c r="AR162" s="55">
        <f>$AR161+$AP162</f>
        <v/>
      </c>
      <c r="AS162" s="55">
        <f>SUMIFS(tblMiningDaily[Blast_t],tblMiningDaily[Date],$A162)</f>
        <v/>
      </c>
      <c r="AT162" s="55">
        <f>IF($B162=$B161,$AT161,0)+$AS162</f>
        <v/>
      </c>
      <c r="AU162" s="55">
        <f>$AU161+$AS162</f>
        <v/>
      </c>
      <c r="AV162" s="55">
        <f>SUMIFS(tblMiningDaily[Explosives_kg],tblMiningDaily[Date],$A162)</f>
        <v/>
      </c>
      <c r="AW162" s="55">
        <f>IF($B162=$B161,$AW161,0)+$AV162</f>
        <v/>
      </c>
      <c r="AX162" s="55">
        <f>$AX161+$AV162</f>
        <v/>
      </c>
      <c r="AY162" s="56">
        <f>IFERROR(IF(($AS162)&gt;0,($AV162)/($AS162),""),"")</f>
        <v/>
      </c>
      <c r="AZ162" s="56">
        <f>IFERROR(IF(($AT162)&gt;0,($AW162)/($AT162),""),"")</f>
        <v/>
      </c>
      <c r="BA162" s="56">
        <f>IFERROR(IF(($AU162)&gt;0,($AX162)/($AU162),""),"")</f>
        <v/>
      </c>
      <c r="BB162" s="55">
        <f>SUMIFS(tblMiningDaily[Diesel_L],tblMiningDaily[Date],$A162)</f>
        <v/>
      </c>
      <c r="BC162" s="55">
        <f>IF($B162=$B161,$BC161,0)+$BB162</f>
        <v/>
      </c>
      <c r="BD162" s="55">
        <f>$BD161+$BB162</f>
        <v/>
      </c>
      <c r="BE162" s="55">
        <f>SUMIFS(tblMiningDaily[Dewatering_m3],tblMiningDaily[Date],$A162)</f>
        <v/>
      </c>
      <c r="BF162" s="55">
        <f>IF($B162=$B161,$BF161,0)+$BE162</f>
        <v/>
      </c>
      <c r="BG162" s="55">
        <f>$BG161+$BE162</f>
        <v/>
      </c>
      <c r="BH162" s="57">
        <f>SUMIFS(tblFleet[Calendar_h],tblFleet[Date],$A162,tblFleet[Equipment_Class],"Excavator")</f>
        <v/>
      </c>
      <c r="BI162" s="57">
        <f>IF($B162=$B161,$BI161,0)+$BH162</f>
        <v/>
      </c>
      <c r="BJ162" s="57">
        <f>$BJ161+$BH162</f>
        <v/>
      </c>
      <c r="BK162" s="57">
        <f>SUMIFS(tblFleet[Available_h],tblFleet[Date],$A162,tblFleet[Equipment_Class],"Excavator")</f>
        <v/>
      </c>
      <c r="BL162" s="57">
        <f>IF($B162=$B161,$BL161,0)+$BK162</f>
        <v/>
      </c>
      <c r="BM162" s="57">
        <f>$BM161+$BK162</f>
        <v/>
      </c>
      <c r="BN162" s="57">
        <f>SUMIFS(tblFleet[Operating_h],tblFleet[Date],$A162,tblFleet[Equipment_Class],"Excavator")</f>
        <v/>
      </c>
      <c r="BO162" s="57">
        <f>IF($B162=$B161,$BO161,0)+$BN162</f>
        <v/>
      </c>
      <c r="BP162" s="57">
        <f>$BP161+$BN162</f>
        <v/>
      </c>
      <c r="BQ162" s="67">
        <f>IFERROR(IF(($BH162)&gt;0,($BK162)/($BH162),""),"")</f>
        <v/>
      </c>
      <c r="BR162" s="67">
        <f>IFERROR(IF(($BI162)&gt;0,($BL162)/($BI162),""),"")</f>
        <v/>
      </c>
      <c r="BS162" s="67">
        <f>IFERROR(IF(($BJ162)&gt;0,($BM162)/($BJ162),""),"")</f>
        <v/>
      </c>
      <c r="BT162" s="67">
        <f>IFERROR(IF(($BK162)&gt;0,($BN162)/($BK162),""),"")</f>
        <v/>
      </c>
      <c r="BU162" s="67">
        <f>IFERROR(IF(($BL162)&gt;0,($BO162)/($BL162),""),"")</f>
        <v/>
      </c>
      <c r="BV162" s="67">
        <f>IFERROR(IF(($BM162)&gt;0,($BP162)/($BM162),""),"")</f>
        <v/>
      </c>
      <c r="BW162" s="57">
        <f>SUMIFS(tblFleet[Calendar_h],tblFleet[Date],$A162,tblFleet[Equipment_Class],"Haul Truck")</f>
        <v/>
      </c>
      <c r="BX162" s="57">
        <f>IF($B162=$B161,$BX161,0)+$BW162</f>
        <v/>
      </c>
      <c r="BY162" s="57">
        <f>$BY161+$BW162</f>
        <v/>
      </c>
      <c r="BZ162" s="57">
        <f>SUMIFS(tblFleet[Available_h],tblFleet[Date],$A162,tblFleet[Equipment_Class],"Haul Truck")</f>
        <v/>
      </c>
      <c r="CA162" s="57">
        <f>IF($B162=$B161,$CA161,0)+$BZ162</f>
        <v/>
      </c>
      <c r="CB162" s="57">
        <f>$CB161+$BZ162</f>
        <v/>
      </c>
      <c r="CC162" s="57">
        <f>SUMIFS(tblFleet[Operating_h],tblFleet[Date],$A162,tblFleet[Equipment_Class],"Haul Truck")</f>
        <v/>
      </c>
      <c r="CD162" s="57">
        <f>IF($B162=$B161,$CD161,0)+$CC162</f>
        <v/>
      </c>
      <c r="CE162" s="57">
        <f>$CE161+$CC162</f>
        <v/>
      </c>
      <c r="CF162" s="67">
        <f>IFERROR(IF(($BW162)&gt;0,($BZ162)/($BW162),""),"")</f>
        <v/>
      </c>
      <c r="CG162" s="67">
        <f>IFERROR(IF(($BX162)&gt;0,($CA162)/($BX162),""),"")</f>
        <v/>
      </c>
      <c r="CH162" s="67">
        <f>IFERROR(IF(($BY162)&gt;0,($CB162)/($BY162),""),"")</f>
        <v/>
      </c>
      <c r="CI162" s="67">
        <f>IFERROR(IF(($BZ162)&gt;0,($CC162)/($BZ162),""),"")</f>
        <v/>
      </c>
      <c r="CJ162" s="67">
        <f>IFERROR(IF(($CA162)&gt;0,($CD162)/($CA162),""),"")</f>
        <v/>
      </c>
      <c r="CK162" s="67">
        <f>IFERROR(IF(($CB162)&gt;0,($CE162)/($CB162),""),"")</f>
        <v/>
      </c>
      <c r="CL162" s="55">
        <f>IFERROR(IF(($BN162)&gt;0,($X162+$AD162)/($BN162),""),"")</f>
        <v/>
      </c>
      <c r="CM162" s="55">
        <f>IFERROR(IF(($BO162)&gt;0,($Y162+$AE162)/($BO162),""),"")</f>
        <v/>
      </c>
      <c r="CN162" s="55">
        <f>IFERROR(IF(($BP162)&gt;0,($Z162+$AF162)/($BP162),""),"")</f>
        <v/>
      </c>
      <c r="CO162" s="55">
        <f>IFERROR(IF(($CC162)&gt;0,($X162+$AD162)/($CC162),""),"")</f>
        <v/>
      </c>
      <c r="CP162" s="55">
        <f>IFERROR(IF(($CD162)&gt;0,($Y162+$AE162)/($CD162),""),"")</f>
        <v/>
      </c>
      <c r="CQ162" s="55">
        <f>IFERROR(IF(($CE162)&gt;0,($Z162+$AF162)/($CE162),""),"")</f>
        <v/>
      </c>
      <c r="CR162" s="55">
        <f>SUMIFS(tblPlant[Crushed_t],tblPlant[Date],$A162)</f>
        <v/>
      </c>
      <c r="CS162" s="55">
        <f>IF($B162=$B161,$CS161,0)+$CR162</f>
        <v/>
      </c>
      <c r="CT162" s="55">
        <f>$CT161+$CR162</f>
        <v/>
      </c>
      <c r="CU162" s="55">
        <f>SUMIFS(tblPlant[Milled_t],tblPlant[Date],$A162)</f>
        <v/>
      </c>
      <c r="CV162" s="55">
        <f>IF($B162=$B161,$CV161,0)+$CU162</f>
        <v/>
      </c>
      <c r="CW162" s="55">
        <f>$CW161+$CU162</f>
        <v/>
      </c>
      <c r="CX162" s="55">
        <f>SUMIFS(tblPlant[Feed_oz],tblPlant[Date],$A162)</f>
        <v/>
      </c>
      <c r="CY162" s="55">
        <f>IF($B162=$B161,$CY161,0)+$CX162</f>
        <v/>
      </c>
      <c r="CZ162" s="55">
        <f>$CZ161+$CX162</f>
        <v/>
      </c>
      <c r="DA162" s="55">
        <f>SUMIFS(tblPlant[Tails_oz],tblPlant[Date],$A162)</f>
        <v/>
      </c>
      <c r="DB162" s="55">
        <f>IF($B162=$B161,$DB161,0)+$DA162</f>
        <v/>
      </c>
      <c r="DC162" s="55">
        <f>$DC161+$DA162</f>
        <v/>
      </c>
      <c r="DD162" s="55">
        <f>SUMIFS(tblPlant[Recovered_oz],tblPlant[Date],$A162)</f>
        <v/>
      </c>
      <c r="DE162" s="55">
        <f>IF($B162=$B161,$DE161,0)+$DD162</f>
        <v/>
      </c>
      <c r="DF162" s="55">
        <f>$DF161+$DD162</f>
        <v/>
      </c>
      <c r="DG162" s="55">
        <f>SUMIFS(tblPlant[Milled_t],tblPlant[Date],$A162,tblPlant[Head_Grade_gpt],"&lt;&gt;")</f>
        <v/>
      </c>
      <c r="DH162" s="55">
        <f>IF($B162=$B161,$DH161,0)+$DG162</f>
        <v/>
      </c>
      <c r="DI162" s="55">
        <f>$DI161+$DG162</f>
        <v/>
      </c>
      <c r="DJ162" s="55">
        <f>SUMIFS(tblPlant[Milled_t],tblPlant[Date],$A162,tblPlant[Tails_Grade_gpt],"&lt;&gt;")</f>
        <v/>
      </c>
      <c r="DK162" s="55">
        <f>IF($B162=$B161,$DK161,0)+$DJ162</f>
        <v/>
      </c>
      <c r="DL162" s="55">
        <f>$DL161+$DJ162</f>
        <v/>
      </c>
      <c r="DM162" s="55">
        <f>SUMIFS(tblPlant[Feed_oz],tblPlant[Date],$A162,tblPlant[Tails_Grade_gpt],"&lt;&gt;")</f>
        <v/>
      </c>
      <c r="DN162" s="55">
        <f>IF($B162=$B161,$DN161,0)+$DM162</f>
        <v/>
      </c>
      <c r="DO162" s="55">
        <f>$DO161+$DM162</f>
        <v/>
      </c>
      <c r="DP162" s="55">
        <f>SUMIFS(tblPlant[Milled_t],tblPlant[Date],$A162,tblPlant[Mill_Run_h],"&lt;&gt;")</f>
        <v/>
      </c>
      <c r="DQ162" s="55">
        <f>IF($B162=$B161,$DQ161,0)+$DP162</f>
        <v/>
      </c>
      <c r="DR162" s="55">
        <f>$DR161+$DP162</f>
        <v/>
      </c>
      <c r="DS162" s="56">
        <f>IFERROR(IF(($DG162)&gt;0,($CX162*cfg_TroyOz)/($DG162),""),"")</f>
        <v/>
      </c>
      <c r="DT162" s="56">
        <f>IFERROR(IF(($DH162)&gt;0,($CY162*cfg_TroyOz)/($DH162),""),"")</f>
        <v/>
      </c>
      <c r="DU162" s="56">
        <f>IFERROR(IF(($DI162)&gt;0,($CZ162*cfg_TroyOz)/($DI162),""),"")</f>
        <v/>
      </c>
      <c r="DV162" s="56">
        <f>IFERROR(IF(($DJ162)&gt;0,($DA162*cfg_TroyOz)/($DJ162),""),"")</f>
        <v/>
      </c>
      <c r="DW162" s="56">
        <f>IFERROR(IF(($DK162)&gt;0,($DB162*cfg_TroyOz)/($DK162),""),"")</f>
        <v/>
      </c>
      <c r="DX162" s="56">
        <f>IFERROR(IF(($DL162)&gt;0,($DC162*cfg_TroyOz)/($DL162),""),"")</f>
        <v/>
      </c>
      <c r="DY162" s="67">
        <f>IFERROR(IF(($DM162)&gt;0,($DD162)/($DM162),""),"")</f>
        <v/>
      </c>
      <c r="DZ162" s="67">
        <f>IFERROR(IF(($DN162)&gt;0,($DE162)/($DN162),""),"")</f>
        <v/>
      </c>
      <c r="EA162" s="67">
        <f>IFERROR(IF(($DO162)&gt;0,($DF162)/($DO162),""),"")</f>
        <v/>
      </c>
      <c r="EB162" s="55">
        <f>SUMIFS(tblPlant[Gravity_Gold_oz],tblPlant[Date],$A162)</f>
        <v/>
      </c>
      <c r="EC162" s="55">
        <f>IF($B162=$B161,$EC161,0)+$EB162</f>
        <v/>
      </c>
      <c r="ED162" s="55">
        <f>$ED161+$EB162</f>
        <v/>
      </c>
      <c r="EE162" s="67">
        <f>IFERROR(IF(($DD162)&gt;0,($EB162)/($DD162),""),"")</f>
        <v/>
      </c>
      <c r="EF162" s="67">
        <f>IFERROR(IF(($DE162)&gt;0,($EC162)/($DE162),""),"")</f>
        <v/>
      </c>
      <c r="EG162" s="67">
        <f>IFERROR(IF(($DF162)&gt;0,($ED162)/($DF162),""),"")</f>
        <v/>
      </c>
      <c r="EH162" s="55">
        <f>SUMIFS(tblPlant[Gold_Poured_oz],tblPlant[Date],$A162)</f>
        <v/>
      </c>
      <c r="EI162" s="55">
        <f>IF($B162=$B161,$EI161,0)+$EH162</f>
        <v/>
      </c>
      <c r="EJ162" s="55">
        <f>$EJ161+$EH162</f>
        <v/>
      </c>
      <c r="EK162" s="57">
        <f>SUMIFS(tblPlant[Mill_Run_h],tblPlant[Date],$A162)</f>
        <v/>
      </c>
      <c r="EL162" s="57">
        <f>IF($B162=$B161,$EL161,0)+$EK162</f>
        <v/>
      </c>
      <c r="EM162" s="57">
        <f>$EM161+$EK162</f>
        <v/>
      </c>
      <c r="EN162" s="57">
        <f>SUMIFS(tblPlant[Mill_Planned_Maint_h],tblPlant[Date],$A162)</f>
        <v/>
      </c>
      <c r="EO162" s="57">
        <f>IF($B162=$B161,$EO161,0)+$EN162</f>
        <v/>
      </c>
      <c r="EP162" s="57">
        <f>$EP161+$EN162</f>
        <v/>
      </c>
      <c r="EQ162" s="57">
        <f>SUMIFS(tblPlant[Mill_Unplanned_Down_h],tblPlant[Date],$A162)</f>
        <v/>
      </c>
      <c r="ER162" s="57">
        <f>IF($B162=$B161,$ER161,0)+$EQ162</f>
        <v/>
      </c>
      <c r="ES162" s="57">
        <f>$ES161+$EQ162</f>
        <v/>
      </c>
      <c r="ET162" s="57">
        <f>IF(COUNTIFS(tblPlant[Date],$A162,tblPlant[Mill_Run_h],"&lt;&gt;")+COUNTIFS(tblPlant[Date],$A162,tblPlant[Mill_Planned_Maint_h],"&lt;&gt;")+COUNTIFS(tblPlant[Date],$A162,tblPlant[Mill_Unplanned_Down_h],"&lt;&gt;")&gt;0,cfg_HoursPerDay,0)</f>
        <v/>
      </c>
      <c r="EU162" s="57">
        <f>IF($B162=$B161,$EU161,0)+$ET162</f>
        <v/>
      </c>
      <c r="EV162" s="57">
        <f>$EV161+$ET162</f>
        <v/>
      </c>
      <c r="EW162" s="57">
        <f>SUMIFS(tblPlant[Crusher_Run_h],tblPlant[Date],$A162)</f>
        <v/>
      </c>
      <c r="EX162" s="57">
        <f>IF($B162=$B161,$EX161,0)+$EW162</f>
        <v/>
      </c>
      <c r="EY162" s="57">
        <f>$EY161+$EW162</f>
        <v/>
      </c>
      <c r="EZ162" s="55">
        <f>IFERROR(IF(($EK162)&gt;0,($DP162)/($EK162),""),"")</f>
        <v/>
      </c>
      <c r="FA162" s="55">
        <f>IFERROR(IF(($EL162)&gt;0,($DQ162)/($EL162),""),"")</f>
        <v/>
      </c>
      <c r="FB162" s="55">
        <f>IFERROR(IF(($EM162)&gt;0,($DR162)/($EM162),""),"")</f>
        <v/>
      </c>
      <c r="FC162" s="67">
        <f>IFERROR(IF(($ET162)&gt;0,($ET162-$EN162-$EQ162)/($ET162),""),"")</f>
        <v/>
      </c>
      <c r="FD162" s="67">
        <f>IFERROR(IF(($EU162)&gt;0,($EU162-$EO162-$ER162)/($EU162),""),"")</f>
        <v/>
      </c>
      <c r="FE162" s="67">
        <f>IFERROR(IF(($EV162)&gt;0,($EV162-$EP162-$ES162)/($EV162),""),"")</f>
        <v/>
      </c>
      <c r="FF162" s="67">
        <f>IFERROR(IF(($ET162-$EN162-$EQ162)&gt;0,($EK162)/($ET162-$EN162-$EQ162),""),"")</f>
        <v/>
      </c>
      <c r="FG162" s="67">
        <f>IFERROR(IF(($EU162-$EO162-$ER162)&gt;0,($EL162)/($EU162-$EO162-$ER162),""),"")</f>
        <v/>
      </c>
      <c r="FH162" s="67">
        <f>IFERROR(IF(($EV162-$EP162-$ES162)&gt;0,($EM162)/($EV162-$EP162-$ES162),""),"")</f>
        <v/>
      </c>
      <c r="FI162" s="55">
        <f>SUMIFS(tblPlant[Cyanide_kg],tblPlant[Date],$A162)</f>
        <v/>
      </c>
      <c r="FJ162" s="55">
        <f>IF($B162=$B161,$FJ161,0)+$FI162</f>
        <v/>
      </c>
      <c r="FK162" s="55">
        <f>$FK161+$FI162</f>
        <v/>
      </c>
      <c r="FL162" s="55">
        <f>SUMIFS(tblPlant[Lime_kg],tblPlant[Date],$A162)</f>
        <v/>
      </c>
      <c r="FM162" s="55">
        <f>IF($B162=$B161,$FM161,0)+$FL162</f>
        <v/>
      </c>
      <c r="FN162" s="55">
        <f>$FN161+$FL162</f>
        <v/>
      </c>
      <c r="FO162" s="55">
        <f>SUMIFS(tblPlant[Grinding_Media_kg],tblPlant[Date],$A162)</f>
        <v/>
      </c>
      <c r="FP162" s="55">
        <f>IF($B162=$B161,$FP161,0)+$FO162</f>
        <v/>
      </c>
      <c r="FQ162" s="55">
        <f>$FQ161+$FO162</f>
        <v/>
      </c>
      <c r="FR162" s="55">
        <f>SUMIFS(tblPlant[Power_kWh],tblPlant[Date],$A162)</f>
        <v/>
      </c>
      <c r="FS162" s="55">
        <f>IF($B162=$B161,$FS161,0)+$FR162</f>
        <v/>
      </c>
      <c r="FT162" s="55">
        <f>$FT161+$FR162</f>
        <v/>
      </c>
      <c r="FU162" s="55">
        <f>SUMIFS(tblPlant[Raw_Water_m3],tblPlant[Date],$A162)</f>
        <v/>
      </c>
      <c r="FV162" s="55">
        <f>IF($B162=$B161,$FV161,0)+$FU162</f>
        <v/>
      </c>
      <c r="FW162" s="55">
        <f>$FW161+$FU162</f>
        <v/>
      </c>
      <c r="FX162" s="56">
        <f>IFERROR(IF(($CU162)&gt;0,($FI162)/($CU162),""),"")</f>
        <v/>
      </c>
      <c r="FY162" s="56">
        <f>IFERROR(IF(($CV162)&gt;0,($FJ162)/($CV162),""),"")</f>
        <v/>
      </c>
      <c r="FZ162" s="56">
        <f>IFERROR(IF(($CW162)&gt;0,($FK162)/($CW162),""),"")</f>
        <v/>
      </c>
      <c r="GA162" s="56">
        <f>IFERROR(IF(($CU162)&gt;0,($FL162)/($CU162),""),"")</f>
        <v/>
      </c>
      <c r="GB162" s="56">
        <f>IFERROR(IF(($CV162)&gt;0,($FM162)/($CV162),""),"")</f>
        <v/>
      </c>
      <c r="GC162" s="56">
        <f>IFERROR(IF(($CW162)&gt;0,($FN162)/($CW162),""),"")</f>
        <v/>
      </c>
      <c r="GD162" s="56">
        <f>IFERROR(IF(($CU162)&gt;0,($FO162)/($CU162),""),"")</f>
        <v/>
      </c>
      <c r="GE162" s="56">
        <f>IFERROR(IF(($CV162)&gt;0,($FP162)/($CV162),""),"")</f>
        <v/>
      </c>
      <c r="GF162" s="56">
        <f>IFERROR(IF(($CW162)&gt;0,($FQ162)/($CW162),""),"")</f>
        <v/>
      </c>
      <c r="GG162" s="79">
        <f>IFERROR(IF(($CU162)&gt;0,($FR162)/($CU162),""),"")</f>
        <v/>
      </c>
      <c r="GH162" s="79">
        <f>IFERROR(IF(($CV162)&gt;0,($FS162)/($CV162),""),"")</f>
        <v/>
      </c>
      <c r="GI162" s="79">
        <f>IFERROR(IF(($CW162)&gt;0,($FT162)/($CW162),""),"")</f>
        <v/>
      </c>
      <c r="GJ162" s="56">
        <f>IFERROR(IF(($CU162)&gt;0,($FU162)/($CU162),""),"")</f>
        <v/>
      </c>
      <c r="GK162" s="56">
        <f>IFERROR(IF(($CV162)&gt;0,($FV162)/($CV162),""),"")</f>
        <v/>
      </c>
      <c r="GL162" s="56">
        <f>IFERROR(IF(($CW162)&gt;0,($FW162)/($CW162),""),"")</f>
        <v/>
      </c>
      <c r="GM162" s="55">
        <f>IF(SUMIFS(tblPlant[GIC_oz],tblPlant[Date],$A162)&gt;0,SUMIFS(tblPlant[GIC_oz],tblPlant[Date],$A162),"")</f>
        <v/>
      </c>
      <c r="GN162" s="55">
        <f>SUMIFS(tblGold[Gold_oz],tblGold[Date],$A162,tblGold[Type],"Shipment")</f>
        <v/>
      </c>
      <c r="GO162" s="55">
        <f>IF($B162=$B161,$GO161,0)+$GN162</f>
        <v/>
      </c>
      <c r="GP162" s="55">
        <f>$GP161+$GN162</f>
        <v/>
      </c>
      <c r="GQ162" s="55">
        <f>SUMIFS(tblGold[Gold_oz],tblGold[Date],$A162,tblGold[Type],"Sale")</f>
        <v/>
      </c>
      <c r="GR162" s="55">
        <f>IF($B162=$B161,$GR161,0)+$GQ162</f>
        <v/>
      </c>
      <c r="GS162" s="55">
        <f>$GS161+$GQ162</f>
        <v/>
      </c>
      <c r="GT162" s="55">
        <f>SUMIFS(tblGold[Dore_kg],tblGold[Date],$A162,tblGold[Type],"Shipment")</f>
        <v/>
      </c>
      <c r="GU162" s="55">
        <f>IF($B162=$B161,$GU161,0)+$GT162</f>
        <v/>
      </c>
      <c r="GV162" s="55">
        <f>$GV161+$GT162</f>
        <v/>
      </c>
      <c r="GW162" s="57">
        <f>SUMIFS(tblSafety[Hours_Total],tblSafety[Date],$A162)</f>
        <v/>
      </c>
      <c r="GX162" s="57">
        <f>IF($B162=$B161,$GX161,0)+$GW162</f>
        <v/>
      </c>
      <c r="GY162" s="57">
        <f>$GY161+$GW162</f>
        <v/>
      </c>
      <c r="GZ162" s="62">
        <f>SUMIFS(tblSafety[Fatality],tblSafety[Date],$A162)</f>
        <v/>
      </c>
      <c r="HA162" s="62">
        <f>IF($B162=$B161,$HA161,0)+$GZ162</f>
        <v/>
      </c>
      <c r="HB162" s="62">
        <f>$HB161+$GZ162</f>
        <v/>
      </c>
      <c r="HC162" s="62">
        <f>SUMIFS(tblSafety[LTI],tblSafety[Date],$A162)</f>
        <v/>
      </c>
      <c r="HD162" s="62">
        <f>IF($B162=$B161,$HD161,0)+$HC162</f>
        <v/>
      </c>
      <c r="HE162" s="62">
        <f>$HE161+$HC162</f>
        <v/>
      </c>
      <c r="HF162" s="62">
        <f>SUMIFS(tblSafety[RWI],tblSafety[Date],$A162)</f>
        <v/>
      </c>
      <c r="HG162" s="62">
        <f>IF($B162=$B161,$HG161,0)+$HF162</f>
        <v/>
      </c>
      <c r="HH162" s="62">
        <f>$HH161+$HF162</f>
        <v/>
      </c>
      <c r="HI162" s="62">
        <f>SUMIFS(tblSafety[MTI],tblSafety[Date],$A162)</f>
        <v/>
      </c>
      <c r="HJ162" s="62">
        <f>IF($B162=$B161,$HJ161,0)+$HI162</f>
        <v/>
      </c>
      <c r="HK162" s="62">
        <f>$HK161+$HI162</f>
        <v/>
      </c>
      <c r="HL162" s="62">
        <f>SUMIFS(tblSafety[FAI],tblSafety[Date],$A162)</f>
        <v/>
      </c>
      <c r="HM162" s="62">
        <f>IF($B162=$B161,$HM161,0)+$HL162</f>
        <v/>
      </c>
      <c r="HN162" s="62">
        <f>$HN161+$HL162</f>
        <v/>
      </c>
      <c r="HO162" s="62">
        <f>SUMIFS(tblSafety[Recordables],tblSafety[Date],$A162)</f>
        <v/>
      </c>
      <c r="HP162" s="62">
        <f>IF($B162=$B161,$HP161,0)+$HO162</f>
        <v/>
      </c>
      <c r="HQ162" s="62">
        <f>$HQ161+$HO162</f>
        <v/>
      </c>
      <c r="HR162" s="62">
        <f>SUMIFS(tblSafety[Near_Miss],tblSafety[Date],$A162)</f>
        <v/>
      </c>
      <c r="HS162" s="62">
        <f>IF($B162=$B161,$HS161,0)+$HR162</f>
        <v/>
      </c>
      <c r="HT162" s="62">
        <f>$HT161+$HR162</f>
        <v/>
      </c>
      <c r="HU162" s="62">
        <f>SUMIFS(tblSafety[Hazard_Reports],tblSafety[Date],$A162)</f>
        <v/>
      </c>
      <c r="HV162" s="62">
        <f>IF($B162=$B161,$HV161,0)+$HU162</f>
        <v/>
      </c>
      <c r="HW162" s="62">
        <f>$HW161+$HU162</f>
        <v/>
      </c>
      <c r="HX162" s="62">
        <f>SUMIFS(tblSafety[HPI],tblSafety[Date],$A162)</f>
        <v/>
      </c>
      <c r="HY162" s="62">
        <f>IF($B162=$B161,$HY161,0)+$HX162</f>
        <v/>
      </c>
      <c r="HZ162" s="62">
        <f>$HZ161+$HX162</f>
        <v/>
      </c>
      <c r="IA162" s="62">
        <f>SUMIFS(tblSafety[Env_Incidents],tblSafety[Date],$A162)</f>
        <v/>
      </c>
      <c r="IB162" s="62">
        <f>IF($B162=$B161,$IB161,0)+$IA162</f>
        <v/>
      </c>
      <c r="IC162" s="62">
        <f>$IC161+$IA162</f>
        <v/>
      </c>
      <c r="ID162" s="62">
        <f>SUMIFS(tblSafety[Community_Incidents],tblSafety[Date],$A162)</f>
        <v/>
      </c>
      <c r="IE162" s="62">
        <f>IF($B162=$B161,$IE161,0)+$ID162</f>
        <v/>
      </c>
      <c r="IF162" s="62">
        <f>$IF161+$ID162</f>
        <v/>
      </c>
      <c r="IG162" s="62">
        <f>SUMIFS(tblSafety[Vehicle_Incidents],tblSafety[Date],$A162)</f>
        <v/>
      </c>
      <c r="IH162" s="62">
        <f>IF($B162=$B161,$IH161,0)+$IG162</f>
        <v/>
      </c>
      <c r="II162" s="62">
        <f>$II161+$IG162</f>
        <v/>
      </c>
      <c r="IJ162" s="62">
        <f>SUMIFS(tblSafety[Toolbox_Talks],tblSafety[Date],$A162)</f>
        <v/>
      </c>
      <c r="IK162" s="62">
        <f>IF($B162=$B161,$IK161,0)+$IJ162</f>
        <v/>
      </c>
      <c r="IL162" s="62">
        <f>$IL161+$IJ162</f>
        <v/>
      </c>
      <c r="IM162" s="62">
        <f>SUMIFS(tblSafety[Inspections],tblSafety[Date],$A162)</f>
        <v/>
      </c>
      <c r="IN162" s="62">
        <f>IF($B162=$B161,$IN161,0)+$IM162</f>
        <v/>
      </c>
      <c r="IO162" s="62">
        <f>$IO161+$IM162</f>
        <v/>
      </c>
      <c r="IP162" s="56">
        <f>IFERROR((SUMIFS(tblSafety[Recordables],tblSafety[Date],"&gt;="&amp;EDATE($E162,-12),tblSafety[Date],"&lt;="&amp;$A162)+SUMIFS(tblSafetyHistory[Recordables],tblSafetyHistory[Month],"&gt;="&amp;EDATE($E162,-12),tblSafetyHistory[Month],"&lt;"&amp;$E162,tblSafetyHistory[Use],1))/(SUMIFS(tblSafety[Hours_Total],tblSafety[Date],"&gt;="&amp;EDATE($E162,-12),tblSafety[Date],"&lt;="&amp;$A162)+SUMIFS(tblSafetyHistory[Hours_Total],tblSafetyHistory[Month],"&gt;="&amp;EDATE($E162,-12),tblSafetyHistory[Month],"&lt;"&amp;$E162,tblSafetyHistory[Use],1))*cfg_RateBasisHours,"")</f>
        <v/>
      </c>
      <c r="IQ162" s="56">
        <f>IFERROR((SUMIFS(tblSafety[LTI],tblSafety[Date],"&gt;="&amp;EDATE($E162,-12),tblSafety[Date],"&lt;="&amp;$A162)+SUMIFS(tblSafetyHistory[LTI],tblSafetyHistory[Month],"&gt;="&amp;EDATE($E162,-12),tblSafetyHistory[Month],"&lt;"&amp;$E162,tblSafetyHistory[Use],1))/(SUMIFS(tblSafety[Hours_Total],tblSafety[Date],"&gt;="&amp;EDATE($E162,-12),tblSafety[Date],"&lt;="&amp;$A162)+SUMIFS(tblSafetyHistory[Hours_Total],tblSafetyHistory[Month],"&gt;="&amp;EDATE($E162,-12),tblSafetyHistory[Month],"&lt;"&amp;$E162,tblSafetyHistory[Use],1))*cfg_RateBasisHours,"")</f>
        <v/>
      </c>
      <c r="IR162" s="62">
        <f>IF(MAX(N(cfg_PriorLTIDate),_xlfn.MAXIFS(tblSafety[Date],tblSafety[LTI],"&gt;0",tblSafety[Date],"&lt;="&amp;$A162))=0,"",$A162-MAX(N(cfg_PriorLTIDate),_xlfn.MAXIFS(tblSafety[Date],tblSafety[LTI],"&gt;0",tblSafety[Date],"&lt;="&amp;$A162)))</f>
        <v/>
      </c>
      <c r="IS162" s="55">
        <f>SUMIFS(tblBudget[Ore_Mined_t],tblBudget[Month],$E162)</f>
        <v/>
      </c>
      <c r="IT162" s="55">
        <f>$IS162*$C162/$D162</f>
        <v/>
      </c>
      <c r="IU162" s="55">
        <f>SUMIFS(tblBudget[Ore_Mined_t],tblBudget[Month],"&lt;"&amp;$E162)+$IT162</f>
        <v/>
      </c>
      <c r="IV162" s="55">
        <f>SUMIFS(tblBudget[Ore_oz],tblBudget[Month],$E162)</f>
        <v/>
      </c>
      <c r="IW162" s="55">
        <f>$IV162*$C162/$D162</f>
        <v/>
      </c>
      <c r="IX162" s="55">
        <f>SUMIFS(tblBudget[Ore_oz],tblBudget[Month],"&lt;"&amp;$E162)+$IW162</f>
        <v/>
      </c>
      <c r="IY162" s="55">
        <f>SUMIFS(tblBudget[Ore_Mined_t],tblBudget[Month],$E162)</f>
        <v/>
      </c>
      <c r="IZ162" s="55">
        <f>$IY162*$C162/$D162</f>
        <v/>
      </c>
      <c r="JA162" s="55">
        <f>SUMIFS(tblBudget[Ore_Mined_t],tblBudget[Month],"&lt;"&amp;$E162)+$IZ162</f>
        <v/>
      </c>
      <c r="JB162" s="56">
        <f>IFERROR(IF(($IY162)&gt;0,($IV162*cfg_TroyOz)/($IY162),""),"")</f>
        <v/>
      </c>
      <c r="JC162" s="56">
        <f>IFERROR(IF(($IZ162)&gt;0,($IW162*cfg_TroyOz)/($IZ162),""),"")</f>
        <v/>
      </c>
      <c r="JD162" s="56">
        <f>IFERROR(IF(($JA162)&gt;0,($IX162*cfg_TroyOz)/($JA162),""),"")</f>
        <v/>
      </c>
      <c r="JE162" s="55">
        <f>SUMIFS(tblBudget[Waste_t],tblBudget[Month],$E162)</f>
        <v/>
      </c>
      <c r="JF162" s="55">
        <f>$JE162*$C162/$D162</f>
        <v/>
      </c>
      <c r="JG162" s="55">
        <f>SUMIFS(tblBudget[Waste_t],tblBudget[Month],"&lt;"&amp;$E162)+$JF162</f>
        <v/>
      </c>
      <c r="JH162" s="55">
        <f>SUMIFS(tblBudget[TMM_t],tblBudget[Month],$E162)</f>
        <v/>
      </c>
      <c r="JI162" s="55">
        <f>$JH162*$C162/$D162</f>
        <v/>
      </c>
      <c r="JJ162" s="55">
        <f>SUMIFS(tblBudget[TMM_t],tblBudget[Month],"&lt;"&amp;$E162)+$JI162</f>
        <v/>
      </c>
      <c r="JK162" s="56">
        <f>IFERROR(IF(($IS162)&gt;0,($JE162)/($IS162),""),"")</f>
        <v/>
      </c>
      <c r="JL162" s="56">
        <f>IFERROR(IF(($IT162)&gt;0,($JF162)/($IT162),""),"")</f>
        <v/>
      </c>
      <c r="JM162" s="56">
        <f>IFERROR(IF(($IU162)&gt;0,($JG162)/($IU162),""),"")</f>
        <v/>
      </c>
      <c r="JN162" s="55">
        <f>SUMIFS(tblBudget[Drill_m],tblBudget[Month],$E162)</f>
        <v/>
      </c>
      <c r="JO162" s="55">
        <f>$JN162*$C162/$D162</f>
        <v/>
      </c>
      <c r="JP162" s="55">
        <f>SUMIFS(tblBudget[Drill_m],tblBudget[Month],"&lt;"&amp;$E162)+$JO162</f>
        <v/>
      </c>
      <c r="JQ162" s="55">
        <f>SUMIFS(tblBudget[Diesel_L],tblBudget[Month],$E162)</f>
        <v/>
      </c>
      <c r="JR162" s="55">
        <f>$JQ162*$C162/$D162</f>
        <v/>
      </c>
      <c r="JS162" s="55">
        <f>SUMIFS(tblBudget[Diesel_L],tblBudget[Month],"&lt;"&amp;$E162)+$JR162</f>
        <v/>
      </c>
      <c r="JT162" s="55">
        <f>SUMIFS(tblBudget[Milled_t],tblBudget[Month],$E162)</f>
        <v/>
      </c>
      <c r="JU162" s="55">
        <f>$JT162*$C162/$D162</f>
        <v/>
      </c>
      <c r="JV162" s="55">
        <f>SUMIFS(tblBudget[Milled_t],tblBudget[Month],"&lt;"&amp;$E162)+$JU162</f>
        <v/>
      </c>
      <c r="JW162" s="55">
        <f>SUMIFS(tblBudget[Feed_oz],tblBudget[Month],$E162)</f>
        <v/>
      </c>
      <c r="JX162" s="55">
        <f>$JW162*$C162/$D162</f>
        <v/>
      </c>
      <c r="JY162" s="55">
        <f>SUMIFS(tblBudget[Feed_oz],tblBudget[Month],"&lt;"&amp;$E162)+$JX162</f>
        <v/>
      </c>
      <c r="JZ162" s="55">
        <f>SUMIFS(tblBudget[Recovered_oz],tblBudget[Month],$E162)</f>
        <v/>
      </c>
      <c r="KA162" s="55">
        <f>$JZ162*$C162/$D162</f>
        <v/>
      </c>
      <c r="KB162" s="55">
        <f>SUMIFS(tblBudget[Recovered_oz],tblBudget[Month],"&lt;"&amp;$E162)+$KA162</f>
        <v/>
      </c>
      <c r="KC162" s="55">
        <f>SUMIFS(tblBudget[Milled_t],tblBudget[Month],$E162)</f>
        <v/>
      </c>
      <c r="KD162" s="55">
        <f>$KC162*$C162/$D162</f>
        <v/>
      </c>
      <c r="KE162" s="55">
        <f>SUMIFS(tblBudget[Milled_t],tblBudget[Month],"&lt;"&amp;$E162)+$KD162</f>
        <v/>
      </c>
      <c r="KF162" s="55">
        <f>SUMIFS(tblBudget[Feed_oz],tblBudget[Month],$E162)</f>
        <v/>
      </c>
      <c r="KG162" s="55">
        <f>$KF162*$C162/$D162</f>
        <v/>
      </c>
      <c r="KH162" s="55">
        <f>SUMIFS(tblBudget[Feed_oz],tblBudget[Month],"&lt;"&amp;$E162)+$KG162</f>
        <v/>
      </c>
      <c r="KI162" s="56">
        <f>IFERROR(IF(($KC162)&gt;0,($JW162*cfg_TroyOz)/($KC162),""),"")</f>
        <v/>
      </c>
      <c r="KJ162" s="56">
        <f>IFERROR(IF(($KD162)&gt;0,($JX162*cfg_TroyOz)/($KD162),""),"")</f>
        <v/>
      </c>
      <c r="KK162" s="56">
        <f>IFERROR(IF(($KE162)&gt;0,($JY162*cfg_TroyOz)/($KE162),""),"")</f>
        <v/>
      </c>
      <c r="KL162" s="67">
        <f>IFERROR(IF(($KF162)&gt;0,($JZ162)/($KF162),""),"")</f>
        <v/>
      </c>
      <c r="KM162" s="67">
        <f>IFERROR(IF(($KG162)&gt;0,($KA162)/($KG162),""),"")</f>
        <v/>
      </c>
      <c r="KN162" s="67">
        <f>IFERROR(IF(($KH162)&gt;0,($KB162)/($KH162),""),"")</f>
        <v/>
      </c>
      <c r="KO162" s="55">
        <f>SUMIFS(tblBudget[Gold_Poured_oz],tblBudget[Month],$E162)</f>
        <v/>
      </c>
      <c r="KP162" s="55">
        <f>$KO162*$C162/$D162</f>
        <v/>
      </c>
      <c r="KQ162" s="55">
        <f>SUMIFS(tblBudget[Gold_Poured_oz],tblBudget[Month],"&lt;"&amp;$E162)+$KP162</f>
        <v/>
      </c>
      <c r="KR162" s="57">
        <f>SUMIFS(tblBudget[Hours_Worked],tblBudget[Month],$E162)</f>
        <v/>
      </c>
      <c r="KS162" s="57">
        <f>$KR162*$C162/$D162</f>
        <v/>
      </c>
      <c r="KT162" s="57">
        <f>SUMIFS(tblBudget[Hours_Worked],tblBudget[Month],"&lt;"&amp;$E162)+$KS162</f>
        <v/>
      </c>
    </row>
    <row r="163">
      <c r="A163" s="54" t="n">
        <v>46184</v>
      </c>
      <c r="B163">
        <f>MONTH($A163)</f>
        <v/>
      </c>
      <c r="C163">
        <f>DAY($A163)</f>
        <v/>
      </c>
      <c r="D163">
        <f>DAY(EOMONTH($A163,0))</f>
        <v/>
      </c>
      <c r="E163" s="54">
        <f>DATE(YEAR($A163),MONTH($A163),1)</f>
        <v/>
      </c>
      <c r="F163" s="55">
        <f>SUMIFS(tblMovement[Tonnes_t],tblMovement[Date],$A163,tblMovement[Is_Ore],1,tblMovement[Source_Type],"Pit")</f>
        <v/>
      </c>
      <c r="G163" s="55">
        <f>IF($B163=$B162,$G162,0)+$F163</f>
        <v/>
      </c>
      <c r="H163" s="55">
        <f>$H162+$F163</f>
        <v/>
      </c>
      <c r="I163" s="55">
        <f>SUMIFS(tblMovement[Ore_oz],tblMovement[Date],$A163,tblMovement[Source_Type],"Pit")</f>
        <v/>
      </c>
      <c r="J163" s="55">
        <f>IF($B163=$B162,$J162,0)+$I163</f>
        <v/>
      </c>
      <c r="K163" s="55">
        <f>$K162+$I163</f>
        <v/>
      </c>
      <c r="L163" s="55">
        <f>SUMIFS(tblMovement[Tonnes_t],tblMovement[Date],$A163,tblMovement[Is_Ore],1,tblMovement[Source_Type],"Pit",tblMovement[Grade_gpt],"&lt;&gt;")</f>
        <v/>
      </c>
      <c r="M163" s="55">
        <f>IF($B163=$B162,$M162,0)+$L163</f>
        <v/>
      </c>
      <c r="N163" s="55">
        <f>$N162+$L163</f>
        <v/>
      </c>
      <c r="O163" s="56">
        <f>IFERROR(IF(($L163)&gt;0,($I163*cfg_TroyOz)/($L163),""),"")</f>
        <v/>
      </c>
      <c r="P163" s="56">
        <f>IFERROR(IF(($M163)&gt;0,($J163*cfg_TroyOz)/($M163),""),"")</f>
        <v/>
      </c>
      <c r="Q163" s="56">
        <f>IFERROR(IF(($N163)&gt;0,($K163*cfg_TroyOz)/($N163),""),"")</f>
        <v/>
      </c>
      <c r="R163" s="55">
        <f>$F163-$L163</f>
        <v/>
      </c>
      <c r="S163" s="55">
        <f>IF($B163=$B162,$S162,0)+$R163</f>
        <v/>
      </c>
      <c r="T163" s="55">
        <f>$T162+$R163</f>
        <v/>
      </c>
      <c r="U163" s="55">
        <f>SUMIFS(tblMovement[Tonnes_t],tblMovement[Date],$A163,tblMovement[Is_Ore],0,tblMovement[Source_Type],"Pit")</f>
        <v/>
      </c>
      <c r="V163" s="55">
        <f>IF($B163=$B162,$V162,0)+$U163</f>
        <v/>
      </c>
      <c r="W163" s="55">
        <f>$W162+$U163</f>
        <v/>
      </c>
      <c r="X163" s="55">
        <f>$F163+$U163</f>
        <v/>
      </c>
      <c r="Y163" s="55">
        <f>IF($B163=$B162,$Y162,0)+$X163</f>
        <v/>
      </c>
      <c r="Z163" s="55">
        <f>$Z162+$X163</f>
        <v/>
      </c>
      <c r="AA163" s="56">
        <f>IFERROR(IF(($F163)&gt;0,($U163)/($F163),""),"")</f>
        <v/>
      </c>
      <c r="AB163" s="56">
        <f>IFERROR(IF(($G163)&gt;0,($V163)/($G163),""),"")</f>
        <v/>
      </c>
      <c r="AC163" s="56">
        <f>IFERROR(IF(($H163)&gt;0,($W163)/($H163),""),"")</f>
        <v/>
      </c>
      <c r="AD163" s="55">
        <f>SUMIFS(tblMovement[Tonnes_t],tblMovement[Date],$A163,tblMovement[Source_Type],"Stockpile")</f>
        <v/>
      </c>
      <c r="AE163" s="55">
        <f>IF($B163=$B162,$AE162,0)+$AD163</f>
        <v/>
      </c>
      <c r="AF163" s="55">
        <f>$AF162+$AD163</f>
        <v/>
      </c>
      <c r="AG163" s="55">
        <f>SUMIFS(tblMovement[Tonnes_t],tblMovement[Date],$A163)</f>
        <v/>
      </c>
      <c r="AH163" s="55">
        <f>IF($B163=$B162,$AH162,0)+$AG163</f>
        <v/>
      </c>
      <c r="AI163" s="55">
        <f>$AI162+$AG163</f>
        <v/>
      </c>
      <c r="AJ163" s="55">
        <f>$AG163-$X163-$AD163</f>
        <v/>
      </c>
      <c r="AK163" s="55">
        <f>IF($B163=$B162,$AK162,0)+$AJ163</f>
        <v/>
      </c>
      <c r="AL163" s="55">
        <f>$AL162+$AJ163</f>
        <v/>
      </c>
      <c r="AM163" s="55">
        <f>SUMIFS(tblMiningDaily[Drill_m],tblMiningDaily[Date],$A163)</f>
        <v/>
      </c>
      <c r="AN163" s="55">
        <f>IF($B163=$B162,$AN162,0)+$AM163</f>
        <v/>
      </c>
      <c r="AO163" s="55">
        <f>$AO162+$AM163</f>
        <v/>
      </c>
      <c r="AP163" s="55">
        <f>SUMIFS(tblMiningDaily[GC_Drill_m],tblMiningDaily[Date],$A163)</f>
        <v/>
      </c>
      <c r="AQ163" s="55">
        <f>IF($B163=$B162,$AQ162,0)+$AP163</f>
        <v/>
      </c>
      <c r="AR163" s="55">
        <f>$AR162+$AP163</f>
        <v/>
      </c>
      <c r="AS163" s="55">
        <f>SUMIFS(tblMiningDaily[Blast_t],tblMiningDaily[Date],$A163)</f>
        <v/>
      </c>
      <c r="AT163" s="55">
        <f>IF($B163=$B162,$AT162,0)+$AS163</f>
        <v/>
      </c>
      <c r="AU163" s="55">
        <f>$AU162+$AS163</f>
        <v/>
      </c>
      <c r="AV163" s="55">
        <f>SUMIFS(tblMiningDaily[Explosives_kg],tblMiningDaily[Date],$A163)</f>
        <v/>
      </c>
      <c r="AW163" s="55">
        <f>IF($B163=$B162,$AW162,0)+$AV163</f>
        <v/>
      </c>
      <c r="AX163" s="55">
        <f>$AX162+$AV163</f>
        <v/>
      </c>
      <c r="AY163" s="56">
        <f>IFERROR(IF(($AS163)&gt;0,($AV163)/($AS163),""),"")</f>
        <v/>
      </c>
      <c r="AZ163" s="56">
        <f>IFERROR(IF(($AT163)&gt;0,($AW163)/($AT163),""),"")</f>
        <v/>
      </c>
      <c r="BA163" s="56">
        <f>IFERROR(IF(($AU163)&gt;0,($AX163)/($AU163),""),"")</f>
        <v/>
      </c>
      <c r="BB163" s="55">
        <f>SUMIFS(tblMiningDaily[Diesel_L],tblMiningDaily[Date],$A163)</f>
        <v/>
      </c>
      <c r="BC163" s="55">
        <f>IF($B163=$B162,$BC162,0)+$BB163</f>
        <v/>
      </c>
      <c r="BD163" s="55">
        <f>$BD162+$BB163</f>
        <v/>
      </c>
      <c r="BE163" s="55">
        <f>SUMIFS(tblMiningDaily[Dewatering_m3],tblMiningDaily[Date],$A163)</f>
        <v/>
      </c>
      <c r="BF163" s="55">
        <f>IF($B163=$B162,$BF162,0)+$BE163</f>
        <v/>
      </c>
      <c r="BG163" s="55">
        <f>$BG162+$BE163</f>
        <v/>
      </c>
      <c r="BH163" s="57">
        <f>SUMIFS(tblFleet[Calendar_h],tblFleet[Date],$A163,tblFleet[Equipment_Class],"Excavator")</f>
        <v/>
      </c>
      <c r="BI163" s="57">
        <f>IF($B163=$B162,$BI162,0)+$BH163</f>
        <v/>
      </c>
      <c r="BJ163" s="57">
        <f>$BJ162+$BH163</f>
        <v/>
      </c>
      <c r="BK163" s="57">
        <f>SUMIFS(tblFleet[Available_h],tblFleet[Date],$A163,tblFleet[Equipment_Class],"Excavator")</f>
        <v/>
      </c>
      <c r="BL163" s="57">
        <f>IF($B163=$B162,$BL162,0)+$BK163</f>
        <v/>
      </c>
      <c r="BM163" s="57">
        <f>$BM162+$BK163</f>
        <v/>
      </c>
      <c r="BN163" s="57">
        <f>SUMIFS(tblFleet[Operating_h],tblFleet[Date],$A163,tblFleet[Equipment_Class],"Excavator")</f>
        <v/>
      </c>
      <c r="BO163" s="57">
        <f>IF($B163=$B162,$BO162,0)+$BN163</f>
        <v/>
      </c>
      <c r="BP163" s="57">
        <f>$BP162+$BN163</f>
        <v/>
      </c>
      <c r="BQ163" s="67">
        <f>IFERROR(IF(($BH163)&gt;0,($BK163)/($BH163),""),"")</f>
        <v/>
      </c>
      <c r="BR163" s="67">
        <f>IFERROR(IF(($BI163)&gt;0,($BL163)/($BI163),""),"")</f>
        <v/>
      </c>
      <c r="BS163" s="67">
        <f>IFERROR(IF(($BJ163)&gt;0,($BM163)/($BJ163),""),"")</f>
        <v/>
      </c>
      <c r="BT163" s="67">
        <f>IFERROR(IF(($BK163)&gt;0,($BN163)/($BK163),""),"")</f>
        <v/>
      </c>
      <c r="BU163" s="67">
        <f>IFERROR(IF(($BL163)&gt;0,($BO163)/($BL163),""),"")</f>
        <v/>
      </c>
      <c r="BV163" s="67">
        <f>IFERROR(IF(($BM163)&gt;0,($BP163)/($BM163),""),"")</f>
        <v/>
      </c>
      <c r="BW163" s="57">
        <f>SUMIFS(tblFleet[Calendar_h],tblFleet[Date],$A163,tblFleet[Equipment_Class],"Haul Truck")</f>
        <v/>
      </c>
      <c r="BX163" s="57">
        <f>IF($B163=$B162,$BX162,0)+$BW163</f>
        <v/>
      </c>
      <c r="BY163" s="57">
        <f>$BY162+$BW163</f>
        <v/>
      </c>
      <c r="BZ163" s="57">
        <f>SUMIFS(tblFleet[Available_h],tblFleet[Date],$A163,tblFleet[Equipment_Class],"Haul Truck")</f>
        <v/>
      </c>
      <c r="CA163" s="57">
        <f>IF($B163=$B162,$CA162,0)+$BZ163</f>
        <v/>
      </c>
      <c r="CB163" s="57">
        <f>$CB162+$BZ163</f>
        <v/>
      </c>
      <c r="CC163" s="57">
        <f>SUMIFS(tblFleet[Operating_h],tblFleet[Date],$A163,tblFleet[Equipment_Class],"Haul Truck")</f>
        <v/>
      </c>
      <c r="CD163" s="57">
        <f>IF($B163=$B162,$CD162,0)+$CC163</f>
        <v/>
      </c>
      <c r="CE163" s="57">
        <f>$CE162+$CC163</f>
        <v/>
      </c>
      <c r="CF163" s="67">
        <f>IFERROR(IF(($BW163)&gt;0,($BZ163)/($BW163),""),"")</f>
        <v/>
      </c>
      <c r="CG163" s="67">
        <f>IFERROR(IF(($BX163)&gt;0,($CA163)/($BX163),""),"")</f>
        <v/>
      </c>
      <c r="CH163" s="67">
        <f>IFERROR(IF(($BY163)&gt;0,($CB163)/($BY163),""),"")</f>
        <v/>
      </c>
      <c r="CI163" s="67">
        <f>IFERROR(IF(($BZ163)&gt;0,($CC163)/($BZ163),""),"")</f>
        <v/>
      </c>
      <c r="CJ163" s="67">
        <f>IFERROR(IF(($CA163)&gt;0,($CD163)/($CA163),""),"")</f>
        <v/>
      </c>
      <c r="CK163" s="67">
        <f>IFERROR(IF(($CB163)&gt;0,($CE163)/($CB163),""),"")</f>
        <v/>
      </c>
      <c r="CL163" s="55">
        <f>IFERROR(IF(($BN163)&gt;0,($X163+$AD163)/($BN163),""),"")</f>
        <v/>
      </c>
      <c r="CM163" s="55">
        <f>IFERROR(IF(($BO163)&gt;0,($Y163+$AE163)/($BO163),""),"")</f>
        <v/>
      </c>
      <c r="CN163" s="55">
        <f>IFERROR(IF(($BP163)&gt;0,($Z163+$AF163)/($BP163),""),"")</f>
        <v/>
      </c>
      <c r="CO163" s="55">
        <f>IFERROR(IF(($CC163)&gt;0,($X163+$AD163)/($CC163),""),"")</f>
        <v/>
      </c>
      <c r="CP163" s="55">
        <f>IFERROR(IF(($CD163)&gt;0,($Y163+$AE163)/($CD163),""),"")</f>
        <v/>
      </c>
      <c r="CQ163" s="55">
        <f>IFERROR(IF(($CE163)&gt;0,($Z163+$AF163)/($CE163),""),"")</f>
        <v/>
      </c>
      <c r="CR163" s="55">
        <f>SUMIFS(tblPlant[Crushed_t],tblPlant[Date],$A163)</f>
        <v/>
      </c>
      <c r="CS163" s="55">
        <f>IF($B163=$B162,$CS162,0)+$CR163</f>
        <v/>
      </c>
      <c r="CT163" s="55">
        <f>$CT162+$CR163</f>
        <v/>
      </c>
      <c r="CU163" s="55">
        <f>SUMIFS(tblPlant[Milled_t],tblPlant[Date],$A163)</f>
        <v/>
      </c>
      <c r="CV163" s="55">
        <f>IF($B163=$B162,$CV162,0)+$CU163</f>
        <v/>
      </c>
      <c r="CW163" s="55">
        <f>$CW162+$CU163</f>
        <v/>
      </c>
      <c r="CX163" s="55">
        <f>SUMIFS(tblPlant[Feed_oz],tblPlant[Date],$A163)</f>
        <v/>
      </c>
      <c r="CY163" s="55">
        <f>IF($B163=$B162,$CY162,0)+$CX163</f>
        <v/>
      </c>
      <c r="CZ163" s="55">
        <f>$CZ162+$CX163</f>
        <v/>
      </c>
      <c r="DA163" s="55">
        <f>SUMIFS(tblPlant[Tails_oz],tblPlant[Date],$A163)</f>
        <v/>
      </c>
      <c r="DB163" s="55">
        <f>IF($B163=$B162,$DB162,0)+$DA163</f>
        <v/>
      </c>
      <c r="DC163" s="55">
        <f>$DC162+$DA163</f>
        <v/>
      </c>
      <c r="DD163" s="55">
        <f>SUMIFS(tblPlant[Recovered_oz],tblPlant[Date],$A163)</f>
        <v/>
      </c>
      <c r="DE163" s="55">
        <f>IF($B163=$B162,$DE162,0)+$DD163</f>
        <v/>
      </c>
      <c r="DF163" s="55">
        <f>$DF162+$DD163</f>
        <v/>
      </c>
      <c r="DG163" s="55">
        <f>SUMIFS(tblPlant[Milled_t],tblPlant[Date],$A163,tblPlant[Head_Grade_gpt],"&lt;&gt;")</f>
        <v/>
      </c>
      <c r="DH163" s="55">
        <f>IF($B163=$B162,$DH162,0)+$DG163</f>
        <v/>
      </c>
      <c r="DI163" s="55">
        <f>$DI162+$DG163</f>
        <v/>
      </c>
      <c r="DJ163" s="55">
        <f>SUMIFS(tblPlant[Milled_t],tblPlant[Date],$A163,tblPlant[Tails_Grade_gpt],"&lt;&gt;")</f>
        <v/>
      </c>
      <c r="DK163" s="55">
        <f>IF($B163=$B162,$DK162,0)+$DJ163</f>
        <v/>
      </c>
      <c r="DL163" s="55">
        <f>$DL162+$DJ163</f>
        <v/>
      </c>
      <c r="DM163" s="55">
        <f>SUMIFS(tblPlant[Feed_oz],tblPlant[Date],$A163,tblPlant[Tails_Grade_gpt],"&lt;&gt;")</f>
        <v/>
      </c>
      <c r="DN163" s="55">
        <f>IF($B163=$B162,$DN162,0)+$DM163</f>
        <v/>
      </c>
      <c r="DO163" s="55">
        <f>$DO162+$DM163</f>
        <v/>
      </c>
      <c r="DP163" s="55">
        <f>SUMIFS(tblPlant[Milled_t],tblPlant[Date],$A163,tblPlant[Mill_Run_h],"&lt;&gt;")</f>
        <v/>
      </c>
      <c r="DQ163" s="55">
        <f>IF($B163=$B162,$DQ162,0)+$DP163</f>
        <v/>
      </c>
      <c r="DR163" s="55">
        <f>$DR162+$DP163</f>
        <v/>
      </c>
      <c r="DS163" s="56">
        <f>IFERROR(IF(($DG163)&gt;0,($CX163*cfg_TroyOz)/($DG163),""),"")</f>
        <v/>
      </c>
      <c r="DT163" s="56">
        <f>IFERROR(IF(($DH163)&gt;0,($CY163*cfg_TroyOz)/($DH163),""),"")</f>
        <v/>
      </c>
      <c r="DU163" s="56">
        <f>IFERROR(IF(($DI163)&gt;0,($CZ163*cfg_TroyOz)/($DI163),""),"")</f>
        <v/>
      </c>
      <c r="DV163" s="56">
        <f>IFERROR(IF(($DJ163)&gt;0,($DA163*cfg_TroyOz)/($DJ163),""),"")</f>
        <v/>
      </c>
      <c r="DW163" s="56">
        <f>IFERROR(IF(($DK163)&gt;0,($DB163*cfg_TroyOz)/($DK163),""),"")</f>
        <v/>
      </c>
      <c r="DX163" s="56">
        <f>IFERROR(IF(($DL163)&gt;0,($DC163*cfg_TroyOz)/($DL163),""),"")</f>
        <v/>
      </c>
      <c r="DY163" s="67">
        <f>IFERROR(IF(($DM163)&gt;0,($DD163)/($DM163),""),"")</f>
        <v/>
      </c>
      <c r="DZ163" s="67">
        <f>IFERROR(IF(($DN163)&gt;0,($DE163)/($DN163),""),"")</f>
        <v/>
      </c>
      <c r="EA163" s="67">
        <f>IFERROR(IF(($DO163)&gt;0,($DF163)/($DO163),""),"")</f>
        <v/>
      </c>
      <c r="EB163" s="55">
        <f>SUMIFS(tblPlant[Gravity_Gold_oz],tblPlant[Date],$A163)</f>
        <v/>
      </c>
      <c r="EC163" s="55">
        <f>IF($B163=$B162,$EC162,0)+$EB163</f>
        <v/>
      </c>
      <c r="ED163" s="55">
        <f>$ED162+$EB163</f>
        <v/>
      </c>
      <c r="EE163" s="67">
        <f>IFERROR(IF(($DD163)&gt;0,($EB163)/($DD163),""),"")</f>
        <v/>
      </c>
      <c r="EF163" s="67">
        <f>IFERROR(IF(($DE163)&gt;0,($EC163)/($DE163),""),"")</f>
        <v/>
      </c>
      <c r="EG163" s="67">
        <f>IFERROR(IF(($DF163)&gt;0,($ED163)/($DF163),""),"")</f>
        <v/>
      </c>
      <c r="EH163" s="55">
        <f>SUMIFS(tblPlant[Gold_Poured_oz],tblPlant[Date],$A163)</f>
        <v/>
      </c>
      <c r="EI163" s="55">
        <f>IF($B163=$B162,$EI162,0)+$EH163</f>
        <v/>
      </c>
      <c r="EJ163" s="55">
        <f>$EJ162+$EH163</f>
        <v/>
      </c>
      <c r="EK163" s="57">
        <f>SUMIFS(tblPlant[Mill_Run_h],tblPlant[Date],$A163)</f>
        <v/>
      </c>
      <c r="EL163" s="57">
        <f>IF($B163=$B162,$EL162,0)+$EK163</f>
        <v/>
      </c>
      <c r="EM163" s="57">
        <f>$EM162+$EK163</f>
        <v/>
      </c>
      <c r="EN163" s="57">
        <f>SUMIFS(tblPlant[Mill_Planned_Maint_h],tblPlant[Date],$A163)</f>
        <v/>
      </c>
      <c r="EO163" s="57">
        <f>IF($B163=$B162,$EO162,0)+$EN163</f>
        <v/>
      </c>
      <c r="EP163" s="57">
        <f>$EP162+$EN163</f>
        <v/>
      </c>
      <c r="EQ163" s="57">
        <f>SUMIFS(tblPlant[Mill_Unplanned_Down_h],tblPlant[Date],$A163)</f>
        <v/>
      </c>
      <c r="ER163" s="57">
        <f>IF($B163=$B162,$ER162,0)+$EQ163</f>
        <v/>
      </c>
      <c r="ES163" s="57">
        <f>$ES162+$EQ163</f>
        <v/>
      </c>
      <c r="ET163" s="57">
        <f>IF(COUNTIFS(tblPlant[Date],$A163,tblPlant[Mill_Run_h],"&lt;&gt;")+COUNTIFS(tblPlant[Date],$A163,tblPlant[Mill_Planned_Maint_h],"&lt;&gt;")+COUNTIFS(tblPlant[Date],$A163,tblPlant[Mill_Unplanned_Down_h],"&lt;&gt;")&gt;0,cfg_HoursPerDay,0)</f>
        <v/>
      </c>
      <c r="EU163" s="57">
        <f>IF($B163=$B162,$EU162,0)+$ET163</f>
        <v/>
      </c>
      <c r="EV163" s="57">
        <f>$EV162+$ET163</f>
        <v/>
      </c>
      <c r="EW163" s="57">
        <f>SUMIFS(tblPlant[Crusher_Run_h],tblPlant[Date],$A163)</f>
        <v/>
      </c>
      <c r="EX163" s="57">
        <f>IF($B163=$B162,$EX162,0)+$EW163</f>
        <v/>
      </c>
      <c r="EY163" s="57">
        <f>$EY162+$EW163</f>
        <v/>
      </c>
      <c r="EZ163" s="55">
        <f>IFERROR(IF(($EK163)&gt;0,($DP163)/($EK163),""),"")</f>
        <v/>
      </c>
      <c r="FA163" s="55">
        <f>IFERROR(IF(($EL163)&gt;0,($DQ163)/($EL163),""),"")</f>
        <v/>
      </c>
      <c r="FB163" s="55">
        <f>IFERROR(IF(($EM163)&gt;0,($DR163)/($EM163),""),"")</f>
        <v/>
      </c>
      <c r="FC163" s="67">
        <f>IFERROR(IF(($ET163)&gt;0,($ET163-$EN163-$EQ163)/($ET163),""),"")</f>
        <v/>
      </c>
      <c r="FD163" s="67">
        <f>IFERROR(IF(($EU163)&gt;0,($EU163-$EO163-$ER163)/($EU163),""),"")</f>
        <v/>
      </c>
      <c r="FE163" s="67">
        <f>IFERROR(IF(($EV163)&gt;0,($EV163-$EP163-$ES163)/($EV163),""),"")</f>
        <v/>
      </c>
      <c r="FF163" s="67">
        <f>IFERROR(IF(($ET163-$EN163-$EQ163)&gt;0,($EK163)/($ET163-$EN163-$EQ163),""),"")</f>
        <v/>
      </c>
      <c r="FG163" s="67">
        <f>IFERROR(IF(($EU163-$EO163-$ER163)&gt;0,($EL163)/($EU163-$EO163-$ER163),""),"")</f>
        <v/>
      </c>
      <c r="FH163" s="67">
        <f>IFERROR(IF(($EV163-$EP163-$ES163)&gt;0,($EM163)/($EV163-$EP163-$ES163),""),"")</f>
        <v/>
      </c>
      <c r="FI163" s="55">
        <f>SUMIFS(tblPlant[Cyanide_kg],tblPlant[Date],$A163)</f>
        <v/>
      </c>
      <c r="FJ163" s="55">
        <f>IF($B163=$B162,$FJ162,0)+$FI163</f>
        <v/>
      </c>
      <c r="FK163" s="55">
        <f>$FK162+$FI163</f>
        <v/>
      </c>
      <c r="FL163" s="55">
        <f>SUMIFS(tblPlant[Lime_kg],tblPlant[Date],$A163)</f>
        <v/>
      </c>
      <c r="FM163" s="55">
        <f>IF($B163=$B162,$FM162,0)+$FL163</f>
        <v/>
      </c>
      <c r="FN163" s="55">
        <f>$FN162+$FL163</f>
        <v/>
      </c>
      <c r="FO163" s="55">
        <f>SUMIFS(tblPlant[Grinding_Media_kg],tblPlant[Date],$A163)</f>
        <v/>
      </c>
      <c r="FP163" s="55">
        <f>IF($B163=$B162,$FP162,0)+$FO163</f>
        <v/>
      </c>
      <c r="FQ163" s="55">
        <f>$FQ162+$FO163</f>
        <v/>
      </c>
      <c r="FR163" s="55">
        <f>SUMIFS(tblPlant[Power_kWh],tblPlant[Date],$A163)</f>
        <v/>
      </c>
      <c r="FS163" s="55">
        <f>IF($B163=$B162,$FS162,0)+$FR163</f>
        <v/>
      </c>
      <c r="FT163" s="55">
        <f>$FT162+$FR163</f>
        <v/>
      </c>
      <c r="FU163" s="55">
        <f>SUMIFS(tblPlant[Raw_Water_m3],tblPlant[Date],$A163)</f>
        <v/>
      </c>
      <c r="FV163" s="55">
        <f>IF($B163=$B162,$FV162,0)+$FU163</f>
        <v/>
      </c>
      <c r="FW163" s="55">
        <f>$FW162+$FU163</f>
        <v/>
      </c>
      <c r="FX163" s="56">
        <f>IFERROR(IF(($CU163)&gt;0,($FI163)/($CU163),""),"")</f>
        <v/>
      </c>
      <c r="FY163" s="56">
        <f>IFERROR(IF(($CV163)&gt;0,($FJ163)/($CV163),""),"")</f>
        <v/>
      </c>
      <c r="FZ163" s="56">
        <f>IFERROR(IF(($CW163)&gt;0,($FK163)/($CW163),""),"")</f>
        <v/>
      </c>
      <c r="GA163" s="56">
        <f>IFERROR(IF(($CU163)&gt;0,($FL163)/($CU163),""),"")</f>
        <v/>
      </c>
      <c r="GB163" s="56">
        <f>IFERROR(IF(($CV163)&gt;0,($FM163)/($CV163),""),"")</f>
        <v/>
      </c>
      <c r="GC163" s="56">
        <f>IFERROR(IF(($CW163)&gt;0,($FN163)/($CW163),""),"")</f>
        <v/>
      </c>
      <c r="GD163" s="56">
        <f>IFERROR(IF(($CU163)&gt;0,($FO163)/($CU163),""),"")</f>
        <v/>
      </c>
      <c r="GE163" s="56">
        <f>IFERROR(IF(($CV163)&gt;0,($FP163)/($CV163),""),"")</f>
        <v/>
      </c>
      <c r="GF163" s="56">
        <f>IFERROR(IF(($CW163)&gt;0,($FQ163)/($CW163),""),"")</f>
        <v/>
      </c>
      <c r="GG163" s="79">
        <f>IFERROR(IF(($CU163)&gt;0,($FR163)/($CU163),""),"")</f>
        <v/>
      </c>
      <c r="GH163" s="79">
        <f>IFERROR(IF(($CV163)&gt;0,($FS163)/($CV163),""),"")</f>
        <v/>
      </c>
      <c r="GI163" s="79">
        <f>IFERROR(IF(($CW163)&gt;0,($FT163)/($CW163),""),"")</f>
        <v/>
      </c>
      <c r="GJ163" s="56">
        <f>IFERROR(IF(($CU163)&gt;0,($FU163)/($CU163),""),"")</f>
        <v/>
      </c>
      <c r="GK163" s="56">
        <f>IFERROR(IF(($CV163)&gt;0,($FV163)/($CV163),""),"")</f>
        <v/>
      </c>
      <c r="GL163" s="56">
        <f>IFERROR(IF(($CW163)&gt;0,($FW163)/($CW163),""),"")</f>
        <v/>
      </c>
      <c r="GM163" s="55">
        <f>IF(SUMIFS(tblPlant[GIC_oz],tblPlant[Date],$A163)&gt;0,SUMIFS(tblPlant[GIC_oz],tblPlant[Date],$A163),"")</f>
        <v/>
      </c>
      <c r="GN163" s="55">
        <f>SUMIFS(tblGold[Gold_oz],tblGold[Date],$A163,tblGold[Type],"Shipment")</f>
        <v/>
      </c>
      <c r="GO163" s="55">
        <f>IF($B163=$B162,$GO162,0)+$GN163</f>
        <v/>
      </c>
      <c r="GP163" s="55">
        <f>$GP162+$GN163</f>
        <v/>
      </c>
      <c r="GQ163" s="55">
        <f>SUMIFS(tblGold[Gold_oz],tblGold[Date],$A163,tblGold[Type],"Sale")</f>
        <v/>
      </c>
      <c r="GR163" s="55">
        <f>IF($B163=$B162,$GR162,0)+$GQ163</f>
        <v/>
      </c>
      <c r="GS163" s="55">
        <f>$GS162+$GQ163</f>
        <v/>
      </c>
      <c r="GT163" s="55">
        <f>SUMIFS(tblGold[Dore_kg],tblGold[Date],$A163,tblGold[Type],"Shipment")</f>
        <v/>
      </c>
      <c r="GU163" s="55">
        <f>IF($B163=$B162,$GU162,0)+$GT163</f>
        <v/>
      </c>
      <c r="GV163" s="55">
        <f>$GV162+$GT163</f>
        <v/>
      </c>
      <c r="GW163" s="57">
        <f>SUMIFS(tblSafety[Hours_Total],tblSafety[Date],$A163)</f>
        <v/>
      </c>
      <c r="GX163" s="57">
        <f>IF($B163=$B162,$GX162,0)+$GW163</f>
        <v/>
      </c>
      <c r="GY163" s="57">
        <f>$GY162+$GW163</f>
        <v/>
      </c>
      <c r="GZ163" s="62">
        <f>SUMIFS(tblSafety[Fatality],tblSafety[Date],$A163)</f>
        <v/>
      </c>
      <c r="HA163" s="62">
        <f>IF($B163=$B162,$HA162,0)+$GZ163</f>
        <v/>
      </c>
      <c r="HB163" s="62">
        <f>$HB162+$GZ163</f>
        <v/>
      </c>
      <c r="HC163" s="62">
        <f>SUMIFS(tblSafety[LTI],tblSafety[Date],$A163)</f>
        <v/>
      </c>
      <c r="HD163" s="62">
        <f>IF($B163=$B162,$HD162,0)+$HC163</f>
        <v/>
      </c>
      <c r="HE163" s="62">
        <f>$HE162+$HC163</f>
        <v/>
      </c>
      <c r="HF163" s="62">
        <f>SUMIFS(tblSafety[RWI],tblSafety[Date],$A163)</f>
        <v/>
      </c>
      <c r="HG163" s="62">
        <f>IF($B163=$B162,$HG162,0)+$HF163</f>
        <v/>
      </c>
      <c r="HH163" s="62">
        <f>$HH162+$HF163</f>
        <v/>
      </c>
      <c r="HI163" s="62">
        <f>SUMIFS(tblSafety[MTI],tblSafety[Date],$A163)</f>
        <v/>
      </c>
      <c r="HJ163" s="62">
        <f>IF($B163=$B162,$HJ162,0)+$HI163</f>
        <v/>
      </c>
      <c r="HK163" s="62">
        <f>$HK162+$HI163</f>
        <v/>
      </c>
      <c r="HL163" s="62">
        <f>SUMIFS(tblSafety[FAI],tblSafety[Date],$A163)</f>
        <v/>
      </c>
      <c r="HM163" s="62">
        <f>IF($B163=$B162,$HM162,0)+$HL163</f>
        <v/>
      </c>
      <c r="HN163" s="62">
        <f>$HN162+$HL163</f>
        <v/>
      </c>
      <c r="HO163" s="62">
        <f>SUMIFS(tblSafety[Recordables],tblSafety[Date],$A163)</f>
        <v/>
      </c>
      <c r="HP163" s="62">
        <f>IF($B163=$B162,$HP162,0)+$HO163</f>
        <v/>
      </c>
      <c r="HQ163" s="62">
        <f>$HQ162+$HO163</f>
        <v/>
      </c>
      <c r="HR163" s="62">
        <f>SUMIFS(tblSafety[Near_Miss],tblSafety[Date],$A163)</f>
        <v/>
      </c>
      <c r="HS163" s="62">
        <f>IF($B163=$B162,$HS162,0)+$HR163</f>
        <v/>
      </c>
      <c r="HT163" s="62">
        <f>$HT162+$HR163</f>
        <v/>
      </c>
      <c r="HU163" s="62">
        <f>SUMIFS(tblSafety[Hazard_Reports],tblSafety[Date],$A163)</f>
        <v/>
      </c>
      <c r="HV163" s="62">
        <f>IF($B163=$B162,$HV162,0)+$HU163</f>
        <v/>
      </c>
      <c r="HW163" s="62">
        <f>$HW162+$HU163</f>
        <v/>
      </c>
      <c r="HX163" s="62">
        <f>SUMIFS(tblSafety[HPI],tblSafety[Date],$A163)</f>
        <v/>
      </c>
      <c r="HY163" s="62">
        <f>IF($B163=$B162,$HY162,0)+$HX163</f>
        <v/>
      </c>
      <c r="HZ163" s="62">
        <f>$HZ162+$HX163</f>
        <v/>
      </c>
      <c r="IA163" s="62">
        <f>SUMIFS(tblSafety[Env_Incidents],tblSafety[Date],$A163)</f>
        <v/>
      </c>
      <c r="IB163" s="62">
        <f>IF($B163=$B162,$IB162,0)+$IA163</f>
        <v/>
      </c>
      <c r="IC163" s="62">
        <f>$IC162+$IA163</f>
        <v/>
      </c>
      <c r="ID163" s="62">
        <f>SUMIFS(tblSafety[Community_Incidents],tblSafety[Date],$A163)</f>
        <v/>
      </c>
      <c r="IE163" s="62">
        <f>IF($B163=$B162,$IE162,0)+$ID163</f>
        <v/>
      </c>
      <c r="IF163" s="62">
        <f>$IF162+$ID163</f>
        <v/>
      </c>
      <c r="IG163" s="62">
        <f>SUMIFS(tblSafety[Vehicle_Incidents],tblSafety[Date],$A163)</f>
        <v/>
      </c>
      <c r="IH163" s="62">
        <f>IF($B163=$B162,$IH162,0)+$IG163</f>
        <v/>
      </c>
      <c r="II163" s="62">
        <f>$II162+$IG163</f>
        <v/>
      </c>
      <c r="IJ163" s="62">
        <f>SUMIFS(tblSafety[Toolbox_Talks],tblSafety[Date],$A163)</f>
        <v/>
      </c>
      <c r="IK163" s="62">
        <f>IF($B163=$B162,$IK162,0)+$IJ163</f>
        <v/>
      </c>
      <c r="IL163" s="62">
        <f>$IL162+$IJ163</f>
        <v/>
      </c>
      <c r="IM163" s="62">
        <f>SUMIFS(tblSafety[Inspections],tblSafety[Date],$A163)</f>
        <v/>
      </c>
      <c r="IN163" s="62">
        <f>IF($B163=$B162,$IN162,0)+$IM163</f>
        <v/>
      </c>
      <c r="IO163" s="62">
        <f>$IO162+$IM163</f>
        <v/>
      </c>
      <c r="IP163" s="56">
        <f>IFERROR((SUMIFS(tblSafety[Recordables],tblSafety[Date],"&gt;="&amp;EDATE($E163,-12),tblSafety[Date],"&lt;="&amp;$A163)+SUMIFS(tblSafetyHistory[Recordables],tblSafetyHistory[Month],"&gt;="&amp;EDATE($E163,-12),tblSafetyHistory[Month],"&lt;"&amp;$E163,tblSafetyHistory[Use],1))/(SUMIFS(tblSafety[Hours_Total],tblSafety[Date],"&gt;="&amp;EDATE($E163,-12),tblSafety[Date],"&lt;="&amp;$A163)+SUMIFS(tblSafetyHistory[Hours_Total],tblSafetyHistory[Month],"&gt;="&amp;EDATE($E163,-12),tblSafetyHistory[Month],"&lt;"&amp;$E163,tblSafetyHistory[Use],1))*cfg_RateBasisHours,"")</f>
        <v/>
      </c>
      <c r="IQ163" s="56">
        <f>IFERROR((SUMIFS(tblSafety[LTI],tblSafety[Date],"&gt;="&amp;EDATE($E163,-12),tblSafety[Date],"&lt;="&amp;$A163)+SUMIFS(tblSafetyHistory[LTI],tblSafetyHistory[Month],"&gt;="&amp;EDATE($E163,-12),tblSafetyHistory[Month],"&lt;"&amp;$E163,tblSafetyHistory[Use],1))/(SUMIFS(tblSafety[Hours_Total],tblSafety[Date],"&gt;="&amp;EDATE($E163,-12),tblSafety[Date],"&lt;="&amp;$A163)+SUMIFS(tblSafetyHistory[Hours_Total],tblSafetyHistory[Month],"&gt;="&amp;EDATE($E163,-12),tblSafetyHistory[Month],"&lt;"&amp;$E163,tblSafetyHistory[Use],1))*cfg_RateBasisHours,"")</f>
        <v/>
      </c>
      <c r="IR163" s="62">
        <f>IF(MAX(N(cfg_PriorLTIDate),_xlfn.MAXIFS(tblSafety[Date],tblSafety[LTI],"&gt;0",tblSafety[Date],"&lt;="&amp;$A163))=0,"",$A163-MAX(N(cfg_PriorLTIDate),_xlfn.MAXIFS(tblSafety[Date],tblSafety[LTI],"&gt;0",tblSafety[Date],"&lt;="&amp;$A163)))</f>
        <v/>
      </c>
      <c r="IS163" s="55">
        <f>SUMIFS(tblBudget[Ore_Mined_t],tblBudget[Month],$E163)</f>
        <v/>
      </c>
      <c r="IT163" s="55">
        <f>$IS163*$C163/$D163</f>
        <v/>
      </c>
      <c r="IU163" s="55">
        <f>SUMIFS(tblBudget[Ore_Mined_t],tblBudget[Month],"&lt;"&amp;$E163)+$IT163</f>
        <v/>
      </c>
      <c r="IV163" s="55">
        <f>SUMIFS(tblBudget[Ore_oz],tblBudget[Month],$E163)</f>
        <v/>
      </c>
      <c r="IW163" s="55">
        <f>$IV163*$C163/$D163</f>
        <v/>
      </c>
      <c r="IX163" s="55">
        <f>SUMIFS(tblBudget[Ore_oz],tblBudget[Month],"&lt;"&amp;$E163)+$IW163</f>
        <v/>
      </c>
      <c r="IY163" s="55">
        <f>SUMIFS(tblBudget[Ore_Mined_t],tblBudget[Month],$E163)</f>
        <v/>
      </c>
      <c r="IZ163" s="55">
        <f>$IY163*$C163/$D163</f>
        <v/>
      </c>
      <c r="JA163" s="55">
        <f>SUMIFS(tblBudget[Ore_Mined_t],tblBudget[Month],"&lt;"&amp;$E163)+$IZ163</f>
        <v/>
      </c>
      <c r="JB163" s="56">
        <f>IFERROR(IF(($IY163)&gt;0,($IV163*cfg_TroyOz)/($IY163),""),"")</f>
        <v/>
      </c>
      <c r="JC163" s="56">
        <f>IFERROR(IF(($IZ163)&gt;0,($IW163*cfg_TroyOz)/($IZ163),""),"")</f>
        <v/>
      </c>
      <c r="JD163" s="56">
        <f>IFERROR(IF(($JA163)&gt;0,($IX163*cfg_TroyOz)/($JA163),""),"")</f>
        <v/>
      </c>
      <c r="JE163" s="55">
        <f>SUMIFS(tblBudget[Waste_t],tblBudget[Month],$E163)</f>
        <v/>
      </c>
      <c r="JF163" s="55">
        <f>$JE163*$C163/$D163</f>
        <v/>
      </c>
      <c r="JG163" s="55">
        <f>SUMIFS(tblBudget[Waste_t],tblBudget[Month],"&lt;"&amp;$E163)+$JF163</f>
        <v/>
      </c>
      <c r="JH163" s="55">
        <f>SUMIFS(tblBudget[TMM_t],tblBudget[Month],$E163)</f>
        <v/>
      </c>
      <c r="JI163" s="55">
        <f>$JH163*$C163/$D163</f>
        <v/>
      </c>
      <c r="JJ163" s="55">
        <f>SUMIFS(tblBudget[TMM_t],tblBudget[Month],"&lt;"&amp;$E163)+$JI163</f>
        <v/>
      </c>
      <c r="JK163" s="56">
        <f>IFERROR(IF(($IS163)&gt;0,($JE163)/($IS163),""),"")</f>
        <v/>
      </c>
      <c r="JL163" s="56">
        <f>IFERROR(IF(($IT163)&gt;0,($JF163)/($IT163),""),"")</f>
        <v/>
      </c>
      <c r="JM163" s="56">
        <f>IFERROR(IF(($IU163)&gt;0,($JG163)/($IU163),""),"")</f>
        <v/>
      </c>
      <c r="JN163" s="55">
        <f>SUMIFS(tblBudget[Drill_m],tblBudget[Month],$E163)</f>
        <v/>
      </c>
      <c r="JO163" s="55">
        <f>$JN163*$C163/$D163</f>
        <v/>
      </c>
      <c r="JP163" s="55">
        <f>SUMIFS(tblBudget[Drill_m],tblBudget[Month],"&lt;"&amp;$E163)+$JO163</f>
        <v/>
      </c>
      <c r="JQ163" s="55">
        <f>SUMIFS(tblBudget[Diesel_L],tblBudget[Month],$E163)</f>
        <v/>
      </c>
      <c r="JR163" s="55">
        <f>$JQ163*$C163/$D163</f>
        <v/>
      </c>
      <c r="JS163" s="55">
        <f>SUMIFS(tblBudget[Diesel_L],tblBudget[Month],"&lt;"&amp;$E163)+$JR163</f>
        <v/>
      </c>
      <c r="JT163" s="55">
        <f>SUMIFS(tblBudget[Milled_t],tblBudget[Month],$E163)</f>
        <v/>
      </c>
      <c r="JU163" s="55">
        <f>$JT163*$C163/$D163</f>
        <v/>
      </c>
      <c r="JV163" s="55">
        <f>SUMIFS(tblBudget[Milled_t],tblBudget[Month],"&lt;"&amp;$E163)+$JU163</f>
        <v/>
      </c>
      <c r="JW163" s="55">
        <f>SUMIFS(tblBudget[Feed_oz],tblBudget[Month],$E163)</f>
        <v/>
      </c>
      <c r="JX163" s="55">
        <f>$JW163*$C163/$D163</f>
        <v/>
      </c>
      <c r="JY163" s="55">
        <f>SUMIFS(tblBudget[Feed_oz],tblBudget[Month],"&lt;"&amp;$E163)+$JX163</f>
        <v/>
      </c>
      <c r="JZ163" s="55">
        <f>SUMIFS(tblBudget[Recovered_oz],tblBudget[Month],$E163)</f>
        <v/>
      </c>
      <c r="KA163" s="55">
        <f>$JZ163*$C163/$D163</f>
        <v/>
      </c>
      <c r="KB163" s="55">
        <f>SUMIFS(tblBudget[Recovered_oz],tblBudget[Month],"&lt;"&amp;$E163)+$KA163</f>
        <v/>
      </c>
      <c r="KC163" s="55">
        <f>SUMIFS(tblBudget[Milled_t],tblBudget[Month],$E163)</f>
        <v/>
      </c>
      <c r="KD163" s="55">
        <f>$KC163*$C163/$D163</f>
        <v/>
      </c>
      <c r="KE163" s="55">
        <f>SUMIFS(tblBudget[Milled_t],tblBudget[Month],"&lt;"&amp;$E163)+$KD163</f>
        <v/>
      </c>
      <c r="KF163" s="55">
        <f>SUMIFS(tblBudget[Feed_oz],tblBudget[Month],$E163)</f>
        <v/>
      </c>
      <c r="KG163" s="55">
        <f>$KF163*$C163/$D163</f>
        <v/>
      </c>
      <c r="KH163" s="55">
        <f>SUMIFS(tblBudget[Feed_oz],tblBudget[Month],"&lt;"&amp;$E163)+$KG163</f>
        <v/>
      </c>
      <c r="KI163" s="56">
        <f>IFERROR(IF(($KC163)&gt;0,($JW163*cfg_TroyOz)/($KC163),""),"")</f>
        <v/>
      </c>
      <c r="KJ163" s="56">
        <f>IFERROR(IF(($KD163)&gt;0,($JX163*cfg_TroyOz)/($KD163),""),"")</f>
        <v/>
      </c>
      <c r="KK163" s="56">
        <f>IFERROR(IF(($KE163)&gt;0,($JY163*cfg_TroyOz)/($KE163),""),"")</f>
        <v/>
      </c>
      <c r="KL163" s="67">
        <f>IFERROR(IF(($KF163)&gt;0,($JZ163)/($KF163),""),"")</f>
        <v/>
      </c>
      <c r="KM163" s="67">
        <f>IFERROR(IF(($KG163)&gt;0,($KA163)/($KG163),""),"")</f>
        <v/>
      </c>
      <c r="KN163" s="67">
        <f>IFERROR(IF(($KH163)&gt;0,($KB163)/($KH163),""),"")</f>
        <v/>
      </c>
      <c r="KO163" s="55">
        <f>SUMIFS(tblBudget[Gold_Poured_oz],tblBudget[Month],$E163)</f>
        <v/>
      </c>
      <c r="KP163" s="55">
        <f>$KO163*$C163/$D163</f>
        <v/>
      </c>
      <c r="KQ163" s="55">
        <f>SUMIFS(tblBudget[Gold_Poured_oz],tblBudget[Month],"&lt;"&amp;$E163)+$KP163</f>
        <v/>
      </c>
      <c r="KR163" s="57">
        <f>SUMIFS(tblBudget[Hours_Worked],tblBudget[Month],$E163)</f>
        <v/>
      </c>
      <c r="KS163" s="57">
        <f>$KR163*$C163/$D163</f>
        <v/>
      </c>
      <c r="KT163" s="57">
        <f>SUMIFS(tblBudget[Hours_Worked],tblBudget[Month],"&lt;"&amp;$E163)+$KS163</f>
        <v/>
      </c>
    </row>
    <row r="164">
      <c r="A164" s="54" t="n">
        <v>46185</v>
      </c>
      <c r="B164">
        <f>MONTH($A164)</f>
        <v/>
      </c>
      <c r="C164">
        <f>DAY($A164)</f>
        <v/>
      </c>
      <c r="D164">
        <f>DAY(EOMONTH($A164,0))</f>
        <v/>
      </c>
      <c r="E164" s="54">
        <f>DATE(YEAR($A164),MONTH($A164),1)</f>
        <v/>
      </c>
      <c r="F164" s="55">
        <f>SUMIFS(tblMovement[Tonnes_t],tblMovement[Date],$A164,tblMovement[Is_Ore],1,tblMovement[Source_Type],"Pit")</f>
        <v/>
      </c>
      <c r="G164" s="55">
        <f>IF($B164=$B163,$G163,0)+$F164</f>
        <v/>
      </c>
      <c r="H164" s="55">
        <f>$H163+$F164</f>
        <v/>
      </c>
      <c r="I164" s="55">
        <f>SUMIFS(tblMovement[Ore_oz],tblMovement[Date],$A164,tblMovement[Source_Type],"Pit")</f>
        <v/>
      </c>
      <c r="J164" s="55">
        <f>IF($B164=$B163,$J163,0)+$I164</f>
        <v/>
      </c>
      <c r="K164" s="55">
        <f>$K163+$I164</f>
        <v/>
      </c>
      <c r="L164" s="55">
        <f>SUMIFS(tblMovement[Tonnes_t],tblMovement[Date],$A164,tblMovement[Is_Ore],1,tblMovement[Source_Type],"Pit",tblMovement[Grade_gpt],"&lt;&gt;")</f>
        <v/>
      </c>
      <c r="M164" s="55">
        <f>IF($B164=$B163,$M163,0)+$L164</f>
        <v/>
      </c>
      <c r="N164" s="55">
        <f>$N163+$L164</f>
        <v/>
      </c>
      <c r="O164" s="56">
        <f>IFERROR(IF(($L164)&gt;0,($I164*cfg_TroyOz)/($L164),""),"")</f>
        <v/>
      </c>
      <c r="P164" s="56">
        <f>IFERROR(IF(($M164)&gt;0,($J164*cfg_TroyOz)/($M164),""),"")</f>
        <v/>
      </c>
      <c r="Q164" s="56">
        <f>IFERROR(IF(($N164)&gt;0,($K164*cfg_TroyOz)/($N164),""),"")</f>
        <v/>
      </c>
      <c r="R164" s="55">
        <f>$F164-$L164</f>
        <v/>
      </c>
      <c r="S164" s="55">
        <f>IF($B164=$B163,$S163,0)+$R164</f>
        <v/>
      </c>
      <c r="T164" s="55">
        <f>$T163+$R164</f>
        <v/>
      </c>
      <c r="U164" s="55">
        <f>SUMIFS(tblMovement[Tonnes_t],tblMovement[Date],$A164,tblMovement[Is_Ore],0,tblMovement[Source_Type],"Pit")</f>
        <v/>
      </c>
      <c r="V164" s="55">
        <f>IF($B164=$B163,$V163,0)+$U164</f>
        <v/>
      </c>
      <c r="W164" s="55">
        <f>$W163+$U164</f>
        <v/>
      </c>
      <c r="X164" s="55">
        <f>$F164+$U164</f>
        <v/>
      </c>
      <c r="Y164" s="55">
        <f>IF($B164=$B163,$Y163,0)+$X164</f>
        <v/>
      </c>
      <c r="Z164" s="55">
        <f>$Z163+$X164</f>
        <v/>
      </c>
      <c r="AA164" s="56">
        <f>IFERROR(IF(($F164)&gt;0,($U164)/($F164),""),"")</f>
        <v/>
      </c>
      <c r="AB164" s="56">
        <f>IFERROR(IF(($G164)&gt;0,($V164)/($G164),""),"")</f>
        <v/>
      </c>
      <c r="AC164" s="56">
        <f>IFERROR(IF(($H164)&gt;0,($W164)/($H164),""),"")</f>
        <v/>
      </c>
      <c r="AD164" s="55">
        <f>SUMIFS(tblMovement[Tonnes_t],tblMovement[Date],$A164,tblMovement[Source_Type],"Stockpile")</f>
        <v/>
      </c>
      <c r="AE164" s="55">
        <f>IF($B164=$B163,$AE163,0)+$AD164</f>
        <v/>
      </c>
      <c r="AF164" s="55">
        <f>$AF163+$AD164</f>
        <v/>
      </c>
      <c r="AG164" s="55">
        <f>SUMIFS(tblMovement[Tonnes_t],tblMovement[Date],$A164)</f>
        <v/>
      </c>
      <c r="AH164" s="55">
        <f>IF($B164=$B163,$AH163,0)+$AG164</f>
        <v/>
      </c>
      <c r="AI164" s="55">
        <f>$AI163+$AG164</f>
        <v/>
      </c>
      <c r="AJ164" s="55">
        <f>$AG164-$X164-$AD164</f>
        <v/>
      </c>
      <c r="AK164" s="55">
        <f>IF($B164=$B163,$AK163,0)+$AJ164</f>
        <v/>
      </c>
      <c r="AL164" s="55">
        <f>$AL163+$AJ164</f>
        <v/>
      </c>
      <c r="AM164" s="55">
        <f>SUMIFS(tblMiningDaily[Drill_m],tblMiningDaily[Date],$A164)</f>
        <v/>
      </c>
      <c r="AN164" s="55">
        <f>IF($B164=$B163,$AN163,0)+$AM164</f>
        <v/>
      </c>
      <c r="AO164" s="55">
        <f>$AO163+$AM164</f>
        <v/>
      </c>
      <c r="AP164" s="55">
        <f>SUMIFS(tblMiningDaily[GC_Drill_m],tblMiningDaily[Date],$A164)</f>
        <v/>
      </c>
      <c r="AQ164" s="55">
        <f>IF($B164=$B163,$AQ163,0)+$AP164</f>
        <v/>
      </c>
      <c r="AR164" s="55">
        <f>$AR163+$AP164</f>
        <v/>
      </c>
      <c r="AS164" s="55">
        <f>SUMIFS(tblMiningDaily[Blast_t],tblMiningDaily[Date],$A164)</f>
        <v/>
      </c>
      <c r="AT164" s="55">
        <f>IF($B164=$B163,$AT163,0)+$AS164</f>
        <v/>
      </c>
      <c r="AU164" s="55">
        <f>$AU163+$AS164</f>
        <v/>
      </c>
      <c r="AV164" s="55">
        <f>SUMIFS(tblMiningDaily[Explosives_kg],tblMiningDaily[Date],$A164)</f>
        <v/>
      </c>
      <c r="AW164" s="55">
        <f>IF($B164=$B163,$AW163,0)+$AV164</f>
        <v/>
      </c>
      <c r="AX164" s="55">
        <f>$AX163+$AV164</f>
        <v/>
      </c>
      <c r="AY164" s="56">
        <f>IFERROR(IF(($AS164)&gt;0,($AV164)/($AS164),""),"")</f>
        <v/>
      </c>
      <c r="AZ164" s="56">
        <f>IFERROR(IF(($AT164)&gt;0,($AW164)/($AT164),""),"")</f>
        <v/>
      </c>
      <c r="BA164" s="56">
        <f>IFERROR(IF(($AU164)&gt;0,($AX164)/($AU164),""),"")</f>
        <v/>
      </c>
      <c r="BB164" s="55">
        <f>SUMIFS(tblMiningDaily[Diesel_L],tblMiningDaily[Date],$A164)</f>
        <v/>
      </c>
      <c r="BC164" s="55">
        <f>IF($B164=$B163,$BC163,0)+$BB164</f>
        <v/>
      </c>
      <c r="BD164" s="55">
        <f>$BD163+$BB164</f>
        <v/>
      </c>
      <c r="BE164" s="55">
        <f>SUMIFS(tblMiningDaily[Dewatering_m3],tblMiningDaily[Date],$A164)</f>
        <v/>
      </c>
      <c r="BF164" s="55">
        <f>IF($B164=$B163,$BF163,0)+$BE164</f>
        <v/>
      </c>
      <c r="BG164" s="55">
        <f>$BG163+$BE164</f>
        <v/>
      </c>
      <c r="BH164" s="57">
        <f>SUMIFS(tblFleet[Calendar_h],tblFleet[Date],$A164,tblFleet[Equipment_Class],"Excavator")</f>
        <v/>
      </c>
      <c r="BI164" s="57">
        <f>IF($B164=$B163,$BI163,0)+$BH164</f>
        <v/>
      </c>
      <c r="BJ164" s="57">
        <f>$BJ163+$BH164</f>
        <v/>
      </c>
      <c r="BK164" s="57">
        <f>SUMIFS(tblFleet[Available_h],tblFleet[Date],$A164,tblFleet[Equipment_Class],"Excavator")</f>
        <v/>
      </c>
      <c r="BL164" s="57">
        <f>IF($B164=$B163,$BL163,0)+$BK164</f>
        <v/>
      </c>
      <c r="BM164" s="57">
        <f>$BM163+$BK164</f>
        <v/>
      </c>
      <c r="BN164" s="57">
        <f>SUMIFS(tblFleet[Operating_h],tblFleet[Date],$A164,tblFleet[Equipment_Class],"Excavator")</f>
        <v/>
      </c>
      <c r="BO164" s="57">
        <f>IF($B164=$B163,$BO163,0)+$BN164</f>
        <v/>
      </c>
      <c r="BP164" s="57">
        <f>$BP163+$BN164</f>
        <v/>
      </c>
      <c r="BQ164" s="67">
        <f>IFERROR(IF(($BH164)&gt;0,($BK164)/($BH164),""),"")</f>
        <v/>
      </c>
      <c r="BR164" s="67">
        <f>IFERROR(IF(($BI164)&gt;0,($BL164)/($BI164),""),"")</f>
        <v/>
      </c>
      <c r="BS164" s="67">
        <f>IFERROR(IF(($BJ164)&gt;0,($BM164)/($BJ164),""),"")</f>
        <v/>
      </c>
      <c r="BT164" s="67">
        <f>IFERROR(IF(($BK164)&gt;0,($BN164)/($BK164),""),"")</f>
        <v/>
      </c>
      <c r="BU164" s="67">
        <f>IFERROR(IF(($BL164)&gt;0,($BO164)/($BL164),""),"")</f>
        <v/>
      </c>
      <c r="BV164" s="67">
        <f>IFERROR(IF(($BM164)&gt;0,($BP164)/($BM164),""),"")</f>
        <v/>
      </c>
      <c r="BW164" s="57">
        <f>SUMIFS(tblFleet[Calendar_h],tblFleet[Date],$A164,tblFleet[Equipment_Class],"Haul Truck")</f>
        <v/>
      </c>
      <c r="BX164" s="57">
        <f>IF($B164=$B163,$BX163,0)+$BW164</f>
        <v/>
      </c>
      <c r="BY164" s="57">
        <f>$BY163+$BW164</f>
        <v/>
      </c>
      <c r="BZ164" s="57">
        <f>SUMIFS(tblFleet[Available_h],tblFleet[Date],$A164,tblFleet[Equipment_Class],"Haul Truck")</f>
        <v/>
      </c>
      <c r="CA164" s="57">
        <f>IF($B164=$B163,$CA163,0)+$BZ164</f>
        <v/>
      </c>
      <c r="CB164" s="57">
        <f>$CB163+$BZ164</f>
        <v/>
      </c>
      <c r="CC164" s="57">
        <f>SUMIFS(tblFleet[Operating_h],tblFleet[Date],$A164,tblFleet[Equipment_Class],"Haul Truck")</f>
        <v/>
      </c>
      <c r="CD164" s="57">
        <f>IF($B164=$B163,$CD163,0)+$CC164</f>
        <v/>
      </c>
      <c r="CE164" s="57">
        <f>$CE163+$CC164</f>
        <v/>
      </c>
      <c r="CF164" s="67">
        <f>IFERROR(IF(($BW164)&gt;0,($BZ164)/($BW164),""),"")</f>
        <v/>
      </c>
      <c r="CG164" s="67">
        <f>IFERROR(IF(($BX164)&gt;0,($CA164)/($BX164),""),"")</f>
        <v/>
      </c>
      <c r="CH164" s="67">
        <f>IFERROR(IF(($BY164)&gt;0,($CB164)/($BY164),""),"")</f>
        <v/>
      </c>
      <c r="CI164" s="67">
        <f>IFERROR(IF(($BZ164)&gt;0,($CC164)/($BZ164),""),"")</f>
        <v/>
      </c>
      <c r="CJ164" s="67">
        <f>IFERROR(IF(($CA164)&gt;0,($CD164)/($CA164),""),"")</f>
        <v/>
      </c>
      <c r="CK164" s="67">
        <f>IFERROR(IF(($CB164)&gt;0,($CE164)/($CB164),""),"")</f>
        <v/>
      </c>
      <c r="CL164" s="55">
        <f>IFERROR(IF(($BN164)&gt;0,($X164+$AD164)/($BN164),""),"")</f>
        <v/>
      </c>
      <c r="CM164" s="55">
        <f>IFERROR(IF(($BO164)&gt;0,($Y164+$AE164)/($BO164),""),"")</f>
        <v/>
      </c>
      <c r="CN164" s="55">
        <f>IFERROR(IF(($BP164)&gt;0,($Z164+$AF164)/($BP164),""),"")</f>
        <v/>
      </c>
      <c r="CO164" s="55">
        <f>IFERROR(IF(($CC164)&gt;0,($X164+$AD164)/($CC164),""),"")</f>
        <v/>
      </c>
      <c r="CP164" s="55">
        <f>IFERROR(IF(($CD164)&gt;0,($Y164+$AE164)/($CD164),""),"")</f>
        <v/>
      </c>
      <c r="CQ164" s="55">
        <f>IFERROR(IF(($CE164)&gt;0,($Z164+$AF164)/($CE164),""),"")</f>
        <v/>
      </c>
      <c r="CR164" s="55">
        <f>SUMIFS(tblPlant[Crushed_t],tblPlant[Date],$A164)</f>
        <v/>
      </c>
      <c r="CS164" s="55">
        <f>IF($B164=$B163,$CS163,0)+$CR164</f>
        <v/>
      </c>
      <c r="CT164" s="55">
        <f>$CT163+$CR164</f>
        <v/>
      </c>
      <c r="CU164" s="55">
        <f>SUMIFS(tblPlant[Milled_t],tblPlant[Date],$A164)</f>
        <v/>
      </c>
      <c r="CV164" s="55">
        <f>IF($B164=$B163,$CV163,0)+$CU164</f>
        <v/>
      </c>
      <c r="CW164" s="55">
        <f>$CW163+$CU164</f>
        <v/>
      </c>
      <c r="CX164" s="55">
        <f>SUMIFS(tblPlant[Feed_oz],tblPlant[Date],$A164)</f>
        <v/>
      </c>
      <c r="CY164" s="55">
        <f>IF($B164=$B163,$CY163,0)+$CX164</f>
        <v/>
      </c>
      <c r="CZ164" s="55">
        <f>$CZ163+$CX164</f>
        <v/>
      </c>
      <c r="DA164" s="55">
        <f>SUMIFS(tblPlant[Tails_oz],tblPlant[Date],$A164)</f>
        <v/>
      </c>
      <c r="DB164" s="55">
        <f>IF($B164=$B163,$DB163,0)+$DA164</f>
        <v/>
      </c>
      <c r="DC164" s="55">
        <f>$DC163+$DA164</f>
        <v/>
      </c>
      <c r="DD164" s="55">
        <f>SUMIFS(tblPlant[Recovered_oz],tblPlant[Date],$A164)</f>
        <v/>
      </c>
      <c r="DE164" s="55">
        <f>IF($B164=$B163,$DE163,0)+$DD164</f>
        <v/>
      </c>
      <c r="DF164" s="55">
        <f>$DF163+$DD164</f>
        <v/>
      </c>
      <c r="DG164" s="55">
        <f>SUMIFS(tblPlant[Milled_t],tblPlant[Date],$A164,tblPlant[Head_Grade_gpt],"&lt;&gt;")</f>
        <v/>
      </c>
      <c r="DH164" s="55">
        <f>IF($B164=$B163,$DH163,0)+$DG164</f>
        <v/>
      </c>
      <c r="DI164" s="55">
        <f>$DI163+$DG164</f>
        <v/>
      </c>
      <c r="DJ164" s="55">
        <f>SUMIFS(tblPlant[Milled_t],tblPlant[Date],$A164,tblPlant[Tails_Grade_gpt],"&lt;&gt;")</f>
        <v/>
      </c>
      <c r="DK164" s="55">
        <f>IF($B164=$B163,$DK163,0)+$DJ164</f>
        <v/>
      </c>
      <c r="DL164" s="55">
        <f>$DL163+$DJ164</f>
        <v/>
      </c>
      <c r="DM164" s="55">
        <f>SUMIFS(tblPlant[Feed_oz],tblPlant[Date],$A164,tblPlant[Tails_Grade_gpt],"&lt;&gt;")</f>
        <v/>
      </c>
      <c r="DN164" s="55">
        <f>IF($B164=$B163,$DN163,0)+$DM164</f>
        <v/>
      </c>
      <c r="DO164" s="55">
        <f>$DO163+$DM164</f>
        <v/>
      </c>
      <c r="DP164" s="55">
        <f>SUMIFS(tblPlant[Milled_t],tblPlant[Date],$A164,tblPlant[Mill_Run_h],"&lt;&gt;")</f>
        <v/>
      </c>
      <c r="DQ164" s="55">
        <f>IF($B164=$B163,$DQ163,0)+$DP164</f>
        <v/>
      </c>
      <c r="DR164" s="55">
        <f>$DR163+$DP164</f>
        <v/>
      </c>
      <c r="DS164" s="56">
        <f>IFERROR(IF(($DG164)&gt;0,($CX164*cfg_TroyOz)/($DG164),""),"")</f>
        <v/>
      </c>
      <c r="DT164" s="56">
        <f>IFERROR(IF(($DH164)&gt;0,($CY164*cfg_TroyOz)/($DH164),""),"")</f>
        <v/>
      </c>
      <c r="DU164" s="56">
        <f>IFERROR(IF(($DI164)&gt;0,($CZ164*cfg_TroyOz)/($DI164),""),"")</f>
        <v/>
      </c>
      <c r="DV164" s="56">
        <f>IFERROR(IF(($DJ164)&gt;0,($DA164*cfg_TroyOz)/($DJ164),""),"")</f>
        <v/>
      </c>
      <c r="DW164" s="56">
        <f>IFERROR(IF(($DK164)&gt;0,($DB164*cfg_TroyOz)/($DK164),""),"")</f>
        <v/>
      </c>
      <c r="DX164" s="56">
        <f>IFERROR(IF(($DL164)&gt;0,($DC164*cfg_TroyOz)/($DL164),""),"")</f>
        <v/>
      </c>
      <c r="DY164" s="67">
        <f>IFERROR(IF(($DM164)&gt;0,($DD164)/($DM164),""),"")</f>
        <v/>
      </c>
      <c r="DZ164" s="67">
        <f>IFERROR(IF(($DN164)&gt;0,($DE164)/($DN164),""),"")</f>
        <v/>
      </c>
      <c r="EA164" s="67">
        <f>IFERROR(IF(($DO164)&gt;0,($DF164)/($DO164),""),"")</f>
        <v/>
      </c>
      <c r="EB164" s="55">
        <f>SUMIFS(tblPlant[Gravity_Gold_oz],tblPlant[Date],$A164)</f>
        <v/>
      </c>
      <c r="EC164" s="55">
        <f>IF($B164=$B163,$EC163,0)+$EB164</f>
        <v/>
      </c>
      <c r="ED164" s="55">
        <f>$ED163+$EB164</f>
        <v/>
      </c>
      <c r="EE164" s="67">
        <f>IFERROR(IF(($DD164)&gt;0,($EB164)/($DD164),""),"")</f>
        <v/>
      </c>
      <c r="EF164" s="67">
        <f>IFERROR(IF(($DE164)&gt;0,($EC164)/($DE164),""),"")</f>
        <v/>
      </c>
      <c r="EG164" s="67">
        <f>IFERROR(IF(($DF164)&gt;0,($ED164)/($DF164),""),"")</f>
        <v/>
      </c>
      <c r="EH164" s="55">
        <f>SUMIFS(tblPlant[Gold_Poured_oz],tblPlant[Date],$A164)</f>
        <v/>
      </c>
      <c r="EI164" s="55">
        <f>IF($B164=$B163,$EI163,0)+$EH164</f>
        <v/>
      </c>
      <c r="EJ164" s="55">
        <f>$EJ163+$EH164</f>
        <v/>
      </c>
      <c r="EK164" s="57">
        <f>SUMIFS(tblPlant[Mill_Run_h],tblPlant[Date],$A164)</f>
        <v/>
      </c>
      <c r="EL164" s="57">
        <f>IF($B164=$B163,$EL163,0)+$EK164</f>
        <v/>
      </c>
      <c r="EM164" s="57">
        <f>$EM163+$EK164</f>
        <v/>
      </c>
      <c r="EN164" s="57">
        <f>SUMIFS(tblPlant[Mill_Planned_Maint_h],tblPlant[Date],$A164)</f>
        <v/>
      </c>
      <c r="EO164" s="57">
        <f>IF($B164=$B163,$EO163,0)+$EN164</f>
        <v/>
      </c>
      <c r="EP164" s="57">
        <f>$EP163+$EN164</f>
        <v/>
      </c>
      <c r="EQ164" s="57">
        <f>SUMIFS(tblPlant[Mill_Unplanned_Down_h],tblPlant[Date],$A164)</f>
        <v/>
      </c>
      <c r="ER164" s="57">
        <f>IF($B164=$B163,$ER163,0)+$EQ164</f>
        <v/>
      </c>
      <c r="ES164" s="57">
        <f>$ES163+$EQ164</f>
        <v/>
      </c>
      <c r="ET164" s="57">
        <f>IF(COUNTIFS(tblPlant[Date],$A164,tblPlant[Mill_Run_h],"&lt;&gt;")+COUNTIFS(tblPlant[Date],$A164,tblPlant[Mill_Planned_Maint_h],"&lt;&gt;")+COUNTIFS(tblPlant[Date],$A164,tblPlant[Mill_Unplanned_Down_h],"&lt;&gt;")&gt;0,cfg_HoursPerDay,0)</f>
        <v/>
      </c>
      <c r="EU164" s="57">
        <f>IF($B164=$B163,$EU163,0)+$ET164</f>
        <v/>
      </c>
      <c r="EV164" s="57">
        <f>$EV163+$ET164</f>
        <v/>
      </c>
      <c r="EW164" s="57">
        <f>SUMIFS(tblPlant[Crusher_Run_h],tblPlant[Date],$A164)</f>
        <v/>
      </c>
      <c r="EX164" s="57">
        <f>IF($B164=$B163,$EX163,0)+$EW164</f>
        <v/>
      </c>
      <c r="EY164" s="57">
        <f>$EY163+$EW164</f>
        <v/>
      </c>
      <c r="EZ164" s="55">
        <f>IFERROR(IF(($EK164)&gt;0,($DP164)/($EK164),""),"")</f>
        <v/>
      </c>
      <c r="FA164" s="55">
        <f>IFERROR(IF(($EL164)&gt;0,($DQ164)/($EL164),""),"")</f>
        <v/>
      </c>
      <c r="FB164" s="55">
        <f>IFERROR(IF(($EM164)&gt;0,($DR164)/($EM164),""),"")</f>
        <v/>
      </c>
      <c r="FC164" s="67">
        <f>IFERROR(IF(($ET164)&gt;0,($ET164-$EN164-$EQ164)/($ET164),""),"")</f>
        <v/>
      </c>
      <c r="FD164" s="67">
        <f>IFERROR(IF(($EU164)&gt;0,($EU164-$EO164-$ER164)/($EU164),""),"")</f>
        <v/>
      </c>
      <c r="FE164" s="67">
        <f>IFERROR(IF(($EV164)&gt;0,($EV164-$EP164-$ES164)/($EV164),""),"")</f>
        <v/>
      </c>
      <c r="FF164" s="67">
        <f>IFERROR(IF(($ET164-$EN164-$EQ164)&gt;0,($EK164)/($ET164-$EN164-$EQ164),""),"")</f>
        <v/>
      </c>
      <c r="FG164" s="67">
        <f>IFERROR(IF(($EU164-$EO164-$ER164)&gt;0,($EL164)/($EU164-$EO164-$ER164),""),"")</f>
        <v/>
      </c>
      <c r="FH164" s="67">
        <f>IFERROR(IF(($EV164-$EP164-$ES164)&gt;0,($EM164)/($EV164-$EP164-$ES164),""),"")</f>
        <v/>
      </c>
      <c r="FI164" s="55">
        <f>SUMIFS(tblPlant[Cyanide_kg],tblPlant[Date],$A164)</f>
        <v/>
      </c>
      <c r="FJ164" s="55">
        <f>IF($B164=$B163,$FJ163,0)+$FI164</f>
        <v/>
      </c>
      <c r="FK164" s="55">
        <f>$FK163+$FI164</f>
        <v/>
      </c>
      <c r="FL164" s="55">
        <f>SUMIFS(tblPlant[Lime_kg],tblPlant[Date],$A164)</f>
        <v/>
      </c>
      <c r="FM164" s="55">
        <f>IF($B164=$B163,$FM163,0)+$FL164</f>
        <v/>
      </c>
      <c r="FN164" s="55">
        <f>$FN163+$FL164</f>
        <v/>
      </c>
      <c r="FO164" s="55">
        <f>SUMIFS(tblPlant[Grinding_Media_kg],tblPlant[Date],$A164)</f>
        <v/>
      </c>
      <c r="FP164" s="55">
        <f>IF($B164=$B163,$FP163,0)+$FO164</f>
        <v/>
      </c>
      <c r="FQ164" s="55">
        <f>$FQ163+$FO164</f>
        <v/>
      </c>
      <c r="FR164" s="55">
        <f>SUMIFS(tblPlant[Power_kWh],tblPlant[Date],$A164)</f>
        <v/>
      </c>
      <c r="FS164" s="55">
        <f>IF($B164=$B163,$FS163,0)+$FR164</f>
        <v/>
      </c>
      <c r="FT164" s="55">
        <f>$FT163+$FR164</f>
        <v/>
      </c>
      <c r="FU164" s="55">
        <f>SUMIFS(tblPlant[Raw_Water_m3],tblPlant[Date],$A164)</f>
        <v/>
      </c>
      <c r="FV164" s="55">
        <f>IF($B164=$B163,$FV163,0)+$FU164</f>
        <v/>
      </c>
      <c r="FW164" s="55">
        <f>$FW163+$FU164</f>
        <v/>
      </c>
      <c r="FX164" s="56">
        <f>IFERROR(IF(($CU164)&gt;0,($FI164)/($CU164),""),"")</f>
        <v/>
      </c>
      <c r="FY164" s="56">
        <f>IFERROR(IF(($CV164)&gt;0,($FJ164)/($CV164),""),"")</f>
        <v/>
      </c>
      <c r="FZ164" s="56">
        <f>IFERROR(IF(($CW164)&gt;0,($FK164)/($CW164),""),"")</f>
        <v/>
      </c>
      <c r="GA164" s="56">
        <f>IFERROR(IF(($CU164)&gt;0,($FL164)/($CU164),""),"")</f>
        <v/>
      </c>
      <c r="GB164" s="56">
        <f>IFERROR(IF(($CV164)&gt;0,($FM164)/($CV164),""),"")</f>
        <v/>
      </c>
      <c r="GC164" s="56">
        <f>IFERROR(IF(($CW164)&gt;0,($FN164)/($CW164),""),"")</f>
        <v/>
      </c>
      <c r="GD164" s="56">
        <f>IFERROR(IF(($CU164)&gt;0,($FO164)/($CU164),""),"")</f>
        <v/>
      </c>
      <c r="GE164" s="56">
        <f>IFERROR(IF(($CV164)&gt;0,($FP164)/($CV164),""),"")</f>
        <v/>
      </c>
      <c r="GF164" s="56">
        <f>IFERROR(IF(($CW164)&gt;0,($FQ164)/($CW164),""),"")</f>
        <v/>
      </c>
      <c r="GG164" s="79">
        <f>IFERROR(IF(($CU164)&gt;0,($FR164)/($CU164),""),"")</f>
        <v/>
      </c>
      <c r="GH164" s="79">
        <f>IFERROR(IF(($CV164)&gt;0,($FS164)/($CV164),""),"")</f>
        <v/>
      </c>
      <c r="GI164" s="79">
        <f>IFERROR(IF(($CW164)&gt;0,($FT164)/($CW164),""),"")</f>
        <v/>
      </c>
      <c r="GJ164" s="56">
        <f>IFERROR(IF(($CU164)&gt;0,($FU164)/($CU164),""),"")</f>
        <v/>
      </c>
      <c r="GK164" s="56">
        <f>IFERROR(IF(($CV164)&gt;0,($FV164)/($CV164),""),"")</f>
        <v/>
      </c>
      <c r="GL164" s="56">
        <f>IFERROR(IF(($CW164)&gt;0,($FW164)/($CW164),""),"")</f>
        <v/>
      </c>
      <c r="GM164" s="55">
        <f>IF(SUMIFS(tblPlant[GIC_oz],tblPlant[Date],$A164)&gt;0,SUMIFS(tblPlant[GIC_oz],tblPlant[Date],$A164),"")</f>
        <v/>
      </c>
      <c r="GN164" s="55">
        <f>SUMIFS(tblGold[Gold_oz],tblGold[Date],$A164,tblGold[Type],"Shipment")</f>
        <v/>
      </c>
      <c r="GO164" s="55">
        <f>IF($B164=$B163,$GO163,0)+$GN164</f>
        <v/>
      </c>
      <c r="GP164" s="55">
        <f>$GP163+$GN164</f>
        <v/>
      </c>
      <c r="GQ164" s="55">
        <f>SUMIFS(tblGold[Gold_oz],tblGold[Date],$A164,tblGold[Type],"Sale")</f>
        <v/>
      </c>
      <c r="GR164" s="55">
        <f>IF($B164=$B163,$GR163,0)+$GQ164</f>
        <v/>
      </c>
      <c r="GS164" s="55">
        <f>$GS163+$GQ164</f>
        <v/>
      </c>
      <c r="GT164" s="55">
        <f>SUMIFS(tblGold[Dore_kg],tblGold[Date],$A164,tblGold[Type],"Shipment")</f>
        <v/>
      </c>
      <c r="GU164" s="55">
        <f>IF($B164=$B163,$GU163,0)+$GT164</f>
        <v/>
      </c>
      <c r="GV164" s="55">
        <f>$GV163+$GT164</f>
        <v/>
      </c>
      <c r="GW164" s="57">
        <f>SUMIFS(tblSafety[Hours_Total],tblSafety[Date],$A164)</f>
        <v/>
      </c>
      <c r="GX164" s="57">
        <f>IF($B164=$B163,$GX163,0)+$GW164</f>
        <v/>
      </c>
      <c r="GY164" s="57">
        <f>$GY163+$GW164</f>
        <v/>
      </c>
      <c r="GZ164" s="62">
        <f>SUMIFS(tblSafety[Fatality],tblSafety[Date],$A164)</f>
        <v/>
      </c>
      <c r="HA164" s="62">
        <f>IF($B164=$B163,$HA163,0)+$GZ164</f>
        <v/>
      </c>
      <c r="HB164" s="62">
        <f>$HB163+$GZ164</f>
        <v/>
      </c>
      <c r="HC164" s="62">
        <f>SUMIFS(tblSafety[LTI],tblSafety[Date],$A164)</f>
        <v/>
      </c>
      <c r="HD164" s="62">
        <f>IF($B164=$B163,$HD163,0)+$HC164</f>
        <v/>
      </c>
      <c r="HE164" s="62">
        <f>$HE163+$HC164</f>
        <v/>
      </c>
      <c r="HF164" s="62">
        <f>SUMIFS(tblSafety[RWI],tblSafety[Date],$A164)</f>
        <v/>
      </c>
      <c r="HG164" s="62">
        <f>IF($B164=$B163,$HG163,0)+$HF164</f>
        <v/>
      </c>
      <c r="HH164" s="62">
        <f>$HH163+$HF164</f>
        <v/>
      </c>
      <c r="HI164" s="62">
        <f>SUMIFS(tblSafety[MTI],tblSafety[Date],$A164)</f>
        <v/>
      </c>
      <c r="HJ164" s="62">
        <f>IF($B164=$B163,$HJ163,0)+$HI164</f>
        <v/>
      </c>
      <c r="HK164" s="62">
        <f>$HK163+$HI164</f>
        <v/>
      </c>
      <c r="HL164" s="62">
        <f>SUMIFS(tblSafety[FAI],tblSafety[Date],$A164)</f>
        <v/>
      </c>
      <c r="HM164" s="62">
        <f>IF($B164=$B163,$HM163,0)+$HL164</f>
        <v/>
      </c>
      <c r="HN164" s="62">
        <f>$HN163+$HL164</f>
        <v/>
      </c>
      <c r="HO164" s="62">
        <f>SUMIFS(tblSafety[Recordables],tblSafety[Date],$A164)</f>
        <v/>
      </c>
      <c r="HP164" s="62">
        <f>IF($B164=$B163,$HP163,0)+$HO164</f>
        <v/>
      </c>
      <c r="HQ164" s="62">
        <f>$HQ163+$HO164</f>
        <v/>
      </c>
      <c r="HR164" s="62">
        <f>SUMIFS(tblSafety[Near_Miss],tblSafety[Date],$A164)</f>
        <v/>
      </c>
      <c r="HS164" s="62">
        <f>IF($B164=$B163,$HS163,0)+$HR164</f>
        <v/>
      </c>
      <c r="HT164" s="62">
        <f>$HT163+$HR164</f>
        <v/>
      </c>
      <c r="HU164" s="62">
        <f>SUMIFS(tblSafety[Hazard_Reports],tblSafety[Date],$A164)</f>
        <v/>
      </c>
      <c r="HV164" s="62">
        <f>IF($B164=$B163,$HV163,0)+$HU164</f>
        <v/>
      </c>
      <c r="HW164" s="62">
        <f>$HW163+$HU164</f>
        <v/>
      </c>
      <c r="HX164" s="62">
        <f>SUMIFS(tblSafety[HPI],tblSafety[Date],$A164)</f>
        <v/>
      </c>
      <c r="HY164" s="62">
        <f>IF($B164=$B163,$HY163,0)+$HX164</f>
        <v/>
      </c>
      <c r="HZ164" s="62">
        <f>$HZ163+$HX164</f>
        <v/>
      </c>
      <c r="IA164" s="62">
        <f>SUMIFS(tblSafety[Env_Incidents],tblSafety[Date],$A164)</f>
        <v/>
      </c>
      <c r="IB164" s="62">
        <f>IF($B164=$B163,$IB163,0)+$IA164</f>
        <v/>
      </c>
      <c r="IC164" s="62">
        <f>$IC163+$IA164</f>
        <v/>
      </c>
      <c r="ID164" s="62">
        <f>SUMIFS(tblSafety[Community_Incidents],tblSafety[Date],$A164)</f>
        <v/>
      </c>
      <c r="IE164" s="62">
        <f>IF($B164=$B163,$IE163,0)+$ID164</f>
        <v/>
      </c>
      <c r="IF164" s="62">
        <f>$IF163+$ID164</f>
        <v/>
      </c>
      <c r="IG164" s="62">
        <f>SUMIFS(tblSafety[Vehicle_Incidents],tblSafety[Date],$A164)</f>
        <v/>
      </c>
      <c r="IH164" s="62">
        <f>IF($B164=$B163,$IH163,0)+$IG164</f>
        <v/>
      </c>
      <c r="II164" s="62">
        <f>$II163+$IG164</f>
        <v/>
      </c>
      <c r="IJ164" s="62">
        <f>SUMIFS(tblSafety[Toolbox_Talks],tblSafety[Date],$A164)</f>
        <v/>
      </c>
      <c r="IK164" s="62">
        <f>IF($B164=$B163,$IK163,0)+$IJ164</f>
        <v/>
      </c>
      <c r="IL164" s="62">
        <f>$IL163+$IJ164</f>
        <v/>
      </c>
      <c r="IM164" s="62">
        <f>SUMIFS(tblSafety[Inspections],tblSafety[Date],$A164)</f>
        <v/>
      </c>
      <c r="IN164" s="62">
        <f>IF($B164=$B163,$IN163,0)+$IM164</f>
        <v/>
      </c>
      <c r="IO164" s="62">
        <f>$IO163+$IM164</f>
        <v/>
      </c>
      <c r="IP164" s="56">
        <f>IFERROR((SUMIFS(tblSafety[Recordables],tblSafety[Date],"&gt;="&amp;EDATE($E164,-12),tblSafety[Date],"&lt;="&amp;$A164)+SUMIFS(tblSafetyHistory[Recordables],tblSafetyHistory[Month],"&gt;="&amp;EDATE($E164,-12),tblSafetyHistory[Month],"&lt;"&amp;$E164,tblSafetyHistory[Use],1))/(SUMIFS(tblSafety[Hours_Total],tblSafety[Date],"&gt;="&amp;EDATE($E164,-12),tblSafety[Date],"&lt;="&amp;$A164)+SUMIFS(tblSafetyHistory[Hours_Total],tblSafetyHistory[Month],"&gt;="&amp;EDATE($E164,-12),tblSafetyHistory[Month],"&lt;"&amp;$E164,tblSafetyHistory[Use],1))*cfg_RateBasisHours,"")</f>
        <v/>
      </c>
      <c r="IQ164" s="56">
        <f>IFERROR((SUMIFS(tblSafety[LTI],tblSafety[Date],"&gt;="&amp;EDATE($E164,-12),tblSafety[Date],"&lt;="&amp;$A164)+SUMIFS(tblSafetyHistory[LTI],tblSafetyHistory[Month],"&gt;="&amp;EDATE($E164,-12),tblSafetyHistory[Month],"&lt;"&amp;$E164,tblSafetyHistory[Use],1))/(SUMIFS(tblSafety[Hours_Total],tblSafety[Date],"&gt;="&amp;EDATE($E164,-12),tblSafety[Date],"&lt;="&amp;$A164)+SUMIFS(tblSafetyHistory[Hours_Total],tblSafetyHistory[Month],"&gt;="&amp;EDATE($E164,-12),tblSafetyHistory[Month],"&lt;"&amp;$E164,tblSafetyHistory[Use],1))*cfg_RateBasisHours,"")</f>
        <v/>
      </c>
      <c r="IR164" s="62">
        <f>IF(MAX(N(cfg_PriorLTIDate),_xlfn.MAXIFS(tblSafety[Date],tblSafety[LTI],"&gt;0",tblSafety[Date],"&lt;="&amp;$A164))=0,"",$A164-MAX(N(cfg_PriorLTIDate),_xlfn.MAXIFS(tblSafety[Date],tblSafety[LTI],"&gt;0",tblSafety[Date],"&lt;="&amp;$A164)))</f>
        <v/>
      </c>
      <c r="IS164" s="55">
        <f>SUMIFS(tblBudget[Ore_Mined_t],tblBudget[Month],$E164)</f>
        <v/>
      </c>
      <c r="IT164" s="55">
        <f>$IS164*$C164/$D164</f>
        <v/>
      </c>
      <c r="IU164" s="55">
        <f>SUMIFS(tblBudget[Ore_Mined_t],tblBudget[Month],"&lt;"&amp;$E164)+$IT164</f>
        <v/>
      </c>
      <c r="IV164" s="55">
        <f>SUMIFS(tblBudget[Ore_oz],tblBudget[Month],$E164)</f>
        <v/>
      </c>
      <c r="IW164" s="55">
        <f>$IV164*$C164/$D164</f>
        <v/>
      </c>
      <c r="IX164" s="55">
        <f>SUMIFS(tblBudget[Ore_oz],tblBudget[Month],"&lt;"&amp;$E164)+$IW164</f>
        <v/>
      </c>
      <c r="IY164" s="55">
        <f>SUMIFS(tblBudget[Ore_Mined_t],tblBudget[Month],$E164)</f>
        <v/>
      </c>
      <c r="IZ164" s="55">
        <f>$IY164*$C164/$D164</f>
        <v/>
      </c>
      <c r="JA164" s="55">
        <f>SUMIFS(tblBudget[Ore_Mined_t],tblBudget[Month],"&lt;"&amp;$E164)+$IZ164</f>
        <v/>
      </c>
      <c r="JB164" s="56">
        <f>IFERROR(IF(($IY164)&gt;0,($IV164*cfg_TroyOz)/($IY164),""),"")</f>
        <v/>
      </c>
      <c r="JC164" s="56">
        <f>IFERROR(IF(($IZ164)&gt;0,($IW164*cfg_TroyOz)/($IZ164),""),"")</f>
        <v/>
      </c>
      <c r="JD164" s="56">
        <f>IFERROR(IF(($JA164)&gt;0,($IX164*cfg_TroyOz)/($JA164),""),"")</f>
        <v/>
      </c>
      <c r="JE164" s="55">
        <f>SUMIFS(tblBudget[Waste_t],tblBudget[Month],$E164)</f>
        <v/>
      </c>
      <c r="JF164" s="55">
        <f>$JE164*$C164/$D164</f>
        <v/>
      </c>
      <c r="JG164" s="55">
        <f>SUMIFS(tblBudget[Waste_t],tblBudget[Month],"&lt;"&amp;$E164)+$JF164</f>
        <v/>
      </c>
      <c r="JH164" s="55">
        <f>SUMIFS(tblBudget[TMM_t],tblBudget[Month],$E164)</f>
        <v/>
      </c>
      <c r="JI164" s="55">
        <f>$JH164*$C164/$D164</f>
        <v/>
      </c>
      <c r="JJ164" s="55">
        <f>SUMIFS(tblBudget[TMM_t],tblBudget[Month],"&lt;"&amp;$E164)+$JI164</f>
        <v/>
      </c>
      <c r="JK164" s="56">
        <f>IFERROR(IF(($IS164)&gt;0,($JE164)/($IS164),""),"")</f>
        <v/>
      </c>
      <c r="JL164" s="56">
        <f>IFERROR(IF(($IT164)&gt;0,($JF164)/($IT164),""),"")</f>
        <v/>
      </c>
      <c r="JM164" s="56">
        <f>IFERROR(IF(($IU164)&gt;0,($JG164)/($IU164),""),"")</f>
        <v/>
      </c>
      <c r="JN164" s="55">
        <f>SUMIFS(tblBudget[Drill_m],tblBudget[Month],$E164)</f>
        <v/>
      </c>
      <c r="JO164" s="55">
        <f>$JN164*$C164/$D164</f>
        <v/>
      </c>
      <c r="JP164" s="55">
        <f>SUMIFS(tblBudget[Drill_m],tblBudget[Month],"&lt;"&amp;$E164)+$JO164</f>
        <v/>
      </c>
      <c r="JQ164" s="55">
        <f>SUMIFS(tblBudget[Diesel_L],tblBudget[Month],$E164)</f>
        <v/>
      </c>
      <c r="JR164" s="55">
        <f>$JQ164*$C164/$D164</f>
        <v/>
      </c>
      <c r="JS164" s="55">
        <f>SUMIFS(tblBudget[Diesel_L],tblBudget[Month],"&lt;"&amp;$E164)+$JR164</f>
        <v/>
      </c>
      <c r="JT164" s="55">
        <f>SUMIFS(tblBudget[Milled_t],tblBudget[Month],$E164)</f>
        <v/>
      </c>
      <c r="JU164" s="55">
        <f>$JT164*$C164/$D164</f>
        <v/>
      </c>
      <c r="JV164" s="55">
        <f>SUMIFS(tblBudget[Milled_t],tblBudget[Month],"&lt;"&amp;$E164)+$JU164</f>
        <v/>
      </c>
      <c r="JW164" s="55">
        <f>SUMIFS(tblBudget[Feed_oz],tblBudget[Month],$E164)</f>
        <v/>
      </c>
      <c r="JX164" s="55">
        <f>$JW164*$C164/$D164</f>
        <v/>
      </c>
      <c r="JY164" s="55">
        <f>SUMIFS(tblBudget[Feed_oz],tblBudget[Month],"&lt;"&amp;$E164)+$JX164</f>
        <v/>
      </c>
      <c r="JZ164" s="55">
        <f>SUMIFS(tblBudget[Recovered_oz],tblBudget[Month],$E164)</f>
        <v/>
      </c>
      <c r="KA164" s="55">
        <f>$JZ164*$C164/$D164</f>
        <v/>
      </c>
      <c r="KB164" s="55">
        <f>SUMIFS(tblBudget[Recovered_oz],tblBudget[Month],"&lt;"&amp;$E164)+$KA164</f>
        <v/>
      </c>
      <c r="KC164" s="55">
        <f>SUMIFS(tblBudget[Milled_t],tblBudget[Month],$E164)</f>
        <v/>
      </c>
      <c r="KD164" s="55">
        <f>$KC164*$C164/$D164</f>
        <v/>
      </c>
      <c r="KE164" s="55">
        <f>SUMIFS(tblBudget[Milled_t],tblBudget[Month],"&lt;"&amp;$E164)+$KD164</f>
        <v/>
      </c>
      <c r="KF164" s="55">
        <f>SUMIFS(tblBudget[Feed_oz],tblBudget[Month],$E164)</f>
        <v/>
      </c>
      <c r="KG164" s="55">
        <f>$KF164*$C164/$D164</f>
        <v/>
      </c>
      <c r="KH164" s="55">
        <f>SUMIFS(tblBudget[Feed_oz],tblBudget[Month],"&lt;"&amp;$E164)+$KG164</f>
        <v/>
      </c>
      <c r="KI164" s="56">
        <f>IFERROR(IF(($KC164)&gt;0,($JW164*cfg_TroyOz)/($KC164),""),"")</f>
        <v/>
      </c>
      <c r="KJ164" s="56">
        <f>IFERROR(IF(($KD164)&gt;0,($JX164*cfg_TroyOz)/($KD164),""),"")</f>
        <v/>
      </c>
      <c r="KK164" s="56">
        <f>IFERROR(IF(($KE164)&gt;0,($JY164*cfg_TroyOz)/($KE164),""),"")</f>
        <v/>
      </c>
      <c r="KL164" s="67">
        <f>IFERROR(IF(($KF164)&gt;0,($JZ164)/($KF164),""),"")</f>
        <v/>
      </c>
      <c r="KM164" s="67">
        <f>IFERROR(IF(($KG164)&gt;0,($KA164)/($KG164),""),"")</f>
        <v/>
      </c>
      <c r="KN164" s="67">
        <f>IFERROR(IF(($KH164)&gt;0,($KB164)/($KH164),""),"")</f>
        <v/>
      </c>
      <c r="KO164" s="55">
        <f>SUMIFS(tblBudget[Gold_Poured_oz],tblBudget[Month],$E164)</f>
        <v/>
      </c>
      <c r="KP164" s="55">
        <f>$KO164*$C164/$D164</f>
        <v/>
      </c>
      <c r="KQ164" s="55">
        <f>SUMIFS(tblBudget[Gold_Poured_oz],tblBudget[Month],"&lt;"&amp;$E164)+$KP164</f>
        <v/>
      </c>
      <c r="KR164" s="57">
        <f>SUMIFS(tblBudget[Hours_Worked],tblBudget[Month],$E164)</f>
        <v/>
      </c>
      <c r="KS164" s="57">
        <f>$KR164*$C164/$D164</f>
        <v/>
      </c>
      <c r="KT164" s="57">
        <f>SUMIFS(tblBudget[Hours_Worked],tblBudget[Month],"&lt;"&amp;$E164)+$KS164</f>
        <v/>
      </c>
    </row>
    <row r="165">
      <c r="A165" s="54" t="n">
        <v>46186</v>
      </c>
      <c r="B165">
        <f>MONTH($A165)</f>
        <v/>
      </c>
      <c r="C165">
        <f>DAY($A165)</f>
        <v/>
      </c>
      <c r="D165">
        <f>DAY(EOMONTH($A165,0))</f>
        <v/>
      </c>
      <c r="E165" s="54">
        <f>DATE(YEAR($A165),MONTH($A165),1)</f>
        <v/>
      </c>
      <c r="F165" s="55">
        <f>SUMIFS(tblMovement[Tonnes_t],tblMovement[Date],$A165,tblMovement[Is_Ore],1,tblMovement[Source_Type],"Pit")</f>
        <v/>
      </c>
      <c r="G165" s="55">
        <f>IF($B165=$B164,$G164,0)+$F165</f>
        <v/>
      </c>
      <c r="H165" s="55">
        <f>$H164+$F165</f>
        <v/>
      </c>
      <c r="I165" s="55">
        <f>SUMIFS(tblMovement[Ore_oz],tblMovement[Date],$A165,tblMovement[Source_Type],"Pit")</f>
        <v/>
      </c>
      <c r="J165" s="55">
        <f>IF($B165=$B164,$J164,0)+$I165</f>
        <v/>
      </c>
      <c r="K165" s="55">
        <f>$K164+$I165</f>
        <v/>
      </c>
      <c r="L165" s="55">
        <f>SUMIFS(tblMovement[Tonnes_t],tblMovement[Date],$A165,tblMovement[Is_Ore],1,tblMovement[Source_Type],"Pit",tblMovement[Grade_gpt],"&lt;&gt;")</f>
        <v/>
      </c>
      <c r="M165" s="55">
        <f>IF($B165=$B164,$M164,0)+$L165</f>
        <v/>
      </c>
      <c r="N165" s="55">
        <f>$N164+$L165</f>
        <v/>
      </c>
      <c r="O165" s="56">
        <f>IFERROR(IF(($L165)&gt;0,($I165*cfg_TroyOz)/($L165),""),"")</f>
        <v/>
      </c>
      <c r="P165" s="56">
        <f>IFERROR(IF(($M165)&gt;0,($J165*cfg_TroyOz)/($M165),""),"")</f>
        <v/>
      </c>
      <c r="Q165" s="56">
        <f>IFERROR(IF(($N165)&gt;0,($K165*cfg_TroyOz)/($N165),""),"")</f>
        <v/>
      </c>
      <c r="R165" s="55">
        <f>$F165-$L165</f>
        <v/>
      </c>
      <c r="S165" s="55">
        <f>IF($B165=$B164,$S164,0)+$R165</f>
        <v/>
      </c>
      <c r="T165" s="55">
        <f>$T164+$R165</f>
        <v/>
      </c>
      <c r="U165" s="55">
        <f>SUMIFS(tblMovement[Tonnes_t],tblMovement[Date],$A165,tblMovement[Is_Ore],0,tblMovement[Source_Type],"Pit")</f>
        <v/>
      </c>
      <c r="V165" s="55">
        <f>IF($B165=$B164,$V164,0)+$U165</f>
        <v/>
      </c>
      <c r="W165" s="55">
        <f>$W164+$U165</f>
        <v/>
      </c>
      <c r="X165" s="55">
        <f>$F165+$U165</f>
        <v/>
      </c>
      <c r="Y165" s="55">
        <f>IF($B165=$B164,$Y164,0)+$X165</f>
        <v/>
      </c>
      <c r="Z165" s="55">
        <f>$Z164+$X165</f>
        <v/>
      </c>
      <c r="AA165" s="56">
        <f>IFERROR(IF(($F165)&gt;0,($U165)/($F165),""),"")</f>
        <v/>
      </c>
      <c r="AB165" s="56">
        <f>IFERROR(IF(($G165)&gt;0,($V165)/($G165),""),"")</f>
        <v/>
      </c>
      <c r="AC165" s="56">
        <f>IFERROR(IF(($H165)&gt;0,($W165)/($H165),""),"")</f>
        <v/>
      </c>
      <c r="AD165" s="55">
        <f>SUMIFS(tblMovement[Tonnes_t],tblMovement[Date],$A165,tblMovement[Source_Type],"Stockpile")</f>
        <v/>
      </c>
      <c r="AE165" s="55">
        <f>IF($B165=$B164,$AE164,0)+$AD165</f>
        <v/>
      </c>
      <c r="AF165" s="55">
        <f>$AF164+$AD165</f>
        <v/>
      </c>
      <c r="AG165" s="55">
        <f>SUMIFS(tblMovement[Tonnes_t],tblMovement[Date],$A165)</f>
        <v/>
      </c>
      <c r="AH165" s="55">
        <f>IF($B165=$B164,$AH164,0)+$AG165</f>
        <v/>
      </c>
      <c r="AI165" s="55">
        <f>$AI164+$AG165</f>
        <v/>
      </c>
      <c r="AJ165" s="55">
        <f>$AG165-$X165-$AD165</f>
        <v/>
      </c>
      <c r="AK165" s="55">
        <f>IF($B165=$B164,$AK164,0)+$AJ165</f>
        <v/>
      </c>
      <c r="AL165" s="55">
        <f>$AL164+$AJ165</f>
        <v/>
      </c>
      <c r="AM165" s="55">
        <f>SUMIFS(tblMiningDaily[Drill_m],tblMiningDaily[Date],$A165)</f>
        <v/>
      </c>
      <c r="AN165" s="55">
        <f>IF($B165=$B164,$AN164,0)+$AM165</f>
        <v/>
      </c>
      <c r="AO165" s="55">
        <f>$AO164+$AM165</f>
        <v/>
      </c>
      <c r="AP165" s="55">
        <f>SUMIFS(tblMiningDaily[GC_Drill_m],tblMiningDaily[Date],$A165)</f>
        <v/>
      </c>
      <c r="AQ165" s="55">
        <f>IF($B165=$B164,$AQ164,0)+$AP165</f>
        <v/>
      </c>
      <c r="AR165" s="55">
        <f>$AR164+$AP165</f>
        <v/>
      </c>
      <c r="AS165" s="55">
        <f>SUMIFS(tblMiningDaily[Blast_t],tblMiningDaily[Date],$A165)</f>
        <v/>
      </c>
      <c r="AT165" s="55">
        <f>IF($B165=$B164,$AT164,0)+$AS165</f>
        <v/>
      </c>
      <c r="AU165" s="55">
        <f>$AU164+$AS165</f>
        <v/>
      </c>
      <c r="AV165" s="55">
        <f>SUMIFS(tblMiningDaily[Explosives_kg],tblMiningDaily[Date],$A165)</f>
        <v/>
      </c>
      <c r="AW165" s="55">
        <f>IF($B165=$B164,$AW164,0)+$AV165</f>
        <v/>
      </c>
      <c r="AX165" s="55">
        <f>$AX164+$AV165</f>
        <v/>
      </c>
      <c r="AY165" s="56">
        <f>IFERROR(IF(($AS165)&gt;0,($AV165)/($AS165),""),"")</f>
        <v/>
      </c>
      <c r="AZ165" s="56">
        <f>IFERROR(IF(($AT165)&gt;0,($AW165)/($AT165),""),"")</f>
        <v/>
      </c>
      <c r="BA165" s="56">
        <f>IFERROR(IF(($AU165)&gt;0,($AX165)/($AU165),""),"")</f>
        <v/>
      </c>
      <c r="BB165" s="55">
        <f>SUMIFS(tblMiningDaily[Diesel_L],tblMiningDaily[Date],$A165)</f>
        <v/>
      </c>
      <c r="BC165" s="55">
        <f>IF($B165=$B164,$BC164,0)+$BB165</f>
        <v/>
      </c>
      <c r="BD165" s="55">
        <f>$BD164+$BB165</f>
        <v/>
      </c>
      <c r="BE165" s="55">
        <f>SUMIFS(tblMiningDaily[Dewatering_m3],tblMiningDaily[Date],$A165)</f>
        <v/>
      </c>
      <c r="BF165" s="55">
        <f>IF($B165=$B164,$BF164,0)+$BE165</f>
        <v/>
      </c>
      <c r="BG165" s="55">
        <f>$BG164+$BE165</f>
        <v/>
      </c>
      <c r="BH165" s="57">
        <f>SUMIFS(tblFleet[Calendar_h],tblFleet[Date],$A165,tblFleet[Equipment_Class],"Excavator")</f>
        <v/>
      </c>
      <c r="BI165" s="57">
        <f>IF($B165=$B164,$BI164,0)+$BH165</f>
        <v/>
      </c>
      <c r="BJ165" s="57">
        <f>$BJ164+$BH165</f>
        <v/>
      </c>
      <c r="BK165" s="57">
        <f>SUMIFS(tblFleet[Available_h],tblFleet[Date],$A165,tblFleet[Equipment_Class],"Excavator")</f>
        <v/>
      </c>
      <c r="BL165" s="57">
        <f>IF($B165=$B164,$BL164,0)+$BK165</f>
        <v/>
      </c>
      <c r="BM165" s="57">
        <f>$BM164+$BK165</f>
        <v/>
      </c>
      <c r="BN165" s="57">
        <f>SUMIFS(tblFleet[Operating_h],tblFleet[Date],$A165,tblFleet[Equipment_Class],"Excavator")</f>
        <v/>
      </c>
      <c r="BO165" s="57">
        <f>IF($B165=$B164,$BO164,0)+$BN165</f>
        <v/>
      </c>
      <c r="BP165" s="57">
        <f>$BP164+$BN165</f>
        <v/>
      </c>
      <c r="BQ165" s="67">
        <f>IFERROR(IF(($BH165)&gt;0,($BK165)/($BH165),""),"")</f>
        <v/>
      </c>
      <c r="BR165" s="67">
        <f>IFERROR(IF(($BI165)&gt;0,($BL165)/($BI165),""),"")</f>
        <v/>
      </c>
      <c r="BS165" s="67">
        <f>IFERROR(IF(($BJ165)&gt;0,($BM165)/($BJ165),""),"")</f>
        <v/>
      </c>
      <c r="BT165" s="67">
        <f>IFERROR(IF(($BK165)&gt;0,($BN165)/($BK165),""),"")</f>
        <v/>
      </c>
      <c r="BU165" s="67">
        <f>IFERROR(IF(($BL165)&gt;0,($BO165)/($BL165),""),"")</f>
        <v/>
      </c>
      <c r="BV165" s="67">
        <f>IFERROR(IF(($BM165)&gt;0,($BP165)/($BM165),""),"")</f>
        <v/>
      </c>
      <c r="BW165" s="57">
        <f>SUMIFS(tblFleet[Calendar_h],tblFleet[Date],$A165,tblFleet[Equipment_Class],"Haul Truck")</f>
        <v/>
      </c>
      <c r="BX165" s="57">
        <f>IF($B165=$B164,$BX164,0)+$BW165</f>
        <v/>
      </c>
      <c r="BY165" s="57">
        <f>$BY164+$BW165</f>
        <v/>
      </c>
      <c r="BZ165" s="57">
        <f>SUMIFS(tblFleet[Available_h],tblFleet[Date],$A165,tblFleet[Equipment_Class],"Haul Truck")</f>
        <v/>
      </c>
      <c r="CA165" s="57">
        <f>IF($B165=$B164,$CA164,0)+$BZ165</f>
        <v/>
      </c>
      <c r="CB165" s="57">
        <f>$CB164+$BZ165</f>
        <v/>
      </c>
      <c r="CC165" s="57">
        <f>SUMIFS(tblFleet[Operating_h],tblFleet[Date],$A165,tblFleet[Equipment_Class],"Haul Truck")</f>
        <v/>
      </c>
      <c r="CD165" s="57">
        <f>IF($B165=$B164,$CD164,0)+$CC165</f>
        <v/>
      </c>
      <c r="CE165" s="57">
        <f>$CE164+$CC165</f>
        <v/>
      </c>
      <c r="CF165" s="67">
        <f>IFERROR(IF(($BW165)&gt;0,($BZ165)/($BW165),""),"")</f>
        <v/>
      </c>
      <c r="CG165" s="67">
        <f>IFERROR(IF(($BX165)&gt;0,($CA165)/($BX165),""),"")</f>
        <v/>
      </c>
      <c r="CH165" s="67">
        <f>IFERROR(IF(($BY165)&gt;0,($CB165)/($BY165),""),"")</f>
        <v/>
      </c>
      <c r="CI165" s="67">
        <f>IFERROR(IF(($BZ165)&gt;0,($CC165)/($BZ165),""),"")</f>
        <v/>
      </c>
      <c r="CJ165" s="67">
        <f>IFERROR(IF(($CA165)&gt;0,($CD165)/($CA165),""),"")</f>
        <v/>
      </c>
      <c r="CK165" s="67">
        <f>IFERROR(IF(($CB165)&gt;0,($CE165)/($CB165),""),"")</f>
        <v/>
      </c>
      <c r="CL165" s="55">
        <f>IFERROR(IF(($BN165)&gt;0,($X165+$AD165)/($BN165),""),"")</f>
        <v/>
      </c>
      <c r="CM165" s="55">
        <f>IFERROR(IF(($BO165)&gt;0,($Y165+$AE165)/($BO165),""),"")</f>
        <v/>
      </c>
      <c r="CN165" s="55">
        <f>IFERROR(IF(($BP165)&gt;0,($Z165+$AF165)/($BP165),""),"")</f>
        <v/>
      </c>
      <c r="CO165" s="55">
        <f>IFERROR(IF(($CC165)&gt;0,($X165+$AD165)/($CC165),""),"")</f>
        <v/>
      </c>
      <c r="CP165" s="55">
        <f>IFERROR(IF(($CD165)&gt;0,($Y165+$AE165)/($CD165),""),"")</f>
        <v/>
      </c>
      <c r="CQ165" s="55">
        <f>IFERROR(IF(($CE165)&gt;0,($Z165+$AF165)/($CE165),""),"")</f>
        <v/>
      </c>
      <c r="CR165" s="55">
        <f>SUMIFS(tblPlant[Crushed_t],tblPlant[Date],$A165)</f>
        <v/>
      </c>
      <c r="CS165" s="55">
        <f>IF($B165=$B164,$CS164,0)+$CR165</f>
        <v/>
      </c>
      <c r="CT165" s="55">
        <f>$CT164+$CR165</f>
        <v/>
      </c>
      <c r="CU165" s="55">
        <f>SUMIFS(tblPlant[Milled_t],tblPlant[Date],$A165)</f>
        <v/>
      </c>
      <c r="CV165" s="55">
        <f>IF($B165=$B164,$CV164,0)+$CU165</f>
        <v/>
      </c>
      <c r="CW165" s="55">
        <f>$CW164+$CU165</f>
        <v/>
      </c>
      <c r="CX165" s="55">
        <f>SUMIFS(tblPlant[Feed_oz],tblPlant[Date],$A165)</f>
        <v/>
      </c>
      <c r="CY165" s="55">
        <f>IF($B165=$B164,$CY164,0)+$CX165</f>
        <v/>
      </c>
      <c r="CZ165" s="55">
        <f>$CZ164+$CX165</f>
        <v/>
      </c>
      <c r="DA165" s="55">
        <f>SUMIFS(tblPlant[Tails_oz],tblPlant[Date],$A165)</f>
        <v/>
      </c>
      <c r="DB165" s="55">
        <f>IF($B165=$B164,$DB164,0)+$DA165</f>
        <v/>
      </c>
      <c r="DC165" s="55">
        <f>$DC164+$DA165</f>
        <v/>
      </c>
      <c r="DD165" s="55">
        <f>SUMIFS(tblPlant[Recovered_oz],tblPlant[Date],$A165)</f>
        <v/>
      </c>
      <c r="DE165" s="55">
        <f>IF($B165=$B164,$DE164,0)+$DD165</f>
        <v/>
      </c>
      <c r="DF165" s="55">
        <f>$DF164+$DD165</f>
        <v/>
      </c>
      <c r="DG165" s="55">
        <f>SUMIFS(tblPlant[Milled_t],tblPlant[Date],$A165,tblPlant[Head_Grade_gpt],"&lt;&gt;")</f>
        <v/>
      </c>
      <c r="DH165" s="55">
        <f>IF($B165=$B164,$DH164,0)+$DG165</f>
        <v/>
      </c>
      <c r="DI165" s="55">
        <f>$DI164+$DG165</f>
        <v/>
      </c>
      <c r="DJ165" s="55">
        <f>SUMIFS(tblPlant[Milled_t],tblPlant[Date],$A165,tblPlant[Tails_Grade_gpt],"&lt;&gt;")</f>
        <v/>
      </c>
      <c r="DK165" s="55">
        <f>IF($B165=$B164,$DK164,0)+$DJ165</f>
        <v/>
      </c>
      <c r="DL165" s="55">
        <f>$DL164+$DJ165</f>
        <v/>
      </c>
      <c r="DM165" s="55">
        <f>SUMIFS(tblPlant[Feed_oz],tblPlant[Date],$A165,tblPlant[Tails_Grade_gpt],"&lt;&gt;")</f>
        <v/>
      </c>
      <c r="DN165" s="55">
        <f>IF($B165=$B164,$DN164,0)+$DM165</f>
        <v/>
      </c>
      <c r="DO165" s="55">
        <f>$DO164+$DM165</f>
        <v/>
      </c>
      <c r="DP165" s="55">
        <f>SUMIFS(tblPlant[Milled_t],tblPlant[Date],$A165,tblPlant[Mill_Run_h],"&lt;&gt;")</f>
        <v/>
      </c>
      <c r="DQ165" s="55">
        <f>IF($B165=$B164,$DQ164,0)+$DP165</f>
        <v/>
      </c>
      <c r="DR165" s="55">
        <f>$DR164+$DP165</f>
        <v/>
      </c>
      <c r="DS165" s="56">
        <f>IFERROR(IF(($DG165)&gt;0,($CX165*cfg_TroyOz)/($DG165),""),"")</f>
        <v/>
      </c>
      <c r="DT165" s="56">
        <f>IFERROR(IF(($DH165)&gt;0,($CY165*cfg_TroyOz)/($DH165),""),"")</f>
        <v/>
      </c>
      <c r="DU165" s="56">
        <f>IFERROR(IF(($DI165)&gt;0,($CZ165*cfg_TroyOz)/($DI165),""),"")</f>
        <v/>
      </c>
      <c r="DV165" s="56">
        <f>IFERROR(IF(($DJ165)&gt;0,($DA165*cfg_TroyOz)/($DJ165),""),"")</f>
        <v/>
      </c>
      <c r="DW165" s="56">
        <f>IFERROR(IF(($DK165)&gt;0,($DB165*cfg_TroyOz)/($DK165),""),"")</f>
        <v/>
      </c>
      <c r="DX165" s="56">
        <f>IFERROR(IF(($DL165)&gt;0,($DC165*cfg_TroyOz)/($DL165),""),"")</f>
        <v/>
      </c>
      <c r="DY165" s="67">
        <f>IFERROR(IF(($DM165)&gt;0,($DD165)/($DM165),""),"")</f>
        <v/>
      </c>
      <c r="DZ165" s="67">
        <f>IFERROR(IF(($DN165)&gt;0,($DE165)/($DN165),""),"")</f>
        <v/>
      </c>
      <c r="EA165" s="67">
        <f>IFERROR(IF(($DO165)&gt;0,($DF165)/($DO165),""),"")</f>
        <v/>
      </c>
      <c r="EB165" s="55">
        <f>SUMIFS(tblPlant[Gravity_Gold_oz],tblPlant[Date],$A165)</f>
        <v/>
      </c>
      <c r="EC165" s="55">
        <f>IF($B165=$B164,$EC164,0)+$EB165</f>
        <v/>
      </c>
      <c r="ED165" s="55">
        <f>$ED164+$EB165</f>
        <v/>
      </c>
      <c r="EE165" s="67">
        <f>IFERROR(IF(($DD165)&gt;0,($EB165)/($DD165),""),"")</f>
        <v/>
      </c>
      <c r="EF165" s="67">
        <f>IFERROR(IF(($DE165)&gt;0,($EC165)/($DE165),""),"")</f>
        <v/>
      </c>
      <c r="EG165" s="67">
        <f>IFERROR(IF(($DF165)&gt;0,($ED165)/($DF165),""),"")</f>
        <v/>
      </c>
      <c r="EH165" s="55">
        <f>SUMIFS(tblPlant[Gold_Poured_oz],tblPlant[Date],$A165)</f>
        <v/>
      </c>
      <c r="EI165" s="55">
        <f>IF($B165=$B164,$EI164,0)+$EH165</f>
        <v/>
      </c>
      <c r="EJ165" s="55">
        <f>$EJ164+$EH165</f>
        <v/>
      </c>
      <c r="EK165" s="57">
        <f>SUMIFS(tblPlant[Mill_Run_h],tblPlant[Date],$A165)</f>
        <v/>
      </c>
      <c r="EL165" s="57">
        <f>IF($B165=$B164,$EL164,0)+$EK165</f>
        <v/>
      </c>
      <c r="EM165" s="57">
        <f>$EM164+$EK165</f>
        <v/>
      </c>
      <c r="EN165" s="57">
        <f>SUMIFS(tblPlant[Mill_Planned_Maint_h],tblPlant[Date],$A165)</f>
        <v/>
      </c>
      <c r="EO165" s="57">
        <f>IF($B165=$B164,$EO164,0)+$EN165</f>
        <v/>
      </c>
      <c r="EP165" s="57">
        <f>$EP164+$EN165</f>
        <v/>
      </c>
      <c r="EQ165" s="57">
        <f>SUMIFS(tblPlant[Mill_Unplanned_Down_h],tblPlant[Date],$A165)</f>
        <v/>
      </c>
      <c r="ER165" s="57">
        <f>IF($B165=$B164,$ER164,0)+$EQ165</f>
        <v/>
      </c>
      <c r="ES165" s="57">
        <f>$ES164+$EQ165</f>
        <v/>
      </c>
      <c r="ET165" s="57">
        <f>IF(COUNTIFS(tblPlant[Date],$A165,tblPlant[Mill_Run_h],"&lt;&gt;")+COUNTIFS(tblPlant[Date],$A165,tblPlant[Mill_Planned_Maint_h],"&lt;&gt;")+COUNTIFS(tblPlant[Date],$A165,tblPlant[Mill_Unplanned_Down_h],"&lt;&gt;")&gt;0,cfg_HoursPerDay,0)</f>
        <v/>
      </c>
      <c r="EU165" s="57">
        <f>IF($B165=$B164,$EU164,0)+$ET165</f>
        <v/>
      </c>
      <c r="EV165" s="57">
        <f>$EV164+$ET165</f>
        <v/>
      </c>
      <c r="EW165" s="57">
        <f>SUMIFS(tblPlant[Crusher_Run_h],tblPlant[Date],$A165)</f>
        <v/>
      </c>
      <c r="EX165" s="57">
        <f>IF($B165=$B164,$EX164,0)+$EW165</f>
        <v/>
      </c>
      <c r="EY165" s="57">
        <f>$EY164+$EW165</f>
        <v/>
      </c>
      <c r="EZ165" s="55">
        <f>IFERROR(IF(($EK165)&gt;0,($DP165)/($EK165),""),"")</f>
        <v/>
      </c>
      <c r="FA165" s="55">
        <f>IFERROR(IF(($EL165)&gt;0,($DQ165)/($EL165),""),"")</f>
        <v/>
      </c>
      <c r="FB165" s="55">
        <f>IFERROR(IF(($EM165)&gt;0,($DR165)/($EM165),""),"")</f>
        <v/>
      </c>
      <c r="FC165" s="67">
        <f>IFERROR(IF(($ET165)&gt;0,($ET165-$EN165-$EQ165)/($ET165),""),"")</f>
        <v/>
      </c>
      <c r="FD165" s="67">
        <f>IFERROR(IF(($EU165)&gt;0,($EU165-$EO165-$ER165)/($EU165),""),"")</f>
        <v/>
      </c>
      <c r="FE165" s="67">
        <f>IFERROR(IF(($EV165)&gt;0,($EV165-$EP165-$ES165)/($EV165),""),"")</f>
        <v/>
      </c>
      <c r="FF165" s="67">
        <f>IFERROR(IF(($ET165-$EN165-$EQ165)&gt;0,($EK165)/($ET165-$EN165-$EQ165),""),"")</f>
        <v/>
      </c>
      <c r="FG165" s="67">
        <f>IFERROR(IF(($EU165-$EO165-$ER165)&gt;0,($EL165)/($EU165-$EO165-$ER165),""),"")</f>
        <v/>
      </c>
      <c r="FH165" s="67">
        <f>IFERROR(IF(($EV165-$EP165-$ES165)&gt;0,($EM165)/($EV165-$EP165-$ES165),""),"")</f>
        <v/>
      </c>
      <c r="FI165" s="55">
        <f>SUMIFS(tblPlant[Cyanide_kg],tblPlant[Date],$A165)</f>
        <v/>
      </c>
      <c r="FJ165" s="55">
        <f>IF($B165=$B164,$FJ164,0)+$FI165</f>
        <v/>
      </c>
      <c r="FK165" s="55">
        <f>$FK164+$FI165</f>
        <v/>
      </c>
      <c r="FL165" s="55">
        <f>SUMIFS(tblPlant[Lime_kg],tblPlant[Date],$A165)</f>
        <v/>
      </c>
      <c r="FM165" s="55">
        <f>IF($B165=$B164,$FM164,0)+$FL165</f>
        <v/>
      </c>
      <c r="FN165" s="55">
        <f>$FN164+$FL165</f>
        <v/>
      </c>
      <c r="FO165" s="55">
        <f>SUMIFS(tblPlant[Grinding_Media_kg],tblPlant[Date],$A165)</f>
        <v/>
      </c>
      <c r="FP165" s="55">
        <f>IF($B165=$B164,$FP164,0)+$FO165</f>
        <v/>
      </c>
      <c r="FQ165" s="55">
        <f>$FQ164+$FO165</f>
        <v/>
      </c>
      <c r="FR165" s="55">
        <f>SUMIFS(tblPlant[Power_kWh],tblPlant[Date],$A165)</f>
        <v/>
      </c>
      <c r="FS165" s="55">
        <f>IF($B165=$B164,$FS164,0)+$FR165</f>
        <v/>
      </c>
      <c r="FT165" s="55">
        <f>$FT164+$FR165</f>
        <v/>
      </c>
      <c r="FU165" s="55">
        <f>SUMIFS(tblPlant[Raw_Water_m3],tblPlant[Date],$A165)</f>
        <v/>
      </c>
      <c r="FV165" s="55">
        <f>IF($B165=$B164,$FV164,0)+$FU165</f>
        <v/>
      </c>
      <c r="FW165" s="55">
        <f>$FW164+$FU165</f>
        <v/>
      </c>
      <c r="FX165" s="56">
        <f>IFERROR(IF(($CU165)&gt;0,($FI165)/($CU165),""),"")</f>
        <v/>
      </c>
      <c r="FY165" s="56">
        <f>IFERROR(IF(($CV165)&gt;0,($FJ165)/($CV165),""),"")</f>
        <v/>
      </c>
      <c r="FZ165" s="56">
        <f>IFERROR(IF(($CW165)&gt;0,($FK165)/($CW165),""),"")</f>
        <v/>
      </c>
      <c r="GA165" s="56">
        <f>IFERROR(IF(($CU165)&gt;0,($FL165)/($CU165),""),"")</f>
        <v/>
      </c>
      <c r="GB165" s="56">
        <f>IFERROR(IF(($CV165)&gt;0,($FM165)/($CV165),""),"")</f>
        <v/>
      </c>
      <c r="GC165" s="56">
        <f>IFERROR(IF(($CW165)&gt;0,($FN165)/($CW165),""),"")</f>
        <v/>
      </c>
      <c r="GD165" s="56">
        <f>IFERROR(IF(($CU165)&gt;0,($FO165)/($CU165),""),"")</f>
        <v/>
      </c>
      <c r="GE165" s="56">
        <f>IFERROR(IF(($CV165)&gt;0,($FP165)/($CV165),""),"")</f>
        <v/>
      </c>
      <c r="GF165" s="56">
        <f>IFERROR(IF(($CW165)&gt;0,($FQ165)/($CW165),""),"")</f>
        <v/>
      </c>
      <c r="GG165" s="79">
        <f>IFERROR(IF(($CU165)&gt;0,($FR165)/($CU165),""),"")</f>
        <v/>
      </c>
      <c r="GH165" s="79">
        <f>IFERROR(IF(($CV165)&gt;0,($FS165)/($CV165),""),"")</f>
        <v/>
      </c>
      <c r="GI165" s="79">
        <f>IFERROR(IF(($CW165)&gt;0,($FT165)/($CW165),""),"")</f>
        <v/>
      </c>
      <c r="GJ165" s="56">
        <f>IFERROR(IF(($CU165)&gt;0,($FU165)/($CU165),""),"")</f>
        <v/>
      </c>
      <c r="GK165" s="56">
        <f>IFERROR(IF(($CV165)&gt;0,($FV165)/($CV165),""),"")</f>
        <v/>
      </c>
      <c r="GL165" s="56">
        <f>IFERROR(IF(($CW165)&gt;0,($FW165)/($CW165),""),"")</f>
        <v/>
      </c>
      <c r="GM165" s="55">
        <f>IF(SUMIFS(tblPlant[GIC_oz],tblPlant[Date],$A165)&gt;0,SUMIFS(tblPlant[GIC_oz],tblPlant[Date],$A165),"")</f>
        <v/>
      </c>
      <c r="GN165" s="55">
        <f>SUMIFS(tblGold[Gold_oz],tblGold[Date],$A165,tblGold[Type],"Shipment")</f>
        <v/>
      </c>
      <c r="GO165" s="55">
        <f>IF($B165=$B164,$GO164,0)+$GN165</f>
        <v/>
      </c>
      <c r="GP165" s="55">
        <f>$GP164+$GN165</f>
        <v/>
      </c>
      <c r="GQ165" s="55">
        <f>SUMIFS(tblGold[Gold_oz],tblGold[Date],$A165,tblGold[Type],"Sale")</f>
        <v/>
      </c>
      <c r="GR165" s="55">
        <f>IF($B165=$B164,$GR164,0)+$GQ165</f>
        <v/>
      </c>
      <c r="GS165" s="55">
        <f>$GS164+$GQ165</f>
        <v/>
      </c>
      <c r="GT165" s="55">
        <f>SUMIFS(tblGold[Dore_kg],tblGold[Date],$A165,tblGold[Type],"Shipment")</f>
        <v/>
      </c>
      <c r="GU165" s="55">
        <f>IF($B165=$B164,$GU164,0)+$GT165</f>
        <v/>
      </c>
      <c r="GV165" s="55">
        <f>$GV164+$GT165</f>
        <v/>
      </c>
      <c r="GW165" s="57">
        <f>SUMIFS(tblSafety[Hours_Total],tblSafety[Date],$A165)</f>
        <v/>
      </c>
      <c r="GX165" s="57">
        <f>IF($B165=$B164,$GX164,0)+$GW165</f>
        <v/>
      </c>
      <c r="GY165" s="57">
        <f>$GY164+$GW165</f>
        <v/>
      </c>
      <c r="GZ165" s="62">
        <f>SUMIFS(tblSafety[Fatality],tblSafety[Date],$A165)</f>
        <v/>
      </c>
      <c r="HA165" s="62">
        <f>IF($B165=$B164,$HA164,0)+$GZ165</f>
        <v/>
      </c>
      <c r="HB165" s="62">
        <f>$HB164+$GZ165</f>
        <v/>
      </c>
      <c r="HC165" s="62">
        <f>SUMIFS(tblSafety[LTI],tblSafety[Date],$A165)</f>
        <v/>
      </c>
      <c r="HD165" s="62">
        <f>IF($B165=$B164,$HD164,0)+$HC165</f>
        <v/>
      </c>
      <c r="HE165" s="62">
        <f>$HE164+$HC165</f>
        <v/>
      </c>
      <c r="HF165" s="62">
        <f>SUMIFS(tblSafety[RWI],tblSafety[Date],$A165)</f>
        <v/>
      </c>
      <c r="HG165" s="62">
        <f>IF($B165=$B164,$HG164,0)+$HF165</f>
        <v/>
      </c>
      <c r="HH165" s="62">
        <f>$HH164+$HF165</f>
        <v/>
      </c>
      <c r="HI165" s="62">
        <f>SUMIFS(tblSafety[MTI],tblSafety[Date],$A165)</f>
        <v/>
      </c>
      <c r="HJ165" s="62">
        <f>IF($B165=$B164,$HJ164,0)+$HI165</f>
        <v/>
      </c>
      <c r="HK165" s="62">
        <f>$HK164+$HI165</f>
        <v/>
      </c>
      <c r="HL165" s="62">
        <f>SUMIFS(tblSafety[FAI],tblSafety[Date],$A165)</f>
        <v/>
      </c>
      <c r="HM165" s="62">
        <f>IF($B165=$B164,$HM164,0)+$HL165</f>
        <v/>
      </c>
      <c r="HN165" s="62">
        <f>$HN164+$HL165</f>
        <v/>
      </c>
      <c r="HO165" s="62">
        <f>SUMIFS(tblSafety[Recordables],tblSafety[Date],$A165)</f>
        <v/>
      </c>
      <c r="HP165" s="62">
        <f>IF($B165=$B164,$HP164,0)+$HO165</f>
        <v/>
      </c>
      <c r="HQ165" s="62">
        <f>$HQ164+$HO165</f>
        <v/>
      </c>
      <c r="HR165" s="62">
        <f>SUMIFS(tblSafety[Near_Miss],tblSafety[Date],$A165)</f>
        <v/>
      </c>
      <c r="HS165" s="62">
        <f>IF($B165=$B164,$HS164,0)+$HR165</f>
        <v/>
      </c>
      <c r="HT165" s="62">
        <f>$HT164+$HR165</f>
        <v/>
      </c>
      <c r="HU165" s="62">
        <f>SUMIFS(tblSafety[Hazard_Reports],tblSafety[Date],$A165)</f>
        <v/>
      </c>
      <c r="HV165" s="62">
        <f>IF($B165=$B164,$HV164,0)+$HU165</f>
        <v/>
      </c>
      <c r="HW165" s="62">
        <f>$HW164+$HU165</f>
        <v/>
      </c>
      <c r="HX165" s="62">
        <f>SUMIFS(tblSafety[HPI],tblSafety[Date],$A165)</f>
        <v/>
      </c>
      <c r="HY165" s="62">
        <f>IF($B165=$B164,$HY164,0)+$HX165</f>
        <v/>
      </c>
      <c r="HZ165" s="62">
        <f>$HZ164+$HX165</f>
        <v/>
      </c>
      <c r="IA165" s="62">
        <f>SUMIFS(tblSafety[Env_Incidents],tblSafety[Date],$A165)</f>
        <v/>
      </c>
      <c r="IB165" s="62">
        <f>IF($B165=$B164,$IB164,0)+$IA165</f>
        <v/>
      </c>
      <c r="IC165" s="62">
        <f>$IC164+$IA165</f>
        <v/>
      </c>
      <c r="ID165" s="62">
        <f>SUMIFS(tblSafety[Community_Incidents],tblSafety[Date],$A165)</f>
        <v/>
      </c>
      <c r="IE165" s="62">
        <f>IF($B165=$B164,$IE164,0)+$ID165</f>
        <v/>
      </c>
      <c r="IF165" s="62">
        <f>$IF164+$ID165</f>
        <v/>
      </c>
      <c r="IG165" s="62">
        <f>SUMIFS(tblSafety[Vehicle_Incidents],tblSafety[Date],$A165)</f>
        <v/>
      </c>
      <c r="IH165" s="62">
        <f>IF($B165=$B164,$IH164,0)+$IG165</f>
        <v/>
      </c>
      <c r="II165" s="62">
        <f>$II164+$IG165</f>
        <v/>
      </c>
      <c r="IJ165" s="62">
        <f>SUMIFS(tblSafety[Toolbox_Talks],tblSafety[Date],$A165)</f>
        <v/>
      </c>
      <c r="IK165" s="62">
        <f>IF($B165=$B164,$IK164,0)+$IJ165</f>
        <v/>
      </c>
      <c r="IL165" s="62">
        <f>$IL164+$IJ165</f>
        <v/>
      </c>
      <c r="IM165" s="62">
        <f>SUMIFS(tblSafety[Inspections],tblSafety[Date],$A165)</f>
        <v/>
      </c>
      <c r="IN165" s="62">
        <f>IF($B165=$B164,$IN164,0)+$IM165</f>
        <v/>
      </c>
      <c r="IO165" s="62">
        <f>$IO164+$IM165</f>
        <v/>
      </c>
      <c r="IP165" s="56">
        <f>IFERROR((SUMIFS(tblSafety[Recordables],tblSafety[Date],"&gt;="&amp;EDATE($E165,-12),tblSafety[Date],"&lt;="&amp;$A165)+SUMIFS(tblSafetyHistory[Recordables],tblSafetyHistory[Month],"&gt;="&amp;EDATE($E165,-12),tblSafetyHistory[Month],"&lt;"&amp;$E165,tblSafetyHistory[Use],1))/(SUMIFS(tblSafety[Hours_Total],tblSafety[Date],"&gt;="&amp;EDATE($E165,-12),tblSafety[Date],"&lt;="&amp;$A165)+SUMIFS(tblSafetyHistory[Hours_Total],tblSafetyHistory[Month],"&gt;="&amp;EDATE($E165,-12),tblSafetyHistory[Month],"&lt;"&amp;$E165,tblSafetyHistory[Use],1))*cfg_RateBasisHours,"")</f>
        <v/>
      </c>
      <c r="IQ165" s="56">
        <f>IFERROR((SUMIFS(tblSafety[LTI],tblSafety[Date],"&gt;="&amp;EDATE($E165,-12),tblSafety[Date],"&lt;="&amp;$A165)+SUMIFS(tblSafetyHistory[LTI],tblSafetyHistory[Month],"&gt;="&amp;EDATE($E165,-12),tblSafetyHistory[Month],"&lt;"&amp;$E165,tblSafetyHistory[Use],1))/(SUMIFS(tblSafety[Hours_Total],tblSafety[Date],"&gt;="&amp;EDATE($E165,-12),tblSafety[Date],"&lt;="&amp;$A165)+SUMIFS(tblSafetyHistory[Hours_Total],tblSafetyHistory[Month],"&gt;="&amp;EDATE($E165,-12),tblSafetyHistory[Month],"&lt;"&amp;$E165,tblSafetyHistory[Use],1))*cfg_RateBasisHours,"")</f>
        <v/>
      </c>
      <c r="IR165" s="62">
        <f>IF(MAX(N(cfg_PriorLTIDate),_xlfn.MAXIFS(tblSafety[Date],tblSafety[LTI],"&gt;0",tblSafety[Date],"&lt;="&amp;$A165))=0,"",$A165-MAX(N(cfg_PriorLTIDate),_xlfn.MAXIFS(tblSafety[Date],tblSafety[LTI],"&gt;0",tblSafety[Date],"&lt;="&amp;$A165)))</f>
        <v/>
      </c>
      <c r="IS165" s="55">
        <f>SUMIFS(tblBudget[Ore_Mined_t],tblBudget[Month],$E165)</f>
        <v/>
      </c>
      <c r="IT165" s="55">
        <f>$IS165*$C165/$D165</f>
        <v/>
      </c>
      <c r="IU165" s="55">
        <f>SUMIFS(tblBudget[Ore_Mined_t],tblBudget[Month],"&lt;"&amp;$E165)+$IT165</f>
        <v/>
      </c>
      <c r="IV165" s="55">
        <f>SUMIFS(tblBudget[Ore_oz],tblBudget[Month],$E165)</f>
        <v/>
      </c>
      <c r="IW165" s="55">
        <f>$IV165*$C165/$D165</f>
        <v/>
      </c>
      <c r="IX165" s="55">
        <f>SUMIFS(tblBudget[Ore_oz],tblBudget[Month],"&lt;"&amp;$E165)+$IW165</f>
        <v/>
      </c>
      <c r="IY165" s="55">
        <f>SUMIFS(tblBudget[Ore_Mined_t],tblBudget[Month],$E165)</f>
        <v/>
      </c>
      <c r="IZ165" s="55">
        <f>$IY165*$C165/$D165</f>
        <v/>
      </c>
      <c r="JA165" s="55">
        <f>SUMIFS(tblBudget[Ore_Mined_t],tblBudget[Month],"&lt;"&amp;$E165)+$IZ165</f>
        <v/>
      </c>
      <c r="JB165" s="56">
        <f>IFERROR(IF(($IY165)&gt;0,($IV165*cfg_TroyOz)/($IY165),""),"")</f>
        <v/>
      </c>
      <c r="JC165" s="56">
        <f>IFERROR(IF(($IZ165)&gt;0,($IW165*cfg_TroyOz)/($IZ165),""),"")</f>
        <v/>
      </c>
      <c r="JD165" s="56">
        <f>IFERROR(IF(($JA165)&gt;0,($IX165*cfg_TroyOz)/($JA165),""),"")</f>
        <v/>
      </c>
      <c r="JE165" s="55">
        <f>SUMIFS(tblBudget[Waste_t],tblBudget[Month],$E165)</f>
        <v/>
      </c>
      <c r="JF165" s="55">
        <f>$JE165*$C165/$D165</f>
        <v/>
      </c>
      <c r="JG165" s="55">
        <f>SUMIFS(tblBudget[Waste_t],tblBudget[Month],"&lt;"&amp;$E165)+$JF165</f>
        <v/>
      </c>
      <c r="JH165" s="55">
        <f>SUMIFS(tblBudget[TMM_t],tblBudget[Month],$E165)</f>
        <v/>
      </c>
      <c r="JI165" s="55">
        <f>$JH165*$C165/$D165</f>
        <v/>
      </c>
      <c r="JJ165" s="55">
        <f>SUMIFS(tblBudget[TMM_t],tblBudget[Month],"&lt;"&amp;$E165)+$JI165</f>
        <v/>
      </c>
      <c r="JK165" s="56">
        <f>IFERROR(IF(($IS165)&gt;0,($JE165)/($IS165),""),"")</f>
        <v/>
      </c>
      <c r="JL165" s="56">
        <f>IFERROR(IF(($IT165)&gt;0,($JF165)/($IT165),""),"")</f>
        <v/>
      </c>
      <c r="JM165" s="56">
        <f>IFERROR(IF(($IU165)&gt;0,($JG165)/($IU165),""),"")</f>
        <v/>
      </c>
      <c r="JN165" s="55">
        <f>SUMIFS(tblBudget[Drill_m],tblBudget[Month],$E165)</f>
        <v/>
      </c>
      <c r="JO165" s="55">
        <f>$JN165*$C165/$D165</f>
        <v/>
      </c>
      <c r="JP165" s="55">
        <f>SUMIFS(tblBudget[Drill_m],tblBudget[Month],"&lt;"&amp;$E165)+$JO165</f>
        <v/>
      </c>
      <c r="JQ165" s="55">
        <f>SUMIFS(tblBudget[Diesel_L],tblBudget[Month],$E165)</f>
        <v/>
      </c>
      <c r="JR165" s="55">
        <f>$JQ165*$C165/$D165</f>
        <v/>
      </c>
      <c r="JS165" s="55">
        <f>SUMIFS(tblBudget[Diesel_L],tblBudget[Month],"&lt;"&amp;$E165)+$JR165</f>
        <v/>
      </c>
      <c r="JT165" s="55">
        <f>SUMIFS(tblBudget[Milled_t],tblBudget[Month],$E165)</f>
        <v/>
      </c>
      <c r="JU165" s="55">
        <f>$JT165*$C165/$D165</f>
        <v/>
      </c>
      <c r="JV165" s="55">
        <f>SUMIFS(tblBudget[Milled_t],tblBudget[Month],"&lt;"&amp;$E165)+$JU165</f>
        <v/>
      </c>
      <c r="JW165" s="55">
        <f>SUMIFS(tblBudget[Feed_oz],tblBudget[Month],$E165)</f>
        <v/>
      </c>
      <c r="JX165" s="55">
        <f>$JW165*$C165/$D165</f>
        <v/>
      </c>
      <c r="JY165" s="55">
        <f>SUMIFS(tblBudget[Feed_oz],tblBudget[Month],"&lt;"&amp;$E165)+$JX165</f>
        <v/>
      </c>
      <c r="JZ165" s="55">
        <f>SUMIFS(tblBudget[Recovered_oz],tblBudget[Month],$E165)</f>
        <v/>
      </c>
      <c r="KA165" s="55">
        <f>$JZ165*$C165/$D165</f>
        <v/>
      </c>
      <c r="KB165" s="55">
        <f>SUMIFS(tblBudget[Recovered_oz],tblBudget[Month],"&lt;"&amp;$E165)+$KA165</f>
        <v/>
      </c>
      <c r="KC165" s="55">
        <f>SUMIFS(tblBudget[Milled_t],tblBudget[Month],$E165)</f>
        <v/>
      </c>
      <c r="KD165" s="55">
        <f>$KC165*$C165/$D165</f>
        <v/>
      </c>
      <c r="KE165" s="55">
        <f>SUMIFS(tblBudget[Milled_t],tblBudget[Month],"&lt;"&amp;$E165)+$KD165</f>
        <v/>
      </c>
      <c r="KF165" s="55">
        <f>SUMIFS(tblBudget[Feed_oz],tblBudget[Month],$E165)</f>
        <v/>
      </c>
      <c r="KG165" s="55">
        <f>$KF165*$C165/$D165</f>
        <v/>
      </c>
      <c r="KH165" s="55">
        <f>SUMIFS(tblBudget[Feed_oz],tblBudget[Month],"&lt;"&amp;$E165)+$KG165</f>
        <v/>
      </c>
      <c r="KI165" s="56">
        <f>IFERROR(IF(($KC165)&gt;0,($JW165*cfg_TroyOz)/($KC165),""),"")</f>
        <v/>
      </c>
      <c r="KJ165" s="56">
        <f>IFERROR(IF(($KD165)&gt;0,($JX165*cfg_TroyOz)/($KD165),""),"")</f>
        <v/>
      </c>
      <c r="KK165" s="56">
        <f>IFERROR(IF(($KE165)&gt;0,($JY165*cfg_TroyOz)/($KE165),""),"")</f>
        <v/>
      </c>
      <c r="KL165" s="67">
        <f>IFERROR(IF(($KF165)&gt;0,($JZ165)/($KF165),""),"")</f>
        <v/>
      </c>
      <c r="KM165" s="67">
        <f>IFERROR(IF(($KG165)&gt;0,($KA165)/($KG165),""),"")</f>
        <v/>
      </c>
      <c r="KN165" s="67">
        <f>IFERROR(IF(($KH165)&gt;0,($KB165)/($KH165),""),"")</f>
        <v/>
      </c>
      <c r="KO165" s="55">
        <f>SUMIFS(tblBudget[Gold_Poured_oz],tblBudget[Month],$E165)</f>
        <v/>
      </c>
      <c r="KP165" s="55">
        <f>$KO165*$C165/$D165</f>
        <v/>
      </c>
      <c r="KQ165" s="55">
        <f>SUMIFS(tblBudget[Gold_Poured_oz],tblBudget[Month],"&lt;"&amp;$E165)+$KP165</f>
        <v/>
      </c>
      <c r="KR165" s="57">
        <f>SUMIFS(tblBudget[Hours_Worked],tblBudget[Month],$E165)</f>
        <v/>
      </c>
      <c r="KS165" s="57">
        <f>$KR165*$C165/$D165</f>
        <v/>
      </c>
      <c r="KT165" s="57">
        <f>SUMIFS(tblBudget[Hours_Worked],tblBudget[Month],"&lt;"&amp;$E165)+$KS165</f>
        <v/>
      </c>
    </row>
    <row r="166">
      <c r="A166" s="54" t="n">
        <v>46187</v>
      </c>
      <c r="B166">
        <f>MONTH($A166)</f>
        <v/>
      </c>
      <c r="C166">
        <f>DAY($A166)</f>
        <v/>
      </c>
      <c r="D166">
        <f>DAY(EOMONTH($A166,0))</f>
        <v/>
      </c>
      <c r="E166" s="54">
        <f>DATE(YEAR($A166),MONTH($A166),1)</f>
        <v/>
      </c>
      <c r="F166" s="55">
        <f>SUMIFS(tblMovement[Tonnes_t],tblMovement[Date],$A166,tblMovement[Is_Ore],1,tblMovement[Source_Type],"Pit")</f>
        <v/>
      </c>
      <c r="G166" s="55">
        <f>IF($B166=$B165,$G165,0)+$F166</f>
        <v/>
      </c>
      <c r="H166" s="55">
        <f>$H165+$F166</f>
        <v/>
      </c>
      <c r="I166" s="55">
        <f>SUMIFS(tblMovement[Ore_oz],tblMovement[Date],$A166,tblMovement[Source_Type],"Pit")</f>
        <v/>
      </c>
      <c r="J166" s="55">
        <f>IF($B166=$B165,$J165,0)+$I166</f>
        <v/>
      </c>
      <c r="K166" s="55">
        <f>$K165+$I166</f>
        <v/>
      </c>
      <c r="L166" s="55">
        <f>SUMIFS(tblMovement[Tonnes_t],tblMovement[Date],$A166,tblMovement[Is_Ore],1,tblMovement[Source_Type],"Pit",tblMovement[Grade_gpt],"&lt;&gt;")</f>
        <v/>
      </c>
      <c r="M166" s="55">
        <f>IF($B166=$B165,$M165,0)+$L166</f>
        <v/>
      </c>
      <c r="N166" s="55">
        <f>$N165+$L166</f>
        <v/>
      </c>
      <c r="O166" s="56">
        <f>IFERROR(IF(($L166)&gt;0,($I166*cfg_TroyOz)/($L166),""),"")</f>
        <v/>
      </c>
      <c r="P166" s="56">
        <f>IFERROR(IF(($M166)&gt;0,($J166*cfg_TroyOz)/($M166),""),"")</f>
        <v/>
      </c>
      <c r="Q166" s="56">
        <f>IFERROR(IF(($N166)&gt;0,($K166*cfg_TroyOz)/($N166),""),"")</f>
        <v/>
      </c>
      <c r="R166" s="55">
        <f>$F166-$L166</f>
        <v/>
      </c>
      <c r="S166" s="55">
        <f>IF($B166=$B165,$S165,0)+$R166</f>
        <v/>
      </c>
      <c r="T166" s="55">
        <f>$T165+$R166</f>
        <v/>
      </c>
      <c r="U166" s="55">
        <f>SUMIFS(tblMovement[Tonnes_t],tblMovement[Date],$A166,tblMovement[Is_Ore],0,tblMovement[Source_Type],"Pit")</f>
        <v/>
      </c>
      <c r="V166" s="55">
        <f>IF($B166=$B165,$V165,0)+$U166</f>
        <v/>
      </c>
      <c r="W166" s="55">
        <f>$W165+$U166</f>
        <v/>
      </c>
      <c r="X166" s="55">
        <f>$F166+$U166</f>
        <v/>
      </c>
      <c r="Y166" s="55">
        <f>IF($B166=$B165,$Y165,0)+$X166</f>
        <v/>
      </c>
      <c r="Z166" s="55">
        <f>$Z165+$X166</f>
        <v/>
      </c>
      <c r="AA166" s="56">
        <f>IFERROR(IF(($F166)&gt;0,($U166)/($F166),""),"")</f>
        <v/>
      </c>
      <c r="AB166" s="56">
        <f>IFERROR(IF(($G166)&gt;0,($V166)/($G166),""),"")</f>
        <v/>
      </c>
      <c r="AC166" s="56">
        <f>IFERROR(IF(($H166)&gt;0,($W166)/($H166),""),"")</f>
        <v/>
      </c>
      <c r="AD166" s="55">
        <f>SUMIFS(tblMovement[Tonnes_t],tblMovement[Date],$A166,tblMovement[Source_Type],"Stockpile")</f>
        <v/>
      </c>
      <c r="AE166" s="55">
        <f>IF($B166=$B165,$AE165,0)+$AD166</f>
        <v/>
      </c>
      <c r="AF166" s="55">
        <f>$AF165+$AD166</f>
        <v/>
      </c>
      <c r="AG166" s="55">
        <f>SUMIFS(tblMovement[Tonnes_t],tblMovement[Date],$A166)</f>
        <v/>
      </c>
      <c r="AH166" s="55">
        <f>IF($B166=$B165,$AH165,0)+$AG166</f>
        <v/>
      </c>
      <c r="AI166" s="55">
        <f>$AI165+$AG166</f>
        <v/>
      </c>
      <c r="AJ166" s="55">
        <f>$AG166-$X166-$AD166</f>
        <v/>
      </c>
      <c r="AK166" s="55">
        <f>IF($B166=$B165,$AK165,0)+$AJ166</f>
        <v/>
      </c>
      <c r="AL166" s="55">
        <f>$AL165+$AJ166</f>
        <v/>
      </c>
      <c r="AM166" s="55">
        <f>SUMIFS(tblMiningDaily[Drill_m],tblMiningDaily[Date],$A166)</f>
        <v/>
      </c>
      <c r="AN166" s="55">
        <f>IF($B166=$B165,$AN165,0)+$AM166</f>
        <v/>
      </c>
      <c r="AO166" s="55">
        <f>$AO165+$AM166</f>
        <v/>
      </c>
      <c r="AP166" s="55">
        <f>SUMIFS(tblMiningDaily[GC_Drill_m],tblMiningDaily[Date],$A166)</f>
        <v/>
      </c>
      <c r="AQ166" s="55">
        <f>IF($B166=$B165,$AQ165,0)+$AP166</f>
        <v/>
      </c>
      <c r="AR166" s="55">
        <f>$AR165+$AP166</f>
        <v/>
      </c>
      <c r="AS166" s="55">
        <f>SUMIFS(tblMiningDaily[Blast_t],tblMiningDaily[Date],$A166)</f>
        <v/>
      </c>
      <c r="AT166" s="55">
        <f>IF($B166=$B165,$AT165,0)+$AS166</f>
        <v/>
      </c>
      <c r="AU166" s="55">
        <f>$AU165+$AS166</f>
        <v/>
      </c>
      <c r="AV166" s="55">
        <f>SUMIFS(tblMiningDaily[Explosives_kg],tblMiningDaily[Date],$A166)</f>
        <v/>
      </c>
      <c r="AW166" s="55">
        <f>IF($B166=$B165,$AW165,0)+$AV166</f>
        <v/>
      </c>
      <c r="AX166" s="55">
        <f>$AX165+$AV166</f>
        <v/>
      </c>
      <c r="AY166" s="56">
        <f>IFERROR(IF(($AS166)&gt;0,($AV166)/($AS166),""),"")</f>
        <v/>
      </c>
      <c r="AZ166" s="56">
        <f>IFERROR(IF(($AT166)&gt;0,($AW166)/($AT166),""),"")</f>
        <v/>
      </c>
      <c r="BA166" s="56">
        <f>IFERROR(IF(($AU166)&gt;0,($AX166)/($AU166),""),"")</f>
        <v/>
      </c>
      <c r="BB166" s="55">
        <f>SUMIFS(tblMiningDaily[Diesel_L],tblMiningDaily[Date],$A166)</f>
        <v/>
      </c>
      <c r="BC166" s="55">
        <f>IF($B166=$B165,$BC165,0)+$BB166</f>
        <v/>
      </c>
      <c r="BD166" s="55">
        <f>$BD165+$BB166</f>
        <v/>
      </c>
      <c r="BE166" s="55">
        <f>SUMIFS(tblMiningDaily[Dewatering_m3],tblMiningDaily[Date],$A166)</f>
        <v/>
      </c>
      <c r="BF166" s="55">
        <f>IF($B166=$B165,$BF165,0)+$BE166</f>
        <v/>
      </c>
      <c r="BG166" s="55">
        <f>$BG165+$BE166</f>
        <v/>
      </c>
      <c r="BH166" s="57">
        <f>SUMIFS(tblFleet[Calendar_h],tblFleet[Date],$A166,tblFleet[Equipment_Class],"Excavator")</f>
        <v/>
      </c>
      <c r="BI166" s="57">
        <f>IF($B166=$B165,$BI165,0)+$BH166</f>
        <v/>
      </c>
      <c r="BJ166" s="57">
        <f>$BJ165+$BH166</f>
        <v/>
      </c>
      <c r="BK166" s="57">
        <f>SUMIFS(tblFleet[Available_h],tblFleet[Date],$A166,tblFleet[Equipment_Class],"Excavator")</f>
        <v/>
      </c>
      <c r="BL166" s="57">
        <f>IF($B166=$B165,$BL165,0)+$BK166</f>
        <v/>
      </c>
      <c r="BM166" s="57">
        <f>$BM165+$BK166</f>
        <v/>
      </c>
      <c r="BN166" s="57">
        <f>SUMIFS(tblFleet[Operating_h],tblFleet[Date],$A166,tblFleet[Equipment_Class],"Excavator")</f>
        <v/>
      </c>
      <c r="BO166" s="57">
        <f>IF($B166=$B165,$BO165,0)+$BN166</f>
        <v/>
      </c>
      <c r="BP166" s="57">
        <f>$BP165+$BN166</f>
        <v/>
      </c>
      <c r="BQ166" s="67">
        <f>IFERROR(IF(($BH166)&gt;0,($BK166)/($BH166),""),"")</f>
        <v/>
      </c>
      <c r="BR166" s="67">
        <f>IFERROR(IF(($BI166)&gt;0,($BL166)/($BI166),""),"")</f>
        <v/>
      </c>
      <c r="BS166" s="67">
        <f>IFERROR(IF(($BJ166)&gt;0,($BM166)/($BJ166),""),"")</f>
        <v/>
      </c>
      <c r="BT166" s="67">
        <f>IFERROR(IF(($BK166)&gt;0,($BN166)/($BK166),""),"")</f>
        <v/>
      </c>
      <c r="BU166" s="67">
        <f>IFERROR(IF(($BL166)&gt;0,($BO166)/($BL166),""),"")</f>
        <v/>
      </c>
      <c r="BV166" s="67">
        <f>IFERROR(IF(($BM166)&gt;0,($BP166)/($BM166),""),"")</f>
        <v/>
      </c>
      <c r="BW166" s="57">
        <f>SUMIFS(tblFleet[Calendar_h],tblFleet[Date],$A166,tblFleet[Equipment_Class],"Haul Truck")</f>
        <v/>
      </c>
      <c r="BX166" s="57">
        <f>IF($B166=$B165,$BX165,0)+$BW166</f>
        <v/>
      </c>
      <c r="BY166" s="57">
        <f>$BY165+$BW166</f>
        <v/>
      </c>
      <c r="BZ166" s="57">
        <f>SUMIFS(tblFleet[Available_h],tblFleet[Date],$A166,tblFleet[Equipment_Class],"Haul Truck")</f>
        <v/>
      </c>
      <c r="CA166" s="57">
        <f>IF($B166=$B165,$CA165,0)+$BZ166</f>
        <v/>
      </c>
      <c r="CB166" s="57">
        <f>$CB165+$BZ166</f>
        <v/>
      </c>
      <c r="CC166" s="57">
        <f>SUMIFS(tblFleet[Operating_h],tblFleet[Date],$A166,tblFleet[Equipment_Class],"Haul Truck")</f>
        <v/>
      </c>
      <c r="CD166" s="57">
        <f>IF($B166=$B165,$CD165,0)+$CC166</f>
        <v/>
      </c>
      <c r="CE166" s="57">
        <f>$CE165+$CC166</f>
        <v/>
      </c>
      <c r="CF166" s="67">
        <f>IFERROR(IF(($BW166)&gt;0,($BZ166)/($BW166),""),"")</f>
        <v/>
      </c>
      <c r="CG166" s="67">
        <f>IFERROR(IF(($BX166)&gt;0,($CA166)/($BX166),""),"")</f>
        <v/>
      </c>
      <c r="CH166" s="67">
        <f>IFERROR(IF(($BY166)&gt;0,($CB166)/($BY166),""),"")</f>
        <v/>
      </c>
      <c r="CI166" s="67">
        <f>IFERROR(IF(($BZ166)&gt;0,($CC166)/($BZ166),""),"")</f>
        <v/>
      </c>
      <c r="CJ166" s="67">
        <f>IFERROR(IF(($CA166)&gt;0,($CD166)/($CA166),""),"")</f>
        <v/>
      </c>
      <c r="CK166" s="67">
        <f>IFERROR(IF(($CB166)&gt;0,($CE166)/($CB166),""),"")</f>
        <v/>
      </c>
      <c r="CL166" s="55">
        <f>IFERROR(IF(($BN166)&gt;0,($X166+$AD166)/($BN166),""),"")</f>
        <v/>
      </c>
      <c r="CM166" s="55">
        <f>IFERROR(IF(($BO166)&gt;0,($Y166+$AE166)/($BO166),""),"")</f>
        <v/>
      </c>
      <c r="CN166" s="55">
        <f>IFERROR(IF(($BP166)&gt;0,($Z166+$AF166)/($BP166),""),"")</f>
        <v/>
      </c>
      <c r="CO166" s="55">
        <f>IFERROR(IF(($CC166)&gt;0,($X166+$AD166)/($CC166),""),"")</f>
        <v/>
      </c>
      <c r="CP166" s="55">
        <f>IFERROR(IF(($CD166)&gt;0,($Y166+$AE166)/($CD166),""),"")</f>
        <v/>
      </c>
      <c r="CQ166" s="55">
        <f>IFERROR(IF(($CE166)&gt;0,($Z166+$AF166)/($CE166),""),"")</f>
        <v/>
      </c>
      <c r="CR166" s="55">
        <f>SUMIFS(tblPlant[Crushed_t],tblPlant[Date],$A166)</f>
        <v/>
      </c>
      <c r="CS166" s="55">
        <f>IF($B166=$B165,$CS165,0)+$CR166</f>
        <v/>
      </c>
      <c r="CT166" s="55">
        <f>$CT165+$CR166</f>
        <v/>
      </c>
      <c r="CU166" s="55">
        <f>SUMIFS(tblPlant[Milled_t],tblPlant[Date],$A166)</f>
        <v/>
      </c>
      <c r="CV166" s="55">
        <f>IF($B166=$B165,$CV165,0)+$CU166</f>
        <v/>
      </c>
      <c r="CW166" s="55">
        <f>$CW165+$CU166</f>
        <v/>
      </c>
      <c r="CX166" s="55">
        <f>SUMIFS(tblPlant[Feed_oz],tblPlant[Date],$A166)</f>
        <v/>
      </c>
      <c r="CY166" s="55">
        <f>IF($B166=$B165,$CY165,0)+$CX166</f>
        <v/>
      </c>
      <c r="CZ166" s="55">
        <f>$CZ165+$CX166</f>
        <v/>
      </c>
      <c r="DA166" s="55">
        <f>SUMIFS(tblPlant[Tails_oz],tblPlant[Date],$A166)</f>
        <v/>
      </c>
      <c r="DB166" s="55">
        <f>IF($B166=$B165,$DB165,0)+$DA166</f>
        <v/>
      </c>
      <c r="DC166" s="55">
        <f>$DC165+$DA166</f>
        <v/>
      </c>
      <c r="DD166" s="55">
        <f>SUMIFS(tblPlant[Recovered_oz],tblPlant[Date],$A166)</f>
        <v/>
      </c>
      <c r="DE166" s="55">
        <f>IF($B166=$B165,$DE165,0)+$DD166</f>
        <v/>
      </c>
      <c r="DF166" s="55">
        <f>$DF165+$DD166</f>
        <v/>
      </c>
      <c r="DG166" s="55">
        <f>SUMIFS(tblPlant[Milled_t],tblPlant[Date],$A166,tblPlant[Head_Grade_gpt],"&lt;&gt;")</f>
        <v/>
      </c>
      <c r="DH166" s="55">
        <f>IF($B166=$B165,$DH165,0)+$DG166</f>
        <v/>
      </c>
      <c r="DI166" s="55">
        <f>$DI165+$DG166</f>
        <v/>
      </c>
      <c r="DJ166" s="55">
        <f>SUMIFS(tblPlant[Milled_t],tblPlant[Date],$A166,tblPlant[Tails_Grade_gpt],"&lt;&gt;")</f>
        <v/>
      </c>
      <c r="DK166" s="55">
        <f>IF($B166=$B165,$DK165,0)+$DJ166</f>
        <v/>
      </c>
      <c r="DL166" s="55">
        <f>$DL165+$DJ166</f>
        <v/>
      </c>
      <c r="DM166" s="55">
        <f>SUMIFS(tblPlant[Feed_oz],tblPlant[Date],$A166,tblPlant[Tails_Grade_gpt],"&lt;&gt;")</f>
        <v/>
      </c>
      <c r="DN166" s="55">
        <f>IF($B166=$B165,$DN165,0)+$DM166</f>
        <v/>
      </c>
      <c r="DO166" s="55">
        <f>$DO165+$DM166</f>
        <v/>
      </c>
      <c r="DP166" s="55">
        <f>SUMIFS(tblPlant[Milled_t],tblPlant[Date],$A166,tblPlant[Mill_Run_h],"&lt;&gt;")</f>
        <v/>
      </c>
      <c r="DQ166" s="55">
        <f>IF($B166=$B165,$DQ165,0)+$DP166</f>
        <v/>
      </c>
      <c r="DR166" s="55">
        <f>$DR165+$DP166</f>
        <v/>
      </c>
      <c r="DS166" s="56">
        <f>IFERROR(IF(($DG166)&gt;0,($CX166*cfg_TroyOz)/($DG166),""),"")</f>
        <v/>
      </c>
      <c r="DT166" s="56">
        <f>IFERROR(IF(($DH166)&gt;0,($CY166*cfg_TroyOz)/($DH166),""),"")</f>
        <v/>
      </c>
      <c r="DU166" s="56">
        <f>IFERROR(IF(($DI166)&gt;0,($CZ166*cfg_TroyOz)/($DI166),""),"")</f>
        <v/>
      </c>
      <c r="DV166" s="56">
        <f>IFERROR(IF(($DJ166)&gt;0,($DA166*cfg_TroyOz)/($DJ166),""),"")</f>
        <v/>
      </c>
      <c r="DW166" s="56">
        <f>IFERROR(IF(($DK166)&gt;0,($DB166*cfg_TroyOz)/($DK166),""),"")</f>
        <v/>
      </c>
      <c r="DX166" s="56">
        <f>IFERROR(IF(($DL166)&gt;0,($DC166*cfg_TroyOz)/($DL166),""),"")</f>
        <v/>
      </c>
      <c r="DY166" s="67">
        <f>IFERROR(IF(($DM166)&gt;0,($DD166)/($DM166),""),"")</f>
        <v/>
      </c>
      <c r="DZ166" s="67">
        <f>IFERROR(IF(($DN166)&gt;0,($DE166)/($DN166),""),"")</f>
        <v/>
      </c>
      <c r="EA166" s="67">
        <f>IFERROR(IF(($DO166)&gt;0,($DF166)/($DO166),""),"")</f>
        <v/>
      </c>
      <c r="EB166" s="55">
        <f>SUMIFS(tblPlant[Gravity_Gold_oz],tblPlant[Date],$A166)</f>
        <v/>
      </c>
      <c r="EC166" s="55">
        <f>IF($B166=$B165,$EC165,0)+$EB166</f>
        <v/>
      </c>
      <c r="ED166" s="55">
        <f>$ED165+$EB166</f>
        <v/>
      </c>
      <c r="EE166" s="67">
        <f>IFERROR(IF(($DD166)&gt;0,($EB166)/($DD166),""),"")</f>
        <v/>
      </c>
      <c r="EF166" s="67">
        <f>IFERROR(IF(($DE166)&gt;0,($EC166)/($DE166),""),"")</f>
        <v/>
      </c>
      <c r="EG166" s="67">
        <f>IFERROR(IF(($DF166)&gt;0,($ED166)/($DF166),""),"")</f>
        <v/>
      </c>
      <c r="EH166" s="55">
        <f>SUMIFS(tblPlant[Gold_Poured_oz],tblPlant[Date],$A166)</f>
        <v/>
      </c>
      <c r="EI166" s="55">
        <f>IF($B166=$B165,$EI165,0)+$EH166</f>
        <v/>
      </c>
      <c r="EJ166" s="55">
        <f>$EJ165+$EH166</f>
        <v/>
      </c>
      <c r="EK166" s="57">
        <f>SUMIFS(tblPlant[Mill_Run_h],tblPlant[Date],$A166)</f>
        <v/>
      </c>
      <c r="EL166" s="57">
        <f>IF($B166=$B165,$EL165,0)+$EK166</f>
        <v/>
      </c>
      <c r="EM166" s="57">
        <f>$EM165+$EK166</f>
        <v/>
      </c>
      <c r="EN166" s="57">
        <f>SUMIFS(tblPlant[Mill_Planned_Maint_h],tblPlant[Date],$A166)</f>
        <v/>
      </c>
      <c r="EO166" s="57">
        <f>IF($B166=$B165,$EO165,0)+$EN166</f>
        <v/>
      </c>
      <c r="EP166" s="57">
        <f>$EP165+$EN166</f>
        <v/>
      </c>
      <c r="EQ166" s="57">
        <f>SUMIFS(tblPlant[Mill_Unplanned_Down_h],tblPlant[Date],$A166)</f>
        <v/>
      </c>
      <c r="ER166" s="57">
        <f>IF($B166=$B165,$ER165,0)+$EQ166</f>
        <v/>
      </c>
      <c r="ES166" s="57">
        <f>$ES165+$EQ166</f>
        <v/>
      </c>
      <c r="ET166" s="57">
        <f>IF(COUNTIFS(tblPlant[Date],$A166,tblPlant[Mill_Run_h],"&lt;&gt;")+COUNTIFS(tblPlant[Date],$A166,tblPlant[Mill_Planned_Maint_h],"&lt;&gt;")+COUNTIFS(tblPlant[Date],$A166,tblPlant[Mill_Unplanned_Down_h],"&lt;&gt;")&gt;0,cfg_HoursPerDay,0)</f>
        <v/>
      </c>
      <c r="EU166" s="57">
        <f>IF($B166=$B165,$EU165,0)+$ET166</f>
        <v/>
      </c>
      <c r="EV166" s="57">
        <f>$EV165+$ET166</f>
        <v/>
      </c>
      <c r="EW166" s="57">
        <f>SUMIFS(tblPlant[Crusher_Run_h],tblPlant[Date],$A166)</f>
        <v/>
      </c>
      <c r="EX166" s="57">
        <f>IF($B166=$B165,$EX165,0)+$EW166</f>
        <v/>
      </c>
      <c r="EY166" s="57">
        <f>$EY165+$EW166</f>
        <v/>
      </c>
      <c r="EZ166" s="55">
        <f>IFERROR(IF(($EK166)&gt;0,($DP166)/($EK166),""),"")</f>
        <v/>
      </c>
      <c r="FA166" s="55">
        <f>IFERROR(IF(($EL166)&gt;0,($DQ166)/($EL166),""),"")</f>
        <v/>
      </c>
      <c r="FB166" s="55">
        <f>IFERROR(IF(($EM166)&gt;0,($DR166)/($EM166),""),"")</f>
        <v/>
      </c>
      <c r="FC166" s="67">
        <f>IFERROR(IF(($ET166)&gt;0,($ET166-$EN166-$EQ166)/($ET166),""),"")</f>
        <v/>
      </c>
      <c r="FD166" s="67">
        <f>IFERROR(IF(($EU166)&gt;0,($EU166-$EO166-$ER166)/($EU166),""),"")</f>
        <v/>
      </c>
      <c r="FE166" s="67">
        <f>IFERROR(IF(($EV166)&gt;0,($EV166-$EP166-$ES166)/($EV166),""),"")</f>
        <v/>
      </c>
      <c r="FF166" s="67">
        <f>IFERROR(IF(($ET166-$EN166-$EQ166)&gt;0,($EK166)/($ET166-$EN166-$EQ166),""),"")</f>
        <v/>
      </c>
      <c r="FG166" s="67">
        <f>IFERROR(IF(($EU166-$EO166-$ER166)&gt;0,($EL166)/($EU166-$EO166-$ER166),""),"")</f>
        <v/>
      </c>
      <c r="FH166" s="67">
        <f>IFERROR(IF(($EV166-$EP166-$ES166)&gt;0,($EM166)/($EV166-$EP166-$ES166),""),"")</f>
        <v/>
      </c>
      <c r="FI166" s="55">
        <f>SUMIFS(tblPlant[Cyanide_kg],tblPlant[Date],$A166)</f>
        <v/>
      </c>
      <c r="FJ166" s="55">
        <f>IF($B166=$B165,$FJ165,0)+$FI166</f>
        <v/>
      </c>
      <c r="FK166" s="55">
        <f>$FK165+$FI166</f>
        <v/>
      </c>
      <c r="FL166" s="55">
        <f>SUMIFS(tblPlant[Lime_kg],tblPlant[Date],$A166)</f>
        <v/>
      </c>
      <c r="FM166" s="55">
        <f>IF($B166=$B165,$FM165,0)+$FL166</f>
        <v/>
      </c>
      <c r="FN166" s="55">
        <f>$FN165+$FL166</f>
        <v/>
      </c>
      <c r="FO166" s="55">
        <f>SUMIFS(tblPlant[Grinding_Media_kg],tblPlant[Date],$A166)</f>
        <v/>
      </c>
      <c r="FP166" s="55">
        <f>IF($B166=$B165,$FP165,0)+$FO166</f>
        <v/>
      </c>
      <c r="FQ166" s="55">
        <f>$FQ165+$FO166</f>
        <v/>
      </c>
      <c r="FR166" s="55">
        <f>SUMIFS(tblPlant[Power_kWh],tblPlant[Date],$A166)</f>
        <v/>
      </c>
      <c r="FS166" s="55">
        <f>IF($B166=$B165,$FS165,0)+$FR166</f>
        <v/>
      </c>
      <c r="FT166" s="55">
        <f>$FT165+$FR166</f>
        <v/>
      </c>
      <c r="FU166" s="55">
        <f>SUMIFS(tblPlant[Raw_Water_m3],tblPlant[Date],$A166)</f>
        <v/>
      </c>
      <c r="FV166" s="55">
        <f>IF($B166=$B165,$FV165,0)+$FU166</f>
        <v/>
      </c>
      <c r="FW166" s="55">
        <f>$FW165+$FU166</f>
        <v/>
      </c>
      <c r="FX166" s="56">
        <f>IFERROR(IF(($CU166)&gt;0,($FI166)/($CU166),""),"")</f>
        <v/>
      </c>
      <c r="FY166" s="56">
        <f>IFERROR(IF(($CV166)&gt;0,($FJ166)/($CV166),""),"")</f>
        <v/>
      </c>
      <c r="FZ166" s="56">
        <f>IFERROR(IF(($CW166)&gt;0,($FK166)/($CW166),""),"")</f>
        <v/>
      </c>
      <c r="GA166" s="56">
        <f>IFERROR(IF(($CU166)&gt;0,($FL166)/($CU166),""),"")</f>
        <v/>
      </c>
      <c r="GB166" s="56">
        <f>IFERROR(IF(($CV166)&gt;0,($FM166)/($CV166),""),"")</f>
        <v/>
      </c>
      <c r="GC166" s="56">
        <f>IFERROR(IF(($CW166)&gt;0,($FN166)/($CW166),""),"")</f>
        <v/>
      </c>
      <c r="GD166" s="56">
        <f>IFERROR(IF(($CU166)&gt;0,($FO166)/($CU166),""),"")</f>
        <v/>
      </c>
      <c r="GE166" s="56">
        <f>IFERROR(IF(($CV166)&gt;0,($FP166)/($CV166),""),"")</f>
        <v/>
      </c>
      <c r="GF166" s="56">
        <f>IFERROR(IF(($CW166)&gt;0,($FQ166)/($CW166),""),"")</f>
        <v/>
      </c>
      <c r="GG166" s="79">
        <f>IFERROR(IF(($CU166)&gt;0,($FR166)/($CU166),""),"")</f>
        <v/>
      </c>
      <c r="GH166" s="79">
        <f>IFERROR(IF(($CV166)&gt;0,($FS166)/($CV166),""),"")</f>
        <v/>
      </c>
      <c r="GI166" s="79">
        <f>IFERROR(IF(($CW166)&gt;0,($FT166)/($CW166),""),"")</f>
        <v/>
      </c>
      <c r="GJ166" s="56">
        <f>IFERROR(IF(($CU166)&gt;0,($FU166)/($CU166),""),"")</f>
        <v/>
      </c>
      <c r="GK166" s="56">
        <f>IFERROR(IF(($CV166)&gt;0,($FV166)/($CV166),""),"")</f>
        <v/>
      </c>
      <c r="GL166" s="56">
        <f>IFERROR(IF(($CW166)&gt;0,($FW166)/($CW166),""),"")</f>
        <v/>
      </c>
      <c r="GM166" s="55">
        <f>IF(SUMIFS(tblPlant[GIC_oz],tblPlant[Date],$A166)&gt;0,SUMIFS(tblPlant[GIC_oz],tblPlant[Date],$A166),"")</f>
        <v/>
      </c>
      <c r="GN166" s="55">
        <f>SUMIFS(tblGold[Gold_oz],tblGold[Date],$A166,tblGold[Type],"Shipment")</f>
        <v/>
      </c>
      <c r="GO166" s="55">
        <f>IF($B166=$B165,$GO165,0)+$GN166</f>
        <v/>
      </c>
      <c r="GP166" s="55">
        <f>$GP165+$GN166</f>
        <v/>
      </c>
      <c r="GQ166" s="55">
        <f>SUMIFS(tblGold[Gold_oz],tblGold[Date],$A166,tblGold[Type],"Sale")</f>
        <v/>
      </c>
      <c r="GR166" s="55">
        <f>IF($B166=$B165,$GR165,0)+$GQ166</f>
        <v/>
      </c>
      <c r="GS166" s="55">
        <f>$GS165+$GQ166</f>
        <v/>
      </c>
      <c r="GT166" s="55">
        <f>SUMIFS(tblGold[Dore_kg],tblGold[Date],$A166,tblGold[Type],"Shipment")</f>
        <v/>
      </c>
      <c r="GU166" s="55">
        <f>IF($B166=$B165,$GU165,0)+$GT166</f>
        <v/>
      </c>
      <c r="GV166" s="55">
        <f>$GV165+$GT166</f>
        <v/>
      </c>
      <c r="GW166" s="57">
        <f>SUMIFS(tblSafety[Hours_Total],tblSafety[Date],$A166)</f>
        <v/>
      </c>
      <c r="GX166" s="57">
        <f>IF($B166=$B165,$GX165,0)+$GW166</f>
        <v/>
      </c>
      <c r="GY166" s="57">
        <f>$GY165+$GW166</f>
        <v/>
      </c>
      <c r="GZ166" s="62">
        <f>SUMIFS(tblSafety[Fatality],tblSafety[Date],$A166)</f>
        <v/>
      </c>
      <c r="HA166" s="62">
        <f>IF($B166=$B165,$HA165,0)+$GZ166</f>
        <v/>
      </c>
      <c r="HB166" s="62">
        <f>$HB165+$GZ166</f>
        <v/>
      </c>
      <c r="HC166" s="62">
        <f>SUMIFS(tblSafety[LTI],tblSafety[Date],$A166)</f>
        <v/>
      </c>
      <c r="HD166" s="62">
        <f>IF($B166=$B165,$HD165,0)+$HC166</f>
        <v/>
      </c>
      <c r="HE166" s="62">
        <f>$HE165+$HC166</f>
        <v/>
      </c>
      <c r="HF166" s="62">
        <f>SUMIFS(tblSafety[RWI],tblSafety[Date],$A166)</f>
        <v/>
      </c>
      <c r="HG166" s="62">
        <f>IF($B166=$B165,$HG165,0)+$HF166</f>
        <v/>
      </c>
      <c r="HH166" s="62">
        <f>$HH165+$HF166</f>
        <v/>
      </c>
      <c r="HI166" s="62">
        <f>SUMIFS(tblSafety[MTI],tblSafety[Date],$A166)</f>
        <v/>
      </c>
      <c r="HJ166" s="62">
        <f>IF($B166=$B165,$HJ165,0)+$HI166</f>
        <v/>
      </c>
      <c r="HK166" s="62">
        <f>$HK165+$HI166</f>
        <v/>
      </c>
      <c r="HL166" s="62">
        <f>SUMIFS(tblSafety[FAI],tblSafety[Date],$A166)</f>
        <v/>
      </c>
      <c r="HM166" s="62">
        <f>IF($B166=$B165,$HM165,0)+$HL166</f>
        <v/>
      </c>
      <c r="HN166" s="62">
        <f>$HN165+$HL166</f>
        <v/>
      </c>
      <c r="HO166" s="62">
        <f>SUMIFS(tblSafety[Recordables],tblSafety[Date],$A166)</f>
        <v/>
      </c>
      <c r="HP166" s="62">
        <f>IF($B166=$B165,$HP165,0)+$HO166</f>
        <v/>
      </c>
      <c r="HQ166" s="62">
        <f>$HQ165+$HO166</f>
        <v/>
      </c>
      <c r="HR166" s="62">
        <f>SUMIFS(tblSafety[Near_Miss],tblSafety[Date],$A166)</f>
        <v/>
      </c>
      <c r="HS166" s="62">
        <f>IF($B166=$B165,$HS165,0)+$HR166</f>
        <v/>
      </c>
      <c r="HT166" s="62">
        <f>$HT165+$HR166</f>
        <v/>
      </c>
      <c r="HU166" s="62">
        <f>SUMIFS(tblSafety[Hazard_Reports],tblSafety[Date],$A166)</f>
        <v/>
      </c>
      <c r="HV166" s="62">
        <f>IF($B166=$B165,$HV165,0)+$HU166</f>
        <v/>
      </c>
      <c r="HW166" s="62">
        <f>$HW165+$HU166</f>
        <v/>
      </c>
      <c r="HX166" s="62">
        <f>SUMIFS(tblSafety[HPI],tblSafety[Date],$A166)</f>
        <v/>
      </c>
      <c r="HY166" s="62">
        <f>IF($B166=$B165,$HY165,0)+$HX166</f>
        <v/>
      </c>
      <c r="HZ166" s="62">
        <f>$HZ165+$HX166</f>
        <v/>
      </c>
      <c r="IA166" s="62">
        <f>SUMIFS(tblSafety[Env_Incidents],tblSafety[Date],$A166)</f>
        <v/>
      </c>
      <c r="IB166" s="62">
        <f>IF($B166=$B165,$IB165,0)+$IA166</f>
        <v/>
      </c>
      <c r="IC166" s="62">
        <f>$IC165+$IA166</f>
        <v/>
      </c>
      <c r="ID166" s="62">
        <f>SUMIFS(tblSafety[Community_Incidents],tblSafety[Date],$A166)</f>
        <v/>
      </c>
      <c r="IE166" s="62">
        <f>IF($B166=$B165,$IE165,0)+$ID166</f>
        <v/>
      </c>
      <c r="IF166" s="62">
        <f>$IF165+$ID166</f>
        <v/>
      </c>
      <c r="IG166" s="62">
        <f>SUMIFS(tblSafety[Vehicle_Incidents],tblSafety[Date],$A166)</f>
        <v/>
      </c>
      <c r="IH166" s="62">
        <f>IF($B166=$B165,$IH165,0)+$IG166</f>
        <v/>
      </c>
      <c r="II166" s="62">
        <f>$II165+$IG166</f>
        <v/>
      </c>
      <c r="IJ166" s="62">
        <f>SUMIFS(tblSafety[Toolbox_Talks],tblSafety[Date],$A166)</f>
        <v/>
      </c>
      <c r="IK166" s="62">
        <f>IF($B166=$B165,$IK165,0)+$IJ166</f>
        <v/>
      </c>
      <c r="IL166" s="62">
        <f>$IL165+$IJ166</f>
        <v/>
      </c>
      <c r="IM166" s="62">
        <f>SUMIFS(tblSafety[Inspections],tblSafety[Date],$A166)</f>
        <v/>
      </c>
      <c r="IN166" s="62">
        <f>IF($B166=$B165,$IN165,0)+$IM166</f>
        <v/>
      </c>
      <c r="IO166" s="62">
        <f>$IO165+$IM166</f>
        <v/>
      </c>
      <c r="IP166" s="56">
        <f>IFERROR((SUMIFS(tblSafety[Recordables],tblSafety[Date],"&gt;="&amp;EDATE($E166,-12),tblSafety[Date],"&lt;="&amp;$A166)+SUMIFS(tblSafetyHistory[Recordables],tblSafetyHistory[Month],"&gt;="&amp;EDATE($E166,-12),tblSafetyHistory[Month],"&lt;"&amp;$E166,tblSafetyHistory[Use],1))/(SUMIFS(tblSafety[Hours_Total],tblSafety[Date],"&gt;="&amp;EDATE($E166,-12),tblSafety[Date],"&lt;="&amp;$A166)+SUMIFS(tblSafetyHistory[Hours_Total],tblSafetyHistory[Month],"&gt;="&amp;EDATE($E166,-12),tblSafetyHistory[Month],"&lt;"&amp;$E166,tblSafetyHistory[Use],1))*cfg_RateBasisHours,"")</f>
        <v/>
      </c>
      <c r="IQ166" s="56">
        <f>IFERROR((SUMIFS(tblSafety[LTI],tblSafety[Date],"&gt;="&amp;EDATE($E166,-12),tblSafety[Date],"&lt;="&amp;$A166)+SUMIFS(tblSafetyHistory[LTI],tblSafetyHistory[Month],"&gt;="&amp;EDATE($E166,-12),tblSafetyHistory[Month],"&lt;"&amp;$E166,tblSafetyHistory[Use],1))/(SUMIFS(tblSafety[Hours_Total],tblSafety[Date],"&gt;="&amp;EDATE($E166,-12),tblSafety[Date],"&lt;="&amp;$A166)+SUMIFS(tblSafetyHistory[Hours_Total],tblSafetyHistory[Month],"&gt;="&amp;EDATE($E166,-12),tblSafetyHistory[Month],"&lt;"&amp;$E166,tblSafetyHistory[Use],1))*cfg_RateBasisHours,"")</f>
        <v/>
      </c>
      <c r="IR166" s="62">
        <f>IF(MAX(N(cfg_PriorLTIDate),_xlfn.MAXIFS(tblSafety[Date],tblSafety[LTI],"&gt;0",tblSafety[Date],"&lt;="&amp;$A166))=0,"",$A166-MAX(N(cfg_PriorLTIDate),_xlfn.MAXIFS(tblSafety[Date],tblSafety[LTI],"&gt;0",tblSafety[Date],"&lt;="&amp;$A166)))</f>
        <v/>
      </c>
      <c r="IS166" s="55">
        <f>SUMIFS(tblBudget[Ore_Mined_t],tblBudget[Month],$E166)</f>
        <v/>
      </c>
      <c r="IT166" s="55">
        <f>$IS166*$C166/$D166</f>
        <v/>
      </c>
      <c r="IU166" s="55">
        <f>SUMIFS(tblBudget[Ore_Mined_t],tblBudget[Month],"&lt;"&amp;$E166)+$IT166</f>
        <v/>
      </c>
      <c r="IV166" s="55">
        <f>SUMIFS(tblBudget[Ore_oz],tblBudget[Month],$E166)</f>
        <v/>
      </c>
      <c r="IW166" s="55">
        <f>$IV166*$C166/$D166</f>
        <v/>
      </c>
      <c r="IX166" s="55">
        <f>SUMIFS(tblBudget[Ore_oz],tblBudget[Month],"&lt;"&amp;$E166)+$IW166</f>
        <v/>
      </c>
      <c r="IY166" s="55">
        <f>SUMIFS(tblBudget[Ore_Mined_t],tblBudget[Month],$E166)</f>
        <v/>
      </c>
      <c r="IZ166" s="55">
        <f>$IY166*$C166/$D166</f>
        <v/>
      </c>
      <c r="JA166" s="55">
        <f>SUMIFS(tblBudget[Ore_Mined_t],tblBudget[Month],"&lt;"&amp;$E166)+$IZ166</f>
        <v/>
      </c>
      <c r="JB166" s="56">
        <f>IFERROR(IF(($IY166)&gt;0,($IV166*cfg_TroyOz)/($IY166),""),"")</f>
        <v/>
      </c>
      <c r="JC166" s="56">
        <f>IFERROR(IF(($IZ166)&gt;0,($IW166*cfg_TroyOz)/($IZ166),""),"")</f>
        <v/>
      </c>
      <c r="JD166" s="56">
        <f>IFERROR(IF(($JA166)&gt;0,($IX166*cfg_TroyOz)/($JA166),""),"")</f>
        <v/>
      </c>
      <c r="JE166" s="55">
        <f>SUMIFS(tblBudget[Waste_t],tblBudget[Month],$E166)</f>
        <v/>
      </c>
      <c r="JF166" s="55">
        <f>$JE166*$C166/$D166</f>
        <v/>
      </c>
      <c r="JG166" s="55">
        <f>SUMIFS(tblBudget[Waste_t],tblBudget[Month],"&lt;"&amp;$E166)+$JF166</f>
        <v/>
      </c>
      <c r="JH166" s="55">
        <f>SUMIFS(tblBudget[TMM_t],tblBudget[Month],$E166)</f>
        <v/>
      </c>
      <c r="JI166" s="55">
        <f>$JH166*$C166/$D166</f>
        <v/>
      </c>
      <c r="JJ166" s="55">
        <f>SUMIFS(tblBudget[TMM_t],tblBudget[Month],"&lt;"&amp;$E166)+$JI166</f>
        <v/>
      </c>
      <c r="JK166" s="56">
        <f>IFERROR(IF(($IS166)&gt;0,($JE166)/($IS166),""),"")</f>
        <v/>
      </c>
      <c r="JL166" s="56">
        <f>IFERROR(IF(($IT166)&gt;0,($JF166)/($IT166),""),"")</f>
        <v/>
      </c>
      <c r="JM166" s="56">
        <f>IFERROR(IF(($IU166)&gt;0,($JG166)/($IU166),""),"")</f>
        <v/>
      </c>
      <c r="JN166" s="55">
        <f>SUMIFS(tblBudget[Drill_m],tblBudget[Month],$E166)</f>
        <v/>
      </c>
      <c r="JO166" s="55">
        <f>$JN166*$C166/$D166</f>
        <v/>
      </c>
      <c r="JP166" s="55">
        <f>SUMIFS(tblBudget[Drill_m],tblBudget[Month],"&lt;"&amp;$E166)+$JO166</f>
        <v/>
      </c>
      <c r="JQ166" s="55">
        <f>SUMIFS(tblBudget[Diesel_L],tblBudget[Month],$E166)</f>
        <v/>
      </c>
      <c r="JR166" s="55">
        <f>$JQ166*$C166/$D166</f>
        <v/>
      </c>
      <c r="JS166" s="55">
        <f>SUMIFS(tblBudget[Diesel_L],tblBudget[Month],"&lt;"&amp;$E166)+$JR166</f>
        <v/>
      </c>
      <c r="JT166" s="55">
        <f>SUMIFS(tblBudget[Milled_t],tblBudget[Month],$E166)</f>
        <v/>
      </c>
      <c r="JU166" s="55">
        <f>$JT166*$C166/$D166</f>
        <v/>
      </c>
      <c r="JV166" s="55">
        <f>SUMIFS(tblBudget[Milled_t],tblBudget[Month],"&lt;"&amp;$E166)+$JU166</f>
        <v/>
      </c>
      <c r="JW166" s="55">
        <f>SUMIFS(tblBudget[Feed_oz],tblBudget[Month],$E166)</f>
        <v/>
      </c>
      <c r="JX166" s="55">
        <f>$JW166*$C166/$D166</f>
        <v/>
      </c>
      <c r="JY166" s="55">
        <f>SUMIFS(tblBudget[Feed_oz],tblBudget[Month],"&lt;"&amp;$E166)+$JX166</f>
        <v/>
      </c>
      <c r="JZ166" s="55">
        <f>SUMIFS(tblBudget[Recovered_oz],tblBudget[Month],$E166)</f>
        <v/>
      </c>
      <c r="KA166" s="55">
        <f>$JZ166*$C166/$D166</f>
        <v/>
      </c>
      <c r="KB166" s="55">
        <f>SUMIFS(tblBudget[Recovered_oz],tblBudget[Month],"&lt;"&amp;$E166)+$KA166</f>
        <v/>
      </c>
      <c r="KC166" s="55">
        <f>SUMIFS(tblBudget[Milled_t],tblBudget[Month],$E166)</f>
        <v/>
      </c>
      <c r="KD166" s="55">
        <f>$KC166*$C166/$D166</f>
        <v/>
      </c>
      <c r="KE166" s="55">
        <f>SUMIFS(tblBudget[Milled_t],tblBudget[Month],"&lt;"&amp;$E166)+$KD166</f>
        <v/>
      </c>
      <c r="KF166" s="55">
        <f>SUMIFS(tblBudget[Feed_oz],tblBudget[Month],$E166)</f>
        <v/>
      </c>
      <c r="KG166" s="55">
        <f>$KF166*$C166/$D166</f>
        <v/>
      </c>
      <c r="KH166" s="55">
        <f>SUMIFS(tblBudget[Feed_oz],tblBudget[Month],"&lt;"&amp;$E166)+$KG166</f>
        <v/>
      </c>
      <c r="KI166" s="56">
        <f>IFERROR(IF(($KC166)&gt;0,($JW166*cfg_TroyOz)/($KC166),""),"")</f>
        <v/>
      </c>
      <c r="KJ166" s="56">
        <f>IFERROR(IF(($KD166)&gt;0,($JX166*cfg_TroyOz)/($KD166),""),"")</f>
        <v/>
      </c>
      <c r="KK166" s="56">
        <f>IFERROR(IF(($KE166)&gt;0,($JY166*cfg_TroyOz)/($KE166),""),"")</f>
        <v/>
      </c>
      <c r="KL166" s="67">
        <f>IFERROR(IF(($KF166)&gt;0,($JZ166)/($KF166),""),"")</f>
        <v/>
      </c>
      <c r="KM166" s="67">
        <f>IFERROR(IF(($KG166)&gt;0,($KA166)/($KG166),""),"")</f>
        <v/>
      </c>
      <c r="KN166" s="67">
        <f>IFERROR(IF(($KH166)&gt;0,($KB166)/($KH166),""),"")</f>
        <v/>
      </c>
      <c r="KO166" s="55">
        <f>SUMIFS(tblBudget[Gold_Poured_oz],tblBudget[Month],$E166)</f>
        <v/>
      </c>
      <c r="KP166" s="55">
        <f>$KO166*$C166/$D166</f>
        <v/>
      </c>
      <c r="KQ166" s="55">
        <f>SUMIFS(tblBudget[Gold_Poured_oz],tblBudget[Month],"&lt;"&amp;$E166)+$KP166</f>
        <v/>
      </c>
      <c r="KR166" s="57">
        <f>SUMIFS(tblBudget[Hours_Worked],tblBudget[Month],$E166)</f>
        <v/>
      </c>
      <c r="KS166" s="57">
        <f>$KR166*$C166/$D166</f>
        <v/>
      </c>
      <c r="KT166" s="57">
        <f>SUMIFS(tblBudget[Hours_Worked],tblBudget[Month],"&lt;"&amp;$E166)+$KS166</f>
        <v/>
      </c>
    </row>
    <row r="167">
      <c r="A167" s="54" t="n">
        <v>46188</v>
      </c>
      <c r="B167">
        <f>MONTH($A167)</f>
        <v/>
      </c>
      <c r="C167">
        <f>DAY($A167)</f>
        <v/>
      </c>
      <c r="D167">
        <f>DAY(EOMONTH($A167,0))</f>
        <v/>
      </c>
      <c r="E167" s="54">
        <f>DATE(YEAR($A167),MONTH($A167),1)</f>
        <v/>
      </c>
      <c r="F167" s="55">
        <f>SUMIFS(tblMovement[Tonnes_t],tblMovement[Date],$A167,tblMovement[Is_Ore],1,tblMovement[Source_Type],"Pit")</f>
        <v/>
      </c>
      <c r="G167" s="55">
        <f>IF($B167=$B166,$G166,0)+$F167</f>
        <v/>
      </c>
      <c r="H167" s="55">
        <f>$H166+$F167</f>
        <v/>
      </c>
      <c r="I167" s="55">
        <f>SUMIFS(tblMovement[Ore_oz],tblMovement[Date],$A167,tblMovement[Source_Type],"Pit")</f>
        <v/>
      </c>
      <c r="J167" s="55">
        <f>IF($B167=$B166,$J166,0)+$I167</f>
        <v/>
      </c>
      <c r="K167" s="55">
        <f>$K166+$I167</f>
        <v/>
      </c>
      <c r="L167" s="55">
        <f>SUMIFS(tblMovement[Tonnes_t],tblMovement[Date],$A167,tblMovement[Is_Ore],1,tblMovement[Source_Type],"Pit",tblMovement[Grade_gpt],"&lt;&gt;")</f>
        <v/>
      </c>
      <c r="M167" s="55">
        <f>IF($B167=$B166,$M166,0)+$L167</f>
        <v/>
      </c>
      <c r="N167" s="55">
        <f>$N166+$L167</f>
        <v/>
      </c>
      <c r="O167" s="56">
        <f>IFERROR(IF(($L167)&gt;0,($I167*cfg_TroyOz)/($L167),""),"")</f>
        <v/>
      </c>
      <c r="P167" s="56">
        <f>IFERROR(IF(($M167)&gt;0,($J167*cfg_TroyOz)/($M167),""),"")</f>
        <v/>
      </c>
      <c r="Q167" s="56">
        <f>IFERROR(IF(($N167)&gt;0,($K167*cfg_TroyOz)/($N167),""),"")</f>
        <v/>
      </c>
      <c r="R167" s="55">
        <f>$F167-$L167</f>
        <v/>
      </c>
      <c r="S167" s="55">
        <f>IF($B167=$B166,$S166,0)+$R167</f>
        <v/>
      </c>
      <c r="T167" s="55">
        <f>$T166+$R167</f>
        <v/>
      </c>
      <c r="U167" s="55">
        <f>SUMIFS(tblMovement[Tonnes_t],tblMovement[Date],$A167,tblMovement[Is_Ore],0,tblMovement[Source_Type],"Pit")</f>
        <v/>
      </c>
      <c r="V167" s="55">
        <f>IF($B167=$B166,$V166,0)+$U167</f>
        <v/>
      </c>
      <c r="W167" s="55">
        <f>$W166+$U167</f>
        <v/>
      </c>
      <c r="X167" s="55">
        <f>$F167+$U167</f>
        <v/>
      </c>
      <c r="Y167" s="55">
        <f>IF($B167=$B166,$Y166,0)+$X167</f>
        <v/>
      </c>
      <c r="Z167" s="55">
        <f>$Z166+$X167</f>
        <v/>
      </c>
      <c r="AA167" s="56">
        <f>IFERROR(IF(($F167)&gt;0,($U167)/($F167),""),"")</f>
        <v/>
      </c>
      <c r="AB167" s="56">
        <f>IFERROR(IF(($G167)&gt;0,($V167)/($G167),""),"")</f>
        <v/>
      </c>
      <c r="AC167" s="56">
        <f>IFERROR(IF(($H167)&gt;0,($W167)/($H167),""),"")</f>
        <v/>
      </c>
      <c r="AD167" s="55">
        <f>SUMIFS(tblMovement[Tonnes_t],tblMovement[Date],$A167,tblMovement[Source_Type],"Stockpile")</f>
        <v/>
      </c>
      <c r="AE167" s="55">
        <f>IF($B167=$B166,$AE166,0)+$AD167</f>
        <v/>
      </c>
      <c r="AF167" s="55">
        <f>$AF166+$AD167</f>
        <v/>
      </c>
      <c r="AG167" s="55">
        <f>SUMIFS(tblMovement[Tonnes_t],tblMovement[Date],$A167)</f>
        <v/>
      </c>
      <c r="AH167" s="55">
        <f>IF($B167=$B166,$AH166,0)+$AG167</f>
        <v/>
      </c>
      <c r="AI167" s="55">
        <f>$AI166+$AG167</f>
        <v/>
      </c>
      <c r="AJ167" s="55">
        <f>$AG167-$X167-$AD167</f>
        <v/>
      </c>
      <c r="AK167" s="55">
        <f>IF($B167=$B166,$AK166,0)+$AJ167</f>
        <v/>
      </c>
      <c r="AL167" s="55">
        <f>$AL166+$AJ167</f>
        <v/>
      </c>
      <c r="AM167" s="55">
        <f>SUMIFS(tblMiningDaily[Drill_m],tblMiningDaily[Date],$A167)</f>
        <v/>
      </c>
      <c r="AN167" s="55">
        <f>IF($B167=$B166,$AN166,0)+$AM167</f>
        <v/>
      </c>
      <c r="AO167" s="55">
        <f>$AO166+$AM167</f>
        <v/>
      </c>
      <c r="AP167" s="55">
        <f>SUMIFS(tblMiningDaily[GC_Drill_m],tblMiningDaily[Date],$A167)</f>
        <v/>
      </c>
      <c r="AQ167" s="55">
        <f>IF($B167=$B166,$AQ166,0)+$AP167</f>
        <v/>
      </c>
      <c r="AR167" s="55">
        <f>$AR166+$AP167</f>
        <v/>
      </c>
      <c r="AS167" s="55">
        <f>SUMIFS(tblMiningDaily[Blast_t],tblMiningDaily[Date],$A167)</f>
        <v/>
      </c>
      <c r="AT167" s="55">
        <f>IF($B167=$B166,$AT166,0)+$AS167</f>
        <v/>
      </c>
      <c r="AU167" s="55">
        <f>$AU166+$AS167</f>
        <v/>
      </c>
      <c r="AV167" s="55">
        <f>SUMIFS(tblMiningDaily[Explosives_kg],tblMiningDaily[Date],$A167)</f>
        <v/>
      </c>
      <c r="AW167" s="55">
        <f>IF($B167=$B166,$AW166,0)+$AV167</f>
        <v/>
      </c>
      <c r="AX167" s="55">
        <f>$AX166+$AV167</f>
        <v/>
      </c>
      <c r="AY167" s="56">
        <f>IFERROR(IF(($AS167)&gt;0,($AV167)/($AS167),""),"")</f>
        <v/>
      </c>
      <c r="AZ167" s="56">
        <f>IFERROR(IF(($AT167)&gt;0,($AW167)/($AT167),""),"")</f>
        <v/>
      </c>
      <c r="BA167" s="56">
        <f>IFERROR(IF(($AU167)&gt;0,($AX167)/($AU167),""),"")</f>
        <v/>
      </c>
      <c r="BB167" s="55">
        <f>SUMIFS(tblMiningDaily[Diesel_L],tblMiningDaily[Date],$A167)</f>
        <v/>
      </c>
      <c r="BC167" s="55">
        <f>IF($B167=$B166,$BC166,0)+$BB167</f>
        <v/>
      </c>
      <c r="BD167" s="55">
        <f>$BD166+$BB167</f>
        <v/>
      </c>
      <c r="BE167" s="55">
        <f>SUMIFS(tblMiningDaily[Dewatering_m3],tblMiningDaily[Date],$A167)</f>
        <v/>
      </c>
      <c r="BF167" s="55">
        <f>IF($B167=$B166,$BF166,0)+$BE167</f>
        <v/>
      </c>
      <c r="BG167" s="55">
        <f>$BG166+$BE167</f>
        <v/>
      </c>
      <c r="BH167" s="57">
        <f>SUMIFS(tblFleet[Calendar_h],tblFleet[Date],$A167,tblFleet[Equipment_Class],"Excavator")</f>
        <v/>
      </c>
      <c r="BI167" s="57">
        <f>IF($B167=$B166,$BI166,0)+$BH167</f>
        <v/>
      </c>
      <c r="BJ167" s="57">
        <f>$BJ166+$BH167</f>
        <v/>
      </c>
      <c r="BK167" s="57">
        <f>SUMIFS(tblFleet[Available_h],tblFleet[Date],$A167,tblFleet[Equipment_Class],"Excavator")</f>
        <v/>
      </c>
      <c r="BL167" s="57">
        <f>IF($B167=$B166,$BL166,0)+$BK167</f>
        <v/>
      </c>
      <c r="BM167" s="57">
        <f>$BM166+$BK167</f>
        <v/>
      </c>
      <c r="BN167" s="57">
        <f>SUMIFS(tblFleet[Operating_h],tblFleet[Date],$A167,tblFleet[Equipment_Class],"Excavator")</f>
        <v/>
      </c>
      <c r="BO167" s="57">
        <f>IF($B167=$B166,$BO166,0)+$BN167</f>
        <v/>
      </c>
      <c r="BP167" s="57">
        <f>$BP166+$BN167</f>
        <v/>
      </c>
      <c r="BQ167" s="67">
        <f>IFERROR(IF(($BH167)&gt;0,($BK167)/($BH167),""),"")</f>
        <v/>
      </c>
      <c r="BR167" s="67">
        <f>IFERROR(IF(($BI167)&gt;0,($BL167)/($BI167),""),"")</f>
        <v/>
      </c>
      <c r="BS167" s="67">
        <f>IFERROR(IF(($BJ167)&gt;0,($BM167)/($BJ167),""),"")</f>
        <v/>
      </c>
      <c r="BT167" s="67">
        <f>IFERROR(IF(($BK167)&gt;0,($BN167)/($BK167),""),"")</f>
        <v/>
      </c>
      <c r="BU167" s="67">
        <f>IFERROR(IF(($BL167)&gt;0,($BO167)/($BL167),""),"")</f>
        <v/>
      </c>
      <c r="BV167" s="67">
        <f>IFERROR(IF(($BM167)&gt;0,($BP167)/($BM167),""),"")</f>
        <v/>
      </c>
      <c r="BW167" s="57">
        <f>SUMIFS(tblFleet[Calendar_h],tblFleet[Date],$A167,tblFleet[Equipment_Class],"Haul Truck")</f>
        <v/>
      </c>
      <c r="BX167" s="57">
        <f>IF($B167=$B166,$BX166,0)+$BW167</f>
        <v/>
      </c>
      <c r="BY167" s="57">
        <f>$BY166+$BW167</f>
        <v/>
      </c>
      <c r="BZ167" s="57">
        <f>SUMIFS(tblFleet[Available_h],tblFleet[Date],$A167,tblFleet[Equipment_Class],"Haul Truck")</f>
        <v/>
      </c>
      <c r="CA167" s="57">
        <f>IF($B167=$B166,$CA166,0)+$BZ167</f>
        <v/>
      </c>
      <c r="CB167" s="57">
        <f>$CB166+$BZ167</f>
        <v/>
      </c>
      <c r="CC167" s="57">
        <f>SUMIFS(tblFleet[Operating_h],tblFleet[Date],$A167,tblFleet[Equipment_Class],"Haul Truck")</f>
        <v/>
      </c>
      <c r="CD167" s="57">
        <f>IF($B167=$B166,$CD166,0)+$CC167</f>
        <v/>
      </c>
      <c r="CE167" s="57">
        <f>$CE166+$CC167</f>
        <v/>
      </c>
      <c r="CF167" s="67">
        <f>IFERROR(IF(($BW167)&gt;0,($BZ167)/($BW167),""),"")</f>
        <v/>
      </c>
      <c r="CG167" s="67">
        <f>IFERROR(IF(($BX167)&gt;0,($CA167)/($BX167),""),"")</f>
        <v/>
      </c>
      <c r="CH167" s="67">
        <f>IFERROR(IF(($BY167)&gt;0,($CB167)/($BY167),""),"")</f>
        <v/>
      </c>
      <c r="CI167" s="67">
        <f>IFERROR(IF(($BZ167)&gt;0,($CC167)/($BZ167),""),"")</f>
        <v/>
      </c>
      <c r="CJ167" s="67">
        <f>IFERROR(IF(($CA167)&gt;0,($CD167)/($CA167),""),"")</f>
        <v/>
      </c>
      <c r="CK167" s="67">
        <f>IFERROR(IF(($CB167)&gt;0,($CE167)/($CB167),""),"")</f>
        <v/>
      </c>
      <c r="CL167" s="55">
        <f>IFERROR(IF(($BN167)&gt;0,($X167+$AD167)/($BN167),""),"")</f>
        <v/>
      </c>
      <c r="CM167" s="55">
        <f>IFERROR(IF(($BO167)&gt;0,($Y167+$AE167)/($BO167),""),"")</f>
        <v/>
      </c>
      <c r="CN167" s="55">
        <f>IFERROR(IF(($BP167)&gt;0,($Z167+$AF167)/($BP167),""),"")</f>
        <v/>
      </c>
      <c r="CO167" s="55">
        <f>IFERROR(IF(($CC167)&gt;0,($X167+$AD167)/($CC167),""),"")</f>
        <v/>
      </c>
      <c r="CP167" s="55">
        <f>IFERROR(IF(($CD167)&gt;0,($Y167+$AE167)/($CD167),""),"")</f>
        <v/>
      </c>
      <c r="CQ167" s="55">
        <f>IFERROR(IF(($CE167)&gt;0,($Z167+$AF167)/($CE167),""),"")</f>
        <v/>
      </c>
      <c r="CR167" s="55">
        <f>SUMIFS(tblPlant[Crushed_t],tblPlant[Date],$A167)</f>
        <v/>
      </c>
      <c r="CS167" s="55">
        <f>IF($B167=$B166,$CS166,0)+$CR167</f>
        <v/>
      </c>
      <c r="CT167" s="55">
        <f>$CT166+$CR167</f>
        <v/>
      </c>
      <c r="CU167" s="55">
        <f>SUMIFS(tblPlant[Milled_t],tblPlant[Date],$A167)</f>
        <v/>
      </c>
      <c r="CV167" s="55">
        <f>IF($B167=$B166,$CV166,0)+$CU167</f>
        <v/>
      </c>
      <c r="CW167" s="55">
        <f>$CW166+$CU167</f>
        <v/>
      </c>
      <c r="CX167" s="55">
        <f>SUMIFS(tblPlant[Feed_oz],tblPlant[Date],$A167)</f>
        <v/>
      </c>
      <c r="CY167" s="55">
        <f>IF($B167=$B166,$CY166,0)+$CX167</f>
        <v/>
      </c>
      <c r="CZ167" s="55">
        <f>$CZ166+$CX167</f>
        <v/>
      </c>
      <c r="DA167" s="55">
        <f>SUMIFS(tblPlant[Tails_oz],tblPlant[Date],$A167)</f>
        <v/>
      </c>
      <c r="DB167" s="55">
        <f>IF($B167=$B166,$DB166,0)+$DA167</f>
        <v/>
      </c>
      <c r="DC167" s="55">
        <f>$DC166+$DA167</f>
        <v/>
      </c>
      <c r="DD167" s="55">
        <f>SUMIFS(tblPlant[Recovered_oz],tblPlant[Date],$A167)</f>
        <v/>
      </c>
      <c r="DE167" s="55">
        <f>IF($B167=$B166,$DE166,0)+$DD167</f>
        <v/>
      </c>
      <c r="DF167" s="55">
        <f>$DF166+$DD167</f>
        <v/>
      </c>
      <c r="DG167" s="55">
        <f>SUMIFS(tblPlant[Milled_t],tblPlant[Date],$A167,tblPlant[Head_Grade_gpt],"&lt;&gt;")</f>
        <v/>
      </c>
      <c r="DH167" s="55">
        <f>IF($B167=$B166,$DH166,0)+$DG167</f>
        <v/>
      </c>
      <c r="DI167" s="55">
        <f>$DI166+$DG167</f>
        <v/>
      </c>
      <c r="DJ167" s="55">
        <f>SUMIFS(tblPlant[Milled_t],tblPlant[Date],$A167,tblPlant[Tails_Grade_gpt],"&lt;&gt;")</f>
        <v/>
      </c>
      <c r="DK167" s="55">
        <f>IF($B167=$B166,$DK166,0)+$DJ167</f>
        <v/>
      </c>
      <c r="DL167" s="55">
        <f>$DL166+$DJ167</f>
        <v/>
      </c>
      <c r="DM167" s="55">
        <f>SUMIFS(tblPlant[Feed_oz],tblPlant[Date],$A167,tblPlant[Tails_Grade_gpt],"&lt;&gt;")</f>
        <v/>
      </c>
      <c r="DN167" s="55">
        <f>IF($B167=$B166,$DN166,0)+$DM167</f>
        <v/>
      </c>
      <c r="DO167" s="55">
        <f>$DO166+$DM167</f>
        <v/>
      </c>
      <c r="DP167" s="55">
        <f>SUMIFS(tblPlant[Milled_t],tblPlant[Date],$A167,tblPlant[Mill_Run_h],"&lt;&gt;")</f>
        <v/>
      </c>
      <c r="DQ167" s="55">
        <f>IF($B167=$B166,$DQ166,0)+$DP167</f>
        <v/>
      </c>
      <c r="DR167" s="55">
        <f>$DR166+$DP167</f>
        <v/>
      </c>
      <c r="DS167" s="56">
        <f>IFERROR(IF(($DG167)&gt;0,($CX167*cfg_TroyOz)/($DG167),""),"")</f>
        <v/>
      </c>
      <c r="DT167" s="56">
        <f>IFERROR(IF(($DH167)&gt;0,($CY167*cfg_TroyOz)/($DH167),""),"")</f>
        <v/>
      </c>
      <c r="DU167" s="56">
        <f>IFERROR(IF(($DI167)&gt;0,($CZ167*cfg_TroyOz)/($DI167),""),"")</f>
        <v/>
      </c>
      <c r="DV167" s="56">
        <f>IFERROR(IF(($DJ167)&gt;0,($DA167*cfg_TroyOz)/($DJ167),""),"")</f>
        <v/>
      </c>
      <c r="DW167" s="56">
        <f>IFERROR(IF(($DK167)&gt;0,($DB167*cfg_TroyOz)/($DK167),""),"")</f>
        <v/>
      </c>
      <c r="DX167" s="56">
        <f>IFERROR(IF(($DL167)&gt;0,($DC167*cfg_TroyOz)/($DL167),""),"")</f>
        <v/>
      </c>
      <c r="DY167" s="67">
        <f>IFERROR(IF(($DM167)&gt;0,($DD167)/($DM167),""),"")</f>
        <v/>
      </c>
      <c r="DZ167" s="67">
        <f>IFERROR(IF(($DN167)&gt;0,($DE167)/($DN167),""),"")</f>
        <v/>
      </c>
      <c r="EA167" s="67">
        <f>IFERROR(IF(($DO167)&gt;0,($DF167)/($DO167),""),"")</f>
        <v/>
      </c>
      <c r="EB167" s="55">
        <f>SUMIFS(tblPlant[Gravity_Gold_oz],tblPlant[Date],$A167)</f>
        <v/>
      </c>
      <c r="EC167" s="55">
        <f>IF($B167=$B166,$EC166,0)+$EB167</f>
        <v/>
      </c>
      <c r="ED167" s="55">
        <f>$ED166+$EB167</f>
        <v/>
      </c>
      <c r="EE167" s="67">
        <f>IFERROR(IF(($DD167)&gt;0,($EB167)/($DD167),""),"")</f>
        <v/>
      </c>
      <c r="EF167" s="67">
        <f>IFERROR(IF(($DE167)&gt;0,($EC167)/($DE167),""),"")</f>
        <v/>
      </c>
      <c r="EG167" s="67">
        <f>IFERROR(IF(($DF167)&gt;0,($ED167)/($DF167),""),"")</f>
        <v/>
      </c>
      <c r="EH167" s="55">
        <f>SUMIFS(tblPlant[Gold_Poured_oz],tblPlant[Date],$A167)</f>
        <v/>
      </c>
      <c r="EI167" s="55">
        <f>IF($B167=$B166,$EI166,0)+$EH167</f>
        <v/>
      </c>
      <c r="EJ167" s="55">
        <f>$EJ166+$EH167</f>
        <v/>
      </c>
      <c r="EK167" s="57">
        <f>SUMIFS(tblPlant[Mill_Run_h],tblPlant[Date],$A167)</f>
        <v/>
      </c>
      <c r="EL167" s="57">
        <f>IF($B167=$B166,$EL166,0)+$EK167</f>
        <v/>
      </c>
      <c r="EM167" s="57">
        <f>$EM166+$EK167</f>
        <v/>
      </c>
      <c r="EN167" s="57">
        <f>SUMIFS(tblPlant[Mill_Planned_Maint_h],tblPlant[Date],$A167)</f>
        <v/>
      </c>
      <c r="EO167" s="57">
        <f>IF($B167=$B166,$EO166,0)+$EN167</f>
        <v/>
      </c>
      <c r="EP167" s="57">
        <f>$EP166+$EN167</f>
        <v/>
      </c>
      <c r="EQ167" s="57">
        <f>SUMIFS(tblPlant[Mill_Unplanned_Down_h],tblPlant[Date],$A167)</f>
        <v/>
      </c>
      <c r="ER167" s="57">
        <f>IF($B167=$B166,$ER166,0)+$EQ167</f>
        <v/>
      </c>
      <c r="ES167" s="57">
        <f>$ES166+$EQ167</f>
        <v/>
      </c>
      <c r="ET167" s="57">
        <f>IF(COUNTIFS(tblPlant[Date],$A167,tblPlant[Mill_Run_h],"&lt;&gt;")+COUNTIFS(tblPlant[Date],$A167,tblPlant[Mill_Planned_Maint_h],"&lt;&gt;")+COUNTIFS(tblPlant[Date],$A167,tblPlant[Mill_Unplanned_Down_h],"&lt;&gt;")&gt;0,cfg_HoursPerDay,0)</f>
        <v/>
      </c>
      <c r="EU167" s="57">
        <f>IF($B167=$B166,$EU166,0)+$ET167</f>
        <v/>
      </c>
      <c r="EV167" s="57">
        <f>$EV166+$ET167</f>
        <v/>
      </c>
      <c r="EW167" s="57">
        <f>SUMIFS(tblPlant[Crusher_Run_h],tblPlant[Date],$A167)</f>
        <v/>
      </c>
      <c r="EX167" s="57">
        <f>IF($B167=$B166,$EX166,0)+$EW167</f>
        <v/>
      </c>
      <c r="EY167" s="57">
        <f>$EY166+$EW167</f>
        <v/>
      </c>
      <c r="EZ167" s="55">
        <f>IFERROR(IF(($EK167)&gt;0,($DP167)/($EK167),""),"")</f>
        <v/>
      </c>
      <c r="FA167" s="55">
        <f>IFERROR(IF(($EL167)&gt;0,($DQ167)/($EL167),""),"")</f>
        <v/>
      </c>
      <c r="FB167" s="55">
        <f>IFERROR(IF(($EM167)&gt;0,($DR167)/($EM167),""),"")</f>
        <v/>
      </c>
      <c r="FC167" s="67">
        <f>IFERROR(IF(($ET167)&gt;0,($ET167-$EN167-$EQ167)/($ET167),""),"")</f>
        <v/>
      </c>
      <c r="FD167" s="67">
        <f>IFERROR(IF(($EU167)&gt;0,($EU167-$EO167-$ER167)/($EU167),""),"")</f>
        <v/>
      </c>
      <c r="FE167" s="67">
        <f>IFERROR(IF(($EV167)&gt;0,($EV167-$EP167-$ES167)/($EV167),""),"")</f>
        <v/>
      </c>
      <c r="FF167" s="67">
        <f>IFERROR(IF(($ET167-$EN167-$EQ167)&gt;0,($EK167)/($ET167-$EN167-$EQ167),""),"")</f>
        <v/>
      </c>
      <c r="FG167" s="67">
        <f>IFERROR(IF(($EU167-$EO167-$ER167)&gt;0,($EL167)/($EU167-$EO167-$ER167),""),"")</f>
        <v/>
      </c>
      <c r="FH167" s="67">
        <f>IFERROR(IF(($EV167-$EP167-$ES167)&gt;0,($EM167)/($EV167-$EP167-$ES167),""),"")</f>
        <v/>
      </c>
      <c r="FI167" s="55">
        <f>SUMIFS(tblPlant[Cyanide_kg],tblPlant[Date],$A167)</f>
        <v/>
      </c>
      <c r="FJ167" s="55">
        <f>IF($B167=$B166,$FJ166,0)+$FI167</f>
        <v/>
      </c>
      <c r="FK167" s="55">
        <f>$FK166+$FI167</f>
        <v/>
      </c>
      <c r="FL167" s="55">
        <f>SUMIFS(tblPlant[Lime_kg],tblPlant[Date],$A167)</f>
        <v/>
      </c>
      <c r="FM167" s="55">
        <f>IF($B167=$B166,$FM166,0)+$FL167</f>
        <v/>
      </c>
      <c r="FN167" s="55">
        <f>$FN166+$FL167</f>
        <v/>
      </c>
      <c r="FO167" s="55">
        <f>SUMIFS(tblPlant[Grinding_Media_kg],tblPlant[Date],$A167)</f>
        <v/>
      </c>
      <c r="FP167" s="55">
        <f>IF($B167=$B166,$FP166,0)+$FO167</f>
        <v/>
      </c>
      <c r="FQ167" s="55">
        <f>$FQ166+$FO167</f>
        <v/>
      </c>
      <c r="FR167" s="55">
        <f>SUMIFS(tblPlant[Power_kWh],tblPlant[Date],$A167)</f>
        <v/>
      </c>
      <c r="FS167" s="55">
        <f>IF($B167=$B166,$FS166,0)+$FR167</f>
        <v/>
      </c>
      <c r="FT167" s="55">
        <f>$FT166+$FR167</f>
        <v/>
      </c>
      <c r="FU167" s="55">
        <f>SUMIFS(tblPlant[Raw_Water_m3],tblPlant[Date],$A167)</f>
        <v/>
      </c>
      <c r="FV167" s="55">
        <f>IF($B167=$B166,$FV166,0)+$FU167</f>
        <v/>
      </c>
      <c r="FW167" s="55">
        <f>$FW166+$FU167</f>
        <v/>
      </c>
      <c r="FX167" s="56">
        <f>IFERROR(IF(($CU167)&gt;0,($FI167)/($CU167),""),"")</f>
        <v/>
      </c>
      <c r="FY167" s="56">
        <f>IFERROR(IF(($CV167)&gt;0,($FJ167)/($CV167),""),"")</f>
        <v/>
      </c>
      <c r="FZ167" s="56">
        <f>IFERROR(IF(($CW167)&gt;0,($FK167)/($CW167),""),"")</f>
        <v/>
      </c>
      <c r="GA167" s="56">
        <f>IFERROR(IF(($CU167)&gt;0,($FL167)/($CU167),""),"")</f>
        <v/>
      </c>
      <c r="GB167" s="56">
        <f>IFERROR(IF(($CV167)&gt;0,($FM167)/($CV167),""),"")</f>
        <v/>
      </c>
      <c r="GC167" s="56">
        <f>IFERROR(IF(($CW167)&gt;0,($FN167)/($CW167),""),"")</f>
        <v/>
      </c>
      <c r="GD167" s="56">
        <f>IFERROR(IF(($CU167)&gt;0,($FO167)/($CU167),""),"")</f>
        <v/>
      </c>
      <c r="GE167" s="56">
        <f>IFERROR(IF(($CV167)&gt;0,($FP167)/($CV167),""),"")</f>
        <v/>
      </c>
      <c r="GF167" s="56">
        <f>IFERROR(IF(($CW167)&gt;0,($FQ167)/($CW167),""),"")</f>
        <v/>
      </c>
      <c r="GG167" s="79">
        <f>IFERROR(IF(($CU167)&gt;0,($FR167)/($CU167),""),"")</f>
        <v/>
      </c>
      <c r="GH167" s="79">
        <f>IFERROR(IF(($CV167)&gt;0,($FS167)/($CV167),""),"")</f>
        <v/>
      </c>
      <c r="GI167" s="79">
        <f>IFERROR(IF(($CW167)&gt;0,($FT167)/($CW167),""),"")</f>
        <v/>
      </c>
      <c r="GJ167" s="56">
        <f>IFERROR(IF(($CU167)&gt;0,($FU167)/($CU167),""),"")</f>
        <v/>
      </c>
      <c r="GK167" s="56">
        <f>IFERROR(IF(($CV167)&gt;0,($FV167)/($CV167),""),"")</f>
        <v/>
      </c>
      <c r="GL167" s="56">
        <f>IFERROR(IF(($CW167)&gt;0,($FW167)/($CW167),""),"")</f>
        <v/>
      </c>
      <c r="GM167" s="55">
        <f>IF(SUMIFS(tblPlant[GIC_oz],tblPlant[Date],$A167)&gt;0,SUMIFS(tblPlant[GIC_oz],tblPlant[Date],$A167),"")</f>
        <v/>
      </c>
      <c r="GN167" s="55">
        <f>SUMIFS(tblGold[Gold_oz],tblGold[Date],$A167,tblGold[Type],"Shipment")</f>
        <v/>
      </c>
      <c r="GO167" s="55">
        <f>IF($B167=$B166,$GO166,0)+$GN167</f>
        <v/>
      </c>
      <c r="GP167" s="55">
        <f>$GP166+$GN167</f>
        <v/>
      </c>
      <c r="GQ167" s="55">
        <f>SUMIFS(tblGold[Gold_oz],tblGold[Date],$A167,tblGold[Type],"Sale")</f>
        <v/>
      </c>
      <c r="GR167" s="55">
        <f>IF($B167=$B166,$GR166,0)+$GQ167</f>
        <v/>
      </c>
      <c r="GS167" s="55">
        <f>$GS166+$GQ167</f>
        <v/>
      </c>
      <c r="GT167" s="55">
        <f>SUMIFS(tblGold[Dore_kg],tblGold[Date],$A167,tblGold[Type],"Shipment")</f>
        <v/>
      </c>
      <c r="GU167" s="55">
        <f>IF($B167=$B166,$GU166,0)+$GT167</f>
        <v/>
      </c>
      <c r="GV167" s="55">
        <f>$GV166+$GT167</f>
        <v/>
      </c>
      <c r="GW167" s="57">
        <f>SUMIFS(tblSafety[Hours_Total],tblSafety[Date],$A167)</f>
        <v/>
      </c>
      <c r="GX167" s="57">
        <f>IF($B167=$B166,$GX166,0)+$GW167</f>
        <v/>
      </c>
      <c r="GY167" s="57">
        <f>$GY166+$GW167</f>
        <v/>
      </c>
      <c r="GZ167" s="62">
        <f>SUMIFS(tblSafety[Fatality],tblSafety[Date],$A167)</f>
        <v/>
      </c>
      <c r="HA167" s="62">
        <f>IF($B167=$B166,$HA166,0)+$GZ167</f>
        <v/>
      </c>
      <c r="HB167" s="62">
        <f>$HB166+$GZ167</f>
        <v/>
      </c>
      <c r="HC167" s="62">
        <f>SUMIFS(tblSafety[LTI],tblSafety[Date],$A167)</f>
        <v/>
      </c>
      <c r="HD167" s="62">
        <f>IF($B167=$B166,$HD166,0)+$HC167</f>
        <v/>
      </c>
      <c r="HE167" s="62">
        <f>$HE166+$HC167</f>
        <v/>
      </c>
      <c r="HF167" s="62">
        <f>SUMIFS(tblSafety[RWI],tblSafety[Date],$A167)</f>
        <v/>
      </c>
      <c r="HG167" s="62">
        <f>IF($B167=$B166,$HG166,0)+$HF167</f>
        <v/>
      </c>
      <c r="HH167" s="62">
        <f>$HH166+$HF167</f>
        <v/>
      </c>
      <c r="HI167" s="62">
        <f>SUMIFS(tblSafety[MTI],tblSafety[Date],$A167)</f>
        <v/>
      </c>
      <c r="HJ167" s="62">
        <f>IF($B167=$B166,$HJ166,0)+$HI167</f>
        <v/>
      </c>
      <c r="HK167" s="62">
        <f>$HK166+$HI167</f>
        <v/>
      </c>
      <c r="HL167" s="62">
        <f>SUMIFS(tblSafety[FAI],tblSafety[Date],$A167)</f>
        <v/>
      </c>
      <c r="HM167" s="62">
        <f>IF($B167=$B166,$HM166,0)+$HL167</f>
        <v/>
      </c>
      <c r="HN167" s="62">
        <f>$HN166+$HL167</f>
        <v/>
      </c>
      <c r="HO167" s="62">
        <f>SUMIFS(tblSafety[Recordables],tblSafety[Date],$A167)</f>
        <v/>
      </c>
      <c r="HP167" s="62">
        <f>IF($B167=$B166,$HP166,0)+$HO167</f>
        <v/>
      </c>
      <c r="HQ167" s="62">
        <f>$HQ166+$HO167</f>
        <v/>
      </c>
      <c r="HR167" s="62">
        <f>SUMIFS(tblSafety[Near_Miss],tblSafety[Date],$A167)</f>
        <v/>
      </c>
      <c r="HS167" s="62">
        <f>IF($B167=$B166,$HS166,0)+$HR167</f>
        <v/>
      </c>
      <c r="HT167" s="62">
        <f>$HT166+$HR167</f>
        <v/>
      </c>
      <c r="HU167" s="62">
        <f>SUMIFS(tblSafety[Hazard_Reports],tblSafety[Date],$A167)</f>
        <v/>
      </c>
      <c r="HV167" s="62">
        <f>IF($B167=$B166,$HV166,0)+$HU167</f>
        <v/>
      </c>
      <c r="HW167" s="62">
        <f>$HW166+$HU167</f>
        <v/>
      </c>
      <c r="HX167" s="62">
        <f>SUMIFS(tblSafety[HPI],tblSafety[Date],$A167)</f>
        <v/>
      </c>
      <c r="HY167" s="62">
        <f>IF($B167=$B166,$HY166,0)+$HX167</f>
        <v/>
      </c>
      <c r="HZ167" s="62">
        <f>$HZ166+$HX167</f>
        <v/>
      </c>
      <c r="IA167" s="62">
        <f>SUMIFS(tblSafety[Env_Incidents],tblSafety[Date],$A167)</f>
        <v/>
      </c>
      <c r="IB167" s="62">
        <f>IF($B167=$B166,$IB166,0)+$IA167</f>
        <v/>
      </c>
      <c r="IC167" s="62">
        <f>$IC166+$IA167</f>
        <v/>
      </c>
      <c r="ID167" s="62">
        <f>SUMIFS(tblSafety[Community_Incidents],tblSafety[Date],$A167)</f>
        <v/>
      </c>
      <c r="IE167" s="62">
        <f>IF($B167=$B166,$IE166,0)+$ID167</f>
        <v/>
      </c>
      <c r="IF167" s="62">
        <f>$IF166+$ID167</f>
        <v/>
      </c>
      <c r="IG167" s="62">
        <f>SUMIFS(tblSafety[Vehicle_Incidents],tblSafety[Date],$A167)</f>
        <v/>
      </c>
      <c r="IH167" s="62">
        <f>IF($B167=$B166,$IH166,0)+$IG167</f>
        <v/>
      </c>
      <c r="II167" s="62">
        <f>$II166+$IG167</f>
        <v/>
      </c>
      <c r="IJ167" s="62">
        <f>SUMIFS(tblSafety[Toolbox_Talks],tblSafety[Date],$A167)</f>
        <v/>
      </c>
      <c r="IK167" s="62">
        <f>IF($B167=$B166,$IK166,0)+$IJ167</f>
        <v/>
      </c>
      <c r="IL167" s="62">
        <f>$IL166+$IJ167</f>
        <v/>
      </c>
      <c r="IM167" s="62">
        <f>SUMIFS(tblSafety[Inspections],tblSafety[Date],$A167)</f>
        <v/>
      </c>
      <c r="IN167" s="62">
        <f>IF($B167=$B166,$IN166,0)+$IM167</f>
        <v/>
      </c>
      <c r="IO167" s="62">
        <f>$IO166+$IM167</f>
        <v/>
      </c>
      <c r="IP167" s="56">
        <f>IFERROR((SUMIFS(tblSafety[Recordables],tblSafety[Date],"&gt;="&amp;EDATE($E167,-12),tblSafety[Date],"&lt;="&amp;$A167)+SUMIFS(tblSafetyHistory[Recordables],tblSafetyHistory[Month],"&gt;="&amp;EDATE($E167,-12),tblSafetyHistory[Month],"&lt;"&amp;$E167,tblSafetyHistory[Use],1))/(SUMIFS(tblSafety[Hours_Total],tblSafety[Date],"&gt;="&amp;EDATE($E167,-12),tblSafety[Date],"&lt;="&amp;$A167)+SUMIFS(tblSafetyHistory[Hours_Total],tblSafetyHistory[Month],"&gt;="&amp;EDATE($E167,-12),tblSafetyHistory[Month],"&lt;"&amp;$E167,tblSafetyHistory[Use],1))*cfg_RateBasisHours,"")</f>
        <v/>
      </c>
      <c r="IQ167" s="56">
        <f>IFERROR((SUMIFS(tblSafety[LTI],tblSafety[Date],"&gt;="&amp;EDATE($E167,-12),tblSafety[Date],"&lt;="&amp;$A167)+SUMIFS(tblSafetyHistory[LTI],tblSafetyHistory[Month],"&gt;="&amp;EDATE($E167,-12),tblSafetyHistory[Month],"&lt;"&amp;$E167,tblSafetyHistory[Use],1))/(SUMIFS(tblSafety[Hours_Total],tblSafety[Date],"&gt;="&amp;EDATE($E167,-12),tblSafety[Date],"&lt;="&amp;$A167)+SUMIFS(tblSafetyHistory[Hours_Total],tblSafetyHistory[Month],"&gt;="&amp;EDATE($E167,-12),tblSafetyHistory[Month],"&lt;"&amp;$E167,tblSafetyHistory[Use],1))*cfg_RateBasisHours,"")</f>
        <v/>
      </c>
      <c r="IR167" s="62">
        <f>IF(MAX(N(cfg_PriorLTIDate),_xlfn.MAXIFS(tblSafety[Date],tblSafety[LTI],"&gt;0",tblSafety[Date],"&lt;="&amp;$A167))=0,"",$A167-MAX(N(cfg_PriorLTIDate),_xlfn.MAXIFS(tblSafety[Date],tblSafety[LTI],"&gt;0",tblSafety[Date],"&lt;="&amp;$A167)))</f>
        <v/>
      </c>
      <c r="IS167" s="55">
        <f>SUMIFS(tblBudget[Ore_Mined_t],tblBudget[Month],$E167)</f>
        <v/>
      </c>
      <c r="IT167" s="55">
        <f>$IS167*$C167/$D167</f>
        <v/>
      </c>
      <c r="IU167" s="55">
        <f>SUMIFS(tblBudget[Ore_Mined_t],tblBudget[Month],"&lt;"&amp;$E167)+$IT167</f>
        <v/>
      </c>
      <c r="IV167" s="55">
        <f>SUMIFS(tblBudget[Ore_oz],tblBudget[Month],$E167)</f>
        <v/>
      </c>
      <c r="IW167" s="55">
        <f>$IV167*$C167/$D167</f>
        <v/>
      </c>
      <c r="IX167" s="55">
        <f>SUMIFS(tblBudget[Ore_oz],tblBudget[Month],"&lt;"&amp;$E167)+$IW167</f>
        <v/>
      </c>
      <c r="IY167" s="55">
        <f>SUMIFS(tblBudget[Ore_Mined_t],tblBudget[Month],$E167)</f>
        <v/>
      </c>
      <c r="IZ167" s="55">
        <f>$IY167*$C167/$D167</f>
        <v/>
      </c>
      <c r="JA167" s="55">
        <f>SUMIFS(tblBudget[Ore_Mined_t],tblBudget[Month],"&lt;"&amp;$E167)+$IZ167</f>
        <v/>
      </c>
      <c r="JB167" s="56">
        <f>IFERROR(IF(($IY167)&gt;0,($IV167*cfg_TroyOz)/($IY167),""),"")</f>
        <v/>
      </c>
      <c r="JC167" s="56">
        <f>IFERROR(IF(($IZ167)&gt;0,($IW167*cfg_TroyOz)/($IZ167),""),"")</f>
        <v/>
      </c>
      <c r="JD167" s="56">
        <f>IFERROR(IF(($JA167)&gt;0,($IX167*cfg_TroyOz)/($JA167),""),"")</f>
        <v/>
      </c>
      <c r="JE167" s="55">
        <f>SUMIFS(tblBudget[Waste_t],tblBudget[Month],$E167)</f>
        <v/>
      </c>
      <c r="JF167" s="55">
        <f>$JE167*$C167/$D167</f>
        <v/>
      </c>
      <c r="JG167" s="55">
        <f>SUMIFS(tblBudget[Waste_t],tblBudget[Month],"&lt;"&amp;$E167)+$JF167</f>
        <v/>
      </c>
      <c r="JH167" s="55">
        <f>SUMIFS(tblBudget[TMM_t],tblBudget[Month],$E167)</f>
        <v/>
      </c>
      <c r="JI167" s="55">
        <f>$JH167*$C167/$D167</f>
        <v/>
      </c>
      <c r="JJ167" s="55">
        <f>SUMIFS(tblBudget[TMM_t],tblBudget[Month],"&lt;"&amp;$E167)+$JI167</f>
        <v/>
      </c>
      <c r="JK167" s="56">
        <f>IFERROR(IF(($IS167)&gt;0,($JE167)/($IS167),""),"")</f>
        <v/>
      </c>
      <c r="JL167" s="56">
        <f>IFERROR(IF(($IT167)&gt;0,($JF167)/($IT167),""),"")</f>
        <v/>
      </c>
      <c r="JM167" s="56">
        <f>IFERROR(IF(($IU167)&gt;0,($JG167)/($IU167),""),"")</f>
        <v/>
      </c>
      <c r="JN167" s="55">
        <f>SUMIFS(tblBudget[Drill_m],tblBudget[Month],$E167)</f>
        <v/>
      </c>
      <c r="JO167" s="55">
        <f>$JN167*$C167/$D167</f>
        <v/>
      </c>
      <c r="JP167" s="55">
        <f>SUMIFS(tblBudget[Drill_m],tblBudget[Month],"&lt;"&amp;$E167)+$JO167</f>
        <v/>
      </c>
      <c r="JQ167" s="55">
        <f>SUMIFS(tblBudget[Diesel_L],tblBudget[Month],$E167)</f>
        <v/>
      </c>
      <c r="JR167" s="55">
        <f>$JQ167*$C167/$D167</f>
        <v/>
      </c>
      <c r="JS167" s="55">
        <f>SUMIFS(tblBudget[Diesel_L],tblBudget[Month],"&lt;"&amp;$E167)+$JR167</f>
        <v/>
      </c>
      <c r="JT167" s="55">
        <f>SUMIFS(tblBudget[Milled_t],tblBudget[Month],$E167)</f>
        <v/>
      </c>
      <c r="JU167" s="55">
        <f>$JT167*$C167/$D167</f>
        <v/>
      </c>
      <c r="JV167" s="55">
        <f>SUMIFS(tblBudget[Milled_t],tblBudget[Month],"&lt;"&amp;$E167)+$JU167</f>
        <v/>
      </c>
      <c r="JW167" s="55">
        <f>SUMIFS(tblBudget[Feed_oz],tblBudget[Month],$E167)</f>
        <v/>
      </c>
      <c r="JX167" s="55">
        <f>$JW167*$C167/$D167</f>
        <v/>
      </c>
      <c r="JY167" s="55">
        <f>SUMIFS(tblBudget[Feed_oz],tblBudget[Month],"&lt;"&amp;$E167)+$JX167</f>
        <v/>
      </c>
      <c r="JZ167" s="55">
        <f>SUMIFS(tblBudget[Recovered_oz],tblBudget[Month],$E167)</f>
        <v/>
      </c>
      <c r="KA167" s="55">
        <f>$JZ167*$C167/$D167</f>
        <v/>
      </c>
      <c r="KB167" s="55">
        <f>SUMIFS(tblBudget[Recovered_oz],tblBudget[Month],"&lt;"&amp;$E167)+$KA167</f>
        <v/>
      </c>
      <c r="KC167" s="55">
        <f>SUMIFS(tblBudget[Milled_t],tblBudget[Month],$E167)</f>
        <v/>
      </c>
      <c r="KD167" s="55">
        <f>$KC167*$C167/$D167</f>
        <v/>
      </c>
      <c r="KE167" s="55">
        <f>SUMIFS(tblBudget[Milled_t],tblBudget[Month],"&lt;"&amp;$E167)+$KD167</f>
        <v/>
      </c>
      <c r="KF167" s="55">
        <f>SUMIFS(tblBudget[Feed_oz],tblBudget[Month],$E167)</f>
        <v/>
      </c>
      <c r="KG167" s="55">
        <f>$KF167*$C167/$D167</f>
        <v/>
      </c>
      <c r="KH167" s="55">
        <f>SUMIFS(tblBudget[Feed_oz],tblBudget[Month],"&lt;"&amp;$E167)+$KG167</f>
        <v/>
      </c>
      <c r="KI167" s="56">
        <f>IFERROR(IF(($KC167)&gt;0,($JW167*cfg_TroyOz)/($KC167),""),"")</f>
        <v/>
      </c>
      <c r="KJ167" s="56">
        <f>IFERROR(IF(($KD167)&gt;0,($JX167*cfg_TroyOz)/($KD167),""),"")</f>
        <v/>
      </c>
      <c r="KK167" s="56">
        <f>IFERROR(IF(($KE167)&gt;0,($JY167*cfg_TroyOz)/($KE167),""),"")</f>
        <v/>
      </c>
      <c r="KL167" s="67">
        <f>IFERROR(IF(($KF167)&gt;0,($JZ167)/($KF167),""),"")</f>
        <v/>
      </c>
      <c r="KM167" s="67">
        <f>IFERROR(IF(($KG167)&gt;0,($KA167)/($KG167),""),"")</f>
        <v/>
      </c>
      <c r="KN167" s="67">
        <f>IFERROR(IF(($KH167)&gt;0,($KB167)/($KH167),""),"")</f>
        <v/>
      </c>
      <c r="KO167" s="55">
        <f>SUMIFS(tblBudget[Gold_Poured_oz],tblBudget[Month],$E167)</f>
        <v/>
      </c>
      <c r="KP167" s="55">
        <f>$KO167*$C167/$D167</f>
        <v/>
      </c>
      <c r="KQ167" s="55">
        <f>SUMIFS(tblBudget[Gold_Poured_oz],tblBudget[Month],"&lt;"&amp;$E167)+$KP167</f>
        <v/>
      </c>
      <c r="KR167" s="57">
        <f>SUMIFS(tblBudget[Hours_Worked],tblBudget[Month],$E167)</f>
        <v/>
      </c>
      <c r="KS167" s="57">
        <f>$KR167*$C167/$D167</f>
        <v/>
      </c>
      <c r="KT167" s="57">
        <f>SUMIFS(tblBudget[Hours_Worked],tblBudget[Month],"&lt;"&amp;$E167)+$KS167</f>
        <v/>
      </c>
    </row>
    <row r="168">
      <c r="A168" s="54" t="n">
        <v>46189</v>
      </c>
      <c r="B168">
        <f>MONTH($A168)</f>
        <v/>
      </c>
      <c r="C168">
        <f>DAY($A168)</f>
        <v/>
      </c>
      <c r="D168">
        <f>DAY(EOMONTH($A168,0))</f>
        <v/>
      </c>
      <c r="E168" s="54">
        <f>DATE(YEAR($A168),MONTH($A168),1)</f>
        <v/>
      </c>
      <c r="F168" s="55">
        <f>SUMIFS(tblMovement[Tonnes_t],tblMovement[Date],$A168,tblMovement[Is_Ore],1,tblMovement[Source_Type],"Pit")</f>
        <v/>
      </c>
      <c r="G168" s="55">
        <f>IF($B168=$B167,$G167,0)+$F168</f>
        <v/>
      </c>
      <c r="H168" s="55">
        <f>$H167+$F168</f>
        <v/>
      </c>
      <c r="I168" s="55">
        <f>SUMIFS(tblMovement[Ore_oz],tblMovement[Date],$A168,tblMovement[Source_Type],"Pit")</f>
        <v/>
      </c>
      <c r="J168" s="55">
        <f>IF($B168=$B167,$J167,0)+$I168</f>
        <v/>
      </c>
      <c r="K168" s="55">
        <f>$K167+$I168</f>
        <v/>
      </c>
      <c r="L168" s="55">
        <f>SUMIFS(tblMovement[Tonnes_t],tblMovement[Date],$A168,tblMovement[Is_Ore],1,tblMovement[Source_Type],"Pit",tblMovement[Grade_gpt],"&lt;&gt;")</f>
        <v/>
      </c>
      <c r="M168" s="55">
        <f>IF($B168=$B167,$M167,0)+$L168</f>
        <v/>
      </c>
      <c r="N168" s="55">
        <f>$N167+$L168</f>
        <v/>
      </c>
      <c r="O168" s="56">
        <f>IFERROR(IF(($L168)&gt;0,($I168*cfg_TroyOz)/($L168),""),"")</f>
        <v/>
      </c>
      <c r="P168" s="56">
        <f>IFERROR(IF(($M168)&gt;0,($J168*cfg_TroyOz)/($M168),""),"")</f>
        <v/>
      </c>
      <c r="Q168" s="56">
        <f>IFERROR(IF(($N168)&gt;0,($K168*cfg_TroyOz)/($N168),""),"")</f>
        <v/>
      </c>
      <c r="R168" s="55">
        <f>$F168-$L168</f>
        <v/>
      </c>
      <c r="S168" s="55">
        <f>IF($B168=$B167,$S167,0)+$R168</f>
        <v/>
      </c>
      <c r="T168" s="55">
        <f>$T167+$R168</f>
        <v/>
      </c>
      <c r="U168" s="55">
        <f>SUMIFS(tblMovement[Tonnes_t],tblMovement[Date],$A168,tblMovement[Is_Ore],0,tblMovement[Source_Type],"Pit")</f>
        <v/>
      </c>
      <c r="V168" s="55">
        <f>IF($B168=$B167,$V167,0)+$U168</f>
        <v/>
      </c>
      <c r="W168" s="55">
        <f>$W167+$U168</f>
        <v/>
      </c>
      <c r="X168" s="55">
        <f>$F168+$U168</f>
        <v/>
      </c>
      <c r="Y168" s="55">
        <f>IF($B168=$B167,$Y167,0)+$X168</f>
        <v/>
      </c>
      <c r="Z168" s="55">
        <f>$Z167+$X168</f>
        <v/>
      </c>
      <c r="AA168" s="56">
        <f>IFERROR(IF(($F168)&gt;0,($U168)/($F168),""),"")</f>
        <v/>
      </c>
      <c r="AB168" s="56">
        <f>IFERROR(IF(($G168)&gt;0,($V168)/($G168),""),"")</f>
        <v/>
      </c>
      <c r="AC168" s="56">
        <f>IFERROR(IF(($H168)&gt;0,($W168)/($H168),""),"")</f>
        <v/>
      </c>
      <c r="AD168" s="55">
        <f>SUMIFS(tblMovement[Tonnes_t],tblMovement[Date],$A168,tblMovement[Source_Type],"Stockpile")</f>
        <v/>
      </c>
      <c r="AE168" s="55">
        <f>IF($B168=$B167,$AE167,0)+$AD168</f>
        <v/>
      </c>
      <c r="AF168" s="55">
        <f>$AF167+$AD168</f>
        <v/>
      </c>
      <c r="AG168" s="55">
        <f>SUMIFS(tblMovement[Tonnes_t],tblMovement[Date],$A168)</f>
        <v/>
      </c>
      <c r="AH168" s="55">
        <f>IF($B168=$B167,$AH167,0)+$AG168</f>
        <v/>
      </c>
      <c r="AI168" s="55">
        <f>$AI167+$AG168</f>
        <v/>
      </c>
      <c r="AJ168" s="55">
        <f>$AG168-$X168-$AD168</f>
        <v/>
      </c>
      <c r="AK168" s="55">
        <f>IF($B168=$B167,$AK167,0)+$AJ168</f>
        <v/>
      </c>
      <c r="AL168" s="55">
        <f>$AL167+$AJ168</f>
        <v/>
      </c>
      <c r="AM168" s="55">
        <f>SUMIFS(tblMiningDaily[Drill_m],tblMiningDaily[Date],$A168)</f>
        <v/>
      </c>
      <c r="AN168" s="55">
        <f>IF($B168=$B167,$AN167,0)+$AM168</f>
        <v/>
      </c>
      <c r="AO168" s="55">
        <f>$AO167+$AM168</f>
        <v/>
      </c>
      <c r="AP168" s="55">
        <f>SUMIFS(tblMiningDaily[GC_Drill_m],tblMiningDaily[Date],$A168)</f>
        <v/>
      </c>
      <c r="AQ168" s="55">
        <f>IF($B168=$B167,$AQ167,0)+$AP168</f>
        <v/>
      </c>
      <c r="AR168" s="55">
        <f>$AR167+$AP168</f>
        <v/>
      </c>
      <c r="AS168" s="55">
        <f>SUMIFS(tblMiningDaily[Blast_t],tblMiningDaily[Date],$A168)</f>
        <v/>
      </c>
      <c r="AT168" s="55">
        <f>IF($B168=$B167,$AT167,0)+$AS168</f>
        <v/>
      </c>
      <c r="AU168" s="55">
        <f>$AU167+$AS168</f>
        <v/>
      </c>
      <c r="AV168" s="55">
        <f>SUMIFS(tblMiningDaily[Explosives_kg],tblMiningDaily[Date],$A168)</f>
        <v/>
      </c>
      <c r="AW168" s="55">
        <f>IF($B168=$B167,$AW167,0)+$AV168</f>
        <v/>
      </c>
      <c r="AX168" s="55">
        <f>$AX167+$AV168</f>
        <v/>
      </c>
      <c r="AY168" s="56">
        <f>IFERROR(IF(($AS168)&gt;0,($AV168)/($AS168),""),"")</f>
        <v/>
      </c>
      <c r="AZ168" s="56">
        <f>IFERROR(IF(($AT168)&gt;0,($AW168)/($AT168),""),"")</f>
        <v/>
      </c>
      <c r="BA168" s="56">
        <f>IFERROR(IF(($AU168)&gt;0,($AX168)/($AU168),""),"")</f>
        <v/>
      </c>
      <c r="BB168" s="55">
        <f>SUMIFS(tblMiningDaily[Diesel_L],tblMiningDaily[Date],$A168)</f>
        <v/>
      </c>
      <c r="BC168" s="55">
        <f>IF($B168=$B167,$BC167,0)+$BB168</f>
        <v/>
      </c>
      <c r="BD168" s="55">
        <f>$BD167+$BB168</f>
        <v/>
      </c>
      <c r="BE168" s="55">
        <f>SUMIFS(tblMiningDaily[Dewatering_m3],tblMiningDaily[Date],$A168)</f>
        <v/>
      </c>
      <c r="BF168" s="55">
        <f>IF($B168=$B167,$BF167,0)+$BE168</f>
        <v/>
      </c>
      <c r="BG168" s="55">
        <f>$BG167+$BE168</f>
        <v/>
      </c>
      <c r="BH168" s="57">
        <f>SUMIFS(tblFleet[Calendar_h],tblFleet[Date],$A168,tblFleet[Equipment_Class],"Excavator")</f>
        <v/>
      </c>
      <c r="BI168" s="57">
        <f>IF($B168=$B167,$BI167,0)+$BH168</f>
        <v/>
      </c>
      <c r="BJ168" s="57">
        <f>$BJ167+$BH168</f>
        <v/>
      </c>
      <c r="BK168" s="57">
        <f>SUMIFS(tblFleet[Available_h],tblFleet[Date],$A168,tblFleet[Equipment_Class],"Excavator")</f>
        <v/>
      </c>
      <c r="BL168" s="57">
        <f>IF($B168=$B167,$BL167,0)+$BK168</f>
        <v/>
      </c>
      <c r="BM168" s="57">
        <f>$BM167+$BK168</f>
        <v/>
      </c>
      <c r="BN168" s="57">
        <f>SUMIFS(tblFleet[Operating_h],tblFleet[Date],$A168,tblFleet[Equipment_Class],"Excavator")</f>
        <v/>
      </c>
      <c r="BO168" s="57">
        <f>IF($B168=$B167,$BO167,0)+$BN168</f>
        <v/>
      </c>
      <c r="BP168" s="57">
        <f>$BP167+$BN168</f>
        <v/>
      </c>
      <c r="BQ168" s="67">
        <f>IFERROR(IF(($BH168)&gt;0,($BK168)/($BH168),""),"")</f>
        <v/>
      </c>
      <c r="BR168" s="67">
        <f>IFERROR(IF(($BI168)&gt;0,($BL168)/($BI168),""),"")</f>
        <v/>
      </c>
      <c r="BS168" s="67">
        <f>IFERROR(IF(($BJ168)&gt;0,($BM168)/($BJ168),""),"")</f>
        <v/>
      </c>
      <c r="BT168" s="67">
        <f>IFERROR(IF(($BK168)&gt;0,($BN168)/($BK168),""),"")</f>
        <v/>
      </c>
      <c r="BU168" s="67">
        <f>IFERROR(IF(($BL168)&gt;0,($BO168)/($BL168),""),"")</f>
        <v/>
      </c>
      <c r="BV168" s="67">
        <f>IFERROR(IF(($BM168)&gt;0,($BP168)/($BM168),""),"")</f>
        <v/>
      </c>
      <c r="BW168" s="57">
        <f>SUMIFS(tblFleet[Calendar_h],tblFleet[Date],$A168,tblFleet[Equipment_Class],"Haul Truck")</f>
        <v/>
      </c>
      <c r="BX168" s="57">
        <f>IF($B168=$B167,$BX167,0)+$BW168</f>
        <v/>
      </c>
      <c r="BY168" s="57">
        <f>$BY167+$BW168</f>
        <v/>
      </c>
      <c r="BZ168" s="57">
        <f>SUMIFS(tblFleet[Available_h],tblFleet[Date],$A168,tblFleet[Equipment_Class],"Haul Truck")</f>
        <v/>
      </c>
      <c r="CA168" s="57">
        <f>IF($B168=$B167,$CA167,0)+$BZ168</f>
        <v/>
      </c>
      <c r="CB168" s="57">
        <f>$CB167+$BZ168</f>
        <v/>
      </c>
      <c r="CC168" s="57">
        <f>SUMIFS(tblFleet[Operating_h],tblFleet[Date],$A168,tblFleet[Equipment_Class],"Haul Truck")</f>
        <v/>
      </c>
      <c r="CD168" s="57">
        <f>IF($B168=$B167,$CD167,0)+$CC168</f>
        <v/>
      </c>
      <c r="CE168" s="57">
        <f>$CE167+$CC168</f>
        <v/>
      </c>
      <c r="CF168" s="67">
        <f>IFERROR(IF(($BW168)&gt;0,($BZ168)/($BW168),""),"")</f>
        <v/>
      </c>
      <c r="CG168" s="67">
        <f>IFERROR(IF(($BX168)&gt;0,($CA168)/($BX168),""),"")</f>
        <v/>
      </c>
      <c r="CH168" s="67">
        <f>IFERROR(IF(($BY168)&gt;0,($CB168)/($BY168),""),"")</f>
        <v/>
      </c>
      <c r="CI168" s="67">
        <f>IFERROR(IF(($BZ168)&gt;0,($CC168)/($BZ168),""),"")</f>
        <v/>
      </c>
      <c r="CJ168" s="67">
        <f>IFERROR(IF(($CA168)&gt;0,($CD168)/($CA168),""),"")</f>
        <v/>
      </c>
      <c r="CK168" s="67">
        <f>IFERROR(IF(($CB168)&gt;0,($CE168)/($CB168),""),"")</f>
        <v/>
      </c>
      <c r="CL168" s="55">
        <f>IFERROR(IF(($BN168)&gt;0,($X168+$AD168)/($BN168),""),"")</f>
        <v/>
      </c>
      <c r="CM168" s="55">
        <f>IFERROR(IF(($BO168)&gt;0,($Y168+$AE168)/($BO168),""),"")</f>
        <v/>
      </c>
      <c r="CN168" s="55">
        <f>IFERROR(IF(($BP168)&gt;0,($Z168+$AF168)/($BP168),""),"")</f>
        <v/>
      </c>
      <c r="CO168" s="55">
        <f>IFERROR(IF(($CC168)&gt;0,($X168+$AD168)/($CC168),""),"")</f>
        <v/>
      </c>
      <c r="CP168" s="55">
        <f>IFERROR(IF(($CD168)&gt;0,($Y168+$AE168)/($CD168),""),"")</f>
        <v/>
      </c>
      <c r="CQ168" s="55">
        <f>IFERROR(IF(($CE168)&gt;0,($Z168+$AF168)/($CE168),""),"")</f>
        <v/>
      </c>
      <c r="CR168" s="55">
        <f>SUMIFS(tblPlant[Crushed_t],tblPlant[Date],$A168)</f>
        <v/>
      </c>
      <c r="CS168" s="55">
        <f>IF($B168=$B167,$CS167,0)+$CR168</f>
        <v/>
      </c>
      <c r="CT168" s="55">
        <f>$CT167+$CR168</f>
        <v/>
      </c>
      <c r="CU168" s="55">
        <f>SUMIFS(tblPlant[Milled_t],tblPlant[Date],$A168)</f>
        <v/>
      </c>
      <c r="CV168" s="55">
        <f>IF($B168=$B167,$CV167,0)+$CU168</f>
        <v/>
      </c>
      <c r="CW168" s="55">
        <f>$CW167+$CU168</f>
        <v/>
      </c>
      <c r="CX168" s="55">
        <f>SUMIFS(tblPlant[Feed_oz],tblPlant[Date],$A168)</f>
        <v/>
      </c>
      <c r="CY168" s="55">
        <f>IF($B168=$B167,$CY167,0)+$CX168</f>
        <v/>
      </c>
      <c r="CZ168" s="55">
        <f>$CZ167+$CX168</f>
        <v/>
      </c>
      <c r="DA168" s="55">
        <f>SUMIFS(tblPlant[Tails_oz],tblPlant[Date],$A168)</f>
        <v/>
      </c>
      <c r="DB168" s="55">
        <f>IF($B168=$B167,$DB167,0)+$DA168</f>
        <v/>
      </c>
      <c r="DC168" s="55">
        <f>$DC167+$DA168</f>
        <v/>
      </c>
      <c r="DD168" s="55">
        <f>SUMIFS(tblPlant[Recovered_oz],tblPlant[Date],$A168)</f>
        <v/>
      </c>
      <c r="DE168" s="55">
        <f>IF($B168=$B167,$DE167,0)+$DD168</f>
        <v/>
      </c>
      <c r="DF168" s="55">
        <f>$DF167+$DD168</f>
        <v/>
      </c>
      <c r="DG168" s="55">
        <f>SUMIFS(tblPlant[Milled_t],tblPlant[Date],$A168,tblPlant[Head_Grade_gpt],"&lt;&gt;")</f>
        <v/>
      </c>
      <c r="DH168" s="55">
        <f>IF($B168=$B167,$DH167,0)+$DG168</f>
        <v/>
      </c>
      <c r="DI168" s="55">
        <f>$DI167+$DG168</f>
        <v/>
      </c>
      <c r="DJ168" s="55">
        <f>SUMIFS(tblPlant[Milled_t],tblPlant[Date],$A168,tblPlant[Tails_Grade_gpt],"&lt;&gt;")</f>
        <v/>
      </c>
      <c r="DK168" s="55">
        <f>IF($B168=$B167,$DK167,0)+$DJ168</f>
        <v/>
      </c>
      <c r="DL168" s="55">
        <f>$DL167+$DJ168</f>
        <v/>
      </c>
      <c r="DM168" s="55">
        <f>SUMIFS(tblPlant[Feed_oz],tblPlant[Date],$A168,tblPlant[Tails_Grade_gpt],"&lt;&gt;")</f>
        <v/>
      </c>
      <c r="DN168" s="55">
        <f>IF($B168=$B167,$DN167,0)+$DM168</f>
        <v/>
      </c>
      <c r="DO168" s="55">
        <f>$DO167+$DM168</f>
        <v/>
      </c>
      <c r="DP168" s="55">
        <f>SUMIFS(tblPlant[Milled_t],tblPlant[Date],$A168,tblPlant[Mill_Run_h],"&lt;&gt;")</f>
        <v/>
      </c>
      <c r="DQ168" s="55">
        <f>IF($B168=$B167,$DQ167,0)+$DP168</f>
        <v/>
      </c>
      <c r="DR168" s="55">
        <f>$DR167+$DP168</f>
        <v/>
      </c>
      <c r="DS168" s="56">
        <f>IFERROR(IF(($DG168)&gt;0,($CX168*cfg_TroyOz)/($DG168),""),"")</f>
        <v/>
      </c>
      <c r="DT168" s="56">
        <f>IFERROR(IF(($DH168)&gt;0,($CY168*cfg_TroyOz)/($DH168),""),"")</f>
        <v/>
      </c>
      <c r="DU168" s="56">
        <f>IFERROR(IF(($DI168)&gt;0,($CZ168*cfg_TroyOz)/($DI168),""),"")</f>
        <v/>
      </c>
      <c r="DV168" s="56">
        <f>IFERROR(IF(($DJ168)&gt;0,($DA168*cfg_TroyOz)/($DJ168),""),"")</f>
        <v/>
      </c>
      <c r="DW168" s="56">
        <f>IFERROR(IF(($DK168)&gt;0,($DB168*cfg_TroyOz)/($DK168),""),"")</f>
        <v/>
      </c>
      <c r="DX168" s="56">
        <f>IFERROR(IF(($DL168)&gt;0,($DC168*cfg_TroyOz)/($DL168),""),"")</f>
        <v/>
      </c>
      <c r="DY168" s="67">
        <f>IFERROR(IF(($DM168)&gt;0,($DD168)/($DM168),""),"")</f>
        <v/>
      </c>
      <c r="DZ168" s="67">
        <f>IFERROR(IF(($DN168)&gt;0,($DE168)/($DN168),""),"")</f>
        <v/>
      </c>
      <c r="EA168" s="67">
        <f>IFERROR(IF(($DO168)&gt;0,($DF168)/($DO168),""),"")</f>
        <v/>
      </c>
      <c r="EB168" s="55">
        <f>SUMIFS(tblPlant[Gravity_Gold_oz],tblPlant[Date],$A168)</f>
        <v/>
      </c>
      <c r="EC168" s="55">
        <f>IF($B168=$B167,$EC167,0)+$EB168</f>
        <v/>
      </c>
      <c r="ED168" s="55">
        <f>$ED167+$EB168</f>
        <v/>
      </c>
      <c r="EE168" s="67">
        <f>IFERROR(IF(($DD168)&gt;0,($EB168)/($DD168),""),"")</f>
        <v/>
      </c>
      <c r="EF168" s="67">
        <f>IFERROR(IF(($DE168)&gt;0,($EC168)/($DE168),""),"")</f>
        <v/>
      </c>
      <c r="EG168" s="67">
        <f>IFERROR(IF(($DF168)&gt;0,($ED168)/($DF168),""),"")</f>
        <v/>
      </c>
      <c r="EH168" s="55">
        <f>SUMIFS(tblPlant[Gold_Poured_oz],tblPlant[Date],$A168)</f>
        <v/>
      </c>
      <c r="EI168" s="55">
        <f>IF($B168=$B167,$EI167,0)+$EH168</f>
        <v/>
      </c>
      <c r="EJ168" s="55">
        <f>$EJ167+$EH168</f>
        <v/>
      </c>
      <c r="EK168" s="57">
        <f>SUMIFS(tblPlant[Mill_Run_h],tblPlant[Date],$A168)</f>
        <v/>
      </c>
      <c r="EL168" s="57">
        <f>IF($B168=$B167,$EL167,0)+$EK168</f>
        <v/>
      </c>
      <c r="EM168" s="57">
        <f>$EM167+$EK168</f>
        <v/>
      </c>
      <c r="EN168" s="57">
        <f>SUMIFS(tblPlant[Mill_Planned_Maint_h],tblPlant[Date],$A168)</f>
        <v/>
      </c>
      <c r="EO168" s="57">
        <f>IF($B168=$B167,$EO167,0)+$EN168</f>
        <v/>
      </c>
      <c r="EP168" s="57">
        <f>$EP167+$EN168</f>
        <v/>
      </c>
      <c r="EQ168" s="57">
        <f>SUMIFS(tblPlant[Mill_Unplanned_Down_h],tblPlant[Date],$A168)</f>
        <v/>
      </c>
      <c r="ER168" s="57">
        <f>IF($B168=$B167,$ER167,0)+$EQ168</f>
        <v/>
      </c>
      <c r="ES168" s="57">
        <f>$ES167+$EQ168</f>
        <v/>
      </c>
      <c r="ET168" s="57">
        <f>IF(COUNTIFS(tblPlant[Date],$A168,tblPlant[Mill_Run_h],"&lt;&gt;")+COUNTIFS(tblPlant[Date],$A168,tblPlant[Mill_Planned_Maint_h],"&lt;&gt;")+COUNTIFS(tblPlant[Date],$A168,tblPlant[Mill_Unplanned_Down_h],"&lt;&gt;")&gt;0,cfg_HoursPerDay,0)</f>
        <v/>
      </c>
      <c r="EU168" s="57">
        <f>IF($B168=$B167,$EU167,0)+$ET168</f>
        <v/>
      </c>
      <c r="EV168" s="57">
        <f>$EV167+$ET168</f>
        <v/>
      </c>
      <c r="EW168" s="57">
        <f>SUMIFS(tblPlant[Crusher_Run_h],tblPlant[Date],$A168)</f>
        <v/>
      </c>
      <c r="EX168" s="57">
        <f>IF($B168=$B167,$EX167,0)+$EW168</f>
        <v/>
      </c>
      <c r="EY168" s="57">
        <f>$EY167+$EW168</f>
        <v/>
      </c>
      <c r="EZ168" s="55">
        <f>IFERROR(IF(($EK168)&gt;0,($DP168)/($EK168),""),"")</f>
        <v/>
      </c>
      <c r="FA168" s="55">
        <f>IFERROR(IF(($EL168)&gt;0,($DQ168)/($EL168),""),"")</f>
        <v/>
      </c>
      <c r="FB168" s="55">
        <f>IFERROR(IF(($EM168)&gt;0,($DR168)/($EM168),""),"")</f>
        <v/>
      </c>
      <c r="FC168" s="67">
        <f>IFERROR(IF(($ET168)&gt;0,($ET168-$EN168-$EQ168)/($ET168),""),"")</f>
        <v/>
      </c>
      <c r="FD168" s="67">
        <f>IFERROR(IF(($EU168)&gt;0,($EU168-$EO168-$ER168)/($EU168),""),"")</f>
        <v/>
      </c>
      <c r="FE168" s="67">
        <f>IFERROR(IF(($EV168)&gt;0,($EV168-$EP168-$ES168)/($EV168),""),"")</f>
        <v/>
      </c>
      <c r="FF168" s="67">
        <f>IFERROR(IF(($ET168-$EN168-$EQ168)&gt;0,($EK168)/($ET168-$EN168-$EQ168),""),"")</f>
        <v/>
      </c>
      <c r="FG168" s="67">
        <f>IFERROR(IF(($EU168-$EO168-$ER168)&gt;0,($EL168)/($EU168-$EO168-$ER168),""),"")</f>
        <v/>
      </c>
      <c r="FH168" s="67">
        <f>IFERROR(IF(($EV168-$EP168-$ES168)&gt;0,($EM168)/($EV168-$EP168-$ES168),""),"")</f>
        <v/>
      </c>
      <c r="FI168" s="55">
        <f>SUMIFS(tblPlant[Cyanide_kg],tblPlant[Date],$A168)</f>
        <v/>
      </c>
      <c r="FJ168" s="55">
        <f>IF($B168=$B167,$FJ167,0)+$FI168</f>
        <v/>
      </c>
      <c r="FK168" s="55">
        <f>$FK167+$FI168</f>
        <v/>
      </c>
      <c r="FL168" s="55">
        <f>SUMIFS(tblPlant[Lime_kg],tblPlant[Date],$A168)</f>
        <v/>
      </c>
      <c r="FM168" s="55">
        <f>IF($B168=$B167,$FM167,0)+$FL168</f>
        <v/>
      </c>
      <c r="FN168" s="55">
        <f>$FN167+$FL168</f>
        <v/>
      </c>
      <c r="FO168" s="55">
        <f>SUMIFS(tblPlant[Grinding_Media_kg],tblPlant[Date],$A168)</f>
        <v/>
      </c>
      <c r="FP168" s="55">
        <f>IF($B168=$B167,$FP167,0)+$FO168</f>
        <v/>
      </c>
      <c r="FQ168" s="55">
        <f>$FQ167+$FO168</f>
        <v/>
      </c>
      <c r="FR168" s="55">
        <f>SUMIFS(tblPlant[Power_kWh],tblPlant[Date],$A168)</f>
        <v/>
      </c>
      <c r="FS168" s="55">
        <f>IF($B168=$B167,$FS167,0)+$FR168</f>
        <v/>
      </c>
      <c r="FT168" s="55">
        <f>$FT167+$FR168</f>
        <v/>
      </c>
      <c r="FU168" s="55">
        <f>SUMIFS(tblPlant[Raw_Water_m3],tblPlant[Date],$A168)</f>
        <v/>
      </c>
      <c r="FV168" s="55">
        <f>IF($B168=$B167,$FV167,0)+$FU168</f>
        <v/>
      </c>
      <c r="FW168" s="55">
        <f>$FW167+$FU168</f>
        <v/>
      </c>
      <c r="FX168" s="56">
        <f>IFERROR(IF(($CU168)&gt;0,($FI168)/($CU168),""),"")</f>
        <v/>
      </c>
      <c r="FY168" s="56">
        <f>IFERROR(IF(($CV168)&gt;0,($FJ168)/($CV168),""),"")</f>
        <v/>
      </c>
      <c r="FZ168" s="56">
        <f>IFERROR(IF(($CW168)&gt;0,($FK168)/($CW168),""),"")</f>
        <v/>
      </c>
      <c r="GA168" s="56">
        <f>IFERROR(IF(($CU168)&gt;0,($FL168)/($CU168),""),"")</f>
        <v/>
      </c>
      <c r="GB168" s="56">
        <f>IFERROR(IF(($CV168)&gt;0,($FM168)/($CV168),""),"")</f>
        <v/>
      </c>
      <c r="GC168" s="56">
        <f>IFERROR(IF(($CW168)&gt;0,($FN168)/($CW168),""),"")</f>
        <v/>
      </c>
      <c r="GD168" s="56">
        <f>IFERROR(IF(($CU168)&gt;0,($FO168)/($CU168),""),"")</f>
        <v/>
      </c>
      <c r="GE168" s="56">
        <f>IFERROR(IF(($CV168)&gt;0,($FP168)/($CV168),""),"")</f>
        <v/>
      </c>
      <c r="GF168" s="56">
        <f>IFERROR(IF(($CW168)&gt;0,($FQ168)/($CW168),""),"")</f>
        <v/>
      </c>
      <c r="GG168" s="79">
        <f>IFERROR(IF(($CU168)&gt;0,($FR168)/($CU168),""),"")</f>
        <v/>
      </c>
      <c r="GH168" s="79">
        <f>IFERROR(IF(($CV168)&gt;0,($FS168)/($CV168),""),"")</f>
        <v/>
      </c>
      <c r="GI168" s="79">
        <f>IFERROR(IF(($CW168)&gt;0,($FT168)/($CW168),""),"")</f>
        <v/>
      </c>
      <c r="GJ168" s="56">
        <f>IFERROR(IF(($CU168)&gt;0,($FU168)/($CU168),""),"")</f>
        <v/>
      </c>
      <c r="GK168" s="56">
        <f>IFERROR(IF(($CV168)&gt;0,($FV168)/($CV168),""),"")</f>
        <v/>
      </c>
      <c r="GL168" s="56">
        <f>IFERROR(IF(($CW168)&gt;0,($FW168)/($CW168),""),"")</f>
        <v/>
      </c>
      <c r="GM168" s="55">
        <f>IF(SUMIFS(tblPlant[GIC_oz],tblPlant[Date],$A168)&gt;0,SUMIFS(tblPlant[GIC_oz],tblPlant[Date],$A168),"")</f>
        <v/>
      </c>
      <c r="GN168" s="55">
        <f>SUMIFS(tblGold[Gold_oz],tblGold[Date],$A168,tblGold[Type],"Shipment")</f>
        <v/>
      </c>
      <c r="GO168" s="55">
        <f>IF($B168=$B167,$GO167,0)+$GN168</f>
        <v/>
      </c>
      <c r="GP168" s="55">
        <f>$GP167+$GN168</f>
        <v/>
      </c>
      <c r="GQ168" s="55">
        <f>SUMIFS(tblGold[Gold_oz],tblGold[Date],$A168,tblGold[Type],"Sale")</f>
        <v/>
      </c>
      <c r="GR168" s="55">
        <f>IF($B168=$B167,$GR167,0)+$GQ168</f>
        <v/>
      </c>
      <c r="GS168" s="55">
        <f>$GS167+$GQ168</f>
        <v/>
      </c>
      <c r="GT168" s="55">
        <f>SUMIFS(tblGold[Dore_kg],tblGold[Date],$A168,tblGold[Type],"Shipment")</f>
        <v/>
      </c>
      <c r="GU168" s="55">
        <f>IF($B168=$B167,$GU167,0)+$GT168</f>
        <v/>
      </c>
      <c r="GV168" s="55">
        <f>$GV167+$GT168</f>
        <v/>
      </c>
      <c r="GW168" s="57">
        <f>SUMIFS(tblSafety[Hours_Total],tblSafety[Date],$A168)</f>
        <v/>
      </c>
      <c r="GX168" s="57">
        <f>IF($B168=$B167,$GX167,0)+$GW168</f>
        <v/>
      </c>
      <c r="GY168" s="57">
        <f>$GY167+$GW168</f>
        <v/>
      </c>
      <c r="GZ168" s="62">
        <f>SUMIFS(tblSafety[Fatality],tblSafety[Date],$A168)</f>
        <v/>
      </c>
      <c r="HA168" s="62">
        <f>IF($B168=$B167,$HA167,0)+$GZ168</f>
        <v/>
      </c>
      <c r="HB168" s="62">
        <f>$HB167+$GZ168</f>
        <v/>
      </c>
      <c r="HC168" s="62">
        <f>SUMIFS(tblSafety[LTI],tblSafety[Date],$A168)</f>
        <v/>
      </c>
      <c r="HD168" s="62">
        <f>IF($B168=$B167,$HD167,0)+$HC168</f>
        <v/>
      </c>
      <c r="HE168" s="62">
        <f>$HE167+$HC168</f>
        <v/>
      </c>
      <c r="HF168" s="62">
        <f>SUMIFS(tblSafety[RWI],tblSafety[Date],$A168)</f>
        <v/>
      </c>
      <c r="HG168" s="62">
        <f>IF($B168=$B167,$HG167,0)+$HF168</f>
        <v/>
      </c>
      <c r="HH168" s="62">
        <f>$HH167+$HF168</f>
        <v/>
      </c>
      <c r="HI168" s="62">
        <f>SUMIFS(tblSafety[MTI],tblSafety[Date],$A168)</f>
        <v/>
      </c>
      <c r="HJ168" s="62">
        <f>IF($B168=$B167,$HJ167,0)+$HI168</f>
        <v/>
      </c>
      <c r="HK168" s="62">
        <f>$HK167+$HI168</f>
        <v/>
      </c>
      <c r="HL168" s="62">
        <f>SUMIFS(tblSafety[FAI],tblSafety[Date],$A168)</f>
        <v/>
      </c>
      <c r="HM168" s="62">
        <f>IF($B168=$B167,$HM167,0)+$HL168</f>
        <v/>
      </c>
      <c r="HN168" s="62">
        <f>$HN167+$HL168</f>
        <v/>
      </c>
      <c r="HO168" s="62">
        <f>SUMIFS(tblSafety[Recordables],tblSafety[Date],$A168)</f>
        <v/>
      </c>
      <c r="HP168" s="62">
        <f>IF($B168=$B167,$HP167,0)+$HO168</f>
        <v/>
      </c>
      <c r="HQ168" s="62">
        <f>$HQ167+$HO168</f>
        <v/>
      </c>
      <c r="HR168" s="62">
        <f>SUMIFS(tblSafety[Near_Miss],tblSafety[Date],$A168)</f>
        <v/>
      </c>
      <c r="HS168" s="62">
        <f>IF($B168=$B167,$HS167,0)+$HR168</f>
        <v/>
      </c>
      <c r="HT168" s="62">
        <f>$HT167+$HR168</f>
        <v/>
      </c>
      <c r="HU168" s="62">
        <f>SUMIFS(tblSafety[Hazard_Reports],tblSafety[Date],$A168)</f>
        <v/>
      </c>
      <c r="HV168" s="62">
        <f>IF($B168=$B167,$HV167,0)+$HU168</f>
        <v/>
      </c>
      <c r="HW168" s="62">
        <f>$HW167+$HU168</f>
        <v/>
      </c>
      <c r="HX168" s="62">
        <f>SUMIFS(tblSafety[HPI],tblSafety[Date],$A168)</f>
        <v/>
      </c>
      <c r="HY168" s="62">
        <f>IF($B168=$B167,$HY167,0)+$HX168</f>
        <v/>
      </c>
      <c r="HZ168" s="62">
        <f>$HZ167+$HX168</f>
        <v/>
      </c>
      <c r="IA168" s="62">
        <f>SUMIFS(tblSafety[Env_Incidents],tblSafety[Date],$A168)</f>
        <v/>
      </c>
      <c r="IB168" s="62">
        <f>IF($B168=$B167,$IB167,0)+$IA168</f>
        <v/>
      </c>
      <c r="IC168" s="62">
        <f>$IC167+$IA168</f>
        <v/>
      </c>
      <c r="ID168" s="62">
        <f>SUMIFS(tblSafety[Community_Incidents],tblSafety[Date],$A168)</f>
        <v/>
      </c>
      <c r="IE168" s="62">
        <f>IF($B168=$B167,$IE167,0)+$ID168</f>
        <v/>
      </c>
      <c r="IF168" s="62">
        <f>$IF167+$ID168</f>
        <v/>
      </c>
      <c r="IG168" s="62">
        <f>SUMIFS(tblSafety[Vehicle_Incidents],tblSafety[Date],$A168)</f>
        <v/>
      </c>
      <c r="IH168" s="62">
        <f>IF($B168=$B167,$IH167,0)+$IG168</f>
        <v/>
      </c>
      <c r="II168" s="62">
        <f>$II167+$IG168</f>
        <v/>
      </c>
      <c r="IJ168" s="62">
        <f>SUMIFS(tblSafety[Toolbox_Talks],tblSafety[Date],$A168)</f>
        <v/>
      </c>
      <c r="IK168" s="62">
        <f>IF($B168=$B167,$IK167,0)+$IJ168</f>
        <v/>
      </c>
      <c r="IL168" s="62">
        <f>$IL167+$IJ168</f>
        <v/>
      </c>
      <c r="IM168" s="62">
        <f>SUMIFS(tblSafety[Inspections],tblSafety[Date],$A168)</f>
        <v/>
      </c>
      <c r="IN168" s="62">
        <f>IF($B168=$B167,$IN167,0)+$IM168</f>
        <v/>
      </c>
      <c r="IO168" s="62">
        <f>$IO167+$IM168</f>
        <v/>
      </c>
      <c r="IP168" s="56">
        <f>IFERROR((SUMIFS(tblSafety[Recordables],tblSafety[Date],"&gt;="&amp;EDATE($E168,-12),tblSafety[Date],"&lt;="&amp;$A168)+SUMIFS(tblSafetyHistory[Recordables],tblSafetyHistory[Month],"&gt;="&amp;EDATE($E168,-12),tblSafetyHistory[Month],"&lt;"&amp;$E168,tblSafetyHistory[Use],1))/(SUMIFS(tblSafety[Hours_Total],tblSafety[Date],"&gt;="&amp;EDATE($E168,-12),tblSafety[Date],"&lt;="&amp;$A168)+SUMIFS(tblSafetyHistory[Hours_Total],tblSafetyHistory[Month],"&gt;="&amp;EDATE($E168,-12),tblSafetyHistory[Month],"&lt;"&amp;$E168,tblSafetyHistory[Use],1))*cfg_RateBasisHours,"")</f>
        <v/>
      </c>
      <c r="IQ168" s="56">
        <f>IFERROR((SUMIFS(tblSafety[LTI],tblSafety[Date],"&gt;="&amp;EDATE($E168,-12),tblSafety[Date],"&lt;="&amp;$A168)+SUMIFS(tblSafetyHistory[LTI],tblSafetyHistory[Month],"&gt;="&amp;EDATE($E168,-12),tblSafetyHistory[Month],"&lt;"&amp;$E168,tblSafetyHistory[Use],1))/(SUMIFS(tblSafety[Hours_Total],tblSafety[Date],"&gt;="&amp;EDATE($E168,-12),tblSafety[Date],"&lt;="&amp;$A168)+SUMIFS(tblSafetyHistory[Hours_Total],tblSafetyHistory[Month],"&gt;="&amp;EDATE($E168,-12),tblSafetyHistory[Month],"&lt;"&amp;$E168,tblSafetyHistory[Use],1))*cfg_RateBasisHours,"")</f>
        <v/>
      </c>
      <c r="IR168" s="62">
        <f>IF(MAX(N(cfg_PriorLTIDate),_xlfn.MAXIFS(tblSafety[Date],tblSafety[LTI],"&gt;0",tblSafety[Date],"&lt;="&amp;$A168))=0,"",$A168-MAX(N(cfg_PriorLTIDate),_xlfn.MAXIFS(tblSafety[Date],tblSafety[LTI],"&gt;0",tblSafety[Date],"&lt;="&amp;$A168)))</f>
        <v/>
      </c>
      <c r="IS168" s="55">
        <f>SUMIFS(tblBudget[Ore_Mined_t],tblBudget[Month],$E168)</f>
        <v/>
      </c>
      <c r="IT168" s="55">
        <f>$IS168*$C168/$D168</f>
        <v/>
      </c>
      <c r="IU168" s="55">
        <f>SUMIFS(tblBudget[Ore_Mined_t],tblBudget[Month],"&lt;"&amp;$E168)+$IT168</f>
        <v/>
      </c>
      <c r="IV168" s="55">
        <f>SUMIFS(tblBudget[Ore_oz],tblBudget[Month],$E168)</f>
        <v/>
      </c>
      <c r="IW168" s="55">
        <f>$IV168*$C168/$D168</f>
        <v/>
      </c>
      <c r="IX168" s="55">
        <f>SUMIFS(tblBudget[Ore_oz],tblBudget[Month],"&lt;"&amp;$E168)+$IW168</f>
        <v/>
      </c>
      <c r="IY168" s="55">
        <f>SUMIFS(tblBudget[Ore_Mined_t],tblBudget[Month],$E168)</f>
        <v/>
      </c>
      <c r="IZ168" s="55">
        <f>$IY168*$C168/$D168</f>
        <v/>
      </c>
      <c r="JA168" s="55">
        <f>SUMIFS(tblBudget[Ore_Mined_t],tblBudget[Month],"&lt;"&amp;$E168)+$IZ168</f>
        <v/>
      </c>
      <c r="JB168" s="56">
        <f>IFERROR(IF(($IY168)&gt;0,($IV168*cfg_TroyOz)/($IY168),""),"")</f>
        <v/>
      </c>
      <c r="JC168" s="56">
        <f>IFERROR(IF(($IZ168)&gt;0,($IW168*cfg_TroyOz)/($IZ168),""),"")</f>
        <v/>
      </c>
      <c r="JD168" s="56">
        <f>IFERROR(IF(($JA168)&gt;0,($IX168*cfg_TroyOz)/($JA168),""),"")</f>
        <v/>
      </c>
      <c r="JE168" s="55">
        <f>SUMIFS(tblBudget[Waste_t],tblBudget[Month],$E168)</f>
        <v/>
      </c>
      <c r="JF168" s="55">
        <f>$JE168*$C168/$D168</f>
        <v/>
      </c>
      <c r="JG168" s="55">
        <f>SUMIFS(tblBudget[Waste_t],tblBudget[Month],"&lt;"&amp;$E168)+$JF168</f>
        <v/>
      </c>
      <c r="JH168" s="55">
        <f>SUMIFS(tblBudget[TMM_t],tblBudget[Month],$E168)</f>
        <v/>
      </c>
      <c r="JI168" s="55">
        <f>$JH168*$C168/$D168</f>
        <v/>
      </c>
      <c r="JJ168" s="55">
        <f>SUMIFS(tblBudget[TMM_t],tblBudget[Month],"&lt;"&amp;$E168)+$JI168</f>
        <v/>
      </c>
      <c r="JK168" s="56">
        <f>IFERROR(IF(($IS168)&gt;0,($JE168)/($IS168),""),"")</f>
        <v/>
      </c>
      <c r="JL168" s="56">
        <f>IFERROR(IF(($IT168)&gt;0,($JF168)/($IT168),""),"")</f>
        <v/>
      </c>
      <c r="JM168" s="56">
        <f>IFERROR(IF(($IU168)&gt;0,($JG168)/($IU168),""),"")</f>
        <v/>
      </c>
      <c r="JN168" s="55">
        <f>SUMIFS(tblBudget[Drill_m],tblBudget[Month],$E168)</f>
        <v/>
      </c>
      <c r="JO168" s="55">
        <f>$JN168*$C168/$D168</f>
        <v/>
      </c>
      <c r="JP168" s="55">
        <f>SUMIFS(tblBudget[Drill_m],tblBudget[Month],"&lt;"&amp;$E168)+$JO168</f>
        <v/>
      </c>
      <c r="JQ168" s="55">
        <f>SUMIFS(tblBudget[Diesel_L],tblBudget[Month],$E168)</f>
        <v/>
      </c>
      <c r="JR168" s="55">
        <f>$JQ168*$C168/$D168</f>
        <v/>
      </c>
      <c r="JS168" s="55">
        <f>SUMIFS(tblBudget[Diesel_L],tblBudget[Month],"&lt;"&amp;$E168)+$JR168</f>
        <v/>
      </c>
      <c r="JT168" s="55">
        <f>SUMIFS(tblBudget[Milled_t],tblBudget[Month],$E168)</f>
        <v/>
      </c>
      <c r="JU168" s="55">
        <f>$JT168*$C168/$D168</f>
        <v/>
      </c>
      <c r="JV168" s="55">
        <f>SUMIFS(tblBudget[Milled_t],tblBudget[Month],"&lt;"&amp;$E168)+$JU168</f>
        <v/>
      </c>
      <c r="JW168" s="55">
        <f>SUMIFS(tblBudget[Feed_oz],tblBudget[Month],$E168)</f>
        <v/>
      </c>
      <c r="JX168" s="55">
        <f>$JW168*$C168/$D168</f>
        <v/>
      </c>
      <c r="JY168" s="55">
        <f>SUMIFS(tblBudget[Feed_oz],tblBudget[Month],"&lt;"&amp;$E168)+$JX168</f>
        <v/>
      </c>
      <c r="JZ168" s="55">
        <f>SUMIFS(tblBudget[Recovered_oz],tblBudget[Month],$E168)</f>
        <v/>
      </c>
      <c r="KA168" s="55">
        <f>$JZ168*$C168/$D168</f>
        <v/>
      </c>
      <c r="KB168" s="55">
        <f>SUMIFS(tblBudget[Recovered_oz],tblBudget[Month],"&lt;"&amp;$E168)+$KA168</f>
        <v/>
      </c>
      <c r="KC168" s="55">
        <f>SUMIFS(tblBudget[Milled_t],tblBudget[Month],$E168)</f>
        <v/>
      </c>
      <c r="KD168" s="55">
        <f>$KC168*$C168/$D168</f>
        <v/>
      </c>
      <c r="KE168" s="55">
        <f>SUMIFS(tblBudget[Milled_t],tblBudget[Month],"&lt;"&amp;$E168)+$KD168</f>
        <v/>
      </c>
      <c r="KF168" s="55">
        <f>SUMIFS(tblBudget[Feed_oz],tblBudget[Month],$E168)</f>
        <v/>
      </c>
      <c r="KG168" s="55">
        <f>$KF168*$C168/$D168</f>
        <v/>
      </c>
      <c r="KH168" s="55">
        <f>SUMIFS(tblBudget[Feed_oz],tblBudget[Month],"&lt;"&amp;$E168)+$KG168</f>
        <v/>
      </c>
      <c r="KI168" s="56">
        <f>IFERROR(IF(($KC168)&gt;0,($JW168*cfg_TroyOz)/($KC168),""),"")</f>
        <v/>
      </c>
      <c r="KJ168" s="56">
        <f>IFERROR(IF(($KD168)&gt;0,($JX168*cfg_TroyOz)/($KD168),""),"")</f>
        <v/>
      </c>
      <c r="KK168" s="56">
        <f>IFERROR(IF(($KE168)&gt;0,($JY168*cfg_TroyOz)/($KE168),""),"")</f>
        <v/>
      </c>
      <c r="KL168" s="67">
        <f>IFERROR(IF(($KF168)&gt;0,($JZ168)/($KF168),""),"")</f>
        <v/>
      </c>
      <c r="KM168" s="67">
        <f>IFERROR(IF(($KG168)&gt;0,($KA168)/($KG168),""),"")</f>
        <v/>
      </c>
      <c r="KN168" s="67">
        <f>IFERROR(IF(($KH168)&gt;0,($KB168)/($KH168),""),"")</f>
        <v/>
      </c>
      <c r="KO168" s="55">
        <f>SUMIFS(tblBudget[Gold_Poured_oz],tblBudget[Month],$E168)</f>
        <v/>
      </c>
      <c r="KP168" s="55">
        <f>$KO168*$C168/$D168</f>
        <v/>
      </c>
      <c r="KQ168" s="55">
        <f>SUMIFS(tblBudget[Gold_Poured_oz],tblBudget[Month],"&lt;"&amp;$E168)+$KP168</f>
        <v/>
      </c>
      <c r="KR168" s="57">
        <f>SUMIFS(tblBudget[Hours_Worked],tblBudget[Month],$E168)</f>
        <v/>
      </c>
      <c r="KS168" s="57">
        <f>$KR168*$C168/$D168</f>
        <v/>
      </c>
      <c r="KT168" s="57">
        <f>SUMIFS(tblBudget[Hours_Worked],tblBudget[Month],"&lt;"&amp;$E168)+$KS168</f>
        <v/>
      </c>
    </row>
    <row r="169">
      <c r="A169" s="54" t="n">
        <v>46190</v>
      </c>
      <c r="B169">
        <f>MONTH($A169)</f>
        <v/>
      </c>
      <c r="C169">
        <f>DAY($A169)</f>
        <v/>
      </c>
      <c r="D169">
        <f>DAY(EOMONTH($A169,0))</f>
        <v/>
      </c>
      <c r="E169" s="54">
        <f>DATE(YEAR($A169),MONTH($A169),1)</f>
        <v/>
      </c>
      <c r="F169" s="55">
        <f>SUMIFS(tblMovement[Tonnes_t],tblMovement[Date],$A169,tblMovement[Is_Ore],1,tblMovement[Source_Type],"Pit")</f>
        <v/>
      </c>
      <c r="G169" s="55">
        <f>IF($B169=$B168,$G168,0)+$F169</f>
        <v/>
      </c>
      <c r="H169" s="55">
        <f>$H168+$F169</f>
        <v/>
      </c>
      <c r="I169" s="55">
        <f>SUMIFS(tblMovement[Ore_oz],tblMovement[Date],$A169,tblMovement[Source_Type],"Pit")</f>
        <v/>
      </c>
      <c r="J169" s="55">
        <f>IF($B169=$B168,$J168,0)+$I169</f>
        <v/>
      </c>
      <c r="K169" s="55">
        <f>$K168+$I169</f>
        <v/>
      </c>
      <c r="L169" s="55">
        <f>SUMIFS(tblMovement[Tonnes_t],tblMovement[Date],$A169,tblMovement[Is_Ore],1,tblMovement[Source_Type],"Pit",tblMovement[Grade_gpt],"&lt;&gt;")</f>
        <v/>
      </c>
      <c r="M169" s="55">
        <f>IF($B169=$B168,$M168,0)+$L169</f>
        <v/>
      </c>
      <c r="N169" s="55">
        <f>$N168+$L169</f>
        <v/>
      </c>
      <c r="O169" s="56">
        <f>IFERROR(IF(($L169)&gt;0,($I169*cfg_TroyOz)/($L169),""),"")</f>
        <v/>
      </c>
      <c r="P169" s="56">
        <f>IFERROR(IF(($M169)&gt;0,($J169*cfg_TroyOz)/($M169),""),"")</f>
        <v/>
      </c>
      <c r="Q169" s="56">
        <f>IFERROR(IF(($N169)&gt;0,($K169*cfg_TroyOz)/($N169),""),"")</f>
        <v/>
      </c>
      <c r="R169" s="55">
        <f>$F169-$L169</f>
        <v/>
      </c>
      <c r="S169" s="55">
        <f>IF($B169=$B168,$S168,0)+$R169</f>
        <v/>
      </c>
      <c r="T169" s="55">
        <f>$T168+$R169</f>
        <v/>
      </c>
      <c r="U169" s="55">
        <f>SUMIFS(tblMovement[Tonnes_t],tblMovement[Date],$A169,tblMovement[Is_Ore],0,tblMovement[Source_Type],"Pit")</f>
        <v/>
      </c>
      <c r="V169" s="55">
        <f>IF($B169=$B168,$V168,0)+$U169</f>
        <v/>
      </c>
      <c r="W169" s="55">
        <f>$W168+$U169</f>
        <v/>
      </c>
      <c r="X169" s="55">
        <f>$F169+$U169</f>
        <v/>
      </c>
      <c r="Y169" s="55">
        <f>IF($B169=$B168,$Y168,0)+$X169</f>
        <v/>
      </c>
      <c r="Z169" s="55">
        <f>$Z168+$X169</f>
        <v/>
      </c>
      <c r="AA169" s="56">
        <f>IFERROR(IF(($F169)&gt;0,($U169)/($F169),""),"")</f>
        <v/>
      </c>
      <c r="AB169" s="56">
        <f>IFERROR(IF(($G169)&gt;0,($V169)/($G169),""),"")</f>
        <v/>
      </c>
      <c r="AC169" s="56">
        <f>IFERROR(IF(($H169)&gt;0,($W169)/($H169),""),"")</f>
        <v/>
      </c>
      <c r="AD169" s="55">
        <f>SUMIFS(tblMovement[Tonnes_t],tblMovement[Date],$A169,tblMovement[Source_Type],"Stockpile")</f>
        <v/>
      </c>
      <c r="AE169" s="55">
        <f>IF($B169=$B168,$AE168,0)+$AD169</f>
        <v/>
      </c>
      <c r="AF169" s="55">
        <f>$AF168+$AD169</f>
        <v/>
      </c>
      <c r="AG169" s="55">
        <f>SUMIFS(tblMovement[Tonnes_t],tblMovement[Date],$A169)</f>
        <v/>
      </c>
      <c r="AH169" s="55">
        <f>IF($B169=$B168,$AH168,0)+$AG169</f>
        <v/>
      </c>
      <c r="AI169" s="55">
        <f>$AI168+$AG169</f>
        <v/>
      </c>
      <c r="AJ169" s="55">
        <f>$AG169-$X169-$AD169</f>
        <v/>
      </c>
      <c r="AK169" s="55">
        <f>IF($B169=$B168,$AK168,0)+$AJ169</f>
        <v/>
      </c>
      <c r="AL169" s="55">
        <f>$AL168+$AJ169</f>
        <v/>
      </c>
      <c r="AM169" s="55">
        <f>SUMIFS(tblMiningDaily[Drill_m],tblMiningDaily[Date],$A169)</f>
        <v/>
      </c>
      <c r="AN169" s="55">
        <f>IF($B169=$B168,$AN168,0)+$AM169</f>
        <v/>
      </c>
      <c r="AO169" s="55">
        <f>$AO168+$AM169</f>
        <v/>
      </c>
      <c r="AP169" s="55">
        <f>SUMIFS(tblMiningDaily[GC_Drill_m],tblMiningDaily[Date],$A169)</f>
        <v/>
      </c>
      <c r="AQ169" s="55">
        <f>IF($B169=$B168,$AQ168,0)+$AP169</f>
        <v/>
      </c>
      <c r="AR169" s="55">
        <f>$AR168+$AP169</f>
        <v/>
      </c>
      <c r="AS169" s="55">
        <f>SUMIFS(tblMiningDaily[Blast_t],tblMiningDaily[Date],$A169)</f>
        <v/>
      </c>
      <c r="AT169" s="55">
        <f>IF($B169=$B168,$AT168,0)+$AS169</f>
        <v/>
      </c>
      <c r="AU169" s="55">
        <f>$AU168+$AS169</f>
        <v/>
      </c>
      <c r="AV169" s="55">
        <f>SUMIFS(tblMiningDaily[Explosives_kg],tblMiningDaily[Date],$A169)</f>
        <v/>
      </c>
      <c r="AW169" s="55">
        <f>IF($B169=$B168,$AW168,0)+$AV169</f>
        <v/>
      </c>
      <c r="AX169" s="55">
        <f>$AX168+$AV169</f>
        <v/>
      </c>
      <c r="AY169" s="56">
        <f>IFERROR(IF(($AS169)&gt;0,($AV169)/($AS169),""),"")</f>
        <v/>
      </c>
      <c r="AZ169" s="56">
        <f>IFERROR(IF(($AT169)&gt;0,($AW169)/($AT169),""),"")</f>
        <v/>
      </c>
      <c r="BA169" s="56">
        <f>IFERROR(IF(($AU169)&gt;0,($AX169)/($AU169),""),"")</f>
        <v/>
      </c>
      <c r="BB169" s="55">
        <f>SUMIFS(tblMiningDaily[Diesel_L],tblMiningDaily[Date],$A169)</f>
        <v/>
      </c>
      <c r="BC169" s="55">
        <f>IF($B169=$B168,$BC168,0)+$BB169</f>
        <v/>
      </c>
      <c r="BD169" s="55">
        <f>$BD168+$BB169</f>
        <v/>
      </c>
      <c r="BE169" s="55">
        <f>SUMIFS(tblMiningDaily[Dewatering_m3],tblMiningDaily[Date],$A169)</f>
        <v/>
      </c>
      <c r="BF169" s="55">
        <f>IF($B169=$B168,$BF168,0)+$BE169</f>
        <v/>
      </c>
      <c r="BG169" s="55">
        <f>$BG168+$BE169</f>
        <v/>
      </c>
      <c r="BH169" s="57">
        <f>SUMIFS(tblFleet[Calendar_h],tblFleet[Date],$A169,tblFleet[Equipment_Class],"Excavator")</f>
        <v/>
      </c>
      <c r="BI169" s="57">
        <f>IF($B169=$B168,$BI168,0)+$BH169</f>
        <v/>
      </c>
      <c r="BJ169" s="57">
        <f>$BJ168+$BH169</f>
        <v/>
      </c>
      <c r="BK169" s="57">
        <f>SUMIFS(tblFleet[Available_h],tblFleet[Date],$A169,tblFleet[Equipment_Class],"Excavator")</f>
        <v/>
      </c>
      <c r="BL169" s="57">
        <f>IF($B169=$B168,$BL168,0)+$BK169</f>
        <v/>
      </c>
      <c r="BM169" s="57">
        <f>$BM168+$BK169</f>
        <v/>
      </c>
      <c r="BN169" s="57">
        <f>SUMIFS(tblFleet[Operating_h],tblFleet[Date],$A169,tblFleet[Equipment_Class],"Excavator")</f>
        <v/>
      </c>
      <c r="BO169" s="57">
        <f>IF($B169=$B168,$BO168,0)+$BN169</f>
        <v/>
      </c>
      <c r="BP169" s="57">
        <f>$BP168+$BN169</f>
        <v/>
      </c>
      <c r="BQ169" s="67">
        <f>IFERROR(IF(($BH169)&gt;0,($BK169)/($BH169),""),"")</f>
        <v/>
      </c>
      <c r="BR169" s="67">
        <f>IFERROR(IF(($BI169)&gt;0,($BL169)/($BI169),""),"")</f>
        <v/>
      </c>
      <c r="BS169" s="67">
        <f>IFERROR(IF(($BJ169)&gt;0,($BM169)/($BJ169),""),"")</f>
        <v/>
      </c>
      <c r="BT169" s="67">
        <f>IFERROR(IF(($BK169)&gt;0,($BN169)/($BK169),""),"")</f>
        <v/>
      </c>
      <c r="BU169" s="67">
        <f>IFERROR(IF(($BL169)&gt;0,($BO169)/($BL169),""),"")</f>
        <v/>
      </c>
      <c r="BV169" s="67">
        <f>IFERROR(IF(($BM169)&gt;0,($BP169)/($BM169),""),"")</f>
        <v/>
      </c>
      <c r="BW169" s="57">
        <f>SUMIFS(tblFleet[Calendar_h],tblFleet[Date],$A169,tblFleet[Equipment_Class],"Haul Truck")</f>
        <v/>
      </c>
      <c r="BX169" s="57">
        <f>IF($B169=$B168,$BX168,0)+$BW169</f>
        <v/>
      </c>
      <c r="BY169" s="57">
        <f>$BY168+$BW169</f>
        <v/>
      </c>
      <c r="BZ169" s="57">
        <f>SUMIFS(tblFleet[Available_h],tblFleet[Date],$A169,tblFleet[Equipment_Class],"Haul Truck")</f>
        <v/>
      </c>
      <c r="CA169" s="57">
        <f>IF($B169=$B168,$CA168,0)+$BZ169</f>
        <v/>
      </c>
      <c r="CB169" s="57">
        <f>$CB168+$BZ169</f>
        <v/>
      </c>
      <c r="CC169" s="57">
        <f>SUMIFS(tblFleet[Operating_h],tblFleet[Date],$A169,tblFleet[Equipment_Class],"Haul Truck")</f>
        <v/>
      </c>
      <c r="CD169" s="57">
        <f>IF($B169=$B168,$CD168,0)+$CC169</f>
        <v/>
      </c>
      <c r="CE169" s="57">
        <f>$CE168+$CC169</f>
        <v/>
      </c>
      <c r="CF169" s="67">
        <f>IFERROR(IF(($BW169)&gt;0,($BZ169)/($BW169),""),"")</f>
        <v/>
      </c>
      <c r="CG169" s="67">
        <f>IFERROR(IF(($BX169)&gt;0,($CA169)/($BX169),""),"")</f>
        <v/>
      </c>
      <c r="CH169" s="67">
        <f>IFERROR(IF(($BY169)&gt;0,($CB169)/($BY169),""),"")</f>
        <v/>
      </c>
      <c r="CI169" s="67">
        <f>IFERROR(IF(($BZ169)&gt;0,($CC169)/($BZ169),""),"")</f>
        <v/>
      </c>
      <c r="CJ169" s="67">
        <f>IFERROR(IF(($CA169)&gt;0,($CD169)/($CA169),""),"")</f>
        <v/>
      </c>
      <c r="CK169" s="67">
        <f>IFERROR(IF(($CB169)&gt;0,($CE169)/($CB169),""),"")</f>
        <v/>
      </c>
      <c r="CL169" s="55">
        <f>IFERROR(IF(($BN169)&gt;0,($X169+$AD169)/($BN169),""),"")</f>
        <v/>
      </c>
      <c r="CM169" s="55">
        <f>IFERROR(IF(($BO169)&gt;0,($Y169+$AE169)/($BO169),""),"")</f>
        <v/>
      </c>
      <c r="CN169" s="55">
        <f>IFERROR(IF(($BP169)&gt;0,($Z169+$AF169)/($BP169),""),"")</f>
        <v/>
      </c>
      <c r="CO169" s="55">
        <f>IFERROR(IF(($CC169)&gt;0,($X169+$AD169)/($CC169),""),"")</f>
        <v/>
      </c>
      <c r="CP169" s="55">
        <f>IFERROR(IF(($CD169)&gt;0,($Y169+$AE169)/($CD169),""),"")</f>
        <v/>
      </c>
      <c r="CQ169" s="55">
        <f>IFERROR(IF(($CE169)&gt;0,($Z169+$AF169)/($CE169),""),"")</f>
        <v/>
      </c>
      <c r="CR169" s="55">
        <f>SUMIFS(tblPlant[Crushed_t],tblPlant[Date],$A169)</f>
        <v/>
      </c>
      <c r="CS169" s="55">
        <f>IF($B169=$B168,$CS168,0)+$CR169</f>
        <v/>
      </c>
      <c r="CT169" s="55">
        <f>$CT168+$CR169</f>
        <v/>
      </c>
      <c r="CU169" s="55">
        <f>SUMIFS(tblPlant[Milled_t],tblPlant[Date],$A169)</f>
        <v/>
      </c>
      <c r="CV169" s="55">
        <f>IF($B169=$B168,$CV168,0)+$CU169</f>
        <v/>
      </c>
      <c r="CW169" s="55">
        <f>$CW168+$CU169</f>
        <v/>
      </c>
      <c r="CX169" s="55">
        <f>SUMIFS(tblPlant[Feed_oz],tblPlant[Date],$A169)</f>
        <v/>
      </c>
      <c r="CY169" s="55">
        <f>IF($B169=$B168,$CY168,0)+$CX169</f>
        <v/>
      </c>
      <c r="CZ169" s="55">
        <f>$CZ168+$CX169</f>
        <v/>
      </c>
      <c r="DA169" s="55">
        <f>SUMIFS(tblPlant[Tails_oz],tblPlant[Date],$A169)</f>
        <v/>
      </c>
      <c r="DB169" s="55">
        <f>IF($B169=$B168,$DB168,0)+$DA169</f>
        <v/>
      </c>
      <c r="DC169" s="55">
        <f>$DC168+$DA169</f>
        <v/>
      </c>
      <c r="DD169" s="55">
        <f>SUMIFS(tblPlant[Recovered_oz],tblPlant[Date],$A169)</f>
        <v/>
      </c>
      <c r="DE169" s="55">
        <f>IF($B169=$B168,$DE168,0)+$DD169</f>
        <v/>
      </c>
      <c r="DF169" s="55">
        <f>$DF168+$DD169</f>
        <v/>
      </c>
      <c r="DG169" s="55">
        <f>SUMIFS(tblPlant[Milled_t],tblPlant[Date],$A169,tblPlant[Head_Grade_gpt],"&lt;&gt;")</f>
        <v/>
      </c>
      <c r="DH169" s="55">
        <f>IF($B169=$B168,$DH168,0)+$DG169</f>
        <v/>
      </c>
      <c r="DI169" s="55">
        <f>$DI168+$DG169</f>
        <v/>
      </c>
      <c r="DJ169" s="55">
        <f>SUMIFS(tblPlant[Milled_t],tblPlant[Date],$A169,tblPlant[Tails_Grade_gpt],"&lt;&gt;")</f>
        <v/>
      </c>
      <c r="DK169" s="55">
        <f>IF($B169=$B168,$DK168,0)+$DJ169</f>
        <v/>
      </c>
      <c r="DL169" s="55">
        <f>$DL168+$DJ169</f>
        <v/>
      </c>
      <c r="DM169" s="55">
        <f>SUMIFS(tblPlant[Feed_oz],tblPlant[Date],$A169,tblPlant[Tails_Grade_gpt],"&lt;&gt;")</f>
        <v/>
      </c>
      <c r="DN169" s="55">
        <f>IF($B169=$B168,$DN168,0)+$DM169</f>
        <v/>
      </c>
      <c r="DO169" s="55">
        <f>$DO168+$DM169</f>
        <v/>
      </c>
      <c r="DP169" s="55">
        <f>SUMIFS(tblPlant[Milled_t],tblPlant[Date],$A169,tblPlant[Mill_Run_h],"&lt;&gt;")</f>
        <v/>
      </c>
      <c r="DQ169" s="55">
        <f>IF($B169=$B168,$DQ168,0)+$DP169</f>
        <v/>
      </c>
      <c r="DR169" s="55">
        <f>$DR168+$DP169</f>
        <v/>
      </c>
      <c r="DS169" s="56">
        <f>IFERROR(IF(($DG169)&gt;0,($CX169*cfg_TroyOz)/($DG169),""),"")</f>
        <v/>
      </c>
      <c r="DT169" s="56">
        <f>IFERROR(IF(($DH169)&gt;0,($CY169*cfg_TroyOz)/($DH169),""),"")</f>
        <v/>
      </c>
      <c r="DU169" s="56">
        <f>IFERROR(IF(($DI169)&gt;0,($CZ169*cfg_TroyOz)/($DI169),""),"")</f>
        <v/>
      </c>
      <c r="DV169" s="56">
        <f>IFERROR(IF(($DJ169)&gt;0,($DA169*cfg_TroyOz)/($DJ169),""),"")</f>
        <v/>
      </c>
      <c r="DW169" s="56">
        <f>IFERROR(IF(($DK169)&gt;0,($DB169*cfg_TroyOz)/($DK169),""),"")</f>
        <v/>
      </c>
      <c r="DX169" s="56">
        <f>IFERROR(IF(($DL169)&gt;0,($DC169*cfg_TroyOz)/($DL169),""),"")</f>
        <v/>
      </c>
      <c r="DY169" s="67">
        <f>IFERROR(IF(($DM169)&gt;0,($DD169)/($DM169),""),"")</f>
        <v/>
      </c>
      <c r="DZ169" s="67">
        <f>IFERROR(IF(($DN169)&gt;0,($DE169)/($DN169),""),"")</f>
        <v/>
      </c>
      <c r="EA169" s="67">
        <f>IFERROR(IF(($DO169)&gt;0,($DF169)/($DO169),""),"")</f>
        <v/>
      </c>
      <c r="EB169" s="55">
        <f>SUMIFS(tblPlant[Gravity_Gold_oz],tblPlant[Date],$A169)</f>
        <v/>
      </c>
      <c r="EC169" s="55">
        <f>IF($B169=$B168,$EC168,0)+$EB169</f>
        <v/>
      </c>
      <c r="ED169" s="55">
        <f>$ED168+$EB169</f>
        <v/>
      </c>
      <c r="EE169" s="67">
        <f>IFERROR(IF(($DD169)&gt;0,($EB169)/($DD169),""),"")</f>
        <v/>
      </c>
      <c r="EF169" s="67">
        <f>IFERROR(IF(($DE169)&gt;0,($EC169)/($DE169),""),"")</f>
        <v/>
      </c>
      <c r="EG169" s="67">
        <f>IFERROR(IF(($DF169)&gt;0,($ED169)/($DF169),""),"")</f>
        <v/>
      </c>
      <c r="EH169" s="55">
        <f>SUMIFS(tblPlant[Gold_Poured_oz],tblPlant[Date],$A169)</f>
        <v/>
      </c>
      <c r="EI169" s="55">
        <f>IF($B169=$B168,$EI168,0)+$EH169</f>
        <v/>
      </c>
      <c r="EJ169" s="55">
        <f>$EJ168+$EH169</f>
        <v/>
      </c>
      <c r="EK169" s="57">
        <f>SUMIFS(tblPlant[Mill_Run_h],tblPlant[Date],$A169)</f>
        <v/>
      </c>
      <c r="EL169" s="57">
        <f>IF($B169=$B168,$EL168,0)+$EK169</f>
        <v/>
      </c>
      <c r="EM169" s="57">
        <f>$EM168+$EK169</f>
        <v/>
      </c>
      <c r="EN169" s="57">
        <f>SUMIFS(tblPlant[Mill_Planned_Maint_h],tblPlant[Date],$A169)</f>
        <v/>
      </c>
      <c r="EO169" s="57">
        <f>IF($B169=$B168,$EO168,0)+$EN169</f>
        <v/>
      </c>
      <c r="EP169" s="57">
        <f>$EP168+$EN169</f>
        <v/>
      </c>
      <c r="EQ169" s="57">
        <f>SUMIFS(tblPlant[Mill_Unplanned_Down_h],tblPlant[Date],$A169)</f>
        <v/>
      </c>
      <c r="ER169" s="57">
        <f>IF($B169=$B168,$ER168,0)+$EQ169</f>
        <v/>
      </c>
      <c r="ES169" s="57">
        <f>$ES168+$EQ169</f>
        <v/>
      </c>
      <c r="ET169" s="57">
        <f>IF(COUNTIFS(tblPlant[Date],$A169,tblPlant[Mill_Run_h],"&lt;&gt;")+COUNTIFS(tblPlant[Date],$A169,tblPlant[Mill_Planned_Maint_h],"&lt;&gt;")+COUNTIFS(tblPlant[Date],$A169,tblPlant[Mill_Unplanned_Down_h],"&lt;&gt;")&gt;0,cfg_HoursPerDay,0)</f>
        <v/>
      </c>
      <c r="EU169" s="57">
        <f>IF($B169=$B168,$EU168,0)+$ET169</f>
        <v/>
      </c>
      <c r="EV169" s="57">
        <f>$EV168+$ET169</f>
        <v/>
      </c>
      <c r="EW169" s="57">
        <f>SUMIFS(tblPlant[Crusher_Run_h],tblPlant[Date],$A169)</f>
        <v/>
      </c>
      <c r="EX169" s="57">
        <f>IF($B169=$B168,$EX168,0)+$EW169</f>
        <v/>
      </c>
      <c r="EY169" s="57">
        <f>$EY168+$EW169</f>
        <v/>
      </c>
      <c r="EZ169" s="55">
        <f>IFERROR(IF(($EK169)&gt;0,($DP169)/($EK169),""),"")</f>
        <v/>
      </c>
      <c r="FA169" s="55">
        <f>IFERROR(IF(($EL169)&gt;0,($DQ169)/($EL169),""),"")</f>
        <v/>
      </c>
      <c r="FB169" s="55">
        <f>IFERROR(IF(($EM169)&gt;0,($DR169)/($EM169),""),"")</f>
        <v/>
      </c>
      <c r="FC169" s="67">
        <f>IFERROR(IF(($ET169)&gt;0,($ET169-$EN169-$EQ169)/($ET169),""),"")</f>
        <v/>
      </c>
      <c r="FD169" s="67">
        <f>IFERROR(IF(($EU169)&gt;0,($EU169-$EO169-$ER169)/($EU169),""),"")</f>
        <v/>
      </c>
      <c r="FE169" s="67">
        <f>IFERROR(IF(($EV169)&gt;0,($EV169-$EP169-$ES169)/($EV169),""),"")</f>
        <v/>
      </c>
      <c r="FF169" s="67">
        <f>IFERROR(IF(($ET169-$EN169-$EQ169)&gt;0,($EK169)/($ET169-$EN169-$EQ169),""),"")</f>
        <v/>
      </c>
      <c r="FG169" s="67">
        <f>IFERROR(IF(($EU169-$EO169-$ER169)&gt;0,($EL169)/($EU169-$EO169-$ER169),""),"")</f>
        <v/>
      </c>
      <c r="FH169" s="67">
        <f>IFERROR(IF(($EV169-$EP169-$ES169)&gt;0,($EM169)/($EV169-$EP169-$ES169),""),"")</f>
        <v/>
      </c>
      <c r="FI169" s="55">
        <f>SUMIFS(tblPlant[Cyanide_kg],tblPlant[Date],$A169)</f>
        <v/>
      </c>
      <c r="FJ169" s="55">
        <f>IF($B169=$B168,$FJ168,0)+$FI169</f>
        <v/>
      </c>
      <c r="FK169" s="55">
        <f>$FK168+$FI169</f>
        <v/>
      </c>
      <c r="FL169" s="55">
        <f>SUMIFS(tblPlant[Lime_kg],tblPlant[Date],$A169)</f>
        <v/>
      </c>
      <c r="FM169" s="55">
        <f>IF($B169=$B168,$FM168,0)+$FL169</f>
        <v/>
      </c>
      <c r="FN169" s="55">
        <f>$FN168+$FL169</f>
        <v/>
      </c>
      <c r="FO169" s="55">
        <f>SUMIFS(tblPlant[Grinding_Media_kg],tblPlant[Date],$A169)</f>
        <v/>
      </c>
      <c r="FP169" s="55">
        <f>IF($B169=$B168,$FP168,0)+$FO169</f>
        <v/>
      </c>
      <c r="FQ169" s="55">
        <f>$FQ168+$FO169</f>
        <v/>
      </c>
      <c r="FR169" s="55">
        <f>SUMIFS(tblPlant[Power_kWh],tblPlant[Date],$A169)</f>
        <v/>
      </c>
      <c r="FS169" s="55">
        <f>IF($B169=$B168,$FS168,0)+$FR169</f>
        <v/>
      </c>
      <c r="FT169" s="55">
        <f>$FT168+$FR169</f>
        <v/>
      </c>
      <c r="FU169" s="55">
        <f>SUMIFS(tblPlant[Raw_Water_m3],tblPlant[Date],$A169)</f>
        <v/>
      </c>
      <c r="FV169" s="55">
        <f>IF($B169=$B168,$FV168,0)+$FU169</f>
        <v/>
      </c>
      <c r="FW169" s="55">
        <f>$FW168+$FU169</f>
        <v/>
      </c>
      <c r="FX169" s="56">
        <f>IFERROR(IF(($CU169)&gt;0,($FI169)/($CU169),""),"")</f>
        <v/>
      </c>
      <c r="FY169" s="56">
        <f>IFERROR(IF(($CV169)&gt;0,($FJ169)/($CV169),""),"")</f>
        <v/>
      </c>
      <c r="FZ169" s="56">
        <f>IFERROR(IF(($CW169)&gt;0,($FK169)/($CW169),""),"")</f>
        <v/>
      </c>
      <c r="GA169" s="56">
        <f>IFERROR(IF(($CU169)&gt;0,($FL169)/($CU169),""),"")</f>
        <v/>
      </c>
      <c r="GB169" s="56">
        <f>IFERROR(IF(($CV169)&gt;0,($FM169)/($CV169),""),"")</f>
        <v/>
      </c>
      <c r="GC169" s="56">
        <f>IFERROR(IF(($CW169)&gt;0,($FN169)/($CW169),""),"")</f>
        <v/>
      </c>
      <c r="GD169" s="56">
        <f>IFERROR(IF(($CU169)&gt;0,($FO169)/($CU169),""),"")</f>
        <v/>
      </c>
      <c r="GE169" s="56">
        <f>IFERROR(IF(($CV169)&gt;0,($FP169)/($CV169),""),"")</f>
        <v/>
      </c>
      <c r="GF169" s="56">
        <f>IFERROR(IF(($CW169)&gt;0,($FQ169)/($CW169),""),"")</f>
        <v/>
      </c>
      <c r="GG169" s="79">
        <f>IFERROR(IF(($CU169)&gt;0,($FR169)/($CU169),""),"")</f>
        <v/>
      </c>
      <c r="GH169" s="79">
        <f>IFERROR(IF(($CV169)&gt;0,($FS169)/($CV169),""),"")</f>
        <v/>
      </c>
      <c r="GI169" s="79">
        <f>IFERROR(IF(($CW169)&gt;0,($FT169)/($CW169),""),"")</f>
        <v/>
      </c>
      <c r="GJ169" s="56">
        <f>IFERROR(IF(($CU169)&gt;0,($FU169)/($CU169),""),"")</f>
        <v/>
      </c>
      <c r="GK169" s="56">
        <f>IFERROR(IF(($CV169)&gt;0,($FV169)/($CV169),""),"")</f>
        <v/>
      </c>
      <c r="GL169" s="56">
        <f>IFERROR(IF(($CW169)&gt;0,($FW169)/($CW169),""),"")</f>
        <v/>
      </c>
      <c r="GM169" s="55">
        <f>IF(SUMIFS(tblPlant[GIC_oz],tblPlant[Date],$A169)&gt;0,SUMIFS(tblPlant[GIC_oz],tblPlant[Date],$A169),"")</f>
        <v/>
      </c>
      <c r="GN169" s="55">
        <f>SUMIFS(tblGold[Gold_oz],tblGold[Date],$A169,tblGold[Type],"Shipment")</f>
        <v/>
      </c>
      <c r="GO169" s="55">
        <f>IF($B169=$B168,$GO168,0)+$GN169</f>
        <v/>
      </c>
      <c r="GP169" s="55">
        <f>$GP168+$GN169</f>
        <v/>
      </c>
      <c r="GQ169" s="55">
        <f>SUMIFS(tblGold[Gold_oz],tblGold[Date],$A169,tblGold[Type],"Sale")</f>
        <v/>
      </c>
      <c r="GR169" s="55">
        <f>IF($B169=$B168,$GR168,0)+$GQ169</f>
        <v/>
      </c>
      <c r="GS169" s="55">
        <f>$GS168+$GQ169</f>
        <v/>
      </c>
      <c r="GT169" s="55">
        <f>SUMIFS(tblGold[Dore_kg],tblGold[Date],$A169,tblGold[Type],"Shipment")</f>
        <v/>
      </c>
      <c r="GU169" s="55">
        <f>IF($B169=$B168,$GU168,0)+$GT169</f>
        <v/>
      </c>
      <c r="GV169" s="55">
        <f>$GV168+$GT169</f>
        <v/>
      </c>
      <c r="GW169" s="57">
        <f>SUMIFS(tblSafety[Hours_Total],tblSafety[Date],$A169)</f>
        <v/>
      </c>
      <c r="GX169" s="57">
        <f>IF($B169=$B168,$GX168,0)+$GW169</f>
        <v/>
      </c>
      <c r="GY169" s="57">
        <f>$GY168+$GW169</f>
        <v/>
      </c>
      <c r="GZ169" s="62">
        <f>SUMIFS(tblSafety[Fatality],tblSafety[Date],$A169)</f>
        <v/>
      </c>
      <c r="HA169" s="62">
        <f>IF($B169=$B168,$HA168,0)+$GZ169</f>
        <v/>
      </c>
      <c r="HB169" s="62">
        <f>$HB168+$GZ169</f>
        <v/>
      </c>
      <c r="HC169" s="62">
        <f>SUMIFS(tblSafety[LTI],tblSafety[Date],$A169)</f>
        <v/>
      </c>
      <c r="HD169" s="62">
        <f>IF($B169=$B168,$HD168,0)+$HC169</f>
        <v/>
      </c>
      <c r="HE169" s="62">
        <f>$HE168+$HC169</f>
        <v/>
      </c>
      <c r="HF169" s="62">
        <f>SUMIFS(tblSafety[RWI],tblSafety[Date],$A169)</f>
        <v/>
      </c>
      <c r="HG169" s="62">
        <f>IF($B169=$B168,$HG168,0)+$HF169</f>
        <v/>
      </c>
      <c r="HH169" s="62">
        <f>$HH168+$HF169</f>
        <v/>
      </c>
      <c r="HI169" s="62">
        <f>SUMIFS(tblSafety[MTI],tblSafety[Date],$A169)</f>
        <v/>
      </c>
      <c r="HJ169" s="62">
        <f>IF($B169=$B168,$HJ168,0)+$HI169</f>
        <v/>
      </c>
      <c r="HK169" s="62">
        <f>$HK168+$HI169</f>
        <v/>
      </c>
      <c r="HL169" s="62">
        <f>SUMIFS(tblSafety[FAI],tblSafety[Date],$A169)</f>
        <v/>
      </c>
      <c r="HM169" s="62">
        <f>IF($B169=$B168,$HM168,0)+$HL169</f>
        <v/>
      </c>
      <c r="HN169" s="62">
        <f>$HN168+$HL169</f>
        <v/>
      </c>
      <c r="HO169" s="62">
        <f>SUMIFS(tblSafety[Recordables],tblSafety[Date],$A169)</f>
        <v/>
      </c>
      <c r="HP169" s="62">
        <f>IF($B169=$B168,$HP168,0)+$HO169</f>
        <v/>
      </c>
      <c r="HQ169" s="62">
        <f>$HQ168+$HO169</f>
        <v/>
      </c>
      <c r="HR169" s="62">
        <f>SUMIFS(tblSafety[Near_Miss],tblSafety[Date],$A169)</f>
        <v/>
      </c>
      <c r="HS169" s="62">
        <f>IF($B169=$B168,$HS168,0)+$HR169</f>
        <v/>
      </c>
      <c r="HT169" s="62">
        <f>$HT168+$HR169</f>
        <v/>
      </c>
      <c r="HU169" s="62">
        <f>SUMIFS(tblSafety[Hazard_Reports],tblSafety[Date],$A169)</f>
        <v/>
      </c>
      <c r="HV169" s="62">
        <f>IF($B169=$B168,$HV168,0)+$HU169</f>
        <v/>
      </c>
      <c r="HW169" s="62">
        <f>$HW168+$HU169</f>
        <v/>
      </c>
      <c r="HX169" s="62">
        <f>SUMIFS(tblSafety[HPI],tblSafety[Date],$A169)</f>
        <v/>
      </c>
      <c r="HY169" s="62">
        <f>IF($B169=$B168,$HY168,0)+$HX169</f>
        <v/>
      </c>
      <c r="HZ169" s="62">
        <f>$HZ168+$HX169</f>
        <v/>
      </c>
      <c r="IA169" s="62">
        <f>SUMIFS(tblSafety[Env_Incidents],tblSafety[Date],$A169)</f>
        <v/>
      </c>
      <c r="IB169" s="62">
        <f>IF($B169=$B168,$IB168,0)+$IA169</f>
        <v/>
      </c>
      <c r="IC169" s="62">
        <f>$IC168+$IA169</f>
        <v/>
      </c>
      <c r="ID169" s="62">
        <f>SUMIFS(tblSafety[Community_Incidents],tblSafety[Date],$A169)</f>
        <v/>
      </c>
      <c r="IE169" s="62">
        <f>IF($B169=$B168,$IE168,0)+$ID169</f>
        <v/>
      </c>
      <c r="IF169" s="62">
        <f>$IF168+$ID169</f>
        <v/>
      </c>
      <c r="IG169" s="62">
        <f>SUMIFS(tblSafety[Vehicle_Incidents],tblSafety[Date],$A169)</f>
        <v/>
      </c>
      <c r="IH169" s="62">
        <f>IF($B169=$B168,$IH168,0)+$IG169</f>
        <v/>
      </c>
      <c r="II169" s="62">
        <f>$II168+$IG169</f>
        <v/>
      </c>
      <c r="IJ169" s="62">
        <f>SUMIFS(tblSafety[Toolbox_Talks],tblSafety[Date],$A169)</f>
        <v/>
      </c>
      <c r="IK169" s="62">
        <f>IF($B169=$B168,$IK168,0)+$IJ169</f>
        <v/>
      </c>
      <c r="IL169" s="62">
        <f>$IL168+$IJ169</f>
        <v/>
      </c>
      <c r="IM169" s="62">
        <f>SUMIFS(tblSafety[Inspections],tblSafety[Date],$A169)</f>
        <v/>
      </c>
      <c r="IN169" s="62">
        <f>IF($B169=$B168,$IN168,0)+$IM169</f>
        <v/>
      </c>
      <c r="IO169" s="62">
        <f>$IO168+$IM169</f>
        <v/>
      </c>
      <c r="IP169" s="56">
        <f>IFERROR((SUMIFS(tblSafety[Recordables],tblSafety[Date],"&gt;="&amp;EDATE($E169,-12),tblSafety[Date],"&lt;="&amp;$A169)+SUMIFS(tblSafetyHistory[Recordables],tblSafetyHistory[Month],"&gt;="&amp;EDATE($E169,-12),tblSafetyHistory[Month],"&lt;"&amp;$E169,tblSafetyHistory[Use],1))/(SUMIFS(tblSafety[Hours_Total],tblSafety[Date],"&gt;="&amp;EDATE($E169,-12),tblSafety[Date],"&lt;="&amp;$A169)+SUMIFS(tblSafetyHistory[Hours_Total],tblSafetyHistory[Month],"&gt;="&amp;EDATE($E169,-12),tblSafetyHistory[Month],"&lt;"&amp;$E169,tblSafetyHistory[Use],1))*cfg_RateBasisHours,"")</f>
        <v/>
      </c>
      <c r="IQ169" s="56">
        <f>IFERROR((SUMIFS(tblSafety[LTI],tblSafety[Date],"&gt;="&amp;EDATE($E169,-12),tblSafety[Date],"&lt;="&amp;$A169)+SUMIFS(tblSafetyHistory[LTI],tblSafetyHistory[Month],"&gt;="&amp;EDATE($E169,-12),tblSafetyHistory[Month],"&lt;"&amp;$E169,tblSafetyHistory[Use],1))/(SUMIFS(tblSafety[Hours_Total],tblSafety[Date],"&gt;="&amp;EDATE($E169,-12),tblSafety[Date],"&lt;="&amp;$A169)+SUMIFS(tblSafetyHistory[Hours_Total],tblSafetyHistory[Month],"&gt;="&amp;EDATE($E169,-12),tblSafetyHistory[Month],"&lt;"&amp;$E169,tblSafetyHistory[Use],1))*cfg_RateBasisHours,"")</f>
        <v/>
      </c>
      <c r="IR169" s="62">
        <f>IF(MAX(N(cfg_PriorLTIDate),_xlfn.MAXIFS(tblSafety[Date],tblSafety[LTI],"&gt;0",tblSafety[Date],"&lt;="&amp;$A169))=0,"",$A169-MAX(N(cfg_PriorLTIDate),_xlfn.MAXIFS(tblSafety[Date],tblSafety[LTI],"&gt;0",tblSafety[Date],"&lt;="&amp;$A169)))</f>
        <v/>
      </c>
      <c r="IS169" s="55">
        <f>SUMIFS(tblBudget[Ore_Mined_t],tblBudget[Month],$E169)</f>
        <v/>
      </c>
      <c r="IT169" s="55">
        <f>$IS169*$C169/$D169</f>
        <v/>
      </c>
      <c r="IU169" s="55">
        <f>SUMIFS(tblBudget[Ore_Mined_t],tblBudget[Month],"&lt;"&amp;$E169)+$IT169</f>
        <v/>
      </c>
      <c r="IV169" s="55">
        <f>SUMIFS(tblBudget[Ore_oz],tblBudget[Month],$E169)</f>
        <v/>
      </c>
      <c r="IW169" s="55">
        <f>$IV169*$C169/$D169</f>
        <v/>
      </c>
      <c r="IX169" s="55">
        <f>SUMIFS(tblBudget[Ore_oz],tblBudget[Month],"&lt;"&amp;$E169)+$IW169</f>
        <v/>
      </c>
      <c r="IY169" s="55">
        <f>SUMIFS(tblBudget[Ore_Mined_t],tblBudget[Month],$E169)</f>
        <v/>
      </c>
      <c r="IZ169" s="55">
        <f>$IY169*$C169/$D169</f>
        <v/>
      </c>
      <c r="JA169" s="55">
        <f>SUMIFS(tblBudget[Ore_Mined_t],tblBudget[Month],"&lt;"&amp;$E169)+$IZ169</f>
        <v/>
      </c>
      <c r="JB169" s="56">
        <f>IFERROR(IF(($IY169)&gt;0,($IV169*cfg_TroyOz)/($IY169),""),"")</f>
        <v/>
      </c>
      <c r="JC169" s="56">
        <f>IFERROR(IF(($IZ169)&gt;0,($IW169*cfg_TroyOz)/($IZ169),""),"")</f>
        <v/>
      </c>
      <c r="JD169" s="56">
        <f>IFERROR(IF(($JA169)&gt;0,($IX169*cfg_TroyOz)/($JA169),""),"")</f>
        <v/>
      </c>
      <c r="JE169" s="55">
        <f>SUMIFS(tblBudget[Waste_t],tblBudget[Month],$E169)</f>
        <v/>
      </c>
      <c r="JF169" s="55">
        <f>$JE169*$C169/$D169</f>
        <v/>
      </c>
      <c r="JG169" s="55">
        <f>SUMIFS(tblBudget[Waste_t],tblBudget[Month],"&lt;"&amp;$E169)+$JF169</f>
        <v/>
      </c>
      <c r="JH169" s="55">
        <f>SUMIFS(tblBudget[TMM_t],tblBudget[Month],$E169)</f>
        <v/>
      </c>
      <c r="JI169" s="55">
        <f>$JH169*$C169/$D169</f>
        <v/>
      </c>
      <c r="JJ169" s="55">
        <f>SUMIFS(tblBudget[TMM_t],tblBudget[Month],"&lt;"&amp;$E169)+$JI169</f>
        <v/>
      </c>
      <c r="JK169" s="56">
        <f>IFERROR(IF(($IS169)&gt;0,($JE169)/($IS169),""),"")</f>
        <v/>
      </c>
      <c r="JL169" s="56">
        <f>IFERROR(IF(($IT169)&gt;0,($JF169)/($IT169),""),"")</f>
        <v/>
      </c>
      <c r="JM169" s="56">
        <f>IFERROR(IF(($IU169)&gt;0,($JG169)/($IU169),""),"")</f>
        <v/>
      </c>
      <c r="JN169" s="55">
        <f>SUMIFS(tblBudget[Drill_m],tblBudget[Month],$E169)</f>
        <v/>
      </c>
      <c r="JO169" s="55">
        <f>$JN169*$C169/$D169</f>
        <v/>
      </c>
      <c r="JP169" s="55">
        <f>SUMIFS(tblBudget[Drill_m],tblBudget[Month],"&lt;"&amp;$E169)+$JO169</f>
        <v/>
      </c>
      <c r="JQ169" s="55">
        <f>SUMIFS(tblBudget[Diesel_L],tblBudget[Month],$E169)</f>
        <v/>
      </c>
      <c r="JR169" s="55">
        <f>$JQ169*$C169/$D169</f>
        <v/>
      </c>
      <c r="JS169" s="55">
        <f>SUMIFS(tblBudget[Diesel_L],tblBudget[Month],"&lt;"&amp;$E169)+$JR169</f>
        <v/>
      </c>
      <c r="JT169" s="55">
        <f>SUMIFS(tblBudget[Milled_t],tblBudget[Month],$E169)</f>
        <v/>
      </c>
      <c r="JU169" s="55">
        <f>$JT169*$C169/$D169</f>
        <v/>
      </c>
      <c r="JV169" s="55">
        <f>SUMIFS(tblBudget[Milled_t],tblBudget[Month],"&lt;"&amp;$E169)+$JU169</f>
        <v/>
      </c>
      <c r="JW169" s="55">
        <f>SUMIFS(tblBudget[Feed_oz],tblBudget[Month],$E169)</f>
        <v/>
      </c>
      <c r="JX169" s="55">
        <f>$JW169*$C169/$D169</f>
        <v/>
      </c>
      <c r="JY169" s="55">
        <f>SUMIFS(tblBudget[Feed_oz],tblBudget[Month],"&lt;"&amp;$E169)+$JX169</f>
        <v/>
      </c>
      <c r="JZ169" s="55">
        <f>SUMIFS(tblBudget[Recovered_oz],tblBudget[Month],$E169)</f>
        <v/>
      </c>
      <c r="KA169" s="55">
        <f>$JZ169*$C169/$D169</f>
        <v/>
      </c>
      <c r="KB169" s="55">
        <f>SUMIFS(tblBudget[Recovered_oz],tblBudget[Month],"&lt;"&amp;$E169)+$KA169</f>
        <v/>
      </c>
      <c r="KC169" s="55">
        <f>SUMIFS(tblBudget[Milled_t],tblBudget[Month],$E169)</f>
        <v/>
      </c>
      <c r="KD169" s="55">
        <f>$KC169*$C169/$D169</f>
        <v/>
      </c>
      <c r="KE169" s="55">
        <f>SUMIFS(tblBudget[Milled_t],tblBudget[Month],"&lt;"&amp;$E169)+$KD169</f>
        <v/>
      </c>
      <c r="KF169" s="55">
        <f>SUMIFS(tblBudget[Feed_oz],tblBudget[Month],$E169)</f>
        <v/>
      </c>
      <c r="KG169" s="55">
        <f>$KF169*$C169/$D169</f>
        <v/>
      </c>
      <c r="KH169" s="55">
        <f>SUMIFS(tblBudget[Feed_oz],tblBudget[Month],"&lt;"&amp;$E169)+$KG169</f>
        <v/>
      </c>
      <c r="KI169" s="56">
        <f>IFERROR(IF(($KC169)&gt;0,($JW169*cfg_TroyOz)/($KC169),""),"")</f>
        <v/>
      </c>
      <c r="KJ169" s="56">
        <f>IFERROR(IF(($KD169)&gt;0,($JX169*cfg_TroyOz)/($KD169),""),"")</f>
        <v/>
      </c>
      <c r="KK169" s="56">
        <f>IFERROR(IF(($KE169)&gt;0,($JY169*cfg_TroyOz)/($KE169),""),"")</f>
        <v/>
      </c>
      <c r="KL169" s="67">
        <f>IFERROR(IF(($KF169)&gt;0,($JZ169)/($KF169),""),"")</f>
        <v/>
      </c>
      <c r="KM169" s="67">
        <f>IFERROR(IF(($KG169)&gt;0,($KA169)/($KG169),""),"")</f>
        <v/>
      </c>
      <c r="KN169" s="67">
        <f>IFERROR(IF(($KH169)&gt;0,($KB169)/($KH169),""),"")</f>
        <v/>
      </c>
      <c r="KO169" s="55">
        <f>SUMIFS(tblBudget[Gold_Poured_oz],tblBudget[Month],$E169)</f>
        <v/>
      </c>
      <c r="KP169" s="55">
        <f>$KO169*$C169/$D169</f>
        <v/>
      </c>
      <c r="KQ169" s="55">
        <f>SUMIFS(tblBudget[Gold_Poured_oz],tblBudget[Month],"&lt;"&amp;$E169)+$KP169</f>
        <v/>
      </c>
      <c r="KR169" s="57">
        <f>SUMIFS(tblBudget[Hours_Worked],tblBudget[Month],$E169)</f>
        <v/>
      </c>
      <c r="KS169" s="57">
        <f>$KR169*$C169/$D169</f>
        <v/>
      </c>
      <c r="KT169" s="57">
        <f>SUMIFS(tblBudget[Hours_Worked],tblBudget[Month],"&lt;"&amp;$E169)+$KS169</f>
        <v/>
      </c>
    </row>
    <row r="170">
      <c r="A170" s="54" t="n">
        <v>46191</v>
      </c>
      <c r="B170">
        <f>MONTH($A170)</f>
        <v/>
      </c>
      <c r="C170">
        <f>DAY($A170)</f>
        <v/>
      </c>
      <c r="D170">
        <f>DAY(EOMONTH($A170,0))</f>
        <v/>
      </c>
      <c r="E170" s="54">
        <f>DATE(YEAR($A170),MONTH($A170),1)</f>
        <v/>
      </c>
      <c r="F170" s="55">
        <f>SUMIFS(tblMovement[Tonnes_t],tblMovement[Date],$A170,tblMovement[Is_Ore],1,tblMovement[Source_Type],"Pit")</f>
        <v/>
      </c>
      <c r="G170" s="55">
        <f>IF($B170=$B169,$G169,0)+$F170</f>
        <v/>
      </c>
      <c r="H170" s="55">
        <f>$H169+$F170</f>
        <v/>
      </c>
      <c r="I170" s="55">
        <f>SUMIFS(tblMovement[Ore_oz],tblMovement[Date],$A170,tblMovement[Source_Type],"Pit")</f>
        <v/>
      </c>
      <c r="J170" s="55">
        <f>IF($B170=$B169,$J169,0)+$I170</f>
        <v/>
      </c>
      <c r="K170" s="55">
        <f>$K169+$I170</f>
        <v/>
      </c>
      <c r="L170" s="55">
        <f>SUMIFS(tblMovement[Tonnes_t],tblMovement[Date],$A170,tblMovement[Is_Ore],1,tblMovement[Source_Type],"Pit",tblMovement[Grade_gpt],"&lt;&gt;")</f>
        <v/>
      </c>
      <c r="M170" s="55">
        <f>IF($B170=$B169,$M169,0)+$L170</f>
        <v/>
      </c>
      <c r="N170" s="55">
        <f>$N169+$L170</f>
        <v/>
      </c>
      <c r="O170" s="56">
        <f>IFERROR(IF(($L170)&gt;0,($I170*cfg_TroyOz)/($L170),""),"")</f>
        <v/>
      </c>
      <c r="P170" s="56">
        <f>IFERROR(IF(($M170)&gt;0,($J170*cfg_TroyOz)/($M170),""),"")</f>
        <v/>
      </c>
      <c r="Q170" s="56">
        <f>IFERROR(IF(($N170)&gt;0,($K170*cfg_TroyOz)/($N170),""),"")</f>
        <v/>
      </c>
      <c r="R170" s="55">
        <f>$F170-$L170</f>
        <v/>
      </c>
      <c r="S170" s="55">
        <f>IF($B170=$B169,$S169,0)+$R170</f>
        <v/>
      </c>
      <c r="T170" s="55">
        <f>$T169+$R170</f>
        <v/>
      </c>
      <c r="U170" s="55">
        <f>SUMIFS(tblMovement[Tonnes_t],tblMovement[Date],$A170,tblMovement[Is_Ore],0,tblMovement[Source_Type],"Pit")</f>
        <v/>
      </c>
      <c r="V170" s="55">
        <f>IF($B170=$B169,$V169,0)+$U170</f>
        <v/>
      </c>
      <c r="W170" s="55">
        <f>$W169+$U170</f>
        <v/>
      </c>
      <c r="X170" s="55">
        <f>$F170+$U170</f>
        <v/>
      </c>
      <c r="Y170" s="55">
        <f>IF($B170=$B169,$Y169,0)+$X170</f>
        <v/>
      </c>
      <c r="Z170" s="55">
        <f>$Z169+$X170</f>
        <v/>
      </c>
      <c r="AA170" s="56">
        <f>IFERROR(IF(($F170)&gt;0,($U170)/($F170),""),"")</f>
        <v/>
      </c>
      <c r="AB170" s="56">
        <f>IFERROR(IF(($G170)&gt;0,($V170)/($G170),""),"")</f>
        <v/>
      </c>
      <c r="AC170" s="56">
        <f>IFERROR(IF(($H170)&gt;0,($W170)/($H170),""),"")</f>
        <v/>
      </c>
      <c r="AD170" s="55">
        <f>SUMIFS(tblMovement[Tonnes_t],tblMovement[Date],$A170,tblMovement[Source_Type],"Stockpile")</f>
        <v/>
      </c>
      <c r="AE170" s="55">
        <f>IF($B170=$B169,$AE169,0)+$AD170</f>
        <v/>
      </c>
      <c r="AF170" s="55">
        <f>$AF169+$AD170</f>
        <v/>
      </c>
      <c r="AG170" s="55">
        <f>SUMIFS(tblMovement[Tonnes_t],tblMovement[Date],$A170)</f>
        <v/>
      </c>
      <c r="AH170" s="55">
        <f>IF($B170=$B169,$AH169,0)+$AG170</f>
        <v/>
      </c>
      <c r="AI170" s="55">
        <f>$AI169+$AG170</f>
        <v/>
      </c>
      <c r="AJ170" s="55">
        <f>$AG170-$X170-$AD170</f>
        <v/>
      </c>
      <c r="AK170" s="55">
        <f>IF($B170=$B169,$AK169,0)+$AJ170</f>
        <v/>
      </c>
      <c r="AL170" s="55">
        <f>$AL169+$AJ170</f>
        <v/>
      </c>
      <c r="AM170" s="55">
        <f>SUMIFS(tblMiningDaily[Drill_m],tblMiningDaily[Date],$A170)</f>
        <v/>
      </c>
      <c r="AN170" s="55">
        <f>IF($B170=$B169,$AN169,0)+$AM170</f>
        <v/>
      </c>
      <c r="AO170" s="55">
        <f>$AO169+$AM170</f>
        <v/>
      </c>
      <c r="AP170" s="55">
        <f>SUMIFS(tblMiningDaily[GC_Drill_m],tblMiningDaily[Date],$A170)</f>
        <v/>
      </c>
      <c r="AQ170" s="55">
        <f>IF($B170=$B169,$AQ169,0)+$AP170</f>
        <v/>
      </c>
      <c r="AR170" s="55">
        <f>$AR169+$AP170</f>
        <v/>
      </c>
      <c r="AS170" s="55">
        <f>SUMIFS(tblMiningDaily[Blast_t],tblMiningDaily[Date],$A170)</f>
        <v/>
      </c>
      <c r="AT170" s="55">
        <f>IF($B170=$B169,$AT169,0)+$AS170</f>
        <v/>
      </c>
      <c r="AU170" s="55">
        <f>$AU169+$AS170</f>
        <v/>
      </c>
      <c r="AV170" s="55">
        <f>SUMIFS(tblMiningDaily[Explosives_kg],tblMiningDaily[Date],$A170)</f>
        <v/>
      </c>
      <c r="AW170" s="55">
        <f>IF($B170=$B169,$AW169,0)+$AV170</f>
        <v/>
      </c>
      <c r="AX170" s="55">
        <f>$AX169+$AV170</f>
        <v/>
      </c>
      <c r="AY170" s="56">
        <f>IFERROR(IF(($AS170)&gt;0,($AV170)/($AS170),""),"")</f>
        <v/>
      </c>
      <c r="AZ170" s="56">
        <f>IFERROR(IF(($AT170)&gt;0,($AW170)/($AT170),""),"")</f>
        <v/>
      </c>
      <c r="BA170" s="56">
        <f>IFERROR(IF(($AU170)&gt;0,($AX170)/($AU170),""),"")</f>
        <v/>
      </c>
      <c r="BB170" s="55">
        <f>SUMIFS(tblMiningDaily[Diesel_L],tblMiningDaily[Date],$A170)</f>
        <v/>
      </c>
      <c r="BC170" s="55">
        <f>IF($B170=$B169,$BC169,0)+$BB170</f>
        <v/>
      </c>
      <c r="BD170" s="55">
        <f>$BD169+$BB170</f>
        <v/>
      </c>
      <c r="BE170" s="55">
        <f>SUMIFS(tblMiningDaily[Dewatering_m3],tblMiningDaily[Date],$A170)</f>
        <v/>
      </c>
      <c r="BF170" s="55">
        <f>IF($B170=$B169,$BF169,0)+$BE170</f>
        <v/>
      </c>
      <c r="BG170" s="55">
        <f>$BG169+$BE170</f>
        <v/>
      </c>
      <c r="BH170" s="57">
        <f>SUMIFS(tblFleet[Calendar_h],tblFleet[Date],$A170,tblFleet[Equipment_Class],"Excavator")</f>
        <v/>
      </c>
      <c r="BI170" s="57">
        <f>IF($B170=$B169,$BI169,0)+$BH170</f>
        <v/>
      </c>
      <c r="BJ170" s="57">
        <f>$BJ169+$BH170</f>
        <v/>
      </c>
      <c r="BK170" s="57">
        <f>SUMIFS(tblFleet[Available_h],tblFleet[Date],$A170,tblFleet[Equipment_Class],"Excavator")</f>
        <v/>
      </c>
      <c r="BL170" s="57">
        <f>IF($B170=$B169,$BL169,0)+$BK170</f>
        <v/>
      </c>
      <c r="BM170" s="57">
        <f>$BM169+$BK170</f>
        <v/>
      </c>
      <c r="BN170" s="57">
        <f>SUMIFS(tblFleet[Operating_h],tblFleet[Date],$A170,tblFleet[Equipment_Class],"Excavator")</f>
        <v/>
      </c>
      <c r="BO170" s="57">
        <f>IF($B170=$B169,$BO169,0)+$BN170</f>
        <v/>
      </c>
      <c r="BP170" s="57">
        <f>$BP169+$BN170</f>
        <v/>
      </c>
      <c r="BQ170" s="67">
        <f>IFERROR(IF(($BH170)&gt;0,($BK170)/($BH170),""),"")</f>
        <v/>
      </c>
      <c r="BR170" s="67">
        <f>IFERROR(IF(($BI170)&gt;0,($BL170)/($BI170),""),"")</f>
        <v/>
      </c>
      <c r="BS170" s="67">
        <f>IFERROR(IF(($BJ170)&gt;0,($BM170)/($BJ170),""),"")</f>
        <v/>
      </c>
      <c r="BT170" s="67">
        <f>IFERROR(IF(($BK170)&gt;0,($BN170)/($BK170),""),"")</f>
        <v/>
      </c>
      <c r="BU170" s="67">
        <f>IFERROR(IF(($BL170)&gt;0,($BO170)/($BL170),""),"")</f>
        <v/>
      </c>
      <c r="BV170" s="67">
        <f>IFERROR(IF(($BM170)&gt;0,($BP170)/($BM170),""),"")</f>
        <v/>
      </c>
      <c r="BW170" s="57">
        <f>SUMIFS(tblFleet[Calendar_h],tblFleet[Date],$A170,tblFleet[Equipment_Class],"Haul Truck")</f>
        <v/>
      </c>
      <c r="BX170" s="57">
        <f>IF($B170=$B169,$BX169,0)+$BW170</f>
        <v/>
      </c>
      <c r="BY170" s="57">
        <f>$BY169+$BW170</f>
        <v/>
      </c>
      <c r="BZ170" s="57">
        <f>SUMIFS(tblFleet[Available_h],tblFleet[Date],$A170,tblFleet[Equipment_Class],"Haul Truck")</f>
        <v/>
      </c>
      <c r="CA170" s="57">
        <f>IF($B170=$B169,$CA169,0)+$BZ170</f>
        <v/>
      </c>
      <c r="CB170" s="57">
        <f>$CB169+$BZ170</f>
        <v/>
      </c>
      <c r="CC170" s="57">
        <f>SUMIFS(tblFleet[Operating_h],tblFleet[Date],$A170,tblFleet[Equipment_Class],"Haul Truck")</f>
        <v/>
      </c>
      <c r="CD170" s="57">
        <f>IF($B170=$B169,$CD169,0)+$CC170</f>
        <v/>
      </c>
      <c r="CE170" s="57">
        <f>$CE169+$CC170</f>
        <v/>
      </c>
      <c r="CF170" s="67">
        <f>IFERROR(IF(($BW170)&gt;0,($BZ170)/($BW170),""),"")</f>
        <v/>
      </c>
      <c r="CG170" s="67">
        <f>IFERROR(IF(($BX170)&gt;0,($CA170)/($BX170),""),"")</f>
        <v/>
      </c>
      <c r="CH170" s="67">
        <f>IFERROR(IF(($BY170)&gt;0,($CB170)/($BY170),""),"")</f>
        <v/>
      </c>
      <c r="CI170" s="67">
        <f>IFERROR(IF(($BZ170)&gt;0,($CC170)/($BZ170),""),"")</f>
        <v/>
      </c>
      <c r="CJ170" s="67">
        <f>IFERROR(IF(($CA170)&gt;0,($CD170)/($CA170),""),"")</f>
        <v/>
      </c>
      <c r="CK170" s="67">
        <f>IFERROR(IF(($CB170)&gt;0,($CE170)/($CB170),""),"")</f>
        <v/>
      </c>
      <c r="CL170" s="55">
        <f>IFERROR(IF(($BN170)&gt;0,($X170+$AD170)/($BN170),""),"")</f>
        <v/>
      </c>
      <c r="CM170" s="55">
        <f>IFERROR(IF(($BO170)&gt;0,($Y170+$AE170)/($BO170),""),"")</f>
        <v/>
      </c>
      <c r="CN170" s="55">
        <f>IFERROR(IF(($BP170)&gt;0,($Z170+$AF170)/($BP170),""),"")</f>
        <v/>
      </c>
      <c r="CO170" s="55">
        <f>IFERROR(IF(($CC170)&gt;0,($X170+$AD170)/($CC170),""),"")</f>
        <v/>
      </c>
      <c r="CP170" s="55">
        <f>IFERROR(IF(($CD170)&gt;0,($Y170+$AE170)/($CD170),""),"")</f>
        <v/>
      </c>
      <c r="CQ170" s="55">
        <f>IFERROR(IF(($CE170)&gt;0,($Z170+$AF170)/($CE170),""),"")</f>
        <v/>
      </c>
      <c r="CR170" s="55">
        <f>SUMIFS(tblPlant[Crushed_t],tblPlant[Date],$A170)</f>
        <v/>
      </c>
      <c r="CS170" s="55">
        <f>IF($B170=$B169,$CS169,0)+$CR170</f>
        <v/>
      </c>
      <c r="CT170" s="55">
        <f>$CT169+$CR170</f>
        <v/>
      </c>
      <c r="CU170" s="55">
        <f>SUMIFS(tblPlant[Milled_t],tblPlant[Date],$A170)</f>
        <v/>
      </c>
      <c r="CV170" s="55">
        <f>IF($B170=$B169,$CV169,0)+$CU170</f>
        <v/>
      </c>
      <c r="CW170" s="55">
        <f>$CW169+$CU170</f>
        <v/>
      </c>
      <c r="CX170" s="55">
        <f>SUMIFS(tblPlant[Feed_oz],tblPlant[Date],$A170)</f>
        <v/>
      </c>
      <c r="CY170" s="55">
        <f>IF($B170=$B169,$CY169,0)+$CX170</f>
        <v/>
      </c>
      <c r="CZ170" s="55">
        <f>$CZ169+$CX170</f>
        <v/>
      </c>
      <c r="DA170" s="55">
        <f>SUMIFS(tblPlant[Tails_oz],tblPlant[Date],$A170)</f>
        <v/>
      </c>
      <c r="DB170" s="55">
        <f>IF($B170=$B169,$DB169,0)+$DA170</f>
        <v/>
      </c>
      <c r="DC170" s="55">
        <f>$DC169+$DA170</f>
        <v/>
      </c>
      <c r="DD170" s="55">
        <f>SUMIFS(tblPlant[Recovered_oz],tblPlant[Date],$A170)</f>
        <v/>
      </c>
      <c r="DE170" s="55">
        <f>IF($B170=$B169,$DE169,0)+$DD170</f>
        <v/>
      </c>
      <c r="DF170" s="55">
        <f>$DF169+$DD170</f>
        <v/>
      </c>
      <c r="DG170" s="55">
        <f>SUMIFS(tblPlant[Milled_t],tblPlant[Date],$A170,tblPlant[Head_Grade_gpt],"&lt;&gt;")</f>
        <v/>
      </c>
      <c r="DH170" s="55">
        <f>IF($B170=$B169,$DH169,0)+$DG170</f>
        <v/>
      </c>
      <c r="DI170" s="55">
        <f>$DI169+$DG170</f>
        <v/>
      </c>
      <c r="DJ170" s="55">
        <f>SUMIFS(tblPlant[Milled_t],tblPlant[Date],$A170,tblPlant[Tails_Grade_gpt],"&lt;&gt;")</f>
        <v/>
      </c>
      <c r="DK170" s="55">
        <f>IF($B170=$B169,$DK169,0)+$DJ170</f>
        <v/>
      </c>
      <c r="DL170" s="55">
        <f>$DL169+$DJ170</f>
        <v/>
      </c>
      <c r="DM170" s="55">
        <f>SUMIFS(tblPlant[Feed_oz],tblPlant[Date],$A170,tblPlant[Tails_Grade_gpt],"&lt;&gt;")</f>
        <v/>
      </c>
      <c r="DN170" s="55">
        <f>IF($B170=$B169,$DN169,0)+$DM170</f>
        <v/>
      </c>
      <c r="DO170" s="55">
        <f>$DO169+$DM170</f>
        <v/>
      </c>
      <c r="DP170" s="55">
        <f>SUMIFS(tblPlant[Milled_t],tblPlant[Date],$A170,tblPlant[Mill_Run_h],"&lt;&gt;")</f>
        <v/>
      </c>
      <c r="DQ170" s="55">
        <f>IF($B170=$B169,$DQ169,0)+$DP170</f>
        <v/>
      </c>
      <c r="DR170" s="55">
        <f>$DR169+$DP170</f>
        <v/>
      </c>
      <c r="DS170" s="56">
        <f>IFERROR(IF(($DG170)&gt;0,($CX170*cfg_TroyOz)/($DG170),""),"")</f>
        <v/>
      </c>
      <c r="DT170" s="56">
        <f>IFERROR(IF(($DH170)&gt;0,($CY170*cfg_TroyOz)/($DH170),""),"")</f>
        <v/>
      </c>
      <c r="DU170" s="56">
        <f>IFERROR(IF(($DI170)&gt;0,($CZ170*cfg_TroyOz)/($DI170),""),"")</f>
        <v/>
      </c>
      <c r="DV170" s="56">
        <f>IFERROR(IF(($DJ170)&gt;0,($DA170*cfg_TroyOz)/($DJ170),""),"")</f>
        <v/>
      </c>
      <c r="DW170" s="56">
        <f>IFERROR(IF(($DK170)&gt;0,($DB170*cfg_TroyOz)/($DK170),""),"")</f>
        <v/>
      </c>
      <c r="DX170" s="56">
        <f>IFERROR(IF(($DL170)&gt;0,($DC170*cfg_TroyOz)/($DL170),""),"")</f>
        <v/>
      </c>
      <c r="DY170" s="67">
        <f>IFERROR(IF(($DM170)&gt;0,($DD170)/($DM170),""),"")</f>
        <v/>
      </c>
      <c r="DZ170" s="67">
        <f>IFERROR(IF(($DN170)&gt;0,($DE170)/($DN170),""),"")</f>
        <v/>
      </c>
      <c r="EA170" s="67">
        <f>IFERROR(IF(($DO170)&gt;0,($DF170)/($DO170),""),"")</f>
        <v/>
      </c>
      <c r="EB170" s="55">
        <f>SUMIFS(tblPlant[Gravity_Gold_oz],tblPlant[Date],$A170)</f>
        <v/>
      </c>
      <c r="EC170" s="55">
        <f>IF($B170=$B169,$EC169,0)+$EB170</f>
        <v/>
      </c>
      <c r="ED170" s="55">
        <f>$ED169+$EB170</f>
        <v/>
      </c>
      <c r="EE170" s="67">
        <f>IFERROR(IF(($DD170)&gt;0,($EB170)/($DD170),""),"")</f>
        <v/>
      </c>
      <c r="EF170" s="67">
        <f>IFERROR(IF(($DE170)&gt;0,($EC170)/($DE170),""),"")</f>
        <v/>
      </c>
      <c r="EG170" s="67">
        <f>IFERROR(IF(($DF170)&gt;0,($ED170)/($DF170),""),"")</f>
        <v/>
      </c>
      <c r="EH170" s="55">
        <f>SUMIFS(tblPlant[Gold_Poured_oz],tblPlant[Date],$A170)</f>
        <v/>
      </c>
      <c r="EI170" s="55">
        <f>IF($B170=$B169,$EI169,0)+$EH170</f>
        <v/>
      </c>
      <c r="EJ170" s="55">
        <f>$EJ169+$EH170</f>
        <v/>
      </c>
      <c r="EK170" s="57">
        <f>SUMIFS(tblPlant[Mill_Run_h],tblPlant[Date],$A170)</f>
        <v/>
      </c>
      <c r="EL170" s="57">
        <f>IF($B170=$B169,$EL169,0)+$EK170</f>
        <v/>
      </c>
      <c r="EM170" s="57">
        <f>$EM169+$EK170</f>
        <v/>
      </c>
      <c r="EN170" s="57">
        <f>SUMIFS(tblPlant[Mill_Planned_Maint_h],tblPlant[Date],$A170)</f>
        <v/>
      </c>
      <c r="EO170" s="57">
        <f>IF($B170=$B169,$EO169,0)+$EN170</f>
        <v/>
      </c>
      <c r="EP170" s="57">
        <f>$EP169+$EN170</f>
        <v/>
      </c>
      <c r="EQ170" s="57">
        <f>SUMIFS(tblPlant[Mill_Unplanned_Down_h],tblPlant[Date],$A170)</f>
        <v/>
      </c>
      <c r="ER170" s="57">
        <f>IF($B170=$B169,$ER169,0)+$EQ170</f>
        <v/>
      </c>
      <c r="ES170" s="57">
        <f>$ES169+$EQ170</f>
        <v/>
      </c>
      <c r="ET170" s="57">
        <f>IF(COUNTIFS(tblPlant[Date],$A170,tblPlant[Mill_Run_h],"&lt;&gt;")+COUNTIFS(tblPlant[Date],$A170,tblPlant[Mill_Planned_Maint_h],"&lt;&gt;")+COUNTIFS(tblPlant[Date],$A170,tblPlant[Mill_Unplanned_Down_h],"&lt;&gt;")&gt;0,cfg_HoursPerDay,0)</f>
        <v/>
      </c>
      <c r="EU170" s="57">
        <f>IF($B170=$B169,$EU169,0)+$ET170</f>
        <v/>
      </c>
      <c r="EV170" s="57">
        <f>$EV169+$ET170</f>
        <v/>
      </c>
      <c r="EW170" s="57">
        <f>SUMIFS(tblPlant[Crusher_Run_h],tblPlant[Date],$A170)</f>
        <v/>
      </c>
      <c r="EX170" s="57">
        <f>IF($B170=$B169,$EX169,0)+$EW170</f>
        <v/>
      </c>
      <c r="EY170" s="57">
        <f>$EY169+$EW170</f>
        <v/>
      </c>
      <c r="EZ170" s="55">
        <f>IFERROR(IF(($EK170)&gt;0,($DP170)/($EK170),""),"")</f>
        <v/>
      </c>
      <c r="FA170" s="55">
        <f>IFERROR(IF(($EL170)&gt;0,($DQ170)/($EL170),""),"")</f>
        <v/>
      </c>
      <c r="FB170" s="55">
        <f>IFERROR(IF(($EM170)&gt;0,($DR170)/($EM170),""),"")</f>
        <v/>
      </c>
      <c r="FC170" s="67">
        <f>IFERROR(IF(($ET170)&gt;0,($ET170-$EN170-$EQ170)/($ET170),""),"")</f>
        <v/>
      </c>
      <c r="FD170" s="67">
        <f>IFERROR(IF(($EU170)&gt;0,($EU170-$EO170-$ER170)/($EU170),""),"")</f>
        <v/>
      </c>
      <c r="FE170" s="67">
        <f>IFERROR(IF(($EV170)&gt;0,($EV170-$EP170-$ES170)/($EV170),""),"")</f>
        <v/>
      </c>
      <c r="FF170" s="67">
        <f>IFERROR(IF(($ET170-$EN170-$EQ170)&gt;0,($EK170)/($ET170-$EN170-$EQ170),""),"")</f>
        <v/>
      </c>
      <c r="FG170" s="67">
        <f>IFERROR(IF(($EU170-$EO170-$ER170)&gt;0,($EL170)/($EU170-$EO170-$ER170),""),"")</f>
        <v/>
      </c>
      <c r="FH170" s="67">
        <f>IFERROR(IF(($EV170-$EP170-$ES170)&gt;0,($EM170)/($EV170-$EP170-$ES170),""),"")</f>
        <v/>
      </c>
      <c r="FI170" s="55">
        <f>SUMIFS(tblPlant[Cyanide_kg],tblPlant[Date],$A170)</f>
        <v/>
      </c>
      <c r="FJ170" s="55">
        <f>IF($B170=$B169,$FJ169,0)+$FI170</f>
        <v/>
      </c>
      <c r="FK170" s="55">
        <f>$FK169+$FI170</f>
        <v/>
      </c>
      <c r="FL170" s="55">
        <f>SUMIFS(tblPlant[Lime_kg],tblPlant[Date],$A170)</f>
        <v/>
      </c>
      <c r="FM170" s="55">
        <f>IF($B170=$B169,$FM169,0)+$FL170</f>
        <v/>
      </c>
      <c r="FN170" s="55">
        <f>$FN169+$FL170</f>
        <v/>
      </c>
      <c r="FO170" s="55">
        <f>SUMIFS(tblPlant[Grinding_Media_kg],tblPlant[Date],$A170)</f>
        <v/>
      </c>
      <c r="FP170" s="55">
        <f>IF($B170=$B169,$FP169,0)+$FO170</f>
        <v/>
      </c>
      <c r="FQ170" s="55">
        <f>$FQ169+$FO170</f>
        <v/>
      </c>
      <c r="FR170" s="55">
        <f>SUMIFS(tblPlant[Power_kWh],tblPlant[Date],$A170)</f>
        <v/>
      </c>
      <c r="FS170" s="55">
        <f>IF($B170=$B169,$FS169,0)+$FR170</f>
        <v/>
      </c>
      <c r="FT170" s="55">
        <f>$FT169+$FR170</f>
        <v/>
      </c>
      <c r="FU170" s="55">
        <f>SUMIFS(tblPlant[Raw_Water_m3],tblPlant[Date],$A170)</f>
        <v/>
      </c>
      <c r="FV170" s="55">
        <f>IF($B170=$B169,$FV169,0)+$FU170</f>
        <v/>
      </c>
      <c r="FW170" s="55">
        <f>$FW169+$FU170</f>
        <v/>
      </c>
      <c r="FX170" s="56">
        <f>IFERROR(IF(($CU170)&gt;0,($FI170)/($CU170),""),"")</f>
        <v/>
      </c>
      <c r="FY170" s="56">
        <f>IFERROR(IF(($CV170)&gt;0,($FJ170)/($CV170),""),"")</f>
        <v/>
      </c>
      <c r="FZ170" s="56">
        <f>IFERROR(IF(($CW170)&gt;0,($FK170)/($CW170),""),"")</f>
        <v/>
      </c>
      <c r="GA170" s="56">
        <f>IFERROR(IF(($CU170)&gt;0,($FL170)/($CU170),""),"")</f>
        <v/>
      </c>
      <c r="GB170" s="56">
        <f>IFERROR(IF(($CV170)&gt;0,($FM170)/($CV170),""),"")</f>
        <v/>
      </c>
      <c r="GC170" s="56">
        <f>IFERROR(IF(($CW170)&gt;0,($FN170)/($CW170),""),"")</f>
        <v/>
      </c>
      <c r="GD170" s="56">
        <f>IFERROR(IF(($CU170)&gt;0,($FO170)/($CU170),""),"")</f>
        <v/>
      </c>
      <c r="GE170" s="56">
        <f>IFERROR(IF(($CV170)&gt;0,($FP170)/($CV170),""),"")</f>
        <v/>
      </c>
      <c r="GF170" s="56">
        <f>IFERROR(IF(($CW170)&gt;0,($FQ170)/($CW170),""),"")</f>
        <v/>
      </c>
      <c r="GG170" s="79">
        <f>IFERROR(IF(($CU170)&gt;0,($FR170)/($CU170),""),"")</f>
        <v/>
      </c>
      <c r="GH170" s="79">
        <f>IFERROR(IF(($CV170)&gt;0,($FS170)/($CV170),""),"")</f>
        <v/>
      </c>
      <c r="GI170" s="79">
        <f>IFERROR(IF(($CW170)&gt;0,($FT170)/($CW170),""),"")</f>
        <v/>
      </c>
      <c r="GJ170" s="56">
        <f>IFERROR(IF(($CU170)&gt;0,($FU170)/($CU170),""),"")</f>
        <v/>
      </c>
      <c r="GK170" s="56">
        <f>IFERROR(IF(($CV170)&gt;0,($FV170)/($CV170),""),"")</f>
        <v/>
      </c>
      <c r="GL170" s="56">
        <f>IFERROR(IF(($CW170)&gt;0,($FW170)/($CW170),""),"")</f>
        <v/>
      </c>
      <c r="GM170" s="55">
        <f>IF(SUMIFS(tblPlant[GIC_oz],tblPlant[Date],$A170)&gt;0,SUMIFS(tblPlant[GIC_oz],tblPlant[Date],$A170),"")</f>
        <v/>
      </c>
      <c r="GN170" s="55">
        <f>SUMIFS(tblGold[Gold_oz],tblGold[Date],$A170,tblGold[Type],"Shipment")</f>
        <v/>
      </c>
      <c r="GO170" s="55">
        <f>IF($B170=$B169,$GO169,0)+$GN170</f>
        <v/>
      </c>
      <c r="GP170" s="55">
        <f>$GP169+$GN170</f>
        <v/>
      </c>
      <c r="GQ170" s="55">
        <f>SUMIFS(tblGold[Gold_oz],tblGold[Date],$A170,tblGold[Type],"Sale")</f>
        <v/>
      </c>
      <c r="GR170" s="55">
        <f>IF($B170=$B169,$GR169,0)+$GQ170</f>
        <v/>
      </c>
      <c r="GS170" s="55">
        <f>$GS169+$GQ170</f>
        <v/>
      </c>
      <c r="GT170" s="55">
        <f>SUMIFS(tblGold[Dore_kg],tblGold[Date],$A170,tblGold[Type],"Shipment")</f>
        <v/>
      </c>
      <c r="GU170" s="55">
        <f>IF($B170=$B169,$GU169,0)+$GT170</f>
        <v/>
      </c>
      <c r="GV170" s="55">
        <f>$GV169+$GT170</f>
        <v/>
      </c>
      <c r="GW170" s="57">
        <f>SUMIFS(tblSafety[Hours_Total],tblSafety[Date],$A170)</f>
        <v/>
      </c>
      <c r="GX170" s="57">
        <f>IF($B170=$B169,$GX169,0)+$GW170</f>
        <v/>
      </c>
      <c r="GY170" s="57">
        <f>$GY169+$GW170</f>
        <v/>
      </c>
      <c r="GZ170" s="62">
        <f>SUMIFS(tblSafety[Fatality],tblSafety[Date],$A170)</f>
        <v/>
      </c>
      <c r="HA170" s="62">
        <f>IF($B170=$B169,$HA169,0)+$GZ170</f>
        <v/>
      </c>
      <c r="HB170" s="62">
        <f>$HB169+$GZ170</f>
        <v/>
      </c>
      <c r="HC170" s="62">
        <f>SUMIFS(tblSafety[LTI],tblSafety[Date],$A170)</f>
        <v/>
      </c>
      <c r="HD170" s="62">
        <f>IF($B170=$B169,$HD169,0)+$HC170</f>
        <v/>
      </c>
      <c r="HE170" s="62">
        <f>$HE169+$HC170</f>
        <v/>
      </c>
      <c r="HF170" s="62">
        <f>SUMIFS(tblSafety[RWI],tblSafety[Date],$A170)</f>
        <v/>
      </c>
      <c r="HG170" s="62">
        <f>IF($B170=$B169,$HG169,0)+$HF170</f>
        <v/>
      </c>
      <c r="HH170" s="62">
        <f>$HH169+$HF170</f>
        <v/>
      </c>
      <c r="HI170" s="62">
        <f>SUMIFS(tblSafety[MTI],tblSafety[Date],$A170)</f>
        <v/>
      </c>
      <c r="HJ170" s="62">
        <f>IF($B170=$B169,$HJ169,0)+$HI170</f>
        <v/>
      </c>
      <c r="HK170" s="62">
        <f>$HK169+$HI170</f>
        <v/>
      </c>
      <c r="HL170" s="62">
        <f>SUMIFS(tblSafety[FAI],tblSafety[Date],$A170)</f>
        <v/>
      </c>
      <c r="HM170" s="62">
        <f>IF($B170=$B169,$HM169,0)+$HL170</f>
        <v/>
      </c>
      <c r="HN170" s="62">
        <f>$HN169+$HL170</f>
        <v/>
      </c>
      <c r="HO170" s="62">
        <f>SUMIFS(tblSafety[Recordables],tblSafety[Date],$A170)</f>
        <v/>
      </c>
      <c r="HP170" s="62">
        <f>IF($B170=$B169,$HP169,0)+$HO170</f>
        <v/>
      </c>
      <c r="HQ170" s="62">
        <f>$HQ169+$HO170</f>
        <v/>
      </c>
      <c r="HR170" s="62">
        <f>SUMIFS(tblSafety[Near_Miss],tblSafety[Date],$A170)</f>
        <v/>
      </c>
      <c r="HS170" s="62">
        <f>IF($B170=$B169,$HS169,0)+$HR170</f>
        <v/>
      </c>
      <c r="HT170" s="62">
        <f>$HT169+$HR170</f>
        <v/>
      </c>
      <c r="HU170" s="62">
        <f>SUMIFS(tblSafety[Hazard_Reports],tblSafety[Date],$A170)</f>
        <v/>
      </c>
      <c r="HV170" s="62">
        <f>IF($B170=$B169,$HV169,0)+$HU170</f>
        <v/>
      </c>
      <c r="HW170" s="62">
        <f>$HW169+$HU170</f>
        <v/>
      </c>
      <c r="HX170" s="62">
        <f>SUMIFS(tblSafety[HPI],tblSafety[Date],$A170)</f>
        <v/>
      </c>
      <c r="HY170" s="62">
        <f>IF($B170=$B169,$HY169,0)+$HX170</f>
        <v/>
      </c>
      <c r="HZ170" s="62">
        <f>$HZ169+$HX170</f>
        <v/>
      </c>
      <c r="IA170" s="62">
        <f>SUMIFS(tblSafety[Env_Incidents],tblSafety[Date],$A170)</f>
        <v/>
      </c>
      <c r="IB170" s="62">
        <f>IF($B170=$B169,$IB169,0)+$IA170</f>
        <v/>
      </c>
      <c r="IC170" s="62">
        <f>$IC169+$IA170</f>
        <v/>
      </c>
      <c r="ID170" s="62">
        <f>SUMIFS(tblSafety[Community_Incidents],tblSafety[Date],$A170)</f>
        <v/>
      </c>
      <c r="IE170" s="62">
        <f>IF($B170=$B169,$IE169,0)+$ID170</f>
        <v/>
      </c>
      <c r="IF170" s="62">
        <f>$IF169+$ID170</f>
        <v/>
      </c>
      <c r="IG170" s="62">
        <f>SUMIFS(tblSafety[Vehicle_Incidents],tblSafety[Date],$A170)</f>
        <v/>
      </c>
      <c r="IH170" s="62">
        <f>IF($B170=$B169,$IH169,0)+$IG170</f>
        <v/>
      </c>
      <c r="II170" s="62">
        <f>$II169+$IG170</f>
        <v/>
      </c>
      <c r="IJ170" s="62">
        <f>SUMIFS(tblSafety[Toolbox_Talks],tblSafety[Date],$A170)</f>
        <v/>
      </c>
      <c r="IK170" s="62">
        <f>IF($B170=$B169,$IK169,0)+$IJ170</f>
        <v/>
      </c>
      <c r="IL170" s="62">
        <f>$IL169+$IJ170</f>
        <v/>
      </c>
      <c r="IM170" s="62">
        <f>SUMIFS(tblSafety[Inspections],tblSafety[Date],$A170)</f>
        <v/>
      </c>
      <c r="IN170" s="62">
        <f>IF($B170=$B169,$IN169,0)+$IM170</f>
        <v/>
      </c>
      <c r="IO170" s="62">
        <f>$IO169+$IM170</f>
        <v/>
      </c>
      <c r="IP170" s="56">
        <f>IFERROR((SUMIFS(tblSafety[Recordables],tblSafety[Date],"&gt;="&amp;EDATE($E170,-12),tblSafety[Date],"&lt;="&amp;$A170)+SUMIFS(tblSafetyHistory[Recordables],tblSafetyHistory[Month],"&gt;="&amp;EDATE($E170,-12),tblSafetyHistory[Month],"&lt;"&amp;$E170,tblSafetyHistory[Use],1))/(SUMIFS(tblSafety[Hours_Total],tblSafety[Date],"&gt;="&amp;EDATE($E170,-12),tblSafety[Date],"&lt;="&amp;$A170)+SUMIFS(tblSafetyHistory[Hours_Total],tblSafetyHistory[Month],"&gt;="&amp;EDATE($E170,-12),tblSafetyHistory[Month],"&lt;"&amp;$E170,tblSafetyHistory[Use],1))*cfg_RateBasisHours,"")</f>
        <v/>
      </c>
      <c r="IQ170" s="56">
        <f>IFERROR((SUMIFS(tblSafety[LTI],tblSafety[Date],"&gt;="&amp;EDATE($E170,-12),tblSafety[Date],"&lt;="&amp;$A170)+SUMIFS(tblSafetyHistory[LTI],tblSafetyHistory[Month],"&gt;="&amp;EDATE($E170,-12),tblSafetyHistory[Month],"&lt;"&amp;$E170,tblSafetyHistory[Use],1))/(SUMIFS(tblSafety[Hours_Total],tblSafety[Date],"&gt;="&amp;EDATE($E170,-12),tblSafety[Date],"&lt;="&amp;$A170)+SUMIFS(tblSafetyHistory[Hours_Total],tblSafetyHistory[Month],"&gt;="&amp;EDATE($E170,-12),tblSafetyHistory[Month],"&lt;"&amp;$E170,tblSafetyHistory[Use],1))*cfg_RateBasisHours,"")</f>
        <v/>
      </c>
      <c r="IR170" s="62">
        <f>IF(MAX(N(cfg_PriorLTIDate),_xlfn.MAXIFS(tblSafety[Date],tblSafety[LTI],"&gt;0",tblSafety[Date],"&lt;="&amp;$A170))=0,"",$A170-MAX(N(cfg_PriorLTIDate),_xlfn.MAXIFS(tblSafety[Date],tblSafety[LTI],"&gt;0",tblSafety[Date],"&lt;="&amp;$A170)))</f>
        <v/>
      </c>
      <c r="IS170" s="55">
        <f>SUMIFS(tblBudget[Ore_Mined_t],tblBudget[Month],$E170)</f>
        <v/>
      </c>
      <c r="IT170" s="55">
        <f>$IS170*$C170/$D170</f>
        <v/>
      </c>
      <c r="IU170" s="55">
        <f>SUMIFS(tblBudget[Ore_Mined_t],tblBudget[Month],"&lt;"&amp;$E170)+$IT170</f>
        <v/>
      </c>
      <c r="IV170" s="55">
        <f>SUMIFS(tblBudget[Ore_oz],tblBudget[Month],$E170)</f>
        <v/>
      </c>
      <c r="IW170" s="55">
        <f>$IV170*$C170/$D170</f>
        <v/>
      </c>
      <c r="IX170" s="55">
        <f>SUMIFS(tblBudget[Ore_oz],tblBudget[Month],"&lt;"&amp;$E170)+$IW170</f>
        <v/>
      </c>
      <c r="IY170" s="55">
        <f>SUMIFS(tblBudget[Ore_Mined_t],tblBudget[Month],$E170)</f>
        <v/>
      </c>
      <c r="IZ170" s="55">
        <f>$IY170*$C170/$D170</f>
        <v/>
      </c>
      <c r="JA170" s="55">
        <f>SUMIFS(tblBudget[Ore_Mined_t],tblBudget[Month],"&lt;"&amp;$E170)+$IZ170</f>
        <v/>
      </c>
      <c r="JB170" s="56">
        <f>IFERROR(IF(($IY170)&gt;0,($IV170*cfg_TroyOz)/($IY170),""),"")</f>
        <v/>
      </c>
      <c r="JC170" s="56">
        <f>IFERROR(IF(($IZ170)&gt;0,($IW170*cfg_TroyOz)/($IZ170),""),"")</f>
        <v/>
      </c>
      <c r="JD170" s="56">
        <f>IFERROR(IF(($JA170)&gt;0,($IX170*cfg_TroyOz)/($JA170),""),"")</f>
        <v/>
      </c>
      <c r="JE170" s="55">
        <f>SUMIFS(tblBudget[Waste_t],tblBudget[Month],$E170)</f>
        <v/>
      </c>
      <c r="JF170" s="55">
        <f>$JE170*$C170/$D170</f>
        <v/>
      </c>
      <c r="JG170" s="55">
        <f>SUMIFS(tblBudget[Waste_t],tblBudget[Month],"&lt;"&amp;$E170)+$JF170</f>
        <v/>
      </c>
      <c r="JH170" s="55">
        <f>SUMIFS(tblBudget[TMM_t],tblBudget[Month],$E170)</f>
        <v/>
      </c>
      <c r="JI170" s="55">
        <f>$JH170*$C170/$D170</f>
        <v/>
      </c>
      <c r="JJ170" s="55">
        <f>SUMIFS(tblBudget[TMM_t],tblBudget[Month],"&lt;"&amp;$E170)+$JI170</f>
        <v/>
      </c>
      <c r="JK170" s="56">
        <f>IFERROR(IF(($IS170)&gt;0,($JE170)/($IS170),""),"")</f>
        <v/>
      </c>
      <c r="JL170" s="56">
        <f>IFERROR(IF(($IT170)&gt;0,($JF170)/($IT170),""),"")</f>
        <v/>
      </c>
      <c r="JM170" s="56">
        <f>IFERROR(IF(($IU170)&gt;0,($JG170)/($IU170),""),"")</f>
        <v/>
      </c>
      <c r="JN170" s="55">
        <f>SUMIFS(tblBudget[Drill_m],tblBudget[Month],$E170)</f>
        <v/>
      </c>
      <c r="JO170" s="55">
        <f>$JN170*$C170/$D170</f>
        <v/>
      </c>
      <c r="JP170" s="55">
        <f>SUMIFS(tblBudget[Drill_m],tblBudget[Month],"&lt;"&amp;$E170)+$JO170</f>
        <v/>
      </c>
      <c r="JQ170" s="55">
        <f>SUMIFS(tblBudget[Diesel_L],tblBudget[Month],$E170)</f>
        <v/>
      </c>
      <c r="JR170" s="55">
        <f>$JQ170*$C170/$D170</f>
        <v/>
      </c>
      <c r="JS170" s="55">
        <f>SUMIFS(tblBudget[Diesel_L],tblBudget[Month],"&lt;"&amp;$E170)+$JR170</f>
        <v/>
      </c>
      <c r="JT170" s="55">
        <f>SUMIFS(tblBudget[Milled_t],tblBudget[Month],$E170)</f>
        <v/>
      </c>
      <c r="JU170" s="55">
        <f>$JT170*$C170/$D170</f>
        <v/>
      </c>
      <c r="JV170" s="55">
        <f>SUMIFS(tblBudget[Milled_t],tblBudget[Month],"&lt;"&amp;$E170)+$JU170</f>
        <v/>
      </c>
      <c r="JW170" s="55">
        <f>SUMIFS(tblBudget[Feed_oz],tblBudget[Month],$E170)</f>
        <v/>
      </c>
      <c r="JX170" s="55">
        <f>$JW170*$C170/$D170</f>
        <v/>
      </c>
      <c r="JY170" s="55">
        <f>SUMIFS(tblBudget[Feed_oz],tblBudget[Month],"&lt;"&amp;$E170)+$JX170</f>
        <v/>
      </c>
      <c r="JZ170" s="55">
        <f>SUMIFS(tblBudget[Recovered_oz],tblBudget[Month],$E170)</f>
        <v/>
      </c>
      <c r="KA170" s="55">
        <f>$JZ170*$C170/$D170</f>
        <v/>
      </c>
      <c r="KB170" s="55">
        <f>SUMIFS(tblBudget[Recovered_oz],tblBudget[Month],"&lt;"&amp;$E170)+$KA170</f>
        <v/>
      </c>
      <c r="KC170" s="55">
        <f>SUMIFS(tblBudget[Milled_t],tblBudget[Month],$E170)</f>
        <v/>
      </c>
      <c r="KD170" s="55">
        <f>$KC170*$C170/$D170</f>
        <v/>
      </c>
      <c r="KE170" s="55">
        <f>SUMIFS(tblBudget[Milled_t],tblBudget[Month],"&lt;"&amp;$E170)+$KD170</f>
        <v/>
      </c>
      <c r="KF170" s="55">
        <f>SUMIFS(tblBudget[Feed_oz],tblBudget[Month],$E170)</f>
        <v/>
      </c>
      <c r="KG170" s="55">
        <f>$KF170*$C170/$D170</f>
        <v/>
      </c>
      <c r="KH170" s="55">
        <f>SUMIFS(tblBudget[Feed_oz],tblBudget[Month],"&lt;"&amp;$E170)+$KG170</f>
        <v/>
      </c>
      <c r="KI170" s="56">
        <f>IFERROR(IF(($KC170)&gt;0,($JW170*cfg_TroyOz)/($KC170),""),"")</f>
        <v/>
      </c>
      <c r="KJ170" s="56">
        <f>IFERROR(IF(($KD170)&gt;0,($JX170*cfg_TroyOz)/($KD170),""),"")</f>
        <v/>
      </c>
      <c r="KK170" s="56">
        <f>IFERROR(IF(($KE170)&gt;0,($JY170*cfg_TroyOz)/($KE170),""),"")</f>
        <v/>
      </c>
      <c r="KL170" s="67">
        <f>IFERROR(IF(($KF170)&gt;0,($JZ170)/($KF170),""),"")</f>
        <v/>
      </c>
      <c r="KM170" s="67">
        <f>IFERROR(IF(($KG170)&gt;0,($KA170)/($KG170),""),"")</f>
        <v/>
      </c>
      <c r="KN170" s="67">
        <f>IFERROR(IF(($KH170)&gt;0,($KB170)/($KH170),""),"")</f>
        <v/>
      </c>
      <c r="KO170" s="55">
        <f>SUMIFS(tblBudget[Gold_Poured_oz],tblBudget[Month],$E170)</f>
        <v/>
      </c>
      <c r="KP170" s="55">
        <f>$KO170*$C170/$D170</f>
        <v/>
      </c>
      <c r="KQ170" s="55">
        <f>SUMIFS(tblBudget[Gold_Poured_oz],tblBudget[Month],"&lt;"&amp;$E170)+$KP170</f>
        <v/>
      </c>
      <c r="KR170" s="57">
        <f>SUMIFS(tblBudget[Hours_Worked],tblBudget[Month],$E170)</f>
        <v/>
      </c>
      <c r="KS170" s="57">
        <f>$KR170*$C170/$D170</f>
        <v/>
      </c>
      <c r="KT170" s="57">
        <f>SUMIFS(tblBudget[Hours_Worked],tblBudget[Month],"&lt;"&amp;$E170)+$KS170</f>
        <v/>
      </c>
    </row>
    <row r="171">
      <c r="A171" s="54" t="n">
        <v>46192</v>
      </c>
      <c r="B171">
        <f>MONTH($A171)</f>
        <v/>
      </c>
      <c r="C171">
        <f>DAY($A171)</f>
        <v/>
      </c>
      <c r="D171">
        <f>DAY(EOMONTH($A171,0))</f>
        <v/>
      </c>
      <c r="E171" s="54">
        <f>DATE(YEAR($A171),MONTH($A171),1)</f>
        <v/>
      </c>
      <c r="F171" s="55">
        <f>SUMIFS(tblMovement[Tonnes_t],tblMovement[Date],$A171,tblMovement[Is_Ore],1,tblMovement[Source_Type],"Pit")</f>
        <v/>
      </c>
      <c r="G171" s="55">
        <f>IF($B171=$B170,$G170,0)+$F171</f>
        <v/>
      </c>
      <c r="H171" s="55">
        <f>$H170+$F171</f>
        <v/>
      </c>
      <c r="I171" s="55">
        <f>SUMIFS(tblMovement[Ore_oz],tblMovement[Date],$A171,tblMovement[Source_Type],"Pit")</f>
        <v/>
      </c>
      <c r="J171" s="55">
        <f>IF($B171=$B170,$J170,0)+$I171</f>
        <v/>
      </c>
      <c r="K171" s="55">
        <f>$K170+$I171</f>
        <v/>
      </c>
      <c r="L171" s="55">
        <f>SUMIFS(tblMovement[Tonnes_t],tblMovement[Date],$A171,tblMovement[Is_Ore],1,tblMovement[Source_Type],"Pit",tblMovement[Grade_gpt],"&lt;&gt;")</f>
        <v/>
      </c>
      <c r="M171" s="55">
        <f>IF($B171=$B170,$M170,0)+$L171</f>
        <v/>
      </c>
      <c r="N171" s="55">
        <f>$N170+$L171</f>
        <v/>
      </c>
      <c r="O171" s="56">
        <f>IFERROR(IF(($L171)&gt;0,($I171*cfg_TroyOz)/($L171),""),"")</f>
        <v/>
      </c>
      <c r="P171" s="56">
        <f>IFERROR(IF(($M171)&gt;0,($J171*cfg_TroyOz)/($M171),""),"")</f>
        <v/>
      </c>
      <c r="Q171" s="56">
        <f>IFERROR(IF(($N171)&gt;0,($K171*cfg_TroyOz)/($N171),""),"")</f>
        <v/>
      </c>
      <c r="R171" s="55">
        <f>$F171-$L171</f>
        <v/>
      </c>
      <c r="S171" s="55">
        <f>IF($B171=$B170,$S170,0)+$R171</f>
        <v/>
      </c>
      <c r="T171" s="55">
        <f>$T170+$R171</f>
        <v/>
      </c>
      <c r="U171" s="55">
        <f>SUMIFS(tblMovement[Tonnes_t],tblMovement[Date],$A171,tblMovement[Is_Ore],0,tblMovement[Source_Type],"Pit")</f>
        <v/>
      </c>
      <c r="V171" s="55">
        <f>IF($B171=$B170,$V170,0)+$U171</f>
        <v/>
      </c>
      <c r="W171" s="55">
        <f>$W170+$U171</f>
        <v/>
      </c>
      <c r="X171" s="55">
        <f>$F171+$U171</f>
        <v/>
      </c>
      <c r="Y171" s="55">
        <f>IF($B171=$B170,$Y170,0)+$X171</f>
        <v/>
      </c>
      <c r="Z171" s="55">
        <f>$Z170+$X171</f>
        <v/>
      </c>
      <c r="AA171" s="56">
        <f>IFERROR(IF(($F171)&gt;0,($U171)/($F171),""),"")</f>
        <v/>
      </c>
      <c r="AB171" s="56">
        <f>IFERROR(IF(($G171)&gt;0,($V171)/($G171),""),"")</f>
        <v/>
      </c>
      <c r="AC171" s="56">
        <f>IFERROR(IF(($H171)&gt;0,($W171)/($H171),""),"")</f>
        <v/>
      </c>
      <c r="AD171" s="55">
        <f>SUMIFS(tblMovement[Tonnes_t],tblMovement[Date],$A171,tblMovement[Source_Type],"Stockpile")</f>
        <v/>
      </c>
      <c r="AE171" s="55">
        <f>IF($B171=$B170,$AE170,0)+$AD171</f>
        <v/>
      </c>
      <c r="AF171" s="55">
        <f>$AF170+$AD171</f>
        <v/>
      </c>
      <c r="AG171" s="55">
        <f>SUMIFS(tblMovement[Tonnes_t],tblMovement[Date],$A171)</f>
        <v/>
      </c>
      <c r="AH171" s="55">
        <f>IF($B171=$B170,$AH170,0)+$AG171</f>
        <v/>
      </c>
      <c r="AI171" s="55">
        <f>$AI170+$AG171</f>
        <v/>
      </c>
      <c r="AJ171" s="55">
        <f>$AG171-$X171-$AD171</f>
        <v/>
      </c>
      <c r="AK171" s="55">
        <f>IF($B171=$B170,$AK170,0)+$AJ171</f>
        <v/>
      </c>
      <c r="AL171" s="55">
        <f>$AL170+$AJ171</f>
        <v/>
      </c>
      <c r="AM171" s="55">
        <f>SUMIFS(tblMiningDaily[Drill_m],tblMiningDaily[Date],$A171)</f>
        <v/>
      </c>
      <c r="AN171" s="55">
        <f>IF($B171=$B170,$AN170,0)+$AM171</f>
        <v/>
      </c>
      <c r="AO171" s="55">
        <f>$AO170+$AM171</f>
        <v/>
      </c>
      <c r="AP171" s="55">
        <f>SUMIFS(tblMiningDaily[GC_Drill_m],tblMiningDaily[Date],$A171)</f>
        <v/>
      </c>
      <c r="AQ171" s="55">
        <f>IF($B171=$B170,$AQ170,0)+$AP171</f>
        <v/>
      </c>
      <c r="AR171" s="55">
        <f>$AR170+$AP171</f>
        <v/>
      </c>
      <c r="AS171" s="55">
        <f>SUMIFS(tblMiningDaily[Blast_t],tblMiningDaily[Date],$A171)</f>
        <v/>
      </c>
      <c r="AT171" s="55">
        <f>IF($B171=$B170,$AT170,0)+$AS171</f>
        <v/>
      </c>
      <c r="AU171" s="55">
        <f>$AU170+$AS171</f>
        <v/>
      </c>
      <c r="AV171" s="55">
        <f>SUMIFS(tblMiningDaily[Explosives_kg],tblMiningDaily[Date],$A171)</f>
        <v/>
      </c>
      <c r="AW171" s="55">
        <f>IF($B171=$B170,$AW170,0)+$AV171</f>
        <v/>
      </c>
      <c r="AX171" s="55">
        <f>$AX170+$AV171</f>
        <v/>
      </c>
      <c r="AY171" s="56">
        <f>IFERROR(IF(($AS171)&gt;0,($AV171)/($AS171),""),"")</f>
        <v/>
      </c>
      <c r="AZ171" s="56">
        <f>IFERROR(IF(($AT171)&gt;0,($AW171)/($AT171),""),"")</f>
        <v/>
      </c>
      <c r="BA171" s="56">
        <f>IFERROR(IF(($AU171)&gt;0,($AX171)/($AU171),""),"")</f>
        <v/>
      </c>
      <c r="BB171" s="55">
        <f>SUMIFS(tblMiningDaily[Diesel_L],tblMiningDaily[Date],$A171)</f>
        <v/>
      </c>
      <c r="BC171" s="55">
        <f>IF($B171=$B170,$BC170,0)+$BB171</f>
        <v/>
      </c>
      <c r="BD171" s="55">
        <f>$BD170+$BB171</f>
        <v/>
      </c>
      <c r="BE171" s="55">
        <f>SUMIFS(tblMiningDaily[Dewatering_m3],tblMiningDaily[Date],$A171)</f>
        <v/>
      </c>
      <c r="BF171" s="55">
        <f>IF($B171=$B170,$BF170,0)+$BE171</f>
        <v/>
      </c>
      <c r="BG171" s="55">
        <f>$BG170+$BE171</f>
        <v/>
      </c>
      <c r="BH171" s="57">
        <f>SUMIFS(tblFleet[Calendar_h],tblFleet[Date],$A171,tblFleet[Equipment_Class],"Excavator")</f>
        <v/>
      </c>
      <c r="BI171" s="57">
        <f>IF($B171=$B170,$BI170,0)+$BH171</f>
        <v/>
      </c>
      <c r="BJ171" s="57">
        <f>$BJ170+$BH171</f>
        <v/>
      </c>
      <c r="BK171" s="57">
        <f>SUMIFS(tblFleet[Available_h],tblFleet[Date],$A171,tblFleet[Equipment_Class],"Excavator")</f>
        <v/>
      </c>
      <c r="BL171" s="57">
        <f>IF($B171=$B170,$BL170,0)+$BK171</f>
        <v/>
      </c>
      <c r="BM171" s="57">
        <f>$BM170+$BK171</f>
        <v/>
      </c>
      <c r="BN171" s="57">
        <f>SUMIFS(tblFleet[Operating_h],tblFleet[Date],$A171,tblFleet[Equipment_Class],"Excavator")</f>
        <v/>
      </c>
      <c r="BO171" s="57">
        <f>IF($B171=$B170,$BO170,0)+$BN171</f>
        <v/>
      </c>
      <c r="BP171" s="57">
        <f>$BP170+$BN171</f>
        <v/>
      </c>
      <c r="BQ171" s="67">
        <f>IFERROR(IF(($BH171)&gt;0,($BK171)/($BH171),""),"")</f>
        <v/>
      </c>
      <c r="BR171" s="67">
        <f>IFERROR(IF(($BI171)&gt;0,($BL171)/($BI171),""),"")</f>
        <v/>
      </c>
      <c r="BS171" s="67">
        <f>IFERROR(IF(($BJ171)&gt;0,($BM171)/($BJ171),""),"")</f>
        <v/>
      </c>
      <c r="BT171" s="67">
        <f>IFERROR(IF(($BK171)&gt;0,($BN171)/($BK171),""),"")</f>
        <v/>
      </c>
      <c r="BU171" s="67">
        <f>IFERROR(IF(($BL171)&gt;0,($BO171)/($BL171),""),"")</f>
        <v/>
      </c>
      <c r="BV171" s="67">
        <f>IFERROR(IF(($BM171)&gt;0,($BP171)/($BM171),""),"")</f>
        <v/>
      </c>
      <c r="BW171" s="57">
        <f>SUMIFS(tblFleet[Calendar_h],tblFleet[Date],$A171,tblFleet[Equipment_Class],"Haul Truck")</f>
        <v/>
      </c>
      <c r="BX171" s="57">
        <f>IF($B171=$B170,$BX170,0)+$BW171</f>
        <v/>
      </c>
      <c r="BY171" s="57">
        <f>$BY170+$BW171</f>
        <v/>
      </c>
      <c r="BZ171" s="57">
        <f>SUMIFS(tblFleet[Available_h],tblFleet[Date],$A171,tblFleet[Equipment_Class],"Haul Truck")</f>
        <v/>
      </c>
      <c r="CA171" s="57">
        <f>IF($B171=$B170,$CA170,0)+$BZ171</f>
        <v/>
      </c>
      <c r="CB171" s="57">
        <f>$CB170+$BZ171</f>
        <v/>
      </c>
      <c r="CC171" s="57">
        <f>SUMIFS(tblFleet[Operating_h],tblFleet[Date],$A171,tblFleet[Equipment_Class],"Haul Truck")</f>
        <v/>
      </c>
      <c r="CD171" s="57">
        <f>IF($B171=$B170,$CD170,0)+$CC171</f>
        <v/>
      </c>
      <c r="CE171" s="57">
        <f>$CE170+$CC171</f>
        <v/>
      </c>
      <c r="CF171" s="67">
        <f>IFERROR(IF(($BW171)&gt;0,($BZ171)/($BW171),""),"")</f>
        <v/>
      </c>
      <c r="CG171" s="67">
        <f>IFERROR(IF(($BX171)&gt;0,($CA171)/($BX171),""),"")</f>
        <v/>
      </c>
      <c r="CH171" s="67">
        <f>IFERROR(IF(($BY171)&gt;0,($CB171)/($BY171),""),"")</f>
        <v/>
      </c>
      <c r="CI171" s="67">
        <f>IFERROR(IF(($BZ171)&gt;0,($CC171)/($BZ171),""),"")</f>
        <v/>
      </c>
      <c r="CJ171" s="67">
        <f>IFERROR(IF(($CA171)&gt;0,($CD171)/($CA171),""),"")</f>
        <v/>
      </c>
      <c r="CK171" s="67">
        <f>IFERROR(IF(($CB171)&gt;0,($CE171)/($CB171),""),"")</f>
        <v/>
      </c>
      <c r="CL171" s="55">
        <f>IFERROR(IF(($BN171)&gt;0,($X171+$AD171)/($BN171),""),"")</f>
        <v/>
      </c>
      <c r="CM171" s="55">
        <f>IFERROR(IF(($BO171)&gt;0,($Y171+$AE171)/($BO171),""),"")</f>
        <v/>
      </c>
      <c r="CN171" s="55">
        <f>IFERROR(IF(($BP171)&gt;0,($Z171+$AF171)/($BP171),""),"")</f>
        <v/>
      </c>
      <c r="CO171" s="55">
        <f>IFERROR(IF(($CC171)&gt;0,($X171+$AD171)/($CC171),""),"")</f>
        <v/>
      </c>
      <c r="CP171" s="55">
        <f>IFERROR(IF(($CD171)&gt;0,($Y171+$AE171)/($CD171),""),"")</f>
        <v/>
      </c>
      <c r="CQ171" s="55">
        <f>IFERROR(IF(($CE171)&gt;0,($Z171+$AF171)/($CE171),""),"")</f>
        <v/>
      </c>
      <c r="CR171" s="55">
        <f>SUMIFS(tblPlant[Crushed_t],tblPlant[Date],$A171)</f>
        <v/>
      </c>
      <c r="CS171" s="55">
        <f>IF($B171=$B170,$CS170,0)+$CR171</f>
        <v/>
      </c>
      <c r="CT171" s="55">
        <f>$CT170+$CR171</f>
        <v/>
      </c>
      <c r="CU171" s="55">
        <f>SUMIFS(tblPlant[Milled_t],tblPlant[Date],$A171)</f>
        <v/>
      </c>
      <c r="CV171" s="55">
        <f>IF($B171=$B170,$CV170,0)+$CU171</f>
        <v/>
      </c>
      <c r="CW171" s="55">
        <f>$CW170+$CU171</f>
        <v/>
      </c>
      <c r="CX171" s="55">
        <f>SUMIFS(tblPlant[Feed_oz],tblPlant[Date],$A171)</f>
        <v/>
      </c>
      <c r="CY171" s="55">
        <f>IF($B171=$B170,$CY170,0)+$CX171</f>
        <v/>
      </c>
      <c r="CZ171" s="55">
        <f>$CZ170+$CX171</f>
        <v/>
      </c>
      <c r="DA171" s="55">
        <f>SUMIFS(tblPlant[Tails_oz],tblPlant[Date],$A171)</f>
        <v/>
      </c>
      <c r="DB171" s="55">
        <f>IF($B171=$B170,$DB170,0)+$DA171</f>
        <v/>
      </c>
      <c r="DC171" s="55">
        <f>$DC170+$DA171</f>
        <v/>
      </c>
      <c r="DD171" s="55">
        <f>SUMIFS(tblPlant[Recovered_oz],tblPlant[Date],$A171)</f>
        <v/>
      </c>
      <c r="DE171" s="55">
        <f>IF($B171=$B170,$DE170,0)+$DD171</f>
        <v/>
      </c>
      <c r="DF171" s="55">
        <f>$DF170+$DD171</f>
        <v/>
      </c>
      <c r="DG171" s="55">
        <f>SUMIFS(tblPlant[Milled_t],tblPlant[Date],$A171,tblPlant[Head_Grade_gpt],"&lt;&gt;")</f>
        <v/>
      </c>
      <c r="DH171" s="55">
        <f>IF($B171=$B170,$DH170,0)+$DG171</f>
        <v/>
      </c>
      <c r="DI171" s="55">
        <f>$DI170+$DG171</f>
        <v/>
      </c>
      <c r="DJ171" s="55">
        <f>SUMIFS(tblPlant[Milled_t],tblPlant[Date],$A171,tblPlant[Tails_Grade_gpt],"&lt;&gt;")</f>
        <v/>
      </c>
      <c r="DK171" s="55">
        <f>IF($B171=$B170,$DK170,0)+$DJ171</f>
        <v/>
      </c>
      <c r="DL171" s="55">
        <f>$DL170+$DJ171</f>
        <v/>
      </c>
      <c r="DM171" s="55">
        <f>SUMIFS(tblPlant[Feed_oz],tblPlant[Date],$A171,tblPlant[Tails_Grade_gpt],"&lt;&gt;")</f>
        <v/>
      </c>
      <c r="DN171" s="55">
        <f>IF($B171=$B170,$DN170,0)+$DM171</f>
        <v/>
      </c>
      <c r="DO171" s="55">
        <f>$DO170+$DM171</f>
        <v/>
      </c>
      <c r="DP171" s="55">
        <f>SUMIFS(tblPlant[Milled_t],tblPlant[Date],$A171,tblPlant[Mill_Run_h],"&lt;&gt;")</f>
        <v/>
      </c>
      <c r="DQ171" s="55">
        <f>IF($B171=$B170,$DQ170,0)+$DP171</f>
        <v/>
      </c>
      <c r="DR171" s="55">
        <f>$DR170+$DP171</f>
        <v/>
      </c>
      <c r="DS171" s="56">
        <f>IFERROR(IF(($DG171)&gt;0,($CX171*cfg_TroyOz)/($DG171),""),"")</f>
        <v/>
      </c>
      <c r="DT171" s="56">
        <f>IFERROR(IF(($DH171)&gt;0,($CY171*cfg_TroyOz)/($DH171),""),"")</f>
        <v/>
      </c>
      <c r="DU171" s="56">
        <f>IFERROR(IF(($DI171)&gt;0,($CZ171*cfg_TroyOz)/($DI171),""),"")</f>
        <v/>
      </c>
      <c r="DV171" s="56">
        <f>IFERROR(IF(($DJ171)&gt;0,($DA171*cfg_TroyOz)/($DJ171),""),"")</f>
        <v/>
      </c>
      <c r="DW171" s="56">
        <f>IFERROR(IF(($DK171)&gt;0,($DB171*cfg_TroyOz)/($DK171),""),"")</f>
        <v/>
      </c>
      <c r="DX171" s="56">
        <f>IFERROR(IF(($DL171)&gt;0,($DC171*cfg_TroyOz)/($DL171),""),"")</f>
        <v/>
      </c>
      <c r="DY171" s="67">
        <f>IFERROR(IF(($DM171)&gt;0,($DD171)/($DM171),""),"")</f>
        <v/>
      </c>
      <c r="DZ171" s="67">
        <f>IFERROR(IF(($DN171)&gt;0,($DE171)/($DN171),""),"")</f>
        <v/>
      </c>
      <c r="EA171" s="67">
        <f>IFERROR(IF(($DO171)&gt;0,($DF171)/($DO171),""),"")</f>
        <v/>
      </c>
      <c r="EB171" s="55">
        <f>SUMIFS(tblPlant[Gravity_Gold_oz],tblPlant[Date],$A171)</f>
        <v/>
      </c>
      <c r="EC171" s="55">
        <f>IF($B171=$B170,$EC170,0)+$EB171</f>
        <v/>
      </c>
      <c r="ED171" s="55">
        <f>$ED170+$EB171</f>
        <v/>
      </c>
      <c r="EE171" s="67">
        <f>IFERROR(IF(($DD171)&gt;0,($EB171)/($DD171),""),"")</f>
        <v/>
      </c>
      <c r="EF171" s="67">
        <f>IFERROR(IF(($DE171)&gt;0,($EC171)/($DE171),""),"")</f>
        <v/>
      </c>
      <c r="EG171" s="67">
        <f>IFERROR(IF(($DF171)&gt;0,($ED171)/($DF171),""),"")</f>
        <v/>
      </c>
      <c r="EH171" s="55">
        <f>SUMIFS(tblPlant[Gold_Poured_oz],tblPlant[Date],$A171)</f>
        <v/>
      </c>
      <c r="EI171" s="55">
        <f>IF($B171=$B170,$EI170,0)+$EH171</f>
        <v/>
      </c>
      <c r="EJ171" s="55">
        <f>$EJ170+$EH171</f>
        <v/>
      </c>
      <c r="EK171" s="57">
        <f>SUMIFS(tblPlant[Mill_Run_h],tblPlant[Date],$A171)</f>
        <v/>
      </c>
      <c r="EL171" s="57">
        <f>IF($B171=$B170,$EL170,0)+$EK171</f>
        <v/>
      </c>
      <c r="EM171" s="57">
        <f>$EM170+$EK171</f>
        <v/>
      </c>
      <c r="EN171" s="57">
        <f>SUMIFS(tblPlant[Mill_Planned_Maint_h],tblPlant[Date],$A171)</f>
        <v/>
      </c>
      <c r="EO171" s="57">
        <f>IF($B171=$B170,$EO170,0)+$EN171</f>
        <v/>
      </c>
      <c r="EP171" s="57">
        <f>$EP170+$EN171</f>
        <v/>
      </c>
      <c r="EQ171" s="57">
        <f>SUMIFS(tblPlant[Mill_Unplanned_Down_h],tblPlant[Date],$A171)</f>
        <v/>
      </c>
      <c r="ER171" s="57">
        <f>IF($B171=$B170,$ER170,0)+$EQ171</f>
        <v/>
      </c>
      <c r="ES171" s="57">
        <f>$ES170+$EQ171</f>
        <v/>
      </c>
      <c r="ET171" s="57">
        <f>IF(COUNTIFS(tblPlant[Date],$A171,tblPlant[Mill_Run_h],"&lt;&gt;")+COUNTIFS(tblPlant[Date],$A171,tblPlant[Mill_Planned_Maint_h],"&lt;&gt;")+COUNTIFS(tblPlant[Date],$A171,tblPlant[Mill_Unplanned_Down_h],"&lt;&gt;")&gt;0,cfg_HoursPerDay,0)</f>
        <v/>
      </c>
      <c r="EU171" s="57">
        <f>IF($B171=$B170,$EU170,0)+$ET171</f>
        <v/>
      </c>
      <c r="EV171" s="57">
        <f>$EV170+$ET171</f>
        <v/>
      </c>
      <c r="EW171" s="57">
        <f>SUMIFS(tblPlant[Crusher_Run_h],tblPlant[Date],$A171)</f>
        <v/>
      </c>
      <c r="EX171" s="57">
        <f>IF($B171=$B170,$EX170,0)+$EW171</f>
        <v/>
      </c>
      <c r="EY171" s="57">
        <f>$EY170+$EW171</f>
        <v/>
      </c>
      <c r="EZ171" s="55">
        <f>IFERROR(IF(($EK171)&gt;0,($DP171)/($EK171),""),"")</f>
        <v/>
      </c>
      <c r="FA171" s="55">
        <f>IFERROR(IF(($EL171)&gt;0,($DQ171)/($EL171),""),"")</f>
        <v/>
      </c>
      <c r="FB171" s="55">
        <f>IFERROR(IF(($EM171)&gt;0,($DR171)/($EM171),""),"")</f>
        <v/>
      </c>
      <c r="FC171" s="67">
        <f>IFERROR(IF(($ET171)&gt;0,($ET171-$EN171-$EQ171)/($ET171),""),"")</f>
        <v/>
      </c>
      <c r="FD171" s="67">
        <f>IFERROR(IF(($EU171)&gt;0,($EU171-$EO171-$ER171)/($EU171),""),"")</f>
        <v/>
      </c>
      <c r="FE171" s="67">
        <f>IFERROR(IF(($EV171)&gt;0,($EV171-$EP171-$ES171)/($EV171),""),"")</f>
        <v/>
      </c>
      <c r="FF171" s="67">
        <f>IFERROR(IF(($ET171-$EN171-$EQ171)&gt;0,($EK171)/($ET171-$EN171-$EQ171),""),"")</f>
        <v/>
      </c>
      <c r="FG171" s="67">
        <f>IFERROR(IF(($EU171-$EO171-$ER171)&gt;0,($EL171)/($EU171-$EO171-$ER171),""),"")</f>
        <v/>
      </c>
      <c r="FH171" s="67">
        <f>IFERROR(IF(($EV171-$EP171-$ES171)&gt;0,($EM171)/($EV171-$EP171-$ES171),""),"")</f>
        <v/>
      </c>
      <c r="FI171" s="55">
        <f>SUMIFS(tblPlant[Cyanide_kg],tblPlant[Date],$A171)</f>
        <v/>
      </c>
      <c r="FJ171" s="55">
        <f>IF($B171=$B170,$FJ170,0)+$FI171</f>
        <v/>
      </c>
      <c r="FK171" s="55">
        <f>$FK170+$FI171</f>
        <v/>
      </c>
      <c r="FL171" s="55">
        <f>SUMIFS(tblPlant[Lime_kg],tblPlant[Date],$A171)</f>
        <v/>
      </c>
      <c r="FM171" s="55">
        <f>IF($B171=$B170,$FM170,0)+$FL171</f>
        <v/>
      </c>
      <c r="FN171" s="55">
        <f>$FN170+$FL171</f>
        <v/>
      </c>
      <c r="FO171" s="55">
        <f>SUMIFS(tblPlant[Grinding_Media_kg],tblPlant[Date],$A171)</f>
        <v/>
      </c>
      <c r="FP171" s="55">
        <f>IF($B171=$B170,$FP170,0)+$FO171</f>
        <v/>
      </c>
      <c r="FQ171" s="55">
        <f>$FQ170+$FO171</f>
        <v/>
      </c>
      <c r="FR171" s="55">
        <f>SUMIFS(tblPlant[Power_kWh],tblPlant[Date],$A171)</f>
        <v/>
      </c>
      <c r="FS171" s="55">
        <f>IF($B171=$B170,$FS170,0)+$FR171</f>
        <v/>
      </c>
      <c r="FT171" s="55">
        <f>$FT170+$FR171</f>
        <v/>
      </c>
      <c r="FU171" s="55">
        <f>SUMIFS(tblPlant[Raw_Water_m3],tblPlant[Date],$A171)</f>
        <v/>
      </c>
      <c r="FV171" s="55">
        <f>IF($B171=$B170,$FV170,0)+$FU171</f>
        <v/>
      </c>
      <c r="FW171" s="55">
        <f>$FW170+$FU171</f>
        <v/>
      </c>
      <c r="FX171" s="56">
        <f>IFERROR(IF(($CU171)&gt;0,($FI171)/($CU171),""),"")</f>
        <v/>
      </c>
      <c r="FY171" s="56">
        <f>IFERROR(IF(($CV171)&gt;0,($FJ171)/($CV171),""),"")</f>
        <v/>
      </c>
      <c r="FZ171" s="56">
        <f>IFERROR(IF(($CW171)&gt;0,($FK171)/($CW171),""),"")</f>
        <v/>
      </c>
      <c r="GA171" s="56">
        <f>IFERROR(IF(($CU171)&gt;0,($FL171)/($CU171),""),"")</f>
        <v/>
      </c>
      <c r="GB171" s="56">
        <f>IFERROR(IF(($CV171)&gt;0,($FM171)/($CV171),""),"")</f>
        <v/>
      </c>
      <c r="GC171" s="56">
        <f>IFERROR(IF(($CW171)&gt;0,($FN171)/($CW171),""),"")</f>
        <v/>
      </c>
      <c r="GD171" s="56">
        <f>IFERROR(IF(($CU171)&gt;0,($FO171)/($CU171),""),"")</f>
        <v/>
      </c>
      <c r="GE171" s="56">
        <f>IFERROR(IF(($CV171)&gt;0,($FP171)/($CV171),""),"")</f>
        <v/>
      </c>
      <c r="GF171" s="56">
        <f>IFERROR(IF(($CW171)&gt;0,($FQ171)/($CW171),""),"")</f>
        <v/>
      </c>
      <c r="GG171" s="79">
        <f>IFERROR(IF(($CU171)&gt;0,($FR171)/($CU171),""),"")</f>
        <v/>
      </c>
      <c r="GH171" s="79">
        <f>IFERROR(IF(($CV171)&gt;0,($FS171)/($CV171),""),"")</f>
        <v/>
      </c>
      <c r="GI171" s="79">
        <f>IFERROR(IF(($CW171)&gt;0,($FT171)/($CW171),""),"")</f>
        <v/>
      </c>
      <c r="GJ171" s="56">
        <f>IFERROR(IF(($CU171)&gt;0,($FU171)/($CU171),""),"")</f>
        <v/>
      </c>
      <c r="GK171" s="56">
        <f>IFERROR(IF(($CV171)&gt;0,($FV171)/($CV171),""),"")</f>
        <v/>
      </c>
      <c r="GL171" s="56">
        <f>IFERROR(IF(($CW171)&gt;0,($FW171)/($CW171),""),"")</f>
        <v/>
      </c>
      <c r="GM171" s="55">
        <f>IF(SUMIFS(tblPlant[GIC_oz],tblPlant[Date],$A171)&gt;0,SUMIFS(tblPlant[GIC_oz],tblPlant[Date],$A171),"")</f>
        <v/>
      </c>
      <c r="GN171" s="55">
        <f>SUMIFS(tblGold[Gold_oz],tblGold[Date],$A171,tblGold[Type],"Shipment")</f>
        <v/>
      </c>
      <c r="GO171" s="55">
        <f>IF($B171=$B170,$GO170,0)+$GN171</f>
        <v/>
      </c>
      <c r="GP171" s="55">
        <f>$GP170+$GN171</f>
        <v/>
      </c>
      <c r="GQ171" s="55">
        <f>SUMIFS(tblGold[Gold_oz],tblGold[Date],$A171,tblGold[Type],"Sale")</f>
        <v/>
      </c>
      <c r="GR171" s="55">
        <f>IF($B171=$B170,$GR170,0)+$GQ171</f>
        <v/>
      </c>
      <c r="GS171" s="55">
        <f>$GS170+$GQ171</f>
        <v/>
      </c>
      <c r="GT171" s="55">
        <f>SUMIFS(tblGold[Dore_kg],tblGold[Date],$A171,tblGold[Type],"Shipment")</f>
        <v/>
      </c>
      <c r="GU171" s="55">
        <f>IF($B171=$B170,$GU170,0)+$GT171</f>
        <v/>
      </c>
      <c r="GV171" s="55">
        <f>$GV170+$GT171</f>
        <v/>
      </c>
      <c r="GW171" s="57">
        <f>SUMIFS(tblSafety[Hours_Total],tblSafety[Date],$A171)</f>
        <v/>
      </c>
      <c r="GX171" s="57">
        <f>IF($B171=$B170,$GX170,0)+$GW171</f>
        <v/>
      </c>
      <c r="GY171" s="57">
        <f>$GY170+$GW171</f>
        <v/>
      </c>
      <c r="GZ171" s="62">
        <f>SUMIFS(tblSafety[Fatality],tblSafety[Date],$A171)</f>
        <v/>
      </c>
      <c r="HA171" s="62">
        <f>IF($B171=$B170,$HA170,0)+$GZ171</f>
        <v/>
      </c>
      <c r="HB171" s="62">
        <f>$HB170+$GZ171</f>
        <v/>
      </c>
      <c r="HC171" s="62">
        <f>SUMIFS(tblSafety[LTI],tblSafety[Date],$A171)</f>
        <v/>
      </c>
      <c r="HD171" s="62">
        <f>IF($B171=$B170,$HD170,0)+$HC171</f>
        <v/>
      </c>
      <c r="HE171" s="62">
        <f>$HE170+$HC171</f>
        <v/>
      </c>
      <c r="HF171" s="62">
        <f>SUMIFS(tblSafety[RWI],tblSafety[Date],$A171)</f>
        <v/>
      </c>
      <c r="HG171" s="62">
        <f>IF($B171=$B170,$HG170,0)+$HF171</f>
        <v/>
      </c>
      <c r="HH171" s="62">
        <f>$HH170+$HF171</f>
        <v/>
      </c>
      <c r="HI171" s="62">
        <f>SUMIFS(tblSafety[MTI],tblSafety[Date],$A171)</f>
        <v/>
      </c>
      <c r="HJ171" s="62">
        <f>IF($B171=$B170,$HJ170,0)+$HI171</f>
        <v/>
      </c>
      <c r="HK171" s="62">
        <f>$HK170+$HI171</f>
        <v/>
      </c>
      <c r="HL171" s="62">
        <f>SUMIFS(tblSafety[FAI],tblSafety[Date],$A171)</f>
        <v/>
      </c>
      <c r="HM171" s="62">
        <f>IF($B171=$B170,$HM170,0)+$HL171</f>
        <v/>
      </c>
      <c r="HN171" s="62">
        <f>$HN170+$HL171</f>
        <v/>
      </c>
      <c r="HO171" s="62">
        <f>SUMIFS(tblSafety[Recordables],tblSafety[Date],$A171)</f>
        <v/>
      </c>
      <c r="HP171" s="62">
        <f>IF($B171=$B170,$HP170,0)+$HO171</f>
        <v/>
      </c>
      <c r="HQ171" s="62">
        <f>$HQ170+$HO171</f>
        <v/>
      </c>
      <c r="HR171" s="62">
        <f>SUMIFS(tblSafety[Near_Miss],tblSafety[Date],$A171)</f>
        <v/>
      </c>
      <c r="HS171" s="62">
        <f>IF($B171=$B170,$HS170,0)+$HR171</f>
        <v/>
      </c>
      <c r="HT171" s="62">
        <f>$HT170+$HR171</f>
        <v/>
      </c>
      <c r="HU171" s="62">
        <f>SUMIFS(tblSafety[Hazard_Reports],tblSafety[Date],$A171)</f>
        <v/>
      </c>
      <c r="HV171" s="62">
        <f>IF($B171=$B170,$HV170,0)+$HU171</f>
        <v/>
      </c>
      <c r="HW171" s="62">
        <f>$HW170+$HU171</f>
        <v/>
      </c>
      <c r="HX171" s="62">
        <f>SUMIFS(tblSafety[HPI],tblSafety[Date],$A171)</f>
        <v/>
      </c>
      <c r="HY171" s="62">
        <f>IF($B171=$B170,$HY170,0)+$HX171</f>
        <v/>
      </c>
      <c r="HZ171" s="62">
        <f>$HZ170+$HX171</f>
        <v/>
      </c>
      <c r="IA171" s="62">
        <f>SUMIFS(tblSafety[Env_Incidents],tblSafety[Date],$A171)</f>
        <v/>
      </c>
      <c r="IB171" s="62">
        <f>IF($B171=$B170,$IB170,0)+$IA171</f>
        <v/>
      </c>
      <c r="IC171" s="62">
        <f>$IC170+$IA171</f>
        <v/>
      </c>
      <c r="ID171" s="62">
        <f>SUMIFS(tblSafety[Community_Incidents],tblSafety[Date],$A171)</f>
        <v/>
      </c>
      <c r="IE171" s="62">
        <f>IF($B171=$B170,$IE170,0)+$ID171</f>
        <v/>
      </c>
      <c r="IF171" s="62">
        <f>$IF170+$ID171</f>
        <v/>
      </c>
      <c r="IG171" s="62">
        <f>SUMIFS(tblSafety[Vehicle_Incidents],tblSafety[Date],$A171)</f>
        <v/>
      </c>
      <c r="IH171" s="62">
        <f>IF($B171=$B170,$IH170,0)+$IG171</f>
        <v/>
      </c>
      <c r="II171" s="62">
        <f>$II170+$IG171</f>
        <v/>
      </c>
      <c r="IJ171" s="62">
        <f>SUMIFS(tblSafety[Toolbox_Talks],tblSafety[Date],$A171)</f>
        <v/>
      </c>
      <c r="IK171" s="62">
        <f>IF($B171=$B170,$IK170,0)+$IJ171</f>
        <v/>
      </c>
      <c r="IL171" s="62">
        <f>$IL170+$IJ171</f>
        <v/>
      </c>
      <c r="IM171" s="62">
        <f>SUMIFS(tblSafety[Inspections],tblSafety[Date],$A171)</f>
        <v/>
      </c>
      <c r="IN171" s="62">
        <f>IF($B171=$B170,$IN170,0)+$IM171</f>
        <v/>
      </c>
      <c r="IO171" s="62">
        <f>$IO170+$IM171</f>
        <v/>
      </c>
      <c r="IP171" s="56">
        <f>IFERROR((SUMIFS(tblSafety[Recordables],tblSafety[Date],"&gt;="&amp;EDATE($E171,-12),tblSafety[Date],"&lt;="&amp;$A171)+SUMIFS(tblSafetyHistory[Recordables],tblSafetyHistory[Month],"&gt;="&amp;EDATE($E171,-12),tblSafetyHistory[Month],"&lt;"&amp;$E171,tblSafetyHistory[Use],1))/(SUMIFS(tblSafety[Hours_Total],tblSafety[Date],"&gt;="&amp;EDATE($E171,-12),tblSafety[Date],"&lt;="&amp;$A171)+SUMIFS(tblSafetyHistory[Hours_Total],tblSafetyHistory[Month],"&gt;="&amp;EDATE($E171,-12),tblSafetyHistory[Month],"&lt;"&amp;$E171,tblSafetyHistory[Use],1))*cfg_RateBasisHours,"")</f>
        <v/>
      </c>
      <c r="IQ171" s="56">
        <f>IFERROR((SUMIFS(tblSafety[LTI],tblSafety[Date],"&gt;="&amp;EDATE($E171,-12),tblSafety[Date],"&lt;="&amp;$A171)+SUMIFS(tblSafetyHistory[LTI],tblSafetyHistory[Month],"&gt;="&amp;EDATE($E171,-12),tblSafetyHistory[Month],"&lt;"&amp;$E171,tblSafetyHistory[Use],1))/(SUMIFS(tblSafety[Hours_Total],tblSafety[Date],"&gt;="&amp;EDATE($E171,-12),tblSafety[Date],"&lt;="&amp;$A171)+SUMIFS(tblSafetyHistory[Hours_Total],tblSafetyHistory[Month],"&gt;="&amp;EDATE($E171,-12),tblSafetyHistory[Month],"&lt;"&amp;$E171,tblSafetyHistory[Use],1))*cfg_RateBasisHours,"")</f>
        <v/>
      </c>
      <c r="IR171" s="62">
        <f>IF(MAX(N(cfg_PriorLTIDate),_xlfn.MAXIFS(tblSafety[Date],tblSafety[LTI],"&gt;0",tblSafety[Date],"&lt;="&amp;$A171))=0,"",$A171-MAX(N(cfg_PriorLTIDate),_xlfn.MAXIFS(tblSafety[Date],tblSafety[LTI],"&gt;0",tblSafety[Date],"&lt;="&amp;$A171)))</f>
        <v/>
      </c>
      <c r="IS171" s="55">
        <f>SUMIFS(tblBudget[Ore_Mined_t],tblBudget[Month],$E171)</f>
        <v/>
      </c>
      <c r="IT171" s="55">
        <f>$IS171*$C171/$D171</f>
        <v/>
      </c>
      <c r="IU171" s="55">
        <f>SUMIFS(tblBudget[Ore_Mined_t],tblBudget[Month],"&lt;"&amp;$E171)+$IT171</f>
        <v/>
      </c>
      <c r="IV171" s="55">
        <f>SUMIFS(tblBudget[Ore_oz],tblBudget[Month],$E171)</f>
        <v/>
      </c>
      <c r="IW171" s="55">
        <f>$IV171*$C171/$D171</f>
        <v/>
      </c>
      <c r="IX171" s="55">
        <f>SUMIFS(tblBudget[Ore_oz],tblBudget[Month],"&lt;"&amp;$E171)+$IW171</f>
        <v/>
      </c>
      <c r="IY171" s="55">
        <f>SUMIFS(tblBudget[Ore_Mined_t],tblBudget[Month],$E171)</f>
        <v/>
      </c>
      <c r="IZ171" s="55">
        <f>$IY171*$C171/$D171</f>
        <v/>
      </c>
      <c r="JA171" s="55">
        <f>SUMIFS(tblBudget[Ore_Mined_t],tblBudget[Month],"&lt;"&amp;$E171)+$IZ171</f>
        <v/>
      </c>
      <c r="JB171" s="56">
        <f>IFERROR(IF(($IY171)&gt;0,($IV171*cfg_TroyOz)/($IY171),""),"")</f>
        <v/>
      </c>
      <c r="JC171" s="56">
        <f>IFERROR(IF(($IZ171)&gt;0,($IW171*cfg_TroyOz)/($IZ171),""),"")</f>
        <v/>
      </c>
      <c r="JD171" s="56">
        <f>IFERROR(IF(($JA171)&gt;0,($IX171*cfg_TroyOz)/($JA171),""),"")</f>
        <v/>
      </c>
      <c r="JE171" s="55">
        <f>SUMIFS(tblBudget[Waste_t],tblBudget[Month],$E171)</f>
        <v/>
      </c>
      <c r="JF171" s="55">
        <f>$JE171*$C171/$D171</f>
        <v/>
      </c>
      <c r="JG171" s="55">
        <f>SUMIFS(tblBudget[Waste_t],tblBudget[Month],"&lt;"&amp;$E171)+$JF171</f>
        <v/>
      </c>
      <c r="JH171" s="55">
        <f>SUMIFS(tblBudget[TMM_t],tblBudget[Month],$E171)</f>
        <v/>
      </c>
      <c r="JI171" s="55">
        <f>$JH171*$C171/$D171</f>
        <v/>
      </c>
      <c r="JJ171" s="55">
        <f>SUMIFS(tblBudget[TMM_t],tblBudget[Month],"&lt;"&amp;$E171)+$JI171</f>
        <v/>
      </c>
      <c r="JK171" s="56">
        <f>IFERROR(IF(($IS171)&gt;0,($JE171)/($IS171),""),"")</f>
        <v/>
      </c>
      <c r="JL171" s="56">
        <f>IFERROR(IF(($IT171)&gt;0,($JF171)/($IT171),""),"")</f>
        <v/>
      </c>
      <c r="JM171" s="56">
        <f>IFERROR(IF(($IU171)&gt;0,($JG171)/($IU171),""),"")</f>
        <v/>
      </c>
      <c r="JN171" s="55">
        <f>SUMIFS(tblBudget[Drill_m],tblBudget[Month],$E171)</f>
        <v/>
      </c>
      <c r="JO171" s="55">
        <f>$JN171*$C171/$D171</f>
        <v/>
      </c>
      <c r="JP171" s="55">
        <f>SUMIFS(tblBudget[Drill_m],tblBudget[Month],"&lt;"&amp;$E171)+$JO171</f>
        <v/>
      </c>
      <c r="JQ171" s="55">
        <f>SUMIFS(tblBudget[Diesel_L],tblBudget[Month],$E171)</f>
        <v/>
      </c>
      <c r="JR171" s="55">
        <f>$JQ171*$C171/$D171</f>
        <v/>
      </c>
      <c r="JS171" s="55">
        <f>SUMIFS(tblBudget[Diesel_L],tblBudget[Month],"&lt;"&amp;$E171)+$JR171</f>
        <v/>
      </c>
      <c r="JT171" s="55">
        <f>SUMIFS(tblBudget[Milled_t],tblBudget[Month],$E171)</f>
        <v/>
      </c>
      <c r="JU171" s="55">
        <f>$JT171*$C171/$D171</f>
        <v/>
      </c>
      <c r="JV171" s="55">
        <f>SUMIFS(tblBudget[Milled_t],tblBudget[Month],"&lt;"&amp;$E171)+$JU171</f>
        <v/>
      </c>
      <c r="JW171" s="55">
        <f>SUMIFS(tblBudget[Feed_oz],tblBudget[Month],$E171)</f>
        <v/>
      </c>
      <c r="JX171" s="55">
        <f>$JW171*$C171/$D171</f>
        <v/>
      </c>
      <c r="JY171" s="55">
        <f>SUMIFS(tblBudget[Feed_oz],tblBudget[Month],"&lt;"&amp;$E171)+$JX171</f>
        <v/>
      </c>
      <c r="JZ171" s="55">
        <f>SUMIFS(tblBudget[Recovered_oz],tblBudget[Month],$E171)</f>
        <v/>
      </c>
      <c r="KA171" s="55">
        <f>$JZ171*$C171/$D171</f>
        <v/>
      </c>
      <c r="KB171" s="55">
        <f>SUMIFS(tblBudget[Recovered_oz],tblBudget[Month],"&lt;"&amp;$E171)+$KA171</f>
        <v/>
      </c>
      <c r="KC171" s="55">
        <f>SUMIFS(tblBudget[Milled_t],tblBudget[Month],$E171)</f>
        <v/>
      </c>
      <c r="KD171" s="55">
        <f>$KC171*$C171/$D171</f>
        <v/>
      </c>
      <c r="KE171" s="55">
        <f>SUMIFS(tblBudget[Milled_t],tblBudget[Month],"&lt;"&amp;$E171)+$KD171</f>
        <v/>
      </c>
      <c r="KF171" s="55">
        <f>SUMIFS(tblBudget[Feed_oz],tblBudget[Month],$E171)</f>
        <v/>
      </c>
      <c r="KG171" s="55">
        <f>$KF171*$C171/$D171</f>
        <v/>
      </c>
      <c r="KH171" s="55">
        <f>SUMIFS(tblBudget[Feed_oz],tblBudget[Month],"&lt;"&amp;$E171)+$KG171</f>
        <v/>
      </c>
      <c r="KI171" s="56">
        <f>IFERROR(IF(($KC171)&gt;0,($JW171*cfg_TroyOz)/($KC171),""),"")</f>
        <v/>
      </c>
      <c r="KJ171" s="56">
        <f>IFERROR(IF(($KD171)&gt;0,($JX171*cfg_TroyOz)/($KD171),""),"")</f>
        <v/>
      </c>
      <c r="KK171" s="56">
        <f>IFERROR(IF(($KE171)&gt;0,($JY171*cfg_TroyOz)/($KE171),""),"")</f>
        <v/>
      </c>
      <c r="KL171" s="67">
        <f>IFERROR(IF(($KF171)&gt;0,($JZ171)/($KF171),""),"")</f>
        <v/>
      </c>
      <c r="KM171" s="67">
        <f>IFERROR(IF(($KG171)&gt;0,($KA171)/($KG171),""),"")</f>
        <v/>
      </c>
      <c r="KN171" s="67">
        <f>IFERROR(IF(($KH171)&gt;0,($KB171)/($KH171),""),"")</f>
        <v/>
      </c>
      <c r="KO171" s="55">
        <f>SUMIFS(tblBudget[Gold_Poured_oz],tblBudget[Month],$E171)</f>
        <v/>
      </c>
      <c r="KP171" s="55">
        <f>$KO171*$C171/$D171</f>
        <v/>
      </c>
      <c r="KQ171" s="55">
        <f>SUMIFS(tblBudget[Gold_Poured_oz],tblBudget[Month],"&lt;"&amp;$E171)+$KP171</f>
        <v/>
      </c>
      <c r="KR171" s="57">
        <f>SUMIFS(tblBudget[Hours_Worked],tblBudget[Month],$E171)</f>
        <v/>
      </c>
      <c r="KS171" s="57">
        <f>$KR171*$C171/$D171</f>
        <v/>
      </c>
      <c r="KT171" s="57">
        <f>SUMIFS(tblBudget[Hours_Worked],tblBudget[Month],"&lt;"&amp;$E171)+$KS171</f>
        <v/>
      </c>
    </row>
    <row r="172">
      <c r="A172" s="54" t="n">
        <v>46193</v>
      </c>
      <c r="B172">
        <f>MONTH($A172)</f>
        <v/>
      </c>
      <c r="C172">
        <f>DAY($A172)</f>
        <v/>
      </c>
      <c r="D172">
        <f>DAY(EOMONTH($A172,0))</f>
        <v/>
      </c>
      <c r="E172" s="54">
        <f>DATE(YEAR($A172),MONTH($A172),1)</f>
        <v/>
      </c>
      <c r="F172" s="55">
        <f>SUMIFS(tblMovement[Tonnes_t],tblMovement[Date],$A172,tblMovement[Is_Ore],1,tblMovement[Source_Type],"Pit")</f>
        <v/>
      </c>
      <c r="G172" s="55">
        <f>IF($B172=$B171,$G171,0)+$F172</f>
        <v/>
      </c>
      <c r="H172" s="55">
        <f>$H171+$F172</f>
        <v/>
      </c>
      <c r="I172" s="55">
        <f>SUMIFS(tblMovement[Ore_oz],tblMovement[Date],$A172,tblMovement[Source_Type],"Pit")</f>
        <v/>
      </c>
      <c r="J172" s="55">
        <f>IF($B172=$B171,$J171,0)+$I172</f>
        <v/>
      </c>
      <c r="K172" s="55">
        <f>$K171+$I172</f>
        <v/>
      </c>
      <c r="L172" s="55">
        <f>SUMIFS(tblMovement[Tonnes_t],tblMovement[Date],$A172,tblMovement[Is_Ore],1,tblMovement[Source_Type],"Pit",tblMovement[Grade_gpt],"&lt;&gt;")</f>
        <v/>
      </c>
      <c r="M172" s="55">
        <f>IF($B172=$B171,$M171,0)+$L172</f>
        <v/>
      </c>
      <c r="N172" s="55">
        <f>$N171+$L172</f>
        <v/>
      </c>
      <c r="O172" s="56">
        <f>IFERROR(IF(($L172)&gt;0,($I172*cfg_TroyOz)/($L172),""),"")</f>
        <v/>
      </c>
      <c r="P172" s="56">
        <f>IFERROR(IF(($M172)&gt;0,($J172*cfg_TroyOz)/($M172),""),"")</f>
        <v/>
      </c>
      <c r="Q172" s="56">
        <f>IFERROR(IF(($N172)&gt;0,($K172*cfg_TroyOz)/($N172),""),"")</f>
        <v/>
      </c>
      <c r="R172" s="55">
        <f>$F172-$L172</f>
        <v/>
      </c>
      <c r="S172" s="55">
        <f>IF($B172=$B171,$S171,0)+$R172</f>
        <v/>
      </c>
      <c r="T172" s="55">
        <f>$T171+$R172</f>
        <v/>
      </c>
      <c r="U172" s="55">
        <f>SUMIFS(tblMovement[Tonnes_t],tblMovement[Date],$A172,tblMovement[Is_Ore],0,tblMovement[Source_Type],"Pit")</f>
        <v/>
      </c>
      <c r="V172" s="55">
        <f>IF($B172=$B171,$V171,0)+$U172</f>
        <v/>
      </c>
      <c r="W172" s="55">
        <f>$W171+$U172</f>
        <v/>
      </c>
      <c r="X172" s="55">
        <f>$F172+$U172</f>
        <v/>
      </c>
      <c r="Y172" s="55">
        <f>IF($B172=$B171,$Y171,0)+$X172</f>
        <v/>
      </c>
      <c r="Z172" s="55">
        <f>$Z171+$X172</f>
        <v/>
      </c>
      <c r="AA172" s="56">
        <f>IFERROR(IF(($F172)&gt;0,($U172)/($F172),""),"")</f>
        <v/>
      </c>
      <c r="AB172" s="56">
        <f>IFERROR(IF(($G172)&gt;0,($V172)/($G172),""),"")</f>
        <v/>
      </c>
      <c r="AC172" s="56">
        <f>IFERROR(IF(($H172)&gt;0,($W172)/($H172),""),"")</f>
        <v/>
      </c>
      <c r="AD172" s="55">
        <f>SUMIFS(tblMovement[Tonnes_t],tblMovement[Date],$A172,tblMovement[Source_Type],"Stockpile")</f>
        <v/>
      </c>
      <c r="AE172" s="55">
        <f>IF($B172=$B171,$AE171,0)+$AD172</f>
        <v/>
      </c>
      <c r="AF172" s="55">
        <f>$AF171+$AD172</f>
        <v/>
      </c>
      <c r="AG172" s="55">
        <f>SUMIFS(tblMovement[Tonnes_t],tblMovement[Date],$A172)</f>
        <v/>
      </c>
      <c r="AH172" s="55">
        <f>IF($B172=$B171,$AH171,0)+$AG172</f>
        <v/>
      </c>
      <c r="AI172" s="55">
        <f>$AI171+$AG172</f>
        <v/>
      </c>
      <c r="AJ172" s="55">
        <f>$AG172-$X172-$AD172</f>
        <v/>
      </c>
      <c r="AK172" s="55">
        <f>IF($B172=$B171,$AK171,0)+$AJ172</f>
        <v/>
      </c>
      <c r="AL172" s="55">
        <f>$AL171+$AJ172</f>
        <v/>
      </c>
      <c r="AM172" s="55">
        <f>SUMIFS(tblMiningDaily[Drill_m],tblMiningDaily[Date],$A172)</f>
        <v/>
      </c>
      <c r="AN172" s="55">
        <f>IF($B172=$B171,$AN171,0)+$AM172</f>
        <v/>
      </c>
      <c r="AO172" s="55">
        <f>$AO171+$AM172</f>
        <v/>
      </c>
      <c r="AP172" s="55">
        <f>SUMIFS(tblMiningDaily[GC_Drill_m],tblMiningDaily[Date],$A172)</f>
        <v/>
      </c>
      <c r="AQ172" s="55">
        <f>IF($B172=$B171,$AQ171,0)+$AP172</f>
        <v/>
      </c>
      <c r="AR172" s="55">
        <f>$AR171+$AP172</f>
        <v/>
      </c>
      <c r="AS172" s="55">
        <f>SUMIFS(tblMiningDaily[Blast_t],tblMiningDaily[Date],$A172)</f>
        <v/>
      </c>
      <c r="AT172" s="55">
        <f>IF($B172=$B171,$AT171,0)+$AS172</f>
        <v/>
      </c>
      <c r="AU172" s="55">
        <f>$AU171+$AS172</f>
        <v/>
      </c>
      <c r="AV172" s="55">
        <f>SUMIFS(tblMiningDaily[Explosives_kg],tblMiningDaily[Date],$A172)</f>
        <v/>
      </c>
      <c r="AW172" s="55">
        <f>IF($B172=$B171,$AW171,0)+$AV172</f>
        <v/>
      </c>
      <c r="AX172" s="55">
        <f>$AX171+$AV172</f>
        <v/>
      </c>
      <c r="AY172" s="56">
        <f>IFERROR(IF(($AS172)&gt;0,($AV172)/($AS172),""),"")</f>
        <v/>
      </c>
      <c r="AZ172" s="56">
        <f>IFERROR(IF(($AT172)&gt;0,($AW172)/($AT172),""),"")</f>
        <v/>
      </c>
      <c r="BA172" s="56">
        <f>IFERROR(IF(($AU172)&gt;0,($AX172)/($AU172),""),"")</f>
        <v/>
      </c>
      <c r="BB172" s="55">
        <f>SUMIFS(tblMiningDaily[Diesel_L],tblMiningDaily[Date],$A172)</f>
        <v/>
      </c>
      <c r="BC172" s="55">
        <f>IF($B172=$B171,$BC171,0)+$BB172</f>
        <v/>
      </c>
      <c r="BD172" s="55">
        <f>$BD171+$BB172</f>
        <v/>
      </c>
      <c r="BE172" s="55">
        <f>SUMIFS(tblMiningDaily[Dewatering_m3],tblMiningDaily[Date],$A172)</f>
        <v/>
      </c>
      <c r="BF172" s="55">
        <f>IF($B172=$B171,$BF171,0)+$BE172</f>
        <v/>
      </c>
      <c r="BG172" s="55">
        <f>$BG171+$BE172</f>
        <v/>
      </c>
      <c r="BH172" s="57">
        <f>SUMIFS(tblFleet[Calendar_h],tblFleet[Date],$A172,tblFleet[Equipment_Class],"Excavator")</f>
        <v/>
      </c>
      <c r="BI172" s="57">
        <f>IF($B172=$B171,$BI171,0)+$BH172</f>
        <v/>
      </c>
      <c r="BJ172" s="57">
        <f>$BJ171+$BH172</f>
        <v/>
      </c>
      <c r="BK172" s="57">
        <f>SUMIFS(tblFleet[Available_h],tblFleet[Date],$A172,tblFleet[Equipment_Class],"Excavator")</f>
        <v/>
      </c>
      <c r="BL172" s="57">
        <f>IF($B172=$B171,$BL171,0)+$BK172</f>
        <v/>
      </c>
      <c r="BM172" s="57">
        <f>$BM171+$BK172</f>
        <v/>
      </c>
      <c r="BN172" s="57">
        <f>SUMIFS(tblFleet[Operating_h],tblFleet[Date],$A172,tblFleet[Equipment_Class],"Excavator")</f>
        <v/>
      </c>
      <c r="BO172" s="57">
        <f>IF($B172=$B171,$BO171,0)+$BN172</f>
        <v/>
      </c>
      <c r="BP172" s="57">
        <f>$BP171+$BN172</f>
        <v/>
      </c>
      <c r="BQ172" s="67">
        <f>IFERROR(IF(($BH172)&gt;0,($BK172)/($BH172),""),"")</f>
        <v/>
      </c>
      <c r="BR172" s="67">
        <f>IFERROR(IF(($BI172)&gt;0,($BL172)/($BI172),""),"")</f>
        <v/>
      </c>
      <c r="BS172" s="67">
        <f>IFERROR(IF(($BJ172)&gt;0,($BM172)/($BJ172),""),"")</f>
        <v/>
      </c>
      <c r="BT172" s="67">
        <f>IFERROR(IF(($BK172)&gt;0,($BN172)/($BK172),""),"")</f>
        <v/>
      </c>
      <c r="BU172" s="67">
        <f>IFERROR(IF(($BL172)&gt;0,($BO172)/($BL172),""),"")</f>
        <v/>
      </c>
      <c r="BV172" s="67">
        <f>IFERROR(IF(($BM172)&gt;0,($BP172)/($BM172),""),"")</f>
        <v/>
      </c>
      <c r="BW172" s="57">
        <f>SUMIFS(tblFleet[Calendar_h],tblFleet[Date],$A172,tblFleet[Equipment_Class],"Haul Truck")</f>
        <v/>
      </c>
      <c r="BX172" s="57">
        <f>IF($B172=$B171,$BX171,0)+$BW172</f>
        <v/>
      </c>
      <c r="BY172" s="57">
        <f>$BY171+$BW172</f>
        <v/>
      </c>
      <c r="BZ172" s="57">
        <f>SUMIFS(tblFleet[Available_h],tblFleet[Date],$A172,tblFleet[Equipment_Class],"Haul Truck")</f>
        <v/>
      </c>
      <c r="CA172" s="57">
        <f>IF($B172=$B171,$CA171,0)+$BZ172</f>
        <v/>
      </c>
      <c r="CB172" s="57">
        <f>$CB171+$BZ172</f>
        <v/>
      </c>
      <c r="CC172" s="57">
        <f>SUMIFS(tblFleet[Operating_h],tblFleet[Date],$A172,tblFleet[Equipment_Class],"Haul Truck")</f>
        <v/>
      </c>
      <c r="CD172" s="57">
        <f>IF($B172=$B171,$CD171,0)+$CC172</f>
        <v/>
      </c>
      <c r="CE172" s="57">
        <f>$CE171+$CC172</f>
        <v/>
      </c>
      <c r="CF172" s="67">
        <f>IFERROR(IF(($BW172)&gt;0,($BZ172)/($BW172),""),"")</f>
        <v/>
      </c>
      <c r="CG172" s="67">
        <f>IFERROR(IF(($BX172)&gt;0,($CA172)/($BX172),""),"")</f>
        <v/>
      </c>
      <c r="CH172" s="67">
        <f>IFERROR(IF(($BY172)&gt;0,($CB172)/($BY172),""),"")</f>
        <v/>
      </c>
      <c r="CI172" s="67">
        <f>IFERROR(IF(($BZ172)&gt;0,($CC172)/($BZ172),""),"")</f>
        <v/>
      </c>
      <c r="CJ172" s="67">
        <f>IFERROR(IF(($CA172)&gt;0,($CD172)/($CA172),""),"")</f>
        <v/>
      </c>
      <c r="CK172" s="67">
        <f>IFERROR(IF(($CB172)&gt;0,($CE172)/($CB172),""),"")</f>
        <v/>
      </c>
      <c r="CL172" s="55">
        <f>IFERROR(IF(($BN172)&gt;0,($X172+$AD172)/($BN172),""),"")</f>
        <v/>
      </c>
      <c r="CM172" s="55">
        <f>IFERROR(IF(($BO172)&gt;0,($Y172+$AE172)/($BO172),""),"")</f>
        <v/>
      </c>
      <c r="CN172" s="55">
        <f>IFERROR(IF(($BP172)&gt;0,($Z172+$AF172)/($BP172),""),"")</f>
        <v/>
      </c>
      <c r="CO172" s="55">
        <f>IFERROR(IF(($CC172)&gt;0,($X172+$AD172)/($CC172),""),"")</f>
        <v/>
      </c>
      <c r="CP172" s="55">
        <f>IFERROR(IF(($CD172)&gt;0,($Y172+$AE172)/($CD172),""),"")</f>
        <v/>
      </c>
      <c r="CQ172" s="55">
        <f>IFERROR(IF(($CE172)&gt;0,($Z172+$AF172)/($CE172),""),"")</f>
        <v/>
      </c>
      <c r="CR172" s="55">
        <f>SUMIFS(tblPlant[Crushed_t],tblPlant[Date],$A172)</f>
        <v/>
      </c>
      <c r="CS172" s="55">
        <f>IF($B172=$B171,$CS171,0)+$CR172</f>
        <v/>
      </c>
      <c r="CT172" s="55">
        <f>$CT171+$CR172</f>
        <v/>
      </c>
      <c r="CU172" s="55">
        <f>SUMIFS(tblPlant[Milled_t],tblPlant[Date],$A172)</f>
        <v/>
      </c>
      <c r="CV172" s="55">
        <f>IF($B172=$B171,$CV171,0)+$CU172</f>
        <v/>
      </c>
      <c r="CW172" s="55">
        <f>$CW171+$CU172</f>
        <v/>
      </c>
      <c r="CX172" s="55">
        <f>SUMIFS(tblPlant[Feed_oz],tblPlant[Date],$A172)</f>
        <v/>
      </c>
      <c r="CY172" s="55">
        <f>IF($B172=$B171,$CY171,0)+$CX172</f>
        <v/>
      </c>
      <c r="CZ172" s="55">
        <f>$CZ171+$CX172</f>
        <v/>
      </c>
      <c r="DA172" s="55">
        <f>SUMIFS(tblPlant[Tails_oz],tblPlant[Date],$A172)</f>
        <v/>
      </c>
      <c r="DB172" s="55">
        <f>IF($B172=$B171,$DB171,0)+$DA172</f>
        <v/>
      </c>
      <c r="DC172" s="55">
        <f>$DC171+$DA172</f>
        <v/>
      </c>
      <c r="DD172" s="55">
        <f>SUMIFS(tblPlant[Recovered_oz],tblPlant[Date],$A172)</f>
        <v/>
      </c>
      <c r="DE172" s="55">
        <f>IF($B172=$B171,$DE171,0)+$DD172</f>
        <v/>
      </c>
      <c r="DF172" s="55">
        <f>$DF171+$DD172</f>
        <v/>
      </c>
      <c r="DG172" s="55">
        <f>SUMIFS(tblPlant[Milled_t],tblPlant[Date],$A172,tblPlant[Head_Grade_gpt],"&lt;&gt;")</f>
        <v/>
      </c>
      <c r="DH172" s="55">
        <f>IF($B172=$B171,$DH171,0)+$DG172</f>
        <v/>
      </c>
      <c r="DI172" s="55">
        <f>$DI171+$DG172</f>
        <v/>
      </c>
      <c r="DJ172" s="55">
        <f>SUMIFS(tblPlant[Milled_t],tblPlant[Date],$A172,tblPlant[Tails_Grade_gpt],"&lt;&gt;")</f>
        <v/>
      </c>
      <c r="DK172" s="55">
        <f>IF($B172=$B171,$DK171,0)+$DJ172</f>
        <v/>
      </c>
      <c r="DL172" s="55">
        <f>$DL171+$DJ172</f>
        <v/>
      </c>
      <c r="DM172" s="55">
        <f>SUMIFS(tblPlant[Feed_oz],tblPlant[Date],$A172,tblPlant[Tails_Grade_gpt],"&lt;&gt;")</f>
        <v/>
      </c>
      <c r="DN172" s="55">
        <f>IF($B172=$B171,$DN171,0)+$DM172</f>
        <v/>
      </c>
      <c r="DO172" s="55">
        <f>$DO171+$DM172</f>
        <v/>
      </c>
      <c r="DP172" s="55">
        <f>SUMIFS(tblPlant[Milled_t],tblPlant[Date],$A172,tblPlant[Mill_Run_h],"&lt;&gt;")</f>
        <v/>
      </c>
      <c r="DQ172" s="55">
        <f>IF($B172=$B171,$DQ171,0)+$DP172</f>
        <v/>
      </c>
      <c r="DR172" s="55">
        <f>$DR171+$DP172</f>
        <v/>
      </c>
      <c r="DS172" s="56">
        <f>IFERROR(IF(($DG172)&gt;0,($CX172*cfg_TroyOz)/($DG172),""),"")</f>
        <v/>
      </c>
      <c r="DT172" s="56">
        <f>IFERROR(IF(($DH172)&gt;0,($CY172*cfg_TroyOz)/($DH172),""),"")</f>
        <v/>
      </c>
      <c r="DU172" s="56">
        <f>IFERROR(IF(($DI172)&gt;0,($CZ172*cfg_TroyOz)/($DI172),""),"")</f>
        <v/>
      </c>
      <c r="DV172" s="56">
        <f>IFERROR(IF(($DJ172)&gt;0,($DA172*cfg_TroyOz)/($DJ172),""),"")</f>
        <v/>
      </c>
      <c r="DW172" s="56">
        <f>IFERROR(IF(($DK172)&gt;0,($DB172*cfg_TroyOz)/($DK172),""),"")</f>
        <v/>
      </c>
      <c r="DX172" s="56">
        <f>IFERROR(IF(($DL172)&gt;0,($DC172*cfg_TroyOz)/($DL172),""),"")</f>
        <v/>
      </c>
      <c r="DY172" s="67">
        <f>IFERROR(IF(($DM172)&gt;0,($DD172)/($DM172),""),"")</f>
        <v/>
      </c>
      <c r="DZ172" s="67">
        <f>IFERROR(IF(($DN172)&gt;0,($DE172)/($DN172),""),"")</f>
        <v/>
      </c>
      <c r="EA172" s="67">
        <f>IFERROR(IF(($DO172)&gt;0,($DF172)/($DO172),""),"")</f>
        <v/>
      </c>
      <c r="EB172" s="55">
        <f>SUMIFS(tblPlant[Gravity_Gold_oz],tblPlant[Date],$A172)</f>
        <v/>
      </c>
      <c r="EC172" s="55">
        <f>IF($B172=$B171,$EC171,0)+$EB172</f>
        <v/>
      </c>
      <c r="ED172" s="55">
        <f>$ED171+$EB172</f>
        <v/>
      </c>
      <c r="EE172" s="67">
        <f>IFERROR(IF(($DD172)&gt;0,($EB172)/($DD172),""),"")</f>
        <v/>
      </c>
      <c r="EF172" s="67">
        <f>IFERROR(IF(($DE172)&gt;0,($EC172)/($DE172),""),"")</f>
        <v/>
      </c>
      <c r="EG172" s="67">
        <f>IFERROR(IF(($DF172)&gt;0,($ED172)/($DF172),""),"")</f>
        <v/>
      </c>
      <c r="EH172" s="55">
        <f>SUMIFS(tblPlant[Gold_Poured_oz],tblPlant[Date],$A172)</f>
        <v/>
      </c>
      <c r="EI172" s="55">
        <f>IF($B172=$B171,$EI171,0)+$EH172</f>
        <v/>
      </c>
      <c r="EJ172" s="55">
        <f>$EJ171+$EH172</f>
        <v/>
      </c>
      <c r="EK172" s="57">
        <f>SUMIFS(tblPlant[Mill_Run_h],tblPlant[Date],$A172)</f>
        <v/>
      </c>
      <c r="EL172" s="57">
        <f>IF($B172=$B171,$EL171,0)+$EK172</f>
        <v/>
      </c>
      <c r="EM172" s="57">
        <f>$EM171+$EK172</f>
        <v/>
      </c>
      <c r="EN172" s="57">
        <f>SUMIFS(tblPlant[Mill_Planned_Maint_h],tblPlant[Date],$A172)</f>
        <v/>
      </c>
      <c r="EO172" s="57">
        <f>IF($B172=$B171,$EO171,0)+$EN172</f>
        <v/>
      </c>
      <c r="EP172" s="57">
        <f>$EP171+$EN172</f>
        <v/>
      </c>
      <c r="EQ172" s="57">
        <f>SUMIFS(tblPlant[Mill_Unplanned_Down_h],tblPlant[Date],$A172)</f>
        <v/>
      </c>
      <c r="ER172" s="57">
        <f>IF($B172=$B171,$ER171,0)+$EQ172</f>
        <v/>
      </c>
      <c r="ES172" s="57">
        <f>$ES171+$EQ172</f>
        <v/>
      </c>
      <c r="ET172" s="57">
        <f>IF(COUNTIFS(tblPlant[Date],$A172,tblPlant[Mill_Run_h],"&lt;&gt;")+COUNTIFS(tblPlant[Date],$A172,tblPlant[Mill_Planned_Maint_h],"&lt;&gt;")+COUNTIFS(tblPlant[Date],$A172,tblPlant[Mill_Unplanned_Down_h],"&lt;&gt;")&gt;0,cfg_HoursPerDay,0)</f>
        <v/>
      </c>
      <c r="EU172" s="57">
        <f>IF($B172=$B171,$EU171,0)+$ET172</f>
        <v/>
      </c>
      <c r="EV172" s="57">
        <f>$EV171+$ET172</f>
        <v/>
      </c>
      <c r="EW172" s="57">
        <f>SUMIFS(tblPlant[Crusher_Run_h],tblPlant[Date],$A172)</f>
        <v/>
      </c>
      <c r="EX172" s="57">
        <f>IF($B172=$B171,$EX171,0)+$EW172</f>
        <v/>
      </c>
      <c r="EY172" s="57">
        <f>$EY171+$EW172</f>
        <v/>
      </c>
      <c r="EZ172" s="55">
        <f>IFERROR(IF(($EK172)&gt;0,($DP172)/($EK172),""),"")</f>
        <v/>
      </c>
      <c r="FA172" s="55">
        <f>IFERROR(IF(($EL172)&gt;0,($DQ172)/($EL172),""),"")</f>
        <v/>
      </c>
      <c r="FB172" s="55">
        <f>IFERROR(IF(($EM172)&gt;0,($DR172)/($EM172),""),"")</f>
        <v/>
      </c>
      <c r="FC172" s="67">
        <f>IFERROR(IF(($ET172)&gt;0,($ET172-$EN172-$EQ172)/($ET172),""),"")</f>
        <v/>
      </c>
      <c r="FD172" s="67">
        <f>IFERROR(IF(($EU172)&gt;0,($EU172-$EO172-$ER172)/($EU172),""),"")</f>
        <v/>
      </c>
      <c r="FE172" s="67">
        <f>IFERROR(IF(($EV172)&gt;0,($EV172-$EP172-$ES172)/($EV172),""),"")</f>
        <v/>
      </c>
      <c r="FF172" s="67">
        <f>IFERROR(IF(($ET172-$EN172-$EQ172)&gt;0,($EK172)/($ET172-$EN172-$EQ172),""),"")</f>
        <v/>
      </c>
      <c r="FG172" s="67">
        <f>IFERROR(IF(($EU172-$EO172-$ER172)&gt;0,($EL172)/($EU172-$EO172-$ER172),""),"")</f>
        <v/>
      </c>
      <c r="FH172" s="67">
        <f>IFERROR(IF(($EV172-$EP172-$ES172)&gt;0,($EM172)/($EV172-$EP172-$ES172),""),"")</f>
        <v/>
      </c>
      <c r="FI172" s="55">
        <f>SUMIFS(tblPlant[Cyanide_kg],tblPlant[Date],$A172)</f>
        <v/>
      </c>
      <c r="FJ172" s="55">
        <f>IF($B172=$B171,$FJ171,0)+$FI172</f>
        <v/>
      </c>
      <c r="FK172" s="55">
        <f>$FK171+$FI172</f>
        <v/>
      </c>
      <c r="FL172" s="55">
        <f>SUMIFS(tblPlant[Lime_kg],tblPlant[Date],$A172)</f>
        <v/>
      </c>
      <c r="FM172" s="55">
        <f>IF($B172=$B171,$FM171,0)+$FL172</f>
        <v/>
      </c>
      <c r="FN172" s="55">
        <f>$FN171+$FL172</f>
        <v/>
      </c>
      <c r="FO172" s="55">
        <f>SUMIFS(tblPlant[Grinding_Media_kg],tblPlant[Date],$A172)</f>
        <v/>
      </c>
      <c r="FP172" s="55">
        <f>IF($B172=$B171,$FP171,0)+$FO172</f>
        <v/>
      </c>
      <c r="FQ172" s="55">
        <f>$FQ171+$FO172</f>
        <v/>
      </c>
      <c r="FR172" s="55">
        <f>SUMIFS(tblPlant[Power_kWh],tblPlant[Date],$A172)</f>
        <v/>
      </c>
      <c r="FS172" s="55">
        <f>IF($B172=$B171,$FS171,0)+$FR172</f>
        <v/>
      </c>
      <c r="FT172" s="55">
        <f>$FT171+$FR172</f>
        <v/>
      </c>
      <c r="FU172" s="55">
        <f>SUMIFS(tblPlant[Raw_Water_m3],tblPlant[Date],$A172)</f>
        <v/>
      </c>
      <c r="FV172" s="55">
        <f>IF($B172=$B171,$FV171,0)+$FU172</f>
        <v/>
      </c>
      <c r="FW172" s="55">
        <f>$FW171+$FU172</f>
        <v/>
      </c>
      <c r="FX172" s="56">
        <f>IFERROR(IF(($CU172)&gt;0,($FI172)/($CU172),""),"")</f>
        <v/>
      </c>
      <c r="FY172" s="56">
        <f>IFERROR(IF(($CV172)&gt;0,($FJ172)/($CV172),""),"")</f>
        <v/>
      </c>
      <c r="FZ172" s="56">
        <f>IFERROR(IF(($CW172)&gt;0,($FK172)/($CW172),""),"")</f>
        <v/>
      </c>
      <c r="GA172" s="56">
        <f>IFERROR(IF(($CU172)&gt;0,($FL172)/($CU172),""),"")</f>
        <v/>
      </c>
      <c r="GB172" s="56">
        <f>IFERROR(IF(($CV172)&gt;0,($FM172)/($CV172),""),"")</f>
        <v/>
      </c>
      <c r="GC172" s="56">
        <f>IFERROR(IF(($CW172)&gt;0,($FN172)/($CW172),""),"")</f>
        <v/>
      </c>
      <c r="GD172" s="56">
        <f>IFERROR(IF(($CU172)&gt;0,($FO172)/($CU172),""),"")</f>
        <v/>
      </c>
      <c r="GE172" s="56">
        <f>IFERROR(IF(($CV172)&gt;0,($FP172)/($CV172),""),"")</f>
        <v/>
      </c>
      <c r="GF172" s="56">
        <f>IFERROR(IF(($CW172)&gt;0,($FQ172)/($CW172),""),"")</f>
        <v/>
      </c>
      <c r="GG172" s="79">
        <f>IFERROR(IF(($CU172)&gt;0,($FR172)/($CU172),""),"")</f>
        <v/>
      </c>
      <c r="GH172" s="79">
        <f>IFERROR(IF(($CV172)&gt;0,($FS172)/($CV172),""),"")</f>
        <v/>
      </c>
      <c r="GI172" s="79">
        <f>IFERROR(IF(($CW172)&gt;0,($FT172)/($CW172),""),"")</f>
        <v/>
      </c>
      <c r="GJ172" s="56">
        <f>IFERROR(IF(($CU172)&gt;0,($FU172)/($CU172),""),"")</f>
        <v/>
      </c>
      <c r="GK172" s="56">
        <f>IFERROR(IF(($CV172)&gt;0,($FV172)/($CV172),""),"")</f>
        <v/>
      </c>
      <c r="GL172" s="56">
        <f>IFERROR(IF(($CW172)&gt;0,($FW172)/($CW172),""),"")</f>
        <v/>
      </c>
      <c r="GM172" s="55">
        <f>IF(SUMIFS(tblPlant[GIC_oz],tblPlant[Date],$A172)&gt;0,SUMIFS(tblPlant[GIC_oz],tblPlant[Date],$A172),"")</f>
        <v/>
      </c>
      <c r="GN172" s="55">
        <f>SUMIFS(tblGold[Gold_oz],tblGold[Date],$A172,tblGold[Type],"Shipment")</f>
        <v/>
      </c>
      <c r="GO172" s="55">
        <f>IF($B172=$B171,$GO171,0)+$GN172</f>
        <v/>
      </c>
      <c r="GP172" s="55">
        <f>$GP171+$GN172</f>
        <v/>
      </c>
      <c r="GQ172" s="55">
        <f>SUMIFS(tblGold[Gold_oz],tblGold[Date],$A172,tblGold[Type],"Sale")</f>
        <v/>
      </c>
      <c r="GR172" s="55">
        <f>IF($B172=$B171,$GR171,0)+$GQ172</f>
        <v/>
      </c>
      <c r="GS172" s="55">
        <f>$GS171+$GQ172</f>
        <v/>
      </c>
      <c r="GT172" s="55">
        <f>SUMIFS(tblGold[Dore_kg],tblGold[Date],$A172,tblGold[Type],"Shipment")</f>
        <v/>
      </c>
      <c r="GU172" s="55">
        <f>IF($B172=$B171,$GU171,0)+$GT172</f>
        <v/>
      </c>
      <c r="GV172" s="55">
        <f>$GV171+$GT172</f>
        <v/>
      </c>
      <c r="GW172" s="57">
        <f>SUMIFS(tblSafety[Hours_Total],tblSafety[Date],$A172)</f>
        <v/>
      </c>
      <c r="GX172" s="57">
        <f>IF($B172=$B171,$GX171,0)+$GW172</f>
        <v/>
      </c>
      <c r="GY172" s="57">
        <f>$GY171+$GW172</f>
        <v/>
      </c>
      <c r="GZ172" s="62">
        <f>SUMIFS(tblSafety[Fatality],tblSafety[Date],$A172)</f>
        <v/>
      </c>
      <c r="HA172" s="62">
        <f>IF($B172=$B171,$HA171,0)+$GZ172</f>
        <v/>
      </c>
      <c r="HB172" s="62">
        <f>$HB171+$GZ172</f>
        <v/>
      </c>
      <c r="HC172" s="62">
        <f>SUMIFS(tblSafety[LTI],tblSafety[Date],$A172)</f>
        <v/>
      </c>
      <c r="HD172" s="62">
        <f>IF($B172=$B171,$HD171,0)+$HC172</f>
        <v/>
      </c>
      <c r="HE172" s="62">
        <f>$HE171+$HC172</f>
        <v/>
      </c>
      <c r="HF172" s="62">
        <f>SUMIFS(tblSafety[RWI],tblSafety[Date],$A172)</f>
        <v/>
      </c>
      <c r="HG172" s="62">
        <f>IF($B172=$B171,$HG171,0)+$HF172</f>
        <v/>
      </c>
      <c r="HH172" s="62">
        <f>$HH171+$HF172</f>
        <v/>
      </c>
      <c r="HI172" s="62">
        <f>SUMIFS(tblSafety[MTI],tblSafety[Date],$A172)</f>
        <v/>
      </c>
      <c r="HJ172" s="62">
        <f>IF($B172=$B171,$HJ171,0)+$HI172</f>
        <v/>
      </c>
      <c r="HK172" s="62">
        <f>$HK171+$HI172</f>
        <v/>
      </c>
      <c r="HL172" s="62">
        <f>SUMIFS(tblSafety[FAI],tblSafety[Date],$A172)</f>
        <v/>
      </c>
      <c r="HM172" s="62">
        <f>IF($B172=$B171,$HM171,0)+$HL172</f>
        <v/>
      </c>
      <c r="HN172" s="62">
        <f>$HN171+$HL172</f>
        <v/>
      </c>
      <c r="HO172" s="62">
        <f>SUMIFS(tblSafety[Recordables],tblSafety[Date],$A172)</f>
        <v/>
      </c>
      <c r="HP172" s="62">
        <f>IF($B172=$B171,$HP171,0)+$HO172</f>
        <v/>
      </c>
      <c r="HQ172" s="62">
        <f>$HQ171+$HO172</f>
        <v/>
      </c>
      <c r="HR172" s="62">
        <f>SUMIFS(tblSafety[Near_Miss],tblSafety[Date],$A172)</f>
        <v/>
      </c>
      <c r="HS172" s="62">
        <f>IF($B172=$B171,$HS171,0)+$HR172</f>
        <v/>
      </c>
      <c r="HT172" s="62">
        <f>$HT171+$HR172</f>
        <v/>
      </c>
      <c r="HU172" s="62">
        <f>SUMIFS(tblSafety[Hazard_Reports],tblSafety[Date],$A172)</f>
        <v/>
      </c>
      <c r="HV172" s="62">
        <f>IF($B172=$B171,$HV171,0)+$HU172</f>
        <v/>
      </c>
      <c r="HW172" s="62">
        <f>$HW171+$HU172</f>
        <v/>
      </c>
      <c r="HX172" s="62">
        <f>SUMIFS(tblSafety[HPI],tblSafety[Date],$A172)</f>
        <v/>
      </c>
      <c r="HY172" s="62">
        <f>IF($B172=$B171,$HY171,0)+$HX172</f>
        <v/>
      </c>
      <c r="HZ172" s="62">
        <f>$HZ171+$HX172</f>
        <v/>
      </c>
      <c r="IA172" s="62">
        <f>SUMIFS(tblSafety[Env_Incidents],tblSafety[Date],$A172)</f>
        <v/>
      </c>
      <c r="IB172" s="62">
        <f>IF($B172=$B171,$IB171,0)+$IA172</f>
        <v/>
      </c>
      <c r="IC172" s="62">
        <f>$IC171+$IA172</f>
        <v/>
      </c>
      <c r="ID172" s="62">
        <f>SUMIFS(tblSafety[Community_Incidents],tblSafety[Date],$A172)</f>
        <v/>
      </c>
      <c r="IE172" s="62">
        <f>IF($B172=$B171,$IE171,0)+$ID172</f>
        <v/>
      </c>
      <c r="IF172" s="62">
        <f>$IF171+$ID172</f>
        <v/>
      </c>
      <c r="IG172" s="62">
        <f>SUMIFS(tblSafety[Vehicle_Incidents],tblSafety[Date],$A172)</f>
        <v/>
      </c>
      <c r="IH172" s="62">
        <f>IF($B172=$B171,$IH171,0)+$IG172</f>
        <v/>
      </c>
      <c r="II172" s="62">
        <f>$II171+$IG172</f>
        <v/>
      </c>
      <c r="IJ172" s="62">
        <f>SUMIFS(tblSafety[Toolbox_Talks],tblSafety[Date],$A172)</f>
        <v/>
      </c>
      <c r="IK172" s="62">
        <f>IF($B172=$B171,$IK171,0)+$IJ172</f>
        <v/>
      </c>
      <c r="IL172" s="62">
        <f>$IL171+$IJ172</f>
        <v/>
      </c>
      <c r="IM172" s="62">
        <f>SUMIFS(tblSafety[Inspections],tblSafety[Date],$A172)</f>
        <v/>
      </c>
      <c r="IN172" s="62">
        <f>IF($B172=$B171,$IN171,0)+$IM172</f>
        <v/>
      </c>
      <c r="IO172" s="62">
        <f>$IO171+$IM172</f>
        <v/>
      </c>
      <c r="IP172" s="56">
        <f>IFERROR((SUMIFS(tblSafety[Recordables],tblSafety[Date],"&gt;="&amp;EDATE($E172,-12),tblSafety[Date],"&lt;="&amp;$A172)+SUMIFS(tblSafetyHistory[Recordables],tblSafetyHistory[Month],"&gt;="&amp;EDATE($E172,-12),tblSafetyHistory[Month],"&lt;"&amp;$E172,tblSafetyHistory[Use],1))/(SUMIFS(tblSafety[Hours_Total],tblSafety[Date],"&gt;="&amp;EDATE($E172,-12),tblSafety[Date],"&lt;="&amp;$A172)+SUMIFS(tblSafetyHistory[Hours_Total],tblSafetyHistory[Month],"&gt;="&amp;EDATE($E172,-12),tblSafetyHistory[Month],"&lt;"&amp;$E172,tblSafetyHistory[Use],1))*cfg_RateBasisHours,"")</f>
        <v/>
      </c>
      <c r="IQ172" s="56">
        <f>IFERROR((SUMIFS(tblSafety[LTI],tblSafety[Date],"&gt;="&amp;EDATE($E172,-12),tblSafety[Date],"&lt;="&amp;$A172)+SUMIFS(tblSafetyHistory[LTI],tblSafetyHistory[Month],"&gt;="&amp;EDATE($E172,-12),tblSafetyHistory[Month],"&lt;"&amp;$E172,tblSafetyHistory[Use],1))/(SUMIFS(tblSafety[Hours_Total],tblSafety[Date],"&gt;="&amp;EDATE($E172,-12),tblSafety[Date],"&lt;="&amp;$A172)+SUMIFS(tblSafetyHistory[Hours_Total],tblSafetyHistory[Month],"&gt;="&amp;EDATE($E172,-12),tblSafetyHistory[Month],"&lt;"&amp;$E172,tblSafetyHistory[Use],1))*cfg_RateBasisHours,"")</f>
        <v/>
      </c>
      <c r="IR172" s="62">
        <f>IF(MAX(N(cfg_PriorLTIDate),_xlfn.MAXIFS(tblSafety[Date],tblSafety[LTI],"&gt;0",tblSafety[Date],"&lt;="&amp;$A172))=0,"",$A172-MAX(N(cfg_PriorLTIDate),_xlfn.MAXIFS(tblSafety[Date],tblSafety[LTI],"&gt;0",tblSafety[Date],"&lt;="&amp;$A172)))</f>
        <v/>
      </c>
      <c r="IS172" s="55">
        <f>SUMIFS(tblBudget[Ore_Mined_t],tblBudget[Month],$E172)</f>
        <v/>
      </c>
      <c r="IT172" s="55">
        <f>$IS172*$C172/$D172</f>
        <v/>
      </c>
      <c r="IU172" s="55">
        <f>SUMIFS(tblBudget[Ore_Mined_t],tblBudget[Month],"&lt;"&amp;$E172)+$IT172</f>
        <v/>
      </c>
      <c r="IV172" s="55">
        <f>SUMIFS(tblBudget[Ore_oz],tblBudget[Month],$E172)</f>
        <v/>
      </c>
      <c r="IW172" s="55">
        <f>$IV172*$C172/$D172</f>
        <v/>
      </c>
      <c r="IX172" s="55">
        <f>SUMIFS(tblBudget[Ore_oz],tblBudget[Month],"&lt;"&amp;$E172)+$IW172</f>
        <v/>
      </c>
      <c r="IY172" s="55">
        <f>SUMIFS(tblBudget[Ore_Mined_t],tblBudget[Month],$E172)</f>
        <v/>
      </c>
      <c r="IZ172" s="55">
        <f>$IY172*$C172/$D172</f>
        <v/>
      </c>
      <c r="JA172" s="55">
        <f>SUMIFS(tblBudget[Ore_Mined_t],tblBudget[Month],"&lt;"&amp;$E172)+$IZ172</f>
        <v/>
      </c>
      <c r="JB172" s="56">
        <f>IFERROR(IF(($IY172)&gt;0,($IV172*cfg_TroyOz)/($IY172),""),"")</f>
        <v/>
      </c>
      <c r="JC172" s="56">
        <f>IFERROR(IF(($IZ172)&gt;0,($IW172*cfg_TroyOz)/($IZ172),""),"")</f>
        <v/>
      </c>
      <c r="JD172" s="56">
        <f>IFERROR(IF(($JA172)&gt;0,($IX172*cfg_TroyOz)/($JA172),""),"")</f>
        <v/>
      </c>
      <c r="JE172" s="55">
        <f>SUMIFS(tblBudget[Waste_t],tblBudget[Month],$E172)</f>
        <v/>
      </c>
      <c r="JF172" s="55">
        <f>$JE172*$C172/$D172</f>
        <v/>
      </c>
      <c r="JG172" s="55">
        <f>SUMIFS(tblBudget[Waste_t],tblBudget[Month],"&lt;"&amp;$E172)+$JF172</f>
        <v/>
      </c>
      <c r="JH172" s="55">
        <f>SUMIFS(tblBudget[TMM_t],tblBudget[Month],$E172)</f>
        <v/>
      </c>
      <c r="JI172" s="55">
        <f>$JH172*$C172/$D172</f>
        <v/>
      </c>
      <c r="JJ172" s="55">
        <f>SUMIFS(tblBudget[TMM_t],tblBudget[Month],"&lt;"&amp;$E172)+$JI172</f>
        <v/>
      </c>
      <c r="JK172" s="56">
        <f>IFERROR(IF(($IS172)&gt;0,($JE172)/($IS172),""),"")</f>
        <v/>
      </c>
      <c r="JL172" s="56">
        <f>IFERROR(IF(($IT172)&gt;0,($JF172)/($IT172),""),"")</f>
        <v/>
      </c>
      <c r="JM172" s="56">
        <f>IFERROR(IF(($IU172)&gt;0,($JG172)/($IU172),""),"")</f>
        <v/>
      </c>
      <c r="JN172" s="55">
        <f>SUMIFS(tblBudget[Drill_m],tblBudget[Month],$E172)</f>
        <v/>
      </c>
      <c r="JO172" s="55">
        <f>$JN172*$C172/$D172</f>
        <v/>
      </c>
      <c r="JP172" s="55">
        <f>SUMIFS(tblBudget[Drill_m],tblBudget[Month],"&lt;"&amp;$E172)+$JO172</f>
        <v/>
      </c>
      <c r="JQ172" s="55">
        <f>SUMIFS(tblBudget[Diesel_L],tblBudget[Month],$E172)</f>
        <v/>
      </c>
      <c r="JR172" s="55">
        <f>$JQ172*$C172/$D172</f>
        <v/>
      </c>
      <c r="JS172" s="55">
        <f>SUMIFS(tblBudget[Diesel_L],tblBudget[Month],"&lt;"&amp;$E172)+$JR172</f>
        <v/>
      </c>
      <c r="JT172" s="55">
        <f>SUMIFS(tblBudget[Milled_t],tblBudget[Month],$E172)</f>
        <v/>
      </c>
      <c r="JU172" s="55">
        <f>$JT172*$C172/$D172</f>
        <v/>
      </c>
      <c r="JV172" s="55">
        <f>SUMIFS(tblBudget[Milled_t],tblBudget[Month],"&lt;"&amp;$E172)+$JU172</f>
        <v/>
      </c>
      <c r="JW172" s="55">
        <f>SUMIFS(tblBudget[Feed_oz],tblBudget[Month],$E172)</f>
        <v/>
      </c>
      <c r="JX172" s="55">
        <f>$JW172*$C172/$D172</f>
        <v/>
      </c>
      <c r="JY172" s="55">
        <f>SUMIFS(tblBudget[Feed_oz],tblBudget[Month],"&lt;"&amp;$E172)+$JX172</f>
        <v/>
      </c>
      <c r="JZ172" s="55">
        <f>SUMIFS(tblBudget[Recovered_oz],tblBudget[Month],$E172)</f>
        <v/>
      </c>
      <c r="KA172" s="55">
        <f>$JZ172*$C172/$D172</f>
        <v/>
      </c>
      <c r="KB172" s="55">
        <f>SUMIFS(tblBudget[Recovered_oz],tblBudget[Month],"&lt;"&amp;$E172)+$KA172</f>
        <v/>
      </c>
      <c r="KC172" s="55">
        <f>SUMIFS(tblBudget[Milled_t],tblBudget[Month],$E172)</f>
        <v/>
      </c>
      <c r="KD172" s="55">
        <f>$KC172*$C172/$D172</f>
        <v/>
      </c>
      <c r="KE172" s="55">
        <f>SUMIFS(tblBudget[Milled_t],tblBudget[Month],"&lt;"&amp;$E172)+$KD172</f>
        <v/>
      </c>
      <c r="KF172" s="55">
        <f>SUMIFS(tblBudget[Feed_oz],tblBudget[Month],$E172)</f>
        <v/>
      </c>
      <c r="KG172" s="55">
        <f>$KF172*$C172/$D172</f>
        <v/>
      </c>
      <c r="KH172" s="55">
        <f>SUMIFS(tblBudget[Feed_oz],tblBudget[Month],"&lt;"&amp;$E172)+$KG172</f>
        <v/>
      </c>
      <c r="KI172" s="56">
        <f>IFERROR(IF(($KC172)&gt;0,($JW172*cfg_TroyOz)/($KC172),""),"")</f>
        <v/>
      </c>
      <c r="KJ172" s="56">
        <f>IFERROR(IF(($KD172)&gt;0,($JX172*cfg_TroyOz)/($KD172),""),"")</f>
        <v/>
      </c>
      <c r="KK172" s="56">
        <f>IFERROR(IF(($KE172)&gt;0,($JY172*cfg_TroyOz)/($KE172),""),"")</f>
        <v/>
      </c>
      <c r="KL172" s="67">
        <f>IFERROR(IF(($KF172)&gt;0,($JZ172)/($KF172),""),"")</f>
        <v/>
      </c>
      <c r="KM172" s="67">
        <f>IFERROR(IF(($KG172)&gt;0,($KA172)/($KG172),""),"")</f>
        <v/>
      </c>
      <c r="KN172" s="67">
        <f>IFERROR(IF(($KH172)&gt;0,($KB172)/($KH172),""),"")</f>
        <v/>
      </c>
      <c r="KO172" s="55">
        <f>SUMIFS(tblBudget[Gold_Poured_oz],tblBudget[Month],$E172)</f>
        <v/>
      </c>
      <c r="KP172" s="55">
        <f>$KO172*$C172/$D172</f>
        <v/>
      </c>
      <c r="KQ172" s="55">
        <f>SUMIFS(tblBudget[Gold_Poured_oz],tblBudget[Month],"&lt;"&amp;$E172)+$KP172</f>
        <v/>
      </c>
      <c r="KR172" s="57">
        <f>SUMIFS(tblBudget[Hours_Worked],tblBudget[Month],$E172)</f>
        <v/>
      </c>
      <c r="KS172" s="57">
        <f>$KR172*$C172/$D172</f>
        <v/>
      </c>
      <c r="KT172" s="57">
        <f>SUMIFS(tblBudget[Hours_Worked],tblBudget[Month],"&lt;"&amp;$E172)+$KS172</f>
        <v/>
      </c>
    </row>
    <row r="173">
      <c r="A173" s="54" t="n">
        <v>46194</v>
      </c>
      <c r="B173">
        <f>MONTH($A173)</f>
        <v/>
      </c>
      <c r="C173">
        <f>DAY($A173)</f>
        <v/>
      </c>
      <c r="D173">
        <f>DAY(EOMONTH($A173,0))</f>
        <v/>
      </c>
      <c r="E173" s="54">
        <f>DATE(YEAR($A173),MONTH($A173),1)</f>
        <v/>
      </c>
      <c r="F173" s="55">
        <f>SUMIFS(tblMovement[Tonnes_t],tblMovement[Date],$A173,tblMovement[Is_Ore],1,tblMovement[Source_Type],"Pit")</f>
        <v/>
      </c>
      <c r="G173" s="55">
        <f>IF($B173=$B172,$G172,0)+$F173</f>
        <v/>
      </c>
      <c r="H173" s="55">
        <f>$H172+$F173</f>
        <v/>
      </c>
      <c r="I173" s="55">
        <f>SUMIFS(tblMovement[Ore_oz],tblMovement[Date],$A173,tblMovement[Source_Type],"Pit")</f>
        <v/>
      </c>
      <c r="J173" s="55">
        <f>IF($B173=$B172,$J172,0)+$I173</f>
        <v/>
      </c>
      <c r="K173" s="55">
        <f>$K172+$I173</f>
        <v/>
      </c>
      <c r="L173" s="55">
        <f>SUMIFS(tblMovement[Tonnes_t],tblMovement[Date],$A173,tblMovement[Is_Ore],1,tblMovement[Source_Type],"Pit",tblMovement[Grade_gpt],"&lt;&gt;")</f>
        <v/>
      </c>
      <c r="M173" s="55">
        <f>IF($B173=$B172,$M172,0)+$L173</f>
        <v/>
      </c>
      <c r="N173" s="55">
        <f>$N172+$L173</f>
        <v/>
      </c>
      <c r="O173" s="56">
        <f>IFERROR(IF(($L173)&gt;0,($I173*cfg_TroyOz)/($L173),""),"")</f>
        <v/>
      </c>
      <c r="P173" s="56">
        <f>IFERROR(IF(($M173)&gt;0,($J173*cfg_TroyOz)/($M173),""),"")</f>
        <v/>
      </c>
      <c r="Q173" s="56">
        <f>IFERROR(IF(($N173)&gt;0,($K173*cfg_TroyOz)/($N173),""),"")</f>
        <v/>
      </c>
      <c r="R173" s="55">
        <f>$F173-$L173</f>
        <v/>
      </c>
      <c r="S173" s="55">
        <f>IF($B173=$B172,$S172,0)+$R173</f>
        <v/>
      </c>
      <c r="T173" s="55">
        <f>$T172+$R173</f>
        <v/>
      </c>
      <c r="U173" s="55">
        <f>SUMIFS(tblMovement[Tonnes_t],tblMovement[Date],$A173,tblMovement[Is_Ore],0,tblMovement[Source_Type],"Pit")</f>
        <v/>
      </c>
      <c r="V173" s="55">
        <f>IF($B173=$B172,$V172,0)+$U173</f>
        <v/>
      </c>
      <c r="W173" s="55">
        <f>$W172+$U173</f>
        <v/>
      </c>
      <c r="X173" s="55">
        <f>$F173+$U173</f>
        <v/>
      </c>
      <c r="Y173" s="55">
        <f>IF($B173=$B172,$Y172,0)+$X173</f>
        <v/>
      </c>
      <c r="Z173" s="55">
        <f>$Z172+$X173</f>
        <v/>
      </c>
      <c r="AA173" s="56">
        <f>IFERROR(IF(($F173)&gt;0,($U173)/($F173),""),"")</f>
        <v/>
      </c>
      <c r="AB173" s="56">
        <f>IFERROR(IF(($G173)&gt;0,($V173)/($G173),""),"")</f>
        <v/>
      </c>
      <c r="AC173" s="56">
        <f>IFERROR(IF(($H173)&gt;0,($W173)/($H173),""),"")</f>
        <v/>
      </c>
      <c r="AD173" s="55">
        <f>SUMIFS(tblMovement[Tonnes_t],tblMovement[Date],$A173,tblMovement[Source_Type],"Stockpile")</f>
        <v/>
      </c>
      <c r="AE173" s="55">
        <f>IF($B173=$B172,$AE172,0)+$AD173</f>
        <v/>
      </c>
      <c r="AF173" s="55">
        <f>$AF172+$AD173</f>
        <v/>
      </c>
      <c r="AG173" s="55">
        <f>SUMIFS(tblMovement[Tonnes_t],tblMovement[Date],$A173)</f>
        <v/>
      </c>
      <c r="AH173" s="55">
        <f>IF($B173=$B172,$AH172,0)+$AG173</f>
        <v/>
      </c>
      <c r="AI173" s="55">
        <f>$AI172+$AG173</f>
        <v/>
      </c>
      <c r="AJ173" s="55">
        <f>$AG173-$X173-$AD173</f>
        <v/>
      </c>
      <c r="AK173" s="55">
        <f>IF($B173=$B172,$AK172,0)+$AJ173</f>
        <v/>
      </c>
      <c r="AL173" s="55">
        <f>$AL172+$AJ173</f>
        <v/>
      </c>
      <c r="AM173" s="55">
        <f>SUMIFS(tblMiningDaily[Drill_m],tblMiningDaily[Date],$A173)</f>
        <v/>
      </c>
      <c r="AN173" s="55">
        <f>IF($B173=$B172,$AN172,0)+$AM173</f>
        <v/>
      </c>
      <c r="AO173" s="55">
        <f>$AO172+$AM173</f>
        <v/>
      </c>
      <c r="AP173" s="55">
        <f>SUMIFS(tblMiningDaily[GC_Drill_m],tblMiningDaily[Date],$A173)</f>
        <v/>
      </c>
      <c r="AQ173" s="55">
        <f>IF($B173=$B172,$AQ172,0)+$AP173</f>
        <v/>
      </c>
      <c r="AR173" s="55">
        <f>$AR172+$AP173</f>
        <v/>
      </c>
      <c r="AS173" s="55">
        <f>SUMIFS(tblMiningDaily[Blast_t],tblMiningDaily[Date],$A173)</f>
        <v/>
      </c>
      <c r="AT173" s="55">
        <f>IF($B173=$B172,$AT172,0)+$AS173</f>
        <v/>
      </c>
      <c r="AU173" s="55">
        <f>$AU172+$AS173</f>
        <v/>
      </c>
      <c r="AV173" s="55">
        <f>SUMIFS(tblMiningDaily[Explosives_kg],tblMiningDaily[Date],$A173)</f>
        <v/>
      </c>
      <c r="AW173" s="55">
        <f>IF($B173=$B172,$AW172,0)+$AV173</f>
        <v/>
      </c>
      <c r="AX173" s="55">
        <f>$AX172+$AV173</f>
        <v/>
      </c>
      <c r="AY173" s="56">
        <f>IFERROR(IF(($AS173)&gt;0,($AV173)/($AS173),""),"")</f>
        <v/>
      </c>
      <c r="AZ173" s="56">
        <f>IFERROR(IF(($AT173)&gt;0,($AW173)/($AT173),""),"")</f>
        <v/>
      </c>
      <c r="BA173" s="56">
        <f>IFERROR(IF(($AU173)&gt;0,($AX173)/($AU173),""),"")</f>
        <v/>
      </c>
      <c r="BB173" s="55">
        <f>SUMIFS(tblMiningDaily[Diesel_L],tblMiningDaily[Date],$A173)</f>
        <v/>
      </c>
      <c r="BC173" s="55">
        <f>IF($B173=$B172,$BC172,0)+$BB173</f>
        <v/>
      </c>
      <c r="BD173" s="55">
        <f>$BD172+$BB173</f>
        <v/>
      </c>
      <c r="BE173" s="55">
        <f>SUMIFS(tblMiningDaily[Dewatering_m3],tblMiningDaily[Date],$A173)</f>
        <v/>
      </c>
      <c r="BF173" s="55">
        <f>IF($B173=$B172,$BF172,0)+$BE173</f>
        <v/>
      </c>
      <c r="BG173" s="55">
        <f>$BG172+$BE173</f>
        <v/>
      </c>
      <c r="BH173" s="57">
        <f>SUMIFS(tblFleet[Calendar_h],tblFleet[Date],$A173,tblFleet[Equipment_Class],"Excavator")</f>
        <v/>
      </c>
      <c r="BI173" s="57">
        <f>IF($B173=$B172,$BI172,0)+$BH173</f>
        <v/>
      </c>
      <c r="BJ173" s="57">
        <f>$BJ172+$BH173</f>
        <v/>
      </c>
      <c r="BK173" s="57">
        <f>SUMIFS(tblFleet[Available_h],tblFleet[Date],$A173,tblFleet[Equipment_Class],"Excavator")</f>
        <v/>
      </c>
      <c r="BL173" s="57">
        <f>IF($B173=$B172,$BL172,0)+$BK173</f>
        <v/>
      </c>
      <c r="BM173" s="57">
        <f>$BM172+$BK173</f>
        <v/>
      </c>
      <c r="BN173" s="57">
        <f>SUMIFS(tblFleet[Operating_h],tblFleet[Date],$A173,tblFleet[Equipment_Class],"Excavator")</f>
        <v/>
      </c>
      <c r="BO173" s="57">
        <f>IF($B173=$B172,$BO172,0)+$BN173</f>
        <v/>
      </c>
      <c r="BP173" s="57">
        <f>$BP172+$BN173</f>
        <v/>
      </c>
      <c r="BQ173" s="67">
        <f>IFERROR(IF(($BH173)&gt;0,($BK173)/($BH173),""),"")</f>
        <v/>
      </c>
      <c r="BR173" s="67">
        <f>IFERROR(IF(($BI173)&gt;0,($BL173)/($BI173),""),"")</f>
        <v/>
      </c>
      <c r="BS173" s="67">
        <f>IFERROR(IF(($BJ173)&gt;0,($BM173)/($BJ173),""),"")</f>
        <v/>
      </c>
      <c r="BT173" s="67">
        <f>IFERROR(IF(($BK173)&gt;0,($BN173)/($BK173),""),"")</f>
        <v/>
      </c>
      <c r="BU173" s="67">
        <f>IFERROR(IF(($BL173)&gt;0,($BO173)/($BL173),""),"")</f>
        <v/>
      </c>
      <c r="BV173" s="67">
        <f>IFERROR(IF(($BM173)&gt;0,($BP173)/($BM173),""),"")</f>
        <v/>
      </c>
      <c r="BW173" s="57">
        <f>SUMIFS(tblFleet[Calendar_h],tblFleet[Date],$A173,tblFleet[Equipment_Class],"Haul Truck")</f>
        <v/>
      </c>
      <c r="BX173" s="57">
        <f>IF($B173=$B172,$BX172,0)+$BW173</f>
        <v/>
      </c>
      <c r="BY173" s="57">
        <f>$BY172+$BW173</f>
        <v/>
      </c>
      <c r="BZ173" s="57">
        <f>SUMIFS(tblFleet[Available_h],tblFleet[Date],$A173,tblFleet[Equipment_Class],"Haul Truck")</f>
        <v/>
      </c>
      <c r="CA173" s="57">
        <f>IF($B173=$B172,$CA172,0)+$BZ173</f>
        <v/>
      </c>
      <c r="CB173" s="57">
        <f>$CB172+$BZ173</f>
        <v/>
      </c>
      <c r="CC173" s="57">
        <f>SUMIFS(tblFleet[Operating_h],tblFleet[Date],$A173,tblFleet[Equipment_Class],"Haul Truck")</f>
        <v/>
      </c>
      <c r="CD173" s="57">
        <f>IF($B173=$B172,$CD172,0)+$CC173</f>
        <v/>
      </c>
      <c r="CE173" s="57">
        <f>$CE172+$CC173</f>
        <v/>
      </c>
      <c r="CF173" s="67">
        <f>IFERROR(IF(($BW173)&gt;0,($BZ173)/($BW173),""),"")</f>
        <v/>
      </c>
      <c r="CG173" s="67">
        <f>IFERROR(IF(($BX173)&gt;0,($CA173)/($BX173),""),"")</f>
        <v/>
      </c>
      <c r="CH173" s="67">
        <f>IFERROR(IF(($BY173)&gt;0,($CB173)/($BY173),""),"")</f>
        <v/>
      </c>
      <c r="CI173" s="67">
        <f>IFERROR(IF(($BZ173)&gt;0,($CC173)/($BZ173),""),"")</f>
        <v/>
      </c>
      <c r="CJ173" s="67">
        <f>IFERROR(IF(($CA173)&gt;0,($CD173)/($CA173),""),"")</f>
        <v/>
      </c>
      <c r="CK173" s="67">
        <f>IFERROR(IF(($CB173)&gt;0,($CE173)/($CB173),""),"")</f>
        <v/>
      </c>
      <c r="CL173" s="55">
        <f>IFERROR(IF(($BN173)&gt;0,($X173+$AD173)/($BN173),""),"")</f>
        <v/>
      </c>
      <c r="CM173" s="55">
        <f>IFERROR(IF(($BO173)&gt;0,($Y173+$AE173)/($BO173),""),"")</f>
        <v/>
      </c>
      <c r="CN173" s="55">
        <f>IFERROR(IF(($BP173)&gt;0,($Z173+$AF173)/($BP173),""),"")</f>
        <v/>
      </c>
      <c r="CO173" s="55">
        <f>IFERROR(IF(($CC173)&gt;0,($X173+$AD173)/($CC173),""),"")</f>
        <v/>
      </c>
      <c r="CP173" s="55">
        <f>IFERROR(IF(($CD173)&gt;0,($Y173+$AE173)/($CD173),""),"")</f>
        <v/>
      </c>
      <c r="CQ173" s="55">
        <f>IFERROR(IF(($CE173)&gt;0,($Z173+$AF173)/($CE173),""),"")</f>
        <v/>
      </c>
      <c r="CR173" s="55">
        <f>SUMIFS(tblPlant[Crushed_t],tblPlant[Date],$A173)</f>
        <v/>
      </c>
      <c r="CS173" s="55">
        <f>IF($B173=$B172,$CS172,0)+$CR173</f>
        <v/>
      </c>
      <c r="CT173" s="55">
        <f>$CT172+$CR173</f>
        <v/>
      </c>
      <c r="CU173" s="55">
        <f>SUMIFS(tblPlant[Milled_t],tblPlant[Date],$A173)</f>
        <v/>
      </c>
      <c r="CV173" s="55">
        <f>IF($B173=$B172,$CV172,0)+$CU173</f>
        <v/>
      </c>
      <c r="CW173" s="55">
        <f>$CW172+$CU173</f>
        <v/>
      </c>
      <c r="CX173" s="55">
        <f>SUMIFS(tblPlant[Feed_oz],tblPlant[Date],$A173)</f>
        <v/>
      </c>
      <c r="CY173" s="55">
        <f>IF($B173=$B172,$CY172,0)+$CX173</f>
        <v/>
      </c>
      <c r="CZ173" s="55">
        <f>$CZ172+$CX173</f>
        <v/>
      </c>
      <c r="DA173" s="55">
        <f>SUMIFS(tblPlant[Tails_oz],tblPlant[Date],$A173)</f>
        <v/>
      </c>
      <c r="DB173" s="55">
        <f>IF($B173=$B172,$DB172,0)+$DA173</f>
        <v/>
      </c>
      <c r="DC173" s="55">
        <f>$DC172+$DA173</f>
        <v/>
      </c>
      <c r="DD173" s="55">
        <f>SUMIFS(tblPlant[Recovered_oz],tblPlant[Date],$A173)</f>
        <v/>
      </c>
      <c r="DE173" s="55">
        <f>IF($B173=$B172,$DE172,0)+$DD173</f>
        <v/>
      </c>
      <c r="DF173" s="55">
        <f>$DF172+$DD173</f>
        <v/>
      </c>
      <c r="DG173" s="55">
        <f>SUMIFS(tblPlant[Milled_t],tblPlant[Date],$A173,tblPlant[Head_Grade_gpt],"&lt;&gt;")</f>
        <v/>
      </c>
      <c r="DH173" s="55">
        <f>IF($B173=$B172,$DH172,0)+$DG173</f>
        <v/>
      </c>
      <c r="DI173" s="55">
        <f>$DI172+$DG173</f>
        <v/>
      </c>
      <c r="DJ173" s="55">
        <f>SUMIFS(tblPlant[Milled_t],tblPlant[Date],$A173,tblPlant[Tails_Grade_gpt],"&lt;&gt;")</f>
        <v/>
      </c>
      <c r="DK173" s="55">
        <f>IF($B173=$B172,$DK172,0)+$DJ173</f>
        <v/>
      </c>
      <c r="DL173" s="55">
        <f>$DL172+$DJ173</f>
        <v/>
      </c>
      <c r="DM173" s="55">
        <f>SUMIFS(tblPlant[Feed_oz],tblPlant[Date],$A173,tblPlant[Tails_Grade_gpt],"&lt;&gt;")</f>
        <v/>
      </c>
      <c r="DN173" s="55">
        <f>IF($B173=$B172,$DN172,0)+$DM173</f>
        <v/>
      </c>
      <c r="DO173" s="55">
        <f>$DO172+$DM173</f>
        <v/>
      </c>
      <c r="DP173" s="55">
        <f>SUMIFS(tblPlant[Milled_t],tblPlant[Date],$A173,tblPlant[Mill_Run_h],"&lt;&gt;")</f>
        <v/>
      </c>
      <c r="DQ173" s="55">
        <f>IF($B173=$B172,$DQ172,0)+$DP173</f>
        <v/>
      </c>
      <c r="DR173" s="55">
        <f>$DR172+$DP173</f>
        <v/>
      </c>
      <c r="DS173" s="56">
        <f>IFERROR(IF(($DG173)&gt;0,($CX173*cfg_TroyOz)/($DG173),""),"")</f>
        <v/>
      </c>
      <c r="DT173" s="56">
        <f>IFERROR(IF(($DH173)&gt;0,($CY173*cfg_TroyOz)/($DH173),""),"")</f>
        <v/>
      </c>
      <c r="DU173" s="56">
        <f>IFERROR(IF(($DI173)&gt;0,($CZ173*cfg_TroyOz)/($DI173),""),"")</f>
        <v/>
      </c>
      <c r="DV173" s="56">
        <f>IFERROR(IF(($DJ173)&gt;0,($DA173*cfg_TroyOz)/($DJ173),""),"")</f>
        <v/>
      </c>
      <c r="DW173" s="56">
        <f>IFERROR(IF(($DK173)&gt;0,($DB173*cfg_TroyOz)/($DK173),""),"")</f>
        <v/>
      </c>
      <c r="DX173" s="56">
        <f>IFERROR(IF(($DL173)&gt;0,($DC173*cfg_TroyOz)/($DL173),""),"")</f>
        <v/>
      </c>
      <c r="DY173" s="67">
        <f>IFERROR(IF(($DM173)&gt;0,($DD173)/($DM173),""),"")</f>
        <v/>
      </c>
      <c r="DZ173" s="67">
        <f>IFERROR(IF(($DN173)&gt;0,($DE173)/($DN173),""),"")</f>
        <v/>
      </c>
      <c r="EA173" s="67">
        <f>IFERROR(IF(($DO173)&gt;0,($DF173)/($DO173),""),"")</f>
        <v/>
      </c>
      <c r="EB173" s="55">
        <f>SUMIFS(tblPlant[Gravity_Gold_oz],tblPlant[Date],$A173)</f>
        <v/>
      </c>
      <c r="EC173" s="55">
        <f>IF($B173=$B172,$EC172,0)+$EB173</f>
        <v/>
      </c>
      <c r="ED173" s="55">
        <f>$ED172+$EB173</f>
        <v/>
      </c>
      <c r="EE173" s="67">
        <f>IFERROR(IF(($DD173)&gt;0,($EB173)/($DD173),""),"")</f>
        <v/>
      </c>
      <c r="EF173" s="67">
        <f>IFERROR(IF(($DE173)&gt;0,($EC173)/($DE173),""),"")</f>
        <v/>
      </c>
      <c r="EG173" s="67">
        <f>IFERROR(IF(($DF173)&gt;0,($ED173)/($DF173),""),"")</f>
        <v/>
      </c>
      <c r="EH173" s="55">
        <f>SUMIFS(tblPlant[Gold_Poured_oz],tblPlant[Date],$A173)</f>
        <v/>
      </c>
      <c r="EI173" s="55">
        <f>IF($B173=$B172,$EI172,0)+$EH173</f>
        <v/>
      </c>
      <c r="EJ173" s="55">
        <f>$EJ172+$EH173</f>
        <v/>
      </c>
      <c r="EK173" s="57">
        <f>SUMIFS(tblPlant[Mill_Run_h],tblPlant[Date],$A173)</f>
        <v/>
      </c>
      <c r="EL173" s="57">
        <f>IF($B173=$B172,$EL172,0)+$EK173</f>
        <v/>
      </c>
      <c r="EM173" s="57">
        <f>$EM172+$EK173</f>
        <v/>
      </c>
      <c r="EN173" s="57">
        <f>SUMIFS(tblPlant[Mill_Planned_Maint_h],tblPlant[Date],$A173)</f>
        <v/>
      </c>
      <c r="EO173" s="57">
        <f>IF($B173=$B172,$EO172,0)+$EN173</f>
        <v/>
      </c>
      <c r="EP173" s="57">
        <f>$EP172+$EN173</f>
        <v/>
      </c>
      <c r="EQ173" s="57">
        <f>SUMIFS(tblPlant[Mill_Unplanned_Down_h],tblPlant[Date],$A173)</f>
        <v/>
      </c>
      <c r="ER173" s="57">
        <f>IF($B173=$B172,$ER172,0)+$EQ173</f>
        <v/>
      </c>
      <c r="ES173" s="57">
        <f>$ES172+$EQ173</f>
        <v/>
      </c>
      <c r="ET173" s="57">
        <f>IF(COUNTIFS(tblPlant[Date],$A173,tblPlant[Mill_Run_h],"&lt;&gt;")+COUNTIFS(tblPlant[Date],$A173,tblPlant[Mill_Planned_Maint_h],"&lt;&gt;")+COUNTIFS(tblPlant[Date],$A173,tblPlant[Mill_Unplanned_Down_h],"&lt;&gt;")&gt;0,cfg_HoursPerDay,0)</f>
        <v/>
      </c>
      <c r="EU173" s="57">
        <f>IF($B173=$B172,$EU172,0)+$ET173</f>
        <v/>
      </c>
      <c r="EV173" s="57">
        <f>$EV172+$ET173</f>
        <v/>
      </c>
      <c r="EW173" s="57">
        <f>SUMIFS(tblPlant[Crusher_Run_h],tblPlant[Date],$A173)</f>
        <v/>
      </c>
      <c r="EX173" s="57">
        <f>IF($B173=$B172,$EX172,0)+$EW173</f>
        <v/>
      </c>
      <c r="EY173" s="57">
        <f>$EY172+$EW173</f>
        <v/>
      </c>
      <c r="EZ173" s="55">
        <f>IFERROR(IF(($EK173)&gt;0,($DP173)/($EK173),""),"")</f>
        <v/>
      </c>
      <c r="FA173" s="55">
        <f>IFERROR(IF(($EL173)&gt;0,($DQ173)/($EL173),""),"")</f>
        <v/>
      </c>
      <c r="FB173" s="55">
        <f>IFERROR(IF(($EM173)&gt;0,($DR173)/($EM173),""),"")</f>
        <v/>
      </c>
      <c r="FC173" s="67">
        <f>IFERROR(IF(($ET173)&gt;0,($ET173-$EN173-$EQ173)/($ET173),""),"")</f>
        <v/>
      </c>
      <c r="FD173" s="67">
        <f>IFERROR(IF(($EU173)&gt;0,($EU173-$EO173-$ER173)/($EU173),""),"")</f>
        <v/>
      </c>
      <c r="FE173" s="67">
        <f>IFERROR(IF(($EV173)&gt;0,($EV173-$EP173-$ES173)/($EV173),""),"")</f>
        <v/>
      </c>
      <c r="FF173" s="67">
        <f>IFERROR(IF(($ET173-$EN173-$EQ173)&gt;0,($EK173)/($ET173-$EN173-$EQ173),""),"")</f>
        <v/>
      </c>
      <c r="FG173" s="67">
        <f>IFERROR(IF(($EU173-$EO173-$ER173)&gt;0,($EL173)/($EU173-$EO173-$ER173),""),"")</f>
        <v/>
      </c>
      <c r="FH173" s="67">
        <f>IFERROR(IF(($EV173-$EP173-$ES173)&gt;0,($EM173)/($EV173-$EP173-$ES173),""),"")</f>
        <v/>
      </c>
      <c r="FI173" s="55">
        <f>SUMIFS(tblPlant[Cyanide_kg],tblPlant[Date],$A173)</f>
        <v/>
      </c>
      <c r="FJ173" s="55">
        <f>IF($B173=$B172,$FJ172,0)+$FI173</f>
        <v/>
      </c>
      <c r="FK173" s="55">
        <f>$FK172+$FI173</f>
        <v/>
      </c>
      <c r="FL173" s="55">
        <f>SUMIFS(tblPlant[Lime_kg],tblPlant[Date],$A173)</f>
        <v/>
      </c>
      <c r="FM173" s="55">
        <f>IF($B173=$B172,$FM172,0)+$FL173</f>
        <v/>
      </c>
      <c r="FN173" s="55">
        <f>$FN172+$FL173</f>
        <v/>
      </c>
      <c r="FO173" s="55">
        <f>SUMIFS(tblPlant[Grinding_Media_kg],tblPlant[Date],$A173)</f>
        <v/>
      </c>
      <c r="FP173" s="55">
        <f>IF($B173=$B172,$FP172,0)+$FO173</f>
        <v/>
      </c>
      <c r="FQ173" s="55">
        <f>$FQ172+$FO173</f>
        <v/>
      </c>
      <c r="FR173" s="55">
        <f>SUMIFS(tblPlant[Power_kWh],tblPlant[Date],$A173)</f>
        <v/>
      </c>
      <c r="FS173" s="55">
        <f>IF($B173=$B172,$FS172,0)+$FR173</f>
        <v/>
      </c>
      <c r="FT173" s="55">
        <f>$FT172+$FR173</f>
        <v/>
      </c>
      <c r="FU173" s="55">
        <f>SUMIFS(tblPlant[Raw_Water_m3],tblPlant[Date],$A173)</f>
        <v/>
      </c>
      <c r="FV173" s="55">
        <f>IF($B173=$B172,$FV172,0)+$FU173</f>
        <v/>
      </c>
      <c r="FW173" s="55">
        <f>$FW172+$FU173</f>
        <v/>
      </c>
      <c r="FX173" s="56">
        <f>IFERROR(IF(($CU173)&gt;0,($FI173)/($CU173),""),"")</f>
        <v/>
      </c>
      <c r="FY173" s="56">
        <f>IFERROR(IF(($CV173)&gt;0,($FJ173)/($CV173),""),"")</f>
        <v/>
      </c>
      <c r="FZ173" s="56">
        <f>IFERROR(IF(($CW173)&gt;0,($FK173)/($CW173),""),"")</f>
        <v/>
      </c>
      <c r="GA173" s="56">
        <f>IFERROR(IF(($CU173)&gt;0,($FL173)/($CU173),""),"")</f>
        <v/>
      </c>
      <c r="GB173" s="56">
        <f>IFERROR(IF(($CV173)&gt;0,($FM173)/($CV173),""),"")</f>
        <v/>
      </c>
      <c r="GC173" s="56">
        <f>IFERROR(IF(($CW173)&gt;0,($FN173)/($CW173),""),"")</f>
        <v/>
      </c>
      <c r="GD173" s="56">
        <f>IFERROR(IF(($CU173)&gt;0,($FO173)/($CU173),""),"")</f>
        <v/>
      </c>
      <c r="GE173" s="56">
        <f>IFERROR(IF(($CV173)&gt;0,($FP173)/($CV173),""),"")</f>
        <v/>
      </c>
      <c r="GF173" s="56">
        <f>IFERROR(IF(($CW173)&gt;0,($FQ173)/($CW173),""),"")</f>
        <v/>
      </c>
      <c r="GG173" s="79">
        <f>IFERROR(IF(($CU173)&gt;0,($FR173)/($CU173),""),"")</f>
        <v/>
      </c>
      <c r="GH173" s="79">
        <f>IFERROR(IF(($CV173)&gt;0,($FS173)/($CV173),""),"")</f>
        <v/>
      </c>
      <c r="GI173" s="79">
        <f>IFERROR(IF(($CW173)&gt;0,($FT173)/($CW173),""),"")</f>
        <v/>
      </c>
      <c r="GJ173" s="56">
        <f>IFERROR(IF(($CU173)&gt;0,($FU173)/($CU173),""),"")</f>
        <v/>
      </c>
      <c r="GK173" s="56">
        <f>IFERROR(IF(($CV173)&gt;0,($FV173)/($CV173),""),"")</f>
        <v/>
      </c>
      <c r="GL173" s="56">
        <f>IFERROR(IF(($CW173)&gt;0,($FW173)/($CW173),""),"")</f>
        <v/>
      </c>
      <c r="GM173" s="55">
        <f>IF(SUMIFS(tblPlant[GIC_oz],tblPlant[Date],$A173)&gt;0,SUMIFS(tblPlant[GIC_oz],tblPlant[Date],$A173),"")</f>
        <v/>
      </c>
      <c r="GN173" s="55">
        <f>SUMIFS(tblGold[Gold_oz],tblGold[Date],$A173,tblGold[Type],"Shipment")</f>
        <v/>
      </c>
      <c r="GO173" s="55">
        <f>IF($B173=$B172,$GO172,0)+$GN173</f>
        <v/>
      </c>
      <c r="GP173" s="55">
        <f>$GP172+$GN173</f>
        <v/>
      </c>
      <c r="GQ173" s="55">
        <f>SUMIFS(tblGold[Gold_oz],tblGold[Date],$A173,tblGold[Type],"Sale")</f>
        <v/>
      </c>
      <c r="GR173" s="55">
        <f>IF($B173=$B172,$GR172,0)+$GQ173</f>
        <v/>
      </c>
      <c r="GS173" s="55">
        <f>$GS172+$GQ173</f>
        <v/>
      </c>
      <c r="GT173" s="55">
        <f>SUMIFS(tblGold[Dore_kg],tblGold[Date],$A173,tblGold[Type],"Shipment")</f>
        <v/>
      </c>
      <c r="GU173" s="55">
        <f>IF($B173=$B172,$GU172,0)+$GT173</f>
        <v/>
      </c>
      <c r="GV173" s="55">
        <f>$GV172+$GT173</f>
        <v/>
      </c>
      <c r="GW173" s="57">
        <f>SUMIFS(tblSafety[Hours_Total],tblSafety[Date],$A173)</f>
        <v/>
      </c>
      <c r="GX173" s="57">
        <f>IF($B173=$B172,$GX172,0)+$GW173</f>
        <v/>
      </c>
      <c r="GY173" s="57">
        <f>$GY172+$GW173</f>
        <v/>
      </c>
      <c r="GZ173" s="62">
        <f>SUMIFS(tblSafety[Fatality],tblSafety[Date],$A173)</f>
        <v/>
      </c>
      <c r="HA173" s="62">
        <f>IF($B173=$B172,$HA172,0)+$GZ173</f>
        <v/>
      </c>
      <c r="HB173" s="62">
        <f>$HB172+$GZ173</f>
        <v/>
      </c>
      <c r="HC173" s="62">
        <f>SUMIFS(tblSafety[LTI],tblSafety[Date],$A173)</f>
        <v/>
      </c>
      <c r="HD173" s="62">
        <f>IF($B173=$B172,$HD172,0)+$HC173</f>
        <v/>
      </c>
      <c r="HE173" s="62">
        <f>$HE172+$HC173</f>
        <v/>
      </c>
      <c r="HF173" s="62">
        <f>SUMIFS(tblSafety[RWI],tblSafety[Date],$A173)</f>
        <v/>
      </c>
      <c r="HG173" s="62">
        <f>IF($B173=$B172,$HG172,0)+$HF173</f>
        <v/>
      </c>
      <c r="HH173" s="62">
        <f>$HH172+$HF173</f>
        <v/>
      </c>
      <c r="HI173" s="62">
        <f>SUMIFS(tblSafety[MTI],tblSafety[Date],$A173)</f>
        <v/>
      </c>
      <c r="HJ173" s="62">
        <f>IF($B173=$B172,$HJ172,0)+$HI173</f>
        <v/>
      </c>
      <c r="HK173" s="62">
        <f>$HK172+$HI173</f>
        <v/>
      </c>
      <c r="HL173" s="62">
        <f>SUMIFS(tblSafety[FAI],tblSafety[Date],$A173)</f>
        <v/>
      </c>
      <c r="HM173" s="62">
        <f>IF($B173=$B172,$HM172,0)+$HL173</f>
        <v/>
      </c>
      <c r="HN173" s="62">
        <f>$HN172+$HL173</f>
        <v/>
      </c>
      <c r="HO173" s="62">
        <f>SUMIFS(tblSafety[Recordables],tblSafety[Date],$A173)</f>
        <v/>
      </c>
      <c r="HP173" s="62">
        <f>IF($B173=$B172,$HP172,0)+$HO173</f>
        <v/>
      </c>
      <c r="HQ173" s="62">
        <f>$HQ172+$HO173</f>
        <v/>
      </c>
      <c r="HR173" s="62">
        <f>SUMIFS(tblSafety[Near_Miss],tblSafety[Date],$A173)</f>
        <v/>
      </c>
      <c r="HS173" s="62">
        <f>IF($B173=$B172,$HS172,0)+$HR173</f>
        <v/>
      </c>
      <c r="HT173" s="62">
        <f>$HT172+$HR173</f>
        <v/>
      </c>
      <c r="HU173" s="62">
        <f>SUMIFS(tblSafety[Hazard_Reports],tblSafety[Date],$A173)</f>
        <v/>
      </c>
      <c r="HV173" s="62">
        <f>IF($B173=$B172,$HV172,0)+$HU173</f>
        <v/>
      </c>
      <c r="HW173" s="62">
        <f>$HW172+$HU173</f>
        <v/>
      </c>
      <c r="HX173" s="62">
        <f>SUMIFS(tblSafety[HPI],tblSafety[Date],$A173)</f>
        <v/>
      </c>
      <c r="HY173" s="62">
        <f>IF($B173=$B172,$HY172,0)+$HX173</f>
        <v/>
      </c>
      <c r="HZ173" s="62">
        <f>$HZ172+$HX173</f>
        <v/>
      </c>
      <c r="IA173" s="62">
        <f>SUMIFS(tblSafety[Env_Incidents],tblSafety[Date],$A173)</f>
        <v/>
      </c>
      <c r="IB173" s="62">
        <f>IF($B173=$B172,$IB172,0)+$IA173</f>
        <v/>
      </c>
      <c r="IC173" s="62">
        <f>$IC172+$IA173</f>
        <v/>
      </c>
      <c r="ID173" s="62">
        <f>SUMIFS(tblSafety[Community_Incidents],tblSafety[Date],$A173)</f>
        <v/>
      </c>
      <c r="IE173" s="62">
        <f>IF($B173=$B172,$IE172,0)+$ID173</f>
        <v/>
      </c>
      <c r="IF173" s="62">
        <f>$IF172+$ID173</f>
        <v/>
      </c>
      <c r="IG173" s="62">
        <f>SUMIFS(tblSafety[Vehicle_Incidents],tblSafety[Date],$A173)</f>
        <v/>
      </c>
      <c r="IH173" s="62">
        <f>IF($B173=$B172,$IH172,0)+$IG173</f>
        <v/>
      </c>
      <c r="II173" s="62">
        <f>$II172+$IG173</f>
        <v/>
      </c>
      <c r="IJ173" s="62">
        <f>SUMIFS(tblSafety[Toolbox_Talks],tblSafety[Date],$A173)</f>
        <v/>
      </c>
      <c r="IK173" s="62">
        <f>IF($B173=$B172,$IK172,0)+$IJ173</f>
        <v/>
      </c>
      <c r="IL173" s="62">
        <f>$IL172+$IJ173</f>
        <v/>
      </c>
      <c r="IM173" s="62">
        <f>SUMIFS(tblSafety[Inspections],tblSafety[Date],$A173)</f>
        <v/>
      </c>
      <c r="IN173" s="62">
        <f>IF($B173=$B172,$IN172,0)+$IM173</f>
        <v/>
      </c>
      <c r="IO173" s="62">
        <f>$IO172+$IM173</f>
        <v/>
      </c>
      <c r="IP173" s="56">
        <f>IFERROR((SUMIFS(tblSafety[Recordables],tblSafety[Date],"&gt;="&amp;EDATE($E173,-12),tblSafety[Date],"&lt;="&amp;$A173)+SUMIFS(tblSafetyHistory[Recordables],tblSafetyHistory[Month],"&gt;="&amp;EDATE($E173,-12),tblSafetyHistory[Month],"&lt;"&amp;$E173,tblSafetyHistory[Use],1))/(SUMIFS(tblSafety[Hours_Total],tblSafety[Date],"&gt;="&amp;EDATE($E173,-12),tblSafety[Date],"&lt;="&amp;$A173)+SUMIFS(tblSafetyHistory[Hours_Total],tblSafetyHistory[Month],"&gt;="&amp;EDATE($E173,-12),tblSafetyHistory[Month],"&lt;"&amp;$E173,tblSafetyHistory[Use],1))*cfg_RateBasisHours,"")</f>
        <v/>
      </c>
      <c r="IQ173" s="56">
        <f>IFERROR((SUMIFS(tblSafety[LTI],tblSafety[Date],"&gt;="&amp;EDATE($E173,-12),tblSafety[Date],"&lt;="&amp;$A173)+SUMIFS(tblSafetyHistory[LTI],tblSafetyHistory[Month],"&gt;="&amp;EDATE($E173,-12),tblSafetyHistory[Month],"&lt;"&amp;$E173,tblSafetyHistory[Use],1))/(SUMIFS(tblSafety[Hours_Total],tblSafety[Date],"&gt;="&amp;EDATE($E173,-12),tblSafety[Date],"&lt;="&amp;$A173)+SUMIFS(tblSafetyHistory[Hours_Total],tblSafetyHistory[Month],"&gt;="&amp;EDATE($E173,-12),tblSafetyHistory[Month],"&lt;"&amp;$E173,tblSafetyHistory[Use],1))*cfg_RateBasisHours,"")</f>
        <v/>
      </c>
      <c r="IR173" s="62">
        <f>IF(MAX(N(cfg_PriorLTIDate),_xlfn.MAXIFS(tblSafety[Date],tblSafety[LTI],"&gt;0",tblSafety[Date],"&lt;="&amp;$A173))=0,"",$A173-MAX(N(cfg_PriorLTIDate),_xlfn.MAXIFS(tblSafety[Date],tblSafety[LTI],"&gt;0",tblSafety[Date],"&lt;="&amp;$A173)))</f>
        <v/>
      </c>
      <c r="IS173" s="55">
        <f>SUMIFS(tblBudget[Ore_Mined_t],tblBudget[Month],$E173)</f>
        <v/>
      </c>
      <c r="IT173" s="55">
        <f>$IS173*$C173/$D173</f>
        <v/>
      </c>
      <c r="IU173" s="55">
        <f>SUMIFS(tblBudget[Ore_Mined_t],tblBudget[Month],"&lt;"&amp;$E173)+$IT173</f>
        <v/>
      </c>
      <c r="IV173" s="55">
        <f>SUMIFS(tblBudget[Ore_oz],tblBudget[Month],$E173)</f>
        <v/>
      </c>
      <c r="IW173" s="55">
        <f>$IV173*$C173/$D173</f>
        <v/>
      </c>
      <c r="IX173" s="55">
        <f>SUMIFS(tblBudget[Ore_oz],tblBudget[Month],"&lt;"&amp;$E173)+$IW173</f>
        <v/>
      </c>
      <c r="IY173" s="55">
        <f>SUMIFS(tblBudget[Ore_Mined_t],tblBudget[Month],$E173)</f>
        <v/>
      </c>
      <c r="IZ173" s="55">
        <f>$IY173*$C173/$D173</f>
        <v/>
      </c>
      <c r="JA173" s="55">
        <f>SUMIFS(tblBudget[Ore_Mined_t],tblBudget[Month],"&lt;"&amp;$E173)+$IZ173</f>
        <v/>
      </c>
      <c r="JB173" s="56">
        <f>IFERROR(IF(($IY173)&gt;0,($IV173*cfg_TroyOz)/($IY173),""),"")</f>
        <v/>
      </c>
      <c r="JC173" s="56">
        <f>IFERROR(IF(($IZ173)&gt;0,($IW173*cfg_TroyOz)/($IZ173),""),"")</f>
        <v/>
      </c>
      <c r="JD173" s="56">
        <f>IFERROR(IF(($JA173)&gt;0,($IX173*cfg_TroyOz)/($JA173),""),"")</f>
        <v/>
      </c>
      <c r="JE173" s="55">
        <f>SUMIFS(tblBudget[Waste_t],tblBudget[Month],$E173)</f>
        <v/>
      </c>
      <c r="JF173" s="55">
        <f>$JE173*$C173/$D173</f>
        <v/>
      </c>
      <c r="JG173" s="55">
        <f>SUMIFS(tblBudget[Waste_t],tblBudget[Month],"&lt;"&amp;$E173)+$JF173</f>
        <v/>
      </c>
      <c r="JH173" s="55">
        <f>SUMIFS(tblBudget[TMM_t],tblBudget[Month],$E173)</f>
        <v/>
      </c>
      <c r="JI173" s="55">
        <f>$JH173*$C173/$D173</f>
        <v/>
      </c>
      <c r="JJ173" s="55">
        <f>SUMIFS(tblBudget[TMM_t],tblBudget[Month],"&lt;"&amp;$E173)+$JI173</f>
        <v/>
      </c>
      <c r="JK173" s="56">
        <f>IFERROR(IF(($IS173)&gt;0,($JE173)/($IS173),""),"")</f>
        <v/>
      </c>
      <c r="JL173" s="56">
        <f>IFERROR(IF(($IT173)&gt;0,($JF173)/($IT173),""),"")</f>
        <v/>
      </c>
      <c r="JM173" s="56">
        <f>IFERROR(IF(($IU173)&gt;0,($JG173)/($IU173),""),"")</f>
        <v/>
      </c>
      <c r="JN173" s="55">
        <f>SUMIFS(tblBudget[Drill_m],tblBudget[Month],$E173)</f>
        <v/>
      </c>
      <c r="JO173" s="55">
        <f>$JN173*$C173/$D173</f>
        <v/>
      </c>
      <c r="JP173" s="55">
        <f>SUMIFS(tblBudget[Drill_m],tblBudget[Month],"&lt;"&amp;$E173)+$JO173</f>
        <v/>
      </c>
      <c r="JQ173" s="55">
        <f>SUMIFS(tblBudget[Diesel_L],tblBudget[Month],$E173)</f>
        <v/>
      </c>
      <c r="JR173" s="55">
        <f>$JQ173*$C173/$D173</f>
        <v/>
      </c>
      <c r="JS173" s="55">
        <f>SUMIFS(tblBudget[Diesel_L],tblBudget[Month],"&lt;"&amp;$E173)+$JR173</f>
        <v/>
      </c>
      <c r="JT173" s="55">
        <f>SUMIFS(tblBudget[Milled_t],tblBudget[Month],$E173)</f>
        <v/>
      </c>
      <c r="JU173" s="55">
        <f>$JT173*$C173/$D173</f>
        <v/>
      </c>
      <c r="JV173" s="55">
        <f>SUMIFS(tblBudget[Milled_t],tblBudget[Month],"&lt;"&amp;$E173)+$JU173</f>
        <v/>
      </c>
      <c r="JW173" s="55">
        <f>SUMIFS(tblBudget[Feed_oz],tblBudget[Month],$E173)</f>
        <v/>
      </c>
      <c r="JX173" s="55">
        <f>$JW173*$C173/$D173</f>
        <v/>
      </c>
      <c r="JY173" s="55">
        <f>SUMIFS(tblBudget[Feed_oz],tblBudget[Month],"&lt;"&amp;$E173)+$JX173</f>
        <v/>
      </c>
      <c r="JZ173" s="55">
        <f>SUMIFS(tblBudget[Recovered_oz],tblBudget[Month],$E173)</f>
        <v/>
      </c>
      <c r="KA173" s="55">
        <f>$JZ173*$C173/$D173</f>
        <v/>
      </c>
      <c r="KB173" s="55">
        <f>SUMIFS(tblBudget[Recovered_oz],tblBudget[Month],"&lt;"&amp;$E173)+$KA173</f>
        <v/>
      </c>
      <c r="KC173" s="55">
        <f>SUMIFS(tblBudget[Milled_t],tblBudget[Month],$E173)</f>
        <v/>
      </c>
      <c r="KD173" s="55">
        <f>$KC173*$C173/$D173</f>
        <v/>
      </c>
      <c r="KE173" s="55">
        <f>SUMIFS(tblBudget[Milled_t],tblBudget[Month],"&lt;"&amp;$E173)+$KD173</f>
        <v/>
      </c>
      <c r="KF173" s="55">
        <f>SUMIFS(tblBudget[Feed_oz],tblBudget[Month],$E173)</f>
        <v/>
      </c>
      <c r="KG173" s="55">
        <f>$KF173*$C173/$D173</f>
        <v/>
      </c>
      <c r="KH173" s="55">
        <f>SUMIFS(tblBudget[Feed_oz],tblBudget[Month],"&lt;"&amp;$E173)+$KG173</f>
        <v/>
      </c>
      <c r="KI173" s="56">
        <f>IFERROR(IF(($KC173)&gt;0,($JW173*cfg_TroyOz)/($KC173),""),"")</f>
        <v/>
      </c>
      <c r="KJ173" s="56">
        <f>IFERROR(IF(($KD173)&gt;0,($JX173*cfg_TroyOz)/($KD173),""),"")</f>
        <v/>
      </c>
      <c r="KK173" s="56">
        <f>IFERROR(IF(($KE173)&gt;0,($JY173*cfg_TroyOz)/($KE173),""),"")</f>
        <v/>
      </c>
      <c r="KL173" s="67">
        <f>IFERROR(IF(($KF173)&gt;0,($JZ173)/($KF173),""),"")</f>
        <v/>
      </c>
      <c r="KM173" s="67">
        <f>IFERROR(IF(($KG173)&gt;0,($KA173)/($KG173),""),"")</f>
        <v/>
      </c>
      <c r="KN173" s="67">
        <f>IFERROR(IF(($KH173)&gt;0,($KB173)/($KH173),""),"")</f>
        <v/>
      </c>
      <c r="KO173" s="55">
        <f>SUMIFS(tblBudget[Gold_Poured_oz],tblBudget[Month],$E173)</f>
        <v/>
      </c>
      <c r="KP173" s="55">
        <f>$KO173*$C173/$D173</f>
        <v/>
      </c>
      <c r="KQ173" s="55">
        <f>SUMIFS(tblBudget[Gold_Poured_oz],tblBudget[Month],"&lt;"&amp;$E173)+$KP173</f>
        <v/>
      </c>
      <c r="KR173" s="57">
        <f>SUMIFS(tblBudget[Hours_Worked],tblBudget[Month],$E173)</f>
        <v/>
      </c>
      <c r="KS173" s="57">
        <f>$KR173*$C173/$D173</f>
        <v/>
      </c>
      <c r="KT173" s="57">
        <f>SUMIFS(tblBudget[Hours_Worked],tblBudget[Month],"&lt;"&amp;$E173)+$KS173</f>
        <v/>
      </c>
    </row>
    <row r="174">
      <c r="A174" s="54" t="n">
        <v>46195</v>
      </c>
      <c r="B174">
        <f>MONTH($A174)</f>
        <v/>
      </c>
      <c r="C174">
        <f>DAY($A174)</f>
        <v/>
      </c>
      <c r="D174">
        <f>DAY(EOMONTH($A174,0))</f>
        <v/>
      </c>
      <c r="E174" s="54">
        <f>DATE(YEAR($A174),MONTH($A174),1)</f>
        <v/>
      </c>
      <c r="F174" s="55">
        <f>SUMIFS(tblMovement[Tonnes_t],tblMovement[Date],$A174,tblMovement[Is_Ore],1,tblMovement[Source_Type],"Pit")</f>
        <v/>
      </c>
      <c r="G174" s="55">
        <f>IF($B174=$B173,$G173,0)+$F174</f>
        <v/>
      </c>
      <c r="H174" s="55">
        <f>$H173+$F174</f>
        <v/>
      </c>
      <c r="I174" s="55">
        <f>SUMIFS(tblMovement[Ore_oz],tblMovement[Date],$A174,tblMovement[Source_Type],"Pit")</f>
        <v/>
      </c>
      <c r="J174" s="55">
        <f>IF($B174=$B173,$J173,0)+$I174</f>
        <v/>
      </c>
      <c r="K174" s="55">
        <f>$K173+$I174</f>
        <v/>
      </c>
      <c r="L174" s="55">
        <f>SUMIFS(tblMovement[Tonnes_t],tblMovement[Date],$A174,tblMovement[Is_Ore],1,tblMovement[Source_Type],"Pit",tblMovement[Grade_gpt],"&lt;&gt;")</f>
        <v/>
      </c>
      <c r="M174" s="55">
        <f>IF($B174=$B173,$M173,0)+$L174</f>
        <v/>
      </c>
      <c r="N174" s="55">
        <f>$N173+$L174</f>
        <v/>
      </c>
      <c r="O174" s="56">
        <f>IFERROR(IF(($L174)&gt;0,($I174*cfg_TroyOz)/($L174),""),"")</f>
        <v/>
      </c>
      <c r="P174" s="56">
        <f>IFERROR(IF(($M174)&gt;0,($J174*cfg_TroyOz)/($M174),""),"")</f>
        <v/>
      </c>
      <c r="Q174" s="56">
        <f>IFERROR(IF(($N174)&gt;0,($K174*cfg_TroyOz)/($N174),""),"")</f>
        <v/>
      </c>
      <c r="R174" s="55">
        <f>$F174-$L174</f>
        <v/>
      </c>
      <c r="S174" s="55">
        <f>IF($B174=$B173,$S173,0)+$R174</f>
        <v/>
      </c>
      <c r="T174" s="55">
        <f>$T173+$R174</f>
        <v/>
      </c>
      <c r="U174" s="55">
        <f>SUMIFS(tblMovement[Tonnes_t],tblMovement[Date],$A174,tblMovement[Is_Ore],0,tblMovement[Source_Type],"Pit")</f>
        <v/>
      </c>
      <c r="V174" s="55">
        <f>IF($B174=$B173,$V173,0)+$U174</f>
        <v/>
      </c>
      <c r="W174" s="55">
        <f>$W173+$U174</f>
        <v/>
      </c>
      <c r="X174" s="55">
        <f>$F174+$U174</f>
        <v/>
      </c>
      <c r="Y174" s="55">
        <f>IF($B174=$B173,$Y173,0)+$X174</f>
        <v/>
      </c>
      <c r="Z174" s="55">
        <f>$Z173+$X174</f>
        <v/>
      </c>
      <c r="AA174" s="56">
        <f>IFERROR(IF(($F174)&gt;0,($U174)/($F174),""),"")</f>
        <v/>
      </c>
      <c r="AB174" s="56">
        <f>IFERROR(IF(($G174)&gt;0,($V174)/($G174),""),"")</f>
        <v/>
      </c>
      <c r="AC174" s="56">
        <f>IFERROR(IF(($H174)&gt;0,($W174)/($H174),""),"")</f>
        <v/>
      </c>
      <c r="AD174" s="55">
        <f>SUMIFS(tblMovement[Tonnes_t],tblMovement[Date],$A174,tblMovement[Source_Type],"Stockpile")</f>
        <v/>
      </c>
      <c r="AE174" s="55">
        <f>IF($B174=$B173,$AE173,0)+$AD174</f>
        <v/>
      </c>
      <c r="AF174" s="55">
        <f>$AF173+$AD174</f>
        <v/>
      </c>
      <c r="AG174" s="55">
        <f>SUMIFS(tblMovement[Tonnes_t],tblMovement[Date],$A174)</f>
        <v/>
      </c>
      <c r="AH174" s="55">
        <f>IF($B174=$B173,$AH173,0)+$AG174</f>
        <v/>
      </c>
      <c r="AI174" s="55">
        <f>$AI173+$AG174</f>
        <v/>
      </c>
      <c r="AJ174" s="55">
        <f>$AG174-$X174-$AD174</f>
        <v/>
      </c>
      <c r="AK174" s="55">
        <f>IF($B174=$B173,$AK173,0)+$AJ174</f>
        <v/>
      </c>
      <c r="AL174" s="55">
        <f>$AL173+$AJ174</f>
        <v/>
      </c>
      <c r="AM174" s="55">
        <f>SUMIFS(tblMiningDaily[Drill_m],tblMiningDaily[Date],$A174)</f>
        <v/>
      </c>
      <c r="AN174" s="55">
        <f>IF($B174=$B173,$AN173,0)+$AM174</f>
        <v/>
      </c>
      <c r="AO174" s="55">
        <f>$AO173+$AM174</f>
        <v/>
      </c>
      <c r="AP174" s="55">
        <f>SUMIFS(tblMiningDaily[GC_Drill_m],tblMiningDaily[Date],$A174)</f>
        <v/>
      </c>
      <c r="AQ174" s="55">
        <f>IF($B174=$B173,$AQ173,0)+$AP174</f>
        <v/>
      </c>
      <c r="AR174" s="55">
        <f>$AR173+$AP174</f>
        <v/>
      </c>
      <c r="AS174" s="55">
        <f>SUMIFS(tblMiningDaily[Blast_t],tblMiningDaily[Date],$A174)</f>
        <v/>
      </c>
      <c r="AT174" s="55">
        <f>IF($B174=$B173,$AT173,0)+$AS174</f>
        <v/>
      </c>
      <c r="AU174" s="55">
        <f>$AU173+$AS174</f>
        <v/>
      </c>
      <c r="AV174" s="55">
        <f>SUMIFS(tblMiningDaily[Explosives_kg],tblMiningDaily[Date],$A174)</f>
        <v/>
      </c>
      <c r="AW174" s="55">
        <f>IF($B174=$B173,$AW173,0)+$AV174</f>
        <v/>
      </c>
      <c r="AX174" s="55">
        <f>$AX173+$AV174</f>
        <v/>
      </c>
      <c r="AY174" s="56">
        <f>IFERROR(IF(($AS174)&gt;0,($AV174)/($AS174),""),"")</f>
        <v/>
      </c>
      <c r="AZ174" s="56">
        <f>IFERROR(IF(($AT174)&gt;0,($AW174)/($AT174),""),"")</f>
        <v/>
      </c>
      <c r="BA174" s="56">
        <f>IFERROR(IF(($AU174)&gt;0,($AX174)/($AU174),""),"")</f>
        <v/>
      </c>
      <c r="BB174" s="55">
        <f>SUMIFS(tblMiningDaily[Diesel_L],tblMiningDaily[Date],$A174)</f>
        <v/>
      </c>
      <c r="BC174" s="55">
        <f>IF($B174=$B173,$BC173,0)+$BB174</f>
        <v/>
      </c>
      <c r="BD174" s="55">
        <f>$BD173+$BB174</f>
        <v/>
      </c>
      <c r="BE174" s="55">
        <f>SUMIFS(tblMiningDaily[Dewatering_m3],tblMiningDaily[Date],$A174)</f>
        <v/>
      </c>
      <c r="BF174" s="55">
        <f>IF($B174=$B173,$BF173,0)+$BE174</f>
        <v/>
      </c>
      <c r="BG174" s="55">
        <f>$BG173+$BE174</f>
        <v/>
      </c>
      <c r="BH174" s="57">
        <f>SUMIFS(tblFleet[Calendar_h],tblFleet[Date],$A174,tblFleet[Equipment_Class],"Excavator")</f>
        <v/>
      </c>
      <c r="BI174" s="57">
        <f>IF($B174=$B173,$BI173,0)+$BH174</f>
        <v/>
      </c>
      <c r="BJ174" s="57">
        <f>$BJ173+$BH174</f>
        <v/>
      </c>
      <c r="BK174" s="57">
        <f>SUMIFS(tblFleet[Available_h],tblFleet[Date],$A174,tblFleet[Equipment_Class],"Excavator")</f>
        <v/>
      </c>
      <c r="BL174" s="57">
        <f>IF($B174=$B173,$BL173,0)+$BK174</f>
        <v/>
      </c>
      <c r="BM174" s="57">
        <f>$BM173+$BK174</f>
        <v/>
      </c>
      <c r="BN174" s="57">
        <f>SUMIFS(tblFleet[Operating_h],tblFleet[Date],$A174,tblFleet[Equipment_Class],"Excavator")</f>
        <v/>
      </c>
      <c r="BO174" s="57">
        <f>IF($B174=$B173,$BO173,0)+$BN174</f>
        <v/>
      </c>
      <c r="BP174" s="57">
        <f>$BP173+$BN174</f>
        <v/>
      </c>
      <c r="BQ174" s="67">
        <f>IFERROR(IF(($BH174)&gt;0,($BK174)/($BH174),""),"")</f>
        <v/>
      </c>
      <c r="BR174" s="67">
        <f>IFERROR(IF(($BI174)&gt;0,($BL174)/($BI174),""),"")</f>
        <v/>
      </c>
      <c r="BS174" s="67">
        <f>IFERROR(IF(($BJ174)&gt;0,($BM174)/($BJ174),""),"")</f>
        <v/>
      </c>
      <c r="BT174" s="67">
        <f>IFERROR(IF(($BK174)&gt;0,($BN174)/($BK174),""),"")</f>
        <v/>
      </c>
      <c r="BU174" s="67">
        <f>IFERROR(IF(($BL174)&gt;0,($BO174)/($BL174),""),"")</f>
        <v/>
      </c>
      <c r="BV174" s="67">
        <f>IFERROR(IF(($BM174)&gt;0,($BP174)/($BM174),""),"")</f>
        <v/>
      </c>
      <c r="BW174" s="57">
        <f>SUMIFS(tblFleet[Calendar_h],tblFleet[Date],$A174,tblFleet[Equipment_Class],"Haul Truck")</f>
        <v/>
      </c>
      <c r="BX174" s="57">
        <f>IF($B174=$B173,$BX173,0)+$BW174</f>
        <v/>
      </c>
      <c r="BY174" s="57">
        <f>$BY173+$BW174</f>
        <v/>
      </c>
      <c r="BZ174" s="57">
        <f>SUMIFS(tblFleet[Available_h],tblFleet[Date],$A174,tblFleet[Equipment_Class],"Haul Truck")</f>
        <v/>
      </c>
      <c r="CA174" s="57">
        <f>IF($B174=$B173,$CA173,0)+$BZ174</f>
        <v/>
      </c>
      <c r="CB174" s="57">
        <f>$CB173+$BZ174</f>
        <v/>
      </c>
      <c r="CC174" s="57">
        <f>SUMIFS(tblFleet[Operating_h],tblFleet[Date],$A174,tblFleet[Equipment_Class],"Haul Truck")</f>
        <v/>
      </c>
      <c r="CD174" s="57">
        <f>IF($B174=$B173,$CD173,0)+$CC174</f>
        <v/>
      </c>
      <c r="CE174" s="57">
        <f>$CE173+$CC174</f>
        <v/>
      </c>
      <c r="CF174" s="67">
        <f>IFERROR(IF(($BW174)&gt;0,($BZ174)/($BW174),""),"")</f>
        <v/>
      </c>
      <c r="CG174" s="67">
        <f>IFERROR(IF(($BX174)&gt;0,($CA174)/($BX174),""),"")</f>
        <v/>
      </c>
      <c r="CH174" s="67">
        <f>IFERROR(IF(($BY174)&gt;0,($CB174)/($BY174),""),"")</f>
        <v/>
      </c>
      <c r="CI174" s="67">
        <f>IFERROR(IF(($BZ174)&gt;0,($CC174)/($BZ174),""),"")</f>
        <v/>
      </c>
      <c r="CJ174" s="67">
        <f>IFERROR(IF(($CA174)&gt;0,($CD174)/($CA174),""),"")</f>
        <v/>
      </c>
      <c r="CK174" s="67">
        <f>IFERROR(IF(($CB174)&gt;0,($CE174)/($CB174),""),"")</f>
        <v/>
      </c>
      <c r="CL174" s="55">
        <f>IFERROR(IF(($BN174)&gt;0,($X174+$AD174)/($BN174),""),"")</f>
        <v/>
      </c>
      <c r="CM174" s="55">
        <f>IFERROR(IF(($BO174)&gt;0,($Y174+$AE174)/($BO174),""),"")</f>
        <v/>
      </c>
      <c r="CN174" s="55">
        <f>IFERROR(IF(($BP174)&gt;0,($Z174+$AF174)/($BP174),""),"")</f>
        <v/>
      </c>
      <c r="CO174" s="55">
        <f>IFERROR(IF(($CC174)&gt;0,($X174+$AD174)/($CC174),""),"")</f>
        <v/>
      </c>
      <c r="CP174" s="55">
        <f>IFERROR(IF(($CD174)&gt;0,($Y174+$AE174)/($CD174),""),"")</f>
        <v/>
      </c>
      <c r="CQ174" s="55">
        <f>IFERROR(IF(($CE174)&gt;0,($Z174+$AF174)/($CE174),""),"")</f>
        <v/>
      </c>
      <c r="CR174" s="55">
        <f>SUMIFS(tblPlant[Crushed_t],tblPlant[Date],$A174)</f>
        <v/>
      </c>
      <c r="CS174" s="55">
        <f>IF($B174=$B173,$CS173,0)+$CR174</f>
        <v/>
      </c>
      <c r="CT174" s="55">
        <f>$CT173+$CR174</f>
        <v/>
      </c>
      <c r="CU174" s="55">
        <f>SUMIFS(tblPlant[Milled_t],tblPlant[Date],$A174)</f>
        <v/>
      </c>
      <c r="CV174" s="55">
        <f>IF($B174=$B173,$CV173,0)+$CU174</f>
        <v/>
      </c>
      <c r="CW174" s="55">
        <f>$CW173+$CU174</f>
        <v/>
      </c>
      <c r="CX174" s="55">
        <f>SUMIFS(tblPlant[Feed_oz],tblPlant[Date],$A174)</f>
        <v/>
      </c>
      <c r="CY174" s="55">
        <f>IF($B174=$B173,$CY173,0)+$CX174</f>
        <v/>
      </c>
      <c r="CZ174" s="55">
        <f>$CZ173+$CX174</f>
        <v/>
      </c>
      <c r="DA174" s="55">
        <f>SUMIFS(tblPlant[Tails_oz],tblPlant[Date],$A174)</f>
        <v/>
      </c>
      <c r="DB174" s="55">
        <f>IF($B174=$B173,$DB173,0)+$DA174</f>
        <v/>
      </c>
      <c r="DC174" s="55">
        <f>$DC173+$DA174</f>
        <v/>
      </c>
      <c r="DD174" s="55">
        <f>SUMIFS(tblPlant[Recovered_oz],tblPlant[Date],$A174)</f>
        <v/>
      </c>
      <c r="DE174" s="55">
        <f>IF($B174=$B173,$DE173,0)+$DD174</f>
        <v/>
      </c>
      <c r="DF174" s="55">
        <f>$DF173+$DD174</f>
        <v/>
      </c>
      <c r="DG174" s="55">
        <f>SUMIFS(tblPlant[Milled_t],tblPlant[Date],$A174,tblPlant[Head_Grade_gpt],"&lt;&gt;")</f>
        <v/>
      </c>
      <c r="DH174" s="55">
        <f>IF($B174=$B173,$DH173,0)+$DG174</f>
        <v/>
      </c>
      <c r="DI174" s="55">
        <f>$DI173+$DG174</f>
        <v/>
      </c>
      <c r="DJ174" s="55">
        <f>SUMIFS(tblPlant[Milled_t],tblPlant[Date],$A174,tblPlant[Tails_Grade_gpt],"&lt;&gt;")</f>
        <v/>
      </c>
      <c r="DK174" s="55">
        <f>IF($B174=$B173,$DK173,0)+$DJ174</f>
        <v/>
      </c>
      <c r="DL174" s="55">
        <f>$DL173+$DJ174</f>
        <v/>
      </c>
      <c r="DM174" s="55">
        <f>SUMIFS(tblPlant[Feed_oz],tblPlant[Date],$A174,tblPlant[Tails_Grade_gpt],"&lt;&gt;")</f>
        <v/>
      </c>
      <c r="DN174" s="55">
        <f>IF($B174=$B173,$DN173,0)+$DM174</f>
        <v/>
      </c>
      <c r="DO174" s="55">
        <f>$DO173+$DM174</f>
        <v/>
      </c>
      <c r="DP174" s="55">
        <f>SUMIFS(tblPlant[Milled_t],tblPlant[Date],$A174,tblPlant[Mill_Run_h],"&lt;&gt;")</f>
        <v/>
      </c>
      <c r="DQ174" s="55">
        <f>IF($B174=$B173,$DQ173,0)+$DP174</f>
        <v/>
      </c>
      <c r="DR174" s="55">
        <f>$DR173+$DP174</f>
        <v/>
      </c>
      <c r="DS174" s="56">
        <f>IFERROR(IF(($DG174)&gt;0,($CX174*cfg_TroyOz)/($DG174),""),"")</f>
        <v/>
      </c>
      <c r="DT174" s="56">
        <f>IFERROR(IF(($DH174)&gt;0,($CY174*cfg_TroyOz)/($DH174),""),"")</f>
        <v/>
      </c>
      <c r="DU174" s="56">
        <f>IFERROR(IF(($DI174)&gt;0,($CZ174*cfg_TroyOz)/($DI174),""),"")</f>
        <v/>
      </c>
      <c r="DV174" s="56">
        <f>IFERROR(IF(($DJ174)&gt;0,($DA174*cfg_TroyOz)/($DJ174),""),"")</f>
        <v/>
      </c>
      <c r="DW174" s="56">
        <f>IFERROR(IF(($DK174)&gt;0,($DB174*cfg_TroyOz)/($DK174),""),"")</f>
        <v/>
      </c>
      <c r="DX174" s="56">
        <f>IFERROR(IF(($DL174)&gt;0,($DC174*cfg_TroyOz)/($DL174),""),"")</f>
        <v/>
      </c>
      <c r="DY174" s="67">
        <f>IFERROR(IF(($DM174)&gt;0,($DD174)/($DM174),""),"")</f>
        <v/>
      </c>
      <c r="DZ174" s="67">
        <f>IFERROR(IF(($DN174)&gt;0,($DE174)/($DN174),""),"")</f>
        <v/>
      </c>
      <c r="EA174" s="67">
        <f>IFERROR(IF(($DO174)&gt;0,($DF174)/($DO174),""),"")</f>
        <v/>
      </c>
      <c r="EB174" s="55">
        <f>SUMIFS(tblPlant[Gravity_Gold_oz],tblPlant[Date],$A174)</f>
        <v/>
      </c>
      <c r="EC174" s="55">
        <f>IF($B174=$B173,$EC173,0)+$EB174</f>
        <v/>
      </c>
      <c r="ED174" s="55">
        <f>$ED173+$EB174</f>
        <v/>
      </c>
      <c r="EE174" s="67">
        <f>IFERROR(IF(($DD174)&gt;0,($EB174)/($DD174),""),"")</f>
        <v/>
      </c>
      <c r="EF174" s="67">
        <f>IFERROR(IF(($DE174)&gt;0,($EC174)/($DE174),""),"")</f>
        <v/>
      </c>
      <c r="EG174" s="67">
        <f>IFERROR(IF(($DF174)&gt;0,($ED174)/($DF174),""),"")</f>
        <v/>
      </c>
      <c r="EH174" s="55">
        <f>SUMIFS(tblPlant[Gold_Poured_oz],tblPlant[Date],$A174)</f>
        <v/>
      </c>
      <c r="EI174" s="55">
        <f>IF($B174=$B173,$EI173,0)+$EH174</f>
        <v/>
      </c>
      <c r="EJ174" s="55">
        <f>$EJ173+$EH174</f>
        <v/>
      </c>
      <c r="EK174" s="57">
        <f>SUMIFS(tblPlant[Mill_Run_h],tblPlant[Date],$A174)</f>
        <v/>
      </c>
      <c r="EL174" s="57">
        <f>IF($B174=$B173,$EL173,0)+$EK174</f>
        <v/>
      </c>
      <c r="EM174" s="57">
        <f>$EM173+$EK174</f>
        <v/>
      </c>
      <c r="EN174" s="57">
        <f>SUMIFS(tblPlant[Mill_Planned_Maint_h],tblPlant[Date],$A174)</f>
        <v/>
      </c>
      <c r="EO174" s="57">
        <f>IF($B174=$B173,$EO173,0)+$EN174</f>
        <v/>
      </c>
      <c r="EP174" s="57">
        <f>$EP173+$EN174</f>
        <v/>
      </c>
      <c r="EQ174" s="57">
        <f>SUMIFS(tblPlant[Mill_Unplanned_Down_h],tblPlant[Date],$A174)</f>
        <v/>
      </c>
      <c r="ER174" s="57">
        <f>IF($B174=$B173,$ER173,0)+$EQ174</f>
        <v/>
      </c>
      <c r="ES174" s="57">
        <f>$ES173+$EQ174</f>
        <v/>
      </c>
      <c r="ET174" s="57">
        <f>IF(COUNTIFS(tblPlant[Date],$A174,tblPlant[Mill_Run_h],"&lt;&gt;")+COUNTIFS(tblPlant[Date],$A174,tblPlant[Mill_Planned_Maint_h],"&lt;&gt;")+COUNTIFS(tblPlant[Date],$A174,tblPlant[Mill_Unplanned_Down_h],"&lt;&gt;")&gt;0,cfg_HoursPerDay,0)</f>
        <v/>
      </c>
      <c r="EU174" s="57">
        <f>IF($B174=$B173,$EU173,0)+$ET174</f>
        <v/>
      </c>
      <c r="EV174" s="57">
        <f>$EV173+$ET174</f>
        <v/>
      </c>
      <c r="EW174" s="57">
        <f>SUMIFS(tblPlant[Crusher_Run_h],tblPlant[Date],$A174)</f>
        <v/>
      </c>
      <c r="EX174" s="57">
        <f>IF($B174=$B173,$EX173,0)+$EW174</f>
        <v/>
      </c>
      <c r="EY174" s="57">
        <f>$EY173+$EW174</f>
        <v/>
      </c>
      <c r="EZ174" s="55">
        <f>IFERROR(IF(($EK174)&gt;0,($DP174)/($EK174),""),"")</f>
        <v/>
      </c>
      <c r="FA174" s="55">
        <f>IFERROR(IF(($EL174)&gt;0,($DQ174)/($EL174),""),"")</f>
        <v/>
      </c>
      <c r="FB174" s="55">
        <f>IFERROR(IF(($EM174)&gt;0,($DR174)/($EM174),""),"")</f>
        <v/>
      </c>
      <c r="FC174" s="67">
        <f>IFERROR(IF(($ET174)&gt;0,($ET174-$EN174-$EQ174)/($ET174),""),"")</f>
        <v/>
      </c>
      <c r="FD174" s="67">
        <f>IFERROR(IF(($EU174)&gt;0,($EU174-$EO174-$ER174)/($EU174),""),"")</f>
        <v/>
      </c>
      <c r="FE174" s="67">
        <f>IFERROR(IF(($EV174)&gt;0,($EV174-$EP174-$ES174)/($EV174),""),"")</f>
        <v/>
      </c>
      <c r="FF174" s="67">
        <f>IFERROR(IF(($ET174-$EN174-$EQ174)&gt;0,($EK174)/($ET174-$EN174-$EQ174),""),"")</f>
        <v/>
      </c>
      <c r="FG174" s="67">
        <f>IFERROR(IF(($EU174-$EO174-$ER174)&gt;0,($EL174)/($EU174-$EO174-$ER174),""),"")</f>
        <v/>
      </c>
      <c r="FH174" s="67">
        <f>IFERROR(IF(($EV174-$EP174-$ES174)&gt;0,($EM174)/($EV174-$EP174-$ES174),""),"")</f>
        <v/>
      </c>
      <c r="FI174" s="55">
        <f>SUMIFS(tblPlant[Cyanide_kg],tblPlant[Date],$A174)</f>
        <v/>
      </c>
      <c r="FJ174" s="55">
        <f>IF($B174=$B173,$FJ173,0)+$FI174</f>
        <v/>
      </c>
      <c r="FK174" s="55">
        <f>$FK173+$FI174</f>
        <v/>
      </c>
      <c r="FL174" s="55">
        <f>SUMIFS(tblPlant[Lime_kg],tblPlant[Date],$A174)</f>
        <v/>
      </c>
      <c r="FM174" s="55">
        <f>IF($B174=$B173,$FM173,0)+$FL174</f>
        <v/>
      </c>
      <c r="FN174" s="55">
        <f>$FN173+$FL174</f>
        <v/>
      </c>
      <c r="FO174" s="55">
        <f>SUMIFS(tblPlant[Grinding_Media_kg],tblPlant[Date],$A174)</f>
        <v/>
      </c>
      <c r="FP174" s="55">
        <f>IF($B174=$B173,$FP173,0)+$FO174</f>
        <v/>
      </c>
      <c r="FQ174" s="55">
        <f>$FQ173+$FO174</f>
        <v/>
      </c>
      <c r="FR174" s="55">
        <f>SUMIFS(tblPlant[Power_kWh],tblPlant[Date],$A174)</f>
        <v/>
      </c>
      <c r="FS174" s="55">
        <f>IF($B174=$B173,$FS173,0)+$FR174</f>
        <v/>
      </c>
      <c r="FT174" s="55">
        <f>$FT173+$FR174</f>
        <v/>
      </c>
      <c r="FU174" s="55">
        <f>SUMIFS(tblPlant[Raw_Water_m3],tblPlant[Date],$A174)</f>
        <v/>
      </c>
      <c r="FV174" s="55">
        <f>IF($B174=$B173,$FV173,0)+$FU174</f>
        <v/>
      </c>
      <c r="FW174" s="55">
        <f>$FW173+$FU174</f>
        <v/>
      </c>
      <c r="FX174" s="56">
        <f>IFERROR(IF(($CU174)&gt;0,($FI174)/($CU174),""),"")</f>
        <v/>
      </c>
      <c r="FY174" s="56">
        <f>IFERROR(IF(($CV174)&gt;0,($FJ174)/($CV174),""),"")</f>
        <v/>
      </c>
      <c r="FZ174" s="56">
        <f>IFERROR(IF(($CW174)&gt;0,($FK174)/($CW174),""),"")</f>
        <v/>
      </c>
      <c r="GA174" s="56">
        <f>IFERROR(IF(($CU174)&gt;0,($FL174)/($CU174),""),"")</f>
        <v/>
      </c>
      <c r="GB174" s="56">
        <f>IFERROR(IF(($CV174)&gt;0,($FM174)/($CV174),""),"")</f>
        <v/>
      </c>
      <c r="GC174" s="56">
        <f>IFERROR(IF(($CW174)&gt;0,($FN174)/($CW174),""),"")</f>
        <v/>
      </c>
      <c r="GD174" s="56">
        <f>IFERROR(IF(($CU174)&gt;0,($FO174)/($CU174),""),"")</f>
        <v/>
      </c>
      <c r="GE174" s="56">
        <f>IFERROR(IF(($CV174)&gt;0,($FP174)/($CV174),""),"")</f>
        <v/>
      </c>
      <c r="GF174" s="56">
        <f>IFERROR(IF(($CW174)&gt;0,($FQ174)/($CW174),""),"")</f>
        <v/>
      </c>
      <c r="GG174" s="79">
        <f>IFERROR(IF(($CU174)&gt;0,($FR174)/($CU174),""),"")</f>
        <v/>
      </c>
      <c r="GH174" s="79">
        <f>IFERROR(IF(($CV174)&gt;0,($FS174)/($CV174),""),"")</f>
        <v/>
      </c>
      <c r="GI174" s="79">
        <f>IFERROR(IF(($CW174)&gt;0,($FT174)/($CW174),""),"")</f>
        <v/>
      </c>
      <c r="GJ174" s="56">
        <f>IFERROR(IF(($CU174)&gt;0,($FU174)/($CU174),""),"")</f>
        <v/>
      </c>
      <c r="GK174" s="56">
        <f>IFERROR(IF(($CV174)&gt;0,($FV174)/($CV174),""),"")</f>
        <v/>
      </c>
      <c r="GL174" s="56">
        <f>IFERROR(IF(($CW174)&gt;0,($FW174)/($CW174),""),"")</f>
        <v/>
      </c>
      <c r="GM174" s="55">
        <f>IF(SUMIFS(tblPlant[GIC_oz],tblPlant[Date],$A174)&gt;0,SUMIFS(tblPlant[GIC_oz],tblPlant[Date],$A174),"")</f>
        <v/>
      </c>
      <c r="GN174" s="55">
        <f>SUMIFS(tblGold[Gold_oz],tblGold[Date],$A174,tblGold[Type],"Shipment")</f>
        <v/>
      </c>
      <c r="GO174" s="55">
        <f>IF($B174=$B173,$GO173,0)+$GN174</f>
        <v/>
      </c>
      <c r="GP174" s="55">
        <f>$GP173+$GN174</f>
        <v/>
      </c>
      <c r="GQ174" s="55">
        <f>SUMIFS(tblGold[Gold_oz],tblGold[Date],$A174,tblGold[Type],"Sale")</f>
        <v/>
      </c>
      <c r="GR174" s="55">
        <f>IF($B174=$B173,$GR173,0)+$GQ174</f>
        <v/>
      </c>
      <c r="GS174" s="55">
        <f>$GS173+$GQ174</f>
        <v/>
      </c>
      <c r="GT174" s="55">
        <f>SUMIFS(tblGold[Dore_kg],tblGold[Date],$A174,tblGold[Type],"Shipment")</f>
        <v/>
      </c>
      <c r="GU174" s="55">
        <f>IF($B174=$B173,$GU173,0)+$GT174</f>
        <v/>
      </c>
      <c r="GV174" s="55">
        <f>$GV173+$GT174</f>
        <v/>
      </c>
      <c r="GW174" s="57">
        <f>SUMIFS(tblSafety[Hours_Total],tblSafety[Date],$A174)</f>
        <v/>
      </c>
      <c r="GX174" s="57">
        <f>IF($B174=$B173,$GX173,0)+$GW174</f>
        <v/>
      </c>
      <c r="GY174" s="57">
        <f>$GY173+$GW174</f>
        <v/>
      </c>
      <c r="GZ174" s="62">
        <f>SUMIFS(tblSafety[Fatality],tblSafety[Date],$A174)</f>
        <v/>
      </c>
      <c r="HA174" s="62">
        <f>IF($B174=$B173,$HA173,0)+$GZ174</f>
        <v/>
      </c>
      <c r="HB174" s="62">
        <f>$HB173+$GZ174</f>
        <v/>
      </c>
      <c r="HC174" s="62">
        <f>SUMIFS(tblSafety[LTI],tblSafety[Date],$A174)</f>
        <v/>
      </c>
      <c r="HD174" s="62">
        <f>IF($B174=$B173,$HD173,0)+$HC174</f>
        <v/>
      </c>
      <c r="HE174" s="62">
        <f>$HE173+$HC174</f>
        <v/>
      </c>
      <c r="HF174" s="62">
        <f>SUMIFS(tblSafety[RWI],tblSafety[Date],$A174)</f>
        <v/>
      </c>
      <c r="HG174" s="62">
        <f>IF($B174=$B173,$HG173,0)+$HF174</f>
        <v/>
      </c>
      <c r="HH174" s="62">
        <f>$HH173+$HF174</f>
        <v/>
      </c>
      <c r="HI174" s="62">
        <f>SUMIFS(tblSafety[MTI],tblSafety[Date],$A174)</f>
        <v/>
      </c>
      <c r="HJ174" s="62">
        <f>IF($B174=$B173,$HJ173,0)+$HI174</f>
        <v/>
      </c>
      <c r="HK174" s="62">
        <f>$HK173+$HI174</f>
        <v/>
      </c>
      <c r="HL174" s="62">
        <f>SUMIFS(tblSafety[FAI],tblSafety[Date],$A174)</f>
        <v/>
      </c>
      <c r="HM174" s="62">
        <f>IF($B174=$B173,$HM173,0)+$HL174</f>
        <v/>
      </c>
      <c r="HN174" s="62">
        <f>$HN173+$HL174</f>
        <v/>
      </c>
      <c r="HO174" s="62">
        <f>SUMIFS(tblSafety[Recordables],tblSafety[Date],$A174)</f>
        <v/>
      </c>
      <c r="HP174" s="62">
        <f>IF($B174=$B173,$HP173,0)+$HO174</f>
        <v/>
      </c>
      <c r="HQ174" s="62">
        <f>$HQ173+$HO174</f>
        <v/>
      </c>
      <c r="HR174" s="62">
        <f>SUMIFS(tblSafety[Near_Miss],tblSafety[Date],$A174)</f>
        <v/>
      </c>
      <c r="HS174" s="62">
        <f>IF($B174=$B173,$HS173,0)+$HR174</f>
        <v/>
      </c>
      <c r="HT174" s="62">
        <f>$HT173+$HR174</f>
        <v/>
      </c>
      <c r="HU174" s="62">
        <f>SUMIFS(tblSafety[Hazard_Reports],tblSafety[Date],$A174)</f>
        <v/>
      </c>
      <c r="HV174" s="62">
        <f>IF($B174=$B173,$HV173,0)+$HU174</f>
        <v/>
      </c>
      <c r="HW174" s="62">
        <f>$HW173+$HU174</f>
        <v/>
      </c>
      <c r="HX174" s="62">
        <f>SUMIFS(tblSafety[HPI],tblSafety[Date],$A174)</f>
        <v/>
      </c>
      <c r="HY174" s="62">
        <f>IF($B174=$B173,$HY173,0)+$HX174</f>
        <v/>
      </c>
      <c r="HZ174" s="62">
        <f>$HZ173+$HX174</f>
        <v/>
      </c>
      <c r="IA174" s="62">
        <f>SUMIFS(tblSafety[Env_Incidents],tblSafety[Date],$A174)</f>
        <v/>
      </c>
      <c r="IB174" s="62">
        <f>IF($B174=$B173,$IB173,0)+$IA174</f>
        <v/>
      </c>
      <c r="IC174" s="62">
        <f>$IC173+$IA174</f>
        <v/>
      </c>
      <c r="ID174" s="62">
        <f>SUMIFS(tblSafety[Community_Incidents],tblSafety[Date],$A174)</f>
        <v/>
      </c>
      <c r="IE174" s="62">
        <f>IF($B174=$B173,$IE173,0)+$ID174</f>
        <v/>
      </c>
      <c r="IF174" s="62">
        <f>$IF173+$ID174</f>
        <v/>
      </c>
      <c r="IG174" s="62">
        <f>SUMIFS(tblSafety[Vehicle_Incidents],tblSafety[Date],$A174)</f>
        <v/>
      </c>
      <c r="IH174" s="62">
        <f>IF($B174=$B173,$IH173,0)+$IG174</f>
        <v/>
      </c>
      <c r="II174" s="62">
        <f>$II173+$IG174</f>
        <v/>
      </c>
      <c r="IJ174" s="62">
        <f>SUMIFS(tblSafety[Toolbox_Talks],tblSafety[Date],$A174)</f>
        <v/>
      </c>
      <c r="IK174" s="62">
        <f>IF($B174=$B173,$IK173,0)+$IJ174</f>
        <v/>
      </c>
      <c r="IL174" s="62">
        <f>$IL173+$IJ174</f>
        <v/>
      </c>
      <c r="IM174" s="62">
        <f>SUMIFS(tblSafety[Inspections],tblSafety[Date],$A174)</f>
        <v/>
      </c>
      <c r="IN174" s="62">
        <f>IF($B174=$B173,$IN173,0)+$IM174</f>
        <v/>
      </c>
      <c r="IO174" s="62">
        <f>$IO173+$IM174</f>
        <v/>
      </c>
      <c r="IP174" s="56">
        <f>IFERROR((SUMIFS(tblSafety[Recordables],tblSafety[Date],"&gt;="&amp;EDATE($E174,-12),tblSafety[Date],"&lt;="&amp;$A174)+SUMIFS(tblSafetyHistory[Recordables],tblSafetyHistory[Month],"&gt;="&amp;EDATE($E174,-12),tblSafetyHistory[Month],"&lt;"&amp;$E174,tblSafetyHistory[Use],1))/(SUMIFS(tblSafety[Hours_Total],tblSafety[Date],"&gt;="&amp;EDATE($E174,-12),tblSafety[Date],"&lt;="&amp;$A174)+SUMIFS(tblSafetyHistory[Hours_Total],tblSafetyHistory[Month],"&gt;="&amp;EDATE($E174,-12),tblSafetyHistory[Month],"&lt;"&amp;$E174,tblSafetyHistory[Use],1))*cfg_RateBasisHours,"")</f>
        <v/>
      </c>
      <c r="IQ174" s="56">
        <f>IFERROR((SUMIFS(tblSafety[LTI],tblSafety[Date],"&gt;="&amp;EDATE($E174,-12),tblSafety[Date],"&lt;="&amp;$A174)+SUMIFS(tblSafetyHistory[LTI],tblSafetyHistory[Month],"&gt;="&amp;EDATE($E174,-12),tblSafetyHistory[Month],"&lt;"&amp;$E174,tblSafetyHistory[Use],1))/(SUMIFS(tblSafety[Hours_Total],tblSafety[Date],"&gt;="&amp;EDATE($E174,-12),tblSafety[Date],"&lt;="&amp;$A174)+SUMIFS(tblSafetyHistory[Hours_Total],tblSafetyHistory[Month],"&gt;="&amp;EDATE($E174,-12),tblSafetyHistory[Month],"&lt;"&amp;$E174,tblSafetyHistory[Use],1))*cfg_RateBasisHours,"")</f>
        <v/>
      </c>
      <c r="IR174" s="62">
        <f>IF(MAX(N(cfg_PriorLTIDate),_xlfn.MAXIFS(tblSafety[Date],tblSafety[LTI],"&gt;0",tblSafety[Date],"&lt;="&amp;$A174))=0,"",$A174-MAX(N(cfg_PriorLTIDate),_xlfn.MAXIFS(tblSafety[Date],tblSafety[LTI],"&gt;0",tblSafety[Date],"&lt;="&amp;$A174)))</f>
        <v/>
      </c>
      <c r="IS174" s="55">
        <f>SUMIFS(tblBudget[Ore_Mined_t],tblBudget[Month],$E174)</f>
        <v/>
      </c>
      <c r="IT174" s="55">
        <f>$IS174*$C174/$D174</f>
        <v/>
      </c>
      <c r="IU174" s="55">
        <f>SUMIFS(tblBudget[Ore_Mined_t],tblBudget[Month],"&lt;"&amp;$E174)+$IT174</f>
        <v/>
      </c>
      <c r="IV174" s="55">
        <f>SUMIFS(tblBudget[Ore_oz],tblBudget[Month],$E174)</f>
        <v/>
      </c>
      <c r="IW174" s="55">
        <f>$IV174*$C174/$D174</f>
        <v/>
      </c>
      <c r="IX174" s="55">
        <f>SUMIFS(tblBudget[Ore_oz],tblBudget[Month],"&lt;"&amp;$E174)+$IW174</f>
        <v/>
      </c>
      <c r="IY174" s="55">
        <f>SUMIFS(tblBudget[Ore_Mined_t],tblBudget[Month],$E174)</f>
        <v/>
      </c>
      <c r="IZ174" s="55">
        <f>$IY174*$C174/$D174</f>
        <v/>
      </c>
      <c r="JA174" s="55">
        <f>SUMIFS(tblBudget[Ore_Mined_t],tblBudget[Month],"&lt;"&amp;$E174)+$IZ174</f>
        <v/>
      </c>
      <c r="JB174" s="56">
        <f>IFERROR(IF(($IY174)&gt;0,($IV174*cfg_TroyOz)/($IY174),""),"")</f>
        <v/>
      </c>
      <c r="JC174" s="56">
        <f>IFERROR(IF(($IZ174)&gt;0,($IW174*cfg_TroyOz)/($IZ174),""),"")</f>
        <v/>
      </c>
      <c r="JD174" s="56">
        <f>IFERROR(IF(($JA174)&gt;0,($IX174*cfg_TroyOz)/($JA174),""),"")</f>
        <v/>
      </c>
      <c r="JE174" s="55">
        <f>SUMIFS(tblBudget[Waste_t],tblBudget[Month],$E174)</f>
        <v/>
      </c>
      <c r="JF174" s="55">
        <f>$JE174*$C174/$D174</f>
        <v/>
      </c>
      <c r="JG174" s="55">
        <f>SUMIFS(tblBudget[Waste_t],tblBudget[Month],"&lt;"&amp;$E174)+$JF174</f>
        <v/>
      </c>
      <c r="JH174" s="55">
        <f>SUMIFS(tblBudget[TMM_t],tblBudget[Month],$E174)</f>
        <v/>
      </c>
      <c r="JI174" s="55">
        <f>$JH174*$C174/$D174</f>
        <v/>
      </c>
      <c r="JJ174" s="55">
        <f>SUMIFS(tblBudget[TMM_t],tblBudget[Month],"&lt;"&amp;$E174)+$JI174</f>
        <v/>
      </c>
      <c r="JK174" s="56">
        <f>IFERROR(IF(($IS174)&gt;0,($JE174)/($IS174),""),"")</f>
        <v/>
      </c>
      <c r="JL174" s="56">
        <f>IFERROR(IF(($IT174)&gt;0,($JF174)/($IT174),""),"")</f>
        <v/>
      </c>
      <c r="JM174" s="56">
        <f>IFERROR(IF(($IU174)&gt;0,($JG174)/($IU174),""),"")</f>
        <v/>
      </c>
      <c r="JN174" s="55">
        <f>SUMIFS(tblBudget[Drill_m],tblBudget[Month],$E174)</f>
        <v/>
      </c>
      <c r="JO174" s="55">
        <f>$JN174*$C174/$D174</f>
        <v/>
      </c>
      <c r="JP174" s="55">
        <f>SUMIFS(tblBudget[Drill_m],tblBudget[Month],"&lt;"&amp;$E174)+$JO174</f>
        <v/>
      </c>
      <c r="JQ174" s="55">
        <f>SUMIFS(tblBudget[Diesel_L],tblBudget[Month],$E174)</f>
        <v/>
      </c>
      <c r="JR174" s="55">
        <f>$JQ174*$C174/$D174</f>
        <v/>
      </c>
      <c r="JS174" s="55">
        <f>SUMIFS(tblBudget[Diesel_L],tblBudget[Month],"&lt;"&amp;$E174)+$JR174</f>
        <v/>
      </c>
      <c r="JT174" s="55">
        <f>SUMIFS(tblBudget[Milled_t],tblBudget[Month],$E174)</f>
        <v/>
      </c>
      <c r="JU174" s="55">
        <f>$JT174*$C174/$D174</f>
        <v/>
      </c>
      <c r="JV174" s="55">
        <f>SUMIFS(tblBudget[Milled_t],tblBudget[Month],"&lt;"&amp;$E174)+$JU174</f>
        <v/>
      </c>
      <c r="JW174" s="55">
        <f>SUMIFS(tblBudget[Feed_oz],tblBudget[Month],$E174)</f>
        <v/>
      </c>
      <c r="JX174" s="55">
        <f>$JW174*$C174/$D174</f>
        <v/>
      </c>
      <c r="JY174" s="55">
        <f>SUMIFS(tblBudget[Feed_oz],tblBudget[Month],"&lt;"&amp;$E174)+$JX174</f>
        <v/>
      </c>
      <c r="JZ174" s="55">
        <f>SUMIFS(tblBudget[Recovered_oz],tblBudget[Month],$E174)</f>
        <v/>
      </c>
      <c r="KA174" s="55">
        <f>$JZ174*$C174/$D174</f>
        <v/>
      </c>
      <c r="KB174" s="55">
        <f>SUMIFS(tblBudget[Recovered_oz],tblBudget[Month],"&lt;"&amp;$E174)+$KA174</f>
        <v/>
      </c>
      <c r="KC174" s="55">
        <f>SUMIFS(tblBudget[Milled_t],tblBudget[Month],$E174)</f>
        <v/>
      </c>
      <c r="KD174" s="55">
        <f>$KC174*$C174/$D174</f>
        <v/>
      </c>
      <c r="KE174" s="55">
        <f>SUMIFS(tblBudget[Milled_t],tblBudget[Month],"&lt;"&amp;$E174)+$KD174</f>
        <v/>
      </c>
      <c r="KF174" s="55">
        <f>SUMIFS(tblBudget[Feed_oz],tblBudget[Month],$E174)</f>
        <v/>
      </c>
      <c r="KG174" s="55">
        <f>$KF174*$C174/$D174</f>
        <v/>
      </c>
      <c r="KH174" s="55">
        <f>SUMIFS(tblBudget[Feed_oz],tblBudget[Month],"&lt;"&amp;$E174)+$KG174</f>
        <v/>
      </c>
      <c r="KI174" s="56">
        <f>IFERROR(IF(($KC174)&gt;0,($JW174*cfg_TroyOz)/($KC174),""),"")</f>
        <v/>
      </c>
      <c r="KJ174" s="56">
        <f>IFERROR(IF(($KD174)&gt;0,($JX174*cfg_TroyOz)/($KD174),""),"")</f>
        <v/>
      </c>
      <c r="KK174" s="56">
        <f>IFERROR(IF(($KE174)&gt;0,($JY174*cfg_TroyOz)/($KE174),""),"")</f>
        <v/>
      </c>
      <c r="KL174" s="67">
        <f>IFERROR(IF(($KF174)&gt;0,($JZ174)/($KF174),""),"")</f>
        <v/>
      </c>
      <c r="KM174" s="67">
        <f>IFERROR(IF(($KG174)&gt;0,($KA174)/($KG174),""),"")</f>
        <v/>
      </c>
      <c r="KN174" s="67">
        <f>IFERROR(IF(($KH174)&gt;0,($KB174)/($KH174),""),"")</f>
        <v/>
      </c>
      <c r="KO174" s="55">
        <f>SUMIFS(tblBudget[Gold_Poured_oz],tblBudget[Month],$E174)</f>
        <v/>
      </c>
      <c r="KP174" s="55">
        <f>$KO174*$C174/$D174</f>
        <v/>
      </c>
      <c r="KQ174" s="55">
        <f>SUMIFS(tblBudget[Gold_Poured_oz],tblBudget[Month],"&lt;"&amp;$E174)+$KP174</f>
        <v/>
      </c>
      <c r="KR174" s="57">
        <f>SUMIFS(tblBudget[Hours_Worked],tblBudget[Month],$E174)</f>
        <v/>
      </c>
      <c r="KS174" s="57">
        <f>$KR174*$C174/$D174</f>
        <v/>
      </c>
      <c r="KT174" s="57">
        <f>SUMIFS(tblBudget[Hours_Worked],tblBudget[Month],"&lt;"&amp;$E174)+$KS174</f>
        <v/>
      </c>
    </row>
    <row r="175">
      <c r="A175" s="54" t="n">
        <v>46196</v>
      </c>
      <c r="B175">
        <f>MONTH($A175)</f>
        <v/>
      </c>
      <c r="C175">
        <f>DAY($A175)</f>
        <v/>
      </c>
      <c r="D175">
        <f>DAY(EOMONTH($A175,0))</f>
        <v/>
      </c>
      <c r="E175" s="54">
        <f>DATE(YEAR($A175),MONTH($A175),1)</f>
        <v/>
      </c>
      <c r="F175" s="55">
        <f>SUMIFS(tblMovement[Tonnes_t],tblMovement[Date],$A175,tblMovement[Is_Ore],1,tblMovement[Source_Type],"Pit")</f>
        <v/>
      </c>
      <c r="G175" s="55">
        <f>IF($B175=$B174,$G174,0)+$F175</f>
        <v/>
      </c>
      <c r="H175" s="55">
        <f>$H174+$F175</f>
        <v/>
      </c>
      <c r="I175" s="55">
        <f>SUMIFS(tblMovement[Ore_oz],tblMovement[Date],$A175,tblMovement[Source_Type],"Pit")</f>
        <v/>
      </c>
      <c r="J175" s="55">
        <f>IF($B175=$B174,$J174,0)+$I175</f>
        <v/>
      </c>
      <c r="K175" s="55">
        <f>$K174+$I175</f>
        <v/>
      </c>
      <c r="L175" s="55">
        <f>SUMIFS(tblMovement[Tonnes_t],tblMovement[Date],$A175,tblMovement[Is_Ore],1,tblMovement[Source_Type],"Pit",tblMovement[Grade_gpt],"&lt;&gt;")</f>
        <v/>
      </c>
      <c r="M175" s="55">
        <f>IF($B175=$B174,$M174,0)+$L175</f>
        <v/>
      </c>
      <c r="N175" s="55">
        <f>$N174+$L175</f>
        <v/>
      </c>
      <c r="O175" s="56">
        <f>IFERROR(IF(($L175)&gt;0,($I175*cfg_TroyOz)/($L175),""),"")</f>
        <v/>
      </c>
      <c r="P175" s="56">
        <f>IFERROR(IF(($M175)&gt;0,($J175*cfg_TroyOz)/($M175),""),"")</f>
        <v/>
      </c>
      <c r="Q175" s="56">
        <f>IFERROR(IF(($N175)&gt;0,($K175*cfg_TroyOz)/($N175),""),"")</f>
        <v/>
      </c>
      <c r="R175" s="55">
        <f>$F175-$L175</f>
        <v/>
      </c>
      <c r="S175" s="55">
        <f>IF($B175=$B174,$S174,0)+$R175</f>
        <v/>
      </c>
      <c r="T175" s="55">
        <f>$T174+$R175</f>
        <v/>
      </c>
      <c r="U175" s="55">
        <f>SUMIFS(tblMovement[Tonnes_t],tblMovement[Date],$A175,tblMovement[Is_Ore],0,tblMovement[Source_Type],"Pit")</f>
        <v/>
      </c>
      <c r="V175" s="55">
        <f>IF($B175=$B174,$V174,0)+$U175</f>
        <v/>
      </c>
      <c r="W175" s="55">
        <f>$W174+$U175</f>
        <v/>
      </c>
      <c r="X175" s="55">
        <f>$F175+$U175</f>
        <v/>
      </c>
      <c r="Y175" s="55">
        <f>IF($B175=$B174,$Y174,0)+$X175</f>
        <v/>
      </c>
      <c r="Z175" s="55">
        <f>$Z174+$X175</f>
        <v/>
      </c>
      <c r="AA175" s="56">
        <f>IFERROR(IF(($F175)&gt;0,($U175)/($F175),""),"")</f>
        <v/>
      </c>
      <c r="AB175" s="56">
        <f>IFERROR(IF(($G175)&gt;0,($V175)/($G175),""),"")</f>
        <v/>
      </c>
      <c r="AC175" s="56">
        <f>IFERROR(IF(($H175)&gt;0,($W175)/($H175),""),"")</f>
        <v/>
      </c>
      <c r="AD175" s="55">
        <f>SUMIFS(tblMovement[Tonnes_t],tblMovement[Date],$A175,tblMovement[Source_Type],"Stockpile")</f>
        <v/>
      </c>
      <c r="AE175" s="55">
        <f>IF($B175=$B174,$AE174,0)+$AD175</f>
        <v/>
      </c>
      <c r="AF175" s="55">
        <f>$AF174+$AD175</f>
        <v/>
      </c>
      <c r="AG175" s="55">
        <f>SUMIFS(tblMovement[Tonnes_t],tblMovement[Date],$A175)</f>
        <v/>
      </c>
      <c r="AH175" s="55">
        <f>IF($B175=$B174,$AH174,0)+$AG175</f>
        <v/>
      </c>
      <c r="AI175" s="55">
        <f>$AI174+$AG175</f>
        <v/>
      </c>
      <c r="AJ175" s="55">
        <f>$AG175-$X175-$AD175</f>
        <v/>
      </c>
      <c r="AK175" s="55">
        <f>IF($B175=$B174,$AK174,0)+$AJ175</f>
        <v/>
      </c>
      <c r="AL175" s="55">
        <f>$AL174+$AJ175</f>
        <v/>
      </c>
      <c r="AM175" s="55">
        <f>SUMIFS(tblMiningDaily[Drill_m],tblMiningDaily[Date],$A175)</f>
        <v/>
      </c>
      <c r="AN175" s="55">
        <f>IF($B175=$B174,$AN174,0)+$AM175</f>
        <v/>
      </c>
      <c r="AO175" s="55">
        <f>$AO174+$AM175</f>
        <v/>
      </c>
      <c r="AP175" s="55">
        <f>SUMIFS(tblMiningDaily[GC_Drill_m],tblMiningDaily[Date],$A175)</f>
        <v/>
      </c>
      <c r="AQ175" s="55">
        <f>IF($B175=$B174,$AQ174,0)+$AP175</f>
        <v/>
      </c>
      <c r="AR175" s="55">
        <f>$AR174+$AP175</f>
        <v/>
      </c>
      <c r="AS175" s="55">
        <f>SUMIFS(tblMiningDaily[Blast_t],tblMiningDaily[Date],$A175)</f>
        <v/>
      </c>
      <c r="AT175" s="55">
        <f>IF($B175=$B174,$AT174,0)+$AS175</f>
        <v/>
      </c>
      <c r="AU175" s="55">
        <f>$AU174+$AS175</f>
        <v/>
      </c>
      <c r="AV175" s="55">
        <f>SUMIFS(tblMiningDaily[Explosives_kg],tblMiningDaily[Date],$A175)</f>
        <v/>
      </c>
      <c r="AW175" s="55">
        <f>IF($B175=$B174,$AW174,0)+$AV175</f>
        <v/>
      </c>
      <c r="AX175" s="55">
        <f>$AX174+$AV175</f>
        <v/>
      </c>
      <c r="AY175" s="56">
        <f>IFERROR(IF(($AS175)&gt;0,($AV175)/($AS175),""),"")</f>
        <v/>
      </c>
      <c r="AZ175" s="56">
        <f>IFERROR(IF(($AT175)&gt;0,($AW175)/($AT175),""),"")</f>
        <v/>
      </c>
      <c r="BA175" s="56">
        <f>IFERROR(IF(($AU175)&gt;0,($AX175)/($AU175),""),"")</f>
        <v/>
      </c>
      <c r="BB175" s="55">
        <f>SUMIFS(tblMiningDaily[Diesel_L],tblMiningDaily[Date],$A175)</f>
        <v/>
      </c>
      <c r="BC175" s="55">
        <f>IF($B175=$B174,$BC174,0)+$BB175</f>
        <v/>
      </c>
      <c r="BD175" s="55">
        <f>$BD174+$BB175</f>
        <v/>
      </c>
      <c r="BE175" s="55">
        <f>SUMIFS(tblMiningDaily[Dewatering_m3],tblMiningDaily[Date],$A175)</f>
        <v/>
      </c>
      <c r="BF175" s="55">
        <f>IF($B175=$B174,$BF174,0)+$BE175</f>
        <v/>
      </c>
      <c r="BG175" s="55">
        <f>$BG174+$BE175</f>
        <v/>
      </c>
      <c r="BH175" s="57">
        <f>SUMIFS(tblFleet[Calendar_h],tblFleet[Date],$A175,tblFleet[Equipment_Class],"Excavator")</f>
        <v/>
      </c>
      <c r="BI175" s="57">
        <f>IF($B175=$B174,$BI174,0)+$BH175</f>
        <v/>
      </c>
      <c r="BJ175" s="57">
        <f>$BJ174+$BH175</f>
        <v/>
      </c>
      <c r="BK175" s="57">
        <f>SUMIFS(tblFleet[Available_h],tblFleet[Date],$A175,tblFleet[Equipment_Class],"Excavator")</f>
        <v/>
      </c>
      <c r="BL175" s="57">
        <f>IF($B175=$B174,$BL174,0)+$BK175</f>
        <v/>
      </c>
      <c r="BM175" s="57">
        <f>$BM174+$BK175</f>
        <v/>
      </c>
      <c r="BN175" s="57">
        <f>SUMIFS(tblFleet[Operating_h],tblFleet[Date],$A175,tblFleet[Equipment_Class],"Excavator")</f>
        <v/>
      </c>
      <c r="BO175" s="57">
        <f>IF($B175=$B174,$BO174,0)+$BN175</f>
        <v/>
      </c>
      <c r="BP175" s="57">
        <f>$BP174+$BN175</f>
        <v/>
      </c>
      <c r="BQ175" s="67">
        <f>IFERROR(IF(($BH175)&gt;0,($BK175)/($BH175),""),"")</f>
        <v/>
      </c>
      <c r="BR175" s="67">
        <f>IFERROR(IF(($BI175)&gt;0,($BL175)/($BI175),""),"")</f>
        <v/>
      </c>
      <c r="BS175" s="67">
        <f>IFERROR(IF(($BJ175)&gt;0,($BM175)/($BJ175),""),"")</f>
        <v/>
      </c>
      <c r="BT175" s="67">
        <f>IFERROR(IF(($BK175)&gt;0,($BN175)/($BK175),""),"")</f>
        <v/>
      </c>
      <c r="BU175" s="67">
        <f>IFERROR(IF(($BL175)&gt;0,($BO175)/($BL175),""),"")</f>
        <v/>
      </c>
      <c r="BV175" s="67">
        <f>IFERROR(IF(($BM175)&gt;0,($BP175)/($BM175),""),"")</f>
        <v/>
      </c>
      <c r="BW175" s="57">
        <f>SUMIFS(tblFleet[Calendar_h],tblFleet[Date],$A175,tblFleet[Equipment_Class],"Haul Truck")</f>
        <v/>
      </c>
      <c r="BX175" s="57">
        <f>IF($B175=$B174,$BX174,0)+$BW175</f>
        <v/>
      </c>
      <c r="BY175" s="57">
        <f>$BY174+$BW175</f>
        <v/>
      </c>
      <c r="BZ175" s="57">
        <f>SUMIFS(tblFleet[Available_h],tblFleet[Date],$A175,tblFleet[Equipment_Class],"Haul Truck")</f>
        <v/>
      </c>
      <c r="CA175" s="57">
        <f>IF($B175=$B174,$CA174,0)+$BZ175</f>
        <v/>
      </c>
      <c r="CB175" s="57">
        <f>$CB174+$BZ175</f>
        <v/>
      </c>
      <c r="CC175" s="57">
        <f>SUMIFS(tblFleet[Operating_h],tblFleet[Date],$A175,tblFleet[Equipment_Class],"Haul Truck")</f>
        <v/>
      </c>
      <c r="CD175" s="57">
        <f>IF($B175=$B174,$CD174,0)+$CC175</f>
        <v/>
      </c>
      <c r="CE175" s="57">
        <f>$CE174+$CC175</f>
        <v/>
      </c>
      <c r="CF175" s="67">
        <f>IFERROR(IF(($BW175)&gt;0,($BZ175)/($BW175),""),"")</f>
        <v/>
      </c>
      <c r="CG175" s="67">
        <f>IFERROR(IF(($BX175)&gt;0,($CA175)/($BX175),""),"")</f>
        <v/>
      </c>
      <c r="CH175" s="67">
        <f>IFERROR(IF(($BY175)&gt;0,($CB175)/($BY175),""),"")</f>
        <v/>
      </c>
      <c r="CI175" s="67">
        <f>IFERROR(IF(($BZ175)&gt;0,($CC175)/($BZ175),""),"")</f>
        <v/>
      </c>
      <c r="CJ175" s="67">
        <f>IFERROR(IF(($CA175)&gt;0,($CD175)/($CA175),""),"")</f>
        <v/>
      </c>
      <c r="CK175" s="67">
        <f>IFERROR(IF(($CB175)&gt;0,($CE175)/($CB175),""),"")</f>
        <v/>
      </c>
      <c r="CL175" s="55">
        <f>IFERROR(IF(($BN175)&gt;0,($X175+$AD175)/($BN175),""),"")</f>
        <v/>
      </c>
      <c r="CM175" s="55">
        <f>IFERROR(IF(($BO175)&gt;0,($Y175+$AE175)/($BO175),""),"")</f>
        <v/>
      </c>
      <c r="CN175" s="55">
        <f>IFERROR(IF(($BP175)&gt;0,($Z175+$AF175)/($BP175),""),"")</f>
        <v/>
      </c>
      <c r="CO175" s="55">
        <f>IFERROR(IF(($CC175)&gt;0,($X175+$AD175)/($CC175),""),"")</f>
        <v/>
      </c>
      <c r="CP175" s="55">
        <f>IFERROR(IF(($CD175)&gt;0,($Y175+$AE175)/($CD175),""),"")</f>
        <v/>
      </c>
      <c r="CQ175" s="55">
        <f>IFERROR(IF(($CE175)&gt;0,($Z175+$AF175)/($CE175),""),"")</f>
        <v/>
      </c>
      <c r="CR175" s="55">
        <f>SUMIFS(tblPlant[Crushed_t],tblPlant[Date],$A175)</f>
        <v/>
      </c>
      <c r="CS175" s="55">
        <f>IF($B175=$B174,$CS174,0)+$CR175</f>
        <v/>
      </c>
      <c r="CT175" s="55">
        <f>$CT174+$CR175</f>
        <v/>
      </c>
      <c r="CU175" s="55">
        <f>SUMIFS(tblPlant[Milled_t],tblPlant[Date],$A175)</f>
        <v/>
      </c>
      <c r="CV175" s="55">
        <f>IF($B175=$B174,$CV174,0)+$CU175</f>
        <v/>
      </c>
      <c r="CW175" s="55">
        <f>$CW174+$CU175</f>
        <v/>
      </c>
      <c r="CX175" s="55">
        <f>SUMIFS(tblPlant[Feed_oz],tblPlant[Date],$A175)</f>
        <v/>
      </c>
      <c r="CY175" s="55">
        <f>IF($B175=$B174,$CY174,0)+$CX175</f>
        <v/>
      </c>
      <c r="CZ175" s="55">
        <f>$CZ174+$CX175</f>
        <v/>
      </c>
      <c r="DA175" s="55">
        <f>SUMIFS(tblPlant[Tails_oz],tblPlant[Date],$A175)</f>
        <v/>
      </c>
      <c r="DB175" s="55">
        <f>IF($B175=$B174,$DB174,0)+$DA175</f>
        <v/>
      </c>
      <c r="DC175" s="55">
        <f>$DC174+$DA175</f>
        <v/>
      </c>
      <c r="DD175" s="55">
        <f>SUMIFS(tblPlant[Recovered_oz],tblPlant[Date],$A175)</f>
        <v/>
      </c>
      <c r="DE175" s="55">
        <f>IF($B175=$B174,$DE174,0)+$DD175</f>
        <v/>
      </c>
      <c r="DF175" s="55">
        <f>$DF174+$DD175</f>
        <v/>
      </c>
      <c r="DG175" s="55">
        <f>SUMIFS(tblPlant[Milled_t],tblPlant[Date],$A175,tblPlant[Head_Grade_gpt],"&lt;&gt;")</f>
        <v/>
      </c>
      <c r="DH175" s="55">
        <f>IF($B175=$B174,$DH174,0)+$DG175</f>
        <v/>
      </c>
      <c r="DI175" s="55">
        <f>$DI174+$DG175</f>
        <v/>
      </c>
      <c r="DJ175" s="55">
        <f>SUMIFS(tblPlant[Milled_t],tblPlant[Date],$A175,tblPlant[Tails_Grade_gpt],"&lt;&gt;")</f>
        <v/>
      </c>
      <c r="DK175" s="55">
        <f>IF($B175=$B174,$DK174,0)+$DJ175</f>
        <v/>
      </c>
      <c r="DL175" s="55">
        <f>$DL174+$DJ175</f>
        <v/>
      </c>
      <c r="DM175" s="55">
        <f>SUMIFS(tblPlant[Feed_oz],tblPlant[Date],$A175,tblPlant[Tails_Grade_gpt],"&lt;&gt;")</f>
        <v/>
      </c>
      <c r="DN175" s="55">
        <f>IF($B175=$B174,$DN174,0)+$DM175</f>
        <v/>
      </c>
      <c r="DO175" s="55">
        <f>$DO174+$DM175</f>
        <v/>
      </c>
      <c r="DP175" s="55">
        <f>SUMIFS(tblPlant[Milled_t],tblPlant[Date],$A175,tblPlant[Mill_Run_h],"&lt;&gt;")</f>
        <v/>
      </c>
      <c r="DQ175" s="55">
        <f>IF($B175=$B174,$DQ174,0)+$DP175</f>
        <v/>
      </c>
      <c r="DR175" s="55">
        <f>$DR174+$DP175</f>
        <v/>
      </c>
      <c r="DS175" s="56">
        <f>IFERROR(IF(($DG175)&gt;0,($CX175*cfg_TroyOz)/($DG175),""),"")</f>
        <v/>
      </c>
      <c r="DT175" s="56">
        <f>IFERROR(IF(($DH175)&gt;0,($CY175*cfg_TroyOz)/($DH175),""),"")</f>
        <v/>
      </c>
      <c r="DU175" s="56">
        <f>IFERROR(IF(($DI175)&gt;0,($CZ175*cfg_TroyOz)/($DI175),""),"")</f>
        <v/>
      </c>
      <c r="DV175" s="56">
        <f>IFERROR(IF(($DJ175)&gt;0,($DA175*cfg_TroyOz)/($DJ175),""),"")</f>
        <v/>
      </c>
      <c r="DW175" s="56">
        <f>IFERROR(IF(($DK175)&gt;0,($DB175*cfg_TroyOz)/($DK175),""),"")</f>
        <v/>
      </c>
      <c r="DX175" s="56">
        <f>IFERROR(IF(($DL175)&gt;0,($DC175*cfg_TroyOz)/($DL175),""),"")</f>
        <v/>
      </c>
      <c r="DY175" s="67">
        <f>IFERROR(IF(($DM175)&gt;0,($DD175)/($DM175),""),"")</f>
        <v/>
      </c>
      <c r="DZ175" s="67">
        <f>IFERROR(IF(($DN175)&gt;0,($DE175)/($DN175),""),"")</f>
        <v/>
      </c>
      <c r="EA175" s="67">
        <f>IFERROR(IF(($DO175)&gt;0,($DF175)/($DO175),""),"")</f>
        <v/>
      </c>
      <c r="EB175" s="55">
        <f>SUMIFS(tblPlant[Gravity_Gold_oz],tblPlant[Date],$A175)</f>
        <v/>
      </c>
      <c r="EC175" s="55">
        <f>IF($B175=$B174,$EC174,0)+$EB175</f>
        <v/>
      </c>
      <c r="ED175" s="55">
        <f>$ED174+$EB175</f>
        <v/>
      </c>
      <c r="EE175" s="67">
        <f>IFERROR(IF(($DD175)&gt;0,($EB175)/($DD175),""),"")</f>
        <v/>
      </c>
      <c r="EF175" s="67">
        <f>IFERROR(IF(($DE175)&gt;0,($EC175)/($DE175),""),"")</f>
        <v/>
      </c>
      <c r="EG175" s="67">
        <f>IFERROR(IF(($DF175)&gt;0,($ED175)/($DF175),""),"")</f>
        <v/>
      </c>
      <c r="EH175" s="55">
        <f>SUMIFS(tblPlant[Gold_Poured_oz],tblPlant[Date],$A175)</f>
        <v/>
      </c>
      <c r="EI175" s="55">
        <f>IF($B175=$B174,$EI174,0)+$EH175</f>
        <v/>
      </c>
      <c r="EJ175" s="55">
        <f>$EJ174+$EH175</f>
        <v/>
      </c>
      <c r="EK175" s="57">
        <f>SUMIFS(tblPlant[Mill_Run_h],tblPlant[Date],$A175)</f>
        <v/>
      </c>
      <c r="EL175" s="57">
        <f>IF($B175=$B174,$EL174,0)+$EK175</f>
        <v/>
      </c>
      <c r="EM175" s="57">
        <f>$EM174+$EK175</f>
        <v/>
      </c>
      <c r="EN175" s="57">
        <f>SUMIFS(tblPlant[Mill_Planned_Maint_h],tblPlant[Date],$A175)</f>
        <v/>
      </c>
      <c r="EO175" s="57">
        <f>IF($B175=$B174,$EO174,0)+$EN175</f>
        <v/>
      </c>
      <c r="EP175" s="57">
        <f>$EP174+$EN175</f>
        <v/>
      </c>
      <c r="EQ175" s="57">
        <f>SUMIFS(tblPlant[Mill_Unplanned_Down_h],tblPlant[Date],$A175)</f>
        <v/>
      </c>
      <c r="ER175" s="57">
        <f>IF($B175=$B174,$ER174,0)+$EQ175</f>
        <v/>
      </c>
      <c r="ES175" s="57">
        <f>$ES174+$EQ175</f>
        <v/>
      </c>
      <c r="ET175" s="57">
        <f>IF(COUNTIFS(tblPlant[Date],$A175,tblPlant[Mill_Run_h],"&lt;&gt;")+COUNTIFS(tblPlant[Date],$A175,tblPlant[Mill_Planned_Maint_h],"&lt;&gt;")+COUNTIFS(tblPlant[Date],$A175,tblPlant[Mill_Unplanned_Down_h],"&lt;&gt;")&gt;0,cfg_HoursPerDay,0)</f>
        <v/>
      </c>
      <c r="EU175" s="57">
        <f>IF($B175=$B174,$EU174,0)+$ET175</f>
        <v/>
      </c>
      <c r="EV175" s="57">
        <f>$EV174+$ET175</f>
        <v/>
      </c>
      <c r="EW175" s="57">
        <f>SUMIFS(tblPlant[Crusher_Run_h],tblPlant[Date],$A175)</f>
        <v/>
      </c>
      <c r="EX175" s="57">
        <f>IF($B175=$B174,$EX174,0)+$EW175</f>
        <v/>
      </c>
      <c r="EY175" s="57">
        <f>$EY174+$EW175</f>
        <v/>
      </c>
      <c r="EZ175" s="55">
        <f>IFERROR(IF(($EK175)&gt;0,($DP175)/($EK175),""),"")</f>
        <v/>
      </c>
      <c r="FA175" s="55">
        <f>IFERROR(IF(($EL175)&gt;0,($DQ175)/($EL175),""),"")</f>
        <v/>
      </c>
      <c r="FB175" s="55">
        <f>IFERROR(IF(($EM175)&gt;0,($DR175)/($EM175),""),"")</f>
        <v/>
      </c>
      <c r="FC175" s="67">
        <f>IFERROR(IF(($ET175)&gt;0,($ET175-$EN175-$EQ175)/($ET175),""),"")</f>
        <v/>
      </c>
      <c r="FD175" s="67">
        <f>IFERROR(IF(($EU175)&gt;0,($EU175-$EO175-$ER175)/($EU175),""),"")</f>
        <v/>
      </c>
      <c r="FE175" s="67">
        <f>IFERROR(IF(($EV175)&gt;0,($EV175-$EP175-$ES175)/($EV175),""),"")</f>
        <v/>
      </c>
      <c r="FF175" s="67">
        <f>IFERROR(IF(($ET175-$EN175-$EQ175)&gt;0,($EK175)/($ET175-$EN175-$EQ175),""),"")</f>
        <v/>
      </c>
      <c r="FG175" s="67">
        <f>IFERROR(IF(($EU175-$EO175-$ER175)&gt;0,($EL175)/($EU175-$EO175-$ER175),""),"")</f>
        <v/>
      </c>
      <c r="FH175" s="67">
        <f>IFERROR(IF(($EV175-$EP175-$ES175)&gt;0,($EM175)/($EV175-$EP175-$ES175),""),"")</f>
        <v/>
      </c>
      <c r="FI175" s="55">
        <f>SUMIFS(tblPlant[Cyanide_kg],tblPlant[Date],$A175)</f>
        <v/>
      </c>
      <c r="FJ175" s="55">
        <f>IF($B175=$B174,$FJ174,0)+$FI175</f>
        <v/>
      </c>
      <c r="FK175" s="55">
        <f>$FK174+$FI175</f>
        <v/>
      </c>
      <c r="FL175" s="55">
        <f>SUMIFS(tblPlant[Lime_kg],tblPlant[Date],$A175)</f>
        <v/>
      </c>
      <c r="FM175" s="55">
        <f>IF($B175=$B174,$FM174,0)+$FL175</f>
        <v/>
      </c>
      <c r="FN175" s="55">
        <f>$FN174+$FL175</f>
        <v/>
      </c>
      <c r="FO175" s="55">
        <f>SUMIFS(tblPlant[Grinding_Media_kg],tblPlant[Date],$A175)</f>
        <v/>
      </c>
      <c r="FP175" s="55">
        <f>IF($B175=$B174,$FP174,0)+$FO175</f>
        <v/>
      </c>
      <c r="FQ175" s="55">
        <f>$FQ174+$FO175</f>
        <v/>
      </c>
      <c r="FR175" s="55">
        <f>SUMIFS(tblPlant[Power_kWh],tblPlant[Date],$A175)</f>
        <v/>
      </c>
      <c r="FS175" s="55">
        <f>IF($B175=$B174,$FS174,0)+$FR175</f>
        <v/>
      </c>
      <c r="FT175" s="55">
        <f>$FT174+$FR175</f>
        <v/>
      </c>
      <c r="FU175" s="55">
        <f>SUMIFS(tblPlant[Raw_Water_m3],tblPlant[Date],$A175)</f>
        <v/>
      </c>
      <c r="FV175" s="55">
        <f>IF($B175=$B174,$FV174,0)+$FU175</f>
        <v/>
      </c>
      <c r="FW175" s="55">
        <f>$FW174+$FU175</f>
        <v/>
      </c>
      <c r="FX175" s="56">
        <f>IFERROR(IF(($CU175)&gt;0,($FI175)/($CU175),""),"")</f>
        <v/>
      </c>
      <c r="FY175" s="56">
        <f>IFERROR(IF(($CV175)&gt;0,($FJ175)/($CV175),""),"")</f>
        <v/>
      </c>
      <c r="FZ175" s="56">
        <f>IFERROR(IF(($CW175)&gt;0,($FK175)/($CW175),""),"")</f>
        <v/>
      </c>
      <c r="GA175" s="56">
        <f>IFERROR(IF(($CU175)&gt;0,($FL175)/($CU175),""),"")</f>
        <v/>
      </c>
      <c r="GB175" s="56">
        <f>IFERROR(IF(($CV175)&gt;0,($FM175)/($CV175),""),"")</f>
        <v/>
      </c>
      <c r="GC175" s="56">
        <f>IFERROR(IF(($CW175)&gt;0,($FN175)/($CW175),""),"")</f>
        <v/>
      </c>
      <c r="GD175" s="56">
        <f>IFERROR(IF(($CU175)&gt;0,($FO175)/($CU175),""),"")</f>
        <v/>
      </c>
      <c r="GE175" s="56">
        <f>IFERROR(IF(($CV175)&gt;0,($FP175)/($CV175),""),"")</f>
        <v/>
      </c>
      <c r="GF175" s="56">
        <f>IFERROR(IF(($CW175)&gt;0,($FQ175)/($CW175),""),"")</f>
        <v/>
      </c>
      <c r="GG175" s="79">
        <f>IFERROR(IF(($CU175)&gt;0,($FR175)/($CU175),""),"")</f>
        <v/>
      </c>
      <c r="GH175" s="79">
        <f>IFERROR(IF(($CV175)&gt;0,($FS175)/($CV175),""),"")</f>
        <v/>
      </c>
      <c r="GI175" s="79">
        <f>IFERROR(IF(($CW175)&gt;0,($FT175)/($CW175),""),"")</f>
        <v/>
      </c>
      <c r="GJ175" s="56">
        <f>IFERROR(IF(($CU175)&gt;0,($FU175)/($CU175),""),"")</f>
        <v/>
      </c>
      <c r="GK175" s="56">
        <f>IFERROR(IF(($CV175)&gt;0,($FV175)/($CV175),""),"")</f>
        <v/>
      </c>
      <c r="GL175" s="56">
        <f>IFERROR(IF(($CW175)&gt;0,($FW175)/($CW175),""),"")</f>
        <v/>
      </c>
      <c r="GM175" s="55">
        <f>IF(SUMIFS(tblPlant[GIC_oz],tblPlant[Date],$A175)&gt;0,SUMIFS(tblPlant[GIC_oz],tblPlant[Date],$A175),"")</f>
        <v/>
      </c>
      <c r="GN175" s="55">
        <f>SUMIFS(tblGold[Gold_oz],tblGold[Date],$A175,tblGold[Type],"Shipment")</f>
        <v/>
      </c>
      <c r="GO175" s="55">
        <f>IF($B175=$B174,$GO174,0)+$GN175</f>
        <v/>
      </c>
      <c r="GP175" s="55">
        <f>$GP174+$GN175</f>
        <v/>
      </c>
      <c r="GQ175" s="55">
        <f>SUMIFS(tblGold[Gold_oz],tblGold[Date],$A175,tblGold[Type],"Sale")</f>
        <v/>
      </c>
      <c r="GR175" s="55">
        <f>IF($B175=$B174,$GR174,0)+$GQ175</f>
        <v/>
      </c>
      <c r="GS175" s="55">
        <f>$GS174+$GQ175</f>
        <v/>
      </c>
      <c r="GT175" s="55">
        <f>SUMIFS(tblGold[Dore_kg],tblGold[Date],$A175,tblGold[Type],"Shipment")</f>
        <v/>
      </c>
      <c r="GU175" s="55">
        <f>IF($B175=$B174,$GU174,0)+$GT175</f>
        <v/>
      </c>
      <c r="GV175" s="55">
        <f>$GV174+$GT175</f>
        <v/>
      </c>
      <c r="GW175" s="57">
        <f>SUMIFS(tblSafety[Hours_Total],tblSafety[Date],$A175)</f>
        <v/>
      </c>
      <c r="GX175" s="57">
        <f>IF($B175=$B174,$GX174,0)+$GW175</f>
        <v/>
      </c>
      <c r="GY175" s="57">
        <f>$GY174+$GW175</f>
        <v/>
      </c>
      <c r="GZ175" s="62">
        <f>SUMIFS(tblSafety[Fatality],tblSafety[Date],$A175)</f>
        <v/>
      </c>
      <c r="HA175" s="62">
        <f>IF($B175=$B174,$HA174,0)+$GZ175</f>
        <v/>
      </c>
      <c r="HB175" s="62">
        <f>$HB174+$GZ175</f>
        <v/>
      </c>
      <c r="HC175" s="62">
        <f>SUMIFS(tblSafety[LTI],tblSafety[Date],$A175)</f>
        <v/>
      </c>
      <c r="HD175" s="62">
        <f>IF($B175=$B174,$HD174,0)+$HC175</f>
        <v/>
      </c>
      <c r="HE175" s="62">
        <f>$HE174+$HC175</f>
        <v/>
      </c>
      <c r="HF175" s="62">
        <f>SUMIFS(tblSafety[RWI],tblSafety[Date],$A175)</f>
        <v/>
      </c>
      <c r="HG175" s="62">
        <f>IF($B175=$B174,$HG174,0)+$HF175</f>
        <v/>
      </c>
      <c r="HH175" s="62">
        <f>$HH174+$HF175</f>
        <v/>
      </c>
      <c r="HI175" s="62">
        <f>SUMIFS(tblSafety[MTI],tblSafety[Date],$A175)</f>
        <v/>
      </c>
      <c r="HJ175" s="62">
        <f>IF($B175=$B174,$HJ174,0)+$HI175</f>
        <v/>
      </c>
      <c r="HK175" s="62">
        <f>$HK174+$HI175</f>
        <v/>
      </c>
      <c r="HL175" s="62">
        <f>SUMIFS(tblSafety[FAI],tblSafety[Date],$A175)</f>
        <v/>
      </c>
      <c r="HM175" s="62">
        <f>IF($B175=$B174,$HM174,0)+$HL175</f>
        <v/>
      </c>
      <c r="HN175" s="62">
        <f>$HN174+$HL175</f>
        <v/>
      </c>
      <c r="HO175" s="62">
        <f>SUMIFS(tblSafety[Recordables],tblSafety[Date],$A175)</f>
        <v/>
      </c>
      <c r="HP175" s="62">
        <f>IF($B175=$B174,$HP174,0)+$HO175</f>
        <v/>
      </c>
      <c r="HQ175" s="62">
        <f>$HQ174+$HO175</f>
        <v/>
      </c>
      <c r="HR175" s="62">
        <f>SUMIFS(tblSafety[Near_Miss],tblSafety[Date],$A175)</f>
        <v/>
      </c>
      <c r="HS175" s="62">
        <f>IF($B175=$B174,$HS174,0)+$HR175</f>
        <v/>
      </c>
      <c r="HT175" s="62">
        <f>$HT174+$HR175</f>
        <v/>
      </c>
      <c r="HU175" s="62">
        <f>SUMIFS(tblSafety[Hazard_Reports],tblSafety[Date],$A175)</f>
        <v/>
      </c>
      <c r="HV175" s="62">
        <f>IF($B175=$B174,$HV174,0)+$HU175</f>
        <v/>
      </c>
      <c r="HW175" s="62">
        <f>$HW174+$HU175</f>
        <v/>
      </c>
      <c r="HX175" s="62">
        <f>SUMIFS(tblSafety[HPI],tblSafety[Date],$A175)</f>
        <v/>
      </c>
      <c r="HY175" s="62">
        <f>IF($B175=$B174,$HY174,0)+$HX175</f>
        <v/>
      </c>
      <c r="HZ175" s="62">
        <f>$HZ174+$HX175</f>
        <v/>
      </c>
      <c r="IA175" s="62">
        <f>SUMIFS(tblSafety[Env_Incidents],tblSafety[Date],$A175)</f>
        <v/>
      </c>
      <c r="IB175" s="62">
        <f>IF($B175=$B174,$IB174,0)+$IA175</f>
        <v/>
      </c>
      <c r="IC175" s="62">
        <f>$IC174+$IA175</f>
        <v/>
      </c>
      <c r="ID175" s="62">
        <f>SUMIFS(tblSafety[Community_Incidents],tblSafety[Date],$A175)</f>
        <v/>
      </c>
      <c r="IE175" s="62">
        <f>IF($B175=$B174,$IE174,0)+$ID175</f>
        <v/>
      </c>
      <c r="IF175" s="62">
        <f>$IF174+$ID175</f>
        <v/>
      </c>
      <c r="IG175" s="62">
        <f>SUMIFS(tblSafety[Vehicle_Incidents],tblSafety[Date],$A175)</f>
        <v/>
      </c>
      <c r="IH175" s="62">
        <f>IF($B175=$B174,$IH174,0)+$IG175</f>
        <v/>
      </c>
      <c r="II175" s="62">
        <f>$II174+$IG175</f>
        <v/>
      </c>
      <c r="IJ175" s="62">
        <f>SUMIFS(tblSafety[Toolbox_Talks],tblSafety[Date],$A175)</f>
        <v/>
      </c>
      <c r="IK175" s="62">
        <f>IF($B175=$B174,$IK174,0)+$IJ175</f>
        <v/>
      </c>
      <c r="IL175" s="62">
        <f>$IL174+$IJ175</f>
        <v/>
      </c>
      <c r="IM175" s="62">
        <f>SUMIFS(tblSafety[Inspections],tblSafety[Date],$A175)</f>
        <v/>
      </c>
      <c r="IN175" s="62">
        <f>IF($B175=$B174,$IN174,0)+$IM175</f>
        <v/>
      </c>
      <c r="IO175" s="62">
        <f>$IO174+$IM175</f>
        <v/>
      </c>
      <c r="IP175" s="56">
        <f>IFERROR((SUMIFS(tblSafety[Recordables],tblSafety[Date],"&gt;="&amp;EDATE($E175,-12),tblSafety[Date],"&lt;="&amp;$A175)+SUMIFS(tblSafetyHistory[Recordables],tblSafetyHistory[Month],"&gt;="&amp;EDATE($E175,-12),tblSafetyHistory[Month],"&lt;"&amp;$E175,tblSafetyHistory[Use],1))/(SUMIFS(tblSafety[Hours_Total],tblSafety[Date],"&gt;="&amp;EDATE($E175,-12),tblSafety[Date],"&lt;="&amp;$A175)+SUMIFS(tblSafetyHistory[Hours_Total],tblSafetyHistory[Month],"&gt;="&amp;EDATE($E175,-12),tblSafetyHistory[Month],"&lt;"&amp;$E175,tblSafetyHistory[Use],1))*cfg_RateBasisHours,"")</f>
        <v/>
      </c>
      <c r="IQ175" s="56">
        <f>IFERROR((SUMIFS(tblSafety[LTI],tblSafety[Date],"&gt;="&amp;EDATE($E175,-12),tblSafety[Date],"&lt;="&amp;$A175)+SUMIFS(tblSafetyHistory[LTI],tblSafetyHistory[Month],"&gt;="&amp;EDATE($E175,-12),tblSafetyHistory[Month],"&lt;"&amp;$E175,tblSafetyHistory[Use],1))/(SUMIFS(tblSafety[Hours_Total],tblSafety[Date],"&gt;="&amp;EDATE($E175,-12),tblSafety[Date],"&lt;="&amp;$A175)+SUMIFS(tblSafetyHistory[Hours_Total],tblSafetyHistory[Month],"&gt;="&amp;EDATE($E175,-12),tblSafetyHistory[Month],"&lt;"&amp;$E175,tblSafetyHistory[Use],1))*cfg_RateBasisHours,"")</f>
        <v/>
      </c>
      <c r="IR175" s="62">
        <f>IF(MAX(N(cfg_PriorLTIDate),_xlfn.MAXIFS(tblSafety[Date],tblSafety[LTI],"&gt;0",tblSafety[Date],"&lt;="&amp;$A175))=0,"",$A175-MAX(N(cfg_PriorLTIDate),_xlfn.MAXIFS(tblSafety[Date],tblSafety[LTI],"&gt;0",tblSafety[Date],"&lt;="&amp;$A175)))</f>
        <v/>
      </c>
      <c r="IS175" s="55">
        <f>SUMIFS(tblBudget[Ore_Mined_t],tblBudget[Month],$E175)</f>
        <v/>
      </c>
      <c r="IT175" s="55">
        <f>$IS175*$C175/$D175</f>
        <v/>
      </c>
      <c r="IU175" s="55">
        <f>SUMIFS(tblBudget[Ore_Mined_t],tblBudget[Month],"&lt;"&amp;$E175)+$IT175</f>
        <v/>
      </c>
      <c r="IV175" s="55">
        <f>SUMIFS(tblBudget[Ore_oz],tblBudget[Month],$E175)</f>
        <v/>
      </c>
      <c r="IW175" s="55">
        <f>$IV175*$C175/$D175</f>
        <v/>
      </c>
      <c r="IX175" s="55">
        <f>SUMIFS(tblBudget[Ore_oz],tblBudget[Month],"&lt;"&amp;$E175)+$IW175</f>
        <v/>
      </c>
      <c r="IY175" s="55">
        <f>SUMIFS(tblBudget[Ore_Mined_t],tblBudget[Month],$E175)</f>
        <v/>
      </c>
      <c r="IZ175" s="55">
        <f>$IY175*$C175/$D175</f>
        <v/>
      </c>
      <c r="JA175" s="55">
        <f>SUMIFS(tblBudget[Ore_Mined_t],tblBudget[Month],"&lt;"&amp;$E175)+$IZ175</f>
        <v/>
      </c>
      <c r="JB175" s="56">
        <f>IFERROR(IF(($IY175)&gt;0,($IV175*cfg_TroyOz)/($IY175),""),"")</f>
        <v/>
      </c>
      <c r="JC175" s="56">
        <f>IFERROR(IF(($IZ175)&gt;0,($IW175*cfg_TroyOz)/($IZ175),""),"")</f>
        <v/>
      </c>
      <c r="JD175" s="56">
        <f>IFERROR(IF(($JA175)&gt;0,($IX175*cfg_TroyOz)/($JA175),""),"")</f>
        <v/>
      </c>
      <c r="JE175" s="55">
        <f>SUMIFS(tblBudget[Waste_t],tblBudget[Month],$E175)</f>
        <v/>
      </c>
      <c r="JF175" s="55">
        <f>$JE175*$C175/$D175</f>
        <v/>
      </c>
      <c r="JG175" s="55">
        <f>SUMIFS(tblBudget[Waste_t],tblBudget[Month],"&lt;"&amp;$E175)+$JF175</f>
        <v/>
      </c>
      <c r="JH175" s="55">
        <f>SUMIFS(tblBudget[TMM_t],tblBudget[Month],$E175)</f>
        <v/>
      </c>
      <c r="JI175" s="55">
        <f>$JH175*$C175/$D175</f>
        <v/>
      </c>
      <c r="JJ175" s="55">
        <f>SUMIFS(tblBudget[TMM_t],tblBudget[Month],"&lt;"&amp;$E175)+$JI175</f>
        <v/>
      </c>
      <c r="JK175" s="56">
        <f>IFERROR(IF(($IS175)&gt;0,($JE175)/($IS175),""),"")</f>
        <v/>
      </c>
      <c r="JL175" s="56">
        <f>IFERROR(IF(($IT175)&gt;0,($JF175)/($IT175),""),"")</f>
        <v/>
      </c>
      <c r="JM175" s="56">
        <f>IFERROR(IF(($IU175)&gt;0,($JG175)/($IU175),""),"")</f>
        <v/>
      </c>
      <c r="JN175" s="55">
        <f>SUMIFS(tblBudget[Drill_m],tblBudget[Month],$E175)</f>
        <v/>
      </c>
      <c r="JO175" s="55">
        <f>$JN175*$C175/$D175</f>
        <v/>
      </c>
      <c r="JP175" s="55">
        <f>SUMIFS(tblBudget[Drill_m],tblBudget[Month],"&lt;"&amp;$E175)+$JO175</f>
        <v/>
      </c>
      <c r="JQ175" s="55">
        <f>SUMIFS(tblBudget[Diesel_L],tblBudget[Month],$E175)</f>
        <v/>
      </c>
      <c r="JR175" s="55">
        <f>$JQ175*$C175/$D175</f>
        <v/>
      </c>
      <c r="JS175" s="55">
        <f>SUMIFS(tblBudget[Diesel_L],tblBudget[Month],"&lt;"&amp;$E175)+$JR175</f>
        <v/>
      </c>
      <c r="JT175" s="55">
        <f>SUMIFS(tblBudget[Milled_t],tblBudget[Month],$E175)</f>
        <v/>
      </c>
      <c r="JU175" s="55">
        <f>$JT175*$C175/$D175</f>
        <v/>
      </c>
      <c r="JV175" s="55">
        <f>SUMIFS(tblBudget[Milled_t],tblBudget[Month],"&lt;"&amp;$E175)+$JU175</f>
        <v/>
      </c>
      <c r="JW175" s="55">
        <f>SUMIFS(tblBudget[Feed_oz],tblBudget[Month],$E175)</f>
        <v/>
      </c>
      <c r="JX175" s="55">
        <f>$JW175*$C175/$D175</f>
        <v/>
      </c>
      <c r="JY175" s="55">
        <f>SUMIFS(tblBudget[Feed_oz],tblBudget[Month],"&lt;"&amp;$E175)+$JX175</f>
        <v/>
      </c>
      <c r="JZ175" s="55">
        <f>SUMIFS(tblBudget[Recovered_oz],tblBudget[Month],$E175)</f>
        <v/>
      </c>
      <c r="KA175" s="55">
        <f>$JZ175*$C175/$D175</f>
        <v/>
      </c>
      <c r="KB175" s="55">
        <f>SUMIFS(tblBudget[Recovered_oz],tblBudget[Month],"&lt;"&amp;$E175)+$KA175</f>
        <v/>
      </c>
      <c r="KC175" s="55">
        <f>SUMIFS(tblBudget[Milled_t],tblBudget[Month],$E175)</f>
        <v/>
      </c>
      <c r="KD175" s="55">
        <f>$KC175*$C175/$D175</f>
        <v/>
      </c>
      <c r="KE175" s="55">
        <f>SUMIFS(tblBudget[Milled_t],tblBudget[Month],"&lt;"&amp;$E175)+$KD175</f>
        <v/>
      </c>
      <c r="KF175" s="55">
        <f>SUMIFS(tblBudget[Feed_oz],tblBudget[Month],$E175)</f>
        <v/>
      </c>
      <c r="KG175" s="55">
        <f>$KF175*$C175/$D175</f>
        <v/>
      </c>
      <c r="KH175" s="55">
        <f>SUMIFS(tblBudget[Feed_oz],tblBudget[Month],"&lt;"&amp;$E175)+$KG175</f>
        <v/>
      </c>
      <c r="KI175" s="56">
        <f>IFERROR(IF(($KC175)&gt;0,($JW175*cfg_TroyOz)/($KC175),""),"")</f>
        <v/>
      </c>
      <c r="KJ175" s="56">
        <f>IFERROR(IF(($KD175)&gt;0,($JX175*cfg_TroyOz)/($KD175),""),"")</f>
        <v/>
      </c>
      <c r="KK175" s="56">
        <f>IFERROR(IF(($KE175)&gt;0,($JY175*cfg_TroyOz)/($KE175),""),"")</f>
        <v/>
      </c>
      <c r="KL175" s="67">
        <f>IFERROR(IF(($KF175)&gt;0,($JZ175)/($KF175),""),"")</f>
        <v/>
      </c>
      <c r="KM175" s="67">
        <f>IFERROR(IF(($KG175)&gt;0,($KA175)/($KG175),""),"")</f>
        <v/>
      </c>
      <c r="KN175" s="67">
        <f>IFERROR(IF(($KH175)&gt;0,($KB175)/($KH175),""),"")</f>
        <v/>
      </c>
      <c r="KO175" s="55">
        <f>SUMIFS(tblBudget[Gold_Poured_oz],tblBudget[Month],$E175)</f>
        <v/>
      </c>
      <c r="KP175" s="55">
        <f>$KO175*$C175/$D175</f>
        <v/>
      </c>
      <c r="KQ175" s="55">
        <f>SUMIFS(tblBudget[Gold_Poured_oz],tblBudget[Month],"&lt;"&amp;$E175)+$KP175</f>
        <v/>
      </c>
      <c r="KR175" s="57">
        <f>SUMIFS(tblBudget[Hours_Worked],tblBudget[Month],$E175)</f>
        <v/>
      </c>
      <c r="KS175" s="57">
        <f>$KR175*$C175/$D175</f>
        <v/>
      </c>
      <c r="KT175" s="57">
        <f>SUMIFS(tblBudget[Hours_Worked],tblBudget[Month],"&lt;"&amp;$E175)+$KS175</f>
        <v/>
      </c>
    </row>
    <row r="176">
      <c r="A176" s="54" t="n">
        <v>46197</v>
      </c>
      <c r="B176">
        <f>MONTH($A176)</f>
        <v/>
      </c>
      <c r="C176">
        <f>DAY($A176)</f>
        <v/>
      </c>
      <c r="D176">
        <f>DAY(EOMONTH($A176,0))</f>
        <v/>
      </c>
      <c r="E176" s="54">
        <f>DATE(YEAR($A176),MONTH($A176),1)</f>
        <v/>
      </c>
      <c r="F176" s="55">
        <f>SUMIFS(tblMovement[Tonnes_t],tblMovement[Date],$A176,tblMovement[Is_Ore],1,tblMovement[Source_Type],"Pit")</f>
        <v/>
      </c>
      <c r="G176" s="55">
        <f>IF($B176=$B175,$G175,0)+$F176</f>
        <v/>
      </c>
      <c r="H176" s="55">
        <f>$H175+$F176</f>
        <v/>
      </c>
      <c r="I176" s="55">
        <f>SUMIFS(tblMovement[Ore_oz],tblMovement[Date],$A176,tblMovement[Source_Type],"Pit")</f>
        <v/>
      </c>
      <c r="J176" s="55">
        <f>IF($B176=$B175,$J175,0)+$I176</f>
        <v/>
      </c>
      <c r="K176" s="55">
        <f>$K175+$I176</f>
        <v/>
      </c>
      <c r="L176" s="55">
        <f>SUMIFS(tblMovement[Tonnes_t],tblMovement[Date],$A176,tblMovement[Is_Ore],1,tblMovement[Source_Type],"Pit",tblMovement[Grade_gpt],"&lt;&gt;")</f>
        <v/>
      </c>
      <c r="M176" s="55">
        <f>IF($B176=$B175,$M175,0)+$L176</f>
        <v/>
      </c>
      <c r="N176" s="55">
        <f>$N175+$L176</f>
        <v/>
      </c>
      <c r="O176" s="56">
        <f>IFERROR(IF(($L176)&gt;0,($I176*cfg_TroyOz)/($L176),""),"")</f>
        <v/>
      </c>
      <c r="P176" s="56">
        <f>IFERROR(IF(($M176)&gt;0,($J176*cfg_TroyOz)/($M176),""),"")</f>
        <v/>
      </c>
      <c r="Q176" s="56">
        <f>IFERROR(IF(($N176)&gt;0,($K176*cfg_TroyOz)/($N176),""),"")</f>
        <v/>
      </c>
      <c r="R176" s="55">
        <f>$F176-$L176</f>
        <v/>
      </c>
      <c r="S176" s="55">
        <f>IF($B176=$B175,$S175,0)+$R176</f>
        <v/>
      </c>
      <c r="T176" s="55">
        <f>$T175+$R176</f>
        <v/>
      </c>
      <c r="U176" s="55">
        <f>SUMIFS(tblMovement[Tonnes_t],tblMovement[Date],$A176,tblMovement[Is_Ore],0,tblMovement[Source_Type],"Pit")</f>
        <v/>
      </c>
      <c r="V176" s="55">
        <f>IF($B176=$B175,$V175,0)+$U176</f>
        <v/>
      </c>
      <c r="W176" s="55">
        <f>$W175+$U176</f>
        <v/>
      </c>
      <c r="X176" s="55">
        <f>$F176+$U176</f>
        <v/>
      </c>
      <c r="Y176" s="55">
        <f>IF($B176=$B175,$Y175,0)+$X176</f>
        <v/>
      </c>
      <c r="Z176" s="55">
        <f>$Z175+$X176</f>
        <v/>
      </c>
      <c r="AA176" s="56">
        <f>IFERROR(IF(($F176)&gt;0,($U176)/($F176),""),"")</f>
        <v/>
      </c>
      <c r="AB176" s="56">
        <f>IFERROR(IF(($G176)&gt;0,($V176)/($G176),""),"")</f>
        <v/>
      </c>
      <c r="AC176" s="56">
        <f>IFERROR(IF(($H176)&gt;0,($W176)/($H176),""),"")</f>
        <v/>
      </c>
      <c r="AD176" s="55">
        <f>SUMIFS(tblMovement[Tonnes_t],tblMovement[Date],$A176,tblMovement[Source_Type],"Stockpile")</f>
        <v/>
      </c>
      <c r="AE176" s="55">
        <f>IF($B176=$B175,$AE175,0)+$AD176</f>
        <v/>
      </c>
      <c r="AF176" s="55">
        <f>$AF175+$AD176</f>
        <v/>
      </c>
      <c r="AG176" s="55">
        <f>SUMIFS(tblMovement[Tonnes_t],tblMovement[Date],$A176)</f>
        <v/>
      </c>
      <c r="AH176" s="55">
        <f>IF($B176=$B175,$AH175,0)+$AG176</f>
        <v/>
      </c>
      <c r="AI176" s="55">
        <f>$AI175+$AG176</f>
        <v/>
      </c>
      <c r="AJ176" s="55">
        <f>$AG176-$X176-$AD176</f>
        <v/>
      </c>
      <c r="AK176" s="55">
        <f>IF($B176=$B175,$AK175,0)+$AJ176</f>
        <v/>
      </c>
      <c r="AL176" s="55">
        <f>$AL175+$AJ176</f>
        <v/>
      </c>
      <c r="AM176" s="55">
        <f>SUMIFS(tblMiningDaily[Drill_m],tblMiningDaily[Date],$A176)</f>
        <v/>
      </c>
      <c r="AN176" s="55">
        <f>IF($B176=$B175,$AN175,0)+$AM176</f>
        <v/>
      </c>
      <c r="AO176" s="55">
        <f>$AO175+$AM176</f>
        <v/>
      </c>
      <c r="AP176" s="55">
        <f>SUMIFS(tblMiningDaily[GC_Drill_m],tblMiningDaily[Date],$A176)</f>
        <v/>
      </c>
      <c r="AQ176" s="55">
        <f>IF($B176=$B175,$AQ175,0)+$AP176</f>
        <v/>
      </c>
      <c r="AR176" s="55">
        <f>$AR175+$AP176</f>
        <v/>
      </c>
      <c r="AS176" s="55">
        <f>SUMIFS(tblMiningDaily[Blast_t],tblMiningDaily[Date],$A176)</f>
        <v/>
      </c>
      <c r="AT176" s="55">
        <f>IF($B176=$B175,$AT175,0)+$AS176</f>
        <v/>
      </c>
      <c r="AU176" s="55">
        <f>$AU175+$AS176</f>
        <v/>
      </c>
      <c r="AV176" s="55">
        <f>SUMIFS(tblMiningDaily[Explosives_kg],tblMiningDaily[Date],$A176)</f>
        <v/>
      </c>
      <c r="AW176" s="55">
        <f>IF($B176=$B175,$AW175,0)+$AV176</f>
        <v/>
      </c>
      <c r="AX176" s="55">
        <f>$AX175+$AV176</f>
        <v/>
      </c>
      <c r="AY176" s="56">
        <f>IFERROR(IF(($AS176)&gt;0,($AV176)/($AS176),""),"")</f>
        <v/>
      </c>
      <c r="AZ176" s="56">
        <f>IFERROR(IF(($AT176)&gt;0,($AW176)/($AT176),""),"")</f>
        <v/>
      </c>
      <c r="BA176" s="56">
        <f>IFERROR(IF(($AU176)&gt;0,($AX176)/($AU176),""),"")</f>
        <v/>
      </c>
      <c r="BB176" s="55">
        <f>SUMIFS(tblMiningDaily[Diesel_L],tblMiningDaily[Date],$A176)</f>
        <v/>
      </c>
      <c r="BC176" s="55">
        <f>IF($B176=$B175,$BC175,0)+$BB176</f>
        <v/>
      </c>
      <c r="BD176" s="55">
        <f>$BD175+$BB176</f>
        <v/>
      </c>
      <c r="BE176" s="55">
        <f>SUMIFS(tblMiningDaily[Dewatering_m3],tblMiningDaily[Date],$A176)</f>
        <v/>
      </c>
      <c r="BF176" s="55">
        <f>IF($B176=$B175,$BF175,0)+$BE176</f>
        <v/>
      </c>
      <c r="BG176" s="55">
        <f>$BG175+$BE176</f>
        <v/>
      </c>
      <c r="BH176" s="57">
        <f>SUMIFS(tblFleet[Calendar_h],tblFleet[Date],$A176,tblFleet[Equipment_Class],"Excavator")</f>
        <v/>
      </c>
      <c r="BI176" s="57">
        <f>IF($B176=$B175,$BI175,0)+$BH176</f>
        <v/>
      </c>
      <c r="BJ176" s="57">
        <f>$BJ175+$BH176</f>
        <v/>
      </c>
      <c r="BK176" s="57">
        <f>SUMIFS(tblFleet[Available_h],tblFleet[Date],$A176,tblFleet[Equipment_Class],"Excavator")</f>
        <v/>
      </c>
      <c r="BL176" s="57">
        <f>IF($B176=$B175,$BL175,0)+$BK176</f>
        <v/>
      </c>
      <c r="BM176" s="57">
        <f>$BM175+$BK176</f>
        <v/>
      </c>
      <c r="BN176" s="57">
        <f>SUMIFS(tblFleet[Operating_h],tblFleet[Date],$A176,tblFleet[Equipment_Class],"Excavator")</f>
        <v/>
      </c>
      <c r="BO176" s="57">
        <f>IF($B176=$B175,$BO175,0)+$BN176</f>
        <v/>
      </c>
      <c r="BP176" s="57">
        <f>$BP175+$BN176</f>
        <v/>
      </c>
      <c r="BQ176" s="67">
        <f>IFERROR(IF(($BH176)&gt;0,($BK176)/($BH176),""),"")</f>
        <v/>
      </c>
      <c r="BR176" s="67">
        <f>IFERROR(IF(($BI176)&gt;0,($BL176)/($BI176),""),"")</f>
        <v/>
      </c>
      <c r="BS176" s="67">
        <f>IFERROR(IF(($BJ176)&gt;0,($BM176)/($BJ176),""),"")</f>
        <v/>
      </c>
      <c r="BT176" s="67">
        <f>IFERROR(IF(($BK176)&gt;0,($BN176)/($BK176),""),"")</f>
        <v/>
      </c>
      <c r="BU176" s="67">
        <f>IFERROR(IF(($BL176)&gt;0,($BO176)/($BL176),""),"")</f>
        <v/>
      </c>
      <c r="BV176" s="67">
        <f>IFERROR(IF(($BM176)&gt;0,($BP176)/($BM176),""),"")</f>
        <v/>
      </c>
      <c r="BW176" s="57">
        <f>SUMIFS(tblFleet[Calendar_h],tblFleet[Date],$A176,tblFleet[Equipment_Class],"Haul Truck")</f>
        <v/>
      </c>
      <c r="BX176" s="57">
        <f>IF($B176=$B175,$BX175,0)+$BW176</f>
        <v/>
      </c>
      <c r="BY176" s="57">
        <f>$BY175+$BW176</f>
        <v/>
      </c>
      <c r="BZ176" s="57">
        <f>SUMIFS(tblFleet[Available_h],tblFleet[Date],$A176,tblFleet[Equipment_Class],"Haul Truck")</f>
        <v/>
      </c>
      <c r="CA176" s="57">
        <f>IF($B176=$B175,$CA175,0)+$BZ176</f>
        <v/>
      </c>
      <c r="CB176" s="57">
        <f>$CB175+$BZ176</f>
        <v/>
      </c>
      <c r="CC176" s="57">
        <f>SUMIFS(tblFleet[Operating_h],tblFleet[Date],$A176,tblFleet[Equipment_Class],"Haul Truck")</f>
        <v/>
      </c>
      <c r="CD176" s="57">
        <f>IF($B176=$B175,$CD175,0)+$CC176</f>
        <v/>
      </c>
      <c r="CE176" s="57">
        <f>$CE175+$CC176</f>
        <v/>
      </c>
      <c r="CF176" s="67">
        <f>IFERROR(IF(($BW176)&gt;0,($BZ176)/($BW176),""),"")</f>
        <v/>
      </c>
      <c r="CG176" s="67">
        <f>IFERROR(IF(($BX176)&gt;0,($CA176)/($BX176),""),"")</f>
        <v/>
      </c>
      <c r="CH176" s="67">
        <f>IFERROR(IF(($BY176)&gt;0,($CB176)/($BY176),""),"")</f>
        <v/>
      </c>
      <c r="CI176" s="67">
        <f>IFERROR(IF(($BZ176)&gt;0,($CC176)/($BZ176),""),"")</f>
        <v/>
      </c>
      <c r="CJ176" s="67">
        <f>IFERROR(IF(($CA176)&gt;0,($CD176)/($CA176),""),"")</f>
        <v/>
      </c>
      <c r="CK176" s="67">
        <f>IFERROR(IF(($CB176)&gt;0,($CE176)/($CB176),""),"")</f>
        <v/>
      </c>
      <c r="CL176" s="55">
        <f>IFERROR(IF(($BN176)&gt;0,($X176+$AD176)/($BN176),""),"")</f>
        <v/>
      </c>
      <c r="CM176" s="55">
        <f>IFERROR(IF(($BO176)&gt;0,($Y176+$AE176)/($BO176),""),"")</f>
        <v/>
      </c>
      <c r="CN176" s="55">
        <f>IFERROR(IF(($BP176)&gt;0,($Z176+$AF176)/($BP176),""),"")</f>
        <v/>
      </c>
      <c r="CO176" s="55">
        <f>IFERROR(IF(($CC176)&gt;0,($X176+$AD176)/($CC176),""),"")</f>
        <v/>
      </c>
      <c r="CP176" s="55">
        <f>IFERROR(IF(($CD176)&gt;0,($Y176+$AE176)/($CD176),""),"")</f>
        <v/>
      </c>
      <c r="CQ176" s="55">
        <f>IFERROR(IF(($CE176)&gt;0,($Z176+$AF176)/($CE176),""),"")</f>
        <v/>
      </c>
      <c r="CR176" s="55">
        <f>SUMIFS(tblPlant[Crushed_t],tblPlant[Date],$A176)</f>
        <v/>
      </c>
      <c r="CS176" s="55">
        <f>IF($B176=$B175,$CS175,0)+$CR176</f>
        <v/>
      </c>
      <c r="CT176" s="55">
        <f>$CT175+$CR176</f>
        <v/>
      </c>
      <c r="CU176" s="55">
        <f>SUMIFS(tblPlant[Milled_t],tblPlant[Date],$A176)</f>
        <v/>
      </c>
      <c r="CV176" s="55">
        <f>IF($B176=$B175,$CV175,0)+$CU176</f>
        <v/>
      </c>
      <c r="CW176" s="55">
        <f>$CW175+$CU176</f>
        <v/>
      </c>
      <c r="CX176" s="55">
        <f>SUMIFS(tblPlant[Feed_oz],tblPlant[Date],$A176)</f>
        <v/>
      </c>
      <c r="CY176" s="55">
        <f>IF($B176=$B175,$CY175,0)+$CX176</f>
        <v/>
      </c>
      <c r="CZ176" s="55">
        <f>$CZ175+$CX176</f>
        <v/>
      </c>
      <c r="DA176" s="55">
        <f>SUMIFS(tblPlant[Tails_oz],tblPlant[Date],$A176)</f>
        <v/>
      </c>
      <c r="DB176" s="55">
        <f>IF($B176=$B175,$DB175,0)+$DA176</f>
        <v/>
      </c>
      <c r="DC176" s="55">
        <f>$DC175+$DA176</f>
        <v/>
      </c>
      <c r="DD176" s="55">
        <f>SUMIFS(tblPlant[Recovered_oz],tblPlant[Date],$A176)</f>
        <v/>
      </c>
      <c r="DE176" s="55">
        <f>IF($B176=$B175,$DE175,0)+$DD176</f>
        <v/>
      </c>
      <c r="DF176" s="55">
        <f>$DF175+$DD176</f>
        <v/>
      </c>
      <c r="DG176" s="55">
        <f>SUMIFS(tblPlant[Milled_t],tblPlant[Date],$A176,tblPlant[Head_Grade_gpt],"&lt;&gt;")</f>
        <v/>
      </c>
      <c r="DH176" s="55">
        <f>IF($B176=$B175,$DH175,0)+$DG176</f>
        <v/>
      </c>
      <c r="DI176" s="55">
        <f>$DI175+$DG176</f>
        <v/>
      </c>
      <c r="DJ176" s="55">
        <f>SUMIFS(tblPlant[Milled_t],tblPlant[Date],$A176,tblPlant[Tails_Grade_gpt],"&lt;&gt;")</f>
        <v/>
      </c>
      <c r="DK176" s="55">
        <f>IF($B176=$B175,$DK175,0)+$DJ176</f>
        <v/>
      </c>
      <c r="DL176" s="55">
        <f>$DL175+$DJ176</f>
        <v/>
      </c>
      <c r="DM176" s="55">
        <f>SUMIFS(tblPlant[Feed_oz],tblPlant[Date],$A176,tblPlant[Tails_Grade_gpt],"&lt;&gt;")</f>
        <v/>
      </c>
      <c r="DN176" s="55">
        <f>IF($B176=$B175,$DN175,0)+$DM176</f>
        <v/>
      </c>
      <c r="DO176" s="55">
        <f>$DO175+$DM176</f>
        <v/>
      </c>
      <c r="DP176" s="55">
        <f>SUMIFS(tblPlant[Milled_t],tblPlant[Date],$A176,tblPlant[Mill_Run_h],"&lt;&gt;")</f>
        <v/>
      </c>
      <c r="DQ176" s="55">
        <f>IF($B176=$B175,$DQ175,0)+$DP176</f>
        <v/>
      </c>
      <c r="DR176" s="55">
        <f>$DR175+$DP176</f>
        <v/>
      </c>
      <c r="DS176" s="56">
        <f>IFERROR(IF(($DG176)&gt;0,($CX176*cfg_TroyOz)/($DG176),""),"")</f>
        <v/>
      </c>
      <c r="DT176" s="56">
        <f>IFERROR(IF(($DH176)&gt;0,($CY176*cfg_TroyOz)/($DH176),""),"")</f>
        <v/>
      </c>
      <c r="DU176" s="56">
        <f>IFERROR(IF(($DI176)&gt;0,($CZ176*cfg_TroyOz)/($DI176),""),"")</f>
        <v/>
      </c>
      <c r="DV176" s="56">
        <f>IFERROR(IF(($DJ176)&gt;0,($DA176*cfg_TroyOz)/($DJ176),""),"")</f>
        <v/>
      </c>
      <c r="DW176" s="56">
        <f>IFERROR(IF(($DK176)&gt;0,($DB176*cfg_TroyOz)/($DK176),""),"")</f>
        <v/>
      </c>
      <c r="DX176" s="56">
        <f>IFERROR(IF(($DL176)&gt;0,($DC176*cfg_TroyOz)/($DL176),""),"")</f>
        <v/>
      </c>
      <c r="DY176" s="67">
        <f>IFERROR(IF(($DM176)&gt;0,($DD176)/($DM176),""),"")</f>
        <v/>
      </c>
      <c r="DZ176" s="67">
        <f>IFERROR(IF(($DN176)&gt;0,($DE176)/($DN176),""),"")</f>
        <v/>
      </c>
      <c r="EA176" s="67">
        <f>IFERROR(IF(($DO176)&gt;0,($DF176)/($DO176),""),"")</f>
        <v/>
      </c>
      <c r="EB176" s="55">
        <f>SUMIFS(tblPlant[Gravity_Gold_oz],tblPlant[Date],$A176)</f>
        <v/>
      </c>
      <c r="EC176" s="55">
        <f>IF($B176=$B175,$EC175,0)+$EB176</f>
        <v/>
      </c>
      <c r="ED176" s="55">
        <f>$ED175+$EB176</f>
        <v/>
      </c>
      <c r="EE176" s="67">
        <f>IFERROR(IF(($DD176)&gt;0,($EB176)/($DD176),""),"")</f>
        <v/>
      </c>
      <c r="EF176" s="67">
        <f>IFERROR(IF(($DE176)&gt;0,($EC176)/($DE176),""),"")</f>
        <v/>
      </c>
      <c r="EG176" s="67">
        <f>IFERROR(IF(($DF176)&gt;0,($ED176)/($DF176),""),"")</f>
        <v/>
      </c>
      <c r="EH176" s="55">
        <f>SUMIFS(tblPlant[Gold_Poured_oz],tblPlant[Date],$A176)</f>
        <v/>
      </c>
      <c r="EI176" s="55">
        <f>IF($B176=$B175,$EI175,0)+$EH176</f>
        <v/>
      </c>
      <c r="EJ176" s="55">
        <f>$EJ175+$EH176</f>
        <v/>
      </c>
      <c r="EK176" s="57">
        <f>SUMIFS(tblPlant[Mill_Run_h],tblPlant[Date],$A176)</f>
        <v/>
      </c>
      <c r="EL176" s="57">
        <f>IF($B176=$B175,$EL175,0)+$EK176</f>
        <v/>
      </c>
      <c r="EM176" s="57">
        <f>$EM175+$EK176</f>
        <v/>
      </c>
      <c r="EN176" s="57">
        <f>SUMIFS(tblPlant[Mill_Planned_Maint_h],tblPlant[Date],$A176)</f>
        <v/>
      </c>
      <c r="EO176" s="57">
        <f>IF($B176=$B175,$EO175,0)+$EN176</f>
        <v/>
      </c>
      <c r="EP176" s="57">
        <f>$EP175+$EN176</f>
        <v/>
      </c>
      <c r="EQ176" s="57">
        <f>SUMIFS(tblPlant[Mill_Unplanned_Down_h],tblPlant[Date],$A176)</f>
        <v/>
      </c>
      <c r="ER176" s="57">
        <f>IF($B176=$B175,$ER175,0)+$EQ176</f>
        <v/>
      </c>
      <c r="ES176" s="57">
        <f>$ES175+$EQ176</f>
        <v/>
      </c>
      <c r="ET176" s="57">
        <f>IF(COUNTIFS(tblPlant[Date],$A176,tblPlant[Mill_Run_h],"&lt;&gt;")+COUNTIFS(tblPlant[Date],$A176,tblPlant[Mill_Planned_Maint_h],"&lt;&gt;")+COUNTIFS(tblPlant[Date],$A176,tblPlant[Mill_Unplanned_Down_h],"&lt;&gt;")&gt;0,cfg_HoursPerDay,0)</f>
        <v/>
      </c>
      <c r="EU176" s="57">
        <f>IF($B176=$B175,$EU175,0)+$ET176</f>
        <v/>
      </c>
      <c r="EV176" s="57">
        <f>$EV175+$ET176</f>
        <v/>
      </c>
      <c r="EW176" s="57">
        <f>SUMIFS(tblPlant[Crusher_Run_h],tblPlant[Date],$A176)</f>
        <v/>
      </c>
      <c r="EX176" s="57">
        <f>IF($B176=$B175,$EX175,0)+$EW176</f>
        <v/>
      </c>
      <c r="EY176" s="57">
        <f>$EY175+$EW176</f>
        <v/>
      </c>
      <c r="EZ176" s="55">
        <f>IFERROR(IF(($EK176)&gt;0,($DP176)/($EK176),""),"")</f>
        <v/>
      </c>
      <c r="FA176" s="55">
        <f>IFERROR(IF(($EL176)&gt;0,($DQ176)/($EL176),""),"")</f>
        <v/>
      </c>
      <c r="FB176" s="55">
        <f>IFERROR(IF(($EM176)&gt;0,($DR176)/($EM176),""),"")</f>
        <v/>
      </c>
      <c r="FC176" s="67">
        <f>IFERROR(IF(($ET176)&gt;0,($ET176-$EN176-$EQ176)/($ET176),""),"")</f>
        <v/>
      </c>
      <c r="FD176" s="67">
        <f>IFERROR(IF(($EU176)&gt;0,($EU176-$EO176-$ER176)/($EU176),""),"")</f>
        <v/>
      </c>
      <c r="FE176" s="67">
        <f>IFERROR(IF(($EV176)&gt;0,($EV176-$EP176-$ES176)/($EV176),""),"")</f>
        <v/>
      </c>
      <c r="FF176" s="67">
        <f>IFERROR(IF(($ET176-$EN176-$EQ176)&gt;0,($EK176)/($ET176-$EN176-$EQ176),""),"")</f>
        <v/>
      </c>
      <c r="FG176" s="67">
        <f>IFERROR(IF(($EU176-$EO176-$ER176)&gt;0,($EL176)/($EU176-$EO176-$ER176),""),"")</f>
        <v/>
      </c>
      <c r="FH176" s="67">
        <f>IFERROR(IF(($EV176-$EP176-$ES176)&gt;0,($EM176)/($EV176-$EP176-$ES176),""),"")</f>
        <v/>
      </c>
      <c r="FI176" s="55">
        <f>SUMIFS(tblPlant[Cyanide_kg],tblPlant[Date],$A176)</f>
        <v/>
      </c>
      <c r="FJ176" s="55">
        <f>IF($B176=$B175,$FJ175,0)+$FI176</f>
        <v/>
      </c>
      <c r="FK176" s="55">
        <f>$FK175+$FI176</f>
        <v/>
      </c>
      <c r="FL176" s="55">
        <f>SUMIFS(tblPlant[Lime_kg],tblPlant[Date],$A176)</f>
        <v/>
      </c>
      <c r="FM176" s="55">
        <f>IF($B176=$B175,$FM175,0)+$FL176</f>
        <v/>
      </c>
      <c r="FN176" s="55">
        <f>$FN175+$FL176</f>
        <v/>
      </c>
      <c r="FO176" s="55">
        <f>SUMIFS(tblPlant[Grinding_Media_kg],tblPlant[Date],$A176)</f>
        <v/>
      </c>
      <c r="FP176" s="55">
        <f>IF($B176=$B175,$FP175,0)+$FO176</f>
        <v/>
      </c>
      <c r="FQ176" s="55">
        <f>$FQ175+$FO176</f>
        <v/>
      </c>
      <c r="FR176" s="55">
        <f>SUMIFS(tblPlant[Power_kWh],tblPlant[Date],$A176)</f>
        <v/>
      </c>
      <c r="FS176" s="55">
        <f>IF($B176=$B175,$FS175,0)+$FR176</f>
        <v/>
      </c>
      <c r="FT176" s="55">
        <f>$FT175+$FR176</f>
        <v/>
      </c>
      <c r="FU176" s="55">
        <f>SUMIFS(tblPlant[Raw_Water_m3],tblPlant[Date],$A176)</f>
        <v/>
      </c>
      <c r="FV176" s="55">
        <f>IF($B176=$B175,$FV175,0)+$FU176</f>
        <v/>
      </c>
      <c r="FW176" s="55">
        <f>$FW175+$FU176</f>
        <v/>
      </c>
      <c r="FX176" s="56">
        <f>IFERROR(IF(($CU176)&gt;0,($FI176)/($CU176),""),"")</f>
        <v/>
      </c>
      <c r="FY176" s="56">
        <f>IFERROR(IF(($CV176)&gt;0,($FJ176)/($CV176),""),"")</f>
        <v/>
      </c>
      <c r="FZ176" s="56">
        <f>IFERROR(IF(($CW176)&gt;0,($FK176)/($CW176),""),"")</f>
        <v/>
      </c>
      <c r="GA176" s="56">
        <f>IFERROR(IF(($CU176)&gt;0,($FL176)/($CU176),""),"")</f>
        <v/>
      </c>
      <c r="GB176" s="56">
        <f>IFERROR(IF(($CV176)&gt;0,($FM176)/($CV176),""),"")</f>
        <v/>
      </c>
      <c r="GC176" s="56">
        <f>IFERROR(IF(($CW176)&gt;0,($FN176)/($CW176),""),"")</f>
        <v/>
      </c>
      <c r="GD176" s="56">
        <f>IFERROR(IF(($CU176)&gt;0,($FO176)/($CU176),""),"")</f>
        <v/>
      </c>
      <c r="GE176" s="56">
        <f>IFERROR(IF(($CV176)&gt;0,($FP176)/($CV176),""),"")</f>
        <v/>
      </c>
      <c r="GF176" s="56">
        <f>IFERROR(IF(($CW176)&gt;0,($FQ176)/($CW176),""),"")</f>
        <v/>
      </c>
      <c r="GG176" s="79">
        <f>IFERROR(IF(($CU176)&gt;0,($FR176)/($CU176),""),"")</f>
        <v/>
      </c>
      <c r="GH176" s="79">
        <f>IFERROR(IF(($CV176)&gt;0,($FS176)/($CV176),""),"")</f>
        <v/>
      </c>
      <c r="GI176" s="79">
        <f>IFERROR(IF(($CW176)&gt;0,($FT176)/($CW176),""),"")</f>
        <v/>
      </c>
      <c r="GJ176" s="56">
        <f>IFERROR(IF(($CU176)&gt;0,($FU176)/($CU176),""),"")</f>
        <v/>
      </c>
      <c r="GK176" s="56">
        <f>IFERROR(IF(($CV176)&gt;0,($FV176)/($CV176),""),"")</f>
        <v/>
      </c>
      <c r="GL176" s="56">
        <f>IFERROR(IF(($CW176)&gt;0,($FW176)/($CW176),""),"")</f>
        <v/>
      </c>
      <c r="GM176" s="55">
        <f>IF(SUMIFS(tblPlant[GIC_oz],tblPlant[Date],$A176)&gt;0,SUMIFS(tblPlant[GIC_oz],tblPlant[Date],$A176),"")</f>
        <v/>
      </c>
      <c r="GN176" s="55">
        <f>SUMIFS(tblGold[Gold_oz],tblGold[Date],$A176,tblGold[Type],"Shipment")</f>
        <v/>
      </c>
      <c r="GO176" s="55">
        <f>IF($B176=$B175,$GO175,0)+$GN176</f>
        <v/>
      </c>
      <c r="GP176" s="55">
        <f>$GP175+$GN176</f>
        <v/>
      </c>
      <c r="GQ176" s="55">
        <f>SUMIFS(tblGold[Gold_oz],tblGold[Date],$A176,tblGold[Type],"Sale")</f>
        <v/>
      </c>
      <c r="GR176" s="55">
        <f>IF($B176=$B175,$GR175,0)+$GQ176</f>
        <v/>
      </c>
      <c r="GS176" s="55">
        <f>$GS175+$GQ176</f>
        <v/>
      </c>
      <c r="GT176" s="55">
        <f>SUMIFS(tblGold[Dore_kg],tblGold[Date],$A176,tblGold[Type],"Shipment")</f>
        <v/>
      </c>
      <c r="GU176" s="55">
        <f>IF($B176=$B175,$GU175,0)+$GT176</f>
        <v/>
      </c>
      <c r="GV176" s="55">
        <f>$GV175+$GT176</f>
        <v/>
      </c>
      <c r="GW176" s="57">
        <f>SUMIFS(tblSafety[Hours_Total],tblSafety[Date],$A176)</f>
        <v/>
      </c>
      <c r="GX176" s="57">
        <f>IF($B176=$B175,$GX175,0)+$GW176</f>
        <v/>
      </c>
      <c r="GY176" s="57">
        <f>$GY175+$GW176</f>
        <v/>
      </c>
      <c r="GZ176" s="62">
        <f>SUMIFS(tblSafety[Fatality],tblSafety[Date],$A176)</f>
        <v/>
      </c>
      <c r="HA176" s="62">
        <f>IF($B176=$B175,$HA175,0)+$GZ176</f>
        <v/>
      </c>
      <c r="HB176" s="62">
        <f>$HB175+$GZ176</f>
        <v/>
      </c>
      <c r="HC176" s="62">
        <f>SUMIFS(tblSafety[LTI],tblSafety[Date],$A176)</f>
        <v/>
      </c>
      <c r="HD176" s="62">
        <f>IF($B176=$B175,$HD175,0)+$HC176</f>
        <v/>
      </c>
      <c r="HE176" s="62">
        <f>$HE175+$HC176</f>
        <v/>
      </c>
      <c r="HF176" s="62">
        <f>SUMIFS(tblSafety[RWI],tblSafety[Date],$A176)</f>
        <v/>
      </c>
      <c r="HG176" s="62">
        <f>IF($B176=$B175,$HG175,0)+$HF176</f>
        <v/>
      </c>
      <c r="HH176" s="62">
        <f>$HH175+$HF176</f>
        <v/>
      </c>
      <c r="HI176" s="62">
        <f>SUMIFS(tblSafety[MTI],tblSafety[Date],$A176)</f>
        <v/>
      </c>
      <c r="HJ176" s="62">
        <f>IF($B176=$B175,$HJ175,0)+$HI176</f>
        <v/>
      </c>
      <c r="HK176" s="62">
        <f>$HK175+$HI176</f>
        <v/>
      </c>
      <c r="HL176" s="62">
        <f>SUMIFS(tblSafety[FAI],tblSafety[Date],$A176)</f>
        <v/>
      </c>
      <c r="HM176" s="62">
        <f>IF($B176=$B175,$HM175,0)+$HL176</f>
        <v/>
      </c>
      <c r="HN176" s="62">
        <f>$HN175+$HL176</f>
        <v/>
      </c>
      <c r="HO176" s="62">
        <f>SUMIFS(tblSafety[Recordables],tblSafety[Date],$A176)</f>
        <v/>
      </c>
      <c r="HP176" s="62">
        <f>IF($B176=$B175,$HP175,0)+$HO176</f>
        <v/>
      </c>
      <c r="HQ176" s="62">
        <f>$HQ175+$HO176</f>
        <v/>
      </c>
      <c r="HR176" s="62">
        <f>SUMIFS(tblSafety[Near_Miss],tblSafety[Date],$A176)</f>
        <v/>
      </c>
      <c r="HS176" s="62">
        <f>IF($B176=$B175,$HS175,0)+$HR176</f>
        <v/>
      </c>
      <c r="HT176" s="62">
        <f>$HT175+$HR176</f>
        <v/>
      </c>
      <c r="HU176" s="62">
        <f>SUMIFS(tblSafety[Hazard_Reports],tblSafety[Date],$A176)</f>
        <v/>
      </c>
      <c r="HV176" s="62">
        <f>IF($B176=$B175,$HV175,0)+$HU176</f>
        <v/>
      </c>
      <c r="HW176" s="62">
        <f>$HW175+$HU176</f>
        <v/>
      </c>
      <c r="HX176" s="62">
        <f>SUMIFS(tblSafety[HPI],tblSafety[Date],$A176)</f>
        <v/>
      </c>
      <c r="HY176" s="62">
        <f>IF($B176=$B175,$HY175,0)+$HX176</f>
        <v/>
      </c>
      <c r="HZ176" s="62">
        <f>$HZ175+$HX176</f>
        <v/>
      </c>
      <c r="IA176" s="62">
        <f>SUMIFS(tblSafety[Env_Incidents],tblSafety[Date],$A176)</f>
        <v/>
      </c>
      <c r="IB176" s="62">
        <f>IF($B176=$B175,$IB175,0)+$IA176</f>
        <v/>
      </c>
      <c r="IC176" s="62">
        <f>$IC175+$IA176</f>
        <v/>
      </c>
      <c r="ID176" s="62">
        <f>SUMIFS(tblSafety[Community_Incidents],tblSafety[Date],$A176)</f>
        <v/>
      </c>
      <c r="IE176" s="62">
        <f>IF($B176=$B175,$IE175,0)+$ID176</f>
        <v/>
      </c>
      <c r="IF176" s="62">
        <f>$IF175+$ID176</f>
        <v/>
      </c>
      <c r="IG176" s="62">
        <f>SUMIFS(tblSafety[Vehicle_Incidents],tblSafety[Date],$A176)</f>
        <v/>
      </c>
      <c r="IH176" s="62">
        <f>IF($B176=$B175,$IH175,0)+$IG176</f>
        <v/>
      </c>
      <c r="II176" s="62">
        <f>$II175+$IG176</f>
        <v/>
      </c>
      <c r="IJ176" s="62">
        <f>SUMIFS(tblSafety[Toolbox_Talks],tblSafety[Date],$A176)</f>
        <v/>
      </c>
      <c r="IK176" s="62">
        <f>IF($B176=$B175,$IK175,0)+$IJ176</f>
        <v/>
      </c>
      <c r="IL176" s="62">
        <f>$IL175+$IJ176</f>
        <v/>
      </c>
      <c r="IM176" s="62">
        <f>SUMIFS(tblSafety[Inspections],tblSafety[Date],$A176)</f>
        <v/>
      </c>
      <c r="IN176" s="62">
        <f>IF($B176=$B175,$IN175,0)+$IM176</f>
        <v/>
      </c>
      <c r="IO176" s="62">
        <f>$IO175+$IM176</f>
        <v/>
      </c>
      <c r="IP176" s="56">
        <f>IFERROR((SUMIFS(tblSafety[Recordables],tblSafety[Date],"&gt;="&amp;EDATE($E176,-12),tblSafety[Date],"&lt;="&amp;$A176)+SUMIFS(tblSafetyHistory[Recordables],tblSafetyHistory[Month],"&gt;="&amp;EDATE($E176,-12),tblSafetyHistory[Month],"&lt;"&amp;$E176,tblSafetyHistory[Use],1))/(SUMIFS(tblSafety[Hours_Total],tblSafety[Date],"&gt;="&amp;EDATE($E176,-12),tblSafety[Date],"&lt;="&amp;$A176)+SUMIFS(tblSafetyHistory[Hours_Total],tblSafetyHistory[Month],"&gt;="&amp;EDATE($E176,-12),tblSafetyHistory[Month],"&lt;"&amp;$E176,tblSafetyHistory[Use],1))*cfg_RateBasisHours,"")</f>
        <v/>
      </c>
      <c r="IQ176" s="56">
        <f>IFERROR((SUMIFS(tblSafety[LTI],tblSafety[Date],"&gt;="&amp;EDATE($E176,-12),tblSafety[Date],"&lt;="&amp;$A176)+SUMIFS(tblSafetyHistory[LTI],tblSafetyHistory[Month],"&gt;="&amp;EDATE($E176,-12),tblSafetyHistory[Month],"&lt;"&amp;$E176,tblSafetyHistory[Use],1))/(SUMIFS(tblSafety[Hours_Total],tblSafety[Date],"&gt;="&amp;EDATE($E176,-12),tblSafety[Date],"&lt;="&amp;$A176)+SUMIFS(tblSafetyHistory[Hours_Total],tblSafetyHistory[Month],"&gt;="&amp;EDATE($E176,-12),tblSafetyHistory[Month],"&lt;"&amp;$E176,tblSafetyHistory[Use],1))*cfg_RateBasisHours,"")</f>
        <v/>
      </c>
      <c r="IR176" s="62">
        <f>IF(MAX(N(cfg_PriorLTIDate),_xlfn.MAXIFS(tblSafety[Date],tblSafety[LTI],"&gt;0",tblSafety[Date],"&lt;="&amp;$A176))=0,"",$A176-MAX(N(cfg_PriorLTIDate),_xlfn.MAXIFS(tblSafety[Date],tblSafety[LTI],"&gt;0",tblSafety[Date],"&lt;="&amp;$A176)))</f>
        <v/>
      </c>
      <c r="IS176" s="55">
        <f>SUMIFS(tblBudget[Ore_Mined_t],tblBudget[Month],$E176)</f>
        <v/>
      </c>
      <c r="IT176" s="55">
        <f>$IS176*$C176/$D176</f>
        <v/>
      </c>
      <c r="IU176" s="55">
        <f>SUMIFS(tblBudget[Ore_Mined_t],tblBudget[Month],"&lt;"&amp;$E176)+$IT176</f>
        <v/>
      </c>
      <c r="IV176" s="55">
        <f>SUMIFS(tblBudget[Ore_oz],tblBudget[Month],$E176)</f>
        <v/>
      </c>
      <c r="IW176" s="55">
        <f>$IV176*$C176/$D176</f>
        <v/>
      </c>
      <c r="IX176" s="55">
        <f>SUMIFS(tblBudget[Ore_oz],tblBudget[Month],"&lt;"&amp;$E176)+$IW176</f>
        <v/>
      </c>
      <c r="IY176" s="55">
        <f>SUMIFS(tblBudget[Ore_Mined_t],tblBudget[Month],$E176)</f>
        <v/>
      </c>
      <c r="IZ176" s="55">
        <f>$IY176*$C176/$D176</f>
        <v/>
      </c>
      <c r="JA176" s="55">
        <f>SUMIFS(tblBudget[Ore_Mined_t],tblBudget[Month],"&lt;"&amp;$E176)+$IZ176</f>
        <v/>
      </c>
      <c r="JB176" s="56">
        <f>IFERROR(IF(($IY176)&gt;0,($IV176*cfg_TroyOz)/($IY176),""),"")</f>
        <v/>
      </c>
      <c r="JC176" s="56">
        <f>IFERROR(IF(($IZ176)&gt;0,($IW176*cfg_TroyOz)/($IZ176),""),"")</f>
        <v/>
      </c>
      <c r="JD176" s="56">
        <f>IFERROR(IF(($JA176)&gt;0,($IX176*cfg_TroyOz)/($JA176),""),"")</f>
        <v/>
      </c>
      <c r="JE176" s="55">
        <f>SUMIFS(tblBudget[Waste_t],tblBudget[Month],$E176)</f>
        <v/>
      </c>
      <c r="JF176" s="55">
        <f>$JE176*$C176/$D176</f>
        <v/>
      </c>
      <c r="JG176" s="55">
        <f>SUMIFS(tblBudget[Waste_t],tblBudget[Month],"&lt;"&amp;$E176)+$JF176</f>
        <v/>
      </c>
      <c r="JH176" s="55">
        <f>SUMIFS(tblBudget[TMM_t],tblBudget[Month],$E176)</f>
        <v/>
      </c>
      <c r="JI176" s="55">
        <f>$JH176*$C176/$D176</f>
        <v/>
      </c>
      <c r="JJ176" s="55">
        <f>SUMIFS(tblBudget[TMM_t],tblBudget[Month],"&lt;"&amp;$E176)+$JI176</f>
        <v/>
      </c>
      <c r="JK176" s="56">
        <f>IFERROR(IF(($IS176)&gt;0,($JE176)/($IS176),""),"")</f>
        <v/>
      </c>
      <c r="JL176" s="56">
        <f>IFERROR(IF(($IT176)&gt;0,($JF176)/($IT176),""),"")</f>
        <v/>
      </c>
      <c r="JM176" s="56">
        <f>IFERROR(IF(($IU176)&gt;0,($JG176)/($IU176),""),"")</f>
        <v/>
      </c>
      <c r="JN176" s="55">
        <f>SUMIFS(tblBudget[Drill_m],tblBudget[Month],$E176)</f>
        <v/>
      </c>
      <c r="JO176" s="55">
        <f>$JN176*$C176/$D176</f>
        <v/>
      </c>
      <c r="JP176" s="55">
        <f>SUMIFS(tblBudget[Drill_m],tblBudget[Month],"&lt;"&amp;$E176)+$JO176</f>
        <v/>
      </c>
      <c r="JQ176" s="55">
        <f>SUMIFS(tblBudget[Diesel_L],tblBudget[Month],$E176)</f>
        <v/>
      </c>
      <c r="JR176" s="55">
        <f>$JQ176*$C176/$D176</f>
        <v/>
      </c>
      <c r="JS176" s="55">
        <f>SUMIFS(tblBudget[Diesel_L],tblBudget[Month],"&lt;"&amp;$E176)+$JR176</f>
        <v/>
      </c>
      <c r="JT176" s="55">
        <f>SUMIFS(tblBudget[Milled_t],tblBudget[Month],$E176)</f>
        <v/>
      </c>
      <c r="JU176" s="55">
        <f>$JT176*$C176/$D176</f>
        <v/>
      </c>
      <c r="JV176" s="55">
        <f>SUMIFS(tblBudget[Milled_t],tblBudget[Month],"&lt;"&amp;$E176)+$JU176</f>
        <v/>
      </c>
      <c r="JW176" s="55">
        <f>SUMIFS(tblBudget[Feed_oz],tblBudget[Month],$E176)</f>
        <v/>
      </c>
      <c r="JX176" s="55">
        <f>$JW176*$C176/$D176</f>
        <v/>
      </c>
      <c r="JY176" s="55">
        <f>SUMIFS(tblBudget[Feed_oz],tblBudget[Month],"&lt;"&amp;$E176)+$JX176</f>
        <v/>
      </c>
      <c r="JZ176" s="55">
        <f>SUMIFS(tblBudget[Recovered_oz],tblBudget[Month],$E176)</f>
        <v/>
      </c>
      <c r="KA176" s="55">
        <f>$JZ176*$C176/$D176</f>
        <v/>
      </c>
      <c r="KB176" s="55">
        <f>SUMIFS(tblBudget[Recovered_oz],tblBudget[Month],"&lt;"&amp;$E176)+$KA176</f>
        <v/>
      </c>
      <c r="KC176" s="55">
        <f>SUMIFS(tblBudget[Milled_t],tblBudget[Month],$E176)</f>
        <v/>
      </c>
      <c r="KD176" s="55">
        <f>$KC176*$C176/$D176</f>
        <v/>
      </c>
      <c r="KE176" s="55">
        <f>SUMIFS(tblBudget[Milled_t],tblBudget[Month],"&lt;"&amp;$E176)+$KD176</f>
        <v/>
      </c>
      <c r="KF176" s="55">
        <f>SUMIFS(tblBudget[Feed_oz],tblBudget[Month],$E176)</f>
        <v/>
      </c>
      <c r="KG176" s="55">
        <f>$KF176*$C176/$D176</f>
        <v/>
      </c>
      <c r="KH176" s="55">
        <f>SUMIFS(tblBudget[Feed_oz],tblBudget[Month],"&lt;"&amp;$E176)+$KG176</f>
        <v/>
      </c>
      <c r="KI176" s="56">
        <f>IFERROR(IF(($KC176)&gt;0,($JW176*cfg_TroyOz)/($KC176),""),"")</f>
        <v/>
      </c>
      <c r="KJ176" s="56">
        <f>IFERROR(IF(($KD176)&gt;0,($JX176*cfg_TroyOz)/($KD176),""),"")</f>
        <v/>
      </c>
      <c r="KK176" s="56">
        <f>IFERROR(IF(($KE176)&gt;0,($JY176*cfg_TroyOz)/($KE176),""),"")</f>
        <v/>
      </c>
      <c r="KL176" s="67">
        <f>IFERROR(IF(($KF176)&gt;0,($JZ176)/($KF176),""),"")</f>
        <v/>
      </c>
      <c r="KM176" s="67">
        <f>IFERROR(IF(($KG176)&gt;0,($KA176)/($KG176),""),"")</f>
        <v/>
      </c>
      <c r="KN176" s="67">
        <f>IFERROR(IF(($KH176)&gt;0,($KB176)/($KH176),""),"")</f>
        <v/>
      </c>
      <c r="KO176" s="55">
        <f>SUMIFS(tblBudget[Gold_Poured_oz],tblBudget[Month],$E176)</f>
        <v/>
      </c>
      <c r="KP176" s="55">
        <f>$KO176*$C176/$D176</f>
        <v/>
      </c>
      <c r="KQ176" s="55">
        <f>SUMIFS(tblBudget[Gold_Poured_oz],tblBudget[Month],"&lt;"&amp;$E176)+$KP176</f>
        <v/>
      </c>
      <c r="KR176" s="57">
        <f>SUMIFS(tblBudget[Hours_Worked],tblBudget[Month],$E176)</f>
        <v/>
      </c>
      <c r="KS176" s="57">
        <f>$KR176*$C176/$D176</f>
        <v/>
      </c>
      <c r="KT176" s="57">
        <f>SUMIFS(tblBudget[Hours_Worked],tblBudget[Month],"&lt;"&amp;$E176)+$KS176</f>
        <v/>
      </c>
    </row>
    <row r="177">
      <c r="A177" s="54" t="n">
        <v>46198</v>
      </c>
      <c r="B177">
        <f>MONTH($A177)</f>
        <v/>
      </c>
      <c r="C177">
        <f>DAY($A177)</f>
        <v/>
      </c>
      <c r="D177">
        <f>DAY(EOMONTH($A177,0))</f>
        <v/>
      </c>
      <c r="E177" s="54">
        <f>DATE(YEAR($A177),MONTH($A177),1)</f>
        <v/>
      </c>
      <c r="F177" s="55">
        <f>SUMIFS(tblMovement[Tonnes_t],tblMovement[Date],$A177,tblMovement[Is_Ore],1,tblMovement[Source_Type],"Pit")</f>
        <v/>
      </c>
      <c r="G177" s="55">
        <f>IF($B177=$B176,$G176,0)+$F177</f>
        <v/>
      </c>
      <c r="H177" s="55">
        <f>$H176+$F177</f>
        <v/>
      </c>
      <c r="I177" s="55">
        <f>SUMIFS(tblMovement[Ore_oz],tblMovement[Date],$A177,tblMovement[Source_Type],"Pit")</f>
        <v/>
      </c>
      <c r="J177" s="55">
        <f>IF($B177=$B176,$J176,0)+$I177</f>
        <v/>
      </c>
      <c r="K177" s="55">
        <f>$K176+$I177</f>
        <v/>
      </c>
      <c r="L177" s="55">
        <f>SUMIFS(tblMovement[Tonnes_t],tblMovement[Date],$A177,tblMovement[Is_Ore],1,tblMovement[Source_Type],"Pit",tblMovement[Grade_gpt],"&lt;&gt;")</f>
        <v/>
      </c>
      <c r="M177" s="55">
        <f>IF($B177=$B176,$M176,0)+$L177</f>
        <v/>
      </c>
      <c r="N177" s="55">
        <f>$N176+$L177</f>
        <v/>
      </c>
      <c r="O177" s="56">
        <f>IFERROR(IF(($L177)&gt;0,($I177*cfg_TroyOz)/($L177),""),"")</f>
        <v/>
      </c>
      <c r="P177" s="56">
        <f>IFERROR(IF(($M177)&gt;0,($J177*cfg_TroyOz)/($M177),""),"")</f>
        <v/>
      </c>
      <c r="Q177" s="56">
        <f>IFERROR(IF(($N177)&gt;0,($K177*cfg_TroyOz)/($N177),""),"")</f>
        <v/>
      </c>
      <c r="R177" s="55">
        <f>$F177-$L177</f>
        <v/>
      </c>
      <c r="S177" s="55">
        <f>IF($B177=$B176,$S176,0)+$R177</f>
        <v/>
      </c>
      <c r="T177" s="55">
        <f>$T176+$R177</f>
        <v/>
      </c>
      <c r="U177" s="55">
        <f>SUMIFS(tblMovement[Tonnes_t],tblMovement[Date],$A177,tblMovement[Is_Ore],0,tblMovement[Source_Type],"Pit")</f>
        <v/>
      </c>
      <c r="V177" s="55">
        <f>IF($B177=$B176,$V176,0)+$U177</f>
        <v/>
      </c>
      <c r="W177" s="55">
        <f>$W176+$U177</f>
        <v/>
      </c>
      <c r="X177" s="55">
        <f>$F177+$U177</f>
        <v/>
      </c>
      <c r="Y177" s="55">
        <f>IF($B177=$B176,$Y176,0)+$X177</f>
        <v/>
      </c>
      <c r="Z177" s="55">
        <f>$Z176+$X177</f>
        <v/>
      </c>
      <c r="AA177" s="56">
        <f>IFERROR(IF(($F177)&gt;0,($U177)/($F177),""),"")</f>
        <v/>
      </c>
      <c r="AB177" s="56">
        <f>IFERROR(IF(($G177)&gt;0,($V177)/($G177),""),"")</f>
        <v/>
      </c>
      <c r="AC177" s="56">
        <f>IFERROR(IF(($H177)&gt;0,($W177)/($H177),""),"")</f>
        <v/>
      </c>
      <c r="AD177" s="55">
        <f>SUMIFS(tblMovement[Tonnes_t],tblMovement[Date],$A177,tblMovement[Source_Type],"Stockpile")</f>
        <v/>
      </c>
      <c r="AE177" s="55">
        <f>IF($B177=$B176,$AE176,0)+$AD177</f>
        <v/>
      </c>
      <c r="AF177" s="55">
        <f>$AF176+$AD177</f>
        <v/>
      </c>
      <c r="AG177" s="55">
        <f>SUMIFS(tblMovement[Tonnes_t],tblMovement[Date],$A177)</f>
        <v/>
      </c>
      <c r="AH177" s="55">
        <f>IF($B177=$B176,$AH176,0)+$AG177</f>
        <v/>
      </c>
      <c r="AI177" s="55">
        <f>$AI176+$AG177</f>
        <v/>
      </c>
      <c r="AJ177" s="55">
        <f>$AG177-$X177-$AD177</f>
        <v/>
      </c>
      <c r="AK177" s="55">
        <f>IF($B177=$B176,$AK176,0)+$AJ177</f>
        <v/>
      </c>
      <c r="AL177" s="55">
        <f>$AL176+$AJ177</f>
        <v/>
      </c>
      <c r="AM177" s="55">
        <f>SUMIFS(tblMiningDaily[Drill_m],tblMiningDaily[Date],$A177)</f>
        <v/>
      </c>
      <c r="AN177" s="55">
        <f>IF($B177=$B176,$AN176,0)+$AM177</f>
        <v/>
      </c>
      <c r="AO177" s="55">
        <f>$AO176+$AM177</f>
        <v/>
      </c>
      <c r="AP177" s="55">
        <f>SUMIFS(tblMiningDaily[GC_Drill_m],tblMiningDaily[Date],$A177)</f>
        <v/>
      </c>
      <c r="AQ177" s="55">
        <f>IF($B177=$B176,$AQ176,0)+$AP177</f>
        <v/>
      </c>
      <c r="AR177" s="55">
        <f>$AR176+$AP177</f>
        <v/>
      </c>
      <c r="AS177" s="55">
        <f>SUMIFS(tblMiningDaily[Blast_t],tblMiningDaily[Date],$A177)</f>
        <v/>
      </c>
      <c r="AT177" s="55">
        <f>IF($B177=$B176,$AT176,0)+$AS177</f>
        <v/>
      </c>
      <c r="AU177" s="55">
        <f>$AU176+$AS177</f>
        <v/>
      </c>
      <c r="AV177" s="55">
        <f>SUMIFS(tblMiningDaily[Explosives_kg],tblMiningDaily[Date],$A177)</f>
        <v/>
      </c>
      <c r="AW177" s="55">
        <f>IF($B177=$B176,$AW176,0)+$AV177</f>
        <v/>
      </c>
      <c r="AX177" s="55">
        <f>$AX176+$AV177</f>
        <v/>
      </c>
      <c r="AY177" s="56">
        <f>IFERROR(IF(($AS177)&gt;0,($AV177)/($AS177),""),"")</f>
        <v/>
      </c>
      <c r="AZ177" s="56">
        <f>IFERROR(IF(($AT177)&gt;0,($AW177)/($AT177),""),"")</f>
        <v/>
      </c>
      <c r="BA177" s="56">
        <f>IFERROR(IF(($AU177)&gt;0,($AX177)/($AU177),""),"")</f>
        <v/>
      </c>
      <c r="BB177" s="55">
        <f>SUMIFS(tblMiningDaily[Diesel_L],tblMiningDaily[Date],$A177)</f>
        <v/>
      </c>
      <c r="BC177" s="55">
        <f>IF($B177=$B176,$BC176,0)+$BB177</f>
        <v/>
      </c>
      <c r="BD177" s="55">
        <f>$BD176+$BB177</f>
        <v/>
      </c>
      <c r="BE177" s="55">
        <f>SUMIFS(tblMiningDaily[Dewatering_m3],tblMiningDaily[Date],$A177)</f>
        <v/>
      </c>
      <c r="BF177" s="55">
        <f>IF($B177=$B176,$BF176,0)+$BE177</f>
        <v/>
      </c>
      <c r="BG177" s="55">
        <f>$BG176+$BE177</f>
        <v/>
      </c>
      <c r="BH177" s="57">
        <f>SUMIFS(tblFleet[Calendar_h],tblFleet[Date],$A177,tblFleet[Equipment_Class],"Excavator")</f>
        <v/>
      </c>
      <c r="BI177" s="57">
        <f>IF($B177=$B176,$BI176,0)+$BH177</f>
        <v/>
      </c>
      <c r="BJ177" s="57">
        <f>$BJ176+$BH177</f>
        <v/>
      </c>
      <c r="BK177" s="57">
        <f>SUMIFS(tblFleet[Available_h],tblFleet[Date],$A177,tblFleet[Equipment_Class],"Excavator")</f>
        <v/>
      </c>
      <c r="BL177" s="57">
        <f>IF($B177=$B176,$BL176,0)+$BK177</f>
        <v/>
      </c>
      <c r="BM177" s="57">
        <f>$BM176+$BK177</f>
        <v/>
      </c>
      <c r="BN177" s="57">
        <f>SUMIFS(tblFleet[Operating_h],tblFleet[Date],$A177,tblFleet[Equipment_Class],"Excavator")</f>
        <v/>
      </c>
      <c r="BO177" s="57">
        <f>IF($B177=$B176,$BO176,0)+$BN177</f>
        <v/>
      </c>
      <c r="BP177" s="57">
        <f>$BP176+$BN177</f>
        <v/>
      </c>
      <c r="BQ177" s="67">
        <f>IFERROR(IF(($BH177)&gt;0,($BK177)/($BH177),""),"")</f>
        <v/>
      </c>
      <c r="BR177" s="67">
        <f>IFERROR(IF(($BI177)&gt;0,($BL177)/($BI177),""),"")</f>
        <v/>
      </c>
      <c r="BS177" s="67">
        <f>IFERROR(IF(($BJ177)&gt;0,($BM177)/($BJ177),""),"")</f>
        <v/>
      </c>
      <c r="BT177" s="67">
        <f>IFERROR(IF(($BK177)&gt;0,($BN177)/($BK177),""),"")</f>
        <v/>
      </c>
      <c r="BU177" s="67">
        <f>IFERROR(IF(($BL177)&gt;0,($BO177)/($BL177),""),"")</f>
        <v/>
      </c>
      <c r="BV177" s="67">
        <f>IFERROR(IF(($BM177)&gt;0,($BP177)/($BM177),""),"")</f>
        <v/>
      </c>
      <c r="BW177" s="57">
        <f>SUMIFS(tblFleet[Calendar_h],tblFleet[Date],$A177,tblFleet[Equipment_Class],"Haul Truck")</f>
        <v/>
      </c>
      <c r="BX177" s="57">
        <f>IF($B177=$B176,$BX176,0)+$BW177</f>
        <v/>
      </c>
      <c r="BY177" s="57">
        <f>$BY176+$BW177</f>
        <v/>
      </c>
      <c r="BZ177" s="57">
        <f>SUMIFS(tblFleet[Available_h],tblFleet[Date],$A177,tblFleet[Equipment_Class],"Haul Truck")</f>
        <v/>
      </c>
      <c r="CA177" s="57">
        <f>IF($B177=$B176,$CA176,0)+$BZ177</f>
        <v/>
      </c>
      <c r="CB177" s="57">
        <f>$CB176+$BZ177</f>
        <v/>
      </c>
      <c r="CC177" s="57">
        <f>SUMIFS(tblFleet[Operating_h],tblFleet[Date],$A177,tblFleet[Equipment_Class],"Haul Truck")</f>
        <v/>
      </c>
      <c r="CD177" s="57">
        <f>IF($B177=$B176,$CD176,0)+$CC177</f>
        <v/>
      </c>
      <c r="CE177" s="57">
        <f>$CE176+$CC177</f>
        <v/>
      </c>
      <c r="CF177" s="67">
        <f>IFERROR(IF(($BW177)&gt;0,($BZ177)/($BW177),""),"")</f>
        <v/>
      </c>
      <c r="CG177" s="67">
        <f>IFERROR(IF(($BX177)&gt;0,($CA177)/($BX177),""),"")</f>
        <v/>
      </c>
      <c r="CH177" s="67">
        <f>IFERROR(IF(($BY177)&gt;0,($CB177)/($BY177),""),"")</f>
        <v/>
      </c>
      <c r="CI177" s="67">
        <f>IFERROR(IF(($BZ177)&gt;0,($CC177)/($BZ177),""),"")</f>
        <v/>
      </c>
      <c r="CJ177" s="67">
        <f>IFERROR(IF(($CA177)&gt;0,($CD177)/($CA177),""),"")</f>
        <v/>
      </c>
      <c r="CK177" s="67">
        <f>IFERROR(IF(($CB177)&gt;0,($CE177)/($CB177),""),"")</f>
        <v/>
      </c>
      <c r="CL177" s="55">
        <f>IFERROR(IF(($BN177)&gt;0,($X177+$AD177)/($BN177),""),"")</f>
        <v/>
      </c>
      <c r="CM177" s="55">
        <f>IFERROR(IF(($BO177)&gt;0,($Y177+$AE177)/($BO177),""),"")</f>
        <v/>
      </c>
      <c r="CN177" s="55">
        <f>IFERROR(IF(($BP177)&gt;0,($Z177+$AF177)/($BP177),""),"")</f>
        <v/>
      </c>
      <c r="CO177" s="55">
        <f>IFERROR(IF(($CC177)&gt;0,($X177+$AD177)/($CC177),""),"")</f>
        <v/>
      </c>
      <c r="CP177" s="55">
        <f>IFERROR(IF(($CD177)&gt;0,($Y177+$AE177)/($CD177),""),"")</f>
        <v/>
      </c>
      <c r="CQ177" s="55">
        <f>IFERROR(IF(($CE177)&gt;0,($Z177+$AF177)/($CE177),""),"")</f>
        <v/>
      </c>
      <c r="CR177" s="55">
        <f>SUMIFS(tblPlant[Crushed_t],tblPlant[Date],$A177)</f>
        <v/>
      </c>
      <c r="CS177" s="55">
        <f>IF($B177=$B176,$CS176,0)+$CR177</f>
        <v/>
      </c>
      <c r="CT177" s="55">
        <f>$CT176+$CR177</f>
        <v/>
      </c>
      <c r="CU177" s="55">
        <f>SUMIFS(tblPlant[Milled_t],tblPlant[Date],$A177)</f>
        <v/>
      </c>
      <c r="CV177" s="55">
        <f>IF($B177=$B176,$CV176,0)+$CU177</f>
        <v/>
      </c>
      <c r="CW177" s="55">
        <f>$CW176+$CU177</f>
        <v/>
      </c>
      <c r="CX177" s="55">
        <f>SUMIFS(tblPlant[Feed_oz],tblPlant[Date],$A177)</f>
        <v/>
      </c>
      <c r="CY177" s="55">
        <f>IF($B177=$B176,$CY176,0)+$CX177</f>
        <v/>
      </c>
      <c r="CZ177" s="55">
        <f>$CZ176+$CX177</f>
        <v/>
      </c>
      <c r="DA177" s="55">
        <f>SUMIFS(tblPlant[Tails_oz],tblPlant[Date],$A177)</f>
        <v/>
      </c>
      <c r="DB177" s="55">
        <f>IF($B177=$B176,$DB176,0)+$DA177</f>
        <v/>
      </c>
      <c r="DC177" s="55">
        <f>$DC176+$DA177</f>
        <v/>
      </c>
      <c r="DD177" s="55">
        <f>SUMIFS(tblPlant[Recovered_oz],tblPlant[Date],$A177)</f>
        <v/>
      </c>
      <c r="DE177" s="55">
        <f>IF($B177=$B176,$DE176,0)+$DD177</f>
        <v/>
      </c>
      <c r="DF177" s="55">
        <f>$DF176+$DD177</f>
        <v/>
      </c>
      <c r="DG177" s="55">
        <f>SUMIFS(tblPlant[Milled_t],tblPlant[Date],$A177,tblPlant[Head_Grade_gpt],"&lt;&gt;")</f>
        <v/>
      </c>
      <c r="DH177" s="55">
        <f>IF($B177=$B176,$DH176,0)+$DG177</f>
        <v/>
      </c>
      <c r="DI177" s="55">
        <f>$DI176+$DG177</f>
        <v/>
      </c>
      <c r="DJ177" s="55">
        <f>SUMIFS(tblPlant[Milled_t],tblPlant[Date],$A177,tblPlant[Tails_Grade_gpt],"&lt;&gt;")</f>
        <v/>
      </c>
      <c r="DK177" s="55">
        <f>IF($B177=$B176,$DK176,0)+$DJ177</f>
        <v/>
      </c>
      <c r="DL177" s="55">
        <f>$DL176+$DJ177</f>
        <v/>
      </c>
      <c r="DM177" s="55">
        <f>SUMIFS(tblPlant[Feed_oz],tblPlant[Date],$A177,tblPlant[Tails_Grade_gpt],"&lt;&gt;")</f>
        <v/>
      </c>
      <c r="DN177" s="55">
        <f>IF($B177=$B176,$DN176,0)+$DM177</f>
        <v/>
      </c>
      <c r="DO177" s="55">
        <f>$DO176+$DM177</f>
        <v/>
      </c>
      <c r="DP177" s="55">
        <f>SUMIFS(tblPlant[Milled_t],tblPlant[Date],$A177,tblPlant[Mill_Run_h],"&lt;&gt;")</f>
        <v/>
      </c>
      <c r="DQ177" s="55">
        <f>IF($B177=$B176,$DQ176,0)+$DP177</f>
        <v/>
      </c>
      <c r="DR177" s="55">
        <f>$DR176+$DP177</f>
        <v/>
      </c>
      <c r="DS177" s="56">
        <f>IFERROR(IF(($DG177)&gt;0,($CX177*cfg_TroyOz)/($DG177),""),"")</f>
        <v/>
      </c>
      <c r="DT177" s="56">
        <f>IFERROR(IF(($DH177)&gt;0,($CY177*cfg_TroyOz)/($DH177),""),"")</f>
        <v/>
      </c>
      <c r="DU177" s="56">
        <f>IFERROR(IF(($DI177)&gt;0,($CZ177*cfg_TroyOz)/($DI177),""),"")</f>
        <v/>
      </c>
      <c r="DV177" s="56">
        <f>IFERROR(IF(($DJ177)&gt;0,($DA177*cfg_TroyOz)/($DJ177),""),"")</f>
        <v/>
      </c>
      <c r="DW177" s="56">
        <f>IFERROR(IF(($DK177)&gt;0,($DB177*cfg_TroyOz)/($DK177),""),"")</f>
        <v/>
      </c>
      <c r="DX177" s="56">
        <f>IFERROR(IF(($DL177)&gt;0,($DC177*cfg_TroyOz)/($DL177),""),"")</f>
        <v/>
      </c>
      <c r="DY177" s="67">
        <f>IFERROR(IF(($DM177)&gt;0,($DD177)/($DM177),""),"")</f>
        <v/>
      </c>
      <c r="DZ177" s="67">
        <f>IFERROR(IF(($DN177)&gt;0,($DE177)/($DN177),""),"")</f>
        <v/>
      </c>
      <c r="EA177" s="67">
        <f>IFERROR(IF(($DO177)&gt;0,($DF177)/($DO177),""),"")</f>
        <v/>
      </c>
      <c r="EB177" s="55">
        <f>SUMIFS(tblPlant[Gravity_Gold_oz],tblPlant[Date],$A177)</f>
        <v/>
      </c>
      <c r="EC177" s="55">
        <f>IF($B177=$B176,$EC176,0)+$EB177</f>
        <v/>
      </c>
      <c r="ED177" s="55">
        <f>$ED176+$EB177</f>
        <v/>
      </c>
      <c r="EE177" s="67">
        <f>IFERROR(IF(($DD177)&gt;0,($EB177)/($DD177),""),"")</f>
        <v/>
      </c>
      <c r="EF177" s="67">
        <f>IFERROR(IF(($DE177)&gt;0,($EC177)/($DE177),""),"")</f>
        <v/>
      </c>
      <c r="EG177" s="67">
        <f>IFERROR(IF(($DF177)&gt;0,($ED177)/($DF177),""),"")</f>
        <v/>
      </c>
      <c r="EH177" s="55">
        <f>SUMIFS(tblPlant[Gold_Poured_oz],tblPlant[Date],$A177)</f>
        <v/>
      </c>
      <c r="EI177" s="55">
        <f>IF($B177=$B176,$EI176,0)+$EH177</f>
        <v/>
      </c>
      <c r="EJ177" s="55">
        <f>$EJ176+$EH177</f>
        <v/>
      </c>
      <c r="EK177" s="57">
        <f>SUMIFS(tblPlant[Mill_Run_h],tblPlant[Date],$A177)</f>
        <v/>
      </c>
      <c r="EL177" s="57">
        <f>IF($B177=$B176,$EL176,0)+$EK177</f>
        <v/>
      </c>
      <c r="EM177" s="57">
        <f>$EM176+$EK177</f>
        <v/>
      </c>
      <c r="EN177" s="57">
        <f>SUMIFS(tblPlant[Mill_Planned_Maint_h],tblPlant[Date],$A177)</f>
        <v/>
      </c>
      <c r="EO177" s="57">
        <f>IF($B177=$B176,$EO176,0)+$EN177</f>
        <v/>
      </c>
      <c r="EP177" s="57">
        <f>$EP176+$EN177</f>
        <v/>
      </c>
      <c r="EQ177" s="57">
        <f>SUMIFS(tblPlant[Mill_Unplanned_Down_h],tblPlant[Date],$A177)</f>
        <v/>
      </c>
      <c r="ER177" s="57">
        <f>IF($B177=$B176,$ER176,0)+$EQ177</f>
        <v/>
      </c>
      <c r="ES177" s="57">
        <f>$ES176+$EQ177</f>
        <v/>
      </c>
      <c r="ET177" s="57">
        <f>IF(COUNTIFS(tblPlant[Date],$A177,tblPlant[Mill_Run_h],"&lt;&gt;")+COUNTIFS(tblPlant[Date],$A177,tblPlant[Mill_Planned_Maint_h],"&lt;&gt;")+COUNTIFS(tblPlant[Date],$A177,tblPlant[Mill_Unplanned_Down_h],"&lt;&gt;")&gt;0,cfg_HoursPerDay,0)</f>
        <v/>
      </c>
      <c r="EU177" s="57">
        <f>IF($B177=$B176,$EU176,0)+$ET177</f>
        <v/>
      </c>
      <c r="EV177" s="57">
        <f>$EV176+$ET177</f>
        <v/>
      </c>
      <c r="EW177" s="57">
        <f>SUMIFS(tblPlant[Crusher_Run_h],tblPlant[Date],$A177)</f>
        <v/>
      </c>
      <c r="EX177" s="57">
        <f>IF($B177=$B176,$EX176,0)+$EW177</f>
        <v/>
      </c>
      <c r="EY177" s="57">
        <f>$EY176+$EW177</f>
        <v/>
      </c>
      <c r="EZ177" s="55">
        <f>IFERROR(IF(($EK177)&gt;0,($DP177)/($EK177),""),"")</f>
        <v/>
      </c>
      <c r="FA177" s="55">
        <f>IFERROR(IF(($EL177)&gt;0,($DQ177)/($EL177),""),"")</f>
        <v/>
      </c>
      <c r="FB177" s="55">
        <f>IFERROR(IF(($EM177)&gt;0,($DR177)/($EM177),""),"")</f>
        <v/>
      </c>
      <c r="FC177" s="67">
        <f>IFERROR(IF(($ET177)&gt;0,($ET177-$EN177-$EQ177)/($ET177),""),"")</f>
        <v/>
      </c>
      <c r="FD177" s="67">
        <f>IFERROR(IF(($EU177)&gt;0,($EU177-$EO177-$ER177)/($EU177),""),"")</f>
        <v/>
      </c>
      <c r="FE177" s="67">
        <f>IFERROR(IF(($EV177)&gt;0,($EV177-$EP177-$ES177)/($EV177),""),"")</f>
        <v/>
      </c>
      <c r="FF177" s="67">
        <f>IFERROR(IF(($ET177-$EN177-$EQ177)&gt;0,($EK177)/($ET177-$EN177-$EQ177),""),"")</f>
        <v/>
      </c>
      <c r="FG177" s="67">
        <f>IFERROR(IF(($EU177-$EO177-$ER177)&gt;0,($EL177)/($EU177-$EO177-$ER177),""),"")</f>
        <v/>
      </c>
      <c r="FH177" s="67">
        <f>IFERROR(IF(($EV177-$EP177-$ES177)&gt;0,($EM177)/($EV177-$EP177-$ES177),""),"")</f>
        <v/>
      </c>
      <c r="FI177" s="55">
        <f>SUMIFS(tblPlant[Cyanide_kg],tblPlant[Date],$A177)</f>
        <v/>
      </c>
      <c r="FJ177" s="55">
        <f>IF($B177=$B176,$FJ176,0)+$FI177</f>
        <v/>
      </c>
      <c r="FK177" s="55">
        <f>$FK176+$FI177</f>
        <v/>
      </c>
      <c r="FL177" s="55">
        <f>SUMIFS(tblPlant[Lime_kg],tblPlant[Date],$A177)</f>
        <v/>
      </c>
      <c r="FM177" s="55">
        <f>IF($B177=$B176,$FM176,0)+$FL177</f>
        <v/>
      </c>
      <c r="FN177" s="55">
        <f>$FN176+$FL177</f>
        <v/>
      </c>
      <c r="FO177" s="55">
        <f>SUMIFS(tblPlant[Grinding_Media_kg],tblPlant[Date],$A177)</f>
        <v/>
      </c>
      <c r="FP177" s="55">
        <f>IF($B177=$B176,$FP176,0)+$FO177</f>
        <v/>
      </c>
      <c r="FQ177" s="55">
        <f>$FQ176+$FO177</f>
        <v/>
      </c>
      <c r="FR177" s="55">
        <f>SUMIFS(tblPlant[Power_kWh],tblPlant[Date],$A177)</f>
        <v/>
      </c>
      <c r="FS177" s="55">
        <f>IF($B177=$B176,$FS176,0)+$FR177</f>
        <v/>
      </c>
      <c r="FT177" s="55">
        <f>$FT176+$FR177</f>
        <v/>
      </c>
      <c r="FU177" s="55">
        <f>SUMIFS(tblPlant[Raw_Water_m3],tblPlant[Date],$A177)</f>
        <v/>
      </c>
      <c r="FV177" s="55">
        <f>IF($B177=$B176,$FV176,0)+$FU177</f>
        <v/>
      </c>
      <c r="FW177" s="55">
        <f>$FW176+$FU177</f>
        <v/>
      </c>
      <c r="FX177" s="56">
        <f>IFERROR(IF(($CU177)&gt;0,($FI177)/($CU177),""),"")</f>
        <v/>
      </c>
      <c r="FY177" s="56">
        <f>IFERROR(IF(($CV177)&gt;0,($FJ177)/($CV177),""),"")</f>
        <v/>
      </c>
      <c r="FZ177" s="56">
        <f>IFERROR(IF(($CW177)&gt;0,($FK177)/($CW177),""),"")</f>
        <v/>
      </c>
      <c r="GA177" s="56">
        <f>IFERROR(IF(($CU177)&gt;0,($FL177)/($CU177),""),"")</f>
        <v/>
      </c>
      <c r="GB177" s="56">
        <f>IFERROR(IF(($CV177)&gt;0,($FM177)/($CV177),""),"")</f>
        <v/>
      </c>
      <c r="GC177" s="56">
        <f>IFERROR(IF(($CW177)&gt;0,($FN177)/($CW177),""),"")</f>
        <v/>
      </c>
      <c r="GD177" s="56">
        <f>IFERROR(IF(($CU177)&gt;0,($FO177)/($CU177),""),"")</f>
        <v/>
      </c>
      <c r="GE177" s="56">
        <f>IFERROR(IF(($CV177)&gt;0,($FP177)/($CV177),""),"")</f>
        <v/>
      </c>
      <c r="GF177" s="56">
        <f>IFERROR(IF(($CW177)&gt;0,($FQ177)/($CW177),""),"")</f>
        <v/>
      </c>
      <c r="GG177" s="79">
        <f>IFERROR(IF(($CU177)&gt;0,($FR177)/($CU177),""),"")</f>
        <v/>
      </c>
      <c r="GH177" s="79">
        <f>IFERROR(IF(($CV177)&gt;0,($FS177)/($CV177),""),"")</f>
        <v/>
      </c>
      <c r="GI177" s="79">
        <f>IFERROR(IF(($CW177)&gt;0,($FT177)/($CW177),""),"")</f>
        <v/>
      </c>
      <c r="GJ177" s="56">
        <f>IFERROR(IF(($CU177)&gt;0,($FU177)/($CU177),""),"")</f>
        <v/>
      </c>
      <c r="GK177" s="56">
        <f>IFERROR(IF(($CV177)&gt;0,($FV177)/($CV177),""),"")</f>
        <v/>
      </c>
      <c r="GL177" s="56">
        <f>IFERROR(IF(($CW177)&gt;0,($FW177)/($CW177),""),"")</f>
        <v/>
      </c>
      <c r="GM177" s="55">
        <f>IF(SUMIFS(tblPlant[GIC_oz],tblPlant[Date],$A177)&gt;0,SUMIFS(tblPlant[GIC_oz],tblPlant[Date],$A177),"")</f>
        <v/>
      </c>
      <c r="GN177" s="55">
        <f>SUMIFS(tblGold[Gold_oz],tblGold[Date],$A177,tblGold[Type],"Shipment")</f>
        <v/>
      </c>
      <c r="GO177" s="55">
        <f>IF($B177=$B176,$GO176,0)+$GN177</f>
        <v/>
      </c>
      <c r="GP177" s="55">
        <f>$GP176+$GN177</f>
        <v/>
      </c>
      <c r="GQ177" s="55">
        <f>SUMIFS(tblGold[Gold_oz],tblGold[Date],$A177,tblGold[Type],"Sale")</f>
        <v/>
      </c>
      <c r="GR177" s="55">
        <f>IF($B177=$B176,$GR176,0)+$GQ177</f>
        <v/>
      </c>
      <c r="GS177" s="55">
        <f>$GS176+$GQ177</f>
        <v/>
      </c>
      <c r="GT177" s="55">
        <f>SUMIFS(tblGold[Dore_kg],tblGold[Date],$A177,tblGold[Type],"Shipment")</f>
        <v/>
      </c>
      <c r="GU177" s="55">
        <f>IF($B177=$B176,$GU176,0)+$GT177</f>
        <v/>
      </c>
      <c r="GV177" s="55">
        <f>$GV176+$GT177</f>
        <v/>
      </c>
      <c r="GW177" s="57">
        <f>SUMIFS(tblSafety[Hours_Total],tblSafety[Date],$A177)</f>
        <v/>
      </c>
      <c r="GX177" s="57">
        <f>IF($B177=$B176,$GX176,0)+$GW177</f>
        <v/>
      </c>
      <c r="GY177" s="57">
        <f>$GY176+$GW177</f>
        <v/>
      </c>
      <c r="GZ177" s="62">
        <f>SUMIFS(tblSafety[Fatality],tblSafety[Date],$A177)</f>
        <v/>
      </c>
      <c r="HA177" s="62">
        <f>IF($B177=$B176,$HA176,0)+$GZ177</f>
        <v/>
      </c>
      <c r="HB177" s="62">
        <f>$HB176+$GZ177</f>
        <v/>
      </c>
      <c r="HC177" s="62">
        <f>SUMIFS(tblSafety[LTI],tblSafety[Date],$A177)</f>
        <v/>
      </c>
      <c r="HD177" s="62">
        <f>IF($B177=$B176,$HD176,0)+$HC177</f>
        <v/>
      </c>
      <c r="HE177" s="62">
        <f>$HE176+$HC177</f>
        <v/>
      </c>
      <c r="HF177" s="62">
        <f>SUMIFS(tblSafety[RWI],tblSafety[Date],$A177)</f>
        <v/>
      </c>
      <c r="HG177" s="62">
        <f>IF($B177=$B176,$HG176,0)+$HF177</f>
        <v/>
      </c>
      <c r="HH177" s="62">
        <f>$HH176+$HF177</f>
        <v/>
      </c>
      <c r="HI177" s="62">
        <f>SUMIFS(tblSafety[MTI],tblSafety[Date],$A177)</f>
        <v/>
      </c>
      <c r="HJ177" s="62">
        <f>IF($B177=$B176,$HJ176,0)+$HI177</f>
        <v/>
      </c>
      <c r="HK177" s="62">
        <f>$HK176+$HI177</f>
        <v/>
      </c>
      <c r="HL177" s="62">
        <f>SUMIFS(tblSafety[FAI],tblSafety[Date],$A177)</f>
        <v/>
      </c>
      <c r="HM177" s="62">
        <f>IF($B177=$B176,$HM176,0)+$HL177</f>
        <v/>
      </c>
      <c r="HN177" s="62">
        <f>$HN176+$HL177</f>
        <v/>
      </c>
      <c r="HO177" s="62">
        <f>SUMIFS(tblSafety[Recordables],tblSafety[Date],$A177)</f>
        <v/>
      </c>
      <c r="HP177" s="62">
        <f>IF($B177=$B176,$HP176,0)+$HO177</f>
        <v/>
      </c>
      <c r="HQ177" s="62">
        <f>$HQ176+$HO177</f>
        <v/>
      </c>
      <c r="HR177" s="62">
        <f>SUMIFS(tblSafety[Near_Miss],tblSafety[Date],$A177)</f>
        <v/>
      </c>
      <c r="HS177" s="62">
        <f>IF($B177=$B176,$HS176,0)+$HR177</f>
        <v/>
      </c>
      <c r="HT177" s="62">
        <f>$HT176+$HR177</f>
        <v/>
      </c>
      <c r="HU177" s="62">
        <f>SUMIFS(tblSafety[Hazard_Reports],tblSafety[Date],$A177)</f>
        <v/>
      </c>
      <c r="HV177" s="62">
        <f>IF($B177=$B176,$HV176,0)+$HU177</f>
        <v/>
      </c>
      <c r="HW177" s="62">
        <f>$HW176+$HU177</f>
        <v/>
      </c>
      <c r="HX177" s="62">
        <f>SUMIFS(tblSafety[HPI],tblSafety[Date],$A177)</f>
        <v/>
      </c>
      <c r="HY177" s="62">
        <f>IF($B177=$B176,$HY176,0)+$HX177</f>
        <v/>
      </c>
      <c r="HZ177" s="62">
        <f>$HZ176+$HX177</f>
        <v/>
      </c>
      <c r="IA177" s="62">
        <f>SUMIFS(tblSafety[Env_Incidents],tblSafety[Date],$A177)</f>
        <v/>
      </c>
      <c r="IB177" s="62">
        <f>IF($B177=$B176,$IB176,0)+$IA177</f>
        <v/>
      </c>
      <c r="IC177" s="62">
        <f>$IC176+$IA177</f>
        <v/>
      </c>
      <c r="ID177" s="62">
        <f>SUMIFS(tblSafety[Community_Incidents],tblSafety[Date],$A177)</f>
        <v/>
      </c>
      <c r="IE177" s="62">
        <f>IF($B177=$B176,$IE176,0)+$ID177</f>
        <v/>
      </c>
      <c r="IF177" s="62">
        <f>$IF176+$ID177</f>
        <v/>
      </c>
      <c r="IG177" s="62">
        <f>SUMIFS(tblSafety[Vehicle_Incidents],tblSafety[Date],$A177)</f>
        <v/>
      </c>
      <c r="IH177" s="62">
        <f>IF($B177=$B176,$IH176,0)+$IG177</f>
        <v/>
      </c>
      <c r="II177" s="62">
        <f>$II176+$IG177</f>
        <v/>
      </c>
      <c r="IJ177" s="62">
        <f>SUMIFS(tblSafety[Toolbox_Talks],tblSafety[Date],$A177)</f>
        <v/>
      </c>
      <c r="IK177" s="62">
        <f>IF($B177=$B176,$IK176,0)+$IJ177</f>
        <v/>
      </c>
      <c r="IL177" s="62">
        <f>$IL176+$IJ177</f>
        <v/>
      </c>
      <c r="IM177" s="62">
        <f>SUMIFS(tblSafety[Inspections],tblSafety[Date],$A177)</f>
        <v/>
      </c>
      <c r="IN177" s="62">
        <f>IF($B177=$B176,$IN176,0)+$IM177</f>
        <v/>
      </c>
      <c r="IO177" s="62">
        <f>$IO176+$IM177</f>
        <v/>
      </c>
      <c r="IP177" s="56">
        <f>IFERROR((SUMIFS(tblSafety[Recordables],tblSafety[Date],"&gt;="&amp;EDATE($E177,-12),tblSafety[Date],"&lt;="&amp;$A177)+SUMIFS(tblSafetyHistory[Recordables],tblSafetyHistory[Month],"&gt;="&amp;EDATE($E177,-12),tblSafetyHistory[Month],"&lt;"&amp;$E177,tblSafetyHistory[Use],1))/(SUMIFS(tblSafety[Hours_Total],tblSafety[Date],"&gt;="&amp;EDATE($E177,-12),tblSafety[Date],"&lt;="&amp;$A177)+SUMIFS(tblSafetyHistory[Hours_Total],tblSafetyHistory[Month],"&gt;="&amp;EDATE($E177,-12),tblSafetyHistory[Month],"&lt;"&amp;$E177,tblSafetyHistory[Use],1))*cfg_RateBasisHours,"")</f>
        <v/>
      </c>
      <c r="IQ177" s="56">
        <f>IFERROR((SUMIFS(tblSafety[LTI],tblSafety[Date],"&gt;="&amp;EDATE($E177,-12),tblSafety[Date],"&lt;="&amp;$A177)+SUMIFS(tblSafetyHistory[LTI],tblSafetyHistory[Month],"&gt;="&amp;EDATE($E177,-12),tblSafetyHistory[Month],"&lt;"&amp;$E177,tblSafetyHistory[Use],1))/(SUMIFS(tblSafety[Hours_Total],tblSafety[Date],"&gt;="&amp;EDATE($E177,-12),tblSafety[Date],"&lt;="&amp;$A177)+SUMIFS(tblSafetyHistory[Hours_Total],tblSafetyHistory[Month],"&gt;="&amp;EDATE($E177,-12),tblSafetyHistory[Month],"&lt;"&amp;$E177,tblSafetyHistory[Use],1))*cfg_RateBasisHours,"")</f>
        <v/>
      </c>
      <c r="IR177" s="62">
        <f>IF(MAX(N(cfg_PriorLTIDate),_xlfn.MAXIFS(tblSafety[Date],tblSafety[LTI],"&gt;0",tblSafety[Date],"&lt;="&amp;$A177))=0,"",$A177-MAX(N(cfg_PriorLTIDate),_xlfn.MAXIFS(tblSafety[Date],tblSafety[LTI],"&gt;0",tblSafety[Date],"&lt;="&amp;$A177)))</f>
        <v/>
      </c>
      <c r="IS177" s="55">
        <f>SUMIFS(tblBudget[Ore_Mined_t],tblBudget[Month],$E177)</f>
        <v/>
      </c>
      <c r="IT177" s="55">
        <f>$IS177*$C177/$D177</f>
        <v/>
      </c>
      <c r="IU177" s="55">
        <f>SUMIFS(tblBudget[Ore_Mined_t],tblBudget[Month],"&lt;"&amp;$E177)+$IT177</f>
        <v/>
      </c>
      <c r="IV177" s="55">
        <f>SUMIFS(tblBudget[Ore_oz],tblBudget[Month],$E177)</f>
        <v/>
      </c>
      <c r="IW177" s="55">
        <f>$IV177*$C177/$D177</f>
        <v/>
      </c>
      <c r="IX177" s="55">
        <f>SUMIFS(tblBudget[Ore_oz],tblBudget[Month],"&lt;"&amp;$E177)+$IW177</f>
        <v/>
      </c>
      <c r="IY177" s="55">
        <f>SUMIFS(tblBudget[Ore_Mined_t],tblBudget[Month],$E177)</f>
        <v/>
      </c>
      <c r="IZ177" s="55">
        <f>$IY177*$C177/$D177</f>
        <v/>
      </c>
      <c r="JA177" s="55">
        <f>SUMIFS(tblBudget[Ore_Mined_t],tblBudget[Month],"&lt;"&amp;$E177)+$IZ177</f>
        <v/>
      </c>
      <c r="JB177" s="56">
        <f>IFERROR(IF(($IY177)&gt;0,($IV177*cfg_TroyOz)/($IY177),""),"")</f>
        <v/>
      </c>
      <c r="JC177" s="56">
        <f>IFERROR(IF(($IZ177)&gt;0,($IW177*cfg_TroyOz)/($IZ177),""),"")</f>
        <v/>
      </c>
      <c r="JD177" s="56">
        <f>IFERROR(IF(($JA177)&gt;0,($IX177*cfg_TroyOz)/($JA177),""),"")</f>
        <v/>
      </c>
      <c r="JE177" s="55">
        <f>SUMIFS(tblBudget[Waste_t],tblBudget[Month],$E177)</f>
        <v/>
      </c>
      <c r="JF177" s="55">
        <f>$JE177*$C177/$D177</f>
        <v/>
      </c>
      <c r="JG177" s="55">
        <f>SUMIFS(tblBudget[Waste_t],tblBudget[Month],"&lt;"&amp;$E177)+$JF177</f>
        <v/>
      </c>
      <c r="JH177" s="55">
        <f>SUMIFS(tblBudget[TMM_t],tblBudget[Month],$E177)</f>
        <v/>
      </c>
      <c r="JI177" s="55">
        <f>$JH177*$C177/$D177</f>
        <v/>
      </c>
      <c r="JJ177" s="55">
        <f>SUMIFS(tblBudget[TMM_t],tblBudget[Month],"&lt;"&amp;$E177)+$JI177</f>
        <v/>
      </c>
      <c r="JK177" s="56">
        <f>IFERROR(IF(($IS177)&gt;0,($JE177)/($IS177),""),"")</f>
        <v/>
      </c>
      <c r="JL177" s="56">
        <f>IFERROR(IF(($IT177)&gt;0,($JF177)/($IT177),""),"")</f>
        <v/>
      </c>
      <c r="JM177" s="56">
        <f>IFERROR(IF(($IU177)&gt;0,($JG177)/($IU177),""),"")</f>
        <v/>
      </c>
      <c r="JN177" s="55">
        <f>SUMIFS(tblBudget[Drill_m],tblBudget[Month],$E177)</f>
        <v/>
      </c>
      <c r="JO177" s="55">
        <f>$JN177*$C177/$D177</f>
        <v/>
      </c>
      <c r="JP177" s="55">
        <f>SUMIFS(tblBudget[Drill_m],tblBudget[Month],"&lt;"&amp;$E177)+$JO177</f>
        <v/>
      </c>
      <c r="JQ177" s="55">
        <f>SUMIFS(tblBudget[Diesel_L],tblBudget[Month],$E177)</f>
        <v/>
      </c>
      <c r="JR177" s="55">
        <f>$JQ177*$C177/$D177</f>
        <v/>
      </c>
      <c r="JS177" s="55">
        <f>SUMIFS(tblBudget[Diesel_L],tblBudget[Month],"&lt;"&amp;$E177)+$JR177</f>
        <v/>
      </c>
      <c r="JT177" s="55">
        <f>SUMIFS(tblBudget[Milled_t],tblBudget[Month],$E177)</f>
        <v/>
      </c>
      <c r="JU177" s="55">
        <f>$JT177*$C177/$D177</f>
        <v/>
      </c>
      <c r="JV177" s="55">
        <f>SUMIFS(tblBudget[Milled_t],tblBudget[Month],"&lt;"&amp;$E177)+$JU177</f>
        <v/>
      </c>
      <c r="JW177" s="55">
        <f>SUMIFS(tblBudget[Feed_oz],tblBudget[Month],$E177)</f>
        <v/>
      </c>
      <c r="JX177" s="55">
        <f>$JW177*$C177/$D177</f>
        <v/>
      </c>
      <c r="JY177" s="55">
        <f>SUMIFS(tblBudget[Feed_oz],tblBudget[Month],"&lt;"&amp;$E177)+$JX177</f>
        <v/>
      </c>
      <c r="JZ177" s="55">
        <f>SUMIFS(tblBudget[Recovered_oz],tblBudget[Month],$E177)</f>
        <v/>
      </c>
      <c r="KA177" s="55">
        <f>$JZ177*$C177/$D177</f>
        <v/>
      </c>
      <c r="KB177" s="55">
        <f>SUMIFS(tblBudget[Recovered_oz],tblBudget[Month],"&lt;"&amp;$E177)+$KA177</f>
        <v/>
      </c>
      <c r="KC177" s="55">
        <f>SUMIFS(tblBudget[Milled_t],tblBudget[Month],$E177)</f>
        <v/>
      </c>
      <c r="KD177" s="55">
        <f>$KC177*$C177/$D177</f>
        <v/>
      </c>
      <c r="KE177" s="55">
        <f>SUMIFS(tblBudget[Milled_t],tblBudget[Month],"&lt;"&amp;$E177)+$KD177</f>
        <v/>
      </c>
      <c r="KF177" s="55">
        <f>SUMIFS(tblBudget[Feed_oz],tblBudget[Month],$E177)</f>
        <v/>
      </c>
      <c r="KG177" s="55">
        <f>$KF177*$C177/$D177</f>
        <v/>
      </c>
      <c r="KH177" s="55">
        <f>SUMIFS(tblBudget[Feed_oz],tblBudget[Month],"&lt;"&amp;$E177)+$KG177</f>
        <v/>
      </c>
      <c r="KI177" s="56">
        <f>IFERROR(IF(($KC177)&gt;0,($JW177*cfg_TroyOz)/($KC177),""),"")</f>
        <v/>
      </c>
      <c r="KJ177" s="56">
        <f>IFERROR(IF(($KD177)&gt;0,($JX177*cfg_TroyOz)/($KD177),""),"")</f>
        <v/>
      </c>
      <c r="KK177" s="56">
        <f>IFERROR(IF(($KE177)&gt;0,($JY177*cfg_TroyOz)/($KE177),""),"")</f>
        <v/>
      </c>
      <c r="KL177" s="67">
        <f>IFERROR(IF(($KF177)&gt;0,($JZ177)/($KF177),""),"")</f>
        <v/>
      </c>
      <c r="KM177" s="67">
        <f>IFERROR(IF(($KG177)&gt;0,($KA177)/($KG177),""),"")</f>
        <v/>
      </c>
      <c r="KN177" s="67">
        <f>IFERROR(IF(($KH177)&gt;0,($KB177)/($KH177),""),"")</f>
        <v/>
      </c>
      <c r="KO177" s="55">
        <f>SUMIFS(tblBudget[Gold_Poured_oz],tblBudget[Month],$E177)</f>
        <v/>
      </c>
      <c r="KP177" s="55">
        <f>$KO177*$C177/$D177</f>
        <v/>
      </c>
      <c r="KQ177" s="55">
        <f>SUMIFS(tblBudget[Gold_Poured_oz],tblBudget[Month],"&lt;"&amp;$E177)+$KP177</f>
        <v/>
      </c>
      <c r="KR177" s="57">
        <f>SUMIFS(tblBudget[Hours_Worked],tblBudget[Month],$E177)</f>
        <v/>
      </c>
      <c r="KS177" s="57">
        <f>$KR177*$C177/$D177</f>
        <v/>
      </c>
      <c r="KT177" s="57">
        <f>SUMIFS(tblBudget[Hours_Worked],tblBudget[Month],"&lt;"&amp;$E177)+$KS177</f>
        <v/>
      </c>
    </row>
    <row r="178">
      <c r="A178" s="54" t="n">
        <v>46199</v>
      </c>
      <c r="B178">
        <f>MONTH($A178)</f>
        <v/>
      </c>
      <c r="C178">
        <f>DAY($A178)</f>
        <v/>
      </c>
      <c r="D178">
        <f>DAY(EOMONTH($A178,0))</f>
        <v/>
      </c>
      <c r="E178" s="54">
        <f>DATE(YEAR($A178),MONTH($A178),1)</f>
        <v/>
      </c>
      <c r="F178" s="55">
        <f>SUMIFS(tblMovement[Tonnes_t],tblMovement[Date],$A178,tblMovement[Is_Ore],1,tblMovement[Source_Type],"Pit")</f>
        <v/>
      </c>
      <c r="G178" s="55">
        <f>IF($B178=$B177,$G177,0)+$F178</f>
        <v/>
      </c>
      <c r="H178" s="55">
        <f>$H177+$F178</f>
        <v/>
      </c>
      <c r="I178" s="55">
        <f>SUMIFS(tblMovement[Ore_oz],tblMovement[Date],$A178,tblMovement[Source_Type],"Pit")</f>
        <v/>
      </c>
      <c r="J178" s="55">
        <f>IF($B178=$B177,$J177,0)+$I178</f>
        <v/>
      </c>
      <c r="K178" s="55">
        <f>$K177+$I178</f>
        <v/>
      </c>
      <c r="L178" s="55">
        <f>SUMIFS(tblMovement[Tonnes_t],tblMovement[Date],$A178,tblMovement[Is_Ore],1,tblMovement[Source_Type],"Pit",tblMovement[Grade_gpt],"&lt;&gt;")</f>
        <v/>
      </c>
      <c r="M178" s="55">
        <f>IF($B178=$B177,$M177,0)+$L178</f>
        <v/>
      </c>
      <c r="N178" s="55">
        <f>$N177+$L178</f>
        <v/>
      </c>
      <c r="O178" s="56">
        <f>IFERROR(IF(($L178)&gt;0,($I178*cfg_TroyOz)/($L178),""),"")</f>
        <v/>
      </c>
      <c r="P178" s="56">
        <f>IFERROR(IF(($M178)&gt;0,($J178*cfg_TroyOz)/($M178),""),"")</f>
        <v/>
      </c>
      <c r="Q178" s="56">
        <f>IFERROR(IF(($N178)&gt;0,($K178*cfg_TroyOz)/($N178),""),"")</f>
        <v/>
      </c>
      <c r="R178" s="55">
        <f>$F178-$L178</f>
        <v/>
      </c>
      <c r="S178" s="55">
        <f>IF($B178=$B177,$S177,0)+$R178</f>
        <v/>
      </c>
      <c r="T178" s="55">
        <f>$T177+$R178</f>
        <v/>
      </c>
      <c r="U178" s="55">
        <f>SUMIFS(tblMovement[Tonnes_t],tblMovement[Date],$A178,tblMovement[Is_Ore],0,tblMovement[Source_Type],"Pit")</f>
        <v/>
      </c>
      <c r="V178" s="55">
        <f>IF($B178=$B177,$V177,0)+$U178</f>
        <v/>
      </c>
      <c r="W178" s="55">
        <f>$W177+$U178</f>
        <v/>
      </c>
      <c r="X178" s="55">
        <f>$F178+$U178</f>
        <v/>
      </c>
      <c r="Y178" s="55">
        <f>IF($B178=$B177,$Y177,0)+$X178</f>
        <v/>
      </c>
      <c r="Z178" s="55">
        <f>$Z177+$X178</f>
        <v/>
      </c>
      <c r="AA178" s="56">
        <f>IFERROR(IF(($F178)&gt;0,($U178)/($F178),""),"")</f>
        <v/>
      </c>
      <c r="AB178" s="56">
        <f>IFERROR(IF(($G178)&gt;0,($V178)/($G178),""),"")</f>
        <v/>
      </c>
      <c r="AC178" s="56">
        <f>IFERROR(IF(($H178)&gt;0,($W178)/($H178),""),"")</f>
        <v/>
      </c>
      <c r="AD178" s="55">
        <f>SUMIFS(tblMovement[Tonnes_t],tblMovement[Date],$A178,tblMovement[Source_Type],"Stockpile")</f>
        <v/>
      </c>
      <c r="AE178" s="55">
        <f>IF($B178=$B177,$AE177,0)+$AD178</f>
        <v/>
      </c>
      <c r="AF178" s="55">
        <f>$AF177+$AD178</f>
        <v/>
      </c>
      <c r="AG178" s="55">
        <f>SUMIFS(tblMovement[Tonnes_t],tblMovement[Date],$A178)</f>
        <v/>
      </c>
      <c r="AH178" s="55">
        <f>IF($B178=$B177,$AH177,0)+$AG178</f>
        <v/>
      </c>
      <c r="AI178" s="55">
        <f>$AI177+$AG178</f>
        <v/>
      </c>
      <c r="AJ178" s="55">
        <f>$AG178-$X178-$AD178</f>
        <v/>
      </c>
      <c r="AK178" s="55">
        <f>IF($B178=$B177,$AK177,0)+$AJ178</f>
        <v/>
      </c>
      <c r="AL178" s="55">
        <f>$AL177+$AJ178</f>
        <v/>
      </c>
      <c r="AM178" s="55">
        <f>SUMIFS(tblMiningDaily[Drill_m],tblMiningDaily[Date],$A178)</f>
        <v/>
      </c>
      <c r="AN178" s="55">
        <f>IF($B178=$B177,$AN177,0)+$AM178</f>
        <v/>
      </c>
      <c r="AO178" s="55">
        <f>$AO177+$AM178</f>
        <v/>
      </c>
      <c r="AP178" s="55">
        <f>SUMIFS(tblMiningDaily[GC_Drill_m],tblMiningDaily[Date],$A178)</f>
        <v/>
      </c>
      <c r="AQ178" s="55">
        <f>IF($B178=$B177,$AQ177,0)+$AP178</f>
        <v/>
      </c>
      <c r="AR178" s="55">
        <f>$AR177+$AP178</f>
        <v/>
      </c>
      <c r="AS178" s="55">
        <f>SUMIFS(tblMiningDaily[Blast_t],tblMiningDaily[Date],$A178)</f>
        <v/>
      </c>
      <c r="AT178" s="55">
        <f>IF($B178=$B177,$AT177,0)+$AS178</f>
        <v/>
      </c>
      <c r="AU178" s="55">
        <f>$AU177+$AS178</f>
        <v/>
      </c>
      <c r="AV178" s="55">
        <f>SUMIFS(tblMiningDaily[Explosives_kg],tblMiningDaily[Date],$A178)</f>
        <v/>
      </c>
      <c r="AW178" s="55">
        <f>IF($B178=$B177,$AW177,0)+$AV178</f>
        <v/>
      </c>
      <c r="AX178" s="55">
        <f>$AX177+$AV178</f>
        <v/>
      </c>
      <c r="AY178" s="56">
        <f>IFERROR(IF(($AS178)&gt;0,($AV178)/($AS178),""),"")</f>
        <v/>
      </c>
      <c r="AZ178" s="56">
        <f>IFERROR(IF(($AT178)&gt;0,($AW178)/($AT178),""),"")</f>
        <v/>
      </c>
      <c r="BA178" s="56">
        <f>IFERROR(IF(($AU178)&gt;0,($AX178)/($AU178),""),"")</f>
        <v/>
      </c>
      <c r="BB178" s="55">
        <f>SUMIFS(tblMiningDaily[Diesel_L],tblMiningDaily[Date],$A178)</f>
        <v/>
      </c>
      <c r="BC178" s="55">
        <f>IF($B178=$B177,$BC177,0)+$BB178</f>
        <v/>
      </c>
      <c r="BD178" s="55">
        <f>$BD177+$BB178</f>
        <v/>
      </c>
      <c r="BE178" s="55">
        <f>SUMIFS(tblMiningDaily[Dewatering_m3],tblMiningDaily[Date],$A178)</f>
        <v/>
      </c>
      <c r="BF178" s="55">
        <f>IF($B178=$B177,$BF177,0)+$BE178</f>
        <v/>
      </c>
      <c r="BG178" s="55">
        <f>$BG177+$BE178</f>
        <v/>
      </c>
      <c r="BH178" s="57">
        <f>SUMIFS(tblFleet[Calendar_h],tblFleet[Date],$A178,tblFleet[Equipment_Class],"Excavator")</f>
        <v/>
      </c>
      <c r="BI178" s="57">
        <f>IF($B178=$B177,$BI177,0)+$BH178</f>
        <v/>
      </c>
      <c r="BJ178" s="57">
        <f>$BJ177+$BH178</f>
        <v/>
      </c>
      <c r="BK178" s="57">
        <f>SUMIFS(tblFleet[Available_h],tblFleet[Date],$A178,tblFleet[Equipment_Class],"Excavator")</f>
        <v/>
      </c>
      <c r="BL178" s="57">
        <f>IF($B178=$B177,$BL177,0)+$BK178</f>
        <v/>
      </c>
      <c r="BM178" s="57">
        <f>$BM177+$BK178</f>
        <v/>
      </c>
      <c r="BN178" s="57">
        <f>SUMIFS(tblFleet[Operating_h],tblFleet[Date],$A178,tblFleet[Equipment_Class],"Excavator")</f>
        <v/>
      </c>
      <c r="BO178" s="57">
        <f>IF($B178=$B177,$BO177,0)+$BN178</f>
        <v/>
      </c>
      <c r="BP178" s="57">
        <f>$BP177+$BN178</f>
        <v/>
      </c>
      <c r="BQ178" s="67">
        <f>IFERROR(IF(($BH178)&gt;0,($BK178)/($BH178),""),"")</f>
        <v/>
      </c>
      <c r="BR178" s="67">
        <f>IFERROR(IF(($BI178)&gt;0,($BL178)/($BI178),""),"")</f>
        <v/>
      </c>
      <c r="BS178" s="67">
        <f>IFERROR(IF(($BJ178)&gt;0,($BM178)/($BJ178),""),"")</f>
        <v/>
      </c>
      <c r="BT178" s="67">
        <f>IFERROR(IF(($BK178)&gt;0,($BN178)/($BK178),""),"")</f>
        <v/>
      </c>
      <c r="BU178" s="67">
        <f>IFERROR(IF(($BL178)&gt;0,($BO178)/($BL178),""),"")</f>
        <v/>
      </c>
      <c r="BV178" s="67">
        <f>IFERROR(IF(($BM178)&gt;0,($BP178)/($BM178),""),"")</f>
        <v/>
      </c>
      <c r="BW178" s="57">
        <f>SUMIFS(tblFleet[Calendar_h],tblFleet[Date],$A178,tblFleet[Equipment_Class],"Haul Truck")</f>
        <v/>
      </c>
      <c r="BX178" s="57">
        <f>IF($B178=$B177,$BX177,0)+$BW178</f>
        <v/>
      </c>
      <c r="BY178" s="57">
        <f>$BY177+$BW178</f>
        <v/>
      </c>
      <c r="BZ178" s="57">
        <f>SUMIFS(tblFleet[Available_h],tblFleet[Date],$A178,tblFleet[Equipment_Class],"Haul Truck")</f>
        <v/>
      </c>
      <c r="CA178" s="57">
        <f>IF($B178=$B177,$CA177,0)+$BZ178</f>
        <v/>
      </c>
      <c r="CB178" s="57">
        <f>$CB177+$BZ178</f>
        <v/>
      </c>
      <c r="CC178" s="57">
        <f>SUMIFS(tblFleet[Operating_h],tblFleet[Date],$A178,tblFleet[Equipment_Class],"Haul Truck")</f>
        <v/>
      </c>
      <c r="CD178" s="57">
        <f>IF($B178=$B177,$CD177,0)+$CC178</f>
        <v/>
      </c>
      <c r="CE178" s="57">
        <f>$CE177+$CC178</f>
        <v/>
      </c>
      <c r="CF178" s="67">
        <f>IFERROR(IF(($BW178)&gt;0,($BZ178)/($BW178),""),"")</f>
        <v/>
      </c>
      <c r="CG178" s="67">
        <f>IFERROR(IF(($BX178)&gt;0,($CA178)/($BX178),""),"")</f>
        <v/>
      </c>
      <c r="CH178" s="67">
        <f>IFERROR(IF(($BY178)&gt;0,($CB178)/($BY178),""),"")</f>
        <v/>
      </c>
      <c r="CI178" s="67">
        <f>IFERROR(IF(($BZ178)&gt;0,($CC178)/($BZ178),""),"")</f>
        <v/>
      </c>
      <c r="CJ178" s="67">
        <f>IFERROR(IF(($CA178)&gt;0,($CD178)/($CA178),""),"")</f>
        <v/>
      </c>
      <c r="CK178" s="67">
        <f>IFERROR(IF(($CB178)&gt;0,($CE178)/($CB178),""),"")</f>
        <v/>
      </c>
      <c r="CL178" s="55">
        <f>IFERROR(IF(($BN178)&gt;0,($X178+$AD178)/($BN178),""),"")</f>
        <v/>
      </c>
      <c r="CM178" s="55">
        <f>IFERROR(IF(($BO178)&gt;0,($Y178+$AE178)/($BO178),""),"")</f>
        <v/>
      </c>
      <c r="CN178" s="55">
        <f>IFERROR(IF(($BP178)&gt;0,($Z178+$AF178)/($BP178),""),"")</f>
        <v/>
      </c>
      <c r="CO178" s="55">
        <f>IFERROR(IF(($CC178)&gt;0,($X178+$AD178)/($CC178),""),"")</f>
        <v/>
      </c>
      <c r="CP178" s="55">
        <f>IFERROR(IF(($CD178)&gt;0,($Y178+$AE178)/($CD178),""),"")</f>
        <v/>
      </c>
      <c r="CQ178" s="55">
        <f>IFERROR(IF(($CE178)&gt;0,($Z178+$AF178)/($CE178),""),"")</f>
        <v/>
      </c>
      <c r="CR178" s="55">
        <f>SUMIFS(tblPlant[Crushed_t],tblPlant[Date],$A178)</f>
        <v/>
      </c>
      <c r="CS178" s="55">
        <f>IF($B178=$B177,$CS177,0)+$CR178</f>
        <v/>
      </c>
      <c r="CT178" s="55">
        <f>$CT177+$CR178</f>
        <v/>
      </c>
      <c r="CU178" s="55">
        <f>SUMIFS(tblPlant[Milled_t],tblPlant[Date],$A178)</f>
        <v/>
      </c>
      <c r="CV178" s="55">
        <f>IF($B178=$B177,$CV177,0)+$CU178</f>
        <v/>
      </c>
      <c r="CW178" s="55">
        <f>$CW177+$CU178</f>
        <v/>
      </c>
      <c r="CX178" s="55">
        <f>SUMIFS(tblPlant[Feed_oz],tblPlant[Date],$A178)</f>
        <v/>
      </c>
      <c r="CY178" s="55">
        <f>IF($B178=$B177,$CY177,0)+$CX178</f>
        <v/>
      </c>
      <c r="CZ178" s="55">
        <f>$CZ177+$CX178</f>
        <v/>
      </c>
      <c r="DA178" s="55">
        <f>SUMIFS(tblPlant[Tails_oz],tblPlant[Date],$A178)</f>
        <v/>
      </c>
      <c r="DB178" s="55">
        <f>IF($B178=$B177,$DB177,0)+$DA178</f>
        <v/>
      </c>
      <c r="DC178" s="55">
        <f>$DC177+$DA178</f>
        <v/>
      </c>
      <c r="DD178" s="55">
        <f>SUMIFS(tblPlant[Recovered_oz],tblPlant[Date],$A178)</f>
        <v/>
      </c>
      <c r="DE178" s="55">
        <f>IF($B178=$B177,$DE177,0)+$DD178</f>
        <v/>
      </c>
      <c r="DF178" s="55">
        <f>$DF177+$DD178</f>
        <v/>
      </c>
      <c r="DG178" s="55">
        <f>SUMIFS(tblPlant[Milled_t],tblPlant[Date],$A178,tblPlant[Head_Grade_gpt],"&lt;&gt;")</f>
        <v/>
      </c>
      <c r="DH178" s="55">
        <f>IF($B178=$B177,$DH177,0)+$DG178</f>
        <v/>
      </c>
      <c r="DI178" s="55">
        <f>$DI177+$DG178</f>
        <v/>
      </c>
      <c r="DJ178" s="55">
        <f>SUMIFS(tblPlant[Milled_t],tblPlant[Date],$A178,tblPlant[Tails_Grade_gpt],"&lt;&gt;")</f>
        <v/>
      </c>
      <c r="DK178" s="55">
        <f>IF($B178=$B177,$DK177,0)+$DJ178</f>
        <v/>
      </c>
      <c r="DL178" s="55">
        <f>$DL177+$DJ178</f>
        <v/>
      </c>
      <c r="DM178" s="55">
        <f>SUMIFS(tblPlant[Feed_oz],tblPlant[Date],$A178,tblPlant[Tails_Grade_gpt],"&lt;&gt;")</f>
        <v/>
      </c>
      <c r="DN178" s="55">
        <f>IF($B178=$B177,$DN177,0)+$DM178</f>
        <v/>
      </c>
      <c r="DO178" s="55">
        <f>$DO177+$DM178</f>
        <v/>
      </c>
      <c r="DP178" s="55">
        <f>SUMIFS(tblPlant[Milled_t],tblPlant[Date],$A178,tblPlant[Mill_Run_h],"&lt;&gt;")</f>
        <v/>
      </c>
      <c r="DQ178" s="55">
        <f>IF($B178=$B177,$DQ177,0)+$DP178</f>
        <v/>
      </c>
      <c r="DR178" s="55">
        <f>$DR177+$DP178</f>
        <v/>
      </c>
      <c r="DS178" s="56">
        <f>IFERROR(IF(($DG178)&gt;0,($CX178*cfg_TroyOz)/($DG178),""),"")</f>
        <v/>
      </c>
      <c r="DT178" s="56">
        <f>IFERROR(IF(($DH178)&gt;0,($CY178*cfg_TroyOz)/($DH178),""),"")</f>
        <v/>
      </c>
      <c r="DU178" s="56">
        <f>IFERROR(IF(($DI178)&gt;0,($CZ178*cfg_TroyOz)/($DI178),""),"")</f>
        <v/>
      </c>
      <c r="DV178" s="56">
        <f>IFERROR(IF(($DJ178)&gt;0,($DA178*cfg_TroyOz)/($DJ178),""),"")</f>
        <v/>
      </c>
      <c r="DW178" s="56">
        <f>IFERROR(IF(($DK178)&gt;0,($DB178*cfg_TroyOz)/($DK178),""),"")</f>
        <v/>
      </c>
      <c r="DX178" s="56">
        <f>IFERROR(IF(($DL178)&gt;0,($DC178*cfg_TroyOz)/($DL178),""),"")</f>
        <v/>
      </c>
      <c r="DY178" s="67">
        <f>IFERROR(IF(($DM178)&gt;0,($DD178)/($DM178),""),"")</f>
        <v/>
      </c>
      <c r="DZ178" s="67">
        <f>IFERROR(IF(($DN178)&gt;0,($DE178)/($DN178),""),"")</f>
        <v/>
      </c>
      <c r="EA178" s="67">
        <f>IFERROR(IF(($DO178)&gt;0,($DF178)/($DO178),""),"")</f>
        <v/>
      </c>
      <c r="EB178" s="55">
        <f>SUMIFS(tblPlant[Gravity_Gold_oz],tblPlant[Date],$A178)</f>
        <v/>
      </c>
      <c r="EC178" s="55">
        <f>IF($B178=$B177,$EC177,0)+$EB178</f>
        <v/>
      </c>
      <c r="ED178" s="55">
        <f>$ED177+$EB178</f>
        <v/>
      </c>
      <c r="EE178" s="67">
        <f>IFERROR(IF(($DD178)&gt;0,($EB178)/($DD178),""),"")</f>
        <v/>
      </c>
      <c r="EF178" s="67">
        <f>IFERROR(IF(($DE178)&gt;0,($EC178)/($DE178),""),"")</f>
        <v/>
      </c>
      <c r="EG178" s="67">
        <f>IFERROR(IF(($DF178)&gt;0,($ED178)/($DF178),""),"")</f>
        <v/>
      </c>
      <c r="EH178" s="55">
        <f>SUMIFS(tblPlant[Gold_Poured_oz],tblPlant[Date],$A178)</f>
        <v/>
      </c>
      <c r="EI178" s="55">
        <f>IF($B178=$B177,$EI177,0)+$EH178</f>
        <v/>
      </c>
      <c r="EJ178" s="55">
        <f>$EJ177+$EH178</f>
        <v/>
      </c>
      <c r="EK178" s="57">
        <f>SUMIFS(tblPlant[Mill_Run_h],tblPlant[Date],$A178)</f>
        <v/>
      </c>
      <c r="EL178" s="57">
        <f>IF($B178=$B177,$EL177,0)+$EK178</f>
        <v/>
      </c>
      <c r="EM178" s="57">
        <f>$EM177+$EK178</f>
        <v/>
      </c>
      <c r="EN178" s="57">
        <f>SUMIFS(tblPlant[Mill_Planned_Maint_h],tblPlant[Date],$A178)</f>
        <v/>
      </c>
      <c r="EO178" s="57">
        <f>IF($B178=$B177,$EO177,0)+$EN178</f>
        <v/>
      </c>
      <c r="EP178" s="57">
        <f>$EP177+$EN178</f>
        <v/>
      </c>
      <c r="EQ178" s="57">
        <f>SUMIFS(tblPlant[Mill_Unplanned_Down_h],tblPlant[Date],$A178)</f>
        <v/>
      </c>
      <c r="ER178" s="57">
        <f>IF($B178=$B177,$ER177,0)+$EQ178</f>
        <v/>
      </c>
      <c r="ES178" s="57">
        <f>$ES177+$EQ178</f>
        <v/>
      </c>
      <c r="ET178" s="57">
        <f>IF(COUNTIFS(tblPlant[Date],$A178,tblPlant[Mill_Run_h],"&lt;&gt;")+COUNTIFS(tblPlant[Date],$A178,tblPlant[Mill_Planned_Maint_h],"&lt;&gt;")+COUNTIFS(tblPlant[Date],$A178,tblPlant[Mill_Unplanned_Down_h],"&lt;&gt;")&gt;0,cfg_HoursPerDay,0)</f>
        <v/>
      </c>
      <c r="EU178" s="57">
        <f>IF($B178=$B177,$EU177,0)+$ET178</f>
        <v/>
      </c>
      <c r="EV178" s="57">
        <f>$EV177+$ET178</f>
        <v/>
      </c>
      <c r="EW178" s="57">
        <f>SUMIFS(tblPlant[Crusher_Run_h],tblPlant[Date],$A178)</f>
        <v/>
      </c>
      <c r="EX178" s="57">
        <f>IF($B178=$B177,$EX177,0)+$EW178</f>
        <v/>
      </c>
      <c r="EY178" s="57">
        <f>$EY177+$EW178</f>
        <v/>
      </c>
      <c r="EZ178" s="55">
        <f>IFERROR(IF(($EK178)&gt;0,($DP178)/($EK178),""),"")</f>
        <v/>
      </c>
      <c r="FA178" s="55">
        <f>IFERROR(IF(($EL178)&gt;0,($DQ178)/($EL178),""),"")</f>
        <v/>
      </c>
      <c r="FB178" s="55">
        <f>IFERROR(IF(($EM178)&gt;0,($DR178)/($EM178),""),"")</f>
        <v/>
      </c>
      <c r="FC178" s="67">
        <f>IFERROR(IF(($ET178)&gt;0,($ET178-$EN178-$EQ178)/($ET178),""),"")</f>
        <v/>
      </c>
      <c r="FD178" s="67">
        <f>IFERROR(IF(($EU178)&gt;0,($EU178-$EO178-$ER178)/($EU178),""),"")</f>
        <v/>
      </c>
      <c r="FE178" s="67">
        <f>IFERROR(IF(($EV178)&gt;0,($EV178-$EP178-$ES178)/($EV178),""),"")</f>
        <v/>
      </c>
      <c r="FF178" s="67">
        <f>IFERROR(IF(($ET178-$EN178-$EQ178)&gt;0,($EK178)/($ET178-$EN178-$EQ178),""),"")</f>
        <v/>
      </c>
      <c r="FG178" s="67">
        <f>IFERROR(IF(($EU178-$EO178-$ER178)&gt;0,($EL178)/($EU178-$EO178-$ER178),""),"")</f>
        <v/>
      </c>
      <c r="FH178" s="67">
        <f>IFERROR(IF(($EV178-$EP178-$ES178)&gt;0,($EM178)/($EV178-$EP178-$ES178),""),"")</f>
        <v/>
      </c>
      <c r="FI178" s="55">
        <f>SUMIFS(tblPlant[Cyanide_kg],tblPlant[Date],$A178)</f>
        <v/>
      </c>
      <c r="FJ178" s="55">
        <f>IF($B178=$B177,$FJ177,0)+$FI178</f>
        <v/>
      </c>
      <c r="FK178" s="55">
        <f>$FK177+$FI178</f>
        <v/>
      </c>
      <c r="FL178" s="55">
        <f>SUMIFS(tblPlant[Lime_kg],tblPlant[Date],$A178)</f>
        <v/>
      </c>
      <c r="FM178" s="55">
        <f>IF($B178=$B177,$FM177,0)+$FL178</f>
        <v/>
      </c>
      <c r="FN178" s="55">
        <f>$FN177+$FL178</f>
        <v/>
      </c>
      <c r="FO178" s="55">
        <f>SUMIFS(tblPlant[Grinding_Media_kg],tblPlant[Date],$A178)</f>
        <v/>
      </c>
      <c r="FP178" s="55">
        <f>IF($B178=$B177,$FP177,0)+$FO178</f>
        <v/>
      </c>
      <c r="FQ178" s="55">
        <f>$FQ177+$FO178</f>
        <v/>
      </c>
      <c r="FR178" s="55">
        <f>SUMIFS(tblPlant[Power_kWh],tblPlant[Date],$A178)</f>
        <v/>
      </c>
      <c r="FS178" s="55">
        <f>IF($B178=$B177,$FS177,0)+$FR178</f>
        <v/>
      </c>
      <c r="FT178" s="55">
        <f>$FT177+$FR178</f>
        <v/>
      </c>
      <c r="FU178" s="55">
        <f>SUMIFS(tblPlant[Raw_Water_m3],tblPlant[Date],$A178)</f>
        <v/>
      </c>
      <c r="FV178" s="55">
        <f>IF($B178=$B177,$FV177,0)+$FU178</f>
        <v/>
      </c>
      <c r="FW178" s="55">
        <f>$FW177+$FU178</f>
        <v/>
      </c>
      <c r="FX178" s="56">
        <f>IFERROR(IF(($CU178)&gt;0,($FI178)/($CU178),""),"")</f>
        <v/>
      </c>
      <c r="FY178" s="56">
        <f>IFERROR(IF(($CV178)&gt;0,($FJ178)/($CV178),""),"")</f>
        <v/>
      </c>
      <c r="FZ178" s="56">
        <f>IFERROR(IF(($CW178)&gt;0,($FK178)/($CW178),""),"")</f>
        <v/>
      </c>
      <c r="GA178" s="56">
        <f>IFERROR(IF(($CU178)&gt;0,($FL178)/($CU178),""),"")</f>
        <v/>
      </c>
      <c r="GB178" s="56">
        <f>IFERROR(IF(($CV178)&gt;0,($FM178)/($CV178),""),"")</f>
        <v/>
      </c>
      <c r="GC178" s="56">
        <f>IFERROR(IF(($CW178)&gt;0,($FN178)/($CW178),""),"")</f>
        <v/>
      </c>
      <c r="GD178" s="56">
        <f>IFERROR(IF(($CU178)&gt;0,($FO178)/($CU178),""),"")</f>
        <v/>
      </c>
      <c r="GE178" s="56">
        <f>IFERROR(IF(($CV178)&gt;0,($FP178)/($CV178),""),"")</f>
        <v/>
      </c>
      <c r="GF178" s="56">
        <f>IFERROR(IF(($CW178)&gt;0,($FQ178)/($CW178),""),"")</f>
        <v/>
      </c>
      <c r="GG178" s="79">
        <f>IFERROR(IF(($CU178)&gt;0,($FR178)/($CU178),""),"")</f>
        <v/>
      </c>
      <c r="GH178" s="79">
        <f>IFERROR(IF(($CV178)&gt;0,($FS178)/($CV178),""),"")</f>
        <v/>
      </c>
      <c r="GI178" s="79">
        <f>IFERROR(IF(($CW178)&gt;0,($FT178)/($CW178),""),"")</f>
        <v/>
      </c>
      <c r="GJ178" s="56">
        <f>IFERROR(IF(($CU178)&gt;0,($FU178)/($CU178),""),"")</f>
        <v/>
      </c>
      <c r="GK178" s="56">
        <f>IFERROR(IF(($CV178)&gt;0,($FV178)/($CV178),""),"")</f>
        <v/>
      </c>
      <c r="GL178" s="56">
        <f>IFERROR(IF(($CW178)&gt;0,($FW178)/($CW178),""),"")</f>
        <v/>
      </c>
      <c r="GM178" s="55">
        <f>IF(SUMIFS(tblPlant[GIC_oz],tblPlant[Date],$A178)&gt;0,SUMIFS(tblPlant[GIC_oz],tblPlant[Date],$A178),"")</f>
        <v/>
      </c>
      <c r="GN178" s="55">
        <f>SUMIFS(tblGold[Gold_oz],tblGold[Date],$A178,tblGold[Type],"Shipment")</f>
        <v/>
      </c>
      <c r="GO178" s="55">
        <f>IF($B178=$B177,$GO177,0)+$GN178</f>
        <v/>
      </c>
      <c r="GP178" s="55">
        <f>$GP177+$GN178</f>
        <v/>
      </c>
      <c r="GQ178" s="55">
        <f>SUMIFS(tblGold[Gold_oz],tblGold[Date],$A178,tblGold[Type],"Sale")</f>
        <v/>
      </c>
      <c r="GR178" s="55">
        <f>IF($B178=$B177,$GR177,0)+$GQ178</f>
        <v/>
      </c>
      <c r="GS178" s="55">
        <f>$GS177+$GQ178</f>
        <v/>
      </c>
      <c r="GT178" s="55">
        <f>SUMIFS(tblGold[Dore_kg],tblGold[Date],$A178,tblGold[Type],"Shipment")</f>
        <v/>
      </c>
      <c r="GU178" s="55">
        <f>IF($B178=$B177,$GU177,0)+$GT178</f>
        <v/>
      </c>
      <c r="GV178" s="55">
        <f>$GV177+$GT178</f>
        <v/>
      </c>
      <c r="GW178" s="57">
        <f>SUMIFS(tblSafety[Hours_Total],tblSafety[Date],$A178)</f>
        <v/>
      </c>
      <c r="GX178" s="57">
        <f>IF($B178=$B177,$GX177,0)+$GW178</f>
        <v/>
      </c>
      <c r="GY178" s="57">
        <f>$GY177+$GW178</f>
        <v/>
      </c>
      <c r="GZ178" s="62">
        <f>SUMIFS(tblSafety[Fatality],tblSafety[Date],$A178)</f>
        <v/>
      </c>
      <c r="HA178" s="62">
        <f>IF($B178=$B177,$HA177,0)+$GZ178</f>
        <v/>
      </c>
      <c r="HB178" s="62">
        <f>$HB177+$GZ178</f>
        <v/>
      </c>
      <c r="HC178" s="62">
        <f>SUMIFS(tblSafety[LTI],tblSafety[Date],$A178)</f>
        <v/>
      </c>
      <c r="HD178" s="62">
        <f>IF($B178=$B177,$HD177,0)+$HC178</f>
        <v/>
      </c>
      <c r="HE178" s="62">
        <f>$HE177+$HC178</f>
        <v/>
      </c>
      <c r="HF178" s="62">
        <f>SUMIFS(tblSafety[RWI],tblSafety[Date],$A178)</f>
        <v/>
      </c>
      <c r="HG178" s="62">
        <f>IF($B178=$B177,$HG177,0)+$HF178</f>
        <v/>
      </c>
      <c r="HH178" s="62">
        <f>$HH177+$HF178</f>
        <v/>
      </c>
      <c r="HI178" s="62">
        <f>SUMIFS(tblSafety[MTI],tblSafety[Date],$A178)</f>
        <v/>
      </c>
      <c r="HJ178" s="62">
        <f>IF($B178=$B177,$HJ177,0)+$HI178</f>
        <v/>
      </c>
      <c r="HK178" s="62">
        <f>$HK177+$HI178</f>
        <v/>
      </c>
      <c r="HL178" s="62">
        <f>SUMIFS(tblSafety[FAI],tblSafety[Date],$A178)</f>
        <v/>
      </c>
      <c r="HM178" s="62">
        <f>IF($B178=$B177,$HM177,0)+$HL178</f>
        <v/>
      </c>
      <c r="HN178" s="62">
        <f>$HN177+$HL178</f>
        <v/>
      </c>
      <c r="HO178" s="62">
        <f>SUMIFS(tblSafety[Recordables],tblSafety[Date],$A178)</f>
        <v/>
      </c>
      <c r="HP178" s="62">
        <f>IF($B178=$B177,$HP177,0)+$HO178</f>
        <v/>
      </c>
      <c r="HQ178" s="62">
        <f>$HQ177+$HO178</f>
        <v/>
      </c>
      <c r="HR178" s="62">
        <f>SUMIFS(tblSafety[Near_Miss],tblSafety[Date],$A178)</f>
        <v/>
      </c>
      <c r="HS178" s="62">
        <f>IF($B178=$B177,$HS177,0)+$HR178</f>
        <v/>
      </c>
      <c r="HT178" s="62">
        <f>$HT177+$HR178</f>
        <v/>
      </c>
      <c r="HU178" s="62">
        <f>SUMIFS(tblSafety[Hazard_Reports],tblSafety[Date],$A178)</f>
        <v/>
      </c>
      <c r="HV178" s="62">
        <f>IF($B178=$B177,$HV177,0)+$HU178</f>
        <v/>
      </c>
      <c r="HW178" s="62">
        <f>$HW177+$HU178</f>
        <v/>
      </c>
      <c r="HX178" s="62">
        <f>SUMIFS(tblSafety[HPI],tblSafety[Date],$A178)</f>
        <v/>
      </c>
      <c r="HY178" s="62">
        <f>IF($B178=$B177,$HY177,0)+$HX178</f>
        <v/>
      </c>
      <c r="HZ178" s="62">
        <f>$HZ177+$HX178</f>
        <v/>
      </c>
      <c r="IA178" s="62">
        <f>SUMIFS(tblSafety[Env_Incidents],tblSafety[Date],$A178)</f>
        <v/>
      </c>
      <c r="IB178" s="62">
        <f>IF($B178=$B177,$IB177,0)+$IA178</f>
        <v/>
      </c>
      <c r="IC178" s="62">
        <f>$IC177+$IA178</f>
        <v/>
      </c>
      <c r="ID178" s="62">
        <f>SUMIFS(tblSafety[Community_Incidents],tblSafety[Date],$A178)</f>
        <v/>
      </c>
      <c r="IE178" s="62">
        <f>IF($B178=$B177,$IE177,0)+$ID178</f>
        <v/>
      </c>
      <c r="IF178" s="62">
        <f>$IF177+$ID178</f>
        <v/>
      </c>
      <c r="IG178" s="62">
        <f>SUMIFS(tblSafety[Vehicle_Incidents],tblSafety[Date],$A178)</f>
        <v/>
      </c>
      <c r="IH178" s="62">
        <f>IF($B178=$B177,$IH177,0)+$IG178</f>
        <v/>
      </c>
      <c r="II178" s="62">
        <f>$II177+$IG178</f>
        <v/>
      </c>
      <c r="IJ178" s="62">
        <f>SUMIFS(tblSafety[Toolbox_Talks],tblSafety[Date],$A178)</f>
        <v/>
      </c>
      <c r="IK178" s="62">
        <f>IF($B178=$B177,$IK177,0)+$IJ178</f>
        <v/>
      </c>
      <c r="IL178" s="62">
        <f>$IL177+$IJ178</f>
        <v/>
      </c>
      <c r="IM178" s="62">
        <f>SUMIFS(tblSafety[Inspections],tblSafety[Date],$A178)</f>
        <v/>
      </c>
      <c r="IN178" s="62">
        <f>IF($B178=$B177,$IN177,0)+$IM178</f>
        <v/>
      </c>
      <c r="IO178" s="62">
        <f>$IO177+$IM178</f>
        <v/>
      </c>
      <c r="IP178" s="56">
        <f>IFERROR((SUMIFS(tblSafety[Recordables],tblSafety[Date],"&gt;="&amp;EDATE($E178,-12),tblSafety[Date],"&lt;="&amp;$A178)+SUMIFS(tblSafetyHistory[Recordables],tblSafetyHistory[Month],"&gt;="&amp;EDATE($E178,-12),tblSafetyHistory[Month],"&lt;"&amp;$E178,tblSafetyHistory[Use],1))/(SUMIFS(tblSafety[Hours_Total],tblSafety[Date],"&gt;="&amp;EDATE($E178,-12),tblSafety[Date],"&lt;="&amp;$A178)+SUMIFS(tblSafetyHistory[Hours_Total],tblSafetyHistory[Month],"&gt;="&amp;EDATE($E178,-12),tblSafetyHistory[Month],"&lt;"&amp;$E178,tblSafetyHistory[Use],1))*cfg_RateBasisHours,"")</f>
        <v/>
      </c>
      <c r="IQ178" s="56">
        <f>IFERROR((SUMIFS(tblSafety[LTI],tblSafety[Date],"&gt;="&amp;EDATE($E178,-12),tblSafety[Date],"&lt;="&amp;$A178)+SUMIFS(tblSafetyHistory[LTI],tblSafetyHistory[Month],"&gt;="&amp;EDATE($E178,-12),tblSafetyHistory[Month],"&lt;"&amp;$E178,tblSafetyHistory[Use],1))/(SUMIFS(tblSafety[Hours_Total],tblSafety[Date],"&gt;="&amp;EDATE($E178,-12),tblSafety[Date],"&lt;="&amp;$A178)+SUMIFS(tblSafetyHistory[Hours_Total],tblSafetyHistory[Month],"&gt;="&amp;EDATE($E178,-12),tblSafetyHistory[Month],"&lt;"&amp;$E178,tblSafetyHistory[Use],1))*cfg_RateBasisHours,"")</f>
        <v/>
      </c>
      <c r="IR178" s="62">
        <f>IF(MAX(N(cfg_PriorLTIDate),_xlfn.MAXIFS(tblSafety[Date],tblSafety[LTI],"&gt;0",tblSafety[Date],"&lt;="&amp;$A178))=0,"",$A178-MAX(N(cfg_PriorLTIDate),_xlfn.MAXIFS(tblSafety[Date],tblSafety[LTI],"&gt;0",tblSafety[Date],"&lt;="&amp;$A178)))</f>
        <v/>
      </c>
      <c r="IS178" s="55">
        <f>SUMIFS(tblBudget[Ore_Mined_t],tblBudget[Month],$E178)</f>
        <v/>
      </c>
      <c r="IT178" s="55">
        <f>$IS178*$C178/$D178</f>
        <v/>
      </c>
      <c r="IU178" s="55">
        <f>SUMIFS(tblBudget[Ore_Mined_t],tblBudget[Month],"&lt;"&amp;$E178)+$IT178</f>
        <v/>
      </c>
      <c r="IV178" s="55">
        <f>SUMIFS(tblBudget[Ore_oz],tblBudget[Month],$E178)</f>
        <v/>
      </c>
      <c r="IW178" s="55">
        <f>$IV178*$C178/$D178</f>
        <v/>
      </c>
      <c r="IX178" s="55">
        <f>SUMIFS(tblBudget[Ore_oz],tblBudget[Month],"&lt;"&amp;$E178)+$IW178</f>
        <v/>
      </c>
      <c r="IY178" s="55">
        <f>SUMIFS(tblBudget[Ore_Mined_t],tblBudget[Month],$E178)</f>
        <v/>
      </c>
      <c r="IZ178" s="55">
        <f>$IY178*$C178/$D178</f>
        <v/>
      </c>
      <c r="JA178" s="55">
        <f>SUMIFS(tblBudget[Ore_Mined_t],tblBudget[Month],"&lt;"&amp;$E178)+$IZ178</f>
        <v/>
      </c>
      <c r="JB178" s="56">
        <f>IFERROR(IF(($IY178)&gt;0,($IV178*cfg_TroyOz)/($IY178),""),"")</f>
        <v/>
      </c>
      <c r="JC178" s="56">
        <f>IFERROR(IF(($IZ178)&gt;0,($IW178*cfg_TroyOz)/($IZ178),""),"")</f>
        <v/>
      </c>
      <c r="JD178" s="56">
        <f>IFERROR(IF(($JA178)&gt;0,($IX178*cfg_TroyOz)/($JA178),""),"")</f>
        <v/>
      </c>
      <c r="JE178" s="55">
        <f>SUMIFS(tblBudget[Waste_t],tblBudget[Month],$E178)</f>
        <v/>
      </c>
      <c r="JF178" s="55">
        <f>$JE178*$C178/$D178</f>
        <v/>
      </c>
      <c r="JG178" s="55">
        <f>SUMIFS(tblBudget[Waste_t],tblBudget[Month],"&lt;"&amp;$E178)+$JF178</f>
        <v/>
      </c>
      <c r="JH178" s="55">
        <f>SUMIFS(tblBudget[TMM_t],tblBudget[Month],$E178)</f>
        <v/>
      </c>
      <c r="JI178" s="55">
        <f>$JH178*$C178/$D178</f>
        <v/>
      </c>
      <c r="JJ178" s="55">
        <f>SUMIFS(tblBudget[TMM_t],tblBudget[Month],"&lt;"&amp;$E178)+$JI178</f>
        <v/>
      </c>
      <c r="JK178" s="56">
        <f>IFERROR(IF(($IS178)&gt;0,($JE178)/($IS178),""),"")</f>
        <v/>
      </c>
      <c r="JL178" s="56">
        <f>IFERROR(IF(($IT178)&gt;0,($JF178)/($IT178),""),"")</f>
        <v/>
      </c>
      <c r="JM178" s="56">
        <f>IFERROR(IF(($IU178)&gt;0,($JG178)/($IU178),""),"")</f>
        <v/>
      </c>
      <c r="JN178" s="55">
        <f>SUMIFS(tblBudget[Drill_m],tblBudget[Month],$E178)</f>
        <v/>
      </c>
      <c r="JO178" s="55">
        <f>$JN178*$C178/$D178</f>
        <v/>
      </c>
      <c r="JP178" s="55">
        <f>SUMIFS(tblBudget[Drill_m],tblBudget[Month],"&lt;"&amp;$E178)+$JO178</f>
        <v/>
      </c>
      <c r="JQ178" s="55">
        <f>SUMIFS(tblBudget[Diesel_L],tblBudget[Month],$E178)</f>
        <v/>
      </c>
      <c r="JR178" s="55">
        <f>$JQ178*$C178/$D178</f>
        <v/>
      </c>
      <c r="JS178" s="55">
        <f>SUMIFS(tblBudget[Diesel_L],tblBudget[Month],"&lt;"&amp;$E178)+$JR178</f>
        <v/>
      </c>
      <c r="JT178" s="55">
        <f>SUMIFS(tblBudget[Milled_t],tblBudget[Month],$E178)</f>
        <v/>
      </c>
      <c r="JU178" s="55">
        <f>$JT178*$C178/$D178</f>
        <v/>
      </c>
      <c r="JV178" s="55">
        <f>SUMIFS(tblBudget[Milled_t],tblBudget[Month],"&lt;"&amp;$E178)+$JU178</f>
        <v/>
      </c>
      <c r="JW178" s="55">
        <f>SUMIFS(tblBudget[Feed_oz],tblBudget[Month],$E178)</f>
        <v/>
      </c>
      <c r="JX178" s="55">
        <f>$JW178*$C178/$D178</f>
        <v/>
      </c>
      <c r="JY178" s="55">
        <f>SUMIFS(tblBudget[Feed_oz],tblBudget[Month],"&lt;"&amp;$E178)+$JX178</f>
        <v/>
      </c>
      <c r="JZ178" s="55">
        <f>SUMIFS(tblBudget[Recovered_oz],tblBudget[Month],$E178)</f>
        <v/>
      </c>
      <c r="KA178" s="55">
        <f>$JZ178*$C178/$D178</f>
        <v/>
      </c>
      <c r="KB178" s="55">
        <f>SUMIFS(tblBudget[Recovered_oz],tblBudget[Month],"&lt;"&amp;$E178)+$KA178</f>
        <v/>
      </c>
      <c r="KC178" s="55">
        <f>SUMIFS(tblBudget[Milled_t],tblBudget[Month],$E178)</f>
        <v/>
      </c>
      <c r="KD178" s="55">
        <f>$KC178*$C178/$D178</f>
        <v/>
      </c>
      <c r="KE178" s="55">
        <f>SUMIFS(tblBudget[Milled_t],tblBudget[Month],"&lt;"&amp;$E178)+$KD178</f>
        <v/>
      </c>
      <c r="KF178" s="55">
        <f>SUMIFS(tblBudget[Feed_oz],tblBudget[Month],$E178)</f>
        <v/>
      </c>
      <c r="KG178" s="55">
        <f>$KF178*$C178/$D178</f>
        <v/>
      </c>
      <c r="KH178" s="55">
        <f>SUMIFS(tblBudget[Feed_oz],tblBudget[Month],"&lt;"&amp;$E178)+$KG178</f>
        <v/>
      </c>
      <c r="KI178" s="56">
        <f>IFERROR(IF(($KC178)&gt;0,($JW178*cfg_TroyOz)/($KC178),""),"")</f>
        <v/>
      </c>
      <c r="KJ178" s="56">
        <f>IFERROR(IF(($KD178)&gt;0,($JX178*cfg_TroyOz)/($KD178),""),"")</f>
        <v/>
      </c>
      <c r="KK178" s="56">
        <f>IFERROR(IF(($KE178)&gt;0,($JY178*cfg_TroyOz)/($KE178),""),"")</f>
        <v/>
      </c>
      <c r="KL178" s="67">
        <f>IFERROR(IF(($KF178)&gt;0,($JZ178)/($KF178),""),"")</f>
        <v/>
      </c>
      <c r="KM178" s="67">
        <f>IFERROR(IF(($KG178)&gt;0,($KA178)/($KG178),""),"")</f>
        <v/>
      </c>
      <c r="KN178" s="67">
        <f>IFERROR(IF(($KH178)&gt;0,($KB178)/($KH178),""),"")</f>
        <v/>
      </c>
      <c r="KO178" s="55">
        <f>SUMIFS(tblBudget[Gold_Poured_oz],tblBudget[Month],$E178)</f>
        <v/>
      </c>
      <c r="KP178" s="55">
        <f>$KO178*$C178/$D178</f>
        <v/>
      </c>
      <c r="KQ178" s="55">
        <f>SUMIFS(tblBudget[Gold_Poured_oz],tblBudget[Month],"&lt;"&amp;$E178)+$KP178</f>
        <v/>
      </c>
      <c r="KR178" s="57">
        <f>SUMIFS(tblBudget[Hours_Worked],tblBudget[Month],$E178)</f>
        <v/>
      </c>
      <c r="KS178" s="57">
        <f>$KR178*$C178/$D178</f>
        <v/>
      </c>
      <c r="KT178" s="57">
        <f>SUMIFS(tblBudget[Hours_Worked],tblBudget[Month],"&lt;"&amp;$E178)+$KS178</f>
        <v/>
      </c>
    </row>
    <row r="179">
      <c r="A179" s="54" t="n">
        <v>46200</v>
      </c>
      <c r="B179">
        <f>MONTH($A179)</f>
        <v/>
      </c>
      <c r="C179">
        <f>DAY($A179)</f>
        <v/>
      </c>
      <c r="D179">
        <f>DAY(EOMONTH($A179,0))</f>
        <v/>
      </c>
      <c r="E179" s="54">
        <f>DATE(YEAR($A179),MONTH($A179),1)</f>
        <v/>
      </c>
      <c r="F179" s="55">
        <f>SUMIFS(tblMovement[Tonnes_t],tblMovement[Date],$A179,tblMovement[Is_Ore],1,tblMovement[Source_Type],"Pit")</f>
        <v/>
      </c>
      <c r="G179" s="55">
        <f>IF($B179=$B178,$G178,0)+$F179</f>
        <v/>
      </c>
      <c r="H179" s="55">
        <f>$H178+$F179</f>
        <v/>
      </c>
      <c r="I179" s="55">
        <f>SUMIFS(tblMovement[Ore_oz],tblMovement[Date],$A179,tblMovement[Source_Type],"Pit")</f>
        <v/>
      </c>
      <c r="J179" s="55">
        <f>IF($B179=$B178,$J178,0)+$I179</f>
        <v/>
      </c>
      <c r="K179" s="55">
        <f>$K178+$I179</f>
        <v/>
      </c>
      <c r="L179" s="55">
        <f>SUMIFS(tblMovement[Tonnes_t],tblMovement[Date],$A179,tblMovement[Is_Ore],1,tblMovement[Source_Type],"Pit",tblMovement[Grade_gpt],"&lt;&gt;")</f>
        <v/>
      </c>
      <c r="M179" s="55">
        <f>IF($B179=$B178,$M178,0)+$L179</f>
        <v/>
      </c>
      <c r="N179" s="55">
        <f>$N178+$L179</f>
        <v/>
      </c>
      <c r="O179" s="56">
        <f>IFERROR(IF(($L179)&gt;0,($I179*cfg_TroyOz)/($L179),""),"")</f>
        <v/>
      </c>
      <c r="P179" s="56">
        <f>IFERROR(IF(($M179)&gt;0,($J179*cfg_TroyOz)/($M179),""),"")</f>
        <v/>
      </c>
      <c r="Q179" s="56">
        <f>IFERROR(IF(($N179)&gt;0,($K179*cfg_TroyOz)/($N179),""),"")</f>
        <v/>
      </c>
      <c r="R179" s="55">
        <f>$F179-$L179</f>
        <v/>
      </c>
      <c r="S179" s="55">
        <f>IF($B179=$B178,$S178,0)+$R179</f>
        <v/>
      </c>
      <c r="T179" s="55">
        <f>$T178+$R179</f>
        <v/>
      </c>
      <c r="U179" s="55">
        <f>SUMIFS(tblMovement[Tonnes_t],tblMovement[Date],$A179,tblMovement[Is_Ore],0,tblMovement[Source_Type],"Pit")</f>
        <v/>
      </c>
      <c r="V179" s="55">
        <f>IF($B179=$B178,$V178,0)+$U179</f>
        <v/>
      </c>
      <c r="W179" s="55">
        <f>$W178+$U179</f>
        <v/>
      </c>
      <c r="X179" s="55">
        <f>$F179+$U179</f>
        <v/>
      </c>
      <c r="Y179" s="55">
        <f>IF($B179=$B178,$Y178,0)+$X179</f>
        <v/>
      </c>
      <c r="Z179" s="55">
        <f>$Z178+$X179</f>
        <v/>
      </c>
      <c r="AA179" s="56">
        <f>IFERROR(IF(($F179)&gt;0,($U179)/($F179),""),"")</f>
        <v/>
      </c>
      <c r="AB179" s="56">
        <f>IFERROR(IF(($G179)&gt;0,($V179)/($G179),""),"")</f>
        <v/>
      </c>
      <c r="AC179" s="56">
        <f>IFERROR(IF(($H179)&gt;0,($W179)/($H179),""),"")</f>
        <v/>
      </c>
      <c r="AD179" s="55">
        <f>SUMIFS(tblMovement[Tonnes_t],tblMovement[Date],$A179,tblMovement[Source_Type],"Stockpile")</f>
        <v/>
      </c>
      <c r="AE179" s="55">
        <f>IF($B179=$B178,$AE178,0)+$AD179</f>
        <v/>
      </c>
      <c r="AF179" s="55">
        <f>$AF178+$AD179</f>
        <v/>
      </c>
      <c r="AG179" s="55">
        <f>SUMIFS(tblMovement[Tonnes_t],tblMovement[Date],$A179)</f>
        <v/>
      </c>
      <c r="AH179" s="55">
        <f>IF($B179=$B178,$AH178,0)+$AG179</f>
        <v/>
      </c>
      <c r="AI179" s="55">
        <f>$AI178+$AG179</f>
        <v/>
      </c>
      <c r="AJ179" s="55">
        <f>$AG179-$X179-$AD179</f>
        <v/>
      </c>
      <c r="AK179" s="55">
        <f>IF($B179=$B178,$AK178,0)+$AJ179</f>
        <v/>
      </c>
      <c r="AL179" s="55">
        <f>$AL178+$AJ179</f>
        <v/>
      </c>
      <c r="AM179" s="55">
        <f>SUMIFS(tblMiningDaily[Drill_m],tblMiningDaily[Date],$A179)</f>
        <v/>
      </c>
      <c r="AN179" s="55">
        <f>IF($B179=$B178,$AN178,0)+$AM179</f>
        <v/>
      </c>
      <c r="AO179" s="55">
        <f>$AO178+$AM179</f>
        <v/>
      </c>
      <c r="AP179" s="55">
        <f>SUMIFS(tblMiningDaily[GC_Drill_m],tblMiningDaily[Date],$A179)</f>
        <v/>
      </c>
      <c r="AQ179" s="55">
        <f>IF($B179=$B178,$AQ178,0)+$AP179</f>
        <v/>
      </c>
      <c r="AR179" s="55">
        <f>$AR178+$AP179</f>
        <v/>
      </c>
      <c r="AS179" s="55">
        <f>SUMIFS(tblMiningDaily[Blast_t],tblMiningDaily[Date],$A179)</f>
        <v/>
      </c>
      <c r="AT179" s="55">
        <f>IF($B179=$B178,$AT178,0)+$AS179</f>
        <v/>
      </c>
      <c r="AU179" s="55">
        <f>$AU178+$AS179</f>
        <v/>
      </c>
      <c r="AV179" s="55">
        <f>SUMIFS(tblMiningDaily[Explosives_kg],tblMiningDaily[Date],$A179)</f>
        <v/>
      </c>
      <c r="AW179" s="55">
        <f>IF($B179=$B178,$AW178,0)+$AV179</f>
        <v/>
      </c>
      <c r="AX179" s="55">
        <f>$AX178+$AV179</f>
        <v/>
      </c>
      <c r="AY179" s="56">
        <f>IFERROR(IF(($AS179)&gt;0,($AV179)/($AS179),""),"")</f>
        <v/>
      </c>
      <c r="AZ179" s="56">
        <f>IFERROR(IF(($AT179)&gt;0,($AW179)/($AT179),""),"")</f>
        <v/>
      </c>
      <c r="BA179" s="56">
        <f>IFERROR(IF(($AU179)&gt;0,($AX179)/($AU179),""),"")</f>
        <v/>
      </c>
      <c r="BB179" s="55">
        <f>SUMIFS(tblMiningDaily[Diesel_L],tblMiningDaily[Date],$A179)</f>
        <v/>
      </c>
      <c r="BC179" s="55">
        <f>IF($B179=$B178,$BC178,0)+$BB179</f>
        <v/>
      </c>
      <c r="BD179" s="55">
        <f>$BD178+$BB179</f>
        <v/>
      </c>
      <c r="BE179" s="55">
        <f>SUMIFS(tblMiningDaily[Dewatering_m3],tblMiningDaily[Date],$A179)</f>
        <v/>
      </c>
      <c r="BF179" s="55">
        <f>IF($B179=$B178,$BF178,0)+$BE179</f>
        <v/>
      </c>
      <c r="BG179" s="55">
        <f>$BG178+$BE179</f>
        <v/>
      </c>
      <c r="BH179" s="57">
        <f>SUMIFS(tblFleet[Calendar_h],tblFleet[Date],$A179,tblFleet[Equipment_Class],"Excavator")</f>
        <v/>
      </c>
      <c r="BI179" s="57">
        <f>IF($B179=$B178,$BI178,0)+$BH179</f>
        <v/>
      </c>
      <c r="BJ179" s="57">
        <f>$BJ178+$BH179</f>
        <v/>
      </c>
      <c r="BK179" s="57">
        <f>SUMIFS(tblFleet[Available_h],tblFleet[Date],$A179,tblFleet[Equipment_Class],"Excavator")</f>
        <v/>
      </c>
      <c r="BL179" s="57">
        <f>IF($B179=$B178,$BL178,0)+$BK179</f>
        <v/>
      </c>
      <c r="BM179" s="57">
        <f>$BM178+$BK179</f>
        <v/>
      </c>
      <c r="BN179" s="57">
        <f>SUMIFS(tblFleet[Operating_h],tblFleet[Date],$A179,tblFleet[Equipment_Class],"Excavator")</f>
        <v/>
      </c>
      <c r="BO179" s="57">
        <f>IF($B179=$B178,$BO178,0)+$BN179</f>
        <v/>
      </c>
      <c r="BP179" s="57">
        <f>$BP178+$BN179</f>
        <v/>
      </c>
      <c r="BQ179" s="67">
        <f>IFERROR(IF(($BH179)&gt;0,($BK179)/($BH179),""),"")</f>
        <v/>
      </c>
      <c r="BR179" s="67">
        <f>IFERROR(IF(($BI179)&gt;0,($BL179)/($BI179),""),"")</f>
        <v/>
      </c>
      <c r="BS179" s="67">
        <f>IFERROR(IF(($BJ179)&gt;0,($BM179)/($BJ179),""),"")</f>
        <v/>
      </c>
      <c r="BT179" s="67">
        <f>IFERROR(IF(($BK179)&gt;0,($BN179)/($BK179),""),"")</f>
        <v/>
      </c>
      <c r="BU179" s="67">
        <f>IFERROR(IF(($BL179)&gt;0,($BO179)/($BL179),""),"")</f>
        <v/>
      </c>
      <c r="BV179" s="67">
        <f>IFERROR(IF(($BM179)&gt;0,($BP179)/($BM179),""),"")</f>
        <v/>
      </c>
      <c r="BW179" s="57">
        <f>SUMIFS(tblFleet[Calendar_h],tblFleet[Date],$A179,tblFleet[Equipment_Class],"Haul Truck")</f>
        <v/>
      </c>
      <c r="BX179" s="57">
        <f>IF($B179=$B178,$BX178,0)+$BW179</f>
        <v/>
      </c>
      <c r="BY179" s="57">
        <f>$BY178+$BW179</f>
        <v/>
      </c>
      <c r="BZ179" s="57">
        <f>SUMIFS(tblFleet[Available_h],tblFleet[Date],$A179,tblFleet[Equipment_Class],"Haul Truck")</f>
        <v/>
      </c>
      <c r="CA179" s="57">
        <f>IF($B179=$B178,$CA178,0)+$BZ179</f>
        <v/>
      </c>
      <c r="CB179" s="57">
        <f>$CB178+$BZ179</f>
        <v/>
      </c>
      <c r="CC179" s="57">
        <f>SUMIFS(tblFleet[Operating_h],tblFleet[Date],$A179,tblFleet[Equipment_Class],"Haul Truck")</f>
        <v/>
      </c>
      <c r="CD179" s="57">
        <f>IF($B179=$B178,$CD178,0)+$CC179</f>
        <v/>
      </c>
      <c r="CE179" s="57">
        <f>$CE178+$CC179</f>
        <v/>
      </c>
      <c r="CF179" s="67">
        <f>IFERROR(IF(($BW179)&gt;0,($BZ179)/($BW179),""),"")</f>
        <v/>
      </c>
      <c r="CG179" s="67">
        <f>IFERROR(IF(($BX179)&gt;0,($CA179)/($BX179),""),"")</f>
        <v/>
      </c>
      <c r="CH179" s="67">
        <f>IFERROR(IF(($BY179)&gt;0,($CB179)/($BY179),""),"")</f>
        <v/>
      </c>
      <c r="CI179" s="67">
        <f>IFERROR(IF(($BZ179)&gt;0,($CC179)/($BZ179),""),"")</f>
        <v/>
      </c>
      <c r="CJ179" s="67">
        <f>IFERROR(IF(($CA179)&gt;0,($CD179)/($CA179),""),"")</f>
        <v/>
      </c>
      <c r="CK179" s="67">
        <f>IFERROR(IF(($CB179)&gt;0,($CE179)/($CB179),""),"")</f>
        <v/>
      </c>
      <c r="CL179" s="55">
        <f>IFERROR(IF(($BN179)&gt;0,($X179+$AD179)/($BN179),""),"")</f>
        <v/>
      </c>
      <c r="CM179" s="55">
        <f>IFERROR(IF(($BO179)&gt;0,($Y179+$AE179)/($BO179),""),"")</f>
        <v/>
      </c>
      <c r="CN179" s="55">
        <f>IFERROR(IF(($BP179)&gt;0,($Z179+$AF179)/($BP179),""),"")</f>
        <v/>
      </c>
      <c r="CO179" s="55">
        <f>IFERROR(IF(($CC179)&gt;0,($X179+$AD179)/($CC179),""),"")</f>
        <v/>
      </c>
      <c r="CP179" s="55">
        <f>IFERROR(IF(($CD179)&gt;0,($Y179+$AE179)/($CD179),""),"")</f>
        <v/>
      </c>
      <c r="CQ179" s="55">
        <f>IFERROR(IF(($CE179)&gt;0,($Z179+$AF179)/($CE179),""),"")</f>
        <v/>
      </c>
      <c r="CR179" s="55">
        <f>SUMIFS(tblPlant[Crushed_t],tblPlant[Date],$A179)</f>
        <v/>
      </c>
      <c r="CS179" s="55">
        <f>IF($B179=$B178,$CS178,0)+$CR179</f>
        <v/>
      </c>
      <c r="CT179" s="55">
        <f>$CT178+$CR179</f>
        <v/>
      </c>
      <c r="CU179" s="55">
        <f>SUMIFS(tblPlant[Milled_t],tblPlant[Date],$A179)</f>
        <v/>
      </c>
      <c r="CV179" s="55">
        <f>IF($B179=$B178,$CV178,0)+$CU179</f>
        <v/>
      </c>
      <c r="CW179" s="55">
        <f>$CW178+$CU179</f>
        <v/>
      </c>
      <c r="CX179" s="55">
        <f>SUMIFS(tblPlant[Feed_oz],tblPlant[Date],$A179)</f>
        <v/>
      </c>
      <c r="CY179" s="55">
        <f>IF($B179=$B178,$CY178,0)+$CX179</f>
        <v/>
      </c>
      <c r="CZ179" s="55">
        <f>$CZ178+$CX179</f>
        <v/>
      </c>
      <c r="DA179" s="55">
        <f>SUMIFS(tblPlant[Tails_oz],tblPlant[Date],$A179)</f>
        <v/>
      </c>
      <c r="DB179" s="55">
        <f>IF($B179=$B178,$DB178,0)+$DA179</f>
        <v/>
      </c>
      <c r="DC179" s="55">
        <f>$DC178+$DA179</f>
        <v/>
      </c>
      <c r="DD179" s="55">
        <f>SUMIFS(tblPlant[Recovered_oz],tblPlant[Date],$A179)</f>
        <v/>
      </c>
      <c r="DE179" s="55">
        <f>IF($B179=$B178,$DE178,0)+$DD179</f>
        <v/>
      </c>
      <c r="DF179" s="55">
        <f>$DF178+$DD179</f>
        <v/>
      </c>
      <c r="DG179" s="55">
        <f>SUMIFS(tblPlant[Milled_t],tblPlant[Date],$A179,tblPlant[Head_Grade_gpt],"&lt;&gt;")</f>
        <v/>
      </c>
      <c r="DH179" s="55">
        <f>IF($B179=$B178,$DH178,0)+$DG179</f>
        <v/>
      </c>
      <c r="DI179" s="55">
        <f>$DI178+$DG179</f>
        <v/>
      </c>
      <c r="DJ179" s="55">
        <f>SUMIFS(tblPlant[Milled_t],tblPlant[Date],$A179,tblPlant[Tails_Grade_gpt],"&lt;&gt;")</f>
        <v/>
      </c>
      <c r="DK179" s="55">
        <f>IF($B179=$B178,$DK178,0)+$DJ179</f>
        <v/>
      </c>
      <c r="DL179" s="55">
        <f>$DL178+$DJ179</f>
        <v/>
      </c>
      <c r="DM179" s="55">
        <f>SUMIFS(tblPlant[Feed_oz],tblPlant[Date],$A179,tblPlant[Tails_Grade_gpt],"&lt;&gt;")</f>
        <v/>
      </c>
      <c r="DN179" s="55">
        <f>IF($B179=$B178,$DN178,0)+$DM179</f>
        <v/>
      </c>
      <c r="DO179" s="55">
        <f>$DO178+$DM179</f>
        <v/>
      </c>
      <c r="DP179" s="55">
        <f>SUMIFS(tblPlant[Milled_t],tblPlant[Date],$A179,tblPlant[Mill_Run_h],"&lt;&gt;")</f>
        <v/>
      </c>
      <c r="DQ179" s="55">
        <f>IF($B179=$B178,$DQ178,0)+$DP179</f>
        <v/>
      </c>
      <c r="DR179" s="55">
        <f>$DR178+$DP179</f>
        <v/>
      </c>
      <c r="DS179" s="56">
        <f>IFERROR(IF(($DG179)&gt;0,($CX179*cfg_TroyOz)/($DG179),""),"")</f>
        <v/>
      </c>
      <c r="DT179" s="56">
        <f>IFERROR(IF(($DH179)&gt;0,($CY179*cfg_TroyOz)/($DH179),""),"")</f>
        <v/>
      </c>
      <c r="DU179" s="56">
        <f>IFERROR(IF(($DI179)&gt;0,($CZ179*cfg_TroyOz)/($DI179),""),"")</f>
        <v/>
      </c>
      <c r="DV179" s="56">
        <f>IFERROR(IF(($DJ179)&gt;0,($DA179*cfg_TroyOz)/($DJ179),""),"")</f>
        <v/>
      </c>
      <c r="DW179" s="56">
        <f>IFERROR(IF(($DK179)&gt;0,($DB179*cfg_TroyOz)/($DK179),""),"")</f>
        <v/>
      </c>
      <c r="DX179" s="56">
        <f>IFERROR(IF(($DL179)&gt;0,($DC179*cfg_TroyOz)/($DL179),""),"")</f>
        <v/>
      </c>
      <c r="DY179" s="67">
        <f>IFERROR(IF(($DM179)&gt;0,($DD179)/($DM179),""),"")</f>
        <v/>
      </c>
      <c r="DZ179" s="67">
        <f>IFERROR(IF(($DN179)&gt;0,($DE179)/($DN179),""),"")</f>
        <v/>
      </c>
      <c r="EA179" s="67">
        <f>IFERROR(IF(($DO179)&gt;0,($DF179)/($DO179),""),"")</f>
        <v/>
      </c>
      <c r="EB179" s="55">
        <f>SUMIFS(tblPlant[Gravity_Gold_oz],tblPlant[Date],$A179)</f>
        <v/>
      </c>
      <c r="EC179" s="55">
        <f>IF($B179=$B178,$EC178,0)+$EB179</f>
        <v/>
      </c>
      <c r="ED179" s="55">
        <f>$ED178+$EB179</f>
        <v/>
      </c>
      <c r="EE179" s="67">
        <f>IFERROR(IF(($DD179)&gt;0,($EB179)/($DD179),""),"")</f>
        <v/>
      </c>
      <c r="EF179" s="67">
        <f>IFERROR(IF(($DE179)&gt;0,($EC179)/($DE179),""),"")</f>
        <v/>
      </c>
      <c r="EG179" s="67">
        <f>IFERROR(IF(($DF179)&gt;0,($ED179)/($DF179),""),"")</f>
        <v/>
      </c>
      <c r="EH179" s="55">
        <f>SUMIFS(tblPlant[Gold_Poured_oz],tblPlant[Date],$A179)</f>
        <v/>
      </c>
      <c r="EI179" s="55">
        <f>IF($B179=$B178,$EI178,0)+$EH179</f>
        <v/>
      </c>
      <c r="EJ179" s="55">
        <f>$EJ178+$EH179</f>
        <v/>
      </c>
      <c r="EK179" s="57">
        <f>SUMIFS(tblPlant[Mill_Run_h],tblPlant[Date],$A179)</f>
        <v/>
      </c>
      <c r="EL179" s="57">
        <f>IF($B179=$B178,$EL178,0)+$EK179</f>
        <v/>
      </c>
      <c r="EM179" s="57">
        <f>$EM178+$EK179</f>
        <v/>
      </c>
      <c r="EN179" s="57">
        <f>SUMIFS(tblPlant[Mill_Planned_Maint_h],tblPlant[Date],$A179)</f>
        <v/>
      </c>
      <c r="EO179" s="57">
        <f>IF($B179=$B178,$EO178,0)+$EN179</f>
        <v/>
      </c>
      <c r="EP179" s="57">
        <f>$EP178+$EN179</f>
        <v/>
      </c>
      <c r="EQ179" s="57">
        <f>SUMIFS(tblPlant[Mill_Unplanned_Down_h],tblPlant[Date],$A179)</f>
        <v/>
      </c>
      <c r="ER179" s="57">
        <f>IF($B179=$B178,$ER178,0)+$EQ179</f>
        <v/>
      </c>
      <c r="ES179" s="57">
        <f>$ES178+$EQ179</f>
        <v/>
      </c>
      <c r="ET179" s="57">
        <f>IF(COUNTIFS(tblPlant[Date],$A179,tblPlant[Mill_Run_h],"&lt;&gt;")+COUNTIFS(tblPlant[Date],$A179,tblPlant[Mill_Planned_Maint_h],"&lt;&gt;")+COUNTIFS(tblPlant[Date],$A179,tblPlant[Mill_Unplanned_Down_h],"&lt;&gt;")&gt;0,cfg_HoursPerDay,0)</f>
        <v/>
      </c>
      <c r="EU179" s="57">
        <f>IF($B179=$B178,$EU178,0)+$ET179</f>
        <v/>
      </c>
      <c r="EV179" s="57">
        <f>$EV178+$ET179</f>
        <v/>
      </c>
      <c r="EW179" s="57">
        <f>SUMIFS(tblPlant[Crusher_Run_h],tblPlant[Date],$A179)</f>
        <v/>
      </c>
      <c r="EX179" s="57">
        <f>IF($B179=$B178,$EX178,0)+$EW179</f>
        <v/>
      </c>
      <c r="EY179" s="57">
        <f>$EY178+$EW179</f>
        <v/>
      </c>
      <c r="EZ179" s="55">
        <f>IFERROR(IF(($EK179)&gt;0,($DP179)/($EK179),""),"")</f>
        <v/>
      </c>
      <c r="FA179" s="55">
        <f>IFERROR(IF(($EL179)&gt;0,($DQ179)/($EL179),""),"")</f>
        <v/>
      </c>
      <c r="FB179" s="55">
        <f>IFERROR(IF(($EM179)&gt;0,($DR179)/($EM179),""),"")</f>
        <v/>
      </c>
      <c r="FC179" s="67">
        <f>IFERROR(IF(($ET179)&gt;0,($ET179-$EN179-$EQ179)/($ET179),""),"")</f>
        <v/>
      </c>
      <c r="FD179" s="67">
        <f>IFERROR(IF(($EU179)&gt;0,($EU179-$EO179-$ER179)/($EU179),""),"")</f>
        <v/>
      </c>
      <c r="FE179" s="67">
        <f>IFERROR(IF(($EV179)&gt;0,($EV179-$EP179-$ES179)/($EV179),""),"")</f>
        <v/>
      </c>
      <c r="FF179" s="67">
        <f>IFERROR(IF(($ET179-$EN179-$EQ179)&gt;0,($EK179)/($ET179-$EN179-$EQ179),""),"")</f>
        <v/>
      </c>
      <c r="FG179" s="67">
        <f>IFERROR(IF(($EU179-$EO179-$ER179)&gt;0,($EL179)/($EU179-$EO179-$ER179),""),"")</f>
        <v/>
      </c>
      <c r="FH179" s="67">
        <f>IFERROR(IF(($EV179-$EP179-$ES179)&gt;0,($EM179)/($EV179-$EP179-$ES179),""),"")</f>
        <v/>
      </c>
      <c r="FI179" s="55">
        <f>SUMIFS(tblPlant[Cyanide_kg],tblPlant[Date],$A179)</f>
        <v/>
      </c>
      <c r="FJ179" s="55">
        <f>IF($B179=$B178,$FJ178,0)+$FI179</f>
        <v/>
      </c>
      <c r="FK179" s="55">
        <f>$FK178+$FI179</f>
        <v/>
      </c>
      <c r="FL179" s="55">
        <f>SUMIFS(tblPlant[Lime_kg],tblPlant[Date],$A179)</f>
        <v/>
      </c>
      <c r="FM179" s="55">
        <f>IF($B179=$B178,$FM178,0)+$FL179</f>
        <v/>
      </c>
      <c r="FN179" s="55">
        <f>$FN178+$FL179</f>
        <v/>
      </c>
      <c r="FO179" s="55">
        <f>SUMIFS(tblPlant[Grinding_Media_kg],tblPlant[Date],$A179)</f>
        <v/>
      </c>
      <c r="FP179" s="55">
        <f>IF($B179=$B178,$FP178,0)+$FO179</f>
        <v/>
      </c>
      <c r="FQ179" s="55">
        <f>$FQ178+$FO179</f>
        <v/>
      </c>
      <c r="FR179" s="55">
        <f>SUMIFS(tblPlant[Power_kWh],tblPlant[Date],$A179)</f>
        <v/>
      </c>
      <c r="FS179" s="55">
        <f>IF($B179=$B178,$FS178,0)+$FR179</f>
        <v/>
      </c>
      <c r="FT179" s="55">
        <f>$FT178+$FR179</f>
        <v/>
      </c>
      <c r="FU179" s="55">
        <f>SUMIFS(tblPlant[Raw_Water_m3],tblPlant[Date],$A179)</f>
        <v/>
      </c>
      <c r="FV179" s="55">
        <f>IF($B179=$B178,$FV178,0)+$FU179</f>
        <v/>
      </c>
      <c r="FW179" s="55">
        <f>$FW178+$FU179</f>
        <v/>
      </c>
      <c r="FX179" s="56">
        <f>IFERROR(IF(($CU179)&gt;0,($FI179)/($CU179),""),"")</f>
        <v/>
      </c>
      <c r="FY179" s="56">
        <f>IFERROR(IF(($CV179)&gt;0,($FJ179)/($CV179),""),"")</f>
        <v/>
      </c>
      <c r="FZ179" s="56">
        <f>IFERROR(IF(($CW179)&gt;0,($FK179)/($CW179),""),"")</f>
        <v/>
      </c>
      <c r="GA179" s="56">
        <f>IFERROR(IF(($CU179)&gt;0,($FL179)/($CU179),""),"")</f>
        <v/>
      </c>
      <c r="GB179" s="56">
        <f>IFERROR(IF(($CV179)&gt;0,($FM179)/($CV179),""),"")</f>
        <v/>
      </c>
      <c r="GC179" s="56">
        <f>IFERROR(IF(($CW179)&gt;0,($FN179)/($CW179),""),"")</f>
        <v/>
      </c>
      <c r="GD179" s="56">
        <f>IFERROR(IF(($CU179)&gt;0,($FO179)/($CU179),""),"")</f>
        <v/>
      </c>
      <c r="GE179" s="56">
        <f>IFERROR(IF(($CV179)&gt;0,($FP179)/($CV179),""),"")</f>
        <v/>
      </c>
      <c r="GF179" s="56">
        <f>IFERROR(IF(($CW179)&gt;0,($FQ179)/($CW179),""),"")</f>
        <v/>
      </c>
      <c r="GG179" s="79">
        <f>IFERROR(IF(($CU179)&gt;0,($FR179)/($CU179),""),"")</f>
        <v/>
      </c>
      <c r="GH179" s="79">
        <f>IFERROR(IF(($CV179)&gt;0,($FS179)/($CV179),""),"")</f>
        <v/>
      </c>
      <c r="GI179" s="79">
        <f>IFERROR(IF(($CW179)&gt;0,($FT179)/($CW179),""),"")</f>
        <v/>
      </c>
      <c r="GJ179" s="56">
        <f>IFERROR(IF(($CU179)&gt;0,($FU179)/($CU179),""),"")</f>
        <v/>
      </c>
      <c r="GK179" s="56">
        <f>IFERROR(IF(($CV179)&gt;0,($FV179)/($CV179),""),"")</f>
        <v/>
      </c>
      <c r="GL179" s="56">
        <f>IFERROR(IF(($CW179)&gt;0,($FW179)/($CW179),""),"")</f>
        <v/>
      </c>
      <c r="GM179" s="55">
        <f>IF(SUMIFS(tblPlant[GIC_oz],tblPlant[Date],$A179)&gt;0,SUMIFS(tblPlant[GIC_oz],tblPlant[Date],$A179),"")</f>
        <v/>
      </c>
      <c r="GN179" s="55">
        <f>SUMIFS(tblGold[Gold_oz],tblGold[Date],$A179,tblGold[Type],"Shipment")</f>
        <v/>
      </c>
      <c r="GO179" s="55">
        <f>IF($B179=$B178,$GO178,0)+$GN179</f>
        <v/>
      </c>
      <c r="GP179" s="55">
        <f>$GP178+$GN179</f>
        <v/>
      </c>
      <c r="GQ179" s="55">
        <f>SUMIFS(tblGold[Gold_oz],tblGold[Date],$A179,tblGold[Type],"Sale")</f>
        <v/>
      </c>
      <c r="GR179" s="55">
        <f>IF($B179=$B178,$GR178,0)+$GQ179</f>
        <v/>
      </c>
      <c r="GS179" s="55">
        <f>$GS178+$GQ179</f>
        <v/>
      </c>
      <c r="GT179" s="55">
        <f>SUMIFS(tblGold[Dore_kg],tblGold[Date],$A179,tblGold[Type],"Shipment")</f>
        <v/>
      </c>
      <c r="GU179" s="55">
        <f>IF($B179=$B178,$GU178,0)+$GT179</f>
        <v/>
      </c>
      <c r="GV179" s="55">
        <f>$GV178+$GT179</f>
        <v/>
      </c>
      <c r="GW179" s="57">
        <f>SUMIFS(tblSafety[Hours_Total],tblSafety[Date],$A179)</f>
        <v/>
      </c>
      <c r="GX179" s="57">
        <f>IF($B179=$B178,$GX178,0)+$GW179</f>
        <v/>
      </c>
      <c r="GY179" s="57">
        <f>$GY178+$GW179</f>
        <v/>
      </c>
      <c r="GZ179" s="62">
        <f>SUMIFS(tblSafety[Fatality],tblSafety[Date],$A179)</f>
        <v/>
      </c>
      <c r="HA179" s="62">
        <f>IF($B179=$B178,$HA178,0)+$GZ179</f>
        <v/>
      </c>
      <c r="HB179" s="62">
        <f>$HB178+$GZ179</f>
        <v/>
      </c>
      <c r="HC179" s="62">
        <f>SUMIFS(tblSafety[LTI],tblSafety[Date],$A179)</f>
        <v/>
      </c>
      <c r="HD179" s="62">
        <f>IF($B179=$B178,$HD178,0)+$HC179</f>
        <v/>
      </c>
      <c r="HE179" s="62">
        <f>$HE178+$HC179</f>
        <v/>
      </c>
      <c r="HF179" s="62">
        <f>SUMIFS(tblSafety[RWI],tblSafety[Date],$A179)</f>
        <v/>
      </c>
      <c r="HG179" s="62">
        <f>IF($B179=$B178,$HG178,0)+$HF179</f>
        <v/>
      </c>
      <c r="HH179" s="62">
        <f>$HH178+$HF179</f>
        <v/>
      </c>
      <c r="HI179" s="62">
        <f>SUMIFS(tblSafety[MTI],tblSafety[Date],$A179)</f>
        <v/>
      </c>
      <c r="HJ179" s="62">
        <f>IF($B179=$B178,$HJ178,0)+$HI179</f>
        <v/>
      </c>
      <c r="HK179" s="62">
        <f>$HK178+$HI179</f>
        <v/>
      </c>
      <c r="HL179" s="62">
        <f>SUMIFS(tblSafety[FAI],tblSafety[Date],$A179)</f>
        <v/>
      </c>
      <c r="HM179" s="62">
        <f>IF($B179=$B178,$HM178,0)+$HL179</f>
        <v/>
      </c>
      <c r="HN179" s="62">
        <f>$HN178+$HL179</f>
        <v/>
      </c>
      <c r="HO179" s="62">
        <f>SUMIFS(tblSafety[Recordables],tblSafety[Date],$A179)</f>
        <v/>
      </c>
      <c r="HP179" s="62">
        <f>IF($B179=$B178,$HP178,0)+$HO179</f>
        <v/>
      </c>
      <c r="HQ179" s="62">
        <f>$HQ178+$HO179</f>
        <v/>
      </c>
      <c r="HR179" s="62">
        <f>SUMIFS(tblSafety[Near_Miss],tblSafety[Date],$A179)</f>
        <v/>
      </c>
      <c r="HS179" s="62">
        <f>IF($B179=$B178,$HS178,0)+$HR179</f>
        <v/>
      </c>
      <c r="HT179" s="62">
        <f>$HT178+$HR179</f>
        <v/>
      </c>
      <c r="HU179" s="62">
        <f>SUMIFS(tblSafety[Hazard_Reports],tblSafety[Date],$A179)</f>
        <v/>
      </c>
      <c r="HV179" s="62">
        <f>IF($B179=$B178,$HV178,0)+$HU179</f>
        <v/>
      </c>
      <c r="HW179" s="62">
        <f>$HW178+$HU179</f>
        <v/>
      </c>
      <c r="HX179" s="62">
        <f>SUMIFS(tblSafety[HPI],tblSafety[Date],$A179)</f>
        <v/>
      </c>
      <c r="HY179" s="62">
        <f>IF($B179=$B178,$HY178,0)+$HX179</f>
        <v/>
      </c>
      <c r="HZ179" s="62">
        <f>$HZ178+$HX179</f>
        <v/>
      </c>
      <c r="IA179" s="62">
        <f>SUMIFS(tblSafety[Env_Incidents],tblSafety[Date],$A179)</f>
        <v/>
      </c>
      <c r="IB179" s="62">
        <f>IF($B179=$B178,$IB178,0)+$IA179</f>
        <v/>
      </c>
      <c r="IC179" s="62">
        <f>$IC178+$IA179</f>
        <v/>
      </c>
      <c r="ID179" s="62">
        <f>SUMIFS(tblSafety[Community_Incidents],tblSafety[Date],$A179)</f>
        <v/>
      </c>
      <c r="IE179" s="62">
        <f>IF($B179=$B178,$IE178,0)+$ID179</f>
        <v/>
      </c>
      <c r="IF179" s="62">
        <f>$IF178+$ID179</f>
        <v/>
      </c>
      <c r="IG179" s="62">
        <f>SUMIFS(tblSafety[Vehicle_Incidents],tblSafety[Date],$A179)</f>
        <v/>
      </c>
      <c r="IH179" s="62">
        <f>IF($B179=$B178,$IH178,0)+$IG179</f>
        <v/>
      </c>
      <c r="II179" s="62">
        <f>$II178+$IG179</f>
        <v/>
      </c>
      <c r="IJ179" s="62">
        <f>SUMIFS(tblSafety[Toolbox_Talks],tblSafety[Date],$A179)</f>
        <v/>
      </c>
      <c r="IK179" s="62">
        <f>IF($B179=$B178,$IK178,0)+$IJ179</f>
        <v/>
      </c>
      <c r="IL179" s="62">
        <f>$IL178+$IJ179</f>
        <v/>
      </c>
      <c r="IM179" s="62">
        <f>SUMIFS(tblSafety[Inspections],tblSafety[Date],$A179)</f>
        <v/>
      </c>
      <c r="IN179" s="62">
        <f>IF($B179=$B178,$IN178,0)+$IM179</f>
        <v/>
      </c>
      <c r="IO179" s="62">
        <f>$IO178+$IM179</f>
        <v/>
      </c>
      <c r="IP179" s="56">
        <f>IFERROR((SUMIFS(tblSafety[Recordables],tblSafety[Date],"&gt;="&amp;EDATE($E179,-12),tblSafety[Date],"&lt;="&amp;$A179)+SUMIFS(tblSafetyHistory[Recordables],tblSafetyHistory[Month],"&gt;="&amp;EDATE($E179,-12),tblSafetyHistory[Month],"&lt;"&amp;$E179,tblSafetyHistory[Use],1))/(SUMIFS(tblSafety[Hours_Total],tblSafety[Date],"&gt;="&amp;EDATE($E179,-12),tblSafety[Date],"&lt;="&amp;$A179)+SUMIFS(tblSafetyHistory[Hours_Total],tblSafetyHistory[Month],"&gt;="&amp;EDATE($E179,-12),tblSafetyHistory[Month],"&lt;"&amp;$E179,tblSafetyHistory[Use],1))*cfg_RateBasisHours,"")</f>
        <v/>
      </c>
      <c r="IQ179" s="56">
        <f>IFERROR((SUMIFS(tblSafety[LTI],tblSafety[Date],"&gt;="&amp;EDATE($E179,-12),tblSafety[Date],"&lt;="&amp;$A179)+SUMIFS(tblSafetyHistory[LTI],tblSafetyHistory[Month],"&gt;="&amp;EDATE($E179,-12),tblSafetyHistory[Month],"&lt;"&amp;$E179,tblSafetyHistory[Use],1))/(SUMIFS(tblSafety[Hours_Total],tblSafety[Date],"&gt;="&amp;EDATE($E179,-12),tblSafety[Date],"&lt;="&amp;$A179)+SUMIFS(tblSafetyHistory[Hours_Total],tblSafetyHistory[Month],"&gt;="&amp;EDATE($E179,-12),tblSafetyHistory[Month],"&lt;"&amp;$E179,tblSafetyHistory[Use],1))*cfg_RateBasisHours,"")</f>
        <v/>
      </c>
      <c r="IR179" s="62">
        <f>IF(MAX(N(cfg_PriorLTIDate),_xlfn.MAXIFS(tblSafety[Date],tblSafety[LTI],"&gt;0",tblSafety[Date],"&lt;="&amp;$A179))=0,"",$A179-MAX(N(cfg_PriorLTIDate),_xlfn.MAXIFS(tblSafety[Date],tblSafety[LTI],"&gt;0",tblSafety[Date],"&lt;="&amp;$A179)))</f>
        <v/>
      </c>
      <c r="IS179" s="55">
        <f>SUMIFS(tblBudget[Ore_Mined_t],tblBudget[Month],$E179)</f>
        <v/>
      </c>
      <c r="IT179" s="55">
        <f>$IS179*$C179/$D179</f>
        <v/>
      </c>
      <c r="IU179" s="55">
        <f>SUMIFS(tblBudget[Ore_Mined_t],tblBudget[Month],"&lt;"&amp;$E179)+$IT179</f>
        <v/>
      </c>
      <c r="IV179" s="55">
        <f>SUMIFS(tblBudget[Ore_oz],tblBudget[Month],$E179)</f>
        <v/>
      </c>
      <c r="IW179" s="55">
        <f>$IV179*$C179/$D179</f>
        <v/>
      </c>
      <c r="IX179" s="55">
        <f>SUMIFS(tblBudget[Ore_oz],tblBudget[Month],"&lt;"&amp;$E179)+$IW179</f>
        <v/>
      </c>
      <c r="IY179" s="55">
        <f>SUMIFS(tblBudget[Ore_Mined_t],tblBudget[Month],$E179)</f>
        <v/>
      </c>
      <c r="IZ179" s="55">
        <f>$IY179*$C179/$D179</f>
        <v/>
      </c>
      <c r="JA179" s="55">
        <f>SUMIFS(tblBudget[Ore_Mined_t],tblBudget[Month],"&lt;"&amp;$E179)+$IZ179</f>
        <v/>
      </c>
      <c r="JB179" s="56">
        <f>IFERROR(IF(($IY179)&gt;0,($IV179*cfg_TroyOz)/($IY179),""),"")</f>
        <v/>
      </c>
      <c r="JC179" s="56">
        <f>IFERROR(IF(($IZ179)&gt;0,($IW179*cfg_TroyOz)/($IZ179),""),"")</f>
        <v/>
      </c>
      <c r="JD179" s="56">
        <f>IFERROR(IF(($JA179)&gt;0,($IX179*cfg_TroyOz)/($JA179),""),"")</f>
        <v/>
      </c>
      <c r="JE179" s="55">
        <f>SUMIFS(tblBudget[Waste_t],tblBudget[Month],$E179)</f>
        <v/>
      </c>
      <c r="JF179" s="55">
        <f>$JE179*$C179/$D179</f>
        <v/>
      </c>
      <c r="JG179" s="55">
        <f>SUMIFS(tblBudget[Waste_t],tblBudget[Month],"&lt;"&amp;$E179)+$JF179</f>
        <v/>
      </c>
      <c r="JH179" s="55">
        <f>SUMIFS(tblBudget[TMM_t],tblBudget[Month],$E179)</f>
        <v/>
      </c>
      <c r="JI179" s="55">
        <f>$JH179*$C179/$D179</f>
        <v/>
      </c>
      <c r="JJ179" s="55">
        <f>SUMIFS(tblBudget[TMM_t],tblBudget[Month],"&lt;"&amp;$E179)+$JI179</f>
        <v/>
      </c>
      <c r="JK179" s="56">
        <f>IFERROR(IF(($IS179)&gt;0,($JE179)/($IS179),""),"")</f>
        <v/>
      </c>
      <c r="JL179" s="56">
        <f>IFERROR(IF(($IT179)&gt;0,($JF179)/($IT179),""),"")</f>
        <v/>
      </c>
      <c r="JM179" s="56">
        <f>IFERROR(IF(($IU179)&gt;0,($JG179)/($IU179),""),"")</f>
        <v/>
      </c>
      <c r="JN179" s="55">
        <f>SUMIFS(tblBudget[Drill_m],tblBudget[Month],$E179)</f>
        <v/>
      </c>
      <c r="JO179" s="55">
        <f>$JN179*$C179/$D179</f>
        <v/>
      </c>
      <c r="JP179" s="55">
        <f>SUMIFS(tblBudget[Drill_m],tblBudget[Month],"&lt;"&amp;$E179)+$JO179</f>
        <v/>
      </c>
      <c r="JQ179" s="55">
        <f>SUMIFS(tblBudget[Diesel_L],tblBudget[Month],$E179)</f>
        <v/>
      </c>
      <c r="JR179" s="55">
        <f>$JQ179*$C179/$D179</f>
        <v/>
      </c>
      <c r="JS179" s="55">
        <f>SUMIFS(tblBudget[Diesel_L],tblBudget[Month],"&lt;"&amp;$E179)+$JR179</f>
        <v/>
      </c>
      <c r="JT179" s="55">
        <f>SUMIFS(tblBudget[Milled_t],tblBudget[Month],$E179)</f>
        <v/>
      </c>
      <c r="JU179" s="55">
        <f>$JT179*$C179/$D179</f>
        <v/>
      </c>
      <c r="JV179" s="55">
        <f>SUMIFS(tblBudget[Milled_t],tblBudget[Month],"&lt;"&amp;$E179)+$JU179</f>
        <v/>
      </c>
      <c r="JW179" s="55">
        <f>SUMIFS(tblBudget[Feed_oz],tblBudget[Month],$E179)</f>
        <v/>
      </c>
      <c r="JX179" s="55">
        <f>$JW179*$C179/$D179</f>
        <v/>
      </c>
      <c r="JY179" s="55">
        <f>SUMIFS(tblBudget[Feed_oz],tblBudget[Month],"&lt;"&amp;$E179)+$JX179</f>
        <v/>
      </c>
      <c r="JZ179" s="55">
        <f>SUMIFS(tblBudget[Recovered_oz],tblBudget[Month],$E179)</f>
        <v/>
      </c>
      <c r="KA179" s="55">
        <f>$JZ179*$C179/$D179</f>
        <v/>
      </c>
      <c r="KB179" s="55">
        <f>SUMIFS(tblBudget[Recovered_oz],tblBudget[Month],"&lt;"&amp;$E179)+$KA179</f>
        <v/>
      </c>
      <c r="KC179" s="55">
        <f>SUMIFS(tblBudget[Milled_t],tblBudget[Month],$E179)</f>
        <v/>
      </c>
      <c r="KD179" s="55">
        <f>$KC179*$C179/$D179</f>
        <v/>
      </c>
      <c r="KE179" s="55">
        <f>SUMIFS(tblBudget[Milled_t],tblBudget[Month],"&lt;"&amp;$E179)+$KD179</f>
        <v/>
      </c>
      <c r="KF179" s="55">
        <f>SUMIFS(tblBudget[Feed_oz],tblBudget[Month],$E179)</f>
        <v/>
      </c>
      <c r="KG179" s="55">
        <f>$KF179*$C179/$D179</f>
        <v/>
      </c>
      <c r="KH179" s="55">
        <f>SUMIFS(tblBudget[Feed_oz],tblBudget[Month],"&lt;"&amp;$E179)+$KG179</f>
        <v/>
      </c>
      <c r="KI179" s="56">
        <f>IFERROR(IF(($KC179)&gt;0,($JW179*cfg_TroyOz)/($KC179),""),"")</f>
        <v/>
      </c>
      <c r="KJ179" s="56">
        <f>IFERROR(IF(($KD179)&gt;0,($JX179*cfg_TroyOz)/($KD179),""),"")</f>
        <v/>
      </c>
      <c r="KK179" s="56">
        <f>IFERROR(IF(($KE179)&gt;0,($JY179*cfg_TroyOz)/($KE179),""),"")</f>
        <v/>
      </c>
      <c r="KL179" s="67">
        <f>IFERROR(IF(($KF179)&gt;0,($JZ179)/($KF179),""),"")</f>
        <v/>
      </c>
      <c r="KM179" s="67">
        <f>IFERROR(IF(($KG179)&gt;0,($KA179)/($KG179),""),"")</f>
        <v/>
      </c>
      <c r="KN179" s="67">
        <f>IFERROR(IF(($KH179)&gt;0,($KB179)/($KH179),""),"")</f>
        <v/>
      </c>
      <c r="KO179" s="55">
        <f>SUMIFS(tblBudget[Gold_Poured_oz],tblBudget[Month],$E179)</f>
        <v/>
      </c>
      <c r="KP179" s="55">
        <f>$KO179*$C179/$D179</f>
        <v/>
      </c>
      <c r="KQ179" s="55">
        <f>SUMIFS(tblBudget[Gold_Poured_oz],tblBudget[Month],"&lt;"&amp;$E179)+$KP179</f>
        <v/>
      </c>
      <c r="KR179" s="57">
        <f>SUMIFS(tblBudget[Hours_Worked],tblBudget[Month],$E179)</f>
        <v/>
      </c>
      <c r="KS179" s="57">
        <f>$KR179*$C179/$D179</f>
        <v/>
      </c>
      <c r="KT179" s="57">
        <f>SUMIFS(tblBudget[Hours_Worked],tblBudget[Month],"&lt;"&amp;$E179)+$KS179</f>
        <v/>
      </c>
    </row>
    <row r="180">
      <c r="A180" s="54" t="n">
        <v>46201</v>
      </c>
      <c r="B180">
        <f>MONTH($A180)</f>
        <v/>
      </c>
      <c r="C180">
        <f>DAY($A180)</f>
        <v/>
      </c>
      <c r="D180">
        <f>DAY(EOMONTH($A180,0))</f>
        <v/>
      </c>
      <c r="E180" s="54">
        <f>DATE(YEAR($A180),MONTH($A180),1)</f>
        <v/>
      </c>
      <c r="F180" s="55">
        <f>SUMIFS(tblMovement[Tonnes_t],tblMovement[Date],$A180,tblMovement[Is_Ore],1,tblMovement[Source_Type],"Pit")</f>
        <v/>
      </c>
      <c r="G180" s="55">
        <f>IF($B180=$B179,$G179,0)+$F180</f>
        <v/>
      </c>
      <c r="H180" s="55">
        <f>$H179+$F180</f>
        <v/>
      </c>
      <c r="I180" s="55">
        <f>SUMIFS(tblMovement[Ore_oz],tblMovement[Date],$A180,tblMovement[Source_Type],"Pit")</f>
        <v/>
      </c>
      <c r="J180" s="55">
        <f>IF($B180=$B179,$J179,0)+$I180</f>
        <v/>
      </c>
      <c r="K180" s="55">
        <f>$K179+$I180</f>
        <v/>
      </c>
      <c r="L180" s="55">
        <f>SUMIFS(tblMovement[Tonnes_t],tblMovement[Date],$A180,tblMovement[Is_Ore],1,tblMovement[Source_Type],"Pit",tblMovement[Grade_gpt],"&lt;&gt;")</f>
        <v/>
      </c>
      <c r="M180" s="55">
        <f>IF($B180=$B179,$M179,0)+$L180</f>
        <v/>
      </c>
      <c r="N180" s="55">
        <f>$N179+$L180</f>
        <v/>
      </c>
      <c r="O180" s="56">
        <f>IFERROR(IF(($L180)&gt;0,($I180*cfg_TroyOz)/($L180),""),"")</f>
        <v/>
      </c>
      <c r="P180" s="56">
        <f>IFERROR(IF(($M180)&gt;0,($J180*cfg_TroyOz)/($M180),""),"")</f>
        <v/>
      </c>
      <c r="Q180" s="56">
        <f>IFERROR(IF(($N180)&gt;0,($K180*cfg_TroyOz)/($N180),""),"")</f>
        <v/>
      </c>
      <c r="R180" s="55">
        <f>$F180-$L180</f>
        <v/>
      </c>
      <c r="S180" s="55">
        <f>IF($B180=$B179,$S179,0)+$R180</f>
        <v/>
      </c>
      <c r="T180" s="55">
        <f>$T179+$R180</f>
        <v/>
      </c>
      <c r="U180" s="55">
        <f>SUMIFS(tblMovement[Tonnes_t],tblMovement[Date],$A180,tblMovement[Is_Ore],0,tblMovement[Source_Type],"Pit")</f>
        <v/>
      </c>
      <c r="V180" s="55">
        <f>IF($B180=$B179,$V179,0)+$U180</f>
        <v/>
      </c>
      <c r="W180" s="55">
        <f>$W179+$U180</f>
        <v/>
      </c>
      <c r="X180" s="55">
        <f>$F180+$U180</f>
        <v/>
      </c>
      <c r="Y180" s="55">
        <f>IF($B180=$B179,$Y179,0)+$X180</f>
        <v/>
      </c>
      <c r="Z180" s="55">
        <f>$Z179+$X180</f>
        <v/>
      </c>
      <c r="AA180" s="56">
        <f>IFERROR(IF(($F180)&gt;0,($U180)/($F180),""),"")</f>
        <v/>
      </c>
      <c r="AB180" s="56">
        <f>IFERROR(IF(($G180)&gt;0,($V180)/($G180),""),"")</f>
        <v/>
      </c>
      <c r="AC180" s="56">
        <f>IFERROR(IF(($H180)&gt;0,($W180)/($H180),""),"")</f>
        <v/>
      </c>
      <c r="AD180" s="55">
        <f>SUMIFS(tblMovement[Tonnes_t],tblMovement[Date],$A180,tblMovement[Source_Type],"Stockpile")</f>
        <v/>
      </c>
      <c r="AE180" s="55">
        <f>IF($B180=$B179,$AE179,0)+$AD180</f>
        <v/>
      </c>
      <c r="AF180" s="55">
        <f>$AF179+$AD180</f>
        <v/>
      </c>
      <c r="AG180" s="55">
        <f>SUMIFS(tblMovement[Tonnes_t],tblMovement[Date],$A180)</f>
        <v/>
      </c>
      <c r="AH180" s="55">
        <f>IF($B180=$B179,$AH179,0)+$AG180</f>
        <v/>
      </c>
      <c r="AI180" s="55">
        <f>$AI179+$AG180</f>
        <v/>
      </c>
      <c r="AJ180" s="55">
        <f>$AG180-$X180-$AD180</f>
        <v/>
      </c>
      <c r="AK180" s="55">
        <f>IF($B180=$B179,$AK179,0)+$AJ180</f>
        <v/>
      </c>
      <c r="AL180" s="55">
        <f>$AL179+$AJ180</f>
        <v/>
      </c>
      <c r="AM180" s="55">
        <f>SUMIFS(tblMiningDaily[Drill_m],tblMiningDaily[Date],$A180)</f>
        <v/>
      </c>
      <c r="AN180" s="55">
        <f>IF($B180=$B179,$AN179,0)+$AM180</f>
        <v/>
      </c>
      <c r="AO180" s="55">
        <f>$AO179+$AM180</f>
        <v/>
      </c>
      <c r="AP180" s="55">
        <f>SUMIFS(tblMiningDaily[GC_Drill_m],tblMiningDaily[Date],$A180)</f>
        <v/>
      </c>
      <c r="AQ180" s="55">
        <f>IF($B180=$B179,$AQ179,0)+$AP180</f>
        <v/>
      </c>
      <c r="AR180" s="55">
        <f>$AR179+$AP180</f>
        <v/>
      </c>
      <c r="AS180" s="55">
        <f>SUMIFS(tblMiningDaily[Blast_t],tblMiningDaily[Date],$A180)</f>
        <v/>
      </c>
      <c r="AT180" s="55">
        <f>IF($B180=$B179,$AT179,0)+$AS180</f>
        <v/>
      </c>
      <c r="AU180" s="55">
        <f>$AU179+$AS180</f>
        <v/>
      </c>
      <c r="AV180" s="55">
        <f>SUMIFS(tblMiningDaily[Explosives_kg],tblMiningDaily[Date],$A180)</f>
        <v/>
      </c>
      <c r="AW180" s="55">
        <f>IF($B180=$B179,$AW179,0)+$AV180</f>
        <v/>
      </c>
      <c r="AX180" s="55">
        <f>$AX179+$AV180</f>
        <v/>
      </c>
      <c r="AY180" s="56">
        <f>IFERROR(IF(($AS180)&gt;0,($AV180)/($AS180),""),"")</f>
        <v/>
      </c>
      <c r="AZ180" s="56">
        <f>IFERROR(IF(($AT180)&gt;0,($AW180)/($AT180),""),"")</f>
        <v/>
      </c>
      <c r="BA180" s="56">
        <f>IFERROR(IF(($AU180)&gt;0,($AX180)/($AU180),""),"")</f>
        <v/>
      </c>
      <c r="BB180" s="55">
        <f>SUMIFS(tblMiningDaily[Diesel_L],tblMiningDaily[Date],$A180)</f>
        <v/>
      </c>
      <c r="BC180" s="55">
        <f>IF($B180=$B179,$BC179,0)+$BB180</f>
        <v/>
      </c>
      <c r="BD180" s="55">
        <f>$BD179+$BB180</f>
        <v/>
      </c>
      <c r="BE180" s="55">
        <f>SUMIFS(tblMiningDaily[Dewatering_m3],tblMiningDaily[Date],$A180)</f>
        <v/>
      </c>
      <c r="BF180" s="55">
        <f>IF($B180=$B179,$BF179,0)+$BE180</f>
        <v/>
      </c>
      <c r="BG180" s="55">
        <f>$BG179+$BE180</f>
        <v/>
      </c>
      <c r="BH180" s="57">
        <f>SUMIFS(tblFleet[Calendar_h],tblFleet[Date],$A180,tblFleet[Equipment_Class],"Excavator")</f>
        <v/>
      </c>
      <c r="BI180" s="57">
        <f>IF($B180=$B179,$BI179,0)+$BH180</f>
        <v/>
      </c>
      <c r="BJ180" s="57">
        <f>$BJ179+$BH180</f>
        <v/>
      </c>
      <c r="BK180" s="57">
        <f>SUMIFS(tblFleet[Available_h],tblFleet[Date],$A180,tblFleet[Equipment_Class],"Excavator")</f>
        <v/>
      </c>
      <c r="BL180" s="57">
        <f>IF($B180=$B179,$BL179,0)+$BK180</f>
        <v/>
      </c>
      <c r="BM180" s="57">
        <f>$BM179+$BK180</f>
        <v/>
      </c>
      <c r="BN180" s="57">
        <f>SUMIFS(tblFleet[Operating_h],tblFleet[Date],$A180,tblFleet[Equipment_Class],"Excavator")</f>
        <v/>
      </c>
      <c r="BO180" s="57">
        <f>IF($B180=$B179,$BO179,0)+$BN180</f>
        <v/>
      </c>
      <c r="BP180" s="57">
        <f>$BP179+$BN180</f>
        <v/>
      </c>
      <c r="BQ180" s="67">
        <f>IFERROR(IF(($BH180)&gt;0,($BK180)/($BH180),""),"")</f>
        <v/>
      </c>
      <c r="BR180" s="67">
        <f>IFERROR(IF(($BI180)&gt;0,($BL180)/($BI180),""),"")</f>
        <v/>
      </c>
      <c r="BS180" s="67">
        <f>IFERROR(IF(($BJ180)&gt;0,($BM180)/($BJ180),""),"")</f>
        <v/>
      </c>
      <c r="BT180" s="67">
        <f>IFERROR(IF(($BK180)&gt;0,($BN180)/($BK180),""),"")</f>
        <v/>
      </c>
      <c r="BU180" s="67">
        <f>IFERROR(IF(($BL180)&gt;0,($BO180)/($BL180),""),"")</f>
        <v/>
      </c>
      <c r="BV180" s="67">
        <f>IFERROR(IF(($BM180)&gt;0,($BP180)/($BM180),""),"")</f>
        <v/>
      </c>
      <c r="BW180" s="57">
        <f>SUMIFS(tblFleet[Calendar_h],tblFleet[Date],$A180,tblFleet[Equipment_Class],"Haul Truck")</f>
        <v/>
      </c>
      <c r="BX180" s="57">
        <f>IF($B180=$B179,$BX179,0)+$BW180</f>
        <v/>
      </c>
      <c r="BY180" s="57">
        <f>$BY179+$BW180</f>
        <v/>
      </c>
      <c r="BZ180" s="57">
        <f>SUMIFS(tblFleet[Available_h],tblFleet[Date],$A180,tblFleet[Equipment_Class],"Haul Truck")</f>
        <v/>
      </c>
      <c r="CA180" s="57">
        <f>IF($B180=$B179,$CA179,0)+$BZ180</f>
        <v/>
      </c>
      <c r="CB180" s="57">
        <f>$CB179+$BZ180</f>
        <v/>
      </c>
      <c r="CC180" s="57">
        <f>SUMIFS(tblFleet[Operating_h],tblFleet[Date],$A180,tblFleet[Equipment_Class],"Haul Truck")</f>
        <v/>
      </c>
      <c r="CD180" s="57">
        <f>IF($B180=$B179,$CD179,0)+$CC180</f>
        <v/>
      </c>
      <c r="CE180" s="57">
        <f>$CE179+$CC180</f>
        <v/>
      </c>
      <c r="CF180" s="67">
        <f>IFERROR(IF(($BW180)&gt;0,($BZ180)/($BW180),""),"")</f>
        <v/>
      </c>
      <c r="CG180" s="67">
        <f>IFERROR(IF(($BX180)&gt;0,($CA180)/($BX180),""),"")</f>
        <v/>
      </c>
      <c r="CH180" s="67">
        <f>IFERROR(IF(($BY180)&gt;0,($CB180)/($BY180),""),"")</f>
        <v/>
      </c>
      <c r="CI180" s="67">
        <f>IFERROR(IF(($BZ180)&gt;0,($CC180)/($BZ180),""),"")</f>
        <v/>
      </c>
      <c r="CJ180" s="67">
        <f>IFERROR(IF(($CA180)&gt;0,($CD180)/($CA180),""),"")</f>
        <v/>
      </c>
      <c r="CK180" s="67">
        <f>IFERROR(IF(($CB180)&gt;0,($CE180)/($CB180),""),"")</f>
        <v/>
      </c>
      <c r="CL180" s="55">
        <f>IFERROR(IF(($BN180)&gt;0,($X180+$AD180)/($BN180),""),"")</f>
        <v/>
      </c>
      <c r="CM180" s="55">
        <f>IFERROR(IF(($BO180)&gt;0,($Y180+$AE180)/($BO180),""),"")</f>
        <v/>
      </c>
      <c r="CN180" s="55">
        <f>IFERROR(IF(($BP180)&gt;0,($Z180+$AF180)/($BP180),""),"")</f>
        <v/>
      </c>
      <c r="CO180" s="55">
        <f>IFERROR(IF(($CC180)&gt;0,($X180+$AD180)/($CC180),""),"")</f>
        <v/>
      </c>
      <c r="CP180" s="55">
        <f>IFERROR(IF(($CD180)&gt;0,($Y180+$AE180)/($CD180),""),"")</f>
        <v/>
      </c>
      <c r="CQ180" s="55">
        <f>IFERROR(IF(($CE180)&gt;0,($Z180+$AF180)/($CE180),""),"")</f>
        <v/>
      </c>
      <c r="CR180" s="55">
        <f>SUMIFS(tblPlant[Crushed_t],tblPlant[Date],$A180)</f>
        <v/>
      </c>
      <c r="CS180" s="55">
        <f>IF($B180=$B179,$CS179,0)+$CR180</f>
        <v/>
      </c>
      <c r="CT180" s="55">
        <f>$CT179+$CR180</f>
        <v/>
      </c>
      <c r="CU180" s="55">
        <f>SUMIFS(tblPlant[Milled_t],tblPlant[Date],$A180)</f>
        <v/>
      </c>
      <c r="CV180" s="55">
        <f>IF($B180=$B179,$CV179,0)+$CU180</f>
        <v/>
      </c>
      <c r="CW180" s="55">
        <f>$CW179+$CU180</f>
        <v/>
      </c>
      <c r="CX180" s="55">
        <f>SUMIFS(tblPlant[Feed_oz],tblPlant[Date],$A180)</f>
        <v/>
      </c>
      <c r="CY180" s="55">
        <f>IF($B180=$B179,$CY179,0)+$CX180</f>
        <v/>
      </c>
      <c r="CZ180" s="55">
        <f>$CZ179+$CX180</f>
        <v/>
      </c>
      <c r="DA180" s="55">
        <f>SUMIFS(tblPlant[Tails_oz],tblPlant[Date],$A180)</f>
        <v/>
      </c>
      <c r="DB180" s="55">
        <f>IF($B180=$B179,$DB179,0)+$DA180</f>
        <v/>
      </c>
      <c r="DC180" s="55">
        <f>$DC179+$DA180</f>
        <v/>
      </c>
      <c r="DD180" s="55">
        <f>SUMIFS(tblPlant[Recovered_oz],tblPlant[Date],$A180)</f>
        <v/>
      </c>
      <c r="DE180" s="55">
        <f>IF($B180=$B179,$DE179,0)+$DD180</f>
        <v/>
      </c>
      <c r="DF180" s="55">
        <f>$DF179+$DD180</f>
        <v/>
      </c>
      <c r="DG180" s="55">
        <f>SUMIFS(tblPlant[Milled_t],tblPlant[Date],$A180,tblPlant[Head_Grade_gpt],"&lt;&gt;")</f>
        <v/>
      </c>
      <c r="DH180" s="55">
        <f>IF($B180=$B179,$DH179,0)+$DG180</f>
        <v/>
      </c>
      <c r="DI180" s="55">
        <f>$DI179+$DG180</f>
        <v/>
      </c>
      <c r="DJ180" s="55">
        <f>SUMIFS(tblPlant[Milled_t],tblPlant[Date],$A180,tblPlant[Tails_Grade_gpt],"&lt;&gt;")</f>
        <v/>
      </c>
      <c r="DK180" s="55">
        <f>IF($B180=$B179,$DK179,0)+$DJ180</f>
        <v/>
      </c>
      <c r="DL180" s="55">
        <f>$DL179+$DJ180</f>
        <v/>
      </c>
      <c r="DM180" s="55">
        <f>SUMIFS(tblPlant[Feed_oz],tblPlant[Date],$A180,tblPlant[Tails_Grade_gpt],"&lt;&gt;")</f>
        <v/>
      </c>
      <c r="DN180" s="55">
        <f>IF($B180=$B179,$DN179,0)+$DM180</f>
        <v/>
      </c>
      <c r="DO180" s="55">
        <f>$DO179+$DM180</f>
        <v/>
      </c>
      <c r="DP180" s="55">
        <f>SUMIFS(tblPlant[Milled_t],tblPlant[Date],$A180,tblPlant[Mill_Run_h],"&lt;&gt;")</f>
        <v/>
      </c>
      <c r="DQ180" s="55">
        <f>IF($B180=$B179,$DQ179,0)+$DP180</f>
        <v/>
      </c>
      <c r="DR180" s="55">
        <f>$DR179+$DP180</f>
        <v/>
      </c>
      <c r="DS180" s="56">
        <f>IFERROR(IF(($DG180)&gt;0,($CX180*cfg_TroyOz)/($DG180),""),"")</f>
        <v/>
      </c>
      <c r="DT180" s="56">
        <f>IFERROR(IF(($DH180)&gt;0,($CY180*cfg_TroyOz)/($DH180),""),"")</f>
        <v/>
      </c>
      <c r="DU180" s="56">
        <f>IFERROR(IF(($DI180)&gt;0,($CZ180*cfg_TroyOz)/($DI180),""),"")</f>
        <v/>
      </c>
      <c r="DV180" s="56">
        <f>IFERROR(IF(($DJ180)&gt;0,($DA180*cfg_TroyOz)/($DJ180),""),"")</f>
        <v/>
      </c>
      <c r="DW180" s="56">
        <f>IFERROR(IF(($DK180)&gt;0,($DB180*cfg_TroyOz)/($DK180),""),"")</f>
        <v/>
      </c>
      <c r="DX180" s="56">
        <f>IFERROR(IF(($DL180)&gt;0,($DC180*cfg_TroyOz)/($DL180),""),"")</f>
        <v/>
      </c>
      <c r="DY180" s="67">
        <f>IFERROR(IF(($DM180)&gt;0,($DD180)/($DM180),""),"")</f>
        <v/>
      </c>
      <c r="DZ180" s="67">
        <f>IFERROR(IF(($DN180)&gt;0,($DE180)/($DN180),""),"")</f>
        <v/>
      </c>
      <c r="EA180" s="67">
        <f>IFERROR(IF(($DO180)&gt;0,($DF180)/($DO180),""),"")</f>
        <v/>
      </c>
      <c r="EB180" s="55">
        <f>SUMIFS(tblPlant[Gravity_Gold_oz],tblPlant[Date],$A180)</f>
        <v/>
      </c>
      <c r="EC180" s="55">
        <f>IF($B180=$B179,$EC179,0)+$EB180</f>
        <v/>
      </c>
      <c r="ED180" s="55">
        <f>$ED179+$EB180</f>
        <v/>
      </c>
      <c r="EE180" s="67">
        <f>IFERROR(IF(($DD180)&gt;0,($EB180)/($DD180),""),"")</f>
        <v/>
      </c>
      <c r="EF180" s="67">
        <f>IFERROR(IF(($DE180)&gt;0,($EC180)/($DE180),""),"")</f>
        <v/>
      </c>
      <c r="EG180" s="67">
        <f>IFERROR(IF(($DF180)&gt;0,($ED180)/($DF180),""),"")</f>
        <v/>
      </c>
      <c r="EH180" s="55">
        <f>SUMIFS(tblPlant[Gold_Poured_oz],tblPlant[Date],$A180)</f>
        <v/>
      </c>
      <c r="EI180" s="55">
        <f>IF($B180=$B179,$EI179,0)+$EH180</f>
        <v/>
      </c>
      <c r="EJ180" s="55">
        <f>$EJ179+$EH180</f>
        <v/>
      </c>
      <c r="EK180" s="57">
        <f>SUMIFS(tblPlant[Mill_Run_h],tblPlant[Date],$A180)</f>
        <v/>
      </c>
      <c r="EL180" s="57">
        <f>IF($B180=$B179,$EL179,0)+$EK180</f>
        <v/>
      </c>
      <c r="EM180" s="57">
        <f>$EM179+$EK180</f>
        <v/>
      </c>
      <c r="EN180" s="57">
        <f>SUMIFS(tblPlant[Mill_Planned_Maint_h],tblPlant[Date],$A180)</f>
        <v/>
      </c>
      <c r="EO180" s="57">
        <f>IF($B180=$B179,$EO179,0)+$EN180</f>
        <v/>
      </c>
      <c r="EP180" s="57">
        <f>$EP179+$EN180</f>
        <v/>
      </c>
      <c r="EQ180" s="57">
        <f>SUMIFS(tblPlant[Mill_Unplanned_Down_h],tblPlant[Date],$A180)</f>
        <v/>
      </c>
      <c r="ER180" s="57">
        <f>IF($B180=$B179,$ER179,0)+$EQ180</f>
        <v/>
      </c>
      <c r="ES180" s="57">
        <f>$ES179+$EQ180</f>
        <v/>
      </c>
      <c r="ET180" s="57">
        <f>IF(COUNTIFS(tblPlant[Date],$A180,tblPlant[Mill_Run_h],"&lt;&gt;")+COUNTIFS(tblPlant[Date],$A180,tblPlant[Mill_Planned_Maint_h],"&lt;&gt;")+COUNTIFS(tblPlant[Date],$A180,tblPlant[Mill_Unplanned_Down_h],"&lt;&gt;")&gt;0,cfg_HoursPerDay,0)</f>
        <v/>
      </c>
      <c r="EU180" s="57">
        <f>IF($B180=$B179,$EU179,0)+$ET180</f>
        <v/>
      </c>
      <c r="EV180" s="57">
        <f>$EV179+$ET180</f>
        <v/>
      </c>
      <c r="EW180" s="57">
        <f>SUMIFS(tblPlant[Crusher_Run_h],tblPlant[Date],$A180)</f>
        <v/>
      </c>
      <c r="EX180" s="57">
        <f>IF($B180=$B179,$EX179,0)+$EW180</f>
        <v/>
      </c>
      <c r="EY180" s="57">
        <f>$EY179+$EW180</f>
        <v/>
      </c>
      <c r="EZ180" s="55">
        <f>IFERROR(IF(($EK180)&gt;0,($DP180)/($EK180),""),"")</f>
        <v/>
      </c>
      <c r="FA180" s="55">
        <f>IFERROR(IF(($EL180)&gt;0,($DQ180)/($EL180),""),"")</f>
        <v/>
      </c>
      <c r="FB180" s="55">
        <f>IFERROR(IF(($EM180)&gt;0,($DR180)/($EM180),""),"")</f>
        <v/>
      </c>
      <c r="FC180" s="67">
        <f>IFERROR(IF(($ET180)&gt;0,($ET180-$EN180-$EQ180)/($ET180),""),"")</f>
        <v/>
      </c>
      <c r="FD180" s="67">
        <f>IFERROR(IF(($EU180)&gt;0,($EU180-$EO180-$ER180)/($EU180),""),"")</f>
        <v/>
      </c>
      <c r="FE180" s="67">
        <f>IFERROR(IF(($EV180)&gt;0,($EV180-$EP180-$ES180)/($EV180),""),"")</f>
        <v/>
      </c>
      <c r="FF180" s="67">
        <f>IFERROR(IF(($ET180-$EN180-$EQ180)&gt;0,($EK180)/($ET180-$EN180-$EQ180),""),"")</f>
        <v/>
      </c>
      <c r="FG180" s="67">
        <f>IFERROR(IF(($EU180-$EO180-$ER180)&gt;0,($EL180)/($EU180-$EO180-$ER180),""),"")</f>
        <v/>
      </c>
      <c r="FH180" s="67">
        <f>IFERROR(IF(($EV180-$EP180-$ES180)&gt;0,($EM180)/($EV180-$EP180-$ES180),""),"")</f>
        <v/>
      </c>
      <c r="FI180" s="55">
        <f>SUMIFS(tblPlant[Cyanide_kg],tblPlant[Date],$A180)</f>
        <v/>
      </c>
      <c r="FJ180" s="55">
        <f>IF($B180=$B179,$FJ179,0)+$FI180</f>
        <v/>
      </c>
      <c r="FK180" s="55">
        <f>$FK179+$FI180</f>
        <v/>
      </c>
      <c r="FL180" s="55">
        <f>SUMIFS(tblPlant[Lime_kg],tblPlant[Date],$A180)</f>
        <v/>
      </c>
      <c r="FM180" s="55">
        <f>IF($B180=$B179,$FM179,0)+$FL180</f>
        <v/>
      </c>
      <c r="FN180" s="55">
        <f>$FN179+$FL180</f>
        <v/>
      </c>
      <c r="FO180" s="55">
        <f>SUMIFS(tblPlant[Grinding_Media_kg],tblPlant[Date],$A180)</f>
        <v/>
      </c>
      <c r="FP180" s="55">
        <f>IF($B180=$B179,$FP179,0)+$FO180</f>
        <v/>
      </c>
      <c r="FQ180" s="55">
        <f>$FQ179+$FO180</f>
        <v/>
      </c>
      <c r="FR180" s="55">
        <f>SUMIFS(tblPlant[Power_kWh],tblPlant[Date],$A180)</f>
        <v/>
      </c>
      <c r="FS180" s="55">
        <f>IF($B180=$B179,$FS179,0)+$FR180</f>
        <v/>
      </c>
      <c r="FT180" s="55">
        <f>$FT179+$FR180</f>
        <v/>
      </c>
      <c r="FU180" s="55">
        <f>SUMIFS(tblPlant[Raw_Water_m3],tblPlant[Date],$A180)</f>
        <v/>
      </c>
      <c r="FV180" s="55">
        <f>IF($B180=$B179,$FV179,0)+$FU180</f>
        <v/>
      </c>
      <c r="FW180" s="55">
        <f>$FW179+$FU180</f>
        <v/>
      </c>
      <c r="FX180" s="56">
        <f>IFERROR(IF(($CU180)&gt;0,($FI180)/($CU180),""),"")</f>
        <v/>
      </c>
      <c r="FY180" s="56">
        <f>IFERROR(IF(($CV180)&gt;0,($FJ180)/($CV180),""),"")</f>
        <v/>
      </c>
      <c r="FZ180" s="56">
        <f>IFERROR(IF(($CW180)&gt;0,($FK180)/($CW180),""),"")</f>
        <v/>
      </c>
      <c r="GA180" s="56">
        <f>IFERROR(IF(($CU180)&gt;0,($FL180)/($CU180),""),"")</f>
        <v/>
      </c>
      <c r="GB180" s="56">
        <f>IFERROR(IF(($CV180)&gt;0,($FM180)/($CV180),""),"")</f>
        <v/>
      </c>
      <c r="GC180" s="56">
        <f>IFERROR(IF(($CW180)&gt;0,($FN180)/($CW180),""),"")</f>
        <v/>
      </c>
      <c r="GD180" s="56">
        <f>IFERROR(IF(($CU180)&gt;0,($FO180)/($CU180),""),"")</f>
        <v/>
      </c>
      <c r="GE180" s="56">
        <f>IFERROR(IF(($CV180)&gt;0,($FP180)/($CV180),""),"")</f>
        <v/>
      </c>
      <c r="GF180" s="56">
        <f>IFERROR(IF(($CW180)&gt;0,($FQ180)/($CW180),""),"")</f>
        <v/>
      </c>
      <c r="GG180" s="79">
        <f>IFERROR(IF(($CU180)&gt;0,($FR180)/($CU180),""),"")</f>
        <v/>
      </c>
      <c r="GH180" s="79">
        <f>IFERROR(IF(($CV180)&gt;0,($FS180)/($CV180),""),"")</f>
        <v/>
      </c>
      <c r="GI180" s="79">
        <f>IFERROR(IF(($CW180)&gt;0,($FT180)/($CW180),""),"")</f>
        <v/>
      </c>
      <c r="GJ180" s="56">
        <f>IFERROR(IF(($CU180)&gt;0,($FU180)/($CU180),""),"")</f>
        <v/>
      </c>
      <c r="GK180" s="56">
        <f>IFERROR(IF(($CV180)&gt;0,($FV180)/($CV180),""),"")</f>
        <v/>
      </c>
      <c r="GL180" s="56">
        <f>IFERROR(IF(($CW180)&gt;0,($FW180)/($CW180),""),"")</f>
        <v/>
      </c>
      <c r="GM180" s="55">
        <f>IF(SUMIFS(tblPlant[GIC_oz],tblPlant[Date],$A180)&gt;0,SUMIFS(tblPlant[GIC_oz],tblPlant[Date],$A180),"")</f>
        <v/>
      </c>
      <c r="GN180" s="55">
        <f>SUMIFS(tblGold[Gold_oz],tblGold[Date],$A180,tblGold[Type],"Shipment")</f>
        <v/>
      </c>
      <c r="GO180" s="55">
        <f>IF($B180=$B179,$GO179,0)+$GN180</f>
        <v/>
      </c>
      <c r="GP180" s="55">
        <f>$GP179+$GN180</f>
        <v/>
      </c>
      <c r="GQ180" s="55">
        <f>SUMIFS(tblGold[Gold_oz],tblGold[Date],$A180,tblGold[Type],"Sale")</f>
        <v/>
      </c>
      <c r="GR180" s="55">
        <f>IF($B180=$B179,$GR179,0)+$GQ180</f>
        <v/>
      </c>
      <c r="GS180" s="55">
        <f>$GS179+$GQ180</f>
        <v/>
      </c>
      <c r="GT180" s="55">
        <f>SUMIFS(tblGold[Dore_kg],tblGold[Date],$A180,tblGold[Type],"Shipment")</f>
        <v/>
      </c>
      <c r="GU180" s="55">
        <f>IF($B180=$B179,$GU179,0)+$GT180</f>
        <v/>
      </c>
      <c r="GV180" s="55">
        <f>$GV179+$GT180</f>
        <v/>
      </c>
      <c r="GW180" s="57">
        <f>SUMIFS(tblSafety[Hours_Total],tblSafety[Date],$A180)</f>
        <v/>
      </c>
      <c r="GX180" s="57">
        <f>IF($B180=$B179,$GX179,0)+$GW180</f>
        <v/>
      </c>
      <c r="GY180" s="57">
        <f>$GY179+$GW180</f>
        <v/>
      </c>
      <c r="GZ180" s="62">
        <f>SUMIFS(tblSafety[Fatality],tblSafety[Date],$A180)</f>
        <v/>
      </c>
      <c r="HA180" s="62">
        <f>IF($B180=$B179,$HA179,0)+$GZ180</f>
        <v/>
      </c>
      <c r="HB180" s="62">
        <f>$HB179+$GZ180</f>
        <v/>
      </c>
      <c r="HC180" s="62">
        <f>SUMIFS(tblSafety[LTI],tblSafety[Date],$A180)</f>
        <v/>
      </c>
      <c r="HD180" s="62">
        <f>IF($B180=$B179,$HD179,0)+$HC180</f>
        <v/>
      </c>
      <c r="HE180" s="62">
        <f>$HE179+$HC180</f>
        <v/>
      </c>
      <c r="HF180" s="62">
        <f>SUMIFS(tblSafety[RWI],tblSafety[Date],$A180)</f>
        <v/>
      </c>
      <c r="HG180" s="62">
        <f>IF($B180=$B179,$HG179,0)+$HF180</f>
        <v/>
      </c>
      <c r="HH180" s="62">
        <f>$HH179+$HF180</f>
        <v/>
      </c>
      <c r="HI180" s="62">
        <f>SUMIFS(tblSafety[MTI],tblSafety[Date],$A180)</f>
        <v/>
      </c>
      <c r="HJ180" s="62">
        <f>IF($B180=$B179,$HJ179,0)+$HI180</f>
        <v/>
      </c>
      <c r="HK180" s="62">
        <f>$HK179+$HI180</f>
        <v/>
      </c>
      <c r="HL180" s="62">
        <f>SUMIFS(tblSafety[FAI],tblSafety[Date],$A180)</f>
        <v/>
      </c>
      <c r="HM180" s="62">
        <f>IF($B180=$B179,$HM179,0)+$HL180</f>
        <v/>
      </c>
      <c r="HN180" s="62">
        <f>$HN179+$HL180</f>
        <v/>
      </c>
      <c r="HO180" s="62">
        <f>SUMIFS(tblSafety[Recordables],tblSafety[Date],$A180)</f>
        <v/>
      </c>
      <c r="HP180" s="62">
        <f>IF($B180=$B179,$HP179,0)+$HO180</f>
        <v/>
      </c>
      <c r="HQ180" s="62">
        <f>$HQ179+$HO180</f>
        <v/>
      </c>
      <c r="HR180" s="62">
        <f>SUMIFS(tblSafety[Near_Miss],tblSafety[Date],$A180)</f>
        <v/>
      </c>
      <c r="HS180" s="62">
        <f>IF($B180=$B179,$HS179,0)+$HR180</f>
        <v/>
      </c>
      <c r="HT180" s="62">
        <f>$HT179+$HR180</f>
        <v/>
      </c>
      <c r="HU180" s="62">
        <f>SUMIFS(tblSafety[Hazard_Reports],tblSafety[Date],$A180)</f>
        <v/>
      </c>
      <c r="HV180" s="62">
        <f>IF($B180=$B179,$HV179,0)+$HU180</f>
        <v/>
      </c>
      <c r="HW180" s="62">
        <f>$HW179+$HU180</f>
        <v/>
      </c>
      <c r="HX180" s="62">
        <f>SUMIFS(tblSafety[HPI],tblSafety[Date],$A180)</f>
        <v/>
      </c>
      <c r="HY180" s="62">
        <f>IF($B180=$B179,$HY179,0)+$HX180</f>
        <v/>
      </c>
      <c r="HZ180" s="62">
        <f>$HZ179+$HX180</f>
        <v/>
      </c>
      <c r="IA180" s="62">
        <f>SUMIFS(tblSafety[Env_Incidents],tblSafety[Date],$A180)</f>
        <v/>
      </c>
      <c r="IB180" s="62">
        <f>IF($B180=$B179,$IB179,0)+$IA180</f>
        <v/>
      </c>
      <c r="IC180" s="62">
        <f>$IC179+$IA180</f>
        <v/>
      </c>
      <c r="ID180" s="62">
        <f>SUMIFS(tblSafety[Community_Incidents],tblSafety[Date],$A180)</f>
        <v/>
      </c>
      <c r="IE180" s="62">
        <f>IF($B180=$B179,$IE179,0)+$ID180</f>
        <v/>
      </c>
      <c r="IF180" s="62">
        <f>$IF179+$ID180</f>
        <v/>
      </c>
      <c r="IG180" s="62">
        <f>SUMIFS(tblSafety[Vehicle_Incidents],tblSafety[Date],$A180)</f>
        <v/>
      </c>
      <c r="IH180" s="62">
        <f>IF($B180=$B179,$IH179,0)+$IG180</f>
        <v/>
      </c>
      <c r="II180" s="62">
        <f>$II179+$IG180</f>
        <v/>
      </c>
      <c r="IJ180" s="62">
        <f>SUMIFS(tblSafety[Toolbox_Talks],tblSafety[Date],$A180)</f>
        <v/>
      </c>
      <c r="IK180" s="62">
        <f>IF($B180=$B179,$IK179,0)+$IJ180</f>
        <v/>
      </c>
      <c r="IL180" s="62">
        <f>$IL179+$IJ180</f>
        <v/>
      </c>
      <c r="IM180" s="62">
        <f>SUMIFS(tblSafety[Inspections],tblSafety[Date],$A180)</f>
        <v/>
      </c>
      <c r="IN180" s="62">
        <f>IF($B180=$B179,$IN179,0)+$IM180</f>
        <v/>
      </c>
      <c r="IO180" s="62">
        <f>$IO179+$IM180</f>
        <v/>
      </c>
      <c r="IP180" s="56">
        <f>IFERROR((SUMIFS(tblSafety[Recordables],tblSafety[Date],"&gt;="&amp;EDATE($E180,-12),tblSafety[Date],"&lt;="&amp;$A180)+SUMIFS(tblSafetyHistory[Recordables],tblSafetyHistory[Month],"&gt;="&amp;EDATE($E180,-12),tblSafetyHistory[Month],"&lt;"&amp;$E180,tblSafetyHistory[Use],1))/(SUMIFS(tblSafety[Hours_Total],tblSafety[Date],"&gt;="&amp;EDATE($E180,-12),tblSafety[Date],"&lt;="&amp;$A180)+SUMIFS(tblSafetyHistory[Hours_Total],tblSafetyHistory[Month],"&gt;="&amp;EDATE($E180,-12),tblSafetyHistory[Month],"&lt;"&amp;$E180,tblSafetyHistory[Use],1))*cfg_RateBasisHours,"")</f>
        <v/>
      </c>
      <c r="IQ180" s="56">
        <f>IFERROR((SUMIFS(tblSafety[LTI],tblSafety[Date],"&gt;="&amp;EDATE($E180,-12),tblSafety[Date],"&lt;="&amp;$A180)+SUMIFS(tblSafetyHistory[LTI],tblSafetyHistory[Month],"&gt;="&amp;EDATE($E180,-12),tblSafetyHistory[Month],"&lt;"&amp;$E180,tblSafetyHistory[Use],1))/(SUMIFS(tblSafety[Hours_Total],tblSafety[Date],"&gt;="&amp;EDATE($E180,-12),tblSafety[Date],"&lt;="&amp;$A180)+SUMIFS(tblSafetyHistory[Hours_Total],tblSafetyHistory[Month],"&gt;="&amp;EDATE($E180,-12),tblSafetyHistory[Month],"&lt;"&amp;$E180,tblSafetyHistory[Use],1))*cfg_RateBasisHours,"")</f>
        <v/>
      </c>
      <c r="IR180" s="62">
        <f>IF(MAX(N(cfg_PriorLTIDate),_xlfn.MAXIFS(tblSafety[Date],tblSafety[LTI],"&gt;0",tblSafety[Date],"&lt;="&amp;$A180))=0,"",$A180-MAX(N(cfg_PriorLTIDate),_xlfn.MAXIFS(tblSafety[Date],tblSafety[LTI],"&gt;0",tblSafety[Date],"&lt;="&amp;$A180)))</f>
        <v/>
      </c>
      <c r="IS180" s="55">
        <f>SUMIFS(tblBudget[Ore_Mined_t],tblBudget[Month],$E180)</f>
        <v/>
      </c>
      <c r="IT180" s="55">
        <f>$IS180*$C180/$D180</f>
        <v/>
      </c>
      <c r="IU180" s="55">
        <f>SUMIFS(tblBudget[Ore_Mined_t],tblBudget[Month],"&lt;"&amp;$E180)+$IT180</f>
        <v/>
      </c>
      <c r="IV180" s="55">
        <f>SUMIFS(tblBudget[Ore_oz],tblBudget[Month],$E180)</f>
        <v/>
      </c>
      <c r="IW180" s="55">
        <f>$IV180*$C180/$D180</f>
        <v/>
      </c>
      <c r="IX180" s="55">
        <f>SUMIFS(tblBudget[Ore_oz],tblBudget[Month],"&lt;"&amp;$E180)+$IW180</f>
        <v/>
      </c>
      <c r="IY180" s="55">
        <f>SUMIFS(tblBudget[Ore_Mined_t],tblBudget[Month],$E180)</f>
        <v/>
      </c>
      <c r="IZ180" s="55">
        <f>$IY180*$C180/$D180</f>
        <v/>
      </c>
      <c r="JA180" s="55">
        <f>SUMIFS(tblBudget[Ore_Mined_t],tblBudget[Month],"&lt;"&amp;$E180)+$IZ180</f>
        <v/>
      </c>
      <c r="JB180" s="56">
        <f>IFERROR(IF(($IY180)&gt;0,($IV180*cfg_TroyOz)/($IY180),""),"")</f>
        <v/>
      </c>
      <c r="JC180" s="56">
        <f>IFERROR(IF(($IZ180)&gt;0,($IW180*cfg_TroyOz)/($IZ180),""),"")</f>
        <v/>
      </c>
      <c r="JD180" s="56">
        <f>IFERROR(IF(($JA180)&gt;0,($IX180*cfg_TroyOz)/($JA180),""),"")</f>
        <v/>
      </c>
      <c r="JE180" s="55">
        <f>SUMIFS(tblBudget[Waste_t],tblBudget[Month],$E180)</f>
        <v/>
      </c>
      <c r="JF180" s="55">
        <f>$JE180*$C180/$D180</f>
        <v/>
      </c>
      <c r="JG180" s="55">
        <f>SUMIFS(tblBudget[Waste_t],tblBudget[Month],"&lt;"&amp;$E180)+$JF180</f>
        <v/>
      </c>
      <c r="JH180" s="55">
        <f>SUMIFS(tblBudget[TMM_t],tblBudget[Month],$E180)</f>
        <v/>
      </c>
      <c r="JI180" s="55">
        <f>$JH180*$C180/$D180</f>
        <v/>
      </c>
      <c r="JJ180" s="55">
        <f>SUMIFS(tblBudget[TMM_t],tblBudget[Month],"&lt;"&amp;$E180)+$JI180</f>
        <v/>
      </c>
      <c r="JK180" s="56">
        <f>IFERROR(IF(($IS180)&gt;0,($JE180)/($IS180),""),"")</f>
        <v/>
      </c>
      <c r="JL180" s="56">
        <f>IFERROR(IF(($IT180)&gt;0,($JF180)/($IT180),""),"")</f>
        <v/>
      </c>
      <c r="JM180" s="56">
        <f>IFERROR(IF(($IU180)&gt;0,($JG180)/($IU180),""),"")</f>
        <v/>
      </c>
      <c r="JN180" s="55">
        <f>SUMIFS(tblBudget[Drill_m],tblBudget[Month],$E180)</f>
        <v/>
      </c>
      <c r="JO180" s="55">
        <f>$JN180*$C180/$D180</f>
        <v/>
      </c>
      <c r="JP180" s="55">
        <f>SUMIFS(tblBudget[Drill_m],tblBudget[Month],"&lt;"&amp;$E180)+$JO180</f>
        <v/>
      </c>
      <c r="JQ180" s="55">
        <f>SUMIFS(tblBudget[Diesel_L],tblBudget[Month],$E180)</f>
        <v/>
      </c>
      <c r="JR180" s="55">
        <f>$JQ180*$C180/$D180</f>
        <v/>
      </c>
      <c r="JS180" s="55">
        <f>SUMIFS(tblBudget[Diesel_L],tblBudget[Month],"&lt;"&amp;$E180)+$JR180</f>
        <v/>
      </c>
      <c r="JT180" s="55">
        <f>SUMIFS(tblBudget[Milled_t],tblBudget[Month],$E180)</f>
        <v/>
      </c>
      <c r="JU180" s="55">
        <f>$JT180*$C180/$D180</f>
        <v/>
      </c>
      <c r="JV180" s="55">
        <f>SUMIFS(tblBudget[Milled_t],tblBudget[Month],"&lt;"&amp;$E180)+$JU180</f>
        <v/>
      </c>
      <c r="JW180" s="55">
        <f>SUMIFS(tblBudget[Feed_oz],tblBudget[Month],$E180)</f>
        <v/>
      </c>
      <c r="JX180" s="55">
        <f>$JW180*$C180/$D180</f>
        <v/>
      </c>
      <c r="JY180" s="55">
        <f>SUMIFS(tblBudget[Feed_oz],tblBudget[Month],"&lt;"&amp;$E180)+$JX180</f>
        <v/>
      </c>
      <c r="JZ180" s="55">
        <f>SUMIFS(tblBudget[Recovered_oz],tblBudget[Month],$E180)</f>
        <v/>
      </c>
      <c r="KA180" s="55">
        <f>$JZ180*$C180/$D180</f>
        <v/>
      </c>
      <c r="KB180" s="55">
        <f>SUMIFS(tblBudget[Recovered_oz],tblBudget[Month],"&lt;"&amp;$E180)+$KA180</f>
        <v/>
      </c>
      <c r="KC180" s="55">
        <f>SUMIFS(tblBudget[Milled_t],tblBudget[Month],$E180)</f>
        <v/>
      </c>
      <c r="KD180" s="55">
        <f>$KC180*$C180/$D180</f>
        <v/>
      </c>
      <c r="KE180" s="55">
        <f>SUMIFS(tblBudget[Milled_t],tblBudget[Month],"&lt;"&amp;$E180)+$KD180</f>
        <v/>
      </c>
      <c r="KF180" s="55">
        <f>SUMIFS(tblBudget[Feed_oz],tblBudget[Month],$E180)</f>
        <v/>
      </c>
      <c r="KG180" s="55">
        <f>$KF180*$C180/$D180</f>
        <v/>
      </c>
      <c r="KH180" s="55">
        <f>SUMIFS(tblBudget[Feed_oz],tblBudget[Month],"&lt;"&amp;$E180)+$KG180</f>
        <v/>
      </c>
      <c r="KI180" s="56">
        <f>IFERROR(IF(($KC180)&gt;0,($JW180*cfg_TroyOz)/($KC180),""),"")</f>
        <v/>
      </c>
      <c r="KJ180" s="56">
        <f>IFERROR(IF(($KD180)&gt;0,($JX180*cfg_TroyOz)/($KD180),""),"")</f>
        <v/>
      </c>
      <c r="KK180" s="56">
        <f>IFERROR(IF(($KE180)&gt;0,($JY180*cfg_TroyOz)/($KE180),""),"")</f>
        <v/>
      </c>
      <c r="KL180" s="67">
        <f>IFERROR(IF(($KF180)&gt;0,($JZ180)/($KF180),""),"")</f>
        <v/>
      </c>
      <c r="KM180" s="67">
        <f>IFERROR(IF(($KG180)&gt;0,($KA180)/($KG180),""),"")</f>
        <v/>
      </c>
      <c r="KN180" s="67">
        <f>IFERROR(IF(($KH180)&gt;0,($KB180)/($KH180),""),"")</f>
        <v/>
      </c>
      <c r="KO180" s="55">
        <f>SUMIFS(tblBudget[Gold_Poured_oz],tblBudget[Month],$E180)</f>
        <v/>
      </c>
      <c r="KP180" s="55">
        <f>$KO180*$C180/$D180</f>
        <v/>
      </c>
      <c r="KQ180" s="55">
        <f>SUMIFS(tblBudget[Gold_Poured_oz],tblBudget[Month],"&lt;"&amp;$E180)+$KP180</f>
        <v/>
      </c>
      <c r="KR180" s="57">
        <f>SUMIFS(tblBudget[Hours_Worked],tblBudget[Month],$E180)</f>
        <v/>
      </c>
      <c r="KS180" s="57">
        <f>$KR180*$C180/$D180</f>
        <v/>
      </c>
      <c r="KT180" s="57">
        <f>SUMIFS(tblBudget[Hours_Worked],tblBudget[Month],"&lt;"&amp;$E180)+$KS180</f>
        <v/>
      </c>
    </row>
    <row r="181">
      <c r="A181" s="54" t="n">
        <v>46202</v>
      </c>
      <c r="B181">
        <f>MONTH($A181)</f>
        <v/>
      </c>
      <c r="C181">
        <f>DAY($A181)</f>
        <v/>
      </c>
      <c r="D181">
        <f>DAY(EOMONTH($A181,0))</f>
        <v/>
      </c>
      <c r="E181" s="54">
        <f>DATE(YEAR($A181),MONTH($A181),1)</f>
        <v/>
      </c>
      <c r="F181" s="55">
        <f>SUMIFS(tblMovement[Tonnes_t],tblMovement[Date],$A181,tblMovement[Is_Ore],1,tblMovement[Source_Type],"Pit")</f>
        <v/>
      </c>
      <c r="G181" s="55">
        <f>IF($B181=$B180,$G180,0)+$F181</f>
        <v/>
      </c>
      <c r="H181" s="55">
        <f>$H180+$F181</f>
        <v/>
      </c>
      <c r="I181" s="55">
        <f>SUMIFS(tblMovement[Ore_oz],tblMovement[Date],$A181,tblMovement[Source_Type],"Pit")</f>
        <v/>
      </c>
      <c r="J181" s="55">
        <f>IF($B181=$B180,$J180,0)+$I181</f>
        <v/>
      </c>
      <c r="K181" s="55">
        <f>$K180+$I181</f>
        <v/>
      </c>
      <c r="L181" s="55">
        <f>SUMIFS(tblMovement[Tonnes_t],tblMovement[Date],$A181,tblMovement[Is_Ore],1,tblMovement[Source_Type],"Pit",tblMovement[Grade_gpt],"&lt;&gt;")</f>
        <v/>
      </c>
      <c r="M181" s="55">
        <f>IF($B181=$B180,$M180,0)+$L181</f>
        <v/>
      </c>
      <c r="N181" s="55">
        <f>$N180+$L181</f>
        <v/>
      </c>
      <c r="O181" s="56">
        <f>IFERROR(IF(($L181)&gt;0,($I181*cfg_TroyOz)/($L181),""),"")</f>
        <v/>
      </c>
      <c r="P181" s="56">
        <f>IFERROR(IF(($M181)&gt;0,($J181*cfg_TroyOz)/($M181),""),"")</f>
        <v/>
      </c>
      <c r="Q181" s="56">
        <f>IFERROR(IF(($N181)&gt;0,($K181*cfg_TroyOz)/($N181),""),"")</f>
        <v/>
      </c>
      <c r="R181" s="55">
        <f>$F181-$L181</f>
        <v/>
      </c>
      <c r="S181" s="55">
        <f>IF($B181=$B180,$S180,0)+$R181</f>
        <v/>
      </c>
      <c r="T181" s="55">
        <f>$T180+$R181</f>
        <v/>
      </c>
      <c r="U181" s="55">
        <f>SUMIFS(tblMovement[Tonnes_t],tblMovement[Date],$A181,tblMovement[Is_Ore],0,tblMovement[Source_Type],"Pit")</f>
        <v/>
      </c>
      <c r="V181" s="55">
        <f>IF($B181=$B180,$V180,0)+$U181</f>
        <v/>
      </c>
      <c r="W181" s="55">
        <f>$W180+$U181</f>
        <v/>
      </c>
      <c r="X181" s="55">
        <f>$F181+$U181</f>
        <v/>
      </c>
      <c r="Y181" s="55">
        <f>IF($B181=$B180,$Y180,0)+$X181</f>
        <v/>
      </c>
      <c r="Z181" s="55">
        <f>$Z180+$X181</f>
        <v/>
      </c>
      <c r="AA181" s="56">
        <f>IFERROR(IF(($F181)&gt;0,($U181)/($F181),""),"")</f>
        <v/>
      </c>
      <c r="AB181" s="56">
        <f>IFERROR(IF(($G181)&gt;0,($V181)/($G181),""),"")</f>
        <v/>
      </c>
      <c r="AC181" s="56">
        <f>IFERROR(IF(($H181)&gt;0,($W181)/($H181),""),"")</f>
        <v/>
      </c>
      <c r="AD181" s="55">
        <f>SUMIFS(tblMovement[Tonnes_t],tblMovement[Date],$A181,tblMovement[Source_Type],"Stockpile")</f>
        <v/>
      </c>
      <c r="AE181" s="55">
        <f>IF($B181=$B180,$AE180,0)+$AD181</f>
        <v/>
      </c>
      <c r="AF181" s="55">
        <f>$AF180+$AD181</f>
        <v/>
      </c>
      <c r="AG181" s="55">
        <f>SUMIFS(tblMovement[Tonnes_t],tblMovement[Date],$A181)</f>
        <v/>
      </c>
      <c r="AH181" s="55">
        <f>IF($B181=$B180,$AH180,0)+$AG181</f>
        <v/>
      </c>
      <c r="AI181" s="55">
        <f>$AI180+$AG181</f>
        <v/>
      </c>
      <c r="AJ181" s="55">
        <f>$AG181-$X181-$AD181</f>
        <v/>
      </c>
      <c r="AK181" s="55">
        <f>IF($B181=$B180,$AK180,0)+$AJ181</f>
        <v/>
      </c>
      <c r="AL181" s="55">
        <f>$AL180+$AJ181</f>
        <v/>
      </c>
      <c r="AM181" s="55">
        <f>SUMIFS(tblMiningDaily[Drill_m],tblMiningDaily[Date],$A181)</f>
        <v/>
      </c>
      <c r="AN181" s="55">
        <f>IF($B181=$B180,$AN180,0)+$AM181</f>
        <v/>
      </c>
      <c r="AO181" s="55">
        <f>$AO180+$AM181</f>
        <v/>
      </c>
      <c r="AP181" s="55">
        <f>SUMIFS(tblMiningDaily[GC_Drill_m],tblMiningDaily[Date],$A181)</f>
        <v/>
      </c>
      <c r="AQ181" s="55">
        <f>IF($B181=$B180,$AQ180,0)+$AP181</f>
        <v/>
      </c>
      <c r="AR181" s="55">
        <f>$AR180+$AP181</f>
        <v/>
      </c>
      <c r="AS181" s="55">
        <f>SUMIFS(tblMiningDaily[Blast_t],tblMiningDaily[Date],$A181)</f>
        <v/>
      </c>
      <c r="AT181" s="55">
        <f>IF($B181=$B180,$AT180,0)+$AS181</f>
        <v/>
      </c>
      <c r="AU181" s="55">
        <f>$AU180+$AS181</f>
        <v/>
      </c>
      <c r="AV181" s="55">
        <f>SUMIFS(tblMiningDaily[Explosives_kg],tblMiningDaily[Date],$A181)</f>
        <v/>
      </c>
      <c r="AW181" s="55">
        <f>IF($B181=$B180,$AW180,0)+$AV181</f>
        <v/>
      </c>
      <c r="AX181" s="55">
        <f>$AX180+$AV181</f>
        <v/>
      </c>
      <c r="AY181" s="56">
        <f>IFERROR(IF(($AS181)&gt;0,($AV181)/($AS181),""),"")</f>
        <v/>
      </c>
      <c r="AZ181" s="56">
        <f>IFERROR(IF(($AT181)&gt;0,($AW181)/($AT181),""),"")</f>
        <v/>
      </c>
      <c r="BA181" s="56">
        <f>IFERROR(IF(($AU181)&gt;0,($AX181)/($AU181),""),"")</f>
        <v/>
      </c>
      <c r="BB181" s="55">
        <f>SUMIFS(tblMiningDaily[Diesel_L],tblMiningDaily[Date],$A181)</f>
        <v/>
      </c>
      <c r="BC181" s="55">
        <f>IF($B181=$B180,$BC180,0)+$BB181</f>
        <v/>
      </c>
      <c r="BD181" s="55">
        <f>$BD180+$BB181</f>
        <v/>
      </c>
      <c r="BE181" s="55">
        <f>SUMIFS(tblMiningDaily[Dewatering_m3],tblMiningDaily[Date],$A181)</f>
        <v/>
      </c>
      <c r="BF181" s="55">
        <f>IF($B181=$B180,$BF180,0)+$BE181</f>
        <v/>
      </c>
      <c r="BG181" s="55">
        <f>$BG180+$BE181</f>
        <v/>
      </c>
      <c r="BH181" s="57">
        <f>SUMIFS(tblFleet[Calendar_h],tblFleet[Date],$A181,tblFleet[Equipment_Class],"Excavator")</f>
        <v/>
      </c>
      <c r="BI181" s="57">
        <f>IF($B181=$B180,$BI180,0)+$BH181</f>
        <v/>
      </c>
      <c r="BJ181" s="57">
        <f>$BJ180+$BH181</f>
        <v/>
      </c>
      <c r="BK181" s="57">
        <f>SUMIFS(tblFleet[Available_h],tblFleet[Date],$A181,tblFleet[Equipment_Class],"Excavator")</f>
        <v/>
      </c>
      <c r="BL181" s="57">
        <f>IF($B181=$B180,$BL180,0)+$BK181</f>
        <v/>
      </c>
      <c r="BM181" s="57">
        <f>$BM180+$BK181</f>
        <v/>
      </c>
      <c r="BN181" s="57">
        <f>SUMIFS(tblFleet[Operating_h],tblFleet[Date],$A181,tblFleet[Equipment_Class],"Excavator")</f>
        <v/>
      </c>
      <c r="BO181" s="57">
        <f>IF($B181=$B180,$BO180,0)+$BN181</f>
        <v/>
      </c>
      <c r="BP181" s="57">
        <f>$BP180+$BN181</f>
        <v/>
      </c>
      <c r="BQ181" s="67">
        <f>IFERROR(IF(($BH181)&gt;0,($BK181)/($BH181),""),"")</f>
        <v/>
      </c>
      <c r="BR181" s="67">
        <f>IFERROR(IF(($BI181)&gt;0,($BL181)/($BI181),""),"")</f>
        <v/>
      </c>
      <c r="BS181" s="67">
        <f>IFERROR(IF(($BJ181)&gt;0,($BM181)/($BJ181),""),"")</f>
        <v/>
      </c>
      <c r="BT181" s="67">
        <f>IFERROR(IF(($BK181)&gt;0,($BN181)/($BK181),""),"")</f>
        <v/>
      </c>
      <c r="BU181" s="67">
        <f>IFERROR(IF(($BL181)&gt;0,($BO181)/($BL181),""),"")</f>
        <v/>
      </c>
      <c r="BV181" s="67">
        <f>IFERROR(IF(($BM181)&gt;0,($BP181)/($BM181),""),"")</f>
        <v/>
      </c>
      <c r="BW181" s="57">
        <f>SUMIFS(tblFleet[Calendar_h],tblFleet[Date],$A181,tblFleet[Equipment_Class],"Haul Truck")</f>
        <v/>
      </c>
      <c r="BX181" s="57">
        <f>IF($B181=$B180,$BX180,0)+$BW181</f>
        <v/>
      </c>
      <c r="BY181" s="57">
        <f>$BY180+$BW181</f>
        <v/>
      </c>
      <c r="BZ181" s="57">
        <f>SUMIFS(tblFleet[Available_h],tblFleet[Date],$A181,tblFleet[Equipment_Class],"Haul Truck")</f>
        <v/>
      </c>
      <c r="CA181" s="57">
        <f>IF($B181=$B180,$CA180,0)+$BZ181</f>
        <v/>
      </c>
      <c r="CB181" s="57">
        <f>$CB180+$BZ181</f>
        <v/>
      </c>
      <c r="CC181" s="57">
        <f>SUMIFS(tblFleet[Operating_h],tblFleet[Date],$A181,tblFleet[Equipment_Class],"Haul Truck")</f>
        <v/>
      </c>
      <c r="CD181" s="57">
        <f>IF($B181=$B180,$CD180,0)+$CC181</f>
        <v/>
      </c>
      <c r="CE181" s="57">
        <f>$CE180+$CC181</f>
        <v/>
      </c>
      <c r="CF181" s="67">
        <f>IFERROR(IF(($BW181)&gt;0,($BZ181)/($BW181),""),"")</f>
        <v/>
      </c>
      <c r="CG181" s="67">
        <f>IFERROR(IF(($BX181)&gt;0,($CA181)/($BX181),""),"")</f>
        <v/>
      </c>
      <c r="CH181" s="67">
        <f>IFERROR(IF(($BY181)&gt;0,($CB181)/($BY181),""),"")</f>
        <v/>
      </c>
      <c r="CI181" s="67">
        <f>IFERROR(IF(($BZ181)&gt;0,($CC181)/($BZ181),""),"")</f>
        <v/>
      </c>
      <c r="CJ181" s="67">
        <f>IFERROR(IF(($CA181)&gt;0,($CD181)/($CA181),""),"")</f>
        <v/>
      </c>
      <c r="CK181" s="67">
        <f>IFERROR(IF(($CB181)&gt;0,($CE181)/($CB181),""),"")</f>
        <v/>
      </c>
      <c r="CL181" s="55">
        <f>IFERROR(IF(($BN181)&gt;0,($X181+$AD181)/($BN181),""),"")</f>
        <v/>
      </c>
      <c r="CM181" s="55">
        <f>IFERROR(IF(($BO181)&gt;0,($Y181+$AE181)/($BO181),""),"")</f>
        <v/>
      </c>
      <c r="CN181" s="55">
        <f>IFERROR(IF(($BP181)&gt;0,($Z181+$AF181)/($BP181),""),"")</f>
        <v/>
      </c>
      <c r="CO181" s="55">
        <f>IFERROR(IF(($CC181)&gt;0,($X181+$AD181)/($CC181),""),"")</f>
        <v/>
      </c>
      <c r="CP181" s="55">
        <f>IFERROR(IF(($CD181)&gt;0,($Y181+$AE181)/($CD181),""),"")</f>
        <v/>
      </c>
      <c r="CQ181" s="55">
        <f>IFERROR(IF(($CE181)&gt;0,($Z181+$AF181)/($CE181),""),"")</f>
        <v/>
      </c>
      <c r="CR181" s="55">
        <f>SUMIFS(tblPlant[Crushed_t],tblPlant[Date],$A181)</f>
        <v/>
      </c>
      <c r="CS181" s="55">
        <f>IF($B181=$B180,$CS180,0)+$CR181</f>
        <v/>
      </c>
      <c r="CT181" s="55">
        <f>$CT180+$CR181</f>
        <v/>
      </c>
      <c r="CU181" s="55">
        <f>SUMIFS(tblPlant[Milled_t],tblPlant[Date],$A181)</f>
        <v/>
      </c>
      <c r="CV181" s="55">
        <f>IF($B181=$B180,$CV180,0)+$CU181</f>
        <v/>
      </c>
      <c r="CW181" s="55">
        <f>$CW180+$CU181</f>
        <v/>
      </c>
      <c r="CX181" s="55">
        <f>SUMIFS(tblPlant[Feed_oz],tblPlant[Date],$A181)</f>
        <v/>
      </c>
      <c r="CY181" s="55">
        <f>IF($B181=$B180,$CY180,0)+$CX181</f>
        <v/>
      </c>
      <c r="CZ181" s="55">
        <f>$CZ180+$CX181</f>
        <v/>
      </c>
      <c r="DA181" s="55">
        <f>SUMIFS(tblPlant[Tails_oz],tblPlant[Date],$A181)</f>
        <v/>
      </c>
      <c r="DB181" s="55">
        <f>IF($B181=$B180,$DB180,0)+$DA181</f>
        <v/>
      </c>
      <c r="DC181" s="55">
        <f>$DC180+$DA181</f>
        <v/>
      </c>
      <c r="DD181" s="55">
        <f>SUMIFS(tblPlant[Recovered_oz],tblPlant[Date],$A181)</f>
        <v/>
      </c>
      <c r="DE181" s="55">
        <f>IF($B181=$B180,$DE180,0)+$DD181</f>
        <v/>
      </c>
      <c r="DF181" s="55">
        <f>$DF180+$DD181</f>
        <v/>
      </c>
      <c r="DG181" s="55">
        <f>SUMIFS(tblPlant[Milled_t],tblPlant[Date],$A181,tblPlant[Head_Grade_gpt],"&lt;&gt;")</f>
        <v/>
      </c>
      <c r="DH181" s="55">
        <f>IF($B181=$B180,$DH180,0)+$DG181</f>
        <v/>
      </c>
      <c r="DI181" s="55">
        <f>$DI180+$DG181</f>
        <v/>
      </c>
      <c r="DJ181" s="55">
        <f>SUMIFS(tblPlant[Milled_t],tblPlant[Date],$A181,tblPlant[Tails_Grade_gpt],"&lt;&gt;")</f>
        <v/>
      </c>
      <c r="DK181" s="55">
        <f>IF($B181=$B180,$DK180,0)+$DJ181</f>
        <v/>
      </c>
      <c r="DL181" s="55">
        <f>$DL180+$DJ181</f>
        <v/>
      </c>
      <c r="DM181" s="55">
        <f>SUMIFS(tblPlant[Feed_oz],tblPlant[Date],$A181,tblPlant[Tails_Grade_gpt],"&lt;&gt;")</f>
        <v/>
      </c>
      <c r="DN181" s="55">
        <f>IF($B181=$B180,$DN180,0)+$DM181</f>
        <v/>
      </c>
      <c r="DO181" s="55">
        <f>$DO180+$DM181</f>
        <v/>
      </c>
      <c r="DP181" s="55">
        <f>SUMIFS(tblPlant[Milled_t],tblPlant[Date],$A181,tblPlant[Mill_Run_h],"&lt;&gt;")</f>
        <v/>
      </c>
      <c r="DQ181" s="55">
        <f>IF($B181=$B180,$DQ180,0)+$DP181</f>
        <v/>
      </c>
      <c r="DR181" s="55">
        <f>$DR180+$DP181</f>
        <v/>
      </c>
      <c r="DS181" s="56">
        <f>IFERROR(IF(($DG181)&gt;0,($CX181*cfg_TroyOz)/($DG181),""),"")</f>
        <v/>
      </c>
      <c r="DT181" s="56">
        <f>IFERROR(IF(($DH181)&gt;0,($CY181*cfg_TroyOz)/($DH181),""),"")</f>
        <v/>
      </c>
      <c r="DU181" s="56">
        <f>IFERROR(IF(($DI181)&gt;0,($CZ181*cfg_TroyOz)/($DI181),""),"")</f>
        <v/>
      </c>
      <c r="DV181" s="56">
        <f>IFERROR(IF(($DJ181)&gt;0,($DA181*cfg_TroyOz)/($DJ181),""),"")</f>
        <v/>
      </c>
      <c r="DW181" s="56">
        <f>IFERROR(IF(($DK181)&gt;0,($DB181*cfg_TroyOz)/($DK181),""),"")</f>
        <v/>
      </c>
      <c r="DX181" s="56">
        <f>IFERROR(IF(($DL181)&gt;0,($DC181*cfg_TroyOz)/($DL181),""),"")</f>
        <v/>
      </c>
      <c r="DY181" s="67">
        <f>IFERROR(IF(($DM181)&gt;0,($DD181)/($DM181),""),"")</f>
        <v/>
      </c>
      <c r="DZ181" s="67">
        <f>IFERROR(IF(($DN181)&gt;0,($DE181)/($DN181),""),"")</f>
        <v/>
      </c>
      <c r="EA181" s="67">
        <f>IFERROR(IF(($DO181)&gt;0,($DF181)/($DO181),""),"")</f>
        <v/>
      </c>
      <c r="EB181" s="55">
        <f>SUMIFS(tblPlant[Gravity_Gold_oz],tblPlant[Date],$A181)</f>
        <v/>
      </c>
      <c r="EC181" s="55">
        <f>IF($B181=$B180,$EC180,0)+$EB181</f>
        <v/>
      </c>
      <c r="ED181" s="55">
        <f>$ED180+$EB181</f>
        <v/>
      </c>
      <c r="EE181" s="67">
        <f>IFERROR(IF(($DD181)&gt;0,($EB181)/($DD181),""),"")</f>
        <v/>
      </c>
      <c r="EF181" s="67">
        <f>IFERROR(IF(($DE181)&gt;0,($EC181)/($DE181),""),"")</f>
        <v/>
      </c>
      <c r="EG181" s="67">
        <f>IFERROR(IF(($DF181)&gt;0,($ED181)/($DF181),""),"")</f>
        <v/>
      </c>
      <c r="EH181" s="55">
        <f>SUMIFS(tblPlant[Gold_Poured_oz],tblPlant[Date],$A181)</f>
        <v/>
      </c>
      <c r="EI181" s="55">
        <f>IF($B181=$B180,$EI180,0)+$EH181</f>
        <v/>
      </c>
      <c r="EJ181" s="55">
        <f>$EJ180+$EH181</f>
        <v/>
      </c>
      <c r="EK181" s="57">
        <f>SUMIFS(tblPlant[Mill_Run_h],tblPlant[Date],$A181)</f>
        <v/>
      </c>
      <c r="EL181" s="57">
        <f>IF($B181=$B180,$EL180,0)+$EK181</f>
        <v/>
      </c>
      <c r="EM181" s="57">
        <f>$EM180+$EK181</f>
        <v/>
      </c>
      <c r="EN181" s="57">
        <f>SUMIFS(tblPlant[Mill_Planned_Maint_h],tblPlant[Date],$A181)</f>
        <v/>
      </c>
      <c r="EO181" s="57">
        <f>IF($B181=$B180,$EO180,0)+$EN181</f>
        <v/>
      </c>
      <c r="EP181" s="57">
        <f>$EP180+$EN181</f>
        <v/>
      </c>
      <c r="EQ181" s="57">
        <f>SUMIFS(tblPlant[Mill_Unplanned_Down_h],tblPlant[Date],$A181)</f>
        <v/>
      </c>
      <c r="ER181" s="57">
        <f>IF($B181=$B180,$ER180,0)+$EQ181</f>
        <v/>
      </c>
      <c r="ES181" s="57">
        <f>$ES180+$EQ181</f>
        <v/>
      </c>
      <c r="ET181" s="57">
        <f>IF(COUNTIFS(tblPlant[Date],$A181,tblPlant[Mill_Run_h],"&lt;&gt;")+COUNTIFS(tblPlant[Date],$A181,tblPlant[Mill_Planned_Maint_h],"&lt;&gt;")+COUNTIFS(tblPlant[Date],$A181,tblPlant[Mill_Unplanned_Down_h],"&lt;&gt;")&gt;0,cfg_HoursPerDay,0)</f>
        <v/>
      </c>
      <c r="EU181" s="57">
        <f>IF($B181=$B180,$EU180,0)+$ET181</f>
        <v/>
      </c>
      <c r="EV181" s="57">
        <f>$EV180+$ET181</f>
        <v/>
      </c>
      <c r="EW181" s="57">
        <f>SUMIFS(tblPlant[Crusher_Run_h],tblPlant[Date],$A181)</f>
        <v/>
      </c>
      <c r="EX181" s="57">
        <f>IF($B181=$B180,$EX180,0)+$EW181</f>
        <v/>
      </c>
      <c r="EY181" s="57">
        <f>$EY180+$EW181</f>
        <v/>
      </c>
      <c r="EZ181" s="55">
        <f>IFERROR(IF(($EK181)&gt;0,($DP181)/($EK181),""),"")</f>
        <v/>
      </c>
      <c r="FA181" s="55">
        <f>IFERROR(IF(($EL181)&gt;0,($DQ181)/($EL181),""),"")</f>
        <v/>
      </c>
      <c r="FB181" s="55">
        <f>IFERROR(IF(($EM181)&gt;0,($DR181)/($EM181),""),"")</f>
        <v/>
      </c>
      <c r="FC181" s="67">
        <f>IFERROR(IF(($ET181)&gt;0,($ET181-$EN181-$EQ181)/($ET181),""),"")</f>
        <v/>
      </c>
      <c r="FD181" s="67">
        <f>IFERROR(IF(($EU181)&gt;0,($EU181-$EO181-$ER181)/($EU181),""),"")</f>
        <v/>
      </c>
      <c r="FE181" s="67">
        <f>IFERROR(IF(($EV181)&gt;0,($EV181-$EP181-$ES181)/($EV181),""),"")</f>
        <v/>
      </c>
      <c r="FF181" s="67">
        <f>IFERROR(IF(($ET181-$EN181-$EQ181)&gt;0,($EK181)/($ET181-$EN181-$EQ181),""),"")</f>
        <v/>
      </c>
      <c r="FG181" s="67">
        <f>IFERROR(IF(($EU181-$EO181-$ER181)&gt;0,($EL181)/($EU181-$EO181-$ER181),""),"")</f>
        <v/>
      </c>
      <c r="FH181" s="67">
        <f>IFERROR(IF(($EV181-$EP181-$ES181)&gt;0,($EM181)/($EV181-$EP181-$ES181),""),"")</f>
        <v/>
      </c>
      <c r="FI181" s="55">
        <f>SUMIFS(tblPlant[Cyanide_kg],tblPlant[Date],$A181)</f>
        <v/>
      </c>
      <c r="FJ181" s="55">
        <f>IF($B181=$B180,$FJ180,0)+$FI181</f>
        <v/>
      </c>
      <c r="FK181" s="55">
        <f>$FK180+$FI181</f>
        <v/>
      </c>
      <c r="FL181" s="55">
        <f>SUMIFS(tblPlant[Lime_kg],tblPlant[Date],$A181)</f>
        <v/>
      </c>
      <c r="FM181" s="55">
        <f>IF($B181=$B180,$FM180,0)+$FL181</f>
        <v/>
      </c>
      <c r="FN181" s="55">
        <f>$FN180+$FL181</f>
        <v/>
      </c>
      <c r="FO181" s="55">
        <f>SUMIFS(tblPlant[Grinding_Media_kg],tblPlant[Date],$A181)</f>
        <v/>
      </c>
      <c r="FP181" s="55">
        <f>IF($B181=$B180,$FP180,0)+$FO181</f>
        <v/>
      </c>
      <c r="FQ181" s="55">
        <f>$FQ180+$FO181</f>
        <v/>
      </c>
      <c r="FR181" s="55">
        <f>SUMIFS(tblPlant[Power_kWh],tblPlant[Date],$A181)</f>
        <v/>
      </c>
      <c r="FS181" s="55">
        <f>IF($B181=$B180,$FS180,0)+$FR181</f>
        <v/>
      </c>
      <c r="FT181" s="55">
        <f>$FT180+$FR181</f>
        <v/>
      </c>
      <c r="FU181" s="55">
        <f>SUMIFS(tblPlant[Raw_Water_m3],tblPlant[Date],$A181)</f>
        <v/>
      </c>
      <c r="FV181" s="55">
        <f>IF($B181=$B180,$FV180,0)+$FU181</f>
        <v/>
      </c>
      <c r="FW181" s="55">
        <f>$FW180+$FU181</f>
        <v/>
      </c>
      <c r="FX181" s="56">
        <f>IFERROR(IF(($CU181)&gt;0,($FI181)/($CU181),""),"")</f>
        <v/>
      </c>
      <c r="FY181" s="56">
        <f>IFERROR(IF(($CV181)&gt;0,($FJ181)/($CV181),""),"")</f>
        <v/>
      </c>
      <c r="FZ181" s="56">
        <f>IFERROR(IF(($CW181)&gt;0,($FK181)/($CW181),""),"")</f>
        <v/>
      </c>
      <c r="GA181" s="56">
        <f>IFERROR(IF(($CU181)&gt;0,($FL181)/($CU181),""),"")</f>
        <v/>
      </c>
      <c r="GB181" s="56">
        <f>IFERROR(IF(($CV181)&gt;0,($FM181)/($CV181),""),"")</f>
        <v/>
      </c>
      <c r="GC181" s="56">
        <f>IFERROR(IF(($CW181)&gt;0,($FN181)/($CW181),""),"")</f>
        <v/>
      </c>
      <c r="GD181" s="56">
        <f>IFERROR(IF(($CU181)&gt;0,($FO181)/($CU181),""),"")</f>
        <v/>
      </c>
      <c r="GE181" s="56">
        <f>IFERROR(IF(($CV181)&gt;0,($FP181)/($CV181),""),"")</f>
        <v/>
      </c>
      <c r="GF181" s="56">
        <f>IFERROR(IF(($CW181)&gt;0,($FQ181)/($CW181),""),"")</f>
        <v/>
      </c>
      <c r="GG181" s="79">
        <f>IFERROR(IF(($CU181)&gt;0,($FR181)/($CU181),""),"")</f>
        <v/>
      </c>
      <c r="GH181" s="79">
        <f>IFERROR(IF(($CV181)&gt;0,($FS181)/($CV181),""),"")</f>
        <v/>
      </c>
      <c r="GI181" s="79">
        <f>IFERROR(IF(($CW181)&gt;0,($FT181)/($CW181),""),"")</f>
        <v/>
      </c>
      <c r="GJ181" s="56">
        <f>IFERROR(IF(($CU181)&gt;0,($FU181)/($CU181),""),"")</f>
        <v/>
      </c>
      <c r="GK181" s="56">
        <f>IFERROR(IF(($CV181)&gt;0,($FV181)/($CV181),""),"")</f>
        <v/>
      </c>
      <c r="GL181" s="56">
        <f>IFERROR(IF(($CW181)&gt;0,($FW181)/($CW181),""),"")</f>
        <v/>
      </c>
      <c r="GM181" s="55">
        <f>IF(SUMIFS(tblPlant[GIC_oz],tblPlant[Date],$A181)&gt;0,SUMIFS(tblPlant[GIC_oz],tblPlant[Date],$A181),"")</f>
        <v/>
      </c>
      <c r="GN181" s="55">
        <f>SUMIFS(tblGold[Gold_oz],tblGold[Date],$A181,tblGold[Type],"Shipment")</f>
        <v/>
      </c>
      <c r="GO181" s="55">
        <f>IF($B181=$B180,$GO180,0)+$GN181</f>
        <v/>
      </c>
      <c r="GP181" s="55">
        <f>$GP180+$GN181</f>
        <v/>
      </c>
      <c r="GQ181" s="55">
        <f>SUMIFS(tblGold[Gold_oz],tblGold[Date],$A181,tblGold[Type],"Sale")</f>
        <v/>
      </c>
      <c r="GR181" s="55">
        <f>IF($B181=$B180,$GR180,0)+$GQ181</f>
        <v/>
      </c>
      <c r="GS181" s="55">
        <f>$GS180+$GQ181</f>
        <v/>
      </c>
      <c r="GT181" s="55">
        <f>SUMIFS(tblGold[Dore_kg],tblGold[Date],$A181,tblGold[Type],"Shipment")</f>
        <v/>
      </c>
      <c r="GU181" s="55">
        <f>IF($B181=$B180,$GU180,0)+$GT181</f>
        <v/>
      </c>
      <c r="GV181" s="55">
        <f>$GV180+$GT181</f>
        <v/>
      </c>
      <c r="GW181" s="57">
        <f>SUMIFS(tblSafety[Hours_Total],tblSafety[Date],$A181)</f>
        <v/>
      </c>
      <c r="GX181" s="57">
        <f>IF($B181=$B180,$GX180,0)+$GW181</f>
        <v/>
      </c>
      <c r="GY181" s="57">
        <f>$GY180+$GW181</f>
        <v/>
      </c>
      <c r="GZ181" s="62">
        <f>SUMIFS(tblSafety[Fatality],tblSafety[Date],$A181)</f>
        <v/>
      </c>
      <c r="HA181" s="62">
        <f>IF($B181=$B180,$HA180,0)+$GZ181</f>
        <v/>
      </c>
      <c r="HB181" s="62">
        <f>$HB180+$GZ181</f>
        <v/>
      </c>
      <c r="HC181" s="62">
        <f>SUMIFS(tblSafety[LTI],tblSafety[Date],$A181)</f>
        <v/>
      </c>
      <c r="HD181" s="62">
        <f>IF($B181=$B180,$HD180,0)+$HC181</f>
        <v/>
      </c>
      <c r="HE181" s="62">
        <f>$HE180+$HC181</f>
        <v/>
      </c>
      <c r="HF181" s="62">
        <f>SUMIFS(tblSafety[RWI],tblSafety[Date],$A181)</f>
        <v/>
      </c>
      <c r="HG181" s="62">
        <f>IF($B181=$B180,$HG180,0)+$HF181</f>
        <v/>
      </c>
      <c r="HH181" s="62">
        <f>$HH180+$HF181</f>
        <v/>
      </c>
      <c r="HI181" s="62">
        <f>SUMIFS(tblSafety[MTI],tblSafety[Date],$A181)</f>
        <v/>
      </c>
      <c r="HJ181" s="62">
        <f>IF($B181=$B180,$HJ180,0)+$HI181</f>
        <v/>
      </c>
      <c r="HK181" s="62">
        <f>$HK180+$HI181</f>
        <v/>
      </c>
      <c r="HL181" s="62">
        <f>SUMIFS(tblSafety[FAI],tblSafety[Date],$A181)</f>
        <v/>
      </c>
      <c r="HM181" s="62">
        <f>IF($B181=$B180,$HM180,0)+$HL181</f>
        <v/>
      </c>
      <c r="HN181" s="62">
        <f>$HN180+$HL181</f>
        <v/>
      </c>
      <c r="HO181" s="62">
        <f>SUMIFS(tblSafety[Recordables],tblSafety[Date],$A181)</f>
        <v/>
      </c>
      <c r="HP181" s="62">
        <f>IF($B181=$B180,$HP180,0)+$HO181</f>
        <v/>
      </c>
      <c r="HQ181" s="62">
        <f>$HQ180+$HO181</f>
        <v/>
      </c>
      <c r="HR181" s="62">
        <f>SUMIFS(tblSafety[Near_Miss],tblSafety[Date],$A181)</f>
        <v/>
      </c>
      <c r="HS181" s="62">
        <f>IF($B181=$B180,$HS180,0)+$HR181</f>
        <v/>
      </c>
      <c r="HT181" s="62">
        <f>$HT180+$HR181</f>
        <v/>
      </c>
      <c r="HU181" s="62">
        <f>SUMIFS(tblSafety[Hazard_Reports],tblSafety[Date],$A181)</f>
        <v/>
      </c>
      <c r="HV181" s="62">
        <f>IF($B181=$B180,$HV180,0)+$HU181</f>
        <v/>
      </c>
      <c r="HW181" s="62">
        <f>$HW180+$HU181</f>
        <v/>
      </c>
      <c r="HX181" s="62">
        <f>SUMIFS(tblSafety[HPI],tblSafety[Date],$A181)</f>
        <v/>
      </c>
      <c r="HY181" s="62">
        <f>IF($B181=$B180,$HY180,0)+$HX181</f>
        <v/>
      </c>
      <c r="HZ181" s="62">
        <f>$HZ180+$HX181</f>
        <v/>
      </c>
      <c r="IA181" s="62">
        <f>SUMIFS(tblSafety[Env_Incidents],tblSafety[Date],$A181)</f>
        <v/>
      </c>
      <c r="IB181" s="62">
        <f>IF($B181=$B180,$IB180,0)+$IA181</f>
        <v/>
      </c>
      <c r="IC181" s="62">
        <f>$IC180+$IA181</f>
        <v/>
      </c>
      <c r="ID181" s="62">
        <f>SUMIFS(tblSafety[Community_Incidents],tblSafety[Date],$A181)</f>
        <v/>
      </c>
      <c r="IE181" s="62">
        <f>IF($B181=$B180,$IE180,0)+$ID181</f>
        <v/>
      </c>
      <c r="IF181" s="62">
        <f>$IF180+$ID181</f>
        <v/>
      </c>
      <c r="IG181" s="62">
        <f>SUMIFS(tblSafety[Vehicle_Incidents],tblSafety[Date],$A181)</f>
        <v/>
      </c>
      <c r="IH181" s="62">
        <f>IF($B181=$B180,$IH180,0)+$IG181</f>
        <v/>
      </c>
      <c r="II181" s="62">
        <f>$II180+$IG181</f>
        <v/>
      </c>
      <c r="IJ181" s="62">
        <f>SUMIFS(tblSafety[Toolbox_Talks],tblSafety[Date],$A181)</f>
        <v/>
      </c>
      <c r="IK181" s="62">
        <f>IF($B181=$B180,$IK180,0)+$IJ181</f>
        <v/>
      </c>
      <c r="IL181" s="62">
        <f>$IL180+$IJ181</f>
        <v/>
      </c>
      <c r="IM181" s="62">
        <f>SUMIFS(tblSafety[Inspections],tblSafety[Date],$A181)</f>
        <v/>
      </c>
      <c r="IN181" s="62">
        <f>IF($B181=$B180,$IN180,0)+$IM181</f>
        <v/>
      </c>
      <c r="IO181" s="62">
        <f>$IO180+$IM181</f>
        <v/>
      </c>
      <c r="IP181" s="56">
        <f>IFERROR((SUMIFS(tblSafety[Recordables],tblSafety[Date],"&gt;="&amp;EDATE($E181,-12),tblSafety[Date],"&lt;="&amp;$A181)+SUMIFS(tblSafetyHistory[Recordables],tblSafetyHistory[Month],"&gt;="&amp;EDATE($E181,-12),tblSafetyHistory[Month],"&lt;"&amp;$E181,tblSafetyHistory[Use],1))/(SUMIFS(tblSafety[Hours_Total],tblSafety[Date],"&gt;="&amp;EDATE($E181,-12),tblSafety[Date],"&lt;="&amp;$A181)+SUMIFS(tblSafetyHistory[Hours_Total],tblSafetyHistory[Month],"&gt;="&amp;EDATE($E181,-12),tblSafetyHistory[Month],"&lt;"&amp;$E181,tblSafetyHistory[Use],1))*cfg_RateBasisHours,"")</f>
        <v/>
      </c>
      <c r="IQ181" s="56">
        <f>IFERROR((SUMIFS(tblSafety[LTI],tblSafety[Date],"&gt;="&amp;EDATE($E181,-12),tblSafety[Date],"&lt;="&amp;$A181)+SUMIFS(tblSafetyHistory[LTI],tblSafetyHistory[Month],"&gt;="&amp;EDATE($E181,-12),tblSafetyHistory[Month],"&lt;"&amp;$E181,tblSafetyHistory[Use],1))/(SUMIFS(tblSafety[Hours_Total],tblSafety[Date],"&gt;="&amp;EDATE($E181,-12),tblSafety[Date],"&lt;="&amp;$A181)+SUMIFS(tblSafetyHistory[Hours_Total],tblSafetyHistory[Month],"&gt;="&amp;EDATE($E181,-12),tblSafetyHistory[Month],"&lt;"&amp;$E181,tblSafetyHistory[Use],1))*cfg_RateBasisHours,"")</f>
        <v/>
      </c>
      <c r="IR181" s="62">
        <f>IF(MAX(N(cfg_PriorLTIDate),_xlfn.MAXIFS(tblSafety[Date],tblSafety[LTI],"&gt;0",tblSafety[Date],"&lt;="&amp;$A181))=0,"",$A181-MAX(N(cfg_PriorLTIDate),_xlfn.MAXIFS(tblSafety[Date],tblSafety[LTI],"&gt;0",tblSafety[Date],"&lt;="&amp;$A181)))</f>
        <v/>
      </c>
      <c r="IS181" s="55">
        <f>SUMIFS(tblBudget[Ore_Mined_t],tblBudget[Month],$E181)</f>
        <v/>
      </c>
      <c r="IT181" s="55">
        <f>$IS181*$C181/$D181</f>
        <v/>
      </c>
      <c r="IU181" s="55">
        <f>SUMIFS(tblBudget[Ore_Mined_t],tblBudget[Month],"&lt;"&amp;$E181)+$IT181</f>
        <v/>
      </c>
      <c r="IV181" s="55">
        <f>SUMIFS(tblBudget[Ore_oz],tblBudget[Month],$E181)</f>
        <v/>
      </c>
      <c r="IW181" s="55">
        <f>$IV181*$C181/$D181</f>
        <v/>
      </c>
      <c r="IX181" s="55">
        <f>SUMIFS(tblBudget[Ore_oz],tblBudget[Month],"&lt;"&amp;$E181)+$IW181</f>
        <v/>
      </c>
      <c r="IY181" s="55">
        <f>SUMIFS(tblBudget[Ore_Mined_t],tblBudget[Month],$E181)</f>
        <v/>
      </c>
      <c r="IZ181" s="55">
        <f>$IY181*$C181/$D181</f>
        <v/>
      </c>
      <c r="JA181" s="55">
        <f>SUMIFS(tblBudget[Ore_Mined_t],tblBudget[Month],"&lt;"&amp;$E181)+$IZ181</f>
        <v/>
      </c>
      <c r="JB181" s="56">
        <f>IFERROR(IF(($IY181)&gt;0,($IV181*cfg_TroyOz)/($IY181),""),"")</f>
        <v/>
      </c>
      <c r="JC181" s="56">
        <f>IFERROR(IF(($IZ181)&gt;0,($IW181*cfg_TroyOz)/($IZ181),""),"")</f>
        <v/>
      </c>
      <c r="JD181" s="56">
        <f>IFERROR(IF(($JA181)&gt;0,($IX181*cfg_TroyOz)/($JA181),""),"")</f>
        <v/>
      </c>
      <c r="JE181" s="55">
        <f>SUMIFS(tblBudget[Waste_t],tblBudget[Month],$E181)</f>
        <v/>
      </c>
      <c r="JF181" s="55">
        <f>$JE181*$C181/$D181</f>
        <v/>
      </c>
      <c r="JG181" s="55">
        <f>SUMIFS(tblBudget[Waste_t],tblBudget[Month],"&lt;"&amp;$E181)+$JF181</f>
        <v/>
      </c>
      <c r="JH181" s="55">
        <f>SUMIFS(tblBudget[TMM_t],tblBudget[Month],$E181)</f>
        <v/>
      </c>
      <c r="JI181" s="55">
        <f>$JH181*$C181/$D181</f>
        <v/>
      </c>
      <c r="JJ181" s="55">
        <f>SUMIFS(tblBudget[TMM_t],tblBudget[Month],"&lt;"&amp;$E181)+$JI181</f>
        <v/>
      </c>
      <c r="JK181" s="56">
        <f>IFERROR(IF(($IS181)&gt;0,($JE181)/($IS181),""),"")</f>
        <v/>
      </c>
      <c r="JL181" s="56">
        <f>IFERROR(IF(($IT181)&gt;0,($JF181)/($IT181),""),"")</f>
        <v/>
      </c>
      <c r="JM181" s="56">
        <f>IFERROR(IF(($IU181)&gt;0,($JG181)/($IU181),""),"")</f>
        <v/>
      </c>
      <c r="JN181" s="55">
        <f>SUMIFS(tblBudget[Drill_m],tblBudget[Month],$E181)</f>
        <v/>
      </c>
      <c r="JO181" s="55">
        <f>$JN181*$C181/$D181</f>
        <v/>
      </c>
      <c r="JP181" s="55">
        <f>SUMIFS(tblBudget[Drill_m],tblBudget[Month],"&lt;"&amp;$E181)+$JO181</f>
        <v/>
      </c>
      <c r="JQ181" s="55">
        <f>SUMIFS(tblBudget[Diesel_L],tblBudget[Month],$E181)</f>
        <v/>
      </c>
      <c r="JR181" s="55">
        <f>$JQ181*$C181/$D181</f>
        <v/>
      </c>
      <c r="JS181" s="55">
        <f>SUMIFS(tblBudget[Diesel_L],tblBudget[Month],"&lt;"&amp;$E181)+$JR181</f>
        <v/>
      </c>
      <c r="JT181" s="55">
        <f>SUMIFS(tblBudget[Milled_t],tblBudget[Month],$E181)</f>
        <v/>
      </c>
      <c r="JU181" s="55">
        <f>$JT181*$C181/$D181</f>
        <v/>
      </c>
      <c r="JV181" s="55">
        <f>SUMIFS(tblBudget[Milled_t],tblBudget[Month],"&lt;"&amp;$E181)+$JU181</f>
        <v/>
      </c>
      <c r="JW181" s="55">
        <f>SUMIFS(tblBudget[Feed_oz],tblBudget[Month],$E181)</f>
        <v/>
      </c>
      <c r="JX181" s="55">
        <f>$JW181*$C181/$D181</f>
        <v/>
      </c>
      <c r="JY181" s="55">
        <f>SUMIFS(tblBudget[Feed_oz],tblBudget[Month],"&lt;"&amp;$E181)+$JX181</f>
        <v/>
      </c>
      <c r="JZ181" s="55">
        <f>SUMIFS(tblBudget[Recovered_oz],tblBudget[Month],$E181)</f>
        <v/>
      </c>
      <c r="KA181" s="55">
        <f>$JZ181*$C181/$D181</f>
        <v/>
      </c>
      <c r="KB181" s="55">
        <f>SUMIFS(tblBudget[Recovered_oz],tblBudget[Month],"&lt;"&amp;$E181)+$KA181</f>
        <v/>
      </c>
      <c r="KC181" s="55">
        <f>SUMIFS(tblBudget[Milled_t],tblBudget[Month],$E181)</f>
        <v/>
      </c>
      <c r="KD181" s="55">
        <f>$KC181*$C181/$D181</f>
        <v/>
      </c>
      <c r="KE181" s="55">
        <f>SUMIFS(tblBudget[Milled_t],tblBudget[Month],"&lt;"&amp;$E181)+$KD181</f>
        <v/>
      </c>
      <c r="KF181" s="55">
        <f>SUMIFS(tblBudget[Feed_oz],tblBudget[Month],$E181)</f>
        <v/>
      </c>
      <c r="KG181" s="55">
        <f>$KF181*$C181/$D181</f>
        <v/>
      </c>
      <c r="KH181" s="55">
        <f>SUMIFS(tblBudget[Feed_oz],tblBudget[Month],"&lt;"&amp;$E181)+$KG181</f>
        <v/>
      </c>
      <c r="KI181" s="56">
        <f>IFERROR(IF(($KC181)&gt;0,($JW181*cfg_TroyOz)/($KC181),""),"")</f>
        <v/>
      </c>
      <c r="KJ181" s="56">
        <f>IFERROR(IF(($KD181)&gt;0,($JX181*cfg_TroyOz)/($KD181),""),"")</f>
        <v/>
      </c>
      <c r="KK181" s="56">
        <f>IFERROR(IF(($KE181)&gt;0,($JY181*cfg_TroyOz)/($KE181),""),"")</f>
        <v/>
      </c>
      <c r="KL181" s="67">
        <f>IFERROR(IF(($KF181)&gt;0,($JZ181)/($KF181),""),"")</f>
        <v/>
      </c>
      <c r="KM181" s="67">
        <f>IFERROR(IF(($KG181)&gt;0,($KA181)/($KG181),""),"")</f>
        <v/>
      </c>
      <c r="KN181" s="67">
        <f>IFERROR(IF(($KH181)&gt;0,($KB181)/($KH181),""),"")</f>
        <v/>
      </c>
      <c r="KO181" s="55">
        <f>SUMIFS(tblBudget[Gold_Poured_oz],tblBudget[Month],$E181)</f>
        <v/>
      </c>
      <c r="KP181" s="55">
        <f>$KO181*$C181/$D181</f>
        <v/>
      </c>
      <c r="KQ181" s="55">
        <f>SUMIFS(tblBudget[Gold_Poured_oz],tblBudget[Month],"&lt;"&amp;$E181)+$KP181</f>
        <v/>
      </c>
      <c r="KR181" s="57">
        <f>SUMIFS(tblBudget[Hours_Worked],tblBudget[Month],$E181)</f>
        <v/>
      </c>
      <c r="KS181" s="57">
        <f>$KR181*$C181/$D181</f>
        <v/>
      </c>
      <c r="KT181" s="57">
        <f>SUMIFS(tblBudget[Hours_Worked],tblBudget[Month],"&lt;"&amp;$E181)+$KS181</f>
        <v/>
      </c>
    </row>
    <row r="182">
      <c r="A182" s="54" t="n">
        <v>46203</v>
      </c>
      <c r="B182">
        <f>MONTH($A182)</f>
        <v/>
      </c>
      <c r="C182">
        <f>DAY($A182)</f>
        <v/>
      </c>
      <c r="D182">
        <f>DAY(EOMONTH($A182,0))</f>
        <v/>
      </c>
      <c r="E182" s="54">
        <f>DATE(YEAR($A182),MONTH($A182),1)</f>
        <v/>
      </c>
      <c r="F182" s="55">
        <f>SUMIFS(tblMovement[Tonnes_t],tblMovement[Date],$A182,tblMovement[Is_Ore],1,tblMovement[Source_Type],"Pit")</f>
        <v/>
      </c>
      <c r="G182" s="55">
        <f>IF($B182=$B181,$G181,0)+$F182</f>
        <v/>
      </c>
      <c r="H182" s="55">
        <f>$H181+$F182</f>
        <v/>
      </c>
      <c r="I182" s="55">
        <f>SUMIFS(tblMovement[Ore_oz],tblMovement[Date],$A182,tblMovement[Source_Type],"Pit")</f>
        <v/>
      </c>
      <c r="J182" s="55">
        <f>IF($B182=$B181,$J181,0)+$I182</f>
        <v/>
      </c>
      <c r="K182" s="55">
        <f>$K181+$I182</f>
        <v/>
      </c>
      <c r="L182" s="55">
        <f>SUMIFS(tblMovement[Tonnes_t],tblMovement[Date],$A182,tblMovement[Is_Ore],1,tblMovement[Source_Type],"Pit",tblMovement[Grade_gpt],"&lt;&gt;")</f>
        <v/>
      </c>
      <c r="M182" s="55">
        <f>IF($B182=$B181,$M181,0)+$L182</f>
        <v/>
      </c>
      <c r="N182" s="55">
        <f>$N181+$L182</f>
        <v/>
      </c>
      <c r="O182" s="56">
        <f>IFERROR(IF(($L182)&gt;0,($I182*cfg_TroyOz)/($L182),""),"")</f>
        <v/>
      </c>
      <c r="P182" s="56">
        <f>IFERROR(IF(($M182)&gt;0,($J182*cfg_TroyOz)/($M182),""),"")</f>
        <v/>
      </c>
      <c r="Q182" s="56">
        <f>IFERROR(IF(($N182)&gt;0,($K182*cfg_TroyOz)/($N182),""),"")</f>
        <v/>
      </c>
      <c r="R182" s="55">
        <f>$F182-$L182</f>
        <v/>
      </c>
      <c r="S182" s="55">
        <f>IF($B182=$B181,$S181,0)+$R182</f>
        <v/>
      </c>
      <c r="T182" s="55">
        <f>$T181+$R182</f>
        <v/>
      </c>
      <c r="U182" s="55">
        <f>SUMIFS(tblMovement[Tonnes_t],tblMovement[Date],$A182,tblMovement[Is_Ore],0,tblMovement[Source_Type],"Pit")</f>
        <v/>
      </c>
      <c r="V182" s="55">
        <f>IF($B182=$B181,$V181,0)+$U182</f>
        <v/>
      </c>
      <c r="W182" s="55">
        <f>$W181+$U182</f>
        <v/>
      </c>
      <c r="X182" s="55">
        <f>$F182+$U182</f>
        <v/>
      </c>
      <c r="Y182" s="55">
        <f>IF($B182=$B181,$Y181,0)+$X182</f>
        <v/>
      </c>
      <c r="Z182" s="55">
        <f>$Z181+$X182</f>
        <v/>
      </c>
      <c r="AA182" s="56">
        <f>IFERROR(IF(($F182)&gt;0,($U182)/($F182),""),"")</f>
        <v/>
      </c>
      <c r="AB182" s="56">
        <f>IFERROR(IF(($G182)&gt;0,($V182)/($G182),""),"")</f>
        <v/>
      </c>
      <c r="AC182" s="56">
        <f>IFERROR(IF(($H182)&gt;0,($W182)/($H182),""),"")</f>
        <v/>
      </c>
      <c r="AD182" s="55">
        <f>SUMIFS(tblMovement[Tonnes_t],tblMovement[Date],$A182,tblMovement[Source_Type],"Stockpile")</f>
        <v/>
      </c>
      <c r="AE182" s="55">
        <f>IF($B182=$B181,$AE181,0)+$AD182</f>
        <v/>
      </c>
      <c r="AF182" s="55">
        <f>$AF181+$AD182</f>
        <v/>
      </c>
      <c r="AG182" s="55">
        <f>SUMIFS(tblMovement[Tonnes_t],tblMovement[Date],$A182)</f>
        <v/>
      </c>
      <c r="AH182" s="55">
        <f>IF($B182=$B181,$AH181,0)+$AG182</f>
        <v/>
      </c>
      <c r="AI182" s="55">
        <f>$AI181+$AG182</f>
        <v/>
      </c>
      <c r="AJ182" s="55">
        <f>$AG182-$X182-$AD182</f>
        <v/>
      </c>
      <c r="AK182" s="55">
        <f>IF($B182=$B181,$AK181,0)+$AJ182</f>
        <v/>
      </c>
      <c r="AL182" s="55">
        <f>$AL181+$AJ182</f>
        <v/>
      </c>
      <c r="AM182" s="55">
        <f>SUMIFS(tblMiningDaily[Drill_m],tblMiningDaily[Date],$A182)</f>
        <v/>
      </c>
      <c r="AN182" s="55">
        <f>IF($B182=$B181,$AN181,0)+$AM182</f>
        <v/>
      </c>
      <c r="AO182" s="55">
        <f>$AO181+$AM182</f>
        <v/>
      </c>
      <c r="AP182" s="55">
        <f>SUMIFS(tblMiningDaily[GC_Drill_m],tblMiningDaily[Date],$A182)</f>
        <v/>
      </c>
      <c r="AQ182" s="55">
        <f>IF($B182=$B181,$AQ181,0)+$AP182</f>
        <v/>
      </c>
      <c r="AR182" s="55">
        <f>$AR181+$AP182</f>
        <v/>
      </c>
      <c r="AS182" s="55">
        <f>SUMIFS(tblMiningDaily[Blast_t],tblMiningDaily[Date],$A182)</f>
        <v/>
      </c>
      <c r="AT182" s="55">
        <f>IF($B182=$B181,$AT181,0)+$AS182</f>
        <v/>
      </c>
      <c r="AU182" s="55">
        <f>$AU181+$AS182</f>
        <v/>
      </c>
      <c r="AV182" s="55">
        <f>SUMIFS(tblMiningDaily[Explosives_kg],tblMiningDaily[Date],$A182)</f>
        <v/>
      </c>
      <c r="AW182" s="55">
        <f>IF($B182=$B181,$AW181,0)+$AV182</f>
        <v/>
      </c>
      <c r="AX182" s="55">
        <f>$AX181+$AV182</f>
        <v/>
      </c>
      <c r="AY182" s="56">
        <f>IFERROR(IF(($AS182)&gt;0,($AV182)/($AS182),""),"")</f>
        <v/>
      </c>
      <c r="AZ182" s="56">
        <f>IFERROR(IF(($AT182)&gt;0,($AW182)/($AT182),""),"")</f>
        <v/>
      </c>
      <c r="BA182" s="56">
        <f>IFERROR(IF(($AU182)&gt;0,($AX182)/($AU182),""),"")</f>
        <v/>
      </c>
      <c r="BB182" s="55">
        <f>SUMIFS(tblMiningDaily[Diesel_L],tblMiningDaily[Date],$A182)</f>
        <v/>
      </c>
      <c r="BC182" s="55">
        <f>IF($B182=$B181,$BC181,0)+$BB182</f>
        <v/>
      </c>
      <c r="BD182" s="55">
        <f>$BD181+$BB182</f>
        <v/>
      </c>
      <c r="BE182" s="55">
        <f>SUMIFS(tblMiningDaily[Dewatering_m3],tblMiningDaily[Date],$A182)</f>
        <v/>
      </c>
      <c r="BF182" s="55">
        <f>IF($B182=$B181,$BF181,0)+$BE182</f>
        <v/>
      </c>
      <c r="BG182" s="55">
        <f>$BG181+$BE182</f>
        <v/>
      </c>
      <c r="BH182" s="57">
        <f>SUMIFS(tblFleet[Calendar_h],tblFleet[Date],$A182,tblFleet[Equipment_Class],"Excavator")</f>
        <v/>
      </c>
      <c r="BI182" s="57">
        <f>IF($B182=$B181,$BI181,0)+$BH182</f>
        <v/>
      </c>
      <c r="BJ182" s="57">
        <f>$BJ181+$BH182</f>
        <v/>
      </c>
      <c r="BK182" s="57">
        <f>SUMIFS(tblFleet[Available_h],tblFleet[Date],$A182,tblFleet[Equipment_Class],"Excavator")</f>
        <v/>
      </c>
      <c r="BL182" s="57">
        <f>IF($B182=$B181,$BL181,0)+$BK182</f>
        <v/>
      </c>
      <c r="BM182" s="57">
        <f>$BM181+$BK182</f>
        <v/>
      </c>
      <c r="BN182" s="57">
        <f>SUMIFS(tblFleet[Operating_h],tblFleet[Date],$A182,tblFleet[Equipment_Class],"Excavator")</f>
        <v/>
      </c>
      <c r="BO182" s="57">
        <f>IF($B182=$B181,$BO181,0)+$BN182</f>
        <v/>
      </c>
      <c r="BP182" s="57">
        <f>$BP181+$BN182</f>
        <v/>
      </c>
      <c r="BQ182" s="67">
        <f>IFERROR(IF(($BH182)&gt;0,($BK182)/($BH182),""),"")</f>
        <v/>
      </c>
      <c r="BR182" s="67">
        <f>IFERROR(IF(($BI182)&gt;0,($BL182)/($BI182),""),"")</f>
        <v/>
      </c>
      <c r="BS182" s="67">
        <f>IFERROR(IF(($BJ182)&gt;0,($BM182)/($BJ182),""),"")</f>
        <v/>
      </c>
      <c r="BT182" s="67">
        <f>IFERROR(IF(($BK182)&gt;0,($BN182)/($BK182),""),"")</f>
        <v/>
      </c>
      <c r="BU182" s="67">
        <f>IFERROR(IF(($BL182)&gt;0,($BO182)/($BL182),""),"")</f>
        <v/>
      </c>
      <c r="BV182" s="67">
        <f>IFERROR(IF(($BM182)&gt;0,($BP182)/($BM182),""),"")</f>
        <v/>
      </c>
      <c r="BW182" s="57">
        <f>SUMIFS(tblFleet[Calendar_h],tblFleet[Date],$A182,tblFleet[Equipment_Class],"Haul Truck")</f>
        <v/>
      </c>
      <c r="BX182" s="57">
        <f>IF($B182=$B181,$BX181,0)+$BW182</f>
        <v/>
      </c>
      <c r="BY182" s="57">
        <f>$BY181+$BW182</f>
        <v/>
      </c>
      <c r="BZ182" s="57">
        <f>SUMIFS(tblFleet[Available_h],tblFleet[Date],$A182,tblFleet[Equipment_Class],"Haul Truck")</f>
        <v/>
      </c>
      <c r="CA182" s="57">
        <f>IF($B182=$B181,$CA181,0)+$BZ182</f>
        <v/>
      </c>
      <c r="CB182" s="57">
        <f>$CB181+$BZ182</f>
        <v/>
      </c>
      <c r="CC182" s="57">
        <f>SUMIFS(tblFleet[Operating_h],tblFleet[Date],$A182,tblFleet[Equipment_Class],"Haul Truck")</f>
        <v/>
      </c>
      <c r="CD182" s="57">
        <f>IF($B182=$B181,$CD181,0)+$CC182</f>
        <v/>
      </c>
      <c r="CE182" s="57">
        <f>$CE181+$CC182</f>
        <v/>
      </c>
      <c r="CF182" s="67">
        <f>IFERROR(IF(($BW182)&gt;0,($BZ182)/($BW182),""),"")</f>
        <v/>
      </c>
      <c r="CG182" s="67">
        <f>IFERROR(IF(($BX182)&gt;0,($CA182)/($BX182),""),"")</f>
        <v/>
      </c>
      <c r="CH182" s="67">
        <f>IFERROR(IF(($BY182)&gt;0,($CB182)/($BY182),""),"")</f>
        <v/>
      </c>
      <c r="CI182" s="67">
        <f>IFERROR(IF(($BZ182)&gt;0,($CC182)/($BZ182),""),"")</f>
        <v/>
      </c>
      <c r="CJ182" s="67">
        <f>IFERROR(IF(($CA182)&gt;0,($CD182)/($CA182),""),"")</f>
        <v/>
      </c>
      <c r="CK182" s="67">
        <f>IFERROR(IF(($CB182)&gt;0,($CE182)/($CB182),""),"")</f>
        <v/>
      </c>
      <c r="CL182" s="55">
        <f>IFERROR(IF(($BN182)&gt;0,($X182+$AD182)/($BN182),""),"")</f>
        <v/>
      </c>
      <c r="CM182" s="55">
        <f>IFERROR(IF(($BO182)&gt;0,($Y182+$AE182)/($BO182),""),"")</f>
        <v/>
      </c>
      <c r="CN182" s="55">
        <f>IFERROR(IF(($BP182)&gt;0,($Z182+$AF182)/($BP182),""),"")</f>
        <v/>
      </c>
      <c r="CO182" s="55">
        <f>IFERROR(IF(($CC182)&gt;0,($X182+$AD182)/($CC182),""),"")</f>
        <v/>
      </c>
      <c r="CP182" s="55">
        <f>IFERROR(IF(($CD182)&gt;0,($Y182+$AE182)/($CD182),""),"")</f>
        <v/>
      </c>
      <c r="CQ182" s="55">
        <f>IFERROR(IF(($CE182)&gt;0,($Z182+$AF182)/($CE182),""),"")</f>
        <v/>
      </c>
      <c r="CR182" s="55">
        <f>SUMIFS(tblPlant[Crushed_t],tblPlant[Date],$A182)</f>
        <v/>
      </c>
      <c r="CS182" s="55">
        <f>IF($B182=$B181,$CS181,0)+$CR182</f>
        <v/>
      </c>
      <c r="CT182" s="55">
        <f>$CT181+$CR182</f>
        <v/>
      </c>
      <c r="CU182" s="55">
        <f>SUMIFS(tblPlant[Milled_t],tblPlant[Date],$A182)</f>
        <v/>
      </c>
      <c r="CV182" s="55">
        <f>IF($B182=$B181,$CV181,0)+$CU182</f>
        <v/>
      </c>
      <c r="CW182" s="55">
        <f>$CW181+$CU182</f>
        <v/>
      </c>
      <c r="CX182" s="55">
        <f>SUMIFS(tblPlant[Feed_oz],tblPlant[Date],$A182)</f>
        <v/>
      </c>
      <c r="CY182" s="55">
        <f>IF($B182=$B181,$CY181,0)+$CX182</f>
        <v/>
      </c>
      <c r="CZ182" s="55">
        <f>$CZ181+$CX182</f>
        <v/>
      </c>
      <c r="DA182" s="55">
        <f>SUMIFS(tblPlant[Tails_oz],tblPlant[Date],$A182)</f>
        <v/>
      </c>
      <c r="DB182" s="55">
        <f>IF($B182=$B181,$DB181,0)+$DA182</f>
        <v/>
      </c>
      <c r="DC182" s="55">
        <f>$DC181+$DA182</f>
        <v/>
      </c>
      <c r="DD182" s="55">
        <f>SUMIFS(tblPlant[Recovered_oz],tblPlant[Date],$A182)</f>
        <v/>
      </c>
      <c r="DE182" s="55">
        <f>IF($B182=$B181,$DE181,0)+$DD182</f>
        <v/>
      </c>
      <c r="DF182" s="55">
        <f>$DF181+$DD182</f>
        <v/>
      </c>
      <c r="DG182" s="55">
        <f>SUMIFS(tblPlant[Milled_t],tblPlant[Date],$A182,tblPlant[Head_Grade_gpt],"&lt;&gt;")</f>
        <v/>
      </c>
      <c r="DH182" s="55">
        <f>IF($B182=$B181,$DH181,0)+$DG182</f>
        <v/>
      </c>
      <c r="DI182" s="55">
        <f>$DI181+$DG182</f>
        <v/>
      </c>
      <c r="DJ182" s="55">
        <f>SUMIFS(tblPlant[Milled_t],tblPlant[Date],$A182,tblPlant[Tails_Grade_gpt],"&lt;&gt;")</f>
        <v/>
      </c>
      <c r="DK182" s="55">
        <f>IF($B182=$B181,$DK181,0)+$DJ182</f>
        <v/>
      </c>
      <c r="DL182" s="55">
        <f>$DL181+$DJ182</f>
        <v/>
      </c>
      <c r="DM182" s="55">
        <f>SUMIFS(tblPlant[Feed_oz],tblPlant[Date],$A182,tblPlant[Tails_Grade_gpt],"&lt;&gt;")</f>
        <v/>
      </c>
      <c r="DN182" s="55">
        <f>IF($B182=$B181,$DN181,0)+$DM182</f>
        <v/>
      </c>
      <c r="DO182" s="55">
        <f>$DO181+$DM182</f>
        <v/>
      </c>
      <c r="DP182" s="55">
        <f>SUMIFS(tblPlant[Milled_t],tblPlant[Date],$A182,tblPlant[Mill_Run_h],"&lt;&gt;")</f>
        <v/>
      </c>
      <c r="DQ182" s="55">
        <f>IF($B182=$B181,$DQ181,0)+$DP182</f>
        <v/>
      </c>
      <c r="DR182" s="55">
        <f>$DR181+$DP182</f>
        <v/>
      </c>
      <c r="DS182" s="56">
        <f>IFERROR(IF(($DG182)&gt;0,($CX182*cfg_TroyOz)/($DG182),""),"")</f>
        <v/>
      </c>
      <c r="DT182" s="56">
        <f>IFERROR(IF(($DH182)&gt;0,($CY182*cfg_TroyOz)/($DH182),""),"")</f>
        <v/>
      </c>
      <c r="DU182" s="56">
        <f>IFERROR(IF(($DI182)&gt;0,($CZ182*cfg_TroyOz)/($DI182),""),"")</f>
        <v/>
      </c>
      <c r="DV182" s="56">
        <f>IFERROR(IF(($DJ182)&gt;0,($DA182*cfg_TroyOz)/($DJ182),""),"")</f>
        <v/>
      </c>
      <c r="DW182" s="56">
        <f>IFERROR(IF(($DK182)&gt;0,($DB182*cfg_TroyOz)/($DK182),""),"")</f>
        <v/>
      </c>
      <c r="DX182" s="56">
        <f>IFERROR(IF(($DL182)&gt;0,($DC182*cfg_TroyOz)/($DL182),""),"")</f>
        <v/>
      </c>
      <c r="DY182" s="67">
        <f>IFERROR(IF(($DM182)&gt;0,($DD182)/($DM182),""),"")</f>
        <v/>
      </c>
      <c r="DZ182" s="67">
        <f>IFERROR(IF(($DN182)&gt;0,($DE182)/($DN182),""),"")</f>
        <v/>
      </c>
      <c r="EA182" s="67">
        <f>IFERROR(IF(($DO182)&gt;0,($DF182)/($DO182),""),"")</f>
        <v/>
      </c>
      <c r="EB182" s="55">
        <f>SUMIFS(tblPlant[Gravity_Gold_oz],tblPlant[Date],$A182)</f>
        <v/>
      </c>
      <c r="EC182" s="55">
        <f>IF($B182=$B181,$EC181,0)+$EB182</f>
        <v/>
      </c>
      <c r="ED182" s="55">
        <f>$ED181+$EB182</f>
        <v/>
      </c>
      <c r="EE182" s="67">
        <f>IFERROR(IF(($DD182)&gt;0,($EB182)/($DD182),""),"")</f>
        <v/>
      </c>
      <c r="EF182" s="67">
        <f>IFERROR(IF(($DE182)&gt;0,($EC182)/($DE182),""),"")</f>
        <v/>
      </c>
      <c r="EG182" s="67">
        <f>IFERROR(IF(($DF182)&gt;0,($ED182)/($DF182),""),"")</f>
        <v/>
      </c>
      <c r="EH182" s="55">
        <f>SUMIFS(tblPlant[Gold_Poured_oz],tblPlant[Date],$A182)</f>
        <v/>
      </c>
      <c r="EI182" s="55">
        <f>IF($B182=$B181,$EI181,0)+$EH182</f>
        <v/>
      </c>
      <c r="EJ182" s="55">
        <f>$EJ181+$EH182</f>
        <v/>
      </c>
      <c r="EK182" s="57">
        <f>SUMIFS(tblPlant[Mill_Run_h],tblPlant[Date],$A182)</f>
        <v/>
      </c>
      <c r="EL182" s="57">
        <f>IF($B182=$B181,$EL181,0)+$EK182</f>
        <v/>
      </c>
      <c r="EM182" s="57">
        <f>$EM181+$EK182</f>
        <v/>
      </c>
      <c r="EN182" s="57">
        <f>SUMIFS(tblPlant[Mill_Planned_Maint_h],tblPlant[Date],$A182)</f>
        <v/>
      </c>
      <c r="EO182" s="57">
        <f>IF($B182=$B181,$EO181,0)+$EN182</f>
        <v/>
      </c>
      <c r="EP182" s="57">
        <f>$EP181+$EN182</f>
        <v/>
      </c>
      <c r="EQ182" s="57">
        <f>SUMIFS(tblPlant[Mill_Unplanned_Down_h],tblPlant[Date],$A182)</f>
        <v/>
      </c>
      <c r="ER182" s="57">
        <f>IF($B182=$B181,$ER181,0)+$EQ182</f>
        <v/>
      </c>
      <c r="ES182" s="57">
        <f>$ES181+$EQ182</f>
        <v/>
      </c>
      <c r="ET182" s="57">
        <f>IF(COUNTIFS(tblPlant[Date],$A182,tblPlant[Mill_Run_h],"&lt;&gt;")+COUNTIFS(tblPlant[Date],$A182,tblPlant[Mill_Planned_Maint_h],"&lt;&gt;")+COUNTIFS(tblPlant[Date],$A182,tblPlant[Mill_Unplanned_Down_h],"&lt;&gt;")&gt;0,cfg_HoursPerDay,0)</f>
        <v/>
      </c>
      <c r="EU182" s="57">
        <f>IF($B182=$B181,$EU181,0)+$ET182</f>
        <v/>
      </c>
      <c r="EV182" s="57">
        <f>$EV181+$ET182</f>
        <v/>
      </c>
      <c r="EW182" s="57">
        <f>SUMIFS(tblPlant[Crusher_Run_h],tblPlant[Date],$A182)</f>
        <v/>
      </c>
      <c r="EX182" s="57">
        <f>IF($B182=$B181,$EX181,0)+$EW182</f>
        <v/>
      </c>
      <c r="EY182" s="57">
        <f>$EY181+$EW182</f>
        <v/>
      </c>
      <c r="EZ182" s="55">
        <f>IFERROR(IF(($EK182)&gt;0,($DP182)/($EK182),""),"")</f>
        <v/>
      </c>
      <c r="FA182" s="55">
        <f>IFERROR(IF(($EL182)&gt;0,($DQ182)/($EL182),""),"")</f>
        <v/>
      </c>
      <c r="FB182" s="55">
        <f>IFERROR(IF(($EM182)&gt;0,($DR182)/($EM182),""),"")</f>
        <v/>
      </c>
      <c r="FC182" s="67">
        <f>IFERROR(IF(($ET182)&gt;0,($ET182-$EN182-$EQ182)/($ET182),""),"")</f>
        <v/>
      </c>
      <c r="FD182" s="67">
        <f>IFERROR(IF(($EU182)&gt;0,($EU182-$EO182-$ER182)/($EU182),""),"")</f>
        <v/>
      </c>
      <c r="FE182" s="67">
        <f>IFERROR(IF(($EV182)&gt;0,($EV182-$EP182-$ES182)/($EV182),""),"")</f>
        <v/>
      </c>
      <c r="FF182" s="67">
        <f>IFERROR(IF(($ET182-$EN182-$EQ182)&gt;0,($EK182)/($ET182-$EN182-$EQ182),""),"")</f>
        <v/>
      </c>
      <c r="FG182" s="67">
        <f>IFERROR(IF(($EU182-$EO182-$ER182)&gt;0,($EL182)/($EU182-$EO182-$ER182),""),"")</f>
        <v/>
      </c>
      <c r="FH182" s="67">
        <f>IFERROR(IF(($EV182-$EP182-$ES182)&gt;0,($EM182)/($EV182-$EP182-$ES182),""),"")</f>
        <v/>
      </c>
      <c r="FI182" s="55">
        <f>SUMIFS(tblPlant[Cyanide_kg],tblPlant[Date],$A182)</f>
        <v/>
      </c>
      <c r="FJ182" s="55">
        <f>IF($B182=$B181,$FJ181,0)+$FI182</f>
        <v/>
      </c>
      <c r="FK182" s="55">
        <f>$FK181+$FI182</f>
        <v/>
      </c>
      <c r="FL182" s="55">
        <f>SUMIFS(tblPlant[Lime_kg],tblPlant[Date],$A182)</f>
        <v/>
      </c>
      <c r="FM182" s="55">
        <f>IF($B182=$B181,$FM181,0)+$FL182</f>
        <v/>
      </c>
      <c r="FN182" s="55">
        <f>$FN181+$FL182</f>
        <v/>
      </c>
      <c r="FO182" s="55">
        <f>SUMIFS(tblPlant[Grinding_Media_kg],tblPlant[Date],$A182)</f>
        <v/>
      </c>
      <c r="FP182" s="55">
        <f>IF($B182=$B181,$FP181,0)+$FO182</f>
        <v/>
      </c>
      <c r="FQ182" s="55">
        <f>$FQ181+$FO182</f>
        <v/>
      </c>
      <c r="FR182" s="55">
        <f>SUMIFS(tblPlant[Power_kWh],tblPlant[Date],$A182)</f>
        <v/>
      </c>
      <c r="FS182" s="55">
        <f>IF($B182=$B181,$FS181,0)+$FR182</f>
        <v/>
      </c>
      <c r="FT182" s="55">
        <f>$FT181+$FR182</f>
        <v/>
      </c>
      <c r="FU182" s="55">
        <f>SUMIFS(tblPlant[Raw_Water_m3],tblPlant[Date],$A182)</f>
        <v/>
      </c>
      <c r="FV182" s="55">
        <f>IF($B182=$B181,$FV181,0)+$FU182</f>
        <v/>
      </c>
      <c r="FW182" s="55">
        <f>$FW181+$FU182</f>
        <v/>
      </c>
      <c r="FX182" s="56">
        <f>IFERROR(IF(($CU182)&gt;0,($FI182)/($CU182),""),"")</f>
        <v/>
      </c>
      <c r="FY182" s="56">
        <f>IFERROR(IF(($CV182)&gt;0,($FJ182)/($CV182),""),"")</f>
        <v/>
      </c>
      <c r="FZ182" s="56">
        <f>IFERROR(IF(($CW182)&gt;0,($FK182)/($CW182),""),"")</f>
        <v/>
      </c>
      <c r="GA182" s="56">
        <f>IFERROR(IF(($CU182)&gt;0,($FL182)/($CU182),""),"")</f>
        <v/>
      </c>
      <c r="GB182" s="56">
        <f>IFERROR(IF(($CV182)&gt;0,($FM182)/($CV182),""),"")</f>
        <v/>
      </c>
      <c r="GC182" s="56">
        <f>IFERROR(IF(($CW182)&gt;0,($FN182)/($CW182),""),"")</f>
        <v/>
      </c>
      <c r="GD182" s="56">
        <f>IFERROR(IF(($CU182)&gt;0,($FO182)/($CU182),""),"")</f>
        <v/>
      </c>
      <c r="GE182" s="56">
        <f>IFERROR(IF(($CV182)&gt;0,($FP182)/($CV182),""),"")</f>
        <v/>
      </c>
      <c r="GF182" s="56">
        <f>IFERROR(IF(($CW182)&gt;0,($FQ182)/($CW182),""),"")</f>
        <v/>
      </c>
      <c r="GG182" s="79">
        <f>IFERROR(IF(($CU182)&gt;0,($FR182)/($CU182),""),"")</f>
        <v/>
      </c>
      <c r="GH182" s="79">
        <f>IFERROR(IF(($CV182)&gt;0,($FS182)/($CV182),""),"")</f>
        <v/>
      </c>
      <c r="GI182" s="79">
        <f>IFERROR(IF(($CW182)&gt;0,($FT182)/($CW182),""),"")</f>
        <v/>
      </c>
      <c r="GJ182" s="56">
        <f>IFERROR(IF(($CU182)&gt;0,($FU182)/($CU182),""),"")</f>
        <v/>
      </c>
      <c r="GK182" s="56">
        <f>IFERROR(IF(($CV182)&gt;0,($FV182)/($CV182),""),"")</f>
        <v/>
      </c>
      <c r="GL182" s="56">
        <f>IFERROR(IF(($CW182)&gt;0,($FW182)/($CW182),""),"")</f>
        <v/>
      </c>
      <c r="GM182" s="55">
        <f>IF(SUMIFS(tblPlant[GIC_oz],tblPlant[Date],$A182)&gt;0,SUMIFS(tblPlant[GIC_oz],tblPlant[Date],$A182),"")</f>
        <v/>
      </c>
      <c r="GN182" s="55">
        <f>SUMIFS(tblGold[Gold_oz],tblGold[Date],$A182,tblGold[Type],"Shipment")</f>
        <v/>
      </c>
      <c r="GO182" s="55">
        <f>IF($B182=$B181,$GO181,0)+$GN182</f>
        <v/>
      </c>
      <c r="GP182" s="55">
        <f>$GP181+$GN182</f>
        <v/>
      </c>
      <c r="GQ182" s="55">
        <f>SUMIFS(tblGold[Gold_oz],tblGold[Date],$A182,tblGold[Type],"Sale")</f>
        <v/>
      </c>
      <c r="GR182" s="55">
        <f>IF($B182=$B181,$GR181,0)+$GQ182</f>
        <v/>
      </c>
      <c r="GS182" s="55">
        <f>$GS181+$GQ182</f>
        <v/>
      </c>
      <c r="GT182" s="55">
        <f>SUMIFS(tblGold[Dore_kg],tblGold[Date],$A182,tblGold[Type],"Shipment")</f>
        <v/>
      </c>
      <c r="GU182" s="55">
        <f>IF($B182=$B181,$GU181,0)+$GT182</f>
        <v/>
      </c>
      <c r="GV182" s="55">
        <f>$GV181+$GT182</f>
        <v/>
      </c>
      <c r="GW182" s="57">
        <f>SUMIFS(tblSafety[Hours_Total],tblSafety[Date],$A182)</f>
        <v/>
      </c>
      <c r="GX182" s="57">
        <f>IF($B182=$B181,$GX181,0)+$GW182</f>
        <v/>
      </c>
      <c r="GY182" s="57">
        <f>$GY181+$GW182</f>
        <v/>
      </c>
      <c r="GZ182" s="62">
        <f>SUMIFS(tblSafety[Fatality],tblSafety[Date],$A182)</f>
        <v/>
      </c>
      <c r="HA182" s="62">
        <f>IF($B182=$B181,$HA181,0)+$GZ182</f>
        <v/>
      </c>
      <c r="HB182" s="62">
        <f>$HB181+$GZ182</f>
        <v/>
      </c>
      <c r="HC182" s="62">
        <f>SUMIFS(tblSafety[LTI],tblSafety[Date],$A182)</f>
        <v/>
      </c>
      <c r="HD182" s="62">
        <f>IF($B182=$B181,$HD181,0)+$HC182</f>
        <v/>
      </c>
      <c r="HE182" s="62">
        <f>$HE181+$HC182</f>
        <v/>
      </c>
      <c r="HF182" s="62">
        <f>SUMIFS(tblSafety[RWI],tblSafety[Date],$A182)</f>
        <v/>
      </c>
      <c r="HG182" s="62">
        <f>IF($B182=$B181,$HG181,0)+$HF182</f>
        <v/>
      </c>
      <c r="HH182" s="62">
        <f>$HH181+$HF182</f>
        <v/>
      </c>
      <c r="HI182" s="62">
        <f>SUMIFS(tblSafety[MTI],tblSafety[Date],$A182)</f>
        <v/>
      </c>
      <c r="HJ182" s="62">
        <f>IF($B182=$B181,$HJ181,0)+$HI182</f>
        <v/>
      </c>
      <c r="HK182" s="62">
        <f>$HK181+$HI182</f>
        <v/>
      </c>
      <c r="HL182" s="62">
        <f>SUMIFS(tblSafety[FAI],tblSafety[Date],$A182)</f>
        <v/>
      </c>
      <c r="HM182" s="62">
        <f>IF($B182=$B181,$HM181,0)+$HL182</f>
        <v/>
      </c>
      <c r="HN182" s="62">
        <f>$HN181+$HL182</f>
        <v/>
      </c>
      <c r="HO182" s="62">
        <f>SUMIFS(tblSafety[Recordables],tblSafety[Date],$A182)</f>
        <v/>
      </c>
      <c r="HP182" s="62">
        <f>IF($B182=$B181,$HP181,0)+$HO182</f>
        <v/>
      </c>
      <c r="HQ182" s="62">
        <f>$HQ181+$HO182</f>
        <v/>
      </c>
      <c r="HR182" s="62">
        <f>SUMIFS(tblSafety[Near_Miss],tblSafety[Date],$A182)</f>
        <v/>
      </c>
      <c r="HS182" s="62">
        <f>IF($B182=$B181,$HS181,0)+$HR182</f>
        <v/>
      </c>
      <c r="HT182" s="62">
        <f>$HT181+$HR182</f>
        <v/>
      </c>
      <c r="HU182" s="62">
        <f>SUMIFS(tblSafety[Hazard_Reports],tblSafety[Date],$A182)</f>
        <v/>
      </c>
      <c r="HV182" s="62">
        <f>IF($B182=$B181,$HV181,0)+$HU182</f>
        <v/>
      </c>
      <c r="HW182" s="62">
        <f>$HW181+$HU182</f>
        <v/>
      </c>
      <c r="HX182" s="62">
        <f>SUMIFS(tblSafety[HPI],tblSafety[Date],$A182)</f>
        <v/>
      </c>
      <c r="HY182" s="62">
        <f>IF($B182=$B181,$HY181,0)+$HX182</f>
        <v/>
      </c>
      <c r="HZ182" s="62">
        <f>$HZ181+$HX182</f>
        <v/>
      </c>
      <c r="IA182" s="62">
        <f>SUMIFS(tblSafety[Env_Incidents],tblSafety[Date],$A182)</f>
        <v/>
      </c>
      <c r="IB182" s="62">
        <f>IF($B182=$B181,$IB181,0)+$IA182</f>
        <v/>
      </c>
      <c r="IC182" s="62">
        <f>$IC181+$IA182</f>
        <v/>
      </c>
      <c r="ID182" s="62">
        <f>SUMIFS(tblSafety[Community_Incidents],tblSafety[Date],$A182)</f>
        <v/>
      </c>
      <c r="IE182" s="62">
        <f>IF($B182=$B181,$IE181,0)+$ID182</f>
        <v/>
      </c>
      <c r="IF182" s="62">
        <f>$IF181+$ID182</f>
        <v/>
      </c>
      <c r="IG182" s="62">
        <f>SUMIFS(tblSafety[Vehicle_Incidents],tblSafety[Date],$A182)</f>
        <v/>
      </c>
      <c r="IH182" s="62">
        <f>IF($B182=$B181,$IH181,0)+$IG182</f>
        <v/>
      </c>
      <c r="II182" s="62">
        <f>$II181+$IG182</f>
        <v/>
      </c>
      <c r="IJ182" s="62">
        <f>SUMIFS(tblSafety[Toolbox_Talks],tblSafety[Date],$A182)</f>
        <v/>
      </c>
      <c r="IK182" s="62">
        <f>IF($B182=$B181,$IK181,0)+$IJ182</f>
        <v/>
      </c>
      <c r="IL182" s="62">
        <f>$IL181+$IJ182</f>
        <v/>
      </c>
      <c r="IM182" s="62">
        <f>SUMIFS(tblSafety[Inspections],tblSafety[Date],$A182)</f>
        <v/>
      </c>
      <c r="IN182" s="62">
        <f>IF($B182=$B181,$IN181,0)+$IM182</f>
        <v/>
      </c>
      <c r="IO182" s="62">
        <f>$IO181+$IM182</f>
        <v/>
      </c>
      <c r="IP182" s="56">
        <f>IFERROR((SUMIFS(tblSafety[Recordables],tblSafety[Date],"&gt;="&amp;EDATE($E182,-12),tblSafety[Date],"&lt;="&amp;$A182)+SUMIFS(tblSafetyHistory[Recordables],tblSafetyHistory[Month],"&gt;="&amp;EDATE($E182,-12),tblSafetyHistory[Month],"&lt;"&amp;$E182,tblSafetyHistory[Use],1))/(SUMIFS(tblSafety[Hours_Total],tblSafety[Date],"&gt;="&amp;EDATE($E182,-12),tblSafety[Date],"&lt;="&amp;$A182)+SUMIFS(tblSafetyHistory[Hours_Total],tblSafetyHistory[Month],"&gt;="&amp;EDATE($E182,-12),tblSafetyHistory[Month],"&lt;"&amp;$E182,tblSafetyHistory[Use],1))*cfg_RateBasisHours,"")</f>
        <v/>
      </c>
      <c r="IQ182" s="56">
        <f>IFERROR((SUMIFS(tblSafety[LTI],tblSafety[Date],"&gt;="&amp;EDATE($E182,-12),tblSafety[Date],"&lt;="&amp;$A182)+SUMIFS(tblSafetyHistory[LTI],tblSafetyHistory[Month],"&gt;="&amp;EDATE($E182,-12),tblSafetyHistory[Month],"&lt;"&amp;$E182,tblSafetyHistory[Use],1))/(SUMIFS(tblSafety[Hours_Total],tblSafety[Date],"&gt;="&amp;EDATE($E182,-12),tblSafety[Date],"&lt;="&amp;$A182)+SUMIFS(tblSafetyHistory[Hours_Total],tblSafetyHistory[Month],"&gt;="&amp;EDATE($E182,-12),tblSafetyHistory[Month],"&lt;"&amp;$E182,tblSafetyHistory[Use],1))*cfg_RateBasisHours,"")</f>
        <v/>
      </c>
      <c r="IR182" s="62">
        <f>IF(MAX(N(cfg_PriorLTIDate),_xlfn.MAXIFS(tblSafety[Date],tblSafety[LTI],"&gt;0",tblSafety[Date],"&lt;="&amp;$A182))=0,"",$A182-MAX(N(cfg_PriorLTIDate),_xlfn.MAXIFS(tblSafety[Date],tblSafety[LTI],"&gt;0",tblSafety[Date],"&lt;="&amp;$A182)))</f>
        <v/>
      </c>
      <c r="IS182" s="55">
        <f>SUMIFS(tblBudget[Ore_Mined_t],tblBudget[Month],$E182)</f>
        <v/>
      </c>
      <c r="IT182" s="55">
        <f>$IS182*$C182/$D182</f>
        <v/>
      </c>
      <c r="IU182" s="55">
        <f>SUMIFS(tblBudget[Ore_Mined_t],tblBudget[Month],"&lt;"&amp;$E182)+$IT182</f>
        <v/>
      </c>
      <c r="IV182" s="55">
        <f>SUMIFS(tblBudget[Ore_oz],tblBudget[Month],$E182)</f>
        <v/>
      </c>
      <c r="IW182" s="55">
        <f>$IV182*$C182/$D182</f>
        <v/>
      </c>
      <c r="IX182" s="55">
        <f>SUMIFS(tblBudget[Ore_oz],tblBudget[Month],"&lt;"&amp;$E182)+$IW182</f>
        <v/>
      </c>
      <c r="IY182" s="55">
        <f>SUMIFS(tblBudget[Ore_Mined_t],tblBudget[Month],$E182)</f>
        <v/>
      </c>
      <c r="IZ182" s="55">
        <f>$IY182*$C182/$D182</f>
        <v/>
      </c>
      <c r="JA182" s="55">
        <f>SUMIFS(tblBudget[Ore_Mined_t],tblBudget[Month],"&lt;"&amp;$E182)+$IZ182</f>
        <v/>
      </c>
      <c r="JB182" s="56">
        <f>IFERROR(IF(($IY182)&gt;0,($IV182*cfg_TroyOz)/($IY182),""),"")</f>
        <v/>
      </c>
      <c r="JC182" s="56">
        <f>IFERROR(IF(($IZ182)&gt;0,($IW182*cfg_TroyOz)/($IZ182),""),"")</f>
        <v/>
      </c>
      <c r="JD182" s="56">
        <f>IFERROR(IF(($JA182)&gt;0,($IX182*cfg_TroyOz)/($JA182),""),"")</f>
        <v/>
      </c>
      <c r="JE182" s="55">
        <f>SUMIFS(tblBudget[Waste_t],tblBudget[Month],$E182)</f>
        <v/>
      </c>
      <c r="JF182" s="55">
        <f>$JE182*$C182/$D182</f>
        <v/>
      </c>
      <c r="JG182" s="55">
        <f>SUMIFS(tblBudget[Waste_t],tblBudget[Month],"&lt;"&amp;$E182)+$JF182</f>
        <v/>
      </c>
      <c r="JH182" s="55">
        <f>SUMIFS(tblBudget[TMM_t],tblBudget[Month],$E182)</f>
        <v/>
      </c>
      <c r="JI182" s="55">
        <f>$JH182*$C182/$D182</f>
        <v/>
      </c>
      <c r="JJ182" s="55">
        <f>SUMIFS(tblBudget[TMM_t],tblBudget[Month],"&lt;"&amp;$E182)+$JI182</f>
        <v/>
      </c>
      <c r="JK182" s="56">
        <f>IFERROR(IF(($IS182)&gt;0,($JE182)/($IS182),""),"")</f>
        <v/>
      </c>
      <c r="JL182" s="56">
        <f>IFERROR(IF(($IT182)&gt;0,($JF182)/($IT182),""),"")</f>
        <v/>
      </c>
      <c r="JM182" s="56">
        <f>IFERROR(IF(($IU182)&gt;0,($JG182)/($IU182),""),"")</f>
        <v/>
      </c>
      <c r="JN182" s="55">
        <f>SUMIFS(tblBudget[Drill_m],tblBudget[Month],$E182)</f>
        <v/>
      </c>
      <c r="JO182" s="55">
        <f>$JN182*$C182/$D182</f>
        <v/>
      </c>
      <c r="JP182" s="55">
        <f>SUMIFS(tblBudget[Drill_m],tblBudget[Month],"&lt;"&amp;$E182)+$JO182</f>
        <v/>
      </c>
      <c r="JQ182" s="55">
        <f>SUMIFS(tblBudget[Diesel_L],tblBudget[Month],$E182)</f>
        <v/>
      </c>
      <c r="JR182" s="55">
        <f>$JQ182*$C182/$D182</f>
        <v/>
      </c>
      <c r="JS182" s="55">
        <f>SUMIFS(tblBudget[Diesel_L],tblBudget[Month],"&lt;"&amp;$E182)+$JR182</f>
        <v/>
      </c>
      <c r="JT182" s="55">
        <f>SUMIFS(tblBudget[Milled_t],tblBudget[Month],$E182)</f>
        <v/>
      </c>
      <c r="JU182" s="55">
        <f>$JT182*$C182/$D182</f>
        <v/>
      </c>
      <c r="JV182" s="55">
        <f>SUMIFS(tblBudget[Milled_t],tblBudget[Month],"&lt;"&amp;$E182)+$JU182</f>
        <v/>
      </c>
      <c r="JW182" s="55">
        <f>SUMIFS(tblBudget[Feed_oz],tblBudget[Month],$E182)</f>
        <v/>
      </c>
      <c r="JX182" s="55">
        <f>$JW182*$C182/$D182</f>
        <v/>
      </c>
      <c r="JY182" s="55">
        <f>SUMIFS(tblBudget[Feed_oz],tblBudget[Month],"&lt;"&amp;$E182)+$JX182</f>
        <v/>
      </c>
      <c r="JZ182" s="55">
        <f>SUMIFS(tblBudget[Recovered_oz],tblBudget[Month],$E182)</f>
        <v/>
      </c>
      <c r="KA182" s="55">
        <f>$JZ182*$C182/$D182</f>
        <v/>
      </c>
      <c r="KB182" s="55">
        <f>SUMIFS(tblBudget[Recovered_oz],tblBudget[Month],"&lt;"&amp;$E182)+$KA182</f>
        <v/>
      </c>
      <c r="KC182" s="55">
        <f>SUMIFS(tblBudget[Milled_t],tblBudget[Month],$E182)</f>
        <v/>
      </c>
      <c r="KD182" s="55">
        <f>$KC182*$C182/$D182</f>
        <v/>
      </c>
      <c r="KE182" s="55">
        <f>SUMIFS(tblBudget[Milled_t],tblBudget[Month],"&lt;"&amp;$E182)+$KD182</f>
        <v/>
      </c>
      <c r="KF182" s="55">
        <f>SUMIFS(tblBudget[Feed_oz],tblBudget[Month],$E182)</f>
        <v/>
      </c>
      <c r="KG182" s="55">
        <f>$KF182*$C182/$D182</f>
        <v/>
      </c>
      <c r="KH182" s="55">
        <f>SUMIFS(tblBudget[Feed_oz],tblBudget[Month],"&lt;"&amp;$E182)+$KG182</f>
        <v/>
      </c>
      <c r="KI182" s="56">
        <f>IFERROR(IF(($KC182)&gt;0,($JW182*cfg_TroyOz)/($KC182),""),"")</f>
        <v/>
      </c>
      <c r="KJ182" s="56">
        <f>IFERROR(IF(($KD182)&gt;0,($JX182*cfg_TroyOz)/($KD182),""),"")</f>
        <v/>
      </c>
      <c r="KK182" s="56">
        <f>IFERROR(IF(($KE182)&gt;0,($JY182*cfg_TroyOz)/($KE182),""),"")</f>
        <v/>
      </c>
      <c r="KL182" s="67">
        <f>IFERROR(IF(($KF182)&gt;0,($JZ182)/($KF182),""),"")</f>
        <v/>
      </c>
      <c r="KM182" s="67">
        <f>IFERROR(IF(($KG182)&gt;0,($KA182)/($KG182),""),"")</f>
        <v/>
      </c>
      <c r="KN182" s="67">
        <f>IFERROR(IF(($KH182)&gt;0,($KB182)/($KH182),""),"")</f>
        <v/>
      </c>
      <c r="KO182" s="55">
        <f>SUMIFS(tblBudget[Gold_Poured_oz],tblBudget[Month],$E182)</f>
        <v/>
      </c>
      <c r="KP182" s="55">
        <f>$KO182*$C182/$D182</f>
        <v/>
      </c>
      <c r="KQ182" s="55">
        <f>SUMIFS(tblBudget[Gold_Poured_oz],tblBudget[Month],"&lt;"&amp;$E182)+$KP182</f>
        <v/>
      </c>
      <c r="KR182" s="57">
        <f>SUMIFS(tblBudget[Hours_Worked],tblBudget[Month],$E182)</f>
        <v/>
      </c>
      <c r="KS182" s="57">
        <f>$KR182*$C182/$D182</f>
        <v/>
      </c>
      <c r="KT182" s="57">
        <f>SUMIFS(tblBudget[Hours_Worked],tblBudget[Month],"&lt;"&amp;$E182)+$KS182</f>
        <v/>
      </c>
    </row>
    <row r="183">
      <c r="A183" s="54" t="n">
        <v>46204</v>
      </c>
      <c r="B183">
        <f>MONTH($A183)</f>
        <v/>
      </c>
      <c r="C183">
        <f>DAY($A183)</f>
        <v/>
      </c>
      <c r="D183">
        <f>DAY(EOMONTH($A183,0))</f>
        <v/>
      </c>
      <c r="E183" s="54">
        <f>DATE(YEAR($A183),MONTH($A183),1)</f>
        <v/>
      </c>
      <c r="F183" s="55">
        <f>SUMIFS(tblMovement[Tonnes_t],tblMovement[Date],$A183,tblMovement[Is_Ore],1,tblMovement[Source_Type],"Pit")</f>
        <v/>
      </c>
      <c r="G183" s="55">
        <f>IF($B183=$B182,$G182,0)+$F183</f>
        <v/>
      </c>
      <c r="H183" s="55">
        <f>$H182+$F183</f>
        <v/>
      </c>
      <c r="I183" s="55">
        <f>SUMIFS(tblMovement[Ore_oz],tblMovement[Date],$A183,tblMovement[Source_Type],"Pit")</f>
        <v/>
      </c>
      <c r="J183" s="55">
        <f>IF($B183=$B182,$J182,0)+$I183</f>
        <v/>
      </c>
      <c r="K183" s="55">
        <f>$K182+$I183</f>
        <v/>
      </c>
      <c r="L183" s="55">
        <f>SUMIFS(tblMovement[Tonnes_t],tblMovement[Date],$A183,tblMovement[Is_Ore],1,tblMovement[Source_Type],"Pit",tblMovement[Grade_gpt],"&lt;&gt;")</f>
        <v/>
      </c>
      <c r="M183" s="55">
        <f>IF($B183=$B182,$M182,0)+$L183</f>
        <v/>
      </c>
      <c r="N183" s="55">
        <f>$N182+$L183</f>
        <v/>
      </c>
      <c r="O183" s="56">
        <f>IFERROR(IF(($L183)&gt;0,($I183*cfg_TroyOz)/($L183),""),"")</f>
        <v/>
      </c>
      <c r="P183" s="56">
        <f>IFERROR(IF(($M183)&gt;0,($J183*cfg_TroyOz)/($M183),""),"")</f>
        <v/>
      </c>
      <c r="Q183" s="56">
        <f>IFERROR(IF(($N183)&gt;0,($K183*cfg_TroyOz)/($N183),""),"")</f>
        <v/>
      </c>
      <c r="R183" s="55">
        <f>$F183-$L183</f>
        <v/>
      </c>
      <c r="S183" s="55">
        <f>IF($B183=$B182,$S182,0)+$R183</f>
        <v/>
      </c>
      <c r="T183" s="55">
        <f>$T182+$R183</f>
        <v/>
      </c>
      <c r="U183" s="55">
        <f>SUMIFS(tblMovement[Tonnes_t],tblMovement[Date],$A183,tblMovement[Is_Ore],0,tblMovement[Source_Type],"Pit")</f>
        <v/>
      </c>
      <c r="V183" s="55">
        <f>IF($B183=$B182,$V182,0)+$U183</f>
        <v/>
      </c>
      <c r="W183" s="55">
        <f>$W182+$U183</f>
        <v/>
      </c>
      <c r="X183" s="55">
        <f>$F183+$U183</f>
        <v/>
      </c>
      <c r="Y183" s="55">
        <f>IF($B183=$B182,$Y182,0)+$X183</f>
        <v/>
      </c>
      <c r="Z183" s="55">
        <f>$Z182+$X183</f>
        <v/>
      </c>
      <c r="AA183" s="56">
        <f>IFERROR(IF(($F183)&gt;0,($U183)/($F183),""),"")</f>
        <v/>
      </c>
      <c r="AB183" s="56">
        <f>IFERROR(IF(($G183)&gt;0,($V183)/($G183),""),"")</f>
        <v/>
      </c>
      <c r="AC183" s="56">
        <f>IFERROR(IF(($H183)&gt;0,($W183)/($H183),""),"")</f>
        <v/>
      </c>
      <c r="AD183" s="55">
        <f>SUMIFS(tblMovement[Tonnes_t],tblMovement[Date],$A183,tblMovement[Source_Type],"Stockpile")</f>
        <v/>
      </c>
      <c r="AE183" s="55">
        <f>IF($B183=$B182,$AE182,0)+$AD183</f>
        <v/>
      </c>
      <c r="AF183" s="55">
        <f>$AF182+$AD183</f>
        <v/>
      </c>
      <c r="AG183" s="55">
        <f>SUMIFS(tblMovement[Tonnes_t],tblMovement[Date],$A183)</f>
        <v/>
      </c>
      <c r="AH183" s="55">
        <f>IF($B183=$B182,$AH182,0)+$AG183</f>
        <v/>
      </c>
      <c r="AI183" s="55">
        <f>$AI182+$AG183</f>
        <v/>
      </c>
      <c r="AJ183" s="55">
        <f>$AG183-$X183-$AD183</f>
        <v/>
      </c>
      <c r="AK183" s="55">
        <f>IF($B183=$B182,$AK182,0)+$AJ183</f>
        <v/>
      </c>
      <c r="AL183" s="55">
        <f>$AL182+$AJ183</f>
        <v/>
      </c>
      <c r="AM183" s="55">
        <f>SUMIFS(tblMiningDaily[Drill_m],tblMiningDaily[Date],$A183)</f>
        <v/>
      </c>
      <c r="AN183" s="55">
        <f>IF($B183=$B182,$AN182,0)+$AM183</f>
        <v/>
      </c>
      <c r="AO183" s="55">
        <f>$AO182+$AM183</f>
        <v/>
      </c>
      <c r="AP183" s="55">
        <f>SUMIFS(tblMiningDaily[GC_Drill_m],tblMiningDaily[Date],$A183)</f>
        <v/>
      </c>
      <c r="AQ183" s="55">
        <f>IF($B183=$B182,$AQ182,0)+$AP183</f>
        <v/>
      </c>
      <c r="AR183" s="55">
        <f>$AR182+$AP183</f>
        <v/>
      </c>
      <c r="AS183" s="55">
        <f>SUMIFS(tblMiningDaily[Blast_t],tblMiningDaily[Date],$A183)</f>
        <v/>
      </c>
      <c r="AT183" s="55">
        <f>IF($B183=$B182,$AT182,0)+$AS183</f>
        <v/>
      </c>
      <c r="AU183" s="55">
        <f>$AU182+$AS183</f>
        <v/>
      </c>
      <c r="AV183" s="55">
        <f>SUMIFS(tblMiningDaily[Explosives_kg],tblMiningDaily[Date],$A183)</f>
        <v/>
      </c>
      <c r="AW183" s="55">
        <f>IF($B183=$B182,$AW182,0)+$AV183</f>
        <v/>
      </c>
      <c r="AX183" s="55">
        <f>$AX182+$AV183</f>
        <v/>
      </c>
      <c r="AY183" s="56">
        <f>IFERROR(IF(($AS183)&gt;0,($AV183)/($AS183),""),"")</f>
        <v/>
      </c>
      <c r="AZ183" s="56">
        <f>IFERROR(IF(($AT183)&gt;0,($AW183)/($AT183),""),"")</f>
        <v/>
      </c>
      <c r="BA183" s="56">
        <f>IFERROR(IF(($AU183)&gt;0,($AX183)/($AU183),""),"")</f>
        <v/>
      </c>
      <c r="BB183" s="55">
        <f>SUMIFS(tblMiningDaily[Diesel_L],tblMiningDaily[Date],$A183)</f>
        <v/>
      </c>
      <c r="BC183" s="55">
        <f>IF($B183=$B182,$BC182,0)+$BB183</f>
        <v/>
      </c>
      <c r="BD183" s="55">
        <f>$BD182+$BB183</f>
        <v/>
      </c>
      <c r="BE183" s="55">
        <f>SUMIFS(tblMiningDaily[Dewatering_m3],tblMiningDaily[Date],$A183)</f>
        <v/>
      </c>
      <c r="BF183" s="55">
        <f>IF($B183=$B182,$BF182,0)+$BE183</f>
        <v/>
      </c>
      <c r="BG183" s="55">
        <f>$BG182+$BE183</f>
        <v/>
      </c>
      <c r="BH183" s="57">
        <f>SUMIFS(tblFleet[Calendar_h],tblFleet[Date],$A183,tblFleet[Equipment_Class],"Excavator")</f>
        <v/>
      </c>
      <c r="BI183" s="57">
        <f>IF($B183=$B182,$BI182,0)+$BH183</f>
        <v/>
      </c>
      <c r="BJ183" s="57">
        <f>$BJ182+$BH183</f>
        <v/>
      </c>
      <c r="BK183" s="57">
        <f>SUMIFS(tblFleet[Available_h],tblFleet[Date],$A183,tblFleet[Equipment_Class],"Excavator")</f>
        <v/>
      </c>
      <c r="BL183" s="57">
        <f>IF($B183=$B182,$BL182,0)+$BK183</f>
        <v/>
      </c>
      <c r="BM183" s="57">
        <f>$BM182+$BK183</f>
        <v/>
      </c>
      <c r="BN183" s="57">
        <f>SUMIFS(tblFleet[Operating_h],tblFleet[Date],$A183,tblFleet[Equipment_Class],"Excavator")</f>
        <v/>
      </c>
      <c r="BO183" s="57">
        <f>IF($B183=$B182,$BO182,0)+$BN183</f>
        <v/>
      </c>
      <c r="BP183" s="57">
        <f>$BP182+$BN183</f>
        <v/>
      </c>
      <c r="BQ183" s="67">
        <f>IFERROR(IF(($BH183)&gt;0,($BK183)/($BH183),""),"")</f>
        <v/>
      </c>
      <c r="BR183" s="67">
        <f>IFERROR(IF(($BI183)&gt;0,($BL183)/($BI183),""),"")</f>
        <v/>
      </c>
      <c r="BS183" s="67">
        <f>IFERROR(IF(($BJ183)&gt;0,($BM183)/($BJ183),""),"")</f>
        <v/>
      </c>
      <c r="BT183" s="67">
        <f>IFERROR(IF(($BK183)&gt;0,($BN183)/($BK183),""),"")</f>
        <v/>
      </c>
      <c r="BU183" s="67">
        <f>IFERROR(IF(($BL183)&gt;0,($BO183)/($BL183),""),"")</f>
        <v/>
      </c>
      <c r="BV183" s="67">
        <f>IFERROR(IF(($BM183)&gt;0,($BP183)/($BM183),""),"")</f>
        <v/>
      </c>
      <c r="BW183" s="57">
        <f>SUMIFS(tblFleet[Calendar_h],tblFleet[Date],$A183,tblFleet[Equipment_Class],"Haul Truck")</f>
        <v/>
      </c>
      <c r="BX183" s="57">
        <f>IF($B183=$B182,$BX182,0)+$BW183</f>
        <v/>
      </c>
      <c r="BY183" s="57">
        <f>$BY182+$BW183</f>
        <v/>
      </c>
      <c r="BZ183" s="57">
        <f>SUMIFS(tblFleet[Available_h],tblFleet[Date],$A183,tblFleet[Equipment_Class],"Haul Truck")</f>
        <v/>
      </c>
      <c r="CA183" s="57">
        <f>IF($B183=$B182,$CA182,0)+$BZ183</f>
        <v/>
      </c>
      <c r="CB183" s="57">
        <f>$CB182+$BZ183</f>
        <v/>
      </c>
      <c r="CC183" s="57">
        <f>SUMIFS(tblFleet[Operating_h],tblFleet[Date],$A183,tblFleet[Equipment_Class],"Haul Truck")</f>
        <v/>
      </c>
      <c r="CD183" s="57">
        <f>IF($B183=$B182,$CD182,0)+$CC183</f>
        <v/>
      </c>
      <c r="CE183" s="57">
        <f>$CE182+$CC183</f>
        <v/>
      </c>
      <c r="CF183" s="67">
        <f>IFERROR(IF(($BW183)&gt;0,($BZ183)/($BW183),""),"")</f>
        <v/>
      </c>
      <c r="CG183" s="67">
        <f>IFERROR(IF(($BX183)&gt;0,($CA183)/($BX183),""),"")</f>
        <v/>
      </c>
      <c r="CH183" s="67">
        <f>IFERROR(IF(($BY183)&gt;0,($CB183)/($BY183),""),"")</f>
        <v/>
      </c>
      <c r="CI183" s="67">
        <f>IFERROR(IF(($BZ183)&gt;0,($CC183)/($BZ183),""),"")</f>
        <v/>
      </c>
      <c r="CJ183" s="67">
        <f>IFERROR(IF(($CA183)&gt;0,($CD183)/($CA183),""),"")</f>
        <v/>
      </c>
      <c r="CK183" s="67">
        <f>IFERROR(IF(($CB183)&gt;0,($CE183)/($CB183),""),"")</f>
        <v/>
      </c>
      <c r="CL183" s="55">
        <f>IFERROR(IF(($BN183)&gt;0,($X183+$AD183)/($BN183),""),"")</f>
        <v/>
      </c>
      <c r="CM183" s="55">
        <f>IFERROR(IF(($BO183)&gt;0,($Y183+$AE183)/($BO183),""),"")</f>
        <v/>
      </c>
      <c r="CN183" s="55">
        <f>IFERROR(IF(($BP183)&gt;0,($Z183+$AF183)/($BP183),""),"")</f>
        <v/>
      </c>
      <c r="CO183" s="55">
        <f>IFERROR(IF(($CC183)&gt;0,($X183+$AD183)/($CC183),""),"")</f>
        <v/>
      </c>
      <c r="CP183" s="55">
        <f>IFERROR(IF(($CD183)&gt;0,($Y183+$AE183)/($CD183),""),"")</f>
        <v/>
      </c>
      <c r="CQ183" s="55">
        <f>IFERROR(IF(($CE183)&gt;0,($Z183+$AF183)/($CE183),""),"")</f>
        <v/>
      </c>
      <c r="CR183" s="55">
        <f>SUMIFS(tblPlant[Crushed_t],tblPlant[Date],$A183)</f>
        <v/>
      </c>
      <c r="CS183" s="55">
        <f>IF($B183=$B182,$CS182,0)+$CR183</f>
        <v/>
      </c>
      <c r="CT183" s="55">
        <f>$CT182+$CR183</f>
        <v/>
      </c>
      <c r="CU183" s="55">
        <f>SUMIFS(tblPlant[Milled_t],tblPlant[Date],$A183)</f>
        <v/>
      </c>
      <c r="CV183" s="55">
        <f>IF($B183=$B182,$CV182,0)+$CU183</f>
        <v/>
      </c>
      <c r="CW183" s="55">
        <f>$CW182+$CU183</f>
        <v/>
      </c>
      <c r="CX183" s="55">
        <f>SUMIFS(tblPlant[Feed_oz],tblPlant[Date],$A183)</f>
        <v/>
      </c>
      <c r="CY183" s="55">
        <f>IF($B183=$B182,$CY182,0)+$CX183</f>
        <v/>
      </c>
      <c r="CZ183" s="55">
        <f>$CZ182+$CX183</f>
        <v/>
      </c>
      <c r="DA183" s="55">
        <f>SUMIFS(tblPlant[Tails_oz],tblPlant[Date],$A183)</f>
        <v/>
      </c>
      <c r="DB183" s="55">
        <f>IF($B183=$B182,$DB182,0)+$DA183</f>
        <v/>
      </c>
      <c r="DC183" s="55">
        <f>$DC182+$DA183</f>
        <v/>
      </c>
      <c r="DD183" s="55">
        <f>SUMIFS(tblPlant[Recovered_oz],tblPlant[Date],$A183)</f>
        <v/>
      </c>
      <c r="DE183" s="55">
        <f>IF($B183=$B182,$DE182,0)+$DD183</f>
        <v/>
      </c>
      <c r="DF183" s="55">
        <f>$DF182+$DD183</f>
        <v/>
      </c>
      <c r="DG183" s="55">
        <f>SUMIFS(tblPlant[Milled_t],tblPlant[Date],$A183,tblPlant[Head_Grade_gpt],"&lt;&gt;")</f>
        <v/>
      </c>
      <c r="DH183" s="55">
        <f>IF($B183=$B182,$DH182,0)+$DG183</f>
        <v/>
      </c>
      <c r="DI183" s="55">
        <f>$DI182+$DG183</f>
        <v/>
      </c>
      <c r="DJ183" s="55">
        <f>SUMIFS(tblPlant[Milled_t],tblPlant[Date],$A183,tblPlant[Tails_Grade_gpt],"&lt;&gt;")</f>
        <v/>
      </c>
      <c r="DK183" s="55">
        <f>IF($B183=$B182,$DK182,0)+$DJ183</f>
        <v/>
      </c>
      <c r="DL183" s="55">
        <f>$DL182+$DJ183</f>
        <v/>
      </c>
      <c r="DM183" s="55">
        <f>SUMIFS(tblPlant[Feed_oz],tblPlant[Date],$A183,tblPlant[Tails_Grade_gpt],"&lt;&gt;")</f>
        <v/>
      </c>
      <c r="DN183" s="55">
        <f>IF($B183=$B182,$DN182,0)+$DM183</f>
        <v/>
      </c>
      <c r="DO183" s="55">
        <f>$DO182+$DM183</f>
        <v/>
      </c>
      <c r="DP183" s="55">
        <f>SUMIFS(tblPlant[Milled_t],tblPlant[Date],$A183,tblPlant[Mill_Run_h],"&lt;&gt;")</f>
        <v/>
      </c>
      <c r="DQ183" s="55">
        <f>IF($B183=$B182,$DQ182,0)+$DP183</f>
        <v/>
      </c>
      <c r="DR183" s="55">
        <f>$DR182+$DP183</f>
        <v/>
      </c>
      <c r="DS183" s="56">
        <f>IFERROR(IF(($DG183)&gt;0,($CX183*cfg_TroyOz)/($DG183),""),"")</f>
        <v/>
      </c>
      <c r="DT183" s="56">
        <f>IFERROR(IF(($DH183)&gt;0,($CY183*cfg_TroyOz)/($DH183),""),"")</f>
        <v/>
      </c>
      <c r="DU183" s="56">
        <f>IFERROR(IF(($DI183)&gt;0,($CZ183*cfg_TroyOz)/($DI183),""),"")</f>
        <v/>
      </c>
      <c r="DV183" s="56">
        <f>IFERROR(IF(($DJ183)&gt;0,($DA183*cfg_TroyOz)/($DJ183),""),"")</f>
        <v/>
      </c>
      <c r="DW183" s="56">
        <f>IFERROR(IF(($DK183)&gt;0,($DB183*cfg_TroyOz)/($DK183),""),"")</f>
        <v/>
      </c>
      <c r="DX183" s="56">
        <f>IFERROR(IF(($DL183)&gt;0,($DC183*cfg_TroyOz)/($DL183),""),"")</f>
        <v/>
      </c>
      <c r="DY183" s="67">
        <f>IFERROR(IF(($DM183)&gt;0,($DD183)/($DM183),""),"")</f>
        <v/>
      </c>
      <c r="DZ183" s="67">
        <f>IFERROR(IF(($DN183)&gt;0,($DE183)/($DN183),""),"")</f>
        <v/>
      </c>
      <c r="EA183" s="67">
        <f>IFERROR(IF(($DO183)&gt;0,($DF183)/($DO183),""),"")</f>
        <v/>
      </c>
      <c r="EB183" s="55">
        <f>SUMIFS(tblPlant[Gravity_Gold_oz],tblPlant[Date],$A183)</f>
        <v/>
      </c>
      <c r="EC183" s="55">
        <f>IF($B183=$B182,$EC182,0)+$EB183</f>
        <v/>
      </c>
      <c r="ED183" s="55">
        <f>$ED182+$EB183</f>
        <v/>
      </c>
      <c r="EE183" s="67">
        <f>IFERROR(IF(($DD183)&gt;0,($EB183)/($DD183),""),"")</f>
        <v/>
      </c>
      <c r="EF183" s="67">
        <f>IFERROR(IF(($DE183)&gt;0,($EC183)/($DE183),""),"")</f>
        <v/>
      </c>
      <c r="EG183" s="67">
        <f>IFERROR(IF(($DF183)&gt;0,($ED183)/($DF183),""),"")</f>
        <v/>
      </c>
      <c r="EH183" s="55">
        <f>SUMIFS(tblPlant[Gold_Poured_oz],tblPlant[Date],$A183)</f>
        <v/>
      </c>
      <c r="EI183" s="55">
        <f>IF($B183=$B182,$EI182,0)+$EH183</f>
        <v/>
      </c>
      <c r="EJ183" s="55">
        <f>$EJ182+$EH183</f>
        <v/>
      </c>
      <c r="EK183" s="57">
        <f>SUMIFS(tblPlant[Mill_Run_h],tblPlant[Date],$A183)</f>
        <v/>
      </c>
      <c r="EL183" s="57">
        <f>IF($B183=$B182,$EL182,0)+$EK183</f>
        <v/>
      </c>
      <c r="EM183" s="57">
        <f>$EM182+$EK183</f>
        <v/>
      </c>
      <c r="EN183" s="57">
        <f>SUMIFS(tblPlant[Mill_Planned_Maint_h],tblPlant[Date],$A183)</f>
        <v/>
      </c>
      <c r="EO183" s="57">
        <f>IF($B183=$B182,$EO182,0)+$EN183</f>
        <v/>
      </c>
      <c r="EP183" s="57">
        <f>$EP182+$EN183</f>
        <v/>
      </c>
      <c r="EQ183" s="57">
        <f>SUMIFS(tblPlant[Mill_Unplanned_Down_h],tblPlant[Date],$A183)</f>
        <v/>
      </c>
      <c r="ER183" s="57">
        <f>IF($B183=$B182,$ER182,0)+$EQ183</f>
        <v/>
      </c>
      <c r="ES183" s="57">
        <f>$ES182+$EQ183</f>
        <v/>
      </c>
      <c r="ET183" s="57">
        <f>IF(COUNTIFS(tblPlant[Date],$A183,tblPlant[Mill_Run_h],"&lt;&gt;")+COUNTIFS(tblPlant[Date],$A183,tblPlant[Mill_Planned_Maint_h],"&lt;&gt;")+COUNTIFS(tblPlant[Date],$A183,tblPlant[Mill_Unplanned_Down_h],"&lt;&gt;")&gt;0,cfg_HoursPerDay,0)</f>
        <v/>
      </c>
      <c r="EU183" s="57">
        <f>IF($B183=$B182,$EU182,0)+$ET183</f>
        <v/>
      </c>
      <c r="EV183" s="57">
        <f>$EV182+$ET183</f>
        <v/>
      </c>
      <c r="EW183" s="57">
        <f>SUMIFS(tblPlant[Crusher_Run_h],tblPlant[Date],$A183)</f>
        <v/>
      </c>
      <c r="EX183" s="57">
        <f>IF($B183=$B182,$EX182,0)+$EW183</f>
        <v/>
      </c>
      <c r="EY183" s="57">
        <f>$EY182+$EW183</f>
        <v/>
      </c>
      <c r="EZ183" s="55">
        <f>IFERROR(IF(($EK183)&gt;0,($DP183)/($EK183),""),"")</f>
        <v/>
      </c>
      <c r="FA183" s="55">
        <f>IFERROR(IF(($EL183)&gt;0,($DQ183)/($EL183),""),"")</f>
        <v/>
      </c>
      <c r="FB183" s="55">
        <f>IFERROR(IF(($EM183)&gt;0,($DR183)/($EM183),""),"")</f>
        <v/>
      </c>
      <c r="FC183" s="67">
        <f>IFERROR(IF(($ET183)&gt;0,($ET183-$EN183-$EQ183)/($ET183),""),"")</f>
        <v/>
      </c>
      <c r="FD183" s="67">
        <f>IFERROR(IF(($EU183)&gt;0,($EU183-$EO183-$ER183)/($EU183),""),"")</f>
        <v/>
      </c>
      <c r="FE183" s="67">
        <f>IFERROR(IF(($EV183)&gt;0,($EV183-$EP183-$ES183)/($EV183),""),"")</f>
        <v/>
      </c>
      <c r="FF183" s="67">
        <f>IFERROR(IF(($ET183-$EN183-$EQ183)&gt;0,($EK183)/($ET183-$EN183-$EQ183),""),"")</f>
        <v/>
      </c>
      <c r="FG183" s="67">
        <f>IFERROR(IF(($EU183-$EO183-$ER183)&gt;0,($EL183)/($EU183-$EO183-$ER183),""),"")</f>
        <v/>
      </c>
      <c r="FH183" s="67">
        <f>IFERROR(IF(($EV183-$EP183-$ES183)&gt;0,($EM183)/($EV183-$EP183-$ES183),""),"")</f>
        <v/>
      </c>
      <c r="FI183" s="55">
        <f>SUMIFS(tblPlant[Cyanide_kg],tblPlant[Date],$A183)</f>
        <v/>
      </c>
      <c r="FJ183" s="55">
        <f>IF($B183=$B182,$FJ182,0)+$FI183</f>
        <v/>
      </c>
      <c r="FK183" s="55">
        <f>$FK182+$FI183</f>
        <v/>
      </c>
      <c r="FL183" s="55">
        <f>SUMIFS(tblPlant[Lime_kg],tblPlant[Date],$A183)</f>
        <v/>
      </c>
      <c r="FM183" s="55">
        <f>IF($B183=$B182,$FM182,0)+$FL183</f>
        <v/>
      </c>
      <c r="FN183" s="55">
        <f>$FN182+$FL183</f>
        <v/>
      </c>
      <c r="FO183" s="55">
        <f>SUMIFS(tblPlant[Grinding_Media_kg],tblPlant[Date],$A183)</f>
        <v/>
      </c>
      <c r="FP183" s="55">
        <f>IF($B183=$B182,$FP182,0)+$FO183</f>
        <v/>
      </c>
      <c r="FQ183" s="55">
        <f>$FQ182+$FO183</f>
        <v/>
      </c>
      <c r="FR183" s="55">
        <f>SUMIFS(tblPlant[Power_kWh],tblPlant[Date],$A183)</f>
        <v/>
      </c>
      <c r="FS183" s="55">
        <f>IF($B183=$B182,$FS182,0)+$FR183</f>
        <v/>
      </c>
      <c r="FT183" s="55">
        <f>$FT182+$FR183</f>
        <v/>
      </c>
      <c r="FU183" s="55">
        <f>SUMIFS(tblPlant[Raw_Water_m3],tblPlant[Date],$A183)</f>
        <v/>
      </c>
      <c r="FV183" s="55">
        <f>IF($B183=$B182,$FV182,0)+$FU183</f>
        <v/>
      </c>
      <c r="FW183" s="55">
        <f>$FW182+$FU183</f>
        <v/>
      </c>
      <c r="FX183" s="56">
        <f>IFERROR(IF(($CU183)&gt;0,($FI183)/($CU183),""),"")</f>
        <v/>
      </c>
      <c r="FY183" s="56">
        <f>IFERROR(IF(($CV183)&gt;0,($FJ183)/($CV183),""),"")</f>
        <v/>
      </c>
      <c r="FZ183" s="56">
        <f>IFERROR(IF(($CW183)&gt;0,($FK183)/($CW183),""),"")</f>
        <v/>
      </c>
      <c r="GA183" s="56">
        <f>IFERROR(IF(($CU183)&gt;0,($FL183)/($CU183),""),"")</f>
        <v/>
      </c>
      <c r="GB183" s="56">
        <f>IFERROR(IF(($CV183)&gt;0,($FM183)/($CV183),""),"")</f>
        <v/>
      </c>
      <c r="GC183" s="56">
        <f>IFERROR(IF(($CW183)&gt;0,($FN183)/($CW183),""),"")</f>
        <v/>
      </c>
      <c r="GD183" s="56">
        <f>IFERROR(IF(($CU183)&gt;0,($FO183)/($CU183),""),"")</f>
        <v/>
      </c>
      <c r="GE183" s="56">
        <f>IFERROR(IF(($CV183)&gt;0,($FP183)/($CV183),""),"")</f>
        <v/>
      </c>
      <c r="GF183" s="56">
        <f>IFERROR(IF(($CW183)&gt;0,($FQ183)/($CW183),""),"")</f>
        <v/>
      </c>
      <c r="GG183" s="79">
        <f>IFERROR(IF(($CU183)&gt;0,($FR183)/($CU183),""),"")</f>
        <v/>
      </c>
      <c r="GH183" s="79">
        <f>IFERROR(IF(($CV183)&gt;0,($FS183)/($CV183),""),"")</f>
        <v/>
      </c>
      <c r="GI183" s="79">
        <f>IFERROR(IF(($CW183)&gt;0,($FT183)/($CW183),""),"")</f>
        <v/>
      </c>
      <c r="GJ183" s="56">
        <f>IFERROR(IF(($CU183)&gt;0,($FU183)/($CU183),""),"")</f>
        <v/>
      </c>
      <c r="GK183" s="56">
        <f>IFERROR(IF(($CV183)&gt;0,($FV183)/($CV183),""),"")</f>
        <v/>
      </c>
      <c r="GL183" s="56">
        <f>IFERROR(IF(($CW183)&gt;0,($FW183)/($CW183),""),"")</f>
        <v/>
      </c>
      <c r="GM183" s="55">
        <f>IF(SUMIFS(tblPlant[GIC_oz],tblPlant[Date],$A183)&gt;0,SUMIFS(tblPlant[GIC_oz],tblPlant[Date],$A183),"")</f>
        <v/>
      </c>
      <c r="GN183" s="55">
        <f>SUMIFS(tblGold[Gold_oz],tblGold[Date],$A183,tblGold[Type],"Shipment")</f>
        <v/>
      </c>
      <c r="GO183" s="55">
        <f>IF($B183=$B182,$GO182,0)+$GN183</f>
        <v/>
      </c>
      <c r="GP183" s="55">
        <f>$GP182+$GN183</f>
        <v/>
      </c>
      <c r="GQ183" s="55">
        <f>SUMIFS(tblGold[Gold_oz],tblGold[Date],$A183,tblGold[Type],"Sale")</f>
        <v/>
      </c>
      <c r="GR183" s="55">
        <f>IF($B183=$B182,$GR182,0)+$GQ183</f>
        <v/>
      </c>
      <c r="GS183" s="55">
        <f>$GS182+$GQ183</f>
        <v/>
      </c>
      <c r="GT183" s="55">
        <f>SUMIFS(tblGold[Dore_kg],tblGold[Date],$A183,tblGold[Type],"Shipment")</f>
        <v/>
      </c>
      <c r="GU183" s="55">
        <f>IF($B183=$B182,$GU182,0)+$GT183</f>
        <v/>
      </c>
      <c r="GV183" s="55">
        <f>$GV182+$GT183</f>
        <v/>
      </c>
      <c r="GW183" s="57">
        <f>SUMIFS(tblSafety[Hours_Total],tblSafety[Date],$A183)</f>
        <v/>
      </c>
      <c r="GX183" s="57">
        <f>IF($B183=$B182,$GX182,0)+$GW183</f>
        <v/>
      </c>
      <c r="GY183" s="57">
        <f>$GY182+$GW183</f>
        <v/>
      </c>
      <c r="GZ183" s="62">
        <f>SUMIFS(tblSafety[Fatality],tblSafety[Date],$A183)</f>
        <v/>
      </c>
      <c r="HA183" s="62">
        <f>IF($B183=$B182,$HA182,0)+$GZ183</f>
        <v/>
      </c>
      <c r="HB183" s="62">
        <f>$HB182+$GZ183</f>
        <v/>
      </c>
      <c r="HC183" s="62">
        <f>SUMIFS(tblSafety[LTI],tblSafety[Date],$A183)</f>
        <v/>
      </c>
      <c r="HD183" s="62">
        <f>IF($B183=$B182,$HD182,0)+$HC183</f>
        <v/>
      </c>
      <c r="HE183" s="62">
        <f>$HE182+$HC183</f>
        <v/>
      </c>
      <c r="HF183" s="62">
        <f>SUMIFS(tblSafety[RWI],tblSafety[Date],$A183)</f>
        <v/>
      </c>
      <c r="HG183" s="62">
        <f>IF($B183=$B182,$HG182,0)+$HF183</f>
        <v/>
      </c>
      <c r="HH183" s="62">
        <f>$HH182+$HF183</f>
        <v/>
      </c>
      <c r="HI183" s="62">
        <f>SUMIFS(tblSafety[MTI],tblSafety[Date],$A183)</f>
        <v/>
      </c>
      <c r="HJ183" s="62">
        <f>IF($B183=$B182,$HJ182,0)+$HI183</f>
        <v/>
      </c>
      <c r="HK183" s="62">
        <f>$HK182+$HI183</f>
        <v/>
      </c>
      <c r="HL183" s="62">
        <f>SUMIFS(tblSafety[FAI],tblSafety[Date],$A183)</f>
        <v/>
      </c>
      <c r="HM183" s="62">
        <f>IF($B183=$B182,$HM182,0)+$HL183</f>
        <v/>
      </c>
      <c r="HN183" s="62">
        <f>$HN182+$HL183</f>
        <v/>
      </c>
      <c r="HO183" s="62">
        <f>SUMIFS(tblSafety[Recordables],tblSafety[Date],$A183)</f>
        <v/>
      </c>
      <c r="HP183" s="62">
        <f>IF($B183=$B182,$HP182,0)+$HO183</f>
        <v/>
      </c>
      <c r="HQ183" s="62">
        <f>$HQ182+$HO183</f>
        <v/>
      </c>
      <c r="HR183" s="62">
        <f>SUMIFS(tblSafety[Near_Miss],tblSafety[Date],$A183)</f>
        <v/>
      </c>
      <c r="HS183" s="62">
        <f>IF($B183=$B182,$HS182,0)+$HR183</f>
        <v/>
      </c>
      <c r="HT183" s="62">
        <f>$HT182+$HR183</f>
        <v/>
      </c>
      <c r="HU183" s="62">
        <f>SUMIFS(tblSafety[Hazard_Reports],tblSafety[Date],$A183)</f>
        <v/>
      </c>
      <c r="HV183" s="62">
        <f>IF($B183=$B182,$HV182,0)+$HU183</f>
        <v/>
      </c>
      <c r="HW183" s="62">
        <f>$HW182+$HU183</f>
        <v/>
      </c>
      <c r="HX183" s="62">
        <f>SUMIFS(tblSafety[HPI],tblSafety[Date],$A183)</f>
        <v/>
      </c>
      <c r="HY183" s="62">
        <f>IF($B183=$B182,$HY182,0)+$HX183</f>
        <v/>
      </c>
      <c r="HZ183" s="62">
        <f>$HZ182+$HX183</f>
        <v/>
      </c>
      <c r="IA183" s="62">
        <f>SUMIFS(tblSafety[Env_Incidents],tblSafety[Date],$A183)</f>
        <v/>
      </c>
      <c r="IB183" s="62">
        <f>IF($B183=$B182,$IB182,0)+$IA183</f>
        <v/>
      </c>
      <c r="IC183" s="62">
        <f>$IC182+$IA183</f>
        <v/>
      </c>
      <c r="ID183" s="62">
        <f>SUMIFS(tblSafety[Community_Incidents],tblSafety[Date],$A183)</f>
        <v/>
      </c>
      <c r="IE183" s="62">
        <f>IF($B183=$B182,$IE182,0)+$ID183</f>
        <v/>
      </c>
      <c r="IF183" s="62">
        <f>$IF182+$ID183</f>
        <v/>
      </c>
      <c r="IG183" s="62">
        <f>SUMIFS(tblSafety[Vehicle_Incidents],tblSafety[Date],$A183)</f>
        <v/>
      </c>
      <c r="IH183" s="62">
        <f>IF($B183=$B182,$IH182,0)+$IG183</f>
        <v/>
      </c>
      <c r="II183" s="62">
        <f>$II182+$IG183</f>
        <v/>
      </c>
      <c r="IJ183" s="62">
        <f>SUMIFS(tblSafety[Toolbox_Talks],tblSafety[Date],$A183)</f>
        <v/>
      </c>
      <c r="IK183" s="62">
        <f>IF($B183=$B182,$IK182,0)+$IJ183</f>
        <v/>
      </c>
      <c r="IL183" s="62">
        <f>$IL182+$IJ183</f>
        <v/>
      </c>
      <c r="IM183" s="62">
        <f>SUMIFS(tblSafety[Inspections],tblSafety[Date],$A183)</f>
        <v/>
      </c>
      <c r="IN183" s="62">
        <f>IF($B183=$B182,$IN182,0)+$IM183</f>
        <v/>
      </c>
      <c r="IO183" s="62">
        <f>$IO182+$IM183</f>
        <v/>
      </c>
      <c r="IP183" s="56">
        <f>IFERROR((SUMIFS(tblSafety[Recordables],tblSafety[Date],"&gt;="&amp;EDATE($E183,-12),tblSafety[Date],"&lt;="&amp;$A183)+SUMIFS(tblSafetyHistory[Recordables],tblSafetyHistory[Month],"&gt;="&amp;EDATE($E183,-12),tblSafetyHistory[Month],"&lt;"&amp;$E183,tblSafetyHistory[Use],1))/(SUMIFS(tblSafety[Hours_Total],tblSafety[Date],"&gt;="&amp;EDATE($E183,-12),tblSafety[Date],"&lt;="&amp;$A183)+SUMIFS(tblSafetyHistory[Hours_Total],tblSafetyHistory[Month],"&gt;="&amp;EDATE($E183,-12),tblSafetyHistory[Month],"&lt;"&amp;$E183,tblSafetyHistory[Use],1))*cfg_RateBasisHours,"")</f>
        <v/>
      </c>
      <c r="IQ183" s="56">
        <f>IFERROR((SUMIFS(tblSafety[LTI],tblSafety[Date],"&gt;="&amp;EDATE($E183,-12),tblSafety[Date],"&lt;="&amp;$A183)+SUMIFS(tblSafetyHistory[LTI],tblSafetyHistory[Month],"&gt;="&amp;EDATE($E183,-12),tblSafetyHistory[Month],"&lt;"&amp;$E183,tblSafetyHistory[Use],1))/(SUMIFS(tblSafety[Hours_Total],tblSafety[Date],"&gt;="&amp;EDATE($E183,-12),tblSafety[Date],"&lt;="&amp;$A183)+SUMIFS(tblSafetyHistory[Hours_Total],tblSafetyHistory[Month],"&gt;="&amp;EDATE($E183,-12),tblSafetyHistory[Month],"&lt;"&amp;$E183,tblSafetyHistory[Use],1))*cfg_RateBasisHours,"")</f>
        <v/>
      </c>
      <c r="IR183" s="62">
        <f>IF(MAX(N(cfg_PriorLTIDate),_xlfn.MAXIFS(tblSafety[Date],tblSafety[LTI],"&gt;0",tblSafety[Date],"&lt;="&amp;$A183))=0,"",$A183-MAX(N(cfg_PriorLTIDate),_xlfn.MAXIFS(tblSafety[Date],tblSafety[LTI],"&gt;0",tblSafety[Date],"&lt;="&amp;$A183)))</f>
        <v/>
      </c>
      <c r="IS183" s="55">
        <f>SUMIFS(tblBudget[Ore_Mined_t],tblBudget[Month],$E183)</f>
        <v/>
      </c>
      <c r="IT183" s="55">
        <f>$IS183*$C183/$D183</f>
        <v/>
      </c>
      <c r="IU183" s="55">
        <f>SUMIFS(tblBudget[Ore_Mined_t],tblBudget[Month],"&lt;"&amp;$E183)+$IT183</f>
        <v/>
      </c>
      <c r="IV183" s="55">
        <f>SUMIFS(tblBudget[Ore_oz],tblBudget[Month],$E183)</f>
        <v/>
      </c>
      <c r="IW183" s="55">
        <f>$IV183*$C183/$D183</f>
        <v/>
      </c>
      <c r="IX183" s="55">
        <f>SUMIFS(tblBudget[Ore_oz],tblBudget[Month],"&lt;"&amp;$E183)+$IW183</f>
        <v/>
      </c>
      <c r="IY183" s="55">
        <f>SUMIFS(tblBudget[Ore_Mined_t],tblBudget[Month],$E183)</f>
        <v/>
      </c>
      <c r="IZ183" s="55">
        <f>$IY183*$C183/$D183</f>
        <v/>
      </c>
      <c r="JA183" s="55">
        <f>SUMIFS(tblBudget[Ore_Mined_t],tblBudget[Month],"&lt;"&amp;$E183)+$IZ183</f>
        <v/>
      </c>
      <c r="JB183" s="56">
        <f>IFERROR(IF(($IY183)&gt;0,($IV183*cfg_TroyOz)/($IY183),""),"")</f>
        <v/>
      </c>
      <c r="JC183" s="56">
        <f>IFERROR(IF(($IZ183)&gt;0,($IW183*cfg_TroyOz)/($IZ183),""),"")</f>
        <v/>
      </c>
      <c r="JD183" s="56">
        <f>IFERROR(IF(($JA183)&gt;0,($IX183*cfg_TroyOz)/($JA183),""),"")</f>
        <v/>
      </c>
      <c r="JE183" s="55">
        <f>SUMIFS(tblBudget[Waste_t],tblBudget[Month],$E183)</f>
        <v/>
      </c>
      <c r="JF183" s="55">
        <f>$JE183*$C183/$D183</f>
        <v/>
      </c>
      <c r="JG183" s="55">
        <f>SUMIFS(tblBudget[Waste_t],tblBudget[Month],"&lt;"&amp;$E183)+$JF183</f>
        <v/>
      </c>
      <c r="JH183" s="55">
        <f>SUMIFS(tblBudget[TMM_t],tblBudget[Month],$E183)</f>
        <v/>
      </c>
      <c r="JI183" s="55">
        <f>$JH183*$C183/$D183</f>
        <v/>
      </c>
      <c r="JJ183" s="55">
        <f>SUMIFS(tblBudget[TMM_t],tblBudget[Month],"&lt;"&amp;$E183)+$JI183</f>
        <v/>
      </c>
      <c r="JK183" s="56">
        <f>IFERROR(IF(($IS183)&gt;0,($JE183)/($IS183),""),"")</f>
        <v/>
      </c>
      <c r="JL183" s="56">
        <f>IFERROR(IF(($IT183)&gt;0,($JF183)/($IT183),""),"")</f>
        <v/>
      </c>
      <c r="JM183" s="56">
        <f>IFERROR(IF(($IU183)&gt;0,($JG183)/($IU183),""),"")</f>
        <v/>
      </c>
      <c r="JN183" s="55">
        <f>SUMIFS(tblBudget[Drill_m],tblBudget[Month],$E183)</f>
        <v/>
      </c>
      <c r="JO183" s="55">
        <f>$JN183*$C183/$D183</f>
        <v/>
      </c>
      <c r="JP183" s="55">
        <f>SUMIFS(tblBudget[Drill_m],tblBudget[Month],"&lt;"&amp;$E183)+$JO183</f>
        <v/>
      </c>
      <c r="JQ183" s="55">
        <f>SUMIFS(tblBudget[Diesel_L],tblBudget[Month],$E183)</f>
        <v/>
      </c>
      <c r="JR183" s="55">
        <f>$JQ183*$C183/$D183</f>
        <v/>
      </c>
      <c r="JS183" s="55">
        <f>SUMIFS(tblBudget[Diesel_L],tblBudget[Month],"&lt;"&amp;$E183)+$JR183</f>
        <v/>
      </c>
      <c r="JT183" s="55">
        <f>SUMIFS(tblBudget[Milled_t],tblBudget[Month],$E183)</f>
        <v/>
      </c>
      <c r="JU183" s="55">
        <f>$JT183*$C183/$D183</f>
        <v/>
      </c>
      <c r="JV183" s="55">
        <f>SUMIFS(tblBudget[Milled_t],tblBudget[Month],"&lt;"&amp;$E183)+$JU183</f>
        <v/>
      </c>
      <c r="JW183" s="55">
        <f>SUMIFS(tblBudget[Feed_oz],tblBudget[Month],$E183)</f>
        <v/>
      </c>
      <c r="JX183" s="55">
        <f>$JW183*$C183/$D183</f>
        <v/>
      </c>
      <c r="JY183" s="55">
        <f>SUMIFS(tblBudget[Feed_oz],tblBudget[Month],"&lt;"&amp;$E183)+$JX183</f>
        <v/>
      </c>
      <c r="JZ183" s="55">
        <f>SUMIFS(tblBudget[Recovered_oz],tblBudget[Month],$E183)</f>
        <v/>
      </c>
      <c r="KA183" s="55">
        <f>$JZ183*$C183/$D183</f>
        <v/>
      </c>
      <c r="KB183" s="55">
        <f>SUMIFS(tblBudget[Recovered_oz],tblBudget[Month],"&lt;"&amp;$E183)+$KA183</f>
        <v/>
      </c>
      <c r="KC183" s="55">
        <f>SUMIFS(tblBudget[Milled_t],tblBudget[Month],$E183)</f>
        <v/>
      </c>
      <c r="KD183" s="55">
        <f>$KC183*$C183/$D183</f>
        <v/>
      </c>
      <c r="KE183" s="55">
        <f>SUMIFS(tblBudget[Milled_t],tblBudget[Month],"&lt;"&amp;$E183)+$KD183</f>
        <v/>
      </c>
      <c r="KF183" s="55">
        <f>SUMIFS(tblBudget[Feed_oz],tblBudget[Month],$E183)</f>
        <v/>
      </c>
      <c r="KG183" s="55">
        <f>$KF183*$C183/$D183</f>
        <v/>
      </c>
      <c r="KH183" s="55">
        <f>SUMIFS(tblBudget[Feed_oz],tblBudget[Month],"&lt;"&amp;$E183)+$KG183</f>
        <v/>
      </c>
      <c r="KI183" s="56">
        <f>IFERROR(IF(($KC183)&gt;0,($JW183*cfg_TroyOz)/($KC183),""),"")</f>
        <v/>
      </c>
      <c r="KJ183" s="56">
        <f>IFERROR(IF(($KD183)&gt;0,($JX183*cfg_TroyOz)/($KD183),""),"")</f>
        <v/>
      </c>
      <c r="KK183" s="56">
        <f>IFERROR(IF(($KE183)&gt;0,($JY183*cfg_TroyOz)/($KE183),""),"")</f>
        <v/>
      </c>
      <c r="KL183" s="67">
        <f>IFERROR(IF(($KF183)&gt;0,($JZ183)/($KF183),""),"")</f>
        <v/>
      </c>
      <c r="KM183" s="67">
        <f>IFERROR(IF(($KG183)&gt;0,($KA183)/($KG183),""),"")</f>
        <v/>
      </c>
      <c r="KN183" s="67">
        <f>IFERROR(IF(($KH183)&gt;0,($KB183)/($KH183),""),"")</f>
        <v/>
      </c>
      <c r="KO183" s="55">
        <f>SUMIFS(tblBudget[Gold_Poured_oz],tblBudget[Month],$E183)</f>
        <v/>
      </c>
      <c r="KP183" s="55">
        <f>$KO183*$C183/$D183</f>
        <v/>
      </c>
      <c r="KQ183" s="55">
        <f>SUMIFS(tblBudget[Gold_Poured_oz],tblBudget[Month],"&lt;"&amp;$E183)+$KP183</f>
        <v/>
      </c>
      <c r="KR183" s="57">
        <f>SUMIFS(tblBudget[Hours_Worked],tblBudget[Month],$E183)</f>
        <v/>
      </c>
      <c r="KS183" s="57">
        <f>$KR183*$C183/$D183</f>
        <v/>
      </c>
      <c r="KT183" s="57">
        <f>SUMIFS(tblBudget[Hours_Worked],tblBudget[Month],"&lt;"&amp;$E183)+$KS183</f>
        <v/>
      </c>
    </row>
    <row r="184">
      <c r="A184" s="54" t="n">
        <v>46205</v>
      </c>
      <c r="B184">
        <f>MONTH($A184)</f>
        <v/>
      </c>
      <c r="C184">
        <f>DAY($A184)</f>
        <v/>
      </c>
      <c r="D184">
        <f>DAY(EOMONTH($A184,0))</f>
        <v/>
      </c>
      <c r="E184" s="54">
        <f>DATE(YEAR($A184),MONTH($A184),1)</f>
        <v/>
      </c>
      <c r="F184" s="55">
        <f>SUMIFS(tblMovement[Tonnes_t],tblMovement[Date],$A184,tblMovement[Is_Ore],1,tblMovement[Source_Type],"Pit")</f>
        <v/>
      </c>
      <c r="G184" s="55">
        <f>IF($B184=$B183,$G183,0)+$F184</f>
        <v/>
      </c>
      <c r="H184" s="55">
        <f>$H183+$F184</f>
        <v/>
      </c>
      <c r="I184" s="55">
        <f>SUMIFS(tblMovement[Ore_oz],tblMovement[Date],$A184,tblMovement[Source_Type],"Pit")</f>
        <v/>
      </c>
      <c r="J184" s="55">
        <f>IF($B184=$B183,$J183,0)+$I184</f>
        <v/>
      </c>
      <c r="K184" s="55">
        <f>$K183+$I184</f>
        <v/>
      </c>
      <c r="L184" s="55">
        <f>SUMIFS(tblMovement[Tonnes_t],tblMovement[Date],$A184,tblMovement[Is_Ore],1,tblMovement[Source_Type],"Pit",tblMovement[Grade_gpt],"&lt;&gt;")</f>
        <v/>
      </c>
      <c r="M184" s="55">
        <f>IF($B184=$B183,$M183,0)+$L184</f>
        <v/>
      </c>
      <c r="N184" s="55">
        <f>$N183+$L184</f>
        <v/>
      </c>
      <c r="O184" s="56">
        <f>IFERROR(IF(($L184)&gt;0,($I184*cfg_TroyOz)/($L184),""),"")</f>
        <v/>
      </c>
      <c r="P184" s="56">
        <f>IFERROR(IF(($M184)&gt;0,($J184*cfg_TroyOz)/($M184),""),"")</f>
        <v/>
      </c>
      <c r="Q184" s="56">
        <f>IFERROR(IF(($N184)&gt;0,($K184*cfg_TroyOz)/($N184),""),"")</f>
        <v/>
      </c>
      <c r="R184" s="55">
        <f>$F184-$L184</f>
        <v/>
      </c>
      <c r="S184" s="55">
        <f>IF($B184=$B183,$S183,0)+$R184</f>
        <v/>
      </c>
      <c r="T184" s="55">
        <f>$T183+$R184</f>
        <v/>
      </c>
      <c r="U184" s="55">
        <f>SUMIFS(tblMovement[Tonnes_t],tblMovement[Date],$A184,tblMovement[Is_Ore],0,tblMovement[Source_Type],"Pit")</f>
        <v/>
      </c>
      <c r="V184" s="55">
        <f>IF($B184=$B183,$V183,0)+$U184</f>
        <v/>
      </c>
      <c r="W184" s="55">
        <f>$W183+$U184</f>
        <v/>
      </c>
      <c r="X184" s="55">
        <f>$F184+$U184</f>
        <v/>
      </c>
      <c r="Y184" s="55">
        <f>IF($B184=$B183,$Y183,0)+$X184</f>
        <v/>
      </c>
      <c r="Z184" s="55">
        <f>$Z183+$X184</f>
        <v/>
      </c>
      <c r="AA184" s="56">
        <f>IFERROR(IF(($F184)&gt;0,($U184)/($F184),""),"")</f>
        <v/>
      </c>
      <c r="AB184" s="56">
        <f>IFERROR(IF(($G184)&gt;0,($V184)/($G184),""),"")</f>
        <v/>
      </c>
      <c r="AC184" s="56">
        <f>IFERROR(IF(($H184)&gt;0,($W184)/($H184),""),"")</f>
        <v/>
      </c>
      <c r="AD184" s="55">
        <f>SUMIFS(tblMovement[Tonnes_t],tblMovement[Date],$A184,tblMovement[Source_Type],"Stockpile")</f>
        <v/>
      </c>
      <c r="AE184" s="55">
        <f>IF($B184=$B183,$AE183,0)+$AD184</f>
        <v/>
      </c>
      <c r="AF184" s="55">
        <f>$AF183+$AD184</f>
        <v/>
      </c>
      <c r="AG184" s="55">
        <f>SUMIFS(tblMovement[Tonnes_t],tblMovement[Date],$A184)</f>
        <v/>
      </c>
      <c r="AH184" s="55">
        <f>IF($B184=$B183,$AH183,0)+$AG184</f>
        <v/>
      </c>
      <c r="AI184" s="55">
        <f>$AI183+$AG184</f>
        <v/>
      </c>
      <c r="AJ184" s="55">
        <f>$AG184-$X184-$AD184</f>
        <v/>
      </c>
      <c r="AK184" s="55">
        <f>IF($B184=$B183,$AK183,0)+$AJ184</f>
        <v/>
      </c>
      <c r="AL184" s="55">
        <f>$AL183+$AJ184</f>
        <v/>
      </c>
      <c r="AM184" s="55">
        <f>SUMIFS(tblMiningDaily[Drill_m],tblMiningDaily[Date],$A184)</f>
        <v/>
      </c>
      <c r="AN184" s="55">
        <f>IF($B184=$B183,$AN183,0)+$AM184</f>
        <v/>
      </c>
      <c r="AO184" s="55">
        <f>$AO183+$AM184</f>
        <v/>
      </c>
      <c r="AP184" s="55">
        <f>SUMIFS(tblMiningDaily[GC_Drill_m],tblMiningDaily[Date],$A184)</f>
        <v/>
      </c>
      <c r="AQ184" s="55">
        <f>IF($B184=$B183,$AQ183,0)+$AP184</f>
        <v/>
      </c>
      <c r="AR184" s="55">
        <f>$AR183+$AP184</f>
        <v/>
      </c>
      <c r="AS184" s="55">
        <f>SUMIFS(tblMiningDaily[Blast_t],tblMiningDaily[Date],$A184)</f>
        <v/>
      </c>
      <c r="AT184" s="55">
        <f>IF($B184=$B183,$AT183,0)+$AS184</f>
        <v/>
      </c>
      <c r="AU184" s="55">
        <f>$AU183+$AS184</f>
        <v/>
      </c>
      <c r="AV184" s="55">
        <f>SUMIFS(tblMiningDaily[Explosives_kg],tblMiningDaily[Date],$A184)</f>
        <v/>
      </c>
      <c r="AW184" s="55">
        <f>IF($B184=$B183,$AW183,0)+$AV184</f>
        <v/>
      </c>
      <c r="AX184" s="55">
        <f>$AX183+$AV184</f>
        <v/>
      </c>
      <c r="AY184" s="56">
        <f>IFERROR(IF(($AS184)&gt;0,($AV184)/($AS184),""),"")</f>
        <v/>
      </c>
      <c r="AZ184" s="56">
        <f>IFERROR(IF(($AT184)&gt;0,($AW184)/($AT184),""),"")</f>
        <v/>
      </c>
      <c r="BA184" s="56">
        <f>IFERROR(IF(($AU184)&gt;0,($AX184)/($AU184),""),"")</f>
        <v/>
      </c>
      <c r="BB184" s="55">
        <f>SUMIFS(tblMiningDaily[Diesel_L],tblMiningDaily[Date],$A184)</f>
        <v/>
      </c>
      <c r="BC184" s="55">
        <f>IF($B184=$B183,$BC183,0)+$BB184</f>
        <v/>
      </c>
      <c r="BD184" s="55">
        <f>$BD183+$BB184</f>
        <v/>
      </c>
      <c r="BE184" s="55">
        <f>SUMIFS(tblMiningDaily[Dewatering_m3],tblMiningDaily[Date],$A184)</f>
        <v/>
      </c>
      <c r="BF184" s="55">
        <f>IF($B184=$B183,$BF183,0)+$BE184</f>
        <v/>
      </c>
      <c r="BG184" s="55">
        <f>$BG183+$BE184</f>
        <v/>
      </c>
      <c r="BH184" s="57">
        <f>SUMIFS(tblFleet[Calendar_h],tblFleet[Date],$A184,tblFleet[Equipment_Class],"Excavator")</f>
        <v/>
      </c>
      <c r="BI184" s="57">
        <f>IF($B184=$B183,$BI183,0)+$BH184</f>
        <v/>
      </c>
      <c r="BJ184" s="57">
        <f>$BJ183+$BH184</f>
        <v/>
      </c>
      <c r="BK184" s="57">
        <f>SUMIFS(tblFleet[Available_h],tblFleet[Date],$A184,tblFleet[Equipment_Class],"Excavator")</f>
        <v/>
      </c>
      <c r="BL184" s="57">
        <f>IF($B184=$B183,$BL183,0)+$BK184</f>
        <v/>
      </c>
      <c r="BM184" s="57">
        <f>$BM183+$BK184</f>
        <v/>
      </c>
      <c r="BN184" s="57">
        <f>SUMIFS(tblFleet[Operating_h],tblFleet[Date],$A184,tblFleet[Equipment_Class],"Excavator")</f>
        <v/>
      </c>
      <c r="BO184" s="57">
        <f>IF($B184=$B183,$BO183,0)+$BN184</f>
        <v/>
      </c>
      <c r="BP184" s="57">
        <f>$BP183+$BN184</f>
        <v/>
      </c>
      <c r="BQ184" s="67">
        <f>IFERROR(IF(($BH184)&gt;0,($BK184)/($BH184),""),"")</f>
        <v/>
      </c>
      <c r="BR184" s="67">
        <f>IFERROR(IF(($BI184)&gt;0,($BL184)/($BI184),""),"")</f>
        <v/>
      </c>
      <c r="BS184" s="67">
        <f>IFERROR(IF(($BJ184)&gt;0,($BM184)/($BJ184),""),"")</f>
        <v/>
      </c>
      <c r="BT184" s="67">
        <f>IFERROR(IF(($BK184)&gt;0,($BN184)/($BK184),""),"")</f>
        <v/>
      </c>
      <c r="BU184" s="67">
        <f>IFERROR(IF(($BL184)&gt;0,($BO184)/($BL184),""),"")</f>
        <v/>
      </c>
      <c r="BV184" s="67">
        <f>IFERROR(IF(($BM184)&gt;0,($BP184)/($BM184),""),"")</f>
        <v/>
      </c>
      <c r="BW184" s="57">
        <f>SUMIFS(tblFleet[Calendar_h],tblFleet[Date],$A184,tblFleet[Equipment_Class],"Haul Truck")</f>
        <v/>
      </c>
      <c r="BX184" s="57">
        <f>IF($B184=$B183,$BX183,0)+$BW184</f>
        <v/>
      </c>
      <c r="BY184" s="57">
        <f>$BY183+$BW184</f>
        <v/>
      </c>
      <c r="BZ184" s="57">
        <f>SUMIFS(tblFleet[Available_h],tblFleet[Date],$A184,tblFleet[Equipment_Class],"Haul Truck")</f>
        <v/>
      </c>
      <c r="CA184" s="57">
        <f>IF($B184=$B183,$CA183,0)+$BZ184</f>
        <v/>
      </c>
      <c r="CB184" s="57">
        <f>$CB183+$BZ184</f>
        <v/>
      </c>
      <c r="CC184" s="57">
        <f>SUMIFS(tblFleet[Operating_h],tblFleet[Date],$A184,tblFleet[Equipment_Class],"Haul Truck")</f>
        <v/>
      </c>
      <c r="CD184" s="57">
        <f>IF($B184=$B183,$CD183,0)+$CC184</f>
        <v/>
      </c>
      <c r="CE184" s="57">
        <f>$CE183+$CC184</f>
        <v/>
      </c>
      <c r="CF184" s="67">
        <f>IFERROR(IF(($BW184)&gt;0,($BZ184)/($BW184),""),"")</f>
        <v/>
      </c>
      <c r="CG184" s="67">
        <f>IFERROR(IF(($BX184)&gt;0,($CA184)/($BX184),""),"")</f>
        <v/>
      </c>
      <c r="CH184" s="67">
        <f>IFERROR(IF(($BY184)&gt;0,($CB184)/($BY184),""),"")</f>
        <v/>
      </c>
      <c r="CI184" s="67">
        <f>IFERROR(IF(($BZ184)&gt;0,($CC184)/($BZ184),""),"")</f>
        <v/>
      </c>
      <c r="CJ184" s="67">
        <f>IFERROR(IF(($CA184)&gt;0,($CD184)/($CA184),""),"")</f>
        <v/>
      </c>
      <c r="CK184" s="67">
        <f>IFERROR(IF(($CB184)&gt;0,($CE184)/($CB184),""),"")</f>
        <v/>
      </c>
      <c r="CL184" s="55">
        <f>IFERROR(IF(($BN184)&gt;0,($X184+$AD184)/($BN184),""),"")</f>
        <v/>
      </c>
      <c r="CM184" s="55">
        <f>IFERROR(IF(($BO184)&gt;0,($Y184+$AE184)/($BO184),""),"")</f>
        <v/>
      </c>
      <c r="CN184" s="55">
        <f>IFERROR(IF(($BP184)&gt;0,($Z184+$AF184)/($BP184),""),"")</f>
        <v/>
      </c>
      <c r="CO184" s="55">
        <f>IFERROR(IF(($CC184)&gt;0,($X184+$AD184)/($CC184),""),"")</f>
        <v/>
      </c>
      <c r="CP184" s="55">
        <f>IFERROR(IF(($CD184)&gt;0,($Y184+$AE184)/($CD184),""),"")</f>
        <v/>
      </c>
      <c r="CQ184" s="55">
        <f>IFERROR(IF(($CE184)&gt;0,($Z184+$AF184)/($CE184),""),"")</f>
        <v/>
      </c>
      <c r="CR184" s="55">
        <f>SUMIFS(tblPlant[Crushed_t],tblPlant[Date],$A184)</f>
        <v/>
      </c>
      <c r="CS184" s="55">
        <f>IF($B184=$B183,$CS183,0)+$CR184</f>
        <v/>
      </c>
      <c r="CT184" s="55">
        <f>$CT183+$CR184</f>
        <v/>
      </c>
      <c r="CU184" s="55">
        <f>SUMIFS(tblPlant[Milled_t],tblPlant[Date],$A184)</f>
        <v/>
      </c>
      <c r="CV184" s="55">
        <f>IF($B184=$B183,$CV183,0)+$CU184</f>
        <v/>
      </c>
      <c r="CW184" s="55">
        <f>$CW183+$CU184</f>
        <v/>
      </c>
      <c r="CX184" s="55">
        <f>SUMIFS(tblPlant[Feed_oz],tblPlant[Date],$A184)</f>
        <v/>
      </c>
      <c r="CY184" s="55">
        <f>IF($B184=$B183,$CY183,0)+$CX184</f>
        <v/>
      </c>
      <c r="CZ184" s="55">
        <f>$CZ183+$CX184</f>
        <v/>
      </c>
      <c r="DA184" s="55">
        <f>SUMIFS(tblPlant[Tails_oz],tblPlant[Date],$A184)</f>
        <v/>
      </c>
      <c r="DB184" s="55">
        <f>IF($B184=$B183,$DB183,0)+$DA184</f>
        <v/>
      </c>
      <c r="DC184" s="55">
        <f>$DC183+$DA184</f>
        <v/>
      </c>
      <c r="DD184" s="55">
        <f>SUMIFS(tblPlant[Recovered_oz],tblPlant[Date],$A184)</f>
        <v/>
      </c>
      <c r="DE184" s="55">
        <f>IF($B184=$B183,$DE183,0)+$DD184</f>
        <v/>
      </c>
      <c r="DF184" s="55">
        <f>$DF183+$DD184</f>
        <v/>
      </c>
      <c r="DG184" s="55">
        <f>SUMIFS(tblPlant[Milled_t],tblPlant[Date],$A184,tblPlant[Head_Grade_gpt],"&lt;&gt;")</f>
        <v/>
      </c>
      <c r="DH184" s="55">
        <f>IF($B184=$B183,$DH183,0)+$DG184</f>
        <v/>
      </c>
      <c r="DI184" s="55">
        <f>$DI183+$DG184</f>
        <v/>
      </c>
      <c r="DJ184" s="55">
        <f>SUMIFS(tblPlant[Milled_t],tblPlant[Date],$A184,tblPlant[Tails_Grade_gpt],"&lt;&gt;")</f>
        <v/>
      </c>
      <c r="DK184" s="55">
        <f>IF($B184=$B183,$DK183,0)+$DJ184</f>
        <v/>
      </c>
      <c r="DL184" s="55">
        <f>$DL183+$DJ184</f>
        <v/>
      </c>
      <c r="DM184" s="55">
        <f>SUMIFS(tblPlant[Feed_oz],tblPlant[Date],$A184,tblPlant[Tails_Grade_gpt],"&lt;&gt;")</f>
        <v/>
      </c>
      <c r="DN184" s="55">
        <f>IF($B184=$B183,$DN183,0)+$DM184</f>
        <v/>
      </c>
      <c r="DO184" s="55">
        <f>$DO183+$DM184</f>
        <v/>
      </c>
      <c r="DP184" s="55">
        <f>SUMIFS(tblPlant[Milled_t],tblPlant[Date],$A184,tblPlant[Mill_Run_h],"&lt;&gt;")</f>
        <v/>
      </c>
      <c r="DQ184" s="55">
        <f>IF($B184=$B183,$DQ183,0)+$DP184</f>
        <v/>
      </c>
      <c r="DR184" s="55">
        <f>$DR183+$DP184</f>
        <v/>
      </c>
      <c r="DS184" s="56">
        <f>IFERROR(IF(($DG184)&gt;0,($CX184*cfg_TroyOz)/($DG184),""),"")</f>
        <v/>
      </c>
      <c r="DT184" s="56">
        <f>IFERROR(IF(($DH184)&gt;0,($CY184*cfg_TroyOz)/($DH184),""),"")</f>
        <v/>
      </c>
      <c r="DU184" s="56">
        <f>IFERROR(IF(($DI184)&gt;0,($CZ184*cfg_TroyOz)/($DI184),""),"")</f>
        <v/>
      </c>
      <c r="DV184" s="56">
        <f>IFERROR(IF(($DJ184)&gt;0,($DA184*cfg_TroyOz)/($DJ184),""),"")</f>
        <v/>
      </c>
      <c r="DW184" s="56">
        <f>IFERROR(IF(($DK184)&gt;0,($DB184*cfg_TroyOz)/($DK184),""),"")</f>
        <v/>
      </c>
      <c r="DX184" s="56">
        <f>IFERROR(IF(($DL184)&gt;0,($DC184*cfg_TroyOz)/($DL184),""),"")</f>
        <v/>
      </c>
      <c r="DY184" s="67">
        <f>IFERROR(IF(($DM184)&gt;0,($DD184)/($DM184),""),"")</f>
        <v/>
      </c>
      <c r="DZ184" s="67">
        <f>IFERROR(IF(($DN184)&gt;0,($DE184)/($DN184),""),"")</f>
        <v/>
      </c>
      <c r="EA184" s="67">
        <f>IFERROR(IF(($DO184)&gt;0,($DF184)/($DO184),""),"")</f>
        <v/>
      </c>
      <c r="EB184" s="55">
        <f>SUMIFS(tblPlant[Gravity_Gold_oz],tblPlant[Date],$A184)</f>
        <v/>
      </c>
      <c r="EC184" s="55">
        <f>IF($B184=$B183,$EC183,0)+$EB184</f>
        <v/>
      </c>
      <c r="ED184" s="55">
        <f>$ED183+$EB184</f>
        <v/>
      </c>
      <c r="EE184" s="67">
        <f>IFERROR(IF(($DD184)&gt;0,($EB184)/($DD184),""),"")</f>
        <v/>
      </c>
      <c r="EF184" s="67">
        <f>IFERROR(IF(($DE184)&gt;0,($EC184)/($DE184),""),"")</f>
        <v/>
      </c>
      <c r="EG184" s="67">
        <f>IFERROR(IF(($DF184)&gt;0,($ED184)/($DF184),""),"")</f>
        <v/>
      </c>
      <c r="EH184" s="55">
        <f>SUMIFS(tblPlant[Gold_Poured_oz],tblPlant[Date],$A184)</f>
        <v/>
      </c>
      <c r="EI184" s="55">
        <f>IF($B184=$B183,$EI183,0)+$EH184</f>
        <v/>
      </c>
      <c r="EJ184" s="55">
        <f>$EJ183+$EH184</f>
        <v/>
      </c>
      <c r="EK184" s="57">
        <f>SUMIFS(tblPlant[Mill_Run_h],tblPlant[Date],$A184)</f>
        <v/>
      </c>
      <c r="EL184" s="57">
        <f>IF($B184=$B183,$EL183,0)+$EK184</f>
        <v/>
      </c>
      <c r="EM184" s="57">
        <f>$EM183+$EK184</f>
        <v/>
      </c>
      <c r="EN184" s="57">
        <f>SUMIFS(tblPlant[Mill_Planned_Maint_h],tblPlant[Date],$A184)</f>
        <v/>
      </c>
      <c r="EO184" s="57">
        <f>IF($B184=$B183,$EO183,0)+$EN184</f>
        <v/>
      </c>
      <c r="EP184" s="57">
        <f>$EP183+$EN184</f>
        <v/>
      </c>
      <c r="EQ184" s="57">
        <f>SUMIFS(tblPlant[Mill_Unplanned_Down_h],tblPlant[Date],$A184)</f>
        <v/>
      </c>
      <c r="ER184" s="57">
        <f>IF($B184=$B183,$ER183,0)+$EQ184</f>
        <v/>
      </c>
      <c r="ES184" s="57">
        <f>$ES183+$EQ184</f>
        <v/>
      </c>
      <c r="ET184" s="57">
        <f>IF(COUNTIFS(tblPlant[Date],$A184,tblPlant[Mill_Run_h],"&lt;&gt;")+COUNTIFS(tblPlant[Date],$A184,tblPlant[Mill_Planned_Maint_h],"&lt;&gt;")+COUNTIFS(tblPlant[Date],$A184,tblPlant[Mill_Unplanned_Down_h],"&lt;&gt;")&gt;0,cfg_HoursPerDay,0)</f>
        <v/>
      </c>
      <c r="EU184" s="57">
        <f>IF($B184=$B183,$EU183,0)+$ET184</f>
        <v/>
      </c>
      <c r="EV184" s="57">
        <f>$EV183+$ET184</f>
        <v/>
      </c>
      <c r="EW184" s="57">
        <f>SUMIFS(tblPlant[Crusher_Run_h],tblPlant[Date],$A184)</f>
        <v/>
      </c>
      <c r="EX184" s="57">
        <f>IF($B184=$B183,$EX183,0)+$EW184</f>
        <v/>
      </c>
      <c r="EY184" s="57">
        <f>$EY183+$EW184</f>
        <v/>
      </c>
      <c r="EZ184" s="55">
        <f>IFERROR(IF(($EK184)&gt;0,($DP184)/($EK184),""),"")</f>
        <v/>
      </c>
      <c r="FA184" s="55">
        <f>IFERROR(IF(($EL184)&gt;0,($DQ184)/($EL184),""),"")</f>
        <v/>
      </c>
      <c r="FB184" s="55">
        <f>IFERROR(IF(($EM184)&gt;0,($DR184)/($EM184),""),"")</f>
        <v/>
      </c>
      <c r="FC184" s="67">
        <f>IFERROR(IF(($ET184)&gt;0,($ET184-$EN184-$EQ184)/($ET184),""),"")</f>
        <v/>
      </c>
      <c r="FD184" s="67">
        <f>IFERROR(IF(($EU184)&gt;0,($EU184-$EO184-$ER184)/($EU184),""),"")</f>
        <v/>
      </c>
      <c r="FE184" s="67">
        <f>IFERROR(IF(($EV184)&gt;0,($EV184-$EP184-$ES184)/($EV184),""),"")</f>
        <v/>
      </c>
      <c r="FF184" s="67">
        <f>IFERROR(IF(($ET184-$EN184-$EQ184)&gt;0,($EK184)/($ET184-$EN184-$EQ184),""),"")</f>
        <v/>
      </c>
      <c r="FG184" s="67">
        <f>IFERROR(IF(($EU184-$EO184-$ER184)&gt;0,($EL184)/($EU184-$EO184-$ER184),""),"")</f>
        <v/>
      </c>
      <c r="FH184" s="67">
        <f>IFERROR(IF(($EV184-$EP184-$ES184)&gt;0,($EM184)/($EV184-$EP184-$ES184),""),"")</f>
        <v/>
      </c>
      <c r="FI184" s="55">
        <f>SUMIFS(tblPlant[Cyanide_kg],tblPlant[Date],$A184)</f>
        <v/>
      </c>
      <c r="FJ184" s="55">
        <f>IF($B184=$B183,$FJ183,0)+$FI184</f>
        <v/>
      </c>
      <c r="FK184" s="55">
        <f>$FK183+$FI184</f>
        <v/>
      </c>
      <c r="FL184" s="55">
        <f>SUMIFS(tblPlant[Lime_kg],tblPlant[Date],$A184)</f>
        <v/>
      </c>
      <c r="FM184" s="55">
        <f>IF($B184=$B183,$FM183,0)+$FL184</f>
        <v/>
      </c>
      <c r="FN184" s="55">
        <f>$FN183+$FL184</f>
        <v/>
      </c>
      <c r="FO184" s="55">
        <f>SUMIFS(tblPlant[Grinding_Media_kg],tblPlant[Date],$A184)</f>
        <v/>
      </c>
      <c r="FP184" s="55">
        <f>IF($B184=$B183,$FP183,0)+$FO184</f>
        <v/>
      </c>
      <c r="FQ184" s="55">
        <f>$FQ183+$FO184</f>
        <v/>
      </c>
      <c r="FR184" s="55">
        <f>SUMIFS(tblPlant[Power_kWh],tblPlant[Date],$A184)</f>
        <v/>
      </c>
      <c r="FS184" s="55">
        <f>IF($B184=$B183,$FS183,0)+$FR184</f>
        <v/>
      </c>
      <c r="FT184" s="55">
        <f>$FT183+$FR184</f>
        <v/>
      </c>
      <c r="FU184" s="55">
        <f>SUMIFS(tblPlant[Raw_Water_m3],tblPlant[Date],$A184)</f>
        <v/>
      </c>
      <c r="FV184" s="55">
        <f>IF($B184=$B183,$FV183,0)+$FU184</f>
        <v/>
      </c>
      <c r="FW184" s="55">
        <f>$FW183+$FU184</f>
        <v/>
      </c>
      <c r="FX184" s="56">
        <f>IFERROR(IF(($CU184)&gt;0,($FI184)/($CU184),""),"")</f>
        <v/>
      </c>
      <c r="FY184" s="56">
        <f>IFERROR(IF(($CV184)&gt;0,($FJ184)/($CV184),""),"")</f>
        <v/>
      </c>
      <c r="FZ184" s="56">
        <f>IFERROR(IF(($CW184)&gt;0,($FK184)/($CW184),""),"")</f>
        <v/>
      </c>
      <c r="GA184" s="56">
        <f>IFERROR(IF(($CU184)&gt;0,($FL184)/($CU184),""),"")</f>
        <v/>
      </c>
      <c r="GB184" s="56">
        <f>IFERROR(IF(($CV184)&gt;0,($FM184)/($CV184),""),"")</f>
        <v/>
      </c>
      <c r="GC184" s="56">
        <f>IFERROR(IF(($CW184)&gt;0,($FN184)/($CW184),""),"")</f>
        <v/>
      </c>
      <c r="GD184" s="56">
        <f>IFERROR(IF(($CU184)&gt;0,($FO184)/($CU184),""),"")</f>
        <v/>
      </c>
      <c r="GE184" s="56">
        <f>IFERROR(IF(($CV184)&gt;0,($FP184)/($CV184),""),"")</f>
        <v/>
      </c>
      <c r="GF184" s="56">
        <f>IFERROR(IF(($CW184)&gt;0,($FQ184)/($CW184),""),"")</f>
        <v/>
      </c>
      <c r="GG184" s="79">
        <f>IFERROR(IF(($CU184)&gt;0,($FR184)/($CU184),""),"")</f>
        <v/>
      </c>
      <c r="GH184" s="79">
        <f>IFERROR(IF(($CV184)&gt;0,($FS184)/($CV184),""),"")</f>
        <v/>
      </c>
      <c r="GI184" s="79">
        <f>IFERROR(IF(($CW184)&gt;0,($FT184)/($CW184),""),"")</f>
        <v/>
      </c>
      <c r="GJ184" s="56">
        <f>IFERROR(IF(($CU184)&gt;0,($FU184)/($CU184),""),"")</f>
        <v/>
      </c>
      <c r="GK184" s="56">
        <f>IFERROR(IF(($CV184)&gt;0,($FV184)/($CV184),""),"")</f>
        <v/>
      </c>
      <c r="GL184" s="56">
        <f>IFERROR(IF(($CW184)&gt;0,($FW184)/($CW184),""),"")</f>
        <v/>
      </c>
      <c r="GM184" s="55">
        <f>IF(SUMIFS(tblPlant[GIC_oz],tblPlant[Date],$A184)&gt;0,SUMIFS(tblPlant[GIC_oz],tblPlant[Date],$A184),"")</f>
        <v/>
      </c>
      <c r="GN184" s="55">
        <f>SUMIFS(tblGold[Gold_oz],tblGold[Date],$A184,tblGold[Type],"Shipment")</f>
        <v/>
      </c>
      <c r="GO184" s="55">
        <f>IF($B184=$B183,$GO183,0)+$GN184</f>
        <v/>
      </c>
      <c r="GP184" s="55">
        <f>$GP183+$GN184</f>
        <v/>
      </c>
      <c r="GQ184" s="55">
        <f>SUMIFS(tblGold[Gold_oz],tblGold[Date],$A184,tblGold[Type],"Sale")</f>
        <v/>
      </c>
      <c r="GR184" s="55">
        <f>IF($B184=$B183,$GR183,0)+$GQ184</f>
        <v/>
      </c>
      <c r="GS184" s="55">
        <f>$GS183+$GQ184</f>
        <v/>
      </c>
      <c r="GT184" s="55">
        <f>SUMIFS(tblGold[Dore_kg],tblGold[Date],$A184,tblGold[Type],"Shipment")</f>
        <v/>
      </c>
      <c r="GU184" s="55">
        <f>IF($B184=$B183,$GU183,0)+$GT184</f>
        <v/>
      </c>
      <c r="GV184" s="55">
        <f>$GV183+$GT184</f>
        <v/>
      </c>
      <c r="GW184" s="57">
        <f>SUMIFS(tblSafety[Hours_Total],tblSafety[Date],$A184)</f>
        <v/>
      </c>
      <c r="GX184" s="57">
        <f>IF($B184=$B183,$GX183,0)+$GW184</f>
        <v/>
      </c>
      <c r="GY184" s="57">
        <f>$GY183+$GW184</f>
        <v/>
      </c>
      <c r="GZ184" s="62">
        <f>SUMIFS(tblSafety[Fatality],tblSafety[Date],$A184)</f>
        <v/>
      </c>
      <c r="HA184" s="62">
        <f>IF($B184=$B183,$HA183,0)+$GZ184</f>
        <v/>
      </c>
      <c r="HB184" s="62">
        <f>$HB183+$GZ184</f>
        <v/>
      </c>
      <c r="HC184" s="62">
        <f>SUMIFS(tblSafety[LTI],tblSafety[Date],$A184)</f>
        <v/>
      </c>
      <c r="HD184" s="62">
        <f>IF($B184=$B183,$HD183,0)+$HC184</f>
        <v/>
      </c>
      <c r="HE184" s="62">
        <f>$HE183+$HC184</f>
        <v/>
      </c>
      <c r="HF184" s="62">
        <f>SUMIFS(tblSafety[RWI],tblSafety[Date],$A184)</f>
        <v/>
      </c>
      <c r="HG184" s="62">
        <f>IF($B184=$B183,$HG183,0)+$HF184</f>
        <v/>
      </c>
      <c r="HH184" s="62">
        <f>$HH183+$HF184</f>
        <v/>
      </c>
      <c r="HI184" s="62">
        <f>SUMIFS(tblSafety[MTI],tblSafety[Date],$A184)</f>
        <v/>
      </c>
      <c r="HJ184" s="62">
        <f>IF($B184=$B183,$HJ183,0)+$HI184</f>
        <v/>
      </c>
      <c r="HK184" s="62">
        <f>$HK183+$HI184</f>
        <v/>
      </c>
      <c r="HL184" s="62">
        <f>SUMIFS(tblSafety[FAI],tblSafety[Date],$A184)</f>
        <v/>
      </c>
      <c r="HM184" s="62">
        <f>IF($B184=$B183,$HM183,0)+$HL184</f>
        <v/>
      </c>
      <c r="HN184" s="62">
        <f>$HN183+$HL184</f>
        <v/>
      </c>
      <c r="HO184" s="62">
        <f>SUMIFS(tblSafety[Recordables],tblSafety[Date],$A184)</f>
        <v/>
      </c>
      <c r="HP184" s="62">
        <f>IF($B184=$B183,$HP183,0)+$HO184</f>
        <v/>
      </c>
      <c r="HQ184" s="62">
        <f>$HQ183+$HO184</f>
        <v/>
      </c>
      <c r="HR184" s="62">
        <f>SUMIFS(tblSafety[Near_Miss],tblSafety[Date],$A184)</f>
        <v/>
      </c>
      <c r="HS184" s="62">
        <f>IF($B184=$B183,$HS183,0)+$HR184</f>
        <v/>
      </c>
      <c r="HT184" s="62">
        <f>$HT183+$HR184</f>
        <v/>
      </c>
      <c r="HU184" s="62">
        <f>SUMIFS(tblSafety[Hazard_Reports],tblSafety[Date],$A184)</f>
        <v/>
      </c>
      <c r="HV184" s="62">
        <f>IF($B184=$B183,$HV183,0)+$HU184</f>
        <v/>
      </c>
      <c r="HW184" s="62">
        <f>$HW183+$HU184</f>
        <v/>
      </c>
      <c r="HX184" s="62">
        <f>SUMIFS(tblSafety[HPI],tblSafety[Date],$A184)</f>
        <v/>
      </c>
      <c r="HY184" s="62">
        <f>IF($B184=$B183,$HY183,0)+$HX184</f>
        <v/>
      </c>
      <c r="HZ184" s="62">
        <f>$HZ183+$HX184</f>
        <v/>
      </c>
      <c r="IA184" s="62">
        <f>SUMIFS(tblSafety[Env_Incidents],tblSafety[Date],$A184)</f>
        <v/>
      </c>
      <c r="IB184" s="62">
        <f>IF($B184=$B183,$IB183,0)+$IA184</f>
        <v/>
      </c>
      <c r="IC184" s="62">
        <f>$IC183+$IA184</f>
        <v/>
      </c>
      <c r="ID184" s="62">
        <f>SUMIFS(tblSafety[Community_Incidents],tblSafety[Date],$A184)</f>
        <v/>
      </c>
      <c r="IE184" s="62">
        <f>IF($B184=$B183,$IE183,0)+$ID184</f>
        <v/>
      </c>
      <c r="IF184" s="62">
        <f>$IF183+$ID184</f>
        <v/>
      </c>
      <c r="IG184" s="62">
        <f>SUMIFS(tblSafety[Vehicle_Incidents],tblSafety[Date],$A184)</f>
        <v/>
      </c>
      <c r="IH184" s="62">
        <f>IF($B184=$B183,$IH183,0)+$IG184</f>
        <v/>
      </c>
      <c r="II184" s="62">
        <f>$II183+$IG184</f>
        <v/>
      </c>
      <c r="IJ184" s="62">
        <f>SUMIFS(tblSafety[Toolbox_Talks],tblSafety[Date],$A184)</f>
        <v/>
      </c>
      <c r="IK184" s="62">
        <f>IF($B184=$B183,$IK183,0)+$IJ184</f>
        <v/>
      </c>
      <c r="IL184" s="62">
        <f>$IL183+$IJ184</f>
        <v/>
      </c>
      <c r="IM184" s="62">
        <f>SUMIFS(tblSafety[Inspections],tblSafety[Date],$A184)</f>
        <v/>
      </c>
      <c r="IN184" s="62">
        <f>IF($B184=$B183,$IN183,0)+$IM184</f>
        <v/>
      </c>
      <c r="IO184" s="62">
        <f>$IO183+$IM184</f>
        <v/>
      </c>
      <c r="IP184" s="56">
        <f>IFERROR((SUMIFS(tblSafety[Recordables],tblSafety[Date],"&gt;="&amp;EDATE($E184,-12),tblSafety[Date],"&lt;="&amp;$A184)+SUMIFS(tblSafetyHistory[Recordables],tblSafetyHistory[Month],"&gt;="&amp;EDATE($E184,-12),tblSafetyHistory[Month],"&lt;"&amp;$E184,tblSafetyHistory[Use],1))/(SUMIFS(tblSafety[Hours_Total],tblSafety[Date],"&gt;="&amp;EDATE($E184,-12),tblSafety[Date],"&lt;="&amp;$A184)+SUMIFS(tblSafetyHistory[Hours_Total],tblSafetyHistory[Month],"&gt;="&amp;EDATE($E184,-12),tblSafetyHistory[Month],"&lt;"&amp;$E184,tblSafetyHistory[Use],1))*cfg_RateBasisHours,"")</f>
        <v/>
      </c>
      <c r="IQ184" s="56">
        <f>IFERROR((SUMIFS(tblSafety[LTI],tblSafety[Date],"&gt;="&amp;EDATE($E184,-12),tblSafety[Date],"&lt;="&amp;$A184)+SUMIFS(tblSafetyHistory[LTI],tblSafetyHistory[Month],"&gt;="&amp;EDATE($E184,-12),tblSafetyHistory[Month],"&lt;"&amp;$E184,tblSafetyHistory[Use],1))/(SUMIFS(tblSafety[Hours_Total],tblSafety[Date],"&gt;="&amp;EDATE($E184,-12),tblSafety[Date],"&lt;="&amp;$A184)+SUMIFS(tblSafetyHistory[Hours_Total],tblSafetyHistory[Month],"&gt;="&amp;EDATE($E184,-12),tblSafetyHistory[Month],"&lt;"&amp;$E184,tblSafetyHistory[Use],1))*cfg_RateBasisHours,"")</f>
        <v/>
      </c>
      <c r="IR184" s="62">
        <f>IF(MAX(N(cfg_PriorLTIDate),_xlfn.MAXIFS(tblSafety[Date],tblSafety[LTI],"&gt;0",tblSafety[Date],"&lt;="&amp;$A184))=0,"",$A184-MAX(N(cfg_PriorLTIDate),_xlfn.MAXIFS(tblSafety[Date],tblSafety[LTI],"&gt;0",tblSafety[Date],"&lt;="&amp;$A184)))</f>
        <v/>
      </c>
      <c r="IS184" s="55">
        <f>SUMIFS(tblBudget[Ore_Mined_t],tblBudget[Month],$E184)</f>
        <v/>
      </c>
      <c r="IT184" s="55">
        <f>$IS184*$C184/$D184</f>
        <v/>
      </c>
      <c r="IU184" s="55">
        <f>SUMIFS(tblBudget[Ore_Mined_t],tblBudget[Month],"&lt;"&amp;$E184)+$IT184</f>
        <v/>
      </c>
      <c r="IV184" s="55">
        <f>SUMIFS(tblBudget[Ore_oz],tblBudget[Month],$E184)</f>
        <v/>
      </c>
      <c r="IW184" s="55">
        <f>$IV184*$C184/$D184</f>
        <v/>
      </c>
      <c r="IX184" s="55">
        <f>SUMIFS(tblBudget[Ore_oz],tblBudget[Month],"&lt;"&amp;$E184)+$IW184</f>
        <v/>
      </c>
      <c r="IY184" s="55">
        <f>SUMIFS(tblBudget[Ore_Mined_t],tblBudget[Month],$E184)</f>
        <v/>
      </c>
      <c r="IZ184" s="55">
        <f>$IY184*$C184/$D184</f>
        <v/>
      </c>
      <c r="JA184" s="55">
        <f>SUMIFS(tblBudget[Ore_Mined_t],tblBudget[Month],"&lt;"&amp;$E184)+$IZ184</f>
        <v/>
      </c>
      <c r="JB184" s="56">
        <f>IFERROR(IF(($IY184)&gt;0,($IV184*cfg_TroyOz)/($IY184),""),"")</f>
        <v/>
      </c>
      <c r="JC184" s="56">
        <f>IFERROR(IF(($IZ184)&gt;0,($IW184*cfg_TroyOz)/($IZ184),""),"")</f>
        <v/>
      </c>
      <c r="JD184" s="56">
        <f>IFERROR(IF(($JA184)&gt;0,($IX184*cfg_TroyOz)/($JA184),""),"")</f>
        <v/>
      </c>
      <c r="JE184" s="55">
        <f>SUMIFS(tblBudget[Waste_t],tblBudget[Month],$E184)</f>
        <v/>
      </c>
      <c r="JF184" s="55">
        <f>$JE184*$C184/$D184</f>
        <v/>
      </c>
      <c r="JG184" s="55">
        <f>SUMIFS(tblBudget[Waste_t],tblBudget[Month],"&lt;"&amp;$E184)+$JF184</f>
        <v/>
      </c>
      <c r="JH184" s="55">
        <f>SUMIFS(tblBudget[TMM_t],tblBudget[Month],$E184)</f>
        <v/>
      </c>
      <c r="JI184" s="55">
        <f>$JH184*$C184/$D184</f>
        <v/>
      </c>
      <c r="JJ184" s="55">
        <f>SUMIFS(tblBudget[TMM_t],tblBudget[Month],"&lt;"&amp;$E184)+$JI184</f>
        <v/>
      </c>
      <c r="JK184" s="56">
        <f>IFERROR(IF(($IS184)&gt;0,($JE184)/($IS184),""),"")</f>
        <v/>
      </c>
      <c r="JL184" s="56">
        <f>IFERROR(IF(($IT184)&gt;0,($JF184)/($IT184),""),"")</f>
        <v/>
      </c>
      <c r="JM184" s="56">
        <f>IFERROR(IF(($IU184)&gt;0,($JG184)/($IU184),""),"")</f>
        <v/>
      </c>
      <c r="JN184" s="55">
        <f>SUMIFS(tblBudget[Drill_m],tblBudget[Month],$E184)</f>
        <v/>
      </c>
      <c r="JO184" s="55">
        <f>$JN184*$C184/$D184</f>
        <v/>
      </c>
      <c r="JP184" s="55">
        <f>SUMIFS(tblBudget[Drill_m],tblBudget[Month],"&lt;"&amp;$E184)+$JO184</f>
        <v/>
      </c>
      <c r="JQ184" s="55">
        <f>SUMIFS(tblBudget[Diesel_L],tblBudget[Month],$E184)</f>
        <v/>
      </c>
      <c r="JR184" s="55">
        <f>$JQ184*$C184/$D184</f>
        <v/>
      </c>
      <c r="JS184" s="55">
        <f>SUMIFS(tblBudget[Diesel_L],tblBudget[Month],"&lt;"&amp;$E184)+$JR184</f>
        <v/>
      </c>
      <c r="JT184" s="55">
        <f>SUMIFS(tblBudget[Milled_t],tblBudget[Month],$E184)</f>
        <v/>
      </c>
      <c r="JU184" s="55">
        <f>$JT184*$C184/$D184</f>
        <v/>
      </c>
      <c r="JV184" s="55">
        <f>SUMIFS(tblBudget[Milled_t],tblBudget[Month],"&lt;"&amp;$E184)+$JU184</f>
        <v/>
      </c>
      <c r="JW184" s="55">
        <f>SUMIFS(tblBudget[Feed_oz],tblBudget[Month],$E184)</f>
        <v/>
      </c>
      <c r="JX184" s="55">
        <f>$JW184*$C184/$D184</f>
        <v/>
      </c>
      <c r="JY184" s="55">
        <f>SUMIFS(tblBudget[Feed_oz],tblBudget[Month],"&lt;"&amp;$E184)+$JX184</f>
        <v/>
      </c>
      <c r="JZ184" s="55">
        <f>SUMIFS(tblBudget[Recovered_oz],tblBudget[Month],$E184)</f>
        <v/>
      </c>
      <c r="KA184" s="55">
        <f>$JZ184*$C184/$D184</f>
        <v/>
      </c>
      <c r="KB184" s="55">
        <f>SUMIFS(tblBudget[Recovered_oz],tblBudget[Month],"&lt;"&amp;$E184)+$KA184</f>
        <v/>
      </c>
      <c r="KC184" s="55">
        <f>SUMIFS(tblBudget[Milled_t],tblBudget[Month],$E184)</f>
        <v/>
      </c>
      <c r="KD184" s="55">
        <f>$KC184*$C184/$D184</f>
        <v/>
      </c>
      <c r="KE184" s="55">
        <f>SUMIFS(tblBudget[Milled_t],tblBudget[Month],"&lt;"&amp;$E184)+$KD184</f>
        <v/>
      </c>
      <c r="KF184" s="55">
        <f>SUMIFS(tblBudget[Feed_oz],tblBudget[Month],$E184)</f>
        <v/>
      </c>
      <c r="KG184" s="55">
        <f>$KF184*$C184/$D184</f>
        <v/>
      </c>
      <c r="KH184" s="55">
        <f>SUMIFS(tblBudget[Feed_oz],tblBudget[Month],"&lt;"&amp;$E184)+$KG184</f>
        <v/>
      </c>
      <c r="KI184" s="56">
        <f>IFERROR(IF(($KC184)&gt;0,($JW184*cfg_TroyOz)/($KC184),""),"")</f>
        <v/>
      </c>
      <c r="KJ184" s="56">
        <f>IFERROR(IF(($KD184)&gt;0,($JX184*cfg_TroyOz)/($KD184),""),"")</f>
        <v/>
      </c>
      <c r="KK184" s="56">
        <f>IFERROR(IF(($KE184)&gt;0,($JY184*cfg_TroyOz)/($KE184),""),"")</f>
        <v/>
      </c>
      <c r="KL184" s="67">
        <f>IFERROR(IF(($KF184)&gt;0,($JZ184)/($KF184),""),"")</f>
        <v/>
      </c>
      <c r="KM184" s="67">
        <f>IFERROR(IF(($KG184)&gt;0,($KA184)/($KG184),""),"")</f>
        <v/>
      </c>
      <c r="KN184" s="67">
        <f>IFERROR(IF(($KH184)&gt;0,($KB184)/($KH184),""),"")</f>
        <v/>
      </c>
      <c r="KO184" s="55">
        <f>SUMIFS(tblBudget[Gold_Poured_oz],tblBudget[Month],$E184)</f>
        <v/>
      </c>
      <c r="KP184" s="55">
        <f>$KO184*$C184/$D184</f>
        <v/>
      </c>
      <c r="KQ184" s="55">
        <f>SUMIFS(tblBudget[Gold_Poured_oz],tblBudget[Month],"&lt;"&amp;$E184)+$KP184</f>
        <v/>
      </c>
      <c r="KR184" s="57">
        <f>SUMIFS(tblBudget[Hours_Worked],tblBudget[Month],$E184)</f>
        <v/>
      </c>
      <c r="KS184" s="57">
        <f>$KR184*$C184/$D184</f>
        <v/>
      </c>
      <c r="KT184" s="57">
        <f>SUMIFS(tblBudget[Hours_Worked],tblBudget[Month],"&lt;"&amp;$E184)+$KS184</f>
        <v/>
      </c>
    </row>
    <row r="185">
      <c r="A185" s="54" t="n">
        <v>46206</v>
      </c>
      <c r="B185">
        <f>MONTH($A185)</f>
        <v/>
      </c>
      <c r="C185">
        <f>DAY($A185)</f>
        <v/>
      </c>
      <c r="D185">
        <f>DAY(EOMONTH($A185,0))</f>
        <v/>
      </c>
      <c r="E185" s="54">
        <f>DATE(YEAR($A185),MONTH($A185),1)</f>
        <v/>
      </c>
      <c r="F185" s="55">
        <f>SUMIFS(tblMovement[Tonnes_t],tblMovement[Date],$A185,tblMovement[Is_Ore],1,tblMovement[Source_Type],"Pit")</f>
        <v/>
      </c>
      <c r="G185" s="55">
        <f>IF($B185=$B184,$G184,0)+$F185</f>
        <v/>
      </c>
      <c r="H185" s="55">
        <f>$H184+$F185</f>
        <v/>
      </c>
      <c r="I185" s="55">
        <f>SUMIFS(tblMovement[Ore_oz],tblMovement[Date],$A185,tblMovement[Source_Type],"Pit")</f>
        <v/>
      </c>
      <c r="J185" s="55">
        <f>IF($B185=$B184,$J184,0)+$I185</f>
        <v/>
      </c>
      <c r="K185" s="55">
        <f>$K184+$I185</f>
        <v/>
      </c>
      <c r="L185" s="55">
        <f>SUMIFS(tblMovement[Tonnes_t],tblMovement[Date],$A185,tblMovement[Is_Ore],1,tblMovement[Source_Type],"Pit",tblMovement[Grade_gpt],"&lt;&gt;")</f>
        <v/>
      </c>
      <c r="M185" s="55">
        <f>IF($B185=$B184,$M184,0)+$L185</f>
        <v/>
      </c>
      <c r="N185" s="55">
        <f>$N184+$L185</f>
        <v/>
      </c>
      <c r="O185" s="56">
        <f>IFERROR(IF(($L185)&gt;0,($I185*cfg_TroyOz)/($L185),""),"")</f>
        <v/>
      </c>
      <c r="P185" s="56">
        <f>IFERROR(IF(($M185)&gt;0,($J185*cfg_TroyOz)/($M185),""),"")</f>
        <v/>
      </c>
      <c r="Q185" s="56">
        <f>IFERROR(IF(($N185)&gt;0,($K185*cfg_TroyOz)/($N185),""),"")</f>
        <v/>
      </c>
      <c r="R185" s="55">
        <f>$F185-$L185</f>
        <v/>
      </c>
      <c r="S185" s="55">
        <f>IF($B185=$B184,$S184,0)+$R185</f>
        <v/>
      </c>
      <c r="T185" s="55">
        <f>$T184+$R185</f>
        <v/>
      </c>
      <c r="U185" s="55">
        <f>SUMIFS(tblMovement[Tonnes_t],tblMovement[Date],$A185,tblMovement[Is_Ore],0,tblMovement[Source_Type],"Pit")</f>
        <v/>
      </c>
      <c r="V185" s="55">
        <f>IF($B185=$B184,$V184,0)+$U185</f>
        <v/>
      </c>
      <c r="W185" s="55">
        <f>$W184+$U185</f>
        <v/>
      </c>
      <c r="X185" s="55">
        <f>$F185+$U185</f>
        <v/>
      </c>
      <c r="Y185" s="55">
        <f>IF($B185=$B184,$Y184,0)+$X185</f>
        <v/>
      </c>
      <c r="Z185" s="55">
        <f>$Z184+$X185</f>
        <v/>
      </c>
      <c r="AA185" s="56">
        <f>IFERROR(IF(($F185)&gt;0,($U185)/($F185),""),"")</f>
        <v/>
      </c>
      <c r="AB185" s="56">
        <f>IFERROR(IF(($G185)&gt;0,($V185)/($G185),""),"")</f>
        <v/>
      </c>
      <c r="AC185" s="56">
        <f>IFERROR(IF(($H185)&gt;0,($W185)/($H185),""),"")</f>
        <v/>
      </c>
      <c r="AD185" s="55">
        <f>SUMIFS(tblMovement[Tonnes_t],tblMovement[Date],$A185,tblMovement[Source_Type],"Stockpile")</f>
        <v/>
      </c>
      <c r="AE185" s="55">
        <f>IF($B185=$B184,$AE184,0)+$AD185</f>
        <v/>
      </c>
      <c r="AF185" s="55">
        <f>$AF184+$AD185</f>
        <v/>
      </c>
      <c r="AG185" s="55">
        <f>SUMIFS(tblMovement[Tonnes_t],tblMovement[Date],$A185)</f>
        <v/>
      </c>
      <c r="AH185" s="55">
        <f>IF($B185=$B184,$AH184,0)+$AG185</f>
        <v/>
      </c>
      <c r="AI185" s="55">
        <f>$AI184+$AG185</f>
        <v/>
      </c>
      <c r="AJ185" s="55">
        <f>$AG185-$X185-$AD185</f>
        <v/>
      </c>
      <c r="AK185" s="55">
        <f>IF($B185=$B184,$AK184,0)+$AJ185</f>
        <v/>
      </c>
      <c r="AL185" s="55">
        <f>$AL184+$AJ185</f>
        <v/>
      </c>
      <c r="AM185" s="55">
        <f>SUMIFS(tblMiningDaily[Drill_m],tblMiningDaily[Date],$A185)</f>
        <v/>
      </c>
      <c r="AN185" s="55">
        <f>IF($B185=$B184,$AN184,0)+$AM185</f>
        <v/>
      </c>
      <c r="AO185" s="55">
        <f>$AO184+$AM185</f>
        <v/>
      </c>
      <c r="AP185" s="55">
        <f>SUMIFS(tblMiningDaily[GC_Drill_m],tblMiningDaily[Date],$A185)</f>
        <v/>
      </c>
      <c r="AQ185" s="55">
        <f>IF($B185=$B184,$AQ184,0)+$AP185</f>
        <v/>
      </c>
      <c r="AR185" s="55">
        <f>$AR184+$AP185</f>
        <v/>
      </c>
      <c r="AS185" s="55">
        <f>SUMIFS(tblMiningDaily[Blast_t],tblMiningDaily[Date],$A185)</f>
        <v/>
      </c>
      <c r="AT185" s="55">
        <f>IF($B185=$B184,$AT184,0)+$AS185</f>
        <v/>
      </c>
      <c r="AU185" s="55">
        <f>$AU184+$AS185</f>
        <v/>
      </c>
      <c r="AV185" s="55">
        <f>SUMIFS(tblMiningDaily[Explosives_kg],tblMiningDaily[Date],$A185)</f>
        <v/>
      </c>
      <c r="AW185" s="55">
        <f>IF($B185=$B184,$AW184,0)+$AV185</f>
        <v/>
      </c>
      <c r="AX185" s="55">
        <f>$AX184+$AV185</f>
        <v/>
      </c>
      <c r="AY185" s="56">
        <f>IFERROR(IF(($AS185)&gt;0,($AV185)/($AS185),""),"")</f>
        <v/>
      </c>
      <c r="AZ185" s="56">
        <f>IFERROR(IF(($AT185)&gt;0,($AW185)/($AT185),""),"")</f>
        <v/>
      </c>
      <c r="BA185" s="56">
        <f>IFERROR(IF(($AU185)&gt;0,($AX185)/($AU185),""),"")</f>
        <v/>
      </c>
      <c r="BB185" s="55">
        <f>SUMIFS(tblMiningDaily[Diesel_L],tblMiningDaily[Date],$A185)</f>
        <v/>
      </c>
      <c r="BC185" s="55">
        <f>IF($B185=$B184,$BC184,0)+$BB185</f>
        <v/>
      </c>
      <c r="BD185" s="55">
        <f>$BD184+$BB185</f>
        <v/>
      </c>
      <c r="BE185" s="55">
        <f>SUMIFS(tblMiningDaily[Dewatering_m3],tblMiningDaily[Date],$A185)</f>
        <v/>
      </c>
      <c r="BF185" s="55">
        <f>IF($B185=$B184,$BF184,0)+$BE185</f>
        <v/>
      </c>
      <c r="BG185" s="55">
        <f>$BG184+$BE185</f>
        <v/>
      </c>
      <c r="BH185" s="57">
        <f>SUMIFS(tblFleet[Calendar_h],tblFleet[Date],$A185,tblFleet[Equipment_Class],"Excavator")</f>
        <v/>
      </c>
      <c r="BI185" s="57">
        <f>IF($B185=$B184,$BI184,0)+$BH185</f>
        <v/>
      </c>
      <c r="BJ185" s="57">
        <f>$BJ184+$BH185</f>
        <v/>
      </c>
      <c r="BK185" s="57">
        <f>SUMIFS(tblFleet[Available_h],tblFleet[Date],$A185,tblFleet[Equipment_Class],"Excavator")</f>
        <v/>
      </c>
      <c r="BL185" s="57">
        <f>IF($B185=$B184,$BL184,0)+$BK185</f>
        <v/>
      </c>
      <c r="BM185" s="57">
        <f>$BM184+$BK185</f>
        <v/>
      </c>
      <c r="BN185" s="57">
        <f>SUMIFS(tblFleet[Operating_h],tblFleet[Date],$A185,tblFleet[Equipment_Class],"Excavator")</f>
        <v/>
      </c>
      <c r="BO185" s="57">
        <f>IF($B185=$B184,$BO184,0)+$BN185</f>
        <v/>
      </c>
      <c r="BP185" s="57">
        <f>$BP184+$BN185</f>
        <v/>
      </c>
      <c r="BQ185" s="67">
        <f>IFERROR(IF(($BH185)&gt;0,($BK185)/($BH185),""),"")</f>
        <v/>
      </c>
      <c r="BR185" s="67">
        <f>IFERROR(IF(($BI185)&gt;0,($BL185)/($BI185),""),"")</f>
        <v/>
      </c>
      <c r="BS185" s="67">
        <f>IFERROR(IF(($BJ185)&gt;0,($BM185)/($BJ185),""),"")</f>
        <v/>
      </c>
      <c r="BT185" s="67">
        <f>IFERROR(IF(($BK185)&gt;0,($BN185)/($BK185),""),"")</f>
        <v/>
      </c>
      <c r="BU185" s="67">
        <f>IFERROR(IF(($BL185)&gt;0,($BO185)/($BL185),""),"")</f>
        <v/>
      </c>
      <c r="BV185" s="67">
        <f>IFERROR(IF(($BM185)&gt;0,($BP185)/($BM185),""),"")</f>
        <v/>
      </c>
      <c r="BW185" s="57">
        <f>SUMIFS(tblFleet[Calendar_h],tblFleet[Date],$A185,tblFleet[Equipment_Class],"Haul Truck")</f>
        <v/>
      </c>
      <c r="BX185" s="57">
        <f>IF($B185=$B184,$BX184,0)+$BW185</f>
        <v/>
      </c>
      <c r="BY185" s="57">
        <f>$BY184+$BW185</f>
        <v/>
      </c>
      <c r="BZ185" s="57">
        <f>SUMIFS(tblFleet[Available_h],tblFleet[Date],$A185,tblFleet[Equipment_Class],"Haul Truck")</f>
        <v/>
      </c>
      <c r="CA185" s="57">
        <f>IF($B185=$B184,$CA184,0)+$BZ185</f>
        <v/>
      </c>
      <c r="CB185" s="57">
        <f>$CB184+$BZ185</f>
        <v/>
      </c>
      <c r="CC185" s="57">
        <f>SUMIFS(tblFleet[Operating_h],tblFleet[Date],$A185,tblFleet[Equipment_Class],"Haul Truck")</f>
        <v/>
      </c>
      <c r="CD185" s="57">
        <f>IF($B185=$B184,$CD184,0)+$CC185</f>
        <v/>
      </c>
      <c r="CE185" s="57">
        <f>$CE184+$CC185</f>
        <v/>
      </c>
      <c r="CF185" s="67">
        <f>IFERROR(IF(($BW185)&gt;0,($BZ185)/($BW185),""),"")</f>
        <v/>
      </c>
      <c r="CG185" s="67">
        <f>IFERROR(IF(($BX185)&gt;0,($CA185)/($BX185),""),"")</f>
        <v/>
      </c>
      <c r="CH185" s="67">
        <f>IFERROR(IF(($BY185)&gt;0,($CB185)/($BY185),""),"")</f>
        <v/>
      </c>
      <c r="CI185" s="67">
        <f>IFERROR(IF(($BZ185)&gt;0,($CC185)/($BZ185),""),"")</f>
        <v/>
      </c>
      <c r="CJ185" s="67">
        <f>IFERROR(IF(($CA185)&gt;0,($CD185)/($CA185),""),"")</f>
        <v/>
      </c>
      <c r="CK185" s="67">
        <f>IFERROR(IF(($CB185)&gt;0,($CE185)/($CB185),""),"")</f>
        <v/>
      </c>
      <c r="CL185" s="55">
        <f>IFERROR(IF(($BN185)&gt;0,($X185+$AD185)/($BN185),""),"")</f>
        <v/>
      </c>
      <c r="CM185" s="55">
        <f>IFERROR(IF(($BO185)&gt;0,($Y185+$AE185)/($BO185),""),"")</f>
        <v/>
      </c>
      <c r="CN185" s="55">
        <f>IFERROR(IF(($BP185)&gt;0,($Z185+$AF185)/($BP185),""),"")</f>
        <v/>
      </c>
      <c r="CO185" s="55">
        <f>IFERROR(IF(($CC185)&gt;0,($X185+$AD185)/($CC185),""),"")</f>
        <v/>
      </c>
      <c r="CP185" s="55">
        <f>IFERROR(IF(($CD185)&gt;0,($Y185+$AE185)/($CD185),""),"")</f>
        <v/>
      </c>
      <c r="CQ185" s="55">
        <f>IFERROR(IF(($CE185)&gt;0,($Z185+$AF185)/($CE185),""),"")</f>
        <v/>
      </c>
      <c r="CR185" s="55">
        <f>SUMIFS(tblPlant[Crushed_t],tblPlant[Date],$A185)</f>
        <v/>
      </c>
      <c r="CS185" s="55">
        <f>IF($B185=$B184,$CS184,0)+$CR185</f>
        <v/>
      </c>
      <c r="CT185" s="55">
        <f>$CT184+$CR185</f>
        <v/>
      </c>
      <c r="CU185" s="55">
        <f>SUMIFS(tblPlant[Milled_t],tblPlant[Date],$A185)</f>
        <v/>
      </c>
      <c r="CV185" s="55">
        <f>IF($B185=$B184,$CV184,0)+$CU185</f>
        <v/>
      </c>
      <c r="CW185" s="55">
        <f>$CW184+$CU185</f>
        <v/>
      </c>
      <c r="CX185" s="55">
        <f>SUMIFS(tblPlant[Feed_oz],tblPlant[Date],$A185)</f>
        <v/>
      </c>
      <c r="CY185" s="55">
        <f>IF($B185=$B184,$CY184,0)+$CX185</f>
        <v/>
      </c>
      <c r="CZ185" s="55">
        <f>$CZ184+$CX185</f>
        <v/>
      </c>
      <c r="DA185" s="55">
        <f>SUMIFS(tblPlant[Tails_oz],tblPlant[Date],$A185)</f>
        <v/>
      </c>
      <c r="DB185" s="55">
        <f>IF($B185=$B184,$DB184,0)+$DA185</f>
        <v/>
      </c>
      <c r="DC185" s="55">
        <f>$DC184+$DA185</f>
        <v/>
      </c>
      <c r="DD185" s="55">
        <f>SUMIFS(tblPlant[Recovered_oz],tblPlant[Date],$A185)</f>
        <v/>
      </c>
      <c r="DE185" s="55">
        <f>IF($B185=$B184,$DE184,0)+$DD185</f>
        <v/>
      </c>
      <c r="DF185" s="55">
        <f>$DF184+$DD185</f>
        <v/>
      </c>
      <c r="DG185" s="55">
        <f>SUMIFS(tblPlant[Milled_t],tblPlant[Date],$A185,tblPlant[Head_Grade_gpt],"&lt;&gt;")</f>
        <v/>
      </c>
      <c r="DH185" s="55">
        <f>IF($B185=$B184,$DH184,0)+$DG185</f>
        <v/>
      </c>
      <c r="DI185" s="55">
        <f>$DI184+$DG185</f>
        <v/>
      </c>
      <c r="DJ185" s="55">
        <f>SUMIFS(tblPlant[Milled_t],tblPlant[Date],$A185,tblPlant[Tails_Grade_gpt],"&lt;&gt;")</f>
        <v/>
      </c>
      <c r="DK185" s="55">
        <f>IF($B185=$B184,$DK184,0)+$DJ185</f>
        <v/>
      </c>
      <c r="DL185" s="55">
        <f>$DL184+$DJ185</f>
        <v/>
      </c>
      <c r="DM185" s="55">
        <f>SUMIFS(tblPlant[Feed_oz],tblPlant[Date],$A185,tblPlant[Tails_Grade_gpt],"&lt;&gt;")</f>
        <v/>
      </c>
      <c r="DN185" s="55">
        <f>IF($B185=$B184,$DN184,0)+$DM185</f>
        <v/>
      </c>
      <c r="DO185" s="55">
        <f>$DO184+$DM185</f>
        <v/>
      </c>
      <c r="DP185" s="55">
        <f>SUMIFS(tblPlant[Milled_t],tblPlant[Date],$A185,tblPlant[Mill_Run_h],"&lt;&gt;")</f>
        <v/>
      </c>
      <c r="DQ185" s="55">
        <f>IF($B185=$B184,$DQ184,0)+$DP185</f>
        <v/>
      </c>
      <c r="DR185" s="55">
        <f>$DR184+$DP185</f>
        <v/>
      </c>
      <c r="DS185" s="56">
        <f>IFERROR(IF(($DG185)&gt;0,($CX185*cfg_TroyOz)/($DG185),""),"")</f>
        <v/>
      </c>
      <c r="DT185" s="56">
        <f>IFERROR(IF(($DH185)&gt;0,($CY185*cfg_TroyOz)/($DH185),""),"")</f>
        <v/>
      </c>
      <c r="DU185" s="56">
        <f>IFERROR(IF(($DI185)&gt;0,($CZ185*cfg_TroyOz)/($DI185),""),"")</f>
        <v/>
      </c>
      <c r="DV185" s="56">
        <f>IFERROR(IF(($DJ185)&gt;0,($DA185*cfg_TroyOz)/($DJ185),""),"")</f>
        <v/>
      </c>
      <c r="DW185" s="56">
        <f>IFERROR(IF(($DK185)&gt;0,($DB185*cfg_TroyOz)/($DK185),""),"")</f>
        <v/>
      </c>
      <c r="DX185" s="56">
        <f>IFERROR(IF(($DL185)&gt;0,($DC185*cfg_TroyOz)/($DL185),""),"")</f>
        <v/>
      </c>
      <c r="DY185" s="67">
        <f>IFERROR(IF(($DM185)&gt;0,($DD185)/($DM185),""),"")</f>
        <v/>
      </c>
      <c r="DZ185" s="67">
        <f>IFERROR(IF(($DN185)&gt;0,($DE185)/($DN185),""),"")</f>
        <v/>
      </c>
      <c r="EA185" s="67">
        <f>IFERROR(IF(($DO185)&gt;0,($DF185)/($DO185),""),"")</f>
        <v/>
      </c>
      <c r="EB185" s="55">
        <f>SUMIFS(tblPlant[Gravity_Gold_oz],tblPlant[Date],$A185)</f>
        <v/>
      </c>
      <c r="EC185" s="55">
        <f>IF($B185=$B184,$EC184,0)+$EB185</f>
        <v/>
      </c>
      <c r="ED185" s="55">
        <f>$ED184+$EB185</f>
        <v/>
      </c>
      <c r="EE185" s="67">
        <f>IFERROR(IF(($DD185)&gt;0,($EB185)/($DD185),""),"")</f>
        <v/>
      </c>
      <c r="EF185" s="67">
        <f>IFERROR(IF(($DE185)&gt;0,($EC185)/($DE185),""),"")</f>
        <v/>
      </c>
      <c r="EG185" s="67">
        <f>IFERROR(IF(($DF185)&gt;0,($ED185)/($DF185),""),"")</f>
        <v/>
      </c>
      <c r="EH185" s="55">
        <f>SUMIFS(tblPlant[Gold_Poured_oz],tblPlant[Date],$A185)</f>
        <v/>
      </c>
      <c r="EI185" s="55">
        <f>IF($B185=$B184,$EI184,0)+$EH185</f>
        <v/>
      </c>
      <c r="EJ185" s="55">
        <f>$EJ184+$EH185</f>
        <v/>
      </c>
      <c r="EK185" s="57">
        <f>SUMIFS(tblPlant[Mill_Run_h],tblPlant[Date],$A185)</f>
        <v/>
      </c>
      <c r="EL185" s="57">
        <f>IF($B185=$B184,$EL184,0)+$EK185</f>
        <v/>
      </c>
      <c r="EM185" s="57">
        <f>$EM184+$EK185</f>
        <v/>
      </c>
      <c r="EN185" s="57">
        <f>SUMIFS(tblPlant[Mill_Planned_Maint_h],tblPlant[Date],$A185)</f>
        <v/>
      </c>
      <c r="EO185" s="57">
        <f>IF($B185=$B184,$EO184,0)+$EN185</f>
        <v/>
      </c>
      <c r="EP185" s="57">
        <f>$EP184+$EN185</f>
        <v/>
      </c>
      <c r="EQ185" s="57">
        <f>SUMIFS(tblPlant[Mill_Unplanned_Down_h],tblPlant[Date],$A185)</f>
        <v/>
      </c>
      <c r="ER185" s="57">
        <f>IF($B185=$B184,$ER184,0)+$EQ185</f>
        <v/>
      </c>
      <c r="ES185" s="57">
        <f>$ES184+$EQ185</f>
        <v/>
      </c>
      <c r="ET185" s="57">
        <f>IF(COUNTIFS(tblPlant[Date],$A185,tblPlant[Mill_Run_h],"&lt;&gt;")+COUNTIFS(tblPlant[Date],$A185,tblPlant[Mill_Planned_Maint_h],"&lt;&gt;")+COUNTIFS(tblPlant[Date],$A185,tblPlant[Mill_Unplanned_Down_h],"&lt;&gt;")&gt;0,cfg_HoursPerDay,0)</f>
        <v/>
      </c>
      <c r="EU185" s="57">
        <f>IF($B185=$B184,$EU184,0)+$ET185</f>
        <v/>
      </c>
      <c r="EV185" s="57">
        <f>$EV184+$ET185</f>
        <v/>
      </c>
      <c r="EW185" s="57">
        <f>SUMIFS(tblPlant[Crusher_Run_h],tblPlant[Date],$A185)</f>
        <v/>
      </c>
      <c r="EX185" s="57">
        <f>IF($B185=$B184,$EX184,0)+$EW185</f>
        <v/>
      </c>
      <c r="EY185" s="57">
        <f>$EY184+$EW185</f>
        <v/>
      </c>
      <c r="EZ185" s="55">
        <f>IFERROR(IF(($EK185)&gt;0,($DP185)/($EK185),""),"")</f>
        <v/>
      </c>
      <c r="FA185" s="55">
        <f>IFERROR(IF(($EL185)&gt;0,($DQ185)/($EL185),""),"")</f>
        <v/>
      </c>
      <c r="FB185" s="55">
        <f>IFERROR(IF(($EM185)&gt;0,($DR185)/($EM185),""),"")</f>
        <v/>
      </c>
      <c r="FC185" s="67">
        <f>IFERROR(IF(($ET185)&gt;0,($ET185-$EN185-$EQ185)/($ET185),""),"")</f>
        <v/>
      </c>
      <c r="FD185" s="67">
        <f>IFERROR(IF(($EU185)&gt;0,($EU185-$EO185-$ER185)/($EU185),""),"")</f>
        <v/>
      </c>
      <c r="FE185" s="67">
        <f>IFERROR(IF(($EV185)&gt;0,($EV185-$EP185-$ES185)/($EV185),""),"")</f>
        <v/>
      </c>
      <c r="FF185" s="67">
        <f>IFERROR(IF(($ET185-$EN185-$EQ185)&gt;0,($EK185)/($ET185-$EN185-$EQ185),""),"")</f>
        <v/>
      </c>
      <c r="FG185" s="67">
        <f>IFERROR(IF(($EU185-$EO185-$ER185)&gt;0,($EL185)/($EU185-$EO185-$ER185),""),"")</f>
        <v/>
      </c>
      <c r="FH185" s="67">
        <f>IFERROR(IF(($EV185-$EP185-$ES185)&gt;0,($EM185)/($EV185-$EP185-$ES185),""),"")</f>
        <v/>
      </c>
      <c r="FI185" s="55">
        <f>SUMIFS(tblPlant[Cyanide_kg],tblPlant[Date],$A185)</f>
        <v/>
      </c>
      <c r="FJ185" s="55">
        <f>IF($B185=$B184,$FJ184,0)+$FI185</f>
        <v/>
      </c>
      <c r="FK185" s="55">
        <f>$FK184+$FI185</f>
        <v/>
      </c>
      <c r="FL185" s="55">
        <f>SUMIFS(tblPlant[Lime_kg],tblPlant[Date],$A185)</f>
        <v/>
      </c>
      <c r="FM185" s="55">
        <f>IF($B185=$B184,$FM184,0)+$FL185</f>
        <v/>
      </c>
      <c r="FN185" s="55">
        <f>$FN184+$FL185</f>
        <v/>
      </c>
      <c r="FO185" s="55">
        <f>SUMIFS(tblPlant[Grinding_Media_kg],tblPlant[Date],$A185)</f>
        <v/>
      </c>
      <c r="FP185" s="55">
        <f>IF($B185=$B184,$FP184,0)+$FO185</f>
        <v/>
      </c>
      <c r="FQ185" s="55">
        <f>$FQ184+$FO185</f>
        <v/>
      </c>
      <c r="FR185" s="55">
        <f>SUMIFS(tblPlant[Power_kWh],tblPlant[Date],$A185)</f>
        <v/>
      </c>
      <c r="FS185" s="55">
        <f>IF($B185=$B184,$FS184,0)+$FR185</f>
        <v/>
      </c>
      <c r="FT185" s="55">
        <f>$FT184+$FR185</f>
        <v/>
      </c>
      <c r="FU185" s="55">
        <f>SUMIFS(tblPlant[Raw_Water_m3],tblPlant[Date],$A185)</f>
        <v/>
      </c>
      <c r="FV185" s="55">
        <f>IF($B185=$B184,$FV184,0)+$FU185</f>
        <v/>
      </c>
      <c r="FW185" s="55">
        <f>$FW184+$FU185</f>
        <v/>
      </c>
      <c r="FX185" s="56">
        <f>IFERROR(IF(($CU185)&gt;0,($FI185)/($CU185),""),"")</f>
        <v/>
      </c>
      <c r="FY185" s="56">
        <f>IFERROR(IF(($CV185)&gt;0,($FJ185)/($CV185),""),"")</f>
        <v/>
      </c>
      <c r="FZ185" s="56">
        <f>IFERROR(IF(($CW185)&gt;0,($FK185)/($CW185),""),"")</f>
        <v/>
      </c>
      <c r="GA185" s="56">
        <f>IFERROR(IF(($CU185)&gt;0,($FL185)/($CU185),""),"")</f>
        <v/>
      </c>
      <c r="GB185" s="56">
        <f>IFERROR(IF(($CV185)&gt;0,($FM185)/($CV185),""),"")</f>
        <v/>
      </c>
      <c r="GC185" s="56">
        <f>IFERROR(IF(($CW185)&gt;0,($FN185)/($CW185),""),"")</f>
        <v/>
      </c>
      <c r="GD185" s="56">
        <f>IFERROR(IF(($CU185)&gt;0,($FO185)/($CU185),""),"")</f>
        <v/>
      </c>
      <c r="GE185" s="56">
        <f>IFERROR(IF(($CV185)&gt;0,($FP185)/($CV185),""),"")</f>
        <v/>
      </c>
      <c r="GF185" s="56">
        <f>IFERROR(IF(($CW185)&gt;0,($FQ185)/($CW185),""),"")</f>
        <v/>
      </c>
      <c r="GG185" s="79">
        <f>IFERROR(IF(($CU185)&gt;0,($FR185)/($CU185),""),"")</f>
        <v/>
      </c>
      <c r="GH185" s="79">
        <f>IFERROR(IF(($CV185)&gt;0,($FS185)/($CV185),""),"")</f>
        <v/>
      </c>
      <c r="GI185" s="79">
        <f>IFERROR(IF(($CW185)&gt;0,($FT185)/($CW185),""),"")</f>
        <v/>
      </c>
      <c r="GJ185" s="56">
        <f>IFERROR(IF(($CU185)&gt;0,($FU185)/($CU185),""),"")</f>
        <v/>
      </c>
      <c r="GK185" s="56">
        <f>IFERROR(IF(($CV185)&gt;0,($FV185)/($CV185),""),"")</f>
        <v/>
      </c>
      <c r="GL185" s="56">
        <f>IFERROR(IF(($CW185)&gt;0,($FW185)/($CW185),""),"")</f>
        <v/>
      </c>
      <c r="GM185" s="55">
        <f>IF(SUMIFS(tblPlant[GIC_oz],tblPlant[Date],$A185)&gt;0,SUMIFS(tblPlant[GIC_oz],tblPlant[Date],$A185),"")</f>
        <v/>
      </c>
      <c r="GN185" s="55">
        <f>SUMIFS(tblGold[Gold_oz],tblGold[Date],$A185,tblGold[Type],"Shipment")</f>
        <v/>
      </c>
      <c r="GO185" s="55">
        <f>IF($B185=$B184,$GO184,0)+$GN185</f>
        <v/>
      </c>
      <c r="GP185" s="55">
        <f>$GP184+$GN185</f>
        <v/>
      </c>
      <c r="GQ185" s="55">
        <f>SUMIFS(tblGold[Gold_oz],tblGold[Date],$A185,tblGold[Type],"Sale")</f>
        <v/>
      </c>
      <c r="GR185" s="55">
        <f>IF($B185=$B184,$GR184,0)+$GQ185</f>
        <v/>
      </c>
      <c r="GS185" s="55">
        <f>$GS184+$GQ185</f>
        <v/>
      </c>
      <c r="GT185" s="55">
        <f>SUMIFS(tblGold[Dore_kg],tblGold[Date],$A185,tblGold[Type],"Shipment")</f>
        <v/>
      </c>
      <c r="GU185" s="55">
        <f>IF($B185=$B184,$GU184,0)+$GT185</f>
        <v/>
      </c>
      <c r="GV185" s="55">
        <f>$GV184+$GT185</f>
        <v/>
      </c>
      <c r="GW185" s="57">
        <f>SUMIFS(tblSafety[Hours_Total],tblSafety[Date],$A185)</f>
        <v/>
      </c>
      <c r="GX185" s="57">
        <f>IF($B185=$B184,$GX184,0)+$GW185</f>
        <v/>
      </c>
      <c r="GY185" s="57">
        <f>$GY184+$GW185</f>
        <v/>
      </c>
      <c r="GZ185" s="62">
        <f>SUMIFS(tblSafety[Fatality],tblSafety[Date],$A185)</f>
        <v/>
      </c>
      <c r="HA185" s="62">
        <f>IF($B185=$B184,$HA184,0)+$GZ185</f>
        <v/>
      </c>
      <c r="HB185" s="62">
        <f>$HB184+$GZ185</f>
        <v/>
      </c>
      <c r="HC185" s="62">
        <f>SUMIFS(tblSafety[LTI],tblSafety[Date],$A185)</f>
        <v/>
      </c>
      <c r="HD185" s="62">
        <f>IF($B185=$B184,$HD184,0)+$HC185</f>
        <v/>
      </c>
      <c r="HE185" s="62">
        <f>$HE184+$HC185</f>
        <v/>
      </c>
      <c r="HF185" s="62">
        <f>SUMIFS(tblSafety[RWI],tblSafety[Date],$A185)</f>
        <v/>
      </c>
      <c r="HG185" s="62">
        <f>IF($B185=$B184,$HG184,0)+$HF185</f>
        <v/>
      </c>
      <c r="HH185" s="62">
        <f>$HH184+$HF185</f>
        <v/>
      </c>
      <c r="HI185" s="62">
        <f>SUMIFS(tblSafety[MTI],tblSafety[Date],$A185)</f>
        <v/>
      </c>
      <c r="HJ185" s="62">
        <f>IF($B185=$B184,$HJ184,0)+$HI185</f>
        <v/>
      </c>
      <c r="HK185" s="62">
        <f>$HK184+$HI185</f>
        <v/>
      </c>
      <c r="HL185" s="62">
        <f>SUMIFS(tblSafety[FAI],tblSafety[Date],$A185)</f>
        <v/>
      </c>
      <c r="HM185" s="62">
        <f>IF($B185=$B184,$HM184,0)+$HL185</f>
        <v/>
      </c>
      <c r="HN185" s="62">
        <f>$HN184+$HL185</f>
        <v/>
      </c>
      <c r="HO185" s="62">
        <f>SUMIFS(tblSafety[Recordables],tblSafety[Date],$A185)</f>
        <v/>
      </c>
      <c r="HP185" s="62">
        <f>IF($B185=$B184,$HP184,0)+$HO185</f>
        <v/>
      </c>
      <c r="HQ185" s="62">
        <f>$HQ184+$HO185</f>
        <v/>
      </c>
      <c r="HR185" s="62">
        <f>SUMIFS(tblSafety[Near_Miss],tblSafety[Date],$A185)</f>
        <v/>
      </c>
      <c r="HS185" s="62">
        <f>IF($B185=$B184,$HS184,0)+$HR185</f>
        <v/>
      </c>
      <c r="HT185" s="62">
        <f>$HT184+$HR185</f>
        <v/>
      </c>
      <c r="HU185" s="62">
        <f>SUMIFS(tblSafety[Hazard_Reports],tblSafety[Date],$A185)</f>
        <v/>
      </c>
      <c r="HV185" s="62">
        <f>IF($B185=$B184,$HV184,0)+$HU185</f>
        <v/>
      </c>
      <c r="HW185" s="62">
        <f>$HW184+$HU185</f>
        <v/>
      </c>
      <c r="HX185" s="62">
        <f>SUMIFS(tblSafety[HPI],tblSafety[Date],$A185)</f>
        <v/>
      </c>
      <c r="HY185" s="62">
        <f>IF($B185=$B184,$HY184,0)+$HX185</f>
        <v/>
      </c>
      <c r="HZ185" s="62">
        <f>$HZ184+$HX185</f>
        <v/>
      </c>
      <c r="IA185" s="62">
        <f>SUMIFS(tblSafety[Env_Incidents],tblSafety[Date],$A185)</f>
        <v/>
      </c>
      <c r="IB185" s="62">
        <f>IF($B185=$B184,$IB184,0)+$IA185</f>
        <v/>
      </c>
      <c r="IC185" s="62">
        <f>$IC184+$IA185</f>
        <v/>
      </c>
      <c r="ID185" s="62">
        <f>SUMIFS(tblSafety[Community_Incidents],tblSafety[Date],$A185)</f>
        <v/>
      </c>
      <c r="IE185" s="62">
        <f>IF($B185=$B184,$IE184,0)+$ID185</f>
        <v/>
      </c>
      <c r="IF185" s="62">
        <f>$IF184+$ID185</f>
        <v/>
      </c>
      <c r="IG185" s="62">
        <f>SUMIFS(tblSafety[Vehicle_Incidents],tblSafety[Date],$A185)</f>
        <v/>
      </c>
      <c r="IH185" s="62">
        <f>IF($B185=$B184,$IH184,0)+$IG185</f>
        <v/>
      </c>
      <c r="II185" s="62">
        <f>$II184+$IG185</f>
        <v/>
      </c>
      <c r="IJ185" s="62">
        <f>SUMIFS(tblSafety[Toolbox_Talks],tblSafety[Date],$A185)</f>
        <v/>
      </c>
      <c r="IK185" s="62">
        <f>IF($B185=$B184,$IK184,0)+$IJ185</f>
        <v/>
      </c>
      <c r="IL185" s="62">
        <f>$IL184+$IJ185</f>
        <v/>
      </c>
      <c r="IM185" s="62">
        <f>SUMIFS(tblSafety[Inspections],tblSafety[Date],$A185)</f>
        <v/>
      </c>
      <c r="IN185" s="62">
        <f>IF($B185=$B184,$IN184,0)+$IM185</f>
        <v/>
      </c>
      <c r="IO185" s="62">
        <f>$IO184+$IM185</f>
        <v/>
      </c>
      <c r="IP185" s="56">
        <f>IFERROR((SUMIFS(tblSafety[Recordables],tblSafety[Date],"&gt;="&amp;EDATE($E185,-12),tblSafety[Date],"&lt;="&amp;$A185)+SUMIFS(tblSafetyHistory[Recordables],tblSafetyHistory[Month],"&gt;="&amp;EDATE($E185,-12),tblSafetyHistory[Month],"&lt;"&amp;$E185,tblSafetyHistory[Use],1))/(SUMIFS(tblSafety[Hours_Total],tblSafety[Date],"&gt;="&amp;EDATE($E185,-12),tblSafety[Date],"&lt;="&amp;$A185)+SUMIFS(tblSafetyHistory[Hours_Total],tblSafetyHistory[Month],"&gt;="&amp;EDATE($E185,-12),tblSafetyHistory[Month],"&lt;"&amp;$E185,tblSafetyHistory[Use],1))*cfg_RateBasisHours,"")</f>
        <v/>
      </c>
      <c r="IQ185" s="56">
        <f>IFERROR((SUMIFS(tblSafety[LTI],tblSafety[Date],"&gt;="&amp;EDATE($E185,-12),tblSafety[Date],"&lt;="&amp;$A185)+SUMIFS(tblSafetyHistory[LTI],tblSafetyHistory[Month],"&gt;="&amp;EDATE($E185,-12),tblSafetyHistory[Month],"&lt;"&amp;$E185,tblSafetyHistory[Use],1))/(SUMIFS(tblSafety[Hours_Total],tblSafety[Date],"&gt;="&amp;EDATE($E185,-12),tblSafety[Date],"&lt;="&amp;$A185)+SUMIFS(tblSafetyHistory[Hours_Total],tblSafetyHistory[Month],"&gt;="&amp;EDATE($E185,-12),tblSafetyHistory[Month],"&lt;"&amp;$E185,tblSafetyHistory[Use],1))*cfg_RateBasisHours,"")</f>
        <v/>
      </c>
      <c r="IR185" s="62">
        <f>IF(MAX(N(cfg_PriorLTIDate),_xlfn.MAXIFS(tblSafety[Date],tblSafety[LTI],"&gt;0",tblSafety[Date],"&lt;="&amp;$A185))=0,"",$A185-MAX(N(cfg_PriorLTIDate),_xlfn.MAXIFS(tblSafety[Date],tblSafety[LTI],"&gt;0",tblSafety[Date],"&lt;="&amp;$A185)))</f>
        <v/>
      </c>
      <c r="IS185" s="55">
        <f>SUMIFS(tblBudget[Ore_Mined_t],tblBudget[Month],$E185)</f>
        <v/>
      </c>
      <c r="IT185" s="55">
        <f>$IS185*$C185/$D185</f>
        <v/>
      </c>
      <c r="IU185" s="55">
        <f>SUMIFS(tblBudget[Ore_Mined_t],tblBudget[Month],"&lt;"&amp;$E185)+$IT185</f>
        <v/>
      </c>
      <c r="IV185" s="55">
        <f>SUMIFS(tblBudget[Ore_oz],tblBudget[Month],$E185)</f>
        <v/>
      </c>
      <c r="IW185" s="55">
        <f>$IV185*$C185/$D185</f>
        <v/>
      </c>
      <c r="IX185" s="55">
        <f>SUMIFS(tblBudget[Ore_oz],tblBudget[Month],"&lt;"&amp;$E185)+$IW185</f>
        <v/>
      </c>
      <c r="IY185" s="55">
        <f>SUMIFS(tblBudget[Ore_Mined_t],tblBudget[Month],$E185)</f>
        <v/>
      </c>
      <c r="IZ185" s="55">
        <f>$IY185*$C185/$D185</f>
        <v/>
      </c>
      <c r="JA185" s="55">
        <f>SUMIFS(tblBudget[Ore_Mined_t],tblBudget[Month],"&lt;"&amp;$E185)+$IZ185</f>
        <v/>
      </c>
      <c r="JB185" s="56">
        <f>IFERROR(IF(($IY185)&gt;0,($IV185*cfg_TroyOz)/($IY185),""),"")</f>
        <v/>
      </c>
      <c r="JC185" s="56">
        <f>IFERROR(IF(($IZ185)&gt;0,($IW185*cfg_TroyOz)/($IZ185),""),"")</f>
        <v/>
      </c>
      <c r="JD185" s="56">
        <f>IFERROR(IF(($JA185)&gt;0,($IX185*cfg_TroyOz)/($JA185),""),"")</f>
        <v/>
      </c>
      <c r="JE185" s="55">
        <f>SUMIFS(tblBudget[Waste_t],tblBudget[Month],$E185)</f>
        <v/>
      </c>
      <c r="JF185" s="55">
        <f>$JE185*$C185/$D185</f>
        <v/>
      </c>
      <c r="JG185" s="55">
        <f>SUMIFS(tblBudget[Waste_t],tblBudget[Month],"&lt;"&amp;$E185)+$JF185</f>
        <v/>
      </c>
      <c r="JH185" s="55">
        <f>SUMIFS(tblBudget[TMM_t],tblBudget[Month],$E185)</f>
        <v/>
      </c>
      <c r="JI185" s="55">
        <f>$JH185*$C185/$D185</f>
        <v/>
      </c>
      <c r="JJ185" s="55">
        <f>SUMIFS(tblBudget[TMM_t],tblBudget[Month],"&lt;"&amp;$E185)+$JI185</f>
        <v/>
      </c>
      <c r="JK185" s="56">
        <f>IFERROR(IF(($IS185)&gt;0,($JE185)/($IS185),""),"")</f>
        <v/>
      </c>
      <c r="JL185" s="56">
        <f>IFERROR(IF(($IT185)&gt;0,($JF185)/($IT185),""),"")</f>
        <v/>
      </c>
      <c r="JM185" s="56">
        <f>IFERROR(IF(($IU185)&gt;0,($JG185)/($IU185),""),"")</f>
        <v/>
      </c>
      <c r="JN185" s="55">
        <f>SUMIFS(tblBudget[Drill_m],tblBudget[Month],$E185)</f>
        <v/>
      </c>
      <c r="JO185" s="55">
        <f>$JN185*$C185/$D185</f>
        <v/>
      </c>
      <c r="JP185" s="55">
        <f>SUMIFS(tblBudget[Drill_m],tblBudget[Month],"&lt;"&amp;$E185)+$JO185</f>
        <v/>
      </c>
      <c r="JQ185" s="55">
        <f>SUMIFS(tblBudget[Diesel_L],tblBudget[Month],$E185)</f>
        <v/>
      </c>
      <c r="JR185" s="55">
        <f>$JQ185*$C185/$D185</f>
        <v/>
      </c>
      <c r="JS185" s="55">
        <f>SUMIFS(tblBudget[Diesel_L],tblBudget[Month],"&lt;"&amp;$E185)+$JR185</f>
        <v/>
      </c>
      <c r="JT185" s="55">
        <f>SUMIFS(tblBudget[Milled_t],tblBudget[Month],$E185)</f>
        <v/>
      </c>
      <c r="JU185" s="55">
        <f>$JT185*$C185/$D185</f>
        <v/>
      </c>
      <c r="JV185" s="55">
        <f>SUMIFS(tblBudget[Milled_t],tblBudget[Month],"&lt;"&amp;$E185)+$JU185</f>
        <v/>
      </c>
      <c r="JW185" s="55">
        <f>SUMIFS(tblBudget[Feed_oz],tblBudget[Month],$E185)</f>
        <v/>
      </c>
      <c r="JX185" s="55">
        <f>$JW185*$C185/$D185</f>
        <v/>
      </c>
      <c r="JY185" s="55">
        <f>SUMIFS(tblBudget[Feed_oz],tblBudget[Month],"&lt;"&amp;$E185)+$JX185</f>
        <v/>
      </c>
      <c r="JZ185" s="55">
        <f>SUMIFS(tblBudget[Recovered_oz],tblBudget[Month],$E185)</f>
        <v/>
      </c>
      <c r="KA185" s="55">
        <f>$JZ185*$C185/$D185</f>
        <v/>
      </c>
      <c r="KB185" s="55">
        <f>SUMIFS(tblBudget[Recovered_oz],tblBudget[Month],"&lt;"&amp;$E185)+$KA185</f>
        <v/>
      </c>
      <c r="KC185" s="55">
        <f>SUMIFS(tblBudget[Milled_t],tblBudget[Month],$E185)</f>
        <v/>
      </c>
      <c r="KD185" s="55">
        <f>$KC185*$C185/$D185</f>
        <v/>
      </c>
      <c r="KE185" s="55">
        <f>SUMIFS(tblBudget[Milled_t],tblBudget[Month],"&lt;"&amp;$E185)+$KD185</f>
        <v/>
      </c>
      <c r="KF185" s="55">
        <f>SUMIFS(tblBudget[Feed_oz],tblBudget[Month],$E185)</f>
        <v/>
      </c>
      <c r="KG185" s="55">
        <f>$KF185*$C185/$D185</f>
        <v/>
      </c>
      <c r="KH185" s="55">
        <f>SUMIFS(tblBudget[Feed_oz],tblBudget[Month],"&lt;"&amp;$E185)+$KG185</f>
        <v/>
      </c>
      <c r="KI185" s="56">
        <f>IFERROR(IF(($KC185)&gt;0,($JW185*cfg_TroyOz)/($KC185),""),"")</f>
        <v/>
      </c>
      <c r="KJ185" s="56">
        <f>IFERROR(IF(($KD185)&gt;0,($JX185*cfg_TroyOz)/($KD185),""),"")</f>
        <v/>
      </c>
      <c r="KK185" s="56">
        <f>IFERROR(IF(($KE185)&gt;0,($JY185*cfg_TroyOz)/($KE185),""),"")</f>
        <v/>
      </c>
      <c r="KL185" s="67">
        <f>IFERROR(IF(($KF185)&gt;0,($JZ185)/($KF185),""),"")</f>
        <v/>
      </c>
      <c r="KM185" s="67">
        <f>IFERROR(IF(($KG185)&gt;0,($KA185)/($KG185),""),"")</f>
        <v/>
      </c>
      <c r="KN185" s="67">
        <f>IFERROR(IF(($KH185)&gt;0,($KB185)/($KH185),""),"")</f>
        <v/>
      </c>
      <c r="KO185" s="55">
        <f>SUMIFS(tblBudget[Gold_Poured_oz],tblBudget[Month],$E185)</f>
        <v/>
      </c>
      <c r="KP185" s="55">
        <f>$KO185*$C185/$D185</f>
        <v/>
      </c>
      <c r="KQ185" s="55">
        <f>SUMIFS(tblBudget[Gold_Poured_oz],tblBudget[Month],"&lt;"&amp;$E185)+$KP185</f>
        <v/>
      </c>
      <c r="KR185" s="57">
        <f>SUMIFS(tblBudget[Hours_Worked],tblBudget[Month],$E185)</f>
        <v/>
      </c>
      <c r="KS185" s="57">
        <f>$KR185*$C185/$D185</f>
        <v/>
      </c>
      <c r="KT185" s="57">
        <f>SUMIFS(tblBudget[Hours_Worked],tblBudget[Month],"&lt;"&amp;$E185)+$KS185</f>
        <v/>
      </c>
    </row>
    <row r="186">
      <c r="A186" s="54" t="n">
        <v>46207</v>
      </c>
      <c r="B186">
        <f>MONTH($A186)</f>
        <v/>
      </c>
      <c r="C186">
        <f>DAY($A186)</f>
        <v/>
      </c>
      <c r="D186">
        <f>DAY(EOMONTH($A186,0))</f>
        <v/>
      </c>
      <c r="E186" s="54">
        <f>DATE(YEAR($A186),MONTH($A186),1)</f>
        <v/>
      </c>
      <c r="F186" s="55">
        <f>SUMIFS(tblMovement[Tonnes_t],tblMovement[Date],$A186,tblMovement[Is_Ore],1,tblMovement[Source_Type],"Pit")</f>
        <v/>
      </c>
      <c r="G186" s="55">
        <f>IF($B186=$B185,$G185,0)+$F186</f>
        <v/>
      </c>
      <c r="H186" s="55">
        <f>$H185+$F186</f>
        <v/>
      </c>
      <c r="I186" s="55">
        <f>SUMIFS(tblMovement[Ore_oz],tblMovement[Date],$A186,tblMovement[Source_Type],"Pit")</f>
        <v/>
      </c>
      <c r="J186" s="55">
        <f>IF($B186=$B185,$J185,0)+$I186</f>
        <v/>
      </c>
      <c r="K186" s="55">
        <f>$K185+$I186</f>
        <v/>
      </c>
      <c r="L186" s="55">
        <f>SUMIFS(tblMovement[Tonnes_t],tblMovement[Date],$A186,tblMovement[Is_Ore],1,tblMovement[Source_Type],"Pit",tblMovement[Grade_gpt],"&lt;&gt;")</f>
        <v/>
      </c>
      <c r="M186" s="55">
        <f>IF($B186=$B185,$M185,0)+$L186</f>
        <v/>
      </c>
      <c r="N186" s="55">
        <f>$N185+$L186</f>
        <v/>
      </c>
      <c r="O186" s="56">
        <f>IFERROR(IF(($L186)&gt;0,($I186*cfg_TroyOz)/($L186),""),"")</f>
        <v/>
      </c>
      <c r="P186" s="56">
        <f>IFERROR(IF(($M186)&gt;0,($J186*cfg_TroyOz)/($M186),""),"")</f>
        <v/>
      </c>
      <c r="Q186" s="56">
        <f>IFERROR(IF(($N186)&gt;0,($K186*cfg_TroyOz)/($N186),""),"")</f>
        <v/>
      </c>
      <c r="R186" s="55">
        <f>$F186-$L186</f>
        <v/>
      </c>
      <c r="S186" s="55">
        <f>IF($B186=$B185,$S185,0)+$R186</f>
        <v/>
      </c>
      <c r="T186" s="55">
        <f>$T185+$R186</f>
        <v/>
      </c>
      <c r="U186" s="55">
        <f>SUMIFS(tblMovement[Tonnes_t],tblMovement[Date],$A186,tblMovement[Is_Ore],0,tblMovement[Source_Type],"Pit")</f>
        <v/>
      </c>
      <c r="V186" s="55">
        <f>IF($B186=$B185,$V185,0)+$U186</f>
        <v/>
      </c>
      <c r="W186" s="55">
        <f>$W185+$U186</f>
        <v/>
      </c>
      <c r="X186" s="55">
        <f>$F186+$U186</f>
        <v/>
      </c>
      <c r="Y186" s="55">
        <f>IF($B186=$B185,$Y185,0)+$X186</f>
        <v/>
      </c>
      <c r="Z186" s="55">
        <f>$Z185+$X186</f>
        <v/>
      </c>
      <c r="AA186" s="56">
        <f>IFERROR(IF(($F186)&gt;0,($U186)/($F186),""),"")</f>
        <v/>
      </c>
      <c r="AB186" s="56">
        <f>IFERROR(IF(($G186)&gt;0,($V186)/($G186),""),"")</f>
        <v/>
      </c>
      <c r="AC186" s="56">
        <f>IFERROR(IF(($H186)&gt;0,($W186)/($H186),""),"")</f>
        <v/>
      </c>
      <c r="AD186" s="55">
        <f>SUMIFS(tblMovement[Tonnes_t],tblMovement[Date],$A186,tblMovement[Source_Type],"Stockpile")</f>
        <v/>
      </c>
      <c r="AE186" s="55">
        <f>IF($B186=$B185,$AE185,0)+$AD186</f>
        <v/>
      </c>
      <c r="AF186" s="55">
        <f>$AF185+$AD186</f>
        <v/>
      </c>
      <c r="AG186" s="55">
        <f>SUMIFS(tblMovement[Tonnes_t],tblMovement[Date],$A186)</f>
        <v/>
      </c>
      <c r="AH186" s="55">
        <f>IF($B186=$B185,$AH185,0)+$AG186</f>
        <v/>
      </c>
      <c r="AI186" s="55">
        <f>$AI185+$AG186</f>
        <v/>
      </c>
      <c r="AJ186" s="55">
        <f>$AG186-$X186-$AD186</f>
        <v/>
      </c>
      <c r="AK186" s="55">
        <f>IF($B186=$B185,$AK185,0)+$AJ186</f>
        <v/>
      </c>
      <c r="AL186" s="55">
        <f>$AL185+$AJ186</f>
        <v/>
      </c>
      <c r="AM186" s="55">
        <f>SUMIFS(tblMiningDaily[Drill_m],tblMiningDaily[Date],$A186)</f>
        <v/>
      </c>
      <c r="AN186" s="55">
        <f>IF($B186=$B185,$AN185,0)+$AM186</f>
        <v/>
      </c>
      <c r="AO186" s="55">
        <f>$AO185+$AM186</f>
        <v/>
      </c>
      <c r="AP186" s="55">
        <f>SUMIFS(tblMiningDaily[GC_Drill_m],tblMiningDaily[Date],$A186)</f>
        <v/>
      </c>
      <c r="AQ186" s="55">
        <f>IF($B186=$B185,$AQ185,0)+$AP186</f>
        <v/>
      </c>
      <c r="AR186" s="55">
        <f>$AR185+$AP186</f>
        <v/>
      </c>
      <c r="AS186" s="55">
        <f>SUMIFS(tblMiningDaily[Blast_t],tblMiningDaily[Date],$A186)</f>
        <v/>
      </c>
      <c r="AT186" s="55">
        <f>IF($B186=$B185,$AT185,0)+$AS186</f>
        <v/>
      </c>
      <c r="AU186" s="55">
        <f>$AU185+$AS186</f>
        <v/>
      </c>
      <c r="AV186" s="55">
        <f>SUMIFS(tblMiningDaily[Explosives_kg],tblMiningDaily[Date],$A186)</f>
        <v/>
      </c>
      <c r="AW186" s="55">
        <f>IF($B186=$B185,$AW185,0)+$AV186</f>
        <v/>
      </c>
      <c r="AX186" s="55">
        <f>$AX185+$AV186</f>
        <v/>
      </c>
      <c r="AY186" s="56">
        <f>IFERROR(IF(($AS186)&gt;0,($AV186)/($AS186),""),"")</f>
        <v/>
      </c>
      <c r="AZ186" s="56">
        <f>IFERROR(IF(($AT186)&gt;0,($AW186)/($AT186),""),"")</f>
        <v/>
      </c>
      <c r="BA186" s="56">
        <f>IFERROR(IF(($AU186)&gt;0,($AX186)/($AU186),""),"")</f>
        <v/>
      </c>
      <c r="BB186" s="55">
        <f>SUMIFS(tblMiningDaily[Diesel_L],tblMiningDaily[Date],$A186)</f>
        <v/>
      </c>
      <c r="BC186" s="55">
        <f>IF($B186=$B185,$BC185,0)+$BB186</f>
        <v/>
      </c>
      <c r="BD186" s="55">
        <f>$BD185+$BB186</f>
        <v/>
      </c>
      <c r="BE186" s="55">
        <f>SUMIFS(tblMiningDaily[Dewatering_m3],tblMiningDaily[Date],$A186)</f>
        <v/>
      </c>
      <c r="BF186" s="55">
        <f>IF($B186=$B185,$BF185,0)+$BE186</f>
        <v/>
      </c>
      <c r="BG186" s="55">
        <f>$BG185+$BE186</f>
        <v/>
      </c>
      <c r="BH186" s="57">
        <f>SUMIFS(tblFleet[Calendar_h],tblFleet[Date],$A186,tblFleet[Equipment_Class],"Excavator")</f>
        <v/>
      </c>
      <c r="BI186" s="57">
        <f>IF($B186=$B185,$BI185,0)+$BH186</f>
        <v/>
      </c>
      <c r="BJ186" s="57">
        <f>$BJ185+$BH186</f>
        <v/>
      </c>
      <c r="BK186" s="57">
        <f>SUMIFS(tblFleet[Available_h],tblFleet[Date],$A186,tblFleet[Equipment_Class],"Excavator")</f>
        <v/>
      </c>
      <c r="BL186" s="57">
        <f>IF($B186=$B185,$BL185,0)+$BK186</f>
        <v/>
      </c>
      <c r="BM186" s="57">
        <f>$BM185+$BK186</f>
        <v/>
      </c>
      <c r="BN186" s="57">
        <f>SUMIFS(tblFleet[Operating_h],tblFleet[Date],$A186,tblFleet[Equipment_Class],"Excavator")</f>
        <v/>
      </c>
      <c r="BO186" s="57">
        <f>IF($B186=$B185,$BO185,0)+$BN186</f>
        <v/>
      </c>
      <c r="BP186" s="57">
        <f>$BP185+$BN186</f>
        <v/>
      </c>
      <c r="BQ186" s="67">
        <f>IFERROR(IF(($BH186)&gt;0,($BK186)/($BH186),""),"")</f>
        <v/>
      </c>
      <c r="BR186" s="67">
        <f>IFERROR(IF(($BI186)&gt;0,($BL186)/($BI186),""),"")</f>
        <v/>
      </c>
      <c r="BS186" s="67">
        <f>IFERROR(IF(($BJ186)&gt;0,($BM186)/($BJ186),""),"")</f>
        <v/>
      </c>
      <c r="BT186" s="67">
        <f>IFERROR(IF(($BK186)&gt;0,($BN186)/($BK186),""),"")</f>
        <v/>
      </c>
      <c r="BU186" s="67">
        <f>IFERROR(IF(($BL186)&gt;0,($BO186)/($BL186),""),"")</f>
        <v/>
      </c>
      <c r="BV186" s="67">
        <f>IFERROR(IF(($BM186)&gt;0,($BP186)/($BM186),""),"")</f>
        <v/>
      </c>
      <c r="BW186" s="57">
        <f>SUMIFS(tblFleet[Calendar_h],tblFleet[Date],$A186,tblFleet[Equipment_Class],"Haul Truck")</f>
        <v/>
      </c>
      <c r="BX186" s="57">
        <f>IF($B186=$B185,$BX185,0)+$BW186</f>
        <v/>
      </c>
      <c r="BY186" s="57">
        <f>$BY185+$BW186</f>
        <v/>
      </c>
      <c r="BZ186" s="57">
        <f>SUMIFS(tblFleet[Available_h],tblFleet[Date],$A186,tblFleet[Equipment_Class],"Haul Truck")</f>
        <v/>
      </c>
      <c r="CA186" s="57">
        <f>IF($B186=$B185,$CA185,0)+$BZ186</f>
        <v/>
      </c>
      <c r="CB186" s="57">
        <f>$CB185+$BZ186</f>
        <v/>
      </c>
      <c r="CC186" s="57">
        <f>SUMIFS(tblFleet[Operating_h],tblFleet[Date],$A186,tblFleet[Equipment_Class],"Haul Truck")</f>
        <v/>
      </c>
      <c r="CD186" s="57">
        <f>IF($B186=$B185,$CD185,0)+$CC186</f>
        <v/>
      </c>
      <c r="CE186" s="57">
        <f>$CE185+$CC186</f>
        <v/>
      </c>
      <c r="CF186" s="67">
        <f>IFERROR(IF(($BW186)&gt;0,($BZ186)/($BW186),""),"")</f>
        <v/>
      </c>
      <c r="CG186" s="67">
        <f>IFERROR(IF(($BX186)&gt;0,($CA186)/($BX186),""),"")</f>
        <v/>
      </c>
      <c r="CH186" s="67">
        <f>IFERROR(IF(($BY186)&gt;0,($CB186)/($BY186),""),"")</f>
        <v/>
      </c>
      <c r="CI186" s="67">
        <f>IFERROR(IF(($BZ186)&gt;0,($CC186)/($BZ186),""),"")</f>
        <v/>
      </c>
      <c r="CJ186" s="67">
        <f>IFERROR(IF(($CA186)&gt;0,($CD186)/($CA186),""),"")</f>
        <v/>
      </c>
      <c r="CK186" s="67">
        <f>IFERROR(IF(($CB186)&gt;0,($CE186)/($CB186),""),"")</f>
        <v/>
      </c>
      <c r="CL186" s="55">
        <f>IFERROR(IF(($BN186)&gt;0,($X186+$AD186)/($BN186),""),"")</f>
        <v/>
      </c>
      <c r="CM186" s="55">
        <f>IFERROR(IF(($BO186)&gt;0,($Y186+$AE186)/($BO186),""),"")</f>
        <v/>
      </c>
      <c r="CN186" s="55">
        <f>IFERROR(IF(($BP186)&gt;0,($Z186+$AF186)/($BP186),""),"")</f>
        <v/>
      </c>
      <c r="CO186" s="55">
        <f>IFERROR(IF(($CC186)&gt;0,($X186+$AD186)/($CC186),""),"")</f>
        <v/>
      </c>
      <c r="CP186" s="55">
        <f>IFERROR(IF(($CD186)&gt;0,($Y186+$AE186)/($CD186),""),"")</f>
        <v/>
      </c>
      <c r="CQ186" s="55">
        <f>IFERROR(IF(($CE186)&gt;0,($Z186+$AF186)/($CE186),""),"")</f>
        <v/>
      </c>
      <c r="CR186" s="55">
        <f>SUMIFS(tblPlant[Crushed_t],tblPlant[Date],$A186)</f>
        <v/>
      </c>
      <c r="CS186" s="55">
        <f>IF($B186=$B185,$CS185,0)+$CR186</f>
        <v/>
      </c>
      <c r="CT186" s="55">
        <f>$CT185+$CR186</f>
        <v/>
      </c>
      <c r="CU186" s="55">
        <f>SUMIFS(tblPlant[Milled_t],tblPlant[Date],$A186)</f>
        <v/>
      </c>
      <c r="CV186" s="55">
        <f>IF($B186=$B185,$CV185,0)+$CU186</f>
        <v/>
      </c>
      <c r="CW186" s="55">
        <f>$CW185+$CU186</f>
        <v/>
      </c>
      <c r="CX186" s="55">
        <f>SUMIFS(tblPlant[Feed_oz],tblPlant[Date],$A186)</f>
        <v/>
      </c>
      <c r="CY186" s="55">
        <f>IF($B186=$B185,$CY185,0)+$CX186</f>
        <v/>
      </c>
      <c r="CZ186" s="55">
        <f>$CZ185+$CX186</f>
        <v/>
      </c>
      <c r="DA186" s="55">
        <f>SUMIFS(tblPlant[Tails_oz],tblPlant[Date],$A186)</f>
        <v/>
      </c>
      <c r="DB186" s="55">
        <f>IF($B186=$B185,$DB185,0)+$DA186</f>
        <v/>
      </c>
      <c r="DC186" s="55">
        <f>$DC185+$DA186</f>
        <v/>
      </c>
      <c r="DD186" s="55">
        <f>SUMIFS(tblPlant[Recovered_oz],tblPlant[Date],$A186)</f>
        <v/>
      </c>
      <c r="DE186" s="55">
        <f>IF($B186=$B185,$DE185,0)+$DD186</f>
        <v/>
      </c>
      <c r="DF186" s="55">
        <f>$DF185+$DD186</f>
        <v/>
      </c>
      <c r="DG186" s="55">
        <f>SUMIFS(tblPlant[Milled_t],tblPlant[Date],$A186,tblPlant[Head_Grade_gpt],"&lt;&gt;")</f>
        <v/>
      </c>
      <c r="DH186" s="55">
        <f>IF($B186=$B185,$DH185,0)+$DG186</f>
        <v/>
      </c>
      <c r="DI186" s="55">
        <f>$DI185+$DG186</f>
        <v/>
      </c>
      <c r="DJ186" s="55">
        <f>SUMIFS(tblPlant[Milled_t],tblPlant[Date],$A186,tblPlant[Tails_Grade_gpt],"&lt;&gt;")</f>
        <v/>
      </c>
      <c r="DK186" s="55">
        <f>IF($B186=$B185,$DK185,0)+$DJ186</f>
        <v/>
      </c>
      <c r="DL186" s="55">
        <f>$DL185+$DJ186</f>
        <v/>
      </c>
      <c r="DM186" s="55">
        <f>SUMIFS(tblPlant[Feed_oz],tblPlant[Date],$A186,tblPlant[Tails_Grade_gpt],"&lt;&gt;")</f>
        <v/>
      </c>
      <c r="DN186" s="55">
        <f>IF($B186=$B185,$DN185,0)+$DM186</f>
        <v/>
      </c>
      <c r="DO186" s="55">
        <f>$DO185+$DM186</f>
        <v/>
      </c>
      <c r="DP186" s="55">
        <f>SUMIFS(tblPlant[Milled_t],tblPlant[Date],$A186,tblPlant[Mill_Run_h],"&lt;&gt;")</f>
        <v/>
      </c>
      <c r="DQ186" s="55">
        <f>IF($B186=$B185,$DQ185,0)+$DP186</f>
        <v/>
      </c>
      <c r="DR186" s="55">
        <f>$DR185+$DP186</f>
        <v/>
      </c>
      <c r="DS186" s="56">
        <f>IFERROR(IF(($DG186)&gt;0,($CX186*cfg_TroyOz)/($DG186),""),"")</f>
        <v/>
      </c>
      <c r="DT186" s="56">
        <f>IFERROR(IF(($DH186)&gt;0,($CY186*cfg_TroyOz)/($DH186),""),"")</f>
        <v/>
      </c>
      <c r="DU186" s="56">
        <f>IFERROR(IF(($DI186)&gt;0,($CZ186*cfg_TroyOz)/($DI186),""),"")</f>
        <v/>
      </c>
      <c r="DV186" s="56">
        <f>IFERROR(IF(($DJ186)&gt;0,($DA186*cfg_TroyOz)/($DJ186),""),"")</f>
        <v/>
      </c>
      <c r="DW186" s="56">
        <f>IFERROR(IF(($DK186)&gt;0,($DB186*cfg_TroyOz)/($DK186),""),"")</f>
        <v/>
      </c>
      <c r="DX186" s="56">
        <f>IFERROR(IF(($DL186)&gt;0,($DC186*cfg_TroyOz)/($DL186),""),"")</f>
        <v/>
      </c>
      <c r="DY186" s="67">
        <f>IFERROR(IF(($DM186)&gt;0,($DD186)/($DM186),""),"")</f>
        <v/>
      </c>
      <c r="DZ186" s="67">
        <f>IFERROR(IF(($DN186)&gt;0,($DE186)/($DN186),""),"")</f>
        <v/>
      </c>
      <c r="EA186" s="67">
        <f>IFERROR(IF(($DO186)&gt;0,($DF186)/($DO186),""),"")</f>
        <v/>
      </c>
      <c r="EB186" s="55">
        <f>SUMIFS(tblPlant[Gravity_Gold_oz],tblPlant[Date],$A186)</f>
        <v/>
      </c>
      <c r="EC186" s="55">
        <f>IF($B186=$B185,$EC185,0)+$EB186</f>
        <v/>
      </c>
      <c r="ED186" s="55">
        <f>$ED185+$EB186</f>
        <v/>
      </c>
      <c r="EE186" s="67">
        <f>IFERROR(IF(($DD186)&gt;0,($EB186)/($DD186),""),"")</f>
        <v/>
      </c>
      <c r="EF186" s="67">
        <f>IFERROR(IF(($DE186)&gt;0,($EC186)/($DE186),""),"")</f>
        <v/>
      </c>
      <c r="EG186" s="67">
        <f>IFERROR(IF(($DF186)&gt;0,($ED186)/($DF186),""),"")</f>
        <v/>
      </c>
      <c r="EH186" s="55">
        <f>SUMIFS(tblPlant[Gold_Poured_oz],tblPlant[Date],$A186)</f>
        <v/>
      </c>
      <c r="EI186" s="55">
        <f>IF($B186=$B185,$EI185,0)+$EH186</f>
        <v/>
      </c>
      <c r="EJ186" s="55">
        <f>$EJ185+$EH186</f>
        <v/>
      </c>
      <c r="EK186" s="57">
        <f>SUMIFS(tblPlant[Mill_Run_h],tblPlant[Date],$A186)</f>
        <v/>
      </c>
      <c r="EL186" s="57">
        <f>IF($B186=$B185,$EL185,0)+$EK186</f>
        <v/>
      </c>
      <c r="EM186" s="57">
        <f>$EM185+$EK186</f>
        <v/>
      </c>
      <c r="EN186" s="57">
        <f>SUMIFS(tblPlant[Mill_Planned_Maint_h],tblPlant[Date],$A186)</f>
        <v/>
      </c>
      <c r="EO186" s="57">
        <f>IF($B186=$B185,$EO185,0)+$EN186</f>
        <v/>
      </c>
      <c r="EP186" s="57">
        <f>$EP185+$EN186</f>
        <v/>
      </c>
      <c r="EQ186" s="57">
        <f>SUMIFS(tblPlant[Mill_Unplanned_Down_h],tblPlant[Date],$A186)</f>
        <v/>
      </c>
      <c r="ER186" s="57">
        <f>IF($B186=$B185,$ER185,0)+$EQ186</f>
        <v/>
      </c>
      <c r="ES186" s="57">
        <f>$ES185+$EQ186</f>
        <v/>
      </c>
      <c r="ET186" s="57">
        <f>IF(COUNTIFS(tblPlant[Date],$A186,tblPlant[Mill_Run_h],"&lt;&gt;")+COUNTIFS(tblPlant[Date],$A186,tblPlant[Mill_Planned_Maint_h],"&lt;&gt;")+COUNTIFS(tblPlant[Date],$A186,tblPlant[Mill_Unplanned_Down_h],"&lt;&gt;")&gt;0,cfg_HoursPerDay,0)</f>
        <v/>
      </c>
      <c r="EU186" s="57">
        <f>IF($B186=$B185,$EU185,0)+$ET186</f>
        <v/>
      </c>
      <c r="EV186" s="57">
        <f>$EV185+$ET186</f>
        <v/>
      </c>
      <c r="EW186" s="57">
        <f>SUMIFS(tblPlant[Crusher_Run_h],tblPlant[Date],$A186)</f>
        <v/>
      </c>
      <c r="EX186" s="57">
        <f>IF($B186=$B185,$EX185,0)+$EW186</f>
        <v/>
      </c>
      <c r="EY186" s="57">
        <f>$EY185+$EW186</f>
        <v/>
      </c>
      <c r="EZ186" s="55">
        <f>IFERROR(IF(($EK186)&gt;0,($DP186)/($EK186),""),"")</f>
        <v/>
      </c>
      <c r="FA186" s="55">
        <f>IFERROR(IF(($EL186)&gt;0,($DQ186)/($EL186),""),"")</f>
        <v/>
      </c>
      <c r="FB186" s="55">
        <f>IFERROR(IF(($EM186)&gt;0,($DR186)/($EM186),""),"")</f>
        <v/>
      </c>
      <c r="FC186" s="67">
        <f>IFERROR(IF(($ET186)&gt;0,($ET186-$EN186-$EQ186)/($ET186),""),"")</f>
        <v/>
      </c>
      <c r="FD186" s="67">
        <f>IFERROR(IF(($EU186)&gt;0,($EU186-$EO186-$ER186)/($EU186),""),"")</f>
        <v/>
      </c>
      <c r="FE186" s="67">
        <f>IFERROR(IF(($EV186)&gt;0,($EV186-$EP186-$ES186)/($EV186),""),"")</f>
        <v/>
      </c>
      <c r="FF186" s="67">
        <f>IFERROR(IF(($ET186-$EN186-$EQ186)&gt;0,($EK186)/($ET186-$EN186-$EQ186),""),"")</f>
        <v/>
      </c>
      <c r="FG186" s="67">
        <f>IFERROR(IF(($EU186-$EO186-$ER186)&gt;0,($EL186)/($EU186-$EO186-$ER186),""),"")</f>
        <v/>
      </c>
      <c r="FH186" s="67">
        <f>IFERROR(IF(($EV186-$EP186-$ES186)&gt;0,($EM186)/($EV186-$EP186-$ES186),""),"")</f>
        <v/>
      </c>
      <c r="FI186" s="55">
        <f>SUMIFS(tblPlant[Cyanide_kg],tblPlant[Date],$A186)</f>
        <v/>
      </c>
      <c r="FJ186" s="55">
        <f>IF($B186=$B185,$FJ185,0)+$FI186</f>
        <v/>
      </c>
      <c r="FK186" s="55">
        <f>$FK185+$FI186</f>
        <v/>
      </c>
      <c r="FL186" s="55">
        <f>SUMIFS(tblPlant[Lime_kg],tblPlant[Date],$A186)</f>
        <v/>
      </c>
      <c r="FM186" s="55">
        <f>IF($B186=$B185,$FM185,0)+$FL186</f>
        <v/>
      </c>
      <c r="FN186" s="55">
        <f>$FN185+$FL186</f>
        <v/>
      </c>
      <c r="FO186" s="55">
        <f>SUMIFS(tblPlant[Grinding_Media_kg],tblPlant[Date],$A186)</f>
        <v/>
      </c>
      <c r="FP186" s="55">
        <f>IF($B186=$B185,$FP185,0)+$FO186</f>
        <v/>
      </c>
      <c r="FQ186" s="55">
        <f>$FQ185+$FO186</f>
        <v/>
      </c>
      <c r="FR186" s="55">
        <f>SUMIFS(tblPlant[Power_kWh],tblPlant[Date],$A186)</f>
        <v/>
      </c>
      <c r="FS186" s="55">
        <f>IF($B186=$B185,$FS185,0)+$FR186</f>
        <v/>
      </c>
      <c r="FT186" s="55">
        <f>$FT185+$FR186</f>
        <v/>
      </c>
      <c r="FU186" s="55">
        <f>SUMIFS(tblPlant[Raw_Water_m3],tblPlant[Date],$A186)</f>
        <v/>
      </c>
      <c r="FV186" s="55">
        <f>IF($B186=$B185,$FV185,0)+$FU186</f>
        <v/>
      </c>
      <c r="FW186" s="55">
        <f>$FW185+$FU186</f>
        <v/>
      </c>
      <c r="FX186" s="56">
        <f>IFERROR(IF(($CU186)&gt;0,($FI186)/($CU186),""),"")</f>
        <v/>
      </c>
      <c r="FY186" s="56">
        <f>IFERROR(IF(($CV186)&gt;0,($FJ186)/($CV186),""),"")</f>
        <v/>
      </c>
      <c r="FZ186" s="56">
        <f>IFERROR(IF(($CW186)&gt;0,($FK186)/($CW186),""),"")</f>
        <v/>
      </c>
      <c r="GA186" s="56">
        <f>IFERROR(IF(($CU186)&gt;0,($FL186)/($CU186),""),"")</f>
        <v/>
      </c>
      <c r="GB186" s="56">
        <f>IFERROR(IF(($CV186)&gt;0,($FM186)/($CV186),""),"")</f>
        <v/>
      </c>
      <c r="GC186" s="56">
        <f>IFERROR(IF(($CW186)&gt;0,($FN186)/($CW186),""),"")</f>
        <v/>
      </c>
      <c r="GD186" s="56">
        <f>IFERROR(IF(($CU186)&gt;0,($FO186)/($CU186),""),"")</f>
        <v/>
      </c>
      <c r="GE186" s="56">
        <f>IFERROR(IF(($CV186)&gt;0,($FP186)/($CV186),""),"")</f>
        <v/>
      </c>
      <c r="GF186" s="56">
        <f>IFERROR(IF(($CW186)&gt;0,($FQ186)/($CW186),""),"")</f>
        <v/>
      </c>
      <c r="GG186" s="79">
        <f>IFERROR(IF(($CU186)&gt;0,($FR186)/($CU186),""),"")</f>
        <v/>
      </c>
      <c r="GH186" s="79">
        <f>IFERROR(IF(($CV186)&gt;0,($FS186)/($CV186),""),"")</f>
        <v/>
      </c>
      <c r="GI186" s="79">
        <f>IFERROR(IF(($CW186)&gt;0,($FT186)/($CW186),""),"")</f>
        <v/>
      </c>
      <c r="GJ186" s="56">
        <f>IFERROR(IF(($CU186)&gt;0,($FU186)/($CU186),""),"")</f>
        <v/>
      </c>
      <c r="GK186" s="56">
        <f>IFERROR(IF(($CV186)&gt;0,($FV186)/($CV186),""),"")</f>
        <v/>
      </c>
      <c r="GL186" s="56">
        <f>IFERROR(IF(($CW186)&gt;0,($FW186)/($CW186),""),"")</f>
        <v/>
      </c>
      <c r="GM186" s="55">
        <f>IF(SUMIFS(tblPlant[GIC_oz],tblPlant[Date],$A186)&gt;0,SUMIFS(tblPlant[GIC_oz],tblPlant[Date],$A186),"")</f>
        <v/>
      </c>
      <c r="GN186" s="55">
        <f>SUMIFS(tblGold[Gold_oz],tblGold[Date],$A186,tblGold[Type],"Shipment")</f>
        <v/>
      </c>
      <c r="GO186" s="55">
        <f>IF($B186=$B185,$GO185,0)+$GN186</f>
        <v/>
      </c>
      <c r="GP186" s="55">
        <f>$GP185+$GN186</f>
        <v/>
      </c>
      <c r="GQ186" s="55">
        <f>SUMIFS(tblGold[Gold_oz],tblGold[Date],$A186,tblGold[Type],"Sale")</f>
        <v/>
      </c>
      <c r="GR186" s="55">
        <f>IF($B186=$B185,$GR185,0)+$GQ186</f>
        <v/>
      </c>
      <c r="GS186" s="55">
        <f>$GS185+$GQ186</f>
        <v/>
      </c>
      <c r="GT186" s="55">
        <f>SUMIFS(tblGold[Dore_kg],tblGold[Date],$A186,tblGold[Type],"Shipment")</f>
        <v/>
      </c>
      <c r="GU186" s="55">
        <f>IF($B186=$B185,$GU185,0)+$GT186</f>
        <v/>
      </c>
      <c r="GV186" s="55">
        <f>$GV185+$GT186</f>
        <v/>
      </c>
      <c r="GW186" s="57">
        <f>SUMIFS(tblSafety[Hours_Total],tblSafety[Date],$A186)</f>
        <v/>
      </c>
      <c r="GX186" s="57">
        <f>IF($B186=$B185,$GX185,0)+$GW186</f>
        <v/>
      </c>
      <c r="GY186" s="57">
        <f>$GY185+$GW186</f>
        <v/>
      </c>
      <c r="GZ186" s="62">
        <f>SUMIFS(tblSafety[Fatality],tblSafety[Date],$A186)</f>
        <v/>
      </c>
      <c r="HA186" s="62">
        <f>IF($B186=$B185,$HA185,0)+$GZ186</f>
        <v/>
      </c>
      <c r="HB186" s="62">
        <f>$HB185+$GZ186</f>
        <v/>
      </c>
      <c r="HC186" s="62">
        <f>SUMIFS(tblSafety[LTI],tblSafety[Date],$A186)</f>
        <v/>
      </c>
      <c r="HD186" s="62">
        <f>IF($B186=$B185,$HD185,0)+$HC186</f>
        <v/>
      </c>
      <c r="HE186" s="62">
        <f>$HE185+$HC186</f>
        <v/>
      </c>
      <c r="HF186" s="62">
        <f>SUMIFS(tblSafety[RWI],tblSafety[Date],$A186)</f>
        <v/>
      </c>
      <c r="HG186" s="62">
        <f>IF($B186=$B185,$HG185,0)+$HF186</f>
        <v/>
      </c>
      <c r="HH186" s="62">
        <f>$HH185+$HF186</f>
        <v/>
      </c>
      <c r="HI186" s="62">
        <f>SUMIFS(tblSafety[MTI],tblSafety[Date],$A186)</f>
        <v/>
      </c>
      <c r="HJ186" s="62">
        <f>IF($B186=$B185,$HJ185,0)+$HI186</f>
        <v/>
      </c>
      <c r="HK186" s="62">
        <f>$HK185+$HI186</f>
        <v/>
      </c>
      <c r="HL186" s="62">
        <f>SUMIFS(tblSafety[FAI],tblSafety[Date],$A186)</f>
        <v/>
      </c>
      <c r="HM186" s="62">
        <f>IF($B186=$B185,$HM185,0)+$HL186</f>
        <v/>
      </c>
      <c r="HN186" s="62">
        <f>$HN185+$HL186</f>
        <v/>
      </c>
      <c r="HO186" s="62">
        <f>SUMIFS(tblSafety[Recordables],tblSafety[Date],$A186)</f>
        <v/>
      </c>
      <c r="HP186" s="62">
        <f>IF($B186=$B185,$HP185,0)+$HO186</f>
        <v/>
      </c>
      <c r="HQ186" s="62">
        <f>$HQ185+$HO186</f>
        <v/>
      </c>
      <c r="HR186" s="62">
        <f>SUMIFS(tblSafety[Near_Miss],tblSafety[Date],$A186)</f>
        <v/>
      </c>
      <c r="HS186" s="62">
        <f>IF($B186=$B185,$HS185,0)+$HR186</f>
        <v/>
      </c>
      <c r="HT186" s="62">
        <f>$HT185+$HR186</f>
        <v/>
      </c>
      <c r="HU186" s="62">
        <f>SUMIFS(tblSafety[Hazard_Reports],tblSafety[Date],$A186)</f>
        <v/>
      </c>
      <c r="HV186" s="62">
        <f>IF($B186=$B185,$HV185,0)+$HU186</f>
        <v/>
      </c>
      <c r="HW186" s="62">
        <f>$HW185+$HU186</f>
        <v/>
      </c>
      <c r="HX186" s="62">
        <f>SUMIFS(tblSafety[HPI],tblSafety[Date],$A186)</f>
        <v/>
      </c>
      <c r="HY186" s="62">
        <f>IF($B186=$B185,$HY185,0)+$HX186</f>
        <v/>
      </c>
      <c r="HZ186" s="62">
        <f>$HZ185+$HX186</f>
        <v/>
      </c>
      <c r="IA186" s="62">
        <f>SUMIFS(tblSafety[Env_Incidents],tblSafety[Date],$A186)</f>
        <v/>
      </c>
      <c r="IB186" s="62">
        <f>IF($B186=$B185,$IB185,0)+$IA186</f>
        <v/>
      </c>
      <c r="IC186" s="62">
        <f>$IC185+$IA186</f>
        <v/>
      </c>
      <c r="ID186" s="62">
        <f>SUMIFS(tblSafety[Community_Incidents],tblSafety[Date],$A186)</f>
        <v/>
      </c>
      <c r="IE186" s="62">
        <f>IF($B186=$B185,$IE185,0)+$ID186</f>
        <v/>
      </c>
      <c r="IF186" s="62">
        <f>$IF185+$ID186</f>
        <v/>
      </c>
      <c r="IG186" s="62">
        <f>SUMIFS(tblSafety[Vehicle_Incidents],tblSafety[Date],$A186)</f>
        <v/>
      </c>
      <c r="IH186" s="62">
        <f>IF($B186=$B185,$IH185,0)+$IG186</f>
        <v/>
      </c>
      <c r="II186" s="62">
        <f>$II185+$IG186</f>
        <v/>
      </c>
      <c r="IJ186" s="62">
        <f>SUMIFS(tblSafety[Toolbox_Talks],tblSafety[Date],$A186)</f>
        <v/>
      </c>
      <c r="IK186" s="62">
        <f>IF($B186=$B185,$IK185,0)+$IJ186</f>
        <v/>
      </c>
      <c r="IL186" s="62">
        <f>$IL185+$IJ186</f>
        <v/>
      </c>
      <c r="IM186" s="62">
        <f>SUMIFS(tblSafety[Inspections],tblSafety[Date],$A186)</f>
        <v/>
      </c>
      <c r="IN186" s="62">
        <f>IF($B186=$B185,$IN185,0)+$IM186</f>
        <v/>
      </c>
      <c r="IO186" s="62">
        <f>$IO185+$IM186</f>
        <v/>
      </c>
      <c r="IP186" s="56">
        <f>IFERROR((SUMIFS(tblSafety[Recordables],tblSafety[Date],"&gt;="&amp;EDATE($E186,-12),tblSafety[Date],"&lt;="&amp;$A186)+SUMIFS(tblSafetyHistory[Recordables],tblSafetyHistory[Month],"&gt;="&amp;EDATE($E186,-12),tblSafetyHistory[Month],"&lt;"&amp;$E186,tblSafetyHistory[Use],1))/(SUMIFS(tblSafety[Hours_Total],tblSafety[Date],"&gt;="&amp;EDATE($E186,-12),tblSafety[Date],"&lt;="&amp;$A186)+SUMIFS(tblSafetyHistory[Hours_Total],tblSafetyHistory[Month],"&gt;="&amp;EDATE($E186,-12),tblSafetyHistory[Month],"&lt;"&amp;$E186,tblSafetyHistory[Use],1))*cfg_RateBasisHours,"")</f>
        <v/>
      </c>
      <c r="IQ186" s="56">
        <f>IFERROR((SUMIFS(tblSafety[LTI],tblSafety[Date],"&gt;="&amp;EDATE($E186,-12),tblSafety[Date],"&lt;="&amp;$A186)+SUMIFS(tblSafetyHistory[LTI],tblSafetyHistory[Month],"&gt;="&amp;EDATE($E186,-12),tblSafetyHistory[Month],"&lt;"&amp;$E186,tblSafetyHistory[Use],1))/(SUMIFS(tblSafety[Hours_Total],tblSafety[Date],"&gt;="&amp;EDATE($E186,-12),tblSafety[Date],"&lt;="&amp;$A186)+SUMIFS(tblSafetyHistory[Hours_Total],tblSafetyHistory[Month],"&gt;="&amp;EDATE($E186,-12),tblSafetyHistory[Month],"&lt;"&amp;$E186,tblSafetyHistory[Use],1))*cfg_RateBasisHours,"")</f>
        <v/>
      </c>
      <c r="IR186" s="62">
        <f>IF(MAX(N(cfg_PriorLTIDate),_xlfn.MAXIFS(tblSafety[Date],tblSafety[LTI],"&gt;0",tblSafety[Date],"&lt;="&amp;$A186))=0,"",$A186-MAX(N(cfg_PriorLTIDate),_xlfn.MAXIFS(tblSafety[Date],tblSafety[LTI],"&gt;0",tblSafety[Date],"&lt;="&amp;$A186)))</f>
        <v/>
      </c>
      <c r="IS186" s="55">
        <f>SUMIFS(tblBudget[Ore_Mined_t],tblBudget[Month],$E186)</f>
        <v/>
      </c>
      <c r="IT186" s="55">
        <f>$IS186*$C186/$D186</f>
        <v/>
      </c>
      <c r="IU186" s="55">
        <f>SUMIFS(tblBudget[Ore_Mined_t],tblBudget[Month],"&lt;"&amp;$E186)+$IT186</f>
        <v/>
      </c>
      <c r="IV186" s="55">
        <f>SUMIFS(tblBudget[Ore_oz],tblBudget[Month],$E186)</f>
        <v/>
      </c>
      <c r="IW186" s="55">
        <f>$IV186*$C186/$D186</f>
        <v/>
      </c>
      <c r="IX186" s="55">
        <f>SUMIFS(tblBudget[Ore_oz],tblBudget[Month],"&lt;"&amp;$E186)+$IW186</f>
        <v/>
      </c>
      <c r="IY186" s="55">
        <f>SUMIFS(tblBudget[Ore_Mined_t],tblBudget[Month],$E186)</f>
        <v/>
      </c>
      <c r="IZ186" s="55">
        <f>$IY186*$C186/$D186</f>
        <v/>
      </c>
      <c r="JA186" s="55">
        <f>SUMIFS(tblBudget[Ore_Mined_t],tblBudget[Month],"&lt;"&amp;$E186)+$IZ186</f>
        <v/>
      </c>
      <c r="JB186" s="56">
        <f>IFERROR(IF(($IY186)&gt;0,($IV186*cfg_TroyOz)/($IY186),""),"")</f>
        <v/>
      </c>
      <c r="JC186" s="56">
        <f>IFERROR(IF(($IZ186)&gt;0,($IW186*cfg_TroyOz)/($IZ186),""),"")</f>
        <v/>
      </c>
      <c r="JD186" s="56">
        <f>IFERROR(IF(($JA186)&gt;0,($IX186*cfg_TroyOz)/($JA186),""),"")</f>
        <v/>
      </c>
      <c r="JE186" s="55">
        <f>SUMIFS(tblBudget[Waste_t],tblBudget[Month],$E186)</f>
        <v/>
      </c>
      <c r="JF186" s="55">
        <f>$JE186*$C186/$D186</f>
        <v/>
      </c>
      <c r="JG186" s="55">
        <f>SUMIFS(tblBudget[Waste_t],tblBudget[Month],"&lt;"&amp;$E186)+$JF186</f>
        <v/>
      </c>
      <c r="JH186" s="55">
        <f>SUMIFS(tblBudget[TMM_t],tblBudget[Month],$E186)</f>
        <v/>
      </c>
      <c r="JI186" s="55">
        <f>$JH186*$C186/$D186</f>
        <v/>
      </c>
      <c r="JJ186" s="55">
        <f>SUMIFS(tblBudget[TMM_t],tblBudget[Month],"&lt;"&amp;$E186)+$JI186</f>
        <v/>
      </c>
      <c r="JK186" s="56">
        <f>IFERROR(IF(($IS186)&gt;0,($JE186)/($IS186),""),"")</f>
        <v/>
      </c>
      <c r="JL186" s="56">
        <f>IFERROR(IF(($IT186)&gt;0,($JF186)/($IT186),""),"")</f>
        <v/>
      </c>
      <c r="JM186" s="56">
        <f>IFERROR(IF(($IU186)&gt;0,($JG186)/($IU186),""),"")</f>
        <v/>
      </c>
      <c r="JN186" s="55">
        <f>SUMIFS(tblBudget[Drill_m],tblBudget[Month],$E186)</f>
        <v/>
      </c>
      <c r="JO186" s="55">
        <f>$JN186*$C186/$D186</f>
        <v/>
      </c>
      <c r="JP186" s="55">
        <f>SUMIFS(tblBudget[Drill_m],tblBudget[Month],"&lt;"&amp;$E186)+$JO186</f>
        <v/>
      </c>
      <c r="JQ186" s="55">
        <f>SUMIFS(tblBudget[Diesel_L],tblBudget[Month],$E186)</f>
        <v/>
      </c>
      <c r="JR186" s="55">
        <f>$JQ186*$C186/$D186</f>
        <v/>
      </c>
      <c r="JS186" s="55">
        <f>SUMIFS(tblBudget[Diesel_L],tblBudget[Month],"&lt;"&amp;$E186)+$JR186</f>
        <v/>
      </c>
      <c r="JT186" s="55">
        <f>SUMIFS(tblBudget[Milled_t],tblBudget[Month],$E186)</f>
        <v/>
      </c>
      <c r="JU186" s="55">
        <f>$JT186*$C186/$D186</f>
        <v/>
      </c>
      <c r="JV186" s="55">
        <f>SUMIFS(tblBudget[Milled_t],tblBudget[Month],"&lt;"&amp;$E186)+$JU186</f>
        <v/>
      </c>
      <c r="JW186" s="55">
        <f>SUMIFS(tblBudget[Feed_oz],tblBudget[Month],$E186)</f>
        <v/>
      </c>
      <c r="JX186" s="55">
        <f>$JW186*$C186/$D186</f>
        <v/>
      </c>
      <c r="JY186" s="55">
        <f>SUMIFS(tblBudget[Feed_oz],tblBudget[Month],"&lt;"&amp;$E186)+$JX186</f>
        <v/>
      </c>
      <c r="JZ186" s="55">
        <f>SUMIFS(tblBudget[Recovered_oz],tblBudget[Month],$E186)</f>
        <v/>
      </c>
      <c r="KA186" s="55">
        <f>$JZ186*$C186/$D186</f>
        <v/>
      </c>
      <c r="KB186" s="55">
        <f>SUMIFS(tblBudget[Recovered_oz],tblBudget[Month],"&lt;"&amp;$E186)+$KA186</f>
        <v/>
      </c>
      <c r="KC186" s="55">
        <f>SUMIFS(tblBudget[Milled_t],tblBudget[Month],$E186)</f>
        <v/>
      </c>
      <c r="KD186" s="55">
        <f>$KC186*$C186/$D186</f>
        <v/>
      </c>
      <c r="KE186" s="55">
        <f>SUMIFS(tblBudget[Milled_t],tblBudget[Month],"&lt;"&amp;$E186)+$KD186</f>
        <v/>
      </c>
      <c r="KF186" s="55">
        <f>SUMIFS(tblBudget[Feed_oz],tblBudget[Month],$E186)</f>
        <v/>
      </c>
      <c r="KG186" s="55">
        <f>$KF186*$C186/$D186</f>
        <v/>
      </c>
      <c r="KH186" s="55">
        <f>SUMIFS(tblBudget[Feed_oz],tblBudget[Month],"&lt;"&amp;$E186)+$KG186</f>
        <v/>
      </c>
      <c r="KI186" s="56">
        <f>IFERROR(IF(($KC186)&gt;0,($JW186*cfg_TroyOz)/($KC186),""),"")</f>
        <v/>
      </c>
      <c r="KJ186" s="56">
        <f>IFERROR(IF(($KD186)&gt;0,($JX186*cfg_TroyOz)/($KD186),""),"")</f>
        <v/>
      </c>
      <c r="KK186" s="56">
        <f>IFERROR(IF(($KE186)&gt;0,($JY186*cfg_TroyOz)/($KE186),""),"")</f>
        <v/>
      </c>
      <c r="KL186" s="67">
        <f>IFERROR(IF(($KF186)&gt;0,($JZ186)/($KF186),""),"")</f>
        <v/>
      </c>
      <c r="KM186" s="67">
        <f>IFERROR(IF(($KG186)&gt;0,($KA186)/($KG186),""),"")</f>
        <v/>
      </c>
      <c r="KN186" s="67">
        <f>IFERROR(IF(($KH186)&gt;0,($KB186)/($KH186),""),"")</f>
        <v/>
      </c>
      <c r="KO186" s="55">
        <f>SUMIFS(tblBudget[Gold_Poured_oz],tblBudget[Month],$E186)</f>
        <v/>
      </c>
      <c r="KP186" s="55">
        <f>$KO186*$C186/$D186</f>
        <v/>
      </c>
      <c r="KQ186" s="55">
        <f>SUMIFS(tblBudget[Gold_Poured_oz],tblBudget[Month],"&lt;"&amp;$E186)+$KP186</f>
        <v/>
      </c>
      <c r="KR186" s="57">
        <f>SUMIFS(tblBudget[Hours_Worked],tblBudget[Month],$E186)</f>
        <v/>
      </c>
      <c r="KS186" s="57">
        <f>$KR186*$C186/$D186</f>
        <v/>
      </c>
      <c r="KT186" s="57">
        <f>SUMIFS(tblBudget[Hours_Worked],tblBudget[Month],"&lt;"&amp;$E186)+$KS186</f>
        <v/>
      </c>
    </row>
    <row r="187">
      <c r="A187" s="54" t="n">
        <v>46208</v>
      </c>
      <c r="B187">
        <f>MONTH($A187)</f>
        <v/>
      </c>
      <c r="C187">
        <f>DAY($A187)</f>
        <v/>
      </c>
      <c r="D187">
        <f>DAY(EOMONTH($A187,0))</f>
        <v/>
      </c>
      <c r="E187" s="54">
        <f>DATE(YEAR($A187),MONTH($A187),1)</f>
        <v/>
      </c>
      <c r="F187" s="55">
        <f>SUMIFS(tblMovement[Tonnes_t],tblMovement[Date],$A187,tblMovement[Is_Ore],1,tblMovement[Source_Type],"Pit")</f>
        <v/>
      </c>
      <c r="G187" s="55">
        <f>IF($B187=$B186,$G186,0)+$F187</f>
        <v/>
      </c>
      <c r="H187" s="55">
        <f>$H186+$F187</f>
        <v/>
      </c>
      <c r="I187" s="55">
        <f>SUMIFS(tblMovement[Ore_oz],tblMovement[Date],$A187,tblMovement[Source_Type],"Pit")</f>
        <v/>
      </c>
      <c r="J187" s="55">
        <f>IF($B187=$B186,$J186,0)+$I187</f>
        <v/>
      </c>
      <c r="K187" s="55">
        <f>$K186+$I187</f>
        <v/>
      </c>
      <c r="L187" s="55">
        <f>SUMIFS(tblMovement[Tonnes_t],tblMovement[Date],$A187,tblMovement[Is_Ore],1,tblMovement[Source_Type],"Pit",tblMovement[Grade_gpt],"&lt;&gt;")</f>
        <v/>
      </c>
      <c r="M187" s="55">
        <f>IF($B187=$B186,$M186,0)+$L187</f>
        <v/>
      </c>
      <c r="N187" s="55">
        <f>$N186+$L187</f>
        <v/>
      </c>
      <c r="O187" s="56">
        <f>IFERROR(IF(($L187)&gt;0,($I187*cfg_TroyOz)/($L187),""),"")</f>
        <v/>
      </c>
      <c r="P187" s="56">
        <f>IFERROR(IF(($M187)&gt;0,($J187*cfg_TroyOz)/($M187),""),"")</f>
        <v/>
      </c>
      <c r="Q187" s="56">
        <f>IFERROR(IF(($N187)&gt;0,($K187*cfg_TroyOz)/($N187),""),"")</f>
        <v/>
      </c>
      <c r="R187" s="55">
        <f>$F187-$L187</f>
        <v/>
      </c>
      <c r="S187" s="55">
        <f>IF($B187=$B186,$S186,0)+$R187</f>
        <v/>
      </c>
      <c r="T187" s="55">
        <f>$T186+$R187</f>
        <v/>
      </c>
      <c r="U187" s="55">
        <f>SUMIFS(tblMovement[Tonnes_t],tblMovement[Date],$A187,tblMovement[Is_Ore],0,tblMovement[Source_Type],"Pit")</f>
        <v/>
      </c>
      <c r="V187" s="55">
        <f>IF($B187=$B186,$V186,0)+$U187</f>
        <v/>
      </c>
      <c r="W187" s="55">
        <f>$W186+$U187</f>
        <v/>
      </c>
      <c r="X187" s="55">
        <f>$F187+$U187</f>
        <v/>
      </c>
      <c r="Y187" s="55">
        <f>IF($B187=$B186,$Y186,0)+$X187</f>
        <v/>
      </c>
      <c r="Z187" s="55">
        <f>$Z186+$X187</f>
        <v/>
      </c>
      <c r="AA187" s="56">
        <f>IFERROR(IF(($F187)&gt;0,($U187)/($F187),""),"")</f>
        <v/>
      </c>
      <c r="AB187" s="56">
        <f>IFERROR(IF(($G187)&gt;0,($V187)/($G187),""),"")</f>
        <v/>
      </c>
      <c r="AC187" s="56">
        <f>IFERROR(IF(($H187)&gt;0,($W187)/($H187),""),"")</f>
        <v/>
      </c>
      <c r="AD187" s="55">
        <f>SUMIFS(tblMovement[Tonnes_t],tblMovement[Date],$A187,tblMovement[Source_Type],"Stockpile")</f>
        <v/>
      </c>
      <c r="AE187" s="55">
        <f>IF($B187=$B186,$AE186,0)+$AD187</f>
        <v/>
      </c>
      <c r="AF187" s="55">
        <f>$AF186+$AD187</f>
        <v/>
      </c>
      <c r="AG187" s="55">
        <f>SUMIFS(tblMovement[Tonnes_t],tblMovement[Date],$A187)</f>
        <v/>
      </c>
      <c r="AH187" s="55">
        <f>IF($B187=$B186,$AH186,0)+$AG187</f>
        <v/>
      </c>
      <c r="AI187" s="55">
        <f>$AI186+$AG187</f>
        <v/>
      </c>
      <c r="AJ187" s="55">
        <f>$AG187-$X187-$AD187</f>
        <v/>
      </c>
      <c r="AK187" s="55">
        <f>IF($B187=$B186,$AK186,0)+$AJ187</f>
        <v/>
      </c>
      <c r="AL187" s="55">
        <f>$AL186+$AJ187</f>
        <v/>
      </c>
      <c r="AM187" s="55">
        <f>SUMIFS(tblMiningDaily[Drill_m],tblMiningDaily[Date],$A187)</f>
        <v/>
      </c>
      <c r="AN187" s="55">
        <f>IF($B187=$B186,$AN186,0)+$AM187</f>
        <v/>
      </c>
      <c r="AO187" s="55">
        <f>$AO186+$AM187</f>
        <v/>
      </c>
      <c r="AP187" s="55">
        <f>SUMIFS(tblMiningDaily[GC_Drill_m],tblMiningDaily[Date],$A187)</f>
        <v/>
      </c>
      <c r="AQ187" s="55">
        <f>IF($B187=$B186,$AQ186,0)+$AP187</f>
        <v/>
      </c>
      <c r="AR187" s="55">
        <f>$AR186+$AP187</f>
        <v/>
      </c>
      <c r="AS187" s="55">
        <f>SUMIFS(tblMiningDaily[Blast_t],tblMiningDaily[Date],$A187)</f>
        <v/>
      </c>
      <c r="AT187" s="55">
        <f>IF($B187=$B186,$AT186,0)+$AS187</f>
        <v/>
      </c>
      <c r="AU187" s="55">
        <f>$AU186+$AS187</f>
        <v/>
      </c>
      <c r="AV187" s="55">
        <f>SUMIFS(tblMiningDaily[Explosives_kg],tblMiningDaily[Date],$A187)</f>
        <v/>
      </c>
      <c r="AW187" s="55">
        <f>IF($B187=$B186,$AW186,0)+$AV187</f>
        <v/>
      </c>
      <c r="AX187" s="55">
        <f>$AX186+$AV187</f>
        <v/>
      </c>
      <c r="AY187" s="56">
        <f>IFERROR(IF(($AS187)&gt;0,($AV187)/($AS187),""),"")</f>
        <v/>
      </c>
      <c r="AZ187" s="56">
        <f>IFERROR(IF(($AT187)&gt;0,($AW187)/($AT187),""),"")</f>
        <v/>
      </c>
      <c r="BA187" s="56">
        <f>IFERROR(IF(($AU187)&gt;0,($AX187)/($AU187),""),"")</f>
        <v/>
      </c>
      <c r="BB187" s="55">
        <f>SUMIFS(tblMiningDaily[Diesel_L],tblMiningDaily[Date],$A187)</f>
        <v/>
      </c>
      <c r="BC187" s="55">
        <f>IF($B187=$B186,$BC186,0)+$BB187</f>
        <v/>
      </c>
      <c r="BD187" s="55">
        <f>$BD186+$BB187</f>
        <v/>
      </c>
      <c r="BE187" s="55">
        <f>SUMIFS(tblMiningDaily[Dewatering_m3],tblMiningDaily[Date],$A187)</f>
        <v/>
      </c>
      <c r="BF187" s="55">
        <f>IF($B187=$B186,$BF186,0)+$BE187</f>
        <v/>
      </c>
      <c r="BG187" s="55">
        <f>$BG186+$BE187</f>
        <v/>
      </c>
      <c r="BH187" s="57">
        <f>SUMIFS(tblFleet[Calendar_h],tblFleet[Date],$A187,tblFleet[Equipment_Class],"Excavator")</f>
        <v/>
      </c>
      <c r="BI187" s="57">
        <f>IF($B187=$B186,$BI186,0)+$BH187</f>
        <v/>
      </c>
      <c r="BJ187" s="57">
        <f>$BJ186+$BH187</f>
        <v/>
      </c>
      <c r="BK187" s="57">
        <f>SUMIFS(tblFleet[Available_h],tblFleet[Date],$A187,tblFleet[Equipment_Class],"Excavator")</f>
        <v/>
      </c>
      <c r="BL187" s="57">
        <f>IF($B187=$B186,$BL186,0)+$BK187</f>
        <v/>
      </c>
      <c r="BM187" s="57">
        <f>$BM186+$BK187</f>
        <v/>
      </c>
      <c r="BN187" s="57">
        <f>SUMIFS(tblFleet[Operating_h],tblFleet[Date],$A187,tblFleet[Equipment_Class],"Excavator")</f>
        <v/>
      </c>
      <c r="BO187" s="57">
        <f>IF($B187=$B186,$BO186,0)+$BN187</f>
        <v/>
      </c>
      <c r="BP187" s="57">
        <f>$BP186+$BN187</f>
        <v/>
      </c>
      <c r="BQ187" s="67">
        <f>IFERROR(IF(($BH187)&gt;0,($BK187)/($BH187),""),"")</f>
        <v/>
      </c>
      <c r="BR187" s="67">
        <f>IFERROR(IF(($BI187)&gt;0,($BL187)/($BI187),""),"")</f>
        <v/>
      </c>
      <c r="BS187" s="67">
        <f>IFERROR(IF(($BJ187)&gt;0,($BM187)/($BJ187),""),"")</f>
        <v/>
      </c>
      <c r="BT187" s="67">
        <f>IFERROR(IF(($BK187)&gt;0,($BN187)/($BK187),""),"")</f>
        <v/>
      </c>
      <c r="BU187" s="67">
        <f>IFERROR(IF(($BL187)&gt;0,($BO187)/($BL187),""),"")</f>
        <v/>
      </c>
      <c r="BV187" s="67">
        <f>IFERROR(IF(($BM187)&gt;0,($BP187)/($BM187),""),"")</f>
        <v/>
      </c>
      <c r="BW187" s="57">
        <f>SUMIFS(tblFleet[Calendar_h],tblFleet[Date],$A187,tblFleet[Equipment_Class],"Haul Truck")</f>
        <v/>
      </c>
      <c r="BX187" s="57">
        <f>IF($B187=$B186,$BX186,0)+$BW187</f>
        <v/>
      </c>
      <c r="BY187" s="57">
        <f>$BY186+$BW187</f>
        <v/>
      </c>
      <c r="BZ187" s="57">
        <f>SUMIFS(tblFleet[Available_h],tblFleet[Date],$A187,tblFleet[Equipment_Class],"Haul Truck")</f>
        <v/>
      </c>
      <c r="CA187" s="57">
        <f>IF($B187=$B186,$CA186,0)+$BZ187</f>
        <v/>
      </c>
      <c r="CB187" s="57">
        <f>$CB186+$BZ187</f>
        <v/>
      </c>
      <c r="CC187" s="57">
        <f>SUMIFS(tblFleet[Operating_h],tblFleet[Date],$A187,tblFleet[Equipment_Class],"Haul Truck")</f>
        <v/>
      </c>
      <c r="CD187" s="57">
        <f>IF($B187=$B186,$CD186,0)+$CC187</f>
        <v/>
      </c>
      <c r="CE187" s="57">
        <f>$CE186+$CC187</f>
        <v/>
      </c>
      <c r="CF187" s="67">
        <f>IFERROR(IF(($BW187)&gt;0,($BZ187)/($BW187),""),"")</f>
        <v/>
      </c>
      <c r="CG187" s="67">
        <f>IFERROR(IF(($BX187)&gt;0,($CA187)/($BX187),""),"")</f>
        <v/>
      </c>
      <c r="CH187" s="67">
        <f>IFERROR(IF(($BY187)&gt;0,($CB187)/($BY187),""),"")</f>
        <v/>
      </c>
      <c r="CI187" s="67">
        <f>IFERROR(IF(($BZ187)&gt;0,($CC187)/($BZ187),""),"")</f>
        <v/>
      </c>
      <c r="CJ187" s="67">
        <f>IFERROR(IF(($CA187)&gt;0,($CD187)/($CA187),""),"")</f>
        <v/>
      </c>
      <c r="CK187" s="67">
        <f>IFERROR(IF(($CB187)&gt;0,($CE187)/($CB187),""),"")</f>
        <v/>
      </c>
      <c r="CL187" s="55">
        <f>IFERROR(IF(($BN187)&gt;0,($X187+$AD187)/($BN187),""),"")</f>
        <v/>
      </c>
      <c r="CM187" s="55">
        <f>IFERROR(IF(($BO187)&gt;0,($Y187+$AE187)/($BO187),""),"")</f>
        <v/>
      </c>
      <c r="CN187" s="55">
        <f>IFERROR(IF(($BP187)&gt;0,($Z187+$AF187)/($BP187),""),"")</f>
        <v/>
      </c>
      <c r="CO187" s="55">
        <f>IFERROR(IF(($CC187)&gt;0,($X187+$AD187)/($CC187),""),"")</f>
        <v/>
      </c>
      <c r="CP187" s="55">
        <f>IFERROR(IF(($CD187)&gt;0,($Y187+$AE187)/($CD187),""),"")</f>
        <v/>
      </c>
      <c r="CQ187" s="55">
        <f>IFERROR(IF(($CE187)&gt;0,($Z187+$AF187)/($CE187),""),"")</f>
        <v/>
      </c>
      <c r="CR187" s="55">
        <f>SUMIFS(tblPlant[Crushed_t],tblPlant[Date],$A187)</f>
        <v/>
      </c>
      <c r="CS187" s="55">
        <f>IF($B187=$B186,$CS186,0)+$CR187</f>
        <v/>
      </c>
      <c r="CT187" s="55">
        <f>$CT186+$CR187</f>
        <v/>
      </c>
      <c r="CU187" s="55">
        <f>SUMIFS(tblPlant[Milled_t],tblPlant[Date],$A187)</f>
        <v/>
      </c>
      <c r="CV187" s="55">
        <f>IF($B187=$B186,$CV186,0)+$CU187</f>
        <v/>
      </c>
      <c r="CW187" s="55">
        <f>$CW186+$CU187</f>
        <v/>
      </c>
      <c r="CX187" s="55">
        <f>SUMIFS(tblPlant[Feed_oz],tblPlant[Date],$A187)</f>
        <v/>
      </c>
      <c r="CY187" s="55">
        <f>IF($B187=$B186,$CY186,0)+$CX187</f>
        <v/>
      </c>
      <c r="CZ187" s="55">
        <f>$CZ186+$CX187</f>
        <v/>
      </c>
      <c r="DA187" s="55">
        <f>SUMIFS(tblPlant[Tails_oz],tblPlant[Date],$A187)</f>
        <v/>
      </c>
      <c r="DB187" s="55">
        <f>IF($B187=$B186,$DB186,0)+$DA187</f>
        <v/>
      </c>
      <c r="DC187" s="55">
        <f>$DC186+$DA187</f>
        <v/>
      </c>
      <c r="DD187" s="55">
        <f>SUMIFS(tblPlant[Recovered_oz],tblPlant[Date],$A187)</f>
        <v/>
      </c>
      <c r="DE187" s="55">
        <f>IF($B187=$B186,$DE186,0)+$DD187</f>
        <v/>
      </c>
      <c r="DF187" s="55">
        <f>$DF186+$DD187</f>
        <v/>
      </c>
      <c r="DG187" s="55">
        <f>SUMIFS(tblPlant[Milled_t],tblPlant[Date],$A187,tblPlant[Head_Grade_gpt],"&lt;&gt;")</f>
        <v/>
      </c>
      <c r="DH187" s="55">
        <f>IF($B187=$B186,$DH186,0)+$DG187</f>
        <v/>
      </c>
      <c r="DI187" s="55">
        <f>$DI186+$DG187</f>
        <v/>
      </c>
      <c r="DJ187" s="55">
        <f>SUMIFS(tblPlant[Milled_t],tblPlant[Date],$A187,tblPlant[Tails_Grade_gpt],"&lt;&gt;")</f>
        <v/>
      </c>
      <c r="DK187" s="55">
        <f>IF($B187=$B186,$DK186,0)+$DJ187</f>
        <v/>
      </c>
      <c r="DL187" s="55">
        <f>$DL186+$DJ187</f>
        <v/>
      </c>
      <c r="DM187" s="55">
        <f>SUMIFS(tblPlant[Feed_oz],tblPlant[Date],$A187,tblPlant[Tails_Grade_gpt],"&lt;&gt;")</f>
        <v/>
      </c>
      <c r="DN187" s="55">
        <f>IF($B187=$B186,$DN186,0)+$DM187</f>
        <v/>
      </c>
      <c r="DO187" s="55">
        <f>$DO186+$DM187</f>
        <v/>
      </c>
      <c r="DP187" s="55">
        <f>SUMIFS(tblPlant[Milled_t],tblPlant[Date],$A187,tblPlant[Mill_Run_h],"&lt;&gt;")</f>
        <v/>
      </c>
      <c r="DQ187" s="55">
        <f>IF($B187=$B186,$DQ186,0)+$DP187</f>
        <v/>
      </c>
      <c r="DR187" s="55">
        <f>$DR186+$DP187</f>
        <v/>
      </c>
      <c r="DS187" s="56">
        <f>IFERROR(IF(($DG187)&gt;0,($CX187*cfg_TroyOz)/($DG187),""),"")</f>
        <v/>
      </c>
      <c r="DT187" s="56">
        <f>IFERROR(IF(($DH187)&gt;0,($CY187*cfg_TroyOz)/($DH187),""),"")</f>
        <v/>
      </c>
      <c r="DU187" s="56">
        <f>IFERROR(IF(($DI187)&gt;0,($CZ187*cfg_TroyOz)/($DI187),""),"")</f>
        <v/>
      </c>
      <c r="DV187" s="56">
        <f>IFERROR(IF(($DJ187)&gt;0,($DA187*cfg_TroyOz)/($DJ187),""),"")</f>
        <v/>
      </c>
      <c r="DW187" s="56">
        <f>IFERROR(IF(($DK187)&gt;0,($DB187*cfg_TroyOz)/($DK187),""),"")</f>
        <v/>
      </c>
      <c r="DX187" s="56">
        <f>IFERROR(IF(($DL187)&gt;0,($DC187*cfg_TroyOz)/($DL187),""),"")</f>
        <v/>
      </c>
      <c r="DY187" s="67">
        <f>IFERROR(IF(($DM187)&gt;0,($DD187)/($DM187),""),"")</f>
        <v/>
      </c>
      <c r="DZ187" s="67">
        <f>IFERROR(IF(($DN187)&gt;0,($DE187)/($DN187),""),"")</f>
        <v/>
      </c>
      <c r="EA187" s="67">
        <f>IFERROR(IF(($DO187)&gt;0,($DF187)/($DO187),""),"")</f>
        <v/>
      </c>
      <c r="EB187" s="55">
        <f>SUMIFS(tblPlant[Gravity_Gold_oz],tblPlant[Date],$A187)</f>
        <v/>
      </c>
      <c r="EC187" s="55">
        <f>IF($B187=$B186,$EC186,0)+$EB187</f>
        <v/>
      </c>
      <c r="ED187" s="55">
        <f>$ED186+$EB187</f>
        <v/>
      </c>
      <c r="EE187" s="67">
        <f>IFERROR(IF(($DD187)&gt;0,($EB187)/($DD187),""),"")</f>
        <v/>
      </c>
      <c r="EF187" s="67">
        <f>IFERROR(IF(($DE187)&gt;0,($EC187)/($DE187),""),"")</f>
        <v/>
      </c>
      <c r="EG187" s="67">
        <f>IFERROR(IF(($DF187)&gt;0,($ED187)/($DF187),""),"")</f>
        <v/>
      </c>
      <c r="EH187" s="55">
        <f>SUMIFS(tblPlant[Gold_Poured_oz],tblPlant[Date],$A187)</f>
        <v/>
      </c>
      <c r="EI187" s="55">
        <f>IF($B187=$B186,$EI186,0)+$EH187</f>
        <v/>
      </c>
      <c r="EJ187" s="55">
        <f>$EJ186+$EH187</f>
        <v/>
      </c>
      <c r="EK187" s="57">
        <f>SUMIFS(tblPlant[Mill_Run_h],tblPlant[Date],$A187)</f>
        <v/>
      </c>
      <c r="EL187" s="57">
        <f>IF($B187=$B186,$EL186,0)+$EK187</f>
        <v/>
      </c>
      <c r="EM187" s="57">
        <f>$EM186+$EK187</f>
        <v/>
      </c>
      <c r="EN187" s="57">
        <f>SUMIFS(tblPlant[Mill_Planned_Maint_h],tblPlant[Date],$A187)</f>
        <v/>
      </c>
      <c r="EO187" s="57">
        <f>IF($B187=$B186,$EO186,0)+$EN187</f>
        <v/>
      </c>
      <c r="EP187" s="57">
        <f>$EP186+$EN187</f>
        <v/>
      </c>
      <c r="EQ187" s="57">
        <f>SUMIFS(tblPlant[Mill_Unplanned_Down_h],tblPlant[Date],$A187)</f>
        <v/>
      </c>
      <c r="ER187" s="57">
        <f>IF($B187=$B186,$ER186,0)+$EQ187</f>
        <v/>
      </c>
      <c r="ES187" s="57">
        <f>$ES186+$EQ187</f>
        <v/>
      </c>
      <c r="ET187" s="57">
        <f>IF(COUNTIFS(tblPlant[Date],$A187,tblPlant[Mill_Run_h],"&lt;&gt;")+COUNTIFS(tblPlant[Date],$A187,tblPlant[Mill_Planned_Maint_h],"&lt;&gt;")+COUNTIFS(tblPlant[Date],$A187,tblPlant[Mill_Unplanned_Down_h],"&lt;&gt;")&gt;0,cfg_HoursPerDay,0)</f>
        <v/>
      </c>
      <c r="EU187" s="57">
        <f>IF($B187=$B186,$EU186,0)+$ET187</f>
        <v/>
      </c>
      <c r="EV187" s="57">
        <f>$EV186+$ET187</f>
        <v/>
      </c>
      <c r="EW187" s="57">
        <f>SUMIFS(tblPlant[Crusher_Run_h],tblPlant[Date],$A187)</f>
        <v/>
      </c>
      <c r="EX187" s="57">
        <f>IF($B187=$B186,$EX186,0)+$EW187</f>
        <v/>
      </c>
      <c r="EY187" s="57">
        <f>$EY186+$EW187</f>
        <v/>
      </c>
      <c r="EZ187" s="55">
        <f>IFERROR(IF(($EK187)&gt;0,($DP187)/($EK187),""),"")</f>
        <v/>
      </c>
      <c r="FA187" s="55">
        <f>IFERROR(IF(($EL187)&gt;0,($DQ187)/($EL187),""),"")</f>
        <v/>
      </c>
      <c r="FB187" s="55">
        <f>IFERROR(IF(($EM187)&gt;0,($DR187)/($EM187),""),"")</f>
        <v/>
      </c>
      <c r="FC187" s="67">
        <f>IFERROR(IF(($ET187)&gt;0,($ET187-$EN187-$EQ187)/($ET187),""),"")</f>
        <v/>
      </c>
      <c r="FD187" s="67">
        <f>IFERROR(IF(($EU187)&gt;0,($EU187-$EO187-$ER187)/($EU187),""),"")</f>
        <v/>
      </c>
      <c r="FE187" s="67">
        <f>IFERROR(IF(($EV187)&gt;0,($EV187-$EP187-$ES187)/($EV187),""),"")</f>
        <v/>
      </c>
      <c r="FF187" s="67">
        <f>IFERROR(IF(($ET187-$EN187-$EQ187)&gt;0,($EK187)/($ET187-$EN187-$EQ187),""),"")</f>
        <v/>
      </c>
      <c r="FG187" s="67">
        <f>IFERROR(IF(($EU187-$EO187-$ER187)&gt;0,($EL187)/($EU187-$EO187-$ER187),""),"")</f>
        <v/>
      </c>
      <c r="FH187" s="67">
        <f>IFERROR(IF(($EV187-$EP187-$ES187)&gt;0,($EM187)/($EV187-$EP187-$ES187),""),"")</f>
        <v/>
      </c>
      <c r="FI187" s="55">
        <f>SUMIFS(tblPlant[Cyanide_kg],tblPlant[Date],$A187)</f>
        <v/>
      </c>
      <c r="FJ187" s="55">
        <f>IF($B187=$B186,$FJ186,0)+$FI187</f>
        <v/>
      </c>
      <c r="FK187" s="55">
        <f>$FK186+$FI187</f>
        <v/>
      </c>
      <c r="FL187" s="55">
        <f>SUMIFS(tblPlant[Lime_kg],tblPlant[Date],$A187)</f>
        <v/>
      </c>
      <c r="FM187" s="55">
        <f>IF($B187=$B186,$FM186,0)+$FL187</f>
        <v/>
      </c>
      <c r="FN187" s="55">
        <f>$FN186+$FL187</f>
        <v/>
      </c>
      <c r="FO187" s="55">
        <f>SUMIFS(tblPlant[Grinding_Media_kg],tblPlant[Date],$A187)</f>
        <v/>
      </c>
      <c r="FP187" s="55">
        <f>IF($B187=$B186,$FP186,0)+$FO187</f>
        <v/>
      </c>
      <c r="FQ187" s="55">
        <f>$FQ186+$FO187</f>
        <v/>
      </c>
      <c r="FR187" s="55">
        <f>SUMIFS(tblPlant[Power_kWh],tblPlant[Date],$A187)</f>
        <v/>
      </c>
      <c r="FS187" s="55">
        <f>IF($B187=$B186,$FS186,0)+$FR187</f>
        <v/>
      </c>
      <c r="FT187" s="55">
        <f>$FT186+$FR187</f>
        <v/>
      </c>
      <c r="FU187" s="55">
        <f>SUMIFS(tblPlant[Raw_Water_m3],tblPlant[Date],$A187)</f>
        <v/>
      </c>
      <c r="FV187" s="55">
        <f>IF($B187=$B186,$FV186,0)+$FU187</f>
        <v/>
      </c>
      <c r="FW187" s="55">
        <f>$FW186+$FU187</f>
        <v/>
      </c>
      <c r="FX187" s="56">
        <f>IFERROR(IF(($CU187)&gt;0,($FI187)/($CU187),""),"")</f>
        <v/>
      </c>
      <c r="FY187" s="56">
        <f>IFERROR(IF(($CV187)&gt;0,($FJ187)/($CV187),""),"")</f>
        <v/>
      </c>
      <c r="FZ187" s="56">
        <f>IFERROR(IF(($CW187)&gt;0,($FK187)/($CW187),""),"")</f>
        <v/>
      </c>
      <c r="GA187" s="56">
        <f>IFERROR(IF(($CU187)&gt;0,($FL187)/($CU187),""),"")</f>
        <v/>
      </c>
      <c r="GB187" s="56">
        <f>IFERROR(IF(($CV187)&gt;0,($FM187)/($CV187),""),"")</f>
        <v/>
      </c>
      <c r="GC187" s="56">
        <f>IFERROR(IF(($CW187)&gt;0,($FN187)/($CW187),""),"")</f>
        <v/>
      </c>
      <c r="GD187" s="56">
        <f>IFERROR(IF(($CU187)&gt;0,($FO187)/($CU187),""),"")</f>
        <v/>
      </c>
      <c r="GE187" s="56">
        <f>IFERROR(IF(($CV187)&gt;0,($FP187)/($CV187),""),"")</f>
        <v/>
      </c>
      <c r="GF187" s="56">
        <f>IFERROR(IF(($CW187)&gt;0,($FQ187)/($CW187),""),"")</f>
        <v/>
      </c>
      <c r="GG187" s="79">
        <f>IFERROR(IF(($CU187)&gt;0,($FR187)/($CU187),""),"")</f>
        <v/>
      </c>
      <c r="GH187" s="79">
        <f>IFERROR(IF(($CV187)&gt;0,($FS187)/($CV187),""),"")</f>
        <v/>
      </c>
      <c r="GI187" s="79">
        <f>IFERROR(IF(($CW187)&gt;0,($FT187)/($CW187),""),"")</f>
        <v/>
      </c>
      <c r="GJ187" s="56">
        <f>IFERROR(IF(($CU187)&gt;0,($FU187)/($CU187),""),"")</f>
        <v/>
      </c>
      <c r="GK187" s="56">
        <f>IFERROR(IF(($CV187)&gt;0,($FV187)/($CV187),""),"")</f>
        <v/>
      </c>
      <c r="GL187" s="56">
        <f>IFERROR(IF(($CW187)&gt;0,($FW187)/($CW187),""),"")</f>
        <v/>
      </c>
      <c r="GM187" s="55">
        <f>IF(SUMIFS(tblPlant[GIC_oz],tblPlant[Date],$A187)&gt;0,SUMIFS(tblPlant[GIC_oz],tblPlant[Date],$A187),"")</f>
        <v/>
      </c>
      <c r="GN187" s="55">
        <f>SUMIFS(tblGold[Gold_oz],tblGold[Date],$A187,tblGold[Type],"Shipment")</f>
        <v/>
      </c>
      <c r="GO187" s="55">
        <f>IF($B187=$B186,$GO186,0)+$GN187</f>
        <v/>
      </c>
      <c r="GP187" s="55">
        <f>$GP186+$GN187</f>
        <v/>
      </c>
      <c r="GQ187" s="55">
        <f>SUMIFS(tblGold[Gold_oz],tblGold[Date],$A187,tblGold[Type],"Sale")</f>
        <v/>
      </c>
      <c r="GR187" s="55">
        <f>IF($B187=$B186,$GR186,0)+$GQ187</f>
        <v/>
      </c>
      <c r="GS187" s="55">
        <f>$GS186+$GQ187</f>
        <v/>
      </c>
      <c r="GT187" s="55">
        <f>SUMIFS(tblGold[Dore_kg],tblGold[Date],$A187,tblGold[Type],"Shipment")</f>
        <v/>
      </c>
      <c r="GU187" s="55">
        <f>IF($B187=$B186,$GU186,0)+$GT187</f>
        <v/>
      </c>
      <c r="GV187" s="55">
        <f>$GV186+$GT187</f>
        <v/>
      </c>
      <c r="GW187" s="57">
        <f>SUMIFS(tblSafety[Hours_Total],tblSafety[Date],$A187)</f>
        <v/>
      </c>
      <c r="GX187" s="57">
        <f>IF($B187=$B186,$GX186,0)+$GW187</f>
        <v/>
      </c>
      <c r="GY187" s="57">
        <f>$GY186+$GW187</f>
        <v/>
      </c>
      <c r="GZ187" s="62">
        <f>SUMIFS(tblSafety[Fatality],tblSafety[Date],$A187)</f>
        <v/>
      </c>
      <c r="HA187" s="62">
        <f>IF($B187=$B186,$HA186,0)+$GZ187</f>
        <v/>
      </c>
      <c r="HB187" s="62">
        <f>$HB186+$GZ187</f>
        <v/>
      </c>
      <c r="HC187" s="62">
        <f>SUMIFS(tblSafety[LTI],tblSafety[Date],$A187)</f>
        <v/>
      </c>
      <c r="HD187" s="62">
        <f>IF($B187=$B186,$HD186,0)+$HC187</f>
        <v/>
      </c>
      <c r="HE187" s="62">
        <f>$HE186+$HC187</f>
        <v/>
      </c>
      <c r="HF187" s="62">
        <f>SUMIFS(tblSafety[RWI],tblSafety[Date],$A187)</f>
        <v/>
      </c>
      <c r="HG187" s="62">
        <f>IF($B187=$B186,$HG186,0)+$HF187</f>
        <v/>
      </c>
      <c r="HH187" s="62">
        <f>$HH186+$HF187</f>
        <v/>
      </c>
      <c r="HI187" s="62">
        <f>SUMIFS(tblSafety[MTI],tblSafety[Date],$A187)</f>
        <v/>
      </c>
      <c r="HJ187" s="62">
        <f>IF($B187=$B186,$HJ186,0)+$HI187</f>
        <v/>
      </c>
      <c r="HK187" s="62">
        <f>$HK186+$HI187</f>
        <v/>
      </c>
      <c r="HL187" s="62">
        <f>SUMIFS(tblSafety[FAI],tblSafety[Date],$A187)</f>
        <v/>
      </c>
      <c r="HM187" s="62">
        <f>IF($B187=$B186,$HM186,0)+$HL187</f>
        <v/>
      </c>
      <c r="HN187" s="62">
        <f>$HN186+$HL187</f>
        <v/>
      </c>
      <c r="HO187" s="62">
        <f>SUMIFS(tblSafety[Recordables],tblSafety[Date],$A187)</f>
        <v/>
      </c>
      <c r="HP187" s="62">
        <f>IF($B187=$B186,$HP186,0)+$HO187</f>
        <v/>
      </c>
      <c r="HQ187" s="62">
        <f>$HQ186+$HO187</f>
        <v/>
      </c>
      <c r="HR187" s="62">
        <f>SUMIFS(tblSafety[Near_Miss],tblSafety[Date],$A187)</f>
        <v/>
      </c>
      <c r="HS187" s="62">
        <f>IF($B187=$B186,$HS186,0)+$HR187</f>
        <v/>
      </c>
      <c r="HT187" s="62">
        <f>$HT186+$HR187</f>
        <v/>
      </c>
      <c r="HU187" s="62">
        <f>SUMIFS(tblSafety[Hazard_Reports],tblSafety[Date],$A187)</f>
        <v/>
      </c>
      <c r="HV187" s="62">
        <f>IF($B187=$B186,$HV186,0)+$HU187</f>
        <v/>
      </c>
      <c r="HW187" s="62">
        <f>$HW186+$HU187</f>
        <v/>
      </c>
      <c r="HX187" s="62">
        <f>SUMIFS(tblSafety[HPI],tblSafety[Date],$A187)</f>
        <v/>
      </c>
      <c r="HY187" s="62">
        <f>IF($B187=$B186,$HY186,0)+$HX187</f>
        <v/>
      </c>
      <c r="HZ187" s="62">
        <f>$HZ186+$HX187</f>
        <v/>
      </c>
      <c r="IA187" s="62">
        <f>SUMIFS(tblSafety[Env_Incidents],tblSafety[Date],$A187)</f>
        <v/>
      </c>
      <c r="IB187" s="62">
        <f>IF($B187=$B186,$IB186,0)+$IA187</f>
        <v/>
      </c>
      <c r="IC187" s="62">
        <f>$IC186+$IA187</f>
        <v/>
      </c>
      <c r="ID187" s="62">
        <f>SUMIFS(tblSafety[Community_Incidents],tblSafety[Date],$A187)</f>
        <v/>
      </c>
      <c r="IE187" s="62">
        <f>IF($B187=$B186,$IE186,0)+$ID187</f>
        <v/>
      </c>
      <c r="IF187" s="62">
        <f>$IF186+$ID187</f>
        <v/>
      </c>
      <c r="IG187" s="62">
        <f>SUMIFS(tblSafety[Vehicle_Incidents],tblSafety[Date],$A187)</f>
        <v/>
      </c>
      <c r="IH187" s="62">
        <f>IF($B187=$B186,$IH186,0)+$IG187</f>
        <v/>
      </c>
      <c r="II187" s="62">
        <f>$II186+$IG187</f>
        <v/>
      </c>
      <c r="IJ187" s="62">
        <f>SUMIFS(tblSafety[Toolbox_Talks],tblSafety[Date],$A187)</f>
        <v/>
      </c>
      <c r="IK187" s="62">
        <f>IF($B187=$B186,$IK186,0)+$IJ187</f>
        <v/>
      </c>
      <c r="IL187" s="62">
        <f>$IL186+$IJ187</f>
        <v/>
      </c>
      <c r="IM187" s="62">
        <f>SUMIFS(tblSafety[Inspections],tblSafety[Date],$A187)</f>
        <v/>
      </c>
      <c r="IN187" s="62">
        <f>IF($B187=$B186,$IN186,0)+$IM187</f>
        <v/>
      </c>
      <c r="IO187" s="62">
        <f>$IO186+$IM187</f>
        <v/>
      </c>
      <c r="IP187" s="56">
        <f>IFERROR((SUMIFS(tblSafety[Recordables],tblSafety[Date],"&gt;="&amp;EDATE($E187,-12),tblSafety[Date],"&lt;="&amp;$A187)+SUMIFS(tblSafetyHistory[Recordables],tblSafetyHistory[Month],"&gt;="&amp;EDATE($E187,-12),tblSafetyHistory[Month],"&lt;"&amp;$E187,tblSafetyHistory[Use],1))/(SUMIFS(tblSafety[Hours_Total],tblSafety[Date],"&gt;="&amp;EDATE($E187,-12),tblSafety[Date],"&lt;="&amp;$A187)+SUMIFS(tblSafetyHistory[Hours_Total],tblSafetyHistory[Month],"&gt;="&amp;EDATE($E187,-12),tblSafetyHistory[Month],"&lt;"&amp;$E187,tblSafetyHistory[Use],1))*cfg_RateBasisHours,"")</f>
        <v/>
      </c>
      <c r="IQ187" s="56">
        <f>IFERROR((SUMIFS(tblSafety[LTI],tblSafety[Date],"&gt;="&amp;EDATE($E187,-12),tblSafety[Date],"&lt;="&amp;$A187)+SUMIFS(tblSafetyHistory[LTI],tblSafetyHistory[Month],"&gt;="&amp;EDATE($E187,-12),tblSafetyHistory[Month],"&lt;"&amp;$E187,tblSafetyHistory[Use],1))/(SUMIFS(tblSafety[Hours_Total],tblSafety[Date],"&gt;="&amp;EDATE($E187,-12),tblSafety[Date],"&lt;="&amp;$A187)+SUMIFS(tblSafetyHistory[Hours_Total],tblSafetyHistory[Month],"&gt;="&amp;EDATE($E187,-12),tblSafetyHistory[Month],"&lt;"&amp;$E187,tblSafetyHistory[Use],1))*cfg_RateBasisHours,"")</f>
        <v/>
      </c>
      <c r="IR187" s="62">
        <f>IF(MAX(N(cfg_PriorLTIDate),_xlfn.MAXIFS(tblSafety[Date],tblSafety[LTI],"&gt;0",tblSafety[Date],"&lt;="&amp;$A187))=0,"",$A187-MAX(N(cfg_PriorLTIDate),_xlfn.MAXIFS(tblSafety[Date],tblSafety[LTI],"&gt;0",tblSafety[Date],"&lt;="&amp;$A187)))</f>
        <v/>
      </c>
      <c r="IS187" s="55">
        <f>SUMIFS(tblBudget[Ore_Mined_t],tblBudget[Month],$E187)</f>
        <v/>
      </c>
      <c r="IT187" s="55">
        <f>$IS187*$C187/$D187</f>
        <v/>
      </c>
      <c r="IU187" s="55">
        <f>SUMIFS(tblBudget[Ore_Mined_t],tblBudget[Month],"&lt;"&amp;$E187)+$IT187</f>
        <v/>
      </c>
      <c r="IV187" s="55">
        <f>SUMIFS(tblBudget[Ore_oz],tblBudget[Month],$E187)</f>
        <v/>
      </c>
      <c r="IW187" s="55">
        <f>$IV187*$C187/$D187</f>
        <v/>
      </c>
      <c r="IX187" s="55">
        <f>SUMIFS(tblBudget[Ore_oz],tblBudget[Month],"&lt;"&amp;$E187)+$IW187</f>
        <v/>
      </c>
      <c r="IY187" s="55">
        <f>SUMIFS(tblBudget[Ore_Mined_t],tblBudget[Month],$E187)</f>
        <v/>
      </c>
      <c r="IZ187" s="55">
        <f>$IY187*$C187/$D187</f>
        <v/>
      </c>
      <c r="JA187" s="55">
        <f>SUMIFS(tblBudget[Ore_Mined_t],tblBudget[Month],"&lt;"&amp;$E187)+$IZ187</f>
        <v/>
      </c>
      <c r="JB187" s="56">
        <f>IFERROR(IF(($IY187)&gt;0,($IV187*cfg_TroyOz)/($IY187),""),"")</f>
        <v/>
      </c>
      <c r="JC187" s="56">
        <f>IFERROR(IF(($IZ187)&gt;0,($IW187*cfg_TroyOz)/($IZ187),""),"")</f>
        <v/>
      </c>
      <c r="JD187" s="56">
        <f>IFERROR(IF(($JA187)&gt;0,($IX187*cfg_TroyOz)/($JA187),""),"")</f>
        <v/>
      </c>
      <c r="JE187" s="55">
        <f>SUMIFS(tblBudget[Waste_t],tblBudget[Month],$E187)</f>
        <v/>
      </c>
      <c r="JF187" s="55">
        <f>$JE187*$C187/$D187</f>
        <v/>
      </c>
      <c r="JG187" s="55">
        <f>SUMIFS(tblBudget[Waste_t],tblBudget[Month],"&lt;"&amp;$E187)+$JF187</f>
        <v/>
      </c>
      <c r="JH187" s="55">
        <f>SUMIFS(tblBudget[TMM_t],tblBudget[Month],$E187)</f>
        <v/>
      </c>
      <c r="JI187" s="55">
        <f>$JH187*$C187/$D187</f>
        <v/>
      </c>
      <c r="JJ187" s="55">
        <f>SUMIFS(tblBudget[TMM_t],tblBudget[Month],"&lt;"&amp;$E187)+$JI187</f>
        <v/>
      </c>
      <c r="JK187" s="56">
        <f>IFERROR(IF(($IS187)&gt;0,($JE187)/($IS187),""),"")</f>
        <v/>
      </c>
      <c r="JL187" s="56">
        <f>IFERROR(IF(($IT187)&gt;0,($JF187)/($IT187),""),"")</f>
        <v/>
      </c>
      <c r="JM187" s="56">
        <f>IFERROR(IF(($IU187)&gt;0,($JG187)/($IU187),""),"")</f>
        <v/>
      </c>
      <c r="JN187" s="55">
        <f>SUMIFS(tblBudget[Drill_m],tblBudget[Month],$E187)</f>
        <v/>
      </c>
      <c r="JO187" s="55">
        <f>$JN187*$C187/$D187</f>
        <v/>
      </c>
      <c r="JP187" s="55">
        <f>SUMIFS(tblBudget[Drill_m],tblBudget[Month],"&lt;"&amp;$E187)+$JO187</f>
        <v/>
      </c>
      <c r="JQ187" s="55">
        <f>SUMIFS(tblBudget[Diesel_L],tblBudget[Month],$E187)</f>
        <v/>
      </c>
      <c r="JR187" s="55">
        <f>$JQ187*$C187/$D187</f>
        <v/>
      </c>
      <c r="JS187" s="55">
        <f>SUMIFS(tblBudget[Diesel_L],tblBudget[Month],"&lt;"&amp;$E187)+$JR187</f>
        <v/>
      </c>
      <c r="JT187" s="55">
        <f>SUMIFS(tblBudget[Milled_t],tblBudget[Month],$E187)</f>
        <v/>
      </c>
      <c r="JU187" s="55">
        <f>$JT187*$C187/$D187</f>
        <v/>
      </c>
      <c r="JV187" s="55">
        <f>SUMIFS(tblBudget[Milled_t],tblBudget[Month],"&lt;"&amp;$E187)+$JU187</f>
        <v/>
      </c>
      <c r="JW187" s="55">
        <f>SUMIFS(tblBudget[Feed_oz],tblBudget[Month],$E187)</f>
        <v/>
      </c>
      <c r="JX187" s="55">
        <f>$JW187*$C187/$D187</f>
        <v/>
      </c>
      <c r="JY187" s="55">
        <f>SUMIFS(tblBudget[Feed_oz],tblBudget[Month],"&lt;"&amp;$E187)+$JX187</f>
        <v/>
      </c>
      <c r="JZ187" s="55">
        <f>SUMIFS(tblBudget[Recovered_oz],tblBudget[Month],$E187)</f>
        <v/>
      </c>
      <c r="KA187" s="55">
        <f>$JZ187*$C187/$D187</f>
        <v/>
      </c>
      <c r="KB187" s="55">
        <f>SUMIFS(tblBudget[Recovered_oz],tblBudget[Month],"&lt;"&amp;$E187)+$KA187</f>
        <v/>
      </c>
      <c r="KC187" s="55">
        <f>SUMIFS(tblBudget[Milled_t],tblBudget[Month],$E187)</f>
        <v/>
      </c>
      <c r="KD187" s="55">
        <f>$KC187*$C187/$D187</f>
        <v/>
      </c>
      <c r="KE187" s="55">
        <f>SUMIFS(tblBudget[Milled_t],tblBudget[Month],"&lt;"&amp;$E187)+$KD187</f>
        <v/>
      </c>
      <c r="KF187" s="55">
        <f>SUMIFS(tblBudget[Feed_oz],tblBudget[Month],$E187)</f>
        <v/>
      </c>
      <c r="KG187" s="55">
        <f>$KF187*$C187/$D187</f>
        <v/>
      </c>
      <c r="KH187" s="55">
        <f>SUMIFS(tblBudget[Feed_oz],tblBudget[Month],"&lt;"&amp;$E187)+$KG187</f>
        <v/>
      </c>
      <c r="KI187" s="56">
        <f>IFERROR(IF(($KC187)&gt;0,($JW187*cfg_TroyOz)/($KC187),""),"")</f>
        <v/>
      </c>
      <c r="KJ187" s="56">
        <f>IFERROR(IF(($KD187)&gt;0,($JX187*cfg_TroyOz)/($KD187),""),"")</f>
        <v/>
      </c>
      <c r="KK187" s="56">
        <f>IFERROR(IF(($KE187)&gt;0,($JY187*cfg_TroyOz)/($KE187),""),"")</f>
        <v/>
      </c>
      <c r="KL187" s="67">
        <f>IFERROR(IF(($KF187)&gt;0,($JZ187)/($KF187),""),"")</f>
        <v/>
      </c>
      <c r="KM187" s="67">
        <f>IFERROR(IF(($KG187)&gt;0,($KA187)/($KG187),""),"")</f>
        <v/>
      </c>
      <c r="KN187" s="67">
        <f>IFERROR(IF(($KH187)&gt;0,($KB187)/($KH187),""),"")</f>
        <v/>
      </c>
      <c r="KO187" s="55">
        <f>SUMIFS(tblBudget[Gold_Poured_oz],tblBudget[Month],$E187)</f>
        <v/>
      </c>
      <c r="KP187" s="55">
        <f>$KO187*$C187/$D187</f>
        <v/>
      </c>
      <c r="KQ187" s="55">
        <f>SUMIFS(tblBudget[Gold_Poured_oz],tblBudget[Month],"&lt;"&amp;$E187)+$KP187</f>
        <v/>
      </c>
      <c r="KR187" s="57">
        <f>SUMIFS(tblBudget[Hours_Worked],tblBudget[Month],$E187)</f>
        <v/>
      </c>
      <c r="KS187" s="57">
        <f>$KR187*$C187/$D187</f>
        <v/>
      </c>
      <c r="KT187" s="57">
        <f>SUMIFS(tblBudget[Hours_Worked],tblBudget[Month],"&lt;"&amp;$E187)+$KS187</f>
        <v/>
      </c>
    </row>
    <row r="188">
      <c r="A188" s="54" t="n">
        <v>46209</v>
      </c>
      <c r="B188">
        <f>MONTH($A188)</f>
        <v/>
      </c>
      <c r="C188">
        <f>DAY($A188)</f>
        <v/>
      </c>
      <c r="D188">
        <f>DAY(EOMONTH($A188,0))</f>
        <v/>
      </c>
      <c r="E188" s="54">
        <f>DATE(YEAR($A188),MONTH($A188),1)</f>
        <v/>
      </c>
      <c r="F188" s="55">
        <f>SUMIFS(tblMovement[Tonnes_t],tblMovement[Date],$A188,tblMovement[Is_Ore],1,tblMovement[Source_Type],"Pit")</f>
        <v/>
      </c>
      <c r="G188" s="55">
        <f>IF($B188=$B187,$G187,0)+$F188</f>
        <v/>
      </c>
      <c r="H188" s="55">
        <f>$H187+$F188</f>
        <v/>
      </c>
      <c r="I188" s="55">
        <f>SUMIFS(tblMovement[Ore_oz],tblMovement[Date],$A188,tblMovement[Source_Type],"Pit")</f>
        <v/>
      </c>
      <c r="J188" s="55">
        <f>IF($B188=$B187,$J187,0)+$I188</f>
        <v/>
      </c>
      <c r="K188" s="55">
        <f>$K187+$I188</f>
        <v/>
      </c>
      <c r="L188" s="55">
        <f>SUMIFS(tblMovement[Tonnes_t],tblMovement[Date],$A188,tblMovement[Is_Ore],1,tblMovement[Source_Type],"Pit",tblMovement[Grade_gpt],"&lt;&gt;")</f>
        <v/>
      </c>
      <c r="M188" s="55">
        <f>IF($B188=$B187,$M187,0)+$L188</f>
        <v/>
      </c>
      <c r="N188" s="55">
        <f>$N187+$L188</f>
        <v/>
      </c>
      <c r="O188" s="56">
        <f>IFERROR(IF(($L188)&gt;0,($I188*cfg_TroyOz)/($L188),""),"")</f>
        <v/>
      </c>
      <c r="P188" s="56">
        <f>IFERROR(IF(($M188)&gt;0,($J188*cfg_TroyOz)/($M188),""),"")</f>
        <v/>
      </c>
      <c r="Q188" s="56">
        <f>IFERROR(IF(($N188)&gt;0,($K188*cfg_TroyOz)/($N188),""),"")</f>
        <v/>
      </c>
      <c r="R188" s="55">
        <f>$F188-$L188</f>
        <v/>
      </c>
      <c r="S188" s="55">
        <f>IF($B188=$B187,$S187,0)+$R188</f>
        <v/>
      </c>
      <c r="T188" s="55">
        <f>$T187+$R188</f>
        <v/>
      </c>
      <c r="U188" s="55">
        <f>SUMIFS(tblMovement[Tonnes_t],tblMovement[Date],$A188,tblMovement[Is_Ore],0,tblMovement[Source_Type],"Pit")</f>
        <v/>
      </c>
      <c r="V188" s="55">
        <f>IF($B188=$B187,$V187,0)+$U188</f>
        <v/>
      </c>
      <c r="W188" s="55">
        <f>$W187+$U188</f>
        <v/>
      </c>
      <c r="X188" s="55">
        <f>$F188+$U188</f>
        <v/>
      </c>
      <c r="Y188" s="55">
        <f>IF($B188=$B187,$Y187,0)+$X188</f>
        <v/>
      </c>
      <c r="Z188" s="55">
        <f>$Z187+$X188</f>
        <v/>
      </c>
      <c r="AA188" s="56">
        <f>IFERROR(IF(($F188)&gt;0,($U188)/($F188),""),"")</f>
        <v/>
      </c>
      <c r="AB188" s="56">
        <f>IFERROR(IF(($G188)&gt;0,($V188)/($G188),""),"")</f>
        <v/>
      </c>
      <c r="AC188" s="56">
        <f>IFERROR(IF(($H188)&gt;0,($W188)/($H188),""),"")</f>
        <v/>
      </c>
      <c r="AD188" s="55">
        <f>SUMIFS(tblMovement[Tonnes_t],tblMovement[Date],$A188,tblMovement[Source_Type],"Stockpile")</f>
        <v/>
      </c>
      <c r="AE188" s="55">
        <f>IF($B188=$B187,$AE187,0)+$AD188</f>
        <v/>
      </c>
      <c r="AF188" s="55">
        <f>$AF187+$AD188</f>
        <v/>
      </c>
      <c r="AG188" s="55">
        <f>SUMIFS(tblMovement[Tonnes_t],tblMovement[Date],$A188)</f>
        <v/>
      </c>
      <c r="AH188" s="55">
        <f>IF($B188=$B187,$AH187,0)+$AG188</f>
        <v/>
      </c>
      <c r="AI188" s="55">
        <f>$AI187+$AG188</f>
        <v/>
      </c>
      <c r="AJ188" s="55">
        <f>$AG188-$X188-$AD188</f>
        <v/>
      </c>
      <c r="AK188" s="55">
        <f>IF($B188=$B187,$AK187,0)+$AJ188</f>
        <v/>
      </c>
      <c r="AL188" s="55">
        <f>$AL187+$AJ188</f>
        <v/>
      </c>
      <c r="AM188" s="55">
        <f>SUMIFS(tblMiningDaily[Drill_m],tblMiningDaily[Date],$A188)</f>
        <v/>
      </c>
      <c r="AN188" s="55">
        <f>IF($B188=$B187,$AN187,0)+$AM188</f>
        <v/>
      </c>
      <c r="AO188" s="55">
        <f>$AO187+$AM188</f>
        <v/>
      </c>
      <c r="AP188" s="55">
        <f>SUMIFS(tblMiningDaily[GC_Drill_m],tblMiningDaily[Date],$A188)</f>
        <v/>
      </c>
      <c r="AQ188" s="55">
        <f>IF($B188=$B187,$AQ187,0)+$AP188</f>
        <v/>
      </c>
      <c r="AR188" s="55">
        <f>$AR187+$AP188</f>
        <v/>
      </c>
      <c r="AS188" s="55">
        <f>SUMIFS(tblMiningDaily[Blast_t],tblMiningDaily[Date],$A188)</f>
        <v/>
      </c>
      <c r="AT188" s="55">
        <f>IF($B188=$B187,$AT187,0)+$AS188</f>
        <v/>
      </c>
      <c r="AU188" s="55">
        <f>$AU187+$AS188</f>
        <v/>
      </c>
      <c r="AV188" s="55">
        <f>SUMIFS(tblMiningDaily[Explosives_kg],tblMiningDaily[Date],$A188)</f>
        <v/>
      </c>
      <c r="AW188" s="55">
        <f>IF($B188=$B187,$AW187,0)+$AV188</f>
        <v/>
      </c>
      <c r="AX188" s="55">
        <f>$AX187+$AV188</f>
        <v/>
      </c>
      <c r="AY188" s="56">
        <f>IFERROR(IF(($AS188)&gt;0,($AV188)/($AS188),""),"")</f>
        <v/>
      </c>
      <c r="AZ188" s="56">
        <f>IFERROR(IF(($AT188)&gt;0,($AW188)/($AT188),""),"")</f>
        <v/>
      </c>
      <c r="BA188" s="56">
        <f>IFERROR(IF(($AU188)&gt;0,($AX188)/($AU188),""),"")</f>
        <v/>
      </c>
      <c r="BB188" s="55">
        <f>SUMIFS(tblMiningDaily[Diesel_L],tblMiningDaily[Date],$A188)</f>
        <v/>
      </c>
      <c r="BC188" s="55">
        <f>IF($B188=$B187,$BC187,0)+$BB188</f>
        <v/>
      </c>
      <c r="BD188" s="55">
        <f>$BD187+$BB188</f>
        <v/>
      </c>
      <c r="BE188" s="55">
        <f>SUMIFS(tblMiningDaily[Dewatering_m3],tblMiningDaily[Date],$A188)</f>
        <v/>
      </c>
      <c r="BF188" s="55">
        <f>IF($B188=$B187,$BF187,0)+$BE188</f>
        <v/>
      </c>
      <c r="BG188" s="55">
        <f>$BG187+$BE188</f>
        <v/>
      </c>
      <c r="BH188" s="57">
        <f>SUMIFS(tblFleet[Calendar_h],tblFleet[Date],$A188,tblFleet[Equipment_Class],"Excavator")</f>
        <v/>
      </c>
      <c r="BI188" s="57">
        <f>IF($B188=$B187,$BI187,0)+$BH188</f>
        <v/>
      </c>
      <c r="BJ188" s="57">
        <f>$BJ187+$BH188</f>
        <v/>
      </c>
      <c r="BK188" s="57">
        <f>SUMIFS(tblFleet[Available_h],tblFleet[Date],$A188,tblFleet[Equipment_Class],"Excavator")</f>
        <v/>
      </c>
      <c r="BL188" s="57">
        <f>IF($B188=$B187,$BL187,0)+$BK188</f>
        <v/>
      </c>
      <c r="BM188" s="57">
        <f>$BM187+$BK188</f>
        <v/>
      </c>
      <c r="BN188" s="57">
        <f>SUMIFS(tblFleet[Operating_h],tblFleet[Date],$A188,tblFleet[Equipment_Class],"Excavator")</f>
        <v/>
      </c>
      <c r="BO188" s="57">
        <f>IF($B188=$B187,$BO187,0)+$BN188</f>
        <v/>
      </c>
      <c r="BP188" s="57">
        <f>$BP187+$BN188</f>
        <v/>
      </c>
      <c r="BQ188" s="67">
        <f>IFERROR(IF(($BH188)&gt;0,($BK188)/($BH188),""),"")</f>
        <v/>
      </c>
      <c r="BR188" s="67">
        <f>IFERROR(IF(($BI188)&gt;0,($BL188)/($BI188),""),"")</f>
        <v/>
      </c>
      <c r="BS188" s="67">
        <f>IFERROR(IF(($BJ188)&gt;0,($BM188)/($BJ188),""),"")</f>
        <v/>
      </c>
      <c r="BT188" s="67">
        <f>IFERROR(IF(($BK188)&gt;0,($BN188)/($BK188),""),"")</f>
        <v/>
      </c>
      <c r="BU188" s="67">
        <f>IFERROR(IF(($BL188)&gt;0,($BO188)/($BL188),""),"")</f>
        <v/>
      </c>
      <c r="BV188" s="67">
        <f>IFERROR(IF(($BM188)&gt;0,($BP188)/($BM188),""),"")</f>
        <v/>
      </c>
      <c r="BW188" s="57">
        <f>SUMIFS(tblFleet[Calendar_h],tblFleet[Date],$A188,tblFleet[Equipment_Class],"Haul Truck")</f>
        <v/>
      </c>
      <c r="BX188" s="57">
        <f>IF($B188=$B187,$BX187,0)+$BW188</f>
        <v/>
      </c>
      <c r="BY188" s="57">
        <f>$BY187+$BW188</f>
        <v/>
      </c>
      <c r="BZ188" s="57">
        <f>SUMIFS(tblFleet[Available_h],tblFleet[Date],$A188,tblFleet[Equipment_Class],"Haul Truck")</f>
        <v/>
      </c>
      <c r="CA188" s="57">
        <f>IF($B188=$B187,$CA187,0)+$BZ188</f>
        <v/>
      </c>
      <c r="CB188" s="57">
        <f>$CB187+$BZ188</f>
        <v/>
      </c>
      <c r="CC188" s="57">
        <f>SUMIFS(tblFleet[Operating_h],tblFleet[Date],$A188,tblFleet[Equipment_Class],"Haul Truck")</f>
        <v/>
      </c>
      <c r="CD188" s="57">
        <f>IF($B188=$B187,$CD187,0)+$CC188</f>
        <v/>
      </c>
      <c r="CE188" s="57">
        <f>$CE187+$CC188</f>
        <v/>
      </c>
      <c r="CF188" s="67">
        <f>IFERROR(IF(($BW188)&gt;0,($BZ188)/($BW188),""),"")</f>
        <v/>
      </c>
      <c r="CG188" s="67">
        <f>IFERROR(IF(($BX188)&gt;0,($CA188)/($BX188),""),"")</f>
        <v/>
      </c>
      <c r="CH188" s="67">
        <f>IFERROR(IF(($BY188)&gt;0,($CB188)/($BY188),""),"")</f>
        <v/>
      </c>
      <c r="CI188" s="67">
        <f>IFERROR(IF(($BZ188)&gt;0,($CC188)/($BZ188),""),"")</f>
        <v/>
      </c>
      <c r="CJ188" s="67">
        <f>IFERROR(IF(($CA188)&gt;0,($CD188)/($CA188),""),"")</f>
        <v/>
      </c>
      <c r="CK188" s="67">
        <f>IFERROR(IF(($CB188)&gt;0,($CE188)/($CB188),""),"")</f>
        <v/>
      </c>
      <c r="CL188" s="55">
        <f>IFERROR(IF(($BN188)&gt;0,($X188+$AD188)/($BN188),""),"")</f>
        <v/>
      </c>
      <c r="CM188" s="55">
        <f>IFERROR(IF(($BO188)&gt;0,($Y188+$AE188)/($BO188),""),"")</f>
        <v/>
      </c>
      <c r="CN188" s="55">
        <f>IFERROR(IF(($BP188)&gt;0,($Z188+$AF188)/($BP188),""),"")</f>
        <v/>
      </c>
      <c r="CO188" s="55">
        <f>IFERROR(IF(($CC188)&gt;0,($X188+$AD188)/($CC188),""),"")</f>
        <v/>
      </c>
      <c r="CP188" s="55">
        <f>IFERROR(IF(($CD188)&gt;0,($Y188+$AE188)/($CD188),""),"")</f>
        <v/>
      </c>
      <c r="CQ188" s="55">
        <f>IFERROR(IF(($CE188)&gt;0,($Z188+$AF188)/($CE188),""),"")</f>
        <v/>
      </c>
      <c r="CR188" s="55">
        <f>SUMIFS(tblPlant[Crushed_t],tblPlant[Date],$A188)</f>
        <v/>
      </c>
      <c r="CS188" s="55">
        <f>IF($B188=$B187,$CS187,0)+$CR188</f>
        <v/>
      </c>
      <c r="CT188" s="55">
        <f>$CT187+$CR188</f>
        <v/>
      </c>
      <c r="CU188" s="55">
        <f>SUMIFS(tblPlant[Milled_t],tblPlant[Date],$A188)</f>
        <v/>
      </c>
      <c r="CV188" s="55">
        <f>IF($B188=$B187,$CV187,0)+$CU188</f>
        <v/>
      </c>
      <c r="CW188" s="55">
        <f>$CW187+$CU188</f>
        <v/>
      </c>
      <c r="CX188" s="55">
        <f>SUMIFS(tblPlant[Feed_oz],tblPlant[Date],$A188)</f>
        <v/>
      </c>
      <c r="CY188" s="55">
        <f>IF($B188=$B187,$CY187,0)+$CX188</f>
        <v/>
      </c>
      <c r="CZ188" s="55">
        <f>$CZ187+$CX188</f>
        <v/>
      </c>
      <c r="DA188" s="55">
        <f>SUMIFS(tblPlant[Tails_oz],tblPlant[Date],$A188)</f>
        <v/>
      </c>
      <c r="DB188" s="55">
        <f>IF($B188=$B187,$DB187,0)+$DA188</f>
        <v/>
      </c>
      <c r="DC188" s="55">
        <f>$DC187+$DA188</f>
        <v/>
      </c>
      <c r="DD188" s="55">
        <f>SUMIFS(tblPlant[Recovered_oz],tblPlant[Date],$A188)</f>
        <v/>
      </c>
      <c r="DE188" s="55">
        <f>IF($B188=$B187,$DE187,0)+$DD188</f>
        <v/>
      </c>
      <c r="DF188" s="55">
        <f>$DF187+$DD188</f>
        <v/>
      </c>
      <c r="DG188" s="55">
        <f>SUMIFS(tblPlant[Milled_t],tblPlant[Date],$A188,tblPlant[Head_Grade_gpt],"&lt;&gt;")</f>
        <v/>
      </c>
      <c r="DH188" s="55">
        <f>IF($B188=$B187,$DH187,0)+$DG188</f>
        <v/>
      </c>
      <c r="DI188" s="55">
        <f>$DI187+$DG188</f>
        <v/>
      </c>
      <c r="DJ188" s="55">
        <f>SUMIFS(tblPlant[Milled_t],tblPlant[Date],$A188,tblPlant[Tails_Grade_gpt],"&lt;&gt;")</f>
        <v/>
      </c>
      <c r="DK188" s="55">
        <f>IF($B188=$B187,$DK187,0)+$DJ188</f>
        <v/>
      </c>
      <c r="DL188" s="55">
        <f>$DL187+$DJ188</f>
        <v/>
      </c>
      <c r="DM188" s="55">
        <f>SUMIFS(tblPlant[Feed_oz],tblPlant[Date],$A188,tblPlant[Tails_Grade_gpt],"&lt;&gt;")</f>
        <v/>
      </c>
      <c r="DN188" s="55">
        <f>IF($B188=$B187,$DN187,0)+$DM188</f>
        <v/>
      </c>
      <c r="DO188" s="55">
        <f>$DO187+$DM188</f>
        <v/>
      </c>
      <c r="DP188" s="55">
        <f>SUMIFS(tblPlant[Milled_t],tblPlant[Date],$A188,tblPlant[Mill_Run_h],"&lt;&gt;")</f>
        <v/>
      </c>
      <c r="DQ188" s="55">
        <f>IF($B188=$B187,$DQ187,0)+$DP188</f>
        <v/>
      </c>
      <c r="DR188" s="55">
        <f>$DR187+$DP188</f>
        <v/>
      </c>
      <c r="DS188" s="56">
        <f>IFERROR(IF(($DG188)&gt;0,($CX188*cfg_TroyOz)/($DG188),""),"")</f>
        <v/>
      </c>
      <c r="DT188" s="56">
        <f>IFERROR(IF(($DH188)&gt;0,($CY188*cfg_TroyOz)/($DH188),""),"")</f>
        <v/>
      </c>
      <c r="DU188" s="56">
        <f>IFERROR(IF(($DI188)&gt;0,($CZ188*cfg_TroyOz)/($DI188),""),"")</f>
        <v/>
      </c>
      <c r="DV188" s="56">
        <f>IFERROR(IF(($DJ188)&gt;0,($DA188*cfg_TroyOz)/($DJ188),""),"")</f>
        <v/>
      </c>
      <c r="DW188" s="56">
        <f>IFERROR(IF(($DK188)&gt;0,($DB188*cfg_TroyOz)/($DK188),""),"")</f>
        <v/>
      </c>
      <c r="DX188" s="56">
        <f>IFERROR(IF(($DL188)&gt;0,($DC188*cfg_TroyOz)/($DL188),""),"")</f>
        <v/>
      </c>
      <c r="DY188" s="67">
        <f>IFERROR(IF(($DM188)&gt;0,($DD188)/($DM188),""),"")</f>
        <v/>
      </c>
      <c r="DZ188" s="67">
        <f>IFERROR(IF(($DN188)&gt;0,($DE188)/($DN188),""),"")</f>
        <v/>
      </c>
      <c r="EA188" s="67">
        <f>IFERROR(IF(($DO188)&gt;0,($DF188)/($DO188),""),"")</f>
        <v/>
      </c>
      <c r="EB188" s="55">
        <f>SUMIFS(tblPlant[Gravity_Gold_oz],tblPlant[Date],$A188)</f>
        <v/>
      </c>
      <c r="EC188" s="55">
        <f>IF($B188=$B187,$EC187,0)+$EB188</f>
        <v/>
      </c>
      <c r="ED188" s="55">
        <f>$ED187+$EB188</f>
        <v/>
      </c>
      <c r="EE188" s="67">
        <f>IFERROR(IF(($DD188)&gt;0,($EB188)/($DD188),""),"")</f>
        <v/>
      </c>
      <c r="EF188" s="67">
        <f>IFERROR(IF(($DE188)&gt;0,($EC188)/($DE188),""),"")</f>
        <v/>
      </c>
      <c r="EG188" s="67">
        <f>IFERROR(IF(($DF188)&gt;0,($ED188)/($DF188),""),"")</f>
        <v/>
      </c>
      <c r="EH188" s="55">
        <f>SUMIFS(tblPlant[Gold_Poured_oz],tblPlant[Date],$A188)</f>
        <v/>
      </c>
      <c r="EI188" s="55">
        <f>IF($B188=$B187,$EI187,0)+$EH188</f>
        <v/>
      </c>
      <c r="EJ188" s="55">
        <f>$EJ187+$EH188</f>
        <v/>
      </c>
      <c r="EK188" s="57">
        <f>SUMIFS(tblPlant[Mill_Run_h],tblPlant[Date],$A188)</f>
        <v/>
      </c>
      <c r="EL188" s="57">
        <f>IF($B188=$B187,$EL187,0)+$EK188</f>
        <v/>
      </c>
      <c r="EM188" s="57">
        <f>$EM187+$EK188</f>
        <v/>
      </c>
      <c r="EN188" s="57">
        <f>SUMIFS(tblPlant[Mill_Planned_Maint_h],tblPlant[Date],$A188)</f>
        <v/>
      </c>
      <c r="EO188" s="57">
        <f>IF($B188=$B187,$EO187,0)+$EN188</f>
        <v/>
      </c>
      <c r="EP188" s="57">
        <f>$EP187+$EN188</f>
        <v/>
      </c>
      <c r="EQ188" s="57">
        <f>SUMIFS(tblPlant[Mill_Unplanned_Down_h],tblPlant[Date],$A188)</f>
        <v/>
      </c>
      <c r="ER188" s="57">
        <f>IF($B188=$B187,$ER187,0)+$EQ188</f>
        <v/>
      </c>
      <c r="ES188" s="57">
        <f>$ES187+$EQ188</f>
        <v/>
      </c>
      <c r="ET188" s="57">
        <f>IF(COUNTIFS(tblPlant[Date],$A188,tblPlant[Mill_Run_h],"&lt;&gt;")+COUNTIFS(tblPlant[Date],$A188,tblPlant[Mill_Planned_Maint_h],"&lt;&gt;")+COUNTIFS(tblPlant[Date],$A188,tblPlant[Mill_Unplanned_Down_h],"&lt;&gt;")&gt;0,cfg_HoursPerDay,0)</f>
        <v/>
      </c>
      <c r="EU188" s="57">
        <f>IF($B188=$B187,$EU187,0)+$ET188</f>
        <v/>
      </c>
      <c r="EV188" s="57">
        <f>$EV187+$ET188</f>
        <v/>
      </c>
      <c r="EW188" s="57">
        <f>SUMIFS(tblPlant[Crusher_Run_h],tblPlant[Date],$A188)</f>
        <v/>
      </c>
      <c r="EX188" s="57">
        <f>IF($B188=$B187,$EX187,0)+$EW188</f>
        <v/>
      </c>
      <c r="EY188" s="57">
        <f>$EY187+$EW188</f>
        <v/>
      </c>
      <c r="EZ188" s="55">
        <f>IFERROR(IF(($EK188)&gt;0,($DP188)/($EK188),""),"")</f>
        <v/>
      </c>
      <c r="FA188" s="55">
        <f>IFERROR(IF(($EL188)&gt;0,($DQ188)/($EL188),""),"")</f>
        <v/>
      </c>
      <c r="FB188" s="55">
        <f>IFERROR(IF(($EM188)&gt;0,($DR188)/($EM188),""),"")</f>
        <v/>
      </c>
      <c r="FC188" s="67">
        <f>IFERROR(IF(($ET188)&gt;0,($ET188-$EN188-$EQ188)/($ET188),""),"")</f>
        <v/>
      </c>
      <c r="FD188" s="67">
        <f>IFERROR(IF(($EU188)&gt;0,($EU188-$EO188-$ER188)/($EU188),""),"")</f>
        <v/>
      </c>
      <c r="FE188" s="67">
        <f>IFERROR(IF(($EV188)&gt;0,($EV188-$EP188-$ES188)/($EV188),""),"")</f>
        <v/>
      </c>
      <c r="FF188" s="67">
        <f>IFERROR(IF(($ET188-$EN188-$EQ188)&gt;0,($EK188)/($ET188-$EN188-$EQ188),""),"")</f>
        <v/>
      </c>
      <c r="FG188" s="67">
        <f>IFERROR(IF(($EU188-$EO188-$ER188)&gt;0,($EL188)/($EU188-$EO188-$ER188),""),"")</f>
        <v/>
      </c>
      <c r="FH188" s="67">
        <f>IFERROR(IF(($EV188-$EP188-$ES188)&gt;0,($EM188)/($EV188-$EP188-$ES188),""),"")</f>
        <v/>
      </c>
      <c r="FI188" s="55">
        <f>SUMIFS(tblPlant[Cyanide_kg],tblPlant[Date],$A188)</f>
        <v/>
      </c>
      <c r="FJ188" s="55">
        <f>IF($B188=$B187,$FJ187,0)+$FI188</f>
        <v/>
      </c>
      <c r="FK188" s="55">
        <f>$FK187+$FI188</f>
        <v/>
      </c>
      <c r="FL188" s="55">
        <f>SUMIFS(tblPlant[Lime_kg],tblPlant[Date],$A188)</f>
        <v/>
      </c>
      <c r="FM188" s="55">
        <f>IF($B188=$B187,$FM187,0)+$FL188</f>
        <v/>
      </c>
      <c r="FN188" s="55">
        <f>$FN187+$FL188</f>
        <v/>
      </c>
      <c r="FO188" s="55">
        <f>SUMIFS(tblPlant[Grinding_Media_kg],tblPlant[Date],$A188)</f>
        <v/>
      </c>
      <c r="FP188" s="55">
        <f>IF($B188=$B187,$FP187,0)+$FO188</f>
        <v/>
      </c>
      <c r="FQ188" s="55">
        <f>$FQ187+$FO188</f>
        <v/>
      </c>
      <c r="FR188" s="55">
        <f>SUMIFS(tblPlant[Power_kWh],tblPlant[Date],$A188)</f>
        <v/>
      </c>
      <c r="FS188" s="55">
        <f>IF($B188=$B187,$FS187,0)+$FR188</f>
        <v/>
      </c>
      <c r="FT188" s="55">
        <f>$FT187+$FR188</f>
        <v/>
      </c>
      <c r="FU188" s="55">
        <f>SUMIFS(tblPlant[Raw_Water_m3],tblPlant[Date],$A188)</f>
        <v/>
      </c>
      <c r="FV188" s="55">
        <f>IF($B188=$B187,$FV187,0)+$FU188</f>
        <v/>
      </c>
      <c r="FW188" s="55">
        <f>$FW187+$FU188</f>
        <v/>
      </c>
      <c r="FX188" s="56">
        <f>IFERROR(IF(($CU188)&gt;0,($FI188)/($CU188),""),"")</f>
        <v/>
      </c>
      <c r="FY188" s="56">
        <f>IFERROR(IF(($CV188)&gt;0,($FJ188)/($CV188),""),"")</f>
        <v/>
      </c>
      <c r="FZ188" s="56">
        <f>IFERROR(IF(($CW188)&gt;0,($FK188)/($CW188),""),"")</f>
        <v/>
      </c>
      <c r="GA188" s="56">
        <f>IFERROR(IF(($CU188)&gt;0,($FL188)/($CU188),""),"")</f>
        <v/>
      </c>
      <c r="GB188" s="56">
        <f>IFERROR(IF(($CV188)&gt;0,($FM188)/($CV188),""),"")</f>
        <v/>
      </c>
      <c r="GC188" s="56">
        <f>IFERROR(IF(($CW188)&gt;0,($FN188)/($CW188),""),"")</f>
        <v/>
      </c>
      <c r="GD188" s="56">
        <f>IFERROR(IF(($CU188)&gt;0,($FO188)/($CU188),""),"")</f>
        <v/>
      </c>
      <c r="GE188" s="56">
        <f>IFERROR(IF(($CV188)&gt;0,($FP188)/($CV188),""),"")</f>
        <v/>
      </c>
      <c r="GF188" s="56">
        <f>IFERROR(IF(($CW188)&gt;0,($FQ188)/($CW188),""),"")</f>
        <v/>
      </c>
      <c r="GG188" s="79">
        <f>IFERROR(IF(($CU188)&gt;0,($FR188)/($CU188),""),"")</f>
        <v/>
      </c>
      <c r="GH188" s="79">
        <f>IFERROR(IF(($CV188)&gt;0,($FS188)/($CV188),""),"")</f>
        <v/>
      </c>
      <c r="GI188" s="79">
        <f>IFERROR(IF(($CW188)&gt;0,($FT188)/($CW188),""),"")</f>
        <v/>
      </c>
      <c r="GJ188" s="56">
        <f>IFERROR(IF(($CU188)&gt;0,($FU188)/($CU188),""),"")</f>
        <v/>
      </c>
      <c r="GK188" s="56">
        <f>IFERROR(IF(($CV188)&gt;0,($FV188)/($CV188),""),"")</f>
        <v/>
      </c>
      <c r="GL188" s="56">
        <f>IFERROR(IF(($CW188)&gt;0,($FW188)/($CW188),""),"")</f>
        <v/>
      </c>
      <c r="GM188" s="55">
        <f>IF(SUMIFS(tblPlant[GIC_oz],tblPlant[Date],$A188)&gt;0,SUMIFS(tblPlant[GIC_oz],tblPlant[Date],$A188),"")</f>
        <v/>
      </c>
      <c r="GN188" s="55">
        <f>SUMIFS(tblGold[Gold_oz],tblGold[Date],$A188,tblGold[Type],"Shipment")</f>
        <v/>
      </c>
      <c r="GO188" s="55">
        <f>IF($B188=$B187,$GO187,0)+$GN188</f>
        <v/>
      </c>
      <c r="GP188" s="55">
        <f>$GP187+$GN188</f>
        <v/>
      </c>
      <c r="GQ188" s="55">
        <f>SUMIFS(tblGold[Gold_oz],tblGold[Date],$A188,tblGold[Type],"Sale")</f>
        <v/>
      </c>
      <c r="GR188" s="55">
        <f>IF($B188=$B187,$GR187,0)+$GQ188</f>
        <v/>
      </c>
      <c r="GS188" s="55">
        <f>$GS187+$GQ188</f>
        <v/>
      </c>
      <c r="GT188" s="55">
        <f>SUMIFS(tblGold[Dore_kg],tblGold[Date],$A188,tblGold[Type],"Shipment")</f>
        <v/>
      </c>
      <c r="GU188" s="55">
        <f>IF($B188=$B187,$GU187,0)+$GT188</f>
        <v/>
      </c>
      <c r="GV188" s="55">
        <f>$GV187+$GT188</f>
        <v/>
      </c>
      <c r="GW188" s="57">
        <f>SUMIFS(tblSafety[Hours_Total],tblSafety[Date],$A188)</f>
        <v/>
      </c>
      <c r="GX188" s="57">
        <f>IF($B188=$B187,$GX187,0)+$GW188</f>
        <v/>
      </c>
      <c r="GY188" s="57">
        <f>$GY187+$GW188</f>
        <v/>
      </c>
      <c r="GZ188" s="62">
        <f>SUMIFS(tblSafety[Fatality],tblSafety[Date],$A188)</f>
        <v/>
      </c>
      <c r="HA188" s="62">
        <f>IF($B188=$B187,$HA187,0)+$GZ188</f>
        <v/>
      </c>
      <c r="HB188" s="62">
        <f>$HB187+$GZ188</f>
        <v/>
      </c>
      <c r="HC188" s="62">
        <f>SUMIFS(tblSafety[LTI],tblSafety[Date],$A188)</f>
        <v/>
      </c>
      <c r="HD188" s="62">
        <f>IF($B188=$B187,$HD187,0)+$HC188</f>
        <v/>
      </c>
      <c r="HE188" s="62">
        <f>$HE187+$HC188</f>
        <v/>
      </c>
      <c r="HF188" s="62">
        <f>SUMIFS(tblSafety[RWI],tblSafety[Date],$A188)</f>
        <v/>
      </c>
      <c r="HG188" s="62">
        <f>IF($B188=$B187,$HG187,0)+$HF188</f>
        <v/>
      </c>
      <c r="HH188" s="62">
        <f>$HH187+$HF188</f>
        <v/>
      </c>
      <c r="HI188" s="62">
        <f>SUMIFS(tblSafety[MTI],tblSafety[Date],$A188)</f>
        <v/>
      </c>
      <c r="HJ188" s="62">
        <f>IF($B188=$B187,$HJ187,0)+$HI188</f>
        <v/>
      </c>
      <c r="HK188" s="62">
        <f>$HK187+$HI188</f>
        <v/>
      </c>
      <c r="HL188" s="62">
        <f>SUMIFS(tblSafety[FAI],tblSafety[Date],$A188)</f>
        <v/>
      </c>
      <c r="HM188" s="62">
        <f>IF($B188=$B187,$HM187,0)+$HL188</f>
        <v/>
      </c>
      <c r="HN188" s="62">
        <f>$HN187+$HL188</f>
        <v/>
      </c>
      <c r="HO188" s="62">
        <f>SUMIFS(tblSafety[Recordables],tblSafety[Date],$A188)</f>
        <v/>
      </c>
      <c r="HP188" s="62">
        <f>IF($B188=$B187,$HP187,0)+$HO188</f>
        <v/>
      </c>
      <c r="HQ188" s="62">
        <f>$HQ187+$HO188</f>
        <v/>
      </c>
      <c r="HR188" s="62">
        <f>SUMIFS(tblSafety[Near_Miss],tblSafety[Date],$A188)</f>
        <v/>
      </c>
      <c r="HS188" s="62">
        <f>IF($B188=$B187,$HS187,0)+$HR188</f>
        <v/>
      </c>
      <c r="HT188" s="62">
        <f>$HT187+$HR188</f>
        <v/>
      </c>
      <c r="HU188" s="62">
        <f>SUMIFS(tblSafety[Hazard_Reports],tblSafety[Date],$A188)</f>
        <v/>
      </c>
      <c r="HV188" s="62">
        <f>IF($B188=$B187,$HV187,0)+$HU188</f>
        <v/>
      </c>
      <c r="HW188" s="62">
        <f>$HW187+$HU188</f>
        <v/>
      </c>
      <c r="HX188" s="62">
        <f>SUMIFS(tblSafety[HPI],tblSafety[Date],$A188)</f>
        <v/>
      </c>
      <c r="HY188" s="62">
        <f>IF($B188=$B187,$HY187,0)+$HX188</f>
        <v/>
      </c>
      <c r="HZ188" s="62">
        <f>$HZ187+$HX188</f>
        <v/>
      </c>
      <c r="IA188" s="62">
        <f>SUMIFS(tblSafety[Env_Incidents],tblSafety[Date],$A188)</f>
        <v/>
      </c>
      <c r="IB188" s="62">
        <f>IF($B188=$B187,$IB187,0)+$IA188</f>
        <v/>
      </c>
      <c r="IC188" s="62">
        <f>$IC187+$IA188</f>
        <v/>
      </c>
      <c r="ID188" s="62">
        <f>SUMIFS(tblSafety[Community_Incidents],tblSafety[Date],$A188)</f>
        <v/>
      </c>
      <c r="IE188" s="62">
        <f>IF($B188=$B187,$IE187,0)+$ID188</f>
        <v/>
      </c>
      <c r="IF188" s="62">
        <f>$IF187+$ID188</f>
        <v/>
      </c>
      <c r="IG188" s="62">
        <f>SUMIFS(tblSafety[Vehicle_Incidents],tblSafety[Date],$A188)</f>
        <v/>
      </c>
      <c r="IH188" s="62">
        <f>IF($B188=$B187,$IH187,0)+$IG188</f>
        <v/>
      </c>
      <c r="II188" s="62">
        <f>$II187+$IG188</f>
        <v/>
      </c>
      <c r="IJ188" s="62">
        <f>SUMIFS(tblSafety[Toolbox_Talks],tblSafety[Date],$A188)</f>
        <v/>
      </c>
      <c r="IK188" s="62">
        <f>IF($B188=$B187,$IK187,0)+$IJ188</f>
        <v/>
      </c>
      <c r="IL188" s="62">
        <f>$IL187+$IJ188</f>
        <v/>
      </c>
      <c r="IM188" s="62">
        <f>SUMIFS(tblSafety[Inspections],tblSafety[Date],$A188)</f>
        <v/>
      </c>
      <c r="IN188" s="62">
        <f>IF($B188=$B187,$IN187,0)+$IM188</f>
        <v/>
      </c>
      <c r="IO188" s="62">
        <f>$IO187+$IM188</f>
        <v/>
      </c>
      <c r="IP188" s="56">
        <f>IFERROR((SUMIFS(tblSafety[Recordables],tblSafety[Date],"&gt;="&amp;EDATE($E188,-12),tblSafety[Date],"&lt;="&amp;$A188)+SUMIFS(tblSafetyHistory[Recordables],tblSafetyHistory[Month],"&gt;="&amp;EDATE($E188,-12),tblSafetyHistory[Month],"&lt;"&amp;$E188,tblSafetyHistory[Use],1))/(SUMIFS(tblSafety[Hours_Total],tblSafety[Date],"&gt;="&amp;EDATE($E188,-12),tblSafety[Date],"&lt;="&amp;$A188)+SUMIFS(tblSafetyHistory[Hours_Total],tblSafetyHistory[Month],"&gt;="&amp;EDATE($E188,-12),tblSafetyHistory[Month],"&lt;"&amp;$E188,tblSafetyHistory[Use],1))*cfg_RateBasisHours,"")</f>
        <v/>
      </c>
      <c r="IQ188" s="56">
        <f>IFERROR((SUMIFS(tblSafety[LTI],tblSafety[Date],"&gt;="&amp;EDATE($E188,-12),tblSafety[Date],"&lt;="&amp;$A188)+SUMIFS(tblSafetyHistory[LTI],tblSafetyHistory[Month],"&gt;="&amp;EDATE($E188,-12),tblSafetyHistory[Month],"&lt;"&amp;$E188,tblSafetyHistory[Use],1))/(SUMIFS(tblSafety[Hours_Total],tblSafety[Date],"&gt;="&amp;EDATE($E188,-12),tblSafety[Date],"&lt;="&amp;$A188)+SUMIFS(tblSafetyHistory[Hours_Total],tblSafetyHistory[Month],"&gt;="&amp;EDATE($E188,-12),tblSafetyHistory[Month],"&lt;"&amp;$E188,tblSafetyHistory[Use],1))*cfg_RateBasisHours,"")</f>
        <v/>
      </c>
      <c r="IR188" s="62">
        <f>IF(MAX(N(cfg_PriorLTIDate),_xlfn.MAXIFS(tblSafety[Date],tblSafety[LTI],"&gt;0",tblSafety[Date],"&lt;="&amp;$A188))=0,"",$A188-MAX(N(cfg_PriorLTIDate),_xlfn.MAXIFS(tblSafety[Date],tblSafety[LTI],"&gt;0",tblSafety[Date],"&lt;="&amp;$A188)))</f>
        <v/>
      </c>
      <c r="IS188" s="55">
        <f>SUMIFS(tblBudget[Ore_Mined_t],tblBudget[Month],$E188)</f>
        <v/>
      </c>
      <c r="IT188" s="55">
        <f>$IS188*$C188/$D188</f>
        <v/>
      </c>
      <c r="IU188" s="55">
        <f>SUMIFS(tblBudget[Ore_Mined_t],tblBudget[Month],"&lt;"&amp;$E188)+$IT188</f>
        <v/>
      </c>
      <c r="IV188" s="55">
        <f>SUMIFS(tblBudget[Ore_oz],tblBudget[Month],$E188)</f>
        <v/>
      </c>
      <c r="IW188" s="55">
        <f>$IV188*$C188/$D188</f>
        <v/>
      </c>
      <c r="IX188" s="55">
        <f>SUMIFS(tblBudget[Ore_oz],tblBudget[Month],"&lt;"&amp;$E188)+$IW188</f>
        <v/>
      </c>
      <c r="IY188" s="55">
        <f>SUMIFS(tblBudget[Ore_Mined_t],tblBudget[Month],$E188)</f>
        <v/>
      </c>
      <c r="IZ188" s="55">
        <f>$IY188*$C188/$D188</f>
        <v/>
      </c>
      <c r="JA188" s="55">
        <f>SUMIFS(tblBudget[Ore_Mined_t],tblBudget[Month],"&lt;"&amp;$E188)+$IZ188</f>
        <v/>
      </c>
      <c r="JB188" s="56">
        <f>IFERROR(IF(($IY188)&gt;0,($IV188*cfg_TroyOz)/($IY188),""),"")</f>
        <v/>
      </c>
      <c r="JC188" s="56">
        <f>IFERROR(IF(($IZ188)&gt;0,($IW188*cfg_TroyOz)/($IZ188),""),"")</f>
        <v/>
      </c>
      <c r="JD188" s="56">
        <f>IFERROR(IF(($JA188)&gt;0,($IX188*cfg_TroyOz)/($JA188),""),"")</f>
        <v/>
      </c>
      <c r="JE188" s="55">
        <f>SUMIFS(tblBudget[Waste_t],tblBudget[Month],$E188)</f>
        <v/>
      </c>
      <c r="JF188" s="55">
        <f>$JE188*$C188/$D188</f>
        <v/>
      </c>
      <c r="JG188" s="55">
        <f>SUMIFS(tblBudget[Waste_t],tblBudget[Month],"&lt;"&amp;$E188)+$JF188</f>
        <v/>
      </c>
      <c r="JH188" s="55">
        <f>SUMIFS(tblBudget[TMM_t],tblBudget[Month],$E188)</f>
        <v/>
      </c>
      <c r="JI188" s="55">
        <f>$JH188*$C188/$D188</f>
        <v/>
      </c>
      <c r="JJ188" s="55">
        <f>SUMIFS(tblBudget[TMM_t],tblBudget[Month],"&lt;"&amp;$E188)+$JI188</f>
        <v/>
      </c>
      <c r="JK188" s="56">
        <f>IFERROR(IF(($IS188)&gt;0,($JE188)/($IS188),""),"")</f>
        <v/>
      </c>
      <c r="JL188" s="56">
        <f>IFERROR(IF(($IT188)&gt;0,($JF188)/($IT188),""),"")</f>
        <v/>
      </c>
      <c r="JM188" s="56">
        <f>IFERROR(IF(($IU188)&gt;0,($JG188)/($IU188),""),"")</f>
        <v/>
      </c>
      <c r="JN188" s="55">
        <f>SUMIFS(tblBudget[Drill_m],tblBudget[Month],$E188)</f>
        <v/>
      </c>
      <c r="JO188" s="55">
        <f>$JN188*$C188/$D188</f>
        <v/>
      </c>
      <c r="JP188" s="55">
        <f>SUMIFS(tblBudget[Drill_m],tblBudget[Month],"&lt;"&amp;$E188)+$JO188</f>
        <v/>
      </c>
      <c r="JQ188" s="55">
        <f>SUMIFS(tblBudget[Diesel_L],tblBudget[Month],$E188)</f>
        <v/>
      </c>
      <c r="JR188" s="55">
        <f>$JQ188*$C188/$D188</f>
        <v/>
      </c>
      <c r="JS188" s="55">
        <f>SUMIFS(tblBudget[Diesel_L],tblBudget[Month],"&lt;"&amp;$E188)+$JR188</f>
        <v/>
      </c>
      <c r="JT188" s="55">
        <f>SUMIFS(tblBudget[Milled_t],tblBudget[Month],$E188)</f>
        <v/>
      </c>
      <c r="JU188" s="55">
        <f>$JT188*$C188/$D188</f>
        <v/>
      </c>
      <c r="JV188" s="55">
        <f>SUMIFS(tblBudget[Milled_t],tblBudget[Month],"&lt;"&amp;$E188)+$JU188</f>
        <v/>
      </c>
      <c r="JW188" s="55">
        <f>SUMIFS(tblBudget[Feed_oz],tblBudget[Month],$E188)</f>
        <v/>
      </c>
      <c r="JX188" s="55">
        <f>$JW188*$C188/$D188</f>
        <v/>
      </c>
      <c r="JY188" s="55">
        <f>SUMIFS(tblBudget[Feed_oz],tblBudget[Month],"&lt;"&amp;$E188)+$JX188</f>
        <v/>
      </c>
      <c r="JZ188" s="55">
        <f>SUMIFS(tblBudget[Recovered_oz],tblBudget[Month],$E188)</f>
        <v/>
      </c>
      <c r="KA188" s="55">
        <f>$JZ188*$C188/$D188</f>
        <v/>
      </c>
      <c r="KB188" s="55">
        <f>SUMIFS(tblBudget[Recovered_oz],tblBudget[Month],"&lt;"&amp;$E188)+$KA188</f>
        <v/>
      </c>
      <c r="KC188" s="55">
        <f>SUMIFS(tblBudget[Milled_t],tblBudget[Month],$E188)</f>
        <v/>
      </c>
      <c r="KD188" s="55">
        <f>$KC188*$C188/$D188</f>
        <v/>
      </c>
      <c r="KE188" s="55">
        <f>SUMIFS(tblBudget[Milled_t],tblBudget[Month],"&lt;"&amp;$E188)+$KD188</f>
        <v/>
      </c>
      <c r="KF188" s="55">
        <f>SUMIFS(tblBudget[Feed_oz],tblBudget[Month],$E188)</f>
        <v/>
      </c>
      <c r="KG188" s="55">
        <f>$KF188*$C188/$D188</f>
        <v/>
      </c>
      <c r="KH188" s="55">
        <f>SUMIFS(tblBudget[Feed_oz],tblBudget[Month],"&lt;"&amp;$E188)+$KG188</f>
        <v/>
      </c>
      <c r="KI188" s="56">
        <f>IFERROR(IF(($KC188)&gt;0,($JW188*cfg_TroyOz)/($KC188),""),"")</f>
        <v/>
      </c>
      <c r="KJ188" s="56">
        <f>IFERROR(IF(($KD188)&gt;0,($JX188*cfg_TroyOz)/($KD188),""),"")</f>
        <v/>
      </c>
      <c r="KK188" s="56">
        <f>IFERROR(IF(($KE188)&gt;0,($JY188*cfg_TroyOz)/($KE188),""),"")</f>
        <v/>
      </c>
      <c r="KL188" s="67">
        <f>IFERROR(IF(($KF188)&gt;0,($JZ188)/($KF188),""),"")</f>
        <v/>
      </c>
      <c r="KM188" s="67">
        <f>IFERROR(IF(($KG188)&gt;0,($KA188)/($KG188),""),"")</f>
        <v/>
      </c>
      <c r="KN188" s="67">
        <f>IFERROR(IF(($KH188)&gt;0,($KB188)/($KH188),""),"")</f>
        <v/>
      </c>
      <c r="KO188" s="55">
        <f>SUMIFS(tblBudget[Gold_Poured_oz],tblBudget[Month],$E188)</f>
        <v/>
      </c>
      <c r="KP188" s="55">
        <f>$KO188*$C188/$D188</f>
        <v/>
      </c>
      <c r="KQ188" s="55">
        <f>SUMIFS(tblBudget[Gold_Poured_oz],tblBudget[Month],"&lt;"&amp;$E188)+$KP188</f>
        <v/>
      </c>
      <c r="KR188" s="57">
        <f>SUMIFS(tblBudget[Hours_Worked],tblBudget[Month],$E188)</f>
        <v/>
      </c>
      <c r="KS188" s="57">
        <f>$KR188*$C188/$D188</f>
        <v/>
      </c>
      <c r="KT188" s="57">
        <f>SUMIFS(tblBudget[Hours_Worked],tblBudget[Month],"&lt;"&amp;$E188)+$KS188</f>
        <v/>
      </c>
    </row>
    <row r="189">
      <c r="A189" s="54" t="n">
        <v>46210</v>
      </c>
      <c r="B189">
        <f>MONTH($A189)</f>
        <v/>
      </c>
      <c r="C189">
        <f>DAY($A189)</f>
        <v/>
      </c>
      <c r="D189">
        <f>DAY(EOMONTH($A189,0))</f>
        <v/>
      </c>
      <c r="E189" s="54">
        <f>DATE(YEAR($A189),MONTH($A189),1)</f>
        <v/>
      </c>
      <c r="F189" s="55">
        <f>SUMIFS(tblMovement[Tonnes_t],tblMovement[Date],$A189,tblMovement[Is_Ore],1,tblMovement[Source_Type],"Pit")</f>
        <v/>
      </c>
      <c r="G189" s="55">
        <f>IF($B189=$B188,$G188,0)+$F189</f>
        <v/>
      </c>
      <c r="H189" s="55">
        <f>$H188+$F189</f>
        <v/>
      </c>
      <c r="I189" s="55">
        <f>SUMIFS(tblMovement[Ore_oz],tblMovement[Date],$A189,tblMovement[Source_Type],"Pit")</f>
        <v/>
      </c>
      <c r="J189" s="55">
        <f>IF($B189=$B188,$J188,0)+$I189</f>
        <v/>
      </c>
      <c r="K189" s="55">
        <f>$K188+$I189</f>
        <v/>
      </c>
      <c r="L189" s="55">
        <f>SUMIFS(tblMovement[Tonnes_t],tblMovement[Date],$A189,tblMovement[Is_Ore],1,tblMovement[Source_Type],"Pit",tblMovement[Grade_gpt],"&lt;&gt;")</f>
        <v/>
      </c>
      <c r="M189" s="55">
        <f>IF($B189=$B188,$M188,0)+$L189</f>
        <v/>
      </c>
      <c r="N189" s="55">
        <f>$N188+$L189</f>
        <v/>
      </c>
      <c r="O189" s="56">
        <f>IFERROR(IF(($L189)&gt;0,($I189*cfg_TroyOz)/($L189),""),"")</f>
        <v/>
      </c>
      <c r="P189" s="56">
        <f>IFERROR(IF(($M189)&gt;0,($J189*cfg_TroyOz)/($M189),""),"")</f>
        <v/>
      </c>
      <c r="Q189" s="56">
        <f>IFERROR(IF(($N189)&gt;0,($K189*cfg_TroyOz)/($N189),""),"")</f>
        <v/>
      </c>
      <c r="R189" s="55">
        <f>$F189-$L189</f>
        <v/>
      </c>
      <c r="S189" s="55">
        <f>IF($B189=$B188,$S188,0)+$R189</f>
        <v/>
      </c>
      <c r="T189" s="55">
        <f>$T188+$R189</f>
        <v/>
      </c>
      <c r="U189" s="55">
        <f>SUMIFS(tblMovement[Tonnes_t],tblMovement[Date],$A189,tblMovement[Is_Ore],0,tblMovement[Source_Type],"Pit")</f>
        <v/>
      </c>
      <c r="V189" s="55">
        <f>IF($B189=$B188,$V188,0)+$U189</f>
        <v/>
      </c>
      <c r="W189" s="55">
        <f>$W188+$U189</f>
        <v/>
      </c>
      <c r="X189" s="55">
        <f>$F189+$U189</f>
        <v/>
      </c>
      <c r="Y189" s="55">
        <f>IF($B189=$B188,$Y188,0)+$X189</f>
        <v/>
      </c>
      <c r="Z189" s="55">
        <f>$Z188+$X189</f>
        <v/>
      </c>
      <c r="AA189" s="56">
        <f>IFERROR(IF(($F189)&gt;0,($U189)/($F189),""),"")</f>
        <v/>
      </c>
      <c r="AB189" s="56">
        <f>IFERROR(IF(($G189)&gt;0,($V189)/($G189),""),"")</f>
        <v/>
      </c>
      <c r="AC189" s="56">
        <f>IFERROR(IF(($H189)&gt;0,($W189)/($H189),""),"")</f>
        <v/>
      </c>
      <c r="AD189" s="55">
        <f>SUMIFS(tblMovement[Tonnes_t],tblMovement[Date],$A189,tblMovement[Source_Type],"Stockpile")</f>
        <v/>
      </c>
      <c r="AE189" s="55">
        <f>IF($B189=$B188,$AE188,0)+$AD189</f>
        <v/>
      </c>
      <c r="AF189" s="55">
        <f>$AF188+$AD189</f>
        <v/>
      </c>
      <c r="AG189" s="55">
        <f>SUMIFS(tblMovement[Tonnes_t],tblMovement[Date],$A189)</f>
        <v/>
      </c>
      <c r="AH189" s="55">
        <f>IF($B189=$B188,$AH188,0)+$AG189</f>
        <v/>
      </c>
      <c r="AI189" s="55">
        <f>$AI188+$AG189</f>
        <v/>
      </c>
      <c r="AJ189" s="55">
        <f>$AG189-$X189-$AD189</f>
        <v/>
      </c>
      <c r="AK189" s="55">
        <f>IF($B189=$B188,$AK188,0)+$AJ189</f>
        <v/>
      </c>
      <c r="AL189" s="55">
        <f>$AL188+$AJ189</f>
        <v/>
      </c>
      <c r="AM189" s="55">
        <f>SUMIFS(tblMiningDaily[Drill_m],tblMiningDaily[Date],$A189)</f>
        <v/>
      </c>
      <c r="AN189" s="55">
        <f>IF($B189=$B188,$AN188,0)+$AM189</f>
        <v/>
      </c>
      <c r="AO189" s="55">
        <f>$AO188+$AM189</f>
        <v/>
      </c>
      <c r="AP189" s="55">
        <f>SUMIFS(tblMiningDaily[GC_Drill_m],tblMiningDaily[Date],$A189)</f>
        <v/>
      </c>
      <c r="AQ189" s="55">
        <f>IF($B189=$B188,$AQ188,0)+$AP189</f>
        <v/>
      </c>
      <c r="AR189" s="55">
        <f>$AR188+$AP189</f>
        <v/>
      </c>
      <c r="AS189" s="55">
        <f>SUMIFS(tblMiningDaily[Blast_t],tblMiningDaily[Date],$A189)</f>
        <v/>
      </c>
      <c r="AT189" s="55">
        <f>IF($B189=$B188,$AT188,0)+$AS189</f>
        <v/>
      </c>
      <c r="AU189" s="55">
        <f>$AU188+$AS189</f>
        <v/>
      </c>
      <c r="AV189" s="55">
        <f>SUMIFS(tblMiningDaily[Explosives_kg],tblMiningDaily[Date],$A189)</f>
        <v/>
      </c>
      <c r="AW189" s="55">
        <f>IF($B189=$B188,$AW188,0)+$AV189</f>
        <v/>
      </c>
      <c r="AX189" s="55">
        <f>$AX188+$AV189</f>
        <v/>
      </c>
      <c r="AY189" s="56">
        <f>IFERROR(IF(($AS189)&gt;0,($AV189)/($AS189),""),"")</f>
        <v/>
      </c>
      <c r="AZ189" s="56">
        <f>IFERROR(IF(($AT189)&gt;0,($AW189)/($AT189),""),"")</f>
        <v/>
      </c>
      <c r="BA189" s="56">
        <f>IFERROR(IF(($AU189)&gt;0,($AX189)/($AU189),""),"")</f>
        <v/>
      </c>
      <c r="BB189" s="55">
        <f>SUMIFS(tblMiningDaily[Diesel_L],tblMiningDaily[Date],$A189)</f>
        <v/>
      </c>
      <c r="BC189" s="55">
        <f>IF($B189=$B188,$BC188,0)+$BB189</f>
        <v/>
      </c>
      <c r="BD189" s="55">
        <f>$BD188+$BB189</f>
        <v/>
      </c>
      <c r="BE189" s="55">
        <f>SUMIFS(tblMiningDaily[Dewatering_m3],tblMiningDaily[Date],$A189)</f>
        <v/>
      </c>
      <c r="BF189" s="55">
        <f>IF($B189=$B188,$BF188,0)+$BE189</f>
        <v/>
      </c>
      <c r="BG189" s="55">
        <f>$BG188+$BE189</f>
        <v/>
      </c>
      <c r="BH189" s="57">
        <f>SUMIFS(tblFleet[Calendar_h],tblFleet[Date],$A189,tblFleet[Equipment_Class],"Excavator")</f>
        <v/>
      </c>
      <c r="BI189" s="57">
        <f>IF($B189=$B188,$BI188,0)+$BH189</f>
        <v/>
      </c>
      <c r="BJ189" s="57">
        <f>$BJ188+$BH189</f>
        <v/>
      </c>
      <c r="BK189" s="57">
        <f>SUMIFS(tblFleet[Available_h],tblFleet[Date],$A189,tblFleet[Equipment_Class],"Excavator")</f>
        <v/>
      </c>
      <c r="BL189" s="57">
        <f>IF($B189=$B188,$BL188,0)+$BK189</f>
        <v/>
      </c>
      <c r="BM189" s="57">
        <f>$BM188+$BK189</f>
        <v/>
      </c>
      <c r="BN189" s="57">
        <f>SUMIFS(tblFleet[Operating_h],tblFleet[Date],$A189,tblFleet[Equipment_Class],"Excavator")</f>
        <v/>
      </c>
      <c r="BO189" s="57">
        <f>IF($B189=$B188,$BO188,0)+$BN189</f>
        <v/>
      </c>
      <c r="BP189" s="57">
        <f>$BP188+$BN189</f>
        <v/>
      </c>
      <c r="BQ189" s="67">
        <f>IFERROR(IF(($BH189)&gt;0,($BK189)/($BH189),""),"")</f>
        <v/>
      </c>
      <c r="BR189" s="67">
        <f>IFERROR(IF(($BI189)&gt;0,($BL189)/($BI189),""),"")</f>
        <v/>
      </c>
      <c r="BS189" s="67">
        <f>IFERROR(IF(($BJ189)&gt;0,($BM189)/($BJ189),""),"")</f>
        <v/>
      </c>
      <c r="BT189" s="67">
        <f>IFERROR(IF(($BK189)&gt;0,($BN189)/($BK189),""),"")</f>
        <v/>
      </c>
      <c r="BU189" s="67">
        <f>IFERROR(IF(($BL189)&gt;0,($BO189)/($BL189),""),"")</f>
        <v/>
      </c>
      <c r="BV189" s="67">
        <f>IFERROR(IF(($BM189)&gt;0,($BP189)/($BM189),""),"")</f>
        <v/>
      </c>
      <c r="BW189" s="57">
        <f>SUMIFS(tblFleet[Calendar_h],tblFleet[Date],$A189,tblFleet[Equipment_Class],"Haul Truck")</f>
        <v/>
      </c>
      <c r="BX189" s="57">
        <f>IF($B189=$B188,$BX188,0)+$BW189</f>
        <v/>
      </c>
      <c r="BY189" s="57">
        <f>$BY188+$BW189</f>
        <v/>
      </c>
      <c r="BZ189" s="57">
        <f>SUMIFS(tblFleet[Available_h],tblFleet[Date],$A189,tblFleet[Equipment_Class],"Haul Truck")</f>
        <v/>
      </c>
      <c r="CA189" s="57">
        <f>IF($B189=$B188,$CA188,0)+$BZ189</f>
        <v/>
      </c>
      <c r="CB189" s="57">
        <f>$CB188+$BZ189</f>
        <v/>
      </c>
      <c r="CC189" s="57">
        <f>SUMIFS(tblFleet[Operating_h],tblFleet[Date],$A189,tblFleet[Equipment_Class],"Haul Truck")</f>
        <v/>
      </c>
      <c r="CD189" s="57">
        <f>IF($B189=$B188,$CD188,0)+$CC189</f>
        <v/>
      </c>
      <c r="CE189" s="57">
        <f>$CE188+$CC189</f>
        <v/>
      </c>
      <c r="CF189" s="67">
        <f>IFERROR(IF(($BW189)&gt;0,($BZ189)/($BW189),""),"")</f>
        <v/>
      </c>
      <c r="CG189" s="67">
        <f>IFERROR(IF(($BX189)&gt;0,($CA189)/($BX189),""),"")</f>
        <v/>
      </c>
      <c r="CH189" s="67">
        <f>IFERROR(IF(($BY189)&gt;0,($CB189)/($BY189),""),"")</f>
        <v/>
      </c>
      <c r="CI189" s="67">
        <f>IFERROR(IF(($BZ189)&gt;0,($CC189)/($BZ189),""),"")</f>
        <v/>
      </c>
      <c r="CJ189" s="67">
        <f>IFERROR(IF(($CA189)&gt;0,($CD189)/($CA189),""),"")</f>
        <v/>
      </c>
      <c r="CK189" s="67">
        <f>IFERROR(IF(($CB189)&gt;0,($CE189)/($CB189),""),"")</f>
        <v/>
      </c>
      <c r="CL189" s="55">
        <f>IFERROR(IF(($BN189)&gt;0,($X189+$AD189)/($BN189),""),"")</f>
        <v/>
      </c>
      <c r="CM189" s="55">
        <f>IFERROR(IF(($BO189)&gt;0,($Y189+$AE189)/($BO189),""),"")</f>
        <v/>
      </c>
      <c r="CN189" s="55">
        <f>IFERROR(IF(($BP189)&gt;0,($Z189+$AF189)/($BP189),""),"")</f>
        <v/>
      </c>
      <c r="CO189" s="55">
        <f>IFERROR(IF(($CC189)&gt;0,($X189+$AD189)/($CC189),""),"")</f>
        <v/>
      </c>
      <c r="CP189" s="55">
        <f>IFERROR(IF(($CD189)&gt;0,($Y189+$AE189)/($CD189),""),"")</f>
        <v/>
      </c>
      <c r="CQ189" s="55">
        <f>IFERROR(IF(($CE189)&gt;0,($Z189+$AF189)/($CE189),""),"")</f>
        <v/>
      </c>
      <c r="CR189" s="55">
        <f>SUMIFS(tblPlant[Crushed_t],tblPlant[Date],$A189)</f>
        <v/>
      </c>
      <c r="CS189" s="55">
        <f>IF($B189=$B188,$CS188,0)+$CR189</f>
        <v/>
      </c>
      <c r="CT189" s="55">
        <f>$CT188+$CR189</f>
        <v/>
      </c>
      <c r="CU189" s="55">
        <f>SUMIFS(tblPlant[Milled_t],tblPlant[Date],$A189)</f>
        <v/>
      </c>
      <c r="CV189" s="55">
        <f>IF($B189=$B188,$CV188,0)+$CU189</f>
        <v/>
      </c>
      <c r="CW189" s="55">
        <f>$CW188+$CU189</f>
        <v/>
      </c>
      <c r="CX189" s="55">
        <f>SUMIFS(tblPlant[Feed_oz],tblPlant[Date],$A189)</f>
        <v/>
      </c>
      <c r="CY189" s="55">
        <f>IF($B189=$B188,$CY188,0)+$CX189</f>
        <v/>
      </c>
      <c r="CZ189" s="55">
        <f>$CZ188+$CX189</f>
        <v/>
      </c>
      <c r="DA189" s="55">
        <f>SUMIFS(tblPlant[Tails_oz],tblPlant[Date],$A189)</f>
        <v/>
      </c>
      <c r="DB189" s="55">
        <f>IF($B189=$B188,$DB188,0)+$DA189</f>
        <v/>
      </c>
      <c r="DC189" s="55">
        <f>$DC188+$DA189</f>
        <v/>
      </c>
      <c r="DD189" s="55">
        <f>SUMIFS(tblPlant[Recovered_oz],tblPlant[Date],$A189)</f>
        <v/>
      </c>
      <c r="DE189" s="55">
        <f>IF($B189=$B188,$DE188,0)+$DD189</f>
        <v/>
      </c>
      <c r="DF189" s="55">
        <f>$DF188+$DD189</f>
        <v/>
      </c>
      <c r="DG189" s="55">
        <f>SUMIFS(tblPlant[Milled_t],tblPlant[Date],$A189,tblPlant[Head_Grade_gpt],"&lt;&gt;")</f>
        <v/>
      </c>
      <c r="DH189" s="55">
        <f>IF($B189=$B188,$DH188,0)+$DG189</f>
        <v/>
      </c>
      <c r="DI189" s="55">
        <f>$DI188+$DG189</f>
        <v/>
      </c>
      <c r="DJ189" s="55">
        <f>SUMIFS(tblPlant[Milled_t],tblPlant[Date],$A189,tblPlant[Tails_Grade_gpt],"&lt;&gt;")</f>
        <v/>
      </c>
      <c r="DK189" s="55">
        <f>IF($B189=$B188,$DK188,0)+$DJ189</f>
        <v/>
      </c>
      <c r="DL189" s="55">
        <f>$DL188+$DJ189</f>
        <v/>
      </c>
      <c r="DM189" s="55">
        <f>SUMIFS(tblPlant[Feed_oz],tblPlant[Date],$A189,tblPlant[Tails_Grade_gpt],"&lt;&gt;")</f>
        <v/>
      </c>
      <c r="DN189" s="55">
        <f>IF($B189=$B188,$DN188,0)+$DM189</f>
        <v/>
      </c>
      <c r="DO189" s="55">
        <f>$DO188+$DM189</f>
        <v/>
      </c>
      <c r="DP189" s="55">
        <f>SUMIFS(tblPlant[Milled_t],tblPlant[Date],$A189,tblPlant[Mill_Run_h],"&lt;&gt;")</f>
        <v/>
      </c>
      <c r="DQ189" s="55">
        <f>IF($B189=$B188,$DQ188,0)+$DP189</f>
        <v/>
      </c>
      <c r="DR189" s="55">
        <f>$DR188+$DP189</f>
        <v/>
      </c>
      <c r="DS189" s="56">
        <f>IFERROR(IF(($DG189)&gt;0,($CX189*cfg_TroyOz)/($DG189),""),"")</f>
        <v/>
      </c>
      <c r="DT189" s="56">
        <f>IFERROR(IF(($DH189)&gt;0,($CY189*cfg_TroyOz)/($DH189),""),"")</f>
        <v/>
      </c>
      <c r="DU189" s="56">
        <f>IFERROR(IF(($DI189)&gt;0,($CZ189*cfg_TroyOz)/($DI189),""),"")</f>
        <v/>
      </c>
      <c r="DV189" s="56">
        <f>IFERROR(IF(($DJ189)&gt;0,($DA189*cfg_TroyOz)/($DJ189),""),"")</f>
        <v/>
      </c>
      <c r="DW189" s="56">
        <f>IFERROR(IF(($DK189)&gt;0,($DB189*cfg_TroyOz)/($DK189),""),"")</f>
        <v/>
      </c>
      <c r="DX189" s="56">
        <f>IFERROR(IF(($DL189)&gt;0,($DC189*cfg_TroyOz)/($DL189),""),"")</f>
        <v/>
      </c>
      <c r="DY189" s="67">
        <f>IFERROR(IF(($DM189)&gt;0,($DD189)/($DM189),""),"")</f>
        <v/>
      </c>
      <c r="DZ189" s="67">
        <f>IFERROR(IF(($DN189)&gt;0,($DE189)/($DN189),""),"")</f>
        <v/>
      </c>
      <c r="EA189" s="67">
        <f>IFERROR(IF(($DO189)&gt;0,($DF189)/($DO189),""),"")</f>
        <v/>
      </c>
      <c r="EB189" s="55">
        <f>SUMIFS(tblPlant[Gravity_Gold_oz],tblPlant[Date],$A189)</f>
        <v/>
      </c>
      <c r="EC189" s="55">
        <f>IF($B189=$B188,$EC188,0)+$EB189</f>
        <v/>
      </c>
      <c r="ED189" s="55">
        <f>$ED188+$EB189</f>
        <v/>
      </c>
      <c r="EE189" s="67">
        <f>IFERROR(IF(($DD189)&gt;0,($EB189)/($DD189),""),"")</f>
        <v/>
      </c>
      <c r="EF189" s="67">
        <f>IFERROR(IF(($DE189)&gt;0,($EC189)/($DE189),""),"")</f>
        <v/>
      </c>
      <c r="EG189" s="67">
        <f>IFERROR(IF(($DF189)&gt;0,($ED189)/($DF189),""),"")</f>
        <v/>
      </c>
      <c r="EH189" s="55">
        <f>SUMIFS(tblPlant[Gold_Poured_oz],tblPlant[Date],$A189)</f>
        <v/>
      </c>
      <c r="EI189" s="55">
        <f>IF($B189=$B188,$EI188,0)+$EH189</f>
        <v/>
      </c>
      <c r="EJ189" s="55">
        <f>$EJ188+$EH189</f>
        <v/>
      </c>
      <c r="EK189" s="57">
        <f>SUMIFS(tblPlant[Mill_Run_h],tblPlant[Date],$A189)</f>
        <v/>
      </c>
      <c r="EL189" s="57">
        <f>IF($B189=$B188,$EL188,0)+$EK189</f>
        <v/>
      </c>
      <c r="EM189" s="57">
        <f>$EM188+$EK189</f>
        <v/>
      </c>
      <c r="EN189" s="57">
        <f>SUMIFS(tblPlant[Mill_Planned_Maint_h],tblPlant[Date],$A189)</f>
        <v/>
      </c>
      <c r="EO189" s="57">
        <f>IF($B189=$B188,$EO188,0)+$EN189</f>
        <v/>
      </c>
      <c r="EP189" s="57">
        <f>$EP188+$EN189</f>
        <v/>
      </c>
      <c r="EQ189" s="57">
        <f>SUMIFS(tblPlant[Mill_Unplanned_Down_h],tblPlant[Date],$A189)</f>
        <v/>
      </c>
      <c r="ER189" s="57">
        <f>IF($B189=$B188,$ER188,0)+$EQ189</f>
        <v/>
      </c>
      <c r="ES189" s="57">
        <f>$ES188+$EQ189</f>
        <v/>
      </c>
      <c r="ET189" s="57">
        <f>IF(COUNTIFS(tblPlant[Date],$A189,tblPlant[Mill_Run_h],"&lt;&gt;")+COUNTIFS(tblPlant[Date],$A189,tblPlant[Mill_Planned_Maint_h],"&lt;&gt;")+COUNTIFS(tblPlant[Date],$A189,tblPlant[Mill_Unplanned_Down_h],"&lt;&gt;")&gt;0,cfg_HoursPerDay,0)</f>
        <v/>
      </c>
      <c r="EU189" s="57">
        <f>IF($B189=$B188,$EU188,0)+$ET189</f>
        <v/>
      </c>
      <c r="EV189" s="57">
        <f>$EV188+$ET189</f>
        <v/>
      </c>
      <c r="EW189" s="57">
        <f>SUMIFS(tblPlant[Crusher_Run_h],tblPlant[Date],$A189)</f>
        <v/>
      </c>
      <c r="EX189" s="57">
        <f>IF($B189=$B188,$EX188,0)+$EW189</f>
        <v/>
      </c>
      <c r="EY189" s="57">
        <f>$EY188+$EW189</f>
        <v/>
      </c>
      <c r="EZ189" s="55">
        <f>IFERROR(IF(($EK189)&gt;0,($DP189)/($EK189),""),"")</f>
        <v/>
      </c>
      <c r="FA189" s="55">
        <f>IFERROR(IF(($EL189)&gt;0,($DQ189)/($EL189),""),"")</f>
        <v/>
      </c>
      <c r="FB189" s="55">
        <f>IFERROR(IF(($EM189)&gt;0,($DR189)/($EM189),""),"")</f>
        <v/>
      </c>
      <c r="FC189" s="67">
        <f>IFERROR(IF(($ET189)&gt;0,($ET189-$EN189-$EQ189)/($ET189),""),"")</f>
        <v/>
      </c>
      <c r="FD189" s="67">
        <f>IFERROR(IF(($EU189)&gt;0,($EU189-$EO189-$ER189)/($EU189),""),"")</f>
        <v/>
      </c>
      <c r="FE189" s="67">
        <f>IFERROR(IF(($EV189)&gt;0,($EV189-$EP189-$ES189)/($EV189),""),"")</f>
        <v/>
      </c>
      <c r="FF189" s="67">
        <f>IFERROR(IF(($ET189-$EN189-$EQ189)&gt;0,($EK189)/($ET189-$EN189-$EQ189),""),"")</f>
        <v/>
      </c>
      <c r="FG189" s="67">
        <f>IFERROR(IF(($EU189-$EO189-$ER189)&gt;0,($EL189)/($EU189-$EO189-$ER189),""),"")</f>
        <v/>
      </c>
      <c r="FH189" s="67">
        <f>IFERROR(IF(($EV189-$EP189-$ES189)&gt;0,($EM189)/($EV189-$EP189-$ES189),""),"")</f>
        <v/>
      </c>
      <c r="FI189" s="55">
        <f>SUMIFS(tblPlant[Cyanide_kg],tblPlant[Date],$A189)</f>
        <v/>
      </c>
      <c r="FJ189" s="55">
        <f>IF($B189=$B188,$FJ188,0)+$FI189</f>
        <v/>
      </c>
      <c r="FK189" s="55">
        <f>$FK188+$FI189</f>
        <v/>
      </c>
      <c r="FL189" s="55">
        <f>SUMIFS(tblPlant[Lime_kg],tblPlant[Date],$A189)</f>
        <v/>
      </c>
      <c r="FM189" s="55">
        <f>IF($B189=$B188,$FM188,0)+$FL189</f>
        <v/>
      </c>
      <c r="FN189" s="55">
        <f>$FN188+$FL189</f>
        <v/>
      </c>
      <c r="FO189" s="55">
        <f>SUMIFS(tblPlant[Grinding_Media_kg],tblPlant[Date],$A189)</f>
        <v/>
      </c>
      <c r="FP189" s="55">
        <f>IF($B189=$B188,$FP188,0)+$FO189</f>
        <v/>
      </c>
      <c r="FQ189" s="55">
        <f>$FQ188+$FO189</f>
        <v/>
      </c>
      <c r="FR189" s="55">
        <f>SUMIFS(tblPlant[Power_kWh],tblPlant[Date],$A189)</f>
        <v/>
      </c>
      <c r="FS189" s="55">
        <f>IF($B189=$B188,$FS188,0)+$FR189</f>
        <v/>
      </c>
      <c r="FT189" s="55">
        <f>$FT188+$FR189</f>
        <v/>
      </c>
      <c r="FU189" s="55">
        <f>SUMIFS(tblPlant[Raw_Water_m3],tblPlant[Date],$A189)</f>
        <v/>
      </c>
      <c r="FV189" s="55">
        <f>IF($B189=$B188,$FV188,0)+$FU189</f>
        <v/>
      </c>
      <c r="FW189" s="55">
        <f>$FW188+$FU189</f>
        <v/>
      </c>
      <c r="FX189" s="56">
        <f>IFERROR(IF(($CU189)&gt;0,($FI189)/($CU189),""),"")</f>
        <v/>
      </c>
      <c r="FY189" s="56">
        <f>IFERROR(IF(($CV189)&gt;0,($FJ189)/($CV189),""),"")</f>
        <v/>
      </c>
      <c r="FZ189" s="56">
        <f>IFERROR(IF(($CW189)&gt;0,($FK189)/($CW189),""),"")</f>
        <v/>
      </c>
      <c r="GA189" s="56">
        <f>IFERROR(IF(($CU189)&gt;0,($FL189)/($CU189),""),"")</f>
        <v/>
      </c>
      <c r="GB189" s="56">
        <f>IFERROR(IF(($CV189)&gt;0,($FM189)/($CV189),""),"")</f>
        <v/>
      </c>
      <c r="GC189" s="56">
        <f>IFERROR(IF(($CW189)&gt;0,($FN189)/($CW189),""),"")</f>
        <v/>
      </c>
      <c r="GD189" s="56">
        <f>IFERROR(IF(($CU189)&gt;0,($FO189)/($CU189),""),"")</f>
        <v/>
      </c>
      <c r="GE189" s="56">
        <f>IFERROR(IF(($CV189)&gt;0,($FP189)/($CV189),""),"")</f>
        <v/>
      </c>
      <c r="GF189" s="56">
        <f>IFERROR(IF(($CW189)&gt;0,($FQ189)/($CW189),""),"")</f>
        <v/>
      </c>
      <c r="GG189" s="79">
        <f>IFERROR(IF(($CU189)&gt;0,($FR189)/($CU189),""),"")</f>
        <v/>
      </c>
      <c r="GH189" s="79">
        <f>IFERROR(IF(($CV189)&gt;0,($FS189)/($CV189),""),"")</f>
        <v/>
      </c>
      <c r="GI189" s="79">
        <f>IFERROR(IF(($CW189)&gt;0,($FT189)/($CW189),""),"")</f>
        <v/>
      </c>
      <c r="GJ189" s="56">
        <f>IFERROR(IF(($CU189)&gt;0,($FU189)/($CU189),""),"")</f>
        <v/>
      </c>
      <c r="GK189" s="56">
        <f>IFERROR(IF(($CV189)&gt;0,($FV189)/($CV189),""),"")</f>
        <v/>
      </c>
      <c r="GL189" s="56">
        <f>IFERROR(IF(($CW189)&gt;0,($FW189)/($CW189),""),"")</f>
        <v/>
      </c>
      <c r="GM189" s="55">
        <f>IF(SUMIFS(tblPlant[GIC_oz],tblPlant[Date],$A189)&gt;0,SUMIFS(tblPlant[GIC_oz],tblPlant[Date],$A189),"")</f>
        <v/>
      </c>
      <c r="GN189" s="55">
        <f>SUMIFS(tblGold[Gold_oz],tblGold[Date],$A189,tblGold[Type],"Shipment")</f>
        <v/>
      </c>
      <c r="GO189" s="55">
        <f>IF($B189=$B188,$GO188,0)+$GN189</f>
        <v/>
      </c>
      <c r="GP189" s="55">
        <f>$GP188+$GN189</f>
        <v/>
      </c>
      <c r="GQ189" s="55">
        <f>SUMIFS(tblGold[Gold_oz],tblGold[Date],$A189,tblGold[Type],"Sale")</f>
        <v/>
      </c>
      <c r="GR189" s="55">
        <f>IF($B189=$B188,$GR188,0)+$GQ189</f>
        <v/>
      </c>
      <c r="GS189" s="55">
        <f>$GS188+$GQ189</f>
        <v/>
      </c>
      <c r="GT189" s="55">
        <f>SUMIFS(tblGold[Dore_kg],tblGold[Date],$A189,tblGold[Type],"Shipment")</f>
        <v/>
      </c>
      <c r="GU189" s="55">
        <f>IF($B189=$B188,$GU188,0)+$GT189</f>
        <v/>
      </c>
      <c r="GV189" s="55">
        <f>$GV188+$GT189</f>
        <v/>
      </c>
      <c r="GW189" s="57">
        <f>SUMIFS(tblSafety[Hours_Total],tblSafety[Date],$A189)</f>
        <v/>
      </c>
      <c r="GX189" s="57">
        <f>IF($B189=$B188,$GX188,0)+$GW189</f>
        <v/>
      </c>
      <c r="GY189" s="57">
        <f>$GY188+$GW189</f>
        <v/>
      </c>
      <c r="GZ189" s="62">
        <f>SUMIFS(tblSafety[Fatality],tblSafety[Date],$A189)</f>
        <v/>
      </c>
      <c r="HA189" s="62">
        <f>IF($B189=$B188,$HA188,0)+$GZ189</f>
        <v/>
      </c>
      <c r="HB189" s="62">
        <f>$HB188+$GZ189</f>
        <v/>
      </c>
      <c r="HC189" s="62">
        <f>SUMIFS(tblSafety[LTI],tblSafety[Date],$A189)</f>
        <v/>
      </c>
      <c r="HD189" s="62">
        <f>IF($B189=$B188,$HD188,0)+$HC189</f>
        <v/>
      </c>
      <c r="HE189" s="62">
        <f>$HE188+$HC189</f>
        <v/>
      </c>
      <c r="HF189" s="62">
        <f>SUMIFS(tblSafety[RWI],tblSafety[Date],$A189)</f>
        <v/>
      </c>
      <c r="HG189" s="62">
        <f>IF($B189=$B188,$HG188,0)+$HF189</f>
        <v/>
      </c>
      <c r="HH189" s="62">
        <f>$HH188+$HF189</f>
        <v/>
      </c>
      <c r="HI189" s="62">
        <f>SUMIFS(tblSafety[MTI],tblSafety[Date],$A189)</f>
        <v/>
      </c>
      <c r="HJ189" s="62">
        <f>IF($B189=$B188,$HJ188,0)+$HI189</f>
        <v/>
      </c>
      <c r="HK189" s="62">
        <f>$HK188+$HI189</f>
        <v/>
      </c>
      <c r="HL189" s="62">
        <f>SUMIFS(tblSafety[FAI],tblSafety[Date],$A189)</f>
        <v/>
      </c>
      <c r="HM189" s="62">
        <f>IF($B189=$B188,$HM188,0)+$HL189</f>
        <v/>
      </c>
      <c r="HN189" s="62">
        <f>$HN188+$HL189</f>
        <v/>
      </c>
      <c r="HO189" s="62">
        <f>SUMIFS(tblSafety[Recordables],tblSafety[Date],$A189)</f>
        <v/>
      </c>
      <c r="HP189" s="62">
        <f>IF($B189=$B188,$HP188,0)+$HO189</f>
        <v/>
      </c>
      <c r="HQ189" s="62">
        <f>$HQ188+$HO189</f>
        <v/>
      </c>
      <c r="HR189" s="62">
        <f>SUMIFS(tblSafety[Near_Miss],tblSafety[Date],$A189)</f>
        <v/>
      </c>
      <c r="HS189" s="62">
        <f>IF($B189=$B188,$HS188,0)+$HR189</f>
        <v/>
      </c>
      <c r="HT189" s="62">
        <f>$HT188+$HR189</f>
        <v/>
      </c>
      <c r="HU189" s="62">
        <f>SUMIFS(tblSafety[Hazard_Reports],tblSafety[Date],$A189)</f>
        <v/>
      </c>
      <c r="HV189" s="62">
        <f>IF($B189=$B188,$HV188,0)+$HU189</f>
        <v/>
      </c>
      <c r="HW189" s="62">
        <f>$HW188+$HU189</f>
        <v/>
      </c>
      <c r="HX189" s="62">
        <f>SUMIFS(tblSafety[HPI],tblSafety[Date],$A189)</f>
        <v/>
      </c>
      <c r="HY189" s="62">
        <f>IF($B189=$B188,$HY188,0)+$HX189</f>
        <v/>
      </c>
      <c r="HZ189" s="62">
        <f>$HZ188+$HX189</f>
        <v/>
      </c>
      <c r="IA189" s="62">
        <f>SUMIFS(tblSafety[Env_Incidents],tblSafety[Date],$A189)</f>
        <v/>
      </c>
      <c r="IB189" s="62">
        <f>IF($B189=$B188,$IB188,0)+$IA189</f>
        <v/>
      </c>
      <c r="IC189" s="62">
        <f>$IC188+$IA189</f>
        <v/>
      </c>
      <c r="ID189" s="62">
        <f>SUMIFS(tblSafety[Community_Incidents],tblSafety[Date],$A189)</f>
        <v/>
      </c>
      <c r="IE189" s="62">
        <f>IF($B189=$B188,$IE188,0)+$ID189</f>
        <v/>
      </c>
      <c r="IF189" s="62">
        <f>$IF188+$ID189</f>
        <v/>
      </c>
      <c r="IG189" s="62">
        <f>SUMIFS(tblSafety[Vehicle_Incidents],tblSafety[Date],$A189)</f>
        <v/>
      </c>
      <c r="IH189" s="62">
        <f>IF($B189=$B188,$IH188,0)+$IG189</f>
        <v/>
      </c>
      <c r="II189" s="62">
        <f>$II188+$IG189</f>
        <v/>
      </c>
      <c r="IJ189" s="62">
        <f>SUMIFS(tblSafety[Toolbox_Talks],tblSafety[Date],$A189)</f>
        <v/>
      </c>
      <c r="IK189" s="62">
        <f>IF($B189=$B188,$IK188,0)+$IJ189</f>
        <v/>
      </c>
      <c r="IL189" s="62">
        <f>$IL188+$IJ189</f>
        <v/>
      </c>
      <c r="IM189" s="62">
        <f>SUMIFS(tblSafety[Inspections],tblSafety[Date],$A189)</f>
        <v/>
      </c>
      <c r="IN189" s="62">
        <f>IF($B189=$B188,$IN188,0)+$IM189</f>
        <v/>
      </c>
      <c r="IO189" s="62">
        <f>$IO188+$IM189</f>
        <v/>
      </c>
      <c r="IP189" s="56">
        <f>IFERROR((SUMIFS(tblSafety[Recordables],tblSafety[Date],"&gt;="&amp;EDATE($E189,-12),tblSafety[Date],"&lt;="&amp;$A189)+SUMIFS(tblSafetyHistory[Recordables],tblSafetyHistory[Month],"&gt;="&amp;EDATE($E189,-12),tblSafetyHistory[Month],"&lt;"&amp;$E189,tblSafetyHistory[Use],1))/(SUMIFS(tblSafety[Hours_Total],tblSafety[Date],"&gt;="&amp;EDATE($E189,-12),tblSafety[Date],"&lt;="&amp;$A189)+SUMIFS(tblSafetyHistory[Hours_Total],tblSafetyHistory[Month],"&gt;="&amp;EDATE($E189,-12),tblSafetyHistory[Month],"&lt;"&amp;$E189,tblSafetyHistory[Use],1))*cfg_RateBasisHours,"")</f>
        <v/>
      </c>
      <c r="IQ189" s="56">
        <f>IFERROR((SUMIFS(tblSafety[LTI],tblSafety[Date],"&gt;="&amp;EDATE($E189,-12),tblSafety[Date],"&lt;="&amp;$A189)+SUMIFS(tblSafetyHistory[LTI],tblSafetyHistory[Month],"&gt;="&amp;EDATE($E189,-12),tblSafetyHistory[Month],"&lt;"&amp;$E189,tblSafetyHistory[Use],1))/(SUMIFS(tblSafety[Hours_Total],tblSafety[Date],"&gt;="&amp;EDATE($E189,-12),tblSafety[Date],"&lt;="&amp;$A189)+SUMIFS(tblSafetyHistory[Hours_Total],tblSafetyHistory[Month],"&gt;="&amp;EDATE($E189,-12),tblSafetyHistory[Month],"&lt;"&amp;$E189,tblSafetyHistory[Use],1))*cfg_RateBasisHours,"")</f>
        <v/>
      </c>
      <c r="IR189" s="62">
        <f>IF(MAX(N(cfg_PriorLTIDate),_xlfn.MAXIFS(tblSafety[Date],tblSafety[LTI],"&gt;0",tblSafety[Date],"&lt;="&amp;$A189))=0,"",$A189-MAX(N(cfg_PriorLTIDate),_xlfn.MAXIFS(tblSafety[Date],tblSafety[LTI],"&gt;0",tblSafety[Date],"&lt;="&amp;$A189)))</f>
        <v/>
      </c>
      <c r="IS189" s="55">
        <f>SUMIFS(tblBudget[Ore_Mined_t],tblBudget[Month],$E189)</f>
        <v/>
      </c>
      <c r="IT189" s="55">
        <f>$IS189*$C189/$D189</f>
        <v/>
      </c>
      <c r="IU189" s="55">
        <f>SUMIFS(tblBudget[Ore_Mined_t],tblBudget[Month],"&lt;"&amp;$E189)+$IT189</f>
        <v/>
      </c>
      <c r="IV189" s="55">
        <f>SUMIFS(tblBudget[Ore_oz],tblBudget[Month],$E189)</f>
        <v/>
      </c>
      <c r="IW189" s="55">
        <f>$IV189*$C189/$D189</f>
        <v/>
      </c>
      <c r="IX189" s="55">
        <f>SUMIFS(tblBudget[Ore_oz],tblBudget[Month],"&lt;"&amp;$E189)+$IW189</f>
        <v/>
      </c>
      <c r="IY189" s="55">
        <f>SUMIFS(tblBudget[Ore_Mined_t],tblBudget[Month],$E189)</f>
        <v/>
      </c>
      <c r="IZ189" s="55">
        <f>$IY189*$C189/$D189</f>
        <v/>
      </c>
      <c r="JA189" s="55">
        <f>SUMIFS(tblBudget[Ore_Mined_t],tblBudget[Month],"&lt;"&amp;$E189)+$IZ189</f>
        <v/>
      </c>
      <c r="JB189" s="56">
        <f>IFERROR(IF(($IY189)&gt;0,($IV189*cfg_TroyOz)/($IY189),""),"")</f>
        <v/>
      </c>
      <c r="JC189" s="56">
        <f>IFERROR(IF(($IZ189)&gt;0,($IW189*cfg_TroyOz)/($IZ189),""),"")</f>
        <v/>
      </c>
      <c r="JD189" s="56">
        <f>IFERROR(IF(($JA189)&gt;0,($IX189*cfg_TroyOz)/($JA189),""),"")</f>
        <v/>
      </c>
      <c r="JE189" s="55">
        <f>SUMIFS(tblBudget[Waste_t],tblBudget[Month],$E189)</f>
        <v/>
      </c>
      <c r="JF189" s="55">
        <f>$JE189*$C189/$D189</f>
        <v/>
      </c>
      <c r="JG189" s="55">
        <f>SUMIFS(tblBudget[Waste_t],tblBudget[Month],"&lt;"&amp;$E189)+$JF189</f>
        <v/>
      </c>
      <c r="JH189" s="55">
        <f>SUMIFS(tblBudget[TMM_t],tblBudget[Month],$E189)</f>
        <v/>
      </c>
      <c r="JI189" s="55">
        <f>$JH189*$C189/$D189</f>
        <v/>
      </c>
      <c r="JJ189" s="55">
        <f>SUMIFS(tblBudget[TMM_t],tblBudget[Month],"&lt;"&amp;$E189)+$JI189</f>
        <v/>
      </c>
      <c r="JK189" s="56">
        <f>IFERROR(IF(($IS189)&gt;0,($JE189)/($IS189),""),"")</f>
        <v/>
      </c>
      <c r="JL189" s="56">
        <f>IFERROR(IF(($IT189)&gt;0,($JF189)/($IT189),""),"")</f>
        <v/>
      </c>
      <c r="JM189" s="56">
        <f>IFERROR(IF(($IU189)&gt;0,($JG189)/($IU189),""),"")</f>
        <v/>
      </c>
      <c r="JN189" s="55">
        <f>SUMIFS(tblBudget[Drill_m],tblBudget[Month],$E189)</f>
        <v/>
      </c>
      <c r="JO189" s="55">
        <f>$JN189*$C189/$D189</f>
        <v/>
      </c>
      <c r="JP189" s="55">
        <f>SUMIFS(tblBudget[Drill_m],tblBudget[Month],"&lt;"&amp;$E189)+$JO189</f>
        <v/>
      </c>
      <c r="JQ189" s="55">
        <f>SUMIFS(tblBudget[Diesel_L],tblBudget[Month],$E189)</f>
        <v/>
      </c>
      <c r="JR189" s="55">
        <f>$JQ189*$C189/$D189</f>
        <v/>
      </c>
      <c r="JS189" s="55">
        <f>SUMIFS(tblBudget[Diesel_L],tblBudget[Month],"&lt;"&amp;$E189)+$JR189</f>
        <v/>
      </c>
      <c r="JT189" s="55">
        <f>SUMIFS(tblBudget[Milled_t],tblBudget[Month],$E189)</f>
        <v/>
      </c>
      <c r="JU189" s="55">
        <f>$JT189*$C189/$D189</f>
        <v/>
      </c>
      <c r="JV189" s="55">
        <f>SUMIFS(tblBudget[Milled_t],tblBudget[Month],"&lt;"&amp;$E189)+$JU189</f>
        <v/>
      </c>
      <c r="JW189" s="55">
        <f>SUMIFS(tblBudget[Feed_oz],tblBudget[Month],$E189)</f>
        <v/>
      </c>
      <c r="JX189" s="55">
        <f>$JW189*$C189/$D189</f>
        <v/>
      </c>
      <c r="JY189" s="55">
        <f>SUMIFS(tblBudget[Feed_oz],tblBudget[Month],"&lt;"&amp;$E189)+$JX189</f>
        <v/>
      </c>
      <c r="JZ189" s="55">
        <f>SUMIFS(tblBudget[Recovered_oz],tblBudget[Month],$E189)</f>
        <v/>
      </c>
      <c r="KA189" s="55">
        <f>$JZ189*$C189/$D189</f>
        <v/>
      </c>
      <c r="KB189" s="55">
        <f>SUMIFS(tblBudget[Recovered_oz],tblBudget[Month],"&lt;"&amp;$E189)+$KA189</f>
        <v/>
      </c>
      <c r="KC189" s="55">
        <f>SUMIFS(tblBudget[Milled_t],tblBudget[Month],$E189)</f>
        <v/>
      </c>
      <c r="KD189" s="55">
        <f>$KC189*$C189/$D189</f>
        <v/>
      </c>
      <c r="KE189" s="55">
        <f>SUMIFS(tblBudget[Milled_t],tblBudget[Month],"&lt;"&amp;$E189)+$KD189</f>
        <v/>
      </c>
      <c r="KF189" s="55">
        <f>SUMIFS(tblBudget[Feed_oz],tblBudget[Month],$E189)</f>
        <v/>
      </c>
      <c r="KG189" s="55">
        <f>$KF189*$C189/$D189</f>
        <v/>
      </c>
      <c r="KH189" s="55">
        <f>SUMIFS(tblBudget[Feed_oz],tblBudget[Month],"&lt;"&amp;$E189)+$KG189</f>
        <v/>
      </c>
      <c r="KI189" s="56">
        <f>IFERROR(IF(($KC189)&gt;0,($JW189*cfg_TroyOz)/($KC189),""),"")</f>
        <v/>
      </c>
      <c r="KJ189" s="56">
        <f>IFERROR(IF(($KD189)&gt;0,($JX189*cfg_TroyOz)/($KD189),""),"")</f>
        <v/>
      </c>
      <c r="KK189" s="56">
        <f>IFERROR(IF(($KE189)&gt;0,($JY189*cfg_TroyOz)/($KE189),""),"")</f>
        <v/>
      </c>
      <c r="KL189" s="67">
        <f>IFERROR(IF(($KF189)&gt;0,($JZ189)/($KF189),""),"")</f>
        <v/>
      </c>
      <c r="KM189" s="67">
        <f>IFERROR(IF(($KG189)&gt;0,($KA189)/($KG189),""),"")</f>
        <v/>
      </c>
      <c r="KN189" s="67">
        <f>IFERROR(IF(($KH189)&gt;0,($KB189)/($KH189),""),"")</f>
        <v/>
      </c>
      <c r="KO189" s="55">
        <f>SUMIFS(tblBudget[Gold_Poured_oz],tblBudget[Month],$E189)</f>
        <v/>
      </c>
      <c r="KP189" s="55">
        <f>$KO189*$C189/$D189</f>
        <v/>
      </c>
      <c r="KQ189" s="55">
        <f>SUMIFS(tblBudget[Gold_Poured_oz],tblBudget[Month],"&lt;"&amp;$E189)+$KP189</f>
        <v/>
      </c>
      <c r="KR189" s="57">
        <f>SUMIFS(tblBudget[Hours_Worked],tblBudget[Month],$E189)</f>
        <v/>
      </c>
      <c r="KS189" s="57">
        <f>$KR189*$C189/$D189</f>
        <v/>
      </c>
      <c r="KT189" s="57">
        <f>SUMIFS(tblBudget[Hours_Worked],tblBudget[Month],"&lt;"&amp;$E189)+$KS189</f>
        <v/>
      </c>
    </row>
    <row r="190">
      <c r="A190" s="54" t="n">
        <v>46211</v>
      </c>
      <c r="B190">
        <f>MONTH($A190)</f>
        <v/>
      </c>
      <c r="C190">
        <f>DAY($A190)</f>
        <v/>
      </c>
      <c r="D190">
        <f>DAY(EOMONTH($A190,0))</f>
        <v/>
      </c>
      <c r="E190" s="54">
        <f>DATE(YEAR($A190),MONTH($A190),1)</f>
        <v/>
      </c>
      <c r="F190" s="55">
        <f>SUMIFS(tblMovement[Tonnes_t],tblMovement[Date],$A190,tblMovement[Is_Ore],1,tblMovement[Source_Type],"Pit")</f>
        <v/>
      </c>
      <c r="G190" s="55">
        <f>IF($B190=$B189,$G189,0)+$F190</f>
        <v/>
      </c>
      <c r="H190" s="55">
        <f>$H189+$F190</f>
        <v/>
      </c>
      <c r="I190" s="55">
        <f>SUMIFS(tblMovement[Ore_oz],tblMovement[Date],$A190,tblMovement[Source_Type],"Pit")</f>
        <v/>
      </c>
      <c r="J190" s="55">
        <f>IF($B190=$B189,$J189,0)+$I190</f>
        <v/>
      </c>
      <c r="K190" s="55">
        <f>$K189+$I190</f>
        <v/>
      </c>
      <c r="L190" s="55">
        <f>SUMIFS(tblMovement[Tonnes_t],tblMovement[Date],$A190,tblMovement[Is_Ore],1,tblMovement[Source_Type],"Pit",tblMovement[Grade_gpt],"&lt;&gt;")</f>
        <v/>
      </c>
      <c r="M190" s="55">
        <f>IF($B190=$B189,$M189,0)+$L190</f>
        <v/>
      </c>
      <c r="N190" s="55">
        <f>$N189+$L190</f>
        <v/>
      </c>
      <c r="O190" s="56">
        <f>IFERROR(IF(($L190)&gt;0,($I190*cfg_TroyOz)/($L190),""),"")</f>
        <v/>
      </c>
      <c r="P190" s="56">
        <f>IFERROR(IF(($M190)&gt;0,($J190*cfg_TroyOz)/($M190),""),"")</f>
        <v/>
      </c>
      <c r="Q190" s="56">
        <f>IFERROR(IF(($N190)&gt;0,($K190*cfg_TroyOz)/($N190),""),"")</f>
        <v/>
      </c>
      <c r="R190" s="55">
        <f>$F190-$L190</f>
        <v/>
      </c>
      <c r="S190" s="55">
        <f>IF($B190=$B189,$S189,0)+$R190</f>
        <v/>
      </c>
      <c r="T190" s="55">
        <f>$T189+$R190</f>
        <v/>
      </c>
      <c r="U190" s="55">
        <f>SUMIFS(tblMovement[Tonnes_t],tblMovement[Date],$A190,tblMovement[Is_Ore],0,tblMovement[Source_Type],"Pit")</f>
        <v/>
      </c>
      <c r="V190" s="55">
        <f>IF($B190=$B189,$V189,0)+$U190</f>
        <v/>
      </c>
      <c r="W190" s="55">
        <f>$W189+$U190</f>
        <v/>
      </c>
      <c r="X190" s="55">
        <f>$F190+$U190</f>
        <v/>
      </c>
      <c r="Y190" s="55">
        <f>IF($B190=$B189,$Y189,0)+$X190</f>
        <v/>
      </c>
      <c r="Z190" s="55">
        <f>$Z189+$X190</f>
        <v/>
      </c>
      <c r="AA190" s="56">
        <f>IFERROR(IF(($F190)&gt;0,($U190)/($F190),""),"")</f>
        <v/>
      </c>
      <c r="AB190" s="56">
        <f>IFERROR(IF(($G190)&gt;0,($V190)/($G190),""),"")</f>
        <v/>
      </c>
      <c r="AC190" s="56">
        <f>IFERROR(IF(($H190)&gt;0,($W190)/($H190),""),"")</f>
        <v/>
      </c>
      <c r="AD190" s="55">
        <f>SUMIFS(tblMovement[Tonnes_t],tblMovement[Date],$A190,tblMovement[Source_Type],"Stockpile")</f>
        <v/>
      </c>
      <c r="AE190" s="55">
        <f>IF($B190=$B189,$AE189,0)+$AD190</f>
        <v/>
      </c>
      <c r="AF190" s="55">
        <f>$AF189+$AD190</f>
        <v/>
      </c>
      <c r="AG190" s="55">
        <f>SUMIFS(tblMovement[Tonnes_t],tblMovement[Date],$A190)</f>
        <v/>
      </c>
      <c r="AH190" s="55">
        <f>IF($B190=$B189,$AH189,0)+$AG190</f>
        <v/>
      </c>
      <c r="AI190" s="55">
        <f>$AI189+$AG190</f>
        <v/>
      </c>
      <c r="AJ190" s="55">
        <f>$AG190-$X190-$AD190</f>
        <v/>
      </c>
      <c r="AK190" s="55">
        <f>IF($B190=$B189,$AK189,0)+$AJ190</f>
        <v/>
      </c>
      <c r="AL190" s="55">
        <f>$AL189+$AJ190</f>
        <v/>
      </c>
      <c r="AM190" s="55">
        <f>SUMIFS(tblMiningDaily[Drill_m],tblMiningDaily[Date],$A190)</f>
        <v/>
      </c>
      <c r="AN190" s="55">
        <f>IF($B190=$B189,$AN189,0)+$AM190</f>
        <v/>
      </c>
      <c r="AO190" s="55">
        <f>$AO189+$AM190</f>
        <v/>
      </c>
      <c r="AP190" s="55">
        <f>SUMIFS(tblMiningDaily[GC_Drill_m],tblMiningDaily[Date],$A190)</f>
        <v/>
      </c>
      <c r="AQ190" s="55">
        <f>IF($B190=$B189,$AQ189,0)+$AP190</f>
        <v/>
      </c>
      <c r="AR190" s="55">
        <f>$AR189+$AP190</f>
        <v/>
      </c>
      <c r="AS190" s="55">
        <f>SUMIFS(tblMiningDaily[Blast_t],tblMiningDaily[Date],$A190)</f>
        <v/>
      </c>
      <c r="AT190" s="55">
        <f>IF($B190=$B189,$AT189,0)+$AS190</f>
        <v/>
      </c>
      <c r="AU190" s="55">
        <f>$AU189+$AS190</f>
        <v/>
      </c>
      <c r="AV190" s="55">
        <f>SUMIFS(tblMiningDaily[Explosives_kg],tblMiningDaily[Date],$A190)</f>
        <v/>
      </c>
      <c r="AW190" s="55">
        <f>IF($B190=$B189,$AW189,0)+$AV190</f>
        <v/>
      </c>
      <c r="AX190" s="55">
        <f>$AX189+$AV190</f>
        <v/>
      </c>
      <c r="AY190" s="56">
        <f>IFERROR(IF(($AS190)&gt;0,($AV190)/($AS190),""),"")</f>
        <v/>
      </c>
      <c r="AZ190" s="56">
        <f>IFERROR(IF(($AT190)&gt;0,($AW190)/($AT190),""),"")</f>
        <v/>
      </c>
      <c r="BA190" s="56">
        <f>IFERROR(IF(($AU190)&gt;0,($AX190)/($AU190),""),"")</f>
        <v/>
      </c>
      <c r="BB190" s="55">
        <f>SUMIFS(tblMiningDaily[Diesel_L],tblMiningDaily[Date],$A190)</f>
        <v/>
      </c>
      <c r="BC190" s="55">
        <f>IF($B190=$B189,$BC189,0)+$BB190</f>
        <v/>
      </c>
      <c r="BD190" s="55">
        <f>$BD189+$BB190</f>
        <v/>
      </c>
      <c r="BE190" s="55">
        <f>SUMIFS(tblMiningDaily[Dewatering_m3],tblMiningDaily[Date],$A190)</f>
        <v/>
      </c>
      <c r="BF190" s="55">
        <f>IF($B190=$B189,$BF189,0)+$BE190</f>
        <v/>
      </c>
      <c r="BG190" s="55">
        <f>$BG189+$BE190</f>
        <v/>
      </c>
      <c r="BH190" s="57">
        <f>SUMIFS(tblFleet[Calendar_h],tblFleet[Date],$A190,tblFleet[Equipment_Class],"Excavator")</f>
        <v/>
      </c>
      <c r="BI190" s="57">
        <f>IF($B190=$B189,$BI189,0)+$BH190</f>
        <v/>
      </c>
      <c r="BJ190" s="57">
        <f>$BJ189+$BH190</f>
        <v/>
      </c>
      <c r="BK190" s="57">
        <f>SUMIFS(tblFleet[Available_h],tblFleet[Date],$A190,tblFleet[Equipment_Class],"Excavator")</f>
        <v/>
      </c>
      <c r="BL190" s="57">
        <f>IF($B190=$B189,$BL189,0)+$BK190</f>
        <v/>
      </c>
      <c r="BM190" s="57">
        <f>$BM189+$BK190</f>
        <v/>
      </c>
      <c r="BN190" s="57">
        <f>SUMIFS(tblFleet[Operating_h],tblFleet[Date],$A190,tblFleet[Equipment_Class],"Excavator")</f>
        <v/>
      </c>
      <c r="BO190" s="57">
        <f>IF($B190=$B189,$BO189,0)+$BN190</f>
        <v/>
      </c>
      <c r="BP190" s="57">
        <f>$BP189+$BN190</f>
        <v/>
      </c>
      <c r="BQ190" s="67">
        <f>IFERROR(IF(($BH190)&gt;0,($BK190)/($BH190),""),"")</f>
        <v/>
      </c>
      <c r="BR190" s="67">
        <f>IFERROR(IF(($BI190)&gt;0,($BL190)/($BI190),""),"")</f>
        <v/>
      </c>
      <c r="BS190" s="67">
        <f>IFERROR(IF(($BJ190)&gt;0,($BM190)/($BJ190),""),"")</f>
        <v/>
      </c>
      <c r="BT190" s="67">
        <f>IFERROR(IF(($BK190)&gt;0,($BN190)/($BK190),""),"")</f>
        <v/>
      </c>
      <c r="BU190" s="67">
        <f>IFERROR(IF(($BL190)&gt;0,($BO190)/($BL190),""),"")</f>
        <v/>
      </c>
      <c r="BV190" s="67">
        <f>IFERROR(IF(($BM190)&gt;0,($BP190)/($BM190),""),"")</f>
        <v/>
      </c>
      <c r="BW190" s="57">
        <f>SUMIFS(tblFleet[Calendar_h],tblFleet[Date],$A190,tblFleet[Equipment_Class],"Haul Truck")</f>
        <v/>
      </c>
      <c r="BX190" s="57">
        <f>IF($B190=$B189,$BX189,0)+$BW190</f>
        <v/>
      </c>
      <c r="BY190" s="57">
        <f>$BY189+$BW190</f>
        <v/>
      </c>
      <c r="BZ190" s="57">
        <f>SUMIFS(tblFleet[Available_h],tblFleet[Date],$A190,tblFleet[Equipment_Class],"Haul Truck")</f>
        <v/>
      </c>
      <c r="CA190" s="57">
        <f>IF($B190=$B189,$CA189,0)+$BZ190</f>
        <v/>
      </c>
      <c r="CB190" s="57">
        <f>$CB189+$BZ190</f>
        <v/>
      </c>
      <c r="CC190" s="57">
        <f>SUMIFS(tblFleet[Operating_h],tblFleet[Date],$A190,tblFleet[Equipment_Class],"Haul Truck")</f>
        <v/>
      </c>
      <c r="CD190" s="57">
        <f>IF($B190=$B189,$CD189,0)+$CC190</f>
        <v/>
      </c>
      <c r="CE190" s="57">
        <f>$CE189+$CC190</f>
        <v/>
      </c>
      <c r="CF190" s="67">
        <f>IFERROR(IF(($BW190)&gt;0,($BZ190)/($BW190),""),"")</f>
        <v/>
      </c>
      <c r="CG190" s="67">
        <f>IFERROR(IF(($BX190)&gt;0,($CA190)/($BX190),""),"")</f>
        <v/>
      </c>
      <c r="CH190" s="67">
        <f>IFERROR(IF(($BY190)&gt;0,($CB190)/($BY190),""),"")</f>
        <v/>
      </c>
      <c r="CI190" s="67">
        <f>IFERROR(IF(($BZ190)&gt;0,($CC190)/($BZ190),""),"")</f>
        <v/>
      </c>
      <c r="CJ190" s="67">
        <f>IFERROR(IF(($CA190)&gt;0,($CD190)/($CA190),""),"")</f>
        <v/>
      </c>
      <c r="CK190" s="67">
        <f>IFERROR(IF(($CB190)&gt;0,($CE190)/($CB190),""),"")</f>
        <v/>
      </c>
      <c r="CL190" s="55">
        <f>IFERROR(IF(($BN190)&gt;0,($X190+$AD190)/($BN190),""),"")</f>
        <v/>
      </c>
      <c r="CM190" s="55">
        <f>IFERROR(IF(($BO190)&gt;0,($Y190+$AE190)/($BO190),""),"")</f>
        <v/>
      </c>
      <c r="CN190" s="55">
        <f>IFERROR(IF(($BP190)&gt;0,($Z190+$AF190)/($BP190),""),"")</f>
        <v/>
      </c>
      <c r="CO190" s="55">
        <f>IFERROR(IF(($CC190)&gt;0,($X190+$AD190)/($CC190),""),"")</f>
        <v/>
      </c>
      <c r="CP190" s="55">
        <f>IFERROR(IF(($CD190)&gt;0,($Y190+$AE190)/($CD190),""),"")</f>
        <v/>
      </c>
      <c r="CQ190" s="55">
        <f>IFERROR(IF(($CE190)&gt;0,($Z190+$AF190)/($CE190),""),"")</f>
        <v/>
      </c>
      <c r="CR190" s="55">
        <f>SUMIFS(tblPlant[Crushed_t],tblPlant[Date],$A190)</f>
        <v/>
      </c>
      <c r="CS190" s="55">
        <f>IF($B190=$B189,$CS189,0)+$CR190</f>
        <v/>
      </c>
      <c r="CT190" s="55">
        <f>$CT189+$CR190</f>
        <v/>
      </c>
      <c r="CU190" s="55">
        <f>SUMIFS(tblPlant[Milled_t],tblPlant[Date],$A190)</f>
        <v/>
      </c>
      <c r="CV190" s="55">
        <f>IF($B190=$B189,$CV189,0)+$CU190</f>
        <v/>
      </c>
      <c r="CW190" s="55">
        <f>$CW189+$CU190</f>
        <v/>
      </c>
      <c r="CX190" s="55">
        <f>SUMIFS(tblPlant[Feed_oz],tblPlant[Date],$A190)</f>
        <v/>
      </c>
      <c r="CY190" s="55">
        <f>IF($B190=$B189,$CY189,0)+$CX190</f>
        <v/>
      </c>
      <c r="CZ190" s="55">
        <f>$CZ189+$CX190</f>
        <v/>
      </c>
      <c r="DA190" s="55">
        <f>SUMIFS(tblPlant[Tails_oz],tblPlant[Date],$A190)</f>
        <v/>
      </c>
      <c r="DB190" s="55">
        <f>IF($B190=$B189,$DB189,0)+$DA190</f>
        <v/>
      </c>
      <c r="DC190" s="55">
        <f>$DC189+$DA190</f>
        <v/>
      </c>
      <c r="DD190" s="55">
        <f>SUMIFS(tblPlant[Recovered_oz],tblPlant[Date],$A190)</f>
        <v/>
      </c>
      <c r="DE190" s="55">
        <f>IF($B190=$B189,$DE189,0)+$DD190</f>
        <v/>
      </c>
      <c r="DF190" s="55">
        <f>$DF189+$DD190</f>
        <v/>
      </c>
      <c r="DG190" s="55">
        <f>SUMIFS(tblPlant[Milled_t],tblPlant[Date],$A190,tblPlant[Head_Grade_gpt],"&lt;&gt;")</f>
        <v/>
      </c>
      <c r="DH190" s="55">
        <f>IF($B190=$B189,$DH189,0)+$DG190</f>
        <v/>
      </c>
      <c r="DI190" s="55">
        <f>$DI189+$DG190</f>
        <v/>
      </c>
      <c r="DJ190" s="55">
        <f>SUMIFS(tblPlant[Milled_t],tblPlant[Date],$A190,tblPlant[Tails_Grade_gpt],"&lt;&gt;")</f>
        <v/>
      </c>
      <c r="DK190" s="55">
        <f>IF($B190=$B189,$DK189,0)+$DJ190</f>
        <v/>
      </c>
      <c r="DL190" s="55">
        <f>$DL189+$DJ190</f>
        <v/>
      </c>
      <c r="DM190" s="55">
        <f>SUMIFS(tblPlant[Feed_oz],tblPlant[Date],$A190,tblPlant[Tails_Grade_gpt],"&lt;&gt;")</f>
        <v/>
      </c>
      <c r="DN190" s="55">
        <f>IF($B190=$B189,$DN189,0)+$DM190</f>
        <v/>
      </c>
      <c r="DO190" s="55">
        <f>$DO189+$DM190</f>
        <v/>
      </c>
      <c r="DP190" s="55">
        <f>SUMIFS(tblPlant[Milled_t],tblPlant[Date],$A190,tblPlant[Mill_Run_h],"&lt;&gt;")</f>
        <v/>
      </c>
      <c r="DQ190" s="55">
        <f>IF($B190=$B189,$DQ189,0)+$DP190</f>
        <v/>
      </c>
      <c r="DR190" s="55">
        <f>$DR189+$DP190</f>
        <v/>
      </c>
      <c r="DS190" s="56">
        <f>IFERROR(IF(($DG190)&gt;0,($CX190*cfg_TroyOz)/($DG190),""),"")</f>
        <v/>
      </c>
      <c r="DT190" s="56">
        <f>IFERROR(IF(($DH190)&gt;0,($CY190*cfg_TroyOz)/($DH190),""),"")</f>
        <v/>
      </c>
      <c r="DU190" s="56">
        <f>IFERROR(IF(($DI190)&gt;0,($CZ190*cfg_TroyOz)/($DI190),""),"")</f>
        <v/>
      </c>
      <c r="DV190" s="56">
        <f>IFERROR(IF(($DJ190)&gt;0,($DA190*cfg_TroyOz)/($DJ190),""),"")</f>
        <v/>
      </c>
      <c r="DW190" s="56">
        <f>IFERROR(IF(($DK190)&gt;0,($DB190*cfg_TroyOz)/($DK190),""),"")</f>
        <v/>
      </c>
      <c r="DX190" s="56">
        <f>IFERROR(IF(($DL190)&gt;0,($DC190*cfg_TroyOz)/($DL190),""),"")</f>
        <v/>
      </c>
      <c r="DY190" s="67">
        <f>IFERROR(IF(($DM190)&gt;0,($DD190)/($DM190),""),"")</f>
        <v/>
      </c>
      <c r="DZ190" s="67">
        <f>IFERROR(IF(($DN190)&gt;0,($DE190)/($DN190),""),"")</f>
        <v/>
      </c>
      <c r="EA190" s="67">
        <f>IFERROR(IF(($DO190)&gt;0,($DF190)/($DO190),""),"")</f>
        <v/>
      </c>
      <c r="EB190" s="55">
        <f>SUMIFS(tblPlant[Gravity_Gold_oz],tblPlant[Date],$A190)</f>
        <v/>
      </c>
      <c r="EC190" s="55">
        <f>IF($B190=$B189,$EC189,0)+$EB190</f>
        <v/>
      </c>
      <c r="ED190" s="55">
        <f>$ED189+$EB190</f>
        <v/>
      </c>
      <c r="EE190" s="67">
        <f>IFERROR(IF(($DD190)&gt;0,($EB190)/($DD190),""),"")</f>
        <v/>
      </c>
      <c r="EF190" s="67">
        <f>IFERROR(IF(($DE190)&gt;0,($EC190)/($DE190),""),"")</f>
        <v/>
      </c>
      <c r="EG190" s="67">
        <f>IFERROR(IF(($DF190)&gt;0,($ED190)/($DF190),""),"")</f>
        <v/>
      </c>
      <c r="EH190" s="55">
        <f>SUMIFS(tblPlant[Gold_Poured_oz],tblPlant[Date],$A190)</f>
        <v/>
      </c>
      <c r="EI190" s="55">
        <f>IF($B190=$B189,$EI189,0)+$EH190</f>
        <v/>
      </c>
      <c r="EJ190" s="55">
        <f>$EJ189+$EH190</f>
        <v/>
      </c>
      <c r="EK190" s="57">
        <f>SUMIFS(tblPlant[Mill_Run_h],tblPlant[Date],$A190)</f>
        <v/>
      </c>
      <c r="EL190" s="57">
        <f>IF($B190=$B189,$EL189,0)+$EK190</f>
        <v/>
      </c>
      <c r="EM190" s="57">
        <f>$EM189+$EK190</f>
        <v/>
      </c>
      <c r="EN190" s="57">
        <f>SUMIFS(tblPlant[Mill_Planned_Maint_h],tblPlant[Date],$A190)</f>
        <v/>
      </c>
      <c r="EO190" s="57">
        <f>IF($B190=$B189,$EO189,0)+$EN190</f>
        <v/>
      </c>
      <c r="EP190" s="57">
        <f>$EP189+$EN190</f>
        <v/>
      </c>
      <c r="EQ190" s="57">
        <f>SUMIFS(tblPlant[Mill_Unplanned_Down_h],tblPlant[Date],$A190)</f>
        <v/>
      </c>
      <c r="ER190" s="57">
        <f>IF($B190=$B189,$ER189,0)+$EQ190</f>
        <v/>
      </c>
      <c r="ES190" s="57">
        <f>$ES189+$EQ190</f>
        <v/>
      </c>
      <c r="ET190" s="57">
        <f>IF(COUNTIFS(tblPlant[Date],$A190,tblPlant[Mill_Run_h],"&lt;&gt;")+COUNTIFS(tblPlant[Date],$A190,tblPlant[Mill_Planned_Maint_h],"&lt;&gt;")+COUNTIFS(tblPlant[Date],$A190,tblPlant[Mill_Unplanned_Down_h],"&lt;&gt;")&gt;0,cfg_HoursPerDay,0)</f>
        <v/>
      </c>
      <c r="EU190" s="57">
        <f>IF($B190=$B189,$EU189,0)+$ET190</f>
        <v/>
      </c>
      <c r="EV190" s="57">
        <f>$EV189+$ET190</f>
        <v/>
      </c>
      <c r="EW190" s="57">
        <f>SUMIFS(tblPlant[Crusher_Run_h],tblPlant[Date],$A190)</f>
        <v/>
      </c>
      <c r="EX190" s="57">
        <f>IF($B190=$B189,$EX189,0)+$EW190</f>
        <v/>
      </c>
      <c r="EY190" s="57">
        <f>$EY189+$EW190</f>
        <v/>
      </c>
      <c r="EZ190" s="55">
        <f>IFERROR(IF(($EK190)&gt;0,($DP190)/($EK190),""),"")</f>
        <v/>
      </c>
      <c r="FA190" s="55">
        <f>IFERROR(IF(($EL190)&gt;0,($DQ190)/($EL190),""),"")</f>
        <v/>
      </c>
      <c r="FB190" s="55">
        <f>IFERROR(IF(($EM190)&gt;0,($DR190)/($EM190),""),"")</f>
        <v/>
      </c>
      <c r="FC190" s="67">
        <f>IFERROR(IF(($ET190)&gt;0,($ET190-$EN190-$EQ190)/($ET190),""),"")</f>
        <v/>
      </c>
      <c r="FD190" s="67">
        <f>IFERROR(IF(($EU190)&gt;0,($EU190-$EO190-$ER190)/($EU190),""),"")</f>
        <v/>
      </c>
      <c r="FE190" s="67">
        <f>IFERROR(IF(($EV190)&gt;0,($EV190-$EP190-$ES190)/($EV190),""),"")</f>
        <v/>
      </c>
      <c r="FF190" s="67">
        <f>IFERROR(IF(($ET190-$EN190-$EQ190)&gt;0,($EK190)/($ET190-$EN190-$EQ190),""),"")</f>
        <v/>
      </c>
      <c r="FG190" s="67">
        <f>IFERROR(IF(($EU190-$EO190-$ER190)&gt;0,($EL190)/($EU190-$EO190-$ER190),""),"")</f>
        <v/>
      </c>
      <c r="FH190" s="67">
        <f>IFERROR(IF(($EV190-$EP190-$ES190)&gt;0,($EM190)/($EV190-$EP190-$ES190),""),"")</f>
        <v/>
      </c>
      <c r="FI190" s="55">
        <f>SUMIFS(tblPlant[Cyanide_kg],tblPlant[Date],$A190)</f>
        <v/>
      </c>
      <c r="FJ190" s="55">
        <f>IF($B190=$B189,$FJ189,0)+$FI190</f>
        <v/>
      </c>
      <c r="FK190" s="55">
        <f>$FK189+$FI190</f>
        <v/>
      </c>
      <c r="FL190" s="55">
        <f>SUMIFS(tblPlant[Lime_kg],tblPlant[Date],$A190)</f>
        <v/>
      </c>
      <c r="FM190" s="55">
        <f>IF($B190=$B189,$FM189,0)+$FL190</f>
        <v/>
      </c>
      <c r="FN190" s="55">
        <f>$FN189+$FL190</f>
        <v/>
      </c>
      <c r="FO190" s="55">
        <f>SUMIFS(tblPlant[Grinding_Media_kg],tblPlant[Date],$A190)</f>
        <v/>
      </c>
      <c r="FP190" s="55">
        <f>IF($B190=$B189,$FP189,0)+$FO190</f>
        <v/>
      </c>
      <c r="FQ190" s="55">
        <f>$FQ189+$FO190</f>
        <v/>
      </c>
      <c r="FR190" s="55">
        <f>SUMIFS(tblPlant[Power_kWh],tblPlant[Date],$A190)</f>
        <v/>
      </c>
      <c r="FS190" s="55">
        <f>IF($B190=$B189,$FS189,0)+$FR190</f>
        <v/>
      </c>
      <c r="FT190" s="55">
        <f>$FT189+$FR190</f>
        <v/>
      </c>
      <c r="FU190" s="55">
        <f>SUMIFS(tblPlant[Raw_Water_m3],tblPlant[Date],$A190)</f>
        <v/>
      </c>
      <c r="FV190" s="55">
        <f>IF($B190=$B189,$FV189,0)+$FU190</f>
        <v/>
      </c>
      <c r="FW190" s="55">
        <f>$FW189+$FU190</f>
        <v/>
      </c>
      <c r="FX190" s="56">
        <f>IFERROR(IF(($CU190)&gt;0,($FI190)/($CU190),""),"")</f>
        <v/>
      </c>
      <c r="FY190" s="56">
        <f>IFERROR(IF(($CV190)&gt;0,($FJ190)/($CV190),""),"")</f>
        <v/>
      </c>
      <c r="FZ190" s="56">
        <f>IFERROR(IF(($CW190)&gt;0,($FK190)/($CW190),""),"")</f>
        <v/>
      </c>
      <c r="GA190" s="56">
        <f>IFERROR(IF(($CU190)&gt;0,($FL190)/($CU190),""),"")</f>
        <v/>
      </c>
      <c r="GB190" s="56">
        <f>IFERROR(IF(($CV190)&gt;0,($FM190)/($CV190),""),"")</f>
        <v/>
      </c>
      <c r="GC190" s="56">
        <f>IFERROR(IF(($CW190)&gt;0,($FN190)/($CW190),""),"")</f>
        <v/>
      </c>
      <c r="GD190" s="56">
        <f>IFERROR(IF(($CU190)&gt;0,($FO190)/($CU190),""),"")</f>
        <v/>
      </c>
      <c r="GE190" s="56">
        <f>IFERROR(IF(($CV190)&gt;0,($FP190)/($CV190),""),"")</f>
        <v/>
      </c>
      <c r="GF190" s="56">
        <f>IFERROR(IF(($CW190)&gt;0,($FQ190)/($CW190),""),"")</f>
        <v/>
      </c>
      <c r="GG190" s="79">
        <f>IFERROR(IF(($CU190)&gt;0,($FR190)/($CU190),""),"")</f>
        <v/>
      </c>
      <c r="GH190" s="79">
        <f>IFERROR(IF(($CV190)&gt;0,($FS190)/($CV190),""),"")</f>
        <v/>
      </c>
      <c r="GI190" s="79">
        <f>IFERROR(IF(($CW190)&gt;0,($FT190)/($CW190),""),"")</f>
        <v/>
      </c>
      <c r="GJ190" s="56">
        <f>IFERROR(IF(($CU190)&gt;0,($FU190)/($CU190),""),"")</f>
        <v/>
      </c>
      <c r="GK190" s="56">
        <f>IFERROR(IF(($CV190)&gt;0,($FV190)/($CV190),""),"")</f>
        <v/>
      </c>
      <c r="GL190" s="56">
        <f>IFERROR(IF(($CW190)&gt;0,($FW190)/($CW190),""),"")</f>
        <v/>
      </c>
      <c r="GM190" s="55">
        <f>IF(SUMIFS(tblPlant[GIC_oz],tblPlant[Date],$A190)&gt;0,SUMIFS(tblPlant[GIC_oz],tblPlant[Date],$A190),"")</f>
        <v/>
      </c>
      <c r="GN190" s="55">
        <f>SUMIFS(tblGold[Gold_oz],tblGold[Date],$A190,tblGold[Type],"Shipment")</f>
        <v/>
      </c>
      <c r="GO190" s="55">
        <f>IF($B190=$B189,$GO189,0)+$GN190</f>
        <v/>
      </c>
      <c r="GP190" s="55">
        <f>$GP189+$GN190</f>
        <v/>
      </c>
      <c r="GQ190" s="55">
        <f>SUMIFS(tblGold[Gold_oz],tblGold[Date],$A190,tblGold[Type],"Sale")</f>
        <v/>
      </c>
      <c r="GR190" s="55">
        <f>IF($B190=$B189,$GR189,0)+$GQ190</f>
        <v/>
      </c>
      <c r="GS190" s="55">
        <f>$GS189+$GQ190</f>
        <v/>
      </c>
      <c r="GT190" s="55">
        <f>SUMIFS(tblGold[Dore_kg],tblGold[Date],$A190,tblGold[Type],"Shipment")</f>
        <v/>
      </c>
      <c r="GU190" s="55">
        <f>IF($B190=$B189,$GU189,0)+$GT190</f>
        <v/>
      </c>
      <c r="GV190" s="55">
        <f>$GV189+$GT190</f>
        <v/>
      </c>
      <c r="GW190" s="57">
        <f>SUMIFS(tblSafety[Hours_Total],tblSafety[Date],$A190)</f>
        <v/>
      </c>
      <c r="GX190" s="57">
        <f>IF($B190=$B189,$GX189,0)+$GW190</f>
        <v/>
      </c>
      <c r="GY190" s="57">
        <f>$GY189+$GW190</f>
        <v/>
      </c>
      <c r="GZ190" s="62">
        <f>SUMIFS(tblSafety[Fatality],tblSafety[Date],$A190)</f>
        <v/>
      </c>
      <c r="HA190" s="62">
        <f>IF($B190=$B189,$HA189,0)+$GZ190</f>
        <v/>
      </c>
      <c r="HB190" s="62">
        <f>$HB189+$GZ190</f>
        <v/>
      </c>
      <c r="HC190" s="62">
        <f>SUMIFS(tblSafety[LTI],tblSafety[Date],$A190)</f>
        <v/>
      </c>
      <c r="HD190" s="62">
        <f>IF($B190=$B189,$HD189,0)+$HC190</f>
        <v/>
      </c>
      <c r="HE190" s="62">
        <f>$HE189+$HC190</f>
        <v/>
      </c>
      <c r="HF190" s="62">
        <f>SUMIFS(tblSafety[RWI],tblSafety[Date],$A190)</f>
        <v/>
      </c>
      <c r="HG190" s="62">
        <f>IF($B190=$B189,$HG189,0)+$HF190</f>
        <v/>
      </c>
      <c r="HH190" s="62">
        <f>$HH189+$HF190</f>
        <v/>
      </c>
      <c r="HI190" s="62">
        <f>SUMIFS(tblSafety[MTI],tblSafety[Date],$A190)</f>
        <v/>
      </c>
      <c r="HJ190" s="62">
        <f>IF($B190=$B189,$HJ189,0)+$HI190</f>
        <v/>
      </c>
      <c r="HK190" s="62">
        <f>$HK189+$HI190</f>
        <v/>
      </c>
      <c r="HL190" s="62">
        <f>SUMIFS(tblSafety[FAI],tblSafety[Date],$A190)</f>
        <v/>
      </c>
      <c r="HM190" s="62">
        <f>IF($B190=$B189,$HM189,0)+$HL190</f>
        <v/>
      </c>
      <c r="HN190" s="62">
        <f>$HN189+$HL190</f>
        <v/>
      </c>
      <c r="HO190" s="62">
        <f>SUMIFS(tblSafety[Recordables],tblSafety[Date],$A190)</f>
        <v/>
      </c>
      <c r="HP190" s="62">
        <f>IF($B190=$B189,$HP189,0)+$HO190</f>
        <v/>
      </c>
      <c r="HQ190" s="62">
        <f>$HQ189+$HO190</f>
        <v/>
      </c>
      <c r="HR190" s="62">
        <f>SUMIFS(tblSafety[Near_Miss],tblSafety[Date],$A190)</f>
        <v/>
      </c>
      <c r="HS190" s="62">
        <f>IF($B190=$B189,$HS189,0)+$HR190</f>
        <v/>
      </c>
      <c r="HT190" s="62">
        <f>$HT189+$HR190</f>
        <v/>
      </c>
      <c r="HU190" s="62">
        <f>SUMIFS(tblSafety[Hazard_Reports],tblSafety[Date],$A190)</f>
        <v/>
      </c>
      <c r="HV190" s="62">
        <f>IF($B190=$B189,$HV189,0)+$HU190</f>
        <v/>
      </c>
      <c r="HW190" s="62">
        <f>$HW189+$HU190</f>
        <v/>
      </c>
      <c r="HX190" s="62">
        <f>SUMIFS(tblSafety[HPI],tblSafety[Date],$A190)</f>
        <v/>
      </c>
      <c r="HY190" s="62">
        <f>IF($B190=$B189,$HY189,0)+$HX190</f>
        <v/>
      </c>
      <c r="HZ190" s="62">
        <f>$HZ189+$HX190</f>
        <v/>
      </c>
      <c r="IA190" s="62">
        <f>SUMIFS(tblSafety[Env_Incidents],tblSafety[Date],$A190)</f>
        <v/>
      </c>
      <c r="IB190" s="62">
        <f>IF($B190=$B189,$IB189,0)+$IA190</f>
        <v/>
      </c>
      <c r="IC190" s="62">
        <f>$IC189+$IA190</f>
        <v/>
      </c>
      <c r="ID190" s="62">
        <f>SUMIFS(tblSafety[Community_Incidents],tblSafety[Date],$A190)</f>
        <v/>
      </c>
      <c r="IE190" s="62">
        <f>IF($B190=$B189,$IE189,0)+$ID190</f>
        <v/>
      </c>
      <c r="IF190" s="62">
        <f>$IF189+$ID190</f>
        <v/>
      </c>
      <c r="IG190" s="62">
        <f>SUMIFS(tblSafety[Vehicle_Incidents],tblSafety[Date],$A190)</f>
        <v/>
      </c>
      <c r="IH190" s="62">
        <f>IF($B190=$B189,$IH189,0)+$IG190</f>
        <v/>
      </c>
      <c r="II190" s="62">
        <f>$II189+$IG190</f>
        <v/>
      </c>
      <c r="IJ190" s="62">
        <f>SUMIFS(tblSafety[Toolbox_Talks],tblSafety[Date],$A190)</f>
        <v/>
      </c>
      <c r="IK190" s="62">
        <f>IF($B190=$B189,$IK189,0)+$IJ190</f>
        <v/>
      </c>
      <c r="IL190" s="62">
        <f>$IL189+$IJ190</f>
        <v/>
      </c>
      <c r="IM190" s="62">
        <f>SUMIFS(tblSafety[Inspections],tblSafety[Date],$A190)</f>
        <v/>
      </c>
      <c r="IN190" s="62">
        <f>IF($B190=$B189,$IN189,0)+$IM190</f>
        <v/>
      </c>
      <c r="IO190" s="62">
        <f>$IO189+$IM190</f>
        <v/>
      </c>
      <c r="IP190" s="56">
        <f>IFERROR((SUMIFS(tblSafety[Recordables],tblSafety[Date],"&gt;="&amp;EDATE($E190,-12),tblSafety[Date],"&lt;="&amp;$A190)+SUMIFS(tblSafetyHistory[Recordables],tblSafetyHistory[Month],"&gt;="&amp;EDATE($E190,-12),tblSafetyHistory[Month],"&lt;"&amp;$E190,tblSafetyHistory[Use],1))/(SUMIFS(tblSafety[Hours_Total],tblSafety[Date],"&gt;="&amp;EDATE($E190,-12),tblSafety[Date],"&lt;="&amp;$A190)+SUMIFS(tblSafetyHistory[Hours_Total],tblSafetyHistory[Month],"&gt;="&amp;EDATE($E190,-12),tblSafetyHistory[Month],"&lt;"&amp;$E190,tblSafetyHistory[Use],1))*cfg_RateBasisHours,"")</f>
        <v/>
      </c>
      <c r="IQ190" s="56">
        <f>IFERROR((SUMIFS(tblSafety[LTI],tblSafety[Date],"&gt;="&amp;EDATE($E190,-12),tblSafety[Date],"&lt;="&amp;$A190)+SUMIFS(tblSafetyHistory[LTI],tblSafetyHistory[Month],"&gt;="&amp;EDATE($E190,-12),tblSafetyHistory[Month],"&lt;"&amp;$E190,tblSafetyHistory[Use],1))/(SUMIFS(tblSafety[Hours_Total],tblSafety[Date],"&gt;="&amp;EDATE($E190,-12),tblSafety[Date],"&lt;="&amp;$A190)+SUMIFS(tblSafetyHistory[Hours_Total],tblSafetyHistory[Month],"&gt;="&amp;EDATE($E190,-12),tblSafetyHistory[Month],"&lt;"&amp;$E190,tblSafetyHistory[Use],1))*cfg_RateBasisHours,"")</f>
        <v/>
      </c>
      <c r="IR190" s="62">
        <f>IF(MAX(N(cfg_PriorLTIDate),_xlfn.MAXIFS(tblSafety[Date],tblSafety[LTI],"&gt;0",tblSafety[Date],"&lt;="&amp;$A190))=0,"",$A190-MAX(N(cfg_PriorLTIDate),_xlfn.MAXIFS(tblSafety[Date],tblSafety[LTI],"&gt;0",tblSafety[Date],"&lt;="&amp;$A190)))</f>
        <v/>
      </c>
      <c r="IS190" s="55">
        <f>SUMIFS(tblBudget[Ore_Mined_t],tblBudget[Month],$E190)</f>
        <v/>
      </c>
      <c r="IT190" s="55">
        <f>$IS190*$C190/$D190</f>
        <v/>
      </c>
      <c r="IU190" s="55">
        <f>SUMIFS(tblBudget[Ore_Mined_t],tblBudget[Month],"&lt;"&amp;$E190)+$IT190</f>
        <v/>
      </c>
      <c r="IV190" s="55">
        <f>SUMIFS(tblBudget[Ore_oz],tblBudget[Month],$E190)</f>
        <v/>
      </c>
      <c r="IW190" s="55">
        <f>$IV190*$C190/$D190</f>
        <v/>
      </c>
      <c r="IX190" s="55">
        <f>SUMIFS(tblBudget[Ore_oz],tblBudget[Month],"&lt;"&amp;$E190)+$IW190</f>
        <v/>
      </c>
      <c r="IY190" s="55">
        <f>SUMIFS(tblBudget[Ore_Mined_t],tblBudget[Month],$E190)</f>
        <v/>
      </c>
      <c r="IZ190" s="55">
        <f>$IY190*$C190/$D190</f>
        <v/>
      </c>
      <c r="JA190" s="55">
        <f>SUMIFS(tblBudget[Ore_Mined_t],tblBudget[Month],"&lt;"&amp;$E190)+$IZ190</f>
        <v/>
      </c>
      <c r="JB190" s="56">
        <f>IFERROR(IF(($IY190)&gt;0,($IV190*cfg_TroyOz)/($IY190),""),"")</f>
        <v/>
      </c>
      <c r="JC190" s="56">
        <f>IFERROR(IF(($IZ190)&gt;0,($IW190*cfg_TroyOz)/($IZ190),""),"")</f>
        <v/>
      </c>
      <c r="JD190" s="56">
        <f>IFERROR(IF(($JA190)&gt;0,($IX190*cfg_TroyOz)/($JA190),""),"")</f>
        <v/>
      </c>
      <c r="JE190" s="55">
        <f>SUMIFS(tblBudget[Waste_t],tblBudget[Month],$E190)</f>
        <v/>
      </c>
      <c r="JF190" s="55">
        <f>$JE190*$C190/$D190</f>
        <v/>
      </c>
      <c r="JG190" s="55">
        <f>SUMIFS(tblBudget[Waste_t],tblBudget[Month],"&lt;"&amp;$E190)+$JF190</f>
        <v/>
      </c>
      <c r="JH190" s="55">
        <f>SUMIFS(tblBudget[TMM_t],tblBudget[Month],$E190)</f>
        <v/>
      </c>
      <c r="JI190" s="55">
        <f>$JH190*$C190/$D190</f>
        <v/>
      </c>
      <c r="JJ190" s="55">
        <f>SUMIFS(tblBudget[TMM_t],tblBudget[Month],"&lt;"&amp;$E190)+$JI190</f>
        <v/>
      </c>
      <c r="JK190" s="56">
        <f>IFERROR(IF(($IS190)&gt;0,($JE190)/($IS190),""),"")</f>
        <v/>
      </c>
      <c r="JL190" s="56">
        <f>IFERROR(IF(($IT190)&gt;0,($JF190)/($IT190),""),"")</f>
        <v/>
      </c>
      <c r="JM190" s="56">
        <f>IFERROR(IF(($IU190)&gt;0,($JG190)/($IU190),""),"")</f>
        <v/>
      </c>
      <c r="JN190" s="55">
        <f>SUMIFS(tblBudget[Drill_m],tblBudget[Month],$E190)</f>
        <v/>
      </c>
      <c r="JO190" s="55">
        <f>$JN190*$C190/$D190</f>
        <v/>
      </c>
      <c r="JP190" s="55">
        <f>SUMIFS(tblBudget[Drill_m],tblBudget[Month],"&lt;"&amp;$E190)+$JO190</f>
        <v/>
      </c>
      <c r="JQ190" s="55">
        <f>SUMIFS(tblBudget[Diesel_L],tblBudget[Month],$E190)</f>
        <v/>
      </c>
      <c r="JR190" s="55">
        <f>$JQ190*$C190/$D190</f>
        <v/>
      </c>
      <c r="JS190" s="55">
        <f>SUMIFS(tblBudget[Diesel_L],tblBudget[Month],"&lt;"&amp;$E190)+$JR190</f>
        <v/>
      </c>
      <c r="JT190" s="55">
        <f>SUMIFS(tblBudget[Milled_t],tblBudget[Month],$E190)</f>
        <v/>
      </c>
      <c r="JU190" s="55">
        <f>$JT190*$C190/$D190</f>
        <v/>
      </c>
      <c r="JV190" s="55">
        <f>SUMIFS(tblBudget[Milled_t],tblBudget[Month],"&lt;"&amp;$E190)+$JU190</f>
        <v/>
      </c>
      <c r="JW190" s="55">
        <f>SUMIFS(tblBudget[Feed_oz],tblBudget[Month],$E190)</f>
        <v/>
      </c>
      <c r="JX190" s="55">
        <f>$JW190*$C190/$D190</f>
        <v/>
      </c>
      <c r="JY190" s="55">
        <f>SUMIFS(tblBudget[Feed_oz],tblBudget[Month],"&lt;"&amp;$E190)+$JX190</f>
        <v/>
      </c>
      <c r="JZ190" s="55">
        <f>SUMIFS(tblBudget[Recovered_oz],tblBudget[Month],$E190)</f>
        <v/>
      </c>
      <c r="KA190" s="55">
        <f>$JZ190*$C190/$D190</f>
        <v/>
      </c>
      <c r="KB190" s="55">
        <f>SUMIFS(tblBudget[Recovered_oz],tblBudget[Month],"&lt;"&amp;$E190)+$KA190</f>
        <v/>
      </c>
      <c r="KC190" s="55">
        <f>SUMIFS(tblBudget[Milled_t],tblBudget[Month],$E190)</f>
        <v/>
      </c>
      <c r="KD190" s="55">
        <f>$KC190*$C190/$D190</f>
        <v/>
      </c>
      <c r="KE190" s="55">
        <f>SUMIFS(tblBudget[Milled_t],tblBudget[Month],"&lt;"&amp;$E190)+$KD190</f>
        <v/>
      </c>
      <c r="KF190" s="55">
        <f>SUMIFS(tblBudget[Feed_oz],tblBudget[Month],$E190)</f>
        <v/>
      </c>
      <c r="KG190" s="55">
        <f>$KF190*$C190/$D190</f>
        <v/>
      </c>
      <c r="KH190" s="55">
        <f>SUMIFS(tblBudget[Feed_oz],tblBudget[Month],"&lt;"&amp;$E190)+$KG190</f>
        <v/>
      </c>
      <c r="KI190" s="56">
        <f>IFERROR(IF(($KC190)&gt;0,($JW190*cfg_TroyOz)/($KC190),""),"")</f>
        <v/>
      </c>
      <c r="KJ190" s="56">
        <f>IFERROR(IF(($KD190)&gt;0,($JX190*cfg_TroyOz)/($KD190),""),"")</f>
        <v/>
      </c>
      <c r="KK190" s="56">
        <f>IFERROR(IF(($KE190)&gt;0,($JY190*cfg_TroyOz)/($KE190),""),"")</f>
        <v/>
      </c>
      <c r="KL190" s="67">
        <f>IFERROR(IF(($KF190)&gt;0,($JZ190)/($KF190),""),"")</f>
        <v/>
      </c>
      <c r="KM190" s="67">
        <f>IFERROR(IF(($KG190)&gt;0,($KA190)/($KG190),""),"")</f>
        <v/>
      </c>
      <c r="KN190" s="67">
        <f>IFERROR(IF(($KH190)&gt;0,($KB190)/($KH190),""),"")</f>
        <v/>
      </c>
      <c r="KO190" s="55">
        <f>SUMIFS(tblBudget[Gold_Poured_oz],tblBudget[Month],$E190)</f>
        <v/>
      </c>
      <c r="KP190" s="55">
        <f>$KO190*$C190/$D190</f>
        <v/>
      </c>
      <c r="KQ190" s="55">
        <f>SUMIFS(tblBudget[Gold_Poured_oz],tblBudget[Month],"&lt;"&amp;$E190)+$KP190</f>
        <v/>
      </c>
      <c r="KR190" s="57">
        <f>SUMIFS(tblBudget[Hours_Worked],tblBudget[Month],$E190)</f>
        <v/>
      </c>
      <c r="KS190" s="57">
        <f>$KR190*$C190/$D190</f>
        <v/>
      </c>
      <c r="KT190" s="57">
        <f>SUMIFS(tblBudget[Hours_Worked],tblBudget[Month],"&lt;"&amp;$E190)+$KS190</f>
        <v/>
      </c>
    </row>
    <row r="191">
      <c r="A191" s="54" t="n">
        <v>46212</v>
      </c>
      <c r="B191">
        <f>MONTH($A191)</f>
        <v/>
      </c>
      <c r="C191">
        <f>DAY($A191)</f>
        <v/>
      </c>
      <c r="D191">
        <f>DAY(EOMONTH($A191,0))</f>
        <v/>
      </c>
      <c r="E191" s="54">
        <f>DATE(YEAR($A191),MONTH($A191),1)</f>
        <v/>
      </c>
      <c r="F191" s="55">
        <f>SUMIFS(tblMovement[Tonnes_t],tblMovement[Date],$A191,tblMovement[Is_Ore],1,tblMovement[Source_Type],"Pit")</f>
        <v/>
      </c>
      <c r="G191" s="55">
        <f>IF($B191=$B190,$G190,0)+$F191</f>
        <v/>
      </c>
      <c r="H191" s="55">
        <f>$H190+$F191</f>
        <v/>
      </c>
      <c r="I191" s="55">
        <f>SUMIFS(tblMovement[Ore_oz],tblMovement[Date],$A191,tblMovement[Source_Type],"Pit")</f>
        <v/>
      </c>
      <c r="J191" s="55">
        <f>IF($B191=$B190,$J190,0)+$I191</f>
        <v/>
      </c>
      <c r="K191" s="55">
        <f>$K190+$I191</f>
        <v/>
      </c>
      <c r="L191" s="55">
        <f>SUMIFS(tblMovement[Tonnes_t],tblMovement[Date],$A191,tblMovement[Is_Ore],1,tblMovement[Source_Type],"Pit",tblMovement[Grade_gpt],"&lt;&gt;")</f>
        <v/>
      </c>
      <c r="M191" s="55">
        <f>IF($B191=$B190,$M190,0)+$L191</f>
        <v/>
      </c>
      <c r="N191" s="55">
        <f>$N190+$L191</f>
        <v/>
      </c>
      <c r="O191" s="56">
        <f>IFERROR(IF(($L191)&gt;0,($I191*cfg_TroyOz)/($L191),""),"")</f>
        <v/>
      </c>
      <c r="P191" s="56">
        <f>IFERROR(IF(($M191)&gt;0,($J191*cfg_TroyOz)/($M191),""),"")</f>
        <v/>
      </c>
      <c r="Q191" s="56">
        <f>IFERROR(IF(($N191)&gt;0,($K191*cfg_TroyOz)/($N191),""),"")</f>
        <v/>
      </c>
      <c r="R191" s="55">
        <f>$F191-$L191</f>
        <v/>
      </c>
      <c r="S191" s="55">
        <f>IF($B191=$B190,$S190,0)+$R191</f>
        <v/>
      </c>
      <c r="T191" s="55">
        <f>$T190+$R191</f>
        <v/>
      </c>
      <c r="U191" s="55">
        <f>SUMIFS(tblMovement[Tonnes_t],tblMovement[Date],$A191,tblMovement[Is_Ore],0,tblMovement[Source_Type],"Pit")</f>
        <v/>
      </c>
      <c r="V191" s="55">
        <f>IF($B191=$B190,$V190,0)+$U191</f>
        <v/>
      </c>
      <c r="W191" s="55">
        <f>$W190+$U191</f>
        <v/>
      </c>
      <c r="X191" s="55">
        <f>$F191+$U191</f>
        <v/>
      </c>
      <c r="Y191" s="55">
        <f>IF($B191=$B190,$Y190,0)+$X191</f>
        <v/>
      </c>
      <c r="Z191" s="55">
        <f>$Z190+$X191</f>
        <v/>
      </c>
      <c r="AA191" s="56">
        <f>IFERROR(IF(($F191)&gt;0,($U191)/($F191),""),"")</f>
        <v/>
      </c>
      <c r="AB191" s="56">
        <f>IFERROR(IF(($G191)&gt;0,($V191)/($G191),""),"")</f>
        <v/>
      </c>
      <c r="AC191" s="56">
        <f>IFERROR(IF(($H191)&gt;0,($W191)/($H191),""),"")</f>
        <v/>
      </c>
      <c r="AD191" s="55">
        <f>SUMIFS(tblMovement[Tonnes_t],tblMovement[Date],$A191,tblMovement[Source_Type],"Stockpile")</f>
        <v/>
      </c>
      <c r="AE191" s="55">
        <f>IF($B191=$B190,$AE190,0)+$AD191</f>
        <v/>
      </c>
      <c r="AF191" s="55">
        <f>$AF190+$AD191</f>
        <v/>
      </c>
      <c r="AG191" s="55">
        <f>SUMIFS(tblMovement[Tonnes_t],tblMovement[Date],$A191)</f>
        <v/>
      </c>
      <c r="AH191" s="55">
        <f>IF($B191=$B190,$AH190,0)+$AG191</f>
        <v/>
      </c>
      <c r="AI191" s="55">
        <f>$AI190+$AG191</f>
        <v/>
      </c>
      <c r="AJ191" s="55">
        <f>$AG191-$X191-$AD191</f>
        <v/>
      </c>
      <c r="AK191" s="55">
        <f>IF($B191=$B190,$AK190,0)+$AJ191</f>
        <v/>
      </c>
      <c r="AL191" s="55">
        <f>$AL190+$AJ191</f>
        <v/>
      </c>
      <c r="AM191" s="55">
        <f>SUMIFS(tblMiningDaily[Drill_m],tblMiningDaily[Date],$A191)</f>
        <v/>
      </c>
      <c r="AN191" s="55">
        <f>IF($B191=$B190,$AN190,0)+$AM191</f>
        <v/>
      </c>
      <c r="AO191" s="55">
        <f>$AO190+$AM191</f>
        <v/>
      </c>
      <c r="AP191" s="55">
        <f>SUMIFS(tblMiningDaily[GC_Drill_m],tblMiningDaily[Date],$A191)</f>
        <v/>
      </c>
      <c r="AQ191" s="55">
        <f>IF($B191=$B190,$AQ190,0)+$AP191</f>
        <v/>
      </c>
      <c r="AR191" s="55">
        <f>$AR190+$AP191</f>
        <v/>
      </c>
      <c r="AS191" s="55">
        <f>SUMIFS(tblMiningDaily[Blast_t],tblMiningDaily[Date],$A191)</f>
        <v/>
      </c>
      <c r="AT191" s="55">
        <f>IF($B191=$B190,$AT190,0)+$AS191</f>
        <v/>
      </c>
      <c r="AU191" s="55">
        <f>$AU190+$AS191</f>
        <v/>
      </c>
      <c r="AV191" s="55">
        <f>SUMIFS(tblMiningDaily[Explosives_kg],tblMiningDaily[Date],$A191)</f>
        <v/>
      </c>
      <c r="AW191" s="55">
        <f>IF($B191=$B190,$AW190,0)+$AV191</f>
        <v/>
      </c>
      <c r="AX191" s="55">
        <f>$AX190+$AV191</f>
        <v/>
      </c>
      <c r="AY191" s="56">
        <f>IFERROR(IF(($AS191)&gt;0,($AV191)/($AS191),""),"")</f>
        <v/>
      </c>
      <c r="AZ191" s="56">
        <f>IFERROR(IF(($AT191)&gt;0,($AW191)/($AT191),""),"")</f>
        <v/>
      </c>
      <c r="BA191" s="56">
        <f>IFERROR(IF(($AU191)&gt;0,($AX191)/($AU191),""),"")</f>
        <v/>
      </c>
      <c r="BB191" s="55">
        <f>SUMIFS(tblMiningDaily[Diesel_L],tblMiningDaily[Date],$A191)</f>
        <v/>
      </c>
      <c r="BC191" s="55">
        <f>IF($B191=$B190,$BC190,0)+$BB191</f>
        <v/>
      </c>
      <c r="BD191" s="55">
        <f>$BD190+$BB191</f>
        <v/>
      </c>
      <c r="BE191" s="55">
        <f>SUMIFS(tblMiningDaily[Dewatering_m3],tblMiningDaily[Date],$A191)</f>
        <v/>
      </c>
      <c r="BF191" s="55">
        <f>IF($B191=$B190,$BF190,0)+$BE191</f>
        <v/>
      </c>
      <c r="BG191" s="55">
        <f>$BG190+$BE191</f>
        <v/>
      </c>
      <c r="BH191" s="57">
        <f>SUMIFS(tblFleet[Calendar_h],tblFleet[Date],$A191,tblFleet[Equipment_Class],"Excavator")</f>
        <v/>
      </c>
      <c r="BI191" s="57">
        <f>IF($B191=$B190,$BI190,0)+$BH191</f>
        <v/>
      </c>
      <c r="BJ191" s="57">
        <f>$BJ190+$BH191</f>
        <v/>
      </c>
      <c r="BK191" s="57">
        <f>SUMIFS(tblFleet[Available_h],tblFleet[Date],$A191,tblFleet[Equipment_Class],"Excavator")</f>
        <v/>
      </c>
      <c r="BL191" s="57">
        <f>IF($B191=$B190,$BL190,0)+$BK191</f>
        <v/>
      </c>
      <c r="BM191" s="57">
        <f>$BM190+$BK191</f>
        <v/>
      </c>
      <c r="BN191" s="57">
        <f>SUMIFS(tblFleet[Operating_h],tblFleet[Date],$A191,tblFleet[Equipment_Class],"Excavator")</f>
        <v/>
      </c>
      <c r="BO191" s="57">
        <f>IF($B191=$B190,$BO190,0)+$BN191</f>
        <v/>
      </c>
      <c r="BP191" s="57">
        <f>$BP190+$BN191</f>
        <v/>
      </c>
      <c r="BQ191" s="67">
        <f>IFERROR(IF(($BH191)&gt;0,($BK191)/($BH191),""),"")</f>
        <v/>
      </c>
      <c r="BR191" s="67">
        <f>IFERROR(IF(($BI191)&gt;0,($BL191)/($BI191),""),"")</f>
        <v/>
      </c>
      <c r="BS191" s="67">
        <f>IFERROR(IF(($BJ191)&gt;0,($BM191)/($BJ191),""),"")</f>
        <v/>
      </c>
      <c r="BT191" s="67">
        <f>IFERROR(IF(($BK191)&gt;0,($BN191)/($BK191),""),"")</f>
        <v/>
      </c>
      <c r="BU191" s="67">
        <f>IFERROR(IF(($BL191)&gt;0,($BO191)/($BL191),""),"")</f>
        <v/>
      </c>
      <c r="BV191" s="67">
        <f>IFERROR(IF(($BM191)&gt;0,($BP191)/($BM191),""),"")</f>
        <v/>
      </c>
      <c r="BW191" s="57">
        <f>SUMIFS(tblFleet[Calendar_h],tblFleet[Date],$A191,tblFleet[Equipment_Class],"Haul Truck")</f>
        <v/>
      </c>
      <c r="BX191" s="57">
        <f>IF($B191=$B190,$BX190,0)+$BW191</f>
        <v/>
      </c>
      <c r="BY191" s="57">
        <f>$BY190+$BW191</f>
        <v/>
      </c>
      <c r="BZ191" s="57">
        <f>SUMIFS(tblFleet[Available_h],tblFleet[Date],$A191,tblFleet[Equipment_Class],"Haul Truck")</f>
        <v/>
      </c>
      <c r="CA191" s="57">
        <f>IF($B191=$B190,$CA190,0)+$BZ191</f>
        <v/>
      </c>
      <c r="CB191" s="57">
        <f>$CB190+$BZ191</f>
        <v/>
      </c>
      <c r="CC191" s="57">
        <f>SUMIFS(tblFleet[Operating_h],tblFleet[Date],$A191,tblFleet[Equipment_Class],"Haul Truck")</f>
        <v/>
      </c>
      <c r="CD191" s="57">
        <f>IF($B191=$B190,$CD190,0)+$CC191</f>
        <v/>
      </c>
      <c r="CE191" s="57">
        <f>$CE190+$CC191</f>
        <v/>
      </c>
      <c r="CF191" s="67">
        <f>IFERROR(IF(($BW191)&gt;0,($BZ191)/($BW191),""),"")</f>
        <v/>
      </c>
      <c r="CG191" s="67">
        <f>IFERROR(IF(($BX191)&gt;0,($CA191)/($BX191),""),"")</f>
        <v/>
      </c>
      <c r="CH191" s="67">
        <f>IFERROR(IF(($BY191)&gt;0,($CB191)/($BY191),""),"")</f>
        <v/>
      </c>
      <c r="CI191" s="67">
        <f>IFERROR(IF(($BZ191)&gt;0,($CC191)/($BZ191),""),"")</f>
        <v/>
      </c>
      <c r="CJ191" s="67">
        <f>IFERROR(IF(($CA191)&gt;0,($CD191)/($CA191),""),"")</f>
        <v/>
      </c>
      <c r="CK191" s="67">
        <f>IFERROR(IF(($CB191)&gt;0,($CE191)/($CB191),""),"")</f>
        <v/>
      </c>
      <c r="CL191" s="55">
        <f>IFERROR(IF(($BN191)&gt;0,($X191+$AD191)/($BN191),""),"")</f>
        <v/>
      </c>
      <c r="CM191" s="55">
        <f>IFERROR(IF(($BO191)&gt;0,($Y191+$AE191)/($BO191),""),"")</f>
        <v/>
      </c>
      <c r="CN191" s="55">
        <f>IFERROR(IF(($BP191)&gt;0,($Z191+$AF191)/($BP191),""),"")</f>
        <v/>
      </c>
      <c r="CO191" s="55">
        <f>IFERROR(IF(($CC191)&gt;0,($X191+$AD191)/($CC191),""),"")</f>
        <v/>
      </c>
      <c r="CP191" s="55">
        <f>IFERROR(IF(($CD191)&gt;0,($Y191+$AE191)/($CD191),""),"")</f>
        <v/>
      </c>
      <c r="CQ191" s="55">
        <f>IFERROR(IF(($CE191)&gt;0,($Z191+$AF191)/($CE191),""),"")</f>
        <v/>
      </c>
      <c r="CR191" s="55">
        <f>SUMIFS(tblPlant[Crushed_t],tblPlant[Date],$A191)</f>
        <v/>
      </c>
      <c r="CS191" s="55">
        <f>IF($B191=$B190,$CS190,0)+$CR191</f>
        <v/>
      </c>
      <c r="CT191" s="55">
        <f>$CT190+$CR191</f>
        <v/>
      </c>
      <c r="CU191" s="55">
        <f>SUMIFS(tblPlant[Milled_t],tblPlant[Date],$A191)</f>
        <v/>
      </c>
      <c r="CV191" s="55">
        <f>IF($B191=$B190,$CV190,0)+$CU191</f>
        <v/>
      </c>
      <c r="CW191" s="55">
        <f>$CW190+$CU191</f>
        <v/>
      </c>
      <c r="CX191" s="55">
        <f>SUMIFS(tblPlant[Feed_oz],tblPlant[Date],$A191)</f>
        <v/>
      </c>
      <c r="CY191" s="55">
        <f>IF($B191=$B190,$CY190,0)+$CX191</f>
        <v/>
      </c>
      <c r="CZ191" s="55">
        <f>$CZ190+$CX191</f>
        <v/>
      </c>
      <c r="DA191" s="55">
        <f>SUMIFS(tblPlant[Tails_oz],tblPlant[Date],$A191)</f>
        <v/>
      </c>
      <c r="DB191" s="55">
        <f>IF($B191=$B190,$DB190,0)+$DA191</f>
        <v/>
      </c>
      <c r="DC191" s="55">
        <f>$DC190+$DA191</f>
        <v/>
      </c>
      <c r="DD191" s="55">
        <f>SUMIFS(tblPlant[Recovered_oz],tblPlant[Date],$A191)</f>
        <v/>
      </c>
      <c r="DE191" s="55">
        <f>IF($B191=$B190,$DE190,0)+$DD191</f>
        <v/>
      </c>
      <c r="DF191" s="55">
        <f>$DF190+$DD191</f>
        <v/>
      </c>
      <c r="DG191" s="55">
        <f>SUMIFS(tblPlant[Milled_t],tblPlant[Date],$A191,tblPlant[Head_Grade_gpt],"&lt;&gt;")</f>
        <v/>
      </c>
      <c r="DH191" s="55">
        <f>IF($B191=$B190,$DH190,0)+$DG191</f>
        <v/>
      </c>
      <c r="DI191" s="55">
        <f>$DI190+$DG191</f>
        <v/>
      </c>
      <c r="DJ191" s="55">
        <f>SUMIFS(tblPlant[Milled_t],tblPlant[Date],$A191,tblPlant[Tails_Grade_gpt],"&lt;&gt;")</f>
        <v/>
      </c>
      <c r="DK191" s="55">
        <f>IF($B191=$B190,$DK190,0)+$DJ191</f>
        <v/>
      </c>
      <c r="DL191" s="55">
        <f>$DL190+$DJ191</f>
        <v/>
      </c>
      <c r="DM191" s="55">
        <f>SUMIFS(tblPlant[Feed_oz],tblPlant[Date],$A191,tblPlant[Tails_Grade_gpt],"&lt;&gt;")</f>
        <v/>
      </c>
      <c r="DN191" s="55">
        <f>IF($B191=$B190,$DN190,0)+$DM191</f>
        <v/>
      </c>
      <c r="DO191" s="55">
        <f>$DO190+$DM191</f>
        <v/>
      </c>
      <c r="DP191" s="55">
        <f>SUMIFS(tblPlant[Milled_t],tblPlant[Date],$A191,tblPlant[Mill_Run_h],"&lt;&gt;")</f>
        <v/>
      </c>
      <c r="DQ191" s="55">
        <f>IF($B191=$B190,$DQ190,0)+$DP191</f>
        <v/>
      </c>
      <c r="DR191" s="55">
        <f>$DR190+$DP191</f>
        <v/>
      </c>
      <c r="DS191" s="56">
        <f>IFERROR(IF(($DG191)&gt;0,($CX191*cfg_TroyOz)/($DG191),""),"")</f>
        <v/>
      </c>
      <c r="DT191" s="56">
        <f>IFERROR(IF(($DH191)&gt;0,($CY191*cfg_TroyOz)/($DH191),""),"")</f>
        <v/>
      </c>
      <c r="DU191" s="56">
        <f>IFERROR(IF(($DI191)&gt;0,($CZ191*cfg_TroyOz)/($DI191),""),"")</f>
        <v/>
      </c>
      <c r="DV191" s="56">
        <f>IFERROR(IF(($DJ191)&gt;0,($DA191*cfg_TroyOz)/($DJ191),""),"")</f>
        <v/>
      </c>
      <c r="DW191" s="56">
        <f>IFERROR(IF(($DK191)&gt;0,($DB191*cfg_TroyOz)/($DK191),""),"")</f>
        <v/>
      </c>
      <c r="DX191" s="56">
        <f>IFERROR(IF(($DL191)&gt;0,($DC191*cfg_TroyOz)/($DL191),""),"")</f>
        <v/>
      </c>
      <c r="DY191" s="67">
        <f>IFERROR(IF(($DM191)&gt;0,($DD191)/($DM191),""),"")</f>
        <v/>
      </c>
      <c r="DZ191" s="67">
        <f>IFERROR(IF(($DN191)&gt;0,($DE191)/($DN191),""),"")</f>
        <v/>
      </c>
      <c r="EA191" s="67">
        <f>IFERROR(IF(($DO191)&gt;0,($DF191)/($DO191),""),"")</f>
        <v/>
      </c>
      <c r="EB191" s="55">
        <f>SUMIFS(tblPlant[Gravity_Gold_oz],tblPlant[Date],$A191)</f>
        <v/>
      </c>
      <c r="EC191" s="55">
        <f>IF($B191=$B190,$EC190,0)+$EB191</f>
        <v/>
      </c>
      <c r="ED191" s="55">
        <f>$ED190+$EB191</f>
        <v/>
      </c>
      <c r="EE191" s="67">
        <f>IFERROR(IF(($DD191)&gt;0,($EB191)/($DD191),""),"")</f>
        <v/>
      </c>
      <c r="EF191" s="67">
        <f>IFERROR(IF(($DE191)&gt;0,($EC191)/($DE191),""),"")</f>
        <v/>
      </c>
      <c r="EG191" s="67">
        <f>IFERROR(IF(($DF191)&gt;0,($ED191)/($DF191),""),"")</f>
        <v/>
      </c>
      <c r="EH191" s="55">
        <f>SUMIFS(tblPlant[Gold_Poured_oz],tblPlant[Date],$A191)</f>
        <v/>
      </c>
      <c r="EI191" s="55">
        <f>IF($B191=$B190,$EI190,0)+$EH191</f>
        <v/>
      </c>
      <c r="EJ191" s="55">
        <f>$EJ190+$EH191</f>
        <v/>
      </c>
      <c r="EK191" s="57">
        <f>SUMIFS(tblPlant[Mill_Run_h],tblPlant[Date],$A191)</f>
        <v/>
      </c>
      <c r="EL191" s="57">
        <f>IF($B191=$B190,$EL190,0)+$EK191</f>
        <v/>
      </c>
      <c r="EM191" s="57">
        <f>$EM190+$EK191</f>
        <v/>
      </c>
      <c r="EN191" s="57">
        <f>SUMIFS(tblPlant[Mill_Planned_Maint_h],tblPlant[Date],$A191)</f>
        <v/>
      </c>
      <c r="EO191" s="57">
        <f>IF($B191=$B190,$EO190,0)+$EN191</f>
        <v/>
      </c>
      <c r="EP191" s="57">
        <f>$EP190+$EN191</f>
        <v/>
      </c>
      <c r="EQ191" s="57">
        <f>SUMIFS(tblPlant[Mill_Unplanned_Down_h],tblPlant[Date],$A191)</f>
        <v/>
      </c>
      <c r="ER191" s="57">
        <f>IF($B191=$B190,$ER190,0)+$EQ191</f>
        <v/>
      </c>
      <c r="ES191" s="57">
        <f>$ES190+$EQ191</f>
        <v/>
      </c>
      <c r="ET191" s="57">
        <f>IF(COUNTIFS(tblPlant[Date],$A191,tblPlant[Mill_Run_h],"&lt;&gt;")+COUNTIFS(tblPlant[Date],$A191,tblPlant[Mill_Planned_Maint_h],"&lt;&gt;")+COUNTIFS(tblPlant[Date],$A191,tblPlant[Mill_Unplanned_Down_h],"&lt;&gt;")&gt;0,cfg_HoursPerDay,0)</f>
        <v/>
      </c>
      <c r="EU191" s="57">
        <f>IF($B191=$B190,$EU190,0)+$ET191</f>
        <v/>
      </c>
      <c r="EV191" s="57">
        <f>$EV190+$ET191</f>
        <v/>
      </c>
      <c r="EW191" s="57">
        <f>SUMIFS(tblPlant[Crusher_Run_h],tblPlant[Date],$A191)</f>
        <v/>
      </c>
      <c r="EX191" s="57">
        <f>IF($B191=$B190,$EX190,0)+$EW191</f>
        <v/>
      </c>
      <c r="EY191" s="57">
        <f>$EY190+$EW191</f>
        <v/>
      </c>
      <c r="EZ191" s="55">
        <f>IFERROR(IF(($EK191)&gt;0,($DP191)/($EK191),""),"")</f>
        <v/>
      </c>
      <c r="FA191" s="55">
        <f>IFERROR(IF(($EL191)&gt;0,($DQ191)/($EL191),""),"")</f>
        <v/>
      </c>
      <c r="FB191" s="55">
        <f>IFERROR(IF(($EM191)&gt;0,($DR191)/($EM191),""),"")</f>
        <v/>
      </c>
      <c r="FC191" s="67">
        <f>IFERROR(IF(($ET191)&gt;0,($ET191-$EN191-$EQ191)/($ET191),""),"")</f>
        <v/>
      </c>
      <c r="FD191" s="67">
        <f>IFERROR(IF(($EU191)&gt;0,($EU191-$EO191-$ER191)/($EU191),""),"")</f>
        <v/>
      </c>
      <c r="FE191" s="67">
        <f>IFERROR(IF(($EV191)&gt;0,($EV191-$EP191-$ES191)/($EV191),""),"")</f>
        <v/>
      </c>
      <c r="FF191" s="67">
        <f>IFERROR(IF(($ET191-$EN191-$EQ191)&gt;0,($EK191)/($ET191-$EN191-$EQ191),""),"")</f>
        <v/>
      </c>
      <c r="FG191" s="67">
        <f>IFERROR(IF(($EU191-$EO191-$ER191)&gt;0,($EL191)/($EU191-$EO191-$ER191),""),"")</f>
        <v/>
      </c>
      <c r="FH191" s="67">
        <f>IFERROR(IF(($EV191-$EP191-$ES191)&gt;0,($EM191)/($EV191-$EP191-$ES191),""),"")</f>
        <v/>
      </c>
      <c r="FI191" s="55">
        <f>SUMIFS(tblPlant[Cyanide_kg],tblPlant[Date],$A191)</f>
        <v/>
      </c>
      <c r="FJ191" s="55">
        <f>IF($B191=$B190,$FJ190,0)+$FI191</f>
        <v/>
      </c>
      <c r="FK191" s="55">
        <f>$FK190+$FI191</f>
        <v/>
      </c>
      <c r="FL191" s="55">
        <f>SUMIFS(tblPlant[Lime_kg],tblPlant[Date],$A191)</f>
        <v/>
      </c>
      <c r="FM191" s="55">
        <f>IF($B191=$B190,$FM190,0)+$FL191</f>
        <v/>
      </c>
      <c r="FN191" s="55">
        <f>$FN190+$FL191</f>
        <v/>
      </c>
      <c r="FO191" s="55">
        <f>SUMIFS(tblPlant[Grinding_Media_kg],tblPlant[Date],$A191)</f>
        <v/>
      </c>
      <c r="FP191" s="55">
        <f>IF($B191=$B190,$FP190,0)+$FO191</f>
        <v/>
      </c>
      <c r="FQ191" s="55">
        <f>$FQ190+$FO191</f>
        <v/>
      </c>
      <c r="FR191" s="55">
        <f>SUMIFS(tblPlant[Power_kWh],tblPlant[Date],$A191)</f>
        <v/>
      </c>
      <c r="FS191" s="55">
        <f>IF($B191=$B190,$FS190,0)+$FR191</f>
        <v/>
      </c>
      <c r="FT191" s="55">
        <f>$FT190+$FR191</f>
        <v/>
      </c>
      <c r="FU191" s="55">
        <f>SUMIFS(tblPlant[Raw_Water_m3],tblPlant[Date],$A191)</f>
        <v/>
      </c>
      <c r="FV191" s="55">
        <f>IF($B191=$B190,$FV190,0)+$FU191</f>
        <v/>
      </c>
      <c r="FW191" s="55">
        <f>$FW190+$FU191</f>
        <v/>
      </c>
      <c r="FX191" s="56">
        <f>IFERROR(IF(($CU191)&gt;0,($FI191)/($CU191),""),"")</f>
        <v/>
      </c>
      <c r="FY191" s="56">
        <f>IFERROR(IF(($CV191)&gt;0,($FJ191)/($CV191),""),"")</f>
        <v/>
      </c>
      <c r="FZ191" s="56">
        <f>IFERROR(IF(($CW191)&gt;0,($FK191)/($CW191),""),"")</f>
        <v/>
      </c>
      <c r="GA191" s="56">
        <f>IFERROR(IF(($CU191)&gt;0,($FL191)/($CU191),""),"")</f>
        <v/>
      </c>
      <c r="GB191" s="56">
        <f>IFERROR(IF(($CV191)&gt;0,($FM191)/($CV191),""),"")</f>
        <v/>
      </c>
      <c r="GC191" s="56">
        <f>IFERROR(IF(($CW191)&gt;0,($FN191)/($CW191),""),"")</f>
        <v/>
      </c>
      <c r="GD191" s="56">
        <f>IFERROR(IF(($CU191)&gt;0,($FO191)/($CU191),""),"")</f>
        <v/>
      </c>
      <c r="GE191" s="56">
        <f>IFERROR(IF(($CV191)&gt;0,($FP191)/($CV191),""),"")</f>
        <v/>
      </c>
      <c r="GF191" s="56">
        <f>IFERROR(IF(($CW191)&gt;0,($FQ191)/($CW191),""),"")</f>
        <v/>
      </c>
      <c r="GG191" s="79">
        <f>IFERROR(IF(($CU191)&gt;0,($FR191)/($CU191),""),"")</f>
        <v/>
      </c>
      <c r="GH191" s="79">
        <f>IFERROR(IF(($CV191)&gt;0,($FS191)/($CV191),""),"")</f>
        <v/>
      </c>
      <c r="GI191" s="79">
        <f>IFERROR(IF(($CW191)&gt;0,($FT191)/($CW191),""),"")</f>
        <v/>
      </c>
      <c r="GJ191" s="56">
        <f>IFERROR(IF(($CU191)&gt;0,($FU191)/($CU191),""),"")</f>
        <v/>
      </c>
      <c r="GK191" s="56">
        <f>IFERROR(IF(($CV191)&gt;0,($FV191)/($CV191),""),"")</f>
        <v/>
      </c>
      <c r="GL191" s="56">
        <f>IFERROR(IF(($CW191)&gt;0,($FW191)/($CW191),""),"")</f>
        <v/>
      </c>
      <c r="GM191" s="55">
        <f>IF(SUMIFS(tblPlant[GIC_oz],tblPlant[Date],$A191)&gt;0,SUMIFS(tblPlant[GIC_oz],tblPlant[Date],$A191),"")</f>
        <v/>
      </c>
      <c r="GN191" s="55">
        <f>SUMIFS(tblGold[Gold_oz],tblGold[Date],$A191,tblGold[Type],"Shipment")</f>
        <v/>
      </c>
      <c r="GO191" s="55">
        <f>IF($B191=$B190,$GO190,0)+$GN191</f>
        <v/>
      </c>
      <c r="GP191" s="55">
        <f>$GP190+$GN191</f>
        <v/>
      </c>
      <c r="GQ191" s="55">
        <f>SUMIFS(tblGold[Gold_oz],tblGold[Date],$A191,tblGold[Type],"Sale")</f>
        <v/>
      </c>
      <c r="GR191" s="55">
        <f>IF($B191=$B190,$GR190,0)+$GQ191</f>
        <v/>
      </c>
      <c r="GS191" s="55">
        <f>$GS190+$GQ191</f>
        <v/>
      </c>
      <c r="GT191" s="55">
        <f>SUMIFS(tblGold[Dore_kg],tblGold[Date],$A191,tblGold[Type],"Shipment")</f>
        <v/>
      </c>
      <c r="GU191" s="55">
        <f>IF($B191=$B190,$GU190,0)+$GT191</f>
        <v/>
      </c>
      <c r="GV191" s="55">
        <f>$GV190+$GT191</f>
        <v/>
      </c>
      <c r="GW191" s="57">
        <f>SUMIFS(tblSafety[Hours_Total],tblSafety[Date],$A191)</f>
        <v/>
      </c>
      <c r="GX191" s="57">
        <f>IF($B191=$B190,$GX190,0)+$GW191</f>
        <v/>
      </c>
      <c r="GY191" s="57">
        <f>$GY190+$GW191</f>
        <v/>
      </c>
      <c r="GZ191" s="62">
        <f>SUMIFS(tblSafety[Fatality],tblSafety[Date],$A191)</f>
        <v/>
      </c>
      <c r="HA191" s="62">
        <f>IF($B191=$B190,$HA190,0)+$GZ191</f>
        <v/>
      </c>
      <c r="HB191" s="62">
        <f>$HB190+$GZ191</f>
        <v/>
      </c>
      <c r="HC191" s="62">
        <f>SUMIFS(tblSafety[LTI],tblSafety[Date],$A191)</f>
        <v/>
      </c>
      <c r="HD191" s="62">
        <f>IF($B191=$B190,$HD190,0)+$HC191</f>
        <v/>
      </c>
      <c r="HE191" s="62">
        <f>$HE190+$HC191</f>
        <v/>
      </c>
      <c r="HF191" s="62">
        <f>SUMIFS(tblSafety[RWI],tblSafety[Date],$A191)</f>
        <v/>
      </c>
      <c r="HG191" s="62">
        <f>IF($B191=$B190,$HG190,0)+$HF191</f>
        <v/>
      </c>
      <c r="HH191" s="62">
        <f>$HH190+$HF191</f>
        <v/>
      </c>
      <c r="HI191" s="62">
        <f>SUMIFS(tblSafety[MTI],tblSafety[Date],$A191)</f>
        <v/>
      </c>
      <c r="HJ191" s="62">
        <f>IF($B191=$B190,$HJ190,0)+$HI191</f>
        <v/>
      </c>
      <c r="HK191" s="62">
        <f>$HK190+$HI191</f>
        <v/>
      </c>
      <c r="HL191" s="62">
        <f>SUMIFS(tblSafety[FAI],tblSafety[Date],$A191)</f>
        <v/>
      </c>
      <c r="HM191" s="62">
        <f>IF($B191=$B190,$HM190,0)+$HL191</f>
        <v/>
      </c>
      <c r="HN191" s="62">
        <f>$HN190+$HL191</f>
        <v/>
      </c>
      <c r="HO191" s="62">
        <f>SUMIFS(tblSafety[Recordables],tblSafety[Date],$A191)</f>
        <v/>
      </c>
      <c r="HP191" s="62">
        <f>IF($B191=$B190,$HP190,0)+$HO191</f>
        <v/>
      </c>
      <c r="HQ191" s="62">
        <f>$HQ190+$HO191</f>
        <v/>
      </c>
      <c r="HR191" s="62">
        <f>SUMIFS(tblSafety[Near_Miss],tblSafety[Date],$A191)</f>
        <v/>
      </c>
      <c r="HS191" s="62">
        <f>IF($B191=$B190,$HS190,0)+$HR191</f>
        <v/>
      </c>
      <c r="HT191" s="62">
        <f>$HT190+$HR191</f>
        <v/>
      </c>
      <c r="HU191" s="62">
        <f>SUMIFS(tblSafety[Hazard_Reports],tblSafety[Date],$A191)</f>
        <v/>
      </c>
      <c r="HV191" s="62">
        <f>IF($B191=$B190,$HV190,0)+$HU191</f>
        <v/>
      </c>
      <c r="HW191" s="62">
        <f>$HW190+$HU191</f>
        <v/>
      </c>
      <c r="HX191" s="62">
        <f>SUMIFS(tblSafety[HPI],tblSafety[Date],$A191)</f>
        <v/>
      </c>
      <c r="HY191" s="62">
        <f>IF($B191=$B190,$HY190,0)+$HX191</f>
        <v/>
      </c>
      <c r="HZ191" s="62">
        <f>$HZ190+$HX191</f>
        <v/>
      </c>
      <c r="IA191" s="62">
        <f>SUMIFS(tblSafety[Env_Incidents],tblSafety[Date],$A191)</f>
        <v/>
      </c>
      <c r="IB191" s="62">
        <f>IF($B191=$B190,$IB190,0)+$IA191</f>
        <v/>
      </c>
      <c r="IC191" s="62">
        <f>$IC190+$IA191</f>
        <v/>
      </c>
      <c r="ID191" s="62">
        <f>SUMIFS(tblSafety[Community_Incidents],tblSafety[Date],$A191)</f>
        <v/>
      </c>
      <c r="IE191" s="62">
        <f>IF($B191=$B190,$IE190,0)+$ID191</f>
        <v/>
      </c>
      <c r="IF191" s="62">
        <f>$IF190+$ID191</f>
        <v/>
      </c>
      <c r="IG191" s="62">
        <f>SUMIFS(tblSafety[Vehicle_Incidents],tblSafety[Date],$A191)</f>
        <v/>
      </c>
      <c r="IH191" s="62">
        <f>IF($B191=$B190,$IH190,0)+$IG191</f>
        <v/>
      </c>
      <c r="II191" s="62">
        <f>$II190+$IG191</f>
        <v/>
      </c>
      <c r="IJ191" s="62">
        <f>SUMIFS(tblSafety[Toolbox_Talks],tblSafety[Date],$A191)</f>
        <v/>
      </c>
      <c r="IK191" s="62">
        <f>IF($B191=$B190,$IK190,0)+$IJ191</f>
        <v/>
      </c>
      <c r="IL191" s="62">
        <f>$IL190+$IJ191</f>
        <v/>
      </c>
      <c r="IM191" s="62">
        <f>SUMIFS(tblSafety[Inspections],tblSafety[Date],$A191)</f>
        <v/>
      </c>
      <c r="IN191" s="62">
        <f>IF($B191=$B190,$IN190,0)+$IM191</f>
        <v/>
      </c>
      <c r="IO191" s="62">
        <f>$IO190+$IM191</f>
        <v/>
      </c>
      <c r="IP191" s="56">
        <f>IFERROR((SUMIFS(tblSafety[Recordables],tblSafety[Date],"&gt;="&amp;EDATE($E191,-12),tblSafety[Date],"&lt;="&amp;$A191)+SUMIFS(tblSafetyHistory[Recordables],tblSafetyHistory[Month],"&gt;="&amp;EDATE($E191,-12),tblSafetyHistory[Month],"&lt;"&amp;$E191,tblSafetyHistory[Use],1))/(SUMIFS(tblSafety[Hours_Total],tblSafety[Date],"&gt;="&amp;EDATE($E191,-12),tblSafety[Date],"&lt;="&amp;$A191)+SUMIFS(tblSafetyHistory[Hours_Total],tblSafetyHistory[Month],"&gt;="&amp;EDATE($E191,-12),tblSafetyHistory[Month],"&lt;"&amp;$E191,tblSafetyHistory[Use],1))*cfg_RateBasisHours,"")</f>
        <v/>
      </c>
      <c r="IQ191" s="56">
        <f>IFERROR((SUMIFS(tblSafety[LTI],tblSafety[Date],"&gt;="&amp;EDATE($E191,-12),tblSafety[Date],"&lt;="&amp;$A191)+SUMIFS(tblSafetyHistory[LTI],tblSafetyHistory[Month],"&gt;="&amp;EDATE($E191,-12),tblSafetyHistory[Month],"&lt;"&amp;$E191,tblSafetyHistory[Use],1))/(SUMIFS(tblSafety[Hours_Total],tblSafety[Date],"&gt;="&amp;EDATE($E191,-12),tblSafety[Date],"&lt;="&amp;$A191)+SUMIFS(tblSafetyHistory[Hours_Total],tblSafetyHistory[Month],"&gt;="&amp;EDATE($E191,-12),tblSafetyHistory[Month],"&lt;"&amp;$E191,tblSafetyHistory[Use],1))*cfg_RateBasisHours,"")</f>
        <v/>
      </c>
      <c r="IR191" s="62">
        <f>IF(MAX(N(cfg_PriorLTIDate),_xlfn.MAXIFS(tblSafety[Date],tblSafety[LTI],"&gt;0",tblSafety[Date],"&lt;="&amp;$A191))=0,"",$A191-MAX(N(cfg_PriorLTIDate),_xlfn.MAXIFS(tblSafety[Date],tblSafety[LTI],"&gt;0",tblSafety[Date],"&lt;="&amp;$A191)))</f>
        <v/>
      </c>
      <c r="IS191" s="55">
        <f>SUMIFS(tblBudget[Ore_Mined_t],tblBudget[Month],$E191)</f>
        <v/>
      </c>
      <c r="IT191" s="55">
        <f>$IS191*$C191/$D191</f>
        <v/>
      </c>
      <c r="IU191" s="55">
        <f>SUMIFS(tblBudget[Ore_Mined_t],tblBudget[Month],"&lt;"&amp;$E191)+$IT191</f>
        <v/>
      </c>
      <c r="IV191" s="55">
        <f>SUMIFS(tblBudget[Ore_oz],tblBudget[Month],$E191)</f>
        <v/>
      </c>
      <c r="IW191" s="55">
        <f>$IV191*$C191/$D191</f>
        <v/>
      </c>
      <c r="IX191" s="55">
        <f>SUMIFS(tblBudget[Ore_oz],tblBudget[Month],"&lt;"&amp;$E191)+$IW191</f>
        <v/>
      </c>
      <c r="IY191" s="55">
        <f>SUMIFS(tblBudget[Ore_Mined_t],tblBudget[Month],$E191)</f>
        <v/>
      </c>
      <c r="IZ191" s="55">
        <f>$IY191*$C191/$D191</f>
        <v/>
      </c>
      <c r="JA191" s="55">
        <f>SUMIFS(tblBudget[Ore_Mined_t],tblBudget[Month],"&lt;"&amp;$E191)+$IZ191</f>
        <v/>
      </c>
      <c r="JB191" s="56">
        <f>IFERROR(IF(($IY191)&gt;0,($IV191*cfg_TroyOz)/($IY191),""),"")</f>
        <v/>
      </c>
      <c r="JC191" s="56">
        <f>IFERROR(IF(($IZ191)&gt;0,($IW191*cfg_TroyOz)/($IZ191),""),"")</f>
        <v/>
      </c>
      <c r="JD191" s="56">
        <f>IFERROR(IF(($JA191)&gt;0,($IX191*cfg_TroyOz)/($JA191),""),"")</f>
        <v/>
      </c>
      <c r="JE191" s="55">
        <f>SUMIFS(tblBudget[Waste_t],tblBudget[Month],$E191)</f>
        <v/>
      </c>
      <c r="JF191" s="55">
        <f>$JE191*$C191/$D191</f>
        <v/>
      </c>
      <c r="JG191" s="55">
        <f>SUMIFS(tblBudget[Waste_t],tblBudget[Month],"&lt;"&amp;$E191)+$JF191</f>
        <v/>
      </c>
      <c r="JH191" s="55">
        <f>SUMIFS(tblBudget[TMM_t],tblBudget[Month],$E191)</f>
        <v/>
      </c>
      <c r="JI191" s="55">
        <f>$JH191*$C191/$D191</f>
        <v/>
      </c>
      <c r="JJ191" s="55">
        <f>SUMIFS(tblBudget[TMM_t],tblBudget[Month],"&lt;"&amp;$E191)+$JI191</f>
        <v/>
      </c>
      <c r="JK191" s="56">
        <f>IFERROR(IF(($IS191)&gt;0,($JE191)/($IS191),""),"")</f>
        <v/>
      </c>
      <c r="JL191" s="56">
        <f>IFERROR(IF(($IT191)&gt;0,($JF191)/($IT191),""),"")</f>
        <v/>
      </c>
      <c r="JM191" s="56">
        <f>IFERROR(IF(($IU191)&gt;0,($JG191)/($IU191),""),"")</f>
        <v/>
      </c>
      <c r="JN191" s="55">
        <f>SUMIFS(tblBudget[Drill_m],tblBudget[Month],$E191)</f>
        <v/>
      </c>
      <c r="JO191" s="55">
        <f>$JN191*$C191/$D191</f>
        <v/>
      </c>
      <c r="JP191" s="55">
        <f>SUMIFS(tblBudget[Drill_m],tblBudget[Month],"&lt;"&amp;$E191)+$JO191</f>
        <v/>
      </c>
      <c r="JQ191" s="55">
        <f>SUMIFS(tblBudget[Diesel_L],tblBudget[Month],$E191)</f>
        <v/>
      </c>
      <c r="JR191" s="55">
        <f>$JQ191*$C191/$D191</f>
        <v/>
      </c>
      <c r="JS191" s="55">
        <f>SUMIFS(tblBudget[Diesel_L],tblBudget[Month],"&lt;"&amp;$E191)+$JR191</f>
        <v/>
      </c>
      <c r="JT191" s="55">
        <f>SUMIFS(tblBudget[Milled_t],tblBudget[Month],$E191)</f>
        <v/>
      </c>
      <c r="JU191" s="55">
        <f>$JT191*$C191/$D191</f>
        <v/>
      </c>
      <c r="JV191" s="55">
        <f>SUMIFS(tblBudget[Milled_t],tblBudget[Month],"&lt;"&amp;$E191)+$JU191</f>
        <v/>
      </c>
      <c r="JW191" s="55">
        <f>SUMIFS(tblBudget[Feed_oz],tblBudget[Month],$E191)</f>
        <v/>
      </c>
      <c r="JX191" s="55">
        <f>$JW191*$C191/$D191</f>
        <v/>
      </c>
      <c r="JY191" s="55">
        <f>SUMIFS(tblBudget[Feed_oz],tblBudget[Month],"&lt;"&amp;$E191)+$JX191</f>
        <v/>
      </c>
      <c r="JZ191" s="55">
        <f>SUMIFS(tblBudget[Recovered_oz],tblBudget[Month],$E191)</f>
        <v/>
      </c>
      <c r="KA191" s="55">
        <f>$JZ191*$C191/$D191</f>
        <v/>
      </c>
      <c r="KB191" s="55">
        <f>SUMIFS(tblBudget[Recovered_oz],tblBudget[Month],"&lt;"&amp;$E191)+$KA191</f>
        <v/>
      </c>
      <c r="KC191" s="55">
        <f>SUMIFS(tblBudget[Milled_t],tblBudget[Month],$E191)</f>
        <v/>
      </c>
      <c r="KD191" s="55">
        <f>$KC191*$C191/$D191</f>
        <v/>
      </c>
      <c r="KE191" s="55">
        <f>SUMIFS(tblBudget[Milled_t],tblBudget[Month],"&lt;"&amp;$E191)+$KD191</f>
        <v/>
      </c>
      <c r="KF191" s="55">
        <f>SUMIFS(tblBudget[Feed_oz],tblBudget[Month],$E191)</f>
        <v/>
      </c>
      <c r="KG191" s="55">
        <f>$KF191*$C191/$D191</f>
        <v/>
      </c>
      <c r="KH191" s="55">
        <f>SUMIFS(tblBudget[Feed_oz],tblBudget[Month],"&lt;"&amp;$E191)+$KG191</f>
        <v/>
      </c>
      <c r="KI191" s="56">
        <f>IFERROR(IF(($KC191)&gt;0,($JW191*cfg_TroyOz)/($KC191),""),"")</f>
        <v/>
      </c>
      <c r="KJ191" s="56">
        <f>IFERROR(IF(($KD191)&gt;0,($JX191*cfg_TroyOz)/($KD191),""),"")</f>
        <v/>
      </c>
      <c r="KK191" s="56">
        <f>IFERROR(IF(($KE191)&gt;0,($JY191*cfg_TroyOz)/($KE191),""),"")</f>
        <v/>
      </c>
      <c r="KL191" s="67">
        <f>IFERROR(IF(($KF191)&gt;0,($JZ191)/($KF191),""),"")</f>
        <v/>
      </c>
      <c r="KM191" s="67">
        <f>IFERROR(IF(($KG191)&gt;0,($KA191)/($KG191),""),"")</f>
        <v/>
      </c>
      <c r="KN191" s="67">
        <f>IFERROR(IF(($KH191)&gt;0,($KB191)/($KH191),""),"")</f>
        <v/>
      </c>
      <c r="KO191" s="55">
        <f>SUMIFS(tblBudget[Gold_Poured_oz],tblBudget[Month],$E191)</f>
        <v/>
      </c>
      <c r="KP191" s="55">
        <f>$KO191*$C191/$D191</f>
        <v/>
      </c>
      <c r="KQ191" s="55">
        <f>SUMIFS(tblBudget[Gold_Poured_oz],tblBudget[Month],"&lt;"&amp;$E191)+$KP191</f>
        <v/>
      </c>
      <c r="KR191" s="57">
        <f>SUMIFS(tblBudget[Hours_Worked],tblBudget[Month],$E191)</f>
        <v/>
      </c>
      <c r="KS191" s="57">
        <f>$KR191*$C191/$D191</f>
        <v/>
      </c>
      <c r="KT191" s="57">
        <f>SUMIFS(tblBudget[Hours_Worked],tblBudget[Month],"&lt;"&amp;$E191)+$KS191</f>
        <v/>
      </c>
    </row>
    <row r="192">
      <c r="A192" s="54" t="n">
        <v>46213</v>
      </c>
      <c r="B192">
        <f>MONTH($A192)</f>
        <v/>
      </c>
      <c r="C192">
        <f>DAY($A192)</f>
        <v/>
      </c>
      <c r="D192">
        <f>DAY(EOMONTH($A192,0))</f>
        <v/>
      </c>
      <c r="E192" s="54">
        <f>DATE(YEAR($A192),MONTH($A192),1)</f>
        <v/>
      </c>
      <c r="F192" s="55">
        <f>SUMIFS(tblMovement[Tonnes_t],tblMovement[Date],$A192,tblMovement[Is_Ore],1,tblMovement[Source_Type],"Pit")</f>
        <v/>
      </c>
      <c r="G192" s="55">
        <f>IF($B192=$B191,$G191,0)+$F192</f>
        <v/>
      </c>
      <c r="H192" s="55">
        <f>$H191+$F192</f>
        <v/>
      </c>
      <c r="I192" s="55">
        <f>SUMIFS(tblMovement[Ore_oz],tblMovement[Date],$A192,tblMovement[Source_Type],"Pit")</f>
        <v/>
      </c>
      <c r="J192" s="55">
        <f>IF($B192=$B191,$J191,0)+$I192</f>
        <v/>
      </c>
      <c r="K192" s="55">
        <f>$K191+$I192</f>
        <v/>
      </c>
      <c r="L192" s="55">
        <f>SUMIFS(tblMovement[Tonnes_t],tblMovement[Date],$A192,tblMovement[Is_Ore],1,tblMovement[Source_Type],"Pit",tblMovement[Grade_gpt],"&lt;&gt;")</f>
        <v/>
      </c>
      <c r="M192" s="55">
        <f>IF($B192=$B191,$M191,0)+$L192</f>
        <v/>
      </c>
      <c r="N192" s="55">
        <f>$N191+$L192</f>
        <v/>
      </c>
      <c r="O192" s="56">
        <f>IFERROR(IF(($L192)&gt;0,($I192*cfg_TroyOz)/($L192),""),"")</f>
        <v/>
      </c>
      <c r="P192" s="56">
        <f>IFERROR(IF(($M192)&gt;0,($J192*cfg_TroyOz)/($M192),""),"")</f>
        <v/>
      </c>
      <c r="Q192" s="56">
        <f>IFERROR(IF(($N192)&gt;0,($K192*cfg_TroyOz)/($N192),""),"")</f>
        <v/>
      </c>
      <c r="R192" s="55">
        <f>$F192-$L192</f>
        <v/>
      </c>
      <c r="S192" s="55">
        <f>IF($B192=$B191,$S191,0)+$R192</f>
        <v/>
      </c>
      <c r="T192" s="55">
        <f>$T191+$R192</f>
        <v/>
      </c>
      <c r="U192" s="55">
        <f>SUMIFS(tblMovement[Tonnes_t],tblMovement[Date],$A192,tblMovement[Is_Ore],0,tblMovement[Source_Type],"Pit")</f>
        <v/>
      </c>
      <c r="V192" s="55">
        <f>IF($B192=$B191,$V191,0)+$U192</f>
        <v/>
      </c>
      <c r="W192" s="55">
        <f>$W191+$U192</f>
        <v/>
      </c>
      <c r="X192" s="55">
        <f>$F192+$U192</f>
        <v/>
      </c>
      <c r="Y192" s="55">
        <f>IF($B192=$B191,$Y191,0)+$X192</f>
        <v/>
      </c>
      <c r="Z192" s="55">
        <f>$Z191+$X192</f>
        <v/>
      </c>
      <c r="AA192" s="56">
        <f>IFERROR(IF(($F192)&gt;0,($U192)/($F192),""),"")</f>
        <v/>
      </c>
      <c r="AB192" s="56">
        <f>IFERROR(IF(($G192)&gt;0,($V192)/($G192),""),"")</f>
        <v/>
      </c>
      <c r="AC192" s="56">
        <f>IFERROR(IF(($H192)&gt;0,($W192)/($H192),""),"")</f>
        <v/>
      </c>
      <c r="AD192" s="55">
        <f>SUMIFS(tblMovement[Tonnes_t],tblMovement[Date],$A192,tblMovement[Source_Type],"Stockpile")</f>
        <v/>
      </c>
      <c r="AE192" s="55">
        <f>IF($B192=$B191,$AE191,0)+$AD192</f>
        <v/>
      </c>
      <c r="AF192" s="55">
        <f>$AF191+$AD192</f>
        <v/>
      </c>
      <c r="AG192" s="55">
        <f>SUMIFS(tblMovement[Tonnes_t],tblMovement[Date],$A192)</f>
        <v/>
      </c>
      <c r="AH192" s="55">
        <f>IF($B192=$B191,$AH191,0)+$AG192</f>
        <v/>
      </c>
      <c r="AI192" s="55">
        <f>$AI191+$AG192</f>
        <v/>
      </c>
      <c r="AJ192" s="55">
        <f>$AG192-$X192-$AD192</f>
        <v/>
      </c>
      <c r="AK192" s="55">
        <f>IF($B192=$B191,$AK191,0)+$AJ192</f>
        <v/>
      </c>
      <c r="AL192" s="55">
        <f>$AL191+$AJ192</f>
        <v/>
      </c>
      <c r="AM192" s="55">
        <f>SUMIFS(tblMiningDaily[Drill_m],tblMiningDaily[Date],$A192)</f>
        <v/>
      </c>
      <c r="AN192" s="55">
        <f>IF($B192=$B191,$AN191,0)+$AM192</f>
        <v/>
      </c>
      <c r="AO192" s="55">
        <f>$AO191+$AM192</f>
        <v/>
      </c>
      <c r="AP192" s="55">
        <f>SUMIFS(tblMiningDaily[GC_Drill_m],tblMiningDaily[Date],$A192)</f>
        <v/>
      </c>
      <c r="AQ192" s="55">
        <f>IF($B192=$B191,$AQ191,0)+$AP192</f>
        <v/>
      </c>
      <c r="AR192" s="55">
        <f>$AR191+$AP192</f>
        <v/>
      </c>
      <c r="AS192" s="55">
        <f>SUMIFS(tblMiningDaily[Blast_t],tblMiningDaily[Date],$A192)</f>
        <v/>
      </c>
      <c r="AT192" s="55">
        <f>IF($B192=$B191,$AT191,0)+$AS192</f>
        <v/>
      </c>
      <c r="AU192" s="55">
        <f>$AU191+$AS192</f>
        <v/>
      </c>
      <c r="AV192" s="55">
        <f>SUMIFS(tblMiningDaily[Explosives_kg],tblMiningDaily[Date],$A192)</f>
        <v/>
      </c>
      <c r="AW192" s="55">
        <f>IF($B192=$B191,$AW191,0)+$AV192</f>
        <v/>
      </c>
      <c r="AX192" s="55">
        <f>$AX191+$AV192</f>
        <v/>
      </c>
      <c r="AY192" s="56">
        <f>IFERROR(IF(($AS192)&gt;0,($AV192)/($AS192),""),"")</f>
        <v/>
      </c>
      <c r="AZ192" s="56">
        <f>IFERROR(IF(($AT192)&gt;0,($AW192)/($AT192),""),"")</f>
        <v/>
      </c>
      <c r="BA192" s="56">
        <f>IFERROR(IF(($AU192)&gt;0,($AX192)/($AU192),""),"")</f>
        <v/>
      </c>
      <c r="BB192" s="55">
        <f>SUMIFS(tblMiningDaily[Diesel_L],tblMiningDaily[Date],$A192)</f>
        <v/>
      </c>
      <c r="BC192" s="55">
        <f>IF($B192=$B191,$BC191,0)+$BB192</f>
        <v/>
      </c>
      <c r="BD192" s="55">
        <f>$BD191+$BB192</f>
        <v/>
      </c>
      <c r="BE192" s="55">
        <f>SUMIFS(tblMiningDaily[Dewatering_m3],tblMiningDaily[Date],$A192)</f>
        <v/>
      </c>
      <c r="BF192" s="55">
        <f>IF($B192=$B191,$BF191,0)+$BE192</f>
        <v/>
      </c>
      <c r="BG192" s="55">
        <f>$BG191+$BE192</f>
        <v/>
      </c>
      <c r="BH192" s="57">
        <f>SUMIFS(tblFleet[Calendar_h],tblFleet[Date],$A192,tblFleet[Equipment_Class],"Excavator")</f>
        <v/>
      </c>
      <c r="BI192" s="57">
        <f>IF($B192=$B191,$BI191,0)+$BH192</f>
        <v/>
      </c>
      <c r="BJ192" s="57">
        <f>$BJ191+$BH192</f>
        <v/>
      </c>
      <c r="BK192" s="57">
        <f>SUMIFS(tblFleet[Available_h],tblFleet[Date],$A192,tblFleet[Equipment_Class],"Excavator")</f>
        <v/>
      </c>
      <c r="BL192" s="57">
        <f>IF($B192=$B191,$BL191,0)+$BK192</f>
        <v/>
      </c>
      <c r="BM192" s="57">
        <f>$BM191+$BK192</f>
        <v/>
      </c>
      <c r="BN192" s="57">
        <f>SUMIFS(tblFleet[Operating_h],tblFleet[Date],$A192,tblFleet[Equipment_Class],"Excavator")</f>
        <v/>
      </c>
      <c r="BO192" s="57">
        <f>IF($B192=$B191,$BO191,0)+$BN192</f>
        <v/>
      </c>
      <c r="BP192" s="57">
        <f>$BP191+$BN192</f>
        <v/>
      </c>
      <c r="BQ192" s="67">
        <f>IFERROR(IF(($BH192)&gt;0,($BK192)/($BH192),""),"")</f>
        <v/>
      </c>
      <c r="BR192" s="67">
        <f>IFERROR(IF(($BI192)&gt;0,($BL192)/($BI192),""),"")</f>
        <v/>
      </c>
      <c r="BS192" s="67">
        <f>IFERROR(IF(($BJ192)&gt;0,($BM192)/($BJ192),""),"")</f>
        <v/>
      </c>
      <c r="BT192" s="67">
        <f>IFERROR(IF(($BK192)&gt;0,($BN192)/($BK192),""),"")</f>
        <v/>
      </c>
      <c r="BU192" s="67">
        <f>IFERROR(IF(($BL192)&gt;0,($BO192)/($BL192),""),"")</f>
        <v/>
      </c>
      <c r="BV192" s="67">
        <f>IFERROR(IF(($BM192)&gt;0,($BP192)/($BM192),""),"")</f>
        <v/>
      </c>
      <c r="BW192" s="57">
        <f>SUMIFS(tblFleet[Calendar_h],tblFleet[Date],$A192,tblFleet[Equipment_Class],"Haul Truck")</f>
        <v/>
      </c>
      <c r="BX192" s="57">
        <f>IF($B192=$B191,$BX191,0)+$BW192</f>
        <v/>
      </c>
      <c r="BY192" s="57">
        <f>$BY191+$BW192</f>
        <v/>
      </c>
      <c r="BZ192" s="57">
        <f>SUMIFS(tblFleet[Available_h],tblFleet[Date],$A192,tblFleet[Equipment_Class],"Haul Truck")</f>
        <v/>
      </c>
      <c r="CA192" s="57">
        <f>IF($B192=$B191,$CA191,0)+$BZ192</f>
        <v/>
      </c>
      <c r="CB192" s="57">
        <f>$CB191+$BZ192</f>
        <v/>
      </c>
      <c r="CC192" s="57">
        <f>SUMIFS(tblFleet[Operating_h],tblFleet[Date],$A192,tblFleet[Equipment_Class],"Haul Truck")</f>
        <v/>
      </c>
      <c r="CD192" s="57">
        <f>IF($B192=$B191,$CD191,0)+$CC192</f>
        <v/>
      </c>
      <c r="CE192" s="57">
        <f>$CE191+$CC192</f>
        <v/>
      </c>
      <c r="CF192" s="67">
        <f>IFERROR(IF(($BW192)&gt;0,($BZ192)/($BW192),""),"")</f>
        <v/>
      </c>
      <c r="CG192" s="67">
        <f>IFERROR(IF(($BX192)&gt;0,($CA192)/($BX192),""),"")</f>
        <v/>
      </c>
      <c r="CH192" s="67">
        <f>IFERROR(IF(($BY192)&gt;0,($CB192)/($BY192),""),"")</f>
        <v/>
      </c>
      <c r="CI192" s="67">
        <f>IFERROR(IF(($BZ192)&gt;0,($CC192)/($BZ192),""),"")</f>
        <v/>
      </c>
      <c r="CJ192" s="67">
        <f>IFERROR(IF(($CA192)&gt;0,($CD192)/($CA192),""),"")</f>
        <v/>
      </c>
      <c r="CK192" s="67">
        <f>IFERROR(IF(($CB192)&gt;0,($CE192)/($CB192),""),"")</f>
        <v/>
      </c>
      <c r="CL192" s="55">
        <f>IFERROR(IF(($BN192)&gt;0,($X192+$AD192)/($BN192),""),"")</f>
        <v/>
      </c>
      <c r="CM192" s="55">
        <f>IFERROR(IF(($BO192)&gt;0,($Y192+$AE192)/($BO192),""),"")</f>
        <v/>
      </c>
      <c r="CN192" s="55">
        <f>IFERROR(IF(($BP192)&gt;0,($Z192+$AF192)/($BP192),""),"")</f>
        <v/>
      </c>
      <c r="CO192" s="55">
        <f>IFERROR(IF(($CC192)&gt;0,($X192+$AD192)/($CC192),""),"")</f>
        <v/>
      </c>
      <c r="CP192" s="55">
        <f>IFERROR(IF(($CD192)&gt;0,($Y192+$AE192)/($CD192),""),"")</f>
        <v/>
      </c>
      <c r="CQ192" s="55">
        <f>IFERROR(IF(($CE192)&gt;0,($Z192+$AF192)/($CE192),""),"")</f>
        <v/>
      </c>
      <c r="CR192" s="55">
        <f>SUMIFS(tblPlant[Crushed_t],tblPlant[Date],$A192)</f>
        <v/>
      </c>
      <c r="CS192" s="55">
        <f>IF($B192=$B191,$CS191,0)+$CR192</f>
        <v/>
      </c>
      <c r="CT192" s="55">
        <f>$CT191+$CR192</f>
        <v/>
      </c>
      <c r="CU192" s="55">
        <f>SUMIFS(tblPlant[Milled_t],tblPlant[Date],$A192)</f>
        <v/>
      </c>
      <c r="CV192" s="55">
        <f>IF($B192=$B191,$CV191,0)+$CU192</f>
        <v/>
      </c>
      <c r="CW192" s="55">
        <f>$CW191+$CU192</f>
        <v/>
      </c>
      <c r="CX192" s="55">
        <f>SUMIFS(tblPlant[Feed_oz],tblPlant[Date],$A192)</f>
        <v/>
      </c>
      <c r="CY192" s="55">
        <f>IF($B192=$B191,$CY191,0)+$CX192</f>
        <v/>
      </c>
      <c r="CZ192" s="55">
        <f>$CZ191+$CX192</f>
        <v/>
      </c>
      <c r="DA192" s="55">
        <f>SUMIFS(tblPlant[Tails_oz],tblPlant[Date],$A192)</f>
        <v/>
      </c>
      <c r="DB192" s="55">
        <f>IF($B192=$B191,$DB191,0)+$DA192</f>
        <v/>
      </c>
      <c r="DC192" s="55">
        <f>$DC191+$DA192</f>
        <v/>
      </c>
      <c r="DD192" s="55">
        <f>SUMIFS(tblPlant[Recovered_oz],tblPlant[Date],$A192)</f>
        <v/>
      </c>
      <c r="DE192" s="55">
        <f>IF($B192=$B191,$DE191,0)+$DD192</f>
        <v/>
      </c>
      <c r="DF192" s="55">
        <f>$DF191+$DD192</f>
        <v/>
      </c>
      <c r="DG192" s="55">
        <f>SUMIFS(tblPlant[Milled_t],tblPlant[Date],$A192,tblPlant[Head_Grade_gpt],"&lt;&gt;")</f>
        <v/>
      </c>
      <c r="DH192" s="55">
        <f>IF($B192=$B191,$DH191,0)+$DG192</f>
        <v/>
      </c>
      <c r="DI192" s="55">
        <f>$DI191+$DG192</f>
        <v/>
      </c>
      <c r="DJ192" s="55">
        <f>SUMIFS(tblPlant[Milled_t],tblPlant[Date],$A192,tblPlant[Tails_Grade_gpt],"&lt;&gt;")</f>
        <v/>
      </c>
      <c r="DK192" s="55">
        <f>IF($B192=$B191,$DK191,0)+$DJ192</f>
        <v/>
      </c>
      <c r="DL192" s="55">
        <f>$DL191+$DJ192</f>
        <v/>
      </c>
      <c r="DM192" s="55">
        <f>SUMIFS(tblPlant[Feed_oz],tblPlant[Date],$A192,tblPlant[Tails_Grade_gpt],"&lt;&gt;")</f>
        <v/>
      </c>
      <c r="DN192" s="55">
        <f>IF($B192=$B191,$DN191,0)+$DM192</f>
        <v/>
      </c>
      <c r="DO192" s="55">
        <f>$DO191+$DM192</f>
        <v/>
      </c>
      <c r="DP192" s="55">
        <f>SUMIFS(tblPlant[Milled_t],tblPlant[Date],$A192,tblPlant[Mill_Run_h],"&lt;&gt;")</f>
        <v/>
      </c>
      <c r="DQ192" s="55">
        <f>IF($B192=$B191,$DQ191,0)+$DP192</f>
        <v/>
      </c>
      <c r="DR192" s="55">
        <f>$DR191+$DP192</f>
        <v/>
      </c>
      <c r="DS192" s="56">
        <f>IFERROR(IF(($DG192)&gt;0,($CX192*cfg_TroyOz)/($DG192),""),"")</f>
        <v/>
      </c>
      <c r="DT192" s="56">
        <f>IFERROR(IF(($DH192)&gt;0,($CY192*cfg_TroyOz)/($DH192),""),"")</f>
        <v/>
      </c>
      <c r="DU192" s="56">
        <f>IFERROR(IF(($DI192)&gt;0,($CZ192*cfg_TroyOz)/($DI192),""),"")</f>
        <v/>
      </c>
      <c r="DV192" s="56">
        <f>IFERROR(IF(($DJ192)&gt;0,($DA192*cfg_TroyOz)/($DJ192),""),"")</f>
        <v/>
      </c>
      <c r="DW192" s="56">
        <f>IFERROR(IF(($DK192)&gt;0,($DB192*cfg_TroyOz)/($DK192),""),"")</f>
        <v/>
      </c>
      <c r="DX192" s="56">
        <f>IFERROR(IF(($DL192)&gt;0,($DC192*cfg_TroyOz)/($DL192),""),"")</f>
        <v/>
      </c>
      <c r="DY192" s="67">
        <f>IFERROR(IF(($DM192)&gt;0,($DD192)/($DM192),""),"")</f>
        <v/>
      </c>
      <c r="DZ192" s="67">
        <f>IFERROR(IF(($DN192)&gt;0,($DE192)/($DN192),""),"")</f>
        <v/>
      </c>
      <c r="EA192" s="67">
        <f>IFERROR(IF(($DO192)&gt;0,($DF192)/($DO192),""),"")</f>
        <v/>
      </c>
      <c r="EB192" s="55">
        <f>SUMIFS(tblPlant[Gravity_Gold_oz],tblPlant[Date],$A192)</f>
        <v/>
      </c>
      <c r="EC192" s="55">
        <f>IF($B192=$B191,$EC191,0)+$EB192</f>
        <v/>
      </c>
      <c r="ED192" s="55">
        <f>$ED191+$EB192</f>
        <v/>
      </c>
      <c r="EE192" s="67">
        <f>IFERROR(IF(($DD192)&gt;0,($EB192)/($DD192),""),"")</f>
        <v/>
      </c>
      <c r="EF192" s="67">
        <f>IFERROR(IF(($DE192)&gt;0,($EC192)/($DE192),""),"")</f>
        <v/>
      </c>
      <c r="EG192" s="67">
        <f>IFERROR(IF(($DF192)&gt;0,($ED192)/($DF192),""),"")</f>
        <v/>
      </c>
      <c r="EH192" s="55">
        <f>SUMIFS(tblPlant[Gold_Poured_oz],tblPlant[Date],$A192)</f>
        <v/>
      </c>
      <c r="EI192" s="55">
        <f>IF($B192=$B191,$EI191,0)+$EH192</f>
        <v/>
      </c>
      <c r="EJ192" s="55">
        <f>$EJ191+$EH192</f>
        <v/>
      </c>
      <c r="EK192" s="57">
        <f>SUMIFS(tblPlant[Mill_Run_h],tblPlant[Date],$A192)</f>
        <v/>
      </c>
      <c r="EL192" s="57">
        <f>IF($B192=$B191,$EL191,0)+$EK192</f>
        <v/>
      </c>
      <c r="EM192" s="57">
        <f>$EM191+$EK192</f>
        <v/>
      </c>
      <c r="EN192" s="57">
        <f>SUMIFS(tblPlant[Mill_Planned_Maint_h],tblPlant[Date],$A192)</f>
        <v/>
      </c>
      <c r="EO192" s="57">
        <f>IF($B192=$B191,$EO191,0)+$EN192</f>
        <v/>
      </c>
      <c r="EP192" s="57">
        <f>$EP191+$EN192</f>
        <v/>
      </c>
      <c r="EQ192" s="57">
        <f>SUMIFS(tblPlant[Mill_Unplanned_Down_h],tblPlant[Date],$A192)</f>
        <v/>
      </c>
      <c r="ER192" s="57">
        <f>IF($B192=$B191,$ER191,0)+$EQ192</f>
        <v/>
      </c>
      <c r="ES192" s="57">
        <f>$ES191+$EQ192</f>
        <v/>
      </c>
      <c r="ET192" s="57">
        <f>IF(COUNTIFS(tblPlant[Date],$A192,tblPlant[Mill_Run_h],"&lt;&gt;")+COUNTIFS(tblPlant[Date],$A192,tblPlant[Mill_Planned_Maint_h],"&lt;&gt;")+COUNTIFS(tblPlant[Date],$A192,tblPlant[Mill_Unplanned_Down_h],"&lt;&gt;")&gt;0,cfg_HoursPerDay,0)</f>
        <v/>
      </c>
      <c r="EU192" s="57">
        <f>IF($B192=$B191,$EU191,0)+$ET192</f>
        <v/>
      </c>
      <c r="EV192" s="57">
        <f>$EV191+$ET192</f>
        <v/>
      </c>
      <c r="EW192" s="57">
        <f>SUMIFS(tblPlant[Crusher_Run_h],tblPlant[Date],$A192)</f>
        <v/>
      </c>
      <c r="EX192" s="57">
        <f>IF($B192=$B191,$EX191,0)+$EW192</f>
        <v/>
      </c>
      <c r="EY192" s="57">
        <f>$EY191+$EW192</f>
        <v/>
      </c>
      <c r="EZ192" s="55">
        <f>IFERROR(IF(($EK192)&gt;0,($DP192)/($EK192),""),"")</f>
        <v/>
      </c>
      <c r="FA192" s="55">
        <f>IFERROR(IF(($EL192)&gt;0,($DQ192)/($EL192),""),"")</f>
        <v/>
      </c>
      <c r="FB192" s="55">
        <f>IFERROR(IF(($EM192)&gt;0,($DR192)/($EM192),""),"")</f>
        <v/>
      </c>
      <c r="FC192" s="67">
        <f>IFERROR(IF(($ET192)&gt;0,($ET192-$EN192-$EQ192)/($ET192),""),"")</f>
        <v/>
      </c>
      <c r="FD192" s="67">
        <f>IFERROR(IF(($EU192)&gt;0,($EU192-$EO192-$ER192)/($EU192),""),"")</f>
        <v/>
      </c>
      <c r="FE192" s="67">
        <f>IFERROR(IF(($EV192)&gt;0,($EV192-$EP192-$ES192)/($EV192),""),"")</f>
        <v/>
      </c>
      <c r="FF192" s="67">
        <f>IFERROR(IF(($ET192-$EN192-$EQ192)&gt;0,($EK192)/($ET192-$EN192-$EQ192),""),"")</f>
        <v/>
      </c>
      <c r="FG192" s="67">
        <f>IFERROR(IF(($EU192-$EO192-$ER192)&gt;0,($EL192)/($EU192-$EO192-$ER192),""),"")</f>
        <v/>
      </c>
      <c r="FH192" s="67">
        <f>IFERROR(IF(($EV192-$EP192-$ES192)&gt;0,($EM192)/($EV192-$EP192-$ES192),""),"")</f>
        <v/>
      </c>
      <c r="FI192" s="55">
        <f>SUMIFS(tblPlant[Cyanide_kg],tblPlant[Date],$A192)</f>
        <v/>
      </c>
      <c r="FJ192" s="55">
        <f>IF($B192=$B191,$FJ191,0)+$FI192</f>
        <v/>
      </c>
      <c r="FK192" s="55">
        <f>$FK191+$FI192</f>
        <v/>
      </c>
      <c r="FL192" s="55">
        <f>SUMIFS(tblPlant[Lime_kg],tblPlant[Date],$A192)</f>
        <v/>
      </c>
      <c r="FM192" s="55">
        <f>IF($B192=$B191,$FM191,0)+$FL192</f>
        <v/>
      </c>
      <c r="FN192" s="55">
        <f>$FN191+$FL192</f>
        <v/>
      </c>
      <c r="FO192" s="55">
        <f>SUMIFS(tblPlant[Grinding_Media_kg],tblPlant[Date],$A192)</f>
        <v/>
      </c>
      <c r="FP192" s="55">
        <f>IF($B192=$B191,$FP191,0)+$FO192</f>
        <v/>
      </c>
      <c r="FQ192" s="55">
        <f>$FQ191+$FO192</f>
        <v/>
      </c>
      <c r="FR192" s="55">
        <f>SUMIFS(tblPlant[Power_kWh],tblPlant[Date],$A192)</f>
        <v/>
      </c>
      <c r="FS192" s="55">
        <f>IF($B192=$B191,$FS191,0)+$FR192</f>
        <v/>
      </c>
      <c r="FT192" s="55">
        <f>$FT191+$FR192</f>
        <v/>
      </c>
      <c r="FU192" s="55">
        <f>SUMIFS(tblPlant[Raw_Water_m3],tblPlant[Date],$A192)</f>
        <v/>
      </c>
      <c r="FV192" s="55">
        <f>IF($B192=$B191,$FV191,0)+$FU192</f>
        <v/>
      </c>
      <c r="FW192" s="55">
        <f>$FW191+$FU192</f>
        <v/>
      </c>
      <c r="FX192" s="56">
        <f>IFERROR(IF(($CU192)&gt;0,($FI192)/($CU192),""),"")</f>
        <v/>
      </c>
      <c r="FY192" s="56">
        <f>IFERROR(IF(($CV192)&gt;0,($FJ192)/($CV192),""),"")</f>
        <v/>
      </c>
      <c r="FZ192" s="56">
        <f>IFERROR(IF(($CW192)&gt;0,($FK192)/($CW192),""),"")</f>
        <v/>
      </c>
      <c r="GA192" s="56">
        <f>IFERROR(IF(($CU192)&gt;0,($FL192)/($CU192),""),"")</f>
        <v/>
      </c>
      <c r="GB192" s="56">
        <f>IFERROR(IF(($CV192)&gt;0,($FM192)/($CV192),""),"")</f>
        <v/>
      </c>
      <c r="GC192" s="56">
        <f>IFERROR(IF(($CW192)&gt;0,($FN192)/($CW192),""),"")</f>
        <v/>
      </c>
      <c r="GD192" s="56">
        <f>IFERROR(IF(($CU192)&gt;0,($FO192)/($CU192),""),"")</f>
        <v/>
      </c>
      <c r="GE192" s="56">
        <f>IFERROR(IF(($CV192)&gt;0,($FP192)/($CV192),""),"")</f>
        <v/>
      </c>
      <c r="GF192" s="56">
        <f>IFERROR(IF(($CW192)&gt;0,($FQ192)/($CW192),""),"")</f>
        <v/>
      </c>
      <c r="GG192" s="79">
        <f>IFERROR(IF(($CU192)&gt;0,($FR192)/($CU192),""),"")</f>
        <v/>
      </c>
      <c r="GH192" s="79">
        <f>IFERROR(IF(($CV192)&gt;0,($FS192)/($CV192),""),"")</f>
        <v/>
      </c>
      <c r="GI192" s="79">
        <f>IFERROR(IF(($CW192)&gt;0,($FT192)/($CW192),""),"")</f>
        <v/>
      </c>
      <c r="GJ192" s="56">
        <f>IFERROR(IF(($CU192)&gt;0,($FU192)/($CU192),""),"")</f>
        <v/>
      </c>
      <c r="GK192" s="56">
        <f>IFERROR(IF(($CV192)&gt;0,($FV192)/($CV192),""),"")</f>
        <v/>
      </c>
      <c r="GL192" s="56">
        <f>IFERROR(IF(($CW192)&gt;0,($FW192)/($CW192),""),"")</f>
        <v/>
      </c>
      <c r="GM192" s="55">
        <f>IF(SUMIFS(tblPlant[GIC_oz],tblPlant[Date],$A192)&gt;0,SUMIFS(tblPlant[GIC_oz],tblPlant[Date],$A192),"")</f>
        <v/>
      </c>
      <c r="GN192" s="55">
        <f>SUMIFS(tblGold[Gold_oz],tblGold[Date],$A192,tblGold[Type],"Shipment")</f>
        <v/>
      </c>
      <c r="GO192" s="55">
        <f>IF($B192=$B191,$GO191,0)+$GN192</f>
        <v/>
      </c>
      <c r="GP192" s="55">
        <f>$GP191+$GN192</f>
        <v/>
      </c>
      <c r="GQ192" s="55">
        <f>SUMIFS(tblGold[Gold_oz],tblGold[Date],$A192,tblGold[Type],"Sale")</f>
        <v/>
      </c>
      <c r="GR192" s="55">
        <f>IF($B192=$B191,$GR191,0)+$GQ192</f>
        <v/>
      </c>
      <c r="GS192" s="55">
        <f>$GS191+$GQ192</f>
        <v/>
      </c>
      <c r="GT192" s="55">
        <f>SUMIFS(tblGold[Dore_kg],tblGold[Date],$A192,tblGold[Type],"Shipment")</f>
        <v/>
      </c>
      <c r="GU192" s="55">
        <f>IF($B192=$B191,$GU191,0)+$GT192</f>
        <v/>
      </c>
      <c r="GV192" s="55">
        <f>$GV191+$GT192</f>
        <v/>
      </c>
      <c r="GW192" s="57">
        <f>SUMIFS(tblSafety[Hours_Total],tblSafety[Date],$A192)</f>
        <v/>
      </c>
      <c r="GX192" s="57">
        <f>IF($B192=$B191,$GX191,0)+$GW192</f>
        <v/>
      </c>
      <c r="GY192" s="57">
        <f>$GY191+$GW192</f>
        <v/>
      </c>
      <c r="GZ192" s="62">
        <f>SUMIFS(tblSafety[Fatality],tblSafety[Date],$A192)</f>
        <v/>
      </c>
      <c r="HA192" s="62">
        <f>IF($B192=$B191,$HA191,0)+$GZ192</f>
        <v/>
      </c>
      <c r="HB192" s="62">
        <f>$HB191+$GZ192</f>
        <v/>
      </c>
      <c r="HC192" s="62">
        <f>SUMIFS(tblSafety[LTI],tblSafety[Date],$A192)</f>
        <v/>
      </c>
      <c r="HD192" s="62">
        <f>IF($B192=$B191,$HD191,0)+$HC192</f>
        <v/>
      </c>
      <c r="HE192" s="62">
        <f>$HE191+$HC192</f>
        <v/>
      </c>
      <c r="HF192" s="62">
        <f>SUMIFS(tblSafety[RWI],tblSafety[Date],$A192)</f>
        <v/>
      </c>
      <c r="HG192" s="62">
        <f>IF($B192=$B191,$HG191,0)+$HF192</f>
        <v/>
      </c>
      <c r="HH192" s="62">
        <f>$HH191+$HF192</f>
        <v/>
      </c>
      <c r="HI192" s="62">
        <f>SUMIFS(tblSafety[MTI],tblSafety[Date],$A192)</f>
        <v/>
      </c>
      <c r="HJ192" s="62">
        <f>IF($B192=$B191,$HJ191,0)+$HI192</f>
        <v/>
      </c>
      <c r="HK192" s="62">
        <f>$HK191+$HI192</f>
        <v/>
      </c>
      <c r="HL192" s="62">
        <f>SUMIFS(tblSafety[FAI],tblSafety[Date],$A192)</f>
        <v/>
      </c>
      <c r="HM192" s="62">
        <f>IF($B192=$B191,$HM191,0)+$HL192</f>
        <v/>
      </c>
      <c r="HN192" s="62">
        <f>$HN191+$HL192</f>
        <v/>
      </c>
      <c r="HO192" s="62">
        <f>SUMIFS(tblSafety[Recordables],tblSafety[Date],$A192)</f>
        <v/>
      </c>
      <c r="HP192" s="62">
        <f>IF($B192=$B191,$HP191,0)+$HO192</f>
        <v/>
      </c>
      <c r="HQ192" s="62">
        <f>$HQ191+$HO192</f>
        <v/>
      </c>
      <c r="HR192" s="62">
        <f>SUMIFS(tblSafety[Near_Miss],tblSafety[Date],$A192)</f>
        <v/>
      </c>
      <c r="HS192" s="62">
        <f>IF($B192=$B191,$HS191,0)+$HR192</f>
        <v/>
      </c>
      <c r="HT192" s="62">
        <f>$HT191+$HR192</f>
        <v/>
      </c>
      <c r="HU192" s="62">
        <f>SUMIFS(tblSafety[Hazard_Reports],tblSafety[Date],$A192)</f>
        <v/>
      </c>
      <c r="HV192" s="62">
        <f>IF($B192=$B191,$HV191,0)+$HU192</f>
        <v/>
      </c>
      <c r="HW192" s="62">
        <f>$HW191+$HU192</f>
        <v/>
      </c>
      <c r="HX192" s="62">
        <f>SUMIFS(tblSafety[HPI],tblSafety[Date],$A192)</f>
        <v/>
      </c>
      <c r="HY192" s="62">
        <f>IF($B192=$B191,$HY191,0)+$HX192</f>
        <v/>
      </c>
      <c r="HZ192" s="62">
        <f>$HZ191+$HX192</f>
        <v/>
      </c>
      <c r="IA192" s="62">
        <f>SUMIFS(tblSafety[Env_Incidents],tblSafety[Date],$A192)</f>
        <v/>
      </c>
      <c r="IB192" s="62">
        <f>IF($B192=$B191,$IB191,0)+$IA192</f>
        <v/>
      </c>
      <c r="IC192" s="62">
        <f>$IC191+$IA192</f>
        <v/>
      </c>
      <c r="ID192" s="62">
        <f>SUMIFS(tblSafety[Community_Incidents],tblSafety[Date],$A192)</f>
        <v/>
      </c>
      <c r="IE192" s="62">
        <f>IF($B192=$B191,$IE191,0)+$ID192</f>
        <v/>
      </c>
      <c r="IF192" s="62">
        <f>$IF191+$ID192</f>
        <v/>
      </c>
      <c r="IG192" s="62">
        <f>SUMIFS(tblSafety[Vehicle_Incidents],tblSafety[Date],$A192)</f>
        <v/>
      </c>
      <c r="IH192" s="62">
        <f>IF($B192=$B191,$IH191,0)+$IG192</f>
        <v/>
      </c>
      <c r="II192" s="62">
        <f>$II191+$IG192</f>
        <v/>
      </c>
      <c r="IJ192" s="62">
        <f>SUMIFS(tblSafety[Toolbox_Talks],tblSafety[Date],$A192)</f>
        <v/>
      </c>
      <c r="IK192" s="62">
        <f>IF($B192=$B191,$IK191,0)+$IJ192</f>
        <v/>
      </c>
      <c r="IL192" s="62">
        <f>$IL191+$IJ192</f>
        <v/>
      </c>
      <c r="IM192" s="62">
        <f>SUMIFS(tblSafety[Inspections],tblSafety[Date],$A192)</f>
        <v/>
      </c>
      <c r="IN192" s="62">
        <f>IF($B192=$B191,$IN191,0)+$IM192</f>
        <v/>
      </c>
      <c r="IO192" s="62">
        <f>$IO191+$IM192</f>
        <v/>
      </c>
      <c r="IP192" s="56">
        <f>IFERROR((SUMIFS(tblSafety[Recordables],tblSafety[Date],"&gt;="&amp;EDATE($E192,-12),tblSafety[Date],"&lt;="&amp;$A192)+SUMIFS(tblSafetyHistory[Recordables],tblSafetyHistory[Month],"&gt;="&amp;EDATE($E192,-12),tblSafetyHistory[Month],"&lt;"&amp;$E192,tblSafetyHistory[Use],1))/(SUMIFS(tblSafety[Hours_Total],tblSafety[Date],"&gt;="&amp;EDATE($E192,-12),tblSafety[Date],"&lt;="&amp;$A192)+SUMIFS(tblSafetyHistory[Hours_Total],tblSafetyHistory[Month],"&gt;="&amp;EDATE($E192,-12),tblSafetyHistory[Month],"&lt;"&amp;$E192,tblSafetyHistory[Use],1))*cfg_RateBasisHours,"")</f>
        <v/>
      </c>
      <c r="IQ192" s="56">
        <f>IFERROR((SUMIFS(tblSafety[LTI],tblSafety[Date],"&gt;="&amp;EDATE($E192,-12),tblSafety[Date],"&lt;="&amp;$A192)+SUMIFS(tblSafetyHistory[LTI],tblSafetyHistory[Month],"&gt;="&amp;EDATE($E192,-12),tblSafetyHistory[Month],"&lt;"&amp;$E192,tblSafetyHistory[Use],1))/(SUMIFS(tblSafety[Hours_Total],tblSafety[Date],"&gt;="&amp;EDATE($E192,-12),tblSafety[Date],"&lt;="&amp;$A192)+SUMIFS(tblSafetyHistory[Hours_Total],tblSafetyHistory[Month],"&gt;="&amp;EDATE($E192,-12),tblSafetyHistory[Month],"&lt;"&amp;$E192,tblSafetyHistory[Use],1))*cfg_RateBasisHours,"")</f>
        <v/>
      </c>
      <c r="IR192" s="62">
        <f>IF(MAX(N(cfg_PriorLTIDate),_xlfn.MAXIFS(tblSafety[Date],tblSafety[LTI],"&gt;0",tblSafety[Date],"&lt;="&amp;$A192))=0,"",$A192-MAX(N(cfg_PriorLTIDate),_xlfn.MAXIFS(tblSafety[Date],tblSafety[LTI],"&gt;0",tblSafety[Date],"&lt;="&amp;$A192)))</f>
        <v/>
      </c>
      <c r="IS192" s="55">
        <f>SUMIFS(tblBudget[Ore_Mined_t],tblBudget[Month],$E192)</f>
        <v/>
      </c>
      <c r="IT192" s="55">
        <f>$IS192*$C192/$D192</f>
        <v/>
      </c>
      <c r="IU192" s="55">
        <f>SUMIFS(tblBudget[Ore_Mined_t],tblBudget[Month],"&lt;"&amp;$E192)+$IT192</f>
        <v/>
      </c>
      <c r="IV192" s="55">
        <f>SUMIFS(tblBudget[Ore_oz],tblBudget[Month],$E192)</f>
        <v/>
      </c>
      <c r="IW192" s="55">
        <f>$IV192*$C192/$D192</f>
        <v/>
      </c>
      <c r="IX192" s="55">
        <f>SUMIFS(tblBudget[Ore_oz],tblBudget[Month],"&lt;"&amp;$E192)+$IW192</f>
        <v/>
      </c>
      <c r="IY192" s="55">
        <f>SUMIFS(tblBudget[Ore_Mined_t],tblBudget[Month],$E192)</f>
        <v/>
      </c>
      <c r="IZ192" s="55">
        <f>$IY192*$C192/$D192</f>
        <v/>
      </c>
      <c r="JA192" s="55">
        <f>SUMIFS(tblBudget[Ore_Mined_t],tblBudget[Month],"&lt;"&amp;$E192)+$IZ192</f>
        <v/>
      </c>
      <c r="JB192" s="56">
        <f>IFERROR(IF(($IY192)&gt;0,($IV192*cfg_TroyOz)/($IY192),""),"")</f>
        <v/>
      </c>
      <c r="JC192" s="56">
        <f>IFERROR(IF(($IZ192)&gt;0,($IW192*cfg_TroyOz)/($IZ192),""),"")</f>
        <v/>
      </c>
      <c r="JD192" s="56">
        <f>IFERROR(IF(($JA192)&gt;0,($IX192*cfg_TroyOz)/($JA192),""),"")</f>
        <v/>
      </c>
      <c r="JE192" s="55">
        <f>SUMIFS(tblBudget[Waste_t],tblBudget[Month],$E192)</f>
        <v/>
      </c>
      <c r="JF192" s="55">
        <f>$JE192*$C192/$D192</f>
        <v/>
      </c>
      <c r="JG192" s="55">
        <f>SUMIFS(tblBudget[Waste_t],tblBudget[Month],"&lt;"&amp;$E192)+$JF192</f>
        <v/>
      </c>
      <c r="JH192" s="55">
        <f>SUMIFS(tblBudget[TMM_t],tblBudget[Month],$E192)</f>
        <v/>
      </c>
      <c r="JI192" s="55">
        <f>$JH192*$C192/$D192</f>
        <v/>
      </c>
      <c r="JJ192" s="55">
        <f>SUMIFS(tblBudget[TMM_t],tblBudget[Month],"&lt;"&amp;$E192)+$JI192</f>
        <v/>
      </c>
      <c r="JK192" s="56">
        <f>IFERROR(IF(($IS192)&gt;0,($JE192)/($IS192),""),"")</f>
        <v/>
      </c>
      <c r="JL192" s="56">
        <f>IFERROR(IF(($IT192)&gt;0,($JF192)/($IT192),""),"")</f>
        <v/>
      </c>
      <c r="JM192" s="56">
        <f>IFERROR(IF(($IU192)&gt;0,($JG192)/($IU192),""),"")</f>
        <v/>
      </c>
      <c r="JN192" s="55">
        <f>SUMIFS(tblBudget[Drill_m],tblBudget[Month],$E192)</f>
        <v/>
      </c>
      <c r="JO192" s="55">
        <f>$JN192*$C192/$D192</f>
        <v/>
      </c>
      <c r="JP192" s="55">
        <f>SUMIFS(tblBudget[Drill_m],tblBudget[Month],"&lt;"&amp;$E192)+$JO192</f>
        <v/>
      </c>
      <c r="JQ192" s="55">
        <f>SUMIFS(tblBudget[Diesel_L],tblBudget[Month],$E192)</f>
        <v/>
      </c>
      <c r="JR192" s="55">
        <f>$JQ192*$C192/$D192</f>
        <v/>
      </c>
      <c r="JS192" s="55">
        <f>SUMIFS(tblBudget[Diesel_L],tblBudget[Month],"&lt;"&amp;$E192)+$JR192</f>
        <v/>
      </c>
      <c r="JT192" s="55">
        <f>SUMIFS(tblBudget[Milled_t],tblBudget[Month],$E192)</f>
        <v/>
      </c>
      <c r="JU192" s="55">
        <f>$JT192*$C192/$D192</f>
        <v/>
      </c>
      <c r="JV192" s="55">
        <f>SUMIFS(tblBudget[Milled_t],tblBudget[Month],"&lt;"&amp;$E192)+$JU192</f>
        <v/>
      </c>
      <c r="JW192" s="55">
        <f>SUMIFS(tblBudget[Feed_oz],tblBudget[Month],$E192)</f>
        <v/>
      </c>
      <c r="JX192" s="55">
        <f>$JW192*$C192/$D192</f>
        <v/>
      </c>
      <c r="JY192" s="55">
        <f>SUMIFS(tblBudget[Feed_oz],tblBudget[Month],"&lt;"&amp;$E192)+$JX192</f>
        <v/>
      </c>
      <c r="JZ192" s="55">
        <f>SUMIFS(tblBudget[Recovered_oz],tblBudget[Month],$E192)</f>
        <v/>
      </c>
      <c r="KA192" s="55">
        <f>$JZ192*$C192/$D192</f>
        <v/>
      </c>
      <c r="KB192" s="55">
        <f>SUMIFS(tblBudget[Recovered_oz],tblBudget[Month],"&lt;"&amp;$E192)+$KA192</f>
        <v/>
      </c>
      <c r="KC192" s="55">
        <f>SUMIFS(tblBudget[Milled_t],tblBudget[Month],$E192)</f>
        <v/>
      </c>
      <c r="KD192" s="55">
        <f>$KC192*$C192/$D192</f>
        <v/>
      </c>
      <c r="KE192" s="55">
        <f>SUMIFS(tblBudget[Milled_t],tblBudget[Month],"&lt;"&amp;$E192)+$KD192</f>
        <v/>
      </c>
      <c r="KF192" s="55">
        <f>SUMIFS(tblBudget[Feed_oz],tblBudget[Month],$E192)</f>
        <v/>
      </c>
      <c r="KG192" s="55">
        <f>$KF192*$C192/$D192</f>
        <v/>
      </c>
      <c r="KH192" s="55">
        <f>SUMIFS(tblBudget[Feed_oz],tblBudget[Month],"&lt;"&amp;$E192)+$KG192</f>
        <v/>
      </c>
      <c r="KI192" s="56">
        <f>IFERROR(IF(($KC192)&gt;0,($JW192*cfg_TroyOz)/($KC192),""),"")</f>
        <v/>
      </c>
      <c r="KJ192" s="56">
        <f>IFERROR(IF(($KD192)&gt;0,($JX192*cfg_TroyOz)/($KD192),""),"")</f>
        <v/>
      </c>
      <c r="KK192" s="56">
        <f>IFERROR(IF(($KE192)&gt;0,($JY192*cfg_TroyOz)/($KE192),""),"")</f>
        <v/>
      </c>
      <c r="KL192" s="67">
        <f>IFERROR(IF(($KF192)&gt;0,($JZ192)/($KF192),""),"")</f>
        <v/>
      </c>
      <c r="KM192" s="67">
        <f>IFERROR(IF(($KG192)&gt;0,($KA192)/($KG192),""),"")</f>
        <v/>
      </c>
      <c r="KN192" s="67">
        <f>IFERROR(IF(($KH192)&gt;0,($KB192)/($KH192),""),"")</f>
        <v/>
      </c>
      <c r="KO192" s="55">
        <f>SUMIFS(tblBudget[Gold_Poured_oz],tblBudget[Month],$E192)</f>
        <v/>
      </c>
      <c r="KP192" s="55">
        <f>$KO192*$C192/$D192</f>
        <v/>
      </c>
      <c r="KQ192" s="55">
        <f>SUMIFS(tblBudget[Gold_Poured_oz],tblBudget[Month],"&lt;"&amp;$E192)+$KP192</f>
        <v/>
      </c>
      <c r="KR192" s="57">
        <f>SUMIFS(tblBudget[Hours_Worked],tblBudget[Month],$E192)</f>
        <v/>
      </c>
      <c r="KS192" s="57">
        <f>$KR192*$C192/$D192</f>
        <v/>
      </c>
      <c r="KT192" s="57">
        <f>SUMIFS(tblBudget[Hours_Worked],tblBudget[Month],"&lt;"&amp;$E192)+$KS192</f>
        <v/>
      </c>
    </row>
    <row r="193">
      <c r="A193" s="54" t="n">
        <v>46214</v>
      </c>
      <c r="B193">
        <f>MONTH($A193)</f>
        <v/>
      </c>
      <c r="C193">
        <f>DAY($A193)</f>
        <v/>
      </c>
      <c r="D193">
        <f>DAY(EOMONTH($A193,0))</f>
        <v/>
      </c>
      <c r="E193" s="54">
        <f>DATE(YEAR($A193),MONTH($A193),1)</f>
        <v/>
      </c>
      <c r="F193" s="55">
        <f>SUMIFS(tblMovement[Tonnes_t],tblMovement[Date],$A193,tblMovement[Is_Ore],1,tblMovement[Source_Type],"Pit")</f>
        <v/>
      </c>
      <c r="G193" s="55">
        <f>IF($B193=$B192,$G192,0)+$F193</f>
        <v/>
      </c>
      <c r="H193" s="55">
        <f>$H192+$F193</f>
        <v/>
      </c>
      <c r="I193" s="55">
        <f>SUMIFS(tblMovement[Ore_oz],tblMovement[Date],$A193,tblMovement[Source_Type],"Pit")</f>
        <v/>
      </c>
      <c r="J193" s="55">
        <f>IF($B193=$B192,$J192,0)+$I193</f>
        <v/>
      </c>
      <c r="K193" s="55">
        <f>$K192+$I193</f>
        <v/>
      </c>
      <c r="L193" s="55">
        <f>SUMIFS(tblMovement[Tonnes_t],tblMovement[Date],$A193,tblMovement[Is_Ore],1,tblMovement[Source_Type],"Pit",tblMovement[Grade_gpt],"&lt;&gt;")</f>
        <v/>
      </c>
      <c r="M193" s="55">
        <f>IF($B193=$B192,$M192,0)+$L193</f>
        <v/>
      </c>
      <c r="N193" s="55">
        <f>$N192+$L193</f>
        <v/>
      </c>
      <c r="O193" s="56">
        <f>IFERROR(IF(($L193)&gt;0,($I193*cfg_TroyOz)/($L193),""),"")</f>
        <v/>
      </c>
      <c r="P193" s="56">
        <f>IFERROR(IF(($M193)&gt;0,($J193*cfg_TroyOz)/($M193),""),"")</f>
        <v/>
      </c>
      <c r="Q193" s="56">
        <f>IFERROR(IF(($N193)&gt;0,($K193*cfg_TroyOz)/($N193),""),"")</f>
        <v/>
      </c>
      <c r="R193" s="55">
        <f>$F193-$L193</f>
        <v/>
      </c>
      <c r="S193" s="55">
        <f>IF($B193=$B192,$S192,0)+$R193</f>
        <v/>
      </c>
      <c r="T193" s="55">
        <f>$T192+$R193</f>
        <v/>
      </c>
      <c r="U193" s="55">
        <f>SUMIFS(tblMovement[Tonnes_t],tblMovement[Date],$A193,tblMovement[Is_Ore],0,tblMovement[Source_Type],"Pit")</f>
        <v/>
      </c>
      <c r="V193" s="55">
        <f>IF($B193=$B192,$V192,0)+$U193</f>
        <v/>
      </c>
      <c r="W193" s="55">
        <f>$W192+$U193</f>
        <v/>
      </c>
      <c r="X193" s="55">
        <f>$F193+$U193</f>
        <v/>
      </c>
      <c r="Y193" s="55">
        <f>IF($B193=$B192,$Y192,0)+$X193</f>
        <v/>
      </c>
      <c r="Z193" s="55">
        <f>$Z192+$X193</f>
        <v/>
      </c>
      <c r="AA193" s="56">
        <f>IFERROR(IF(($F193)&gt;0,($U193)/($F193),""),"")</f>
        <v/>
      </c>
      <c r="AB193" s="56">
        <f>IFERROR(IF(($G193)&gt;0,($V193)/($G193),""),"")</f>
        <v/>
      </c>
      <c r="AC193" s="56">
        <f>IFERROR(IF(($H193)&gt;0,($W193)/($H193),""),"")</f>
        <v/>
      </c>
      <c r="AD193" s="55">
        <f>SUMIFS(tblMovement[Tonnes_t],tblMovement[Date],$A193,tblMovement[Source_Type],"Stockpile")</f>
        <v/>
      </c>
      <c r="AE193" s="55">
        <f>IF($B193=$B192,$AE192,0)+$AD193</f>
        <v/>
      </c>
      <c r="AF193" s="55">
        <f>$AF192+$AD193</f>
        <v/>
      </c>
      <c r="AG193" s="55">
        <f>SUMIFS(tblMovement[Tonnes_t],tblMovement[Date],$A193)</f>
        <v/>
      </c>
      <c r="AH193" s="55">
        <f>IF($B193=$B192,$AH192,0)+$AG193</f>
        <v/>
      </c>
      <c r="AI193" s="55">
        <f>$AI192+$AG193</f>
        <v/>
      </c>
      <c r="AJ193" s="55">
        <f>$AG193-$X193-$AD193</f>
        <v/>
      </c>
      <c r="AK193" s="55">
        <f>IF($B193=$B192,$AK192,0)+$AJ193</f>
        <v/>
      </c>
      <c r="AL193" s="55">
        <f>$AL192+$AJ193</f>
        <v/>
      </c>
      <c r="AM193" s="55">
        <f>SUMIFS(tblMiningDaily[Drill_m],tblMiningDaily[Date],$A193)</f>
        <v/>
      </c>
      <c r="AN193" s="55">
        <f>IF($B193=$B192,$AN192,0)+$AM193</f>
        <v/>
      </c>
      <c r="AO193" s="55">
        <f>$AO192+$AM193</f>
        <v/>
      </c>
      <c r="AP193" s="55">
        <f>SUMIFS(tblMiningDaily[GC_Drill_m],tblMiningDaily[Date],$A193)</f>
        <v/>
      </c>
      <c r="AQ193" s="55">
        <f>IF($B193=$B192,$AQ192,0)+$AP193</f>
        <v/>
      </c>
      <c r="AR193" s="55">
        <f>$AR192+$AP193</f>
        <v/>
      </c>
      <c r="AS193" s="55">
        <f>SUMIFS(tblMiningDaily[Blast_t],tblMiningDaily[Date],$A193)</f>
        <v/>
      </c>
      <c r="AT193" s="55">
        <f>IF($B193=$B192,$AT192,0)+$AS193</f>
        <v/>
      </c>
      <c r="AU193" s="55">
        <f>$AU192+$AS193</f>
        <v/>
      </c>
      <c r="AV193" s="55">
        <f>SUMIFS(tblMiningDaily[Explosives_kg],tblMiningDaily[Date],$A193)</f>
        <v/>
      </c>
      <c r="AW193" s="55">
        <f>IF($B193=$B192,$AW192,0)+$AV193</f>
        <v/>
      </c>
      <c r="AX193" s="55">
        <f>$AX192+$AV193</f>
        <v/>
      </c>
      <c r="AY193" s="56">
        <f>IFERROR(IF(($AS193)&gt;0,($AV193)/($AS193),""),"")</f>
        <v/>
      </c>
      <c r="AZ193" s="56">
        <f>IFERROR(IF(($AT193)&gt;0,($AW193)/($AT193),""),"")</f>
        <v/>
      </c>
      <c r="BA193" s="56">
        <f>IFERROR(IF(($AU193)&gt;0,($AX193)/($AU193),""),"")</f>
        <v/>
      </c>
      <c r="BB193" s="55">
        <f>SUMIFS(tblMiningDaily[Diesel_L],tblMiningDaily[Date],$A193)</f>
        <v/>
      </c>
      <c r="BC193" s="55">
        <f>IF($B193=$B192,$BC192,0)+$BB193</f>
        <v/>
      </c>
      <c r="BD193" s="55">
        <f>$BD192+$BB193</f>
        <v/>
      </c>
      <c r="BE193" s="55">
        <f>SUMIFS(tblMiningDaily[Dewatering_m3],tblMiningDaily[Date],$A193)</f>
        <v/>
      </c>
      <c r="BF193" s="55">
        <f>IF($B193=$B192,$BF192,0)+$BE193</f>
        <v/>
      </c>
      <c r="BG193" s="55">
        <f>$BG192+$BE193</f>
        <v/>
      </c>
      <c r="BH193" s="57">
        <f>SUMIFS(tblFleet[Calendar_h],tblFleet[Date],$A193,tblFleet[Equipment_Class],"Excavator")</f>
        <v/>
      </c>
      <c r="BI193" s="57">
        <f>IF($B193=$B192,$BI192,0)+$BH193</f>
        <v/>
      </c>
      <c r="BJ193" s="57">
        <f>$BJ192+$BH193</f>
        <v/>
      </c>
      <c r="BK193" s="57">
        <f>SUMIFS(tblFleet[Available_h],tblFleet[Date],$A193,tblFleet[Equipment_Class],"Excavator")</f>
        <v/>
      </c>
      <c r="BL193" s="57">
        <f>IF($B193=$B192,$BL192,0)+$BK193</f>
        <v/>
      </c>
      <c r="BM193" s="57">
        <f>$BM192+$BK193</f>
        <v/>
      </c>
      <c r="BN193" s="57">
        <f>SUMIFS(tblFleet[Operating_h],tblFleet[Date],$A193,tblFleet[Equipment_Class],"Excavator")</f>
        <v/>
      </c>
      <c r="BO193" s="57">
        <f>IF($B193=$B192,$BO192,0)+$BN193</f>
        <v/>
      </c>
      <c r="BP193" s="57">
        <f>$BP192+$BN193</f>
        <v/>
      </c>
      <c r="BQ193" s="67">
        <f>IFERROR(IF(($BH193)&gt;0,($BK193)/($BH193),""),"")</f>
        <v/>
      </c>
      <c r="BR193" s="67">
        <f>IFERROR(IF(($BI193)&gt;0,($BL193)/($BI193),""),"")</f>
        <v/>
      </c>
      <c r="BS193" s="67">
        <f>IFERROR(IF(($BJ193)&gt;0,($BM193)/($BJ193),""),"")</f>
        <v/>
      </c>
      <c r="BT193" s="67">
        <f>IFERROR(IF(($BK193)&gt;0,($BN193)/($BK193),""),"")</f>
        <v/>
      </c>
      <c r="BU193" s="67">
        <f>IFERROR(IF(($BL193)&gt;0,($BO193)/($BL193),""),"")</f>
        <v/>
      </c>
      <c r="BV193" s="67">
        <f>IFERROR(IF(($BM193)&gt;0,($BP193)/($BM193),""),"")</f>
        <v/>
      </c>
      <c r="BW193" s="57">
        <f>SUMIFS(tblFleet[Calendar_h],tblFleet[Date],$A193,tblFleet[Equipment_Class],"Haul Truck")</f>
        <v/>
      </c>
      <c r="BX193" s="57">
        <f>IF($B193=$B192,$BX192,0)+$BW193</f>
        <v/>
      </c>
      <c r="BY193" s="57">
        <f>$BY192+$BW193</f>
        <v/>
      </c>
      <c r="BZ193" s="57">
        <f>SUMIFS(tblFleet[Available_h],tblFleet[Date],$A193,tblFleet[Equipment_Class],"Haul Truck")</f>
        <v/>
      </c>
      <c r="CA193" s="57">
        <f>IF($B193=$B192,$CA192,0)+$BZ193</f>
        <v/>
      </c>
      <c r="CB193" s="57">
        <f>$CB192+$BZ193</f>
        <v/>
      </c>
      <c r="CC193" s="57">
        <f>SUMIFS(tblFleet[Operating_h],tblFleet[Date],$A193,tblFleet[Equipment_Class],"Haul Truck")</f>
        <v/>
      </c>
      <c r="CD193" s="57">
        <f>IF($B193=$B192,$CD192,0)+$CC193</f>
        <v/>
      </c>
      <c r="CE193" s="57">
        <f>$CE192+$CC193</f>
        <v/>
      </c>
      <c r="CF193" s="67">
        <f>IFERROR(IF(($BW193)&gt;0,($BZ193)/($BW193),""),"")</f>
        <v/>
      </c>
      <c r="CG193" s="67">
        <f>IFERROR(IF(($BX193)&gt;0,($CA193)/($BX193),""),"")</f>
        <v/>
      </c>
      <c r="CH193" s="67">
        <f>IFERROR(IF(($BY193)&gt;0,($CB193)/($BY193),""),"")</f>
        <v/>
      </c>
      <c r="CI193" s="67">
        <f>IFERROR(IF(($BZ193)&gt;0,($CC193)/($BZ193),""),"")</f>
        <v/>
      </c>
      <c r="CJ193" s="67">
        <f>IFERROR(IF(($CA193)&gt;0,($CD193)/($CA193),""),"")</f>
        <v/>
      </c>
      <c r="CK193" s="67">
        <f>IFERROR(IF(($CB193)&gt;0,($CE193)/($CB193),""),"")</f>
        <v/>
      </c>
      <c r="CL193" s="55">
        <f>IFERROR(IF(($BN193)&gt;0,($X193+$AD193)/($BN193),""),"")</f>
        <v/>
      </c>
      <c r="CM193" s="55">
        <f>IFERROR(IF(($BO193)&gt;0,($Y193+$AE193)/($BO193),""),"")</f>
        <v/>
      </c>
      <c r="CN193" s="55">
        <f>IFERROR(IF(($BP193)&gt;0,($Z193+$AF193)/($BP193),""),"")</f>
        <v/>
      </c>
      <c r="CO193" s="55">
        <f>IFERROR(IF(($CC193)&gt;0,($X193+$AD193)/($CC193),""),"")</f>
        <v/>
      </c>
      <c r="CP193" s="55">
        <f>IFERROR(IF(($CD193)&gt;0,($Y193+$AE193)/($CD193),""),"")</f>
        <v/>
      </c>
      <c r="CQ193" s="55">
        <f>IFERROR(IF(($CE193)&gt;0,($Z193+$AF193)/($CE193),""),"")</f>
        <v/>
      </c>
      <c r="CR193" s="55">
        <f>SUMIFS(tblPlant[Crushed_t],tblPlant[Date],$A193)</f>
        <v/>
      </c>
      <c r="CS193" s="55">
        <f>IF($B193=$B192,$CS192,0)+$CR193</f>
        <v/>
      </c>
      <c r="CT193" s="55">
        <f>$CT192+$CR193</f>
        <v/>
      </c>
      <c r="CU193" s="55">
        <f>SUMIFS(tblPlant[Milled_t],tblPlant[Date],$A193)</f>
        <v/>
      </c>
      <c r="CV193" s="55">
        <f>IF($B193=$B192,$CV192,0)+$CU193</f>
        <v/>
      </c>
      <c r="CW193" s="55">
        <f>$CW192+$CU193</f>
        <v/>
      </c>
      <c r="CX193" s="55">
        <f>SUMIFS(tblPlant[Feed_oz],tblPlant[Date],$A193)</f>
        <v/>
      </c>
      <c r="CY193" s="55">
        <f>IF($B193=$B192,$CY192,0)+$CX193</f>
        <v/>
      </c>
      <c r="CZ193" s="55">
        <f>$CZ192+$CX193</f>
        <v/>
      </c>
      <c r="DA193" s="55">
        <f>SUMIFS(tblPlant[Tails_oz],tblPlant[Date],$A193)</f>
        <v/>
      </c>
      <c r="DB193" s="55">
        <f>IF($B193=$B192,$DB192,0)+$DA193</f>
        <v/>
      </c>
      <c r="DC193" s="55">
        <f>$DC192+$DA193</f>
        <v/>
      </c>
      <c r="DD193" s="55">
        <f>SUMIFS(tblPlant[Recovered_oz],tblPlant[Date],$A193)</f>
        <v/>
      </c>
      <c r="DE193" s="55">
        <f>IF($B193=$B192,$DE192,0)+$DD193</f>
        <v/>
      </c>
      <c r="DF193" s="55">
        <f>$DF192+$DD193</f>
        <v/>
      </c>
      <c r="DG193" s="55">
        <f>SUMIFS(tblPlant[Milled_t],tblPlant[Date],$A193,tblPlant[Head_Grade_gpt],"&lt;&gt;")</f>
        <v/>
      </c>
      <c r="DH193" s="55">
        <f>IF($B193=$B192,$DH192,0)+$DG193</f>
        <v/>
      </c>
      <c r="DI193" s="55">
        <f>$DI192+$DG193</f>
        <v/>
      </c>
      <c r="DJ193" s="55">
        <f>SUMIFS(tblPlant[Milled_t],tblPlant[Date],$A193,tblPlant[Tails_Grade_gpt],"&lt;&gt;")</f>
        <v/>
      </c>
      <c r="DK193" s="55">
        <f>IF($B193=$B192,$DK192,0)+$DJ193</f>
        <v/>
      </c>
      <c r="DL193" s="55">
        <f>$DL192+$DJ193</f>
        <v/>
      </c>
      <c r="DM193" s="55">
        <f>SUMIFS(tblPlant[Feed_oz],tblPlant[Date],$A193,tblPlant[Tails_Grade_gpt],"&lt;&gt;")</f>
        <v/>
      </c>
      <c r="DN193" s="55">
        <f>IF($B193=$B192,$DN192,0)+$DM193</f>
        <v/>
      </c>
      <c r="DO193" s="55">
        <f>$DO192+$DM193</f>
        <v/>
      </c>
      <c r="DP193" s="55">
        <f>SUMIFS(tblPlant[Milled_t],tblPlant[Date],$A193,tblPlant[Mill_Run_h],"&lt;&gt;")</f>
        <v/>
      </c>
      <c r="DQ193" s="55">
        <f>IF($B193=$B192,$DQ192,0)+$DP193</f>
        <v/>
      </c>
      <c r="DR193" s="55">
        <f>$DR192+$DP193</f>
        <v/>
      </c>
      <c r="DS193" s="56">
        <f>IFERROR(IF(($DG193)&gt;0,($CX193*cfg_TroyOz)/($DG193),""),"")</f>
        <v/>
      </c>
      <c r="DT193" s="56">
        <f>IFERROR(IF(($DH193)&gt;0,($CY193*cfg_TroyOz)/($DH193),""),"")</f>
        <v/>
      </c>
      <c r="DU193" s="56">
        <f>IFERROR(IF(($DI193)&gt;0,($CZ193*cfg_TroyOz)/($DI193),""),"")</f>
        <v/>
      </c>
      <c r="DV193" s="56">
        <f>IFERROR(IF(($DJ193)&gt;0,($DA193*cfg_TroyOz)/($DJ193),""),"")</f>
        <v/>
      </c>
      <c r="DW193" s="56">
        <f>IFERROR(IF(($DK193)&gt;0,($DB193*cfg_TroyOz)/($DK193),""),"")</f>
        <v/>
      </c>
      <c r="DX193" s="56">
        <f>IFERROR(IF(($DL193)&gt;0,($DC193*cfg_TroyOz)/($DL193),""),"")</f>
        <v/>
      </c>
      <c r="DY193" s="67">
        <f>IFERROR(IF(($DM193)&gt;0,($DD193)/($DM193),""),"")</f>
        <v/>
      </c>
      <c r="DZ193" s="67">
        <f>IFERROR(IF(($DN193)&gt;0,($DE193)/($DN193),""),"")</f>
        <v/>
      </c>
      <c r="EA193" s="67">
        <f>IFERROR(IF(($DO193)&gt;0,($DF193)/($DO193),""),"")</f>
        <v/>
      </c>
      <c r="EB193" s="55">
        <f>SUMIFS(tblPlant[Gravity_Gold_oz],tblPlant[Date],$A193)</f>
        <v/>
      </c>
      <c r="EC193" s="55">
        <f>IF($B193=$B192,$EC192,0)+$EB193</f>
        <v/>
      </c>
      <c r="ED193" s="55">
        <f>$ED192+$EB193</f>
        <v/>
      </c>
      <c r="EE193" s="67">
        <f>IFERROR(IF(($DD193)&gt;0,($EB193)/($DD193),""),"")</f>
        <v/>
      </c>
      <c r="EF193" s="67">
        <f>IFERROR(IF(($DE193)&gt;0,($EC193)/($DE193),""),"")</f>
        <v/>
      </c>
      <c r="EG193" s="67">
        <f>IFERROR(IF(($DF193)&gt;0,($ED193)/($DF193),""),"")</f>
        <v/>
      </c>
      <c r="EH193" s="55">
        <f>SUMIFS(tblPlant[Gold_Poured_oz],tblPlant[Date],$A193)</f>
        <v/>
      </c>
      <c r="EI193" s="55">
        <f>IF($B193=$B192,$EI192,0)+$EH193</f>
        <v/>
      </c>
      <c r="EJ193" s="55">
        <f>$EJ192+$EH193</f>
        <v/>
      </c>
      <c r="EK193" s="57">
        <f>SUMIFS(tblPlant[Mill_Run_h],tblPlant[Date],$A193)</f>
        <v/>
      </c>
      <c r="EL193" s="57">
        <f>IF($B193=$B192,$EL192,0)+$EK193</f>
        <v/>
      </c>
      <c r="EM193" s="57">
        <f>$EM192+$EK193</f>
        <v/>
      </c>
      <c r="EN193" s="57">
        <f>SUMIFS(tblPlant[Mill_Planned_Maint_h],tblPlant[Date],$A193)</f>
        <v/>
      </c>
      <c r="EO193" s="57">
        <f>IF($B193=$B192,$EO192,0)+$EN193</f>
        <v/>
      </c>
      <c r="EP193" s="57">
        <f>$EP192+$EN193</f>
        <v/>
      </c>
      <c r="EQ193" s="57">
        <f>SUMIFS(tblPlant[Mill_Unplanned_Down_h],tblPlant[Date],$A193)</f>
        <v/>
      </c>
      <c r="ER193" s="57">
        <f>IF($B193=$B192,$ER192,0)+$EQ193</f>
        <v/>
      </c>
      <c r="ES193" s="57">
        <f>$ES192+$EQ193</f>
        <v/>
      </c>
      <c r="ET193" s="57">
        <f>IF(COUNTIFS(tblPlant[Date],$A193,tblPlant[Mill_Run_h],"&lt;&gt;")+COUNTIFS(tblPlant[Date],$A193,tblPlant[Mill_Planned_Maint_h],"&lt;&gt;")+COUNTIFS(tblPlant[Date],$A193,tblPlant[Mill_Unplanned_Down_h],"&lt;&gt;")&gt;0,cfg_HoursPerDay,0)</f>
        <v/>
      </c>
      <c r="EU193" s="57">
        <f>IF($B193=$B192,$EU192,0)+$ET193</f>
        <v/>
      </c>
      <c r="EV193" s="57">
        <f>$EV192+$ET193</f>
        <v/>
      </c>
      <c r="EW193" s="57">
        <f>SUMIFS(tblPlant[Crusher_Run_h],tblPlant[Date],$A193)</f>
        <v/>
      </c>
      <c r="EX193" s="57">
        <f>IF($B193=$B192,$EX192,0)+$EW193</f>
        <v/>
      </c>
      <c r="EY193" s="57">
        <f>$EY192+$EW193</f>
        <v/>
      </c>
      <c r="EZ193" s="55">
        <f>IFERROR(IF(($EK193)&gt;0,($DP193)/($EK193),""),"")</f>
        <v/>
      </c>
      <c r="FA193" s="55">
        <f>IFERROR(IF(($EL193)&gt;0,($DQ193)/($EL193),""),"")</f>
        <v/>
      </c>
      <c r="FB193" s="55">
        <f>IFERROR(IF(($EM193)&gt;0,($DR193)/($EM193),""),"")</f>
        <v/>
      </c>
      <c r="FC193" s="67">
        <f>IFERROR(IF(($ET193)&gt;0,($ET193-$EN193-$EQ193)/($ET193),""),"")</f>
        <v/>
      </c>
      <c r="FD193" s="67">
        <f>IFERROR(IF(($EU193)&gt;0,($EU193-$EO193-$ER193)/($EU193),""),"")</f>
        <v/>
      </c>
      <c r="FE193" s="67">
        <f>IFERROR(IF(($EV193)&gt;0,($EV193-$EP193-$ES193)/($EV193),""),"")</f>
        <v/>
      </c>
      <c r="FF193" s="67">
        <f>IFERROR(IF(($ET193-$EN193-$EQ193)&gt;0,($EK193)/($ET193-$EN193-$EQ193),""),"")</f>
        <v/>
      </c>
      <c r="FG193" s="67">
        <f>IFERROR(IF(($EU193-$EO193-$ER193)&gt;0,($EL193)/($EU193-$EO193-$ER193),""),"")</f>
        <v/>
      </c>
      <c r="FH193" s="67">
        <f>IFERROR(IF(($EV193-$EP193-$ES193)&gt;0,($EM193)/($EV193-$EP193-$ES193),""),"")</f>
        <v/>
      </c>
      <c r="FI193" s="55">
        <f>SUMIFS(tblPlant[Cyanide_kg],tblPlant[Date],$A193)</f>
        <v/>
      </c>
      <c r="FJ193" s="55">
        <f>IF($B193=$B192,$FJ192,0)+$FI193</f>
        <v/>
      </c>
      <c r="FK193" s="55">
        <f>$FK192+$FI193</f>
        <v/>
      </c>
      <c r="FL193" s="55">
        <f>SUMIFS(tblPlant[Lime_kg],tblPlant[Date],$A193)</f>
        <v/>
      </c>
      <c r="FM193" s="55">
        <f>IF($B193=$B192,$FM192,0)+$FL193</f>
        <v/>
      </c>
      <c r="FN193" s="55">
        <f>$FN192+$FL193</f>
        <v/>
      </c>
      <c r="FO193" s="55">
        <f>SUMIFS(tblPlant[Grinding_Media_kg],tblPlant[Date],$A193)</f>
        <v/>
      </c>
      <c r="FP193" s="55">
        <f>IF($B193=$B192,$FP192,0)+$FO193</f>
        <v/>
      </c>
      <c r="FQ193" s="55">
        <f>$FQ192+$FO193</f>
        <v/>
      </c>
      <c r="FR193" s="55">
        <f>SUMIFS(tblPlant[Power_kWh],tblPlant[Date],$A193)</f>
        <v/>
      </c>
      <c r="FS193" s="55">
        <f>IF($B193=$B192,$FS192,0)+$FR193</f>
        <v/>
      </c>
      <c r="FT193" s="55">
        <f>$FT192+$FR193</f>
        <v/>
      </c>
      <c r="FU193" s="55">
        <f>SUMIFS(tblPlant[Raw_Water_m3],tblPlant[Date],$A193)</f>
        <v/>
      </c>
      <c r="FV193" s="55">
        <f>IF($B193=$B192,$FV192,0)+$FU193</f>
        <v/>
      </c>
      <c r="FW193" s="55">
        <f>$FW192+$FU193</f>
        <v/>
      </c>
      <c r="FX193" s="56">
        <f>IFERROR(IF(($CU193)&gt;0,($FI193)/($CU193),""),"")</f>
        <v/>
      </c>
      <c r="FY193" s="56">
        <f>IFERROR(IF(($CV193)&gt;0,($FJ193)/($CV193),""),"")</f>
        <v/>
      </c>
      <c r="FZ193" s="56">
        <f>IFERROR(IF(($CW193)&gt;0,($FK193)/($CW193),""),"")</f>
        <v/>
      </c>
      <c r="GA193" s="56">
        <f>IFERROR(IF(($CU193)&gt;0,($FL193)/($CU193),""),"")</f>
        <v/>
      </c>
      <c r="GB193" s="56">
        <f>IFERROR(IF(($CV193)&gt;0,($FM193)/($CV193),""),"")</f>
        <v/>
      </c>
      <c r="GC193" s="56">
        <f>IFERROR(IF(($CW193)&gt;0,($FN193)/($CW193),""),"")</f>
        <v/>
      </c>
      <c r="GD193" s="56">
        <f>IFERROR(IF(($CU193)&gt;0,($FO193)/($CU193),""),"")</f>
        <v/>
      </c>
      <c r="GE193" s="56">
        <f>IFERROR(IF(($CV193)&gt;0,($FP193)/($CV193),""),"")</f>
        <v/>
      </c>
      <c r="GF193" s="56">
        <f>IFERROR(IF(($CW193)&gt;0,($FQ193)/($CW193),""),"")</f>
        <v/>
      </c>
      <c r="GG193" s="79">
        <f>IFERROR(IF(($CU193)&gt;0,($FR193)/($CU193),""),"")</f>
        <v/>
      </c>
      <c r="GH193" s="79">
        <f>IFERROR(IF(($CV193)&gt;0,($FS193)/($CV193),""),"")</f>
        <v/>
      </c>
      <c r="GI193" s="79">
        <f>IFERROR(IF(($CW193)&gt;0,($FT193)/($CW193),""),"")</f>
        <v/>
      </c>
      <c r="GJ193" s="56">
        <f>IFERROR(IF(($CU193)&gt;0,($FU193)/($CU193),""),"")</f>
        <v/>
      </c>
      <c r="GK193" s="56">
        <f>IFERROR(IF(($CV193)&gt;0,($FV193)/($CV193),""),"")</f>
        <v/>
      </c>
      <c r="GL193" s="56">
        <f>IFERROR(IF(($CW193)&gt;0,($FW193)/($CW193),""),"")</f>
        <v/>
      </c>
      <c r="GM193" s="55">
        <f>IF(SUMIFS(tblPlant[GIC_oz],tblPlant[Date],$A193)&gt;0,SUMIFS(tblPlant[GIC_oz],tblPlant[Date],$A193),"")</f>
        <v/>
      </c>
      <c r="GN193" s="55">
        <f>SUMIFS(tblGold[Gold_oz],tblGold[Date],$A193,tblGold[Type],"Shipment")</f>
        <v/>
      </c>
      <c r="GO193" s="55">
        <f>IF($B193=$B192,$GO192,0)+$GN193</f>
        <v/>
      </c>
      <c r="GP193" s="55">
        <f>$GP192+$GN193</f>
        <v/>
      </c>
      <c r="GQ193" s="55">
        <f>SUMIFS(tblGold[Gold_oz],tblGold[Date],$A193,tblGold[Type],"Sale")</f>
        <v/>
      </c>
      <c r="GR193" s="55">
        <f>IF($B193=$B192,$GR192,0)+$GQ193</f>
        <v/>
      </c>
      <c r="GS193" s="55">
        <f>$GS192+$GQ193</f>
        <v/>
      </c>
      <c r="GT193" s="55">
        <f>SUMIFS(tblGold[Dore_kg],tblGold[Date],$A193,tblGold[Type],"Shipment")</f>
        <v/>
      </c>
      <c r="GU193" s="55">
        <f>IF($B193=$B192,$GU192,0)+$GT193</f>
        <v/>
      </c>
      <c r="GV193" s="55">
        <f>$GV192+$GT193</f>
        <v/>
      </c>
      <c r="GW193" s="57">
        <f>SUMIFS(tblSafety[Hours_Total],tblSafety[Date],$A193)</f>
        <v/>
      </c>
      <c r="GX193" s="57">
        <f>IF($B193=$B192,$GX192,0)+$GW193</f>
        <v/>
      </c>
      <c r="GY193" s="57">
        <f>$GY192+$GW193</f>
        <v/>
      </c>
      <c r="GZ193" s="62">
        <f>SUMIFS(tblSafety[Fatality],tblSafety[Date],$A193)</f>
        <v/>
      </c>
      <c r="HA193" s="62">
        <f>IF($B193=$B192,$HA192,0)+$GZ193</f>
        <v/>
      </c>
      <c r="HB193" s="62">
        <f>$HB192+$GZ193</f>
        <v/>
      </c>
      <c r="HC193" s="62">
        <f>SUMIFS(tblSafety[LTI],tblSafety[Date],$A193)</f>
        <v/>
      </c>
      <c r="HD193" s="62">
        <f>IF($B193=$B192,$HD192,0)+$HC193</f>
        <v/>
      </c>
      <c r="HE193" s="62">
        <f>$HE192+$HC193</f>
        <v/>
      </c>
      <c r="HF193" s="62">
        <f>SUMIFS(tblSafety[RWI],tblSafety[Date],$A193)</f>
        <v/>
      </c>
      <c r="HG193" s="62">
        <f>IF($B193=$B192,$HG192,0)+$HF193</f>
        <v/>
      </c>
      <c r="HH193" s="62">
        <f>$HH192+$HF193</f>
        <v/>
      </c>
      <c r="HI193" s="62">
        <f>SUMIFS(tblSafety[MTI],tblSafety[Date],$A193)</f>
        <v/>
      </c>
      <c r="HJ193" s="62">
        <f>IF($B193=$B192,$HJ192,0)+$HI193</f>
        <v/>
      </c>
      <c r="HK193" s="62">
        <f>$HK192+$HI193</f>
        <v/>
      </c>
      <c r="HL193" s="62">
        <f>SUMIFS(tblSafety[FAI],tblSafety[Date],$A193)</f>
        <v/>
      </c>
      <c r="HM193" s="62">
        <f>IF($B193=$B192,$HM192,0)+$HL193</f>
        <v/>
      </c>
      <c r="HN193" s="62">
        <f>$HN192+$HL193</f>
        <v/>
      </c>
      <c r="HO193" s="62">
        <f>SUMIFS(tblSafety[Recordables],tblSafety[Date],$A193)</f>
        <v/>
      </c>
      <c r="HP193" s="62">
        <f>IF($B193=$B192,$HP192,0)+$HO193</f>
        <v/>
      </c>
      <c r="HQ193" s="62">
        <f>$HQ192+$HO193</f>
        <v/>
      </c>
      <c r="HR193" s="62">
        <f>SUMIFS(tblSafety[Near_Miss],tblSafety[Date],$A193)</f>
        <v/>
      </c>
      <c r="HS193" s="62">
        <f>IF($B193=$B192,$HS192,0)+$HR193</f>
        <v/>
      </c>
      <c r="HT193" s="62">
        <f>$HT192+$HR193</f>
        <v/>
      </c>
      <c r="HU193" s="62">
        <f>SUMIFS(tblSafety[Hazard_Reports],tblSafety[Date],$A193)</f>
        <v/>
      </c>
      <c r="HV193" s="62">
        <f>IF($B193=$B192,$HV192,0)+$HU193</f>
        <v/>
      </c>
      <c r="HW193" s="62">
        <f>$HW192+$HU193</f>
        <v/>
      </c>
      <c r="HX193" s="62">
        <f>SUMIFS(tblSafety[HPI],tblSafety[Date],$A193)</f>
        <v/>
      </c>
      <c r="HY193" s="62">
        <f>IF($B193=$B192,$HY192,0)+$HX193</f>
        <v/>
      </c>
      <c r="HZ193" s="62">
        <f>$HZ192+$HX193</f>
        <v/>
      </c>
      <c r="IA193" s="62">
        <f>SUMIFS(tblSafety[Env_Incidents],tblSafety[Date],$A193)</f>
        <v/>
      </c>
      <c r="IB193" s="62">
        <f>IF($B193=$B192,$IB192,0)+$IA193</f>
        <v/>
      </c>
      <c r="IC193" s="62">
        <f>$IC192+$IA193</f>
        <v/>
      </c>
      <c r="ID193" s="62">
        <f>SUMIFS(tblSafety[Community_Incidents],tblSafety[Date],$A193)</f>
        <v/>
      </c>
      <c r="IE193" s="62">
        <f>IF($B193=$B192,$IE192,0)+$ID193</f>
        <v/>
      </c>
      <c r="IF193" s="62">
        <f>$IF192+$ID193</f>
        <v/>
      </c>
      <c r="IG193" s="62">
        <f>SUMIFS(tblSafety[Vehicle_Incidents],tblSafety[Date],$A193)</f>
        <v/>
      </c>
      <c r="IH193" s="62">
        <f>IF($B193=$B192,$IH192,0)+$IG193</f>
        <v/>
      </c>
      <c r="II193" s="62">
        <f>$II192+$IG193</f>
        <v/>
      </c>
      <c r="IJ193" s="62">
        <f>SUMIFS(tblSafety[Toolbox_Talks],tblSafety[Date],$A193)</f>
        <v/>
      </c>
      <c r="IK193" s="62">
        <f>IF($B193=$B192,$IK192,0)+$IJ193</f>
        <v/>
      </c>
      <c r="IL193" s="62">
        <f>$IL192+$IJ193</f>
        <v/>
      </c>
      <c r="IM193" s="62">
        <f>SUMIFS(tblSafety[Inspections],tblSafety[Date],$A193)</f>
        <v/>
      </c>
      <c r="IN193" s="62">
        <f>IF($B193=$B192,$IN192,0)+$IM193</f>
        <v/>
      </c>
      <c r="IO193" s="62">
        <f>$IO192+$IM193</f>
        <v/>
      </c>
      <c r="IP193" s="56">
        <f>IFERROR((SUMIFS(tblSafety[Recordables],tblSafety[Date],"&gt;="&amp;EDATE($E193,-12),tblSafety[Date],"&lt;="&amp;$A193)+SUMIFS(tblSafetyHistory[Recordables],tblSafetyHistory[Month],"&gt;="&amp;EDATE($E193,-12),tblSafetyHistory[Month],"&lt;"&amp;$E193,tblSafetyHistory[Use],1))/(SUMIFS(tblSafety[Hours_Total],tblSafety[Date],"&gt;="&amp;EDATE($E193,-12),tblSafety[Date],"&lt;="&amp;$A193)+SUMIFS(tblSafetyHistory[Hours_Total],tblSafetyHistory[Month],"&gt;="&amp;EDATE($E193,-12),tblSafetyHistory[Month],"&lt;"&amp;$E193,tblSafetyHistory[Use],1))*cfg_RateBasisHours,"")</f>
        <v/>
      </c>
      <c r="IQ193" s="56">
        <f>IFERROR((SUMIFS(tblSafety[LTI],tblSafety[Date],"&gt;="&amp;EDATE($E193,-12),tblSafety[Date],"&lt;="&amp;$A193)+SUMIFS(tblSafetyHistory[LTI],tblSafetyHistory[Month],"&gt;="&amp;EDATE($E193,-12),tblSafetyHistory[Month],"&lt;"&amp;$E193,tblSafetyHistory[Use],1))/(SUMIFS(tblSafety[Hours_Total],tblSafety[Date],"&gt;="&amp;EDATE($E193,-12),tblSafety[Date],"&lt;="&amp;$A193)+SUMIFS(tblSafetyHistory[Hours_Total],tblSafetyHistory[Month],"&gt;="&amp;EDATE($E193,-12),tblSafetyHistory[Month],"&lt;"&amp;$E193,tblSafetyHistory[Use],1))*cfg_RateBasisHours,"")</f>
        <v/>
      </c>
      <c r="IR193" s="62">
        <f>IF(MAX(N(cfg_PriorLTIDate),_xlfn.MAXIFS(tblSafety[Date],tblSafety[LTI],"&gt;0",tblSafety[Date],"&lt;="&amp;$A193))=0,"",$A193-MAX(N(cfg_PriorLTIDate),_xlfn.MAXIFS(tblSafety[Date],tblSafety[LTI],"&gt;0",tblSafety[Date],"&lt;="&amp;$A193)))</f>
        <v/>
      </c>
      <c r="IS193" s="55">
        <f>SUMIFS(tblBudget[Ore_Mined_t],tblBudget[Month],$E193)</f>
        <v/>
      </c>
      <c r="IT193" s="55">
        <f>$IS193*$C193/$D193</f>
        <v/>
      </c>
      <c r="IU193" s="55">
        <f>SUMIFS(tblBudget[Ore_Mined_t],tblBudget[Month],"&lt;"&amp;$E193)+$IT193</f>
        <v/>
      </c>
      <c r="IV193" s="55">
        <f>SUMIFS(tblBudget[Ore_oz],tblBudget[Month],$E193)</f>
        <v/>
      </c>
      <c r="IW193" s="55">
        <f>$IV193*$C193/$D193</f>
        <v/>
      </c>
      <c r="IX193" s="55">
        <f>SUMIFS(tblBudget[Ore_oz],tblBudget[Month],"&lt;"&amp;$E193)+$IW193</f>
        <v/>
      </c>
      <c r="IY193" s="55">
        <f>SUMIFS(tblBudget[Ore_Mined_t],tblBudget[Month],$E193)</f>
        <v/>
      </c>
      <c r="IZ193" s="55">
        <f>$IY193*$C193/$D193</f>
        <v/>
      </c>
      <c r="JA193" s="55">
        <f>SUMIFS(tblBudget[Ore_Mined_t],tblBudget[Month],"&lt;"&amp;$E193)+$IZ193</f>
        <v/>
      </c>
      <c r="JB193" s="56">
        <f>IFERROR(IF(($IY193)&gt;0,($IV193*cfg_TroyOz)/($IY193),""),"")</f>
        <v/>
      </c>
      <c r="JC193" s="56">
        <f>IFERROR(IF(($IZ193)&gt;0,($IW193*cfg_TroyOz)/($IZ193),""),"")</f>
        <v/>
      </c>
      <c r="JD193" s="56">
        <f>IFERROR(IF(($JA193)&gt;0,($IX193*cfg_TroyOz)/($JA193),""),"")</f>
        <v/>
      </c>
      <c r="JE193" s="55">
        <f>SUMIFS(tblBudget[Waste_t],tblBudget[Month],$E193)</f>
        <v/>
      </c>
      <c r="JF193" s="55">
        <f>$JE193*$C193/$D193</f>
        <v/>
      </c>
      <c r="JG193" s="55">
        <f>SUMIFS(tblBudget[Waste_t],tblBudget[Month],"&lt;"&amp;$E193)+$JF193</f>
        <v/>
      </c>
      <c r="JH193" s="55">
        <f>SUMIFS(tblBudget[TMM_t],tblBudget[Month],$E193)</f>
        <v/>
      </c>
      <c r="JI193" s="55">
        <f>$JH193*$C193/$D193</f>
        <v/>
      </c>
      <c r="JJ193" s="55">
        <f>SUMIFS(tblBudget[TMM_t],tblBudget[Month],"&lt;"&amp;$E193)+$JI193</f>
        <v/>
      </c>
      <c r="JK193" s="56">
        <f>IFERROR(IF(($IS193)&gt;0,($JE193)/($IS193),""),"")</f>
        <v/>
      </c>
      <c r="JL193" s="56">
        <f>IFERROR(IF(($IT193)&gt;0,($JF193)/($IT193),""),"")</f>
        <v/>
      </c>
      <c r="JM193" s="56">
        <f>IFERROR(IF(($IU193)&gt;0,($JG193)/($IU193),""),"")</f>
        <v/>
      </c>
      <c r="JN193" s="55">
        <f>SUMIFS(tblBudget[Drill_m],tblBudget[Month],$E193)</f>
        <v/>
      </c>
      <c r="JO193" s="55">
        <f>$JN193*$C193/$D193</f>
        <v/>
      </c>
      <c r="JP193" s="55">
        <f>SUMIFS(tblBudget[Drill_m],tblBudget[Month],"&lt;"&amp;$E193)+$JO193</f>
        <v/>
      </c>
      <c r="JQ193" s="55">
        <f>SUMIFS(tblBudget[Diesel_L],tblBudget[Month],$E193)</f>
        <v/>
      </c>
      <c r="JR193" s="55">
        <f>$JQ193*$C193/$D193</f>
        <v/>
      </c>
      <c r="JS193" s="55">
        <f>SUMIFS(tblBudget[Diesel_L],tblBudget[Month],"&lt;"&amp;$E193)+$JR193</f>
        <v/>
      </c>
      <c r="JT193" s="55">
        <f>SUMIFS(tblBudget[Milled_t],tblBudget[Month],$E193)</f>
        <v/>
      </c>
      <c r="JU193" s="55">
        <f>$JT193*$C193/$D193</f>
        <v/>
      </c>
      <c r="JV193" s="55">
        <f>SUMIFS(tblBudget[Milled_t],tblBudget[Month],"&lt;"&amp;$E193)+$JU193</f>
        <v/>
      </c>
      <c r="JW193" s="55">
        <f>SUMIFS(tblBudget[Feed_oz],tblBudget[Month],$E193)</f>
        <v/>
      </c>
      <c r="JX193" s="55">
        <f>$JW193*$C193/$D193</f>
        <v/>
      </c>
      <c r="JY193" s="55">
        <f>SUMIFS(tblBudget[Feed_oz],tblBudget[Month],"&lt;"&amp;$E193)+$JX193</f>
        <v/>
      </c>
      <c r="JZ193" s="55">
        <f>SUMIFS(tblBudget[Recovered_oz],tblBudget[Month],$E193)</f>
        <v/>
      </c>
      <c r="KA193" s="55">
        <f>$JZ193*$C193/$D193</f>
        <v/>
      </c>
      <c r="KB193" s="55">
        <f>SUMIFS(tblBudget[Recovered_oz],tblBudget[Month],"&lt;"&amp;$E193)+$KA193</f>
        <v/>
      </c>
      <c r="KC193" s="55">
        <f>SUMIFS(tblBudget[Milled_t],tblBudget[Month],$E193)</f>
        <v/>
      </c>
      <c r="KD193" s="55">
        <f>$KC193*$C193/$D193</f>
        <v/>
      </c>
      <c r="KE193" s="55">
        <f>SUMIFS(tblBudget[Milled_t],tblBudget[Month],"&lt;"&amp;$E193)+$KD193</f>
        <v/>
      </c>
      <c r="KF193" s="55">
        <f>SUMIFS(tblBudget[Feed_oz],tblBudget[Month],$E193)</f>
        <v/>
      </c>
      <c r="KG193" s="55">
        <f>$KF193*$C193/$D193</f>
        <v/>
      </c>
      <c r="KH193" s="55">
        <f>SUMIFS(tblBudget[Feed_oz],tblBudget[Month],"&lt;"&amp;$E193)+$KG193</f>
        <v/>
      </c>
      <c r="KI193" s="56">
        <f>IFERROR(IF(($KC193)&gt;0,($JW193*cfg_TroyOz)/($KC193),""),"")</f>
        <v/>
      </c>
      <c r="KJ193" s="56">
        <f>IFERROR(IF(($KD193)&gt;0,($JX193*cfg_TroyOz)/($KD193),""),"")</f>
        <v/>
      </c>
      <c r="KK193" s="56">
        <f>IFERROR(IF(($KE193)&gt;0,($JY193*cfg_TroyOz)/($KE193),""),"")</f>
        <v/>
      </c>
      <c r="KL193" s="67">
        <f>IFERROR(IF(($KF193)&gt;0,($JZ193)/($KF193),""),"")</f>
        <v/>
      </c>
      <c r="KM193" s="67">
        <f>IFERROR(IF(($KG193)&gt;0,($KA193)/($KG193),""),"")</f>
        <v/>
      </c>
      <c r="KN193" s="67">
        <f>IFERROR(IF(($KH193)&gt;0,($KB193)/($KH193),""),"")</f>
        <v/>
      </c>
      <c r="KO193" s="55">
        <f>SUMIFS(tblBudget[Gold_Poured_oz],tblBudget[Month],$E193)</f>
        <v/>
      </c>
      <c r="KP193" s="55">
        <f>$KO193*$C193/$D193</f>
        <v/>
      </c>
      <c r="KQ193" s="55">
        <f>SUMIFS(tblBudget[Gold_Poured_oz],tblBudget[Month],"&lt;"&amp;$E193)+$KP193</f>
        <v/>
      </c>
      <c r="KR193" s="57">
        <f>SUMIFS(tblBudget[Hours_Worked],tblBudget[Month],$E193)</f>
        <v/>
      </c>
      <c r="KS193" s="57">
        <f>$KR193*$C193/$D193</f>
        <v/>
      </c>
      <c r="KT193" s="57">
        <f>SUMIFS(tblBudget[Hours_Worked],tblBudget[Month],"&lt;"&amp;$E193)+$KS193</f>
        <v/>
      </c>
    </row>
    <row r="194">
      <c r="A194" s="54" t="n">
        <v>46215</v>
      </c>
      <c r="B194">
        <f>MONTH($A194)</f>
        <v/>
      </c>
      <c r="C194">
        <f>DAY($A194)</f>
        <v/>
      </c>
      <c r="D194">
        <f>DAY(EOMONTH($A194,0))</f>
        <v/>
      </c>
      <c r="E194" s="54">
        <f>DATE(YEAR($A194),MONTH($A194),1)</f>
        <v/>
      </c>
      <c r="F194" s="55">
        <f>SUMIFS(tblMovement[Tonnes_t],tblMovement[Date],$A194,tblMovement[Is_Ore],1,tblMovement[Source_Type],"Pit")</f>
        <v/>
      </c>
      <c r="G194" s="55">
        <f>IF($B194=$B193,$G193,0)+$F194</f>
        <v/>
      </c>
      <c r="H194" s="55">
        <f>$H193+$F194</f>
        <v/>
      </c>
      <c r="I194" s="55">
        <f>SUMIFS(tblMovement[Ore_oz],tblMovement[Date],$A194,tblMovement[Source_Type],"Pit")</f>
        <v/>
      </c>
      <c r="J194" s="55">
        <f>IF($B194=$B193,$J193,0)+$I194</f>
        <v/>
      </c>
      <c r="K194" s="55">
        <f>$K193+$I194</f>
        <v/>
      </c>
      <c r="L194" s="55">
        <f>SUMIFS(tblMovement[Tonnes_t],tblMovement[Date],$A194,tblMovement[Is_Ore],1,tblMovement[Source_Type],"Pit",tblMovement[Grade_gpt],"&lt;&gt;")</f>
        <v/>
      </c>
      <c r="M194" s="55">
        <f>IF($B194=$B193,$M193,0)+$L194</f>
        <v/>
      </c>
      <c r="N194" s="55">
        <f>$N193+$L194</f>
        <v/>
      </c>
      <c r="O194" s="56">
        <f>IFERROR(IF(($L194)&gt;0,($I194*cfg_TroyOz)/($L194),""),"")</f>
        <v/>
      </c>
      <c r="P194" s="56">
        <f>IFERROR(IF(($M194)&gt;0,($J194*cfg_TroyOz)/($M194),""),"")</f>
        <v/>
      </c>
      <c r="Q194" s="56">
        <f>IFERROR(IF(($N194)&gt;0,($K194*cfg_TroyOz)/($N194),""),"")</f>
        <v/>
      </c>
      <c r="R194" s="55">
        <f>$F194-$L194</f>
        <v/>
      </c>
      <c r="S194" s="55">
        <f>IF($B194=$B193,$S193,0)+$R194</f>
        <v/>
      </c>
      <c r="T194" s="55">
        <f>$T193+$R194</f>
        <v/>
      </c>
      <c r="U194" s="55">
        <f>SUMIFS(tblMovement[Tonnes_t],tblMovement[Date],$A194,tblMovement[Is_Ore],0,tblMovement[Source_Type],"Pit")</f>
        <v/>
      </c>
      <c r="V194" s="55">
        <f>IF($B194=$B193,$V193,0)+$U194</f>
        <v/>
      </c>
      <c r="W194" s="55">
        <f>$W193+$U194</f>
        <v/>
      </c>
      <c r="X194" s="55">
        <f>$F194+$U194</f>
        <v/>
      </c>
      <c r="Y194" s="55">
        <f>IF($B194=$B193,$Y193,0)+$X194</f>
        <v/>
      </c>
      <c r="Z194" s="55">
        <f>$Z193+$X194</f>
        <v/>
      </c>
      <c r="AA194" s="56">
        <f>IFERROR(IF(($F194)&gt;0,($U194)/($F194),""),"")</f>
        <v/>
      </c>
      <c r="AB194" s="56">
        <f>IFERROR(IF(($G194)&gt;0,($V194)/($G194),""),"")</f>
        <v/>
      </c>
      <c r="AC194" s="56">
        <f>IFERROR(IF(($H194)&gt;0,($W194)/($H194),""),"")</f>
        <v/>
      </c>
      <c r="AD194" s="55">
        <f>SUMIFS(tblMovement[Tonnes_t],tblMovement[Date],$A194,tblMovement[Source_Type],"Stockpile")</f>
        <v/>
      </c>
      <c r="AE194" s="55">
        <f>IF($B194=$B193,$AE193,0)+$AD194</f>
        <v/>
      </c>
      <c r="AF194" s="55">
        <f>$AF193+$AD194</f>
        <v/>
      </c>
      <c r="AG194" s="55">
        <f>SUMIFS(tblMovement[Tonnes_t],tblMovement[Date],$A194)</f>
        <v/>
      </c>
      <c r="AH194" s="55">
        <f>IF($B194=$B193,$AH193,0)+$AG194</f>
        <v/>
      </c>
      <c r="AI194" s="55">
        <f>$AI193+$AG194</f>
        <v/>
      </c>
      <c r="AJ194" s="55">
        <f>$AG194-$X194-$AD194</f>
        <v/>
      </c>
      <c r="AK194" s="55">
        <f>IF($B194=$B193,$AK193,0)+$AJ194</f>
        <v/>
      </c>
      <c r="AL194" s="55">
        <f>$AL193+$AJ194</f>
        <v/>
      </c>
      <c r="AM194" s="55">
        <f>SUMIFS(tblMiningDaily[Drill_m],tblMiningDaily[Date],$A194)</f>
        <v/>
      </c>
      <c r="AN194" s="55">
        <f>IF($B194=$B193,$AN193,0)+$AM194</f>
        <v/>
      </c>
      <c r="AO194" s="55">
        <f>$AO193+$AM194</f>
        <v/>
      </c>
      <c r="AP194" s="55">
        <f>SUMIFS(tblMiningDaily[GC_Drill_m],tblMiningDaily[Date],$A194)</f>
        <v/>
      </c>
      <c r="AQ194" s="55">
        <f>IF($B194=$B193,$AQ193,0)+$AP194</f>
        <v/>
      </c>
      <c r="AR194" s="55">
        <f>$AR193+$AP194</f>
        <v/>
      </c>
      <c r="AS194" s="55">
        <f>SUMIFS(tblMiningDaily[Blast_t],tblMiningDaily[Date],$A194)</f>
        <v/>
      </c>
      <c r="AT194" s="55">
        <f>IF($B194=$B193,$AT193,0)+$AS194</f>
        <v/>
      </c>
      <c r="AU194" s="55">
        <f>$AU193+$AS194</f>
        <v/>
      </c>
      <c r="AV194" s="55">
        <f>SUMIFS(tblMiningDaily[Explosives_kg],tblMiningDaily[Date],$A194)</f>
        <v/>
      </c>
      <c r="AW194" s="55">
        <f>IF($B194=$B193,$AW193,0)+$AV194</f>
        <v/>
      </c>
      <c r="AX194" s="55">
        <f>$AX193+$AV194</f>
        <v/>
      </c>
      <c r="AY194" s="56">
        <f>IFERROR(IF(($AS194)&gt;0,($AV194)/($AS194),""),"")</f>
        <v/>
      </c>
      <c r="AZ194" s="56">
        <f>IFERROR(IF(($AT194)&gt;0,($AW194)/($AT194),""),"")</f>
        <v/>
      </c>
      <c r="BA194" s="56">
        <f>IFERROR(IF(($AU194)&gt;0,($AX194)/($AU194),""),"")</f>
        <v/>
      </c>
      <c r="BB194" s="55">
        <f>SUMIFS(tblMiningDaily[Diesel_L],tblMiningDaily[Date],$A194)</f>
        <v/>
      </c>
      <c r="BC194" s="55">
        <f>IF($B194=$B193,$BC193,0)+$BB194</f>
        <v/>
      </c>
      <c r="BD194" s="55">
        <f>$BD193+$BB194</f>
        <v/>
      </c>
      <c r="BE194" s="55">
        <f>SUMIFS(tblMiningDaily[Dewatering_m3],tblMiningDaily[Date],$A194)</f>
        <v/>
      </c>
      <c r="BF194" s="55">
        <f>IF($B194=$B193,$BF193,0)+$BE194</f>
        <v/>
      </c>
      <c r="BG194" s="55">
        <f>$BG193+$BE194</f>
        <v/>
      </c>
      <c r="BH194" s="57">
        <f>SUMIFS(tblFleet[Calendar_h],tblFleet[Date],$A194,tblFleet[Equipment_Class],"Excavator")</f>
        <v/>
      </c>
      <c r="BI194" s="57">
        <f>IF($B194=$B193,$BI193,0)+$BH194</f>
        <v/>
      </c>
      <c r="BJ194" s="57">
        <f>$BJ193+$BH194</f>
        <v/>
      </c>
      <c r="BK194" s="57">
        <f>SUMIFS(tblFleet[Available_h],tblFleet[Date],$A194,tblFleet[Equipment_Class],"Excavator")</f>
        <v/>
      </c>
      <c r="BL194" s="57">
        <f>IF($B194=$B193,$BL193,0)+$BK194</f>
        <v/>
      </c>
      <c r="BM194" s="57">
        <f>$BM193+$BK194</f>
        <v/>
      </c>
      <c r="BN194" s="57">
        <f>SUMIFS(tblFleet[Operating_h],tblFleet[Date],$A194,tblFleet[Equipment_Class],"Excavator")</f>
        <v/>
      </c>
      <c r="BO194" s="57">
        <f>IF($B194=$B193,$BO193,0)+$BN194</f>
        <v/>
      </c>
      <c r="BP194" s="57">
        <f>$BP193+$BN194</f>
        <v/>
      </c>
      <c r="BQ194" s="67">
        <f>IFERROR(IF(($BH194)&gt;0,($BK194)/($BH194),""),"")</f>
        <v/>
      </c>
      <c r="BR194" s="67">
        <f>IFERROR(IF(($BI194)&gt;0,($BL194)/($BI194),""),"")</f>
        <v/>
      </c>
      <c r="BS194" s="67">
        <f>IFERROR(IF(($BJ194)&gt;0,($BM194)/($BJ194),""),"")</f>
        <v/>
      </c>
      <c r="BT194" s="67">
        <f>IFERROR(IF(($BK194)&gt;0,($BN194)/($BK194),""),"")</f>
        <v/>
      </c>
      <c r="BU194" s="67">
        <f>IFERROR(IF(($BL194)&gt;0,($BO194)/($BL194),""),"")</f>
        <v/>
      </c>
      <c r="BV194" s="67">
        <f>IFERROR(IF(($BM194)&gt;0,($BP194)/($BM194),""),"")</f>
        <v/>
      </c>
      <c r="BW194" s="57">
        <f>SUMIFS(tblFleet[Calendar_h],tblFleet[Date],$A194,tblFleet[Equipment_Class],"Haul Truck")</f>
        <v/>
      </c>
      <c r="BX194" s="57">
        <f>IF($B194=$B193,$BX193,0)+$BW194</f>
        <v/>
      </c>
      <c r="BY194" s="57">
        <f>$BY193+$BW194</f>
        <v/>
      </c>
      <c r="BZ194" s="57">
        <f>SUMIFS(tblFleet[Available_h],tblFleet[Date],$A194,tblFleet[Equipment_Class],"Haul Truck")</f>
        <v/>
      </c>
      <c r="CA194" s="57">
        <f>IF($B194=$B193,$CA193,0)+$BZ194</f>
        <v/>
      </c>
      <c r="CB194" s="57">
        <f>$CB193+$BZ194</f>
        <v/>
      </c>
      <c r="CC194" s="57">
        <f>SUMIFS(tblFleet[Operating_h],tblFleet[Date],$A194,tblFleet[Equipment_Class],"Haul Truck")</f>
        <v/>
      </c>
      <c r="CD194" s="57">
        <f>IF($B194=$B193,$CD193,0)+$CC194</f>
        <v/>
      </c>
      <c r="CE194" s="57">
        <f>$CE193+$CC194</f>
        <v/>
      </c>
      <c r="CF194" s="67">
        <f>IFERROR(IF(($BW194)&gt;0,($BZ194)/($BW194),""),"")</f>
        <v/>
      </c>
      <c r="CG194" s="67">
        <f>IFERROR(IF(($BX194)&gt;0,($CA194)/($BX194),""),"")</f>
        <v/>
      </c>
      <c r="CH194" s="67">
        <f>IFERROR(IF(($BY194)&gt;0,($CB194)/($BY194),""),"")</f>
        <v/>
      </c>
      <c r="CI194" s="67">
        <f>IFERROR(IF(($BZ194)&gt;0,($CC194)/($BZ194),""),"")</f>
        <v/>
      </c>
      <c r="CJ194" s="67">
        <f>IFERROR(IF(($CA194)&gt;0,($CD194)/($CA194),""),"")</f>
        <v/>
      </c>
      <c r="CK194" s="67">
        <f>IFERROR(IF(($CB194)&gt;0,($CE194)/($CB194),""),"")</f>
        <v/>
      </c>
      <c r="CL194" s="55">
        <f>IFERROR(IF(($BN194)&gt;0,($X194+$AD194)/($BN194),""),"")</f>
        <v/>
      </c>
      <c r="CM194" s="55">
        <f>IFERROR(IF(($BO194)&gt;0,($Y194+$AE194)/($BO194),""),"")</f>
        <v/>
      </c>
      <c r="CN194" s="55">
        <f>IFERROR(IF(($BP194)&gt;0,($Z194+$AF194)/($BP194),""),"")</f>
        <v/>
      </c>
      <c r="CO194" s="55">
        <f>IFERROR(IF(($CC194)&gt;0,($X194+$AD194)/($CC194),""),"")</f>
        <v/>
      </c>
      <c r="CP194" s="55">
        <f>IFERROR(IF(($CD194)&gt;0,($Y194+$AE194)/($CD194),""),"")</f>
        <v/>
      </c>
      <c r="CQ194" s="55">
        <f>IFERROR(IF(($CE194)&gt;0,($Z194+$AF194)/($CE194),""),"")</f>
        <v/>
      </c>
      <c r="CR194" s="55">
        <f>SUMIFS(tblPlant[Crushed_t],tblPlant[Date],$A194)</f>
        <v/>
      </c>
      <c r="CS194" s="55">
        <f>IF($B194=$B193,$CS193,0)+$CR194</f>
        <v/>
      </c>
      <c r="CT194" s="55">
        <f>$CT193+$CR194</f>
        <v/>
      </c>
      <c r="CU194" s="55">
        <f>SUMIFS(tblPlant[Milled_t],tblPlant[Date],$A194)</f>
        <v/>
      </c>
      <c r="CV194" s="55">
        <f>IF($B194=$B193,$CV193,0)+$CU194</f>
        <v/>
      </c>
      <c r="CW194" s="55">
        <f>$CW193+$CU194</f>
        <v/>
      </c>
      <c r="CX194" s="55">
        <f>SUMIFS(tblPlant[Feed_oz],tblPlant[Date],$A194)</f>
        <v/>
      </c>
      <c r="CY194" s="55">
        <f>IF($B194=$B193,$CY193,0)+$CX194</f>
        <v/>
      </c>
      <c r="CZ194" s="55">
        <f>$CZ193+$CX194</f>
        <v/>
      </c>
      <c r="DA194" s="55">
        <f>SUMIFS(tblPlant[Tails_oz],tblPlant[Date],$A194)</f>
        <v/>
      </c>
      <c r="DB194" s="55">
        <f>IF($B194=$B193,$DB193,0)+$DA194</f>
        <v/>
      </c>
      <c r="DC194" s="55">
        <f>$DC193+$DA194</f>
        <v/>
      </c>
      <c r="DD194" s="55">
        <f>SUMIFS(tblPlant[Recovered_oz],tblPlant[Date],$A194)</f>
        <v/>
      </c>
      <c r="DE194" s="55">
        <f>IF($B194=$B193,$DE193,0)+$DD194</f>
        <v/>
      </c>
      <c r="DF194" s="55">
        <f>$DF193+$DD194</f>
        <v/>
      </c>
      <c r="DG194" s="55">
        <f>SUMIFS(tblPlant[Milled_t],tblPlant[Date],$A194,tblPlant[Head_Grade_gpt],"&lt;&gt;")</f>
        <v/>
      </c>
      <c r="DH194" s="55">
        <f>IF($B194=$B193,$DH193,0)+$DG194</f>
        <v/>
      </c>
      <c r="DI194" s="55">
        <f>$DI193+$DG194</f>
        <v/>
      </c>
      <c r="DJ194" s="55">
        <f>SUMIFS(tblPlant[Milled_t],tblPlant[Date],$A194,tblPlant[Tails_Grade_gpt],"&lt;&gt;")</f>
        <v/>
      </c>
      <c r="DK194" s="55">
        <f>IF($B194=$B193,$DK193,0)+$DJ194</f>
        <v/>
      </c>
      <c r="DL194" s="55">
        <f>$DL193+$DJ194</f>
        <v/>
      </c>
      <c r="DM194" s="55">
        <f>SUMIFS(tblPlant[Feed_oz],tblPlant[Date],$A194,tblPlant[Tails_Grade_gpt],"&lt;&gt;")</f>
        <v/>
      </c>
      <c r="DN194" s="55">
        <f>IF($B194=$B193,$DN193,0)+$DM194</f>
        <v/>
      </c>
      <c r="DO194" s="55">
        <f>$DO193+$DM194</f>
        <v/>
      </c>
      <c r="DP194" s="55">
        <f>SUMIFS(tblPlant[Milled_t],tblPlant[Date],$A194,tblPlant[Mill_Run_h],"&lt;&gt;")</f>
        <v/>
      </c>
      <c r="DQ194" s="55">
        <f>IF($B194=$B193,$DQ193,0)+$DP194</f>
        <v/>
      </c>
      <c r="DR194" s="55">
        <f>$DR193+$DP194</f>
        <v/>
      </c>
      <c r="DS194" s="56">
        <f>IFERROR(IF(($DG194)&gt;0,($CX194*cfg_TroyOz)/($DG194),""),"")</f>
        <v/>
      </c>
      <c r="DT194" s="56">
        <f>IFERROR(IF(($DH194)&gt;0,($CY194*cfg_TroyOz)/($DH194),""),"")</f>
        <v/>
      </c>
      <c r="DU194" s="56">
        <f>IFERROR(IF(($DI194)&gt;0,($CZ194*cfg_TroyOz)/($DI194),""),"")</f>
        <v/>
      </c>
      <c r="DV194" s="56">
        <f>IFERROR(IF(($DJ194)&gt;0,($DA194*cfg_TroyOz)/($DJ194),""),"")</f>
        <v/>
      </c>
      <c r="DW194" s="56">
        <f>IFERROR(IF(($DK194)&gt;0,($DB194*cfg_TroyOz)/($DK194),""),"")</f>
        <v/>
      </c>
      <c r="DX194" s="56">
        <f>IFERROR(IF(($DL194)&gt;0,($DC194*cfg_TroyOz)/($DL194),""),"")</f>
        <v/>
      </c>
      <c r="DY194" s="67">
        <f>IFERROR(IF(($DM194)&gt;0,($DD194)/($DM194),""),"")</f>
        <v/>
      </c>
      <c r="DZ194" s="67">
        <f>IFERROR(IF(($DN194)&gt;0,($DE194)/($DN194),""),"")</f>
        <v/>
      </c>
      <c r="EA194" s="67">
        <f>IFERROR(IF(($DO194)&gt;0,($DF194)/($DO194),""),"")</f>
        <v/>
      </c>
      <c r="EB194" s="55">
        <f>SUMIFS(tblPlant[Gravity_Gold_oz],tblPlant[Date],$A194)</f>
        <v/>
      </c>
      <c r="EC194" s="55">
        <f>IF($B194=$B193,$EC193,0)+$EB194</f>
        <v/>
      </c>
      <c r="ED194" s="55">
        <f>$ED193+$EB194</f>
        <v/>
      </c>
      <c r="EE194" s="67">
        <f>IFERROR(IF(($DD194)&gt;0,($EB194)/($DD194),""),"")</f>
        <v/>
      </c>
      <c r="EF194" s="67">
        <f>IFERROR(IF(($DE194)&gt;0,($EC194)/($DE194),""),"")</f>
        <v/>
      </c>
      <c r="EG194" s="67">
        <f>IFERROR(IF(($DF194)&gt;0,($ED194)/($DF194),""),"")</f>
        <v/>
      </c>
      <c r="EH194" s="55">
        <f>SUMIFS(tblPlant[Gold_Poured_oz],tblPlant[Date],$A194)</f>
        <v/>
      </c>
      <c r="EI194" s="55">
        <f>IF($B194=$B193,$EI193,0)+$EH194</f>
        <v/>
      </c>
      <c r="EJ194" s="55">
        <f>$EJ193+$EH194</f>
        <v/>
      </c>
      <c r="EK194" s="57">
        <f>SUMIFS(tblPlant[Mill_Run_h],tblPlant[Date],$A194)</f>
        <v/>
      </c>
      <c r="EL194" s="57">
        <f>IF($B194=$B193,$EL193,0)+$EK194</f>
        <v/>
      </c>
      <c r="EM194" s="57">
        <f>$EM193+$EK194</f>
        <v/>
      </c>
      <c r="EN194" s="57">
        <f>SUMIFS(tblPlant[Mill_Planned_Maint_h],tblPlant[Date],$A194)</f>
        <v/>
      </c>
      <c r="EO194" s="57">
        <f>IF($B194=$B193,$EO193,0)+$EN194</f>
        <v/>
      </c>
      <c r="EP194" s="57">
        <f>$EP193+$EN194</f>
        <v/>
      </c>
      <c r="EQ194" s="57">
        <f>SUMIFS(tblPlant[Mill_Unplanned_Down_h],tblPlant[Date],$A194)</f>
        <v/>
      </c>
      <c r="ER194" s="57">
        <f>IF($B194=$B193,$ER193,0)+$EQ194</f>
        <v/>
      </c>
      <c r="ES194" s="57">
        <f>$ES193+$EQ194</f>
        <v/>
      </c>
      <c r="ET194" s="57">
        <f>IF(COUNTIFS(tblPlant[Date],$A194,tblPlant[Mill_Run_h],"&lt;&gt;")+COUNTIFS(tblPlant[Date],$A194,tblPlant[Mill_Planned_Maint_h],"&lt;&gt;")+COUNTIFS(tblPlant[Date],$A194,tblPlant[Mill_Unplanned_Down_h],"&lt;&gt;")&gt;0,cfg_HoursPerDay,0)</f>
        <v/>
      </c>
      <c r="EU194" s="57">
        <f>IF($B194=$B193,$EU193,0)+$ET194</f>
        <v/>
      </c>
      <c r="EV194" s="57">
        <f>$EV193+$ET194</f>
        <v/>
      </c>
      <c r="EW194" s="57">
        <f>SUMIFS(tblPlant[Crusher_Run_h],tblPlant[Date],$A194)</f>
        <v/>
      </c>
      <c r="EX194" s="57">
        <f>IF($B194=$B193,$EX193,0)+$EW194</f>
        <v/>
      </c>
      <c r="EY194" s="57">
        <f>$EY193+$EW194</f>
        <v/>
      </c>
      <c r="EZ194" s="55">
        <f>IFERROR(IF(($EK194)&gt;0,($DP194)/($EK194),""),"")</f>
        <v/>
      </c>
      <c r="FA194" s="55">
        <f>IFERROR(IF(($EL194)&gt;0,($DQ194)/($EL194),""),"")</f>
        <v/>
      </c>
      <c r="FB194" s="55">
        <f>IFERROR(IF(($EM194)&gt;0,($DR194)/($EM194),""),"")</f>
        <v/>
      </c>
      <c r="FC194" s="67">
        <f>IFERROR(IF(($ET194)&gt;0,($ET194-$EN194-$EQ194)/($ET194),""),"")</f>
        <v/>
      </c>
      <c r="FD194" s="67">
        <f>IFERROR(IF(($EU194)&gt;0,($EU194-$EO194-$ER194)/($EU194),""),"")</f>
        <v/>
      </c>
      <c r="FE194" s="67">
        <f>IFERROR(IF(($EV194)&gt;0,($EV194-$EP194-$ES194)/($EV194),""),"")</f>
        <v/>
      </c>
      <c r="FF194" s="67">
        <f>IFERROR(IF(($ET194-$EN194-$EQ194)&gt;0,($EK194)/($ET194-$EN194-$EQ194),""),"")</f>
        <v/>
      </c>
      <c r="FG194" s="67">
        <f>IFERROR(IF(($EU194-$EO194-$ER194)&gt;0,($EL194)/($EU194-$EO194-$ER194),""),"")</f>
        <v/>
      </c>
      <c r="FH194" s="67">
        <f>IFERROR(IF(($EV194-$EP194-$ES194)&gt;0,($EM194)/($EV194-$EP194-$ES194),""),"")</f>
        <v/>
      </c>
      <c r="FI194" s="55">
        <f>SUMIFS(tblPlant[Cyanide_kg],tblPlant[Date],$A194)</f>
        <v/>
      </c>
      <c r="FJ194" s="55">
        <f>IF($B194=$B193,$FJ193,0)+$FI194</f>
        <v/>
      </c>
      <c r="FK194" s="55">
        <f>$FK193+$FI194</f>
        <v/>
      </c>
      <c r="FL194" s="55">
        <f>SUMIFS(tblPlant[Lime_kg],tblPlant[Date],$A194)</f>
        <v/>
      </c>
      <c r="FM194" s="55">
        <f>IF($B194=$B193,$FM193,0)+$FL194</f>
        <v/>
      </c>
      <c r="FN194" s="55">
        <f>$FN193+$FL194</f>
        <v/>
      </c>
      <c r="FO194" s="55">
        <f>SUMIFS(tblPlant[Grinding_Media_kg],tblPlant[Date],$A194)</f>
        <v/>
      </c>
      <c r="FP194" s="55">
        <f>IF($B194=$B193,$FP193,0)+$FO194</f>
        <v/>
      </c>
      <c r="FQ194" s="55">
        <f>$FQ193+$FO194</f>
        <v/>
      </c>
      <c r="FR194" s="55">
        <f>SUMIFS(tblPlant[Power_kWh],tblPlant[Date],$A194)</f>
        <v/>
      </c>
      <c r="FS194" s="55">
        <f>IF($B194=$B193,$FS193,0)+$FR194</f>
        <v/>
      </c>
      <c r="FT194" s="55">
        <f>$FT193+$FR194</f>
        <v/>
      </c>
      <c r="FU194" s="55">
        <f>SUMIFS(tblPlant[Raw_Water_m3],tblPlant[Date],$A194)</f>
        <v/>
      </c>
      <c r="FV194" s="55">
        <f>IF($B194=$B193,$FV193,0)+$FU194</f>
        <v/>
      </c>
      <c r="FW194" s="55">
        <f>$FW193+$FU194</f>
        <v/>
      </c>
      <c r="FX194" s="56">
        <f>IFERROR(IF(($CU194)&gt;0,($FI194)/($CU194),""),"")</f>
        <v/>
      </c>
      <c r="FY194" s="56">
        <f>IFERROR(IF(($CV194)&gt;0,($FJ194)/($CV194),""),"")</f>
        <v/>
      </c>
      <c r="FZ194" s="56">
        <f>IFERROR(IF(($CW194)&gt;0,($FK194)/($CW194),""),"")</f>
        <v/>
      </c>
      <c r="GA194" s="56">
        <f>IFERROR(IF(($CU194)&gt;0,($FL194)/($CU194),""),"")</f>
        <v/>
      </c>
      <c r="GB194" s="56">
        <f>IFERROR(IF(($CV194)&gt;0,($FM194)/($CV194),""),"")</f>
        <v/>
      </c>
      <c r="GC194" s="56">
        <f>IFERROR(IF(($CW194)&gt;0,($FN194)/($CW194),""),"")</f>
        <v/>
      </c>
      <c r="GD194" s="56">
        <f>IFERROR(IF(($CU194)&gt;0,($FO194)/($CU194),""),"")</f>
        <v/>
      </c>
      <c r="GE194" s="56">
        <f>IFERROR(IF(($CV194)&gt;0,($FP194)/($CV194),""),"")</f>
        <v/>
      </c>
      <c r="GF194" s="56">
        <f>IFERROR(IF(($CW194)&gt;0,($FQ194)/($CW194),""),"")</f>
        <v/>
      </c>
      <c r="GG194" s="79">
        <f>IFERROR(IF(($CU194)&gt;0,($FR194)/($CU194),""),"")</f>
        <v/>
      </c>
      <c r="GH194" s="79">
        <f>IFERROR(IF(($CV194)&gt;0,($FS194)/($CV194),""),"")</f>
        <v/>
      </c>
      <c r="GI194" s="79">
        <f>IFERROR(IF(($CW194)&gt;0,($FT194)/($CW194),""),"")</f>
        <v/>
      </c>
      <c r="GJ194" s="56">
        <f>IFERROR(IF(($CU194)&gt;0,($FU194)/($CU194),""),"")</f>
        <v/>
      </c>
      <c r="GK194" s="56">
        <f>IFERROR(IF(($CV194)&gt;0,($FV194)/($CV194),""),"")</f>
        <v/>
      </c>
      <c r="GL194" s="56">
        <f>IFERROR(IF(($CW194)&gt;0,($FW194)/($CW194),""),"")</f>
        <v/>
      </c>
      <c r="GM194" s="55">
        <f>IF(SUMIFS(tblPlant[GIC_oz],tblPlant[Date],$A194)&gt;0,SUMIFS(tblPlant[GIC_oz],tblPlant[Date],$A194),"")</f>
        <v/>
      </c>
      <c r="GN194" s="55">
        <f>SUMIFS(tblGold[Gold_oz],tblGold[Date],$A194,tblGold[Type],"Shipment")</f>
        <v/>
      </c>
      <c r="GO194" s="55">
        <f>IF($B194=$B193,$GO193,0)+$GN194</f>
        <v/>
      </c>
      <c r="GP194" s="55">
        <f>$GP193+$GN194</f>
        <v/>
      </c>
      <c r="GQ194" s="55">
        <f>SUMIFS(tblGold[Gold_oz],tblGold[Date],$A194,tblGold[Type],"Sale")</f>
        <v/>
      </c>
      <c r="GR194" s="55">
        <f>IF($B194=$B193,$GR193,0)+$GQ194</f>
        <v/>
      </c>
      <c r="GS194" s="55">
        <f>$GS193+$GQ194</f>
        <v/>
      </c>
      <c r="GT194" s="55">
        <f>SUMIFS(tblGold[Dore_kg],tblGold[Date],$A194,tblGold[Type],"Shipment")</f>
        <v/>
      </c>
      <c r="GU194" s="55">
        <f>IF($B194=$B193,$GU193,0)+$GT194</f>
        <v/>
      </c>
      <c r="GV194" s="55">
        <f>$GV193+$GT194</f>
        <v/>
      </c>
      <c r="GW194" s="57">
        <f>SUMIFS(tblSafety[Hours_Total],tblSafety[Date],$A194)</f>
        <v/>
      </c>
      <c r="GX194" s="57">
        <f>IF($B194=$B193,$GX193,0)+$GW194</f>
        <v/>
      </c>
      <c r="GY194" s="57">
        <f>$GY193+$GW194</f>
        <v/>
      </c>
      <c r="GZ194" s="62">
        <f>SUMIFS(tblSafety[Fatality],tblSafety[Date],$A194)</f>
        <v/>
      </c>
      <c r="HA194" s="62">
        <f>IF($B194=$B193,$HA193,0)+$GZ194</f>
        <v/>
      </c>
      <c r="HB194" s="62">
        <f>$HB193+$GZ194</f>
        <v/>
      </c>
      <c r="HC194" s="62">
        <f>SUMIFS(tblSafety[LTI],tblSafety[Date],$A194)</f>
        <v/>
      </c>
      <c r="HD194" s="62">
        <f>IF($B194=$B193,$HD193,0)+$HC194</f>
        <v/>
      </c>
      <c r="HE194" s="62">
        <f>$HE193+$HC194</f>
        <v/>
      </c>
      <c r="HF194" s="62">
        <f>SUMIFS(tblSafety[RWI],tblSafety[Date],$A194)</f>
        <v/>
      </c>
      <c r="HG194" s="62">
        <f>IF($B194=$B193,$HG193,0)+$HF194</f>
        <v/>
      </c>
      <c r="HH194" s="62">
        <f>$HH193+$HF194</f>
        <v/>
      </c>
      <c r="HI194" s="62">
        <f>SUMIFS(tblSafety[MTI],tblSafety[Date],$A194)</f>
        <v/>
      </c>
      <c r="HJ194" s="62">
        <f>IF($B194=$B193,$HJ193,0)+$HI194</f>
        <v/>
      </c>
      <c r="HK194" s="62">
        <f>$HK193+$HI194</f>
        <v/>
      </c>
      <c r="HL194" s="62">
        <f>SUMIFS(tblSafety[FAI],tblSafety[Date],$A194)</f>
        <v/>
      </c>
      <c r="HM194" s="62">
        <f>IF($B194=$B193,$HM193,0)+$HL194</f>
        <v/>
      </c>
      <c r="HN194" s="62">
        <f>$HN193+$HL194</f>
        <v/>
      </c>
      <c r="HO194" s="62">
        <f>SUMIFS(tblSafety[Recordables],tblSafety[Date],$A194)</f>
        <v/>
      </c>
      <c r="HP194" s="62">
        <f>IF($B194=$B193,$HP193,0)+$HO194</f>
        <v/>
      </c>
      <c r="HQ194" s="62">
        <f>$HQ193+$HO194</f>
        <v/>
      </c>
      <c r="HR194" s="62">
        <f>SUMIFS(tblSafety[Near_Miss],tblSafety[Date],$A194)</f>
        <v/>
      </c>
      <c r="HS194" s="62">
        <f>IF($B194=$B193,$HS193,0)+$HR194</f>
        <v/>
      </c>
      <c r="HT194" s="62">
        <f>$HT193+$HR194</f>
        <v/>
      </c>
      <c r="HU194" s="62">
        <f>SUMIFS(tblSafety[Hazard_Reports],tblSafety[Date],$A194)</f>
        <v/>
      </c>
      <c r="HV194" s="62">
        <f>IF($B194=$B193,$HV193,0)+$HU194</f>
        <v/>
      </c>
      <c r="HW194" s="62">
        <f>$HW193+$HU194</f>
        <v/>
      </c>
      <c r="HX194" s="62">
        <f>SUMIFS(tblSafety[HPI],tblSafety[Date],$A194)</f>
        <v/>
      </c>
      <c r="HY194" s="62">
        <f>IF($B194=$B193,$HY193,0)+$HX194</f>
        <v/>
      </c>
      <c r="HZ194" s="62">
        <f>$HZ193+$HX194</f>
        <v/>
      </c>
      <c r="IA194" s="62">
        <f>SUMIFS(tblSafety[Env_Incidents],tblSafety[Date],$A194)</f>
        <v/>
      </c>
      <c r="IB194" s="62">
        <f>IF($B194=$B193,$IB193,0)+$IA194</f>
        <v/>
      </c>
      <c r="IC194" s="62">
        <f>$IC193+$IA194</f>
        <v/>
      </c>
      <c r="ID194" s="62">
        <f>SUMIFS(tblSafety[Community_Incidents],tblSafety[Date],$A194)</f>
        <v/>
      </c>
      <c r="IE194" s="62">
        <f>IF($B194=$B193,$IE193,0)+$ID194</f>
        <v/>
      </c>
      <c r="IF194" s="62">
        <f>$IF193+$ID194</f>
        <v/>
      </c>
      <c r="IG194" s="62">
        <f>SUMIFS(tblSafety[Vehicle_Incidents],tblSafety[Date],$A194)</f>
        <v/>
      </c>
      <c r="IH194" s="62">
        <f>IF($B194=$B193,$IH193,0)+$IG194</f>
        <v/>
      </c>
      <c r="II194" s="62">
        <f>$II193+$IG194</f>
        <v/>
      </c>
      <c r="IJ194" s="62">
        <f>SUMIFS(tblSafety[Toolbox_Talks],tblSafety[Date],$A194)</f>
        <v/>
      </c>
      <c r="IK194" s="62">
        <f>IF($B194=$B193,$IK193,0)+$IJ194</f>
        <v/>
      </c>
      <c r="IL194" s="62">
        <f>$IL193+$IJ194</f>
        <v/>
      </c>
      <c r="IM194" s="62">
        <f>SUMIFS(tblSafety[Inspections],tblSafety[Date],$A194)</f>
        <v/>
      </c>
      <c r="IN194" s="62">
        <f>IF($B194=$B193,$IN193,0)+$IM194</f>
        <v/>
      </c>
      <c r="IO194" s="62">
        <f>$IO193+$IM194</f>
        <v/>
      </c>
      <c r="IP194" s="56">
        <f>IFERROR((SUMIFS(tblSafety[Recordables],tblSafety[Date],"&gt;="&amp;EDATE($E194,-12),tblSafety[Date],"&lt;="&amp;$A194)+SUMIFS(tblSafetyHistory[Recordables],tblSafetyHistory[Month],"&gt;="&amp;EDATE($E194,-12),tblSafetyHistory[Month],"&lt;"&amp;$E194,tblSafetyHistory[Use],1))/(SUMIFS(tblSafety[Hours_Total],tblSafety[Date],"&gt;="&amp;EDATE($E194,-12),tblSafety[Date],"&lt;="&amp;$A194)+SUMIFS(tblSafetyHistory[Hours_Total],tblSafetyHistory[Month],"&gt;="&amp;EDATE($E194,-12),tblSafetyHistory[Month],"&lt;"&amp;$E194,tblSafetyHistory[Use],1))*cfg_RateBasisHours,"")</f>
        <v/>
      </c>
      <c r="IQ194" s="56">
        <f>IFERROR((SUMIFS(tblSafety[LTI],tblSafety[Date],"&gt;="&amp;EDATE($E194,-12),tblSafety[Date],"&lt;="&amp;$A194)+SUMIFS(tblSafetyHistory[LTI],tblSafetyHistory[Month],"&gt;="&amp;EDATE($E194,-12),tblSafetyHistory[Month],"&lt;"&amp;$E194,tblSafetyHistory[Use],1))/(SUMIFS(tblSafety[Hours_Total],tblSafety[Date],"&gt;="&amp;EDATE($E194,-12),tblSafety[Date],"&lt;="&amp;$A194)+SUMIFS(tblSafetyHistory[Hours_Total],tblSafetyHistory[Month],"&gt;="&amp;EDATE($E194,-12),tblSafetyHistory[Month],"&lt;"&amp;$E194,tblSafetyHistory[Use],1))*cfg_RateBasisHours,"")</f>
        <v/>
      </c>
      <c r="IR194" s="62">
        <f>IF(MAX(N(cfg_PriorLTIDate),_xlfn.MAXIFS(tblSafety[Date],tblSafety[LTI],"&gt;0",tblSafety[Date],"&lt;="&amp;$A194))=0,"",$A194-MAX(N(cfg_PriorLTIDate),_xlfn.MAXIFS(tblSafety[Date],tblSafety[LTI],"&gt;0",tblSafety[Date],"&lt;="&amp;$A194)))</f>
        <v/>
      </c>
      <c r="IS194" s="55">
        <f>SUMIFS(tblBudget[Ore_Mined_t],tblBudget[Month],$E194)</f>
        <v/>
      </c>
      <c r="IT194" s="55">
        <f>$IS194*$C194/$D194</f>
        <v/>
      </c>
      <c r="IU194" s="55">
        <f>SUMIFS(tblBudget[Ore_Mined_t],tblBudget[Month],"&lt;"&amp;$E194)+$IT194</f>
        <v/>
      </c>
      <c r="IV194" s="55">
        <f>SUMIFS(tblBudget[Ore_oz],tblBudget[Month],$E194)</f>
        <v/>
      </c>
      <c r="IW194" s="55">
        <f>$IV194*$C194/$D194</f>
        <v/>
      </c>
      <c r="IX194" s="55">
        <f>SUMIFS(tblBudget[Ore_oz],tblBudget[Month],"&lt;"&amp;$E194)+$IW194</f>
        <v/>
      </c>
      <c r="IY194" s="55">
        <f>SUMIFS(tblBudget[Ore_Mined_t],tblBudget[Month],$E194)</f>
        <v/>
      </c>
      <c r="IZ194" s="55">
        <f>$IY194*$C194/$D194</f>
        <v/>
      </c>
      <c r="JA194" s="55">
        <f>SUMIFS(tblBudget[Ore_Mined_t],tblBudget[Month],"&lt;"&amp;$E194)+$IZ194</f>
        <v/>
      </c>
      <c r="JB194" s="56">
        <f>IFERROR(IF(($IY194)&gt;0,($IV194*cfg_TroyOz)/($IY194),""),"")</f>
        <v/>
      </c>
      <c r="JC194" s="56">
        <f>IFERROR(IF(($IZ194)&gt;0,($IW194*cfg_TroyOz)/($IZ194),""),"")</f>
        <v/>
      </c>
      <c r="JD194" s="56">
        <f>IFERROR(IF(($JA194)&gt;0,($IX194*cfg_TroyOz)/($JA194),""),"")</f>
        <v/>
      </c>
      <c r="JE194" s="55">
        <f>SUMIFS(tblBudget[Waste_t],tblBudget[Month],$E194)</f>
        <v/>
      </c>
      <c r="JF194" s="55">
        <f>$JE194*$C194/$D194</f>
        <v/>
      </c>
      <c r="JG194" s="55">
        <f>SUMIFS(tblBudget[Waste_t],tblBudget[Month],"&lt;"&amp;$E194)+$JF194</f>
        <v/>
      </c>
      <c r="JH194" s="55">
        <f>SUMIFS(tblBudget[TMM_t],tblBudget[Month],$E194)</f>
        <v/>
      </c>
      <c r="JI194" s="55">
        <f>$JH194*$C194/$D194</f>
        <v/>
      </c>
      <c r="JJ194" s="55">
        <f>SUMIFS(tblBudget[TMM_t],tblBudget[Month],"&lt;"&amp;$E194)+$JI194</f>
        <v/>
      </c>
      <c r="JK194" s="56">
        <f>IFERROR(IF(($IS194)&gt;0,($JE194)/($IS194),""),"")</f>
        <v/>
      </c>
      <c r="JL194" s="56">
        <f>IFERROR(IF(($IT194)&gt;0,($JF194)/($IT194),""),"")</f>
        <v/>
      </c>
      <c r="JM194" s="56">
        <f>IFERROR(IF(($IU194)&gt;0,($JG194)/($IU194),""),"")</f>
        <v/>
      </c>
      <c r="JN194" s="55">
        <f>SUMIFS(tblBudget[Drill_m],tblBudget[Month],$E194)</f>
        <v/>
      </c>
      <c r="JO194" s="55">
        <f>$JN194*$C194/$D194</f>
        <v/>
      </c>
      <c r="JP194" s="55">
        <f>SUMIFS(tblBudget[Drill_m],tblBudget[Month],"&lt;"&amp;$E194)+$JO194</f>
        <v/>
      </c>
      <c r="JQ194" s="55">
        <f>SUMIFS(tblBudget[Diesel_L],tblBudget[Month],$E194)</f>
        <v/>
      </c>
      <c r="JR194" s="55">
        <f>$JQ194*$C194/$D194</f>
        <v/>
      </c>
      <c r="JS194" s="55">
        <f>SUMIFS(tblBudget[Diesel_L],tblBudget[Month],"&lt;"&amp;$E194)+$JR194</f>
        <v/>
      </c>
      <c r="JT194" s="55">
        <f>SUMIFS(tblBudget[Milled_t],tblBudget[Month],$E194)</f>
        <v/>
      </c>
      <c r="JU194" s="55">
        <f>$JT194*$C194/$D194</f>
        <v/>
      </c>
      <c r="JV194" s="55">
        <f>SUMIFS(tblBudget[Milled_t],tblBudget[Month],"&lt;"&amp;$E194)+$JU194</f>
        <v/>
      </c>
      <c r="JW194" s="55">
        <f>SUMIFS(tblBudget[Feed_oz],tblBudget[Month],$E194)</f>
        <v/>
      </c>
      <c r="JX194" s="55">
        <f>$JW194*$C194/$D194</f>
        <v/>
      </c>
      <c r="JY194" s="55">
        <f>SUMIFS(tblBudget[Feed_oz],tblBudget[Month],"&lt;"&amp;$E194)+$JX194</f>
        <v/>
      </c>
      <c r="JZ194" s="55">
        <f>SUMIFS(tblBudget[Recovered_oz],tblBudget[Month],$E194)</f>
        <v/>
      </c>
      <c r="KA194" s="55">
        <f>$JZ194*$C194/$D194</f>
        <v/>
      </c>
      <c r="KB194" s="55">
        <f>SUMIFS(tblBudget[Recovered_oz],tblBudget[Month],"&lt;"&amp;$E194)+$KA194</f>
        <v/>
      </c>
      <c r="KC194" s="55">
        <f>SUMIFS(tblBudget[Milled_t],tblBudget[Month],$E194)</f>
        <v/>
      </c>
      <c r="KD194" s="55">
        <f>$KC194*$C194/$D194</f>
        <v/>
      </c>
      <c r="KE194" s="55">
        <f>SUMIFS(tblBudget[Milled_t],tblBudget[Month],"&lt;"&amp;$E194)+$KD194</f>
        <v/>
      </c>
      <c r="KF194" s="55">
        <f>SUMIFS(tblBudget[Feed_oz],tblBudget[Month],$E194)</f>
        <v/>
      </c>
      <c r="KG194" s="55">
        <f>$KF194*$C194/$D194</f>
        <v/>
      </c>
      <c r="KH194" s="55">
        <f>SUMIFS(tblBudget[Feed_oz],tblBudget[Month],"&lt;"&amp;$E194)+$KG194</f>
        <v/>
      </c>
      <c r="KI194" s="56">
        <f>IFERROR(IF(($KC194)&gt;0,($JW194*cfg_TroyOz)/($KC194),""),"")</f>
        <v/>
      </c>
      <c r="KJ194" s="56">
        <f>IFERROR(IF(($KD194)&gt;0,($JX194*cfg_TroyOz)/($KD194),""),"")</f>
        <v/>
      </c>
      <c r="KK194" s="56">
        <f>IFERROR(IF(($KE194)&gt;0,($JY194*cfg_TroyOz)/($KE194),""),"")</f>
        <v/>
      </c>
      <c r="KL194" s="67">
        <f>IFERROR(IF(($KF194)&gt;0,($JZ194)/($KF194),""),"")</f>
        <v/>
      </c>
      <c r="KM194" s="67">
        <f>IFERROR(IF(($KG194)&gt;0,($KA194)/($KG194),""),"")</f>
        <v/>
      </c>
      <c r="KN194" s="67">
        <f>IFERROR(IF(($KH194)&gt;0,($KB194)/($KH194),""),"")</f>
        <v/>
      </c>
      <c r="KO194" s="55">
        <f>SUMIFS(tblBudget[Gold_Poured_oz],tblBudget[Month],$E194)</f>
        <v/>
      </c>
      <c r="KP194" s="55">
        <f>$KO194*$C194/$D194</f>
        <v/>
      </c>
      <c r="KQ194" s="55">
        <f>SUMIFS(tblBudget[Gold_Poured_oz],tblBudget[Month],"&lt;"&amp;$E194)+$KP194</f>
        <v/>
      </c>
      <c r="KR194" s="57">
        <f>SUMIFS(tblBudget[Hours_Worked],tblBudget[Month],$E194)</f>
        <v/>
      </c>
      <c r="KS194" s="57">
        <f>$KR194*$C194/$D194</f>
        <v/>
      </c>
      <c r="KT194" s="57">
        <f>SUMIFS(tblBudget[Hours_Worked],tblBudget[Month],"&lt;"&amp;$E194)+$KS194</f>
        <v/>
      </c>
    </row>
    <row r="195">
      <c r="A195" s="54" t="n">
        <v>46216</v>
      </c>
      <c r="B195">
        <f>MONTH($A195)</f>
        <v/>
      </c>
      <c r="C195">
        <f>DAY($A195)</f>
        <v/>
      </c>
      <c r="D195">
        <f>DAY(EOMONTH($A195,0))</f>
        <v/>
      </c>
      <c r="E195" s="54">
        <f>DATE(YEAR($A195),MONTH($A195),1)</f>
        <v/>
      </c>
      <c r="F195" s="55">
        <f>SUMIFS(tblMovement[Tonnes_t],tblMovement[Date],$A195,tblMovement[Is_Ore],1,tblMovement[Source_Type],"Pit")</f>
        <v/>
      </c>
      <c r="G195" s="55">
        <f>IF($B195=$B194,$G194,0)+$F195</f>
        <v/>
      </c>
      <c r="H195" s="55">
        <f>$H194+$F195</f>
        <v/>
      </c>
      <c r="I195" s="55">
        <f>SUMIFS(tblMovement[Ore_oz],tblMovement[Date],$A195,tblMovement[Source_Type],"Pit")</f>
        <v/>
      </c>
      <c r="J195" s="55">
        <f>IF($B195=$B194,$J194,0)+$I195</f>
        <v/>
      </c>
      <c r="K195" s="55">
        <f>$K194+$I195</f>
        <v/>
      </c>
      <c r="L195" s="55">
        <f>SUMIFS(tblMovement[Tonnes_t],tblMovement[Date],$A195,tblMovement[Is_Ore],1,tblMovement[Source_Type],"Pit",tblMovement[Grade_gpt],"&lt;&gt;")</f>
        <v/>
      </c>
      <c r="M195" s="55">
        <f>IF($B195=$B194,$M194,0)+$L195</f>
        <v/>
      </c>
      <c r="N195" s="55">
        <f>$N194+$L195</f>
        <v/>
      </c>
      <c r="O195" s="56">
        <f>IFERROR(IF(($L195)&gt;0,($I195*cfg_TroyOz)/($L195),""),"")</f>
        <v/>
      </c>
      <c r="P195" s="56">
        <f>IFERROR(IF(($M195)&gt;0,($J195*cfg_TroyOz)/($M195),""),"")</f>
        <v/>
      </c>
      <c r="Q195" s="56">
        <f>IFERROR(IF(($N195)&gt;0,($K195*cfg_TroyOz)/($N195),""),"")</f>
        <v/>
      </c>
      <c r="R195" s="55">
        <f>$F195-$L195</f>
        <v/>
      </c>
      <c r="S195" s="55">
        <f>IF($B195=$B194,$S194,0)+$R195</f>
        <v/>
      </c>
      <c r="T195" s="55">
        <f>$T194+$R195</f>
        <v/>
      </c>
      <c r="U195" s="55">
        <f>SUMIFS(tblMovement[Tonnes_t],tblMovement[Date],$A195,tblMovement[Is_Ore],0,tblMovement[Source_Type],"Pit")</f>
        <v/>
      </c>
      <c r="V195" s="55">
        <f>IF($B195=$B194,$V194,0)+$U195</f>
        <v/>
      </c>
      <c r="W195" s="55">
        <f>$W194+$U195</f>
        <v/>
      </c>
      <c r="X195" s="55">
        <f>$F195+$U195</f>
        <v/>
      </c>
      <c r="Y195" s="55">
        <f>IF($B195=$B194,$Y194,0)+$X195</f>
        <v/>
      </c>
      <c r="Z195" s="55">
        <f>$Z194+$X195</f>
        <v/>
      </c>
      <c r="AA195" s="56">
        <f>IFERROR(IF(($F195)&gt;0,($U195)/($F195),""),"")</f>
        <v/>
      </c>
      <c r="AB195" s="56">
        <f>IFERROR(IF(($G195)&gt;0,($V195)/($G195),""),"")</f>
        <v/>
      </c>
      <c r="AC195" s="56">
        <f>IFERROR(IF(($H195)&gt;0,($W195)/($H195),""),"")</f>
        <v/>
      </c>
      <c r="AD195" s="55">
        <f>SUMIFS(tblMovement[Tonnes_t],tblMovement[Date],$A195,tblMovement[Source_Type],"Stockpile")</f>
        <v/>
      </c>
      <c r="AE195" s="55">
        <f>IF($B195=$B194,$AE194,0)+$AD195</f>
        <v/>
      </c>
      <c r="AF195" s="55">
        <f>$AF194+$AD195</f>
        <v/>
      </c>
      <c r="AG195" s="55">
        <f>SUMIFS(tblMovement[Tonnes_t],tblMovement[Date],$A195)</f>
        <v/>
      </c>
      <c r="AH195" s="55">
        <f>IF($B195=$B194,$AH194,0)+$AG195</f>
        <v/>
      </c>
      <c r="AI195" s="55">
        <f>$AI194+$AG195</f>
        <v/>
      </c>
      <c r="AJ195" s="55">
        <f>$AG195-$X195-$AD195</f>
        <v/>
      </c>
      <c r="AK195" s="55">
        <f>IF($B195=$B194,$AK194,0)+$AJ195</f>
        <v/>
      </c>
      <c r="AL195" s="55">
        <f>$AL194+$AJ195</f>
        <v/>
      </c>
      <c r="AM195" s="55">
        <f>SUMIFS(tblMiningDaily[Drill_m],tblMiningDaily[Date],$A195)</f>
        <v/>
      </c>
      <c r="AN195" s="55">
        <f>IF($B195=$B194,$AN194,0)+$AM195</f>
        <v/>
      </c>
      <c r="AO195" s="55">
        <f>$AO194+$AM195</f>
        <v/>
      </c>
      <c r="AP195" s="55">
        <f>SUMIFS(tblMiningDaily[GC_Drill_m],tblMiningDaily[Date],$A195)</f>
        <v/>
      </c>
      <c r="AQ195" s="55">
        <f>IF($B195=$B194,$AQ194,0)+$AP195</f>
        <v/>
      </c>
      <c r="AR195" s="55">
        <f>$AR194+$AP195</f>
        <v/>
      </c>
      <c r="AS195" s="55">
        <f>SUMIFS(tblMiningDaily[Blast_t],tblMiningDaily[Date],$A195)</f>
        <v/>
      </c>
      <c r="AT195" s="55">
        <f>IF($B195=$B194,$AT194,0)+$AS195</f>
        <v/>
      </c>
      <c r="AU195" s="55">
        <f>$AU194+$AS195</f>
        <v/>
      </c>
      <c r="AV195" s="55">
        <f>SUMIFS(tblMiningDaily[Explosives_kg],tblMiningDaily[Date],$A195)</f>
        <v/>
      </c>
      <c r="AW195" s="55">
        <f>IF($B195=$B194,$AW194,0)+$AV195</f>
        <v/>
      </c>
      <c r="AX195" s="55">
        <f>$AX194+$AV195</f>
        <v/>
      </c>
      <c r="AY195" s="56">
        <f>IFERROR(IF(($AS195)&gt;0,($AV195)/($AS195),""),"")</f>
        <v/>
      </c>
      <c r="AZ195" s="56">
        <f>IFERROR(IF(($AT195)&gt;0,($AW195)/($AT195),""),"")</f>
        <v/>
      </c>
      <c r="BA195" s="56">
        <f>IFERROR(IF(($AU195)&gt;0,($AX195)/($AU195),""),"")</f>
        <v/>
      </c>
      <c r="BB195" s="55">
        <f>SUMIFS(tblMiningDaily[Diesel_L],tblMiningDaily[Date],$A195)</f>
        <v/>
      </c>
      <c r="BC195" s="55">
        <f>IF($B195=$B194,$BC194,0)+$BB195</f>
        <v/>
      </c>
      <c r="BD195" s="55">
        <f>$BD194+$BB195</f>
        <v/>
      </c>
      <c r="BE195" s="55">
        <f>SUMIFS(tblMiningDaily[Dewatering_m3],tblMiningDaily[Date],$A195)</f>
        <v/>
      </c>
      <c r="BF195" s="55">
        <f>IF($B195=$B194,$BF194,0)+$BE195</f>
        <v/>
      </c>
      <c r="BG195" s="55">
        <f>$BG194+$BE195</f>
        <v/>
      </c>
      <c r="BH195" s="57">
        <f>SUMIFS(tblFleet[Calendar_h],tblFleet[Date],$A195,tblFleet[Equipment_Class],"Excavator")</f>
        <v/>
      </c>
      <c r="BI195" s="57">
        <f>IF($B195=$B194,$BI194,0)+$BH195</f>
        <v/>
      </c>
      <c r="BJ195" s="57">
        <f>$BJ194+$BH195</f>
        <v/>
      </c>
      <c r="BK195" s="57">
        <f>SUMIFS(tblFleet[Available_h],tblFleet[Date],$A195,tblFleet[Equipment_Class],"Excavator")</f>
        <v/>
      </c>
      <c r="BL195" s="57">
        <f>IF($B195=$B194,$BL194,0)+$BK195</f>
        <v/>
      </c>
      <c r="BM195" s="57">
        <f>$BM194+$BK195</f>
        <v/>
      </c>
      <c r="BN195" s="57">
        <f>SUMIFS(tblFleet[Operating_h],tblFleet[Date],$A195,tblFleet[Equipment_Class],"Excavator")</f>
        <v/>
      </c>
      <c r="BO195" s="57">
        <f>IF($B195=$B194,$BO194,0)+$BN195</f>
        <v/>
      </c>
      <c r="BP195" s="57">
        <f>$BP194+$BN195</f>
        <v/>
      </c>
      <c r="BQ195" s="67">
        <f>IFERROR(IF(($BH195)&gt;0,($BK195)/($BH195),""),"")</f>
        <v/>
      </c>
      <c r="BR195" s="67">
        <f>IFERROR(IF(($BI195)&gt;0,($BL195)/($BI195),""),"")</f>
        <v/>
      </c>
      <c r="BS195" s="67">
        <f>IFERROR(IF(($BJ195)&gt;0,($BM195)/($BJ195),""),"")</f>
        <v/>
      </c>
      <c r="BT195" s="67">
        <f>IFERROR(IF(($BK195)&gt;0,($BN195)/($BK195),""),"")</f>
        <v/>
      </c>
      <c r="BU195" s="67">
        <f>IFERROR(IF(($BL195)&gt;0,($BO195)/($BL195),""),"")</f>
        <v/>
      </c>
      <c r="BV195" s="67">
        <f>IFERROR(IF(($BM195)&gt;0,($BP195)/($BM195),""),"")</f>
        <v/>
      </c>
      <c r="BW195" s="57">
        <f>SUMIFS(tblFleet[Calendar_h],tblFleet[Date],$A195,tblFleet[Equipment_Class],"Haul Truck")</f>
        <v/>
      </c>
      <c r="BX195" s="57">
        <f>IF($B195=$B194,$BX194,0)+$BW195</f>
        <v/>
      </c>
      <c r="BY195" s="57">
        <f>$BY194+$BW195</f>
        <v/>
      </c>
      <c r="BZ195" s="57">
        <f>SUMIFS(tblFleet[Available_h],tblFleet[Date],$A195,tblFleet[Equipment_Class],"Haul Truck")</f>
        <v/>
      </c>
      <c r="CA195" s="57">
        <f>IF($B195=$B194,$CA194,0)+$BZ195</f>
        <v/>
      </c>
      <c r="CB195" s="57">
        <f>$CB194+$BZ195</f>
        <v/>
      </c>
      <c r="CC195" s="57">
        <f>SUMIFS(tblFleet[Operating_h],tblFleet[Date],$A195,tblFleet[Equipment_Class],"Haul Truck")</f>
        <v/>
      </c>
      <c r="CD195" s="57">
        <f>IF($B195=$B194,$CD194,0)+$CC195</f>
        <v/>
      </c>
      <c r="CE195" s="57">
        <f>$CE194+$CC195</f>
        <v/>
      </c>
      <c r="CF195" s="67">
        <f>IFERROR(IF(($BW195)&gt;0,($BZ195)/($BW195),""),"")</f>
        <v/>
      </c>
      <c r="CG195" s="67">
        <f>IFERROR(IF(($BX195)&gt;0,($CA195)/($BX195),""),"")</f>
        <v/>
      </c>
      <c r="CH195" s="67">
        <f>IFERROR(IF(($BY195)&gt;0,($CB195)/($BY195),""),"")</f>
        <v/>
      </c>
      <c r="CI195" s="67">
        <f>IFERROR(IF(($BZ195)&gt;0,($CC195)/($BZ195),""),"")</f>
        <v/>
      </c>
      <c r="CJ195" s="67">
        <f>IFERROR(IF(($CA195)&gt;0,($CD195)/($CA195),""),"")</f>
        <v/>
      </c>
      <c r="CK195" s="67">
        <f>IFERROR(IF(($CB195)&gt;0,($CE195)/($CB195),""),"")</f>
        <v/>
      </c>
      <c r="CL195" s="55">
        <f>IFERROR(IF(($BN195)&gt;0,($X195+$AD195)/($BN195),""),"")</f>
        <v/>
      </c>
      <c r="CM195" s="55">
        <f>IFERROR(IF(($BO195)&gt;0,($Y195+$AE195)/($BO195),""),"")</f>
        <v/>
      </c>
      <c r="CN195" s="55">
        <f>IFERROR(IF(($BP195)&gt;0,($Z195+$AF195)/($BP195),""),"")</f>
        <v/>
      </c>
      <c r="CO195" s="55">
        <f>IFERROR(IF(($CC195)&gt;0,($X195+$AD195)/($CC195),""),"")</f>
        <v/>
      </c>
      <c r="CP195" s="55">
        <f>IFERROR(IF(($CD195)&gt;0,($Y195+$AE195)/($CD195),""),"")</f>
        <v/>
      </c>
      <c r="CQ195" s="55">
        <f>IFERROR(IF(($CE195)&gt;0,($Z195+$AF195)/($CE195),""),"")</f>
        <v/>
      </c>
      <c r="CR195" s="55">
        <f>SUMIFS(tblPlant[Crushed_t],tblPlant[Date],$A195)</f>
        <v/>
      </c>
      <c r="CS195" s="55">
        <f>IF($B195=$B194,$CS194,0)+$CR195</f>
        <v/>
      </c>
      <c r="CT195" s="55">
        <f>$CT194+$CR195</f>
        <v/>
      </c>
      <c r="CU195" s="55">
        <f>SUMIFS(tblPlant[Milled_t],tblPlant[Date],$A195)</f>
        <v/>
      </c>
      <c r="CV195" s="55">
        <f>IF($B195=$B194,$CV194,0)+$CU195</f>
        <v/>
      </c>
      <c r="CW195" s="55">
        <f>$CW194+$CU195</f>
        <v/>
      </c>
      <c r="CX195" s="55">
        <f>SUMIFS(tblPlant[Feed_oz],tblPlant[Date],$A195)</f>
        <v/>
      </c>
      <c r="CY195" s="55">
        <f>IF($B195=$B194,$CY194,0)+$CX195</f>
        <v/>
      </c>
      <c r="CZ195" s="55">
        <f>$CZ194+$CX195</f>
        <v/>
      </c>
      <c r="DA195" s="55">
        <f>SUMIFS(tblPlant[Tails_oz],tblPlant[Date],$A195)</f>
        <v/>
      </c>
      <c r="DB195" s="55">
        <f>IF($B195=$B194,$DB194,0)+$DA195</f>
        <v/>
      </c>
      <c r="DC195" s="55">
        <f>$DC194+$DA195</f>
        <v/>
      </c>
      <c r="DD195" s="55">
        <f>SUMIFS(tblPlant[Recovered_oz],tblPlant[Date],$A195)</f>
        <v/>
      </c>
      <c r="DE195" s="55">
        <f>IF($B195=$B194,$DE194,0)+$DD195</f>
        <v/>
      </c>
      <c r="DF195" s="55">
        <f>$DF194+$DD195</f>
        <v/>
      </c>
      <c r="DG195" s="55">
        <f>SUMIFS(tblPlant[Milled_t],tblPlant[Date],$A195,tblPlant[Head_Grade_gpt],"&lt;&gt;")</f>
        <v/>
      </c>
      <c r="DH195" s="55">
        <f>IF($B195=$B194,$DH194,0)+$DG195</f>
        <v/>
      </c>
      <c r="DI195" s="55">
        <f>$DI194+$DG195</f>
        <v/>
      </c>
      <c r="DJ195" s="55">
        <f>SUMIFS(tblPlant[Milled_t],tblPlant[Date],$A195,tblPlant[Tails_Grade_gpt],"&lt;&gt;")</f>
        <v/>
      </c>
      <c r="DK195" s="55">
        <f>IF($B195=$B194,$DK194,0)+$DJ195</f>
        <v/>
      </c>
      <c r="DL195" s="55">
        <f>$DL194+$DJ195</f>
        <v/>
      </c>
      <c r="DM195" s="55">
        <f>SUMIFS(tblPlant[Feed_oz],tblPlant[Date],$A195,tblPlant[Tails_Grade_gpt],"&lt;&gt;")</f>
        <v/>
      </c>
      <c r="DN195" s="55">
        <f>IF($B195=$B194,$DN194,0)+$DM195</f>
        <v/>
      </c>
      <c r="DO195" s="55">
        <f>$DO194+$DM195</f>
        <v/>
      </c>
      <c r="DP195" s="55">
        <f>SUMIFS(tblPlant[Milled_t],tblPlant[Date],$A195,tblPlant[Mill_Run_h],"&lt;&gt;")</f>
        <v/>
      </c>
      <c r="DQ195" s="55">
        <f>IF($B195=$B194,$DQ194,0)+$DP195</f>
        <v/>
      </c>
      <c r="DR195" s="55">
        <f>$DR194+$DP195</f>
        <v/>
      </c>
      <c r="DS195" s="56">
        <f>IFERROR(IF(($DG195)&gt;0,($CX195*cfg_TroyOz)/($DG195),""),"")</f>
        <v/>
      </c>
      <c r="DT195" s="56">
        <f>IFERROR(IF(($DH195)&gt;0,($CY195*cfg_TroyOz)/($DH195),""),"")</f>
        <v/>
      </c>
      <c r="DU195" s="56">
        <f>IFERROR(IF(($DI195)&gt;0,($CZ195*cfg_TroyOz)/($DI195),""),"")</f>
        <v/>
      </c>
      <c r="DV195" s="56">
        <f>IFERROR(IF(($DJ195)&gt;0,($DA195*cfg_TroyOz)/($DJ195),""),"")</f>
        <v/>
      </c>
      <c r="DW195" s="56">
        <f>IFERROR(IF(($DK195)&gt;0,($DB195*cfg_TroyOz)/($DK195),""),"")</f>
        <v/>
      </c>
      <c r="DX195" s="56">
        <f>IFERROR(IF(($DL195)&gt;0,($DC195*cfg_TroyOz)/($DL195),""),"")</f>
        <v/>
      </c>
      <c r="DY195" s="67">
        <f>IFERROR(IF(($DM195)&gt;0,($DD195)/($DM195),""),"")</f>
        <v/>
      </c>
      <c r="DZ195" s="67">
        <f>IFERROR(IF(($DN195)&gt;0,($DE195)/($DN195),""),"")</f>
        <v/>
      </c>
      <c r="EA195" s="67">
        <f>IFERROR(IF(($DO195)&gt;0,($DF195)/($DO195),""),"")</f>
        <v/>
      </c>
      <c r="EB195" s="55">
        <f>SUMIFS(tblPlant[Gravity_Gold_oz],tblPlant[Date],$A195)</f>
        <v/>
      </c>
      <c r="EC195" s="55">
        <f>IF($B195=$B194,$EC194,0)+$EB195</f>
        <v/>
      </c>
      <c r="ED195" s="55">
        <f>$ED194+$EB195</f>
        <v/>
      </c>
      <c r="EE195" s="67">
        <f>IFERROR(IF(($DD195)&gt;0,($EB195)/($DD195),""),"")</f>
        <v/>
      </c>
      <c r="EF195" s="67">
        <f>IFERROR(IF(($DE195)&gt;0,($EC195)/($DE195),""),"")</f>
        <v/>
      </c>
      <c r="EG195" s="67">
        <f>IFERROR(IF(($DF195)&gt;0,($ED195)/($DF195),""),"")</f>
        <v/>
      </c>
      <c r="EH195" s="55">
        <f>SUMIFS(tblPlant[Gold_Poured_oz],tblPlant[Date],$A195)</f>
        <v/>
      </c>
      <c r="EI195" s="55">
        <f>IF($B195=$B194,$EI194,0)+$EH195</f>
        <v/>
      </c>
      <c r="EJ195" s="55">
        <f>$EJ194+$EH195</f>
        <v/>
      </c>
      <c r="EK195" s="57">
        <f>SUMIFS(tblPlant[Mill_Run_h],tblPlant[Date],$A195)</f>
        <v/>
      </c>
      <c r="EL195" s="57">
        <f>IF($B195=$B194,$EL194,0)+$EK195</f>
        <v/>
      </c>
      <c r="EM195" s="57">
        <f>$EM194+$EK195</f>
        <v/>
      </c>
      <c r="EN195" s="57">
        <f>SUMIFS(tblPlant[Mill_Planned_Maint_h],tblPlant[Date],$A195)</f>
        <v/>
      </c>
      <c r="EO195" s="57">
        <f>IF($B195=$B194,$EO194,0)+$EN195</f>
        <v/>
      </c>
      <c r="EP195" s="57">
        <f>$EP194+$EN195</f>
        <v/>
      </c>
      <c r="EQ195" s="57">
        <f>SUMIFS(tblPlant[Mill_Unplanned_Down_h],tblPlant[Date],$A195)</f>
        <v/>
      </c>
      <c r="ER195" s="57">
        <f>IF($B195=$B194,$ER194,0)+$EQ195</f>
        <v/>
      </c>
      <c r="ES195" s="57">
        <f>$ES194+$EQ195</f>
        <v/>
      </c>
      <c r="ET195" s="57">
        <f>IF(COUNTIFS(tblPlant[Date],$A195,tblPlant[Mill_Run_h],"&lt;&gt;")+COUNTIFS(tblPlant[Date],$A195,tblPlant[Mill_Planned_Maint_h],"&lt;&gt;")+COUNTIFS(tblPlant[Date],$A195,tblPlant[Mill_Unplanned_Down_h],"&lt;&gt;")&gt;0,cfg_HoursPerDay,0)</f>
        <v/>
      </c>
      <c r="EU195" s="57">
        <f>IF($B195=$B194,$EU194,0)+$ET195</f>
        <v/>
      </c>
      <c r="EV195" s="57">
        <f>$EV194+$ET195</f>
        <v/>
      </c>
      <c r="EW195" s="57">
        <f>SUMIFS(tblPlant[Crusher_Run_h],tblPlant[Date],$A195)</f>
        <v/>
      </c>
      <c r="EX195" s="57">
        <f>IF($B195=$B194,$EX194,0)+$EW195</f>
        <v/>
      </c>
      <c r="EY195" s="57">
        <f>$EY194+$EW195</f>
        <v/>
      </c>
      <c r="EZ195" s="55">
        <f>IFERROR(IF(($EK195)&gt;0,($DP195)/($EK195),""),"")</f>
        <v/>
      </c>
      <c r="FA195" s="55">
        <f>IFERROR(IF(($EL195)&gt;0,($DQ195)/($EL195),""),"")</f>
        <v/>
      </c>
      <c r="FB195" s="55">
        <f>IFERROR(IF(($EM195)&gt;0,($DR195)/($EM195),""),"")</f>
        <v/>
      </c>
      <c r="FC195" s="67">
        <f>IFERROR(IF(($ET195)&gt;0,($ET195-$EN195-$EQ195)/($ET195),""),"")</f>
        <v/>
      </c>
      <c r="FD195" s="67">
        <f>IFERROR(IF(($EU195)&gt;0,($EU195-$EO195-$ER195)/($EU195),""),"")</f>
        <v/>
      </c>
      <c r="FE195" s="67">
        <f>IFERROR(IF(($EV195)&gt;0,($EV195-$EP195-$ES195)/($EV195),""),"")</f>
        <v/>
      </c>
      <c r="FF195" s="67">
        <f>IFERROR(IF(($ET195-$EN195-$EQ195)&gt;0,($EK195)/($ET195-$EN195-$EQ195),""),"")</f>
        <v/>
      </c>
      <c r="FG195" s="67">
        <f>IFERROR(IF(($EU195-$EO195-$ER195)&gt;0,($EL195)/($EU195-$EO195-$ER195),""),"")</f>
        <v/>
      </c>
      <c r="FH195" s="67">
        <f>IFERROR(IF(($EV195-$EP195-$ES195)&gt;0,($EM195)/($EV195-$EP195-$ES195),""),"")</f>
        <v/>
      </c>
      <c r="FI195" s="55">
        <f>SUMIFS(tblPlant[Cyanide_kg],tblPlant[Date],$A195)</f>
        <v/>
      </c>
      <c r="FJ195" s="55">
        <f>IF($B195=$B194,$FJ194,0)+$FI195</f>
        <v/>
      </c>
      <c r="FK195" s="55">
        <f>$FK194+$FI195</f>
        <v/>
      </c>
      <c r="FL195" s="55">
        <f>SUMIFS(tblPlant[Lime_kg],tblPlant[Date],$A195)</f>
        <v/>
      </c>
      <c r="FM195" s="55">
        <f>IF($B195=$B194,$FM194,0)+$FL195</f>
        <v/>
      </c>
      <c r="FN195" s="55">
        <f>$FN194+$FL195</f>
        <v/>
      </c>
      <c r="FO195" s="55">
        <f>SUMIFS(tblPlant[Grinding_Media_kg],tblPlant[Date],$A195)</f>
        <v/>
      </c>
      <c r="FP195" s="55">
        <f>IF($B195=$B194,$FP194,0)+$FO195</f>
        <v/>
      </c>
      <c r="FQ195" s="55">
        <f>$FQ194+$FO195</f>
        <v/>
      </c>
      <c r="FR195" s="55">
        <f>SUMIFS(tblPlant[Power_kWh],tblPlant[Date],$A195)</f>
        <v/>
      </c>
      <c r="FS195" s="55">
        <f>IF($B195=$B194,$FS194,0)+$FR195</f>
        <v/>
      </c>
      <c r="FT195" s="55">
        <f>$FT194+$FR195</f>
        <v/>
      </c>
      <c r="FU195" s="55">
        <f>SUMIFS(tblPlant[Raw_Water_m3],tblPlant[Date],$A195)</f>
        <v/>
      </c>
      <c r="FV195" s="55">
        <f>IF($B195=$B194,$FV194,0)+$FU195</f>
        <v/>
      </c>
      <c r="FW195" s="55">
        <f>$FW194+$FU195</f>
        <v/>
      </c>
      <c r="FX195" s="56">
        <f>IFERROR(IF(($CU195)&gt;0,($FI195)/($CU195),""),"")</f>
        <v/>
      </c>
      <c r="FY195" s="56">
        <f>IFERROR(IF(($CV195)&gt;0,($FJ195)/($CV195),""),"")</f>
        <v/>
      </c>
      <c r="FZ195" s="56">
        <f>IFERROR(IF(($CW195)&gt;0,($FK195)/($CW195),""),"")</f>
        <v/>
      </c>
      <c r="GA195" s="56">
        <f>IFERROR(IF(($CU195)&gt;0,($FL195)/($CU195),""),"")</f>
        <v/>
      </c>
      <c r="GB195" s="56">
        <f>IFERROR(IF(($CV195)&gt;0,($FM195)/($CV195),""),"")</f>
        <v/>
      </c>
      <c r="GC195" s="56">
        <f>IFERROR(IF(($CW195)&gt;0,($FN195)/($CW195),""),"")</f>
        <v/>
      </c>
      <c r="GD195" s="56">
        <f>IFERROR(IF(($CU195)&gt;0,($FO195)/($CU195),""),"")</f>
        <v/>
      </c>
      <c r="GE195" s="56">
        <f>IFERROR(IF(($CV195)&gt;0,($FP195)/($CV195),""),"")</f>
        <v/>
      </c>
      <c r="GF195" s="56">
        <f>IFERROR(IF(($CW195)&gt;0,($FQ195)/($CW195),""),"")</f>
        <v/>
      </c>
      <c r="GG195" s="79">
        <f>IFERROR(IF(($CU195)&gt;0,($FR195)/($CU195),""),"")</f>
        <v/>
      </c>
      <c r="GH195" s="79">
        <f>IFERROR(IF(($CV195)&gt;0,($FS195)/($CV195),""),"")</f>
        <v/>
      </c>
      <c r="GI195" s="79">
        <f>IFERROR(IF(($CW195)&gt;0,($FT195)/($CW195),""),"")</f>
        <v/>
      </c>
      <c r="GJ195" s="56">
        <f>IFERROR(IF(($CU195)&gt;0,($FU195)/($CU195),""),"")</f>
        <v/>
      </c>
      <c r="GK195" s="56">
        <f>IFERROR(IF(($CV195)&gt;0,($FV195)/($CV195),""),"")</f>
        <v/>
      </c>
      <c r="GL195" s="56">
        <f>IFERROR(IF(($CW195)&gt;0,($FW195)/($CW195),""),"")</f>
        <v/>
      </c>
      <c r="GM195" s="55">
        <f>IF(SUMIFS(tblPlant[GIC_oz],tblPlant[Date],$A195)&gt;0,SUMIFS(tblPlant[GIC_oz],tblPlant[Date],$A195),"")</f>
        <v/>
      </c>
      <c r="GN195" s="55">
        <f>SUMIFS(tblGold[Gold_oz],tblGold[Date],$A195,tblGold[Type],"Shipment")</f>
        <v/>
      </c>
      <c r="GO195" s="55">
        <f>IF($B195=$B194,$GO194,0)+$GN195</f>
        <v/>
      </c>
      <c r="GP195" s="55">
        <f>$GP194+$GN195</f>
        <v/>
      </c>
      <c r="GQ195" s="55">
        <f>SUMIFS(tblGold[Gold_oz],tblGold[Date],$A195,tblGold[Type],"Sale")</f>
        <v/>
      </c>
      <c r="GR195" s="55">
        <f>IF($B195=$B194,$GR194,0)+$GQ195</f>
        <v/>
      </c>
      <c r="GS195" s="55">
        <f>$GS194+$GQ195</f>
        <v/>
      </c>
      <c r="GT195" s="55">
        <f>SUMIFS(tblGold[Dore_kg],tblGold[Date],$A195,tblGold[Type],"Shipment")</f>
        <v/>
      </c>
      <c r="GU195" s="55">
        <f>IF($B195=$B194,$GU194,0)+$GT195</f>
        <v/>
      </c>
      <c r="GV195" s="55">
        <f>$GV194+$GT195</f>
        <v/>
      </c>
      <c r="GW195" s="57">
        <f>SUMIFS(tblSafety[Hours_Total],tblSafety[Date],$A195)</f>
        <v/>
      </c>
      <c r="GX195" s="57">
        <f>IF($B195=$B194,$GX194,0)+$GW195</f>
        <v/>
      </c>
      <c r="GY195" s="57">
        <f>$GY194+$GW195</f>
        <v/>
      </c>
      <c r="GZ195" s="62">
        <f>SUMIFS(tblSafety[Fatality],tblSafety[Date],$A195)</f>
        <v/>
      </c>
      <c r="HA195" s="62">
        <f>IF($B195=$B194,$HA194,0)+$GZ195</f>
        <v/>
      </c>
      <c r="HB195" s="62">
        <f>$HB194+$GZ195</f>
        <v/>
      </c>
      <c r="HC195" s="62">
        <f>SUMIFS(tblSafety[LTI],tblSafety[Date],$A195)</f>
        <v/>
      </c>
      <c r="HD195" s="62">
        <f>IF($B195=$B194,$HD194,0)+$HC195</f>
        <v/>
      </c>
      <c r="HE195" s="62">
        <f>$HE194+$HC195</f>
        <v/>
      </c>
      <c r="HF195" s="62">
        <f>SUMIFS(tblSafety[RWI],tblSafety[Date],$A195)</f>
        <v/>
      </c>
      <c r="HG195" s="62">
        <f>IF($B195=$B194,$HG194,0)+$HF195</f>
        <v/>
      </c>
      <c r="HH195" s="62">
        <f>$HH194+$HF195</f>
        <v/>
      </c>
      <c r="HI195" s="62">
        <f>SUMIFS(tblSafety[MTI],tblSafety[Date],$A195)</f>
        <v/>
      </c>
      <c r="HJ195" s="62">
        <f>IF($B195=$B194,$HJ194,0)+$HI195</f>
        <v/>
      </c>
      <c r="HK195" s="62">
        <f>$HK194+$HI195</f>
        <v/>
      </c>
      <c r="HL195" s="62">
        <f>SUMIFS(tblSafety[FAI],tblSafety[Date],$A195)</f>
        <v/>
      </c>
      <c r="HM195" s="62">
        <f>IF($B195=$B194,$HM194,0)+$HL195</f>
        <v/>
      </c>
      <c r="HN195" s="62">
        <f>$HN194+$HL195</f>
        <v/>
      </c>
      <c r="HO195" s="62">
        <f>SUMIFS(tblSafety[Recordables],tblSafety[Date],$A195)</f>
        <v/>
      </c>
      <c r="HP195" s="62">
        <f>IF($B195=$B194,$HP194,0)+$HO195</f>
        <v/>
      </c>
      <c r="HQ195" s="62">
        <f>$HQ194+$HO195</f>
        <v/>
      </c>
      <c r="HR195" s="62">
        <f>SUMIFS(tblSafety[Near_Miss],tblSafety[Date],$A195)</f>
        <v/>
      </c>
      <c r="HS195" s="62">
        <f>IF($B195=$B194,$HS194,0)+$HR195</f>
        <v/>
      </c>
      <c r="HT195" s="62">
        <f>$HT194+$HR195</f>
        <v/>
      </c>
      <c r="HU195" s="62">
        <f>SUMIFS(tblSafety[Hazard_Reports],tblSafety[Date],$A195)</f>
        <v/>
      </c>
      <c r="HV195" s="62">
        <f>IF($B195=$B194,$HV194,0)+$HU195</f>
        <v/>
      </c>
      <c r="HW195" s="62">
        <f>$HW194+$HU195</f>
        <v/>
      </c>
      <c r="HX195" s="62">
        <f>SUMIFS(tblSafety[HPI],tblSafety[Date],$A195)</f>
        <v/>
      </c>
      <c r="HY195" s="62">
        <f>IF($B195=$B194,$HY194,0)+$HX195</f>
        <v/>
      </c>
      <c r="HZ195" s="62">
        <f>$HZ194+$HX195</f>
        <v/>
      </c>
      <c r="IA195" s="62">
        <f>SUMIFS(tblSafety[Env_Incidents],tblSafety[Date],$A195)</f>
        <v/>
      </c>
      <c r="IB195" s="62">
        <f>IF($B195=$B194,$IB194,0)+$IA195</f>
        <v/>
      </c>
      <c r="IC195" s="62">
        <f>$IC194+$IA195</f>
        <v/>
      </c>
      <c r="ID195" s="62">
        <f>SUMIFS(tblSafety[Community_Incidents],tblSafety[Date],$A195)</f>
        <v/>
      </c>
      <c r="IE195" s="62">
        <f>IF($B195=$B194,$IE194,0)+$ID195</f>
        <v/>
      </c>
      <c r="IF195" s="62">
        <f>$IF194+$ID195</f>
        <v/>
      </c>
      <c r="IG195" s="62">
        <f>SUMIFS(tblSafety[Vehicle_Incidents],tblSafety[Date],$A195)</f>
        <v/>
      </c>
      <c r="IH195" s="62">
        <f>IF($B195=$B194,$IH194,0)+$IG195</f>
        <v/>
      </c>
      <c r="II195" s="62">
        <f>$II194+$IG195</f>
        <v/>
      </c>
      <c r="IJ195" s="62">
        <f>SUMIFS(tblSafety[Toolbox_Talks],tblSafety[Date],$A195)</f>
        <v/>
      </c>
      <c r="IK195" s="62">
        <f>IF($B195=$B194,$IK194,0)+$IJ195</f>
        <v/>
      </c>
      <c r="IL195" s="62">
        <f>$IL194+$IJ195</f>
        <v/>
      </c>
      <c r="IM195" s="62">
        <f>SUMIFS(tblSafety[Inspections],tblSafety[Date],$A195)</f>
        <v/>
      </c>
      <c r="IN195" s="62">
        <f>IF($B195=$B194,$IN194,0)+$IM195</f>
        <v/>
      </c>
      <c r="IO195" s="62">
        <f>$IO194+$IM195</f>
        <v/>
      </c>
      <c r="IP195" s="56">
        <f>IFERROR((SUMIFS(tblSafety[Recordables],tblSafety[Date],"&gt;="&amp;EDATE($E195,-12),tblSafety[Date],"&lt;="&amp;$A195)+SUMIFS(tblSafetyHistory[Recordables],tblSafetyHistory[Month],"&gt;="&amp;EDATE($E195,-12),tblSafetyHistory[Month],"&lt;"&amp;$E195,tblSafetyHistory[Use],1))/(SUMIFS(tblSafety[Hours_Total],tblSafety[Date],"&gt;="&amp;EDATE($E195,-12),tblSafety[Date],"&lt;="&amp;$A195)+SUMIFS(tblSafetyHistory[Hours_Total],tblSafetyHistory[Month],"&gt;="&amp;EDATE($E195,-12),tblSafetyHistory[Month],"&lt;"&amp;$E195,tblSafetyHistory[Use],1))*cfg_RateBasisHours,"")</f>
        <v/>
      </c>
      <c r="IQ195" s="56">
        <f>IFERROR((SUMIFS(tblSafety[LTI],tblSafety[Date],"&gt;="&amp;EDATE($E195,-12),tblSafety[Date],"&lt;="&amp;$A195)+SUMIFS(tblSafetyHistory[LTI],tblSafetyHistory[Month],"&gt;="&amp;EDATE($E195,-12),tblSafetyHistory[Month],"&lt;"&amp;$E195,tblSafetyHistory[Use],1))/(SUMIFS(tblSafety[Hours_Total],tblSafety[Date],"&gt;="&amp;EDATE($E195,-12),tblSafety[Date],"&lt;="&amp;$A195)+SUMIFS(tblSafetyHistory[Hours_Total],tblSafetyHistory[Month],"&gt;="&amp;EDATE($E195,-12),tblSafetyHistory[Month],"&lt;"&amp;$E195,tblSafetyHistory[Use],1))*cfg_RateBasisHours,"")</f>
        <v/>
      </c>
      <c r="IR195" s="62">
        <f>IF(MAX(N(cfg_PriorLTIDate),_xlfn.MAXIFS(tblSafety[Date],tblSafety[LTI],"&gt;0",tblSafety[Date],"&lt;="&amp;$A195))=0,"",$A195-MAX(N(cfg_PriorLTIDate),_xlfn.MAXIFS(tblSafety[Date],tblSafety[LTI],"&gt;0",tblSafety[Date],"&lt;="&amp;$A195)))</f>
        <v/>
      </c>
      <c r="IS195" s="55">
        <f>SUMIFS(tblBudget[Ore_Mined_t],tblBudget[Month],$E195)</f>
        <v/>
      </c>
      <c r="IT195" s="55">
        <f>$IS195*$C195/$D195</f>
        <v/>
      </c>
      <c r="IU195" s="55">
        <f>SUMIFS(tblBudget[Ore_Mined_t],tblBudget[Month],"&lt;"&amp;$E195)+$IT195</f>
        <v/>
      </c>
      <c r="IV195" s="55">
        <f>SUMIFS(tblBudget[Ore_oz],tblBudget[Month],$E195)</f>
        <v/>
      </c>
      <c r="IW195" s="55">
        <f>$IV195*$C195/$D195</f>
        <v/>
      </c>
      <c r="IX195" s="55">
        <f>SUMIFS(tblBudget[Ore_oz],tblBudget[Month],"&lt;"&amp;$E195)+$IW195</f>
        <v/>
      </c>
      <c r="IY195" s="55">
        <f>SUMIFS(tblBudget[Ore_Mined_t],tblBudget[Month],$E195)</f>
        <v/>
      </c>
      <c r="IZ195" s="55">
        <f>$IY195*$C195/$D195</f>
        <v/>
      </c>
      <c r="JA195" s="55">
        <f>SUMIFS(tblBudget[Ore_Mined_t],tblBudget[Month],"&lt;"&amp;$E195)+$IZ195</f>
        <v/>
      </c>
      <c r="JB195" s="56">
        <f>IFERROR(IF(($IY195)&gt;0,($IV195*cfg_TroyOz)/($IY195),""),"")</f>
        <v/>
      </c>
      <c r="JC195" s="56">
        <f>IFERROR(IF(($IZ195)&gt;0,($IW195*cfg_TroyOz)/($IZ195),""),"")</f>
        <v/>
      </c>
      <c r="JD195" s="56">
        <f>IFERROR(IF(($JA195)&gt;0,($IX195*cfg_TroyOz)/($JA195),""),"")</f>
        <v/>
      </c>
      <c r="JE195" s="55">
        <f>SUMIFS(tblBudget[Waste_t],tblBudget[Month],$E195)</f>
        <v/>
      </c>
      <c r="JF195" s="55">
        <f>$JE195*$C195/$D195</f>
        <v/>
      </c>
      <c r="JG195" s="55">
        <f>SUMIFS(tblBudget[Waste_t],tblBudget[Month],"&lt;"&amp;$E195)+$JF195</f>
        <v/>
      </c>
      <c r="JH195" s="55">
        <f>SUMIFS(tblBudget[TMM_t],tblBudget[Month],$E195)</f>
        <v/>
      </c>
      <c r="JI195" s="55">
        <f>$JH195*$C195/$D195</f>
        <v/>
      </c>
      <c r="JJ195" s="55">
        <f>SUMIFS(tblBudget[TMM_t],tblBudget[Month],"&lt;"&amp;$E195)+$JI195</f>
        <v/>
      </c>
      <c r="JK195" s="56">
        <f>IFERROR(IF(($IS195)&gt;0,($JE195)/($IS195),""),"")</f>
        <v/>
      </c>
      <c r="JL195" s="56">
        <f>IFERROR(IF(($IT195)&gt;0,($JF195)/($IT195),""),"")</f>
        <v/>
      </c>
      <c r="JM195" s="56">
        <f>IFERROR(IF(($IU195)&gt;0,($JG195)/($IU195),""),"")</f>
        <v/>
      </c>
      <c r="JN195" s="55">
        <f>SUMIFS(tblBudget[Drill_m],tblBudget[Month],$E195)</f>
        <v/>
      </c>
      <c r="JO195" s="55">
        <f>$JN195*$C195/$D195</f>
        <v/>
      </c>
      <c r="JP195" s="55">
        <f>SUMIFS(tblBudget[Drill_m],tblBudget[Month],"&lt;"&amp;$E195)+$JO195</f>
        <v/>
      </c>
      <c r="JQ195" s="55">
        <f>SUMIFS(tblBudget[Diesel_L],tblBudget[Month],$E195)</f>
        <v/>
      </c>
      <c r="JR195" s="55">
        <f>$JQ195*$C195/$D195</f>
        <v/>
      </c>
      <c r="JS195" s="55">
        <f>SUMIFS(tblBudget[Diesel_L],tblBudget[Month],"&lt;"&amp;$E195)+$JR195</f>
        <v/>
      </c>
      <c r="JT195" s="55">
        <f>SUMIFS(tblBudget[Milled_t],tblBudget[Month],$E195)</f>
        <v/>
      </c>
      <c r="JU195" s="55">
        <f>$JT195*$C195/$D195</f>
        <v/>
      </c>
      <c r="JV195" s="55">
        <f>SUMIFS(tblBudget[Milled_t],tblBudget[Month],"&lt;"&amp;$E195)+$JU195</f>
        <v/>
      </c>
      <c r="JW195" s="55">
        <f>SUMIFS(tblBudget[Feed_oz],tblBudget[Month],$E195)</f>
        <v/>
      </c>
      <c r="JX195" s="55">
        <f>$JW195*$C195/$D195</f>
        <v/>
      </c>
      <c r="JY195" s="55">
        <f>SUMIFS(tblBudget[Feed_oz],tblBudget[Month],"&lt;"&amp;$E195)+$JX195</f>
        <v/>
      </c>
      <c r="JZ195" s="55">
        <f>SUMIFS(tblBudget[Recovered_oz],tblBudget[Month],$E195)</f>
        <v/>
      </c>
      <c r="KA195" s="55">
        <f>$JZ195*$C195/$D195</f>
        <v/>
      </c>
      <c r="KB195" s="55">
        <f>SUMIFS(tblBudget[Recovered_oz],tblBudget[Month],"&lt;"&amp;$E195)+$KA195</f>
        <v/>
      </c>
      <c r="KC195" s="55">
        <f>SUMIFS(tblBudget[Milled_t],tblBudget[Month],$E195)</f>
        <v/>
      </c>
      <c r="KD195" s="55">
        <f>$KC195*$C195/$D195</f>
        <v/>
      </c>
      <c r="KE195" s="55">
        <f>SUMIFS(tblBudget[Milled_t],tblBudget[Month],"&lt;"&amp;$E195)+$KD195</f>
        <v/>
      </c>
      <c r="KF195" s="55">
        <f>SUMIFS(tblBudget[Feed_oz],tblBudget[Month],$E195)</f>
        <v/>
      </c>
      <c r="KG195" s="55">
        <f>$KF195*$C195/$D195</f>
        <v/>
      </c>
      <c r="KH195" s="55">
        <f>SUMIFS(tblBudget[Feed_oz],tblBudget[Month],"&lt;"&amp;$E195)+$KG195</f>
        <v/>
      </c>
      <c r="KI195" s="56">
        <f>IFERROR(IF(($KC195)&gt;0,($JW195*cfg_TroyOz)/($KC195),""),"")</f>
        <v/>
      </c>
      <c r="KJ195" s="56">
        <f>IFERROR(IF(($KD195)&gt;0,($JX195*cfg_TroyOz)/($KD195),""),"")</f>
        <v/>
      </c>
      <c r="KK195" s="56">
        <f>IFERROR(IF(($KE195)&gt;0,($JY195*cfg_TroyOz)/($KE195),""),"")</f>
        <v/>
      </c>
      <c r="KL195" s="67">
        <f>IFERROR(IF(($KF195)&gt;0,($JZ195)/($KF195),""),"")</f>
        <v/>
      </c>
      <c r="KM195" s="67">
        <f>IFERROR(IF(($KG195)&gt;0,($KA195)/($KG195),""),"")</f>
        <v/>
      </c>
      <c r="KN195" s="67">
        <f>IFERROR(IF(($KH195)&gt;0,($KB195)/($KH195),""),"")</f>
        <v/>
      </c>
      <c r="KO195" s="55">
        <f>SUMIFS(tblBudget[Gold_Poured_oz],tblBudget[Month],$E195)</f>
        <v/>
      </c>
      <c r="KP195" s="55">
        <f>$KO195*$C195/$D195</f>
        <v/>
      </c>
      <c r="KQ195" s="55">
        <f>SUMIFS(tblBudget[Gold_Poured_oz],tblBudget[Month],"&lt;"&amp;$E195)+$KP195</f>
        <v/>
      </c>
      <c r="KR195" s="57">
        <f>SUMIFS(tblBudget[Hours_Worked],tblBudget[Month],$E195)</f>
        <v/>
      </c>
      <c r="KS195" s="57">
        <f>$KR195*$C195/$D195</f>
        <v/>
      </c>
      <c r="KT195" s="57">
        <f>SUMIFS(tblBudget[Hours_Worked],tblBudget[Month],"&lt;"&amp;$E195)+$KS195</f>
        <v/>
      </c>
    </row>
    <row r="196">
      <c r="A196" s="54" t="n">
        <v>46217</v>
      </c>
      <c r="B196">
        <f>MONTH($A196)</f>
        <v/>
      </c>
      <c r="C196">
        <f>DAY($A196)</f>
        <v/>
      </c>
      <c r="D196">
        <f>DAY(EOMONTH($A196,0))</f>
        <v/>
      </c>
      <c r="E196" s="54">
        <f>DATE(YEAR($A196),MONTH($A196),1)</f>
        <v/>
      </c>
      <c r="F196" s="55">
        <f>SUMIFS(tblMovement[Tonnes_t],tblMovement[Date],$A196,tblMovement[Is_Ore],1,tblMovement[Source_Type],"Pit")</f>
        <v/>
      </c>
      <c r="G196" s="55">
        <f>IF($B196=$B195,$G195,0)+$F196</f>
        <v/>
      </c>
      <c r="H196" s="55">
        <f>$H195+$F196</f>
        <v/>
      </c>
      <c r="I196" s="55">
        <f>SUMIFS(tblMovement[Ore_oz],tblMovement[Date],$A196,tblMovement[Source_Type],"Pit")</f>
        <v/>
      </c>
      <c r="J196" s="55">
        <f>IF($B196=$B195,$J195,0)+$I196</f>
        <v/>
      </c>
      <c r="K196" s="55">
        <f>$K195+$I196</f>
        <v/>
      </c>
      <c r="L196" s="55">
        <f>SUMIFS(tblMovement[Tonnes_t],tblMovement[Date],$A196,tblMovement[Is_Ore],1,tblMovement[Source_Type],"Pit",tblMovement[Grade_gpt],"&lt;&gt;")</f>
        <v/>
      </c>
      <c r="M196" s="55">
        <f>IF($B196=$B195,$M195,0)+$L196</f>
        <v/>
      </c>
      <c r="N196" s="55">
        <f>$N195+$L196</f>
        <v/>
      </c>
      <c r="O196" s="56">
        <f>IFERROR(IF(($L196)&gt;0,($I196*cfg_TroyOz)/($L196),""),"")</f>
        <v/>
      </c>
      <c r="P196" s="56">
        <f>IFERROR(IF(($M196)&gt;0,($J196*cfg_TroyOz)/($M196),""),"")</f>
        <v/>
      </c>
      <c r="Q196" s="56">
        <f>IFERROR(IF(($N196)&gt;0,($K196*cfg_TroyOz)/($N196),""),"")</f>
        <v/>
      </c>
      <c r="R196" s="55">
        <f>$F196-$L196</f>
        <v/>
      </c>
      <c r="S196" s="55">
        <f>IF($B196=$B195,$S195,0)+$R196</f>
        <v/>
      </c>
      <c r="T196" s="55">
        <f>$T195+$R196</f>
        <v/>
      </c>
      <c r="U196" s="55">
        <f>SUMIFS(tblMovement[Tonnes_t],tblMovement[Date],$A196,tblMovement[Is_Ore],0,tblMovement[Source_Type],"Pit")</f>
        <v/>
      </c>
      <c r="V196" s="55">
        <f>IF($B196=$B195,$V195,0)+$U196</f>
        <v/>
      </c>
      <c r="W196" s="55">
        <f>$W195+$U196</f>
        <v/>
      </c>
      <c r="X196" s="55">
        <f>$F196+$U196</f>
        <v/>
      </c>
      <c r="Y196" s="55">
        <f>IF($B196=$B195,$Y195,0)+$X196</f>
        <v/>
      </c>
      <c r="Z196" s="55">
        <f>$Z195+$X196</f>
        <v/>
      </c>
      <c r="AA196" s="56">
        <f>IFERROR(IF(($F196)&gt;0,($U196)/($F196),""),"")</f>
        <v/>
      </c>
      <c r="AB196" s="56">
        <f>IFERROR(IF(($G196)&gt;0,($V196)/($G196),""),"")</f>
        <v/>
      </c>
      <c r="AC196" s="56">
        <f>IFERROR(IF(($H196)&gt;0,($W196)/($H196),""),"")</f>
        <v/>
      </c>
      <c r="AD196" s="55">
        <f>SUMIFS(tblMovement[Tonnes_t],tblMovement[Date],$A196,tblMovement[Source_Type],"Stockpile")</f>
        <v/>
      </c>
      <c r="AE196" s="55">
        <f>IF($B196=$B195,$AE195,0)+$AD196</f>
        <v/>
      </c>
      <c r="AF196" s="55">
        <f>$AF195+$AD196</f>
        <v/>
      </c>
      <c r="AG196" s="55">
        <f>SUMIFS(tblMovement[Tonnes_t],tblMovement[Date],$A196)</f>
        <v/>
      </c>
      <c r="AH196" s="55">
        <f>IF($B196=$B195,$AH195,0)+$AG196</f>
        <v/>
      </c>
      <c r="AI196" s="55">
        <f>$AI195+$AG196</f>
        <v/>
      </c>
      <c r="AJ196" s="55">
        <f>$AG196-$X196-$AD196</f>
        <v/>
      </c>
      <c r="AK196" s="55">
        <f>IF($B196=$B195,$AK195,0)+$AJ196</f>
        <v/>
      </c>
      <c r="AL196" s="55">
        <f>$AL195+$AJ196</f>
        <v/>
      </c>
      <c r="AM196" s="55">
        <f>SUMIFS(tblMiningDaily[Drill_m],tblMiningDaily[Date],$A196)</f>
        <v/>
      </c>
      <c r="AN196" s="55">
        <f>IF($B196=$B195,$AN195,0)+$AM196</f>
        <v/>
      </c>
      <c r="AO196" s="55">
        <f>$AO195+$AM196</f>
        <v/>
      </c>
      <c r="AP196" s="55">
        <f>SUMIFS(tblMiningDaily[GC_Drill_m],tblMiningDaily[Date],$A196)</f>
        <v/>
      </c>
      <c r="AQ196" s="55">
        <f>IF($B196=$B195,$AQ195,0)+$AP196</f>
        <v/>
      </c>
      <c r="AR196" s="55">
        <f>$AR195+$AP196</f>
        <v/>
      </c>
      <c r="AS196" s="55">
        <f>SUMIFS(tblMiningDaily[Blast_t],tblMiningDaily[Date],$A196)</f>
        <v/>
      </c>
      <c r="AT196" s="55">
        <f>IF($B196=$B195,$AT195,0)+$AS196</f>
        <v/>
      </c>
      <c r="AU196" s="55">
        <f>$AU195+$AS196</f>
        <v/>
      </c>
      <c r="AV196" s="55">
        <f>SUMIFS(tblMiningDaily[Explosives_kg],tblMiningDaily[Date],$A196)</f>
        <v/>
      </c>
      <c r="AW196" s="55">
        <f>IF($B196=$B195,$AW195,0)+$AV196</f>
        <v/>
      </c>
      <c r="AX196" s="55">
        <f>$AX195+$AV196</f>
        <v/>
      </c>
      <c r="AY196" s="56">
        <f>IFERROR(IF(($AS196)&gt;0,($AV196)/($AS196),""),"")</f>
        <v/>
      </c>
      <c r="AZ196" s="56">
        <f>IFERROR(IF(($AT196)&gt;0,($AW196)/($AT196),""),"")</f>
        <v/>
      </c>
      <c r="BA196" s="56">
        <f>IFERROR(IF(($AU196)&gt;0,($AX196)/($AU196),""),"")</f>
        <v/>
      </c>
      <c r="BB196" s="55">
        <f>SUMIFS(tblMiningDaily[Diesel_L],tblMiningDaily[Date],$A196)</f>
        <v/>
      </c>
      <c r="BC196" s="55">
        <f>IF($B196=$B195,$BC195,0)+$BB196</f>
        <v/>
      </c>
      <c r="BD196" s="55">
        <f>$BD195+$BB196</f>
        <v/>
      </c>
      <c r="BE196" s="55">
        <f>SUMIFS(tblMiningDaily[Dewatering_m3],tblMiningDaily[Date],$A196)</f>
        <v/>
      </c>
      <c r="BF196" s="55">
        <f>IF($B196=$B195,$BF195,0)+$BE196</f>
        <v/>
      </c>
      <c r="BG196" s="55">
        <f>$BG195+$BE196</f>
        <v/>
      </c>
      <c r="BH196" s="57">
        <f>SUMIFS(tblFleet[Calendar_h],tblFleet[Date],$A196,tblFleet[Equipment_Class],"Excavator")</f>
        <v/>
      </c>
      <c r="BI196" s="57">
        <f>IF($B196=$B195,$BI195,0)+$BH196</f>
        <v/>
      </c>
      <c r="BJ196" s="57">
        <f>$BJ195+$BH196</f>
        <v/>
      </c>
      <c r="BK196" s="57">
        <f>SUMIFS(tblFleet[Available_h],tblFleet[Date],$A196,tblFleet[Equipment_Class],"Excavator")</f>
        <v/>
      </c>
      <c r="BL196" s="57">
        <f>IF($B196=$B195,$BL195,0)+$BK196</f>
        <v/>
      </c>
      <c r="BM196" s="57">
        <f>$BM195+$BK196</f>
        <v/>
      </c>
      <c r="BN196" s="57">
        <f>SUMIFS(tblFleet[Operating_h],tblFleet[Date],$A196,tblFleet[Equipment_Class],"Excavator")</f>
        <v/>
      </c>
      <c r="BO196" s="57">
        <f>IF($B196=$B195,$BO195,0)+$BN196</f>
        <v/>
      </c>
      <c r="BP196" s="57">
        <f>$BP195+$BN196</f>
        <v/>
      </c>
      <c r="BQ196" s="67">
        <f>IFERROR(IF(($BH196)&gt;0,($BK196)/($BH196),""),"")</f>
        <v/>
      </c>
      <c r="BR196" s="67">
        <f>IFERROR(IF(($BI196)&gt;0,($BL196)/($BI196),""),"")</f>
        <v/>
      </c>
      <c r="BS196" s="67">
        <f>IFERROR(IF(($BJ196)&gt;0,($BM196)/($BJ196),""),"")</f>
        <v/>
      </c>
      <c r="BT196" s="67">
        <f>IFERROR(IF(($BK196)&gt;0,($BN196)/($BK196),""),"")</f>
        <v/>
      </c>
      <c r="BU196" s="67">
        <f>IFERROR(IF(($BL196)&gt;0,($BO196)/($BL196),""),"")</f>
        <v/>
      </c>
      <c r="BV196" s="67">
        <f>IFERROR(IF(($BM196)&gt;0,($BP196)/($BM196),""),"")</f>
        <v/>
      </c>
      <c r="BW196" s="57">
        <f>SUMIFS(tblFleet[Calendar_h],tblFleet[Date],$A196,tblFleet[Equipment_Class],"Haul Truck")</f>
        <v/>
      </c>
      <c r="BX196" s="57">
        <f>IF($B196=$B195,$BX195,0)+$BW196</f>
        <v/>
      </c>
      <c r="BY196" s="57">
        <f>$BY195+$BW196</f>
        <v/>
      </c>
      <c r="BZ196" s="57">
        <f>SUMIFS(tblFleet[Available_h],tblFleet[Date],$A196,tblFleet[Equipment_Class],"Haul Truck")</f>
        <v/>
      </c>
      <c r="CA196" s="57">
        <f>IF($B196=$B195,$CA195,0)+$BZ196</f>
        <v/>
      </c>
      <c r="CB196" s="57">
        <f>$CB195+$BZ196</f>
        <v/>
      </c>
      <c r="CC196" s="57">
        <f>SUMIFS(tblFleet[Operating_h],tblFleet[Date],$A196,tblFleet[Equipment_Class],"Haul Truck")</f>
        <v/>
      </c>
      <c r="CD196" s="57">
        <f>IF($B196=$B195,$CD195,0)+$CC196</f>
        <v/>
      </c>
      <c r="CE196" s="57">
        <f>$CE195+$CC196</f>
        <v/>
      </c>
      <c r="CF196" s="67">
        <f>IFERROR(IF(($BW196)&gt;0,($BZ196)/($BW196),""),"")</f>
        <v/>
      </c>
      <c r="CG196" s="67">
        <f>IFERROR(IF(($BX196)&gt;0,($CA196)/($BX196),""),"")</f>
        <v/>
      </c>
      <c r="CH196" s="67">
        <f>IFERROR(IF(($BY196)&gt;0,($CB196)/($BY196),""),"")</f>
        <v/>
      </c>
      <c r="CI196" s="67">
        <f>IFERROR(IF(($BZ196)&gt;0,($CC196)/($BZ196),""),"")</f>
        <v/>
      </c>
      <c r="CJ196" s="67">
        <f>IFERROR(IF(($CA196)&gt;0,($CD196)/($CA196),""),"")</f>
        <v/>
      </c>
      <c r="CK196" s="67">
        <f>IFERROR(IF(($CB196)&gt;0,($CE196)/($CB196),""),"")</f>
        <v/>
      </c>
      <c r="CL196" s="55">
        <f>IFERROR(IF(($BN196)&gt;0,($X196+$AD196)/($BN196),""),"")</f>
        <v/>
      </c>
      <c r="CM196" s="55">
        <f>IFERROR(IF(($BO196)&gt;0,($Y196+$AE196)/($BO196),""),"")</f>
        <v/>
      </c>
      <c r="CN196" s="55">
        <f>IFERROR(IF(($BP196)&gt;0,($Z196+$AF196)/($BP196),""),"")</f>
        <v/>
      </c>
      <c r="CO196" s="55">
        <f>IFERROR(IF(($CC196)&gt;0,($X196+$AD196)/($CC196),""),"")</f>
        <v/>
      </c>
      <c r="CP196" s="55">
        <f>IFERROR(IF(($CD196)&gt;0,($Y196+$AE196)/($CD196),""),"")</f>
        <v/>
      </c>
      <c r="CQ196" s="55">
        <f>IFERROR(IF(($CE196)&gt;0,($Z196+$AF196)/($CE196),""),"")</f>
        <v/>
      </c>
      <c r="CR196" s="55">
        <f>SUMIFS(tblPlant[Crushed_t],tblPlant[Date],$A196)</f>
        <v/>
      </c>
      <c r="CS196" s="55">
        <f>IF($B196=$B195,$CS195,0)+$CR196</f>
        <v/>
      </c>
      <c r="CT196" s="55">
        <f>$CT195+$CR196</f>
        <v/>
      </c>
      <c r="CU196" s="55">
        <f>SUMIFS(tblPlant[Milled_t],tblPlant[Date],$A196)</f>
        <v/>
      </c>
      <c r="CV196" s="55">
        <f>IF($B196=$B195,$CV195,0)+$CU196</f>
        <v/>
      </c>
      <c r="CW196" s="55">
        <f>$CW195+$CU196</f>
        <v/>
      </c>
      <c r="CX196" s="55">
        <f>SUMIFS(tblPlant[Feed_oz],tblPlant[Date],$A196)</f>
        <v/>
      </c>
      <c r="CY196" s="55">
        <f>IF($B196=$B195,$CY195,0)+$CX196</f>
        <v/>
      </c>
      <c r="CZ196" s="55">
        <f>$CZ195+$CX196</f>
        <v/>
      </c>
      <c r="DA196" s="55">
        <f>SUMIFS(tblPlant[Tails_oz],tblPlant[Date],$A196)</f>
        <v/>
      </c>
      <c r="DB196" s="55">
        <f>IF($B196=$B195,$DB195,0)+$DA196</f>
        <v/>
      </c>
      <c r="DC196" s="55">
        <f>$DC195+$DA196</f>
        <v/>
      </c>
      <c r="DD196" s="55">
        <f>SUMIFS(tblPlant[Recovered_oz],tblPlant[Date],$A196)</f>
        <v/>
      </c>
      <c r="DE196" s="55">
        <f>IF($B196=$B195,$DE195,0)+$DD196</f>
        <v/>
      </c>
      <c r="DF196" s="55">
        <f>$DF195+$DD196</f>
        <v/>
      </c>
      <c r="DG196" s="55">
        <f>SUMIFS(tblPlant[Milled_t],tblPlant[Date],$A196,tblPlant[Head_Grade_gpt],"&lt;&gt;")</f>
        <v/>
      </c>
      <c r="DH196" s="55">
        <f>IF($B196=$B195,$DH195,0)+$DG196</f>
        <v/>
      </c>
      <c r="DI196" s="55">
        <f>$DI195+$DG196</f>
        <v/>
      </c>
      <c r="DJ196" s="55">
        <f>SUMIFS(tblPlant[Milled_t],tblPlant[Date],$A196,tblPlant[Tails_Grade_gpt],"&lt;&gt;")</f>
        <v/>
      </c>
      <c r="DK196" s="55">
        <f>IF($B196=$B195,$DK195,0)+$DJ196</f>
        <v/>
      </c>
      <c r="DL196" s="55">
        <f>$DL195+$DJ196</f>
        <v/>
      </c>
      <c r="DM196" s="55">
        <f>SUMIFS(tblPlant[Feed_oz],tblPlant[Date],$A196,tblPlant[Tails_Grade_gpt],"&lt;&gt;")</f>
        <v/>
      </c>
      <c r="DN196" s="55">
        <f>IF($B196=$B195,$DN195,0)+$DM196</f>
        <v/>
      </c>
      <c r="DO196" s="55">
        <f>$DO195+$DM196</f>
        <v/>
      </c>
      <c r="DP196" s="55">
        <f>SUMIFS(tblPlant[Milled_t],tblPlant[Date],$A196,tblPlant[Mill_Run_h],"&lt;&gt;")</f>
        <v/>
      </c>
      <c r="DQ196" s="55">
        <f>IF($B196=$B195,$DQ195,0)+$DP196</f>
        <v/>
      </c>
      <c r="DR196" s="55">
        <f>$DR195+$DP196</f>
        <v/>
      </c>
      <c r="DS196" s="56">
        <f>IFERROR(IF(($DG196)&gt;0,($CX196*cfg_TroyOz)/($DG196),""),"")</f>
        <v/>
      </c>
      <c r="DT196" s="56">
        <f>IFERROR(IF(($DH196)&gt;0,($CY196*cfg_TroyOz)/($DH196),""),"")</f>
        <v/>
      </c>
      <c r="DU196" s="56">
        <f>IFERROR(IF(($DI196)&gt;0,($CZ196*cfg_TroyOz)/($DI196),""),"")</f>
        <v/>
      </c>
      <c r="DV196" s="56">
        <f>IFERROR(IF(($DJ196)&gt;0,($DA196*cfg_TroyOz)/($DJ196),""),"")</f>
        <v/>
      </c>
      <c r="DW196" s="56">
        <f>IFERROR(IF(($DK196)&gt;0,($DB196*cfg_TroyOz)/($DK196),""),"")</f>
        <v/>
      </c>
      <c r="DX196" s="56">
        <f>IFERROR(IF(($DL196)&gt;0,($DC196*cfg_TroyOz)/($DL196),""),"")</f>
        <v/>
      </c>
      <c r="DY196" s="67">
        <f>IFERROR(IF(($DM196)&gt;0,($DD196)/($DM196),""),"")</f>
        <v/>
      </c>
      <c r="DZ196" s="67">
        <f>IFERROR(IF(($DN196)&gt;0,($DE196)/($DN196),""),"")</f>
        <v/>
      </c>
      <c r="EA196" s="67">
        <f>IFERROR(IF(($DO196)&gt;0,($DF196)/($DO196),""),"")</f>
        <v/>
      </c>
      <c r="EB196" s="55">
        <f>SUMIFS(tblPlant[Gravity_Gold_oz],tblPlant[Date],$A196)</f>
        <v/>
      </c>
      <c r="EC196" s="55">
        <f>IF($B196=$B195,$EC195,0)+$EB196</f>
        <v/>
      </c>
      <c r="ED196" s="55">
        <f>$ED195+$EB196</f>
        <v/>
      </c>
      <c r="EE196" s="67">
        <f>IFERROR(IF(($DD196)&gt;0,($EB196)/($DD196),""),"")</f>
        <v/>
      </c>
      <c r="EF196" s="67">
        <f>IFERROR(IF(($DE196)&gt;0,($EC196)/($DE196),""),"")</f>
        <v/>
      </c>
      <c r="EG196" s="67">
        <f>IFERROR(IF(($DF196)&gt;0,($ED196)/($DF196),""),"")</f>
        <v/>
      </c>
      <c r="EH196" s="55">
        <f>SUMIFS(tblPlant[Gold_Poured_oz],tblPlant[Date],$A196)</f>
        <v/>
      </c>
      <c r="EI196" s="55">
        <f>IF($B196=$B195,$EI195,0)+$EH196</f>
        <v/>
      </c>
      <c r="EJ196" s="55">
        <f>$EJ195+$EH196</f>
        <v/>
      </c>
      <c r="EK196" s="57">
        <f>SUMIFS(tblPlant[Mill_Run_h],tblPlant[Date],$A196)</f>
        <v/>
      </c>
      <c r="EL196" s="57">
        <f>IF($B196=$B195,$EL195,0)+$EK196</f>
        <v/>
      </c>
      <c r="EM196" s="57">
        <f>$EM195+$EK196</f>
        <v/>
      </c>
      <c r="EN196" s="57">
        <f>SUMIFS(tblPlant[Mill_Planned_Maint_h],tblPlant[Date],$A196)</f>
        <v/>
      </c>
      <c r="EO196" s="57">
        <f>IF($B196=$B195,$EO195,0)+$EN196</f>
        <v/>
      </c>
      <c r="EP196" s="57">
        <f>$EP195+$EN196</f>
        <v/>
      </c>
      <c r="EQ196" s="57">
        <f>SUMIFS(tblPlant[Mill_Unplanned_Down_h],tblPlant[Date],$A196)</f>
        <v/>
      </c>
      <c r="ER196" s="57">
        <f>IF($B196=$B195,$ER195,0)+$EQ196</f>
        <v/>
      </c>
      <c r="ES196" s="57">
        <f>$ES195+$EQ196</f>
        <v/>
      </c>
      <c r="ET196" s="57">
        <f>IF(COUNTIFS(tblPlant[Date],$A196,tblPlant[Mill_Run_h],"&lt;&gt;")+COUNTIFS(tblPlant[Date],$A196,tblPlant[Mill_Planned_Maint_h],"&lt;&gt;")+COUNTIFS(tblPlant[Date],$A196,tblPlant[Mill_Unplanned_Down_h],"&lt;&gt;")&gt;0,cfg_HoursPerDay,0)</f>
        <v/>
      </c>
      <c r="EU196" s="57">
        <f>IF($B196=$B195,$EU195,0)+$ET196</f>
        <v/>
      </c>
      <c r="EV196" s="57">
        <f>$EV195+$ET196</f>
        <v/>
      </c>
      <c r="EW196" s="57">
        <f>SUMIFS(tblPlant[Crusher_Run_h],tblPlant[Date],$A196)</f>
        <v/>
      </c>
      <c r="EX196" s="57">
        <f>IF($B196=$B195,$EX195,0)+$EW196</f>
        <v/>
      </c>
      <c r="EY196" s="57">
        <f>$EY195+$EW196</f>
        <v/>
      </c>
      <c r="EZ196" s="55">
        <f>IFERROR(IF(($EK196)&gt;0,($DP196)/($EK196),""),"")</f>
        <v/>
      </c>
      <c r="FA196" s="55">
        <f>IFERROR(IF(($EL196)&gt;0,($DQ196)/($EL196),""),"")</f>
        <v/>
      </c>
      <c r="FB196" s="55">
        <f>IFERROR(IF(($EM196)&gt;0,($DR196)/($EM196),""),"")</f>
        <v/>
      </c>
      <c r="FC196" s="67">
        <f>IFERROR(IF(($ET196)&gt;0,($ET196-$EN196-$EQ196)/($ET196),""),"")</f>
        <v/>
      </c>
      <c r="FD196" s="67">
        <f>IFERROR(IF(($EU196)&gt;0,($EU196-$EO196-$ER196)/($EU196),""),"")</f>
        <v/>
      </c>
      <c r="FE196" s="67">
        <f>IFERROR(IF(($EV196)&gt;0,($EV196-$EP196-$ES196)/($EV196),""),"")</f>
        <v/>
      </c>
      <c r="FF196" s="67">
        <f>IFERROR(IF(($ET196-$EN196-$EQ196)&gt;0,($EK196)/($ET196-$EN196-$EQ196),""),"")</f>
        <v/>
      </c>
      <c r="FG196" s="67">
        <f>IFERROR(IF(($EU196-$EO196-$ER196)&gt;0,($EL196)/($EU196-$EO196-$ER196),""),"")</f>
        <v/>
      </c>
      <c r="FH196" s="67">
        <f>IFERROR(IF(($EV196-$EP196-$ES196)&gt;0,($EM196)/($EV196-$EP196-$ES196),""),"")</f>
        <v/>
      </c>
      <c r="FI196" s="55">
        <f>SUMIFS(tblPlant[Cyanide_kg],tblPlant[Date],$A196)</f>
        <v/>
      </c>
      <c r="FJ196" s="55">
        <f>IF($B196=$B195,$FJ195,0)+$FI196</f>
        <v/>
      </c>
      <c r="FK196" s="55">
        <f>$FK195+$FI196</f>
        <v/>
      </c>
      <c r="FL196" s="55">
        <f>SUMIFS(tblPlant[Lime_kg],tblPlant[Date],$A196)</f>
        <v/>
      </c>
      <c r="FM196" s="55">
        <f>IF($B196=$B195,$FM195,0)+$FL196</f>
        <v/>
      </c>
      <c r="FN196" s="55">
        <f>$FN195+$FL196</f>
        <v/>
      </c>
      <c r="FO196" s="55">
        <f>SUMIFS(tblPlant[Grinding_Media_kg],tblPlant[Date],$A196)</f>
        <v/>
      </c>
      <c r="FP196" s="55">
        <f>IF($B196=$B195,$FP195,0)+$FO196</f>
        <v/>
      </c>
      <c r="FQ196" s="55">
        <f>$FQ195+$FO196</f>
        <v/>
      </c>
      <c r="FR196" s="55">
        <f>SUMIFS(tblPlant[Power_kWh],tblPlant[Date],$A196)</f>
        <v/>
      </c>
      <c r="FS196" s="55">
        <f>IF($B196=$B195,$FS195,0)+$FR196</f>
        <v/>
      </c>
      <c r="FT196" s="55">
        <f>$FT195+$FR196</f>
        <v/>
      </c>
      <c r="FU196" s="55">
        <f>SUMIFS(tblPlant[Raw_Water_m3],tblPlant[Date],$A196)</f>
        <v/>
      </c>
      <c r="FV196" s="55">
        <f>IF($B196=$B195,$FV195,0)+$FU196</f>
        <v/>
      </c>
      <c r="FW196" s="55">
        <f>$FW195+$FU196</f>
        <v/>
      </c>
      <c r="FX196" s="56">
        <f>IFERROR(IF(($CU196)&gt;0,($FI196)/($CU196),""),"")</f>
        <v/>
      </c>
      <c r="FY196" s="56">
        <f>IFERROR(IF(($CV196)&gt;0,($FJ196)/($CV196),""),"")</f>
        <v/>
      </c>
      <c r="FZ196" s="56">
        <f>IFERROR(IF(($CW196)&gt;0,($FK196)/($CW196),""),"")</f>
        <v/>
      </c>
      <c r="GA196" s="56">
        <f>IFERROR(IF(($CU196)&gt;0,($FL196)/($CU196),""),"")</f>
        <v/>
      </c>
      <c r="GB196" s="56">
        <f>IFERROR(IF(($CV196)&gt;0,($FM196)/($CV196),""),"")</f>
        <v/>
      </c>
      <c r="GC196" s="56">
        <f>IFERROR(IF(($CW196)&gt;0,($FN196)/($CW196),""),"")</f>
        <v/>
      </c>
      <c r="GD196" s="56">
        <f>IFERROR(IF(($CU196)&gt;0,($FO196)/($CU196),""),"")</f>
        <v/>
      </c>
      <c r="GE196" s="56">
        <f>IFERROR(IF(($CV196)&gt;0,($FP196)/($CV196),""),"")</f>
        <v/>
      </c>
      <c r="GF196" s="56">
        <f>IFERROR(IF(($CW196)&gt;0,($FQ196)/($CW196),""),"")</f>
        <v/>
      </c>
      <c r="GG196" s="79">
        <f>IFERROR(IF(($CU196)&gt;0,($FR196)/($CU196),""),"")</f>
        <v/>
      </c>
      <c r="GH196" s="79">
        <f>IFERROR(IF(($CV196)&gt;0,($FS196)/($CV196),""),"")</f>
        <v/>
      </c>
      <c r="GI196" s="79">
        <f>IFERROR(IF(($CW196)&gt;0,($FT196)/($CW196),""),"")</f>
        <v/>
      </c>
      <c r="GJ196" s="56">
        <f>IFERROR(IF(($CU196)&gt;0,($FU196)/($CU196),""),"")</f>
        <v/>
      </c>
      <c r="GK196" s="56">
        <f>IFERROR(IF(($CV196)&gt;0,($FV196)/($CV196),""),"")</f>
        <v/>
      </c>
      <c r="GL196" s="56">
        <f>IFERROR(IF(($CW196)&gt;0,($FW196)/($CW196),""),"")</f>
        <v/>
      </c>
      <c r="GM196" s="55">
        <f>IF(SUMIFS(tblPlant[GIC_oz],tblPlant[Date],$A196)&gt;0,SUMIFS(tblPlant[GIC_oz],tblPlant[Date],$A196),"")</f>
        <v/>
      </c>
      <c r="GN196" s="55">
        <f>SUMIFS(tblGold[Gold_oz],tblGold[Date],$A196,tblGold[Type],"Shipment")</f>
        <v/>
      </c>
      <c r="GO196" s="55">
        <f>IF($B196=$B195,$GO195,0)+$GN196</f>
        <v/>
      </c>
      <c r="GP196" s="55">
        <f>$GP195+$GN196</f>
        <v/>
      </c>
      <c r="GQ196" s="55">
        <f>SUMIFS(tblGold[Gold_oz],tblGold[Date],$A196,tblGold[Type],"Sale")</f>
        <v/>
      </c>
      <c r="GR196" s="55">
        <f>IF($B196=$B195,$GR195,0)+$GQ196</f>
        <v/>
      </c>
      <c r="GS196" s="55">
        <f>$GS195+$GQ196</f>
        <v/>
      </c>
      <c r="GT196" s="55">
        <f>SUMIFS(tblGold[Dore_kg],tblGold[Date],$A196,tblGold[Type],"Shipment")</f>
        <v/>
      </c>
      <c r="GU196" s="55">
        <f>IF($B196=$B195,$GU195,0)+$GT196</f>
        <v/>
      </c>
      <c r="GV196" s="55">
        <f>$GV195+$GT196</f>
        <v/>
      </c>
      <c r="GW196" s="57">
        <f>SUMIFS(tblSafety[Hours_Total],tblSafety[Date],$A196)</f>
        <v/>
      </c>
      <c r="GX196" s="57">
        <f>IF($B196=$B195,$GX195,0)+$GW196</f>
        <v/>
      </c>
      <c r="GY196" s="57">
        <f>$GY195+$GW196</f>
        <v/>
      </c>
      <c r="GZ196" s="62">
        <f>SUMIFS(tblSafety[Fatality],tblSafety[Date],$A196)</f>
        <v/>
      </c>
      <c r="HA196" s="62">
        <f>IF($B196=$B195,$HA195,0)+$GZ196</f>
        <v/>
      </c>
      <c r="HB196" s="62">
        <f>$HB195+$GZ196</f>
        <v/>
      </c>
      <c r="HC196" s="62">
        <f>SUMIFS(tblSafety[LTI],tblSafety[Date],$A196)</f>
        <v/>
      </c>
      <c r="HD196" s="62">
        <f>IF($B196=$B195,$HD195,0)+$HC196</f>
        <v/>
      </c>
      <c r="HE196" s="62">
        <f>$HE195+$HC196</f>
        <v/>
      </c>
      <c r="HF196" s="62">
        <f>SUMIFS(tblSafety[RWI],tblSafety[Date],$A196)</f>
        <v/>
      </c>
      <c r="HG196" s="62">
        <f>IF($B196=$B195,$HG195,0)+$HF196</f>
        <v/>
      </c>
      <c r="HH196" s="62">
        <f>$HH195+$HF196</f>
        <v/>
      </c>
      <c r="HI196" s="62">
        <f>SUMIFS(tblSafety[MTI],tblSafety[Date],$A196)</f>
        <v/>
      </c>
      <c r="HJ196" s="62">
        <f>IF($B196=$B195,$HJ195,0)+$HI196</f>
        <v/>
      </c>
      <c r="HK196" s="62">
        <f>$HK195+$HI196</f>
        <v/>
      </c>
      <c r="HL196" s="62">
        <f>SUMIFS(tblSafety[FAI],tblSafety[Date],$A196)</f>
        <v/>
      </c>
      <c r="HM196" s="62">
        <f>IF($B196=$B195,$HM195,0)+$HL196</f>
        <v/>
      </c>
      <c r="HN196" s="62">
        <f>$HN195+$HL196</f>
        <v/>
      </c>
      <c r="HO196" s="62">
        <f>SUMIFS(tblSafety[Recordables],tblSafety[Date],$A196)</f>
        <v/>
      </c>
      <c r="HP196" s="62">
        <f>IF($B196=$B195,$HP195,0)+$HO196</f>
        <v/>
      </c>
      <c r="HQ196" s="62">
        <f>$HQ195+$HO196</f>
        <v/>
      </c>
      <c r="HR196" s="62">
        <f>SUMIFS(tblSafety[Near_Miss],tblSafety[Date],$A196)</f>
        <v/>
      </c>
      <c r="HS196" s="62">
        <f>IF($B196=$B195,$HS195,0)+$HR196</f>
        <v/>
      </c>
      <c r="HT196" s="62">
        <f>$HT195+$HR196</f>
        <v/>
      </c>
      <c r="HU196" s="62">
        <f>SUMIFS(tblSafety[Hazard_Reports],tblSafety[Date],$A196)</f>
        <v/>
      </c>
      <c r="HV196" s="62">
        <f>IF($B196=$B195,$HV195,0)+$HU196</f>
        <v/>
      </c>
      <c r="HW196" s="62">
        <f>$HW195+$HU196</f>
        <v/>
      </c>
      <c r="HX196" s="62">
        <f>SUMIFS(tblSafety[HPI],tblSafety[Date],$A196)</f>
        <v/>
      </c>
      <c r="HY196" s="62">
        <f>IF($B196=$B195,$HY195,0)+$HX196</f>
        <v/>
      </c>
      <c r="HZ196" s="62">
        <f>$HZ195+$HX196</f>
        <v/>
      </c>
      <c r="IA196" s="62">
        <f>SUMIFS(tblSafety[Env_Incidents],tblSafety[Date],$A196)</f>
        <v/>
      </c>
      <c r="IB196" s="62">
        <f>IF($B196=$B195,$IB195,0)+$IA196</f>
        <v/>
      </c>
      <c r="IC196" s="62">
        <f>$IC195+$IA196</f>
        <v/>
      </c>
      <c r="ID196" s="62">
        <f>SUMIFS(tblSafety[Community_Incidents],tblSafety[Date],$A196)</f>
        <v/>
      </c>
      <c r="IE196" s="62">
        <f>IF($B196=$B195,$IE195,0)+$ID196</f>
        <v/>
      </c>
      <c r="IF196" s="62">
        <f>$IF195+$ID196</f>
        <v/>
      </c>
      <c r="IG196" s="62">
        <f>SUMIFS(tblSafety[Vehicle_Incidents],tblSafety[Date],$A196)</f>
        <v/>
      </c>
      <c r="IH196" s="62">
        <f>IF($B196=$B195,$IH195,0)+$IG196</f>
        <v/>
      </c>
      <c r="II196" s="62">
        <f>$II195+$IG196</f>
        <v/>
      </c>
      <c r="IJ196" s="62">
        <f>SUMIFS(tblSafety[Toolbox_Talks],tblSafety[Date],$A196)</f>
        <v/>
      </c>
      <c r="IK196" s="62">
        <f>IF($B196=$B195,$IK195,0)+$IJ196</f>
        <v/>
      </c>
      <c r="IL196" s="62">
        <f>$IL195+$IJ196</f>
        <v/>
      </c>
      <c r="IM196" s="62">
        <f>SUMIFS(tblSafety[Inspections],tblSafety[Date],$A196)</f>
        <v/>
      </c>
      <c r="IN196" s="62">
        <f>IF($B196=$B195,$IN195,0)+$IM196</f>
        <v/>
      </c>
      <c r="IO196" s="62">
        <f>$IO195+$IM196</f>
        <v/>
      </c>
      <c r="IP196" s="56">
        <f>IFERROR((SUMIFS(tblSafety[Recordables],tblSafety[Date],"&gt;="&amp;EDATE($E196,-12),tblSafety[Date],"&lt;="&amp;$A196)+SUMIFS(tblSafetyHistory[Recordables],tblSafetyHistory[Month],"&gt;="&amp;EDATE($E196,-12),tblSafetyHistory[Month],"&lt;"&amp;$E196,tblSafetyHistory[Use],1))/(SUMIFS(tblSafety[Hours_Total],tblSafety[Date],"&gt;="&amp;EDATE($E196,-12),tblSafety[Date],"&lt;="&amp;$A196)+SUMIFS(tblSafetyHistory[Hours_Total],tblSafetyHistory[Month],"&gt;="&amp;EDATE($E196,-12),tblSafetyHistory[Month],"&lt;"&amp;$E196,tblSafetyHistory[Use],1))*cfg_RateBasisHours,"")</f>
        <v/>
      </c>
      <c r="IQ196" s="56">
        <f>IFERROR((SUMIFS(tblSafety[LTI],tblSafety[Date],"&gt;="&amp;EDATE($E196,-12),tblSafety[Date],"&lt;="&amp;$A196)+SUMIFS(tblSafetyHistory[LTI],tblSafetyHistory[Month],"&gt;="&amp;EDATE($E196,-12),tblSafetyHistory[Month],"&lt;"&amp;$E196,tblSafetyHistory[Use],1))/(SUMIFS(tblSafety[Hours_Total],tblSafety[Date],"&gt;="&amp;EDATE($E196,-12),tblSafety[Date],"&lt;="&amp;$A196)+SUMIFS(tblSafetyHistory[Hours_Total],tblSafetyHistory[Month],"&gt;="&amp;EDATE($E196,-12),tblSafetyHistory[Month],"&lt;"&amp;$E196,tblSafetyHistory[Use],1))*cfg_RateBasisHours,"")</f>
        <v/>
      </c>
      <c r="IR196" s="62">
        <f>IF(MAX(N(cfg_PriorLTIDate),_xlfn.MAXIFS(tblSafety[Date],tblSafety[LTI],"&gt;0",tblSafety[Date],"&lt;="&amp;$A196))=0,"",$A196-MAX(N(cfg_PriorLTIDate),_xlfn.MAXIFS(tblSafety[Date],tblSafety[LTI],"&gt;0",tblSafety[Date],"&lt;="&amp;$A196)))</f>
        <v/>
      </c>
      <c r="IS196" s="55">
        <f>SUMIFS(tblBudget[Ore_Mined_t],tblBudget[Month],$E196)</f>
        <v/>
      </c>
      <c r="IT196" s="55">
        <f>$IS196*$C196/$D196</f>
        <v/>
      </c>
      <c r="IU196" s="55">
        <f>SUMIFS(tblBudget[Ore_Mined_t],tblBudget[Month],"&lt;"&amp;$E196)+$IT196</f>
        <v/>
      </c>
      <c r="IV196" s="55">
        <f>SUMIFS(tblBudget[Ore_oz],tblBudget[Month],$E196)</f>
        <v/>
      </c>
      <c r="IW196" s="55">
        <f>$IV196*$C196/$D196</f>
        <v/>
      </c>
      <c r="IX196" s="55">
        <f>SUMIFS(tblBudget[Ore_oz],tblBudget[Month],"&lt;"&amp;$E196)+$IW196</f>
        <v/>
      </c>
      <c r="IY196" s="55">
        <f>SUMIFS(tblBudget[Ore_Mined_t],tblBudget[Month],$E196)</f>
        <v/>
      </c>
      <c r="IZ196" s="55">
        <f>$IY196*$C196/$D196</f>
        <v/>
      </c>
      <c r="JA196" s="55">
        <f>SUMIFS(tblBudget[Ore_Mined_t],tblBudget[Month],"&lt;"&amp;$E196)+$IZ196</f>
        <v/>
      </c>
      <c r="JB196" s="56">
        <f>IFERROR(IF(($IY196)&gt;0,($IV196*cfg_TroyOz)/($IY196),""),"")</f>
        <v/>
      </c>
      <c r="JC196" s="56">
        <f>IFERROR(IF(($IZ196)&gt;0,($IW196*cfg_TroyOz)/($IZ196),""),"")</f>
        <v/>
      </c>
      <c r="JD196" s="56">
        <f>IFERROR(IF(($JA196)&gt;0,($IX196*cfg_TroyOz)/($JA196),""),"")</f>
        <v/>
      </c>
      <c r="JE196" s="55">
        <f>SUMIFS(tblBudget[Waste_t],tblBudget[Month],$E196)</f>
        <v/>
      </c>
      <c r="JF196" s="55">
        <f>$JE196*$C196/$D196</f>
        <v/>
      </c>
      <c r="JG196" s="55">
        <f>SUMIFS(tblBudget[Waste_t],tblBudget[Month],"&lt;"&amp;$E196)+$JF196</f>
        <v/>
      </c>
      <c r="JH196" s="55">
        <f>SUMIFS(tblBudget[TMM_t],tblBudget[Month],$E196)</f>
        <v/>
      </c>
      <c r="JI196" s="55">
        <f>$JH196*$C196/$D196</f>
        <v/>
      </c>
      <c r="JJ196" s="55">
        <f>SUMIFS(tblBudget[TMM_t],tblBudget[Month],"&lt;"&amp;$E196)+$JI196</f>
        <v/>
      </c>
      <c r="JK196" s="56">
        <f>IFERROR(IF(($IS196)&gt;0,($JE196)/($IS196),""),"")</f>
        <v/>
      </c>
      <c r="JL196" s="56">
        <f>IFERROR(IF(($IT196)&gt;0,($JF196)/($IT196),""),"")</f>
        <v/>
      </c>
      <c r="JM196" s="56">
        <f>IFERROR(IF(($IU196)&gt;0,($JG196)/($IU196),""),"")</f>
        <v/>
      </c>
      <c r="JN196" s="55">
        <f>SUMIFS(tblBudget[Drill_m],tblBudget[Month],$E196)</f>
        <v/>
      </c>
      <c r="JO196" s="55">
        <f>$JN196*$C196/$D196</f>
        <v/>
      </c>
      <c r="JP196" s="55">
        <f>SUMIFS(tblBudget[Drill_m],tblBudget[Month],"&lt;"&amp;$E196)+$JO196</f>
        <v/>
      </c>
      <c r="JQ196" s="55">
        <f>SUMIFS(tblBudget[Diesel_L],tblBudget[Month],$E196)</f>
        <v/>
      </c>
      <c r="JR196" s="55">
        <f>$JQ196*$C196/$D196</f>
        <v/>
      </c>
      <c r="JS196" s="55">
        <f>SUMIFS(tblBudget[Diesel_L],tblBudget[Month],"&lt;"&amp;$E196)+$JR196</f>
        <v/>
      </c>
      <c r="JT196" s="55">
        <f>SUMIFS(tblBudget[Milled_t],tblBudget[Month],$E196)</f>
        <v/>
      </c>
      <c r="JU196" s="55">
        <f>$JT196*$C196/$D196</f>
        <v/>
      </c>
      <c r="JV196" s="55">
        <f>SUMIFS(tblBudget[Milled_t],tblBudget[Month],"&lt;"&amp;$E196)+$JU196</f>
        <v/>
      </c>
      <c r="JW196" s="55">
        <f>SUMIFS(tblBudget[Feed_oz],tblBudget[Month],$E196)</f>
        <v/>
      </c>
      <c r="JX196" s="55">
        <f>$JW196*$C196/$D196</f>
        <v/>
      </c>
      <c r="JY196" s="55">
        <f>SUMIFS(tblBudget[Feed_oz],tblBudget[Month],"&lt;"&amp;$E196)+$JX196</f>
        <v/>
      </c>
      <c r="JZ196" s="55">
        <f>SUMIFS(tblBudget[Recovered_oz],tblBudget[Month],$E196)</f>
        <v/>
      </c>
      <c r="KA196" s="55">
        <f>$JZ196*$C196/$D196</f>
        <v/>
      </c>
      <c r="KB196" s="55">
        <f>SUMIFS(tblBudget[Recovered_oz],tblBudget[Month],"&lt;"&amp;$E196)+$KA196</f>
        <v/>
      </c>
      <c r="KC196" s="55">
        <f>SUMIFS(tblBudget[Milled_t],tblBudget[Month],$E196)</f>
        <v/>
      </c>
      <c r="KD196" s="55">
        <f>$KC196*$C196/$D196</f>
        <v/>
      </c>
      <c r="KE196" s="55">
        <f>SUMIFS(tblBudget[Milled_t],tblBudget[Month],"&lt;"&amp;$E196)+$KD196</f>
        <v/>
      </c>
      <c r="KF196" s="55">
        <f>SUMIFS(tblBudget[Feed_oz],tblBudget[Month],$E196)</f>
        <v/>
      </c>
      <c r="KG196" s="55">
        <f>$KF196*$C196/$D196</f>
        <v/>
      </c>
      <c r="KH196" s="55">
        <f>SUMIFS(tblBudget[Feed_oz],tblBudget[Month],"&lt;"&amp;$E196)+$KG196</f>
        <v/>
      </c>
      <c r="KI196" s="56">
        <f>IFERROR(IF(($KC196)&gt;0,($JW196*cfg_TroyOz)/($KC196),""),"")</f>
        <v/>
      </c>
      <c r="KJ196" s="56">
        <f>IFERROR(IF(($KD196)&gt;0,($JX196*cfg_TroyOz)/($KD196),""),"")</f>
        <v/>
      </c>
      <c r="KK196" s="56">
        <f>IFERROR(IF(($KE196)&gt;0,($JY196*cfg_TroyOz)/($KE196),""),"")</f>
        <v/>
      </c>
      <c r="KL196" s="67">
        <f>IFERROR(IF(($KF196)&gt;0,($JZ196)/($KF196),""),"")</f>
        <v/>
      </c>
      <c r="KM196" s="67">
        <f>IFERROR(IF(($KG196)&gt;0,($KA196)/($KG196),""),"")</f>
        <v/>
      </c>
      <c r="KN196" s="67">
        <f>IFERROR(IF(($KH196)&gt;0,($KB196)/($KH196),""),"")</f>
        <v/>
      </c>
      <c r="KO196" s="55">
        <f>SUMIFS(tblBudget[Gold_Poured_oz],tblBudget[Month],$E196)</f>
        <v/>
      </c>
      <c r="KP196" s="55">
        <f>$KO196*$C196/$D196</f>
        <v/>
      </c>
      <c r="KQ196" s="55">
        <f>SUMIFS(tblBudget[Gold_Poured_oz],tblBudget[Month],"&lt;"&amp;$E196)+$KP196</f>
        <v/>
      </c>
      <c r="KR196" s="57">
        <f>SUMIFS(tblBudget[Hours_Worked],tblBudget[Month],$E196)</f>
        <v/>
      </c>
      <c r="KS196" s="57">
        <f>$KR196*$C196/$D196</f>
        <v/>
      </c>
      <c r="KT196" s="57">
        <f>SUMIFS(tblBudget[Hours_Worked],tblBudget[Month],"&lt;"&amp;$E196)+$KS196</f>
        <v/>
      </c>
    </row>
    <row r="197">
      <c r="A197" s="54" t="n">
        <v>46218</v>
      </c>
      <c r="B197">
        <f>MONTH($A197)</f>
        <v/>
      </c>
      <c r="C197">
        <f>DAY($A197)</f>
        <v/>
      </c>
      <c r="D197">
        <f>DAY(EOMONTH($A197,0))</f>
        <v/>
      </c>
      <c r="E197" s="54">
        <f>DATE(YEAR($A197),MONTH($A197),1)</f>
        <v/>
      </c>
      <c r="F197" s="55">
        <f>SUMIFS(tblMovement[Tonnes_t],tblMovement[Date],$A197,tblMovement[Is_Ore],1,tblMovement[Source_Type],"Pit")</f>
        <v/>
      </c>
      <c r="G197" s="55">
        <f>IF($B197=$B196,$G196,0)+$F197</f>
        <v/>
      </c>
      <c r="H197" s="55">
        <f>$H196+$F197</f>
        <v/>
      </c>
      <c r="I197" s="55">
        <f>SUMIFS(tblMovement[Ore_oz],tblMovement[Date],$A197,tblMovement[Source_Type],"Pit")</f>
        <v/>
      </c>
      <c r="J197" s="55">
        <f>IF($B197=$B196,$J196,0)+$I197</f>
        <v/>
      </c>
      <c r="K197" s="55">
        <f>$K196+$I197</f>
        <v/>
      </c>
      <c r="L197" s="55">
        <f>SUMIFS(tblMovement[Tonnes_t],tblMovement[Date],$A197,tblMovement[Is_Ore],1,tblMovement[Source_Type],"Pit",tblMovement[Grade_gpt],"&lt;&gt;")</f>
        <v/>
      </c>
      <c r="M197" s="55">
        <f>IF($B197=$B196,$M196,0)+$L197</f>
        <v/>
      </c>
      <c r="N197" s="55">
        <f>$N196+$L197</f>
        <v/>
      </c>
      <c r="O197" s="56">
        <f>IFERROR(IF(($L197)&gt;0,($I197*cfg_TroyOz)/($L197),""),"")</f>
        <v/>
      </c>
      <c r="P197" s="56">
        <f>IFERROR(IF(($M197)&gt;0,($J197*cfg_TroyOz)/($M197),""),"")</f>
        <v/>
      </c>
      <c r="Q197" s="56">
        <f>IFERROR(IF(($N197)&gt;0,($K197*cfg_TroyOz)/($N197),""),"")</f>
        <v/>
      </c>
      <c r="R197" s="55">
        <f>$F197-$L197</f>
        <v/>
      </c>
      <c r="S197" s="55">
        <f>IF($B197=$B196,$S196,0)+$R197</f>
        <v/>
      </c>
      <c r="T197" s="55">
        <f>$T196+$R197</f>
        <v/>
      </c>
      <c r="U197" s="55">
        <f>SUMIFS(tblMovement[Tonnes_t],tblMovement[Date],$A197,tblMovement[Is_Ore],0,tblMovement[Source_Type],"Pit")</f>
        <v/>
      </c>
      <c r="V197" s="55">
        <f>IF($B197=$B196,$V196,0)+$U197</f>
        <v/>
      </c>
      <c r="W197" s="55">
        <f>$W196+$U197</f>
        <v/>
      </c>
      <c r="X197" s="55">
        <f>$F197+$U197</f>
        <v/>
      </c>
      <c r="Y197" s="55">
        <f>IF($B197=$B196,$Y196,0)+$X197</f>
        <v/>
      </c>
      <c r="Z197" s="55">
        <f>$Z196+$X197</f>
        <v/>
      </c>
      <c r="AA197" s="56">
        <f>IFERROR(IF(($F197)&gt;0,($U197)/($F197),""),"")</f>
        <v/>
      </c>
      <c r="AB197" s="56">
        <f>IFERROR(IF(($G197)&gt;0,($V197)/($G197),""),"")</f>
        <v/>
      </c>
      <c r="AC197" s="56">
        <f>IFERROR(IF(($H197)&gt;0,($W197)/($H197),""),"")</f>
        <v/>
      </c>
      <c r="AD197" s="55">
        <f>SUMIFS(tblMovement[Tonnes_t],tblMovement[Date],$A197,tblMovement[Source_Type],"Stockpile")</f>
        <v/>
      </c>
      <c r="AE197" s="55">
        <f>IF($B197=$B196,$AE196,0)+$AD197</f>
        <v/>
      </c>
      <c r="AF197" s="55">
        <f>$AF196+$AD197</f>
        <v/>
      </c>
      <c r="AG197" s="55">
        <f>SUMIFS(tblMovement[Tonnes_t],tblMovement[Date],$A197)</f>
        <v/>
      </c>
      <c r="AH197" s="55">
        <f>IF($B197=$B196,$AH196,0)+$AG197</f>
        <v/>
      </c>
      <c r="AI197" s="55">
        <f>$AI196+$AG197</f>
        <v/>
      </c>
      <c r="AJ197" s="55">
        <f>$AG197-$X197-$AD197</f>
        <v/>
      </c>
      <c r="AK197" s="55">
        <f>IF($B197=$B196,$AK196,0)+$AJ197</f>
        <v/>
      </c>
      <c r="AL197" s="55">
        <f>$AL196+$AJ197</f>
        <v/>
      </c>
      <c r="AM197" s="55">
        <f>SUMIFS(tblMiningDaily[Drill_m],tblMiningDaily[Date],$A197)</f>
        <v/>
      </c>
      <c r="AN197" s="55">
        <f>IF($B197=$B196,$AN196,0)+$AM197</f>
        <v/>
      </c>
      <c r="AO197" s="55">
        <f>$AO196+$AM197</f>
        <v/>
      </c>
      <c r="AP197" s="55">
        <f>SUMIFS(tblMiningDaily[GC_Drill_m],tblMiningDaily[Date],$A197)</f>
        <v/>
      </c>
      <c r="AQ197" s="55">
        <f>IF($B197=$B196,$AQ196,0)+$AP197</f>
        <v/>
      </c>
      <c r="AR197" s="55">
        <f>$AR196+$AP197</f>
        <v/>
      </c>
      <c r="AS197" s="55">
        <f>SUMIFS(tblMiningDaily[Blast_t],tblMiningDaily[Date],$A197)</f>
        <v/>
      </c>
      <c r="AT197" s="55">
        <f>IF($B197=$B196,$AT196,0)+$AS197</f>
        <v/>
      </c>
      <c r="AU197" s="55">
        <f>$AU196+$AS197</f>
        <v/>
      </c>
      <c r="AV197" s="55">
        <f>SUMIFS(tblMiningDaily[Explosives_kg],tblMiningDaily[Date],$A197)</f>
        <v/>
      </c>
      <c r="AW197" s="55">
        <f>IF($B197=$B196,$AW196,0)+$AV197</f>
        <v/>
      </c>
      <c r="AX197" s="55">
        <f>$AX196+$AV197</f>
        <v/>
      </c>
      <c r="AY197" s="56">
        <f>IFERROR(IF(($AS197)&gt;0,($AV197)/($AS197),""),"")</f>
        <v/>
      </c>
      <c r="AZ197" s="56">
        <f>IFERROR(IF(($AT197)&gt;0,($AW197)/($AT197),""),"")</f>
        <v/>
      </c>
      <c r="BA197" s="56">
        <f>IFERROR(IF(($AU197)&gt;0,($AX197)/($AU197),""),"")</f>
        <v/>
      </c>
      <c r="BB197" s="55">
        <f>SUMIFS(tblMiningDaily[Diesel_L],tblMiningDaily[Date],$A197)</f>
        <v/>
      </c>
      <c r="BC197" s="55">
        <f>IF($B197=$B196,$BC196,0)+$BB197</f>
        <v/>
      </c>
      <c r="BD197" s="55">
        <f>$BD196+$BB197</f>
        <v/>
      </c>
      <c r="BE197" s="55">
        <f>SUMIFS(tblMiningDaily[Dewatering_m3],tblMiningDaily[Date],$A197)</f>
        <v/>
      </c>
      <c r="BF197" s="55">
        <f>IF($B197=$B196,$BF196,0)+$BE197</f>
        <v/>
      </c>
      <c r="BG197" s="55">
        <f>$BG196+$BE197</f>
        <v/>
      </c>
      <c r="BH197" s="57">
        <f>SUMIFS(tblFleet[Calendar_h],tblFleet[Date],$A197,tblFleet[Equipment_Class],"Excavator")</f>
        <v/>
      </c>
      <c r="BI197" s="57">
        <f>IF($B197=$B196,$BI196,0)+$BH197</f>
        <v/>
      </c>
      <c r="BJ197" s="57">
        <f>$BJ196+$BH197</f>
        <v/>
      </c>
      <c r="BK197" s="57">
        <f>SUMIFS(tblFleet[Available_h],tblFleet[Date],$A197,tblFleet[Equipment_Class],"Excavator")</f>
        <v/>
      </c>
      <c r="BL197" s="57">
        <f>IF($B197=$B196,$BL196,0)+$BK197</f>
        <v/>
      </c>
      <c r="BM197" s="57">
        <f>$BM196+$BK197</f>
        <v/>
      </c>
      <c r="BN197" s="57">
        <f>SUMIFS(tblFleet[Operating_h],tblFleet[Date],$A197,tblFleet[Equipment_Class],"Excavator")</f>
        <v/>
      </c>
      <c r="BO197" s="57">
        <f>IF($B197=$B196,$BO196,0)+$BN197</f>
        <v/>
      </c>
      <c r="BP197" s="57">
        <f>$BP196+$BN197</f>
        <v/>
      </c>
      <c r="BQ197" s="67">
        <f>IFERROR(IF(($BH197)&gt;0,($BK197)/($BH197),""),"")</f>
        <v/>
      </c>
      <c r="BR197" s="67">
        <f>IFERROR(IF(($BI197)&gt;0,($BL197)/($BI197),""),"")</f>
        <v/>
      </c>
      <c r="BS197" s="67">
        <f>IFERROR(IF(($BJ197)&gt;0,($BM197)/($BJ197),""),"")</f>
        <v/>
      </c>
      <c r="BT197" s="67">
        <f>IFERROR(IF(($BK197)&gt;0,($BN197)/($BK197),""),"")</f>
        <v/>
      </c>
      <c r="BU197" s="67">
        <f>IFERROR(IF(($BL197)&gt;0,($BO197)/($BL197),""),"")</f>
        <v/>
      </c>
      <c r="BV197" s="67">
        <f>IFERROR(IF(($BM197)&gt;0,($BP197)/($BM197),""),"")</f>
        <v/>
      </c>
      <c r="BW197" s="57">
        <f>SUMIFS(tblFleet[Calendar_h],tblFleet[Date],$A197,tblFleet[Equipment_Class],"Haul Truck")</f>
        <v/>
      </c>
      <c r="BX197" s="57">
        <f>IF($B197=$B196,$BX196,0)+$BW197</f>
        <v/>
      </c>
      <c r="BY197" s="57">
        <f>$BY196+$BW197</f>
        <v/>
      </c>
      <c r="BZ197" s="57">
        <f>SUMIFS(tblFleet[Available_h],tblFleet[Date],$A197,tblFleet[Equipment_Class],"Haul Truck")</f>
        <v/>
      </c>
      <c r="CA197" s="57">
        <f>IF($B197=$B196,$CA196,0)+$BZ197</f>
        <v/>
      </c>
      <c r="CB197" s="57">
        <f>$CB196+$BZ197</f>
        <v/>
      </c>
      <c r="CC197" s="57">
        <f>SUMIFS(tblFleet[Operating_h],tblFleet[Date],$A197,tblFleet[Equipment_Class],"Haul Truck")</f>
        <v/>
      </c>
      <c r="CD197" s="57">
        <f>IF($B197=$B196,$CD196,0)+$CC197</f>
        <v/>
      </c>
      <c r="CE197" s="57">
        <f>$CE196+$CC197</f>
        <v/>
      </c>
      <c r="CF197" s="67">
        <f>IFERROR(IF(($BW197)&gt;0,($BZ197)/($BW197),""),"")</f>
        <v/>
      </c>
      <c r="CG197" s="67">
        <f>IFERROR(IF(($BX197)&gt;0,($CA197)/($BX197),""),"")</f>
        <v/>
      </c>
      <c r="CH197" s="67">
        <f>IFERROR(IF(($BY197)&gt;0,($CB197)/($BY197),""),"")</f>
        <v/>
      </c>
      <c r="CI197" s="67">
        <f>IFERROR(IF(($BZ197)&gt;0,($CC197)/($BZ197),""),"")</f>
        <v/>
      </c>
      <c r="CJ197" s="67">
        <f>IFERROR(IF(($CA197)&gt;0,($CD197)/($CA197),""),"")</f>
        <v/>
      </c>
      <c r="CK197" s="67">
        <f>IFERROR(IF(($CB197)&gt;0,($CE197)/($CB197),""),"")</f>
        <v/>
      </c>
      <c r="CL197" s="55">
        <f>IFERROR(IF(($BN197)&gt;0,($X197+$AD197)/($BN197),""),"")</f>
        <v/>
      </c>
      <c r="CM197" s="55">
        <f>IFERROR(IF(($BO197)&gt;0,($Y197+$AE197)/($BO197),""),"")</f>
        <v/>
      </c>
      <c r="CN197" s="55">
        <f>IFERROR(IF(($BP197)&gt;0,($Z197+$AF197)/($BP197),""),"")</f>
        <v/>
      </c>
      <c r="CO197" s="55">
        <f>IFERROR(IF(($CC197)&gt;0,($X197+$AD197)/($CC197),""),"")</f>
        <v/>
      </c>
      <c r="CP197" s="55">
        <f>IFERROR(IF(($CD197)&gt;0,($Y197+$AE197)/($CD197),""),"")</f>
        <v/>
      </c>
      <c r="CQ197" s="55">
        <f>IFERROR(IF(($CE197)&gt;0,($Z197+$AF197)/($CE197),""),"")</f>
        <v/>
      </c>
      <c r="CR197" s="55">
        <f>SUMIFS(tblPlant[Crushed_t],tblPlant[Date],$A197)</f>
        <v/>
      </c>
      <c r="CS197" s="55">
        <f>IF($B197=$B196,$CS196,0)+$CR197</f>
        <v/>
      </c>
      <c r="CT197" s="55">
        <f>$CT196+$CR197</f>
        <v/>
      </c>
      <c r="CU197" s="55">
        <f>SUMIFS(tblPlant[Milled_t],tblPlant[Date],$A197)</f>
        <v/>
      </c>
      <c r="CV197" s="55">
        <f>IF($B197=$B196,$CV196,0)+$CU197</f>
        <v/>
      </c>
      <c r="CW197" s="55">
        <f>$CW196+$CU197</f>
        <v/>
      </c>
      <c r="CX197" s="55">
        <f>SUMIFS(tblPlant[Feed_oz],tblPlant[Date],$A197)</f>
        <v/>
      </c>
      <c r="CY197" s="55">
        <f>IF($B197=$B196,$CY196,0)+$CX197</f>
        <v/>
      </c>
      <c r="CZ197" s="55">
        <f>$CZ196+$CX197</f>
        <v/>
      </c>
      <c r="DA197" s="55">
        <f>SUMIFS(tblPlant[Tails_oz],tblPlant[Date],$A197)</f>
        <v/>
      </c>
      <c r="DB197" s="55">
        <f>IF($B197=$B196,$DB196,0)+$DA197</f>
        <v/>
      </c>
      <c r="DC197" s="55">
        <f>$DC196+$DA197</f>
        <v/>
      </c>
      <c r="DD197" s="55">
        <f>SUMIFS(tblPlant[Recovered_oz],tblPlant[Date],$A197)</f>
        <v/>
      </c>
      <c r="DE197" s="55">
        <f>IF($B197=$B196,$DE196,0)+$DD197</f>
        <v/>
      </c>
      <c r="DF197" s="55">
        <f>$DF196+$DD197</f>
        <v/>
      </c>
      <c r="DG197" s="55">
        <f>SUMIFS(tblPlant[Milled_t],tblPlant[Date],$A197,tblPlant[Head_Grade_gpt],"&lt;&gt;")</f>
        <v/>
      </c>
      <c r="DH197" s="55">
        <f>IF($B197=$B196,$DH196,0)+$DG197</f>
        <v/>
      </c>
      <c r="DI197" s="55">
        <f>$DI196+$DG197</f>
        <v/>
      </c>
      <c r="DJ197" s="55">
        <f>SUMIFS(tblPlant[Milled_t],tblPlant[Date],$A197,tblPlant[Tails_Grade_gpt],"&lt;&gt;")</f>
        <v/>
      </c>
      <c r="DK197" s="55">
        <f>IF($B197=$B196,$DK196,0)+$DJ197</f>
        <v/>
      </c>
      <c r="DL197" s="55">
        <f>$DL196+$DJ197</f>
        <v/>
      </c>
      <c r="DM197" s="55">
        <f>SUMIFS(tblPlant[Feed_oz],tblPlant[Date],$A197,tblPlant[Tails_Grade_gpt],"&lt;&gt;")</f>
        <v/>
      </c>
      <c r="DN197" s="55">
        <f>IF($B197=$B196,$DN196,0)+$DM197</f>
        <v/>
      </c>
      <c r="DO197" s="55">
        <f>$DO196+$DM197</f>
        <v/>
      </c>
      <c r="DP197" s="55">
        <f>SUMIFS(tblPlant[Milled_t],tblPlant[Date],$A197,tblPlant[Mill_Run_h],"&lt;&gt;")</f>
        <v/>
      </c>
      <c r="DQ197" s="55">
        <f>IF($B197=$B196,$DQ196,0)+$DP197</f>
        <v/>
      </c>
      <c r="DR197" s="55">
        <f>$DR196+$DP197</f>
        <v/>
      </c>
      <c r="DS197" s="56">
        <f>IFERROR(IF(($DG197)&gt;0,($CX197*cfg_TroyOz)/($DG197),""),"")</f>
        <v/>
      </c>
      <c r="DT197" s="56">
        <f>IFERROR(IF(($DH197)&gt;0,($CY197*cfg_TroyOz)/($DH197),""),"")</f>
        <v/>
      </c>
      <c r="DU197" s="56">
        <f>IFERROR(IF(($DI197)&gt;0,($CZ197*cfg_TroyOz)/($DI197),""),"")</f>
        <v/>
      </c>
      <c r="DV197" s="56">
        <f>IFERROR(IF(($DJ197)&gt;0,($DA197*cfg_TroyOz)/($DJ197),""),"")</f>
        <v/>
      </c>
      <c r="DW197" s="56">
        <f>IFERROR(IF(($DK197)&gt;0,($DB197*cfg_TroyOz)/($DK197),""),"")</f>
        <v/>
      </c>
      <c r="DX197" s="56">
        <f>IFERROR(IF(($DL197)&gt;0,($DC197*cfg_TroyOz)/($DL197),""),"")</f>
        <v/>
      </c>
      <c r="DY197" s="67">
        <f>IFERROR(IF(($DM197)&gt;0,($DD197)/($DM197),""),"")</f>
        <v/>
      </c>
      <c r="DZ197" s="67">
        <f>IFERROR(IF(($DN197)&gt;0,($DE197)/($DN197),""),"")</f>
        <v/>
      </c>
      <c r="EA197" s="67">
        <f>IFERROR(IF(($DO197)&gt;0,($DF197)/($DO197),""),"")</f>
        <v/>
      </c>
      <c r="EB197" s="55">
        <f>SUMIFS(tblPlant[Gravity_Gold_oz],tblPlant[Date],$A197)</f>
        <v/>
      </c>
      <c r="EC197" s="55">
        <f>IF($B197=$B196,$EC196,0)+$EB197</f>
        <v/>
      </c>
      <c r="ED197" s="55">
        <f>$ED196+$EB197</f>
        <v/>
      </c>
      <c r="EE197" s="67">
        <f>IFERROR(IF(($DD197)&gt;0,($EB197)/($DD197),""),"")</f>
        <v/>
      </c>
      <c r="EF197" s="67">
        <f>IFERROR(IF(($DE197)&gt;0,($EC197)/($DE197),""),"")</f>
        <v/>
      </c>
      <c r="EG197" s="67">
        <f>IFERROR(IF(($DF197)&gt;0,($ED197)/($DF197),""),"")</f>
        <v/>
      </c>
      <c r="EH197" s="55">
        <f>SUMIFS(tblPlant[Gold_Poured_oz],tblPlant[Date],$A197)</f>
        <v/>
      </c>
      <c r="EI197" s="55">
        <f>IF($B197=$B196,$EI196,0)+$EH197</f>
        <v/>
      </c>
      <c r="EJ197" s="55">
        <f>$EJ196+$EH197</f>
        <v/>
      </c>
      <c r="EK197" s="57">
        <f>SUMIFS(tblPlant[Mill_Run_h],tblPlant[Date],$A197)</f>
        <v/>
      </c>
      <c r="EL197" s="57">
        <f>IF($B197=$B196,$EL196,0)+$EK197</f>
        <v/>
      </c>
      <c r="EM197" s="57">
        <f>$EM196+$EK197</f>
        <v/>
      </c>
      <c r="EN197" s="57">
        <f>SUMIFS(tblPlant[Mill_Planned_Maint_h],tblPlant[Date],$A197)</f>
        <v/>
      </c>
      <c r="EO197" s="57">
        <f>IF($B197=$B196,$EO196,0)+$EN197</f>
        <v/>
      </c>
      <c r="EP197" s="57">
        <f>$EP196+$EN197</f>
        <v/>
      </c>
      <c r="EQ197" s="57">
        <f>SUMIFS(tblPlant[Mill_Unplanned_Down_h],tblPlant[Date],$A197)</f>
        <v/>
      </c>
      <c r="ER197" s="57">
        <f>IF($B197=$B196,$ER196,0)+$EQ197</f>
        <v/>
      </c>
      <c r="ES197" s="57">
        <f>$ES196+$EQ197</f>
        <v/>
      </c>
      <c r="ET197" s="57">
        <f>IF(COUNTIFS(tblPlant[Date],$A197,tblPlant[Mill_Run_h],"&lt;&gt;")+COUNTIFS(tblPlant[Date],$A197,tblPlant[Mill_Planned_Maint_h],"&lt;&gt;")+COUNTIFS(tblPlant[Date],$A197,tblPlant[Mill_Unplanned_Down_h],"&lt;&gt;")&gt;0,cfg_HoursPerDay,0)</f>
        <v/>
      </c>
      <c r="EU197" s="57">
        <f>IF($B197=$B196,$EU196,0)+$ET197</f>
        <v/>
      </c>
      <c r="EV197" s="57">
        <f>$EV196+$ET197</f>
        <v/>
      </c>
      <c r="EW197" s="57">
        <f>SUMIFS(tblPlant[Crusher_Run_h],tblPlant[Date],$A197)</f>
        <v/>
      </c>
      <c r="EX197" s="57">
        <f>IF($B197=$B196,$EX196,0)+$EW197</f>
        <v/>
      </c>
      <c r="EY197" s="57">
        <f>$EY196+$EW197</f>
        <v/>
      </c>
      <c r="EZ197" s="55">
        <f>IFERROR(IF(($EK197)&gt;0,($DP197)/($EK197),""),"")</f>
        <v/>
      </c>
      <c r="FA197" s="55">
        <f>IFERROR(IF(($EL197)&gt;0,($DQ197)/($EL197),""),"")</f>
        <v/>
      </c>
      <c r="FB197" s="55">
        <f>IFERROR(IF(($EM197)&gt;0,($DR197)/($EM197),""),"")</f>
        <v/>
      </c>
      <c r="FC197" s="67">
        <f>IFERROR(IF(($ET197)&gt;0,($ET197-$EN197-$EQ197)/($ET197),""),"")</f>
        <v/>
      </c>
      <c r="FD197" s="67">
        <f>IFERROR(IF(($EU197)&gt;0,($EU197-$EO197-$ER197)/($EU197),""),"")</f>
        <v/>
      </c>
      <c r="FE197" s="67">
        <f>IFERROR(IF(($EV197)&gt;0,($EV197-$EP197-$ES197)/($EV197),""),"")</f>
        <v/>
      </c>
      <c r="FF197" s="67">
        <f>IFERROR(IF(($ET197-$EN197-$EQ197)&gt;0,($EK197)/($ET197-$EN197-$EQ197),""),"")</f>
        <v/>
      </c>
      <c r="FG197" s="67">
        <f>IFERROR(IF(($EU197-$EO197-$ER197)&gt;0,($EL197)/($EU197-$EO197-$ER197),""),"")</f>
        <v/>
      </c>
      <c r="FH197" s="67">
        <f>IFERROR(IF(($EV197-$EP197-$ES197)&gt;0,($EM197)/($EV197-$EP197-$ES197),""),"")</f>
        <v/>
      </c>
      <c r="FI197" s="55">
        <f>SUMIFS(tblPlant[Cyanide_kg],tblPlant[Date],$A197)</f>
        <v/>
      </c>
      <c r="FJ197" s="55">
        <f>IF($B197=$B196,$FJ196,0)+$FI197</f>
        <v/>
      </c>
      <c r="FK197" s="55">
        <f>$FK196+$FI197</f>
        <v/>
      </c>
      <c r="FL197" s="55">
        <f>SUMIFS(tblPlant[Lime_kg],tblPlant[Date],$A197)</f>
        <v/>
      </c>
      <c r="FM197" s="55">
        <f>IF($B197=$B196,$FM196,0)+$FL197</f>
        <v/>
      </c>
      <c r="FN197" s="55">
        <f>$FN196+$FL197</f>
        <v/>
      </c>
      <c r="FO197" s="55">
        <f>SUMIFS(tblPlant[Grinding_Media_kg],tblPlant[Date],$A197)</f>
        <v/>
      </c>
      <c r="FP197" s="55">
        <f>IF($B197=$B196,$FP196,0)+$FO197</f>
        <v/>
      </c>
      <c r="FQ197" s="55">
        <f>$FQ196+$FO197</f>
        <v/>
      </c>
      <c r="FR197" s="55">
        <f>SUMIFS(tblPlant[Power_kWh],tblPlant[Date],$A197)</f>
        <v/>
      </c>
      <c r="FS197" s="55">
        <f>IF($B197=$B196,$FS196,0)+$FR197</f>
        <v/>
      </c>
      <c r="FT197" s="55">
        <f>$FT196+$FR197</f>
        <v/>
      </c>
      <c r="FU197" s="55">
        <f>SUMIFS(tblPlant[Raw_Water_m3],tblPlant[Date],$A197)</f>
        <v/>
      </c>
      <c r="FV197" s="55">
        <f>IF($B197=$B196,$FV196,0)+$FU197</f>
        <v/>
      </c>
      <c r="FW197" s="55">
        <f>$FW196+$FU197</f>
        <v/>
      </c>
      <c r="FX197" s="56">
        <f>IFERROR(IF(($CU197)&gt;0,($FI197)/($CU197),""),"")</f>
        <v/>
      </c>
      <c r="FY197" s="56">
        <f>IFERROR(IF(($CV197)&gt;0,($FJ197)/($CV197),""),"")</f>
        <v/>
      </c>
      <c r="FZ197" s="56">
        <f>IFERROR(IF(($CW197)&gt;0,($FK197)/($CW197),""),"")</f>
        <v/>
      </c>
      <c r="GA197" s="56">
        <f>IFERROR(IF(($CU197)&gt;0,($FL197)/($CU197),""),"")</f>
        <v/>
      </c>
      <c r="GB197" s="56">
        <f>IFERROR(IF(($CV197)&gt;0,($FM197)/($CV197),""),"")</f>
        <v/>
      </c>
      <c r="GC197" s="56">
        <f>IFERROR(IF(($CW197)&gt;0,($FN197)/($CW197),""),"")</f>
        <v/>
      </c>
      <c r="GD197" s="56">
        <f>IFERROR(IF(($CU197)&gt;0,($FO197)/($CU197),""),"")</f>
        <v/>
      </c>
      <c r="GE197" s="56">
        <f>IFERROR(IF(($CV197)&gt;0,($FP197)/($CV197),""),"")</f>
        <v/>
      </c>
      <c r="GF197" s="56">
        <f>IFERROR(IF(($CW197)&gt;0,($FQ197)/($CW197),""),"")</f>
        <v/>
      </c>
      <c r="GG197" s="79">
        <f>IFERROR(IF(($CU197)&gt;0,($FR197)/($CU197),""),"")</f>
        <v/>
      </c>
      <c r="GH197" s="79">
        <f>IFERROR(IF(($CV197)&gt;0,($FS197)/($CV197),""),"")</f>
        <v/>
      </c>
      <c r="GI197" s="79">
        <f>IFERROR(IF(($CW197)&gt;0,($FT197)/($CW197),""),"")</f>
        <v/>
      </c>
      <c r="GJ197" s="56">
        <f>IFERROR(IF(($CU197)&gt;0,($FU197)/($CU197),""),"")</f>
        <v/>
      </c>
      <c r="GK197" s="56">
        <f>IFERROR(IF(($CV197)&gt;0,($FV197)/($CV197),""),"")</f>
        <v/>
      </c>
      <c r="GL197" s="56">
        <f>IFERROR(IF(($CW197)&gt;0,($FW197)/($CW197),""),"")</f>
        <v/>
      </c>
      <c r="GM197" s="55">
        <f>IF(SUMIFS(tblPlant[GIC_oz],tblPlant[Date],$A197)&gt;0,SUMIFS(tblPlant[GIC_oz],tblPlant[Date],$A197),"")</f>
        <v/>
      </c>
      <c r="GN197" s="55">
        <f>SUMIFS(tblGold[Gold_oz],tblGold[Date],$A197,tblGold[Type],"Shipment")</f>
        <v/>
      </c>
      <c r="GO197" s="55">
        <f>IF($B197=$B196,$GO196,0)+$GN197</f>
        <v/>
      </c>
      <c r="GP197" s="55">
        <f>$GP196+$GN197</f>
        <v/>
      </c>
      <c r="GQ197" s="55">
        <f>SUMIFS(tblGold[Gold_oz],tblGold[Date],$A197,tblGold[Type],"Sale")</f>
        <v/>
      </c>
      <c r="GR197" s="55">
        <f>IF($B197=$B196,$GR196,0)+$GQ197</f>
        <v/>
      </c>
      <c r="GS197" s="55">
        <f>$GS196+$GQ197</f>
        <v/>
      </c>
      <c r="GT197" s="55">
        <f>SUMIFS(tblGold[Dore_kg],tblGold[Date],$A197,tblGold[Type],"Shipment")</f>
        <v/>
      </c>
      <c r="GU197" s="55">
        <f>IF($B197=$B196,$GU196,0)+$GT197</f>
        <v/>
      </c>
      <c r="GV197" s="55">
        <f>$GV196+$GT197</f>
        <v/>
      </c>
      <c r="GW197" s="57">
        <f>SUMIFS(tblSafety[Hours_Total],tblSafety[Date],$A197)</f>
        <v/>
      </c>
      <c r="GX197" s="57">
        <f>IF($B197=$B196,$GX196,0)+$GW197</f>
        <v/>
      </c>
      <c r="GY197" s="57">
        <f>$GY196+$GW197</f>
        <v/>
      </c>
      <c r="GZ197" s="62">
        <f>SUMIFS(tblSafety[Fatality],tblSafety[Date],$A197)</f>
        <v/>
      </c>
      <c r="HA197" s="62">
        <f>IF($B197=$B196,$HA196,0)+$GZ197</f>
        <v/>
      </c>
      <c r="HB197" s="62">
        <f>$HB196+$GZ197</f>
        <v/>
      </c>
      <c r="HC197" s="62">
        <f>SUMIFS(tblSafety[LTI],tblSafety[Date],$A197)</f>
        <v/>
      </c>
      <c r="HD197" s="62">
        <f>IF($B197=$B196,$HD196,0)+$HC197</f>
        <v/>
      </c>
      <c r="HE197" s="62">
        <f>$HE196+$HC197</f>
        <v/>
      </c>
      <c r="HF197" s="62">
        <f>SUMIFS(tblSafety[RWI],tblSafety[Date],$A197)</f>
        <v/>
      </c>
      <c r="HG197" s="62">
        <f>IF($B197=$B196,$HG196,0)+$HF197</f>
        <v/>
      </c>
      <c r="HH197" s="62">
        <f>$HH196+$HF197</f>
        <v/>
      </c>
      <c r="HI197" s="62">
        <f>SUMIFS(tblSafety[MTI],tblSafety[Date],$A197)</f>
        <v/>
      </c>
      <c r="HJ197" s="62">
        <f>IF($B197=$B196,$HJ196,0)+$HI197</f>
        <v/>
      </c>
      <c r="HK197" s="62">
        <f>$HK196+$HI197</f>
        <v/>
      </c>
      <c r="HL197" s="62">
        <f>SUMIFS(tblSafety[FAI],tblSafety[Date],$A197)</f>
        <v/>
      </c>
      <c r="HM197" s="62">
        <f>IF($B197=$B196,$HM196,0)+$HL197</f>
        <v/>
      </c>
      <c r="HN197" s="62">
        <f>$HN196+$HL197</f>
        <v/>
      </c>
      <c r="HO197" s="62">
        <f>SUMIFS(tblSafety[Recordables],tblSafety[Date],$A197)</f>
        <v/>
      </c>
      <c r="HP197" s="62">
        <f>IF($B197=$B196,$HP196,0)+$HO197</f>
        <v/>
      </c>
      <c r="HQ197" s="62">
        <f>$HQ196+$HO197</f>
        <v/>
      </c>
      <c r="HR197" s="62">
        <f>SUMIFS(tblSafety[Near_Miss],tblSafety[Date],$A197)</f>
        <v/>
      </c>
      <c r="HS197" s="62">
        <f>IF($B197=$B196,$HS196,0)+$HR197</f>
        <v/>
      </c>
      <c r="HT197" s="62">
        <f>$HT196+$HR197</f>
        <v/>
      </c>
      <c r="HU197" s="62">
        <f>SUMIFS(tblSafety[Hazard_Reports],tblSafety[Date],$A197)</f>
        <v/>
      </c>
      <c r="HV197" s="62">
        <f>IF($B197=$B196,$HV196,0)+$HU197</f>
        <v/>
      </c>
      <c r="HW197" s="62">
        <f>$HW196+$HU197</f>
        <v/>
      </c>
      <c r="HX197" s="62">
        <f>SUMIFS(tblSafety[HPI],tblSafety[Date],$A197)</f>
        <v/>
      </c>
      <c r="HY197" s="62">
        <f>IF($B197=$B196,$HY196,0)+$HX197</f>
        <v/>
      </c>
      <c r="HZ197" s="62">
        <f>$HZ196+$HX197</f>
        <v/>
      </c>
      <c r="IA197" s="62">
        <f>SUMIFS(tblSafety[Env_Incidents],tblSafety[Date],$A197)</f>
        <v/>
      </c>
      <c r="IB197" s="62">
        <f>IF($B197=$B196,$IB196,0)+$IA197</f>
        <v/>
      </c>
      <c r="IC197" s="62">
        <f>$IC196+$IA197</f>
        <v/>
      </c>
      <c r="ID197" s="62">
        <f>SUMIFS(tblSafety[Community_Incidents],tblSafety[Date],$A197)</f>
        <v/>
      </c>
      <c r="IE197" s="62">
        <f>IF($B197=$B196,$IE196,0)+$ID197</f>
        <v/>
      </c>
      <c r="IF197" s="62">
        <f>$IF196+$ID197</f>
        <v/>
      </c>
      <c r="IG197" s="62">
        <f>SUMIFS(tblSafety[Vehicle_Incidents],tblSafety[Date],$A197)</f>
        <v/>
      </c>
      <c r="IH197" s="62">
        <f>IF($B197=$B196,$IH196,0)+$IG197</f>
        <v/>
      </c>
      <c r="II197" s="62">
        <f>$II196+$IG197</f>
        <v/>
      </c>
      <c r="IJ197" s="62">
        <f>SUMIFS(tblSafety[Toolbox_Talks],tblSafety[Date],$A197)</f>
        <v/>
      </c>
      <c r="IK197" s="62">
        <f>IF($B197=$B196,$IK196,0)+$IJ197</f>
        <v/>
      </c>
      <c r="IL197" s="62">
        <f>$IL196+$IJ197</f>
        <v/>
      </c>
      <c r="IM197" s="62">
        <f>SUMIFS(tblSafety[Inspections],tblSafety[Date],$A197)</f>
        <v/>
      </c>
      <c r="IN197" s="62">
        <f>IF($B197=$B196,$IN196,0)+$IM197</f>
        <v/>
      </c>
      <c r="IO197" s="62">
        <f>$IO196+$IM197</f>
        <v/>
      </c>
      <c r="IP197" s="56">
        <f>IFERROR((SUMIFS(tblSafety[Recordables],tblSafety[Date],"&gt;="&amp;EDATE($E197,-12),tblSafety[Date],"&lt;="&amp;$A197)+SUMIFS(tblSafetyHistory[Recordables],tblSafetyHistory[Month],"&gt;="&amp;EDATE($E197,-12),tblSafetyHistory[Month],"&lt;"&amp;$E197,tblSafetyHistory[Use],1))/(SUMIFS(tblSafety[Hours_Total],tblSafety[Date],"&gt;="&amp;EDATE($E197,-12),tblSafety[Date],"&lt;="&amp;$A197)+SUMIFS(tblSafetyHistory[Hours_Total],tblSafetyHistory[Month],"&gt;="&amp;EDATE($E197,-12),tblSafetyHistory[Month],"&lt;"&amp;$E197,tblSafetyHistory[Use],1))*cfg_RateBasisHours,"")</f>
        <v/>
      </c>
      <c r="IQ197" s="56">
        <f>IFERROR((SUMIFS(tblSafety[LTI],tblSafety[Date],"&gt;="&amp;EDATE($E197,-12),tblSafety[Date],"&lt;="&amp;$A197)+SUMIFS(tblSafetyHistory[LTI],tblSafetyHistory[Month],"&gt;="&amp;EDATE($E197,-12),tblSafetyHistory[Month],"&lt;"&amp;$E197,tblSafetyHistory[Use],1))/(SUMIFS(tblSafety[Hours_Total],tblSafety[Date],"&gt;="&amp;EDATE($E197,-12),tblSafety[Date],"&lt;="&amp;$A197)+SUMIFS(tblSafetyHistory[Hours_Total],tblSafetyHistory[Month],"&gt;="&amp;EDATE($E197,-12),tblSafetyHistory[Month],"&lt;"&amp;$E197,tblSafetyHistory[Use],1))*cfg_RateBasisHours,"")</f>
        <v/>
      </c>
      <c r="IR197" s="62">
        <f>IF(MAX(N(cfg_PriorLTIDate),_xlfn.MAXIFS(tblSafety[Date],tblSafety[LTI],"&gt;0",tblSafety[Date],"&lt;="&amp;$A197))=0,"",$A197-MAX(N(cfg_PriorLTIDate),_xlfn.MAXIFS(tblSafety[Date],tblSafety[LTI],"&gt;0",tblSafety[Date],"&lt;="&amp;$A197)))</f>
        <v/>
      </c>
      <c r="IS197" s="55">
        <f>SUMIFS(tblBudget[Ore_Mined_t],tblBudget[Month],$E197)</f>
        <v/>
      </c>
      <c r="IT197" s="55">
        <f>$IS197*$C197/$D197</f>
        <v/>
      </c>
      <c r="IU197" s="55">
        <f>SUMIFS(tblBudget[Ore_Mined_t],tblBudget[Month],"&lt;"&amp;$E197)+$IT197</f>
        <v/>
      </c>
      <c r="IV197" s="55">
        <f>SUMIFS(tblBudget[Ore_oz],tblBudget[Month],$E197)</f>
        <v/>
      </c>
      <c r="IW197" s="55">
        <f>$IV197*$C197/$D197</f>
        <v/>
      </c>
      <c r="IX197" s="55">
        <f>SUMIFS(tblBudget[Ore_oz],tblBudget[Month],"&lt;"&amp;$E197)+$IW197</f>
        <v/>
      </c>
      <c r="IY197" s="55">
        <f>SUMIFS(tblBudget[Ore_Mined_t],tblBudget[Month],$E197)</f>
        <v/>
      </c>
      <c r="IZ197" s="55">
        <f>$IY197*$C197/$D197</f>
        <v/>
      </c>
      <c r="JA197" s="55">
        <f>SUMIFS(tblBudget[Ore_Mined_t],tblBudget[Month],"&lt;"&amp;$E197)+$IZ197</f>
        <v/>
      </c>
      <c r="JB197" s="56">
        <f>IFERROR(IF(($IY197)&gt;0,($IV197*cfg_TroyOz)/($IY197),""),"")</f>
        <v/>
      </c>
      <c r="JC197" s="56">
        <f>IFERROR(IF(($IZ197)&gt;0,($IW197*cfg_TroyOz)/($IZ197),""),"")</f>
        <v/>
      </c>
      <c r="JD197" s="56">
        <f>IFERROR(IF(($JA197)&gt;0,($IX197*cfg_TroyOz)/($JA197),""),"")</f>
        <v/>
      </c>
      <c r="JE197" s="55">
        <f>SUMIFS(tblBudget[Waste_t],tblBudget[Month],$E197)</f>
        <v/>
      </c>
      <c r="JF197" s="55">
        <f>$JE197*$C197/$D197</f>
        <v/>
      </c>
      <c r="JG197" s="55">
        <f>SUMIFS(tblBudget[Waste_t],tblBudget[Month],"&lt;"&amp;$E197)+$JF197</f>
        <v/>
      </c>
      <c r="JH197" s="55">
        <f>SUMIFS(tblBudget[TMM_t],tblBudget[Month],$E197)</f>
        <v/>
      </c>
      <c r="JI197" s="55">
        <f>$JH197*$C197/$D197</f>
        <v/>
      </c>
      <c r="JJ197" s="55">
        <f>SUMIFS(tblBudget[TMM_t],tblBudget[Month],"&lt;"&amp;$E197)+$JI197</f>
        <v/>
      </c>
      <c r="JK197" s="56">
        <f>IFERROR(IF(($IS197)&gt;0,($JE197)/($IS197),""),"")</f>
        <v/>
      </c>
      <c r="JL197" s="56">
        <f>IFERROR(IF(($IT197)&gt;0,($JF197)/($IT197),""),"")</f>
        <v/>
      </c>
      <c r="JM197" s="56">
        <f>IFERROR(IF(($IU197)&gt;0,($JG197)/($IU197),""),"")</f>
        <v/>
      </c>
      <c r="JN197" s="55">
        <f>SUMIFS(tblBudget[Drill_m],tblBudget[Month],$E197)</f>
        <v/>
      </c>
      <c r="JO197" s="55">
        <f>$JN197*$C197/$D197</f>
        <v/>
      </c>
      <c r="JP197" s="55">
        <f>SUMIFS(tblBudget[Drill_m],tblBudget[Month],"&lt;"&amp;$E197)+$JO197</f>
        <v/>
      </c>
      <c r="JQ197" s="55">
        <f>SUMIFS(tblBudget[Diesel_L],tblBudget[Month],$E197)</f>
        <v/>
      </c>
      <c r="JR197" s="55">
        <f>$JQ197*$C197/$D197</f>
        <v/>
      </c>
      <c r="JS197" s="55">
        <f>SUMIFS(tblBudget[Diesel_L],tblBudget[Month],"&lt;"&amp;$E197)+$JR197</f>
        <v/>
      </c>
      <c r="JT197" s="55">
        <f>SUMIFS(tblBudget[Milled_t],tblBudget[Month],$E197)</f>
        <v/>
      </c>
      <c r="JU197" s="55">
        <f>$JT197*$C197/$D197</f>
        <v/>
      </c>
      <c r="JV197" s="55">
        <f>SUMIFS(tblBudget[Milled_t],tblBudget[Month],"&lt;"&amp;$E197)+$JU197</f>
        <v/>
      </c>
      <c r="JW197" s="55">
        <f>SUMIFS(tblBudget[Feed_oz],tblBudget[Month],$E197)</f>
        <v/>
      </c>
      <c r="JX197" s="55">
        <f>$JW197*$C197/$D197</f>
        <v/>
      </c>
      <c r="JY197" s="55">
        <f>SUMIFS(tblBudget[Feed_oz],tblBudget[Month],"&lt;"&amp;$E197)+$JX197</f>
        <v/>
      </c>
      <c r="JZ197" s="55">
        <f>SUMIFS(tblBudget[Recovered_oz],tblBudget[Month],$E197)</f>
        <v/>
      </c>
      <c r="KA197" s="55">
        <f>$JZ197*$C197/$D197</f>
        <v/>
      </c>
      <c r="KB197" s="55">
        <f>SUMIFS(tblBudget[Recovered_oz],tblBudget[Month],"&lt;"&amp;$E197)+$KA197</f>
        <v/>
      </c>
      <c r="KC197" s="55">
        <f>SUMIFS(tblBudget[Milled_t],tblBudget[Month],$E197)</f>
        <v/>
      </c>
      <c r="KD197" s="55">
        <f>$KC197*$C197/$D197</f>
        <v/>
      </c>
      <c r="KE197" s="55">
        <f>SUMIFS(tblBudget[Milled_t],tblBudget[Month],"&lt;"&amp;$E197)+$KD197</f>
        <v/>
      </c>
      <c r="KF197" s="55">
        <f>SUMIFS(tblBudget[Feed_oz],tblBudget[Month],$E197)</f>
        <v/>
      </c>
      <c r="KG197" s="55">
        <f>$KF197*$C197/$D197</f>
        <v/>
      </c>
      <c r="KH197" s="55">
        <f>SUMIFS(tblBudget[Feed_oz],tblBudget[Month],"&lt;"&amp;$E197)+$KG197</f>
        <v/>
      </c>
      <c r="KI197" s="56">
        <f>IFERROR(IF(($KC197)&gt;0,($JW197*cfg_TroyOz)/($KC197),""),"")</f>
        <v/>
      </c>
      <c r="KJ197" s="56">
        <f>IFERROR(IF(($KD197)&gt;0,($JX197*cfg_TroyOz)/($KD197),""),"")</f>
        <v/>
      </c>
      <c r="KK197" s="56">
        <f>IFERROR(IF(($KE197)&gt;0,($JY197*cfg_TroyOz)/($KE197),""),"")</f>
        <v/>
      </c>
      <c r="KL197" s="67">
        <f>IFERROR(IF(($KF197)&gt;0,($JZ197)/($KF197),""),"")</f>
        <v/>
      </c>
      <c r="KM197" s="67">
        <f>IFERROR(IF(($KG197)&gt;0,($KA197)/($KG197),""),"")</f>
        <v/>
      </c>
      <c r="KN197" s="67">
        <f>IFERROR(IF(($KH197)&gt;0,($KB197)/($KH197),""),"")</f>
        <v/>
      </c>
      <c r="KO197" s="55">
        <f>SUMIFS(tblBudget[Gold_Poured_oz],tblBudget[Month],$E197)</f>
        <v/>
      </c>
      <c r="KP197" s="55">
        <f>$KO197*$C197/$D197</f>
        <v/>
      </c>
      <c r="KQ197" s="55">
        <f>SUMIFS(tblBudget[Gold_Poured_oz],tblBudget[Month],"&lt;"&amp;$E197)+$KP197</f>
        <v/>
      </c>
      <c r="KR197" s="57">
        <f>SUMIFS(tblBudget[Hours_Worked],tblBudget[Month],$E197)</f>
        <v/>
      </c>
      <c r="KS197" s="57">
        <f>$KR197*$C197/$D197</f>
        <v/>
      </c>
      <c r="KT197" s="57">
        <f>SUMIFS(tblBudget[Hours_Worked],tblBudget[Month],"&lt;"&amp;$E197)+$KS197</f>
        <v/>
      </c>
    </row>
    <row r="198">
      <c r="A198" s="54" t="n">
        <v>46219</v>
      </c>
      <c r="B198">
        <f>MONTH($A198)</f>
        <v/>
      </c>
      <c r="C198">
        <f>DAY($A198)</f>
        <v/>
      </c>
      <c r="D198">
        <f>DAY(EOMONTH($A198,0))</f>
        <v/>
      </c>
      <c r="E198" s="54">
        <f>DATE(YEAR($A198),MONTH($A198),1)</f>
        <v/>
      </c>
      <c r="F198" s="55">
        <f>SUMIFS(tblMovement[Tonnes_t],tblMovement[Date],$A198,tblMovement[Is_Ore],1,tblMovement[Source_Type],"Pit")</f>
        <v/>
      </c>
      <c r="G198" s="55">
        <f>IF($B198=$B197,$G197,0)+$F198</f>
        <v/>
      </c>
      <c r="H198" s="55">
        <f>$H197+$F198</f>
        <v/>
      </c>
      <c r="I198" s="55">
        <f>SUMIFS(tblMovement[Ore_oz],tblMovement[Date],$A198,tblMovement[Source_Type],"Pit")</f>
        <v/>
      </c>
      <c r="J198" s="55">
        <f>IF($B198=$B197,$J197,0)+$I198</f>
        <v/>
      </c>
      <c r="K198" s="55">
        <f>$K197+$I198</f>
        <v/>
      </c>
      <c r="L198" s="55">
        <f>SUMIFS(tblMovement[Tonnes_t],tblMovement[Date],$A198,tblMovement[Is_Ore],1,tblMovement[Source_Type],"Pit",tblMovement[Grade_gpt],"&lt;&gt;")</f>
        <v/>
      </c>
      <c r="M198" s="55">
        <f>IF($B198=$B197,$M197,0)+$L198</f>
        <v/>
      </c>
      <c r="N198" s="55">
        <f>$N197+$L198</f>
        <v/>
      </c>
      <c r="O198" s="56">
        <f>IFERROR(IF(($L198)&gt;0,($I198*cfg_TroyOz)/($L198),""),"")</f>
        <v/>
      </c>
      <c r="P198" s="56">
        <f>IFERROR(IF(($M198)&gt;0,($J198*cfg_TroyOz)/($M198),""),"")</f>
        <v/>
      </c>
      <c r="Q198" s="56">
        <f>IFERROR(IF(($N198)&gt;0,($K198*cfg_TroyOz)/($N198),""),"")</f>
        <v/>
      </c>
      <c r="R198" s="55">
        <f>$F198-$L198</f>
        <v/>
      </c>
      <c r="S198" s="55">
        <f>IF($B198=$B197,$S197,0)+$R198</f>
        <v/>
      </c>
      <c r="T198" s="55">
        <f>$T197+$R198</f>
        <v/>
      </c>
      <c r="U198" s="55">
        <f>SUMIFS(tblMovement[Tonnes_t],tblMovement[Date],$A198,tblMovement[Is_Ore],0,tblMovement[Source_Type],"Pit")</f>
        <v/>
      </c>
      <c r="V198" s="55">
        <f>IF($B198=$B197,$V197,0)+$U198</f>
        <v/>
      </c>
      <c r="W198" s="55">
        <f>$W197+$U198</f>
        <v/>
      </c>
      <c r="X198" s="55">
        <f>$F198+$U198</f>
        <v/>
      </c>
      <c r="Y198" s="55">
        <f>IF($B198=$B197,$Y197,0)+$X198</f>
        <v/>
      </c>
      <c r="Z198" s="55">
        <f>$Z197+$X198</f>
        <v/>
      </c>
      <c r="AA198" s="56">
        <f>IFERROR(IF(($F198)&gt;0,($U198)/($F198),""),"")</f>
        <v/>
      </c>
      <c r="AB198" s="56">
        <f>IFERROR(IF(($G198)&gt;0,($V198)/($G198),""),"")</f>
        <v/>
      </c>
      <c r="AC198" s="56">
        <f>IFERROR(IF(($H198)&gt;0,($W198)/($H198),""),"")</f>
        <v/>
      </c>
      <c r="AD198" s="55">
        <f>SUMIFS(tblMovement[Tonnes_t],tblMovement[Date],$A198,tblMovement[Source_Type],"Stockpile")</f>
        <v/>
      </c>
      <c r="AE198" s="55">
        <f>IF($B198=$B197,$AE197,0)+$AD198</f>
        <v/>
      </c>
      <c r="AF198" s="55">
        <f>$AF197+$AD198</f>
        <v/>
      </c>
      <c r="AG198" s="55">
        <f>SUMIFS(tblMovement[Tonnes_t],tblMovement[Date],$A198)</f>
        <v/>
      </c>
      <c r="AH198" s="55">
        <f>IF($B198=$B197,$AH197,0)+$AG198</f>
        <v/>
      </c>
      <c r="AI198" s="55">
        <f>$AI197+$AG198</f>
        <v/>
      </c>
      <c r="AJ198" s="55">
        <f>$AG198-$X198-$AD198</f>
        <v/>
      </c>
      <c r="AK198" s="55">
        <f>IF($B198=$B197,$AK197,0)+$AJ198</f>
        <v/>
      </c>
      <c r="AL198" s="55">
        <f>$AL197+$AJ198</f>
        <v/>
      </c>
      <c r="AM198" s="55">
        <f>SUMIFS(tblMiningDaily[Drill_m],tblMiningDaily[Date],$A198)</f>
        <v/>
      </c>
      <c r="AN198" s="55">
        <f>IF($B198=$B197,$AN197,0)+$AM198</f>
        <v/>
      </c>
      <c r="AO198" s="55">
        <f>$AO197+$AM198</f>
        <v/>
      </c>
      <c r="AP198" s="55">
        <f>SUMIFS(tblMiningDaily[GC_Drill_m],tblMiningDaily[Date],$A198)</f>
        <v/>
      </c>
      <c r="AQ198" s="55">
        <f>IF($B198=$B197,$AQ197,0)+$AP198</f>
        <v/>
      </c>
      <c r="AR198" s="55">
        <f>$AR197+$AP198</f>
        <v/>
      </c>
      <c r="AS198" s="55">
        <f>SUMIFS(tblMiningDaily[Blast_t],tblMiningDaily[Date],$A198)</f>
        <v/>
      </c>
      <c r="AT198" s="55">
        <f>IF($B198=$B197,$AT197,0)+$AS198</f>
        <v/>
      </c>
      <c r="AU198" s="55">
        <f>$AU197+$AS198</f>
        <v/>
      </c>
      <c r="AV198" s="55">
        <f>SUMIFS(tblMiningDaily[Explosives_kg],tblMiningDaily[Date],$A198)</f>
        <v/>
      </c>
      <c r="AW198" s="55">
        <f>IF($B198=$B197,$AW197,0)+$AV198</f>
        <v/>
      </c>
      <c r="AX198" s="55">
        <f>$AX197+$AV198</f>
        <v/>
      </c>
      <c r="AY198" s="56">
        <f>IFERROR(IF(($AS198)&gt;0,($AV198)/($AS198),""),"")</f>
        <v/>
      </c>
      <c r="AZ198" s="56">
        <f>IFERROR(IF(($AT198)&gt;0,($AW198)/($AT198),""),"")</f>
        <v/>
      </c>
      <c r="BA198" s="56">
        <f>IFERROR(IF(($AU198)&gt;0,($AX198)/($AU198),""),"")</f>
        <v/>
      </c>
      <c r="BB198" s="55">
        <f>SUMIFS(tblMiningDaily[Diesel_L],tblMiningDaily[Date],$A198)</f>
        <v/>
      </c>
      <c r="BC198" s="55">
        <f>IF($B198=$B197,$BC197,0)+$BB198</f>
        <v/>
      </c>
      <c r="BD198" s="55">
        <f>$BD197+$BB198</f>
        <v/>
      </c>
      <c r="BE198" s="55">
        <f>SUMIFS(tblMiningDaily[Dewatering_m3],tblMiningDaily[Date],$A198)</f>
        <v/>
      </c>
      <c r="BF198" s="55">
        <f>IF($B198=$B197,$BF197,0)+$BE198</f>
        <v/>
      </c>
      <c r="BG198" s="55">
        <f>$BG197+$BE198</f>
        <v/>
      </c>
      <c r="BH198" s="57">
        <f>SUMIFS(tblFleet[Calendar_h],tblFleet[Date],$A198,tblFleet[Equipment_Class],"Excavator")</f>
        <v/>
      </c>
      <c r="BI198" s="57">
        <f>IF($B198=$B197,$BI197,0)+$BH198</f>
        <v/>
      </c>
      <c r="BJ198" s="57">
        <f>$BJ197+$BH198</f>
        <v/>
      </c>
      <c r="BK198" s="57">
        <f>SUMIFS(tblFleet[Available_h],tblFleet[Date],$A198,tblFleet[Equipment_Class],"Excavator")</f>
        <v/>
      </c>
      <c r="BL198" s="57">
        <f>IF($B198=$B197,$BL197,0)+$BK198</f>
        <v/>
      </c>
      <c r="BM198" s="57">
        <f>$BM197+$BK198</f>
        <v/>
      </c>
      <c r="BN198" s="57">
        <f>SUMIFS(tblFleet[Operating_h],tblFleet[Date],$A198,tblFleet[Equipment_Class],"Excavator")</f>
        <v/>
      </c>
      <c r="BO198" s="57">
        <f>IF($B198=$B197,$BO197,0)+$BN198</f>
        <v/>
      </c>
      <c r="BP198" s="57">
        <f>$BP197+$BN198</f>
        <v/>
      </c>
      <c r="BQ198" s="67">
        <f>IFERROR(IF(($BH198)&gt;0,($BK198)/($BH198),""),"")</f>
        <v/>
      </c>
      <c r="BR198" s="67">
        <f>IFERROR(IF(($BI198)&gt;0,($BL198)/($BI198),""),"")</f>
        <v/>
      </c>
      <c r="BS198" s="67">
        <f>IFERROR(IF(($BJ198)&gt;0,($BM198)/($BJ198),""),"")</f>
        <v/>
      </c>
      <c r="BT198" s="67">
        <f>IFERROR(IF(($BK198)&gt;0,($BN198)/($BK198),""),"")</f>
        <v/>
      </c>
      <c r="BU198" s="67">
        <f>IFERROR(IF(($BL198)&gt;0,($BO198)/($BL198),""),"")</f>
        <v/>
      </c>
      <c r="BV198" s="67">
        <f>IFERROR(IF(($BM198)&gt;0,($BP198)/($BM198),""),"")</f>
        <v/>
      </c>
      <c r="BW198" s="57">
        <f>SUMIFS(tblFleet[Calendar_h],tblFleet[Date],$A198,tblFleet[Equipment_Class],"Haul Truck")</f>
        <v/>
      </c>
      <c r="BX198" s="57">
        <f>IF($B198=$B197,$BX197,0)+$BW198</f>
        <v/>
      </c>
      <c r="BY198" s="57">
        <f>$BY197+$BW198</f>
        <v/>
      </c>
      <c r="BZ198" s="57">
        <f>SUMIFS(tblFleet[Available_h],tblFleet[Date],$A198,tblFleet[Equipment_Class],"Haul Truck")</f>
        <v/>
      </c>
      <c r="CA198" s="57">
        <f>IF($B198=$B197,$CA197,0)+$BZ198</f>
        <v/>
      </c>
      <c r="CB198" s="57">
        <f>$CB197+$BZ198</f>
        <v/>
      </c>
      <c r="CC198" s="57">
        <f>SUMIFS(tblFleet[Operating_h],tblFleet[Date],$A198,tblFleet[Equipment_Class],"Haul Truck")</f>
        <v/>
      </c>
      <c r="CD198" s="57">
        <f>IF($B198=$B197,$CD197,0)+$CC198</f>
        <v/>
      </c>
      <c r="CE198" s="57">
        <f>$CE197+$CC198</f>
        <v/>
      </c>
      <c r="CF198" s="67">
        <f>IFERROR(IF(($BW198)&gt;0,($BZ198)/($BW198),""),"")</f>
        <v/>
      </c>
      <c r="CG198" s="67">
        <f>IFERROR(IF(($BX198)&gt;0,($CA198)/($BX198),""),"")</f>
        <v/>
      </c>
      <c r="CH198" s="67">
        <f>IFERROR(IF(($BY198)&gt;0,($CB198)/($BY198),""),"")</f>
        <v/>
      </c>
      <c r="CI198" s="67">
        <f>IFERROR(IF(($BZ198)&gt;0,($CC198)/($BZ198),""),"")</f>
        <v/>
      </c>
      <c r="CJ198" s="67">
        <f>IFERROR(IF(($CA198)&gt;0,($CD198)/($CA198),""),"")</f>
        <v/>
      </c>
      <c r="CK198" s="67">
        <f>IFERROR(IF(($CB198)&gt;0,($CE198)/($CB198),""),"")</f>
        <v/>
      </c>
      <c r="CL198" s="55">
        <f>IFERROR(IF(($BN198)&gt;0,($X198+$AD198)/($BN198),""),"")</f>
        <v/>
      </c>
      <c r="CM198" s="55">
        <f>IFERROR(IF(($BO198)&gt;0,($Y198+$AE198)/($BO198),""),"")</f>
        <v/>
      </c>
      <c r="CN198" s="55">
        <f>IFERROR(IF(($BP198)&gt;0,($Z198+$AF198)/($BP198),""),"")</f>
        <v/>
      </c>
      <c r="CO198" s="55">
        <f>IFERROR(IF(($CC198)&gt;0,($X198+$AD198)/($CC198),""),"")</f>
        <v/>
      </c>
      <c r="CP198" s="55">
        <f>IFERROR(IF(($CD198)&gt;0,($Y198+$AE198)/($CD198),""),"")</f>
        <v/>
      </c>
      <c r="CQ198" s="55">
        <f>IFERROR(IF(($CE198)&gt;0,($Z198+$AF198)/($CE198),""),"")</f>
        <v/>
      </c>
      <c r="CR198" s="55">
        <f>SUMIFS(tblPlant[Crushed_t],tblPlant[Date],$A198)</f>
        <v/>
      </c>
      <c r="CS198" s="55">
        <f>IF($B198=$B197,$CS197,0)+$CR198</f>
        <v/>
      </c>
      <c r="CT198" s="55">
        <f>$CT197+$CR198</f>
        <v/>
      </c>
      <c r="CU198" s="55">
        <f>SUMIFS(tblPlant[Milled_t],tblPlant[Date],$A198)</f>
        <v/>
      </c>
      <c r="CV198" s="55">
        <f>IF($B198=$B197,$CV197,0)+$CU198</f>
        <v/>
      </c>
      <c r="CW198" s="55">
        <f>$CW197+$CU198</f>
        <v/>
      </c>
      <c r="CX198" s="55">
        <f>SUMIFS(tblPlant[Feed_oz],tblPlant[Date],$A198)</f>
        <v/>
      </c>
      <c r="CY198" s="55">
        <f>IF($B198=$B197,$CY197,0)+$CX198</f>
        <v/>
      </c>
      <c r="CZ198" s="55">
        <f>$CZ197+$CX198</f>
        <v/>
      </c>
      <c r="DA198" s="55">
        <f>SUMIFS(tblPlant[Tails_oz],tblPlant[Date],$A198)</f>
        <v/>
      </c>
      <c r="DB198" s="55">
        <f>IF($B198=$B197,$DB197,0)+$DA198</f>
        <v/>
      </c>
      <c r="DC198" s="55">
        <f>$DC197+$DA198</f>
        <v/>
      </c>
      <c r="DD198" s="55">
        <f>SUMIFS(tblPlant[Recovered_oz],tblPlant[Date],$A198)</f>
        <v/>
      </c>
      <c r="DE198" s="55">
        <f>IF($B198=$B197,$DE197,0)+$DD198</f>
        <v/>
      </c>
      <c r="DF198" s="55">
        <f>$DF197+$DD198</f>
        <v/>
      </c>
      <c r="DG198" s="55">
        <f>SUMIFS(tblPlant[Milled_t],tblPlant[Date],$A198,tblPlant[Head_Grade_gpt],"&lt;&gt;")</f>
        <v/>
      </c>
      <c r="DH198" s="55">
        <f>IF($B198=$B197,$DH197,0)+$DG198</f>
        <v/>
      </c>
      <c r="DI198" s="55">
        <f>$DI197+$DG198</f>
        <v/>
      </c>
      <c r="DJ198" s="55">
        <f>SUMIFS(tblPlant[Milled_t],tblPlant[Date],$A198,tblPlant[Tails_Grade_gpt],"&lt;&gt;")</f>
        <v/>
      </c>
      <c r="DK198" s="55">
        <f>IF($B198=$B197,$DK197,0)+$DJ198</f>
        <v/>
      </c>
      <c r="DL198" s="55">
        <f>$DL197+$DJ198</f>
        <v/>
      </c>
      <c r="DM198" s="55">
        <f>SUMIFS(tblPlant[Feed_oz],tblPlant[Date],$A198,tblPlant[Tails_Grade_gpt],"&lt;&gt;")</f>
        <v/>
      </c>
      <c r="DN198" s="55">
        <f>IF($B198=$B197,$DN197,0)+$DM198</f>
        <v/>
      </c>
      <c r="DO198" s="55">
        <f>$DO197+$DM198</f>
        <v/>
      </c>
      <c r="DP198" s="55">
        <f>SUMIFS(tblPlant[Milled_t],tblPlant[Date],$A198,tblPlant[Mill_Run_h],"&lt;&gt;")</f>
        <v/>
      </c>
      <c r="DQ198" s="55">
        <f>IF($B198=$B197,$DQ197,0)+$DP198</f>
        <v/>
      </c>
      <c r="DR198" s="55">
        <f>$DR197+$DP198</f>
        <v/>
      </c>
      <c r="DS198" s="56">
        <f>IFERROR(IF(($DG198)&gt;0,($CX198*cfg_TroyOz)/($DG198),""),"")</f>
        <v/>
      </c>
      <c r="DT198" s="56">
        <f>IFERROR(IF(($DH198)&gt;0,($CY198*cfg_TroyOz)/($DH198),""),"")</f>
        <v/>
      </c>
      <c r="DU198" s="56">
        <f>IFERROR(IF(($DI198)&gt;0,($CZ198*cfg_TroyOz)/($DI198),""),"")</f>
        <v/>
      </c>
      <c r="DV198" s="56">
        <f>IFERROR(IF(($DJ198)&gt;0,($DA198*cfg_TroyOz)/($DJ198),""),"")</f>
        <v/>
      </c>
      <c r="DW198" s="56">
        <f>IFERROR(IF(($DK198)&gt;0,($DB198*cfg_TroyOz)/($DK198),""),"")</f>
        <v/>
      </c>
      <c r="DX198" s="56">
        <f>IFERROR(IF(($DL198)&gt;0,($DC198*cfg_TroyOz)/($DL198),""),"")</f>
        <v/>
      </c>
      <c r="DY198" s="67">
        <f>IFERROR(IF(($DM198)&gt;0,($DD198)/($DM198),""),"")</f>
        <v/>
      </c>
      <c r="DZ198" s="67">
        <f>IFERROR(IF(($DN198)&gt;0,($DE198)/($DN198),""),"")</f>
        <v/>
      </c>
      <c r="EA198" s="67">
        <f>IFERROR(IF(($DO198)&gt;0,($DF198)/($DO198),""),"")</f>
        <v/>
      </c>
      <c r="EB198" s="55">
        <f>SUMIFS(tblPlant[Gravity_Gold_oz],tblPlant[Date],$A198)</f>
        <v/>
      </c>
      <c r="EC198" s="55">
        <f>IF($B198=$B197,$EC197,0)+$EB198</f>
        <v/>
      </c>
      <c r="ED198" s="55">
        <f>$ED197+$EB198</f>
        <v/>
      </c>
      <c r="EE198" s="67">
        <f>IFERROR(IF(($DD198)&gt;0,($EB198)/($DD198),""),"")</f>
        <v/>
      </c>
      <c r="EF198" s="67">
        <f>IFERROR(IF(($DE198)&gt;0,($EC198)/($DE198),""),"")</f>
        <v/>
      </c>
      <c r="EG198" s="67">
        <f>IFERROR(IF(($DF198)&gt;0,($ED198)/($DF198),""),"")</f>
        <v/>
      </c>
      <c r="EH198" s="55">
        <f>SUMIFS(tblPlant[Gold_Poured_oz],tblPlant[Date],$A198)</f>
        <v/>
      </c>
      <c r="EI198" s="55">
        <f>IF($B198=$B197,$EI197,0)+$EH198</f>
        <v/>
      </c>
      <c r="EJ198" s="55">
        <f>$EJ197+$EH198</f>
        <v/>
      </c>
      <c r="EK198" s="57">
        <f>SUMIFS(tblPlant[Mill_Run_h],tblPlant[Date],$A198)</f>
        <v/>
      </c>
      <c r="EL198" s="57">
        <f>IF($B198=$B197,$EL197,0)+$EK198</f>
        <v/>
      </c>
      <c r="EM198" s="57">
        <f>$EM197+$EK198</f>
        <v/>
      </c>
      <c r="EN198" s="57">
        <f>SUMIFS(tblPlant[Mill_Planned_Maint_h],tblPlant[Date],$A198)</f>
        <v/>
      </c>
      <c r="EO198" s="57">
        <f>IF($B198=$B197,$EO197,0)+$EN198</f>
        <v/>
      </c>
      <c r="EP198" s="57">
        <f>$EP197+$EN198</f>
        <v/>
      </c>
      <c r="EQ198" s="57">
        <f>SUMIFS(tblPlant[Mill_Unplanned_Down_h],tblPlant[Date],$A198)</f>
        <v/>
      </c>
      <c r="ER198" s="57">
        <f>IF($B198=$B197,$ER197,0)+$EQ198</f>
        <v/>
      </c>
      <c r="ES198" s="57">
        <f>$ES197+$EQ198</f>
        <v/>
      </c>
      <c r="ET198" s="57">
        <f>IF(COUNTIFS(tblPlant[Date],$A198,tblPlant[Mill_Run_h],"&lt;&gt;")+COUNTIFS(tblPlant[Date],$A198,tblPlant[Mill_Planned_Maint_h],"&lt;&gt;")+COUNTIFS(tblPlant[Date],$A198,tblPlant[Mill_Unplanned_Down_h],"&lt;&gt;")&gt;0,cfg_HoursPerDay,0)</f>
        <v/>
      </c>
      <c r="EU198" s="57">
        <f>IF($B198=$B197,$EU197,0)+$ET198</f>
        <v/>
      </c>
      <c r="EV198" s="57">
        <f>$EV197+$ET198</f>
        <v/>
      </c>
      <c r="EW198" s="57">
        <f>SUMIFS(tblPlant[Crusher_Run_h],tblPlant[Date],$A198)</f>
        <v/>
      </c>
      <c r="EX198" s="57">
        <f>IF($B198=$B197,$EX197,0)+$EW198</f>
        <v/>
      </c>
      <c r="EY198" s="57">
        <f>$EY197+$EW198</f>
        <v/>
      </c>
      <c r="EZ198" s="55">
        <f>IFERROR(IF(($EK198)&gt;0,($DP198)/($EK198),""),"")</f>
        <v/>
      </c>
      <c r="FA198" s="55">
        <f>IFERROR(IF(($EL198)&gt;0,($DQ198)/($EL198),""),"")</f>
        <v/>
      </c>
      <c r="FB198" s="55">
        <f>IFERROR(IF(($EM198)&gt;0,($DR198)/($EM198),""),"")</f>
        <v/>
      </c>
      <c r="FC198" s="67">
        <f>IFERROR(IF(($ET198)&gt;0,($ET198-$EN198-$EQ198)/($ET198),""),"")</f>
        <v/>
      </c>
      <c r="FD198" s="67">
        <f>IFERROR(IF(($EU198)&gt;0,($EU198-$EO198-$ER198)/($EU198),""),"")</f>
        <v/>
      </c>
      <c r="FE198" s="67">
        <f>IFERROR(IF(($EV198)&gt;0,($EV198-$EP198-$ES198)/($EV198),""),"")</f>
        <v/>
      </c>
      <c r="FF198" s="67">
        <f>IFERROR(IF(($ET198-$EN198-$EQ198)&gt;0,($EK198)/($ET198-$EN198-$EQ198),""),"")</f>
        <v/>
      </c>
      <c r="FG198" s="67">
        <f>IFERROR(IF(($EU198-$EO198-$ER198)&gt;0,($EL198)/($EU198-$EO198-$ER198),""),"")</f>
        <v/>
      </c>
      <c r="FH198" s="67">
        <f>IFERROR(IF(($EV198-$EP198-$ES198)&gt;0,($EM198)/($EV198-$EP198-$ES198),""),"")</f>
        <v/>
      </c>
      <c r="FI198" s="55">
        <f>SUMIFS(tblPlant[Cyanide_kg],tblPlant[Date],$A198)</f>
        <v/>
      </c>
      <c r="FJ198" s="55">
        <f>IF($B198=$B197,$FJ197,0)+$FI198</f>
        <v/>
      </c>
      <c r="FK198" s="55">
        <f>$FK197+$FI198</f>
        <v/>
      </c>
      <c r="FL198" s="55">
        <f>SUMIFS(tblPlant[Lime_kg],tblPlant[Date],$A198)</f>
        <v/>
      </c>
      <c r="FM198" s="55">
        <f>IF($B198=$B197,$FM197,0)+$FL198</f>
        <v/>
      </c>
      <c r="FN198" s="55">
        <f>$FN197+$FL198</f>
        <v/>
      </c>
      <c r="FO198" s="55">
        <f>SUMIFS(tblPlant[Grinding_Media_kg],tblPlant[Date],$A198)</f>
        <v/>
      </c>
      <c r="FP198" s="55">
        <f>IF($B198=$B197,$FP197,0)+$FO198</f>
        <v/>
      </c>
      <c r="FQ198" s="55">
        <f>$FQ197+$FO198</f>
        <v/>
      </c>
      <c r="FR198" s="55">
        <f>SUMIFS(tblPlant[Power_kWh],tblPlant[Date],$A198)</f>
        <v/>
      </c>
      <c r="FS198" s="55">
        <f>IF($B198=$B197,$FS197,0)+$FR198</f>
        <v/>
      </c>
      <c r="FT198" s="55">
        <f>$FT197+$FR198</f>
        <v/>
      </c>
      <c r="FU198" s="55">
        <f>SUMIFS(tblPlant[Raw_Water_m3],tblPlant[Date],$A198)</f>
        <v/>
      </c>
      <c r="FV198" s="55">
        <f>IF($B198=$B197,$FV197,0)+$FU198</f>
        <v/>
      </c>
      <c r="FW198" s="55">
        <f>$FW197+$FU198</f>
        <v/>
      </c>
      <c r="FX198" s="56">
        <f>IFERROR(IF(($CU198)&gt;0,($FI198)/($CU198),""),"")</f>
        <v/>
      </c>
      <c r="FY198" s="56">
        <f>IFERROR(IF(($CV198)&gt;0,($FJ198)/($CV198),""),"")</f>
        <v/>
      </c>
      <c r="FZ198" s="56">
        <f>IFERROR(IF(($CW198)&gt;0,($FK198)/($CW198),""),"")</f>
        <v/>
      </c>
      <c r="GA198" s="56">
        <f>IFERROR(IF(($CU198)&gt;0,($FL198)/($CU198),""),"")</f>
        <v/>
      </c>
      <c r="GB198" s="56">
        <f>IFERROR(IF(($CV198)&gt;0,($FM198)/($CV198),""),"")</f>
        <v/>
      </c>
      <c r="GC198" s="56">
        <f>IFERROR(IF(($CW198)&gt;0,($FN198)/($CW198),""),"")</f>
        <v/>
      </c>
      <c r="GD198" s="56">
        <f>IFERROR(IF(($CU198)&gt;0,($FO198)/($CU198),""),"")</f>
        <v/>
      </c>
      <c r="GE198" s="56">
        <f>IFERROR(IF(($CV198)&gt;0,($FP198)/($CV198),""),"")</f>
        <v/>
      </c>
      <c r="GF198" s="56">
        <f>IFERROR(IF(($CW198)&gt;0,($FQ198)/($CW198),""),"")</f>
        <v/>
      </c>
      <c r="GG198" s="79">
        <f>IFERROR(IF(($CU198)&gt;0,($FR198)/($CU198),""),"")</f>
        <v/>
      </c>
      <c r="GH198" s="79">
        <f>IFERROR(IF(($CV198)&gt;0,($FS198)/($CV198),""),"")</f>
        <v/>
      </c>
      <c r="GI198" s="79">
        <f>IFERROR(IF(($CW198)&gt;0,($FT198)/($CW198),""),"")</f>
        <v/>
      </c>
      <c r="GJ198" s="56">
        <f>IFERROR(IF(($CU198)&gt;0,($FU198)/($CU198),""),"")</f>
        <v/>
      </c>
      <c r="GK198" s="56">
        <f>IFERROR(IF(($CV198)&gt;0,($FV198)/($CV198),""),"")</f>
        <v/>
      </c>
      <c r="GL198" s="56">
        <f>IFERROR(IF(($CW198)&gt;0,($FW198)/($CW198),""),"")</f>
        <v/>
      </c>
      <c r="GM198" s="55">
        <f>IF(SUMIFS(tblPlant[GIC_oz],tblPlant[Date],$A198)&gt;0,SUMIFS(tblPlant[GIC_oz],tblPlant[Date],$A198),"")</f>
        <v/>
      </c>
      <c r="GN198" s="55">
        <f>SUMIFS(tblGold[Gold_oz],tblGold[Date],$A198,tblGold[Type],"Shipment")</f>
        <v/>
      </c>
      <c r="GO198" s="55">
        <f>IF($B198=$B197,$GO197,0)+$GN198</f>
        <v/>
      </c>
      <c r="GP198" s="55">
        <f>$GP197+$GN198</f>
        <v/>
      </c>
      <c r="GQ198" s="55">
        <f>SUMIFS(tblGold[Gold_oz],tblGold[Date],$A198,tblGold[Type],"Sale")</f>
        <v/>
      </c>
      <c r="GR198" s="55">
        <f>IF($B198=$B197,$GR197,0)+$GQ198</f>
        <v/>
      </c>
      <c r="GS198" s="55">
        <f>$GS197+$GQ198</f>
        <v/>
      </c>
      <c r="GT198" s="55">
        <f>SUMIFS(tblGold[Dore_kg],tblGold[Date],$A198,tblGold[Type],"Shipment")</f>
        <v/>
      </c>
      <c r="GU198" s="55">
        <f>IF($B198=$B197,$GU197,0)+$GT198</f>
        <v/>
      </c>
      <c r="GV198" s="55">
        <f>$GV197+$GT198</f>
        <v/>
      </c>
      <c r="GW198" s="57">
        <f>SUMIFS(tblSafety[Hours_Total],tblSafety[Date],$A198)</f>
        <v/>
      </c>
      <c r="GX198" s="57">
        <f>IF($B198=$B197,$GX197,0)+$GW198</f>
        <v/>
      </c>
      <c r="GY198" s="57">
        <f>$GY197+$GW198</f>
        <v/>
      </c>
      <c r="GZ198" s="62">
        <f>SUMIFS(tblSafety[Fatality],tblSafety[Date],$A198)</f>
        <v/>
      </c>
      <c r="HA198" s="62">
        <f>IF($B198=$B197,$HA197,0)+$GZ198</f>
        <v/>
      </c>
      <c r="HB198" s="62">
        <f>$HB197+$GZ198</f>
        <v/>
      </c>
      <c r="HC198" s="62">
        <f>SUMIFS(tblSafety[LTI],tblSafety[Date],$A198)</f>
        <v/>
      </c>
      <c r="HD198" s="62">
        <f>IF($B198=$B197,$HD197,0)+$HC198</f>
        <v/>
      </c>
      <c r="HE198" s="62">
        <f>$HE197+$HC198</f>
        <v/>
      </c>
      <c r="HF198" s="62">
        <f>SUMIFS(tblSafety[RWI],tblSafety[Date],$A198)</f>
        <v/>
      </c>
      <c r="HG198" s="62">
        <f>IF($B198=$B197,$HG197,0)+$HF198</f>
        <v/>
      </c>
      <c r="HH198" s="62">
        <f>$HH197+$HF198</f>
        <v/>
      </c>
      <c r="HI198" s="62">
        <f>SUMIFS(tblSafety[MTI],tblSafety[Date],$A198)</f>
        <v/>
      </c>
      <c r="HJ198" s="62">
        <f>IF($B198=$B197,$HJ197,0)+$HI198</f>
        <v/>
      </c>
      <c r="HK198" s="62">
        <f>$HK197+$HI198</f>
        <v/>
      </c>
      <c r="HL198" s="62">
        <f>SUMIFS(tblSafety[FAI],tblSafety[Date],$A198)</f>
        <v/>
      </c>
      <c r="HM198" s="62">
        <f>IF($B198=$B197,$HM197,0)+$HL198</f>
        <v/>
      </c>
      <c r="HN198" s="62">
        <f>$HN197+$HL198</f>
        <v/>
      </c>
      <c r="HO198" s="62">
        <f>SUMIFS(tblSafety[Recordables],tblSafety[Date],$A198)</f>
        <v/>
      </c>
      <c r="HP198" s="62">
        <f>IF($B198=$B197,$HP197,0)+$HO198</f>
        <v/>
      </c>
      <c r="HQ198" s="62">
        <f>$HQ197+$HO198</f>
        <v/>
      </c>
      <c r="HR198" s="62">
        <f>SUMIFS(tblSafety[Near_Miss],tblSafety[Date],$A198)</f>
        <v/>
      </c>
      <c r="HS198" s="62">
        <f>IF($B198=$B197,$HS197,0)+$HR198</f>
        <v/>
      </c>
      <c r="HT198" s="62">
        <f>$HT197+$HR198</f>
        <v/>
      </c>
      <c r="HU198" s="62">
        <f>SUMIFS(tblSafety[Hazard_Reports],tblSafety[Date],$A198)</f>
        <v/>
      </c>
      <c r="HV198" s="62">
        <f>IF($B198=$B197,$HV197,0)+$HU198</f>
        <v/>
      </c>
      <c r="HW198" s="62">
        <f>$HW197+$HU198</f>
        <v/>
      </c>
      <c r="HX198" s="62">
        <f>SUMIFS(tblSafety[HPI],tblSafety[Date],$A198)</f>
        <v/>
      </c>
      <c r="HY198" s="62">
        <f>IF($B198=$B197,$HY197,0)+$HX198</f>
        <v/>
      </c>
      <c r="HZ198" s="62">
        <f>$HZ197+$HX198</f>
        <v/>
      </c>
      <c r="IA198" s="62">
        <f>SUMIFS(tblSafety[Env_Incidents],tblSafety[Date],$A198)</f>
        <v/>
      </c>
      <c r="IB198" s="62">
        <f>IF($B198=$B197,$IB197,0)+$IA198</f>
        <v/>
      </c>
      <c r="IC198" s="62">
        <f>$IC197+$IA198</f>
        <v/>
      </c>
      <c r="ID198" s="62">
        <f>SUMIFS(tblSafety[Community_Incidents],tblSafety[Date],$A198)</f>
        <v/>
      </c>
      <c r="IE198" s="62">
        <f>IF($B198=$B197,$IE197,0)+$ID198</f>
        <v/>
      </c>
      <c r="IF198" s="62">
        <f>$IF197+$ID198</f>
        <v/>
      </c>
      <c r="IG198" s="62">
        <f>SUMIFS(tblSafety[Vehicle_Incidents],tblSafety[Date],$A198)</f>
        <v/>
      </c>
      <c r="IH198" s="62">
        <f>IF($B198=$B197,$IH197,0)+$IG198</f>
        <v/>
      </c>
      <c r="II198" s="62">
        <f>$II197+$IG198</f>
        <v/>
      </c>
      <c r="IJ198" s="62">
        <f>SUMIFS(tblSafety[Toolbox_Talks],tblSafety[Date],$A198)</f>
        <v/>
      </c>
      <c r="IK198" s="62">
        <f>IF($B198=$B197,$IK197,0)+$IJ198</f>
        <v/>
      </c>
      <c r="IL198" s="62">
        <f>$IL197+$IJ198</f>
        <v/>
      </c>
      <c r="IM198" s="62">
        <f>SUMIFS(tblSafety[Inspections],tblSafety[Date],$A198)</f>
        <v/>
      </c>
      <c r="IN198" s="62">
        <f>IF($B198=$B197,$IN197,0)+$IM198</f>
        <v/>
      </c>
      <c r="IO198" s="62">
        <f>$IO197+$IM198</f>
        <v/>
      </c>
      <c r="IP198" s="56">
        <f>IFERROR((SUMIFS(tblSafety[Recordables],tblSafety[Date],"&gt;="&amp;EDATE($E198,-12),tblSafety[Date],"&lt;="&amp;$A198)+SUMIFS(tblSafetyHistory[Recordables],tblSafetyHistory[Month],"&gt;="&amp;EDATE($E198,-12),tblSafetyHistory[Month],"&lt;"&amp;$E198,tblSafetyHistory[Use],1))/(SUMIFS(tblSafety[Hours_Total],tblSafety[Date],"&gt;="&amp;EDATE($E198,-12),tblSafety[Date],"&lt;="&amp;$A198)+SUMIFS(tblSafetyHistory[Hours_Total],tblSafetyHistory[Month],"&gt;="&amp;EDATE($E198,-12),tblSafetyHistory[Month],"&lt;"&amp;$E198,tblSafetyHistory[Use],1))*cfg_RateBasisHours,"")</f>
        <v/>
      </c>
      <c r="IQ198" s="56">
        <f>IFERROR((SUMIFS(tblSafety[LTI],tblSafety[Date],"&gt;="&amp;EDATE($E198,-12),tblSafety[Date],"&lt;="&amp;$A198)+SUMIFS(tblSafetyHistory[LTI],tblSafetyHistory[Month],"&gt;="&amp;EDATE($E198,-12),tblSafetyHistory[Month],"&lt;"&amp;$E198,tblSafetyHistory[Use],1))/(SUMIFS(tblSafety[Hours_Total],tblSafety[Date],"&gt;="&amp;EDATE($E198,-12),tblSafety[Date],"&lt;="&amp;$A198)+SUMIFS(tblSafetyHistory[Hours_Total],tblSafetyHistory[Month],"&gt;="&amp;EDATE($E198,-12),tblSafetyHistory[Month],"&lt;"&amp;$E198,tblSafetyHistory[Use],1))*cfg_RateBasisHours,"")</f>
        <v/>
      </c>
      <c r="IR198" s="62">
        <f>IF(MAX(N(cfg_PriorLTIDate),_xlfn.MAXIFS(tblSafety[Date],tblSafety[LTI],"&gt;0",tblSafety[Date],"&lt;="&amp;$A198))=0,"",$A198-MAX(N(cfg_PriorLTIDate),_xlfn.MAXIFS(tblSafety[Date],tblSafety[LTI],"&gt;0",tblSafety[Date],"&lt;="&amp;$A198)))</f>
        <v/>
      </c>
      <c r="IS198" s="55">
        <f>SUMIFS(tblBudget[Ore_Mined_t],tblBudget[Month],$E198)</f>
        <v/>
      </c>
      <c r="IT198" s="55">
        <f>$IS198*$C198/$D198</f>
        <v/>
      </c>
      <c r="IU198" s="55">
        <f>SUMIFS(tblBudget[Ore_Mined_t],tblBudget[Month],"&lt;"&amp;$E198)+$IT198</f>
        <v/>
      </c>
      <c r="IV198" s="55">
        <f>SUMIFS(tblBudget[Ore_oz],tblBudget[Month],$E198)</f>
        <v/>
      </c>
      <c r="IW198" s="55">
        <f>$IV198*$C198/$D198</f>
        <v/>
      </c>
      <c r="IX198" s="55">
        <f>SUMIFS(tblBudget[Ore_oz],tblBudget[Month],"&lt;"&amp;$E198)+$IW198</f>
        <v/>
      </c>
      <c r="IY198" s="55">
        <f>SUMIFS(tblBudget[Ore_Mined_t],tblBudget[Month],$E198)</f>
        <v/>
      </c>
      <c r="IZ198" s="55">
        <f>$IY198*$C198/$D198</f>
        <v/>
      </c>
      <c r="JA198" s="55">
        <f>SUMIFS(tblBudget[Ore_Mined_t],tblBudget[Month],"&lt;"&amp;$E198)+$IZ198</f>
        <v/>
      </c>
      <c r="JB198" s="56">
        <f>IFERROR(IF(($IY198)&gt;0,($IV198*cfg_TroyOz)/($IY198),""),"")</f>
        <v/>
      </c>
      <c r="JC198" s="56">
        <f>IFERROR(IF(($IZ198)&gt;0,($IW198*cfg_TroyOz)/($IZ198),""),"")</f>
        <v/>
      </c>
      <c r="JD198" s="56">
        <f>IFERROR(IF(($JA198)&gt;0,($IX198*cfg_TroyOz)/($JA198),""),"")</f>
        <v/>
      </c>
      <c r="JE198" s="55">
        <f>SUMIFS(tblBudget[Waste_t],tblBudget[Month],$E198)</f>
        <v/>
      </c>
      <c r="JF198" s="55">
        <f>$JE198*$C198/$D198</f>
        <v/>
      </c>
      <c r="JG198" s="55">
        <f>SUMIFS(tblBudget[Waste_t],tblBudget[Month],"&lt;"&amp;$E198)+$JF198</f>
        <v/>
      </c>
      <c r="JH198" s="55">
        <f>SUMIFS(tblBudget[TMM_t],tblBudget[Month],$E198)</f>
        <v/>
      </c>
      <c r="JI198" s="55">
        <f>$JH198*$C198/$D198</f>
        <v/>
      </c>
      <c r="JJ198" s="55">
        <f>SUMIFS(tblBudget[TMM_t],tblBudget[Month],"&lt;"&amp;$E198)+$JI198</f>
        <v/>
      </c>
      <c r="JK198" s="56">
        <f>IFERROR(IF(($IS198)&gt;0,($JE198)/($IS198),""),"")</f>
        <v/>
      </c>
      <c r="JL198" s="56">
        <f>IFERROR(IF(($IT198)&gt;0,($JF198)/($IT198),""),"")</f>
        <v/>
      </c>
      <c r="JM198" s="56">
        <f>IFERROR(IF(($IU198)&gt;0,($JG198)/($IU198),""),"")</f>
        <v/>
      </c>
      <c r="JN198" s="55">
        <f>SUMIFS(tblBudget[Drill_m],tblBudget[Month],$E198)</f>
        <v/>
      </c>
      <c r="JO198" s="55">
        <f>$JN198*$C198/$D198</f>
        <v/>
      </c>
      <c r="JP198" s="55">
        <f>SUMIFS(tblBudget[Drill_m],tblBudget[Month],"&lt;"&amp;$E198)+$JO198</f>
        <v/>
      </c>
      <c r="JQ198" s="55">
        <f>SUMIFS(tblBudget[Diesel_L],tblBudget[Month],$E198)</f>
        <v/>
      </c>
      <c r="JR198" s="55">
        <f>$JQ198*$C198/$D198</f>
        <v/>
      </c>
      <c r="JS198" s="55">
        <f>SUMIFS(tblBudget[Diesel_L],tblBudget[Month],"&lt;"&amp;$E198)+$JR198</f>
        <v/>
      </c>
      <c r="JT198" s="55">
        <f>SUMIFS(tblBudget[Milled_t],tblBudget[Month],$E198)</f>
        <v/>
      </c>
      <c r="JU198" s="55">
        <f>$JT198*$C198/$D198</f>
        <v/>
      </c>
      <c r="JV198" s="55">
        <f>SUMIFS(tblBudget[Milled_t],tblBudget[Month],"&lt;"&amp;$E198)+$JU198</f>
        <v/>
      </c>
      <c r="JW198" s="55">
        <f>SUMIFS(tblBudget[Feed_oz],tblBudget[Month],$E198)</f>
        <v/>
      </c>
      <c r="JX198" s="55">
        <f>$JW198*$C198/$D198</f>
        <v/>
      </c>
      <c r="JY198" s="55">
        <f>SUMIFS(tblBudget[Feed_oz],tblBudget[Month],"&lt;"&amp;$E198)+$JX198</f>
        <v/>
      </c>
      <c r="JZ198" s="55">
        <f>SUMIFS(tblBudget[Recovered_oz],tblBudget[Month],$E198)</f>
        <v/>
      </c>
      <c r="KA198" s="55">
        <f>$JZ198*$C198/$D198</f>
        <v/>
      </c>
      <c r="KB198" s="55">
        <f>SUMIFS(tblBudget[Recovered_oz],tblBudget[Month],"&lt;"&amp;$E198)+$KA198</f>
        <v/>
      </c>
      <c r="KC198" s="55">
        <f>SUMIFS(tblBudget[Milled_t],tblBudget[Month],$E198)</f>
        <v/>
      </c>
      <c r="KD198" s="55">
        <f>$KC198*$C198/$D198</f>
        <v/>
      </c>
      <c r="KE198" s="55">
        <f>SUMIFS(tblBudget[Milled_t],tblBudget[Month],"&lt;"&amp;$E198)+$KD198</f>
        <v/>
      </c>
      <c r="KF198" s="55">
        <f>SUMIFS(tblBudget[Feed_oz],tblBudget[Month],$E198)</f>
        <v/>
      </c>
      <c r="KG198" s="55">
        <f>$KF198*$C198/$D198</f>
        <v/>
      </c>
      <c r="KH198" s="55">
        <f>SUMIFS(tblBudget[Feed_oz],tblBudget[Month],"&lt;"&amp;$E198)+$KG198</f>
        <v/>
      </c>
      <c r="KI198" s="56">
        <f>IFERROR(IF(($KC198)&gt;0,($JW198*cfg_TroyOz)/($KC198),""),"")</f>
        <v/>
      </c>
      <c r="KJ198" s="56">
        <f>IFERROR(IF(($KD198)&gt;0,($JX198*cfg_TroyOz)/($KD198),""),"")</f>
        <v/>
      </c>
      <c r="KK198" s="56">
        <f>IFERROR(IF(($KE198)&gt;0,($JY198*cfg_TroyOz)/($KE198),""),"")</f>
        <v/>
      </c>
      <c r="KL198" s="67">
        <f>IFERROR(IF(($KF198)&gt;0,($JZ198)/($KF198),""),"")</f>
        <v/>
      </c>
      <c r="KM198" s="67">
        <f>IFERROR(IF(($KG198)&gt;0,($KA198)/($KG198),""),"")</f>
        <v/>
      </c>
      <c r="KN198" s="67">
        <f>IFERROR(IF(($KH198)&gt;0,($KB198)/($KH198),""),"")</f>
        <v/>
      </c>
      <c r="KO198" s="55">
        <f>SUMIFS(tblBudget[Gold_Poured_oz],tblBudget[Month],$E198)</f>
        <v/>
      </c>
      <c r="KP198" s="55">
        <f>$KO198*$C198/$D198</f>
        <v/>
      </c>
      <c r="KQ198" s="55">
        <f>SUMIFS(tblBudget[Gold_Poured_oz],tblBudget[Month],"&lt;"&amp;$E198)+$KP198</f>
        <v/>
      </c>
      <c r="KR198" s="57">
        <f>SUMIFS(tblBudget[Hours_Worked],tblBudget[Month],$E198)</f>
        <v/>
      </c>
      <c r="KS198" s="57">
        <f>$KR198*$C198/$D198</f>
        <v/>
      </c>
      <c r="KT198" s="57">
        <f>SUMIFS(tblBudget[Hours_Worked],tblBudget[Month],"&lt;"&amp;$E198)+$KS198</f>
        <v/>
      </c>
    </row>
    <row r="199">
      <c r="A199" s="54" t="n">
        <v>46220</v>
      </c>
      <c r="B199">
        <f>MONTH($A199)</f>
        <v/>
      </c>
      <c r="C199">
        <f>DAY($A199)</f>
        <v/>
      </c>
      <c r="D199">
        <f>DAY(EOMONTH($A199,0))</f>
        <v/>
      </c>
      <c r="E199" s="54">
        <f>DATE(YEAR($A199),MONTH($A199),1)</f>
        <v/>
      </c>
      <c r="F199" s="55">
        <f>SUMIFS(tblMovement[Tonnes_t],tblMovement[Date],$A199,tblMovement[Is_Ore],1,tblMovement[Source_Type],"Pit")</f>
        <v/>
      </c>
      <c r="G199" s="55">
        <f>IF($B199=$B198,$G198,0)+$F199</f>
        <v/>
      </c>
      <c r="H199" s="55">
        <f>$H198+$F199</f>
        <v/>
      </c>
      <c r="I199" s="55">
        <f>SUMIFS(tblMovement[Ore_oz],tblMovement[Date],$A199,tblMovement[Source_Type],"Pit")</f>
        <v/>
      </c>
      <c r="J199" s="55">
        <f>IF($B199=$B198,$J198,0)+$I199</f>
        <v/>
      </c>
      <c r="K199" s="55">
        <f>$K198+$I199</f>
        <v/>
      </c>
      <c r="L199" s="55">
        <f>SUMIFS(tblMovement[Tonnes_t],tblMovement[Date],$A199,tblMovement[Is_Ore],1,tblMovement[Source_Type],"Pit",tblMovement[Grade_gpt],"&lt;&gt;")</f>
        <v/>
      </c>
      <c r="M199" s="55">
        <f>IF($B199=$B198,$M198,0)+$L199</f>
        <v/>
      </c>
      <c r="N199" s="55">
        <f>$N198+$L199</f>
        <v/>
      </c>
      <c r="O199" s="56">
        <f>IFERROR(IF(($L199)&gt;0,($I199*cfg_TroyOz)/($L199),""),"")</f>
        <v/>
      </c>
      <c r="P199" s="56">
        <f>IFERROR(IF(($M199)&gt;0,($J199*cfg_TroyOz)/($M199),""),"")</f>
        <v/>
      </c>
      <c r="Q199" s="56">
        <f>IFERROR(IF(($N199)&gt;0,($K199*cfg_TroyOz)/($N199),""),"")</f>
        <v/>
      </c>
      <c r="R199" s="55">
        <f>$F199-$L199</f>
        <v/>
      </c>
      <c r="S199" s="55">
        <f>IF($B199=$B198,$S198,0)+$R199</f>
        <v/>
      </c>
      <c r="T199" s="55">
        <f>$T198+$R199</f>
        <v/>
      </c>
      <c r="U199" s="55">
        <f>SUMIFS(tblMovement[Tonnes_t],tblMovement[Date],$A199,tblMovement[Is_Ore],0,tblMovement[Source_Type],"Pit")</f>
        <v/>
      </c>
      <c r="V199" s="55">
        <f>IF($B199=$B198,$V198,0)+$U199</f>
        <v/>
      </c>
      <c r="W199" s="55">
        <f>$W198+$U199</f>
        <v/>
      </c>
      <c r="X199" s="55">
        <f>$F199+$U199</f>
        <v/>
      </c>
      <c r="Y199" s="55">
        <f>IF($B199=$B198,$Y198,0)+$X199</f>
        <v/>
      </c>
      <c r="Z199" s="55">
        <f>$Z198+$X199</f>
        <v/>
      </c>
      <c r="AA199" s="56">
        <f>IFERROR(IF(($F199)&gt;0,($U199)/($F199),""),"")</f>
        <v/>
      </c>
      <c r="AB199" s="56">
        <f>IFERROR(IF(($G199)&gt;0,($V199)/($G199),""),"")</f>
        <v/>
      </c>
      <c r="AC199" s="56">
        <f>IFERROR(IF(($H199)&gt;0,($W199)/($H199),""),"")</f>
        <v/>
      </c>
      <c r="AD199" s="55">
        <f>SUMIFS(tblMovement[Tonnes_t],tblMovement[Date],$A199,tblMovement[Source_Type],"Stockpile")</f>
        <v/>
      </c>
      <c r="AE199" s="55">
        <f>IF($B199=$B198,$AE198,0)+$AD199</f>
        <v/>
      </c>
      <c r="AF199" s="55">
        <f>$AF198+$AD199</f>
        <v/>
      </c>
      <c r="AG199" s="55">
        <f>SUMIFS(tblMovement[Tonnes_t],tblMovement[Date],$A199)</f>
        <v/>
      </c>
      <c r="AH199" s="55">
        <f>IF($B199=$B198,$AH198,0)+$AG199</f>
        <v/>
      </c>
      <c r="AI199" s="55">
        <f>$AI198+$AG199</f>
        <v/>
      </c>
      <c r="AJ199" s="55">
        <f>$AG199-$X199-$AD199</f>
        <v/>
      </c>
      <c r="AK199" s="55">
        <f>IF($B199=$B198,$AK198,0)+$AJ199</f>
        <v/>
      </c>
      <c r="AL199" s="55">
        <f>$AL198+$AJ199</f>
        <v/>
      </c>
      <c r="AM199" s="55">
        <f>SUMIFS(tblMiningDaily[Drill_m],tblMiningDaily[Date],$A199)</f>
        <v/>
      </c>
      <c r="AN199" s="55">
        <f>IF($B199=$B198,$AN198,0)+$AM199</f>
        <v/>
      </c>
      <c r="AO199" s="55">
        <f>$AO198+$AM199</f>
        <v/>
      </c>
      <c r="AP199" s="55">
        <f>SUMIFS(tblMiningDaily[GC_Drill_m],tblMiningDaily[Date],$A199)</f>
        <v/>
      </c>
      <c r="AQ199" s="55">
        <f>IF($B199=$B198,$AQ198,0)+$AP199</f>
        <v/>
      </c>
      <c r="AR199" s="55">
        <f>$AR198+$AP199</f>
        <v/>
      </c>
      <c r="AS199" s="55">
        <f>SUMIFS(tblMiningDaily[Blast_t],tblMiningDaily[Date],$A199)</f>
        <v/>
      </c>
      <c r="AT199" s="55">
        <f>IF($B199=$B198,$AT198,0)+$AS199</f>
        <v/>
      </c>
      <c r="AU199" s="55">
        <f>$AU198+$AS199</f>
        <v/>
      </c>
      <c r="AV199" s="55">
        <f>SUMIFS(tblMiningDaily[Explosives_kg],tblMiningDaily[Date],$A199)</f>
        <v/>
      </c>
      <c r="AW199" s="55">
        <f>IF($B199=$B198,$AW198,0)+$AV199</f>
        <v/>
      </c>
      <c r="AX199" s="55">
        <f>$AX198+$AV199</f>
        <v/>
      </c>
      <c r="AY199" s="56">
        <f>IFERROR(IF(($AS199)&gt;0,($AV199)/($AS199),""),"")</f>
        <v/>
      </c>
      <c r="AZ199" s="56">
        <f>IFERROR(IF(($AT199)&gt;0,($AW199)/($AT199),""),"")</f>
        <v/>
      </c>
      <c r="BA199" s="56">
        <f>IFERROR(IF(($AU199)&gt;0,($AX199)/($AU199),""),"")</f>
        <v/>
      </c>
      <c r="BB199" s="55">
        <f>SUMIFS(tblMiningDaily[Diesel_L],tblMiningDaily[Date],$A199)</f>
        <v/>
      </c>
      <c r="BC199" s="55">
        <f>IF($B199=$B198,$BC198,0)+$BB199</f>
        <v/>
      </c>
      <c r="BD199" s="55">
        <f>$BD198+$BB199</f>
        <v/>
      </c>
      <c r="BE199" s="55">
        <f>SUMIFS(tblMiningDaily[Dewatering_m3],tblMiningDaily[Date],$A199)</f>
        <v/>
      </c>
      <c r="BF199" s="55">
        <f>IF($B199=$B198,$BF198,0)+$BE199</f>
        <v/>
      </c>
      <c r="BG199" s="55">
        <f>$BG198+$BE199</f>
        <v/>
      </c>
      <c r="BH199" s="57">
        <f>SUMIFS(tblFleet[Calendar_h],tblFleet[Date],$A199,tblFleet[Equipment_Class],"Excavator")</f>
        <v/>
      </c>
      <c r="BI199" s="57">
        <f>IF($B199=$B198,$BI198,0)+$BH199</f>
        <v/>
      </c>
      <c r="BJ199" s="57">
        <f>$BJ198+$BH199</f>
        <v/>
      </c>
      <c r="BK199" s="57">
        <f>SUMIFS(tblFleet[Available_h],tblFleet[Date],$A199,tblFleet[Equipment_Class],"Excavator")</f>
        <v/>
      </c>
      <c r="BL199" s="57">
        <f>IF($B199=$B198,$BL198,0)+$BK199</f>
        <v/>
      </c>
      <c r="BM199" s="57">
        <f>$BM198+$BK199</f>
        <v/>
      </c>
      <c r="BN199" s="57">
        <f>SUMIFS(tblFleet[Operating_h],tblFleet[Date],$A199,tblFleet[Equipment_Class],"Excavator")</f>
        <v/>
      </c>
      <c r="BO199" s="57">
        <f>IF($B199=$B198,$BO198,0)+$BN199</f>
        <v/>
      </c>
      <c r="BP199" s="57">
        <f>$BP198+$BN199</f>
        <v/>
      </c>
      <c r="BQ199" s="67">
        <f>IFERROR(IF(($BH199)&gt;0,($BK199)/($BH199),""),"")</f>
        <v/>
      </c>
      <c r="BR199" s="67">
        <f>IFERROR(IF(($BI199)&gt;0,($BL199)/($BI199),""),"")</f>
        <v/>
      </c>
      <c r="BS199" s="67">
        <f>IFERROR(IF(($BJ199)&gt;0,($BM199)/($BJ199),""),"")</f>
        <v/>
      </c>
      <c r="BT199" s="67">
        <f>IFERROR(IF(($BK199)&gt;0,($BN199)/($BK199),""),"")</f>
        <v/>
      </c>
      <c r="BU199" s="67">
        <f>IFERROR(IF(($BL199)&gt;0,($BO199)/($BL199),""),"")</f>
        <v/>
      </c>
      <c r="BV199" s="67">
        <f>IFERROR(IF(($BM199)&gt;0,($BP199)/($BM199),""),"")</f>
        <v/>
      </c>
      <c r="BW199" s="57">
        <f>SUMIFS(tblFleet[Calendar_h],tblFleet[Date],$A199,tblFleet[Equipment_Class],"Haul Truck")</f>
        <v/>
      </c>
      <c r="BX199" s="57">
        <f>IF($B199=$B198,$BX198,0)+$BW199</f>
        <v/>
      </c>
      <c r="BY199" s="57">
        <f>$BY198+$BW199</f>
        <v/>
      </c>
      <c r="BZ199" s="57">
        <f>SUMIFS(tblFleet[Available_h],tblFleet[Date],$A199,tblFleet[Equipment_Class],"Haul Truck")</f>
        <v/>
      </c>
      <c r="CA199" s="57">
        <f>IF($B199=$B198,$CA198,0)+$BZ199</f>
        <v/>
      </c>
      <c r="CB199" s="57">
        <f>$CB198+$BZ199</f>
        <v/>
      </c>
      <c r="CC199" s="57">
        <f>SUMIFS(tblFleet[Operating_h],tblFleet[Date],$A199,tblFleet[Equipment_Class],"Haul Truck")</f>
        <v/>
      </c>
      <c r="CD199" s="57">
        <f>IF($B199=$B198,$CD198,0)+$CC199</f>
        <v/>
      </c>
      <c r="CE199" s="57">
        <f>$CE198+$CC199</f>
        <v/>
      </c>
      <c r="CF199" s="67">
        <f>IFERROR(IF(($BW199)&gt;0,($BZ199)/($BW199),""),"")</f>
        <v/>
      </c>
      <c r="CG199" s="67">
        <f>IFERROR(IF(($BX199)&gt;0,($CA199)/($BX199),""),"")</f>
        <v/>
      </c>
      <c r="CH199" s="67">
        <f>IFERROR(IF(($BY199)&gt;0,($CB199)/($BY199),""),"")</f>
        <v/>
      </c>
      <c r="CI199" s="67">
        <f>IFERROR(IF(($BZ199)&gt;0,($CC199)/($BZ199),""),"")</f>
        <v/>
      </c>
      <c r="CJ199" s="67">
        <f>IFERROR(IF(($CA199)&gt;0,($CD199)/($CA199),""),"")</f>
        <v/>
      </c>
      <c r="CK199" s="67">
        <f>IFERROR(IF(($CB199)&gt;0,($CE199)/($CB199),""),"")</f>
        <v/>
      </c>
      <c r="CL199" s="55">
        <f>IFERROR(IF(($BN199)&gt;0,($X199+$AD199)/($BN199),""),"")</f>
        <v/>
      </c>
      <c r="CM199" s="55">
        <f>IFERROR(IF(($BO199)&gt;0,($Y199+$AE199)/($BO199),""),"")</f>
        <v/>
      </c>
      <c r="CN199" s="55">
        <f>IFERROR(IF(($BP199)&gt;0,($Z199+$AF199)/($BP199),""),"")</f>
        <v/>
      </c>
      <c r="CO199" s="55">
        <f>IFERROR(IF(($CC199)&gt;0,($X199+$AD199)/($CC199),""),"")</f>
        <v/>
      </c>
      <c r="CP199" s="55">
        <f>IFERROR(IF(($CD199)&gt;0,($Y199+$AE199)/($CD199),""),"")</f>
        <v/>
      </c>
      <c r="CQ199" s="55">
        <f>IFERROR(IF(($CE199)&gt;0,($Z199+$AF199)/($CE199),""),"")</f>
        <v/>
      </c>
      <c r="CR199" s="55">
        <f>SUMIFS(tblPlant[Crushed_t],tblPlant[Date],$A199)</f>
        <v/>
      </c>
      <c r="CS199" s="55">
        <f>IF($B199=$B198,$CS198,0)+$CR199</f>
        <v/>
      </c>
      <c r="CT199" s="55">
        <f>$CT198+$CR199</f>
        <v/>
      </c>
      <c r="CU199" s="55">
        <f>SUMIFS(tblPlant[Milled_t],tblPlant[Date],$A199)</f>
        <v/>
      </c>
      <c r="CV199" s="55">
        <f>IF($B199=$B198,$CV198,0)+$CU199</f>
        <v/>
      </c>
      <c r="CW199" s="55">
        <f>$CW198+$CU199</f>
        <v/>
      </c>
      <c r="CX199" s="55">
        <f>SUMIFS(tblPlant[Feed_oz],tblPlant[Date],$A199)</f>
        <v/>
      </c>
      <c r="CY199" s="55">
        <f>IF($B199=$B198,$CY198,0)+$CX199</f>
        <v/>
      </c>
      <c r="CZ199" s="55">
        <f>$CZ198+$CX199</f>
        <v/>
      </c>
      <c r="DA199" s="55">
        <f>SUMIFS(tblPlant[Tails_oz],tblPlant[Date],$A199)</f>
        <v/>
      </c>
      <c r="DB199" s="55">
        <f>IF($B199=$B198,$DB198,0)+$DA199</f>
        <v/>
      </c>
      <c r="DC199" s="55">
        <f>$DC198+$DA199</f>
        <v/>
      </c>
      <c r="DD199" s="55">
        <f>SUMIFS(tblPlant[Recovered_oz],tblPlant[Date],$A199)</f>
        <v/>
      </c>
      <c r="DE199" s="55">
        <f>IF($B199=$B198,$DE198,0)+$DD199</f>
        <v/>
      </c>
      <c r="DF199" s="55">
        <f>$DF198+$DD199</f>
        <v/>
      </c>
      <c r="DG199" s="55">
        <f>SUMIFS(tblPlant[Milled_t],tblPlant[Date],$A199,tblPlant[Head_Grade_gpt],"&lt;&gt;")</f>
        <v/>
      </c>
      <c r="DH199" s="55">
        <f>IF($B199=$B198,$DH198,0)+$DG199</f>
        <v/>
      </c>
      <c r="DI199" s="55">
        <f>$DI198+$DG199</f>
        <v/>
      </c>
      <c r="DJ199" s="55">
        <f>SUMIFS(tblPlant[Milled_t],tblPlant[Date],$A199,tblPlant[Tails_Grade_gpt],"&lt;&gt;")</f>
        <v/>
      </c>
      <c r="DK199" s="55">
        <f>IF($B199=$B198,$DK198,0)+$DJ199</f>
        <v/>
      </c>
      <c r="DL199" s="55">
        <f>$DL198+$DJ199</f>
        <v/>
      </c>
      <c r="DM199" s="55">
        <f>SUMIFS(tblPlant[Feed_oz],tblPlant[Date],$A199,tblPlant[Tails_Grade_gpt],"&lt;&gt;")</f>
        <v/>
      </c>
      <c r="DN199" s="55">
        <f>IF($B199=$B198,$DN198,0)+$DM199</f>
        <v/>
      </c>
      <c r="DO199" s="55">
        <f>$DO198+$DM199</f>
        <v/>
      </c>
      <c r="DP199" s="55">
        <f>SUMIFS(tblPlant[Milled_t],tblPlant[Date],$A199,tblPlant[Mill_Run_h],"&lt;&gt;")</f>
        <v/>
      </c>
      <c r="DQ199" s="55">
        <f>IF($B199=$B198,$DQ198,0)+$DP199</f>
        <v/>
      </c>
      <c r="DR199" s="55">
        <f>$DR198+$DP199</f>
        <v/>
      </c>
      <c r="DS199" s="56">
        <f>IFERROR(IF(($DG199)&gt;0,($CX199*cfg_TroyOz)/($DG199),""),"")</f>
        <v/>
      </c>
      <c r="DT199" s="56">
        <f>IFERROR(IF(($DH199)&gt;0,($CY199*cfg_TroyOz)/($DH199),""),"")</f>
        <v/>
      </c>
      <c r="DU199" s="56">
        <f>IFERROR(IF(($DI199)&gt;0,($CZ199*cfg_TroyOz)/($DI199),""),"")</f>
        <v/>
      </c>
      <c r="DV199" s="56">
        <f>IFERROR(IF(($DJ199)&gt;0,($DA199*cfg_TroyOz)/($DJ199),""),"")</f>
        <v/>
      </c>
      <c r="DW199" s="56">
        <f>IFERROR(IF(($DK199)&gt;0,($DB199*cfg_TroyOz)/($DK199),""),"")</f>
        <v/>
      </c>
      <c r="DX199" s="56">
        <f>IFERROR(IF(($DL199)&gt;0,($DC199*cfg_TroyOz)/($DL199),""),"")</f>
        <v/>
      </c>
      <c r="DY199" s="67">
        <f>IFERROR(IF(($DM199)&gt;0,($DD199)/($DM199),""),"")</f>
        <v/>
      </c>
      <c r="DZ199" s="67">
        <f>IFERROR(IF(($DN199)&gt;0,($DE199)/($DN199),""),"")</f>
        <v/>
      </c>
      <c r="EA199" s="67">
        <f>IFERROR(IF(($DO199)&gt;0,($DF199)/($DO199),""),"")</f>
        <v/>
      </c>
      <c r="EB199" s="55">
        <f>SUMIFS(tblPlant[Gravity_Gold_oz],tblPlant[Date],$A199)</f>
        <v/>
      </c>
      <c r="EC199" s="55">
        <f>IF($B199=$B198,$EC198,0)+$EB199</f>
        <v/>
      </c>
      <c r="ED199" s="55">
        <f>$ED198+$EB199</f>
        <v/>
      </c>
      <c r="EE199" s="67">
        <f>IFERROR(IF(($DD199)&gt;0,($EB199)/($DD199),""),"")</f>
        <v/>
      </c>
      <c r="EF199" s="67">
        <f>IFERROR(IF(($DE199)&gt;0,($EC199)/($DE199),""),"")</f>
        <v/>
      </c>
      <c r="EG199" s="67">
        <f>IFERROR(IF(($DF199)&gt;0,($ED199)/($DF199),""),"")</f>
        <v/>
      </c>
      <c r="EH199" s="55">
        <f>SUMIFS(tblPlant[Gold_Poured_oz],tblPlant[Date],$A199)</f>
        <v/>
      </c>
      <c r="EI199" s="55">
        <f>IF($B199=$B198,$EI198,0)+$EH199</f>
        <v/>
      </c>
      <c r="EJ199" s="55">
        <f>$EJ198+$EH199</f>
        <v/>
      </c>
      <c r="EK199" s="57">
        <f>SUMIFS(tblPlant[Mill_Run_h],tblPlant[Date],$A199)</f>
        <v/>
      </c>
      <c r="EL199" s="57">
        <f>IF($B199=$B198,$EL198,0)+$EK199</f>
        <v/>
      </c>
      <c r="EM199" s="57">
        <f>$EM198+$EK199</f>
        <v/>
      </c>
      <c r="EN199" s="57">
        <f>SUMIFS(tblPlant[Mill_Planned_Maint_h],tblPlant[Date],$A199)</f>
        <v/>
      </c>
      <c r="EO199" s="57">
        <f>IF($B199=$B198,$EO198,0)+$EN199</f>
        <v/>
      </c>
      <c r="EP199" s="57">
        <f>$EP198+$EN199</f>
        <v/>
      </c>
      <c r="EQ199" s="57">
        <f>SUMIFS(tblPlant[Mill_Unplanned_Down_h],tblPlant[Date],$A199)</f>
        <v/>
      </c>
      <c r="ER199" s="57">
        <f>IF($B199=$B198,$ER198,0)+$EQ199</f>
        <v/>
      </c>
      <c r="ES199" s="57">
        <f>$ES198+$EQ199</f>
        <v/>
      </c>
      <c r="ET199" s="57">
        <f>IF(COUNTIFS(tblPlant[Date],$A199,tblPlant[Mill_Run_h],"&lt;&gt;")+COUNTIFS(tblPlant[Date],$A199,tblPlant[Mill_Planned_Maint_h],"&lt;&gt;")+COUNTIFS(tblPlant[Date],$A199,tblPlant[Mill_Unplanned_Down_h],"&lt;&gt;")&gt;0,cfg_HoursPerDay,0)</f>
        <v/>
      </c>
      <c r="EU199" s="57">
        <f>IF($B199=$B198,$EU198,0)+$ET199</f>
        <v/>
      </c>
      <c r="EV199" s="57">
        <f>$EV198+$ET199</f>
        <v/>
      </c>
      <c r="EW199" s="57">
        <f>SUMIFS(tblPlant[Crusher_Run_h],tblPlant[Date],$A199)</f>
        <v/>
      </c>
      <c r="EX199" s="57">
        <f>IF($B199=$B198,$EX198,0)+$EW199</f>
        <v/>
      </c>
      <c r="EY199" s="57">
        <f>$EY198+$EW199</f>
        <v/>
      </c>
      <c r="EZ199" s="55">
        <f>IFERROR(IF(($EK199)&gt;0,($DP199)/($EK199),""),"")</f>
        <v/>
      </c>
      <c r="FA199" s="55">
        <f>IFERROR(IF(($EL199)&gt;0,($DQ199)/($EL199),""),"")</f>
        <v/>
      </c>
      <c r="FB199" s="55">
        <f>IFERROR(IF(($EM199)&gt;0,($DR199)/($EM199),""),"")</f>
        <v/>
      </c>
      <c r="FC199" s="67">
        <f>IFERROR(IF(($ET199)&gt;0,($ET199-$EN199-$EQ199)/($ET199),""),"")</f>
        <v/>
      </c>
      <c r="FD199" s="67">
        <f>IFERROR(IF(($EU199)&gt;0,($EU199-$EO199-$ER199)/($EU199),""),"")</f>
        <v/>
      </c>
      <c r="FE199" s="67">
        <f>IFERROR(IF(($EV199)&gt;0,($EV199-$EP199-$ES199)/($EV199),""),"")</f>
        <v/>
      </c>
      <c r="FF199" s="67">
        <f>IFERROR(IF(($ET199-$EN199-$EQ199)&gt;0,($EK199)/($ET199-$EN199-$EQ199),""),"")</f>
        <v/>
      </c>
      <c r="FG199" s="67">
        <f>IFERROR(IF(($EU199-$EO199-$ER199)&gt;0,($EL199)/($EU199-$EO199-$ER199),""),"")</f>
        <v/>
      </c>
      <c r="FH199" s="67">
        <f>IFERROR(IF(($EV199-$EP199-$ES199)&gt;0,($EM199)/($EV199-$EP199-$ES199),""),"")</f>
        <v/>
      </c>
      <c r="FI199" s="55">
        <f>SUMIFS(tblPlant[Cyanide_kg],tblPlant[Date],$A199)</f>
        <v/>
      </c>
      <c r="FJ199" s="55">
        <f>IF($B199=$B198,$FJ198,0)+$FI199</f>
        <v/>
      </c>
      <c r="FK199" s="55">
        <f>$FK198+$FI199</f>
        <v/>
      </c>
      <c r="FL199" s="55">
        <f>SUMIFS(tblPlant[Lime_kg],tblPlant[Date],$A199)</f>
        <v/>
      </c>
      <c r="FM199" s="55">
        <f>IF($B199=$B198,$FM198,0)+$FL199</f>
        <v/>
      </c>
      <c r="FN199" s="55">
        <f>$FN198+$FL199</f>
        <v/>
      </c>
      <c r="FO199" s="55">
        <f>SUMIFS(tblPlant[Grinding_Media_kg],tblPlant[Date],$A199)</f>
        <v/>
      </c>
      <c r="FP199" s="55">
        <f>IF($B199=$B198,$FP198,0)+$FO199</f>
        <v/>
      </c>
      <c r="FQ199" s="55">
        <f>$FQ198+$FO199</f>
        <v/>
      </c>
      <c r="FR199" s="55">
        <f>SUMIFS(tblPlant[Power_kWh],tblPlant[Date],$A199)</f>
        <v/>
      </c>
      <c r="FS199" s="55">
        <f>IF($B199=$B198,$FS198,0)+$FR199</f>
        <v/>
      </c>
      <c r="FT199" s="55">
        <f>$FT198+$FR199</f>
        <v/>
      </c>
      <c r="FU199" s="55">
        <f>SUMIFS(tblPlant[Raw_Water_m3],tblPlant[Date],$A199)</f>
        <v/>
      </c>
      <c r="FV199" s="55">
        <f>IF($B199=$B198,$FV198,0)+$FU199</f>
        <v/>
      </c>
      <c r="FW199" s="55">
        <f>$FW198+$FU199</f>
        <v/>
      </c>
      <c r="FX199" s="56">
        <f>IFERROR(IF(($CU199)&gt;0,($FI199)/($CU199),""),"")</f>
        <v/>
      </c>
      <c r="FY199" s="56">
        <f>IFERROR(IF(($CV199)&gt;0,($FJ199)/($CV199),""),"")</f>
        <v/>
      </c>
      <c r="FZ199" s="56">
        <f>IFERROR(IF(($CW199)&gt;0,($FK199)/($CW199),""),"")</f>
        <v/>
      </c>
      <c r="GA199" s="56">
        <f>IFERROR(IF(($CU199)&gt;0,($FL199)/($CU199),""),"")</f>
        <v/>
      </c>
      <c r="GB199" s="56">
        <f>IFERROR(IF(($CV199)&gt;0,($FM199)/($CV199),""),"")</f>
        <v/>
      </c>
      <c r="GC199" s="56">
        <f>IFERROR(IF(($CW199)&gt;0,($FN199)/($CW199),""),"")</f>
        <v/>
      </c>
      <c r="GD199" s="56">
        <f>IFERROR(IF(($CU199)&gt;0,($FO199)/($CU199),""),"")</f>
        <v/>
      </c>
      <c r="GE199" s="56">
        <f>IFERROR(IF(($CV199)&gt;0,($FP199)/($CV199),""),"")</f>
        <v/>
      </c>
      <c r="GF199" s="56">
        <f>IFERROR(IF(($CW199)&gt;0,($FQ199)/($CW199),""),"")</f>
        <v/>
      </c>
      <c r="GG199" s="79">
        <f>IFERROR(IF(($CU199)&gt;0,($FR199)/($CU199),""),"")</f>
        <v/>
      </c>
      <c r="GH199" s="79">
        <f>IFERROR(IF(($CV199)&gt;0,($FS199)/($CV199),""),"")</f>
        <v/>
      </c>
      <c r="GI199" s="79">
        <f>IFERROR(IF(($CW199)&gt;0,($FT199)/($CW199),""),"")</f>
        <v/>
      </c>
      <c r="GJ199" s="56">
        <f>IFERROR(IF(($CU199)&gt;0,($FU199)/($CU199),""),"")</f>
        <v/>
      </c>
      <c r="GK199" s="56">
        <f>IFERROR(IF(($CV199)&gt;0,($FV199)/($CV199),""),"")</f>
        <v/>
      </c>
      <c r="GL199" s="56">
        <f>IFERROR(IF(($CW199)&gt;0,($FW199)/($CW199),""),"")</f>
        <v/>
      </c>
      <c r="GM199" s="55">
        <f>IF(SUMIFS(tblPlant[GIC_oz],tblPlant[Date],$A199)&gt;0,SUMIFS(tblPlant[GIC_oz],tblPlant[Date],$A199),"")</f>
        <v/>
      </c>
      <c r="GN199" s="55">
        <f>SUMIFS(tblGold[Gold_oz],tblGold[Date],$A199,tblGold[Type],"Shipment")</f>
        <v/>
      </c>
      <c r="GO199" s="55">
        <f>IF($B199=$B198,$GO198,0)+$GN199</f>
        <v/>
      </c>
      <c r="GP199" s="55">
        <f>$GP198+$GN199</f>
        <v/>
      </c>
      <c r="GQ199" s="55">
        <f>SUMIFS(tblGold[Gold_oz],tblGold[Date],$A199,tblGold[Type],"Sale")</f>
        <v/>
      </c>
      <c r="GR199" s="55">
        <f>IF($B199=$B198,$GR198,0)+$GQ199</f>
        <v/>
      </c>
      <c r="GS199" s="55">
        <f>$GS198+$GQ199</f>
        <v/>
      </c>
      <c r="GT199" s="55">
        <f>SUMIFS(tblGold[Dore_kg],tblGold[Date],$A199,tblGold[Type],"Shipment")</f>
        <v/>
      </c>
      <c r="GU199" s="55">
        <f>IF($B199=$B198,$GU198,0)+$GT199</f>
        <v/>
      </c>
      <c r="GV199" s="55">
        <f>$GV198+$GT199</f>
        <v/>
      </c>
      <c r="GW199" s="57">
        <f>SUMIFS(tblSafety[Hours_Total],tblSafety[Date],$A199)</f>
        <v/>
      </c>
      <c r="GX199" s="57">
        <f>IF($B199=$B198,$GX198,0)+$GW199</f>
        <v/>
      </c>
      <c r="GY199" s="57">
        <f>$GY198+$GW199</f>
        <v/>
      </c>
      <c r="GZ199" s="62">
        <f>SUMIFS(tblSafety[Fatality],tblSafety[Date],$A199)</f>
        <v/>
      </c>
      <c r="HA199" s="62">
        <f>IF($B199=$B198,$HA198,0)+$GZ199</f>
        <v/>
      </c>
      <c r="HB199" s="62">
        <f>$HB198+$GZ199</f>
        <v/>
      </c>
      <c r="HC199" s="62">
        <f>SUMIFS(tblSafety[LTI],tblSafety[Date],$A199)</f>
        <v/>
      </c>
      <c r="HD199" s="62">
        <f>IF($B199=$B198,$HD198,0)+$HC199</f>
        <v/>
      </c>
      <c r="HE199" s="62">
        <f>$HE198+$HC199</f>
        <v/>
      </c>
      <c r="HF199" s="62">
        <f>SUMIFS(tblSafety[RWI],tblSafety[Date],$A199)</f>
        <v/>
      </c>
      <c r="HG199" s="62">
        <f>IF($B199=$B198,$HG198,0)+$HF199</f>
        <v/>
      </c>
      <c r="HH199" s="62">
        <f>$HH198+$HF199</f>
        <v/>
      </c>
      <c r="HI199" s="62">
        <f>SUMIFS(tblSafety[MTI],tblSafety[Date],$A199)</f>
        <v/>
      </c>
      <c r="HJ199" s="62">
        <f>IF($B199=$B198,$HJ198,0)+$HI199</f>
        <v/>
      </c>
      <c r="HK199" s="62">
        <f>$HK198+$HI199</f>
        <v/>
      </c>
      <c r="HL199" s="62">
        <f>SUMIFS(tblSafety[FAI],tblSafety[Date],$A199)</f>
        <v/>
      </c>
      <c r="HM199" s="62">
        <f>IF($B199=$B198,$HM198,0)+$HL199</f>
        <v/>
      </c>
      <c r="HN199" s="62">
        <f>$HN198+$HL199</f>
        <v/>
      </c>
      <c r="HO199" s="62">
        <f>SUMIFS(tblSafety[Recordables],tblSafety[Date],$A199)</f>
        <v/>
      </c>
      <c r="HP199" s="62">
        <f>IF($B199=$B198,$HP198,0)+$HO199</f>
        <v/>
      </c>
      <c r="HQ199" s="62">
        <f>$HQ198+$HO199</f>
        <v/>
      </c>
      <c r="HR199" s="62">
        <f>SUMIFS(tblSafety[Near_Miss],tblSafety[Date],$A199)</f>
        <v/>
      </c>
      <c r="HS199" s="62">
        <f>IF($B199=$B198,$HS198,0)+$HR199</f>
        <v/>
      </c>
      <c r="HT199" s="62">
        <f>$HT198+$HR199</f>
        <v/>
      </c>
      <c r="HU199" s="62">
        <f>SUMIFS(tblSafety[Hazard_Reports],tblSafety[Date],$A199)</f>
        <v/>
      </c>
      <c r="HV199" s="62">
        <f>IF($B199=$B198,$HV198,0)+$HU199</f>
        <v/>
      </c>
      <c r="HW199" s="62">
        <f>$HW198+$HU199</f>
        <v/>
      </c>
      <c r="HX199" s="62">
        <f>SUMIFS(tblSafety[HPI],tblSafety[Date],$A199)</f>
        <v/>
      </c>
      <c r="HY199" s="62">
        <f>IF($B199=$B198,$HY198,0)+$HX199</f>
        <v/>
      </c>
      <c r="HZ199" s="62">
        <f>$HZ198+$HX199</f>
        <v/>
      </c>
      <c r="IA199" s="62">
        <f>SUMIFS(tblSafety[Env_Incidents],tblSafety[Date],$A199)</f>
        <v/>
      </c>
      <c r="IB199" s="62">
        <f>IF($B199=$B198,$IB198,0)+$IA199</f>
        <v/>
      </c>
      <c r="IC199" s="62">
        <f>$IC198+$IA199</f>
        <v/>
      </c>
      <c r="ID199" s="62">
        <f>SUMIFS(tblSafety[Community_Incidents],tblSafety[Date],$A199)</f>
        <v/>
      </c>
      <c r="IE199" s="62">
        <f>IF($B199=$B198,$IE198,0)+$ID199</f>
        <v/>
      </c>
      <c r="IF199" s="62">
        <f>$IF198+$ID199</f>
        <v/>
      </c>
      <c r="IG199" s="62">
        <f>SUMIFS(tblSafety[Vehicle_Incidents],tblSafety[Date],$A199)</f>
        <v/>
      </c>
      <c r="IH199" s="62">
        <f>IF($B199=$B198,$IH198,0)+$IG199</f>
        <v/>
      </c>
      <c r="II199" s="62">
        <f>$II198+$IG199</f>
        <v/>
      </c>
      <c r="IJ199" s="62">
        <f>SUMIFS(tblSafety[Toolbox_Talks],tblSafety[Date],$A199)</f>
        <v/>
      </c>
      <c r="IK199" s="62">
        <f>IF($B199=$B198,$IK198,0)+$IJ199</f>
        <v/>
      </c>
      <c r="IL199" s="62">
        <f>$IL198+$IJ199</f>
        <v/>
      </c>
      <c r="IM199" s="62">
        <f>SUMIFS(tblSafety[Inspections],tblSafety[Date],$A199)</f>
        <v/>
      </c>
      <c r="IN199" s="62">
        <f>IF($B199=$B198,$IN198,0)+$IM199</f>
        <v/>
      </c>
      <c r="IO199" s="62">
        <f>$IO198+$IM199</f>
        <v/>
      </c>
      <c r="IP199" s="56">
        <f>IFERROR((SUMIFS(tblSafety[Recordables],tblSafety[Date],"&gt;="&amp;EDATE($E199,-12),tblSafety[Date],"&lt;="&amp;$A199)+SUMIFS(tblSafetyHistory[Recordables],tblSafetyHistory[Month],"&gt;="&amp;EDATE($E199,-12),tblSafetyHistory[Month],"&lt;"&amp;$E199,tblSafetyHistory[Use],1))/(SUMIFS(tblSafety[Hours_Total],tblSafety[Date],"&gt;="&amp;EDATE($E199,-12),tblSafety[Date],"&lt;="&amp;$A199)+SUMIFS(tblSafetyHistory[Hours_Total],tblSafetyHistory[Month],"&gt;="&amp;EDATE($E199,-12),tblSafetyHistory[Month],"&lt;"&amp;$E199,tblSafetyHistory[Use],1))*cfg_RateBasisHours,"")</f>
        <v/>
      </c>
      <c r="IQ199" s="56">
        <f>IFERROR((SUMIFS(tblSafety[LTI],tblSafety[Date],"&gt;="&amp;EDATE($E199,-12),tblSafety[Date],"&lt;="&amp;$A199)+SUMIFS(tblSafetyHistory[LTI],tblSafetyHistory[Month],"&gt;="&amp;EDATE($E199,-12),tblSafetyHistory[Month],"&lt;"&amp;$E199,tblSafetyHistory[Use],1))/(SUMIFS(tblSafety[Hours_Total],tblSafety[Date],"&gt;="&amp;EDATE($E199,-12),tblSafety[Date],"&lt;="&amp;$A199)+SUMIFS(tblSafetyHistory[Hours_Total],tblSafetyHistory[Month],"&gt;="&amp;EDATE($E199,-12),tblSafetyHistory[Month],"&lt;"&amp;$E199,tblSafetyHistory[Use],1))*cfg_RateBasisHours,"")</f>
        <v/>
      </c>
      <c r="IR199" s="62">
        <f>IF(MAX(N(cfg_PriorLTIDate),_xlfn.MAXIFS(tblSafety[Date],tblSafety[LTI],"&gt;0",tblSafety[Date],"&lt;="&amp;$A199))=0,"",$A199-MAX(N(cfg_PriorLTIDate),_xlfn.MAXIFS(tblSafety[Date],tblSafety[LTI],"&gt;0",tblSafety[Date],"&lt;="&amp;$A199)))</f>
        <v/>
      </c>
      <c r="IS199" s="55">
        <f>SUMIFS(tblBudget[Ore_Mined_t],tblBudget[Month],$E199)</f>
        <v/>
      </c>
      <c r="IT199" s="55">
        <f>$IS199*$C199/$D199</f>
        <v/>
      </c>
      <c r="IU199" s="55">
        <f>SUMIFS(tblBudget[Ore_Mined_t],tblBudget[Month],"&lt;"&amp;$E199)+$IT199</f>
        <v/>
      </c>
      <c r="IV199" s="55">
        <f>SUMIFS(tblBudget[Ore_oz],tblBudget[Month],$E199)</f>
        <v/>
      </c>
      <c r="IW199" s="55">
        <f>$IV199*$C199/$D199</f>
        <v/>
      </c>
      <c r="IX199" s="55">
        <f>SUMIFS(tblBudget[Ore_oz],tblBudget[Month],"&lt;"&amp;$E199)+$IW199</f>
        <v/>
      </c>
      <c r="IY199" s="55">
        <f>SUMIFS(tblBudget[Ore_Mined_t],tblBudget[Month],$E199)</f>
        <v/>
      </c>
      <c r="IZ199" s="55">
        <f>$IY199*$C199/$D199</f>
        <v/>
      </c>
      <c r="JA199" s="55">
        <f>SUMIFS(tblBudget[Ore_Mined_t],tblBudget[Month],"&lt;"&amp;$E199)+$IZ199</f>
        <v/>
      </c>
      <c r="JB199" s="56">
        <f>IFERROR(IF(($IY199)&gt;0,($IV199*cfg_TroyOz)/($IY199),""),"")</f>
        <v/>
      </c>
      <c r="JC199" s="56">
        <f>IFERROR(IF(($IZ199)&gt;0,($IW199*cfg_TroyOz)/($IZ199),""),"")</f>
        <v/>
      </c>
      <c r="JD199" s="56">
        <f>IFERROR(IF(($JA199)&gt;0,($IX199*cfg_TroyOz)/($JA199),""),"")</f>
        <v/>
      </c>
      <c r="JE199" s="55">
        <f>SUMIFS(tblBudget[Waste_t],tblBudget[Month],$E199)</f>
        <v/>
      </c>
      <c r="JF199" s="55">
        <f>$JE199*$C199/$D199</f>
        <v/>
      </c>
      <c r="JG199" s="55">
        <f>SUMIFS(tblBudget[Waste_t],tblBudget[Month],"&lt;"&amp;$E199)+$JF199</f>
        <v/>
      </c>
      <c r="JH199" s="55">
        <f>SUMIFS(tblBudget[TMM_t],tblBudget[Month],$E199)</f>
        <v/>
      </c>
      <c r="JI199" s="55">
        <f>$JH199*$C199/$D199</f>
        <v/>
      </c>
      <c r="JJ199" s="55">
        <f>SUMIFS(tblBudget[TMM_t],tblBudget[Month],"&lt;"&amp;$E199)+$JI199</f>
        <v/>
      </c>
      <c r="JK199" s="56">
        <f>IFERROR(IF(($IS199)&gt;0,($JE199)/($IS199),""),"")</f>
        <v/>
      </c>
      <c r="JL199" s="56">
        <f>IFERROR(IF(($IT199)&gt;0,($JF199)/($IT199),""),"")</f>
        <v/>
      </c>
      <c r="JM199" s="56">
        <f>IFERROR(IF(($IU199)&gt;0,($JG199)/($IU199),""),"")</f>
        <v/>
      </c>
      <c r="JN199" s="55">
        <f>SUMIFS(tblBudget[Drill_m],tblBudget[Month],$E199)</f>
        <v/>
      </c>
      <c r="JO199" s="55">
        <f>$JN199*$C199/$D199</f>
        <v/>
      </c>
      <c r="JP199" s="55">
        <f>SUMIFS(tblBudget[Drill_m],tblBudget[Month],"&lt;"&amp;$E199)+$JO199</f>
        <v/>
      </c>
      <c r="JQ199" s="55">
        <f>SUMIFS(tblBudget[Diesel_L],tblBudget[Month],$E199)</f>
        <v/>
      </c>
      <c r="JR199" s="55">
        <f>$JQ199*$C199/$D199</f>
        <v/>
      </c>
      <c r="JS199" s="55">
        <f>SUMIFS(tblBudget[Diesel_L],tblBudget[Month],"&lt;"&amp;$E199)+$JR199</f>
        <v/>
      </c>
      <c r="JT199" s="55">
        <f>SUMIFS(tblBudget[Milled_t],tblBudget[Month],$E199)</f>
        <v/>
      </c>
      <c r="JU199" s="55">
        <f>$JT199*$C199/$D199</f>
        <v/>
      </c>
      <c r="JV199" s="55">
        <f>SUMIFS(tblBudget[Milled_t],tblBudget[Month],"&lt;"&amp;$E199)+$JU199</f>
        <v/>
      </c>
      <c r="JW199" s="55">
        <f>SUMIFS(tblBudget[Feed_oz],tblBudget[Month],$E199)</f>
        <v/>
      </c>
      <c r="JX199" s="55">
        <f>$JW199*$C199/$D199</f>
        <v/>
      </c>
      <c r="JY199" s="55">
        <f>SUMIFS(tblBudget[Feed_oz],tblBudget[Month],"&lt;"&amp;$E199)+$JX199</f>
        <v/>
      </c>
      <c r="JZ199" s="55">
        <f>SUMIFS(tblBudget[Recovered_oz],tblBudget[Month],$E199)</f>
        <v/>
      </c>
      <c r="KA199" s="55">
        <f>$JZ199*$C199/$D199</f>
        <v/>
      </c>
      <c r="KB199" s="55">
        <f>SUMIFS(tblBudget[Recovered_oz],tblBudget[Month],"&lt;"&amp;$E199)+$KA199</f>
        <v/>
      </c>
      <c r="KC199" s="55">
        <f>SUMIFS(tblBudget[Milled_t],tblBudget[Month],$E199)</f>
        <v/>
      </c>
      <c r="KD199" s="55">
        <f>$KC199*$C199/$D199</f>
        <v/>
      </c>
      <c r="KE199" s="55">
        <f>SUMIFS(tblBudget[Milled_t],tblBudget[Month],"&lt;"&amp;$E199)+$KD199</f>
        <v/>
      </c>
      <c r="KF199" s="55">
        <f>SUMIFS(tblBudget[Feed_oz],tblBudget[Month],$E199)</f>
        <v/>
      </c>
      <c r="KG199" s="55">
        <f>$KF199*$C199/$D199</f>
        <v/>
      </c>
      <c r="KH199" s="55">
        <f>SUMIFS(tblBudget[Feed_oz],tblBudget[Month],"&lt;"&amp;$E199)+$KG199</f>
        <v/>
      </c>
      <c r="KI199" s="56">
        <f>IFERROR(IF(($KC199)&gt;0,($JW199*cfg_TroyOz)/($KC199),""),"")</f>
        <v/>
      </c>
      <c r="KJ199" s="56">
        <f>IFERROR(IF(($KD199)&gt;0,($JX199*cfg_TroyOz)/($KD199),""),"")</f>
        <v/>
      </c>
      <c r="KK199" s="56">
        <f>IFERROR(IF(($KE199)&gt;0,($JY199*cfg_TroyOz)/($KE199),""),"")</f>
        <v/>
      </c>
      <c r="KL199" s="67">
        <f>IFERROR(IF(($KF199)&gt;0,($JZ199)/($KF199),""),"")</f>
        <v/>
      </c>
      <c r="KM199" s="67">
        <f>IFERROR(IF(($KG199)&gt;0,($KA199)/($KG199),""),"")</f>
        <v/>
      </c>
      <c r="KN199" s="67">
        <f>IFERROR(IF(($KH199)&gt;0,($KB199)/($KH199),""),"")</f>
        <v/>
      </c>
      <c r="KO199" s="55">
        <f>SUMIFS(tblBudget[Gold_Poured_oz],tblBudget[Month],$E199)</f>
        <v/>
      </c>
      <c r="KP199" s="55">
        <f>$KO199*$C199/$D199</f>
        <v/>
      </c>
      <c r="KQ199" s="55">
        <f>SUMIFS(tblBudget[Gold_Poured_oz],tblBudget[Month],"&lt;"&amp;$E199)+$KP199</f>
        <v/>
      </c>
      <c r="KR199" s="57">
        <f>SUMIFS(tblBudget[Hours_Worked],tblBudget[Month],$E199)</f>
        <v/>
      </c>
      <c r="KS199" s="57">
        <f>$KR199*$C199/$D199</f>
        <v/>
      </c>
      <c r="KT199" s="57">
        <f>SUMIFS(tblBudget[Hours_Worked],tblBudget[Month],"&lt;"&amp;$E199)+$KS199</f>
        <v/>
      </c>
    </row>
    <row r="200">
      <c r="A200" s="54" t="n">
        <v>46221</v>
      </c>
      <c r="B200">
        <f>MONTH($A200)</f>
        <v/>
      </c>
      <c r="C200">
        <f>DAY($A200)</f>
        <v/>
      </c>
      <c r="D200">
        <f>DAY(EOMONTH($A200,0))</f>
        <v/>
      </c>
      <c r="E200" s="54">
        <f>DATE(YEAR($A200),MONTH($A200),1)</f>
        <v/>
      </c>
      <c r="F200" s="55">
        <f>SUMIFS(tblMovement[Tonnes_t],tblMovement[Date],$A200,tblMovement[Is_Ore],1,tblMovement[Source_Type],"Pit")</f>
        <v/>
      </c>
      <c r="G200" s="55">
        <f>IF($B200=$B199,$G199,0)+$F200</f>
        <v/>
      </c>
      <c r="H200" s="55">
        <f>$H199+$F200</f>
        <v/>
      </c>
      <c r="I200" s="55">
        <f>SUMIFS(tblMovement[Ore_oz],tblMovement[Date],$A200,tblMovement[Source_Type],"Pit")</f>
        <v/>
      </c>
      <c r="J200" s="55">
        <f>IF($B200=$B199,$J199,0)+$I200</f>
        <v/>
      </c>
      <c r="K200" s="55">
        <f>$K199+$I200</f>
        <v/>
      </c>
      <c r="L200" s="55">
        <f>SUMIFS(tblMovement[Tonnes_t],tblMovement[Date],$A200,tblMovement[Is_Ore],1,tblMovement[Source_Type],"Pit",tblMovement[Grade_gpt],"&lt;&gt;")</f>
        <v/>
      </c>
      <c r="M200" s="55">
        <f>IF($B200=$B199,$M199,0)+$L200</f>
        <v/>
      </c>
      <c r="N200" s="55">
        <f>$N199+$L200</f>
        <v/>
      </c>
      <c r="O200" s="56">
        <f>IFERROR(IF(($L200)&gt;0,($I200*cfg_TroyOz)/($L200),""),"")</f>
        <v/>
      </c>
      <c r="P200" s="56">
        <f>IFERROR(IF(($M200)&gt;0,($J200*cfg_TroyOz)/($M200),""),"")</f>
        <v/>
      </c>
      <c r="Q200" s="56">
        <f>IFERROR(IF(($N200)&gt;0,($K200*cfg_TroyOz)/($N200),""),"")</f>
        <v/>
      </c>
      <c r="R200" s="55">
        <f>$F200-$L200</f>
        <v/>
      </c>
      <c r="S200" s="55">
        <f>IF($B200=$B199,$S199,0)+$R200</f>
        <v/>
      </c>
      <c r="T200" s="55">
        <f>$T199+$R200</f>
        <v/>
      </c>
      <c r="U200" s="55">
        <f>SUMIFS(tblMovement[Tonnes_t],tblMovement[Date],$A200,tblMovement[Is_Ore],0,tblMovement[Source_Type],"Pit")</f>
        <v/>
      </c>
      <c r="V200" s="55">
        <f>IF($B200=$B199,$V199,0)+$U200</f>
        <v/>
      </c>
      <c r="W200" s="55">
        <f>$W199+$U200</f>
        <v/>
      </c>
      <c r="X200" s="55">
        <f>$F200+$U200</f>
        <v/>
      </c>
      <c r="Y200" s="55">
        <f>IF($B200=$B199,$Y199,0)+$X200</f>
        <v/>
      </c>
      <c r="Z200" s="55">
        <f>$Z199+$X200</f>
        <v/>
      </c>
      <c r="AA200" s="56">
        <f>IFERROR(IF(($F200)&gt;0,($U200)/($F200),""),"")</f>
        <v/>
      </c>
      <c r="AB200" s="56">
        <f>IFERROR(IF(($G200)&gt;0,($V200)/($G200),""),"")</f>
        <v/>
      </c>
      <c r="AC200" s="56">
        <f>IFERROR(IF(($H200)&gt;0,($W200)/($H200),""),"")</f>
        <v/>
      </c>
      <c r="AD200" s="55">
        <f>SUMIFS(tblMovement[Tonnes_t],tblMovement[Date],$A200,tblMovement[Source_Type],"Stockpile")</f>
        <v/>
      </c>
      <c r="AE200" s="55">
        <f>IF($B200=$B199,$AE199,0)+$AD200</f>
        <v/>
      </c>
      <c r="AF200" s="55">
        <f>$AF199+$AD200</f>
        <v/>
      </c>
      <c r="AG200" s="55">
        <f>SUMIFS(tblMovement[Tonnes_t],tblMovement[Date],$A200)</f>
        <v/>
      </c>
      <c r="AH200" s="55">
        <f>IF($B200=$B199,$AH199,0)+$AG200</f>
        <v/>
      </c>
      <c r="AI200" s="55">
        <f>$AI199+$AG200</f>
        <v/>
      </c>
      <c r="AJ200" s="55">
        <f>$AG200-$X200-$AD200</f>
        <v/>
      </c>
      <c r="AK200" s="55">
        <f>IF($B200=$B199,$AK199,0)+$AJ200</f>
        <v/>
      </c>
      <c r="AL200" s="55">
        <f>$AL199+$AJ200</f>
        <v/>
      </c>
      <c r="AM200" s="55">
        <f>SUMIFS(tblMiningDaily[Drill_m],tblMiningDaily[Date],$A200)</f>
        <v/>
      </c>
      <c r="AN200" s="55">
        <f>IF($B200=$B199,$AN199,0)+$AM200</f>
        <v/>
      </c>
      <c r="AO200" s="55">
        <f>$AO199+$AM200</f>
        <v/>
      </c>
      <c r="AP200" s="55">
        <f>SUMIFS(tblMiningDaily[GC_Drill_m],tblMiningDaily[Date],$A200)</f>
        <v/>
      </c>
      <c r="AQ200" s="55">
        <f>IF($B200=$B199,$AQ199,0)+$AP200</f>
        <v/>
      </c>
      <c r="AR200" s="55">
        <f>$AR199+$AP200</f>
        <v/>
      </c>
      <c r="AS200" s="55">
        <f>SUMIFS(tblMiningDaily[Blast_t],tblMiningDaily[Date],$A200)</f>
        <v/>
      </c>
      <c r="AT200" s="55">
        <f>IF($B200=$B199,$AT199,0)+$AS200</f>
        <v/>
      </c>
      <c r="AU200" s="55">
        <f>$AU199+$AS200</f>
        <v/>
      </c>
      <c r="AV200" s="55">
        <f>SUMIFS(tblMiningDaily[Explosives_kg],tblMiningDaily[Date],$A200)</f>
        <v/>
      </c>
      <c r="AW200" s="55">
        <f>IF($B200=$B199,$AW199,0)+$AV200</f>
        <v/>
      </c>
      <c r="AX200" s="55">
        <f>$AX199+$AV200</f>
        <v/>
      </c>
      <c r="AY200" s="56">
        <f>IFERROR(IF(($AS200)&gt;0,($AV200)/($AS200),""),"")</f>
        <v/>
      </c>
      <c r="AZ200" s="56">
        <f>IFERROR(IF(($AT200)&gt;0,($AW200)/($AT200),""),"")</f>
        <v/>
      </c>
      <c r="BA200" s="56">
        <f>IFERROR(IF(($AU200)&gt;0,($AX200)/($AU200),""),"")</f>
        <v/>
      </c>
      <c r="BB200" s="55">
        <f>SUMIFS(tblMiningDaily[Diesel_L],tblMiningDaily[Date],$A200)</f>
        <v/>
      </c>
      <c r="BC200" s="55">
        <f>IF($B200=$B199,$BC199,0)+$BB200</f>
        <v/>
      </c>
      <c r="BD200" s="55">
        <f>$BD199+$BB200</f>
        <v/>
      </c>
      <c r="BE200" s="55">
        <f>SUMIFS(tblMiningDaily[Dewatering_m3],tblMiningDaily[Date],$A200)</f>
        <v/>
      </c>
      <c r="BF200" s="55">
        <f>IF($B200=$B199,$BF199,0)+$BE200</f>
        <v/>
      </c>
      <c r="BG200" s="55">
        <f>$BG199+$BE200</f>
        <v/>
      </c>
      <c r="BH200" s="57">
        <f>SUMIFS(tblFleet[Calendar_h],tblFleet[Date],$A200,tblFleet[Equipment_Class],"Excavator")</f>
        <v/>
      </c>
      <c r="BI200" s="57">
        <f>IF($B200=$B199,$BI199,0)+$BH200</f>
        <v/>
      </c>
      <c r="BJ200" s="57">
        <f>$BJ199+$BH200</f>
        <v/>
      </c>
      <c r="BK200" s="57">
        <f>SUMIFS(tblFleet[Available_h],tblFleet[Date],$A200,tblFleet[Equipment_Class],"Excavator")</f>
        <v/>
      </c>
      <c r="BL200" s="57">
        <f>IF($B200=$B199,$BL199,0)+$BK200</f>
        <v/>
      </c>
      <c r="BM200" s="57">
        <f>$BM199+$BK200</f>
        <v/>
      </c>
      <c r="BN200" s="57">
        <f>SUMIFS(tblFleet[Operating_h],tblFleet[Date],$A200,tblFleet[Equipment_Class],"Excavator")</f>
        <v/>
      </c>
      <c r="BO200" s="57">
        <f>IF($B200=$B199,$BO199,0)+$BN200</f>
        <v/>
      </c>
      <c r="BP200" s="57">
        <f>$BP199+$BN200</f>
        <v/>
      </c>
      <c r="BQ200" s="67">
        <f>IFERROR(IF(($BH200)&gt;0,($BK200)/($BH200),""),"")</f>
        <v/>
      </c>
      <c r="BR200" s="67">
        <f>IFERROR(IF(($BI200)&gt;0,($BL200)/($BI200),""),"")</f>
        <v/>
      </c>
      <c r="BS200" s="67">
        <f>IFERROR(IF(($BJ200)&gt;0,($BM200)/($BJ200),""),"")</f>
        <v/>
      </c>
      <c r="BT200" s="67">
        <f>IFERROR(IF(($BK200)&gt;0,($BN200)/($BK200),""),"")</f>
        <v/>
      </c>
      <c r="BU200" s="67">
        <f>IFERROR(IF(($BL200)&gt;0,($BO200)/($BL200),""),"")</f>
        <v/>
      </c>
      <c r="BV200" s="67">
        <f>IFERROR(IF(($BM200)&gt;0,($BP200)/($BM200),""),"")</f>
        <v/>
      </c>
      <c r="BW200" s="57">
        <f>SUMIFS(tblFleet[Calendar_h],tblFleet[Date],$A200,tblFleet[Equipment_Class],"Haul Truck")</f>
        <v/>
      </c>
      <c r="BX200" s="57">
        <f>IF($B200=$B199,$BX199,0)+$BW200</f>
        <v/>
      </c>
      <c r="BY200" s="57">
        <f>$BY199+$BW200</f>
        <v/>
      </c>
      <c r="BZ200" s="57">
        <f>SUMIFS(tblFleet[Available_h],tblFleet[Date],$A200,tblFleet[Equipment_Class],"Haul Truck")</f>
        <v/>
      </c>
      <c r="CA200" s="57">
        <f>IF($B200=$B199,$CA199,0)+$BZ200</f>
        <v/>
      </c>
      <c r="CB200" s="57">
        <f>$CB199+$BZ200</f>
        <v/>
      </c>
      <c r="CC200" s="57">
        <f>SUMIFS(tblFleet[Operating_h],tblFleet[Date],$A200,tblFleet[Equipment_Class],"Haul Truck")</f>
        <v/>
      </c>
      <c r="CD200" s="57">
        <f>IF($B200=$B199,$CD199,0)+$CC200</f>
        <v/>
      </c>
      <c r="CE200" s="57">
        <f>$CE199+$CC200</f>
        <v/>
      </c>
      <c r="CF200" s="67">
        <f>IFERROR(IF(($BW200)&gt;0,($BZ200)/($BW200),""),"")</f>
        <v/>
      </c>
      <c r="CG200" s="67">
        <f>IFERROR(IF(($BX200)&gt;0,($CA200)/($BX200),""),"")</f>
        <v/>
      </c>
      <c r="CH200" s="67">
        <f>IFERROR(IF(($BY200)&gt;0,($CB200)/($BY200),""),"")</f>
        <v/>
      </c>
      <c r="CI200" s="67">
        <f>IFERROR(IF(($BZ200)&gt;0,($CC200)/($BZ200),""),"")</f>
        <v/>
      </c>
      <c r="CJ200" s="67">
        <f>IFERROR(IF(($CA200)&gt;0,($CD200)/($CA200),""),"")</f>
        <v/>
      </c>
      <c r="CK200" s="67">
        <f>IFERROR(IF(($CB200)&gt;0,($CE200)/($CB200),""),"")</f>
        <v/>
      </c>
      <c r="CL200" s="55">
        <f>IFERROR(IF(($BN200)&gt;0,($X200+$AD200)/($BN200),""),"")</f>
        <v/>
      </c>
      <c r="CM200" s="55">
        <f>IFERROR(IF(($BO200)&gt;0,($Y200+$AE200)/($BO200),""),"")</f>
        <v/>
      </c>
      <c r="CN200" s="55">
        <f>IFERROR(IF(($BP200)&gt;0,($Z200+$AF200)/($BP200),""),"")</f>
        <v/>
      </c>
      <c r="CO200" s="55">
        <f>IFERROR(IF(($CC200)&gt;0,($X200+$AD200)/($CC200),""),"")</f>
        <v/>
      </c>
      <c r="CP200" s="55">
        <f>IFERROR(IF(($CD200)&gt;0,($Y200+$AE200)/($CD200),""),"")</f>
        <v/>
      </c>
      <c r="CQ200" s="55">
        <f>IFERROR(IF(($CE200)&gt;0,($Z200+$AF200)/($CE200),""),"")</f>
        <v/>
      </c>
      <c r="CR200" s="55">
        <f>SUMIFS(tblPlant[Crushed_t],tblPlant[Date],$A200)</f>
        <v/>
      </c>
      <c r="CS200" s="55">
        <f>IF($B200=$B199,$CS199,0)+$CR200</f>
        <v/>
      </c>
      <c r="CT200" s="55">
        <f>$CT199+$CR200</f>
        <v/>
      </c>
      <c r="CU200" s="55">
        <f>SUMIFS(tblPlant[Milled_t],tblPlant[Date],$A200)</f>
        <v/>
      </c>
      <c r="CV200" s="55">
        <f>IF($B200=$B199,$CV199,0)+$CU200</f>
        <v/>
      </c>
      <c r="CW200" s="55">
        <f>$CW199+$CU200</f>
        <v/>
      </c>
      <c r="CX200" s="55">
        <f>SUMIFS(tblPlant[Feed_oz],tblPlant[Date],$A200)</f>
        <v/>
      </c>
      <c r="CY200" s="55">
        <f>IF($B200=$B199,$CY199,0)+$CX200</f>
        <v/>
      </c>
      <c r="CZ200" s="55">
        <f>$CZ199+$CX200</f>
        <v/>
      </c>
      <c r="DA200" s="55">
        <f>SUMIFS(tblPlant[Tails_oz],tblPlant[Date],$A200)</f>
        <v/>
      </c>
      <c r="DB200" s="55">
        <f>IF($B200=$B199,$DB199,0)+$DA200</f>
        <v/>
      </c>
      <c r="DC200" s="55">
        <f>$DC199+$DA200</f>
        <v/>
      </c>
      <c r="DD200" s="55">
        <f>SUMIFS(tblPlant[Recovered_oz],tblPlant[Date],$A200)</f>
        <v/>
      </c>
      <c r="DE200" s="55">
        <f>IF($B200=$B199,$DE199,0)+$DD200</f>
        <v/>
      </c>
      <c r="DF200" s="55">
        <f>$DF199+$DD200</f>
        <v/>
      </c>
      <c r="DG200" s="55">
        <f>SUMIFS(tblPlant[Milled_t],tblPlant[Date],$A200,tblPlant[Head_Grade_gpt],"&lt;&gt;")</f>
        <v/>
      </c>
      <c r="DH200" s="55">
        <f>IF($B200=$B199,$DH199,0)+$DG200</f>
        <v/>
      </c>
      <c r="DI200" s="55">
        <f>$DI199+$DG200</f>
        <v/>
      </c>
      <c r="DJ200" s="55">
        <f>SUMIFS(tblPlant[Milled_t],tblPlant[Date],$A200,tblPlant[Tails_Grade_gpt],"&lt;&gt;")</f>
        <v/>
      </c>
      <c r="DK200" s="55">
        <f>IF($B200=$B199,$DK199,0)+$DJ200</f>
        <v/>
      </c>
      <c r="DL200" s="55">
        <f>$DL199+$DJ200</f>
        <v/>
      </c>
      <c r="DM200" s="55">
        <f>SUMIFS(tblPlant[Feed_oz],tblPlant[Date],$A200,tblPlant[Tails_Grade_gpt],"&lt;&gt;")</f>
        <v/>
      </c>
      <c r="DN200" s="55">
        <f>IF($B200=$B199,$DN199,0)+$DM200</f>
        <v/>
      </c>
      <c r="DO200" s="55">
        <f>$DO199+$DM200</f>
        <v/>
      </c>
      <c r="DP200" s="55">
        <f>SUMIFS(tblPlant[Milled_t],tblPlant[Date],$A200,tblPlant[Mill_Run_h],"&lt;&gt;")</f>
        <v/>
      </c>
      <c r="DQ200" s="55">
        <f>IF($B200=$B199,$DQ199,0)+$DP200</f>
        <v/>
      </c>
      <c r="DR200" s="55">
        <f>$DR199+$DP200</f>
        <v/>
      </c>
      <c r="DS200" s="56">
        <f>IFERROR(IF(($DG200)&gt;0,($CX200*cfg_TroyOz)/($DG200),""),"")</f>
        <v/>
      </c>
      <c r="DT200" s="56">
        <f>IFERROR(IF(($DH200)&gt;0,($CY200*cfg_TroyOz)/($DH200),""),"")</f>
        <v/>
      </c>
      <c r="DU200" s="56">
        <f>IFERROR(IF(($DI200)&gt;0,($CZ200*cfg_TroyOz)/($DI200),""),"")</f>
        <v/>
      </c>
      <c r="DV200" s="56">
        <f>IFERROR(IF(($DJ200)&gt;0,($DA200*cfg_TroyOz)/($DJ200),""),"")</f>
        <v/>
      </c>
      <c r="DW200" s="56">
        <f>IFERROR(IF(($DK200)&gt;0,($DB200*cfg_TroyOz)/($DK200),""),"")</f>
        <v/>
      </c>
      <c r="DX200" s="56">
        <f>IFERROR(IF(($DL200)&gt;0,($DC200*cfg_TroyOz)/($DL200),""),"")</f>
        <v/>
      </c>
      <c r="DY200" s="67">
        <f>IFERROR(IF(($DM200)&gt;0,($DD200)/($DM200),""),"")</f>
        <v/>
      </c>
      <c r="DZ200" s="67">
        <f>IFERROR(IF(($DN200)&gt;0,($DE200)/($DN200),""),"")</f>
        <v/>
      </c>
      <c r="EA200" s="67">
        <f>IFERROR(IF(($DO200)&gt;0,($DF200)/($DO200),""),"")</f>
        <v/>
      </c>
      <c r="EB200" s="55">
        <f>SUMIFS(tblPlant[Gravity_Gold_oz],tblPlant[Date],$A200)</f>
        <v/>
      </c>
      <c r="EC200" s="55">
        <f>IF($B200=$B199,$EC199,0)+$EB200</f>
        <v/>
      </c>
      <c r="ED200" s="55">
        <f>$ED199+$EB200</f>
        <v/>
      </c>
      <c r="EE200" s="67">
        <f>IFERROR(IF(($DD200)&gt;0,($EB200)/($DD200),""),"")</f>
        <v/>
      </c>
      <c r="EF200" s="67">
        <f>IFERROR(IF(($DE200)&gt;0,($EC200)/($DE200),""),"")</f>
        <v/>
      </c>
      <c r="EG200" s="67">
        <f>IFERROR(IF(($DF200)&gt;0,($ED200)/($DF200),""),"")</f>
        <v/>
      </c>
      <c r="EH200" s="55">
        <f>SUMIFS(tblPlant[Gold_Poured_oz],tblPlant[Date],$A200)</f>
        <v/>
      </c>
      <c r="EI200" s="55">
        <f>IF($B200=$B199,$EI199,0)+$EH200</f>
        <v/>
      </c>
      <c r="EJ200" s="55">
        <f>$EJ199+$EH200</f>
        <v/>
      </c>
      <c r="EK200" s="57">
        <f>SUMIFS(tblPlant[Mill_Run_h],tblPlant[Date],$A200)</f>
        <v/>
      </c>
      <c r="EL200" s="57">
        <f>IF($B200=$B199,$EL199,0)+$EK200</f>
        <v/>
      </c>
      <c r="EM200" s="57">
        <f>$EM199+$EK200</f>
        <v/>
      </c>
      <c r="EN200" s="57">
        <f>SUMIFS(tblPlant[Mill_Planned_Maint_h],tblPlant[Date],$A200)</f>
        <v/>
      </c>
      <c r="EO200" s="57">
        <f>IF($B200=$B199,$EO199,0)+$EN200</f>
        <v/>
      </c>
      <c r="EP200" s="57">
        <f>$EP199+$EN200</f>
        <v/>
      </c>
      <c r="EQ200" s="57">
        <f>SUMIFS(tblPlant[Mill_Unplanned_Down_h],tblPlant[Date],$A200)</f>
        <v/>
      </c>
      <c r="ER200" s="57">
        <f>IF($B200=$B199,$ER199,0)+$EQ200</f>
        <v/>
      </c>
      <c r="ES200" s="57">
        <f>$ES199+$EQ200</f>
        <v/>
      </c>
      <c r="ET200" s="57">
        <f>IF(COUNTIFS(tblPlant[Date],$A200,tblPlant[Mill_Run_h],"&lt;&gt;")+COUNTIFS(tblPlant[Date],$A200,tblPlant[Mill_Planned_Maint_h],"&lt;&gt;")+COUNTIFS(tblPlant[Date],$A200,tblPlant[Mill_Unplanned_Down_h],"&lt;&gt;")&gt;0,cfg_HoursPerDay,0)</f>
        <v/>
      </c>
      <c r="EU200" s="57">
        <f>IF($B200=$B199,$EU199,0)+$ET200</f>
        <v/>
      </c>
      <c r="EV200" s="57">
        <f>$EV199+$ET200</f>
        <v/>
      </c>
      <c r="EW200" s="57">
        <f>SUMIFS(tblPlant[Crusher_Run_h],tblPlant[Date],$A200)</f>
        <v/>
      </c>
      <c r="EX200" s="57">
        <f>IF($B200=$B199,$EX199,0)+$EW200</f>
        <v/>
      </c>
      <c r="EY200" s="57">
        <f>$EY199+$EW200</f>
        <v/>
      </c>
      <c r="EZ200" s="55">
        <f>IFERROR(IF(($EK200)&gt;0,($DP200)/($EK200),""),"")</f>
        <v/>
      </c>
      <c r="FA200" s="55">
        <f>IFERROR(IF(($EL200)&gt;0,($DQ200)/($EL200),""),"")</f>
        <v/>
      </c>
      <c r="FB200" s="55">
        <f>IFERROR(IF(($EM200)&gt;0,($DR200)/($EM200),""),"")</f>
        <v/>
      </c>
      <c r="FC200" s="67">
        <f>IFERROR(IF(($ET200)&gt;0,($ET200-$EN200-$EQ200)/($ET200),""),"")</f>
        <v/>
      </c>
      <c r="FD200" s="67">
        <f>IFERROR(IF(($EU200)&gt;0,($EU200-$EO200-$ER200)/($EU200),""),"")</f>
        <v/>
      </c>
      <c r="FE200" s="67">
        <f>IFERROR(IF(($EV200)&gt;0,($EV200-$EP200-$ES200)/($EV200),""),"")</f>
        <v/>
      </c>
      <c r="FF200" s="67">
        <f>IFERROR(IF(($ET200-$EN200-$EQ200)&gt;0,($EK200)/($ET200-$EN200-$EQ200),""),"")</f>
        <v/>
      </c>
      <c r="FG200" s="67">
        <f>IFERROR(IF(($EU200-$EO200-$ER200)&gt;0,($EL200)/($EU200-$EO200-$ER200),""),"")</f>
        <v/>
      </c>
      <c r="FH200" s="67">
        <f>IFERROR(IF(($EV200-$EP200-$ES200)&gt;0,($EM200)/($EV200-$EP200-$ES200),""),"")</f>
        <v/>
      </c>
      <c r="FI200" s="55">
        <f>SUMIFS(tblPlant[Cyanide_kg],tblPlant[Date],$A200)</f>
        <v/>
      </c>
      <c r="FJ200" s="55">
        <f>IF($B200=$B199,$FJ199,0)+$FI200</f>
        <v/>
      </c>
      <c r="FK200" s="55">
        <f>$FK199+$FI200</f>
        <v/>
      </c>
      <c r="FL200" s="55">
        <f>SUMIFS(tblPlant[Lime_kg],tblPlant[Date],$A200)</f>
        <v/>
      </c>
      <c r="FM200" s="55">
        <f>IF($B200=$B199,$FM199,0)+$FL200</f>
        <v/>
      </c>
      <c r="FN200" s="55">
        <f>$FN199+$FL200</f>
        <v/>
      </c>
      <c r="FO200" s="55">
        <f>SUMIFS(tblPlant[Grinding_Media_kg],tblPlant[Date],$A200)</f>
        <v/>
      </c>
      <c r="FP200" s="55">
        <f>IF($B200=$B199,$FP199,0)+$FO200</f>
        <v/>
      </c>
      <c r="FQ200" s="55">
        <f>$FQ199+$FO200</f>
        <v/>
      </c>
      <c r="FR200" s="55">
        <f>SUMIFS(tblPlant[Power_kWh],tblPlant[Date],$A200)</f>
        <v/>
      </c>
      <c r="FS200" s="55">
        <f>IF($B200=$B199,$FS199,0)+$FR200</f>
        <v/>
      </c>
      <c r="FT200" s="55">
        <f>$FT199+$FR200</f>
        <v/>
      </c>
      <c r="FU200" s="55">
        <f>SUMIFS(tblPlant[Raw_Water_m3],tblPlant[Date],$A200)</f>
        <v/>
      </c>
      <c r="FV200" s="55">
        <f>IF($B200=$B199,$FV199,0)+$FU200</f>
        <v/>
      </c>
      <c r="FW200" s="55">
        <f>$FW199+$FU200</f>
        <v/>
      </c>
      <c r="FX200" s="56">
        <f>IFERROR(IF(($CU200)&gt;0,($FI200)/($CU200),""),"")</f>
        <v/>
      </c>
      <c r="FY200" s="56">
        <f>IFERROR(IF(($CV200)&gt;0,($FJ200)/($CV200),""),"")</f>
        <v/>
      </c>
      <c r="FZ200" s="56">
        <f>IFERROR(IF(($CW200)&gt;0,($FK200)/($CW200),""),"")</f>
        <v/>
      </c>
      <c r="GA200" s="56">
        <f>IFERROR(IF(($CU200)&gt;0,($FL200)/($CU200),""),"")</f>
        <v/>
      </c>
      <c r="GB200" s="56">
        <f>IFERROR(IF(($CV200)&gt;0,($FM200)/($CV200),""),"")</f>
        <v/>
      </c>
      <c r="GC200" s="56">
        <f>IFERROR(IF(($CW200)&gt;0,($FN200)/($CW200),""),"")</f>
        <v/>
      </c>
      <c r="GD200" s="56">
        <f>IFERROR(IF(($CU200)&gt;0,($FO200)/($CU200),""),"")</f>
        <v/>
      </c>
      <c r="GE200" s="56">
        <f>IFERROR(IF(($CV200)&gt;0,($FP200)/($CV200),""),"")</f>
        <v/>
      </c>
      <c r="GF200" s="56">
        <f>IFERROR(IF(($CW200)&gt;0,($FQ200)/($CW200),""),"")</f>
        <v/>
      </c>
      <c r="GG200" s="79">
        <f>IFERROR(IF(($CU200)&gt;0,($FR200)/($CU200),""),"")</f>
        <v/>
      </c>
      <c r="GH200" s="79">
        <f>IFERROR(IF(($CV200)&gt;0,($FS200)/($CV200),""),"")</f>
        <v/>
      </c>
      <c r="GI200" s="79">
        <f>IFERROR(IF(($CW200)&gt;0,($FT200)/($CW200),""),"")</f>
        <v/>
      </c>
      <c r="GJ200" s="56">
        <f>IFERROR(IF(($CU200)&gt;0,($FU200)/($CU200),""),"")</f>
        <v/>
      </c>
      <c r="GK200" s="56">
        <f>IFERROR(IF(($CV200)&gt;0,($FV200)/($CV200),""),"")</f>
        <v/>
      </c>
      <c r="GL200" s="56">
        <f>IFERROR(IF(($CW200)&gt;0,($FW200)/($CW200),""),"")</f>
        <v/>
      </c>
      <c r="GM200" s="55">
        <f>IF(SUMIFS(tblPlant[GIC_oz],tblPlant[Date],$A200)&gt;0,SUMIFS(tblPlant[GIC_oz],tblPlant[Date],$A200),"")</f>
        <v/>
      </c>
      <c r="GN200" s="55">
        <f>SUMIFS(tblGold[Gold_oz],tblGold[Date],$A200,tblGold[Type],"Shipment")</f>
        <v/>
      </c>
      <c r="GO200" s="55">
        <f>IF($B200=$B199,$GO199,0)+$GN200</f>
        <v/>
      </c>
      <c r="GP200" s="55">
        <f>$GP199+$GN200</f>
        <v/>
      </c>
      <c r="GQ200" s="55">
        <f>SUMIFS(tblGold[Gold_oz],tblGold[Date],$A200,tblGold[Type],"Sale")</f>
        <v/>
      </c>
      <c r="GR200" s="55">
        <f>IF($B200=$B199,$GR199,0)+$GQ200</f>
        <v/>
      </c>
      <c r="GS200" s="55">
        <f>$GS199+$GQ200</f>
        <v/>
      </c>
      <c r="GT200" s="55">
        <f>SUMIFS(tblGold[Dore_kg],tblGold[Date],$A200,tblGold[Type],"Shipment")</f>
        <v/>
      </c>
      <c r="GU200" s="55">
        <f>IF($B200=$B199,$GU199,0)+$GT200</f>
        <v/>
      </c>
      <c r="GV200" s="55">
        <f>$GV199+$GT200</f>
        <v/>
      </c>
      <c r="GW200" s="57">
        <f>SUMIFS(tblSafety[Hours_Total],tblSafety[Date],$A200)</f>
        <v/>
      </c>
      <c r="GX200" s="57">
        <f>IF($B200=$B199,$GX199,0)+$GW200</f>
        <v/>
      </c>
      <c r="GY200" s="57">
        <f>$GY199+$GW200</f>
        <v/>
      </c>
      <c r="GZ200" s="62">
        <f>SUMIFS(tblSafety[Fatality],tblSafety[Date],$A200)</f>
        <v/>
      </c>
      <c r="HA200" s="62">
        <f>IF($B200=$B199,$HA199,0)+$GZ200</f>
        <v/>
      </c>
      <c r="HB200" s="62">
        <f>$HB199+$GZ200</f>
        <v/>
      </c>
      <c r="HC200" s="62">
        <f>SUMIFS(tblSafety[LTI],tblSafety[Date],$A200)</f>
        <v/>
      </c>
      <c r="HD200" s="62">
        <f>IF($B200=$B199,$HD199,0)+$HC200</f>
        <v/>
      </c>
      <c r="HE200" s="62">
        <f>$HE199+$HC200</f>
        <v/>
      </c>
      <c r="HF200" s="62">
        <f>SUMIFS(tblSafety[RWI],tblSafety[Date],$A200)</f>
        <v/>
      </c>
      <c r="HG200" s="62">
        <f>IF($B200=$B199,$HG199,0)+$HF200</f>
        <v/>
      </c>
      <c r="HH200" s="62">
        <f>$HH199+$HF200</f>
        <v/>
      </c>
      <c r="HI200" s="62">
        <f>SUMIFS(tblSafety[MTI],tblSafety[Date],$A200)</f>
        <v/>
      </c>
      <c r="HJ200" s="62">
        <f>IF($B200=$B199,$HJ199,0)+$HI200</f>
        <v/>
      </c>
      <c r="HK200" s="62">
        <f>$HK199+$HI200</f>
        <v/>
      </c>
      <c r="HL200" s="62">
        <f>SUMIFS(tblSafety[FAI],tblSafety[Date],$A200)</f>
        <v/>
      </c>
      <c r="HM200" s="62">
        <f>IF($B200=$B199,$HM199,0)+$HL200</f>
        <v/>
      </c>
      <c r="HN200" s="62">
        <f>$HN199+$HL200</f>
        <v/>
      </c>
      <c r="HO200" s="62">
        <f>SUMIFS(tblSafety[Recordables],tblSafety[Date],$A200)</f>
        <v/>
      </c>
      <c r="HP200" s="62">
        <f>IF($B200=$B199,$HP199,0)+$HO200</f>
        <v/>
      </c>
      <c r="HQ200" s="62">
        <f>$HQ199+$HO200</f>
        <v/>
      </c>
      <c r="HR200" s="62">
        <f>SUMIFS(tblSafety[Near_Miss],tblSafety[Date],$A200)</f>
        <v/>
      </c>
      <c r="HS200" s="62">
        <f>IF($B200=$B199,$HS199,0)+$HR200</f>
        <v/>
      </c>
      <c r="HT200" s="62">
        <f>$HT199+$HR200</f>
        <v/>
      </c>
      <c r="HU200" s="62">
        <f>SUMIFS(tblSafety[Hazard_Reports],tblSafety[Date],$A200)</f>
        <v/>
      </c>
      <c r="HV200" s="62">
        <f>IF($B200=$B199,$HV199,0)+$HU200</f>
        <v/>
      </c>
      <c r="HW200" s="62">
        <f>$HW199+$HU200</f>
        <v/>
      </c>
      <c r="HX200" s="62">
        <f>SUMIFS(tblSafety[HPI],tblSafety[Date],$A200)</f>
        <v/>
      </c>
      <c r="HY200" s="62">
        <f>IF($B200=$B199,$HY199,0)+$HX200</f>
        <v/>
      </c>
      <c r="HZ200" s="62">
        <f>$HZ199+$HX200</f>
        <v/>
      </c>
      <c r="IA200" s="62">
        <f>SUMIFS(tblSafety[Env_Incidents],tblSafety[Date],$A200)</f>
        <v/>
      </c>
      <c r="IB200" s="62">
        <f>IF($B200=$B199,$IB199,0)+$IA200</f>
        <v/>
      </c>
      <c r="IC200" s="62">
        <f>$IC199+$IA200</f>
        <v/>
      </c>
      <c r="ID200" s="62">
        <f>SUMIFS(tblSafety[Community_Incidents],tblSafety[Date],$A200)</f>
        <v/>
      </c>
      <c r="IE200" s="62">
        <f>IF($B200=$B199,$IE199,0)+$ID200</f>
        <v/>
      </c>
      <c r="IF200" s="62">
        <f>$IF199+$ID200</f>
        <v/>
      </c>
      <c r="IG200" s="62">
        <f>SUMIFS(tblSafety[Vehicle_Incidents],tblSafety[Date],$A200)</f>
        <v/>
      </c>
      <c r="IH200" s="62">
        <f>IF($B200=$B199,$IH199,0)+$IG200</f>
        <v/>
      </c>
      <c r="II200" s="62">
        <f>$II199+$IG200</f>
        <v/>
      </c>
      <c r="IJ200" s="62">
        <f>SUMIFS(tblSafety[Toolbox_Talks],tblSafety[Date],$A200)</f>
        <v/>
      </c>
      <c r="IK200" s="62">
        <f>IF($B200=$B199,$IK199,0)+$IJ200</f>
        <v/>
      </c>
      <c r="IL200" s="62">
        <f>$IL199+$IJ200</f>
        <v/>
      </c>
      <c r="IM200" s="62">
        <f>SUMIFS(tblSafety[Inspections],tblSafety[Date],$A200)</f>
        <v/>
      </c>
      <c r="IN200" s="62">
        <f>IF($B200=$B199,$IN199,0)+$IM200</f>
        <v/>
      </c>
      <c r="IO200" s="62">
        <f>$IO199+$IM200</f>
        <v/>
      </c>
      <c r="IP200" s="56">
        <f>IFERROR((SUMIFS(tblSafety[Recordables],tblSafety[Date],"&gt;="&amp;EDATE($E200,-12),tblSafety[Date],"&lt;="&amp;$A200)+SUMIFS(tblSafetyHistory[Recordables],tblSafetyHistory[Month],"&gt;="&amp;EDATE($E200,-12),tblSafetyHistory[Month],"&lt;"&amp;$E200,tblSafetyHistory[Use],1))/(SUMIFS(tblSafety[Hours_Total],tblSafety[Date],"&gt;="&amp;EDATE($E200,-12),tblSafety[Date],"&lt;="&amp;$A200)+SUMIFS(tblSafetyHistory[Hours_Total],tblSafetyHistory[Month],"&gt;="&amp;EDATE($E200,-12),tblSafetyHistory[Month],"&lt;"&amp;$E200,tblSafetyHistory[Use],1))*cfg_RateBasisHours,"")</f>
        <v/>
      </c>
      <c r="IQ200" s="56">
        <f>IFERROR((SUMIFS(tblSafety[LTI],tblSafety[Date],"&gt;="&amp;EDATE($E200,-12),tblSafety[Date],"&lt;="&amp;$A200)+SUMIFS(tblSafetyHistory[LTI],tblSafetyHistory[Month],"&gt;="&amp;EDATE($E200,-12),tblSafetyHistory[Month],"&lt;"&amp;$E200,tblSafetyHistory[Use],1))/(SUMIFS(tblSafety[Hours_Total],tblSafety[Date],"&gt;="&amp;EDATE($E200,-12),tblSafety[Date],"&lt;="&amp;$A200)+SUMIFS(tblSafetyHistory[Hours_Total],tblSafetyHistory[Month],"&gt;="&amp;EDATE($E200,-12),tblSafetyHistory[Month],"&lt;"&amp;$E200,tblSafetyHistory[Use],1))*cfg_RateBasisHours,"")</f>
        <v/>
      </c>
      <c r="IR200" s="62">
        <f>IF(MAX(N(cfg_PriorLTIDate),_xlfn.MAXIFS(tblSafety[Date],tblSafety[LTI],"&gt;0",tblSafety[Date],"&lt;="&amp;$A200))=0,"",$A200-MAX(N(cfg_PriorLTIDate),_xlfn.MAXIFS(tblSafety[Date],tblSafety[LTI],"&gt;0",tblSafety[Date],"&lt;="&amp;$A200)))</f>
        <v/>
      </c>
      <c r="IS200" s="55">
        <f>SUMIFS(tblBudget[Ore_Mined_t],tblBudget[Month],$E200)</f>
        <v/>
      </c>
      <c r="IT200" s="55">
        <f>$IS200*$C200/$D200</f>
        <v/>
      </c>
      <c r="IU200" s="55">
        <f>SUMIFS(tblBudget[Ore_Mined_t],tblBudget[Month],"&lt;"&amp;$E200)+$IT200</f>
        <v/>
      </c>
      <c r="IV200" s="55">
        <f>SUMIFS(tblBudget[Ore_oz],tblBudget[Month],$E200)</f>
        <v/>
      </c>
      <c r="IW200" s="55">
        <f>$IV200*$C200/$D200</f>
        <v/>
      </c>
      <c r="IX200" s="55">
        <f>SUMIFS(tblBudget[Ore_oz],tblBudget[Month],"&lt;"&amp;$E200)+$IW200</f>
        <v/>
      </c>
      <c r="IY200" s="55">
        <f>SUMIFS(tblBudget[Ore_Mined_t],tblBudget[Month],$E200)</f>
        <v/>
      </c>
      <c r="IZ200" s="55">
        <f>$IY200*$C200/$D200</f>
        <v/>
      </c>
      <c r="JA200" s="55">
        <f>SUMIFS(tblBudget[Ore_Mined_t],tblBudget[Month],"&lt;"&amp;$E200)+$IZ200</f>
        <v/>
      </c>
      <c r="JB200" s="56">
        <f>IFERROR(IF(($IY200)&gt;0,($IV200*cfg_TroyOz)/($IY200),""),"")</f>
        <v/>
      </c>
      <c r="JC200" s="56">
        <f>IFERROR(IF(($IZ200)&gt;0,($IW200*cfg_TroyOz)/($IZ200),""),"")</f>
        <v/>
      </c>
      <c r="JD200" s="56">
        <f>IFERROR(IF(($JA200)&gt;0,($IX200*cfg_TroyOz)/($JA200),""),"")</f>
        <v/>
      </c>
      <c r="JE200" s="55">
        <f>SUMIFS(tblBudget[Waste_t],tblBudget[Month],$E200)</f>
        <v/>
      </c>
      <c r="JF200" s="55">
        <f>$JE200*$C200/$D200</f>
        <v/>
      </c>
      <c r="JG200" s="55">
        <f>SUMIFS(tblBudget[Waste_t],tblBudget[Month],"&lt;"&amp;$E200)+$JF200</f>
        <v/>
      </c>
      <c r="JH200" s="55">
        <f>SUMIFS(tblBudget[TMM_t],tblBudget[Month],$E200)</f>
        <v/>
      </c>
      <c r="JI200" s="55">
        <f>$JH200*$C200/$D200</f>
        <v/>
      </c>
      <c r="JJ200" s="55">
        <f>SUMIFS(tblBudget[TMM_t],tblBudget[Month],"&lt;"&amp;$E200)+$JI200</f>
        <v/>
      </c>
      <c r="JK200" s="56">
        <f>IFERROR(IF(($IS200)&gt;0,($JE200)/($IS200),""),"")</f>
        <v/>
      </c>
      <c r="JL200" s="56">
        <f>IFERROR(IF(($IT200)&gt;0,($JF200)/($IT200),""),"")</f>
        <v/>
      </c>
      <c r="JM200" s="56">
        <f>IFERROR(IF(($IU200)&gt;0,($JG200)/($IU200),""),"")</f>
        <v/>
      </c>
      <c r="JN200" s="55">
        <f>SUMIFS(tblBudget[Drill_m],tblBudget[Month],$E200)</f>
        <v/>
      </c>
      <c r="JO200" s="55">
        <f>$JN200*$C200/$D200</f>
        <v/>
      </c>
      <c r="JP200" s="55">
        <f>SUMIFS(tblBudget[Drill_m],tblBudget[Month],"&lt;"&amp;$E200)+$JO200</f>
        <v/>
      </c>
      <c r="JQ200" s="55">
        <f>SUMIFS(tblBudget[Diesel_L],tblBudget[Month],$E200)</f>
        <v/>
      </c>
      <c r="JR200" s="55">
        <f>$JQ200*$C200/$D200</f>
        <v/>
      </c>
      <c r="JS200" s="55">
        <f>SUMIFS(tblBudget[Diesel_L],tblBudget[Month],"&lt;"&amp;$E200)+$JR200</f>
        <v/>
      </c>
      <c r="JT200" s="55">
        <f>SUMIFS(tblBudget[Milled_t],tblBudget[Month],$E200)</f>
        <v/>
      </c>
      <c r="JU200" s="55">
        <f>$JT200*$C200/$D200</f>
        <v/>
      </c>
      <c r="JV200" s="55">
        <f>SUMIFS(tblBudget[Milled_t],tblBudget[Month],"&lt;"&amp;$E200)+$JU200</f>
        <v/>
      </c>
      <c r="JW200" s="55">
        <f>SUMIFS(tblBudget[Feed_oz],tblBudget[Month],$E200)</f>
        <v/>
      </c>
      <c r="JX200" s="55">
        <f>$JW200*$C200/$D200</f>
        <v/>
      </c>
      <c r="JY200" s="55">
        <f>SUMIFS(tblBudget[Feed_oz],tblBudget[Month],"&lt;"&amp;$E200)+$JX200</f>
        <v/>
      </c>
      <c r="JZ200" s="55">
        <f>SUMIFS(tblBudget[Recovered_oz],tblBudget[Month],$E200)</f>
        <v/>
      </c>
      <c r="KA200" s="55">
        <f>$JZ200*$C200/$D200</f>
        <v/>
      </c>
      <c r="KB200" s="55">
        <f>SUMIFS(tblBudget[Recovered_oz],tblBudget[Month],"&lt;"&amp;$E200)+$KA200</f>
        <v/>
      </c>
      <c r="KC200" s="55">
        <f>SUMIFS(tblBudget[Milled_t],tblBudget[Month],$E200)</f>
        <v/>
      </c>
      <c r="KD200" s="55">
        <f>$KC200*$C200/$D200</f>
        <v/>
      </c>
      <c r="KE200" s="55">
        <f>SUMIFS(tblBudget[Milled_t],tblBudget[Month],"&lt;"&amp;$E200)+$KD200</f>
        <v/>
      </c>
      <c r="KF200" s="55">
        <f>SUMIFS(tblBudget[Feed_oz],tblBudget[Month],$E200)</f>
        <v/>
      </c>
      <c r="KG200" s="55">
        <f>$KF200*$C200/$D200</f>
        <v/>
      </c>
      <c r="KH200" s="55">
        <f>SUMIFS(tblBudget[Feed_oz],tblBudget[Month],"&lt;"&amp;$E200)+$KG200</f>
        <v/>
      </c>
      <c r="KI200" s="56">
        <f>IFERROR(IF(($KC200)&gt;0,($JW200*cfg_TroyOz)/($KC200),""),"")</f>
        <v/>
      </c>
      <c r="KJ200" s="56">
        <f>IFERROR(IF(($KD200)&gt;0,($JX200*cfg_TroyOz)/($KD200),""),"")</f>
        <v/>
      </c>
      <c r="KK200" s="56">
        <f>IFERROR(IF(($KE200)&gt;0,($JY200*cfg_TroyOz)/($KE200),""),"")</f>
        <v/>
      </c>
      <c r="KL200" s="67">
        <f>IFERROR(IF(($KF200)&gt;0,($JZ200)/($KF200),""),"")</f>
        <v/>
      </c>
      <c r="KM200" s="67">
        <f>IFERROR(IF(($KG200)&gt;0,($KA200)/($KG200),""),"")</f>
        <v/>
      </c>
      <c r="KN200" s="67">
        <f>IFERROR(IF(($KH200)&gt;0,($KB200)/($KH200),""),"")</f>
        <v/>
      </c>
      <c r="KO200" s="55">
        <f>SUMIFS(tblBudget[Gold_Poured_oz],tblBudget[Month],$E200)</f>
        <v/>
      </c>
      <c r="KP200" s="55">
        <f>$KO200*$C200/$D200</f>
        <v/>
      </c>
      <c r="KQ200" s="55">
        <f>SUMIFS(tblBudget[Gold_Poured_oz],tblBudget[Month],"&lt;"&amp;$E200)+$KP200</f>
        <v/>
      </c>
      <c r="KR200" s="57">
        <f>SUMIFS(tblBudget[Hours_Worked],tblBudget[Month],$E200)</f>
        <v/>
      </c>
      <c r="KS200" s="57">
        <f>$KR200*$C200/$D200</f>
        <v/>
      </c>
      <c r="KT200" s="57">
        <f>SUMIFS(tblBudget[Hours_Worked],tblBudget[Month],"&lt;"&amp;$E200)+$KS200</f>
        <v/>
      </c>
    </row>
    <row r="201">
      <c r="A201" s="54" t="n">
        <v>46222</v>
      </c>
      <c r="B201">
        <f>MONTH($A201)</f>
        <v/>
      </c>
      <c r="C201">
        <f>DAY($A201)</f>
        <v/>
      </c>
      <c r="D201">
        <f>DAY(EOMONTH($A201,0))</f>
        <v/>
      </c>
      <c r="E201" s="54">
        <f>DATE(YEAR($A201),MONTH($A201),1)</f>
        <v/>
      </c>
      <c r="F201" s="55">
        <f>SUMIFS(tblMovement[Tonnes_t],tblMovement[Date],$A201,tblMovement[Is_Ore],1,tblMovement[Source_Type],"Pit")</f>
        <v/>
      </c>
      <c r="G201" s="55">
        <f>IF($B201=$B200,$G200,0)+$F201</f>
        <v/>
      </c>
      <c r="H201" s="55">
        <f>$H200+$F201</f>
        <v/>
      </c>
      <c r="I201" s="55">
        <f>SUMIFS(tblMovement[Ore_oz],tblMovement[Date],$A201,tblMovement[Source_Type],"Pit")</f>
        <v/>
      </c>
      <c r="J201" s="55">
        <f>IF($B201=$B200,$J200,0)+$I201</f>
        <v/>
      </c>
      <c r="K201" s="55">
        <f>$K200+$I201</f>
        <v/>
      </c>
      <c r="L201" s="55">
        <f>SUMIFS(tblMovement[Tonnes_t],tblMovement[Date],$A201,tblMovement[Is_Ore],1,tblMovement[Source_Type],"Pit",tblMovement[Grade_gpt],"&lt;&gt;")</f>
        <v/>
      </c>
      <c r="M201" s="55">
        <f>IF($B201=$B200,$M200,0)+$L201</f>
        <v/>
      </c>
      <c r="N201" s="55">
        <f>$N200+$L201</f>
        <v/>
      </c>
      <c r="O201" s="56">
        <f>IFERROR(IF(($L201)&gt;0,($I201*cfg_TroyOz)/($L201),""),"")</f>
        <v/>
      </c>
      <c r="P201" s="56">
        <f>IFERROR(IF(($M201)&gt;0,($J201*cfg_TroyOz)/($M201),""),"")</f>
        <v/>
      </c>
      <c r="Q201" s="56">
        <f>IFERROR(IF(($N201)&gt;0,($K201*cfg_TroyOz)/($N201),""),"")</f>
        <v/>
      </c>
      <c r="R201" s="55">
        <f>$F201-$L201</f>
        <v/>
      </c>
      <c r="S201" s="55">
        <f>IF($B201=$B200,$S200,0)+$R201</f>
        <v/>
      </c>
      <c r="T201" s="55">
        <f>$T200+$R201</f>
        <v/>
      </c>
      <c r="U201" s="55">
        <f>SUMIFS(tblMovement[Tonnes_t],tblMovement[Date],$A201,tblMovement[Is_Ore],0,tblMovement[Source_Type],"Pit")</f>
        <v/>
      </c>
      <c r="V201" s="55">
        <f>IF($B201=$B200,$V200,0)+$U201</f>
        <v/>
      </c>
      <c r="W201" s="55">
        <f>$W200+$U201</f>
        <v/>
      </c>
      <c r="X201" s="55">
        <f>$F201+$U201</f>
        <v/>
      </c>
      <c r="Y201" s="55">
        <f>IF($B201=$B200,$Y200,0)+$X201</f>
        <v/>
      </c>
      <c r="Z201" s="55">
        <f>$Z200+$X201</f>
        <v/>
      </c>
      <c r="AA201" s="56">
        <f>IFERROR(IF(($F201)&gt;0,($U201)/($F201),""),"")</f>
        <v/>
      </c>
      <c r="AB201" s="56">
        <f>IFERROR(IF(($G201)&gt;0,($V201)/($G201),""),"")</f>
        <v/>
      </c>
      <c r="AC201" s="56">
        <f>IFERROR(IF(($H201)&gt;0,($W201)/($H201),""),"")</f>
        <v/>
      </c>
      <c r="AD201" s="55">
        <f>SUMIFS(tblMovement[Tonnes_t],tblMovement[Date],$A201,tblMovement[Source_Type],"Stockpile")</f>
        <v/>
      </c>
      <c r="AE201" s="55">
        <f>IF($B201=$B200,$AE200,0)+$AD201</f>
        <v/>
      </c>
      <c r="AF201" s="55">
        <f>$AF200+$AD201</f>
        <v/>
      </c>
      <c r="AG201" s="55">
        <f>SUMIFS(tblMovement[Tonnes_t],tblMovement[Date],$A201)</f>
        <v/>
      </c>
      <c r="AH201" s="55">
        <f>IF($B201=$B200,$AH200,0)+$AG201</f>
        <v/>
      </c>
      <c r="AI201" s="55">
        <f>$AI200+$AG201</f>
        <v/>
      </c>
      <c r="AJ201" s="55">
        <f>$AG201-$X201-$AD201</f>
        <v/>
      </c>
      <c r="AK201" s="55">
        <f>IF($B201=$B200,$AK200,0)+$AJ201</f>
        <v/>
      </c>
      <c r="AL201" s="55">
        <f>$AL200+$AJ201</f>
        <v/>
      </c>
      <c r="AM201" s="55">
        <f>SUMIFS(tblMiningDaily[Drill_m],tblMiningDaily[Date],$A201)</f>
        <v/>
      </c>
      <c r="AN201" s="55">
        <f>IF($B201=$B200,$AN200,0)+$AM201</f>
        <v/>
      </c>
      <c r="AO201" s="55">
        <f>$AO200+$AM201</f>
        <v/>
      </c>
      <c r="AP201" s="55">
        <f>SUMIFS(tblMiningDaily[GC_Drill_m],tblMiningDaily[Date],$A201)</f>
        <v/>
      </c>
      <c r="AQ201" s="55">
        <f>IF($B201=$B200,$AQ200,0)+$AP201</f>
        <v/>
      </c>
      <c r="AR201" s="55">
        <f>$AR200+$AP201</f>
        <v/>
      </c>
      <c r="AS201" s="55">
        <f>SUMIFS(tblMiningDaily[Blast_t],tblMiningDaily[Date],$A201)</f>
        <v/>
      </c>
      <c r="AT201" s="55">
        <f>IF($B201=$B200,$AT200,0)+$AS201</f>
        <v/>
      </c>
      <c r="AU201" s="55">
        <f>$AU200+$AS201</f>
        <v/>
      </c>
      <c r="AV201" s="55">
        <f>SUMIFS(tblMiningDaily[Explosives_kg],tblMiningDaily[Date],$A201)</f>
        <v/>
      </c>
      <c r="AW201" s="55">
        <f>IF($B201=$B200,$AW200,0)+$AV201</f>
        <v/>
      </c>
      <c r="AX201" s="55">
        <f>$AX200+$AV201</f>
        <v/>
      </c>
      <c r="AY201" s="56">
        <f>IFERROR(IF(($AS201)&gt;0,($AV201)/($AS201),""),"")</f>
        <v/>
      </c>
      <c r="AZ201" s="56">
        <f>IFERROR(IF(($AT201)&gt;0,($AW201)/($AT201),""),"")</f>
        <v/>
      </c>
      <c r="BA201" s="56">
        <f>IFERROR(IF(($AU201)&gt;0,($AX201)/($AU201),""),"")</f>
        <v/>
      </c>
      <c r="BB201" s="55">
        <f>SUMIFS(tblMiningDaily[Diesel_L],tblMiningDaily[Date],$A201)</f>
        <v/>
      </c>
      <c r="BC201" s="55">
        <f>IF($B201=$B200,$BC200,0)+$BB201</f>
        <v/>
      </c>
      <c r="BD201" s="55">
        <f>$BD200+$BB201</f>
        <v/>
      </c>
      <c r="BE201" s="55">
        <f>SUMIFS(tblMiningDaily[Dewatering_m3],tblMiningDaily[Date],$A201)</f>
        <v/>
      </c>
      <c r="BF201" s="55">
        <f>IF($B201=$B200,$BF200,0)+$BE201</f>
        <v/>
      </c>
      <c r="BG201" s="55">
        <f>$BG200+$BE201</f>
        <v/>
      </c>
      <c r="BH201" s="57">
        <f>SUMIFS(tblFleet[Calendar_h],tblFleet[Date],$A201,tblFleet[Equipment_Class],"Excavator")</f>
        <v/>
      </c>
      <c r="BI201" s="57">
        <f>IF($B201=$B200,$BI200,0)+$BH201</f>
        <v/>
      </c>
      <c r="BJ201" s="57">
        <f>$BJ200+$BH201</f>
        <v/>
      </c>
      <c r="BK201" s="57">
        <f>SUMIFS(tblFleet[Available_h],tblFleet[Date],$A201,tblFleet[Equipment_Class],"Excavator")</f>
        <v/>
      </c>
      <c r="BL201" s="57">
        <f>IF($B201=$B200,$BL200,0)+$BK201</f>
        <v/>
      </c>
      <c r="BM201" s="57">
        <f>$BM200+$BK201</f>
        <v/>
      </c>
      <c r="BN201" s="57">
        <f>SUMIFS(tblFleet[Operating_h],tblFleet[Date],$A201,tblFleet[Equipment_Class],"Excavator")</f>
        <v/>
      </c>
      <c r="BO201" s="57">
        <f>IF($B201=$B200,$BO200,0)+$BN201</f>
        <v/>
      </c>
      <c r="BP201" s="57">
        <f>$BP200+$BN201</f>
        <v/>
      </c>
      <c r="BQ201" s="67">
        <f>IFERROR(IF(($BH201)&gt;0,($BK201)/($BH201),""),"")</f>
        <v/>
      </c>
      <c r="BR201" s="67">
        <f>IFERROR(IF(($BI201)&gt;0,($BL201)/($BI201),""),"")</f>
        <v/>
      </c>
      <c r="BS201" s="67">
        <f>IFERROR(IF(($BJ201)&gt;0,($BM201)/($BJ201),""),"")</f>
        <v/>
      </c>
      <c r="BT201" s="67">
        <f>IFERROR(IF(($BK201)&gt;0,($BN201)/($BK201),""),"")</f>
        <v/>
      </c>
      <c r="BU201" s="67">
        <f>IFERROR(IF(($BL201)&gt;0,($BO201)/($BL201),""),"")</f>
        <v/>
      </c>
      <c r="BV201" s="67">
        <f>IFERROR(IF(($BM201)&gt;0,($BP201)/($BM201),""),"")</f>
        <v/>
      </c>
      <c r="BW201" s="57">
        <f>SUMIFS(tblFleet[Calendar_h],tblFleet[Date],$A201,tblFleet[Equipment_Class],"Haul Truck")</f>
        <v/>
      </c>
      <c r="BX201" s="57">
        <f>IF($B201=$B200,$BX200,0)+$BW201</f>
        <v/>
      </c>
      <c r="BY201" s="57">
        <f>$BY200+$BW201</f>
        <v/>
      </c>
      <c r="BZ201" s="57">
        <f>SUMIFS(tblFleet[Available_h],tblFleet[Date],$A201,tblFleet[Equipment_Class],"Haul Truck")</f>
        <v/>
      </c>
      <c r="CA201" s="57">
        <f>IF($B201=$B200,$CA200,0)+$BZ201</f>
        <v/>
      </c>
      <c r="CB201" s="57">
        <f>$CB200+$BZ201</f>
        <v/>
      </c>
      <c r="CC201" s="57">
        <f>SUMIFS(tblFleet[Operating_h],tblFleet[Date],$A201,tblFleet[Equipment_Class],"Haul Truck")</f>
        <v/>
      </c>
      <c r="CD201" s="57">
        <f>IF($B201=$B200,$CD200,0)+$CC201</f>
        <v/>
      </c>
      <c r="CE201" s="57">
        <f>$CE200+$CC201</f>
        <v/>
      </c>
      <c r="CF201" s="67">
        <f>IFERROR(IF(($BW201)&gt;0,($BZ201)/($BW201),""),"")</f>
        <v/>
      </c>
      <c r="CG201" s="67">
        <f>IFERROR(IF(($BX201)&gt;0,($CA201)/($BX201),""),"")</f>
        <v/>
      </c>
      <c r="CH201" s="67">
        <f>IFERROR(IF(($BY201)&gt;0,($CB201)/($BY201),""),"")</f>
        <v/>
      </c>
      <c r="CI201" s="67">
        <f>IFERROR(IF(($BZ201)&gt;0,($CC201)/($BZ201),""),"")</f>
        <v/>
      </c>
      <c r="CJ201" s="67">
        <f>IFERROR(IF(($CA201)&gt;0,($CD201)/($CA201),""),"")</f>
        <v/>
      </c>
      <c r="CK201" s="67">
        <f>IFERROR(IF(($CB201)&gt;0,($CE201)/($CB201),""),"")</f>
        <v/>
      </c>
      <c r="CL201" s="55">
        <f>IFERROR(IF(($BN201)&gt;0,($X201+$AD201)/($BN201),""),"")</f>
        <v/>
      </c>
      <c r="CM201" s="55">
        <f>IFERROR(IF(($BO201)&gt;0,($Y201+$AE201)/($BO201),""),"")</f>
        <v/>
      </c>
      <c r="CN201" s="55">
        <f>IFERROR(IF(($BP201)&gt;0,($Z201+$AF201)/($BP201),""),"")</f>
        <v/>
      </c>
      <c r="CO201" s="55">
        <f>IFERROR(IF(($CC201)&gt;0,($X201+$AD201)/($CC201),""),"")</f>
        <v/>
      </c>
      <c r="CP201" s="55">
        <f>IFERROR(IF(($CD201)&gt;0,($Y201+$AE201)/($CD201),""),"")</f>
        <v/>
      </c>
      <c r="CQ201" s="55">
        <f>IFERROR(IF(($CE201)&gt;0,($Z201+$AF201)/($CE201),""),"")</f>
        <v/>
      </c>
      <c r="CR201" s="55">
        <f>SUMIFS(tblPlant[Crushed_t],tblPlant[Date],$A201)</f>
        <v/>
      </c>
      <c r="CS201" s="55">
        <f>IF($B201=$B200,$CS200,0)+$CR201</f>
        <v/>
      </c>
      <c r="CT201" s="55">
        <f>$CT200+$CR201</f>
        <v/>
      </c>
      <c r="CU201" s="55">
        <f>SUMIFS(tblPlant[Milled_t],tblPlant[Date],$A201)</f>
        <v/>
      </c>
      <c r="CV201" s="55">
        <f>IF($B201=$B200,$CV200,0)+$CU201</f>
        <v/>
      </c>
      <c r="CW201" s="55">
        <f>$CW200+$CU201</f>
        <v/>
      </c>
      <c r="CX201" s="55">
        <f>SUMIFS(tblPlant[Feed_oz],tblPlant[Date],$A201)</f>
        <v/>
      </c>
      <c r="CY201" s="55">
        <f>IF($B201=$B200,$CY200,0)+$CX201</f>
        <v/>
      </c>
      <c r="CZ201" s="55">
        <f>$CZ200+$CX201</f>
        <v/>
      </c>
      <c r="DA201" s="55">
        <f>SUMIFS(tblPlant[Tails_oz],tblPlant[Date],$A201)</f>
        <v/>
      </c>
      <c r="DB201" s="55">
        <f>IF($B201=$B200,$DB200,0)+$DA201</f>
        <v/>
      </c>
      <c r="DC201" s="55">
        <f>$DC200+$DA201</f>
        <v/>
      </c>
      <c r="DD201" s="55">
        <f>SUMIFS(tblPlant[Recovered_oz],tblPlant[Date],$A201)</f>
        <v/>
      </c>
      <c r="DE201" s="55">
        <f>IF($B201=$B200,$DE200,0)+$DD201</f>
        <v/>
      </c>
      <c r="DF201" s="55">
        <f>$DF200+$DD201</f>
        <v/>
      </c>
      <c r="DG201" s="55">
        <f>SUMIFS(tblPlant[Milled_t],tblPlant[Date],$A201,tblPlant[Head_Grade_gpt],"&lt;&gt;")</f>
        <v/>
      </c>
      <c r="DH201" s="55">
        <f>IF($B201=$B200,$DH200,0)+$DG201</f>
        <v/>
      </c>
      <c r="DI201" s="55">
        <f>$DI200+$DG201</f>
        <v/>
      </c>
      <c r="DJ201" s="55">
        <f>SUMIFS(tblPlant[Milled_t],tblPlant[Date],$A201,tblPlant[Tails_Grade_gpt],"&lt;&gt;")</f>
        <v/>
      </c>
      <c r="DK201" s="55">
        <f>IF($B201=$B200,$DK200,0)+$DJ201</f>
        <v/>
      </c>
      <c r="DL201" s="55">
        <f>$DL200+$DJ201</f>
        <v/>
      </c>
      <c r="DM201" s="55">
        <f>SUMIFS(tblPlant[Feed_oz],tblPlant[Date],$A201,tblPlant[Tails_Grade_gpt],"&lt;&gt;")</f>
        <v/>
      </c>
      <c r="DN201" s="55">
        <f>IF($B201=$B200,$DN200,0)+$DM201</f>
        <v/>
      </c>
      <c r="DO201" s="55">
        <f>$DO200+$DM201</f>
        <v/>
      </c>
      <c r="DP201" s="55">
        <f>SUMIFS(tblPlant[Milled_t],tblPlant[Date],$A201,tblPlant[Mill_Run_h],"&lt;&gt;")</f>
        <v/>
      </c>
      <c r="DQ201" s="55">
        <f>IF($B201=$B200,$DQ200,0)+$DP201</f>
        <v/>
      </c>
      <c r="DR201" s="55">
        <f>$DR200+$DP201</f>
        <v/>
      </c>
      <c r="DS201" s="56">
        <f>IFERROR(IF(($DG201)&gt;0,($CX201*cfg_TroyOz)/($DG201),""),"")</f>
        <v/>
      </c>
      <c r="DT201" s="56">
        <f>IFERROR(IF(($DH201)&gt;0,($CY201*cfg_TroyOz)/($DH201),""),"")</f>
        <v/>
      </c>
      <c r="DU201" s="56">
        <f>IFERROR(IF(($DI201)&gt;0,($CZ201*cfg_TroyOz)/($DI201),""),"")</f>
        <v/>
      </c>
      <c r="DV201" s="56">
        <f>IFERROR(IF(($DJ201)&gt;0,($DA201*cfg_TroyOz)/($DJ201),""),"")</f>
        <v/>
      </c>
      <c r="DW201" s="56">
        <f>IFERROR(IF(($DK201)&gt;0,($DB201*cfg_TroyOz)/($DK201),""),"")</f>
        <v/>
      </c>
      <c r="DX201" s="56">
        <f>IFERROR(IF(($DL201)&gt;0,($DC201*cfg_TroyOz)/($DL201),""),"")</f>
        <v/>
      </c>
      <c r="DY201" s="67">
        <f>IFERROR(IF(($DM201)&gt;0,($DD201)/($DM201),""),"")</f>
        <v/>
      </c>
      <c r="DZ201" s="67">
        <f>IFERROR(IF(($DN201)&gt;0,($DE201)/($DN201),""),"")</f>
        <v/>
      </c>
      <c r="EA201" s="67">
        <f>IFERROR(IF(($DO201)&gt;0,($DF201)/($DO201),""),"")</f>
        <v/>
      </c>
      <c r="EB201" s="55">
        <f>SUMIFS(tblPlant[Gravity_Gold_oz],tblPlant[Date],$A201)</f>
        <v/>
      </c>
      <c r="EC201" s="55">
        <f>IF($B201=$B200,$EC200,0)+$EB201</f>
        <v/>
      </c>
      <c r="ED201" s="55">
        <f>$ED200+$EB201</f>
        <v/>
      </c>
      <c r="EE201" s="67">
        <f>IFERROR(IF(($DD201)&gt;0,($EB201)/($DD201),""),"")</f>
        <v/>
      </c>
      <c r="EF201" s="67">
        <f>IFERROR(IF(($DE201)&gt;0,($EC201)/($DE201),""),"")</f>
        <v/>
      </c>
      <c r="EG201" s="67">
        <f>IFERROR(IF(($DF201)&gt;0,($ED201)/($DF201),""),"")</f>
        <v/>
      </c>
      <c r="EH201" s="55">
        <f>SUMIFS(tblPlant[Gold_Poured_oz],tblPlant[Date],$A201)</f>
        <v/>
      </c>
      <c r="EI201" s="55">
        <f>IF($B201=$B200,$EI200,0)+$EH201</f>
        <v/>
      </c>
      <c r="EJ201" s="55">
        <f>$EJ200+$EH201</f>
        <v/>
      </c>
      <c r="EK201" s="57">
        <f>SUMIFS(tblPlant[Mill_Run_h],tblPlant[Date],$A201)</f>
        <v/>
      </c>
      <c r="EL201" s="57">
        <f>IF($B201=$B200,$EL200,0)+$EK201</f>
        <v/>
      </c>
      <c r="EM201" s="57">
        <f>$EM200+$EK201</f>
        <v/>
      </c>
      <c r="EN201" s="57">
        <f>SUMIFS(tblPlant[Mill_Planned_Maint_h],tblPlant[Date],$A201)</f>
        <v/>
      </c>
      <c r="EO201" s="57">
        <f>IF($B201=$B200,$EO200,0)+$EN201</f>
        <v/>
      </c>
      <c r="EP201" s="57">
        <f>$EP200+$EN201</f>
        <v/>
      </c>
      <c r="EQ201" s="57">
        <f>SUMIFS(tblPlant[Mill_Unplanned_Down_h],tblPlant[Date],$A201)</f>
        <v/>
      </c>
      <c r="ER201" s="57">
        <f>IF($B201=$B200,$ER200,0)+$EQ201</f>
        <v/>
      </c>
      <c r="ES201" s="57">
        <f>$ES200+$EQ201</f>
        <v/>
      </c>
      <c r="ET201" s="57">
        <f>IF(COUNTIFS(tblPlant[Date],$A201,tblPlant[Mill_Run_h],"&lt;&gt;")+COUNTIFS(tblPlant[Date],$A201,tblPlant[Mill_Planned_Maint_h],"&lt;&gt;")+COUNTIFS(tblPlant[Date],$A201,tblPlant[Mill_Unplanned_Down_h],"&lt;&gt;")&gt;0,cfg_HoursPerDay,0)</f>
        <v/>
      </c>
      <c r="EU201" s="57">
        <f>IF($B201=$B200,$EU200,0)+$ET201</f>
        <v/>
      </c>
      <c r="EV201" s="57">
        <f>$EV200+$ET201</f>
        <v/>
      </c>
      <c r="EW201" s="57">
        <f>SUMIFS(tblPlant[Crusher_Run_h],tblPlant[Date],$A201)</f>
        <v/>
      </c>
      <c r="EX201" s="57">
        <f>IF($B201=$B200,$EX200,0)+$EW201</f>
        <v/>
      </c>
      <c r="EY201" s="57">
        <f>$EY200+$EW201</f>
        <v/>
      </c>
      <c r="EZ201" s="55">
        <f>IFERROR(IF(($EK201)&gt;0,($DP201)/($EK201),""),"")</f>
        <v/>
      </c>
      <c r="FA201" s="55">
        <f>IFERROR(IF(($EL201)&gt;0,($DQ201)/($EL201),""),"")</f>
        <v/>
      </c>
      <c r="FB201" s="55">
        <f>IFERROR(IF(($EM201)&gt;0,($DR201)/($EM201),""),"")</f>
        <v/>
      </c>
      <c r="FC201" s="67">
        <f>IFERROR(IF(($ET201)&gt;0,($ET201-$EN201-$EQ201)/($ET201),""),"")</f>
        <v/>
      </c>
      <c r="FD201" s="67">
        <f>IFERROR(IF(($EU201)&gt;0,($EU201-$EO201-$ER201)/($EU201),""),"")</f>
        <v/>
      </c>
      <c r="FE201" s="67">
        <f>IFERROR(IF(($EV201)&gt;0,($EV201-$EP201-$ES201)/($EV201),""),"")</f>
        <v/>
      </c>
      <c r="FF201" s="67">
        <f>IFERROR(IF(($ET201-$EN201-$EQ201)&gt;0,($EK201)/($ET201-$EN201-$EQ201),""),"")</f>
        <v/>
      </c>
      <c r="FG201" s="67">
        <f>IFERROR(IF(($EU201-$EO201-$ER201)&gt;0,($EL201)/($EU201-$EO201-$ER201),""),"")</f>
        <v/>
      </c>
      <c r="FH201" s="67">
        <f>IFERROR(IF(($EV201-$EP201-$ES201)&gt;0,($EM201)/($EV201-$EP201-$ES201),""),"")</f>
        <v/>
      </c>
      <c r="FI201" s="55">
        <f>SUMIFS(tblPlant[Cyanide_kg],tblPlant[Date],$A201)</f>
        <v/>
      </c>
      <c r="FJ201" s="55">
        <f>IF($B201=$B200,$FJ200,0)+$FI201</f>
        <v/>
      </c>
      <c r="FK201" s="55">
        <f>$FK200+$FI201</f>
        <v/>
      </c>
      <c r="FL201" s="55">
        <f>SUMIFS(tblPlant[Lime_kg],tblPlant[Date],$A201)</f>
        <v/>
      </c>
      <c r="FM201" s="55">
        <f>IF($B201=$B200,$FM200,0)+$FL201</f>
        <v/>
      </c>
      <c r="FN201" s="55">
        <f>$FN200+$FL201</f>
        <v/>
      </c>
      <c r="FO201" s="55">
        <f>SUMIFS(tblPlant[Grinding_Media_kg],tblPlant[Date],$A201)</f>
        <v/>
      </c>
      <c r="FP201" s="55">
        <f>IF($B201=$B200,$FP200,0)+$FO201</f>
        <v/>
      </c>
      <c r="FQ201" s="55">
        <f>$FQ200+$FO201</f>
        <v/>
      </c>
      <c r="FR201" s="55">
        <f>SUMIFS(tblPlant[Power_kWh],tblPlant[Date],$A201)</f>
        <v/>
      </c>
      <c r="FS201" s="55">
        <f>IF($B201=$B200,$FS200,0)+$FR201</f>
        <v/>
      </c>
      <c r="FT201" s="55">
        <f>$FT200+$FR201</f>
        <v/>
      </c>
      <c r="FU201" s="55">
        <f>SUMIFS(tblPlant[Raw_Water_m3],tblPlant[Date],$A201)</f>
        <v/>
      </c>
      <c r="FV201" s="55">
        <f>IF($B201=$B200,$FV200,0)+$FU201</f>
        <v/>
      </c>
      <c r="FW201" s="55">
        <f>$FW200+$FU201</f>
        <v/>
      </c>
      <c r="FX201" s="56">
        <f>IFERROR(IF(($CU201)&gt;0,($FI201)/($CU201),""),"")</f>
        <v/>
      </c>
      <c r="FY201" s="56">
        <f>IFERROR(IF(($CV201)&gt;0,($FJ201)/($CV201),""),"")</f>
        <v/>
      </c>
      <c r="FZ201" s="56">
        <f>IFERROR(IF(($CW201)&gt;0,($FK201)/($CW201),""),"")</f>
        <v/>
      </c>
      <c r="GA201" s="56">
        <f>IFERROR(IF(($CU201)&gt;0,($FL201)/($CU201),""),"")</f>
        <v/>
      </c>
      <c r="GB201" s="56">
        <f>IFERROR(IF(($CV201)&gt;0,($FM201)/($CV201),""),"")</f>
        <v/>
      </c>
      <c r="GC201" s="56">
        <f>IFERROR(IF(($CW201)&gt;0,($FN201)/($CW201),""),"")</f>
        <v/>
      </c>
      <c r="GD201" s="56">
        <f>IFERROR(IF(($CU201)&gt;0,($FO201)/($CU201),""),"")</f>
        <v/>
      </c>
      <c r="GE201" s="56">
        <f>IFERROR(IF(($CV201)&gt;0,($FP201)/($CV201),""),"")</f>
        <v/>
      </c>
      <c r="GF201" s="56">
        <f>IFERROR(IF(($CW201)&gt;0,($FQ201)/($CW201),""),"")</f>
        <v/>
      </c>
      <c r="GG201" s="79">
        <f>IFERROR(IF(($CU201)&gt;0,($FR201)/($CU201),""),"")</f>
        <v/>
      </c>
      <c r="GH201" s="79">
        <f>IFERROR(IF(($CV201)&gt;0,($FS201)/($CV201),""),"")</f>
        <v/>
      </c>
      <c r="GI201" s="79">
        <f>IFERROR(IF(($CW201)&gt;0,($FT201)/($CW201),""),"")</f>
        <v/>
      </c>
      <c r="GJ201" s="56">
        <f>IFERROR(IF(($CU201)&gt;0,($FU201)/($CU201),""),"")</f>
        <v/>
      </c>
      <c r="GK201" s="56">
        <f>IFERROR(IF(($CV201)&gt;0,($FV201)/($CV201),""),"")</f>
        <v/>
      </c>
      <c r="GL201" s="56">
        <f>IFERROR(IF(($CW201)&gt;0,($FW201)/($CW201),""),"")</f>
        <v/>
      </c>
      <c r="GM201" s="55">
        <f>IF(SUMIFS(tblPlant[GIC_oz],tblPlant[Date],$A201)&gt;0,SUMIFS(tblPlant[GIC_oz],tblPlant[Date],$A201),"")</f>
        <v/>
      </c>
      <c r="GN201" s="55">
        <f>SUMIFS(tblGold[Gold_oz],tblGold[Date],$A201,tblGold[Type],"Shipment")</f>
        <v/>
      </c>
      <c r="GO201" s="55">
        <f>IF($B201=$B200,$GO200,0)+$GN201</f>
        <v/>
      </c>
      <c r="GP201" s="55">
        <f>$GP200+$GN201</f>
        <v/>
      </c>
      <c r="GQ201" s="55">
        <f>SUMIFS(tblGold[Gold_oz],tblGold[Date],$A201,tblGold[Type],"Sale")</f>
        <v/>
      </c>
      <c r="GR201" s="55">
        <f>IF($B201=$B200,$GR200,0)+$GQ201</f>
        <v/>
      </c>
      <c r="GS201" s="55">
        <f>$GS200+$GQ201</f>
        <v/>
      </c>
      <c r="GT201" s="55">
        <f>SUMIFS(tblGold[Dore_kg],tblGold[Date],$A201,tblGold[Type],"Shipment")</f>
        <v/>
      </c>
      <c r="GU201" s="55">
        <f>IF($B201=$B200,$GU200,0)+$GT201</f>
        <v/>
      </c>
      <c r="GV201" s="55">
        <f>$GV200+$GT201</f>
        <v/>
      </c>
      <c r="GW201" s="57">
        <f>SUMIFS(tblSafety[Hours_Total],tblSafety[Date],$A201)</f>
        <v/>
      </c>
      <c r="GX201" s="57">
        <f>IF($B201=$B200,$GX200,0)+$GW201</f>
        <v/>
      </c>
      <c r="GY201" s="57">
        <f>$GY200+$GW201</f>
        <v/>
      </c>
      <c r="GZ201" s="62">
        <f>SUMIFS(tblSafety[Fatality],tblSafety[Date],$A201)</f>
        <v/>
      </c>
      <c r="HA201" s="62">
        <f>IF($B201=$B200,$HA200,0)+$GZ201</f>
        <v/>
      </c>
      <c r="HB201" s="62">
        <f>$HB200+$GZ201</f>
        <v/>
      </c>
      <c r="HC201" s="62">
        <f>SUMIFS(tblSafety[LTI],tblSafety[Date],$A201)</f>
        <v/>
      </c>
      <c r="HD201" s="62">
        <f>IF($B201=$B200,$HD200,0)+$HC201</f>
        <v/>
      </c>
      <c r="HE201" s="62">
        <f>$HE200+$HC201</f>
        <v/>
      </c>
      <c r="HF201" s="62">
        <f>SUMIFS(tblSafety[RWI],tblSafety[Date],$A201)</f>
        <v/>
      </c>
      <c r="HG201" s="62">
        <f>IF($B201=$B200,$HG200,0)+$HF201</f>
        <v/>
      </c>
      <c r="HH201" s="62">
        <f>$HH200+$HF201</f>
        <v/>
      </c>
      <c r="HI201" s="62">
        <f>SUMIFS(tblSafety[MTI],tblSafety[Date],$A201)</f>
        <v/>
      </c>
      <c r="HJ201" s="62">
        <f>IF($B201=$B200,$HJ200,0)+$HI201</f>
        <v/>
      </c>
      <c r="HK201" s="62">
        <f>$HK200+$HI201</f>
        <v/>
      </c>
      <c r="HL201" s="62">
        <f>SUMIFS(tblSafety[FAI],tblSafety[Date],$A201)</f>
        <v/>
      </c>
      <c r="HM201" s="62">
        <f>IF($B201=$B200,$HM200,0)+$HL201</f>
        <v/>
      </c>
      <c r="HN201" s="62">
        <f>$HN200+$HL201</f>
        <v/>
      </c>
      <c r="HO201" s="62">
        <f>SUMIFS(tblSafety[Recordables],tblSafety[Date],$A201)</f>
        <v/>
      </c>
      <c r="HP201" s="62">
        <f>IF($B201=$B200,$HP200,0)+$HO201</f>
        <v/>
      </c>
      <c r="HQ201" s="62">
        <f>$HQ200+$HO201</f>
        <v/>
      </c>
      <c r="HR201" s="62">
        <f>SUMIFS(tblSafety[Near_Miss],tblSafety[Date],$A201)</f>
        <v/>
      </c>
      <c r="HS201" s="62">
        <f>IF($B201=$B200,$HS200,0)+$HR201</f>
        <v/>
      </c>
      <c r="HT201" s="62">
        <f>$HT200+$HR201</f>
        <v/>
      </c>
      <c r="HU201" s="62">
        <f>SUMIFS(tblSafety[Hazard_Reports],tblSafety[Date],$A201)</f>
        <v/>
      </c>
      <c r="HV201" s="62">
        <f>IF($B201=$B200,$HV200,0)+$HU201</f>
        <v/>
      </c>
      <c r="HW201" s="62">
        <f>$HW200+$HU201</f>
        <v/>
      </c>
      <c r="HX201" s="62">
        <f>SUMIFS(tblSafety[HPI],tblSafety[Date],$A201)</f>
        <v/>
      </c>
      <c r="HY201" s="62">
        <f>IF($B201=$B200,$HY200,0)+$HX201</f>
        <v/>
      </c>
      <c r="HZ201" s="62">
        <f>$HZ200+$HX201</f>
        <v/>
      </c>
      <c r="IA201" s="62">
        <f>SUMIFS(tblSafety[Env_Incidents],tblSafety[Date],$A201)</f>
        <v/>
      </c>
      <c r="IB201" s="62">
        <f>IF($B201=$B200,$IB200,0)+$IA201</f>
        <v/>
      </c>
      <c r="IC201" s="62">
        <f>$IC200+$IA201</f>
        <v/>
      </c>
      <c r="ID201" s="62">
        <f>SUMIFS(tblSafety[Community_Incidents],tblSafety[Date],$A201)</f>
        <v/>
      </c>
      <c r="IE201" s="62">
        <f>IF($B201=$B200,$IE200,0)+$ID201</f>
        <v/>
      </c>
      <c r="IF201" s="62">
        <f>$IF200+$ID201</f>
        <v/>
      </c>
      <c r="IG201" s="62">
        <f>SUMIFS(tblSafety[Vehicle_Incidents],tblSafety[Date],$A201)</f>
        <v/>
      </c>
      <c r="IH201" s="62">
        <f>IF($B201=$B200,$IH200,0)+$IG201</f>
        <v/>
      </c>
      <c r="II201" s="62">
        <f>$II200+$IG201</f>
        <v/>
      </c>
      <c r="IJ201" s="62">
        <f>SUMIFS(tblSafety[Toolbox_Talks],tblSafety[Date],$A201)</f>
        <v/>
      </c>
      <c r="IK201" s="62">
        <f>IF($B201=$B200,$IK200,0)+$IJ201</f>
        <v/>
      </c>
      <c r="IL201" s="62">
        <f>$IL200+$IJ201</f>
        <v/>
      </c>
      <c r="IM201" s="62">
        <f>SUMIFS(tblSafety[Inspections],tblSafety[Date],$A201)</f>
        <v/>
      </c>
      <c r="IN201" s="62">
        <f>IF($B201=$B200,$IN200,0)+$IM201</f>
        <v/>
      </c>
      <c r="IO201" s="62">
        <f>$IO200+$IM201</f>
        <v/>
      </c>
      <c r="IP201" s="56">
        <f>IFERROR((SUMIFS(tblSafety[Recordables],tblSafety[Date],"&gt;="&amp;EDATE($E201,-12),tblSafety[Date],"&lt;="&amp;$A201)+SUMIFS(tblSafetyHistory[Recordables],tblSafetyHistory[Month],"&gt;="&amp;EDATE($E201,-12),tblSafetyHistory[Month],"&lt;"&amp;$E201,tblSafetyHistory[Use],1))/(SUMIFS(tblSafety[Hours_Total],tblSafety[Date],"&gt;="&amp;EDATE($E201,-12),tblSafety[Date],"&lt;="&amp;$A201)+SUMIFS(tblSafetyHistory[Hours_Total],tblSafetyHistory[Month],"&gt;="&amp;EDATE($E201,-12),tblSafetyHistory[Month],"&lt;"&amp;$E201,tblSafetyHistory[Use],1))*cfg_RateBasisHours,"")</f>
        <v/>
      </c>
      <c r="IQ201" s="56">
        <f>IFERROR((SUMIFS(tblSafety[LTI],tblSafety[Date],"&gt;="&amp;EDATE($E201,-12),tblSafety[Date],"&lt;="&amp;$A201)+SUMIFS(tblSafetyHistory[LTI],tblSafetyHistory[Month],"&gt;="&amp;EDATE($E201,-12),tblSafetyHistory[Month],"&lt;"&amp;$E201,tblSafetyHistory[Use],1))/(SUMIFS(tblSafety[Hours_Total],tblSafety[Date],"&gt;="&amp;EDATE($E201,-12),tblSafety[Date],"&lt;="&amp;$A201)+SUMIFS(tblSafetyHistory[Hours_Total],tblSafetyHistory[Month],"&gt;="&amp;EDATE($E201,-12),tblSafetyHistory[Month],"&lt;"&amp;$E201,tblSafetyHistory[Use],1))*cfg_RateBasisHours,"")</f>
        <v/>
      </c>
      <c r="IR201" s="62">
        <f>IF(MAX(N(cfg_PriorLTIDate),_xlfn.MAXIFS(tblSafety[Date],tblSafety[LTI],"&gt;0",tblSafety[Date],"&lt;="&amp;$A201))=0,"",$A201-MAX(N(cfg_PriorLTIDate),_xlfn.MAXIFS(tblSafety[Date],tblSafety[LTI],"&gt;0",tblSafety[Date],"&lt;="&amp;$A201)))</f>
        <v/>
      </c>
      <c r="IS201" s="55">
        <f>SUMIFS(tblBudget[Ore_Mined_t],tblBudget[Month],$E201)</f>
        <v/>
      </c>
      <c r="IT201" s="55">
        <f>$IS201*$C201/$D201</f>
        <v/>
      </c>
      <c r="IU201" s="55">
        <f>SUMIFS(tblBudget[Ore_Mined_t],tblBudget[Month],"&lt;"&amp;$E201)+$IT201</f>
        <v/>
      </c>
      <c r="IV201" s="55">
        <f>SUMIFS(tblBudget[Ore_oz],tblBudget[Month],$E201)</f>
        <v/>
      </c>
      <c r="IW201" s="55">
        <f>$IV201*$C201/$D201</f>
        <v/>
      </c>
      <c r="IX201" s="55">
        <f>SUMIFS(tblBudget[Ore_oz],tblBudget[Month],"&lt;"&amp;$E201)+$IW201</f>
        <v/>
      </c>
      <c r="IY201" s="55">
        <f>SUMIFS(tblBudget[Ore_Mined_t],tblBudget[Month],$E201)</f>
        <v/>
      </c>
      <c r="IZ201" s="55">
        <f>$IY201*$C201/$D201</f>
        <v/>
      </c>
      <c r="JA201" s="55">
        <f>SUMIFS(tblBudget[Ore_Mined_t],tblBudget[Month],"&lt;"&amp;$E201)+$IZ201</f>
        <v/>
      </c>
      <c r="JB201" s="56">
        <f>IFERROR(IF(($IY201)&gt;0,($IV201*cfg_TroyOz)/($IY201),""),"")</f>
        <v/>
      </c>
      <c r="JC201" s="56">
        <f>IFERROR(IF(($IZ201)&gt;0,($IW201*cfg_TroyOz)/($IZ201),""),"")</f>
        <v/>
      </c>
      <c r="JD201" s="56">
        <f>IFERROR(IF(($JA201)&gt;0,($IX201*cfg_TroyOz)/($JA201),""),"")</f>
        <v/>
      </c>
      <c r="JE201" s="55">
        <f>SUMIFS(tblBudget[Waste_t],tblBudget[Month],$E201)</f>
        <v/>
      </c>
      <c r="JF201" s="55">
        <f>$JE201*$C201/$D201</f>
        <v/>
      </c>
      <c r="JG201" s="55">
        <f>SUMIFS(tblBudget[Waste_t],tblBudget[Month],"&lt;"&amp;$E201)+$JF201</f>
        <v/>
      </c>
      <c r="JH201" s="55">
        <f>SUMIFS(tblBudget[TMM_t],tblBudget[Month],$E201)</f>
        <v/>
      </c>
      <c r="JI201" s="55">
        <f>$JH201*$C201/$D201</f>
        <v/>
      </c>
      <c r="JJ201" s="55">
        <f>SUMIFS(tblBudget[TMM_t],tblBudget[Month],"&lt;"&amp;$E201)+$JI201</f>
        <v/>
      </c>
      <c r="JK201" s="56">
        <f>IFERROR(IF(($IS201)&gt;0,($JE201)/($IS201),""),"")</f>
        <v/>
      </c>
      <c r="JL201" s="56">
        <f>IFERROR(IF(($IT201)&gt;0,($JF201)/($IT201),""),"")</f>
        <v/>
      </c>
      <c r="JM201" s="56">
        <f>IFERROR(IF(($IU201)&gt;0,($JG201)/($IU201),""),"")</f>
        <v/>
      </c>
      <c r="JN201" s="55">
        <f>SUMIFS(tblBudget[Drill_m],tblBudget[Month],$E201)</f>
        <v/>
      </c>
      <c r="JO201" s="55">
        <f>$JN201*$C201/$D201</f>
        <v/>
      </c>
      <c r="JP201" s="55">
        <f>SUMIFS(tblBudget[Drill_m],tblBudget[Month],"&lt;"&amp;$E201)+$JO201</f>
        <v/>
      </c>
      <c r="JQ201" s="55">
        <f>SUMIFS(tblBudget[Diesel_L],tblBudget[Month],$E201)</f>
        <v/>
      </c>
      <c r="JR201" s="55">
        <f>$JQ201*$C201/$D201</f>
        <v/>
      </c>
      <c r="JS201" s="55">
        <f>SUMIFS(tblBudget[Diesel_L],tblBudget[Month],"&lt;"&amp;$E201)+$JR201</f>
        <v/>
      </c>
      <c r="JT201" s="55">
        <f>SUMIFS(tblBudget[Milled_t],tblBudget[Month],$E201)</f>
        <v/>
      </c>
      <c r="JU201" s="55">
        <f>$JT201*$C201/$D201</f>
        <v/>
      </c>
      <c r="JV201" s="55">
        <f>SUMIFS(tblBudget[Milled_t],tblBudget[Month],"&lt;"&amp;$E201)+$JU201</f>
        <v/>
      </c>
      <c r="JW201" s="55">
        <f>SUMIFS(tblBudget[Feed_oz],tblBudget[Month],$E201)</f>
        <v/>
      </c>
      <c r="JX201" s="55">
        <f>$JW201*$C201/$D201</f>
        <v/>
      </c>
      <c r="JY201" s="55">
        <f>SUMIFS(tblBudget[Feed_oz],tblBudget[Month],"&lt;"&amp;$E201)+$JX201</f>
        <v/>
      </c>
      <c r="JZ201" s="55">
        <f>SUMIFS(tblBudget[Recovered_oz],tblBudget[Month],$E201)</f>
        <v/>
      </c>
      <c r="KA201" s="55">
        <f>$JZ201*$C201/$D201</f>
        <v/>
      </c>
      <c r="KB201" s="55">
        <f>SUMIFS(tblBudget[Recovered_oz],tblBudget[Month],"&lt;"&amp;$E201)+$KA201</f>
        <v/>
      </c>
      <c r="KC201" s="55">
        <f>SUMIFS(tblBudget[Milled_t],tblBudget[Month],$E201)</f>
        <v/>
      </c>
      <c r="KD201" s="55">
        <f>$KC201*$C201/$D201</f>
        <v/>
      </c>
      <c r="KE201" s="55">
        <f>SUMIFS(tblBudget[Milled_t],tblBudget[Month],"&lt;"&amp;$E201)+$KD201</f>
        <v/>
      </c>
      <c r="KF201" s="55">
        <f>SUMIFS(tblBudget[Feed_oz],tblBudget[Month],$E201)</f>
        <v/>
      </c>
      <c r="KG201" s="55">
        <f>$KF201*$C201/$D201</f>
        <v/>
      </c>
      <c r="KH201" s="55">
        <f>SUMIFS(tblBudget[Feed_oz],tblBudget[Month],"&lt;"&amp;$E201)+$KG201</f>
        <v/>
      </c>
      <c r="KI201" s="56">
        <f>IFERROR(IF(($KC201)&gt;0,($JW201*cfg_TroyOz)/($KC201),""),"")</f>
        <v/>
      </c>
      <c r="KJ201" s="56">
        <f>IFERROR(IF(($KD201)&gt;0,($JX201*cfg_TroyOz)/($KD201),""),"")</f>
        <v/>
      </c>
      <c r="KK201" s="56">
        <f>IFERROR(IF(($KE201)&gt;0,($JY201*cfg_TroyOz)/($KE201),""),"")</f>
        <v/>
      </c>
      <c r="KL201" s="67">
        <f>IFERROR(IF(($KF201)&gt;0,($JZ201)/($KF201),""),"")</f>
        <v/>
      </c>
      <c r="KM201" s="67">
        <f>IFERROR(IF(($KG201)&gt;0,($KA201)/($KG201),""),"")</f>
        <v/>
      </c>
      <c r="KN201" s="67">
        <f>IFERROR(IF(($KH201)&gt;0,($KB201)/($KH201),""),"")</f>
        <v/>
      </c>
      <c r="KO201" s="55">
        <f>SUMIFS(tblBudget[Gold_Poured_oz],tblBudget[Month],$E201)</f>
        <v/>
      </c>
      <c r="KP201" s="55">
        <f>$KO201*$C201/$D201</f>
        <v/>
      </c>
      <c r="KQ201" s="55">
        <f>SUMIFS(tblBudget[Gold_Poured_oz],tblBudget[Month],"&lt;"&amp;$E201)+$KP201</f>
        <v/>
      </c>
      <c r="KR201" s="57">
        <f>SUMIFS(tblBudget[Hours_Worked],tblBudget[Month],$E201)</f>
        <v/>
      </c>
      <c r="KS201" s="57">
        <f>$KR201*$C201/$D201</f>
        <v/>
      </c>
      <c r="KT201" s="57">
        <f>SUMIFS(tblBudget[Hours_Worked],tblBudget[Month],"&lt;"&amp;$E201)+$KS201</f>
        <v/>
      </c>
    </row>
    <row r="202">
      <c r="A202" s="54" t="n">
        <v>46223</v>
      </c>
      <c r="B202">
        <f>MONTH($A202)</f>
        <v/>
      </c>
      <c r="C202">
        <f>DAY($A202)</f>
        <v/>
      </c>
      <c r="D202">
        <f>DAY(EOMONTH($A202,0))</f>
        <v/>
      </c>
      <c r="E202" s="54">
        <f>DATE(YEAR($A202),MONTH($A202),1)</f>
        <v/>
      </c>
      <c r="F202" s="55">
        <f>SUMIFS(tblMovement[Tonnes_t],tblMovement[Date],$A202,tblMovement[Is_Ore],1,tblMovement[Source_Type],"Pit")</f>
        <v/>
      </c>
      <c r="G202" s="55">
        <f>IF($B202=$B201,$G201,0)+$F202</f>
        <v/>
      </c>
      <c r="H202" s="55">
        <f>$H201+$F202</f>
        <v/>
      </c>
      <c r="I202" s="55">
        <f>SUMIFS(tblMovement[Ore_oz],tblMovement[Date],$A202,tblMovement[Source_Type],"Pit")</f>
        <v/>
      </c>
      <c r="J202" s="55">
        <f>IF($B202=$B201,$J201,0)+$I202</f>
        <v/>
      </c>
      <c r="K202" s="55">
        <f>$K201+$I202</f>
        <v/>
      </c>
      <c r="L202" s="55">
        <f>SUMIFS(tblMovement[Tonnes_t],tblMovement[Date],$A202,tblMovement[Is_Ore],1,tblMovement[Source_Type],"Pit",tblMovement[Grade_gpt],"&lt;&gt;")</f>
        <v/>
      </c>
      <c r="M202" s="55">
        <f>IF($B202=$B201,$M201,0)+$L202</f>
        <v/>
      </c>
      <c r="N202" s="55">
        <f>$N201+$L202</f>
        <v/>
      </c>
      <c r="O202" s="56">
        <f>IFERROR(IF(($L202)&gt;0,($I202*cfg_TroyOz)/($L202),""),"")</f>
        <v/>
      </c>
      <c r="P202" s="56">
        <f>IFERROR(IF(($M202)&gt;0,($J202*cfg_TroyOz)/($M202),""),"")</f>
        <v/>
      </c>
      <c r="Q202" s="56">
        <f>IFERROR(IF(($N202)&gt;0,($K202*cfg_TroyOz)/($N202),""),"")</f>
        <v/>
      </c>
      <c r="R202" s="55">
        <f>$F202-$L202</f>
        <v/>
      </c>
      <c r="S202" s="55">
        <f>IF($B202=$B201,$S201,0)+$R202</f>
        <v/>
      </c>
      <c r="T202" s="55">
        <f>$T201+$R202</f>
        <v/>
      </c>
      <c r="U202" s="55">
        <f>SUMIFS(tblMovement[Tonnes_t],tblMovement[Date],$A202,tblMovement[Is_Ore],0,tblMovement[Source_Type],"Pit")</f>
        <v/>
      </c>
      <c r="V202" s="55">
        <f>IF($B202=$B201,$V201,0)+$U202</f>
        <v/>
      </c>
      <c r="W202" s="55">
        <f>$W201+$U202</f>
        <v/>
      </c>
      <c r="X202" s="55">
        <f>$F202+$U202</f>
        <v/>
      </c>
      <c r="Y202" s="55">
        <f>IF($B202=$B201,$Y201,0)+$X202</f>
        <v/>
      </c>
      <c r="Z202" s="55">
        <f>$Z201+$X202</f>
        <v/>
      </c>
      <c r="AA202" s="56">
        <f>IFERROR(IF(($F202)&gt;0,($U202)/($F202),""),"")</f>
        <v/>
      </c>
      <c r="AB202" s="56">
        <f>IFERROR(IF(($G202)&gt;0,($V202)/($G202),""),"")</f>
        <v/>
      </c>
      <c r="AC202" s="56">
        <f>IFERROR(IF(($H202)&gt;0,($W202)/($H202),""),"")</f>
        <v/>
      </c>
      <c r="AD202" s="55">
        <f>SUMIFS(tblMovement[Tonnes_t],tblMovement[Date],$A202,tblMovement[Source_Type],"Stockpile")</f>
        <v/>
      </c>
      <c r="AE202" s="55">
        <f>IF($B202=$B201,$AE201,0)+$AD202</f>
        <v/>
      </c>
      <c r="AF202" s="55">
        <f>$AF201+$AD202</f>
        <v/>
      </c>
      <c r="AG202" s="55">
        <f>SUMIFS(tblMovement[Tonnes_t],tblMovement[Date],$A202)</f>
        <v/>
      </c>
      <c r="AH202" s="55">
        <f>IF($B202=$B201,$AH201,0)+$AG202</f>
        <v/>
      </c>
      <c r="AI202" s="55">
        <f>$AI201+$AG202</f>
        <v/>
      </c>
      <c r="AJ202" s="55">
        <f>$AG202-$X202-$AD202</f>
        <v/>
      </c>
      <c r="AK202" s="55">
        <f>IF($B202=$B201,$AK201,0)+$AJ202</f>
        <v/>
      </c>
      <c r="AL202" s="55">
        <f>$AL201+$AJ202</f>
        <v/>
      </c>
      <c r="AM202" s="55">
        <f>SUMIFS(tblMiningDaily[Drill_m],tblMiningDaily[Date],$A202)</f>
        <v/>
      </c>
      <c r="AN202" s="55">
        <f>IF($B202=$B201,$AN201,0)+$AM202</f>
        <v/>
      </c>
      <c r="AO202" s="55">
        <f>$AO201+$AM202</f>
        <v/>
      </c>
      <c r="AP202" s="55">
        <f>SUMIFS(tblMiningDaily[GC_Drill_m],tblMiningDaily[Date],$A202)</f>
        <v/>
      </c>
      <c r="AQ202" s="55">
        <f>IF($B202=$B201,$AQ201,0)+$AP202</f>
        <v/>
      </c>
      <c r="AR202" s="55">
        <f>$AR201+$AP202</f>
        <v/>
      </c>
      <c r="AS202" s="55">
        <f>SUMIFS(tblMiningDaily[Blast_t],tblMiningDaily[Date],$A202)</f>
        <v/>
      </c>
      <c r="AT202" s="55">
        <f>IF($B202=$B201,$AT201,0)+$AS202</f>
        <v/>
      </c>
      <c r="AU202" s="55">
        <f>$AU201+$AS202</f>
        <v/>
      </c>
      <c r="AV202" s="55">
        <f>SUMIFS(tblMiningDaily[Explosives_kg],tblMiningDaily[Date],$A202)</f>
        <v/>
      </c>
      <c r="AW202" s="55">
        <f>IF($B202=$B201,$AW201,0)+$AV202</f>
        <v/>
      </c>
      <c r="AX202" s="55">
        <f>$AX201+$AV202</f>
        <v/>
      </c>
      <c r="AY202" s="56">
        <f>IFERROR(IF(($AS202)&gt;0,($AV202)/($AS202),""),"")</f>
        <v/>
      </c>
      <c r="AZ202" s="56">
        <f>IFERROR(IF(($AT202)&gt;0,($AW202)/($AT202),""),"")</f>
        <v/>
      </c>
      <c r="BA202" s="56">
        <f>IFERROR(IF(($AU202)&gt;0,($AX202)/($AU202),""),"")</f>
        <v/>
      </c>
      <c r="BB202" s="55">
        <f>SUMIFS(tblMiningDaily[Diesel_L],tblMiningDaily[Date],$A202)</f>
        <v/>
      </c>
      <c r="BC202" s="55">
        <f>IF($B202=$B201,$BC201,0)+$BB202</f>
        <v/>
      </c>
      <c r="BD202" s="55">
        <f>$BD201+$BB202</f>
        <v/>
      </c>
      <c r="BE202" s="55">
        <f>SUMIFS(tblMiningDaily[Dewatering_m3],tblMiningDaily[Date],$A202)</f>
        <v/>
      </c>
      <c r="BF202" s="55">
        <f>IF($B202=$B201,$BF201,0)+$BE202</f>
        <v/>
      </c>
      <c r="BG202" s="55">
        <f>$BG201+$BE202</f>
        <v/>
      </c>
      <c r="BH202" s="57">
        <f>SUMIFS(tblFleet[Calendar_h],tblFleet[Date],$A202,tblFleet[Equipment_Class],"Excavator")</f>
        <v/>
      </c>
      <c r="BI202" s="57">
        <f>IF($B202=$B201,$BI201,0)+$BH202</f>
        <v/>
      </c>
      <c r="BJ202" s="57">
        <f>$BJ201+$BH202</f>
        <v/>
      </c>
      <c r="BK202" s="57">
        <f>SUMIFS(tblFleet[Available_h],tblFleet[Date],$A202,tblFleet[Equipment_Class],"Excavator")</f>
        <v/>
      </c>
      <c r="BL202" s="57">
        <f>IF($B202=$B201,$BL201,0)+$BK202</f>
        <v/>
      </c>
      <c r="BM202" s="57">
        <f>$BM201+$BK202</f>
        <v/>
      </c>
      <c r="BN202" s="57">
        <f>SUMIFS(tblFleet[Operating_h],tblFleet[Date],$A202,tblFleet[Equipment_Class],"Excavator")</f>
        <v/>
      </c>
      <c r="BO202" s="57">
        <f>IF($B202=$B201,$BO201,0)+$BN202</f>
        <v/>
      </c>
      <c r="BP202" s="57">
        <f>$BP201+$BN202</f>
        <v/>
      </c>
      <c r="BQ202" s="67">
        <f>IFERROR(IF(($BH202)&gt;0,($BK202)/($BH202),""),"")</f>
        <v/>
      </c>
      <c r="BR202" s="67">
        <f>IFERROR(IF(($BI202)&gt;0,($BL202)/($BI202),""),"")</f>
        <v/>
      </c>
      <c r="BS202" s="67">
        <f>IFERROR(IF(($BJ202)&gt;0,($BM202)/($BJ202),""),"")</f>
        <v/>
      </c>
      <c r="BT202" s="67">
        <f>IFERROR(IF(($BK202)&gt;0,($BN202)/($BK202),""),"")</f>
        <v/>
      </c>
      <c r="BU202" s="67">
        <f>IFERROR(IF(($BL202)&gt;0,($BO202)/($BL202),""),"")</f>
        <v/>
      </c>
      <c r="BV202" s="67">
        <f>IFERROR(IF(($BM202)&gt;0,($BP202)/($BM202),""),"")</f>
        <v/>
      </c>
      <c r="BW202" s="57">
        <f>SUMIFS(tblFleet[Calendar_h],tblFleet[Date],$A202,tblFleet[Equipment_Class],"Haul Truck")</f>
        <v/>
      </c>
      <c r="BX202" s="57">
        <f>IF($B202=$B201,$BX201,0)+$BW202</f>
        <v/>
      </c>
      <c r="BY202" s="57">
        <f>$BY201+$BW202</f>
        <v/>
      </c>
      <c r="BZ202" s="57">
        <f>SUMIFS(tblFleet[Available_h],tblFleet[Date],$A202,tblFleet[Equipment_Class],"Haul Truck")</f>
        <v/>
      </c>
      <c r="CA202" s="57">
        <f>IF($B202=$B201,$CA201,0)+$BZ202</f>
        <v/>
      </c>
      <c r="CB202" s="57">
        <f>$CB201+$BZ202</f>
        <v/>
      </c>
      <c r="CC202" s="57">
        <f>SUMIFS(tblFleet[Operating_h],tblFleet[Date],$A202,tblFleet[Equipment_Class],"Haul Truck")</f>
        <v/>
      </c>
      <c r="CD202" s="57">
        <f>IF($B202=$B201,$CD201,0)+$CC202</f>
        <v/>
      </c>
      <c r="CE202" s="57">
        <f>$CE201+$CC202</f>
        <v/>
      </c>
      <c r="CF202" s="67">
        <f>IFERROR(IF(($BW202)&gt;0,($BZ202)/($BW202),""),"")</f>
        <v/>
      </c>
      <c r="CG202" s="67">
        <f>IFERROR(IF(($BX202)&gt;0,($CA202)/($BX202),""),"")</f>
        <v/>
      </c>
      <c r="CH202" s="67">
        <f>IFERROR(IF(($BY202)&gt;0,($CB202)/($BY202),""),"")</f>
        <v/>
      </c>
      <c r="CI202" s="67">
        <f>IFERROR(IF(($BZ202)&gt;0,($CC202)/($BZ202),""),"")</f>
        <v/>
      </c>
      <c r="CJ202" s="67">
        <f>IFERROR(IF(($CA202)&gt;0,($CD202)/($CA202),""),"")</f>
        <v/>
      </c>
      <c r="CK202" s="67">
        <f>IFERROR(IF(($CB202)&gt;0,($CE202)/($CB202),""),"")</f>
        <v/>
      </c>
      <c r="CL202" s="55">
        <f>IFERROR(IF(($BN202)&gt;0,($X202+$AD202)/($BN202),""),"")</f>
        <v/>
      </c>
      <c r="CM202" s="55">
        <f>IFERROR(IF(($BO202)&gt;0,($Y202+$AE202)/($BO202),""),"")</f>
        <v/>
      </c>
      <c r="CN202" s="55">
        <f>IFERROR(IF(($BP202)&gt;0,($Z202+$AF202)/($BP202),""),"")</f>
        <v/>
      </c>
      <c r="CO202" s="55">
        <f>IFERROR(IF(($CC202)&gt;0,($X202+$AD202)/($CC202),""),"")</f>
        <v/>
      </c>
      <c r="CP202" s="55">
        <f>IFERROR(IF(($CD202)&gt;0,($Y202+$AE202)/($CD202),""),"")</f>
        <v/>
      </c>
      <c r="CQ202" s="55">
        <f>IFERROR(IF(($CE202)&gt;0,($Z202+$AF202)/($CE202),""),"")</f>
        <v/>
      </c>
      <c r="CR202" s="55">
        <f>SUMIFS(tblPlant[Crushed_t],tblPlant[Date],$A202)</f>
        <v/>
      </c>
      <c r="CS202" s="55">
        <f>IF($B202=$B201,$CS201,0)+$CR202</f>
        <v/>
      </c>
      <c r="CT202" s="55">
        <f>$CT201+$CR202</f>
        <v/>
      </c>
      <c r="CU202" s="55">
        <f>SUMIFS(tblPlant[Milled_t],tblPlant[Date],$A202)</f>
        <v/>
      </c>
      <c r="CV202" s="55">
        <f>IF($B202=$B201,$CV201,0)+$CU202</f>
        <v/>
      </c>
      <c r="CW202" s="55">
        <f>$CW201+$CU202</f>
        <v/>
      </c>
      <c r="CX202" s="55">
        <f>SUMIFS(tblPlant[Feed_oz],tblPlant[Date],$A202)</f>
        <v/>
      </c>
      <c r="CY202" s="55">
        <f>IF($B202=$B201,$CY201,0)+$CX202</f>
        <v/>
      </c>
      <c r="CZ202" s="55">
        <f>$CZ201+$CX202</f>
        <v/>
      </c>
      <c r="DA202" s="55">
        <f>SUMIFS(tblPlant[Tails_oz],tblPlant[Date],$A202)</f>
        <v/>
      </c>
      <c r="DB202" s="55">
        <f>IF($B202=$B201,$DB201,0)+$DA202</f>
        <v/>
      </c>
      <c r="DC202" s="55">
        <f>$DC201+$DA202</f>
        <v/>
      </c>
      <c r="DD202" s="55">
        <f>SUMIFS(tblPlant[Recovered_oz],tblPlant[Date],$A202)</f>
        <v/>
      </c>
      <c r="DE202" s="55">
        <f>IF($B202=$B201,$DE201,0)+$DD202</f>
        <v/>
      </c>
      <c r="DF202" s="55">
        <f>$DF201+$DD202</f>
        <v/>
      </c>
      <c r="DG202" s="55">
        <f>SUMIFS(tblPlant[Milled_t],tblPlant[Date],$A202,tblPlant[Head_Grade_gpt],"&lt;&gt;")</f>
        <v/>
      </c>
      <c r="DH202" s="55">
        <f>IF($B202=$B201,$DH201,0)+$DG202</f>
        <v/>
      </c>
      <c r="DI202" s="55">
        <f>$DI201+$DG202</f>
        <v/>
      </c>
      <c r="DJ202" s="55">
        <f>SUMIFS(tblPlant[Milled_t],tblPlant[Date],$A202,tblPlant[Tails_Grade_gpt],"&lt;&gt;")</f>
        <v/>
      </c>
      <c r="DK202" s="55">
        <f>IF($B202=$B201,$DK201,0)+$DJ202</f>
        <v/>
      </c>
      <c r="DL202" s="55">
        <f>$DL201+$DJ202</f>
        <v/>
      </c>
      <c r="DM202" s="55">
        <f>SUMIFS(tblPlant[Feed_oz],tblPlant[Date],$A202,tblPlant[Tails_Grade_gpt],"&lt;&gt;")</f>
        <v/>
      </c>
      <c r="DN202" s="55">
        <f>IF($B202=$B201,$DN201,0)+$DM202</f>
        <v/>
      </c>
      <c r="DO202" s="55">
        <f>$DO201+$DM202</f>
        <v/>
      </c>
      <c r="DP202" s="55">
        <f>SUMIFS(tblPlant[Milled_t],tblPlant[Date],$A202,tblPlant[Mill_Run_h],"&lt;&gt;")</f>
        <v/>
      </c>
      <c r="DQ202" s="55">
        <f>IF($B202=$B201,$DQ201,0)+$DP202</f>
        <v/>
      </c>
      <c r="DR202" s="55">
        <f>$DR201+$DP202</f>
        <v/>
      </c>
      <c r="DS202" s="56">
        <f>IFERROR(IF(($DG202)&gt;0,($CX202*cfg_TroyOz)/($DG202),""),"")</f>
        <v/>
      </c>
      <c r="DT202" s="56">
        <f>IFERROR(IF(($DH202)&gt;0,($CY202*cfg_TroyOz)/($DH202),""),"")</f>
        <v/>
      </c>
      <c r="DU202" s="56">
        <f>IFERROR(IF(($DI202)&gt;0,($CZ202*cfg_TroyOz)/($DI202),""),"")</f>
        <v/>
      </c>
      <c r="DV202" s="56">
        <f>IFERROR(IF(($DJ202)&gt;0,($DA202*cfg_TroyOz)/($DJ202),""),"")</f>
        <v/>
      </c>
      <c r="DW202" s="56">
        <f>IFERROR(IF(($DK202)&gt;0,($DB202*cfg_TroyOz)/($DK202),""),"")</f>
        <v/>
      </c>
      <c r="DX202" s="56">
        <f>IFERROR(IF(($DL202)&gt;0,($DC202*cfg_TroyOz)/($DL202),""),"")</f>
        <v/>
      </c>
      <c r="DY202" s="67">
        <f>IFERROR(IF(($DM202)&gt;0,($DD202)/($DM202),""),"")</f>
        <v/>
      </c>
      <c r="DZ202" s="67">
        <f>IFERROR(IF(($DN202)&gt;0,($DE202)/($DN202),""),"")</f>
        <v/>
      </c>
      <c r="EA202" s="67">
        <f>IFERROR(IF(($DO202)&gt;0,($DF202)/($DO202),""),"")</f>
        <v/>
      </c>
      <c r="EB202" s="55">
        <f>SUMIFS(tblPlant[Gravity_Gold_oz],tblPlant[Date],$A202)</f>
        <v/>
      </c>
      <c r="EC202" s="55">
        <f>IF($B202=$B201,$EC201,0)+$EB202</f>
        <v/>
      </c>
      <c r="ED202" s="55">
        <f>$ED201+$EB202</f>
        <v/>
      </c>
      <c r="EE202" s="67">
        <f>IFERROR(IF(($DD202)&gt;0,($EB202)/($DD202),""),"")</f>
        <v/>
      </c>
      <c r="EF202" s="67">
        <f>IFERROR(IF(($DE202)&gt;0,($EC202)/($DE202),""),"")</f>
        <v/>
      </c>
      <c r="EG202" s="67">
        <f>IFERROR(IF(($DF202)&gt;0,($ED202)/($DF202),""),"")</f>
        <v/>
      </c>
      <c r="EH202" s="55">
        <f>SUMIFS(tblPlant[Gold_Poured_oz],tblPlant[Date],$A202)</f>
        <v/>
      </c>
      <c r="EI202" s="55">
        <f>IF($B202=$B201,$EI201,0)+$EH202</f>
        <v/>
      </c>
      <c r="EJ202" s="55">
        <f>$EJ201+$EH202</f>
        <v/>
      </c>
      <c r="EK202" s="57">
        <f>SUMIFS(tblPlant[Mill_Run_h],tblPlant[Date],$A202)</f>
        <v/>
      </c>
      <c r="EL202" s="57">
        <f>IF($B202=$B201,$EL201,0)+$EK202</f>
        <v/>
      </c>
      <c r="EM202" s="57">
        <f>$EM201+$EK202</f>
        <v/>
      </c>
      <c r="EN202" s="57">
        <f>SUMIFS(tblPlant[Mill_Planned_Maint_h],tblPlant[Date],$A202)</f>
        <v/>
      </c>
      <c r="EO202" s="57">
        <f>IF($B202=$B201,$EO201,0)+$EN202</f>
        <v/>
      </c>
      <c r="EP202" s="57">
        <f>$EP201+$EN202</f>
        <v/>
      </c>
      <c r="EQ202" s="57">
        <f>SUMIFS(tblPlant[Mill_Unplanned_Down_h],tblPlant[Date],$A202)</f>
        <v/>
      </c>
      <c r="ER202" s="57">
        <f>IF($B202=$B201,$ER201,0)+$EQ202</f>
        <v/>
      </c>
      <c r="ES202" s="57">
        <f>$ES201+$EQ202</f>
        <v/>
      </c>
      <c r="ET202" s="57">
        <f>IF(COUNTIFS(tblPlant[Date],$A202,tblPlant[Mill_Run_h],"&lt;&gt;")+COUNTIFS(tblPlant[Date],$A202,tblPlant[Mill_Planned_Maint_h],"&lt;&gt;")+COUNTIFS(tblPlant[Date],$A202,tblPlant[Mill_Unplanned_Down_h],"&lt;&gt;")&gt;0,cfg_HoursPerDay,0)</f>
        <v/>
      </c>
      <c r="EU202" s="57">
        <f>IF($B202=$B201,$EU201,0)+$ET202</f>
        <v/>
      </c>
      <c r="EV202" s="57">
        <f>$EV201+$ET202</f>
        <v/>
      </c>
      <c r="EW202" s="57">
        <f>SUMIFS(tblPlant[Crusher_Run_h],tblPlant[Date],$A202)</f>
        <v/>
      </c>
      <c r="EX202" s="57">
        <f>IF($B202=$B201,$EX201,0)+$EW202</f>
        <v/>
      </c>
      <c r="EY202" s="57">
        <f>$EY201+$EW202</f>
        <v/>
      </c>
      <c r="EZ202" s="55">
        <f>IFERROR(IF(($EK202)&gt;0,($DP202)/($EK202),""),"")</f>
        <v/>
      </c>
      <c r="FA202" s="55">
        <f>IFERROR(IF(($EL202)&gt;0,($DQ202)/($EL202),""),"")</f>
        <v/>
      </c>
      <c r="FB202" s="55">
        <f>IFERROR(IF(($EM202)&gt;0,($DR202)/($EM202),""),"")</f>
        <v/>
      </c>
      <c r="FC202" s="67">
        <f>IFERROR(IF(($ET202)&gt;0,($ET202-$EN202-$EQ202)/($ET202),""),"")</f>
        <v/>
      </c>
      <c r="FD202" s="67">
        <f>IFERROR(IF(($EU202)&gt;0,($EU202-$EO202-$ER202)/($EU202),""),"")</f>
        <v/>
      </c>
      <c r="FE202" s="67">
        <f>IFERROR(IF(($EV202)&gt;0,($EV202-$EP202-$ES202)/($EV202),""),"")</f>
        <v/>
      </c>
      <c r="FF202" s="67">
        <f>IFERROR(IF(($ET202-$EN202-$EQ202)&gt;0,($EK202)/($ET202-$EN202-$EQ202),""),"")</f>
        <v/>
      </c>
      <c r="FG202" s="67">
        <f>IFERROR(IF(($EU202-$EO202-$ER202)&gt;0,($EL202)/($EU202-$EO202-$ER202),""),"")</f>
        <v/>
      </c>
      <c r="FH202" s="67">
        <f>IFERROR(IF(($EV202-$EP202-$ES202)&gt;0,($EM202)/($EV202-$EP202-$ES202),""),"")</f>
        <v/>
      </c>
      <c r="FI202" s="55">
        <f>SUMIFS(tblPlant[Cyanide_kg],tblPlant[Date],$A202)</f>
        <v/>
      </c>
      <c r="FJ202" s="55">
        <f>IF($B202=$B201,$FJ201,0)+$FI202</f>
        <v/>
      </c>
      <c r="FK202" s="55">
        <f>$FK201+$FI202</f>
        <v/>
      </c>
      <c r="FL202" s="55">
        <f>SUMIFS(tblPlant[Lime_kg],tblPlant[Date],$A202)</f>
        <v/>
      </c>
      <c r="FM202" s="55">
        <f>IF($B202=$B201,$FM201,0)+$FL202</f>
        <v/>
      </c>
      <c r="FN202" s="55">
        <f>$FN201+$FL202</f>
        <v/>
      </c>
      <c r="FO202" s="55">
        <f>SUMIFS(tblPlant[Grinding_Media_kg],tblPlant[Date],$A202)</f>
        <v/>
      </c>
      <c r="FP202" s="55">
        <f>IF($B202=$B201,$FP201,0)+$FO202</f>
        <v/>
      </c>
      <c r="FQ202" s="55">
        <f>$FQ201+$FO202</f>
        <v/>
      </c>
      <c r="FR202" s="55">
        <f>SUMIFS(tblPlant[Power_kWh],tblPlant[Date],$A202)</f>
        <v/>
      </c>
      <c r="FS202" s="55">
        <f>IF($B202=$B201,$FS201,0)+$FR202</f>
        <v/>
      </c>
      <c r="FT202" s="55">
        <f>$FT201+$FR202</f>
        <v/>
      </c>
      <c r="FU202" s="55">
        <f>SUMIFS(tblPlant[Raw_Water_m3],tblPlant[Date],$A202)</f>
        <v/>
      </c>
      <c r="FV202" s="55">
        <f>IF($B202=$B201,$FV201,0)+$FU202</f>
        <v/>
      </c>
      <c r="FW202" s="55">
        <f>$FW201+$FU202</f>
        <v/>
      </c>
      <c r="FX202" s="56">
        <f>IFERROR(IF(($CU202)&gt;0,($FI202)/($CU202),""),"")</f>
        <v/>
      </c>
      <c r="FY202" s="56">
        <f>IFERROR(IF(($CV202)&gt;0,($FJ202)/($CV202),""),"")</f>
        <v/>
      </c>
      <c r="FZ202" s="56">
        <f>IFERROR(IF(($CW202)&gt;0,($FK202)/($CW202),""),"")</f>
        <v/>
      </c>
      <c r="GA202" s="56">
        <f>IFERROR(IF(($CU202)&gt;0,($FL202)/($CU202),""),"")</f>
        <v/>
      </c>
      <c r="GB202" s="56">
        <f>IFERROR(IF(($CV202)&gt;0,($FM202)/($CV202),""),"")</f>
        <v/>
      </c>
      <c r="GC202" s="56">
        <f>IFERROR(IF(($CW202)&gt;0,($FN202)/($CW202),""),"")</f>
        <v/>
      </c>
      <c r="GD202" s="56">
        <f>IFERROR(IF(($CU202)&gt;0,($FO202)/($CU202),""),"")</f>
        <v/>
      </c>
      <c r="GE202" s="56">
        <f>IFERROR(IF(($CV202)&gt;0,($FP202)/($CV202),""),"")</f>
        <v/>
      </c>
      <c r="GF202" s="56">
        <f>IFERROR(IF(($CW202)&gt;0,($FQ202)/($CW202),""),"")</f>
        <v/>
      </c>
      <c r="GG202" s="79">
        <f>IFERROR(IF(($CU202)&gt;0,($FR202)/($CU202),""),"")</f>
        <v/>
      </c>
      <c r="GH202" s="79">
        <f>IFERROR(IF(($CV202)&gt;0,($FS202)/($CV202),""),"")</f>
        <v/>
      </c>
      <c r="GI202" s="79">
        <f>IFERROR(IF(($CW202)&gt;0,($FT202)/($CW202),""),"")</f>
        <v/>
      </c>
      <c r="GJ202" s="56">
        <f>IFERROR(IF(($CU202)&gt;0,($FU202)/($CU202),""),"")</f>
        <v/>
      </c>
      <c r="GK202" s="56">
        <f>IFERROR(IF(($CV202)&gt;0,($FV202)/($CV202),""),"")</f>
        <v/>
      </c>
      <c r="GL202" s="56">
        <f>IFERROR(IF(($CW202)&gt;0,($FW202)/($CW202),""),"")</f>
        <v/>
      </c>
      <c r="GM202" s="55">
        <f>IF(SUMIFS(tblPlant[GIC_oz],tblPlant[Date],$A202)&gt;0,SUMIFS(tblPlant[GIC_oz],tblPlant[Date],$A202),"")</f>
        <v/>
      </c>
      <c r="GN202" s="55">
        <f>SUMIFS(tblGold[Gold_oz],tblGold[Date],$A202,tblGold[Type],"Shipment")</f>
        <v/>
      </c>
      <c r="GO202" s="55">
        <f>IF($B202=$B201,$GO201,0)+$GN202</f>
        <v/>
      </c>
      <c r="GP202" s="55">
        <f>$GP201+$GN202</f>
        <v/>
      </c>
      <c r="GQ202" s="55">
        <f>SUMIFS(tblGold[Gold_oz],tblGold[Date],$A202,tblGold[Type],"Sale")</f>
        <v/>
      </c>
      <c r="GR202" s="55">
        <f>IF($B202=$B201,$GR201,0)+$GQ202</f>
        <v/>
      </c>
      <c r="GS202" s="55">
        <f>$GS201+$GQ202</f>
        <v/>
      </c>
      <c r="GT202" s="55">
        <f>SUMIFS(tblGold[Dore_kg],tblGold[Date],$A202,tblGold[Type],"Shipment")</f>
        <v/>
      </c>
      <c r="GU202" s="55">
        <f>IF($B202=$B201,$GU201,0)+$GT202</f>
        <v/>
      </c>
      <c r="GV202" s="55">
        <f>$GV201+$GT202</f>
        <v/>
      </c>
      <c r="GW202" s="57">
        <f>SUMIFS(tblSafety[Hours_Total],tblSafety[Date],$A202)</f>
        <v/>
      </c>
      <c r="GX202" s="57">
        <f>IF($B202=$B201,$GX201,0)+$GW202</f>
        <v/>
      </c>
      <c r="GY202" s="57">
        <f>$GY201+$GW202</f>
        <v/>
      </c>
      <c r="GZ202" s="62">
        <f>SUMIFS(tblSafety[Fatality],tblSafety[Date],$A202)</f>
        <v/>
      </c>
      <c r="HA202" s="62">
        <f>IF($B202=$B201,$HA201,0)+$GZ202</f>
        <v/>
      </c>
      <c r="HB202" s="62">
        <f>$HB201+$GZ202</f>
        <v/>
      </c>
      <c r="HC202" s="62">
        <f>SUMIFS(tblSafety[LTI],tblSafety[Date],$A202)</f>
        <v/>
      </c>
      <c r="HD202" s="62">
        <f>IF($B202=$B201,$HD201,0)+$HC202</f>
        <v/>
      </c>
      <c r="HE202" s="62">
        <f>$HE201+$HC202</f>
        <v/>
      </c>
      <c r="HF202" s="62">
        <f>SUMIFS(tblSafety[RWI],tblSafety[Date],$A202)</f>
        <v/>
      </c>
      <c r="HG202" s="62">
        <f>IF($B202=$B201,$HG201,0)+$HF202</f>
        <v/>
      </c>
      <c r="HH202" s="62">
        <f>$HH201+$HF202</f>
        <v/>
      </c>
      <c r="HI202" s="62">
        <f>SUMIFS(tblSafety[MTI],tblSafety[Date],$A202)</f>
        <v/>
      </c>
      <c r="HJ202" s="62">
        <f>IF($B202=$B201,$HJ201,0)+$HI202</f>
        <v/>
      </c>
      <c r="HK202" s="62">
        <f>$HK201+$HI202</f>
        <v/>
      </c>
      <c r="HL202" s="62">
        <f>SUMIFS(tblSafety[FAI],tblSafety[Date],$A202)</f>
        <v/>
      </c>
      <c r="HM202" s="62">
        <f>IF($B202=$B201,$HM201,0)+$HL202</f>
        <v/>
      </c>
      <c r="HN202" s="62">
        <f>$HN201+$HL202</f>
        <v/>
      </c>
      <c r="HO202" s="62">
        <f>SUMIFS(tblSafety[Recordables],tblSafety[Date],$A202)</f>
        <v/>
      </c>
      <c r="HP202" s="62">
        <f>IF($B202=$B201,$HP201,0)+$HO202</f>
        <v/>
      </c>
      <c r="HQ202" s="62">
        <f>$HQ201+$HO202</f>
        <v/>
      </c>
      <c r="HR202" s="62">
        <f>SUMIFS(tblSafety[Near_Miss],tblSafety[Date],$A202)</f>
        <v/>
      </c>
      <c r="HS202" s="62">
        <f>IF($B202=$B201,$HS201,0)+$HR202</f>
        <v/>
      </c>
      <c r="HT202" s="62">
        <f>$HT201+$HR202</f>
        <v/>
      </c>
      <c r="HU202" s="62">
        <f>SUMIFS(tblSafety[Hazard_Reports],tblSafety[Date],$A202)</f>
        <v/>
      </c>
      <c r="HV202" s="62">
        <f>IF($B202=$B201,$HV201,0)+$HU202</f>
        <v/>
      </c>
      <c r="HW202" s="62">
        <f>$HW201+$HU202</f>
        <v/>
      </c>
      <c r="HX202" s="62">
        <f>SUMIFS(tblSafety[HPI],tblSafety[Date],$A202)</f>
        <v/>
      </c>
      <c r="HY202" s="62">
        <f>IF($B202=$B201,$HY201,0)+$HX202</f>
        <v/>
      </c>
      <c r="HZ202" s="62">
        <f>$HZ201+$HX202</f>
        <v/>
      </c>
      <c r="IA202" s="62">
        <f>SUMIFS(tblSafety[Env_Incidents],tblSafety[Date],$A202)</f>
        <v/>
      </c>
      <c r="IB202" s="62">
        <f>IF($B202=$B201,$IB201,0)+$IA202</f>
        <v/>
      </c>
      <c r="IC202" s="62">
        <f>$IC201+$IA202</f>
        <v/>
      </c>
      <c r="ID202" s="62">
        <f>SUMIFS(tblSafety[Community_Incidents],tblSafety[Date],$A202)</f>
        <v/>
      </c>
      <c r="IE202" s="62">
        <f>IF($B202=$B201,$IE201,0)+$ID202</f>
        <v/>
      </c>
      <c r="IF202" s="62">
        <f>$IF201+$ID202</f>
        <v/>
      </c>
      <c r="IG202" s="62">
        <f>SUMIFS(tblSafety[Vehicle_Incidents],tblSafety[Date],$A202)</f>
        <v/>
      </c>
      <c r="IH202" s="62">
        <f>IF($B202=$B201,$IH201,0)+$IG202</f>
        <v/>
      </c>
      <c r="II202" s="62">
        <f>$II201+$IG202</f>
        <v/>
      </c>
      <c r="IJ202" s="62">
        <f>SUMIFS(tblSafety[Toolbox_Talks],tblSafety[Date],$A202)</f>
        <v/>
      </c>
      <c r="IK202" s="62">
        <f>IF($B202=$B201,$IK201,0)+$IJ202</f>
        <v/>
      </c>
      <c r="IL202" s="62">
        <f>$IL201+$IJ202</f>
        <v/>
      </c>
      <c r="IM202" s="62">
        <f>SUMIFS(tblSafety[Inspections],tblSafety[Date],$A202)</f>
        <v/>
      </c>
      <c r="IN202" s="62">
        <f>IF($B202=$B201,$IN201,0)+$IM202</f>
        <v/>
      </c>
      <c r="IO202" s="62">
        <f>$IO201+$IM202</f>
        <v/>
      </c>
      <c r="IP202" s="56">
        <f>IFERROR((SUMIFS(tblSafety[Recordables],tblSafety[Date],"&gt;="&amp;EDATE($E202,-12),tblSafety[Date],"&lt;="&amp;$A202)+SUMIFS(tblSafetyHistory[Recordables],tblSafetyHistory[Month],"&gt;="&amp;EDATE($E202,-12),tblSafetyHistory[Month],"&lt;"&amp;$E202,tblSafetyHistory[Use],1))/(SUMIFS(tblSafety[Hours_Total],tblSafety[Date],"&gt;="&amp;EDATE($E202,-12),tblSafety[Date],"&lt;="&amp;$A202)+SUMIFS(tblSafetyHistory[Hours_Total],tblSafetyHistory[Month],"&gt;="&amp;EDATE($E202,-12),tblSafetyHistory[Month],"&lt;"&amp;$E202,tblSafetyHistory[Use],1))*cfg_RateBasisHours,"")</f>
        <v/>
      </c>
      <c r="IQ202" s="56">
        <f>IFERROR((SUMIFS(tblSafety[LTI],tblSafety[Date],"&gt;="&amp;EDATE($E202,-12),tblSafety[Date],"&lt;="&amp;$A202)+SUMIFS(tblSafetyHistory[LTI],tblSafetyHistory[Month],"&gt;="&amp;EDATE($E202,-12),tblSafetyHistory[Month],"&lt;"&amp;$E202,tblSafetyHistory[Use],1))/(SUMIFS(tblSafety[Hours_Total],tblSafety[Date],"&gt;="&amp;EDATE($E202,-12),tblSafety[Date],"&lt;="&amp;$A202)+SUMIFS(tblSafetyHistory[Hours_Total],tblSafetyHistory[Month],"&gt;="&amp;EDATE($E202,-12),tblSafetyHistory[Month],"&lt;"&amp;$E202,tblSafetyHistory[Use],1))*cfg_RateBasisHours,"")</f>
        <v/>
      </c>
      <c r="IR202" s="62">
        <f>IF(MAX(N(cfg_PriorLTIDate),_xlfn.MAXIFS(tblSafety[Date],tblSafety[LTI],"&gt;0",tblSafety[Date],"&lt;="&amp;$A202))=0,"",$A202-MAX(N(cfg_PriorLTIDate),_xlfn.MAXIFS(tblSafety[Date],tblSafety[LTI],"&gt;0",tblSafety[Date],"&lt;="&amp;$A202)))</f>
        <v/>
      </c>
      <c r="IS202" s="55">
        <f>SUMIFS(tblBudget[Ore_Mined_t],tblBudget[Month],$E202)</f>
        <v/>
      </c>
      <c r="IT202" s="55">
        <f>$IS202*$C202/$D202</f>
        <v/>
      </c>
      <c r="IU202" s="55">
        <f>SUMIFS(tblBudget[Ore_Mined_t],tblBudget[Month],"&lt;"&amp;$E202)+$IT202</f>
        <v/>
      </c>
      <c r="IV202" s="55">
        <f>SUMIFS(tblBudget[Ore_oz],tblBudget[Month],$E202)</f>
        <v/>
      </c>
      <c r="IW202" s="55">
        <f>$IV202*$C202/$D202</f>
        <v/>
      </c>
      <c r="IX202" s="55">
        <f>SUMIFS(tblBudget[Ore_oz],tblBudget[Month],"&lt;"&amp;$E202)+$IW202</f>
        <v/>
      </c>
      <c r="IY202" s="55">
        <f>SUMIFS(tblBudget[Ore_Mined_t],tblBudget[Month],$E202)</f>
        <v/>
      </c>
      <c r="IZ202" s="55">
        <f>$IY202*$C202/$D202</f>
        <v/>
      </c>
      <c r="JA202" s="55">
        <f>SUMIFS(tblBudget[Ore_Mined_t],tblBudget[Month],"&lt;"&amp;$E202)+$IZ202</f>
        <v/>
      </c>
      <c r="JB202" s="56">
        <f>IFERROR(IF(($IY202)&gt;0,($IV202*cfg_TroyOz)/($IY202),""),"")</f>
        <v/>
      </c>
      <c r="JC202" s="56">
        <f>IFERROR(IF(($IZ202)&gt;0,($IW202*cfg_TroyOz)/($IZ202),""),"")</f>
        <v/>
      </c>
      <c r="JD202" s="56">
        <f>IFERROR(IF(($JA202)&gt;0,($IX202*cfg_TroyOz)/($JA202),""),"")</f>
        <v/>
      </c>
      <c r="JE202" s="55">
        <f>SUMIFS(tblBudget[Waste_t],tblBudget[Month],$E202)</f>
        <v/>
      </c>
      <c r="JF202" s="55">
        <f>$JE202*$C202/$D202</f>
        <v/>
      </c>
      <c r="JG202" s="55">
        <f>SUMIFS(tblBudget[Waste_t],tblBudget[Month],"&lt;"&amp;$E202)+$JF202</f>
        <v/>
      </c>
      <c r="JH202" s="55">
        <f>SUMIFS(tblBudget[TMM_t],tblBudget[Month],$E202)</f>
        <v/>
      </c>
      <c r="JI202" s="55">
        <f>$JH202*$C202/$D202</f>
        <v/>
      </c>
      <c r="JJ202" s="55">
        <f>SUMIFS(tblBudget[TMM_t],tblBudget[Month],"&lt;"&amp;$E202)+$JI202</f>
        <v/>
      </c>
      <c r="JK202" s="56">
        <f>IFERROR(IF(($IS202)&gt;0,($JE202)/($IS202),""),"")</f>
        <v/>
      </c>
      <c r="JL202" s="56">
        <f>IFERROR(IF(($IT202)&gt;0,($JF202)/($IT202),""),"")</f>
        <v/>
      </c>
      <c r="JM202" s="56">
        <f>IFERROR(IF(($IU202)&gt;0,($JG202)/($IU202),""),"")</f>
        <v/>
      </c>
      <c r="JN202" s="55">
        <f>SUMIFS(tblBudget[Drill_m],tblBudget[Month],$E202)</f>
        <v/>
      </c>
      <c r="JO202" s="55">
        <f>$JN202*$C202/$D202</f>
        <v/>
      </c>
      <c r="JP202" s="55">
        <f>SUMIFS(tblBudget[Drill_m],tblBudget[Month],"&lt;"&amp;$E202)+$JO202</f>
        <v/>
      </c>
      <c r="JQ202" s="55">
        <f>SUMIFS(tblBudget[Diesel_L],tblBudget[Month],$E202)</f>
        <v/>
      </c>
      <c r="JR202" s="55">
        <f>$JQ202*$C202/$D202</f>
        <v/>
      </c>
      <c r="JS202" s="55">
        <f>SUMIFS(tblBudget[Diesel_L],tblBudget[Month],"&lt;"&amp;$E202)+$JR202</f>
        <v/>
      </c>
      <c r="JT202" s="55">
        <f>SUMIFS(tblBudget[Milled_t],tblBudget[Month],$E202)</f>
        <v/>
      </c>
      <c r="JU202" s="55">
        <f>$JT202*$C202/$D202</f>
        <v/>
      </c>
      <c r="JV202" s="55">
        <f>SUMIFS(tblBudget[Milled_t],tblBudget[Month],"&lt;"&amp;$E202)+$JU202</f>
        <v/>
      </c>
      <c r="JW202" s="55">
        <f>SUMIFS(tblBudget[Feed_oz],tblBudget[Month],$E202)</f>
        <v/>
      </c>
      <c r="JX202" s="55">
        <f>$JW202*$C202/$D202</f>
        <v/>
      </c>
      <c r="JY202" s="55">
        <f>SUMIFS(tblBudget[Feed_oz],tblBudget[Month],"&lt;"&amp;$E202)+$JX202</f>
        <v/>
      </c>
      <c r="JZ202" s="55">
        <f>SUMIFS(tblBudget[Recovered_oz],tblBudget[Month],$E202)</f>
        <v/>
      </c>
      <c r="KA202" s="55">
        <f>$JZ202*$C202/$D202</f>
        <v/>
      </c>
      <c r="KB202" s="55">
        <f>SUMIFS(tblBudget[Recovered_oz],tblBudget[Month],"&lt;"&amp;$E202)+$KA202</f>
        <v/>
      </c>
      <c r="KC202" s="55">
        <f>SUMIFS(tblBudget[Milled_t],tblBudget[Month],$E202)</f>
        <v/>
      </c>
      <c r="KD202" s="55">
        <f>$KC202*$C202/$D202</f>
        <v/>
      </c>
      <c r="KE202" s="55">
        <f>SUMIFS(tblBudget[Milled_t],tblBudget[Month],"&lt;"&amp;$E202)+$KD202</f>
        <v/>
      </c>
      <c r="KF202" s="55">
        <f>SUMIFS(tblBudget[Feed_oz],tblBudget[Month],$E202)</f>
        <v/>
      </c>
      <c r="KG202" s="55">
        <f>$KF202*$C202/$D202</f>
        <v/>
      </c>
      <c r="KH202" s="55">
        <f>SUMIFS(tblBudget[Feed_oz],tblBudget[Month],"&lt;"&amp;$E202)+$KG202</f>
        <v/>
      </c>
      <c r="KI202" s="56">
        <f>IFERROR(IF(($KC202)&gt;0,($JW202*cfg_TroyOz)/($KC202),""),"")</f>
        <v/>
      </c>
      <c r="KJ202" s="56">
        <f>IFERROR(IF(($KD202)&gt;0,($JX202*cfg_TroyOz)/($KD202),""),"")</f>
        <v/>
      </c>
      <c r="KK202" s="56">
        <f>IFERROR(IF(($KE202)&gt;0,($JY202*cfg_TroyOz)/($KE202),""),"")</f>
        <v/>
      </c>
      <c r="KL202" s="67">
        <f>IFERROR(IF(($KF202)&gt;0,($JZ202)/($KF202),""),"")</f>
        <v/>
      </c>
      <c r="KM202" s="67">
        <f>IFERROR(IF(($KG202)&gt;0,($KA202)/($KG202),""),"")</f>
        <v/>
      </c>
      <c r="KN202" s="67">
        <f>IFERROR(IF(($KH202)&gt;0,($KB202)/($KH202),""),"")</f>
        <v/>
      </c>
      <c r="KO202" s="55">
        <f>SUMIFS(tblBudget[Gold_Poured_oz],tblBudget[Month],$E202)</f>
        <v/>
      </c>
      <c r="KP202" s="55">
        <f>$KO202*$C202/$D202</f>
        <v/>
      </c>
      <c r="KQ202" s="55">
        <f>SUMIFS(tblBudget[Gold_Poured_oz],tblBudget[Month],"&lt;"&amp;$E202)+$KP202</f>
        <v/>
      </c>
      <c r="KR202" s="57">
        <f>SUMIFS(tblBudget[Hours_Worked],tblBudget[Month],$E202)</f>
        <v/>
      </c>
      <c r="KS202" s="57">
        <f>$KR202*$C202/$D202</f>
        <v/>
      </c>
      <c r="KT202" s="57">
        <f>SUMIFS(tblBudget[Hours_Worked],tblBudget[Month],"&lt;"&amp;$E202)+$KS202</f>
        <v/>
      </c>
    </row>
    <row r="203">
      <c r="A203" s="54" t="n">
        <v>46224</v>
      </c>
      <c r="B203">
        <f>MONTH($A203)</f>
        <v/>
      </c>
      <c r="C203">
        <f>DAY($A203)</f>
        <v/>
      </c>
      <c r="D203">
        <f>DAY(EOMONTH($A203,0))</f>
        <v/>
      </c>
      <c r="E203" s="54">
        <f>DATE(YEAR($A203),MONTH($A203),1)</f>
        <v/>
      </c>
      <c r="F203" s="55">
        <f>SUMIFS(tblMovement[Tonnes_t],tblMovement[Date],$A203,tblMovement[Is_Ore],1,tblMovement[Source_Type],"Pit")</f>
        <v/>
      </c>
      <c r="G203" s="55">
        <f>IF($B203=$B202,$G202,0)+$F203</f>
        <v/>
      </c>
      <c r="H203" s="55">
        <f>$H202+$F203</f>
        <v/>
      </c>
      <c r="I203" s="55">
        <f>SUMIFS(tblMovement[Ore_oz],tblMovement[Date],$A203,tblMovement[Source_Type],"Pit")</f>
        <v/>
      </c>
      <c r="J203" s="55">
        <f>IF($B203=$B202,$J202,0)+$I203</f>
        <v/>
      </c>
      <c r="K203" s="55">
        <f>$K202+$I203</f>
        <v/>
      </c>
      <c r="L203" s="55">
        <f>SUMIFS(tblMovement[Tonnes_t],tblMovement[Date],$A203,tblMovement[Is_Ore],1,tblMovement[Source_Type],"Pit",tblMovement[Grade_gpt],"&lt;&gt;")</f>
        <v/>
      </c>
      <c r="M203" s="55">
        <f>IF($B203=$B202,$M202,0)+$L203</f>
        <v/>
      </c>
      <c r="N203" s="55">
        <f>$N202+$L203</f>
        <v/>
      </c>
      <c r="O203" s="56">
        <f>IFERROR(IF(($L203)&gt;0,($I203*cfg_TroyOz)/($L203),""),"")</f>
        <v/>
      </c>
      <c r="P203" s="56">
        <f>IFERROR(IF(($M203)&gt;0,($J203*cfg_TroyOz)/($M203),""),"")</f>
        <v/>
      </c>
      <c r="Q203" s="56">
        <f>IFERROR(IF(($N203)&gt;0,($K203*cfg_TroyOz)/($N203),""),"")</f>
        <v/>
      </c>
      <c r="R203" s="55">
        <f>$F203-$L203</f>
        <v/>
      </c>
      <c r="S203" s="55">
        <f>IF($B203=$B202,$S202,0)+$R203</f>
        <v/>
      </c>
      <c r="T203" s="55">
        <f>$T202+$R203</f>
        <v/>
      </c>
      <c r="U203" s="55">
        <f>SUMIFS(tblMovement[Tonnes_t],tblMovement[Date],$A203,tblMovement[Is_Ore],0,tblMovement[Source_Type],"Pit")</f>
        <v/>
      </c>
      <c r="V203" s="55">
        <f>IF($B203=$B202,$V202,0)+$U203</f>
        <v/>
      </c>
      <c r="W203" s="55">
        <f>$W202+$U203</f>
        <v/>
      </c>
      <c r="X203" s="55">
        <f>$F203+$U203</f>
        <v/>
      </c>
      <c r="Y203" s="55">
        <f>IF($B203=$B202,$Y202,0)+$X203</f>
        <v/>
      </c>
      <c r="Z203" s="55">
        <f>$Z202+$X203</f>
        <v/>
      </c>
      <c r="AA203" s="56">
        <f>IFERROR(IF(($F203)&gt;0,($U203)/($F203),""),"")</f>
        <v/>
      </c>
      <c r="AB203" s="56">
        <f>IFERROR(IF(($G203)&gt;0,($V203)/($G203),""),"")</f>
        <v/>
      </c>
      <c r="AC203" s="56">
        <f>IFERROR(IF(($H203)&gt;0,($W203)/($H203),""),"")</f>
        <v/>
      </c>
      <c r="AD203" s="55">
        <f>SUMIFS(tblMovement[Tonnes_t],tblMovement[Date],$A203,tblMovement[Source_Type],"Stockpile")</f>
        <v/>
      </c>
      <c r="AE203" s="55">
        <f>IF($B203=$B202,$AE202,0)+$AD203</f>
        <v/>
      </c>
      <c r="AF203" s="55">
        <f>$AF202+$AD203</f>
        <v/>
      </c>
      <c r="AG203" s="55">
        <f>SUMIFS(tblMovement[Tonnes_t],tblMovement[Date],$A203)</f>
        <v/>
      </c>
      <c r="AH203" s="55">
        <f>IF($B203=$B202,$AH202,0)+$AG203</f>
        <v/>
      </c>
      <c r="AI203" s="55">
        <f>$AI202+$AG203</f>
        <v/>
      </c>
      <c r="AJ203" s="55">
        <f>$AG203-$X203-$AD203</f>
        <v/>
      </c>
      <c r="AK203" s="55">
        <f>IF($B203=$B202,$AK202,0)+$AJ203</f>
        <v/>
      </c>
      <c r="AL203" s="55">
        <f>$AL202+$AJ203</f>
        <v/>
      </c>
      <c r="AM203" s="55">
        <f>SUMIFS(tblMiningDaily[Drill_m],tblMiningDaily[Date],$A203)</f>
        <v/>
      </c>
      <c r="AN203" s="55">
        <f>IF($B203=$B202,$AN202,0)+$AM203</f>
        <v/>
      </c>
      <c r="AO203" s="55">
        <f>$AO202+$AM203</f>
        <v/>
      </c>
      <c r="AP203" s="55">
        <f>SUMIFS(tblMiningDaily[GC_Drill_m],tblMiningDaily[Date],$A203)</f>
        <v/>
      </c>
      <c r="AQ203" s="55">
        <f>IF($B203=$B202,$AQ202,0)+$AP203</f>
        <v/>
      </c>
      <c r="AR203" s="55">
        <f>$AR202+$AP203</f>
        <v/>
      </c>
      <c r="AS203" s="55">
        <f>SUMIFS(tblMiningDaily[Blast_t],tblMiningDaily[Date],$A203)</f>
        <v/>
      </c>
      <c r="AT203" s="55">
        <f>IF($B203=$B202,$AT202,0)+$AS203</f>
        <v/>
      </c>
      <c r="AU203" s="55">
        <f>$AU202+$AS203</f>
        <v/>
      </c>
      <c r="AV203" s="55">
        <f>SUMIFS(tblMiningDaily[Explosives_kg],tblMiningDaily[Date],$A203)</f>
        <v/>
      </c>
      <c r="AW203" s="55">
        <f>IF($B203=$B202,$AW202,0)+$AV203</f>
        <v/>
      </c>
      <c r="AX203" s="55">
        <f>$AX202+$AV203</f>
        <v/>
      </c>
      <c r="AY203" s="56">
        <f>IFERROR(IF(($AS203)&gt;0,($AV203)/($AS203),""),"")</f>
        <v/>
      </c>
      <c r="AZ203" s="56">
        <f>IFERROR(IF(($AT203)&gt;0,($AW203)/($AT203),""),"")</f>
        <v/>
      </c>
      <c r="BA203" s="56">
        <f>IFERROR(IF(($AU203)&gt;0,($AX203)/($AU203),""),"")</f>
        <v/>
      </c>
      <c r="BB203" s="55">
        <f>SUMIFS(tblMiningDaily[Diesel_L],tblMiningDaily[Date],$A203)</f>
        <v/>
      </c>
      <c r="BC203" s="55">
        <f>IF($B203=$B202,$BC202,0)+$BB203</f>
        <v/>
      </c>
      <c r="BD203" s="55">
        <f>$BD202+$BB203</f>
        <v/>
      </c>
      <c r="BE203" s="55">
        <f>SUMIFS(tblMiningDaily[Dewatering_m3],tblMiningDaily[Date],$A203)</f>
        <v/>
      </c>
      <c r="BF203" s="55">
        <f>IF($B203=$B202,$BF202,0)+$BE203</f>
        <v/>
      </c>
      <c r="BG203" s="55">
        <f>$BG202+$BE203</f>
        <v/>
      </c>
      <c r="BH203" s="57">
        <f>SUMIFS(tblFleet[Calendar_h],tblFleet[Date],$A203,tblFleet[Equipment_Class],"Excavator")</f>
        <v/>
      </c>
      <c r="BI203" s="57">
        <f>IF($B203=$B202,$BI202,0)+$BH203</f>
        <v/>
      </c>
      <c r="BJ203" s="57">
        <f>$BJ202+$BH203</f>
        <v/>
      </c>
      <c r="BK203" s="57">
        <f>SUMIFS(tblFleet[Available_h],tblFleet[Date],$A203,tblFleet[Equipment_Class],"Excavator")</f>
        <v/>
      </c>
      <c r="BL203" s="57">
        <f>IF($B203=$B202,$BL202,0)+$BK203</f>
        <v/>
      </c>
      <c r="BM203" s="57">
        <f>$BM202+$BK203</f>
        <v/>
      </c>
      <c r="BN203" s="57">
        <f>SUMIFS(tblFleet[Operating_h],tblFleet[Date],$A203,tblFleet[Equipment_Class],"Excavator")</f>
        <v/>
      </c>
      <c r="BO203" s="57">
        <f>IF($B203=$B202,$BO202,0)+$BN203</f>
        <v/>
      </c>
      <c r="BP203" s="57">
        <f>$BP202+$BN203</f>
        <v/>
      </c>
      <c r="BQ203" s="67">
        <f>IFERROR(IF(($BH203)&gt;0,($BK203)/($BH203),""),"")</f>
        <v/>
      </c>
      <c r="BR203" s="67">
        <f>IFERROR(IF(($BI203)&gt;0,($BL203)/($BI203),""),"")</f>
        <v/>
      </c>
      <c r="BS203" s="67">
        <f>IFERROR(IF(($BJ203)&gt;0,($BM203)/($BJ203),""),"")</f>
        <v/>
      </c>
      <c r="BT203" s="67">
        <f>IFERROR(IF(($BK203)&gt;0,($BN203)/($BK203),""),"")</f>
        <v/>
      </c>
      <c r="BU203" s="67">
        <f>IFERROR(IF(($BL203)&gt;0,($BO203)/($BL203),""),"")</f>
        <v/>
      </c>
      <c r="BV203" s="67">
        <f>IFERROR(IF(($BM203)&gt;0,($BP203)/($BM203),""),"")</f>
        <v/>
      </c>
      <c r="BW203" s="57">
        <f>SUMIFS(tblFleet[Calendar_h],tblFleet[Date],$A203,tblFleet[Equipment_Class],"Haul Truck")</f>
        <v/>
      </c>
      <c r="BX203" s="57">
        <f>IF($B203=$B202,$BX202,0)+$BW203</f>
        <v/>
      </c>
      <c r="BY203" s="57">
        <f>$BY202+$BW203</f>
        <v/>
      </c>
      <c r="BZ203" s="57">
        <f>SUMIFS(tblFleet[Available_h],tblFleet[Date],$A203,tblFleet[Equipment_Class],"Haul Truck")</f>
        <v/>
      </c>
      <c r="CA203" s="57">
        <f>IF($B203=$B202,$CA202,0)+$BZ203</f>
        <v/>
      </c>
      <c r="CB203" s="57">
        <f>$CB202+$BZ203</f>
        <v/>
      </c>
      <c r="CC203" s="57">
        <f>SUMIFS(tblFleet[Operating_h],tblFleet[Date],$A203,tblFleet[Equipment_Class],"Haul Truck")</f>
        <v/>
      </c>
      <c r="CD203" s="57">
        <f>IF($B203=$B202,$CD202,0)+$CC203</f>
        <v/>
      </c>
      <c r="CE203" s="57">
        <f>$CE202+$CC203</f>
        <v/>
      </c>
      <c r="CF203" s="67">
        <f>IFERROR(IF(($BW203)&gt;0,($BZ203)/($BW203),""),"")</f>
        <v/>
      </c>
      <c r="CG203" s="67">
        <f>IFERROR(IF(($BX203)&gt;0,($CA203)/($BX203),""),"")</f>
        <v/>
      </c>
      <c r="CH203" s="67">
        <f>IFERROR(IF(($BY203)&gt;0,($CB203)/($BY203),""),"")</f>
        <v/>
      </c>
      <c r="CI203" s="67">
        <f>IFERROR(IF(($BZ203)&gt;0,($CC203)/($BZ203),""),"")</f>
        <v/>
      </c>
      <c r="CJ203" s="67">
        <f>IFERROR(IF(($CA203)&gt;0,($CD203)/($CA203),""),"")</f>
        <v/>
      </c>
      <c r="CK203" s="67">
        <f>IFERROR(IF(($CB203)&gt;0,($CE203)/($CB203),""),"")</f>
        <v/>
      </c>
      <c r="CL203" s="55">
        <f>IFERROR(IF(($BN203)&gt;0,($X203+$AD203)/($BN203),""),"")</f>
        <v/>
      </c>
      <c r="CM203" s="55">
        <f>IFERROR(IF(($BO203)&gt;0,($Y203+$AE203)/($BO203),""),"")</f>
        <v/>
      </c>
      <c r="CN203" s="55">
        <f>IFERROR(IF(($BP203)&gt;0,($Z203+$AF203)/($BP203),""),"")</f>
        <v/>
      </c>
      <c r="CO203" s="55">
        <f>IFERROR(IF(($CC203)&gt;0,($X203+$AD203)/($CC203),""),"")</f>
        <v/>
      </c>
      <c r="CP203" s="55">
        <f>IFERROR(IF(($CD203)&gt;0,($Y203+$AE203)/($CD203),""),"")</f>
        <v/>
      </c>
      <c r="CQ203" s="55">
        <f>IFERROR(IF(($CE203)&gt;0,($Z203+$AF203)/($CE203),""),"")</f>
        <v/>
      </c>
      <c r="CR203" s="55">
        <f>SUMIFS(tblPlant[Crushed_t],tblPlant[Date],$A203)</f>
        <v/>
      </c>
      <c r="CS203" s="55">
        <f>IF($B203=$B202,$CS202,0)+$CR203</f>
        <v/>
      </c>
      <c r="CT203" s="55">
        <f>$CT202+$CR203</f>
        <v/>
      </c>
      <c r="CU203" s="55">
        <f>SUMIFS(tblPlant[Milled_t],tblPlant[Date],$A203)</f>
        <v/>
      </c>
      <c r="CV203" s="55">
        <f>IF($B203=$B202,$CV202,0)+$CU203</f>
        <v/>
      </c>
      <c r="CW203" s="55">
        <f>$CW202+$CU203</f>
        <v/>
      </c>
      <c r="CX203" s="55">
        <f>SUMIFS(tblPlant[Feed_oz],tblPlant[Date],$A203)</f>
        <v/>
      </c>
      <c r="CY203" s="55">
        <f>IF($B203=$B202,$CY202,0)+$CX203</f>
        <v/>
      </c>
      <c r="CZ203" s="55">
        <f>$CZ202+$CX203</f>
        <v/>
      </c>
      <c r="DA203" s="55">
        <f>SUMIFS(tblPlant[Tails_oz],tblPlant[Date],$A203)</f>
        <v/>
      </c>
      <c r="DB203" s="55">
        <f>IF($B203=$B202,$DB202,0)+$DA203</f>
        <v/>
      </c>
      <c r="DC203" s="55">
        <f>$DC202+$DA203</f>
        <v/>
      </c>
      <c r="DD203" s="55">
        <f>SUMIFS(tblPlant[Recovered_oz],tblPlant[Date],$A203)</f>
        <v/>
      </c>
      <c r="DE203" s="55">
        <f>IF($B203=$B202,$DE202,0)+$DD203</f>
        <v/>
      </c>
      <c r="DF203" s="55">
        <f>$DF202+$DD203</f>
        <v/>
      </c>
      <c r="DG203" s="55">
        <f>SUMIFS(tblPlant[Milled_t],tblPlant[Date],$A203,tblPlant[Head_Grade_gpt],"&lt;&gt;")</f>
        <v/>
      </c>
      <c r="DH203" s="55">
        <f>IF($B203=$B202,$DH202,0)+$DG203</f>
        <v/>
      </c>
      <c r="DI203" s="55">
        <f>$DI202+$DG203</f>
        <v/>
      </c>
      <c r="DJ203" s="55">
        <f>SUMIFS(tblPlant[Milled_t],tblPlant[Date],$A203,tblPlant[Tails_Grade_gpt],"&lt;&gt;")</f>
        <v/>
      </c>
      <c r="DK203" s="55">
        <f>IF($B203=$B202,$DK202,0)+$DJ203</f>
        <v/>
      </c>
      <c r="DL203" s="55">
        <f>$DL202+$DJ203</f>
        <v/>
      </c>
      <c r="DM203" s="55">
        <f>SUMIFS(tblPlant[Feed_oz],tblPlant[Date],$A203,tblPlant[Tails_Grade_gpt],"&lt;&gt;")</f>
        <v/>
      </c>
      <c r="DN203" s="55">
        <f>IF($B203=$B202,$DN202,0)+$DM203</f>
        <v/>
      </c>
      <c r="DO203" s="55">
        <f>$DO202+$DM203</f>
        <v/>
      </c>
      <c r="DP203" s="55">
        <f>SUMIFS(tblPlant[Milled_t],tblPlant[Date],$A203,tblPlant[Mill_Run_h],"&lt;&gt;")</f>
        <v/>
      </c>
      <c r="DQ203" s="55">
        <f>IF($B203=$B202,$DQ202,0)+$DP203</f>
        <v/>
      </c>
      <c r="DR203" s="55">
        <f>$DR202+$DP203</f>
        <v/>
      </c>
      <c r="DS203" s="56">
        <f>IFERROR(IF(($DG203)&gt;0,($CX203*cfg_TroyOz)/($DG203),""),"")</f>
        <v/>
      </c>
      <c r="DT203" s="56">
        <f>IFERROR(IF(($DH203)&gt;0,($CY203*cfg_TroyOz)/($DH203),""),"")</f>
        <v/>
      </c>
      <c r="DU203" s="56">
        <f>IFERROR(IF(($DI203)&gt;0,($CZ203*cfg_TroyOz)/($DI203),""),"")</f>
        <v/>
      </c>
      <c r="DV203" s="56">
        <f>IFERROR(IF(($DJ203)&gt;0,($DA203*cfg_TroyOz)/($DJ203),""),"")</f>
        <v/>
      </c>
      <c r="DW203" s="56">
        <f>IFERROR(IF(($DK203)&gt;0,($DB203*cfg_TroyOz)/($DK203),""),"")</f>
        <v/>
      </c>
      <c r="DX203" s="56">
        <f>IFERROR(IF(($DL203)&gt;0,($DC203*cfg_TroyOz)/($DL203),""),"")</f>
        <v/>
      </c>
      <c r="DY203" s="67">
        <f>IFERROR(IF(($DM203)&gt;0,($DD203)/($DM203),""),"")</f>
        <v/>
      </c>
      <c r="DZ203" s="67">
        <f>IFERROR(IF(($DN203)&gt;0,($DE203)/($DN203),""),"")</f>
        <v/>
      </c>
      <c r="EA203" s="67">
        <f>IFERROR(IF(($DO203)&gt;0,($DF203)/($DO203),""),"")</f>
        <v/>
      </c>
      <c r="EB203" s="55">
        <f>SUMIFS(tblPlant[Gravity_Gold_oz],tblPlant[Date],$A203)</f>
        <v/>
      </c>
      <c r="EC203" s="55">
        <f>IF($B203=$B202,$EC202,0)+$EB203</f>
        <v/>
      </c>
      <c r="ED203" s="55">
        <f>$ED202+$EB203</f>
        <v/>
      </c>
      <c r="EE203" s="67">
        <f>IFERROR(IF(($DD203)&gt;0,($EB203)/($DD203),""),"")</f>
        <v/>
      </c>
      <c r="EF203" s="67">
        <f>IFERROR(IF(($DE203)&gt;0,($EC203)/($DE203),""),"")</f>
        <v/>
      </c>
      <c r="EG203" s="67">
        <f>IFERROR(IF(($DF203)&gt;0,($ED203)/($DF203),""),"")</f>
        <v/>
      </c>
      <c r="EH203" s="55">
        <f>SUMIFS(tblPlant[Gold_Poured_oz],tblPlant[Date],$A203)</f>
        <v/>
      </c>
      <c r="EI203" s="55">
        <f>IF($B203=$B202,$EI202,0)+$EH203</f>
        <v/>
      </c>
      <c r="EJ203" s="55">
        <f>$EJ202+$EH203</f>
        <v/>
      </c>
      <c r="EK203" s="57">
        <f>SUMIFS(tblPlant[Mill_Run_h],tblPlant[Date],$A203)</f>
        <v/>
      </c>
      <c r="EL203" s="57">
        <f>IF($B203=$B202,$EL202,0)+$EK203</f>
        <v/>
      </c>
      <c r="EM203" s="57">
        <f>$EM202+$EK203</f>
        <v/>
      </c>
      <c r="EN203" s="57">
        <f>SUMIFS(tblPlant[Mill_Planned_Maint_h],tblPlant[Date],$A203)</f>
        <v/>
      </c>
      <c r="EO203" s="57">
        <f>IF($B203=$B202,$EO202,0)+$EN203</f>
        <v/>
      </c>
      <c r="EP203" s="57">
        <f>$EP202+$EN203</f>
        <v/>
      </c>
      <c r="EQ203" s="57">
        <f>SUMIFS(tblPlant[Mill_Unplanned_Down_h],tblPlant[Date],$A203)</f>
        <v/>
      </c>
      <c r="ER203" s="57">
        <f>IF($B203=$B202,$ER202,0)+$EQ203</f>
        <v/>
      </c>
      <c r="ES203" s="57">
        <f>$ES202+$EQ203</f>
        <v/>
      </c>
      <c r="ET203" s="57">
        <f>IF(COUNTIFS(tblPlant[Date],$A203,tblPlant[Mill_Run_h],"&lt;&gt;")+COUNTIFS(tblPlant[Date],$A203,tblPlant[Mill_Planned_Maint_h],"&lt;&gt;")+COUNTIFS(tblPlant[Date],$A203,tblPlant[Mill_Unplanned_Down_h],"&lt;&gt;")&gt;0,cfg_HoursPerDay,0)</f>
        <v/>
      </c>
      <c r="EU203" s="57">
        <f>IF($B203=$B202,$EU202,0)+$ET203</f>
        <v/>
      </c>
      <c r="EV203" s="57">
        <f>$EV202+$ET203</f>
        <v/>
      </c>
      <c r="EW203" s="57">
        <f>SUMIFS(tblPlant[Crusher_Run_h],tblPlant[Date],$A203)</f>
        <v/>
      </c>
      <c r="EX203" s="57">
        <f>IF($B203=$B202,$EX202,0)+$EW203</f>
        <v/>
      </c>
      <c r="EY203" s="57">
        <f>$EY202+$EW203</f>
        <v/>
      </c>
      <c r="EZ203" s="55">
        <f>IFERROR(IF(($EK203)&gt;0,($DP203)/($EK203),""),"")</f>
        <v/>
      </c>
      <c r="FA203" s="55">
        <f>IFERROR(IF(($EL203)&gt;0,($DQ203)/($EL203),""),"")</f>
        <v/>
      </c>
      <c r="FB203" s="55">
        <f>IFERROR(IF(($EM203)&gt;0,($DR203)/($EM203),""),"")</f>
        <v/>
      </c>
      <c r="FC203" s="67">
        <f>IFERROR(IF(($ET203)&gt;0,($ET203-$EN203-$EQ203)/($ET203),""),"")</f>
        <v/>
      </c>
      <c r="FD203" s="67">
        <f>IFERROR(IF(($EU203)&gt;0,($EU203-$EO203-$ER203)/($EU203),""),"")</f>
        <v/>
      </c>
      <c r="FE203" s="67">
        <f>IFERROR(IF(($EV203)&gt;0,($EV203-$EP203-$ES203)/($EV203),""),"")</f>
        <v/>
      </c>
      <c r="FF203" s="67">
        <f>IFERROR(IF(($ET203-$EN203-$EQ203)&gt;0,($EK203)/($ET203-$EN203-$EQ203),""),"")</f>
        <v/>
      </c>
      <c r="FG203" s="67">
        <f>IFERROR(IF(($EU203-$EO203-$ER203)&gt;0,($EL203)/($EU203-$EO203-$ER203),""),"")</f>
        <v/>
      </c>
      <c r="FH203" s="67">
        <f>IFERROR(IF(($EV203-$EP203-$ES203)&gt;0,($EM203)/($EV203-$EP203-$ES203),""),"")</f>
        <v/>
      </c>
      <c r="FI203" s="55">
        <f>SUMIFS(tblPlant[Cyanide_kg],tblPlant[Date],$A203)</f>
        <v/>
      </c>
      <c r="FJ203" s="55">
        <f>IF($B203=$B202,$FJ202,0)+$FI203</f>
        <v/>
      </c>
      <c r="FK203" s="55">
        <f>$FK202+$FI203</f>
        <v/>
      </c>
      <c r="FL203" s="55">
        <f>SUMIFS(tblPlant[Lime_kg],tblPlant[Date],$A203)</f>
        <v/>
      </c>
      <c r="FM203" s="55">
        <f>IF($B203=$B202,$FM202,0)+$FL203</f>
        <v/>
      </c>
      <c r="FN203" s="55">
        <f>$FN202+$FL203</f>
        <v/>
      </c>
      <c r="FO203" s="55">
        <f>SUMIFS(tblPlant[Grinding_Media_kg],tblPlant[Date],$A203)</f>
        <v/>
      </c>
      <c r="FP203" s="55">
        <f>IF($B203=$B202,$FP202,0)+$FO203</f>
        <v/>
      </c>
      <c r="FQ203" s="55">
        <f>$FQ202+$FO203</f>
        <v/>
      </c>
      <c r="FR203" s="55">
        <f>SUMIFS(tblPlant[Power_kWh],tblPlant[Date],$A203)</f>
        <v/>
      </c>
      <c r="FS203" s="55">
        <f>IF($B203=$B202,$FS202,0)+$FR203</f>
        <v/>
      </c>
      <c r="FT203" s="55">
        <f>$FT202+$FR203</f>
        <v/>
      </c>
      <c r="FU203" s="55">
        <f>SUMIFS(tblPlant[Raw_Water_m3],tblPlant[Date],$A203)</f>
        <v/>
      </c>
      <c r="FV203" s="55">
        <f>IF($B203=$B202,$FV202,0)+$FU203</f>
        <v/>
      </c>
      <c r="FW203" s="55">
        <f>$FW202+$FU203</f>
        <v/>
      </c>
      <c r="FX203" s="56">
        <f>IFERROR(IF(($CU203)&gt;0,($FI203)/($CU203),""),"")</f>
        <v/>
      </c>
      <c r="FY203" s="56">
        <f>IFERROR(IF(($CV203)&gt;0,($FJ203)/($CV203),""),"")</f>
        <v/>
      </c>
      <c r="FZ203" s="56">
        <f>IFERROR(IF(($CW203)&gt;0,($FK203)/($CW203),""),"")</f>
        <v/>
      </c>
      <c r="GA203" s="56">
        <f>IFERROR(IF(($CU203)&gt;0,($FL203)/($CU203),""),"")</f>
        <v/>
      </c>
      <c r="GB203" s="56">
        <f>IFERROR(IF(($CV203)&gt;0,($FM203)/($CV203),""),"")</f>
        <v/>
      </c>
      <c r="GC203" s="56">
        <f>IFERROR(IF(($CW203)&gt;0,($FN203)/($CW203),""),"")</f>
        <v/>
      </c>
      <c r="GD203" s="56">
        <f>IFERROR(IF(($CU203)&gt;0,($FO203)/($CU203),""),"")</f>
        <v/>
      </c>
      <c r="GE203" s="56">
        <f>IFERROR(IF(($CV203)&gt;0,($FP203)/($CV203),""),"")</f>
        <v/>
      </c>
      <c r="GF203" s="56">
        <f>IFERROR(IF(($CW203)&gt;0,($FQ203)/($CW203),""),"")</f>
        <v/>
      </c>
      <c r="GG203" s="79">
        <f>IFERROR(IF(($CU203)&gt;0,($FR203)/($CU203),""),"")</f>
        <v/>
      </c>
      <c r="GH203" s="79">
        <f>IFERROR(IF(($CV203)&gt;0,($FS203)/($CV203),""),"")</f>
        <v/>
      </c>
      <c r="GI203" s="79">
        <f>IFERROR(IF(($CW203)&gt;0,($FT203)/($CW203),""),"")</f>
        <v/>
      </c>
      <c r="GJ203" s="56">
        <f>IFERROR(IF(($CU203)&gt;0,($FU203)/($CU203),""),"")</f>
        <v/>
      </c>
      <c r="GK203" s="56">
        <f>IFERROR(IF(($CV203)&gt;0,($FV203)/($CV203),""),"")</f>
        <v/>
      </c>
      <c r="GL203" s="56">
        <f>IFERROR(IF(($CW203)&gt;0,($FW203)/($CW203),""),"")</f>
        <v/>
      </c>
      <c r="GM203" s="55">
        <f>IF(SUMIFS(tblPlant[GIC_oz],tblPlant[Date],$A203)&gt;0,SUMIFS(tblPlant[GIC_oz],tblPlant[Date],$A203),"")</f>
        <v/>
      </c>
      <c r="GN203" s="55">
        <f>SUMIFS(tblGold[Gold_oz],tblGold[Date],$A203,tblGold[Type],"Shipment")</f>
        <v/>
      </c>
      <c r="GO203" s="55">
        <f>IF($B203=$B202,$GO202,0)+$GN203</f>
        <v/>
      </c>
      <c r="GP203" s="55">
        <f>$GP202+$GN203</f>
        <v/>
      </c>
      <c r="GQ203" s="55">
        <f>SUMIFS(tblGold[Gold_oz],tblGold[Date],$A203,tblGold[Type],"Sale")</f>
        <v/>
      </c>
      <c r="GR203" s="55">
        <f>IF($B203=$B202,$GR202,0)+$GQ203</f>
        <v/>
      </c>
      <c r="GS203" s="55">
        <f>$GS202+$GQ203</f>
        <v/>
      </c>
      <c r="GT203" s="55">
        <f>SUMIFS(tblGold[Dore_kg],tblGold[Date],$A203,tblGold[Type],"Shipment")</f>
        <v/>
      </c>
      <c r="GU203" s="55">
        <f>IF($B203=$B202,$GU202,0)+$GT203</f>
        <v/>
      </c>
      <c r="GV203" s="55">
        <f>$GV202+$GT203</f>
        <v/>
      </c>
      <c r="GW203" s="57">
        <f>SUMIFS(tblSafety[Hours_Total],tblSafety[Date],$A203)</f>
        <v/>
      </c>
      <c r="GX203" s="57">
        <f>IF($B203=$B202,$GX202,0)+$GW203</f>
        <v/>
      </c>
      <c r="GY203" s="57">
        <f>$GY202+$GW203</f>
        <v/>
      </c>
      <c r="GZ203" s="62">
        <f>SUMIFS(tblSafety[Fatality],tblSafety[Date],$A203)</f>
        <v/>
      </c>
      <c r="HA203" s="62">
        <f>IF($B203=$B202,$HA202,0)+$GZ203</f>
        <v/>
      </c>
      <c r="HB203" s="62">
        <f>$HB202+$GZ203</f>
        <v/>
      </c>
      <c r="HC203" s="62">
        <f>SUMIFS(tblSafety[LTI],tblSafety[Date],$A203)</f>
        <v/>
      </c>
      <c r="HD203" s="62">
        <f>IF($B203=$B202,$HD202,0)+$HC203</f>
        <v/>
      </c>
      <c r="HE203" s="62">
        <f>$HE202+$HC203</f>
        <v/>
      </c>
      <c r="HF203" s="62">
        <f>SUMIFS(tblSafety[RWI],tblSafety[Date],$A203)</f>
        <v/>
      </c>
      <c r="HG203" s="62">
        <f>IF($B203=$B202,$HG202,0)+$HF203</f>
        <v/>
      </c>
      <c r="HH203" s="62">
        <f>$HH202+$HF203</f>
        <v/>
      </c>
      <c r="HI203" s="62">
        <f>SUMIFS(tblSafety[MTI],tblSafety[Date],$A203)</f>
        <v/>
      </c>
      <c r="HJ203" s="62">
        <f>IF($B203=$B202,$HJ202,0)+$HI203</f>
        <v/>
      </c>
      <c r="HK203" s="62">
        <f>$HK202+$HI203</f>
        <v/>
      </c>
      <c r="HL203" s="62">
        <f>SUMIFS(tblSafety[FAI],tblSafety[Date],$A203)</f>
        <v/>
      </c>
      <c r="HM203" s="62">
        <f>IF($B203=$B202,$HM202,0)+$HL203</f>
        <v/>
      </c>
      <c r="HN203" s="62">
        <f>$HN202+$HL203</f>
        <v/>
      </c>
      <c r="HO203" s="62">
        <f>SUMIFS(tblSafety[Recordables],tblSafety[Date],$A203)</f>
        <v/>
      </c>
      <c r="HP203" s="62">
        <f>IF($B203=$B202,$HP202,0)+$HO203</f>
        <v/>
      </c>
      <c r="HQ203" s="62">
        <f>$HQ202+$HO203</f>
        <v/>
      </c>
      <c r="HR203" s="62">
        <f>SUMIFS(tblSafety[Near_Miss],tblSafety[Date],$A203)</f>
        <v/>
      </c>
      <c r="HS203" s="62">
        <f>IF($B203=$B202,$HS202,0)+$HR203</f>
        <v/>
      </c>
      <c r="HT203" s="62">
        <f>$HT202+$HR203</f>
        <v/>
      </c>
      <c r="HU203" s="62">
        <f>SUMIFS(tblSafety[Hazard_Reports],tblSafety[Date],$A203)</f>
        <v/>
      </c>
      <c r="HV203" s="62">
        <f>IF($B203=$B202,$HV202,0)+$HU203</f>
        <v/>
      </c>
      <c r="HW203" s="62">
        <f>$HW202+$HU203</f>
        <v/>
      </c>
      <c r="HX203" s="62">
        <f>SUMIFS(tblSafety[HPI],tblSafety[Date],$A203)</f>
        <v/>
      </c>
      <c r="HY203" s="62">
        <f>IF($B203=$B202,$HY202,0)+$HX203</f>
        <v/>
      </c>
      <c r="HZ203" s="62">
        <f>$HZ202+$HX203</f>
        <v/>
      </c>
      <c r="IA203" s="62">
        <f>SUMIFS(tblSafety[Env_Incidents],tblSafety[Date],$A203)</f>
        <v/>
      </c>
      <c r="IB203" s="62">
        <f>IF($B203=$B202,$IB202,0)+$IA203</f>
        <v/>
      </c>
      <c r="IC203" s="62">
        <f>$IC202+$IA203</f>
        <v/>
      </c>
      <c r="ID203" s="62">
        <f>SUMIFS(tblSafety[Community_Incidents],tblSafety[Date],$A203)</f>
        <v/>
      </c>
      <c r="IE203" s="62">
        <f>IF($B203=$B202,$IE202,0)+$ID203</f>
        <v/>
      </c>
      <c r="IF203" s="62">
        <f>$IF202+$ID203</f>
        <v/>
      </c>
      <c r="IG203" s="62">
        <f>SUMIFS(tblSafety[Vehicle_Incidents],tblSafety[Date],$A203)</f>
        <v/>
      </c>
      <c r="IH203" s="62">
        <f>IF($B203=$B202,$IH202,0)+$IG203</f>
        <v/>
      </c>
      <c r="II203" s="62">
        <f>$II202+$IG203</f>
        <v/>
      </c>
      <c r="IJ203" s="62">
        <f>SUMIFS(tblSafety[Toolbox_Talks],tblSafety[Date],$A203)</f>
        <v/>
      </c>
      <c r="IK203" s="62">
        <f>IF($B203=$B202,$IK202,0)+$IJ203</f>
        <v/>
      </c>
      <c r="IL203" s="62">
        <f>$IL202+$IJ203</f>
        <v/>
      </c>
      <c r="IM203" s="62">
        <f>SUMIFS(tblSafety[Inspections],tblSafety[Date],$A203)</f>
        <v/>
      </c>
      <c r="IN203" s="62">
        <f>IF($B203=$B202,$IN202,0)+$IM203</f>
        <v/>
      </c>
      <c r="IO203" s="62">
        <f>$IO202+$IM203</f>
        <v/>
      </c>
      <c r="IP203" s="56">
        <f>IFERROR((SUMIFS(tblSafety[Recordables],tblSafety[Date],"&gt;="&amp;EDATE($E203,-12),tblSafety[Date],"&lt;="&amp;$A203)+SUMIFS(tblSafetyHistory[Recordables],tblSafetyHistory[Month],"&gt;="&amp;EDATE($E203,-12),tblSafetyHistory[Month],"&lt;"&amp;$E203,tblSafetyHistory[Use],1))/(SUMIFS(tblSafety[Hours_Total],tblSafety[Date],"&gt;="&amp;EDATE($E203,-12),tblSafety[Date],"&lt;="&amp;$A203)+SUMIFS(tblSafetyHistory[Hours_Total],tblSafetyHistory[Month],"&gt;="&amp;EDATE($E203,-12),tblSafetyHistory[Month],"&lt;"&amp;$E203,tblSafetyHistory[Use],1))*cfg_RateBasisHours,"")</f>
        <v/>
      </c>
      <c r="IQ203" s="56">
        <f>IFERROR((SUMIFS(tblSafety[LTI],tblSafety[Date],"&gt;="&amp;EDATE($E203,-12),tblSafety[Date],"&lt;="&amp;$A203)+SUMIFS(tblSafetyHistory[LTI],tblSafetyHistory[Month],"&gt;="&amp;EDATE($E203,-12),tblSafetyHistory[Month],"&lt;"&amp;$E203,tblSafetyHistory[Use],1))/(SUMIFS(tblSafety[Hours_Total],tblSafety[Date],"&gt;="&amp;EDATE($E203,-12),tblSafety[Date],"&lt;="&amp;$A203)+SUMIFS(tblSafetyHistory[Hours_Total],tblSafetyHistory[Month],"&gt;="&amp;EDATE($E203,-12),tblSafetyHistory[Month],"&lt;"&amp;$E203,tblSafetyHistory[Use],1))*cfg_RateBasisHours,"")</f>
        <v/>
      </c>
      <c r="IR203" s="62">
        <f>IF(MAX(N(cfg_PriorLTIDate),_xlfn.MAXIFS(tblSafety[Date],tblSafety[LTI],"&gt;0",tblSafety[Date],"&lt;="&amp;$A203))=0,"",$A203-MAX(N(cfg_PriorLTIDate),_xlfn.MAXIFS(tblSafety[Date],tblSafety[LTI],"&gt;0",tblSafety[Date],"&lt;="&amp;$A203)))</f>
        <v/>
      </c>
      <c r="IS203" s="55">
        <f>SUMIFS(tblBudget[Ore_Mined_t],tblBudget[Month],$E203)</f>
        <v/>
      </c>
      <c r="IT203" s="55">
        <f>$IS203*$C203/$D203</f>
        <v/>
      </c>
      <c r="IU203" s="55">
        <f>SUMIFS(tblBudget[Ore_Mined_t],tblBudget[Month],"&lt;"&amp;$E203)+$IT203</f>
        <v/>
      </c>
      <c r="IV203" s="55">
        <f>SUMIFS(tblBudget[Ore_oz],tblBudget[Month],$E203)</f>
        <v/>
      </c>
      <c r="IW203" s="55">
        <f>$IV203*$C203/$D203</f>
        <v/>
      </c>
      <c r="IX203" s="55">
        <f>SUMIFS(tblBudget[Ore_oz],tblBudget[Month],"&lt;"&amp;$E203)+$IW203</f>
        <v/>
      </c>
      <c r="IY203" s="55">
        <f>SUMIFS(tblBudget[Ore_Mined_t],tblBudget[Month],$E203)</f>
        <v/>
      </c>
      <c r="IZ203" s="55">
        <f>$IY203*$C203/$D203</f>
        <v/>
      </c>
      <c r="JA203" s="55">
        <f>SUMIFS(tblBudget[Ore_Mined_t],tblBudget[Month],"&lt;"&amp;$E203)+$IZ203</f>
        <v/>
      </c>
      <c r="JB203" s="56">
        <f>IFERROR(IF(($IY203)&gt;0,($IV203*cfg_TroyOz)/($IY203),""),"")</f>
        <v/>
      </c>
      <c r="JC203" s="56">
        <f>IFERROR(IF(($IZ203)&gt;0,($IW203*cfg_TroyOz)/($IZ203),""),"")</f>
        <v/>
      </c>
      <c r="JD203" s="56">
        <f>IFERROR(IF(($JA203)&gt;0,($IX203*cfg_TroyOz)/($JA203),""),"")</f>
        <v/>
      </c>
      <c r="JE203" s="55">
        <f>SUMIFS(tblBudget[Waste_t],tblBudget[Month],$E203)</f>
        <v/>
      </c>
      <c r="JF203" s="55">
        <f>$JE203*$C203/$D203</f>
        <v/>
      </c>
      <c r="JG203" s="55">
        <f>SUMIFS(tblBudget[Waste_t],tblBudget[Month],"&lt;"&amp;$E203)+$JF203</f>
        <v/>
      </c>
      <c r="JH203" s="55">
        <f>SUMIFS(tblBudget[TMM_t],tblBudget[Month],$E203)</f>
        <v/>
      </c>
      <c r="JI203" s="55">
        <f>$JH203*$C203/$D203</f>
        <v/>
      </c>
      <c r="JJ203" s="55">
        <f>SUMIFS(tblBudget[TMM_t],tblBudget[Month],"&lt;"&amp;$E203)+$JI203</f>
        <v/>
      </c>
      <c r="JK203" s="56">
        <f>IFERROR(IF(($IS203)&gt;0,($JE203)/($IS203),""),"")</f>
        <v/>
      </c>
      <c r="JL203" s="56">
        <f>IFERROR(IF(($IT203)&gt;0,($JF203)/($IT203),""),"")</f>
        <v/>
      </c>
      <c r="JM203" s="56">
        <f>IFERROR(IF(($IU203)&gt;0,($JG203)/($IU203),""),"")</f>
        <v/>
      </c>
      <c r="JN203" s="55">
        <f>SUMIFS(tblBudget[Drill_m],tblBudget[Month],$E203)</f>
        <v/>
      </c>
      <c r="JO203" s="55">
        <f>$JN203*$C203/$D203</f>
        <v/>
      </c>
      <c r="JP203" s="55">
        <f>SUMIFS(tblBudget[Drill_m],tblBudget[Month],"&lt;"&amp;$E203)+$JO203</f>
        <v/>
      </c>
      <c r="JQ203" s="55">
        <f>SUMIFS(tblBudget[Diesel_L],tblBudget[Month],$E203)</f>
        <v/>
      </c>
      <c r="JR203" s="55">
        <f>$JQ203*$C203/$D203</f>
        <v/>
      </c>
      <c r="JS203" s="55">
        <f>SUMIFS(tblBudget[Diesel_L],tblBudget[Month],"&lt;"&amp;$E203)+$JR203</f>
        <v/>
      </c>
      <c r="JT203" s="55">
        <f>SUMIFS(tblBudget[Milled_t],tblBudget[Month],$E203)</f>
        <v/>
      </c>
      <c r="JU203" s="55">
        <f>$JT203*$C203/$D203</f>
        <v/>
      </c>
      <c r="JV203" s="55">
        <f>SUMIFS(tblBudget[Milled_t],tblBudget[Month],"&lt;"&amp;$E203)+$JU203</f>
        <v/>
      </c>
      <c r="JW203" s="55">
        <f>SUMIFS(tblBudget[Feed_oz],tblBudget[Month],$E203)</f>
        <v/>
      </c>
      <c r="JX203" s="55">
        <f>$JW203*$C203/$D203</f>
        <v/>
      </c>
      <c r="JY203" s="55">
        <f>SUMIFS(tblBudget[Feed_oz],tblBudget[Month],"&lt;"&amp;$E203)+$JX203</f>
        <v/>
      </c>
      <c r="JZ203" s="55">
        <f>SUMIFS(tblBudget[Recovered_oz],tblBudget[Month],$E203)</f>
        <v/>
      </c>
      <c r="KA203" s="55">
        <f>$JZ203*$C203/$D203</f>
        <v/>
      </c>
      <c r="KB203" s="55">
        <f>SUMIFS(tblBudget[Recovered_oz],tblBudget[Month],"&lt;"&amp;$E203)+$KA203</f>
        <v/>
      </c>
      <c r="KC203" s="55">
        <f>SUMIFS(tblBudget[Milled_t],tblBudget[Month],$E203)</f>
        <v/>
      </c>
      <c r="KD203" s="55">
        <f>$KC203*$C203/$D203</f>
        <v/>
      </c>
      <c r="KE203" s="55">
        <f>SUMIFS(tblBudget[Milled_t],tblBudget[Month],"&lt;"&amp;$E203)+$KD203</f>
        <v/>
      </c>
      <c r="KF203" s="55">
        <f>SUMIFS(tblBudget[Feed_oz],tblBudget[Month],$E203)</f>
        <v/>
      </c>
      <c r="KG203" s="55">
        <f>$KF203*$C203/$D203</f>
        <v/>
      </c>
      <c r="KH203" s="55">
        <f>SUMIFS(tblBudget[Feed_oz],tblBudget[Month],"&lt;"&amp;$E203)+$KG203</f>
        <v/>
      </c>
      <c r="KI203" s="56">
        <f>IFERROR(IF(($KC203)&gt;0,($JW203*cfg_TroyOz)/($KC203),""),"")</f>
        <v/>
      </c>
      <c r="KJ203" s="56">
        <f>IFERROR(IF(($KD203)&gt;0,($JX203*cfg_TroyOz)/($KD203),""),"")</f>
        <v/>
      </c>
      <c r="KK203" s="56">
        <f>IFERROR(IF(($KE203)&gt;0,($JY203*cfg_TroyOz)/($KE203),""),"")</f>
        <v/>
      </c>
      <c r="KL203" s="67">
        <f>IFERROR(IF(($KF203)&gt;0,($JZ203)/($KF203),""),"")</f>
        <v/>
      </c>
      <c r="KM203" s="67">
        <f>IFERROR(IF(($KG203)&gt;0,($KA203)/($KG203),""),"")</f>
        <v/>
      </c>
      <c r="KN203" s="67">
        <f>IFERROR(IF(($KH203)&gt;0,($KB203)/($KH203),""),"")</f>
        <v/>
      </c>
      <c r="KO203" s="55">
        <f>SUMIFS(tblBudget[Gold_Poured_oz],tblBudget[Month],$E203)</f>
        <v/>
      </c>
      <c r="KP203" s="55">
        <f>$KO203*$C203/$D203</f>
        <v/>
      </c>
      <c r="KQ203" s="55">
        <f>SUMIFS(tblBudget[Gold_Poured_oz],tblBudget[Month],"&lt;"&amp;$E203)+$KP203</f>
        <v/>
      </c>
      <c r="KR203" s="57">
        <f>SUMIFS(tblBudget[Hours_Worked],tblBudget[Month],$E203)</f>
        <v/>
      </c>
      <c r="KS203" s="57">
        <f>$KR203*$C203/$D203</f>
        <v/>
      </c>
      <c r="KT203" s="57">
        <f>SUMIFS(tblBudget[Hours_Worked],tblBudget[Month],"&lt;"&amp;$E203)+$KS203</f>
        <v/>
      </c>
    </row>
    <row r="204">
      <c r="A204" s="54" t="n">
        <v>46225</v>
      </c>
      <c r="B204">
        <f>MONTH($A204)</f>
        <v/>
      </c>
      <c r="C204">
        <f>DAY($A204)</f>
        <v/>
      </c>
      <c r="D204">
        <f>DAY(EOMONTH($A204,0))</f>
        <v/>
      </c>
      <c r="E204" s="54">
        <f>DATE(YEAR($A204),MONTH($A204),1)</f>
        <v/>
      </c>
      <c r="F204" s="55">
        <f>SUMIFS(tblMovement[Tonnes_t],tblMovement[Date],$A204,tblMovement[Is_Ore],1,tblMovement[Source_Type],"Pit")</f>
        <v/>
      </c>
      <c r="G204" s="55">
        <f>IF($B204=$B203,$G203,0)+$F204</f>
        <v/>
      </c>
      <c r="H204" s="55">
        <f>$H203+$F204</f>
        <v/>
      </c>
      <c r="I204" s="55">
        <f>SUMIFS(tblMovement[Ore_oz],tblMovement[Date],$A204,tblMovement[Source_Type],"Pit")</f>
        <v/>
      </c>
      <c r="J204" s="55">
        <f>IF($B204=$B203,$J203,0)+$I204</f>
        <v/>
      </c>
      <c r="K204" s="55">
        <f>$K203+$I204</f>
        <v/>
      </c>
      <c r="L204" s="55">
        <f>SUMIFS(tblMovement[Tonnes_t],tblMovement[Date],$A204,tblMovement[Is_Ore],1,tblMovement[Source_Type],"Pit",tblMovement[Grade_gpt],"&lt;&gt;")</f>
        <v/>
      </c>
      <c r="M204" s="55">
        <f>IF($B204=$B203,$M203,0)+$L204</f>
        <v/>
      </c>
      <c r="N204" s="55">
        <f>$N203+$L204</f>
        <v/>
      </c>
      <c r="O204" s="56">
        <f>IFERROR(IF(($L204)&gt;0,($I204*cfg_TroyOz)/($L204),""),"")</f>
        <v/>
      </c>
      <c r="P204" s="56">
        <f>IFERROR(IF(($M204)&gt;0,($J204*cfg_TroyOz)/($M204),""),"")</f>
        <v/>
      </c>
      <c r="Q204" s="56">
        <f>IFERROR(IF(($N204)&gt;0,($K204*cfg_TroyOz)/($N204),""),"")</f>
        <v/>
      </c>
      <c r="R204" s="55">
        <f>$F204-$L204</f>
        <v/>
      </c>
      <c r="S204" s="55">
        <f>IF($B204=$B203,$S203,0)+$R204</f>
        <v/>
      </c>
      <c r="T204" s="55">
        <f>$T203+$R204</f>
        <v/>
      </c>
      <c r="U204" s="55">
        <f>SUMIFS(tblMovement[Tonnes_t],tblMovement[Date],$A204,tblMovement[Is_Ore],0,tblMovement[Source_Type],"Pit")</f>
        <v/>
      </c>
      <c r="V204" s="55">
        <f>IF($B204=$B203,$V203,0)+$U204</f>
        <v/>
      </c>
      <c r="W204" s="55">
        <f>$W203+$U204</f>
        <v/>
      </c>
      <c r="X204" s="55">
        <f>$F204+$U204</f>
        <v/>
      </c>
      <c r="Y204" s="55">
        <f>IF($B204=$B203,$Y203,0)+$X204</f>
        <v/>
      </c>
      <c r="Z204" s="55">
        <f>$Z203+$X204</f>
        <v/>
      </c>
      <c r="AA204" s="56">
        <f>IFERROR(IF(($F204)&gt;0,($U204)/($F204),""),"")</f>
        <v/>
      </c>
      <c r="AB204" s="56">
        <f>IFERROR(IF(($G204)&gt;0,($V204)/($G204),""),"")</f>
        <v/>
      </c>
      <c r="AC204" s="56">
        <f>IFERROR(IF(($H204)&gt;0,($W204)/($H204),""),"")</f>
        <v/>
      </c>
      <c r="AD204" s="55">
        <f>SUMIFS(tblMovement[Tonnes_t],tblMovement[Date],$A204,tblMovement[Source_Type],"Stockpile")</f>
        <v/>
      </c>
      <c r="AE204" s="55">
        <f>IF($B204=$B203,$AE203,0)+$AD204</f>
        <v/>
      </c>
      <c r="AF204" s="55">
        <f>$AF203+$AD204</f>
        <v/>
      </c>
      <c r="AG204" s="55">
        <f>SUMIFS(tblMovement[Tonnes_t],tblMovement[Date],$A204)</f>
        <v/>
      </c>
      <c r="AH204" s="55">
        <f>IF($B204=$B203,$AH203,0)+$AG204</f>
        <v/>
      </c>
      <c r="AI204" s="55">
        <f>$AI203+$AG204</f>
        <v/>
      </c>
      <c r="AJ204" s="55">
        <f>$AG204-$X204-$AD204</f>
        <v/>
      </c>
      <c r="AK204" s="55">
        <f>IF($B204=$B203,$AK203,0)+$AJ204</f>
        <v/>
      </c>
      <c r="AL204" s="55">
        <f>$AL203+$AJ204</f>
        <v/>
      </c>
      <c r="AM204" s="55">
        <f>SUMIFS(tblMiningDaily[Drill_m],tblMiningDaily[Date],$A204)</f>
        <v/>
      </c>
      <c r="AN204" s="55">
        <f>IF($B204=$B203,$AN203,0)+$AM204</f>
        <v/>
      </c>
      <c r="AO204" s="55">
        <f>$AO203+$AM204</f>
        <v/>
      </c>
      <c r="AP204" s="55">
        <f>SUMIFS(tblMiningDaily[GC_Drill_m],tblMiningDaily[Date],$A204)</f>
        <v/>
      </c>
      <c r="AQ204" s="55">
        <f>IF($B204=$B203,$AQ203,0)+$AP204</f>
        <v/>
      </c>
      <c r="AR204" s="55">
        <f>$AR203+$AP204</f>
        <v/>
      </c>
      <c r="AS204" s="55">
        <f>SUMIFS(tblMiningDaily[Blast_t],tblMiningDaily[Date],$A204)</f>
        <v/>
      </c>
      <c r="AT204" s="55">
        <f>IF($B204=$B203,$AT203,0)+$AS204</f>
        <v/>
      </c>
      <c r="AU204" s="55">
        <f>$AU203+$AS204</f>
        <v/>
      </c>
      <c r="AV204" s="55">
        <f>SUMIFS(tblMiningDaily[Explosives_kg],tblMiningDaily[Date],$A204)</f>
        <v/>
      </c>
      <c r="AW204" s="55">
        <f>IF($B204=$B203,$AW203,0)+$AV204</f>
        <v/>
      </c>
      <c r="AX204" s="55">
        <f>$AX203+$AV204</f>
        <v/>
      </c>
      <c r="AY204" s="56">
        <f>IFERROR(IF(($AS204)&gt;0,($AV204)/($AS204),""),"")</f>
        <v/>
      </c>
      <c r="AZ204" s="56">
        <f>IFERROR(IF(($AT204)&gt;0,($AW204)/($AT204),""),"")</f>
        <v/>
      </c>
      <c r="BA204" s="56">
        <f>IFERROR(IF(($AU204)&gt;0,($AX204)/($AU204),""),"")</f>
        <v/>
      </c>
      <c r="BB204" s="55">
        <f>SUMIFS(tblMiningDaily[Diesel_L],tblMiningDaily[Date],$A204)</f>
        <v/>
      </c>
      <c r="BC204" s="55">
        <f>IF($B204=$B203,$BC203,0)+$BB204</f>
        <v/>
      </c>
      <c r="BD204" s="55">
        <f>$BD203+$BB204</f>
        <v/>
      </c>
      <c r="BE204" s="55">
        <f>SUMIFS(tblMiningDaily[Dewatering_m3],tblMiningDaily[Date],$A204)</f>
        <v/>
      </c>
      <c r="BF204" s="55">
        <f>IF($B204=$B203,$BF203,0)+$BE204</f>
        <v/>
      </c>
      <c r="BG204" s="55">
        <f>$BG203+$BE204</f>
        <v/>
      </c>
      <c r="BH204" s="57">
        <f>SUMIFS(tblFleet[Calendar_h],tblFleet[Date],$A204,tblFleet[Equipment_Class],"Excavator")</f>
        <v/>
      </c>
      <c r="BI204" s="57">
        <f>IF($B204=$B203,$BI203,0)+$BH204</f>
        <v/>
      </c>
      <c r="BJ204" s="57">
        <f>$BJ203+$BH204</f>
        <v/>
      </c>
      <c r="BK204" s="57">
        <f>SUMIFS(tblFleet[Available_h],tblFleet[Date],$A204,tblFleet[Equipment_Class],"Excavator")</f>
        <v/>
      </c>
      <c r="BL204" s="57">
        <f>IF($B204=$B203,$BL203,0)+$BK204</f>
        <v/>
      </c>
      <c r="BM204" s="57">
        <f>$BM203+$BK204</f>
        <v/>
      </c>
      <c r="BN204" s="57">
        <f>SUMIFS(tblFleet[Operating_h],tblFleet[Date],$A204,tblFleet[Equipment_Class],"Excavator")</f>
        <v/>
      </c>
      <c r="BO204" s="57">
        <f>IF($B204=$B203,$BO203,0)+$BN204</f>
        <v/>
      </c>
      <c r="BP204" s="57">
        <f>$BP203+$BN204</f>
        <v/>
      </c>
      <c r="BQ204" s="67">
        <f>IFERROR(IF(($BH204)&gt;0,($BK204)/($BH204),""),"")</f>
        <v/>
      </c>
      <c r="BR204" s="67">
        <f>IFERROR(IF(($BI204)&gt;0,($BL204)/($BI204),""),"")</f>
        <v/>
      </c>
      <c r="BS204" s="67">
        <f>IFERROR(IF(($BJ204)&gt;0,($BM204)/($BJ204),""),"")</f>
        <v/>
      </c>
      <c r="BT204" s="67">
        <f>IFERROR(IF(($BK204)&gt;0,($BN204)/($BK204),""),"")</f>
        <v/>
      </c>
      <c r="BU204" s="67">
        <f>IFERROR(IF(($BL204)&gt;0,($BO204)/($BL204),""),"")</f>
        <v/>
      </c>
      <c r="BV204" s="67">
        <f>IFERROR(IF(($BM204)&gt;0,($BP204)/($BM204),""),"")</f>
        <v/>
      </c>
      <c r="BW204" s="57">
        <f>SUMIFS(tblFleet[Calendar_h],tblFleet[Date],$A204,tblFleet[Equipment_Class],"Haul Truck")</f>
        <v/>
      </c>
      <c r="BX204" s="57">
        <f>IF($B204=$B203,$BX203,0)+$BW204</f>
        <v/>
      </c>
      <c r="BY204" s="57">
        <f>$BY203+$BW204</f>
        <v/>
      </c>
      <c r="BZ204" s="57">
        <f>SUMIFS(tblFleet[Available_h],tblFleet[Date],$A204,tblFleet[Equipment_Class],"Haul Truck")</f>
        <v/>
      </c>
      <c r="CA204" s="57">
        <f>IF($B204=$B203,$CA203,0)+$BZ204</f>
        <v/>
      </c>
      <c r="CB204" s="57">
        <f>$CB203+$BZ204</f>
        <v/>
      </c>
      <c r="CC204" s="57">
        <f>SUMIFS(tblFleet[Operating_h],tblFleet[Date],$A204,tblFleet[Equipment_Class],"Haul Truck")</f>
        <v/>
      </c>
      <c r="CD204" s="57">
        <f>IF($B204=$B203,$CD203,0)+$CC204</f>
        <v/>
      </c>
      <c r="CE204" s="57">
        <f>$CE203+$CC204</f>
        <v/>
      </c>
      <c r="CF204" s="67">
        <f>IFERROR(IF(($BW204)&gt;0,($BZ204)/($BW204),""),"")</f>
        <v/>
      </c>
      <c r="CG204" s="67">
        <f>IFERROR(IF(($BX204)&gt;0,($CA204)/($BX204),""),"")</f>
        <v/>
      </c>
      <c r="CH204" s="67">
        <f>IFERROR(IF(($BY204)&gt;0,($CB204)/($BY204),""),"")</f>
        <v/>
      </c>
      <c r="CI204" s="67">
        <f>IFERROR(IF(($BZ204)&gt;0,($CC204)/($BZ204),""),"")</f>
        <v/>
      </c>
      <c r="CJ204" s="67">
        <f>IFERROR(IF(($CA204)&gt;0,($CD204)/($CA204),""),"")</f>
        <v/>
      </c>
      <c r="CK204" s="67">
        <f>IFERROR(IF(($CB204)&gt;0,($CE204)/($CB204),""),"")</f>
        <v/>
      </c>
      <c r="CL204" s="55">
        <f>IFERROR(IF(($BN204)&gt;0,($X204+$AD204)/($BN204),""),"")</f>
        <v/>
      </c>
      <c r="CM204" s="55">
        <f>IFERROR(IF(($BO204)&gt;0,($Y204+$AE204)/($BO204),""),"")</f>
        <v/>
      </c>
      <c r="CN204" s="55">
        <f>IFERROR(IF(($BP204)&gt;0,($Z204+$AF204)/($BP204),""),"")</f>
        <v/>
      </c>
      <c r="CO204" s="55">
        <f>IFERROR(IF(($CC204)&gt;0,($X204+$AD204)/($CC204),""),"")</f>
        <v/>
      </c>
      <c r="CP204" s="55">
        <f>IFERROR(IF(($CD204)&gt;0,($Y204+$AE204)/($CD204),""),"")</f>
        <v/>
      </c>
      <c r="CQ204" s="55">
        <f>IFERROR(IF(($CE204)&gt;0,($Z204+$AF204)/($CE204),""),"")</f>
        <v/>
      </c>
      <c r="CR204" s="55">
        <f>SUMIFS(tblPlant[Crushed_t],tblPlant[Date],$A204)</f>
        <v/>
      </c>
      <c r="CS204" s="55">
        <f>IF($B204=$B203,$CS203,0)+$CR204</f>
        <v/>
      </c>
      <c r="CT204" s="55">
        <f>$CT203+$CR204</f>
        <v/>
      </c>
      <c r="CU204" s="55">
        <f>SUMIFS(tblPlant[Milled_t],tblPlant[Date],$A204)</f>
        <v/>
      </c>
      <c r="CV204" s="55">
        <f>IF($B204=$B203,$CV203,0)+$CU204</f>
        <v/>
      </c>
      <c r="CW204" s="55">
        <f>$CW203+$CU204</f>
        <v/>
      </c>
      <c r="CX204" s="55">
        <f>SUMIFS(tblPlant[Feed_oz],tblPlant[Date],$A204)</f>
        <v/>
      </c>
      <c r="CY204" s="55">
        <f>IF($B204=$B203,$CY203,0)+$CX204</f>
        <v/>
      </c>
      <c r="CZ204" s="55">
        <f>$CZ203+$CX204</f>
        <v/>
      </c>
      <c r="DA204" s="55">
        <f>SUMIFS(tblPlant[Tails_oz],tblPlant[Date],$A204)</f>
        <v/>
      </c>
      <c r="DB204" s="55">
        <f>IF($B204=$B203,$DB203,0)+$DA204</f>
        <v/>
      </c>
      <c r="DC204" s="55">
        <f>$DC203+$DA204</f>
        <v/>
      </c>
      <c r="DD204" s="55">
        <f>SUMIFS(tblPlant[Recovered_oz],tblPlant[Date],$A204)</f>
        <v/>
      </c>
      <c r="DE204" s="55">
        <f>IF($B204=$B203,$DE203,0)+$DD204</f>
        <v/>
      </c>
      <c r="DF204" s="55">
        <f>$DF203+$DD204</f>
        <v/>
      </c>
      <c r="DG204" s="55">
        <f>SUMIFS(tblPlant[Milled_t],tblPlant[Date],$A204,tblPlant[Head_Grade_gpt],"&lt;&gt;")</f>
        <v/>
      </c>
      <c r="DH204" s="55">
        <f>IF($B204=$B203,$DH203,0)+$DG204</f>
        <v/>
      </c>
      <c r="DI204" s="55">
        <f>$DI203+$DG204</f>
        <v/>
      </c>
      <c r="DJ204" s="55">
        <f>SUMIFS(tblPlant[Milled_t],tblPlant[Date],$A204,tblPlant[Tails_Grade_gpt],"&lt;&gt;")</f>
        <v/>
      </c>
      <c r="DK204" s="55">
        <f>IF($B204=$B203,$DK203,0)+$DJ204</f>
        <v/>
      </c>
      <c r="DL204" s="55">
        <f>$DL203+$DJ204</f>
        <v/>
      </c>
      <c r="DM204" s="55">
        <f>SUMIFS(tblPlant[Feed_oz],tblPlant[Date],$A204,tblPlant[Tails_Grade_gpt],"&lt;&gt;")</f>
        <v/>
      </c>
      <c r="DN204" s="55">
        <f>IF($B204=$B203,$DN203,0)+$DM204</f>
        <v/>
      </c>
      <c r="DO204" s="55">
        <f>$DO203+$DM204</f>
        <v/>
      </c>
      <c r="DP204" s="55">
        <f>SUMIFS(tblPlant[Milled_t],tblPlant[Date],$A204,tblPlant[Mill_Run_h],"&lt;&gt;")</f>
        <v/>
      </c>
      <c r="DQ204" s="55">
        <f>IF($B204=$B203,$DQ203,0)+$DP204</f>
        <v/>
      </c>
      <c r="DR204" s="55">
        <f>$DR203+$DP204</f>
        <v/>
      </c>
      <c r="DS204" s="56">
        <f>IFERROR(IF(($DG204)&gt;0,($CX204*cfg_TroyOz)/($DG204),""),"")</f>
        <v/>
      </c>
      <c r="DT204" s="56">
        <f>IFERROR(IF(($DH204)&gt;0,($CY204*cfg_TroyOz)/($DH204),""),"")</f>
        <v/>
      </c>
      <c r="DU204" s="56">
        <f>IFERROR(IF(($DI204)&gt;0,($CZ204*cfg_TroyOz)/($DI204),""),"")</f>
        <v/>
      </c>
      <c r="DV204" s="56">
        <f>IFERROR(IF(($DJ204)&gt;0,($DA204*cfg_TroyOz)/($DJ204),""),"")</f>
        <v/>
      </c>
      <c r="DW204" s="56">
        <f>IFERROR(IF(($DK204)&gt;0,($DB204*cfg_TroyOz)/($DK204),""),"")</f>
        <v/>
      </c>
      <c r="DX204" s="56">
        <f>IFERROR(IF(($DL204)&gt;0,($DC204*cfg_TroyOz)/($DL204),""),"")</f>
        <v/>
      </c>
      <c r="DY204" s="67">
        <f>IFERROR(IF(($DM204)&gt;0,($DD204)/($DM204),""),"")</f>
        <v/>
      </c>
      <c r="DZ204" s="67">
        <f>IFERROR(IF(($DN204)&gt;0,($DE204)/($DN204),""),"")</f>
        <v/>
      </c>
      <c r="EA204" s="67">
        <f>IFERROR(IF(($DO204)&gt;0,($DF204)/($DO204),""),"")</f>
        <v/>
      </c>
      <c r="EB204" s="55">
        <f>SUMIFS(tblPlant[Gravity_Gold_oz],tblPlant[Date],$A204)</f>
        <v/>
      </c>
      <c r="EC204" s="55">
        <f>IF($B204=$B203,$EC203,0)+$EB204</f>
        <v/>
      </c>
      <c r="ED204" s="55">
        <f>$ED203+$EB204</f>
        <v/>
      </c>
      <c r="EE204" s="67">
        <f>IFERROR(IF(($DD204)&gt;0,($EB204)/($DD204),""),"")</f>
        <v/>
      </c>
      <c r="EF204" s="67">
        <f>IFERROR(IF(($DE204)&gt;0,($EC204)/($DE204),""),"")</f>
        <v/>
      </c>
      <c r="EG204" s="67">
        <f>IFERROR(IF(($DF204)&gt;0,($ED204)/($DF204),""),"")</f>
        <v/>
      </c>
      <c r="EH204" s="55">
        <f>SUMIFS(tblPlant[Gold_Poured_oz],tblPlant[Date],$A204)</f>
        <v/>
      </c>
      <c r="EI204" s="55">
        <f>IF($B204=$B203,$EI203,0)+$EH204</f>
        <v/>
      </c>
      <c r="EJ204" s="55">
        <f>$EJ203+$EH204</f>
        <v/>
      </c>
      <c r="EK204" s="57">
        <f>SUMIFS(tblPlant[Mill_Run_h],tblPlant[Date],$A204)</f>
        <v/>
      </c>
      <c r="EL204" s="57">
        <f>IF($B204=$B203,$EL203,0)+$EK204</f>
        <v/>
      </c>
      <c r="EM204" s="57">
        <f>$EM203+$EK204</f>
        <v/>
      </c>
      <c r="EN204" s="57">
        <f>SUMIFS(tblPlant[Mill_Planned_Maint_h],tblPlant[Date],$A204)</f>
        <v/>
      </c>
      <c r="EO204" s="57">
        <f>IF($B204=$B203,$EO203,0)+$EN204</f>
        <v/>
      </c>
      <c r="EP204" s="57">
        <f>$EP203+$EN204</f>
        <v/>
      </c>
      <c r="EQ204" s="57">
        <f>SUMIFS(tblPlant[Mill_Unplanned_Down_h],tblPlant[Date],$A204)</f>
        <v/>
      </c>
      <c r="ER204" s="57">
        <f>IF($B204=$B203,$ER203,0)+$EQ204</f>
        <v/>
      </c>
      <c r="ES204" s="57">
        <f>$ES203+$EQ204</f>
        <v/>
      </c>
      <c r="ET204" s="57">
        <f>IF(COUNTIFS(tblPlant[Date],$A204,tblPlant[Mill_Run_h],"&lt;&gt;")+COUNTIFS(tblPlant[Date],$A204,tblPlant[Mill_Planned_Maint_h],"&lt;&gt;")+COUNTIFS(tblPlant[Date],$A204,tblPlant[Mill_Unplanned_Down_h],"&lt;&gt;")&gt;0,cfg_HoursPerDay,0)</f>
        <v/>
      </c>
      <c r="EU204" s="57">
        <f>IF($B204=$B203,$EU203,0)+$ET204</f>
        <v/>
      </c>
      <c r="EV204" s="57">
        <f>$EV203+$ET204</f>
        <v/>
      </c>
      <c r="EW204" s="57">
        <f>SUMIFS(tblPlant[Crusher_Run_h],tblPlant[Date],$A204)</f>
        <v/>
      </c>
      <c r="EX204" s="57">
        <f>IF($B204=$B203,$EX203,0)+$EW204</f>
        <v/>
      </c>
      <c r="EY204" s="57">
        <f>$EY203+$EW204</f>
        <v/>
      </c>
      <c r="EZ204" s="55">
        <f>IFERROR(IF(($EK204)&gt;0,($DP204)/($EK204),""),"")</f>
        <v/>
      </c>
      <c r="FA204" s="55">
        <f>IFERROR(IF(($EL204)&gt;0,($DQ204)/($EL204),""),"")</f>
        <v/>
      </c>
      <c r="FB204" s="55">
        <f>IFERROR(IF(($EM204)&gt;0,($DR204)/($EM204),""),"")</f>
        <v/>
      </c>
      <c r="FC204" s="67">
        <f>IFERROR(IF(($ET204)&gt;0,($ET204-$EN204-$EQ204)/($ET204),""),"")</f>
        <v/>
      </c>
      <c r="FD204" s="67">
        <f>IFERROR(IF(($EU204)&gt;0,($EU204-$EO204-$ER204)/($EU204),""),"")</f>
        <v/>
      </c>
      <c r="FE204" s="67">
        <f>IFERROR(IF(($EV204)&gt;0,($EV204-$EP204-$ES204)/($EV204),""),"")</f>
        <v/>
      </c>
      <c r="FF204" s="67">
        <f>IFERROR(IF(($ET204-$EN204-$EQ204)&gt;0,($EK204)/($ET204-$EN204-$EQ204),""),"")</f>
        <v/>
      </c>
      <c r="FG204" s="67">
        <f>IFERROR(IF(($EU204-$EO204-$ER204)&gt;0,($EL204)/($EU204-$EO204-$ER204),""),"")</f>
        <v/>
      </c>
      <c r="FH204" s="67">
        <f>IFERROR(IF(($EV204-$EP204-$ES204)&gt;0,($EM204)/($EV204-$EP204-$ES204),""),"")</f>
        <v/>
      </c>
      <c r="FI204" s="55">
        <f>SUMIFS(tblPlant[Cyanide_kg],tblPlant[Date],$A204)</f>
        <v/>
      </c>
      <c r="FJ204" s="55">
        <f>IF($B204=$B203,$FJ203,0)+$FI204</f>
        <v/>
      </c>
      <c r="FK204" s="55">
        <f>$FK203+$FI204</f>
        <v/>
      </c>
      <c r="FL204" s="55">
        <f>SUMIFS(tblPlant[Lime_kg],tblPlant[Date],$A204)</f>
        <v/>
      </c>
      <c r="FM204" s="55">
        <f>IF($B204=$B203,$FM203,0)+$FL204</f>
        <v/>
      </c>
      <c r="FN204" s="55">
        <f>$FN203+$FL204</f>
        <v/>
      </c>
      <c r="FO204" s="55">
        <f>SUMIFS(tblPlant[Grinding_Media_kg],tblPlant[Date],$A204)</f>
        <v/>
      </c>
      <c r="FP204" s="55">
        <f>IF($B204=$B203,$FP203,0)+$FO204</f>
        <v/>
      </c>
      <c r="FQ204" s="55">
        <f>$FQ203+$FO204</f>
        <v/>
      </c>
      <c r="FR204" s="55">
        <f>SUMIFS(tblPlant[Power_kWh],tblPlant[Date],$A204)</f>
        <v/>
      </c>
      <c r="FS204" s="55">
        <f>IF($B204=$B203,$FS203,0)+$FR204</f>
        <v/>
      </c>
      <c r="FT204" s="55">
        <f>$FT203+$FR204</f>
        <v/>
      </c>
      <c r="FU204" s="55">
        <f>SUMIFS(tblPlant[Raw_Water_m3],tblPlant[Date],$A204)</f>
        <v/>
      </c>
      <c r="FV204" s="55">
        <f>IF($B204=$B203,$FV203,0)+$FU204</f>
        <v/>
      </c>
      <c r="FW204" s="55">
        <f>$FW203+$FU204</f>
        <v/>
      </c>
      <c r="FX204" s="56">
        <f>IFERROR(IF(($CU204)&gt;0,($FI204)/($CU204),""),"")</f>
        <v/>
      </c>
      <c r="FY204" s="56">
        <f>IFERROR(IF(($CV204)&gt;0,($FJ204)/($CV204),""),"")</f>
        <v/>
      </c>
      <c r="FZ204" s="56">
        <f>IFERROR(IF(($CW204)&gt;0,($FK204)/($CW204),""),"")</f>
        <v/>
      </c>
      <c r="GA204" s="56">
        <f>IFERROR(IF(($CU204)&gt;0,($FL204)/($CU204),""),"")</f>
        <v/>
      </c>
      <c r="GB204" s="56">
        <f>IFERROR(IF(($CV204)&gt;0,($FM204)/($CV204),""),"")</f>
        <v/>
      </c>
      <c r="GC204" s="56">
        <f>IFERROR(IF(($CW204)&gt;0,($FN204)/($CW204),""),"")</f>
        <v/>
      </c>
      <c r="GD204" s="56">
        <f>IFERROR(IF(($CU204)&gt;0,($FO204)/($CU204),""),"")</f>
        <v/>
      </c>
      <c r="GE204" s="56">
        <f>IFERROR(IF(($CV204)&gt;0,($FP204)/($CV204),""),"")</f>
        <v/>
      </c>
      <c r="GF204" s="56">
        <f>IFERROR(IF(($CW204)&gt;0,($FQ204)/($CW204),""),"")</f>
        <v/>
      </c>
      <c r="GG204" s="79">
        <f>IFERROR(IF(($CU204)&gt;0,($FR204)/($CU204),""),"")</f>
        <v/>
      </c>
      <c r="GH204" s="79">
        <f>IFERROR(IF(($CV204)&gt;0,($FS204)/($CV204),""),"")</f>
        <v/>
      </c>
      <c r="GI204" s="79">
        <f>IFERROR(IF(($CW204)&gt;0,($FT204)/($CW204),""),"")</f>
        <v/>
      </c>
      <c r="GJ204" s="56">
        <f>IFERROR(IF(($CU204)&gt;0,($FU204)/($CU204),""),"")</f>
        <v/>
      </c>
      <c r="GK204" s="56">
        <f>IFERROR(IF(($CV204)&gt;0,($FV204)/($CV204),""),"")</f>
        <v/>
      </c>
      <c r="GL204" s="56">
        <f>IFERROR(IF(($CW204)&gt;0,($FW204)/($CW204),""),"")</f>
        <v/>
      </c>
      <c r="GM204" s="55">
        <f>IF(SUMIFS(tblPlant[GIC_oz],tblPlant[Date],$A204)&gt;0,SUMIFS(tblPlant[GIC_oz],tblPlant[Date],$A204),"")</f>
        <v/>
      </c>
      <c r="GN204" s="55">
        <f>SUMIFS(tblGold[Gold_oz],tblGold[Date],$A204,tblGold[Type],"Shipment")</f>
        <v/>
      </c>
      <c r="GO204" s="55">
        <f>IF($B204=$B203,$GO203,0)+$GN204</f>
        <v/>
      </c>
      <c r="GP204" s="55">
        <f>$GP203+$GN204</f>
        <v/>
      </c>
      <c r="GQ204" s="55">
        <f>SUMIFS(tblGold[Gold_oz],tblGold[Date],$A204,tblGold[Type],"Sale")</f>
        <v/>
      </c>
      <c r="GR204" s="55">
        <f>IF($B204=$B203,$GR203,0)+$GQ204</f>
        <v/>
      </c>
      <c r="GS204" s="55">
        <f>$GS203+$GQ204</f>
        <v/>
      </c>
      <c r="GT204" s="55">
        <f>SUMIFS(tblGold[Dore_kg],tblGold[Date],$A204,tblGold[Type],"Shipment")</f>
        <v/>
      </c>
      <c r="GU204" s="55">
        <f>IF($B204=$B203,$GU203,0)+$GT204</f>
        <v/>
      </c>
      <c r="GV204" s="55">
        <f>$GV203+$GT204</f>
        <v/>
      </c>
      <c r="GW204" s="57">
        <f>SUMIFS(tblSafety[Hours_Total],tblSafety[Date],$A204)</f>
        <v/>
      </c>
      <c r="GX204" s="57">
        <f>IF($B204=$B203,$GX203,0)+$GW204</f>
        <v/>
      </c>
      <c r="GY204" s="57">
        <f>$GY203+$GW204</f>
        <v/>
      </c>
      <c r="GZ204" s="62">
        <f>SUMIFS(tblSafety[Fatality],tblSafety[Date],$A204)</f>
        <v/>
      </c>
      <c r="HA204" s="62">
        <f>IF($B204=$B203,$HA203,0)+$GZ204</f>
        <v/>
      </c>
      <c r="HB204" s="62">
        <f>$HB203+$GZ204</f>
        <v/>
      </c>
      <c r="HC204" s="62">
        <f>SUMIFS(tblSafety[LTI],tblSafety[Date],$A204)</f>
        <v/>
      </c>
      <c r="HD204" s="62">
        <f>IF($B204=$B203,$HD203,0)+$HC204</f>
        <v/>
      </c>
      <c r="HE204" s="62">
        <f>$HE203+$HC204</f>
        <v/>
      </c>
      <c r="HF204" s="62">
        <f>SUMIFS(tblSafety[RWI],tblSafety[Date],$A204)</f>
        <v/>
      </c>
      <c r="HG204" s="62">
        <f>IF($B204=$B203,$HG203,0)+$HF204</f>
        <v/>
      </c>
      <c r="HH204" s="62">
        <f>$HH203+$HF204</f>
        <v/>
      </c>
      <c r="HI204" s="62">
        <f>SUMIFS(tblSafety[MTI],tblSafety[Date],$A204)</f>
        <v/>
      </c>
      <c r="HJ204" s="62">
        <f>IF($B204=$B203,$HJ203,0)+$HI204</f>
        <v/>
      </c>
      <c r="HK204" s="62">
        <f>$HK203+$HI204</f>
        <v/>
      </c>
      <c r="HL204" s="62">
        <f>SUMIFS(tblSafety[FAI],tblSafety[Date],$A204)</f>
        <v/>
      </c>
      <c r="HM204" s="62">
        <f>IF($B204=$B203,$HM203,0)+$HL204</f>
        <v/>
      </c>
      <c r="HN204" s="62">
        <f>$HN203+$HL204</f>
        <v/>
      </c>
      <c r="HO204" s="62">
        <f>SUMIFS(tblSafety[Recordables],tblSafety[Date],$A204)</f>
        <v/>
      </c>
      <c r="HP204" s="62">
        <f>IF($B204=$B203,$HP203,0)+$HO204</f>
        <v/>
      </c>
      <c r="HQ204" s="62">
        <f>$HQ203+$HO204</f>
        <v/>
      </c>
      <c r="HR204" s="62">
        <f>SUMIFS(tblSafety[Near_Miss],tblSafety[Date],$A204)</f>
        <v/>
      </c>
      <c r="HS204" s="62">
        <f>IF($B204=$B203,$HS203,0)+$HR204</f>
        <v/>
      </c>
      <c r="HT204" s="62">
        <f>$HT203+$HR204</f>
        <v/>
      </c>
      <c r="HU204" s="62">
        <f>SUMIFS(tblSafety[Hazard_Reports],tblSafety[Date],$A204)</f>
        <v/>
      </c>
      <c r="HV204" s="62">
        <f>IF($B204=$B203,$HV203,0)+$HU204</f>
        <v/>
      </c>
      <c r="HW204" s="62">
        <f>$HW203+$HU204</f>
        <v/>
      </c>
      <c r="HX204" s="62">
        <f>SUMIFS(tblSafety[HPI],tblSafety[Date],$A204)</f>
        <v/>
      </c>
      <c r="HY204" s="62">
        <f>IF($B204=$B203,$HY203,0)+$HX204</f>
        <v/>
      </c>
      <c r="HZ204" s="62">
        <f>$HZ203+$HX204</f>
        <v/>
      </c>
      <c r="IA204" s="62">
        <f>SUMIFS(tblSafety[Env_Incidents],tblSafety[Date],$A204)</f>
        <v/>
      </c>
      <c r="IB204" s="62">
        <f>IF($B204=$B203,$IB203,0)+$IA204</f>
        <v/>
      </c>
      <c r="IC204" s="62">
        <f>$IC203+$IA204</f>
        <v/>
      </c>
      <c r="ID204" s="62">
        <f>SUMIFS(tblSafety[Community_Incidents],tblSafety[Date],$A204)</f>
        <v/>
      </c>
      <c r="IE204" s="62">
        <f>IF($B204=$B203,$IE203,0)+$ID204</f>
        <v/>
      </c>
      <c r="IF204" s="62">
        <f>$IF203+$ID204</f>
        <v/>
      </c>
      <c r="IG204" s="62">
        <f>SUMIFS(tblSafety[Vehicle_Incidents],tblSafety[Date],$A204)</f>
        <v/>
      </c>
      <c r="IH204" s="62">
        <f>IF($B204=$B203,$IH203,0)+$IG204</f>
        <v/>
      </c>
      <c r="II204" s="62">
        <f>$II203+$IG204</f>
        <v/>
      </c>
      <c r="IJ204" s="62">
        <f>SUMIFS(tblSafety[Toolbox_Talks],tblSafety[Date],$A204)</f>
        <v/>
      </c>
      <c r="IK204" s="62">
        <f>IF($B204=$B203,$IK203,0)+$IJ204</f>
        <v/>
      </c>
      <c r="IL204" s="62">
        <f>$IL203+$IJ204</f>
        <v/>
      </c>
      <c r="IM204" s="62">
        <f>SUMIFS(tblSafety[Inspections],tblSafety[Date],$A204)</f>
        <v/>
      </c>
      <c r="IN204" s="62">
        <f>IF($B204=$B203,$IN203,0)+$IM204</f>
        <v/>
      </c>
      <c r="IO204" s="62">
        <f>$IO203+$IM204</f>
        <v/>
      </c>
      <c r="IP204" s="56">
        <f>IFERROR((SUMIFS(tblSafety[Recordables],tblSafety[Date],"&gt;="&amp;EDATE($E204,-12),tblSafety[Date],"&lt;="&amp;$A204)+SUMIFS(tblSafetyHistory[Recordables],tblSafetyHistory[Month],"&gt;="&amp;EDATE($E204,-12),tblSafetyHistory[Month],"&lt;"&amp;$E204,tblSafetyHistory[Use],1))/(SUMIFS(tblSafety[Hours_Total],tblSafety[Date],"&gt;="&amp;EDATE($E204,-12),tblSafety[Date],"&lt;="&amp;$A204)+SUMIFS(tblSafetyHistory[Hours_Total],tblSafetyHistory[Month],"&gt;="&amp;EDATE($E204,-12),tblSafetyHistory[Month],"&lt;"&amp;$E204,tblSafetyHistory[Use],1))*cfg_RateBasisHours,"")</f>
        <v/>
      </c>
      <c r="IQ204" s="56">
        <f>IFERROR((SUMIFS(tblSafety[LTI],tblSafety[Date],"&gt;="&amp;EDATE($E204,-12),tblSafety[Date],"&lt;="&amp;$A204)+SUMIFS(tblSafetyHistory[LTI],tblSafetyHistory[Month],"&gt;="&amp;EDATE($E204,-12),tblSafetyHistory[Month],"&lt;"&amp;$E204,tblSafetyHistory[Use],1))/(SUMIFS(tblSafety[Hours_Total],tblSafety[Date],"&gt;="&amp;EDATE($E204,-12),tblSafety[Date],"&lt;="&amp;$A204)+SUMIFS(tblSafetyHistory[Hours_Total],tblSafetyHistory[Month],"&gt;="&amp;EDATE($E204,-12),tblSafetyHistory[Month],"&lt;"&amp;$E204,tblSafetyHistory[Use],1))*cfg_RateBasisHours,"")</f>
        <v/>
      </c>
      <c r="IR204" s="62">
        <f>IF(MAX(N(cfg_PriorLTIDate),_xlfn.MAXIFS(tblSafety[Date],tblSafety[LTI],"&gt;0",tblSafety[Date],"&lt;="&amp;$A204))=0,"",$A204-MAX(N(cfg_PriorLTIDate),_xlfn.MAXIFS(tblSafety[Date],tblSafety[LTI],"&gt;0",tblSafety[Date],"&lt;="&amp;$A204)))</f>
        <v/>
      </c>
      <c r="IS204" s="55">
        <f>SUMIFS(tblBudget[Ore_Mined_t],tblBudget[Month],$E204)</f>
        <v/>
      </c>
      <c r="IT204" s="55">
        <f>$IS204*$C204/$D204</f>
        <v/>
      </c>
      <c r="IU204" s="55">
        <f>SUMIFS(tblBudget[Ore_Mined_t],tblBudget[Month],"&lt;"&amp;$E204)+$IT204</f>
        <v/>
      </c>
      <c r="IV204" s="55">
        <f>SUMIFS(tblBudget[Ore_oz],tblBudget[Month],$E204)</f>
        <v/>
      </c>
      <c r="IW204" s="55">
        <f>$IV204*$C204/$D204</f>
        <v/>
      </c>
      <c r="IX204" s="55">
        <f>SUMIFS(tblBudget[Ore_oz],tblBudget[Month],"&lt;"&amp;$E204)+$IW204</f>
        <v/>
      </c>
      <c r="IY204" s="55">
        <f>SUMIFS(tblBudget[Ore_Mined_t],tblBudget[Month],$E204)</f>
        <v/>
      </c>
      <c r="IZ204" s="55">
        <f>$IY204*$C204/$D204</f>
        <v/>
      </c>
      <c r="JA204" s="55">
        <f>SUMIFS(tblBudget[Ore_Mined_t],tblBudget[Month],"&lt;"&amp;$E204)+$IZ204</f>
        <v/>
      </c>
      <c r="JB204" s="56">
        <f>IFERROR(IF(($IY204)&gt;0,($IV204*cfg_TroyOz)/($IY204),""),"")</f>
        <v/>
      </c>
      <c r="JC204" s="56">
        <f>IFERROR(IF(($IZ204)&gt;0,($IW204*cfg_TroyOz)/($IZ204),""),"")</f>
        <v/>
      </c>
      <c r="JD204" s="56">
        <f>IFERROR(IF(($JA204)&gt;0,($IX204*cfg_TroyOz)/($JA204),""),"")</f>
        <v/>
      </c>
      <c r="JE204" s="55">
        <f>SUMIFS(tblBudget[Waste_t],tblBudget[Month],$E204)</f>
        <v/>
      </c>
      <c r="JF204" s="55">
        <f>$JE204*$C204/$D204</f>
        <v/>
      </c>
      <c r="JG204" s="55">
        <f>SUMIFS(tblBudget[Waste_t],tblBudget[Month],"&lt;"&amp;$E204)+$JF204</f>
        <v/>
      </c>
      <c r="JH204" s="55">
        <f>SUMIFS(tblBudget[TMM_t],tblBudget[Month],$E204)</f>
        <v/>
      </c>
      <c r="JI204" s="55">
        <f>$JH204*$C204/$D204</f>
        <v/>
      </c>
      <c r="JJ204" s="55">
        <f>SUMIFS(tblBudget[TMM_t],tblBudget[Month],"&lt;"&amp;$E204)+$JI204</f>
        <v/>
      </c>
      <c r="JK204" s="56">
        <f>IFERROR(IF(($IS204)&gt;0,($JE204)/($IS204),""),"")</f>
        <v/>
      </c>
      <c r="JL204" s="56">
        <f>IFERROR(IF(($IT204)&gt;0,($JF204)/($IT204),""),"")</f>
        <v/>
      </c>
      <c r="JM204" s="56">
        <f>IFERROR(IF(($IU204)&gt;0,($JG204)/($IU204),""),"")</f>
        <v/>
      </c>
      <c r="JN204" s="55">
        <f>SUMIFS(tblBudget[Drill_m],tblBudget[Month],$E204)</f>
        <v/>
      </c>
      <c r="JO204" s="55">
        <f>$JN204*$C204/$D204</f>
        <v/>
      </c>
      <c r="JP204" s="55">
        <f>SUMIFS(tblBudget[Drill_m],tblBudget[Month],"&lt;"&amp;$E204)+$JO204</f>
        <v/>
      </c>
      <c r="JQ204" s="55">
        <f>SUMIFS(tblBudget[Diesel_L],tblBudget[Month],$E204)</f>
        <v/>
      </c>
      <c r="JR204" s="55">
        <f>$JQ204*$C204/$D204</f>
        <v/>
      </c>
      <c r="JS204" s="55">
        <f>SUMIFS(tblBudget[Diesel_L],tblBudget[Month],"&lt;"&amp;$E204)+$JR204</f>
        <v/>
      </c>
      <c r="JT204" s="55">
        <f>SUMIFS(tblBudget[Milled_t],tblBudget[Month],$E204)</f>
        <v/>
      </c>
      <c r="JU204" s="55">
        <f>$JT204*$C204/$D204</f>
        <v/>
      </c>
      <c r="JV204" s="55">
        <f>SUMIFS(tblBudget[Milled_t],tblBudget[Month],"&lt;"&amp;$E204)+$JU204</f>
        <v/>
      </c>
      <c r="JW204" s="55">
        <f>SUMIFS(tblBudget[Feed_oz],tblBudget[Month],$E204)</f>
        <v/>
      </c>
      <c r="JX204" s="55">
        <f>$JW204*$C204/$D204</f>
        <v/>
      </c>
      <c r="JY204" s="55">
        <f>SUMIFS(tblBudget[Feed_oz],tblBudget[Month],"&lt;"&amp;$E204)+$JX204</f>
        <v/>
      </c>
      <c r="JZ204" s="55">
        <f>SUMIFS(tblBudget[Recovered_oz],tblBudget[Month],$E204)</f>
        <v/>
      </c>
      <c r="KA204" s="55">
        <f>$JZ204*$C204/$D204</f>
        <v/>
      </c>
      <c r="KB204" s="55">
        <f>SUMIFS(tblBudget[Recovered_oz],tblBudget[Month],"&lt;"&amp;$E204)+$KA204</f>
        <v/>
      </c>
      <c r="KC204" s="55">
        <f>SUMIFS(tblBudget[Milled_t],tblBudget[Month],$E204)</f>
        <v/>
      </c>
      <c r="KD204" s="55">
        <f>$KC204*$C204/$D204</f>
        <v/>
      </c>
      <c r="KE204" s="55">
        <f>SUMIFS(tblBudget[Milled_t],tblBudget[Month],"&lt;"&amp;$E204)+$KD204</f>
        <v/>
      </c>
      <c r="KF204" s="55">
        <f>SUMIFS(tblBudget[Feed_oz],tblBudget[Month],$E204)</f>
        <v/>
      </c>
      <c r="KG204" s="55">
        <f>$KF204*$C204/$D204</f>
        <v/>
      </c>
      <c r="KH204" s="55">
        <f>SUMIFS(tblBudget[Feed_oz],tblBudget[Month],"&lt;"&amp;$E204)+$KG204</f>
        <v/>
      </c>
      <c r="KI204" s="56">
        <f>IFERROR(IF(($KC204)&gt;0,($JW204*cfg_TroyOz)/($KC204),""),"")</f>
        <v/>
      </c>
      <c r="KJ204" s="56">
        <f>IFERROR(IF(($KD204)&gt;0,($JX204*cfg_TroyOz)/($KD204),""),"")</f>
        <v/>
      </c>
      <c r="KK204" s="56">
        <f>IFERROR(IF(($KE204)&gt;0,($JY204*cfg_TroyOz)/($KE204),""),"")</f>
        <v/>
      </c>
      <c r="KL204" s="67">
        <f>IFERROR(IF(($KF204)&gt;0,($JZ204)/($KF204),""),"")</f>
        <v/>
      </c>
      <c r="KM204" s="67">
        <f>IFERROR(IF(($KG204)&gt;0,($KA204)/($KG204),""),"")</f>
        <v/>
      </c>
      <c r="KN204" s="67">
        <f>IFERROR(IF(($KH204)&gt;0,($KB204)/($KH204),""),"")</f>
        <v/>
      </c>
      <c r="KO204" s="55">
        <f>SUMIFS(tblBudget[Gold_Poured_oz],tblBudget[Month],$E204)</f>
        <v/>
      </c>
      <c r="KP204" s="55">
        <f>$KO204*$C204/$D204</f>
        <v/>
      </c>
      <c r="KQ204" s="55">
        <f>SUMIFS(tblBudget[Gold_Poured_oz],tblBudget[Month],"&lt;"&amp;$E204)+$KP204</f>
        <v/>
      </c>
      <c r="KR204" s="57">
        <f>SUMIFS(tblBudget[Hours_Worked],tblBudget[Month],$E204)</f>
        <v/>
      </c>
      <c r="KS204" s="57">
        <f>$KR204*$C204/$D204</f>
        <v/>
      </c>
      <c r="KT204" s="57">
        <f>SUMIFS(tblBudget[Hours_Worked],tblBudget[Month],"&lt;"&amp;$E204)+$KS204</f>
        <v/>
      </c>
    </row>
    <row r="205">
      <c r="A205" s="54" t="n">
        <v>46226</v>
      </c>
      <c r="B205">
        <f>MONTH($A205)</f>
        <v/>
      </c>
      <c r="C205">
        <f>DAY($A205)</f>
        <v/>
      </c>
      <c r="D205">
        <f>DAY(EOMONTH($A205,0))</f>
        <v/>
      </c>
      <c r="E205" s="54">
        <f>DATE(YEAR($A205),MONTH($A205),1)</f>
        <v/>
      </c>
      <c r="F205" s="55">
        <f>SUMIFS(tblMovement[Tonnes_t],tblMovement[Date],$A205,tblMovement[Is_Ore],1,tblMovement[Source_Type],"Pit")</f>
        <v/>
      </c>
      <c r="G205" s="55">
        <f>IF($B205=$B204,$G204,0)+$F205</f>
        <v/>
      </c>
      <c r="H205" s="55">
        <f>$H204+$F205</f>
        <v/>
      </c>
      <c r="I205" s="55">
        <f>SUMIFS(tblMovement[Ore_oz],tblMovement[Date],$A205,tblMovement[Source_Type],"Pit")</f>
        <v/>
      </c>
      <c r="J205" s="55">
        <f>IF($B205=$B204,$J204,0)+$I205</f>
        <v/>
      </c>
      <c r="K205" s="55">
        <f>$K204+$I205</f>
        <v/>
      </c>
      <c r="L205" s="55">
        <f>SUMIFS(tblMovement[Tonnes_t],tblMovement[Date],$A205,tblMovement[Is_Ore],1,tblMovement[Source_Type],"Pit",tblMovement[Grade_gpt],"&lt;&gt;")</f>
        <v/>
      </c>
      <c r="M205" s="55">
        <f>IF($B205=$B204,$M204,0)+$L205</f>
        <v/>
      </c>
      <c r="N205" s="55">
        <f>$N204+$L205</f>
        <v/>
      </c>
      <c r="O205" s="56">
        <f>IFERROR(IF(($L205)&gt;0,($I205*cfg_TroyOz)/($L205),""),"")</f>
        <v/>
      </c>
      <c r="P205" s="56">
        <f>IFERROR(IF(($M205)&gt;0,($J205*cfg_TroyOz)/($M205),""),"")</f>
        <v/>
      </c>
      <c r="Q205" s="56">
        <f>IFERROR(IF(($N205)&gt;0,($K205*cfg_TroyOz)/($N205),""),"")</f>
        <v/>
      </c>
      <c r="R205" s="55">
        <f>$F205-$L205</f>
        <v/>
      </c>
      <c r="S205" s="55">
        <f>IF($B205=$B204,$S204,0)+$R205</f>
        <v/>
      </c>
      <c r="T205" s="55">
        <f>$T204+$R205</f>
        <v/>
      </c>
      <c r="U205" s="55">
        <f>SUMIFS(tblMovement[Tonnes_t],tblMovement[Date],$A205,tblMovement[Is_Ore],0,tblMovement[Source_Type],"Pit")</f>
        <v/>
      </c>
      <c r="V205" s="55">
        <f>IF($B205=$B204,$V204,0)+$U205</f>
        <v/>
      </c>
      <c r="W205" s="55">
        <f>$W204+$U205</f>
        <v/>
      </c>
      <c r="X205" s="55">
        <f>$F205+$U205</f>
        <v/>
      </c>
      <c r="Y205" s="55">
        <f>IF($B205=$B204,$Y204,0)+$X205</f>
        <v/>
      </c>
      <c r="Z205" s="55">
        <f>$Z204+$X205</f>
        <v/>
      </c>
      <c r="AA205" s="56">
        <f>IFERROR(IF(($F205)&gt;0,($U205)/($F205),""),"")</f>
        <v/>
      </c>
      <c r="AB205" s="56">
        <f>IFERROR(IF(($G205)&gt;0,($V205)/($G205),""),"")</f>
        <v/>
      </c>
      <c r="AC205" s="56">
        <f>IFERROR(IF(($H205)&gt;0,($W205)/($H205),""),"")</f>
        <v/>
      </c>
      <c r="AD205" s="55">
        <f>SUMIFS(tblMovement[Tonnes_t],tblMovement[Date],$A205,tblMovement[Source_Type],"Stockpile")</f>
        <v/>
      </c>
      <c r="AE205" s="55">
        <f>IF($B205=$B204,$AE204,0)+$AD205</f>
        <v/>
      </c>
      <c r="AF205" s="55">
        <f>$AF204+$AD205</f>
        <v/>
      </c>
      <c r="AG205" s="55">
        <f>SUMIFS(tblMovement[Tonnes_t],tblMovement[Date],$A205)</f>
        <v/>
      </c>
      <c r="AH205" s="55">
        <f>IF($B205=$B204,$AH204,0)+$AG205</f>
        <v/>
      </c>
      <c r="AI205" s="55">
        <f>$AI204+$AG205</f>
        <v/>
      </c>
      <c r="AJ205" s="55">
        <f>$AG205-$X205-$AD205</f>
        <v/>
      </c>
      <c r="AK205" s="55">
        <f>IF($B205=$B204,$AK204,0)+$AJ205</f>
        <v/>
      </c>
      <c r="AL205" s="55">
        <f>$AL204+$AJ205</f>
        <v/>
      </c>
      <c r="AM205" s="55">
        <f>SUMIFS(tblMiningDaily[Drill_m],tblMiningDaily[Date],$A205)</f>
        <v/>
      </c>
      <c r="AN205" s="55">
        <f>IF($B205=$B204,$AN204,0)+$AM205</f>
        <v/>
      </c>
      <c r="AO205" s="55">
        <f>$AO204+$AM205</f>
        <v/>
      </c>
      <c r="AP205" s="55">
        <f>SUMIFS(tblMiningDaily[GC_Drill_m],tblMiningDaily[Date],$A205)</f>
        <v/>
      </c>
      <c r="AQ205" s="55">
        <f>IF($B205=$B204,$AQ204,0)+$AP205</f>
        <v/>
      </c>
      <c r="AR205" s="55">
        <f>$AR204+$AP205</f>
        <v/>
      </c>
      <c r="AS205" s="55">
        <f>SUMIFS(tblMiningDaily[Blast_t],tblMiningDaily[Date],$A205)</f>
        <v/>
      </c>
      <c r="AT205" s="55">
        <f>IF($B205=$B204,$AT204,0)+$AS205</f>
        <v/>
      </c>
      <c r="AU205" s="55">
        <f>$AU204+$AS205</f>
        <v/>
      </c>
      <c r="AV205" s="55">
        <f>SUMIFS(tblMiningDaily[Explosives_kg],tblMiningDaily[Date],$A205)</f>
        <v/>
      </c>
      <c r="AW205" s="55">
        <f>IF($B205=$B204,$AW204,0)+$AV205</f>
        <v/>
      </c>
      <c r="AX205" s="55">
        <f>$AX204+$AV205</f>
        <v/>
      </c>
      <c r="AY205" s="56">
        <f>IFERROR(IF(($AS205)&gt;0,($AV205)/($AS205),""),"")</f>
        <v/>
      </c>
      <c r="AZ205" s="56">
        <f>IFERROR(IF(($AT205)&gt;0,($AW205)/($AT205),""),"")</f>
        <v/>
      </c>
      <c r="BA205" s="56">
        <f>IFERROR(IF(($AU205)&gt;0,($AX205)/($AU205),""),"")</f>
        <v/>
      </c>
      <c r="BB205" s="55">
        <f>SUMIFS(tblMiningDaily[Diesel_L],tblMiningDaily[Date],$A205)</f>
        <v/>
      </c>
      <c r="BC205" s="55">
        <f>IF($B205=$B204,$BC204,0)+$BB205</f>
        <v/>
      </c>
      <c r="BD205" s="55">
        <f>$BD204+$BB205</f>
        <v/>
      </c>
      <c r="BE205" s="55">
        <f>SUMIFS(tblMiningDaily[Dewatering_m3],tblMiningDaily[Date],$A205)</f>
        <v/>
      </c>
      <c r="BF205" s="55">
        <f>IF($B205=$B204,$BF204,0)+$BE205</f>
        <v/>
      </c>
      <c r="BG205" s="55">
        <f>$BG204+$BE205</f>
        <v/>
      </c>
      <c r="BH205" s="57">
        <f>SUMIFS(tblFleet[Calendar_h],tblFleet[Date],$A205,tblFleet[Equipment_Class],"Excavator")</f>
        <v/>
      </c>
      <c r="BI205" s="57">
        <f>IF($B205=$B204,$BI204,0)+$BH205</f>
        <v/>
      </c>
      <c r="BJ205" s="57">
        <f>$BJ204+$BH205</f>
        <v/>
      </c>
      <c r="BK205" s="57">
        <f>SUMIFS(tblFleet[Available_h],tblFleet[Date],$A205,tblFleet[Equipment_Class],"Excavator")</f>
        <v/>
      </c>
      <c r="BL205" s="57">
        <f>IF($B205=$B204,$BL204,0)+$BK205</f>
        <v/>
      </c>
      <c r="BM205" s="57">
        <f>$BM204+$BK205</f>
        <v/>
      </c>
      <c r="BN205" s="57">
        <f>SUMIFS(tblFleet[Operating_h],tblFleet[Date],$A205,tblFleet[Equipment_Class],"Excavator")</f>
        <v/>
      </c>
      <c r="BO205" s="57">
        <f>IF($B205=$B204,$BO204,0)+$BN205</f>
        <v/>
      </c>
      <c r="BP205" s="57">
        <f>$BP204+$BN205</f>
        <v/>
      </c>
      <c r="BQ205" s="67">
        <f>IFERROR(IF(($BH205)&gt;0,($BK205)/($BH205),""),"")</f>
        <v/>
      </c>
      <c r="BR205" s="67">
        <f>IFERROR(IF(($BI205)&gt;0,($BL205)/($BI205),""),"")</f>
        <v/>
      </c>
      <c r="BS205" s="67">
        <f>IFERROR(IF(($BJ205)&gt;0,($BM205)/($BJ205),""),"")</f>
        <v/>
      </c>
      <c r="BT205" s="67">
        <f>IFERROR(IF(($BK205)&gt;0,($BN205)/($BK205),""),"")</f>
        <v/>
      </c>
      <c r="BU205" s="67">
        <f>IFERROR(IF(($BL205)&gt;0,($BO205)/($BL205),""),"")</f>
        <v/>
      </c>
      <c r="BV205" s="67">
        <f>IFERROR(IF(($BM205)&gt;0,($BP205)/($BM205),""),"")</f>
        <v/>
      </c>
      <c r="BW205" s="57">
        <f>SUMIFS(tblFleet[Calendar_h],tblFleet[Date],$A205,tblFleet[Equipment_Class],"Haul Truck")</f>
        <v/>
      </c>
      <c r="BX205" s="57">
        <f>IF($B205=$B204,$BX204,0)+$BW205</f>
        <v/>
      </c>
      <c r="BY205" s="57">
        <f>$BY204+$BW205</f>
        <v/>
      </c>
      <c r="BZ205" s="57">
        <f>SUMIFS(tblFleet[Available_h],tblFleet[Date],$A205,tblFleet[Equipment_Class],"Haul Truck")</f>
        <v/>
      </c>
      <c r="CA205" s="57">
        <f>IF($B205=$B204,$CA204,0)+$BZ205</f>
        <v/>
      </c>
      <c r="CB205" s="57">
        <f>$CB204+$BZ205</f>
        <v/>
      </c>
      <c r="CC205" s="57">
        <f>SUMIFS(tblFleet[Operating_h],tblFleet[Date],$A205,tblFleet[Equipment_Class],"Haul Truck")</f>
        <v/>
      </c>
      <c r="CD205" s="57">
        <f>IF($B205=$B204,$CD204,0)+$CC205</f>
        <v/>
      </c>
      <c r="CE205" s="57">
        <f>$CE204+$CC205</f>
        <v/>
      </c>
      <c r="CF205" s="67">
        <f>IFERROR(IF(($BW205)&gt;0,($BZ205)/($BW205),""),"")</f>
        <v/>
      </c>
      <c r="CG205" s="67">
        <f>IFERROR(IF(($BX205)&gt;0,($CA205)/($BX205),""),"")</f>
        <v/>
      </c>
      <c r="CH205" s="67">
        <f>IFERROR(IF(($BY205)&gt;0,($CB205)/($BY205),""),"")</f>
        <v/>
      </c>
      <c r="CI205" s="67">
        <f>IFERROR(IF(($BZ205)&gt;0,($CC205)/($BZ205),""),"")</f>
        <v/>
      </c>
      <c r="CJ205" s="67">
        <f>IFERROR(IF(($CA205)&gt;0,($CD205)/($CA205),""),"")</f>
        <v/>
      </c>
      <c r="CK205" s="67">
        <f>IFERROR(IF(($CB205)&gt;0,($CE205)/($CB205),""),"")</f>
        <v/>
      </c>
      <c r="CL205" s="55">
        <f>IFERROR(IF(($BN205)&gt;0,($X205+$AD205)/($BN205),""),"")</f>
        <v/>
      </c>
      <c r="CM205" s="55">
        <f>IFERROR(IF(($BO205)&gt;0,($Y205+$AE205)/($BO205),""),"")</f>
        <v/>
      </c>
      <c r="CN205" s="55">
        <f>IFERROR(IF(($BP205)&gt;0,($Z205+$AF205)/($BP205),""),"")</f>
        <v/>
      </c>
      <c r="CO205" s="55">
        <f>IFERROR(IF(($CC205)&gt;0,($X205+$AD205)/($CC205),""),"")</f>
        <v/>
      </c>
      <c r="CP205" s="55">
        <f>IFERROR(IF(($CD205)&gt;0,($Y205+$AE205)/($CD205),""),"")</f>
        <v/>
      </c>
      <c r="CQ205" s="55">
        <f>IFERROR(IF(($CE205)&gt;0,($Z205+$AF205)/($CE205),""),"")</f>
        <v/>
      </c>
      <c r="CR205" s="55">
        <f>SUMIFS(tblPlant[Crushed_t],tblPlant[Date],$A205)</f>
        <v/>
      </c>
      <c r="CS205" s="55">
        <f>IF($B205=$B204,$CS204,0)+$CR205</f>
        <v/>
      </c>
      <c r="CT205" s="55">
        <f>$CT204+$CR205</f>
        <v/>
      </c>
      <c r="CU205" s="55">
        <f>SUMIFS(tblPlant[Milled_t],tblPlant[Date],$A205)</f>
        <v/>
      </c>
      <c r="CV205" s="55">
        <f>IF($B205=$B204,$CV204,0)+$CU205</f>
        <v/>
      </c>
      <c r="CW205" s="55">
        <f>$CW204+$CU205</f>
        <v/>
      </c>
      <c r="CX205" s="55">
        <f>SUMIFS(tblPlant[Feed_oz],tblPlant[Date],$A205)</f>
        <v/>
      </c>
      <c r="CY205" s="55">
        <f>IF($B205=$B204,$CY204,0)+$CX205</f>
        <v/>
      </c>
      <c r="CZ205" s="55">
        <f>$CZ204+$CX205</f>
        <v/>
      </c>
      <c r="DA205" s="55">
        <f>SUMIFS(tblPlant[Tails_oz],tblPlant[Date],$A205)</f>
        <v/>
      </c>
      <c r="DB205" s="55">
        <f>IF($B205=$B204,$DB204,0)+$DA205</f>
        <v/>
      </c>
      <c r="DC205" s="55">
        <f>$DC204+$DA205</f>
        <v/>
      </c>
      <c r="DD205" s="55">
        <f>SUMIFS(tblPlant[Recovered_oz],tblPlant[Date],$A205)</f>
        <v/>
      </c>
      <c r="DE205" s="55">
        <f>IF($B205=$B204,$DE204,0)+$DD205</f>
        <v/>
      </c>
      <c r="DF205" s="55">
        <f>$DF204+$DD205</f>
        <v/>
      </c>
      <c r="DG205" s="55">
        <f>SUMIFS(tblPlant[Milled_t],tblPlant[Date],$A205,tblPlant[Head_Grade_gpt],"&lt;&gt;")</f>
        <v/>
      </c>
      <c r="DH205" s="55">
        <f>IF($B205=$B204,$DH204,0)+$DG205</f>
        <v/>
      </c>
      <c r="DI205" s="55">
        <f>$DI204+$DG205</f>
        <v/>
      </c>
      <c r="DJ205" s="55">
        <f>SUMIFS(tblPlant[Milled_t],tblPlant[Date],$A205,tblPlant[Tails_Grade_gpt],"&lt;&gt;")</f>
        <v/>
      </c>
      <c r="DK205" s="55">
        <f>IF($B205=$B204,$DK204,0)+$DJ205</f>
        <v/>
      </c>
      <c r="DL205" s="55">
        <f>$DL204+$DJ205</f>
        <v/>
      </c>
      <c r="DM205" s="55">
        <f>SUMIFS(tblPlant[Feed_oz],tblPlant[Date],$A205,tblPlant[Tails_Grade_gpt],"&lt;&gt;")</f>
        <v/>
      </c>
      <c r="DN205" s="55">
        <f>IF($B205=$B204,$DN204,0)+$DM205</f>
        <v/>
      </c>
      <c r="DO205" s="55">
        <f>$DO204+$DM205</f>
        <v/>
      </c>
      <c r="DP205" s="55">
        <f>SUMIFS(tblPlant[Milled_t],tblPlant[Date],$A205,tblPlant[Mill_Run_h],"&lt;&gt;")</f>
        <v/>
      </c>
      <c r="DQ205" s="55">
        <f>IF($B205=$B204,$DQ204,0)+$DP205</f>
        <v/>
      </c>
      <c r="DR205" s="55">
        <f>$DR204+$DP205</f>
        <v/>
      </c>
      <c r="DS205" s="56">
        <f>IFERROR(IF(($DG205)&gt;0,($CX205*cfg_TroyOz)/($DG205),""),"")</f>
        <v/>
      </c>
      <c r="DT205" s="56">
        <f>IFERROR(IF(($DH205)&gt;0,($CY205*cfg_TroyOz)/($DH205),""),"")</f>
        <v/>
      </c>
      <c r="DU205" s="56">
        <f>IFERROR(IF(($DI205)&gt;0,($CZ205*cfg_TroyOz)/($DI205),""),"")</f>
        <v/>
      </c>
      <c r="DV205" s="56">
        <f>IFERROR(IF(($DJ205)&gt;0,($DA205*cfg_TroyOz)/($DJ205),""),"")</f>
        <v/>
      </c>
      <c r="DW205" s="56">
        <f>IFERROR(IF(($DK205)&gt;0,($DB205*cfg_TroyOz)/($DK205),""),"")</f>
        <v/>
      </c>
      <c r="DX205" s="56">
        <f>IFERROR(IF(($DL205)&gt;0,($DC205*cfg_TroyOz)/($DL205),""),"")</f>
        <v/>
      </c>
      <c r="DY205" s="67">
        <f>IFERROR(IF(($DM205)&gt;0,($DD205)/($DM205),""),"")</f>
        <v/>
      </c>
      <c r="DZ205" s="67">
        <f>IFERROR(IF(($DN205)&gt;0,($DE205)/($DN205),""),"")</f>
        <v/>
      </c>
      <c r="EA205" s="67">
        <f>IFERROR(IF(($DO205)&gt;0,($DF205)/($DO205),""),"")</f>
        <v/>
      </c>
      <c r="EB205" s="55">
        <f>SUMIFS(tblPlant[Gravity_Gold_oz],tblPlant[Date],$A205)</f>
        <v/>
      </c>
      <c r="EC205" s="55">
        <f>IF($B205=$B204,$EC204,0)+$EB205</f>
        <v/>
      </c>
      <c r="ED205" s="55">
        <f>$ED204+$EB205</f>
        <v/>
      </c>
      <c r="EE205" s="67">
        <f>IFERROR(IF(($DD205)&gt;0,($EB205)/($DD205),""),"")</f>
        <v/>
      </c>
      <c r="EF205" s="67">
        <f>IFERROR(IF(($DE205)&gt;0,($EC205)/($DE205),""),"")</f>
        <v/>
      </c>
      <c r="EG205" s="67">
        <f>IFERROR(IF(($DF205)&gt;0,($ED205)/($DF205),""),"")</f>
        <v/>
      </c>
      <c r="EH205" s="55">
        <f>SUMIFS(tblPlant[Gold_Poured_oz],tblPlant[Date],$A205)</f>
        <v/>
      </c>
      <c r="EI205" s="55">
        <f>IF($B205=$B204,$EI204,0)+$EH205</f>
        <v/>
      </c>
      <c r="EJ205" s="55">
        <f>$EJ204+$EH205</f>
        <v/>
      </c>
      <c r="EK205" s="57">
        <f>SUMIFS(tblPlant[Mill_Run_h],tblPlant[Date],$A205)</f>
        <v/>
      </c>
      <c r="EL205" s="57">
        <f>IF($B205=$B204,$EL204,0)+$EK205</f>
        <v/>
      </c>
      <c r="EM205" s="57">
        <f>$EM204+$EK205</f>
        <v/>
      </c>
      <c r="EN205" s="57">
        <f>SUMIFS(tblPlant[Mill_Planned_Maint_h],tblPlant[Date],$A205)</f>
        <v/>
      </c>
      <c r="EO205" s="57">
        <f>IF($B205=$B204,$EO204,0)+$EN205</f>
        <v/>
      </c>
      <c r="EP205" s="57">
        <f>$EP204+$EN205</f>
        <v/>
      </c>
      <c r="EQ205" s="57">
        <f>SUMIFS(tblPlant[Mill_Unplanned_Down_h],tblPlant[Date],$A205)</f>
        <v/>
      </c>
      <c r="ER205" s="57">
        <f>IF($B205=$B204,$ER204,0)+$EQ205</f>
        <v/>
      </c>
      <c r="ES205" s="57">
        <f>$ES204+$EQ205</f>
        <v/>
      </c>
      <c r="ET205" s="57">
        <f>IF(COUNTIFS(tblPlant[Date],$A205,tblPlant[Mill_Run_h],"&lt;&gt;")+COUNTIFS(tblPlant[Date],$A205,tblPlant[Mill_Planned_Maint_h],"&lt;&gt;")+COUNTIFS(tblPlant[Date],$A205,tblPlant[Mill_Unplanned_Down_h],"&lt;&gt;")&gt;0,cfg_HoursPerDay,0)</f>
        <v/>
      </c>
      <c r="EU205" s="57">
        <f>IF($B205=$B204,$EU204,0)+$ET205</f>
        <v/>
      </c>
      <c r="EV205" s="57">
        <f>$EV204+$ET205</f>
        <v/>
      </c>
      <c r="EW205" s="57">
        <f>SUMIFS(tblPlant[Crusher_Run_h],tblPlant[Date],$A205)</f>
        <v/>
      </c>
      <c r="EX205" s="57">
        <f>IF($B205=$B204,$EX204,0)+$EW205</f>
        <v/>
      </c>
      <c r="EY205" s="57">
        <f>$EY204+$EW205</f>
        <v/>
      </c>
      <c r="EZ205" s="55">
        <f>IFERROR(IF(($EK205)&gt;0,($DP205)/($EK205),""),"")</f>
        <v/>
      </c>
      <c r="FA205" s="55">
        <f>IFERROR(IF(($EL205)&gt;0,($DQ205)/($EL205),""),"")</f>
        <v/>
      </c>
      <c r="FB205" s="55">
        <f>IFERROR(IF(($EM205)&gt;0,($DR205)/($EM205),""),"")</f>
        <v/>
      </c>
      <c r="FC205" s="67">
        <f>IFERROR(IF(($ET205)&gt;0,($ET205-$EN205-$EQ205)/($ET205),""),"")</f>
        <v/>
      </c>
      <c r="FD205" s="67">
        <f>IFERROR(IF(($EU205)&gt;0,($EU205-$EO205-$ER205)/($EU205),""),"")</f>
        <v/>
      </c>
      <c r="FE205" s="67">
        <f>IFERROR(IF(($EV205)&gt;0,($EV205-$EP205-$ES205)/($EV205),""),"")</f>
        <v/>
      </c>
      <c r="FF205" s="67">
        <f>IFERROR(IF(($ET205-$EN205-$EQ205)&gt;0,($EK205)/($ET205-$EN205-$EQ205),""),"")</f>
        <v/>
      </c>
      <c r="FG205" s="67">
        <f>IFERROR(IF(($EU205-$EO205-$ER205)&gt;0,($EL205)/($EU205-$EO205-$ER205),""),"")</f>
        <v/>
      </c>
      <c r="FH205" s="67">
        <f>IFERROR(IF(($EV205-$EP205-$ES205)&gt;0,($EM205)/($EV205-$EP205-$ES205),""),"")</f>
        <v/>
      </c>
      <c r="FI205" s="55">
        <f>SUMIFS(tblPlant[Cyanide_kg],tblPlant[Date],$A205)</f>
        <v/>
      </c>
      <c r="FJ205" s="55">
        <f>IF($B205=$B204,$FJ204,0)+$FI205</f>
        <v/>
      </c>
      <c r="FK205" s="55">
        <f>$FK204+$FI205</f>
        <v/>
      </c>
      <c r="FL205" s="55">
        <f>SUMIFS(tblPlant[Lime_kg],tblPlant[Date],$A205)</f>
        <v/>
      </c>
      <c r="FM205" s="55">
        <f>IF($B205=$B204,$FM204,0)+$FL205</f>
        <v/>
      </c>
      <c r="FN205" s="55">
        <f>$FN204+$FL205</f>
        <v/>
      </c>
      <c r="FO205" s="55">
        <f>SUMIFS(tblPlant[Grinding_Media_kg],tblPlant[Date],$A205)</f>
        <v/>
      </c>
      <c r="FP205" s="55">
        <f>IF($B205=$B204,$FP204,0)+$FO205</f>
        <v/>
      </c>
      <c r="FQ205" s="55">
        <f>$FQ204+$FO205</f>
        <v/>
      </c>
      <c r="FR205" s="55">
        <f>SUMIFS(tblPlant[Power_kWh],tblPlant[Date],$A205)</f>
        <v/>
      </c>
      <c r="FS205" s="55">
        <f>IF($B205=$B204,$FS204,0)+$FR205</f>
        <v/>
      </c>
      <c r="FT205" s="55">
        <f>$FT204+$FR205</f>
        <v/>
      </c>
      <c r="FU205" s="55">
        <f>SUMIFS(tblPlant[Raw_Water_m3],tblPlant[Date],$A205)</f>
        <v/>
      </c>
      <c r="FV205" s="55">
        <f>IF($B205=$B204,$FV204,0)+$FU205</f>
        <v/>
      </c>
      <c r="FW205" s="55">
        <f>$FW204+$FU205</f>
        <v/>
      </c>
      <c r="FX205" s="56">
        <f>IFERROR(IF(($CU205)&gt;0,($FI205)/($CU205),""),"")</f>
        <v/>
      </c>
      <c r="FY205" s="56">
        <f>IFERROR(IF(($CV205)&gt;0,($FJ205)/($CV205),""),"")</f>
        <v/>
      </c>
      <c r="FZ205" s="56">
        <f>IFERROR(IF(($CW205)&gt;0,($FK205)/($CW205),""),"")</f>
        <v/>
      </c>
      <c r="GA205" s="56">
        <f>IFERROR(IF(($CU205)&gt;0,($FL205)/($CU205),""),"")</f>
        <v/>
      </c>
      <c r="GB205" s="56">
        <f>IFERROR(IF(($CV205)&gt;0,($FM205)/($CV205),""),"")</f>
        <v/>
      </c>
      <c r="GC205" s="56">
        <f>IFERROR(IF(($CW205)&gt;0,($FN205)/($CW205),""),"")</f>
        <v/>
      </c>
      <c r="GD205" s="56">
        <f>IFERROR(IF(($CU205)&gt;0,($FO205)/($CU205),""),"")</f>
        <v/>
      </c>
      <c r="GE205" s="56">
        <f>IFERROR(IF(($CV205)&gt;0,($FP205)/($CV205),""),"")</f>
        <v/>
      </c>
      <c r="GF205" s="56">
        <f>IFERROR(IF(($CW205)&gt;0,($FQ205)/($CW205),""),"")</f>
        <v/>
      </c>
      <c r="GG205" s="79">
        <f>IFERROR(IF(($CU205)&gt;0,($FR205)/($CU205),""),"")</f>
        <v/>
      </c>
      <c r="GH205" s="79">
        <f>IFERROR(IF(($CV205)&gt;0,($FS205)/($CV205),""),"")</f>
        <v/>
      </c>
      <c r="GI205" s="79">
        <f>IFERROR(IF(($CW205)&gt;0,($FT205)/($CW205),""),"")</f>
        <v/>
      </c>
      <c r="GJ205" s="56">
        <f>IFERROR(IF(($CU205)&gt;0,($FU205)/($CU205),""),"")</f>
        <v/>
      </c>
      <c r="GK205" s="56">
        <f>IFERROR(IF(($CV205)&gt;0,($FV205)/($CV205),""),"")</f>
        <v/>
      </c>
      <c r="GL205" s="56">
        <f>IFERROR(IF(($CW205)&gt;0,($FW205)/($CW205),""),"")</f>
        <v/>
      </c>
      <c r="GM205" s="55">
        <f>IF(SUMIFS(tblPlant[GIC_oz],tblPlant[Date],$A205)&gt;0,SUMIFS(tblPlant[GIC_oz],tblPlant[Date],$A205),"")</f>
        <v/>
      </c>
      <c r="GN205" s="55">
        <f>SUMIFS(tblGold[Gold_oz],tblGold[Date],$A205,tblGold[Type],"Shipment")</f>
        <v/>
      </c>
      <c r="GO205" s="55">
        <f>IF($B205=$B204,$GO204,0)+$GN205</f>
        <v/>
      </c>
      <c r="GP205" s="55">
        <f>$GP204+$GN205</f>
        <v/>
      </c>
      <c r="GQ205" s="55">
        <f>SUMIFS(tblGold[Gold_oz],tblGold[Date],$A205,tblGold[Type],"Sale")</f>
        <v/>
      </c>
      <c r="GR205" s="55">
        <f>IF($B205=$B204,$GR204,0)+$GQ205</f>
        <v/>
      </c>
      <c r="GS205" s="55">
        <f>$GS204+$GQ205</f>
        <v/>
      </c>
      <c r="GT205" s="55">
        <f>SUMIFS(tblGold[Dore_kg],tblGold[Date],$A205,tblGold[Type],"Shipment")</f>
        <v/>
      </c>
      <c r="GU205" s="55">
        <f>IF($B205=$B204,$GU204,0)+$GT205</f>
        <v/>
      </c>
      <c r="GV205" s="55">
        <f>$GV204+$GT205</f>
        <v/>
      </c>
      <c r="GW205" s="57">
        <f>SUMIFS(tblSafety[Hours_Total],tblSafety[Date],$A205)</f>
        <v/>
      </c>
      <c r="GX205" s="57">
        <f>IF($B205=$B204,$GX204,0)+$GW205</f>
        <v/>
      </c>
      <c r="GY205" s="57">
        <f>$GY204+$GW205</f>
        <v/>
      </c>
      <c r="GZ205" s="62">
        <f>SUMIFS(tblSafety[Fatality],tblSafety[Date],$A205)</f>
        <v/>
      </c>
      <c r="HA205" s="62">
        <f>IF($B205=$B204,$HA204,0)+$GZ205</f>
        <v/>
      </c>
      <c r="HB205" s="62">
        <f>$HB204+$GZ205</f>
        <v/>
      </c>
      <c r="HC205" s="62">
        <f>SUMIFS(tblSafety[LTI],tblSafety[Date],$A205)</f>
        <v/>
      </c>
      <c r="HD205" s="62">
        <f>IF($B205=$B204,$HD204,0)+$HC205</f>
        <v/>
      </c>
      <c r="HE205" s="62">
        <f>$HE204+$HC205</f>
        <v/>
      </c>
      <c r="HF205" s="62">
        <f>SUMIFS(tblSafety[RWI],tblSafety[Date],$A205)</f>
        <v/>
      </c>
      <c r="HG205" s="62">
        <f>IF($B205=$B204,$HG204,0)+$HF205</f>
        <v/>
      </c>
      <c r="HH205" s="62">
        <f>$HH204+$HF205</f>
        <v/>
      </c>
      <c r="HI205" s="62">
        <f>SUMIFS(tblSafety[MTI],tblSafety[Date],$A205)</f>
        <v/>
      </c>
      <c r="HJ205" s="62">
        <f>IF($B205=$B204,$HJ204,0)+$HI205</f>
        <v/>
      </c>
      <c r="HK205" s="62">
        <f>$HK204+$HI205</f>
        <v/>
      </c>
      <c r="HL205" s="62">
        <f>SUMIFS(tblSafety[FAI],tblSafety[Date],$A205)</f>
        <v/>
      </c>
      <c r="HM205" s="62">
        <f>IF($B205=$B204,$HM204,0)+$HL205</f>
        <v/>
      </c>
      <c r="HN205" s="62">
        <f>$HN204+$HL205</f>
        <v/>
      </c>
      <c r="HO205" s="62">
        <f>SUMIFS(tblSafety[Recordables],tblSafety[Date],$A205)</f>
        <v/>
      </c>
      <c r="HP205" s="62">
        <f>IF($B205=$B204,$HP204,0)+$HO205</f>
        <v/>
      </c>
      <c r="HQ205" s="62">
        <f>$HQ204+$HO205</f>
        <v/>
      </c>
      <c r="HR205" s="62">
        <f>SUMIFS(tblSafety[Near_Miss],tblSafety[Date],$A205)</f>
        <v/>
      </c>
      <c r="HS205" s="62">
        <f>IF($B205=$B204,$HS204,0)+$HR205</f>
        <v/>
      </c>
      <c r="HT205" s="62">
        <f>$HT204+$HR205</f>
        <v/>
      </c>
      <c r="HU205" s="62">
        <f>SUMIFS(tblSafety[Hazard_Reports],tblSafety[Date],$A205)</f>
        <v/>
      </c>
      <c r="HV205" s="62">
        <f>IF($B205=$B204,$HV204,0)+$HU205</f>
        <v/>
      </c>
      <c r="HW205" s="62">
        <f>$HW204+$HU205</f>
        <v/>
      </c>
      <c r="HX205" s="62">
        <f>SUMIFS(tblSafety[HPI],tblSafety[Date],$A205)</f>
        <v/>
      </c>
      <c r="HY205" s="62">
        <f>IF($B205=$B204,$HY204,0)+$HX205</f>
        <v/>
      </c>
      <c r="HZ205" s="62">
        <f>$HZ204+$HX205</f>
        <v/>
      </c>
      <c r="IA205" s="62">
        <f>SUMIFS(tblSafety[Env_Incidents],tblSafety[Date],$A205)</f>
        <v/>
      </c>
      <c r="IB205" s="62">
        <f>IF($B205=$B204,$IB204,0)+$IA205</f>
        <v/>
      </c>
      <c r="IC205" s="62">
        <f>$IC204+$IA205</f>
        <v/>
      </c>
      <c r="ID205" s="62">
        <f>SUMIFS(tblSafety[Community_Incidents],tblSafety[Date],$A205)</f>
        <v/>
      </c>
      <c r="IE205" s="62">
        <f>IF($B205=$B204,$IE204,0)+$ID205</f>
        <v/>
      </c>
      <c r="IF205" s="62">
        <f>$IF204+$ID205</f>
        <v/>
      </c>
      <c r="IG205" s="62">
        <f>SUMIFS(tblSafety[Vehicle_Incidents],tblSafety[Date],$A205)</f>
        <v/>
      </c>
      <c r="IH205" s="62">
        <f>IF($B205=$B204,$IH204,0)+$IG205</f>
        <v/>
      </c>
      <c r="II205" s="62">
        <f>$II204+$IG205</f>
        <v/>
      </c>
      <c r="IJ205" s="62">
        <f>SUMIFS(tblSafety[Toolbox_Talks],tblSafety[Date],$A205)</f>
        <v/>
      </c>
      <c r="IK205" s="62">
        <f>IF($B205=$B204,$IK204,0)+$IJ205</f>
        <v/>
      </c>
      <c r="IL205" s="62">
        <f>$IL204+$IJ205</f>
        <v/>
      </c>
      <c r="IM205" s="62">
        <f>SUMIFS(tblSafety[Inspections],tblSafety[Date],$A205)</f>
        <v/>
      </c>
      <c r="IN205" s="62">
        <f>IF($B205=$B204,$IN204,0)+$IM205</f>
        <v/>
      </c>
      <c r="IO205" s="62">
        <f>$IO204+$IM205</f>
        <v/>
      </c>
      <c r="IP205" s="56">
        <f>IFERROR((SUMIFS(tblSafety[Recordables],tblSafety[Date],"&gt;="&amp;EDATE($E205,-12),tblSafety[Date],"&lt;="&amp;$A205)+SUMIFS(tblSafetyHistory[Recordables],tblSafetyHistory[Month],"&gt;="&amp;EDATE($E205,-12),tblSafetyHistory[Month],"&lt;"&amp;$E205,tblSafetyHistory[Use],1))/(SUMIFS(tblSafety[Hours_Total],tblSafety[Date],"&gt;="&amp;EDATE($E205,-12),tblSafety[Date],"&lt;="&amp;$A205)+SUMIFS(tblSafetyHistory[Hours_Total],tblSafetyHistory[Month],"&gt;="&amp;EDATE($E205,-12),tblSafetyHistory[Month],"&lt;"&amp;$E205,tblSafetyHistory[Use],1))*cfg_RateBasisHours,"")</f>
        <v/>
      </c>
      <c r="IQ205" s="56">
        <f>IFERROR((SUMIFS(tblSafety[LTI],tblSafety[Date],"&gt;="&amp;EDATE($E205,-12),tblSafety[Date],"&lt;="&amp;$A205)+SUMIFS(tblSafetyHistory[LTI],tblSafetyHistory[Month],"&gt;="&amp;EDATE($E205,-12),tblSafetyHistory[Month],"&lt;"&amp;$E205,tblSafetyHistory[Use],1))/(SUMIFS(tblSafety[Hours_Total],tblSafety[Date],"&gt;="&amp;EDATE($E205,-12),tblSafety[Date],"&lt;="&amp;$A205)+SUMIFS(tblSafetyHistory[Hours_Total],tblSafetyHistory[Month],"&gt;="&amp;EDATE($E205,-12),tblSafetyHistory[Month],"&lt;"&amp;$E205,tblSafetyHistory[Use],1))*cfg_RateBasisHours,"")</f>
        <v/>
      </c>
      <c r="IR205" s="62">
        <f>IF(MAX(N(cfg_PriorLTIDate),_xlfn.MAXIFS(tblSafety[Date],tblSafety[LTI],"&gt;0",tblSafety[Date],"&lt;="&amp;$A205))=0,"",$A205-MAX(N(cfg_PriorLTIDate),_xlfn.MAXIFS(tblSafety[Date],tblSafety[LTI],"&gt;0",tblSafety[Date],"&lt;="&amp;$A205)))</f>
        <v/>
      </c>
      <c r="IS205" s="55">
        <f>SUMIFS(tblBudget[Ore_Mined_t],tblBudget[Month],$E205)</f>
        <v/>
      </c>
      <c r="IT205" s="55">
        <f>$IS205*$C205/$D205</f>
        <v/>
      </c>
      <c r="IU205" s="55">
        <f>SUMIFS(tblBudget[Ore_Mined_t],tblBudget[Month],"&lt;"&amp;$E205)+$IT205</f>
        <v/>
      </c>
      <c r="IV205" s="55">
        <f>SUMIFS(tblBudget[Ore_oz],tblBudget[Month],$E205)</f>
        <v/>
      </c>
      <c r="IW205" s="55">
        <f>$IV205*$C205/$D205</f>
        <v/>
      </c>
      <c r="IX205" s="55">
        <f>SUMIFS(tblBudget[Ore_oz],tblBudget[Month],"&lt;"&amp;$E205)+$IW205</f>
        <v/>
      </c>
      <c r="IY205" s="55">
        <f>SUMIFS(tblBudget[Ore_Mined_t],tblBudget[Month],$E205)</f>
        <v/>
      </c>
      <c r="IZ205" s="55">
        <f>$IY205*$C205/$D205</f>
        <v/>
      </c>
      <c r="JA205" s="55">
        <f>SUMIFS(tblBudget[Ore_Mined_t],tblBudget[Month],"&lt;"&amp;$E205)+$IZ205</f>
        <v/>
      </c>
      <c r="JB205" s="56">
        <f>IFERROR(IF(($IY205)&gt;0,($IV205*cfg_TroyOz)/($IY205),""),"")</f>
        <v/>
      </c>
      <c r="JC205" s="56">
        <f>IFERROR(IF(($IZ205)&gt;0,($IW205*cfg_TroyOz)/($IZ205),""),"")</f>
        <v/>
      </c>
      <c r="JD205" s="56">
        <f>IFERROR(IF(($JA205)&gt;0,($IX205*cfg_TroyOz)/($JA205),""),"")</f>
        <v/>
      </c>
      <c r="JE205" s="55">
        <f>SUMIFS(tblBudget[Waste_t],tblBudget[Month],$E205)</f>
        <v/>
      </c>
      <c r="JF205" s="55">
        <f>$JE205*$C205/$D205</f>
        <v/>
      </c>
      <c r="JG205" s="55">
        <f>SUMIFS(tblBudget[Waste_t],tblBudget[Month],"&lt;"&amp;$E205)+$JF205</f>
        <v/>
      </c>
      <c r="JH205" s="55">
        <f>SUMIFS(tblBudget[TMM_t],tblBudget[Month],$E205)</f>
        <v/>
      </c>
      <c r="JI205" s="55">
        <f>$JH205*$C205/$D205</f>
        <v/>
      </c>
      <c r="JJ205" s="55">
        <f>SUMIFS(tblBudget[TMM_t],tblBudget[Month],"&lt;"&amp;$E205)+$JI205</f>
        <v/>
      </c>
      <c r="JK205" s="56">
        <f>IFERROR(IF(($IS205)&gt;0,($JE205)/($IS205),""),"")</f>
        <v/>
      </c>
      <c r="JL205" s="56">
        <f>IFERROR(IF(($IT205)&gt;0,($JF205)/($IT205),""),"")</f>
        <v/>
      </c>
      <c r="JM205" s="56">
        <f>IFERROR(IF(($IU205)&gt;0,($JG205)/($IU205),""),"")</f>
        <v/>
      </c>
      <c r="JN205" s="55">
        <f>SUMIFS(tblBudget[Drill_m],tblBudget[Month],$E205)</f>
        <v/>
      </c>
      <c r="JO205" s="55">
        <f>$JN205*$C205/$D205</f>
        <v/>
      </c>
      <c r="JP205" s="55">
        <f>SUMIFS(tblBudget[Drill_m],tblBudget[Month],"&lt;"&amp;$E205)+$JO205</f>
        <v/>
      </c>
      <c r="JQ205" s="55">
        <f>SUMIFS(tblBudget[Diesel_L],tblBudget[Month],$E205)</f>
        <v/>
      </c>
      <c r="JR205" s="55">
        <f>$JQ205*$C205/$D205</f>
        <v/>
      </c>
      <c r="JS205" s="55">
        <f>SUMIFS(tblBudget[Diesel_L],tblBudget[Month],"&lt;"&amp;$E205)+$JR205</f>
        <v/>
      </c>
      <c r="JT205" s="55">
        <f>SUMIFS(tblBudget[Milled_t],tblBudget[Month],$E205)</f>
        <v/>
      </c>
      <c r="JU205" s="55">
        <f>$JT205*$C205/$D205</f>
        <v/>
      </c>
      <c r="JV205" s="55">
        <f>SUMIFS(tblBudget[Milled_t],tblBudget[Month],"&lt;"&amp;$E205)+$JU205</f>
        <v/>
      </c>
      <c r="JW205" s="55">
        <f>SUMIFS(tblBudget[Feed_oz],tblBudget[Month],$E205)</f>
        <v/>
      </c>
      <c r="JX205" s="55">
        <f>$JW205*$C205/$D205</f>
        <v/>
      </c>
      <c r="JY205" s="55">
        <f>SUMIFS(tblBudget[Feed_oz],tblBudget[Month],"&lt;"&amp;$E205)+$JX205</f>
        <v/>
      </c>
      <c r="JZ205" s="55">
        <f>SUMIFS(tblBudget[Recovered_oz],tblBudget[Month],$E205)</f>
        <v/>
      </c>
      <c r="KA205" s="55">
        <f>$JZ205*$C205/$D205</f>
        <v/>
      </c>
      <c r="KB205" s="55">
        <f>SUMIFS(tblBudget[Recovered_oz],tblBudget[Month],"&lt;"&amp;$E205)+$KA205</f>
        <v/>
      </c>
      <c r="KC205" s="55">
        <f>SUMIFS(tblBudget[Milled_t],tblBudget[Month],$E205)</f>
        <v/>
      </c>
      <c r="KD205" s="55">
        <f>$KC205*$C205/$D205</f>
        <v/>
      </c>
      <c r="KE205" s="55">
        <f>SUMIFS(tblBudget[Milled_t],tblBudget[Month],"&lt;"&amp;$E205)+$KD205</f>
        <v/>
      </c>
      <c r="KF205" s="55">
        <f>SUMIFS(tblBudget[Feed_oz],tblBudget[Month],$E205)</f>
        <v/>
      </c>
      <c r="KG205" s="55">
        <f>$KF205*$C205/$D205</f>
        <v/>
      </c>
      <c r="KH205" s="55">
        <f>SUMIFS(tblBudget[Feed_oz],tblBudget[Month],"&lt;"&amp;$E205)+$KG205</f>
        <v/>
      </c>
      <c r="KI205" s="56">
        <f>IFERROR(IF(($KC205)&gt;0,($JW205*cfg_TroyOz)/($KC205),""),"")</f>
        <v/>
      </c>
      <c r="KJ205" s="56">
        <f>IFERROR(IF(($KD205)&gt;0,($JX205*cfg_TroyOz)/($KD205),""),"")</f>
        <v/>
      </c>
      <c r="KK205" s="56">
        <f>IFERROR(IF(($KE205)&gt;0,($JY205*cfg_TroyOz)/($KE205),""),"")</f>
        <v/>
      </c>
      <c r="KL205" s="67">
        <f>IFERROR(IF(($KF205)&gt;0,($JZ205)/($KF205),""),"")</f>
        <v/>
      </c>
      <c r="KM205" s="67">
        <f>IFERROR(IF(($KG205)&gt;0,($KA205)/($KG205),""),"")</f>
        <v/>
      </c>
      <c r="KN205" s="67">
        <f>IFERROR(IF(($KH205)&gt;0,($KB205)/($KH205),""),"")</f>
        <v/>
      </c>
      <c r="KO205" s="55">
        <f>SUMIFS(tblBudget[Gold_Poured_oz],tblBudget[Month],$E205)</f>
        <v/>
      </c>
      <c r="KP205" s="55">
        <f>$KO205*$C205/$D205</f>
        <v/>
      </c>
      <c r="KQ205" s="55">
        <f>SUMIFS(tblBudget[Gold_Poured_oz],tblBudget[Month],"&lt;"&amp;$E205)+$KP205</f>
        <v/>
      </c>
      <c r="KR205" s="57">
        <f>SUMIFS(tblBudget[Hours_Worked],tblBudget[Month],$E205)</f>
        <v/>
      </c>
      <c r="KS205" s="57">
        <f>$KR205*$C205/$D205</f>
        <v/>
      </c>
      <c r="KT205" s="57">
        <f>SUMIFS(tblBudget[Hours_Worked],tblBudget[Month],"&lt;"&amp;$E205)+$KS205</f>
        <v/>
      </c>
    </row>
    <row r="206">
      <c r="A206" s="54" t="n">
        <v>46227</v>
      </c>
      <c r="B206">
        <f>MONTH($A206)</f>
        <v/>
      </c>
      <c r="C206">
        <f>DAY($A206)</f>
        <v/>
      </c>
      <c r="D206">
        <f>DAY(EOMONTH($A206,0))</f>
        <v/>
      </c>
      <c r="E206" s="54">
        <f>DATE(YEAR($A206),MONTH($A206),1)</f>
        <v/>
      </c>
      <c r="F206" s="55">
        <f>SUMIFS(tblMovement[Tonnes_t],tblMovement[Date],$A206,tblMovement[Is_Ore],1,tblMovement[Source_Type],"Pit")</f>
        <v/>
      </c>
      <c r="G206" s="55">
        <f>IF($B206=$B205,$G205,0)+$F206</f>
        <v/>
      </c>
      <c r="H206" s="55">
        <f>$H205+$F206</f>
        <v/>
      </c>
      <c r="I206" s="55">
        <f>SUMIFS(tblMovement[Ore_oz],tblMovement[Date],$A206,tblMovement[Source_Type],"Pit")</f>
        <v/>
      </c>
      <c r="J206" s="55">
        <f>IF($B206=$B205,$J205,0)+$I206</f>
        <v/>
      </c>
      <c r="K206" s="55">
        <f>$K205+$I206</f>
        <v/>
      </c>
      <c r="L206" s="55">
        <f>SUMIFS(tblMovement[Tonnes_t],tblMovement[Date],$A206,tblMovement[Is_Ore],1,tblMovement[Source_Type],"Pit",tblMovement[Grade_gpt],"&lt;&gt;")</f>
        <v/>
      </c>
      <c r="M206" s="55">
        <f>IF($B206=$B205,$M205,0)+$L206</f>
        <v/>
      </c>
      <c r="N206" s="55">
        <f>$N205+$L206</f>
        <v/>
      </c>
      <c r="O206" s="56">
        <f>IFERROR(IF(($L206)&gt;0,($I206*cfg_TroyOz)/($L206),""),"")</f>
        <v/>
      </c>
      <c r="P206" s="56">
        <f>IFERROR(IF(($M206)&gt;0,($J206*cfg_TroyOz)/($M206),""),"")</f>
        <v/>
      </c>
      <c r="Q206" s="56">
        <f>IFERROR(IF(($N206)&gt;0,($K206*cfg_TroyOz)/($N206),""),"")</f>
        <v/>
      </c>
      <c r="R206" s="55">
        <f>$F206-$L206</f>
        <v/>
      </c>
      <c r="S206" s="55">
        <f>IF($B206=$B205,$S205,0)+$R206</f>
        <v/>
      </c>
      <c r="T206" s="55">
        <f>$T205+$R206</f>
        <v/>
      </c>
      <c r="U206" s="55">
        <f>SUMIFS(tblMovement[Tonnes_t],tblMovement[Date],$A206,tblMovement[Is_Ore],0,tblMovement[Source_Type],"Pit")</f>
        <v/>
      </c>
      <c r="V206" s="55">
        <f>IF($B206=$B205,$V205,0)+$U206</f>
        <v/>
      </c>
      <c r="W206" s="55">
        <f>$W205+$U206</f>
        <v/>
      </c>
      <c r="X206" s="55">
        <f>$F206+$U206</f>
        <v/>
      </c>
      <c r="Y206" s="55">
        <f>IF($B206=$B205,$Y205,0)+$X206</f>
        <v/>
      </c>
      <c r="Z206" s="55">
        <f>$Z205+$X206</f>
        <v/>
      </c>
      <c r="AA206" s="56">
        <f>IFERROR(IF(($F206)&gt;0,($U206)/($F206),""),"")</f>
        <v/>
      </c>
      <c r="AB206" s="56">
        <f>IFERROR(IF(($G206)&gt;0,($V206)/($G206),""),"")</f>
        <v/>
      </c>
      <c r="AC206" s="56">
        <f>IFERROR(IF(($H206)&gt;0,($W206)/($H206),""),"")</f>
        <v/>
      </c>
      <c r="AD206" s="55">
        <f>SUMIFS(tblMovement[Tonnes_t],tblMovement[Date],$A206,tblMovement[Source_Type],"Stockpile")</f>
        <v/>
      </c>
      <c r="AE206" s="55">
        <f>IF($B206=$B205,$AE205,0)+$AD206</f>
        <v/>
      </c>
      <c r="AF206" s="55">
        <f>$AF205+$AD206</f>
        <v/>
      </c>
      <c r="AG206" s="55">
        <f>SUMIFS(tblMovement[Tonnes_t],tblMovement[Date],$A206)</f>
        <v/>
      </c>
      <c r="AH206" s="55">
        <f>IF($B206=$B205,$AH205,0)+$AG206</f>
        <v/>
      </c>
      <c r="AI206" s="55">
        <f>$AI205+$AG206</f>
        <v/>
      </c>
      <c r="AJ206" s="55">
        <f>$AG206-$X206-$AD206</f>
        <v/>
      </c>
      <c r="AK206" s="55">
        <f>IF($B206=$B205,$AK205,0)+$AJ206</f>
        <v/>
      </c>
      <c r="AL206" s="55">
        <f>$AL205+$AJ206</f>
        <v/>
      </c>
      <c r="AM206" s="55">
        <f>SUMIFS(tblMiningDaily[Drill_m],tblMiningDaily[Date],$A206)</f>
        <v/>
      </c>
      <c r="AN206" s="55">
        <f>IF($B206=$B205,$AN205,0)+$AM206</f>
        <v/>
      </c>
      <c r="AO206" s="55">
        <f>$AO205+$AM206</f>
        <v/>
      </c>
      <c r="AP206" s="55">
        <f>SUMIFS(tblMiningDaily[GC_Drill_m],tblMiningDaily[Date],$A206)</f>
        <v/>
      </c>
      <c r="AQ206" s="55">
        <f>IF($B206=$B205,$AQ205,0)+$AP206</f>
        <v/>
      </c>
      <c r="AR206" s="55">
        <f>$AR205+$AP206</f>
        <v/>
      </c>
      <c r="AS206" s="55">
        <f>SUMIFS(tblMiningDaily[Blast_t],tblMiningDaily[Date],$A206)</f>
        <v/>
      </c>
      <c r="AT206" s="55">
        <f>IF($B206=$B205,$AT205,0)+$AS206</f>
        <v/>
      </c>
      <c r="AU206" s="55">
        <f>$AU205+$AS206</f>
        <v/>
      </c>
      <c r="AV206" s="55">
        <f>SUMIFS(tblMiningDaily[Explosives_kg],tblMiningDaily[Date],$A206)</f>
        <v/>
      </c>
      <c r="AW206" s="55">
        <f>IF($B206=$B205,$AW205,0)+$AV206</f>
        <v/>
      </c>
      <c r="AX206" s="55">
        <f>$AX205+$AV206</f>
        <v/>
      </c>
      <c r="AY206" s="56">
        <f>IFERROR(IF(($AS206)&gt;0,($AV206)/($AS206),""),"")</f>
        <v/>
      </c>
      <c r="AZ206" s="56">
        <f>IFERROR(IF(($AT206)&gt;0,($AW206)/($AT206),""),"")</f>
        <v/>
      </c>
      <c r="BA206" s="56">
        <f>IFERROR(IF(($AU206)&gt;0,($AX206)/($AU206),""),"")</f>
        <v/>
      </c>
      <c r="BB206" s="55">
        <f>SUMIFS(tblMiningDaily[Diesel_L],tblMiningDaily[Date],$A206)</f>
        <v/>
      </c>
      <c r="BC206" s="55">
        <f>IF($B206=$B205,$BC205,0)+$BB206</f>
        <v/>
      </c>
      <c r="BD206" s="55">
        <f>$BD205+$BB206</f>
        <v/>
      </c>
      <c r="BE206" s="55">
        <f>SUMIFS(tblMiningDaily[Dewatering_m3],tblMiningDaily[Date],$A206)</f>
        <v/>
      </c>
      <c r="BF206" s="55">
        <f>IF($B206=$B205,$BF205,0)+$BE206</f>
        <v/>
      </c>
      <c r="BG206" s="55">
        <f>$BG205+$BE206</f>
        <v/>
      </c>
      <c r="BH206" s="57">
        <f>SUMIFS(tblFleet[Calendar_h],tblFleet[Date],$A206,tblFleet[Equipment_Class],"Excavator")</f>
        <v/>
      </c>
      <c r="BI206" s="57">
        <f>IF($B206=$B205,$BI205,0)+$BH206</f>
        <v/>
      </c>
      <c r="BJ206" s="57">
        <f>$BJ205+$BH206</f>
        <v/>
      </c>
      <c r="BK206" s="57">
        <f>SUMIFS(tblFleet[Available_h],tblFleet[Date],$A206,tblFleet[Equipment_Class],"Excavator")</f>
        <v/>
      </c>
      <c r="BL206" s="57">
        <f>IF($B206=$B205,$BL205,0)+$BK206</f>
        <v/>
      </c>
      <c r="BM206" s="57">
        <f>$BM205+$BK206</f>
        <v/>
      </c>
      <c r="BN206" s="57">
        <f>SUMIFS(tblFleet[Operating_h],tblFleet[Date],$A206,tblFleet[Equipment_Class],"Excavator")</f>
        <v/>
      </c>
      <c r="BO206" s="57">
        <f>IF($B206=$B205,$BO205,0)+$BN206</f>
        <v/>
      </c>
      <c r="BP206" s="57">
        <f>$BP205+$BN206</f>
        <v/>
      </c>
      <c r="BQ206" s="67">
        <f>IFERROR(IF(($BH206)&gt;0,($BK206)/($BH206),""),"")</f>
        <v/>
      </c>
      <c r="BR206" s="67">
        <f>IFERROR(IF(($BI206)&gt;0,($BL206)/($BI206),""),"")</f>
        <v/>
      </c>
      <c r="BS206" s="67">
        <f>IFERROR(IF(($BJ206)&gt;0,($BM206)/($BJ206),""),"")</f>
        <v/>
      </c>
      <c r="BT206" s="67">
        <f>IFERROR(IF(($BK206)&gt;0,($BN206)/($BK206),""),"")</f>
        <v/>
      </c>
      <c r="BU206" s="67">
        <f>IFERROR(IF(($BL206)&gt;0,($BO206)/($BL206),""),"")</f>
        <v/>
      </c>
      <c r="BV206" s="67">
        <f>IFERROR(IF(($BM206)&gt;0,($BP206)/($BM206),""),"")</f>
        <v/>
      </c>
      <c r="BW206" s="57">
        <f>SUMIFS(tblFleet[Calendar_h],tblFleet[Date],$A206,tblFleet[Equipment_Class],"Haul Truck")</f>
        <v/>
      </c>
      <c r="BX206" s="57">
        <f>IF($B206=$B205,$BX205,0)+$BW206</f>
        <v/>
      </c>
      <c r="BY206" s="57">
        <f>$BY205+$BW206</f>
        <v/>
      </c>
      <c r="BZ206" s="57">
        <f>SUMIFS(tblFleet[Available_h],tblFleet[Date],$A206,tblFleet[Equipment_Class],"Haul Truck")</f>
        <v/>
      </c>
      <c r="CA206" s="57">
        <f>IF($B206=$B205,$CA205,0)+$BZ206</f>
        <v/>
      </c>
      <c r="CB206" s="57">
        <f>$CB205+$BZ206</f>
        <v/>
      </c>
      <c r="CC206" s="57">
        <f>SUMIFS(tblFleet[Operating_h],tblFleet[Date],$A206,tblFleet[Equipment_Class],"Haul Truck")</f>
        <v/>
      </c>
      <c r="CD206" s="57">
        <f>IF($B206=$B205,$CD205,0)+$CC206</f>
        <v/>
      </c>
      <c r="CE206" s="57">
        <f>$CE205+$CC206</f>
        <v/>
      </c>
      <c r="CF206" s="67">
        <f>IFERROR(IF(($BW206)&gt;0,($BZ206)/($BW206),""),"")</f>
        <v/>
      </c>
      <c r="CG206" s="67">
        <f>IFERROR(IF(($BX206)&gt;0,($CA206)/($BX206),""),"")</f>
        <v/>
      </c>
      <c r="CH206" s="67">
        <f>IFERROR(IF(($BY206)&gt;0,($CB206)/($BY206),""),"")</f>
        <v/>
      </c>
      <c r="CI206" s="67">
        <f>IFERROR(IF(($BZ206)&gt;0,($CC206)/($BZ206),""),"")</f>
        <v/>
      </c>
      <c r="CJ206" s="67">
        <f>IFERROR(IF(($CA206)&gt;0,($CD206)/($CA206),""),"")</f>
        <v/>
      </c>
      <c r="CK206" s="67">
        <f>IFERROR(IF(($CB206)&gt;0,($CE206)/($CB206),""),"")</f>
        <v/>
      </c>
      <c r="CL206" s="55">
        <f>IFERROR(IF(($BN206)&gt;0,($X206+$AD206)/($BN206),""),"")</f>
        <v/>
      </c>
      <c r="CM206" s="55">
        <f>IFERROR(IF(($BO206)&gt;0,($Y206+$AE206)/($BO206),""),"")</f>
        <v/>
      </c>
      <c r="CN206" s="55">
        <f>IFERROR(IF(($BP206)&gt;0,($Z206+$AF206)/($BP206),""),"")</f>
        <v/>
      </c>
      <c r="CO206" s="55">
        <f>IFERROR(IF(($CC206)&gt;0,($X206+$AD206)/($CC206),""),"")</f>
        <v/>
      </c>
      <c r="CP206" s="55">
        <f>IFERROR(IF(($CD206)&gt;0,($Y206+$AE206)/($CD206),""),"")</f>
        <v/>
      </c>
      <c r="CQ206" s="55">
        <f>IFERROR(IF(($CE206)&gt;0,($Z206+$AF206)/($CE206),""),"")</f>
        <v/>
      </c>
      <c r="CR206" s="55">
        <f>SUMIFS(tblPlant[Crushed_t],tblPlant[Date],$A206)</f>
        <v/>
      </c>
      <c r="CS206" s="55">
        <f>IF($B206=$B205,$CS205,0)+$CR206</f>
        <v/>
      </c>
      <c r="CT206" s="55">
        <f>$CT205+$CR206</f>
        <v/>
      </c>
      <c r="CU206" s="55">
        <f>SUMIFS(tblPlant[Milled_t],tblPlant[Date],$A206)</f>
        <v/>
      </c>
      <c r="CV206" s="55">
        <f>IF($B206=$B205,$CV205,0)+$CU206</f>
        <v/>
      </c>
      <c r="CW206" s="55">
        <f>$CW205+$CU206</f>
        <v/>
      </c>
      <c r="CX206" s="55">
        <f>SUMIFS(tblPlant[Feed_oz],tblPlant[Date],$A206)</f>
        <v/>
      </c>
      <c r="CY206" s="55">
        <f>IF($B206=$B205,$CY205,0)+$CX206</f>
        <v/>
      </c>
      <c r="CZ206" s="55">
        <f>$CZ205+$CX206</f>
        <v/>
      </c>
      <c r="DA206" s="55">
        <f>SUMIFS(tblPlant[Tails_oz],tblPlant[Date],$A206)</f>
        <v/>
      </c>
      <c r="DB206" s="55">
        <f>IF($B206=$B205,$DB205,0)+$DA206</f>
        <v/>
      </c>
      <c r="DC206" s="55">
        <f>$DC205+$DA206</f>
        <v/>
      </c>
      <c r="DD206" s="55">
        <f>SUMIFS(tblPlant[Recovered_oz],tblPlant[Date],$A206)</f>
        <v/>
      </c>
      <c r="DE206" s="55">
        <f>IF($B206=$B205,$DE205,0)+$DD206</f>
        <v/>
      </c>
      <c r="DF206" s="55">
        <f>$DF205+$DD206</f>
        <v/>
      </c>
      <c r="DG206" s="55">
        <f>SUMIFS(tblPlant[Milled_t],tblPlant[Date],$A206,tblPlant[Head_Grade_gpt],"&lt;&gt;")</f>
        <v/>
      </c>
      <c r="DH206" s="55">
        <f>IF($B206=$B205,$DH205,0)+$DG206</f>
        <v/>
      </c>
      <c r="DI206" s="55">
        <f>$DI205+$DG206</f>
        <v/>
      </c>
      <c r="DJ206" s="55">
        <f>SUMIFS(tblPlant[Milled_t],tblPlant[Date],$A206,tblPlant[Tails_Grade_gpt],"&lt;&gt;")</f>
        <v/>
      </c>
      <c r="DK206" s="55">
        <f>IF($B206=$B205,$DK205,0)+$DJ206</f>
        <v/>
      </c>
      <c r="DL206" s="55">
        <f>$DL205+$DJ206</f>
        <v/>
      </c>
      <c r="DM206" s="55">
        <f>SUMIFS(tblPlant[Feed_oz],tblPlant[Date],$A206,tblPlant[Tails_Grade_gpt],"&lt;&gt;")</f>
        <v/>
      </c>
      <c r="DN206" s="55">
        <f>IF($B206=$B205,$DN205,0)+$DM206</f>
        <v/>
      </c>
      <c r="DO206" s="55">
        <f>$DO205+$DM206</f>
        <v/>
      </c>
      <c r="DP206" s="55">
        <f>SUMIFS(tblPlant[Milled_t],tblPlant[Date],$A206,tblPlant[Mill_Run_h],"&lt;&gt;")</f>
        <v/>
      </c>
      <c r="DQ206" s="55">
        <f>IF($B206=$B205,$DQ205,0)+$DP206</f>
        <v/>
      </c>
      <c r="DR206" s="55">
        <f>$DR205+$DP206</f>
        <v/>
      </c>
      <c r="DS206" s="56">
        <f>IFERROR(IF(($DG206)&gt;0,($CX206*cfg_TroyOz)/($DG206),""),"")</f>
        <v/>
      </c>
      <c r="DT206" s="56">
        <f>IFERROR(IF(($DH206)&gt;0,($CY206*cfg_TroyOz)/($DH206),""),"")</f>
        <v/>
      </c>
      <c r="DU206" s="56">
        <f>IFERROR(IF(($DI206)&gt;0,($CZ206*cfg_TroyOz)/($DI206),""),"")</f>
        <v/>
      </c>
      <c r="DV206" s="56">
        <f>IFERROR(IF(($DJ206)&gt;0,($DA206*cfg_TroyOz)/($DJ206),""),"")</f>
        <v/>
      </c>
      <c r="DW206" s="56">
        <f>IFERROR(IF(($DK206)&gt;0,($DB206*cfg_TroyOz)/($DK206),""),"")</f>
        <v/>
      </c>
      <c r="DX206" s="56">
        <f>IFERROR(IF(($DL206)&gt;0,($DC206*cfg_TroyOz)/($DL206),""),"")</f>
        <v/>
      </c>
      <c r="DY206" s="67">
        <f>IFERROR(IF(($DM206)&gt;0,($DD206)/($DM206),""),"")</f>
        <v/>
      </c>
      <c r="DZ206" s="67">
        <f>IFERROR(IF(($DN206)&gt;0,($DE206)/($DN206),""),"")</f>
        <v/>
      </c>
      <c r="EA206" s="67">
        <f>IFERROR(IF(($DO206)&gt;0,($DF206)/($DO206),""),"")</f>
        <v/>
      </c>
      <c r="EB206" s="55">
        <f>SUMIFS(tblPlant[Gravity_Gold_oz],tblPlant[Date],$A206)</f>
        <v/>
      </c>
      <c r="EC206" s="55">
        <f>IF($B206=$B205,$EC205,0)+$EB206</f>
        <v/>
      </c>
      <c r="ED206" s="55">
        <f>$ED205+$EB206</f>
        <v/>
      </c>
      <c r="EE206" s="67">
        <f>IFERROR(IF(($DD206)&gt;0,($EB206)/($DD206),""),"")</f>
        <v/>
      </c>
      <c r="EF206" s="67">
        <f>IFERROR(IF(($DE206)&gt;0,($EC206)/($DE206),""),"")</f>
        <v/>
      </c>
      <c r="EG206" s="67">
        <f>IFERROR(IF(($DF206)&gt;0,($ED206)/($DF206),""),"")</f>
        <v/>
      </c>
      <c r="EH206" s="55">
        <f>SUMIFS(tblPlant[Gold_Poured_oz],tblPlant[Date],$A206)</f>
        <v/>
      </c>
      <c r="EI206" s="55">
        <f>IF($B206=$B205,$EI205,0)+$EH206</f>
        <v/>
      </c>
      <c r="EJ206" s="55">
        <f>$EJ205+$EH206</f>
        <v/>
      </c>
      <c r="EK206" s="57">
        <f>SUMIFS(tblPlant[Mill_Run_h],tblPlant[Date],$A206)</f>
        <v/>
      </c>
      <c r="EL206" s="57">
        <f>IF($B206=$B205,$EL205,0)+$EK206</f>
        <v/>
      </c>
      <c r="EM206" s="57">
        <f>$EM205+$EK206</f>
        <v/>
      </c>
      <c r="EN206" s="57">
        <f>SUMIFS(tblPlant[Mill_Planned_Maint_h],tblPlant[Date],$A206)</f>
        <v/>
      </c>
      <c r="EO206" s="57">
        <f>IF($B206=$B205,$EO205,0)+$EN206</f>
        <v/>
      </c>
      <c r="EP206" s="57">
        <f>$EP205+$EN206</f>
        <v/>
      </c>
      <c r="EQ206" s="57">
        <f>SUMIFS(tblPlant[Mill_Unplanned_Down_h],tblPlant[Date],$A206)</f>
        <v/>
      </c>
      <c r="ER206" s="57">
        <f>IF($B206=$B205,$ER205,0)+$EQ206</f>
        <v/>
      </c>
      <c r="ES206" s="57">
        <f>$ES205+$EQ206</f>
        <v/>
      </c>
      <c r="ET206" s="57">
        <f>IF(COUNTIFS(tblPlant[Date],$A206,tblPlant[Mill_Run_h],"&lt;&gt;")+COUNTIFS(tblPlant[Date],$A206,tblPlant[Mill_Planned_Maint_h],"&lt;&gt;")+COUNTIFS(tblPlant[Date],$A206,tblPlant[Mill_Unplanned_Down_h],"&lt;&gt;")&gt;0,cfg_HoursPerDay,0)</f>
        <v/>
      </c>
      <c r="EU206" s="57">
        <f>IF($B206=$B205,$EU205,0)+$ET206</f>
        <v/>
      </c>
      <c r="EV206" s="57">
        <f>$EV205+$ET206</f>
        <v/>
      </c>
      <c r="EW206" s="57">
        <f>SUMIFS(tblPlant[Crusher_Run_h],tblPlant[Date],$A206)</f>
        <v/>
      </c>
      <c r="EX206" s="57">
        <f>IF($B206=$B205,$EX205,0)+$EW206</f>
        <v/>
      </c>
      <c r="EY206" s="57">
        <f>$EY205+$EW206</f>
        <v/>
      </c>
      <c r="EZ206" s="55">
        <f>IFERROR(IF(($EK206)&gt;0,($DP206)/($EK206),""),"")</f>
        <v/>
      </c>
      <c r="FA206" s="55">
        <f>IFERROR(IF(($EL206)&gt;0,($DQ206)/($EL206),""),"")</f>
        <v/>
      </c>
      <c r="FB206" s="55">
        <f>IFERROR(IF(($EM206)&gt;0,($DR206)/($EM206),""),"")</f>
        <v/>
      </c>
      <c r="FC206" s="67">
        <f>IFERROR(IF(($ET206)&gt;0,($ET206-$EN206-$EQ206)/($ET206),""),"")</f>
        <v/>
      </c>
      <c r="FD206" s="67">
        <f>IFERROR(IF(($EU206)&gt;0,($EU206-$EO206-$ER206)/($EU206),""),"")</f>
        <v/>
      </c>
      <c r="FE206" s="67">
        <f>IFERROR(IF(($EV206)&gt;0,($EV206-$EP206-$ES206)/($EV206),""),"")</f>
        <v/>
      </c>
      <c r="FF206" s="67">
        <f>IFERROR(IF(($ET206-$EN206-$EQ206)&gt;0,($EK206)/($ET206-$EN206-$EQ206),""),"")</f>
        <v/>
      </c>
      <c r="FG206" s="67">
        <f>IFERROR(IF(($EU206-$EO206-$ER206)&gt;0,($EL206)/($EU206-$EO206-$ER206),""),"")</f>
        <v/>
      </c>
      <c r="FH206" s="67">
        <f>IFERROR(IF(($EV206-$EP206-$ES206)&gt;0,($EM206)/($EV206-$EP206-$ES206),""),"")</f>
        <v/>
      </c>
      <c r="FI206" s="55">
        <f>SUMIFS(tblPlant[Cyanide_kg],tblPlant[Date],$A206)</f>
        <v/>
      </c>
      <c r="FJ206" s="55">
        <f>IF($B206=$B205,$FJ205,0)+$FI206</f>
        <v/>
      </c>
      <c r="FK206" s="55">
        <f>$FK205+$FI206</f>
        <v/>
      </c>
      <c r="FL206" s="55">
        <f>SUMIFS(tblPlant[Lime_kg],tblPlant[Date],$A206)</f>
        <v/>
      </c>
      <c r="FM206" s="55">
        <f>IF($B206=$B205,$FM205,0)+$FL206</f>
        <v/>
      </c>
      <c r="FN206" s="55">
        <f>$FN205+$FL206</f>
        <v/>
      </c>
      <c r="FO206" s="55">
        <f>SUMIFS(tblPlant[Grinding_Media_kg],tblPlant[Date],$A206)</f>
        <v/>
      </c>
      <c r="FP206" s="55">
        <f>IF($B206=$B205,$FP205,0)+$FO206</f>
        <v/>
      </c>
      <c r="FQ206" s="55">
        <f>$FQ205+$FO206</f>
        <v/>
      </c>
      <c r="FR206" s="55">
        <f>SUMIFS(tblPlant[Power_kWh],tblPlant[Date],$A206)</f>
        <v/>
      </c>
      <c r="FS206" s="55">
        <f>IF($B206=$B205,$FS205,0)+$FR206</f>
        <v/>
      </c>
      <c r="FT206" s="55">
        <f>$FT205+$FR206</f>
        <v/>
      </c>
      <c r="FU206" s="55">
        <f>SUMIFS(tblPlant[Raw_Water_m3],tblPlant[Date],$A206)</f>
        <v/>
      </c>
      <c r="FV206" s="55">
        <f>IF($B206=$B205,$FV205,0)+$FU206</f>
        <v/>
      </c>
      <c r="FW206" s="55">
        <f>$FW205+$FU206</f>
        <v/>
      </c>
      <c r="FX206" s="56">
        <f>IFERROR(IF(($CU206)&gt;0,($FI206)/($CU206),""),"")</f>
        <v/>
      </c>
      <c r="FY206" s="56">
        <f>IFERROR(IF(($CV206)&gt;0,($FJ206)/($CV206),""),"")</f>
        <v/>
      </c>
      <c r="FZ206" s="56">
        <f>IFERROR(IF(($CW206)&gt;0,($FK206)/($CW206),""),"")</f>
        <v/>
      </c>
      <c r="GA206" s="56">
        <f>IFERROR(IF(($CU206)&gt;0,($FL206)/($CU206),""),"")</f>
        <v/>
      </c>
      <c r="GB206" s="56">
        <f>IFERROR(IF(($CV206)&gt;0,($FM206)/($CV206),""),"")</f>
        <v/>
      </c>
      <c r="GC206" s="56">
        <f>IFERROR(IF(($CW206)&gt;0,($FN206)/($CW206),""),"")</f>
        <v/>
      </c>
      <c r="GD206" s="56">
        <f>IFERROR(IF(($CU206)&gt;0,($FO206)/($CU206),""),"")</f>
        <v/>
      </c>
      <c r="GE206" s="56">
        <f>IFERROR(IF(($CV206)&gt;0,($FP206)/($CV206),""),"")</f>
        <v/>
      </c>
      <c r="GF206" s="56">
        <f>IFERROR(IF(($CW206)&gt;0,($FQ206)/($CW206),""),"")</f>
        <v/>
      </c>
      <c r="GG206" s="79">
        <f>IFERROR(IF(($CU206)&gt;0,($FR206)/($CU206),""),"")</f>
        <v/>
      </c>
      <c r="GH206" s="79">
        <f>IFERROR(IF(($CV206)&gt;0,($FS206)/($CV206),""),"")</f>
        <v/>
      </c>
      <c r="GI206" s="79">
        <f>IFERROR(IF(($CW206)&gt;0,($FT206)/($CW206),""),"")</f>
        <v/>
      </c>
      <c r="GJ206" s="56">
        <f>IFERROR(IF(($CU206)&gt;0,($FU206)/($CU206),""),"")</f>
        <v/>
      </c>
      <c r="GK206" s="56">
        <f>IFERROR(IF(($CV206)&gt;0,($FV206)/($CV206),""),"")</f>
        <v/>
      </c>
      <c r="GL206" s="56">
        <f>IFERROR(IF(($CW206)&gt;0,($FW206)/($CW206),""),"")</f>
        <v/>
      </c>
      <c r="GM206" s="55">
        <f>IF(SUMIFS(tblPlant[GIC_oz],tblPlant[Date],$A206)&gt;0,SUMIFS(tblPlant[GIC_oz],tblPlant[Date],$A206),"")</f>
        <v/>
      </c>
      <c r="GN206" s="55">
        <f>SUMIFS(tblGold[Gold_oz],tblGold[Date],$A206,tblGold[Type],"Shipment")</f>
        <v/>
      </c>
      <c r="GO206" s="55">
        <f>IF($B206=$B205,$GO205,0)+$GN206</f>
        <v/>
      </c>
      <c r="GP206" s="55">
        <f>$GP205+$GN206</f>
        <v/>
      </c>
      <c r="GQ206" s="55">
        <f>SUMIFS(tblGold[Gold_oz],tblGold[Date],$A206,tblGold[Type],"Sale")</f>
        <v/>
      </c>
      <c r="GR206" s="55">
        <f>IF($B206=$B205,$GR205,0)+$GQ206</f>
        <v/>
      </c>
      <c r="GS206" s="55">
        <f>$GS205+$GQ206</f>
        <v/>
      </c>
      <c r="GT206" s="55">
        <f>SUMIFS(tblGold[Dore_kg],tblGold[Date],$A206,tblGold[Type],"Shipment")</f>
        <v/>
      </c>
      <c r="GU206" s="55">
        <f>IF($B206=$B205,$GU205,0)+$GT206</f>
        <v/>
      </c>
      <c r="GV206" s="55">
        <f>$GV205+$GT206</f>
        <v/>
      </c>
      <c r="GW206" s="57">
        <f>SUMIFS(tblSafety[Hours_Total],tblSafety[Date],$A206)</f>
        <v/>
      </c>
      <c r="GX206" s="57">
        <f>IF($B206=$B205,$GX205,0)+$GW206</f>
        <v/>
      </c>
      <c r="GY206" s="57">
        <f>$GY205+$GW206</f>
        <v/>
      </c>
      <c r="GZ206" s="62">
        <f>SUMIFS(tblSafety[Fatality],tblSafety[Date],$A206)</f>
        <v/>
      </c>
      <c r="HA206" s="62">
        <f>IF($B206=$B205,$HA205,0)+$GZ206</f>
        <v/>
      </c>
      <c r="HB206" s="62">
        <f>$HB205+$GZ206</f>
        <v/>
      </c>
      <c r="HC206" s="62">
        <f>SUMIFS(tblSafety[LTI],tblSafety[Date],$A206)</f>
        <v/>
      </c>
      <c r="HD206" s="62">
        <f>IF($B206=$B205,$HD205,0)+$HC206</f>
        <v/>
      </c>
      <c r="HE206" s="62">
        <f>$HE205+$HC206</f>
        <v/>
      </c>
      <c r="HF206" s="62">
        <f>SUMIFS(tblSafety[RWI],tblSafety[Date],$A206)</f>
        <v/>
      </c>
      <c r="HG206" s="62">
        <f>IF($B206=$B205,$HG205,0)+$HF206</f>
        <v/>
      </c>
      <c r="HH206" s="62">
        <f>$HH205+$HF206</f>
        <v/>
      </c>
      <c r="HI206" s="62">
        <f>SUMIFS(tblSafety[MTI],tblSafety[Date],$A206)</f>
        <v/>
      </c>
      <c r="HJ206" s="62">
        <f>IF($B206=$B205,$HJ205,0)+$HI206</f>
        <v/>
      </c>
      <c r="HK206" s="62">
        <f>$HK205+$HI206</f>
        <v/>
      </c>
      <c r="HL206" s="62">
        <f>SUMIFS(tblSafety[FAI],tblSafety[Date],$A206)</f>
        <v/>
      </c>
      <c r="HM206" s="62">
        <f>IF($B206=$B205,$HM205,0)+$HL206</f>
        <v/>
      </c>
      <c r="HN206" s="62">
        <f>$HN205+$HL206</f>
        <v/>
      </c>
      <c r="HO206" s="62">
        <f>SUMIFS(tblSafety[Recordables],tblSafety[Date],$A206)</f>
        <v/>
      </c>
      <c r="HP206" s="62">
        <f>IF($B206=$B205,$HP205,0)+$HO206</f>
        <v/>
      </c>
      <c r="HQ206" s="62">
        <f>$HQ205+$HO206</f>
        <v/>
      </c>
      <c r="HR206" s="62">
        <f>SUMIFS(tblSafety[Near_Miss],tblSafety[Date],$A206)</f>
        <v/>
      </c>
      <c r="HS206" s="62">
        <f>IF($B206=$B205,$HS205,0)+$HR206</f>
        <v/>
      </c>
      <c r="HT206" s="62">
        <f>$HT205+$HR206</f>
        <v/>
      </c>
      <c r="HU206" s="62">
        <f>SUMIFS(tblSafety[Hazard_Reports],tblSafety[Date],$A206)</f>
        <v/>
      </c>
      <c r="HV206" s="62">
        <f>IF($B206=$B205,$HV205,0)+$HU206</f>
        <v/>
      </c>
      <c r="HW206" s="62">
        <f>$HW205+$HU206</f>
        <v/>
      </c>
      <c r="HX206" s="62">
        <f>SUMIFS(tblSafety[HPI],tblSafety[Date],$A206)</f>
        <v/>
      </c>
      <c r="HY206" s="62">
        <f>IF($B206=$B205,$HY205,0)+$HX206</f>
        <v/>
      </c>
      <c r="HZ206" s="62">
        <f>$HZ205+$HX206</f>
        <v/>
      </c>
      <c r="IA206" s="62">
        <f>SUMIFS(tblSafety[Env_Incidents],tblSafety[Date],$A206)</f>
        <v/>
      </c>
      <c r="IB206" s="62">
        <f>IF($B206=$B205,$IB205,0)+$IA206</f>
        <v/>
      </c>
      <c r="IC206" s="62">
        <f>$IC205+$IA206</f>
        <v/>
      </c>
      <c r="ID206" s="62">
        <f>SUMIFS(tblSafety[Community_Incidents],tblSafety[Date],$A206)</f>
        <v/>
      </c>
      <c r="IE206" s="62">
        <f>IF($B206=$B205,$IE205,0)+$ID206</f>
        <v/>
      </c>
      <c r="IF206" s="62">
        <f>$IF205+$ID206</f>
        <v/>
      </c>
      <c r="IG206" s="62">
        <f>SUMIFS(tblSafety[Vehicle_Incidents],tblSafety[Date],$A206)</f>
        <v/>
      </c>
      <c r="IH206" s="62">
        <f>IF($B206=$B205,$IH205,0)+$IG206</f>
        <v/>
      </c>
      <c r="II206" s="62">
        <f>$II205+$IG206</f>
        <v/>
      </c>
      <c r="IJ206" s="62">
        <f>SUMIFS(tblSafety[Toolbox_Talks],tblSafety[Date],$A206)</f>
        <v/>
      </c>
      <c r="IK206" s="62">
        <f>IF($B206=$B205,$IK205,0)+$IJ206</f>
        <v/>
      </c>
      <c r="IL206" s="62">
        <f>$IL205+$IJ206</f>
        <v/>
      </c>
      <c r="IM206" s="62">
        <f>SUMIFS(tblSafety[Inspections],tblSafety[Date],$A206)</f>
        <v/>
      </c>
      <c r="IN206" s="62">
        <f>IF($B206=$B205,$IN205,0)+$IM206</f>
        <v/>
      </c>
      <c r="IO206" s="62">
        <f>$IO205+$IM206</f>
        <v/>
      </c>
      <c r="IP206" s="56">
        <f>IFERROR((SUMIFS(tblSafety[Recordables],tblSafety[Date],"&gt;="&amp;EDATE($E206,-12),tblSafety[Date],"&lt;="&amp;$A206)+SUMIFS(tblSafetyHistory[Recordables],tblSafetyHistory[Month],"&gt;="&amp;EDATE($E206,-12),tblSafetyHistory[Month],"&lt;"&amp;$E206,tblSafetyHistory[Use],1))/(SUMIFS(tblSafety[Hours_Total],tblSafety[Date],"&gt;="&amp;EDATE($E206,-12),tblSafety[Date],"&lt;="&amp;$A206)+SUMIFS(tblSafetyHistory[Hours_Total],tblSafetyHistory[Month],"&gt;="&amp;EDATE($E206,-12),tblSafetyHistory[Month],"&lt;"&amp;$E206,tblSafetyHistory[Use],1))*cfg_RateBasisHours,"")</f>
        <v/>
      </c>
      <c r="IQ206" s="56">
        <f>IFERROR((SUMIFS(tblSafety[LTI],tblSafety[Date],"&gt;="&amp;EDATE($E206,-12),tblSafety[Date],"&lt;="&amp;$A206)+SUMIFS(tblSafetyHistory[LTI],tblSafetyHistory[Month],"&gt;="&amp;EDATE($E206,-12),tblSafetyHistory[Month],"&lt;"&amp;$E206,tblSafetyHistory[Use],1))/(SUMIFS(tblSafety[Hours_Total],tblSafety[Date],"&gt;="&amp;EDATE($E206,-12),tblSafety[Date],"&lt;="&amp;$A206)+SUMIFS(tblSafetyHistory[Hours_Total],tblSafetyHistory[Month],"&gt;="&amp;EDATE($E206,-12),tblSafetyHistory[Month],"&lt;"&amp;$E206,tblSafetyHistory[Use],1))*cfg_RateBasisHours,"")</f>
        <v/>
      </c>
      <c r="IR206" s="62">
        <f>IF(MAX(N(cfg_PriorLTIDate),_xlfn.MAXIFS(tblSafety[Date],tblSafety[LTI],"&gt;0",tblSafety[Date],"&lt;="&amp;$A206))=0,"",$A206-MAX(N(cfg_PriorLTIDate),_xlfn.MAXIFS(tblSafety[Date],tblSafety[LTI],"&gt;0",tblSafety[Date],"&lt;="&amp;$A206)))</f>
        <v/>
      </c>
      <c r="IS206" s="55">
        <f>SUMIFS(tblBudget[Ore_Mined_t],tblBudget[Month],$E206)</f>
        <v/>
      </c>
      <c r="IT206" s="55">
        <f>$IS206*$C206/$D206</f>
        <v/>
      </c>
      <c r="IU206" s="55">
        <f>SUMIFS(tblBudget[Ore_Mined_t],tblBudget[Month],"&lt;"&amp;$E206)+$IT206</f>
        <v/>
      </c>
      <c r="IV206" s="55">
        <f>SUMIFS(tblBudget[Ore_oz],tblBudget[Month],$E206)</f>
        <v/>
      </c>
      <c r="IW206" s="55">
        <f>$IV206*$C206/$D206</f>
        <v/>
      </c>
      <c r="IX206" s="55">
        <f>SUMIFS(tblBudget[Ore_oz],tblBudget[Month],"&lt;"&amp;$E206)+$IW206</f>
        <v/>
      </c>
      <c r="IY206" s="55">
        <f>SUMIFS(tblBudget[Ore_Mined_t],tblBudget[Month],$E206)</f>
        <v/>
      </c>
      <c r="IZ206" s="55">
        <f>$IY206*$C206/$D206</f>
        <v/>
      </c>
      <c r="JA206" s="55">
        <f>SUMIFS(tblBudget[Ore_Mined_t],tblBudget[Month],"&lt;"&amp;$E206)+$IZ206</f>
        <v/>
      </c>
      <c r="JB206" s="56">
        <f>IFERROR(IF(($IY206)&gt;0,($IV206*cfg_TroyOz)/($IY206),""),"")</f>
        <v/>
      </c>
      <c r="JC206" s="56">
        <f>IFERROR(IF(($IZ206)&gt;0,($IW206*cfg_TroyOz)/($IZ206),""),"")</f>
        <v/>
      </c>
      <c r="JD206" s="56">
        <f>IFERROR(IF(($JA206)&gt;0,($IX206*cfg_TroyOz)/($JA206),""),"")</f>
        <v/>
      </c>
      <c r="JE206" s="55">
        <f>SUMIFS(tblBudget[Waste_t],tblBudget[Month],$E206)</f>
        <v/>
      </c>
      <c r="JF206" s="55">
        <f>$JE206*$C206/$D206</f>
        <v/>
      </c>
      <c r="JG206" s="55">
        <f>SUMIFS(tblBudget[Waste_t],tblBudget[Month],"&lt;"&amp;$E206)+$JF206</f>
        <v/>
      </c>
      <c r="JH206" s="55">
        <f>SUMIFS(tblBudget[TMM_t],tblBudget[Month],$E206)</f>
        <v/>
      </c>
      <c r="JI206" s="55">
        <f>$JH206*$C206/$D206</f>
        <v/>
      </c>
      <c r="JJ206" s="55">
        <f>SUMIFS(tblBudget[TMM_t],tblBudget[Month],"&lt;"&amp;$E206)+$JI206</f>
        <v/>
      </c>
      <c r="JK206" s="56">
        <f>IFERROR(IF(($IS206)&gt;0,($JE206)/($IS206),""),"")</f>
        <v/>
      </c>
      <c r="JL206" s="56">
        <f>IFERROR(IF(($IT206)&gt;0,($JF206)/($IT206),""),"")</f>
        <v/>
      </c>
      <c r="JM206" s="56">
        <f>IFERROR(IF(($IU206)&gt;0,($JG206)/($IU206),""),"")</f>
        <v/>
      </c>
      <c r="JN206" s="55">
        <f>SUMIFS(tblBudget[Drill_m],tblBudget[Month],$E206)</f>
        <v/>
      </c>
      <c r="JO206" s="55">
        <f>$JN206*$C206/$D206</f>
        <v/>
      </c>
      <c r="JP206" s="55">
        <f>SUMIFS(tblBudget[Drill_m],tblBudget[Month],"&lt;"&amp;$E206)+$JO206</f>
        <v/>
      </c>
      <c r="JQ206" s="55">
        <f>SUMIFS(tblBudget[Diesel_L],tblBudget[Month],$E206)</f>
        <v/>
      </c>
      <c r="JR206" s="55">
        <f>$JQ206*$C206/$D206</f>
        <v/>
      </c>
      <c r="JS206" s="55">
        <f>SUMIFS(tblBudget[Diesel_L],tblBudget[Month],"&lt;"&amp;$E206)+$JR206</f>
        <v/>
      </c>
      <c r="JT206" s="55">
        <f>SUMIFS(tblBudget[Milled_t],tblBudget[Month],$E206)</f>
        <v/>
      </c>
      <c r="JU206" s="55">
        <f>$JT206*$C206/$D206</f>
        <v/>
      </c>
      <c r="JV206" s="55">
        <f>SUMIFS(tblBudget[Milled_t],tblBudget[Month],"&lt;"&amp;$E206)+$JU206</f>
        <v/>
      </c>
      <c r="JW206" s="55">
        <f>SUMIFS(tblBudget[Feed_oz],tblBudget[Month],$E206)</f>
        <v/>
      </c>
      <c r="JX206" s="55">
        <f>$JW206*$C206/$D206</f>
        <v/>
      </c>
      <c r="JY206" s="55">
        <f>SUMIFS(tblBudget[Feed_oz],tblBudget[Month],"&lt;"&amp;$E206)+$JX206</f>
        <v/>
      </c>
      <c r="JZ206" s="55">
        <f>SUMIFS(tblBudget[Recovered_oz],tblBudget[Month],$E206)</f>
        <v/>
      </c>
      <c r="KA206" s="55">
        <f>$JZ206*$C206/$D206</f>
        <v/>
      </c>
      <c r="KB206" s="55">
        <f>SUMIFS(tblBudget[Recovered_oz],tblBudget[Month],"&lt;"&amp;$E206)+$KA206</f>
        <v/>
      </c>
      <c r="KC206" s="55">
        <f>SUMIFS(tblBudget[Milled_t],tblBudget[Month],$E206)</f>
        <v/>
      </c>
      <c r="KD206" s="55">
        <f>$KC206*$C206/$D206</f>
        <v/>
      </c>
      <c r="KE206" s="55">
        <f>SUMIFS(tblBudget[Milled_t],tblBudget[Month],"&lt;"&amp;$E206)+$KD206</f>
        <v/>
      </c>
      <c r="KF206" s="55">
        <f>SUMIFS(tblBudget[Feed_oz],tblBudget[Month],$E206)</f>
        <v/>
      </c>
      <c r="KG206" s="55">
        <f>$KF206*$C206/$D206</f>
        <v/>
      </c>
      <c r="KH206" s="55">
        <f>SUMIFS(tblBudget[Feed_oz],tblBudget[Month],"&lt;"&amp;$E206)+$KG206</f>
        <v/>
      </c>
      <c r="KI206" s="56">
        <f>IFERROR(IF(($KC206)&gt;0,($JW206*cfg_TroyOz)/($KC206),""),"")</f>
        <v/>
      </c>
      <c r="KJ206" s="56">
        <f>IFERROR(IF(($KD206)&gt;0,($JX206*cfg_TroyOz)/($KD206),""),"")</f>
        <v/>
      </c>
      <c r="KK206" s="56">
        <f>IFERROR(IF(($KE206)&gt;0,($JY206*cfg_TroyOz)/($KE206),""),"")</f>
        <v/>
      </c>
      <c r="KL206" s="67">
        <f>IFERROR(IF(($KF206)&gt;0,($JZ206)/($KF206),""),"")</f>
        <v/>
      </c>
      <c r="KM206" s="67">
        <f>IFERROR(IF(($KG206)&gt;0,($KA206)/($KG206),""),"")</f>
        <v/>
      </c>
      <c r="KN206" s="67">
        <f>IFERROR(IF(($KH206)&gt;0,($KB206)/($KH206),""),"")</f>
        <v/>
      </c>
      <c r="KO206" s="55">
        <f>SUMIFS(tblBudget[Gold_Poured_oz],tblBudget[Month],$E206)</f>
        <v/>
      </c>
      <c r="KP206" s="55">
        <f>$KO206*$C206/$D206</f>
        <v/>
      </c>
      <c r="KQ206" s="55">
        <f>SUMIFS(tblBudget[Gold_Poured_oz],tblBudget[Month],"&lt;"&amp;$E206)+$KP206</f>
        <v/>
      </c>
      <c r="KR206" s="57">
        <f>SUMIFS(tblBudget[Hours_Worked],tblBudget[Month],$E206)</f>
        <v/>
      </c>
      <c r="KS206" s="57">
        <f>$KR206*$C206/$D206</f>
        <v/>
      </c>
      <c r="KT206" s="57">
        <f>SUMIFS(tblBudget[Hours_Worked],tblBudget[Month],"&lt;"&amp;$E206)+$KS206</f>
        <v/>
      </c>
    </row>
    <row r="207">
      <c r="A207" s="54" t="n">
        <v>46228</v>
      </c>
      <c r="B207">
        <f>MONTH($A207)</f>
        <v/>
      </c>
      <c r="C207">
        <f>DAY($A207)</f>
        <v/>
      </c>
      <c r="D207">
        <f>DAY(EOMONTH($A207,0))</f>
        <v/>
      </c>
      <c r="E207" s="54">
        <f>DATE(YEAR($A207),MONTH($A207),1)</f>
        <v/>
      </c>
      <c r="F207" s="55">
        <f>SUMIFS(tblMovement[Tonnes_t],tblMovement[Date],$A207,tblMovement[Is_Ore],1,tblMovement[Source_Type],"Pit")</f>
        <v/>
      </c>
      <c r="G207" s="55">
        <f>IF($B207=$B206,$G206,0)+$F207</f>
        <v/>
      </c>
      <c r="H207" s="55">
        <f>$H206+$F207</f>
        <v/>
      </c>
      <c r="I207" s="55">
        <f>SUMIFS(tblMovement[Ore_oz],tblMovement[Date],$A207,tblMovement[Source_Type],"Pit")</f>
        <v/>
      </c>
      <c r="J207" s="55">
        <f>IF($B207=$B206,$J206,0)+$I207</f>
        <v/>
      </c>
      <c r="K207" s="55">
        <f>$K206+$I207</f>
        <v/>
      </c>
      <c r="L207" s="55">
        <f>SUMIFS(tblMovement[Tonnes_t],tblMovement[Date],$A207,tblMovement[Is_Ore],1,tblMovement[Source_Type],"Pit",tblMovement[Grade_gpt],"&lt;&gt;")</f>
        <v/>
      </c>
      <c r="M207" s="55">
        <f>IF($B207=$B206,$M206,0)+$L207</f>
        <v/>
      </c>
      <c r="N207" s="55">
        <f>$N206+$L207</f>
        <v/>
      </c>
      <c r="O207" s="56">
        <f>IFERROR(IF(($L207)&gt;0,($I207*cfg_TroyOz)/($L207),""),"")</f>
        <v/>
      </c>
      <c r="P207" s="56">
        <f>IFERROR(IF(($M207)&gt;0,($J207*cfg_TroyOz)/($M207),""),"")</f>
        <v/>
      </c>
      <c r="Q207" s="56">
        <f>IFERROR(IF(($N207)&gt;0,($K207*cfg_TroyOz)/($N207),""),"")</f>
        <v/>
      </c>
      <c r="R207" s="55">
        <f>$F207-$L207</f>
        <v/>
      </c>
      <c r="S207" s="55">
        <f>IF($B207=$B206,$S206,0)+$R207</f>
        <v/>
      </c>
      <c r="T207" s="55">
        <f>$T206+$R207</f>
        <v/>
      </c>
      <c r="U207" s="55">
        <f>SUMIFS(tblMovement[Tonnes_t],tblMovement[Date],$A207,tblMovement[Is_Ore],0,tblMovement[Source_Type],"Pit")</f>
        <v/>
      </c>
      <c r="V207" s="55">
        <f>IF($B207=$B206,$V206,0)+$U207</f>
        <v/>
      </c>
      <c r="W207" s="55">
        <f>$W206+$U207</f>
        <v/>
      </c>
      <c r="X207" s="55">
        <f>$F207+$U207</f>
        <v/>
      </c>
      <c r="Y207" s="55">
        <f>IF($B207=$B206,$Y206,0)+$X207</f>
        <v/>
      </c>
      <c r="Z207" s="55">
        <f>$Z206+$X207</f>
        <v/>
      </c>
      <c r="AA207" s="56">
        <f>IFERROR(IF(($F207)&gt;0,($U207)/($F207),""),"")</f>
        <v/>
      </c>
      <c r="AB207" s="56">
        <f>IFERROR(IF(($G207)&gt;0,($V207)/($G207),""),"")</f>
        <v/>
      </c>
      <c r="AC207" s="56">
        <f>IFERROR(IF(($H207)&gt;0,($W207)/($H207),""),"")</f>
        <v/>
      </c>
      <c r="AD207" s="55">
        <f>SUMIFS(tblMovement[Tonnes_t],tblMovement[Date],$A207,tblMovement[Source_Type],"Stockpile")</f>
        <v/>
      </c>
      <c r="AE207" s="55">
        <f>IF($B207=$B206,$AE206,0)+$AD207</f>
        <v/>
      </c>
      <c r="AF207" s="55">
        <f>$AF206+$AD207</f>
        <v/>
      </c>
      <c r="AG207" s="55">
        <f>SUMIFS(tblMovement[Tonnes_t],tblMovement[Date],$A207)</f>
        <v/>
      </c>
      <c r="AH207" s="55">
        <f>IF($B207=$B206,$AH206,0)+$AG207</f>
        <v/>
      </c>
      <c r="AI207" s="55">
        <f>$AI206+$AG207</f>
        <v/>
      </c>
      <c r="AJ207" s="55">
        <f>$AG207-$X207-$AD207</f>
        <v/>
      </c>
      <c r="AK207" s="55">
        <f>IF($B207=$B206,$AK206,0)+$AJ207</f>
        <v/>
      </c>
      <c r="AL207" s="55">
        <f>$AL206+$AJ207</f>
        <v/>
      </c>
      <c r="AM207" s="55">
        <f>SUMIFS(tblMiningDaily[Drill_m],tblMiningDaily[Date],$A207)</f>
        <v/>
      </c>
      <c r="AN207" s="55">
        <f>IF($B207=$B206,$AN206,0)+$AM207</f>
        <v/>
      </c>
      <c r="AO207" s="55">
        <f>$AO206+$AM207</f>
        <v/>
      </c>
      <c r="AP207" s="55">
        <f>SUMIFS(tblMiningDaily[GC_Drill_m],tblMiningDaily[Date],$A207)</f>
        <v/>
      </c>
      <c r="AQ207" s="55">
        <f>IF($B207=$B206,$AQ206,0)+$AP207</f>
        <v/>
      </c>
      <c r="AR207" s="55">
        <f>$AR206+$AP207</f>
        <v/>
      </c>
      <c r="AS207" s="55">
        <f>SUMIFS(tblMiningDaily[Blast_t],tblMiningDaily[Date],$A207)</f>
        <v/>
      </c>
      <c r="AT207" s="55">
        <f>IF($B207=$B206,$AT206,0)+$AS207</f>
        <v/>
      </c>
      <c r="AU207" s="55">
        <f>$AU206+$AS207</f>
        <v/>
      </c>
      <c r="AV207" s="55">
        <f>SUMIFS(tblMiningDaily[Explosives_kg],tblMiningDaily[Date],$A207)</f>
        <v/>
      </c>
      <c r="AW207" s="55">
        <f>IF($B207=$B206,$AW206,0)+$AV207</f>
        <v/>
      </c>
      <c r="AX207" s="55">
        <f>$AX206+$AV207</f>
        <v/>
      </c>
      <c r="AY207" s="56">
        <f>IFERROR(IF(($AS207)&gt;0,($AV207)/($AS207),""),"")</f>
        <v/>
      </c>
      <c r="AZ207" s="56">
        <f>IFERROR(IF(($AT207)&gt;0,($AW207)/($AT207),""),"")</f>
        <v/>
      </c>
      <c r="BA207" s="56">
        <f>IFERROR(IF(($AU207)&gt;0,($AX207)/($AU207),""),"")</f>
        <v/>
      </c>
      <c r="BB207" s="55">
        <f>SUMIFS(tblMiningDaily[Diesel_L],tblMiningDaily[Date],$A207)</f>
        <v/>
      </c>
      <c r="BC207" s="55">
        <f>IF($B207=$B206,$BC206,0)+$BB207</f>
        <v/>
      </c>
      <c r="BD207" s="55">
        <f>$BD206+$BB207</f>
        <v/>
      </c>
      <c r="BE207" s="55">
        <f>SUMIFS(tblMiningDaily[Dewatering_m3],tblMiningDaily[Date],$A207)</f>
        <v/>
      </c>
      <c r="BF207" s="55">
        <f>IF($B207=$B206,$BF206,0)+$BE207</f>
        <v/>
      </c>
      <c r="BG207" s="55">
        <f>$BG206+$BE207</f>
        <v/>
      </c>
      <c r="BH207" s="57">
        <f>SUMIFS(tblFleet[Calendar_h],tblFleet[Date],$A207,tblFleet[Equipment_Class],"Excavator")</f>
        <v/>
      </c>
      <c r="BI207" s="57">
        <f>IF($B207=$B206,$BI206,0)+$BH207</f>
        <v/>
      </c>
      <c r="BJ207" s="57">
        <f>$BJ206+$BH207</f>
        <v/>
      </c>
      <c r="BK207" s="57">
        <f>SUMIFS(tblFleet[Available_h],tblFleet[Date],$A207,tblFleet[Equipment_Class],"Excavator")</f>
        <v/>
      </c>
      <c r="BL207" s="57">
        <f>IF($B207=$B206,$BL206,0)+$BK207</f>
        <v/>
      </c>
      <c r="BM207" s="57">
        <f>$BM206+$BK207</f>
        <v/>
      </c>
      <c r="BN207" s="57">
        <f>SUMIFS(tblFleet[Operating_h],tblFleet[Date],$A207,tblFleet[Equipment_Class],"Excavator")</f>
        <v/>
      </c>
      <c r="BO207" s="57">
        <f>IF($B207=$B206,$BO206,0)+$BN207</f>
        <v/>
      </c>
      <c r="BP207" s="57">
        <f>$BP206+$BN207</f>
        <v/>
      </c>
      <c r="BQ207" s="67">
        <f>IFERROR(IF(($BH207)&gt;0,($BK207)/($BH207),""),"")</f>
        <v/>
      </c>
      <c r="BR207" s="67">
        <f>IFERROR(IF(($BI207)&gt;0,($BL207)/($BI207),""),"")</f>
        <v/>
      </c>
      <c r="BS207" s="67">
        <f>IFERROR(IF(($BJ207)&gt;0,($BM207)/($BJ207),""),"")</f>
        <v/>
      </c>
      <c r="BT207" s="67">
        <f>IFERROR(IF(($BK207)&gt;0,($BN207)/($BK207),""),"")</f>
        <v/>
      </c>
      <c r="BU207" s="67">
        <f>IFERROR(IF(($BL207)&gt;0,($BO207)/($BL207),""),"")</f>
        <v/>
      </c>
      <c r="BV207" s="67">
        <f>IFERROR(IF(($BM207)&gt;0,($BP207)/($BM207),""),"")</f>
        <v/>
      </c>
      <c r="BW207" s="57">
        <f>SUMIFS(tblFleet[Calendar_h],tblFleet[Date],$A207,tblFleet[Equipment_Class],"Haul Truck")</f>
        <v/>
      </c>
      <c r="BX207" s="57">
        <f>IF($B207=$B206,$BX206,0)+$BW207</f>
        <v/>
      </c>
      <c r="BY207" s="57">
        <f>$BY206+$BW207</f>
        <v/>
      </c>
      <c r="BZ207" s="57">
        <f>SUMIFS(tblFleet[Available_h],tblFleet[Date],$A207,tblFleet[Equipment_Class],"Haul Truck")</f>
        <v/>
      </c>
      <c r="CA207" s="57">
        <f>IF($B207=$B206,$CA206,0)+$BZ207</f>
        <v/>
      </c>
      <c r="CB207" s="57">
        <f>$CB206+$BZ207</f>
        <v/>
      </c>
      <c r="CC207" s="57">
        <f>SUMIFS(tblFleet[Operating_h],tblFleet[Date],$A207,tblFleet[Equipment_Class],"Haul Truck")</f>
        <v/>
      </c>
      <c r="CD207" s="57">
        <f>IF($B207=$B206,$CD206,0)+$CC207</f>
        <v/>
      </c>
      <c r="CE207" s="57">
        <f>$CE206+$CC207</f>
        <v/>
      </c>
      <c r="CF207" s="67">
        <f>IFERROR(IF(($BW207)&gt;0,($BZ207)/($BW207),""),"")</f>
        <v/>
      </c>
      <c r="CG207" s="67">
        <f>IFERROR(IF(($BX207)&gt;0,($CA207)/($BX207),""),"")</f>
        <v/>
      </c>
      <c r="CH207" s="67">
        <f>IFERROR(IF(($BY207)&gt;0,($CB207)/($BY207),""),"")</f>
        <v/>
      </c>
      <c r="CI207" s="67">
        <f>IFERROR(IF(($BZ207)&gt;0,($CC207)/($BZ207),""),"")</f>
        <v/>
      </c>
      <c r="CJ207" s="67">
        <f>IFERROR(IF(($CA207)&gt;0,($CD207)/($CA207),""),"")</f>
        <v/>
      </c>
      <c r="CK207" s="67">
        <f>IFERROR(IF(($CB207)&gt;0,($CE207)/($CB207),""),"")</f>
        <v/>
      </c>
      <c r="CL207" s="55">
        <f>IFERROR(IF(($BN207)&gt;0,($X207+$AD207)/($BN207),""),"")</f>
        <v/>
      </c>
      <c r="CM207" s="55">
        <f>IFERROR(IF(($BO207)&gt;0,($Y207+$AE207)/($BO207),""),"")</f>
        <v/>
      </c>
      <c r="CN207" s="55">
        <f>IFERROR(IF(($BP207)&gt;0,($Z207+$AF207)/($BP207),""),"")</f>
        <v/>
      </c>
      <c r="CO207" s="55">
        <f>IFERROR(IF(($CC207)&gt;0,($X207+$AD207)/($CC207),""),"")</f>
        <v/>
      </c>
      <c r="CP207" s="55">
        <f>IFERROR(IF(($CD207)&gt;0,($Y207+$AE207)/($CD207),""),"")</f>
        <v/>
      </c>
      <c r="CQ207" s="55">
        <f>IFERROR(IF(($CE207)&gt;0,($Z207+$AF207)/($CE207),""),"")</f>
        <v/>
      </c>
      <c r="CR207" s="55">
        <f>SUMIFS(tblPlant[Crushed_t],tblPlant[Date],$A207)</f>
        <v/>
      </c>
      <c r="CS207" s="55">
        <f>IF($B207=$B206,$CS206,0)+$CR207</f>
        <v/>
      </c>
      <c r="CT207" s="55">
        <f>$CT206+$CR207</f>
        <v/>
      </c>
      <c r="CU207" s="55">
        <f>SUMIFS(tblPlant[Milled_t],tblPlant[Date],$A207)</f>
        <v/>
      </c>
      <c r="CV207" s="55">
        <f>IF($B207=$B206,$CV206,0)+$CU207</f>
        <v/>
      </c>
      <c r="CW207" s="55">
        <f>$CW206+$CU207</f>
        <v/>
      </c>
      <c r="CX207" s="55">
        <f>SUMIFS(tblPlant[Feed_oz],tblPlant[Date],$A207)</f>
        <v/>
      </c>
      <c r="CY207" s="55">
        <f>IF($B207=$B206,$CY206,0)+$CX207</f>
        <v/>
      </c>
      <c r="CZ207" s="55">
        <f>$CZ206+$CX207</f>
        <v/>
      </c>
      <c r="DA207" s="55">
        <f>SUMIFS(tblPlant[Tails_oz],tblPlant[Date],$A207)</f>
        <v/>
      </c>
      <c r="DB207" s="55">
        <f>IF($B207=$B206,$DB206,0)+$DA207</f>
        <v/>
      </c>
      <c r="DC207" s="55">
        <f>$DC206+$DA207</f>
        <v/>
      </c>
      <c r="DD207" s="55">
        <f>SUMIFS(tblPlant[Recovered_oz],tblPlant[Date],$A207)</f>
        <v/>
      </c>
      <c r="DE207" s="55">
        <f>IF($B207=$B206,$DE206,0)+$DD207</f>
        <v/>
      </c>
      <c r="DF207" s="55">
        <f>$DF206+$DD207</f>
        <v/>
      </c>
      <c r="DG207" s="55">
        <f>SUMIFS(tblPlant[Milled_t],tblPlant[Date],$A207,tblPlant[Head_Grade_gpt],"&lt;&gt;")</f>
        <v/>
      </c>
      <c r="DH207" s="55">
        <f>IF($B207=$B206,$DH206,0)+$DG207</f>
        <v/>
      </c>
      <c r="DI207" s="55">
        <f>$DI206+$DG207</f>
        <v/>
      </c>
      <c r="DJ207" s="55">
        <f>SUMIFS(tblPlant[Milled_t],tblPlant[Date],$A207,tblPlant[Tails_Grade_gpt],"&lt;&gt;")</f>
        <v/>
      </c>
      <c r="DK207" s="55">
        <f>IF($B207=$B206,$DK206,0)+$DJ207</f>
        <v/>
      </c>
      <c r="DL207" s="55">
        <f>$DL206+$DJ207</f>
        <v/>
      </c>
      <c r="DM207" s="55">
        <f>SUMIFS(tblPlant[Feed_oz],tblPlant[Date],$A207,tblPlant[Tails_Grade_gpt],"&lt;&gt;")</f>
        <v/>
      </c>
      <c r="DN207" s="55">
        <f>IF($B207=$B206,$DN206,0)+$DM207</f>
        <v/>
      </c>
      <c r="DO207" s="55">
        <f>$DO206+$DM207</f>
        <v/>
      </c>
      <c r="DP207" s="55">
        <f>SUMIFS(tblPlant[Milled_t],tblPlant[Date],$A207,tblPlant[Mill_Run_h],"&lt;&gt;")</f>
        <v/>
      </c>
      <c r="DQ207" s="55">
        <f>IF($B207=$B206,$DQ206,0)+$DP207</f>
        <v/>
      </c>
      <c r="DR207" s="55">
        <f>$DR206+$DP207</f>
        <v/>
      </c>
      <c r="DS207" s="56">
        <f>IFERROR(IF(($DG207)&gt;0,($CX207*cfg_TroyOz)/($DG207),""),"")</f>
        <v/>
      </c>
      <c r="DT207" s="56">
        <f>IFERROR(IF(($DH207)&gt;0,($CY207*cfg_TroyOz)/($DH207),""),"")</f>
        <v/>
      </c>
      <c r="DU207" s="56">
        <f>IFERROR(IF(($DI207)&gt;0,($CZ207*cfg_TroyOz)/($DI207),""),"")</f>
        <v/>
      </c>
      <c r="DV207" s="56">
        <f>IFERROR(IF(($DJ207)&gt;0,($DA207*cfg_TroyOz)/($DJ207),""),"")</f>
        <v/>
      </c>
      <c r="DW207" s="56">
        <f>IFERROR(IF(($DK207)&gt;0,($DB207*cfg_TroyOz)/($DK207),""),"")</f>
        <v/>
      </c>
      <c r="DX207" s="56">
        <f>IFERROR(IF(($DL207)&gt;0,($DC207*cfg_TroyOz)/($DL207),""),"")</f>
        <v/>
      </c>
      <c r="DY207" s="67">
        <f>IFERROR(IF(($DM207)&gt;0,($DD207)/($DM207),""),"")</f>
        <v/>
      </c>
      <c r="DZ207" s="67">
        <f>IFERROR(IF(($DN207)&gt;0,($DE207)/($DN207),""),"")</f>
        <v/>
      </c>
      <c r="EA207" s="67">
        <f>IFERROR(IF(($DO207)&gt;0,($DF207)/($DO207),""),"")</f>
        <v/>
      </c>
      <c r="EB207" s="55">
        <f>SUMIFS(tblPlant[Gravity_Gold_oz],tblPlant[Date],$A207)</f>
        <v/>
      </c>
      <c r="EC207" s="55">
        <f>IF($B207=$B206,$EC206,0)+$EB207</f>
        <v/>
      </c>
      <c r="ED207" s="55">
        <f>$ED206+$EB207</f>
        <v/>
      </c>
      <c r="EE207" s="67">
        <f>IFERROR(IF(($DD207)&gt;0,($EB207)/($DD207),""),"")</f>
        <v/>
      </c>
      <c r="EF207" s="67">
        <f>IFERROR(IF(($DE207)&gt;0,($EC207)/($DE207),""),"")</f>
        <v/>
      </c>
      <c r="EG207" s="67">
        <f>IFERROR(IF(($DF207)&gt;0,($ED207)/($DF207),""),"")</f>
        <v/>
      </c>
      <c r="EH207" s="55">
        <f>SUMIFS(tblPlant[Gold_Poured_oz],tblPlant[Date],$A207)</f>
        <v/>
      </c>
      <c r="EI207" s="55">
        <f>IF($B207=$B206,$EI206,0)+$EH207</f>
        <v/>
      </c>
      <c r="EJ207" s="55">
        <f>$EJ206+$EH207</f>
        <v/>
      </c>
      <c r="EK207" s="57">
        <f>SUMIFS(tblPlant[Mill_Run_h],tblPlant[Date],$A207)</f>
        <v/>
      </c>
      <c r="EL207" s="57">
        <f>IF($B207=$B206,$EL206,0)+$EK207</f>
        <v/>
      </c>
      <c r="EM207" s="57">
        <f>$EM206+$EK207</f>
        <v/>
      </c>
      <c r="EN207" s="57">
        <f>SUMIFS(tblPlant[Mill_Planned_Maint_h],tblPlant[Date],$A207)</f>
        <v/>
      </c>
      <c r="EO207" s="57">
        <f>IF($B207=$B206,$EO206,0)+$EN207</f>
        <v/>
      </c>
      <c r="EP207" s="57">
        <f>$EP206+$EN207</f>
        <v/>
      </c>
      <c r="EQ207" s="57">
        <f>SUMIFS(tblPlant[Mill_Unplanned_Down_h],tblPlant[Date],$A207)</f>
        <v/>
      </c>
      <c r="ER207" s="57">
        <f>IF($B207=$B206,$ER206,0)+$EQ207</f>
        <v/>
      </c>
      <c r="ES207" s="57">
        <f>$ES206+$EQ207</f>
        <v/>
      </c>
      <c r="ET207" s="57">
        <f>IF(COUNTIFS(tblPlant[Date],$A207,tblPlant[Mill_Run_h],"&lt;&gt;")+COUNTIFS(tblPlant[Date],$A207,tblPlant[Mill_Planned_Maint_h],"&lt;&gt;")+COUNTIFS(tblPlant[Date],$A207,tblPlant[Mill_Unplanned_Down_h],"&lt;&gt;")&gt;0,cfg_HoursPerDay,0)</f>
        <v/>
      </c>
      <c r="EU207" s="57">
        <f>IF($B207=$B206,$EU206,0)+$ET207</f>
        <v/>
      </c>
      <c r="EV207" s="57">
        <f>$EV206+$ET207</f>
        <v/>
      </c>
      <c r="EW207" s="57">
        <f>SUMIFS(tblPlant[Crusher_Run_h],tblPlant[Date],$A207)</f>
        <v/>
      </c>
      <c r="EX207" s="57">
        <f>IF($B207=$B206,$EX206,0)+$EW207</f>
        <v/>
      </c>
      <c r="EY207" s="57">
        <f>$EY206+$EW207</f>
        <v/>
      </c>
      <c r="EZ207" s="55">
        <f>IFERROR(IF(($EK207)&gt;0,($DP207)/($EK207),""),"")</f>
        <v/>
      </c>
      <c r="FA207" s="55">
        <f>IFERROR(IF(($EL207)&gt;0,($DQ207)/($EL207),""),"")</f>
        <v/>
      </c>
      <c r="FB207" s="55">
        <f>IFERROR(IF(($EM207)&gt;0,($DR207)/($EM207),""),"")</f>
        <v/>
      </c>
      <c r="FC207" s="67">
        <f>IFERROR(IF(($ET207)&gt;0,($ET207-$EN207-$EQ207)/($ET207),""),"")</f>
        <v/>
      </c>
      <c r="FD207" s="67">
        <f>IFERROR(IF(($EU207)&gt;0,($EU207-$EO207-$ER207)/($EU207),""),"")</f>
        <v/>
      </c>
      <c r="FE207" s="67">
        <f>IFERROR(IF(($EV207)&gt;0,($EV207-$EP207-$ES207)/($EV207),""),"")</f>
        <v/>
      </c>
      <c r="FF207" s="67">
        <f>IFERROR(IF(($ET207-$EN207-$EQ207)&gt;0,($EK207)/($ET207-$EN207-$EQ207),""),"")</f>
        <v/>
      </c>
      <c r="FG207" s="67">
        <f>IFERROR(IF(($EU207-$EO207-$ER207)&gt;0,($EL207)/($EU207-$EO207-$ER207),""),"")</f>
        <v/>
      </c>
      <c r="FH207" s="67">
        <f>IFERROR(IF(($EV207-$EP207-$ES207)&gt;0,($EM207)/($EV207-$EP207-$ES207),""),"")</f>
        <v/>
      </c>
      <c r="FI207" s="55">
        <f>SUMIFS(tblPlant[Cyanide_kg],tblPlant[Date],$A207)</f>
        <v/>
      </c>
      <c r="FJ207" s="55">
        <f>IF($B207=$B206,$FJ206,0)+$FI207</f>
        <v/>
      </c>
      <c r="FK207" s="55">
        <f>$FK206+$FI207</f>
        <v/>
      </c>
      <c r="FL207" s="55">
        <f>SUMIFS(tblPlant[Lime_kg],tblPlant[Date],$A207)</f>
        <v/>
      </c>
      <c r="FM207" s="55">
        <f>IF($B207=$B206,$FM206,0)+$FL207</f>
        <v/>
      </c>
      <c r="FN207" s="55">
        <f>$FN206+$FL207</f>
        <v/>
      </c>
      <c r="FO207" s="55">
        <f>SUMIFS(tblPlant[Grinding_Media_kg],tblPlant[Date],$A207)</f>
        <v/>
      </c>
      <c r="FP207" s="55">
        <f>IF($B207=$B206,$FP206,0)+$FO207</f>
        <v/>
      </c>
      <c r="FQ207" s="55">
        <f>$FQ206+$FO207</f>
        <v/>
      </c>
      <c r="FR207" s="55">
        <f>SUMIFS(tblPlant[Power_kWh],tblPlant[Date],$A207)</f>
        <v/>
      </c>
      <c r="FS207" s="55">
        <f>IF($B207=$B206,$FS206,0)+$FR207</f>
        <v/>
      </c>
      <c r="FT207" s="55">
        <f>$FT206+$FR207</f>
        <v/>
      </c>
      <c r="FU207" s="55">
        <f>SUMIFS(tblPlant[Raw_Water_m3],tblPlant[Date],$A207)</f>
        <v/>
      </c>
      <c r="FV207" s="55">
        <f>IF($B207=$B206,$FV206,0)+$FU207</f>
        <v/>
      </c>
      <c r="FW207" s="55">
        <f>$FW206+$FU207</f>
        <v/>
      </c>
      <c r="FX207" s="56">
        <f>IFERROR(IF(($CU207)&gt;0,($FI207)/($CU207),""),"")</f>
        <v/>
      </c>
      <c r="FY207" s="56">
        <f>IFERROR(IF(($CV207)&gt;0,($FJ207)/($CV207),""),"")</f>
        <v/>
      </c>
      <c r="FZ207" s="56">
        <f>IFERROR(IF(($CW207)&gt;0,($FK207)/($CW207),""),"")</f>
        <v/>
      </c>
      <c r="GA207" s="56">
        <f>IFERROR(IF(($CU207)&gt;0,($FL207)/($CU207),""),"")</f>
        <v/>
      </c>
      <c r="GB207" s="56">
        <f>IFERROR(IF(($CV207)&gt;0,($FM207)/($CV207),""),"")</f>
        <v/>
      </c>
      <c r="GC207" s="56">
        <f>IFERROR(IF(($CW207)&gt;0,($FN207)/($CW207),""),"")</f>
        <v/>
      </c>
      <c r="GD207" s="56">
        <f>IFERROR(IF(($CU207)&gt;0,($FO207)/($CU207),""),"")</f>
        <v/>
      </c>
      <c r="GE207" s="56">
        <f>IFERROR(IF(($CV207)&gt;0,($FP207)/($CV207),""),"")</f>
        <v/>
      </c>
      <c r="GF207" s="56">
        <f>IFERROR(IF(($CW207)&gt;0,($FQ207)/($CW207),""),"")</f>
        <v/>
      </c>
      <c r="GG207" s="79">
        <f>IFERROR(IF(($CU207)&gt;0,($FR207)/($CU207),""),"")</f>
        <v/>
      </c>
      <c r="GH207" s="79">
        <f>IFERROR(IF(($CV207)&gt;0,($FS207)/($CV207),""),"")</f>
        <v/>
      </c>
      <c r="GI207" s="79">
        <f>IFERROR(IF(($CW207)&gt;0,($FT207)/($CW207),""),"")</f>
        <v/>
      </c>
      <c r="GJ207" s="56">
        <f>IFERROR(IF(($CU207)&gt;0,($FU207)/($CU207),""),"")</f>
        <v/>
      </c>
      <c r="GK207" s="56">
        <f>IFERROR(IF(($CV207)&gt;0,($FV207)/($CV207),""),"")</f>
        <v/>
      </c>
      <c r="GL207" s="56">
        <f>IFERROR(IF(($CW207)&gt;0,($FW207)/($CW207),""),"")</f>
        <v/>
      </c>
      <c r="GM207" s="55">
        <f>IF(SUMIFS(tblPlant[GIC_oz],tblPlant[Date],$A207)&gt;0,SUMIFS(tblPlant[GIC_oz],tblPlant[Date],$A207),"")</f>
        <v/>
      </c>
      <c r="GN207" s="55">
        <f>SUMIFS(tblGold[Gold_oz],tblGold[Date],$A207,tblGold[Type],"Shipment")</f>
        <v/>
      </c>
      <c r="GO207" s="55">
        <f>IF($B207=$B206,$GO206,0)+$GN207</f>
        <v/>
      </c>
      <c r="GP207" s="55">
        <f>$GP206+$GN207</f>
        <v/>
      </c>
      <c r="GQ207" s="55">
        <f>SUMIFS(tblGold[Gold_oz],tblGold[Date],$A207,tblGold[Type],"Sale")</f>
        <v/>
      </c>
      <c r="GR207" s="55">
        <f>IF($B207=$B206,$GR206,0)+$GQ207</f>
        <v/>
      </c>
      <c r="GS207" s="55">
        <f>$GS206+$GQ207</f>
        <v/>
      </c>
      <c r="GT207" s="55">
        <f>SUMIFS(tblGold[Dore_kg],tblGold[Date],$A207,tblGold[Type],"Shipment")</f>
        <v/>
      </c>
      <c r="GU207" s="55">
        <f>IF($B207=$B206,$GU206,0)+$GT207</f>
        <v/>
      </c>
      <c r="GV207" s="55">
        <f>$GV206+$GT207</f>
        <v/>
      </c>
      <c r="GW207" s="57">
        <f>SUMIFS(tblSafety[Hours_Total],tblSafety[Date],$A207)</f>
        <v/>
      </c>
      <c r="GX207" s="57">
        <f>IF($B207=$B206,$GX206,0)+$GW207</f>
        <v/>
      </c>
      <c r="GY207" s="57">
        <f>$GY206+$GW207</f>
        <v/>
      </c>
      <c r="GZ207" s="62">
        <f>SUMIFS(tblSafety[Fatality],tblSafety[Date],$A207)</f>
        <v/>
      </c>
      <c r="HA207" s="62">
        <f>IF($B207=$B206,$HA206,0)+$GZ207</f>
        <v/>
      </c>
      <c r="HB207" s="62">
        <f>$HB206+$GZ207</f>
        <v/>
      </c>
      <c r="HC207" s="62">
        <f>SUMIFS(tblSafety[LTI],tblSafety[Date],$A207)</f>
        <v/>
      </c>
      <c r="HD207" s="62">
        <f>IF($B207=$B206,$HD206,0)+$HC207</f>
        <v/>
      </c>
      <c r="HE207" s="62">
        <f>$HE206+$HC207</f>
        <v/>
      </c>
      <c r="HF207" s="62">
        <f>SUMIFS(tblSafety[RWI],tblSafety[Date],$A207)</f>
        <v/>
      </c>
      <c r="HG207" s="62">
        <f>IF($B207=$B206,$HG206,0)+$HF207</f>
        <v/>
      </c>
      <c r="HH207" s="62">
        <f>$HH206+$HF207</f>
        <v/>
      </c>
      <c r="HI207" s="62">
        <f>SUMIFS(tblSafety[MTI],tblSafety[Date],$A207)</f>
        <v/>
      </c>
      <c r="HJ207" s="62">
        <f>IF($B207=$B206,$HJ206,0)+$HI207</f>
        <v/>
      </c>
      <c r="HK207" s="62">
        <f>$HK206+$HI207</f>
        <v/>
      </c>
      <c r="HL207" s="62">
        <f>SUMIFS(tblSafety[FAI],tblSafety[Date],$A207)</f>
        <v/>
      </c>
      <c r="HM207" s="62">
        <f>IF($B207=$B206,$HM206,0)+$HL207</f>
        <v/>
      </c>
      <c r="HN207" s="62">
        <f>$HN206+$HL207</f>
        <v/>
      </c>
      <c r="HO207" s="62">
        <f>SUMIFS(tblSafety[Recordables],tblSafety[Date],$A207)</f>
        <v/>
      </c>
      <c r="HP207" s="62">
        <f>IF($B207=$B206,$HP206,0)+$HO207</f>
        <v/>
      </c>
      <c r="HQ207" s="62">
        <f>$HQ206+$HO207</f>
        <v/>
      </c>
      <c r="HR207" s="62">
        <f>SUMIFS(tblSafety[Near_Miss],tblSafety[Date],$A207)</f>
        <v/>
      </c>
      <c r="HS207" s="62">
        <f>IF($B207=$B206,$HS206,0)+$HR207</f>
        <v/>
      </c>
      <c r="HT207" s="62">
        <f>$HT206+$HR207</f>
        <v/>
      </c>
      <c r="HU207" s="62">
        <f>SUMIFS(tblSafety[Hazard_Reports],tblSafety[Date],$A207)</f>
        <v/>
      </c>
      <c r="HV207" s="62">
        <f>IF($B207=$B206,$HV206,0)+$HU207</f>
        <v/>
      </c>
      <c r="HW207" s="62">
        <f>$HW206+$HU207</f>
        <v/>
      </c>
      <c r="HX207" s="62">
        <f>SUMIFS(tblSafety[HPI],tblSafety[Date],$A207)</f>
        <v/>
      </c>
      <c r="HY207" s="62">
        <f>IF($B207=$B206,$HY206,0)+$HX207</f>
        <v/>
      </c>
      <c r="HZ207" s="62">
        <f>$HZ206+$HX207</f>
        <v/>
      </c>
      <c r="IA207" s="62">
        <f>SUMIFS(tblSafety[Env_Incidents],tblSafety[Date],$A207)</f>
        <v/>
      </c>
      <c r="IB207" s="62">
        <f>IF($B207=$B206,$IB206,0)+$IA207</f>
        <v/>
      </c>
      <c r="IC207" s="62">
        <f>$IC206+$IA207</f>
        <v/>
      </c>
      <c r="ID207" s="62">
        <f>SUMIFS(tblSafety[Community_Incidents],tblSafety[Date],$A207)</f>
        <v/>
      </c>
      <c r="IE207" s="62">
        <f>IF($B207=$B206,$IE206,0)+$ID207</f>
        <v/>
      </c>
      <c r="IF207" s="62">
        <f>$IF206+$ID207</f>
        <v/>
      </c>
      <c r="IG207" s="62">
        <f>SUMIFS(tblSafety[Vehicle_Incidents],tblSafety[Date],$A207)</f>
        <v/>
      </c>
      <c r="IH207" s="62">
        <f>IF($B207=$B206,$IH206,0)+$IG207</f>
        <v/>
      </c>
      <c r="II207" s="62">
        <f>$II206+$IG207</f>
        <v/>
      </c>
      <c r="IJ207" s="62">
        <f>SUMIFS(tblSafety[Toolbox_Talks],tblSafety[Date],$A207)</f>
        <v/>
      </c>
      <c r="IK207" s="62">
        <f>IF($B207=$B206,$IK206,0)+$IJ207</f>
        <v/>
      </c>
      <c r="IL207" s="62">
        <f>$IL206+$IJ207</f>
        <v/>
      </c>
      <c r="IM207" s="62">
        <f>SUMIFS(tblSafety[Inspections],tblSafety[Date],$A207)</f>
        <v/>
      </c>
      <c r="IN207" s="62">
        <f>IF($B207=$B206,$IN206,0)+$IM207</f>
        <v/>
      </c>
      <c r="IO207" s="62">
        <f>$IO206+$IM207</f>
        <v/>
      </c>
      <c r="IP207" s="56">
        <f>IFERROR((SUMIFS(tblSafety[Recordables],tblSafety[Date],"&gt;="&amp;EDATE($E207,-12),tblSafety[Date],"&lt;="&amp;$A207)+SUMIFS(tblSafetyHistory[Recordables],tblSafetyHistory[Month],"&gt;="&amp;EDATE($E207,-12),tblSafetyHistory[Month],"&lt;"&amp;$E207,tblSafetyHistory[Use],1))/(SUMIFS(tblSafety[Hours_Total],tblSafety[Date],"&gt;="&amp;EDATE($E207,-12),tblSafety[Date],"&lt;="&amp;$A207)+SUMIFS(tblSafetyHistory[Hours_Total],tblSafetyHistory[Month],"&gt;="&amp;EDATE($E207,-12),tblSafetyHistory[Month],"&lt;"&amp;$E207,tblSafetyHistory[Use],1))*cfg_RateBasisHours,"")</f>
        <v/>
      </c>
      <c r="IQ207" s="56">
        <f>IFERROR((SUMIFS(tblSafety[LTI],tblSafety[Date],"&gt;="&amp;EDATE($E207,-12),tblSafety[Date],"&lt;="&amp;$A207)+SUMIFS(tblSafetyHistory[LTI],tblSafetyHistory[Month],"&gt;="&amp;EDATE($E207,-12),tblSafetyHistory[Month],"&lt;"&amp;$E207,tblSafetyHistory[Use],1))/(SUMIFS(tblSafety[Hours_Total],tblSafety[Date],"&gt;="&amp;EDATE($E207,-12),tblSafety[Date],"&lt;="&amp;$A207)+SUMIFS(tblSafetyHistory[Hours_Total],tblSafetyHistory[Month],"&gt;="&amp;EDATE($E207,-12),tblSafetyHistory[Month],"&lt;"&amp;$E207,tblSafetyHistory[Use],1))*cfg_RateBasisHours,"")</f>
        <v/>
      </c>
      <c r="IR207" s="62">
        <f>IF(MAX(N(cfg_PriorLTIDate),_xlfn.MAXIFS(tblSafety[Date],tblSafety[LTI],"&gt;0",tblSafety[Date],"&lt;="&amp;$A207))=0,"",$A207-MAX(N(cfg_PriorLTIDate),_xlfn.MAXIFS(tblSafety[Date],tblSafety[LTI],"&gt;0",tblSafety[Date],"&lt;="&amp;$A207)))</f>
        <v/>
      </c>
      <c r="IS207" s="55">
        <f>SUMIFS(tblBudget[Ore_Mined_t],tblBudget[Month],$E207)</f>
        <v/>
      </c>
      <c r="IT207" s="55">
        <f>$IS207*$C207/$D207</f>
        <v/>
      </c>
      <c r="IU207" s="55">
        <f>SUMIFS(tblBudget[Ore_Mined_t],tblBudget[Month],"&lt;"&amp;$E207)+$IT207</f>
        <v/>
      </c>
      <c r="IV207" s="55">
        <f>SUMIFS(tblBudget[Ore_oz],tblBudget[Month],$E207)</f>
        <v/>
      </c>
      <c r="IW207" s="55">
        <f>$IV207*$C207/$D207</f>
        <v/>
      </c>
      <c r="IX207" s="55">
        <f>SUMIFS(tblBudget[Ore_oz],tblBudget[Month],"&lt;"&amp;$E207)+$IW207</f>
        <v/>
      </c>
      <c r="IY207" s="55">
        <f>SUMIFS(tblBudget[Ore_Mined_t],tblBudget[Month],$E207)</f>
        <v/>
      </c>
      <c r="IZ207" s="55">
        <f>$IY207*$C207/$D207</f>
        <v/>
      </c>
      <c r="JA207" s="55">
        <f>SUMIFS(tblBudget[Ore_Mined_t],tblBudget[Month],"&lt;"&amp;$E207)+$IZ207</f>
        <v/>
      </c>
      <c r="JB207" s="56">
        <f>IFERROR(IF(($IY207)&gt;0,($IV207*cfg_TroyOz)/($IY207),""),"")</f>
        <v/>
      </c>
      <c r="JC207" s="56">
        <f>IFERROR(IF(($IZ207)&gt;0,($IW207*cfg_TroyOz)/($IZ207),""),"")</f>
        <v/>
      </c>
      <c r="JD207" s="56">
        <f>IFERROR(IF(($JA207)&gt;0,($IX207*cfg_TroyOz)/($JA207),""),"")</f>
        <v/>
      </c>
      <c r="JE207" s="55">
        <f>SUMIFS(tblBudget[Waste_t],tblBudget[Month],$E207)</f>
        <v/>
      </c>
      <c r="JF207" s="55">
        <f>$JE207*$C207/$D207</f>
        <v/>
      </c>
      <c r="JG207" s="55">
        <f>SUMIFS(tblBudget[Waste_t],tblBudget[Month],"&lt;"&amp;$E207)+$JF207</f>
        <v/>
      </c>
      <c r="JH207" s="55">
        <f>SUMIFS(tblBudget[TMM_t],tblBudget[Month],$E207)</f>
        <v/>
      </c>
      <c r="JI207" s="55">
        <f>$JH207*$C207/$D207</f>
        <v/>
      </c>
      <c r="JJ207" s="55">
        <f>SUMIFS(tblBudget[TMM_t],tblBudget[Month],"&lt;"&amp;$E207)+$JI207</f>
        <v/>
      </c>
      <c r="JK207" s="56">
        <f>IFERROR(IF(($IS207)&gt;0,($JE207)/($IS207),""),"")</f>
        <v/>
      </c>
      <c r="JL207" s="56">
        <f>IFERROR(IF(($IT207)&gt;0,($JF207)/($IT207),""),"")</f>
        <v/>
      </c>
      <c r="JM207" s="56">
        <f>IFERROR(IF(($IU207)&gt;0,($JG207)/($IU207),""),"")</f>
        <v/>
      </c>
      <c r="JN207" s="55">
        <f>SUMIFS(tblBudget[Drill_m],tblBudget[Month],$E207)</f>
        <v/>
      </c>
      <c r="JO207" s="55">
        <f>$JN207*$C207/$D207</f>
        <v/>
      </c>
      <c r="JP207" s="55">
        <f>SUMIFS(tblBudget[Drill_m],tblBudget[Month],"&lt;"&amp;$E207)+$JO207</f>
        <v/>
      </c>
      <c r="JQ207" s="55">
        <f>SUMIFS(tblBudget[Diesel_L],tblBudget[Month],$E207)</f>
        <v/>
      </c>
      <c r="JR207" s="55">
        <f>$JQ207*$C207/$D207</f>
        <v/>
      </c>
      <c r="JS207" s="55">
        <f>SUMIFS(tblBudget[Diesel_L],tblBudget[Month],"&lt;"&amp;$E207)+$JR207</f>
        <v/>
      </c>
      <c r="JT207" s="55">
        <f>SUMIFS(tblBudget[Milled_t],tblBudget[Month],$E207)</f>
        <v/>
      </c>
      <c r="JU207" s="55">
        <f>$JT207*$C207/$D207</f>
        <v/>
      </c>
      <c r="JV207" s="55">
        <f>SUMIFS(tblBudget[Milled_t],tblBudget[Month],"&lt;"&amp;$E207)+$JU207</f>
        <v/>
      </c>
      <c r="JW207" s="55">
        <f>SUMIFS(tblBudget[Feed_oz],tblBudget[Month],$E207)</f>
        <v/>
      </c>
      <c r="JX207" s="55">
        <f>$JW207*$C207/$D207</f>
        <v/>
      </c>
      <c r="JY207" s="55">
        <f>SUMIFS(tblBudget[Feed_oz],tblBudget[Month],"&lt;"&amp;$E207)+$JX207</f>
        <v/>
      </c>
      <c r="JZ207" s="55">
        <f>SUMIFS(tblBudget[Recovered_oz],tblBudget[Month],$E207)</f>
        <v/>
      </c>
      <c r="KA207" s="55">
        <f>$JZ207*$C207/$D207</f>
        <v/>
      </c>
      <c r="KB207" s="55">
        <f>SUMIFS(tblBudget[Recovered_oz],tblBudget[Month],"&lt;"&amp;$E207)+$KA207</f>
        <v/>
      </c>
      <c r="KC207" s="55">
        <f>SUMIFS(tblBudget[Milled_t],tblBudget[Month],$E207)</f>
        <v/>
      </c>
      <c r="KD207" s="55">
        <f>$KC207*$C207/$D207</f>
        <v/>
      </c>
      <c r="KE207" s="55">
        <f>SUMIFS(tblBudget[Milled_t],tblBudget[Month],"&lt;"&amp;$E207)+$KD207</f>
        <v/>
      </c>
      <c r="KF207" s="55">
        <f>SUMIFS(tblBudget[Feed_oz],tblBudget[Month],$E207)</f>
        <v/>
      </c>
      <c r="KG207" s="55">
        <f>$KF207*$C207/$D207</f>
        <v/>
      </c>
      <c r="KH207" s="55">
        <f>SUMIFS(tblBudget[Feed_oz],tblBudget[Month],"&lt;"&amp;$E207)+$KG207</f>
        <v/>
      </c>
      <c r="KI207" s="56">
        <f>IFERROR(IF(($KC207)&gt;0,($JW207*cfg_TroyOz)/($KC207),""),"")</f>
        <v/>
      </c>
      <c r="KJ207" s="56">
        <f>IFERROR(IF(($KD207)&gt;0,($JX207*cfg_TroyOz)/($KD207),""),"")</f>
        <v/>
      </c>
      <c r="KK207" s="56">
        <f>IFERROR(IF(($KE207)&gt;0,($JY207*cfg_TroyOz)/($KE207),""),"")</f>
        <v/>
      </c>
      <c r="KL207" s="67">
        <f>IFERROR(IF(($KF207)&gt;0,($JZ207)/($KF207),""),"")</f>
        <v/>
      </c>
      <c r="KM207" s="67">
        <f>IFERROR(IF(($KG207)&gt;0,($KA207)/($KG207),""),"")</f>
        <v/>
      </c>
      <c r="KN207" s="67">
        <f>IFERROR(IF(($KH207)&gt;0,($KB207)/($KH207),""),"")</f>
        <v/>
      </c>
      <c r="KO207" s="55">
        <f>SUMIFS(tblBudget[Gold_Poured_oz],tblBudget[Month],$E207)</f>
        <v/>
      </c>
      <c r="KP207" s="55">
        <f>$KO207*$C207/$D207</f>
        <v/>
      </c>
      <c r="KQ207" s="55">
        <f>SUMIFS(tblBudget[Gold_Poured_oz],tblBudget[Month],"&lt;"&amp;$E207)+$KP207</f>
        <v/>
      </c>
      <c r="KR207" s="57">
        <f>SUMIFS(tblBudget[Hours_Worked],tblBudget[Month],$E207)</f>
        <v/>
      </c>
      <c r="KS207" s="57">
        <f>$KR207*$C207/$D207</f>
        <v/>
      </c>
      <c r="KT207" s="57">
        <f>SUMIFS(tblBudget[Hours_Worked],tblBudget[Month],"&lt;"&amp;$E207)+$KS207</f>
        <v/>
      </c>
    </row>
    <row r="208">
      <c r="A208" s="54" t="n">
        <v>46229</v>
      </c>
      <c r="B208">
        <f>MONTH($A208)</f>
        <v/>
      </c>
      <c r="C208">
        <f>DAY($A208)</f>
        <v/>
      </c>
      <c r="D208">
        <f>DAY(EOMONTH($A208,0))</f>
        <v/>
      </c>
      <c r="E208" s="54">
        <f>DATE(YEAR($A208),MONTH($A208),1)</f>
        <v/>
      </c>
      <c r="F208" s="55">
        <f>SUMIFS(tblMovement[Tonnes_t],tblMovement[Date],$A208,tblMovement[Is_Ore],1,tblMovement[Source_Type],"Pit")</f>
        <v/>
      </c>
      <c r="G208" s="55">
        <f>IF($B208=$B207,$G207,0)+$F208</f>
        <v/>
      </c>
      <c r="H208" s="55">
        <f>$H207+$F208</f>
        <v/>
      </c>
      <c r="I208" s="55">
        <f>SUMIFS(tblMovement[Ore_oz],tblMovement[Date],$A208,tblMovement[Source_Type],"Pit")</f>
        <v/>
      </c>
      <c r="J208" s="55">
        <f>IF($B208=$B207,$J207,0)+$I208</f>
        <v/>
      </c>
      <c r="K208" s="55">
        <f>$K207+$I208</f>
        <v/>
      </c>
      <c r="L208" s="55">
        <f>SUMIFS(tblMovement[Tonnes_t],tblMovement[Date],$A208,tblMovement[Is_Ore],1,tblMovement[Source_Type],"Pit",tblMovement[Grade_gpt],"&lt;&gt;")</f>
        <v/>
      </c>
      <c r="M208" s="55">
        <f>IF($B208=$B207,$M207,0)+$L208</f>
        <v/>
      </c>
      <c r="N208" s="55">
        <f>$N207+$L208</f>
        <v/>
      </c>
      <c r="O208" s="56">
        <f>IFERROR(IF(($L208)&gt;0,($I208*cfg_TroyOz)/($L208),""),"")</f>
        <v/>
      </c>
      <c r="P208" s="56">
        <f>IFERROR(IF(($M208)&gt;0,($J208*cfg_TroyOz)/($M208),""),"")</f>
        <v/>
      </c>
      <c r="Q208" s="56">
        <f>IFERROR(IF(($N208)&gt;0,($K208*cfg_TroyOz)/($N208),""),"")</f>
        <v/>
      </c>
      <c r="R208" s="55">
        <f>$F208-$L208</f>
        <v/>
      </c>
      <c r="S208" s="55">
        <f>IF($B208=$B207,$S207,0)+$R208</f>
        <v/>
      </c>
      <c r="T208" s="55">
        <f>$T207+$R208</f>
        <v/>
      </c>
      <c r="U208" s="55">
        <f>SUMIFS(tblMovement[Tonnes_t],tblMovement[Date],$A208,tblMovement[Is_Ore],0,tblMovement[Source_Type],"Pit")</f>
        <v/>
      </c>
      <c r="V208" s="55">
        <f>IF($B208=$B207,$V207,0)+$U208</f>
        <v/>
      </c>
      <c r="W208" s="55">
        <f>$W207+$U208</f>
        <v/>
      </c>
      <c r="X208" s="55">
        <f>$F208+$U208</f>
        <v/>
      </c>
      <c r="Y208" s="55">
        <f>IF($B208=$B207,$Y207,0)+$X208</f>
        <v/>
      </c>
      <c r="Z208" s="55">
        <f>$Z207+$X208</f>
        <v/>
      </c>
      <c r="AA208" s="56">
        <f>IFERROR(IF(($F208)&gt;0,($U208)/($F208),""),"")</f>
        <v/>
      </c>
      <c r="AB208" s="56">
        <f>IFERROR(IF(($G208)&gt;0,($V208)/($G208),""),"")</f>
        <v/>
      </c>
      <c r="AC208" s="56">
        <f>IFERROR(IF(($H208)&gt;0,($W208)/($H208),""),"")</f>
        <v/>
      </c>
      <c r="AD208" s="55">
        <f>SUMIFS(tblMovement[Tonnes_t],tblMovement[Date],$A208,tblMovement[Source_Type],"Stockpile")</f>
        <v/>
      </c>
      <c r="AE208" s="55">
        <f>IF($B208=$B207,$AE207,0)+$AD208</f>
        <v/>
      </c>
      <c r="AF208" s="55">
        <f>$AF207+$AD208</f>
        <v/>
      </c>
      <c r="AG208" s="55">
        <f>SUMIFS(tblMovement[Tonnes_t],tblMovement[Date],$A208)</f>
        <v/>
      </c>
      <c r="AH208" s="55">
        <f>IF($B208=$B207,$AH207,0)+$AG208</f>
        <v/>
      </c>
      <c r="AI208" s="55">
        <f>$AI207+$AG208</f>
        <v/>
      </c>
      <c r="AJ208" s="55">
        <f>$AG208-$X208-$AD208</f>
        <v/>
      </c>
      <c r="AK208" s="55">
        <f>IF($B208=$B207,$AK207,0)+$AJ208</f>
        <v/>
      </c>
      <c r="AL208" s="55">
        <f>$AL207+$AJ208</f>
        <v/>
      </c>
      <c r="AM208" s="55">
        <f>SUMIFS(tblMiningDaily[Drill_m],tblMiningDaily[Date],$A208)</f>
        <v/>
      </c>
      <c r="AN208" s="55">
        <f>IF($B208=$B207,$AN207,0)+$AM208</f>
        <v/>
      </c>
      <c r="AO208" s="55">
        <f>$AO207+$AM208</f>
        <v/>
      </c>
      <c r="AP208" s="55">
        <f>SUMIFS(tblMiningDaily[GC_Drill_m],tblMiningDaily[Date],$A208)</f>
        <v/>
      </c>
      <c r="AQ208" s="55">
        <f>IF($B208=$B207,$AQ207,0)+$AP208</f>
        <v/>
      </c>
      <c r="AR208" s="55">
        <f>$AR207+$AP208</f>
        <v/>
      </c>
      <c r="AS208" s="55">
        <f>SUMIFS(tblMiningDaily[Blast_t],tblMiningDaily[Date],$A208)</f>
        <v/>
      </c>
      <c r="AT208" s="55">
        <f>IF($B208=$B207,$AT207,0)+$AS208</f>
        <v/>
      </c>
      <c r="AU208" s="55">
        <f>$AU207+$AS208</f>
        <v/>
      </c>
      <c r="AV208" s="55">
        <f>SUMIFS(tblMiningDaily[Explosives_kg],tblMiningDaily[Date],$A208)</f>
        <v/>
      </c>
      <c r="AW208" s="55">
        <f>IF($B208=$B207,$AW207,0)+$AV208</f>
        <v/>
      </c>
      <c r="AX208" s="55">
        <f>$AX207+$AV208</f>
        <v/>
      </c>
      <c r="AY208" s="56">
        <f>IFERROR(IF(($AS208)&gt;0,($AV208)/($AS208),""),"")</f>
        <v/>
      </c>
      <c r="AZ208" s="56">
        <f>IFERROR(IF(($AT208)&gt;0,($AW208)/($AT208),""),"")</f>
        <v/>
      </c>
      <c r="BA208" s="56">
        <f>IFERROR(IF(($AU208)&gt;0,($AX208)/($AU208),""),"")</f>
        <v/>
      </c>
      <c r="BB208" s="55">
        <f>SUMIFS(tblMiningDaily[Diesel_L],tblMiningDaily[Date],$A208)</f>
        <v/>
      </c>
      <c r="BC208" s="55">
        <f>IF($B208=$B207,$BC207,0)+$BB208</f>
        <v/>
      </c>
      <c r="BD208" s="55">
        <f>$BD207+$BB208</f>
        <v/>
      </c>
      <c r="BE208" s="55">
        <f>SUMIFS(tblMiningDaily[Dewatering_m3],tblMiningDaily[Date],$A208)</f>
        <v/>
      </c>
      <c r="BF208" s="55">
        <f>IF($B208=$B207,$BF207,0)+$BE208</f>
        <v/>
      </c>
      <c r="BG208" s="55">
        <f>$BG207+$BE208</f>
        <v/>
      </c>
      <c r="BH208" s="57">
        <f>SUMIFS(tblFleet[Calendar_h],tblFleet[Date],$A208,tblFleet[Equipment_Class],"Excavator")</f>
        <v/>
      </c>
      <c r="BI208" s="57">
        <f>IF($B208=$B207,$BI207,0)+$BH208</f>
        <v/>
      </c>
      <c r="BJ208" s="57">
        <f>$BJ207+$BH208</f>
        <v/>
      </c>
      <c r="BK208" s="57">
        <f>SUMIFS(tblFleet[Available_h],tblFleet[Date],$A208,tblFleet[Equipment_Class],"Excavator")</f>
        <v/>
      </c>
      <c r="BL208" s="57">
        <f>IF($B208=$B207,$BL207,0)+$BK208</f>
        <v/>
      </c>
      <c r="BM208" s="57">
        <f>$BM207+$BK208</f>
        <v/>
      </c>
      <c r="BN208" s="57">
        <f>SUMIFS(tblFleet[Operating_h],tblFleet[Date],$A208,tblFleet[Equipment_Class],"Excavator")</f>
        <v/>
      </c>
      <c r="BO208" s="57">
        <f>IF($B208=$B207,$BO207,0)+$BN208</f>
        <v/>
      </c>
      <c r="BP208" s="57">
        <f>$BP207+$BN208</f>
        <v/>
      </c>
      <c r="BQ208" s="67">
        <f>IFERROR(IF(($BH208)&gt;0,($BK208)/($BH208),""),"")</f>
        <v/>
      </c>
      <c r="BR208" s="67">
        <f>IFERROR(IF(($BI208)&gt;0,($BL208)/($BI208),""),"")</f>
        <v/>
      </c>
      <c r="BS208" s="67">
        <f>IFERROR(IF(($BJ208)&gt;0,($BM208)/($BJ208),""),"")</f>
        <v/>
      </c>
      <c r="BT208" s="67">
        <f>IFERROR(IF(($BK208)&gt;0,($BN208)/($BK208),""),"")</f>
        <v/>
      </c>
      <c r="BU208" s="67">
        <f>IFERROR(IF(($BL208)&gt;0,($BO208)/($BL208),""),"")</f>
        <v/>
      </c>
      <c r="BV208" s="67">
        <f>IFERROR(IF(($BM208)&gt;0,($BP208)/($BM208),""),"")</f>
        <v/>
      </c>
      <c r="BW208" s="57">
        <f>SUMIFS(tblFleet[Calendar_h],tblFleet[Date],$A208,tblFleet[Equipment_Class],"Haul Truck")</f>
        <v/>
      </c>
      <c r="BX208" s="57">
        <f>IF($B208=$B207,$BX207,0)+$BW208</f>
        <v/>
      </c>
      <c r="BY208" s="57">
        <f>$BY207+$BW208</f>
        <v/>
      </c>
      <c r="BZ208" s="57">
        <f>SUMIFS(tblFleet[Available_h],tblFleet[Date],$A208,tblFleet[Equipment_Class],"Haul Truck")</f>
        <v/>
      </c>
      <c r="CA208" s="57">
        <f>IF($B208=$B207,$CA207,0)+$BZ208</f>
        <v/>
      </c>
      <c r="CB208" s="57">
        <f>$CB207+$BZ208</f>
        <v/>
      </c>
      <c r="CC208" s="57">
        <f>SUMIFS(tblFleet[Operating_h],tblFleet[Date],$A208,tblFleet[Equipment_Class],"Haul Truck")</f>
        <v/>
      </c>
      <c r="CD208" s="57">
        <f>IF($B208=$B207,$CD207,0)+$CC208</f>
        <v/>
      </c>
      <c r="CE208" s="57">
        <f>$CE207+$CC208</f>
        <v/>
      </c>
      <c r="CF208" s="67">
        <f>IFERROR(IF(($BW208)&gt;0,($BZ208)/($BW208),""),"")</f>
        <v/>
      </c>
      <c r="CG208" s="67">
        <f>IFERROR(IF(($BX208)&gt;0,($CA208)/($BX208),""),"")</f>
        <v/>
      </c>
      <c r="CH208" s="67">
        <f>IFERROR(IF(($BY208)&gt;0,($CB208)/($BY208),""),"")</f>
        <v/>
      </c>
      <c r="CI208" s="67">
        <f>IFERROR(IF(($BZ208)&gt;0,($CC208)/($BZ208),""),"")</f>
        <v/>
      </c>
      <c r="CJ208" s="67">
        <f>IFERROR(IF(($CA208)&gt;0,($CD208)/($CA208),""),"")</f>
        <v/>
      </c>
      <c r="CK208" s="67">
        <f>IFERROR(IF(($CB208)&gt;0,($CE208)/($CB208),""),"")</f>
        <v/>
      </c>
      <c r="CL208" s="55">
        <f>IFERROR(IF(($BN208)&gt;0,($X208+$AD208)/($BN208),""),"")</f>
        <v/>
      </c>
      <c r="CM208" s="55">
        <f>IFERROR(IF(($BO208)&gt;0,($Y208+$AE208)/($BO208),""),"")</f>
        <v/>
      </c>
      <c r="CN208" s="55">
        <f>IFERROR(IF(($BP208)&gt;0,($Z208+$AF208)/($BP208),""),"")</f>
        <v/>
      </c>
      <c r="CO208" s="55">
        <f>IFERROR(IF(($CC208)&gt;0,($X208+$AD208)/($CC208),""),"")</f>
        <v/>
      </c>
      <c r="CP208" s="55">
        <f>IFERROR(IF(($CD208)&gt;0,($Y208+$AE208)/($CD208),""),"")</f>
        <v/>
      </c>
      <c r="CQ208" s="55">
        <f>IFERROR(IF(($CE208)&gt;0,($Z208+$AF208)/($CE208),""),"")</f>
        <v/>
      </c>
      <c r="CR208" s="55">
        <f>SUMIFS(tblPlant[Crushed_t],tblPlant[Date],$A208)</f>
        <v/>
      </c>
      <c r="CS208" s="55">
        <f>IF($B208=$B207,$CS207,0)+$CR208</f>
        <v/>
      </c>
      <c r="CT208" s="55">
        <f>$CT207+$CR208</f>
        <v/>
      </c>
      <c r="CU208" s="55">
        <f>SUMIFS(tblPlant[Milled_t],tblPlant[Date],$A208)</f>
        <v/>
      </c>
      <c r="CV208" s="55">
        <f>IF($B208=$B207,$CV207,0)+$CU208</f>
        <v/>
      </c>
      <c r="CW208" s="55">
        <f>$CW207+$CU208</f>
        <v/>
      </c>
      <c r="CX208" s="55">
        <f>SUMIFS(tblPlant[Feed_oz],tblPlant[Date],$A208)</f>
        <v/>
      </c>
      <c r="CY208" s="55">
        <f>IF($B208=$B207,$CY207,0)+$CX208</f>
        <v/>
      </c>
      <c r="CZ208" s="55">
        <f>$CZ207+$CX208</f>
        <v/>
      </c>
      <c r="DA208" s="55">
        <f>SUMIFS(tblPlant[Tails_oz],tblPlant[Date],$A208)</f>
        <v/>
      </c>
      <c r="DB208" s="55">
        <f>IF($B208=$B207,$DB207,0)+$DA208</f>
        <v/>
      </c>
      <c r="DC208" s="55">
        <f>$DC207+$DA208</f>
        <v/>
      </c>
      <c r="DD208" s="55">
        <f>SUMIFS(tblPlant[Recovered_oz],tblPlant[Date],$A208)</f>
        <v/>
      </c>
      <c r="DE208" s="55">
        <f>IF($B208=$B207,$DE207,0)+$DD208</f>
        <v/>
      </c>
      <c r="DF208" s="55">
        <f>$DF207+$DD208</f>
        <v/>
      </c>
      <c r="DG208" s="55">
        <f>SUMIFS(tblPlant[Milled_t],tblPlant[Date],$A208,tblPlant[Head_Grade_gpt],"&lt;&gt;")</f>
        <v/>
      </c>
      <c r="DH208" s="55">
        <f>IF($B208=$B207,$DH207,0)+$DG208</f>
        <v/>
      </c>
      <c r="DI208" s="55">
        <f>$DI207+$DG208</f>
        <v/>
      </c>
      <c r="DJ208" s="55">
        <f>SUMIFS(tblPlant[Milled_t],tblPlant[Date],$A208,tblPlant[Tails_Grade_gpt],"&lt;&gt;")</f>
        <v/>
      </c>
      <c r="DK208" s="55">
        <f>IF($B208=$B207,$DK207,0)+$DJ208</f>
        <v/>
      </c>
      <c r="DL208" s="55">
        <f>$DL207+$DJ208</f>
        <v/>
      </c>
      <c r="DM208" s="55">
        <f>SUMIFS(tblPlant[Feed_oz],tblPlant[Date],$A208,tblPlant[Tails_Grade_gpt],"&lt;&gt;")</f>
        <v/>
      </c>
      <c r="DN208" s="55">
        <f>IF($B208=$B207,$DN207,0)+$DM208</f>
        <v/>
      </c>
      <c r="DO208" s="55">
        <f>$DO207+$DM208</f>
        <v/>
      </c>
      <c r="DP208" s="55">
        <f>SUMIFS(tblPlant[Milled_t],tblPlant[Date],$A208,tblPlant[Mill_Run_h],"&lt;&gt;")</f>
        <v/>
      </c>
      <c r="DQ208" s="55">
        <f>IF($B208=$B207,$DQ207,0)+$DP208</f>
        <v/>
      </c>
      <c r="DR208" s="55">
        <f>$DR207+$DP208</f>
        <v/>
      </c>
      <c r="DS208" s="56">
        <f>IFERROR(IF(($DG208)&gt;0,($CX208*cfg_TroyOz)/($DG208),""),"")</f>
        <v/>
      </c>
      <c r="DT208" s="56">
        <f>IFERROR(IF(($DH208)&gt;0,($CY208*cfg_TroyOz)/($DH208),""),"")</f>
        <v/>
      </c>
      <c r="DU208" s="56">
        <f>IFERROR(IF(($DI208)&gt;0,($CZ208*cfg_TroyOz)/($DI208),""),"")</f>
        <v/>
      </c>
      <c r="DV208" s="56">
        <f>IFERROR(IF(($DJ208)&gt;0,($DA208*cfg_TroyOz)/($DJ208),""),"")</f>
        <v/>
      </c>
      <c r="DW208" s="56">
        <f>IFERROR(IF(($DK208)&gt;0,($DB208*cfg_TroyOz)/($DK208),""),"")</f>
        <v/>
      </c>
      <c r="DX208" s="56">
        <f>IFERROR(IF(($DL208)&gt;0,($DC208*cfg_TroyOz)/($DL208),""),"")</f>
        <v/>
      </c>
      <c r="DY208" s="67">
        <f>IFERROR(IF(($DM208)&gt;0,($DD208)/($DM208),""),"")</f>
        <v/>
      </c>
      <c r="DZ208" s="67">
        <f>IFERROR(IF(($DN208)&gt;0,($DE208)/($DN208),""),"")</f>
        <v/>
      </c>
      <c r="EA208" s="67">
        <f>IFERROR(IF(($DO208)&gt;0,($DF208)/($DO208),""),"")</f>
        <v/>
      </c>
      <c r="EB208" s="55">
        <f>SUMIFS(tblPlant[Gravity_Gold_oz],tblPlant[Date],$A208)</f>
        <v/>
      </c>
      <c r="EC208" s="55">
        <f>IF($B208=$B207,$EC207,0)+$EB208</f>
        <v/>
      </c>
      <c r="ED208" s="55">
        <f>$ED207+$EB208</f>
        <v/>
      </c>
      <c r="EE208" s="67">
        <f>IFERROR(IF(($DD208)&gt;0,($EB208)/($DD208),""),"")</f>
        <v/>
      </c>
      <c r="EF208" s="67">
        <f>IFERROR(IF(($DE208)&gt;0,($EC208)/($DE208),""),"")</f>
        <v/>
      </c>
      <c r="EG208" s="67">
        <f>IFERROR(IF(($DF208)&gt;0,($ED208)/($DF208),""),"")</f>
        <v/>
      </c>
      <c r="EH208" s="55">
        <f>SUMIFS(tblPlant[Gold_Poured_oz],tblPlant[Date],$A208)</f>
        <v/>
      </c>
      <c r="EI208" s="55">
        <f>IF($B208=$B207,$EI207,0)+$EH208</f>
        <v/>
      </c>
      <c r="EJ208" s="55">
        <f>$EJ207+$EH208</f>
        <v/>
      </c>
      <c r="EK208" s="57">
        <f>SUMIFS(tblPlant[Mill_Run_h],tblPlant[Date],$A208)</f>
        <v/>
      </c>
      <c r="EL208" s="57">
        <f>IF($B208=$B207,$EL207,0)+$EK208</f>
        <v/>
      </c>
      <c r="EM208" s="57">
        <f>$EM207+$EK208</f>
        <v/>
      </c>
      <c r="EN208" s="57">
        <f>SUMIFS(tblPlant[Mill_Planned_Maint_h],tblPlant[Date],$A208)</f>
        <v/>
      </c>
      <c r="EO208" s="57">
        <f>IF($B208=$B207,$EO207,0)+$EN208</f>
        <v/>
      </c>
      <c r="EP208" s="57">
        <f>$EP207+$EN208</f>
        <v/>
      </c>
      <c r="EQ208" s="57">
        <f>SUMIFS(tblPlant[Mill_Unplanned_Down_h],tblPlant[Date],$A208)</f>
        <v/>
      </c>
      <c r="ER208" s="57">
        <f>IF($B208=$B207,$ER207,0)+$EQ208</f>
        <v/>
      </c>
      <c r="ES208" s="57">
        <f>$ES207+$EQ208</f>
        <v/>
      </c>
      <c r="ET208" s="57">
        <f>IF(COUNTIFS(tblPlant[Date],$A208,tblPlant[Mill_Run_h],"&lt;&gt;")+COUNTIFS(tblPlant[Date],$A208,tblPlant[Mill_Planned_Maint_h],"&lt;&gt;")+COUNTIFS(tblPlant[Date],$A208,tblPlant[Mill_Unplanned_Down_h],"&lt;&gt;")&gt;0,cfg_HoursPerDay,0)</f>
        <v/>
      </c>
      <c r="EU208" s="57">
        <f>IF($B208=$B207,$EU207,0)+$ET208</f>
        <v/>
      </c>
      <c r="EV208" s="57">
        <f>$EV207+$ET208</f>
        <v/>
      </c>
      <c r="EW208" s="57">
        <f>SUMIFS(tblPlant[Crusher_Run_h],tblPlant[Date],$A208)</f>
        <v/>
      </c>
      <c r="EX208" s="57">
        <f>IF($B208=$B207,$EX207,0)+$EW208</f>
        <v/>
      </c>
      <c r="EY208" s="57">
        <f>$EY207+$EW208</f>
        <v/>
      </c>
      <c r="EZ208" s="55">
        <f>IFERROR(IF(($EK208)&gt;0,($DP208)/($EK208),""),"")</f>
        <v/>
      </c>
      <c r="FA208" s="55">
        <f>IFERROR(IF(($EL208)&gt;0,($DQ208)/($EL208),""),"")</f>
        <v/>
      </c>
      <c r="FB208" s="55">
        <f>IFERROR(IF(($EM208)&gt;0,($DR208)/($EM208),""),"")</f>
        <v/>
      </c>
      <c r="FC208" s="67">
        <f>IFERROR(IF(($ET208)&gt;0,($ET208-$EN208-$EQ208)/($ET208),""),"")</f>
        <v/>
      </c>
      <c r="FD208" s="67">
        <f>IFERROR(IF(($EU208)&gt;0,($EU208-$EO208-$ER208)/($EU208),""),"")</f>
        <v/>
      </c>
      <c r="FE208" s="67">
        <f>IFERROR(IF(($EV208)&gt;0,($EV208-$EP208-$ES208)/($EV208),""),"")</f>
        <v/>
      </c>
      <c r="FF208" s="67">
        <f>IFERROR(IF(($ET208-$EN208-$EQ208)&gt;0,($EK208)/($ET208-$EN208-$EQ208),""),"")</f>
        <v/>
      </c>
      <c r="FG208" s="67">
        <f>IFERROR(IF(($EU208-$EO208-$ER208)&gt;0,($EL208)/($EU208-$EO208-$ER208),""),"")</f>
        <v/>
      </c>
      <c r="FH208" s="67">
        <f>IFERROR(IF(($EV208-$EP208-$ES208)&gt;0,($EM208)/($EV208-$EP208-$ES208),""),"")</f>
        <v/>
      </c>
      <c r="FI208" s="55">
        <f>SUMIFS(tblPlant[Cyanide_kg],tblPlant[Date],$A208)</f>
        <v/>
      </c>
      <c r="FJ208" s="55">
        <f>IF($B208=$B207,$FJ207,0)+$FI208</f>
        <v/>
      </c>
      <c r="FK208" s="55">
        <f>$FK207+$FI208</f>
        <v/>
      </c>
      <c r="FL208" s="55">
        <f>SUMIFS(tblPlant[Lime_kg],tblPlant[Date],$A208)</f>
        <v/>
      </c>
      <c r="FM208" s="55">
        <f>IF($B208=$B207,$FM207,0)+$FL208</f>
        <v/>
      </c>
      <c r="FN208" s="55">
        <f>$FN207+$FL208</f>
        <v/>
      </c>
      <c r="FO208" s="55">
        <f>SUMIFS(tblPlant[Grinding_Media_kg],tblPlant[Date],$A208)</f>
        <v/>
      </c>
      <c r="FP208" s="55">
        <f>IF($B208=$B207,$FP207,0)+$FO208</f>
        <v/>
      </c>
      <c r="FQ208" s="55">
        <f>$FQ207+$FO208</f>
        <v/>
      </c>
      <c r="FR208" s="55">
        <f>SUMIFS(tblPlant[Power_kWh],tblPlant[Date],$A208)</f>
        <v/>
      </c>
      <c r="FS208" s="55">
        <f>IF($B208=$B207,$FS207,0)+$FR208</f>
        <v/>
      </c>
      <c r="FT208" s="55">
        <f>$FT207+$FR208</f>
        <v/>
      </c>
      <c r="FU208" s="55">
        <f>SUMIFS(tblPlant[Raw_Water_m3],tblPlant[Date],$A208)</f>
        <v/>
      </c>
      <c r="FV208" s="55">
        <f>IF($B208=$B207,$FV207,0)+$FU208</f>
        <v/>
      </c>
      <c r="FW208" s="55">
        <f>$FW207+$FU208</f>
        <v/>
      </c>
      <c r="FX208" s="56">
        <f>IFERROR(IF(($CU208)&gt;0,($FI208)/($CU208),""),"")</f>
        <v/>
      </c>
      <c r="FY208" s="56">
        <f>IFERROR(IF(($CV208)&gt;0,($FJ208)/($CV208),""),"")</f>
        <v/>
      </c>
      <c r="FZ208" s="56">
        <f>IFERROR(IF(($CW208)&gt;0,($FK208)/($CW208),""),"")</f>
        <v/>
      </c>
      <c r="GA208" s="56">
        <f>IFERROR(IF(($CU208)&gt;0,($FL208)/($CU208),""),"")</f>
        <v/>
      </c>
      <c r="GB208" s="56">
        <f>IFERROR(IF(($CV208)&gt;0,($FM208)/($CV208),""),"")</f>
        <v/>
      </c>
      <c r="GC208" s="56">
        <f>IFERROR(IF(($CW208)&gt;0,($FN208)/($CW208),""),"")</f>
        <v/>
      </c>
      <c r="GD208" s="56">
        <f>IFERROR(IF(($CU208)&gt;0,($FO208)/($CU208),""),"")</f>
        <v/>
      </c>
      <c r="GE208" s="56">
        <f>IFERROR(IF(($CV208)&gt;0,($FP208)/($CV208),""),"")</f>
        <v/>
      </c>
      <c r="GF208" s="56">
        <f>IFERROR(IF(($CW208)&gt;0,($FQ208)/($CW208),""),"")</f>
        <v/>
      </c>
      <c r="GG208" s="79">
        <f>IFERROR(IF(($CU208)&gt;0,($FR208)/($CU208),""),"")</f>
        <v/>
      </c>
      <c r="GH208" s="79">
        <f>IFERROR(IF(($CV208)&gt;0,($FS208)/($CV208),""),"")</f>
        <v/>
      </c>
      <c r="GI208" s="79">
        <f>IFERROR(IF(($CW208)&gt;0,($FT208)/($CW208),""),"")</f>
        <v/>
      </c>
      <c r="GJ208" s="56">
        <f>IFERROR(IF(($CU208)&gt;0,($FU208)/($CU208),""),"")</f>
        <v/>
      </c>
      <c r="GK208" s="56">
        <f>IFERROR(IF(($CV208)&gt;0,($FV208)/($CV208),""),"")</f>
        <v/>
      </c>
      <c r="GL208" s="56">
        <f>IFERROR(IF(($CW208)&gt;0,($FW208)/($CW208),""),"")</f>
        <v/>
      </c>
      <c r="GM208" s="55">
        <f>IF(SUMIFS(tblPlant[GIC_oz],tblPlant[Date],$A208)&gt;0,SUMIFS(tblPlant[GIC_oz],tblPlant[Date],$A208),"")</f>
        <v/>
      </c>
      <c r="GN208" s="55">
        <f>SUMIFS(tblGold[Gold_oz],tblGold[Date],$A208,tblGold[Type],"Shipment")</f>
        <v/>
      </c>
      <c r="GO208" s="55">
        <f>IF($B208=$B207,$GO207,0)+$GN208</f>
        <v/>
      </c>
      <c r="GP208" s="55">
        <f>$GP207+$GN208</f>
        <v/>
      </c>
      <c r="GQ208" s="55">
        <f>SUMIFS(tblGold[Gold_oz],tblGold[Date],$A208,tblGold[Type],"Sale")</f>
        <v/>
      </c>
      <c r="GR208" s="55">
        <f>IF($B208=$B207,$GR207,0)+$GQ208</f>
        <v/>
      </c>
      <c r="GS208" s="55">
        <f>$GS207+$GQ208</f>
        <v/>
      </c>
      <c r="GT208" s="55">
        <f>SUMIFS(tblGold[Dore_kg],tblGold[Date],$A208,tblGold[Type],"Shipment")</f>
        <v/>
      </c>
      <c r="GU208" s="55">
        <f>IF($B208=$B207,$GU207,0)+$GT208</f>
        <v/>
      </c>
      <c r="GV208" s="55">
        <f>$GV207+$GT208</f>
        <v/>
      </c>
      <c r="GW208" s="57">
        <f>SUMIFS(tblSafety[Hours_Total],tblSafety[Date],$A208)</f>
        <v/>
      </c>
      <c r="GX208" s="57">
        <f>IF($B208=$B207,$GX207,0)+$GW208</f>
        <v/>
      </c>
      <c r="GY208" s="57">
        <f>$GY207+$GW208</f>
        <v/>
      </c>
      <c r="GZ208" s="62">
        <f>SUMIFS(tblSafety[Fatality],tblSafety[Date],$A208)</f>
        <v/>
      </c>
      <c r="HA208" s="62">
        <f>IF($B208=$B207,$HA207,0)+$GZ208</f>
        <v/>
      </c>
      <c r="HB208" s="62">
        <f>$HB207+$GZ208</f>
        <v/>
      </c>
      <c r="HC208" s="62">
        <f>SUMIFS(tblSafety[LTI],tblSafety[Date],$A208)</f>
        <v/>
      </c>
      <c r="HD208" s="62">
        <f>IF($B208=$B207,$HD207,0)+$HC208</f>
        <v/>
      </c>
      <c r="HE208" s="62">
        <f>$HE207+$HC208</f>
        <v/>
      </c>
      <c r="HF208" s="62">
        <f>SUMIFS(tblSafety[RWI],tblSafety[Date],$A208)</f>
        <v/>
      </c>
      <c r="HG208" s="62">
        <f>IF($B208=$B207,$HG207,0)+$HF208</f>
        <v/>
      </c>
      <c r="HH208" s="62">
        <f>$HH207+$HF208</f>
        <v/>
      </c>
      <c r="HI208" s="62">
        <f>SUMIFS(tblSafety[MTI],tblSafety[Date],$A208)</f>
        <v/>
      </c>
      <c r="HJ208" s="62">
        <f>IF($B208=$B207,$HJ207,0)+$HI208</f>
        <v/>
      </c>
      <c r="HK208" s="62">
        <f>$HK207+$HI208</f>
        <v/>
      </c>
      <c r="HL208" s="62">
        <f>SUMIFS(tblSafety[FAI],tblSafety[Date],$A208)</f>
        <v/>
      </c>
      <c r="HM208" s="62">
        <f>IF($B208=$B207,$HM207,0)+$HL208</f>
        <v/>
      </c>
      <c r="HN208" s="62">
        <f>$HN207+$HL208</f>
        <v/>
      </c>
      <c r="HO208" s="62">
        <f>SUMIFS(tblSafety[Recordables],tblSafety[Date],$A208)</f>
        <v/>
      </c>
      <c r="HP208" s="62">
        <f>IF($B208=$B207,$HP207,0)+$HO208</f>
        <v/>
      </c>
      <c r="HQ208" s="62">
        <f>$HQ207+$HO208</f>
        <v/>
      </c>
      <c r="HR208" s="62">
        <f>SUMIFS(tblSafety[Near_Miss],tblSafety[Date],$A208)</f>
        <v/>
      </c>
      <c r="HS208" s="62">
        <f>IF($B208=$B207,$HS207,0)+$HR208</f>
        <v/>
      </c>
      <c r="HT208" s="62">
        <f>$HT207+$HR208</f>
        <v/>
      </c>
      <c r="HU208" s="62">
        <f>SUMIFS(tblSafety[Hazard_Reports],tblSafety[Date],$A208)</f>
        <v/>
      </c>
      <c r="HV208" s="62">
        <f>IF($B208=$B207,$HV207,0)+$HU208</f>
        <v/>
      </c>
      <c r="HW208" s="62">
        <f>$HW207+$HU208</f>
        <v/>
      </c>
      <c r="HX208" s="62">
        <f>SUMIFS(tblSafety[HPI],tblSafety[Date],$A208)</f>
        <v/>
      </c>
      <c r="HY208" s="62">
        <f>IF($B208=$B207,$HY207,0)+$HX208</f>
        <v/>
      </c>
      <c r="HZ208" s="62">
        <f>$HZ207+$HX208</f>
        <v/>
      </c>
      <c r="IA208" s="62">
        <f>SUMIFS(tblSafety[Env_Incidents],tblSafety[Date],$A208)</f>
        <v/>
      </c>
      <c r="IB208" s="62">
        <f>IF($B208=$B207,$IB207,0)+$IA208</f>
        <v/>
      </c>
      <c r="IC208" s="62">
        <f>$IC207+$IA208</f>
        <v/>
      </c>
      <c r="ID208" s="62">
        <f>SUMIFS(tblSafety[Community_Incidents],tblSafety[Date],$A208)</f>
        <v/>
      </c>
      <c r="IE208" s="62">
        <f>IF($B208=$B207,$IE207,0)+$ID208</f>
        <v/>
      </c>
      <c r="IF208" s="62">
        <f>$IF207+$ID208</f>
        <v/>
      </c>
      <c r="IG208" s="62">
        <f>SUMIFS(tblSafety[Vehicle_Incidents],tblSafety[Date],$A208)</f>
        <v/>
      </c>
      <c r="IH208" s="62">
        <f>IF($B208=$B207,$IH207,0)+$IG208</f>
        <v/>
      </c>
      <c r="II208" s="62">
        <f>$II207+$IG208</f>
        <v/>
      </c>
      <c r="IJ208" s="62">
        <f>SUMIFS(tblSafety[Toolbox_Talks],tblSafety[Date],$A208)</f>
        <v/>
      </c>
      <c r="IK208" s="62">
        <f>IF($B208=$B207,$IK207,0)+$IJ208</f>
        <v/>
      </c>
      <c r="IL208" s="62">
        <f>$IL207+$IJ208</f>
        <v/>
      </c>
      <c r="IM208" s="62">
        <f>SUMIFS(tblSafety[Inspections],tblSafety[Date],$A208)</f>
        <v/>
      </c>
      <c r="IN208" s="62">
        <f>IF($B208=$B207,$IN207,0)+$IM208</f>
        <v/>
      </c>
      <c r="IO208" s="62">
        <f>$IO207+$IM208</f>
        <v/>
      </c>
      <c r="IP208" s="56">
        <f>IFERROR((SUMIFS(tblSafety[Recordables],tblSafety[Date],"&gt;="&amp;EDATE($E208,-12),tblSafety[Date],"&lt;="&amp;$A208)+SUMIFS(tblSafetyHistory[Recordables],tblSafetyHistory[Month],"&gt;="&amp;EDATE($E208,-12),tblSafetyHistory[Month],"&lt;"&amp;$E208,tblSafetyHistory[Use],1))/(SUMIFS(tblSafety[Hours_Total],tblSafety[Date],"&gt;="&amp;EDATE($E208,-12),tblSafety[Date],"&lt;="&amp;$A208)+SUMIFS(tblSafetyHistory[Hours_Total],tblSafetyHistory[Month],"&gt;="&amp;EDATE($E208,-12),tblSafetyHistory[Month],"&lt;"&amp;$E208,tblSafetyHistory[Use],1))*cfg_RateBasisHours,"")</f>
        <v/>
      </c>
      <c r="IQ208" s="56">
        <f>IFERROR((SUMIFS(tblSafety[LTI],tblSafety[Date],"&gt;="&amp;EDATE($E208,-12),tblSafety[Date],"&lt;="&amp;$A208)+SUMIFS(tblSafetyHistory[LTI],tblSafetyHistory[Month],"&gt;="&amp;EDATE($E208,-12),tblSafetyHistory[Month],"&lt;"&amp;$E208,tblSafetyHistory[Use],1))/(SUMIFS(tblSafety[Hours_Total],tblSafety[Date],"&gt;="&amp;EDATE($E208,-12),tblSafety[Date],"&lt;="&amp;$A208)+SUMIFS(tblSafetyHistory[Hours_Total],tblSafetyHistory[Month],"&gt;="&amp;EDATE($E208,-12),tblSafetyHistory[Month],"&lt;"&amp;$E208,tblSafetyHistory[Use],1))*cfg_RateBasisHours,"")</f>
        <v/>
      </c>
      <c r="IR208" s="62">
        <f>IF(MAX(N(cfg_PriorLTIDate),_xlfn.MAXIFS(tblSafety[Date],tblSafety[LTI],"&gt;0",tblSafety[Date],"&lt;="&amp;$A208))=0,"",$A208-MAX(N(cfg_PriorLTIDate),_xlfn.MAXIFS(tblSafety[Date],tblSafety[LTI],"&gt;0",tblSafety[Date],"&lt;="&amp;$A208)))</f>
        <v/>
      </c>
      <c r="IS208" s="55">
        <f>SUMIFS(tblBudget[Ore_Mined_t],tblBudget[Month],$E208)</f>
        <v/>
      </c>
      <c r="IT208" s="55">
        <f>$IS208*$C208/$D208</f>
        <v/>
      </c>
      <c r="IU208" s="55">
        <f>SUMIFS(tblBudget[Ore_Mined_t],tblBudget[Month],"&lt;"&amp;$E208)+$IT208</f>
        <v/>
      </c>
      <c r="IV208" s="55">
        <f>SUMIFS(tblBudget[Ore_oz],tblBudget[Month],$E208)</f>
        <v/>
      </c>
      <c r="IW208" s="55">
        <f>$IV208*$C208/$D208</f>
        <v/>
      </c>
      <c r="IX208" s="55">
        <f>SUMIFS(tblBudget[Ore_oz],tblBudget[Month],"&lt;"&amp;$E208)+$IW208</f>
        <v/>
      </c>
      <c r="IY208" s="55">
        <f>SUMIFS(tblBudget[Ore_Mined_t],tblBudget[Month],$E208)</f>
        <v/>
      </c>
      <c r="IZ208" s="55">
        <f>$IY208*$C208/$D208</f>
        <v/>
      </c>
      <c r="JA208" s="55">
        <f>SUMIFS(tblBudget[Ore_Mined_t],tblBudget[Month],"&lt;"&amp;$E208)+$IZ208</f>
        <v/>
      </c>
      <c r="JB208" s="56">
        <f>IFERROR(IF(($IY208)&gt;0,($IV208*cfg_TroyOz)/($IY208),""),"")</f>
        <v/>
      </c>
      <c r="JC208" s="56">
        <f>IFERROR(IF(($IZ208)&gt;0,($IW208*cfg_TroyOz)/($IZ208),""),"")</f>
        <v/>
      </c>
      <c r="JD208" s="56">
        <f>IFERROR(IF(($JA208)&gt;0,($IX208*cfg_TroyOz)/($JA208),""),"")</f>
        <v/>
      </c>
      <c r="JE208" s="55">
        <f>SUMIFS(tblBudget[Waste_t],tblBudget[Month],$E208)</f>
        <v/>
      </c>
      <c r="JF208" s="55">
        <f>$JE208*$C208/$D208</f>
        <v/>
      </c>
      <c r="JG208" s="55">
        <f>SUMIFS(tblBudget[Waste_t],tblBudget[Month],"&lt;"&amp;$E208)+$JF208</f>
        <v/>
      </c>
      <c r="JH208" s="55">
        <f>SUMIFS(tblBudget[TMM_t],tblBudget[Month],$E208)</f>
        <v/>
      </c>
      <c r="JI208" s="55">
        <f>$JH208*$C208/$D208</f>
        <v/>
      </c>
      <c r="JJ208" s="55">
        <f>SUMIFS(tblBudget[TMM_t],tblBudget[Month],"&lt;"&amp;$E208)+$JI208</f>
        <v/>
      </c>
      <c r="JK208" s="56">
        <f>IFERROR(IF(($IS208)&gt;0,($JE208)/($IS208),""),"")</f>
        <v/>
      </c>
      <c r="JL208" s="56">
        <f>IFERROR(IF(($IT208)&gt;0,($JF208)/($IT208),""),"")</f>
        <v/>
      </c>
      <c r="JM208" s="56">
        <f>IFERROR(IF(($IU208)&gt;0,($JG208)/($IU208),""),"")</f>
        <v/>
      </c>
      <c r="JN208" s="55">
        <f>SUMIFS(tblBudget[Drill_m],tblBudget[Month],$E208)</f>
        <v/>
      </c>
      <c r="JO208" s="55">
        <f>$JN208*$C208/$D208</f>
        <v/>
      </c>
      <c r="JP208" s="55">
        <f>SUMIFS(tblBudget[Drill_m],tblBudget[Month],"&lt;"&amp;$E208)+$JO208</f>
        <v/>
      </c>
      <c r="JQ208" s="55">
        <f>SUMIFS(tblBudget[Diesel_L],tblBudget[Month],$E208)</f>
        <v/>
      </c>
      <c r="JR208" s="55">
        <f>$JQ208*$C208/$D208</f>
        <v/>
      </c>
      <c r="JS208" s="55">
        <f>SUMIFS(tblBudget[Diesel_L],tblBudget[Month],"&lt;"&amp;$E208)+$JR208</f>
        <v/>
      </c>
      <c r="JT208" s="55">
        <f>SUMIFS(tblBudget[Milled_t],tblBudget[Month],$E208)</f>
        <v/>
      </c>
      <c r="JU208" s="55">
        <f>$JT208*$C208/$D208</f>
        <v/>
      </c>
      <c r="JV208" s="55">
        <f>SUMIFS(tblBudget[Milled_t],tblBudget[Month],"&lt;"&amp;$E208)+$JU208</f>
        <v/>
      </c>
      <c r="JW208" s="55">
        <f>SUMIFS(tblBudget[Feed_oz],tblBudget[Month],$E208)</f>
        <v/>
      </c>
      <c r="JX208" s="55">
        <f>$JW208*$C208/$D208</f>
        <v/>
      </c>
      <c r="JY208" s="55">
        <f>SUMIFS(tblBudget[Feed_oz],tblBudget[Month],"&lt;"&amp;$E208)+$JX208</f>
        <v/>
      </c>
      <c r="JZ208" s="55">
        <f>SUMIFS(tblBudget[Recovered_oz],tblBudget[Month],$E208)</f>
        <v/>
      </c>
      <c r="KA208" s="55">
        <f>$JZ208*$C208/$D208</f>
        <v/>
      </c>
      <c r="KB208" s="55">
        <f>SUMIFS(tblBudget[Recovered_oz],tblBudget[Month],"&lt;"&amp;$E208)+$KA208</f>
        <v/>
      </c>
      <c r="KC208" s="55">
        <f>SUMIFS(tblBudget[Milled_t],tblBudget[Month],$E208)</f>
        <v/>
      </c>
      <c r="KD208" s="55">
        <f>$KC208*$C208/$D208</f>
        <v/>
      </c>
      <c r="KE208" s="55">
        <f>SUMIFS(tblBudget[Milled_t],tblBudget[Month],"&lt;"&amp;$E208)+$KD208</f>
        <v/>
      </c>
      <c r="KF208" s="55">
        <f>SUMIFS(tblBudget[Feed_oz],tblBudget[Month],$E208)</f>
        <v/>
      </c>
      <c r="KG208" s="55">
        <f>$KF208*$C208/$D208</f>
        <v/>
      </c>
      <c r="KH208" s="55">
        <f>SUMIFS(tblBudget[Feed_oz],tblBudget[Month],"&lt;"&amp;$E208)+$KG208</f>
        <v/>
      </c>
      <c r="KI208" s="56">
        <f>IFERROR(IF(($KC208)&gt;0,($JW208*cfg_TroyOz)/($KC208),""),"")</f>
        <v/>
      </c>
      <c r="KJ208" s="56">
        <f>IFERROR(IF(($KD208)&gt;0,($JX208*cfg_TroyOz)/($KD208),""),"")</f>
        <v/>
      </c>
      <c r="KK208" s="56">
        <f>IFERROR(IF(($KE208)&gt;0,($JY208*cfg_TroyOz)/($KE208),""),"")</f>
        <v/>
      </c>
      <c r="KL208" s="67">
        <f>IFERROR(IF(($KF208)&gt;0,($JZ208)/($KF208),""),"")</f>
        <v/>
      </c>
      <c r="KM208" s="67">
        <f>IFERROR(IF(($KG208)&gt;0,($KA208)/($KG208),""),"")</f>
        <v/>
      </c>
      <c r="KN208" s="67">
        <f>IFERROR(IF(($KH208)&gt;0,($KB208)/($KH208),""),"")</f>
        <v/>
      </c>
      <c r="KO208" s="55">
        <f>SUMIFS(tblBudget[Gold_Poured_oz],tblBudget[Month],$E208)</f>
        <v/>
      </c>
      <c r="KP208" s="55">
        <f>$KO208*$C208/$D208</f>
        <v/>
      </c>
      <c r="KQ208" s="55">
        <f>SUMIFS(tblBudget[Gold_Poured_oz],tblBudget[Month],"&lt;"&amp;$E208)+$KP208</f>
        <v/>
      </c>
      <c r="KR208" s="57">
        <f>SUMIFS(tblBudget[Hours_Worked],tblBudget[Month],$E208)</f>
        <v/>
      </c>
      <c r="KS208" s="57">
        <f>$KR208*$C208/$D208</f>
        <v/>
      </c>
      <c r="KT208" s="57">
        <f>SUMIFS(tblBudget[Hours_Worked],tblBudget[Month],"&lt;"&amp;$E208)+$KS208</f>
        <v/>
      </c>
    </row>
    <row r="209">
      <c r="A209" s="54" t="n">
        <v>46230</v>
      </c>
      <c r="B209">
        <f>MONTH($A209)</f>
        <v/>
      </c>
      <c r="C209">
        <f>DAY($A209)</f>
        <v/>
      </c>
      <c r="D209">
        <f>DAY(EOMONTH($A209,0))</f>
        <v/>
      </c>
      <c r="E209" s="54">
        <f>DATE(YEAR($A209),MONTH($A209),1)</f>
        <v/>
      </c>
      <c r="F209" s="55">
        <f>SUMIFS(tblMovement[Tonnes_t],tblMovement[Date],$A209,tblMovement[Is_Ore],1,tblMovement[Source_Type],"Pit")</f>
        <v/>
      </c>
      <c r="G209" s="55">
        <f>IF($B209=$B208,$G208,0)+$F209</f>
        <v/>
      </c>
      <c r="H209" s="55">
        <f>$H208+$F209</f>
        <v/>
      </c>
      <c r="I209" s="55">
        <f>SUMIFS(tblMovement[Ore_oz],tblMovement[Date],$A209,tblMovement[Source_Type],"Pit")</f>
        <v/>
      </c>
      <c r="J209" s="55">
        <f>IF($B209=$B208,$J208,0)+$I209</f>
        <v/>
      </c>
      <c r="K209" s="55">
        <f>$K208+$I209</f>
        <v/>
      </c>
      <c r="L209" s="55">
        <f>SUMIFS(tblMovement[Tonnes_t],tblMovement[Date],$A209,tblMovement[Is_Ore],1,tblMovement[Source_Type],"Pit",tblMovement[Grade_gpt],"&lt;&gt;")</f>
        <v/>
      </c>
      <c r="M209" s="55">
        <f>IF($B209=$B208,$M208,0)+$L209</f>
        <v/>
      </c>
      <c r="N209" s="55">
        <f>$N208+$L209</f>
        <v/>
      </c>
      <c r="O209" s="56">
        <f>IFERROR(IF(($L209)&gt;0,($I209*cfg_TroyOz)/($L209),""),"")</f>
        <v/>
      </c>
      <c r="P209" s="56">
        <f>IFERROR(IF(($M209)&gt;0,($J209*cfg_TroyOz)/($M209),""),"")</f>
        <v/>
      </c>
      <c r="Q209" s="56">
        <f>IFERROR(IF(($N209)&gt;0,($K209*cfg_TroyOz)/($N209),""),"")</f>
        <v/>
      </c>
      <c r="R209" s="55">
        <f>$F209-$L209</f>
        <v/>
      </c>
      <c r="S209" s="55">
        <f>IF($B209=$B208,$S208,0)+$R209</f>
        <v/>
      </c>
      <c r="T209" s="55">
        <f>$T208+$R209</f>
        <v/>
      </c>
      <c r="U209" s="55">
        <f>SUMIFS(tblMovement[Tonnes_t],tblMovement[Date],$A209,tblMovement[Is_Ore],0,tblMovement[Source_Type],"Pit")</f>
        <v/>
      </c>
      <c r="V209" s="55">
        <f>IF($B209=$B208,$V208,0)+$U209</f>
        <v/>
      </c>
      <c r="W209" s="55">
        <f>$W208+$U209</f>
        <v/>
      </c>
      <c r="X209" s="55">
        <f>$F209+$U209</f>
        <v/>
      </c>
      <c r="Y209" s="55">
        <f>IF($B209=$B208,$Y208,0)+$X209</f>
        <v/>
      </c>
      <c r="Z209" s="55">
        <f>$Z208+$X209</f>
        <v/>
      </c>
      <c r="AA209" s="56">
        <f>IFERROR(IF(($F209)&gt;0,($U209)/($F209),""),"")</f>
        <v/>
      </c>
      <c r="AB209" s="56">
        <f>IFERROR(IF(($G209)&gt;0,($V209)/($G209),""),"")</f>
        <v/>
      </c>
      <c r="AC209" s="56">
        <f>IFERROR(IF(($H209)&gt;0,($W209)/($H209),""),"")</f>
        <v/>
      </c>
      <c r="AD209" s="55">
        <f>SUMIFS(tblMovement[Tonnes_t],tblMovement[Date],$A209,tblMovement[Source_Type],"Stockpile")</f>
        <v/>
      </c>
      <c r="AE209" s="55">
        <f>IF($B209=$B208,$AE208,0)+$AD209</f>
        <v/>
      </c>
      <c r="AF209" s="55">
        <f>$AF208+$AD209</f>
        <v/>
      </c>
      <c r="AG209" s="55">
        <f>SUMIFS(tblMovement[Tonnes_t],tblMovement[Date],$A209)</f>
        <v/>
      </c>
      <c r="AH209" s="55">
        <f>IF($B209=$B208,$AH208,0)+$AG209</f>
        <v/>
      </c>
      <c r="AI209" s="55">
        <f>$AI208+$AG209</f>
        <v/>
      </c>
      <c r="AJ209" s="55">
        <f>$AG209-$X209-$AD209</f>
        <v/>
      </c>
      <c r="AK209" s="55">
        <f>IF($B209=$B208,$AK208,0)+$AJ209</f>
        <v/>
      </c>
      <c r="AL209" s="55">
        <f>$AL208+$AJ209</f>
        <v/>
      </c>
      <c r="AM209" s="55">
        <f>SUMIFS(tblMiningDaily[Drill_m],tblMiningDaily[Date],$A209)</f>
        <v/>
      </c>
      <c r="AN209" s="55">
        <f>IF($B209=$B208,$AN208,0)+$AM209</f>
        <v/>
      </c>
      <c r="AO209" s="55">
        <f>$AO208+$AM209</f>
        <v/>
      </c>
      <c r="AP209" s="55">
        <f>SUMIFS(tblMiningDaily[GC_Drill_m],tblMiningDaily[Date],$A209)</f>
        <v/>
      </c>
      <c r="AQ209" s="55">
        <f>IF($B209=$B208,$AQ208,0)+$AP209</f>
        <v/>
      </c>
      <c r="AR209" s="55">
        <f>$AR208+$AP209</f>
        <v/>
      </c>
      <c r="AS209" s="55">
        <f>SUMIFS(tblMiningDaily[Blast_t],tblMiningDaily[Date],$A209)</f>
        <v/>
      </c>
      <c r="AT209" s="55">
        <f>IF($B209=$B208,$AT208,0)+$AS209</f>
        <v/>
      </c>
      <c r="AU209" s="55">
        <f>$AU208+$AS209</f>
        <v/>
      </c>
      <c r="AV209" s="55">
        <f>SUMIFS(tblMiningDaily[Explosives_kg],tblMiningDaily[Date],$A209)</f>
        <v/>
      </c>
      <c r="AW209" s="55">
        <f>IF($B209=$B208,$AW208,0)+$AV209</f>
        <v/>
      </c>
      <c r="AX209" s="55">
        <f>$AX208+$AV209</f>
        <v/>
      </c>
      <c r="AY209" s="56">
        <f>IFERROR(IF(($AS209)&gt;0,($AV209)/($AS209),""),"")</f>
        <v/>
      </c>
      <c r="AZ209" s="56">
        <f>IFERROR(IF(($AT209)&gt;0,($AW209)/($AT209),""),"")</f>
        <v/>
      </c>
      <c r="BA209" s="56">
        <f>IFERROR(IF(($AU209)&gt;0,($AX209)/($AU209),""),"")</f>
        <v/>
      </c>
      <c r="BB209" s="55">
        <f>SUMIFS(tblMiningDaily[Diesel_L],tblMiningDaily[Date],$A209)</f>
        <v/>
      </c>
      <c r="BC209" s="55">
        <f>IF($B209=$B208,$BC208,0)+$BB209</f>
        <v/>
      </c>
      <c r="BD209" s="55">
        <f>$BD208+$BB209</f>
        <v/>
      </c>
      <c r="BE209" s="55">
        <f>SUMIFS(tblMiningDaily[Dewatering_m3],tblMiningDaily[Date],$A209)</f>
        <v/>
      </c>
      <c r="BF209" s="55">
        <f>IF($B209=$B208,$BF208,0)+$BE209</f>
        <v/>
      </c>
      <c r="BG209" s="55">
        <f>$BG208+$BE209</f>
        <v/>
      </c>
      <c r="BH209" s="57">
        <f>SUMIFS(tblFleet[Calendar_h],tblFleet[Date],$A209,tblFleet[Equipment_Class],"Excavator")</f>
        <v/>
      </c>
      <c r="BI209" s="57">
        <f>IF($B209=$B208,$BI208,0)+$BH209</f>
        <v/>
      </c>
      <c r="BJ209" s="57">
        <f>$BJ208+$BH209</f>
        <v/>
      </c>
      <c r="BK209" s="57">
        <f>SUMIFS(tblFleet[Available_h],tblFleet[Date],$A209,tblFleet[Equipment_Class],"Excavator")</f>
        <v/>
      </c>
      <c r="BL209" s="57">
        <f>IF($B209=$B208,$BL208,0)+$BK209</f>
        <v/>
      </c>
      <c r="BM209" s="57">
        <f>$BM208+$BK209</f>
        <v/>
      </c>
      <c r="BN209" s="57">
        <f>SUMIFS(tblFleet[Operating_h],tblFleet[Date],$A209,tblFleet[Equipment_Class],"Excavator")</f>
        <v/>
      </c>
      <c r="BO209" s="57">
        <f>IF($B209=$B208,$BO208,0)+$BN209</f>
        <v/>
      </c>
      <c r="BP209" s="57">
        <f>$BP208+$BN209</f>
        <v/>
      </c>
      <c r="BQ209" s="67">
        <f>IFERROR(IF(($BH209)&gt;0,($BK209)/($BH209),""),"")</f>
        <v/>
      </c>
      <c r="BR209" s="67">
        <f>IFERROR(IF(($BI209)&gt;0,($BL209)/($BI209),""),"")</f>
        <v/>
      </c>
      <c r="BS209" s="67">
        <f>IFERROR(IF(($BJ209)&gt;0,($BM209)/($BJ209),""),"")</f>
        <v/>
      </c>
      <c r="BT209" s="67">
        <f>IFERROR(IF(($BK209)&gt;0,($BN209)/($BK209),""),"")</f>
        <v/>
      </c>
      <c r="BU209" s="67">
        <f>IFERROR(IF(($BL209)&gt;0,($BO209)/($BL209),""),"")</f>
        <v/>
      </c>
      <c r="BV209" s="67">
        <f>IFERROR(IF(($BM209)&gt;0,($BP209)/($BM209),""),"")</f>
        <v/>
      </c>
      <c r="BW209" s="57">
        <f>SUMIFS(tblFleet[Calendar_h],tblFleet[Date],$A209,tblFleet[Equipment_Class],"Haul Truck")</f>
        <v/>
      </c>
      <c r="BX209" s="57">
        <f>IF($B209=$B208,$BX208,0)+$BW209</f>
        <v/>
      </c>
      <c r="BY209" s="57">
        <f>$BY208+$BW209</f>
        <v/>
      </c>
      <c r="BZ209" s="57">
        <f>SUMIFS(tblFleet[Available_h],tblFleet[Date],$A209,tblFleet[Equipment_Class],"Haul Truck")</f>
        <v/>
      </c>
      <c r="CA209" s="57">
        <f>IF($B209=$B208,$CA208,0)+$BZ209</f>
        <v/>
      </c>
      <c r="CB209" s="57">
        <f>$CB208+$BZ209</f>
        <v/>
      </c>
      <c r="CC209" s="57">
        <f>SUMIFS(tblFleet[Operating_h],tblFleet[Date],$A209,tblFleet[Equipment_Class],"Haul Truck")</f>
        <v/>
      </c>
      <c r="CD209" s="57">
        <f>IF($B209=$B208,$CD208,0)+$CC209</f>
        <v/>
      </c>
      <c r="CE209" s="57">
        <f>$CE208+$CC209</f>
        <v/>
      </c>
      <c r="CF209" s="67">
        <f>IFERROR(IF(($BW209)&gt;0,($BZ209)/($BW209),""),"")</f>
        <v/>
      </c>
      <c r="CG209" s="67">
        <f>IFERROR(IF(($BX209)&gt;0,($CA209)/($BX209),""),"")</f>
        <v/>
      </c>
      <c r="CH209" s="67">
        <f>IFERROR(IF(($BY209)&gt;0,($CB209)/($BY209),""),"")</f>
        <v/>
      </c>
      <c r="CI209" s="67">
        <f>IFERROR(IF(($BZ209)&gt;0,($CC209)/($BZ209),""),"")</f>
        <v/>
      </c>
      <c r="CJ209" s="67">
        <f>IFERROR(IF(($CA209)&gt;0,($CD209)/($CA209),""),"")</f>
        <v/>
      </c>
      <c r="CK209" s="67">
        <f>IFERROR(IF(($CB209)&gt;0,($CE209)/($CB209),""),"")</f>
        <v/>
      </c>
      <c r="CL209" s="55">
        <f>IFERROR(IF(($BN209)&gt;0,($X209+$AD209)/($BN209),""),"")</f>
        <v/>
      </c>
      <c r="CM209" s="55">
        <f>IFERROR(IF(($BO209)&gt;0,($Y209+$AE209)/($BO209),""),"")</f>
        <v/>
      </c>
      <c r="CN209" s="55">
        <f>IFERROR(IF(($BP209)&gt;0,($Z209+$AF209)/($BP209),""),"")</f>
        <v/>
      </c>
      <c r="CO209" s="55">
        <f>IFERROR(IF(($CC209)&gt;0,($X209+$AD209)/($CC209),""),"")</f>
        <v/>
      </c>
      <c r="CP209" s="55">
        <f>IFERROR(IF(($CD209)&gt;0,($Y209+$AE209)/($CD209),""),"")</f>
        <v/>
      </c>
      <c r="CQ209" s="55">
        <f>IFERROR(IF(($CE209)&gt;0,($Z209+$AF209)/($CE209),""),"")</f>
        <v/>
      </c>
      <c r="CR209" s="55">
        <f>SUMIFS(tblPlant[Crushed_t],tblPlant[Date],$A209)</f>
        <v/>
      </c>
      <c r="CS209" s="55">
        <f>IF($B209=$B208,$CS208,0)+$CR209</f>
        <v/>
      </c>
      <c r="CT209" s="55">
        <f>$CT208+$CR209</f>
        <v/>
      </c>
      <c r="CU209" s="55">
        <f>SUMIFS(tblPlant[Milled_t],tblPlant[Date],$A209)</f>
        <v/>
      </c>
      <c r="CV209" s="55">
        <f>IF($B209=$B208,$CV208,0)+$CU209</f>
        <v/>
      </c>
      <c r="CW209" s="55">
        <f>$CW208+$CU209</f>
        <v/>
      </c>
      <c r="CX209" s="55">
        <f>SUMIFS(tblPlant[Feed_oz],tblPlant[Date],$A209)</f>
        <v/>
      </c>
      <c r="CY209" s="55">
        <f>IF($B209=$B208,$CY208,0)+$CX209</f>
        <v/>
      </c>
      <c r="CZ209" s="55">
        <f>$CZ208+$CX209</f>
        <v/>
      </c>
      <c r="DA209" s="55">
        <f>SUMIFS(tblPlant[Tails_oz],tblPlant[Date],$A209)</f>
        <v/>
      </c>
      <c r="DB209" s="55">
        <f>IF($B209=$B208,$DB208,0)+$DA209</f>
        <v/>
      </c>
      <c r="DC209" s="55">
        <f>$DC208+$DA209</f>
        <v/>
      </c>
      <c r="DD209" s="55">
        <f>SUMIFS(tblPlant[Recovered_oz],tblPlant[Date],$A209)</f>
        <v/>
      </c>
      <c r="DE209" s="55">
        <f>IF($B209=$B208,$DE208,0)+$DD209</f>
        <v/>
      </c>
      <c r="DF209" s="55">
        <f>$DF208+$DD209</f>
        <v/>
      </c>
      <c r="DG209" s="55">
        <f>SUMIFS(tblPlant[Milled_t],tblPlant[Date],$A209,tblPlant[Head_Grade_gpt],"&lt;&gt;")</f>
        <v/>
      </c>
      <c r="DH209" s="55">
        <f>IF($B209=$B208,$DH208,0)+$DG209</f>
        <v/>
      </c>
      <c r="DI209" s="55">
        <f>$DI208+$DG209</f>
        <v/>
      </c>
      <c r="DJ209" s="55">
        <f>SUMIFS(tblPlant[Milled_t],tblPlant[Date],$A209,tblPlant[Tails_Grade_gpt],"&lt;&gt;")</f>
        <v/>
      </c>
      <c r="DK209" s="55">
        <f>IF($B209=$B208,$DK208,0)+$DJ209</f>
        <v/>
      </c>
      <c r="DL209" s="55">
        <f>$DL208+$DJ209</f>
        <v/>
      </c>
      <c r="DM209" s="55">
        <f>SUMIFS(tblPlant[Feed_oz],tblPlant[Date],$A209,tblPlant[Tails_Grade_gpt],"&lt;&gt;")</f>
        <v/>
      </c>
      <c r="DN209" s="55">
        <f>IF($B209=$B208,$DN208,0)+$DM209</f>
        <v/>
      </c>
      <c r="DO209" s="55">
        <f>$DO208+$DM209</f>
        <v/>
      </c>
      <c r="DP209" s="55">
        <f>SUMIFS(tblPlant[Milled_t],tblPlant[Date],$A209,tblPlant[Mill_Run_h],"&lt;&gt;")</f>
        <v/>
      </c>
      <c r="DQ209" s="55">
        <f>IF($B209=$B208,$DQ208,0)+$DP209</f>
        <v/>
      </c>
      <c r="DR209" s="55">
        <f>$DR208+$DP209</f>
        <v/>
      </c>
      <c r="DS209" s="56">
        <f>IFERROR(IF(($DG209)&gt;0,($CX209*cfg_TroyOz)/($DG209),""),"")</f>
        <v/>
      </c>
      <c r="DT209" s="56">
        <f>IFERROR(IF(($DH209)&gt;0,($CY209*cfg_TroyOz)/($DH209),""),"")</f>
        <v/>
      </c>
      <c r="DU209" s="56">
        <f>IFERROR(IF(($DI209)&gt;0,($CZ209*cfg_TroyOz)/($DI209),""),"")</f>
        <v/>
      </c>
      <c r="DV209" s="56">
        <f>IFERROR(IF(($DJ209)&gt;0,($DA209*cfg_TroyOz)/($DJ209),""),"")</f>
        <v/>
      </c>
      <c r="DW209" s="56">
        <f>IFERROR(IF(($DK209)&gt;0,($DB209*cfg_TroyOz)/($DK209),""),"")</f>
        <v/>
      </c>
      <c r="DX209" s="56">
        <f>IFERROR(IF(($DL209)&gt;0,($DC209*cfg_TroyOz)/($DL209),""),"")</f>
        <v/>
      </c>
      <c r="DY209" s="67">
        <f>IFERROR(IF(($DM209)&gt;0,($DD209)/($DM209),""),"")</f>
        <v/>
      </c>
      <c r="DZ209" s="67">
        <f>IFERROR(IF(($DN209)&gt;0,($DE209)/($DN209),""),"")</f>
        <v/>
      </c>
      <c r="EA209" s="67">
        <f>IFERROR(IF(($DO209)&gt;0,($DF209)/($DO209),""),"")</f>
        <v/>
      </c>
      <c r="EB209" s="55">
        <f>SUMIFS(tblPlant[Gravity_Gold_oz],tblPlant[Date],$A209)</f>
        <v/>
      </c>
      <c r="EC209" s="55">
        <f>IF($B209=$B208,$EC208,0)+$EB209</f>
        <v/>
      </c>
      <c r="ED209" s="55">
        <f>$ED208+$EB209</f>
        <v/>
      </c>
      <c r="EE209" s="67">
        <f>IFERROR(IF(($DD209)&gt;0,($EB209)/($DD209),""),"")</f>
        <v/>
      </c>
      <c r="EF209" s="67">
        <f>IFERROR(IF(($DE209)&gt;0,($EC209)/($DE209),""),"")</f>
        <v/>
      </c>
      <c r="EG209" s="67">
        <f>IFERROR(IF(($DF209)&gt;0,($ED209)/($DF209),""),"")</f>
        <v/>
      </c>
      <c r="EH209" s="55">
        <f>SUMIFS(tblPlant[Gold_Poured_oz],tblPlant[Date],$A209)</f>
        <v/>
      </c>
      <c r="EI209" s="55">
        <f>IF($B209=$B208,$EI208,0)+$EH209</f>
        <v/>
      </c>
      <c r="EJ209" s="55">
        <f>$EJ208+$EH209</f>
        <v/>
      </c>
      <c r="EK209" s="57">
        <f>SUMIFS(tblPlant[Mill_Run_h],tblPlant[Date],$A209)</f>
        <v/>
      </c>
      <c r="EL209" s="57">
        <f>IF($B209=$B208,$EL208,0)+$EK209</f>
        <v/>
      </c>
      <c r="EM209" s="57">
        <f>$EM208+$EK209</f>
        <v/>
      </c>
      <c r="EN209" s="57">
        <f>SUMIFS(tblPlant[Mill_Planned_Maint_h],tblPlant[Date],$A209)</f>
        <v/>
      </c>
      <c r="EO209" s="57">
        <f>IF($B209=$B208,$EO208,0)+$EN209</f>
        <v/>
      </c>
      <c r="EP209" s="57">
        <f>$EP208+$EN209</f>
        <v/>
      </c>
      <c r="EQ209" s="57">
        <f>SUMIFS(tblPlant[Mill_Unplanned_Down_h],tblPlant[Date],$A209)</f>
        <v/>
      </c>
      <c r="ER209" s="57">
        <f>IF($B209=$B208,$ER208,0)+$EQ209</f>
        <v/>
      </c>
      <c r="ES209" s="57">
        <f>$ES208+$EQ209</f>
        <v/>
      </c>
      <c r="ET209" s="57">
        <f>IF(COUNTIFS(tblPlant[Date],$A209,tblPlant[Mill_Run_h],"&lt;&gt;")+COUNTIFS(tblPlant[Date],$A209,tblPlant[Mill_Planned_Maint_h],"&lt;&gt;")+COUNTIFS(tblPlant[Date],$A209,tblPlant[Mill_Unplanned_Down_h],"&lt;&gt;")&gt;0,cfg_HoursPerDay,0)</f>
        <v/>
      </c>
      <c r="EU209" s="57">
        <f>IF($B209=$B208,$EU208,0)+$ET209</f>
        <v/>
      </c>
      <c r="EV209" s="57">
        <f>$EV208+$ET209</f>
        <v/>
      </c>
      <c r="EW209" s="57">
        <f>SUMIFS(tblPlant[Crusher_Run_h],tblPlant[Date],$A209)</f>
        <v/>
      </c>
      <c r="EX209" s="57">
        <f>IF($B209=$B208,$EX208,0)+$EW209</f>
        <v/>
      </c>
      <c r="EY209" s="57">
        <f>$EY208+$EW209</f>
        <v/>
      </c>
      <c r="EZ209" s="55">
        <f>IFERROR(IF(($EK209)&gt;0,($DP209)/($EK209),""),"")</f>
        <v/>
      </c>
      <c r="FA209" s="55">
        <f>IFERROR(IF(($EL209)&gt;0,($DQ209)/($EL209),""),"")</f>
        <v/>
      </c>
      <c r="FB209" s="55">
        <f>IFERROR(IF(($EM209)&gt;0,($DR209)/($EM209),""),"")</f>
        <v/>
      </c>
      <c r="FC209" s="67">
        <f>IFERROR(IF(($ET209)&gt;0,($ET209-$EN209-$EQ209)/($ET209),""),"")</f>
        <v/>
      </c>
      <c r="FD209" s="67">
        <f>IFERROR(IF(($EU209)&gt;0,($EU209-$EO209-$ER209)/($EU209),""),"")</f>
        <v/>
      </c>
      <c r="FE209" s="67">
        <f>IFERROR(IF(($EV209)&gt;0,($EV209-$EP209-$ES209)/($EV209),""),"")</f>
        <v/>
      </c>
      <c r="FF209" s="67">
        <f>IFERROR(IF(($ET209-$EN209-$EQ209)&gt;0,($EK209)/($ET209-$EN209-$EQ209),""),"")</f>
        <v/>
      </c>
      <c r="FG209" s="67">
        <f>IFERROR(IF(($EU209-$EO209-$ER209)&gt;0,($EL209)/($EU209-$EO209-$ER209),""),"")</f>
        <v/>
      </c>
      <c r="FH209" s="67">
        <f>IFERROR(IF(($EV209-$EP209-$ES209)&gt;0,($EM209)/($EV209-$EP209-$ES209),""),"")</f>
        <v/>
      </c>
      <c r="FI209" s="55">
        <f>SUMIFS(tblPlant[Cyanide_kg],tblPlant[Date],$A209)</f>
        <v/>
      </c>
      <c r="FJ209" s="55">
        <f>IF($B209=$B208,$FJ208,0)+$FI209</f>
        <v/>
      </c>
      <c r="FK209" s="55">
        <f>$FK208+$FI209</f>
        <v/>
      </c>
      <c r="FL209" s="55">
        <f>SUMIFS(tblPlant[Lime_kg],tblPlant[Date],$A209)</f>
        <v/>
      </c>
      <c r="FM209" s="55">
        <f>IF($B209=$B208,$FM208,0)+$FL209</f>
        <v/>
      </c>
      <c r="FN209" s="55">
        <f>$FN208+$FL209</f>
        <v/>
      </c>
      <c r="FO209" s="55">
        <f>SUMIFS(tblPlant[Grinding_Media_kg],tblPlant[Date],$A209)</f>
        <v/>
      </c>
      <c r="FP209" s="55">
        <f>IF($B209=$B208,$FP208,0)+$FO209</f>
        <v/>
      </c>
      <c r="FQ209" s="55">
        <f>$FQ208+$FO209</f>
        <v/>
      </c>
      <c r="FR209" s="55">
        <f>SUMIFS(tblPlant[Power_kWh],tblPlant[Date],$A209)</f>
        <v/>
      </c>
      <c r="FS209" s="55">
        <f>IF($B209=$B208,$FS208,0)+$FR209</f>
        <v/>
      </c>
      <c r="FT209" s="55">
        <f>$FT208+$FR209</f>
        <v/>
      </c>
      <c r="FU209" s="55">
        <f>SUMIFS(tblPlant[Raw_Water_m3],tblPlant[Date],$A209)</f>
        <v/>
      </c>
      <c r="FV209" s="55">
        <f>IF($B209=$B208,$FV208,0)+$FU209</f>
        <v/>
      </c>
      <c r="FW209" s="55">
        <f>$FW208+$FU209</f>
        <v/>
      </c>
      <c r="FX209" s="56">
        <f>IFERROR(IF(($CU209)&gt;0,($FI209)/($CU209),""),"")</f>
        <v/>
      </c>
      <c r="FY209" s="56">
        <f>IFERROR(IF(($CV209)&gt;0,($FJ209)/($CV209),""),"")</f>
        <v/>
      </c>
      <c r="FZ209" s="56">
        <f>IFERROR(IF(($CW209)&gt;0,($FK209)/($CW209),""),"")</f>
        <v/>
      </c>
      <c r="GA209" s="56">
        <f>IFERROR(IF(($CU209)&gt;0,($FL209)/($CU209),""),"")</f>
        <v/>
      </c>
      <c r="GB209" s="56">
        <f>IFERROR(IF(($CV209)&gt;0,($FM209)/($CV209),""),"")</f>
        <v/>
      </c>
      <c r="GC209" s="56">
        <f>IFERROR(IF(($CW209)&gt;0,($FN209)/($CW209),""),"")</f>
        <v/>
      </c>
      <c r="GD209" s="56">
        <f>IFERROR(IF(($CU209)&gt;0,($FO209)/($CU209),""),"")</f>
        <v/>
      </c>
      <c r="GE209" s="56">
        <f>IFERROR(IF(($CV209)&gt;0,($FP209)/($CV209),""),"")</f>
        <v/>
      </c>
      <c r="GF209" s="56">
        <f>IFERROR(IF(($CW209)&gt;0,($FQ209)/($CW209),""),"")</f>
        <v/>
      </c>
      <c r="GG209" s="79">
        <f>IFERROR(IF(($CU209)&gt;0,($FR209)/($CU209),""),"")</f>
        <v/>
      </c>
      <c r="GH209" s="79">
        <f>IFERROR(IF(($CV209)&gt;0,($FS209)/($CV209),""),"")</f>
        <v/>
      </c>
      <c r="GI209" s="79">
        <f>IFERROR(IF(($CW209)&gt;0,($FT209)/($CW209),""),"")</f>
        <v/>
      </c>
      <c r="GJ209" s="56">
        <f>IFERROR(IF(($CU209)&gt;0,($FU209)/($CU209),""),"")</f>
        <v/>
      </c>
      <c r="GK209" s="56">
        <f>IFERROR(IF(($CV209)&gt;0,($FV209)/($CV209),""),"")</f>
        <v/>
      </c>
      <c r="GL209" s="56">
        <f>IFERROR(IF(($CW209)&gt;0,($FW209)/($CW209),""),"")</f>
        <v/>
      </c>
      <c r="GM209" s="55">
        <f>IF(SUMIFS(tblPlant[GIC_oz],tblPlant[Date],$A209)&gt;0,SUMIFS(tblPlant[GIC_oz],tblPlant[Date],$A209),"")</f>
        <v/>
      </c>
      <c r="GN209" s="55">
        <f>SUMIFS(tblGold[Gold_oz],tblGold[Date],$A209,tblGold[Type],"Shipment")</f>
        <v/>
      </c>
      <c r="GO209" s="55">
        <f>IF($B209=$B208,$GO208,0)+$GN209</f>
        <v/>
      </c>
      <c r="GP209" s="55">
        <f>$GP208+$GN209</f>
        <v/>
      </c>
      <c r="GQ209" s="55">
        <f>SUMIFS(tblGold[Gold_oz],tblGold[Date],$A209,tblGold[Type],"Sale")</f>
        <v/>
      </c>
      <c r="GR209" s="55">
        <f>IF($B209=$B208,$GR208,0)+$GQ209</f>
        <v/>
      </c>
      <c r="GS209" s="55">
        <f>$GS208+$GQ209</f>
        <v/>
      </c>
      <c r="GT209" s="55">
        <f>SUMIFS(tblGold[Dore_kg],tblGold[Date],$A209,tblGold[Type],"Shipment")</f>
        <v/>
      </c>
      <c r="GU209" s="55">
        <f>IF($B209=$B208,$GU208,0)+$GT209</f>
        <v/>
      </c>
      <c r="GV209" s="55">
        <f>$GV208+$GT209</f>
        <v/>
      </c>
      <c r="GW209" s="57">
        <f>SUMIFS(tblSafety[Hours_Total],tblSafety[Date],$A209)</f>
        <v/>
      </c>
      <c r="GX209" s="57">
        <f>IF($B209=$B208,$GX208,0)+$GW209</f>
        <v/>
      </c>
      <c r="GY209" s="57">
        <f>$GY208+$GW209</f>
        <v/>
      </c>
      <c r="GZ209" s="62">
        <f>SUMIFS(tblSafety[Fatality],tblSafety[Date],$A209)</f>
        <v/>
      </c>
      <c r="HA209" s="62">
        <f>IF($B209=$B208,$HA208,0)+$GZ209</f>
        <v/>
      </c>
      <c r="HB209" s="62">
        <f>$HB208+$GZ209</f>
        <v/>
      </c>
      <c r="HC209" s="62">
        <f>SUMIFS(tblSafety[LTI],tblSafety[Date],$A209)</f>
        <v/>
      </c>
      <c r="HD209" s="62">
        <f>IF($B209=$B208,$HD208,0)+$HC209</f>
        <v/>
      </c>
      <c r="HE209" s="62">
        <f>$HE208+$HC209</f>
        <v/>
      </c>
      <c r="HF209" s="62">
        <f>SUMIFS(tblSafety[RWI],tblSafety[Date],$A209)</f>
        <v/>
      </c>
      <c r="HG209" s="62">
        <f>IF($B209=$B208,$HG208,0)+$HF209</f>
        <v/>
      </c>
      <c r="HH209" s="62">
        <f>$HH208+$HF209</f>
        <v/>
      </c>
      <c r="HI209" s="62">
        <f>SUMIFS(tblSafety[MTI],tblSafety[Date],$A209)</f>
        <v/>
      </c>
      <c r="HJ209" s="62">
        <f>IF($B209=$B208,$HJ208,0)+$HI209</f>
        <v/>
      </c>
      <c r="HK209" s="62">
        <f>$HK208+$HI209</f>
        <v/>
      </c>
      <c r="HL209" s="62">
        <f>SUMIFS(tblSafety[FAI],tblSafety[Date],$A209)</f>
        <v/>
      </c>
      <c r="HM209" s="62">
        <f>IF($B209=$B208,$HM208,0)+$HL209</f>
        <v/>
      </c>
      <c r="HN209" s="62">
        <f>$HN208+$HL209</f>
        <v/>
      </c>
      <c r="HO209" s="62">
        <f>SUMIFS(tblSafety[Recordables],tblSafety[Date],$A209)</f>
        <v/>
      </c>
      <c r="HP209" s="62">
        <f>IF($B209=$B208,$HP208,0)+$HO209</f>
        <v/>
      </c>
      <c r="HQ209" s="62">
        <f>$HQ208+$HO209</f>
        <v/>
      </c>
      <c r="HR209" s="62">
        <f>SUMIFS(tblSafety[Near_Miss],tblSafety[Date],$A209)</f>
        <v/>
      </c>
      <c r="HS209" s="62">
        <f>IF($B209=$B208,$HS208,0)+$HR209</f>
        <v/>
      </c>
      <c r="HT209" s="62">
        <f>$HT208+$HR209</f>
        <v/>
      </c>
      <c r="HU209" s="62">
        <f>SUMIFS(tblSafety[Hazard_Reports],tblSafety[Date],$A209)</f>
        <v/>
      </c>
      <c r="HV209" s="62">
        <f>IF($B209=$B208,$HV208,0)+$HU209</f>
        <v/>
      </c>
      <c r="HW209" s="62">
        <f>$HW208+$HU209</f>
        <v/>
      </c>
      <c r="HX209" s="62">
        <f>SUMIFS(tblSafety[HPI],tblSafety[Date],$A209)</f>
        <v/>
      </c>
      <c r="HY209" s="62">
        <f>IF($B209=$B208,$HY208,0)+$HX209</f>
        <v/>
      </c>
      <c r="HZ209" s="62">
        <f>$HZ208+$HX209</f>
        <v/>
      </c>
      <c r="IA209" s="62">
        <f>SUMIFS(tblSafety[Env_Incidents],tblSafety[Date],$A209)</f>
        <v/>
      </c>
      <c r="IB209" s="62">
        <f>IF($B209=$B208,$IB208,0)+$IA209</f>
        <v/>
      </c>
      <c r="IC209" s="62">
        <f>$IC208+$IA209</f>
        <v/>
      </c>
      <c r="ID209" s="62">
        <f>SUMIFS(tblSafety[Community_Incidents],tblSafety[Date],$A209)</f>
        <v/>
      </c>
      <c r="IE209" s="62">
        <f>IF($B209=$B208,$IE208,0)+$ID209</f>
        <v/>
      </c>
      <c r="IF209" s="62">
        <f>$IF208+$ID209</f>
        <v/>
      </c>
      <c r="IG209" s="62">
        <f>SUMIFS(tblSafety[Vehicle_Incidents],tblSafety[Date],$A209)</f>
        <v/>
      </c>
      <c r="IH209" s="62">
        <f>IF($B209=$B208,$IH208,0)+$IG209</f>
        <v/>
      </c>
      <c r="II209" s="62">
        <f>$II208+$IG209</f>
        <v/>
      </c>
      <c r="IJ209" s="62">
        <f>SUMIFS(tblSafety[Toolbox_Talks],tblSafety[Date],$A209)</f>
        <v/>
      </c>
      <c r="IK209" s="62">
        <f>IF($B209=$B208,$IK208,0)+$IJ209</f>
        <v/>
      </c>
      <c r="IL209" s="62">
        <f>$IL208+$IJ209</f>
        <v/>
      </c>
      <c r="IM209" s="62">
        <f>SUMIFS(tblSafety[Inspections],tblSafety[Date],$A209)</f>
        <v/>
      </c>
      <c r="IN209" s="62">
        <f>IF($B209=$B208,$IN208,0)+$IM209</f>
        <v/>
      </c>
      <c r="IO209" s="62">
        <f>$IO208+$IM209</f>
        <v/>
      </c>
      <c r="IP209" s="56">
        <f>IFERROR((SUMIFS(tblSafety[Recordables],tblSafety[Date],"&gt;="&amp;EDATE($E209,-12),tblSafety[Date],"&lt;="&amp;$A209)+SUMIFS(tblSafetyHistory[Recordables],tblSafetyHistory[Month],"&gt;="&amp;EDATE($E209,-12),tblSafetyHistory[Month],"&lt;"&amp;$E209,tblSafetyHistory[Use],1))/(SUMIFS(tblSafety[Hours_Total],tblSafety[Date],"&gt;="&amp;EDATE($E209,-12),tblSafety[Date],"&lt;="&amp;$A209)+SUMIFS(tblSafetyHistory[Hours_Total],tblSafetyHistory[Month],"&gt;="&amp;EDATE($E209,-12),tblSafetyHistory[Month],"&lt;"&amp;$E209,tblSafetyHistory[Use],1))*cfg_RateBasisHours,"")</f>
        <v/>
      </c>
      <c r="IQ209" s="56">
        <f>IFERROR((SUMIFS(tblSafety[LTI],tblSafety[Date],"&gt;="&amp;EDATE($E209,-12),tblSafety[Date],"&lt;="&amp;$A209)+SUMIFS(tblSafetyHistory[LTI],tblSafetyHistory[Month],"&gt;="&amp;EDATE($E209,-12),tblSafetyHistory[Month],"&lt;"&amp;$E209,tblSafetyHistory[Use],1))/(SUMIFS(tblSafety[Hours_Total],tblSafety[Date],"&gt;="&amp;EDATE($E209,-12),tblSafety[Date],"&lt;="&amp;$A209)+SUMIFS(tblSafetyHistory[Hours_Total],tblSafetyHistory[Month],"&gt;="&amp;EDATE($E209,-12),tblSafetyHistory[Month],"&lt;"&amp;$E209,tblSafetyHistory[Use],1))*cfg_RateBasisHours,"")</f>
        <v/>
      </c>
      <c r="IR209" s="62">
        <f>IF(MAX(N(cfg_PriorLTIDate),_xlfn.MAXIFS(tblSafety[Date],tblSafety[LTI],"&gt;0",tblSafety[Date],"&lt;="&amp;$A209))=0,"",$A209-MAX(N(cfg_PriorLTIDate),_xlfn.MAXIFS(tblSafety[Date],tblSafety[LTI],"&gt;0",tblSafety[Date],"&lt;="&amp;$A209)))</f>
        <v/>
      </c>
      <c r="IS209" s="55">
        <f>SUMIFS(tblBudget[Ore_Mined_t],tblBudget[Month],$E209)</f>
        <v/>
      </c>
      <c r="IT209" s="55">
        <f>$IS209*$C209/$D209</f>
        <v/>
      </c>
      <c r="IU209" s="55">
        <f>SUMIFS(tblBudget[Ore_Mined_t],tblBudget[Month],"&lt;"&amp;$E209)+$IT209</f>
        <v/>
      </c>
      <c r="IV209" s="55">
        <f>SUMIFS(tblBudget[Ore_oz],tblBudget[Month],$E209)</f>
        <v/>
      </c>
      <c r="IW209" s="55">
        <f>$IV209*$C209/$D209</f>
        <v/>
      </c>
      <c r="IX209" s="55">
        <f>SUMIFS(tblBudget[Ore_oz],tblBudget[Month],"&lt;"&amp;$E209)+$IW209</f>
        <v/>
      </c>
      <c r="IY209" s="55">
        <f>SUMIFS(tblBudget[Ore_Mined_t],tblBudget[Month],$E209)</f>
        <v/>
      </c>
      <c r="IZ209" s="55">
        <f>$IY209*$C209/$D209</f>
        <v/>
      </c>
      <c r="JA209" s="55">
        <f>SUMIFS(tblBudget[Ore_Mined_t],tblBudget[Month],"&lt;"&amp;$E209)+$IZ209</f>
        <v/>
      </c>
      <c r="JB209" s="56">
        <f>IFERROR(IF(($IY209)&gt;0,($IV209*cfg_TroyOz)/($IY209),""),"")</f>
        <v/>
      </c>
      <c r="JC209" s="56">
        <f>IFERROR(IF(($IZ209)&gt;0,($IW209*cfg_TroyOz)/($IZ209),""),"")</f>
        <v/>
      </c>
      <c r="JD209" s="56">
        <f>IFERROR(IF(($JA209)&gt;0,($IX209*cfg_TroyOz)/($JA209),""),"")</f>
        <v/>
      </c>
      <c r="JE209" s="55">
        <f>SUMIFS(tblBudget[Waste_t],tblBudget[Month],$E209)</f>
        <v/>
      </c>
      <c r="JF209" s="55">
        <f>$JE209*$C209/$D209</f>
        <v/>
      </c>
      <c r="JG209" s="55">
        <f>SUMIFS(tblBudget[Waste_t],tblBudget[Month],"&lt;"&amp;$E209)+$JF209</f>
        <v/>
      </c>
      <c r="JH209" s="55">
        <f>SUMIFS(tblBudget[TMM_t],tblBudget[Month],$E209)</f>
        <v/>
      </c>
      <c r="JI209" s="55">
        <f>$JH209*$C209/$D209</f>
        <v/>
      </c>
      <c r="JJ209" s="55">
        <f>SUMIFS(tblBudget[TMM_t],tblBudget[Month],"&lt;"&amp;$E209)+$JI209</f>
        <v/>
      </c>
      <c r="JK209" s="56">
        <f>IFERROR(IF(($IS209)&gt;0,($JE209)/($IS209),""),"")</f>
        <v/>
      </c>
      <c r="JL209" s="56">
        <f>IFERROR(IF(($IT209)&gt;0,($JF209)/($IT209),""),"")</f>
        <v/>
      </c>
      <c r="JM209" s="56">
        <f>IFERROR(IF(($IU209)&gt;0,($JG209)/($IU209),""),"")</f>
        <v/>
      </c>
      <c r="JN209" s="55">
        <f>SUMIFS(tblBudget[Drill_m],tblBudget[Month],$E209)</f>
        <v/>
      </c>
      <c r="JO209" s="55">
        <f>$JN209*$C209/$D209</f>
        <v/>
      </c>
      <c r="JP209" s="55">
        <f>SUMIFS(tblBudget[Drill_m],tblBudget[Month],"&lt;"&amp;$E209)+$JO209</f>
        <v/>
      </c>
      <c r="JQ209" s="55">
        <f>SUMIFS(tblBudget[Diesel_L],tblBudget[Month],$E209)</f>
        <v/>
      </c>
      <c r="JR209" s="55">
        <f>$JQ209*$C209/$D209</f>
        <v/>
      </c>
      <c r="JS209" s="55">
        <f>SUMIFS(tblBudget[Diesel_L],tblBudget[Month],"&lt;"&amp;$E209)+$JR209</f>
        <v/>
      </c>
      <c r="JT209" s="55">
        <f>SUMIFS(tblBudget[Milled_t],tblBudget[Month],$E209)</f>
        <v/>
      </c>
      <c r="JU209" s="55">
        <f>$JT209*$C209/$D209</f>
        <v/>
      </c>
      <c r="JV209" s="55">
        <f>SUMIFS(tblBudget[Milled_t],tblBudget[Month],"&lt;"&amp;$E209)+$JU209</f>
        <v/>
      </c>
      <c r="JW209" s="55">
        <f>SUMIFS(tblBudget[Feed_oz],tblBudget[Month],$E209)</f>
        <v/>
      </c>
      <c r="JX209" s="55">
        <f>$JW209*$C209/$D209</f>
        <v/>
      </c>
      <c r="JY209" s="55">
        <f>SUMIFS(tblBudget[Feed_oz],tblBudget[Month],"&lt;"&amp;$E209)+$JX209</f>
        <v/>
      </c>
      <c r="JZ209" s="55">
        <f>SUMIFS(tblBudget[Recovered_oz],tblBudget[Month],$E209)</f>
        <v/>
      </c>
      <c r="KA209" s="55">
        <f>$JZ209*$C209/$D209</f>
        <v/>
      </c>
      <c r="KB209" s="55">
        <f>SUMIFS(tblBudget[Recovered_oz],tblBudget[Month],"&lt;"&amp;$E209)+$KA209</f>
        <v/>
      </c>
      <c r="KC209" s="55">
        <f>SUMIFS(tblBudget[Milled_t],tblBudget[Month],$E209)</f>
        <v/>
      </c>
      <c r="KD209" s="55">
        <f>$KC209*$C209/$D209</f>
        <v/>
      </c>
      <c r="KE209" s="55">
        <f>SUMIFS(tblBudget[Milled_t],tblBudget[Month],"&lt;"&amp;$E209)+$KD209</f>
        <v/>
      </c>
      <c r="KF209" s="55">
        <f>SUMIFS(tblBudget[Feed_oz],tblBudget[Month],$E209)</f>
        <v/>
      </c>
      <c r="KG209" s="55">
        <f>$KF209*$C209/$D209</f>
        <v/>
      </c>
      <c r="KH209" s="55">
        <f>SUMIFS(tblBudget[Feed_oz],tblBudget[Month],"&lt;"&amp;$E209)+$KG209</f>
        <v/>
      </c>
      <c r="KI209" s="56">
        <f>IFERROR(IF(($KC209)&gt;0,($JW209*cfg_TroyOz)/($KC209),""),"")</f>
        <v/>
      </c>
      <c r="KJ209" s="56">
        <f>IFERROR(IF(($KD209)&gt;0,($JX209*cfg_TroyOz)/($KD209),""),"")</f>
        <v/>
      </c>
      <c r="KK209" s="56">
        <f>IFERROR(IF(($KE209)&gt;0,($JY209*cfg_TroyOz)/($KE209),""),"")</f>
        <v/>
      </c>
      <c r="KL209" s="67">
        <f>IFERROR(IF(($KF209)&gt;0,($JZ209)/($KF209),""),"")</f>
        <v/>
      </c>
      <c r="KM209" s="67">
        <f>IFERROR(IF(($KG209)&gt;0,($KA209)/($KG209),""),"")</f>
        <v/>
      </c>
      <c r="KN209" s="67">
        <f>IFERROR(IF(($KH209)&gt;0,($KB209)/($KH209),""),"")</f>
        <v/>
      </c>
      <c r="KO209" s="55">
        <f>SUMIFS(tblBudget[Gold_Poured_oz],tblBudget[Month],$E209)</f>
        <v/>
      </c>
      <c r="KP209" s="55">
        <f>$KO209*$C209/$D209</f>
        <v/>
      </c>
      <c r="KQ209" s="55">
        <f>SUMIFS(tblBudget[Gold_Poured_oz],tblBudget[Month],"&lt;"&amp;$E209)+$KP209</f>
        <v/>
      </c>
      <c r="KR209" s="57">
        <f>SUMIFS(tblBudget[Hours_Worked],tblBudget[Month],$E209)</f>
        <v/>
      </c>
      <c r="KS209" s="57">
        <f>$KR209*$C209/$D209</f>
        <v/>
      </c>
      <c r="KT209" s="57">
        <f>SUMIFS(tblBudget[Hours_Worked],tblBudget[Month],"&lt;"&amp;$E209)+$KS209</f>
        <v/>
      </c>
    </row>
    <row r="210">
      <c r="A210" s="54" t="n">
        <v>46231</v>
      </c>
      <c r="B210">
        <f>MONTH($A210)</f>
        <v/>
      </c>
      <c r="C210">
        <f>DAY($A210)</f>
        <v/>
      </c>
      <c r="D210">
        <f>DAY(EOMONTH($A210,0))</f>
        <v/>
      </c>
      <c r="E210" s="54">
        <f>DATE(YEAR($A210),MONTH($A210),1)</f>
        <v/>
      </c>
      <c r="F210" s="55">
        <f>SUMIFS(tblMovement[Tonnes_t],tblMovement[Date],$A210,tblMovement[Is_Ore],1,tblMovement[Source_Type],"Pit")</f>
        <v/>
      </c>
      <c r="G210" s="55">
        <f>IF($B210=$B209,$G209,0)+$F210</f>
        <v/>
      </c>
      <c r="H210" s="55">
        <f>$H209+$F210</f>
        <v/>
      </c>
      <c r="I210" s="55">
        <f>SUMIFS(tblMovement[Ore_oz],tblMovement[Date],$A210,tblMovement[Source_Type],"Pit")</f>
        <v/>
      </c>
      <c r="J210" s="55">
        <f>IF($B210=$B209,$J209,0)+$I210</f>
        <v/>
      </c>
      <c r="K210" s="55">
        <f>$K209+$I210</f>
        <v/>
      </c>
      <c r="L210" s="55">
        <f>SUMIFS(tblMovement[Tonnes_t],tblMovement[Date],$A210,tblMovement[Is_Ore],1,tblMovement[Source_Type],"Pit",tblMovement[Grade_gpt],"&lt;&gt;")</f>
        <v/>
      </c>
      <c r="M210" s="55">
        <f>IF($B210=$B209,$M209,0)+$L210</f>
        <v/>
      </c>
      <c r="N210" s="55">
        <f>$N209+$L210</f>
        <v/>
      </c>
      <c r="O210" s="56">
        <f>IFERROR(IF(($L210)&gt;0,($I210*cfg_TroyOz)/($L210),""),"")</f>
        <v/>
      </c>
      <c r="P210" s="56">
        <f>IFERROR(IF(($M210)&gt;0,($J210*cfg_TroyOz)/($M210),""),"")</f>
        <v/>
      </c>
      <c r="Q210" s="56">
        <f>IFERROR(IF(($N210)&gt;0,($K210*cfg_TroyOz)/($N210),""),"")</f>
        <v/>
      </c>
      <c r="R210" s="55">
        <f>$F210-$L210</f>
        <v/>
      </c>
      <c r="S210" s="55">
        <f>IF($B210=$B209,$S209,0)+$R210</f>
        <v/>
      </c>
      <c r="T210" s="55">
        <f>$T209+$R210</f>
        <v/>
      </c>
      <c r="U210" s="55">
        <f>SUMIFS(tblMovement[Tonnes_t],tblMovement[Date],$A210,tblMovement[Is_Ore],0,tblMovement[Source_Type],"Pit")</f>
        <v/>
      </c>
      <c r="V210" s="55">
        <f>IF($B210=$B209,$V209,0)+$U210</f>
        <v/>
      </c>
      <c r="W210" s="55">
        <f>$W209+$U210</f>
        <v/>
      </c>
      <c r="X210" s="55">
        <f>$F210+$U210</f>
        <v/>
      </c>
      <c r="Y210" s="55">
        <f>IF($B210=$B209,$Y209,0)+$X210</f>
        <v/>
      </c>
      <c r="Z210" s="55">
        <f>$Z209+$X210</f>
        <v/>
      </c>
      <c r="AA210" s="56">
        <f>IFERROR(IF(($F210)&gt;0,($U210)/($F210),""),"")</f>
        <v/>
      </c>
      <c r="AB210" s="56">
        <f>IFERROR(IF(($G210)&gt;0,($V210)/($G210),""),"")</f>
        <v/>
      </c>
      <c r="AC210" s="56">
        <f>IFERROR(IF(($H210)&gt;0,($W210)/($H210),""),"")</f>
        <v/>
      </c>
      <c r="AD210" s="55">
        <f>SUMIFS(tblMovement[Tonnes_t],tblMovement[Date],$A210,tblMovement[Source_Type],"Stockpile")</f>
        <v/>
      </c>
      <c r="AE210" s="55">
        <f>IF($B210=$B209,$AE209,0)+$AD210</f>
        <v/>
      </c>
      <c r="AF210" s="55">
        <f>$AF209+$AD210</f>
        <v/>
      </c>
      <c r="AG210" s="55">
        <f>SUMIFS(tblMovement[Tonnes_t],tblMovement[Date],$A210)</f>
        <v/>
      </c>
      <c r="AH210" s="55">
        <f>IF($B210=$B209,$AH209,0)+$AG210</f>
        <v/>
      </c>
      <c r="AI210" s="55">
        <f>$AI209+$AG210</f>
        <v/>
      </c>
      <c r="AJ210" s="55">
        <f>$AG210-$X210-$AD210</f>
        <v/>
      </c>
      <c r="AK210" s="55">
        <f>IF($B210=$B209,$AK209,0)+$AJ210</f>
        <v/>
      </c>
      <c r="AL210" s="55">
        <f>$AL209+$AJ210</f>
        <v/>
      </c>
      <c r="AM210" s="55">
        <f>SUMIFS(tblMiningDaily[Drill_m],tblMiningDaily[Date],$A210)</f>
        <v/>
      </c>
      <c r="AN210" s="55">
        <f>IF($B210=$B209,$AN209,0)+$AM210</f>
        <v/>
      </c>
      <c r="AO210" s="55">
        <f>$AO209+$AM210</f>
        <v/>
      </c>
      <c r="AP210" s="55">
        <f>SUMIFS(tblMiningDaily[GC_Drill_m],tblMiningDaily[Date],$A210)</f>
        <v/>
      </c>
      <c r="AQ210" s="55">
        <f>IF($B210=$B209,$AQ209,0)+$AP210</f>
        <v/>
      </c>
      <c r="AR210" s="55">
        <f>$AR209+$AP210</f>
        <v/>
      </c>
      <c r="AS210" s="55">
        <f>SUMIFS(tblMiningDaily[Blast_t],tblMiningDaily[Date],$A210)</f>
        <v/>
      </c>
      <c r="AT210" s="55">
        <f>IF($B210=$B209,$AT209,0)+$AS210</f>
        <v/>
      </c>
      <c r="AU210" s="55">
        <f>$AU209+$AS210</f>
        <v/>
      </c>
      <c r="AV210" s="55">
        <f>SUMIFS(tblMiningDaily[Explosives_kg],tblMiningDaily[Date],$A210)</f>
        <v/>
      </c>
      <c r="AW210" s="55">
        <f>IF($B210=$B209,$AW209,0)+$AV210</f>
        <v/>
      </c>
      <c r="AX210" s="55">
        <f>$AX209+$AV210</f>
        <v/>
      </c>
      <c r="AY210" s="56">
        <f>IFERROR(IF(($AS210)&gt;0,($AV210)/($AS210),""),"")</f>
        <v/>
      </c>
      <c r="AZ210" s="56">
        <f>IFERROR(IF(($AT210)&gt;0,($AW210)/($AT210),""),"")</f>
        <v/>
      </c>
      <c r="BA210" s="56">
        <f>IFERROR(IF(($AU210)&gt;0,($AX210)/($AU210),""),"")</f>
        <v/>
      </c>
      <c r="BB210" s="55">
        <f>SUMIFS(tblMiningDaily[Diesel_L],tblMiningDaily[Date],$A210)</f>
        <v/>
      </c>
      <c r="BC210" s="55">
        <f>IF($B210=$B209,$BC209,0)+$BB210</f>
        <v/>
      </c>
      <c r="BD210" s="55">
        <f>$BD209+$BB210</f>
        <v/>
      </c>
      <c r="BE210" s="55">
        <f>SUMIFS(tblMiningDaily[Dewatering_m3],tblMiningDaily[Date],$A210)</f>
        <v/>
      </c>
      <c r="BF210" s="55">
        <f>IF($B210=$B209,$BF209,0)+$BE210</f>
        <v/>
      </c>
      <c r="BG210" s="55">
        <f>$BG209+$BE210</f>
        <v/>
      </c>
      <c r="BH210" s="57">
        <f>SUMIFS(tblFleet[Calendar_h],tblFleet[Date],$A210,tblFleet[Equipment_Class],"Excavator")</f>
        <v/>
      </c>
      <c r="BI210" s="57">
        <f>IF($B210=$B209,$BI209,0)+$BH210</f>
        <v/>
      </c>
      <c r="BJ210" s="57">
        <f>$BJ209+$BH210</f>
        <v/>
      </c>
      <c r="BK210" s="57">
        <f>SUMIFS(tblFleet[Available_h],tblFleet[Date],$A210,tblFleet[Equipment_Class],"Excavator")</f>
        <v/>
      </c>
      <c r="BL210" s="57">
        <f>IF($B210=$B209,$BL209,0)+$BK210</f>
        <v/>
      </c>
      <c r="BM210" s="57">
        <f>$BM209+$BK210</f>
        <v/>
      </c>
      <c r="BN210" s="57">
        <f>SUMIFS(tblFleet[Operating_h],tblFleet[Date],$A210,tblFleet[Equipment_Class],"Excavator")</f>
        <v/>
      </c>
      <c r="BO210" s="57">
        <f>IF($B210=$B209,$BO209,0)+$BN210</f>
        <v/>
      </c>
      <c r="BP210" s="57">
        <f>$BP209+$BN210</f>
        <v/>
      </c>
      <c r="BQ210" s="67">
        <f>IFERROR(IF(($BH210)&gt;0,($BK210)/($BH210),""),"")</f>
        <v/>
      </c>
      <c r="BR210" s="67">
        <f>IFERROR(IF(($BI210)&gt;0,($BL210)/($BI210),""),"")</f>
        <v/>
      </c>
      <c r="BS210" s="67">
        <f>IFERROR(IF(($BJ210)&gt;0,($BM210)/($BJ210),""),"")</f>
        <v/>
      </c>
      <c r="BT210" s="67">
        <f>IFERROR(IF(($BK210)&gt;0,($BN210)/($BK210),""),"")</f>
        <v/>
      </c>
      <c r="BU210" s="67">
        <f>IFERROR(IF(($BL210)&gt;0,($BO210)/($BL210),""),"")</f>
        <v/>
      </c>
      <c r="BV210" s="67">
        <f>IFERROR(IF(($BM210)&gt;0,($BP210)/($BM210),""),"")</f>
        <v/>
      </c>
      <c r="BW210" s="57">
        <f>SUMIFS(tblFleet[Calendar_h],tblFleet[Date],$A210,tblFleet[Equipment_Class],"Haul Truck")</f>
        <v/>
      </c>
      <c r="BX210" s="57">
        <f>IF($B210=$B209,$BX209,0)+$BW210</f>
        <v/>
      </c>
      <c r="BY210" s="57">
        <f>$BY209+$BW210</f>
        <v/>
      </c>
      <c r="BZ210" s="57">
        <f>SUMIFS(tblFleet[Available_h],tblFleet[Date],$A210,tblFleet[Equipment_Class],"Haul Truck")</f>
        <v/>
      </c>
      <c r="CA210" s="57">
        <f>IF($B210=$B209,$CA209,0)+$BZ210</f>
        <v/>
      </c>
      <c r="CB210" s="57">
        <f>$CB209+$BZ210</f>
        <v/>
      </c>
      <c r="CC210" s="57">
        <f>SUMIFS(tblFleet[Operating_h],tblFleet[Date],$A210,tblFleet[Equipment_Class],"Haul Truck")</f>
        <v/>
      </c>
      <c r="CD210" s="57">
        <f>IF($B210=$B209,$CD209,0)+$CC210</f>
        <v/>
      </c>
      <c r="CE210" s="57">
        <f>$CE209+$CC210</f>
        <v/>
      </c>
      <c r="CF210" s="67">
        <f>IFERROR(IF(($BW210)&gt;0,($BZ210)/($BW210),""),"")</f>
        <v/>
      </c>
      <c r="CG210" s="67">
        <f>IFERROR(IF(($BX210)&gt;0,($CA210)/($BX210),""),"")</f>
        <v/>
      </c>
      <c r="CH210" s="67">
        <f>IFERROR(IF(($BY210)&gt;0,($CB210)/($BY210),""),"")</f>
        <v/>
      </c>
      <c r="CI210" s="67">
        <f>IFERROR(IF(($BZ210)&gt;0,($CC210)/($BZ210),""),"")</f>
        <v/>
      </c>
      <c r="CJ210" s="67">
        <f>IFERROR(IF(($CA210)&gt;0,($CD210)/($CA210),""),"")</f>
        <v/>
      </c>
      <c r="CK210" s="67">
        <f>IFERROR(IF(($CB210)&gt;0,($CE210)/($CB210),""),"")</f>
        <v/>
      </c>
      <c r="CL210" s="55">
        <f>IFERROR(IF(($BN210)&gt;0,($X210+$AD210)/($BN210),""),"")</f>
        <v/>
      </c>
      <c r="CM210" s="55">
        <f>IFERROR(IF(($BO210)&gt;0,($Y210+$AE210)/($BO210),""),"")</f>
        <v/>
      </c>
      <c r="CN210" s="55">
        <f>IFERROR(IF(($BP210)&gt;0,($Z210+$AF210)/($BP210),""),"")</f>
        <v/>
      </c>
      <c r="CO210" s="55">
        <f>IFERROR(IF(($CC210)&gt;0,($X210+$AD210)/($CC210),""),"")</f>
        <v/>
      </c>
      <c r="CP210" s="55">
        <f>IFERROR(IF(($CD210)&gt;0,($Y210+$AE210)/($CD210),""),"")</f>
        <v/>
      </c>
      <c r="CQ210" s="55">
        <f>IFERROR(IF(($CE210)&gt;0,($Z210+$AF210)/($CE210),""),"")</f>
        <v/>
      </c>
      <c r="CR210" s="55">
        <f>SUMIFS(tblPlant[Crushed_t],tblPlant[Date],$A210)</f>
        <v/>
      </c>
      <c r="CS210" s="55">
        <f>IF($B210=$B209,$CS209,0)+$CR210</f>
        <v/>
      </c>
      <c r="CT210" s="55">
        <f>$CT209+$CR210</f>
        <v/>
      </c>
      <c r="CU210" s="55">
        <f>SUMIFS(tblPlant[Milled_t],tblPlant[Date],$A210)</f>
        <v/>
      </c>
      <c r="CV210" s="55">
        <f>IF($B210=$B209,$CV209,0)+$CU210</f>
        <v/>
      </c>
      <c r="CW210" s="55">
        <f>$CW209+$CU210</f>
        <v/>
      </c>
      <c r="CX210" s="55">
        <f>SUMIFS(tblPlant[Feed_oz],tblPlant[Date],$A210)</f>
        <v/>
      </c>
      <c r="CY210" s="55">
        <f>IF($B210=$B209,$CY209,0)+$CX210</f>
        <v/>
      </c>
      <c r="CZ210" s="55">
        <f>$CZ209+$CX210</f>
        <v/>
      </c>
      <c r="DA210" s="55">
        <f>SUMIFS(tblPlant[Tails_oz],tblPlant[Date],$A210)</f>
        <v/>
      </c>
      <c r="DB210" s="55">
        <f>IF($B210=$B209,$DB209,0)+$DA210</f>
        <v/>
      </c>
      <c r="DC210" s="55">
        <f>$DC209+$DA210</f>
        <v/>
      </c>
      <c r="DD210" s="55">
        <f>SUMIFS(tblPlant[Recovered_oz],tblPlant[Date],$A210)</f>
        <v/>
      </c>
      <c r="DE210" s="55">
        <f>IF($B210=$B209,$DE209,0)+$DD210</f>
        <v/>
      </c>
      <c r="DF210" s="55">
        <f>$DF209+$DD210</f>
        <v/>
      </c>
      <c r="DG210" s="55">
        <f>SUMIFS(tblPlant[Milled_t],tblPlant[Date],$A210,tblPlant[Head_Grade_gpt],"&lt;&gt;")</f>
        <v/>
      </c>
      <c r="DH210" s="55">
        <f>IF($B210=$B209,$DH209,0)+$DG210</f>
        <v/>
      </c>
      <c r="DI210" s="55">
        <f>$DI209+$DG210</f>
        <v/>
      </c>
      <c r="DJ210" s="55">
        <f>SUMIFS(tblPlant[Milled_t],tblPlant[Date],$A210,tblPlant[Tails_Grade_gpt],"&lt;&gt;")</f>
        <v/>
      </c>
      <c r="DK210" s="55">
        <f>IF($B210=$B209,$DK209,0)+$DJ210</f>
        <v/>
      </c>
      <c r="DL210" s="55">
        <f>$DL209+$DJ210</f>
        <v/>
      </c>
      <c r="DM210" s="55">
        <f>SUMIFS(tblPlant[Feed_oz],tblPlant[Date],$A210,tblPlant[Tails_Grade_gpt],"&lt;&gt;")</f>
        <v/>
      </c>
      <c r="DN210" s="55">
        <f>IF($B210=$B209,$DN209,0)+$DM210</f>
        <v/>
      </c>
      <c r="DO210" s="55">
        <f>$DO209+$DM210</f>
        <v/>
      </c>
      <c r="DP210" s="55">
        <f>SUMIFS(tblPlant[Milled_t],tblPlant[Date],$A210,tblPlant[Mill_Run_h],"&lt;&gt;")</f>
        <v/>
      </c>
      <c r="DQ210" s="55">
        <f>IF($B210=$B209,$DQ209,0)+$DP210</f>
        <v/>
      </c>
      <c r="DR210" s="55">
        <f>$DR209+$DP210</f>
        <v/>
      </c>
      <c r="DS210" s="56">
        <f>IFERROR(IF(($DG210)&gt;0,($CX210*cfg_TroyOz)/($DG210),""),"")</f>
        <v/>
      </c>
      <c r="DT210" s="56">
        <f>IFERROR(IF(($DH210)&gt;0,($CY210*cfg_TroyOz)/($DH210),""),"")</f>
        <v/>
      </c>
      <c r="DU210" s="56">
        <f>IFERROR(IF(($DI210)&gt;0,($CZ210*cfg_TroyOz)/($DI210),""),"")</f>
        <v/>
      </c>
      <c r="DV210" s="56">
        <f>IFERROR(IF(($DJ210)&gt;0,($DA210*cfg_TroyOz)/($DJ210),""),"")</f>
        <v/>
      </c>
      <c r="DW210" s="56">
        <f>IFERROR(IF(($DK210)&gt;0,($DB210*cfg_TroyOz)/($DK210),""),"")</f>
        <v/>
      </c>
      <c r="DX210" s="56">
        <f>IFERROR(IF(($DL210)&gt;0,($DC210*cfg_TroyOz)/($DL210),""),"")</f>
        <v/>
      </c>
      <c r="DY210" s="67">
        <f>IFERROR(IF(($DM210)&gt;0,($DD210)/($DM210),""),"")</f>
        <v/>
      </c>
      <c r="DZ210" s="67">
        <f>IFERROR(IF(($DN210)&gt;0,($DE210)/($DN210),""),"")</f>
        <v/>
      </c>
      <c r="EA210" s="67">
        <f>IFERROR(IF(($DO210)&gt;0,($DF210)/($DO210),""),"")</f>
        <v/>
      </c>
      <c r="EB210" s="55">
        <f>SUMIFS(tblPlant[Gravity_Gold_oz],tblPlant[Date],$A210)</f>
        <v/>
      </c>
      <c r="EC210" s="55">
        <f>IF($B210=$B209,$EC209,0)+$EB210</f>
        <v/>
      </c>
      <c r="ED210" s="55">
        <f>$ED209+$EB210</f>
        <v/>
      </c>
      <c r="EE210" s="67">
        <f>IFERROR(IF(($DD210)&gt;0,($EB210)/($DD210),""),"")</f>
        <v/>
      </c>
      <c r="EF210" s="67">
        <f>IFERROR(IF(($DE210)&gt;0,($EC210)/($DE210),""),"")</f>
        <v/>
      </c>
      <c r="EG210" s="67">
        <f>IFERROR(IF(($DF210)&gt;0,($ED210)/($DF210),""),"")</f>
        <v/>
      </c>
      <c r="EH210" s="55">
        <f>SUMIFS(tblPlant[Gold_Poured_oz],tblPlant[Date],$A210)</f>
        <v/>
      </c>
      <c r="EI210" s="55">
        <f>IF($B210=$B209,$EI209,0)+$EH210</f>
        <v/>
      </c>
      <c r="EJ210" s="55">
        <f>$EJ209+$EH210</f>
        <v/>
      </c>
      <c r="EK210" s="57">
        <f>SUMIFS(tblPlant[Mill_Run_h],tblPlant[Date],$A210)</f>
        <v/>
      </c>
      <c r="EL210" s="57">
        <f>IF($B210=$B209,$EL209,0)+$EK210</f>
        <v/>
      </c>
      <c r="EM210" s="57">
        <f>$EM209+$EK210</f>
        <v/>
      </c>
      <c r="EN210" s="57">
        <f>SUMIFS(tblPlant[Mill_Planned_Maint_h],tblPlant[Date],$A210)</f>
        <v/>
      </c>
      <c r="EO210" s="57">
        <f>IF($B210=$B209,$EO209,0)+$EN210</f>
        <v/>
      </c>
      <c r="EP210" s="57">
        <f>$EP209+$EN210</f>
        <v/>
      </c>
      <c r="EQ210" s="57">
        <f>SUMIFS(tblPlant[Mill_Unplanned_Down_h],tblPlant[Date],$A210)</f>
        <v/>
      </c>
      <c r="ER210" s="57">
        <f>IF($B210=$B209,$ER209,0)+$EQ210</f>
        <v/>
      </c>
      <c r="ES210" s="57">
        <f>$ES209+$EQ210</f>
        <v/>
      </c>
      <c r="ET210" s="57">
        <f>IF(COUNTIFS(tblPlant[Date],$A210,tblPlant[Mill_Run_h],"&lt;&gt;")+COUNTIFS(tblPlant[Date],$A210,tblPlant[Mill_Planned_Maint_h],"&lt;&gt;")+COUNTIFS(tblPlant[Date],$A210,tblPlant[Mill_Unplanned_Down_h],"&lt;&gt;")&gt;0,cfg_HoursPerDay,0)</f>
        <v/>
      </c>
      <c r="EU210" s="57">
        <f>IF($B210=$B209,$EU209,0)+$ET210</f>
        <v/>
      </c>
      <c r="EV210" s="57">
        <f>$EV209+$ET210</f>
        <v/>
      </c>
      <c r="EW210" s="57">
        <f>SUMIFS(tblPlant[Crusher_Run_h],tblPlant[Date],$A210)</f>
        <v/>
      </c>
      <c r="EX210" s="57">
        <f>IF($B210=$B209,$EX209,0)+$EW210</f>
        <v/>
      </c>
      <c r="EY210" s="57">
        <f>$EY209+$EW210</f>
        <v/>
      </c>
      <c r="EZ210" s="55">
        <f>IFERROR(IF(($EK210)&gt;0,($DP210)/($EK210),""),"")</f>
        <v/>
      </c>
      <c r="FA210" s="55">
        <f>IFERROR(IF(($EL210)&gt;0,($DQ210)/($EL210),""),"")</f>
        <v/>
      </c>
      <c r="FB210" s="55">
        <f>IFERROR(IF(($EM210)&gt;0,($DR210)/($EM210),""),"")</f>
        <v/>
      </c>
      <c r="FC210" s="67">
        <f>IFERROR(IF(($ET210)&gt;0,($ET210-$EN210-$EQ210)/($ET210),""),"")</f>
        <v/>
      </c>
      <c r="FD210" s="67">
        <f>IFERROR(IF(($EU210)&gt;0,($EU210-$EO210-$ER210)/($EU210),""),"")</f>
        <v/>
      </c>
      <c r="FE210" s="67">
        <f>IFERROR(IF(($EV210)&gt;0,($EV210-$EP210-$ES210)/($EV210),""),"")</f>
        <v/>
      </c>
      <c r="FF210" s="67">
        <f>IFERROR(IF(($ET210-$EN210-$EQ210)&gt;0,($EK210)/($ET210-$EN210-$EQ210),""),"")</f>
        <v/>
      </c>
      <c r="FG210" s="67">
        <f>IFERROR(IF(($EU210-$EO210-$ER210)&gt;0,($EL210)/($EU210-$EO210-$ER210),""),"")</f>
        <v/>
      </c>
      <c r="FH210" s="67">
        <f>IFERROR(IF(($EV210-$EP210-$ES210)&gt;0,($EM210)/($EV210-$EP210-$ES210),""),"")</f>
        <v/>
      </c>
      <c r="FI210" s="55">
        <f>SUMIFS(tblPlant[Cyanide_kg],tblPlant[Date],$A210)</f>
        <v/>
      </c>
      <c r="FJ210" s="55">
        <f>IF($B210=$B209,$FJ209,0)+$FI210</f>
        <v/>
      </c>
      <c r="FK210" s="55">
        <f>$FK209+$FI210</f>
        <v/>
      </c>
      <c r="FL210" s="55">
        <f>SUMIFS(tblPlant[Lime_kg],tblPlant[Date],$A210)</f>
        <v/>
      </c>
      <c r="FM210" s="55">
        <f>IF($B210=$B209,$FM209,0)+$FL210</f>
        <v/>
      </c>
      <c r="FN210" s="55">
        <f>$FN209+$FL210</f>
        <v/>
      </c>
      <c r="FO210" s="55">
        <f>SUMIFS(tblPlant[Grinding_Media_kg],tblPlant[Date],$A210)</f>
        <v/>
      </c>
      <c r="FP210" s="55">
        <f>IF($B210=$B209,$FP209,0)+$FO210</f>
        <v/>
      </c>
      <c r="FQ210" s="55">
        <f>$FQ209+$FO210</f>
        <v/>
      </c>
      <c r="FR210" s="55">
        <f>SUMIFS(tblPlant[Power_kWh],tblPlant[Date],$A210)</f>
        <v/>
      </c>
      <c r="FS210" s="55">
        <f>IF($B210=$B209,$FS209,0)+$FR210</f>
        <v/>
      </c>
      <c r="FT210" s="55">
        <f>$FT209+$FR210</f>
        <v/>
      </c>
      <c r="FU210" s="55">
        <f>SUMIFS(tblPlant[Raw_Water_m3],tblPlant[Date],$A210)</f>
        <v/>
      </c>
      <c r="FV210" s="55">
        <f>IF($B210=$B209,$FV209,0)+$FU210</f>
        <v/>
      </c>
      <c r="FW210" s="55">
        <f>$FW209+$FU210</f>
        <v/>
      </c>
      <c r="FX210" s="56">
        <f>IFERROR(IF(($CU210)&gt;0,($FI210)/($CU210),""),"")</f>
        <v/>
      </c>
      <c r="FY210" s="56">
        <f>IFERROR(IF(($CV210)&gt;0,($FJ210)/($CV210),""),"")</f>
        <v/>
      </c>
      <c r="FZ210" s="56">
        <f>IFERROR(IF(($CW210)&gt;0,($FK210)/($CW210),""),"")</f>
        <v/>
      </c>
      <c r="GA210" s="56">
        <f>IFERROR(IF(($CU210)&gt;0,($FL210)/($CU210),""),"")</f>
        <v/>
      </c>
      <c r="GB210" s="56">
        <f>IFERROR(IF(($CV210)&gt;0,($FM210)/($CV210),""),"")</f>
        <v/>
      </c>
      <c r="GC210" s="56">
        <f>IFERROR(IF(($CW210)&gt;0,($FN210)/($CW210),""),"")</f>
        <v/>
      </c>
      <c r="GD210" s="56">
        <f>IFERROR(IF(($CU210)&gt;0,($FO210)/($CU210),""),"")</f>
        <v/>
      </c>
      <c r="GE210" s="56">
        <f>IFERROR(IF(($CV210)&gt;0,($FP210)/($CV210),""),"")</f>
        <v/>
      </c>
      <c r="GF210" s="56">
        <f>IFERROR(IF(($CW210)&gt;0,($FQ210)/($CW210),""),"")</f>
        <v/>
      </c>
      <c r="GG210" s="79">
        <f>IFERROR(IF(($CU210)&gt;0,($FR210)/($CU210),""),"")</f>
        <v/>
      </c>
      <c r="GH210" s="79">
        <f>IFERROR(IF(($CV210)&gt;0,($FS210)/($CV210),""),"")</f>
        <v/>
      </c>
      <c r="GI210" s="79">
        <f>IFERROR(IF(($CW210)&gt;0,($FT210)/($CW210),""),"")</f>
        <v/>
      </c>
      <c r="GJ210" s="56">
        <f>IFERROR(IF(($CU210)&gt;0,($FU210)/($CU210),""),"")</f>
        <v/>
      </c>
      <c r="GK210" s="56">
        <f>IFERROR(IF(($CV210)&gt;0,($FV210)/($CV210),""),"")</f>
        <v/>
      </c>
      <c r="GL210" s="56">
        <f>IFERROR(IF(($CW210)&gt;0,($FW210)/($CW210),""),"")</f>
        <v/>
      </c>
      <c r="GM210" s="55">
        <f>IF(SUMIFS(tblPlant[GIC_oz],tblPlant[Date],$A210)&gt;0,SUMIFS(tblPlant[GIC_oz],tblPlant[Date],$A210),"")</f>
        <v/>
      </c>
      <c r="GN210" s="55">
        <f>SUMIFS(tblGold[Gold_oz],tblGold[Date],$A210,tblGold[Type],"Shipment")</f>
        <v/>
      </c>
      <c r="GO210" s="55">
        <f>IF($B210=$B209,$GO209,0)+$GN210</f>
        <v/>
      </c>
      <c r="GP210" s="55">
        <f>$GP209+$GN210</f>
        <v/>
      </c>
      <c r="GQ210" s="55">
        <f>SUMIFS(tblGold[Gold_oz],tblGold[Date],$A210,tblGold[Type],"Sale")</f>
        <v/>
      </c>
      <c r="GR210" s="55">
        <f>IF($B210=$B209,$GR209,0)+$GQ210</f>
        <v/>
      </c>
      <c r="GS210" s="55">
        <f>$GS209+$GQ210</f>
        <v/>
      </c>
      <c r="GT210" s="55">
        <f>SUMIFS(tblGold[Dore_kg],tblGold[Date],$A210,tblGold[Type],"Shipment")</f>
        <v/>
      </c>
      <c r="GU210" s="55">
        <f>IF($B210=$B209,$GU209,0)+$GT210</f>
        <v/>
      </c>
      <c r="GV210" s="55">
        <f>$GV209+$GT210</f>
        <v/>
      </c>
      <c r="GW210" s="57">
        <f>SUMIFS(tblSafety[Hours_Total],tblSafety[Date],$A210)</f>
        <v/>
      </c>
      <c r="GX210" s="57">
        <f>IF($B210=$B209,$GX209,0)+$GW210</f>
        <v/>
      </c>
      <c r="GY210" s="57">
        <f>$GY209+$GW210</f>
        <v/>
      </c>
      <c r="GZ210" s="62">
        <f>SUMIFS(tblSafety[Fatality],tblSafety[Date],$A210)</f>
        <v/>
      </c>
      <c r="HA210" s="62">
        <f>IF($B210=$B209,$HA209,0)+$GZ210</f>
        <v/>
      </c>
      <c r="HB210" s="62">
        <f>$HB209+$GZ210</f>
        <v/>
      </c>
      <c r="HC210" s="62">
        <f>SUMIFS(tblSafety[LTI],tblSafety[Date],$A210)</f>
        <v/>
      </c>
      <c r="HD210" s="62">
        <f>IF($B210=$B209,$HD209,0)+$HC210</f>
        <v/>
      </c>
      <c r="HE210" s="62">
        <f>$HE209+$HC210</f>
        <v/>
      </c>
      <c r="HF210" s="62">
        <f>SUMIFS(tblSafety[RWI],tblSafety[Date],$A210)</f>
        <v/>
      </c>
      <c r="HG210" s="62">
        <f>IF($B210=$B209,$HG209,0)+$HF210</f>
        <v/>
      </c>
      <c r="HH210" s="62">
        <f>$HH209+$HF210</f>
        <v/>
      </c>
      <c r="HI210" s="62">
        <f>SUMIFS(tblSafety[MTI],tblSafety[Date],$A210)</f>
        <v/>
      </c>
      <c r="HJ210" s="62">
        <f>IF($B210=$B209,$HJ209,0)+$HI210</f>
        <v/>
      </c>
      <c r="HK210" s="62">
        <f>$HK209+$HI210</f>
        <v/>
      </c>
      <c r="HL210" s="62">
        <f>SUMIFS(tblSafety[FAI],tblSafety[Date],$A210)</f>
        <v/>
      </c>
      <c r="HM210" s="62">
        <f>IF($B210=$B209,$HM209,0)+$HL210</f>
        <v/>
      </c>
      <c r="HN210" s="62">
        <f>$HN209+$HL210</f>
        <v/>
      </c>
      <c r="HO210" s="62">
        <f>SUMIFS(tblSafety[Recordables],tblSafety[Date],$A210)</f>
        <v/>
      </c>
      <c r="HP210" s="62">
        <f>IF($B210=$B209,$HP209,0)+$HO210</f>
        <v/>
      </c>
      <c r="HQ210" s="62">
        <f>$HQ209+$HO210</f>
        <v/>
      </c>
      <c r="HR210" s="62">
        <f>SUMIFS(tblSafety[Near_Miss],tblSafety[Date],$A210)</f>
        <v/>
      </c>
      <c r="HS210" s="62">
        <f>IF($B210=$B209,$HS209,0)+$HR210</f>
        <v/>
      </c>
      <c r="HT210" s="62">
        <f>$HT209+$HR210</f>
        <v/>
      </c>
      <c r="HU210" s="62">
        <f>SUMIFS(tblSafety[Hazard_Reports],tblSafety[Date],$A210)</f>
        <v/>
      </c>
      <c r="HV210" s="62">
        <f>IF($B210=$B209,$HV209,0)+$HU210</f>
        <v/>
      </c>
      <c r="HW210" s="62">
        <f>$HW209+$HU210</f>
        <v/>
      </c>
      <c r="HX210" s="62">
        <f>SUMIFS(tblSafety[HPI],tblSafety[Date],$A210)</f>
        <v/>
      </c>
      <c r="HY210" s="62">
        <f>IF($B210=$B209,$HY209,0)+$HX210</f>
        <v/>
      </c>
      <c r="HZ210" s="62">
        <f>$HZ209+$HX210</f>
        <v/>
      </c>
      <c r="IA210" s="62">
        <f>SUMIFS(tblSafety[Env_Incidents],tblSafety[Date],$A210)</f>
        <v/>
      </c>
      <c r="IB210" s="62">
        <f>IF($B210=$B209,$IB209,0)+$IA210</f>
        <v/>
      </c>
      <c r="IC210" s="62">
        <f>$IC209+$IA210</f>
        <v/>
      </c>
      <c r="ID210" s="62">
        <f>SUMIFS(tblSafety[Community_Incidents],tblSafety[Date],$A210)</f>
        <v/>
      </c>
      <c r="IE210" s="62">
        <f>IF($B210=$B209,$IE209,0)+$ID210</f>
        <v/>
      </c>
      <c r="IF210" s="62">
        <f>$IF209+$ID210</f>
        <v/>
      </c>
      <c r="IG210" s="62">
        <f>SUMIFS(tblSafety[Vehicle_Incidents],tblSafety[Date],$A210)</f>
        <v/>
      </c>
      <c r="IH210" s="62">
        <f>IF($B210=$B209,$IH209,0)+$IG210</f>
        <v/>
      </c>
      <c r="II210" s="62">
        <f>$II209+$IG210</f>
        <v/>
      </c>
      <c r="IJ210" s="62">
        <f>SUMIFS(tblSafety[Toolbox_Talks],tblSafety[Date],$A210)</f>
        <v/>
      </c>
      <c r="IK210" s="62">
        <f>IF($B210=$B209,$IK209,0)+$IJ210</f>
        <v/>
      </c>
      <c r="IL210" s="62">
        <f>$IL209+$IJ210</f>
        <v/>
      </c>
      <c r="IM210" s="62">
        <f>SUMIFS(tblSafety[Inspections],tblSafety[Date],$A210)</f>
        <v/>
      </c>
      <c r="IN210" s="62">
        <f>IF($B210=$B209,$IN209,0)+$IM210</f>
        <v/>
      </c>
      <c r="IO210" s="62">
        <f>$IO209+$IM210</f>
        <v/>
      </c>
      <c r="IP210" s="56">
        <f>IFERROR((SUMIFS(tblSafety[Recordables],tblSafety[Date],"&gt;="&amp;EDATE($E210,-12),tblSafety[Date],"&lt;="&amp;$A210)+SUMIFS(tblSafetyHistory[Recordables],tblSafetyHistory[Month],"&gt;="&amp;EDATE($E210,-12),tblSafetyHistory[Month],"&lt;"&amp;$E210,tblSafetyHistory[Use],1))/(SUMIFS(tblSafety[Hours_Total],tblSafety[Date],"&gt;="&amp;EDATE($E210,-12),tblSafety[Date],"&lt;="&amp;$A210)+SUMIFS(tblSafetyHistory[Hours_Total],tblSafetyHistory[Month],"&gt;="&amp;EDATE($E210,-12),tblSafetyHistory[Month],"&lt;"&amp;$E210,tblSafetyHistory[Use],1))*cfg_RateBasisHours,"")</f>
        <v/>
      </c>
      <c r="IQ210" s="56">
        <f>IFERROR((SUMIFS(tblSafety[LTI],tblSafety[Date],"&gt;="&amp;EDATE($E210,-12),tblSafety[Date],"&lt;="&amp;$A210)+SUMIFS(tblSafetyHistory[LTI],tblSafetyHistory[Month],"&gt;="&amp;EDATE($E210,-12),tblSafetyHistory[Month],"&lt;"&amp;$E210,tblSafetyHistory[Use],1))/(SUMIFS(tblSafety[Hours_Total],tblSafety[Date],"&gt;="&amp;EDATE($E210,-12),tblSafety[Date],"&lt;="&amp;$A210)+SUMIFS(tblSafetyHistory[Hours_Total],tblSafetyHistory[Month],"&gt;="&amp;EDATE($E210,-12),tblSafetyHistory[Month],"&lt;"&amp;$E210,tblSafetyHistory[Use],1))*cfg_RateBasisHours,"")</f>
        <v/>
      </c>
      <c r="IR210" s="62">
        <f>IF(MAX(N(cfg_PriorLTIDate),_xlfn.MAXIFS(tblSafety[Date],tblSafety[LTI],"&gt;0",tblSafety[Date],"&lt;="&amp;$A210))=0,"",$A210-MAX(N(cfg_PriorLTIDate),_xlfn.MAXIFS(tblSafety[Date],tblSafety[LTI],"&gt;0",tblSafety[Date],"&lt;="&amp;$A210)))</f>
        <v/>
      </c>
      <c r="IS210" s="55">
        <f>SUMIFS(tblBudget[Ore_Mined_t],tblBudget[Month],$E210)</f>
        <v/>
      </c>
      <c r="IT210" s="55">
        <f>$IS210*$C210/$D210</f>
        <v/>
      </c>
      <c r="IU210" s="55">
        <f>SUMIFS(tblBudget[Ore_Mined_t],tblBudget[Month],"&lt;"&amp;$E210)+$IT210</f>
        <v/>
      </c>
      <c r="IV210" s="55">
        <f>SUMIFS(tblBudget[Ore_oz],tblBudget[Month],$E210)</f>
        <v/>
      </c>
      <c r="IW210" s="55">
        <f>$IV210*$C210/$D210</f>
        <v/>
      </c>
      <c r="IX210" s="55">
        <f>SUMIFS(tblBudget[Ore_oz],tblBudget[Month],"&lt;"&amp;$E210)+$IW210</f>
        <v/>
      </c>
      <c r="IY210" s="55">
        <f>SUMIFS(tblBudget[Ore_Mined_t],tblBudget[Month],$E210)</f>
        <v/>
      </c>
      <c r="IZ210" s="55">
        <f>$IY210*$C210/$D210</f>
        <v/>
      </c>
      <c r="JA210" s="55">
        <f>SUMIFS(tblBudget[Ore_Mined_t],tblBudget[Month],"&lt;"&amp;$E210)+$IZ210</f>
        <v/>
      </c>
      <c r="JB210" s="56">
        <f>IFERROR(IF(($IY210)&gt;0,($IV210*cfg_TroyOz)/($IY210),""),"")</f>
        <v/>
      </c>
      <c r="JC210" s="56">
        <f>IFERROR(IF(($IZ210)&gt;0,($IW210*cfg_TroyOz)/($IZ210),""),"")</f>
        <v/>
      </c>
      <c r="JD210" s="56">
        <f>IFERROR(IF(($JA210)&gt;0,($IX210*cfg_TroyOz)/($JA210),""),"")</f>
        <v/>
      </c>
      <c r="JE210" s="55">
        <f>SUMIFS(tblBudget[Waste_t],tblBudget[Month],$E210)</f>
        <v/>
      </c>
      <c r="JF210" s="55">
        <f>$JE210*$C210/$D210</f>
        <v/>
      </c>
      <c r="JG210" s="55">
        <f>SUMIFS(tblBudget[Waste_t],tblBudget[Month],"&lt;"&amp;$E210)+$JF210</f>
        <v/>
      </c>
      <c r="JH210" s="55">
        <f>SUMIFS(tblBudget[TMM_t],tblBudget[Month],$E210)</f>
        <v/>
      </c>
      <c r="JI210" s="55">
        <f>$JH210*$C210/$D210</f>
        <v/>
      </c>
      <c r="JJ210" s="55">
        <f>SUMIFS(tblBudget[TMM_t],tblBudget[Month],"&lt;"&amp;$E210)+$JI210</f>
        <v/>
      </c>
      <c r="JK210" s="56">
        <f>IFERROR(IF(($IS210)&gt;0,($JE210)/($IS210),""),"")</f>
        <v/>
      </c>
      <c r="JL210" s="56">
        <f>IFERROR(IF(($IT210)&gt;0,($JF210)/($IT210),""),"")</f>
        <v/>
      </c>
      <c r="JM210" s="56">
        <f>IFERROR(IF(($IU210)&gt;0,($JG210)/($IU210),""),"")</f>
        <v/>
      </c>
      <c r="JN210" s="55">
        <f>SUMIFS(tblBudget[Drill_m],tblBudget[Month],$E210)</f>
        <v/>
      </c>
      <c r="JO210" s="55">
        <f>$JN210*$C210/$D210</f>
        <v/>
      </c>
      <c r="JP210" s="55">
        <f>SUMIFS(tblBudget[Drill_m],tblBudget[Month],"&lt;"&amp;$E210)+$JO210</f>
        <v/>
      </c>
      <c r="JQ210" s="55">
        <f>SUMIFS(tblBudget[Diesel_L],tblBudget[Month],$E210)</f>
        <v/>
      </c>
      <c r="JR210" s="55">
        <f>$JQ210*$C210/$D210</f>
        <v/>
      </c>
      <c r="JS210" s="55">
        <f>SUMIFS(tblBudget[Diesel_L],tblBudget[Month],"&lt;"&amp;$E210)+$JR210</f>
        <v/>
      </c>
      <c r="JT210" s="55">
        <f>SUMIFS(tblBudget[Milled_t],tblBudget[Month],$E210)</f>
        <v/>
      </c>
      <c r="JU210" s="55">
        <f>$JT210*$C210/$D210</f>
        <v/>
      </c>
      <c r="JV210" s="55">
        <f>SUMIFS(tblBudget[Milled_t],tblBudget[Month],"&lt;"&amp;$E210)+$JU210</f>
        <v/>
      </c>
      <c r="JW210" s="55">
        <f>SUMIFS(tblBudget[Feed_oz],tblBudget[Month],$E210)</f>
        <v/>
      </c>
      <c r="JX210" s="55">
        <f>$JW210*$C210/$D210</f>
        <v/>
      </c>
      <c r="JY210" s="55">
        <f>SUMIFS(tblBudget[Feed_oz],tblBudget[Month],"&lt;"&amp;$E210)+$JX210</f>
        <v/>
      </c>
      <c r="JZ210" s="55">
        <f>SUMIFS(tblBudget[Recovered_oz],tblBudget[Month],$E210)</f>
        <v/>
      </c>
      <c r="KA210" s="55">
        <f>$JZ210*$C210/$D210</f>
        <v/>
      </c>
      <c r="KB210" s="55">
        <f>SUMIFS(tblBudget[Recovered_oz],tblBudget[Month],"&lt;"&amp;$E210)+$KA210</f>
        <v/>
      </c>
      <c r="KC210" s="55">
        <f>SUMIFS(tblBudget[Milled_t],tblBudget[Month],$E210)</f>
        <v/>
      </c>
      <c r="KD210" s="55">
        <f>$KC210*$C210/$D210</f>
        <v/>
      </c>
      <c r="KE210" s="55">
        <f>SUMIFS(tblBudget[Milled_t],tblBudget[Month],"&lt;"&amp;$E210)+$KD210</f>
        <v/>
      </c>
      <c r="KF210" s="55">
        <f>SUMIFS(tblBudget[Feed_oz],tblBudget[Month],$E210)</f>
        <v/>
      </c>
      <c r="KG210" s="55">
        <f>$KF210*$C210/$D210</f>
        <v/>
      </c>
      <c r="KH210" s="55">
        <f>SUMIFS(tblBudget[Feed_oz],tblBudget[Month],"&lt;"&amp;$E210)+$KG210</f>
        <v/>
      </c>
      <c r="KI210" s="56">
        <f>IFERROR(IF(($KC210)&gt;0,($JW210*cfg_TroyOz)/($KC210),""),"")</f>
        <v/>
      </c>
      <c r="KJ210" s="56">
        <f>IFERROR(IF(($KD210)&gt;0,($JX210*cfg_TroyOz)/($KD210),""),"")</f>
        <v/>
      </c>
      <c r="KK210" s="56">
        <f>IFERROR(IF(($KE210)&gt;0,($JY210*cfg_TroyOz)/($KE210),""),"")</f>
        <v/>
      </c>
      <c r="KL210" s="67">
        <f>IFERROR(IF(($KF210)&gt;0,($JZ210)/($KF210),""),"")</f>
        <v/>
      </c>
      <c r="KM210" s="67">
        <f>IFERROR(IF(($KG210)&gt;0,($KA210)/($KG210),""),"")</f>
        <v/>
      </c>
      <c r="KN210" s="67">
        <f>IFERROR(IF(($KH210)&gt;0,($KB210)/($KH210),""),"")</f>
        <v/>
      </c>
      <c r="KO210" s="55">
        <f>SUMIFS(tblBudget[Gold_Poured_oz],tblBudget[Month],$E210)</f>
        <v/>
      </c>
      <c r="KP210" s="55">
        <f>$KO210*$C210/$D210</f>
        <v/>
      </c>
      <c r="KQ210" s="55">
        <f>SUMIFS(tblBudget[Gold_Poured_oz],tblBudget[Month],"&lt;"&amp;$E210)+$KP210</f>
        <v/>
      </c>
      <c r="KR210" s="57">
        <f>SUMIFS(tblBudget[Hours_Worked],tblBudget[Month],$E210)</f>
        <v/>
      </c>
      <c r="KS210" s="57">
        <f>$KR210*$C210/$D210</f>
        <v/>
      </c>
      <c r="KT210" s="57">
        <f>SUMIFS(tblBudget[Hours_Worked],tblBudget[Month],"&lt;"&amp;$E210)+$KS210</f>
        <v/>
      </c>
    </row>
    <row r="211">
      <c r="A211" s="54" t="n">
        <v>46232</v>
      </c>
      <c r="B211">
        <f>MONTH($A211)</f>
        <v/>
      </c>
      <c r="C211">
        <f>DAY($A211)</f>
        <v/>
      </c>
      <c r="D211">
        <f>DAY(EOMONTH($A211,0))</f>
        <v/>
      </c>
      <c r="E211" s="54">
        <f>DATE(YEAR($A211),MONTH($A211),1)</f>
        <v/>
      </c>
      <c r="F211" s="55">
        <f>SUMIFS(tblMovement[Tonnes_t],tblMovement[Date],$A211,tblMovement[Is_Ore],1,tblMovement[Source_Type],"Pit")</f>
        <v/>
      </c>
      <c r="G211" s="55">
        <f>IF($B211=$B210,$G210,0)+$F211</f>
        <v/>
      </c>
      <c r="H211" s="55">
        <f>$H210+$F211</f>
        <v/>
      </c>
      <c r="I211" s="55">
        <f>SUMIFS(tblMovement[Ore_oz],tblMovement[Date],$A211,tblMovement[Source_Type],"Pit")</f>
        <v/>
      </c>
      <c r="J211" s="55">
        <f>IF($B211=$B210,$J210,0)+$I211</f>
        <v/>
      </c>
      <c r="K211" s="55">
        <f>$K210+$I211</f>
        <v/>
      </c>
      <c r="L211" s="55">
        <f>SUMIFS(tblMovement[Tonnes_t],tblMovement[Date],$A211,tblMovement[Is_Ore],1,tblMovement[Source_Type],"Pit",tblMovement[Grade_gpt],"&lt;&gt;")</f>
        <v/>
      </c>
      <c r="M211" s="55">
        <f>IF($B211=$B210,$M210,0)+$L211</f>
        <v/>
      </c>
      <c r="N211" s="55">
        <f>$N210+$L211</f>
        <v/>
      </c>
      <c r="O211" s="56">
        <f>IFERROR(IF(($L211)&gt;0,($I211*cfg_TroyOz)/($L211),""),"")</f>
        <v/>
      </c>
      <c r="P211" s="56">
        <f>IFERROR(IF(($M211)&gt;0,($J211*cfg_TroyOz)/($M211),""),"")</f>
        <v/>
      </c>
      <c r="Q211" s="56">
        <f>IFERROR(IF(($N211)&gt;0,($K211*cfg_TroyOz)/($N211),""),"")</f>
        <v/>
      </c>
      <c r="R211" s="55">
        <f>$F211-$L211</f>
        <v/>
      </c>
      <c r="S211" s="55">
        <f>IF($B211=$B210,$S210,0)+$R211</f>
        <v/>
      </c>
      <c r="T211" s="55">
        <f>$T210+$R211</f>
        <v/>
      </c>
      <c r="U211" s="55">
        <f>SUMIFS(tblMovement[Tonnes_t],tblMovement[Date],$A211,tblMovement[Is_Ore],0,tblMovement[Source_Type],"Pit")</f>
        <v/>
      </c>
      <c r="V211" s="55">
        <f>IF($B211=$B210,$V210,0)+$U211</f>
        <v/>
      </c>
      <c r="W211" s="55">
        <f>$W210+$U211</f>
        <v/>
      </c>
      <c r="X211" s="55">
        <f>$F211+$U211</f>
        <v/>
      </c>
      <c r="Y211" s="55">
        <f>IF($B211=$B210,$Y210,0)+$X211</f>
        <v/>
      </c>
      <c r="Z211" s="55">
        <f>$Z210+$X211</f>
        <v/>
      </c>
      <c r="AA211" s="56">
        <f>IFERROR(IF(($F211)&gt;0,($U211)/($F211),""),"")</f>
        <v/>
      </c>
      <c r="AB211" s="56">
        <f>IFERROR(IF(($G211)&gt;0,($V211)/($G211),""),"")</f>
        <v/>
      </c>
      <c r="AC211" s="56">
        <f>IFERROR(IF(($H211)&gt;0,($W211)/($H211),""),"")</f>
        <v/>
      </c>
      <c r="AD211" s="55">
        <f>SUMIFS(tblMovement[Tonnes_t],tblMovement[Date],$A211,tblMovement[Source_Type],"Stockpile")</f>
        <v/>
      </c>
      <c r="AE211" s="55">
        <f>IF($B211=$B210,$AE210,0)+$AD211</f>
        <v/>
      </c>
      <c r="AF211" s="55">
        <f>$AF210+$AD211</f>
        <v/>
      </c>
      <c r="AG211" s="55">
        <f>SUMIFS(tblMovement[Tonnes_t],tblMovement[Date],$A211)</f>
        <v/>
      </c>
      <c r="AH211" s="55">
        <f>IF($B211=$B210,$AH210,0)+$AG211</f>
        <v/>
      </c>
      <c r="AI211" s="55">
        <f>$AI210+$AG211</f>
        <v/>
      </c>
      <c r="AJ211" s="55">
        <f>$AG211-$X211-$AD211</f>
        <v/>
      </c>
      <c r="AK211" s="55">
        <f>IF($B211=$B210,$AK210,0)+$AJ211</f>
        <v/>
      </c>
      <c r="AL211" s="55">
        <f>$AL210+$AJ211</f>
        <v/>
      </c>
      <c r="AM211" s="55">
        <f>SUMIFS(tblMiningDaily[Drill_m],tblMiningDaily[Date],$A211)</f>
        <v/>
      </c>
      <c r="AN211" s="55">
        <f>IF($B211=$B210,$AN210,0)+$AM211</f>
        <v/>
      </c>
      <c r="AO211" s="55">
        <f>$AO210+$AM211</f>
        <v/>
      </c>
      <c r="AP211" s="55">
        <f>SUMIFS(tblMiningDaily[GC_Drill_m],tblMiningDaily[Date],$A211)</f>
        <v/>
      </c>
      <c r="AQ211" s="55">
        <f>IF($B211=$B210,$AQ210,0)+$AP211</f>
        <v/>
      </c>
      <c r="AR211" s="55">
        <f>$AR210+$AP211</f>
        <v/>
      </c>
      <c r="AS211" s="55">
        <f>SUMIFS(tblMiningDaily[Blast_t],tblMiningDaily[Date],$A211)</f>
        <v/>
      </c>
      <c r="AT211" s="55">
        <f>IF($B211=$B210,$AT210,0)+$AS211</f>
        <v/>
      </c>
      <c r="AU211" s="55">
        <f>$AU210+$AS211</f>
        <v/>
      </c>
      <c r="AV211" s="55">
        <f>SUMIFS(tblMiningDaily[Explosives_kg],tblMiningDaily[Date],$A211)</f>
        <v/>
      </c>
      <c r="AW211" s="55">
        <f>IF($B211=$B210,$AW210,0)+$AV211</f>
        <v/>
      </c>
      <c r="AX211" s="55">
        <f>$AX210+$AV211</f>
        <v/>
      </c>
      <c r="AY211" s="56">
        <f>IFERROR(IF(($AS211)&gt;0,($AV211)/($AS211),""),"")</f>
        <v/>
      </c>
      <c r="AZ211" s="56">
        <f>IFERROR(IF(($AT211)&gt;0,($AW211)/($AT211),""),"")</f>
        <v/>
      </c>
      <c r="BA211" s="56">
        <f>IFERROR(IF(($AU211)&gt;0,($AX211)/($AU211),""),"")</f>
        <v/>
      </c>
      <c r="BB211" s="55">
        <f>SUMIFS(tblMiningDaily[Diesel_L],tblMiningDaily[Date],$A211)</f>
        <v/>
      </c>
      <c r="BC211" s="55">
        <f>IF($B211=$B210,$BC210,0)+$BB211</f>
        <v/>
      </c>
      <c r="BD211" s="55">
        <f>$BD210+$BB211</f>
        <v/>
      </c>
      <c r="BE211" s="55">
        <f>SUMIFS(tblMiningDaily[Dewatering_m3],tblMiningDaily[Date],$A211)</f>
        <v/>
      </c>
      <c r="BF211" s="55">
        <f>IF($B211=$B210,$BF210,0)+$BE211</f>
        <v/>
      </c>
      <c r="BG211" s="55">
        <f>$BG210+$BE211</f>
        <v/>
      </c>
      <c r="BH211" s="57">
        <f>SUMIFS(tblFleet[Calendar_h],tblFleet[Date],$A211,tblFleet[Equipment_Class],"Excavator")</f>
        <v/>
      </c>
      <c r="BI211" s="57">
        <f>IF($B211=$B210,$BI210,0)+$BH211</f>
        <v/>
      </c>
      <c r="BJ211" s="57">
        <f>$BJ210+$BH211</f>
        <v/>
      </c>
      <c r="BK211" s="57">
        <f>SUMIFS(tblFleet[Available_h],tblFleet[Date],$A211,tblFleet[Equipment_Class],"Excavator")</f>
        <v/>
      </c>
      <c r="BL211" s="57">
        <f>IF($B211=$B210,$BL210,0)+$BK211</f>
        <v/>
      </c>
      <c r="BM211" s="57">
        <f>$BM210+$BK211</f>
        <v/>
      </c>
      <c r="BN211" s="57">
        <f>SUMIFS(tblFleet[Operating_h],tblFleet[Date],$A211,tblFleet[Equipment_Class],"Excavator")</f>
        <v/>
      </c>
      <c r="BO211" s="57">
        <f>IF($B211=$B210,$BO210,0)+$BN211</f>
        <v/>
      </c>
      <c r="BP211" s="57">
        <f>$BP210+$BN211</f>
        <v/>
      </c>
      <c r="BQ211" s="67">
        <f>IFERROR(IF(($BH211)&gt;0,($BK211)/($BH211),""),"")</f>
        <v/>
      </c>
      <c r="BR211" s="67">
        <f>IFERROR(IF(($BI211)&gt;0,($BL211)/($BI211),""),"")</f>
        <v/>
      </c>
      <c r="BS211" s="67">
        <f>IFERROR(IF(($BJ211)&gt;0,($BM211)/($BJ211),""),"")</f>
        <v/>
      </c>
      <c r="BT211" s="67">
        <f>IFERROR(IF(($BK211)&gt;0,($BN211)/($BK211),""),"")</f>
        <v/>
      </c>
      <c r="BU211" s="67">
        <f>IFERROR(IF(($BL211)&gt;0,($BO211)/($BL211),""),"")</f>
        <v/>
      </c>
      <c r="BV211" s="67">
        <f>IFERROR(IF(($BM211)&gt;0,($BP211)/($BM211),""),"")</f>
        <v/>
      </c>
      <c r="BW211" s="57">
        <f>SUMIFS(tblFleet[Calendar_h],tblFleet[Date],$A211,tblFleet[Equipment_Class],"Haul Truck")</f>
        <v/>
      </c>
      <c r="BX211" s="57">
        <f>IF($B211=$B210,$BX210,0)+$BW211</f>
        <v/>
      </c>
      <c r="BY211" s="57">
        <f>$BY210+$BW211</f>
        <v/>
      </c>
      <c r="BZ211" s="57">
        <f>SUMIFS(tblFleet[Available_h],tblFleet[Date],$A211,tblFleet[Equipment_Class],"Haul Truck")</f>
        <v/>
      </c>
      <c r="CA211" s="57">
        <f>IF($B211=$B210,$CA210,0)+$BZ211</f>
        <v/>
      </c>
      <c r="CB211" s="57">
        <f>$CB210+$BZ211</f>
        <v/>
      </c>
      <c r="CC211" s="57">
        <f>SUMIFS(tblFleet[Operating_h],tblFleet[Date],$A211,tblFleet[Equipment_Class],"Haul Truck")</f>
        <v/>
      </c>
      <c r="CD211" s="57">
        <f>IF($B211=$B210,$CD210,0)+$CC211</f>
        <v/>
      </c>
      <c r="CE211" s="57">
        <f>$CE210+$CC211</f>
        <v/>
      </c>
      <c r="CF211" s="67">
        <f>IFERROR(IF(($BW211)&gt;0,($BZ211)/($BW211),""),"")</f>
        <v/>
      </c>
      <c r="CG211" s="67">
        <f>IFERROR(IF(($BX211)&gt;0,($CA211)/($BX211),""),"")</f>
        <v/>
      </c>
      <c r="CH211" s="67">
        <f>IFERROR(IF(($BY211)&gt;0,($CB211)/($BY211),""),"")</f>
        <v/>
      </c>
      <c r="CI211" s="67">
        <f>IFERROR(IF(($BZ211)&gt;0,($CC211)/($BZ211),""),"")</f>
        <v/>
      </c>
      <c r="CJ211" s="67">
        <f>IFERROR(IF(($CA211)&gt;0,($CD211)/($CA211),""),"")</f>
        <v/>
      </c>
      <c r="CK211" s="67">
        <f>IFERROR(IF(($CB211)&gt;0,($CE211)/($CB211),""),"")</f>
        <v/>
      </c>
      <c r="CL211" s="55">
        <f>IFERROR(IF(($BN211)&gt;0,($X211+$AD211)/($BN211),""),"")</f>
        <v/>
      </c>
      <c r="CM211" s="55">
        <f>IFERROR(IF(($BO211)&gt;0,($Y211+$AE211)/($BO211),""),"")</f>
        <v/>
      </c>
      <c r="CN211" s="55">
        <f>IFERROR(IF(($BP211)&gt;0,($Z211+$AF211)/($BP211),""),"")</f>
        <v/>
      </c>
      <c r="CO211" s="55">
        <f>IFERROR(IF(($CC211)&gt;0,($X211+$AD211)/($CC211),""),"")</f>
        <v/>
      </c>
      <c r="CP211" s="55">
        <f>IFERROR(IF(($CD211)&gt;0,($Y211+$AE211)/($CD211),""),"")</f>
        <v/>
      </c>
      <c r="CQ211" s="55">
        <f>IFERROR(IF(($CE211)&gt;0,($Z211+$AF211)/($CE211),""),"")</f>
        <v/>
      </c>
      <c r="CR211" s="55">
        <f>SUMIFS(tblPlant[Crushed_t],tblPlant[Date],$A211)</f>
        <v/>
      </c>
      <c r="CS211" s="55">
        <f>IF($B211=$B210,$CS210,0)+$CR211</f>
        <v/>
      </c>
      <c r="CT211" s="55">
        <f>$CT210+$CR211</f>
        <v/>
      </c>
      <c r="CU211" s="55">
        <f>SUMIFS(tblPlant[Milled_t],tblPlant[Date],$A211)</f>
        <v/>
      </c>
      <c r="CV211" s="55">
        <f>IF($B211=$B210,$CV210,0)+$CU211</f>
        <v/>
      </c>
      <c r="CW211" s="55">
        <f>$CW210+$CU211</f>
        <v/>
      </c>
      <c r="CX211" s="55">
        <f>SUMIFS(tblPlant[Feed_oz],tblPlant[Date],$A211)</f>
        <v/>
      </c>
      <c r="CY211" s="55">
        <f>IF($B211=$B210,$CY210,0)+$CX211</f>
        <v/>
      </c>
      <c r="CZ211" s="55">
        <f>$CZ210+$CX211</f>
        <v/>
      </c>
      <c r="DA211" s="55">
        <f>SUMIFS(tblPlant[Tails_oz],tblPlant[Date],$A211)</f>
        <v/>
      </c>
      <c r="DB211" s="55">
        <f>IF($B211=$B210,$DB210,0)+$DA211</f>
        <v/>
      </c>
      <c r="DC211" s="55">
        <f>$DC210+$DA211</f>
        <v/>
      </c>
      <c r="DD211" s="55">
        <f>SUMIFS(tblPlant[Recovered_oz],tblPlant[Date],$A211)</f>
        <v/>
      </c>
      <c r="DE211" s="55">
        <f>IF($B211=$B210,$DE210,0)+$DD211</f>
        <v/>
      </c>
      <c r="DF211" s="55">
        <f>$DF210+$DD211</f>
        <v/>
      </c>
      <c r="DG211" s="55">
        <f>SUMIFS(tblPlant[Milled_t],tblPlant[Date],$A211,tblPlant[Head_Grade_gpt],"&lt;&gt;")</f>
        <v/>
      </c>
      <c r="DH211" s="55">
        <f>IF($B211=$B210,$DH210,0)+$DG211</f>
        <v/>
      </c>
      <c r="DI211" s="55">
        <f>$DI210+$DG211</f>
        <v/>
      </c>
      <c r="DJ211" s="55">
        <f>SUMIFS(tblPlant[Milled_t],tblPlant[Date],$A211,tblPlant[Tails_Grade_gpt],"&lt;&gt;")</f>
        <v/>
      </c>
      <c r="DK211" s="55">
        <f>IF($B211=$B210,$DK210,0)+$DJ211</f>
        <v/>
      </c>
      <c r="DL211" s="55">
        <f>$DL210+$DJ211</f>
        <v/>
      </c>
      <c r="DM211" s="55">
        <f>SUMIFS(tblPlant[Feed_oz],tblPlant[Date],$A211,tblPlant[Tails_Grade_gpt],"&lt;&gt;")</f>
        <v/>
      </c>
      <c r="DN211" s="55">
        <f>IF($B211=$B210,$DN210,0)+$DM211</f>
        <v/>
      </c>
      <c r="DO211" s="55">
        <f>$DO210+$DM211</f>
        <v/>
      </c>
      <c r="DP211" s="55">
        <f>SUMIFS(tblPlant[Milled_t],tblPlant[Date],$A211,tblPlant[Mill_Run_h],"&lt;&gt;")</f>
        <v/>
      </c>
      <c r="DQ211" s="55">
        <f>IF($B211=$B210,$DQ210,0)+$DP211</f>
        <v/>
      </c>
      <c r="DR211" s="55">
        <f>$DR210+$DP211</f>
        <v/>
      </c>
      <c r="DS211" s="56">
        <f>IFERROR(IF(($DG211)&gt;0,($CX211*cfg_TroyOz)/($DG211),""),"")</f>
        <v/>
      </c>
      <c r="DT211" s="56">
        <f>IFERROR(IF(($DH211)&gt;0,($CY211*cfg_TroyOz)/($DH211),""),"")</f>
        <v/>
      </c>
      <c r="DU211" s="56">
        <f>IFERROR(IF(($DI211)&gt;0,($CZ211*cfg_TroyOz)/($DI211),""),"")</f>
        <v/>
      </c>
      <c r="DV211" s="56">
        <f>IFERROR(IF(($DJ211)&gt;0,($DA211*cfg_TroyOz)/($DJ211),""),"")</f>
        <v/>
      </c>
      <c r="DW211" s="56">
        <f>IFERROR(IF(($DK211)&gt;0,($DB211*cfg_TroyOz)/($DK211),""),"")</f>
        <v/>
      </c>
      <c r="DX211" s="56">
        <f>IFERROR(IF(($DL211)&gt;0,($DC211*cfg_TroyOz)/($DL211),""),"")</f>
        <v/>
      </c>
      <c r="DY211" s="67">
        <f>IFERROR(IF(($DM211)&gt;0,($DD211)/($DM211),""),"")</f>
        <v/>
      </c>
      <c r="DZ211" s="67">
        <f>IFERROR(IF(($DN211)&gt;0,($DE211)/($DN211),""),"")</f>
        <v/>
      </c>
      <c r="EA211" s="67">
        <f>IFERROR(IF(($DO211)&gt;0,($DF211)/($DO211),""),"")</f>
        <v/>
      </c>
      <c r="EB211" s="55">
        <f>SUMIFS(tblPlant[Gravity_Gold_oz],tblPlant[Date],$A211)</f>
        <v/>
      </c>
      <c r="EC211" s="55">
        <f>IF($B211=$B210,$EC210,0)+$EB211</f>
        <v/>
      </c>
      <c r="ED211" s="55">
        <f>$ED210+$EB211</f>
        <v/>
      </c>
      <c r="EE211" s="67">
        <f>IFERROR(IF(($DD211)&gt;0,($EB211)/($DD211),""),"")</f>
        <v/>
      </c>
      <c r="EF211" s="67">
        <f>IFERROR(IF(($DE211)&gt;0,($EC211)/($DE211),""),"")</f>
        <v/>
      </c>
      <c r="EG211" s="67">
        <f>IFERROR(IF(($DF211)&gt;0,($ED211)/($DF211),""),"")</f>
        <v/>
      </c>
      <c r="EH211" s="55">
        <f>SUMIFS(tblPlant[Gold_Poured_oz],tblPlant[Date],$A211)</f>
        <v/>
      </c>
      <c r="EI211" s="55">
        <f>IF($B211=$B210,$EI210,0)+$EH211</f>
        <v/>
      </c>
      <c r="EJ211" s="55">
        <f>$EJ210+$EH211</f>
        <v/>
      </c>
      <c r="EK211" s="57">
        <f>SUMIFS(tblPlant[Mill_Run_h],tblPlant[Date],$A211)</f>
        <v/>
      </c>
      <c r="EL211" s="57">
        <f>IF($B211=$B210,$EL210,0)+$EK211</f>
        <v/>
      </c>
      <c r="EM211" s="57">
        <f>$EM210+$EK211</f>
        <v/>
      </c>
      <c r="EN211" s="57">
        <f>SUMIFS(tblPlant[Mill_Planned_Maint_h],tblPlant[Date],$A211)</f>
        <v/>
      </c>
      <c r="EO211" s="57">
        <f>IF($B211=$B210,$EO210,0)+$EN211</f>
        <v/>
      </c>
      <c r="EP211" s="57">
        <f>$EP210+$EN211</f>
        <v/>
      </c>
      <c r="EQ211" s="57">
        <f>SUMIFS(tblPlant[Mill_Unplanned_Down_h],tblPlant[Date],$A211)</f>
        <v/>
      </c>
      <c r="ER211" s="57">
        <f>IF($B211=$B210,$ER210,0)+$EQ211</f>
        <v/>
      </c>
      <c r="ES211" s="57">
        <f>$ES210+$EQ211</f>
        <v/>
      </c>
      <c r="ET211" s="57">
        <f>IF(COUNTIFS(tblPlant[Date],$A211,tblPlant[Mill_Run_h],"&lt;&gt;")+COUNTIFS(tblPlant[Date],$A211,tblPlant[Mill_Planned_Maint_h],"&lt;&gt;")+COUNTIFS(tblPlant[Date],$A211,tblPlant[Mill_Unplanned_Down_h],"&lt;&gt;")&gt;0,cfg_HoursPerDay,0)</f>
        <v/>
      </c>
      <c r="EU211" s="57">
        <f>IF($B211=$B210,$EU210,0)+$ET211</f>
        <v/>
      </c>
      <c r="EV211" s="57">
        <f>$EV210+$ET211</f>
        <v/>
      </c>
      <c r="EW211" s="57">
        <f>SUMIFS(tblPlant[Crusher_Run_h],tblPlant[Date],$A211)</f>
        <v/>
      </c>
      <c r="EX211" s="57">
        <f>IF($B211=$B210,$EX210,0)+$EW211</f>
        <v/>
      </c>
      <c r="EY211" s="57">
        <f>$EY210+$EW211</f>
        <v/>
      </c>
      <c r="EZ211" s="55">
        <f>IFERROR(IF(($EK211)&gt;0,($DP211)/($EK211),""),"")</f>
        <v/>
      </c>
      <c r="FA211" s="55">
        <f>IFERROR(IF(($EL211)&gt;0,($DQ211)/($EL211),""),"")</f>
        <v/>
      </c>
      <c r="FB211" s="55">
        <f>IFERROR(IF(($EM211)&gt;0,($DR211)/($EM211),""),"")</f>
        <v/>
      </c>
      <c r="FC211" s="67">
        <f>IFERROR(IF(($ET211)&gt;0,($ET211-$EN211-$EQ211)/($ET211),""),"")</f>
        <v/>
      </c>
      <c r="FD211" s="67">
        <f>IFERROR(IF(($EU211)&gt;0,($EU211-$EO211-$ER211)/($EU211),""),"")</f>
        <v/>
      </c>
      <c r="FE211" s="67">
        <f>IFERROR(IF(($EV211)&gt;0,($EV211-$EP211-$ES211)/($EV211),""),"")</f>
        <v/>
      </c>
      <c r="FF211" s="67">
        <f>IFERROR(IF(($ET211-$EN211-$EQ211)&gt;0,($EK211)/($ET211-$EN211-$EQ211),""),"")</f>
        <v/>
      </c>
      <c r="FG211" s="67">
        <f>IFERROR(IF(($EU211-$EO211-$ER211)&gt;0,($EL211)/($EU211-$EO211-$ER211),""),"")</f>
        <v/>
      </c>
      <c r="FH211" s="67">
        <f>IFERROR(IF(($EV211-$EP211-$ES211)&gt;0,($EM211)/($EV211-$EP211-$ES211),""),"")</f>
        <v/>
      </c>
      <c r="FI211" s="55">
        <f>SUMIFS(tblPlant[Cyanide_kg],tblPlant[Date],$A211)</f>
        <v/>
      </c>
      <c r="FJ211" s="55">
        <f>IF($B211=$B210,$FJ210,0)+$FI211</f>
        <v/>
      </c>
      <c r="FK211" s="55">
        <f>$FK210+$FI211</f>
        <v/>
      </c>
      <c r="FL211" s="55">
        <f>SUMIFS(tblPlant[Lime_kg],tblPlant[Date],$A211)</f>
        <v/>
      </c>
      <c r="FM211" s="55">
        <f>IF($B211=$B210,$FM210,0)+$FL211</f>
        <v/>
      </c>
      <c r="FN211" s="55">
        <f>$FN210+$FL211</f>
        <v/>
      </c>
      <c r="FO211" s="55">
        <f>SUMIFS(tblPlant[Grinding_Media_kg],tblPlant[Date],$A211)</f>
        <v/>
      </c>
      <c r="FP211" s="55">
        <f>IF($B211=$B210,$FP210,0)+$FO211</f>
        <v/>
      </c>
      <c r="FQ211" s="55">
        <f>$FQ210+$FO211</f>
        <v/>
      </c>
      <c r="FR211" s="55">
        <f>SUMIFS(tblPlant[Power_kWh],tblPlant[Date],$A211)</f>
        <v/>
      </c>
      <c r="FS211" s="55">
        <f>IF($B211=$B210,$FS210,0)+$FR211</f>
        <v/>
      </c>
      <c r="FT211" s="55">
        <f>$FT210+$FR211</f>
        <v/>
      </c>
      <c r="FU211" s="55">
        <f>SUMIFS(tblPlant[Raw_Water_m3],tblPlant[Date],$A211)</f>
        <v/>
      </c>
      <c r="FV211" s="55">
        <f>IF($B211=$B210,$FV210,0)+$FU211</f>
        <v/>
      </c>
      <c r="FW211" s="55">
        <f>$FW210+$FU211</f>
        <v/>
      </c>
      <c r="FX211" s="56">
        <f>IFERROR(IF(($CU211)&gt;0,($FI211)/($CU211),""),"")</f>
        <v/>
      </c>
      <c r="FY211" s="56">
        <f>IFERROR(IF(($CV211)&gt;0,($FJ211)/($CV211),""),"")</f>
        <v/>
      </c>
      <c r="FZ211" s="56">
        <f>IFERROR(IF(($CW211)&gt;0,($FK211)/($CW211),""),"")</f>
        <v/>
      </c>
      <c r="GA211" s="56">
        <f>IFERROR(IF(($CU211)&gt;0,($FL211)/($CU211),""),"")</f>
        <v/>
      </c>
      <c r="GB211" s="56">
        <f>IFERROR(IF(($CV211)&gt;0,($FM211)/($CV211),""),"")</f>
        <v/>
      </c>
      <c r="GC211" s="56">
        <f>IFERROR(IF(($CW211)&gt;0,($FN211)/($CW211),""),"")</f>
        <v/>
      </c>
      <c r="GD211" s="56">
        <f>IFERROR(IF(($CU211)&gt;0,($FO211)/($CU211),""),"")</f>
        <v/>
      </c>
      <c r="GE211" s="56">
        <f>IFERROR(IF(($CV211)&gt;0,($FP211)/($CV211),""),"")</f>
        <v/>
      </c>
      <c r="GF211" s="56">
        <f>IFERROR(IF(($CW211)&gt;0,($FQ211)/($CW211),""),"")</f>
        <v/>
      </c>
      <c r="GG211" s="79">
        <f>IFERROR(IF(($CU211)&gt;0,($FR211)/($CU211),""),"")</f>
        <v/>
      </c>
      <c r="GH211" s="79">
        <f>IFERROR(IF(($CV211)&gt;0,($FS211)/($CV211),""),"")</f>
        <v/>
      </c>
      <c r="GI211" s="79">
        <f>IFERROR(IF(($CW211)&gt;0,($FT211)/($CW211),""),"")</f>
        <v/>
      </c>
      <c r="GJ211" s="56">
        <f>IFERROR(IF(($CU211)&gt;0,($FU211)/($CU211),""),"")</f>
        <v/>
      </c>
      <c r="GK211" s="56">
        <f>IFERROR(IF(($CV211)&gt;0,($FV211)/($CV211),""),"")</f>
        <v/>
      </c>
      <c r="GL211" s="56">
        <f>IFERROR(IF(($CW211)&gt;0,($FW211)/($CW211),""),"")</f>
        <v/>
      </c>
      <c r="GM211" s="55">
        <f>IF(SUMIFS(tblPlant[GIC_oz],tblPlant[Date],$A211)&gt;0,SUMIFS(tblPlant[GIC_oz],tblPlant[Date],$A211),"")</f>
        <v/>
      </c>
      <c r="GN211" s="55">
        <f>SUMIFS(tblGold[Gold_oz],tblGold[Date],$A211,tblGold[Type],"Shipment")</f>
        <v/>
      </c>
      <c r="GO211" s="55">
        <f>IF($B211=$B210,$GO210,0)+$GN211</f>
        <v/>
      </c>
      <c r="GP211" s="55">
        <f>$GP210+$GN211</f>
        <v/>
      </c>
      <c r="GQ211" s="55">
        <f>SUMIFS(tblGold[Gold_oz],tblGold[Date],$A211,tblGold[Type],"Sale")</f>
        <v/>
      </c>
      <c r="GR211" s="55">
        <f>IF($B211=$B210,$GR210,0)+$GQ211</f>
        <v/>
      </c>
      <c r="GS211" s="55">
        <f>$GS210+$GQ211</f>
        <v/>
      </c>
      <c r="GT211" s="55">
        <f>SUMIFS(tblGold[Dore_kg],tblGold[Date],$A211,tblGold[Type],"Shipment")</f>
        <v/>
      </c>
      <c r="GU211" s="55">
        <f>IF($B211=$B210,$GU210,0)+$GT211</f>
        <v/>
      </c>
      <c r="GV211" s="55">
        <f>$GV210+$GT211</f>
        <v/>
      </c>
      <c r="GW211" s="57">
        <f>SUMIFS(tblSafety[Hours_Total],tblSafety[Date],$A211)</f>
        <v/>
      </c>
      <c r="GX211" s="57">
        <f>IF($B211=$B210,$GX210,0)+$GW211</f>
        <v/>
      </c>
      <c r="GY211" s="57">
        <f>$GY210+$GW211</f>
        <v/>
      </c>
      <c r="GZ211" s="62">
        <f>SUMIFS(tblSafety[Fatality],tblSafety[Date],$A211)</f>
        <v/>
      </c>
      <c r="HA211" s="62">
        <f>IF($B211=$B210,$HA210,0)+$GZ211</f>
        <v/>
      </c>
      <c r="HB211" s="62">
        <f>$HB210+$GZ211</f>
        <v/>
      </c>
      <c r="HC211" s="62">
        <f>SUMIFS(tblSafety[LTI],tblSafety[Date],$A211)</f>
        <v/>
      </c>
      <c r="HD211" s="62">
        <f>IF($B211=$B210,$HD210,0)+$HC211</f>
        <v/>
      </c>
      <c r="HE211" s="62">
        <f>$HE210+$HC211</f>
        <v/>
      </c>
      <c r="HF211" s="62">
        <f>SUMIFS(tblSafety[RWI],tblSafety[Date],$A211)</f>
        <v/>
      </c>
      <c r="HG211" s="62">
        <f>IF($B211=$B210,$HG210,0)+$HF211</f>
        <v/>
      </c>
      <c r="HH211" s="62">
        <f>$HH210+$HF211</f>
        <v/>
      </c>
      <c r="HI211" s="62">
        <f>SUMIFS(tblSafety[MTI],tblSafety[Date],$A211)</f>
        <v/>
      </c>
      <c r="HJ211" s="62">
        <f>IF($B211=$B210,$HJ210,0)+$HI211</f>
        <v/>
      </c>
      <c r="HK211" s="62">
        <f>$HK210+$HI211</f>
        <v/>
      </c>
      <c r="HL211" s="62">
        <f>SUMIFS(tblSafety[FAI],tblSafety[Date],$A211)</f>
        <v/>
      </c>
      <c r="HM211" s="62">
        <f>IF($B211=$B210,$HM210,0)+$HL211</f>
        <v/>
      </c>
      <c r="HN211" s="62">
        <f>$HN210+$HL211</f>
        <v/>
      </c>
      <c r="HO211" s="62">
        <f>SUMIFS(tblSafety[Recordables],tblSafety[Date],$A211)</f>
        <v/>
      </c>
      <c r="HP211" s="62">
        <f>IF($B211=$B210,$HP210,0)+$HO211</f>
        <v/>
      </c>
      <c r="HQ211" s="62">
        <f>$HQ210+$HO211</f>
        <v/>
      </c>
      <c r="HR211" s="62">
        <f>SUMIFS(tblSafety[Near_Miss],tblSafety[Date],$A211)</f>
        <v/>
      </c>
      <c r="HS211" s="62">
        <f>IF($B211=$B210,$HS210,0)+$HR211</f>
        <v/>
      </c>
      <c r="HT211" s="62">
        <f>$HT210+$HR211</f>
        <v/>
      </c>
      <c r="HU211" s="62">
        <f>SUMIFS(tblSafety[Hazard_Reports],tblSafety[Date],$A211)</f>
        <v/>
      </c>
      <c r="HV211" s="62">
        <f>IF($B211=$B210,$HV210,0)+$HU211</f>
        <v/>
      </c>
      <c r="HW211" s="62">
        <f>$HW210+$HU211</f>
        <v/>
      </c>
      <c r="HX211" s="62">
        <f>SUMIFS(tblSafety[HPI],tblSafety[Date],$A211)</f>
        <v/>
      </c>
      <c r="HY211" s="62">
        <f>IF($B211=$B210,$HY210,0)+$HX211</f>
        <v/>
      </c>
      <c r="HZ211" s="62">
        <f>$HZ210+$HX211</f>
        <v/>
      </c>
      <c r="IA211" s="62">
        <f>SUMIFS(tblSafety[Env_Incidents],tblSafety[Date],$A211)</f>
        <v/>
      </c>
      <c r="IB211" s="62">
        <f>IF($B211=$B210,$IB210,0)+$IA211</f>
        <v/>
      </c>
      <c r="IC211" s="62">
        <f>$IC210+$IA211</f>
        <v/>
      </c>
      <c r="ID211" s="62">
        <f>SUMIFS(tblSafety[Community_Incidents],tblSafety[Date],$A211)</f>
        <v/>
      </c>
      <c r="IE211" s="62">
        <f>IF($B211=$B210,$IE210,0)+$ID211</f>
        <v/>
      </c>
      <c r="IF211" s="62">
        <f>$IF210+$ID211</f>
        <v/>
      </c>
      <c r="IG211" s="62">
        <f>SUMIFS(tblSafety[Vehicle_Incidents],tblSafety[Date],$A211)</f>
        <v/>
      </c>
      <c r="IH211" s="62">
        <f>IF($B211=$B210,$IH210,0)+$IG211</f>
        <v/>
      </c>
      <c r="II211" s="62">
        <f>$II210+$IG211</f>
        <v/>
      </c>
      <c r="IJ211" s="62">
        <f>SUMIFS(tblSafety[Toolbox_Talks],tblSafety[Date],$A211)</f>
        <v/>
      </c>
      <c r="IK211" s="62">
        <f>IF($B211=$B210,$IK210,0)+$IJ211</f>
        <v/>
      </c>
      <c r="IL211" s="62">
        <f>$IL210+$IJ211</f>
        <v/>
      </c>
      <c r="IM211" s="62">
        <f>SUMIFS(tblSafety[Inspections],tblSafety[Date],$A211)</f>
        <v/>
      </c>
      <c r="IN211" s="62">
        <f>IF($B211=$B210,$IN210,0)+$IM211</f>
        <v/>
      </c>
      <c r="IO211" s="62">
        <f>$IO210+$IM211</f>
        <v/>
      </c>
      <c r="IP211" s="56">
        <f>IFERROR((SUMIFS(tblSafety[Recordables],tblSafety[Date],"&gt;="&amp;EDATE($E211,-12),tblSafety[Date],"&lt;="&amp;$A211)+SUMIFS(tblSafetyHistory[Recordables],tblSafetyHistory[Month],"&gt;="&amp;EDATE($E211,-12),tblSafetyHistory[Month],"&lt;"&amp;$E211,tblSafetyHistory[Use],1))/(SUMIFS(tblSafety[Hours_Total],tblSafety[Date],"&gt;="&amp;EDATE($E211,-12),tblSafety[Date],"&lt;="&amp;$A211)+SUMIFS(tblSafetyHistory[Hours_Total],tblSafetyHistory[Month],"&gt;="&amp;EDATE($E211,-12),tblSafetyHistory[Month],"&lt;"&amp;$E211,tblSafetyHistory[Use],1))*cfg_RateBasisHours,"")</f>
        <v/>
      </c>
      <c r="IQ211" s="56">
        <f>IFERROR((SUMIFS(tblSafety[LTI],tblSafety[Date],"&gt;="&amp;EDATE($E211,-12),tblSafety[Date],"&lt;="&amp;$A211)+SUMIFS(tblSafetyHistory[LTI],tblSafetyHistory[Month],"&gt;="&amp;EDATE($E211,-12),tblSafetyHistory[Month],"&lt;"&amp;$E211,tblSafetyHistory[Use],1))/(SUMIFS(tblSafety[Hours_Total],tblSafety[Date],"&gt;="&amp;EDATE($E211,-12),tblSafety[Date],"&lt;="&amp;$A211)+SUMIFS(tblSafetyHistory[Hours_Total],tblSafetyHistory[Month],"&gt;="&amp;EDATE($E211,-12),tblSafetyHistory[Month],"&lt;"&amp;$E211,tblSafetyHistory[Use],1))*cfg_RateBasisHours,"")</f>
        <v/>
      </c>
      <c r="IR211" s="62">
        <f>IF(MAX(N(cfg_PriorLTIDate),_xlfn.MAXIFS(tblSafety[Date],tblSafety[LTI],"&gt;0",tblSafety[Date],"&lt;="&amp;$A211))=0,"",$A211-MAX(N(cfg_PriorLTIDate),_xlfn.MAXIFS(tblSafety[Date],tblSafety[LTI],"&gt;0",tblSafety[Date],"&lt;="&amp;$A211)))</f>
        <v/>
      </c>
      <c r="IS211" s="55">
        <f>SUMIFS(tblBudget[Ore_Mined_t],tblBudget[Month],$E211)</f>
        <v/>
      </c>
      <c r="IT211" s="55">
        <f>$IS211*$C211/$D211</f>
        <v/>
      </c>
      <c r="IU211" s="55">
        <f>SUMIFS(tblBudget[Ore_Mined_t],tblBudget[Month],"&lt;"&amp;$E211)+$IT211</f>
        <v/>
      </c>
      <c r="IV211" s="55">
        <f>SUMIFS(tblBudget[Ore_oz],tblBudget[Month],$E211)</f>
        <v/>
      </c>
      <c r="IW211" s="55">
        <f>$IV211*$C211/$D211</f>
        <v/>
      </c>
      <c r="IX211" s="55">
        <f>SUMIFS(tblBudget[Ore_oz],tblBudget[Month],"&lt;"&amp;$E211)+$IW211</f>
        <v/>
      </c>
      <c r="IY211" s="55">
        <f>SUMIFS(tblBudget[Ore_Mined_t],tblBudget[Month],$E211)</f>
        <v/>
      </c>
      <c r="IZ211" s="55">
        <f>$IY211*$C211/$D211</f>
        <v/>
      </c>
      <c r="JA211" s="55">
        <f>SUMIFS(tblBudget[Ore_Mined_t],tblBudget[Month],"&lt;"&amp;$E211)+$IZ211</f>
        <v/>
      </c>
      <c r="JB211" s="56">
        <f>IFERROR(IF(($IY211)&gt;0,($IV211*cfg_TroyOz)/($IY211),""),"")</f>
        <v/>
      </c>
      <c r="JC211" s="56">
        <f>IFERROR(IF(($IZ211)&gt;0,($IW211*cfg_TroyOz)/($IZ211),""),"")</f>
        <v/>
      </c>
      <c r="JD211" s="56">
        <f>IFERROR(IF(($JA211)&gt;0,($IX211*cfg_TroyOz)/($JA211),""),"")</f>
        <v/>
      </c>
      <c r="JE211" s="55">
        <f>SUMIFS(tblBudget[Waste_t],tblBudget[Month],$E211)</f>
        <v/>
      </c>
      <c r="JF211" s="55">
        <f>$JE211*$C211/$D211</f>
        <v/>
      </c>
      <c r="JG211" s="55">
        <f>SUMIFS(tblBudget[Waste_t],tblBudget[Month],"&lt;"&amp;$E211)+$JF211</f>
        <v/>
      </c>
      <c r="JH211" s="55">
        <f>SUMIFS(tblBudget[TMM_t],tblBudget[Month],$E211)</f>
        <v/>
      </c>
      <c r="JI211" s="55">
        <f>$JH211*$C211/$D211</f>
        <v/>
      </c>
      <c r="JJ211" s="55">
        <f>SUMIFS(tblBudget[TMM_t],tblBudget[Month],"&lt;"&amp;$E211)+$JI211</f>
        <v/>
      </c>
      <c r="JK211" s="56">
        <f>IFERROR(IF(($IS211)&gt;0,($JE211)/($IS211),""),"")</f>
        <v/>
      </c>
      <c r="JL211" s="56">
        <f>IFERROR(IF(($IT211)&gt;0,($JF211)/($IT211),""),"")</f>
        <v/>
      </c>
      <c r="JM211" s="56">
        <f>IFERROR(IF(($IU211)&gt;0,($JG211)/($IU211),""),"")</f>
        <v/>
      </c>
      <c r="JN211" s="55">
        <f>SUMIFS(tblBudget[Drill_m],tblBudget[Month],$E211)</f>
        <v/>
      </c>
      <c r="JO211" s="55">
        <f>$JN211*$C211/$D211</f>
        <v/>
      </c>
      <c r="JP211" s="55">
        <f>SUMIFS(tblBudget[Drill_m],tblBudget[Month],"&lt;"&amp;$E211)+$JO211</f>
        <v/>
      </c>
      <c r="JQ211" s="55">
        <f>SUMIFS(tblBudget[Diesel_L],tblBudget[Month],$E211)</f>
        <v/>
      </c>
      <c r="JR211" s="55">
        <f>$JQ211*$C211/$D211</f>
        <v/>
      </c>
      <c r="JS211" s="55">
        <f>SUMIFS(tblBudget[Diesel_L],tblBudget[Month],"&lt;"&amp;$E211)+$JR211</f>
        <v/>
      </c>
      <c r="JT211" s="55">
        <f>SUMIFS(tblBudget[Milled_t],tblBudget[Month],$E211)</f>
        <v/>
      </c>
      <c r="JU211" s="55">
        <f>$JT211*$C211/$D211</f>
        <v/>
      </c>
      <c r="JV211" s="55">
        <f>SUMIFS(tblBudget[Milled_t],tblBudget[Month],"&lt;"&amp;$E211)+$JU211</f>
        <v/>
      </c>
      <c r="JW211" s="55">
        <f>SUMIFS(tblBudget[Feed_oz],tblBudget[Month],$E211)</f>
        <v/>
      </c>
      <c r="JX211" s="55">
        <f>$JW211*$C211/$D211</f>
        <v/>
      </c>
      <c r="JY211" s="55">
        <f>SUMIFS(tblBudget[Feed_oz],tblBudget[Month],"&lt;"&amp;$E211)+$JX211</f>
        <v/>
      </c>
      <c r="JZ211" s="55">
        <f>SUMIFS(tblBudget[Recovered_oz],tblBudget[Month],$E211)</f>
        <v/>
      </c>
      <c r="KA211" s="55">
        <f>$JZ211*$C211/$D211</f>
        <v/>
      </c>
      <c r="KB211" s="55">
        <f>SUMIFS(tblBudget[Recovered_oz],tblBudget[Month],"&lt;"&amp;$E211)+$KA211</f>
        <v/>
      </c>
      <c r="KC211" s="55">
        <f>SUMIFS(tblBudget[Milled_t],tblBudget[Month],$E211)</f>
        <v/>
      </c>
      <c r="KD211" s="55">
        <f>$KC211*$C211/$D211</f>
        <v/>
      </c>
      <c r="KE211" s="55">
        <f>SUMIFS(tblBudget[Milled_t],tblBudget[Month],"&lt;"&amp;$E211)+$KD211</f>
        <v/>
      </c>
      <c r="KF211" s="55">
        <f>SUMIFS(tblBudget[Feed_oz],tblBudget[Month],$E211)</f>
        <v/>
      </c>
      <c r="KG211" s="55">
        <f>$KF211*$C211/$D211</f>
        <v/>
      </c>
      <c r="KH211" s="55">
        <f>SUMIFS(tblBudget[Feed_oz],tblBudget[Month],"&lt;"&amp;$E211)+$KG211</f>
        <v/>
      </c>
      <c r="KI211" s="56">
        <f>IFERROR(IF(($KC211)&gt;0,($JW211*cfg_TroyOz)/($KC211),""),"")</f>
        <v/>
      </c>
      <c r="KJ211" s="56">
        <f>IFERROR(IF(($KD211)&gt;0,($JX211*cfg_TroyOz)/($KD211),""),"")</f>
        <v/>
      </c>
      <c r="KK211" s="56">
        <f>IFERROR(IF(($KE211)&gt;0,($JY211*cfg_TroyOz)/($KE211),""),"")</f>
        <v/>
      </c>
      <c r="KL211" s="67">
        <f>IFERROR(IF(($KF211)&gt;0,($JZ211)/($KF211),""),"")</f>
        <v/>
      </c>
      <c r="KM211" s="67">
        <f>IFERROR(IF(($KG211)&gt;0,($KA211)/($KG211),""),"")</f>
        <v/>
      </c>
      <c r="KN211" s="67">
        <f>IFERROR(IF(($KH211)&gt;0,($KB211)/($KH211),""),"")</f>
        <v/>
      </c>
      <c r="KO211" s="55">
        <f>SUMIFS(tblBudget[Gold_Poured_oz],tblBudget[Month],$E211)</f>
        <v/>
      </c>
      <c r="KP211" s="55">
        <f>$KO211*$C211/$D211</f>
        <v/>
      </c>
      <c r="KQ211" s="55">
        <f>SUMIFS(tblBudget[Gold_Poured_oz],tblBudget[Month],"&lt;"&amp;$E211)+$KP211</f>
        <v/>
      </c>
      <c r="KR211" s="57">
        <f>SUMIFS(tblBudget[Hours_Worked],tblBudget[Month],$E211)</f>
        <v/>
      </c>
      <c r="KS211" s="57">
        <f>$KR211*$C211/$D211</f>
        <v/>
      </c>
      <c r="KT211" s="57">
        <f>SUMIFS(tblBudget[Hours_Worked],tblBudget[Month],"&lt;"&amp;$E211)+$KS211</f>
        <v/>
      </c>
    </row>
    <row r="212">
      <c r="A212" s="54" t="n">
        <v>46233</v>
      </c>
      <c r="B212">
        <f>MONTH($A212)</f>
        <v/>
      </c>
      <c r="C212">
        <f>DAY($A212)</f>
        <v/>
      </c>
      <c r="D212">
        <f>DAY(EOMONTH($A212,0))</f>
        <v/>
      </c>
      <c r="E212" s="54">
        <f>DATE(YEAR($A212),MONTH($A212),1)</f>
        <v/>
      </c>
      <c r="F212" s="55">
        <f>SUMIFS(tblMovement[Tonnes_t],tblMovement[Date],$A212,tblMovement[Is_Ore],1,tblMovement[Source_Type],"Pit")</f>
        <v/>
      </c>
      <c r="G212" s="55">
        <f>IF($B212=$B211,$G211,0)+$F212</f>
        <v/>
      </c>
      <c r="H212" s="55">
        <f>$H211+$F212</f>
        <v/>
      </c>
      <c r="I212" s="55">
        <f>SUMIFS(tblMovement[Ore_oz],tblMovement[Date],$A212,tblMovement[Source_Type],"Pit")</f>
        <v/>
      </c>
      <c r="J212" s="55">
        <f>IF($B212=$B211,$J211,0)+$I212</f>
        <v/>
      </c>
      <c r="K212" s="55">
        <f>$K211+$I212</f>
        <v/>
      </c>
      <c r="L212" s="55">
        <f>SUMIFS(tblMovement[Tonnes_t],tblMovement[Date],$A212,tblMovement[Is_Ore],1,tblMovement[Source_Type],"Pit",tblMovement[Grade_gpt],"&lt;&gt;")</f>
        <v/>
      </c>
      <c r="M212" s="55">
        <f>IF($B212=$B211,$M211,0)+$L212</f>
        <v/>
      </c>
      <c r="N212" s="55">
        <f>$N211+$L212</f>
        <v/>
      </c>
      <c r="O212" s="56">
        <f>IFERROR(IF(($L212)&gt;0,($I212*cfg_TroyOz)/($L212),""),"")</f>
        <v/>
      </c>
      <c r="P212" s="56">
        <f>IFERROR(IF(($M212)&gt;0,($J212*cfg_TroyOz)/($M212),""),"")</f>
        <v/>
      </c>
      <c r="Q212" s="56">
        <f>IFERROR(IF(($N212)&gt;0,($K212*cfg_TroyOz)/($N212),""),"")</f>
        <v/>
      </c>
      <c r="R212" s="55">
        <f>$F212-$L212</f>
        <v/>
      </c>
      <c r="S212" s="55">
        <f>IF($B212=$B211,$S211,0)+$R212</f>
        <v/>
      </c>
      <c r="T212" s="55">
        <f>$T211+$R212</f>
        <v/>
      </c>
      <c r="U212" s="55">
        <f>SUMIFS(tblMovement[Tonnes_t],tblMovement[Date],$A212,tblMovement[Is_Ore],0,tblMovement[Source_Type],"Pit")</f>
        <v/>
      </c>
      <c r="V212" s="55">
        <f>IF($B212=$B211,$V211,0)+$U212</f>
        <v/>
      </c>
      <c r="W212" s="55">
        <f>$W211+$U212</f>
        <v/>
      </c>
      <c r="X212" s="55">
        <f>$F212+$U212</f>
        <v/>
      </c>
      <c r="Y212" s="55">
        <f>IF($B212=$B211,$Y211,0)+$X212</f>
        <v/>
      </c>
      <c r="Z212" s="55">
        <f>$Z211+$X212</f>
        <v/>
      </c>
      <c r="AA212" s="56">
        <f>IFERROR(IF(($F212)&gt;0,($U212)/($F212),""),"")</f>
        <v/>
      </c>
      <c r="AB212" s="56">
        <f>IFERROR(IF(($G212)&gt;0,($V212)/($G212),""),"")</f>
        <v/>
      </c>
      <c r="AC212" s="56">
        <f>IFERROR(IF(($H212)&gt;0,($W212)/($H212),""),"")</f>
        <v/>
      </c>
      <c r="AD212" s="55">
        <f>SUMIFS(tblMovement[Tonnes_t],tblMovement[Date],$A212,tblMovement[Source_Type],"Stockpile")</f>
        <v/>
      </c>
      <c r="AE212" s="55">
        <f>IF($B212=$B211,$AE211,0)+$AD212</f>
        <v/>
      </c>
      <c r="AF212" s="55">
        <f>$AF211+$AD212</f>
        <v/>
      </c>
      <c r="AG212" s="55">
        <f>SUMIFS(tblMovement[Tonnes_t],tblMovement[Date],$A212)</f>
        <v/>
      </c>
      <c r="AH212" s="55">
        <f>IF($B212=$B211,$AH211,0)+$AG212</f>
        <v/>
      </c>
      <c r="AI212" s="55">
        <f>$AI211+$AG212</f>
        <v/>
      </c>
      <c r="AJ212" s="55">
        <f>$AG212-$X212-$AD212</f>
        <v/>
      </c>
      <c r="AK212" s="55">
        <f>IF($B212=$B211,$AK211,0)+$AJ212</f>
        <v/>
      </c>
      <c r="AL212" s="55">
        <f>$AL211+$AJ212</f>
        <v/>
      </c>
      <c r="AM212" s="55">
        <f>SUMIFS(tblMiningDaily[Drill_m],tblMiningDaily[Date],$A212)</f>
        <v/>
      </c>
      <c r="AN212" s="55">
        <f>IF($B212=$B211,$AN211,0)+$AM212</f>
        <v/>
      </c>
      <c r="AO212" s="55">
        <f>$AO211+$AM212</f>
        <v/>
      </c>
      <c r="AP212" s="55">
        <f>SUMIFS(tblMiningDaily[GC_Drill_m],tblMiningDaily[Date],$A212)</f>
        <v/>
      </c>
      <c r="AQ212" s="55">
        <f>IF($B212=$B211,$AQ211,0)+$AP212</f>
        <v/>
      </c>
      <c r="AR212" s="55">
        <f>$AR211+$AP212</f>
        <v/>
      </c>
      <c r="AS212" s="55">
        <f>SUMIFS(tblMiningDaily[Blast_t],tblMiningDaily[Date],$A212)</f>
        <v/>
      </c>
      <c r="AT212" s="55">
        <f>IF($B212=$B211,$AT211,0)+$AS212</f>
        <v/>
      </c>
      <c r="AU212" s="55">
        <f>$AU211+$AS212</f>
        <v/>
      </c>
      <c r="AV212" s="55">
        <f>SUMIFS(tblMiningDaily[Explosives_kg],tblMiningDaily[Date],$A212)</f>
        <v/>
      </c>
      <c r="AW212" s="55">
        <f>IF($B212=$B211,$AW211,0)+$AV212</f>
        <v/>
      </c>
      <c r="AX212" s="55">
        <f>$AX211+$AV212</f>
        <v/>
      </c>
      <c r="AY212" s="56">
        <f>IFERROR(IF(($AS212)&gt;0,($AV212)/($AS212),""),"")</f>
        <v/>
      </c>
      <c r="AZ212" s="56">
        <f>IFERROR(IF(($AT212)&gt;0,($AW212)/($AT212),""),"")</f>
        <v/>
      </c>
      <c r="BA212" s="56">
        <f>IFERROR(IF(($AU212)&gt;0,($AX212)/($AU212),""),"")</f>
        <v/>
      </c>
      <c r="BB212" s="55">
        <f>SUMIFS(tblMiningDaily[Diesel_L],tblMiningDaily[Date],$A212)</f>
        <v/>
      </c>
      <c r="BC212" s="55">
        <f>IF($B212=$B211,$BC211,0)+$BB212</f>
        <v/>
      </c>
      <c r="BD212" s="55">
        <f>$BD211+$BB212</f>
        <v/>
      </c>
      <c r="BE212" s="55">
        <f>SUMIFS(tblMiningDaily[Dewatering_m3],tblMiningDaily[Date],$A212)</f>
        <v/>
      </c>
      <c r="BF212" s="55">
        <f>IF($B212=$B211,$BF211,0)+$BE212</f>
        <v/>
      </c>
      <c r="BG212" s="55">
        <f>$BG211+$BE212</f>
        <v/>
      </c>
      <c r="BH212" s="57">
        <f>SUMIFS(tblFleet[Calendar_h],tblFleet[Date],$A212,tblFleet[Equipment_Class],"Excavator")</f>
        <v/>
      </c>
      <c r="BI212" s="57">
        <f>IF($B212=$B211,$BI211,0)+$BH212</f>
        <v/>
      </c>
      <c r="BJ212" s="57">
        <f>$BJ211+$BH212</f>
        <v/>
      </c>
      <c r="BK212" s="57">
        <f>SUMIFS(tblFleet[Available_h],tblFleet[Date],$A212,tblFleet[Equipment_Class],"Excavator")</f>
        <v/>
      </c>
      <c r="BL212" s="57">
        <f>IF($B212=$B211,$BL211,0)+$BK212</f>
        <v/>
      </c>
      <c r="BM212" s="57">
        <f>$BM211+$BK212</f>
        <v/>
      </c>
      <c r="BN212" s="57">
        <f>SUMIFS(tblFleet[Operating_h],tblFleet[Date],$A212,tblFleet[Equipment_Class],"Excavator")</f>
        <v/>
      </c>
      <c r="BO212" s="57">
        <f>IF($B212=$B211,$BO211,0)+$BN212</f>
        <v/>
      </c>
      <c r="BP212" s="57">
        <f>$BP211+$BN212</f>
        <v/>
      </c>
      <c r="BQ212" s="67">
        <f>IFERROR(IF(($BH212)&gt;0,($BK212)/($BH212),""),"")</f>
        <v/>
      </c>
      <c r="BR212" s="67">
        <f>IFERROR(IF(($BI212)&gt;0,($BL212)/($BI212),""),"")</f>
        <v/>
      </c>
      <c r="BS212" s="67">
        <f>IFERROR(IF(($BJ212)&gt;0,($BM212)/($BJ212),""),"")</f>
        <v/>
      </c>
      <c r="BT212" s="67">
        <f>IFERROR(IF(($BK212)&gt;0,($BN212)/($BK212),""),"")</f>
        <v/>
      </c>
      <c r="BU212" s="67">
        <f>IFERROR(IF(($BL212)&gt;0,($BO212)/($BL212),""),"")</f>
        <v/>
      </c>
      <c r="BV212" s="67">
        <f>IFERROR(IF(($BM212)&gt;0,($BP212)/($BM212),""),"")</f>
        <v/>
      </c>
      <c r="BW212" s="57">
        <f>SUMIFS(tblFleet[Calendar_h],tblFleet[Date],$A212,tblFleet[Equipment_Class],"Haul Truck")</f>
        <v/>
      </c>
      <c r="BX212" s="57">
        <f>IF($B212=$B211,$BX211,0)+$BW212</f>
        <v/>
      </c>
      <c r="BY212" s="57">
        <f>$BY211+$BW212</f>
        <v/>
      </c>
      <c r="BZ212" s="57">
        <f>SUMIFS(tblFleet[Available_h],tblFleet[Date],$A212,tblFleet[Equipment_Class],"Haul Truck")</f>
        <v/>
      </c>
      <c r="CA212" s="57">
        <f>IF($B212=$B211,$CA211,0)+$BZ212</f>
        <v/>
      </c>
      <c r="CB212" s="57">
        <f>$CB211+$BZ212</f>
        <v/>
      </c>
      <c r="CC212" s="57">
        <f>SUMIFS(tblFleet[Operating_h],tblFleet[Date],$A212,tblFleet[Equipment_Class],"Haul Truck")</f>
        <v/>
      </c>
      <c r="CD212" s="57">
        <f>IF($B212=$B211,$CD211,0)+$CC212</f>
        <v/>
      </c>
      <c r="CE212" s="57">
        <f>$CE211+$CC212</f>
        <v/>
      </c>
      <c r="CF212" s="67">
        <f>IFERROR(IF(($BW212)&gt;0,($BZ212)/($BW212),""),"")</f>
        <v/>
      </c>
      <c r="CG212" s="67">
        <f>IFERROR(IF(($BX212)&gt;0,($CA212)/($BX212),""),"")</f>
        <v/>
      </c>
      <c r="CH212" s="67">
        <f>IFERROR(IF(($BY212)&gt;0,($CB212)/($BY212),""),"")</f>
        <v/>
      </c>
      <c r="CI212" s="67">
        <f>IFERROR(IF(($BZ212)&gt;0,($CC212)/($BZ212),""),"")</f>
        <v/>
      </c>
      <c r="CJ212" s="67">
        <f>IFERROR(IF(($CA212)&gt;0,($CD212)/($CA212),""),"")</f>
        <v/>
      </c>
      <c r="CK212" s="67">
        <f>IFERROR(IF(($CB212)&gt;0,($CE212)/($CB212),""),"")</f>
        <v/>
      </c>
      <c r="CL212" s="55">
        <f>IFERROR(IF(($BN212)&gt;0,($X212+$AD212)/($BN212),""),"")</f>
        <v/>
      </c>
      <c r="CM212" s="55">
        <f>IFERROR(IF(($BO212)&gt;0,($Y212+$AE212)/($BO212),""),"")</f>
        <v/>
      </c>
      <c r="CN212" s="55">
        <f>IFERROR(IF(($BP212)&gt;0,($Z212+$AF212)/($BP212),""),"")</f>
        <v/>
      </c>
      <c r="CO212" s="55">
        <f>IFERROR(IF(($CC212)&gt;0,($X212+$AD212)/($CC212),""),"")</f>
        <v/>
      </c>
      <c r="CP212" s="55">
        <f>IFERROR(IF(($CD212)&gt;0,($Y212+$AE212)/($CD212),""),"")</f>
        <v/>
      </c>
      <c r="CQ212" s="55">
        <f>IFERROR(IF(($CE212)&gt;0,($Z212+$AF212)/($CE212),""),"")</f>
        <v/>
      </c>
      <c r="CR212" s="55">
        <f>SUMIFS(tblPlant[Crushed_t],tblPlant[Date],$A212)</f>
        <v/>
      </c>
      <c r="CS212" s="55">
        <f>IF($B212=$B211,$CS211,0)+$CR212</f>
        <v/>
      </c>
      <c r="CT212" s="55">
        <f>$CT211+$CR212</f>
        <v/>
      </c>
      <c r="CU212" s="55">
        <f>SUMIFS(tblPlant[Milled_t],tblPlant[Date],$A212)</f>
        <v/>
      </c>
      <c r="CV212" s="55">
        <f>IF($B212=$B211,$CV211,0)+$CU212</f>
        <v/>
      </c>
      <c r="CW212" s="55">
        <f>$CW211+$CU212</f>
        <v/>
      </c>
      <c r="CX212" s="55">
        <f>SUMIFS(tblPlant[Feed_oz],tblPlant[Date],$A212)</f>
        <v/>
      </c>
      <c r="CY212" s="55">
        <f>IF($B212=$B211,$CY211,0)+$CX212</f>
        <v/>
      </c>
      <c r="CZ212" s="55">
        <f>$CZ211+$CX212</f>
        <v/>
      </c>
      <c r="DA212" s="55">
        <f>SUMIFS(tblPlant[Tails_oz],tblPlant[Date],$A212)</f>
        <v/>
      </c>
      <c r="DB212" s="55">
        <f>IF($B212=$B211,$DB211,0)+$DA212</f>
        <v/>
      </c>
      <c r="DC212" s="55">
        <f>$DC211+$DA212</f>
        <v/>
      </c>
      <c r="DD212" s="55">
        <f>SUMIFS(tblPlant[Recovered_oz],tblPlant[Date],$A212)</f>
        <v/>
      </c>
      <c r="DE212" s="55">
        <f>IF($B212=$B211,$DE211,0)+$DD212</f>
        <v/>
      </c>
      <c r="DF212" s="55">
        <f>$DF211+$DD212</f>
        <v/>
      </c>
      <c r="DG212" s="55">
        <f>SUMIFS(tblPlant[Milled_t],tblPlant[Date],$A212,tblPlant[Head_Grade_gpt],"&lt;&gt;")</f>
        <v/>
      </c>
      <c r="DH212" s="55">
        <f>IF($B212=$B211,$DH211,0)+$DG212</f>
        <v/>
      </c>
      <c r="DI212" s="55">
        <f>$DI211+$DG212</f>
        <v/>
      </c>
      <c r="DJ212" s="55">
        <f>SUMIFS(tblPlant[Milled_t],tblPlant[Date],$A212,tblPlant[Tails_Grade_gpt],"&lt;&gt;")</f>
        <v/>
      </c>
      <c r="DK212" s="55">
        <f>IF($B212=$B211,$DK211,0)+$DJ212</f>
        <v/>
      </c>
      <c r="DL212" s="55">
        <f>$DL211+$DJ212</f>
        <v/>
      </c>
      <c r="DM212" s="55">
        <f>SUMIFS(tblPlant[Feed_oz],tblPlant[Date],$A212,tblPlant[Tails_Grade_gpt],"&lt;&gt;")</f>
        <v/>
      </c>
      <c r="DN212" s="55">
        <f>IF($B212=$B211,$DN211,0)+$DM212</f>
        <v/>
      </c>
      <c r="DO212" s="55">
        <f>$DO211+$DM212</f>
        <v/>
      </c>
      <c r="DP212" s="55">
        <f>SUMIFS(tblPlant[Milled_t],tblPlant[Date],$A212,tblPlant[Mill_Run_h],"&lt;&gt;")</f>
        <v/>
      </c>
      <c r="DQ212" s="55">
        <f>IF($B212=$B211,$DQ211,0)+$DP212</f>
        <v/>
      </c>
      <c r="DR212" s="55">
        <f>$DR211+$DP212</f>
        <v/>
      </c>
      <c r="DS212" s="56">
        <f>IFERROR(IF(($DG212)&gt;0,($CX212*cfg_TroyOz)/($DG212),""),"")</f>
        <v/>
      </c>
      <c r="DT212" s="56">
        <f>IFERROR(IF(($DH212)&gt;0,($CY212*cfg_TroyOz)/($DH212),""),"")</f>
        <v/>
      </c>
      <c r="DU212" s="56">
        <f>IFERROR(IF(($DI212)&gt;0,($CZ212*cfg_TroyOz)/($DI212),""),"")</f>
        <v/>
      </c>
      <c r="DV212" s="56">
        <f>IFERROR(IF(($DJ212)&gt;0,($DA212*cfg_TroyOz)/($DJ212),""),"")</f>
        <v/>
      </c>
      <c r="DW212" s="56">
        <f>IFERROR(IF(($DK212)&gt;0,($DB212*cfg_TroyOz)/($DK212),""),"")</f>
        <v/>
      </c>
      <c r="DX212" s="56">
        <f>IFERROR(IF(($DL212)&gt;0,($DC212*cfg_TroyOz)/($DL212),""),"")</f>
        <v/>
      </c>
      <c r="DY212" s="67">
        <f>IFERROR(IF(($DM212)&gt;0,($DD212)/($DM212),""),"")</f>
        <v/>
      </c>
      <c r="DZ212" s="67">
        <f>IFERROR(IF(($DN212)&gt;0,($DE212)/($DN212),""),"")</f>
        <v/>
      </c>
      <c r="EA212" s="67">
        <f>IFERROR(IF(($DO212)&gt;0,($DF212)/($DO212),""),"")</f>
        <v/>
      </c>
      <c r="EB212" s="55">
        <f>SUMIFS(tblPlant[Gravity_Gold_oz],tblPlant[Date],$A212)</f>
        <v/>
      </c>
      <c r="EC212" s="55">
        <f>IF($B212=$B211,$EC211,0)+$EB212</f>
        <v/>
      </c>
      <c r="ED212" s="55">
        <f>$ED211+$EB212</f>
        <v/>
      </c>
      <c r="EE212" s="67">
        <f>IFERROR(IF(($DD212)&gt;0,($EB212)/($DD212),""),"")</f>
        <v/>
      </c>
      <c r="EF212" s="67">
        <f>IFERROR(IF(($DE212)&gt;0,($EC212)/($DE212),""),"")</f>
        <v/>
      </c>
      <c r="EG212" s="67">
        <f>IFERROR(IF(($DF212)&gt;0,($ED212)/($DF212),""),"")</f>
        <v/>
      </c>
      <c r="EH212" s="55">
        <f>SUMIFS(tblPlant[Gold_Poured_oz],tblPlant[Date],$A212)</f>
        <v/>
      </c>
      <c r="EI212" s="55">
        <f>IF($B212=$B211,$EI211,0)+$EH212</f>
        <v/>
      </c>
      <c r="EJ212" s="55">
        <f>$EJ211+$EH212</f>
        <v/>
      </c>
      <c r="EK212" s="57">
        <f>SUMIFS(tblPlant[Mill_Run_h],tblPlant[Date],$A212)</f>
        <v/>
      </c>
      <c r="EL212" s="57">
        <f>IF($B212=$B211,$EL211,0)+$EK212</f>
        <v/>
      </c>
      <c r="EM212" s="57">
        <f>$EM211+$EK212</f>
        <v/>
      </c>
      <c r="EN212" s="57">
        <f>SUMIFS(tblPlant[Mill_Planned_Maint_h],tblPlant[Date],$A212)</f>
        <v/>
      </c>
      <c r="EO212" s="57">
        <f>IF($B212=$B211,$EO211,0)+$EN212</f>
        <v/>
      </c>
      <c r="EP212" s="57">
        <f>$EP211+$EN212</f>
        <v/>
      </c>
      <c r="EQ212" s="57">
        <f>SUMIFS(tblPlant[Mill_Unplanned_Down_h],tblPlant[Date],$A212)</f>
        <v/>
      </c>
      <c r="ER212" s="57">
        <f>IF($B212=$B211,$ER211,0)+$EQ212</f>
        <v/>
      </c>
      <c r="ES212" s="57">
        <f>$ES211+$EQ212</f>
        <v/>
      </c>
      <c r="ET212" s="57">
        <f>IF(COUNTIFS(tblPlant[Date],$A212,tblPlant[Mill_Run_h],"&lt;&gt;")+COUNTIFS(tblPlant[Date],$A212,tblPlant[Mill_Planned_Maint_h],"&lt;&gt;")+COUNTIFS(tblPlant[Date],$A212,tblPlant[Mill_Unplanned_Down_h],"&lt;&gt;")&gt;0,cfg_HoursPerDay,0)</f>
        <v/>
      </c>
      <c r="EU212" s="57">
        <f>IF($B212=$B211,$EU211,0)+$ET212</f>
        <v/>
      </c>
      <c r="EV212" s="57">
        <f>$EV211+$ET212</f>
        <v/>
      </c>
      <c r="EW212" s="57">
        <f>SUMIFS(tblPlant[Crusher_Run_h],tblPlant[Date],$A212)</f>
        <v/>
      </c>
      <c r="EX212" s="57">
        <f>IF($B212=$B211,$EX211,0)+$EW212</f>
        <v/>
      </c>
      <c r="EY212" s="57">
        <f>$EY211+$EW212</f>
        <v/>
      </c>
      <c r="EZ212" s="55">
        <f>IFERROR(IF(($EK212)&gt;0,($DP212)/($EK212),""),"")</f>
        <v/>
      </c>
      <c r="FA212" s="55">
        <f>IFERROR(IF(($EL212)&gt;0,($DQ212)/($EL212),""),"")</f>
        <v/>
      </c>
      <c r="FB212" s="55">
        <f>IFERROR(IF(($EM212)&gt;0,($DR212)/($EM212),""),"")</f>
        <v/>
      </c>
      <c r="FC212" s="67">
        <f>IFERROR(IF(($ET212)&gt;0,($ET212-$EN212-$EQ212)/($ET212),""),"")</f>
        <v/>
      </c>
      <c r="FD212" s="67">
        <f>IFERROR(IF(($EU212)&gt;0,($EU212-$EO212-$ER212)/($EU212),""),"")</f>
        <v/>
      </c>
      <c r="FE212" s="67">
        <f>IFERROR(IF(($EV212)&gt;0,($EV212-$EP212-$ES212)/($EV212),""),"")</f>
        <v/>
      </c>
      <c r="FF212" s="67">
        <f>IFERROR(IF(($ET212-$EN212-$EQ212)&gt;0,($EK212)/($ET212-$EN212-$EQ212),""),"")</f>
        <v/>
      </c>
      <c r="FG212" s="67">
        <f>IFERROR(IF(($EU212-$EO212-$ER212)&gt;0,($EL212)/($EU212-$EO212-$ER212),""),"")</f>
        <v/>
      </c>
      <c r="FH212" s="67">
        <f>IFERROR(IF(($EV212-$EP212-$ES212)&gt;0,($EM212)/($EV212-$EP212-$ES212),""),"")</f>
        <v/>
      </c>
      <c r="FI212" s="55">
        <f>SUMIFS(tblPlant[Cyanide_kg],tblPlant[Date],$A212)</f>
        <v/>
      </c>
      <c r="FJ212" s="55">
        <f>IF($B212=$B211,$FJ211,0)+$FI212</f>
        <v/>
      </c>
      <c r="FK212" s="55">
        <f>$FK211+$FI212</f>
        <v/>
      </c>
      <c r="FL212" s="55">
        <f>SUMIFS(tblPlant[Lime_kg],tblPlant[Date],$A212)</f>
        <v/>
      </c>
      <c r="FM212" s="55">
        <f>IF($B212=$B211,$FM211,0)+$FL212</f>
        <v/>
      </c>
      <c r="FN212" s="55">
        <f>$FN211+$FL212</f>
        <v/>
      </c>
      <c r="FO212" s="55">
        <f>SUMIFS(tblPlant[Grinding_Media_kg],tblPlant[Date],$A212)</f>
        <v/>
      </c>
      <c r="FP212" s="55">
        <f>IF($B212=$B211,$FP211,0)+$FO212</f>
        <v/>
      </c>
      <c r="FQ212" s="55">
        <f>$FQ211+$FO212</f>
        <v/>
      </c>
      <c r="FR212" s="55">
        <f>SUMIFS(tblPlant[Power_kWh],tblPlant[Date],$A212)</f>
        <v/>
      </c>
      <c r="FS212" s="55">
        <f>IF($B212=$B211,$FS211,0)+$FR212</f>
        <v/>
      </c>
      <c r="FT212" s="55">
        <f>$FT211+$FR212</f>
        <v/>
      </c>
      <c r="FU212" s="55">
        <f>SUMIFS(tblPlant[Raw_Water_m3],tblPlant[Date],$A212)</f>
        <v/>
      </c>
      <c r="FV212" s="55">
        <f>IF($B212=$B211,$FV211,0)+$FU212</f>
        <v/>
      </c>
      <c r="FW212" s="55">
        <f>$FW211+$FU212</f>
        <v/>
      </c>
      <c r="FX212" s="56">
        <f>IFERROR(IF(($CU212)&gt;0,($FI212)/($CU212),""),"")</f>
        <v/>
      </c>
      <c r="FY212" s="56">
        <f>IFERROR(IF(($CV212)&gt;0,($FJ212)/($CV212),""),"")</f>
        <v/>
      </c>
      <c r="FZ212" s="56">
        <f>IFERROR(IF(($CW212)&gt;0,($FK212)/($CW212),""),"")</f>
        <v/>
      </c>
      <c r="GA212" s="56">
        <f>IFERROR(IF(($CU212)&gt;0,($FL212)/($CU212),""),"")</f>
        <v/>
      </c>
      <c r="GB212" s="56">
        <f>IFERROR(IF(($CV212)&gt;0,($FM212)/($CV212),""),"")</f>
        <v/>
      </c>
      <c r="GC212" s="56">
        <f>IFERROR(IF(($CW212)&gt;0,($FN212)/($CW212),""),"")</f>
        <v/>
      </c>
      <c r="GD212" s="56">
        <f>IFERROR(IF(($CU212)&gt;0,($FO212)/($CU212),""),"")</f>
        <v/>
      </c>
      <c r="GE212" s="56">
        <f>IFERROR(IF(($CV212)&gt;0,($FP212)/($CV212),""),"")</f>
        <v/>
      </c>
      <c r="GF212" s="56">
        <f>IFERROR(IF(($CW212)&gt;0,($FQ212)/($CW212),""),"")</f>
        <v/>
      </c>
      <c r="GG212" s="79">
        <f>IFERROR(IF(($CU212)&gt;0,($FR212)/($CU212),""),"")</f>
        <v/>
      </c>
      <c r="GH212" s="79">
        <f>IFERROR(IF(($CV212)&gt;0,($FS212)/($CV212),""),"")</f>
        <v/>
      </c>
      <c r="GI212" s="79">
        <f>IFERROR(IF(($CW212)&gt;0,($FT212)/($CW212),""),"")</f>
        <v/>
      </c>
      <c r="GJ212" s="56">
        <f>IFERROR(IF(($CU212)&gt;0,($FU212)/($CU212),""),"")</f>
        <v/>
      </c>
      <c r="GK212" s="56">
        <f>IFERROR(IF(($CV212)&gt;0,($FV212)/($CV212),""),"")</f>
        <v/>
      </c>
      <c r="GL212" s="56">
        <f>IFERROR(IF(($CW212)&gt;0,($FW212)/($CW212),""),"")</f>
        <v/>
      </c>
      <c r="GM212" s="55">
        <f>IF(SUMIFS(tblPlant[GIC_oz],tblPlant[Date],$A212)&gt;0,SUMIFS(tblPlant[GIC_oz],tblPlant[Date],$A212),"")</f>
        <v/>
      </c>
      <c r="GN212" s="55">
        <f>SUMIFS(tblGold[Gold_oz],tblGold[Date],$A212,tblGold[Type],"Shipment")</f>
        <v/>
      </c>
      <c r="GO212" s="55">
        <f>IF($B212=$B211,$GO211,0)+$GN212</f>
        <v/>
      </c>
      <c r="GP212" s="55">
        <f>$GP211+$GN212</f>
        <v/>
      </c>
      <c r="GQ212" s="55">
        <f>SUMIFS(tblGold[Gold_oz],tblGold[Date],$A212,tblGold[Type],"Sale")</f>
        <v/>
      </c>
      <c r="GR212" s="55">
        <f>IF($B212=$B211,$GR211,0)+$GQ212</f>
        <v/>
      </c>
      <c r="GS212" s="55">
        <f>$GS211+$GQ212</f>
        <v/>
      </c>
      <c r="GT212" s="55">
        <f>SUMIFS(tblGold[Dore_kg],tblGold[Date],$A212,tblGold[Type],"Shipment")</f>
        <v/>
      </c>
      <c r="GU212" s="55">
        <f>IF($B212=$B211,$GU211,0)+$GT212</f>
        <v/>
      </c>
      <c r="GV212" s="55">
        <f>$GV211+$GT212</f>
        <v/>
      </c>
      <c r="GW212" s="57">
        <f>SUMIFS(tblSafety[Hours_Total],tblSafety[Date],$A212)</f>
        <v/>
      </c>
      <c r="GX212" s="57">
        <f>IF($B212=$B211,$GX211,0)+$GW212</f>
        <v/>
      </c>
      <c r="GY212" s="57">
        <f>$GY211+$GW212</f>
        <v/>
      </c>
      <c r="GZ212" s="62">
        <f>SUMIFS(tblSafety[Fatality],tblSafety[Date],$A212)</f>
        <v/>
      </c>
      <c r="HA212" s="62">
        <f>IF($B212=$B211,$HA211,0)+$GZ212</f>
        <v/>
      </c>
      <c r="HB212" s="62">
        <f>$HB211+$GZ212</f>
        <v/>
      </c>
      <c r="HC212" s="62">
        <f>SUMIFS(tblSafety[LTI],tblSafety[Date],$A212)</f>
        <v/>
      </c>
      <c r="HD212" s="62">
        <f>IF($B212=$B211,$HD211,0)+$HC212</f>
        <v/>
      </c>
      <c r="HE212" s="62">
        <f>$HE211+$HC212</f>
        <v/>
      </c>
      <c r="HF212" s="62">
        <f>SUMIFS(tblSafety[RWI],tblSafety[Date],$A212)</f>
        <v/>
      </c>
      <c r="HG212" s="62">
        <f>IF($B212=$B211,$HG211,0)+$HF212</f>
        <v/>
      </c>
      <c r="HH212" s="62">
        <f>$HH211+$HF212</f>
        <v/>
      </c>
      <c r="HI212" s="62">
        <f>SUMIFS(tblSafety[MTI],tblSafety[Date],$A212)</f>
        <v/>
      </c>
      <c r="HJ212" s="62">
        <f>IF($B212=$B211,$HJ211,0)+$HI212</f>
        <v/>
      </c>
      <c r="HK212" s="62">
        <f>$HK211+$HI212</f>
        <v/>
      </c>
      <c r="HL212" s="62">
        <f>SUMIFS(tblSafety[FAI],tblSafety[Date],$A212)</f>
        <v/>
      </c>
      <c r="HM212" s="62">
        <f>IF($B212=$B211,$HM211,0)+$HL212</f>
        <v/>
      </c>
      <c r="HN212" s="62">
        <f>$HN211+$HL212</f>
        <v/>
      </c>
      <c r="HO212" s="62">
        <f>SUMIFS(tblSafety[Recordables],tblSafety[Date],$A212)</f>
        <v/>
      </c>
      <c r="HP212" s="62">
        <f>IF($B212=$B211,$HP211,0)+$HO212</f>
        <v/>
      </c>
      <c r="HQ212" s="62">
        <f>$HQ211+$HO212</f>
        <v/>
      </c>
      <c r="HR212" s="62">
        <f>SUMIFS(tblSafety[Near_Miss],tblSafety[Date],$A212)</f>
        <v/>
      </c>
      <c r="HS212" s="62">
        <f>IF($B212=$B211,$HS211,0)+$HR212</f>
        <v/>
      </c>
      <c r="HT212" s="62">
        <f>$HT211+$HR212</f>
        <v/>
      </c>
      <c r="HU212" s="62">
        <f>SUMIFS(tblSafety[Hazard_Reports],tblSafety[Date],$A212)</f>
        <v/>
      </c>
      <c r="HV212" s="62">
        <f>IF($B212=$B211,$HV211,0)+$HU212</f>
        <v/>
      </c>
      <c r="HW212" s="62">
        <f>$HW211+$HU212</f>
        <v/>
      </c>
      <c r="HX212" s="62">
        <f>SUMIFS(tblSafety[HPI],tblSafety[Date],$A212)</f>
        <v/>
      </c>
      <c r="HY212" s="62">
        <f>IF($B212=$B211,$HY211,0)+$HX212</f>
        <v/>
      </c>
      <c r="HZ212" s="62">
        <f>$HZ211+$HX212</f>
        <v/>
      </c>
      <c r="IA212" s="62">
        <f>SUMIFS(tblSafety[Env_Incidents],tblSafety[Date],$A212)</f>
        <v/>
      </c>
      <c r="IB212" s="62">
        <f>IF($B212=$B211,$IB211,0)+$IA212</f>
        <v/>
      </c>
      <c r="IC212" s="62">
        <f>$IC211+$IA212</f>
        <v/>
      </c>
      <c r="ID212" s="62">
        <f>SUMIFS(tblSafety[Community_Incidents],tblSafety[Date],$A212)</f>
        <v/>
      </c>
      <c r="IE212" s="62">
        <f>IF($B212=$B211,$IE211,0)+$ID212</f>
        <v/>
      </c>
      <c r="IF212" s="62">
        <f>$IF211+$ID212</f>
        <v/>
      </c>
      <c r="IG212" s="62">
        <f>SUMIFS(tblSafety[Vehicle_Incidents],tblSafety[Date],$A212)</f>
        <v/>
      </c>
      <c r="IH212" s="62">
        <f>IF($B212=$B211,$IH211,0)+$IG212</f>
        <v/>
      </c>
      <c r="II212" s="62">
        <f>$II211+$IG212</f>
        <v/>
      </c>
      <c r="IJ212" s="62">
        <f>SUMIFS(tblSafety[Toolbox_Talks],tblSafety[Date],$A212)</f>
        <v/>
      </c>
      <c r="IK212" s="62">
        <f>IF($B212=$B211,$IK211,0)+$IJ212</f>
        <v/>
      </c>
      <c r="IL212" s="62">
        <f>$IL211+$IJ212</f>
        <v/>
      </c>
      <c r="IM212" s="62">
        <f>SUMIFS(tblSafety[Inspections],tblSafety[Date],$A212)</f>
        <v/>
      </c>
      <c r="IN212" s="62">
        <f>IF($B212=$B211,$IN211,0)+$IM212</f>
        <v/>
      </c>
      <c r="IO212" s="62">
        <f>$IO211+$IM212</f>
        <v/>
      </c>
      <c r="IP212" s="56">
        <f>IFERROR((SUMIFS(tblSafety[Recordables],tblSafety[Date],"&gt;="&amp;EDATE($E212,-12),tblSafety[Date],"&lt;="&amp;$A212)+SUMIFS(tblSafetyHistory[Recordables],tblSafetyHistory[Month],"&gt;="&amp;EDATE($E212,-12),tblSafetyHistory[Month],"&lt;"&amp;$E212,tblSafetyHistory[Use],1))/(SUMIFS(tblSafety[Hours_Total],tblSafety[Date],"&gt;="&amp;EDATE($E212,-12),tblSafety[Date],"&lt;="&amp;$A212)+SUMIFS(tblSafetyHistory[Hours_Total],tblSafetyHistory[Month],"&gt;="&amp;EDATE($E212,-12),tblSafetyHistory[Month],"&lt;"&amp;$E212,tblSafetyHistory[Use],1))*cfg_RateBasisHours,"")</f>
        <v/>
      </c>
      <c r="IQ212" s="56">
        <f>IFERROR((SUMIFS(tblSafety[LTI],tblSafety[Date],"&gt;="&amp;EDATE($E212,-12),tblSafety[Date],"&lt;="&amp;$A212)+SUMIFS(tblSafetyHistory[LTI],tblSafetyHistory[Month],"&gt;="&amp;EDATE($E212,-12),tblSafetyHistory[Month],"&lt;"&amp;$E212,tblSafetyHistory[Use],1))/(SUMIFS(tblSafety[Hours_Total],tblSafety[Date],"&gt;="&amp;EDATE($E212,-12),tblSafety[Date],"&lt;="&amp;$A212)+SUMIFS(tblSafetyHistory[Hours_Total],tblSafetyHistory[Month],"&gt;="&amp;EDATE($E212,-12),tblSafetyHistory[Month],"&lt;"&amp;$E212,tblSafetyHistory[Use],1))*cfg_RateBasisHours,"")</f>
        <v/>
      </c>
      <c r="IR212" s="62">
        <f>IF(MAX(N(cfg_PriorLTIDate),_xlfn.MAXIFS(tblSafety[Date],tblSafety[LTI],"&gt;0",tblSafety[Date],"&lt;="&amp;$A212))=0,"",$A212-MAX(N(cfg_PriorLTIDate),_xlfn.MAXIFS(tblSafety[Date],tblSafety[LTI],"&gt;0",tblSafety[Date],"&lt;="&amp;$A212)))</f>
        <v/>
      </c>
      <c r="IS212" s="55">
        <f>SUMIFS(tblBudget[Ore_Mined_t],tblBudget[Month],$E212)</f>
        <v/>
      </c>
      <c r="IT212" s="55">
        <f>$IS212*$C212/$D212</f>
        <v/>
      </c>
      <c r="IU212" s="55">
        <f>SUMIFS(tblBudget[Ore_Mined_t],tblBudget[Month],"&lt;"&amp;$E212)+$IT212</f>
        <v/>
      </c>
      <c r="IV212" s="55">
        <f>SUMIFS(tblBudget[Ore_oz],tblBudget[Month],$E212)</f>
        <v/>
      </c>
      <c r="IW212" s="55">
        <f>$IV212*$C212/$D212</f>
        <v/>
      </c>
      <c r="IX212" s="55">
        <f>SUMIFS(tblBudget[Ore_oz],tblBudget[Month],"&lt;"&amp;$E212)+$IW212</f>
        <v/>
      </c>
      <c r="IY212" s="55">
        <f>SUMIFS(tblBudget[Ore_Mined_t],tblBudget[Month],$E212)</f>
        <v/>
      </c>
      <c r="IZ212" s="55">
        <f>$IY212*$C212/$D212</f>
        <v/>
      </c>
      <c r="JA212" s="55">
        <f>SUMIFS(tblBudget[Ore_Mined_t],tblBudget[Month],"&lt;"&amp;$E212)+$IZ212</f>
        <v/>
      </c>
      <c r="JB212" s="56">
        <f>IFERROR(IF(($IY212)&gt;0,($IV212*cfg_TroyOz)/($IY212),""),"")</f>
        <v/>
      </c>
      <c r="JC212" s="56">
        <f>IFERROR(IF(($IZ212)&gt;0,($IW212*cfg_TroyOz)/($IZ212),""),"")</f>
        <v/>
      </c>
      <c r="JD212" s="56">
        <f>IFERROR(IF(($JA212)&gt;0,($IX212*cfg_TroyOz)/($JA212),""),"")</f>
        <v/>
      </c>
      <c r="JE212" s="55">
        <f>SUMIFS(tblBudget[Waste_t],tblBudget[Month],$E212)</f>
        <v/>
      </c>
      <c r="JF212" s="55">
        <f>$JE212*$C212/$D212</f>
        <v/>
      </c>
      <c r="JG212" s="55">
        <f>SUMIFS(tblBudget[Waste_t],tblBudget[Month],"&lt;"&amp;$E212)+$JF212</f>
        <v/>
      </c>
      <c r="JH212" s="55">
        <f>SUMIFS(tblBudget[TMM_t],tblBudget[Month],$E212)</f>
        <v/>
      </c>
      <c r="JI212" s="55">
        <f>$JH212*$C212/$D212</f>
        <v/>
      </c>
      <c r="JJ212" s="55">
        <f>SUMIFS(tblBudget[TMM_t],tblBudget[Month],"&lt;"&amp;$E212)+$JI212</f>
        <v/>
      </c>
      <c r="JK212" s="56">
        <f>IFERROR(IF(($IS212)&gt;0,($JE212)/($IS212),""),"")</f>
        <v/>
      </c>
      <c r="JL212" s="56">
        <f>IFERROR(IF(($IT212)&gt;0,($JF212)/($IT212),""),"")</f>
        <v/>
      </c>
      <c r="JM212" s="56">
        <f>IFERROR(IF(($IU212)&gt;0,($JG212)/($IU212),""),"")</f>
        <v/>
      </c>
      <c r="JN212" s="55">
        <f>SUMIFS(tblBudget[Drill_m],tblBudget[Month],$E212)</f>
        <v/>
      </c>
      <c r="JO212" s="55">
        <f>$JN212*$C212/$D212</f>
        <v/>
      </c>
      <c r="JP212" s="55">
        <f>SUMIFS(tblBudget[Drill_m],tblBudget[Month],"&lt;"&amp;$E212)+$JO212</f>
        <v/>
      </c>
      <c r="JQ212" s="55">
        <f>SUMIFS(tblBudget[Diesel_L],tblBudget[Month],$E212)</f>
        <v/>
      </c>
      <c r="JR212" s="55">
        <f>$JQ212*$C212/$D212</f>
        <v/>
      </c>
      <c r="JS212" s="55">
        <f>SUMIFS(tblBudget[Diesel_L],tblBudget[Month],"&lt;"&amp;$E212)+$JR212</f>
        <v/>
      </c>
      <c r="JT212" s="55">
        <f>SUMIFS(tblBudget[Milled_t],tblBudget[Month],$E212)</f>
        <v/>
      </c>
      <c r="JU212" s="55">
        <f>$JT212*$C212/$D212</f>
        <v/>
      </c>
      <c r="JV212" s="55">
        <f>SUMIFS(tblBudget[Milled_t],tblBudget[Month],"&lt;"&amp;$E212)+$JU212</f>
        <v/>
      </c>
      <c r="JW212" s="55">
        <f>SUMIFS(tblBudget[Feed_oz],tblBudget[Month],$E212)</f>
        <v/>
      </c>
      <c r="JX212" s="55">
        <f>$JW212*$C212/$D212</f>
        <v/>
      </c>
      <c r="JY212" s="55">
        <f>SUMIFS(tblBudget[Feed_oz],tblBudget[Month],"&lt;"&amp;$E212)+$JX212</f>
        <v/>
      </c>
      <c r="JZ212" s="55">
        <f>SUMIFS(tblBudget[Recovered_oz],tblBudget[Month],$E212)</f>
        <v/>
      </c>
      <c r="KA212" s="55">
        <f>$JZ212*$C212/$D212</f>
        <v/>
      </c>
      <c r="KB212" s="55">
        <f>SUMIFS(tblBudget[Recovered_oz],tblBudget[Month],"&lt;"&amp;$E212)+$KA212</f>
        <v/>
      </c>
      <c r="KC212" s="55">
        <f>SUMIFS(tblBudget[Milled_t],tblBudget[Month],$E212)</f>
        <v/>
      </c>
      <c r="KD212" s="55">
        <f>$KC212*$C212/$D212</f>
        <v/>
      </c>
      <c r="KE212" s="55">
        <f>SUMIFS(tblBudget[Milled_t],tblBudget[Month],"&lt;"&amp;$E212)+$KD212</f>
        <v/>
      </c>
      <c r="KF212" s="55">
        <f>SUMIFS(tblBudget[Feed_oz],tblBudget[Month],$E212)</f>
        <v/>
      </c>
      <c r="KG212" s="55">
        <f>$KF212*$C212/$D212</f>
        <v/>
      </c>
      <c r="KH212" s="55">
        <f>SUMIFS(tblBudget[Feed_oz],tblBudget[Month],"&lt;"&amp;$E212)+$KG212</f>
        <v/>
      </c>
      <c r="KI212" s="56">
        <f>IFERROR(IF(($KC212)&gt;0,($JW212*cfg_TroyOz)/($KC212),""),"")</f>
        <v/>
      </c>
      <c r="KJ212" s="56">
        <f>IFERROR(IF(($KD212)&gt;0,($JX212*cfg_TroyOz)/($KD212),""),"")</f>
        <v/>
      </c>
      <c r="KK212" s="56">
        <f>IFERROR(IF(($KE212)&gt;0,($JY212*cfg_TroyOz)/($KE212),""),"")</f>
        <v/>
      </c>
      <c r="KL212" s="67">
        <f>IFERROR(IF(($KF212)&gt;0,($JZ212)/($KF212),""),"")</f>
        <v/>
      </c>
      <c r="KM212" s="67">
        <f>IFERROR(IF(($KG212)&gt;0,($KA212)/($KG212),""),"")</f>
        <v/>
      </c>
      <c r="KN212" s="67">
        <f>IFERROR(IF(($KH212)&gt;0,($KB212)/($KH212),""),"")</f>
        <v/>
      </c>
      <c r="KO212" s="55">
        <f>SUMIFS(tblBudget[Gold_Poured_oz],tblBudget[Month],$E212)</f>
        <v/>
      </c>
      <c r="KP212" s="55">
        <f>$KO212*$C212/$D212</f>
        <v/>
      </c>
      <c r="KQ212" s="55">
        <f>SUMIFS(tblBudget[Gold_Poured_oz],tblBudget[Month],"&lt;"&amp;$E212)+$KP212</f>
        <v/>
      </c>
      <c r="KR212" s="57">
        <f>SUMIFS(tblBudget[Hours_Worked],tblBudget[Month],$E212)</f>
        <v/>
      </c>
      <c r="KS212" s="57">
        <f>$KR212*$C212/$D212</f>
        <v/>
      </c>
      <c r="KT212" s="57">
        <f>SUMIFS(tblBudget[Hours_Worked],tblBudget[Month],"&lt;"&amp;$E212)+$KS212</f>
        <v/>
      </c>
    </row>
    <row r="213">
      <c r="A213" s="54" t="n">
        <v>46234</v>
      </c>
      <c r="B213">
        <f>MONTH($A213)</f>
        <v/>
      </c>
      <c r="C213">
        <f>DAY($A213)</f>
        <v/>
      </c>
      <c r="D213">
        <f>DAY(EOMONTH($A213,0))</f>
        <v/>
      </c>
      <c r="E213" s="54">
        <f>DATE(YEAR($A213),MONTH($A213),1)</f>
        <v/>
      </c>
      <c r="F213" s="55">
        <f>SUMIFS(tblMovement[Tonnes_t],tblMovement[Date],$A213,tblMovement[Is_Ore],1,tblMovement[Source_Type],"Pit")</f>
        <v/>
      </c>
      <c r="G213" s="55">
        <f>IF($B213=$B212,$G212,0)+$F213</f>
        <v/>
      </c>
      <c r="H213" s="55">
        <f>$H212+$F213</f>
        <v/>
      </c>
      <c r="I213" s="55">
        <f>SUMIFS(tblMovement[Ore_oz],tblMovement[Date],$A213,tblMovement[Source_Type],"Pit")</f>
        <v/>
      </c>
      <c r="J213" s="55">
        <f>IF($B213=$B212,$J212,0)+$I213</f>
        <v/>
      </c>
      <c r="K213" s="55">
        <f>$K212+$I213</f>
        <v/>
      </c>
      <c r="L213" s="55">
        <f>SUMIFS(tblMovement[Tonnes_t],tblMovement[Date],$A213,tblMovement[Is_Ore],1,tblMovement[Source_Type],"Pit",tblMovement[Grade_gpt],"&lt;&gt;")</f>
        <v/>
      </c>
      <c r="M213" s="55">
        <f>IF($B213=$B212,$M212,0)+$L213</f>
        <v/>
      </c>
      <c r="N213" s="55">
        <f>$N212+$L213</f>
        <v/>
      </c>
      <c r="O213" s="56">
        <f>IFERROR(IF(($L213)&gt;0,($I213*cfg_TroyOz)/($L213),""),"")</f>
        <v/>
      </c>
      <c r="P213" s="56">
        <f>IFERROR(IF(($M213)&gt;0,($J213*cfg_TroyOz)/($M213),""),"")</f>
        <v/>
      </c>
      <c r="Q213" s="56">
        <f>IFERROR(IF(($N213)&gt;0,($K213*cfg_TroyOz)/($N213),""),"")</f>
        <v/>
      </c>
      <c r="R213" s="55">
        <f>$F213-$L213</f>
        <v/>
      </c>
      <c r="S213" s="55">
        <f>IF($B213=$B212,$S212,0)+$R213</f>
        <v/>
      </c>
      <c r="T213" s="55">
        <f>$T212+$R213</f>
        <v/>
      </c>
      <c r="U213" s="55">
        <f>SUMIFS(tblMovement[Tonnes_t],tblMovement[Date],$A213,tblMovement[Is_Ore],0,tblMovement[Source_Type],"Pit")</f>
        <v/>
      </c>
      <c r="V213" s="55">
        <f>IF($B213=$B212,$V212,0)+$U213</f>
        <v/>
      </c>
      <c r="W213" s="55">
        <f>$W212+$U213</f>
        <v/>
      </c>
      <c r="X213" s="55">
        <f>$F213+$U213</f>
        <v/>
      </c>
      <c r="Y213" s="55">
        <f>IF($B213=$B212,$Y212,0)+$X213</f>
        <v/>
      </c>
      <c r="Z213" s="55">
        <f>$Z212+$X213</f>
        <v/>
      </c>
      <c r="AA213" s="56">
        <f>IFERROR(IF(($F213)&gt;0,($U213)/($F213),""),"")</f>
        <v/>
      </c>
      <c r="AB213" s="56">
        <f>IFERROR(IF(($G213)&gt;0,($V213)/($G213),""),"")</f>
        <v/>
      </c>
      <c r="AC213" s="56">
        <f>IFERROR(IF(($H213)&gt;0,($W213)/($H213),""),"")</f>
        <v/>
      </c>
      <c r="AD213" s="55">
        <f>SUMIFS(tblMovement[Tonnes_t],tblMovement[Date],$A213,tblMovement[Source_Type],"Stockpile")</f>
        <v/>
      </c>
      <c r="AE213" s="55">
        <f>IF($B213=$B212,$AE212,0)+$AD213</f>
        <v/>
      </c>
      <c r="AF213" s="55">
        <f>$AF212+$AD213</f>
        <v/>
      </c>
      <c r="AG213" s="55">
        <f>SUMIFS(tblMovement[Tonnes_t],tblMovement[Date],$A213)</f>
        <v/>
      </c>
      <c r="AH213" s="55">
        <f>IF($B213=$B212,$AH212,0)+$AG213</f>
        <v/>
      </c>
      <c r="AI213" s="55">
        <f>$AI212+$AG213</f>
        <v/>
      </c>
      <c r="AJ213" s="55">
        <f>$AG213-$X213-$AD213</f>
        <v/>
      </c>
      <c r="AK213" s="55">
        <f>IF($B213=$B212,$AK212,0)+$AJ213</f>
        <v/>
      </c>
      <c r="AL213" s="55">
        <f>$AL212+$AJ213</f>
        <v/>
      </c>
      <c r="AM213" s="55">
        <f>SUMIFS(tblMiningDaily[Drill_m],tblMiningDaily[Date],$A213)</f>
        <v/>
      </c>
      <c r="AN213" s="55">
        <f>IF($B213=$B212,$AN212,0)+$AM213</f>
        <v/>
      </c>
      <c r="AO213" s="55">
        <f>$AO212+$AM213</f>
        <v/>
      </c>
      <c r="AP213" s="55">
        <f>SUMIFS(tblMiningDaily[GC_Drill_m],tblMiningDaily[Date],$A213)</f>
        <v/>
      </c>
      <c r="AQ213" s="55">
        <f>IF($B213=$B212,$AQ212,0)+$AP213</f>
        <v/>
      </c>
      <c r="AR213" s="55">
        <f>$AR212+$AP213</f>
        <v/>
      </c>
      <c r="AS213" s="55">
        <f>SUMIFS(tblMiningDaily[Blast_t],tblMiningDaily[Date],$A213)</f>
        <v/>
      </c>
      <c r="AT213" s="55">
        <f>IF($B213=$B212,$AT212,0)+$AS213</f>
        <v/>
      </c>
      <c r="AU213" s="55">
        <f>$AU212+$AS213</f>
        <v/>
      </c>
      <c r="AV213" s="55">
        <f>SUMIFS(tblMiningDaily[Explosives_kg],tblMiningDaily[Date],$A213)</f>
        <v/>
      </c>
      <c r="AW213" s="55">
        <f>IF($B213=$B212,$AW212,0)+$AV213</f>
        <v/>
      </c>
      <c r="AX213" s="55">
        <f>$AX212+$AV213</f>
        <v/>
      </c>
      <c r="AY213" s="56">
        <f>IFERROR(IF(($AS213)&gt;0,($AV213)/($AS213),""),"")</f>
        <v/>
      </c>
      <c r="AZ213" s="56">
        <f>IFERROR(IF(($AT213)&gt;0,($AW213)/($AT213),""),"")</f>
        <v/>
      </c>
      <c r="BA213" s="56">
        <f>IFERROR(IF(($AU213)&gt;0,($AX213)/($AU213),""),"")</f>
        <v/>
      </c>
      <c r="BB213" s="55">
        <f>SUMIFS(tblMiningDaily[Diesel_L],tblMiningDaily[Date],$A213)</f>
        <v/>
      </c>
      <c r="BC213" s="55">
        <f>IF($B213=$B212,$BC212,0)+$BB213</f>
        <v/>
      </c>
      <c r="BD213" s="55">
        <f>$BD212+$BB213</f>
        <v/>
      </c>
      <c r="BE213" s="55">
        <f>SUMIFS(tblMiningDaily[Dewatering_m3],tblMiningDaily[Date],$A213)</f>
        <v/>
      </c>
      <c r="BF213" s="55">
        <f>IF($B213=$B212,$BF212,0)+$BE213</f>
        <v/>
      </c>
      <c r="BG213" s="55">
        <f>$BG212+$BE213</f>
        <v/>
      </c>
      <c r="BH213" s="57">
        <f>SUMIFS(tblFleet[Calendar_h],tblFleet[Date],$A213,tblFleet[Equipment_Class],"Excavator")</f>
        <v/>
      </c>
      <c r="BI213" s="57">
        <f>IF($B213=$B212,$BI212,0)+$BH213</f>
        <v/>
      </c>
      <c r="BJ213" s="57">
        <f>$BJ212+$BH213</f>
        <v/>
      </c>
      <c r="BK213" s="57">
        <f>SUMIFS(tblFleet[Available_h],tblFleet[Date],$A213,tblFleet[Equipment_Class],"Excavator")</f>
        <v/>
      </c>
      <c r="BL213" s="57">
        <f>IF($B213=$B212,$BL212,0)+$BK213</f>
        <v/>
      </c>
      <c r="BM213" s="57">
        <f>$BM212+$BK213</f>
        <v/>
      </c>
      <c r="BN213" s="57">
        <f>SUMIFS(tblFleet[Operating_h],tblFleet[Date],$A213,tblFleet[Equipment_Class],"Excavator")</f>
        <v/>
      </c>
      <c r="BO213" s="57">
        <f>IF($B213=$B212,$BO212,0)+$BN213</f>
        <v/>
      </c>
      <c r="BP213" s="57">
        <f>$BP212+$BN213</f>
        <v/>
      </c>
      <c r="BQ213" s="67">
        <f>IFERROR(IF(($BH213)&gt;0,($BK213)/($BH213),""),"")</f>
        <v/>
      </c>
      <c r="BR213" s="67">
        <f>IFERROR(IF(($BI213)&gt;0,($BL213)/($BI213),""),"")</f>
        <v/>
      </c>
      <c r="BS213" s="67">
        <f>IFERROR(IF(($BJ213)&gt;0,($BM213)/($BJ213),""),"")</f>
        <v/>
      </c>
      <c r="BT213" s="67">
        <f>IFERROR(IF(($BK213)&gt;0,($BN213)/($BK213),""),"")</f>
        <v/>
      </c>
      <c r="BU213" s="67">
        <f>IFERROR(IF(($BL213)&gt;0,($BO213)/($BL213),""),"")</f>
        <v/>
      </c>
      <c r="BV213" s="67">
        <f>IFERROR(IF(($BM213)&gt;0,($BP213)/($BM213),""),"")</f>
        <v/>
      </c>
      <c r="BW213" s="57">
        <f>SUMIFS(tblFleet[Calendar_h],tblFleet[Date],$A213,tblFleet[Equipment_Class],"Haul Truck")</f>
        <v/>
      </c>
      <c r="BX213" s="57">
        <f>IF($B213=$B212,$BX212,0)+$BW213</f>
        <v/>
      </c>
      <c r="BY213" s="57">
        <f>$BY212+$BW213</f>
        <v/>
      </c>
      <c r="BZ213" s="57">
        <f>SUMIFS(tblFleet[Available_h],tblFleet[Date],$A213,tblFleet[Equipment_Class],"Haul Truck")</f>
        <v/>
      </c>
      <c r="CA213" s="57">
        <f>IF($B213=$B212,$CA212,0)+$BZ213</f>
        <v/>
      </c>
      <c r="CB213" s="57">
        <f>$CB212+$BZ213</f>
        <v/>
      </c>
      <c r="CC213" s="57">
        <f>SUMIFS(tblFleet[Operating_h],tblFleet[Date],$A213,tblFleet[Equipment_Class],"Haul Truck")</f>
        <v/>
      </c>
      <c r="CD213" s="57">
        <f>IF($B213=$B212,$CD212,0)+$CC213</f>
        <v/>
      </c>
      <c r="CE213" s="57">
        <f>$CE212+$CC213</f>
        <v/>
      </c>
      <c r="CF213" s="67">
        <f>IFERROR(IF(($BW213)&gt;0,($BZ213)/($BW213),""),"")</f>
        <v/>
      </c>
      <c r="CG213" s="67">
        <f>IFERROR(IF(($BX213)&gt;0,($CA213)/($BX213),""),"")</f>
        <v/>
      </c>
      <c r="CH213" s="67">
        <f>IFERROR(IF(($BY213)&gt;0,($CB213)/($BY213),""),"")</f>
        <v/>
      </c>
      <c r="CI213" s="67">
        <f>IFERROR(IF(($BZ213)&gt;0,($CC213)/($BZ213),""),"")</f>
        <v/>
      </c>
      <c r="CJ213" s="67">
        <f>IFERROR(IF(($CA213)&gt;0,($CD213)/($CA213),""),"")</f>
        <v/>
      </c>
      <c r="CK213" s="67">
        <f>IFERROR(IF(($CB213)&gt;0,($CE213)/($CB213),""),"")</f>
        <v/>
      </c>
      <c r="CL213" s="55">
        <f>IFERROR(IF(($BN213)&gt;0,($X213+$AD213)/($BN213),""),"")</f>
        <v/>
      </c>
      <c r="CM213" s="55">
        <f>IFERROR(IF(($BO213)&gt;0,($Y213+$AE213)/($BO213),""),"")</f>
        <v/>
      </c>
      <c r="CN213" s="55">
        <f>IFERROR(IF(($BP213)&gt;0,($Z213+$AF213)/($BP213),""),"")</f>
        <v/>
      </c>
      <c r="CO213" s="55">
        <f>IFERROR(IF(($CC213)&gt;0,($X213+$AD213)/($CC213),""),"")</f>
        <v/>
      </c>
      <c r="CP213" s="55">
        <f>IFERROR(IF(($CD213)&gt;0,($Y213+$AE213)/($CD213),""),"")</f>
        <v/>
      </c>
      <c r="CQ213" s="55">
        <f>IFERROR(IF(($CE213)&gt;0,($Z213+$AF213)/($CE213),""),"")</f>
        <v/>
      </c>
      <c r="CR213" s="55">
        <f>SUMIFS(tblPlant[Crushed_t],tblPlant[Date],$A213)</f>
        <v/>
      </c>
      <c r="CS213" s="55">
        <f>IF($B213=$B212,$CS212,0)+$CR213</f>
        <v/>
      </c>
      <c r="CT213" s="55">
        <f>$CT212+$CR213</f>
        <v/>
      </c>
      <c r="CU213" s="55">
        <f>SUMIFS(tblPlant[Milled_t],tblPlant[Date],$A213)</f>
        <v/>
      </c>
      <c r="CV213" s="55">
        <f>IF($B213=$B212,$CV212,0)+$CU213</f>
        <v/>
      </c>
      <c r="CW213" s="55">
        <f>$CW212+$CU213</f>
        <v/>
      </c>
      <c r="CX213" s="55">
        <f>SUMIFS(tblPlant[Feed_oz],tblPlant[Date],$A213)</f>
        <v/>
      </c>
      <c r="CY213" s="55">
        <f>IF($B213=$B212,$CY212,0)+$CX213</f>
        <v/>
      </c>
      <c r="CZ213" s="55">
        <f>$CZ212+$CX213</f>
        <v/>
      </c>
      <c r="DA213" s="55">
        <f>SUMIFS(tblPlant[Tails_oz],tblPlant[Date],$A213)</f>
        <v/>
      </c>
      <c r="DB213" s="55">
        <f>IF($B213=$B212,$DB212,0)+$DA213</f>
        <v/>
      </c>
      <c r="DC213" s="55">
        <f>$DC212+$DA213</f>
        <v/>
      </c>
      <c r="DD213" s="55">
        <f>SUMIFS(tblPlant[Recovered_oz],tblPlant[Date],$A213)</f>
        <v/>
      </c>
      <c r="DE213" s="55">
        <f>IF($B213=$B212,$DE212,0)+$DD213</f>
        <v/>
      </c>
      <c r="DF213" s="55">
        <f>$DF212+$DD213</f>
        <v/>
      </c>
      <c r="DG213" s="55">
        <f>SUMIFS(tblPlant[Milled_t],tblPlant[Date],$A213,tblPlant[Head_Grade_gpt],"&lt;&gt;")</f>
        <v/>
      </c>
      <c r="DH213" s="55">
        <f>IF($B213=$B212,$DH212,0)+$DG213</f>
        <v/>
      </c>
      <c r="DI213" s="55">
        <f>$DI212+$DG213</f>
        <v/>
      </c>
      <c r="DJ213" s="55">
        <f>SUMIFS(tblPlant[Milled_t],tblPlant[Date],$A213,tblPlant[Tails_Grade_gpt],"&lt;&gt;")</f>
        <v/>
      </c>
      <c r="DK213" s="55">
        <f>IF($B213=$B212,$DK212,0)+$DJ213</f>
        <v/>
      </c>
      <c r="DL213" s="55">
        <f>$DL212+$DJ213</f>
        <v/>
      </c>
      <c r="DM213" s="55">
        <f>SUMIFS(tblPlant[Feed_oz],tblPlant[Date],$A213,tblPlant[Tails_Grade_gpt],"&lt;&gt;")</f>
        <v/>
      </c>
      <c r="DN213" s="55">
        <f>IF($B213=$B212,$DN212,0)+$DM213</f>
        <v/>
      </c>
      <c r="DO213" s="55">
        <f>$DO212+$DM213</f>
        <v/>
      </c>
      <c r="DP213" s="55">
        <f>SUMIFS(tblPlant[Milled_t],tblPlant[Date],$A213,tblPlant[Mill_Run_h],"&lt;&gt;")</f>
        <v/>
      </c>
      <c r="DQ213" s="55">
        <f>IF($B213=$B212,$DQ212,0)+$DP213</f>
        <v/>
      </c>
      <c r="DR213" s="55">
        <f>$DR212+$DP213</f>
        <v/>
      </c>
      <c r="DS213" s="56">
        <f>IFERROR(IF(($DG213)&gt;0,($CX213*cfg_TroyOz)/($DG213),""),"")</f>
        <v/>
      </c>
      <c r="DT213" s="56">
        <f>IFERROR(IF(($DH213)&gt;0,($CY213*cfg_TroyOz)/($DH213),""),"")</f>
        <v/>
      </c>
      <c r="DU213" s="56">
        <f>IFERROR(IF(($DI213)&gt;0,($CZ213*cfg_TroyOz)/($DI213),""),"")</f>
        <v/>
      </c>
      <c r="DV213" s="56">
        <f>IFERROR(IF(($DJ213)&gt;0,($DA213*cfg_TroyOz)/($DJ213),""),"")</f>
        <v/>
      </c>
      <c r="DW213" s="56">
        <f>IFERROR(IF(($DK213)&gt;0,($DB213*cfg_TroyOz)/($DK213),""),"")</f>
        <v/>
      </c>
      <c r="DX213" s="56">
        <f>IFERROR(IF(($DL213)&gt;0,($DC213*cfg_TroyOz)/($DL213),""),"")</f>
        <v/>
      </c>
      <c r="DY213" s="67">
        <f>IFERROR(IF(($DM213)&gt;0,($DD213)/($DM213),""),"")</f>
        <v/>
      </c>
      <c r="DZ213" s="67">
        <f>IFERROR(IF(($DN213)&gt;0,($DE213)/($DN213),""),"")</f>
        <v/>
      </c>
      <c r="EA213" s="67">
        <f>IFERROR(IF(($DO213)&gt;0,($DF213)/($DO213),""),"")</f>
        <v/>
      </c>
      <c r="EB213" s="55">
        <f>SUMIFS(tblPlant[Gravity_Gold_oz],tblPlant[Date],$A213)</f>
        <v/>
      </c>
      <c r="EC213" s="55">
        <f>IF($B213=$B212,$EC212,0)+$EB213</f>
        <v/>
      </c>
      <c r="ED213" s="55">
        <f>$ED212+$EB213</f>
        <v/>
      </c>
      <c r="EE213" s="67">
        <f>IFERROR(IF(($DD213)&gt;0,($EB213)/($DD213),""),"")</f>
        <v/>
      </c>
      <c r="EF213" s="67">
        <f>IFERROR(IF(($DE213)&gt;0,($EC213)/($DE213),""),"")</f>
        <v/>
      </c>
      <c r="EG213" s="67">
        <f>IFERROR(IF(($DF213)&gt;0,($ED213)/($DF213),""),"")</f>
        <v/>
      </c>
      <c r="EH213" s="55">
        <f>SUMIFS(tblPlant[Gold_Poured_oz],tblPlant[Date],$A213)</f>
        <v/>
      </c>
      <c r="EI213" s="55">
        <f>IF($B213=$B212,$EI212,0)+$EH213</f>
        <v/>
      </c>
      <c r="EJ213" s="55">
        <f>$EJ212+$EH213</f>
        <v/>
      </c>
      <c r="EK213" s="57">
        <f>SUMIFS(tblPlant[Mill_Run_h],tblPlant[Date],$A213)</f>
        <v/>
      </c>
      <c r="EL213" s="57">
        <f>IF($B213=$B212,$EL212,0)+$EK213</f>
        <v/>
      </c>
      <c r="EM213" s="57">
        <f>$EM212+$EK213</f>
        <v/>
      </c>
      <c r="EN213" s="57">
        <f>SUMIFS(tblPlant[Mill_Planned_Maint_h],tblPlant[Date],$A213)</f>
        <v/>
      </c>
      <c r="EO213" s="57">
        <f>IF($B213=$B212,$EO212,0)+$EN213</f>
        <v/>
      </c>
      <c r="EP213" s="57">
        <f>$EP212+$EN213</f>
        <v/>
      </c>
      <c r="EQ213" s="57">
        <f>SUMIFS(tblPlant[Mill_Unplanned_Down_h],tblPlant[Date],$A213)</f>
        <v/>
      </c>
      <c r="ER213" s="57">
        <f>IF($B213=$B212,$ER212,0)+$EQ213</f>
        <v/>
      </c>
      <c r="ES213" s="57">
        <f>$ES212+$EQ213</f>
        <v/>
      </c>
      <c r="ET213" s="57">
        <f>IF(COUNTIFS(tblPlant[Date],$A213,tblPlant[Mill_Run_h],"&lt;&gt;")+COUNTIFS(tblPlant[Date],$A213,tblPlant[Mill_Planned_Maint_h],"&lt;&gt;")+COUNTIFS(tblPlant[Date],$A213,tblPlant[Mill_Unplanned_Down_h],"&lt;&gt;")&gt;0,cfg_HoursPerDay,0)</f>
        <v/>
      </c>
      <c r="EU213" s="57">
        <f>IF($B213=$B212,$EU212,0)+$ET213</f>
        <v/>
      </c>
      <c r="EV213" s="57">
        <f>$EV212+$ET213</f>
        <v/>
      </c>
      <c r="EW213" s="57">
        <f>SUMIFS(tblPlant[Crusher_Run_h],tblPlant[Date],$A213)</f>
        <v/>
      </c>
      <c r="EX213" s="57">
        <f>IF($B213=$B212,$EX212,0)+$EW213</f>
        <v/>
      </c>
      <c r="EY213" s="57">
        <f>$EY212+$EW213</f>
        <v/>
      </c>
      <c r="EZ213" s="55">
        <f>IFERROR(IF(($EK213)&gt;0,($DP213)/($EK213),""),"")</f>
        <v/>
      </c>
      <c r="FA213" s="55">
        <f>IFERROR(IF(($EL213)&gt;0,($DQ213)/($EL213),""),"")</f>
        <v/>
      </c>
      <c r="FB213" s="55">
        <f>IFERROR(IF(($EM213)&gt;0,($DR213)/($EM213),""),"")</f>
        <v/>
      </c>
      <c r="FC213" s="67">
        <f>IFERROR(IF(($ET213)&gt;0,($ET213-$EN213-$EQ213)/($ET213),""),"")</f>
        <v/>
      </c>
      <c r="FD213" s="67">
        <f>IFERROR(IF(($EU213)&gt;0,($EU213-$EO213-$ER213)/($EU213),""),"")</f>
        <v/>
      </c>
      <c r="FE213" s="67">
        <f>IFERROR(IF(($EV213)&gt;0,($EV213-$EP213-$ES213)/($EV213),""),"")</f>
        <v/>
      </c>
      <c r="FF213" s="67">
        <f>IFERROR(IF(($ET213-$EN213-$EQ213)&gt;0,($EK213)/($ET213-$EN213-$EQ213),""),"")</f>
        <v/>
      </c>
      <c r="FG213" s="67">
        <f>IFERROR(IF(($EU213-$EO213-$ER213)&gt;0,($EL213)/($EU213-$EO213-$ER213),""),"")</f>
        <v/>
      </c>
      <c r="FH213" s="67">
        <f>IFERROR(IF(($EV213-$EP213-$ES213)&gt;0,($EM213)/($EV213-$EP213-$ES213),""),"")</f>
        <v/>
      </c>
      <c r="FI213" s="55">
        <f>SUMIFS(tblPlant[Cyanide_kg],tblPlant[Date],$A213)</f>
        <v/>
      </c>
      <c r="FJ213" s="55">
        <f>IF($B213=$B212,$FJ212,0)+$FI213</f>
        <v/>
      </c>
      <c r="FK213" s="55">
        <f>$FK212+$FI213</f>
        <v/>
      </c>
      <c r="FL213" s="55">
        <f>SUMIFS(tblPlant[Lime_kg],tblPlant[Date],$A213)</f>
        <v/>
      </c>
      <c r="FM213" s="55">
        <f>IF($B213=$B212,$FM212,0)+$FL213</f>
        <v/>
      </c>
      <c r="FN213" s="55">
        <f>$FN212+$FL213</f>
        <v/>
      </c>
      <c r="FO213" s="55">
        <f>SUMIFS(tblPlant[Grinding_Media_kg],tblPlant[Date],$A213)</f>
        <v/>
      </c>
      <c r="FP213" s="55">
        <f>IF($B213=$B212,$FP212,0)+$FO213</f>
        <v/>
      </c>
      <c r="FQ213" s="55">
        <f>$FQ212+$FO213</f>
        <v/>
      </c>
      <c r="FR213" s="55">
        <f>SUMIFS(tblPlant[Power_kWh],tblPlant[Date],$A213)</f>
        <v/>
      </c>
      <c r="FS213" s="55">
        <f>IF($B213=$B212,$FS212,0)+$FR213</f>
        <v/>
      </c>
      <c r="FT213" s="55">
        <f>$FT212+$FR213</f>
        <v/>
      </c>
      <c r="FU213" s="55">
        <f>SUMIFS(tblPlant[Raw_Water_m3],tblPlant[Date],$A213)</f>
        <v/>
      </c>
      <c r="FV213" s="55">
        <f>IF($B213=$B212,$FV212,0)+$FU213</f>
        <v/>
      </c>
      <c r="FW213" s="55">
        <f>$FW212+$FU213</f>
        <v/>
      </c>
      <c r="FX213" s="56">
        <f>IFERROR(IF(($CU213)&gt;0,($FI213)/($CU213),""),"")</f>
        <v/>
      </c>
      <c r="FY213" s="56">
        <f>IFERROR(IF(($CV213)&gt;0,($FJ213)/($CV213),""),"")</f>
        <v/>
      </c>
      <c r="FZ213" s="56">
        <f>IFERROR(IF(($CW213)&gt;0,($FK213)/($CW213),""),"")</f>
        <v/>
      </c>
      <c r="GA213" s="56">
        <f>IFERROR(IF(($CU213)&gt;0,($FL213)/($CU213),""),"")</f>
        <v/>
      </c>
      <c r="GB213" s="56">
        <f>IFERROR(IF(($CV213)&gt;0,($FM213)/($CV213),""),"")</f>
        <v/>
      </c>
      <c r="GC213" s="56">
        <f>IFERROR(IF(($CW213)&gt;0,($FN213)/($CW213),""),"")</f>
        <v/>
      </c>
      <c r="GD213" s="56">
        <f>IFERROR(IF(($CU213)&gt;0,($FO213)/($CU213),""),"")</f>
        <v/>
      </c>
      <c r="GE213" s="56">
        <f>IFERROR(IF(($CV213)&gt;0,($FP213)/($CV213),""),"")</f>
        <v/>
      </c>
      <c r="GF213" s="56">
        <f>IFERROR(IF(($CW213)&gt;0,($FQ213)/($CW213),""),"")</f>
        <v/>
      </c>
      <c r="GG213" s="79">
        <f>IFERROR(IF(($CU213)&gt;0,($FR213)/($CU213),""),"")</f>
        <v/>
      </c>
      <c r="GH213" s="79">
        <f>IFERROR(IF(($CV213)&gt;0,($FS213)/($CV213),""),"")</f>
        <v/>
      </c>
      <c r="GI213" s="79">
        <f>IFERROR(IF(($CW213)&gt;0,($FT213)/($CW213),""),"")</f>
        <v/>
      </c>
      <c r="GJ213" s="56">
        <f>IFERROR(IF(($CU213)&gt;0,($FU213)/($CU213),""),"")</f>
        <v/>
      </c>
      <c r="GK213" s="56">
        <f>IFERROR(IF(($CV213)&gt;0,($FV213)/($CV213),""),"")</f>
        <v/>
      </c>
      <c r="GL213" s="56">
        <f>IFERROR(IF(($CW213)&gt;0,($FW213)/($CW213),""),"")</f>
        <v/>
      </c>
      <c r="GM213" s="55">
        <f>IF(SUMIFS(tblPlant[GIC_oz],tblPlant[Date],$A213)&gt;0,SUMIFS(tblPlant[GIC_oz],tblPlant[Date],$A213),"")</f>
        <v/>
      </c>
      <c r="GN213" s="55">
        <f>SUMIFS(tblGold[Gold_oz],tblGold[Date],$A213,tblGold[Type],"Shipment")</f>
        <v/>
      </c>
      <c r="GO213" s="55">
        <f>IF($B213=$B212,$GO212,0)+$GN213</f>
        <v/>
      </c>
      <c r="GP213" s="55">
        <f>$GP212+$GN213</f>
        <v/>
      </c>
      <c r="GQ213" s="55">
        <f>SUMIFS(tblGold[Gold_oz],tblGold[Date],$A213,tblGold[Type],"Sale")</f>
        <v/>
      </c>
      <c r="GR213" s="55">
        <f>IF($B213=$B212,$GR212,0)+$GQ213</f>
        <v/>
      </c>
      <c r="GS213" s="55">
        <f>$GS212+$GQ213</f>
        <v/>
      </c>
      <c r="GT213" s="55">
        <f>SUMIFS(tblGold[Dore_kg],tblGold[Date],$A213,tblGold[Type],"Shipment")</f>
        <v/>
      </c>
      <c r="GU213" s="55">
        <f>IF($B213=$B212,$GU212,0)+$GT213</f>
        <v/>
      </c>
      <c r="GV213" s="55">
        <f>$GV212+$GT213</f>
        <v/>
      </c>
      <c r="GW213" s="57">
        <f>SUMIFS(tblSafety[Hours_Total],tblSafety[Date],$A213)</f>
        <v/>
      </c>
      <c r="GX213" s="57">
        <f>IF($B213=$B212,$GX212,0)+$GW213</f>
        <v/>
      </c>
      <c r="GY213" s="57">
        <f>$GY212+$GW213</f>
        <v/>
      </c>
      <c r="GZ213" s="62">
        <f>SUMIFS(tblSafety[Fatality],tblSafety[Date],$A213)</f>
        <v/>
      </c>
      <c r="HA213" s="62">
        <f>IF($B213=$B212,$HA212,0)+$GZ213</f>
        <v/>
      </c>
      <c r="HB213" s="62">
        <f>$HB212+$GZ213</f>
        <v/>
      </c>
      <c r="HC213" s="62">
        <f>SUMIFS(tblSafety[LTI],tblSafety[Date],$A213)</f>
        <v/>
      </c>
      <c r="HD213" s="62">
        <f>IF($B213=$B212,$HD212,0)+$HC213</f>
        <v/>
      </c>
      <c r="HE213" s="62">
        <f>$HE212+$HC213</f>
        <v/>
      </c>
      <c r="HF213" s="62">
        <f>SUMIFS(tblSafety[RWI],tblSafety[Date],$A213)</f>
        <v/>
      </c>
      <c r="HG213" s="62">
        <f>IF($B213=$B212,$HG212,0)+$HF213</f>
        <v/>
      </c>
      <c r="HH213" s="62">
        <f>$HH212+$HF213</f>
        <v/>
      </c>
      <c r="HI213" s="62">
        <f>SUMIFS(tblSafety[MTI],tblSafety[Date],$A213)</f>
        <v/>
      </c>
      <c r="HJ213" s="62">
        <f>IF($B213=$B212,$HJ212,0)+$HI213</f>
        <v/>
      </c>
      <c r="HK213" s="62">
        <f>$HK212+$HI213</f>
        <v/>
      </c>
      <c r="HL213" s="62">
        <f>SUMIFS(tblSafety[FAI],tblSafety[Date],$A213)</f>
        <v/>
      </c>
      <c r="HM213" s="62">
        <f>IF($B213=$B212,$HM212,0)+$HL213</f>
        <v/>
      </c>
      <c r="HN213" s="62">
        <f>$HN212+$HL213</f>
        <v/>
      </c>
      <c r="HO213" s="62">
        <f>SUMIFS(tblSafety[Recordables],tblSafety[Date],$A213)</f>
        <v/>
      </c>
      <c r="HP213" s="62">
        <f>IF($B213=$B212,$HP212,0)+$HO213</f>
        <v/>
      </c>
      <c r="HQ213" s="62">
        <f>$HQ212+$HO213</f>
        <v/>
      </c>
      <c r="HR213" s="62">
        <f>SUMIFS(tblSafety[Near_Miss],tblSafety[Date],$A213)</f>
        <v/>
      </c>
      <c r="HS213" s="62">
        <f>IF($B213=$B212,$HS212,0)+$HR213</f>
        <v/>
      </c>
      <c r="HT213" s="62">
        <f>$HT212+$HR213</f>
        <v/>
      </c>
      <c r="HU213" s="62">
        <f>SUMIFS(tblSafety[Hazard_Reports],tblSafety[Date],$A213)</f>
        <v/>
      </c>
      <c r="HV213" s="62">
        <f>IF($B213=$B212,$HV212,0)+$HU213</f>
        <v/>
      </c>
      <c r="HW213" s="62">
        <f>$HW212+$HU213</f>
        <v/>
      </c>
      <c r="HX213" s="62">
        <f>SUMIFS(tblSafety[HPI],tblSafety[Date],$A213)</f>
        <v/>
      </c>
      <c r="HY213" s="62">
        <f>IF($B213=$B212,$HY212,0)+$HX213</f>
        <v/>
      </c>
      <c r="HZ213" s="62">
        <f>$HZ212+$HX213</f>
        <v/>
      </c>
      <c r="IA213" s="62">
        <f>SUMIFS(tblSafety[Env_Incidents],tblSafety[Date],$A213)</f>
        <v/>
      </c>
      <c r="IB213" s="62">
        <f>IF($B213=$B212,$IB212,0)+$IA213</f>
        <v/>
      </c>
      <c r="IC213" s="62">
        <f>$IC212+$IA213</f>
        <v/>
      </c>
      <c r="ID213" s="62">
        <f>SUMIFS(tblSafety[Community_Incidents],tblSafety[Date],$A213)</f>
        <v/>
      </c>
      <c r="IE213" s="62">
        <f>IF($B213=$B212,$IE212,0)+$ID213</f>
        <v/>
      </c>
      <c r="IF213" s="62">
        <f>$IF212+$ID213</f>
        <v/>
      </c>
      <c r="IG213" s="62">
        <f>SUMIFS(tblSafety[Vehicle_Incidents],tblSafety[Date],$A213)</f>
        <v/>
      </c>
      <c r="IH213" s="62">
        <f>IF($B213=$B212,$IH212,0)+$IG213</f>
        <v/>
      </c>
      <c r="II213" s="62">
        <f>$II212+$IG213</f>
        <v/>
      </c>
      <c r="IJ213" s="62">
        <f>SUMIFS(tblSafety[Toolbox_Talks],tblSafety[Date],$A213)</f>
        <v/>
      </c>
      <c r="IK213" s="62">
        <f>IF($B213=$B212,$IK212,0)+$IJ213</f>
        <v/>
      </c>
      <c r="IL213" s="62">
        <f>$IL212+$IJ213</f>
        <v/>
      </c>
      <c r="IM213" s="62">
        <f>SUMIFS(tblSafety[Inspections],tblSafety[Date],$A213)</f>
        <v/>
      </c>
      <c r="IN213" s="62">
        <f>IF($B213=$B212,$IN212,0)+$IM213</f>
        <v/>
      </c>
      <c r="IO213" s="62">
        <f>$IO212+$IM213</f>
        <v/>
      </c>
      <c r="IP213" s="56">
        <f>IFERROR((SUMIFS(tblSafety[Recordables],tblSafety[Date],"&gt;="&amp;EDATE($E213,-12),tblSafety[Date],"&lt;="&amp;$A213)+SUMIFS(tblSafetyHistory[Recordables],tblSafetyHistory[Month],"&gt;="&amp;EDATE($E213,-12),tblSafetyHistory[Month],"&lt;"&amp;$E213,tblSafetyHistory[Use],1))/(SUMIFS(tblSafety[Hours_Total],tblSafety[Date],"&gt;="&amp;EDATE($E213,-12),tblSafety[Date],"&lt;="&amp;$A213)+SUMIFS(tblSafetyHistory[Hours_Total],tblSafetyHistory[Month],"&gt;="&amp;EDATE($E213,-12),tblSafetyHistory[Month],"&lt;"&amp;$E213,tblSafetyHistory[Use],1))*cfg_RateBasisHours,"")</f>
        <v/>
      </c>
      <c r="IQ213" s="56">
        <f>IFERROR((SUMIFS(tblSafety[LTI],tblSafety[Date],"&gt;="&amp;EDATE($E213,-12),tblSafety[Date],"&lt;="&amp;$A213)+SUMIFS(tblSafetyHistory[LTI],tblSafetyHistory[Month],"&gt;="&amp;EDATE($E213,-12),tblSafetyHistory[Month],"&lt;"&amp;$E213,tblSafetyHistory[Use],1))/(SUMIFS(tblSafety[Hours_Total],tblSafety[Date],"&gt;="&amp;EDATE($E213,-12),tblSafety[Date],"&lt;="&amp;$A213)+SUMIFS(tblSafetyHistory[Hours_Total],tblSafetyHistory[Month],"&gt;="&amp;EDATE($E213,-12),tblSafetyHistory[Month],"&lt;"&amp;$E213,tblSafetyHistory[Use],1))*cfg_RateBasisHours,"")</f>
        <v/>
      </c>
      <c r="IR213" s="62">
        <f>IF(MAX(N(cfg_PriorLTIDate),_xlfn.MAXIFS(tblSafety[Date],tblSafety[LTI],"&gt;0",tblSafety[Date],"&lt;="&amp;$A213))=0,"",$A213-MAX(N(cfg_PriorLTIDate),_xlfn.MAXIFS(tblSafety[Date],tblSafety[LTI],"&gt;0",tblSafety[Date],"&lt;="&amp;$A213)))</f>
        <v/>
      </c>
      <c r="IS213" s="55">
        <f>SUMIFS(tblBudget[Ore_Mined_t],tblBudget[Month],$E213)</f>
        <v/>
      </c>
      <c r="IT213" s="55">
        <f>$IS213*$C213/$D213</f>
        <v/>
      </c>
      <c r="IU213" s="55">
        <f>SUMIFS(tblBudget[Ore_Mined_t],tblBudget[Month],"&lt;"&amp;$E213)+$IT213</f>
        <v/>
      </c>
      <c r="IV213" s="55">
        <f>SUMIFS(tblBudget[Ore_oz],tblBudget[Month],$E213)</f>
        <v/>
      </c>
      <c r="IW213" s="55">
        <f>$IV213*$C213/$D213</f>
        <v/>
      </c>
      <c r="IX213" s="55">
        <f>SUMIFS(tblBudget[Ore_oz],tblBudget[Month],"&lt;"&amp;$E213)+$IW213</f>
        <v/>
      </c>
      <c r="IY213" s="55">
        <f>SUMIFS(tblBudget[Ore_Mined_t],tblBudget[Month],$E213)</f>
        <v/>
      </c>
      <c r="IZ213" s="55">
        <f>$IY213*$C213/$D213</f>
        <v/>
      </c>
      <c r="JA213" s="55">
        <f>SUMIFS(tblBudget[Ore_Mined_t],tblBudget[Month],"&lt;"&amp;$E213)+$IZ213</f>
        <v/>
      </c>
      <c r="JB213" s="56">
        <f>IFERROR(IF(($IY213)&gt;0,($IV213*cfg_TroyOz)/($IY213),""),"")</f>
        <v/>
      </c>
      <c r="JC213" s="56">
        <f>IFERROR(IF(($IZ213)&gt;0,($IW213*cfg_TroyOz)/($IZ213),""),"")</f>
        <v/>
      </c>
      <c r="JD213" s="56">
        <f>IFERROR(IF(($JA213)&gt;0,($IX213*cfg_TroyOz)/($JA213),""),"")</f>
        <v/>
      </c>
      <c r="JE213" s="55">
        <f>SUMIFS(tblBudget[Waste_t],tblBudget[Month],$E213)</f>
        <v/>
      </c>
      <c r="JF213" s="55">
        <f>$JE213*$C213/$D213</f>
        <v/>
      </c>
      <c r="JG213" s="55">
        <f>SUMIFS(tblBudget[Waste_t],tblBudget[Month],"&lt;"&amp;$E213)+$JF213</f>
        <v/>
      </c>
      <c r="JH213" s="55">
        <f>SUMIFS(tblBudget[TMM_t],tblBudget[Month],$E213)</f>
        <v/>
      </c>
      <c r="JI213" s="55">
        <f>$JH213*$C213/$D213</f>
        <v/>
      </c>
      <c r="JJ213" s="55">
        <f>SUMIFS(tblBudget[TMM_t],tblBudget[Month],"&lt;"&amp;$E213)+$JI213</f>
        <v/>
      </c>
      <c r="JK213" s="56">
        <f>IFERROR(IF(($IS213)&gt;0,($JE213)/($IS213),""),"")</f>
        <v/>
      </c>
      <c r="JL213" s="56">
        <f>IFERROR(IF(($IT213)&gt;0,($JF213)/($IT213),""),"")</f>
        <v/>
      </c>
      <c r="JM213" s="56">
        <f>IFERROR(IF(($IU213)&gt;0,($JG213)/($IU213),""),"")</f>
        <v/>
      </c>
      <c r="JN213" s="55">
        <f>SUMIFS(tblBudget[Drill_m],tblBudget[Month],$E213)</f>
        <v/>
      </c>
      <c r="JO213" s="55">
        <f>$JN213*$C213/$D213</f>
        <v/>
      </c>
      <c r="JP213" s="55">
        <f>SUMIFS(tblBudget[Drill_m],tblBudget[Month],"&lt;"&amp;$E213)+$JO213</f>
        <v/>
      </c>
      <c r="JQ213" s="55">
        <f>SUMIFS(tblBudget[Diesel_L],tblBudget[Month],$E213)</f>
        <v/>
      </c>
      <c r="JR213" s="55">
        <f>$JQ213*$C213/$D213</f>
        <v/>
      </c>
      <c r="JS213" s="55">
        <f>SUMIFS(tblBudget[Diesel_L],tblBudget[Month],"&lt;"&amp;$E213)+$JR213</f>
        <v/>
      </c>
      <c r="JT213" s="55">
        <f>SUMIFS(tblBudget[Milled_t],tblBudget[Month],$E213)</f>
        <v/>
      </c>
      <c r="JU213" s="55">
        <f>$JT213*$C213/$D213</f>
        <v/>
      </c>
      <c r="JV213" s="55">
        <f>SUMIFS(tblBudget[Milled_t],tblBudget[Month],"&lt;"&amp;$E213)+$JU213</f>
        <v/>
      </c>
      <c r="JW213" s="55">
        <f>SUMIFS(tblBudget[Feed_oz],tblBudget[Month],$E213)</f>
        <v/>
      </c>
      <c r="JX213" s="55">
        <f>$JW213*$C213/$D213</f>
        <v/>
      </c>
      <c r="JY213" s="55">
        <f>SUMIFS(tblBudget[Feed_oz],tblBudget[Month],"&lt;"&amp;$E213)+$JX213</f>
        <v/>
      </c>
      <c r="JZ213" s="55">
        <f>SUMIFS(tblBudget[Recovered_oz],tblBudget[Month],$E213)</f>
        <v/>
      </c>
      <c r="KA213" s="55">
        <f>$JZ213*$C213/$D213</f>
        <v/>
      </c>
      <c r="KB213" s="55">
        <f>SUMIFS(tblBudget[Recovered_oz],tblBudget[Month],"&lt;"&amp;$E213)+$KA213</f>
        <v/>
      </c>
      <c r="KC213" s="55">
        <f>SUMIFS(tblBudget[Milled_t],tblBudget[Month],$E213)</f>
        <v/>
      </c>
      <c r="KD213" s="55">
        <f>$KC213*$C213/$D213</f>
        <v/>
      </c>
      <c r="KE213" s="55">
        <f>SUMIFS(tblBudget[Milled_t],tblBudget[Month],"&lt;"&amp;$E213)+$KD213</f>
        <v/>
      </c>
      <c r="KF213" s="55">
        <f>SUMIFS(tblBudget[Feed_oz],tblBudget[Month],$E213)</f>
        <v/>
      </c>
      <c r="KG213" s="55">
        <f>$KF213*$C213/$D213</f>
        <v/>
      </c>
      <c r="KH213" s="55">
        <f>SUMIFS(tblBudget[Feed_oz],tblBudget[Month],"&lt;"&amp;$E213)+$KG213</f>
        <v/>
      </c>
      <c r="KI213" s="56">
        <f>IFERROR(IF(($KC213)&gt;0,($JW213*cfg_TroyOz)/($KC213),""),"")</f>
        <v/>
      </c>
      <c r="KJ213" s="56">
        <f>IFERROR(IF(($KD213)&gt;0,($JX213*cfg_TroyOz)/($KD213),""),"")</f>
        <v/>
      </c>
      <c r="KK213" s="56">
        <f>IFERROR(IF(($KE213)&gt;0,($JY213*cfg_TroyOz)/($KE213),""),"")</f>
        <v/>
      </c>
      <c r="KL213" s="67">
        <f>IFERROR(IF(($KF213)&gt;0,($JZ213)/($KF213),""),"")</f>
        <v/>
      </c>
      <c r="KM213" s="67">
        <f>IFERROR(IF(($KG213)&gt;0,($KA213)/($KG213),""),"")</f>
        <v/>
      </c>
      <c r="KN213" s="67">
        <f>IFERROR(IF(($KH213)&gt;0,($KB213)/($KH213),""),"")</f>
        <v/>
      </c>
      <c r="KO213" s="55">
        <f>SUMIFS(tblBudget[Gold_Poured_oz],tblBudget[Month],$E213)</f>
        <v/>
      </c>
      <c r="KP213" s="55">
        <f>$KO213*$C213/$D213</f>
        <v/>
      </c>
      <c r="KQ213" s="55">
        <f>SUMIFS(tblBudget[Gold_Poured_oz],tblBudget[Month],"&lt;"&amp;$E213)+$KP213</f>
        <v/>
      </c>
      <c r="KR213" s="57">
        <f>SUMIFS(tblBudget[Hours_Worked],tblBudget[Month],$E213)</f>
        <v/>
      </c>
      <c r="KS213" s="57">
        <f>$KR213*$C213/$D213</f>
        <v/>
      </c>
      <c r="KT213" s="57">
        <f>SUMIFS(tblBudget[Hours_Worked],tblBudget[Month],"&lt;"&amp;$E213)+$KS213</f>
        <v/>
      </c>
    </row>
    <row r="214">
      <c r="A214" s="54" t="n">
        <v>46235</v>
      </c>
      <c r="B214">
        <f>MONTH($A214)</f>
        <v/>
      </c>
      <c r="C214">
        <f>DAY($A214)</f>
        <v/>
      </c>
      <c r="D214">
        <f>DAY(EOMONTH($A214,0))</f>
        <v/>
      </c>
      <c r="E214" s="54">
        <f>DATE(YEAR($A214),MONTH($A214),1)</f>
        <v/>
      </c>
      <c r="F214" s="55">
        <f>SUMIFS(tblMovement[Tonnes_t],tblMovement[Date],$A214,tblMovement[Is_Ore],1,tblMovement[Source_Type],"Pit")</f>
        <v/>
      </c>
      <c r="G214" s="55">
        <f>IF($B214=$B213,$G213,0)+$F214</f>
        <v/>
      </c>
      <c r="H214" s="55">
        <f>$H213+$F214</f>
        <v/>
      </c>
      <c r="I214" s="55">
        <f>SUMIFS(tblMovement[Ore_oz],tblMovement[Date],$A214,tblMovement[Source_Type],"Pit")</f>
        <v/>
      </c>
      <c r="J214" s="55">
        <f>IF($B214=$B213,$J213,0)+$I214</f>
        <v/>
      </c>
      <c r="K214" s="55">
        <f>$K213+$I214</f>
        <v/>
      </c>
      <c r="L214" s="55">
        <f>SUMIFS(tblMovement[Tonnes_t],tblMovement[Date],$A214,tblMovement[Is_Ore],1,tblMovement[Source_Type],"Pit",tblMovement[Grade_gpt],"&lt;&gt;")</f>
        <v/>
      </c>
      <c r="M214" s="55">
        <f>IF($B214=$B213,$M213,0)+$L214</f>
        <v/>
      </c>
      <c r="N214" s="55">
        <f>$N213+$L214</f>
        <v/>
      </c>
      <c r="O214" s="56">
        <f>IFERROR(IF(($L214)&gt;0,($I214*cfg_TroyOz)/($L214),""),"")</f>
        <v/>
      </c>
      <c r="P214" s="56">
        <f>IFERROR(IF(($M214)&gt;0,($J214*cfg_TroyOz)/($M214),""),"")</f>
        <v/>
      </c>
      <c r="Q214" s="56">
        <f>IFERROR(IF(($N214)&gt;0,($K214*cfg_TroyOz)/($N214),""),"")</f>
        <v/>
      </c>
      <c r="R214" s="55">
        <f>$F214-$L214</f>
        <v/>
      </c>
      <c r="S214" s="55">
        <f>IF($B214=$B213,$S213,0)+$R214</f>
        <v/>
      </c>
      <c r="T214" s="55">
        <f>$T213+$R214</f>
        <v/>
      </c>
      <c r="U214" s="55">
        <f>SUMIFS(tblMovement[Tonnes_t],tblMovement[Date],$A214,tblMovement[Is_Ore],0,tblMovement[Source_Type],"Pit")</f>
        <v/>
      </c>
      <c r="V214" s="55">
        <f>IF($B214=$B213,$V213,0)+$U214</f>
        <v/>
      </c>
      <c r="W214" s="55">
        <f>$W213+$U214</f>
        <v/>
      </c>
      <c r="X214" s="55">
        <f>$F214+$U214</f>
        <v/>
      </c>
      <c r="Y214" s="55">
        <f>IF($B214=$B213,$Y213,0)+$X214</f>
        <v/>
      </c>
      <c r="Z214" s="55">
        <f>$Z213+$X214</f>
        <v/>
      </c>
      <c r="AA214" s="56">
        <f>IFERROR(IF(($F214)&gt;0,($U214)/($F214),""),"")</f>
        <v/>
      </c>
      <c r="AB214" s="56">
        <f>IFERROR(IF(($G214)&gt;0,($V214)/($G214),""),"")</f>
        <v/>
      </c>
      <c r="AC214" s="56">
        <f>IFERROR(IF(($H214)&gt;0,($W214)/($H214),""),"")</f>
        <v/>
      </c>
      <c r="AD214" s="55">
        <f>SUMIFS(tblMovement[Tonnes_t],tblMovement[Date],$A214,tblMovement[Source_Type],"Stockpile")</f>
        <v/>
      </c>
      <c r="AE214" s="55">
        <f>IF($B214=$B213,$AE213,0)+$AD214</f>
        <v/>
      </c>
      <c r="AF214" s="55">
        <f>$AF213+$AD214</f>
        <v/>
      </c>
      <c r="AG214" s="55">
        <f>SUMIFS(tblMovement[Tonnes_t],tblMovement[Date],$A214)</f>
        <v/>
      </c>
      <c r="AH214" s="55">
        <f>IF($B214=$B213,$AH213,0)+$AG214</f>
        <v/>
      </c>
      <c r="AI214" s="55">
        <f>$AI213+$AG214</f>
        <v/>
      </c>
      <c r="AJ214" s="55">
        <f>$AG214-$X214-$AD214</f>
        <v/>
      </c>
      <c r="AK214" s="55">
        <f>IF($B214=$B213,$AK213,0)+$AJ214</f>
        <v/>
      </c>
      <c r="AL214" s="55">
        <f>$AL213+$AJ214</f>
        <v/>
      </c>
      <c r="AM214" s="55">
        <f>SUMIFS(tblMiningDaily[Drill_m],tblMiningDaily[Date],$A214)</f>
        <v/>
      </c>
      <c r="AN214" s="55">
        <f>IF($B214=$B213,$AN213,0)+$AM214</f>
        <v/>
      </c>
      <c r="AO214" s="55">
        <f>$AO213+$AM214</f>
        <v/>
      </c>
      <c r="AP214" s="55">
        <f>SUMIFS(tblMiningDaily[GC_Drill_m],tblMiningDaily[Date],$A214)</f>
        <v/>
      </c>
      <c r="AQ214" s="55">
        <f>IF($B214=$B213,$AQ213,0)+$AP214</f>
        <v/>
      </c>
      <c r="AR214" s="55">
        <f>$AR213+$AP214</f>
        <v/>
      </c>
      <c r="AS214" s="55">
        <f>SUMIFS(tblMiningDaily[Blast_t],tblMiningDaily[Date],$A214)</f>
        <v/>
      </c>
      <c r="AT214" s="55">
        <f>IF($B214=$B213,$AT213,0)+$AS214</f>
        <v/>
      </c>
      <c r="AU214" s="55">
        <f>$AU213+$AS214</f>
        <v/>
      </c>
      <c r="AV214" s="55">
        <f>SUMIFS(tblMiningDaily[Explosives_kg],tblMiningDaily[Date],$A214)</f>
        <v/>
      </c>
      <c r="AW214" s="55">
        <f>IF($B214=$B213,$AW213,0)+$AV214</f>
        <v/>
      </c>
      <c r="AX214" s="55">
        <f>$AX213+$AV214</f>
        <v/>
      </c>
      <c r="AY214" s="56">
        <f>IFERROR(IF(($AS214)&gt;0,($AV214)/($AS214),""),"")</f>
        <v/>
      </c>
      <c r="AZ214" s="56">
        <f>IFERROR(IF(($AT214)&gt;0,($AW214)/($AT214),""),"")</f>
        <v/>
      </c>
      <c r="BA214" s="56">
        <f>IFERROR(IF(($AU214)&gt;0,($AX214)/($AU214),""),"")</f>
        <v/>
      </c>
      <c r="BB214" s="55">
        <f>SUMIFS(tblMiningDaily[Diesel_L],tblMiningDaily[Date],$A214)</f>
        <v/>
      </c>
      <c r="BC214" s="55">
        <f>IF($B214=$B213,$BC213,0)+$BB214</f>
        <v/>
      </c>
      <c r="BD214" s="55">
        <f>$BD213+$BB214</f>
        <v/>
      </c>
      <c r="BE214" s="55">
        <f>SUMIFS(tblMiningDaily[Dewatering_m3],tblMiningDaily[Date],$A214)</f>
        <v/>
      </c>
      <c r="BF214" s="55">
        <f>IF($B214=$B213,$BF213,0)+$BE214</f>
        <v/>
      </c>
      <c r="BG214" s="55">
        <f>$BG213+$BE214</f>
        <v/>
      </c>
      <c r="BH214" s="57">
        <f>SUMIFS(tblFleet[Calendar_h],tblFleet[Date],$A214,tblFleet[Equipment_Class],"Excavator")</f>
        <v/>
      </c>
      <c r="BI214" s="57">
        <f>IF($B214=$B213,$BI213,0)+$BH214</f>
        <v/>
      </c>
      <c r="BJ214" s="57">
        <f>$BJ213+$BH214</f>
        <v/>
      </c>
      <c r="BK214" s="57">
        <f>SUMIFS(tblFleet[Available_h],tblFleet[Date],$A214,tblFleet[Equipment_Class],"Excavator")</f>
        <v/>
      </c>
      <c r="BL214" s="57">
        <f>IF($B214=$B213,$BL213,0)+$BK214</f>
        <v/>
      </c>
      <c r="BM214" s="57">
        <f>$BM213+$BK214</f>
        <v/>
      </c>
      <c r="BN214" s="57">
        <f>SUMIFS(tblFleet[Operating_h],tblFleet[Date],$A214,tblFleet[Equipment_Class],"Excavator")</f>
        <v/>
      </c>
      <c r="BO214" s="57">
        <f>IF($B214=$B213,$BO213,0)+$BN214</f>
        <v/>
      </c>
      <c r="BP214" s="57">
        <f>$BP213+$BN214</f>
        <v/>
      </c>
      <c r="BQ214" s="67">
        <f>IFERROR(IF(($BH214)&gt;0,($BK214)/($BH214),""),"")</f>
        <v/>
      </c>
      <c r="BR214" s="67">
        <f>IFERROR(IF(($BI214)&gt;0,($BL214)/($BI214),""),"")</f>
        <v/>
      </c>
      <c r="BS214" s="67">
        <f>IFERROR(IF(($BJ214)&gt;0,($BM214)/($BJ214),""),"")</f>
        <v/>
      </c>
      <c r="BT214" s="67">
        <f>IFERROR(IF(($BK214)&gt;0,($BN214)/($BK214),""),"")</f>
        <v/>
      </c>
      <c r="BU214" s="67">
        <f>IFERROR(IF(($BL214)&gt;0,($BO214)/($BL214),""),"")</f>
        <v/>
      </c>
      <c r="BV214" s="67">
        <f>IFERROR(IF(($BM214)&gt;0,($BP214)/($BM214),""),"")</f>
        <v/>
      </c>
      <c r="BW214" s="57">
        <f>SUMIFS(tblFleet[Calendar_h],tblFleet[Date],$A214,tblFleet[Equipment_Class],"Haul Truck")</f>
        <v/>
      </c>
      <c r="BX214" s="57">
        <f>IF($B214=$B213,$BX213,0)+$BW214</f>
        <v/>
      </c>
      <c r="BY214" s="57">
        <f>$BY213+$BW214</f>
        <v/>
      </c>
      <c r="BZ214" s="57">
        <f>SUMIFS(tblFleet[Available_h],tblFleet[Date],$A214,tblFleet[Equipment_Class],"Haul Truck")</f>
        <v/>
      </c>
      <c r="CA214" s="57">
        <f>IF($B214=$B213,$CA213,0)+$BZ214</f>
        <v/>
      </c>
      <c r="CB214" s="57">
        <f>$CB213+$BZ214</f>
        <v/>
      </c>
      <c r="CC214" s="57">
        <f>SUMIFS(tblFleet[Operating_h],tblFleet[Date],$A214,tblFleet[Equipment_Class],"Haul Truck")</f>
        <v/>
      </c>
      <c r="CD214" s="57">
        <f>IF($B214=$B213,$CD213,0)+$CC214</f>
        <v/>
      </c>
      <c r="CE214" s="57">
        <f>$CE213+$CC214</f>
        <v/>
      </c>
      <c r="CF214" s="67">
        <f>IFERROR(IF(($BW214)&gt;0,($BZ214)/($BW214),""),"")</f>
        <v/>
      </c>
      <c r="CG214" s="67">
        <f>IFERROR(IF(($BX214)&gt;0,($CA214)/($BX214),""),"")</f>
        <v/>
      </c>
      <c r="CH214" s="67">
        <f>IFERROR(IF(($BY214)&gt;0,($CB214)/($BY214),""),"")</f>
        <v/>
      </c>
      <c r="CI214" s="67">
        <f>IFERROR(IF(($BZ214)&gt;0,($CC214)/($BZ214),""),"")</f>
        <v/>
      </c>
      <c r="CJ214" s="67">
        <f>IFERROR(IF(($CA214)&gt;0,($CD214)/($CA214),""),"")</f>
        <v/>
      </c>
      <c r="CK214" s="67">
        <f>IFERROR(IF(($CB214)&gt;0,($CE214)/($CB214),""),"")</f>
        <v/>
      </c>
      <c r="CL214" s="55">
        <f>IFERROR(IF(($BN214)&gt;0,($X214+$AD214)/($BN214),""),"")</f>
        <v/>
      </c>
      <c r="CM214" s="55">
        <f>IFERROR(IF(($BO214)&gt;0,($Y214+$AE214)/($BO214),""),"")</f>
        <v/>
      </c>
      <c r="CN214" s="55">
        <f>IFERROR(IF(($BP214)&gt;0,($Z214+$AF214)/($BP214),""),"")</f>
        <v/>
      </c>
      <c r="CO214" s="55">
        <f>IFERROR(IF(($CC214)&gt;0,($X214+$AD214)/($CC214),""),"")</f>
        <v/>
      </c>
      <c r="CP214" s="55">
        <f>IFERROR(IF(($CD214)&gt;0,($Y214+$AE214)/($CD214),""),"")</f>
        <v/>
      </c>
      <c r="CQ214" s="55">
        <f>IFERROR(IF(($CE214)&gt;0,($Z214+$AF214)/($CE214),""),"")</f>
        <v/>
      </c>
      <c r="CR214" s="55">
        <f>SUMIFS(tblPlant[Crushed_t],tblPlant[Date],$A214)</f>
        <v/>
      </c>
      <c r="CS214" s="55">
        <f>IF($B214=$B213,$CS213,0)+$CR214</f>
        <v/>
      </c>
      <c r="CT214" s="55">
        <f>$CT213+$CR214</f>
        <v/>
      </c>
      <c r="CU214" s="55">
        <f>SUMIFS(tblPlant[Milled_t],tblPlant[Date],$A214)</f>
        <v/>
      </c>
      <c r="CV214" s="55">
        <f>IF($B214=$B213,$CV213,0)+$CU214</f>
        <v/>
      </c>
      <c r="CW214" s="55">
        <f>$CW213+$CU214</f>
        <v/>
      </c>
      <c r="CX214" s="55">
        <f>SUMIFS(tblPlant[Feed_oz],tblPlant[Date],$A214)</f>
        <v/>
      </c>
      <c r="CY214" s="55">
        <f>IF($B214=$B213,$CY213,0)+$CX214</f>
        <v/>
      </c>
      <c r="CZ214" s="55">
        <f>$CZ213+$CX214</f>
        <v/>
      </c>
      <c r="DA214" s="55">
        <f>SUMIFS(tblPlant[Tails_oz],tblPlant[Date],$A214)</f>
        <v/>
      </c>
      <c r="DB214" s="55">
        <f>IF($B214=$B213,$DB213,0)+$DA214</f>
        <v/>
      </c>
      <c r="DC214" s="55">
        <f>$DC213+$DA214</f>
        <v/>
      </c>
      <c r="DD214" s="55">
        <f>SUMIFS(tblPlant[Recovered_oz],tblPlant[Date],$A214)</f>
        <v/>
      </c>
      <c r="DE214" s="55">
        <f>IF($B214=$B213,$DE213,0)+$DD214</f>
        <v/>
      </c>
      <c r="DF214" s="55">
        <f>$DF213+$DD214</f>
        <v/>
      </c>
      <c r="DG214" s="55">
        <f>SUMIFS(tblPlant[Milled_t],tblPlant[Date],$A214,tblPlant[Head_Grade_gpt],"&lt;&gt;")</f>
        <v/>
      </c>
      <c r="DH214" s="55">
        <f>IF($B214=$B213,$DH213,0)+$DG214</f>
        <v/>
      </c>
      <c r="DI214" s="55">
        <f>$DI213+$DG214</f>
        <v/>
      </c>
      <c r="DJ214" s="55">
        <f>SUMIFS(tblPlant[Milled_t],tblPlant[Date],$A214,tblPlant[Tails_Grade_gpt],"&lt;&gt;")</f>
        <v/>
      </c>
      <c r="DK214" s="55">
        <f>IF($B214=$B213,$DK213,0)+$DJ214</f>
        <v/>
      </c>
      <c r="DL214" s="55">
        <f>$DL213+$DJ214</f>
        <v/>
      </c>
      <c r="DM214" s="55">
        <f>SUMIFS(tblPlant[Feed_oz],tblPlant[Date],$A214,tblPlant[Tails_Grade_gpt],"&lt;&gt;")</f>
        <v/>
      </c>
      <c r="DN214" s="55">
        <f>IF($B214=$B213,$DN213,0)+$DM214</f>
        <v/>
      </c>
      <c r="DO214" s="55">
        <f>$DO213+$DM214</f>
        <v/>
      </c>
      <c r="DP214" s="55">
        <f>SUMIFS(tblPlant[Milled_t],tblPlant[Date],$A214,tblPlant[Mill_Run_h],"&lt;&gt;")</f>
        <v/>
      </c>
      <c r="DQ214" s="55">
        <f>IF($B214=$B213,$DQ213,0)+$DP214</f>
        <v/>
      </c>
      <c r="DR214" s="55">
        <f>$DR213+$DP214</f>
        <v/>
      </c>
      <c r="DS214" s="56">
        <f>IFERROR(IF(($DG214)&gt;0,($CX214*cfg_TroyOz)/($DG214),""),"")</f>
        <v/>
      </c>
      <c r="DT214" s="56">
        <f>IFERROR(IF(($DH214)&gt;0,($CY214*cfg_TroyOz)/($DH214),""),"")</f>
        <v/>
      </c>
      <c r="DU214" s="56">
        <f>IFERROR(IF(($DI214)&gt;0,($CZ214*cfg_TroyOz)/($DI214),""),"")</f>
        <v/>
      </c>
      <c r="DV214" s="56">
        <f>IFERROR(IF(($DJ214)&gt;0,($DA214*cfg_TroyOz)/($DJ214),""),"")</f>
        <v/>
      </c>
      <c r="DW214" s="56">
        <f>IFERROR(IF(($DK214)&gt;0,($DB214*cfg_TroyOz)/($DK214),""),"")</f>
        <v/>
      </c>
      <c r="DX214" s="56">
        <f>IFERROR(IF(($DL214)&gt;0,($DC214*cfg_TroyOz)/($DL214),""),"")</f>
        <v/>
      </c>
      <c r="DY214" s="67">
        <f>IFERROR(IF(($DM214)&gt;0,($DD214)/($DM214),""),"")</f>
        <v/>
      </c>
      <c r="DZ214" s="67">
        <f>IFERROR(IF(($DN214)&gt;0,($DE214)/($DN214),""),"")</f>
        <v/>
      </c>
      <c r="EA214" s="67">
        <f>IFERROR(IF(($DO214)&gt;0,($DF214)/($DO214),""),"")</f>
        <v/>
      </c>
      <c r="EB214" s="55">
        <f>SUMIFS(tblPlant[Gravity_Gold_oz],tblPlant[Date],$A214)</f>
        <v/>
      </c>
      <c r="EC214" s="55">
        <f>IF($B214=$B213,$EC213,0)+$EB214</f>
        <v/>
      </c>
      <c r="ED214" s="55">
        <f>$ED213+$EB214</f>
        <v/>
      </c>
      <c r="EE214" s="67">
        <f>IFERROR(IF(($DD214)&gt;0,($EB214)/($DD214),""),"")</f>
        <v/>
      </c>
      <c r="EF214" s="67">
        <f>IFERROR(IF(($DE214)&gt;0,($EC214)/($DE214),""),"")</f>
        <v/>
      </c>
      <c r="EG214" s="67">
        <f>IFERROR(IF(($DF214)&gt;0,($ED214)/($DF214),""),"")</f>
        <v/>
      </c>
      <c r="EH214" s="55">
        <f>SUMIFS(tblPlant[Gold_Poured_oz],tblPlant[Date],$A214)</f>
        <v/>
      </c>
      <c r="EI214" s="55">
        <f>IF($B214=$B213,$EI213,0)+$EH214</f>
        <v/>
      </c>
      <c r="EJ214" s="55">
        <f>$EJ213+$EH214</f>
        <v/>
      </c>
      <c r="EK214" s="57">
        <f>SUMIFS(tblPlant[Mill_Run_h],tblPlant[Date],$A214)</f>
        <v/>
      </c>
      <c r="EL214" s="57">
        <f>IF($B214=$B213,$EL213,0)+$EK214</f>
        <v/>
      </c>
      <c r="EM214" s="57">
        <f>$EM213+$EK214</f>
        <v/>
      </c>
      <c r="EN214" s="57">
        <f>SUMIFS(tblPlant[Mill_Planned_Maint_h],tblPlant[Date],$A214)</f>
        <v/>
      </c>
      <c r="EO214" s="57">
        <f>IF($B214=$B213,$EO213,0)+$EN214</f>
        <v/>
      </c>
      <c r="EP214" s="57">
        <f>$EP213+$EN214</f>
        <v/>
      </c>
      <c r="EQ214" s="57">
        <f>SUMIFS(tblPlant[Mill_Unplanned_Down_h],tblPlant[Date],$A214)</f>
        <v/>
      </c>
      <c r="ER214" s="57">
        <f>IF($B214=$B213,$ER213,0)+$EQ214</f>
        <v/>
      </c>
      <c r="ES214" s="57">
        <f>$ES213+$EQ214</f>
        <v/>
      </c>
      <c r="ET214" s="57">
        <f>IF(COUNTIFS(tblPlant[Date],$A214,tblPlant[Mill_Run_h],"&lt;&gt;")+COUNTIFS(tblPlant[Date],$A214,tblPlant[Mill_Planned_Maint_h],"&lt;&gt;")+COUNTIFS(tblPlant[Date],$A214,tblPlant[Mill_Unplanned_Down_h],"&lt;&gt;")&gt;0,cfg_HoursPerDay,0)</f>
        <v/>
      </c>
      <c r="EU214" s="57">
        <f>IF($B214=$B213,$EU213,0)+$ET214</f>
        <v/>
      </c>
      <c r="EV214" s="57">
        <f>$EV213+$ET214</f>
        <v/>
      </c>
      <c r="EW214" s="57">
        <f>SUMIFS(tblPlant[Crusher_Run_h],tblPlant[Date],$A214)</f>
        <v/>
      </c>
      <c r="EX214" s="57">
        <f>IF($B214=$B213,$EX213,0)+$EW214</f>
        <v/>
      </c>
      <c r="EY214" s="57">
        <f>$EY213+$EW214</f>
        <v/>
      </c>
      <c r="EZ214" s="55">
        <f>IFERROR(IF(($EK214)&gt;0,($DP214)/($EK214),""),"")</f>
        <v/>
      </c>
      <c r="FA214" s="55">
        <f>IFERROR(IF(($EL214)&gt;0,($DQ214)/($EL214),""),"")</f>
        <v/>
      </c>
      <c r="FB214" s="55">
        <f>IFERROR(IF(($EM214)&gt;0,($DR214)/($EM214),""),"")</f>
        <v/>
      </c>
      <c r="FC214" s="67">
        <f>IFERROR(IF(($ET214)&gt;0,($ET214-$EN214-$EQ214)/($ET214),""),"")</f>
        <v/>
      </c>
      <c r="FD214" s="67">
        <f>IFERROR(IF(($EU214)&gt;0,($EU214-$EO214-$ER214)/($EU214),""),"")</f>
        <v/>
      </c>
      <c r="FE214" s="67">
        <f>IFERROR(IF(($EV214)&gt;0,($EV214-$EP214-$ES214)/($EV214),""),"")</f>
        <v/>
      </c>
      <c r="FF214" s="67">
        <f>IFERROR(IF(($ET214-$EN214-$EQ214)&gt;0,($EK214)/($ET214-$EN214-$EQ214),""),"")</f>
        <v/>
      </c>
      <c r="FG214" s="67">
        <f>IFERROR(IF(($EU214-$EO214-$ER214)&gt;0,($EL214)/($EU214-$EO214-$ER214),""),"")</f>
        <v/>
      </c>
      <c r="FH214" s="67">
        <f>IFERROR(IF(($EV214-$EP214-$ES214)&gt;0,($EM214)/($EV214-$EP214-$ES214),""),"")</f>
        <v/>
      </c>
      <c r="FI214" s="55">
        <f>SUMIFS(tblPlant[Cyanide_kg],tblPlant[Date],$A214)</f>
        <v/>
      </c>
      <c r="FJ214" s="55">
        <f>IF($B214=$B213,$FJ213,0)+$FI214</f>
        <v/>
      </c>
      <c r="FK214" s="55">
        <f>$FK213+$FI214</f>
        <v/>
      </c>
      <c r="FL214" s="55">
        <f>SUMIFS(tblPlant[Lime_kg],tblPlant[Date],$A214)</f>
        <v/>
      </c>
      <c r="FM214" s="55">
        <f>IF($B214=$B213,$FM213,0)+$FL214</f>
        <v/>
      </c>
      <c r="FN214" s="55">
        <f>$FN213+$FL214</f>
        <v/>
      </c>
      <c r="FO214" s="55">
        <f>SUMIFS(tblPlant[Grinding_Media_kg],tblPlant[Date],$A214)</f>
        <v/>
      </c>
      <c r="FP214" s="55">
        <f>IF($B214=$B213,$FP213,0)+$FO214</f>
        <v/>
      </c>
      <c r="FQ214" s="55">
        <f>$FQ213+$FO214</f>
        <v/>
      </c>
      <c r="FR214" s="55">
        <f>SUMIFS(tblPlant[Power_kWh],tblPlant[Date],$A214)</f>
        <v/>
      </c>
      <c r="FS214" s="55">
        <f>IF($B214=$B213,$FS213,0)+$FR214</f>
        <v/>
      </c>
      <c r="FT214" s="55">
        <f>$FT213+$FR214</f>
        <v/>
      </c>
      <c r="FU214" s="55">
        <f>SUMIFS(tblPlant[Raw_Water_m3],tblPlant[Date],$A214)</f>
        <v/>
      </c>
      <c r="FV214" s="55">
        <f>IF($B214=$B213,$FV213,0)+$FU214</f>
        <v/>
      </c>
      <c r="FW214" s="55">
        <f>$FW213+$FU214</f>
        <v/>
      </c>
      <c r="FX214" s="56">
        <f>IFERROR(IF(($CU214)&gt;0,($FI214)/($CU214),""),"")</f>
        <v/>
      </c>
      <c r="FY214" s="56">
        <f>IFERROR(IF(($CV214)&gt;0,($FJ214)/($CV214),""),"")</f>
        <v/>
      </c>
      <c r="FZ214" s="56">
        <f>IFERROR(IF(($CW214)&gt;0,($FK214)/($CW214),""),"")</f>
        <v/>
      </c>
      <c r="GA214" s="56">
        <f>IFERROR(IF(($CU214)&gt;0,($FL214)/($CU214),""),"")</f>
        <v/>
      </c>
      <c r="GB214" s="56">
        <f>IFERROR(IF(($CV214)&gt;0,($FM214)/($CV214),""),"")</f>
        <v/>
      </c>
      <c r="GC214" s="56">
        <f>IFERROR(IF(($CW214)&gt;0,($FN214)/($CW214),""),"")</f>
        <v/>
      </c>
      <c r="GD214" s="56">
        <f>IFERROR(IF(($CU214)&gt;0,($FO214)/($CU214),""),"")</f>
        <v/>
      </c>
      <c r="GE214" s="56">
        <f>IFERROR(IF(($CV214)&gt;0,($FP214)/($CV214),""),"")</f>
        <v/>
      </c>
      <c r="GF214" s="56">
        <f>IFERROR(IF(($CW214)&gt;0,($FQ214)/($CW214),""),"")</f>
        <v/>
      </c>
      <c r="GG214" s="79">
        <f>IFERROR(IF(($CU214)&gt;0,($FR214)/($CU214),""),"")</f>
        <v/>
      </c>
      <c r="GH214" s="79">
        <f>IFERROR(IF(($CV214)&gt;0,($FS214)/($CV214),""),"")</f>
        <v/>
      </c>
      <c r="GI214" s="79">
        <f>IFERROR(IF(($CW214)&gt;0,($FT214)/($CW214),""),"")</f>
        <v/>
      </c>
      <c r="GJ214" s="56">
        <f>IFERROR(IF(($CU214)&gt;0,($FU214)/($CU214),""),"")</f>
        <v/>
      </c>
      <c r="GK214" s="56">
        <f>IFERROR(IF(($CV214)&gt;0,($FV214)/($CV214),""),"")</f>
        <v/>
      </c>
      <c r="GL214" s="56">
        <f>IFERROR(IF(($CW214)&gt;0,($FW214)/($CW214),""),"")</f>
        <v/>
      </c>
      <c r="GM214" s="55">
        <f>IF(SUMIFS(tblPlant[GIC_oz],tblPlant[Date],$A214)&gt;0,SUMIFS(tblPlant[GIC_oz],tblPlant[Date],$A214),"")</f>
        <v/>
      </c>
      <c r="GN214" s="55">
        <f>SUMIFS(tblGold[Gold_oz],tblGold[Date],$A214,tblGold[Type],"Shipment")</f>
        <v/>
      </c>
      <c r="GO214" s="55">
        <f>IF($B214=$B213,$GO213,0)+$GN214</f>
        <v/>
      </c>
      <c r="GP214" s="55">
        <f>$GP213+$GN214</f>
        <v/>
      </c>
      <c r="GQ214" s="55">
        <f>SUMIFS(tblGold[Gold_oz],tblGold[Date],$A214,tblGold[Type],"Sale")</f>
        <v/>
      </c>
      <c r="GR214" s="55">
        <f>IF($B214=$B213,$GR213,0)+$GQ214</f>
        <v/>
      </c>
      <c r="GS214" s="55">
        <f>$GS213+$GQ214</f>
        <v/>
      </c>
      <c r="GT214" s="55">
        <f>SUMIFS(tblGold[Dore_kg],tblGold[Date],$A214,tblGold[Type],"Shipment")</f>
        <v/>
      </c>
      <c r="GU214" s="55">
        <f>IF($B214=$B213,$GU213,0)+$GT214</f>
        <v/>
      </c>
      <c r="GV214" s="55">
        <f>$GV213+$GT214</f>
        <v/>
      </c>
      <c r="GW214" s="57">
        <f>SUMIFS(tblSafety[Hours_Total],tblSafety[Date],$A214)</f>
        <v/>
      </c>
      <c r="GX214" s="57">
        <f>IF($B214=$B213,$GX213,0)+$GW214</f>
        <v/>
      </c>
      <c r="GY214" s="57">
        <f>$GY213+$GW214</f>
        <v/>
      </c>
      <c r="GZ214" s="62">
        <f>SUMIFS(tblSafety[Fatality],tblSafety[Date],$A214)</f>
        <v/>
      </c>
      <c r="HA214" s="62">
        <f>IF($B214=$B213,$HA213,0)+$GZ214</f>
        <v/>
      </c>
      <c r="HB214" s="62">
        <f>$HB213+$GZ214</f>
        <v/>
      </c>
      <c r="HC214" s="62">
        <f>SUMIFS(tblSafety[LTI],tblSafety[Date],$A214)</f>
        <v/>
      </c>
      <c r="HD214" s="62">
        <f>IF($B214=$B213,$HD213,0)+$HC214</f>
        <v/>
      </c>
      <c r="HE214" s="62">
        <f>$HE213+$HC214</f>
        <v/>
      </c>
      <c r="HF214" s="62">
        <f>SUMIFS(tblSafety[RWI],tblSafety[Date],$A214)</f>
        <v/>
      </c>
      <c r="HG214" s="62">
        <f>IF($B214=$B213,$HG213,0)+$HF214</f>
        <v/>
      </c>
      <c r="HH214" s="62">
        <f>$HH213+$HF214</f>
        <v/>
      </c>
      <c r="HI214" s="62">
        <f>SUMIFS(tblSafety[MTI],tblSafety[Date],$A214)</f>
        <v/>
      </c>
      <c r="HJ214" s="62">
        <f>IF($B214=$B213,$HJ213,0)+$HI214</f>
        <v/>
      </c>
      <c r="HK214" s="62">
        <f>$HK213+$HI214</f>
        <v/>
      </c>
      <c r="HL214" s="62">
        <f>SUMIFS(tblSafety[FAI],tblSafety[Date],$A214)</f>
        <v/>
      </c>
      <c r="HM214" s="62">
        <f>IF($B214=$B213,$HM213,0)+$HL214</f>
        <v/>
      </c>
      <c r="HN214" s="62">
        <f>$HN213+$HL214</f>
        <v/>
      </c>
      <c r="HO214" s="62">
        <f>SUMIFS(tblSafety[Recordables],tblSafety[Date],$A214)</f>
        <v/>
      </c>
      <c r="HP214" s="62">
        <f>IF($B214=$B213,$HP213,0)+$HO214</f>
        <v/>
      </c>
      <c r="HQ214" s="62">
        <f>$HQ213+$HO214</f>
        <v/>
      </c>
      <c r="HR214" s="62">
        <f>SUMIFS(tblSafety[Near_Miss],tblSafety[Date],$A214)</f>
        <v/>
      </c>
      <c r="HS214" s="62">
        <f>IF($B214=$B213,$HS213,0)+$HR214</f>
        <v/>
      </c>
      <c r="HT214" s="62">
        <f>$HT213+$HR214</f>
        <v/>
      </c>
      <c r="HU214" s="62">
        <f>SUMIFS(tblSafety[Hazard_Reports],tblSafety[Date],$A214)</f>
        <v/>
      </c>
      <c r="HV214" s="62">
        <f>IF($B214=$B213,$HV213,0)+$HU214</f>
        <v/>
      </c>
      <c r="HW214" s="62">
        <f>$HW213+$HU214</f>
        <v/>
      </c>
      <c r="HX214" s="62">
        <f>SUMIFS(tblSafety[HPI],tblSafety[Date],$A214)</f>
        <v/>
      </c>
      <c r="HY214" s="62">
        <f>IF($B214=$B213,$HY213,0)+$HX214</f>
        <v/>
      </c>
      <c r="HZ214" s="62">
        <f>$HZ213+$HX214</f>
        <v/>
      </c>
      <c r="IA214" s="62">
        <f>SUMIFS(tblSafety[Env_Incidents],tblSafety[Date],$A214)</f>
        <v/>
      </c>
      <c r="IB214" s="62">
        <f>IF($B214=$B213,$IB213,0)+$IA214</f>
        <v/>
      </c>
      <c r="IC214" s="62">
        <f>$IC213+$IA214</f>
        <v/>
      </c>
      <c r="ID214" s="62">
        <f>SUMIFS(tblSafety[Community_Incidents],tblSafety[Date],$A214)</f>
        <v/>
      </c>
      <c r="IE214" s="62">
        <f>IF($B214=$B213,$IE213,0)+$ID214</f>
        <v/>
      </c>
      <c r="IF214" s="62">
        <f>$IF213+$ID214</f>
        <v/>
      </c>
      <c r="IG214" s="62">
        <f>SUMIFS(tblSafety[Vehicle_Incidents],tblSafety[Date],$A214)</f>
        <v/>
      </c>
      <c r="IH214" s="62">
        <f>IF($B214=$B213,$IH213,0)+$IG214</f>
        <v/>
      </c>
      <c r="II214" s="62">
        <f>$II213+$IG214</f>
        <v/>
      </c>
      <c r="IJ214" s="62">
        <f>SUMIFS(tblSafety[Toolbox_Talks],tblSafety[Date],$A214)</f>
        <v/>
      </c>
      <c r="IK214" s="62">
        <f>IF($B214=$B213,$IK213,0)+$IJ214</f>
        <v/>
      </c>
      <c r="IL214" s="62">
        <f>$IL213+$IJ214</f>
        <v/>
      </c>
      <c r="IM214" s="62">
        <f>SUMIFS(tblSafety[Inspections],tblSafety[Date],$A214)</f>
        <v/>
      </c>
      <c r="IN214" s="62">
        <f>IF($B214=$B213,$IN213,0)+$IM214</f>
        <v/>
      </c>
      <c r="IO214" s="62">
        <f>$IO213+$IM214</f>
        <v/>
      </c>
      <c r="IP214" s="56">
        <f>IFERROR((SUMIFS(tblSafety[Recordables],tblSafety[Date],"&gt;="&amp;EDATE($E214,-12),tblSafety[Date],"&lt;="&amp;$A214)+SUMIFS(tblSafetyHistory[Recordables],tblSafetyHistory[Month],"&gt;="&amp;EDATE($E214,-12),tblSafetyHistory[Month],"&lt;"&amp;$E214,tblSafetyHistory[Use],1))/(SUMIFS(tblSafety[Hours_Total],tblSafety[Date],"&gt;="&amp;EDATE($E214,-12),tblSafety[Date],"&lt;="&amp;$A214)+SUMIFS(tblSafetyHistory[Hours_Total],tblSafetyHistory[Month],"&gt;="&amp;EDATE($E214,-12),tblSafetyHistory[Month],"&lt;"&amp;$E214,tblSafetyHistory[Use],1))*cfg_RateBasisHours,"")</f>
        <v/>
      </c>
      <c r="IQ214" s="56">
        <f>IFERROR((SUMIFS(tblSafety[LTI],tblSafety[Date],"&gt;="&amp;EDATE($E214,-12),tblSafety[Date],"&lt;="&amp;$A214)+SUMIFS(tblSafetyHistory[LTI],tblSafetyHistory[Month],"&gt;="&amp;EDATE($E214,-12),tblSafetyHistory[Month],"&lt;"&amp;$E214,tblSafetyHistory[Use],1))/(SUMIFS(tblSafety[Hours_Total],tblSafety[Date],"&gt;="&amp;EDATE($E214,-12),tblSafety[Date],"&lt;="&amp;$A214)+SUMIFS(tblSafetyHistory[Hours_Total],tblSafetyHistory[Month],"&gt;="&amp;EDATE($E214,-12),tblSafetyHistory[Month],"&lt;"&amp;$E214,tblSafetyHistory[Use],1))*cfg_RateBasisHours,"")</f>
        <v/>
      </c>
      <c r="IR214" s="62">
        <f>IF(MAX(N(cfg_PriorLTIDate),_xlfn.MAXIFS(tblSafety[Date],tblSafety[LTI],"&gt;0",tblSafety[Date],"&lt;="&amp;$A214))=0,"",$A214-MAX(N(cfg_PriorLTIDate),_xlfn.MAXIFS(tblSafety[Date],tblSafety[LTI],"&gt;0",tblSafety[Date],"&lt;="&amp;$A214)))</f>
        <v/>
      </c>
      <c r="IS214" s="55">
        <f>SUMIFS(tblBudget[Ore_Mined_t],tblBudget[Month],$E214)</f>
        <v/>
      </c>
      <c r="IT214" s="55">
        <f>$IS214*$C214/$D214</f>
        <v/>
      </c>
      <c r="IU214" s="55">
        <f>SUMIFS(tblBudget[Ore_Mined_t],tblBudget[Month],"&lt;"&amp;$E214)+$IT214</f>
        <v/>
      </c>
      <c r="IV214" s="55">
        <f>SUMIFS(tblBudget[Ore_oz],tblBudget[Month],$E214)</f>
        <v/>
      </c>
      <c r="IW214" s="55">
        <f>$IV214*$C214/$D214</f>
        <v/>
      </c>
      <c r="IX214" s="55">
        <f>SUMIFS(tblBudget[Ore_oz],tblBudget[Month],"&lt;"&amp;$E214)+$IW214</f>
        <v/>
      </c>
      <c r="IY214" s="55">
        <f>SUMIFS(tblBudget[Ore_Mined_t],tblBudget[Month],$E214)</f>
        <v/>
      </c>
      <c r="IZ214" s="55">
        <f>$IY214*$C214/$D214</f>
        <v/>
      </c>
      <c r="JA214" s="55">
        <f>SUMIFS(tblBudget[Ore_Mined_t],tblBudget[Month],"&lt;"&amp;$E214)+$IZ214</f>
        <v/>
      </c>
      <c r="JB214" s="56">
        <f>IFERROR(IF(($IY214)&gt;0,($IV214*cfg_TroyOz)/($IY214),""),"")</f>
        <v/>
      </c>
      <c r="JC214" s="56">
        <f>IFERROR(IF(($IZ214)&gt;0,($IW214*cfg_TroyOz)/($IZ214),""),"")</f>
        <v/>
      </c>
      <c r="JD214" s="56">
        <f>IFERROR(IF(($JA214)&gt;0,($IX214*cfg_TroyOz)/($JA214),""),"")</f>
        <v/>
      </c>
      <c r="JE214" s="55">
        <f>SUMIFS(tblBudget[Waste_t],tblBudget[Month],$E214)</f>
        <v/>
      </c>
      <c r="JF214" s="55">
        <f>$JE214*$C214/$D214</f>
        <v/>
      </c>
      <c r="JG214" s="55">
        <f>SUMIFS(tblBudget[Waste_t],tblBudget[Month],"&lt;"&amp;$E214)+$JF214</f>
        <v/>
      </c>
      <c r="JH214" s="55">
        <f>SUMIFS(tblBudget[TMM_t],tblBudget[Month],$E214)</f>
        <v/>
      </c>
      <c r="JI214" s="55">
        <f>$JH214*$C214/$D214</f>
        <v/>
      </c>
      <c r="JJ214" s="55">
        <f>SUMIFS(tblBudget[TMM_t],tblBudget[Month],"&lt;"&amp;$E214)+$JI214</f>
        <v/>
      </c>
      <c r="JK214" s="56">
        <f>IFERROR(IF(($IS214)&gt;0,($JE214)/($IS214),""),"")</f>
        <v/>
      </c>
      <c r="JL214" s="56">
        <f>IFERROR(IF(($IT214)&gt;0,($JF214)/($IT214),""),"")</f>
        <v/>
      </c>
      <c r="JM214" s="56">
        <f>IFERROR(IF(($IU214)&gt;0,($JG214)/($IU214),""),"")</f>
        <v/>
      </c>
      <c r="JN214" s="55">
        <f>SUMIFS(tblBudget[Drill_m],tblBudget[Month],$E214)</f>
        <v/>
      </c>
      <c r="JO214" s="55">
        <f>$JN214*$C214/$D214</f>
        <v/>
      </c>
      <c r="JP214" s="55">
        <f>SUMIFS(tblBudget[Drill_m],tblBudget[Month],"&lt;"&amp;$E214)+$JO214</f>
        <v/>
      </c>
      <c r="JQ214" s="55">
        <f>SUMIFS(tblBudget[Diesel_L],tblBudget[Month],$E214)</f>
        <v/>
      </c>
      <c r="JR214" s="55">
        <f>$JQ214*$C214/$D214</f>
        <v/>
      </c>
      <c r="JS214" s="55">
        <f>SUMIFS(tblBudget[Diesel_L],tblBudget[Month],"&lt;"&amp;$E214)+$JR214</f>
        <v/>
      </c>
      <c r="JT214" s="55">
        <f>SUMIFS(tblBudget[Milled_t],tblBudget[Month],$E214)</f>
        <v/>
      </c>
      <c r="JU214" s="55">
        <f>$JT214*$C214/$D214</f>
        <v/>
      </c>
      <c r="JV214" s="55">
        <f>SUMIFS(tblBudget[Milled_t],tblBudget[Month],"&lt;"&amp;$E214)+$JU214</f>
        <v/>
      </c>
      <c r="JW214" s="55">
        <f>SUMIFS(tblBudget[Feed_oz],tblBudget[Month],$E214)</f>
        <v/>
      </c>
      <c r="JX214" s="55">
        <f>$JW214*$C214/$D214</f>
        <v/>
      </c>
      <c r="JY214" s="55">
        <f>SUMIFS(tblBudget[Feed_oz],tblBudget[Month],"&lt;"&amp;$E214)+$JX214</f>
        <v/>
      </c>
      <c r="JZ214" s="55">
        <f>SUMIFS(tblBudget[Recovered_oz],tblBudget[Month],$E214)</f>
        <v/>
      </c>
      <c r="KA214" s="55">
        <f>$JZ214*$C214/$D214</f>
        <v/>
      </c>
      <c r="KB214" s="55">
        <f>SUMIFS(tblBudget[Recovered_oz],tblBudget[Month],"&lt;"&amp;$E214)+$KA214</f>
        <v/>
      </c>
      <c r="KC214" s="55">
        <f>SUMIFS(tblBudget[Milled_t],tblBudget[Month],$E214)</f>
        <v/>
      </c>
      <c r="KD214" s="55">
        <f>$KC214*$C214/$D214</f>
        <v/>
      </c>
      <c r="KE214" s="55">
        <f>SUMIFS(tblBudget[Milled_t],tblBudget[Month],"&lt;"&amp;$E214)+$KD214</f>
        <v/>
      </c>
      <c r="KF214" s="55">
        <f>SUMIFS(tblBudget[Feed_oz],tblBudget[Month],$E214)</f>
        <v/>
      </c>
      <c r="KG214" s="55">
        <f>$KF214*$C214/$D214</f>
        <v/>
      </c>
      <c r="KH214" s="55">
        <f>SUMIFS(tblBudget[Feed_oz],tblBudget[Month],"&lt;"&amp;$E214)+$KG214</f>
        <v/>
      </c>
      <c r="KI214" s="56">
        <f>IFERROR(IF(($KC214)&gt;0,($JW214*cfg_TroyOz)/($KC214),""),"")</f>
        <v/>
      </c>
      <c r="KJ214" s="56">
        <f>IFERROR(IF(($KD214)&gt;0,($JX214*cfg_TroyOz)/($KD214),""),"")</f>
        <v/>
      </c>
      <c r="KK214" s="56">
        <f>IFERROR(IF(($KE214)&gt;0,($JY214*cfg_TroyOz)/($KE214),""),"")</f>
        <v/>
      </c>
      <c r="KL214" s="67">
        <f>IFERROR(IF(($KF214)&gt;0,($JZ214)/($KF214),""),"")</f>
        <v/>
      </c>
      <c r="KM214" s="67">
        <f>IFERROR(IF(($KG214)&gt;0,($KA214)/($KG214),""),"")</f>
        <v/>
      </c>
      <c r="KN214" s="67">
        <f>IFERROR(IF(($KH214)&gt;0,($KB214)/($KH214),""),"")</f>
        <v/>
      </c>
      <c r="KO214" s="55">
        <f>SUMIFS(tblBudget[Gold_Poured_oz],tblBudget[Month],$E214)</f>
        <v/>
      </c>
      <c r="KP214" s="55">
        <f>$KO214*$C214/$D214</f>
        <v/>
      </c>
      <c r="KQ214" s="55">
        <f>SUMIFS(tblBudget[Gold_Poured_oz],tblBudget[Month],"&lt;"&amp;$E214)+$KP214</f>
        <v/>
      </c>
      <c r="KR214" s="57">
        <f>SUMIFS(tblBudget[Hours_Worked],tblBudget[Month],$E214)</f>
        <v/>
      </c>
      <c r="KS214" s="57">
        <f>$KR214*$C214/$D214</f>
        <v/>
      </c>
      <c r="KT214" s="57">
        <f>SUMIFS(tblBudget[Hours_Worked],tblBudget[Month],"&lt;"&amp;$E214)+$KS214</f>
        <v/>
      </c>
    </row>
    <row r="215">
      <c r="A215" s="54" t="n">
        <v>46236</v>
      </c>
      <c r="B215">
        <f>MONTH($A215)</f>
        <v/>
      </c>
      <c r="C215">
        <f>DAY($A215)</f>
        <v/>
      </c>
      <c r="D215">
        <f>DAY(EOMONTH($A215,0))</f>
        <v/>
      </c>
      <c r="E215" s="54">
        <f>DATE(YEAR($A215),MONTH($A215),1)</f>
        <v/>
      </c>
      <c r="F215" s="55">
        <f>SUMIFS(tblMovement[Tonnes_t],tblMovement[Date],$A215,tblMovement[Is_Ore],1,tblMovement[Source_Type],"Pit")</f>
        <v/>
      </c>
      <c r="G215" s="55">
        <f>IF($B215=$B214,$G214,0)+$F215</f>
        <v/>
      </c>
      <c r="H215" s="55">
        <f>$H214+$F215</f>
        <v/>
      </c>
      <c r="I215" s="55">
        <f>SUMIFS(tblMovement[Ore_oz],tblMovement[Date],$A215,tblMovement[Source_Type],"Pit")</f>
        <v/>
      </c>
      <c r="J215" s="55">
        <f>IF($B215=$B214,$J214,0)+$I215</f>
        <v/>
      </c>
      <c r="K215" s="55">
        <f>$K214+$I215</f>
        <v/>
      </c>
      <c r="L215" s="55">
        <f>SUMIFS(tblMovement[Tonnes_t],tblMovement[Date],$A215,tblMovement[Is_Ore],1,tblMovement[Source_Type],"Pit",tblMovement[Grade_gpt],"&lt;&gt;")</f>
        <v/>
      </c>
      <c r="M215" s="55">
        <f>IF($B215=$B214,$M214,0)+$L215</f>
        <v/>
      </c>
      <c r="N215" s="55">
        <f>$N214+$L215</f>
        <v/>
      </c>
      <c r="O215" s="56">
        <f>IFERROR(IF(($L215)&gt;0,($I215*cfg_TroyOz)/($L215),""),"")</f>
        <v/>
      </c>
      <c r="P215" s="56">
        <f>IFERROR(IF(($M215)&gt;0,($J215*cfg_TroyOz)/($M215),""),"")</f>
        <v/>
      </c>
      <c r="Q215" s="56">
        <f>IFERROR(IF(($N215)&gt;0,($K215*cfg_TroyOz)/($N215),""),"")</f>
        <v/>
      </c>
      <c r="R215" s="55">
        <f>$F215-$L215</f>
        <v/>
      </c>
      <c r="S215" s="55">
        <f>IF($B215=$B214,$S214,0)+$R215</f>
        <v/>
      </c>
      <c r="T215" s="55">
        <f>$T214+$R215</f>
        <v/>
      </c>
      <c r="U215" s="55">
        <f>SUMIFS(tblMovement[Tonnes_t],tblMovement[Date],$A215,tblMovement[Is_Ore],0,tblMovement[Source_Type],"Pit")</f>
        <v/>
      </c>
      <c r="V215" s="55">
        <f>IF($B215=$B214,$V214,0)+$U215</f>
        <v/>
      </c>
      <c r="W215" s="55">
        <f>$W214+$U215</f>
        <v/>
      </c>
      <c r="X215" s="55">
        <f>$F215+$U215</f>
        <v/>
      </c>
      <c r="Y215" s="55">
        <f>IF($B215=$B214,$Y214,0)+$X215</f>
        <v/>
      </c>
      <c r="Z215" s="55">
        <f>$Z214+$X215</f>
        <v/>
      </c>
      <c r="AA215" s="56">
        <f>IFERROR(IF(($F215)&gt;0,($U215)/($F215),""),"")</f>
        <v/>
      </c>
      <c r="AB215" s="56">
        <f>IFERROR(IF(($G215)&gt;0,($V215)/($G215),""),"")</f>
        <v/>
      </c>
      <c r="AC215" s="56">
        <f>IFERROR(IF(($H215)&gt;0,($W215)/($H215),""),"")</f>
        <v/>
      </c>
      <c r="AD215" s="55">
        <f>SUMIFS(tblMovement[Tonnes_t],tblMovement[Date],$A215,tblMovement[Source_Type],"Stockpile")</f>
        <v/>
      </c>
      <c r="AE215" s="55">
        <f>IF($B215=$B214,$AE214,0)+$AD215</f>
        <v/>
      </c>
      <c r="AF215" s="55">
        <f>$AF214+$AD215</f>
        <v/>
      </c>
      <c r="AG215" s="55">
        <f>SUMIFS(tblMovement[Tonnes_t],tblMovement[Date],$A215)</f>
        <v/>
      </c>
      <c r="AH215" s="55">
        <f>IF($B215=$B214,$AH214,0)+$AG215</f>
        <v/>
      </c>
      <c r="AI215" s="55">
        <f>$AI214+$AG215</f>
        <v/>
      </c>
      <c r="AJ215" s="55">
        <f>$AG215-$X215-$AD215</f>
        <v/>
      </c>
      <c r="AK215" s="55">
        <f>IF($B215=$B214,$AK214,0)+$AJ215</f>
        <v/>
      </c>
      <c r="AL215" s="55">
        <f>$AL214+$AJ215</f>
        <v/>
      </c>
      <c r="AM215" s="55">
        <f>SUMIFS(tblMiningDaily[Drill_m],tblMiningDaily[Date],$A215)</f>
        <v/>
      </c>
      <c r="AN215" s="55">
        <f>IF($B215=$B214,$AN214,0)+$AM215</f>
        <v/>
      </c>
      <c r="AO215" s="55">
        <f>$AO214+$AM215</f>
        <v/>
      </c>
      <c r="AP215" s="55">
        <f>SUMIFS(tblMiningDaily[GC_Drill_m],tblMiningDaily[Date],$A215)</f>
        <v/>
      </c>
      <c r="AQ215" s="55">
        <f>IF($B215=$B214,$AQ214,0)+$AP215</f>
        <v/>
      </c>
      <c r="AR215" s="55">
        <f>$AR214+$AP215</f>
        <v/>
      </c>
      <c r="AS215" s="55">
        <f>SUMIFS(tblMiningDaily[Blast_t],tblMiningDaily[Date],$A215)</f>
        <v/>
      </c>
      <c r="AT215" s="55">
        <f>IF($B215=$B214,$AT214,0)+$AS215</f>
        <v/>
      </c>
      <c r="AU215" s="55">
        <f>$AU214+$AS215</f>
        <v/>
      </c>
      <c r="AV215" s="55">
        <f>SUMIFS(tblMiningDaily[Explosives_kg],tblMiningDaily[Date],$A215)</f>
        <v/>
      </c>
      <c r="AW215" s="55">
        <f>IF($B215=$B214,$AW214,0)+$AV215</f>
        <v/>
      </c>
      <c r="AX215" s="55">
        <f>$AX214+$AV215</f>
        <v/>
      </c>
      <c r="AY215" s="56">
        <f>IFERROR(IF(($AS215)&gt;0,($AV215)/($AS215),""),"")</f>
        <v/>
      </c>
      <c r="AZ215" s="56">
        <f>IFERROR(IF(($AT215)&gt;0,($AW215)/($AT215),""),"")</f>
        <v/>
      </c>
      <c r="BA215" s="56">
        <f>IFERROR(IF(($AU215)&gt;0,($AX215)/($AU215),""),"")</f>
        <v/>
      </c>
      <c r="BB215" s="55">
        <f>SUMIFS(tblMiningDaily[Diesel_L],tblMiningDaily[Date],$A215)</f>
        <v/>
      </c>
      <c r="BC215" s="55">
        <f>IF($B215=$B214,$BC214,0)+$BB215</f>
        <v/>
      </c>
      <c r="BD215" s="55">
        <f>$BD214+$BB215</f>
        <v/>
      </c>
      <c r="BE215" s="55">
        <f>SUMIFS(tblMiningDaily[Dewatering_m3],tblMiningDaily[Date],$A215)</f>
        <v/>
      </c>
      <c r="BF215" s="55">
        <f>IF($B215=$B214,$BF214,0)+$BE215</f>
        <v/>
      </c>
      <c r="BG215" s="55">
        <f>$BG214+$BE215</f>
        <v/>
      </c>
      <c r="BH215" s="57">
        <f>SUMIFS(tblFleet[Calendar_h],tblFleet[Date],$A215,tblFleet[Equipment_Class],"Excavator")</f>
        <v/>
      </c>
      <c r="BI215" s="57">
        <f>IF($B215=$B214,$BI214,0)+$BH215</f>
        <v/>
      </c>
      <c r="BJ215" s="57">
        <f>$BJ214+$BH215</f>
        <v/>
      </c>
      <c r="BK215" s="57">
        <f>SUMIFS(tblFleet[Available_h],tblFleet[Date],$A215,tblFleet[Equipment_Class],"Excavator")</f>
        <v/>
      </c>
      <c r="BL215" s="57">
        <f>IF($B215=$B214,$BL214,0)+$BK215</f>
        <v/>
      </c>
      <c r="BM215" s="57">
        <f>$BM214+$BK215</f>
        <v/>
      </c>
      <c r="BN215" s="57">
        <f>SUMIFS(tblFleet[Operating_h],tblFleet[Date],$A215,tblFleet[Equipment_Class],"Excavator")</f>
        <v/>
      </c>
      <c r="BO215" s="57">
        <f>IF($B215=$B214,$BO214,0)+$BN215</f>
        <v/>
      </c>
      <c r="BP215" s="57">
        <f>$BP214+$BN215</f>
        <v/>
      </c>
      <c r="BQ215" s="67">
        <f>IFERROR(IF(($BH215)&gt;0,($BK215)/($BH215),""),"")</f>
        <v/>
      </c>
      <c r="BR215" s="67">
        <f>IFERROR(IF(($BI215)&gt;0,($BL215)/($BI215),""),"")</f>
        <v/>
      </c>
      <c r="BS215" s="67">
        <f>IFERROR(IF(($BJ215)&gt;0,($BM215)/($BJ215),""),"")</f>
        <v/>
      </c>
      <c r="BT215" s="67">
        <f>IFERROR(IF(($BK215)&gt;0,($BN215)/($BK215),""),"")</f>
        <v/>
      </c>
      <c r="BU215" s="67">
        <f>IFERROR(IF(($BL215)&gt;0,($BO215)/($BL215),""),"")</f>
        <v/>
      </c>
      <c r="BV215" s="67">
        <f>IFERROR(IF(($BM215)&gt;0,($BP215)/($BM215),""),"")</f>
        <v/>
      </c>
      <c r="BW215" s="57">
        <f>SUMIFS(tblFleet[Calendar_h],tblFleet[Date],$A215,tblFleet[Equipment_Class],"Haul Truck")</f>
        <v/>
      </c>
      <c r="BX215" s="57">
        <f>IF($B215=$B214,$BX214,0)+$BW215</f>
        <v/>
      </c>
      <c r="BY215" s="57">
        <f>$BY214+$BW215</f>
        <v/>
      </c>
      <c r="BZ215" s="57">
        <f>SUMIFS(tblFleet[Available_h],tblFleet[Date],$A215,tblFleet[Equipment_Class],"Haul Truck")</f>
        <v/>
      </c>
      <c r="CA215" s="57">
        <f>IF($B215=$B214,$CA214,0)+$BZ215</f>
        <v/>
      </c>
      <c r="CB215" s="57">
        <f>$CB214+$BZ215</f>
        <v/>
      </c>
      <c r="CC215" s="57">
        <f>SUMIFS(tblFleet[Operating_h],tblFleet[Date],$A215,tblFleet[Equipment_Class],"Haul Truck")</f>
        <v/>
      </c>
      <c r="CD215" s="57">
        <f>IF($B215=$B214,$CD214,0)+$CC215</f>
        <v/>
      </c>
      <c r="CE215" s="57">
        <f>$CE214+$CC215</f>
        <v/>
      </c>
      <c r="CF215" s="67">
        <f>IFERROR(IF(($BW215)&gt;0,($BZ215)/($BW215),""),"")</f>
        <v/>
      </c>
      <c r="CG215" s="67">
        <f>IFERROR(IF(($BX215)&gt;0,($CA215)/($BX215),""),"")</f>
        <v/>
      </c>
      <c r="CH215" s="67">
        <f>IFERROR(IF(($BY215)&gt;0,($CB215)/($BY215),""),"")</f>
        <v/>
      </c>
      <c r="CI215" s="67">
        <f>IFERROR(IF(($BZ215)&gt;0,($CC215)/($BZ215),""),"")</f>
        <v/>
      </c>
      <c r="CJ215" s="67">
        <f>IFERROR(IF(($CA215)&gt;0,($CD215)/($CA215),""),"")</f>
        <v/>
      </c>
      <c r="CK215" s="67">
        <f>IFERROR(IF(($CB215)&gt;0,($CE215)/($CB215),""),"")</f>
        <v/>
      </c>
      <c r="CL215" s="55">
        <f>IFERROR(IF(($BN215)&gt;0,($X215+$AD215)/($BN215),""),"")</f>
        <v/>
      </c>
      <c r="CM215" s="55">
        <f>IFERROR(IF(($BO215)&gt;0,($Y215+$AE215)/($BO215),""),"")</f>
        <v/>
      </c>
      <c r="CN215" s="55">
        <f>IFERROR(IF(($BP215)&gt;0,($Z215+$AF215)/($BP215),""),"")</f>
        <v/>
      </c>
      <c r="CO215" s="55">
        <f>IFERROR(IF(($CC215)&gt;0,($X215+$AD215)/($CC215),""),"")</f>
        <v/>
      </c>
      <c r="CP215" s="55">
        <f>IFERROR(IF(($CD215)&gt;0,($Y215+$AE215)/($CD215),""),"")</f>
        <v/>
      </c>
      <c r="CQ215" s="55">
        <f>IFERROR(IF(($CE215)&gt;0,($Z215+$AF215)/($CE215),""),"")</f>
        <v/>
      </c>
      <c r="CR215" s="55">
        <f>SUMIFS(tblPlant[Crushed_t],tblPlant[Date],$A215)</f>
        <v/>
      </c>
      <c r="CS215" s="55">
        <f>IF($B215=$B214,$CS214,0)+$CR215</f>
        <v/>
      </c>
      <c r="CT215" s="55">
        <f>$CT214+$CR215</f>
        <v/>
      </c>
      <c r="CU215" s="55">
        <f>SUMIFS(tblPlant[Milled_t],tblPlant[Date],$A215)</f>
        <v/>
      </c>
      <c r="CV215" s="55">
        <f>IF($B215=$B214,$CV214,0)+$CU215</f>
        <v/>
      </c>
      <c r="CW215" s="55">
        <f>$CW214+$CU215</f>
        <v/>
      </c>
      <c r="CX215" s="55">
        <f>SUMIFS(tblPlant[Feed_oz],tblPlant[Date],$A215)</f>
        <v/>
      </c>
      <c r="CY215" s="55">
        <f>IF($B215=$B214,$CY214,0)+$CX215</f>
        <v/>
      </c>
      <c r="CZ215" s="55">
        <f>$CZ214+$CX215</f>
        <v/>
      </c>
      <c r="DA215" s="55">
        <f>SUMIFS(tblPlant[Tails_oz],tblPlant[Date],$A215)</f>
        <v/>
      </c>
      <c r="DB215" s="55">
        <f>IF($B215=$B214,$DB214,0)+$DA215</f>
        <v/>
      </c>
      <c r="DC215" s="55">
        <f>$DC214+$DA215</f>
        <v/>
      </c>
      <c r="DD215" s="55">
        <f>SUMIFS(tblPlant[Recovered_oz],tblPlant[Date],$A215)</f>
        <v/>
      </c>
      <c r="DE215" s="55">
        <f>IF($B215=$B214,$DE214,0)+$DD215</f>
        <v/>
      </c>
      <c r="DF215" s="55">
        <f>$DF214+$DD215</f>
        <v/>
      </c>
      <c r="DG215" s="55">
        <f>SUMIFS(tblPlant[Milled_t],tblPlant[Date],$A215,tblPlant[Head_Grade_gpt],"&lt;&gt;")</f>
        <v/>
      </c>
      <c r="DH215" s="55">
        <f>IF($B215=$B214,$DH214,0)+$DG215</f>
        <v/>
      </c>
      <c r="DI215" s="55">
        <f>$DI214+$DG215</f>
        <v/>
      </c>
      <c r="DJ215" s="55">
        <f>SUMIFS(tblPlant[Milled_t],tblPlant[Date],$A215,tblPlant[Tails_Grade_gpt],"&lt;&gt;")</f>
        <v/>
      </c>
      <c r="DK215" s="55">
        <f>IF($B215=$B214,$DK214,0)+$DJ215</f>
        <v/>
      </c>
      <c r="DL215" s="55">
        <f>$DL214+$DJ215</f>
        <v/>
      </c>
      <c r="DM215" s="55">
        <f>SUMIFS(tblPlant[Feed_oz],tblPlant[Date],$A215,tblPlant[Tails_Grade_gpt],"&lt;&gt;")</f>
        <v/>
      </c>
      <c r="DN215" s="55">
        <f>IF($B215=$B214,$DN214,0)+$DM215</f>
        <v/>
      </c>
      <c r="DO215" s="55">
        <f>$DO214+$DM215</f>
        <v/>
      </c>
      <c r="DP215" s="55">
        <f>SUMIFS(tblPlant[Milled_t],tblPlant[Date],$A215,tblPlant[Mill_Run_h],"&lt;&gt;")</f>
        <v/>
      </c>
      <c r="DQ215" s="55">
        <f>IF($B215=$B214,$DQ214,0)+$DP215</f>
        <v/>
      </c>
      <c r="DR215" s="55">
        <f>$DR214+$DP215</f>
        <v/>
      </c>
      <c r="DS215" s="56">
        <f>IFERROR(IF(($DG215)&gt;0,($CX215*cfg_TroyOz)/($DG215),""),"")</f>
        <v/>
      </c>
      <c r="DT215" s="56">
        <f>IFERROR(IF(($DH215)&gt;0,($CY215*cfg_TroyOz)/($DH215),""),"")</f>
        <v/>
      </c>
      <c r="DU215" s="56">
        <f>IFERROR(IF(($DI215)&gt;0,($CZ215*cfg_TroyOz)/($DI215),""),"")</f>
        <v/>
      </c>
      <c r="DV215" s="56">
        <f>IFERROR(IF(($DJ215)&gt;0,($DA215*cfg_TroyOz)/($DJ215),""),"")</f>
        <v/>
      </c>
      <c r="DW215" s="56">
        <f>IFERROR(IF(($DK215)&gt;0,($DB215*cfg_TroyOz)/($DK215),""),"")</f>
        <v/>
      </c>
      <c r="DX215" s="56">
        <f>IFERROR(IF(($DL215)&gt;0,($DC215*cfg_TroyOz)/($DL215),""),"")</f>
        <v/>
      </c>
      <c r="DY215" s="67">
        <f>IFERROR(IF(($DM215)&gt;0,($DD215)/($DM215),""),"")</f>
        <v/>
      </c>
      <c r="DZ215" s="67">
        <f>IFERROR(IF(($DN215)&gt;0,($DE215)/($DN215),""),"")</f>
        <v/>
      </c>
      <c r="EA215" s="67">
        <f>IFERROR(IF(($DO215)&gt;0,($DF215)/($DO215),""),"")</f>
        <v/>
      </c>
      <c r="EB215" s="55">
        <f>SUMIFS(tblPlant[Gravity_Gold_oz],tblPlant[Date],$A215)</f>
        <v/>
      </c>
      <c r="EC215" s="55">
        <f>IF($B215=$B214,$EC214,0)+$EB215</f>
        <v/>
      </c>
      <c r="ED215" s="55">
        <f>$ED214+$EB215</f>
        <v/>
      </c>
      <c r="EE215" s="67">
        <f>IFERROR(IF(($DD215)&gt;0,($EB215)/($DD215),""),"")</f>
        <v/>
      </c>
      <c r="EF215" s="67">
        <f>IFERROR(IF(($DE215)&gt;0,($EC215)/($DE215),""),"")</f>
        <v/>
      </c>
      <c r="EG215" s="67">
        <f>IFERROR(IF(($DF215)&gt;0,($ED215)/($DF215),""),"")</f>
        <v/>
      </c>
      <c r="EH215" s="55">
        <f>SUMIFS(tblPlant[Gold_Poured_oz],tblPlant[Date],$A215)</f>
        <v/>
      </c>
      <c r="EI215" s="55">
        <f>IF($B215=$B214,$EI214,0)+$EH215</f>
        <v/>
      </c>
      <c r="EJ215" s="55">
        <f>$EJ214+$EH215</f>
        <v/>
      </c>
      <c r="EK215" s="57">
        <f>SUMIFS(tblPlant[Mill_Run_h],tblPlant[Date],$A215)</f>
        <v/>
      </c>
      <c r="EL215" s="57">
        <f>IF($B215=$B214,$EL214,0)+$EK215</f>
        <v/>
      </c>
      <c r="EM215" s="57">
        <f>$EM214+$EK215</f>
        <v/>
      </c>
      <c r="EN215" s="57">
        <f>SUMIFS(tblPlant[Mill_Planned_Maint_h],tblPlant[Date],$A215)</f>
        <v/>
      </c>
      <c r="EO215" s="57">
        <f>IF($B215=$B214,$EO214,0)+$EN215</f>
        <v/>
      </c>
      <c r="EP215" s="57">
        <f>$EP214+$EN215</f>
        <v/>
      </c>
      <c r="EQ215" s="57">
        <f>SUMIFS(tblPlant[Mill_Unplanned_Down_h],tblPlant[Date],$A215)</f>
        <v/>
      </c>
      <c r="ER215" s="57">
        <f>IF($B215=$B214,$ER214,0)+$EQ215</f>
        <v/>
      </c>
      <c r="ES215" s="57">
        <f>$ES214+$EQ215</f>
        <v/>
      </c>
      <c r="ET215" s="57">
        <f>IF(COUNTIFS(tblPlant[Date],$A215,tblPlant[Mill_Run_h],"&lt;&gt;")+COUNTIFS(tblPlant[Date],$A215,tblPlant[Mill_Planned_Maint_h],"&lt;&gt;")+COUNTIFS(tblPlant[Date],$A215,tblPlant[Mill_Unplanned_Down_h],"&lt;&gt;")&gt;0,cfg_HoursPerDay,0)</f>
        <v/>
      </c>
      <c r="EU215" s="57">
        <f>IF($B215=$B214,$EU214,0)+$ET215</f>
        <v/>
      </c>
      <c r="EV215" s="57">
        <f>$EV214+$ET215</f>
        <v/>
      </c>
      <c r="EW215" s="57">
        <f>SUMIFS(tblPlant[Crusher_Run_h],tblPlant[Date],$A215)</f>
        <v/>
      </c>
      <c r="EX215" s="57">
        <f>IF($B215=$B214,$EX214,0)+$EW215</f>
        <v/>
      </c>
      <c r="EY215" s="57">
        <f>$EY214+$EW215</f>
        <v/>
      </c>
      <c r="EZ215" s="55">
        <f>IFERROR(IF(($EK215)&gt;0,($DP215)/($EK215),""),"")</f>
        <v/>
      </c>
      <c r="FA215" s="55">
        <f>IFERROR(IF(($EL215)&gt;0,($DQ215)/($EL215),""),"")</f>
        <v/>
      </c>
      <c r="FB215" s="55">
        <f>IFERROR(IF(($EM215)&gt;0,($DR215)/($EM215),""),"")</f>
        <v/>
      </c>
      <c r="FC215" s="67">
        <f>IFERROR(IF(($ET215)&gt;0,($ET215-$EN215-$EQ215)/($ET215),""),"")</f>
        <v/>
      </c>
      <c r="FD215" s="67">
        <f>IFERROR(IF(($EU215)&gt;0,($EU215-$EO215-$ER215)/($EU215),""),"")</f>
        <v/>
      </c>
      <c r="FE215" s="67">
        <f>IFERROR(IF(($EV215)&gt;0,($EV215-$EP215-$ES215)/($EV215),""),"")</f>
        <v/>
      </c>
      <c r="FF215" s="67">
        <f>IFERROR(IF(($ET215-$EN215-$EQ215)&gt;0,($EK215)/($ET215-$EN215-$EQ215),""),"")</f>
        <v/>
      </c>
      <c r="FG215" s="67">
        <f>IFERROR(IF(($EU215-$EO215-$ER215)&gt;0,($EL215)/($EU215-$EO215-$ER215),""),"")</f>
        <v/>
      </c>
      <c r="FH215" s="67">
        <f>IFERROR(IF(($EV215-$EP215-$ES215)&gt;0,($EM215)/($EV215-$EP215-$ES215),""),"")</f>
        <v/>
      </c>
      <c r="FI215" s="55">
        <f>SUMIFS(tblPlant[Cyanide_kg],tblPlant[Date],$A215)</f>
        <v/>
      </c>
      <c r="FJ215" s="55">
        <f>IF($B215=$B214,$FJ214,0)+$FI215</f>
        <v/>
      </c>
      <c r="FK215" s="55">
        <f>$FK214+$FI215</f>
        <v/>
      </c>
      <c r="FL215" s="55">
        <f>SUMIFS(tblPlant[Lime_kg],tblPlant[Date],$A215)</f>
        <v/>
      </c>
      <c r="FM215" s="55">
        <f>IF($B215=$B214,$FM214,0)+$FL215</f>
        <v/>
      </c>
      <c r="FN215" s="55">
        <f>$FN214+$FL215</f>
        <v/>
      </c>
      <c r="FO215" s="55">
        <f>SUMIFS(tblPlant[Grinding_Media_kg],tblPlant[Date],$A215)</f>
        <v/>
      </c>
      <c r="FP215" s="55">
        <f>IF($B215=$B214,$FP214,0)+$FO215</f>
        <v/>
      </c>
      <c r="FQ215" s="55">
        <f>$FQ214+$FO215</f>
        <v/>
      </c>
      <c r="FR215" s="55">
        <f>SUMIFS(tblPlant[Power_kWh],tblPlant[Date],$A215)</f>
        <v/>
      </c>
      <c r="FS215" s="55">
        <f>IF($B215=$B214,$FS214,0)+$FR215</f>
        <v/>
      </c>
      <c r="FT215" s="55">
        <f>$FT214+$FR215</f>
        <v/>
      </c>
      <c r="FU215" s="55">
        <f>SUMIFS(tblPlant[Raw_Water_m3],tblPlant[Date],$A215)</f>
        <v/>
      </c>
      <c r="FV215" s="55">
        <f>IF($B215=$B214,$FV214,0)+$FU215</f>
        <v/>
      </c>
      <c r="FW215" s="55">
        <f>$FW214+$FU215</f>
        <v/>
      </c>
      <c r="FX215" s="56">
        <f>IFERROR(IF(($CU215)&gt;0,($FI215)/($CU215),""),"")</f>
        <v/>
      </c>
      <c r="FY215" s="56">
        <f>IFERROR(IF(($CV215)&gt;0,($FJ215)/($CV215),""),"")</f>
        <v/>
      </c>
      <c r="FZ215" s="56">
        <f>IFERROR(IF(($CW215)&gt;0,($FK215)/($CW215),""),"")</f>
        <v/>
      </c>
      <c r="GA215" s="56">
        <f>IFERROR(IF(($CU215)&gt;0,($FL215)/($CU215),""),"")</f>
        <v/>
      </c>
      <c r="GB215" s="56">
        <f>IFERROR(IF(($CV215)&gt;0,($FM215)/($CV215),""),"")</f>
        <v/>
      </c>
      <c r="GC215" s="56">
        <f>IFERROR(IF(($CW215)&gt;0,($FN215)/($CW215),""),"")</f>
        <v/>
      </c>
      <c r="GD215" s="56">
        <f>IFERROR(IF(($CU215)&gt;0,($FO215)/($CU215),""),"")</f>
        <v/>
      </c>
      <c r="GE215" s="56">
        <f>IFERROR(IF(($CV215)&gt;0,($FP215)/($CV215),""),"")</f>
        <v/>
      </c>
      <c r="GF215" s="56">
        <f>IFERROR(IF(($CW215)&gt;0,($FQ215)/($CW215),""),"")</f>
        <v/>
      </c>
      <c r="GG215" s="79">
        <f>IFERROR(IF(($CU215)&gt;0,($FR215)/($CU215),""),"")</f>
        <v/>
      </c>
      <c r="GH215" s="79">
        <f>IFERROR(IF(($CV215)&gt;0,($FS215)/($CV215),""),"")</f>
        <v/>
      </c>
      <c r="GI215" s="79">
        <f>IFERROR(IF(($CW215)&gt;0,($FT215)/($CW215),""),"")</f>
        <v/>
      </c>
      <c r="GJ215" s="56">
        <f>IFERROR(IF(($CU215)&gt;0,($FU215)/($CU215),""),"")</f>
        <v/>
      </c>
      <c r="GK215" s="56">
        <f>IFERROR(IF(($CV215)&gt;0,($FV215)/($CV215),""),"")</f>
        <v/>
      </c>
      <c r="GL215" s="56">
        <f>IFERROR(IF(($CW215)&gt;0,($FW215)/($CW215),""),"")</f>
        <v/>
      </c>
      <c r="GM215" s="55">
        <f>IF(SUMIFS(tblPlant[GIC_oz],tblPlant[Date],$A215)&gt;0,SUMIFS(tblPlant[GIC_oz],tblPlant[Date],$A215),"")</f>
        <v/>
      </c>
      <c r="GN215" s="55">
        <f>SUMIFS(tblGold[Gold_oz],tblGold[Date],$A215,tblGold[Type],"Shipment")</f>
        <v/>
      </c>
      <c r="GO215" s="55">
        <f>IF($B215=$B214,$GO214,0)+$GN215</f>
        <v/>
      </c>
      <c r="GP215" s="55">
        <f>$GP214+$GN215</f>
        <v/>
      </c>
      <c r="GQ215" s="55">
        <f>SUMIFS(tblGold[Gold_oz],tblGold[Date],$A215,tblGold[Type],"Sale")</f>
        <v/>
      </c>
      <c r="GR215" s="55">
        <f>IF($B215=$B214,$GR214,0)+$GQ215</f>
        <v/>
      </c>
      <c r="GS215" s="55">
        <f>$GS214+$GQ215</f>
        <v/>
      </c>
      <c r="GT215" s="55">
        <f>SUMIFS(tblGold[Dore_kg],tblGold[Date],$A215,tblGold[Type],"Shipment")</f>
        <v/>
      </c>
      <c r="GU215" s="55">
        <f>IF($B215=$B214,$GU214,0)+$GT215</f>
        <v/>
      </c>
      <c r="GV215" s="55">
        <f>$GV214+$GT215</f>
        <v/>
      </c>
      <c r="GW215" s="57">
        <f>SUMIFS(tblSafety[Hours_Total],tblSafety[Date],$A215)</f>
        <v/>
      </c>
      <c r="GX215" s="57">
        <f>IF($B215=$B214,$GX214,0)+$GW215</f>
        <v/>
      </c>
      <c r="GY215" s="57">
        <f>$GY214+$GW215</f>
        <v/>
      </c>
      <c r="GZ215" s="62">
        <f>SUMIFS(tblSafety[Fatality],tblSafety[Date],$A215)</f>
        <v/>
      </c>
      <c r="HA215" s="62">
        <f>IF($B215=$B214,$HA214,0)+$GZ215</f>
        <v/>
      </c>
      <c r="HB215" s="62">
        <f>$HB214+$GZ215</f>
        <v/>
      </c>
      <c r="HC215" s="62">
        <f>SUMIFS(tblSafety[LTI],tblSafety[Date],$A215)</f>
        <v/>
      </c>
      <c r="HD215" s="62">
        <f>IF($B215=$B214,$HD214,0)+$HC215</f>
        <v/>
      </c>
      <c r="HE215" s="62">
        <f>$HE214+$HC215</f>
        <v/>
      </c>
      <c r="HF215" s="62">
        <f>SUMIFS(tblSafety[RWI],tblSafety[Date],$A215)</f>
        <v/>
      </c>
      <c r="HG215" s="62">
        <f>IF($B215=$B214,$HG214,0)+$HF215</f>
        <v/>
      </c>
      <c r="HH215" s="62">
        <f>$HH214+$HF215</f>
        <v/>
      </c>
      <c r="HI215" s="62">
        <f>SUMIFS(tblSafety[MTI],tblSafety[Date],$A215)</f>
        <v/>
      </c>
      <c r="HJ215" s="62">
        <f>IF($B215=$B214,$HJ214,0)+$HI215</f>
        <v/>
      </c>
      <c r="HK215" s="62">
        <f>$HK214+$HI215</f>
        <v/>
      </c>
      <c r="HL215" s="62">
        <f>SUMIFS(tblSafety[FAI],tblSafety[Date],$A215)</f>
        <v/>
      </c>
      <c r="HM215" s="62">
        <f>IF($B215=$B214,$HM214,0)+$HL215</f>
        <v/>
      </c>
      <c r="HN215" s="62">
        <f>$HN214+$HL215</f>
        <v/>
      </c>
      <c r="HO215" s="62">
        <f>SUMIFS(tblSafety[Recordables],tblSafety[Date],$A215)</f>
        <v/>
      </c>
      <c r="HP215" s="62">
        <f>IF($B215=$B214,$HP214,0)+$HO215</f>
        <v/>
      </c>
      <c r="HQ215" s="62">
        <f>$HQ214+$HO215</f>
        <v/>
      </c>
      <c r="HR215" s="62">
        <f>SUMIFS(tblSafety[Near_Miss],tblSafety[Date],$A215)</f>
        <v/>
      </c>
      <c r="HS215" s="62">
        <f>IF($B215=$B214,$HS214,0)+$HR215</f>
        <v/>
      </c>
      <c r="HT215" s="62">
        <f>$HT214+$HR215</f>
        <v/>
      </c>
      <c r="HU215" s="62">
        <f>SUMIFS(tblSafety[Hazard_Reports],tblSafety[Date],$A215)</f>
        <v/>
      </c>
      <c r="HV215" s="62">
        <f>IF($B215=$B214,$HV214,0)+$HU215</f>
        <v/>
      </c>
      <c r="HW215" s="62">
        <f>$HW214+$HU215</f>
        <v/>
      </c>
      <c r="HX215" s="62">
        <f>SUMIFS(tblSafety[HPI],tblSafety[Date],$A215)</f>
        <v/>
      </c>
      <c r="HY215" s="62">
        <f>IF($B215=$B214,$HY214,0)+$HX215</f>
        <v/>
      </c>
      <c r="HZ215" s="62">
        <f>$HZ214+$HX215</f>
        <v/>
      </c>
      <c r="IA215" s="62">
        <f>SUMIFS(tblSafety[Env_Incidents],tblSafety[Date],$A215)</f>
        <v/>
      </c>
      <c r="IB215" s="62">
        <f>IF($B215=$B214,$IB214,0)+$IA215</f>
        <v/>
      </c>
      <c r="IC215" s="62">
        <f>$IC214+$IA215</f>
        <v/>
      </c>
      <c r="ID215" s="62">
        <f>SUMIFS(tblSafety[Community_Incidents],tblSafety[Date],$A215)</f>
        <v/>
      </c>
      <c r="IE215" s="62">
        <f>IF($B215=$B214,$IE214,0)+$ID215</f>
        <v/>
      </c>
      <c r="IF215" s="62">
        <f>$IF214+$ID215</f>
        <v/>
      </c>
      <c r="IG215" s="62">
        <f>SUMIFS(tblSafety[Vehicle_Incidents],tblSafety[Date],$A215)</f>
        <v/>
      </c>
      <c r="IH215" s="62">
        <f>IF($B215=$B214,$IH214,0)+$IG215</f>
        <v/>
      </c>
      <c r="II215" s="62">
        <f>$II214+$IG215</f>
        <v/>
      </c>
      <c r="IJ215" s="62">
        <f>SUMIFS(tblSafety[Toolbox_Talks],tblSafety[Date],$A215)</f>
        <v/>
      </c>
      <c r="IK215" s="62">
        <f>IF($B215=$B214,$IK214,0)+$IJ215</f>
        <v/>
      </c>
      <c r="IL215" s="62">
        <f>$IL214+$IJ215</f>
        <v/>
      </c>
      <c r="IM215" s="62">
        <f>SUMIFS(tblSafety[Inspections],tblSafety[Date],$A215)</f>
        <v/>
      </c>
      <c r="IN215" s="62">
        <f>IF($B215=$B214,$IN214,0)+$IM215</f>
        <v/>
      </c>
      <c r="IO215" s="62">
        <f>$IO214+$IM215</f>
        <v/>
      </c>
      <c r="IP215" s="56">
        <f>IFERROR((SUMIFS(tblSafety[Recordables],tblSafety[Date],"&gt;="&amp;EDATE($E215,-12),tblSafety[Date],"&lt;="&amp;$A215)+SUMIFS(tblSafetyHistory[Recordables],tblSafetyHistory[Month],"&gt;="&amp;EDATE($E215,-12),tblSafetyHistory[Month],"&lt;"&amp;$E215,tblSafetyHistory[Use],1))/(SUMIFS(tblSafety[Hours_Total],tblSafety[Date],"&gt;="&amp;EDATE($E215,-12),tblSafety[Date],"&lt;="&amp;$A215)+SUMIFS(tblSafetyHistory[Hours_Total],tblSafetyHistory[Month],"&gt;="&amp;EDATE($E215,-12),tblSafetyHistory[Month],"&lt;"&amp;$E215,tblSafetyHistory[Use],1))*cfg_RateBasisHours,"")</f>
        <v/>
      </c>
      <c r="IQ215" s="56">
        <f>IFERROR((SUMIFS(tblSafety[LTI],tblSafety[Date],"&gt;="&amp;EDATE($E215,-12),tblSafety[Date],"&lt;="&amp;$A215)+SUMIFS(tblSafetyHistory[LTI],tblSafetyHistory[Month],"&gt;="&amp;EDATE($E215,-12),tblSafetyHistory[Month],"&lt;"&amp;$E215,tblSafetyHistory[Use],1))/(SUMIFS(tblSafety[Hours_Total],tblSafety[Date],"&gt;="&amp;EDATE($E215,-12),tblSafety[Date],"&lt;="&amp;$A215)+SUMIFS(tblSafetyHistory[Hours_Total],tblSafetyHistory[Month],"&gt;="&amp;EDATE($E215,-12),tblSafetyHistory[Month],"&lt;"&amp;$E215,tblSafetyHistory[Use],1))*cfg_RateBasisHours,"")</f>
        <v/>
      </c>
      <c r="IR215" s="62">
        <f>IF(MAX(N(cfg_PriorLTIDate),_xlfn.MAXIFS(tblSafety[Date],tblSafety[LTI],"&gt;0",tblSafety[Date],"&lt;="&amp;$A215))=0,"",$A215-MAX(N(cfg_PriorLTIDate),_xlfn.MAXIFS(tblSafety[Date],tblSafety[LTI],"&gt;0",tblSafety[Date],"&lt;="&amp;$A215)))</f>
        <v/>
      </c>
      <c r="IS215" s="55">
        <f>SUMIFS(tblBudget[Ore_Mined_t],tblBudget[Month],$E215)</f>
        <v/>
      </c>
      <c r="IT215" s="55">
        <f>$IS215*$C215/$D215</f>
        <v/>
      </c>
      <c r="IU215" s="55">
        <f>SUMIFS(tblBudget[Ore_Mined_t],tblBudget[Month],"&lt;"&amp;$E215)+$IT215</f>
        <v/>
      </c>
      <c r="IV215" s="55">
        <f>SUMIFS(tblBudget[Ore_oz],tblBudget[Month],$E215)</f>
        <v/>
      </c>
      <c r="IW215" s="55">
        <f>$IV215*$C215/$D215</f>
        <v/>
      </c>
      <c r="IX215" s="55">
        <f>SUMIFS(tblBudget[Ore_oz],tblBudget[Month],"&lt;"&amp;$E215)+$IW215</f>
        <v/>
      </c>
      <c r="IY215" s="55">
        <f>SUMIFS(tblBudget[Ore_Mined_t],tblBudget[Month],$E215)</f>
        <v/>
      </c>
      <c r="IZ215" s="55">
        <f>$IY215*$C215/$D215</f>
        <v/>
      </c>
      <c r="JA215" s="55">
        <f>SUMIFS(tblBudget[Ore_Mined_t],tblBudget[Month],"&lt;"&amp;$E215)+$IZ215</f>
        <v/>
      </c>
      <c r="JB215" s="56">
        <f>IFERROR(IF(($IY215)&gt;0,($IV215*cfg_TroyOz)/($IY215),""),"")</f>
        <v/>
      </c>
      <c r="JC215" s="56">
        <f>IFERROR(IF(($IZ215)&gt;0,($IW215*cfg_TroyOz)/($IZ215),""),"")</f>
        <v/>
      </c>
      <c r="JD215" s="56">
        <f>IFERROR(IF(($JA215)&gt;0,($IX215*cfg_TroyOz)/($JA215),""),"")</f>
        <v/>
      </c>
      <c r="JE215" s="55">
        <f>SUMIFS(tblBudget[Waste_t],tblBudget[Month],$E215)</f>
        <v/>
      </c>
      <c r="JF215" s="55">
        <f>$JE215*$C215/$D215</f>
        <v/>
      </c>
      <c r="JG215" s="55">
        <f>SUMIFS(tblBudget[Waste_t],tblBudget[Month],"&lt;"&amp;$E215)+$JF215</f>
        <v/>
      </c>
      <c r="JH215" s="55">
        <f>SUMIFS(tblBudget[TMM_t],tblBudget[Month],$E215)</f>
        <v/>
      </c>
      <c r="JI215" s="55">
        <f>$JH215*$C215/$D215</f>
        <v/>
      </c>
      <c r="JJ215" s="55">
        <f>SUMIFS(tblBudget[TMM_t],tblBudget[Month],"&lt;"&amp;$E215)+$JI215</f>
        <v/>
      </c>
      <c r="JK215" s="56">
        <f>IFERROR(IF(($IS215)&gt;0,($JE215)/($IS215),""),"")</f>
        <v/>
      </c>
      <c r="JL215" s="56">
        <f>IFERROR(IF(($IT215)&gt;0,($JF215)/($IT215),""),"")</f>
        <v/>
      </c>
      <c r="JM215" s="56">
        <f>IFERROR(IF(($IU215)&gt;0,($JG215)/($IU215),""),"")</f>
        <v/>
      </c>
      <c r="JN215" s="55">
        <f>SUMIFS(tblBudget[Drill_m],tblBudget[Month],$E215)</f>
        <v/>
      </c>
      <c r="JO215" s="55">
        <f>$JN215*$C215/$D215</f>
        <v/>
      </c>
      <c r="JP215" s="55">
        <f>SUMIFS(tblBudget[Drill_m],tblBudget[Month],"&lt;"&amp;$E215)+$JO215</f>
        <v/>
      </c>
      <c r="JQ215" s="55">
        <f>SUMIFS(tblBudget[Diesel_L],tblBudget[Month],$E215)</f>
        <v/>
      </c>
      <c r="JR215" s="55">
        <f>$JQ215*$C215/$D215</f>
        <v/>
      </c>
      <c r="JS215" s="55">
        <f>SUMIFS(tblBudget[Diesel_L],tblBudget[Month],"&lt;"&amp;$E215)+$JR215</f>
        <v/>
      </c>
      <c r="JT215" s="55">
        <f>SUMIFS(tblBudget[Milled_t],tblBudget[Month],$E215)</f>
        <v/>
      </c>
      <c r="JU215" s="55">
        <f>$JT215*$C215/$D215</f>
        <v/>
      </c>
      <c r="JV215" s="55">
        <f>SUMIFS(tblBudget[Milled_t],tblBudget[Month],"&lt;"&amp;$E215)+$JU215</f>
        <v/>
      </c>
      <c r="JW215" s="55">
        <f>SUMIFS(tblBudget[Feed_oz],tblBudget[Month],$E215)</f>
        <v/>
      </c>
      <c r="JX215" s="55">
        <f>$JW215*$C215/$D215</f>
        <v/>
      </c>
      <c r="JY215" s="55">
        <f>SUMIFS(tblBudget[Feed_oz],tblBudget[Month],"&lt;"&amp;$E215)+$JX215</f>
        <v/>
      </c>
      <c r="JZ215" s="55">
        <f>SUMIFS(tblBudget[Recovered_oz],tblBudget[Month],$E215)</f>
        <v/>
      </c>
      <c r="KA215" s="55">
        <f>$JZ215*$C215/$D215</f>
        <v/>
      </c>
      <c r="KB215" s="55">
        <f>SUMIFS(tblBudget[Recovered_oz],tblBudget[Month],"&lt;"&amp;$E215)+$KA215</f>
        <v/>
      </c>
      <c r="KC215" s="55">
        <f>SUMIFS(tblBudget[Milled_t],tblBudget[Month],$E215)</f>
        <v/>
      </c>
      <c r="KD215" s="55">
        <f>$KC215*$C215/$D215</f>
        <v/>
      </c>
      <c r="KE215" s="55">
        <f>SUMIFS(tblBudget[Milled_t],tblBudget[Month],"&lt;"&amp;$E215)+$KD215</f>
        <v/>
      </c>
      <c r="KF215" s="55">
        <f>SUMIFS(tblBudget[Feed_oz],tblBudget[Month],$E215)</f>
        <v/>
      </c>
      <c r="KG215" s="55">
        <f>$KF215*$C215/$D215</f>
        <v/>
      </c>
      <c r="KH215" s="55">
        <f>SUMIFS(tblBudget[Feed_oz],tblBudget[Month],"&lt;"&amp;$E215)+$KG215</f>
        <v/>
      </c>
      <c r="KI215" s="56">
        <f>IFERROR(IF(($KC215)&gt;0,($JW215*cfg_TroyOz)/($KC215),""),"")</f>
        <v/>
      </c>
      <c r="KJ215" s="56">
        <f>IFERROR(IF(($KD215)&gt;0,($JX215*cfg_TroyOz)/($KD215),""),"")</f>
        <v/>
      </c>
      <c r="KK215" s="56">
        <f>IFERROR(IF(($KE215)&gt;0,($JY215*cfg_TroyOz)/($KE215),""),"")</f>
        <v/>
      </c>
      <c r="KL215" s="67">
        <f>IFERROR(IF(($KF215)&gt;0,($JZ215)/($KF215),""),"")</f>
        <v/>
      </c>
      <c r="KM215" s="67">
        <f>IFERROR(IF(($KG215)&gt;0,($KA215)/($KG215),""),"")</f>
        <v/>
      </c>
      <c r="KN215" s="67">
        <f>IFERROR(IF(($KH215)&gt;0,($KB215)/($KH215),""),"")</f>
        <v/>
      </c>
      <c r="KO215" s="55">
        <f>SUMIFS(tblBudget[Gold_Poured_oz],tblBudget[Month],$E215)</f>
        <v/>
      </c>
      <c r="KP215" s="55">
        <f>$KO215*$C215/$D215</f>
        <v/>
      </c>
      <c r="KQ215" s="55">
        <f>SUMIFS(tblBudget[Gold_Poured_oz],tblBudget[Month],"&lt;"&amp;$E215)+$KP215</f>
        <v/>
      </c>
      <c r="KR215" s="57">
        <f>SUMIFS(tblBudget[Hours_Worked],tblBudget[Month],$E215)</f>
        <v/>
      </c>
      <c r="KS215" s="57">
        <f>$KR215*$C215/$D215</f>
        <v/>
      </c>
      <c r="KT215" s="57">
        <f>SUMIFS(tblBudget[Hours_Worked],tblBudget[Month],"&lt;"&amp;$E215)+$KS215</f>
        <v/>
      </c>
    </row>
    <row r="216">
      <c r="A216" s="54" t="n">
        <v>46237</v>
      </c>
      <c r="B216">
        <f>MONTH($A216)</f>
        <v/>
      </c>
      <c r="C216">
        <f>DAY($A216)</f>
        <v/>
      </c>
      <c r="D216">
        <f>DAY(EOMONTH($A216,0))</f>
        <v/>
      </c>
      <c r="E216" s="54">
        <f>DATE(YEAR($A216),MONTH($A216),1)</f>
        <v/>
      </c>
      <c r="F216" s="55">
        <f>SUMIFS(tblMovement[Tonnes_t],tblMovement[Date],$A216,tblMovement[Is_Ore],1,tblMovement[Source_Type],"Pit")</f>
        <v/>
      </c>
      <c r="G216" s="55">
        <f>IF($B216=$B215,$G215,0)+$F216</f>
        <v/>
      </c>
      <c r="H216" s="55">
        <f>$H215+$F216</f>
        <v/>
      </c>
      <c r="I216" s="55">
        <f>SUMIFS(tblMovement[Ore_oz],tblMovement[Date],$A216,tblMovement[Source_Type],"Pit")</f>
        <v/>
      </c>
      <c r="J216" s="55">
        <f>IF($B216=$B215,$J215,0)+$I216</f>
        <v/>
      </c>
      <c r="K216" s="55">
        <f>$K215+$I216</f>
        <v/>
      </c>
      <c r="L216" s="55">
        <f>SUMIFS(tblMovement[Tonnes_t],tblMovement[Date],$A216,tblMovement[Is_Ore],1,tblMovement[Source_Type],"Pit",tblMovement[Grade_gpt],"&lt;&gt;")</f>
        <v/>
      </c>
      <c r="M216" s="55">
        <f>IF($B216=$B215,$M215,0)+$L216</f>
        <v/>
      </c>
      <c r="N216" s="55">
        <f>$N215+$L216</f>
        <v/>
      </c>
      <c r="O216" s="56">
        <f>IFERROR(IF(($L216)&gt;0,($I216*cfg_TroyOz)/($L216),""),"")</f>
        <v/>
      </c>
      <c r="P216" s="56">
        <f>IFERROR(IF(($M216)&gt;0,($J216*cfg_TroyOz)/($M216),""),"")</f>
        <v/>
      </c>
      <c r="Q216" s="56">
        <f>IFERROR(IF(($N216)&gt;0,($K216*cfg_TroyOz)/($N216),""),"")</f>
        <v/>
      </c>
      <c r="R216" s="55">
        <f>$F216-$L216</f>
        <v/>
      </c>
      <c r="S216" s="55">
        <f>IF($B216=$B215,$S215,0)+$R216</f>
        <v/>
      </c>
      <c r="T216" s="55">
        <f>$T215+$R216</f>
        <v/>
      </c>
      <c r="U216" s="55">
        <f>SUMIFS(tblMovement[Tonnes_t],tblMovement[Date],$A216,tblMovement[Is_Ore],0,tblMovement[Source_Type],"Pit")</f>
        <v/>
      </c>
      <c r="V216" s="55">
        <f>IF($B216=$B215,$V215,0)+$U216</f>
        <v/>
      </c>
      <c r="W216" s="55">
        <f>$W215+$U216</f>
        <v/>
      </c>
      <c r="X216" s="55">
        <f>$F216+$U216</f>
        <v/>
      </c>
      <c r="Y216" s="55">
        <f>IF($B216=$B215,$Y215,0)+$X216</f>
        <v/>
      </c>
      <c r="Z216" s="55">
        <f>$Z215+$X216</f>
        <v/>
      </c>
      <c r="AA216" s="56">
        <f>IFERROR(IF(($F216)&gt;0,($U216)/($F216),""),"")</f>
        <v/>
      </c>
      <c r="AB216" s="56">
        <f>IFERROR(IF(($G216)&gt;0,($V216)/($G216),""),"")</f>
        <v/>
      </c>
      <c r="AC216" s="56">
        <f>IFERROR(IF(($H216)&gt;0,($W216)/($H216),""),"")</f>
        <v/>
      </c>
      <c r="AD216" s="55">
        <f>SUMIFS(tblMovement[Tonnes_t],tblMovement[Date],$A216,tblMovement[Source_Type],"Stockpile")</f>
        <v/>
      </c>
      <c r="AE216" s="55">
        <f>IF($B216=$B215,$AE215,0)+$AD216</f>
        <v/>
      </c>
      <c r="AF216" s="55">
        <f>$AF215+$AD216</f>
        <v/>
      </c>
      <c r="AG216" s="55">
        <f>SUMIFS(tblMovement[Tonnes_t],tblMovement[Date],$A216)</f>
        <v/>
      </c>
      <c r="AH216" s="55">
        <f>IF($B216=$B215,$AH215,0)+$AG216</f>
        <v/>
      </c>
      <c r="AI216" s="55">
        <f>$AI215+$AG216</f>
        <v/>
      </c>
      <c r="AJ216" s="55">
        <f>$AG216-$X216-$AD216</f>
        <v/>
      </c>
      <c r="AK216" s="55">
        <f>IF($B216=$B215,$AK215,0)+$AJ216</f>
        <v/>
      </c>
      <c r="AL216" s="55">
        <f>$AL215+$AJ216</f>
        <v/>
      </c>
      <c r="AM216" s="55">
        <f>SUMIFS(tblMiningDaily[Drill_m],tblMiningDaily[Date],$A216)</f>
        <v/>
      </c>
      <c r="AN216" s="55">
        <f>IF($B216=$B215,$AN215,0)+$AM216</f>
        <v/>
      </c>
      <c r="AO216" s="55">
        <f>$AO215+$AM216</f>
        <v/>
      </c>
      <c r="AP216" s="55">
        <f>SUMIFS(tblMiningDaily[GC_Drill_m],tblMiningDaily[Date],$A216)</f>
        <v/>
      </c>
      <c r="AQ216" s="55">
        <f>IF($B216=$B215,$AQ215,0)+$AP216</f>
        <v/>
      </c>
      <c r="AR216" s="55">
        <f>$AR215+$AP216</f>
        <v/>
      </c>
      <c r="AS216" s="55">
        <f>SUMIFS(tblMiningDaily[Blast_t],tblMiningDaily[Date],$A216)</f>
        <v/>
      </c>
      <c r="AT216" s="55">
        <f>IF($B216=$B215,$AT215,0)+$AS216</f>
        <v/>
      </c>
      <c r="AU216" s="55">
        <f>$AU215+$AS216</f>
        <v/>
      </c>
      <c r="AV216" s="55">
        <f>SUMIFS(tblMiningDaily[Explosives_kg],tblMiningDaily[Date],$A216)</f>
        <v/>
      </c>
      <c r="AW216" s="55">
        <f>IF($B216=$B215,$AW215,0)+$AV216</f>
        <v/>
      </c>
      <c r="AX216" s="55">
        <f>$AX215+$AV216</f>
        <v/>
      </c>
      <c r="AY216" s="56">
        <f>IFERROR(IF(($AS216)&gt;0,($AV216)/($AS216),""),"")</f>
        <v/>
      </c>
      <c r="AZ216" s="56">
        <f>IFERROR(IF(($AT216)&gt;0,($AW216)/($AT216),""),"")</f>
        <v/>
      </c>
      <c r="BA216" s="56">
        <f>IFERROR(IF(($AU216)&gt;0,($AX216)/($AU216),""),"")</f>
        <v/>
      </c>
      <c r="BB216" s="55">
        <f>SUMIFS(tblMiningDaily[Diesel_L],tblMiningDaily[Date],$A216)</f>
        <v/>
      </c>
      <c r="BC216" s="55">
        <f>IF($B216=$B215,$BC215,0)+$BB216</f>
        <v/>
      </c>
      <c r="BD216" s="55">
        <f>$BD215+$BB216</f>
        <v/>
      </c>
      <c r="BE216" s="55">
        <f>SUMIFS(tblMiningDaily[Dewatering_m3],tblMiningDaily[Date],$A216)</f>
        <v/>
      </c>
      <c r="BF216" s="55">
        <f>IF($B216=$B215,$BF215,0)+$BE216</f>
        <v/>
      </c>
      <c r="BG216" s="55">
        <f>$BG215+$BE216</f>
        <v/>
      </c>
      <c r="BH216" s="57">
        <f>SUMIFS(tblFleet[Calendar_h],tblFleet[Date],$A216,tblFleet[Equipment_Class],"Excavator")</f>
        <v/>
      </c>
      <c r="BI216" s="57">
        <f>IF($B216=$B215,$BI215,0)+$BH216</f>
        <v/>
      </c>
      <c r="BJ216" s="57">
        <f>$BJ215+$BH216</f>
        <v/>
      </c>
      <c r="BK216" s="57">
        <f>SUMIFS(tblFleet[Available_h],tblFleet[Date],$A216,tblFleet[Equipment_Class],"Excavator")</f>
        <v/>
      </c>
      <c r="BL216" s="57">
        <f>IF($B216=$B215,$BL215,0)+$BK216</f>
        <v/>
      </c>
      <c r="BM216" s="57">
        <f>$BM215+$BK216</f>
        <v/>
      </c>
      <c r="BN216" s="57">
        <f>SUMIFS(tblFleet[Operating_h],tblFleet[Date],$A216,tblFleet[Equipment_Class],"Excavator")</f>
        <v/>
      </c>
      <c r="BO216" s="57">
        <f>IF($B216=$B215,$BO215,0)+$BN216</f>
        <v/>
      </c>
      <c r="BP216" s="57">
        <f>$BP215+$BN216</f>
        <v/>
      </c>
      <c r="BQ216" s="67">
        <f>IFERROR(IF(($BH216)&gt;0,($BK216)/($BH216),""),"")</f>
        <v/>
      </c>
      <c r="BR216" s="67">
        <f>IFERROR(IF(($BI216)&gt;0,($BL216)/($BI216),""),"")</f>
        <v/>
      </c>
      <c r="BS216" s="67">
        <f>IFERROR(IF(($BJ216)&gt;0,($BM216)/($BJ216),""),"")</f>
        <v/>
      </c>
      <c r="BT216" s="67">
        <f>IFERROR(IF(($BK216)&gt;0,($BN216)/($BK216),""),"")</f>
        <v/>
      </c>
      <c r="BU216" s="67">
        <f>IFERROR(IF(($BL216)&gt;0,($BO216)/($BL216),""),"")</f>
        <v/>
      </c>
      <c r="BV216" s="67">
        <f>IFERROR(IF(($BM216)&gt;0,($BP216)/($BM216),""),"")</f>
        <v/>
      </c>
      <c r="BW216" s="57">
        <f>SUMIFS(tblFleet[Calendar_h],tblFleet[Date],$A216,tblFleet[Equipment_Class],"Haul Truck")</f>
        <v/>
      </c>
      <c r="BX216" s="57">
        <f>IF($B216=$B215,$BX215,0)+$BW216</f>
        <v/>
      </c>
      <c r="BY216" s="57">
        <f>$BY215+$BW216</f>
        <v/>
      </c>
      <c r="BZ216" s="57">
        <f>SUMIFS(tblFleet[Available_h],tblFleet[Date],$A216,tblFleet[Equipment_Class],"Haul Truck")</f>
        <v/>
      </c>
      <c r="CA216" s="57">
        <f>IF($B216=$B215,$CA215,0)+$BZ216</f>
        <v/>
      </c>
      <c r="CB216" s="57">
        <f>$CB215+$BZ216</f>
        <v/>
      </c>
      <c r="CC216" s="57">
        <f>SUMIFS(tblFleet[Operating_h],tblFleet[Date],$A216,tblFleet[Equipment_Class],"Haul Truck")</f>
        <v/>
      </c>
      <c r="CD216" s="57">
        <f>IF($B216=$B215,$CD215,0)+$CC216</f>
        <v/>
      </c>
      <c r="CE216" s="57">
        <f>$CE215+$CC216</f>
        <v/>
      </c>
      <c r="CF216" s="67">
        <f>IFERROR(IF(($BW216)&gt;0,($BZ216)/($BW216),""),"")</f>
        <v/>
      </c>
      <c r="CG216" s="67">
        <f>IFERROR(IF(($BX216)&gt;0,($CA216)/($BX216),""),"")</f>
        <v/>
      </c>
      <c r="CH216" s="67">
        <f>IFERROR(IF(($BY216)&gt;0,($CB216)/($BY216),""),"")</f>
        <v/>
      </c>
      <c r="CI216" s="67">
        <f>IFERROR(IF(($BZ216)&gt;0,($CC216)/($BZ216),""),"")</f>
        <v/>
      </c>
      <c r="CJ216" s="67">
        <f>IFERROR(IF(($CA216)&gt;0,($CD216)/($CA216),""),"")</f>
        <v/>
      </c>
      <c r="CK216" s="67">
        <f>IFERROR(IF(($CB216)&gt;0,($CE216)/($CB216),""),"")</f>
        <v/>
      </c>
      <c r="CL216" s="55">
        <f>IFERROR(IF(($BN216)&gt;0,($X216+$AD216)/($BN216),""),"")</f>
        <v/>
      </c>
      <c r="CM216" s="55">
        <f>IFERROR(IF(($BO216)&gt;0,($Y216+$AE216)/($BO216),""),"")</f>
        <v/>
      </c>
      <c r="CN216" s="55">
        <f>IFERROR(IF(($BP216)&gt;0,($Z216+$AF216)/($BP216),""),"")</f>
        <v/>
      </c>
      <c r="CO216" s="55">
        <f>IFERROR(IF(($CC216)&gt;0,($X216+$AD216)/($CC216),""),"")</f>
        <v/>
      </c>
      <c r="CP216" s="55">
        <f>IFERROR(IF(($CD216)&gt;0,($Y216+$AE216)/($CD216),""),"")</f>
        <v/>
      </c>
      <c r="CQ216" s="55">
        <f>IFERROR(IF(($CE216)&gt;0,($Z216+$AF216)/($CE216),""),"")</f>
        <v/>
      </c>
      <c r="CR216" s="55">
        <f>SUMIFS(tblPlant[Crushed_t],tblPlant[Date],$A216)</f>
        <v/>
      </c>
      <c r="CS216" s="55">
        <f>IF($B216=$B215,$CS215,0)+$CR216</f>
        <v/>
      </c>
      <c r="CT216" s="55">
        <f>$CT215+$CR216</f>
        <v/>
      </c>
      <c r="CU216" s="55">
        <f>SUMIFS(tblPlant[Milled_t],tblPlant[Date],$A216)</f>
        <v/>
      </c>
      <c r="CV216" s="55">
        <f>IF($B216=$B215,$CV215,0)+$CU216</f>
        <v/>
      </c>
      <c r="CW216" s="55">
        <f>$CW215+$CU216</f>
        <v/>
      </c>
      <c r="CX216" s="55">
        <f>SUMIFS(tblPlant[Feed_oz],tblPlant[Date],$A216)</f>
        <v/>
      </c>
      <c r="CY216" s="55">
        <f>IF($B216=$B215,$CY215,0)+$CX216</f>
        <v/>
      </c>
      <c r="CZ216" s="55">
        <f>$CZ215+$CX216</f>
        <v/>
      </c>
      <c r="DA216" s="55">
        <f>SUMIFS(tblPlant[Tails_oz],tblPlant[Date],$A216)</f>
        <v/>
      </c>
      <c r="DB216" s="55">
        <f>IF($B216=$B215,$DB215,0)+$DA216</f>
        <v/>
      </c>
      <c r="DC216" s="55">
        <f>$DC215+$DA216</f>
        <v/>
      </c>
      <c r="DD216" s="55">
        <f>SUMIFS(tblPlant[Recovered_oz],tblPlant[Date],$A216)</f>
        <v/>
      </c>
      <c r="DE216" s="55">
        <f>IF($B216=$B215,$DE215,0)+$DD216</f>
        <v/>
      </c>
      <c r="DF216" s="55">
        <f>$DF215+$DD216</f>
        <v/>
      </c>
      <c r="DG216" s="55">
        <f>SUMIFS(tblPlant[Milled_t],tblPlant[Date],$A216,tblPlant[Head_Grade_gpt],"&lt;&gt;")</f>
        <v/>
      </c>
      <c r="DH216" s="55">
        <f>IF($B216=$B215,$DH215,0)+$DG216</f>
        <v/>
      </c>
      <c r="DI216" s="55">
        <f>$DI215+$DG216</f>
        <v/>
      </c>
      <c r="DJ216" s="55">
        <f>SUMIFS(tblPlant[Milled_t],tblPlant[Date],$A216,tblPlant[Tails_Grade_gpt],"&lt;&gt;")</f>
        <v/>
      </c>
      <c r="DK216" s="55">
        <f>IF($B216=$B215,$DK215,0)+$DJ216</f>
        <v/>
      </c>
      <c r="DL216" s="55">
        <f>$DL215+$DJ216</f>
        <v/>
      </c>
      <c r="DM216" s="55">
        <f>SUMIFS(tblPlant[Feed_oz],tblPlant[Date],$A216,tblPlant[Tails_Grade_gpt],"&lt;&gt;")</f>
        <v/>
      </c>
      <c r="DN216" s="55">
        <f>IF($B216=$B215,$DN215,0)+$DM216</f>
        <v/>
      </c>
      <c r="DO216" s="55">
        <f>$DO215+$DM216</f>
        <v/>
      </c>
      <c r="DP216" s="55">
        <f>SUMIFS(tblPlant[Milled_t],tblPlant[Date],$A216,tblPlant[Mill_Run_h],"&lt;&gt;")</f>
        <v/>
      </c>
      <c r="DQ216" s="55">
        <f>IF($B216=$B215,$DQ215,0)+$DP216</f>
        <v/>
      </c>
      <c r="DR216" s="55">
        <f>$DR215+$DP216</f>
        <v/>
      </c>
      <c r="DS216" s="56">
        <f>IFERROR(IF(($DG216)&gt;0,($CX216*cfg_TroyOz)/($DG216),""),"")</f>
        <v/>
      </c>
      <c r="DT216" s="56">
        <f>IFERROR(IF(($DH216)&gt;0,($CY216*cfg_TroyOz)/($DH216),""),"")</f>
        <v/>
      </c>
      <c r="DU216" s="56">
        <f>IFERROR(IF(($DI216)&gt;0,($CZ216*cfg_TroyOz)/($DI216),""),"")</f>
        <v/>
      </c>
      <c r="DV216" s="56">
        <f>IFERROR(IF(($DJ216)&gt;0,($DA216*cfg_TroyOz)/($DJ216),""),"")</f>
        <v/>
      </c>
      <c r="DW216" s="56">
        <f>IFERROR(IF(($DK216)&gt;0,($DB216*cfg_TroyOz)/($DK216),""),"")</f>
        <v/>
      </c>
      <c r="DX216" s="56">
        <f>IFERROR(IF(($DL216)&gt;0,($DC216*cfg_TroyOz)/($DL216),""),"")</f>
        <v/>
      </c>
      <c r="DY216" s="67">
        <f>IFERROR(IF(($DM216)&gt;0,($DD216)/($DM216),""),"")</f>
        <v/>
      </c>
      <c r="DZ216" s="67">
        <f>IFERROR(IF(($DN216)&gt;0,($DE216)/($DN216),""),"")</f>
        <v/>
      </c>
      <c r="EA216" s="67">
        <f>IFERROR(IF(($DO216)&gt;0,($DF216)/($DO216),""),"")</f>
        <v/>
      </c>
      <c r="EB216" s="55">
        <f>SUMIFS(tblPlant[Gravity_Gold_oz],tblPlant[Date],$A216)</f>
        <v/>
      </c>
      <c r="EC216" s="55">
        <f>IF($B216=$B215,$EC215,0)+$EB216</f>
        <v/>
      </c>
      <c r="ED216" s="55">
        <f>$ED215+$EB216</f>
        <v/>
      </c>
      <c r="EE216" s="67">
        <f>IFERROR(IF(($DD216)&gt;0,($EB216)/($DD216),""),"")</f>
        <v/>
      </c>
      <c r="EF216" s="67">
        <f>IFERROR(IF(($DE216)&gt;0,($EC216)/($DE216),""),"")</f>
        <v/>
      </c>
      <c r="EG216" s="67">
        <f>IFERROR(IF(($DF216)&gt;0,($ED216)/($DF216),""),"")</f>
        <v/>
      </c>
      <c r="EH216" s="55">
        <f>SUMIFS(tblPlant[Gold_Poured_oz],tblPlant[Date],$A216)</f>
        <v/>
      </c>
      <c r="EI216" s="55">
        <f>IF($B216=$B215,$EI215,0)+$EH216</f>
        <v/>
      </c>
      <c r="EJ216" s="55">
        <f>$EJ215+$EH216</f>
        <v/>
      </c>
      <c r="EK216" s="57">
        <f>SUMIFS(tblPlant[Mill_Run_h],tblPlant[Date],$A216)</f>
        <v/>
      </c>
      <c r="EL216" s="57">
        <f>IF($B216=$B215,$EL215,0)+$EK216</f>
        <v/>
      </c>
      <c r="EM216" s="57">
        <f>$EM215+$EK216</f>
        <v/>
      </c>
      <c r="EN216" s="57">
        <f>SUMIFS(tblPlant[Mill_Planned_Maint_h],tblPlant[Date],$A216)</f>
        <v/>
      </c>
      <c r="EO216" s="57">
        <f>IF($B216=$B215,$EO215,0)+$EN216</f>
        <v/>
      </c>
      <c r="EP216" s="57">
        <f>$EP215+$EN216</f>
        <v/>
      </c>
      <c r="EQ216" s="57">
        <f>SUMIFS(tblPlant[Mill_Unplanned_Down_h],tblPlant[Date],$A216)</f>
        <v/>
      </c>
      <c r="ER216" s="57">
        <f>IF($B216=$B215,$ER215,0)+$EQ216</f>
        <v/>
      </c>
      <c r="ES216" s="57">
        <f>$ES215+$EQ216</f>
        <v/>
      </c>
      <c r="ET216" s="57">
        <f>IF(COUNTIFS(tblPlant[Date],$A216,tblPlant[Mill_Run_h],"&lt;&gt;")+COUNTIFS(tblPlant[Date],$A216,tblPlant[Mill_Planned_Maint_h],"&lt;&gt;")+COUNTIFS(tblPlant[Date],$A216,tblPlant[Mill_Unplanned_Down_h],"&lt;&gt;")&gt;0,cfg_HoursPerDay,0)</f>
        <v/>
      </c>
      <c r="EU216" s="57">
        <f>IF($B216=$B215,$EU215,0)+$ET216</f>
        <v/>
      </c>
      <c r="EV216" s="57">
        <f>$EV215+$ET216</f>
        <v/>
      </c>
      <c r="EW216" s="57">
        <f>SUMIFS(tblPlant[Crusher_Run_h],tblPlant[Date],$A216)</f>
        <v/>
      </c>
      <c r="EX216" s="57">
        <f>IF($B216=$B215,$EX215,0)+$EW216</f>
        <v/>
      </c>
      <c r="EY216" s="57">
        <f>$EY215+$EW216</f>
        <v/>
      </c>
      <c r="EZ216" s="55">
        <f>IFERROR(IF(($EK216)&gt;0,($DP216)/($EK216),""),"")</f>
        <v/>
      </c>
      <c r="FA216" s="55">
        <f>IFERROR(IF(($EL216)&gt;0,($DQ216)/($EL216),""),"")</f>
        <v/>
      </c>
      <c r="FB216" s="55">
        <f>IFERROR(IF(($EM216)&gt;0,($DR216)/($EM216),""),"")</f>
        <v/>
      </c>
      <c r="FC216" s="67">
        <f>IFERROR(IF(($ET216)&gt;0,($ET216-$EN216-$EQ216)/($ET216),""),"")</f>
        <v/>
      </c>
      <c r="FD216" s="67">
        <f>IFERROR(IF(($EU216)&gt;0,($EU216-$EO216-$ER216)/($EU216),""),"")</f>
        <v/>
      </c>
      <c r="FE216" s="67">
        <f>IFERROR(IF(($EV216)&gt;0,($EV216-$EP216-$ES216)/($EV216),""),"")</f>
        <v/>
      </c>
      <c r="FF216" s="67">
        <f>IFERROR(IF(($ET216-$EN216-$EQ216)&gt;0,($EK216)/($ET216-$EN216-$EQ216),""),"")</f>
        <v/>
      </c>
      <c r="FG216" s="67">
        <f>IFERROR(IF(($EU216-$EO216-$ER216)&gt;0,($EL216)/($EU216-$EO216-$ER216),""),"")</f>
        <v/>
      </c>
      <c r="FH216" s="67">
        <f>IFERROR(IF(($EV216-$EP216-$ES216)&gt;0,($EM216)/($EV216-$EP216-$ES216),""),"")</f>
        <v/>
      </c>
      <c r="FI216" s="55">
        <f>SUMIFS(tblPlant[Cyanide_kg],tblPlant[Date],$A216)</f>
        <v/>
      </c>
      <c r="FJ216" s="55">
        <f>IF($B216=$B215,$FJ215,0)+$FI216</f>
        <v/>
      </c>
      <c r="FK216" s="55">
        <f>$FK215+$FI216</f>
        <v/>
      </c>
      <c r="FL216" s="55">
        <f>SUMIFS(tblPlant[Lime_kg],tblPlant[Date],$A216)</f>
        <v/>
      </c>
      <c r="FM216" s="55">
        <f>IF($B216=$B215,$FM215,0)+$FL216</f>
        <v/>
      </c>
      <c r="FN216" s="55">
        <f>$FN215+$FL216</f>
        <v/>
      </c>
      <c r="FO216" s="55">
        <f>SUMIFS(tblPlant[Grinding_Media_kg],tblPlant[Date],$A216)</f>
        <v/>
      </c>
      <c r="FP216" s="55">
        <f>IF($B216=$B215,$FP215,0)+$FO216</f>
        <v/>
      </c>
      <c r="FQ216" s="55">
        <f>$FQ215+$FO216</f>
        <v/>
      </c>
      <c r="FR216" s="55">
        <f>SUMIFS(tblPlant[Power_kWh],tblPlant[Date],$A216)</f>
        <v/>
      </c>
      <c r="FS216" s="55">
        <f>IF($B216=$B215,$FS215,0)+$FR216</f>
        <v/>
      </c>
      <c r="FT216" s="55">
        <f>$FT215+$FR216</f>
        <v/>
      </c>
      <c r="FU216" s="55">
        <f>SUMIFS(tblPlant[Raw_Water_m3],tblPlant[Date],$A216)</f>
        <v/>
      </c>
      <c r="FV216" s="55">
        <f>IF($B216=$B215,$FV215,0)+$FU216</f>
        <v/>
      </c>
      <c r="FW216" s="55">
        <f>$FW215+$FU216</f>
        <v/>
      </c>
      <c r="FX216" s="56">
        <f>IFERROR(IF(($CU216)&gt;0,($FI216)/($CU216),""),"")</f>
        <v/>
      </c>
      <c r="FY216" s="56">
        <f>IFERROR(IF(($CV216)&gt;0,($FJ216)/($CV216),""),"")</f>
        <v/>
      </c>
      <c r="FZ216" s="56">
        <f>IFERROR(IF(($CW216)&gt;0,($FK216)/($CW216),""),"")</f>
        <v/>
      </c>
      <c r="GA216" s="56">
        <f>IFERROR(IF(($CU216)&gt;0,($FL216)/($CU216),""),"")</f>
        <v/>
      </c>
      <c r="GB216" s="56">
        <f>IFERROR(IF(($CV216)&gt;0,($FM216)/($CV216),""),"")</f>
        <v/>
      </c>
      <c r="GC216" s="56">
        <f>IFERROR(IF(($CW216)&gt;0,($FN216)/($CW216),""),"")</f>
        <v/>
      </c>
      <c r="GD216" s="56">
        <f>IFERROR(IF(($CU216)&gt;0,($FO216)/($CU216),""),"")</f>
        <v/>
      </c>
      <c r="GE216" s="56">
        <f>IFERROR(IF(($CV216)&gt;0,($FP216)/($CV216),""),"")</f>
        <v/>
      </c>
      <c r="GF216" s="56">
        <f>IFERROR(IF(($CW216)&gt;0,($FQ216)/($CW216),""),"")</f>
        <v/>
      </c>
      <c r="GG216" s="79">
        <f>IFERROR(IF(($CU216)&gt;0,($FR216)/($CU216),""),"")</f>
        <v/>
      </c>
      <c r="GH216" s="79">
        <f>IFERROR(IF(($CV216)&gt;0,($FS216)/($CV216),""),"")</f>
        <v/>
      </c>
      <c r="GI216" s="79">
        <f>IFERROR(IF(($CW216)&gt;0,($FT216)/($CW216),""),"")</f>
        <v/>
      </c>
      <c r="GJ216" s="56">
        <f>IFERROR(IF(($CU216)&gt;0,($FU216)/($CU216),""),"")</f>
        <v/>
      </c>
      <c r="GK216" s="56">
        <f>IFERROR(IF(($CV216)&gt;0,($FV216)/($CV216),""),"")</f>
        <v/>
      </c>
      <c r="GL216" s="56">
        <f>IFERROR(IF(($CW216)&gt;0,($FW216)/($CW216),""),"")</f>
        <v/>
      </c>
      <c r="GM216" s="55">
        <f>IF(SUMIFS(tblPlant[GIC_oz],tblPlant[Date],$A216)&gt;0,SUMIFS(tblPlant[GIC_oz],tblPlant[Date],$A216),"")</f>
        <v/>
      </c>
      <c r="GN216" s="55">
        <f>SUMIFS(tblGold[Gold_oz],tblGold[Date],$A216,tblGold[Type],"Shipment")</f>
        <v/>
      </c>
      <c r="GO216" s="55">
        <f>IF($B216=$B215,$GO215,0)+$GN216</f>
        <v/>
      </c>
      <c r="GP216" s="55">
        <f>$GP215+$GN216</f>
        <v/>
      </c>
      <c r="GQ216" s="55">
        <f>SUMIFS(tblGold[Gold_oz],tblGold[Date],$A216,tblGold[Type],"Sale")</f>
        <v/>
      </c>
      <c r="GR216" s="55">
        <f>IF($B216=$B215,$GR215,0)+$GQ216</f>
        <v/>
      </c>
      <c r="GS216" s="55">
        <f>$GS215+$GQ216</f>
        <v/>
      </c>
      <c r="GT216" s="55">
        <f>SUMIFS(tblGold[Dore_kg],tblGold[Date],$A216,tblGold[Type],"Shipment")</f>
        <v/>
      </c>
      <c r="GU216" s="55">
        <f>IF($B216=$B215,$GU215,0)+$GT216</f>
        <v/>
      </c>
      <c r="GV216" s="55">
        <f>$GV215+$GT216</f>
        <v/>
      </c>
      <c r="GW216" s="57">
        <f>SUMIFS(tblSafety[Hours_Total],tblSafety[Date],$A216)</f>
        <v/>
      </c>
      <c r="GX216" s="57">
        <f>IF($B216=$B215,$GX215,0)+$GW216</f>
        <v/>
      </c>
      <c r="GY216" s="57">
        <f>$GY215+$GW216</f>
        <v/>
      </c>
      <c r="GZ216" s="62">
        <f>SUMIFS(tblSafety[Fatality],tblSafety[Date],$A216)</f>
        <v/>
      </c>
      <c r="HA216" s="62">
        <f>IF($B216=$B215,$HA215,0)+$GZ216</f>
        <v/>
      </c>
      <c r="HB216" s="62">
        <f>$HB215+$GZ216</f>
        <v/>
      </c>
      <c r="HC216" s="62">
        <f>SUMIFS(tblSafety[LTI],tblSafety[Date],$A216)</f>
        <v/>
      </c>
      <c r="HD216" s="62">
        <f>IF($B216=$B215,$HD215,0)+$HC216</f>
        <v/>
      </c>
      <c r="HE216" s="62">
        <f>$HE215+$HC216</f>
        <v/>
      </c>
      <c r="HF216" s="62">
        <f>SUMIFS(tblSafety[RWI],tblSafety[Date],$A216)</f>
        <v/>
      </c>
      <c r="HG216" s="62">
        <f>IF($B216=$B215,$HG215,0)+$HF216</f>
        <v/>
      </c>
      <c r="HH216" s="62">
        <f>$HH215+$HF216</f>
        <v/>
      </c>
      <c r="HI216" s="62">
        <f>SUMIFS(tblSafety[MTI],tblSafety[Date],$A216)</f>
        <v/>
      </c>
      <c r="HJ216" s="62">
        <f>IF($B216=$B215,$HJ215,0)+$HI216</f>
        <v/>
      </c>
      <c r="HK216" s="62">
        <f>$HK215+$HI216</f>
        <v/>
      </c>
      <c r="HL216" s="62">
        <f>SUMIFS(tblSafety[FAI],tblSafety[Date],$A216)</f>
        <v/>
      </c>
      <c r="HM216" s="62">
        <f>IF($B216=$B215,$HM215,0)+$HL216</f>
        <v/>
      </c>
      <c r="HN216" s="62">
        <f>$HN215+$HL216</f>
        <v/>
      </c>
      <c r="HO216" s="62">
        <f>SUMIFS(tblSafety[Recordables],tblSafety[Date],$A216)</f>
        <v/>
      </c>
      <c r="HP216" s="62">
        <f>IF($B216=$B215,$HP215,0)+$HO216</f>
        <v/>
      </c>
      <c r="HQ216" s="62">
        <f>$HQ215+$HO216</f>
        <v/>
      </c>
      <c r="HR216" s="62">
        <f>SUMIFS(tblSafety[Near_Miss],tblSafety[Date],$A216)</f>
        <v/>
      </c>
      <c r="HS216" s="62">
        <f>IF($B216=$B215,$HS215,0)+$HR216</f>
        <v/>
      </c>
      <c r="HT216" s="62">
        <f>$HT215+$HR216</f>
        <v/>
      </c>
      <c r="HU216" s="62">
        <f>SUMIFS(tblSafety[Hazard_Reports],tblSafety[Date],$A216)</f>
        <v/>
      </c>
      <c r="HV216" s="62">
        <f>IF($B216=$B215,$HV215,0)+$HU216</f>
        <v/>
      </c>
      <c r="HW216" s="62">
        <f>$HW215+$HU216</f>
        <v/>
      </c>
      <c r="HX216" s="62">
        <f>SUMIFS(tblSafety[HPI],tblSafety[Date],$A216)</f>
        <v/>
      </c>
      <c r="HY216" s="62">
        <f>IF($B216=$B215,$HY215,0)+$HX216</f>
        <v/>
      </c>
      <c r="HZ216" s="62">
        <f>$HZ215+$HX216</f>
        <v/>
      </c>
      <c r="IA216" s="62">
        <f>SUMIFS(tblSafety[Env_Incidents],tblSafety[Date],$A216)</f>
        <v/>
      </c>
      <c r="IB216" s="62">
        <f>IF($B216=$B215,$IB215,0)+$IA216</f>
        <v/>
      </c>
      <c r="IC216" s="62">
        <f>$IC215+$IA216</f>
        <v/>
      </c>
      <c r="ID216" s="62">
        <f>SUMIFS(tblSafety[Community_Incidents],tblSafety[Date],$A216)</f>
        <v/>
      </c>
      <c r="IE216" s="62">
        <f>IF($B216=$B215,$IE215,0)+$ID216</f>
        <v/>
      </c>
      <c r="IF216" s="62">
        <f>$IF215+$ID216</f>
        <v/>
      </c>
      <c r="IG216" s="62">
        <f>SUMIFS(tblSafety[Vehicle_Incidents],tblSafety[Date],$A216)</f>
        <v/>
      </c>
      <c r="IH216" s="62">
        <f>IF($B216=$B215,$IH215,0)+$IG216</f>
        <v/>
      </c>
      <c r="II216" s="62">
        <f>$II215+$IG216</f>
        <v/>
      </c>
      <c r="IJ216" s="62">
        <f>SUMIFS(tblSafety[Toolbox_Talks],tblSafety[Date],$A216)</f>
        <v/>
      </c>
      <c r="IK216" s="62">
        <f>IF($B216=$B215,$IK215,0)+$IJ216</f>
        <v/>
      </c>
      <c r="IL216" s="62">
        <f>$IL215+$IJ216</f>
        <v/>
      </c>
      <c r="IM216" s="62">
        <f>SUMIFS(tblSafety[Inspections],tblSafety[Date],$A216)</f>
        <v/>
      </c>
      <c r="IN216" s="62">
        <f>IF($B216=$B215,$IN215,0)+$IM216</f>
        <v/>
      </c>
      <c r="IO216" s="62">
        <f>$IO215+$IM216</f>
        <v/>
      </c>
      <c r="IP216" s="56">
        <f>IFERROR((SUMIFS(tblSafety[Recordables],tblSafety[Date],"&gt;="&amp;EDATE($E216,-12),tblSafety[Date],"&lt;="&amp;$A216)+SUMIFS(tblSafetyHistory[Recordables],tblSafetyHistory[Month],"&gt;="&amp;EDATE($E216,-12),tblSafetyHistory[Month],"&lt;"&amp;$E216,tblSafetyHistory[Use],1))/(SUMIFS(tblSafety[Hours_Total],tblSafety[Date],"&gt;="&amp;EDATE($E216,-12),tblSafety[Date],"&lt;="&amp;$A216)+SUMIFS(tblSafetyHistory[Hours_Total],tblSafetyHistory[Month],"&gt;="&amp;EDATE($E216,-12),tblSafetyHistory[Month],"&lt;"&amp;$E216,tblSafetyHistory[Use],1))*cfg_RateBasisHours,"")</f>
        <v/>
      </c>
      <c r="IQ216" s="56">
        <f>IFERROR((SUMIFS(tblSafety[LTI],tblSafety[Date],"&gt;="&amp;EDATE($E216,-12),tblSafety[Date],"&lt;="&amp;$A216)+SUMIFS(tblSafetyHistory[LTI],tblSafetyHistory[Month],"&gt;="&amp;EDATE($E216,-12),tblSafetyHistory[Month],"&lt;"&amp;$E216,tblSafetyHistory[Use],1))/(SUMIFS(tblSafety[Hours_Total],tblSafety[Date],"&gt;="&amp;EDATE($E216,-12),tblSafety[Date],"&lt;="&amp;$A216)+SUMIFS(tblSafetyHistory[Hours_Total],tblSafetyHistory[Month],"&gt;="&amp;EDATE($E216,-12),tblSafetyHistory[Month],"&lt;"&amp;$E216,tblSafetyHistory[Use],1))*cfg_RateBasisHours,"")</f>
        <v/>
      </c>
      <c r="IR216" s="62">
        <f>IF(MAX(N(cfg_PriorLTIDate),_xlfn.MAXIFS(tblSafety[Date],tblSafety[LTI],"&gt;0",tblSafety[Date],"&lt;="&amp;$A216))=0,"",$A216-MAX(N(cfg_PriorLTIDate),_xlfn.MAXIFS(tblSafety[Date],tblSafety[LTI],"&gt;0",tblSafety[Date],"&lt;="&amp;$A216)))</f>
        <v/>
      </c>
      <c r="IS216" s="55">
        <f>SUMIFS(tblBudget[Ore_Mined_t],tblBudget[Month],$E216)</f>
        <v/>
      </c>
      <c r="IT216" s="55">
        <f>$IS216*$C216/$D216</f>
        <v/>
      </c>
      <c r="IU216" s="55">
        <f>SUMIFS(tblBudget[Ore_Mined_t],tblBudget[Month],"&lt;"&amp;$E216)+$IT216</f>
        <v/>
      </c>
      <c r="IV216" s="55">
        <f>SUMIFS(tblBudget[Ore_oz],tblBudget[Month],$E216)</f>
        <v/>
      </c>
      <c r="IW216" s="55">
        <f>$IV216*$C216/$D216</f>
        <v/>
      </c>
      <c r="IX216" s="55">
        <f>SUMIFS(tblBudget[Ore_oz],tblBudget[Month],"&lt;"&amp;$E216)+$IW216</f>
        <v/>
      </c>
      <c r="IY216" s="55">
        <f>SUMIFS(tblBudget[Ore_Mined_t],tblBudget[Month],$E216)</f>
        <v/>
      </c>
      <c r="IZ216" s="55">
        <f>$IY216*$C216/$D216</f>
        <v/>
      </c>
      <c r="JA216" s="55">
        <f>SUMIFS(tblBudget[Ore_Mined_t],tblBudget[Month],"&lt;"&amp;$E216)+$IZ216</f>
        <v/>
      </c>
      <c r="JB216" s="56">
        <f>IFERROR(IF(($IY216)&gt;0,($IV216*cfg_TroyOz)/($IY216),""),"")</f>
        <v/>
      </c>
      <c r="JC216" s="56">
        <f>IFERROR(IF(($IZ216)&gt;0,($IW216*cfg_TroyOz)/($IZ216),""),"")</f>
        <v/>
      </c>
      <c r="JD216" s="56">
        <f>IFERROR(IF(($JA216)&gt;0,($IX216*cfg_TroyOz)/($JA216),""),"")</f>
        <v/>
      </c>
      <c r="JE216" s="55">
        <f>SUMIFS(tblBudget[Waste_t],tblBudget[Month],$E216)</f>
        <v/>
      </c>
      <c r="JF216" s="55">
        <f>$JE216*$C216/$D216</f>
        <v/>
      </c>
      <c r="JG216" s="55">
        <f>SUMIFS(tblBudget[Waste_t],tblBudget[Month],"&lt;"&amp;$E216)+$JF216</f>
        <v/>
      </c>
      <c r="JH216" s="55">
        <f>SUMIFS(tblBudget[TMM_t],tblBudget[Month],$E216)</f>
        <v/>
      </c>
      <c r="JI216" s="55">
        <f>$JH216*$C216/$D216</f>
        <v/>
      </c>
      <c r="JJ216" s="55">
        <f>SUMIFS(tblBudget[TMM_t],tblBudget[Month],"&lt;"&amp;$E216)+$JI216</f>
        <v/>
      </c>
      <c r="JK216" s="56">
        <f>IFERROR(IF(($IS216)&gt;0,($JE216)/($IS216),""),"")</f>
        <v/>
      </c>
      <c r="JL216" s="56">
        <f>IFERROR(IF(($IT216)&gt;0,($JF216)/($IT216),""),"")</f>
        <v/>
      </c>
      <c r="JM216" s="56">
        <f>IFERROR(IF(($IU216)&gt;0,($JG216)/($IU216),""),"")</f>
        <v/>
      </c>
      <c r="JN216" s="55">
        <f>SUMIFS(tblBudget[Drill_m],tblBudget[Month],$E216)</f>
        <v/>
      </c>
      <c r="JO216" s="55">
        <f>$JN216*$C216/$D216</f>
        <v/>
      </c>
      <c r="JP216" s="55">
        <f>SUMIFS(tblBudget[Drill_m],tblBudget[Month],"&lt;"&amp;$E216)+$JO216</f>
        <v/>
      </c>
      <c r="JQ216" s="55">
        <f>SUMIFS(tblBudget[Diesel_L],tblBudget[Month],$E216)</f>
        <v/>
      </c>
      <c r="JR216" s="55">
        <f>$JQ216*$C216/$D216</f>
        <v/>
      </c>
      <c r="JS216" s="55">
        <f>SUMIFS(tblBudget[Diesel_L],tblBudget[Month],"&lt;"&amp;$E216)+$JR216</f>
        <v/>
      </c>
      <c r="JT216" s="55">
        <f>SUMIFS(tblBudget[Milled_t],tblBudget[Month],$E216)</f>
        <v/>
      </c>
      <c r="JU216" s="55">
        <f>$JT216*$C216/$D216</f>
        <v/>
      </c>
      <c r="JV216" s="55">
        <f>SUMIFS(tblBudget[Milled_t],tblBudget[Month],"&lt;"&amp;$E216)+$JU216</f>
        <v/>
      </c>
      <c r="JW216" s="55">
        <f>SUMIFS(tblBudget[Feed_oz],tblBudget[Month],$E216)</f>
        <v/>
      </c>
      <c r="JX216" s="55">
        <f>$JW216*$C216/$D216</f>
        <v/>
      </c>
      <c r="JY216" s="55">
        <f>SUMIFS(tblBudget[Feed_oz],tblBudget[Month],"&lt;"&amp;$E216)+$JX216</f>
        <v/>
      </c>
      <c r="JZ216" s="55">
        <f>SUMIFS(tblBudget[Recovered_oz],tblBudget[Month],$E216)</f>
        <v/>
      </c>
      <c r="KA216" s="55">
        <f>$JZ216*$C216/$D216</f>
        <v/>
      </c>
      <c r="KB216" s="55">
        <f>SUMIFS(tblBudget[Recovered_oz],tblBudget[Month],"&lt;"&amp;$E216)+$KA216</f>
        <v/>
      </c>
      <c r="KC216" s="55">
        <f>SUMIFS(tblBudget[Milled_t],tblBudget[Month],$E216)</f>
        <v/>
      </c>
      <c r="KD216" s="55">
        <f>$KC216*$C216/$D216</f>
        <v/>
      </c>
      <c r="KE216" s="55">
        <f>SUMIFS(tblBudget[Milled_t],tblBudget[Month],"&lt;"&amp;$E216)+$KD216</f>
        <v/>
      </c>
      <c r="KF216" s="55">
        <f>SUMIFS(tblBudget[Feed_oz],tblBudget[Month],$E216)</f>
        <v/>
      </c>
      <c r="KG216" s="55">
        <f>$KF216*$C216/$D216</f>
        <v/>
      </c>
      <c r="KH216" s="55">
        <f>SUMIFS(tblBudget[Feed_oz],tblBudget[Month],"&lt;"&amp;$E216)+$KG216</f>
        <v/>
      </c>
      <c r="KI216" s="56">
        <f>IFERROR(IF(($KC216)&gt;0,($JW216*cfg_TroyOz)/($KC216),""),"")</f>
        <v/>
      </c>
      <c r="KJ216" s="56">
        <f>IFERROR(IF(($KD216)&gt;0,($JX216*cfg_TroyOz)/($KD216),""),"")</f>
        <v/>
      </c>
      <c r="KK216" s="56">
        <f>IFERROR(IF(($KE216)&gt;0,($JY216*cfg_TroyOz)/($KE216),""),"")</f>
        <v/>
      </c>
      <c r="KL216" s="67">
        <f>IFERROR(IF(($KF216)&gt;0,($JZ216)/($KF216),""),"")</f>
        <v/>
      </c>
      <c r="KM216" s="67">
        <f>IFERROR(IF(($KG216)&gt;0,($KA216)/($KG216),""),"")</f>
        <v/>
      </c>
      <c r="KN216" s="67">
        <f>IFERROR(IF(($KH216)&gt;0,($KB216)/($KH216),""),"")</f>
        <v/>
      </c>
      <c r="KO216" s="55">
        <f>SUMIFS(tblBudget[Gold_Poured_oz],tblBudget[Month],$E216)</f>
        <v/>
      </c>
      <c r="KP216" s="55">
        <f>$KO216*$C216/$D216</f>
        <v/>
      </c>
      <c r="KQ216" s="55">
        <f>SUMIFS(tblBudget[Gold_Poured_oz],tblBudget[Month],"&lt;"&amp;$E216)+$KP216</f>
        <v/>
      </c>
      <c r="KR216" s="57">
        <f>SUMIFS(tblBudget[Hours_Worked],tblBudget[Month],$E216)</f>
        <v/>
      </c>
      <c r="KS216" s="57">
        <f>$KR216*$C216/$D216</f>
        <v/>
      </c>
      <c r="KT216" s="57">
        <f>SUMIFS(tblBudget[Hours_Worked],tblBudget[Month],"&lt;"&amp;$E216)+$KS216</f>
        <v/>
      </c>
    </row>
    <row r="217">
      <c r="A217" s="54" t="n">
        <v>46238</v>
      </c>
      <c r="B217">
        <f>MONTH($A217)</f>
        <v/>
      </c>
      <c r="C217">
        <f>DAY($A217)</f>
        <v/>
      </c>
      <c r="D217">
        <f>DAY(EOMONTH($A217,0))</f>
        <v/>
      </c>
      <c r="E217" s="54">
        <f>DATE(YEAR($A217),MONTH($A217),1)</f>
        <v/>
      </c>
      <c r="F217" s="55">
        <f>SUMIFS(tblMovement[Tonnes_t],tblMovement[Date],$A217,tblMovement[Is_Ore],1,tblMovement[Source_Type],"Pit")</f>
        <v/>
      </c>
      <c r="G217" s="55">
        <f>IF($B217=$B216,$G216,0)+$F217</f>
        <v/>
      </c>
      <c r="H217" s="55">
        <f>$H216+$F217</f>
        <v/>
      </c>
      <c r="I217" s="55">
        <f>SUMIFS(tblMovement[Ore_oz],tblMovement[Date],$A217,tblMovement[Source_Type],"Pit")</f>
        <v/>
      </c>
      <c r="J217" s="55">
        <f>IF($B217=$B216,$J216,0)+$I217</f>
        <v/>
      </c>
      <c r="K217" s="55">
        <f>$K216+$I217</f>
        <v/>
      </c>
      <c r="L217" s="55">
        <f>SUMIFS(tblMovement[Tonnes_t],tblMovement[Date],$A217,tblMovement[Is_Ore],1,tblMovement[Source_Type],"Pit",tblMovement[Grade_gpt],"&lt;&gt;")</f>
        <v/>
      </c>
      <c r="M217" s="55">
        <f>IF($B217=$B216,$M216,0)+$L217</f>
        <v/>
      </c>
      <c r="N217" s="55">
        <f>$N216+$L217</f>
        <v/>
      </c>
      <c r="O217" s="56">
        <f>IFERROR(IF(($L217)&gt;0,($I217*cfg_TroyOz)/($L217),""),"")</f>
        <v/>
      </c>
      <c r="P217" s="56">
        <f>IFERROR(IF(($M217)&gt;0,($J217*cfg_TroyOz)/($M217),""),"")</f>
        <v/>
      </c>
      <c r="Q217" s="56">
        <f>IFERROR(IF(($N217)&gt;0,($K217*cfg_TroyOz)/($N217),""),"")</f>
        <v/>
      </c>
      <c r="R217" s="55">
        <f>$F217-$L217</f>
        <v/>
      </c>
      <c r="S217" s="55">
        <f>IF($B217=$B216,$S216,0)+$R217</f>
        <v/>
      </c>
      <c r="T217" s="55">
        <f>$T216+$R217</f>
        <v/>
      </c>
      <c r="U217" s="55">
        <f>SUMIFS(tblMovement[Tonnes_t],tblMovement[Date],$A217,tblMovement[Is_Ore],0,tblMovement[Source_Type],"Pit")</f>
        <v/>
      </c>
      <c r="V217" s="55">
        <f>IF($B217=$B216,$V216,0)+$U217</f>
        <v/>
      </c>
      <c r="W217" s="55">
        <f>$W216+$U217</f>
        <v/>
      </c>
      <c r="X217" s="55">
        <f>$F217+$U217</f>
        <v/>
      </c>
      <c r="Y217" s="55">
        <f>IF($B217=$B216,$Y216,0)+$X217</f>
        <v/>
      </c>
      <c r="Z217" s="55">
        <f>$Z216+$X217</f>
        <v/>
      </c>
      <c r="AA217" s="56">
        <f>IFERROR(IF(($F217)&gt;0,($U217)/($F217),""),"")</f>
        <v/>
      </c>
      <c r="AB217" s="56">
        <f>IFERROR(IF(($G217)&gt;0,($V217)/($G217),""),"")</f>
        <v/>
      </c>
      <c r="AC217" s="56">
        <f>IFERROR(IF(($H217)&gt;0,($W217)/($H217),""),"")</f>
        <v/>
      </c>
      <c r="AD217" s="55">
        <f>SUMIFS(tblMovement[Tonnes_t],tblMovement[Date],$A217,tblMovement[Source_Type],"Stockpile")</f>
        <v/>
      </c>
      <c r="AE217" s="55">
        <f>IF($B217=$B216,$AE216,0)+$AD217</f>
        <v/>
      </c>
      <c r="AF217" s="55">
        <f>$AF216+$AD217</f>
        <v/>
      </c>
      <c r="AG217" s="55">
        <f>SUMIFS(tblMovement[Tonnes_t],tblMovement[Date],$A217)</f>
        <v/>
      </c>
      <c r="AH217" s="55">
        <f>IF($B217=$B216,$AH216,0)+$AG217</f>
        <v/>
      </c>
      <c r="AI217" s="55">
        <f>$AI216+$AG217</f>
        <v/>
      </c>
      <c r="AJ217" s="55">
        <f>$AG217-$X217-$AD217</f>
        <v/>
      </c>
      <c r="AK217" s="55">
        <f>IF($B217=$B216,$AK216,0)+$AJ217</f>
        <v/>
      </c>
      <c r="AL217" s="55">
        <f>$AL216+$AJ217</f>
        <v/>
      </c>
      <c r="AM217" s="55">
        <f>SUMIFS(tblMiningDaily[Drill_m],tblMiningDaily[Date],$A217)</f>
        <v/>
      </c>
      <c r="AN217" s="55">
        <f>IF($B217=$B216,$AN216,0)+$AM217</f>
        <v/>
      </c>
      <c r="AO217" s="55">
        <f>$AO216+$AM217</f>
        <v/>
      </c>
      <c r="AP217" s="55">
        <f>SUMIFS(tblMiningDaily[GC_Drill_m],tblMiningDaily[Date],$A217)</f>
        <v/>
      </c>
      <c r="AQ217" s="55">
        <f>IF($B217=$B216,$AQ216,0)+$AP217</f>
        <v/>
      </c>
      <c r="AR217" s="55">
        <f>$AR216+$AP217</f>
        <v/>
      </c>
      <c r="AS217" s="55">
        <f>SUMIFS(tblMiningDaily[Blast_t],tblMiningDaily[Date],$A217)</f>
        <v/>
      </c>
      <c r="AT217" s="55">
        <f>IF($B217=$B216,$AT216,0)+$AS217</f>
        <v/>
      </c>
      <c r="AU217" s="55">
        <f>$AU216+$AS217</f>
        <v/>
      </c>
      <c r="AV217" s="55">
        <f>SUMIFS(tblMiningDaily[Explosives_kg],tblMiningDaily[Date],$A217)</f>
        <v/>
      </c>
      <c r="AW217" s="55">
        <f>IF($B217=$B216,$AW216,0)+$AV217</f>
        <v/>
      </c>
      <c r="AX217" s="55">
        <f>$AX216+$AV217</f>
        <v/>
      </c>
      <c r="AY217" s="56">
        <f>IFERROR(IF(($AS217)&gt;0,($AV217)/($AS217),""),"")</f>
        <v/>
      </c>
      <c r="AZ217" s="56">
        <f>IFERROR(IF(($AT217)&gt;0,($AW217)/($AT217),""),"")</f>
        <v/>
      </c>
      <c r="BA217" s="56">
        <f>IFERROR(IF(($AU217)&gt;0,($AX217)/($AU217),""),"")</f>
        <v/>
      </c>
      <c r="BB217" s="55">
        <f>SUMIFS(tblMiningDaily[Diesel_L],tblMiningDaily[Date],$A217)</f>
        <v/>
      </c>
      <c r="BC217" s="55">
        <f>IF($B217=$B216,$BC216,0)+$BB217</f>
        <v/>
      </c>
      <c r="BD217" s="55">
        <f>$BD216+$BB217</f>
        <v/>
      </c>
      <c r="BE217" s="55">
        <f>SUMIFS(tblMiningDaily[Dewatering_m3],tblMiningDaily[Date],$A217)</f>
        <v/>
      </c>
      <c r="BF217" s="55">
        <f>IF($B217=$B216,$BF216,0)+$BE217</f>
        <v/>
      </c>
      <c r="BG217" s="55">
        <f>$BG216+$BE217</f>
        <v/>
      </c>
      <c r="BH217" s="57">
        <f>SUMIFS(tblFleet[Calendar_h],tblFleet[Date],$A217,tblFleet[Equipment_Class],"Excavator")</f>
        <v/>
      </c>
      <c r="BI217" s="57">
        <f>IF($B217=$B216,$BI216,0)+$BH217</f>
        <v/>
      </c>
      <c r="BJ217" s="57">
        <f>$BJ216+$BH217</f>
        <v/>
      </c>
      <c r="BK217" s="57">
        <f>SUMIFS(tblFleet[Available_h],tblFleet[Date],$A217,tblFleet[Equipment_Class],"Excavator")</f>
        <v/>
      </c>
      <c r="BL217" s="57">
        <f>IF($B217=$B216,$BL216,0)+$BK217</f>
        <v/>
      </c>
      <c r="BM217" s="57">
        <f>$BM216+$BK217</f>
        <v/>
      </c>
      <c r="BN217" s="57">
        <f>SUMIFS(tblFleet[Operating_h],tblFleet[Date],$A217,tblFleet[Equipment_Class],"Excavator")</f>
        <v/>
      </c>
      <c r="BO217" s="57">
        <f>IF($B217=$B216,$BO216,0)+$BN217</f>
        <v/>
      </c>
      <c r="BP217" s="57">
        <f>$BP216+$BN217</f>
        <v/>
      </c>
      <c r="BQ217" s="67">
        <f>IFERROR(IF(($BH217)&gt;0,($BK217)/($BH217),""),"")</f>
        <v/>
      </c>
      <c r="BR217" s="67">
        <f>IFERROR(IF(($BI217)&gt;0,($BL217)/($BI217),""),"")</f>
        <v/>
      </c>
      <c r="BS217" s="67">
        <f>IFERROR(IF(($BJ217)&gt;0,($BM217)/($BJ217),""),"")</f>
        <v/>
      </c>
      <c r="BT217" s="67">
        <f>IFERROR(IF(($BK217)&gt;0,($BN217)/($BK217),""),"")</f>
        <v/>
      </c>
      <c r="BU217" s="67">
        <f>IFERROR(IF(($BL217)&gt;0,($BO217)/($BL217),""),"")</f>
        <v/>
      </c>
      <c r="BV217" s="67">
        <f>IFERROR(IF(($BM217)&gt;0,($BP217)/($BM217),""),"")</f>
        <v/>
      </c>
      <c r="BW217" s="57">
        <f>SUMIFS(tblFleet[Calendar_h],tblFleet[Date],$A217,tblFleet[Equipment_Class],"Haul Truck")</f>
        <v/>
      </c>
      <c r="BX217" s="57">
        <f>IF($B217=$B216,$BX216,0)+$BW217</f>
        <v/>
      </c>
      <c r="BY217" s="57">
        <f>$BY216+$BW217</f>
        <v/>
      </c>
      <c r="BZ217" s="57">
        <f>SUMIFS(tblFleet[Available_h],tblFleet[Date],$A217,tblFleet[Equipment_Class],"Haul Truck")</f>
        <v/>
      </c>
      <c r="CA217" s="57">
        <f>IF($B217=$B216,$CA216,0)+$BZ217</f>
        <v/>
      </c>
      <c r="CB217" s="57">
        <f>$CB216+$BZ217</f>
        <v/>
      </c>
      <c r="CC217" s="57">
        <f>SUMIFS(tblFleet[Operating_h],tblFleet[Date],$A217,tblFleet[Equipment_Class],"Haul Truck")</f>
        <v/>
      </c>
      <c r="CD217" s="57">
        <f>IF($B217=$B216,$CD216,0)+$CC217</f>
        <v/>
      </c>
      <c r="CE217" s="57">
        <f>$CE216+$CC217</f>
        <v/>
      </c>
      <c r="CF217" s="67">
        <f>IFERROR(IF(($BW217)&gt;0,($BZ217)/($BW217),""),"")</f>
        <v/>
      </c>
      <c r="CG217" s="67">
        <f>IFERROR(IF(($BX217)&gt;0,($CA217)/($BX217),""),"")</f>
        <v/>
      </c>
      <c r="CH217" s="67">
        <f>IFERROR(IF(($BY217)&gt;0,($CB217)/($BY217),""),"")</f>
        <v/>
      </c>
      <c r="CI217" s="67">
        <f>IFERROR(IF(($BZ217)&gt;0,($CC217)/($BZ217),""),"")</f>
        <v/>
      </c>
      <c r="CJ217" s="67">
        <f>IFERROR(IF(($CA217)&gt;0,($CD217)/($CA217),""),"")</f>
        <v/>
      </c>
      <c r="CK217" s="67">
        <f>IFERROR(IF(($CB217)&gt;0,($CE217)/($CB217),""),"")</f>
        <v/>
      </c>
      <c r="CL217" s="55">
        <f>IFERROR(IF(($BN217)&gt;0,($X217+$AD217)/($BN217),""),"")</f>
        <v/>
      </c>
      <c r="CM217" s="55">
        <f>IFERROR(IF(($BO217)&gt;0,($Y217+$AE217)/($BO217),""),"")</f>
        <v/>
      </c>
      <c r="CN217" s="55">
        <f>IFERROR(IF(($BP217)&gt;0,($Z217+$AF217)/($BP217),""),"")</f>
        <v/>
      </c>
      <c r="CO217" s="55">
        <f>IFERROR(IF(($CC217)&gt;0,($X217+$AD217)/($CC217),""),"")</f>
        <v/>
      </c>
      <c r="CP217" s="55">
        <f>IFERROR(IF(($CD217)&gt;0,($Y217+$AE217)/($CD217),""),"")</f>
        <v/>
      </c>
      <c r="CQ217" s="55">
        <f>IFERROR(IF(($CE217)&gt;0,($Z217+$AF217)/($CE217),""),"")</f>
        <v/>
      </c>
      <c r="CR217" s="55">
        <f>SUMIFS(tblPlant[Crushed_t],tblPlant[Date],$A217)</f>
        <v/>
      </c>
      <c r="CS217" s="55">
        <f>IF($B217=$B216,$CS216,0)+$CR217</f>
        <v/>
      </c>
      <c r="CT217" s="55">
        <f>$CT216+$CR217</f>
        <v/>
      </c>
      <c r="CU217" s="55">
        <f>SUMIFS(tblPlant[Milled_t],tblPlant[Date],$A217)</f>
        <v/>
      </c>
      <c r="CV217" s="55">
        <f>IF($B217=$B216,$CV216,0)+$CU217</f>
        <v/>
      </c>
      <c r="CW217" s="55">
        <f>$CW216+$CU217</f>
        <v/>
      </c>
      <c r="CX217" s="55">
        <f>SUMIFS(tblPlant[Feed_oz],tblPlant[Date],$A217)</f>
        <v/>
      </c>
      <c r="CY217" s="55">
        <f>IF($B217=$B216,$CY216,0)+$CX217</f>
        <v/>
      </c>
      <c r="CZ217" s="55">
        <f>$CZ216+$CX217</f>
        <v/>
      </c>
      <c r="DA217" s="55">
        <f>SUMIFS(tblPlant[Tails_oz],tblPlant[Date],$A217)</f>
        <v/>
      </c>
      <c r="DB217" s="55">
        <f>IF($B217=$B216,$DB216,0)+$DA217</f>
        <v/>
      </c>
      <c r="DC217" s="55">
        <f>$DC216+$DA217</f>
        <v/>
      </c>
      <c r="DD217" s="55">
        <f>SUMIFS(tblPlant[Recovered_oz],tblPlant[Date],$A217)</f>
        <v/>
      </c>
      <c r="DE217" s="55">
        <f>IF($B217=$B216,$DE216,0)+$DD217</f>
        <v/>
      </c>
      <c r="DF217" s="55">
        <f>$DF216+$DD217</f>
        <v/>
      </c>
      <c r="DG217" s="55">
        <f>SUMIFS(tblPlant[Milled_t],tblPlant[Date],$A217,tblPlant[Head_Grade_gpt],"&lt;&gt;")</f>
        <v/>
      </c>
      <c r="DH217" s="55">
        <f>IF($B217=$B216,$DH216,0)+$DG217</f>
        <v/>
      </c>
      <c r="DI217" s="55">
        <f>$DI216+$DG217</f>
        <v/>
      </c>
      <c r="DJ217" s="55">
        <f>SUMIFS(tblPlant[Milled_t],tblPlant[Date],$A217,tblPlant[Tails_Grade_gpt],"&lt;&gt;")</f>
        <v/>
      </c>
      <c r="DK217" s="55">
        <f>IF($B217=$B216,$DK216,0)+$DJ217</f>
        <v/>
      </c>
      <c r="DL217" s="55">
        <f>$DL216+$DJ217</f>
        <v/>
      </c>
      <c r="DM217" s="55">
        <f>SUMIFS(tblPlant[Feed_oz],tblPlant[Date],$A217,tblPlant[Tails_Grade_gpt],"&lt;&gt;")</f>
        <v/>
      </c>
      <c r="DN217" s="55">
        <f>IF($B217=$B216,$DN216,0)+$DM217</f>
        <v/>
      </c>
      <c r="DO217" s="55">
        <f>$DO216+$DM217</f>
        <v/>
      </c>
      <c r="DP217" s="55">
        <f>SUMIFS(tblPlant[Milled_t],tblPlant[Date],$A217,tblPlant[Mill_Run_h],"&lt;&gt;")</f>
        <v/>
      </c>
      <c r="DQ217" s="55">
        <f>IF($B217=$B216,$DQ216,0)+$DP217</f>
        <v/>
      </c>
      <c r="DR217" s="55">
        <f>$DR216+$DP217</f>
        <v/>
      </c>
      <c r="DS217" s="56">
        <f>IFERROR(IF(($DG217)&gt;0,($CX217*cfg_TroyOz)/($DG217),""),"")</f>
        <v/>
      </c>
      <c r="DT217" s="56">
        <f>IFERROR(IF(($DH217)&gt;0,($CY217*cfg_TroyOz)/($DH217),""),"")</f>
        <v/>
      </c>
      <c r="DU217" s="56">
        <f>IFERROR(IF(($DI217)&gt;0,($CZ217*cfg_TroyOz)/($DI217),""),"")</f>
        <v/>
      </c>
      <c r="DV217" s="56">
        <f>IFERROR(IF(($DJ217)&gt;0,($DA217*cfg_TroyOz)/($DJ217),""),"")</f>
        <v/>
      </c>
      <c r="DW217" s="56">
        <f>IFERROR(IF(($DK217)&gt;0,($DB217*cfg_TroyOz)/($DK217),""),"")</f>
        <v/>
      </c>
      <c r="DX217" s="56">
        <f>IFERROR(IF(($DL217)&gt;0,($DC217*cfg_TroyOz)/($DL217),""),"")</f>
        <v/>
      </c>
      <c r="DY217" s="67">
        <f>IFERROR(IF(($DM217)&gt;0,($DD217)/($DM217),""),"")</f>
        <v/>
      </c>
      <c r="DZ217" s="67">
        <f>IFERROR(IF(($DN217)&gt;0,($DE217)/($DN217),""),"")</f>
        <v/>
      </c>
      <c r="EA217" s="67">
        <f>IFERROR(IF(($DO217)&gt;0,($DF217)/($DO217),""),"")</f>
        <v/>
      </c>
      <c r="EB217" s="55">
        <f>SUMIFS(tblPlant[Gravity_Gold_oz],tblPlant[Date],$A217)</f>
        <v/>
      </c>
      <c r="EC217" s="55">
        <f>IF($B217=$B216,$EC216,0)+$EB217</f>
        <v/>
      </c>
      <c r="ED217" s="55">
        <f>$ED216+$EB217</f>
        <v/>
      </c>
      <c r="EE217" s="67">
        <f>IFERROR(IF(($DD217)&gt;0,($EB217)/($DD217),""),"")</f>
        <v/>
      </c>
      <c r="EF217" s="67">
        <f>IFERROR(IF(($DE217)&gt;0,($EC217)/($DE217),""),"")</f>
        <v/>
      </c>
      <c r="EG217" s="67">
        <f>IFERROR(IF(($DF217)&gt;0,($ED217)/($DF217),""),"")</f>
        <v/>
      </c>
      <c r="EH217" s="55">
        <f>SUMIFS(tblPlant[Gold_Poured_oz],tblPlant[Date],$A217)</f>
        <v/>
      </c>
      <c r="EI217" s="55">
        <f>IF($B217=$B216,$EI216,0)+$EH217</f>
        <v/>
      </c>
      <c r="EJ217" s="55">
        <f>$EJ216+$EH217</f>
        <v/>
      </c>
      <c r="EK217" s="57">
        <f>SUMIFS(tblPlant[Mill_Run_h],tblPlant[Date],$A217)</f>
        <v/>
      </c>
      <c r="EL217" s="57">
        <f>IF($B217=$B216,$EL216,0)+$EK217</f>
        <v/>
      </c>
      <c r="EM217" s="57">
        <f>$EM216+$EK217</f>
        <v/>
      </c>
      <c r="EN217" s="57">
        <f>SUMIFS(tblPlant[Mill_Planned_Maint_h],tblPlant[Date],$A217)</f>
        <v/>
      </c>
      <c r="EO217" s="57">
        <f>IF($B217=$B216,$EO216,0)+$EN217</f>
        <v/>
      </c>
      <c r="EP217" s="57">
        <f>$EP216+$EN217</f>
        <v/>
      </c>
      <c r="EQ217" s="57">
        <f>SUMIFS(tblPlant[Mill_Unplanned_Down_h],tblPlant[Date],$A217)</f>
        <v/>
      </c>
      <c r="ER217" s="57">
        <f>IF($B217=$B216,$ER216,0)+$EQ217</f>
        <v/>
      </c>
      <c r="ES217" s="57">
        <f>$ES216+$EQ217</f>
        <v/>
      </c>
      <c r="ET217" s="57">
        <f>IF(COUNTIFS(tblPlant[Date],$A217,tblPlant[Mill_Run_h],"&lt;&gt;")+COUNTIFS(tblPlant[Date],$A217,tblPlant[Mill_Planned_Maint_h],"&lt;&gt;")+COUNTIFS(tblPlant[Date],$A217,tblPlant[Mill_Unplanned_Down_h],"&lt;&gt;")&gt;0,cfg_HoursPerDay,0)</f>
        <v/>
      </c>
      <c r="EU217" s="57">
        <f>IF($B217=$B216,$EU216,0)+$ET217</f>
        <v/>
      </c>
      <c r="EV217" s="57">
        <f>$EV216+$ET217</f>
        <v/>
      </c>
      <c r="EW217" s="57">
        <f>SUMIFS(tblPlant[Crusher_Run_h],tblPlant[Date],$A217)</f>
        <v/>
      </c>
      <c r="EX217" s="57">
        <f>IF($B217=$B216,$EX216,0)+$EW217</f>
        <v/>
      </c>
      <c r="EY217" s="57">
        <f>$EY216+$EW217</f>
        <v/>
      </c>
      <c r="EZ217" s="55">
        <f>IFERROR(IF(($EK217)&gt;0,($DP217)/($EK217),""),"")</f>
        <v/>
      </c>
      <c r="FA217" s="55">
        <f>IFERROR(IF(($EL217)&gt;0,($DQ217)/($EL217),""),"")</f>
        <v/>
      </c>
      <c r="FB217" s="55">
        <f>IFERROR(IF(($EM217)&gt;0,($DR217)/($EM217),""),"")</f>
        <v/>
      </c>
      <c r="FC217" s="67">
        <f>IFERROR(IF(($ET217)&gt;0,($ET217-$EN217-$EQ217)/($ET217),""),"")</f>
        <v/>
      </c>
      <c r="FD217" s="67">
        <f>IFERROR(IF(($EU217)&gt;0,($EU217-$EO217-$ER217)/($EU217),""),"")</f>
        <v/>
      </c>
      <c r="FE217" s="67">
        <f>IFERROR(IF(($EV217)&gt;0,($EV217-$EP217-$ES217)/($EV217),""),"")</f>
        <v/>
      </c>
      <c r="FF217" s="67">
        <f>IFERROR(IF(($ET217-$EN217-$EQ217)&gt;0,($EK217)/($ET217-$EN217-$EQ217),""),"")</f>
        <v/>
      </c>
      <c r="FG217" s="67">
        <f>IFERROR(IF(($EU217-$EO217-$ER217)&gt;0,($EL217)/($EU217-$EO217-$ER217),""),"")</f>
        <v/>
      </c>
      <c r="FH217" s="67">
        <f>IFERROR(IF(($EV217-$EP217-$ES217)&gt;0,($EM217)/($EV217-$EP217-$ES217),""),"")</f>
        <v/>
      </c>
      <c r="FI217" s="55">
        <f>SUMIFS(tblPlant[Cyanide_kg],tblPlant[Date],$A217)</f>
        <v/>
      </c>
      <c r="FJ217" s="55">
        <f>IF($B217=$B216,$FJ216,0)+$FI217</f>
        <v/>
      </c>
      <c r="FK217" s="55">
        <f>$FK216+$FI217</f>
        <v/>
      </c>
      <c r="FL217" s="55">
        <f>SUMIFS(tblPlant[Lime_kg],tblPlant[Date],$A217)</f>
        <v/>
      </c>
      <c r="FM217" s="55">
        <f>IF($B217=$B216,$FM216,0)+$FL217</f>
        <v/>
      </c>
      <c r="FN217" s="55">
        <f>$FN216+$FL217</f>
        <v/>
      </c>
      <c r="FO217" s="55">
        <f>SUMIFS(tblPlant[Grinding_Media_kg],tblPlant[Date],$A217)</f>
        <v/>
      </c>
      <c r="FP217" s="55">
        <f>IF($B217=$B216,$FP216,0)+$FO217</f>
        <v/>
      </c>
      <c r="FQ217" s="55">
        <f>$FQ216+$FO217</f>
        <v/>
      </c>
      <c r="FR217" s="55">
        <f>SUMIFS(tblPlant[Power_kWh],tblPlant[Date],$A217)</f>
        <v/>
      </c>
      <c r="FS217" s="55">
        <f>IF($B217=$B216,$FS216,0)+$FR217</f>
        <v/>
      </c>
      <c r="FT217" s="55">
        <f>$FT216+$FR217</f>
        <v/>
      </c>
      <c r="FU217" s="55">
        <f>SUMIFS(tblPlant[Raw_Water_m3],tblPlant[Date],$A217)</f>
        <v/>
      </c>
      <c r="FV217" s="55">
        <f>IF($B217=$B216,$FV216,0)+$FU217</f>
        <v/>
      </c>
      <c r="FW217" s="55">
        <f>$FW216+$FU217</f>
        <v/>
      </c>
      <c r="FX217" s="56">
        <f>IFERROR(IF(($CU217)&gt;0,($FI217)/($CU217),""),"")</f>
        <v/>
      </c>
      <c r="FY217" s="56">
        <f>IFERROR(IF(($CV217)&gt;0,($FJ217)/($CV217),""),"")</f>
        <v/>
      </c>
      <c r="FZ217" s="56">
        <f>IFERROR(IF(($CW217)&gt;0,($FK217)/($CW217),""),"")</f>
        <v/>
      </c>
      <c r="GA217" s="56">
        <f>IFERROR(IF(($CU217)&gt;0,($FL217)/($CU217),""),"")</f>
        <v/>
      </c>
      <c r="GB217" s="56">
        <f>IFERROR(IF(($CV217)&gt;0,($FM217)/($CV217),""),"")</f>
        <v/>
      </c>
      <c r="GC217" s="56">
        <f>IFERROR(IF(($CW217)&gt;0,($FN217)/($CW217),""),"")</f>
        <v/>
      </c>
      <c r="GD217" s="56">
        <f>IFERROR(IF(($CU217)&gt;0,($FO217)/($CU217),""),"")</f>
        <v/>
      </c>
      <c r="GE217" s="56">
        <f>IFERROR(IF(($CV217)&gt;0,($FP217)/($CV217),""),"")</f>
        <v/>
      </c>
      <c r="GF217" s="56">
        <f>IFERROR(IF(($CW217)&gt;0,($FQ217)/($CW217),""),"")</f>
        <v/>
      </c>
      <c r="GG217" s="79">
        <f>IFERROR(IF(($CU217)&gt;0,($FR217)/($CU217),""),"")</f>
        <v/>
      </c>
      <c r="GH217" s="79">
        <f>IFERROR(IF(($CV217)&gt;0,($FS217)/($CV217),""),"")</f>
        <v/>
      </c>
      <c r="GI217" s="79">
        <f>IFERROR(IF(($CW217)&gt;0,($FT217)/($CW217),""),"")</f>
        <v/>
      </c>
      <c r="GJ217" s="56">
        <f>IFERROR(IF(($CU217)&gt;0,($FU217)/($CU217),""),"")</f>
        <v/>
      </c>
      <c r="GK217" s="56">
        <f>IFERROR(IF(($CV217)&gt;0,($FV217)/($CV217),""),"")</f>
        <v/>
      </c>
      <c r="GL217" s="56">
        <f>IFERROR(IF(($CW217)&gt;0,($FW217)/($CW217),""),"")</f>
        <v/>
      </c>
      <c r="GM217" s="55">
        <f>IF(SUMIFS(tblPlant[GIC_oz],tblPlant[Date],$A217)&gt;0,SUMIFS(tblPlant[GIC_oz],tblPlant[Date],$A217),"")</f>
        <v/>
      </c>
      <c r="GN217" s="55">
        <f>SUMIFS(tblGold[Gold_oz],tblGold[Date],$A217,tblGold[Type],"Shipment")</f>
        <v/>
      </c>
      <c r="GO217" s="55">
        <f>IF($B217=$B216,$GO216,0)+$GN217</f>
        <v/>
      </c>
      <c r="GP217" s="55">
        <f>$GP216+$GN217</f>
        <v/>
      </c>
      <c r="GQ217" s="55">
        <f>SUMIFS(tblGold[Gold_oz],tblGold[Date],$A217,tblGold[Type],"Sale")</f>
        <v/>
      </c>
      <c r="GR217" s="55">
        <f>IF($B217=$B216,$GR216,0)+$GQ217</f>
        <v/>
      </c>
      <c r="GS217" s="55">
        <f>$GS216+$GQ217</f>
        <v/>
      </c>
      <c r="GT217" s="55">
        <f>SUMIFS(tblGold[Dore_kg],tblGold[Date],$A217,tblGold[Type],"Shipment")</f>
        <v/>
      </c>
      <c r="GU217" s="55">
        <f>IF($B217=$B216,$GU216,0)+$GT217</f>
        <v/>
      </c>
      <c r="GV217" s="55">
        <f>$GV216+$GT217</f>
        <v/>
      </c>
      <c r="GW217" s="57">
        <f>SUMIFS(tblSafety[Hours_Total],tblSafety[Date],$A217)</f>
        <v/>
      </c>
      <c r="GX217" s="57">
        <f>IF($B217=$B216,$GX216,0)+$GW217</f>
        <v/>
      </c>
      <c r="GY217" s="57">
        <f>$GY216+$GW217</f>
        <v/>
      </c>
      <c r="GZ217" s="62">
        <f>SUMIFS(tblSafety[Fatality],tblSafety[Date],$A217)</f>
        <v/>
      </c>
      <c r="HA217" s="62">
        <f>IF($B217=$B216,$HA216,0)+$GZ217</f>
        <v/>
      </c>
      <c r="HB217" s="62">
        <f>$HB216+$GZ217</f>
        <v/>
      </c>
      <c r="HC217" s="62">
        <f>SUMIFS(tblSafety[LTI],tblSafety[Date],$A217)</f>
        <v/>
      </c>
      <c r="HD217" s="62">
        <f>IF($B217=$B216,$HD216,0)+$HC217</f>
        <v/>
      </c>
      <c r="HE217" s="62">
        <f>$HE216+$HC217</f>
        <v/>
      </c>
      <c r="HF217" s="62">
        <f>SUMIFS(tblSafety[RWI],tblSafety[Date],$A217)</f>
        <v/>
      </c>
      <c r="HG217" s="62">
        <f>IF($B217=$B216,$HG216,0)+$HF217</f>
        <v/>
      </c>
      <c r="HH217" s="62">
        <f>$HH216+$HF217</f>
        <v/>
      </c>
      <c r="HI217" s="62">
        <f>SUMIFS(tblSafety[MTI],tblSafety[Date],$A217)</f>
        <v/>
      </c>
      <c r="HJ217" s="62">
        <f>IF($B217=$B216,$HJ216,0)+$HI217</f>
        <v/>
      </c>
      <c r="HK217" s="62">
        <f>$HK216+$HI217</f>
        <v/>
      </c>
      <c r="HL217" s="62">
        <f>SUMIFS(tblSafety[FAI],tblSafety[Date],$A217)</f>
        <v/>
      </c>
      <c r="HM217" s="62">
        <f>IF($B217=$B216,$HM216,0)+$HL217</f>
        <v/>
      </c>
      <c r="HN217" s="62">
        <f>$HN216+$HL217</f>
        <v/>
      </c>
      <c r="HO217" s="62">
        <f>SUMIFS(tblSafety[Recordables],tblSafety[Date],$A217)</f>
        <v/>
      </c>
      <c r="HP217" s="62">
        <f>IF($B217=$B216,$HP216,0)+$HO217</f>
        <v/>
      </c>
      <c r="HQ217" s="62">
        <f>$HQ216+$HO217</f>
        <v/>
      </c>
      <c r="HR217" s="62">
        <f>SUMIFS(tblSafety[Near_Miss],tblSafety[Date],$A217)</f>
        <v/>
      </c>
      <c r="HS217" s="62">
        <f>IF($B217=$B216,$HS216,0)+$HR217</f>
        <v/>
      </c>
      <c r="HT217" s="62">
        <f>$HT216+$HR217</f>
        <v/>
      </c>
      <c r="HU217" s="62">
        <f>SUMIFS(tblSafety[Hazard_Reports],tblSafety[Date],$A217)</f>
        <v/>
      </c>
      <c r="HV217" s="62">
        <f>IF($B217=$B216,$HV216,0)+$HU217</f>
        <v/>
      </c>
      <c r="HW217" s="62">
        <f>$HW216+$HU217</f>
        <v/>
      </c>
      <c r="HX217" s="62">
        <f>SUMIFS(tblSafety[HPI],tblSafety[Date],$A217)</f>
        <v/>
      </c>
      <c r="HY217" s="62">
        <f>IF($B217=$B216,$HY216,0)+$HX217</f>
        <v/>
      </c>
      <c r="HZ217" s="62">
        <f>$HZ216+$HX217</f>
        <v/>
      </c>
      <c r="IA217" s="62">
        <f>SUMIFS(tblSafety[Env_Incidents],tblSafety[Date],$A217)</f>
        <v/>
      </c>
      <c r="IB217" s="62">
        <f>IF($B217=$B216,$IB216,0)+$IA217</f>
        <v/>
      </c>
      <c r="IC217" s="62">
        <f>$IC216+$IA217</f>
        <v/>
      </c>
      <c r="ID217" s="62">
        <f>SUMIFS(tblSafety[Community_Incidents],tblSafety[Date],$A217)</f>
        <v/>
      </c>
      <c r="IE217" s="62">
        <f>IF($B217=$B216,$IE216,0)+$ID217</f>
        <v/>
      </c>
      <c r="IF217" s="62">
        <f>$IF216+$ID217</f>
        <v/>
      </c>
      <c r="IG217" s="62">
        <f>SUMIFS(tblSafety[Vehicle_Incidents],tblSafety[Date],$A217)</f>
        <v/>
      </c>
      <c r="IH217" s="62">
        <f>IF($B217=$B216,$IH216,0)+$IG217</f>
        <v/>
      </c>
      <c r="II217" s="62">
        <f>$II216+$IG217</f>
        <v/>
      </c>
      <c r="IJ217" s="62">
        <f>SUMIFS(tblSafety[Toolbox_Talks],tblSafety[Date],$A217)</f>
        <v/>
      </c>
      <c r="IK217" s="62">
        <f>IF($B217=$B216,$IK216,0)+$IJ217</f>
        <v/>
      </c>
      <c r="IL217" s="62">
        <f>$IL216+$IJ217</f>
        <v/>
      </c>
      <c r="IM217" s="62">
        <f>SUMIFS(tblSafety[Inspections],tblSafety[Date],$A217)</f>
        <v/>
      </c>
      <c r="IN217" s="62">
        <f>IF($B217=$B216,$IN216,0)+$IM217</f>
        <v/>
      </c>
      <c r="IO217" s="62">
        <f>$IO216+$IM217</f>
        <v/>
      </c>
      <c r="IP217" s="56">
        <f>IFERROR((SUMIFS(tblSafety[Recordables],tblSafety[Date],"&gt;="&amp;EDATE($E217,-12),tblSafety[Date],"&lt;="&amp;$A217)+SUMIFS(tblSafetyHistory[Recordables],tblSafetyHistory[Month],"&gt;="&amp;EDATE($E217,-12),tblSafetyHistory[Month],"&lt;"&amp;$E217,tblSafetyHistory[Use],1))/(SUMIFS(tblSafety[Hours_Total],tblSafety[Date],"&gt;="&amp;EDATE($E217,-12),tblSafety[Date],"&lt;="&amp;$A217)+SUMIFS(tblSafetyHistory[Hours_Total],tblSafetyHistory[Month],"&gt;="&amp;EDATE($E217,-12),tblSafetyHistory[Month],"&lt;"&amp;$E217,tblSafetyHistory[Use],1))*cfg_RateBasisHours,"")</f>
        <v/>
      </c>
      <c r="IQ217" s="56">
        <f>IFERROR((SUMIFS(tblSafety[LTI],tblSafety[Date],"&gt;="&amp;EDATE($E217,-12),tblSafety[Date],"&lt;="&amp;$A217)+SUMIFS(tblSafetyHistory[LTI],tblSafetyHistory[Month],"&gt;="&amp;EDATE($E217,-12),tblSafetyHistory[Month],"&lt;"&amp;$E217,tblSafetyHistory[Use],1))/(SUMIFS(tblSafety[Hours_Total],tblSafety[Date],"&gt;="&amp;EDATE($E217,-12),tblSafety[Date],"&lt;="&amp;$A217)+SUMIFS(tblSafetyHistory[Hours_Total],tblSafetyHistory[Month],"&gt;="&amp;EDATE($E217,-12),tblSafetyHistory[Month],"&lt;"&amp;$E217,tblSafetyHistory[Use],1))*cfg_RateBasisHours,"")</f>
        <v/>
      </c>
      <c r="IR217" s="62">
        <f>IF(MAX(N(cfg_PriorLTIDate),_xlfn.MAXIFS(tblSafety[Date],tblSafety[LTI],"&gt;0",tblSafety[Date],"&lt;="&amp;$A217))=0,"",$A217-MAX(N(cfg_PriorLTIDate),_xlfn.MAXIFS(tblSafety[Date],tblSafety[LTI],"&gt;0",tblSafety[Date],"&lt;="&amp;$A217)))</f>
        <v/>
      </c>
      <c r="IS217" s="55">
        <f>SUMIFS(tblBudget[Ore_Mined_t],tblBudget[Month],$E217)</f>
        <v/>
      </c>
      <c r="IT217" s="55">
        <f>$IS217*$C217/$D217</f>
        <v/>
      </c>
      <c r="IU217" s="55">
        <f>SUMIFS(tblBudget[Ore_Mined_t],tblBudget[Month],"&lt;"&amp;$E217)+$IT217</f>
        <v/>
      </c>
      <c r="IV217" s="55">
        <f>SUMIFS(tblBudget[Ore_oz],tblBudget[Month],$E217)</f>
        <v/>
      </c>
      <c r="IW217" s="55">
        <f>$IV217*$C217/$D217</f>
        <v/>
      </c>
      <c r="IX217" s="55">
        <f>SUMIFS(tblBudget[Ore_oz],tblBudget[Month],"&lt;"&amp;$E217)+$IW217</f>
        <v/>
      </c>
      <c r="IY217" s="55">
        <f>SUMIFS(tblBudget[Ore_Mined_t],tblBudget[Month],$E217)</f>
        <v/>
      </c>
      <c r="IZ217" s="55">
        <f>$IY217*$C217/$D217</f>
        <v/>
      </c>
      <c r="JA217" s="55">
        <f>SUMIFS(tblBudget[Ore_Mined_t],tblBudget[Month],"&lt;"&amp;$E217)+$IZ217</f>
        <v/>
      </c>
      <c r="JB217" s="56">
        <f>IFERROR(IF(($IY217)&gt;0,($IV217*cfg_TroyOz)/($IY217),""),"")</f>
        <v/>
      </c>
      <c r="JC217" s="56">
        <f>IFERROR(IF(($IZ217)&gt;0,($IW217*cfg_TroyOz)/($IZ217),""),"")</f>
        <v/>
      </c>
      <c r="JD217" s="56">
        <f>IFERROR(IF(($JA217)&gt;0,($IX217*cfg_TroyOz)/($JA217),""),"")</f>
        <v/>
      </c>
      <c r="JE217" s="55">
        <f>SUMIFS(tblBudget[Waste_t],tblBudget[Month],$E217)</f>
        <v/>
      </c>
      <c r="JF217" s="55">
        <f>$JE217*$C217/$D217</f>
        <v/>
      </c>
      <c r="JG217" s="55">
        <f>SUMIFS(tblBudget[Waste_t],tblBudget[Month],"&lt;"&amp;$E217)+$JF217</f>
        <v/>
      </c>
      <c r="JH217" s="55">
        <f>SUMIFS(tblBudget[TMM_t],tblBudget[Month],$E217)</f>
        <v/>
      </c>
      <c r="JI217" s="55">
        <f>$JH217*$C217/$D217</f>
        <v/>
      </c>
      <c r="JJ217" s="55">
        <f>SUMIFS(tblBudget[TMM_t],tblBudget[Month],"&lt;"&amp;$E217)+$JI217</f>
        <v/>
      </c>
      <c r="JK217" s="56">
        <f>IFERROR(IF(($IS217)&gt;0,($JE217)/($IS217),""),"")</f>
        <v/>
      </c>
      <c r="JL217" s="56">
        <f>IFERROR(IF(($IT217)&gt;0,($JF217)/($IT217),""),"")</f>
        <v/>
      </c>
      <c r="JM217" s="56">
        <f>IFERROR(IF(($IU217)&gt;0,($JG217)/($IU217),""),"")</f>
        <v/>
      </c>
      <c r="JN217" s="55">
        <f>SUMIFS(tblBudget[Drill_m],tblBudget[Month],$E217)</f>
        <v/>
      </c>
      <c r="JO217" s="55">
        <f>$JN217*$C217/$D217</f>
        <v/>
      </c>
      <c r="JP217" s="55">
        <f>SUMIFS(tblBudget[Drill_m],tblBudget[Month],"&lt;"&amp;$E217)+$JO217</f>
        <v/>
      </c>
      <c r="JQ217" s="55">
        <f>SUMIFS(tblBudget[Diesel_L],tblBudget[Month],$E217)</f>
        <v/>
      </c>
      <c r="JR217" s="55">
        <f>$JQ217*$C217/$D217</f>
        <v/>
      </c>
      <c r="JS217" s="55">
        <f>SUMIFS(tblBudget[Diesel_L],tblBudget[Month],"&lt;"&amp;$E217)+$JR217</f>
        <v/>
      </c>
      <c r="JT217" s="55">
        <f>SUMIFS(tblBudget[Milled_t],tblBudget[Month],$E217)</f>
        <v/>
      </c>
      <c r="JU217" s="55">
        <f>$JT217*$C217/$D217</f>
        <v/>
      </c>
      <c r="JV217" s="55">
        <f>SUMIFS(tblBudget[Milled_t],tblBudget[Month],"&lt;"&amp;$E217)+$JU217</f>
        <v/>
      </c>
      <c r="JW217" s="55">
        <f>SUMIFS(tblBudget[Feed_oz],tblBudget[Month],$E217)</f>
        <v/>
      </c>
      <c r="JX217" s="55">
        <f>$JW217*$C217/$D217</f>
        <v/>
      </c>
      <c r="JY217" s="55">
        <f>SUMIFS(tblBudget[Feed_oz],tblBudget[Month],"&lt;"&amp;$E217)+$JX217</f>
        <v/>
      </c>
      <c r="JZ217" s="55">
        <f>SUMIFS(tblBudget[Recovered_oz],tblBudget[Month],$E217)</f>
        <v/>
      </c>
      <c r="KA217" s="55">
        <f>$JZ217*$C217/$D217</f>
        <v/>
      </c>
      <c r="KB217" s="55">
        <f>SUMIFS(tblBudget[Recovered_oz],tblBudget[Month],"&lt;"&amp;$E217)+$KA217</f>
        <v/>
      </c>
      <c r="KC217" s="55">
        <f>SUMIFS(tblBudget[Milled_t],tblBudget[Month],$E217)</f>
        <v/>
      </c>
      <c r="KD217" s="55">
        <f>$KC217*$C217/$D217</f>
        <v/>
      </c>
      <c r="KE217" s="55">
        <f>SUMIFS(tblBudget[Milled_t],tblBudget[Month],"&lt;"&amp;$E217)+$KD217</f>
        <v/>
      </c>
      <c r="KF217" s="55">
        <f>SUMIFS(tblBudget[Feed_oz],tblBudget[Month],$E217)</f>
        <v/>
      </c>
      <c r="KG217" s="55">
        <f>$KF217*$C217/$D217</f>
        <v/>
      </c>
      <c r="KH217" s="55">
        <f>SUMIFS(tblBudget[Feed_oz],tblBudget[Month],"&lt;"&amp;$E217)+$KG217</f>
        <v/>
      </c>
      <c r="KI217" s="56">
        <f>IFERROR(IF(($KC217)&gt;0,($JW217*cfg_TroyOz)/($KC217),""),"")</f>
        <v/>
      </c>
      <c r="KJ217" s="56">
        <f>IFERROR(IF(($KD217)&gt;0,($JX217*cfg_TroyOz)/($KD217),""),"")</f>
        <v/>
      </c>
      <c r="KK217" s="56">
        <f>IFERROR(IF(($KE217)&gt;0,($JY217*cfg_TroyOz)/($KE217),""),"")</f>
        <v/>
      </c>
      <c r="KL217" s="67">
        <f>IFERROR(IF(($KF217)&gt;0,($JZ217)/($KF217),""),"")</f>
        <v/>
      </c>
      <c r="KM217" s="67">
        <f>IFERROR(IF(($KG217)&gt;0,($KA217)/($KG217),""),"")</f>
        <v/>
      </c>
      <c r="KN217" s="67">
        <f>IFERROR(IF(($KH217)&gt;0,($KB217)/($KH217),""),"")</f>
        <v/>
      </c>
      <c r="KO217" s="55">
        <f>SUMIFS(tblBudget[Gold_Poured_oz],tblBudget[Month],$E217)</f>
        <v/>
      </c>
      <c r="KP217" s="55">
        <f>$KO217*$C217/$D217</f>
        <v/>
      </c>
      <c r="KQ217" s="55">
        <f>SUMIFS(tblBudget[Gold_Poured_oz],tblBudget[Month],"&lt;"&amp;$E217)+$KP217</f>
        <v/>
      </c>
      <c r="KR217" s="57">
        <f>SUMIFS(tblBudget[Hours_Worked],tblBudget[Month],$E217)</f>
        <v/>
      </c>
      <c r="KS217" s="57">
        <f>$KR217*$C217/$D217</f>
        <v/>
      </c>
      <c r="KT217" s="57">
        <f>SUMIFS(tblBudget[Hours_Worked],tblBudget[Month],"&lt;"&amp;$E217)+$KS217</f>
        <v/>
      </c>
    </row>
    <row r="218">
      <c r="A218" s="54" t="n">
        <v>46239</v>
      </c>
      <c r="B218">
        <f>MONTH($A218)</f>
        <v/>
      </c>
      <c r="C218">
        <f>DAY($A218)</f>
        <v/>
      </c>
      <c r="D218">
        <f>DAY(EOMONTH($A218,0))</f>
        <v/>
      </c>
      <c r="E218" s="54">
        <f>DATE(YEAR($A218),MONTH($A218),1)</f>
        <v/>
      </c>
      <c r="F218" s="55">
        <f>SUMIFS(tblMovement[Tonnes_t],tblMovement[Date],$A218,tblMovement[Is_Ore],1,tblMovement[Source_Type],"Pit")</f>
        <v/>
      </c>
      <c r="G218" s="55">
        <f>IF($B218=$B217,$G217,0)+$F218</f>
        <v/>
      </c>
      <c r="H218" s="55">
        <f>$H217+$F218</f>
        <v/>
      </c>
      <c r="I218" s="55">
        <f>SUMIFS(tblMovement[Ore_oz],tblMovement[Date],$A218,tblMovement[Source_Type],"Pit")</f>
        <v/>
      </c>
      <c r="J218" s="55">
        <f>IF($B218=$B217,$J217,0)+$I218</f>
        <v/>
      </c>
      <c r="K218" s="55">
        <f>$K217+$I218</f>
        <v/>
      </c>
      <c r="L218" s="55">
        <f>SUMIFS(tblMovement[Tonnes_t],tblMovement[Date],$A218,tblMovement[Is_Ore],1,tblMovement[Source_Type],"Pit",tblMovement[Grade_gpt],"&lt;&gt;")</f>
        <v/>
      </c>
      <c r="M218" s="55">
        <f>IF($B218=$B217,$M217,0)+$L218</f>
        <v/>
      </c>
      <c r="N218" s="55">
        <f>$N217+$L218</f>
        <v/>
      </c>
      <c r="O218" s="56">
        <f>IFERROR(IF(($L218)&gt;0,($I218*cfg_TroyOz)/($L218),""),"")</f>
        <v/>
      </c>
      <c r="P218" s="56">
        <f>IFERROR(IF(($M218)&gt;0,($J218*cfg_TroyOz)/($M218),""),"")</f>
        <v/>
      </c>
      <c r="Q218" s="56">
        <f>IFERROR(IF(($N218)&gt;0,($K218*cfg_TroyOz)/($N218),""),"")</f>
        <v/>
      </c>
      <c r="R218" s="55">
        <f>$F218-$L218</f>
        <v/>
      </c>
      <c r="S218" s="55">
        <f>IF($B218=$B217,$S217,0)+$R218</f>
        <v/>
      </c>
      <c r="T218" s="55">
        <f>$T217+$R218</f>
        <v/>
      </c>
      <c r="U218" s="55">
        <f>SUMIFS(tblMovement[Tonnes_t],tblMovement[Date],$A218,tblMovement[Is_Ore],0,tblMovement[Source_Type],"Pit")</f>
        <v/>
      </c>
      <c r="V218" s="55">
        <f>IF($B218=$B217,$V217,0)+$U218</f>
        <v/>
      </c>
      <c r="W218" s="55">
        <f>$W217+$U218</f>
        <v/>
      </c>
      <c r="X218" s="55">
        <f>$F218+$U218</f>
        <v/>
      </c>
      <c r="Y218" s="55">
        <f>IF($B218=$B217,$Y217,0)+$X218</f>
        <v/>
      </c>
      <c r="Z218" s="55">
        <f>$Z217+$X218</f>
        <v/>
      </c>
      <c r="AA218" s="56">
        <f>IFERROR(IF(($F218)&gt;0,($U218)/($F218),""),"")</f>
        <v/>
      </c>
      <c r="AB218" s="56">
        <f>IFERROR(IF(($G218)&gt;0,($V218)/($G218),""),"")</f>
        <v/>
      </c>
      <c r="AC218" s="56">
        <f>IFERROR(IF(($H218)&gt;0,($W218)/($H218),""),"")</f>
        <v/>
      </c>
      <c r="AD218" s="55">
        <f>SUMIFS(tblMovement[Tonnes_t],tblMovement[Date],$A218,tblMovement[Source_Type],"Stockpile")</f>
        <v/>
      </c>
      <c r="AE218" s="55">
        <f>IF($B218=$B217,$AE217,0)+$AD218</f>
        <v/>
      </c>
      <c r="AF218" s="55">
        <f>$AF217+$AD218</f>
        <v/>
      </c>
      <c r="AG218" s="55">
        <f>SUMIFS(tblMovement[Tonnes_t],tblMovement[Date],$A218)</f>
        <v/>
      </c>
      <c r="AH218" s="55">
        <f>IF($B218=$B217,$AH217,0)+$AG218</f>
        <v/>
      </c>
      <c r="AI218" s="55">
        <f>$AI217+$AG218</f>
        <v/>
      </c>
      <c r="AJ218" s="55">
        <f>$AG218-$X218-$AD218</f>
        <v/>
      </c>
      <c r="AK218" s="55">
        <f>IF($B218=$B217,$AK217,0)+$AJ218</f>
        <v/>
      </c>
      <c r="AL218" s="55">
        <f>$AL217+$AJ218</f>
        <v/>
      </c>
      <c r="AM218" s="55">
        <f>SUMIFS(tblMiningDaily[Drill_m],tblMiningDaily[Date],$A218)</f>
        <v/>
      </c>
      <c r="AN218" s="55">
        <f>IF($B218=$B217,$AN217,0)+$AM218</f>
        <v/>
      </c>
      <c r="AO218" s="55">
        <f>$AO217+$AM218</f>
        <v/>
      </c>
      <c r="AP218" s="55">
        <f>SUMIFS(tblMiningDaily[GC_Drill_m],tblMiningDaily[Date],$A218)</f>
        <v/>
      </c>
      <c r="AQ218" s="55">
        <f>IF($B218=$B217,$AQ217,0)+$AP218</f>
        <v/>
      </c>
      <c r="AR218" s="55">
        <f>$AR217+$AP218</f>
        <v/>
      </c>
      <c r="AS218" s="55">
        <f>SUMIFS(tblMiningDaily[Blast_t],tblMiningDaily[Date],$A218)</f>
        <v/>
      </c>
      <c r="AT218" s="55">
        <f>IF($B218=$B217,$AT217,0)+$AS218</f>
        <v/>
      </c>
      <c r="AU218" s="55">
        <f>$AU217+$AS218</f>
        <v/>
      </c>
      <c r="AV218" s="55">
        <f>SUMIFS(tblMiningDaily[Explosives_kg],tblMiningDaily[Date],$A218)</f>
        <v/>
      </c>
      <c r="AW218" s="55">
        <f>IF($B218=$B217,$AW217,0)+$AV218</f>
        <v/>
      </c>
      <c r="AX218" s="55">
        <f>$AX217+$AV218</f>
        <v/>
      </c>
      <c r="AY218" s="56">
        <f>IFERROR(IF(($AS218)&gt;0,($AV218)/($AS218),""),"")</f>
        <v/>
      </c>
      <c r="AZ218" s="56">
        <f>IFERROR(IF(($AT218)&gt;0,($AW218)/($AT218),""),"")</f>
        <v/>
      </c>
      <c r="BA218" s="56">
        <f>IFERROR(IF(($AU218)&gt;0,($AX218)/($AU218),""),"")</f>
        <v/>
      </c>
      <c r="BB218" s="55">
        <f>SUMIFS(tblMiningDaily[Diesel_L],tblMiningDaily[Date],$A218)</f>
        <v/>
      </c>
      <c r="BC218" s="55">
        <f>IF($B218=$B217,$BC217,0)+$BB218</f>
        <v/>
      </c>
      <c r="BD218" s="55">
        <f>$BD217+$BB218</f>
        <v/>
      </c>
      <c r="BE218" s="55">
        <f>SUMIFS(tblMiningDaily[Dewatering_m3],tblMiningDaily[Date],$A218)</f>
        <v/>
      </c>
      <c r="BF218" s="55">
        <f>IF($B218=$B217,$BF217,0)+$BE218</f>
        <v/>
      </c>
      <c r="BG218" s="55">
        <f>$BG217+$BE218</f>
        <v/>
      </c>
      <c r="BH218" s="57">
        <f>SUMIFS(tblFleet[Calendar_h],tblFleet[Date],$A218,tblFleet[Equipment_Class],"Excavator")</f>
        <v/>
      </c>
      <c r="BI218" s="57">
        <f>IF($B218=$B217,$BI217,0)+$BH218</f>
        <v/>
      </c>
      <c r="BJ218" s="57">
        <f>$BJ217+$BH218</f>
        <v/>
      </c>
      <c r="BK218" s="57">
        <f>SUMIFS(tblFleet[Available_h],tblFleet[Date],$A218,tblFleet[Equipment_Class],"Excavator")</f>
        <v/>
      </c>
      <c r="BL218" s="57">
        <f>IF($B218=$B217,$BL217,0)+$BK218</f>
        <v/>
      </c>
      <c r="BM218" s="57">
        <f>$BM217+$BK218</f>
        <v/>
      </c>
      <c r="BN218" s="57">
        <f>SUMIFS(tblFleet[Operating_h],tblFleet[Date],$A218,tblFleet[Equipment_Class],"Excavator")</f>
        <v/>
      </c>
      <c r="BO218" s="57">
        <f>IF($B218=$B217,$BO217,0)+$BN218</f>
        <v/>
      </c>
      <c r="BP218" s="57">
        <f>$BP217+$BN218</f>
        <v/>
      </c>
      <c r="BQ218" s="67">
        <f>IFERROR(IF(($BH218)&gt;0,($BK218)/($BH218),""),"")</f>
        <v/>
      </c>
      <c r="BR218" s="67">
        <f>IFERROR(IF(($BI218)&gt;0,($BL218)/($BI218),""),"")</f>
        <v/>
      </c>
      <c r="BS218" s="67">
        <f>IFERROR(IF(($BJ218)&gt;0,($BM218)/($BJ218),""),"")</f>
        <v/>
      </c>
      <c r="BT218" s="67">
        <f>IFERROR(IF(($BK218)&gt;0,($BN218)/($BK218),""),"")</f>
        <v/>
      </c>
      <c r="BU218" s="67">
        <f>IFERROR(IF(($BL218)&gt;0,($BO218)/($BL218),""),"")</f>
        <v/>
      </c>
      <c r="BV218" s="67">
        <f>IFERROR(IF(($BM218)&gt;0,($BP218)/($BM218),""),"")</f>
        <v/>
      </c>
      <c r="BW218" s="57">
        <f>SUMIFS(tblFleet[Calendar_h],tblFleet[Date],$A218,tblFleet[Equipment_Class],"Haul Truck")</f>
        <v/>
      </c>
      <c r="BX218" s="57">
        <f>IF($B218=$B217,$BX217,0)+$BW218</f>
        <v/>
      </c>
      <c r="BY218" s="57">
        <f>$BY217+$BW218</f>
        <v/>
      </c>
      <c r="BZ218" s="57">
        <f>SUMIFS(tblFleet[Available_h],tblFleet[Date],$A218,tblFleet[Equipment_Class],"Haul Truck")</f>
        <v/>
      </c>
      <c r="CA218" s="57">
        <f>IF($B218=$B217,$CA217,0)+$BZ218</f>
        <v/>
      </c>
      <c r="CB218" s="57">
        <f>$CB217+$BZ218</f>
        <v/>
      </c>
      <c r="CC218" s="57">
        <f>SUMIFS(tblFleet[Operating_h],tblFleet[Date],$A218,tblFleet[Equipment_Class],"Haul Truck")</f>
        <v/>
      </c>
      <c r="CD218" s="57">
        <f>IF($B218=$B217,$CD217,0)+$CC218</f>
        <v/>
      </c>
      <c r="CE218" s="57">
        <f>$CE217+$CC218</f>
        <v/>
      </c>
      <c r="CF218" s="67">
        <f>IFERROR(IF(($BW218)&gt;0,($BZ218)/($BW218),""),"")</f>
        <v/>
      </c>
      <c r="CG218" s="67">
        <f>IFERROR(IF(($BX218)&gt;0,($CA218)/($BX218),""),"")</f>
        <v/>
      </c>
      <c r="CH218" s="67">
        <f>IFERROR(IF(($BY218)&gt;0,($CB218)/($BY218),""),"")</f>
        <v/>
      </c>
      <c r="CI218" s="67">
        <f>IFERROR(IF(($BZ218)&gt;0,($CC218)/($BZ218),""),"")</f>
        <v/>
      </c>
      <c r="CJ218" s="67">
        <f>IFERROR(IF(($CA218)&gt;0,($CD218)/($CA218),""),"")</f>
        <v/>
      </c>
      <c r="CK218" s="67">
        <f>IFERROR(IF(($CB218)&gt;0,($CE218)/($CB218),""),"")</f>
        <v/>
      </c>
      <c r="CL218" s="55">
        <f>IFERROR(IF(($BN218)&gt;0,($X218+$AD218)/($BN218),""),"")</f>
        <v/>
      </c>
      <c r="CM218" s="55">
        <f>IFERROR(IF(($BO218)&gt;0,($Y218+$AE218)/($BO218),""),"")</f>
        <v/>
      </c>
      <c r="CN218" s="55">
        <f>IFERROR(IF(($BP218)&gt;0,($Z218+$AF218)/($BP218),""),"")</f>
        <v/>
      </c>
      <c r="CO218" s="55">
        <f>IFERROR(IF(($CC218)&gt;0,($X218+$AD218)/($CC218),""),"")</f>
        <v/>
      </c>
      <c r="CP218" s="55">
        <f>IFERROR(IF(($CD218)&gt;0,($Y218+$AE218)/($CD218),""),"")</f>
        <v/>
      </c>
      <c r="CQ218" s="55">
        <f>IFERROR(IF(($CE218)&gt;0,($Z218+$AF218)/($CE218),""),"")</f>
        <v/>
      </c>
      <c r="CR218" s="55">
        <f>SUMIFS(tblPlant[Crushed_t],tblPlant[Date],$A218)</f>
        <v/>
      </c>
      <c r="CS218" s="55">
        <f>IF($B218=$B217,$CS217,0)+$CR218</f>
        <v/>
      </c>
      <c r="CT218" s="55">
        <f>$CT217+$CR218</f>
        <v/>
      </c>
      <c r="CU218" s="55">
        <f>SUMIFS(tblPlant[Milled_t],tblPlant[Date],$A218)</f>
        <v/>
      </c>
      <c r="CV218" s="55">
        <f>IF($B218=$B217,$CV217,0)+$CU218</f>
        <v/>
      </c>
      <c r="CW218" s="55">
        <f>$CW217+$CU218</f>
        <v/>
      </c>
      <c r="CX218" s="55">
        <f>SUMIFS(tblPlant[Feed_oz],tblPlant[Date],$A218)</f>
        <v/>
      </c>
      <c r="CY218" s="55">
        <f>IF($B218=$B217,$CY217,0)+$CX218</f>
        <v/>
      </c>
      <c r="CZ218" s="55">
        <f>$CZ217+$CX218</f>
        <v/>
      </c>
      <c r="DA218" s="55">
        <f>SUMIFS(tblPlant[Tails_oz],tblPlant[Date],$A218)</f>
        <v/>
      </c>
      <c r="DB218" s="55">
        <f>IF($B218=$B217,$DB217,0)+$DA218</f>
        <v/>
      </c>
      <c r="DC218" s="55">
        <f>$DC217+$DA218</f>
        <v/>
      </c>
      <c r="DD218" s="55">
        <f>SUMIFS(tblPlant[Recovered_oz],tblPlant[Date],$A218)</f>
        <v/>
      </c>
      <c r="DE218" s="55">
        <f>IF($B218=$B217,$DE217,0)+$DD218</f>
        <v/>
      </c>
      <c r="DF218" s="55">
        <f>$DF217+$DD218</f>
        <v/>
      </c>
      <c r="DG218" s="55">
        <f>SUMIFS(tblPlant[Milled_t],tblPlant[Date],$A218,tblPlant[Head_Grade_gpt],"&lt;&gt;")</f>
        <v/>
      </c>
      <c r="DH218" s="55">
        <f>IF($B218=$B217,$DH217,0)+$DG218</f>
        <v/>
      </c>
      <c r="DI218" s="55">
        <f>$DI217+$DG218</f>
        <v/>
      </c>
      <c r="DJ218" s="55">
        <f>SUMIFS(tblPlant[Milled_t],tblPlant[Date],$A218,tblPlant[Tails_Grade_gpt],"&lt;&gt;")</f>
        <v/>
      </c>
      <c r="DK218" s="55">
        <f>IF($B218=$B217,$DK217,0)+$DJ218</f>
        <v/>
      </c>
      <c r="DL218" s="55">
        <f>$DL217+$DJ218</f>
        <v/>
      </c>
      <c r="DM218" s="55">
        <f>SUMIFS(tblPlant[Feed_oz],tblPlant[Date],$A218,tblPlant[Tails_Grade_gpt],"&lt;&gt;")</f>
        <v/>
      </c>
      <c r="DN218" s="55">
        <f>IF($B218=$B217,$DN217,0)+$DM218</f>
        <v/>
      </c>
      <c r="DO218" s="55">
        <f>$DO217+$DM218</f>
        <v/>
      </c>
      <c r="DP218" s="55">
        <f>SUMIFS(tblPlant[Milled_t],tblPlant[Date],$A218,tblPlant[Mill_Run_h],"&lt;&gt;")</f>
        <v/>
      </c>
      <c r="DQ218" s="55">
        <f>IF($B218=$B217,$DQ217,0)+$DP218</f>
        <v/>
      </c>
      <c r="DR218" s="55">
        <f>$DR217+$DP218</f>
        <v/>
      </c>
      <c r="DS218" s="56">
        <f>IFERROR(IF(($DG218)&gt;0,($CX218*cfg_TroyOz)/($DG218),""),"")</f>
        <v/>
      </c>
      <c r="DT218" s="56">
        <f>IFERROR(IF(($DH218)&gt;0,($CY218*cfg_TroyOz)/($DH218),""),"")</f>
        <v/>
      </c>
      <c r="DU218" s="56">
        <f>IFERROR(IF(($DI218)&gt;0,($CZ218*cfg_TroyOz)/($DI218),""),"")</f>
        <v/>
      </c>
      <c r="DV218" s="56">
        <f>IFERROR(IF(($DJ218)&gt;0,($DA218*cfg_TroyOz)/($DJ218),""),"")</f>
        <v/>
      </c>
      <c r="DW218" s="56">
        <f>IFERROR(IF(($DK218)&gt;0,($DB218*cfg_TroyOz)/($DK218),""),"")</f>
        <v/>
      </c>
      <c r="DX218" s="56">
        <f>IFERROR(IF(($DL218)&gt;0,($DC218*cfg_TroyOz)/($DL218),""),"")</f>
        <v/>
      </c>
      <c r="DY218" s="67">
        <f>IFERROR(IF(($DM218)&gt;0,($DD218)/($DM218),""),"")</f>
        <v/>
      </c>
      <c r="DZ218" s="67">
        <f>IFERROR(IF(($DN218)&gt;0,($DE218)/($DN218),""),"")</f>
        <v/>
      </c>
      <c r="EA218" s="67">
        <f>IFERROR(IF(($DO218)&gt;0,($DF218)/($DO218),""),"")</f>
        <v/>
      </c>
      <c r="EB218" s="55">
        <f>SUMIFS(tblPlant[Gravity_Gold_oz],tblPlant[Date],$A218)</f>
        <v/>
      </c>
      <c r="EC218" s="55">
        <f>IF($B218=$B217,$EC217,0)+$EB218</f>
        <v/>
      </c>
      <c r="ED218" s="55">
        <f>$ED217+$EB218</f>
        <v/>
      </c>
      <c r="EE218" s="67">
        <f>IFERROR(IF(($DD218)&gt;0,($EB218)/($DD218),""),"")</f>
        <v/>
      </c>
      <c r="EF218" s="67">
        <f>IFERROR(IF(($DE218)&gt;0,($EC218)/($DE218),""),"")</f>
        <v/>
      </c>
      <c r="EG218" s="67">
        <f>IFERROR(IF(($DF218)&gt;0,($ED218)/($DF218),""),"")</f>
        <v/>
      </c>
      <c r="EH218" s="55">
        <f>SUMIFS(tblPlant[Gold_Poured_oz],tblPlant[Date],$A218)</f>
        <v/>
      </c>
      <c r="EI218" s="55">
        <f>IF($B218=$B217,$EI217,0)+$EH218</f>
        <v/>
      </c>
      <c r="EJ218" s="55">
        <f>$EJ217+$EH218</f>
        <v/>
      </c>
      <c r="EK218" s="57">
        <f>SUMIFS(tblPlant[Mill_Run_h],tblPlant[Date],$A218)</f>
        <v/>
      </c>
      <c r="EL218" s="57">
        <f>IF($B218=$B217,$EL217,0)+$EK218</f>
        <v/>
      </c>
      <c r="EM218" s="57">
        <f>$EM217+$EK218</f>
        <v/>
      </c>
      <c r="EN218" s="57">
        <f>SUMIFS(tblPlant[Mill_Planned_Maint_h],tblPlant[Date],$A218)</f>
        <v/>
      </c>
      <c r="EO218" s="57">
        <f>IF($B218=$B217,$EO217,0)+$EN218</f>
        <v/>
      </c>
      <c r="EP218" s="57">
        <f>$EP217+$EN218</f>
        <v/>
      </c>
      <c r="EQ218" s="57">
        <f>SUMIFS(tblPlant[Mill_Unplanned_Down_h],tblPlant[Date],$A218)</f>
        <v/>
      </c>
      <c r="ER218" s="57">
        <f>IF($B218=$B217,$ER217,0)+$EQ218</f>
        <v/>
      </c>
      <c r="ES218" s="57">
        <f>$ES217+$EQ218</f>
        <v/>
      </c>
      <c r="ET218" s="57">
        <f>IF(COUNTIFS(tblPlant[Date],$A218,tblPlant[Mill_Run_h],"&lt;&gt;")+COUNTIFS(tblPlant[Date],$A218,tblPlant[Mill_Planned_Maint_h],"&lt;&gt;")+COUNTIFS(tblPlant[Date],$A218,tblPlant[Mill_Unplanned_Down_h],"&lt;&gt;")&gt;0,cfg_HoursPerDay,0)</f>
        <v/>
      </c>
      <c r="EU218" s="57">
        <f>IF($B218=$B217,$EU217,0)+$ET218</f>
        <v/>
      </c>
      <c r="EV218" s="57">
        <f>$EV217+$ET218</f>
        <v/>
      </c>
      <c r="EW218" s="57">
        <f>SUMIFS(tblPlant[Crusher_Run_h],tblPlant[Date],$A218)</f>
        <v/>
      </c>
      <c r="EX218" s="57">
        <f>IF($B218=$B217,$EX217,0)+$EW218</f>
        <v/>
      </c>
      <c r="EY218" s="57">
        <f>$EY217+$EW218</f>
        <v/>
      </c>
      <c r="EZ218" s="55">
        <f>IFERROR(IF(($EK218)&gt;0,($DP218)/($EK218),""),"")</f>
        <v/>
      </c>
      <c r="FA218" s="55">
        <f>IFERROR(IF(($EL218)&gt;0,($DQ218)/($EL218),""),"")</f>
        <v/>
      </c>
      <c r="FB218" s="55">
        <f>IFERROR(IF(($EM218)&gt;0,($DR218)/($EM218),""),"")</f>
        <v/>
      </c>
      <c r="FC218" s="67">
        <f>IFERROR(IF(($ET218)&gt;0,($ET218-$EN218-$EQ218)/($ET218),""),"")</f>
        <v/>
      </c>
      <c r="FD218" s="67">
        <f>IFERROR(IF(($EU218)&gt;0,($EU218-$EO218-$ER218)/($EU218),""),"")</f>
        <v/>
      </c>
      <c r="FE218" s="67">
        <f>IFERROR(IF(($EV218)&gt;0,($EV218-$EP218-$ES218)/($EV218),""),"")</f>
        <v/>
      </c>
      <c r="FF218" s="67">
        <f>IFERROR(IF(($ET218-$EN218-$EQ218)&gt;0,($EK218)/($ET218-$EN218-$EQ218),""),"")</f>
        <v/>
      </c>
      <c r="FG218" s="67">
        <f>IFERROR(IF(($EU218-$EO218-$ER218)&gt;0,($EL218)/($EU218-$EO218-$ER218),""),"")</f>
        <v/>
      </c>
      <c r="FH218" s="67">
        <f>IFERROR(IF(($EV218-$EP218-$ES218)&gt;0,($EM218)/($EV218-$EP218-$ES218),""),"")</f>
        <v/>
      </c>
      <c r="FI218" s="55">
        <f>SUMIFS(tblPlant[Cyanide_kg],tblPlant[Date],$A218)</f>
        <v/>
      </c>
      <c r="FJ218" s="55">
        <f>IF($B218=$B217,$FJ217,0)+$FI218</f>
        <v/>
      </c>
      <c r="FK218" s="55">
        <f>$FK217+$FI218</f>
        <v/>
      </c>
      <c r="FL218" s="55">
        <f>SUMIFS(tblPlant[Lime_kg],tblPlant[Date],$A218)</f>
        <v/>
      </c>
      <c r="FM218" s="55">
        <f>IF($B218=$B217,$FM217,0)+$FL218</f>
        <v/>
      </c>
      <c r="FN218" s="55">
        <f>$FN217+$FL218</f>
        <v/>
      </c>
      <c r="FO218" s="55">
        <f>SUMIFS(tblPlant[Grinding_Media_kg],tblPlant[Date],$A218)</f>
        <v/>
      </c>
      <c r="FP218" s="55">
        <f>IF($B218=$B217,$FP217,0)+$FO218</f>
        <v/>
      </c>
      <c r="FQ218" s="55">
        <f>$FQ217+$FO218</f>
        <v/>
      </c>
      <c r="FR218" s="55">
        <f>SUMIFS(tblPlant[Power_kWh],tblPlant[Date],$A218)</f>
        <v/>
      </c>
      <c r="FS218" s="55">
        <f>IF($B218=$B217,$FS217,0)+$FR218</f>
        <v/>
      </c>
      <c r="FT218" s="55">
        <f>$FT217+$FR218</f>
        <v/>
      </c>
      <c r="FU218" s="55">
        <f>SUMIFS(tblPlant[Raw_Water_m3],tblPlant[Date],$A218)</f>
        <v/>
      </c>
      <c r="FV218" s="55">
        <f>IF($B218=$B217,$FV217,0)+$FU218</f>
        <v/>
      </c>
      <c r="FW218" s="55">
        <f>$FW217+$FU218</f>
        <v/>
      </c>
      <c r="FX218" s="56">
        <f>IFERROR(IF(($CU218)&gt;0,($FI218)/($CU218),""),"")</f>
        <v/>
      </c>
      <c r="FY218" s="56">
        <f>IFERROR(IF(($CV218)&gt;0,($FJ218)/($CV218),""),"")</f>
        <v/>
      </c>
      <c r="FZ218" s="56">
        <f>IFERROR(IF(($CW218)&gt;0,($FK218)/($CW218),""),"")</f>
        <v/>
      </c>
      <c r="GA218" s="56">
        <f>IFERROR(IF(($CU218)&gt;0,($FL218)/($CU218),""),"")</f>
        <v/>
      </c>
      <c r="GB218" s="56">
        <f>IFERROR(IF(($CV218)&gt;0,($FM218)/($CV218),""),"")</f>
        <v/>
      </c>
      <c r="GC218" s="56">
        <f>IFERROR(IF(($CW218)&gt;0,($FN218)/($CW218),""),"")</f>
        <v/>
      </c>
      <c r="GD218" s="56">
        <f>IFERROR(IF(($CU218)&gt;0,($FO218)/($CU218),""),"")</f>
        <v/>
      </c>
      <c r="GE218" s="56">
        <f>IFERROR(IF(($CV218)&gt;0,($FP218)/($CV218),""),"")</f>
        <v/>
      </c>
      <c r="GF218" s="56">
        <f>IFERROR(IF(($CW218)&gt;0,($FQ218)/($CW218),""),"")</f>
        <v/>
      </c>
      <c r="GG218" s="79">
        <f>IFERROR(IF(($CU218)&gt;0,($FR218)/($CU218),""),"")</f>
        <v/>
      </c>
      <c r="GH218" s="79">
        <f>IFERROR(IF(($CV218)&gt;0,($FS218)/($CV218),""),"")</f>
        <v/>
      </c>
      <c r="GI218" s="79">
        <f>IFERROR(IF(($CW218)&gt;0,($FT218)/($CW218),""),"")</f>
        <v/>
      </c>
      <c r="GJ218" s="56">
        <f>IFERROR(IF(($CU218)&gt;0,($FU218)/($CU218),""),"")</f>
        <v/>
      </c>
      <c r="GK218" s="56">
        <f>IFERROR(IF(($CV218)&gt;0,($FV218)/($CV218),""),"")</f>
        <v/>
      </c>
      <c r="GL218" s="56">
        <f>IFERROR(IF(($CW218)&gt;0,($FW218)/($CW218),""),"")</f>
        <v/>
      </c>
      <c r="GM218" s="55">
        <f>IF(SUMIFS(tblPlant[GIC_oz],tblPlant[Date],$A218)&gt;0,SUMIFS(tblPlant[GIC_oz],tblPlant[Date],$A218),"")</f>
        <v/>
      </c>
      <c r="GN218" s="55">
        <f>SUMIFS(tblGold[Gold_oz],tblGold[Date],$A218,tblGold[Type],"Shipment")</f>
        <v/>
      </c>
      <c r="GO218" s="55">
        <f>IF($B218=$B217,$GO217,0)+$GN218</f>
        <v/>
      </c>
      <c r="GP218" s="55">
        <f>$GP217+$GN218</f>
        <v/>
      </c>
      <c r="GQ218" s="55">
        <f>SUMIFS(tblGold[Gold_oz],tblGold[Date],$A218,tblGold[Type],"Sale")</f>
        <v/>
      </c>
      <c r="GR218" s="55">
        <f>IF($B218=$B217,$GR217,0)+$GQ218</f>
        <v/>
      </c>
      <c r="GS218" s="55">
        <f>$GS217+$GQ218</f>
        <v/>
      </c>
      <c r="GT218" s="55">
        <f>SUMIFS(tblGold[Dore_kg],tblGold[Date],$A218,tblGold[Type],"Shipment")</f>
        <v/>
      </c>
      <c r="GU218" s="55">
        <f>IF($B218=$B217,$GU217,0)+$GT218</f>
        <v/>
      </c>
      <c r="GV218" s="55">
        <f>$GV217+$GT218</f>
        <v/>
      </c>
      <c r="GW218" s="57">
        <f>SUMIFS(tblSafety[Hours_Total],tblSafety[Date],$A218)</f>
        <v/>
      </c>
      <c r="GX218" s="57">
        <f>IF($B218=$B217,$GX217,0)+$GW218</f>
        <v/>
      </c>
      <c r="GY218" s="57">
        <f>$GY217+$GW218</f>
        <v/>
      </c>
      <c r="GZ218" s="62">
        <f>SUMIFS(tblSafety[Fatality],tblSafety[Date],$A218)</f>
        <v/>
      </c>
      <c r="HA218" s="62">
        <f>IF($B218=$B217,$HA217,0)+$GZ218</f>
        <v/>
      </c>
      <c r="HB218" s="62">
        <f>$HB217+$GZ218</f>
        <v/>
      </c>
      <c r="HC218" s="62">
        <f>SUMIFS(tblSafety[LTI],tblSafety[Date],$A218)</f>
        <v/>
      </c>
      <c r="HD218" s="62">
        <f>IF($B218=$B217,$HD217,0)+$HC218</f>
        <v/>
      </c>
      <c r="HE218" s="62">
        <f>$HE217+$HC218</f>
        <v/>
      </c>
      <c r="HF218" s="62">
        <f>SUMIFS(tblSafety[RWI],tblSafety[Date],$A218)</f>
        <v/>
      </c>
      <c r="HG218" s="62">
        <f>IF($B218=$B217,$HG217,0)+$HF218</f>
        <v/>
      </c>
      <c r="HH218" s="62">
        <f>$HH217+$HF218</f>
        <v/>
      </c>
      <c r="HI218" s="62">
        <f>SUMIFS(tblSafety[MTI],tblSafety[Date],$A218)</f>
        <v/>
      </c>
      <c r="HJ218" s="62">
        <f>IF($B218=$B217,$HJ217,0)+$HI218</f>
        <v/>
      </c>
      <c r="HK218" s="62">
        <f>$HK217+$HI218</f>
        <v/>
      </c>
      <c r="HL218" s="62">
        <f>SUMIFS(tblSafety[FAI],tblSafety[Date],$A218)</f>
        <v/>
      </c>
      <c r="HM218" s="62">
        <f>IF($B218=$B217,$HM217,0)+$HL218</f>
        <v/>
      </c>
      <c r="HN218" s="62">
        <f>$HN217+$HL218</f>
        <v/>
      </c>
      <c r="HO218" s="62">
        <f>SUMIFS(tblSafety[Recordables],tblSafety[Date],$A218)</f>
        <v/>
      </c>
      <c r="HP218" s="62">
        <f>IF($B218=$B217,$HP217,0)+$HO218</f>
        <v/>
      </c>
      <c r="HQ218" s="62">
        <f>$HQ217+$HO218</f>
        <v/>
      </c>
      <c r="HR218" s="62">
        <f>SUMIFS(tblSafety[Near_Miss],tblSafety[Date],$A218)</f>
        <v/>
      </c>
      <c r="HS218" s="62">
        <f>IF($B218=$B217,$HS217,0)+$HR218</f>
        <v/>
      </c>
      <c r="HT218" s="62">
        <f>$HT217+$HR218</f>
        <v/>
      </c>
      <c r="HU218" s="62">
        <f>SUMIFS(tblSafety[Hazard_Reports],tblSafety[Date],$A218)</f>
        <v/>
      </c>
      <c r="HV218" s="62">
        <f>IF($B218=$B217,$HV217,0)+$HU218</f>
        <v/>
      </c>
      <c r="HW218" s="62">
        <f>$HW217+$HU218</f>
        <v/>
      </c>
      <c r="HX218" s="62">
        <f>SUMIFS(tblSafety[HPI],tblSafety[Date],$A218)</f>
        <v/>
      </c>
      <c r="HY218" s="62">
        <f>IF($B218=$B217,$HY217,0)+$HX218</f>
        <v/>
      </c>
      <c r="HZ218" s="62">
        <f>$HZ217+$HX218</f>
        <v/>
      </c>
      <c r="IA218" s="62">
        <f>SUMIFS(tblSafety[Env_Incidents],tblSafety[Date],$A218)</f>
        <v/>
      </c>
      <c r="IB218" s="62">
        <f>IF($B218=$B217,$IB217,0)+$IA218</f>
        <v/>
      </c>
      <c r="IC218" s="62">
        <f>$IC217+$IA218</f>
        <v/>
      </c>
      <c r="ID218" s="62">
        <f>SUMIFS(tblSafety[Community_Incidents],tblSafety[Date],$A218)</f>
        <v/>
      </c>
      <c r="IE218" s="62">
        <f>IF($B218=$B217,$IE217,0)+$ID218</f>
        <v/>
      </c>
      <c r="IF218" s="62">
        <f>$IF217+$ID218</f>
        <v/>
      </c>
      <c r="IG218" s="62">
        <f>SUMIFS(tblSafety[Vehicle_Incidents],tblSafety[Date],$A218)</f>
        <v/>
      </c>
      <c r="IH218" s="62">
        <f>IF($B218=$B217,$IH217,0)+$IG218</f>
        <v/>
      </c>
      <c r="II218" s="62">
        <f>$II217+$IG218</f>
        <v/>
      </c>
      <c r="IJ218" s="62">
        <f>SUMIFS(tblSafety[Toolbox_Talks],tblSafety[Date],$A218)</f>
        <v/>
      </c>
      <c r="IK218" s="62">
        <f>IF($B218=$B217,$IK217,0)+$IJ218</f>
        <v/>
      </c>
      <c r="IL218" s="62">
        <f>$IL217+$IJ218</f>
        <v/>
      </c>
      <c r="IM218" s="62">
        <f>SUMIFS(tblSafety[Inspections],tblSafety[Date],$A218)</f>
        <v/>
      </c>
      <c r="IN218" s="62">
        <f>IF($B218=$B217,$IN217,0)+$IM218</f>
        <v/>
      </c>
      <c r="IO218" s="62">
        <f>$IO217+$IM218</f>
        <v/>
      </c>
      <c r="IP218" s="56">
        <f>IFERROR((SUMIFS(tblSafety[Recordables],tblSafety[Date],"&gt;="&amp;EDATE($E218,-12),tblSafety[Date],"&lt;="&amp;$A218)+SUMIFS(tblSafetyHistory[Recordables],tblSafetyHistory[Month],"&gt;="&amp;EDATE($E218,-12),tblSafetyHistory[Month],"&lt;"&amp;$E218,tblSafetyHistory[Use],1))/(SUMIFS(tblSafety[Hours_Total],tblSafety[Date],"&gt;="&amp;EDATE($E218,-12),tblSafety[Date],"&lt;="&amp;$A218)+SUMIFS(tblSafetyHistory[Hours_Total],tblSafetyHistory[Month],"&gt;="&amp;EDATE($E218,-12),tblSafetyHistory[Month],"&lt;"&amp;$E218,tblSafetyHistory[Use],1))*cfg_RateBasisHours,"")</f>
        <v/>
      </c>
      <c r="IQ218" s="56">
        <f>IFERROR((SUMIFS(tblSafety[LTI],tblSafety[Date],"&gt;="&amp;EDATE($E218,-12),tblSafety[Date],"&lt;="&amp;$A218)+SUMIFS(tblSafetyHistory[LTI],tblSafetyHistory[Month],"&gt;="&amp;EDATE($E218,-12),tblSafetyHistory[Month],"&lt;"&amp;$E218,tblSafetyHistory[Use],1))/(SUMIFS(tblSafety[Hours_Total],tblSafety[Date],"&gt;="&amp;EDATE($E218,-12),tblSafety[Date],"&lt;="&amp;$A218)+SUMIFS(tblSafetyHistory[Hours_Total],tblSafetyHistory[Month],"&gt;="&amp;EDATE($E218,-12),tblSafetyHistory[Month],"&lt;"&amp;$E218,tblSafetyHistory[Use],1))*cfg_RateBasisHours,"")</f>
        <v/>
      </c>
      <c r="IR218" s="62">
        <f>IF(MAX(N(cfg_PriorLTIDate),_xlfn.MAXIFS(tblSafety[Date],tblSafety[LTI],"&gt;0",tblSafety[Date],"&lt;="&amp;$A218))=0,"",$A218-MAX(N(cfg_PriorLTIDate),_xlfn.MAXIFS(tblSafety[Date],tblSafety[LTI],"&gt;0",tblSafety[Date],"&lt;="&amp;$A218)))</f>
        <v/>
      </c>
      <c r="IS218" s="55">
        <f>SUMIFS(tblBudget[Ore_Mined_t],tblBudget[Month],$E218)</f>
        <v/>
      </c>
      <c r="IT218" s="55">
        <f>$IS218*$C218/$D218</f>
        <v/>
      </c>
      <c r="IU218" s="55">
        <f>SUMIFS(tblBudget[Ore_Mined_t],tblBudget[Month],"&lt;"&amp;$E218)+$IT218</f>
        <v/>
      </c>
      <c r="IV218" s="55">
        <f>SUMIFS(tblBudget[Ore_oz],tblBudget[Month],$E218)</f>
        <v/>
      </c>
      <c r="IW218" s="55">
        <f>$IV218*$C218/$D218</f>
        <v/>
      </c>
      <c r="IX218" s="55">
        <f>SUMIFS(tblBudget[Ore_oz],tblBudget[Month],"&lt;"&amp;$E218)+$IW218</f>
        <v/>
      </c>
      <c r="IY218" s="55">
        <f>SUMIFS(tblBudget[Ore_Mined_t],tblBudget[Month],$E218)</f>
        <v/>
      </c>
      <c r="IZ218" s="55">
        <f>$IY218*$C218/$D218</f>
        <v/>
      </c>
      <c r="JA218" s="55">
        <f>SUMIFS(tblBudget[Ore_Mined_t],tblBudget[Month],"&lt;"&amp;$E218)+$IZ218</f>
        <v/>
      </c>
      <c r="JB218" s="56">
        <f>IFERROR(IF(($IY218)&gt;0,($IV218*cfg_TroyOz)/($IY218),""),"")</f>
        <v/>
      </c>
      <c r="JC218" s="56">
        <f>IFERROR(IF(($IZ218)&gt;0,($IW218*cfg_TroyOz)/($IZ218),""),"")</f>
        <v/>
      </c>
      <c r="JD218" s="56">
        <f>IFERROR(IF(($JA218)&gt;0,($IX218*cfg_TroyOz)/($JA218),""),"")</f>
        <v/>
      </c>
      <c r="JE218" s="55">
        <f>SUMIFS(tblBudget[Waste_t],tblBudget[Month],$E218)</f>
        <v/>
      </c>
      <c r="JF218" s="55">
        <f>$JE218*$C218/$D218</f>
        <v/>
      </c>
      <c r="JG218" s="55">
        <f>SUMIFS(tblBudget[Waste_t],tblBudget[Month],"&lt;"&amp;$E218)+$JF218</f>
        <v/>
      </c>
      <c r="JH218" s="55">
        <f>SUMIFS(tblBudget[TMM_t],tblBudget[Month],$E218)</f>
        <v/>
      </c>
      <c r="JI218" s="55">
        <f>$JH218*$C218/$D218</f>
        <v/>
      </c>
      <c r="JJ218" s="55">
        <f>SUMIFS(tblBudget[TMM_t],tblBudget[Month],"&lt;"&amp;$E218)+$JI218</f>
        <v/>
      </c>
      <c r="JK218" s="56">
        <f>IFERROR(IF(($IS218)&gt;0,($JE218)/($IS218),""),"")</f>
        <v/>
      </c>
      <c r="JL218" s="56">
        <f>IFERROR(IF(($IT218)&gt;0,($JF218)/($IT218),""),"")</f>
        <v/>
      </c>
      <c r="JM218" s="56">
        <f>IFERROR(IF(($IU218)&gt;0,($JG218)/($IU218),""),"")</f>
        <v/>
      </c>
      <c r="JN218" s="55">
        <f>SUMIFS(tblBudget[Drill_m],tblBudget[Month],$E218)</f>
        <v/>
      </c>
      <c r="JO218" s="55">
        <f>$JN218*$C218/$D218</f>
        <v/>
      </c>
      <c r="JP218" s="55">
        <f>SUMIFS(tblBudget[Drill_m],tblBudget[Month],"&lt;"&amp;$E218)+$JO218</f>
        <v/>
      </c>
      <c r="JQ218" s="55">
        <f>SUMIFS(tblBudget[Diesel_L],tblBudget[Month],$E218)</f>
        <v/>
      </c>
      <c r="JR218" s="55">
        <f>$JQ218*$C218/$D218</f>
        <v/>
      </c>
      <c r="JS218" s="55">
        <f>SUMIFS(tblBudget[Diesel_L],tblBudget[Month],"&lt;"&amp;$E218)+$JR218</f>
        <v/>
      </c>
      <c r="JT218" s="55">
        <f>SUMIFS(tblBudget[Milled_t],tblBudget[Month],$E218)</f>
        <v/>
      </c>
      <c r="JU218" s="55">
        <f>$JT218*$C218/$D218</f>
        <v/>
      </c>
      <c r="JV218" s="55">
        <f>SUMIFS(tblBudget[Milled_t],tblBudget[Month],"&lt;"&amp;$E218)+$JU218</f>
        <v/>
      </c>
      <c r="JW218" s="55">
        <f>SUMIFS(tblBudget[Feed_oz],tblBudget[Month],$E218)</f>
        <v/>
      </c>
      <c r="JX218" s="55">
        <f>$JW218*$C218/$D218</f>
        <v/>
      </c>
      <c r="JY218" s="55">
        <f>SUMIFS(tblBudget[Feed_oz],tblBudget[Month],"&lt;"&amp;$E218)+$JX218</f>
        <v/>
      </c>
      <c r="JZ218" s="55">
        <f>SUMIFS(tblBudget[Recovered_oz],tblBudget[Month],$E218)</f>
        <v/>
      </c>
      <c r="KA218" s="55">
        <f>$JZ218*$C218/$D218</f>
        <v/>
      </c>
      <c r="KB218" s="55">
        <f>SUMIFS(tblBudget[Recovered_oz],tblBudget[Month],"&lt;"&amp;$E218)+$KA218</f>
        <v/>
      </c>
      <c r="KC218" s="55">
        <f>SUMIFS(tblBudget[Milled_t],tblBudget[Month],$E218)</f>
        <v/>
      </c>
      <c r="KD218" s="55">
        <f>$KC218*$C218/$D218</f>
        <v/>
      </c>
      <c r="KE218" s="55">
        <f>SUMIFS(tblBudget[Milled_t],tblBudget[Month],"&lt;"&amp;$E218)+$KD218</f>
        <v/>
      </c>
      <c r="KF218" s="55">
        <f>SUMIFS(tblBudget[Feed_oz],tblBudget[Month],$E218)</f>
        <v/>
      </c>
      <c r="KG218" s="55">
        <f>$KF218*$C218/$D218</f>
        <v/>
      </c>
      <c r="KH218" s="55">
        <f>SUMIFS(tblBudget[Feed_oz],tblBudget[Month],"&lt;"&amp;$E218)+$KG218</f>
        <v/>
      </c>
      <c r="KI218" s="56">
        <f>IFERROR(IF(($KC218)&gt;0,($JW218*cfg_TroyOz)/($KC218),""),"")</f>
        <v/>
      </c>
      <c r="KJ218" s="56">
        <f>IFERROR(IF(($KD218)&gt;0,($JX218*cfg_TroyOz)/($KD218),""),"")</f>
        <v/>
      </c>
      <c r="KK218" s="56">
        <f>IFERROR(IF(($KE218)&gt;0,($JY218*cfg_TroyOz)/($KE218),""),"")</f>
        <v/>
      </c>
      <c r="KL218" s="67">
        <f>IFERROR(IF(($KF218)&gt;0,($JZ218)/($KF218),""),"")</f>
        <v/>
      </c>
      <c r="KM218" s="67">
        <f>IFERROR(IF(($KG218)&gt;0,($KA218)/($KG218),""),"")</f>
        <v/>
      </c>
      <c r="KN218" s="67">
        <f>IFERROR(IF(($KH218)&gt;0,($KB218)/($KH218),""),"")</f>
        <v/>
      </c>
      <c r="KO218" s="55">
        <f>SUMIFS(tblBudget[Gold_Poured_oz],tblBudget[Month],$E218)</f>
        <v/>
      </c>
      <c r="KP218" s="55">
        <f>$KO218*$C218/$D218</f>
        <v/>
      </c>
      <c r="KQ218" s="55">
        <f>SUMIFS(tblBudget[Gold_Poured_oz],tblBudget[Month],"&lt;"&amp;$E218)+$KP218</f>
        <v/>
      </c>
      <c r="KR218" s="57">
        <f>SUMIFS(tblBudget[Hours_Worked],tblBudget[Month],$E218)</f>
        <v/>
      </c>
      <c r="KS218" s="57">
        <f>$KR218*$C218/$D218</f>
        <v/>
      </c>
      <c r="KT218" s="57">
        <f>SUMIFS(tblBudget[Hours_Worked],tblBudget[Month],"&lt;"&amp;$E218)+$KS218</f>
        <v/>
      </c>
    </row>
    <row r="219">
      <c r="A219" s="54" t="n">
        <v>46240</v>
      </c>
      <c r="B219">
        <f>MONTH($A219)</f>
        <v/>
      </c>
      <c r="C219">
        <f>DAY($A219)</f>
        <v/>
      </c>
      <c r="D219">
        <f>DAY(EOMONTH($A219,0))</f>
        <v/>
      </c>
      <c r="E219" s="54">
        <f>DATE(YEAR($A219),MONTH($A219),1)</f>
        <v/>
      </c>
      <c r="F219" s="55">
        <f>SUMIFS(tblMovement[Tonnes_t],tblMovement[Date],$A219,tblMovement[Is_Ore],1,tblMovement[Source_Type],"Pit")</f>
        <v/>
      </c>
      <c r="G219" s="55">
        <f>IF($B219=$B218,$G218,0)+$F219</f>
        <v/>
      </c>
      <c r="H219" s="55">
        <f>$H218+$F219</f>
        <v/>
      </c>
      <c r="I219" s="55">
        <f>SUMIFS(tblMovement[Ore_oz],tblMovement[Date],$A219,tblMovement[Source_Type],"Pit")</f>
        <v/>
      </c>
      <c r="J219" s="55">
        <f>IF($B219=$B218,$J218,0)+$I219</f>
        <v/>
      </c>
      <c r="K219" s="55">
        <f>$K218+$I219</f>
        <v/>
      </c>
      <c r="L219" s="55">
        <f>SUMIFS(tblMovement[Tonnes_t],tblMovement[Date],$A219,tblMovement[Is_Ore],1,tblMovement[Source_Type],"Pit",tblMovement[Grade_gpt],"&lt;&gt;")</f>
        <v/>
      </c>
      <c r="M219" s="55">
        <f>IF($B219=$B218,$M218,0)+$L219</f>
        <v/>
      </c>
      <c r="N219" s="55">
        <f>$N218+$L219</f>
        <v/>
      </c>
      <c r="O219" s="56">
        <f>IFERROR(IF(($L219)&gt;0,($I219*cfg_TroyOz)/($L219),""),"")</f>
        <v/>
      </c>
      <c r="P219" s="56">
        <f>IFERROR(IF(($M219)&gt;0,($J219*cfg_TroyOz)/($M219),""),"")</f>
        <v/>
      </c>
      <c r="Q219" s="56">
        <f>IFERROR(IF(($N219)&gt;0,($K219*cfg_TroyOz)/($N219),""),"")</f>
        <v/>
      </c>
      <c r="R219" s="55">
        <f>$F219-$L219</f>
        <v/>
      </c>
      <c r="S219" s="55">
        <f>IF($B219=$B218,$S218,0)+$R219</f>
        <v/>
      </c>
      <c r="T219" s="55">
        <f>$T218+$R219</f>
        <v/>
      </c>
      <c r="U219" s="55">
        <f>SUMIFS(tblMovement[Tonnes_t],tblMovement[Date],$A219,tblMovement[Is_Ore],0,tblMovement[Source_Type],"Pit")</f>
        <v/>
      </c>
      <c r="V219" s="55">
        <f>IF($B219=$B218,$V218,0)+$U219</f>
        <v/>
      </c>
      <c r="W219" s="55">
        <f>$W218+$U219</f>
        <v/>
      </c>
      <c r="X219" s="55">
        <f>$F219+$U219</f>
        <v/>
      </c>
      <c r="Y219" s="55">
        <f>IF($B219=$B218,$Y218,0)+$X219</f>
        <v/>
      </c>
      <c r="Z219" s="55">
        <f>$Z218+$X219</f>
        <v/>
      </c>
      <c r="AA219" s="56">
        <f>IFERROR(IF(($F219)&gt;0,($U219)/($F219),""),"")</f>
        <v/>
      </c>
      <c r="AB219" s="56">
        <f>IFERROR(IF(($G219)&gt;0,($V219)/($G219),""),"")</f>
        <v/>
      </c>
      <c r="AC219" s="56">
        <f>IFERROR(IF(($H219)&gt;0,($W219)/($H219),""),"")</f>
        <v/>
      </c>
      <c r="AD219" s="55">
        <f>SUMIFS(tblMovement[Tonnes_t],tblMovement[Date],$A219,tblMovement[Source_Type],"Stockpile")</f>
        <v/>
      </c>
      <c r="AE219" s="55">
        <f>IF($B219=$B218,$AE218,0)+$AD219</f>
        <v/>
      </c>
      <c r="AF219" s="55">
        <f>$AF218+$AD219</f>
        <v/>
      </c>
      <c r="AG219" s="55">
        <f>SUMIFS(tblMovement[Tonnes_t],tblMovement[Date],$A219)</f>
        <v/>
      </c>
      <c r="AH219" s="55">
        <f>IF($B219=$B218,$AH218,0)+$AG219</f>
        <v/>
      </c>
      <c r="AI219" s="55">
        <f>$AI218+$AG219</f>
        <v/>
      </c>
      <c r="AJ219" s="55">
        <f>$AG219-$X219-$AD219</f>
        <v/>
      </c>
      <c r="AK219" s="55">
        <f>IF($B219=$B218,$AK218,0)+$AJ219</f>
        <v/>
      </c>
      <c r="AL219" s="55">
        <f>$AL218+$AJ219</f>
        <v/>
      </c>
      <c r="AM219" s="55">
        <f>SUMIFS(tblMiningDaily[Drill_m],tblMiningDaily[Date],$A219)</f>
        <v/>
      </c>
      <c r="AN219" s="55">
        <f>IF($B219=$B218,$AN218,0)+$AM219</f>
        <v/>
      </c>
      <c r="AO219" s="55">
        <f>$AO218+$AM219</f>
        <v/>
      </c>
      <c r="AP219" s="55">
        <f>SUMIFS(tblMiningDaily[GC_Drill_m],tblMiningDaily[Date],$A219)</f>
        <v/>
      </c>
      <c r="AQ219" s="55">
        <f>IF($B219=$B218,$AQ218,0)+$AP219</f>
        <v/>
      </c>
      <c r="AR219" s="55">
        <f>$AR218+$AP219</f>
        <v/>
      </c>
      <c r="AS219" s="55">
        <f>SUMIFS(tblMiningDaily[Blast_t],tblMiningDaily[Date],$A219)</f>
        <v/>
      </c>
      <c r="AT219" s="55">
        <f>IF($B219=$B218,$AT218,0)+$AS219</f>
        <v/>
      </c>
      <c r="AU219" s="55">
        <f>$AU218+$AS219</f>
        <v/>
      </c>
      <c r="AV219" s="55">
        <f>SUMIFS(tblMiningDaily[Explosives_kg],tblMiningDaily[Date],$A219)</f>
        <v/>
      </c>
      <c r="AW219" s="55">
        <f>IF($B219=$B218,$AW218,0)+$AV219</f>
        <v/>
      </c>
      <c r="AX219" s="55">
        <f>$AX218+$AV219</f>
        <v/>
      </c>
      <c r="AY219" s="56">
        <f>IFERROR(IF(($AS219)&gt;0,($AV219)/($AS219),""),"")</f>
        <v/>
      </c>
      <c r="AZ219" s="56">
        <f>IFERROR(IF(($AT219)&gt;0,($AW219)/($AT219),""),"")</f>
        <v/>
      </c>
      <c r="BA219" s="56">
        <f>IFERROR(IF(($AU219)&gt;0,($AX219)/($AU219),""),"")</f>
        <v/>
      </c>
      <c r="BB219" s="55">
        <f>SUMIFS(tblMiningDaily[Diesel_L],tblMiningDaily[Date],$A219)</f>
        <v/>
      </c>
      <c r="BC219" s="55">
        <f>IF($B219=$B218,$BC218,0)+$BB219</f>
        <v/>
      </c>
      <c r="BD219" s="55">
        <f>$BD218+$BB219</f>
        <v/>
      </c>
      <c r="BE219" s="55">
        <f>SUMIFS(tblMiningDaily[Dewatering_m3],tblMiningDaily[Date],$A219)</f>
        <v/>
      </c>
      <c r="BF219" s="55">
        <f>IF($B219=$B218,$BF218,0)+$BE219</f>
        <v/>
      </c>
      <c r="BG219" s="55">
        <f>$BG218+$BE219</f>
        <v/>
      </c>
      <c r="BH219" s="57">
        <f>SUMIFS(tblFleet[Calendar_h],tblFleet[Date],$A219,tblFleet[Equipment_Class],"Excavator")</f>
        <v/>
      </c>
      <c r="BI219" s="57">
        <f>IF($B219=$B218,$BI218,0)+$BH219</f>
        <v/>
      </c>
      <c r="BJ219" s="57">
        <f>$BJ218+$BH219</f>
        <v/>
      </c>
      <c r="BK219" s="57">
        <f>SUMIFS(tblFleet[Available_h],tblFleet[Date],$A219,tblFleet[Equipment_Class],"Excavator")</f>
        <v/>
      </c>
      <c r="BL219" s="57">
        <f>IF($B219=$B218,$BL218,0)+$BK219</f>
        <v/>
      </c>
      <c r="BM219" s="57">
        <f>$BM218+$BK219</f>
        <v/>
      </c>
      <c r="BN219" s="57">
        <f>SUMIFS(tblFleet[Operating_h],tblFleet[Date],$A219,tblFleet[Equipment_Class],"Excavator")</f>
        <v/>
      </c>
      <c r="BO219" s="57">
        <f>IF($B219=$B218,$BO218,0)+$BN219</f>
        <v/>
      </c>
      <c r="BP219" s="57">
        <f>$BP218+$BN219</f>
        <v/>
      </c>
      <c r="BQ219" s="67">
        <f>IFERROR(IF(($BH219)&gt;0,($BK219)/($BH219),""),"")</f>
        <v/>
      </c>
      <c r="BR219" s="67">
        <f>IFERROR(IF(($BI219)&gt;0,($BL219)/($BI219),""),"")</f>
        <v/>
      </c>
      <c r="BS219" s="67">
        <f>IFERROR(IF(($BJ219)&gt;0,($BM219)/($BJ219),""),"")</f>
        <v/>
      </c>
      <c r="BT219" s="67">
        <f>IFERROR(IF(($BK219)&gt;0,($BN219)/($BK219),""),"")</f>
        <v/>
      </c>
      <c r="BU219" s="67">
        <f>IFERROR(IF(($BL219)&gt;0,($BO219)/($BL219),""),"")</f>
        <v/>
      </c>
      <c r="BV219" s="67">
        <f>IFERROR(IF(($BM219)&gt;0,($BP219)/($BM219),""),"")</f>
        <v/>
      </c>
      <c r="BW219" s="57">
        <f>SUMIFS(tblFleet[Calendar_h],tblFleet[Date],$A219,tblFleet[Equipment_Class],"Haul Truck")</f>
        <v/>
      </c>
      <c r="BX219" s="57">
        <f>IF($B219=$B218,$BX218,0)+$BW219</f>
        <v/>
      </c>
      <c r="BY219" s="57">
        <f>$BY218+$BW219</f>
        <v/>
      </c>
      <c r="BZ219" s="57">
        <f>SUMIFS(tblFleet[Available_h],tblFleet[Date],$A219,tblFleet[Equipment_Class],"Haul Truck")</f>
        <v/>
      </c>
      <c r="CA219" s="57">
        <f>IF($B219=$B218,$CA218,0)+$BZ219</f>
        <v/>
      </c>
      <c r="CB219" s="57">
        <f>$CB218+$BZ219</f>
        <v/>
      </c>
      <c r="CC219" s="57">
        <f>SUMIFS(tblFleet[Operating_h],tblFleet[Date],$A219,tblFleet[Equipment_Class],"Haul Truck")</f>
        <v/>
      </c>
      <c r="CD219" s="57">
        <f>IF($B219=$B218,$CD218,0)+$CC219</f>
        <v/>
      </c>
      <c r="CE219" s="57">
        <f>$CE218+$CC219</f>
        <v/>
      </c>
      <c r="CF219" s="67">
        <f>IFERROR(IF(($BW219)&gt;0,($BZ219)/($BW219),""),"")</f>
        <v/>
      </c>
      <c r="CG219" s="67">
        <f>IFERROR(IF(($BX219)&gt;0,($CA219)/($BX219),""),"")</f>
        <v/>
      </c>
      <c r="CH219" s="67">
        <f>IFERROR(IF(($BY219)&gt;0,($CB219)/($BY219),""),"")</f>
        <v/>
      </c>
      <c r="CI219" s="67">
        <f>IFERROR(IF(($BZ219)&gt;0,($CC219)/($BZ219),""),"")</f>
        <v/>
      </c>
      <c r="CJ219" s="67">
        <f>IFERROR(IF(($CA219)&gt;0,($CD219)/($CA219),""),"")</f>
        <v/>
      </c>
      <c r="CK219" s="67">
        <f>IFERROR(IF(($CB219)&gt;0,($CE219)/($CB219),""),"")</f>
        <v/>
      </c>
      <c r="CL219" s="55">
        <f>IFERROR(IF(($BN219)&gt;0,($X219+$AD219)/($BN219),""),"")</f>
        <v/>
      </c>
      <c r="CM219" s="55">
        <f>IFERROR(IF(($BO219)&gt;0,($Y219+$AE219)/($BO219),""),"")</f>
        <v/>
      </c>
      <c r="CN219" s="55">
        <f>IFERROR(IF(($BP219)&gt;0,($Z219+$AF219)/($BP219),""),"")</f>
        <v/>
      </c>
      <c r="CO219" s="55">
        <f>IFERROR(IF(($CC219)&gt;0,($X219+$AD219)/($CC219),""),"")</f>
        <v/>
      </c>
      <c r="CP219" s="55">
        <f>IFERROR(IF(($CD219)&gt;0,($Y219+$AE219)/($CD219),""),"")</f>
        <v/>
      </c>
      <c r="CQ219" s="55">
        <f>IFERROR(IF(($CE219)&gt;0,($Z219+$AF219)/($CE219),""),"")</f>
        <v/>
      </c>
      <c r="CR219" s="55">
        <f>SUMIFS(tblPlant[Crushed_t],tblPlant[Date],$A219)</f>
        <v/>
      </c>
      <c r="CS219" s="55">
        <f>IF($B219=$B218,$CS218,0)+$CR219</f>
        <v/>
      </c>
      <c r="CT219" s="55">
        <f>$CT218+$CR219</f>
        <v/>
      </c>
      <c r="CU219" s="55">
        <f>SUMIFS(tblPlant[Milled_t],tblPlant[Date],$A219)</f>
        <v/>
      </c>
      <c r="CV219" s="55">
        <f>IF($B219=$B218,$CV218,0)+$CU219</f>
        <v/>
      </c>
      <c r="CW219" s="55">
        <f>$CW218+$CU219</f>
        <v/>
      </c>
      <c r="CX219" s="55">
        <f>SUMIFS(tblPlant[Feed_oz],tblPlant[Date],$A219)</f>
        <v/>
      </c>
      <c r="CY219" s="55">
        <f>IF($B219=$B218,$CY218,0)+$CX219</f>
        <v/>
      </c>
      <c r="CZ219" s="55">
        <f>$CZ218+$CX219</f>
        <v/>
      </c>
      <c r="DA219" s="55">
        <f>SUMIFS(tblPlant[Tails_oz],tblPlant[Date],$A219)</f>
        <v/>
      </c>
      <c r="DB219" s="55">
        <f>IF($B219=$B218,$DB218,0)+$DA219</f>
        <v/>
      </c>
      <c r="DC219" s="55">
        <f>$DC218+$DA219</f>
        <v/>
      </c>
      <c r="DD219" s="55">
        <f>SUMIFS(tblPlant[Recovered_oz],tblPlant[Date],$A219)</f>
        <v/>
      </c>
      <c r="DE219" s="55">
        <f>IF($B219=$B218,$DE218,0)+$DD219</f>
        <v/>
      </c>
      <c r="DF219" s="55">
        <f>$DF218+$DD219</f>
        <v/>
      </c>
      <c r="DG219" s="55">
        <f>SUMIFS(tblPlant[Milled_t],tblPlant[Date],$A219,tblPlant[Head_Grade_gpt],"&lt;&gt;")</f>
        <v/>
      </c>
      <c r="DH219" s="55">
        <f>IF($B219=$B218,$DH218,0)+$DG219</f>
        <v/>
      </c>
      <c r="DI219" s="55">
        <f>$DI218+$DG219</f>
        <v/>
      </c>
      <c r="DJ219" s="55">
        <f>SUMIFS(tblPlant[Milled_t],tblPlant[Date],$A219,tblPlant[Tails_Grade_gpt],"&lt;&gt;")</f>
        <v/>
      </c>
      <c r="DK219" s="55">
        <f>IF($B219=$B218,$DK218,0)+$DJ219</f>
        <v/>
      </c>
      <c r="DL219" s="55">
        <f>$DL218+$DJ219</f>
        <v/>
      </c>
      <c r="DM219" s="55">
        <f>SUMIFS(tblPlant[Feed_oz],tblPlant[Date],$A219,tblPlant[Tails_Grade_gpt],"&lt;&gt;")</f>
        <v/>
      </c>
      <c r="DN219" s="55">
        <f>IF($B219=$B218,$DN218,0)+$DM219</f>
        <v/>
      </c>
      <c r="DO219" s="55">
        <f>$DO218+$DM219</f>
        <v/>
      </c>
      <c r="DP219" s="55">
        <f>SUMIFS(tblPlant[Milled_t],tblPlant[Date],$A219,tblPlant[Mill_Run_h],"&lt;&gt;")</f>
        <v/>
      </c>
      <c r="DQ219" s="55">
        <f>IF($B219=$B218,$DQ218,0)+$DP219</f>
        <v/>
      </c>
      <c r="DR219" s="55">
        <f>$DR218+$DP219</f>
        <v/>
      </c>
      <c r="DS219" s="56">
        <f>IFERROR(IF(($DG219)&gt;0,($CX219*cfg_TroyOz)/($DG219),""),"")</f>
        <v/>
      </c>
      <c r="DT219" s="56">
        <f>IFERROR(IF(($DH219)&gt;0,($CY219*cfg_TroyOz)/($DH219),""),"")</f>
        <v/>
      </c>
      <c r="DU219" s="56">
        <f>IFERROR(IF(($DI219)&gt;0,($CZ219*cfg_TroyOz)/($DI219),""),"")</f>
        <v/>
      </c>
      <c r="DV219" s="56">
        <f>IFERROR(IF(($DJ219)&gt;0,($DA219*cfg_TroyOz)/($DJ219),""),"")</f>
        <v/>
      </c>
      <c r="DW219" s="56">
        <f>IFERROR(IF(($DK219)&gt;0,($DB219*cfg_TroyOz)/($DK219),""),"")</f>
        <v/>
      </c>
      <c r="DX219" s="56">
        <f>IFERROR(IF(($DL219)&gt;0,($DC219*cfg_TroyOz)/($DL219),""),"")</f>
        <v/>
      </c>
      <c r="DY219" s="67">
        <f>IFERROR(IF(($DM219)&gt;0,($DD219)/($DM219),""),"")</f>
        <v/>
      </c>
      <c r="DZ219" s="67">
        <f>IFERROR(IF(($DN219)&gt;0,($DE219)/($DN219),""),"")</f>
        <v/>
      </c>
      <c r="EA219" s="67">
        <f>IFERROR(IF(($DO219)&gt;0,($DF219)/($DO219),""),"")</f>
        <v/>
      </c>
      <c r="EB219" s="55">
        <f>SUMIFS(tblPlant[Gravity_Gold_oz],tblPlant[Date],$A219)</f>
        <v/>
      </c>
      <c r="EC219" s="55">
        <f>IF($B219=$B218,$EC218,0)+$EB219</f>
        <v/>
      </c>
      <c r="ED219" s="55">
        <f>$ED218+$EB219</f>
        <v/>
      </c>
      <c r="EE219" s="67">
        <f>IFERROR(IF(($DD219)&gt;0,($EB219)/($DD219),""),"")</f>
        <v/>
      </c>
      <c r="EF219" s="67">
        <f>IFERROR(IF(($DE219)&gt;0,($EC219)/($DE219),""),"")</f>
        <v/>
      </c>
      <c r="EG219" s="67">
        <f>IFERROR(IF(($DF219)&gt;0,($ED219)/($DF219),""),"")</f>
        <v/>
      </c>
      <c r="EH219" s="55">
        <f>SUMIFS(tblPlant[Gold_Poured_oz],tblPlant[Date],$A219)</f>
        <v/>
      </c>
      <c r="EI219" s="55">
        <f>IF($B219=$B218,$EI218,0)+$EH219</f>
        <v/>
      </c>
      <c r="EJ219" s="55">
        <f>$EJ218+$EH219</f>
        <v/>
      </c>
      <c r="EK219" s="57">
        <f>SUMIFS(tblPlant[Mill_Run_h],tblPlant[Date],$A219)</f>
        <v/>
      </c>
      <c r="EL219" s="57">
        <f>IF($B219=$B218,$EL218,0)+$EK219</f>
        <v/>
      </c>
      <c r="EM219" s="57">
        <f>$EM218+$EK219</f>
        <v/>
      </c>
      <c r="EN219" s="57">
        <f>SUMIFS(tblPlant[Mill_Planned_Maint_h],tblPlant[Date],$A219)</f>
        <v/>
      </c>
      <c r="EO219" s="57">
        <f>IF($B219=$B218,$EO218,0)+$EN219</f>
        <v/>
      </c>
      <c r="EP219" s="57">
        <f>$EP218+$EN219</f>
        <v/>
      </c>
      <c r="EQ219" s="57">
        <f>SUMIFS(tblPlant[Mill_Unplanned_Down_h],tblPlant[Date],$A219)</f>
        <v/>
      </c>
      <c r="ER219" s="57">
        <f>IF($B219=$B218,$ER218,0)+$EQ219</f>
        <v/>
      </c>
      <c r="ES219" s="57">
        <f>$ES218+$EQ219</f>
        <v/>
      </c>
      <c r="ET219" s="57">
        <f>IF(COUNTIFS(tblPlant[Date],$A219,tblPlant[Mill_Run_h],"&lt;&gt;")+COUNTIFS(tblPlant[Date],$A219,tblPlant[Mill_Planned_Maint_h],"&lt;&gt;")+COUNTIFS(tblPlant[Date],$A219,tblPlant[Mill_Unplanned_Down_h],"&lt;&gt;")&gt;0,cfg_HoursPerDay,0)</f>
        <v/>
      </c>
      <c r="EU219" s="57">
        <f>IF($B219=$B218,$EU218,0)+$ET219</f>
        <v/>
      </c>
      <c r="EV219" s="57">
        <f>$EV218+$ET219</f>
        <v/>
      </c>
      <c r="EW219" s="57">
        <f>SUMIFS(tblPlant[Crusher_Run_h],tblPlant[Date],$A219)</f>
        <v/>
      </c>
      <c r="EX219" s="57">
        <f>IF($B219=$B218,$EX218,0)+$EW219</f>
        <v/>
      </c>
      <c r="EY219" s="57">
        <f>$EY218+$EW219</f>
        <v/>
      </c>
      <c r="EZ219" s="55">
        <f>IFERROR(IF(($EK219)&gt;0,($DP219)/($EK219),""),"")</f>
        <v/>
      </c>
      <c r="FA219" s="55">
        <f>IFERROR(IF(($EL219)&gt;0,($DQ219)/($EL219),""),"")</f>
        <v/>
      </c>
      <c r="FB219" s="55">
        <f>IFERROR(IF(($EM219)&gt;0,($DR219)/($EM219),""),"")</f>
        <v/>
      </c>
      <c r="FC219" s="67">
        <f>IFERROR(IF(($ET219)&gt;0,($ET219-$EN219-$EQ219)/($ET219),""),"")</f>
        <v/>
      </c>
      <c r="FD219" s="67">
        <f>IFERROR(IF(($EU219)&gt;0,($EU219-$EO219-$ER219)/($EU219),""),"")</f>
        <v/>
      </c>
      <c r="FE219" s="67">
        <f>IFERROR(IF(($EV219)&gt;0,($EV219-$EP219-$ES219)/($EV219),""),"")</f>
        <v/>
      </c>
      <c r="FF219" s="67">
        <f>IFERROR(IF(($ET219-$EN219-$EQ219)&gt;0,($EK219)/($ET219-$EN219-$EQ219),""),"")</f>
        <v/>
      </c>
      <c r="FG219" s="67">
        <f>IFERROR(IF(($EU219-$EO219-$ER219)&gt;0,($EL219)/($EU219-$EO219-$ER219),""),"")</f>
        <v/>
      </c>
      <c r="FH219" s="67">
        <f>IFERROR(IF(($EV219-$EP219-$ES219)&gt;0,($EM219)/($EV219-$EP219-$ES219),""),"")</f>
        <v/>
      </c>
      <c r="FI219" s="55">
        <f>SUMIFS(tblPlant[Cyanide_kg],tblPlant[Date],$A219)</f>
        <v/>
      </c>
      <c r="FJ219" s="55">
        <f>IF($B219=$B218,$FJ218,0)+$FI219</f>
        <v/>
      </c>
      <c r="FK219" s="55">
        <f>$FK218+$FI219</f>
        <v/>
      </c>
      <c r="FL219" s="55">
        <f>SUMIFS(tblPlant[Lime_kg],tblPlant[Date],$A219)</f>
        <v/>
      </c>
      <c r="FM219" s="55">
        <f>IF($B219=$B218,$FM218,0)+$FL219</f>
        <v/>
      </c>
      <c r="FN219" s="55">
        <f>$FN218+$FL219</f>
        <v/>
      </c>
      <c r="FO219" s="55">
        <f>SUMIFS(tblPlant[Grinding_Media_kg],tblPlant[Date],$A219)</f>
        <v/>
      </c>
      <c r="FP219" s="55">
        <f>IF($B219=$B218,$FP218,0)+$FO219</f>
        <v/>
      </c>
      <c r="FQ219" s="55">
        <f>$FQ218+$FO219</f>
        <v/>
      </c>
      <c r="FR219" s="55">
        <f>SUMIFS(tblPlant[Power_kWh],tblPlant[Date],$A219)</f>
        <v/>
      </c>
      <c r="FS219" s="55">
        <f>IF($B219=$B218,$FS218,0)+$FR219</f>
        <v/>
      </c>
      <c r="FT219" s="55">
        <f>$FT218+$FR219</f>
        <v/>
      </c>
      <c r="FU219" s="55">
        <f>SUMIFS(tblPlant[Raw_Water_m3],tblPlant[Date],$A219)</f>
        <v/>
      </c>
      <c r="FV219" s="55">
        <f>IF($B219=$B218,$FV218,0)+$FU219</f>
        <v/>
      </c>
      <c r="FW219" s="55">
        <f>$FW218+$FU219</f>
        <v/>
      </c>
      <c r="FX219" s="56">
        <f>IFERROR(IF(($CU219)&gt;0,($FI219)/($CU219),""),"")</f>
        <v/>
      </c>
      <c r="FY219" s="56">
        <f>IFERROR(IF(($CV219)&gt;0,($FJ219)/($CV219),""),"")</f>
        <v/>
      </c>
      <c r="FZ219" s="56">
        <f>IFERROR(IF(($CW219)&gt;0,($FK219)/($CW219),""),"")</f>
        <v/>
      </c>
      <c r="GA219" s="56">
        <f>IFERROR(IF(($CU219)&gt;0,($FL219)/($CU219),""),"")</f>
        <v/>
      </c>
      <c r="GB219" s="56">
        <f>IFERROR(IF(($CV219)&gt;0,($FM219)/($CV219),""),"")</f>
        <v/>
      </c>
      <c r="GC219" s="56">
        <f>IFERROR(IF(($CW219)&gt;0,($FN219)/($CW219),""),"")</f>
        <v/>
      </c>
      <c r="GD219" s="56">
        <f>IFERROR(IF(($CU219)&gt;0,($FO219)/($CU219),""),"")</f>
        <v/>
      </c>
      <c r="GE219" s="56">
        <f>IFERROR(IF(($CV219)&gt;0,($FP219)/($CV219),""),"")</f>
        <v/>
      </c>
      <c r="GF219" s="56">
        <f>IFERROR(IF(($CW219)&gt;0,($FQ219)/($CW219),""),"")</f>
        <v/>
      </c>
      <c r="GG219" s="79">
        <f>IFERROR(IF(($CU219)&gt;0,($FR219)/($CU219),""),"")</f>
        <v/>
      </c>
      <c r="GH219" s="79">
        <f>IFERROR(IF(($CV219)&gt;0,($FS219)/($CV219),""),"")</f>
        <v/>
      </c>
      <c r="GI219" s="79">
        <f>IFERROR(IF(($CW219)&gt;0,($FT219)/($CW219),""),"")</f>
        <v/>
      </c>
      <c r="GJ219" s="56">
        <f>IFERROR(IF(($CU219)&gt;0,($FU219)/($CU219),""),"")</f>
        <v/>
      </c>
      <c r="GK219" s="56">
        <f>IFERROR(IF(($CV219)&gt;0,($FV219)/($CV219),""),"")</f>
        <v/>
      </c>
      <c r="GL219" s="56">
        <f>IFERROR(IF(($CW219)&gt;0,($FW219)/($CW219),""),"")</f>
        <v/>
      </c>
      <c r="GM219" s="55">
        <f>IF(SUMIFS(tblPlant[GIC_oz],tblPlant[Date],$A219)&gt;0,SUMIFS(tblPlant[GIC_oz],tblPlant[Date],$A219),"")</f>
        <v/>
      </c>
      <c r="GN219" s="55">
        <f>SUMIFS(tblGold[Gold_oz],tblGold[Date],$A219,tblGold[Type],"Shipment")</f>
        <v/>
      </c>
      <c r="GO219" s="55">
        <f>IF($B219=$B218,$GO218,0)+$GN219</f>
        <v/>
      </c>
      <c r="GP219" s="55">
        <f>$GP218+$GN219</f>
        <v/>
      </c>
      <c r="GQ219" s="55">
        <f>SUMIFS(tblGold[Gold_oz],tblGold[Date],$A219,tblGold[Type],"Sale")</f>
        <v/>
      </c>
      <c r="GR219" s="55">
        <f>IF($B219=$B218,$GR218,0)+$GQ219</f>
        <v/>
      </c>
      <c r="GS219" s="55">
        <f>$GS218+$GQ219</f>
        <v/>
      </c>
      <c r="GT219" s="55">
        <f>SUMIFS(tblGold[Dore_kg],tblGold[Date],$A219,tblGold[Type],"Shipment")</f>
        <v/>
      </c>
      <c r="GU219" s="55">
        <f>IF($B219=$B218,$GU218,0)+$GT219</f>
        <v/>
      </c>
      <c r="GV219" s="55">
        <f>$GV218+$GT219</f>
        <v/>
      </c>
      <c r="GW219" s="57">
        <f>SUMIFS(tblSafety[Hours_Total],tblSafety[Date],$A219)</f>
        <v/>
      </c>
      <c r="GX219" s="57">
        <f>IF($B219=$B218,$GX218,0)+$GW219</f>
        <v/>
      </c>
      <c r="GY219" s="57">
        <f>$GY218+$GW219</f>
        <v/>
      </c>
      <c r="GZ219" s="62">
        <f>SUMIFS(tblSafety[Fatality],tblSafety[Date],$A219)</f>
        <v/>
      </c>
      <c r="HA219" s="62">
        <f>IF($B219=$B218,$HA218,0)+$GZ219</f>
        <v/>
      </c>
      <c r="HB219" s="62">
        <f>$HB218+$GZ219</f>
        <v/>
      </c>
      <c r="HC219" s="62">
        <f>SUMIFS(tblSafety[LTI],tblSafety[Date],$A219)</f>
        <v/>
      </c>
      <c r="HD219" s="62">
        <f>IF($B219=$B218,$HD218,0)+$HC219</f>
        <v/>
      </c>
      <c r="HE219" s="62">
        <f>$HE218+$HC219</f>
        <v/>
      </c>
      <c r="HF219" s="62">
        <f>SUMIFS(tblSafety[RWI],tblSafety[Date],$A219)</f>
        <v/>
      </c>
      <c r="HG219" s="62">
        <f>IF($B219=$B218,$HG218,0)+$HF219</f>
        <v/>
      </c>
      <c r="HH219" s="62">
        <f>$HH218+$HF219</f>
        <v/>
      </c>
      <c r="HI219" s="62">
        <f>SUMIFS(tblSafety[MTI],tblSafety[Date],$A219)</f>
        <v/>
      </c>
      <c r="HJ219" s="62">
        <f>IF($B219=$B218,$HJ218,0)+$HI219</f>
        <v/>
      </c>
      <c r="HK219" s="62">
        <f>$HK218+$HI219</f>
        <v/>
      </c>
      <c r="HL219" s="62">
        <f>SUMIFS(tblSafety[FAI],tblSafety[Date],$A219)</f>
        <v/>
      </c>
      <c r="HM219" s="62">
        <f>IF($B219=$B218,$HM218,0)+$HL219</f>
        <v/>
      </c>
      <c r="HN219" s="62">
        <f>$HN218+$HL219</f>
        <v/>
      </c>
      <c r="HO219" s="62">
        <f>SUMIFS(tblSafety[Recordables],tblSafety[Date],$A219)</f>
        <v/>
      </c>
      <c r="HP219" s="62">
        <f>IF($B219=$B218,$HP218,0)+$HO219</f>
        <v/>
      </c>
      <c r="HQ219" s="62">
        <f>$HQ218+$HO219</f>
        <v/>
      </c>
      <c r="HR219" s="62">
        <f>SUMIFS(tblSafety[Near_Miss],tblSafety[Date],$A219)</f>
        <v/>
      </c>
      <c r="HS219" s="62">
        <f>IF($B219=$B218,$HS218,0)+$HR219</f>
        <v/>
      </c>
      <c r="HT219" s="62">
        <f>$HT218+$HR219</f>
        <v/>
      </c>
      <c r="HU219" s="62">
        <f>SUMIFS(tblSafety[Hazard_Reports],tblSafety[Date],$A219)</f>
        <v/>
      </c>
      <c r="HV219" s="62">
        <f>IF($B219=$B218,$HV218,0)+$HU219</f>
        <v/>
      </c>
      <c r="HW219" s="62">
        <f>$HW218+$HU219</f>
        <v/>
      </c>
      <c r="HX219" s="62">
        <f>SUMIFS(tblSafety[HPI],tblSafety[Date],$A219)</f>
        <v/>
      </c>
      <c r="HY219" s="62">
        <f>IF($B219=$B218,$HY218,0)+$HX219</f>
        <v/>
      </c>
      <c r="HZ219" s="62">
        <f>$HZ218+$HX219</f>
        <v/>
      </c>
      <c r="IA219" s="62">
        <f>SUMIFS(tblSafety[Env_Incidents],tblSafety[Date],$A219)</f>
        <v/>
      </c>
      <c r="IB219" s="62">
        <f>IF($B219=$B218,$IB218,0)+$IA219</f>
        <v/>
      </c>
      <c r="IC219" s="62">
        <f>$IC218+$IA219</f>
        <v/>
      </c>
      <c r="ID219" s="62">
        <f>SUMIFS(tblSafety[Community_Incidents],tblSafety[Date],$A219)</f>
        <v/>
      </c>
      <c r="IE219" s="62">
        <f>IF($B219=$B218,$IE218,0)+$ID219</f>
        <v/>
      </c>
      <c r="IF219" s="62">
        <f>$IF218+$ID219</f>
        <v/>
      </c>
      <c r="IG219" s="62">
        <f>SUMIFS(tblSafety[Vehicle_Incidents],tblSafety[Date],$A219)</f>
        <v/>
      </c>
      <c r="IH219" s="62">
        <f>IF($B219=$B218,$IH218,0)+$IG219</f>
        <v/>
      </c>
      <c r="II219" s="62">
        <f>$II218+$IG219</f>
        <v/>
      </c>
      <c r="IJ219" s="62">
        <f>SUMIFS(tblSafety[Toolbox_Talks],tblSafety[Date],$A219)</f>
        <v/>
      </c>
      <c r="IK219" s="62">
        <f>IF($B219=$B218,$IK218,0)+$IJ219</f>
        <v/>
      </c>
      <c r="IL219" s="62">
        <f>$IL218+$IJ219</f>
        <v/>
      </c>
      <c r="IM219" s="62">
        <f>SUMIFS(tblSafety[Inspections],tblSafety[Date],$A219)</f>
        <v/>
      </c>
      <c r="IN219" s="62">
        <f>IF($B219=$B218,$IN218,0)+$IM219</f>
        <v/>
      </c>
      <c r="IO219" s="62">
        <f>$IO218+$IM219</f>
        <v/>
      </c>
      <c r="IP219" s="56">
        <f>IFERROR((SUMIFS(tblSafety[Recordables],tblSafety[Date],"&gt;="&amp;EDATE($E219,-12),tblSafety[Date],"&lt;="&amp;$A219)+SUMIFS(tblSafetyHistory[Recordables],tblSafetyHistory[Month],"&gt;="&amp;EDATE($E219,-12),tblSafetyHistory[Month],"&lt;"&amp;$E219,tblSafetyHistory[Use],1))/(SUMIFS(tblSafety[Hours_Total],tblSafety[Date],"&gt;="&amp;EDATE($E219,-12),tblSafety[Date],"&lt;="&amp;$A219)+SUMIFS(tblSafetyHistory[Hours_Total],tblSafetyHistory[Month],"&gt;="&amp;EDATE($E219,-12),tblSafetyHistory[Month],"&lt;"&amp;$E219,tblSafetyHistory[Use],1))*cfg_RateBasisHours,"")</f>
        <v/>
      </c>
      <c r="IQ219" s="56">
        <f>IFERROR((SUMIFS(tblSafety[LTI],tblSafety[Date],"&gt;="&amp;EDATE($E219,-12),tblSafety[Date],"&lt;="&amp;$A219)+SUMIFS(tblSafetyHistory[LTI],tblSafetyHistory[Month],"&gt;="&amp;EDATE($E219,-12),tblSafetyHistory[Month],"&lt;"&amp;$E219,tblSafetyHistory[Use],1))/(SUMIFS(tblSafety[Hours_Total],tblSafety[Date],"&gt;="&amp;EDATE($E219,-12),tblSafety[Date],"&lt;="&amp;$A219)+SUMIFS(tblSafetyHistory[Hours_Total],tblSafetyHistory[Month],"&gt;="&amp;EDATE($E219,-12),tblSafetyHistory[Month],"&lt;"&amp;$E219,tblSafetyHistory[Use],1))*cfg_RateBasisHours,"")</f>
        <v/>
      </c>
      <c r="IR219" s="62">
        <f>IF(MAX(N(cfg_PriorLTIDate),_xlfn.MAXIFS(tblSafety[Date],tblSafety[LTI],"&gt;0",tblSafety[Date],"&lt;="&amp;$A219))=0,"",$A219-MAX(N(cfg_PriorLTIDate),_xlfn.MAXIFS(tblSafety[Date],tblSafety[LTI],"&gt;0",tblSafety[Date],"&lt;="&amp;$A219)))</f>
        <v/>
      </c>
      <c r="IS219" s="55">
        <f>SUMIFS(tblBudget[Ore_Mined_t],tblBudget[Month],$E219)</f>
        <v/>
      </c>
      <c r="IT219" s="55">
        <f>$IS219*$C219/$D219</f>
        <v/>
      </c>
      <c r="IU219" s="55">
        <f>SUMIFS(tblBudget[Ore_Mined_t],tblBudget[Month],"&lt;"&amp;$E219)+$IT219</f>
        <v/>
      </c>
      <c r="IV219" s="55">
        <f>SUMIFS(tblBudget[Ore_oz],tblBudget[Month],$E219)</f>
        <v/>
      </c>
      <c r="IW219" s="55">
        <f>$IV219*$C219/$D219</f>
        <v/>
      </c>
      <c r="IX219" s="55">
        <f>SUMIFS(tblBudget[Ore_oz],tblBudget[Month],"&lt;"&amp;$E219)+$IW219</f>
        <v/>
      </c>
      <c r="IY219" s="55">
        <f>SUMIFS(tblBudget[Ore_Mined_t],tblBudget[Month],$E219)</f>
        <v/>
      </c>
      <c r="IZ219" s="55">
        <f>$IY219*$C219/$D219</f>
        <v/>
      </c>
      <c r="JA219" s="55">
        <f>SUMIFS(tblBudget[Ore_Mined_t],tblBudget[Month],"&lt;"&amp;$E219)+$IZ219</f>
        <v/>
      </c>
      <c r="JB219" s="56">
        <f>IFERROR(IF(($IY219)&gt;0,($IV219*cfg_TroyOz)/($IY219),""),"")</f>
        <v/>
      </c>
      <c r="JC219" s="56">
        <f>IFERROR(IF(($IZ219)&gt;0,($IW219*cfg_TroyOz)/($IZ219),""),"")</f>
        <v/>
      </c>
      <c r="JD219" s="56">
        <f>IFERROR(IF(($JA219)&gt;0,($IX219*cfg_TroyOz)/($JA219),""),"")</f>
        <v/>
      </c>
      <c r="JE219" s="55">
        <f>SUMIFS(tblBudget[Waste_t],tblBudget[Month],$E219)</f>
        <v/>
      </c>
      <c r="JF219" s="55">
        <f>$JE219*$C219/$D219</f>
        <v/>
      </c>
      <c r="JG219" s="55">
        <f>SUMIFS(tblBudget[Waste_t],tblBudget[Month],"&lt;"&amp;$E219)+$JF219</f>
        <v/>
      </c>
      <c r="JH219" s="55">
        <f>SUMIFS(tblBudget[TMM_t],tblBudget[Month],$E219)</f>
        <v/>
      </c>
      <c r="JI219" s="55">
        <f>$JH219*$C219/$D219</f>
        <v/>
      </c>
      <c r="JJ219" s="55">
        <f>SUMIFS(tblBudget[TMM_t],tblBudget[Month],"&lt;"&amp;$E219)+$JI219</f>
        <v/>
      </c>
      <c r="JK219" s="56">
        <f>IFERROR(IF(($IS219)&gt;0,($JE219)/($IS219),""),"")</f>
        <v/>
      </c>
      <c r="JL219" s="56">
        <f>IFERROR(IF(($IT219)&gt;0,($JF219)/($IT219),""),"")</f>
        <v/>
      </c>
      <c r="JM219" s="56">
        <f>IFERROR(IF(($IU219)&gt;0,($JG219)/($IU219),""),"")</f>
        <v/>
      </c>
      <c r="JN219" s="55">
        <f>SUMIFS(tblBudget[Drill_m],tblBudget[Month],$E219)</f>
        <v/>
      </c>
      <c r="JO219" s="55">
        <f>$JN219*$C219/$D219</f>
        <v/>
      </c>
      <c r="JP219" s="55">
        <f>SUMIFS(tblBudget[Drill_m],tblBudget[Month],"&lt;"&amp;$E219)+$JO219</f>
        <v/>
      </c>
      <c r="JQ219" s="55">
        <f>SUMIFS(tblBudget[Diesel_L],tblBudget[Month],$E219)</f>
        <v/>
      </c>
      <c r="JR219" s="55">
        <f>$JQ219*$C219/$D219</f>
        <v/>
      </c>
      <c r="JS219" s="55">
        <f>SUMIFS(tblBudget[Diesel_L],tblBudget[Month],"&lt;"&amp;$E219)+$JR219</f>
        <v/>
      </c>
      <c r="JT219" s="55">
        <f>SUMIFS(tblBudget[Milled_t],tblBudget[Month],$E219)</f>
        <v/>
      </c>
      <c r="JU219" s="55">
        <f>$JT219*$C219/$D219</f>
        <v/>
      </c>
      <c r="JV219" s="55">
        <f>SUMIFS(tblBudget[Milled_t],tblBudget[Month],"&lt;"&amp;$E219)+$JU219</f>
        <v/>
      </c>
      <c r="JW219" s="55">
        <f>SUMIFS(tblBudget[Feed_oz],tblBudget[Month],$E219)</f>
        <v/>
      </c>
      <c r="JX219" s="55">
        <f>$JW219*$C219/$D219</f>
        <v/>
      </c>
      <c r="JY219" s="55">
        <f>SUMIFS(tblBudget[Feed_oz],tblBudget[Month],"&lt;"&amp;$E219)+$JX219</f>
        <v/>
      </c>
      <c r="JZ219" s="55">
        <f>SUMIFS(tblBudget[Recovered_oz],tblBudget[Month],$E219)</f>
        <v/>
      </c>
      <c r="KA219" s="55">
        <f>$JZ219*$C219/$D219</f>
        <v/>
      </c>
      <c r="KB219" s="55">
        <f>SUMIFS(tblBudget[Recovered_oz],tblBudget[Month],"&lt;"&amp;$E219)+$KA219</f>
        <v/>
      </c>
      <c r="KC219" s="55">
        <f>SUMIFS(tblBudget[Milled_t],tblBudget[Month],$E219)</f>
        <v/>
      </c>
      <c r="KD219" s="55">
        <f>$KC219*$C219/$D219</f>
        <v/>
      </c>
      <c r="KE219" s="55">
        <f>SUMIFS(tblBudget[Milled_t],tblBudget[Month],"&lt;"&amp;$E219)+$KD219</f>
        <v/>
      </c>
      <c r="KF219" s="55">
        <f>SUMIFS(tblBudget[Feed_oz],tblBudget[Month],$E219)</f>
        <v/>
      </c>
      <c r="KG219" s="55">
        <f>$KF219*$C219/$D219</f>
        <v/>
      </c>
      <c r="KH219" s="55">
        <f>SUMIFS(tblBudget[Feed_oz],tblBudget[Month],"&lt;"&amp;$E219)+$KG219</f>
        <v/>
      </c>
      <c r="KI219" s="56">
        <f>IFERROR(IF(($KC219)&gt;0,($JW219*cfg_TroyOz)/($KC219),""),"")</f>
        <v/>
      </c>
      <c r="KJ219" s="56">
        <f>IFERROR(IF(($KD219)&gt;0,($JX219*cfg_TroyOz)/($KD219),""),"")</f>
        <v/>
      </c>
      <c r="KK219" s="56">
        <f>IFERROR(IF(($KE219)&gt;0,($JY219*cfg_TroyOz)/($KE219),""),"")</f>
        <v/>
      </c>
      <c r="KL219" s="67">
        <f>IFERROR(IF(($KF219)&gt;0,($JZ219)/($KF219),""),"")</f>
        <v/>
      </c>
      <c r="KM219" s="67">
        <f>IFERROR(IF(($KG219)&gt;0,($KA219)/($KG219),""),"")</f>
        <v/>
      </c>
      <c r="KN219" s="67">
        <f>IFERROR(IF(($KH219)&gt;0,($KB219)/($KH219),""),"")</f>
        <v/>
      </c>
      <c r="KO219" s="55">
        <f>SUMIFS(tblBudget[Gold_Poured_oz],tblBudget[Month],$E219)</f>
        <v/>
      </c>
      <c r="KP219" s="55">
        <f>$KO219*$C219/$D219</f>
        <v/>
      </c>
      <c r="KQ219" s="55">
        <f>SUMIFS(tblBudget[Gold_Poured_oz],tblBudget[Month],"&lt;"&amp;$E219)+$KP219</f>
        <v/>
      </c>
      <c r="KR219" s="57">
        <f>SUMIFS(tblBudget[Hours_Worked],tblBudget[Month],$E219)</f>
        <v/>
      </c>
      <c r="KS219" s="57">
        <f>$KR219*$C219/$D219</f>
        <v/>
      </c>
      <c r="KT219" s="57">
        <f>SUMIFS(tblBudget[Hours_Worked],tblBudget[Month],"&lt;"&amp;$E219)+$KS219</f>
        <v/>
      </c>
    </row>
    <row r="220">
      <c r="A220" s="54" t="n">
        <v>46241</v>
      </c>
      <c r="B220">
        <f>MONTH($A220)</f>
        <v/>
      </c>
      <c r="C220">
        <f>DAY($A220)</f>
        <v/>
      </c>
      <c r="D220">
        <f>DAY(EOMONTH($A220,0))</f>
        <v/>
      </c>
      <c r="E220" s="54">
        <f>DATE(YEAR($A220),MONTH($A220),1)</f>
        <v/>
      </c>
      <c r="F220" s="55">
        <f>SUMIFS(tblMovement[Tonnes_t],tblMovement[Date],$A220,tblMovement[Is_Ore],1,tblMovement[Source_Type],"Pit")</f>
        <v/>
      </c>
      <c r="G220" s="55">
        <f>IF($B220=$B219,$G219,0)+$F220</f>
        <v/>
      </c>
      <c r="H220" s="55">
        <f>$H219+$F220</f>
        <v/>
      </c>
      <c r="I220" s="55">
        <f>SUMIFS(tblMovement[Ore_oz],tblMovement[Date],$A220,tblMovement[Source_Type],"Pit")</f>
        <v/>
      </c>
      <c r="J220" s="55">
        <f>IF($B220=$B219,$J219,0)+$I220</f>
        <v/>
      </c>
      <c r="K220" s="55">
        <f>$K219+$I220</f>
        <v/>
      </c>
      <c r="L220" s="55">
        <f>SUMIFS(tblMovement[Tonnes_t],tblMovement[Date],$A220,tblMovement[Is_Ore],1,tblMovement[Source_Type],"Pit",tblMovement[Grade_gpt],"&lt;&gt;")</f>
        <v/>
      </c>
      <c r="M220" s="55">
        <f>IF($B220=$B219,$M219,0)+$L220</f>
        <v/>
      </c>
      <c r="N220" s="55">
        <f>$N219+$L220</f>
        <v/>
      </c>
      <c r="O220" s="56">
        <f>IFERROR(IF(($L220)&gt;0,($I220*cfg_TroyOz)/($L220),""),"")</f>
        <v/>
      </c>
      <c r="P220" s="56">
        <f>IFERROR(IF(($M220)&gt;0,($J220*cfg_TroyOz)/($M220),""),"")</f>
        <v/>
      </c>
      <c r="Q220" s="56">
        <f>IFERROR(IF(($N220)&gt;0,($K220*cfg_TroyOz)/($N220),""),"")</f>
        <v/>
      </c>
      <c r="R220" s="55">
        <f>$F220-$L220</f>
        <v/>
      </c>
      <c r="S220" s="55">
        <f>IF($B220=$B219,$S219,0)+$R220</f>
        <v/>
      </c>
      <c r="T220" s="55">
        <f>$T219+$R220</f>
        <v/>
      </c>
      <c r="U220" s="55">
        <f>SUMIFS(tblMovement[Tonnes_t],tblMovement[Date],$A220,tblMovement[Is_Ore],0,tblMovement[Source_Type],"Pit")</f>
        <v/>
      </c>
      <c r="V220" s="55">
        <f>IF($B220=$B219,$V219,0)+$U220</f>
        <v/>
      </c>
      <c r="W220" s="55">
        <f>$W219+$U220</f>
        <v/>
      </c>
      <c r="X220" s="55">
        <f>$F220+$U220</f>
        <v/>
      </c>
      <c r="Y220" s="55">
        <f>IF($B220=$B219,$Y219,0)+$X220</f>
        <v/>
      </c>
      <c r="Z220" s="55">
        <f>$Z219+$X220</f>
        <v/>
      </c>
      <c r="AA220" s="56">
        <f>IFERROR(IF(($F220)&gt;0,($U220)/($F220),""),"")</f>
        <v/>
      </c>
      <c r="AB220" s="56">
        <f>IFERROR(IF(($G220)&gt;0,($V220)/($G220),""),"")</f>
        <v/>
      </c>
      <c r="AC220" s="56">
        <f>IFERROR(IF(($H220)&gt;0,($W220)/($H220),""),"")</f>
        <v/>
      </c>
      <c r="AD220" s="55">
        <f>SUMIFS(tblMovement[Tonnes_t],tblMovement[Date],$A220,tblMovement[Source_Type],"Stockpile")</f>
        <v/>
      </c>
      <c r="AE220" s="55">
        <f>IF($B220=$B219,$AE219,0)+$AD220</f>
        <v/>
      </c>
      <c r="AF220" s="55">
        <f>$AF219+$AD220</f>
        <v/>
      </c>
      <c r="AG220" s="55">
        <f>SUMIFS(tblMovement[Tonnes_t],tblMovement[Date],$A220)</f>
        <v/>
      </c>
      <c r="AH220" s="55">
        <f>IF($B220=$B219,$AH219,0)+$AG220</f>
        <v/>
      </c>
      <c r="AI220" s="55">
        <f>$AI219+$AG220</f>
        <v/>
      </c>
      <c r="AJ220" s="55">
        <f>$AG220-$X220-$AD220</f>
        <v/>
      </c>
      <c r="AK220" s="55">
        <f>IF($B220=$B219,$AK219,0)+$AJ220</f>
        <v/>
      </c>
      <c r="AL220" s="55">
        <f>$AL219+$AJ220</f>
        <v/>
      </c>
      <c r="AM220" s="55">
        <f>SUMIFS(tblMiningDaily[Drill_m],tblMiningDaily[Date],$A220)</f>
        <v/>
      </c>
      <c r="AN220" s="55">
        <f>IF($B220=$B219,$AN219,0)+$AM220</f>
        <v/>
      </c>
      <c r="AO220" s="55">
        <f>$AO219+$AM220</f>
        <v/>
      </c>
      <c r="AP220" s="55">
        <f>SUMIFS(tblMiningDaily[GC_Drill_m],tblMiningDaily[Date],$A220)</f>
        <v/>
      </c>
      <c r="AQ220" s="55">
        <f>IF($B220=$B219,$AQ219,0)+$AP220</f>
        <v/>
      </c>
      <c r="AR220" s="55">
        <f>$AR219+$AP220</f>
        <v/>
      </c>
      <c r="AS220" s="55">
        <f>SUMIFS(tblMiningDaily[Blast_t],tblMiningDaily[Date],$A220)</f>
        <v/>
      </c>
      <c r="AT220" s="55">
        <f>IF($B220=$B219,$AT219,0)+$AS220</f>
        <v/>
      </c>
      <c r="AU220" s="55">
        <f>$AU219+$AS220</f>
        <v/>
      </c>
      <c r="AV220" s="55">
        <f>SUMIFS(tblMiningDaily[Explosives_kg],tblMiningDaily[Date],$A220)</f>
        <v/>
      </c>
      <c r="AW220" s="55">
        <f>IF($B220=$B219,$AW219,0)+$AV220</f>
        <v/>
      </c>
      <c r="AX220" s="55">
        <f>$AX219+$AV220</f>
        <v/>
      </c>
      <c r="AY220" s="56">
        <f>IFERROR(IF(($AS220)&gt;0,($AV220)/($AS220),""),"")</f>
        <v/>
      </c>
      <c r="AZ220" s="56">
        <f>IFERROR(IF(($AT220)&gt;0,($AW220)/($AT220),""),"")</f>
        <v/>
      </c>
      <c r="BA220" s="56">
        <f>IFERROR(IF(($AU220)&gt;0,($AX220)/($AU220),""),"")</f>
        <v/>
      </c>
      <c r="BB220" s="55">
        <f>SUMIFS(tblMiningDaily[Diesel_L],tblMiningDaily[Date],$A220)</f>
        <v/>
      </c>
      <c r="BC220" s="55">
        <f>IF($B220=$B219,$BC219,0)+$BB220</f>
        <v/>
      </c>
      <c r="BD220" s="55">
        <f>$BD219+$BB220</f>
        <v/>
      </c>
      <c r="BE220" s="55">
        <f>SUMIFS(tblMiningDaily[Dewatering_m3],tblMiningDaily[Date],$A220)</f>
        <v/>
      </c>
      <c r="BF220" s="55">
        <f>IF($B220=$B219,$BF219,0)+$BE220</f>
        <v/>
      </c>
      <c r="BG220" s="55">
        <f>$BG219+$BE220</f>
        <v/>
      </c>
      <c r="BH220" s="57">
        <f>SUMIFS(tblFleet[Calendar_h],tblFleet[Date],$A220,tblFleet[Equipment_Class],"Excavator")</f>
        <v/>
      </c>
      <c r="BI220" s="57">
        <f>IF($B220=$B219,$BI219,0)+$BH220</f>
        <v/>
      </c>
      <c r="BJ220" s="57">
        <f>$BJ219+$BH220</f>
        <v/>
      </c>
      <c r="BK220" s="57">
        <f>SUMIFS(tblFleet[Available_h],tblFleet[Date],$A220,tblFleet[Equipment_Class],"Excavator")</f>
        <v/>
      </c>
      <c r="BL220" s="57">
        <f>IF($B220=$B219,$BL219,0)+$BK220</f>
        <v/>
      </c>
      <c r="BM220" s="57">
        <f>$BM219+$BK220</f>
        <v/>
      </c>
      <c r="BN220" s="57">
        <f>SUMIFS(tblFleet[Operating_h],tblFleet[Date],$A220,tblFleet[Equipment_Class],"Excavator")</f>
        <v/>
      </c>
      <c r="BO220" s="57">
        <f>IF($B220=$B219,$BO219,0)+$BN220</f>
        <v/>
      </c>
      <c r="BP220" s="57">
        <f>$BP219+$BN220</f>
        <v/>
      </c>
      <c r="BQ220" s="67">
        <f>IFERROR(IF(($BH220)&gt;0,($BK220)/($BH220),""),"")</f>
        <v/>
      </c>
      <c r="BR220" s="67">
        <f>IFERROR(IF(($BI220)&gt;0,($BL220)/($BI220),""),"")</f>
        <v/>
      </c>
      <c r="BS220" s="67">
        <f>IFERROR(IF(($BJ220)&gt;0,($BM220)/($BJ220),""),"")</f>
        <v/>
      </c>
      <c r="BT220" s="67">
        <f>IFERROR(IF(($BK220)&gt;0,($BN220)/($BK220),""),"")</f>
        <v/>
      </c>
      <c r="BU220" s="67">
        <f>IFERROR(IF(($BL220)&gt;0,($BO220)/($BL220),""),"")</f>
        <v/>
      </c>
      <c r="BV220" s="67">
        <f>IFERROR(IF(($BM220)&gt;0,($BP220)/($BM220),""),"")</f>
        <v/>
      </c>
      <c r="BW220" s="57">
        <f>SUMIFS(tblFleet[Calendar_h],tblFleet[Date],$A220,tblFleet[Equipment_Class],"Haul Truck")</f>
        <v/>
      </c>
      <c r="BX220" s="57">
        <f>IF($B220=$B219,$BX219,0)+$BW220</f>
        <v/>
      </c>
      <c r="BY220" s="57">
        <f>$BY219+$BW220</f>
        <v/>
      </c>
      <c r="BZ220" s="57">
        <f>SUMIFS(tblFleet[Available_h],tblFleet[Date],$A220,tblFleet[Equipment_Class],"Haul Truck")</f>
        <v/>
      </c>
      <c r="CA220" s="57">
        <f>IF($B220=$B219,$CA219,0)+$BZ220</f>
        <v/>
      </c>
      <c r="CB220" s="57">
        <f>$CB219+$BZ220</f>
        <v/>
      </c>
      <c r="CC220" s="57">
        <f>SUMIFS(tblFleet[Operating_h],tblFleet[Date],$A220,tblFleet[Equipment_Class],"Haul Truck")</f>
        <v/>
      </c>
      <c r="CD220" s="57">
        <f>IF($B220=$B219,$CD219,0)+$CC220</f>
        <v/>
      </c>
      <c r="CE220" s="57">
        <f>$CE219+$CC220</f>
        <v/>
      </c>
      <c r="CF220" s="67">
        <f>IFERROR(IF(($BW220)&gt;0,($BZ220)/($BW220),""),"")</f>
        <v/>
      </c>
      <c r="CG220" s="67">
        <f>IFERROR(IF(($BX220)&gt;0,($CA220)/($BX220),""),"")</f>
        <v/>
      </c>
      <c r="CH220" s="67">
        <f>IFERROR(IF(($BY220)&gt;0,($CB220)/($BY220),""),"")</f>
        <v/>
      </c>
      <c r="CI220" s="67">
        <f>IFERROR(IF(($BZ220)&gt;0,($CC220)/($BZ220),""),"")</f>
        <v/>
      </c>
      <c r="CJ220" s="67">
        <f>IFERROR(IF(($CA220)&gt;0,($CD220)/($CA220),""),"")</f>
        <v/>
      </c>
      <c r="CK220" s="67">
        <f>IFERROR(IF(($CB220)&gt;0,($CE220)/($CB220),""),"")</f>
        <v/>
      </c>
      <c r="CL220" s="55">
        <f>IFERROR(IF(($BN220)&gt;0,($X220+$AD220)/($BN220),""),"")</f>
        <v/>
      </c>
      <c r="CM220" s="55">
        <f>IFERROR(IF(($BO220)&gt;0,($Y220+$AE220)/($BO220),""),"")</f>
        <v/>
      </c>
      <c r="CN220" s="55">
        <f>IFERROR(IF(($BP220)&gt;0,($Z220+$AF220)/($BP220),""),"")</f>
        <v/>
      </c>
      <c r="CO220" s="55">
        <f>IFERROR(IF(($CC220)&gt;0,($X220+$AD220)/($CC220),""),"")</f>
        <v/>
      </c>
      <c r="CP220" s="55">
        <f>IFERROR(IF(($CD220)&gt;0,($Y220+$AE220)/($CD220),""),"")</f>
        <v/>
      </c>
      <c r="CQ220" s="55">
        <f>IFERROR(IF(($CE220)&gt;0,($Z220+$AF220)/($CE220),""),"")</f>
        <v/>
      </c>
      <c r="CR220" s="55">
        <f>SUMIFS(tblPlant[Crushed_t],tblPlant[Date],$A220)</f>
        <v/>
      </c>
      <c r="CS220" s="55">
        <f>IF($B220=$B219,$CS219,0)+$CR220</f>
        <v/>
      </c>
      <c r="CT220" s="55">
        <f>$CT219+$CR220</f>
        <v/>
      </c>
      <c r="CU220" s="55">
        <f>SUMIFS(tblPlant[Milled_t],tblPlant[Date],$A220)</f>
        <v/>
      </c>
      <c r="CV220" s="55">
        <f>IF($B220=$B219,$CV219,0)+$CU220</f>
        <v/>
      </c>
      <c r="CW220" s="55">
        <f>$CW219+$CU220</f>
        <v/>
      </c>
      <c r="CX220" s="55">
        <f>SUMIFS(tblPlant[Feed_oz],tblPlant[Date],$A220)</f>
        <v/>
      </c>
      <c r="CY220" s="55">
        <f>IF($B220=$B219,$CY219,0)+$CX220</f>
        <v/>
      </c>
      <c r="CZ220" s="55">
        <f>$CZ219+$CX220</f>
        <v/>
      </c>
      <c r="DA220" s="55">
        <f>SUMIFS(tblPlant[Tails_oz],tblPlant[Date],$A220)</f>
        <v/>
      </c>
      <c r="DB220" s="55">
        <f>IF($B220=$B219,$DB219,0)+$DA220</f>
        <v/>
      </c>
      <c r="DC220" s="55">
        <f>$DC219+$DA220</f>
        <v/>
      </c>
      <c r="DD220" s="55">
        <f>SUMIFS(tblPlant[Recovered_oz],tblPlant[Date],$A220)</f>
        <v/>
      </c>
      <c r="DE220" s="55">
        <f>IF($B220=$B219,$DE219,0)+$DD220</f>
        <v/>
      </c>
      <c r="DF220" s="55">
        <f>$DF219+$DD220</f>
        <v/>
      </c>
      <c r="DG220" s="55">
        <f>SUMIFS(tblPlant[Milled_t],tblPlant[Date],$A220,tblPlant[Head_Grade_gpt],"&lt;&gt;")</f>
        <v/>
      </c>
      <c r="DH220" s="55">
        <f>IF($B220=$B219,$DH219,0)+$DG220</f>
        <v/>
      </c>
      <c r="DI220" s="55">
        <f>$DI219+$DG220</f>
        <v/>
      </c>
      <c r="DJ220" s="55">
        <f>SUMIFS(tblPlant[Milled_t],tblPlant[Date],$A220,tblPlant[Tails_Grade_gpt],"&lt;&gt;")</f>
        <v/>
      </c>
      <c r="DK220" s="55">
        <f>IF($B220=$B219,$DK219,0)+$DJ220</f>
        <v/>
      </c>
      <c r="DL220" s="55">
        <f>$DL219+$DJ220</f>
        <v/>
      </c>
      <c r="DM220" s="55">
        <f>SUMIFS(tblPlant[Feed_oz],tblPlant[Date],$A220,tblPlant[Tails_Grade_gpt],"&lt;&gt;")</f>
        <v/>
      </c>
      <c r="DN220" s="55">
        <f>IF($B220=$B219,$DN219,0)+$DM220</f>
        <v/>
      </c>
      <c r="DO220" s="55">
        <f>$DO219+$DM220</f>
        <v/>
      </c>
      <c r="DP220" s="55">
        <f>SUMIFS(tblPlant[Milled_t],tblPlant[Date],$A220,tblPlant[Mill_Run_h],"&lt;&gt;")</f>
        <v/>
      </c>
      <c r="DQ220" s="55">
        <f>IF($B220=$B219,$DQ219,0)+$DP220</f>
        <v/>
      </c>
      <c r="DR220" s="55">
        <f>$DR219+$DP220</f>
        <v/>
      </c>
      <c r="DS220" s="56">
        <f>IFERROR(IF(($DG220)&gt;0,($CX220*cfg_TroyOz)/($DG220),""),"")</f>
        <v/>
      </c>
      <c r="DT220" s="56">
        <f>IFERROR(IF(($DH220)&gt;0,($CY220*cfg_TroyOz)/($DH220),""),"")</f>
        <v/>
      </c>
      <c r="DU220" s="56">
        <f>IFERROR(IF(($DI220)&gt;0,($CZ220*cfg_TroyOz)/($DI220),""),"")</f>
        <v/>
      </c>
      <c r="DV220" s="56">
        <f>IFERROR(IF(($DJ220)&gt;0,($DA220*cfg_TroyOz)/($DJ220),""),"")</f>
        <v/>
      </c>
      <c r="DW220" s="56">
        <f>IFERROR(IF(($DK220)&gt;0,($DB220*cfg_TroyOz)/($DK220),""),"")</f>
        <v/>
      </c>
      <c r="DX220" s="56">
        <f>IFERROR(IF(($DL220)&gt;0,($DC220*cfg_TroyOz)/($DL220),""),"")</f>
        <v/>
      </c>
      <c r="DY220" s="67">
        <f>IFERROR(IF(($DM220)&gt;0,($DD220)/($DM220),""),"")</f>
        <v/>
      </c>
      <c r="DZ220" s="67">
        <f>IFERROR(IF(($DN220)&gt;0,($DE220)/($DN220),""),"")</f>
        <v/>
      </c>
      <c r="EA220" s="67">
        <f>IFERROR(IF(($DO220)&gt;0,($DF220)/($DO220),""),"")</f>
        <v/>
      </c>
      <c r="EB220" s="55">
        <f>SUMIFS(tblPlant[Gravity_Gold_oz],tblPlant[Date],$A220)</f>
        <v/>
      </c>
      <c r="EC220" s="55">
        <f>IF($B220=$B219,$EC219,0)+$EB220</f>
        <v/>
      </c>
      <c r="ED220" s="55">
        <f>$ED219+$EB220</f>
        <v/>
      </c>
      <c r="EE220" s="67">
        <f>IFERROR(IF(($DD220)&gt;0,($EB220)/($DD220),""),"")</f>
        <v/>
      </c>
      <c r="EF220" s="67">
        <f>IFERROR(IF(($DE220)&gt;0,($EC220)/($DE220),""),"")</f>
        <v/>
      </c>
      <c r="EG220" s="67">
        <f>IFERROR(IF(($DF220)&gt;0,($ED220)/($DF220),""),"")</f>
        <v/>
      </c>
      <c r="EH220" s="55">
        <f>SUMIFS(tblPlant[Gold_Poured_oz],tblPlant[Date],$A220)</f>
        <v/>
      </c>
      <c r="EI220" s="55">
        <f>IF($B220=$B219,$EI219,0)+$EH220</f>
        <v/>
      </c>
      <c r="EJ220" s="55">
        <f>$EJ219+$EH220</f>
        <v/>
      </c>
      <c r="EK220" s="57">
        <f>SUMIFS(tblPlant[Mill_Run_h],tblPlant[Date],$A220)</f>
        <v/>
      </c>
      <c r="EL220" s="57">
        <f>IF($B220=$B219,$EL219,0)+$EK220</f>
        <v/>
      </c>
      <c r="EM220" s="57">
        <f>$EM219+$EK220</f>
        <v/>
      </c>
      <c r="EN220" s="57">
        <f>SUMIFS(tblPlant[Mill_Planned_Maint_h],tblPlant[Date],$A220)</f>
        <v/>
      </c>
      <c r="EO220" s="57">
        <f>IF($B220=$B219,$EO219,0)+$EN220</f>
        <v/>
      </c>
      <c r="EP220" s="57">
        <f>$EP219+$EN220</f>
        <v/>
      </c>
      <c r="EQ220" s="57">
        <f>SUMIFS(tblPlant[Mill_Unplanned_Down_h],tblPlant[Date],$A220)</f>
        <v/>
      </c>
      <c r="ER220" s="57">
        <f>IF($B220=$B219,$ER219,0)+$EQ220</f>
        <v/>
      </c>
      <c r="ES220" s="57">
        <f>$ES219+$EQ220</f>
        <v/>
      </c>
      <c r="ET220" s="57">
        <f>IF(COUNTIFS(tblPlant[Date],$A220,tblPlant[Mill_Run_h],"&lt;&gt;")+COUNTIFS(tblPlant[Date],$A220,tblPlant[Mill_Planned_Maint_h],"&lt;&gt;")+COUNTIFS(tblPlant[Date],$A220,tblPlant[Mill_Unplanned_Down_h],"&lt;&gt;")&gt;0,cfg_HoursPerDay,0)</f>
        <v/>
      </c>
      <c r="EU220" s="57">
        <f>IF($B220=$B219,$EU219,0)+$ET220</f>
        <v/>
      </c>
      <c r="EV220" s="57">
        <f>$EV219+$ET220</f>
        <v/>
      </c>
      <c r="EW220" s="57">
        <f>SUMIFS(tblPlant[Crusher_Run_h],tblPlant[Date],$A220)</f>
        <v/>
      </c>
      <c r="EX220" s="57">
        <f>IF($B220=$B219,$EX219,0)+$EW220</f>
        <v/>
      </c>
      <c r="EY220" s="57">
        <f>$EY219+$EW220</f>
        <v/>
      </c>
      <c r="EZ220" s="55">
        <f>IFERROR(IF(($EK220)&gt;0,($DP220)/($EK220),""),"")</f>
        <v/>
      </c>
      <c r="FA220" s="55">
        <f>IFERROR(IF(($EL220)&gt;0,($DQ220)/($EL220),""),"")</f>
        <v/>
      </c>
      <c r="FB220" s="55">
        <f>IFERROR(IF(($EM220)&gt;0,($DR220)/($EM220),""),"")</f>
        <v/>
      </c>
      <c r="FC220" s="67">
        <f>IFERROR(IF(($ET220)&gt;0,($ET220-$EN220-$EQ220)/($ET220),""),"")</f>
        <v/>
      </c>
      <c r="FD220" s="67">
        <f>IFERROR(IF(($EU220)&gt;0,($EU220-$EO220-$ER220)/($EU220),""),"")</f>
        <v/>
      </c>
      <c r="FE220" s="67">
        <f>IFERROR(IF(($EV220)&gt;0,($EV220-$EP220-$ES220)/($EV220),""),"")</f>
        <v/>
      </c>
      <c r="FF220" s="67">
        <f>IFERROR(IF(($ET220-$EN220-$EQ220)&gt;0,($EK220)/($ET220-$EN220-$EQ220),""),"")</f>
        <v/>
      </c>
      <c r="FG220" s="67">
        <f>IFERROR(IF(($EU220-$EO220-$ER220)&gt;0,($EL220)/($EU220-$EO220-$ER220),""),"")</f>
        <v/>
      </c>
      <c r="FH220" s="67">
        <f>IFERROR(IF(($EV220-$EP220-$ES220)&gt;0,($EM220)/($EV220-$EP220-$ES220),""),"")</f>
        <v/>
      </c>
      <c r="FI220" s="55">
        <f>SUMIFS(tblPlant[Cyanide_kg],tblPlant[Date],$A220)</f>
        <v/>
      </c>
      <c r="FJ220" s="55">
        <f>IF($B220=$B219,$FJ219,0)+$FI220</f>
        <v/>
      </c>
      <c r="FK220" s="55">
        <f>$FK219+$FI220</f>
        <v/>
      </c>
      <c r="FL220" s="55">
        <f>SUMIFS(tblPlant[Lime_kg],tblPlant[Date],$A220)</f>
        <v/>
      </c>
      <c r="FM220" s="55">
        <f>IF($B220=$B219,$FM219,0)+$FL220</f>
        <v/>
      </c>
      <c r="FN220" s="55">
        <f>$FN219+$FL220</f>
        <v/>
      </c>
      <c r="FO220" s="55">
        <f>SUMIFS(tblPlant[Grinding_Media_kg],tblPlant[Date],$A220)</f>
        <v/>
      </c>
      <c r="FP220" s="55">
        <f>IF($B220=$B219,$FP219,0)+$FO220</f>
        <v/>
      </c>
      <c r="FQ220" s="55">
        <f>$FQ219+$FO220</f>
        <v/>
      </c>
      <c r="FR220" s="55">
        <f>SUMIFS(tblPlant[Power_kWh],tblPlant[Date],$A220)</f>
        <v/>
      </c>
      <c r="FS220" s="55">
        <f>IF($B220=$B219,$FS219,0)+$FR220</f>
        <v/>
      </c>
      <c r="FT220" s="55">
        <f>$FT219+$FR220</f>
        <v/>
      </c>
      <c r="FU220" s="55">
        <f>SUMIFS(tblPlant[Raw_Water_m3],tblPlant[Date],$A220)</f>
        <v/>
      </c>
      <c r="FV220" s="55">
        <f>IF($B220=$B219,$FV219,0)+$FU220</f>
        <v/>
      </c>
      <c r="FW220" s="55">
        <f>$FW219+$FU220</f>
        <v/>
      </c>
      <c r="FX220" s="56">
        <f>IFERROR(IF(($CU220)&gt;0,($FI220)/($CU220),""),"")</f>
        <v/>
      </c>
      <c r="FY220" s="56">
        <f>IFERROR(IF(($CV220)&gt;0,($FJ220)/($CV220),""),"")</f>
        <v/>
      </c>
      <c r="FZ220" s="56">
        <f>IFERROR(IF(($CW220)&gt;0,($FK220)/($CW220),""),"")</f>
        <v/>
      </c>
      <c r="GA220" s="56">
        <f>IFERROR(IF(($CU220)&gt;0,($FL220)/($CU220),""),"")</f>
        <v/>
      </c>
      <c r="GB220" s="56">
        <f>IFERROR(IF(($CV220)&gt;0,($FM220)/($CV220),""),"")</f>
        <v/>
      </c>
      <c r="GC220" s="56">
        <f>IFERROR(IF(($CW220)&gt;0,($FN220)/($CW220),""),"")</f>
        <v/>
      </c>
      <c r="GD220" s="56">
        <f>IFERROR(IF(($CU220)&gt;0,($FO220)/($CU220),""),"")</f>
        <v/>
      </c>
      <c r="GE220" s="56">
        <f>IFERROR(IF(($CV220)&gt;0,($FP220)/($CV220),""),"")</f>
        <v/>
      </c>
      <c r="GF220" s="56">
        <f>IFERROR(IF(($CW220)&gt;0,($FQ220)/($CW220),""),"")</f>
        <v/>
      </c>
      <c r="GG220" s="79">
        <f>IFERROR(IF(($CU220)&gt;0,($FR220)/($CU220),""),"")</f>
        <v/>
      </c>
      <c r="GH220" s="79">
        <f>IFERROR(IF(($CV220)&gt;0,($FS220)/($CV220),""),"")</f>
        <v/>
      </c>
      <c r="GI220" s="79">
        <f>IFERROR(IF(($CW220)&gt;0,($FT220)/($CW220),""),"")</f>
        <v/>
      </c>
      <c r="GJ220" s="56">
        <f>IFERROR(IF(($CU220)&gt;0,($FU220)/($CU220),""),"")</f>
        <v/>
      </c>
      <c r="GK220" s="56">
        <f>IFERROR(IF(($CV220)&gt;0,($FV220)/($CV220),""),"")</f>
        <v/>
      </c>
      <c r="GL220" s="56">
        <f>IFERROR(IF(($CW220)&gt;0,($FW220)/($CW220),""),"")</f>
        <v/>
      </c>
      <c r="GM220" s="55">
        <f>IF(SUMIFS(tblPlant[GIC_oz],tblPlant[Date],$A220)&gt;0,SUMIFS(tblPlant[GIC_oz],tblPlant[Date],$A220),"")</f>
        <v/>
      </c>
      <c r="GN220" s="55">
        <f>SUMIFS(tblGold[Gold_oz],tblGold[Date],$A220,tblGold[Type],"Shipment")</f>
        <v/>
      </c>
      <c r="GO220" s="55">
        <f>IF($B220=$B219,$GO219,0)+$GN220</f>
        <v/>
      </c>
      <c r="GP220" s="55">
        <f>$GP219+$GN220</f>
        <v/>
      </c>
      <c r="GQ220" s="55">
        <f>SUMIFS(tblGold[Gold_oz],tblGold[Date],$A220,tblGold[Type],"Sale")</f>
        <v/>
      </c>
      <c r="GR220" s="55">
        <f>IF($B220=$B219,$GR219,0)+$GQ220</f>
        <v/>
      </c>
      <c r="GS220" s="55">
        <f>$GS219+$GQ220</f>
        <v/>
      </c>
      <c r="GT220" s="55">
        <f>SUMIFS(tblGold[Dore_kg],tblGold[Date],$A220,tblGold[Type],"Shipment")</f>
        <v/>
      </c>
      <c r="GU220" s="55">
        <f>IF($B220=$B219,$GU219,0)+$GT220</f>
        <v/>
      </c>
      <c r="GV220" s="55">
        <f>$GV219+$GT220</f>
        <v/>
      </c>
      <c r="GW220" s="57">
        <f>SUMIFS(tblSafety[Hours_Total],tblSafety[Date],$A220)</f>
        <v/>
      </c>
      <c r="GX220" s="57">
        <f>IF($B220=$B219,$GX219,0)+$GW220</f>
        <v/>
      </c>
      <c r="GY220" s="57">
        <f>$GY219+$GW220</f>
        <v/>
      </c>
      <c r="GZ220" s="62">
        <f>SUMIFS(tblSafety[Fatality],tblSafety[Date],$A220)</f>
        <v/>
      </c>
      <c r="HA220" s="62">
        <f>IF($B220=$B219,$HA219,0)+$GZ220</f>
        <v/>
      </c>
      <c r="HB220" s="62">
        <f>$HB219+$GZ220</f>
        <v/>
      </c>
      <c r="HC220" s="62">
        <f>SUMIFS(tblSafety[LTI],tblSafety[Date],$A220)</f>
        <v/>
      </c>
      <c r="HD220" s="62">
        <f>IF($B220=$B219,$HD219,0)+$HC220</f>
        <v/>
      </c>
      <c r="HE220" s="62">
        <f>$HE219+$HC220</f>
        <v/>
      </c>
      <c r="HF220" s="62">
        <f>SUMIFS(tblSafety[RWI],tblSafety[Date],$A220)</f>
        <v/>
      </c>
      <c r="HG220" s="62">
        <f>IF($B220=$B219,$HG219,0)+$HF220</f>
        <v/>
      </c>
      <c r="HH220" s="62">
        <f>$HH219+$HF220</f>
        <v/>
      </c>
      <c r="HI220" s="62">
        <f>SUMIFS(tblSafety[MTI],tblSafety[Date],$A220)</f>
        <v/>
      </c>
      <c r="HJ220" s="62">
        <f>IF($B220=$B219,$HJ219,0)+$HI220</f>
        <v/>
      </c>
      <c r="HK220" s="62">
        <f>$HK219+$HI220</f>
        <v/>
      </c>
      <c r="HL220" s="62">
        <f>SUMIFS(tblSafety[FAI],tblSafety[Date],$A220)</f>
        <v/>
      </c>
      <c r="HM220" s="62">
        <f>IF($B220=$B219,$HM219,0)+$HL220</f>
        <v/>
      </c>
      <c r="HN220" s="62">
        <f>$HN219+$HL220</f>
        <v/>
      </c>
      <c r="HO220" s="62">
        <f>SUMIFS(tblSafety[Recordables],tblSafety[Date],$A220)</f>
        <v/>
      </c>
      <c r="HP220" s="62">
        <f>IF($B220=$B219,$HP219,0)+$HO220</f>
        <v/>
      </c>
      <c r="HQ220" s="62">
        <f>$HQ219+$HO220</f>
        <v/>
      </c>
      <c r="HR220" s="62">
        <f>SUMIFS(tblSafety[Near_Miss],tblSafety[Date],$A220)</f>
        <v/>
      </c>
      <c r="HS220" s="62">
        <f>IF($B220=$B219,$HS219,0)+$HR220</f>
        <v/>
      </c>
      <c r="HT220" s="62">
        <f>$HT219+$HR220</f>
        <v/>
      </c>
      <c r="HU220" s="62">
        <f>SUMIFS(tblSafety[Hazard_Reports],tblSafety[Date],$A220)</f>
        <v/>
      </c>
      <c r="HV220" s="62">
        <f>IF($B220=$B219,$HV219,0)+$HU220</f>
        <v/>
      </c>
      <c r="HW220" s="62">
        <f>$HW219+$HU220</f>
        <v/>
      </c>
      <c r="HX220" s="62">
        <f>SUMIFS(tblSafety[HPI],tblSafety[Date],$A220)</f>
        <v/>
      </c>
      <c r="HY220" s="62">
        <f>IF($B220=$B219,$HY219,0)+$HX220</f>
        <v/>
      </c>
      <c r="HZ220" s="62">
        <f>$HZ219+$HX220</f>
        <v/>
      </c>
      <c r="IA220" s="62">
        <f>SUMIFS(tblSafety[Env_Incidents],tblSafety[Date],$A220)</f>
        <v/>
      </c>
      <c r="IB220" s="62">
        <f>IF($B220=$B219,$IB219,0)+$IA220</f>
        <v/>
      </c>
      <c r="IC220" s="62">
        <f>$IC219+$IA220</f>
        <v/>
      </c>
      <c r="ID220" s="62">
        <f>SUMIFS(tblSafety[Community_Incidents],tblSafety[Date],$A220)</f>
        <v/>
      </c>
      <c r="IE220" s="62">
        <f>IF($B220=$B219,$IE219,0)+$ID220</f>
        <v/>
      </c>
      <c r="IF220" s="62">
        <f>$IF219+$ID220</f>
        <v/>
      </c>
      <c r="IG220" s="62">
        <f>SUMIFS(tblSafety[Vehicle_Incidents],tblSafety[Date],$A220)</f>
        <v/>
      </c>
      <c r="IH220" s="62">
        <f>IF($B220=$B219,$IH219,0)+$IG220</f>
        <v/>
      </c>
      <c r="II220" s="62">
        <f>$II219+$IG220</f>
        <v/>
      </c>
      <c r="IJ220" s="62">
        <f>SUMIFS(tblSafety[Toolbox_Talks],tblSafety[Date],$A220)</f>
        <v/>
      </c>
      <c r="IK220" s="62">
        <f>IF($B220=$B219,$IK219,0)+$IJ220</f>
        <v/>
      </c>
      <c r="IL220" s="62">
        <f>$IL219+$IJ220</f>
        <v/>
      </c>
      <c r="IM220" s="62">
        <f>SUMIFS(tblSafety[Inspections],tblSafety[Date],$A220)</f>
        <v/>
      </c>
      <c r="IN220" s="62">
        <f>IF($B220=$B219,$IN219,0)+$IM220</f>
        <v/>
      </c>
      <c r="IO220" s="62">
        <f>$IO219+$IM220</f>
        <v/>
      </c>
      <c r="IP220" s="56">
        <f>IFERROR((SUMIFS(tblSafety[Recordables],tblSafety[Date],"&gt;="&amp;EDATE($E220,-12),tblSafety[Date],"&lt;="&amp;$A220)+SUMIFS(tblSafetyHistory[Recordables],tblSafetyHistory[Month],"&gt;="&amp;EDATE($E220,-12),tblSafetyHistory[Month],"&lt;"&amp;$E220,tblSafetyHistory[Use],1))/(SUMIFS(tblSafety[Hours_Total],tblSafety[Date],"&gt;="&amp;EDATE($E220,-12),tblSafety[Date],"&lt;="&amp;$A220)+SUMIFS(tblSafetyHistory[Hours_Total],tblSafetyHistory[Month],"&gt;="&amp;EDATE($E220,-12),tblSafetyHistory[Month],"&lt;"&amp;$E220,tblSafetyHistory[Use],1))*cfg_RateBasisHours,"")</f>
        <v/>
      </c>
      <c r="IQ220" s="56">
        <f>IFERROR((SUMIFS(tblSafety[LTI],tblSafety[Date],"&gt;="&amp;EDATE($E220,-12),tblSafety[Date],"&lt;="&amp;$A220)+SUMIFS(tblSafetyHistory[LTI],tblSafetyHistory[Month],"&gt;="&amp;EDATE($E220,-12),tblSafetyHistory[Month],"&lt;"&amp;$E220,tblSafetyHistory[Use],1))/(SUMIFS(tblSafety[Hours_Total],tblSafety[Date],"&gt;="&amp;EDATE($E220,-12),tblSafety[Date],"&lt;="&amp;$A220)+SUMIFS(tblSafetyHistory[Hours_Total],tblSafetyHistory[Month],"&gt;="&amp;EDATE($E220,-12),tblSafetyHistory[Month],"&lt;"&amp;$E220,tblSafetyHistory[Use],1))*cfg_RateBasisHours,"")</f>
        <v/>
      </c>
      <c r="IR220" s="62">
        <f>IF(MAX(N(cfg_PriorLTIDate),_xlfn.MAXIFS(tblSafety[Date],tblSafety[LTI],"&gt;0",tblSafety[Date],"&lt;="&amp;$A220))=0,"",$A220-MAX(N(cfg_PriorLTIDate),_xlfn.MAXIFS(tblSafety[Date],tblSafety[LTI],"&gt;0",tblSafety[Date],"&lt;="&amp;$A220)))</f>
        <v/>
      </c>
      <c r="IS220" s="55">
        <f>SUMIFS(tblBudget[Ore_Mined_t],tblBudget[Month],$E220)</f>
        <v/>
      </c>
      <c r="IT220" s="55">
        <f>$IS220*$C220/$D220</f>
        <v/>
      </c>
      <c r="IU220" s="55">
        <f>SUMIFS(tblBudget[Ore_Mined_t],tblBudget[Month],"&lt;"&amp;$E220)+$IT220</f>
        <v/>
      </c>
      <c r="IV220" s="55">
        <f>SUMIFS(tblBudget[Ore_oz],tblBudget[Month],$E220)</f>
        <v/>
      </c>
      <c r="IW220" s="55">
        <f>$IV220*$C220/$D220</f>
        <v/>
      </c>
      <c r="IX220" s="55">
        <f>SUMIFS(tblBudget[Ore_oz],tblBudget[Month],"&lt;"&amp;$E220)+$IW220</f>
        <v/>
      </c>
      <c r="IY220" s="55">
        <f>SUMIFS(tblBudget[Ore_Mined_t],tblBudget[Month],$E220)</f>
        <v/>
      </c>
      <c r="IZ220" s="55">
        <f>$IY220*$C220/$D220</f>
        <v/>
      </c>
      <c r="JA220" s="55">
        <f>SUMIFS(tblBudget[Ore_Mined_t],tblBudget[Month],"&lt;"&amp;$E220)+$IZ220</f>
        <v/>
      </c>
      <c r="JB220" s="56">
        <f>IFERROR(IF(($IY220)&gt;0,($IV220*cfg_TroyOz)/($IY220),""),"")</f>
        <v/>
      </c>
      <c r="JC220" s="56">
        <f>IFERROR(IF(($IZ220)&gt;0,($IW220*cfg_TroyOz)/($IZ220),""),"")</f>
        <v/>
      </c>
      <c r="JD220" s="56">
        <f>IFERROR(IF(($JA220)&gt;0,($IX220*cfg_TroyOz)/($JA220),""),"")</f>
        <v/>
      </c>
      <c r="JE220" s="55">
        <f>SUMIFS(tblBudget[Waste_t],tblBudget[Month],$E220)</f>
        <v/>
      </c>
      <c r="JF220" s="55">
        <f>$JE220*$C220/$D220</f>
        <v/>
      </c>
      <c r="JG220" s="55">
        <f>SUMIFS(tblBudget[Waste_t],tblBudget[Month],"&lt;"&amp;$E220)+$JF220</f>
        <v/>
      </c>
      <c r="JH220" s="55">
        <f>SUMIFS(tblBudget[TMM_t],tblBudget[Month],$E220)</f>
        <v/>
      </c>
      <c r="JI220" s="55">
        <f>$JH220*$C220/$D220</f>
        <v/>
      </c>
      <c r="JJ220" s="55">
        <f>SUMIFS(tblBudget[TMM_t],tblBudget[Month],"&lt;"&amp;$E220)+$JI220</f>
        <v/>
      </c>
      <c r="JK220" s="56">
        <f>IFERROR(IF(($IS220)&gt;0,($JE220)/($IS220),""),"")</f>
        <v/>
      </c>
      <c r="JL220" s="56">
        <f>IFERROR(IF(($IT220)&gt;0,($JF220)/($IT220),""),"")</f>
        <v/>
      </c>
      <c r="JM220" s="56">
        <f>IFERROR(IF(($IU220)&gt;0,($JG220)/($IU220),""),"")</f>
        <v/>
      </c>
      <c r="JN220" s="55">
        <f>SUMIFS(tblBudget[Drill_m],tblBudget[Month],$E220)</f>
        <v/>
      </c>
      <c r="JO220" s="55">
        <f>$JN220*$C220/$D220</f>
        <v/>
      </c>
      <c r="JP220" s="55">
        <f>SUMIFS(tblBudget[Drill_m],tblBudget[Month],"&lt;"&amp;$E220)+$JO220</f>
        <v/>
      </c>
      <c r="JQ220" s="55">
        <f>SUMIFS(tblBudget[Diesel_L],tblBudget[Month],$E220)</f>
        <v/>
      </c>
      <c r="JR220" s="55">
        <f>$JQ220*$C220/$D220</f>
        <v/>
      </c>
      <c r="JS220" s="55">
        <f>SUMIFS(tblBudget[Diesel_L],tblBudget[Month],"&lt;"&amp;$E220)+$JR220</f>
        <v/>
      </c>
      <c r="JT220" s="55">
        <f>SUMIFS(tblBudget[Milled_t],tblBudget[Month],$E220)</f>
        <v/>
      </c>
      <c r="JU220" s="55">
        <f>$JT220*$C220/$D220</f>
        <v/>
      </c>
      <c r="JV220" s="55">
        <f>SUMIFS(tblBudget[Milled_t],tblBudget[Month],"&lt;"&amp;$E220)+$JU220</f>
        <v/>
      </c>
      <c r="JW220" s="55">
        <f>SUMIFS(tblBudget[Feed_oz],tblBudget[Month],$E220)</f>
        <v/>
      </c>
      <c r="JX220" s="55">
        <f>$JW220*$C220/$D220</f>
        <v/>
      </c>
      <c r="JY220" s="55">
        <f>SUMIFS(tblBudget[Feed_oz],tblBudget[Month],"&lt;"&amp;$E220)+$JX220</f>
        <v/>
      </c>
      <c r="JZ220" s="55">
        <f>SUMIFS(tblBudget[Recovered_oz],tblBudget[Month],$E220)</f>
        <v/>
      </c>
      <c r="KA220" s="55">
        <f>$JZ220*$C220/$D220</f>
        <v/>
      </c>
      <c r="KB220" s="55">
        <f>SUMIFS(tblBudget[Recovered_oz],tblBudget[Month],"&lt;"&amp;$E220)+$KA220</f>
        <v/>
      </c>
      <c r="KC220" s="55">
        <f>SUMIFS(tblBudget[Milled_t],tblBudget[Month],$E220)</f>
        <v/>
      </c>
      <c r="KD220" s="55">
        <f>$KC220*$C220/$D220</f>
        <v/>
      </c>
      <c r="KE220" s="55">
        <f>SUMIFS(tblBudget[Milled_t],tblBudget[Month],"&lt;"&amp;$E220)+$KD220</f>
        <v/>
      </c>
      <c r="KF220" s="55">
        <f>SUMIFS(tblBudget[Feed_oz],tblBudget[Month],$E220)</f>
        <v/>
      </c>
      <c r="KG220" s="55">
        <f>$KF220*$C220/$D220</f>
        <v/>
      </c>
      <c r="KH220" s="55">
        <f>SUMIFS(tblBudget[Feed_oz],tblBudget[Month],"&lt;"&amp;$E220)+$KG220</f>
        <v/>
      </c>
      <c r="KI220" s="56">
        <f>IFERROR(IF(($KC220)&gt;0,($JW220*cfg_TroyOz)/($KC220),""),"")</f>
        <v/>
      </c>
      <c r="KJ220" s="56">
        <f>IFERROR(IF(($KD220)&gt;0,($JX220*cfg_TroyOz)/($KD220),""),"")</f>
        <v/>
      </c>
      <c r="KK220" s="56">
        <f>IFERROR(IF(($KE220)&gt;0,($JY220*cfg_TroyOz)/($KE220),""),"")</f>
        <v/>
      </c>
      <c r="KL220" s="67">
        <f>IFERROR(IF(($KF220)&gt;0,($JZ220)/($KF220),""),"")</f>
        <v/>
      </c>
      <c r="KM220" s="67">
        <f>IFERROR(IF(($KG220)&gt;0,($KA220)/($KG220),""),"")</f>
        <v/>
      </c>
      <c r="KN220" s="67">
        <f>IFERROR(IF(($KH220)&gt;0,($KB220)/($KH220),""),"")</f>
        <v/>
      </c>
      <c r="KO220" s="55">
        <f>SUMIFS(tblBudget[Gold_Poured_oz],tblBudget[Month],$E220)</f>
        <v/>
      </c>
      <c r="KP220" s="55">
        <f>$KO220*$C220/$D220</f>
        <v/>
      </c>
      <c r="KQ220" s="55">
        <f>SUMIFS(tblBudget[Gold_Poured_oz],tblBudget[Month],"&lt;"&amp;$E220)+$KP220</f>
        <v/>
      </c>
      <c r="KR220" s="57">
        <f>SUMIFS(tblBudget[Hours_Worked],tblBudget[Month],$E220)</f>
        <v/>
      </c>
      <c r="KS220" s="57">
        <f>$KR220*$C220/$D220</f>
        <v/>
      </c>
      <c r="KT220" s="57">
        <f>SUMIFS(tblBudget[Hours_Worked],tblBudget[Month],"&lt;"&amp;$E220)+$KS220</f>
        <v/>
      </c>
    </row>
    <row r="221">
      <c r="A221" s="54" t="n">
        <v>46242</v>
      </c>
      <c r="B221">
        <f>MONTH($A221)</f>
        <v/>
      </c>
      <c r="C221">
        <f>DAY($A221)</f>
        <v/>
      </c>
      <c r="D221">
        <f>DAY(EOMONTH($A221,0))</f>
        <v/>
      </c>
      <c r="E221" s="54">
        <f>DATE(YEAR($A221),MONTH($A221),1)</f>
        <v/>
      </c>
      <c r="F221" s="55">
        <f>SUMIFS(tblMovement[Tonnes_t],tblMovement[Date],$A221,tblMovement[Is_Ore],1,tblMovement[Source_Type],"Pit")</f>
        <v/>
      </c>
      <c r="G221" s="55">
        <f>IF($B221=$B220,$G220,0)+$F221</f>
        <v/>
      </c>
      <c r="H221" s="55">
        <f>$H220+$F221</f>
        <v/>
      </c>
      <c r="I221" s="55">
        <f>SUMIFS(tblMovement[Ore_oz],tblMovement[Date],$A221,tblMovement[Source_Type],"Pit")</f>
        <v/>
      </c>
      <c r="J221" s="55">
        <f>IF($B221=$B220,$J220,0)+$I221</f>
        <v/>
      </c>
      <c r="K221" s="55">
        <f>$K220+$I221</f>
        <v/>
      </c>
      <c r="L221" s="55">
        <f>SUMIFS(tblMovement[Tonnes_t],tblMovement[Date],$A221,tblMovement[Is_Ore],1,tblMovement[Source_Type],"Pit",tblMovement[Grade_gpt],"&lt;&gt;")</f>
        <v/>
      </c>
      <c r="M221" s="55">
        <f>IF($B221=$B220,$M220,0)+$L221</f>
        <v/>
      </c>
      <c r="N221" s="55">
        <f>$N220+$L221</f>
        <v/>
      </c>
      <c r="O221" s="56">
        <f>IFERROR(IF(($L221)&gt;0,($I221*cfg_TroyOz)/($L221),""),"")</f>
        <v/>
      </c>
      <c r="P221" s="56">
        <f>IFERROR(IF(($M221)&gt;0,($J221*cfg_TroyOz)/($M221),""),"")</f>
        <v/>
      </c>
      <c r="Q221" s="56">
        <f>IFERROR(IF(($N221)&gt;0,($K221*cfg_TroyOz)/($N221),""),"")</f>
        <v/>
      </c>
      <c r="R221" s="55">
        <f>$F221-$L221</f>
        <v/>
      </c>
      <c r="S221" s="55">
        <f>IF($B221=$B220,$S220,0)+$R221</f>
        <v/>
      </c>
      <c r="T221" s="55">
        <f>$T220+$R221</f>
        <v/>
      </c>
      <c r="U221" s="55">
        <f>SUMIFS(tblMovement[Tonnes_t],tblMovement[Date],$A221,tblMovement[Is_Ore],0,tblMovement[Source_Type],"Pit")</f>
        <v/>
      </c>
      <c r="V221" s="55">
        <f>IF($B221=$B220,$V220,0)+$U221</f>
        <v/>
      </c>
      <c r="W221" s="55">
        <f>$W220+$U221</f>
        <v/>
      </c>
      <c r="X221" s="55">
        <f>$F221+$U221</f>
        <v/>
      </c>
      <c r="Y221" s="55">
        <f>IF($B221=$B220,$Y220,0)+$X221</f>
        <v/>
      </c>
      <c r="Z221" s="55">
        <f>$Z220+$X221</f>
        <v/>
      </c>
      <c r="AA221" s="56">
        <f>IFERROR(IF(($F221)&gt;0,($U221)/($F221),""),"")</f>
        <v/>
      </c>
      <c r="AB221" s="56">
        <f>IFERROR(IF(($G221)&gt;0,($V221)/($G221),""),"")</f>
        <v/>
      </c>
      <c r="AC221" s="56">
        <f>IFERROR(IF(($H221)&gt;0,($W221)/($H221),""),"")</f>
        <v/>
      </c>
      <c r="AD221" s="55">
        <f>SUMIFS(tblMovement[Tonnes_t],tblMovement[Date],$A221,tblMovement[Source_Type],"Stockpile")</f>
        <v/>
      </c>
      <c r="AE221" s="55">
        <f>IF($B221=$B220,$AE220,0)+$AD221</f>
        <v/>
      </c>
      <c r="AF221" s="55">
        <f>$AF220+$AD221</f>
        <v/>
      </c>
      <c r="AG221" s="55">
        <f>SUMIFS(tblMovement[Tonnes_t],tblMovement[Date],$A221)</f>
        <v/>
      </c>
      <c r="AH221" s="55">
        <f>IF($B221=$B220,$AH220,0)+$AG221</f>
        <v/>
      </c>
      <c r="AI221" s="55">
        <f>$AI220+$AG221</f>
        <v/>
      </c>
      <c r="AJ221" s="55">
        <f>$AG221-$X221-$AD221</f>
        <v/>
      </c>
      <c r="AK221" s="55">
        <f>IF($B221=$B220,$AK220,0)+$AJ221</f>
        <v/>
      </c>
      <c r="AL221" s="55">
        <f>$AL220+$AJ221</f>
        <v/>
      </c>
      <c r="AM221" s="55">
        <f>SUMIFS(tblMiningDaily[Drill_m],tblMiningDaily[Date],$A221)</f>
        <v/>
      </c>
      <c r="AN221" s="55">
        <f>IF($B221=$B220,$AN220,0)+$AM221</f>
        <v/>
      </c>
      <c r="AO221" s="55">
        <f>$AO220+$AM221</f>
        <v/>
      </c>
      <c r="AP221" s="55">
        <f>SUMIFS(tblMiningDaily[GC_Drill_m],tblMiningDaily[Date],$A221)</f>
        <v/>
      </c>
      <c r="AQ221" s="55">
        <f>IF($B221=$B220,$AQ220,0)+$AP221</f>
        <v/>
      </c>
      <c r="AR221" s="55">
        <f>$AR220+$AP221</f>
        <v/>
      </c>
      <c r="AS221" s="55">
        <f>SUMIFS(tblMiningDaily[Blast_t],tblMiningDaily[Date],$A221)</f>
        <v/>
      </c>
      <c r="AT221" s="55">
        <f>IF($B221=$B220,$AT220,0)+$AS221</f>
        <v/>
      </c>
      <c r="AU221" s="55">
        <f>$AU220+$AS221</f>
        <v/>
      </c>
      <c r="AV221" s="55">
        <f>SUMIFS(tblMiningDaily[Explosives_kg],tblMiningDaily[Date],$A221)</f>
        <v/>
      </c>
      <c r="AW221" s="55">
        <f>IF($B221=$B220,$AW220,0)+$AV221</f>
        <v/>
      </c>
      <c r="AX221" s="55">
        <f>$AX220+$AV221</f>
        <v/>
      </c>
      <c r="AY221" s="56">
        <f>IFERROR(IF(($AS221)&gt;0,($AV221)/($AS221),""),"")</f>
        <v/>
      </c>
      <c r="AZ221" s="56">
        <f>IFERROR(IF(($AT221)&gt;0,($AW221)/($AT221),""),"")</f>
        <v/>
      </c>
      <c r="BA221" s="56">
        <f>IFERROR(IF(($AU221)&gt;0,($AX221)/($AU221),""),"")</f>
        <v/>
      </c>
      <c r="BB221" s="55">
        <f>SUMIFS(tblMiningDaily[Diesel_L],tblMiningDaily[Date],$A221)</f>
        <v/>
      </c>
      <c r="BC221" s="55">
        <f>IF($B221=$B220,$BC220,0)+$BB221</f>
        <v/>
      </c>
      <c r="BD221" s="55">
        <f>$BD220+$BB221</f>
        <v/>
      </c>
      <c r="BE221" s="55">
        <f>SUMIFS(tblMiningDaily[Dewatering_m3],tblMiningDaily[Date],$A221)</f>
        <v/>
      </c>
      <c r="BF221" s="55">
        <f>IF($B221=$B220,$BF220,0)+$BE221</f>
        <v/>
      </c>
      <c r="BG221" s="55">
        <f>$BG220+$BE221</f>
        <v/>
      </c>
      <c r="BH221" s="57">
        <f>SUMIFS(tblFleet[Calendar_h],tblFleet[Date],$A221,tblFleet[Equipment_Class],"Excavator")</f>
        <v/>
      </c>
      <c r="BI221" s="57">
        <f>IF($B221=$B220,$BI220,0)+$BH221</f>
        <v/>
      </c>
      <c r="BJ221" s="57">
        <f>$BJ220+$BH221</f>
        <v/>
      </c>
      <c r="BK221" s="57">
        <f>SUMIFS(tblFleet[Available_h],tblFleet[Date],$A221,tblFleet[Equipment_Class],"Excavator")</f>
        <v/>
      </c>
      <c r="BL221" s="57">
        <f>IF($B221=$B220,$BL220,0)+$BK221</f>
        <v/>
      </c>
      <c r="BM221" s="57">
        <f>$BM220+$BK221</f>
        <v/>
      </c>
      <c r="BN221" s="57">
        <f>SUMIFS(tblFleet[Operating_h],tblFleet[Date],$A221,tblFleet[Equipment_Class],"Excavator")</f>
        <v/>
      </c>
      <c r="BO221" s="57">
        <f>IF($B221=$B220,$BO220,0)+$BN221</f>
        <v/>
      </c>
      <c r="BP221" s="57">
        <f>$BP220+$BN221</f>
        <v/>
      </c>
      <c r="BQ221" s="67">
        <f>IFERROR(IF(($BH221)&gt;0,($BK221)/($BH221),""),"")</f>
        <v/>
      </c>
      <c r="BR221" s="67">
        <f>IFERROR(IF(($BI221)&gt;0,($BL221)/($BI221),""),"")</f>
        <v/>
      </c>
      <c r="BS221" s="67">
        <f>IFERROR(IF(($BJ221)&gt;0,($BM221)/($BJ221),""),"")</f>
        <v/>
      </c>
      <c r="BT221" s="67">
        <f>IFERROR(IF(($BK221)&gt;0,($BN221)/($BK221),""),"")</f>
        <v/>
      </c>
      <c r="BU221" s="67">
        <f>IFERROR(IF(($BL221)&gt;0,($BO221)/($BL221),""),"")</f>
        <v/>
      </c>
      <c r="BV221" s="67">
        <f>IFERROR(IF(($BM221)&gt;0,($BP221)/($BM221),""),"")</f>
        <v/>
      </c>
      <c r="BW221" s="57">
        <f>SUMIFS(tblFleet[Calendar_h],tblFleet[Date],$A221,tblFleet[Equipment_Class],"Haul Truck")</f>
        <v/>
      </c>
      <c r="BX221" s="57">
        <f>IF($B221=$B220,$BX220,0)+$BW221</f>
        <v/>
      </c>
      <c r="BY221" s="57">
        <f>$BY220+$BW221</f>
        <v/>
      </c>
      <c r="BZ221" s="57">
        <f>SUMIFS(tblFleet[Available_h],tblFleet[Date],$A221,tblFleet[Equipment_Class],"Haul Truck")</f>
        <v/>
      </c>
      <c r="CA221" s="57">
        <f>IF($B221=$B220,$CA220,0)+$BZ221</f>
        <v/>
      </c>
      <c r="CB221" s="57">
        <f>$CB220+$BZ221</f>
        <v/>
      </c>
      <c r="CC221" s="57">
        <f>SUMIFS(tblFleet[Operating_h],tblFleet[Date],$A221,tblFleet[Equipment_Class],"Haul Truck")</f>
        <v/>
      </c>
      <c r="CD221" s="57">
        <f>IF($B221=$B220,$CD220,0)+$CC221</f>
        <v/>
      </c>
      <c r="CE221" s="57">
        <f>$CE220+$CC221</f>
        <v/>
      </c>
      <c r="CF221" s="67">
        <f>IFERROR(IF(($BW221)&gt;0,($BZ221)/($BW221),""),"")</f>
        <v/>
      </c>
      <c r="CG221" s="67">
        <f>IFERROR(IF(($BX221)&gt;0,($CA221)/($BX221),""),"")</f>
        <v/>
      </c>
      <c r="CH221" s="67">
        <f>IFERROR(IF(($BY221)&gt;0,($CB221)/($BY221),""),"")</f>
        <v/>
      </c>
      <c r="CI221" s="67">
        <f>IFERROR(IF(($BZ221)&gt;0,($CC221)/($BZ221),""),"")</f>
        <v/>
      </c>
      <c r="CJ221" s="67">
        <f>IFERROR(IF(($CA221)&gt;0,($CD221)/($CA221),""),"")</f>
        <v/>
      </c>
      <c r="CK221" s="67">
        <f>IFERROR(IF(($CB221)&gt;0,($CE221)/($CB221),""),"")</f>
        <v/>
      </c>
      <c r="CL221" s="55">
        <f>IFERROR(IF(($BN221)&gt;0,($X221+$AD221)/($BN221),""),"")</f>
        <v/>
      </c>
      <c r="CM221" s="55">
        <f>IFERROR(IF(($BO221)&gt;0,($Y221+$AE221)/($BO221),""),"")</f>
        <v/>
      </c>
      <c r="CN221" s="55">
        <f>IFERROR(IF(($BP221)&gt;0,($Z221+$AF221)/($BP221),""),"")</f>
        <v/>
      </c>
      <c r="CO221" s="55">
        <f>IFERROR(IF(($CC221)&gt;0,($X221+$AD221)/($CC221),""),"")</f>
        <v/>
      </c>
      <c r="CP221" s="55">
        <f>IFERROR(IF(($CD221)&gt;0,($Y221+$AE221)/($CD221),""),"")</f>
        <v/>
      </c>
      <c r="CQ221" s="55">
        <f>IFERROR(IF(($CE221)&gt;0,($Z221+$AF221)/($CE221),""),"")</f>
        <v/>
      </c>
      <c r="CR221" s="55">
        <f>SUMIFS(tblPlant[Crushed_t],tblPlant[Date],$A221)</f>
        <v/>
      </c>
      <c r="CS221" s="55">
        <f>IF($B221=$B220,$CS220,0)+$CR221</f>
        <v/>
      </c>
      <c r="CT221" s="55">
        <f>$CT220+$CR221</f>
        <v/>
      </c>
      <c r="CU221" s="55">
        <f>SUMIFS(tblPlant[Milled_t],tblPlant[Date],$A221)</f>
        <v/>
      </c>
      <c r="CV221" s="55">
        <f>IF($B221=$B220,$CV220,0)+$CU221</f>
        <v/>
      </c>
      <c r="CW221" s="55">
        <f>$CW220+$CU221</f>
        <v/>
      </c>
      <c r="CX221" s="55">
        <f>SUMIFS(tblPlant[Feed_oz],tblPlant[Date],$A221)</f>
        <v/>
      </c>
      <c r="CY221" s="55">
        <f>IF($B221=$B220,$CY220,0)+$CX221</f>
        <v/>
      </c>
      <c r="CZ221" s="55">
        <f>$CZ220+$CX221</f>
        <v/>
      </c>
      <c r="DA221" s="55">
        <f>SUMIFS(tblPlant[Tails_oz],tblPlant[Date],$A221)</f>
        <v/>
      </c>
      <c r="DB221" s="55">
        <f>IF($B221=$B220,$DB220,0)+$DA221</f>
        <v/>
      </c>
      <c r="DC221" s="55">
        <f>$DC220+$DA221</f>
        <v/>
      </c>
      <c r="DD221" s="55">
        <f>SUMIFS(tblPlant[Recovered_oz],tblPlant[Date],$A221)</f>
        <v/>
      </c>
      <c r="DE221" s="55">
        <f>IF($B221=$B220,$DE220,0)+$DD221</f>
        <v/>
      </c>
      <c r="DF221" s="55">
        <f>$DF220+$DD221</f>
        <v/>
      </c>
      <c r="DG221" s="55">
        <f>SUMIFS(tblPlant[Milled_t],tblPlant[Date],$A221,tblPlant[Head_Grade_gpt],"&lt;&gt;")</f>
        <v/>
      </c>
      <c r="DH221" s="55">
        <f>IF($B221=$B220,$DH220,0)+$DG221</f>
        <v/>
      </c>
      <c r="DI221" s="55">
        <f>$DI220+$DG221</f>
        <v/>
      </c>
      <c r="DJ221" s="55">
        <f>SUMIFS(tblPlant[Milled_t],tblPlant[Date],$A221,tblPlant[Tails_Grade_gpt],"&lt;&gt;")</f>
        <v/>
      </c>
      <c r="DK221" s="55">
        <f>IF($B221=$B220,$DK220,0)+$DJ221</f>
        <v/>
      </c>
      <c r="DL221" s="55">
        <f>$DL220+$DJ221</f>
        <v/>
      </c>
      <c r="DM221" s="55">
        <f>SUMIFS(tblPlant[Feed_oz],tblPlant[Date],$A221,tblPlant[Tails_Grade_gpt],"&lt;&gt;")</f>
        <v/>
      </c>
      <c r="DN221" s="55">
        <f>IF($B221=$B220,$DN220,0)+$DM221</f>
        <v/>
      </c>
      <c r="DO221" s="55">
        <f>$DO220+$DM221</f>
        <v/>
      </c>
      <c r="DP221" s="55">
        <f>SUMIFS(tblPlant[Milled_t],tblPlant[Date],$A221,tblPlant[Mill_Run_h],"&lt;&gt;")</f>
        <v/>
      </c>
      <c r="DQ221" s="55">
        <f>IF($B221=$B220,$DQ220,0)+$DP221</f>
        <v/>
      </c>
      <c r="DR221" s="55">
        <f>$DR220+$DP221</f>
        <v/>
      </c>
      <c r="DS221" s="56">
        <f>IFERROR(IF(($DG221)&gt;0,($CX221*cfg_TroyOz)/($DG221),""),"")</f>
        <v/>
      </c>
      <c r="DT221" s="56">
        <f>IFERROR(IF(($DH221)&gt;0,($CY221*cfg_TroyOz)/($DH221),""),"")</f>
        <v/>
      </c>
      <c r="DU221" s="56">
        <f>IFERROR(IF(($DI221)&gt;0,($CZ221*cfg_TroyOz)/($DI221),""),"")</f>
        <v/>
      </c>
      <c r="DV221" s="56">
        <f>IFERROR(IF(($DJ221)&gt;0,($DA221*cfg_TroyOz)/($DJ221),""),"")</f>
        <v/>
      </c>
      <c r="DW221" s="56">
        <f>IFERROR(IF(($DK221)&gt;0,($DB221*cfg_TroyOz)/($DK221),""),"")</f>
        <v/>
      </c>
      <c r="DX221" s="56">
        <f>IFERROR(IF(($DL221)&gt;0,($DC221*cfg_TroyOz)/($DL221),""),"")</f>
        <v/>
      </c>
      <c r="DY221" s="67">
        <f>IFERROR(IF(($DM221)&gt;0,($DD221)/($DM221),""),"")</f>
        <v/>
      </c>
      <c r="DZ221" s="67">
        <f>IFERROR(IF(($DN221)&gt;0,($DE221)/($DN221),""),"")</f>
        <v/>
      </c>
      <c r="EA221" s="67">
        <f>IFERROR(IF(($DO221)&gt;0,($DF221)/($DO221),""),"")</f>
        <v/>
      </c>
      <c r="EB221" s="55">
        <f>SUMIFS(tblPlant[Gravity_Gold_oz],tblPlant[Date],$A221)</f>
        <v/>
      </c>
      <c r="EC221" s="55">
        <f>IF($B221=$B220,$EC220,0)+$EB221</f>
        <v/>
      </c>
      <c r="ED221" s="55">
        <f>$ED220+$EB221</f>
        <v/>
      </c>
      <c r="EE221" s="67">
        <f>IFERROR(IF(($DD221)&gt;0,($EB221)/($DD221),""),"")</f>
        <v/>
      </c>
      <c r="EF221" s="67">
        <f>IFERROR(IF(($DE221)&gt;0,($EC221)/($DE221),""),"")</f>
        <v/>
      </c>
      <c r="EG221" s="67">
        <f>IFERROR(IF(($DF221)&gt;0,($ED221)/($DF221),""),"")</f>
        <v/>
      </c>
      <c r="EH221" s="55">
        <f>SUMIFS(tblPlant[Gold_Poured_oz],tblPlant[Date],$A221)</f>
        <v/>
      </c>
      <c r="EI221" s="55">
        <f>IF($B221=$B220,$EI220,0)+$EH221</f>
        <v/>
      </c>
      <c r="EJ221" s="55">
        <f>$EJ220+$EH221</f>
        <v/>
      </c>
      <c r="EK221" s="57">
        <f>SUMIFS(tblPlant[Mill_Run_h],tblPlant[Date],$A221)</f>
        <v/>
      </c>
      <c r="EL221" s="57">
        <f>IF($B221=$B220,$EL220,0)+$EK221</f>
        <v/>
      </c>
      <c r="EM221" s="57">
        <f>$EM220+$EK221</f>
        <v/>
      </c>
      <c r="EN221" s="57">
        <f>SUMIFS(tblPlant[Mill_Planned_Maint_h],tblPlant[Date],$A221)</f>
        <v/>
      </c>
      <c r="EO221" s="57">
        <f>IF($B221=$B220,$EO220,0)+$EN221</f>
        <v/>
      </c>
      <c r="EP221" s="57">
        <f>$EP220+$EN221</f>
        <v/>
      </c>
      <c r="EQ221" s="57">
        <f>SUMIFS(tblPlant[Mill_Unplanned_Down_h],tblPlant[Date],$A221)</f>
        <v/>
      </c>
      <c r="ER221" s="57">
        <f>IF($B221=$B220,$ER220,0)+$EQ221</f>
        <v/>
      </c>
      <c r="ES221" s="57">
        <f>$ES220+$EQ221</f>
        <v/>
      </c>
      <c r="ET221" s="57">
        <f>IF(COUNTIFS(tblPlant[Date],$A221,tblPlant[Mill_Run_h],"&lt;&gt;")+COUNTIFS(tblPlant[Date],$A221,tblPlant[Mill_Planned_Maint_h],"&lt;&gt;")+COUNTIFS(tblPlant[Date],$A221,tblPlant[Mill_Unplanned_Down_h],"&lt;&gt;")&gt;0,cfg_HoursPerDay,0)</f>
        <v/>
      </c>
      <c r="EU221" s="57">
        <f>IF($B221=$B220,$EU220,0)+$ET221</f>
        <v/>
      </c>
      <c r="EV221" s="57">
        <f>$EV220+$ET221</f>
        <v/>
      </c>
      <c r="EW221" s="57">
        <f>SUMIFS(tblPlant[Crusher_Run_h],tblPlant[Date],$A221)</f>
        <v/>
      </c>
      <c r="EX221" s="57">
        <f>IF($B221=$B220,$EX220,0)+$EW221</f>
        <v/>
      </c>
      <c r="EY221" s="57">
        <f>$EY220+$EW221</f>
        <v/>
      </c>
      <c r="EZ221" s="55">
        <f>IFERROR(IF(($EK221)&gt;0,($DP221)/($EK221),""),"")</f>
        <v/>
      </c>
      <c r="FA221" s="55">
        <f>IFERROR(IF(($EL221)&gt;0,($DQ221)/($EL221),""),"")</f>
        <v/>
      </c>
      <c r="FB221" s="55">
        <f>IFERROR(IF(($EM221)&gt;0,($DR221)/($EM221),""),"")</f>
        <v/>
      </c>
      <c r="FC221" s="67">
        <f>IFERROR(IF(($ET221)&gt;0,($ET221-$EN221-$EQ221)/($ET221),""),"")</f>
        <v/>
      </c>
      <c r="FD221" s="67">
        <f>IFERROR(IF(($EU221)&gt;0,($EU221-$EO221-$ER221)/($EU221),""),"")</f>
        <v/>
      </c>
      <c r="FE221" s="67">
        <f>IFERROR(IF(($EV221)&gt;0,($EV221-$EP221-$ES221)/($EV221),""),"")</f>
        <v/>
      </c>
      <c r="FF221" s="67">
        <f>IFERROR(IF(($ET221-$EN221-$EQ221)&gt;0,($EK221)/($ET221-$EN221-$EQ221),""),"")</f>
        <v/>
      </c>
      <c r="FG221" s="67">
        <f>IFERROR(IF(($EU221-$EO221-$ER221)&gt;0,($EL221)/($EU221-$EO221-$ER221),""),"")</f>
        <v/>
      </c>
      <c r="FH221" s="67">
        <f>IFERROR(IF(($EV221-$EP221-$ES221)&gt;0,($EM221)/($EV221-$EP221-$ES221),""),"")</f>
        <v/>
      </c>
      <c r="FI221" s="55">
        <f>SUMIFS(tblPlant[Cyanide_kg],tblPlant[Date],$A221)</f>
        <v/>
      </c>
      <c r="FJ221" s="55">
        <f>IF($B221=$B220,$FJ220,0)+$FI221</f>
        <v/>
      </c>
      <c r="FK221" s="55">
        <f>$FK220+$FI221</f>
        <v/>
      </c>
      <c r="FL221" s="55">
        <f>SUMIFS(tblPlant[Lime_kg],tblPlant[Date],$A221)</f>
        <v/>
      </c>
      <c r="FM221" s="55">
        <f>IF($B221=$B220,$FM220,0)+$FL221</f>
        <v/>
      </c>
      <c r="FN221" s="55">
        <f>$FN220+$FL221</f>
        <v/>
      </c>
      <c r="FO221" s="55">
        <f>SUMIFS(tblPlant[Grinding_Media_kg],tblPlant[Date],$A221)</f>
        <v/>
      </c>
      <c r="FP221" s="55">
        <f>IF($B221=$B220,$FP220,0)+$FO221</f>
        <v/>
      </c>
      <c r="FQ221" s="55">
        <f>$FQ220+$FO221</f>
        <v/>
      </c>
      <c r="FR221" s="55">
        <f>SUMIFS(tblPlant[Power_kWh],tblPlant[Date],$A221)</f>
        <v/>
      </c>
      <c r="FS221" s="55">
        <f>IF($B221=$B220,$FS220,0)+$FR221</f>
        <v/>
      </c>
      <c r="FT221" s="55">
        <f>$FT220+$FR221</f>
        <v/>
      </c>
      <c r="FU221" s="55">
        <f>SUMIFS(tblPlant[Raw_Water_m3],tblPlant[Date],$A221)</f>
        <v/>
      </c>
      <c r="FV221" s="55">
        <f>IF($B221=$B220,$FV220,0)+$FU221</f>
        <v/>
      </c>
      <c r="FW221" s="55">
        <f>$FW220+$FU221</f>
        <v/>
      </c>
      <c r="FX221" s="56">
        <f>IFERROR(IF(($CU221)&gt;0,($FI221)/($CU221),""),"")</f>
        <v/>
      </c>
      <c r="FY221" s="56">
        <f>IFERROR(IF(($CV221)&gt;0,($FJ221)/($CV221),""),"")</f>
        <v/>
      </c>
      <c r="FZ221" s="56">
        <f>IFERROR(IF(($CW221)&gt;0,($FK221)/($CW221),""),"")</f>
        <v/>
      </c>
      <c r="GA221" s="56">
        <f>IFERROR(IF(($CU221)&gt;0,($FL221)/($CU221),""),"")</f>
        <v/>
      </c>
      <c r="GB221" s="56">
        <f>IFERROR(IF(($CV221)&gt;0,($FM221)/($CV221),""),"")</f>
        <v/>
      </c>
      <c r="GC221" s="56">
        <f>IFERROR(IF(($CW221)&gt;0,($FN221)/($CW221),""),"")</f>
        <v/>
      </c>
      <c r="GD221" s="56">
        <f>IFERROR(IF(($CU221)&gt;0,($FO221)/($CU221),""),"")</f>
        <v/>
      </c>
      <c r="GE221" s="56">
        <f>IFERROR(IF(($CV221)&gt;0,($FP221)/($CV221),""),"")</f>
        <v/>
      </c>
      <c r="GF221" s="56">
        <f>IFERROR(IF(($CW221)&gt;0,($FQ221)/($CW221),""),"")</f>
        <v/>
      </c>
      <c r="GG221" s="79">
        <f>IFERROR(IF(($CU221)&gt;0,($FR221)/($CU221),""),"")</f>
        <v/>
      </c>
      <c r="GH221" s="79">
        <f>IFERROR(IF(($CV221)&gt;0,($FS221)/($CV221),""),"")</f>
        <v/>
      </c>
      <c r="GI221" s="79">
        <f>IFERROR(IF(($CW221)&gt;0,($FT221)/($CW221),""),"")</f>
        <v/>
      </c>
      <c r="GJ221" s="56">
        <f>IFERROR(IF(($CU221)&gt;0,($FU221)/($CU221),""),"")</f>
        <v/>
      </c>
      <c r="GK221" s="56">
        <f>IFERROR(IF(($CV221)&gt;0,($FV221)/($CV221),""),"")</f>
        <v/>
      </c>
      <c r="GL221" s="56">
        <f>IFERROR(IF(($CW221)&gt;0,($FW221)/($CW221),""),"")</f>
        <v/>
      </c>
      <c r="GM221" s="55">
        <f>IF(SUMIFS(tblPlant[GIC_oz],tblPlant[Date],$A221)&gt;0,SUMIFS(tblPlant[GIC_oz],tblPlant[Date],$A221),"")</f>
        <v/>
      </c>
      <c r="GN221" s="55">
        <f>SUMIFS(tblGold[Gold_oz],tblGold[Date],$A221,tblGold[Type],"Shipment")</f>
        <v/>
      </c>
      <c r="GO221" s="55">
        <f>IF($B221=$B220,$GO220,0)+$GN221</f>
        <v/>
      </c>
      <c r="GP221" s="55">
        <f>$GP220+$GN221</f>
        <v/>
      </c>
      <c r="GQ221" s="55">
        <f>SUMIFS(tblGold[Gold_oz],tblGold[Date],$A221,tblGold[Type],"Sale")</f>
        <v/>
      </c>
      <c r="GR221" s="55">
        <f>IF($B221=$B220,$GR220,0)+$GQ221</f>
        <v/>
      </c>
      <c r="GS221" s="55">
        <f>$GS220+$GQ221</f>
        <v/>
      </c>
      <c r="GT221" s="55">
        <f>SUMIFS(tblGold[Dore_kg],tblGold[Date],$A221,tblGold[Type],"Shipment")</f>
        <v/>
      </c>
      <c r="GU221" s="55">
        <f>IF($B221=$B220,$GU220,0)+$GT221</f>
        <v/>
      </c>
      <c r="GV221" s="55">
        <f>$GV220+$GT221</f>
        <v/>
      </c>
      <c r="GW221" s="57">
        <f>SUMIFS(tblSafety[Hours_Total],tblSafety[Date],$A221)</f>
        <v/>
      </c>
      <c r="GX221" s="57">
        <f>IF($B221=$B220,$GX220,0)+$GW221</f>
        <v/>
      </c>
      <c r="GY221" s="57">
        <f>$GY220+$GW221</f>
        <v/>
      </c>
      <c r="GZ221" s="62">
        <f>SUMIFS(tblSafety[Fatality],tblSafety[Date],$A221)</f>
        <v/>
      </c>
      <c r="HA221" s="62">
        <f>IF($B221=$B220,$HA220,0)+$GZ221</f>
        <v/>
      </c>
      <c r="HB221" s="62">
        <f>$HB220+$GZ221</f>
        <v/>
      </c>
      <c r="HC221" s="62">
        <f>SUMIFS(tblSafety[LTI],tblSafety[Date],$A221)</f>
        <v/>
      </c>
      <c r="HD221" s="62">
        <f>IF($B221=$B220,$HD220,0)+$HC221</f>
        <v/>
      </c>
      <c r="HE221" s="62">
        <f>$HE220+$HC221</f>
        <v/>
      </c>
      <c r="HF221" s="62">
        <f>SUMIFS(tblSafety[RWI],tblSafety[Date],$A221)</f>
        <v/>
      </c>
      <c r="HG221" s="62">
        <f>IF($B221=$B220,$HG220,0)+$HF221</f>
        <v/>
      </c>
      <c r="HH221" s="62">
        <f>$HH220+$HF221</f>
        <v/>
      </c>
      <c r="HI221" s="62">
        <f>SUMIFS(tblSafety[MTI],tblSafety[Date],$A221)</f>
        <v/>
      </c>
      <c r="HJ221" s="62">
        <f>IF($B221=$B220,$HJ220,0)+$HI221</f>
        <v/>
      </c>
      <c r="HK221" s="62">
        <f>$HK220+$HI221</f>
        <v/>
      </c>
      <c r="HL221" s="62">
        <f>SUMIFS(tblSafety[FAI],tblSafety[Date],$A221)</f>
        <v/>
      </c>
      <c r="HM221" s="62">
        <f>IF($B221=$B220,$HM220,0)+$HL221</f>
        <v/>
      </c>
      <c r="HN221" s="62">
        <f>$HN220+$HL221</f>
        <v/>
      </c>
      <c r="HO221" s="62">
        <f>SUMIFS(tblSafety[Recordables],tblSafety[Date],$A221)</f>
        <v/>
      </c>
      <c r="HP221" s="62">
        <f>IF($B221=$B220,$HP220,0)+$HO221</f>
        <v/>
      </c>
      <c r="HQ221" s="62">
        <f>$HQ220+$HO221</f>
        <v/>
      </c>
      <c r="HR221" s="62">
        <f>SUMIFS(tblSafety[Near_Miss],tblSafety[Date],$A221)</f>
        <v/>
      </c>
      <c r="HS221" s="62">
        <f>IF($B221=$B220,$HS220,0)+$HR221</f>
        <v/>
      </c>
      <c r="HT221" s="62">
        <f>$HT220+$HR221</f>
        <v/>
      </c>
      <c r="HU221" s="62">
        <f>SUMIFS(tblSafety[Hazard_Reports],tblSafety[Date],$A221)</f>
        <v/>
      </c>
      <c r="HV221" s="62">
        <f>IF($B221=$B220,$HV220,0)+$HU221</f>
        <v/>
      </c>
      <c r="HW221" s="62">
        <f>$HW220+$HU221</f>
        <v/>
      </c>
      <c r="HX221" s="62">
        <f>SUMIFS(tblSafety[HPI],tblSafety[Date],$A221)</f>
        <v/>
      </c>
      <c r="HY221" s="62">
        <f>IF($B221=$B220,$HY220,0)+$HX221</f>
        <v/>
      </c>
      <c r="HZ221" s="62">
        <f>$HZ220+$HX221</f>
        <v/>
      </c>
      <c r="IA221" s="62">
        <f>SUMIFS(tblSafety[Env_Incidents],tblSafety[Date],$A221)</f>
        <v/>
      </c>
      <c r="IB221" s="62">
        <f>IF($B221=$B220,$IB220,0)+$IA221</f>
        <v/>
      </c>
      <c r="IC221" s="62">
        <f>$IC220+$IA221</f>
        <v/>
      </c>
      <c r="ID221" s="62">
        <f>SUMIFS(tblSafety[Community_Incidents],tblSafety[Date],$A221)</f>
        <v/>
      </c>
      <c r="IE221" s="62">
        <f>IF($B221=$B220,$IE220,0)+$ID221</f>
        <v/>
      </c>
      <c r="IF221" s="62">
        <f>$IF220+$ID221</f>
        <v/>
      </c>
      <c r="IG221" s="62">
        <f>SUMIFS(tblSafety[Vehicle_Incidents],tblSafety[Date],$A221)</f>
        <v/>
      </c>
      <c r="IH221" s="62">
        <f>IF($B221=$B220,$IH220,0)+$IG221</f>
        <v/>
      </c>
      <c r="II221" s="62">
        <f>$II220+$IG221</f>
        <v/>
      </c>
      <c r="IJ221" s="62">
        <f>SUMIFS(tblSafety[Toolbox_Talks],tblSafety[Date],$A221)</f>
        <v/>
      </c>
      <c r="IK221" s="62">
        <f>IF($B221=$B220,$IK220,0)+$IJ221</f>
        <v/>
      </c>
      <c r="IL221" s="62">
        <f>$IL220+$IJ221</f>
        <v/>
      </c>
      <c r="IM221" s="62">
        <f>SUMIFS(tblSafety[Inspections],tblSafety[Date],$A221)</f>
        <v/>
      </c>
      <c r="IN221" s="62">
        <f>IF($B221=$B220,$IN220,0)+$IM221</f>
        <v/>
      </c>
      <c r="IO221" s="62">
        <f>$IO220+$IM221</f>
        <v/>
      </c>
      <c r="IP221" s="56">
        <f>IFERROR((SUMIFS(tblSafety[Recordables],tblSafety[Date],"&gt;="&amp;EDATE($E221,-12),tblSafety[Date],"&lt;="&amp;$A221)+SUMIFS(tblSafetyHistory[Recordables],tblSafetyHistory[Month],"&gt;="&amp;EDATE($E221,-12),tblSafetyHistory[Month],"&lt;"&amp;$E221,tblSafetyHistory[Use],1))/(SUMIFS(tblSafety[Hours_Total],tblSafety[Date],"&gt;="&amp;EDATE($E221,-12),tblSafety[Date],"&lt;="&amp;$A221)+SUMIFS(tblSafetyHistory[Hours_Total],tblSafetyHistory[Month],"&gt;="&amp;EDATE($E221,-12),tblSafetyHistory[Month],"&lt;"&amp;$E221,tblSafetyHistory[Use],1))*cfg_RateBasisHours,"")</f>
        <v/>
      </c>
      <c r="IQ221" s="56">
        <f>IFERROR((SUMIFS(tblSafety[LTI],tblSafety[Date],"&gt;="&amp;EDATE($E221,-12),tblSafety[Date],"&lt;="&amp;$A221)+SUMIFS(tblSafetyHistory[LTI],tblSafetyHistory[Month],"&gt;="&amp;EDATE($E221,-12),tblSafetyHistory[Month],"&lt;"&amp;$E221,tblSafetyHistory[Use],1))/(SUMIFS(tblSafety[Hours_Total],tblSafety[Date],"&gt;="&amp;EDATE($E221,-12),tblSafety[Date],"&lt;="&amp;$A221)+SUMIFS(tblSafetyHistory[Hours_Total],tblSafetyHistory[Month],"&gt;="&amp;EDATE($E221,-12),tblSafetyHistory[Month],"&lt;"&amp;$E221,tblSafetyHistory[Use],1))*cfg_RateBasisHours,"")</f>
        <v/>
      </c>
      <c r="IR221" s="62">
        <f>IF(MAX(N(cfg_PriorLTIDate),_xlfn.MAXIFS(tblSafety[Date],tblSafety[LTI],"&gt;0",tblSafety[Date],"&lt;="&amp;$A221))=0,"",$A221-MAX(N(cfg_PriorLTIDate),_xlfn.MAXIFS(tblSafety[Date],tblSafety[LTI],"&gt;0",tblSafety[Date],"&lt;="&amp;$A221)))</f>
        <v/>
      </c>
      <c r="IS221" s="55">
        <f>SUMIFS(tblBudget[Ore_Mined_t],tblBudget[Month],$E221)</f>
        <v/>
      </c>
      <c r="IT221" s="55">
        <f>$IS221*$C221/$D221</f>
        <v/>
      </c>
      <c r="IU221" s="55">
        <f>SUMIFS(tblBudget[Ore_Mined_t],tblBudget[Month],"&lt;"&amp;$E221)+$IT221</f>
        <v/>
      </c>
      <c r="IV221" s="55">
        <f>SUMIFS(tblBudget[Ore_oz],tblBudget[Month],$E221)</f>
        <v/>
      </c>
      <c r="IW221" s="55">
        <f>$IV221*$C221/$D221</f>
        <v/>
      </c>
      <c r="IX221" s="55">
        <f>SUMIFS(tblBudget[Ore_oz],tblBudget[Month],"&lt;"&amp;$E221)+$IW221</f>
        <v/>
      </c>
      <c r="IY221" s="55">
        <f>SUMIFS(tblBudget[Ore_Mined_t],tblBudget[Month],$E221)</f>
        <v/>
      </c>
      <c r="IZ221" s="55">
        <f>$IY221*$C221/$D221</f>
        <v/>
      </c>
      <c r="JA221" s="55">
        <f>SUMIFS(tblBudget[Ore_Mined_t],tblBudget[Month],"&lt;"&amp;$E221)+$IZ221</f>
        <v/>
      </c>
      <c r="JB221" s="56">
        <f>IFERROR(IF(($IY221)&gt;0,($IV221*cfg_TroyOz)/($IY221),""),"")</f>
        <v/>
      </c>
      <c r="JC221" s="56">
        <f>IFERROR(IF(($IZ221)&gt;0,($IW221*cfg_TroyOz)/($IZ221),""),"")</f>
        <v/>
      </c>
      <c r="JD221" s="56">
        <f>IFERROR(IF(($JA221)&gt;0,($IX221*cfg_TroyOz)/($JA221),""),"")</f>
        <v/>
      </c>
      <c r="JE221" s="55">
        <f>SUMIFS(tblBudget[Waste_t],tblBudget[Month],$E221)</f>
        <v/>
      </c>
      <c r="JF221" s="55">
        <f>$JE221*$C221/$D221</f>
        <v/>
      </c>
      <c r="JG221" s="55">
        <f>SUMIFS(tblBudget[Waste_t],tblBudget[Month],"&lt;"&amp;$E221)+$JF221</f>
        <v/>
      </c>
      <c r="JH221" s="55">
        <f>SUMIFS(tblBudget[TMM_t],tblBudget[Month],$E221)</f>
        <v/>
      </c>
      <c r="JI221" s="55">
        <f>$JH221*$C221/$D221</f>
        <v/>
      </c>
      <c r="JJ221" s="55">
        <f>SUMIFS(tblBudget[TMM_t],tblBudget[Month],"&lt;"&amp;$E221)+$JI221</f>
        <v/>
      </c>
      <c r="JK221" s="56">
        <f>IFERROR(IF(($IS221)&gt;0,($JE221)/($IS221),""),"")</f>
        <v/>
      </c>
      <c r="JL221" s="56">
        <f>IFERROR(IF(($IT221)&gt;0,($JF221)/($IT221),""),"")</f>
        <v/>
      </c>
      <c r="JM221" s="56">
        <f>IFERROR(IF(($IU221)&gt;0,($JG221)/($IU221),""),"")</f>
        <v/>
      </c>
      <c r="JN221" s="55">
        <f>SUMIFS(tblBudget[Drill_m],tblBudget[Month],$E221)</f>
        <v/>
      </c>
      <c r="JO221" s="55">
        <f>$JN221*$C221/$D221</f>
        <v/>
      </c>
      <c r="JP221" s="55">
        <f>SUMIFS(tblBudget[Drill_m],tblBudget[Month],"&lt;"&amp;$E221)+$JO221</f>
        <v/>
      </c>
      <c r="JQ221" s="55">
        <f>SUMIFS(tblBudget[Diesel_L],tblBudget[Month],$E221)</f>
        <v/>
      </c>
      <c r="JR221" s="55">
        <f>$JQ221*$C221/$D221</f>
        <v/>
      </c>
      <c r="JS221" s="55">
        <f>SUMIFS(tblBudget[Diesel_L],tblBudget[Month],"&lt;"&amp;$E221)+$JR221</f>
        <v/>
      </c>
      <c r="JT221" s="55">
        <f>SUMIFS(tblBudget[Milled_t],tblBudget[Month],$E221)</f>
        <v/>
      </c>
      <c r="JU221" s="55">
        <f>$JT221*$C221/$D221</f>
        <v/>
      </c>
      <c r="JV221" s="55">
        <f>SUMIFS(tblBudget[Milled_t],tblBudget[Month],"&lt;"&amp;$E221)+$JU221</f>
        <v/>
      </c>
      <c r="JW221" s="55">
        <f>SUMIFS(tblBudget[Feed_oz],tblBudget[Month],$E221)</f>
        <v/>
      </c>
      <c r="JX221" s="55">
        <f>$JW221*$C221/$D221</f>
        <v/>
      </c>
      <c r="JY221" s="55">
        <f>SUMIFS(tblBudget[Feed_oz],tblBudget[Month],"&lt;"&amp;$E221)+$JX221</f>
        <v/>
      </c>
      <c r="JZ221" s="55">
        <f>SUMIFS(tblBudget[Recovered_oz],tblBudget[Month],$E221)</f>
        <v/>
      </c>
      <c r="KA221" s="55">
        <f>$JZ221*$C221/$D221</f>
        <v/>
      </c>
      <c r="KB221" s="55">
        <f>SUMIFS(tblBudget[Recovered_oz],tblBudget[Month],"&lt;"&amp;$E221)+$KA221</f>
        <v/>
      </c>
      <c r="KC221" s="55">
        <f>SUMIFS(tblBudget[Milled_t],tblBudget[Month],$E221)</f>
        <v/>
      </c>
      <c r="KD221" s="55">
        <f>$KC221*$C221/$D221</f>
        <v/>
      </c>
      <c r="KE221" s="55">
        <f>SUMIFS(tblBudget[Milled_t],tblBudget[Month],"&lt;"&amp;$E221)+$KD221</f>
        <v/>
      </c>
      <c r="KF221" s="55">
        <f>SUMIFS(tblBudget[Feed_oz],tblBudget[Month],$E221)</f>
        <v/>
      </c>
      <c r="KG221" s="55">
        <f>$KF221*$C221/$D221</f>
        <v/>
      </c>
      <c r="KH221" s="55">
        <f>SUMIFS(tblBudget[Feed_oz],tblBudget[Month],"&lt;"&amp;$E221)+$KG221</f>
        <v/>
      </c>
      <c r="KI221" s="56">
        <f>IFERROR(IF(($KC221)&gt;0,($JW221*cfg_TroyOz)/($KC221),""),"")</f>
        <v/>
      </c>
      <c r="KJ221" s="56">
        <f>IFERROR(IF(($KD221)&gt;0,($JX221*cfg_TroyOz)/($KD221),""),"")</f>
        <v/>
      </c>
      <c r="KK221" s="56">
        <f>IFERROR(IF(($KE221)&gt;0,($JY221*cfg_TroyOz)/($KE221),""),"")</f>
        <v/>
      </c>
      <c r="KL221" s="67">
        <f>IFERROR(IF(($KF221)&gt;0,($JZ221)/($KF221),""),"")</f>
        <v/>
      </c>
      <c r="KM221" s="67">
        <f>IFERROR(IF(($KG221)&gt;0,($KA221)/($KG221),""),"")</f>
        <v/>
      </c>
      <c r="KN221" s="67">
        <f>IFERROR(IF(($KH221)&gt;0,($KB221)/($KH221),""),"")</f>
        <v/>
      </c>
      <c r="KO221" s="55">
        <f>SUMIFS(tblBudget[Gold_Poured_oz],tblBudget[Month],$E221)</f>
        <v/>
      </c>
      <c r="KP221" s="55">
        <f>$KO221*$C221/$D221</f>
        <v/>
      </c>
      <c r="KQ221" s="55">
        <f>SUMIFS(tblBudget[Gold_Poured_oz],tblBudget[Month],"&lt;"&amp;$E221)+$KP221</f>
        <v/>
      </c>
      <c r="KR221" s="57">
        <f>SUMIFS(tblBudget[Hours_Worked],tblBudget[Month],$E221)</f>
        <v/>
      </c>
      <c r="KS221" s="57">
        <f>$KR221*$C221/$D221</f>
        <v/>
      </c>
      <c r="KT221" s="57">
        <f>SUMIFS(tblBudget[Hours_Worked],tblBudget[Month],"&lt;"&amp;$E221)+$KS221</f>
        <v/>
      </c>
    </row>
    <row r="222">
      <c r="A222" s="54" t="n">
        <v>46243</v>
      </c>
      <c r="B222">
        <f>MONTH($A222)</f>
        <v/>
      </c>
      <c r="C222">
        <f>DAY($A222)</f>
        <v/>
      </c>
      <c r="D222">
        <f>DAY(EOMONTH($A222,0))</f>
        <v/>
      </c>
      <c r="E222" s="54">
        <f>DATE(YEAR($A222),MONTH($A222),1)</f>
        <v/>
      </c>
      <c r="F222" s="55">
        <f>SUMIFS(tblMovement[Tonnes_t],tblMovement[Date],$A222,tblMovement[Is_Ore],1,tblMovement[Source_Type],"Pit")</f>
        <v/>
      </c>
      <c r="G222" s="55">
        <f>IF($B222=$B221,$G221,0)+$F222</f>
        <v/>
      </c>
      <c r="H222" s="55">
        <f>$H221+$F222</f>
        <v/>
      </c>
      <c r="I222" s="55">
        <f>SUMIFS(tblMovement[Ore_oz],tblMovement[Date],$A222,tblMovement[Source_Type],"Pit")</f>
        <v/>
      </c>
      <c r="J222" s="55">
        <f>IF($B222=$B221,$J221,0)+$I222</f>
        <v/>
      </c>
      <c r="K222" s="55">
        <f>$K221+$I222</f>
        <v/>
      </c>
      <c r="L222" s="55">
        <f>SUMIFS(tblMovement[Tonnes_t],tblMovement[Date],$A222,tblMovement[Is_Ore],1,tblMovement[Source_Type],"Pit",tblMovement[Grade_gpt],"&lt;&gt;")</f>
        <v/>
      </c>
      <c r="M222" s="55">
        <f>IF($B222=$B221,$M221,0)+$L222</f>
        <v/>
      </c>
      <c r="N222" s="55">
        <f>$N221+$L222</f>
        <v/>
      </c>
      <c r="O222" s="56">
        <f>IFERROR(IF(($L222)&gt;0,($I222*cfg_TroyOz)/($L222),""),"")</f>
        <v/>
      </c>
      <c r="P222" s="56">
        <f>IFERROR(IF(($M222)&gt;0,($J222*cfg_TroyOz)/($M222),""),"")</f>
        <v/>
      </c>
      <c r="Q222" s="56">
        <f>IFERROR(IF(($N222)&gt;0,($K222*cfg_TroyOz)/($N222),""),"")</f>
        <v/>
      </c>
      <c r="R222" s="55">
        <f>$F222-$L222</f>
        <v/>
      </c>
      <c r="S222" s="55">
        <f>IF($B222=$B221,$S221,0)+$R222</f>
        <v/>
      </c>
      <c r="T222" s="55">
        <f>$T221+$R222</f>
        <v/>
      </c>
      <c r="U222" s="55">
        <f>SUMIFS(tblMovement[Tonnes_t],tblMovement[Date],$A222,tblMovement[Is_Ore],0,tblMovement[Source_Type],"Pit")</f>
        <v/>
      </c>
      <c r="V222" s="55">
        <f>IF($B222=$B221,$V221,0)+$U222</f>
        <v/>
      </c>
      <c r="W222" s="55">
        <f>$W221+$U222</f>
        <v/>
      </c>
      <c r="X222" s="55">
        <f>$F222+$U222</f>
        <v/>
      </c>
      <c r="Y222" s="55">
        <f>IF($B222=$B221,$Y221,0)+$X222</f>
        <v/>
      </c>
      <c r="Z222" s="55">
        <f>$Z221+$X222</f>
        <v/>
      </c>
      <c r="AA222" s="56">
        <f>IFERROR(IF(($F222)&gt;0,($U222)/($F222),""),"")</f>
        <v/>
      </c>
      <c r="AB222" s="56">
        <f>IFERROR(IF(($G222)&gt;0,($V222)/($G222),""),"")</f>
        <v/>
      </c>
      <c r="AC222" s="56">
        <f>IFERROR(IF(($H222)&gt;0,($W222)/($H222),""),"")</f>
        <v/>
      </c>
      <c r="AD222" s="55">
        <f>SUMIFS(tblMovement[Tonnes_t],tblMovement[Date],$A222,tblMovement[Source_Type],"Stockpile")</f>
        <v/>
      </c>
      <c r="AE222" s="55">
        <f>IF($B222=$B221,$AE221,0)+$AD222</f>
        <v/>
      </c>
      <c r="AF222" s="55">
        <f>$AF221+$AD222</f>
        <v/>
      </c>
      <c r="AG222" s="55">
        <f>SUMIFS(tblMovement[Tonnes_t],tblMovement[Date],$A222)</f>
        <v/>
      </c>
      <c r="AH222" s="55">
        <f>IF($B222=$B221,$AH221,0)+$AG222</f>
        <v/>
      </c>
      <c r="AI222" s="55">
        <f>$AI221+$AG222</f>
        <v/>
      </c>
      <c r="AJ222" s="55">
        <f>$AG222-$X222-$AD222</f>
        <v/>
      </c>
      <c r="AK222" s="55">
        <f>IF($B222=$B221,$AK221,0)+$AJ222</f>
        <v/>
      </c>
      <c r="AL222" s="55">
        <f>$AL221+$AJ222</f>
        <v/>
      </c>
      <c r="AM222" s="55">
        <f>SUMIFS(tblMiningDaily[Drill_m],tblMiningDaily[Date],$A222)</f>
        <v/>
      </c>
      <c r="AN222" s="55">
        <f>IF($B222=$B221,$AN221,0)+$AM222</f>
        <v/>
      </c>
      <c r="AO222" s="55">
        <f>$AO221+$AM222</f>
        <v/>
      </c>
      <c r="AP222" s="55">
        <f>SUMIFS(tblMiningDaily[GC_Drill_m],tblMiningDaily[Date],$A222)</f>
        <v/>
      </c>
      <c r="AQ222" s="55">
        <f>IF($B222=$B221,$AQ221,0)+$AP222</f>
        <v/>
      </c>
      <c r="AR222" s="55">
        <f>$AR221+$AP222</f>
        <v/>
      </c>
      <c r="AS222" s="55">
        <f>SUMIFS(tblMiningDaily[Blast_t],tblMiningDaily[Date],$A222)</f>
        <v/>
      </c>
      <c r="AT222" s="55">
        <f>IF($B222=$B221,$AT221,0)+$AS222</f>
        <v/>
      </c>
      <c r="AU222" s="55">
        <f>$AU221+$AS222</f>
        <v/>
      </c>
      <c r="AV222" s="55">
        <f>SUMIFS(tblMiningDaily[Explosives_kg],tblMiningDaily[Date],$A222)</f>
        <v/>
      </c>
      <c r="AW222" s="55">
        <f>IF($B222=$B221,$AW221,0)+$AV222</f>
        <v/>
      </c>
      <c r="AX222" s="55">
        <f>$AX221+$AV222</f>
        <v/>
      </c>
      <c r="AY222" s="56">
        <f>IFERROR(IF(($AS222)&gt;0,($AV222)/($AS222),""),"")</f>
        <v/>
      </c>
      <c r="AZ222" s="56">
        <f>IFERROR(IF(($AT222)&gt;0,($AW222)/($AT222),""),"")</f>
        <v/>
      </c>
      <c r="BA222" s="56">
        <f>IFERROR(IF(($AU222)&gt;0,($AX222)/($AU222),""),"")</f>
        <v/>
      </c>
      <c r="BB222" s="55">
        <f>SUMIFS(tblMiningDaily[Diesel_L],tblMiningDaily[Date],$A222)</f>
        <v/>
      </c>
      <c r="BC222" s="55">
        <f>IF($B222=$B221,$BC221,0)+$BB222</f>
        <v/>
      </c>
      <c r="BD222" s="55">
        <f>$BD221+$BB222</f>
        <v/>
      </c>
      <c r="BE222" s="55">
        <f>SUMIFS(tblMiningDaily[Dewatering_m3],tblMiningDaily[Date],$A222)</f>
        <v/>
      </c>
      <c r="BF222" s="55">
        <f>IF($B222=$B221,$BF221,0)+$BE222</f>
        <v/>
      </c>
      <c r="BG222" s="55">
        <f>$BG221+$BE222</f>
        <v/>
      </c>
      <c r="BH222" s="57">
        <f>SUMIFS(tblFleet[Calendar_h],tblFleet[Date],$A222,tblFleet[Equipment_Class],"Excavator")</f>
        <v/>
      </c>
      <c r="BI222" s="57">
        <f>IF($B222=$B221,$BI221,0)+$BH222</f>
        <v/>
      </c>
      <c r="BJ222" s="57">
        <f>$BJ221+$BH222</f>
        <v/>
      </c>
      <c r="BK222" s="57">
        <f>SUMIFS(tblFleet[Available_h],tblFleet[Date],$A222,tblFleet[Equipment_Class],"Excavator")</f>
        <v/>
      </c>
      <c r="BL222" s="57">
        <f>IF($B222=$B221,$BL221,0)+$BK222</f>
        <v/>
      </c>
      <c r="BM222" s="57">
        <f>$BM221+$BK222</f>
        <v/>
      </c>
      <c r="BN222" s="57">
        <f>SUMIFS(tblFleet[Operating_h],tblFleet[Date],$A222,tblFleet[Equipment_Class],"Excavator")</f>
        <v/>
      </c>
      <c r="BO222" s="57">
        <f>IF($B222=$B221,$BO221,0)+$BN222</f>
        <v/>
      </c>
      <c r="BP222" s="57">
        <f>$BP221+$BN222</f>
        <v/>
      </c>
      <c r="BQ222" s="67">
        <f>IFERROR(IF(($BH222)&gt;0,($BK222)/($BH222),""),"")</f>
        <v/>
      </c>
      <c r="BR222" s="67">
        <f>IFERROR(IF(($BI222)&gt;0,($BL222)/($BI222),""),"")</f>
        <v/>
      </c>
      <c r="BS222" s="67">
        <f>IFERROR(IF(($BJ222)&gt;0,($BM222)/($BJ222),""),"")</f>
        <v/>
      </c>
      <c r="BT222" s="67">
        <f>IFERROR(IF(($BK222)&gt;0,($BN222)/($BK222),""),"")</f>
        <v/>
      </c>
      <c r="BU222" s="67">
        <f>IFERROR(IF(($BL222)&gt;0,($BO222)/($BL222),""),"")</f>
        <v/>
      </c>
      <c r="BV222" s="67">
        <f>IFERROR(IF(($BM222)&gt;0,($BP222)/($BM222),""),"")</f>
        <v/>
      </c>
      <c r="BW222" s="57">
        <f>SUMIFS(tblFleet[Calendar_h],tblFleet[Date],$A222,tblFleet[Equipment_Class],"Haul Truck")</f>
        <v/>
      </c>
      <c r="BX222" s="57">
        <f>IF($B222=$B221,$BX221,0)+$BW222</f>
        <v/>
      </c>
      <c r="BY222" s="57">
        <f>$BY221+$BW222</f>
        <v/>
      </c>
      <c r="BZ222" s="57">
        <f>SUMIFS(tblFleet[Available_h],tblFleet[Date],$A222,tblFleet[Equipment_Class],"Haul Truck")</f>
        <v/>
      </c>
      <c r="CA222" s="57">
        <f>IF($B222=$B221,$CA221,0)+$BZ222</f>
        <v/>
      </c>
      <c r="CB222" s="57">
        <f>$CB221+$BZ222</f>
        <v/>
      </c>
      <c r="CC222" s="57">
        <f>SUMIFS(tblFleet[Operating_h],tblFleet[Date],$A222,tblFleet[Equipment_Class],"Haul Truck")</f>
        <v/>
      </c>
      <c r="CD222" s="57">
        <f>IF($B222=$B221,$CD221,0)+$CC222</f>
        <v/>
      </c>
      <c r="CE222" s="57">
        <f>$CE221+$CC222</f>
        <v/>
      </c>
      <c r="CF222" s="67">
        <f>IFERROR(IF(($BW222)&gt;0,($BZ222)/($BW222),""),"")</f>
        <v/>
      </c>
      <c r="CG222" s="67">
        <f>IFERROR(IF(($BX222)&gt;0,($CA222)/($BX222),""),"")</f>
        <v/>
      </c>
      <c r="CH222" s="67">
        <f>IFERROR(IF(($BY222)&gt;0,($CB222)/($BY222),""),"")</f>
        <v/>
      </c>
      <c r="CI222" s="67">
        <f>IFERROR(IF(($BZ222)&gt;0,($CC222)/($BZ222),""),"")</f>
        <v/>
      </c>
      <c r="CJ222" s="67">
        <f>IFERROR(IF(($CA222)&gt;0,($CD222)/($CA222),""),"")</f>
        <v/>
      </c>
      <c r="CK222" s="67">
        <f>IFERROR(IF(($CB222)&gt;0,($CE222)/($CB222),""),"")</f>
        <v/>
      </c>
      <c r="CL222" s="55">
        <f>IFERROR(IF(($BN222)&gt;0,($X222+$AD222)/($BN222),""),"")</f>
        <v/>
      </c>
      <c r="CM222" s="55">
        <f>IFERROR(IF(($BO222)&gt;0,($Y222+$AE222)/($BO222),""),"")</f>
        <v/>
      </c>
      <c r="CN222" s="55">
        <f>IFERROR(IF(($BP222)&gt;0,($Z222+$AF222)/($BP222),""),"")</f>
        <v/>
      </c>
      <c r="CO222" s="55">
        <f>IFERROR(IF(($CC222)&gt;0,($X222+$AD222)/($CC222),""),"")</f>
        <v/>
      </c>
      <c r="CP222" s="55">
        <f>IFERROR(IF(($CD222)&gt;0,($Y222+$AE222)/($CD222),""),"")</f>
        <v/>
      </c>
      <c r="CQ222" s="55">
        <f>IFERROR(IF(($CE222)&gt;0,($Z222+$AF222)/($CE222),""),"")</f>
        <v/>
      </c>
      <c r="CR222" s="55">
        <f>SUMIFS(tblPlant[Crushed_t],tblPlant[Date],$A222)</f>
        <v/>
      </c>
      <c r="CS222" s="55">
        <f>IF($B222=$B221,$CS221,0)+$CR222</f>
        <v/>
      </c>
      <c r="CT222" s="55">
        <f>$CT221+$CR222</f>
        <v/>
      </c>
      <c r="CU222" s="55">
        <f>SUMIFS(tblPlant[Milled_t],tblPlant[Date],$A222)</f>
        <v/>
      </c>
      <c r="CV222" s="55">
        <f>IF($B222=$B221,$CV221,0)+$CU222</f>
        <v/>
      </c>
      <c r="CW222" s="55">
        <f>$CW221+$CU222</f>
        <v/>
      </c>
      <c r="CX222" s="55">
        <f>SUMIFS(tblPlant[Feed_oz],tblPlant[Date],$A222)</f>
        <v/>
      </c>
      <c r="CY222" s="55">
        <f>IF($B222=$B221,$CY221,0)+$CX222</f>
        <v/>
      </c>
      <c r="CZ222" s="55">
        <f>$CZ221+$CX222</f>
        <v/>
      </c>
      <c r="DA222" s="55">
        <f>SUMIFS(tblPlant[Tails_oz],tblPlant[Date],$A222)</f>
        <v/>
      </c>
      <c r="DB222" s="55">
        <f>IF($B222=$B221,$DB221,0)+$DA222</f>
        <v/>
      </c>
      <c r="DC222" s="55">
        <f>$DC221+$DA222</f>
        <v/>
      </c>
      <c r="DD222" s="55">
        <f>SUMIFS(tblPlant[Recovered_oz],tblPlant[Date],$A222)</f>
        <v/>
      </c>
      <c r="DE222" s="55">
        <f>IF($B222=$B221,$DE221,0)+$DD222</f>
        <v/>
      </c>
      <c r="DF222" s="55">
        <f>$DF221+$DD222</f>
        <v/>
      </c>
      <c r="DG222" s="55">
        <f>SUMIFS(tblPlant[Milled_t],tblPlant[Date],$A222,tblPlant[Head_Grade_gpt],"&lt;&gt;")</f>
        <v/>
      </c>
      <c r="DH222" s="55">
        <f>IF($B222=$B221,$DH221,0)+$DG222</f>
        <v/>
      </c>
      <c r="DI222" s="55">
        <f>$DI221+$DG222</f>
        <v/>
      </c>
      <c r="DJ222" s="55">
        <f>SUMIFS(tblPlant[Milled_t],tblPlant[Date],$A222,tblPlant[Tails_Grade_gpt],"&lt;&gt;")</f>
        <v/>
      </c>
      <c r="DK222" s="55">
        <f>IF($B222=$B221,$DK221,0)+$DJ222</f>
        <v/>
      </c>
      <c r="DL222" s="55">
        <f>$DL221+$DJ222</f>
        <v/>
      </c>
      <c r="DM222" s="55">
        <f>SUMIFS(tblPlant[Feed_oz],tblPlant[Date],$A222,tblPlant[Tails_Grade_gpt],"&lt;&gt;")</f>
        <v/>
      </c>
      <c r="DN222" s="55">
        <f>IF($B222=$B221,$DN221,0)+$DM222</f>
        <v/>
      </c>
      <c r="DO222" s="55">
        <f>$DO221+$DM222</f>
        <v/>
      </c>
      <c r="DP222" s="55">
        <f>SUMIFS(tblPlant[Milled_t],tblPlant[Date],$A222,tblPlant[Mill_Run_h],"&lt;&gt;")</f>
        <v/>
      </c>
      <c r="DQ222" s="55">
        <f>IF($B222=$B221,$DQ221,0)+$DP222</f>
        <v/>
      </c>
      <c r="DR222" s="55">
        <f>$DR221+$DP222</f>
        <v/>
      </c>
      <c r="DS222" s="56">
        <f>IFERROR(IF(($DG222)&gt;0,($CX222*cfg_TroyOz)/($DG222),""),"")</f>
        <v/>
      </c>
      <c r="DT222" s="56">
        <f>IFERROR(IF(($DH222)&gt;0,($CY222*cfg_TroyOz)/($DH222),""),"")</f>
        <v/>
      </c>
      <c r="DU222" s="56">
        <f>IFERROR(IF(($DI222)&gt;0,($CZ222*cfg_TroyOz)/($DI222),""),"")</f>
        <v/>
      </c>
      <c r="DV222" s="56">
        <f>IFERROR(IF(($DJ222)&gt;0,($DA222*cfg_TroyOz)/($DJ222),""),"")</f>
        <v/>
      </c>
      <c r="DW222" s="56">
        <f>IFERROR(IF(($DK222)&gt;0,($DB222*cfg_TroyOz)/($DK222),""),"")</f>
        <v/>
      </c>
      <c r="DX222" s="56">
        <f>IFERROR(IF(($DL222)&gt;0,($DC222*cfg_TroyOz)/($DL222),""),"")</f>
        <v/>
      </c>
      <c r="DY222" s="67">
        <f>IFERROR(IF(($DM222)&gt;0,($DD222)/($DM222),""),"")</f>
        <v/>
      </c>
      <c r="DZ222" s="67">
        <f>IFERROR(IF(($DN222)&gt;0,($DE222)/($DN222),""),"")</f>
        <v/>
      </c>
      <c r="EA222" s="67">
        <f>IFERROR(IF(($DO222)&gt;0,($DF222)/($DO222),""),"")</f>
        <v/>
      </c>
      <c r="EB222" s="55">
        <f>SUMIFS(tblPlant[Gravity_Gold_oz],tblPlant[Date],$A222)</f>
        <v/>
      </c>
      <c r="EC222" s="55">
        <f>IF($B222=$B221,$EC221,0)+$EB222</f>
        <v/>
      </c>
      <c r="ED222" s="55">
        <f>$ED221+$EB222</f>
        <v/>
      </c>
      <c r="EE222" s="67">
        <f>IFERROR(IF(($DD222)&gt;0,($EB222)/($DD222),""),"")</f>
        <v/>
      </c>
      <c r="EF222" s="67">
        <f>IFERROR(IF(($DE222)&gt;0,($EC222)/($DE222),""),"")</f>
        <v/>
      </c>
      <c r="EG222" s="67">
        <f>IFERROR(IF(($DF222)&gt;0,($ED222)/($DF222),""),"")</f>
        <v/>
      </c>
      <c r="EH222" s="55">
        <f>SUMIFS(tblPlant[Gold_Poured_oz],tblPlant[Date],$A222)</f>
        <v/>
      </c>
      <c r="EI222" s="55">
        <f>IF($B222=$B221,$EI221,0)+$EH222</f>
        <v/>
      </c>
      <c r="EJ222" s="55">
        <f>$EJ221+$EH222</f>
        <v/>
      </c>
      <c r="EK222" s="57">
        <f>SUMIFS(tblPlant[Mill_Run_h],tblPlant[Date],$A222)</f>
        <v/>
      </c>
      <c r="EL222" s="57">
        <f>IF($B222=$B221,$EL221,0)+$EK222</f>
        <v/>
      </c>
      <c r="EM222" s="57">
        <f>$EM221+$EK222</f>
        <v/>
      </c>
      <c r="EN222" s="57">
        <f>SUMIFS(tblPlant[Mill_Planned_Maint_h],tblPlant[Date],$A222)</f>
        <v/>
      </c>
      <c r="EO222" s="57">
        <f>IF($B222=$B221,$EO221,0)+$EN222</f>
        <v/>
      </c>
      <c r="EP222" s="57">
        <f>$EP221+$EN222</f>
        <v/>
      </c>
      <c r="EQ222" s="57">
        <f>SUMIFS(tblPlant[Mill_Unplanned_Down_h],tblPlant[Date],$A222)</f>
        <v/>
      </c>
      <c r="ER222" s="57">
        <f>IF($B222=$B221,$ER221,0)+$EQ222</f>
        <v/>
      </c>
      <c r="ES222" s="57">
        <f>$ES221+$EQ222</f>
        <v/>
      </c>
      <c r="ET222" s="57">
        <f>IF(COUNTIFS(tblPlant[Date],$A222,tblPlant[Mill_Run_h],"&lt;&gt;")+COUNTIFS(tblPlant[Date],$A222,tblPlant[Mill_Planned_Maint_h],"&lt;&gt;")+COUNTIFS(tblPlant[Date],$A222,tblPlant[Mill_Unplanned_Down_h],"&lt;&gt;")&gt;0,cfg_HoursPerDay,0)</f>
        <v/>
      </c>
      <c r="EU222" s="57">
        <f>IF($B222=$B221,$EU221,0)+$ET222</f>
        <v/>
      </c>
      <c r="EV222" s="57">
        <f>$EV221+$ET222</f>
        <v/>
      </c>
      <c r="EW222" s="57">
        <f>SUMIFS(tblPlant[Crusher_Run_h],tblPlant[Date],$A222)</f>
        <v/>
      </c>
      <c r="EX222" s="57">
        <f>IF($B222=$B221,$EX221,0)+$EW222</f>
        <v/>
      </c>
      <c r="EY222" s="57">
        <f>$EY221+$EW222</f>
        <v/>
      </c>
      <c r="EZ222" s="55">
        <f>IFERROR(IF(($EK222)&gt;0,($DP222)/($EK222),""),"")</f>
        <v/>
      </c>
      <c r="FA222" s="55">
        <f>IFERROR(IF(($EL222)&gt;0,($DQ222)/($EL222),""),"")</f>
        <v/>
      </c>
      <c r="FB222" s="55">
        <f>IFERROR(IF(($EM222)&gt;0,($DR222)/($EM222),""),"")</f>
        <v/>
      </c>
      <c r="FC222" s="67">
        <f>IFERROR(IF(($ET222)&gt;0,($ET222-$EN222-$EQ222)/($ET222),""),"")</f>
        <v/>
      </c>
      <c r="FD222" s="67">
        <f>IFERROR(IF(($EU222)&gt;0,($EU222-$EO222-$ER222)/($EU222),""),"")</f>
        <v/>
      </c>
      <c r="FE222" s="67">
        <f>IFERROR(IF(($EV222)&gt;0,($EV222-$EP222-$ES222)/($EV222),""),"")</f>
        <v/>
      </c>
      <c r="FF222" s="67">
        <f>IFERROR(IF(($ET222-$EN222-$EQ222)&gt;0,($EK222)/($ET222-$EN222-$EQ222),""),"")</f>
        <v/>
      </c>
      <c r="FG222" s="67">
        <f>IFERROR(IF(($EU222-$EO222-$ER222)&gt;0,($EL222)/($EU222-$EO222-$ER222),""),"")</f>
        <v/>
      </c>
      <c r="FH222" s="67">
        <f>IFERROR(IF(($EV222-$EP222-$ES222)&gt;0,($EM222)/($EV222-$EP222-$ES222),""),"")</f>
        <v/>
      </c>
      <c r="FI222" s="55">
        <f>SUMIFS(tblPlant[Cyanide_kg],tblPlant[Date],$A222)</f>
        <v/>
      </c>
      <c r="FJ222" s="55">
        <f>IF($B222=$B221,$FJ221,0)+$FI222</f>
        <v/>
      </c>
      <c r="FK222" s="55">
        <f>$FK221+$FI222</f>
        <v/>
      </c>
      <c r="FL222" s="55">
        <f>SUMIFS(tblPlant[Lime_kg],tblPlant[Date],$A222)</f>
        <v/>
      </c>
      <c r="FM222" s="55">
        <f>IF($B222=$B221,$FM221,0)+$FL222</f>
        <v/>
      </c>
      <c r="FN222" s="55">
        <f>$FN221+$FL222</f>
        <v/>
      </c>
      <c r="FO222" s="55">
        <f>SUMIFS(tblPlant[Grinding_Media_kg],tblPlant[Date],$A222)</f>
        <v/>
      </c>
      <c r="FP222" s="55">
        <f>IF($B222=$B221,$FP221,0)+$FO222</f>
        <v/>
      </c>
      <c r="FQ222" s="55">
        <f>$FQ221+$FO222</f>
        <v/>
      </c>
      <c r="FR222" s="55">
        <f>SUMIFS(tblPlant[Power_kWh],tblPlant[Date],$A222)</f>
        <v/>
      </c>
      <c r="FS222" s="55">
        <f>IF($B222=$B221,$FS221,0)+$FR222</f>
        <v/>
      </c>
      <c r="FT222" s="55">
        <f>$FT221+$FR222</f>
        <v/>
      </c>
      <c r="FU222" s="55">
        <f>SUMIFS(tblPlant[Raw_Water_m3],tblPlant[Date],$A222)</f>
        <v/>
      </c>
      <c r="FV222" s="55">
        <f>IF($B222=$B221,$FV221,0)+$FU222</f>
        <v/>
      </c>
      <c r="FW222" s="55">
        <f>$FW221+$FU222</f>
        <v/>
      </c>
      <c r="FX222" s="56">
        <f>IFERROR(IF(($CU222)&gt;0,($FI222)/($CU222),""),"")</f>
        <v/>
      </c>
      <c r="FY222" s="56">
        <f>IFERROR(IF(($CV222)&gt;0,($FJ222)/($CV222),""),"")</f>
        <v/>
      </c>
      <c r="FZ222" s="56">
        <f>IFERROR(IF(($CW222)&gt;0,($FK222)/($CW222),""),"")</f>
        <v/>
      </c>
      <c r="GA222" s="56">
        <f>IFERROR(IF(($CU222)&gt;0,($FL222)/($CU222),""),"")</f>
        <v/>
      </c>
      <c r="GB222" s="56">
        <f>IFERROR(IF(($CV222)&gt;0,($FM222)/($CV222),""),"")</f>
        <v/>
      </c>
      <c r="GC222" s="56">
        <f>IFERROR(IF(($CW222)&gt;0,($FN222)/($CW222),""),"")</f>
        <v/>
      </c>
      <c r="GD222" s="56">
        <f>IFERROR(IF(($CU222)&gt;0,($FO222)/($CU222),""),"")</f>
        <v/>
      </c>
      <c r="GE222" s="56">
        <f>IFERROR(IF(($CV222)&gt;0,($FP222)/($CV222),""),"")</f>
        <v/>
      </c>
      <c r="GF222" s="56">
        <f>IFERROR(IF(($CW222)&gt;0,($FQ222)/($CW222),""),"")</f>
        <v/>
      </c>
      <c r="GG222" s="79">
        <f>IFERROR(IF(($CU222)&gt;0,($FR222)/($CU222),""),"")</f>
        <v/>
      </c>
      <c r="GH222" s="79">
        <f>IFERROR(IF(($CV222)&gt;0,($FS222)/($CV222),""),"")</f>
        <v/>
      </c>
      <c r="GI222" s="79">
        <f>IFERROR(IF(($CW222)&gt;0,($FT222)/($CW222),""),"")</f>
        <v/>
      </c>
      <c r="GJ222" s="56">
        <f>IFERROR(IF(($CU222)&gt;0,($FU222)/($CU222),""),"")</f>
        <v/>
      </c>
      <c r="GK222" s="56">
        <f>IFERROR(IF(($CV222)&gt;0,($FV222)/($CV222),""),"")</f>
        <v/>
      </c>
      <c r="GL222" s="56">
        <f>IFERROR(IF(($CW222)&gt;0,($FW222)/($CW222),""),"")</f>
        <v/>
      </c>
      <c r="GM222" s="55">
        <f>IF(SUMIFS(tblPlant[GIC_oz],tblPlant[Date],$A222)&gt;0,SUMIFS(tblPlant[GIC_oz],tblPlant[Date],$A222),"")</f>
        <v/>
      </c>
      <c r="GN222" s="55">
        <f>SUMIFS(tblGold[Gold_oz],tblGold[Date],$A222,tblGold[Type],"Shipment")</f>
        <v/>
      </c>
      <c r="GO222" s="55">
        <f>IF($B222=$B221,$GO221,0)+$GN222</f>
        <v/>
      </c>
      <c r="GP222" s="55">
        <f>$GP221+$GN222</f>
        <v/>
      </c>
      <c r="GQ222" s="55">
        <f>SUMIFS(tblGold[Gold_oz],tblGold[Date],$A222,tblGold[Type],"Sale")</f>
        <v/>
      </c>
      <c r="GR222" s="55">
        <f>IF($B222=$B221,$GR221,0)+$GQ222</f>
        <v/>
      </c>
      <c r="GS222" s="55">
        <f>$GS221+$GQ222</f>
        <v/>
      </c>
      <c r="GT222" s="55">
        <f>SUMIFS(tblGold[Dore_kg],tblGold[Date],$A222,tblGold[Type],"Shipment")</f>
        <v/>
      </c>
      <c r="GU222" s="55">
        <f>IF($B222=$B221,$GU221,0)+$GT222</f>
        <v/>
      </c>
      <c r="GV222" s="55">
        <f>$GV221+$GT222</f>
        <v/>
      </c>
      <c r="GW222" s="57">
        <f>SUMIFS(tblSafety[Hours_Total],tblSafety[Date],$A222)</f>
        <v/>
      </c>
      <c r="GX222" s="57">
        <f>IF($B222=$B221,$GX221,0)+$GW222</f>
        <v/>
      </c>
      <c r="GY222" s="57">
        <f>$GY221+$GW222</f>
        <v/>
      </c>
      <c r="GZ222" s="62">
        <f>SUMIFS(tblSafety[Fatality],tblSafety[Date],$A222)</f>
        <v/>
      </c>
      <c r="HA222" s="62">
        <f>IF($B222=$B221,$HA221,0)+$GZ222</f>
        <v/>
      </c>
      <c r="HB222" s="62">
        <f>$HB221+$GZ222</f>
        <v/>
      </c>
      <c r="HC222" s="62">
        <f>SUMIFS(tblSafety[LTI],tblSafety[Date],$A222)</f>
        <v/>
      </c>
      <c r="HD222" s="62">
        <f>IF($B222=$B221,$HD221,0)+$HC222</f>
        <v/>
      </c>
      <c r="HE222" s="62">
        <f>$HE221+$HC222</f>
        <v/>
      </c>
      <c r="HF222" s="62">
        <f>SUMIFS(tblSafety[RWI],tblSafety[Date],$A222)</f>
        <v/>
      </c>
      <c r="HG222" s="62">
        <f>IF($B222=$B221,$HG221,0)+$HF222</f>
        <v/>
      </c>
      <c r="HH222" s="62">
        <f>$HH221+$HF222</f>
        <v/>
      </c>
      <c r="HI222" s="62">
        <f>SUMIFS(tblSafety[MTI],tblSafety[Date],$A222)</f>
        <v/>
      </c>
      <c r="HJ222" s="62">
        <f>IF($B222=$B221,$HJ221,0)+$HI222</f>
        <v/>
      </c>
      <c r="HK222" s="62">
        <f>$HK221+$HI222</f>
        <v/>
      </c>
      <c r="HL222" s="62">
        <f>SUMIFS(tblSafety[FAI],tblSafety[Date],$A222)</f>
        <v/>
      </c>
      <c r="HM222" s="62">
        <f>IF($B222=$B221,$HM221,0)+$HL222</f>
        <v/>
      </c>
      <c r="HN222" s="62">
        <f>$HN221+$HL222</f>
        <v/>
      </c>
      <c r="HO222" s="62">
        <f>SUMIFS(tblSafety[Recordables],tblSafety[Date],$A222)</f>
        <v/>
      </c>
      <c r="HP222" s="62">
        <f>IF($B222=$B221,$HP221,0)+$HO222</f>
        <v/>
      </c>
      <c r="HQ222" s="62">
        <f>$HQ221+$HO222</f>
        <v/>
      </c>
      <c r="HR222" s="62">
        <f>SUMIFS(tblSafety[Near_Miss],tblSafety[Date],$A222)</f>
        <v/>
      </c>
      <c r="HS222" s="62">
        <f>IF($B222=$B221,$HS221,0)+$HR222</f>
        <v/>
      </c>
      <c r="HT222" s="62">
        <f>$HT221+$HR222</f>
        <v/>
      </c>
      <c r="HU222" s="62">
        <f>SUMIFS(tblSafety[Hazard_Reports],tblSafety[Date],$A222)</f>
        <v/>
      </c>
      <c r="HV222" s="62">
        <f>IF($B222=$B221,$HV221,0)+$HU222</f>
        <v/>
      </c>
      <c r="HW222" s="62">
        <f>$HW221+$HU222</f>
        <v/>
      </c>
      <c r="HX222" s="62">
        <f>SUMIFS(tblSafety[HPI],tblSafety[Date],$A222)</f>
        <v/>
      </c>
      <c r="HY222" s="62">
        <f>IF($B222=$B221,$HY221,0)+$HX222</f>
        <v/>
      </c>
      <c r="HZ222" s="62">
        <f>$HZ221+$HX222</f>
        <v/>
      </c>
      <c r="IA222" s="62">
        <f>SUMIFS(tblSafety[Env_Incidents],tblSafety[Date],$A222)</f>
        <v/>
      </c>
      <c r="IB222" s="62">
        <f>IF($B222=$B221,$IB221,0)+$IA222</f>
        <v/>
      </c>
      <c r="IC222" s="62">
        <f>$IC221+$IA222</f>
        <v/>
      </c>
      <c r="ID222" s="62">
        <f>SUMIFS(tblSafety[Community_Incidents],tblSafety[Date],$A222)</f>
        <v/>
      </c>
      <c r="IE222" s="62">
        <f>IF($B222=$B221,$IE221,0)+$ID222</f>
        <v/>
      </c>
      <c r="IF222" s="62">
        <f>$IF221+$ID222</f>
        <v/>
      </c>
      <c r="IG222" s="62">
        <f>SUMIFS(tblSafety[Vehicle_Incidents],tblSafety[Date],$A222)</f>
        <v/>
      </c>
      <c r="IH222" s="62">
        <f>IF($B222=$B221,$IH221,0)+$IG222</f>
        <v/>
      </c>
      <c r="II222" s="62">
        <f>$II221+$IG222</f>
        <v/>
      </c>
      <c r="IJ222" s="62">
        <f>SUMIFS(tblSafety[Toolbox_Talks],tblSafety[Date],$A222)</f>
        <v/>
      </c>
      <c r="IK222" s="62">
        <f>IF($B222=$B221,$IK221,0)+$IJ222</f>
        <v/>
      </c>
      <c r="IL222" s="62">
        <f>$IL221+$IJ222</f>
        <v/>
      </c>
      <c r="IM222" s="62">
        <f>SUMIFS(tblSafety[Inspections],tblSafety[Date],$A222)</f>
        <v/>
      </c>
      <c r="IN222" s="62">
        <f>IF($B222=$B221,$IN221,0)+$IM222</f>
        <v/>
      </c>
      <c r="IO222" s="62">
        <f>$IO221+$IM222</f>
        <v/>
      </c>
      <c r="IP222" s="56">
        <f>IFERROR((SUMIFS(tblSafety[Recordables],tblSafety[Date],"&gt;="&amp;EDATE($E222,-12),tblSafety[Date],"&lt;="&amp;$A222)+SUMIFS(tblSafetyHistory[Recordables],tblSafetyHistory[Month],"&gt;="&amp;EDATE($E222,-12),tblSafetyHistory[Month],"&lt;"&amp;$E222,tblSafetyHistory[Use],1))/(SUMIFS(tblSafety[Hours_Total],tblSafety[Date],"&gt;="&amp;EDATE($E222,-12),tblSafety[Date],"&lt;="&amp;$A222)+SUMIFS(tblSafetyHistory[Hours_Total],tblSafetyHistory[Month],"&gt;="&amp;EDATE($E222,-12),tblSafetyHistory[Month],"&lt;"&amp;$E222,tblSafetyHistory[Use],1))*cfg_RateBasisHours,"")</f>
        <v/>
      </c>
      <c r="IQ222" s="56">
        <f>IFERROR((SUMIFS(tblSafety[LTI],tblSafety[Date],"&gt;="&amp;EDATE($E222,-12),tblSafety[Date],"&lt;="&amp;$A222)+SUMIFS(tblSafetyHistory[LTI],tblSafetyHistory[Month],"&gt;="&amp;EDATE($E222,-12),tblSafetyHistory[Month],"&lt;"&amp;$E222,tblSafetyHistory[Use],1))/(SUMIFS(tblSafety[Hours_Total],tblSafety[Date],"&gt;="&amp;EDATE($E222,-12),tblSafety[Date],"&lt;="&amp;$A222)+SUMIFS(tblSafetyHistory[Hours_Total],tblSafetyHistory[Month],"&gt;="&amp;EDATE($E222,-12),tblSafetyHistory[Month],"&lt;"&amp;$E222,tblSafetyHistory[Use],1))*cfg_RateBasisHours,"")</f>
        <v/>
      </c>
      <c r="IR222" s="62">
        <f>IF(MAX(N(cfg_PriorLTIDate),_xlfn.MAXIFS(tblSafety[Date],tblSafety[LTI],"&gt;0",tblSafety[Date],"&lt;="&amp;$A222))=0,"",$A222-MAX(N(cfg_PriorLTIDate),_xlfn.MAXIFS(tblSafety[Date],tblSafety[LTI],"&gt;0",tblSafety[Date],"&lt;="&amp;$A222)))</f>
        <v/>
      </c>
      <c r="IS222" s="55">
        <f>SUMIFS(tblBudget[Ore_Mined_t],tblBudget[Month],$E222)</f>
        <v/>
      </c>
      <c r="IT222" s="55">
        <f>$IS222*$C222/$D222</f>
        <v/>
      </c>
      <c r="IU222" s="55">
        <f>SUMIFS(tblBudget[Ore_Mined_t],tblBudget[Month],"&lt;"&amp;$E222)+$IT222</f>
        <v/>
      </c>
      <c r="IV222" s="55">
        <f>SUMIFS(tblBudget[Ore_oz],tblBudget[Month],$E222)</f>
        <v/>
      </c>
      <c r="IW222" s="55">
        <f>$IV222*$C222/$D222</f>
        <v/>
      </c>
      <c r="IX222" s="55">
        <f>SUMIFS(tblBudget[Ore_oz],tblBudget[Month],"&lt;"&amp;$E222)+$IW222</f>
        <v/>
      </c>
      <c r="IY222" s="55">
        <f>SUMIFS(tblBudget[Ore_Mined_t],tblBudget[Month],$E222)</f>
        <v/>
      </c>
      <c r="IZ222" s="55">
        <f>$IY222*$C222/$D222</f>
        <v/>
      </c>
      <c r="JA222" s="55">
        <f>SUMIFS(tblBudget[Ore_Mined_t],tblBudget[Month],"&lt;"&amp;$E222)+$IZ222</f>
        <v/>
      </c>
      <c r="JB222" s="56">
        <f>IFERROR(IF(($IY222)&gt;0,($IV222*cfg_TroyOz)/($IY222),""),"")</f>
        <v/>
      </c>
      <c r="JC222" s="56">
        <f>IFERROR(IF(($IZ222)&gt;0,($IW222*cfg_TroyOz)/($IZ222),""),"")</f>
        <v/>
      </c>
      <c r="JD222" s="56">
        <f>IFERROR(IF(($JA222)&gt;0,($IX222*cfg_TroyOz)/($JA222),""),"")</f>
        <v/>
      </c>
      <c r="JE222" s="55">
        <f>SUMIFS(tblBudget[Waste_t],tblBudget[Month],$E222)</f>
        <v/>
      </c>
      <c r="JF222" s="55">
        <f>$JE222*$C222/$D222</f>
        <v/>
      </c>
      <c r="JG222" s="55">
        <f>SUMIFS(tblBudget[Waste_t],tblBudget[Month],"&lt;"&amp;$E222)+$JF222</f>
        <v/>
      </c>
      <c r="JH222" s="55">
        <f>SUMIFS(tblBudget[TMM_t],tblBudget[Month],$E222)</f>
        <v/>
      </c>
      <c r="JI222" s="55">
        <f>$JH222*$C222/$D222</f>
        <v/>
      </c>
      <c r="JJ222" s="55">
        <f>SUMIFS(tblBudget[TMM_t],tblBudget[Month],"&lt;"&amp;$E222)+$JI222</f>
        <v/>
      </c>
      <c r="JK222" s="56">
        <f>IFERROR(IF(($IS222)&gt;0,($JE222)/($IS222),""),"")</f>
        <v/>
      </c>
      <c r="JL222" s="56">
        <f>IFERROR(IF(($IT222)&gt;0,($JF222)/($IT222),""),"")</f>
        <v/>
      </c>
      <c r="JM222" s="56">
        <f>IFERROR(IF(($IU222)&gt;0,($JG222)/($IU222),""),"")</f>
        <v/>
      </c>
      <c r="JN222" s="55">
        <f>SUMIFS(tblBudget[Drill_m],tblBudget[Month],$E222)</f>
        <v/>
      </c>
      <c r="JO222" s="55">
        <f>$JN222*$C222/$D222</f>
        <v/>
      </c>
      <c r="JP222" s="55">
        <f>SUMIFS(tblBudget[Drill_m],tblBudget[Month],"&lt;"&amp;$E222)+$JO222</f>
        <v/>
      </c>
      <c r="JQ222" s="55">
        <f>SUMIFS(tblBudget[Diesel_L],tblBudget[Month],$E222)</f>
        <v/>
      </c>
      <c r="JR222" s="55">
        <f>$JQ222*$C222/$D222</f>
        <v/>
      </c>
      <c r="JS222" s="55">
        <f>SUMIFS(tblBudget[Diesel_L],tblBudget[Month],"&lt;"&amp;$E222)+$JR222</f>
        <v/>
      </c>
      <c r="JT222" s="55">
        <f>SUMIFS(tblBudget[Milled_t],tblBudget[Month],$E222)</f>
        <v/>
      </c>
      <c r="JU222" s="55">
        <f>$JT222*$C222/$D222</f>
        <v/>
      </c>
      <c r="JV222" s="55">
        <f>SUMIFS(tblBudget[Milled_t],tblBudget[Month],"&lt;"&amp;$E222)+$JU222</f>
        <v/>
      </c>
      <c r="JW222" s="55">
        <f>SUMIFS(tblBudget[Feed_oz],tblBudget[Month],$E222)</f>
        <v/>
      </c>
      <c r="JX222" s="55">
        <f>$JW222*$C222/$D222</f>
        <v/>
      </c>
      <c r="JY222" s="55">
        <f>SUMIFS(tblBudget[Feed_oz],tblBudget[Month],"&lt;"&amp;$E222)+$JX222</f>
        <v/>
      </c>
      <c r="JZ222" s="55">
        <f>SUMIFS(tblBudget[Recovered_oz],tblBudget[Month],$E222)</f>
        <v/>
      </c>
      <c r="KA222" s="55">
        <f>$JZ222*$C222/$D222</f>
        <v/>
      </c>
      <c r="KB222" s="55">
        <f>SUMIFS(tblBudget[Recovered_oz],tblBudget[Month],"&lt;"&amp;$E222)+$KA222</f>
        <v/>
      </c>
      <c r="KC222" s="55">
        <f>SUMIFS(tblBudget[Milled_t],tblBudget[Month],$E222)</f>
        <v/>
      </c>
      <c r="KD222" s="55">
        <f>$KC222*$C222/$D222</f>
        <v/>
      </c>
      <c r="KE222" s="55">
        <f>SUMIFS(tblBudget[Milled_t],tblBudget[Month],"&lt;"&amp;$E222)+$KD222</f>
        <v/>
      </c>
      <c r="KF222" s="55">
        <f>SUMIFS(tblBudget[Feed_oz],tblBudget[Month],$E222)</f>
        <v/>
      </c>
      <c r="KG222" s="55">
        <f>$KF222*$C222/$D222</f>
        <v/>
      </c>
      <c r="KH222" s="55">
        <f>SUMIFS(tblBudget[Feed_oz],tblBudget[Month],"&lt;"&amp;$E222)+$KG222</f>
        <v/>
      </c>
      <c r="KI222" s="56">
        <f>IFERROR(IF(($KC222)&gt;0,($JW222*cfg_TroyOz)/($KC222),""),"")</f>
        <v/>
      </c>
      <c r="KJ222" s="56">
        <f>IFERROR(IF(($KD222)&gt;0,($JX222*cfg_TroyOz)/($KD222),""),"")</f>
        <v/>
      </c>
      <c r="KK222" s="56">
        <f>IFERROR(IF(($KE222)&gt;0,($JY222*cfg_TroyOz)/($KE222),""),"")</f>
        <v/>
      </c>
      <c r="KL222" s="67">
        <f>IFERROR(IF(($KF222)&gt;0,($JZ222)/($KF222),""),"")</f>
        <v/>
      </c>
      <c r="KM222" s="67">
        <f>IFERROR(IF(($KG222)&gt;0,($KA222)/($KG222),""),"")</f>
        <v/>
      </c>
      <c r="KN222" s="67">
        <f>IFERROR(IF(($KH222)&gt;0,($KB222)/($KH222),""),"")</f>
        <v/>
      </c>
      <c r="KO222" s="55">
        <f>SUMIFS(tblBudget[Gold_Poured_oz],tblBudget[Month],$E222)</f>
        <v/>
      </c>
      <c r="KP222" s="55">
        <f>$KO222*$C222/$D222</f>
        <v/>
      </c>
      <c r="KQ222" s="55">
        <f>SUMIFS(tblBudget[Gold_Poured_oz],tblBudget[Month],"&lt;"&amp;$E222)+$KP222</f>
        <v/>
      </c>
      <c r="KR222" s="57">
        <f>SUMIFS(tblBudget[Hours_Worked],tblBudget[Month],$E222)</f>
        <v/>
      </c>
      <c r="KS222" s="57">
        <f>$KR222*$C222/$D222</f>
        <v/>
      </c>
      <c r="KT222" s="57">
        <f>SUMIFS(tblBudget[Hours_Worked],tblBudget[Month],"&lt;"&amp;$E222)+$KS222</f>
        <v/>
      </c>
    </row>
    <row r="223">
      <c r="A223" s="54" t="n">
        <v>46244</v>
      </c>
      <c r="B223">
        <f>MONTH($A223)</f>
        <v/>
      </c>
      <c r="C223">
        <f>DAY($A223)</f>
        <v/>
      </c>
      <c r="D223">
        <f>DAY(EOMONTH($A223,0))</f>
        <v/>
      </c>
      <c r="E223" s="54">
        <f>DATE(YEAR($A223),MONTH($A223),1)</f>
        <v/>
      </c>
      <c r="F223" s="55">
        <f>SUMIFS(tblMovement[Tonnes_t],tblMovement[Date],$A223,tblMovement[Is_Ore],1,tblMovement[Source_Type],"Pit")</f>
        <v/>
      </c>
      <c r="G223" s="55">
        <f>IF($B223=$B222,$G222,0)+$F223</f>
        <v/>
      </c>
      <c r="H223" s="55">
        <f>$H222+$F223</f>
        <v/>
      </c>
      <c r="I223" s="55">
        <f>SUMIFS(tblMovement[Ore_oz],tblMovement[Date],$A223,tblMovement[Source_Type],"Pit")</f>
        <v/>
      </c>
      <c r="J223" s="55">
        <f>IF($B223=$B222,$J222,0)+$I223</f>
        <v/>
      </c>
      <c r="K223" s="55">
        <f>$K222+$I223</f>
        <v/>
      </c>
      <c r="L223" s="55">
        <f>SUMIFS(tblMovement[Tonnes_t],tblMovement[Date],$A223,tblMovement[Is_Ore],1,tblMovement[Source_Type],"Pit",tblMovement[Grade_gpt],"&lt;&gt;")</f>
        <v/>
      </c>
      <c r="M223" s="55">
        <f>IF($B223=$B222,$M222,0)+$L223</f>
        <v/>
      </c>
      <c r="N223" s="55">
        <f>$N222+$L223</f>
        <v/>
      </c>
      <c r="O223" s="56">
        <f>IFERROR(IF(($L223)&gt;0,($I223*cfg_TroyOz)/($L223),""),"")</f>
        <v/>
      </c>
      <c r="P223" s="56">
        <f>IFERROR(IF(($M223)&gt;0,($J223*cfg_TroyOz)/($M223),""),"")</f>
        <v/>
      </c>
      <c r="Q223" s="56">
        <f>IFERROR(IF(($N223)&gt;0,($K223*cfg_TroyOz)/($N223),""),"")</f>
        <v/>
      </c>
      <c r="R223" s="55">
        <f>$F223-$L223</f>
        <v/>
      </c>
      <c r="S223" s="55">
        <f>IF($B223=$B222,$S222,0)+$R223</f>
        <v/>
      </c>
      <c r="T223" s="55">
        <f>$T222+$R223</f>
        <v/>
      </c>
      <c r="U223" s="55">
        <f>SUMIFS(tblMovement[Tonnes_t],tblMovement[Date],$A223,tblMovement[Is_Ore],0,tblMovement[Source_Type],"Pit")</f>
        <v/>
      </c>
      <c r="V223" s="55">
        <f>IF($B223=$B222,$V222,0)+$U223</f>
        <v/>
      </c>
      <c r="W223" s="55">
        <f>$W222+$U223</f>
        <v/>
      </c>
      <c r="X223" s="55">
        <f>$F223+$U223</f>
        <v/>
      </c>
      <c r="Y223" s="55">
        <f>IF($B223=$B222,$Y222,0)+$X223</f>
        <v/>
      </c>
      <c r="Z223" s="55">
        <f>$Z222+$X223</f>
        <v/>
      </c>
      <c r="AA223" s="56">
        <f>IFERROR(IF(($F223)&gt;0,($U223)/($F223),""),"")</f>
        <v/>
      </c>
      <c r="AB223" s="56">
        <f>IFERROR(IF(($G223)&gt;0,($V223)/($G223),""),"")</f>
        <v/>
      </c>
      <c r="AC223" s="56">
        <f>IFERROR(IF(($H223)&gt;0,($W223)/($H223),""),"")</f>
        <v/>
      </c>
      <c r="AD223" s="55">
        <f>SUMIFS(tblMovement[Tonnes_t],tblMovement[Date],$A223,tblMovement[Source_Type],"Stockpile")</f>
        <v/>
      </c>
      <c r="AE223" s="55">
        <f>IF($B223=$B222,$AE222,0)+$AD223</f>
        <v/>
      </c>
      <c r="AF223" s="55">
        <f>$AF222+$AD223</f>
        <v/>
      </c>
      <c r="AG223" s="55">
        <f>SUMIFS(tblMovement[Tonnes_t],tblMovement[Date],$A223)</f>
        <v/>
      </c>
      <c r="AH223" s="55">
        <f>IF($B223=$B222,$AH222,0)+$AG223</f>
        <v/>
      </c>
      <c r="AI223" s="55">
        <f>$AI222+$AG223</f>
        <v/>
      </c>
      <c r="AJ223" s="55">
        <f>$AG223-$X223-$AD223</f>
        <v/>
      </c>
      <c r="AK223" s="55">
        <f>IF($B223=$B222,$AK222,0)+$AJ223</f>
        <v/>
      </c>
      <c r="AL223" s="55">
        <f>$AL222+$AJ223</f>
        <v/>
      </c>
      <c r="AM223" s="55">
        <f>SUMIFS(tblMiningDaily[Drill_m],tblMiningDaily[Date],$A223)</f>
        <v/>
      </c>
      <c r="AN223" s="55">
        <f>IF($B223=$B222,$AN222,0)+$AM223</f>
        <v/>
      </c>
      <c r="AO223" s="55">
        <f>$AO222+$AM223</f>
        <v/>
      </c>
      <c r="AP223" s="55">
        <f>SUMIFS(tblMiningDaily[GC_Drill_m],tblMiningDaily[Date],$A223)</f>
        <v/>
      </c>
      <c r="AQ223" s="55">
        <f>IF($B223=$B222,$AQ222,0)+$AP223</f>
        <v/>
      </c>
      <c r="AR223" s="55">
        <f>$AR222+$AP223</f>
        <v/>
      </c>
      <c r="AS223" s="55">
        <f>SUMIFS(tblMiningDaily[Blast_t],tblMiningDaily[Date],$A223)</f>
        <v/>
      </c>
      <c r="AT223" s="55">
        <f>IF($B223=$B222,$AT222,0)+$AS223</f>
        <v/>
      </c>
      <c r="AU223" s="55">
        <f>$AU222+$AS223</f>
        <v/>
      </c>
      <c r="AV223" s="55">
        <f>SUMIFS(tblMiningDaily[Explosives_kg],tblMiningDaily[Date],$A223)</f>
        <v/>
      </c>
      <c r="AW223" s="55">
        <f>IF($B223=$B222,$AW222,0)+$AV223</f>
        <v/>
      </c>
      <c r="AX223" s="55">
        <f>$AX222+$AV223</f>
        <v/>
      </c>
      <c r="AY223" s="56">
        <f>IFERROR(IF(($AS223)&gt;0,($AV223)/($AS223),""),"")</f>
        <v/>
      </c>
      <c r="AZ223" s="56">
        <f>IFERROR(IF(($AT223)&gt;0,($AW223)/($AT223),""),"")</f>
        <v/>
      </c>
      <c r="BA223" s="56">
        <f>IFERROR(IF(($AU223)&gt;0,($AX223)/($AU223),""),"")</f>
        <v/>
      </c>
      <c r="BB223" s="55">
        <f>SUMIFS(tblMiningDaily[Diesel_L],tblMiningDaily[Date],$A223)</f>
        <v/>
      </c>
      <c r="BC223" s="55">
        <f>IF($B223=$B222,$BC222,0)+$BB223</f>
        <v/>
      </c>
      <c r="BD223" s="55">
        <f>$BD222+$BB223</f>
        <v/>
      </c>
      <c r="BE223" s="55">
        <f>SUMIFS(tblMiningDaily[Dewatering_m3],tblMiningDaily[Date],$A223)</f>
        <v/>
      </c>
      <c r="BF223" s="55">
        <f>IF($B223=$B222,$BF222,0)+$BE223</f>
        <v/>
      </c>
      <c r="BG223" s="55">
        <f>$BG222+$BE223</f>
        <v/>
      </c>
      <c r="BH223" s="57">
        <f>SUMIFS(tblFleet[Calendar_h],tblFleet[Date],$A223,tblFleet[Equipment_Class],"Excavator")</f>
        <v/>
      </c>
      <c r="BI223" s="57">
        <f>IF($B223=$B222,$BI222,0)+$BH223</f>
        <v/>
      </c>
      <c r="BJ223" s="57">
        <f>$BJ222+$BH223</f>
        <v/>
      </c>
      <c r="BK223" s="57">
        <f>SUMIFS(tblFleet[Available_h],tblFleet[Date],$A223,tblFleet[Equipment_Class],"Excavator")</f>
        <v/>
      </c>
      <c r="BL223" s="57">
        <f>IF($B223=$B222,$BL222,0)+$BK223</f>
        <v/>
      </c>
      <c r="BM223" s="57">
        <f>$BM222+$BK223</f>
        <v/>
      </c>
      <c r="BN223" s="57">
        <f>SUMIFS(tblFleet[Operating_h],tblFleet[Date],$A223,tblFleet[Equipment_Class],"Excavator")</f>
        <v/>
      </c>
      <c r="BO223" s="57">
        <f>IF($B223=$B222,$BO222,0)+$BN223</f>
        <v/>
      </c>
      <c r="BP223" s="57">
        <f>$BP222+$BN223</f>
        <v/>
      </c>
      <c r="BQ223" s="67">
        <f>IFERROR(IF(($BH223)&gt;0,($BK223)/($BH223),""),"")</f>
        <v/>
      </c>
      <c r="BR223" s="67">
        <f>IFERROR(IF(($BI223)&gt;0,($BL223)/($BI223),""),"")</f>
        <v/>
      </c>
      <c r="BS223" s="67">
        <f>IFERROR(IF(($BJ223)&gt;0,($BM223)/($BJ223),""),"")</f>
        <v/>
      </c>
      <c r="BT223" s="67">
        <f>IFERROR(IF(($BK223)&gt;0,($BN223)/($BK223),""),"")</f>
        <v/>
      </c>
      <c r="BU223" s="67">
        <f>IFERROR(IF(($BL223)&gt;0,($BO223)/($BL223),""),"")</f>
        <v/>
      </c>
      <c r="BV223" s="67">
        <f>IFERROR(IF(($BM223)&gt;0,($BP223)/($BM223),""),"")</f>
        <v/>
      </c>
      <c r="BW223" s="57">
        <f>SUMIFS(tblFleet[Calendar_h],tblFleet[Date],$A223,tblFleet[Equipment_Class],"Haul Truck")</f>
        <v/>
      </c>
      <c r="BX223" s="57">
        <f>IF($B223=$B222,$BX222,0)+$BW223</f>
        <v/>
      </c>
      <c r="BY223" s="57">
        <f>$BY222+$BW223</f>
        <v/>
      </c>
      <c r="BZ223" s="57">
        <f>SUMIFS(tblFleet[Available_h],tblFleet[Date],$A223,tblFleet[Equipment_Class],"Haul Truck")</f>
        <v/>
      </c>
      <c r="CA223" s="57">
        <f>IF($B223=$B222,$CA222,0)+$BZ223</f>
        <v/>
      </c>
      <c r="CB223" s="57">
        <f>$CB222+$BZ223</f>
        <v/>
      </c>
      <c r="CC223" s="57">
        <f>SUMIFS(tblFleet[Operating_h],tblFleet[Date],$A223,tblFleet[Equipment_Class],"Haul Truck")</f>
        <v/>
      </c>
      <c r="CD223" s="57">
        <f>IF($B223=$B222,$CD222,0)+$CC223</f>
        <v/>
      </c>
      <c r="CE223" s="57">
        <f>$CE222+$CC223</f>
        <v/>
      </c>
      <c r="CF223" s="67">
        <f>IFERROR(IF(($BW223)&gt;0,($BZ223)/($BW223),""),"")</f>
        <v/>
      </c>
      <c r="CG223" s="67">
        <f>IFERROR(IF(($BX223)&gt;0,($CA223)/($BX223),""),"")</f>
        <v/>
      </c>
      <c r="CH223" s="67">
        <f>IFERROR(IF(($BY223)&gt;0,($CB223)/($BY223),""),"")</f>
        <v/>
      </c>
      <c r="CI223" s="67">
        <f>IFERROR(IF(($BZ223)&gt;0,($CC223)/($BZ223),""),"")</f>
        <v/>
      </c>
      <c r="CJ223" s="67">
        <f>IFERROR(IF(($CA223)&gt;0,($CD223)/($CA223),""),"")</f>
        <v/>
      </c>
      <c r="CK223" s="67">
        <f>IFERROR(IF(($CB223)&gt;0,($CE223)/($CB223),""),"")</f>
        <v/>
      </c>
      <c r="CL223" s="55">
        <f>IFERROR(IF(($BN223)&gt;0,($X223+$AD223)/($BN223),""),"")</f>
        <v/>
      </c>
      <c r="CM223" s="55">
        <f>IFERROR(IF(($BO223)&gt;0,($Y223+$AE223)/($BO223),""),"")</f>
        <v/>
      </c>
      <c r="CN223" s="55">
        <f>IFERROR(IF(($BP223)&gt;0,($Z223+$AF223)/($BP223),""),"")</f>
        <v/>
      </c>
      <c r="CO223" s="55">
        <f>IFERROR(IF(($CC223)&gt;0,($X223+$AD223)/($CC223),""),"")</f>
        <v/>
      </c>
      <c r="CP223" s="55">
        <f>IFERROR(IF(($CD223)&gt;0,($Y223+$AE223)/($CD223),""),"")</f>
        <v/>
      </c>
      <c r="CQ223" s="55">
        <f>IFERROR(IF(($CE223)&gt;0,($Z223+$AF223)/($CE223),""),"")</f>
        <v/>
      </c>
      <c r="CR223" s="55">
        <f>SUMIFS(tblPlant[Crushed_t],tblPlant[Date],$A223)</f>
        <v/>
      </c>
      <c r="CS223" s="55">
        <f>IF($B223=$B222,$CS222,0)+$CR223</f>
        <v/>
      </c>
      <c r="CT223" s="55">
        <f>$CT222+$CR223</f>
        <v/>
      </c>
      <c r="CU223" s="55">
        <f>SUMIFS(tblPlant[Milled_t],tblPlant[Date],$A223)</f>
        <v/>
      </c>
      <c r="CV223" s="55">
        <f>IF($B223=$B222,$CV222,0)+$CU223</f>
        <v/>
      </c>
      <c r="CW223" s="55">
        <f>$CW222+$CU223</f>
        <v/>
      </c>
      <c r="CX223" s="55">
        <f>SUMIFS(tblPlant[Feed_oz],tblPlant[Date],$A223)</f>
        <v/>
      </c>
      <c r="CY223" s="55">
        <f>IF($B223=$B222,$CY222,0)+$CX223</f>
        <v/>
      </c>
      <c r="CZ223" s="55">
        <f>$CZ222+$CX223</f>
        <v/>
      </c>
      <c r="DA223" s="55">
        <f>SUMIFS(tblPlant[Tails_oz],tblPlant[Date],$A223)</f>
        <v/>
      </c>
      <c r="DB223" s="55">
        <f>IF($B223=$B222,$DB222,0)+$DA223</f>
        <v/>
      </c>
      <c r="DC223" s="55">
        <f>$DC222+$DA223</f>
        <v/>
      </c>
      <c r="DD223" s="55">
        <f>SUMIFS(tblPlant[Recovered_oz],tblPlant[Date],$A223)</f>
        <v/>
      </c>
      <c r="DE223" s="55">
        <f>IF($B223=$B222,$DE222,0)+$DD223</f>
        <v/>
      </c>
      <c r="DF223" s="55">
        <f>$DF222+$DD223</f>
        <v/>
      </c>
      <c r="DG223" s="55">
        <f>SUMIFS(tblPlant[Milled_t],tblPlant[Date],$A223,tblPlant[Head_Grade_gpt],"&lt;&gt;")</f>
        <v/>
      </c>
      <c r="DH223" s="55">
        <f>IF($B223=$B222,$DH222,0)+$DG223</f>
        <v/>
      </c>
      <c r="DI223" s="55">
        <f>$DI222+$DG223</f>
        <v/>
      </c>
      <c r="DJ223" s="55">
        <f>SUMIFS(tblPlant[Milled_t],tblPlant[Date],$A223,tblPlant[Tails_Grade_gpt],"&lt;&gt;")</f>
        <v/>
      </c>
      <c r="DK223" s="55">
        <f>IF($B223=$B222,$DK222,0)+$DJ223</f>
        <v/>
      </c>
      <c r="DL223" s="55">
        <f>$DL222+$DJ223</f>
        <v/>
      </c>
      <c r="DM223" s="55">
        <f>SUMIFS(tblPlant[Feed_oz],tblPlant[Date],$A223,tblPlant[Tails_Grade_gpt],"&lt;&gt;")</f>
        <v/>
      </c>
      <c r="DN223" s="55">
        <f>IF($B223=$B222,$DN222,0)+$DM223</f>
        <v/>
      </c>
      <c r="DO223" s="55">
        <f>$DO222+$DM223</f>
        <v/>
      </c>
      <c r="DP223" s="55">
        <f>SUMIFS(tblPlant[Milled_t],tblPlant[Date],$A223,tblPlant[Mill_Run_h],"&lt;&gt;")</f>
        <v/>
      </c>
      <c r="DQ223" s="55">
        <f>IF($B223=$B222,$DQ222,0)+$DP223</f>
        <v/>
      </c>
      <c r="DR223" s="55">
        <f>$DR222+$DP223</f>
        <v/>
      </c>
      <c r="DS223" s="56">
        <f>IFERROR(IF(($DG223)&gt;0,($CX223*cfg_TroyOz)/($DG223),""),"")</f>
        <v/>
      </c>
      <c r="DT223" s="56">
        <f>IFERROR(IF(($DH223)&gt;0,($CY223*cfg_TroyOz)/($DH223),""),"")</f>
        <v/>
      </c>
      <c r="DU223" s="56">
        <f>IFERROR(IF(($DI223)&gt;0,($CZ223*cfg_TroyOz)/($DI223),""),"")</f>
        <v/>
      </c>
      <c r="DV223" s="56">
        <f>IFERROR(IF(($DJ223)&gt;0,($DA223*cfg_TroyOz)/($DJ223),""),"")</f>
        <v/>
      </c>
      <c r="DW223" s="56">
        <f>IFERROR(IF(($DK223)&gt;0,($DB223*cfg_TroyOz)/($DK223),""),"")</f>
        <v/>
      </c>
      <c r="DX223" s="56">
        <f>IFERROR(IF(($DL223)&gt;0,($DC223*cfg_TroyOz)/($DL223),""),"")</f>
        <v/>
      </c>
      <c r="DY223" s="67">
        <f>IFERROR(IF(($DM223)&gt;0,($DD223)/($DM223),""),"")</f>
        <v/>
      </c>
      <c r="DZ223" s="67">
        <f>IFERROR(IF(($DN223)&gt;0,($DE223)/($DN223),""),"")</f>
        <v/>
      </c>
      <c r="EA223" s="67">
        <f>IFERROR(IF(($DO223)&gt;0,($DF223)/($DO223),""),"")</f>
        <v/>
      </c>
      <c r="EB223" s="55">
        <f>SUMIFS(tblPlant[Gravity_Gold_oz],tblPlant[Date],$A223)</f>
        <v/>
      </c>
      <c r="EC223" s="55">
        <f>IF($B223=$B222,$EC222,0)+$EB223</f>
        <v/>
      </c>
      <c r="ED223" s="55">
        <f>$ED222+$EB223</f>
        <v/>
      </c>
      <c r="EE223" s="67">
        <f>IFERROR(IF(($DD223)&gt;0,($EB223)/($DD223),""),"")</f>
        <v/>
      </c>
      <c r="EF223" s="67">
        <f>IFERROR(IF(($DE223)&gt;0,($EC223)/($DE223),""),"")</f>
        <v/>
      </c>
      <c r="EG223" s="67">
        <f>IFERROR(IF(($DF223)&gt;0,($ED223)/($DF223),""),"")</f>
        <v/>
      </c>
      <c r="EH223" s="55">
        <f>SUMIFS(tblPlant[Gold_Poured_oz],tblPlant[Date],$A223)</f>
        <v/>
      </c>
      <c r="EI223" s="55">
        <f>IF($B223=$B222,$EI222,0)+$EH223</f>
        <v/>
      </c>
      <c r="EJ223" s="55">
        <f>$EJ222+$EH223</f>
        <v/>
      </c>
      <c r="EK223" s="57">
        <f>SUMIFS(tblPlant[Mill_Run_h],tblPlant[Date],$A223)</f>
        <v/>
      </c>
      <c r="EL223" s="57">
        <f>IF($B223=$B222,$EL222,0)+$EK223</f>
        <v/>
      </c>
      <c r="EM223" s="57">
        <f>$EM222+$EK223</f>
        <v/>
      </c>
      <c r="EN223" s="57">
        <f>SUMIFS(tblPlant[Mill_Planned_Maint_h],tblPlant[Date],$A223)</f>
        <v/>
      </c>
      <c r="EO223" s="57">
        <f>IF($B223=$B222,$EO222,0)+$EN223</f>
        <v/>
      </c>
      <c r="EP223" s="57">
        <f>$EP222+$EN223</f>
        <v/>
      </c>
      <c r="EQ223" s="57">
        <f>SUMIFS(tblPlant[Mill_Unplanned_Down_h],tblPlant[Date],$A223)</f>
        <v/>
      </c>
      <c r="ER223" s="57">
        <f>IF($B223=$B222,$ER222,0)+$EQ223</f>
        <v/>
      </c>
      <c r="ES223" s="57">
        <f>$ES222+$EQ223</f>
        <v/>
      </c>
      <c r="ET223" s="57">
        <f>IF(COUNTIFS(tblPlant[Date],$A223,tblPlant[Mill_Run_h],"&lt;&gt;")+COUNTIFS(tblPlant[Date],$A223,tblPlant[Mill_Planned_Maint_h],"&lt;&gt;")+COUNTIFS(tblPlant[Date],$A223,tblPlant[Mill_Unplanned_Down_h],"&lt;&gt;")&gt;0,cfg_HoursPerDay,0)</f>
        <v/>
      </c>
      <c r="EU223" s="57">
        <f>IF($B223=$B222,$EU222,0)+$ET223</f>
        <v/>
      </c>
      <c r="EV223" s="57">
        <f>$EV222+$ET223</f>
        <v/>
      </c>
      <c r="EW223" s="57">
        <f>SUMIFS(tblPlant[Crusher_Run_h],tblPlant[Date],$A223)</f>
        <v/>
      </c>
      <c r="EX223" s="57">
        <f>IF($B223=$B222,$EX222,0)+$EW223</f>
        <v/>
      </c>
      <c r="EY223" s="57">
        <f>$EY222+$EW223</f>
        <v/>
      </c>
      <c r="EZ223" s="55">
        <f>IFERROR(IF(($EK223)&gt;0,($DP223)/($EK223),""),"")</f>
        <v/>
      </c>
      <c r="FA223" s="55">
        <f>IFERROR(IF(($EL223)&gt;0,($DQ223)/($EL223),""),"")</f>
        <v/>
      </c>
      <c r="FB223" s="55">
        <f>IFERROR(IF(($EM223)&gt;0,($DR223)/($EM223),""),"")</f>
        <v/>
      </c>
      <c r="FC223" s="67">
        <f>IFERROR(IF(($ET223)&gt;0,($ET223-$EN223-$EQ223)/($ET223),""),"")</f>
        <v/>
      </c>
      <c r="FD223" s="67">
        <f>IFERROR(IF(($EU223)&gt;0,($EU223-$EO223-$ER223)/($EU223),""),"")</f>
        <v/>
      </c>
      <c r="FE223" s="67">
        <f>IFERROR(IF(($EV223)&gt;0,($EV223-$EP223-$ES223)/($EV223),""),"")</f>
        <v/>
      </c>
      <c r="FF223" s="67">
        <f>IFERROR(IF(($ET223-$EN223-$EQ223)&gt;0,($EK223)/($ET223-$EN223-$EQ223),""),"")</f>
        <v/>
      </c>
      <c r="FG223" s="67">
        <f>IFERROR(IF(($EU223-$EO223-$ER223)&gt;0,($EL223)/($EU223-$EO223-$ER223),""),"")</f>
        <v/>
      </c>
      <c r="FH223" s="67">
        <f>IFERROR(IF(($EV223-$EP223-$ES223)&gt;0,($EM223)/($EV223-$EP223-$ES223),""),"")</f>
        <v/>
      </c>
      <c r="FI223" s="55">
        <f>SUMIFS(tblPlant[Cyanide_kg],tblPlant[Date],$A223)</f>
        <v/>
      </c>
      <c r="FJ223" s="55">
        <f>IF($B223=$B222,$FJ222,0)+$FI223</f>
        <v/>
      </c>
      <c r="FK223" s="55">
        <f>$FK222+$FI223</f>
        <v/>
      </c>
      <c r="FL223" s="55">
        <f>SUMIFS(tblPlant[Lime_kg],tblPlant[Date],$A223)</f>
        <v/>
      </c>
      <c r="FM223" s="55">
        <f>IF($B223=$B222,$FM222,0)+$FL223</f>
        <v/>
      </c>
      <c r="FN223" s="55">
        <f>$FN222+$FL223</f>
        <v/>
      </c>
      <c r="FO223" s="55">
        <f>SUMIFS(tblPlant[Grinding_Media_kg],tblPlant[Date],$A223)</f>
        <v/>
      </c>
      <c r="FP223" s="55">
        <f>IF($B223=$B222,$FP222,0)+$FO223</f>
        <v/>
      </c>
      <c r="FQ223" s="55">
        <f>$FQ222+$FO223</f>
        <v/>
      </c>
      <c r="FR223" s="55">
        <f>SUMIFS(tblPlant[Power_kWh],tblPlant[Date],$A223)</f>
        <v/>
      </c>
      <c r="FS223" s="55">
        <f>IF($B223=$B222,$FS222,0)+$FR223</f>
        <v/>
      </c>
      <c r="FT223" s="55">
        <f>$FT222+$FR223</f>
        <v/>
      </c>
      <c r="FU223" s="55">
        <f>SUMIFS(tblPlant[Raw_Water_m3],tblPlant[Date],$A223)</f>
        <v/>
      </c>
      <c r="FV223" s="55">
        <f>IF($B223=$B222,$FV222,0)+$FU223</f>
        <v/>
      </c>
      <c r="FW223" s="55">
        <f>$FW222+$FU223</f>
        <v/>
      </c>
      <c r="FX223" s="56">
        <f>IFERROR(IF(($CU223)&gt;0,($FI223)/($CU223),""),"")</f>
        <v/>
      </c>
      <c r="FY223" s="56">
        <f>IFERROR(IF(($CV223)&gt;0,($FJ223)/($CV223),""),"")</f>
        <v/>
      </c>
      <c r="FZ223" s="56">
        <f>IFERROR(IF(($CW223)&gt;0,($FK223)/($CW223),""),"")</f>
        <v/>
      </c>
      <c r="GA223" s="56">
        <f>IFERROR(IF(($CU223)&gt;0,($FL223)/($CU223),""),"")</f>
        <v/>
      </c>
      <c r="GB223" s="56">
        <f>IFERROR(IF(($CV223)&gt;0,($FM223)/($CV223),""),"")</f>
        <v/>
      </c>
      <c r="GC223" s="56">
        <f>IFERROR(IF(($CW223)&gt;0,($FN223)/($CW223),""),"")</f>
        <v/>
      </c>
      <c r="GD223" s="56">
        <f>IFERROR(IF(($CU223)&gt;0,($FO223)/($CU223),""),"")</f>
        <v/>
      </c>
      <c r="GE223" s="56">
        <f>IFERROR(IF(($CV223)&gt;0,($FP223)/($CV223),""),"")</f>
        <v/>
      </c>
      <c r="GF223" s="56">
        <f>IFERROR(IF(($CW223)&gt;0,($FQ223)/($CW223),""),"")</f>
        <v/>
      </c>
      <c r="GG223" s="79">
        <f>IFERROR(IF(($CU223)&gt;0,($FR223)/($CU223),""),"")</f>
        <v/>
      </c>
      <c r="GH223" s="79">
        <f>IFERROR(IF(($CV223)&gt;0,($FS223)/($CV223),""),"")</f>
        <v/>
      </c>
      <c r="GI223" s="79">
        <f>IFERROR(IF(($CW223)&gt;0,($FT223)/($CW223),""),"")</f>
        <v/>
      </c>
      <c r="GJ223" s="56">
        <f>IFERROR(IF(($CU223)&gt;0,($FU223)/($CU223),""),"")</f>
        <v/>
      </c>
      <c r="GK223" s="56">
        <f>IFERROR(IF(($CV223)&gt;0,($FV223)/($CV223),""),"")</f>
        <v/>
      </c>
      <c r="GL223" s="56">
        <f>IFERROR(IF(($CW223)&gt;0,($FW223)/($CW223),""),"")</f>
        <v/>
      </c>
      <c r="GM223" s="55">
        <f>IF(SUMIFS(tblPlant[GIC_oz],tblPlant[Date],$A223)&gt;0,SUMIFS(tblPlant[GIC_oz],tblPlant[Date],$A223),"")</f>
        <v/>
      </c>
      <c r="GN223" s="55">
        <f>SUMIFS(tblGold[Gold_oz],tblGold[Date],$A223,tblGold[Type],"Shipment")</f>
        <v/>
      </c>
      <c r="GO223" s="55">
        <f>IF($B223=$B222,$GO222,0)+$GN223</f>
        <v/>
      </c>
      <c r="GP223" s="55">
        <f>$GP222+$GN223</f>
        <v/>
      </c>
      <c r="GQ223" s="55">
        <f>SUMIFS(tblGold[Gold_oz],tblGold[Date],$A223,tblGold[Type],"Sale")</f>
        <v/>
      </c>
      <c r="GR223" s="55">
        <f>IF($B223=$B222,$GR222,0)+$GQ223</f>
        <v/>
      </c>
      <c r="GS223" s="55">
        <f>$GS222+$GQ223</f>
        <v/>
      </c>
      <c r="GT223" s="55">
        <f>SUMIFS(tblGold[Dore_kg],tblGold[Date],$A223,tblGold[Type],"Shipment")</f>
        <v/>
      </c>
      <c r="GU223" s="55">
        <f>IF($B223=$B222,$GU222,0)+$GT223</f>
        <v/>
      </c>
      <c r="GV223" s="55">
        <f>$GV222+$GT223</f>
        <v/>
      </c>
      <c r="GW223" s="57">
        <f>SUMIFS(tblSafety[Hours_Total],tblSafety[Date],$A223)</f>
        <v/>
      </c>
      <c r="GX223" s="57">
        <f>IF($B223=$B222,$GX222,0)+$GW223</f>
        <v/>
      </c>
      <c r="GY223" s="57">
        <f>$GY222+$GW223</f>
        <v/>
      </c>
      <c r="GZ223" s="62">
        <f>SUMIFS(tblSafety[Fatality],tblSafety[Date],$A223)</f>
        <v/>
      </c>
      <c r="HA223" s="62">
        <f>IF($B223=$B222,$HA222,0)+$GZ223</f>
        <v/>
      </c>
      <c r="HB223" s="62">
        <f>$HB222+$GZ223</f>
        <v/>
      </c>
      <c r="HC223" s="62">
        <f>SUMIFS(tblSafety[LTI],tblSafety[Date],$A223)</f>
        <v/>
      </c>
      <c r="HD223" s="62">
        <f>IF($B223=$B222,$HD222,0)+$HC223</f>
        <v/>
      </c>
      <c r="HE223" s="62">
        <f>$HE222+$HC223</f>
        <v/>
      </c>
      <c r="HF223" s="62">
        <f>SUMIFS(tblSafety[RWI],tblSafety[Date],$A223)</f>
        <v/>
      </c>
      <c r="HG223" s="62">
        <f>IF($B223=$B222,$HG222,0)+$HF223</f>
        <v/>
      </c>
      <c r="HH223" s="62">
        <f>$HH222+$HF223</f>
        <v/>
      </c>
      <c r="HI223" s="62">
        <f>SUMIFS(tblSafety[MTI],tblSafety[Date],$A223)</f>
        <v/>
      </c>
      <c r="HJ223" s="62">
        <f>IF($B223=$B222,$HJ222,0)+$HI223</f>
        <v/>
      </c>
      <c r="HK223" s="62">
        <f>$HK222+$HI223</f>
        <v/>
      </c>
      <c r="HL223" s="62">
        <f>SUMIFS(tblSafety[FAI],tblSafety[Date],$A223)</f>
        <v/>
      </c>
      <c r="HM223" s="62">
        <f>IF($B223=$B222,$HM222,0)+$HL223</f>
        <v/>
      </c>
      <c r="HN223" s="62">
        <f>$HN222+$HL223</f>
        <v/>
      </c>
      <c r="HO223" s="62">
        <f>SUMIFS(tblSafety[Recordables],tblSafety[Date],$A223)</f>
        <v/>
      </c>
      <c r="HP223" s="62">
        <f>IF($B223=$B222,$HP222,0)+$HO223</f>
        <v/>
      </c>
      <c r="HQ223" s="62">
        <f>$HQ222+$HO223</f>
        <v/>
      </c>
      <c r="HR223" s="62">
        <f>SUMIFS(tblSafety[Near_Miss],tblSafety[Date],$A223)</f>
        <v/>
      </c>
      <c r="HS223" s="62">
        <f>IF($B223=$B222,$HS222,0)+$HR223</f>
        <v/>
      </c>
      <c r="HT223" s="62">
        <f>$HT222+$HR223</f>
        <v/>
      </c>
      <c r="HU223" s="62">
        <f>SUMIFS(tblSafety[Hazard_Reports],tblSafety[Date],$A223)</f>
        <v/>
      </c>
      <c r="HV223" s="62">
        <f>IF($B223=$B222,$HV222,0)+$HU223</f>
        <v/>
      </c>
      <c r="HW223" s="62">
        <f>$HW222+$HU223</f>
        <v/>
      </c>
      <c r="HX223" s="62">
        <f>SUMIFS(tblSafety[HPI],tblSafety[Date],$A223)</f>
        <v/>
      </c>
      <c r="HY223" s="62">
        <f>IF($B223=$B222,$HY222,0)+$HX223</f>
        <v/>
      </c>
      <c r="HZ223" s="62">
        <f>$HZ222+$HX223</f>
        <v/>
      </c>
      <c r="IA223" s="62">
        <f>SUMIFS(tblSafety[Env_Incidents],tblSafety[Date],$A223)</f>
        <v/>
      </c>
      <c r="IB223" s="62">
        <f>IF($B223=$B222,$IB222,0)+$IA223</f>
        <v/>
      </c>
      <c r="IC223" s="62">
        <f>$IC222+$IA223</f>
        <v/>
      </c>
      <c r="ID223" s="62">
        <f>SUMIFS(tblSafety[Community_Incidents],tblSafety[Date],$A223)</f>
        <v/>
      </c>
      <c r="IE223" s="62">
        <f>IF($B223=$B222,$IE222,0)+$ID223</f>
        <v/>
      </c>
      <c r="IF223" s="62">
        <f>$IF222+$ID223</f>
        <v/>
      </c>
      <c r="IG223" s="62">
        <f>SUMIFS(tblSafety[Vehicle_Incidents],tblSafety[Date],$A223)</f>
        <v/>
      </c>
      <c r="IH223" s="62">
        <f>IF($B223=$B222,$IH222,0)+$IG223</f>
        <v/>
      </c>
      <c r="II223" s="62">
        <f>$II222+$IG223</f>
        <v/>
      </c>
      <c r="IJ223" s="62">
        <f>SUMIFS(tblSafety[Toolbox_Talks],tblSafety[Date],$A223)</f>
        <v/>
      </c>
      <c r="IK223" s="62">
        <f>IF($B223=$B222,$IK222,0)+$IJ223</f>
        <v/>
      </c>
      <c r="IL223" s="62">
        <f>$IL222+$IJ223</f>
        <v/>
      </c>
      <c r="IM223" s="62">
        <f>SUMIFS(tblSafety[Inspections],tblSafety[Date],$A223)</f>
        <v/>
      </c>
      <c r="IN223" s="62">
        <f>IF($B223=$B222,$IN222,0)+$IM223</f>
        <v/>
      </c>
      <c r="IO223" s="62">
        <f>$IO222+$IM223</f>
        <v/>
      </c>
      <c r="IP223" s="56">
        <f>IFERROR((SUMIFS(tblSafety[Recordables],tblSafety[Date],"&gt;="&amp;EDATE($E223,-12),tblSafety[Date],"&lt;="&amp;$A223)+SUMIFS(tblSafetyHistory[Recordables],tblSafetyHistory[Month],"&gt;="&amp;EDATE($E223,-12),tblSafetyHistory[Month],"&lt;"&amp;$E223,tblSafetyHistory[Use],1))/(SUMIFS(tblSafety[Hours_Total],tblSafety[Date],"&gt;="&amp;EDATE($E223,-12),tblSafety[Date],"&lt;="&amp;$A223)+SUMIFS(tblSafetyHistory[Hours_Total],tblSafetyHistory[Month],"&gt;="&amp;EDATE($E223,-12),tblSafetyHistory[Month],"&lt;"&amp;$E223,tblSafetyHistory[Use],1))*cfg_RateBasisHours,"")</f>
        <v/>
      </c>
      <c r="IQ223" s="56">
        <f>IFERROR((SUMIFS(tblSafety[LTI],tblSafety[Date],"&gt;="&amp;EDATE($E223,-12),tblSafety[Date],"&lt;="&amp;$A223)+SUMIFS(tblSafetyHistory[LTI],tblSafetyHistory[Month],"&gt;="&amp;EDATE($E223,-12),tblSafetyHistory[Month],"&lt;"&amp;$E223,tblSafetyHistory[Use],1))/(SUMIFS(tblSafety[Hours_Total],tblSafety[Date],"&gt;="&amp;EDATE($E223,-12),tblSafety[Date],"&lt;="&amp;$A223)+SUMIFS(tblSafetyHistory[Hours_Total],tblSafetyHistory[Month],"&gt;="&amp;EDATE($E223,-12),tblSafetyHistory[Month],"&lt;"&amp;$E223,tblSafetyHistory[Use],1))*cfg_RateBasisHours,"")</f>
        <v/>
      </c>
      <c r="IR223" s="62">
        <f>IF(MAX(N(cfg_PriorLTIDate),_xlfn.MAXIFS(tblSafety[Date],tblSafety[LTI],"&gt;0",tblSafety[Date],"&lt;="&amp;$A223))=0,"",$A223-MAX(N(cfg_PriorLTIDate),_xlfn.MAXIFS(tblSafety[Date],tblSafety[LTI],"&gt;0",tblSafety[Date],"&lt;="&amp;$A223)))</f>
        <v/>
      </c>
      <c r="IS223" s="55">
        <f>SUMIFS(tblBudget[Ore_Mined_t],tblBudget[Month],$E223)</f>
        <v/>
      </c>
      <c r="IT223" s="55">
        <f>$IS223*$C223/$D223</f>
        <v/>
      </c>
      <c r="IU223" s="55">
        <f>SUMIFS(tblBudget[Ore_Mined_t],tblBudget[Month],"&lt;"&amp;$E223)+$IT223</f>
        <v/>
      </c>
      <c r="IV223" s="55">
        <f>SUMIFS(tblBudget[Ore_oz],tblBudget[Month],$E223)</f>
        <v/>
      </c>
      <c r="IW223" s="55">
        <f>$IV223*$C223/$D223</f>
        <v/>
      </c>
      <c r="IX223" s="55">
        <f>SUMIFS(tblBudget[Ore_oz],tblBudget[Month],"&lt;"&amp;$E223)+$IW223</f>
        <v/>
      </c>
      <c r="IY223" s="55">
        <f>SUMIFS(tblBudget[Ore_Mined_t],tblBudget[Month],$E223)</f>
        <v/>
      </c>
      <c r="IZ223" s="55">
        <f>$IY223*$C223/$D223</f>
        <v/>
      </c>
      <c r="JA223" s="55">
        <f>SUMIFS(tblBudget[Ore_Mined_t],tblBudget[Month],"&lt;"&amp;$E223)+$IZ223</f>
        <v/>
      </c>
      <c r="JB223" s="56">
        <f>IFERROR(IF(($IY223)&gt;0,($IV223*cfg_TroyOz)/($IY223),""),"")</f>
        <v/>
      </c>
      <c r="JC223" s="56">
        <f>IFERROR(IF(($IZ223)&gt;0,($IW223*cfg_TroyOz)/($IZ223),""),"")</f>
        <v/>
      </c>
      <c r="JD223" s="56">
        <f>IFERROR(IF(($JA223)&gt;0,($IX223*cfg_TroyOz)/($JA223),""),"")</f>
        <v/>
      </c>
      <c r="JE223" s="55">
        <f>SUMIFS(tblBudget[Waste_t],tblBudget[Month],$E223)</f>
        <v/>
      </c>
      <c r="JF223" s="55">
        <f>$JE223*$C223/$D223</f>
        <v/>
      </c>
      <c r="JG223" s="55">
        <f>SUMIFS(tblBudget[Waste_t],tblBudget[Month],"&lt;"&amp;$E223)+$JF223</f>
        <v/>
      </c>
      <c r="JH223" s="55">
        <f>SUMIFS(tblBudget[TMM_t],tblBudget[Month],$E223)</f>
        <v/>
      </c>
      <c r="JI223" s="55">
        <f>$JH223*$C223/$D223</f>
        <v/>
      </c>
      <c r="JJ223" s="55">
        <f>SUMIFS(tblBudget[TMM_t],tblBudget[Month],"&lt;"&amp;$E223)+$JI223</f>
        <v/>
      </c>
      <c r="JK223" s="56">
        <f>IFERROR(IF(($IS223)&gt;0,($JE223)/($IS223),""),"")</f>
        <v/>
      </c>
      <c r="JL223" s="56">
        <f>IFERROR(IF(($IT223)&gt;0,($JF223)/($IT223),""),"")</f>
        <v/>
      </c>
      <c r="JM223" s="56">
        <f>IFERROR(IF(($IU223)&gt;0,($JG223)/($IU223),""),"")</f>
        <v/>
      </c>
      <c r="JN223" s="55">
        <f>SUMIFS(tblBudget[Drill_m],tblBudget[Month],$E223)</f>
        <v/>
      </c>
      <c r="JO223" s="55">
        <f>$JN223*$C223/$D223</f>
        <v/>
      </c>
      <c r="JP223" s="55">
        <f>SUMIFS(tblBudget[Drill_m],tblBudget[Month],"&lt;"&amp;$E223)+$JO223</f>
        <v/>
      </c>
      <c r="JQ223" s="55">
        <f>SUMIFS(tblBudget[Diesel_L],tblBudget[Month],$E223)</f>
        <v/>
      </c>
      <c r="JR223" s="55">
        <f>$JQ223*$C223/$D223</f>
        <v/>
      </c>
      <c r="JS223" s="55">
        <f>SUMIFS(tblBudget[Diesel_L],tblBudget[Month],"&lt;"&amp;$E223)+$JR223</f>
        <v/>
      </c>
      <c r="JT223" s="55">
        <f>SUMIFS(tblBudget[Milled_t],tblBudget[Month],$E223)</f>
        <v/>
      </c>
      <c r="JU223" s="55">
        <f>$JT223*$C223/$D223</f>
        <v/>
      </c>
      <c r="JV223" s="55">
        <f>SUMIFS(tblBudget[Milled_t],tblBudget[Month],"&lt;"&amp;$E223)+$JU223</f>
        <v/>
      </c>
      <c r="JW223" s="55">
        <f>SUMIFS(tblBudget[Feed_oz],tblBudget[Month],$E223)</f>
        <v/>
      </c>
      <c r="JX223" s="55">
        <f>$JW223*$C223/$D223</f>
        <v/>
      </c>
      <c r="JY223" s="55">
        <f>SUMIFS(tblBudget[Feed_oz],tblBudget[Month],"&lt;"&amp;$E223)+$JX223</f>
        <v/>
      </c>
      <c r="JZ223" s="55">
        <f>SUMIFS(tblBudget[Recovered_oz],tblBudget[Month],$E223)</f>
        <v/>
      </c>
      <c r="KA223" s="55">
        <f>$JZ223*$C223/$D223</f>
        <v/>
      </c>
      <c r="KB223" s="55">
        <f>SUMIFS(tblBudget[Recovered_oz],tblBudget[Month],"&lt;"&amp;$E223)+$KA223</f>
        <v/>
      </c>
      <c r="KC223" s="55">
        <f>SUMIFS(tblBudget[Milled_t],tblBudget[Month],$E223)</f>
        <v/>
      </c>
      <c r="KD223" s="55">
        <f>$KC223*$C223/$D223</f>
        <v/>
      </c>
      <c r="KE223" s="55">
        <f>SUMIFS(tblBudget[Milled_t],tblBudget[Month],"&lt;"&amp;$E223)+$KD223</f>
        <v/>
      </c>
      <c r="KF223" s="55">
        <f>SUMIFS(tblBudget[Feed_oz],tblBudget[Month],$E223)</f>
        <v/>
      </c>
      <c r="KG223" s="55">
        <f>$KF223*$C223/$D223</f>
        <v/>
      </c>
      <c r="KH223" s="55">
        <f>SUMIFS(tblBudget[Feed_oz],tblBudget[Month],"&lt;"&amp;$E223)+$KG223</f>
        <v/>
      </c>
      <c r="KI223" s="56">
        <f>IFERROR(IF(($KC223)&gt;0,($JW223*cfg_TroyOz)/($KC223),""),"")</f>
        <v/>
      </c>
      <c r="KJ223" s="56">
        <f>IFERROR(IF(($KD223)&gt;0,($JX223*cfg_TroyOz)/($KD223),""),"")</f>
        <v/>
      </c>
      <c r="KK223" s="56">
        <f>IFERROR(IF(($KE223)&gt;0,($JY223*cfg_TroyOz)/($KE223),""),"")</f>
        <v/>
      </c>
      <c r="KL223" s="67">
        <f>IFERROR(IF(($KF223)&gt;0,($JZ223)/($KF223),""),"")</f>
        <v/>
      </c>
      <c r="KM223" s="67">
        <f>IFERROR(IF(($KG223)&gt;0,($KA223)/($KG223),""),"")</f>
        <v/>
      </c>
      <c r="KN223" s="67">
        <f>IFERROR(IF(($KH223)&gt;0,($KB223)/($KH223),""),"")</f>
        <v/>
      </c>
      <c r="KO223" s="55">
        <f>SUMIFS(tblBudget[Gold_Poured_oz],tblBudget[Month],$E223)</f>
        <v/>
      </c>
      <c r="KP223" s="55">
        <f>$KO223*$C223/$D223</f>
        <v/>
      </c>
      <c r="KQ223" s="55">
        <f>SUMIFS(tblBudget[Gold_Poured_oz],tblBudget[Month],"&lt;"&amp;$E223)+$KP223</f>
        <v/>
      </c>
      <c r="KR223" s="57">
        <f>SUMIFS(tblBudget[Hours_Worked],tblBudget[Month],$E223)</f>
        <v/>
      </c>
      <c r="KS223" s="57">
        <f>$KR223*$C223/$D223</f>
        <v/>
      </c>
      <c r="KT223" s="57">
        <f>SUMIFS(tblBudget[Hours_Worked],tblBudget[Month],"&lt;"&amp;$E223)+$KS223</f>
        <v/>
      </c>
    </row>
    <row r="224">
      <c r="A224" s="54" t="n">
        <v>46245</v>
      </c>
      <c r="B224">
        <f>MONTH($A224)</f>
        <v/>
      </c>
      <c r="C224">
        <f>DAY($A224)</f>
        <v/>
      </c>
      <c r="D224">
        <f>DAY(EOMONTH($A224,0))</f>
        <v/>
      </c>
      <c r="E224" s="54">
        <f>DATE(YEAR($A224),MONTH($A224),1)</f>
        <v/>
      </c>
      <c r="F224" s="55">
        <f>SUMIFS(tblMovement[Tonnes_t],tblMovement[Date],$A224,tblMovement[Is_Ore],1,tblMovement[Source_Type],"Pit")</f>
        <v/>
      </c>
      <c r="G224" s="55">
        <f>IF($B224=$B223,$G223,0)+$F224</f>
        <v/>
      </c>
      <c r="H224" s="55">
        <f>$H223+$F224</f>
        <v/>
      </c>
      <c r="I224" s="55">
        <f>SUMIFS(tblMovement[Ore_oz],tblMovement[Date],$A224,tblMovement[Source_Type],"Pit")</f>
        <v/>
      </c>
      <c r="J224" s="55">
        <f>IF($B224=$B223,$J223,0)+$I224</f>
        <v/>
      </c>
      <c r="K224" s="55">
        <f>$K223+$I224</f>
        <v/>
      </c>
      <c r="L224" s="55">
        <f>SUMIFS(tblMovement[Tonnes_t],tblMovement[Date],$A224,tblMovement[Is_Ore],1,tblMovement[Source_Type],"Pit",tblMovement[Grade_gpt],"&lt;&gt;")</f>
        <v/>
      </c>
      <c r="M224" s="55">
        <f>IF($B224=$B223,$M223,0)+$L224</f>
        <v/>
      </c>
      <c r="N224" s="55">
        <f>$N223+$L224</f>
        <v/>
      </c>
      <c r="O224" s="56">
        <f>IFERROR(IF(($L224)&gt;0,($I224*cfg_TroyOz)/($L224),""),"")</f>
        <v/>
      </c>
      <c r="P224" s="56">
        <f>IFERROR(IF(($M224)&gt;0,($J224*cfg_TroyOz)/($M224),""),"")</f>
        <v/>
      </c>
      <c r="Q224" s="56">
        <f>IFERROR(IF(($N224)&gt;0,($K224*cfg_TroyOz)/($N224),""),"")</f>
        <v/>
      </c>
      <c r="R224" s="55">
        <f>$F224-$L224</f>
        <v/>
      </c>
      <c r="S224" s="55">
        <f>IF($B224=$B223,$S223,0)+$R224</f>
        <v/>
      </c>
      <c r="T224" s="55">
        <f>$T223+$R224</f>
        <v/>
      </c>
      <c r="U224" s="55">
        <f>SUMIFS(tblMovement[Tonnes_t],tblMovement[Date],$A224,tblMovement[Is_Ore],0,tblMovement[Source_Type],"Pit")</f>
        <v/>
      </c>
      <c r="V224" s="55">
        <f>IF($B224=$B223,$V223,0)+$U224</f>
        <v/>
      </c>
      <c r="W224" s="55">
        <f>$W223+$U224</f>
        <v/>
      </c>
      <c r="X224" s="55">
        <f>$F224+$U224</f>
        <v/>
      </c>
      <c r="Y224" s="55">
        <f>IF($B224=$B223,$Y223,0)+$X224</f>
        <v/>
      </c>
      <c r="Z224" s="55">
        <f>$Z223+$X224</f>
        <v/>
      </c>
      <c r="AA224" s="56">
        <f>IFERROR(IF(($F224)&gt;0,($U224)/($F224),""),"")</f>
        <v/>
      </c>
      <c r="AB224" s="56">
        <f>IFERROR(IF(($G224)&gt;0,($V224)/($G224),""),"")</f>
        <v/>
      </c>
      <c r="AC224" s="56">
        <f>IFERROR(IF(($H224)&gt;0,($W224)/($H224),""),"")</f>
        <v/>
      </c>
      <c r="AD224" s="55">
        <f>SUMIFS(tblMovement[Tonnes_t],tblMovement[Date],$A224,tblMovement[Source_Type],"Stockpile")</f>
        <v/>
      </c>
      <c r="AE224" s="55">
        <f>IF($B224=$B223,$AE223,0)+$AD224</f>
        <v/>
      </c>
      <c r="AF224" s="55">
        <f>$AF223+$AD224</f>
        <v/>
      </c>
      <c r="AG224" s="55">
        <f>SUMIFS(tblMovement[Tonnes_t],tblMovement[Date],$A224)</f>
        <v/>
      </c>
      <c r="AH224" s="55">
        <f>IF($B224=$B223,$AH223,0)+$AG224</f>
        <v/>
      </c>
      <c r="AI224" s="55">
        <f>$AI223+$AG224</f>
        <v/>
      </c>
      <c r="AJ224" s="55">
        <f>$AG224-$X224-$AD224</f>
        <v/>
      </c>
      <c r="AK224" s="55">
        <f>IF($B224=$B223,$AK223,0)+$AJ224</f>
        <v/>
      </c>
      <c r="AL224" s="55">
        <f>$AL223+$AJ224</f>
        <v/>
      </c>
      <c r="AM224" s="55">
        <f>SUMIFS(tblMiningDaily[Drill_m],tblMiningDaily[Date],$A224)</f>
        <v/>
      </c>
      <c r="AN224" s="55">
        <f>IF($B224=$B223,$AN223,0)+$AM224</f>
        <v/>
      </c>
      <c r="AO224" s="55">
        <f>$AO223+$AM224</f>
        <v/>
      </c>
      <c r="AP224" s="55">
        <f>SUMIFS(tblMiningDaily[GC_Drill_m],tblMiningDaily[Date],$A224)</f>
        <v/>
      </c>
      <c r="AQ224" s="55">
        <f>IF($B224=$B223,$AQ223,0)+$AP224</f>
        <v/>
      </c>
      <c r="AR224" s="55">
        <f>$AR223+$AP224</f>
        <v/>
      </c>
      <c r="AS224" s="55">
        <f>SUMIFS(tblMiningDaily[Blast_t],tblMiningDaily[Date],$A224)</f>
        <v/>
      </c>
      <c r="AT224" s="55">
        <f>IF($B224=$B223,$AT223,0)+$AS224</f>
        <v/>
      </c>
      <c r="AU224" s="55">
        <f>$AU223+$AS224</f>
        <v/>
      </c>
      <c r="AV224" s="55">
        <f>SUMIFS(tblMiningDaily[Explosives_kg],tblMiningDaily[Date],$A224)</f>
        <v/>
      </c>
      <c r="AW224" s="55">
        <f>IF($B224=$B223,$AW223,0)+$AV224</f>
        <v/>
      </c>
      <c r="AX224" s="55">
        <f>$AX223+$AV224</f>
        <v/>
      </c>
      <c r="AY224" s="56">
        <f>IFERROR(IF(($AS224)&gt;0,($AV224)/($AS224),""),"")</f>
        <v/>
      </c>
      <c r="AZ224" s="56">
        <f>IFERROR(IF(($AT224)&gt;0,($AW224)/($AT224),""),"")</f>
        <v/>
      </c>
      <c r="BA224" s="56">
        <f>IFERROR(IF(($AU224)&gt;0,($AX224)/($AU224),""),"")</f>
        <v/>
      </c>
      <c r="BB224" s="55">
        <f>SUMIFS(tblMiningDaily[Diesel_L],tblMiningDaily[Date],$A224)</f>
        <v/>
      </c>
      <c r="BC224" s="55">
        <f>IF($B224=$B223,$BC223,0)+$BB224</f>
        <v/>
      </c>
      <c r="BD224" s="55">
        <f>$BD223+$BB224</f>
        <v/>
      </c>
      <c r="BE224" s="55">
        <f>SUMIFS(tblMiningDaily[Dewatering_m3],tblMiningDaily[Date],$A224)</f>
        <v/>
      </c>
      <c r="BF224" s="55">
        <f>IF($B224=$B223,$BF223,0)+$BE224</f>
        <v/>
      </c>
      <c r="BG224" s="55">
        <f>$BG223+$BE224</f>
        <v/>
      </c>
      <c r="BH224" s="57">
        <f>SUMIFS(tblFleet[Calendar_h],tblFleet[Date],$A224,tblFleet[Equipment_Class],"Excavator")</f>
        <v/>
      </c>
      <c r="BI224" s="57">
        <f>IF($B224=$B223,$BI223,0)+$BH224</f>
        <v/>
      </c>
      <c r="BJ224" s="57">
        <f>$BJ223+$BH224</f>
        <v/>
      </c>
      <c r="BK224" s="57">
        <f>SUMIFS(tblFleet[Available_h],tblFleet[Date],$A224,tblFleet[Equipment_Class],"Excavator")</f>
        <v/>
      </c>
      <c r="BL224" s="57">
        <f>IF($B224=$B223,$BL223,0)+$BK224</f>
        <v/>
      </c>
      <c r="BM224" s="57">
        <f>$BM223+$BK224</f>
        <v/>
      </c>
      <c r="BN224" s="57">
        <f>SUMIFS(tblFleet[Operating_h],tblFleet[Date],$A224,tblFleet[Equipment_Class],"Excavator")</f>
        <v/>
      </c>
      <c r="BO224" s="57">
        <f>IF($B224=$B223,$BO223,0)+$BN224</f>
        <v/>
      </c>
      <c r="BP224" s="57">
        <f>$BP223+$BN224</f>
        <v/>
      </c>
      <c r="BQ224" s="67">
        <f>IFERROR(IF(($BH224)&gt;0,($BK224)/($BH224),""),"")</f>
        <v/>
      </c>
      <c r="BR224" s="67">
        <f>IFERROR(IF(($BI224)&gt;0,($BL224)/($BI224),""),"")</f>
        <v/>
      </c>
      <c r="BS224" s="67">
        <f>IFERROR(IF(($BJ224)&gt;0,($BM224)/($BJ224),""),"")</f>
        <v/>
      </c>
      <c r="BT224" s="67">
        <f>IFERROR(IF(($BK224)&gt;0,($BN224)/($BK224),""),"")</f>
        <v/>
      </c>
      <c r="BU224" s="67">
        <f>IFERROR(IF(($BL224)&gt;0,($BO224)/($BL224),""),"")</f>
        <v/>
      </c>
      <c r="BV224" s="67">
        <f>IFERROR(IF(($BM224)&gt;0,($BP224)/($BM224),""),"")</f>
        <v/>
      </c>
      <c r="BW224" s="57">
        <f>SUMIFS(tblFleet[Calendar_h],tblFleet[Date],$A224,tblFleet[Equipment_Class],"Haul Truck")</f>
        <v/>
      </c>
      <c r="BX224" s="57">
        <f>IF($B224=$B223,$BX223,0)+$BW224</f>
        <v/>
      </c>
      <c r="BY224" s="57">
        <f>$BY223+$BW224</f>
        <v/>
      </c>
      <c r="BZ224" s="57">
        <f>SUMIFS(tblFleet[Available_h],tblFleet[Date],$A224,tblFleet[Equipment_Class],"Haul Truck")</f>
        <v/>
      </c>
      <c r="CA224" s="57">
        <f>IF($B224=$B223,$CA223,0)+$BZ224</f>
        <v/>
      </c>
      <c r="CB224" s="57">
        <f>$CB223+$BZ224</f>
        <v/>
      </c>
      <c r="CC224" s="57">
        <f>SUMIFS(tblFleet[Operating_h],tblFleet[Date],$A224,tblFleet[Equipment_Class],"Haul Truck")</f>
        <v/>
      </c>
      <c r="CD224" s="57">
        <f>IF($B224=$B223,$CD223,0)+$CC224</f>
        <v/>
      </c>
      <c r="CE224" s="57">
        <f>$CE223+$CC224</f>
        <v/>
      </c>
      <c r="CF224" s="67">
        <f>IFERROR(IF(($BW224)&gt;0,($BZ224)/($BW224),""),"")</f>
        <v/>
      </c>
      <c r="CG224" s="67">
        <f>IFERROR(IF(($BX224)&gt;0,($CA224)/($BX224),""),"")</f>
        <v/>
      </c>
      <c r="CH224" s="67">
        <f>IFERROR(IF(($BY224)&gt;0,($CB224)/($BY224),""),"")</f>
        <v/>
      </c>
      <c r="CI224" s="67">
        <f>IFERROR(IF(($BZ224)&gt;0,($CC224)/($BZ224),""),"")</f>
        <v/>
      </c>
      <c r="CJ224" s="67">
        <f>IFERROR(IF(($CA224)&gt;0,($CD224)/($CA224),""),"")</f>
        <v/>
      </c>
      <c r="CK224" s="67">
        <f>IFERROR(IF(($CB224)&gt;0,($CE224)/($CB224),""),"")</f>
        <v/>
      </c>
      <c r="CL224" s="55">
        <f>IFERROR(IF(($BN224)&gt;0,($X224+$AD224)/($BN224),""),"")</f>
        <v/>
      </c>
      <c r="CM224" s="55">
        <f>IFERROR(IF(($BO224)&gt;0,($Y224+$AE224)/($BO224),""),"")</f>
        <v/>
      </c>
      <c r="CN224" s="55">
        <f>IFERROR(IF(($BP224)&gt;0,($Z224+$AF224)/($BP224),""),"")</f>
        <v/>
      </c>
      <c r="CO224" s="55">
        <f>IFERROR(IF(($CC224)&gt;0,($X224+$AD224)/($CC224),""),"")</f>
        <v/>
      </c>
      <c r="CP224" s="55">
        <f>IFERROR(IF(($CD224)&gt;0,($Y224+$AE224)/($CD224),""),"")</f>
        <v/>
      </c>
      <c r="CQ224" s="55">
        <f>IFERROR(IF(($CE224)&gt;0,($Z224+$AF224)/($CE224),""),"")</f>
        <v/>
      </c>
      <c r="CR224" s="55">
        <f>SUMIFS(tblPlant[Crushed_t],tblPlant[Date],$A224)</f>
        <v/>
      </c>
      <c r="CS224" s="55">
        <f>IF($B224=$B223,$CS223,0)+$CR224</f>
        <v/>
      </c>
      <c r="CT224" s="55">
        <f>$CT223+$CR224</f>
        <v/>
      </c>
      <c r="CU224" s="55">
        <f>SUMIFS(tblPlant[Milled_t],tblPlant[Date],$A224)</f>
        <v/>
      </c>
      <c r="CV224" s="55">
        <f>IF($B224=$B223,$CV223,0)+$CU224</f>
        <v/>
      </c>
      <c r="CW224" s="55">
        <f>$CW223+$CU224</f>
        <v/>
      </c>
      <c r="CX224" s="55">
        <f>SUMIFS(tblPlant[Feed_oz],tblPlant[Date],$A224)</f>
        <v/>
      </c>
      <c r="CY224" s="55">
        <f>IF($B224=$B223,$CY223,0)+$CX224</f>
        <v/>
      </c>
      <c r="CZ224" s="55">
        <f>$CZ223+$CX224</f>
        <v/>
      </c>
      <c r="DA224" s="55">
        <f>SUMIFS(tblPlant[Tails_oz],tblPlant[Date],$A224)</f>
        <v/>
      </c>
      <c r="DB224" s="55">
        <f>IF($B224=$B223,$DB223,0)+$DA224</f>
        <v/>
      </c>
      <c r="DC224" s="55">
        <f>$DC223+$DA224</f>
        <v/>
      </c>
      <c r="DD224" s="55">
        <f>SUMIFS(tblPlant[Recovered_oz],tblPlant[Date],$A224)</f>
        <v/>
      </c>
      <c r="DE224" s="55">
        <f>IF($B224=$B223,$DE223,0)+$DD224</f>
        <v/>
      </c>
      <c r="DF224" s="55">
        <f>$DF223+$DD224</f>
        <v/>
      </c>
      <c r="DG224" s="55">
        <f>SUMIFS(tblPlant[Milled_t],tblPlant[Date],$A224,tblPlant[Head_Grade_gpt],"&lt;&gt;")</f>
        <v/>
      </c>
      <c r="DH224" s="55">
        <f>IF($B224=$B223,$DH223,0)+$DG224</f>
        <v/>
      </c>
      <c r="DI224" s="55">
        <f>$DI223+$DG224</f>
        <v/>
      </c>
      <c r="DJ224" s="55">
        <f>SUMIFS(tblPlant[Milled_t],tblPlant[Date],$A224,tblPlant[Tails_Grade_gpt],"&lt;&gt;")</f>
        <v/>
      </c>
      <c r="DK224" s="55">
        <f>IF($B224=$B223,$DK223,0)+$DJ224</f>
        <v/>
      </c>
      <c r="DL224" s="55">
        <f>$DL223+$DJ224</f>
        <v/>
      </c>
      <c r="DM224" s="55">
        <f>SUMIFS(tblPlant[Feed_oz],tblPlant[Date],$A224,tblPlant[Tails_Grade_gpt],"&lt;&gt;")</f>
        <v/>
      </c>
      <c r="DN224" s="55">
        <f>IF($B224=$B223,$DN223,0)+$DM224</f>
        <v/>
      </c>
      <c r="DO224" s="55">
        <f>$DO223+$DM224</f>
        <v/>
      </c>
      <c r="DP224" s="55">
        <f>SUMIFS(tblPlant[Milled_t],tblPlant[Date],$A224,tblPlant[Mill_Run_h],"&lt;&gt;")</f>
        <v/>
      </c>
      <c r="DQ224" s="55">
        <f>IF($B224=$B223,$DQ223,0)+$DP224</f>
        <v/>
      </c>
      <c r="DR224" s="55">
        <f>$DR223+$DP224</f>
        <v/>
      </c>
      <c r="DS224" s="56">
        <f>IFERROR(IF(($DG224)&gt;0,($CX224*cfg_TroyOz)/($DG224),""),"")</f>
        <v/>
      </c>
      <c r="DT224" s="56">
        <f>IFERROR(IF(($DH224)&gt;0,($CY224*cfg_TroyOz)/($DH224),""),"")</f>
        <v/>
      </c>
      <c r="DU224" s="56">
        <f>IFERROR(IF(($DI224)&gt;0,($CZ224*cfg_TroyOz)/($DI224),""),"")</f>
        <v/>
      </c>
      <c r="DV224" s="56">
        <f>IFERROR(IF(($DJ224)&gt;0,($DA224*cfg_TroyOz)/($DJ224),""),"")</f>
        <v/>
      </c>
      <c r="DW224" s="56">
        <f>IFERROR(IF(($DK224)&gt;0,($DB224*cfg_TroyOz)/($DK224),""),"")</f>
        <v/>
      </c>
      <c r="DX224" s="56">
        <f>IFERROR(IF(($DL224)&gt;0,($DC224*cfg_TroyOz)/($DL224),""),"")</f>
        <v/>
      </c>
      <c r="DY224" s="67">
        <f>IFERROR(IF(($DM224)&gt;0,($DD224)/($DM224),""),"")</f>
        <v/>
      </c>
      <c r="DZ224" s="67">
        <f>IFERROR(IF(($DN224)&gt;0,($DE224)/($DN224),""),"")</f>
        <v/>
      </c>
      <c r="EA224" s="67">
        <f>IFERROR(IF(($DO224)&gt;0,($DF224)/($DO224),""),"")</f>
        <v/>
      </c>
      <c r="EB224" s="55">
        <f>SUMIFS(tblPlant[Gravity_Gold_oz],tblPlant[Date],$A224)</f>
        <v/>
      </c>
      <c r="EC224" s="55">
        <f>IF($B224=$B223,$EC223,0)+$EB224</f>
        <v/>
      </c>
      <c r="ED224" s="55">
        <f>$ED223+$EB224</f>
        <v/>
      </c>
      <c r="EE224" s="67">
        <f>IFERROR(IF(($DD224)&gt;0,($EB224)/($DD224),""),"")</f>
        <v/>
      </c>
      <c r="EF224" s="67">
        <f>IFERROR(IF(($DE224)&gt;0,($EC224)/($DE224),""),"")</f>
        <v/>
      </c>
      <c r="EG224" s="67">
        <f>IFERROR(IF(($DF224)&gt;0,($ED224)/($DF224),""),"")</f>
        <v/>
      </c>
      <c r="EH224" s="55">
        <f>SUMIFS(tblPlant[Gold_Poured_oz],tblPlant[Date],$A224)</f>
        <v/>
      </c>
      <c r="EI224" s="55">
        <f>IF($B224=$B223,$EI223,0)+$EH224</f>
        <v/>
      </c>
      <c r="EJ224" s="55">
        <f>$EJ223+$EH224</f>
        <v/>
      </c>
      <c r="EK224" s="57">
        <f>SUMIFS(tblPlant[Mill_Run_h],tblPlant[Date],$A224)</f>
        <v/>
      </c>
      <c r="EL224" s="57">
        <f>IF($B224=$B223,$EL223,0)+$EK224</f>
        <v/>
      </c>
      <c r="EM224" s="57">
        <f>$EM223+$EK224</f>
        <v/>
      </c>
      <c r="EN224" s="57">
        <f>SUMIFS(tblPlant[Mill_Planned_Maint_h],tblPlant[Date],$A224)</f>
        <v/>
      </c>
      <c r="EO224" s="57">
        <f>IF($B224=$B223,$EO223,0)+$EN224</f>
        <v/>
      </c>
      <c r="EP224" s="57">
        <f>$EP223+$EN224</f>
        <v/>
      </c>
      <c r="EQ224" s="57">
        <f>SUMIFS(tblPlant[Mill_Unplanned_Down_h],tblPlant[Date],$A224)</f>
        <v/>
      </c>
      <c r="ER224" s="57">
        <f>IF($B224=$B223,$ER223,0)+$EQ224</f>
        <v/>
      </c>
      <c r="ES224" s="57">
        <f>$ES223+$EQ224</f>
        <v/>
      </c>
      <c r="ET224" s="57">
        <f>IF(COUNTIFS(tblPlant[Date],$A224,tblPlant[Mill_Run_h],"&lt;&gt;")+COUNTIFS(tblPlant[Date],$A224,tblPlant[Mill_Planned_Maint_h],"&lt;&gt;")+COUNTIFS(tblPlant[Date],$A224,tblPlant[Mill_Unplanned_Down_h],"&lt;&gt;")&gt;0,cfg_HoursPerDay,0)</f>
        <v/>
      </c>
      <c r="EU224" s="57">
        <f>IF($B224=$B223,$EU223,0)+$ET224</f>
        <v/>
      </c>
      <c r="EV224" s="57">
        <f>$EV223+$ET224</f>
        <v/>
      </c>
      <c r="EW224" s="57">
        <f>SUMIFS(tblPlant[Crusher_Run_h],tblPlant[Date],$A224)</f>
        <v/>
      </c>
      <c r="EX224" s="57">
        <f>IF($B224=$B223,$EX223,0)+$EW224</f>
        <v/>
      </c>
      <c r="EY224" s="57">
        <f>$EY223+$EW224</f>
        <v/>
      </c>
      <c r="EZ224" s="55">
        <f>IFERROR(IF(($EK224)&gt;0,($DP224)/($EK224),""),"")</f>
        <v/>
      </c>
      <c r="FA224" s="55">
        <f>IFERROR(IF(($EL224)&gt;0,($DQ224)/($EL224),""),"")</f>
        <v/>
      </c>
      <c r="FB224" s="55">
        <f>IFERROR(IF(($EM224)&gt;0,($DR224)/($EM224),""),"")</f>
        <v/>
      </c>
      <c r="FC224" s="67">
        <f>IFERROR(IF(($ET224)&gt;0,($ET224-$EN224-$EQ224)/($ET224),""),"")</f>
        <v/>
      </c>
      <c r="FD224" s="67">
        <f>IFERROR(IF(($EU224)&gt;0,($EU224-$EO224-$ER224)/($EU224),""),"")</f>
        <v/>
      </c>
      <c r="FE224" s="67">
        <f>IFERROR(IF(($EV224)&gt;0,($EV224-$EP224-$ES224)/($EV224),""),"")</f>
        <v/>
      </c>
      <c r="FF224" s="67">
        <f>IFERROR(IF(($ET224-$EN224-$EQ224)&gt;0,($EK224)/($ET224-$EN224-$EQ224),""),"")</f>
        <v/>
      </c>
      <c r="FG224" s="67">
        <f>IFERROR(IF(($EU224-$EO224-$ER224)&gt;0,($EL224)/($EU224-$EO224-$ER224),""),"")</f>
        <v/>
      </c>
      <c r="FH224" s="67">
        <f>IFERROR(IF(($EV224-$EP224-$ES224)&gt;0,($EM224)/($EV224-$EP224-$ES224),""),"")</f>
        <v/>
      </c>
      <c r="FI224" s="55">
        <f>SUMIFS(tblPlant[Cyanide_kg],tblPlant[Date],$A224)</f>
        <v/>
      </c>
      <c r="FJ224" s="55">
        <f>IF($B224=$B223,$FJ223,0)+$FI224</f>
        <v/>
      </c>
      <c r="FK224" s="55">
        <f>$FK223+$FI224</f>
        <v/>
      </c>
      <c r="FL224" s="55">
        <f>SUMIFS(tblPlant[Lime_kg],tblPlant[Date],$A224)</f>
        <v/>
      </c>
      <c r="FM224" s="55">
        <f>IF($B224=$B223,$FM223,0)+$FL224</f>
        <v/>
      </c>
      <c r="FN224" s="55">
        <f>$FN223+$FL224</f>
        <v/>
      </c>
      <c r="FO224" s="55">
        <f>SUMIFS(tblPlant[Grinding_Media_kg],tblPlant[Date],$A224)</f>
        <v/>
      </c>
      <c r="FP224" s="55">
        <f>IF($B224=$B223,$FP223,0)+$FO224</f>
        <v/>
      </c>
      <c r="FQ224" s="55">
        <f>$FQ223+$FO224</f>
        <v/>
      </c>
      <c r="FR224" s="55">
        <f>SUMIFS(tblPlant[Power_kWh],tblPlant[Date],$A224)</f>
        <v/>
      </c>
      <c r="FS224" s="55">
        <f>IF($B224=$B223,$FS223,0)+$FR224</f>
        <v/>
      </c>
      <c r="FT224" s="55">
        <f>$FT223+$FR224</f>
        <v/>
      </c>
      <c r="FU224" s="55">
        <f>SUMIFS(tblPlant[Raw_Water_m3],tblPlant[Date],$A224)</f>
        <v/>
      </c>
      <c r="FV224" s="55">
        <f>IF($B224=$B223,$FV223,0)+$FU224</f>
        <v/>
      </c>
      <c r="FW224" s="55">
        <f>$FW223+$FU224</f>
        <v/>
      </c>
      <c r="FX224" s="56">
        <f>IFERROR(IF(($CU224)&gt;0,($FI224)/($CU224),""),"")</f>
        <v/>
      </c>
      <c r="FY224" s="56">
        <f>IFERROR(IF(($CV224)&gt;0,($FJ224)/($CV224),""),"")</f>
        <v/>
      </c>
      <c r="FZ224" s="56">
        <f>IFERROR(IF(($CW224)&gt;0,($FK224)/($CW224),""),"")</f>
        <v/>
      </c>
      <c r="GA224" s="56">
        <f>IFERROR(IF(($CU224)&gt;0,($FL224)/($CU224),""),"")</f>
        <v/>
      </c>
      <c r="GB224" s="56">
        <f>IFERROR(IF(($CV224)&gt;0,($FM224)/($CV224),""),"")</f>
        <v/>
      </c>
      <c r="GC224" s="56">
        <f>IFERROR(IF(($CW224)&gt;0,($FN224)/($CW224),""),"")</f>
        <v/>
      </c>
      <c r="GD224" s="56">
        <f>IFERROR(IF(($CU224)&gt;0,($FO224)/($CU224),""),"")</f>
        <v/>
      </c>
      <c r="GE224" s="56">
        <f>IFERROR(IF(($CV224)&gt;0,($FP224)/($CV224),""),"")</f>
        <v/>
      </c>
      <c r="GF224" s="56">
        <f>IFERROR(IF(($CW224)&gt;0,($FQ224)/($CW224),""),"")</f>
        <v/>
      </c>
      <c r="GG224" s="79">
        <f>IFERROR(IF(($CU224)&gt;0,($FR224)/($CU224),""),"")</f>
        <v/>
      </c>
      <c r="GH224" s="79">
        <f>IFERROR(IF(($CV224)&gt;0,($FS224)/($CV224),""),"")</f>
        <v/>
      </c>
      <c r="GI224" s="79">
        <f>IFERROR(IF(($CW224)&gt;0,($FT224)/($CW224),""),"")</f>
        <v/>
      </c>
      <c r="GJ224" s="56">
        <f>IFERROR(IF(($CU224)&gt;0,($FU224)/($CU224),""),"")</f>
        <v/>
      </c>
      <c r="GK224" s="56">
        <f>IFERROR(IF(($CV224)&gt;0,($FV224)/($CV224),""),"")</f>
        <v/>
      </c>
      <c r="GL224" s="56">
        <f>IFERROR(IF(($CW224)&gt;0,($FW224)/($CW224),""),"")</f>
        <v/>
      </c>
      <c r="GM224" s="55">
        <f>IF(SUMIFS(tblPlant[GIC_oz],tblPlant[Date],$A224)&gt;0,SUMIFS(tblPlant[GIC_oz],tblPlant[Date],$A224),"")</f>
        <v/>
      </c>
      <c r="GN224" s="55">
        <f>SUMIFS(tblGold[Gold_oz],tblGold[Date],$A224,tblGold[Type],"Shipment")</f>
        <v/>
      </c>
      <c r="GO224" s="55">
        <f>IF($B224=$B223,$GO223,0)+$GN224</f>
        <v/>
      </c>
      <c r="GP224" s="55">
        <f>$GP223+$GN224</f>
        <v/>
      </c>
      <c r="GQ224" s="55">
        <f>SUMIFS(tblGold[Gold_oz],tblGold[Date],$A224,tblGold[Type],"Sale")</f>
        <v/>
      </c>
      <c r="GR224" s="55">
        <f>IF($B224=$B223,$GR223,0)+$GQ224</f>
        <v/>
      </c>
      <c r="GS224" s="55">
        <f>$GS223+$GQ224</f>
        <v/>
      </c>
      <c r="GT224" s="55">
        <f>SUMIFS(tblGold[Dore_kg],tblGold[Date],$A224,tblGold[Type],"Shipment")</f>
        <v/>
      </c>
      <c r="GU224" s="55">
        <f>IF($B224=$B223,$GU223,0)+$GT224</f>
        <v/>
      </c>
      <c r="GV224" s="55">
        <f>$GV223+$GT224</f>
        <v/>
      </c>
      <c r="GW224" s="57">
        <f>SUMIFS(tblSafety[Hours_Total],tblSafety[Date],$A224)</f>
        <v/>
      </c>
      <c r="GX224" s="57">
        <f>IF($B224=$B223,$GX223,0)+$GW224</f>
        <v/>
      </c>
      <c r="GY224" s="57">
        <f>$GY223+$GW224</f>
        <v/>
      </c>
      <c r="GZ224" s="62">
        <f>SUMIFS(tblSafety[Fatality],tblSafety[Date],$A224)</f>
        <v/>
      </c>
      <c r="HA224" s="62">
        <f>IF($B224=$B223,$HA223,0)+$GZ224</f>
        <v/>
      </c>
      <c r="HB224" s="62">
        <f>$HB223+$GZ224</f>
        <v/>
      </c>
      <c r="HC224" s="62">
        <f>SUMIFS(tblSafety[LTI],tblSafety[Date],$A224)</f>
        <v/>
      </c>
      <c r="HD224" s="62">
        <f>IF($B224=$B223,$HD223,0)+$HC224</f>
        <v/>
      </c>
      <c r="HE224" s="62">
        <f>$HE223+$HC224</f>
        <v/>
      </c>
      <c r="HF224" s="62">
        <f>SUMIFS(tblSafety[RWI],tblSafety[Date],$A224)</f>
        <v/>
      </c>
      <c r="HG224" s="62">
        <f>IF($B224=$B223,$HG223,0)+$HF224</f>
        <v/>
      </c>
      <c r="HH224" s="62">
        <f>$HH223+$HF224</f>
        <v/>
      </c>
      <c r="HI224" s="62">
        <f>SUMIFS(tblSafety[MTI],tblSafety[Date],$A224)</f>
        <v/>
      </c>
      <c r="HJ224" s="62">
        <f>IF($B224=$B223,$HJ223,0)+$HI224</f>
        <v/>
      </c>
      <c r="HK224" s="62">
        <f>$HK223+$HI224</f>
        <v/>
      </c>
      <c r="HL224" s="62">
        <f>SUMIFS(tblSafety[FAI],tblSafety[Date],$A224)</f>
        <v/>
      </c>
      <c r="HM224" s="62">
        <f>IF($B224=$B223,$HM223,0)+$HL224</f>
        <v/>
      </c>
      <c r="HN224" s="62">
        <f>$HN223+$HL224</f>
        <v/>
      </c>
      <c r="HO224" s="62">
        <f>SUMIFS(tblSafety[Recordables],tblSafety[Date],$A224)</f>
        <v/>
      </c>
      <c r="HP224" s="62">
        <f>IF($B224=$B223,$HP223,0)+$HO224</f>
        <v/>
      </c>
      <c r="HQ224" s="62">
        <f>$HQ223+$HO224</f>
        <v/>
      </c>
      <c r="HR224" s="62">
        <f>SUMIFS(tblSafety[Near_Miss],tblSafety[Date],$A224)</f>
        <v/>
      </c>
      <c r="HS224" s="62">
        <f>IF($B224=$B223,$HS223,0)+$HR224</f>
        <v/>
      </c>
      <c r="HT224" s="62">
        <f>$HT223+$HR224</f>
        <v/>
      </c>
      <c r="HU224" s="62">
        <f>SUMIFS(tblSafety[Hazard_Reports],tblSafety[Date],$A224)</f>
        <v/>
      </c>
      <c r="HV224" s="62">
        <f>IF($B224=$B223,$HV223,0)+$HU224</f>
        <v/>
      </c>
      <c r="HW224" s="62">
        <f>$HW223+$HU224</f>
        <v/>
      </c>
      <c r="HX224" s="62">
        <f>SUMIFS(tblSafety[HPI],tblSafety[Date],$A224)</f>
        <v/>
      </c>
      <c r="HY224" s="62">
        <f>IF($B224=$B223,$HY223,0)+$HX224</f>
        <v/>
      </c>
      <c r="HZ224" s="62">
        <f>$HZ223+$HX224</f>
        <v/>
      </c>
      <c r="IA224" s="62">
        <f>SUMIFS(tblSafety[Env_Incidents],tblSafety[Date],$A224)</f>
        <v/>
      </c>
      <c r="IB224" s="62">
        <f>IF($B224=$B223,$IB223,0)+$IA224</f>
        <v/>
      </c>
      <c r="IC224" s="62">
        <f>$IC223+$IA224</f>
        <v/>
      </c>
      <c r="ID224" s="62">
        <f>SUMIFS(tblSafety[Community_Incidents],tblSafety[Date],$A224)</f>
        <v/>
      </c>
      <c r="IE224" s="62">
        <f>IF($B224=$B223,$IE223,0)+$ID224</f>
        <v/>
      </c>
      <c r="IF224" s="62">
        <f>$IF223+$ID224</f>
        <v/>
      </c>
      <c r="IG224" s="62">
        <f>SUMIFS(tblSafety[Vehicle_Incidents],tblSafety[Date],$A224)</f>
        <v/>
      </c>
      <c r="IH224" s="62">
        <f>IF($B224=$B223,$IH223,0)+$IG224</f>
        <v/>
      </c>
      <c r="II224" s="62">
        <f>$II223+$IG224</f>
        <v/>
      </c>
      <c r="IJ224" s="62">
        <f>SUMIFS(tblSafety[Toolbox_Talks],tblSafety[Date],$A224)</f>
        <v/>
      </c>
      <c r="IK224" s="62">
        <f>IF($B224=$B223,$IK223,0)+$IJ224</f>
        <v/>
      </c>
      <c r="IL224" s="62">
        <f>$IL223+$IJ224</f>
        <v/>
      </c>
      <c r="IM224" s="62">
        <f>SUMIFS(tblSafety[Inspections],tblSafety[Date],$A224)</f>
        <v/>
      </c>
      <c r="IN224" s="62">
        <f>IF($B224=$B223,$IN223,0)+$IM224</f>
        <v/>
      </c>
      <c r="IO224" s="62">
        <f>$IO223+$IM224</f>
        <v/>
      </c>
      <c r="IP224" s="56">
        <f>IFERROR((SUMIFS(tblSafety[Recordables],tblSafety[Date],"&gt;="&amp;EDATE($E224,-12),tblSafety[Date],"&lt;="&amp;$A224)+SUMIFS(tblSafetyHistory[Recordables],tblSafetyHistory[Month],"&gt;="&amp;EDATE($E224,-12),tblSafetyHistory[Month],"&lt;"&amp;$E224,tblSafetyHistory[Use],1))/(SUMIFS(tblSafety[Hours_Total],tblSafety[Date],"&gt;="&amp;EDATE($E224,-12),tblSafety[Date],"&lt;="&amp;$A224)+SUMIFS(tblSafetyHistory[Hours_Total],tblSafetyHistory[Month],"&gt;="&amp;EDATE($E224,-12),tblSafetyHistory[Month],"&lt;"&amp;$E224,tblSafetyHistory[Use],1))*cfg_RateBasisHours,"")</f>
        <v/>
      </c>
      <c r="IQ224" s="56">
        <f>IFERROR((SUMIFS(tblSafety[LTI],tblSafety[Date],"&gt;="&amp;EDATE($E224,-12),tblSafety[Date],"&lt;="&amp;$A224)+SUMIFS(tblSafetyHistory[LTI],tblSafetyHistory[Month],"&gt;="&amp;EDATE($E224,-12),tblSafetyHistory[Month],"&lt;"&amp;$E224,tblSafetyHistory[Use],1))/(SUMIFS(tblSafety[Hours_Total],tblSafety[Date],"&gt;="&amp;EDATE($E224,-12),tblSafety[Date],"&lt;="&amp;$A224)+SUMIFS(tblSafetyHistory[Hours_Total],tblSafetyHistory[Month],"&gt;="&amp;EDATE($E224,-12),tblSafetyHistory[Month],"&lt;"&amp;$E224,tblSafetyHistory[Use],1))*cfg_RateBasisHours,"")</f>
        <v/>
      </c>
      <c r="IR224" s="62">
        <f>IF(MAX(N(cfg_PriorLTIDate),_xlfn.MAXIFS(tblSafety[Date],tblSafety[LTI],"&gt;0",tblSafety[Date],"&lt;="&amp;$A224))=0,"",$A224-MAX(N(cfg_PriorLTIDate),_xlfn.MAXIFS(tblSafety[Date],tblSafety[LTI],"&gt;0",tblSafety[Date],"&lt;="&amp;$A224)))</f>
        <v/>
      </c>
      <c r="IS224" s="55">
        <f>SUMIFS(tblBudget[Ore_Mined_t],tblBudget[Month],$E224)</f>
        <v/>
      </c>
      <c r="IT224" s="55">
        <f>$IS224*$C224/$D224</f>
        <v/>
      </c>
      <c r="IU224" s="55">
        <f>SUMIFS(tblBudget[Ore_Mined_t],tblBudget[Month],"&lt;"&amp;$E224)+$IT224</f>
        <v/>
      </c>
      <c r="IV224" s="55">
        <f>SUMIFS(tblBudget[Ore_oz],tblBudget[Month],$E224)</f>
        <v/>
      </c>
      <c r="IW224" s="55">
        <f>$IV224*$C224/$D224</f>
        <v/>
      </c>
      <c r="IX224" s="55">
        <f>SUMIFS(tblBudget[Ore_oz],tblBudget[Month],"&lt;"&amp;$E224)+$IW224</f>
        <v/>
      </c>
      <c r="IY224" s="55">
        <f>SUMIFS(tblBudget[Ore_Mined_t],tblBudget[Month],$E224)</f>
        <v/>
      </c>
      <c r="IZ224" s="55">
        <f>$IY224*$C224/$D224</f>
        <v/>
      </c>
      <c r="JA224" s="55">
        <f>SUMIFS(tblBudget[Ore_Mined_t],tblBudget[Month],"&lt;"&amp;$E224)+$IZ224</f>
        <v/>
      </c>
      <c r="JB224" s="56">
        <f>IFERROR(IF(($IY224)&gt;0,($IV224*cfg_TroyOz)/($IY224),""),"")</f>
        <v/>
      </c>
      <c r="JC224" s="56">
        <f>IFERROR(IF(($IZ224)&gt;0,($IW224*cfg_TroyOz)/($IZ224),""),"")</f>
        <v/>
      </c>
      <c r="JD224" s="56">
        <f>IFERROR(IF(($JA224)&gt;0,($IX224*cfg_TroyOz)/($JA224),""),"")</f>
        <v/>
      </c>
      <c r="JE224" s="55">
        <f>SUMIFS(tblBudget[Waste_t],tblBudget[Month],$E224)</f>
        <v/>
      </c>
      <c r="JF224" s="55">
        <f>$JE224*$C224/$D224</f>
        <v/>
      </c>
      <c r="JG224" s="55">
        <f>SUMIFS(tblBudget[Waste_t],tblBudget[Month],"&lt;"&amp;$E224)+$JF224</f>
        <v/>
      </c>
      <c r="JH224" s="55">
        <f>SUMIFS(tblBudget[TMM_t],tblBudget[Month],$E224)</f>
        <v/>
      </c>
      <c r="JI224" s="55">
        <f>$JH224*$C224/$D224</f>
        <v/>
      </c>
      <c r="JJ224" s="55">
        <f>SUMIFS(tblBudget[TMM_t],tblBudget[Month],"&lt;"&amp;$E224)+$JI224</f>
        <v/>
      </c>
      <c r="JK224" s="56">
        <f>IFERROR(IF(($IS224)&gt;0,($JE224)/($IS224),""),"")</f>
        <v/>
      </c>
      <c r="JL224" s="56">
        <f>IFERROR(IF(($IT224)&gt;0,($JF224)/($IT224),""),"")</f>
        <v/>
      </c>
      <c r="JM224" s="56">
        <f>IFERROR(IF(($IU224)&gt;0,($JG224)/($IU224),""),"")</f>
        <v/>
      </c>
      <c r="JN224" s="55">
        <f>SUMIFS(tblBudget[Drill_m],tblBudget[Month],$E224)</f>
        <v/>
      </c>
      <c r="JO224" s="55">
        <f>$JN224*$C224/$D224</f>
        <v/>
      </c>
      <c r="JP224" s="55">
        <f>SUMIFS(tblBudget[Drill_m],tblBudget[Month],"&lt;"&amp;$E224)+$JO224</f>
        <v/>
      </c>
      <c r="JQ224" s="55">
        <f>SUMIFS(tblBudget[Diesel_L],tblBudget[Month],$E224)</f>
        <v/>
      </c>
      <c r="JR224" s="55">
        <f>$JQ224*$C224/$D224</f>
        <v/>
      </c>
      <c r="JS224" s="55">
        <f>SUMIFS(tblBudget[Diesel_L],tblBudget[Month],"&lt;"&amp;$E224)+$JR224</f>
        <v/>
      </c>
      <c r="JT224" s="55">
        <f>SUMIFS(tblBudget[Milled_t],tblBudget[Month],$E224)</f>
        <v/>
      </c>
      <c r="JU224" s="55">
        <f>$JT224*$C224/$D224</f>
        <v/>
      </c>
      <c r="JV224" s="55">
        <f>SUMIFS(tblBudget[Milled_t],tblBudget[Month],"&lt;"&amp;$E224)+$JU224</f>
        <v/>
      </c>
      <c r="JW224" s="55">
        <f>SUMIFS(tblBudget[Feed_oz],tblBudget[Month],$E224)</f>
        <v/>
      </c>
      <c r="JX224" s="55">
        <f>$JW224*$C224/$D224</f>
        <v/>
      </c>
      <c r="JY224" s="55">
        <f>SUMIFS(tblBudget[Feed_oz],tblBudget[Month],"&lt;"&amp;$E224)+$JX224</f>
        <v/>
      </c>
      <c r="JZ224" s="55">
        <f>SUMIFS(tblBudget[Recovered_oz],tblBudget[Month],$E224)</f>
        <v/>
      </c>
      <c r="KA224" s="55">
        <f>$JZ224*$C224/$D224</f>
        <v/>
      </c>
      <c r="KB224" s="55">
        <f>SUMIFS(tblBudget[Recovered_oz],tblBudget[Month],"&lt;"&amp;$E224)+$KA224</f>
        <v/>
      </c>
      <c r="KC224" s="55">
        <f>SUMIFS(tblBudget[Milled_t],tblBudget[Month],$E224)</f>
        <v/>
      </c>
      <c r="KD224" s="55">
        <f>$KC224*$C224/$D224</f>
        <v/>
      </c>
      <c r="KE224" s="55">
        <f>SUMIFS(tblBudget[Milled_t],tblBudget[Month],"&lt;"&amp;$E224)+$KD224</f>
        <v/>
      </c>
      <c r="KF224" s="55">
        <f>SUMIFS(tblBudget[Feed_oz],tblBudget[Month],$E224)</f>
        <v/>
      </c>
      <c r="KG224" s="55">
        <f>$KF224*$C224/$D224</f>
        <v/>
      </c>
      <c r="KH224" s="55">
        <f>SUMIFS(tblBudget[Feed_oz],tblBudget[Month],"&lt;"&amp;$E224)+$KG224</f>
        <v/>
      </c>
      <c r="KI224" s="56">
        <f>IFERROR(IF(($KC224)&gt;0,($JW224*cfg_TroyOz)/($KC224),""),"")</f>
        <v/>
      </c>
      <c r="KJ224" s="56">
        <f>IFERROR(IF(($KD224)&gt;0,($JX224*cfg_TroyOz)/($KD224),""),"")</f>
        <v/>
      </c>
      <c r="KK224" s="56">
        <f>IFERROR(IF(($KE224)&gt;0,($JY224*cfg_TroyOz)/($KE224),""),"")</f>
        <v/>
      </c>
      <c r="KL224" s="67">
        <f>IFERROR(IF(($KF224)&gt;0,($JZ224)/($KF224),""),"")</f>
        <v/>
      </c>
      <c r="KM224" s="67">
        <f>IFERROR(IF(($KG224)&gt;0,($KA224)/($KG224),""),"")</f>
        <v/>
      </c>
      <c r="KN224" s="67">
        <f>IFERROR(IF(($KH224)&gt;0,($KB224)/($KH224),""),"")</f>
        <v/>
      </c>
      <c r="KO224" s="55">
        <f>SUMIFS(tblBudget[Gold_Poured_oz],tblBudget[Month],$E224)</f>
        <v/>
      </c>
      <c r="KP224" s="55">
        <f>$KO224*$C224/$D224</f>
        <v/>
      </c>
      <c r="KQ224" s="55">
        <f>SUMIFS(tblBudget[Gold_Poured_oz],tblBudget[Month],"&lt;"&amp;$E224)+$KP224</f>
        <v/>
      </c>
      <c r="KR224" s="57">
        <f>SUMIFS(tblBudget[Hours_Worked],tblBudget[Month],$E224)</f>
        <v/>
      </c>
      <c r="KS224" s="57">
        <f>$KR224*$C224/$D224</f>
        <v/>
      </c>
      <c r="KT224" s="57">
        <f>SUMIFS(tblBudget[Hours_Worked],tblBudget[Month],"&lt;"&amp;$E224)+$KS224</f>
        <v/>
      </c>
    </row>
    <row r="225">
      <c r="A225" s="54" t="n">
        <v>46246</v>
      </c>
      <c r="B225">
        <f>MONTH($A225)</f>
        <v/>
      </c>
      <c r="C225">
        <f>DAY($A225)</f>
        <v/>
      </c>
      <c r="D225">
        <f>DAY(EOMONTH($A225,0))</f>
        <v/>
      </c>
      <c r="E225" s="54">
        <f>DATE(YEAR($A225),MONTH($A225),1)</f>
        <v/>
      </c>
      <c r="F225" s="55">
        <f>SUMIFS(tblMovement[Tonnes_t],tblMovement[Date],$A225,tblMovement[Is_Ore],1,tblMovement[Source_Type],"Pit")</f>
        <v/>
      </c>
      <c r="G225" s="55">
        <f>IF($B225=$B224,$G224,0)+$F225</f>
        <v/>
      </c>
      <c r="H225" s="55">
        <f>$H224+$F225</f>
        <v/>
      </c>
      <c r="I225" s="55">
        <f>SUMIFS(tblMovement[Ore_oz],tblMovement[Date],$A225,tblMovement[Source_Type],"Pit")</f>
        <v/>
      </c>
      <c r="J225" s="55">
        <f>IF($B225=$B224,$J224,0)+$I225</f>
        <v/>
      </c>
      <c r="K225" s="55">
        <f>$K224+$I225</f>
        <v/>
      </c>
      <c r="L225" s="55">
        <f>SUMIFS(tblMovement[Tonnes_t],tblMovement[Date],$A225,tblMovement[Is_Ore],1,tblMovement[Source_Type],"Pit",tblMovement[Grade_gpt],"&lt;&gt;")</f>
        <v/>
      </c>
      <c r="M225" s="55">
        <f>IF($B225=$B224,$M224,0)+$L225</f>
        <v/>
      </c>
      <c r="N225" s="55">
        <f>$N224+$L225</f>
        <v/>
      </c>
      <c r="O225" s="56">
        <f>IFERROR(IF(($L225)&gt;0,($I225*cfg_TroyOz)/($L225),""),"")</f>
        <v/>
      </c>
      <c r="P225" s="56">
        <f>IFERROR(IF(($M225)&gt;0,($J225*cfg_TroyOz)/($M225),""),"")</f>
        <v/>
      </c>
      <c r="Q225" s="56">
        <f>IFERROR(IF(($N225)&gt;0,($K225*cfg_TroyOz)/($N225),""),"")</f>
        <v/>
      </c>
      <c r="R225" s="55">
        <f>$F225-$L225</f>
        <v/>
      </c>
      <c r="S225" s="55">
        <f>IF($B225=$B224,$S224,0)+$R225</f>
        <v/>
      </c>
      <c r="T225" s="55">
        <f>$T224+$R225</f>
        <v/>
      </c>
      <c r="U225" s="55">
        <f>SUMIFS(tblMovement[Tonnes_t],tblMovement[Date],$A225,tblMovement[Is_Ore],0,tblMovement[Source_Type],"Pit")</f>
        <v/>
      </c>
      <c r="V225" s="55">
        <f>IF($B225=$B224,$V224,0)+$U225</f>
        <v/>
      </c>
      <c r="W225" s="55">
        <f>$W224+$U225</f>
        <v/>
      </c>
      <c r="X225" s="55">
        <f>$F225+$U225</f>
        <v/>
      </c>
      <c r="Y225" s="55">
        <f>IF($B225=$B224,$Y224,0)+$X225</f>
        <v/>
      </c>
      <c r="Z225" s="55">
        <f>$Z224+$X225</f>
        <v/>
      </c>
      <c r="AA225" s="56">
        <f>IFERROR(IF(($F225)&gt;0,($U225)/($F225),""),"")</f>
        <v/>
      </c>
      <c r="AB225" s="56">
        <f>IFERROR(IF(($G225)&gt;0,($V225)/($G225),""),"")</f>
        <v/>
      </c>
      <c r="AC225" s="56">
        <f>IFERROR(IF(($H225)&gt;0,($W225)/($H225),""),"")</f>
        <v/>
      </c>
      <c r="AD225" s="55">
        <f>SUMIFS(tblMovement[Tonnes_t],tblMovement[Date],$A225,tblMovement[Source_Type],"Stockpile")</f>
        <v/>
      </c>
      <c r="AE225" s="55">
        <f>IF($B225=$B224,$AE224,0)+$AD225</f>
        <v/>
      </c>
      <c r="AF225" s="55">
        <f>$AF224+$AD225</f>
        <v/>
      </c>
      <c r="AG225" s="55">
        <f>SUMIFS(tblMovement[Tonnes_t],tblMovement[Date],$A225)</f>
        <v/>
      </c>
      <c r="AH225" s="55">
        <f>IF($B225=$B224,$AH224,0)+$AG225</f>
        <v/>
      </c>
      <c r="AI225" s="55">
        <f>$AI224+$AG225</f>
        <v/>
      </c>
      <c r="AJ225" s="55">
        <f>$AG225-$X225-$AD225</f>
        <v/>
      </c>
      <c r="AK225" s="55">
        <f>IF($B225=$B224,$AK224,0)+$AJ225</f>
        <v/>
      </c>
      <c r="AL225" s="55">
        <f>$AL224+$AJ225</f>
        <v/>
      </c>
      <c r="AM225" s="55">
        <f>SUMIFS(tblMiningDaily[Drill_m],tblMiningDaily[Date],$A225)</f>
        <v/>
      </c>
      <c r="AN225" s="55">
        <f>IF($B225=$B224,$AN224,0)+$AM225</f>
        <v/>
      </c>
      <c r="AO225" s="55">
        <f>$AO224+$AM225</f>
        <v/>
      </c>
      <c r="AP225" s="55">
        <f>SUMIFS(tblMiningDaily[GC_Drill_m],tblMiningDaily[Date],$A225)</f>
        <v/>
      </c>
      <c r="AQ225" s="55">
        <f>IF($B225=$B224,$AQ224,0)+$AP225</f>
        <v/>
      </c>
      <c r="AR225" s="55">
        <f>$AR224+$AP225</f>
        <v/>
      </c>
      <c r="AS225" s="55">
        <f>SUMIFS(tblMiningDaily[Blast_t],tblMiningDaily[Date],$A225)</f>
        <v/>
      </c>
      <c r="AT225" s="55">
        <f>IF($B225=$B224,$AT224,0)+$AS225</f>
        <v/>
      </c>
      <c r="AU225" s="55">
        <f>$AU224+$AS225</f>
        <v/>
      </c>
      <c r="AV225" s="55">
        <f>SUMIFS(tblMiningDaily[Explosives_kg],tblMiningDaily[Date],$A225)</f>
        <v/>
      </c>
      <c r="AW225" s="55">
        <f>IF($B225=$B224,$AW224,0)+$AV225</f>
        <v/>
      </c>
      <c r="AX225" s="55">
        <f>$AX224+$AV225</f>
        <v/>
      </c>
      <c r="AY225" s="56">
        <f>IFERROR(IF(($AS225)&gt;0,($AV225)/($AS225),""),"")</f>
        <v/>
      </c>
      <c r="AZ225" s="56">
        <f>IFERROR(IF(($AT225)&gt;0,($AW225)/($AT225),""),"")</f>
        <v/>
      </c>
      <c r="BA225" s="56">
        <f>IFERROR(IF(($AU225)&gt;0,($AX225)/($AU225),""),"")</f>
        <v/>
      </c>
      <c r="BB225" s="55">
        <f>SUMIFS(tblMiningDaily[Diesel_L],tblMiningDaily[Date],$A225)</f>
        <v/>
      </c>
      <c r="BC225" s="55">
        <f>IF($B225=$B224,$BC224,0)+$BB225</f>
        <v/>
      </c>
      <c r="BD225" s="55">
        <f>$BD224+$BB225</f>
        <v/>
      </c>
      <c r="BE225" s="55">
        <f>SUMIFS(tblMiningDaily[Dewatering_m3],tblMiningDaily[Date],$A225)</f>
        <v/>
      </c>
      <c r="BF225" s="55">
        <f>IF($B225=$B224,$BF224,0)+$BE225</f>
        <v/>
      </c>
      <c r="BG225" s="55">
        <f>$BG224+$BE225</f>
        <v/>
      </c>
      <c r="BH225" s="57">
        <f>SUMIFS(tblFleet[Calendar_h],tblFleet[Date],$A225,tblFleet[Equipment_Class],"Excavator")</f>
        <v/>
      </c>
      <c r="BI225" s="57">
        <f>IF($B225=$B224,$BI224,0)+$BH225</f>
        <v/>
      </c>
      <c r="BJ225" s="57">
        <f>$BJ224+$BH225</f>
        <v/>
      </c>
      <c r="BK225" s="57">
        <f>SUMIFS(tblFleet[Available_h],tblFleet[Date],$A225,tblFleet[Equipment_Class],"Excavator")</f>
        <v/>
      </c>
      <c r="BL225" s="57">
        <f>IF($B225=$B224,$BL224,0)+$BK225</f>
        <v/>
      </c>
      <c r="BM225" s="57">
        <f>$BM224+$BK225</f>
        <v/>
      </c>
      <c r="BN225" s="57">
        <f>SUMIFS(tblFleet[Operating_h],tblFleet[Date],$A225,tblFleet[Equipment_Class],"Excavator")</f>
        <v/>
      </c>
      <c r="BO225" s="57">
        <f>IF($B225=$B224,$BO224,0)+$BN225</f>
        <v/>
      </c>
      <c r="BP225" s="57">
        <f>$BP224+$BN225</f>
        <v/>
      </c>
      <c r="BQ225" s="67">
        <f>IFERROR(IF(($BH225)&gt;0,($BK225)/($BH225),""),"")</f>
        <v/>
      </c>
      <c r="BR225" s="67">
        <f>IFERROR(IF(($BI225)&gt;0,($BL225)/($BI225),""),"")</f>
        <v/>
      </c>
      <c r="BS225" s="67">
        <f>IFERROR(IF(($BJ225)&gt;0,($BM225)/($BJ225),""),"")</f>
        <v/>
      </c>
      <c r="BT225" s="67">
        <f>IFERROR(IF(($BK225)&gt;0,($BN225)/($BK225),""),"")</f>
        <v/>
      </c>
      <c r="BU225" s="67">
        <f>IFERROR(IF(($BL225)&gt;0,($BO225)/($BL225),""),"")</f>
        <v/>
      </c>
      <c r="BV225" s="67">
        <f>IFERROR(IF(($BM225)&gt;0,($BP225)/($BM225),""),"")</f>
        <v/>
      </c>
      <c r="BW225" s="57">
        <f>SUMIFS(tblFleet[Calendar_h],tblFleet[Date],$A225,tblFleet[Equipment_Class],"Haul Truck")</f>
        <v/>
      </c>
      <c r="BX225" s="57">
        <f>IF($B225=$B224,$BX224,0)+$BW225</f>
        <v/>
      </c>
      <c r="BY225" s="57">
        <f>$BY224+$BW225</f>
        <v/>
      </c>
      <c r="BZ225" s="57">
        <f>SUMIFS(tblFleet[Available_h],tblFleet[Date],$A225,tblFleet[Equipment_Class],"Haul Truck")</f>
        <v/>
      </c>
      <c r="CA225" s="57">
        <f>IF($B225=$B224,$CA224,0)+$BZ225</f>
        <v/>
      </c>
      <c r="CB225" s="57">
        <f>$CB224+$BZ225</f>
        <v/>
      </c>
      <c r="CC225" s="57">
        <f>SUMIFS(tblFleet[Operating_h],tblFleet[Date],$A225,tblFleet[Equipment_Class],"Haul Truck")</f>
        <v/>
      </c>
      <c r="CD225" s="57">
        <f>IF($B225=$B224,$CD224,0)+$CC225</f>
        <v/>
      </c>
      <c r="CE225" s="57">
        <f>$CE224+$CC225</f>
        <v/>
      </c>
      <c r="CF225" s="67">
        <f>IFERROR(IF(($BW225)&gt;0,($BZ225)/($BW225),""),"")</f>
        <v/>
      </c>
      <c r="CG225" s="67">
        <f>IFERROR(IF(($BX225)&gt;0,($CA225)/($BX225),""),"")</f>
        <v/>
      </c>
      <c r="CH225" s="67">
        <f>IFERROR(IF(($BY225)&gt;0,($CB225)/($BY225),""),"")</f>
        <v/>
      </c>
      <c r="CI225" s="67">
        <f>IFERROR(IF(($BZ225)&gt;0,($CC225)/($BZ225),""),"")</f>
        <v/>
      </c>
      <c r="CJ225" s="67">
        <f>IFERROR(IF(($CA225)&gt;0,($CD225)/($CA225),""),"")</f>
        <v/>
      </c>
      <c r="CK225" s="67">
        <f>IFERROR(IF(($CB225)&gt;0,($CE225)/($CB225),""),"")</f>
        <v/>
      </c>
      <c r="CL225" s="55">
        <f>IFERROR(IF(($BN225)&gt;0,($X225+$AD225)/($BN225),""),"")</f>
        <v/>
      </c>
      <c r="CM225" s="55">
        <f>IFERROR(IF(($BO225)&gt;0,($Y225+$AE225)/($BO225),""),"")</f>
        <v/>
      </c>
      <c r="CN225" s="55">
        <f>IFERROR(IF(($BP225)&gt;0,($Z225+$AF225)/($BP225),""),"")</f>
        <v/>
      </c>
      <c r="CO225" s="55">
        <f>IFERROR(IF(($CC225)&gt;0,($X225+$AD225)/($CC225),""),"")</f>
        <v/>
      </c>
      <c r="CP225" s="55">
        <f>IFERROR(IF(($CD225)&gt;0,($Y225+$AE225)/($CD225),""),"")</f>
        <v/>
      </c>
      <c r="CQ225" s="55">
        <f>IFERROR(IF(($CE225)&gt;0,($Z225+$AF225)/($CE225),""),"")</f>
        <v/>
      </c>
      <c r="CR225" s="55">
        <f>SUMIFS(tblPlant[Crushed_t],tblPlant[Date],$A225)</f>
        <v/>
      </c>
      <c r="CS225" s="55">
        <f>IF($B225=$B224,$CS224,0)+$CR225</f>
        <v/>
      </c>
      <c r="CT225" s="55">
        <f>$CT224+$CR225</f>
        <v/>
      </c>
      <c r="CU225" s="55">
        <f>SUMIFS(tblPlant[Milled_t],tblPlant[Date],$A225)</f>
        <v/>
      </c>
      <c r="CV225" s="55">
        <f>IF($B225=$B224,$CV224,0)+$CU225</f>
        <v/>
      </c>
      <c r="CW225" s="55">
        <f>$CW224+$CU225</f>
        <v/>
      </c>
      <c r="CX225" s="55">
        <f>SUMIFS(tblPlant[Feed_oz],tblPlant[Date],$A225)</f>
        <v/>
      </c>
      <c r="CY225" s="55">
        <f>IF($B225=$B224,$CY224,0)+$CX225</f>
        <v/>
      </c>
      <c r="CZ225" s="55">
        <f>$CZ224+$CX225</f>
        <v/>
      </c>
      <c r="DA225" s="55">
        <f>SUMIFS(tblPlant[Tails_oz],tblPlant[Date],$A225)</f>
        <v/>
      </c>
      <c r="DB225" s="55">
        <f>IF($B225=$B224,$DB224,0)+$DA225</f>
        <v/>
      </c>
      <c r="DC225" s="55">
        <f>$DC224+$DA225</f>
        <v/>
      </c>
      <c r="DD225" s="55">
        <f>SUMIFS(tblPlant[Recovered_oz],tblPlant[Date],$A225)</f>
        <v/>
      </c>
      <c r="DE225" s="55">
        <f>IF($B225=$B224,$DE224,0)+$DD225</f>
        <v/>
      </c>
      <c r="DF225" s="55">
        <f>$DF224+$DD225</f>
        <v/>
      </c>
      <c r="DG225" s="55">
        <f>SUMIFS(tblPlant[Milled_t],tblPlant[Date],$A225,tblPlant[Head_Grade_gpt],"&lt;&gt;")</f>
        <v/>
      </c>
      <c r="DH225" s="55">
        <f>IF($B225=$B224,$DH224,0)+$DG225</f>
        <v/>
      </c>
      <c r="DI225" s="55">
        <f>$DI224+$DG225</f>
        <v/>
      </c>
      <c r="DJ225" s="55">
        <f>SUMIFS(tblPlant[Milled_t],tblPlant[Date],$A225,tblPlant[Tails_Grade_gpt],"&lt;&gt;")</f>
        <v/>
      </c>
      <c r="DK225" s="55">
        <f>IF($B225=$B224,$DK224,0)+$DJ225</f>
        <v/>
      </c>
      <c r="DL225" s="55">
        <f>$DL224+$DJ225</f>
        <v/>
      </c>
      <c r="DM225" s="55">
        <f>SUMIFS(tblPlant[Feed_oz],tblPlant[Date],$A225,tblPlant[Tails_Grade_gpt],"&lt;&gt;")</f>
        <v/>
      </c>
      <c r="DN225" s="55">
        <f>IF($B225=$B224,$DN224,0)+$DM225</f>
        <v/>
      </c>
      <c r="DO225" s="55">
        <f>$DO224+$DM225</f>
        <v/>
      </c>
      <c r="DP225" s="55">
        <f>SUMIFS(tblPlant[Milled_t],tblPlant[Date],$A225,tblPlant[Mill_Run_h],"&lt;&gt;")</f>
        <v/>
      </c>
      <c r="DQ225" s="55">
        <f>IF($B225=$B224,$DQ224,0)+$DP225</f>
        <v/>
      </c>
      <c r="DR225" s="55">
        <f>$DR224+$DP225</f>
        <v/>
      </c>
      <c r="DS225" s="56">
        <f>IFERROR(IF(($DG225)&gt;0,($CX225*cfg_TroyOz)/($DG225),""),"")</f>
        <v/>
      </c>
      <c r="DT225" s="56">
        <f>IFERROR(IF(($DH225)&gt;0,($CY225*cfg_TroyOz)/($DH225),""),"")</f>
        <v/>
      </c>
      <c r="DU225" s="56">
        <f>IFERROR(IF(($DI225)&gt;0,($CZ225*cfg_TroyOz)/($DI225),""),"")</f>
        <v/>
      </c>
      <c r="DV225" s="56">
        <f>IFERROR(IF(($DJ225)&gt;0,($DA225*cfg_TroyOz)/($DJ225),""),"")</f>
        <v/>
      </c>
      <c r="DW225" s="56">
        <f>IFERROR(IF(($DK225)&gt;0,($DB225*cfg_TroyOz)/($DK225),""),"")</f>
        <v/>
      </c>
      <c r="DX225" s="56">
        <f>IFERROR(IF(($DL225)&gt;0,($DC225*cfg_TroyOz)/($DL225),""),"")</f>
        <v/>
      </c>
      <c r="DY225" s="67">
        <f>IFERROR(IF(($DM225)&gt;0,($DD225)/($DM225),""),"")</f>
        <v/>
      </c>
      <c r="DZ225" s="67">
        <f>IFERROR(IF(($DN225)&gt;0,($DE225)/($DN225),""),"")</f>
        <v/>
      </c>
      <c r="EA225" s="67">
        <f>IFERROR(IF(($DO225)&gt;0,($DF225)/($DO225),""),"")</f>
        <v/>
      </c>
      <c r="EB225" s="55">
        <f>SUMIFS(tblPlant[Gravity_Gold_oz],tblPlant[Date],$A225)</f>
        <v/>
      </c>
      <c r="EC225" s="55">
        <f>IF($B225=$B224,$EC224,0)+$EB225</f>
        <v/>
      </c>
      <c r="ED225" s="55">
        <f>$ED224+$EB225</f>
        <v/>
      </c>
      <c r="EE225" s="67">
        <f>IFERROR(IF(($DD225)&gt;0,($EB225)/($DD225),""),"")</f>
        <v/>
      </c>
      <c r="EF225" s="67">
        <f>IFERROR(IF(($DE225)&gt;0,($EC225)/($DE225),""),"")</f>
        <v/>
      </c>
      <c r="EG225" s="67">
        <f>IFERROR(IF(($DF225)&gt;0,($ED225)/($DF225),""),"")</f>
        <v/>
      </c>
      <c r="EH225" s="55">
        <f>SUMIFS(tblPlant[Gold_Poured_oz],tblPlant[Date],$A225)</f>
        <v/>
      </c>
      <c r="EI225" s="55">
        <f>IF($B225=$B224,$EI224,0)+$EH225</f>
        <v/>
      </c>
      <c r="EJ225" s="55">
        <f>$EJ224+$EH225</f>
        <v/>
      </c>
      <c r="EK225" s="57">
        <f>SUMIFS(tblPlant[Mill_Run_h],tblPlant[Date],$A225)</f>
        <v/>
      </c>
      <c r="EL225" s="57">
        <f>IF($B225=$B224,$EL224,0)+$EK225</f>
        <v/>
      </c>
      <c r="EM225" s="57">
        <f>$EM224+$EK225</f>
        <v/>
      </c>
      <c r="EN225" s="57">
        <f>SUMIFS(tblPlant[Mill_Planned_Maint_h],tblPlant[Date],$A225)</f>
        <v/>
      </c>
      <c r="EO225" s="57">
        <f>IF($B225=$B224,$EO224,0)+$EN225</f>
        <v/>
      </c>
      <c r="EP225" s="57">
        <f>$EP224+$EN225</f>
        <v/>
      </c>
      <c r="EQ225" s="57">
        <f>SUMIFS(tblPlant[Mill_Unplanned_Down_h],tblPlant[Date],$A225)</f>
        <v/>
      </c>
      <c r="ER225" s="57">
        <f>IF($B225=$B224,$ER224,0)+$EQ225</f>
        <v/>
      </c>
      <c r="ES225" s="57">
        <f>$ES224+$EQ225</f>
        <v/>
      </c>
      <c r="ET225" s="57">
        <f>IF(COUNTIFS(tblPlant[Date],$A225,tblPlant[Mill_Run_h],"&lt;&gt;")+COUNTIFS(tblPlant[Date],$A225,tblPlant[Mill_Planned_Maint_h],"&lt;&gt;")+COUNTIFS(tblPlant[Date],$A225,tblPlant[Mill_Unplanned_Down_h],"&lt;&gt;")&gt;0,cfg_HoursPerDay,0)</f>
        <v/>
      </c>
      <c r="EU225" s="57">
        <f>IF($B225=$B224,$EU224,0)+$ET225</f>
        <v/>
      </c>
      <c r="EV225" s="57">
        <f>$EV224+$ET225</f>
        <v/>
      </c>
      <c r="EW225" s="57">
        <f>SUMIFS(tblPlant[Crusher_Run_h],tblPlant[Date],$A225)</f>
        <v/>
      </c>
      <c r="EX225" s="57">
        <f>IF($B225=$B224,$EX224,0)+$EW225</f>
        <v/>
      </c>
      <c r="EY225" s="57">
        <f>$EY224+$EW225</f>
        <v/>
      </c>
      <c r="EZ225" s="55">
        <f>IFERROR(IF(($EK225)&gt;0,($DP225)/($EK225),""),"")</f>
        <v/>
      </c>
      <c r="FA225" s="55">
        <f>IFERROR(IF(($EL225)&gt;0,($DQ225)/($EL225),""),"")</f>
        <v/>
      </c>
      <c r="FB225" s="55">
        <f>IFERROR(IF(($EM225)&gt;0,($DR225)/($EM225),""),"")</f>
        <v/>
      </c>
      <c r="FC225" s="67">
        <f>IFERROR(IF(($ET225)&gt;0,($ET225-$EN225-$EQ225)/($ET225),""),"")</f>
        <v/>
      </c>
      <c r="FD225" s="67">
        <f>IFERROR(IF(($EU225)&gt;0,($EU225-$EO225-$ER225)/($EU225),""),"")</f>
        <v/>
      </c>
      <c r="FE225" s="67">
        <f>IFERROR(IF(($EV225)&gt;0,($EV225-$EP225-$ES225)/($EV225),""),"")</f>
        <v/>
      </c>
      <c r="FF225" s="67">
        <f>IFERROR(IF(($ET225-$EN225-$EQ225)&gt;0,($EK225)/($ET225-$EN225-$EQ225),""),"")</f>
        <v/>
      </c>
      <c r="FG225" s="67">
        <f>IFERROR(IF(($EU225-$EO225-$ER225)&gt;0,($EL225)/($EU225-$EO225-$ER225),""),"")</f>
        <v/>
      </c>
      <c r="FH225" s="67">
        <f>IFERROR(IF(($EV225-$EP225-$ES225)&gt;0,($EM225)/($EV225-$EP225-$ES225),""),"")</f>
        <v/>
      </c>
      <c r="FI225" s="55">
        <f>SUMIFS(tblPlant[Cyanide_kg],tblPlant[Date],$A225)</f>
        <v/>
      </c>
      <c r="FJ225" s="55">
        <f>IF($B225=$B224,$FJ224,0)+$FI225</f>
        <v/>
      </c>
      <c r="FK225" s="55">
        <f>$FK224+$FI225</f>
        <v/>
      </c>
      <c r="FL225" s="55">
        <f>SUMIFS(tblPlant[Lime_kg],tblPlant[Date],$A225)</f>
        <v/>
      </c>
      <c r="FM225" s="55">
        <f>IF($B225=$B224,$FM224,0)+$FL225</f>
        <v/>
      </c>
      <c r="FN225" s="55">
        <f>$FN224+$FL225</f>
        <v/>
      </c>
      <c r="FO225" s="55">
        <f>SUMIFS(tblPlant[Grinding_Media_kg],tblPlant[Date],$A225)</f>
        <v/>
      </c>
      <c r="FP225" s="55">
        <f>IF($B225=$B224,$FP224,0)+$FO225</f>
        <v/>
      </c>
      <c r="FQ225" s="55">
        <f>$FQ224+$FO225</f>
        <v/>
      </c>
      <c r="FR225" s="55">
        <f>SUMIFS(tblPlant[Power_kWh],tblPlant[Date],$A225)</f>
        <v/>
      </c>
      <c r="FS225" s="55">
        <f>IF($B225=$B224,$FS224,0)+$FR225</f>
        <v/>
      </c>
      <c r="FT225" s="55">
        <f>$FT224+$FR225</f>
        <v/>
      </c>
      <c r="FU225" s="55">
        <f>SUMIFS(tblPlant[Raw_Water_m3],tblPlant[Date],$A225)</f>
        <v/>
      </c>
      <c r="FV225" s="55">
        <f>IF($B225=$B224,$FV224,0)+$FU225</f>
        <v/>
      </c>
      <c r="FW225" s="55">
        <f>$FW224+$FU225</f>
        <v/>
      </c>
      <c r="FX225" s="56">
        <f>IFERROR(IF(($CU225)&gt;0,($FI225)/($CU225),""),"")</f>
        <v/>
      </c>
      <c r="FY225" s="56">
        <f>IFERROR(IF(($CV225)&gt;0,($FJ225)/($CV225),""),"")</f>
        <v/>
      </c>
      <c r="FZ225" s="56">
        <f>IFERROR(IF(($CW225)&gt;0,($FK225)/($CW225),""),"")</f>
        <v/>
      </c>
      <c r="GA225" s="56">
        <f>IFERROR(IF(($CU225)&gt;0,($FL225)/($CU225),""),"")</f>
        <v/>
      </c>
      <c r="GB225" s="56">
        <f>IFERROR(IF(($CV225)&gt;0,($FM225)/($CV225),""),"")</f>
        <v/>
      </c>
      <c r="GC225" s="56">
        <f>IFERROR(IF(($CW225)&gt;0,($FN225)/($CW225),""),"")</f>
        <v/>
      </c>
      <c r="GD225" s="56">
        <f>IFERROR(IF(($CU225)&gt;0,($FO225)/($CU225),""),"")</f>
        <v/>
      </c>
      <c r="GE225" s="56">
        <f>IFERROR(IF(($CV225)&gt;0,($FP225)/($CV225),""),"")</f>
        <v/>
      </c>
      <c r="GF225" s="56">
        <f>IFERROR(IF(($CW225)&gt;0,($FQ225)/($CW225),""),"")</f>
        <v/>
      </c>
      <c r="GG225" s="79">
        <f>IFERROR(IF(($CU225)&gt;0,($FR225)/($CU225),""),"")</f>
        <v/>
      </c>
      <c r="GH225" s="79">
        <f>IFERROR(IF(($CV225)&gt;0,($FS225)/($CV225),""),"")</f>
        <v/>
      </c>
      <c r="GI225" s="79">
        <f>IFERROR(IF(($CW225)&gt;0,($FT225)/($CW225),""),"")</f>
        <v/>
      </c>
      <c r="GJ225" s="56">
        <f>IFERROR(IF(($CU225)&gt;0,($FU225)/($CU225),""),"")</f>
        <v/>
      </c>
      <c r="GK225" s="56">
        <f>IFERROR(IF(($CV225)&gt;0,($FV225)/($CV225),""),"")</f>
        <v/>
      </c>
      <c r="GL225" s="56">
        <f>IFERROR(IF(($CW225)&gt;0,($FW225)/($CW225),""),"")</f>
        <v/>
      </c>
      <c r="GM225" s="55">
        <f>IF(SUMIFS(tblPlant[GIC_oz],tblPlant[Date],$A225)&gt;0,SUMIFS(tblPlant[GIC_oz],tblPlant[Date],$A225),"")</f>
        <v/>
      </c>
      <c r="GN225" s="55">
        <f>SUMIFS(tblGold[Gold_oz],tblGold[Date],$A225,tblGold[Type],"Shipment")</f>
        <v/>
      </c>
      <c r="GO225" s="55">
        <f>IF($B225=$B224,$GO224,0)+$GN225</f>
        <v/>
      </c>
      <c r="GP225" s="55">
        <f>$GP224+$GN225</f>
        <v/>
      </c>
      <c r="GQ225" s="55">
        <f>SUMIFS(tblGold[Gold_oz],tblGold[Date],$A225,tblGold[Type],"Sale")</f>
        <v/>
      </c>
      <c r="GR225" s="55">
        <f>IF($B225=$B224,$GR224,0)+$GQ225</f>
        <v/>
      </c>
      <c r="GS225" s="55">
        <f>$GS224+$GQ225</f>
        <v/>
      </c>
      <c r="GT225" s="55">
        <f>SUMIFS(tblGold[Dore_kg],tblGold[Date],$A225,tblGold[Type],"Shipment")</f>
        <v/>
      </c>
      <c r="GU225" s="55">
        <f>IF($B225=$B224,$GU224,0)+$GT225</f>
        <v/>
      </c>
      <c r="GV225" s="55">
        <f>$GV224+$GT225</f>
        <v/>
      </c>
      <c r="GW225" s="57">
        <f>SUMIFS(tblSafety[Hours_Total],tblSafety[Date],$A225)</f>
        <v/>
      </c>
      <c r="GX225" s="57">
        <f>IF($B225=$B224,$GX224,0)+$GW225</f>
        <v/>
      </c>
      <c r="GY225" s="57">
        <f>$GY224+$GW225</f>
        <v/>
      </c>
      <c r="GZ225" s="62">
        <f>SUMIFS(tblSafety[Fatality],tblSafety[Date],$A225)</f>
        <v/>
      </c>
      <c r="HA225" s="62">
        <f>IF($B225=$B224,$HA224,0)+$GZ225</f>
        <v/>
      </c>
      <c r="HB225" s="62">
        <f>$HB224+$GZ225</f>
        <v/>
      </c>
      <c r="HC225" s="62">
        <f>SUMIFS(tblSafety[LTI],tblSafety[Date],$A225)</f>
        <v/>
      </c>
      <c r="HD225" s="62">
        <f>IF($B225=$B224,$HD224,0)+$HC225</f>
        <v/>
      </c>
      <c r="HE225" s="62">
        <f>$HE224+$HC225</f>
        <v/>
      </c>
      <c r="HF225" s="62">
        <f>SUMIFS(tblSafety[RWI],tblSafety[Date],$A225)</f>
        <v/>
      </c>
      <c r="HG225" s="62">
        <f>IF($B225=$B224,$HG224,0)+$HF225</f>
        <v/>
      </c>
      <c r="HH225" s="62">
        <f>$HH224+$HF225</f>
        <v/>
      </c>
      <c r="HI225" s="62">
        <f>SUMIFS(tblSafety[MTI],tblSafety[Date],$A225)</f>
        <v/>
      </c>
      <c r="HJ225" s="62">
        <f>IF($B225=$B224,$HJ224,0)+$HI225</f>
        <v/>
      </c>
      <c r="HK225" s="62">
        <f>$HK224+$HI225</f>
        <v/>
      </c>
      <c r="HL225" s="62">
        <f>SUMIFS(tblSafety[FAI],tblSafety[Date],$A225)</f>
        <v/>
      </c>
      <c r="HM225" s="62">
        <f>IF($B225=$B224,$HM224,0)+$HL225</f>
        <v/>
      </c>
      <c r="HN225" s="62">
        <f>$HN224+$HL225</f>
        <v/>
      </c>
      <c r="HO225" s="62">
        <f>SUMIFS(tblSafety[Recordables],tblSafety[Date],$A225)</f>
        <v/>
      </c>
      <c r="HP225" s="62">
        <f>IF($B225=$B224,$HP224,0)+$HO225</f>
        <v/>
      </c>
      <c r="HQ225" s="62">
        <f>$HQ224+$HO225</f>
        <v/>
      </c>
      <c r="HR225" s="62">
        <f>SUMIFS(tblSafety[Near_Miss],tblSafety[Date],$A225)</f>
        <v/>
      </c>
      <c r="HS225" s="62">
        <f>IF($B225=$B224,$HS224,0)+$HR225</f>
        <v/>
      </c>
      <c r="HT225" s="62">
        <f>$HT224+$HR225</f>
        <v/>
      </c>
      <c r="HU225" s="62">
        <f>SUMIFS(tblSafety[Hazard_Reports],tblSafety[Date],$A225)</f>
        <v/>
      </c>
      <c r="HV225" s="62">
        <f>IF($B225=$B224,$HV224,0)+$HU225</f>
        <v/>
      </c>
      <c r="HW225" s="62">
        <f>$HW224+$HU225</f>
        <v/>
      </c>
      <c r="HX225" s="62">
        <f>SUMIFS(tblSafety[HPI],tblSafety[Date],$A225)</f>
        <v/>
      </c>
      <c r="HY225" s="62">
        <f>IF($B225=$B224,$HY224,0)+$HX225</f>
        <v/>
      </c>
      <c r="HZ225" s="62">
        <f>$HZ224+$HX225</f>
        <v/>
      </c>
      <c r="IA225" s="62">
        <f>SUMIFS(tblSafety[Env_Incidents],tblSafety[Date],$A225)</f>
        <v/>
      </c>
      <c r="IB225" s="62">
        <f>IF($B225=$B224,$IB224,0)+$IA225</f>
        <v/>
      </c>
      <c r="IC225" s="62">
        <f>$IC224+$IA225</f>
        <v/>
      </c>
      <c r="ID225" s="62">
        <f>SUMIFS(tblSafety[Community_Incidents],tblSafety[Date],$A225)</f>
        <v/>
      </c>
      <c r="IE225" s="62">
        <f>IF($B225=$B224,$IE224,0)+$ID225</f>
        <v/>
      </c>
      <c r="IF225" s="62">
        <f>$IF224+$ID225</f>
        <v/>
      </c>
      <c r="IG225" s="62">
        <f>SUMIFS(tblSafety[Vehicle_Incidents],tblSafety[Date],$A225)</f>
        <v/>
      </c>
      <c r="IH225" s="62">
        <f>IF($B225=$B224,$IH224,0)+$IG225</f>
        <v/>
      </c>
      <c r="II225" s="62">
        <f>$II224+$IG225</f>
        <v/>
      </c>
      <c r="IJ225" s="62">
        <f>SUMIFS(tblSafety[Toolbox_Talks],tblSafety[Date],$A225)</f>
        <v/>
      </c>
      <c r="IK225" s="62">
        <f>IF($B225=$B224,$IK224,0)+$IJ225</f>
        <v/>
      </c>
      <c r="IL225" s="62">
        <f>$IL224+$IJ225</f>
        <v/>
      </c>
      <c r="IM225" s="62">
        <f>SUMIFS(tblSafety[Inspections],tblSafety[Date],$A225)</f>
        <v/>
      </c>
      <c r="IN225" s="62">
        <f>IF($B225=$B224,$IN224,0)+$IM225</f>
        <v/>
      </c>
      <c r="IO225" s="62">
        <f>$IO224+$IM225</f>
        <v/>
      </c>
      <c r="IP225" s="56">
        <f>IFERROR((SUMIFS(tblSafety[Recordables],tblSafety[Date],"&gt;="&amp;EDATE($E225,-12),tblSafety[Date],"&lt;="&amp;$A225)+SUMIFS(tblSafetyHistory[Recordables],tblSafetyHistory[Month],"&gt;="&amp;EDATE($E225,-12),tblSafetyHistory[Month],"&lt;"&amp;$E225,tblSafetyHistory[Use],1))/(SUMIFS(tblSafety[Hours_Total],tblSafety[Date],"&gt;="&amp;EDATE($E225,-12),tblSafety[Date],"&lt;="&amp;$A225)+SUMIFS(tblSafetyHistory[Hours_Total],tblSafetyHistory[Month],"&gt;="&amp;EDATE($E225,-12),tblSafetyHistory[Month],"&lt;"&amp;$E225,tblSafetyHistory[Use],1))*cfg_RateBasisHours,"")</f>
        <v/>
      </c>
      <c r="IQ225" s="56">
        <f>IFERROR((SUMIFS(tblSafety[LTI],tblSafety[Date],"&gt;="&amp;EDATE($E225,-12),tblSafety[Date],"&lt;="&amp;$A225)+SUMIFS(tblSafetyHistory[LTI],tblSafetyHistory[Month],"&gt;="&amp;EDATE($E225,-12),tblSafetyHistory[Month],"&lt;"&amp;$E225,tblSafetyHistory[Use],1))/(SUMIFS(tblSafety[Hours_Total],tblSafety[Date],"&gt;="&amp;EDATE($E225,-12),tblSafety[Date],"&lt;="&amp;$A225)+SUMIFS(tblSafetyHistory[Hours_Total],tblSafetyHistory[Month],"&gt;="&amp;EDATE($E225,-12),tblSafetyHistory[Month],"&lt;"&amp;$E225,tblSafetyHistory[Use],1))*cfg_RateBasisHours,"")</f>
        <v/>
      </c>
      <c r="IR225" s="62">
        <f>IF(MAX(N(cfg_PriorLTIDate),_xlfn.MAXIFS(tblSafety[Date],tblSafety[LTI],"&gt;0",tblSafety[Date],"&lt;="&amp;$A225))=0,"",$A225-MAX(N(cfg_PriorLTIDate),_xlfn.MAXIFS(tblSafety[Date],tblSafety[LTI],"&gt;0",tblSafety[Date],"&lt;="&amp;$A225)))</f>
        <v/>
      </c>
      <c r="IS225" s="55">
        <f>SUMIFS(tblBudget[Ore_Mined_t],tblBudget[Month],$E225)</f>
        <v/>
      </c>
      <c r="IT225" s="55">
        <f>$IS225*$C225/$D225</f>
        <v/>
      </c>
      <c r="IU225" s="55">
        <f>SUMIFS(tblBudget[Ore_Mined_t],tblBudget[Month],"&lt;"&amp;$E225)+$IT225</f>
        <v/>
      </c>
      <c r="IV225" s="55">
        <f>SUMIFS(tblBudget[Ore_oz],tblBudget[Month],$E225)</f>
        <v/>
      </c>
      <c r="IW225" s="55">
        <f>$IV225*$C225/$D225</f>
        <v/>
      </c>
      <c r="IX225" s="55">
        <f>SUMIFS(tblBudget[Ore_oz],tblBudget[Month],"&lt;"&amp;$E225)+$IW225</f>
        <v/>
      </c>
      <c r="IY225" s="55">
        <f>SUMIFS(tblBudget[Ore_Mined_t],tblBudget[Month],$E225)</f>
        <v/>
      </c>
      <c r="IZ225" s="55">
        <f>$IY225*$C225/$D225</f>
        <v/>
      </c>
      <c r="JA225" s="55">
        <f>SUMIFS(tblBudget[Ore_Mined_t],tblBudget[Month],"&lt;"&amp;$E225)+$IZ225</f>
        <v/>
      </c>
      <c r="JB225" s="56">
        <f>IFERROR(IF(($IY225)&gt;0,($IV225*cfg_TroyOz)/($IY225),""),"")</f>
        <v/>
      </c>
      <c r="JC225" s="56">
        <f>IFERROR(IF(($IZ225)&gt;0,($IW225*cfg_TroyOz)/($IZ225),""),"")</f>
        <v/>
      </c>
      <c r="JD225" s="56">
        <f>IFERROR(IF(($JA225)&gt;0,($IX225*cfg_TroyOz)/($JA225),""),"")</f>
        <v/>
      </c>
      <c r="JE225" s="55">
        <f>SUMIFS(tblBudget[Waste_t],tblBudget[Month],$E225)</f>
        <v/>
      </c>
      <c r="JF225" s="55">
        <f>$JE225*$C225/$D225</f>
        <v/>
      </c>
      <c r="JG225" s="55">
        <f>SUMIFS(tblBudget[Waste_t],tblBudget[Month],"&lt;"&amp;$E225)+$JF225</f>
        <v/>
      </c>
      <c r="JH225" s="55">
        <f>SUMIFS(tblBudget[TMM_t],tblBudget[Month],$E225)</f>
        <v/>
      </c>
      <c r="JI225" s="55">
        <f>$JH225*$C225/$D225</f>
        <v/>
      </c>
      <c r="JJ225" s="55">
        <f>SUMIFS(tblBudget[TMM_t],tblBudget[Month],"&lt;"&amp;$E225)+$JI225</f>
        <v/>
      </c>
      <c r="JK225" s="56">
        <f>IFERROR(IF(($IS225)&gt;0,($JE225)/($IS225),""),"")</f>
        <v/>
      </c>
      <c r="JL225" s="56">
        <f>IFERROR(IF(($IT225)&gt;0,($JF225)/($IT225),""),"")</f>
        <v/>
      </c>
      <c r="JM225" s="56">
        <f>IFERROR(IF(($IU225)&gt;0,($JG225)/($IU225),""),"")</f>
        <v/>
      </c>
      <c r="JN225" s="55">
        <f>SUMIFS(tblBudget[Drill_m],tblBudget[Month],$E225)</f>
        <v/>
      </c>
      <c r="JO225" s="55">
        <f>$JN225*$C225/$D225</f>
        <v/>
      </c>
      <c r="JP225" s="55">
        <f>SUMIFS(tblBudget[Drill_m],tblBudget[Month],"&lt;"&amp;$E225)+$JO225</f>
        <v/>
      </c>
      <c r="JQ225" s="55">
        <f>SUMIFS(tblBudget[Diesel_L],tblBudget[Month],$E225)</f>
        <v/>
      </c>
      <c r="JR225" s="55">
        <f>$JQ225*$C225/$D225</f>
        <v/>
      </c>
      <c r="JS225" s="55">
        <f>SUMIFS(tblBudget[Diesel_L],tblBudget[Month],"&lt;"&amp;$E225)+$JR225</f>
        <v/>
      </c>
      <c r="JT225" s="55">
        <f>SUMIFS(tblBudget[Milled_t],tblBudget[Month],$E225)</f>
        <v/>
      </c>
      <c r="JU225" s="55">
        <f>$JT225*$C225/$D225</f>
        <v/>
      </c>
      <c r="JV225" s="55">
        <f>SUMIFS(tblBudget[Milled_t],tblBudget[Month],"&lt;"&amp;$E225)+$JU225</f>
        <v/>
      </c>
      <c r="JW225" s="55">
        <f>SUMIFS(tblBudget[Feed_oz],tblBudget[Month],$E225)</f>
        <v/>
      </c>
      <c r="JX225" s="55">
        <f>$JW225*$C225/$D225</f>
        <v/>
      </c>
      <c r="JY225" s="55">
        <f>SUMIFS(tblBudget[Feed_oz],tblBudget[Month],"&lt;"&amp;$E225)+$JX225</f>
        <v/>
      </c>
      <c r="JZ225" s="55">
        <f>SUMIFS(tblBudget[Recovered_oz],tblBudget[Month],$E225)</f>
        <v/>
      </c>
      <c r="KA225" s="55">
        <f>$JZ225*$C225/$D225</f>
        <v/>
      </c>
      <c r="KB225" s="55">
        <f>SUMIFS(tblBudget[Recovered_oz],tblBudget[Month],"&lt;"&amp;$E225)+$KA225</f>
        <v/>
      </c>
      <c r="KC225" s="55">
        <f>SUMIFS(tblBudget[Milled_t],tblBudget[Month],$E225)</f>
        <v/>
      </c>
      <c r="KD225" s="55">
        <f>$KC225*$C225/$D225</f>
        <v/>
      </c>
      <c r="KE225" s="55">
        <f>SUMIFS(tblBudget[Milled_t],tblBudget[Month],"&lt;"&amp;$E225)+$KD225</f>
        <v/>
      </c>
      <c r="KF225" s="55">
        <f>SUMIFS(tblBudget[Feed_oz],tblBudget[Month],$E225)</f>
        <v/>
      </c>
      <c r="KG225" s="55">
        <f>$KF225*$C225/$D225</f>
        <v/>
      </c>
      <c r="KH225" s="55">
        <f>SUMIFS(tblBudget[Feed_oz],tblBudget[Month],"&lt;"&amp;$E225)+$KG225</f>
        <v/>
      </c>
      <c r="KI225" s="56">
        <f>IFERROR(IF(($KC225)&gt;0,($JW225*cfg_TroyOz)/($KC225),""),"")</f>
        <v/>
      </c>
      <c r="KJ225" s="56">
        <f>IFERROR(IF(($KD225)&gt;0,($JX225*cfg_TroyOz)/($KD225),""),"")</f>
        <v/>
      </c>
      <c r="KK225" s="56">
        <f>IFERROR(IF(($KE225)&gt;0,($JY225*cfg_TroyOz)/($KE225),""),"")</f>
        <v/>
      </c>
      <c r="KL225" s="67">
        <f>IFERROR(IF(($KF225)&gt;0,($JZ225)/($KF225),""),"")</f>
        <v/>
      </c>
      <c r="KM225" s="67">
        <f>IFERROR(IF(($KG225)&gt;0,($KA225)/($KG225),""),"")</f>
        <v/>
      </c>
      <c r="KN225" s="67">
        <f>IFERROR(IF(($KH225)&gt;0,($KB225)/($KH225),""),"")</f>
        <v/>
      </c>
      <c r="KO225" s="55">
        <f>SUMIFS(tblBudget[Gold_Poured_oz],tblBudget[Month],$E225)</f>
        <v/>
      </c>
      <c r="KP225" s="55">
        <f>$KO225*$C225/$D225</f>
        <v/>
      </c>
      <c r="KQ225" s="55">
        <f>SUMIFS(tblBudget[Gold_Poured_oz],tblBudget[Month],"&lt;"&amp;$E225)+$KP225</f>
        <v/>
      </c>
      <c r="KR225" s="57">
        <f>SUMIFS(tblBudget[Hours_Worked],tblBudget[Month],$E225)</f>
        <v/>
      </c>
      <c r="KS225" s="57">
        <f>$KR225*$C225/$D225</f>
        <v/>
      </c>
      <c r="KT225" s="57">
        <f>SUMIFS(tblBudget[Hours_Worked],tblBudget[Month],"&lt;"&amp;$E225)+$KS225</f>
        <v/>
      </c>
    </row>
    <row r="226">
      <c r="A226" s="54" t="n">
        <v>46247</v>
      </c>
      <c r="B226">
        <f>MONTH($A226)</f>
        <v/>
      </c>
      <c r="C226">
        <f>DAY($A226)</f>
        <v/>
      </c>
      <c r="D226">
        <f>DAY(EOMONTH($A226,0))</f>
        <v/>
      </c>
      <c r="E226" s="54">
        <f>DATE(YEAR($A226),MONTH($A226),1)</f>
        <v/>
      </c>
      <c r="F226" s="55">
        <f>SUMIFS(tblMovement[Tonnes_t],tblMovement[Date],$A226,tblMovement[Is_Ore],1,tblMovement[Source_Type],"Pit")</f>
        <v/>
      </c>
      <c r="G226" s="55">
        <f>IF($B226=$B225,$G225,0)+$F226</f>
        <v/>
      </c>
      <c r="H226" s="55">
        <f>$H225+$F226</f>
        <v/>
      </c>
      <c r="I226" s="55">
        <f>SUMIFS(tblMovement[Ore_oz],tblMovement[Date],$A226,tblMovement[Source_Type],"Pit")</f>
        <v/>
      </c>
      <c r="J226" s="55">
        <f>IF($B226=$B225,$J225,0)+$I226</f>
        <v/>
      </c>
      <c r="K226" s="55">
        <f>$K225+$I226</f>
        <v/>
      </c>
      <c r="L226" s="55">
        <f>SUMIFS(tblMovement[Tonnes_t],tblMovement[Date],$A226,tblMovement[Is_Ore],1,tblMovement[Source_Type],"Pit",tblMovement[Grade_gpt],"&lt;&gt;")</f>
        <v/>
      </c>
      <c r="M226" s="55">
        <f>IF($B226=$B225,$M225,0)+$L226</f>
        <v/>
      </c>
      <c r="N226" s="55">
        <f>$N225+$L226</f>
        <v/>
      </c>
      <c r="O226" s="56">
        <f>IFERROR(IF(($L226)&gt;0,($I226*cfg_TroyOz)/($L226),""),"")</f>
        <v/>
      </c>
      <c r="P226" s="56">
        <f>IFERROR(IF(($M226)&gt;0,($J226*cfg_TroyOz)/($M226),""),"")</f>
        <v/>
      </c>
      <c r="Q226" s="56">
        <f>IFERROR(IF(($N226)&gt;0,($K226*cfg_TroyOz)/($N226),""),"")</f>
        <v/>
      </c>
      <c r="R226" s="55">
        <f>$F226-$L226</f>
        <v/>
      </c>
      <c r="S226" s="55">
        <f>IF($B226=$B225,$S225,0)+$R226</f>
        <v/>
      </c>
      <c r="T226" s="55">
        <f>$T225+$R226</f>
        <v/>
      </c>
      <c r="U226" s="55">
        <f>SUMIFS(tblMovement[Tonnes_t],tblMovement[Date],$A226,tblMovement[Is_Ore],0,tblMovement[Source_Type],"Pit")</f>
        <v/>
      </c>
      <c r="V226" s="55">
        <f>IF($B226=$B225,$V225,0)+$U226</f>
        <v/>
      </c>
      <c r="W226" s="55">
        <f>$W225+$U226</f>
        <v/>
      </c>
      <c r="X226" s="55">
        <f>$F226+$U226</f>
        <v/>
      </c>
      <c r="Y226" s="55">
        <f>IF($B226=$B225,$Y225,0)+$X226</f>
        <v/>
      </c>
      <c r="Z226" s="55">
        <f>$Z225+$X226</f>
        <v/>
      </c>
      <c r="AA226" s="56">
        <f>IFERROR(IF(($F226)&gt;0,($U226)/($F226),""),"")</f>
        <v/>
      </c>
      <c r="AB226" s="56">
        <f>IFERROR(IF(($G226)&gt;0,($V226)/($G226),""),"")</f>
        <v/>
      </c>
      <c r="AC226" s="56">
        <f>IFERROR(IF(($H226)&gt;0,($W226)/($H226),""),"")</f>
        <v/>
      </c>
      <c r="AD226" s="55">
        <f>SUMIFS(tblMovement[Tonnes_t],tblMovement[Date],$A226,tblMovement[Source_Type],"Stockpile")</f>
        <v/>
      </c>
      <c r="AE226" s="55">
        <f>IF($B226=$B225,$AE225,0)+$AD226</f>
        <v/>
      </c>
      <c r="AF226" s="55">
        <f>$AF225+$AD226</f>
        <v/>
      </c>
      <c r="AG226" s="55">
        <f>SUMIFS(tblMovement[Tonnes_t],tblMovement[Date],$A226)</f>
        <v/>
      </c>
      <c r="AH226" s="55">
        <f>IF($B226=$B225,$AH225,0)+$AG226</f>
        <v/>
      </c>
      <c r="AI226" s="55">
        <f>$AI225+$AG226</f>
        <v/>
      </c>
      <c r="AJ226" s="55">
        <f>$AG226-$X226-$AD226</f>
        <v/>
      </c>
      <c r="AK226" s="55">
        <f>IF($B226=$B225,$AK225,0)+$AJ226</f>
        <v/>
      </c>
      <c r="AL226" s="55">
        <f>$AL225+$AJ226</f>
        <v/>
      </c>
      <c r="AM226" s="55">
        <f>SUMIFS(tblMiningDaily[Drill_m],tblMiningDaily[Date],$A226)</f>
        <v/>
      </c>
      <c r="AN226" s="55">
        <f>IF($B226=$B225,$AN225,0)+$AM226</f>
        <v/>
      </c>
      <c r="AO226" s="55">
        <f>$AO225+$AM226</f>
        <v/>
      </c>
      <c r="AP226" s="55">
        <f>SUMIFS(tblMiningDaily[GC_Drill_m],tblMiningDaily[Date],$A226)</f>
        <v/>
      </c>
      <c r="AQ226" s="55">
        <f>IF($B226=$B225,$AQ225,0)+$AP226</f>
        <v/>
      </c>
      <c r="AR226" s="55">
        <f>$AR225+$AP226</f>
        <v/>
      </c>
      <c r="AS226" s="55">
        <f>SUMIFS(tblMiningDaily[Blast_t],tblMiningDaily[Date],$A226)</f>
        <v/>
      </c>
      <c r="AT226" s="55">
        <f>IF($B226=$B225,$AT225,0)+$AS226</f>
        <v/>
      </c>
      <c r="AU226" s="55">
        <f>$AU225+$AS226</f>
        <v/>
      </c>
      <c r="AV226" s="55">
        <f>SUMIFS(tblMiningDaily[Explosives_kg],tblMiningDaily[Date],$A226)</f>
        <v/>
      </c>
      <c r="AW226" s="55">
        <f>IF($B226=$B225,$AW225,0)+$AV226</f>
        <v/>
      </c>
      <c r="AX226" s="55">
        <f>$AX225+$AV226</f>
        <v/>
      </c>
      <c r="AY226" s="56">
        <f>IFERROR(IF(($AS226)&gt;0,($AV226)/($AS226),""),"")</f>
        <v/>
      </c>
      <c r="AZ226" s="56">
        <f>IFERROR(IF(($AT226)&gt;0,($AW226)/($AT226),""),"")</f>
        <v/>
      </c>
      <c r="BA226" s="56">
        <f>IFERROR(IF(($AU226)&gt;0,($AX226)/($AU226),""),"")</f>
        <v/>
      </c>
      <c r="BB226" s="55">
        <f>SUMIFS(tblMiningDaily[Diesel_L],tblMiningDaily[Date],$A226)</f>
        <v/>
      </c>
      <c r="BC226" s="55">
        <f>IF($B226=$B225,$BC225,0)+$BB226</f>
        <v/>
      </c>
      <c r="BD226" s="55">
        <f>$BD225+$BB226</f>
        <v/>
      </c>
      <c r="BE226" s="55">
        <f>SUMIFS(tblMiningDaily[Dewatering_m3],tblMiningDaily[Date],$A226)</f>
        <v/>
      </c>
      <c r="BF226" s="55">
        <f>IF($B226=$B225,$BF225,0)+$BE226</f>
        <v/>
      </c>
      <c r="BG226" s="55">
        <f>$BG225+$BE226</f>
        <v/>
      </c>
      <c r="BH226" s="57">
        <f>SUMIFS(tblFleet[Calendar_h],tblFleet[Date],$A226,tblFleet[Equipment_Class],"Excavator")</f>
        <v/>
      </c>
      <c r="BI226" s="57">
        <f>IF($B226=$B225,$BI225,0)+$BH226</f>
        <v/>
      </c>
      <c r="BJ226" s="57">
        <f>$BJ225+$BH226</f>
        <v/>
      </c>
      <c r="BK226" s="57">
        <f>SUMIFS(tblFleet[Available_h],tblFleet[Date],$A226,tblFleet[Equipment_Class],"Excavator")</f>
        <v/>
      </c>
      <c r="BL226" s="57">
        <f>IF($B226=$B225,$BL225,0)+$BK226</f>
        <v/>
      </c>
      <c r="BM226" s="57">
        <f>$BM225+$BK226</f>
        <v/>
      </c>
      <c r="BN226" s="57">
        <f>SUMIFS(tblFleet[Operating_h],tblFleet[Date],$A226,tblFleet[Equipment_Class],"Excavator")</f>
        <v/>
      </c>
      <c r="BO226" s="57">
        <f>IF($B226=$B225,$BO225,0)+$BN226</f>
        <v/>
      </c>
      <c r="BP226" s="57">
        <f>$BP225+$BN226</f>
        <v/>
      </c>
      <c r="BQ226" s="67">
        <f>IFERROR(IF(($BH226)&gt;0,($BK226)/($BH226),""),"")</f>
        <v/>
      </c>
      <c r="BR226" s="67">
        <f>IFERROR(IF(($BI226)&gt;0,($BL226)/($BI226),""),"")</f>
        <v/>
      </c>
      <c r="BS226" s="67">
        <f>IFERROR(IF(($BJ226)&gt;0,($BM226)/($BJ226),""),"")</f>
        <v/>
      </c>
      <c r="BT226" s="67">
        <f>IFERROR(IF(($BK226)&gt;0,($BN226)/($BK226),""),"")</f>
        <v/>
      </c>
      <c r="BU226" s="67">
        <f>IFERROR(IF(($BL226)&gt;0,($BO226)/($BL226),""),"")</f>
        <v/>
      </c>
      <c r="BV226" s="67">
        <f>IFERROR(IF(($BM226)&gt;0,($BP226)/($BM226),""),"")</f>
        <v/>
      </c>
      <c r="BW226" s="57">
        <f>SUMIFS(tblFleet[Calendar_h],tblFleet[Date],$A226,tblFleet[Equipment_Class],"Haul Truck")</f>
        <v/>
      </c>
      <c r="BX226" s="57">
        <f>IF($B226=$B225,$BX225,0)+$BW226</f>
        <v/>
      </c>
      <c r="BY226" s="57">
        <f>$BY225+$BW226</f>
        <v/>
      </c>
      <c r="BZ226" s="57">
        <f>SUMIFS(tblFleet[Available_h],tblFleet[Date],$A226,tblFleet[Equipment_Class],"Haul Truck")</f>
        <v/>
      </c>
      <c r="CA226" s="57">
        <f>IF($B226=$B225,$CA225,0)+$BZ226</f>
        <v/>
      </c>
      <c r="CB226" s="57">
        <f>$CB225+$BZ226</f>
        <v/>
      </c>
      <c r="CC226" s="57">
        <f>SUMIFS(tblFleet[Operating_h],tblFleet[Date],$A226,tblFleet[Equipment_Class],"Haul Truck")</f>
        <v/>
      </c>
      <c r="CD226" s="57">
        <f>IF($B226=$B225,$CD225,0)+$CC226</f>
        <v/>
      </c>
      <c r="CE226" s="57">
        <f>$CE225+$CC226</f>
        <v/>
      </c>
      <c r="CF226" s="67">
        <f>IFERROR(IF(($BW226)&gt;0,($BZ226)/($BW226),""),"")</f>
        <v/>
      </c>
      <c r="CG226" s="67">
        <f>IFERROR(IF(($BX226)&gt;0,($CA226)/($BX226),""),"")</f>
        <v/>
      </c>
      <c r="CH226" s="67">
        <f>IFERROR(IF(($BY226)&gt;0,($CB226)/($BY226),""),"")</f>
        <v/>
      </c>
      <c r="CI226" s="67">
        <f>IFERROR(IF(($BZ226)&gt;0,($CC226)/($BZ226),""),"")</f>
        <v/>
      </c>
      <c r="CJ226" s="67">
        <f>IFERROR(IF(($CA226)&gt;0,($CD226)/($CA226),""),"")</f>
        <v/>
      </c>
      <c r="CK226" s="67">
        <f>IFERROR(IF(($CB226)&gt;0,($CE226)/($CB226),""),"")</f>
        <v/>
      </c>
      <c r="CL226" s="55">
        <f>IFERROR(IF(($BN226)&gt;0,($X226+$AD226)/($BN226),""),"")</f>
        <v/>
      </c>
      <c r="CM226" s="55">
        <f>IFERROR(IF(($BO226)&gt;0,($Y226+$AE226)/($BO226),""),"")</f>
        <v/>
      </c>
      <c r="CN226" s="55">
        <f>IFERROR(IF(($BP226)&gt;0,($Z226+$AF226)/($BP226),""),"")</f>
        <v/>
      </c>
      <c r="CO226" s="55">
        <f>IFERROR(IF(($CC226)&gt;0,($X226+$AD226)/($CC226),""),"")</f>
        <v/>
      </c>
      <c r="CP226" s="55">
        <f>IFERROR(IF(($CD226)&gt;0,($Y226+$AE226)/($CD226),""),"")</f>
        <v/>
      </c>
      <c r="CQ226" s="55">
        <f>IFERROR(IF(($CE226)&gt;0,($Z226+$AF226)/($CE226),""),"")</f>
        <v/>
      </c>
      <c r="CR226" s="55">
        <f>SUMIFS(tblPlant[Crushed_t],tblPlant[Date],$A226)</f>
        <v/>
      </c>
      <c r="CS226" s="55">
        <f>IF($B226=$B225,$CS225,0)+$CR226</f>
        <v/>
      </c>
      <c r="CT226" s="55">
        <f>$CT225+$CR226</f>
        <v/>
      </c>
      <c r="CU226" s="55">
        <f>SUMIFS(tblPlant[Milled_t],tblPlant[Date],$A226)</f>
        <v/>
      </c>
      <c r="CV226" s="55">
        <f>IF($B226=$B225,$CV225,0)+$CU226</f>
        <v/>
      </c>
      <c r="CW226" s="55">
        <f>$CW225+$CU226</f>
        <v/>
      </c>
      <c r="CX226" s="55">
        <f>SUMIFS(tblPlant[Feed_oz],tblPlant[Date],$A226)</f>
        <v/>
      </c>
      <c r="CY226" s="55">
        <f>IF($B226=$B225,$CY225,0)+$CX226</f>
        <v/>
      </c>
      <c r="CZ226" s="55">
        <f>$CZ225+$CX226</f>
        <v/>
      </c>
      <c r="DA226" s="55">
        <f>SUMIFS(tblPlant[Tails_oz],tblPlant[Date],$A226)</f>
        <v/>
      </c>
      <c r="DB226" s="55">
        <f>IF($B226=$B225,$DB225,0)+$DA226</f>
        <v/>
      </c>
      <c r="DC226" s="55">
        <f>$DC225+$DA226</f>
        <v/>
      </c>
      <c r="DD226" s="55">
        <f>SUMIFS(tblPlant[Recovered_oz],tblPlant[Date],$A226)</f>
        <v/>
      </c>
      <c r="DE226" s="55">
        <f>IF($B226=$B225,$DE225,0)+$DD226</f>
        <v/>
      </c>
      <c r="DF226" s="55">
        <f>$DF225+$DD226</f>
        <v/>
      </c>
      <c r="DG226" s="55">
        <f>SUMIFS(tblPlant[Milled_t],tblPlant[Date],$A226,tblPlant[Head_Grade_gpt],"&lt;&gt;")</f>
        <v/>
      </c>
      <c r="DH226" s="55">
        <f>IF($B226=$B225,$DH225,0)+$DG226</f>
        <v/>
      </c>
      <c r="DI226" s="55">
        <f>$DI225+$DG226</f>
        <v/>
      </c>
      <c r="DJ226" s="55">
        <f>SUMIFS(tblPlant[Milled_t],tblPlant[Date],$A226,tblPlant[Tails_Grade_gpt],"&lt;&gt;")</f>
        <v/>
      </c>
      <c r="DK226" s="55">
        <f>IF($B226=$B225,$DK225,0)+$DJ226</f>
        <v/>
      </c>
      <c r="DL226" s="55">
        <f>$DL225+$DJ226</f>
        <v/>
      </c>
      <c r="DM226" s="55">
        <f>SUMIFS(tblPlant[Feed_oz],tblPlant[Date],$A226,tblPlant[Tails_Grade_gpt],"&lt;&gt;")</f>
        <v/>
      </c>
      <c r="DN226" s="55">
        <f>IF($B226=$B225,$DN225,0)+$DM226</f>
        <v/>
      </c>
      <c r="DO226" s="55">
        <f>$DO225+$DM226</f>
        <v/>
      </c>
      <c r="DP226" s="55">
        <f>SUMIFS(tblPlant[Milled_t],tblPlant[Date],$A226,tblPlant[Mill_Run_h],"&lt;&gt;")</f>
        <v/>
      </c>
      <c r="DQ226" s="55">
        <f>IF($B226=$B225,$DQ225,0)+$DP226</f>
        <v/>
      </c>
      <c r="DR226" s="55">
        <f>$DR225+$DP226</f>
        <v/>
      </c>
      <c r="DS226" s="56">
        <f>IFERROR(IF(($DG226)&gt;0,($CX226*cfg_TroyOz)/($DG226),""),"")</f>
        <v/>
      </c>
      <c r="DT226" s="56">
        <f>IFERROR(IF(($DH226)&gt;0,($CY226*cfg_TroyOz)/($DH226),""),"")</f>
        <v/>
      </c>
      <c r="DU226" s="56">
        <f>IFERROR(IF(($DI226)&gt;0,($CZ226*cfg_TroyOz)/($DI226),""),"")</f>
        <v/>
      </c>
      <c r="DV226" s="56">
        <f>IFERROR(IF(($DJ226)&gt;0,($DA226*cfg_TroyOz)/($DJ226),""),"")</f>
        <v/>
      </c>
      <c r="DW226" s="56">
        <f>IFERROR(IF(($DK226)&gt;0,($DB226*cfg_TroyOz)/($DK226),""),"")</f>
        <v/>
      </c>
      <c r="DX226" s="56">
        <f>IFERROR(IF(($DL226)&gt;0,($DC226*cfg_TroyOz)/($DL226),""),"")</f>
        <v/>
      </c>
      <c r="DY226" s="67">
        <f>IFERROR(IF(($DM226)&gt;0,($DD226)/($DM226),""),"")</f>
        <v/>
      </c>
      <c r="DZ226" s="67">
        <f>IFERROR(IF(($DN226)&gt;0,($DE226)/($DN226),""),"")</f>
        <v/>
      </c>
      <c r="EA226" s="67">
        <f>IFERROR(IF(($DO226)&gt;0,($DF226)/($DO226),""),"")</f>
        <v/>
      </c>
      <c r="EB226" s="55">
        <f>SUMIFS(tblPlant[Gravity_Gold_oz],tblPlant[Date],$A226)</f>
        <v/>
      </c>
      <c r="EC226" s="55">
        <f>IF($B226=$B225,$EC225,0)+$EB226</f>
        <v/>
      </c>
      <c r="ED226" s="55">
        <f>$ED225+$EB226</f>
        <v/>
      </c>
      <c r="EE226" s="67">
        <f>IFERROR(IF(($DD226)&gt;0,($EB226)/($DD226),""),"")</f>
        <v/>
      </c>
      <c r="EF226" s="67">
        <f>IFERROR(IF(($DE226)&gt;0,($EC226)/($DE226),""),"")</f>
        <v/>
      </c>
      <c r="EG226" s="67">
        <f>IFERROR(IF(($DF226)&gt;0,($ED226)/($DF226),""),"")</f>
        <v/>
      </c>
      <c r="EH226" s="55">
        <f>SUMIFS(tblPlant[Gold_Poured_oz],tblPlant[Date],$A226)</f>
        <v/>
      </c>
      <c r="EI226" s="55">
        <f>IF($B226=$B225,$EI225,0)+$EH226</f>
        <v/>
      </c>
      <c r="EJ226" s="55">
        <f>$EJ225+$EH226</f>
        <v/>
      </c>
      <c r="EK226" s="57">
        <f>SUMIFS(tblPlant[Mill_Run_h],tblPlant[Date],$A226)</f>
        <v/>
      </c>
      <c r="EL226" s="57">
        <f>IF($B226=$B225,$EL225,0)+$EK226</f>
        <v/>
      </c>
      <c r="EM226" s="57">
        <f>$EM225+$EK226</f>
        <v/>
      </c>
      <c r="EN226" s="57">
        <f>SUMIFS(tblPlant[Mill_Planned_Maint_h],tblPlant[Date],$A226)</f>
        <v/>
      </c>
      <c r="EO226" s="57">
        <f>IF($B226=$B225,$EO225,0)+$EN226</f>
        <v/>
      </c>
      <c r="EP226" s="57">
        <f>$EP225+$EN226</f>
        <v/>
      </c>
      <c r="EQ226" s="57">
        <f>SUMIFS(tblPlant[Mill_Unplanned_Down_h],tblPlant[Date],$A226)</f>
        <v/>
      </c>
      <c r="ER226" s="57">
        <f>IF($B226=$B225,$ER225,0)+$EQ226</f>
        <v/>
      </c>
      <c r="ES226" s="57">
        <f>$ES225+$EQ226</f>
        <v/>
      </c>
      <c r="ET226" s="57">
        <f>IF(COUNTIFS(tblPlant[Date],$A226,tblPlant[Mill_Run_h],"&lt;&gt;")+COUNTIFS(tblPlant[Date],$A226,tblPlant[Mill_Planned_Maint_h],"&lt;&gt;")+COUNTIFS(tblPlant[Date],$A226,tblPlant[Mill_Unplanned_Down_h],"&lt;&gt;")&gt;0,cfg_HoursPerDay,0)</f>
        <v/>
      </c>
      <c r="EU226" s="57">
        <f>IF($B226=$B225,$EU225,0)+$ET226</f>
        <v/>
      </c>
      <c r="EV226" s="57">
        <f>$EV225+$ET226</f>
        <v/>
      </c>
      <c r="EW226" s="57">
        <f>SUMIFS(tblPlant[Crusher_Run_h],tblPlant[Date],$A226)</f>
        <v/>
      </c>
      <c r="EX226" s="57">
        <f>IF($B226=$B225,$EX225,0)+$EW226</f>
        <v/>
      </c>
      <c r="EY226" s="57">
        <f>$EY225+$EW226</f>
        <v/>
      </c>
      <c r="EZ226" s="55">
        <f>IFERROR(IF(($EK226)&gt;0,($DP226)/($EK226),""),"")</f>
        <v/>
      </c>
      <c r="FA226" s="55">
        <f>IFERROR(IF(($EL226)&gt;0,($DQ226)/($EL226),""),"")</f>
        <v/>
      </c>
      <c r="FB226" s="55">
        <f>IFERROR(IF(($EM226)&gt;0,($DR226)/($EM226),""),"")</f>
        <v/>
      </c>
      <c r="FC226" s="67">
        <f>IFERROR(IF(($ET226)&gt;0,($ET226-$EN226-$EQ226)/($ET226),""),"")</f>
        <v/>
      </c>
      <c r="FD226" s="67">
        <f>IFERROR(IF(($EU226)&gt;0,($EU226-$EO226-$ER226)/($EU226),""),"")</f>
        <v/>
      </c>
      <c r="FE226" s="67">
        <f>IFERROR(IF(($EV226)&gt;0,($EV226-$EP226-$ES226)/($EV226),""),"")</f>
        <v/>
      </c>
      <c r="FF226" s="67">
        <f>IFERROR(IF(($ET226-$EN226-$EQ226)&gt;0,($EK226)/($ET226-$EN226-$EQ226),""),"")</f>
        <v/>
      </c>
      <c r="FG226" s="67">
        <f>IFERROR(IF(($EU226-$EO226-$ER226)&gt;0,($EL226)/($EU226-$EO226-$ER226),""),"")</f>
        <v/>
      </c>
      <c r="FH226" s="67">
        <f>IFERROR(IF(($EV226-$EP226-$ES226)&gt;0,($EM226)/($EV226-$EP226-$ES226),""),"")</f>
        <v/>
      </c>
      <c r="FI226" s="55">
        <f>SUMIFS(tblPlant[Cyanide_kg],tblPlant[Date],$A226)</f>
        <v/>
      </c>
      <c r="FJ226" s="55">
        <f>IF($B226=$B225,$FJ225,0)+$FI226</f>
        <v/>
      </c>
      <c r="FK226" s="55">
        <f>$FK225+$FI226</f>
        <v/>
      </c>
      <c r="FL226" s="55">
        <f>SUMIFS(tblPlant[Lime_kg],tblPlant[Date],$A226)</f>
        <v/>
      </c>
      <c r="FM226" s="55">
        <f>IF($B226=$B225,$FM225,0)+$FL226</f>
        <v/>
      </c>
      <c r="FN226" s="55">
        <f>$FN225+$FL226</f>
        <v/>
      </c>
      <c r="FO226" s="55">
        <f>SUMIFS(tblPlant[Grinding_Media_kg],tblPlant[Date],$A226)</f>
        <v/>
      </c>
      <c r="FP226" s="55">
        <f>IF($B226=$B225,$FP225,0)+$FO226</f>
        <v/>
      </c>
      <c r="FQ226" s="55">
        <f>$FQ225+$FO226</f>
        <v/>
      </c>
      <c r="FR226" s="55">
        <f>SUMIFS(tblPlant[Power_kWh],tblPlant[Date],$A226)</f>
        <v/>
      </c>
      <c r="FS226" s="55">
        <f>IF($B226=$B225,$FS225,0)+$FR226</f>
        <v/>
      </c>
      <c r="FT226" s="55">
        <f>$FT225+$FR226</f>
        <v/>
      </c>
      <c r="FU226" s="55">
        <f>SUMIFS(tblPlant[Raw_Water_m3],tblPlant[Date],$A226)</f>
        <v/>
      </c>
      <c r="FV226" s="55">
        <f>IF($B226=$B225,$FV225,0)+$FU226</f>
        <v/>
      </c>
      <c r="FW226" s="55">
        <f>$FW225+$FU226</f>
        <v/>
      </c>
      <c r="FX226" s="56">
        <f>IFERROR(IF(($CU226)&gt;0,($FI226)/($CU226),""),"")</f>
        <v/>
      </c>
      <c r="FY226" s="56">
        <f>IFERROR(IF(($CV226)&gt;0,($FJ226)/($CV226),""),"")</f>
        <v/>
      </c>
      <c r="FZ226" s="56">
        <f>IFERROR(IF(($CW226)&gt;0,($FK226)/($CW226),""),"")</f>
        <v/>
      </c>
      <c r="GA226" s="56">
        <f>IFERROR(IF(($CU226)&gt;0,($FL226)/($CU226),""),"")</f>
        <v/>
      </c>
      <c r="GB226" s="56">
        <f>IFERROR(IF(($CV226)&gt;0,($FM226)/($CV226),""),"")</f>
        <v/>
      </c>
      <c r="GC226" s="56">
        <f>IFERROR(IF(($CW226)&gt;0,($FN226)/($CW226),""),"")</f>
        <v/>
      </c>
      <c r="GD226" s="56">
        <f>IFERROR(IF(($CU226)&gt;0,($FO226)/($CU226),""),"")</f>
        <v/>
      </c>
      <c r="GE226" s="56">
        <f>IFERROR(IF(($CV226)&gt;0,($FP226)/($CV226),""),"")</f>
        <v/>
      </c>
      <c r="GF226" s="56">
        <f>IFERROR(IF(($CW226)&gt;0,($FQ226)/($CW226),""),"")</f>
        <v/>
      </c>
      <c r="GG226" s="79">
        <f>IFERROR(IF(($CU226)&gt;0,($FR226)/($CU226),""),"")</f>
        <v/>
      </c>
      <c r="GH226" s="79">
        <f>IFERROR(IF(($CV226)&gt;0,($FS226)/($CV226),""),"")</f>
        <v/>
      </c>
      <c r="GI226" s="79">
        <f>IFERROR(IF(($CW226)&gt;0,($FT226)/($CW226),""),"")</f>
        <v/>
      </c>
      <c r="GJ226" s="56">
        <f>IFERROR(IF(($CU226)&gt;0,($FU226)/($CU226),""),"")</f>
        <v/>
      </c>
      <c r="GK226" s="56">
        <f>IFERROR(IF(($CV226)&gt;0,($FV226)/($CV226),""),"")</f>
        <v/>
      </c>
      <c r="GL226" s="56">
        <f>IFERROR(IF(($CW226)&gt;0,($FW226)/($CW226),""),"")</f>
        <v/>
      </c>
      <c r="GM226" s="55">
        <f>IF(SUMIFS(tblPlant[GIC_oz],tblPlant[Date],$A226)&gt;0,SUMIFS(tblPlant[GIC_oz],tblPlant[Date],$A226),"")</f>
        <v/>
      </c>
      <c r="GN226" s="55">
        <f>SUMIFS(tblGold[Gold_oz],tblGold[Date],$A226,tblGold[Type],"Shipment")</f>
        <v/>
      </c>
      <c r="GO226" s="55">
        <f>IF($B226=$B225,$GO225,0)+$GN226</f>
        <v/>
      </c>
      <c r="GP226" s="55">
        <f>$GP225+$GN226</f>
        <v/>
      </c>
      <c r="GQ226" s="55">
        <f>SUMIFS(tblGold[Gold_oz],tblGold[Date],$A226,tblGold[Type],"Sale")</f>
        <v/>
      </c>
      <c r="GR226" s="55">
        <f>IF($B226=$B225,$GR225,0)+$GQ226</f>
        <v/>
      </c>
      <c r="GS226" s="55">
        <f>$GS225+$GQ226</f>
        <v/>
      </c>
      <c r="GT226" s="55">
        <f>SUMIFS(tblGold[Dore_kg],tblGold[Date],$A226,tblGold[Type],"Shipment")</f>
        <v/>
      </c>
      <c r="GU226" s="55">
        <f>IF($B226=$B225,$GU225,0)+$GT226</f>
        <v/>
      </c>
      <c r="GV226" s="55">
        <f>$GV225+$GT226</f>
        <v/>
      </c>
      <c r="GW226" s="57">
        <f>SUMIFS(tblSafety[Hours_Total],tblSafety[Date],$A226)</f>
        <v/>
      </c>
      <c r="GX226" s="57">
        <f>IF($B226=$B225,$GX225,0)+$GW226</f>
        <v/>
      </c>
      <c r="GY226" s="57">
        <f>$GY225+$GW226</f>
        <v/>
      </c>
      <c r="GZ226" s="62">
        <f>SUMIFS(tblSafety[Fatality],tblSafety[Date],$A226)</f>
        <v/>
      </c>
      <c r="HA226" s="62">
        <f>IF($B226=$B225,$HA225,0)+$GZ226</f>
        <v/>
      </c>
      <c r="HB226" s="62">
        <f>$HB225+$GZ226</f>
        <v/>
      </c>
      <c r="HC226" s="62">
        <f>SUMIFS(tblSafety[LTI],tblSafety[Date],$A226)</f>
        <v/>
      </c>
      <c r="HD226" s="62">
        <f>IF($B226=$B225,$HD225,0)+$HC226</f>
        <v/>
      </c>
      <c r="HE226" s="62">
        <f>$HE225+$HC226</f>
        <v/>
      </c>
      <c r="HF226" s="62">
        <f>SUMIFS(tblSafety[RWI],tblSafety[Date],$A226)</f>
        <v/>
      </c>
      <c r="HG226" s="62">
        <f>IF($B226=$B225,$HG225,0)+$HF226</f>
        <v/>
      </c>
      <c r="HH226" s="62">
        <f>$HH225+$HF226</f>
        <v/>
      </c>
      <c r="HI226" s="62">
        <f>SUMIFS(tblSafety[MTI],tblSafety[Date],$A226)</f>
        <v/>
      </c>
      <c r="HJ226" s="62">
        <f>IF($B226=$B225,$HJ225,0)+$HI226</f>
        <v/>
      </c>
      <c r="HK226" s="62">
        <f>$HK225+$HI226</f>
        <v/>
      </c>
      <c r="HL226" s="62">
        <f>SUMIFS(tblSafety[FAI],tblSafety[Date],$A226)</f>
        <v/>
      </c>
      <c r="HM226" s="62">
        <f>IF($B226=$B225,$HM225,0)+$HL226</f>
        <v/>
      </c>
      <c r="HN226" s="62">
        <f>$HN225+$HL226</f>
        <v/>
      </c>
      <c r="HO226" s="62">
        <f>SUMIFS(tblSafety[Recordables],tblSafety[Date],$A226)</f>
        <v/>
      </c>
      <c r="HP226" s="62">
        <f>IF($B226=$B225,$HP225,0)+$HO226</f>
        <v/>
      </c>
      <c r="HQ226" s="62">
        <f>$HQ225+$HO226</f>
        <v/>
      </c>
      <c r="HR226" s="62">
        <f>SUMIFS(tblSafety[Near_Miss],tblSafety[Date],$A226)</f>
        <v/>
      </c>
      <c r="HS226" s="62">
        <f>IF($B226=$B225,$HS225,0)+$HR226</f>
        <v/>
      </c>
      <c r="HT226" s="62">
        <f>$HT225+$HR226</f>
        <v/>
      </c>
      <c r="HU226" s="62">
        <f>SUMIFS(tblSafety[Hazard_Reports],tblSafety[Date],$A226)</f>
        <v/>
      </c>
      <c r="HV226" s="62">
        <f>IF($B226=$B225,$HV225,0)+$HU226</f>
        <v/>
      </c>
      <c r="HW226" s="62">
        <f>$HW225+$HU226</f>
        <v/>
      </c>
      <c r="HX226" s="62">
        <f>SUMIFS(tblSafety[HPI],tblSafety[Date],$A226)</f>
        <v/>
      </c>
      <c r="HY226" s="62">
        <f>IF($B226=$B225,$HY225,0)+$HX226</f>
        <v/>
      </c>
      <c r="HZ226" s="62">
        <f>$HZ225+$HX226</f>
        <v/>
      </c>
      <c r="IA226" s="62">
        <f>SUMIFS(tblSafety[Env_Incidents],tblSafety[Date],$A226)</f>
        <v/>
      </c>
      <c r="IB226" s="62">
        <f>IF($B226=$B225,$IB225,0)+$IA226</f>
        <v/>
      </c>
      <c r="IC226" s="62">
        <f>$IC225+$IA226</f>
        <v/>
      </c>
      <c r="ID226" s="62">
        <f>SUMIFS(tblSafety[Community_Incidents],tblSafety[Date],$A226)</f>
        <v/>
      </c>
      <c r="IE226" s="62">
        <f>IF($B226=$B225,$IE225,0)+$ID226</f>
        <v/>
      </c>
      <c r="IF226" s="62">
        <f>$IF225+$ID226</f>
        <v/>
      </c>
      <c r="IG226" s="62">
        <f>SUMIFS(tblSafety[Vehicle_Incidents],tblSafety[Date],$A226)</f>
        <v/>
      </c>
      <c r="IH226" s="62">
        <f>IF($B226=$B225,$IH225,0)+$IG226</f>
        <v/>
      </c>
      <c r="II226" s="62">
        <f>$II225+$IG226</f>
        <v/>
      </c>
      <c r="IJ226" s="62">
        <f>SUMIFS(tblSafety[Toolbox_Talks],tblSafety[Date],$A226)</f>
        <v/>
      </c>
      <c r="IK226" s="62">
        <f>IF($B226=$B225,$IK225,0)+$IJ226</f>
        <v/>
      </c>
      <c r="IL226" s="62">
        <f>$IL225+$IJ226</f>
        <v/>
      </c>
      <c r="IM226" s="62">
        <f>SUMIFS(tblSafety[Inspections],tblSafety[Date],$A226)</f>
        <v/>
      </c>
      <c r="IN226" s="62">
        <f>IF($B226=$B225,$IN225,0)+$IM226</f>
        <v/>
      </c>
      <c r="IO226" s="62">
        <f>$IO225+$IM226</f>
        <v/>
      </c>
      <c r="IP226" s="56">
        <f>IFERROR((SUMIFS(tblSafety[Recordables],tblSafety[Date],"&gt;="&amp;EDATE($E226,-12),tblSafety[Date],"&lt;="&amp;$A226)+SUMIFS(tblSafetyHistory[Recordables],tblSafetyHistory[Month],"&gt;="&amp;EDATE($E226,-12),tblSafetyHistory[Month],"&lt;"&amp;$E226,tblSafetyHistory[Use],1))/(SUMIFS(tblSafety[Hours_Total],tblSafety[Date],"&gt;="&amp;EDATE($E226,-12),tblSafety[Date],"&lt;="&amp;$A226)+SUMIFS(tblSafetyHistory[Hours_Total],tblSafetyHistory[Month],"&gt;="&amp;EDATE($E226,-12),tblSafetyHistory[Month],"&lt;"&amp;$E226,tblSafetyHistory[Use],1))*cfg_RateBasisHours,"")</f>
        <v/>
      </c>
      <c r="IQ226" s="56">
        <f>IFERROR((SUMIFS(tblSafety[LTI],tblSafety[Date],"&gt;="&amp;EDATE($E226,-12),tblSafety[Date],"&lt;="&amp;$A226)+SUMIFS(tblSafetyHistory[LTI],tblSafetyHistory[Month],"&gt;="&amp;EDATE($E226,-12),tblSafetyHistory[Month],"&lt;"&amp;$E226,tblSafetyHistory[Use],1))/(SUMIFS(tblSafety[Hours_Total],tblSafety[Date],"&gt;="&amp;EDATE($E226,-12),tblSafety[Date],"&lt;="&amp;$A226)+SUMIFS(tblSafetyHistory[Hours_Total],tblSafetyHistory[Month],"&gt;="&amp;EDATE($E226,-12),tblSafetyHistory[Month],"&lt;"&amp;$E226,tblSafetyHistory[Use],1))*cfg_RateBasisHours,"")</f>
        <v/>
      </c>
      <c r="IR226" s="62">
        <f>IF(MAX(N(cfg_PriorLTIDate),_xlfn.MAXIFS(tblSafety[Date],tblSafety[LTI],"&gt;0",tblSafety[Date],"&lt;="&amp;$A226))=0,"",$A226-MAX(N(cfg_PriorLTIDate),_xlfn.MAXIFS(tblSafety[Date],tblSafety[LTI],"&gt;0",tblSafety[Date],"&lt;="&amp;$A226)))</f>
        <v/>
      </c>
      <c r="IS226" s="55">
        <f>SUMIFS(tblBudget[Ore_Mined_t],tblBudget[Month],$E226)</f>
        <v/>
      </c>
      <c r="IT226" s="55">
        <f>$IS226*$C226/$D226</f>
        <v/>
      </c>
      <c r="IU226" s="55">
        <f>SUMIFS(tblBudget[Ore_Mined_t],tblBudget[Month],"&lt;"&amp;$E226)+$IT226</f>
        <v/>
      </c>
      <c r="IV226" s="55">
        <f>SUMIFS(tblBudget[Ore_oz],tblBudget[Month],$E226)</f>
        <v/>
      </c>
      <c r="IW226" s="55">
        <f>$IV226*$C226/$D226</f>
        <v/>
      </c>
      <c r="IX226" s="55">
        <f>SUMIFS(tblBudget[Ore_oz],tblBudget[Month],"&lt;"&amp;$E226)+$IW226</f>
        <v/>
      </c>
      <c r="IY226" s="55">
        <f>SUMIFS(tblBudget[Ore_Mined_t],tblBudget[Month],$E226)</f>
        <v/>
      </c>
      <c r="IZ226" s="55">
        <f>$IY226*$C226/$D226</f>
        <v/>
      </c>
      <c r="JA226" s="55">
        <f>SUMIFS(tblBudget[Ore_Mined_t],tblBudget[Month],"&lt;"&amp;$E226)+$IZ226</f>
        <v/>
      </c>
      <c r="JB226" s="56">
        <f>IFERROR(IF(($IY226)&gt;0,($IV226*cfg_TroyOz)/($IY226),""),"")</f>
        <v/>
      </c>
      <c r="JC226" s="56">
        <f>IFERROR(IF(($IZ226)&gt;0,($IW226*cfg_TroyOz)/($IZ226),""),"")</f>
        <v/>
      </c>
      <c r="JD226" s="56">
        <f>IFERROR(IF(($JA226)&gt;0,($IX226*cfg_TroyOz)/($JA226),""),"")</f>
        <v/>
      </c>
      <c r="JE226" s="55">
        <f>SUMIFS(tblBudget[Waste_t],tblBudget[Month],$E226)</f>
        <v/>
      </c>
      <c r="JF226" s="55">
        <f>$JE226*$C226/$D226</f>
        <v/>
      </c>
      <c r="JG226" s="55">
        <f>SUMIFS(tblBudget[Waste_t],tblBudget[Month],"&lt;"&amp;$E226)+$JF226</f>
        <v/>
      </c>
      <c r="JH226" s="55">
        <f>SUMIFS(tblBudget[TMM_t],tblBudget[Month],$E226)</f>
        <v/>
      </c>
      <c r="JI226" s="55">
        <f>$JH226*$C226/$D226</f>
        <v/>
      </c>
      <c r="JJ226" s="55">
        <f>SUMIFS(tblBudget[TMM_t],tblBudget[Month],"&lt;"&amp;$E226)+$JI226</f>
        <v/>
      </c>
      <c r="JK226" s="56">
        <f>IFERROR(IF(($IS226)&gt;0,($JE226)/($IS226),""),"")</f>
        <v/>
      </c>
      <c r="JL226" s="56">
        <f>IFERROR(IF(($IT226)&gt;0,($JF226)/($IT226),""),"")</f>
        <v/>
      </c>
      <c r="JM226" s="56">
        <f>IFERROR(IF(($IU226)&gt;0,($JG226)/($IU226),""),"")</f>
        <v/>
      </c>
      <c r="JN226" s="55">
        <f>SUMIFS(tblBudget[Drill_m],tblBudget[Month],$E226)</f>
        <v/>
      </c>
      <c r="JO226" s="55">
        <f>$JN226*$C226/$D226</f>
        <v/>
      </c>
      <c r="JP226" s="55">
        <f>SUMIFS(tblBudget[Drill_m],tblBudget[Month],"&lt;"&amp;$E226)+$JO226</f>
        <v/>
      </c>
      <c r="JQ226" s="55">
        <f>SUMIFS(tblBudget[Diesel_L],tblBudget[Month],$E226)</f>
        <v/>
      </c>
      <c r="JR226" s="55">
        <f>$JQ226*$C226/$D226</f>
        <v/>
      </c>
      <c r="JS226" s="55">
        <f>SUMIFS(tblBudget[Diesel_L],tblBudget[Month],"&lt;"&amp;$E226)+$JR226</f>
        <v/>
      </c>
      <c r="JT226" s="55">
        <f>SUMIFS(tblBudget[Milled_t],tblBudget[Month],$E226)</f>
        <v/>
      </c>
      <c r="JU226" s="55">
        <f>$JT226*$C226/$D226</f>
        <v/>
      </c>
      <c r="JV226" s="55">
        <f>SUMIFS(tblBudget[Milled_t],tblBudget[Month],"&lt;"&amp;$E226)+$JU226</f>
        <v/>
      </c>
      <c r="JW226" s="55">
        <f>SUMIFS(tblBudget[Feed_oz],tblBudget[Month],$E226)</f>
        <v/>
      </c>
      <c r="JX226" s="55">
        <f>$JW226*$C226/$D226</f>
        <v/>
      </c>
      <c r="JY226" s="55">
        <f>SUMIFS(tblBudget[Feed_oz],tblBudget[Month],"&lt;"&amp;$E226)+$JX226</f>
        <v/>
      </c>
      <c r="JZ226" s="55">
        <f>SUMIFS(tblBudget[Recovered_oz],tblBudget[Month],$E226)</f>
        <v/>
      </c>
      <c r="KA226" s="55">
        <f>$JZ226*$C226/$D226</f>
        <v/>
      </c>
      <c r="KB226" s="55">
        <f>SUMIFS(tblBudget[Recovered_oz],tblBudget[Month],"&lt;"&amp;$E226)+$KA226</f>
        <v/>
      </c>
      <c r="KC226" s="55">
        <f>SUMIFS(tblBudget[Milled_t],tblBudget[Month],$E226)</f>
        <v/>
      </c>
      <c r="KD226" s="55">
        <f>$KC226*$C226/$D226</f>
        <v/>
      </c>
      <c r="KE226" s="55">
        <f>SUMIFS(tblBudget[Milled_t],tblBudget[Month],"&lt;"&amp;$E226)+$KD226</f>
        <v/>
      </c>
      <c r="KF226" s="55">
        <f>SUMIFS(tblBudget[Feed_oz],tblBudget[Month],$E226)</f>
        <v/>
      </c>
      <c r="KG226" s="55">
        <f>$KF226*$C226/$D226</f>
        <v/>
      </c>
      <c r="KH226" s="55">
        <f>SUMIFS(tblBudget[Feed_oz],tblBudget[Month],"&lt;"&amp;$E226)+$KG226</f>
        <v/>
      </c>
      <c r="KI226" s="56">
        <f>IFERROR(IF(($KC226)&gt;0,($JW226*cfg_TroyOz)/($KC226),""),"")</f>
        <v/>
      </c>
      <c r="KJ226" s="56">
        <f>IFERROR(IF(($KD226)&gt;0,($JX226*cfg_TroyOz)/($KD226),""),"")</f>
        <v/>
      </c>
      <c r="KK226" s="56">
        <f>IFERROR(IF(($KE226)&gt;0,($JY226*cfg_TroyOz)/($KE226),""),"")</f>
        <v/>
      </c>
      <c r="KL226" s="67">
        <f>IFERROR(IF(($KF226)&gt;0,($JZ226)/($KF226),""),"")</f>
        <v/>
      </c>
      <c r="KM226" s="67">
        <f>IFERROR(IF(($KG226)&gt;0,($KA226)/($KG226),""),"")</f>
        <v/>
      </c>
      <c r="KN226" s="67">
        <f>IFERROR(IF(($KH226)&gt;0,($KB226)/($KH226),""),"")</f>
        <v/>
      </c>
      <c r="KO226" s="55">
        <f>SUMIFS(tblBudget[Gold_Poured_oz],tblBudget[Month],$E226)</f>
        <v/>
      </c>
      <c r="KP226" s="55">
        <f>$KO226*$C226/$D226</f>
        <v/>
      </c>
      <c r="KQ226" s="55">
        <f>SUMIFS(tblBudget[Gold_Poured_oz],tblBudget[Month],"&lt;"&amp;$E226)+$KP226</f>
        <v/>
      </c>
      <c r="KR226" s="57">
        <f>SUMIFS(tblBudget[Hours_Worked],tblBudget[Month],$E226)</f>
        <v/>
      </c>
      <c r="KS226" s="57">
        <f>$KR226*$C226/$D226</f>
        <v/>
      </c>
      <c r="KT226" s="57">
        <f>SUMIFS(tblBudget[Hours_Worked],tblBudget[Month],"&lt;"&amp;$E226)+$KS226</f>
        <v/>
      </c>
    </row>
    <row r="227">
      <c r="A227" s="54" t="n">
        <v>46248</v>
      </c>
      <c r="B227">
        <f>MONTH($A227)</f>
        <v/>
      </c>
      <c r="C227">
        <f>DAY($A227)</f>
        <v/>
      </c>
      <c r="D227">
        <f>DAY(EOMONTH($A227,0))</f>
        <v/>
      </c>
      <c r="E227" s="54">
        <f>DATE(YEAR($A227),MONTH($A227),1)</f>
        <v/>
      </c>
      <c r="F227" s="55">
        <f>SUMIFS(tblMovement[Tonnes_t],tblMovement[Date],$A227,tblMovement[Is_Ore],1,tblMovement[Source_Type],"Pit")</f>
        <v/>
      </c>
      <c r="G227" s="55">
        <f>IF($B227=$B226,$G226,0)+$F227</f>
        <v/>
      </c>
      <c r="H227" s="55">
        <f>$H226+$F227</f>
        <v/>
      </c>
      <c r="I227" s="55">
        <f>SUMIFS(tblMovement[Ore_oz],tblMovement[Date],$A227,tblMovement[Source_Type],"Pit")</f>
        <v/>
      </c>
      <c r="J227" s="55">
        <f>IF($B227=$B226,$J226,0)+$I227</f>
        <v/>
      </c>
      <c r="K227" s="55">
        <f>$K226+$I227</f>
        <v/>
      </c>
      <c r="L227" s="55">
        <f>SUMIFS(tblMovement[Tonnes_t],tblMovement[Date],$A227,tblMovement[Is_Ore],1,tblMovement[Source_Type],"Pit",tblMovement[Grade_gpt],"&lt;&gt;")</f>
        <v/>
      </c>
      <c r="M227" s="55">
        <f>IF($B227=$B226,$M226,0)+$L227</f>
        <v/>
      </c>
      <c r="N227" s="55">
        <f>$N226+$L227</f>
        <v/>
      </c>
      <c r="O227" s="56">
        <f>IFERROR(IF(($L227)&gt;0,($I227*cfg_TroyOz)/($L227),""),"")</f>
        <v/>
      </c>
      <c r="P227" s="56">
        <f>IFERROR(IF(($M227)&gt;0,($J227*cfg_TroyOz)/($M227),""),"")</f>
        <v/>
      </c>
      <c r="Q227" s="56">
        <f>IFERROR(IF(($N227)&gt;0,($K227*cfg_TroyOz)/($N227),""),"")</f>
        <v/>
      </c>
      <c r="R227" s="55">
        <f>$F227-$L227</f>
        <v/>
      </c>
      <c r="S227" s="55">
        <f>IF($B227=$B226,$S226,0)+$R227</f>
        <v/>
      </c>
      <c r="T227" s="55">
        <f>$T226+$R227</f>
        <v/>
      </c>
      <c r="U227" s="55">
        <f>SUMIFS(tblMovement[Tonnes_t],tblMovement[Date],$A227,tblMovement[Is_Ore],0,tblMovement[Source_Type],"Pit")</f>
        <v/>
      </c>
      <c r="V227" s="55">
        <f>IF($B227=$B226,$V226,0)+$U227</f>
        <v/>
      </c>
      <c r="W227" s="55">
        <f>$W226+$U227</f>
        <v/>
      </c>
      <c r="X227" s="55">
        <f>$F227+$U227</f>
        <v/>
      </c>
      <c r="Y227" s="55">
        <f>IF($B227=$B226,$Y226,0)+$X227</f>
        <v/>
      </c>
      <c r="Z227" s="55">
        <f>$Z226+$X227</f>
        <v/>
      </c>
      <c r="AA227" s="56">
        <f>IFERROR(IF(($F227)&gt;0,($U227)/($F227),""),"")</f>
        <v/>
      </c>
      <c r="AB227" s="56">
        <f>IFERROR(IF(($G227)&gt;0,($V227)/($G227),""),"")</f>
        <v/>
      </c>
      <c r="AC227" s="56">
        <f>IFERROR(IF(($H227)&gt;0,($W227)/($H227),""),"")</f>
        <v/>
      </c>
      <c r="AD227" s="55">
        <f>SUMIFS(tblMovement[Tonnes_t],tblMovement[Date],$A227,tblMovement[Source_Type],"Stockpile")</f>
        <v/>
      </c>
      <c r="AE227" s="55">
        <f>IF($B227=$B226,$AE226,0)+$AD227</f>
        <v/>
      </c>
      <c r="AF227" s="55">
        <f>$AF226+$AD227</f>
        <v/>
      </c>
      <c r="AG227" s="55">
        <f>SUMIFS(tblMovement[Tonnes_t],tblMovement[Date],$A227)</f>
        <v/>
      </c>
      <c r="AH227" s="55">
        <f>IF($B227=$B226,$AH226,0)+$AG227</f>
        <v/>
      </c>
      <c r="AI227" s="55">
        <f>$AI226+$AG227</f>
        <v/>
      </c>
      <c r="AJ227" s="55">
        <f>$AG227-$X227-$AD227</f>
        <v/>
      </c>
      <c r="AK227" s="55">
        <f>IF($B227=$B226,$AK226,0)+$AJ227</f>
        <v/>
      </c>
      <c r="AL227" s="55">
        <f>$AL226+$AJ227</f>
        <v/>
      </c>
      <c r="AM227" s="55">
        <f>SUMIFS(tblMiningDaily[Drill_m],tblMiningDaily[Date],$A227)</f>
        <v/>
      </c>
      <c r="AN227" s="55">
        <f>IF($B227=$B226,$AN226,0)+$AM227</f>
        <v/>
      </c>
      <c r="AO227" s="55">
        <f>$AO226+$AM227</f>
        <v/>
      </c>
      <c r="AP227" s="55">
        <f>SUMIFS(tblMiningDaily[GC_Drill_m],tblMiningDaily[Date],$A227)</f>
        <v/>
      </c>
      <c r="AQ227" s="55">
        <f>IF($B227=$B226,$AQ226,0)+$AP227</f>
        <v/>
      </c>
      <c r="AR227" s="55">
        <f>$AR226+$AP227</f>
        <v/>
      </c>
      <c r="AS227" s="55">
        <f>SUMIFS(tblMiningDaily[Blast_t],tblMiningDaily[Date],$A227)</f>
        <v/>
      </c>
      <c r="AT227" s="55">
        <f>IF($B227=$B226,$AT226,0)+$AS227</f>
        <v/>
      </c>
      <c r="AU227" s="55">
        <f>$AU226+$AS227</f>
        <v/>
      </c>
      <c r="AV227" s="55">
        <f>SUMIFS(tblMiningDaily[Explosives_kg],tblMiningDaily[Date],$A227)</f>
        <v/>
      </c>
      <c r="AW227" s="55">
        <f>IF($B227=$B226,$AW226,0)+$AV227</f>
        <v/>
      </c>
      <c r="AX227" s="55">
        <f>$AX226+$AV227</f>
        <v/>
      </c>
      <c r="AY227" s="56">
        <f>IFERROR(IF(($AS227)&gt;0,($AV227)/($AS227),""),"")</f>
        <v/>
      </c>
      <c r="AZ227" s="56">
        <f>IFERROR(IF(($AT227)&gt;0,($AW227)/($AT227),""),"")</f>
        <v/>
      </c>
      <c r="BA227" s="56">
        <f>IFERROR(IF(($AU227)&gt;0,($AX227)/($AU227),""),"")</f>
        <v/>
      </c>
      <c r="BB227" s="55">
        <f>SUMIFS(tblMiningDaily[Diesel_L],tblMiningDaily[Date],$A227)</f>
        <v/>
      </c>
      <c r="BC227" s="55">
        <f>IF($B227=$B226,$BC226,0)+$BB227</f>
        <v/>
      </c>
      <c r="BD227" s="55">
        <f>$BD226+$BB227</f>
        <v/>
      </c>
      <c r="BE227" s="55">
        <f>SUMIFS(tblMiningDaily[Dewatering_m3],tblMiningDaily[Date],$A227)</f>
        <v/>
      </c>
      <c r="BF227" s="55">
        <f>IF($B227=$B226,$BF226,0)+$BE227</f>
        <v/>
      </c>
      <c r="BG227" s="55">
        <f>$BG226+$BE227</f>
        <v/>
      </c>
      <c r="BH227" s="57">
        <f>SUMIFS(tblFleet[Calendar_h],tblFleet[Date],$A227,tblFleet[Equipment_Class],"Excavator")</f>
        <v/>
      </c>
      <c r="BI227" s="57">
        <f>IF($B227=$B226,$BI226,0)+$BH227</f>
        <v/>
      </c>
      <c r="BJ227" s="57">
        <f>$BJ226+$BH227</f>
        <v/>
      </c>
      <c r="BK227" s="57">
        <f>SUMIFS(tblFleet[Available_h],tblFleet[Date],$A227,tblFleet[Equipment_Class],"Excavator")</f>
        <v/>
      </c>
      <c r="BL227" s="57">
        <f>IF($B227=$B226,$BL226,0)+$BK227</f>
        <v/>
      </c>
      <c r="BM227" s="57">
        <f>$BM226+$BK227</f>
        <v/>
      </c>
      <c r="BN227" s="57">
        <f>SUMIFS(tblFleet[Operating_h],tblFleet[Date],$A227,tblFleet[Equipment_Class],"Excavator")</f>
        <v/>
      </c>
      <c r="BO227" s="57">
        <f>IF($B227=$B226,$BO226,0)+$BN227</f>
        <v/>
      </c>
      <c r="BP227" s="57">
        <f>$BP226+$BN227</f>
        <v/>
      </c>
      <c r="BQ227" s="67">
        <f>IFERROR(IF(($BH227)&gt;0,($BK227)/($BH227),""),"")</f>
        <v/>
      </c>
      <c r="BR227" s="67">
        <f>IFERROR(IF(($BI227)&gt;0,($BL227)/($BI227),""),"")</f>
        <v/>
      </c>
      <c r="BS227" s="67">
        <f>IFERROR(IF(($BJ227)&gt;0,($BM227)/($BJ227),""),"")</f>
        <v/>
      </c>
      <c r="BT227" s="67">
        <f>IFERROR(IF(($BK227)&gt;0,($BN227)/($BK227),""),"")</f>
        <v/>
      </c>
      <c r="BU227" s="67">
        <f>IFERROR(IF(($BL227)&gt;0,($BO227)/($BL227),""),"")</f>
        <v/>
      </c>
      <c r="BV227" s="67">
        <f>IFERROR(IF(($BM227)&gt;0,($BP227)/($BM227),""),"")</f>
        <v/>
      </c>
      <c r="BW227" s="57">
        <f>SUMIFS(tblFleet[Calendar_h],tblFleet[Date],$A227,tblFleet[Equipment_Class],"Haul Truck")</f>
        <v/>
      </c>
      <c r="BX227" s="57">
        <f>IF($B227=$B226,$BX226,0)+$BW227</f>
        <v/>
      </c>
      <c r="BY227" s="57">
        <f>$BY226+$BW227</f>
        <v/>
      </c>
      <c r="BZ227" s="57">
        <f>SUMIFS(tblFleet[Available_h],tblFleet[Date],$A227,tblFleet[Equipment_Class],"Haul Truck")</f>
        <v/>
      </c>
      <c r="CA227" s="57">
        <f>IF($B227=$B226,$CA226,0)+$BZ227</f>
        <v/>
      </c>
      <c r="CB227" s="57">
        <f>$CB226+$BZ227</f>
        <v/>
      </c>
      <c r="CC227" s="57">
        <f>SUMIFS(tblFleet[Operating_h],tblFleet[Date],$A227,tblFleet[Equipment_Class],"Haul Truck")</f>
        <v/>
      </c>
      <c r="CD227" s="57">
        <f>IF($B227=$B226,$CD226,0)+$CC227</f>
        <v/>
      </c>
      <c r="CE227" s="57">
        <f>$CE226+$CC227</f>
        <v/>
      </c>
      <c r="CF227" s="67">
        <f>IFERROR(IF(($BW227)&gt;0,($BZ227)/($BW227),""),"")</f>
        <v/>
      </c>
      <c r="CG227" s="67">
        <f>IFERROR(IF(($BX227)&gt;0,($CA227)/($BX227),""),"")</f>
        <v/>
      </c>
      <c r="CH227" s="67">
        <f>IFERROR(IF(($BY227)&gt;0,($CB227)/($BY227),""),"")</f>
        <v/>
      </c>
      <c r="CI227" s="67">
        <f>IFERROR(IF(($BZ227)&gt;0,($CC227)/($BZ227),""),"")</f>
        <v/>
      </c>
      <c r="CJ227" s="67">
        <f>IFERROR(IF(($CA227)&gt;0,($CD227)/($CA227),""),"")</f>
        <v/>
      </c>
      <c r="CK227" s="67">
        <f>IFERROR(IF(($CB227)&gt;0,($CE227)/($CB227),""),"")</f>
        <v/>
      </c>
      <c r="CL227" s="55">
        <f>IFERROR(IF(($BN227)&gt;0,($X227+$AD227)/($BN227),""),"")</f>
        <v/>
      </c>
      <c r="CM227" s="55">
        <f>IFERROR(IF(($BO227)&gt;0,($Y227+$AE227)/($BO227),""),"")</f>
        <v/>
      </c>
      <c r="CN227" s="55">
        <f>IFERROR(IF(($BP227)&gt;0,($Z227+$AF227)/($BP227),""),"")</f>
        <v/>
      </c>
      <c r="CO227" s="55">
        <f>IFERROR(IF(($CC227)&gt;0,($X227+$AD227)/($CC227),""),"")</f>
        <v/>
      </c>
      <c r="CP227" s="55">
        <f>IFERROR(IF(($CD227)&gt;0,($Y227+$AE227)/($CD227),""),"")</f>
        <v/>
      </c>
      <c r="CQ227" s="55">
        <f>IFERROR(IF(($CE227)&gt;0,($Z227+$AF227)/($CE227),""),"")</f>
        <v/>
      </c>
      <c r="CR227" s="55">
        <f>SUMIFS(tblPlant[Crushed_t],tblPlant[Date],$A227)</f>
        <v/>
      </c>
      <c r="CS227" s="55">
        <f>IF($B227=$B226,$CS226,0)+$CR227</f>
        <v/>
      </c>
      <c r="CT227" s="55">
        <f>$CT226+$CR227</f>
        <v/>
      </c>
      <c r="CU227" s="55">
        <f>SUMIFS(tblPlant[Milled_t],tblPlant[Date],$A227)</f>
        <v/>
      </c>
      <c r="CV227" s="55">
        <f>IF($B227=$B226,$CV226,0)+$CU227</f>
        <v/>
      </c>
      <c r="CW227" s="55">
        <f>$CW226+$CU227</f>
        <v/>
      </c>
      <c r="CX227" s="55">
        <f>SUMIFS(tblPlant[Feed_oz],tblPlant[Date],$A227)</f>
        <v/>
      </c>
      <c r="CY227" s="55">
        <f>IF($B227=$B226,$CY226,0)+$CX227</f>
        <v/>
      </c>
      <c r="CZ227" s="55">
        <f>$CZ226+$CX227</f>
        <v/>
      </c>
      <c r="DA227" s="55">
        <f>SUMIFS(tblPlant[Tails_oz],tblPlant[Date],$A227)</f>
        <v/>
      </c>
      <c r="DB227" s="55">
        <f>IF($B227=$B226,$DB226,0)+$DA227</f>
        <v/>
      </c>
      <c r="DC227" s="55">
        <f>$DC226+$DA227</f>
        <v/>
      </c>
      <c r="DD227" s="55">
        <f>SUMIFS(tblPlant[Recovered_oz],tblPlant[Date],$A227)</f>
        <v/>
      </c>
      <c r="DE227" s="55">
        <f>IF($B227=$B226,$DE226,0)+$DD227</f>
        <v/>
      </c>
      <c r="DF227" s="55">
        <f>$DF226+$DD227</f>
        <v/>
      </c>
      <c r="DG227" s="55">
        <f>SUMIFS(tblPlant[Milled_t],tblPlant[Date],$A227,tblPlant[Head_Grade_gpt],"&lt;&gt;")</f>
        <v/>
      </c>
      <c r="DH227" s="55">
        <f>IF($B227=$B226,$DH226,0)+$DG227</f>
        <v/>
      </c>
      <c r="DI227" s="55">
        <f>$DI226+$DG227</f>
        <v/>
      </c>
      <c r="DJ227" s="55">
        <f>SUMIFS(tblPlant[Milled_t],tblPlant[Date],$A227,tblPlant[Tails_Grade_gpt],"&lt;&gt;")</f>
        <v/>
      </c>
      <c r="DK227" s="55">
        <f>IF($B227=$B226,$DK226,0)+$DJ227</f>
        <v/>
      </c>
      <c r="DL227" s="55">
        <f>$DL226+$DJ227</f>
        <v/>
      </c>
      <c r="DM227" s="55">
        <f>SUMIFS(tblPlant[Feed_oz],tblPlant[Date],$A227,tblPlant[Tails_Grade_gpt],"&lt;&gt;")</f>
        <v/>
      </c>
      <c r="DN227" s="55">
        <f>IF($B227=$B226,$DN226,0)+$DM227</f>
        <v/>
      </c>
      <c r="DO227" s="55">
        <f>$DO226+$DM227</f>
        <v/>
      </c>
      <c r="DP227" s="55">
        <f>SUMIFS(tblPlant[Milled_t],tblPlant[Date],$A227,tblPlant[Mill_Run_h],"&lt;&gt;")</f>
        <v/>
      </c>
      <c r="DQ227" s="55">
        <f>IF($B227=$B226,$DQ226,0)+$DP227</f>
        <v/>
      </c>
      <c r="DR227" s="55">
        <f>$DR226+$DP227</f>
        <v/>
      </c>
      <c r="DS227" s="56">
        <f>IFERROR(IF(($DG227)&gt;0,($CX227*cfg_TroyOz)/($DG227),""),"")</f>
        <v/>
      </c>
      <c r="DT227" s="56">
        <f>IFERROR(IF(($DH227)&gt;0,($CY227*cfg_TroyOz)/($DH227),""),"")</f>
        <v/>
      </c>
      <c r="DU227" s="56">
        <f>IFERROR(IF(($DI227)&gt;0,($CZ227*cfg_TroyOz)/($DI227),""),"")</f>
        <v/>
      </c>
      <c r="DV227" s="56">
        <f>IFERROR(IF(($DJ227)&gt;0,($DA227*cfg_TroyOz)/($DJ227),""),"")</f>
        <v/>
      </c>
      <c r="DW227" s="56">
        <f>IFERROR(IF(($DK227)&gt;0,($DB227*cfg_TroyOz)/($DK227),""),"")</f>
        <v/>
      </c>
      <c r="DX227" s="56">
        <f>IFERROR(IF(($DL227)&gt;0,($DC227*cfg_TroyOz)/($DL227),""),"")</f>
        <v/>
      </c>
      <c r="DY227" s="67">
        <f>IFERROR(IF(($DM227)&gt;0,($DD227)/($DM227),""),"")</f>
        <v/>
      </c>
      <c r="DZ227" s="67">
        <f>IFERROR(IF(($DN227)&gt;0,($DE227)/($DN227),""),"")</f>
        <v/>
      </c>
      <c r="EA227" s="67">
        <f>IFERROR(IF(($DO227)&gt;0,($DF227)/($DO227),""),"")</f>
        <v/>
      </c>
      <c r="EB227" s="55">
        <f>SUMIFS(tblPlant[Gravity_Gold_oz],tblPlant[Date],$A227)</f>
        <v/>
      </c>
      <c r="EC227" s="55">
        <f>IF($B227=$B226,$EC226,0)+$EB227</f>
        <v/>
      </c>
      <c r="ED227" s="55">
        <f>$ED226+$EB227</f>
        <v/>
      </c>
      <c r="EE227" s="67">
        <f>IFERROR(IF(($DD227)&gt;0,($EB227)/($DD227),""),"")</f>
        <v/>
      </c>
      <c r="EF227" s="67">
        <f>IFERROR(IF(($DE227)&gt;0,($EC227)/($DE227),""),"")</f>
        <v/>
      </c>
      <c r="EG227" s="67">
        <f>IFERROR(IF(($DF227)&gt;0,($ED227)/($DF227),""),"")</f>
        <v/>
      </c>
      <c r="EH227" s="55">
        <f>SUMIFS(tblPlant[Gold_Poured_oz],tblPlant[Date],$A227)</f>
        <v/>
      </c>
      <c r="EI227" s="55">
        <f>IF($B227=$B226,$EI226,0)+$EH227</f>
        <v/>
      </c>
      <c r="EJ227" s="55">
        <f>$EJ226+$EH227</f>
        <v/>
      </c>
      <c r="EK227" s="57">
        <f>SUMIFS(tblPlant[Mill_Run_h],tblPlant[Date],$A227)</f>
        <v/>
      </c>
      <c r="EL227" s="57">
        <f>IF($B227=$B226,$EL226,0)+$EK227</f>
        <v/>
      </c>
      <c r="EM227" s="57">
        <f>$EM226+$EK227</f>
        <v/>
      </c>
      <c r="EN227" s="57">
        <f>SUMIFS(tblPlant[Mill_Planned_Maint_h],tblPlant[Date],$A227)</f>
        <v/>
      </c>
      <c r="EO227" s="57">
        <f>IF($B227=$B226,$EO226,0)+$EN227</f>
        <v/>
      </c>
      <c r="EP227" s="57">
        <f>$EP226+$EN227</f>
        <v/>
      </c>
      <c r="EQ227" s="57">
        <f>SUMIFS(tblPlant[Mill_Unplanned_Down_h],tblPlant[Date],$A227)</f>
        <v/>
      </c>
      <c r="ER227" s="57">
        <f>IF($B227=$B226,$ER226,0)+$EQ227</f>
        <v/>
      </c>
      <c r="ES227" s="57">
        <f>$ES226+$EQ227</f>
        <v/>
      </c>
      <c r="ET227" s="57">
        <f>IF(COUNTIFS(tblPlant[Date],$A227,tblPlant[Mill_Run_h],"&lt;&gt;")+COUNTIFS(tblPlant[Date],$A227,tblPlant[Mill_Planned_Maint_h],"&lt;&gt;")+COUNTIFS(tblPlant[Date],$A227,tblPlant[Mill_Unplanned_Down_h],"&lt;&gt;")&gt;0,cfg_HoursPerDay,0)</f>
        <v/>
      </c>
      <c r="EU227" s="57">
        <f>IF($B227=$B226,$EU226,0)+$ET227</f>
        <v/>
      </c>
      <c r="EV227" s="57">
        <f>$EV226+$ET227</f>
        <v/>
      </c>
      <c r="EW227" s="57">
        <f>SUMIFS(tblPlant[Crusher_Run_h],tblPlant[Date],$A227)</f>
        <v/>
      </c>
      <c r="EX227" s="57">
        <f>IF($B227=$B226,$EX226,0)+$EW227</f>
        <v/>
      </c>
      <c r="EY227" s="57">
        <f>$EY226+$EW227</f>
        <v/>
      </c>
      <c r="EZ227" s="55">
        <f>IFERROR(IF(($EK227)&gt;0,($DP227)/($EK227),""),"")</f>
        <v/>
      </c>
      <c r="FA227" s="55">
        <f>IFERROR(IF(($EL227)&gt;0,($DQ227)/($EL227),""),"")</f>
        <v/>
      </c>
      <c r="FB227" s="55">
        <f>IFERROR(IF(($EM227)&gt;0,($DR227)/($EM227),""),"")</f>
        <v/>
      </c>
      <c r="FC227" s="67">
        <f>IFERROR(IF(($ET227)&gt;0,($ET227-$EN227-$EQ227)/($ET227),""),"")</f>
        <v/>
      </c>
      <c r="FD227" s="67">
        <f>IFERROR(IF(($EU227)&gt;0,($EU227-$EO227-$ER227)/($EU227),""),"")</f>
        <v/>
      </c>
      <c r="FE227" s="67">
        <f>IFERROR(IF(($EV227)&gt;0,($EV227-$EP227-$ES227)/($EV227),""),"")</f>
        <v/>
      </c>
      <c r="FF227" s="67">
        <f>IFERROR(IF(($ET227-$EN227-$EQ227)&gt;0,($EK227)/($ET227-$EN227-$EQ227),""),"")</f>
        <v/>
      </c>
      <c r="FG227" s="67">
        <f>IFERROR(IF(($EU227-$EO227-$ER227)&gt;0,($EL227)/($EU227-$EO227-$ER227),""),"")</f>
        <v/>
      </c>
      <c r="FH227" s="67">
        <f>IFERROR(IF(($EV227-$EP227-$ES227)&gt;0,($EM227)/($EV227-$EP227-$ES227),""),"")</f>
        <v/>
      </c>
      <c r="FI227" s="55">
        <f>SUMIFS(tblPlant[Cyanide_kg],tblPlant[Date],$A227)</f>
        <v/>
      </c>
      <c r="FJ227" s="55">
        <f>IF($B227=$B226,$FJ226,0)+$FI227</f>
        <v/>
      </c>
      <c r="FK227" s="55">
        <f>$FK226+$FI227</f>
        <v/>
      </c>
      <c r="FL227" s="55">
        <f>SUMIFS(tblPlant[Lime_kg],tblPlant[Date],$A227)</f>
        <v/>
      </c>
      <c r="FM227" s="55">
        <f>IF($B227=$B226,$FM226,0)+$FL227</f>
        <v/>
      </c>
      <c r="FN227" s="55">
        <f>$FN226+$FL227</f>
        <v/>
      </c>
      <c r="FO227" s="55">
        <f>SUMIFS(tblPlant[Grinding_Media_kg],tblPlant[Date],$A227)</f>
        <v/>
      </c>
      <c r="FP227" s="55">
        <f>IF($B227=$B226,$FP226,0)+$FO227</f>
        <v/>
      </c>
      <c r="FQ227" s="55">
        <f>$FQ226+$FO227</f>
        <v/>
      </c>
      <c r="FR227" s="55">
        <f>SUMIFS(tblPlant[Power_kWh],tblPlant[Date],$A227)</f>
        <v/>
      </c>
      <c r="FS227" s="55">
        <f>IF($B227=$B226,$FS226,0)+$FR227</f>
        <v/>
      </c>
      <c r="FT227" s="55">
        <f>$FT226+$FR227</f>
        <v/>
      </c>
      <c r="FU227" s="55">
        <f>SUMIFS(tblPlant[Raw_Water_m3],tblPlant[Date],$A227)</f>
        <v/>
      </c>
      <c r="FV227" s="55">
        <f>IF($B227=$B226,$FV226,0)+$FU227</f>
        <v/>
      </c>
      <c r="FW227" s="55">
        <f>$FW226+$FU227</f>
        <v/>
      </c>
      <c r="FX227" s="56">
        <f>IFERROR(IF(($CU227)&gt;0,($FI227)/($CU227),""),"")</f>
        <v/>
      </c>
      <c r="FY227" s="56">
        <f>IFERROR(IF(($CV227)&gt;0,($FJ227)/($CV227),""),"")</f>
        <v/>
      </c>
      <c r="FZ227" s="56">
        <f>IFERROR(IF(($CW227)&gt;0,($FK227)/($CW227),""),"")</f>
        <v/>
      </c>
      <c r="GA227" s="56">
        <f>IFERROR(IF(($CU227)&gt;0,($FL227)/($CU227),""),"")</f>
        <v/>
      </c>
      <c r="GB227" s="56">
        <f>IFERROR(IF(($CV227)&gt;0,($FM227)/($CV227),""),"")</f>
        <v/>
      </c>
      <c r="GC227" s="56">
        <f>IFERROR(IF(($CW227)&gt;0,($FN227)/($CW227),""),"")</f>
        <v/>
      </c>
      <c r="GD227" s="56">
        <f>IFERROR(IF(($CU227)&gt;0,($FO227)/($CU227),""),"")</f>
        <v/>
      </c>
      <c r="GE227" s="56">
        <f>IFERROR(IF(($CV227)&gt;0,($FP227)/($CV227),""),"")</f>
        <v/>
      </c>
      <c r="GF227" s="56">
        <f>IFERROR(IF(($CW227)&gt;0,($FQ227)/($CW227),""),"")</f>
        <v/>
      </c>
      <c r="GG227" s="79">
        <f>IFERROR(IF(($CU227)&gt;0,($FR227)/($CU227),""),"")</f>
        <v/>
      </c>
      <c r="GH227" s="79">
        <f>IFERROR(IF(($CV227)&gt;0,($FS227)/($CV227),""),"")</f>
        <v/>
      </c>
      <c r="GI227" s="79">
        <f>IFERROR(IF(($CW227)&gt;0,($FT227)/($CW227),""),"")</f>
        <v/>
      </c>
      <c r="GJ227" s="56">
        <f>IFERROR(IF(($CU227)&gt;0,($FU227)/($CU227),""),"")</f>
        <v/>
      </c>
      <c r="GK227" s="56">
        <f>IFERROR(IF(($CV227)&gt;0,($FV227)/($CV227),""),"")</f>
        <v/>
      </c>
      <c r="GL227" s="56">
        <f>IFERROR(IF(($CW227)&gt;0,($FW227)/($CW227),""),"")</f>
        <v/>
      </c>
      <c r="GM227" s="55">
        <f>IF(SUMIFS(tblPlant[GIC_oz],tblPlant[Date],$A227)&gt;0,SUMIFS(tblPlant[GIC_oz],tblPlant[Date],$A227),"")</f>
        <v/>
      </c>
      <c r="GN227" s="55">
        <f>SUMIFS(tblGold[Gold_oz],tblGold[Date],$A227,tblGold[Type],"Shipment")</f>
        <v/>
      </c>
      <c r="GO227" s="55">
        <f>IF($B227=$B226,$GO226,0)+$GN227</f>
        <v/>
      </c>
      <c r="GP227" s="55">
        <f>$GP226+$GN227</f>
        <v/>
      </c>
      <c r="GQ227" s="55">
        <f>SUMIFS(tblGold[Gold_oz],tblGold[Date],$A227,tblGold[Type],"Sale")</f>
        <v/>
      </c>
      <c r="GR227" s="55">
        <f>IF($B227=$B226,$GR226,0)+$GQ227</f>
        <v/>
      </c>
      <c r="GS227" s="55">
        <f>$GS226+$GQ227</f>
        <v/>
      </c>
      <c r="GT227" s="55">
        <f>SUMIFS(tblGold[Dore_kg],tblGold[Date],$A227,tblGold[Type],"Shipment")</f>
        <v/>
      </c>
      <c r="GU227" s="55">
        <f>IF($B227=$B226,$GU226,0)+$GT227</f>
        <v/>
      </c>
      <c r="GV227" s="55">
        <f>$GV226+$GT227</f>
        <v/>
      </c>
      <c r="GW227" s="57">
        <f>SUMIFS(tblSafety[Hours_Total],tblSafety[Date],$A227)</f>
        <v/>
      </c>
      <c r="GX227" s="57">
        <f>IF($B227=$B226,$GX226,0)+$GW227</f>
        <v/>
      </c>
      <c r="GY227" s="57">
        <f>$GY226+$GW227</f>
        <v/>
      </c>
      <c r="GZ227" s="62">
        <f>SUMIFS(tblSafety[Fatality],tblSafety[Date],$A227)</f>
        <v/>
      </c>
      <c r="HA227" s="62">
        <f>IF($B227=$B226,$HA226,0)+$GZ227</f>
        <v/>
      </c>
      <c r="HB227" s="62">
        <f>$HB226+$GZ227</f>
        <v/>
      </c>
      <c r="HC227" s="62">
        <f>SUMIFS(tblSafety[LTI],tblSafety[Date],$A227)</f>
        <v/>
      </c>
      <c r="HD227" s="62">
        <f>IF($B227=$B226,$HD226,0)+$HC227</f>
        <v/>
      </c>
      <c r="HE227" s="62">
        <f>$HE226+$HC227</f>
        <v/>
      </c>
      <c r="HF227" s="62">
        <f>SUMIFS(tblSafety[RWI],tblSafety[Date],$A227)</f>
        <v/>
      </c>
      <c r="HG227" s="62">
        <f>IF($B227=$B226,$HG226,0)+$HF227</f>
        <v/>
      </c>
      <c r="HH227" s="62">
        <f>$HH226+$HF227</f>
        <v/>
      </c>
      <c r="HI227" s="62">
        <f>SUMIFS(tblSafety[MTI],tblSafety[Date],$A227)</f>
        <v/>
      </c>
      <c r="HJ227" s="62">
        <f>IF($B227=$B226,$HJ226,0)+$HI227</f>
        <v/>
      </c>
      <c r="HK227" s="62">
        <f>$HK226+$HI227</f>
        <v/>
      </c>
      <c r="HL227" s="62">
        <f>SUMIFS(tblSafety[FAI],tblSafety[Date],$A227)</f>
        <v/>
      </c>
      <c r="HM227" s="62">
        <f>IF($B227=$B226,$HM226,0)+$HL227</f>
        <v/>
      </c>
      <c r="HN227" s="62">
        <f>$HN226+$HL227</f>
        <v/>
      </c>
      <c r="HO227" s="62">
        <f>SUMIFS(tblSafety[Recordables],tblSafety[Date],$A227)</f>
        <v/>
      </c>
      <c r="HP227" s="62">
        <f>IF($B227=$B226,$HP226,0)+$HO227</f>
        <v/>
      </c>
      <c r="HQ227" s="62">
        <f>$HQ226+$HO227</f>
        <v/>
      </c>
      <c r="HR227" s="62">
        <f>SUMIFS(tblSafety[Near_Miss],tblSafety[Date],$A227)</f>
        <v/>
      </c>
      <c r="HS227" s="62">
        <f>IF($B227=$B226,$HS226,0)+$HR227</f>
        <v/>
      </c>
      <c r="HT227" s="62">
        <f>$HT226+$HR227</f>
        <v/>
      </c>
      <c r="HU227" s="62">
        <f>SUMIFS(tblSafety[Hazard_Reports],tblSafety[Date],$A227)</f>
        <v/>
      </c>
      <c r="HV227" s="62">
        <f>IF($B227=$B226,$HV226,0)+$HU227</f>
        <v/>
      </c>
      <c r="HW227" s="62">
        <f>$HW226+$HU227</f>
        <v/>
      </c>
      <c r="HX227" s="62">
        <f>SUMIFS(tblSafety[HPI],tblSafety[Date],$A227)</f>
        <v/>
      </c>
      <c r="HY227" s="62">
        <f>IF($B227=$B226,$HY226,0)+$HX227</f>
        <v/>
      </c>
      <c r="HZ227" s="62">
        <f>$HZ226+$HX227</f>
        <v/>
      </c>
      <c r="IA227" s="62">
        <f>SUMIFS(tblSafety[Env_Incidents],tblSafety[Date],$A227)</f>
        <v/>
      </c>
      <c r="IB227" s="62">
        <f>IF($B227=$B226,$IB226,0)+$IA227</f>
        <v/>
      </c>
      <c r="IC227" s="62">
        <f>$IC226+$IA227</f>
        <v/>
      </c>
      <c r="ID227" s="62">
        <f>SUMIFS(tblSafety[Community_Incidents],tblSafety[Date],$A227)</f>
        <v/>
      </c>
      <c r="IE227" s="62">
        <f>IF($B227=$B226,$IE226,0)+$ID227</f>
        <v/>
      </c>
      <c r="IF227" s="62">
        <f>$IF226+$ID227</f>
        <v/>
      </c>
      <c r="IG227" s="62">
        <f>SUMIFS(tblSafety[Vehicle_Incidents],tblSafety[Date],$A227)</f>
        <v/>
      </c>
      <c r="IH227" s="62">
        <f>IF($B227=$B226,$IH226,0)+$IG227</f>
        <v/>
      </c>
      <c r="II227" s="62">
        <f>$II226+$IG227</f>
        <v/>
      </c>
      <c r="IJ227" s="62">
        <f>SUMIFS(tblSafety[Toolbox_Talks],tblSafety[Date],$A227)</f>
        <v/>
      </c>
      <c r="IK227" s="62">
        <f>IF($B227=$B226,$IK226,0)+$IJ227</f>
        <v/>
      </c>
      <c r="IL227" s="62">
        <f>$IL226+$IJ227</f>
        <v/>
      </c>
      <c r="IM227" s="62">
        <f>SUMIFS(tblSafety[Inspections],tblSafety[Date],$A227)</f>
        <v/>
      </c>
      <c r="IN227" s="62">
        <f>IF($B227=$B226,$IN226,0)+$IM227</f>
        <v/>
      </c>
      <c r="IO227" s="62">
        <f>$IO226+$IM227</f>
        <v/>
      </c>
      <c r="IP227" s="56">
        <f>IFERROR((SUMIFS(tblSafety[Recordables],tblSafety[Date],"&gt;="&amp;EDATE($E227,-12),tblSafety[Date],"&lt;="&amp;$A227)+SUMIFS(tblSafetyHistory[Recordables],tblSafetyHistory[Month],"&gt;="&amp;EDATE($E227,-12),tblSafetyHistory[Month],"&lt;"&amp;$E227,tblSafetyHistory[Use],1))/(SUMIFS(tblSafety[Hours_Total],tblSafety[Date],"&gt;="&amp;EDATE($E227,-12),tblSafety[Date],"&lt;="&amp;$A227)+SUMIFS(tblSafetyHistory[Hours_Total],tblSafetyHistory[Month],"&gt;="&amp;EDATE($E227,-12),tblSafetyHistory[Month],"&lt;"&amp;$E227,tblSafetyHistory[Use],1))*cfg_RateBasisHours,"")</f>
        <v/>
      </c>
      <c r="IQ227" s="56">
        <f>IFERROR((SUMIFS(tblSafety[LTI],tblSafety[Date],"&gt;="&amp;EDATE($E227,-12),tblSafety[Date],"&lt;="&amp;$A227)+SUMIFS(tblSafetyHistory[LTI],tblSafetyHistory[Month],"&gt;="&amp;EDATE($E227,-12),tblSafetyHistory[Month],"&lt;"&amp;$E227,tblSafetyHistory[Use],1))/(SUMIFS(tblSafety[Hours_Total],tblSafety[Date],"&gt;="&amp;EDATE($E227,-12),tblSafety[Date],"&lt;="&amp;$A227)+SUMIFS(tblSafetyHistory[Hours_Total],tblSafetyHistory[Month],"&gt;="&amp;EDATE($E227,-12),tblSafetyHistory[Month],"&lt;"&amp;$E227,tblSafetyHistory[Use],1))*cfg_RateBasisHours,"")</f>
        <v/>
      </c>
      <c r="IR227" s="62">
        <f>IF(MAX(N(cfg_PriorLTIDate),_xlfn.MAXIFS(tblSafety[Date],tblSafety[LTI],"&gt;0",tblSafety[Date],"&lt;="&amp;$A227))=0,"",$A227-MAX(N(cfg_PriorLTIDate),_xlfn.MAXIFS(tblSafety[Date],tblSafety[LTI],"&gt;0",tblSafety[Date],"&lt;="&amp;$A227)))</f>
        <v/>
      </c>
      <c r="IS227" s="55">
        <f>SUMIFS(tblBudget[Ore_Mined_t],tblBudget[Month],$E227)</f>
        <v/>
      </c>
      <c r="IT227" s="55">
        <f>$IS227*$C227/$D227</f>
        <v/>
      </c>
      <c r="IU227" s="55">
        <f>SUMIFS(tblBudget[Ore_Mined_t],tblBudget[Month],"&lt;"&amp;$E227)+$IT227</f>
        <v/>
      </c>
      <c r="IV227" s="55">
        <f>SUMIFS(tblBudget[Ore_oz],tblBudget[Month],$E227)</f>
        <v/>
      </c>
      <c r="IW227" s="55">
        <f>$IV227*$C227/$D227</f>
        <v/>
      </c>
      <c r="IX227" s="55">
        <f>SUMIFS(tblBudget[Ore_oz],tblBudget[Month],"&lt;"&amp;$E227)+$IW227</f>
        <v/>
      </c>
      <c r="IY227" s="55">
        <f>SUMIFS(tblBudget[Ore_Mined_t],tblBudget[Month],$E227)</f>
        <v/>
      </c>
      <c r="IZ227" s="55">
        <f>$IY227*$C227/$D227</f>
        <v/>
      </c>
      <c r="JA227" s="55">
        <f>SUMIFS(tblBudget[Ore_Mined_t],tblBudget[Month],"&lt;"&amp;$E227)+$IZ227</f>
        <v/>
      </c>
      <c r="JB227" s="56">
        <f>IFERROR(IF(($IY227)&gt;0,($IV227*cfg_TroyOz)/($IY227),""),"")</f>
        <v/>
      </c>
      <c r="JC227" s="56">
        <f>IFERROR(IF(($IZ227)&gt;0,($IW227*cfg_TroyOz)/($IZ227),""),"")</f>
        <v/>
      </c>
      <c r="JD227" s="56">
        <f>IFERROR(IF(($JA227)&gt;0,($IX227*cfg_TroyOz)/($JA227),""),"")</f>
        <v/>
      </c>
      <c r="JE227" s="55">
        <f>SUMIFS(tblBudget[Waste_t],tblBudget[Month],$E227)</f>
        <v/>
      </c>
      <c r="JF227" s="55">
        <f>$JE227*$C227/$D227</f>
        <v/>
      </c>
      <c r="JG227" s="55">
        <f>SUMIFS(tblBudget[Waste_t],tblBudget[Month],"&lt;"&amp;$E227)+$JF227</f>
        <v/>
      </c>
      <c r="JH227" s="55">
        <f>SUMIFS(tblBudget[TMM_t],tblBudget[Month],$E227)</f>
        <v/>
      </c>
      <c r="JI227" s="55">
        <f>$JH227*$C227/$D227</f>
        <v/>
      </c>
      <c r="JJ227" s="55">
        <f>SUMIFS(tblBudget[TMM_t],tblBudget[Month],"&lt;"&amp;$E227)+$JI227</f>
        <v/>
      </c>
      <c r="JK227" s="56">
        <f>IFERROR(IF(($IS227)&gt;0,($JE227)/($IS227),""),"")</f>
        <v/>
      </c>
      <c r="JL227" s="56">
        <f>IFERROR(IF(($IT227)&gt;0,($JF227)/($IT227),""),"")</f>
        <v/>
      </c>
      <c r="JM227" s="56">
        <f>IFERROR(IF(($IU227)&gt;0,($JG227)/($IU227),""),"")</f>
        <v/>
      </c>
      <c r="JN227" s="55">
        <f>SUMIFS(tblBudget[Drill_m],tblBudget[Month],$E227)</f>
        <v/>
      </c>
      <c r="JO227" s="55">
        <f>$JN227*$C227/$D227</f>
        <v/>
      </c>
      <c r="JP227" s="55">
        <f>SUMIFS(tblBudget[Drill_m],tblBudget[Month],"&lt;"&amp;$E227)+$JO227</f>
        <v/>
      </c>
      <c r="JQ227" s="55">
        <f>SUMIFS(tblBudget[Diesel_L],tblBudget[Month],$E227)</f>
        <v/>
      </c>
      <c r="JR227" s="55">
        <f>$JQ227*$C227/$D227</f>
        <v/>
      </c>
      <c r="JS227" s="55">
        <f>SUMIFS(tblBudget[Diesel_L],tblBudget[Month],"&lt;"&amp;$E227)+$JR227</f>
        <v/>
      </c>
      <c r="JT227" s="55">
        <f>SUMIFS(tblBudget[Milled_t],tblBudget[Month],$E227)</f>
        <v/>
      </c>
      <c r="JU227" s="55">
        <f>$JT227*$C227/$D227</f>
        <v/>
      </c>
      <c r="JV227" s="55">
        <f>SUMIFS(tblBudget[Milled_t],tblBudget[Month],"&lt;"&amp;$E227)+$JU227</f>
        <v/>
      </c>
      <c r="JW227" s="55">
        <f>SUMIFS(tblBudget[Feed_oz],tblBudget[Month],$E227)</f>
        <v/>
      </c>
      <c r="JX227" s="55">
        <f>$JW227*$C227/$D227</f>
        <v/>
      </c>
      <c r="JY227" s="55">
        <f>SUMIFS(tblBudget[Feed_oz],tblBudget[Month],"&lt;"&amp;$E227)+$JX227</f>
        <v/>
      </c>
      <c r="JZ227" s="55">
        <f>SUMIFS(tblBudget[Recovered_oz],tblBudget[Month],$E227)</f>
        <v/>
      </c>
      <c r="KA227" s="55">
        <f>$JZ227*$C227/$D227</f>
        <v/>
      </c>
      <c r="KB227" s="55">
        <f>SUMIFS(tblBudget[Recovered_oz],tblBudget[Month],"&lt;"&amp;$E227)+$KA227</f>
        <v/>
      </c>
      <c r="KC227" s="55">
        <f>SUMIFS(tblBudget[Milled_t],tblBudget[Month],$E227)</f>
        <v/>
      </c>
      <c r="KD227" s="55">
        <f>$KC227*$C227/$D227</f>
        <v/>
      </c>
      <c r="KE227" s="55">
        <f>SUMIFS(tblBudget[Milled_t],tblBudget[Month],"&lt;"&amp;$E227)+$KD227</f>
        <v/>
      </c>
      <c r="KF227" s="55">
        <f>SUMIFS(tblBudget[Feed_oz],tblBudget[Month],$E227)</f>
        <v/>
      </c>
      <c r="KG227" s="55">
        <f>$KF227*$C227/$D227</f>
        <v/>
      </c>
      <c r="KH227" s="55">
        <f>SUMIFS(tblBudget[Feed_oz],tblBudget[Month],"&lt;"&amp;$E227)+$KG227</f>
        <v/>
      </c>
      <c r="KI227" s="56">
        <f>IFERROR(IF(($KC227)&gt;0,($JW227*cfg_TroyOz)/($KC227),""),"")</f>
        <v/>
      </c>
      <c r="KJ227" s="56">
        <f>IFERROR(IF(($KD227)&gt;0,($JX227*cfg_TroyOz)/($KD227),""),"")</f>
        <v/>
      </c>
      <c r="KK227" s="56">
        <f>IFERROR(IF(($KE227)&gt;0,($JY227*cfg_TroyOz)/($KE227),""),"")</f>
        <v/>
      </c>
      <c r="KL227" s="67">
        <f>IFERROR(IF(($KF227)&gt;0,($JZ227)/($KF227),""),"")</f>
        <v/>
      </c>
      <c r="KM227" s="67">
        <f>IFERROR(IF(($KG227)&gt;0,($KA227)/($KG227),""),"")</f>
        <v/>
      </c>
      <c r="KN227" s="67">
        <f>IFERROR(IF(($KH227)&gt;0,($KB227)/($KH227),""),"")</f>
        <v/>
      </c>
      <c r="KO227" s="55">
        <f>SUMIFS(tblBudget[Gold_Poured_oz],tblBudget[Month],$E227)</f>
        <v/>
      </c>
      <c r="KP227" s="55">
        <f>$KO227*$C227/$D227</f>
        <v/>
      </c>
      <c r="KQ227" s="55">
        <f>SUMIFS(tblBudget[Gold_Poured_oz],tblBudget[Month],"&lt;"&amp;$E227)+$KP227</f>
        <v/>
      </c>
      <c r="KR227" s="57">
        <f>SUMIFS(tblBudget[Hours_Worked],tblBudget[Month],$E227)</f>
        <v/>
      </c>
      <c r="KS227" s="57">
        <f>$KR227*$C227/$D227</f>
        <v/>
      </c>
      <c r="KT227" s="57">
        <f>SUMIFS(tblBudget[Hours_Worked],tblBudget[Month],"&lt;"&amp;$E227)+$KS227</f>
        <v/>
      </c>
    </row>
    <row r="228">
      <c r="A228" s="54" t="n">
        <v>46249</v>
      </c>
      <c r="B228">
        <f>MONTH($A228)</f>
        <v/>
      </c>
      <c r="C228">
        <f>DAY($A228)</f>
        <v/>
      </c>
      <c r="D228">
        <f>DAY(EOMONTH($A228,0))</f>
        <v/>
      </c>
      <c r="E228" s="54">
        <f>DATE(YEAR($A228),MONTH($A228),1)</f>
        <v/>
      </c>
      <c r="F228" s="55">
        <f>SUMIFS(tblMovement[Tonnes_t],tblMovement[Date],$A228,tblMovement[Is_Ore],1,tblMovement[Source_Type],"Pit")</f>
        <v/>
      </c>
      <c r="G228" s="55">
        <f>IF($B228=$B227,$G227,0)+$F228</f>
        <v/>
      </c>
      <c r="H228" s="55">
        <f>$H227+$F228</f>
        <v/>
      </c>
      <c r="I228" s="55">
        <f>SUMIFS(tblMovement[Ore_oz],tblMovement[Date],$A228,tblMovement[Source_Type],"Pit")</f>
        <v/>
      </c>
      <c r="J228" s="55">
        <f>IF($B228=$B227,$J227,0)+$I228</f>
        <v/>
      </c>
      <c r="K228" s="55">
        <f>$K227+$I228</f>
        <v/>
      </c>
      <c r="L228" s="55">
        <f>SUMIFS(tblMovement[Tonnes_t],tblMovement[Date],$A228,tblMovement[Is_Ore],1,tblMovement[Source_Type],"Pit",tblMovement[Grade_gpt],"&lt;&gt;")</f>
        <v/>
      </c>
      <c r="M228" s="55">
        <f>IF($B228=$B227,$M227,0)+$L228</f>
        <v/>
      </c>
      <c r="N228" s="55">
        <f>$N227+$L228</f>
        <v/>
      </c>
      <c r="O228" s="56">
        <f>IFERROR(IF(($L228)&gt;0,($I228*cfg_TroyOz)/($L228),""),"")</f>
        <v/>
      </c>
      <c r="P228" s="56">
        <f>IFERROR(IF(($M228)&gt;0,($J228*cfg_TroyOz)/($M228),""),"")</f>
        <v/>
      </c>
      <c r="Q228" s="56">
        <f>IFERROR(IF(($N228)&gt;0,($K228*cfg_TroyOz)/($N228),""),"")</f>
        <v/>
      </c>
      <c r="R228" s="55">
        <f>$F228-$L228</f>
        <v/>
      </c>
      <c r="S228" s="55">
        <f>IF($B228=$B227,$S227,0)+$R228</f>
        <v/>
      </c>
      <c r="T228" s="55">
        <f>$T227+$R228</f>
        <v/>
      </c>
      <c r="U228" s="55">
        <f>SUMIFS(tblMovement[Tonnes_t],tblMovement[Date],$A228,tblMovement[Is_Ore],0,tblMovement[Source_Type],"Pit")</f>
        <v/>
      </c>
      <c r="V228" s="55">
        <f>IF($B228=$B227,$V227,0)+$U228</f>
        <v/>
      </c>
      <c r="W228" s="55">
        <f>$W227+$U228</f>
        <v/>
      </c>
      <c r="X228" s="55">
        <f>$F228+$U228</f>
        <v/>
      </c>
      <c r="Y228" s="55">
        <f>IF($B228=$B227,$Y227,0)+$X228</f>
        <v/>
      </c>
      <c r="Z228" s="55">
        <f>$Z227+$X228</f>
        <v/>
      </c>
      <c r="AA228" s="56">
        <f>IFERROR(IF(($F228)&gt;0,($U228)/($F228),""),"")</f>
        <v/>
      </c>
      <c r="AB228" s="56">
        <f>IFERROR(IF(($G228)&gt;0,($V228)/($G228),""),"")</f>
        <v/>
      </c>
      <c r="AC228" s="56">
        <f>IFERROR(IF(($H228)&gt;0,($W228)/($H228),""),"")</f>
        <v/>
      </c>
      <c r="AD228" s="55">
        <f>SUMIFS(tblMovement[Tonnes_t],tblMovement[Date],$A228,tblMovement[Source_Type],"Stockpile")</f>
        <v/>
      </c>
      <c r="AE228" s="55">
        <f>IF($B228=$B227,$AE227,0)+$AD228</f>
        <v/>
      </c>
      <c r="AF228" s="55">
        <f>$AF227+$AD228</f>
        <v/>
      </c>
      <c r="AG228" s="55">
        <f>SUMIFS(tblMovement[Tonnes_t],tblMovement[Date],$A228)</f>
        <v/>
      </c>
      <c r="AH228" s="55">
        <f>IF($B228=$B227,$AH227,0)+$AG228</f>
        <v/>
      </c>
      <c r="AI228" s="55">
        <f>$AI227+$AG228</f>
        <v/>
      </c>
      <c r="AJ228" s="55">
        <f>$AG228-$X228-$AD228</f>
        <v/>
      </c>
      <c r="AK228" s="55">
        <f>IF($B228=$B227,$AK227,0)+$AJ228</f>
        <v/>
      </c>
      <c r="AL228" s="55">
        <f>$AL227+$AJ228</f>
        <v/>
      </c>
      <c r="AM228" s="55">
        <f>SUMIFS(tblMiningDaily[Drill_m],tblMiningDaily[Date],$A228)</f>
        <v/>
      </c>
      <c r="AN228" s="55">
        <f>IF($B228=$B227,$AN227,0)+$AM228</f>
        <v/>
      </c>
      <c r="AO228" s="55">
        <f>$AO227+$AM228</f>
        <v/>
      </c>
      <c r="AP228" s="55">
        <f>SUMIFS(tblMiningDaily[GC_Drill_m],tblMiningDaily[Date],$A228)</f>
        <v/>
      </c>
      <c r="AQ228" s="55">
        <f>IF($B228=$B227,$AQ227,0)+$AP228</f>
        <v/>
      </c>
      <c r="AR228" s="55">
        <f>$AR227+$AP228</f>
        <v/>
      </c>
      <c r="AS228" s="55">
        <f>SUMIFS(tblMiningDaily[Blast_t],tblMiningDaily[Date],$A228)</f>
        <v/>
      </c>
      <c r="AT228" s="55">
        <f>IF($B228=$B227,$AT227,0)+$AS228</f>
        <v/>
      </c>
      <c r="AU228" s="55">
        <f>$AU227+$AS228</f>
        <v/>
      </c>
      <c r="AV228" s="55">
        <f>SUMIFS(tblMiningDaily[Explosives_kg],tblMiningDaily[Date],$A228)</f>
        <v/>
      </c>
      <c r="AW228" s="55">
        <f>IF($B228=$B227,$AW227,0)+$AV228</f>
        <v/>
      </c>
      <c r="AX228" s="55">
        <f>$AX227+$AV228</f>
        <v/>
      </c>
      <c r="AY228" s="56">
        <f>IFERROR(IF(($AS228)&gt;0,($AV228)/($AS228),""),"")</f>
        <v/>
      </c>
      <c r="AZ228" s="56">
        <f>IFERROR(IF(($AT228)&gt;0,($AW228)/($AT228),""),"")</f>
        <v/>
      </c>
      <c r="BA228" s="56">
        <f>IFERROR(IF(($AU228)&gt;0,($AX228)/($AU228),""),"")</f>
        <v/>
      </c>
      <c r="BB228" s="55">
        <f>SUMIFS(tblMiningDaily[Diesel_L],tblMiningDaily[Date],$A228)</f>
        <v/>
      </c>
      <c r="BC228" s="55">
        <f>IF($B228=$B227,$BC227,0)+$BB228</f>
        <v/>
      </c>
      <c r="BD228" s="55">
        <f>$BD227+$BB228</f>
        <v/>
      </c>
      <c r="BE228" s="55">
        <f>SUMIFS(tblMiningDaily[Dewatering_m3],tblMiningDaily[Date],$A228)</f>
        <v/>
      </c>
      <c r="BF228" s="55">
        <f>IF($B228=$B227,$BF227,0)+$BE228</f>
        <v/>
      </c>
      <c r="BG228" s="55">
        <f>$BG227+$BE228</f>
        <v/>
      </c>
      <c r="BH228" s="57">
        <f>SUMIFS(tblFleet[Calendar_h],tblFleet[Date],$A228,tblFleet[Equipment_Class],"Excavator")</f>
        <v/>
      </c>
      <c r="BI228" s="57">
        <f>IF($B228=$B227,$BI227,0)+$BH228</f>
        <v/>
      </c>
      <c r="BJ228" s="57">
        <f>$BJ227+$BH228</f>
        <v/>
      </c>
      <c r="BK228" s="57">
        <f>SUMIFS(tblFleet[Available_h],tblFleet[Date],$A228,tblFleet[Equipment_Class],"Excavator")</f>
        <v/>
      </c>
      <c r="BL228" s="57">
        <f>IF($B228=$B227,$BL227,0)+$BK228</f>
        <v/>
      </c>
      <c r="BM228" s="57">
        <f>$BM227+$BK228</f>
        <v/>
      </c>
      <c r="BN228" s="57">
        <f>SUMIFS(tblFleet[Operating_h],tblFleet[Date],$A228,tblFleet[Equipment_Class],"Excavator")</f>
        <v/>
      </c>
      <c r="BO228" s="57">
        <f>IF($B228=$B227,$BO227,0)+$BN228</f>
        <v/>
      </c>
      <c r="BP228" s="57">
        <f>$BP227+$BN228</f>
        <v/>
      </c>
      <c r="BQ228" s="67">
        <f>IFERROR(IF(($BH228)&gt;0,($BK228)/($BH228),""),"")</f>
        <v/>
      </c>
      <c r="BR228" s="67">
        <f>IFERROR(IF(($BI228)&gt;0,($BL228)/($BI228),""),"")</f>
        <v/>
      </c>
      <c r="BS228" s="67">
        <f>IFERROR(IF(($BJ228)&gt;0,($BM228)/($BJ228),""),"")</f>
        <v/>
      </c>
      <c r="BT228" s="67">
        <f>IFERROR(IF(($BK228)&gt;0,($BN228)/($BK228),""),"")</f>
        <v/>
      </c>
      <c r="BU228" s="67">
        <f>IFERROR(IF(($BL228)&gt;0,($BO228)/($BL228),""),"")</f>
        <v/>
      </c>
      <c r="BV228" s="67">
        <f>IFERROR(IF(($BM228)&gt;0,($BP228)/($BM228),""),"")</f>
        <v/>
      </c>
      <c r="BW228" s="57">
        <f>SUMIFS(tblFleet[Calendar_h],tblFleet[Date],$A228,tblFleet[Equipment_Class],"Haul Truck")</f>
        <v/>
      </c>
      <c r="BX228" s="57">
        <f>IF($B228=$B227,$BX227,0)+$BW228</f>
        <v/>
      </c>
      <c r="BY228" s="57">
        <f>$BY227+$BW228</f>
        <v/>
      </c>
      <c r="BZ228" s="57">
        <f>SUMIFS(tblFleet[Available_h],tblFleet[Date],$A228,tblFleet[Equipment_Class],"Haul Truck")</f>
        <v/>
      </c>
      <c r="CA228" s="57">
        <f>IF($B228=$B227,$CA227,0)+$BZ228</f>
        <v/>
      </c>
      <c r="CB228" s="57">
        <f>$CB227+$BZ228</f>
        <v/>
      </c>
      <c r="CC228" s="57">
        <f>SUMIFS(tblFleet[Operating_h],tblFleet[Date],$A228,tblFleet[Equipment_Class],"Haul Truck")</f>
        <v/>
      </c>
      <c r="CD228" s="57">
        <f>IF($B228=$B227,$CD227,0)+$CC228</f>
        <v/>
      </c>
      <c r="CE228" s="57">
        <f>$CE227+$CC228</f>
        <v/>
      </c>
      <c r="CF228" s="67">
        <f>IFERROR(IF(($BW228)&gt;0,($BZ228)/($BW228),""),"")</f>
        <v/>
      </c>
      <c r="CG228" s="67">
        <f>IFERROR(IF(($BX228)&gt;0,($CA228)/($BX228),""),"")</f>
        <v/>
      </c>
      <c r="CH228" s="67">
        <f>IFERROR(IF(($BY228)&gt;0,($CB228)/($BY228),""),"")</f>
        <v/>
      </c>
      <c r="CI228" s="67">
        <f>IFERROR(IF(($BZ228)&gt;0,($CC228)/($BZ228),""),"")</f>
        <v/>
      </c>
      <c r="CJ228" s="67">
        <f>IFERROR(IF(($CA228)&gt;0,($CD228)/($CA228),""),"")</f>
        <v/>
      </c>
      <c r="CK228" s="67">
        <f>IFERROR(IF(($CB228)&gt;0,($CE228)/($CB228),""),"")</f>
        <v/>
      </c>
      <c r="CL228" s="55">
        <f>IFERROR(IF(($BN228)&gt;0,($X228+$AD228)/($BN228),""),"")</f>
        <v/>
      </c>
      <c r="CM228" s="55">
        <f>IFERROR(IF(($BO228)&gt;0,($Y228+$AE228)/($BO228),""),"")</f>
        <v/>
      </c>
      <c r="CN228" s="55">
        <f>IFERROR(IF(($BP228)&gt;0,($Z228+$AF228)/($BP228),""),"")</f>
        <v/>
      </c>
      <c r="CO228" s="55">
        <f>IFERROR(IF(($CC228)&gt;0,($X228+$AD228)/($CC228),""),"")</f>
        <v/>
      </c>
      <c r="CP228" s="55">
        <f>IFERROR(IF(($CD228)&gt;0,($Y228+$AE228)/($CD228),""),"")</f>
        <v/>
      </c>
      <c r="CQ228" s="55">
        <f>IFERROR(IF(($CE228)&gt;0,($Z228+$AF228)/($CE228),""),"")</f>
        <v/>
      </c>
      <c r="CR228" s="55">
        <f>SUMIFS(tblPlant[Crushed_t],tblPlant[Date],$A228)</f>
        <v/>
      </c>
      <c r="CS228" s="55">
        <f>IF($B228=$B227,$CS227,0)+$CR228</f>
        <v/>
      </c>
      <c r="CT228" s="55">
        <f>$CT227+$CR228</f>
        <v/>
      </c>
      <c r="CU228" s="55">
        <f>SUMIFS(tblPlant[Milled_t],tblPlant[Date],$A228)</f>
        <v/>
      </c>
      <c r="CV228" s="55">
        <f>IF($B228=$B227,$CV227,0)+$CU228</f>
        <v/>
      </c>
      <c r="CW228" s="55">
        <f>$CW227+$CU228</f>
        <v/>
      </c>
      <c r="CX228" s="55">
        <f>SUMIFS(tblPlant[Feed_oz],tblPlant[Date],$A228)</f>
        <v/>
      </c>
      <c r="CY228" s="55">
        <f>IF($B228=$B227,$CY227,0)+$CX228</f>
        <v/>
      </c>
      <c r="CZ228" s="55">
        <f>$CZ227+$CX228</f>
        <v/>
      </c>
      <c r="DA228" s="55">
        <f>SUMIFS(tblPlant[Tails_oz],tblPlant[Date],$A228)</f>
        <v/>
      </c>
      <c r="DB228" s="55">
        <f>IF($B228=$B227,$DB227,0)+$DA228</f>
        <v/>
      </c>
      <c r="DC228" s="55">
        <f>$DC227+$DA228</f>
        <v/>
      </c>
      <c r="DD228" s="55">
        <f>SUMIFS(tblPlant[Recovered_oz],tblPlant[Date],$A228)</f>
        <v/>
      </c>
      <c r="DE228" s="55">
        <f>IF($B228=$B227,$DE227,0)+$DD228</f>
        <v/>
      </c>
      <c r="DF228" s="55">
        <f>$DF227+$DD228</f>
        <v/>
      </c>
      <c r="DG228" s="55">
        <f>SUMIFS(tblPlant[Milled_t],tblPlant[Date],$A228,tblPlant[Head_Grade_gpt],"&lt;&gt;")</f>
        <v/>
      </c>
      <c r="DH228" s="55">
        <f>IF($B228=$B227,$DH227,0)+$DG228</f>
        <v/>
      </c>
      <c r="DI228" s="55">
        <f>$DI227+$DG228</f>
        <v/>
      </c>
      <c r="DJ228" s="55">
        <f>SUMIFS(tblPlant[Milled_t],tblPlant[Date],$A228,tblPlant[Tails_Grade_gpt],"&lt;&gt;")</f>
        <v/>
      </c>
      <c r="DK228" s="55">
        <f>IF($B228=$B227,$DK227,0)+$DJ228</f>
        <v/>
      </c>
      <c r="DL228" s="55">
        <f>$DL227+$DJ228</f>
        <v/>
      </c>
      <c r="DM228" s="55">
        <f>SUMIFS(tblPlant[Feed_oz],tblPlant[Date],$A228,tblPlant[Tails_Grade_gpt],"&lt;&gt;")</f>
        <v/>
      </c>
      <c r="DN228" s="55">
        <f>IF($B228=$B227,$DN227,0)+$DM228</f>
        <v/>
      </c>
      <c r="DO228" s="55">
        <f>$DO227+$DM228</f>
        <v/>
      </c>
      <c r="DP228" s="55">
        <f>SUMIFS(tblPlant[Milled_t],tblPlant[Date],$A228,tblPlant[Mill_Run_h],"&lt;&gt;")</f>
        <v/>
      </c>
      <c r="DQ228" s="55">
        <f>IF($B228=$B227,$DQ227,0)+$DP228</f>
        <v/>
      </c>
      <c r="DR228" s="55">
        <f>$DR227+$DP228</f>
        <v/>
      </c>
      <c r="DS228" s="56">
        <f>IFERROR(IF(($DG228)&gt;0,($CX228*cfg_TroyOz)/($DG228),""),"")</f>
        <v/>
      </c>
      <c r="DT228" s="56">
        <f>IFERROR(IF(($DH228)&gt;0,($CY228*cfg_TroyOz)/($DH228),""),"")</f>
        <v/>
      </c>
      <c r="DU228" s="56">
        <f>IFERROR(IF(($DI228)&gt;0,($CZ228*cfg_TroyOz)/($DI228),""),"")</f>
        <v/>
      </c>
      <c r="DV228" s="56">
        <f>IFERROR(IF(($DJ228)&gt;0,($DA228*cfg_TroyOz)/($DJ228),""),"")</f>
        <v/>
      </c>
      <c r="DW228" s="56">
        <f>IFERROR(IF(($DK228)&gt;0,($DB228*cfg_TroyOz)/($DK228),""),"")</f>
        <v/>
      </c>
      <c r="DX228" s="56">
        <f>IFERROR(IF(($DL228)&gt;0,($DC228*cfg_TroyOz)/($DL228),""),"")</f>
        <v/>
      </c>
      <c r="DY228" s="67">
        <f>IFERROR(IF(($DM228)&gt;0,($DD228)/($DM228),""),"")</f>
        <v/>
      </c>
      <c r="DZ228" s="67">
        <f>IFERROR(IF(($DN228)&gt;0,($DE228)/($DN228),""),"")</f>
        <v/>
      </c>
      <c r="EA228" s="67">
        <f>IFERROR(IF(($DO228)&gt;0,($DF228)/($DO228),""),"")</f>
        <v/>
      </c>
      <c r="EB228" s="55">
        <f>SUMIFS(tblPlant[Gravity_Gold_oz],tblPlant[Date],$A228)</f>
        <v/>
      </c>
      <c r="EC228" s="55">
        <f>IF($B228=$B227,$EC227,0)+$EB228</f>
        <v/>
      </c>
      <c r="ED228" s="55">
        <f>$ED227+$EB228</f>
        <v/>
      </c>
      <c r="EE228" s="67">
        <f>IFERROR(IF(($DD228)&gt;0,($EB228)/($DD228),""),"")</f>
        <v/>
      </c>
      <c r="EF228" s="67">
        <f>IFERROR(IF(($DE228)&gt;0,($EC228)/($DE228),""),"")</f>
        <v/>
      </c>
      <c r="EG228" s="67">
        <f>IFERROR(IF(($DF228)&gt;0,($ED228)/($DF228),""),"")</f>
        <v/>
      </c>
      <c r="EH228" s="55">
        <f>SUMIFS(tblPlant[Gold_Poured_oz],tblPlant[Date],$A228)</f>
        <v/>
      </c>
      <c r="EI228" s="55">
        <f>IF($B228=$B227,$EI227,0)+$EH228</f>
        <v/>
      </c>
      <c r="EJ228" s="55">
        <f>$EJ227+$EH228</f>
        <v/>
      </c>
      <c r="EK228" s="57">
        <f>SUMIFS(tblPlant[Mill_Run_h],tblPlant[Date],$A228)</f>
        <v/>
      </c>
      <c r="EL228" s="57">
        <f>IF($B228=$B227,$EL227,0)+$EK228</f>
        <v/>
      </c>
      <c r="EM228" s="57">
        <f>$EM227+$EK228</f>
        <v/>
      </c>
      <c r="EN228" s="57">
        <f>SUMIFS(tblPlant[Mill_Planned_Maint_h],tblPlant[Date],$A228)</f>
        <v/>
      </c>
      <c r="EO228" s="57">
        <f>IF($B228=$B227,$EO227,0)+$EN228</f>
        <v/>
      </c>
      <c r="EP228" s="57">
        <f>$EP227+$EN228</f>
        <v/>
      </c>
      <c r="EQ228" s="57">
        <f>SUMIFS(tblPlant[Mill_Unplanned_Down_h],tblPlant[Date],$A228)</f>
        <v/>
      </c>
      <c r="ER228" s="57">
        <f>IF($B228=$B227,$ER227,0)+$EQ228</f>
        <v/>
      </c>
      <c r="ES228" s="57">
        <f>$ES227+$EQ228</f>
        <v/>
      </c>
      <c r="ET228" s="57">
        <f>IF(COUNTIFS(tblPlant[Date],$A228,tblPlant[Mill_Run_h],"&lt;&gt;")+COUNTIFS(tblPlant[Date],$A228,tblPlant[Mill_Planned_Maint_h],"&lt;&gt;")+COUNTIFS(tblPlant[Date],$A228,tblPlant[Mill_Unplanned_Down_h],"&lt;&gt;")&gt;0,cfg_HoursPerDay,0)</f>
        <v/>
      </c>
      <c r="EU228" s="57">
        <f>IF($B228=$B227,$EU227,0)+$ET228</f>
        <v/>
      </c>
      <c r="EV228" s="57">
        <f>$EV227+$ET228</f>
        <v/>
      </c>
      <c r="EW228" s="57">
        <f>SUMIFS(tblPlant[Crusher_Run_h],tblPlant[Date],$A228)</f>
        <v/>
      </c>
      <c r="EX228" s="57">
        <f>IF($B228=$B227,$EX227,0)+$EW228</f>
        <v/>
      </c>
      <c r="EY228" s="57">
        <f>$EY227+$EW228</f>
        <v/>
      </c>
      <c r="EZ228" s="55">
        <f>IFERROR(IF(($EK228)&gt;0,($DP228)/($EK228),""),"")</f>
        <v/>
      </c>
      <c r="FA228" s="55">
        <f>IFERROR(IF(($EL228)&gt;0,($DQ228)/($EL228),""),"")</f>
        <v/>
      </c>
      <c r="FB228" s="55">
        <f>IFERROR(IF(($EM228)&gt;0,($DR228)/($EM228),""),"")</f>
        <v/>
      </c>
      <c r="FC228" s="67">
        <f>IFERROR(IF(($ET228)&gt;0,($ET228-$EN228-$EQ228)/($ET228),""),"")</f>
        <v/>
      </c>
      <c r="FD228" s="67">
        <f>IFERROR(IF(($EU228)&gt;0,($EU228-$EO228-$ER228)/($EU228),""),"")</f>
        <v/>
      </c>
      <c r="FE228" s="67">
        <f>IFERROR(IF(($EV228)&gt;0,($EV228-$EP228-$ES228)/($EV228),""),"")</f>
        <v/>
      </c>
      <c r="FF228" s="67">
        <f>IFERROR(IF(($ET228-$EN228-$EQ228)&gt;0,($EK228)/($ET228-$EN228-$EQ228),""),"")</f>
        <v/>
      </c>
      <c r="FG228" s="67">
        <f>IFERROR(IF(($EU228-$EO228-$ER228)&gt;0,($EL228)/($EU228-$EO228-$ER228),""),"")</f>
        <v/>
      </c>
      <c r="FH228" s="67">
        <f>IFERROR(IF(($EV228-$EP228-$ES228)&gt;0,($EM228)/($EV228-$EP228-$ES228),""),"")</f>
        <v/>
      </c>
      <c r="FI228" s="55">
        <f>SUMIFS(tblPlant[Cyanide_kg],tblPlant[Date],$A228)</f>
        <v/>
      </c>
      <c r="FJ228" s="55">
        <f>IF($B228=$B227,$FJ227,0)+$FI228</f>
        <v/>
      </c>
      <c r="FK228" s="55">
        <f>$FK227+$FI228</f>
        <v/>
      </c>
      <c r="FL228" s="55">
        <f>SUMIFS(tblPlant[Lime_kg],tblPlant[Date],$A228)</f>
        <v/>
      </c>
      <c r="FM228" s="55">
        <f>IF($B228=$B227,$FM227,0)+$FL228</f>
        <v/>
      </c>
      <c r="FN228" s="55">
        <f>$FN227+$FL228</f>
        <v/>
      </c>
      <c r="FO228" s="55">
        <f>SUMIFS(tblPlant[Grinding_Media_kg],tblPlant[Date],$A228)</f>
        <v/>
      </c>
      <c r="FP228" s="55">
        <f>IF($B228=$B227,$FP227,0)+$FO228</f>
        <v/>
      </c>
      <c r="FQ228" s="55">
        <f>$FQ227+$FO228</f>
        <v/>
      </c>
      <c r="FR228" s="55">
        <f>SUMIFS(tblPlant[Power_kWh],tblPlant[Date],$A228)</f>
        <v/>
      </c>
      <c r="FS228" s="55">
        <f>IF($B228=$B227,$FS227,0)+$FR228</f>
        <v/>
      </c>
      <c r="FT228" s="55">
        <f>$FT227+$FR228</f>
        <v/>
      </c>
      <c r="FU228" s="55">
        <f>SUMIFS(tblPlant[Raw_Water_m3],tblPlant[Date],$A228)</f>
        <v/>
      </c>
      <c r="FV228" s="55">
        <f>IF($B228=$B227,$FV227,0)+$FU228</f>
        <v/>
      </c>
      <c r="FW228" s="55">
        <f>$FW227+$FU228</f>
        <v/>
      </c>
      <c r="FX228" s="56">
        <f>IFERROR(IF(($CU228)&gt;0,($FI228)/($CU228),""),"")</f>
        <v/>
      </c>
      <c r="FY228" s="56">
        <f>IFERROR(IF(($CV228)&gt;0,($FJ228)/($CV228),""),"")</f>
        <v/>
      </c>
      <c r="FZ228" s="56">
        <f>IFERROR(IF(($CW228)&gt;0,($FK228)/($CW228),""),"")</f>
        <v/>
      </c>
      <c r="GA228" s="56">
        <f>IFERROR(IF(($CU228)&gt;0,($FL228)/($CU228),""),"")</f>
        <v/>
      </c>
      <c r="GB228" s="56">
        <f>IFERROR(IF(($CV228)&gt;0,($FM228)/($CV228),""),"")</f>
        <v/>
      </c>
      <c r="GC228" s="56">
        <f>IFERROR(IF(($CW228)&gt;0,($FN228)/($CW228),""),"")</f>
        <v/>
      </c>
      <c r="GD228" s="56">
        <f>IFERROR(IF(($CU228)&gt;0,($FO228)/($CU228),""),"")</f>
        <v/>
      </c>
      <c r="GE228" s="56">
        <f>IFERROR(IF(($CV228)&gt;0,($FP228)/($CV228),""),"")</f>
        <v/>
      </c>
      <c r="GF228" s="56">
        <f>IFERROR(IF(($CW228)&gt;0,($FQ228)/($CW228),""),"")</f>
        <v/>
      </c>
      <c r="GG228" s="79">
        <f>IFERROR(IF(($CU228)&gt;0,($FR228)/($CU228),""),"")</f>
        <v/>
      </c>
      <c r="GH228" s="79">
        <f>IFERROR(IF(($CV228)&gt;0,($FS228)/($CV228),""),"")</f>
        <v/>
      </c>
      <c r="GI228" s="79">
        <f>IFERROR(IF(($CW228)&gt;0,($FT228)/($CW228),""),"")</f>
        <v/>
      </c>
      <c r="GJ228" s="56">
        <f>IFERROR(IF(($CU228)&gt;0,($FU228)/($CU228),""),"")</f>
        <v/>
      </c>
      <c r="GK228" s="56">
        <f>IFERROR(IF(($CV228)&gt;0,($FV228)/($CV228),""),"")</f>
        <v/>
      </c>
      <c r="GL228" s="56">
        <f>IFERROR(IF(($CW228)&gt;0,($FW228)/($CW228),""),"")</f>
        <v/>
      </c>
      <c r="GM228" s="55">
        <f>IF(SUMIFS(tblPlant[GIC_oz],tblPlant[Date],$A228)&gt;0,SUMIFS(tblPlant[GIC_oz],tblPlant[Date],$A228),"")</f>
        <v/>
      </c>
      <c r="GN228" s="55">
        <f>SUMIFS(tblGold[Gold_oz],tblGold[Date],$A228,tblGold[Type],"Shipment")</f>
        <v/>
      </c>
      <c r="GO228" s="55">
        <f>IF($B228=$B227,$GO227,0)+$GN228</f>
        <v/>
      </c>
      <c r="GP228" s="55">
        <f>$GP227+$GN228</f>
        <v/>
      </c>
      <c r="GQ228" s="55">
        <f>SUMIFS(tblGold[Gold_oz],tblGold[Date],$A228,tblGold[Type],"Sale")</f>
        <v/>
      </c>
      <c r="GR228" s="55">
        <f>IF($B228=$B227,$GR227,0)+$GQ228</f>
        <v/>
      </c>
      <c r="GS228" s="55">
        <f>$GS227+$GQ228</f>
        <v/>
      </c>
      <c r="GT228" s="55">
        <f>SUMIFS(tblGold[Dore_kg],tblGold[Date],$A228,tblGold[Type],"Shipment")</f>
        <v/>
      </c>
      <c r="GU228" s="55">
        <f>IF($B228=$B227,$GU227,0)+$GT228</f>
        <v/>
      </c>
      <c r="GV228" s="55">
        <f>$GV227+$GT228</f>
        <v/>
      </c>
      <c r="GW228" s="57">
        <f>SUMIFS(tblSafety[Hours_Total],tblSafety[Date],$A228)</f>
        <v/>
      </c>
      <c r="GX228" s="57">
        <f>IF($B228=$B227,$GX227,0)+$GW228</f>
        <v/>
      </c>
      <c r="GY228" s="57">
        <f>$GY227+$GW228</f>
        <v/>
      </c>
      <c r="GZ228" s="62">
        <f>SUMIFS(tblSafety[Fatality],tblSafety[Date],$A228)</f>
        <v/>
      </c>
      <c r="HA228" s="62">
        <f>IF($B228=$B227,$HA227,0)+$GZ228</f>
        <v/>
      </c>
      <c r="HB228" s="62">
        <f>$HB227+$GZ228</f>
        <v/>
      </c>
      <c r="HC228" s="62">
        <f>SUMIFS(tblSafety[LTI],tblSafety[Date],$A228)</f>
        <v/>
      </c>
      <c r="HD228" s="62">
        <f>IF($B228=$B227,$HD227,0)+$HC228</f>
        <v/>
      </c>
      <c r="HE228" s="62">
        <f>$HE227+$HC228</f>
        <v/>
      </c>
      <c r="HF228" s="62">
        <f>SUMIFS(tblSafety[RWI],tblSafety[Date],$A228)</f>
        <v/>
      </c>
      <c r="HG228" s="62">
        <f>IF($B228=$B227,$HG227,0)+$HF228</f>
        <v/>
      </c>
      <c r="HH228" s="62">
        <f>$HH227+$HF228</f>
        <v/>
      </c>
      <c r="HI228" s="62">
        <f>SUMIFS(tblSafety[MTI],tblSafety[Date],$A228)</f>
        <v/>
      </c>
      <c r="HJ228" s="62">
        <f>IF($B228=$B227,$HJ227,0)+$HI228</f>
        <v/>
      </c>
      <c r="HK228" s="62">
        <f>$HK227+$HI228</f>
        <v/>
      </c>
      <c r="HL228" s="62">
        <f>SUMIFS(tblSafety[FAI],tblSafety[Date],$A228)</f>
        <v/>
      </c>
      <c r="HM228" s="62">
        <f>IF($B228=$B227,$HM227,0)+$HL228</f>
        <v/>
      </c>
      <c r="HN228" s="62">
        <f>$HN227+$HL228</f>
        <v/>
      </c>
      <c r="HO228" s="62">
        <f>SUMIFS(tblSafety[Recordables],tblSafety[Date],$A228)</f>
        <v/>
      </c>
      <c r="HP228" s="62">
        <f>IF($B228=$B227,$HP227,0)+$HO228</f>
        <v/>
      </c>
      <c r="HQ228" s="62">
        <f>$HQ227+$HO228</f>
        <v/>
      </c>
      <c r="HR228" s="62">
        <f>SUMIFS(tblSafety[Near_Miss],tblSafety[Date],$A228)</f>
        <v/>
      </c>
      <c r="HS228" s="62">
        <f>IF($B228=$B227,$HS227,0)+$HR228</f>
        <v/>
      </c>
      <c r="HT228" s="62">
        <f>$HT227+$HR228</f>
        <v/>
      </c>
      <c r="HU228" s="62">
        <f>SUMIFS(tblSafety[Hazard_Reports],tblSafety[Date],$A228)</f>
        <v/>
      </c>
      <c r="HV228" s="62">
        <f>IF($B228=$B227,$HV227,0)+$HU228</f>
        <v/>
      </c>
      <c r="HW228" s="62">
        <f>$HW227+$HU228</f>
        <v/>
      </c>
      <c r="HX228" s="62">
        <f>SUMIFS(tblSafety[HPI],tblSafety[Date],$A228)</f>
        <v/>
      </c>
      <c r="HY228" s="62">
        <f>IF($B228=$B227,$HY227,0)+$HX228</f>
        <v/>
      </c>
      <c r="HZ228" s="62">
        <f>$HZ227+$HX228</f>
        <v/>
      </c>
      <c r="IA228" s="62">
        <f>SUMIFS(tblSafety[Env_Incidents],tblSafety[Date],$A228)</f>
        <v/>
      </c>
      <c r="IB228" s="62">
        <f>IF($B228=$B227,$IB227,0)+$IA228</f>
        <v/>
      </c>
      <c r="IC228" s="62">
        <f>$IC227+$IA228</f>
        <v/>
      </c>
      <c r="ID228" s="62">
        <f>SUMIFS(tblSafety[Community_Incidents],tblSafety[Date],$A228)</f>
        <v/>
      </c>
      <c r="IE228" s="62">
        <f>IF($B228=$B227,$IE227,0)+$ID228</f>
        <v/>
      </c>
      <c r="IF228" s="62">
        <f>$IF227+$ID228</f>
        <v/>
      </c>
      <c r="IG228" s="62">
        <f>SUMIFS(tblSafety[Vehicle_Incidents],tblSafety[Date],$A228)</f>
        <v/>
      </c>
      <c r="IH228" s="62">
        <f>IF($B228=$B227,$IH227,0)+$IG228</f>
        <v/>
      </c>
      <c r="II228" s="62">
        <f>$II227+$IG228</f>
        <v/>
      </c>
      <c r="IJ228" s="62">
        <f>SUMIFS(tblSafety[Toolbox_Talks],tblSafety[Date],$A228)</f>
        <v/>
      </c>
      <c r="IK228" s="62">
        <f>IF($B228=$B227,$IK227,0)+$IJ228</f>
        <v/>
      </c>
      <c r="IL228" s="62">
        <f>$IL227+$IJ228</f>
        <v/>
      </c>
      <c r="IM228" s="62">
        <f>SUMIFS(tblSafety[Inspections],tblSafety[Date],$A228)</f>
        <v/>
      </c>
      <c r="IN228" s="62">
        <f>IF($B228=$B227,$IN227,0)+$IM228</f>
        <v/>
      </c>
      <c r="IO228" s="62">
        <f>$IO227+$IM228</f>
        <v/>
      </c>
      <c r="IP228" s="56">
        <f>IFERROR((SUMIFS(tblSafety[Recordables],tblSafety[Date],"&gt;="&amp;EDATE($E228,-12),tblSafety[Date],"&lt;="&amp;$A228)+SUMIFS(tblSafetyHistory[Recordables],tblSafetyHistory[Month],"&gt;="&amp;EDATE($E228,-12),tblSafetyHistory[Month],"&lt;"&amp;$E228,tblSafetyHistory[Use],1))/(SUMIFS(tblSafety[Hours_Total],tblSafety[Date],"&gt;="&amp;EDATE($E228,-12),tblSafety[Date],"&lt;="&amp;$A228)+SUMIFS(tblSafetyHistory[Hours_Total],tblSafetyHistory[Month],"&gt;="&amp;EDATE($E228,-12),tblSafetyHistory[Month],"&lt;"&amp;$E228,tblSafetyHistory[Use],1))*cfg_RateBasisHours,"")</f>
        <v/>
      </c>
      <c r="IQ228" s="56">
        <f>IFERROR((SUMIFS(tblSafety[LTI],tblSafety[Date],"&gt;="&amp;EDATE($E228,-12),tblSafety[Date],"&lt;="&amp;$A228)+SUMIFS(tblSafetyHistory[LTI],tblSafetyHistory[Month],"&gt;="&amp;EDATE($E228,-12),tblSafetyHistory[Month],"&lt;"&amp;$E228,tblSafetyHistory[Use],1))/(SUMIFS(tblSafety[Hours_Total],tblSafety[Date],"&gt;="&amp;EDATE($E228,-12),tblSafety[Date],"&lt;="&amp;$A228)+SUMIFS(tblSafetyHistory[Hours_Total],tblSafetyHistory[Month],"&gt;="&amp;EDATE($E228,-12),tblSafetyHistory[Month],"&lt;"&amp;$E228,tblSafetyHistory[Use],1))*cfg_RateBasisHours,"")</f>
        <v/>
      </c>
      <c r="IR228" s="62">
        <f>IF(MAX(N(cfg_PriorLTIDate),_xlfn.MAXIFS(tblSafety[Date],tblSafety[LTI],"&gt;0",tblSafety[Date],"&lt;="&amp;$A228))=0,"",$A228-MAX(N(cfg_PriorLTIDate),_xlfn.MAXIFS(tblSafety[Date],tblSafety[LTI],"&gt;0",tblSafety[Date],"&lt;="&amp;$A228)))</f>
        <v/>
      </c>
      <c r="IS228" s="55">
        <f>SUMIFS(tblBudget[Ore_Mined_t],tblBudget[Month],$E228)</f>
        <v/>
      </c>
      <c r="IT228" s="55">
        <f>$IS228*$C228/$D228</f>
        <v/>
      </c>
      <c r="IU228" s="55">
        <f>SUMIFS(tblBudget[Ore_Mined_t],tblBudget[Month],"&lt;"&amp;$E228)+$IT228</f>
        <v/>
      </c>
      <c r="IV228" s="55">
        <f>SUMIFS(tblBudget[Ore_oz],tblBudget[Month],$E228)</f>
        <v/>
      </c>
      <c r="IW228" s="55">
        <f>$IV228*$C228/$D228</f>
        <v/>
      </c>
      <c r="IX228" s="55">
        <f>SUMIFS(tblBudget[Ore_oz],tblBudget[Month],"&lt;"&amp;$E228)+$IW228</f>
        <v/>
      </c>
      <c r="IY228" s="55">
        <f>SUMIFS(tblBudget[Ore_Mined_t],tblBudget[Month],$E228)</f>
        <v/>
      </c>
      <c r="IZ228" s="55">
        <f>$IY228*$C228/$D228</f>
        <v/>
      </c>
      <c r="JA228" s="55">
        <f>SUMIFS(tblBudget[Ore_Mined_t],tblBudget[Month],"&lt;"&amp;$E228)+$IZ228</f>
        <v/>
      </c>
      <c r="JB228" s="56">
        <f>IFERROR(IF(($IY228)&gt;0,($IV228*cfg_TroyOz)/($IY228),""),"")</f>
        <v/>
      </c>
      <c r="JC228" s="56">
        <f>IFERROR(IF(($IZ228)&gt;0,($IW228*cfg_TroyOz)/($IZ228),""),"")</f>
        <v/>
      </c>
      <c r="JD228" s="56">
        <f>IFERROR(IF(($JA228)&gt;0,($IX228*cfg_TroyOz)/($JA228),""),"")</f>
        <v/>
      </c>
      <c r="JE228" s="55">
        <f>SUMIFS(tblBudget[Waste_t],tblBudget[Month],$E228)</f>
        <v/>
      </c>
      <c r="JF228" s="55">
        <f>$JE228*$C228/$D228</f>
        <v/>
      </c>
      <c r="JG228" s="55">
        <f>SUMIFS(tblBudget[Waste_t],tblBudget[Month],"&lt;"&amp;$E228)+$JF228</f>
        <v/>
      </c>
      <c r="JH228" s="55">
        <f>SUMIFS(tblBudget[TMM_t],tblBudget[Month],$E228)</f>
        <v/>
      </c>
      <c r="JI228" s="55">
        <f>$JH228*$C228/$D228</f>
        <v/>
      </c>
      <c r="JJ228" s="55">
        <f>SUMIFS(tblBudget[TMM_t],tblBudget[Month],"&lt;"&amp;$E228)+$JI228</f>
        <v/>
      </c>
      <c r="JK228" s="56">
        <f>IFERROR(IF(($IS228)&gt;0,($JE228)/($IS228),""),"")</f>
        <v/>
      </c>
      <c r="JL228" s="56">
        <f>IFERROR(IF(($IT228)&gt;0,($JF228)/($IT228),""),"")</f>
        <v/>
      </c>
      <c r="JM228" s="56">
        <f>IFERROR(IF(($IU228)&gt;0,($JG228)/($IU228),""),"")</f>
        <v/>
      </c>
      <c r="JN228" s="55">
        <f>SUMIFS(tblBudget[Drill_m],tblBudget[Month],$E228)</f>
        <v/>
      </c>
      <c r="JO228" s="55">
        <f>$JN228*$C228/$D228</f>
        <v/>
      </c>
      <c r="JP228" s="55">
        <f>SUMIFS(tblBudget[Drill_m],tblBudget[Month],"&lt;"&amp;$E228)+$JO228</f>
        <v/>
      </c>
      <c r="JQ228" s="55">
        <f>SUMIFS(tblBudget[Diesel_L],tblBudget[Month],$E228)</f>
        <v/>
      </c>
      <c r="JR228" s="55">
        <f>$JQ228*$C228/$D228</f>
        <v/>
      </c>
      <c r="JS228" s="55">
        <f>SUMIFS(tblBudget[Diesel_L],tblBudget[Month],"&lt;"&amp;$E228)+$JR228</f>
        <v/>
      </c>
      <c r="JT228" s="55">
        <f>SUMIFS(tblBudget[Milled_t],tblBudget[Month],$E228)</f>
        <v/>
      </c>
      <c r="JU228" s="55">
        <f>$JT228*$C228/$D228</f>
        <v/>
      </c>
      <c r="JV228" s="55">
        <f>SUMIFS(tblBudget[Milled_t],tblBudget[Month],"&lt;"&amp;$E228)+$JU228</f>
        <v/>
      </c>
      <c r="JW228" s="55">
        <f>SUMIFS(tblBudget[Feed_oz],tblBudget[Month],$E228)</f>
        <v/>
      </c>
      <c r="JX228" s="55">
        <f>$JW228*$C228/$D228</f>
        <v/>
      </c>
      <c r="JY228" s="55">
        <f>SUMIFS(tblBudget[Feed_oz],tblBudget[Month],"&lt;"&amp;$E228)+$JX228</f>
        <v/>
      </c>
      <c r="JZ228" s="55">
        <f>SUMIFS(tblBudget[Recovered_oz],tblBudget[Month],$E228)</f>
        <v/>
      </c>
      <c r="KA228" s="55">
        <f>$JZ228*$C228/$D228</f>
        <v/>
      </c>
      <c r="KB228" s="55">
        <f>SUMIFS(tblBudget[Recovered_oz],tblBudget[Month],"&lt;"&amp;$E228)+$KA228</f>
        <v/>
      </c>
      <c r="KC228" s="55">
        <f>SUMIFS(tblBudget[Milled_t],tblBudget[Month],$E228)</f>
        <v/>
      </c>
      <c r="KD228" s="55">
        <f>$KC228*$C228/$D228</f>
        <v/>
      </c>
      <c r="KE228" s="55">
        <f>SUMIFS(tblBudget[Milled_t],tblBudget[Month],"&lt;"&amp;$E228)+$KD228</f>
        <v/>
      </c>
      <c r="KF228" s="55">
        <f>SUMIFS(tblBudget[Feed_oz],tblBudget[Month],$E228)</f>
        <v/>
      </c>
      <c r="KG228" s="55">
        <f>$KF228*$C228/$D228</f>
        <v/>
      </c>
      <c r="KH228" s="55">
        <f>SUMIFS(tblBudget[Feed_oz],tblBudget[Month],"&lt;"&amp;$E228)+$KG228</f>
        <v/>
      </c>
      <c r="KI228" s="56">
        <f>IFERROR(IF(($KC228)&gt;0,($JW228*cfg_TroyOz)/($KC228),""),"")</f>
        <v/>
      </c>
      <c r="KJ228" s="56">
        <f>IFERROR(IF(($KD228)&gt;0,($JX228*cfg_TroyOz)/($KD228),""),"")</f>
        <v/>
      </c>
      <c r="KK228" s="56">
        <f>IFERROR(IF(($KE228)&gt;0,($JY228*cfg_TroyOz)/($KE228),""),"")</f>
        <v/>
      </c>
      <c r="KL228" s="67">
        <f>IFERROR(IF(($KF228)&gt;0,($JZ228)/($KF228),""),"")</f>
        <v/>
      </c>
      <c r="KM228" s="67">
        <f>IFERROR(IF(($KG228)&gt;0,($KA228)/($KG228),""),"")</f>
        <v/>
      </c>
      <c r="KN228" s="67">
        <f>IFERROR(IF(($KH228)&gt;0,($KB228)/($KH228),""),"")</f>
        <v/>
      </c>
      <c r="KO228" s="55">
        <f>SUMIFS(tblBudget[Gold_Poured_oz],tblBudget[Month],$E228)</f>
        <v/>
      </c>
      <c r="KP228" s="55">
        <f>$KO228*$C228/$D228</f>
        <v/>
      </c>
      <c r="KQ228" s="55">
        <f>SUMIFS(tblBudget[Gold_Poured_oz],tblBudget[Month],"&lt;"&amp;$E228)+$KP228</f>
        <v/>
      </c>
      <c r="KR228" s="57">
        <f>SUMIFS(tblBudget[Hours_Worked],tblBudget[Month],$E228)</f>
        <v/>
      </c>
      <c r="KS228" s="57">
        <f>$KR228*$C228/$D228</f>
        <v/>
      </c>
      <c r="KT228" s="57">
        <f>SUMIFS(tblBudget[Hours_Worked],tblBudget[Month],"&lt;"&amp;$E228)+$KS228</f>
        <v/>
      </c>
    </row>
    <row r="229">
      <c r="A229" s="54" t="n">
        <v>46250</v>
      </c>
      <c r="B229">
        <f>MONTH($A229)</f>
        <v/>
      </c>
      <c r="C229">
        <f>DAY($A229)</f>
        <v/>
      </c>
      <c r="D229">
        <f>DAY(EOMONTH($A229,0))</f>
        <v/>
      </c>
      <c r="E229" s="54">
        <f>DATE(YEAR($A229),MONTH($A229),1)</f>
        <v/>
      </c>
      <c r="F229" s="55">
        <f>SUMIFS(tblMovement[Tonnes_t],tblMovement[Date],$A229,tblMovement[Is_Ore],1,tblMovement[Source_Type],"Pit")</f>
        <v/>
      </c>
      <c r="G229" s="55">
        <f>IF($B229=$B228,$G228,0)+$F229</f>
        <v/>
      </c>
      <c r="H229" s="55">
        <f>$H228+$F229</f>
        <v/>
      </c>
      <c r="I229" s="55">
        <f>SUMIFS(tblMovement[Ore_oz],tblMovement[Date],$A229,tblMovement[Source_Type],"Pit")</f>
        <v/>
      </c>
      <c r="J229" s="55">
        <f>IF($B229=$B228,$J228,0)+$I229</f>
        <v/>
      </c>
      <c r="K229" s="55">
        <f>$K228+$I229</f>
        <v/>
      </c>
      <c r="L229" s="55">
        <f>SUMIFS(tblMovement[Tonnes_t],tblMovement[Date],$A229,tblMovement[Is_Ore],1,tblMovement[Source_Type],"Pit",tblMovement[Grade_gpt],"&lt;&gt;")</f>
        <v/>
      </c>
      <c r="M229" s="55">
        <f>IF($B229=$B228,$M228,0)+$L229</f>
        <v/>
      </c>
      <c r="N229" s="55">
        <f>$N228+$L229</f>
        <v/>
      </c>
      <c r="O229" s="56">
        <f>IFERROR(IF(($L229)&gt;0,($I229*cfg_TroyOz)/($L229),""),"")</f>
        <v/>
      </c>
      <c r="P229" s="56">
        <f>IFERROR(IF(($M229)&gt;0,($J229*cfg_TroyOz)/($M229),""),"")</f>
        <v/>
      </c>
      <c r="Q229" s="56">
        <f>IFERROR(IF(($N229)&gt;0,($K229*cfg_TroyOz)/($N229),""),"")</f>
        <v/>
      </c>
      <c r="R229" s="55">
        <f>$F229-$L229</f>
        <v/>
      </c>
      <c r="S229" s="55">
        <f>IF($B229=$B228,$S228,0)+$R229</f>
        <v/>
      </c>
      <c r="T229" s="55">
        <f>$T228+$R229</f>
        <v/>
      </c>
      <c r="U229" s="55">
        <f>SUMIFS(tblMovement[Tonnes_t],tblMovement[Date],$A229,tblMovement[Is_Ore],0,tblMovement[Source_Type],"Pit")</f>
        <v/>
      </c>
      <c r="V229" s="55">
        <f>IF($B229=$B228,$V228,0)+$U229</f>
        <v/>
      </c>
      <c r="W229" s="55">
        <f>$W228+$U229</f>
        <v/>
      </c>
      <c r="X229" s="55">
        <f>$F229+$U229</f>
        <v/>
      </c>
      <c r="Y229" s="55">
        <f>IF($B229=$B228,$Y228,0)+$X229</f>
        <v/>
      </c>
      <c r="Z229" s="55">
        <f>$Z228+$X229</f>
        <v/>
      </c>
      <c r="AA229" s="56">
        <f>IFERROR(IF(($F229)&gt;0,($U229)/($F229),""),"")</f>
        <v/>
      </c>
      <c r="AB229" s="56">
        <f>IFERROR(IF(($G229)&gt;0,($V229)/($G229),""),"")</f>
        <v/>
      </c>
      <c r="AC229" s="56">
        <f>IFERROR(IF(($H229)&gt;0,($W229)/($H229),""),"")</f>
        <v/>
      </c>
      <c r="AD229" s="55">
        <f>SUMIFS(tblMovement[Tonnes_t],tblMovement[Date],$A229,tblMovement[Source_Type],"Stockpile")</f>
        <v/>
      </c>
      <c r="AE229" s="55">
        <f>IF($B229=$B228,$AE228,0)+$AD229</f>
        <v/>
      </c>
      <c r="AF229" s="55">
        <f>$AF228+$AD229</f>
        <v/>
      </c>
      <c r="AG229" s="55">
        <f>SUMIFS(tblMovement[Tonnes_t],tblMovement[Date],$A229)</f>
        <v/>
      </c>
      <c r="AH229" s="55">
        <f>IF($B229=$B228,$AH228,0)+$AG229</f>
        <v/>
      </c>
      <c r="AI229" s="55">
        <f>$AI228+$AG229</f>
        <v/>
      </c>
      <c r="AJ229" s="55">
        <f>$AG229-$X229-$AD229</f>
        <v/>
      </c>
      <c r="AK229" s="55">
        <f>IF($B229=$B228,$AK228,0)+$AJ229</f>
        <v/>
      </c>
      <c r="AL229" s="55">
        <f>$AL228+$AJ229</f>
        <v/>
      </c>
      <c r="AM229" s="55">
        <f>SUMIFS(tblMiningDaily[Drill_m],tblMiningDaily[Date],$A229)</f>
        <v/>
      </c>
      <c r="AN229" s="55">
        <f>IF($B229=$B228,$AN228,0)+$AM229</f>
        <v/>
      </c>
      <c r="AO229" s="55">
        <f>$AO228+$AM229</f>
        <v/>
      </c>
      <c r="AP229" s="55">
        <f>SUMIFS(tblMiningDaily[GC_Drill_m],tblMiningDaily[Date],$A229)</f>
        <v/>
      </c>
      <c r="AQ229" s="55">
        <f>IF($B229=$B228,$AQ228,0)+$AP229</f>
        <v/>
      </c>
      <c r="AR229" s="55">
        <f>$AR228+$AP229</f>
        <v/>
      </c>
      <c r="AS229" s="55">
        <f>SUMIFS(tblMiningDaily[Blast_t],tblMiningDaily[Date],$A229)</f>
        <v/>
      </c>
      <c r="AT229" s="55">
        <f>IF($B229=$B228,$AT228,0)+$AS229</f>
        <v/>
      </c>
      <c r="AU229" s="55">
        <f>$AU228+$AS229</f>
        <v/>
      </c>
      <c r="AV229" s="55">
        <f>SUMIFS(tblMiningDaily[Explosives_kg],tblMiningDaily[Date],$A229)</f>
        <v/>
      </c>
      <c r="AW229" s="55">
        <f>IF($B229=$B228,$AW228,0)+$AV229</f>
        <v/>
      </c>
      <c r="AX229" s="55">
        <f>$AX228+$AV229</f>
        <v/>
      </c>
      <c r="AY229" s="56">
        <f>IFERROR(IF(($AS229)&gt;0,($AV229)/($AS229),""),"")</f>
        <v/>
      </c>
      <c r="AZ229" s="56">
        <f>IFERROR(IF(($AT229)&gt;0,($AW229)/($AT229),""),"")</f>
        <v/>
      </c>
      <c r="BA229" s="56">
        <f>IFERROR(IF(($AU229)&gt;0,($AX229)/($AU229),""),"")</f>
        <v/>
      </c>
      <c r="BB229" s="55">
        <f>SUMIFS(tblMiningDaily[Diesel_L],tblMiningDaily[Date],$A229)</f>
        <v/>
      </c>
      <c r="BC229" s="55">
        <f>IF($B229=$B228,$BC228,0)+$BB229</f>
        <v/>
      </c>
      <c r="BD229" s="55">
        <f>$BD228+$BB229</f>
        <v/>
      </c>
      <c r="BE229" s="55">
        <f>SUMIFS(tblMiningDaily[Dewatering_m3],tblMiningDaily[Date],$A229)</f>
        <v/>
      </c>
      <c r="BF229" s="55">
        <f>IF($B229=$B228,$BF228,0)+$BE229</f>
        <v/>
      </c>
      <c r="BG229" s="55">
        <f>$BG228+$BE229</f>
        <v/>
      </c>
      <c r="BH229" s="57">
        <f>SUMIFS(tblFleet[Calendar_h],tblFleet[Date],$A229,tblFleet[Equipment_Class],"Excavator")</f>
        <v/>
      </c>
      <c r="BI229" s="57">
        <f>IF($B229=$B228,$BI228,0)+$BH229</f>
        <v/>
      </c>
      <c r="BJ229" s="57">
        <f>$BJ228+$BH229</f>
        <v/>
      </c>
      <c r="BK229" s="57">
        <f>SUMIFS(tblFleet[Available_h],tblFleet[Date],$A229,tblFleet[Equipment_Class],"Excavator")</f>
        <v/>
      </c>
      <c r="BL229" s="57">
        <f>IF($B229=$B228,$BL228,0)+$BK229</f>
        <v/>
      </c>
      <c r="BM229" s="57">
        <f>$BM228+$BK229</f>
        <v/>
      </c>
      <c r="BN229" s="57">
        <f>SUMIFS(tblFleet[Operating_h],tblFleet[Date],$A229,tblFleet[Equipment_Class],"Excavator")</f>
        <v/>
      </c>
      <c r="BO229" s="57">
        <f>IF($B229=$B228,$BO228,0)+$BN229</f>
        <v/>
      </c>
      <c r="BP229" s="57">
        <f>$BP228+$BN229</f>
        <v/>
      </c>
      <c r="BQ229" s="67">
        <f>IFERROR(IF(($BH229)&gt;0,($BK229)/($BH229),""),"")</f>
        <v/>
      </c>
      <c r="BR229" s="67">
        <f>IFERROR(IF(($BI229)&gt;0,($BL229)/($BI229),""),"")</f>
        <v/>
      </c>
      <c r="BS229" s="67">
        <f>IFERROR(IF(($BJ229)&gt;0,($BM229)/($BJ229),""),"")</f>
        <v/>
      </c>
      <c r="BT229" s="67">
        <f>IFERROR(IF(($BK229)&gt;0,($BN229)/($BK229),""),"")</f>
        <v/>
      </c>
      <c r="BU229" s="67">
        <f>IFERROR(IF(($BL229)&gt;0,($BO229)/($BL229),""),"")</f>
        <v/>
      </c>
      <c r="BV229" s="67">
        <f>IFERROR(IF(($BM229)&gt;0,($BP229)/($BM229),""),"")</f>
        <v/>
      </c>
      <c r="BW229" s="57">
        <f>SUMIFS(tblFleet[Calendar_h],tblFleet[Date],$A229,tblFleet[Equipment_Class],"Haul Truck")</f>
        <v/>
      </c>
      <c r="BX229" s="57">
        <f>IF($B229=$B228,$BX228,0)+$BW229</f>
        <v/>
      </c>
      <c r="BY229" s="57">
        <f>$BY228+$BW229</f>
        <v/>
      </c>
      <c r="BZ229" s="57">
        <f>SUMIFS(tblFleet[Available_h],tblFleet[Date],$A229,tblFleet[Equipment_Class],"Haul Truck")</f>
        <v/>
      </c>
      <c r="CA229" s="57">
        <f>IF($B229=$B228,$CA228,0)+$BZ229</f>
        <v/>
      </c>
      <c r="CB229" s="57">
        <f>$CB228+$BZ229</f>
        <v/>
      </c>
      <c r="CC229" s="57">
        <f>SUMIFS(tblFleet[Operating_h],tblFleet[Date],$A229,tblFleet[Equipment_Class],"Haul Truck")</f>
        <v/>
      </c>
      <c r="CD229" s="57">
        <f>IF($B229=$B228,$CD228,0)+$CC229</f>
        <v/>
      </c>
      <c r="CE229" s="57">
        <f>$CE228+$CC229</f>
        <v/>
      </c>
      <c r="CF229" s="67">
        <f>IFERROR(IF(($BW229)&gt;0,($BZ229)/($BW229),""),"")</f>
        <v/>
      </c>
      <c r="CG229" s="67">
        <f>IFERROR(IF(($BX229)&gt;0,($CA229)/($BX229),""),"")</f>
        <v/>
      </c>
      <c r="CH229" s="67">
        <f>IFERROR(IF(($BY229)&gt;0,($CB229)/($BY229),""),"")</f>
        <v/>
      </c>
      <c r="CI229" s="67">
        <f>IFERROR(IF(($BZ229)&gt;0,($CC229)/($BZ229),""),"")</f>
        <v/>
      </c>
      <c r="CJ229" s="67">
        <f>IFERROR(IF(($CA229)&gt;0,($CD229)/($CA229),""),"")</f>
        <v/>
      </c>
      <c r="CK229" s="67">
        <f>IFERROR(IF(($CB229)&gt;0,($CE229)/($CB229),""),"")</f>
        <v/>
      </c>
      <c r="CL229" s="55">
        <f>IFERROR(IF(($BN229)&gt;0,($X229+$AD229)/($BN229),""),"")</f>
        <v/>
      </c>
      <c r="CM229" s="55">
        <f>IFERROR(IF(($BO229)&gt;0,($Y229+$AE229)/($BO229),""),"")</f>
        <v/>
      </c>
      <c r="CN229" s="55">
        <f>IFERROR(IF(($BP229)&gt;0,($Z229+$AF229)/($BP229),""),"")</f>
        <v/>
      </c>
      <c r="CO229" s="55">
        <f>IFERROR(IF(($CC229)&gt;0,($X229+$AD229)/($CC229),""),"")</f>
        <v/>
      </c>
      <c r="CP229" s="55">
        <f>IFERROR(IF(($CD229)&gt;0,($Y229+$AE229)/($CD229),""),"")</f>
        <v/>
      </c>
      <c r="CQ229" s="55">
        <f>IFERROR(IF(($CE229)&gt;0,($Z229+$AF229)/($CE229),""),"")</f>
        <v/>
      </c>
      <c r="CR229" s="55">
        <f>SUMIFS(tblPlant[Crushed_t],tblPlant[Date],$A229)</f>
        <v/>
      </c>
      <c r="CS229" s="55">
        <f>IF($B229=$B228,$CS228,0)+$CR229</f>
        <v/>
      </c>
      <c r="CT229" s="55">
        <f>$CT228+$CR229</f>
        <v/>
      </c>
      <c r="CU229" s="55">
        <f>SUMIFS(tblPlant[Milled_t],tblPlant[Date],$A229)</f>
        <v/>
      </c>
      <c r="CV229" s="55">
        <f>IF($B229=$B228,$CV228,0)+$CU229</f>
        <v/>
      </c>
      <c r="CW229" s="55">
        <f>$CW228+$CU229</f>
        <v/>
      </c>
      <c r="CX229" s="55">
        <f>SUMIFS(tblPlant[Feed_oz],tblPlant[Date],$A229)</f>
        <v/>
      </c>
      <c r="CY229" s="55">
        <f>IF($B229=$B228,$CY228,0)+$CX229</f>
        <v/>
      </c>
      <c r="CZ229" s="55">
        <f>$CZ228+$CX229</f>
        <v/>
      </c>
      <c r="DA229" s="55">
        <f>SUMIFS(tblPlant[Tails_oz],tblPlant[Date],$A229)</f>
        <v/>
      </c>
      <c r="DB229" s="55">
        <f>IF($B229=$B228,$DB228,0)+$DA229</f>
        <v/>
      </c>
      <c r="DC229" s="55">
        <f>$DC228+$DA229</f>
        <v/>
      </c>
      <c r="DD229" s="55">
        <f>SUMIFS(tblPlant[Recovered_oz],tblPlant[Date],$A229)</f>
        <v/>
      </c>
      <c r="DE229" s="55">
        <f>IF($B229=$B228,$DE228,0)+$DD229</f>
        <v/>
      </c>
      <c r="DF229" s="55">
        <f>$DF228+$DD229</f>
        <v/>
      </c>
      <c r="DG229" s="55">
        <f>SUMIFS(tblPlant[Milled_t],tblPlant[Date],$A229,tblPlant[Head_Grade_gpt],"&lt;&gt;")</f>
        <v/>
      </c>
      <c r="DH229" s="55">
        <f>IF($B229=$B228,$DH228,0)+$DG229</f>
        <v/>
      </c>
      <c r="DI229" s="55">
        <f>$DI228+$DG229</f>
        <v/>
      </c>
      <c r="DJ229" s="55">
        <f>SUMIFS(tblPlant[Milled_t],tblPlant[Date],$A229,tblPlant[Tails_Grade_gpt],"&lt;&gt;")</f>
        <v/>
      </c>
      <c r="DK229" s="55">
        <f>IF($B229=$B228,$DK228,0)+$DJ229</f>
        <v/>
      </c>
      <c r="DL229" s="55">
        <f>$DL228+$DJ229</f>
        <v/>
      </c>
      <c r="DM229" s="55">
        <f>SUMIFS(tblPlant[Feed_oz],tblPlant[Date],$A229,tblPlant[Tails_Grade_gpt],"&lt;&gt;")</f>
        <v/>
      </c>
      <c r="DN229" s="55">
        <f>IF($B229=$B228,$DN228,0)+$DM229</f>
        <v/>
      </c>
      <c r="DO229" s="55">
        <f>$DO228+$DM229</f>
        <v/>
      </c>
      <c r="DP229" s="55">
        <f>SUMIFS(tblPlant[Milled_t],tblPlant[Date],$A229,tblPlant[Mill_Run_h],"&lt;&gt;")</f>
        <v/>
      </c>
      <c r="DQ229" s="55">
        <f>IF($B229=$B228,$DQ228,0)+$DP229</f>
        <v/>
      </c>
      <c r="DR229" s="55">
        <f>$DR228+$DP229</f>
        <v/>
      </c>
      <c r="DS229" s="56">
        <f>IFERROR(IF(($DG229)&gt;0,($CX229*cfg_TroyOz)/($DG229),""),"")</f>
        <v/>
      </c>
      <c r="DT229" s="56">
        <f>IFERROR(IF(($DH229)&gt;0,($CY229*cfg_TroyOz)/($DH229),""),"")</f>
        <v/>
      </c>
      <c r="DU229" s="56">
        <f>IFERROR(IF(($DI229)&gt;0,($CZ229*cfg_TroyOz)/($DI229),""),"")</f>
        <v/>
      </c>
      <c r="DV229" s="56">
        <f>IFERROR(IF(($DJ229)&gt;0,($DA229*cfg_TroyOz)/($DJ229),""),"")</f>
        <v/>
      </c>
      <c r="DW229" s="56">
        <f>IFERROR(IF(($DK229)&gt;0,($DB229*cfg_TroyOz)/($DK229),""),"")</f>
        <v/>
      </c>
      <c r="DX229" s="56">
        <f>IFERROR(IF(($DL229)&gt;0,($DC229*cfg_TroyOz)/($DL229),""),"")</f>
        <v/>
      </c>
      <c r="DY229" s="67">
        <f>IFERROR(IF(($DM229)&gt;0,($DD229)/($DM229),""),"")</f>
        <v/>
      </c>
      <c r="DZ229" s="67">
        <f>IFERROR(IF(($DN229)&gt;0,($DE229)/($DN229),""),"")</f>
        <v/>
      </c>
      <c r="EA229" s="67">
        <f>IFERROR(IF(($DO229)&gt;0,($DF229)/($DO229),""),"")</f>
        <v/>
      </c>
      <c r="EB229" s="55">
        <f>SUMIFS(tblPlant[Gravity_Gold_oz],tblPlant[Date],$A229)</f>
        <v/>
      </c>
      <c r="EC229" s="55">
        <f>IF($B229=$B228,$EC228,0)+$EB229</f>
        <v/>
      </c>
      <c r="ED229" s="55">
        <f>$ED228+$EB229</f>
        <v/>
      </c>
      <c r="EE229" s="67">
        <f>IFERROR(IF(($DD229)&gt;0,($EB229)/($DD229),""),"")</f>
        <v/>
      </c>
      <c r="EF229" s="67">
        <f>IFERROR(IF(($DE229)&gt;0,($EC229)/($DE229),""),"")</f>
        <v/>
      </c>
      <c r="EG229" s="67">
        <f>IFERROR(IF(($DF229)&gt;0,($ED229)/($DF229),""),"")</f>
        <v/>
      </c>
      <c r="EH229" s="55">
        <f>SUMIFS(tblPlant[Gold_Poured_oz],tblPlant[Date],$A229)</f>
        <v/>
      </c>
      <c r="EI229" s="55">
        <f>IF($B229=$B228,$EI228,0)+$EH229</f>
        <v/>
      </c>
      <c r="EJ229" s="55">
        <f>$EJ228+$EH229</f>
        <v/>
      </c>
      <c r="EK229" s="57">
        <f>SUMIFS(tblPlant[Mill_Run_h],tblPlant[Date],$A229)</f>
        <v/>
      </c>
      <c r="EL229" s="57">
        <f>IF($B229=$B228,$EL228,0)+$EK229</f>
        <v/>
      </c>
      <c r="EM229" s="57">
        <f>$EM228+$EK229</f>
        <v/>
      </c>
      <c r="EN229" s="57">
        <f>SUMIFS(tblPlant[Mill_Planned_Maint_h],tblPlant[Date],$A229)</f>
        <v/>
      </c>
      <c r="EO229" s="57">
        <f>IF($B229=$B228,$EO228,0)+$EN229</f>
        <v/>
      </c>
      <c r="EP229" s="57">
        <f>$EP228+$EN229</f>
        <v/>
      </c>
      <c r="EQ229" s="57">
        <f>SUMIFS(tblPlant[Mill_Unplanned_Down_h],tblPlant[Date],$A229)</f>
        <v/>
      </c>
      <c r="ER229" s="57">
        <f>IF($B229=$B228,$ER228,0)+$EQ229</f>
        <v/>
      </c>
      <c r="ES229" s="57">
        <f>$ES228+$EQ229</f>
        <v/>
      </c>
      <c r="ET229" s="57">
        <f>IF(COUNTIFS(tblPlant[Date],$A229,tblPlant[Mill_Run_h],"&lt;&gt;")+COUNTIFS(tblPlant[Date],$A229,tblPlant[Mill_Planned_Maint_h],"&lt;&gt;")+COUNTIFS(tblPlant[Date],$A229,tblPlant[Mill_Unplanned_Down_h],"&lt;&gt;")&gt;0,cfg_HoursPerDay,0)</f>
        <v/>
      </c>
      <c r="EU229" s="57">
        <f>IF($B229=$B228,$EU228,0)+$ET229</f>
        <v/>
      </c>
      <c r="EV229" s="57">
        <f>$EV228+$ET229</f>
        <v/>
      </c>
      <c r="EW229" s="57">
        <f>SUMIFS(tblPlant[Crusher_Run_h],tblPlant[Date],$A229)</f>
        <v/>
      </c>
      <c r="EX229" s="57">
        <f>IF($B229=$B228,$EX228,0)+$EW229</f>
        <v/>
      </c>
      <c r="EY229" s="57">
        <f>$EY228+$EW229</f>
        <v/>
      </c>
      <c r="EZ229" s="55">
        <f>IFERROR(IF(($EK229)&gt;0,($DP229)/($EK229),""),"")</f>
        <v/>
      </c>
      <c r="FA229" s="55">
        <f>IFERROR(IF(($EL229)&gt;0,($DQ229)/($EL229),""),"")</f>
        <v/>
      </c>
      <c r="FB229" s="55">
        <f>IFERROR(IF(($EM229)&gt;0,($DR229)/($EM229),""),"")</f>
        <v/>
      </c>
      <c r="FC229" s="67">
        <f>IFERROR(IF(($ET229)&gt;0,($ET229-$EN229-$EQ229)/($ET229),""),"")</f>
        <v/>
      </c>
      <c r="FD229" s="67">
        <f>IFERROR(IF(($EU229)&gt;0,($EU229-$EO229-$ER229)/($EU229),""),"")</f>
        <v/>
      </c>
      <c r="FE229" s="67">
        <f>IFERROR(IF(($EV229)&gt;0,($EV229-$EP229-$ES229)/($EV229),""),"")</f>
        <v/>
      </c>
      <c r="FF229" s="67">
        <f>IFERROR(IF(($ET229-$EN229-$EQ229)&gt;0,($EK229)/($ET229-$EN229-$EQ229),""),"")</f>
        <v/>
      </c>
      <c r="FG229" s="67">
        <f>IFERROR(IF(($EU229-$EO229-$ER229)&gt;0,($EL229)/($EU229-$EO229-$ER229),""),"")</f>
        <v/>
      </c>
      <c r="FH229" s="67">
        <f>IFERROR(IF(($EV229-$EP229-$ES229)&gt;0,($EM229)/($EV229-$EP229-$ES229),""),"")</f>
        <v/>
      </c>
      <c r="FI229" s="55">
        <f>SUMIFS(tblPlant[Cyanide_kg],tblPlant[Date],$A229)</f>
        <v/>
      </c>
      <c r="FJ229" s="55">
        <f>IF($B229=$B228,$FJ228,0)+$FI229</f>
        <v/>
      </c>
      <c r="FK229" s="55">
        <f>$FK228+$FI229</f>
        <v/>
      </c>
      <c r="FL229" s="55">
        <f>SUMIFS(tblPlant[Lime_kg],tblPlant[Date],$A229)</f>
        <v/>
      </c>
      <c r="FM229" s="55">
        <f>IF($B229=$B228,$FM228,0)+$FL229</f>
        <v/>
      </c>
      <c r="FN229" s="55">
        <f>$FN228+$FL229</f>
        <v/>
      </c>
      <c r="FO229" s="55">
        <f>SUMIFS(tblPlant[Grinding_Media_kg],tblPlant[Date],$A229)</f>
        <v/>
      </c>
      <c r="FP229" s="55">
        <f>IF($B229=$B228,$FP228,0)+$FO229</f>
        <v/>
      </c>
      <c r="FQ229" s="55">
        <f>$FQ228+$FO229</f>
        <v/>
      </c>
      <c r="FR229" s="55">
        <f>SUMIFS(tblPlant[Power_kWh],tblPlant[Date],$A229)</f>
        <v/>
      </c>
      <c r="FS229" s="55">
        <f>IF($B229=$B228,$FS228,0)+$FR229</f>
        <v/>
      </c>
      <c r="FT229" s="55">
        <f>$FT228+$FR229</f>
        <v/>
      </c>
      <c r="FU229" s="55">
        <f>SUMIFS(tblPlant[Raw_Water_m3],tblPlant[Date],$A229)</f>
        <v/>
      </c>
      <c r="FV229" s="55">
        <f>IF($B229=$B228,$FV228,0)+$FU229</f>
        <v/>
      </c>
      <c r="FW229" s="55">
        <f>$FW228+$FU229</f>
        <v/>
      </c>
      <c r="FX229" s="56">
        <f>IFERROR(IF(($CU229)&gt;0,($FI229)/($CU229),""),"")</f>
        <v/>
      </c>
      <c r="FY229" s="56">
        <f>IFERROR(IF(($CV229)&gt;0,($FJ229)/($CV229),""),"")</f>
        <v/>
      </c>
      <c r="FZ229" s="56">
        <f>IFERROR(IF(($CW229)&gt;0,($FK229)/($CW229),""),"")</f>
        <v/>
      </c>
      <c r="GA229" s="56">
        <f>IFERROR(IF(($CU229)&gt;0,($FL229)/($CU229),""),"")</f>
        <v/>
      </c>
      <c r="GB229" s="56">
        <f>IFERROR(IF(($CV229)&gt;0,($FM229)/($CV229),""),"")</f>
        <v/>
      </c>
      <c r="GC229" s="56">
        <f>IFERROR(IF(($CW229)&gt;0,($FN229)/($CW229),""),"")</f>
        <v/>
      </c>
      <c r="GD229" s="56">
        <f>IFERROR(IF(($CU229)&gt;0,($FO229)/($CU229),""),"")</f>
        <v/>
      </c>
      <c r="GE229" s="56">
        <f>IFERROR(IF(($CV229)&gt;0,($FP229)/($CV229),""),"")</f>
        <v/>
      </c>
      <c r="GF229" s="56">
        <f>IFERROR(IF(($CW229)&gt;0,($FQ229)/($CW229),""),"")</f>
        <v/>
      </c>
      <c r="GG229" s="79">
        <f>IFERROR(IF(($CU229)&gt;0,($FR229)/($CU229),""),"")</f>
        <v/>
      </c>
      <c r="GH229" s="79">
        <f>IFERROR(IF(($CV229)&gt;0,($FS229)/($CV229),""),"")</f>
        <v/>
      </c>
      <c r="GI229" s="79">
        <f>IFERROR(IF(($CW229)&gt;0,($FT229)/($CW229),""),"")</f>
        <v/>
      </c>
      <c r="GJ229" s="56">
        <f>IFERROR(IF(($CU229)&gt;0,($FU229)/($CU229),""),"")</f>
        <v/>
      </c>
      <c r="GK229" s="56">
        <f>IFERROR(IF(($CV229)&gt;0,($FV229)/($CV229),""),"")</f>
        <v/>
      </c>
      <c r="GL229" s="56">
        <f>IFERROR(IF(($CW229)&gt;0,($FW229)/($CW229),""),"")</f>
        <v/>
      </c>
      <c r="GM229" s="55">
        <f>IF(SUMIFS(tblPlant[GIC_oz],tblPlant[Date],$A229)&gt;0,SUMIFS(tblPlant[GIC_oz],tblPlant[Date],$A229),"")</f>
        <v/>
      </c>
      <c r="GN229" s="55">
        <f>SUMIFS(tblGold[Gold_oz],tblGold[Date],$A229,tblGold[Type],"Shipment")</f>
        <v/>
      </c>
      <c r="GO229" s="55">
        <f>IF($B229=$B228,$GO228,0)+$GN229</f>
        <v/>
      </c>
      <c r="GP229" s="55">
        <f>$GP228+$GN229</f>
        <v/>
      </c>
      <c r="GQ229" s="55">
        <f>SUMIFS(tblGold[Gold_oz],tblGold[Date],$A229,tblGold[Type],"Sale")</f>
        <v/>
      </c>
      <c r="GR229" s="55">
        <f>IF($B229=$B228,$GR228,0)+$GQ229</f>
        <v/>
      </c>
      <c r="GS229" s="55">
        <f>$GS228+$GQ229</f>
        <v/>
      </c>
      <c r="GT229" s="55">
        <f>SUMIFS(tblGold[Dore_kg],tblGold[Date],$A229,tblGold[Type],"Shipment")</f>
        <v/>
      </c>
      <c r="GU229" s="55">
        <f>IF($B229=$B228,$GU228,0)+$GT229</f>
        <v/>
      </c>
      <c r="GV229" s="55">
        <f>$GV228+$GT229</f>
        <v/>
      </c>
      <c r="GW229" s="57">
        <f>SUMIFS(tblSafety[Hours_Total],tblSafety[Date],$A229)</f>
        <v/>
      </c>
      <c r="GX229" s="57">
        <f>IF($B229=$B228,$GX228,0)+$GW229</f>
        <v/>
      </c>
      <c r="GY229" s="57">
        <f>$GY228+$GW229</f>
        <v/>
      </c>
      <c r="GZ229" s="62">
        <f>SUMIFS(tblSafety[Fatality],tblSafety[Date],$A229)</f>
        <v/>
      </c>
      <c r="HA229" s="62">
        <f>IF($B229=$B228,$HA228,0)+$GZ229</f>
        <v/>
      </c>
      <c r="HB229" s="62">
        <f>$HB228+$GZ229</f>
        <v/>
      </c>
      <c r="HC229" s="62">
        <f>SUMIFS(tblSafety[LTI],tblSafety[Date],$A229)</f>
        <v/>
      </c>
      <c r="HD229" s="62">
        <f>IF($B229=$B228,$HD228,0)+$HC229</f>
        <v/>
      </c>
      <c r="HE229" s="62">
        <f>$HE228+$HC229</f>
        <v/>
      </c>
      <c r="HF229" s="62">
        <f>SUMIFS(tblSafety[RWI],tblSafety[Date],$A229)</f>
        <v/>
      </c>
      <c r="HG229" s="62">
        <f>IF($B229=$B228,$HG228,0)+$HF229</f>
        <v/>
      </c>
      <c r="HH229" s="62">
        <f>$HH228+$HF229</f>
        <v/>
      </c>
      <c r="HI229" s="62">
        <f>SUMIFS(tblSafety[MTI],tblSafety[Date],$A229)</f>
        <v/>
      </c>
      <c r="HJ229" s="62">
        <f>IF($B229=$B228,$HJ228,0)+$HI229</f>
        <v/>
      </c>
      <c r="HK229" s="62">
        <f>$HK228+$HI229</f>
        <v/>
      </c>
      <c r="HL229" s="62">
        <f>SUMIFS(tblSafety[FAI],tblSafety[Date],$A229)</f>
        <v/>
      </c>
      <c r="HM229" s="62">
        <f>IF($B229=$B228,$HM228,0)+$HL229</f>
        <v/>
      </c>
      <c r="HN229" s="62">
        <f>$HN228+$HL229</f>
        <v/>
      </c>
      <c r="HO229" s="62">
        <f>SUMIFS(tblSafety[Recordables],tblSafety[Date],$A229)</f>
        <v/>
      </c>
      <c r="HP229" s="62">
        <f>IF($B229=$B228,$HP228,0)+$HO229</f>
        <v/>
      </c>
      <c r="HQ229" s="62">
        <f>$HQ228+$HO229</f>
        <v/>
      </c>
      <c r="HR229" s="62">
        <f>SUMIFS(tblSafety[Near_Miss],tblSafety[Date],$A229)</f>
        <v/>
      </c>
      <c r="HS229" s="62">
        <f>IF($B229=$B228,$HS228,0)+$HR229</f>
        <v/>
      </c>
      <c r="HT229" s="62">
        <f>$HT228+$HR229</f>
        <v/>
      </c>
      <c r="HU229" s="62">
        <f>SUMIFS(tblSafety[Hazard_Reports],tblSafety[Date],$A229)</f>
        <v/>
      </c>
      <c r="HV229" s="62">
        <f>IF($B229=$B228,$HV228,0)+$HU229</f>
        <v/>
      </c>
      <c r="HW229" s="62">
        <f>$HW228+$HU229</f>
        <v/>
      </c>
      <c r="HX229" s="62">
        <f>SUMIFS(tblSafety[HPI],tblSafety[Date],$A229)</f>
        <v/>
      </c>
      <c r="HY229" s="62">
        <f>IF($B229=$B228,$HY228,0)+$HX229</f>
        <v/>
      </c>
      <c r="HZ229" s="62">
        <f>$HZ228+$HX229</f>
        <v/>
      </c>
      <c r="IA229" s="62">
        <f>SUMIFS(tblSafety[Env_Incidents],tblSafety[Date],$A229)</f>
        <v/>
      </c>
      <c r="IB229" s="62">
        <f>IF($B229=$B228,$IB228,0)+$IA229</f>
        <v/>
      </c>
      <c r="IC229" s="62">
        <f>$IC228+$IA229</f>
        <v/>
      </c>
      <c r="ID229" s="62">
        <f>SUMIFS(tblSafety[Community_Incidents],tblSafety[Date],$A229)</f>
        <v/>
      </c>
      <c r="IE229" s="62">
        <f>IF($B229=$B228,$IE228,0)+$ID229</f>
        <v/>
      </c>
      <c r="IF229" s="62">
        <f>$IF228+$ID229</f>
        <v/>
      </c>
      <c r="IG229" s="62">
        <f>SUMIFS(tblSafety[Vehicle_Incidents],tblSafety[Date],$A229)</f>
        <v/>
      </c>
      <c r="IH229" s="62">
        <f>IF($B229=$B228,$IH228,0)+$IG229</f>
        <v/>
      </c>
      <c r="II229" s="62">
        <f>$II228+$IG229</f>
        <v/>
      </c>
      <c r="IJ229" s="62">
        <f>SUMIFS(tblSafety[Toolbox_Talks],tblSafety[Date],$A229)</f>
        <v/>
      </c>
      <c r="IK229" s="62">
        <f>IF($B229=$B228,$IK228,0)+$IJ229</f>
        <v/>
      </c>
      <c r="IL229" s="62">
        <f>$IL228+$IJ229</f>
        <v/>
      </c>
      <c r="IM229" s="62">
        <f>SUMIFS(tblSafety[Inspections],tblSafety[Date],$A229)</f>
        <v/>
      </c>
      <c r="IN229" s="62">
        <f>IF($B229=$B228,$IN228,0)+$IM229</f>
        <v/>
      </c>
      <c r="IO229" s="62">
        <f>$IO228+$IM229</f>
        <v/>
      </c>
      <c r="IP229" s="56">
        <f>IFERROR((SUMIFS(tblSafety[Recordables],tblSafety[Date],"&gt;="&amp;EDATE($E229,-12),tblSafety[Date],"&lt;="&amp;$A229)+SUMIFS(tblSafetyHistory[Recordables],tblSafetyHistory[Month],"&gt;="&amp;EDATE($E229,-12),tblSafetyHistory[Month],"&lt;"&amp;$E229,tblSafetyHistory[Use],1))/(SUMIFS(tblSafety[Hours_Total],tblSafety[Date],"&gt;="&amp;EDATE($E229,-12),tblSafety[Date],"&lt;="&amp;$A229)+SUMIFS(tblSafetyHistory[Hours_Total],tblSafetyHistory[Month],"&gt;="&amp;EDATE($E229,-12),tblSafetyHistory[Month],"&lt;"&amp;$E229,tblSafetyHistory[Use],1))*cfg_RateBasisHours,"")</f>
        <v/>
      </c>
      <c r="IQ229" s="56">
        <f>IFERROR((SUMIFS(tblSafety[LTI],tblSafety[Date],"&gt;="&amp;EDATE($E229,-12),tblSafety[Date],"&lt;="&amp;$A229)+SUMIFS(tblSafetyHistory[LTI],tblSafetyHistory[Month],"&gt;="&amp;EDATE($E229,-12),tblSafetyHistory[Month],"&lt;"&amp;$E229,tblSafetyHistory[Use],1))/(SUMIFS(tblSafety[Hours_Total],tblSafety[Date],"&gt;="&amp;EDATE($E229,-12),tblSafety[Date],"&lt;="&amp;$A229)+SUMIFS(tblSafetyHistory[Hours_Total],tblSafetyHistory[Month],"&gt;="&amp;EDATE($E229,-12),tblSafetyHistory[Month],"&lt;"&amp;$E229,tblSafetyHistory[Use],1))*cfg_RateBasisHours,"")</f>
        <v/>
      </c>
      <c r="IR229" s="62">
        <f>IF(MAX(N(cfg_PriorLTIDate),_xlfn.MAXIFS(tblSafety[Date],tblSafety[LTI],"&gt;0",tblSafety[Date],"&lt;="&amp;$A229))=0,"",$A229-MAX(N(cfg_PriorLTIDate),_xlfn.MAXIFS(tblSafety[Date],tblSafety[LTI],"&gt;0",tblSafety[Date],"&lt;="&amp;$A229)))</f>
        <v/>
      </c>
      <c r="IS229" s="55">
        <f>SUMIFS(tblBudget[Ore_Mined_t],tblBudget[Month],$E229)</f>
        <v/>
      </c>
      <c r="IT229" s="55">
        <f>$IS229*$C229/$D229</f>
        <v/>
      </c>
      <c r="IU229" s="55">
        <f>SUMIFS(tblBudget[Ore_Mined_t],tblBudget[Month],"&lt;"&amp;$E229)+$IT229</f>
        <v/>
      </c>
      <c r="IV229" s="55">
        <f>SUMIFS(tblBudget[Ore_oz],tblBudget[Month],$E229)</f>
        <v/>
      </c>
      <c r="IW229" s="55">
        <f>$IV229*$C229/$D229</f>
        <v/>
      </c>
      <c r="IX229" s="55">
        <f>SUMIFS(tblBudget[Ore_oz],tblBudget[Month],"&lt;"&amp;$E229)+$IW229</f>
        <v/>
      </c>
      <c r="IY229" s="55">
        <f>SUMIFS(tblBudget[Ore_Mined_t],tblBudget[Month],$E229)</f>
        <v/>
      </c>
      <c r="IZ229" s="55">
        <f>$IY229*$C229/$D229</f>
        <v/>
      </c>
      <c r="JA229" s="55">
        <f>SUMIFS(tblBudget[Ore_Mined_t],tblBudget[Month],"&lt;"&amp;$E229)+$IZ229</f>
        <v/>
      </c>
      <c r="JB229" s="56">
        <f>IFERROR(IF(($IY229)&gt;0,($IV229*cfg_TroyOz)/($IY229),""),"")</f>
        <v/>
      </c>
      <c r="JC229" s="56">
        <f>IFERROR(IF(($IZ229)&gt;0,($IW229*cfg_TroyOz)/($IZ229),""),"")</f>
        <v/>
      </c>
      <c r="JD229" s="56">
        <f>IFERROR(IF(($JA229)&gt;0,($IX229*cfg_TroyOz)/($JA229),""),"")</f>
        <v/>
      </c>
      <c r="JE229" s="55">
        <f>SUMIFS(tblBudget[Waste_t],tblBudget[Month],$E229)</f>
        <v/>
      </c>
      <c r="JF229" s="55">
        <f>$JE229*$C229/$D229</f>
        <v/>
      </c>
      <c r="JG229" s="55">
        <f>SUMIFS(tblBudget[Waste_t],tblBudget[Month],"&lt;"&amp;$E229)+$JF229</f>
        <v/>
      </c>
      <c r="JH229" s="55">
        <f>SUMIFS(tblBudget[TMM_t],tblBudget[Month],$E229)</f>
        <v/>
      </c>
      <c r="JI229" s="55">
        <f>$JH229*$C229/$D229</f>
        <v/>
      </c>
      <c r="JJ229" s="55">
        <f>SUMIFS(tblBudget[TMM_t],tblBudget[Month],"&lt;"&amp;$E229)+$JI229</f>
        <v/>
      </c>
      <c r="JK229" s="56">
        <f>IFERROR(IF(($IS229)&gt;0,($JE229)/($IS229),""),"")</f>
        <v/>
      </c>
      <c r="JL229" s="56">
        <f>IFERROR(IF(($IT229)&gt;0,($JF229)/($IT229),""),"")</f>
        <v/>
      </c>
      <c r="JM229" s="56">
        <f>IFERROR(IF(($IU229)&gt;0,($JG229)/($IU229),""),"")</f>
        <v/>
      </c>
      <c r="JN229" s="55">
        <f>SUMIFS(tblBudget[Drill_m],tblBudget[Month],$E229)</f>
        <v/>
      </c>
      <c r="JO229" s="55">
        <f>$JN229*$C229/$D229</f>
        <v/>
      </c>
      <c r="JP229" s="55">
        <f>SUMIFS(tblBudget[Drill_m],tblBudget[Month],"&lt;"&amp;$E229)+$JO229</f>
        <v/>
      </c>
      <c r="JQ229" s="55">
        <f>SUMIFS(tblBudget[Diesel_L],tblBudget[Month],$E229)</f>
        <v/>
      </c>
      <c r="JR229" s="55">
        <f>$JQ229*$C229/$D229</f>
        <v/>
      </c>
      <c r="JS229" s="55">
        <f>SUMIFS(tblBudget[Diesel_L],tblBudget[Month],"&lt;"&amp;$E229)+$JR229</f>
        <v/>
      </c>
      <c r="JT229" s="55">
        <f>SUMIFS(tblBudget[Milled_t],tblBudget[Month],$E229)</f>
        <v/>
      </c>
      <c r="JU229" s="55">
        <f>$JT229*$C229/$D229</f>
        <v/>
      </c>
      <c r="JV229" s="55">
        <f>SUMIFS(tblBudget[Milled_t],tblBudget[Month],"&lt;"&amp;$E229)+$JU229</f>
        <v/>
      </c>
      <c r="JW229" s="55">
        <f>SUMIFS(tblBudget[Feed_oz],tblBudget[Month],$E229)</f>
        <v/>
      </c>
      <c r="JX229" s="55">
        <f>$JW229*$C229/$D229</f>
        <v/>
      </c>
      <c r="JY229" s="55">
        <f>SUMIFS(tblBudget[Feed_oz],tblBudget[Month],"&lt;"&amp;$E229)+$JX229</f>
        <v/>
      </c>
      <c r="JZ229" s="55">
        <f>SUMIFS(tblBudget[Recovered_oz],tblBudget[Month],$E229)</f>
        <v/>
      </c>
      <c r="KA229" s="55">
        <f>$JZ229*$C229/$D229</f>
        <v/>
      </c>
      <c r="KB229" s="55">
        <f>SUMIFS(tblBudget[Recovered_oz],tblBudget[Month],"&lt;"&amp;$E229)+$KA229</f>
        <v/>
      </c>
      <c r="KC229" s="55">
        <f>SUMIFS(tblBudget[Milled_t],tblBudget[Month],$E229)</f>
        <v/>
      </c>
      <c r="KD229" s="55">
        <f>$KC229*$C229/$D229</f>
        <v/>
      </c>
      <c r="KE229" s="55">
        <f>SUMIFS(tblBudget[Milled_t],tblBudget[Month],"&lt;"&amp;$E229)+$KD229</f>
        <v/>
      </c>
      <c r="KF229" s="55">
        <f>SUMIFS(tblBudget[Feed_oz],tblBudget[Month],$E229)</f>
        <v/>
      </c>
      <c r="KG229" s="55">
        <f>$KF229*$C229/$D229</f>
        <v/>
      </c>
      <c r="KH229" s="55">
        <f>SUMIFS(tblBudget[Feed_oz],tblBudget[Month],"&lt;"&amp;$E229)+$KG229</f>
        <v/>
      </c>
      <c r="KI229" s="56">
        <f>IFERROR(IF(($KC229)&gt;0,($JW229*cfg_TroyOz)/($KC229),""),"")</f>
        <v/>
      </c>
      <c r="KJ229" s="56">
        <f>IFERROR(IF(($KD229)&gt;0,($JX229*cfg_TroyOz)/($KD229),""),"")</f>
        <v/>
      </c>
      <c r="KK229" s="56">
        <f>IFERROR(IF(($KE229)&gt;0,($JY229*cfg_TroyOz)/($KE229),""),"")</f>
        <v/>
      </c>
      <c r="KL229" s="67">
        <f>IFERROR(IF(($KF229)&gt;0,($JZ229)/($KF229),""),"")</f>
        <v/>
      </c>
      <c r="KM229" s="67">
        <f>IFERROR(IF(($KG229)&gt;0,($KA229)/($KG229),""),"")</f>
        <v/>
      </c>
      <c r="KN229" s="67">
        <f>IFERROR(IF(($KH229)&gt;0,($KB229)/($KH229),""),"")</f>
        <v/>
      </c>
      <c r="KO229" s="55">
        <f>SUMIFS(tblBudget[Gold_Poured_oz],tblBudget[Month],$E229)</f>
        <v/>
      </c>
      <c r="KP229" s="55">
        <f>$KO229*$C229/$D229</f>
        <v/>
      </c>
      <c r="KQ229" s="55">
        <f>SUMIFS(tblBudget[Gold_Poured_oz],tblBudget[Month],"&lt;"&amp;$E229)+$KP229</f>
        <v/>
      </c>
      <c r="KR229" s="57">
        <f>SUMIFS(tblBudget[Hours_Worked],tblBudget[Month],$E229)</f>
        <v/>
      </c>
      <c r="KS229" s="57">
        <f>$KR229*$C229/$D229</f>
        <v/>
      </c>
      <c r="KT229" s="57">
        <f>SUMIFS(tblBudget[Hours_Worked],tblBudget[Month],"&lt;"&amp;$E229)+$KS229</f>
        <v/>
      </c>
    </row>
    <row r="230">
      <c r="A230" s="54" t="n">
        <v>46251</v>
      </c>
      <c r="B230">
        <f>MONTH($A230)</f>
        <v/>
      </c>
      <c r="C230">
        <f>DAY($A230)</f>
        <v/>
      </c>
      <c r="D230">
        <f>DAY(EOMONTH($A230,0))</f>
        <v/>
      </c>
      <c r="E230" s="54">
        <f>DATE(YEAR($A230),MONTH($A230),1)</f>
        <v/>
      </c>
      <c r="F230" s="55">
        <f>SUMIFS(tblMovement[Tonnes_t],tblMovement[Date],$A230,tblMovement[Is_Ore],1,tblMovement[Source_Type],"Pit")</f>
        <v/>
      </c>
      <c r="G230" s="55">
        <f>IF($B230=$B229,$G229,0)+$F230</f>
        <v/>
      </c>
      <c r="H230" s="55">
        <f>$H229+$F230</f>
        <v/>
      </c>
      <c r="I230" s="55">
        <f>SUMIFS(tblMovement[Ore_oz],tblMovement[Date],$A230,tblMovement[Source_Type],"Pit")</f>
        <v/>
      </c>
      <c r="J230" s="55">
        <f>IF($B230=$B229,$J229,0)+$I230</f>
        <v/>
      </c>
      <c r="K230" s="55">
        <f>$K229+$I230</f>
        <v/>
      </c>
      <c r="L230" s="55">
        <f>SUMIFS(tblMovement[Tonnes_t],tblMovement[Date],$A230,tblMovement[Is_Ore],1,tblMovement[Source_Type],"Pit",tblMovement[Grade_gpt],"&lt;&gt;")</f>
        <v/>
      </c>
      <c r="M230" s="55">
        <f>IF($B230=$B229,$M229,0)+$L230</f>
        <v/>
      </c>
      <c r="N230" s="55">
        <f>$N229+$L230</f>
        <v/>
      </c>
      <c r="O230" s="56">
        <f>IFERROR(IF(($L230)&gt;0,($I230*cfg_TroyOz)/($L230),""),"")</f>
        <v/>
      </c>
      <c r="P230" s="56">
        <f>IFERROR(IF(($M230)&gt;0,($J230*cfg_TroyOz)/($M230),""),"")</f>
        <v/>
      </c>
      <c r="Q230" s="56">
        <f>IFERROR(IF(($N230)&gt;0,($K230*cfg_TroyOz)/($N230),""),"")</f>
        <v/>
      </c>
      <c r="R230" s="55">
        <f>$F230-$L230</f>
        <v/>
      </c>
      <c r="S230" s="55">
        <f>IF($B230=$B229,$S229,0)+$R230</f>
        <v/>
      </c>
      <c r="T230" s="55">
        <f>$T229+$R230</f>
        <v/>
      </c>
      <c r="U230" s="55">
        <f>SUMIFS(tblMovement[Tonnes_t],tblMovement[Date],$A230,tblMovement[Is_Ore],0,tblMovement[Source_Type],"Pit")</f>
        <v/>
      </c>
      <c r="V230" s="55">
        <f>IF($B230=$B229,$V229,0)+$U230</f>
        <v/>
      </c>
      <c r="W230" s="55">
        <f>$W229+$U230</f>
        <v/>
      </c>
      <c r="X230" s="55">
        <f>$F230+$U230</f>
        <v/>
      </c>
      <c r="Y230" s="55">
        <f>IF($B230=$B229,$Y229,0)+$X230</f>
        <v/>
      </c>
      <c r="Z230" s="55">
        <f>$Z229+$X230</f>
        <v/>
      </c>
      <c r="AA230" s="56">
        <f>IFERROR(IF(($F230)&gt;0,($U230)/($F230),""),"")</f>
        <v/>
      </c>
      <c r="AB230" s="56">
        <f>IFERROR(IF(($G230)&gt;0,($V230)/($G230),""),"")</f>
        <v/>
      </c>
      <c r="AC230" s="56">
        <f>IFERROR(IF(($H230)&gt;0,($W230)/($H230),""),"")</f>
        <v/>
      </c>
      <c r="AD230" s="55">
        <f>SUMIFS(tblMovement[Tonnes_t],tblMovement[Date],$A230,tblMovement[Source_Type],"Stockpile")</f>
        <v/>
      </c>
      <c r="AE230" s="55">
        <f>IF($B230=$B229,$AE229,0)+$AD230</f>
        <v/>
      </c>
      <c r="AF230" s="55">
        <f>$AF229+$AD230</f>
        <v/>
      </c>
      <c r="AG230" s="55">
        <f>SUMIFS(tblMovement[Tonnes_t],tblMovement[Date],$A230)</f>
        <v/>
      </c>
      <c r="AH230" s="55">
        <f>IF($B230=$B229,$AH229,0)+$AG230</f>
        <v/>
      </c>
      <c r="AI230" s="55">
        <f>$AI229+$AG230</f>
        <v/>
      </c>
      <c r="AJ230" s="55">
        <f>$AG230-$X230-$AD230</f>
        <v/>
      </c>
      <c r="AK230" s="55">
        <f>IF($B230=$B229,$AK229,0)+$AJ230</f>
        <v/>
      </c>
      <c r="AL230" s="55">
        <f>$AL229+$AJ230</f>
        <v/>
      </c>
      <c r="AM230" s="55">
        <f>SUMIFS(tblMiningDaily[Drill_m],tblMiningDaily[Date],$A230)</f>
        <v/>
      </c>
      <c r="AN230" s="55">
        <f>IF($B230=$B229,$AN229,0)+$AM230</f>
        <v/>
      </c>
      <c r="AO230" s="55">
        <f>$AO229+$AM230</f>
        <v/>
      </c>
      <c r="AP230" s="55">
        <f>SUMIFS(tblMiningDaily[GC_Drill_m],tblMiningDaily[Date],$A230)</f>
        <v/>
      </c>
      <c r="AQ230" s="55">
        <f>IF($B230=$B229,$AQ229,0)+$AP230</f>
        <v/>
      </c>
      <c r="AR230" s="55">
        <f>$AR229+$AP230</f>
        <v/>
      </c>
      <c r="AS230" s="55">
        <f>SUMIFS(tblMiningDaily[Blast_t],tblMiningDaily[Date],$A230)</f>
        <v/>
      </c>
      <c r="AT230" s="55">
        <f>IF($B230=$B229,$AT229,0)+$AS230</f>
        <v/>
      </c>
      <c r="AU230" s="55">
        <f>$AU229+$AS230</f>
        <v/>
      </c>
      <c r="AV230" s="55">
        <f>SUMIFS(tblMiningDaily[Explosives_kg],tblMiningDaily[Date],$A230)</f>
        <v/>
      </c>
      <c r="AW230" s="55">
        <f>IF($B230=$B229,$AW229,0)+$AV230</f>
        <v/>
      </c>
      <c r="AX230" s="55">
        <f>$AX229+$AV230</f>
        <v/>
      </c>
      <c r="AY230" s="56">
        <f>IFERROR(IF(($AS230)&gt;0,($AV230)/($AS230),""),"")</f>
        <v/>
      </c>
      <c r="AZ230" s="56">
        <f>IFERROR(IF(($AT230)&gt;0,($AW230)/($AT230),""),"")</f>
        <v/>
      </c>
      <c r="BA230" s="56">
        <f>IFERROR(IF(($AU230)&gt;0,($AX230)/($AU230),""),"")</f>
        <v/>
      </c>
      <c r="BB230" s="55">
        <f>SUMIFS(tblMiningDaily[Diesel_L],tblMiningDaily[Date],$A230)</f>
        <v/>
      </c>
      <c r="BC230" s="55">
        <f>IF($B230=$B229,$BC229,0)+$BB230</f>
        <v/>
      </c>
      <c r="BD230" s="55">
        <f>$BD229+$BB230</f>
        <v/>
      </c>
      <c r="BE230" s="55">
        <f>SUMIFS(tblMiningDaily[Dewatering_m3],tblMiningDaily[Date],$A230)</f>
        <v/>
      </c>
      <c r="BF230" s="55">
        <f>IF($B230=$B229,$BF229,0)+$BE230</f>
        <v/>
      </c>
      <c r="BG230" s="55">
        <f>$BG229+$BE230</f>
        <v/>
      </c>
      <c r="BH230" s="57">
        <f>SUMIFS(tblFleet[Calendar_h],tblFleet[Date],$A230,tblFleet[Equipment_Class],"Excavator")</f>
        <v/>
      </c>
      <c r="BI230" s="57">
        <f>IF($B230=$B229,$BI229,0)+$BH230</f>
        <v/>
      </c>
      <c r="BJ230" s="57">
        <f>$BJ229+$BH230</f>
        <v/>
      </c>
      <c r="BK230" s="57">
        <f>SUMIFS(tblFleet[Available_h],tblFleet[Date],$A230,tblFleet[Equipment_Class],"Excavator")</f>
        <v/>
      </c>
      <c r="BL230" s="57">
        <f>IF($B230=$B229,$BL229,0)+$BK230</f>
        <v/>
      </c>
      <c r="BM230" s="57">
        <f>$BM229+$BK230</f>
        <v/>
      </c>
      <c r="BN230" s="57">
        <f>SUMIFS(tblFleet[Operating_h],tblFleet[Date],$A230,tblFleet[Equipment_Class],"Excavator")</f>
        <v/>
      </c>
      <c r="BO230" s="57">
        <f>IF($B230=$B229,$BO229,0)+$BN230</f>
        <v/>
      </c>
      <c r="BP230" s="57">
        <f>$BP229+$BN230</f>
        <v/>
      </c>
      <c r="BQ230" s="67">
        <f>IFERROR(IF(($BH230)&gt;0,($BK230)/($BH230),""),"")</f>
        <v/>
      </c>
      <c r="BR230" s="67">
        <f>IFERROR(IF(($BI230)&gt;0,($BL230)/($BI230),""),"")</f>
        <v/>
      </c>
      <c r="BS230" s="67">
        <f>IFERROR(IF(($BJ230)&gt;0,($BM230)/($BJ230),""),"")</f>
        <v/>
      </c>
      <c r="BT230" s="67">
        <f>IFERROR(IF(($BK230)&gt;0,($BN230)/($BK230),""),"")</f>
        <v/>
      </c>
      <c r="BU230" s="67">
        <f>IFERROR(IF(($BL230)&gt;0,($BO230)/($BL230),""),"")</f>
        <v/>
      </c>
      <c r="BV230" s="67">
        <f>IFERROR(IF(($BM230)&gt;0,($BP230)/($BM230),""),"")</f>
        <v/>
      </c>
      <c r="BW230" s="57">
        <f>SUMIFS(tblFleet[Calendar_h],tblFleet[Date],$A230,tblFleet[Equipment_Class],"Haul Truck")</f>
        <v/>
      </c>
      <c r="BX230" s="57">
        <f>IF($B230=$B229,$BX229,0)+$BW230</f>
        <v/>
      </c>
      <c r="BY230" s="57">
        <f>$BY229+$BW230</f>
        <v/>
      </c>
      <c r="BZ230" s="57">
        <f>SUMIFS(tblFleet[Available_h],tblFleet[Date],$A230,tblFleet[Equipment_Class],"Haul Truck")</f>
        <v/>
      </c>
      <c r="CA230" s="57">
        <f>IF($B230=$B229,$CA229,0)+$BZ230</f>
        <v/>
      </c>
      <c r="CB230" s="57">
        <f>$CB229+$BZ230</f>
        <v/>
      </c>
      <c r="CC230" s="57">
        <f>SUMIFS(tblFleet[Operating_h],tblFleet[Date],$A230,tblFleet[Equipment_Class],"Haul Truck")</f>
        <v/>
      </c>
      <c r="CD230" s="57">
        <f>IF($B230=$B229,$CD229,0)+$CC230</f>
        <v/>
      </c>
      <c r="CE230" s="57">
        <f>$CE229+$CC230</f>
        <v/>
      </c>
      <c r="CF230" s="67">
        <f>IFERROR(IF(($BW230)&gt;0,($BZ230)/($BW230),""),"")</f>
        <v/>
      </c>
      <c r="CG230" s="67">
        <f>IFERROR(IF(($BX230)&gt;0,($CA230)/($BX230),""),"")</f>
        <v/>
      </c>
      <c r="CH230" s="67">
        <f>IFERROR(IF(($BY230)&gt;0,($CB230)/($BY230),""),"")</f>
        <v/>
      </c>
      <c r="CI230" s="67">
        <f>IFERROR(IF(($BZ230)&gt;0,($CC230)/($BZ230),""),"")</f>
        <v/>
      </c>
      <c r="CJ230" s="67">
        <f>IFERROR(IF(($CA230)&gt;0,($CD230)/($CA230),""),"")</f>
        <v/>
      </c>
      <c r="CK230" s="67">
        <f>IFERROR(IF(($CB230)&gt;0,($CE230)/($CB230),""),"")</f>
        <v/>
      </c>
      <c r="CL230" s="55">
        <f>IFERROR(IF(($BN230)&gt;0,($X230+$AD230)/($BN230),""),"")</f>
        <v/>
      </c>
      <c r="CM230" s="55">
        <f>IFERROR(IF(($BO230)&gt;0,($Y230+$AE230)/($BO230),""),"")</f>
        <v/>
      </c>
      <c r="CN230" s="55">
        <f>IFERROR(IF(($BP230)&gt;0,($Z230+$AF230)/($BP230),""),"")</f>
        <v/>
      </c>
      <c r="CO230" s="55">
        <f>IFERROR(IF(($CC230)&gt;0,($X230+$AD230)/($CC230),""),"")</f>
        <v/>
      </c>
      <c r="CP230" s="55">
        <f>IFERROR(IF(($CD230)&gt;0,($Y230+$AE230)/($CD230),""),"")</f>
        <v/>
      </c>
      <c r="CQ230" s="55">
        <f>IFERROR(IF(($CE230)&gt;0,($Z230+$AF230)/($CE230),""),"")</f>
        <v/>
      </c>
      <c r="CR230" s="55">
        <f>SUMIFS(tblPlant[Crushed_t],tblPlant[Date],$A230)</f>
        <v/>
      </c>
      <c r="CS230" s="55">
        <f>IF($B230=$B229,$CS229,0)+$CR230</f>
        <v/>
      </c>
      <c r="CT230" s="55">
        <f>$CT229+$CR230</f>
        <v/>
      </c>
      <c r="CU230" s="55">
        <f>SUMIFS(tblPlant[Milled_t],tblPlant[Date],$A230)</f>
        <v/>
      </c>
      <c r="CV230" s="55">
        <f>IF($B230=$B229,$CV229,0)+$CU230</f>
        <v/>
      </c>
      <c r="CW230" s="55">
        <f>$CW229+$CU230</f>
        <v/>
      </c>
      <c r="CX230" s="55">
        <f>SUMIFS(tblPlant[Feed_oz],tblPlant[Date],$A230)</f>
        <v/>
      </c>
      <c r="CY230" s="55">
        <f>IF($B230=$B229,$CY229,0)+$CX230</f>
        <v/>
      </c>
      <c r="CZ230" s="55">
        <f>$CZ229+$CX230</f>
        <v/>
      </c>
      <c r="DA230" s="55">
        <f>SUMIFS(tblPlant[Tails_oz],tblPlant[Date],$A230)</f>
        <v/>
      </c>
      <c r="DB230" s="55">
        <f>IF($B230=$B229,$DB229,0)+$DA230</f>
        <v/>
      </c>
      <c r="DC230" s="55">
        <f>$DC229+$DA230</f>
        <v/>
      </c>
      <c r="DD230" s="55">
        <f>SUMIFS(tblPlant[Recovered_oz],tblPlant[Date],$A230)</f>
        <v/>
      </c>
      <c r="DE230" s="55">
        <f>IF($B230=$B229,$DE229,0)+$DD230</f>
        <v/>
      </c>
      <c r="DF230" s="55">
        <f>$DF229+$DD230</f>
        <v/>
      </c>
      <c r="DG230" s="55">
        <f>SUMIFS(tblPlant[Milled_t],tblPlant[Date],$A230,tblPlant[Head_Grade_gpt],"&lt;&gt;")</f>
        <v/>
      </c>
      <c r="DH230" s="55">
        <f>IF($B230=$B229,$DH229,0)+$DG230</f>
        <v/>
      </c>
      <c r="DI230" s="55">
        <f>$DI229+$DG230</f>
        <v/>
      </c>
      <c r="DJ230" s="55">
        <f>SUMIFS(tblPlant[Milled_t],tblPlant[Date],$A230,tblPlant[Tails_Grade_gpt],"&lt;&gt;")</f>
        <v/>
      </c>
      <c r="DK230" s="55">
        <f>IF($B230=$B229,$DK229,0)+$DJ230</f>
        <v/>
      </c>
      <c r="DL230" s="55">
        <f>$DL229+$DJ230</f>
        <v/>
      </c>
      <c r="DM230" s="55">
        <f>SUMIFS(tblPlant[Feed_oz],tblPlant[Date],$A230,tblPlant[Tails_Grade_gpt],"&lt;&gt;")</f>
        <v/>
      </c>
      <c r="DN230" s="55">
        <f>IF($B230=$B229,$DN229,0)+$DM230</f>
        <v/>
      </c>
      <c r="DO230" s="55">
        <f>$DO229+$DM230</f>
        <v/>
      </c>
      <c r="DP230" s="55">
        <f>SUMIFS(tblPlant[Milled_t],tblPlant[Date],$A230,tblPlant[Mill_Run_h],"&lt;&gt;")</f>
        <v/>
      </c>
      <c r="DQ230" s="55">
        <f>IF($B230=$B229,$DQ229,0)+$DP230</f>
        <v/>
      </c>
      <c r="DR230" s="55">
        <f>$DR229+$DP230</f>
        <v/>
      </c>
      <c r="DS230" s="56">
        <f>IFERROR(IF(($DG230)&gt;0,($CX230*cfg_TroyOz)/($DG230),""),"")</f>
        <v/>
      </c>
      <c r="DT230" s="56">
        <f>IFERROR(IF(($DH230)&gt;0,($CY230*cfg_TroyOz)/($DH230),""),"")</f>
        <v/>
      </c>
      <c r="DU230" s="56">
        <f>IFERROR(IF(($DI230)&gt;0,($CZ230*cfg_TroyOz)/($DI230),""),"")</f>
        <v/>
      </c>
      <c r="DV230" s="56">
        <f>IFERROR(IF(($DJ230)&gt;0,($DA230*cfg_TroyOz)/($DJ230),""),"")</f>
        <v/>
      </c>
      <c r="DW230" s="56">
        <f>IFERROR(IF(($DK230)&gt;0,($DB230*cfg_TroyOz)/($DK230),""),"")</f>
        <v/>
      </c>
      <c r="DX230" s="56">
        <f>IFERROR(IF(($DL230)&gt;0,($DC230*cfg_TroyOz)/($DL230),""),"")</f>
        <v/>
      </c>
      <c r="DY230" s="67">
        <f>IFERROR(IF(($DM230)&gt;0,($DD230)/($DM230),""),"")</f>
        <v/>
      </c>
      <c r="DZ230" s="67">
        <f>IFERROR(IF(($DN230)&gt;0,($DE230)/($DN230),""),"")</f>
        <v/>
      </c>
      <c r="EA230" s="67">
        <f>IFERROR(IF(($DO230)&gt;0,($DF230)/($DO230),""),"")</f>
        <v/>
      </c>
      <c r="EB230" s="55">
        <f>SUMIFS(tblPlant[Gravity_Gold_oz],tblPlant[Date],$A230)</f>
        <v/>
      </c>
      <c r="EC230" s="55">
        <f>IF($B230=$B229,$EC229,0)+$EB230</f>
        <v/>
      </c>
      <c r="ED230" s="55">
        <f>$ED229+$EB230</f>
        <v/>
      </c>
      <c r="EE230" s="67">
        <f>IFERROR(IF(($DD230)&gt;0,($EB230)/($DD230),""),"")</f>
        <v/>
      </c>
      <c r="EF230" s="67">
        <f>IFERROR(IF(($DE230)&gt;0,($EC230)/($DE230),""),"")</f>
        <v/>
      </c>
      <c r="EG230" s="67">
        <f>IFERROR(IF(($DF230)&gt;0,($ED230)/($DF230),""),"")</f>
        <v/>
      </c>
      <c r="EH230" s="55">
        <f>SUMIFS(tblPlant[Gold_Poured_oz],tblPlant[Date],$A230)</f>
        <v/>
      </c>
      <c r="EI230" s="55">
        <f>IF($B230=$B229,$EI229,0)+$EH230</f>
        <v/>
      </c>
      <c r="EJ230" s="55">
        <f>$EJ229+$EH230</f>
        <v/>
      </c>
      <c r="EK230" s="57">
        <f>SUMIFS(tblPlant[Mill_Run_h],tblPlant[Date],$A230)</f>
        <v/>
      </c>
      <c r="EL230" s="57">
        <f>IF($B230=$B229,$EL229,0)+$EK230</f>
        <v/>
      </c>
      <c r="EM230" s="57">
        <f>$EM229+$EK230</f>
        <v/>
      </c>
      <c r="EN230" s="57">
        <f>SUMIFS(tblPlant[Mill_Planned_Maint_h],tblPlant[Date],$A230)</f>
        <v/>
      </c>
      <c r="EO230" s="57">
        <f>IF($B230=$B229,$EO229,0)+$EN230</f>
        <v/>
      </c>
      <c r="EP230" s="57">
        <f>$EP229+$EN230</f>
        <v/>
      </c>
      <c r="EQ230" s="57">
        <f>SUMIFS(tblPlant[Mill_Unplanned_Down_h],tblPlant[Date],$A230)</f>
        <v/>
      </c>
      <c r="ER230" s="57">
        <f>IF($B230=$B229,$ER229,0)+$EQ230</f>
        <v/>
      </c>
      <c r="ES230" s="57">
        <f>$ES229+$EQ230</f>
        <v/>
      </c>
      <c r="ET230" s="57">
        <f>IF(COUNTIFS(tblPlant[Date],$A230,tblPlant[Mill_Run_h],"&lt;&gt;")+COUNTIFS(tblPlant[Date],$A230,tblPlant[Mill_Planned_Maint_h],"&lt;&gt;")+COUNTIFS(tblPlant[Date],$A230,tblPlant[Mill_Unplanned_Down_h],"&lt;&gt;")&gt;0,cfg_HoursPerDay,0)</f>
        <v/>
      </c>
      <c r="EU230" s="57">
        <f>IF($B230=$B229,$EU229,0)+$ET230</f>
        <v/>
      </c>
      <c r="EV230" s="57">
        <f>$EV229+$ET230</f>
        <v/>
      </c>
      <c r="EW230" s="57">
        <f>SUMIFS(tblPlant[Crusher_Run_h],tblPlant[Date],$A230)</f>
        <v/>
      </c>
      <c r="EX230" s="57">
        <f>IF($B230=$B229,$EX229,0)+$EW230</f>
        <v/>
      </c>
      <c r="EY230" s="57">
        <f>$EY229+$EW230</f>
        <v/>
      </c>
      <c r="EZ230" s="55">
        <f>IFERROR(IF(($EK230)&gt;0,($DP230)/($EK230),""),"")</f>
        <v/>
      </c>
      <c r="FA230" s="55">
        <f>IFERROR(IF(($EL230)&gt;0,($DQ230)/($EL230),""),"")</f>
        <v/>
      </c>
      <c r="FB230" s="55">
        <f>IFERROR(IF(($EM230)&gt;0,($DR230)/($EM230),""),"")</f>
        <v/>
      </c>
      <c r="FC230" s="67">
        <f>IFERROR(IF(($ET230)&gt;0,($ET230-$EN230-$EQ230)/($ET230),""),"")</f>
        <v/>
      </c>
      <c r="FD230" s="67">
        <f>IFERROR(IF(($EU230)&gt;0,($EU230-$EO230-$ER230)/($EU230),""),"")</f>
        <v/>
      </c>
      <c r="FE230" s="67">
        <f>IFERROR(IF(($EV230)&gt;0,($EV230-$EP230-$ES230)/($EV230),""),"")</f>
        <v/>
      </c>
      <c r="FF230" s="67">
        <f>IFERROR(IF(($ET230-$EN230-$EQ230)&gt;0,($EK230)/($ET230-$EN230-$EQ230),""),"")</f>
        <v/>
      </c>
      <c r="FG230" s="67">
        <f>IFERROR(IF(($EU230-$EO230-$ER230)&gt;0,($EL230)/($EU230-$EO230-$ER230),""),"")</f>
        <v/>
      </c>
      <c r="FH230" s="67">
        <f>IFERROR(IF(($EV230-$EP230-$ES230)&gt;0,($EM230)/($EV230-$EP230-$ES230),""),"")</f>
        <v/>
      </c>
      <c r="FI230" s="55">
        <f>SUMIFS(tblPlant[Cyanide_kg],tblPlant[Date],$A230)</f>
        <v/>
      </c>
      <c r="FJ230" s="55">
        <f>IF($B230=$B229,$FJ229,0)+$FI230</f>
        <v/>
      </c>
      <c r="FK230" s="55">
        <f>$FK229+$FI230</f>
        <v/>
      </c>
      <c r="FL230" s="55">
        <f>SUMIFS(tblPlant[Lime_kg],tblPlant[Date],$A230)</f>
        <v/>
      </c>
      <c r="FM230" s="55">
        <f>IF($B230=$B229,$FM229,0)+$FL230</f>
        <v/>
      </c>
      <c r="FN230" s="55">
        <f>$FN229+$FL230</f>
        <v/>
      </c>
      <c r="FO230" s="55">
        <f>SUMIFS(tblPlant[Grinding_Media_kg],tblPlant[Date],$A230)</f>
        <v/>
      </c>
      <c r="FP230" s="55">
        <f>IF($B230=$B229,$FP229,0)+$FO230</f>
        <v/>
      </c>
      <c r="FQ230" s="55">
        <f>$FQ229+$FO230</f>
        <v/>
      </c>
      <c r="FR230" s="55">
        <f>SUMIFS(tblPlant[Power_kWh],tblPlant[Date],$A230)</f>
        <v/>
      </c>
      <c r="FS230" s="55">
        <f>IF($B230=$B229,$FS229,0)+$FR230</f>
        <v/>
      </c>
      <c r="FT230" s="55">
        <f>$FT229+$FR230</f>
        <v/>
      </c>
      <c r="FU230" s="55">
        <f>SUMIFS(tblPlant[Raw_Water_m3],tblPlant[Date],$A230)</f>
        <v/>
      </c>
      <c r="FV230" s="55">
        <f>IF($B230=$B229,$FV229,0)+$FU230</f>
        <v/>
      </c>
      <c r="FW230" s="55">
        <f>$FW229+$FU230</f>
        <v/>
      </c>
      <c r="FX230" s="56">
        <f>IFERROR(IF(($CU230)&gt;0,($FI230)/($CU230),""),"")</f>
        <v/>
      </c>
      <c r="FY230" s="56">
        <f>IFERROR(IF(($CV230)&gt;0,($FJ230)/($CV230),""),"")</f>
        <v/>
      </c>
      <c r="FZ230" s="56">
        <f>IFERROR(IF(($CW230)&gt;0,($FK230)/($CW230),""),"")</f>
        <v/>
      </c>
      <c r="GA230" s="56">
        <f>IFERROR(IF(($CU230)&gt;0,($FL230)/($CU230),""),"")</f>
        <v/>
      </c>
      <c r="GB230" s="56">
        <f>IFERROR(IF(($CV230)&gt;0,($FM230)/($CV230),""),"")</f>
        <v/>
      </c>
      <c r="GC230" s="56">
        <f>IFERROR(IF(($CW230)&gt;0,($FN230)/($CW230),""),"")</f>
        <v/>
      </c>
      <c r="GD230" s="56">
        <f>IFERROR(IF(($CU230)&gt;0,($FO230)/($CU230),""),"")</f>
        <v/>
      </c>
      <c r="GE230" s="56">
        <f>IFERROR(IF(($CV230)&gt;0,($FP230)/($CV230),""),"")</f>
        <v/>
      </c>
      <c r="GF230" s="56">
        <f>IFERROR(IF(($CW230)&gt;0,($FQ230)/($CW230),""),"")</f>
        <v/>
      </c>
      <c r="GG230" s="79">
        <f>IFERROR(IF(($CU230)&gt;0,($FR230)/($CU230),""),"")</f>
        <v/>
      </c>
      <c r="GH230" s="79">
        <f>IFERROR(IF(($CV230)&gt;0,($FS230)/($CV230),""),"")</f>
        <v/>
      </c>
      <c r="GI230" s="79">
        <f>IFERROR(IF(($CW230)&gt;0,($FT230)/($CW230),""),"")</f>
        <v/>
      </c>
      <c r="GJ230" s="56">
        <f>IFERROR(IF(($CU230)&gt;0,($FU230)/($CU230),""),"")</f>
        <v/>
      </c>
      <c r="GK230" s="56">
        <f>IFERROR(IF(($CV230)&gt;0,($FV230)/($CV230),""),"")</f>
        <v/>
      </c>
      <c r="GL230" s="56">
        <f>IFERROR(IF(($CW230)&gt;0,($FW230)/($CW230),""),"")</f>
        <v/>
      </c>
      <c r="GM230" s="55">
        <f>IF(SUMIFS(tblPlant[GIC_oz],tblPlant[Date],$A230)&gt;0,SUMIFS(tblPlant[GIC_oz],tblPlant[Date],$A230),"")</f>
        <v/>
      </c>
      <c r="GN230" s="55">
        <f>SUMIFS(tblGold[Gold_oz],tblGold[Date],$A230,tblGold[Type],"Shipment")</f>
        <v/>
      </c>
      <c r="GO230" s="55">
        <f>IF($B230=$B229,$GO229,0)+$GN230</f>
        <v/>
      </c>
      <c r="GP230" s="55">
        <f>$GP229+$GN230</f>
        <v/>
      </c>
      <c r="GQ230" s="55">
        <f>SUMIFS(tblGold[Gold_oz],tblGold[Date],$A230,tblGold[Type],"Sale")</f>
        <v/>
      </c>
      <c r="GR230" s="55">
        <f>IF($B230=$B229,$GR229,0)+$GQ230</f>
        <v/>
      </c>
      <c r="GS230" s="55">
        <f>$GS229+$GQ230</f>
        <v/>
      </c>
      <c r="GT230" s="55">
        <f>SUMIFS(tblGold[Dore_kg],tblGold[Date],$A230,tblGold[Type],"Shipment")</f>
        <v/>
      </c>
      <c r="GU230" s="55">
        <f>IF($B230=$B229,$GU229,0)+$GT230</f>
        <v/>
      </c>
      <c r="GV230" s="55">
        <f>$GV229+$GT230</f>
        <v/>
      </c>
      <c r="GW230" s="57">
        <f>SUMIFS(tblSafety[Hours_Total],tblSafety[Date],$A230)</f>
        <v/>
      </c>
      <c r="GX230" s="57">
        <f>IF($B230=$B229,$GX229,0)+$GW230</f>
        <v/>
      </c>
      <c r="GY230" s="57">
        <f>$GY229+$GW230</f>
        <v/>
      </c>
      <c r="GZ230" s="62">
        <f>SUMIFS(tblSafety[Fatality],tblSafety[Date],$A230)</f>
        <v/>
      </c>
      <c r="HA230" s="62">
        <f>IF($B230=$B229,$HA229,0)+$GZ230</f>
        <v/>
      </c>
      <c r="HB230" s="62">
        <f>$HB229+$GZ230</f>
        <v/>
      </c>
      <c r="HC230" s="62">
        <f>SUMIFS(tblSafety[LTI],tblSafety[Date],$A230)</f>
        <v/>
      </c>
      <c r="HD230" s="62">
        <f>IF($B230=$B229,$HD229,0)+$HC230</f>
        <v/>
      </c>
      <c r="HE230" s="62">
        <f>$HE229+$HC230</f>
        <v/>
      </c>
      <c r="HF230" s="62">
        <f>SUMIFS(tblSafety[RWI],tblSafety[Date],$A230)</f>
        <v/>
      </c>
      <c r="HG230" s="62">
        <f>IF($B230=$B229,$HG229,0)+$HF230</f>
        <v/>
      </c>
      <c r="HH230" s="62">
        <f>$HH229+$HF230</f>
        <v/>
      </c>
      <c r="HI230" s="62">
        <f>SUMIFS(tblSafety[MTI],tblSafety[Date],$A230)</f>
        <v/>
      </c>
      <c r="HJ230" s="62">
        <f>IF($B230=$B229,$HJ229,0)+$HI230</f>
        <v/>
      </c>
      <c r="HK230" s="62">
        <f>$HK229+$HI230</f>
        <v/>
      </c>
      <c r="HL230" s="62">
        <f>SUMIFS(tblSafety[FAI],tblSafety[Date],$A230)</f>
        <v/>
      </c>
      <c r="HM230" s="62">
        <f>IF($B230=$B229,$HM229,0)+$HL230</f>
        <v/>
      </c>
      <c r="HN230" s="62">
        <f>$HN229+$HL230</f>
        <v/>
      </c>
      <c r="HO230" s="62">
        <f>SUMIFS(tblSafety[Recordables],tblSafety[Date],$A230)</f>
        <v/>
      </c>
      <c r="HP230" s="62">
        <f>IF($B230=$B229,$HP229,0)+$HO230</f>
        <v/>
      </c>
      <c r="HQ230" s="62">
        <f>$HQ229+$HO230</f>
        <v/>
      </c>
      <c r="HR230" s="62">
        <f>SUMIFS(tblSafety[Near_Miss],tblSafety[Date],$A230)</f>
        <v/>
      </c>
      <c r="HS230" s="62">
        <f>IF($B230=$B229,$HS229,0)+$HR230</f>
        <v/>
      </c>
      <c r="HT230" s="62">
        <f>$HT229+$HR230</f>
        <v/>
      </c>
      <c r="HU230" s="62">
        <f>SUMIFS(tblSafety[Hazard_Reports],tblSafety[Date],$A230)</f>
        <v/>
      </c>
      <c r="HV230" s="62">
        <f>IF($B230=$B229,$HV229,0)+$HU230</f>
        <v/>
      </c>
      <c r="HW230" s="62">
        <f>$HW229+$HU230</f>
        <v/>
      </c>
      <c r="HX230" s="62">
        <f>SUMIFS(tblSafety[HPI],tblSafety[Date],$A230)</f>
        <v/>
      </c>
      <c r="HY230" s="62">
        <f>IF($B230=$B229,$HY229,0)+$HX230</f>
        <v/>
      </c>
      <c r="HZ230" s="62">
        <f>$HZ229+$HX230</f>
        <v/>
      </c>
      <c r="IA230" s="62">
        <f>SUMIFS(tblSafety[Env_Incidents],tblSafety[Date],$A230)</f>
        <v/>
      </c>
      <c r="IB230" s="62">
        <f>IF($B230=$B229,$IB229,0)+$IA230</f>
        <v/>
      </c>
      <c r="IC230" s="62">
        <f>$IC229+$IA230</f>
        <v/>
      </c>
      <c r="ID230" s="62">
        <f>SUMIFS(tblSafety[Community_Incidents],tblSafety[Date],$A230)</f>
        <v/>
      </c>
      <c r="IE230" s="62">
        <f>IF($B230=$B229,$IE229,0)+$ID230</f>
        <v/>
      </c>
      <c r="IF230" s="62">
        <f>$IF229+$ID230</f>
        <v/>
      </c>
      <c r="IG230" s="62">
        <f>SUMIFS(tblSafety[Vehicle_Incidents],tblSafety[Date],$A230)</f>
        <v/>
      </c>
      <c r="IH230" s="62">
        <f>IF($B230=$B229,$IH229,0)+$IG230</f>
        <v/>
      </c>
      <c r="II230" s="62">
        <f>$II229+$IG230</f>
        <v/>
      </c>
      <c r="IJ230" s="62">
        <f>SUMIFS(tblSafety[Toolbox_Talks],tblSafety[Date],$A230)</f>
        <v/>
      </c>
      <c r="IK230" s="62">
        <f>IF($B230=$B229,$IK229,0)+$IJ230</f>
        <v/>
      </c>
      <c r="IL230" s="62">
        <f>$IL229+$IJ230</f>
        <v/>
      </c>
      <c r="IM230" s="62">
        <f>SUMIFS(tblSafety[Inspections],tblSafety[Date],$A230)</f>
        <v/>
      </c>
      <c r="IN230" s="62">
        <f>IF($B230=$B229,$IN229,0)+$IM230</f>
        <v/>
      </c>
      <c r="IO230" s="62">
        <f>$IO229+$IM230</f>
        <v/>
      </c>
      <c r="IP230" s="56">
        <f>IFERROR((SUMIFS(tblSafety[Recordables],tblSafety[Date],"&gt;="&amp;EDATE($E230,-12),tblSafety[Date],"&lt;="&amp;$A230)+SUMIFS(tblSafetyHistory[Recordables],tblSafetyHistory[Month],"&gt;="&amp;EDATE($E230,-12),tblSafetyHistory[Month],"&lt;"&amp;$E230,tblSafetyHistory[Use],1))/(SUMIFS(tblSafety[Hours_Total],tblSafety[Date],"&gt;="&amp;EDATE($E230,-12),tblSafety[Date],"&lt;="&amp;$A230)+SUMIFS(tblSafetyHistory[Hours_Total],tblSafetyHistory[Month],"&gt;="&amp;EDATE($E230,-12),tblSafetyHistory[Month],"&lt;"&amp;$E230,tblSafetyHistory[Use],1))*cfg_RateBasisHours,"")</f>
        <v/>
      </c>
      <c r="IQ230" s="56">
        <f>IFERROR((SUMIFS(tblSafety[LTI],tblSafety[Date],"&gt;="&amp;EDATE($E230,-12),tblSafety[Date],"&lt;="&amp;$A230)+SUMIFS(tblSafetyHistory[LTI],tblSafetyHistory[Month],"&gt;="&amp;EDATE($E230,-12),tblSafetyHistory[Month],"&lt;"&amp;$E230,tblSafetyHistory[Use],1))/(SUMIFS(tblSafety[Hours_Total],tblSafety[Date],"&gt;="&amp;EDATE($E230,-12),tblSafety[Date],"&lt;="&amp;$A230)+SUMIFS(tblSafetyHistory[Hours_Total],tblSafetyHistory[Month],"&gt;="&amp;EDATE($E230,-12),tblSafetyHistory[Month],"&lt;"&amp;$E230,tblSafetyHistory[Use],1))*cfg_RateBasisHours,"")</f>
        <v/>
      </c>
      <c r="IR230" s="62">
        <f>IF(MAX(N(cfg_PriorLTIDate),_xlfn.MAXIFS(tblSafety[Date],tblSafety[LTI],"&gt;0",tblSafety[Date],"&lt;="&amp;$A230))=0,"",$A230-MAX(N(cfg_PriorLTIDate),_xlfn.MAXIFS(tblSafety[Date],tblSafety[LTI],"&gt;0",tblSafety[Date],"&lt;="&amp;$A230)))</f>
        <v/>
      </c>
      <c r="IS230" s="55">
        <f>SUMIFS(tblBudget[Ore_Mined_t],tblBudget[Month],$E230)</f>
        <v/>
      </c>
      <c r="IT230" s="55">
        <f>$IS230*$C230/$D230</f>
        <v/>
      </c>
      <c r="IU230" s="55">
        <f>SUMIFS(tblBudget[Ore_Mined_t],tblBudget[Month],"&lt;"&amp;$E230)+$IT230</f>
        <v/>
      </c>
      <c r="IV230" s="55">
        <f>SUMIFS(tblBudget[Ore_oz],tblBudget[Month],$E230)</f>
        <v/>
      </c>
      <c r="IW230" s="55">
        <f>$IV230*$C230/$D230</f>
        <v/>
      </c>
      <c r="IX230" s="55">
        <f>SUMIFS(tblBudget[Ore_oz],tblBudget[Month],"&lt;"&amp;$E230)+$IW230</f>
        <v/>
      </c>
      <c r="IY230" s="55">
        <f>SUMIFS(tblBudget[Ore_Mined_t],tblBudget[Month],$E230)</f>
        <v/>
      </c>
      <c r="IZ230" s="55">
        <f>$IY230*$C230/$D230</f>
        <v/>
      </c>
      <c r="JA230" s="55">
        <f>SUMIFS(tblBudget[Ore_Mined_t],tblBudget[Month],"&lt;"&amp;$E230)+$IZ230</f>
        <v/>
      </c>
      <c r="JB230" s="56">
        <f>IFERROR(IF(($IY230)&gt;0,($IV230*cfg_TroyOz)/($IY230),""),"")</f>
        <v/>
      </c>
      <c r="JC230" s="56">
        <f>IFERROR(IF(($IZ230)&gt;0,($IW230*cfg_TroyOz)/($IZ230),""),"")</f>
        <v/>
      </c>
      <c r="JD230" s="56">
        <f>IFERROR(IF(($JA230)&gt;0,($IX230*cfg_TroyOz)/($JA230),""),"")</f>
        <v/>
      </c>
      <c r="JE230" s="55">
        <f>SUMIFS(tblBudget[Waste_t],tblBudget[Month],$E230)</f>
        <v/>
      </c>
      <c r="JF230" s="55">
        <f>$JE230*$C230/$D230</f>
        <v/>
      </c>
      <c r="JG230" s="55">
        <f>SUMIFS(tblBudget[Waste_t],tblBudget[Month],"&lt;"&amp;$E230)+$JF230</f>
        <v/>
      </c>
      <c r="JH230" s="55">
        <f>SUMIFS(tblBudget[TMM_t],tblBudget[Month],$E230)</f>
        <v/>
      </c>
      <c r="JI230" s="55">
        <f>$JH230*$C230/$D230</f>
        <v/>
      </c>
      <c r="JJ230" s="55">
        <f>SUMIFS(tblBudget[TMM_t],tblBudget[Month],"&lt;"&amp;$E230)+$JI230</f>
        <v/>
      </c>
      <c r="JK230" s="56">
        <f>IFERROR(IF(($IS230)&gt;0,($JE230)/($IS230),""),"")</f>
        <v/>
      </c>
      <c r="JL230" s="56">
        <f>IFERROR(IF(($IT230)&gt;0,($JF230)/($IT230),""),"")</f>
        <v/>
      </c>
      <c r="JM230" s="56">
        <f>IFERROR(IF(($IU230)&gt;0,($JG230)/($IU230),""),"")</f>
        <v/>
      </c>
      <c r="JN230" s="55">
        <f>SUMIFS(tblBudget[Drill_m],tblBudget[Month],$E230)</f>
        <v/>
      </c>
      <c r="JO230" s="55">
        <f>$JN230*$C230/$D230</f>
        <v/>
      </c>
      <c r="JP230" s="55">
        <f>SUMIFS(tblBudget[Drill_m],tblBudget[Month],"&lt;"&amp;$E230)+$JO230</f>
        <v/>
      </c>
      <c r="JQ230" s="55">
        <f>SUMIFS(tblBudget[Diesel_L],tblBudget[Month],$E230)</f>
        <v/>
      </c>
      <c r="JR230" s="55">
        <f>$JQ230*$C230/$D230</f>
        <v/>
      </c>
      <c r="JS230" s="55">
        <f>SUMIFS(tblBudget[Diesel_L],tblBudget[Month],"&lt;"&amp;$E230)+$JR230</f>
        <v/>
      </c>
      <c r="JT230" s="55">
        <f>SUMIFS(tblBudget[Milled_t],tblBudget[Month],$E230)</f>
        <v/>
      </c>
      <c r="JU230" s="55">
        <f>$JT230*$C230/$D230</f>
        <v/>
      </c>
      <c r="JV230" s="55">
        <f>SUMIFS(tblBudget[Milled_t],tblBudget[Month],"&lt;"&amp;$E230)+$JU230</f>
        <v/>
      </c>
      <c r="JW230" s="55">
        <f>SUMIFS(tblBudget[Feed_oz],tblBudget[Month],$E230)</f>
        <v/>
      </c>
      <c r="JX230" s="55">
        <f>$JW230*$C230/$D230</f>
        <v/>
      </c>
      <c r="JY230" s="55">
        <f>SUMIFS(tblBudget[Feed_oz],tblBudget[Month],"&lt;"&amp;$E230)+$JX230</f>
        <v/>
      </c>
      <c r="JZ230" s="55">
        <f>SUMIFS(tblBudget[Recovered_oz],tblBudget[Month],$E230)</f>
        <v/>
      </c>
      <c r="KA230" s="55">
        <f>$JZ230*$C230/$D230</f>
        <v/>
      </c>
      <c r="KB230" s="55">
        <f>SUMIFS(tblBudget[Recovered_oz],tblBudget[Month],"&lt;"&amp;$E230)+$KA230</f>
        <v/>
      </c>
      <c r="KC230" s="55">
        <f>SUMIFS(tblBudget[Milled_t],tblBudget[Month],$E230)</f>
        <v/>
      </c>
      <c r="KD230" s="55">
        <f>$KC230*$C230/$D230</f>
        <v/>
      </c>
      <c r="KE230" s="55">
        <f>SUMIFS(tblBudget[Milled_t],tblBudget[Month],"&lt;"&amp;$E230)+$KD230</f>
        <v/>
      </c>
      <c r="KF230" s="55">
        <f>SUMIFS(tblBudget[Feed_oz],tblBudget[Month],$E230)</f>
        <v/>
      </c>
      <c r="KG230" s="55">
        <f>$KF230*$C230/$D230</f>
        <v/>
      </c>
      <c r="KH230" s="55">
        <f>SUMIFS(tblBudget[Feed_oz],tblBudget[Month],"&lt;"&amp;$E230)+$KG230</f>
        <v/>
      </c>
      <c r="KI230" s="56">
        <f>IFERROR(IF(($KC230)&gt;0,($JW230*cfg_TroyOz)/($KC230),""),"")</f>
        <v/>
      </c>
      <c r="KJ230" s="56">
        <f>IFERROR(IF(($KD230)&gt;0,($JX230*cfg_TroyOz)/($KD230),""),"")</f>
        <v/>
      </c>
      <c r="KK230" s="56">
        <f>IFERROR(IF(($KE230)&gt;0,($JY230*cfg_TroyOz)/($KE230),""),"")</f>
        <v/>
      </c>
      <c r="KL230" s="67">
        <f>IFERROR(IF(($KF230)&gt;0,($JZ230)/($KF230),""),"")</f>
        <v/>
      </c>
      <c r="KM230" s="67">
        <f>IFERROR(IF(($KG230)&gt;0,($KA230)/($KG230),""),"")</f>
        <v/>
      </c>
      <c r="KN230" s="67">
        <f>IFERROR(IF(($KH230)&gt;0,($KB230)/($KH230),""),"")</f>
        <v/>
      </c>
      <c r="KO230" s="55">
        <f>SUMIFS(tblBudget[Gold_Poured_oz],tblBudget[Month],$E230)</f>
        <v/>
      </c>
      <c r="KP230" s="55">
        <f>$KO230*$C230/$D230</f>
        <v/>
      </c>
      <c r="KQ230" s="55">
        <f>SUMIFS(tblBudget[Gold_Poured_oz],tblBudget[Month],"&lt;"&amp;$E230)+$KP230</f>
        <v/>
      </c>
      <c r="KR230" s="57">
        <f>SUMIFS(tblBudget[Hours_Worked],tblBudget[Month],$E230)</f>
        <v/>
      </c>
      <c r="KS230" s="57">
        <f>$KR230*$C230/$D230</f>
        <v/>
      </c>
      <c r="KT230" s="57">
        <f>SUMIFS(tblBudget[Hours_Worked],tblBudget[Month],"&lt;"&amp;$E230)+$KS230</f>
        <v/>
      </c>
    </row>
    <row r="231">
      <c r="A231" s="54" t="n">
        <v>46252</v>
      </c>
      <c r="B231">
        <f>MONTH($A231)</f>
        <v/>
      </c>
      <c r="C231">
        <f>DAY($A231)</f>
        <v/>
      </c>
      <c r="D231">
        <f>DAY(EOMONTH($A231,0))</f>
        <v/>
      </c>
      <c r="E231" s="54">
        <f>DATE(YEAR($A231),MONTH($A231),1)</f>
        <v/>
      </c>
      <c r="F231" s="55">
        <f>SUMIFS(tblMovement[Tonnes_t],tblMovement[Date],$A231,tblMovement[Is_Ore],1,tblMovement[Source_Type],"Pit")</f>
        <v/>
      </c>
      <c r="G231" s="55">
        <f>IF($B231=$B230,$G230,0)+$F231</f>
        <v/>
      </c>
      <c r="H231" s="55">
        <f>$H230+$F231</f>
        <v/>
      </c>
      <c r="I231" s="55">
        <f>SUMIFS(tblMovement[Ore_oz],tblMovement[Date],$A231,tblMovement[Source_Type],"Pit")</f>
        <v/>
      </c>
      <c r="J231" s="55">
        <f>IF($B231=$B230,$J230,0)+$I231</f>
        <v/>
      </c>
      <c r="K231" s="55">
        <f>$K230+$I231</f>
        <v/>
      </c>
      <c r="L231" s="55">
        <f>SUMIFS(tblMovement[Tonnes_t],tblMovement[Date],$A231,tblMovement[Is_Ore],1,tblMovement[Source_Type],"Pit",tblMovement[Grade_gpt],"&lt;&gt;")</f>
        <v/>
      </c>
      <c r="M231" s="55">
        <f>IF($B231=$B230,$M230,0)+$L231</f>
        <v/>
      </c>
      <c r="N231" s="55">
        <f>$N230+$L231</f>
        <v/>
      </c>
      <c r="O231" s="56">
        <f>IFERROR(IF(($L231)&gt;0,($I231*cfg_TroyOz)/($L231),""),"")</f>
        <v/>
      </c>
      <c r="P231" s="56">
        <f>IFERROR(IF(($M231)&gt;0,($J231*cfg_TroyOz)/($M231),""),"")</f>
        <v/>
      </c>
      <c r="Q231" s="56">
        <f>IFERROR(IF(($N231)&gt;0,($K231*cfg_TroyOz)/($N231),""),"")</f>
        <v/>
      </c>
      <c r="R231" s="55">
        <f>$F231-$L231</f>
        <v/>
      </c>
      <c r="S231" s="55">
        <f>IF($B231=$B230,$S230,0)+$R231</f>
        <v/>
      </c>
      <c r="T231" s="55">
        <f>$T230+$R231</f>
        <v/>
      </c>
      <c r="U231" s="55">
        <f>SUMIFS(tblMovement[Tonnes_t],tblMovement[Date],$A231,tblMovement[Is_Ore],0,tblMovement[Source_Type],"Pit")</f>
        <v/>
      </c>
      <c r="V231" s="55">
        <f>IF($B231=$B230,$V230,0)+$U231</f>
        <v/>
      </c>
      <c r="W231" s="55">
        <f>$W230+$U231</f>
        <v/>
      </c>
      <c r="X231" s="55">
        <f>$F231+$U231</f>
        <v/>
      </c>
      <c r="Y231" s="55">
        <f>IF($B231=$B230,$Y230,0)+$X231</f>
        <v/>
      </c>
      <c r="Z231" s="55">
        <f>$Z230+$X231</f>
        <v/>
      </c>
      <c r="AA231" s="56">
        <f>IFERROR(IF(($F231)&gt;0,($U231)/($F231),""),"")</f>
        <v/>
      </c>
      <c r="AB231" s="56">
        <f>IFERROR(IF(($G231)&gt;0,($V231)/($G231),""),"")</f>
        <v/>
      </c>
      <c r="AC231" s="56">
        <f>IFERROR(IF(($H231)&gt;0,($W231)/($H231),""),"")</f>
        <v/>
      </c>
      <c r="AD231" s="55">
        <f>SUMIFS(tblMovement[Tonnes_t],tblMovement[Date],$A231,tblMovement[Source_Type],"Stockpile")</f>
        <v/>
      </c>
      <c r="AE231" s="55">
        <f>IF($B231=$B230,$AE230,0)+$AD231</f>
        <v/>
      </c>
      <c r="AF231" s="55">
        <f>$AF230+$AD231</f>
        <v/>
      </c>
      <c r="AG231" s="55">
        <f>SUMIFS(tblMovement[Tonnes_t],tblMovement[Date],$A231)</f>
        <v/>
      </c>
      <c r="AH231" s="55">
        <f>IF($B231=$B230,$AH230,0)+$AG231</f>
        <v/>
      </c>
      <c r="AI231" s="55">
        <f>$AI230+$AG231</f>
        <v/>
      </c>
      <c r="AJ231" s="55">
        <f>$AG231-$X231-$AD231</f>
        <v/>
      </c>
      <c r="AK231" s="55">
        <f>IF($B231=$B230,$AK230,0)+$AJ231</f>
        <v/>
      </c>
      <c r="AL231" s="55">
        <f>$AL230+$AJ231</f>
        <v/>
      </c>
      <c r="AM231" s="55">
        <f>SUMIFS(tblMiningDaily[Drill_m],tblMiningDaily[Date],$A231)</f>
        <v/>
      </c>
      <c r="AN231" s="55">
        <f>IF($B231=$B230,$AN230,0)+$AM231</f>
        <v/>
      </c>
      <c r="AO231" s="55">
        <f>$AO230+$AM231</f>
        <v/>
      </c>
      <c r="AP231" s="55">
        <f>SUMIFS(tblMiningDaily[GC_Drill_m],tblMiningDaily[Date],$A231)</f>
        <v/>
      </c>
      <c r="AQ231" s="55">
        <f>IF($B231=$B230,$AQ230,0)+$AP231</f>
        <v/>
      </c>
      <c r="AR231" s="55">
        <f>$AR230+$AP231</f>
        <v/>
      </c>
      <c r="AS231" s="55">
        <f>SUMIFS(tblMiningDaily[Blast_t],tblMiningDaily[Date],$A231)</f>
        <v/>
      </c>
      <c r="AT231" s="55">
        <f>IF($B231=$B230,$AT230,0)+$AS231</f>
        <v/>
      </c>
      <c r="AU231" s="55">
        <f>$AU230+$AS231</f>
        <v/>
      </c>
      <c r="AV231" s="55">
        <f>SUMIFS(tblMiningDaily[Explosives_kg],tblMiningDaily[Date],$A231)</f>
        <v/>
      </c>
      <c r="AW231" s="55">
        <f>IF($B231=$B230,$AW230,0)+$AV231</f>
        <v/>
      </c>
      <c r="AX231" s="55">
        <f>$AX230+$AV231</f>
        <v/>
      </c>
      <c r="AY231" s="56">
        <f>IFERROR(IF(($AS231)&gt;0,($AV231)/($AS231),""),"")</f>
        <v/>
      </c>
      <c r="AZ231" s="56">
        <f>IFERROR(IF(($AT231)&gt;0,($AW231)/($AT231),""),"")</f>
        <v/>
      </c>
      <c r="BA231" s="56">
        <f>IFERROR(IF(($AU231)&gt;0,($AX231)/($AU231),""),"")</f>
        <v/>
      </c>
      <c r="BB231" s="55">
        <f>SUMIFS(tblMiningDaily[Diesel_L],tblMiningDaily[Date],$A231)</f>
        <v/>
      </c>
      <c r="BC231" s="55">
        <f>IF($B231=$B230,$BC230,0)+$BB231</f>
        <v/>
      </c>
      <c r="BD231" s="55">
        <f>$BD230+$BB231</f>
        <v/>
      </c>
      <c r="BE231" s="55">
        <f>SUMIFS(tblMiningDaily[Dewatering_m3],tblMiningDaily[Date],$A231)</f>
        <v/>
      </c>
      <c r="BF231" s="55">
        <f>IF($B231=$B230,$BF230,0)+$BE231</f>
        <v/>
      </c>
      <c r="BG231" s="55">
        <f>$BG230+$BE231</f>
        <v/>
      </c>
      <c r="BH231" s="57">
        <f>SUMIFS(tblFleet[Calendar_h],tblFleet[Date],$A231,tblFleet[Equipment_Class],"Excavator")</f>
        <v/>
      </c>
      <c r="BI231" s="57">
        <f>IF($B231=$B230,$BI230,0)+$BH231</f>
        <v/>
      </c>
      <c r="BJ231" s="57">
        <f>$BJ230+$BH231</f>
        <v/>
      </c>
      <c r="BK231" s="57">
        <f>SUMIFS(tblFleet[Available_h],tblFleet[Date],$A231,tblFleet[Equipment_Class],"Excavator")</f>
        <v/>
      </c>
      <c r="BL231" s="57">
        <f>IF($B231=$B230,$BL230,0)+$BK231</f>
        <v/>
      </c>
      <c r="BM231" s="57">
        <f>$BM230+$BK231</f>
        <v/>
      </c>
      <c r="BN231" s="57">
        <f>SUMIFS(tblFleet[Operating_h],tblFleet[Date],$A231,tblFleet[Equipment_Class],"Excavator")</f>
        <v/>
      </c>
      <c r="BO231" s="57">
        <f>IF($B231=$B230,$BO230,0)+$BN231</f>
        <v/>
      </c>
      <c r="BP231" s="57">
        <f>$BP230+$BN231</f>
        <v/>
      </c>
      <c r="BQ231" s="67">
        <f>IFERROR(IF(($BH231)&gt;0,($BK231)/($BH231),""),"")</f>
        <v/>
      </c>
      <c r="BR231" s="67">
        <f>IFERROR(IF(($BI231)&gt;0,($BL231)/($BI231),""),"")</f>
        <v/>
      </c>
      <c r="BS231" s="67">
        <f>IFERROR(IF(($BJ231)&gt;0,($BM231)/($BJ231),""),"")</f>
        <v/>
      </c>
      <c r="BT231" s="67">
        <f>IFERROR(IF(($BK231)&gt;0,($BN231)/($BK231),""),"")</f>
        <v/>
      </c>
      <c r="BU231" s="67">
        <f>IFERROR(IF(($BL231)&gt;0,($BO231)/($BL231),""),"")</f>
        <v/>
      </c>
      <c r="BV231" s="67">
        <f>IFERROR(IF(($BM231)&gt;0,($BP231)/($BM231),""),"")</f>
        <v/>
      </c>
      <c r="BW231" s="57">
        <f>SUMIFS(tblFleet[Calendar_h],tblFleet[Date],$A231,tblFleet[Equipment_Class],"Haul Truck")</f>
        <v/>
      </c>
      <c r="BX231" s="57">
        <f>IF($B231=$B230,$BX230,0)+$BW231</f>
        <v/>
      </c>
      <c r="BY231" s="57">
        <f>$BY230+$BW231</f>
        <v/>
      </c>
      <c r="BZ231" s="57">
        <f>SUMIFS(tblFleet[Available_h],tblFleet[Date],$A231,tblFleet[Equipment_Class],"Haul Truck")</f>
        <v/>
      </c>
      <c r="CA231" s="57">
        <f>IF($B231=$B230,$CA230,0)+$BZ231</f>
        <v/>
      </c>
      <c r="CB231" s="57">
        <f>$CB230+$BZ231</f>
        <v/>
      </c>
      <c r="CC231" s="57">
        <f>SUMIFS(tblFleet[Operating_h],tblFleet[Date],$A231,tblFleet[Equipment_Class],"Haul Truck")</f>
        <v/>
      </c>
      <c r="CD231" s="57">
        <f>IF($B231=$B230,$CD230,0)+$CC231</f>
        <v/>
      </c>
      <c r="CE231" s="57">
        <f>$CE230+$CC231</f>
        <v/>
      </c>
      <c r="CF231" s="67">
        <f>IFERROR(IF(($BW231)&gt;0,($BZ231)/($BW231),""),"")</f>
        <v/>
      </c>
      <c r="CG231" s="67">
        <f>IFERROR(IF(($BX231)&gt;0,($CA231)/($BX231),""),"")</f>
        <v/>
      </c>
      <c r="CH231" s="67">
        <f>IFERROR(IF(($BY231)&gt;0,($CB231)/($BY231),""),"")</f>
        <v/>
      </c>
      <c r="CI231" s="67">
        <f>IFERROR(IF(($BZ231)&gt;0,($CC231)/($BZ231),""),"")</f>
        <v/>
      </c>
      <c r="CJ231" s="67">
        <f>IFERROR(IF(($CA231)&gt;0,($CD231)/($CA231),""),"")</f>
        <v/>
      </c>
      <c r="CK231" s="67">
        <f>IFERROR(IF(($CB231)&gt;0,($CE231)/($CB231),""),"")</f>
        <v/>
      </c>
      <c r="CL231" s="55">
        <f>IFERROR(IF(($BN231)&gt;0,($X231+$AD231)/($BN231),""),"")</f>
        <v/>
      </c>
      <c r="CM231" s="55">
        <f>IFERROR(IF(($BO231)&gt;0,($Y231+$AE231)/($BO231),""),"")</f>
        <v/>
      </c>
      <c r="CN231" s="55">
        <f>IFERROR(IF(($BP231)&gt;0,($Z231+$AF231)/($BP231),""),"")</f>
        <v/>
      </c>
      <c r="CO231" s="55">
        <f>IFERROR(IF(($CC231)&gt;0,($X231+$AD231)/($CC231),""),"")</f>
        <v/>
      </c>
      <c r="CP231" s="55">
        <f>IFERROR(IF(($CD231)&gt;0,($Y231+$AE231)/($CD231),""),"")</f>
        <v/>
      </c>
      <c r="CQ231" s="55">
        <f>IFERROR(IF(($CE231)&gt;0,($Z231+$AF231)/($CE231),""),"")</f>
        <v/>
      </c>
      <c r="CR231" s="55">
        <f>SUMIFS(tblPlant[Crushed_t],tblPlant[Date],$A231)</f>
        <v/>
      </c>
      <c r="CS231" s="55">
        <f>IF($B231=$B230,$CS230,0)+$CR231</f>
        <v/>
      </c>
      <c r="CT231" s="55">
        <f>$CT230+$CR231</f>
        <v/>
      </c>
      <c r="CU231" s="55">
        <f>SUMIFS(tblPlant[Milled_t],tblPlant[Date],$A231)</f>
        <v/>
      </c>
      <c r="CV231" s="55">
        <f>IF($B231=$B230,$CV230,0)+$CU231</f>
        <v/>
      </c>
      <c r="CW231" s="55">
        <f>$CW230+$CU231</f>
        <v/>
      </c>
      <c r="CX231" s="55">
        <f>SUMIFS(tblPlant[Feed_oz],tblPlant[Date],$A231)</f>
        <v/>
      </c>
      <c r="CY231" s="55">
        <f>IF($B231=$B230,$CY230,0)+$CX231</f>
        <v/>
      </c>
      <c r="CZ231" s="55">
        <f>$CZ230+$CX231</f>
        <v/>
      </c>
      <c r="DA231" s="55">
        <f>SUMIFS(tblPlant[Tails_oz],tblPlant[Date],$A231)</f>
        <v/>
      </c>
      <c r="DB231" s="55">
        <f>IF($B231=$B230,$DB230,0)+$DA231</f>
        <v/>
      </c>
      <c r="DC231" s="55">
        <f>$DC230+$DA231</f>
        <v/>
      </c>
      <c r="DD231" s="55">
        <f>SUMIFS(tblPlant[Recovered_oz],tblPlant[Date],$A231)</f>
        <v/>
      </c>
      <c r="DE231" s="55">
        <f>IF($B231=$B230,$DE230,0)+$DD231</f>
        <v/>
      </c>
      <c r="DF231" s="55">
        <f>$DF230+$DD231</f>
        <v/>
      </c>
      <c r="DG231" s="55">
        <f>SUMIFS(tblPlant[Milled_t],tblPlant[Date],$A231,tblPlant[Head_Grade_gpt],"&lt;&gt;")</f>
        <v/>
      </c>
      <c r="DH231" s="55">
        <f>IF($B231=$B230,$DH230,0)+$DG231</f>
        <v/>
      </c>
      <c r="DI231" s="55">
        <f>$DI230+$DG231</f>
        <v/>
      </c>
      <c r="DJ231" s="55">
        <f>SUMIFS(tblPlant[Milled_t],tblPlant[Date],$A231,tblPlant[Tails_Grade_gpt],"&lt;&gt;")</f>
        <v/>
      </c>
      <c r="DK231" s="55">
        <f>IF($B231=$B230,$DK230,0)+$DJ231</f>
        <v/>
      </c>
      <c r="DL231" s="55">
        <f>$DL230+$DJ231</f>
        <v/>
      </c>
      <c r="DM231" s="55">
        <f>SUMIFS(tblPlant[Feed_oz],tblPlant[Date],$A231,tblPlant[Tails_Grade_gpt],"&lt;&gt;")</f>
        <v/>
      </c>
      <c r="DN231" s="55">
        <f>IF($B231=$B230,$DN230,0)+$DM231</f>
        <v/>
      </c>
      <c r="DO231" s="55">
        <f>$DO230+$DM231</f>
        <v/>
      </c>
      <c r="DP231" s="55">
        <f>SUMIFS(tblPlant[Milled_t],tblPlant[Date],$A231,tblPlant[Mill_Run_h],"&lt;&gt;")</f>
        <v/>
      </c>
      <c r="DQ231" s="55">
        <f>IF($B231=$B230,$DQ230,0)+$DP231</f>
        <v/>
      </c>
      <c r="DR231" s="55">
        <f>$DR230+$DP231</f>
        <v/>
      </c>
      <c r="DS231" s="56">
        <f>IFERROR(IF(($DG231)&gt;0,($CX231*cfg_TroyOz)/($DG231),""),"")</f>
        <v/>
      </c>
      <c r="DT231" s="56">
        <f>IFERROR(IF(($DH231)&gt;0,($CY231*cfg_TroyOz)/($DH231),""),"")</f>
        <v/>
      </c>
      <c r="DU231" s="56">
        <f>IFERROR(IF(($DI231)&gt;0,($CZ231*cfg_TroyOz)/($DI231),""),"")</f>
        <v/>
      </c>
      <c r="DV231" s="56">
        <f>IFERROR(IF(($DJ231)&gt;0,($DA231*cfg_TroyOz)/($DJ231),""),"")</f>
        <v/>
      </c>
      <c r="DW231" s="56">
        <f>IFERROR(IF(($DK231)&gt;0,($DB231*cfg_TroyOz)/($DK231),""),"")</f>
        <v/>
      </c>
      <c r="DX231" s="56">
        <f>IFERROR(IF(($DL231)&gt;0,($DC231*cfg_TroyOz)/($DL231),""),"")</f>
        <v/>
      </c>
      <c r="DY231" s="67">
        <f>IFERROR(IF(($DM231)&gt;0,($DD231)/($DM231),""),"")</f>
        <v/>
      </c>
      <c r="DZ231" s="67">
        <f>IFERROR(IF(($DN231)&gt;0,($DE231)/($DN231),""),"")</f>
        <v/>
      </c>
      <c r="EA231" s="67">
        <f>IFERROR(IF(($DO231)&gt;0,($DF231)/($DO231),""),"")</f>
        <v/>
      </c>
      <c r="EB231" s="55">
        <f>SUMIFS(tblPlant[Gravity_Gold_oz],tblPlant[Date],$A231)</f>
        <v/>
      </c>
      <c r="EC231" s="55">
        <f>IF($B231=$B230,$EC230,0)+$EB231</f>
        <v/>
      </c>
      <c r="ED231" s="55">
        <f>$ED230+$EB231</f>
        <v/>
      </c>
      <c r="EE231" s="67">
        <f>IFERROR(IF(($DD231)&gt;0,($EB231)/($DD231),""),"")</f>
        <v/>
      </c>
      <c r="EF231" s="67">
        <f>IFERROR(IF(($DE231)&gt;0,($EC231)/($DE231),""),"")</f>
        <v/>
      </c>
      <c r="EG231" s="67">
        <f>IFERROR(IF(($DF231)&gt;0,($ED231)/($DF231),""),"")</f>
        <v/>
      </c>
      <c r="EH231" s="55">
        <f>SUMIFS(tblPlant[Gold_Poured_oz],tblPlant[Date],$A231)</f>
        <v/>
      </c>
      <c r="EI231" s="55">
        <f>IF($B231=$B230,$EI230,0)+$EH231</f>
        <v/>
      </c>
      <c r="EJ231" s="55">
        <f>$EJ230+$EH231</f>
        <v/>
      </c>
      <c r="EK231" s="57">
        <f>SUMIFS(tblPlant[Mill_Run_h],tblPlant[Date],$A231)</f>
        <v/>
      </c>
      <c r="EL231" s="57">
        <f>IF($B231=$B230,$EL230,0)+$EK231</f>
        <v/>
      </c>
      <c r="EM231" s="57">
        <f>$EM230+$EK231</f>
        <v/>
      </c>
      <c r="EN231" s="57">
        <f>SUMIFS(tblPlant[Mill_Planned_Maint_h],tblPlant[Date],$A231)</f>
        <v/>
      </c>
      <c r="EO231" s="57">
        <f>IF($B231=$B230,$EO230,0)+$EN231</f>
        <v/>
      </c>
      <c r="EP231" s="57">
        <f>$EP230+$EN231</f>
        <v/>
      </c>
      <c r="EQ231" s="57">
        <f>SUMIFS(tblPlant[Mill_Unplanned_Down_h],tblPlant[Date],$A231)</f>
        <v/>
      </c>
      <c r="ER231" s="57">
        <f>IF($B231=$B230,$ER230,0)+$EQ231</f>
        <v/>
      </c>
      <c r="ES231" s="57">
        <f>$ES230+$EQ231</f>
        <v/>
      </c>
      <c r="ET231" s="57">
        <f>IF(COUNTIFS(tblPlant[Date],$A231,tblPlant[Mill_Run_h],"&lt;&gt;")+COUNTIFS(tblPlant[Date],$A231,tblPlant[Mill_Planned_Maint_h],"&lt;&gt;")+COUNTIFS(tblPlant[Date],$A231,tblPlant[Mill_Unplanned_Down_h],"&lt;&gt;")&gt;0,cfg_HoursPerDay,0)</f>
        <v/>
      </c>
      <c r="EU231" s="57">
        <f>IF($B231=$B230,$EU230,0)+$ET231</f>
        <v/>
      </c>
      <c r="EV231" s="57">
        <f>$EV230+$ET231</f>
        <v/>
      </c>
      <c r="EW231" s="57">
        <f>SUMIFS(tblPlant[Crusher_Run_h],tblPlant[Date],$A231)</f>
        <v/>
      </c>
      <c r="EX231" s="57">
        <f>IF($B231=$B230,$EX230,0)+$EW231</f>
        <v/>
      </c>
      <c r="EY231" s="57">
        <f>$EY230+$EW231</f>
        <v/>
      </c>
      <c r="EZ231" s="55">
        <f>IFERROR(IF(($EK231)&gt;0,($DP231)/($EK231),""),"")</f>
        <v/>
      </c>
      <c r="FA231" s="55">
        <f>IFERROR(IF(($EL231)&gt;0,($DQ231)/($EL231),""),"")</f>
        <v/>
      </c>
      <c r="FB231" s="55">
        <f>IFERROR(IF(($EM231)&gt;0,($DR231)/($EM231),""),"")</f>
        <v/>
      </c>
      <c r="FC231" s="67">
        <f>IFERROR(IF(($ET231)&gt;0,($ET231-$EN231-$EQ231)/($ET231),""),"")</f>
        <v/>
      </c>
      <c r="FD231" s="67">
        <f>IFERROR(IF(($EU231)&gt;0,($EU231-$EO231-$ER231)/($EU231),""),"")</f>
        <v/>
      </c>
      <c r="FE231" s="67">
        <f>IFERROR(IF(($EV231)&gt;0,($EV231-$EP231-$ES231)/($EV231),""),"")</f>
        <v/>
      </c>
      <c r="FF231" s="67">
        <f>IFERROR(IF(($ET231-$EN231-$EQ231)&gt;0,($EK231)/($ET231-$EN231-$EQ231),""),"")</f>
        <v/>
      </c>
      <c r="FG231" s="67">
        <f>IFERROR(IF(($EU231-$EO231-$ER231)&gt;0,($EL231)/($EU231-$EO231-$ER231),""),"")</f>
        <v/>
      </c>
      <c r="FH231" s="67">
        <f>IFERROR(IF(($EV231-$EP231-$ES231)&gt;0,($EM231)/($EV231-$EP231-$ES231),""),"")</f>
        <v/>
      </c>
      <c r="FI231" s="55">
        <f>SUMIFS(tblPlant[Cyanide_kg],tblPlant[Date],$A231)</f>
        <v/>
      </c>
      <c r="FJ231" s="55">
        <f>IF($B231=$B230,$FJ230,0)+$FI231</f>
        <v/>
      </c>
      <c r="FK231" s="55">
        <f>$FK230+$FI231</f>
        <v/>
      </c>
      <c r="FL231" s="55">
        <f>SUMIFS(tblPlant[Lime_kg],tblPlant[Date],$A231)</f>
        <v/>
      </c>
      <c r="FM231" s="55">
        <f>IF($B231=$B230,$FM230,0)+$FL231</f>
        <v/>
      </c>
      <c r="FN231" s="55">
        <f>$FN230+$FL231</f>
        <v/>
      </c>
      <c r="FO231" s="55">
        <f>SUMIFS(tblPlant[Grinding_Media_kg],tblPlant[Date],$A231)</f>
        <v/>
      </c>
      <c r="FP231" s="55">
        <f>IF($B231=$B230,$FP230,0)+$FO231</f>
        <v/>
      </c>
      <c r="FQ231" s="55">
        <f>$FQ230+$FO231</f>
        <v/>
      </c>
      <c r="FR231" s="55">
        <f>SUMIFS(tblPlant[Power_kWh],tblPlant[Date],$A231)</f>
        <v/>
      </c>
      <c r="FS231" s="55">
        <f>IF($B231=$B230,$FS230,0)+$FR231</f>
        <v/>
      </c>
      <c r="FT231" s="55">
        <f>$FT230+$FR231</f>
        <v/>
      </c>
      <c r="FU231" s="55">
        <f>SUMIFS(tblPlant[Raw_Water_m3],tblPlant[Date],$A231)</f>
        <v/>
      </c>
      <c r="FV231" s="55">
        <f>IF($B231=$B230,$FV230,0)+$FU231</f>
        <v/>
      </c>
      <c r="FW231" s="55">
        <f>$FW230+$FU231</f>
        <v/>
      </c>
      <c r="FX231" s="56">
        <f>IFERROR(IF(($CU231)&gt;0,($FI231)/($CU231),""),"")</f>
        <v/>
      </c>
      <c r="FY231" s="56">
        <f>IFERROR(IF(($CV231)&gt;0,($FJ231)/($CV231),""),"")</f>
        <v/>
      </c>
      <c r="FZ231" s="56">
        <f>IFERROR(IF(($CW231)&gt;0,($FK231)/($CW231),""),"")</f>
        <v/>
      </c>
      <c r="GA231" s="56">
        <f>IFERROR(IF(($CU231)&gt;0,($FL231)/($CU231),""),"")</f>
        <v/>
      </c>
      <c r="GB231" s="56">
        <f>IFERROR(IF(($CV231)&gt;0,($FM231)/($CV231),""),"")</f>
        <v/>
      </c>
      <c r="GC231" s="56">
        <f>IFERROR(IF(($CW231)&gt;0,($FN231)/($CW231),""),"")</f>
        <v/>
      </c>
      <c r="GD231" s="56">
        <f>IFERROR(IF(($CU231)&gt;0,($FO231)/($CU231),""),"")</f>
        <v/>
      </c>
      <c r="GE231" s="56">
        <f>IFERROR(IF(($CV231)&gt;0,($FP231)/($CV231),""),"")</f>
        <v/>
      </c>
      <c r="GF231" s="56">
        <f>IFERROR(IF(($CW231)&gt;0,($FQ231)/($CW231),""),"")</f>
        <v/>
      </c>
      <c r="GG231" s="79">
        <f>IFERROR(IF(($CU231)&gt;0,($FR231)/($CU231),""),"")</f>
        <v/>
      </c>
      <c r="GH231" s="79">
        <f>IFERROR(IF(($CV231)&gt;0,($FS231)/($CV231),""),"")</f>
        <v/>
      </c>
      <c r="GI231" s="79">
        <f>IFERROR(IF(($CW231)&gt;0,($FT231)/($CW231),""),"")</f>
        <v/>
      </c>
      <c r="GJ231" s="56">
        <f>IFERROR(IF(($CU231)&gt;0,($FU231)/($CU231),""),"")</f>
        <v/>
      </c>
      <c r="GK231" s="56">
        <f>IFERROR(IF(($CV231)&gt;0,($FV231)/($CV231),""),"")</f>
        <v/>
      </c>
      <c r="GL231" s="56">
        <f>IFERROR(IF(($CW231)&gt;0,($FW231)/($CW231),""),"")</f>
        <v/>
      </c>
      <c r="GM231" s="55">
        <f>IF(SUMIFS(tblPlant[GIC_oz],tblPlant[Date],$A231)&gt;0,SUMIFS(tblPlant[GIC_oz],tblPlant[Date],$A231),"")</f>
        <v/>
      </c>
      <c r="GN231" s="55">
        <f>SUMIFS(tblGold[Gold_oz],tblGold[Date],$A231,tblGold[Type],"Shipment")</f>
        <v/>
      </c>
      <c r="GO231" s="55">
        <f>IF($B231=$B230,$GO230,0)+$GN231</f>
        <v/>
      </c>
      <c r="GP231" s="55">
        <f>$GP230+$GN231</f>
        <v/>
      </c>
      <c r="GQ231" s="55">
        <f>SUMIFS(tblGold[Gold_oz],tblGold[Date],$A231,tblGold[Type],"Sale")</f>
        <v/>
      </c>
      <c r="GR231" s="55">
        <f>IF($B231=$B230,$GR230,0)+$GQ231</f>
        <v/>
      </c>
      <c r="GS231" s="55">
        <f>$GS230+$GQ231</f>
        <v/>
      </c>
      <c r="GT231" s="55">
        <f>SUMIFS(tblGold[Dore_kg],tblGold[Date],$A231,tblGold[Type],"Shipment")</f>
        <v/>
      </c>
      <c r="GU231" s="55">
        <f>IF($B231=$B230,$GU230,0)+$GT231</f>
        <v/>
      </c>
      <c r="GV231" s="55">
        <f>$GV230+$GT231</f>
        <v/>
      </c>
      <c r="GW231" s="57">
        <f>SUMIFS(tblSafety[Hours_Total],tblSafety[Date],$A231)</f>
        <v/>
      </c>
      <c r="GX231" s="57">
        <f>IF($B231=$B230,$GX230,0)+$GW231</f>
        <v/>
      </c>
      <c r="GY231" s="57">
        <f>$GY230+$GW231</f>
        <v/>
      </c>
      <c r="GZ231" s="62">
        <f>SUMIFS(tblSafety[Fatality],tblSafety[Date],$A231)</f>
        <v/>
      </c>
      <c r="HA231" s="62">
        <f>IF($B231=$B230,$HA230,0)+$GZ231</f>
        <v/>
      </c>
      <c r="HB231" s="62">
        <f>$HB230+$GZ231</f>
        <v/>
      </c>
      <c r="HC231" s="62">
        <f>SUMIFS(tblSafety[LTI],tblSafety[Date],$A231)</f>
        <v/>
      </c>
      <c r="HD231" s="62">
        <f>IF($B231=$B230,$HD230,0)+$HC231</f>
        <v/>
      </c>
      <c r="HE231" s="62">
        <f>$HE230+$HC231</f>
        <v/>
      </c>
      <c r="HF231" s="62">
        <f>SUMIFS(tblSafety[RWI],tblSafety[Date],$A231)</f>
        <v/>
      </c>
      <c r="HG231" s="62">
        <f>IF($B231=$B230,$HG230,0)+$HF231</f>
        <v/>
      </c>
      <c r="HH231" s="62">
        <f>$HH230+$HF231</f>
        <v/>
      </c>
      <c r="HI231" s="62">
        <f>SUMIFS(tblSafety[MTI],tblSafety[Date],$A231)</f>
        <v/>
      </c>
      <c r="HJ231" s="62">
        <f>IF($B231=$B230,$HJ230,0)+$HI231</f>
        <v/>
      </c>
      <c r="HK231" s="62">
        <f>$HK230+$HI231</f>
        <v/>
      </c>
      <c r="HL231" s="62">
        <f>SUMIFS(tblSafety[FAI],tblSafety[Date],$A231)</f>
        <v/>
      </c>
      <c r="HM231" s="62">
        <f>IF($B231=$B230,$HM230,0)+$HL231</f>
        <v/>
      </c>
      <c r="HN231" s="62">
        <f>$HN230+$HL231</f>
        <v/>
      </c>
      <c r="HO231" s="62">
        <f>SUMIFS(tblSafety[Recordables],tblSafety[Date],$A231)</f>
        <v/>
      </c>
      <c r="HP231" s="62">
        <f>IF($B231=$B230,$HP230,0)+$HO231</f>
        <v/>
      </c>
      <c r="HQ231" s="62">
        <f>$HQ230+$HO231</f>
        <v/>
      </c>
      <c r="HR231" s="62">
        <f>SUMIFS(tblSafety[Near_Miss],tblSafety[Date],$A231)</f>
        <v/>
      </c>
      <c r="HS231" s="62">
        <f>IF($B231=$B230,$HS230,0)+$HR231</f>
        <v/>
      </c>
      <c r="HT231" s="62">
        <f>$HT230+$HR231</f>
        <v/>
      </c>
      <c r="HU231" s="62">
        <f>SUMIFS(tblSafety[Hazard_Reports],tblSafety[Date],$A231)</f>
        <v/>
      </c>
      <c r="HV231" s="62">
        <f>IF($B231=$B230,$HV230,0)+$HU231</f>
        <v/>
      </c>
      <c r="HW231" s="62">
        <f>$HW230+$HU231</f>
        <v/>
      </c>
      <c r="HX231" s="62">
        <f>SUMIFS(tblSafety[HPI],tblSafety[Date],$A231)</f>
        <v/>
      </c>
      <c r="HY231" s="62">
        <f>IF($B231=$B230,$HY230,0)+$HX231</f>
        <v/>
      </c>
      <c r="HZ231" s="62">
        <f>$HZ230+$HX231</f>
        <v/>
      </c>
      <c r="IA231" s="62">
        <f>SUMIFS(tblSafety[Env_Incidents],tblSafety[Date],$A231)</f>
        <v/>
      </c>
      <c r="IB231" s="62">
        <f>IF($B231=$B230,$IB230,0)+$IA231</f>
        <v/>
      </c>
      <c r="IC231" s="62">
        <f>$IC230+$IA231</f>
        <v/>
      </c>
      <c r="ID231" s="62">
        <f>SUMIFS(tblSafety[Community_Incidents],tblSafety[Date],$A231)</f>
        <v/>
      </c>
      <c r="IE231" s="62">
        <f>IF($B231=$B230,$IE230,0)+$ID231</f>
        <v/>
      </c>
      <c r="IF231" s="62">
        <f>$IF230+$ID231</f>
        <v/>
      </c>
      <c r="IG231" s="62">
        <f>SUMIFS(tblSafety[Vehicle_Incidents],tblSafety[Date],$A231)</f>
        <v/>
      </c>
      <c r="IH231" s="62">
        <f>IF($B231=$B230,$IH230,0)+$IG231</f>
        <v/>
      </c>
      <c r="II231" s="62">
        <f>$II230+$IG231</f>
        <v/>
      </c>
      <c r="IJ231" s="62">
        <f>SUMIFS(tblSafety[Toolbox_Talks],tblSafety[Date],$A231)</f>
        <v/>
      </c>
      <c r="IK231" s="62">
        <f>IF($B231=$B230,$IK230,0)+$IJ231</f>
        <v/>
      </c>
      <c r="IL231" s="62">
        <f>$IL230+$IJ231</f>
        <v/>
      </c>
      <c r="IM231" s="62">
        <f>SUMIFS(tblSafety[Inspections],tblSafety[Date],$A231)</f>
        <v/>
      </c>
      <c r="IN231" s="62">
        <f>IF($B231=$B230,$IN230,0)+$IM231</f>
        <v/>
      </c>
      <c r="IO231" s="62">
        <f>$IO230+$IM231</f>
        <v/>
      </c>
      <c r="IP231" s="56">
        <f>IFERROR((SUMIFS(tblSafety[Recordables],tblSafety[Date],"&gt;="&amp;EDATE($E231,-12),tblSafety[Date],"&lt;="&amp;$A231)+SUMIFS(tblSafetyHistory[Recordables],tblSafetyHistory[Month],"&gt;="&amp;EDATE($E231,-12),tblSafetyHistory[Month],"&lt;"&amp;$E231,tblSafetyHistory[Use],1))/(SUMIFS(tblSafety[Hours_Total],tblSafety[Date],"&gt;="&amp;EDATE($E231,-12),tblSafety[Date],"&lt;="&amp;$A231)+SUMIFS(tblSafetyHistory[Hours_Total],tblSafetyHistory[Month],"&gt;="&amp;EDATE($E231,-12),tblSafetyHistory[Month],"&lt;"&amp;$E231,tblSafetyHistory[Use],1))*cfg_RateBasisHours,"")</f>
        <v/>
      </c>
      <c r="IQ231" s="56">
        <f>IFERROR((SUMIFS(tblSafety[LTI],tblSafety[Date],"&gt;="&amp;EDATE($E231,-12),tblSafety[Date],"&lt;="&amp;$A231)+SUMIFS(tblSafetyHistory[LTI],tblSafetyHistory[Month],"&gt;="&amp;EDATE($E231,-12),tblSafetyHistory[Month],"&lt;"&amp;$E231,tblSafetyHistory[Use],1))/(SUMIFS(tblSafety[Hours_Total],tblSafety[Date],"&gt;="&amp;EDATE($E231,-12),tblSafety[Date],"&lt;="&amp;$A231)+SUMIFS(tblSafetyHistory[Hours_Total],tblSafetyHistory[Month],"&gt;="&amp;EDATE($E231,-12),tblSafetyHistory[Month],"&lt;"&amp;$E231,tblSafetyHistory[Use],1))*cfg_RateBasisHours,"")</f>
        <v/>
      </c>
      <c r="IR231" s="62">
        <f>IF(MAX(N(cfg_PriorLTIDate),_xlfn.MAXIFS(tblSafety[Date],tblSafety[LTI],"&gt;0",tblSafety[Date],"&lt;="&amp;$A231))=0,"",$A231-MAX(N(cfg_PriorLTIDate),_xlfn.MAXIFS(tblSafety[Date],tblSafety[LTI],"&gt;0",tblSafety[Date],"&lt;="&amp;$A231)))</f>
        <v/>
      </c>
      <c r="IS231" s="55">
        <f>SUMIFS(tblBudget[Ore_Mined_t],tblBudget[Month],$E231)</f>
        <v/>
      </c>
      <c r="IT231" s="55">
        <f>$IS231*$C231/$D231</f>
        <v/>
      </c>
      <c r="IU231" s="55">
        <f>SUMIFS(tblBudget[Ore_Mined_t],tblBudget[Month],"&lt;"&amp;$E231)+$IT231</f>
        <v/>
      </c>
      <c r="IV231" s="55">
        <f>SUMIFS(tblBudget[Ore_oz],tblBudget[Month],$E231)</f>
        <v/>
      </c>
      <c r="IW231" s="55">
        <f>$IV231*$C231/$D231</f>
        <v/>
      </c>
      <c r="IX231" s="55">
        <f>SUMIFS(tblBudget[Ore_oz],tblBudget[Month],"&lt;"&amp;$E231)+$IW231</f>
        <v/>
      </c>
      <c r="IY231" s="55">
        <f>SUMIFS(tblBudget[Ore_Mined_t],tblBudget[Month],$E231)</f>
        <v/>
      </c>
      <c r="IZ231" s="55">
        <f>$IY231*$C231/$D231</f>
        <v/>
      </c>
      <c r="JA231" s="55">
        <f>SUMIFS(tblBudget[Ore_Mined_t],tblBudget[Month],"&lt;"&amp;$E231)+$IZ231</f>
        <v/>
      </c>
      <c r="JB231" s="56">
        <f>IFERROR(IF(($IY231)&gt;0,($IV231*cfg_TroyOz)/($IY231),""),"")</f>
        <v/>
      </c>
      <c r="JC231" s="56">
        <f>IFERROR(IF(($IZ231)&gt;0,($IW231*cfg_TroyOz)/($IZ231),""),"")</f>
        <v/>
      </c>
      <c r="JD231" s="56">
        <f>IFERROR(IF(($JA231)&gt;0,($IX231*cfg_TroyOz)/($JA231),""),"")</f>
        <v/>
      </c>
      <c r="JE231" s="55">
        <f>SUMIFS(tblBudget[Waste_t],tblBudget[Month],$E231)</f>
        <v/>
      </c>
      <c r="JF231" s="55">
        <f>$JE231*$C231/$D231</f>
        <v/>
      </c>
      <c r="JG231" s="55">
        <f>SUMIFS(tblBudget[Waste_t],tblBudget[Month],"&lt;"&amp;$E231)+$JF231</f>
        <v/>
      </c>
      <c r="JH231" s="55">
        <f>SUMIFS(tblBudget[TMM_t],tblBudget[Month],$E231)</f>
        <v/>
      </c>
      <c r="JI231" s="55">
        <f>$JH231*$C231/$D231</f>
        <v/>
      </c>
      <c r="JJ231" s="55">
        <f>SUMIFS(tblBudget[TMM_t],tblBudget[Month],"&lt;"&amp;$E231)+$JI231</f>
        <v/>
      </c>
      <c r="JK231" s="56">
        <f>IFERROR(IF(($IS231)&gt;0,($JE231)/($IS231),""),"")</f>
        <v/>
      </c>
      <c r="JL231" s="56">
        <f>IFERROR(IF(($IT231)&gt;0,($JF231)/($IT231),""),"")</f>
        <v/>
      </c>
      <c r="JM231" s="56">
        <f>IFERROR(IF(($IU231)&gt;0,($JG231)/($IU231),""),"")</f>
        <v/>
      </c>
      <c r="JN231" s="55">
        <f>SUMIFS(tblBudget[Drill_m],tblBudget[Month],$E231)</f>
        <v/>
      </c>
      <c r="JO231" s="55">
        <f>$JN231*$C231/$D231</f>
        <v/>
      </c>
      <c r="JP231" s="55">
        <f>SUMIFS(tblBudget[Drill_m],tblBudget[Month],"&lt;"&amp;$E231)+$JO231</f>
        <v/>
      </c>
      <c r="JQ231" s="55">
        <f>SUMIFS(tblBudget[Diesel_L],tblBudget[Month],$E231)</f>
        <v/>
      </c>
      <c r="JR231" s="55">
        <f>$JQ231*$C231/$D231</f>
        <v/>
      </c>
      <c r="JS231" s="55">
        <f>SUMIFS(tblBudget[Diesel_L],tblBudget[Month],"&lt;"&amp;$E231)+$JR231</f>
        <v/>
      </c>
      <c r="JT231" s="55">
        <f>SUMIFS(tblBudget[Milled_t],tblBudget[Month],$E231)</f>
        <v/>
      </c>
      <c r="JU231" s="55">
        <f>$JT231*$C231/$D231</f>
        <v/>
      </c>
      <c r="JV231" s="55">
        <f>SUMIFS(tblBudget[Milled_t],tblBudget[Month],"&lt;"&amp;$E231)+$JU231</f>
        <v/>
      </c>
      <c r="JW231" s="55">
        <f>SUMIFS(tblBudget[Feed_oz],tblBudget[Month],$E231)</f>
        <v/>
      </c>
      <c r="JX231" s="55">
        <f>$JW231*$C231/$D231</f>
        <v/>
      </c>
      <c r="JY231" s="55">
        <f>SUMIFS(tblBudget[Feed_oz],tblBudget[Month],"&lt;"&amp;$E231)+$JX231</f>
        <v/>
      </c>
      <c r="JZ231" s="55">
        <f>SUMIFS(tblBudget[Recovered_oz],tblBudget[Month],$E231)</f>
        <v/>
      </c>
      <c r="KA231" s="55">
        <f>$JZ231*$C231/$D231</f>
        <v/>
      </c>
      <c r="KB231" s="55">
        <f>SUMIFS(tblBudget[Recovered_oz],tblBudget[Month],"&lt;"&amp;$E231)+$KA231</f>
        <v/>
      </c>
      <c r="KC231" s="55">
        <f>SUMIFS(tblBudget[Milled_t],tblBudget[Month],$E231)</f>
        <v/>
      </c>
      <c r="KD231" s="55">
        <f>$KC231*$C231/$D231</f>
        <v/>
      </c>
      <c r="KE231" s="55">
        <f>SUMIFS(tblBudget[Milled_t],tblBudget[Month],"&lt;"&amp;$E231)+$KD231</f>
        <v/>
      </c>
      <c r="KF231" s="55">
        <f>SUMIFS(tblBudget[Feed_oz],tblBudget[Month],$E231)</f>
        <v/>
      </c>
      <c r="KG231" s="55">
        <f>$KF231*$C231/$D231</f>
        <v/>
      </c>
      <c r="KH231" s="55">
        <f>SUMIFS(tblBudget[Feed_oz],tblBudget[Month],"&lt;"&amp;$E231)+$KG231</f>
        <v/>
      </c>
      <c r="KI231" s="56">
        <f>IFERROR(IF(($KC231)&gt;0,($JW231*cfg_TroyOz)/($KC231),""),"")</f>
        <v/>
      </c>
      <c r="KJ231" s="56">
        <f>IFERROR(IF(($KD231)&gt;0,($JX231*cfg_TroyOz)/($KD231),""),"")</f>
        <v/>
      </c>
      <c r="KK231" s="56">
        <f>IFERROR(IF(($KE231)&gt;0,($JY231*cfg_TroyOz)/($KE231),""),"")</f>
        <v/>
      </c>
      <c r="KL231" s="67">
        <f>IFERROR(IF(($KF231)&gt;0,($JZ231)/($KF231),""),"")</f>
        <v/>
      </c>
      <c r="KM231" s="67">
        <f>IFERROR(IF(($KG231)&gt;0,($KA231)/($KG231),""),"")</f>
        <v/>
      </c>
      <c r="KN231" s="67">
        <f>IFERROR(IF(($KH231)&gt;0,($KB231)/($KH231),""),"")</f>
        <v/>
      </c>
      <c r="KO231" s="55">
        <f>SUMIFS(tblBudget[Gold_Poured_oz],tblBudget[Month],$E231)</f>
        <v/>
      </c>
      <c r="KP231" s="55">
        <f>$KO231*$C231/$D231</f>
        <v/>
      </c>
      <c r="KQ231" s="55">
        <f>SUMIFS(tblBudget[Gold_Poured_oz],tblBudget[Month],"&lt;"&amp;$E231)+$KP231</f>
        <v/>
      </c>
      <c r="KR231" s="57">
        <f>SUMIFS(tblBudget[Hours_Worked],tblBudget[Month],$E231)</f>
        <v/>
      </c>
      <c r="KS231" s="57">
        <f>$KR231*$C231/$D231</f>
        <v/>
      </c>
      <c r="KT231" s="57">
        <f>SUMIFS(tblBudget[Hours_Worked],tblBudget[Month],"&lt;"&amp;$E231)+$KS231</f>
        <v/>
      </c>
    </row>
    <row r="232">
      <c r="A232" s="54" t="n">
        <v>46253</v>
      </c>
      <c r="B232">
        <f>MONTH($A232)</f>
        <v/>
      </c>
      <c r="C232">
        <f>DAY($A232)</f>
        <v/>
      </c>
      <c r="D232">
        <f>DAY(EOMONTH($A232,0))</f>
        <v/>
      </c>
      <c r="E232" s="54">
        <f>DATE(YEAR($A232),MONTH($A232),1)</f>
        <v/>
      </c>
      <c r="F232" s="55">
        <f>SUMIFS(tblMovement[Tonnes_t],tblMovement[Date],$A232,tblMovement[Is_Ore],1,tblMovement[Source_Type],"Pit")</f>
        <v/>
      </c>
      <c r="G232" s="55">
        <f>IF($B232=$B231,$G231,0)+$F232</f>
        <v/>
      </c>
      <c r="H232" s="55">
        <f>$H231+$F232</f>
        <v/>
      </c>
      <c r="I232" s="55">
        <f>SUMIFS(tblMovement[Ore_oz],tblMovement[Date],$A232,tblMovement[Source_Type],"Pit")</f>
        <v/>
      </c>
      <c r="J232" s="55">
        <f>IF($B232=$B231,$J231,0)+$I232</f>
        <v/>
      </c>
      <c r="K232" s="55">
        <f>$K231+$I232</f>
        <v/>
      </c>
      <c r="L232" s="55">
        <f>SUMIFS(tblMovement[Tonnes_t],tblMovement[Date],$A232,tblMovement[Is_Ore],1,tblMovement[Source_Type],"Pit",tblMovement[Grade_gpt],"&lt;&gt;")</f>
        <v/>
      </c>
      <c r="M232" s="55">
        <f>IF($B232=$B231,$M231,0)+$L232</f>
        <v/>
      </c>
      <c r="N232" s="55">
        <f>$N231+$L232</f>
        <v/>
      </c>
      <c r="O232" s="56">
        <f>IFERROR(IF(($L232)&gt;0,($I232*cfg_TroyOz)/($L232),""),"")</f>
        <v/>
      </c>
      <c r="P232" s="56">
        <f>IFERROR(IF(($M232)&gt;0,($J232*cfg_TroyOz)/($M232),""),"")</f>
        <v/>
      </c>
      <c r="Q232" s="56">
        <f>IFERROR(IF(($N232)&gt;0,($K232*cfg_TroyOz)/($N232),""),"")</f>
        <v/>
      </c>
      <c r="R232" s="55">
        <f>$F232-$L232</f>
        <v/>
      </c>
      <c r="S232" s="55">
        <f>IF($B232=$B231,$S231,0)+$R232</f>
        <v/>
      </c>
      <c r="T232" s="55">
        <f>$T231+$R232</f>
        <v/>
      </c>
      <c r="U232" s="55">
        <f>SUMIFS(tblMovement[Tonnes_t],tblMovement[Date],$A232,tblMovement[Is_Ore],0,tblMovement[Source_Type],"Pit")</f>
        <v/>
      </c>
      <c r="V232" s="55">
        <f>IF($B232=$B231,$V231,0)+$U232</f>
        <v/>
      </c>
      <c r="W232" s="55">
        <f>$W231+$U232</f>
        <v/>
      </c>
      <c r="X232" s="55">
        <f>$F232+$U232</f>
        <v/>
      </c>
      <c r="Y232" s="55">
        <f>IF($B232=$B231,$Y231,0)+$X232</f>
        <v/>
      </c>
      <c r="Z232" s="55">
        <f>$Z231+$X232</f>
        <v/>
      </c>
      <c r="AA232" s="56">
        <f>IFERROR(IF(($F232)&gt;0,($U232)/($F232),""),"")</f>
        <v/>
      </c>
      <c r="AB232" s="56">
        <f>IFERROR(IF(($G232)&gt;0,($V232)/($G232),""),"")</f>
        <v/>
      </c>
      <c r="AC232" s="56">
        <f>IFERROR(IF(($H232)&gt;0,($W232)/($H232),""),"")</f>
        <v/>
      </c>
      <c r="AD232" s="55">
        <f>SUMIFS(tblMovement[Tonnes_t],tblMovement[Date],$A232,tblMovement[Source_Type],"Stockpile")</f>
        <v/>
      </c>
      <c r="AE232" s="55">
        <f>IF($B232=$B231,$AE231,0)+$AD232</f>
        <v/>
      </c>
      <c r="AF232" s="55">
        <f>$AF231+$AD232</f>
        <v/>
      </c>
      <c r="AG232" s="55">
        <f>SUMIFS(tblMovement[Tonnes_t],tblMovement[Date],$A232)</f>
        <v/>
      </c>
      <c r="AH232" s="55">
        <f>IF($B232=$B231,$AH231,0)+$AG232</f>
        <v/>
      </c>
      <c r="AI232" s="55">
        <f>$AI231+$AG232</f>
        <v/>
      </c>
      <c r="AJ232" s="55">
        <f>$AG232-$X232-$AD232</f>
        <v/>
      </c>
      <c r="AK232" s="55">
        <f>IF($B232=$B231,$AK231,0)+$AJ232</f>
        <v/>
      </c>
      <c r="AL232" s="55">
        <f>$AL231+$AJ232</f>
        <v/>
      </c>
      <c r="AM232" s="55">
        <f>SUMIFS(tblMiningDaily[Drill_m],tblMiningDaily[Date],$A232)</f>
        <v/>
      </c>
      <c r="AN232" s="55">
        <f>IF($B232=$B231,$AN231,0)+$AM232</f>
        <v/>
      </c>
      <c r="AO232" s="55">
        <f>$AO231+$AM232</f>
        <v/>
      </c>
      <c r="AP232" s="55">
        <f>SUMIFS(tblMiningDaily[GC_Drill_m],tblMiningDaily[Date],$A232)</f>
        <v/>
      </c>
      <c r="AQ232" s="55">
        <f>IF($B232=$B231,$AQ231,0)+$AP232</f>
        <v/>
      </c>
      <c r="AR232" s="55">
        <f>$AR231+$AP232</f>
        <v/>
      </c>
      <c r="AS232" s="55">
        <f>SUMIFS(tblMiningDaily[Blast_t],tblMiningDaily[Date],$A232)</f>
        <v/>
      </c>
      <c r="AT232" s="55">
        <f>IF($B232=$B231,$AT231,0)+$AS232</f>
        <v/>
      </c>
      <c r="AU232" s="55">
        <f>$AU231+$AS232</f>
        <v/>
      </c>
      <c r="AV232" s="55">
        <f>SUMIFS(tblMiningDaily[Explosives_kg],tblMiningDaily[Date],$A232)</f>
        <v/>
      </c>
      <c r="AW232" s="55">
        <f>IF($B232=$B231,$AW231,0)+$AV232</f>
        <v/>
      </c>
      <c r="AX232" s="55">
        <f>$AX231+$AV232</f>
        <v/>
      </c>
      <c r="AY232" s="56">
        <f>IFERROR(IF(($AS232)&gt;0,($AV232)/($AS232),""),"")</f>
        <v/>
      </c>
      <c r="AZ232" s="56">
        <f>IFERROR(IF(($AT232)&gt;0,($AW232)/($AT232),""),"")</f>
        <v/>
      </c>
      <c r="BA232" s="56">
        <f>IFERROR(IF(($AU232)&gt;0,($AX232)/($AU232),""),"")</f>
        <v/>
      </c>
      <c r="BB232" s="55">
        <f>SUMIFS(tblMiningDaily[Diesel_L],tblMiningDaily[Date],$A232)</f>
        <v/>
      </c>
      <c r="BC232" s="55">
        <f>IF($B232=$B231,$BC231,0)+$BB232</f>
        <v/>
      </c>
      <c r="BD232" s="55">
        <f>$BD231+$BB232</f>
        <v/>
      </c>
      <c r="BE232" s="55">
        <f>SUMIFS(tblMiningDaily[Dewatering_m3],tblMiningDaily[Date],$A232)</f>
        <v/>
      </c>
      <c r="BF232" s="55">
        <f>IF($B232=$B231,$BF231,0)+$BE232</f>
        <v/>
      </c>
      <c r="BG232" s="55">
        <f>$BG231+$BE232</f>
        <v/>
      </c>
      <c r="BH232" s="57">
        <f>SUMIFS(tblFleet[Calendar_h],tblFleet[Date],$A232,tblFleet[Equipment_Class],"Excavator")</f>
        <v/>
      </c>
      <c r="BI232" s="57">
        <f>IF($B232=$B231,$BI231,0)+$BH232</f>
        <v/>
      </c>
      <c r="BJ232" s="57">
        <f>$BJ231+$BH232</f>
        <v/>
      </c>
      <c r="BK232" s="57">
        <f>SUMIFS(tblFleet[Available_h],tblFleet[Date],$A232,tblFleet[Equipment_Class],"Excavator")</f>
        <v/>
      </c>
      <c r="BL232" s="57">
        <f>IF($B232=$B231,$BL231,0)+$BK232</f>
        <v/>
      </c>
      <c r="BM232" s="57">
        <f>$BM231+$BK232</f>
        <v/>
      </c>
      <c r="BN232" s="57">
        <f>SUMIFS(tblFleet[Operating_h],tblFleet[Date],$A232,tblFleet[Equipment_Class],"Excavator")</f>
        <v/>
      </c>
      <c r="BO232" s="57">
        <f>IF($B232=$B231,$BO231,0)+$BN232</f>
        <v/>
      </c>
      <c r="BP232" s="57">
        <f>$BP231+$BN232</f>
        <v/>
      </c>
      <c r="BQ232" s="67">
        <f>IFERROR(IF(($BH232)&gt;0,($BK232)/($BH232),""),"")</f>
        <v/>
      </c>
      <c r="BR232" s="67">
        <f>IFERROR(IF(($BI232)&gt;0,($BL232)/($BI232),""),"")</f>
        <v/>
      </c>
      <c r="BS232" s="67">
        <f>IFERROR(IF(($BJ232)&gt;0,($BM232)/($BJ232),""),"")</f>
        <v/>
      </c>
      <c r="BT232" s="67">
        <f>IFERROR(IF(($BK232)&gt;0,($BN232)/($BK232),""),"")</f>
        <v/>
      </c>
      <c r="BU232" s="67">
        <f>IFERROR(IF(($BL232)&gt;0,($BO232)/($BL232),""),"")</f>
        <v/>
      </c>
      <c r="BV232" s="67">
        <f>IFERROR(IF(($BM232)&gt;0,($BP232)/($BM232),""),"")</f>
        <v/>
      </c>
      <c r="BW232" s="57">
        <f>SUMIFS(tblFleet[Calendar_h],tblFleet[Date],$A232,tblFleet[Equipment_Class],"Haul Truck")</f>
        <v/>
      </c>
      <c r="BX232" s="57">
        <f>IF($B232=$B231,$BX231,0)+$BW232</f>
        <v/>
      </c>
      <c r="BY232" s="57">
        <f>$BY231+$BW232</f>
        <v/>
      </c>
      <c r="BZ232" s="57">
        <f>SUMIFS(tblFleet[Available_h],tblFleet[Date],$A232,tblFleet[Equipment_Class],"Haul Truck")</f>
        <v/>
      </c>
      <c r="CA232" s="57">
        <f>IF($B232=$B231,$CA231,0)+$BZ232</f>
        <v/>
      </c>
      <c r="CB232" s="57">
        <f>$CB231+$BZ232</f>
        <v/>
      </c>
      <c r="CC232" s="57">
        <f>SUMIFS(tblFleet[Operating_h],tblFleet[Date],$A232,tblFleet[Equipment_Class],"Haul Truck")</f>
        <v/>
      </c>
      <c r="CD232" s="57">
        <f>IF($B232=$B231,$CD231,0)+$CC232</f>
        <v/>
      </c>
      <c r="CE232" s="57">
        <f>$CE231+$CC232</f>
        <v/>
      </c>
      <c r="CF232" s="67">
        <f>IFERROR(IF(($BW232)&gt;0,($BZ232)/($BW232),""),"")</f>
        <v/>
      </c>
      <c r="CG232" s="67">
        <f>IFERROR(IF(($BX232)&gt;0,($CA232)/($BX232),""),"")</f>
        <v/>
      </c>
      <c r="CH232" s="67">
        <f>IFERROR(IF(($BY232)&gt;0,($CB232)/($BY232),""),"")</f>
        <v/>
      </c>
      <c r="CI232" s="67">
        <f>IFERROR(IF(($BZ232)&gt;0,($CC232)/($BZ232),""),"")</f>
        <v/>
      </c>
      <c r="CJ232" s="67">
        <f>IFERROR(IF(($CA232)&gt;0,($CD232)/($CA232),""),"")</f>
        <v/>
      </c>
      <c r="CK232" s="67">
        <f>IFERROR(IF(($CB232)&gt;0,($CE232)/($CB232),""),"")</f>
        <v/>
      </c>
      <c r="CL232" s="55">
        <f>IFERROR(IF(($BN232)&gt;0,($X232+$AD232)/($BN232),""),"")</f>
        <v/>
      </c>
      <c r="CM232" s="55">
        <f>IFERROR(IF(($BO232)&gt;0,($Y232+$AE232)/($BO232),""),"")</f>
        <v/>
      </c>
      <c r="CN232" s="55">
        <f>IFERROR(IF(($BP232)&gt;0,($Z232+$AF232)/($BP232),""),"")</f>
        <v/>
      </c>
      <c r="CO232" s="55">
        <f>IFERROR(IF(($CC232)&gt;0,($X232+$AD232)/($CC232),""),"")</f>
        <v/>
      </c>
      <c r="CP232" s="55">
        <f>IFERROR(IF(($CD232)&gt;0,($Y232+$AE232)/($CD232),""),"")</f>
        <v/>
      </c>
      <c r="CQ232" s="55">
        <f>IFERROR(IF(($CE232)&gt;0,($Z232+$AF232)/($CE232),""),"")</f>
        <v/>
      </c>
      <c r="CR232" s="55">
        <f>SUMIFS(tblPlant[Crushed_t],tblPlant[Date],$A232)</f>
        <v/>
      </c>
      <c r="CS232" s="55">
        <f>IF($B232=$B231,$CS231,0)+$CR232</f>
        <v/>
      </c>
      <c r="CT232" s="55">
        <f>$CT231+$CR232</f>
        <v/>
      </c>
      <c r="CU232" s="55">
        <f>SUMIFS(tblPlant[Milled_t],tblPlant[Date],$A232)</f>
        <v/>
      </c>
      <c r="CV232" s="55">
        <f>IF($B232=$B231,$CV231,0)+$CU232</f>
        <v/>
      </c>
      <c r="CW232" s="55">
        <f>$CW231+$CU232</f>
        <v/>
      </c>
      <c r="CX232" s="55">
        <f>SUMIFS(tblPlant[Feed_oz],tblPlant[Date],$A232)</f>
        <v/>
      </c>
      <c r="CY232" s="55">
        <f>IF($B232=$B231,$CY231,0)+$CX232</f>
        <v/>
      </c>
      <c r="CZ232" s="55">
        <f>$CZ231+$CX232</f>
        <v/>
      </c>
      <c r="DA232" s="55">
        <f>SUMIFS(tblPlant[Tails_oz],tblPlant[Date],$A232)</f>
        <v/>
      </c>
      <c r="DB232" s="55">
        <f>IF($B232=$B231,$DB231,0)+$DA232</f>
        <v/>
      </c>
      <c r="DC232" s="55">
        <f>$DC231+$DA232</f>
        <v/>
      </c>
      <c r="DD232" s="55">
        <f>SUMIFS(tblPlant[Recovered_oz],tblPlant[Date],$A232)</f>
        <v/>
      </c>
      <c r="DE232" s="55">
        <f>IF($B232=$B231,$DE231,0)+$DD232</f>
        <v/>
      </c>
      <c r="DF232" s="55">
        <f>$DF231+$DD232</f>
        <v/>
      </c>
      <c r="DG232" s="55">
        <f>SUMIFS(tblPlant[Milled_t],tblPlant[Date],$A232,tblPlant[Head_Grade_gpt],"&lt;&gt;")</f>
        <v/>
      </c>
      <c r="DH232" s="55">
        <f>IF($B232=$B231,$DH231,0)+$DG232</f>
        <v/>
      </c>
      <c r="DI232" s="55">
        <f>$DI231+$DG232</f>
        <v/>
      </c>
      <c r="DJ232" s="55">
        <f>SUMIFS(tblPlant[Milled_t],tblPlant[Date],$A232,tblPlant[Tails_Grade_gpt],"&lt;&gt;")</f>
        <v/>
      </c>
      <c r="DK232" s="55">
        <f>IF($B232=$B231,$DK231,0)+$DJ232</f>
        <v/>
      </c>
      <c r="DL232" s="55">
        <f>$DL231+$DJ232</f>
        <v/>
      </c>
      <c r="DM232" s="55">
        <f>SUMIFS(tblPlant[Feed_oz],tblPlant[Date],$A232,tblPlant[Tails_Grade_gpt],"&lt;&gt;")</f>
        <v/>
      </c>
      <c r="DN232" s="55">
        <f>IF($B232=$B231,$DN231,0)+$DM232</f>
        <v/>
      </c>
      <c r="DO232" s="55">
        <f>$DO231+$DM232</f>
        <v/>
      </c>
      <c r="DP232" s="55">
        <f>SUMIFS(tblPlant[Milled_t],tblPlant[Date],$A232,tblPlant[Mill_Run_h],"&lt;&gt;")</f>
        <v/>
      </c>
      <c r="DQ232" s="55">
        <f>IF($B232=$B231,$DQ231,0)+$DP232</f>
        <v/>
      </c>
      <c r="DR232" s="55">
        <f>$DR231+$DP232</f>
        <v/>
      </c>
      <c r="DS232" s="56">
        <f>IFERROR(IF(($DG232)&gt;0,($CX232*cfg_TroyOz)/($DG232),""),"")</f>
        <v/>
      </c>
      <c r="DT232" s="56">
        <f>IFERROR(IF(($DH232)&gt;0,($CY232*cfg_TroyOz)/($DH232),""),"")</f>
        <v/>
      </c>
      <c r="DU232" s="56">
        <f>IFERROR(IF(($DI232)&gt;0,($CZ232*cfg_TroyOz)/($DI232),""),"")</f>
        <v/>
      </c>
      <c r="DV232" s="56">
        <f>IFERROR(IF(($DJ232)&gt;0,($DA232*cfg_TroyOz)/($DJ232),""),"")</f>
        <v/>
      </c>
      <c r="DW232" s="56">
        <f>IFERROR(IF(($DK232)&gt;0,($DB232*cfg_TroyOz)/($DK232),""),"")</f>
        <v/>
      </c>
      <c r="DX232" s="56">
        <f>IFERROR(IF(($DL232)&gt;0,($DC232*cfg_TroyOz)/($DL232),""),"")</f>
        <v/>
      </c>
      <c r="DY232" s="67">
        <f>IFERROR(IF(($DM232)&gt;0,($DD232)/($DM232),""),"")</f>
        <v/>
      </c>
      <c r="DZ232" s="67">
        <f>IFERROR(IF(($DN232)&gt;0,($DE232)/($DN232),""),"")</f>
        <v/>
      </c>
      <c r="EA232" s="67">
        <f>IFERROR(IF(($DO232)&gt;0,($DF232)/($DO232),""),"")</f>
        <v/>
      </c>
      <c r="EB232" s="55">
        <f>SUMIFS(tblPlant[Gravity_Gold_oz],tblPlant[Date],$A232)</f>
        <v/>
      </c>
      <c r="EC232" s="55">
        <f>IF($B232=$B231,$EC231,0)+$EB232</f>
        <v/>
      </c>
      <c r="ED232" s="55">
        <f>$ED231+$EB232</f>
        <v/>
      </c>
      <c r="EE232" s="67">
        <f>IFERROR(IF(($DD232)&gt;0,($EB232)/($DD232),""),"")</f>
        <v/>
      </c>
      <c r="EF232" s="67">
        <f>IFERROR(IF(($DE232)&gt;0,($EC232)/($DE232),""),"")</f>
        <v/>
      </c>
      <c r="EG232" s="67">
        <f>IFERROR(IF(($DF232)&gt;0,($ED232)/($DF232),""),"")</f>
        <v/>
      </c>
      <c r="EH232" s="55">
        <f>SUMIFS(tblPlant[Gold_Poured_oz],tblPlant[Date],$A232)</f>
        <v/>
      </c>
      <c r="EI232" s="55">
        <f>IF($B232=$B231,$EI231,0)+$EH232</f>
        <v/>
      </c>
      <c r="EJ232" s="55">
        <f>$EJ231+$EH232</f>
        <v/>
      </c>
      <c r="EK232" s="57">
        <f>SUMIFS(tblPlant[Mill_Run_h],tblPlant[Date],$A232)</f>
        <v/>
      </c>
      <c r="EL232" s="57">
        <f>IF($B232=$B231,$EL231,0)+$EK232</f>
        <v/>
      </c>
      <c r="EM232" s="57">
        <f>$EM231+$EK232</f>
        <v/>
      </c>
      <c r="EN232" s="57">
        <f>SUMIFS(tblPlant[Mill_Planned_Maint_h],tblPlant[Date],$A232)</f>
        <v/>
      </c>
      <c r="EO232" s="57">
        <f>IF($B232=$B231,$EO231,0)+$EN232</f>
        <v/>
      </c>
      <c r="EP232" s="57">
        <f>$EP231+$EN232</f>
        <v/>
      </c>
      <c r="EQ232" s="57">
        <f>SUMIFS(tblPlant[Mill_Unplanned_Down_h],tblPlant[Date],$A232)</f>
        <v/>
      </c>
      <c r="ER232" s="57">
        <f>IF($B232=$B231,$ER231,0)+$EQ232</f>
        <v/>
      </c>
      <c r="ES232" s="57">
        <f>$ES231+$EQ232</f>
        <v/>
      </c>
      <c r="ET232" s="57">
        <f>IF(COUNTIFS(tblPlant[Date],$A232,tblPlant[Mill_Run_h],"&lt;&gt;")+COUNTIFS(tblPlant[Date],$A232,tblPlant[Mill_Planned_Maint_h],"&lt;&gt;")+COUNTIFS(tblPlant[Date],$A232,tblPlant[Mill_Unplanned_Down_h],"&lt;&gt;")&gt;0,cfg_HoursPerDay,0)</f>
        <v/>
      </c>
      <c r="EU232" s="57">
        <f>IF($B232=$B231,$EU231,0)+$ET232</f>
        <v/>
      </c>
      <c r="EV232" s="57">
        <f>$EV231+$ET232</f>
        <v/>
      </c>
      <c r="EW232" s="57">
        <f>SUMIFS(tblPlant[Crusher_Run_h],tblPlant[Date],$A232)</f>
        <v/>
      </c>
      <c r="EX232" s="57">
        <f>IF($B232=$B231,$EX231,0)+$EW232</f>
        <v/>
      </c>
      <c r="EY232" s="57">
        <f>$EY231+$EW232</f>
        <v/>
      </c>
      <c r="EZ232" s="55">
        <f>IFERROR(IF(($EK232)&gt;0,($DP232)/($EK232),""),"")</f>
        <v/>
      </c>
      <c r="FA232" s="55">
        <f>IFERROR(IF(($EL232)&gt;0,($DQ232)/($EL232),""),"")</f>
        <v/>
      </c>
      <c r="FB232" s="55">
        <f>IFERROR(IF(($EM232)&gt;0,($DR232)/($EM232),""),"")</f>
        <v/>
      </c>
      <c r="FC232" s="67">
        <f>IFERROR(IF(($ET232)&gt;0,($ET232-$EN232-$EQ232)/($ET232),""),"")</f>
        <v/>
      </c>
      <c r="FD232" s="67">
        <f>IFERROR(IF(($EU232)&gt;0,($EU232-$EO232-$ER232)/($EU232),""),"")</f>
        <v/>
      </c>
      <c r="FE232" s="67">
        <f>IFERROR(IF(($EV232)&gt;0,($EV232-$EP232-$ES232)/($EV232),""),"")</f>
        <v/>
      </c>
      <c r="FF232" s="67">
        <f>IFERROR(IF(($ET232-$EN232-$EQ232)&gt;0,($EK232)/($ET232-$EN232-$EQ232),""),"")</f>
        <v/>
      </c>
      <c r="FG232" s="67">
        <f>IFERROR(IF(($EU232-$EO232-$ER232)&gt;0,($EL232)/($EU232-$EO232-$ER232),""),"")</f>
        <v/>
      </c>
      <c r="FH232" s="67">
        <f>IFERROR(IF(($EV232-$EP232-$ES232)&gt;0,($EM232)/($EV232-$EP232-$ES232),""),"")</f>
        <v/>
      </c>
      <c r="FI232" s="55">
        <f>SUMIFS(tblPlant[Cyanide_kg],tblPlant[Date],$A232)</f>
        <v/>
      </c>
      <c r="FJ232" s="55">
        <f>IF($B232=$B231,$FJ231,0)+$FI232</f>
        <v/>
      </c>
      <c r="FK232" s="55">
        <f>$FK231+$FI232</f>
        <v/>
      </c>
      <c r="FL232" s="55">
        <f>SUMIFS(tblPlant[Lime_kg],tblPlant[Date],$A232)</f>
        <v/>
      </c>
      <c r="FM232" s="55">
        <f>IF($B232=$B231,$FM231,0)+$FL232</f>
        <v/>
      </c>
      <c r="FN232" s="55">
        <f>$FN231+$FL232</f>
        <v/>
      </c>
      <c r="FO232" s="55">
        <f>SUMIFS(tblPlant[Grinding_Media_kg],tblPlant[Date],$A232)</f>
        <v/>
      </c>
      <c r="FP232" s="55">
        <f>IF($B232=$B231,$FP231,0)+$FO232</f>
        <v/>
      </c>
      <c r="FQ232" s="55">
        <f>$FQ231+$FO232</f>
        <v/>
      </c>
      <c r="FR232" s="55">
        <f>SUMIFS(tblPlant[Power_kWh],tblPlant[Date],$A232)</f>
        <v/>
      </c>
      <c r="FS232" s="55">
        <f>IF($B232=$B231,$FS231,0)+$FR232</f>
        <v/>
      </c>
      <c r="FT232" s="55">
        <f>$FT231+$FR232</f>
        <v/>
      </c>
      <c r="FU232" s="55">
        <f>SUMIFS(tblPlant[Raw_Water_m3],tblPlant[Date],$A232)</f>
        <v/>
      </c>
      <c r="FV232" s="55">
        <f>IF($B232=$B231,$FV231,0)+$FU232</f>
        <v/>
      </c>
      <c r="FW232" s="55">
        <f>$FW231+$FU232</f>
        <v/>
      </c>
      <c r="FX232" s="56">
        <f>IFERROR(IF(($CU232)&gt;0,($FI232)/($CU232),""),"")</f>
        <v/>
      </c>
      <c r="FY232" s="56">
        <f>IFERROR(IF(($CV232)&gt;0,($FJ232)/($CV232),""),"")</f>
        <v/>
      </c>
      <c r="FZ232" s="56">
        <f>IFERROR(IF(($CW232)&gt;0,($FK232)/($CW232),""),"")</f>
        <v/>
      </c>
      <c r="GA232" s="56">
        <f>IFERROR(IF(($CU232)&gt;0,($FL232)/($CU232),""),"")</f>
        <v/>
      </c>
      <c r="GB232" s="56">
        <f>IFERROR(IF(($CV232)&gt;0,($FM232)/($CV232),""),"")</f>
        <v/>
      </c>
      <c r="GC232" s="56">
        <f>IFERROR(IF(($CW232)&gt;0,($FN232)/($CW232),""),"")</f>
        <v/>
      </c>
      <c r="GD232" s="56">
        <f>IFERROR(IF(($CU232)&gt;0,($FO232)/($CU232),""),"")</f>
        <v/>
      </c>
      <c r="GE232" s="56">
        <f>IFERROR(IF(($CV232)&gt;0,($FP232)/($CV232),""),"")</f>
        <v/>
      </c>
      <c r="GF232" s="56">
        <f>IFERROR(IF(($CW232)&gt;0,($FQ232)/($CW232),""),"")</f>
        <v/>
      </c>
      <c r="GG232" s="79">
        <f>IFERROR(IF(($CU232)&gt;0,($FR232)/($CU232),""),"")</f>
        <v/>
      </c>
      <c r="GH232" s="79">
        <f>IFERROR(IF(($CV232)&gt;0,($FS232)/($CV232),""),"")</f>
        <v/>
      </c>
      <c r="GI232" s="79">
        <f>IFERROR(IF(($CW232)&gt;0,($FT232)/($CW232),""),"")</f>
        <v/>
      </c>
      <c r="GJ232" s="56">
        <f>IFERROR(IF(($CU232)&gt;0,($FU232)/($CU232),""),"")</f>
        <v/>
      </c>
      <c r="GK232" s="56">
        <f>IFERROR(IF(($CV232)&gt;0,($FV232)/($CV232),""),"")</f>
        <v/>
      </c>
      <c r="GL232" s="56">
        <f>IFERROR(IF(($CW232)&gt;0,($FW232)/($CW232),""),"")</f>
        <v/>
      </c>
      <c r="GM232" s="55">
        <f>IF(SUMIFS(tblPlant[GIC_oz],tblPlant[Date],$A232)&gt;0,SUMIFS(tblPlant[GIC_oz],tblPlant[Date],$A232),"")</f>
        <v/>
      </c>
      <c r="GN232" s="55">
        <f>SUMIFS(tblGold[Gold_oz],tblGold[Date],$A232,tblGold[Type],"Shipment")</f>
        <v/>
      </c>
      <c r="GO232" s="55">
        <f>IF($B232=$B231,$GO231,0)+$GN232</f>
        <v/>
      </c>
      <c r="GP232" s="55">
        <f>$GP231+$GN232</f>
        <v/>
      </c>
      <c r="GQ232" s="55">
        <f>SUMIFS(tblGold[Gold_oz],tblGold[Date],$A232,tblGold[Type],"Sale")</f>
        <v/>
      </c>
      <c r="GR232" s="55">
        <f>IF($B232=$B231,$GR231,0)+$GQ232</f>
        <v/>
      </c>
      <c r="GS232" s="55">
        <f>$GS231+$GQ232</f>
        <v/>
      </c>
      <c r="GT232" s="55">
        <f>SUMIFS(tblGold[Dore_kg],tblGold[Date],$A232,tblGold[Type],"Shipment")</f>
        <v/>
      </c>
      <c r="GU232" s="55">
        <f>IF($B232=$B231,$GU231,0)+$GT232</f>
        <v/>
      </c>
      <c r="GV232" s="55">
        <f>$GV231+$GT232</f>
        <v/>
      </c>
      <c r="GW232" s="57">
        <f>SUMIFS(tblSafety[Hours_Total],tblSafety[Date],$A232)</f>
        <v/>
      </c>
      <c r="GX232" s="57">
        <f>IF($B232=$B231,$GX231,0)+$GW232</f>
        <v/>
      </c>
      <c r="GY232" s="57">
        <f>$GY231+$GW232</f>
        <v/>
      </c>
      <c r="GZ232" s="62">
        <f>SUMIFS(tblSafety[Fatality],tblSafety[Date],$A232)</f>
        <v/>
      </c>
      <c r="HA232" s="62">
        <f>IF($B232=$B231,$HA231,0)+$GZ232</f>
        <v/>
      </c>
      <c r="HB232" s="62">
        <f>$HB231+$GZ232</f>
        <v/>
      </c>
      <c r="HC232" s="62">
        <f>SUMIFS(tblSafety[LTI],tblSafety[Date],$A232)</f>
        <v/>
      </c>
      <c r="HD232" s="62">
        <f>IF($B232=$B231,$HD231,0)+$HC232</f>
        <v/>
      </c>
      <c r="HE232" s="62">
        <f>$HE231+$HC232</f>
        <v/>
      </c>
      <c r="HF232" s="62">
        <f>SUMIFS(tblSafety[RWI],tblSafety[Date],$A232)</f>
        <v/>
      </c>
      <c r="HG232" s="62">
        <f>IF($B232=$B231,$HG231,0)+$HF232</f>
        <v/>
      </c>
      <c r="HH232" s="62">
        <f>$HH231+$HF232</f>
        <v/>
      </c>
      <c r="HI232" s="62">
        <f>SUMIFS(tblSafety[MTI],tblSafety[Date],$A232)</f>
        <v/>
      </c>
      <c r="HJ232" s="62">
        <f>IF($B232=$B231,$HJ231,0)+$HI232</f>
        <v/>
      </c>
      <c r="HK232" s="62">
        <f>$HK231+$HI232</f>
        <v/>
      </c>
      <c r="HL232" s="62">
        <f>SUMIFS(tblSafety[FAI],tblSafety[Date],$A232)</f>
        <v/>
      </c>
      <c r="HM232" s="62">
        <f>IF($B232=$B231,$HM231,0)+$HL232</f>
        <v/>
      </c>
      <c r="HN232" s="62">
        <f>$HN231+$HL232</f>
        <v/>
      </c>
      <c r="HO232" s="62">
        <f>SUMIFS(tblSafety[Recordables],tblSafety[Date],$A232)</f>
        <v/>
      </c>
      <c r="HP232" s="62">
        <f>IF($B232=$B231,$HP231,0)+$HO232</f>
        <v/>
      </c>
      <c r="HQ232" s="62">
        <f>$HQ231+$HO232</f>
        <v/>
      </c>
      <c r="HR232" s="62">
        <f>SUMIFS(tblSafety[Near_Miss],tblSafety[Date],$A232)</f>
        <v/>
      </c>
      <c r="HS232" s="62">
        <f>IF($B232=$B231,$HS231,0)+$HR232</f>
        <v/>
      </c>
      <c r="HT232" s="62">
        <f>$HT231+$HR232</f>
        <v/>
      </c>
      <c r="HU232" s="62">
        <f>SUMIFS(tblSafety[Hazard_Reports],tblSafety[Date],$A232)</f>
        <v/>
      </c>
      <c r="HV232" s="62">
        <f>IF($B232=$B231,$HV231,0)+$HU232</f>
        <v/>
      </c>
      <c r="HW232" s="62">
        <f>$HW231+$HU232</f>
        <v/>
      </c>
      <c r="HX232" s="62">
        <f>SUMIFS(tblSafety[HPI],tblSafety[Date],$A232)</f>
        <v/>
      </c>
      <c r="HY232" s="62">
        <f>IF($B232=$B231,$HY231,0)+$HX232</f>
        <v/>
      </c>
      <c r="HZ232" s="62">
        <f>$HZ231+$HX232</f>
        <v/>
      </c>
      <c r="IA232" s="62">
        <f>SUMIFS(tblSafety[Env_Incidents],tblSafety[Date],$A232)</f>
        <v/>
      </c>
      <c r="IB232" s="62">
        <f>IF($B232=$B231,$IB231,0)+$IA232</f>
        <v/>
      </c>
      <c r="IC232" s="62">
        <f>$IC231+$IA232</f>
        <v/>
      </c>
      <c r="ID232" s="62">
        <f>SUMIFS(tblSafety[Community_Incidents],tblSafety[Date],$A232)</f>
        <v/>
      </c>
      <c r="IE232" s="62">
        <f>IF($B232=$B231,$IE231,0)+$ID232</f>
        <v/>
      </c>
      <c r="IF232" s="62">
        <f>$IF231+$ID232</f>
        <v/>
      </c>
      <c r="IG232" s="62">
        <f>SUMIFS(tblSafety[Vehicle_Incidents],tblSafety[Date],$A232)</f>
        <v/>
      </c>
      <c r="IH232" s="62">
        <f>IF($B232=$B231,$IH231,0)+$IG232</f>
        <v/>
      </c>
      <c r="II232" s="62">
        <f>$II231+$IG232</f>
        <v/>
      </c>
      <c r="IJ232" s="62">
        <f>SUMIFS(tblSafety[Toolbox_Talks],tblSafety[Date],$A232)</f>
        <v/>
      </c>
      <c r="IK232" s="62">
        <f>IF($B232=$B231,$IK231,0)+$IJ232</f>
        <v/>
      </c>
      <c r="IL232" s="62">
        <f>$IL231+$IJ232</f>
        <v/>
      </c>
      <c r="IM232" s="62">
        <f>SUMIFS(tblSafety[Inspections],tblSafety[Date],$A232)</f>
        <v/>
      </c>
      <c r="IN232" s="62">
        <f>IF($B232=$B231,$IN231,0)+$IM232</f>
        <v/>
      </c>
      <c r="IO232" s="62">
        <f>$IO231+$IM232</f>
        <v/>
      </c>
      <c r="IP232" s="56">
        <f>IFERROR((SUMIFS(tblSafety[Recordables],tblSafety[Date],"&gt;="&amp;EDATE($E232,-12),tblSafety[Date],"&lt;="&amp;$A232)+SUMIFS(tblSafetyHistory[Recordables],tblSafetyHistory[Month],"&gt;="&amp;EDATE($E232,-12),tblSafetyHistory[Month],"&lt;"&amp;$E232,tblSafetyHistory[Use],1))/(SUMIFS(tblSafety[Hours_Total],tblSafety[Date],"&gt;="&amp;EDATE($E232,-12),tblSafety[Date],"&lt;="&amp;$A232)+SUMIFS(tblSafetyHistory[Hours_Total],tblSafetyHistory[Month],"&gt;="&amp;EDATE($E232,-12),tblSafetyHistory[Month],"&lt;"&amp;$E232,tblSafetyHistory[Use],1))*cfg_RateBasisHours,"")</f>
        <v/>
      </c>
      <c r="IQ232" s="56">
        <f>IFERROR((SUMIFS(tblSafety[LTI],tblSafety[Date],"&gt;="&amp;EDATE($E232,-12),tblSafety[Date],"&lt;="&amp;$A232)+SUMIFS(tblSafetyHistory[LTI],tblSafetyHistory[Month],"&gt;="&amp;EDATE($E232,-12),tblSafetyHistory[Month],"&lt;"&amp;$E232,tblSafetyHistory[Use],1))/(SUMIFS(tblSafety[Hours_Total],tblSafety[Date],"&gt;="&amp;EDATE($E232,-12),tblSafety[Date],"&lt;="&amp;$A232)+SUMIFS(tblSafetyHistory[Hours_Total],tblSafetyHistory[Month],"&gt;="&amp;EDATE($E232,-12),tblSafetyHistory[Month],"&lt;"&amp;$E232,tblSafetyHistory[Use],1))*cfg_RateBasisHours,"")</f>
        <v/>
      </c>
      <c r="IR232" s="62">
        <f>IF(MAX(N(cfg_PriorLTIDate),_xlfn.MAXIFS(tblSafety[Date],tblSafety[LTI],"&gt;0",tblSafety[Date],"&lt;="&amp;$A232))=0,"",$A232-MAX(N(cfg_PriorLTIDate),_xlfn.MAXIFS(tblSafety[Date],tblSafety[LTI],"&gt;0",tblSafety[Date],"&lt;="&amp;$A232)))</f>
        <v/>
      </c>
      <c r="IS232" s="55">
        <f>SUMIFS(tblBudget[Ore_Mined_t],tblBudget[Month],$E232)</f>
        <v/>
      </c>
      <c r="IT232" s="55">
        <f>$IS232*$C232/$D232</f>
        <v/>
      </c>
      <c r="IU232" s="55">
        <f>SUMIFS(tblBudget[Ore_Mined_t],tblBudget[Month],"&lt;"&amp;$E232)+$IT232</f>
        <v/>
      </c>
      <c r="IV232" s="55">
        <f>SUMIFS(tblBudget[Ore_oz],tblBudget[Month],$E232)</f>
        <v/>
      </c>
      <c r="IW232" s="55">
        <f>$IV232*$C232/$D232</f>
        <v/>
      </c>
      <c r="IX232" s="55">
        <f>SUMIFS(tblBudget[Ore_oz],tblBudget[Month],"&lt;"&amp;$E232)+$IW232</f>
        <v/>
      </c>
      <c r="IY232" s="55">
        <f>SUMIFS(tblBudget[Ore_Mined_t],tblBudget[Month],$E232)</f>
        <v/>
      </c>
      <c r="IZ232" s="55">
        <f>$IY232*$C232/$D232</f>
        <v/>
      </c>
      <c r="JA232" s="55">
        <f>SUMIFS(tblBudget[Ore_Mined_t],tblBudget[Month],"&lt;"&amp;$E232)+$IZ232</f>
        <v/>
      </c>
      <c r="JB232" s="56">
        <f>IFERROR(IF(($IY232)&gt;0,($IV232*cfg_TroyOz)/($IY232),""),"")</f>
        <v/>
      </c>
      <c r="JC232" s="56">
        <f>IFERROR(IF(($IZ232)&gt;0,($IW232*cfg_TroyOz)/($IZ232),""),"")</f>
        <v/>
      </c>
      <c r="JD232" s="56">
        <f>IFERROR(IF(($JA232)&gt;0,($IX232*cfg_TroyOz)/($JA232),""),"")</f>
        <v/>
      </c>
      <c r="JE232" s="55">
        <f>SUMIFS(tblBudget[Waste_t],tblBudget[Month],$E232)</f>
        <v/>
      </c>
      <c r="JF232" s="55">
        <f>$JE232*$C232/$D232</f>
        <v/>
      </c>
      <c r="JG232" s="55">
        <f>SUMIFS(tblBudget[Waste_t],tblBudget[Month],"&lt;"&amp;$E232)+$JF232</f>
        <v/>
      </c>
      <c r="JH232" s="55">
        <f>SUMIFS(tblBudget[TMM_t],tblBudget[Month],$E232)</f>
        <v/>
      </c>
      <c r="JI232" s="55">
        <f>$JH232*$C232/$D232</f>
        <v/>
      </c>
      <c r="JJ232" s="55">
        <f>SUMIFS(tblBudget[TMM_t],tblBudget[Month],"&lt;"&amp;$E232)+$JI232</f>
        <v/>
      </c>
      <c r="JK232" s="56">
        <f>IFERROR(IF(($IS232)&gt;0,($JE232)/($IS232),""),"")</f>
        <v/>
      </c>
      <c r="JL232" s="56">
        <f>IFERROR(IF(($IT232)&gt;0,($JF232)/($IT232),""),"")</f>
        <v/>
      </c>
      <c r="JM232" s="56">
        <f>IFERROR(IF(($IU232)&gt;0,($JG232)/($IU232),""),"")</f>
        <v/>
      </c>
      <c r="JN232" s="55">
        <f>SUMIFS(tblBudget[Drill_m],tblBudget[Month],$E232)</f>
        <v/>
      </c>
      <c r="JO232" s="55">
        <f>$JN232*$C232/$D232</f>
        <v/>
      </c>
      <c r="JP232" s="55">
        <f>SUMIFS(tblBudget[Drill_m],tblBudget[Month],"&lt;"&amp;$E232)+$JO232</f>
        <v/>
      </c>
      <c r="JQ232" s="55">
        <f>SUMIFS(tblBudget[Diesel_L],tblBudget[Month],$E232)</f>
        <v/>
      </c>
      <c r="JR232" s="55">
        <f>$JQ232*$C232/$D232</f>
        <v/>
      </c>
      <c r="JS232" s="55">
        <f>SUMIFS(tblBudget[Diesel_L],tblBudget[Month],"&lt;"&amp;$E232)+$JR232</f>
        <v/>
      </c>
      <c r="JT232" s="55">
        <f>SUMIFS(tblBudget[Milled_t],tblBudget[Month],$E232)</f>
        <v/>
      </c>
      <c r="JU232" s="55">
        <f>$JT232*$C232/$D232</f>
        <v/>
      </c>
      <c r="JV232" s="55">
        <f>SUMIFS(tblBudget[Milled_t],tblBudget[Month],"&lt;"&amp;$E232)+$JU232</f>
        <v/>
      </c>
      <c r="JW232" s="55">
        <f>SUMIFS(tblBudget[Feed_oz],tblBudget[Month],$E232)</f>
        <v/>
      </c>
      <c r="JX232" s="55">
        <f>$JW232*$C232/$D232</f>
        <v/>
      </c>
      <c r="JY232" s="55">
        <f>SUMIFS(tblBudget[Feed_oz],tblBudget[Month],"&lt;"&amp;$E232)+$JX232</f>
        <v/>
      </c>
      <c r="JZ232" s="55">
        <f>SUMIFS(tblBudget[Recovered_oz],tblBudget[Month],$E232)</f>
        <v/>
      </c>
      <c r="KA232" s="55">
        <f>$JZ232*$C232/$D232</f>
        <v/>
      </c>
      <c r="KB232" s="55">
        <f>SUMIFS(tblBudget[Recovered_oz],tblBudget[Month],"&lt;"&amp;$E232)+$KA232</f>
        <v/>
      </c>
      <c r="KC232" s="55">
        <f>SUMIFS(tblBudget[Milled_t],tblBudget[Month],$E232)</f>
        <v/>
      </c>
      <c r="KD232" s="55">
        <f>$KC232*$C232/$D232</f>
        <v/>
      </c>
      <c r="KE232" s="55">
        <f>SUMIFS(tblBudget[Milled_t],tblBudget[Month],"&lt;"&amp;$E232)+$KD232</f>
        <v/>
      </c>
      <c r="KF232" s="55">
        <f>SUMIFS(tblBudget[Feed_oz],tblBudget[Month],$E232)</f>
        <v/>
      </c>
      <c r="KG232" s="55">
        <f>$KF232*$C232/$D232</f>
        <v/>
      </c>
      <c r="KH232" s="55">
        <f>SUMIFS(tblBudget[Feed_oz],tblBudget[Month],"&lt;"&amp;$E232)+$KG232</f>
        <v/>
      </c>
      <c r="KI232" s="56">
        <f>IFERROR(IF(($KC232)&gt;0,($JW232*cfg_TroyOz)/($KC232),""),"")</f>
        <v/>
      </c>
      <c r="KJ232" s="56">
        <f>IFERROR(IF(($KD232)&gt;0,($JX232*cfg_TroyOz)/($KD232),""),"")</f>
        <v/>
      </c>
      <c r="KK232" s="56">
        <f>IFERROR(IF(($KE232)&gt;0,($JY232*cfg_TroyOz)/($KE232),""),"")</f>
        <v/>
      </c>
      <c r="KL232" s="67">
        <f>IFERROR(IF(($KF232)&gt;0,($JZ232)/($KF232),""),"")</f>
        <v/>
      </c>
      <c r="KM232" s="67">
        <f>IFERROR(IF(($KG232)&gt;0,($KA232)/($KG232),""),"")</f>
        <v/>
      </c>
      <c r="KN232" s="67">
        <f>IFERROR(IF(($KH232)&gt;0,($KB232)/($KH232),""),"")</f>
        <v/>
      </c>
      <c r="KO232" s="55">
        <f>SUMIFS(tblBudget[Gold_Poured_oz],tblBudget[Month],$E232)</f>
        <v/>
      </c>
      <c r="KP232" s="55">
        <f>$KO232*$C232/$D232</f>
        <v/>
      </c>
      <c r="KQ232" s="55">
        <f>SUMIFS(tblBudget[Gold_Poured_oz],tblBudget[Month],"&lt;"&amp;$E232)+$KP232</f>
        <v/>
      </c>
      <c r="KR232" s="57">
        <f>SUMIFS(tblBudget[Hours_Worked],tblBudget[Month],$E232)</f>
        <v/>
      </c>
      <c r="KS232" s="57">
        <f>$KR232*$C232/$D232</f>
        <v/>
      </c>
      <c r="KT232" s="57">
        <f>SUMIFS(tblBudget[Hours_Worked],tblBudget[Month],"&lt;"&amp;$E232)+$KS232</f>
        <v/>
      </c>
    </row>
    <row r="233">
      <c r="A233" s="54" t="n">
        <v>46254</v>
      </c>
      <c r="B233">
        <f>MONTH($A233)</f>
        <v/>
      </c>
      <c r="C233">
        <f>DAY($A233)</f>
        <v/>
      </c>
      <c r="D233">
        <f>DAY(EOMONTH($A233,0))</f>
        <v/>
      </c>
      <c r="E233" s="54">
        <f>DATE(YEAR($A233),MONTH($A233),1)</f>
        <v/>
      </c>
      <c r="F233" s="55">
        <f>SUMIFS(tblMovement[Tonnes_t],tblMovement[Date],$A233,tblMovement[Is_Ore],1,tblMovement[Source_Type],"Pit")</f>
        <v/>
      </c>
      <c r="G233" s="55">
        <f>IF($B233=$B232,$G232,0)+$F233</f>
        <v/>
      </c>
      <c r="H233" s="55">
        <f>$H232+$F233</f>
        <v/>
      </c>
      <c r="I233" s="55">
        <f>SUMIFS(tblMovement[Ore_oz],tblMovement[Date],$A233,tblMovement[Source_Type],"Pit")</f>
        <v/>
      </c>
      <c r="J233" s="55">
        <f>IF($B233=$B232,$J232,0)+$I233</f>
        <v/>
      </c>
      <c r="K233" s="55">
        <f>$K232+$I233</f>
        <v/>
      </c>
      <c r="L233" s="55">
        <f>SUMIFS(tblMovement[Tonnes_t],tblMovement[Date],$A233,tblMovement[Is_Ore],1,tblMovement[Source_Type],"Pit",tblMovement[Grade_gpt],"&lt;&gt;")</f>
        <v/>
      </c>
      <c r="M233" s="55">
        <f>IF($B233=$B232,$M232,0)+$L233</f>
        <v/>
      </c>
      <c r="N233" s="55">
        <f>$N232+$L233</f>
        <v/>
      </c>
      <c r="O233" s="56">
        <f>IFERROR(IF(($L233)&gt;0,($I233*cfg_TroyOz)/($L233),""),"")</f>
        <v/>
      </c>
      <c r="P233" s="56">
        <f>IFERROR(IF(($M233)&gt;0,($J233*cfg_TroyOz)/($M233),""),"")</f>
        <v/>
      </c>
      <c r="Q233" s="56">
        <f>IFERROR(IF(($N233)&gt;0,($K233*cfg_TroyOz)/($N233),""),"")</f>
        <v/>
      </c>
      <c r="R233" s="55">
        <f>$F233-$L233</f>
        <v/>
      </c>
      <c r="S233" s="55">
        <f>IF($B233=$B232,$S232,0)+$R233</f>
        <v/>
      </c>
      <c r="T233" s="55">
        <f>$T232+$R233</f>
        <v/>
      </c>
      <c r="U233" s="55">
        <f>SUMIFS(tblMovement[Tonnes_t],tblMovement[Date],$A233,tblMovement[Is_Ore],0,tblMovement[Source_Type],"Pit")</f>
        <v/>
      </c>
      <c r="V233" s="55">
        <f>IF($B233=$B232,$V232,0)+$U233</f>
        <v/>
      </c>
      <c r="W233" s="55">
        <f>$W232+$U233</f>
        <v/>
      </c>
      <c r="X233" s="55">
        <f>$F233+$U233</f>
        <v/>
      </c>
      <c r="Y233" s="55">
        <f>IF($B233=$B232,$Y232,0)+$X233</f>
        <v/>
      </c>
      <c r="Z233" s="55">
        <f>$Z232+$X233</f>
        <v/>
      </c>
      <c r="AA233" s="56">
        <f>IFERROR(IF(($F233)&gt;0,($U233)/($F233),""),"")</f>
        <v/>
      </c>
      <c r="AB233" s="56">
        <f>IFERROR(IF(($G233)&gt;0,($V233)/($G233),""),"")</f>
        <v/>
      </c>
      <c r="AC233" s="56">
        <f>IFERROR(IF(($H233)&gt;0,($W233)/($H233),""),"")</f>
        <v/>
      </c>
      <c r="AD233" s="55">
        <f>SUMIFS(tblMovement[Tonnes_t],tblMovement[Date],$A233,tblMovement[Source_Type],"Stockpile")</f>
        <v/>
      </c>
      <c r="AE233" s="55">
        <f>IF($B233=$B232,$AE232,0)+$AD233</f>
        <v/>
      </c>
      <c r="AF233" s="55">
        <f>$AF232+$AD233</f>
        <v/>
      </c>
      <c r="AG233" s="55">
        <f>SUMIFS(tblMovement[Tonnes_t],tblMovement[Date],$A233)</f>
        <v/>
      </c>
      <c r="AH233" s="55">
        <f>IF($B233=$B232,$AH232,0)+$AG233</f>
        <v/>
      </c>
      <c r="AI233" s="55">
        <f>$AI232+$AG233</f>
        <v/>
      </c>
      <c r="AJ233" s="55">
        <f>$AG233-$X233-$AD233</f>
        <v/>
      </c>
      <c r="AK233" s="55">
        <f>IF($B233=$B232,$AK232,0)+$AJ233</f>
        <v/>
      </c>
      <c r="AL233" s="55">
        <f>$AL232+$AJ233</f>
        <v/>
      </c>
      <c r="AM233" s="55">
        <f>SUMIFS(tblMiningDaily[Drill_m],tblMiningDaily[Date],$A233)</f>
        <v/>
      </c>
      <c r="AN233" s="55">
        <f>IF($B233=$B232,$AN232,0)+$AM233</f>
        <v/>
      </c>
      <c r="AO233" s="55">
        <f>$AO232+$AM233</f>
        <v/>
      </c>
      <c r="AP233" s="55">
        <f>SUMIFS(tblMiningDaily[GC_Drill_m],tblMiningDaily[Date],$A233)</f>
        <v/>
      </c>
      <c r="AQ233" s="55">
        <f>IF($B233=$B232,$AQ232,0)+$AP233</f>
        <v/>
      </c>
      <c r="AR233" s="55">
        <f>$AR232+$AP233</f>
        <v/>
      </c>
      <c r="AS233" s="55">
        <f>SUMIFS(tblMiningDaily[Blast_t],tblMiningDaily[Date],$A233)</f>
        <v/>
      </c>
      <c r="AT233" s="55">
        <f>IF($B233=$B232,$AT232,0)+$AS233</f>
        <v/>
      </c>
      <c r="AU233" s="55">
        <f>$AU232+$AS233</f>
        <v/>
      </c>
      <c r="AV233" s="55">
        <f>SUMIFS(tblMiningDaily[Explosives_kg],tblMiningDaily[Date],$A233)</f>
        <v/>
      </c>
      <c r="AW233" s="55">
        <f>IF($B233=$B232,$AW232,0)+$AV233</f>
        <v/>
      </c>
      <c r="AX233" s="55">
        <f>$AX232+$AV233</f>
        <v/>
      </c>
      <c r="AY233" s="56">
        <f>IFERROR(IF(($AS233)&gt;0,($AV233)/($AS233),""),"")</f>
        <v/>
      </c>
      <c r="AZ233" s="56">
        <f>IFERROR(IF(($AT233)&gt;0,($AW233)/($AT233),""),"")</f>
        <v/>
      </c>
      <c r="BA233" s="56">
        <f>IFERROR(IF(($AU233)&gt;0,($AX233)/($AU233),""),"")</f>
        <v/>
      </c>
      <c r="BB233" s="55">
        <f>SUMIFS(tblMiningDaily[Diesel_L],tblMiningDaily[Date],$A233)</f>
        <v/>
      </c>
      <c r="BC233" s="55">
        <f>IF($B233=$B232,$BC232,0)+$BB233</f>
        <v/>
      </c>
      <c r="BD233" s="55">
        <f>$BD232+$BB233</f>
        <v/>
      </c>
      <c r="BE233" s="55">
        <f>SUMIFS(tblMiningDaily[Dewatering_m3],tblMiningDaily[Date],$A233)</f>
        <v/>
      </c>
      <c r="BF233" s="55">
        <f>IF($B233=$B232,$BF232,0)+$BE233</f>
        <v/>
      </c>
      <c r="BG233" s="55">
        <f>$BG232+$BE233</f>
        <v/>
      </c>
      <c r="BH233" s="57">
        <f>SUMIFS(tblFleet[Calendar_h],tblFleet[Date],$A233,tblFleet[Equipment_Class],"Excavator")</f>
        <v/>
      </c>
      <c r="BI233" s="57">
        <f>IF($B233=$B232,$BI232,0)+$BH233</f>
        <v/>
      </c>
      <c r="BJ233" s="57">
        <f>$BJ232+$BH233</f>
        <v/>
      </c>
      <c r="BK233" s="57">
        <f>SUMIFS(tblFleet[Available_h],tblFleet[Date],$A233,tblFleet[Equipment_Class],"Excavator")</f>
        <v/>
      </c>
      <c r="BL233" s="57">
        <f>IF($B233=$B232,$BL232,0)+$BK233</f>
        <v/>
      </c>
      <c r="BM233" s="57">
        <f>$BM232+$BK233</f>
        <v/>
      </c>
      <c r="BN233" s="57">
        <f>SUMIFS(tblFleet[Operating_h],tblFleet[Date],$A233,tblFleet[Equipment_Class],"Excavator")</f>
        <v/>
      </c>
      <c r="BO233" s="57">
        <f>IF($B233=$B232,$BO232,0)+$BN233</f>
        <v/>
      </c>
      <c r="BP233" s="57">
        <f>$BP232+$BN233</f>
        <v/>
      </c>
      <c r="BQ233" s="67">
        <f>IFERROR(IF(($BH233)&gt;0,($BK233)/($BH233),""),"")</f>
        <v/>
      </c>
      <c r="BR233" s="67">
        <f>IFERROR(IF(($BI233)&gt;0,($BL233)/($BI233),""),"")</f>
        <v/>
      </c>
      <c r="BS233" s="67">
        <f>IFERROR(IF(($BJ233)&gt;0,($BM233)/($BJ233),""),"")</f>
        <v/>
      </c>
      <c r="BT233" s="67">
        <f>IFERROR(IF(($BK233)&gt;0,($BN233)/($BK233),""),"")</f>
        <v/>
      </c>
      <c r="BU233" s="67">
        <f>IFERROR(IF(($BL233)&gt;0,($BO233)/($BL233),""),"")</f>
        <v/>
      </c>
      <c r="BV233" s="67">
        <f>IFERROR(IF(($BM233)&gt;0,($BP233)/($BM233),""),"")</f>
        <v/>
      </c>
      <c r="BW233" s="57">
        <f>SUMIFS(tblFleet[Calendar_h],tblFleet[Date],$A233,tblFleet[Equipment_Class],"Haul Truck")</f>
        <v/>
      </c>
      <c r="BX233" s="57">
        <f>IF($B233=$B232,$BX232,0)+$BW233</f>
        <v/>
      </c>
      <c r="BY233" s="57">
        <f>$BY232+$BW233</f>
        <v/>
      </c>
      <c r="BZ233" s="57">
        <f>SUMIFS(tblFleet[Available_h],tblFleet[Date],$A233,tblFleet[Equipment_Class],"Haul Truck")</f>
        <v/>
      </c>
      <c r="CA233" s="57">
        <f>IF($B233=$B232,$CA232,0)+$BZ233</f>
        <v/>
      </c>
      <c r="CB233" s="57">
        <f>$CB232+$BZ233</f>
        <v/>
      </c>
      <c r="CC233" s="57">
        <f>SUMIFS(tblFleet[Operating_h],tblFleet[Date],$A233,tblFleet[Equipment_Class],"Haul Truck")</f>
        <v/>
      </c>
      <c r="CD233" s="57">
        <f>IF($B233=$B232,$CD232,0)+$CC233</f>
        <v/>
      </c>
      <c r="CE233" s="57">
        <f>$CE232+$CC233</f>
        <v/>
      </c>
      <c r="CF233" s="67">
        <f>IFERROR(IF(($BW233)&gt;0,($BZ233)/($BW233),""),"")</f>
        <v/>
      </c>
      <c r="CG233" s="67">
        <f>IFERROR(IF(($BX233)&gt;0,($CA233)/($BX233),""),"")</f>
        <v/>
      </c>
      <c r="CH233" s="67">
        <f>IFERROR(IF(($BY233)&gt;0,($CB233)/($BY233),""),"")</f>
        <v/>
      </c>
      <c r="CI233" s="67">
        <f>IFERROR(IF(($BZ233)&gt;0,($CC233)/($BZ233),""),"")</f>
        <v/>
      </c>
      <c r="CJ233" s="67">
        <f>IFERROR(IF(($CA233)&gt;0,($CD233)/($CA233),""),"")</f>
        <v/>
      </c>
      <c r="CK233" s="67">
        <f>IFERROR(IF(($CB233)&gt;0,($CE233)/($CB233),""),"")</f>
        <v/>
      </c>
      <c r="CL233" s="55">
        <f>IFERROR(IF(($BN233)&gt;0,($X233+$AD233)/($BN233),""),"")</f>
        <v/>
      </c>
      <c r="CM233" s="55">
        <f>IFERROR(IF(($BO233)&gt;0,($Y233+$AE233)/($BO233),""),"")</f>
        <v/>
      </c>
      <c r="CN233" s="55">
        <f>IFERROR(IF(($BP233)&gt;0,($Z233+$AF233)/($BP233),""),"")</f>
        <v/>
      </c>
      <c r="CO233" s="55">
        <f>IFERROR(IF(($CC233)&gt;0,($X233+$AD233)/($CC233),""),"")</f>
        <v/>
      </c>
      <c r="CP233" s="55">
        <f>IFERROR(IF(($CD233)&gt;0,($Y233+$AE233)/($CD233),""),"")</f>
        <v/>
      </c>
      <c r="CQ233" s="55">
        <f>IFERROR(IF(($CE233)&gt;0,($Z233+$AF233)/($CE233),""),"")</f>
        <v/>
      </c>
      <c r="CR233" s="55">
        <f>SUMIFS(tblPlant[Crushed_t],tblPlant[Date],$A233)</f>
        <v/>
      </c>
      <c r="CS233" s="55">
        <f>IF($B233=$B232,$CS232,0)+$CR233</f>
        <v/>
      </c>
      <c r="CT233" s="55">
        <f>$CT232+$CR233</f>
        <v/>
      </c>
      <c r="CU233" s="55">
        <f>SUMIFS(tblPlant[Milled_t],tblPlant[Date],$A233)</f>
        <v/>
      </c>
      <c r="CV233" s="55">
        <f>IF($B233=$B232,$CV232,0)+$CU233</f>
        <v/>
      </c>
      <c r="CW233" s="55">
        <f>$CW232+$CU233</f>
        <v/>
      </c>
      <c r="CX233" s="55">
        <f>SUMIFS(tblPlant[Feed_oz],tblPlant[Date],$A233)</f>
        <v/>
      </c>
      <c r="CY233" s="55">
        <f>IF($B233=$B232,$CY232,0)+$CX233</f>
        <v/>
      </c>
      <c r="CZ233" s="55">
        <f>$CZ232+$CX233</f>
        <v/>
      </c>
      <c r="DA233" s="55">
        <f>SUMIFS(tblPlant[Tails_oz],tblPlant[Date],$A233)</f>
        <v/>
      </c>
      <c r="DB233" s="55">
        <f>IF($B233=$B232,$DB232,0)+$DA233</f>
        <v/>
      </c>
      <c r="DC233" s="55">
        <f>$DC232+$DA233</f>
        <v/>
      </c>
      <c r="DD233" s="55">
        <f>SUMIFS(tblPlant[Recovered_oz],tblPlant[Date],$A233)</f>
        <v/>
      </c>
      <c r="DE233" s="55">
        <f>IF($B233=$B232,$DE232,0)+$DD233</f>
        <v/>
      </c>
      <c r="DF233" s="55">
        <f>$DF232+$DD233</f>
        <v/>
      </c>
      <c r="DG233" s="55">
        <f>SUMIFS(tblPlant[Milled_t],tblPlant[Date],$A233,tblPlant[Head_Grade_gpt],"&lt;&gt;")</f>
        <v/>
      </c>
      <c r="DH233" s="55">
        <f>IF($B233=$B232,$DH232,0)+$DG233</f>
        <v/>
      </c>
      <c r="DI233" s="55">
        <f>$DI232+$DG233</f>
        <v/>
      </c>
      <c r="DJ233" s="55">
        <f>SUMIFS(tblPlant[Milled_t],tblPlant[Date],$A233,tblPlant[Tails_Grade_gpt],"&lt;&gt;")</f>
        <v/>
      </c>
      <c r="DK233" s="55">
        <f>IF($B233=$B232,$DK232,0)+$DJ233</f>
        <v/>
      </c>
      <c r="DL233" s="55">
        <f>$DL232+$DJ233</f>
        <v/>
      </c>
      <c r="DM233" s="55">
        <f>SUMIFS(tblPlant[Feed_oz],tblPlant[Date],$A233,tblPlant[Tails_Grade_gpt],"&lt;&gt;")</f>
        <v/>
      </c>
      <c r="DN233" s="55">
        <f>IF($B233=$B232,$DN232,0)+$DM233</f>
        <v/>
      </c>
      <c r="DO233" s="55">
        <f>$DO232+$DM233</f>
        <v/>
      </c>
      <c r="DP233" s="55">
        <f>SUMIFS(tblPlant[Milled_t],tblPlant[Date],$A233,tblPlant[Mill_Run_h],"&lt;&gt;")</f>
        <v/>
      </c>
      <c r="DQ233" s="55">
        <f>IF($B233=$B232,$DQ232,0)+$DP233</f>
        <v/>
      </c>
      <c r="DR233" s="55">
        <f>$DR232+$DP233</f>
        <v/>
      </c>
      <c r="DS233" s="56">
        <f>IFERROR(IF(($DG233)&gt;0,($CX233*cfg_TroyOz)/($DG233),""),"")</f>
        <v/>
      </c>
      <c r="DT233" s="56">
        <f>IFERROR(IF(($DH233)&gt;0,($CY233*cfg_TroyOz)/($DH233),""),"")</f>
        <v/>
      </c>
      <c r="DU233" s="56">
        <f>IFERROR(IF(($DI233)&gt;0,($CZ233*cfg_TroyOz)/($DI233),""),"")</f>
        <v/>
      </c>
      <c r="DV233" s="56">
        <f>IFERROR(IF(($DJ233)&gt;0,($DA233*cfg_TroyOz)/($DJ233),""),"")</f>
        <v/>
      </c>
      <c r="DW233" s="56">
        <f>IFERROR(IF(($DK233)&gt;0,($DB233*cfg_TroyOz)/($DK233),""),"")</f>
        <v/>
      </c>
      <c r="DX233" s="56">
        <f>IFERROR(IF(($DL233)&gt;0,($DC233*cfg_TroyOz)/($DL233),""),"")</f>
        <v/>
      </c>
      <c r="DY233" s="67">
        <f>IFERROR(IF(($DM233)&gt;0,($DD233)/($DM233),""),"")</f>
        <v/>
      </c>
      <c r="DZ233" s="67">
        <f>IFERROR(IF(($DN233)&gt;0,($DE233)/($DN233),""),"")</f>
        <v/>
      </c>
      <c r="EA233" s="67">
        <f>IFERROR(IF(($DO233)&gt;0,($DF233)/($DO233),""),"")</f>
        <v/>
      </c>
      <c r="EB233" s="55">
        <f>SUMIFS(tblPlant[Gravity_Gold_oz],tblPlant[Date],$A233)</f>
        <v/>
      </c>
      <c r="EC233" s="55">
        <f>IF($B233=$B232,$EC232,0)+$EB233</f>
        <v/>
      </c>
      <c r="ED233" s="55">
        <f>$ED232+$EB233</f>
        <v/>
      </c>
      <c r="EE233" s="67">
        <f>IFERROR(IF(($DD233)&gt;0,($EB233)/($DD233),""),"")</f>
        <v/>
      </c>
      <c r="EF233" s="67">
        <f>IFERROR(IF(($DE233)&gt;0,($EC233)/($DE233),""),"")</f>
        <v/>
      </c>
      <c r="EG233" s="67">
        <f>IFERROR(IF(($DF233)&gt;0,($ED233)/($DF233),""),"")</f>
        <v/>
      </c>
      <c r="EH233" s="55">
        <f>SUMIFS(tblPlant[Gold_Poured_oz],tblPlant[Date],$A233)</f>
        <v/>
      </c>
      <c r="EI233" s="55">
        <f>IF($B233=$B232,$EI232,0)+$EH233</f>
        <v/>
      </c>
      <c r="EJ233" s="55">
        <f>$EJ232+$EH233</f>
        <v/>
      </c>
      <c r="EK233" s="57">
        <f>SUMIFS(tblPlant[Mill_Run_h],tblPlant[Date],$A233)</f>
        <v/>
      </c>
      <c r="EL233" s="57">
        <f>IF($B233=$B232,$EL232,0)+$EK233</f>
        <v/>
      </c>
      <c r="EM233" s="57">
        <f>$EM232+$EK233</f>
        <v/>
      </c>
      <c r="EN233" s="57">
        <f>SUMIFS(tblPlant[Mill_Planned_Maint_h],tblPlant[Date],$A233)</f>
        <v/>
      </c>
      <c r="EO233" s="57">
        <f>IF($B233=$B232,$EO232,0)+$EN233</f>
        <v/>
      </c>
      <c r="EP233" s="57">
        <f>$EP232+$EN233</f>
        <v/>
      </c>
      <c r="EQ233" s="57">
        <f>SUMIFS(tblPlant[Mill_Unplanned_Down_h],tblPlant[Date],$A233)</f>
        <v/>
      </c>
      <c r="ER233" s="57">
        <f>IF($B233=$B232,$ER232,0)+$EQ233</f>
        <v/>
      </c>
      <c r="ES233" s="57">
        <f>$ES232+$EQ233</f>
        <v/>
      </c>
      <c r="ET233" s="57">
        <f>IF(COUNTIFS(tblPlant[Date],$A233,tblPlant[Mill_Run_h],"&lt;&gt;")+COUNTIFS(tblPlant[Date],$A233,tblPlant[Mill_Planned_Maint_h],"&lt;&gt;")+COUNTIFS(tblPlant[Date],$A233,tblPlant[Mill_Unplanned_Down_h],"&lt;&gt;")&gt;0,cfg_HoursPerDay,0)</f>
        <v/>
      </c>
      <c r="EU233" s="57">
        <f>IF($B233=$B232,$EU232,0)+$ET233</f>
        <v/>
      </c>
      <c r="EV233" s="57">
        <f>$EV232+$ET233</f>
        <v/>
      </c>
      <c r="EW233" s="57">
        <f>SUMIFS(tblPlant[Crusher_Run_h],tblPlant[Date],$A233)</f>
        <v/>
      </c>
      <c r="EX233" s="57">
        <f>IF($B233=$B232,$EX232,0)+$EW233</f>
        <v/>
      </c>
      <c r="EY233" s="57">
        <f>$EY232+$EW233</f>
        <v/>
      </c>
      <c r="EZ233" s="55">
        <f>IFERROR(IF(($EK233)&gt;0,($DP233)/($EK233),""),"")</f>
        <v/>
      </c>
      <c r="FA233" s="55">
        <f>IFERROR(IF(($EL233)&gt;0,($DQ233)/($EL233),""),"")</f>
        <v/>
      </c>
      <c r="FB233" s="55">
        <f>IFERROR(IF(($EM233)&gt;0,($DR233)/($EM233),""),"")</f>
        <v/>
      </c>
      <c r="FC233" s="67">
        <f>IFERROR(IF(($ET233)&gt;0,($ET233-$EN233-$EQ233)/($ET233),""),"")</f>
        <v/>
      </c>
      <c r="FD233" s="67">
        <f>IFERROR(IF(($EU233)&gt;0,($EU233-$EO233-$ER233)/($EU233),""),"")</f>
        <v/>
      </c>
      <c r="FE233" s="67">
        <f>IFERROR(IF(($EV233)&gt;0,($EV233-$EP233-$ES233)/($EV233),""),"")</f>
        <v/>
      </c>
      <c r="FF233" s="67">
        <f>IFERROR(IF(($ET233-$EN233-$EQ233)&gt;0,($EK233)/($ET233-$EN233-$EQ233),""),"")</f>
        <v/>
      </c>
      <c r="FG233" s="67">
        <f>IFERROR(IF(($EU233-$EO233-$ER233)&gt;0,($EL233)/($EU233-$EO233-$ER233),""),"")</f>
        <v/>
      </c>
      <c r="FH233" s="67">
        <f>IFERROR(IF(($EV233-$EP233-$ES233)&gt;0,($EM233)/($EV233-$EP233-$ES233),""),"")</f>
        <v/>
      </c>
      <c r="FI233" s="55">
        <f>SUMIFS(tblPlant[Cyanide_kg],tblPlant[Date],$A233)</f>
        <v/>
      </c>
      <c r="FJ233" s="55">
        <f>IF($B233=$B232,$FJ232,0)+$FI233</f>
        <v/>
      </c>
      <c r="FK233" s="55">
        <f>$FK232+$FI233</f>
        <v/>
      </c>
      <c r="FL233" s="55">
        <f>SUMIFS(tblPlant[Lime_kg],tblPlant[Date],$A233)</f>
        <v/>
      </c>
      <c r="FM233" s="55">
        <f>IF($B233=$B232,$FM232,0)+$FL233</f>
        <v/>
      </c>
      <c r="FN233" s="55">
        <f>$FN232+$FL233</f>
        <v/>
      </c>
      <c r="FO233" s="55">
        <f>SUMIFS(tblPlant[Grinding_Media_kg],tblPlant[Date],$A233)</f>
        <v/>
      </c>
      <c r="FP233" s="55">
        <f>IF($B233=$B232,$FP232,0)+$FO233</f>
        <v/>
      </c>
      <c r="FQ233" s="55">
        <f>$FQ232+$FO233</f>
        <v/>
      </c>
      <c r="FR233" s="55">
        <f>SUMIFS(tblPlant[Power_kWh],tblPlant[Date],$A233)</f>
        <v/>
      </c>
      <c r="FS233" s="55">
        <f>IF($B233=$B232,$FS232,0)+$FR233</f>
        <v/>
      </c>
      <c r="FT233" s="55">
        <f>$FT232+$FR233</f>
        <v/>
      </c>
      <c r="FU233" s="55">
        <f>SUMIFS(tblPlant[Raw_Water_m3],tblPlant[Date],$A233)</f>
        <v/>
      </c>
      <c r="FV233" s="55">
        <f>IF($B233=$B232,$FV232,0)+$FU233</f>
        <v/>
      </c>
      <c r="FW233" s="55">
        <f>$FW232+$FU233</f>
        <v/>
      </c>
      <c r="FX233" s="56">
        <f>IFERROR(IF(($CU233)&gt;0,($FI233)/($CU233),""),"")</f>
        <v/>
      </c>
      <c r="FY233" s="56">
        <f>IFERROR(IF(($CV233)&gt;0,($FJ233)/($CV233),""),"")</f>
        <v/>
      </c>
      <c r="FZ233" s="56">
        <f>IFERROR(IF(($CW233)&gt;0,($FK233)/($CW233),""),"")</f>
        <v/>
      </c>
      <c r="GA233" s="56">
        <f>IFERROR(IF(($CU233)&gt;0,($FL233)/($CU233),""),"")</f>
        <v/>
      </c>
      <c r="GB233" s="56">
        <f>IFERROR(IF(($CV233)&gt;0,($FM233)/($CV233),""),"")</f>
        <v/>
      </c>
      <c r="GC233" s="56">
        <f>IFERROR(IF(($CW233)&gt;0,($FN233)/($CW233),""),"")</f>
        <v/>
      </c>
      <c r="GD233" s="56">
        <f>IFERROR(IF(($CU233)&gt;0,($FO233)/($CU233),""),"")</f>
        <v/>
      </c>
      <c r="GE233" s="56">
        <f>IFERROR(IF(($CV233)&gt;0,($FP233)/($CV233),""),"")</f>
        <v/>
      </c>
      <c r="GF233" s="56">
        <f>IFERROR(IF(($CW233)&gt;0,($FQ233)/($CW233),""),"")</f>
        <v/>
      </c>
      <c r="GG233" s="79">
        <f>IFERROR(IF(($CU233)&gt;0,($FR233)/($CU233),""),"")</f>
        <v/>
      </c>
      <c r="GH233" s="79">
        <f>IFERROR(IF(($CV233)&gt;0,($FS233)/($CV233),""),"")</f>
        <v/>
      </c>
      <c r="GI233" s="79">
        <f>IFERROR(IF(($CW233)&gt;0,($FT233)/($CW233),""),"")</f>
        <v/>
      </c>
      <c r="GJ233" s="56">
        <f>IFERROR(IF(($CU233)&gt;0,($FU233)/($CU233),""),"")</f>
        <v/>
      </c>
      <c r="GK233" s="56">
        <f>IFERROR(IF(($CV233)&gt;0,($FV233)/($CV233),""),"")</f>
        <v/>
      </c>
      <c r="GL233" s="56">
        <f>IFERROR(IF(($CW233)&gt;0,($FW233)/($CW233),""),"")</f>
        <v/>
      </c>
      <c r="GM233" s="55">
        <f>IF(SUMIFS(tblPlant[GIC_oz],tblPlant[Date],$A233)&gt;0,SUMIFS(tblPlant[GIC_oz],tblPlant[Date],$A233),"")</f>
        <v/>
      </c>
      <c r="GN233" s="55">
        <f>SUMIFS(tblGold[Gold_oz],tblGold[Date],$A233,tblGold[Type],"Shipment")</f>
        <v/>
      </c>
      <c r="GO233" s="55">
        <f>IF($B233=$B232,$GO232,0)+$GN233</f>
        <v/>
      </c>
      <c r="GP233" s="55">
        <f>$GP232+$GN233</f>
        <v/>
      </c>
      <c r="GQ233" s="55">
        <f>SUMIFS(tblGold[Gold_oz],tblGold[Date],$A233,tblGold[Type],"Sale")</f>
        <v/>
      </c>
      <c r="GR233" s="55">
        <f>IF($B233=$B232,$GR232,0)+$GQ233</f>
        <v/>
      </c>
      <c r="GS233" s="55">
        <f>$GS232+$GQ233</f>
        <v/>
      </c>
      <c r="GT233" s="55">
        <f>SUMIFS(tblGold[Dore_kg],tblGold[Date],$A233,tblGold[Type],"Shipment")</f>
        <v/>
      </c>
      <c r="GU233" s="55">
        <f>IF($B233=$B232,$GU232,0)+$GT233</f>
        <v/>
      </c>
      <c r="GV233" s="55">
        <f>$GV232+$GT233</f>
        <v/>
      </c>
      <c r="GW233" s="57">
        <f>SUMIFS(tblSafety[Hours_Total],tblSafety[Date],$A233)</f>
        <v/>
      </c>
      <c r="GX233" s="57">
        <f>IF($B233=$B232,$GX232,0)+$GW233</f>
        <v/>
      </c>
      <c r="GY233" s="57">
        <f>$GY232+$GW233</f>
        <v/>
      </c>
      <c r="GZ233" s="62">
        <f>SUMIFS(tblSafety[Fatality],tblSafety[Date],$A233)</f>
        <v/>
      </c>
      <c r="HA233" s="62">
        <f>IF($B233=$B232,$HA232,0)+$GZ233</f>
        <v/>
      </c>
      <c r="HB233" s="62">
        <f>$HB232+$GZ233</f>
        <v/>
      </c>
      <c r="HC233" s="62">
        <f>SUMIFS(tblSafety[LTI],tblSafety[Date],$A233)</f>
        <v/>
      </c>
      <c r="HD233" s="62">
        <f>IF($B233=$B232,$HD232,0)+$HC233</f>
        <v/>
      </c>
      <c r="HE233" s="62">
        <f>$HE232+$HC233</f>
        <v/>
      </c>
      <c r="HF233" s="62">
        <f>SUMIFS(tblSafety[RWI],tblSafety[Date],$A233)</f>
        <v/>
      </c>
      <c r="HG233" s="62">
        <f>IF($B233=$B232,$HG232,0)+$HF233</f>
        <v/>
      </c>
      <c r="HH233" s="62">
        <f>$HH232+$HF233</f>
        <v/>
      </c>
      <c r="HI233" s="62">
        <f>SUMIFS(tblSafety[MTI],tblSafety[Date],$A233)</f>
        <v/>
      </c>
      <c r="HJ233" s="62">
        <f>IF($B233=$B232,$HJ232,0)+$HI233</f>
        <v/>
      </c>
      <c r="HK233" s="62">
        <f>$HK232+$HI233</f>
        <v/>
      </c>
      <c r="HL233" s="62">
        <f>SUMIFS(tblSafety[FAI],tblSafety[Date],$A233)</f>
        <v/>
      </c>
      <c r="HM233" s="62">
        <f>IF($B233=$B232,$HM232,0)+$HL233</f>
        <v/>
      </c>
      <c r="HN233" s="62">
        <f>$HN232+$HL233</f>
        <v/>
      </c>
      <c r="HO233" s="62">
        <f>SUMIFS(tblSafety[Recordables],tblSafety[Date],$A233)</f>
        <v/>
      </c>
      <c r="HP233" s="62">
        <f>IF($B233=$B232,$HP232,0)+$HO233</f>
        <v/>
      </c>
      <c r="HQ233" s="62">
        <f>$HQ232+$HO233</f>
        <v/>
      </c>
      <c r="HR233" s="62">
        <f>SUMIFS(tblSafety[Near_Miss],tblSafety[Date],$A233)</f>
        <v/>
      </c>
      <c r="HS233" s="62">
        <f>IF($B233=$B232,$HS232,0)+$HR233</f>
        <v/>
      </c>
      <c r="HT233" s="62">
        <f>$HT232+$HR233</f>
        <v/>
      </c>
      <c r="HU233" s="62">
        <f>SUMIFS(tblSafety[Hazard_Reports],tblSafety[Date],$A233)</f>
        <v/>
      </c>
      <c r="HV233" s="62">
        <f>IF($B233=$B232,$HV232,0)+$HU233</f>
        <v/>
      </c>
      <c r="HW233" s="62">
        <f>$HW232+$HU233</f>
        <v/>
      </c>
      <c r="HX233" s="62">
        <f>SUMIFS(tblSafety[HPI],tblSafety[Date],$A233)</f>
        <v/>
      </c>
      <c r="HY233" s="62">
        <f>IF($B233=$B232,$HY232,0)+$HX233</f>
        <v/>
      </c>
      <c r="HZ233" s="62">
        <f>$HZ232+$HX233</f>
        <v/>
      </c>
      <c r="IA233" s="62">
        <f>SUMIFS(tblSafety[Env_Incidents],tblSafety[Date],$A233)</f>
        <v/>
      </c>
      <c r="IB233" s="62">
        <f>IF($B233=$B232,$IB232,0)+$IA233</f>
        <v/>
      </c>
      <c r="IC233" s="62">
        <f>$IC232+$IA233</f>
        <v/>
      </c>
      <c r="ID233" s="62">
        <f>SUMIFS(tblSafety[Community_Incidents],tblSafety[Date],$A233)</f>
        <v/>
      </c>
      <c r="IE233" s="62">
        <f>IF($B233=$B232,$IE232,0)+$ID233</f>
        <v/>
      </c>
      <c r="IF233" s="62">
        <f>$IF232+$ID233</f>
        <v/>
      </c>
      <c r="IG233" s="62">
        <f>SUMIFS(tblSafety[Vehicle_Incidents],tblSafety[Date],$A233)</f>
        <v/>
      </c>
      <c r="IH233" s="62">
        <f>IF($B233=$B232,$IH232,0)+$IG233</f>
        <v/>
      </c>
      <c r="II233" s="62">
        <f>$II232+$IG233</f>
        <v/>
      </c>
      <c r="IJ233" s="62">
        <f>SUMIFS(tblSafety[Toolbox_Talks],tblSafety[Date],$A233)</f>
        <v/>
      </c>
      <c r="IK233" s="62">
        <f>IF($B233=$B232,$IK232,0)+$IJ233</f>
        <v/>
      </c>
      <c r="IL233" s="62">
        <f>$IL232+$IJ233</f>
        <v/>
      </c>
      <c r="IM233" s="62">
        <f>SUMIFS(tblSafety[Inspections],tblSafety[Date],$A233)</f>
        <v/>
      </c>
      <c r="IN233" s="62">
        <f>IF($B233=$B232,$IN232,0)+$IM233</f>
        <v/>
      </c>
      <c r="IO233" s="62">
        <f>$IO232+$IM233</f>
        <v/>
      </c>
      <c r="IP233" s="56">
        <f>IFERROR((SUMIFS(tblSafety[Recordables],tblSafety[Date],"&gt;="&amp;EDATE($E233,-12),tblSafety[Date],"&lt;="&amp;$A233)+SUMIFS(tblSafetyHistory[Recordables],tblSafetyHistory[Month],"&gt;="&amp;EDATE($E233,-12),tblSafetyHistory[Month],"&lt;"&amp;$E233,tblSafetyHistory[Use],1))/(SUMIFS(tblSafety[Hours_Total],tblSafety[Date],"&gt;="&amp;EDATE($E233,-12),tblSafety[Date],"&lt;="&amp;$A233)+SUMIFS(tblSafetyHistory[Hours_Total],tblSafetyHistory[Month],"&gt;="&amp;EDATE($E233,-12),tblSafetyHistory[Month],"&lt;"&amp;$E233,tblSafetyHistory[Use],1))*cfg_RateBasisHours,"")</f>
        <v/>
      </c>
      <c r="IQ233" s="56">
        <f>IFERROR((SUMIFS(tblSafety[LTI],tblSafety[Date],"&gt;="&amp;EDATE($E233,-12),tblSafety[Date],"&lt;="&amp;$A233)+SUMIFS(tblSafetyHistory[LTI],tblSafetyHistory[Month],"&gt;="&amp;EDATE($E233,-12),tblSafetyHistory[Month],"&lt;"&amp;$E233,tblSafetyHistory[Use],1))/(SUMIFS(tblSafety[Hours_Total],tblSafety[Date],"&gt;="&amp;EDATE($E233,-12),tblSafety[Date],"&lt;="&amp;$A233)+SUMIFS(tblSafetyHistory[Hours_Total],tblSafetyHistory[Month],"&gt;="&amp;EDATE($E233,-12),tblSafetyHistory[Month],"&lt;"&amp;$E233,tblSafetyHistory[Use],1))*cfg_RateBasisHours,"")</f>
        <v/>
      </c>
      <c r="IR233" s="62">
        <f>IF(MAX(N(cfg_PriorLTIDate),_xlfn.MAXIFS(tblSafety[Date],tblSafety[LTI],"&gt;0",tblSafety[Date],"&lt;="&amp;$A233))=0,"",$A233-MAX(N(cfg_PriorLTIDate),_xlfn.MAXIFS(tblSafety[Date],tblSafety[LTI],"&gt;0",tblSafety[Date],"&lt;="&amp;$A233)))</f>
        <v/>
      </c>
      <c r="IS233" s="55">
        <f>SUMIFS(tblBudget[Ore_Mined_t],tblBudget[Month],$E233)</f>
        <v/>
      </c>
      <c r="IT233" s="55">
        <f>$IS233*$C233/$D233</f>
        <v/>
      </c>
      <c r="IU233" s="55">
        <f>SUMIFS(tblBudget[Ore_Mined_t],tblBudget[Month],"&lt;"&amp;$E233)+$IT233</f>
        <v/>
      </c>
      <c r="IV233" s="55">
        <f>SUMIFS(tblBudget[Ore_oz],tblBudget[Month],$E233)</f>
        <v/>
      </c>
      <c r="IW233" s="55">
        <f>$IV233*$C233/$D233</f>
        <v/>
      </c>
      <c r="IX233" s="55">
        <f>SUMIFS(tblBudget[Ore_oz],tblBudget[Month],"&lt;"&amp;$E233)+$IW233</f>
        <v/>
      </c>
      <c r="IY233" s="55">
        <f>SUMIFS(tblBudget[Ore_Mined_t],tblBudget[Month],$E233)</f>
        <v/>
      </c>
      <c r="IZ233" s="55">
        <f>$IY233*$C233/$D233</f>
        <v/>
      </c>
      <c r="JA233" s="55">
        <f>SUMIFS(tblBudget[Ore_Mined_t],tblBudget[Month],"&lt;"&amp;$E233)+$IZ233</f>
        <v/>
      </c>
      <c r="JB233" s="56">
        <f>IFERROR(IF(($IY233)&gt;0,($IV233*cfg_TroyOz)/($IY233),""),"")</f>
        <v/>
      </c>
      <c r="JC233" s="56">
        <f>IFERROR(IF(($IZ233)&gt;0,($IW233*cfg_TroyOz)/($IZ233),""),"")</f>
        <v/>
      </c>
      <c r="JD233" s="56">
        <f>IFERROR(IF(($JA233)&gt;0,($IX233*cfg_TroyOz)/($JA233),""),"")</f>
        <v/>
      </c>
      <c r="JE233" s="55">
        <f>SUMIFS(tblBudget[Waste_t],tblBudget[Month],$E233)</f>
        <v/>
      </c>
      <c r="JF233" s="55">
        <f>$JE233*$C233/$D233</f>
        <v/>
      </c>
      <c r="JG233" s="55">
        <f>SUMIFS(tblBudget[Waste_t],tblBudget[Month],"&lt;"&amp;$E233)+$JF233</f>
        <v/>
      </c>
      <c r="JH233" s="55">
        <f>SUMIFS(tblBudget[TMM_t],tblBudget[Month],$E233)</f>
        <v/>
      </c>
      <c r="JI233" s="55">
        <f>$JH233*$C233/$D233</f>
        <v/>
      </c>
      <c r="JJ233" s="55">
        <f>SUMIFS(tblBudget[TMM_t],tblBudget[Month],"&lt;"&amp;$E233)+$JI233</f>
        <v/>
      </c>
      <c r="JK233" s="56">
        <f>IFERROR(IF(($IS233)&gt;0,($JE233)/($IS233),""),"")</f>
        <v/>
      </c>
      <c r="JL233" s="56">
        <f>IFERROR(IF(($IT233)&gt;0,($JF233)/($IT233),""),"")</f>
        <v/>
      </c>
      <c r="JM233" s="56">
        <f>IFERROR(IF(($IU233)&gt;0,($JG233)/($IU233),""),"")</f>
        <v/>
      </c>
      <c r="JN233" s="55">
        <f>SUMIFS(tblBudget[Drill_m],tblBudget[Month],$E233)</f>
        <v/>
      </c>
      <c r="JO233" s="55">
        <f>$JN233*$C233/$D233</f>
        <v/>
      </c>
      <c r="JP233" s="55">
        <f>SUMIFS(tblBudget[Drill_m],tblBudget[Month],"&lt;"&amp;$E233)+$JO233</f>
        <v/>
      </c>
      <c r="JQ233" s="55">
        <f>SUMIFS(tblBudget[Diesel_L],tblBudget[Month],$E233)</f>
        <v/>
      </c>
      <c r="JR233" s="55">
        <f>$JQ233*$C233/$D233</f>
        <v/>
      </c>
      <c r="JS233" s="55">
        <f>SUMIFS(tblBudget[Diesel_L],tblBudget[Month],"&lt;"&amp;$E233)+$JR233</f>
        <v/>
      </c>
      <c r="JT233" s="55">
        <f>SUMIFS(tblBudget[Milled_t],tblBudget[Month],$E233)</f>
        <v/>
      </c>
      <c r="JU233" s="55">
        <f>$JT233*$C233/$D233</f>
        <v/>
      </c>
      <c r="JV233" s="55">
        <f>SUMIFS(tblBudget[Milled_t],tblBudget[Month],"&lt;"&amp;$E233)+$JU233</f>
        <v/>
      </c>
      <c r="JW233" s="55">
        <f>SUMIFS(tblBudget[Feed_oz],tblBudget[Month],$E233)</f>
        <v/>
      </c>
      <c r="JX233" s="55">
        <f>$JW233*$C233/$D233</f>
        <v/>
      </c>
      <c r="JY233" s="55">
        <f>SUMIFS(tblBudget[Feed_oz],tblBudget[Month],"&lt;"&amp;$E233)+$JX233</f>
        <v/>
      </c>
      <c r="JZ233" s="55">
        <f>SUMIFS(tblBudget[Recovered_oz],tblBudget[Month],$E233)</f>
        <v/>
      </c>
      <c r="KA233" s="55">
        <f>$JZ233*$C233/$D233</f>
        <v/>
      </c>
      <c r="KB233" s="55">
        <f>SUMIFS(tblBudget[Recovered_oz],tblBudget[Month],"&lt;"&amp;$E233)+$KA233</f>
        <v/>
      </c>
      <c r="KC233" s="55">
        <f>SUMIFS(tblBudget[Milled_t],tblBudget[Month],$E233)</f>
        <v/>
      </c>
      <c r="KD233" s="55">
        <f>$KC233*$C233/$D233</f>
        <v/>
      </c>
      <c r="KE233" s="55">
        <f>SUMIFS(tblBudget[Milled_t],tblBudget[Month],"&lt;"&amp;$E233)+$KD233</f>
        <v/>
      </c>
      <c r="KF233" s="55">
        <f>SUMIFS(tblBudget[Feed_oz],tblBudget[Month],$E233)</f>
        <v/>
      </c>
      <c r="KG233" s="55">
        <f>$KF233*$C233/$D233</f>
        <v/>
      </c>
      <c r="KH233" s="55">
        <f>SUMIFS(tblBudget[Feed_oz],tblBudget[Month],"&lt;"&amp;$E233)+$KG233</f>
        <v/>
      </c>
      <c r="KI233" s="56">
        <f>IFERROR(IF(($KC233)&gt;0,($JW233*cfg_TroyOz)/($KC233),""),"")</f>
        <v/>
      </c>
      <c r="KJ233" s="56">
        <f>IFERROR(IF(($KD233)&gt;0,($JX233*cfg_TroyOz)/($KD233),""),"")</f>
        <v/>
      </c>
      <c r="KK233" s="56">
        <f>IFERROR(IF(($KE233)&gt;0,($JY233*cfg_TroyOz)/($KE233),""),"")</f>
        <v/>
      </c>
      <c r="KL233" s="67">
        <f>IFERROR(IF(($KF233)&gt;0,($JZ233)/($KF233),""),"")</f>
        <v/>
      </c>
      <c r="KM233" s="67">
        <f>IFERROR(IF(($KG233)&gt;0,($KA233)/($KG233),""),"")</f>
        <v/>
      </c>
      <c r="KN233" s="67">
        <f>IFERROR(IF(($KH233)&gt;0,($KB233)/($KH233),""),"")</f>
        <v/>
      </c>
      <c r="KO233" s="55">
        <f>SUMIFS(tblBudget[Gold_Poured_oz],tblBudget[Month],$E233)</f>
        <v/>
      </c>
      <c r="KP233" s="55">
        <f>$KO233*$C233/$D233</f>
        <v/>
      </c>
      <c r="KQ233" s="55">
        <f>SUMIFS(tblBudget[Gold_Poured_oz],tblBudget[Month],"&lt;"&amp;$E233)+$KP233</f>
        <v/>
      </c>
      <c r="KR233" s="57">
        <f>SUMIFS(tblBudget[Hours_Worked],tblBudget[Month],$E233)</f>
        <v/>
      </c>
      <c r="KS233" s="57">
        <f>$KR233*$C233/$D233</f>
        <v/>
      </c>
      <c r="KT233" s="57">
        <f>SUMIFS(tblBudget[Hours_Worked],tblBudget[Month],"&lt;"&amp;$E233)+$KS233</f>
        <v/>
      </c>
    </row>
    <row r="234">
      <c r="A234" s="54" t="n">
        <v>46255</v>
      </c>
      <c r="B234">
        <f>MONTH($A234)</f>
        <v/>
      </c>
      <c r="C234">
        <f>DAY($A234)</f>
        <v/>
      </c>
      <c r="D234">
        <f>DAY(EOMONTH($A234,0))</f>
        <v/>
      </c>
      <c r="E234" s="54">
        <f>DATE(YEAR($A234),MONTH($A234),1)</f>
        <v/>
      </c>
      <c r="F234" s="55">
        <f>SUMIFS(tblMovement[Tonnes_t],tblMovement[Date],$A234,tblMovement[Is_Ore],1,tblMovement[Source_Type],"Pit")</f>
        <v/>
      </c>
      <c r="G234" s="55">
        <f>IF($B234=$B233,$G233,0)+$F234</f>
        <v/>
      </c>
      <c r="H234" s="55">
        <f>$H233+$F234</f>
        <v/>
      </c>
      <c r="I234" s="55">
        <f>SUMIFS(tblMovement[Ore_oz],tblMovement[Date],$A234,tblMovement[Source_Type],"Pit")</f>
        <v/>
      </c>
      <c r="J234" s="55">
        <f>IF($B234=$B233,$J233,0)+$I234</f>
        <v/>
      </c>
      <c r="K234" s="55">
        <f>$K233+$I234</f>
        <v/>
      </c>
      <c r="L234" s="55">
        <f>SUMIFS(tblMovement[Tonnes_t],tblMovement[Date],$A234,tblMovement[Is_Ore],1,tblMovement[Source_Type],"Pit",tblMovement[Grade_gpt],"&lt;&gt;")</f>
        <v/>
      </c>
      <c r="M234" s="55">
        <f>IF($B234=$B233,$M233,0)+$L234</f>
        <v/>
      </c>
      <c r="N234" s="55">
        <f>$N233+$L234</f>
        <v/>
      </c>
      <c r="O234" s="56">
        <f>IFERROR(IF(($L234)&gt;0,($I234*cfg_TroyOz)/($L234),""),"")</f>
        <v/>
      </c>
      <c r="P234" s="56">
        <f>IFERROR(IF(($M234)&gt;0,($J234*cfg_TroyOz)/($M234),""),"")</f>
        <v/>
      </c>
      <c r="Q234" s="56">
        <f>IFERROR(IF(($N234)&gt;0,($K234*cfg_TroyOz)/($N234),""),"")</f>
        <v/>
      </c>
      <c r="R234" s="55">
        <f>$F234-$L234</f>
        <v/>
      </c>
      <c r="S234" s="55">
        <f>IF($B234=$B233,$S233,0)+$R234</f>
        <v/>
      </c>
      <c r="T234" s="55">
        <f>$T233+$R234</f>
        <v/>
      </c>
      <c r="U234" s="55">
        <f>SUMIFS(tblMovement[Tonnes_t],tblMovement[Date],$A234,tblMovement[Is_Ore],0,tblMovement[Source_Type],"Pit")</f>
        <v/>
      </c>
      <c r="V234" s="55">
        <f>IF($B234=$B233,$V233,0)+$U234</f>
        <v/>
      </c>
      <c r="W234" s="55">
        <f>$W233+$U234</f>
        <v/>
      </c>
      <c r="X234" s="55">
        <f>$F234+$U234</f>
        <v/>
      </c>
      <c r="Y234" s="55">
        <f>IF($B234=$B233,$Y233,0)+$X234</f>
        <v/>
      </c>
      <c r="Z234" s="55">
        <f>$Z233+$X234</f>
        <v/>
      </c>
      <c r="AA234" s="56">
        <f>IFERROR(IF(($F234)&gt;0,($U234)/($F234),""),"")</f>
        <v/>
      </c>
      <c r="AB234" s="56">
        <f>IFERROR(IF(($G234)&gt;0,($V234)/($G234),""),"")</f>
        <v/>
      </c>
      <c r="AC234" s="56">
        <f>IFERROR(IF(($H234)&gt;0,($W234)/($H234),""),"")</f>
        <v/>
      </c>
      <c r="AD234" s="55">
        <f>SUMIFS(tblMovement[Tonnes_t],tblMovement[Date],$A234,tblMovement[Source_Type],"Stockpile")</f>
        <v/>
      </c>
      <c r="AE234" s="55">
        <f>IF($B234=$B233,$AE233,0)+$AD234</f>
        <v/>
      </c>
      <c r="AF234" s="55">
        <f>$AF233+$AD234</f>
        <v/>
      </c>
      <c r="AG234" s="55">
        <f>SUMIFS(tblMovement[Tonnes_t],tblMovement[Date],$A234)</f>
        <v/>
      </c>
      <c r="AH234" s="55">
        <f>IF($B234=$B233,$AH233,0)+$AG234</f>
        <v/>
      </c>
      <c r="AI234" s="55">
        <f>$AI233+$AG234</f>
        <v/>
      </c>
      <c r="AJ234" s="55">
        <f>$AG234-$X234-$AD234</f>
        <v/>
      </c>
      <c r="AK234" s="55">
        <f>IF($B234=$B233,$AK233,0)+$AJ234</f>
        <v/>
      </c>
      <c r="AL234" s="55">
        <f>$AL233+$AJ234</f>
        <v/>
      </c>
      <c r="AM234" s="55">
        <f>SUMIFS(tblMiningDaily[Drill_m],tblMiningDaily[Date],$A234)</f>
        <v/>
      </c>
      <c r="AN234" s="55">
        <f>IF($B234=$B233,$AN233,0)+$AM234</f>
        <v/>
      </c>
      <c r="AO234" s="55">
        <f>$AO233+$AM234</f>
        <v/>
      </c>
      <c r="AP234" s="55">
        <f>SUMIFS(tblMiningDaily[GC_Drill_m],tblMiningDaily[Date],$A234)</f>
        <v/>
      </c>
      <c r="AQ234" s="55">
        <f>IF($B234=$B233,$AQ233,0)+$AP234</f>
        <v/>
      </c>
      <c r="AR234" s="55">
        <f>$AR233+$AP234</f>
        <v/>
      </c>
      <c r="AS234" s="55">
        <f>SUMIFS(tblMiningDaily[Blast_t],tblMiningDaily[Date],$A234)</f>
        <v/>
      </c>
      <c r="AT234" s="55">
        <f>IF($B234=$B233,$AT233,0)+$AS234</f>
        <v/>
      </c>
      <c r="AU234" s="55">
        <f>$AU233+$AS234</f>
        <v/>
      </c>
      <c r="AV234" s="55">
        <f>SUMIFS(tblMiningDaily[Explosives_kg],tblMiningDaily[Date],$A234)</f>
        <v/>
      </c>
      <c r="AW234" s="55">
        <f>IF($B234=$B233,$AW233,0)+$AV234</f>
        <v/>
      </c>
      <c r="AX234" s="55">
        <f>$AX233+$AV234</f>
        <v/>
      </c>
      <c r="AY234" s="56">
        <f>IFERROR(IF(($AS234)&gt;0,($AV234)/($AS234),""),"")</f>
        <v/>
      </c>
      <c r="AZ234" s="56">
        <f>IFERROR(IF(($AT234)&gt;0,($AW234)/($AT234),""),"")</f>
        <v/>
      </c>
      <c r="BA234" s="56">
        <f>IFERROR(IF(($AU234)&gt;0,($AX234)/($AU234),""),"")</f>
        <v/>
      </c>
      <c r="BB234" s="55">
        <f>SUMIFS(tblMiningDaily[Diesel_L],tblMiningDaily[Date],$A234)</f>
        <v/>
      </c>
      <c r="BC234" s="55">
        <f>IF($B234=$B233,$BC233,0)+$BB234</f>
        <v/>
      </c>
      <c r="BD234" s="55">
        <f>$BD233+$BB234</f>
        <v/>
      </c>
      <c r="BE234" s="55">
        <f>SUMIFS(tblMiningDaily[Dewatering_m3],tblMiningDaily[Date],$A234)</f>
        <v/>
      </c>
      <c r="BF234" s="55">
        <f>IF($B234=$B233,$BF233,0)+$BE234</f>
        <v/>
      </c>
      <c r="BG234" s="55">
        <f>$BG233+$BE234</f>
        <v/>
      </c>
      <c r="BH234" s="57">
        <f>SUMIFS(tblFleet[Calendar_h],tblFleet[Date],$A234,tblFleet[Equipment_Class],"Excavator")</f>
        <v/>
      </c>
      <c r="BI234" s="57">
        <f>IF($B234=$B233,$BI233,0)+$BH234</f>
        <v/>
      </c>
      <c r="BJ234" s="57">
        <f>$BJ233+$BH234</f>
        <v/>
      </c>
      <c r="BK234" s="57">
        <f>SUMIFS(tblFleet[Available_h],tblFleet[Date],$A234,tblFleet[Equipment_Class],"Excavator")</f>
        <v/>
      </c>
      <c r="BL234" s="57">
        <f>IF($B234=$B233,$BL233,0)+$BK234</f>
        <v/>
      </c>
      <c r="BM234" s="57">
        <f>$BM233+$BK234</f>
        <v/>
      </c>
      <c r="BN234" s="57">
        <f>SUMIFS(tblFleet[Operating_h],tblFleet[Date],$A234,tblFleet[Equipment_Class],"Excavator")</f>
        <v/>
      </c>
      <c r="BO234" s="57">
        <f>IF($B234=$B233,$BO233,0)+$BN234</f>
        <v/>
      </c>
      <c r="BP234" s="57">
        <f>$BP233+$BN234</f>
        <v/>
      </c>
      <c r="BQ234" s="67">
        <f>IFERROR(IF(($BH234)&gt;0,($BK234)/($BH234),""),"")</f>
        <v/>
      </c>
      <c r="BR234" s="67">
        <f>IFERROR(IF(($BI234)&gt;0,($BL234)/($BI234),""),"")</f>
        <v/>
      </c>
      <c r="BS234" s="67">
        <f>IFERROR(IF(($BJ234)&gt;0,($BM234)/($BJ234),""),"")</f>
        <v/>
      </c>
      <c r="BT234" s="67">
        <f>IFERROR(IF(($BK234)&gt;0,($BN234)/($BK234),""),"")</f>
        <v/>
      </c>
      <c r="BU234" s="67">
        <f>IFERROR(IF(($BL234)&gt;0,($BO234)/($BL234),""),"")</f>
        <v/>
      </c>
      <c r="BV234" s="67">
        <f>IFERROR(IF(($BM234)&gt;0,($BP234)/($BM234),""),"")</f>
        <v/>
      </c>
      <c r="BW234" s="57">
        <f>SUMIFS(tblFleet[Calendar_h],tblFleet[Date],$A234,tblFleet[Equipment_Class],"Haul Truck")</f>
        <v/>
      </c>
      <c r="BX234" s="57">
        <f>IF($B234=$B233,$BX233,0)+$BW234</f>
        <v/>
      </c>
      <c r="BY234" s="57">
        <f>$BY233+$BW234</f>
        <v/>
      </c>
      <c r="BZ234" s="57">
        <f>SUMIFS(tblFleet[Available_h],tblFleet[Date],$A234,tblFleet[Equipment_Class],"Haul Truck")</f>
        <v/>
      </c>
      <c r="CA234" s="57">
        <f>IF($B234=$B233,$CA233,0)+$BZ234</f>
        <v/>
      </c>
      <c r="CB234" s="57">
        <f>$CB233+$BZ234</f>
        <v/>
      </c>
      <c r="CC234" s="57">
        <f>SUMIFS(tblFleet[Operating_h],tblFleet[Date],$A234,tblFleet[Equipment_Class],"Haul Truck")</f>
        <v/>
      </c>
      <c r="CD234" s="57">
        <f>IF($B234=$B233,$CD233,0)+$CC234</f>
        <v/>
      </c>
      <c r="CE234" s="57">
        <f>$CE233+$CC234</f>
        <v/>
      </c>
      <c r="CF234" s="67">
        <f>IFERROR(IF(($BW234)&gt;0,($BZ234)/($BW234),""),"")</f>
        <v/>
      </c>
      <c r="CG234" s="67">
        <f>IFERROR(IF(($BX234)&gt;0,($CA234)/($BX234),""),"")</f>
        <v/>
      </c>
      <c r="CH234" s="67">
        <f>IFERROR(IF(($BY234)&gt;0,($CB234)/($BY234),""),"")</f>
        <v/>
      </c>
      <c r="CI234" s="67">
        <f>IFERROR(IF(($BZ234)&gt;0,($CC234)/($BZ234),""),"")</f>
        <v/>
      </c>
      <c r="CJ234" s="67">
        <f>IFERROR(IF(($CA234)&gt;0,($CD234)/($CA234),""),"")</f>
        <v/>
      </c>
      <c r="CK234" s="67">
        <f>IFERROR(IF(($CB234)&gt;0,($CE234)/($CB234),""),"")</f>
        <v/>
      </c>
      <c r="CL234" s="55">
        <f>IFERROR(IF(($BN234)&gt;0,($X234+$AD234)/($BN234),""),"")</f>
        <v/>
      </c>
      <c r="CM234" s="55">
        <f>IFERROR(IF(($BO234)&gt;0,($Y234+$AE234)/($BO234),""),"")</f>
        <v/>
      </c>
      <c r="CN234" s="55">
        <f>IFERROR(IF(($BP234)&gt;0,($Z234+$AF234)/($BP234),""),"")</f>
        <v/>
      </c>
      <c r="CO234" s="55">
        <f>IFERROR(IF(($CC234)&gt;0,($X234+$AD234)/($CC234),""),"")</f>
        <v/>
      </c>
      <c r="CP234" s="55">
        <f>IFERROR(IF(($CD234)&gt;0,($Y234+$AE234)/($CD234),""),"")</f>
        <v/>
      </c>
      <c r="CQ234" s="55">
        <f>IFERROR(IF(($CE234)&gt;0,($Z234+$AF234)/($CE234),""),"")</f>
        <v/>
      </c>
      <c r="CR234" s="55">
        <f>SUMIFS(tblPlant[Crushed_t],tblPlant[Date],$A234)</f>
        <v/>
      </c>
      <c r="CS234" s="55">
        <f>IF($B234=$B233,$CS233,0)+$CR234</f>
        <v/>
      </c>
      <c r="CT234" s="55">
        <f>$CT233+$CR234</f>
        <v/>
      </c>
      <c r="CU234" s="55">
        <f>SUMIFS(tblPlant[Milled_t],tblPlant[Date],$A234)</f>
        <v/>
      </c>
      <c r="CV234" s="55">
        <f>IF($B234=$B233,$CV233,0)+$CU234</f>
        <v/>
      </c>
      <c r="CW234" s="55">
        <f>$CW233+$CU234</f>
        <v/>
      </c>
      <c r="CX234" s="55">
        <f>SUMIFS(tblPlant[Feed_oz],tblPlant[Date],$A234)</f>
        <v/>
      </c>
      <c r="CY234" s="55">
        <f>IF($B234=$B233,$CY233,0)+$CX234</f>
        <v/>
      </c>
      <c r="CZ234" s="55">
        <f>$CZ233+$CX234</f>
        <v/>
      </c>
      <c r="DA234" s="55">
        <f>SUMIFS(tblPlant[Tails_oz],tblPlant[Date],$A234)</f>
        <v/>
      </c>
      <c r="DB234" s="55">
        <f>IF($B234=$B233,$DB233,0)+$DA234</f>
        <v/>
      </c>
      <c r="DC234" s="55">
        <f>$DC233+$DA234</f>
        <v/>
      </c>
      <c r="DD234" s="55">
        <f>SUMIFS(tblPlant[Recovered_oz],tblPlant[Date],$A234)</f>
        <v/>
      </c>
      <c r="DE234" s="55">
        <f>IF($B234=$B233,$DE233,0)+$DD234</f>
        <v/>
      </c>
      <c r="DF234" s="55">
        <f>$DF233+$DD234</f>
        <v/>
      </c>
      <c r="DG234" s="55">
        <f>SUMIFS(tblPlant[Milled_t],tblPlant[Date],$A234,tblPlant[Head_Grade_gpt],"&lt;&gt;")</f>
        <v/>
      </c>
      <c r="DH234" s="55">
        <f>IF($B234=$B233,$DH233,0)+$DG234</f>
        <v/>
      </c>
      <c r="DI234" s="55">
        <f>$DI233+$DG234</f>
        <v/>
      </c>
      <c r="DJ234" s="55">
        <f>SUMIFS(tblPlant[Milled_t],tblPlant[Date],$A234,tblPlant[Tails_Grade_gpt],"&lt;&gt;")</f>
        <v/>
      </c>
      <c r="DK234" s="55">
        <f>IF($B234=$B233,$DK233,0)+$DJ234</f>
        <v/>
      </c>
      <c r="DL234" s="55">
        <f>$DL233+$DJ234</f>
        <v/>
      </c>
      <c r="DM234" s="55">
        <f>SUMIFS(tblPlant[Feed_oz],tblPlant[Date],$A234,tblPlant[Tails_Grade_gpt],"&lt;&gt;")</f>
        <v/>
      </c>
      <c r="DN234" s="55">
        <f>IF($B234=$B233,$DN233,0)+$DM234</f>
        <v/>
      </c>
      <c r="DO234" s="55">
        <f>$DO233+$DM234</f>
        <v/>
      </c>
      <c r="DP234" s="55">
        <f>SUMIFS(tblPlant[Milled_t],tblPlant[Date],$A234,tblPlant[Mill_Run_h],"&lt;&gt;")</f>
        <v/>
      </c>
      <c r="DQ234" s="55">
        <f>IF($B234=$B233,$DQ233,0)+$DP234</f>
        <v/>
      </c>
      <c r="DR234" s="55">
        <f>$DR233+$DP234</f>
        <v/>
      </c>
      <c r="DS234" s="56">
        <f>IFERROR(IF(($DG234)&gt;0,($CX234*cfg_TroyOz)/($DG234),""),"")</f>
        <v/>
      </c>
      <c r="DT234" s="56">
        <f>IFERROR(IF(($DH234)&gt;0,($CY234*cfg_TroyOz)/($DH234),""),"")</f>
        <v/>
      </c>
      <c r="DU234" s="56">
        <f>IFERROR(IF(($DI234)&gt;0,($CZ234*cfg_TroyOz)/($DI234),""),"")</f>
        <v/>
      </c>
      <c r="DV234" s="56">
        <f>IFERROR(IF(($DJ234)&gt;0,($DA234*cfg_TroyOz)/($DJ234),""),"")</f>
        <v/>
      </c>
      <c r="DW234" s="56">
        <f>IFERROR(IF(($DK234)&gt;0,($DB234*cfg_TroyOz)/($DK234),""),"")</f>
        <v/>
      </c>
      <c r="DX234" s="56">
        <f>IFERROR(IF(($DL234)&gt;0,($DC234*cfg_TroyOz)/($DL234),""),"")</f>
        <v/>
      </c>
      <c r="DY234" s="67">
        <f>IFERROR(IF(($DM234)&gt;0,($DD234)/($DM234),""),"")</f>
        <v/>
      </c>
      <c r="DZ234" s="67">
        <f>IFERROR(IF(($DN234)&gt;0,($DE234)/($DN234),""),"")</f>
        <v/>
      </c>
      <c r="EA234" s="67">
        <f>IFERROR(IF(($DO234)&gt;0,($DF234)/($DO234),""),"")</f>
        <v/>
      </c>
      <c r="EB234" s="55">
        <f>SUMIFS(tblPlant[Gravity_Gold_oz],tblPlant[Date],$A234)</f>
        <v/>
      </c>
      <c r="EC234" s="55">
        <f>IF($B234=$B233,$EC233,0)+$EB234</f>
        <v/>
      </c>
      <c r="ED234" s="55">
        <f>$ED233+$EB234</f>
        <v/>
      </c>
      <c r="EE234" s="67">
        <f>IFERROR(IF(($DD234)&gt;0,($EB234)/($DD234),""),"")</f>
        <v/>
      </c>
      <c r="EF234" s="67">
        <f>IFERROR(IF(($DE234)&gt;0,($EC234)/($DE234),""),"")</f>
        <v/>
      </c>
      <c r="EG234" s="67">
        <f>IFERROR(IF(($DF234)&gt;0,($ED234)/($DF234),""),"")</f>
        <v/>
      </c>
      <c r="EH234" s="55">
        <f>SUMIFS(tblPlant[Gold_Poured_oz],tblPlant[Date],$A234)</f>
        <v/>
      </c>
      <c r="EI234" s="55">
        <f>IF($B234=$B233,$EI233,0)+$EH234</f>
        <v/>
      </c>
      <c r="EJ234" s="55">
        <f>$EJ233+$EH234</f>
        <v/>
      </c>
      <c r="EK234" s="57">
        <f>SUMIFS(tblPlant[Mill_Run_h],tblPlant[Date],$A234)</f>
        <v/>
      </c>
      <c r="EL234" s="57">
        <f>IF($B234=$B233,$EL233,0)+$EK234</f>
        <v/>
      </c>
      <c r="EM234" s="57">
        <f>$EM233+$EK234</f>
        <v/>
      </c>
      <c r="EN234" s="57">
        <f>SUMIFS(tblPlant[Mill_Planned_Maint_h],tblPlant[Date],$A234)</f>
        <v/>
      </c>
      <c r="EO234" s="57">
        <f>IF($B234=$B233,$EO233,0)+$EN234</f>
        <v/>
      </c>
      <c r="EP234" s="57">
        <f>$EP233+$EN234</f>
        <v/>
      </c>
      <c r="EQ234" s="57">
        <f>SUMIFS(tblPlant[Mill_Unplanned_Down_h],tblPlant[Date],$A234)</f>
        <v/>
      </c>
      <c r="ER234" s="57">
        <f>IF($B234=$B233,$ER233,0)+$EQ234</f>
        <v/>
      </c>
      <c r="ES234" s="57">
        <f>$ES233+$EQ234</f>
        <v/>
      </c>
      <c r="ET234" s="57">
        <f>IF(COUNTIFS(tblPlant[Date],$A234,tblPlant[Mill_Run_h],"&lt;&gt;")+COUNTIFS(tblPlant[Date],$A234,tblPlant[Mill_Planned_Maint_h],"&lt;&gt;")+COUNTIFS(tblPlant[Date],$A234,tblPlant[Mill_Unplanned_Down_h],"&lt;&gt;")&gt;0,cfg_HoursPerDay,0)</f>
        <v/>
      </c>
      <c r="EU234" s="57">
        <f>IF($B234=$B233,$EU233,0)+$ET234</f>
        <v/>
      </c>
      <c r="EV234" s="57">
        <f>$EV233+$ET234</f>
        <v/>
      </c>
      <c r="EW234" s="57">
        <f>SUMIFS(tblPlant[Crusher_Run_h],tblPlant[Date],$A234)</f>
        <v/>
      </c>
      <c r="EX234" s="57">
        <f>IF($B234=$B233,$EX233,0)+$EW234</f>
        <v/>
      </c>
      <c r="EY234" s="57">
        <f>$EY233+$EW234</f>
        <v/>
      </c>
      <c r="EZ234" s="55">
        <f>IFERROR(IF(($EK234)&gt;0,($DP234)/($EK234),""),"")</f>
        <v/>
      </c>
      <c r="FA234" s="55">
        <f>IFERROR(IF(($EL234)&gt;0,($DQ234)/($EL234),""),"")</f>
        <v/>
      </c>
      <c r="FB234" s="55">
        <f>IFERROR(IF(($EM234)&gt;0,($DR234)/($EM234),""),"")</f>
        <v/>
      </c>
      <c r="FC234" s="67">
        <f>IFERROR(IF(($ET234)&gt;0,($ET234-$EN234-$EQ234)/($ET234),""),"")</f>
        <v/>
      </c>
      <c r="FD234" s="67">
        <f>IFERROR(IF(($EU234)&gt;0,($EU234-$EO234-$ER234)/($EU234),""),"")</f>
        <v/>
      </c>
      <c r="FE234" s="67">
        <f>IFERROR(IF(($EV234)&gt;0,($EV234-$EP234-$ES234)/($EV234),""),"")</f>
        <v/>
      </c>
      <c r="FF234" s="67">
        <f>IFERROR(IF(($ET234-$EN234-$EQ234)&gt;0,($EK234)/($ET234-$EN234-$EQ234),""),"")</f>
        <v/>
      </c>
      <c r="FG234" s="67">
        <f>IFERROR(IF(($EU234-$EO234-$ER234)&gt;0,($EL234)/($EU234-$EO234-$ER234),""),"")</f>
        <v/>
      </c>
      <c r="FH234" s="67">
        <f>IFERROR(IF(($EV234-$EP234-$ES234)&gt;0,($EM234)/($EV234-$EP234-$ES234),""),"")</f>
        <v/>
      </c>
      <c r="FI234" s="55">
        <f>SUMIFS(tblPlant[Cyanide_kg],tblPlant[Date],$A234)</f>
        <v/>
      </c>
      <c r="FJ234" s="55">
        <f>IF($B234=$B233,$FJ233,0)+$FI234</f>
        <v/>
      </c>
      <c r="FK234" s="55">
        <f>$FK233+$FI234</f>
        <v/>
      </c>
      <c r="FL234" s="55">
        <f>SUMIFS(tblPlant[Lime_kg],tblPlant[Date],$A234)</f>
        <v/>
      </c>
      <c r="FM234" s="55">
        <f>IF($B234=$B233,$FM233,0)+$FL234</f>
        <v/>
      </c>
      <c r="FN234" s="55">
        <f>$FN233+$FL234</f>
        <v/>
      </c>
      <c r="FO234" s="55">
        <f>SUMIFS(tblPlant[Grinding_Media_kg],tblPlant[Date],$A234)</f>
        <v/>
      </c>
      <c r="FP234" s="55">
        <f>IF($B234=$B233,$FP233,0)+$FO234</f>
        <v/>
      </c>
      <c r="FQ234" s="55">
        <f>$FQ233+$FO234</f>
        <v/>
      </c>
      <c r="FR234" s="55">
        <f>SUMIFS(tblPlant[Power_kWh],tblPlant[Date],$A234)</f>
        <v/>
      </c>
      <c r="FS234" s="55">
        <f>IF($B234=$B233,$FS233,0)+$FR234</f>
        <v/>
      </c>
      <c r="FT234" s="55">
        <f>$FT233+$FR234</f>
        <v/>
      </c>
      <c r="FU234" s="55">
        <f>SUMIFS(tblPlant[Raw_Water_m3],tblPlant[Date],$A234)</f>
        <v/>
      </c>
      <c r="FV234" s="55">
        <f>IF($B234=$B233,$FV233,0)+$FU234</f>
        <v/>
      </c>
      <c r="FW234" s="55">
        <f>$FW233+$FU234</f>
        <v/>
      </c>
      <c r="FX234" s="56">
        <f>IFERROR(IF(($CU234)&gt;0,($FI234)/($CU234),""),"")</f>
        <v/>
      </c>
      <c r="FY234" s="56">
        <f>IFERROR(IF(($CV234)&gt;0,($FJ234)/($CV234),""),"")</f>
        <v/>
      </c>
      <c r="FZ234" s="56">
        <f>IFERROR(IF(($CW234)&gt;0,($FK234)/($CW234),""),"")</f>
        <v/>
      </c>
      <c r="GA234" s="56">
        <f>IFERROR(IF(($CU234)&gt;0,($FL234)/($CU234),""),"")</f>
        <v/>
      </c>
      <c r="GB234" s="56">
        <f>IFERROR(IF(($CV234)&gt;0,($FM234)/($CV234),""),"")</f>
        <v/>
      </c>
      <c r="GC234" s="56">
        <f>IFERROR(IF(($CW234)&gt;0,($FN234)/($CW234),""),"")</f>
        <v/>
      </c>
      <c r="GD234" s="56">
        <f>IFERROR(IF(($CU234)&gt;0,($FO234)/($CU234),""),"")</f>
        <v/>
      </c>
      <c r="GE234" s="56">
        <f>IFERROR(IF(($CV234)&gt;0,($FP234)/($CV234),""),"")</f>
        <v/>
      </c>
      <c r="GF234" s="56">
        <f>IFERROR(IF(($CW234)&gt;0,($FQ234)/($CW234),""),"")</f>
        <v/>
      </c>
      <c r="GG234" s="79">
        <f>IFERROR(IF(($CU234)&gt;0,($FR234)/($CU234),""),"")</f>
        <v/>
      </c>
      <c r="GH234" s="79">
        <f>IFERROR(IF(($CV234)&gt;0,($FS234)/($CV234),""),"")</f>
        <v/>
      </c>
      <c r="GI234" s="79">
        <f>IFERROR(IF(($CW234)&gt;0,($FT234)/($CW234),""),"")</f>
        <v/>
      </c>
      <c r="GJ234" s="56">
        <f>IFERROR(IF(($CU234)&gt;0,($FU234)/($CU234),""),"")</f>
        <v/>
      </c>
      <c r="GK234" s="56">
        <f>IFERROR(IF(($CV234)&gt;0,($FV234)/($CV234),""),"")</f>
        <v/>
      </c>
      <c r="GL234" s="56">
        <f>IFERROR(IF(($CW234)&gt;0,($FW234)/($CW234),""),"")</f>
        <v/>
      </c>
      <c r="GM234" s="55">
        <f>IF(SUMIFS(tblPlant[GIC_oz],tblPlant[Date],$A234)&gt;0,SUMIFS(tblPlant[GIC_oz],tblPlant[Date],$A234),"")</f>
        <v/>
      </c>
      <c r="GN234" s="55">
        <f>SUMIFS(tblGold[Gold_oz],tblGold[Date],$A234,tblGold[Type],"Shipment")</f>
        <v/>
      </c>
      <c r="GO234" s="55">
        <f>IF($B234=$B233,$GO233,0)+$GN234</f>
        <v/>
      </c>
      <c r="GP234" s="55">
        <f>$GP233+$GN234</f>
        <v/>
      </c>
      <c r="GQ234" s="55">
        <f>SUMIFS(tblGold[Gold_oz],tblGold[Date],$A234,tblGold[Type],"Sale")</f>
        <v/>
      </c>
      <c r="GR234" s="55">
        <f>IF($B234=$B233,$GR233,0)+$GQ234</f>
        <v/>
      </c>
      <c r="GS234" s="55">
        <f>$GS233+$GQ234</f>
        <v/>
      </c>
      <c r="GT234" s="55">
        <f>SUMIFS(tblGold[Dore_kg],tblGold[Date],$A234,tblGold[Type],"Shipment")</f>
        <v/>
      </c>
      <c r="GU234" s="55">
        <f>IF($B234=$B233,$GU233,0)+$GT234</f>
        <v/>
      </c>
      <c r="GV234" s="55">
        <f>$GV233+$GT234</f>
        <v/>
      </c>
      <c r="GW234" s="57">
        <f>SUMIFS(tblSafety[Hours_Total],tblSafety[Date],$A234)</f>
        <v/>
      </c>
      <c r="GX234" s="57">
        <f>IF($B234=$B233,$GX233,0)+$GW234</f>
        <v/>
      </c>
      <c r="GY234" s="57">
        <f>$GY233+$GW234</f>
        <v/>
      </c>
      <c r="GZ234" s="62">
        <f>SUMIFS(tblSafety[Fatality],tblSafety[Date],$A234)</f>
        <v/>
      </c>
      <c r="HA234" s="62">
        <f>IF($B234=$B233,$HA233,0)+$GZ234</f>
        <v/>
      </c>
      <c r="HB234" s="62">
        <f>$HB233+$GZ234</f>
        <v/>
      </c>
      <c r="HC234" s="62">
        <f>SUMIFS(tblSafety[LTI],tblSafety[Date],$A234)</f>
        <v/>
      </c>
      <c r="HD234" s="62">
        <f>IF($B234=$B233,$HD233,0)+$HC234</f>
        <v/>
      </c>
      <c r="HE234" s="62">
        <f>$HE233+$HC234</f>
        <v/>
      </c>
      <c r="HF234" s="62">
        <f>SUMIFS(tblSafety[RWI],tblSafety[Date],$A234)</f>
        <v/>
      </c>
      <c r="HG234" s="62">
        <f>IF($B234=$B233,$HG233,0)+$HF234</f>
        <v/>
      </c>
      <c r="HH234" s="62">
        <f>$HH233+$HF234</f>
        <v/>
      </c>
      <c r="HI234" s="62">
        <f>SUMIFS(tblSafety[MTI],tblSafety[Date],$A234)</f>
        <v/>
      </c>
      <c r="HJ234" s="62">
        <f>IF($B234=$B233,$HJ233,0)+$HI234</f>
        <v/>
      </c>
      <c r="HK234" s="62">
        <f>$HK233+$HI234</f>
        <v/>
      </c>
      <c r="HL234" s="62">
        <f>SUMIFS(tblSafety[FAI],tblSafety[Date],$A234)</f>
        <v/>
      </c>
      <c r="HM234" s="62">
        <f>IF($B234=$B233,$HM233,0)+$HL234</f>
        <v/>
      </c>
      <c r="HN234" s="62">
        <f>$HN233+$HL234</f>
        <v/>
      </c>
      <c r="HO234" s="62">
        <f>SUMIFS(tblSafety[Recordables],tblSafety[Date],$A234)</f>
        <v/>
      </c>
      <c r="HP234" s="62">
        <f>IF($B234=$B233,$HP233,0)+$HO234</f>
        <v/>
      </c>
      <c r="HQ234" s="62">
        <f>$HQ233+$HO234</f>
        <v/>
      </c>
      <c r="HR234" s="62">
        <f>SUMIFS(tblSafety[Near_Miss],tblSafety[Date],$A234)</f>
        <v/>
      </c>
      <c r="HS234" s="62">
        <f>IF($B234=$B233,$HS233,0)+$HR234</f>
        <v/>
      </c>
      <c r="HT234" s="62">
        <f>$HT233+$HR234</f>
        <v/>
      </c>
      <c r="HU234" s="62">
        <f>SUMIFS(tblSafety[Hazard_Reports],tblSafety[Date],$A234)</f>
        <v/>
      </c>
      <c r="HV234" s="62">
        <f>IF($B234=$B233,$HV233,0)+$HU234</f>
        <v/>
      </c>
      <c r="HW234" s="62">
        <f>$HW233+$HU234</f>
        <v/>
      </c>
      <c r="HX234" s="62">
        <f>SUMIFS(tblSafety[HPI],tblSafety[Date],$A234)</f>
        <v/>
      </c>
      <c r="HY234" s="62">
        <f>IF($B234=$B233,$HY233,0)+$HX234</f>
        <v/>
      </c>
      <c r="HZ234" s="62">
        <f>$HZ233+$HX234</f>
        <v/>
      </c>
      <c r="IA234" s="62">
        <f>SUMIFS(tblSafety[Env_Incidents],tblSafety[Date],$A234)</f>
        <v/>
      </c>
      <c r="IB234" s="62">
        <f>IF($B234=$B233,$IB233,0)+$IA234</f>
        <v/>
      </c>
      <c r="IC234" s="62">
        <f>$IC233+$IA234</f>
        <v/>
      </c>
      <c r="ID234" s="62">
        <f>SUMIFS(tblSafety[Community_Incidents],tblSafety[Date],$A234)</f>
        <v/>
      </c>
      <c r="IE234" s="62">
        <f>IF($B234=$B233,$IE233,0)+$ID234</f>
        <v/>
      </c>
      <c r="IF234" s="62">
        <f>$IF233+$ID234</f>
        <v/>
      </c>
      <c r="IG234" s="62">
        <f>SUMIFS(tblSafety[Vehicle_Incidents],tblSafety[Date],$A234)</f>
        <v/>
      </c>
      <c r="IH234" s="62">
        <f>IF($B234=$B233,$IH233,0)+$IG234</f>
        <v/>
      </c>
      <c r="II234" s="62">
        <f>$II233+$IG234</f>
        <v/>
      </c>
      <c r="IJ234" s="62">
        <f>SUMIFS(tblSafety[Toolbox_Talks],tblSafety[Date],$A234)</f>
        <v/>
      </c>
      <c r="IK234" s="62">
        <f>IF($B234=$B233,$IK233,0)+$IJ234</f>
        <v/>
      </c>
      <c r="IL234" s="62">
        <f>$IL233+$IJ234</f>
        <v/>
      </c>
      <c r="IM234" s="62">
        <f>SUMIFS(tblSafety[Inspections],tblSafety[Date],$A234)</f>
        <v/>
      </c>
      <c r="IN234" s="62">
        <f>IF($B234=$B233,$IN233,0)+$IM234</f>
        <v/>
      </c>
      <c r="IO234" s="62">
        <f>$IO233+$IM234</f>
        <v/>
      </c>
      <c r="IP234" s="56">
        <f>IFERROR((SUMIFS(tblSafety[Recordables],tblSafety[Date],"&gt;="&amp;EDATE($E234,-12),tblSafety[Date],"&lt;="&amp;$A234)+SUMIFS(tblSafetyHistory[Recordables],tblSafetyHistory[Month],"&gt;="&amp;EDATE($E234,-12),tblSafetyHistory[Month],"&lt;"&amp;$E234,tblSafetyHistory[Use],1))/(SUMIFS(tblSafety[Hours_Total],tblSafety[Date],"&gt;="&amp;EDATE($E234,-12),tblSafety[Date],"&lt;="&amp;$A234)+SUMIFS(tblSafetyHistory[Hours_Total],tblSafetyHistory[Month],"&gt;="&amp;EDATE($E234,-12),tblSafetyHistory[Month],"&lt;"&amp;$E234,tblSafetyHistory[Use],1))*cfg_RateBasisHours,"")</f>
        <v/>
      </c>
      <c r="IQ234" s="56">
        <f>IFERROR((SUMIFS(tblSafety[LTI],tblSafety[Date],"&gt;="&amp;EDATE($E234,-12),tblSafety[Date],"&lt;="&amp;$A234)+SUMIFS(tblSafetyHistory[LTI],tblSafetyHistory[Month],"&gt;="&amp;EDATE($E234,-12),tblSafetyHistory[Month],"&lt;"&amp;$E234,tblSafetyHistory[Use],1))/(SUMIFS(tblSafety[Hours_Total],tblSafety[Date],"&gt;="&amp;EDATE($E234,-12),tblSafety[Date],"&lt;="&amp;$A234)+SUMIFS(tblSafetyHistory[Hours_Total],tblSafetyHistory[Month],"&gt;="&amp;EDATE($E234,-12),tblSafetyHistory[Month],"&lt;"&amp;$E234,tblSafetyHistory[Use],1))*cfg_RateBasisHours,"")</f>
        <v/>
      </c>
      <c r="IR234" s="62">
        <f>IF(MAX(N(cfg_PriorLTIDate),_xlfn.MAXIFS(tblSafety[Date],tblSafety[LTI],"&gt;0",tblSafety[Date],"&lt;="&amp;$A234))=0,"",$A234-MAX(N(cfg_PriorLTIDate),_xlfn.MAXIFS(tblSafety[Date],tblSafety[LTI],"&gt;0",tblSafety[Date],"&lt;="&amp;$A234)))</f>
        <v/>
      </c>
      <c r="IS234" s="55">
        <f>SUMIFS(tblBudget[Ore_Mined_t],tblBudget[Month],$E234)</f>
        <v/>
      </c>
      <c r="IT234" s="55">
        <f>$IS234*$C234/$D234</f>
        <v/>
      </c>
      <c r="IU234" s="55">
        <f>SUMIFS(tblBudget[Ore_Mined_t],tblBudget[Month],"&lt;"&amp;$E234)+$IT234</f>
        <v/>
      </c>
      <c r="IV234" s="55">
        <f>SUMIFS(tblBudget[Ore_oz],tblBudget[Month],$E234)</f>
        <v/>
      </c>
      <c r="IW234" s="55">
        <f>$IV234*$C234/$D234</f>
        <v/>
      </c>
      <c r="IX234" s="55">
        <f>SUMIFS(tblBudget[Ore_oz],tblBudget[Month],"&lt;"&amp;$E234)+$IW234</f>
        <v/>
      </c>
      <c r="IY234" s="55">
        <f>SUMIFS(tblBudget[Ore_Mined_t],tblBudget[Month],$E234)</f>
        <v/>
      </c>
      <c r="IZ234" s="55">
        <f>$IY234*$C234/$D234</f>
        <v/>
      </c>
      <c r="JA234" s="55">
        <f>SUMIFS(tblBudget[Ore_Mined_t],tblBudget[Month],"&lt;"&amp;$E234)+$IZ234</f>
        <v/>
      </c>
      <c r="JB234" s="56">
        <f>IFERROR(IF(($IY234)&gt;0,($IV234*cfg_TroyOz)/($IY234),""),"")</f>
        <v/>
      </c>
      <c r="JC234" s="56">
        <f>IFERROR(IF(($IZ234)&gt;0,($IW234*cfg_TroyOz)/($IZ234),""),"")</f>
        <v/>
      </c>
      <c r="JD234" s="56">
        <f>IFERROR(IF(($JA234)&gt;0,($IX234*cfg_TroyOz)/($JA234),""),"")</f>
        <v/>
      </c>
      <c r="JE234" s="55">
        <f>SUMIFS(tblBudget[Waste_t],tblBudget[Month],$E234)</f>
        <v/>
      </c>
      <c r="JF234" s="55">
        <f>$JE234*$C234/$D234</f>
        <v/>
      </c>
      <c r="JG234" s="55">
        <f>SUMIFS(tblBudget[Waste_t],tblBudget[Month],"&lt;"&amp;$E234)+$JF234</f>
        <v/>
      </c>
      <c r="JH234" s="55">
        <f>SUMIFS(tblBudget[TMM_t],tblBudget[Month],$E234)</f>
        <v/>
      </c>
      <c r="JI234" s="55">
        <f>$JH234*$C234/$D234</f>
        <v/>
      </c>
      <c r="JJ234" s="55">
        <f>SUMIFS(tblBudget[TMM_t],tblBudget[Month],"&lt;"&amp;$E234)+$JI234</f>
        <v/>
      </c>
      <c r="JK234" s="56">
        <f>IFERROR(IF(($IS234)&gt;0,($JE234)/($IS234),""),"")</f>
        <v/>
      </c>
      <c r="JL234" s="56">
        <f>IFERROR(IF(($IT234)&gt;0,($JF234)/($IT234),""),"")</f>
        <v/>
      </c>
      <c r="JM234" s="56">
        <f>IFERROR(IF(($IU234)&gt;0,($JG234)/($IU234),""),"")</f>
        <v/>
      </c>
      <c r="JN234" s="55">
        <f>SUMIFS(tblBudget[Drill_m],tblBudget[Month],$E234)</f>
        <v/>
      </c>
      <c r="JO234" s="55">
        <f>$JN234*$C234/$D234</f>
        <v/>
      </c>
      <c r="JP234" s="55">
        <f>SUMIFS(tblBudget[Drill_m],tblBudget[Month],"&lt;"&amp;$E234)+$JO234</f>
        <v/>
      </c>
      <c r="JQ234" s="55">
        <f>SUMIFS(tblBudget[Diesel_L],tblBudget[Month],$E234)</f>
        <v/>
      </c>
      <c r="JR234" s="55">
        <f>$JQ234*$C234/$D234</f>
        <v/>
      </c>
      <c r="JS234" s="55">
        <f>SUMIFS(tblBudget[Diesel_L],tblBudget[Month],"&lt;"&amp;$E234)+$JR234</f>
        <v/>
      </c>
      <c r="JT234" s="55">
        <f>SUMIFS(tblBudget[Milled_t],tblBudget[Month],$E234)</f>
        <v/>
      </c>
      <c r="JU234" s="55">
        <f>$JT234*$C234/$D234</f>
        <v/>
      </c>
      <c r="JV234" s="55">
        <f>SUMIFS(tblBudget[Milled_t],tblBudget[Month],"&lt;"&amp;$E234)+$JU234</f>
        <v/>
      </c>
      <c r="JW234" s="55">
        <f>SUMIFS(tblBudget[Feed_oz],tblBudget[Month],$E234)</f>
        <v/>
      </c>
      <c r="JX234" s="55">
        <f>$JW234*$C234/$D234</f>
        <v/>
      </c>
      <c r="JY234" s="55">
        <f>SUMIFS(tblBudget[Feed_oz],tblBudget[Month],"&lt;"&amp;$E234)+$JX234</f>
        <v/>
      </c>
      <c r="JZ234" s="55">
        <f>SUMIFS(tblBudget[Recovered_oz],tblBudget[Month],$E234)</f>
        <v/>
      </c>
      <c r="KA234" s="55">
        <f>$JZ234*$C234/$D234</f>
        <v/>
      </c>
      <c r="KB234" s="55">
        <f>SUMIFS(tblBudget[Recovered_oz],tblBudget[Month],"&lt;"&amp;$E234)+$KA234</f>
        <v/>
      </c>
      <c r="KC234" s="55">
        <f>SUMIFS(tblBudget[Milled_t],tblBudget[Month],$E234)</f>
        <v/>
      </c>
      <c r="KD234" s="55">
        <f>$KC234*$C234/$D234</f>
        <v/>
      </c>
      <c r="KE234" s="55">
        <f>SUMIFS(tblBudget[Milled_t],tblBudget[Month],"&lt;"&amp;$E234)+$KD234</f>
        <v/>
      </c>
      <c r="KF234" s="55">
        <f>SUMIFS(tblBudget[Feed_oz],tblBudget[Month],$E234)</f>
        <v/>
      </c>
      <c r="KG234" s="55">
        <f>$KF234*$C234/$D234</f>
        <v/>
      </c>
      <c r="KH234" s="55">
        <f>SUMIFS(tblBudget[Feed_oz],tblBudget[Month],"&lt;"&amp;$E234)+$KG234</f>
        <v/>
      </c>
      <c r="KI234" s="56">
        <f>IFERROR(IF(($KC234)&gt;0,($JW234*cfg_TroyOz)/($KC234),""),"")</f>
        <v/>
      </c>
      <c r="KJ234" s="56">
        <f>IFERROR(IF(($KD234)&gt;0,($JX234*cfg_TroyOz)/($KD234),""),"")</f>
        <v/>
      </c>
      <c r="KK234" s="56">
        <f>IFERROR(IF(($KE234)&gt;0,($JY234*cfg_TroyOz)/($KE234),""),"")</f>
        <v/>
      </c>
      <c r="KL234" s="67">
        <f>IFERROR(IF(($KF234)&gt;0,($JZ234)/($KF234),""),"")</f>
        <v/>
      </c>
      <c r="KM234" s="67">
        <f>IFERROR(IF(($KG234)&gt;0,($KA234)/($KG234),""),"")</f>
        <v/>
      </c>
      <c r="KN234" s="67">
        <f>IFERROR(IF(($KH234)&gt;0,($KB234)/($KH234),""),"")</f>
        <v/>
      </c>
      <c r="KO234" s="55">
        <f>SUMIFS(tblBudget[Gold_Poured_oz],tblBudget[Month],$E234)</f>
        <v/>
      </c>
      <c r="KP234" s="55">
        <f>$KO234*$C234/$D234</f>
        <v/>
      </c>
      <c r="KQ234" s="55">
        <f>SUMIFS(tblBudget[Gold_Poured_oz],tblBudget[Month],"&lt;"&amp;$E234)+$KP234</f>
        <v/>
      </c>
      <c r="KR234" s="57">
        <f>SUMIFS(tblBudget[Hours_Worked],tblBudget[Month],$E234)</f>
        <v/>
      </c>
      <c r="KS234" s="57">
        <f>$KR234*$C234/$D234</f>
        <v/>
      </c>
      <c r="KT234" s="57">
        <f>SUMIFS(tblBudget[Hours_Worked],tblBudget[Month],"&lt;"&amp;$E234)+$KS234</f>
        <v/>
      </c>
    </row>
    <row r="235">
      <c r="A235" s="54" t="n">
        <v>46256</v>
      </c>
      <c r="B235">
        <f>MONTH($A235)</f>
        <v/>
      </c>
      <c r="C235">
        <f>DAY($A235)</f>
        <v/>
      </c>
      <c r="D235">
        <f>DAY(EOMONTH($A235,0))</f>
        <v/>
      </c>
      <c r="E235" s="54">
        <f>DATE(YEAR($A235),MONTH($A235),1)</f>
        <v/>
      </c>
      <c r="F235" s="55">
        <f>SUMIFS(tblMovement[Tonnes_t],tblMovement[Date],$A235,tblMovement[Is_Ore],1,tblMovement[Source_Type],"Pit")</f>
        <v/>
      </c>
      <c r="G235" s="55">
        <f>IF($B235=$B234,$G234,0)+$F235</f>
        <v/>
      </c>
      <c r="H235" s="55">
        <f>$H234+$F235</f>
        <v/>
      </c>
      <c r="I235" s="55">
        <f>SUMIFS(tblMovement[Ore_oz],tblMovement[Date],$A235,tblMovement[Source_Type],"Pit")</f>
        <v/>
      </c>
      <c r="J235" s="55">
        <f>IF($B235=$B234,$J234,0)+$I235</f>
        <v/>
      </c>
      <c r="K235" s="55">
        <f>$K234+$I235</f>
        <v/>
      </c>
      <c r="L235" s="55">
        <f>SUMIFS(tblMovement[Tonnes_t],tblMovement[Date],$A235,tblMovement[Is_Ore],1,tblMovement[Source_Type],"Pit",tblMovement[Grade_gpt],"&lt;&gt;")</f>
        <v/>
      </c>
      <c r="M235" s="55">
        <f>IF($B235=$B234,$M234,0)+$L235</f>
        <v/>
      </c>
      <c r="N235" s="55">
        <f>$N234+$L235</f>
        <v/>
      </c>
      <c r="O235" s="56">
        <f>IFERROR(IF(($L235)&gt;0,($I235*cfg_TroyOz)/($L235),""),"")</f>
        <v/>
      </c>
      <c r="P235" s="56">
        <f>IFERROR(IF(($M235)&gt;0,($J235*cfg_TroyOz)/($M235),""),"")</f>
        <v/>
      </c>
      <c r="Q235" s="56">
        <f>IFERROR(IF(($N235)&gt;0,($K235*cfg_TroyOz)/($N235),""),"")</f>
        <v/>
      </c>
      <c r="R235" s="55">
        <f>$F235-$L235</f>
        <v/>
      </c>
      <c r="S235" s="55">
        <f>IF($B235=$B234,$S234,0)+$R235</f>
        <v/>
      </c>
      <c r="T235" s="55">
        <f>$T234+$R235</f>
        <v/>
      </c>
      <c r="U235" s="55">
        <f>SUMIFS(tblMovement[Tonnes_t],tblMovement[Date],$A235,tblMovement[Is_Ore],0,tblMovement[Source_Type],"Pit")</f>
        <v/>
      </c>
      <c r="V235" s="55">
        <f>IF($B235=$B234,$V234,0)+$U235</f>
        <v/>
      </c>
      <c r="W235" s="55">
        <f>$W234+$U235</f>
        <v/>
      </c>
      <c r="X235" s="55">
        <f>$F235+$U235</f>
        <v/>
      </c>
      <c r="Y235" s="55">
        <f>IF($B235=$B234,$Y234,0)+$X235</f>
        <v/>
      </c>
      <c r="Z235" s="55">
        <f>$Z234+$X235</f>
        <v/>
      </c>
      <c r="AA235" s="56">
        <f>IFERROR(IF(($F235)&gt;0,($U235)/($F235),""),"")</f>
        <v/>
      </c>
      <c r="AB235" s="56">
        <f>IFERROR(IF(($G235)&gt;0,($V235)/($G235),""),"")</f>
        <v/>
      </c>
      <c r="AC235" s="56">
        <f>IFERROR(IF(($H235)&gt;0,($W235)/($H235),""),"")</f>
        <v/>
      </c>
      <c r="AD235" s="55">
        <f>SUMIFS(tblMovement[Tonnes_t],tblMovement[Date],$A235,tblMovement[Source_Type],"Stockpile")</f>
        <v/>
      </c>
      <c r="AE235" s="55">
        <f>IF($B235=$B234,$AE234,0)+$AD235</f>
        <v/>
      </c>
      <c r="AF235" s="55">
        <f>$AF234+$AD235</f>
        <v/>
      </c>
      <c r="AG235" s="55">
        <f>SUMIFS(tblMovement[Tonnes_t],tblMovement[Date],$A235)</f>
        <v/>
      </c>
      <c r="AH235" s="55">
        <f>IF($B235=$B234,$AH234,0)+$AG235</f>
        <v/>
      </c>
      <c r="AI235" s="55">
        <f>$AI234+$AG235</f>
        <v/>
      </c>
      <c r="AJ235" s="55">
        <f>$AG235-$X235-$AD235</f>
        <v/>
      </c>
      <c r="AK235" s="55">
        <f>IF($B235=$B234,$AK234,0)+$AJ235</f>
        <v/>
      </c>
      <c r="AL235" s="55">
        <f>$AL234+$AJ235</f>
        <v/>
      </c>
      <c r="AM235" s="55">
        <f>SUMIFS(tblMiningDaily[Drill_m],tblMiningDaily[Date],$A235)</f>
        <v/>
      </c>
      <c r="AN235" s="55">
        <f>IF($B235=$B234,$AN234,0)+$AM235</f>
        <v/>
      </c>
      <c r="AO235" s="55">
        <f>$AO234+$AM235</f>
        <v/>
      </c>
      <c r="AP235" s="55">
        <f>SUMIFS(tblMiningDaily[GC_Drill_m],tblMiningDaily[Date],$A235)</f>
        <v/>
      </c>
      <c r="AQ235" s="55">
        <f>IF($B235=$B234,$AQ234,0)+$AP235</f>
        <v/>
      </c>
      <c r="AR235" s="55">
        <f>$AR234+$AP235</f>
        <v/>
      </c>
      <c r="AS235" s="55">
        <f>SUMIFS(tblMiningDaily[Blast_t],tblMiningDaily[Date],$A235)</f>
        <v/>
      </c>
      <c r="AT235" s="55">
        <f>IF($B235=$B234,$AT234,0)+$AS235</f>
        <v/>
      </c>
      <c r="AU235" s="55">
        <f>$AU234+$AS235</f>
        <v/>
      </c>
      <c r="AV235" s="55">
        <f>SUMIFS(tblMiningDaily[Explosives_kg],tblMiningDaily[Date],$A235)</f>
        <v/>
      </c>
      <c r="AW235" s="55">
        <f>IF($B235=$B234,$AW234,0)+$AV235</f>
        <v/>
      </c>
      <c r="AX235" s="55">
        <f>$AX234+$AV235</f>
        <v/>
      </c>
      <c r="AY235" s="56">
        <f>IFERROR(IF(($AS235)&gt;0,($AV235)/($AS235),""),"")</f>
        <v/>
      </c>
      <c r="AZ235" s="56">
        <f>IFERROR(IF(($AT235)&gt;0,($AW235)/($AT235),""),"")</f>
        <v/>
      </c>
      <c r="BA235" s="56">
        <f>IFERROR(IF(($AU235)&gt;0,($AX235)/($AU235),""),"")</f>
        <v/>
      </c>
      <c r="BB235" s="55">
        <f>SUMIFS(tblMiningDaily[Diesel_L],tblMiningDaily[Date],$A235)</f>
        <v/>
      </c>
      <c r="BC235" s="55">
        <f>IF($B235=$B234,$BC234,0)+$BB235</f>
        <v/>
      </c>
      <c r="BD235" s="55">
        <f>$BD234+$BB235</f>
        <v/>
      </c>
      <c r="BE235" s="55">
        <f>SUMIFS(tblMiningDaily[Dewatering_m3],tblMiningDaily[Date],$A235)</f>
        <v/>
      </c>
      <c r="BF235" s="55">
        <f>IF($B235=$B234,$BF234,0)+$BE235</f>
        <v/>
      </c>
      <c r="BG235" s="55">
        <f>$BG234+$BE235</f>
        <v/>
      </c>
      <c r="BH235" s="57">
        <f>SUMIFS(tblFleet[Calendar_h],tblFleet[Date],$A235,tblFleet[Equipment_Class],"Excavator")</f>
        <v/>
      </c>
      <c r="BI235" s="57">
        <f>IF($B235=$B234,$BI234,0)+$BH235</f>
        <v/>
      </c>
      <c r="BJ235" s="57">
        <f>$BJ234+$BH235</f>
        <v/>
      </c>
      <c r="BK235" s="57">
        <f>SUMIFS(tblFleet[Available_h],tblFleet[Date],$A235,tblFleet[Equipment_Class],"Excavator")</f>
        <v/>
      </c>
      <c r="BL235" s="57">
        <f>IF($B235=$B234,$BL234,0)+$BK235</f>
        <v/>
      </c>
      <c r="BM235" s="57">
        <f>$BM234+$BK235</f>
        <v/>
      </c>
      <c r="BN235" s="57">
        <f>SUMIFS(tblFleet[Operating_h],tblFleet[Date],$A235,tblFleet[Equipment_Class],"Excavator")</f>
        <v/>
      </c>
      <c r="BO235" s="57">
        <f>IF($B235=$B234,$BO234,0)+$BN235</f>
        <v/>
      </c>
      <c r="BP235" s="57">
        <f>$BP234+$BN235</f>
        <v/>
      </c>
      <c r="BQ235" s="67">
        <f>IFERROR(IF(($BH235)&gt;0,($BK235)/($BH235),""),"")</f>
        <v/>
      </c>
      <c r="BR235" s="67">
        <f>IFERROR(IF(($BI235)&gt;0,($BL235)/($BI235),""),"")</f>
        <v/>
      </c>
      <c r="BS235" s="67">
        <f>IFERROR(IF(($BJ235)&gt;0,($BM235)/($BJ235),""),"")</f>
        <v/>
      </c>
      <c r="BT235" s="67">
        <f>IFERROR(IF(($BK235)&gt;0,($BN235)/($BK235),""),"")</f>
        <v/>
      </c>
      <c r="BU235" s="67">
        <f>IFERROR(IF(($BL235)&gt;0,($BO235)/($BL235),""),"")</f>
        <v/>
      </c>
      <c r="BV235" s="67">
        <f>IFERROR(IF(($BM235)&gt;0,($BP235)/($BM235),""),"")</f>
        <v/>
      </c>
      <c r="BW235" s="57">
        <f>SUMIFS(tblFleet[Calendar_h],tblFleet[Date],$A235,tblFleet[Equipment_Class],"Haul Truck")</f>
        <v/>
      </c>
      <c r="BX235" s="57">
        <f>IF($B235=$B234,$BX234,0)+$BW235</f>
        <v/>
      </c>
      <c r="BY235" s="57">
        <f>$BY234+$BW235</f>
        <v/>
      </c>
      <c r="BZ235" s="57">
        <f>SUMIFS(tblFleet[Available_h],tblFleet[Date],$A235,tblFleet[Equipment_Class],"Haul Truck")</f>
        <v/>
      </c>
      <c r="CA235" s="57">
        <f>IF($B235=$B234,$CA234,0)+$BZ235</f>
        <v/>
      </c>
      <c r="CB235" s="57">
        <f>$CB234+$BZ235</f>
        <v/>
      </c>
      <c r="CC235" s="57">
        <f>SUMIFS(tblFleet[Operating_h],tblFleet[Date],$A235,tblFleet[Equipment_Class],"Haul Truck")</f>
        <v/>
      </c>
      <c r="CD235" s="57">
        <f>IF($B235=$B234,$CD234,0)+$CC235</f>
        <v/>
      </c>
      <c r="CE235" s="57">
        <f>$CE234+$CC235</f>
        <v/>
      </c>
      <c r="CF235" s="67">
        <f>IFERROR(IF(($BW235)&gt;0,($BZ235)/($BW235),""),"")</f>
        <v/>
      </c>
      <c r="CG235" s="67">
        <f>IFERROR(IF(($BX235)&gt;0,($CA235)/($BX235),""),"")</f>
        <v/>
      </c>
      <c r="CH235" s="67">
        <f>IFERROR(IF(($BY235)&gt;0,($CB235)/($BY235),""),"")</f>
        <v/>
      </c>
      <c r="CI235" s="67">
        <f>IFERROR(IF(($BZ235)&gt;0,($CC235)/($BZ235),""),"")</f>
        <v/>
      </c>
      <c r="CJ235" s="67">
        <f>IFERROR(IF(($CA235)&gt;0,($CD235)/($CA235),""),"")</f>
        <v/>
      </c>
      <c r="CK235" s="67">
        <f>IFERROR(IF(($CB235)&gt;0,($CE235)/($CB235),""),"")</f>
        <v/>
      </c>
      <c r="CL235" s="55">
        <f>IFERROR(IF(($BN235)&gt;0,($X235+$AD235)/($BN235),""),"")</f>
        <v/>
      </c>
      <c r="CM235" s="55">
        <f>IFERROR(IF(($BO235)&gt;0,($Y235+$AE235)/($BO235),""),"")</f>
        <v/>
      </c>
      <c r="CN235" s="55">
        <f>IFERROR(IF(($BP235)&gt;0,($Z235+$AF235)/($BP235),""),"")</f>
        <v/>
      </c>
      <c r="CO235" s="55">
        <f>IFERROR(IF(($CC235)&gt;0,($X235+$AD235)/($CC235),""),"")</f>
        <v/>
      </c>
      <c r="CP235" s="55">
        <f>IFERROR(IF(($CD235)&gt;0,($Y235+$AE235)/($CD235),""),"")</f>
        <v/>
      </c>
      <c r="CQ235" s="55">
        <f>IFERROR(IF(($CE235)&gt;0,($Z235+$AF235)/($CE235),""),"")</f>
        <v/>
      </c>
      <c r="CR235" s="55">
        <f>SUMIFS(tblPlant[Crushed_t],tblPlant[Date],$A235)</f>
        <v/>
      </c>
      <c r="CS235" s="55">
        <f>IF($B235=$B234,$CS234,0)+$CR235</f>
        <v/>
      </c>
      <c r="CT235" s="55">
        <f>$CT234+$CR235</f>
        <v/>
      </c>
      <c r="CU235" s="55">
        <f>SUMIFS(tblPlant[Milled_t],tblPlant[Date],$A235)</f>
        <v/>
      </c>
      <c r="CV235" s="55">
        <f>IF($B235=$B234,$CV234,0)+$CU235</f>
        <v/>
      </c>
      <c r="CW235" s="55">
        <f>$CW234+$CU235</f>
        <v/>
      </c>
      <c r="CX235" s="55">
        <f>SUMIFS(tblPlant[Feed_oz],tblPlant[Date],$A235)</f>
        <v/>
      </c>
      <c r="CY235" s="55">
        <f>IF($B235=$B234,$CY234,0)+$CX235</f>
        <v/>
      </c>
      <c r="CZ235" s="55">
        <f>$CZ234+$CX235</f>
        <v/>
      </c>
      <c r="DA235" s="55">
        <f>SUMIFS(tblPlant[Tails_oz],tblPlant[Date],$A235)</f>
        <v/>
      </c>
      <c r="DB235" s="55">
        <f>IF($B235=$B234,$DB234,0)+$DA235</f>
        <v/>
      </c>
      <c r="DC235" s="55">
        <f>$DC234+$DA235</f>
        <v/>
      </c>
      <c r="DD235" s="55">
        <f>SUMIFS(tblPlant[Recovered_oz],tblPlant[Date],$A235)</f>
        <v/>
      </c>
      <c r="DE235" s="55">
        <f>IF($B235=$B234,$DE234,0)+$DD235</f>
        <v/>
      </c>
      <c r="DF235" s="55">
        <f>$DF234+$DD235</f>
        <v/>
      </c>
      <c r="DG235" s="55">
        <f>SUMIFS(tblPlant[Milled_t],tblPlant[Date],$A235,tblPlant[Head_Grade_gpt],"&lt;&gt;")</f>
        <v/>
      </c>
      <c r="DH235" s="55">
        <f>IF($B235=$B234,$DH234,0)+$DG235</f>
        <v/>
      </c>
      <c r="DI235" s="55">
        <f>$DI234+$DG235</f>
        <v/>
      </c>
      <c r="DJ235" s="55">
        <f>SUMIFS(tblPlant[Milled_t],tblPlant[Date],$A235,tblPlant[Tails_Grade_gpt],"&lt;&gt;")</f>
        <v/>
      </c>
      <c r="DK235" s="55">
        <f>IF($B235=$B234,$DK234,0)+$DJ235</f>
        <v/>
      </c>
      <c r="DL235" s="55">
        <f>$DL234+$DJ235</f>
        <v/>
      </c>
      <c r="DM235" s="55">
        <f>SUMIFS(tblPlant[Feed_oz],tblPlant[Date],$A235,tblPlant[Tails_Grade_gpt],"&lt;&gt;")</f>
        <v/>
      </c>
      <c r="DN235" s="55">
        <f>IF($B235=$B234,$DN234,0)+$DM235</f>
        <v/>
      </c>
      <c r="DO235" s="55">
        <f>$DO234+$DM235</f>
        <v/>
      </c>
      <c r="DP235" s="55">
        <f>SUMIFS(tblPlant[Milled_t],tblPlant[Date],$A235,tblPlant[Mill_Run_h],"&lt;&gt;")</f>
        <v/>
      </c>
      <c r="DQ235" s="55">
        <f>IF($B235=$B234,$DQ234,0)+$DP235</f>
        <v/>
      </c>
      <c r="DR235" s="55">
        <f>$DR234+$DP235</f>
        <v/>
      </c>
      <c r="DS235" s="56">
        <f>IFERROR(IF(($DG235)&gt;0,($CX235*cfg_TroyOz)/($DG235),""),"")</f>
        <v/>
      </c>
      <c r="DT235" s="56">
        <f>IFERROR(IF(($DH235)&gt;0,($CY235*cfg_TroyOz)/($DH235),""),"")</f>
        <v/>
      </c>
      <c r="DU235" s="56">
        <f>IFERROR(IF(($DI235)&gt;0,($CZ235*cfg_TroyOz)/($DI235),""),"")</f>
        <v/>
      </c>
      <c r="DV235" s="56">
        <f>IFERROR(IF(($DJ235)&gt;0,($DA235*cfg_TroyOz)/($DJ235),""),"")</f>
        <v/>
      </c>
      <c r="DW235" s="56">
        <f>IFERROR(IF(($DK235)&gt;0,($DB235*cfg_TroyOz)/($DK235),""),"")</f>
        <v/>
      </c>
      <c r="DX235" s="56">
        <f>IFERROR(IF(($DL235)&gt;0,($DC235*cfg_TroyOz)/($DL235),""),"")</f>
        <v/>
      </c>
      <c r="DY235" s="67">
        <f>IFERROR(IF(($DM235)&gt;0,($DD235)/($DM235),""),"")</f>
        <v/>
      </c>
      <c r="DZ235" s="67">
        <f>IFERROR(IF(($DN235)&gt;0,($DE235)/($DN235),""),"")</f>
        <v/>
      </c>
      <c r="EA235" s="67">
        <f>IFERROR(IF(($DO235)&gt;0,($DF235)/($DO235),""),"")</f>
        <v/>
      </c>
      <c r="EB235" s="55">
        <f>SUMIFS(tblPlant[Gravity_Gold_oz],tblPlant[Date],$A235)</f>
        <v/>
      </c>
      <c r="EC235" s="55">
        <f>IF($B235=$B234,$EC234,0)+$EB235</f>
        <v/>
      </c>
      <c r="ED235" s="55">
        <f>$ED234+$EB235</f>
        <v/>
      </c>
      <c r="EE235" s="67">
        <f>IFERROR(IF(($DD235)&gt;0,($EB235)/($DD235),""),"")</f>
        <v/>
      </c>
      <c r="EF235" s="67">
        <f>IFERROR(IF(($DE235)&gt;0,($EC235)/($DE235),""),"")</f>
        <v/>
      </c>
      <c r="EG235" s="67">
        <f>IFERROR(IF(($DF235)&gt;0,($ED235)/($DF235),""),"")</f>
        <v/>
      </c>
      <c r="EH235" s="55">
        <f>SUMIFS(tblPlant[Gold_Poured_oz],tblPlant[Date],$A235)</f>
        <v/>
      </c>
      <c r="EI235" s="55">
        <f>IF($B235=$B234,$EI234,0)+$EH235</f>
        <v/>
      </c>
      <c r="EJ235" s="55">
        <f>$EJ234+$EH235</f>
        <v/>
      </c>
      <c r="EK235" s="57">
        <f>SUMIFS(tblPlant[Mill_Run_h],tblPlant[Date],$A235)</f>
        <v/>
      </c>
      <c r="EL235" s="57">
        <f>IF($B235=$B234,$EL234,0)+$EK235</f>
        <v/>
      </c>
      <c r="EM235" s="57">
        <f>$EM234+$EK235</f>
        <v/>
      </c>
      <c r="EN235" s="57">
        <f>SUMIFS(tblPlant[Mill_Planned_Maint_h],tblPlant[Date],$A235)</f>
        <v/>
      </c>
      <c r="EO235" s="57">
        <f>IF($B235=$B234,$EO234,0)+$EN235</f>
        <v/>
      </c>
      <c r="EP235" s="57">
        <f>$EP234+$EN235</f>
        <v/>
      </c>
      <c r="EQ235" s="57">
        <f>SUMIFS(tblPlant[Mill_Unplanned_Down_h],tblPlant[Date],$A235)</f>
        <v/>
      </c>
      <c r="ER235" s="57">
        <f>IF($B235=$B234,$ER234,0)+$EQ235</f>
        <v/>
      </c>
      <c r="ES235" s="57">
        <f>$ES234+$EQ235</f>
        <v/>
      </c>
      <c r="ET235" s="57">
        <f>IF(COUNTIFS(tblPlant[Date],$A235,tblPlant[Mill_Run_h],"&lt;&gt;")+COUNTIFS(tblPlant[Date],$A235,tblPlant[Mill_Planned_Maint_h],"&lt;&gt;")+COUNTIFS(tblPlant[Date],$A235,tblPlant[Mill_Unplanned_Down_h],"&lt;&gt;")&gt;0,cfg_HoursPerDay,0)</f>
        <v/>
      </c>
      <c r="EU235" s="57">
        <f>IF($B235=$B234,$EU234,0)+$ET235</f>
        <v/>
      </c>
      <c r="EV235" s="57">
        <f>$EV234+$ET235</f>
        <v/>
      </c>
      <c r="EW235" s="57">
        <f>SUMIFS(tblPlant[Crusher_Run_h],tblPlant[Date],$A235)</f>
        <v/>
      </c>
      <c r="EX235" s="57">
        <f>IF($B235=$B234,$EX234,0)+$EW235</f>
        <v/>
      </c>
      <c r="EY235" s="57">
        <f>$EY234+$EW235</f>
        <v/>
      </c>
      <c r="EZ235" s="55">
        <f>IFERROR(IF(($EK235)&gt;0,($DP235)/($EK235),""),"")</f>
        <v/>
      </c>
      <c r="FA235" s="55">
        <f>IFERROR(IF(($EL235)&gt;0,($DQ235)/($EL235),""),"")</f>
        <v/>
      </c>
      <c r="FB235" s="55">
        <f>IFERROR(IF(($EM235)&gt;0,($DR235)/($EM235),""),"")</f>
        <v/>
      </c>
      <c r="FC235" s="67">
        <f>IFERROR(IF(($ET235)&gt;0,($ET235-$EN235-$EQ235)/($ET235),""),"")</f>
        <v/>
      </c>
      <c r="FD235" s="67">
        <f>IFERROR(IF(($EU235)&gt;0,($EU235-$EO235-$ER235)/($EU235),""),"")</f>
        <v/>
      </c>
      <c r="FE235" s="67">
        <f>IFERROR(IF(($EV235)&gt;0,($EV235-$EP235-$ES235)/($EV235),""),"")</f>
        <v/>
      </c>
      <c r="FF235" s="67">
        <f>IFERROR(IF(($ET235-$EN235-$EQ235)&gt;0,($EK235)/($ET235-$EN235-$EQ235),""),"")</f>
        <v/>
      </c>
      <c r="FG235" s="67">
        <f>IFERROR(IF(($EU235-$EO235-$ER235)&gt;0,($EL235)/($EU235-$EO235-$ER235),""),"")</f>
        <v/>
      </c>
      <c r="FH235" s="67">
        <f>IFERROR(IF(($EV235-$EP235-$ES235)&gt;0,($EM235)/($EV235-$EP235-$ES235),""),"")</f>
        <v/>
      </c>
      <c r="FI235" s="55">
        <f>SUMIFS(tblPlant[Cyanide_kg],tblPlant[Date],$A235)</f>
        <v/>
      </c>
      <c r="FJ235" s="55">
        <f>IF($B235=$B234,$FJ234,0)+$FI235</f>
        <v/>
      </c>
      <c r="FK235" s="55">
        <f>$FK234+$FI235</f>
        <v/>
      </c>
      <c r="FL235" s="55">
        <f>SUMIFS(tblPlant[Lime_kg],tblPlant[Date],$A235)</f>
        <v/>
      </c>
      <c r="FM235" s="55">
        <f>IF($B235=$B234,$FM234,0)+$FL235</f>
        <v/>
      </c>
      <c r="FN235" s="55">
        <f>$FN234+$FL235</f>
        <v/>
      </c>
      <c r="FO235" s="55">
        <f>SUMIFS(tblPlant[Grinding_Media_kg],tblPlant[Date],$A235)</f>
        <v/>
      </c>
      <c r="FP235" s="55">
        <f>IF($B235=$B234,$FP234,0)+$FO235</f>
        <v/>
      </c>
      <c r="FQ235" s="55">
        <f>$FQ234+$FO235</f>
        <v/>
      </c>
      <c r="FR235" s="55">
        <f>SUMIFS(tblPlant[Power_kWh],tblPlant[Date],$A235)</f>
        <v/>
      </c>
      <c r="FS235" s="55">
        <f>IF($B235=$B234,$FS234,0)+$FR235</f>
        <v/>
      </c>
      <c r="FT235" s="55">
        <f>$FT234+$FR235</f>
        <v/>
      </c>
      <c r="FU235" s="55">
        <f>SUMIFS(tblPlant[Raw_Water_m3],tblPlant[Date],$A235)</f>
        <v/>
      </c>
      <c r="FV235" s="55">
        <f>IF($B235=$B234,$FV234,0)+$FU235</f>
        <v/>
      </c>
      <c r="FW235" s="55">
        <f>$FW234+$FU235</f>
        <v/>
      </c>
      <c r="FX235" s="56">
        <f>IFERROR(IF(($CU235)&gt;0,($FI235)/($CU235),""),"")</f>
        <v/>
      </c>
      <c r="FY235" s="56">
        <f>IFERROR(IF(($CV235)&gt;0,($FJ235)/($CV235),""),"")</f>
        <v/>
      </c>
      <c r="FZ235" s="56">
        <f>IFERROR(IF(($CW235)&gt;0,($FK235)/($CW235),""),"")</f>
        <v/>
      </c>
      <c r="GA235" s="56">
        <f>IFERROR(IF(($CU235)&gt;0,($FL235)/($CU235),""),"")</f>
        <v/>
      </c>
      <c r="GB235" s="56">
        <f>IFERROR(IF(($CV235)&gt;0,($FM235)/($CV235),""),"")</f>
        <v/>
      </c>
      <c r="GC235" s="56">
        <f>IFERROR(IF(($CW235)&gt;0,($FN235)/($CW235),""),"")</f>
        <v/>
      </c>
      <c r="GD235" s="56">
        <f>IFERROR(IF(($CU235)&gt;0,($FO235)/($CU235),""),"")</f>
        <v/>
      </c>
      <c r="GE235" s="56">
        <f>IFERROR(IF(($CV235)&gt;0,($FP235)/($CV235),""),"")</f>
        <v/>
      </c>
      <c r="GF235" s="56">
        <f>IFERROR(IF(($CW235)&gt;0,($FQ235)/($CW235),""),"")</f>
        <v/>
      </c>
      <c r="GG235" s="79">
        <f>IFERROR(IF(($CU235)&gt;0,($FR235)/($CU235),""),"")</f>
        <v/>
      </c>
      <c r="GH235" s="79">
        <f>IFERROR(IF(($CV235)&gt;0,($FS235)/($CV235),""),"")</f>
        <v/>
      </c>
      <c r="GI235" s="79">
        <f>IFERROR(IF(($CW235)&gt;0,($FT235)/($CW235),""),"")</f>
        <v/>
      </c>
      <c r="GJ235" s="56">
        <f>IFERROR(IF(($CU235)&gt;0,($FU235)/($CU235),""),"")</f>
        <v/>
      </c>
      <c r="GK235" s="56">
        <f>IFERROR(IF(($CV235)&gt;0,($FV235)/($CV235),""),"")</f>
        <v/>
      </c>
      <c r="GL235" s="56">
        <f>IFERROR(IF(($CW235)&gt;0,($FW235)/($CW235),""),"")</f>
        <v/>
      </c>
      <c r="GM235" s="55">
        <f>IF(SUMIFS(tblPlant[GIC_oz],tblPlant[Date],$A235)&gt;0,SUMIFS(tblPlant[GIC_oz],tblPlant[Date],$A235),"")</f>
        <v/>
      </c>
      <c r="GN235" s="55">
        <f>SUMIFS(tblGold[Gold_oz],tblGold[Date],$A235,tblGold[Type],"Shipment")</f>
        <v/>
      </c>
      <c r="GO235" s="55">
        <f>IF($B235=$B234,$GO234,0)+$GN235</f>
        <v/>
      </c>
      <c r="GP235" s="55">
        <f>$GP234+$GN235</f>
        <v/>
      </c>
      <c r="GQ235" s="55">
        <f>SUMIFS(tblGold[Gold_oz],tblGold[Date],$A235,tblGold[Type],"Sale")</f>
        <v/>
      </c>
      <c r="GR235" s="55">
        <f>IF($B235=$B234,$GR234,0)+$GQ235</f>
        <v/>
      </c>
      <c r="GS235" s="55">
        <f>$GS234+$GQ235</f>
        <v/>
      </c>
      <c r="GT235" s="55">
        <f>SUMIFS(tblGold[Dore_kg],tblGold[Date],$A235,tblGold[Type],"Shipment")</f>
        <v/>
      </c>
      <c r="GU235" s="55">
        <f>IF($B235=$B234,$GU234,0)+$GT235</f>
        <v/>
      </c>
      <c r="GV235" s="55">
        <f>$GV234+$GT235</f>
        <v/>
      </c>
      <c r="GW235" s="57">
        <f>SUMIFS(tblSafety[Hours_Total],tblSafety[Date],$A235)</f>
        <v/>
      </c>
      <c r="GX235" s="57">
        <f>IF($B235=$B234,$GX234,0)+$GW235</f>
        <v/>
      </c>
      <c r="GY235" s="57">
        <f>$GY234+$GW235</f>
        <v/>
      </c>
      <c r="GZ235" s="62">
        <f>SUMIFS(tblSafety[Fatality],tblSafety[Date],$A235)</f>
        <v/>
      </c>
      <c r="HA235" s="62">
        <f>IF($B235=$B234,$HA234,0)+$GZ235</f>
        <v/>
      </c>
      <c r="HB235" s="62">
        <f>$HB234+$GZ235</f>
        <v/>
      </c>
      <c r="HC235" s="62">
        <f>SUMIFS(tblSafety[LTI],tblSafety[Date],$A235)</f>
        <v/>
      </c>
      <c r="HD235" s="62">
        <f>IF($B235=$B234,$HD234,0)+$HC235</f>
        <v/>
      </c>
      <c r="HE235" s="62">
        <f>$HE234+$HC235</f>
        <v/>
      </c>
      <c r="HF235" s="62">
        <f>SUMIFS(tblSafety[RWI],tblSafety[Date],$A235)</f>
        <v/>
      </c>
      <c r="HG235" s="62">
        <f>IF($B235=$B234,$HG234,0)+$HF235</f>
        <v/>
      </c>
      <c r="HH235" s="62">
        <f>$HH234+$HF235</f>
        <v/>
      </c>
      <c r="HI235" s="62">
        <f>SUMIFS(tblSafety[MTI],tblSafety[Date],$A235)</f>
        <v/>
      </c>
      <c r="HJ235" s="62">
        <f>IF($B235=$B234,$HJ234,0)+$HI235</f>
        <v/>
      </c>
      <c r="HK235" s="62">
        <f>$HK234+$HI235</f>
        <v/>
      </c>
      <c r="HL235" s="62">
        <f>SUMIFS(tblSafety[FAI],tblSafety[Date],$A235)</f>
        <v/>
      </c>
      <c r="HM235" s="62">
        <f>IF($B235=$B234,$HM234,0)+$HL235</f>
        <v/>
      </c>
      <c r="HN235" s="62">
        <f>$HN234+$HL235</f>
        <v/>
      </c>
      <c r="HO235" s="62">
        <f>SUMIFS(tblSafety[Recordables],tblSafety[Date],$A235)</f>
        <v/>
      </c>
      <c r="HP235" s="62">
        <f>IF($B235=$B234,$HP234,0)+$HO235</f>
        <v/>
      </c>
      <c r="HQ235" s="62">
        <f>$HQ234+$HO235</f>
        <v/>
      </c>
      <c r="HR235" s="62">
        <f>SUMIFS(tblSafety[Near_Miss],tblSafety[Date],$A235)</f>
        <v/>
      </c>
      <c r="HS235" s="62">
        <f>IF($B235=$B234,$HS234,0)+$HR235</f>
        <v/>
      </c>
      <c r="HT235" s="62">
        <f>$HT234+$HR235</f>
        <v/>
      </c>
      <c r="HU235" s="62">
        <f>SUMIFS(tblSafety[Hazard_Reports],tblSafety[Date],$A235)</f>
        <v/>
      </c>
      <c r="HV235" s="62">
        <f>IF($B235=$B234,$HV234,0)+$HU235</f>
        <v/>
      </c>
      <c r="HW235" s="62">
        <f>$HW234+$HU235</f>
        <v/>
      </c>
      <c r="HX235" s="62">
        <f>SUMIFS(tblSafety[HPI],tblSafety[Date],$A235)</f>
        <v/>
      </c>
      <c r="HY235" s="62">
        <f>IF($B235=$B234,$HY234,0)+$HX235</f>
        <v/>
      </c>
      <c r="HZ235" s="62">
        <f>$HZ234+$HX235</f>
        <v/>
      </c>
      <c r="IA235" s="62">
        <f>SUMIFS(tblSafety[Env_Incidents],tblSafety[Date],$A235)</f>
        <v/>
      </c>
      <c r="IB235" s="62">
        <f>IF($B235=$B234,$IB234,0)+$IA235</f>
        <v/>
      </c>
      <c r="IC235" s="62">
        <f>$IC234+$IA235</f>
        <v/>
      </c>
      <c r="ID235" s="62">
        <f>SUMIFS(tblSafety[Community_Incidents],tblSafety[Date],$A235)</f>
        <v/>
      </c>
      <c r="IE235" s="62">
        <f>IF($B235=$B234,$IE234,0)+$ID235</f>
        <v/>
      </c>
      <c r="IF235" s="62">
        <f>$IF234+$ID235</f>
        <v/>
      </c>
      <c r="IG235" s="62">
        <f>SUMIFS(tblSafety[Vehicle_Incidents],tblSafety[Date],$A235)</f>
        <v/>
      </c>
      <c r="IH235" s="62">
        <f>IF($B235=$B234,$IH234,0)+$IG235</f>
        <v/>
      </c>
      <c r="II235" s="62">
        <f>$II234+$IG235</f>
        <v/>
      </c>
      <c r="IJ235" s="62">
        <f>SUMIFS(tblSafety[Toolbox_Talks],tblSafety[Date],$A235)</f>
        <v/>
      </c>
      <c r="IK235" s="62">
        <f>IF($B235=$B234,$IK234,0)+$IJ235</f>
        <v/>
      </c>
      <c r="IL235" s="62">
        <f>$IL234+$IJ235</f>
        <v/>
      </c>
      <c r="IM235" s="62">
        <f>SUMIFS(tblSafety[Inspections],tblSafety[Date],$A235)</f>
        <v/>
      </c>
      <c r="IN235" s="62">
        <f>IF($B235=$B234,$IN234,0)+$IM235</f>
        <v/>
      </c>
      <c r="IO235" s="62">
        <f>$IO234+$IM235</f>
        <v/>
      </c>
      <c r="IP235" s="56">
        <f>IFERROR((SUMIFS(tblSafety[Recordables],tblSafety[Date],"&gt;="&amp;EDATE($E235,-12),tblSafety[Date],"&lt;="&amp;$A235)+SUMIFS(tblSafetyHistory[Recordables],tblSafetyHistory[Month],"&gt;="&amp;EDATE($E235,-12),tblSafetyHistory[Month],"&lt;"&amp;$E235,tblSafetyHistory[Use],1))/(SUMIFS(tblSafety[Hours_Total],tblSafety[Date],"&gt;="&amp;EDATE($E235,-12),tblSafety[Date],"&lt;="&amp;$A235)+SUMIFS(tblSafetyHistory[Hours_Total],tblSafetyHistory[Month],"&gt;="&amp;EDATE($E235,-12),tblSafetyHistory[Month],"&lt;"&amp;$E235,tblSafetyHistory[Use],1))*cfg_RateBasisHours,"")</f>
        <v/>
      </c>
      <c r="IQ235" s="56">
        <f>IFERROR((SUMIFS(tblSafety[LTI],tblSafety[Date],"&gt;="&amp;EDATE($E235,-12),tblSafety[Date],"&lt;="&amp;$A235)+SUMIFS(tblSafetyHistory[LTI],tblSafetyHistory[Month],"&gt;="&amp;EDATE($E235,-12),tblSafetyHistory[Month],"&lt;"&amp;$E235,tblSafetyHistory[Use],1))/(SUMIFS(tblSafety[Hours_Total],tblSafety[Date],"&gt;="&amp;EDATE($E235,-12),tblSafety[Date],"&lt;="&amp;$A235)+SUMIFS(tblSafetyHistory[Hours_Total],tblSafetyHistory[Month],"&gt;="&amp;EDATE($E235,-12),tblSafetyHistory[Month],"&lt;"&amp;$E235,tblSafetyHistory[Use],1))*cfg_RateBasisHours,"")</f>
        <v/>
      </c>
      <c r="IR235" s="62">
        <f>IF(MAX(N(cfg_PriorLTIDate),_xlfn.MAXIFS(tblSafety[Date],tblSafety[LTI],"&gt;0",tblSafety[Date],"&lt;="&amp;$A235))=0,"",$A235-MAX(N(cfg_PriorLTIDate),_xlfn.MAXIFS(tblSafety[Date],tblSafety[LTI],"&gt;0",tblSafety[Date],"&lt;="&amp;$A235)))</f>
        <v/>
      </c>
      <c r="IS235" s="55">
        <f>SUMIFS(tblBudget[Ore_Mined_t],tblBudget[Month],$E235)</f>
        <v/>
      </c>
      <c r="IT235" s="55">
        <f>$IS235*$C235/$D235</f>
        <v/>
      </c>
      <c r="IU235" s="55">
        <f>SUMIFS(tblBudget[Ore_Mined_t],tblBudget[Month],"&lt;"&amp;$E235)+$IT235</f>
        <v/>
      </c>
      <c r="IV235" s="55">
        <f>SUMIFS(tblBudget[Ore_oz],tblBudget[Month],$E235)</f>
        <v/>
      </c>
      <c r="IW235" s="55">
        <f>$IV235*$C235/$D235</f>
        <v/>
      </c>
      <c r="IX235" s="55">
        <f>SUMIFS(tblBudget[Ore_oz],tblBudget[Month],"&lt;"&amp;$E235)+$IW235</f>
        <v/>
      </c>
      <c r="IY235" s="55">
        <f>SUMIFS(tblBudget[Ore_Mined_t],tblBudget[Month],$E235)</f>
        <v/>
      </c>
      <c r="IZ235" s="55">
        <f>$IY235*$C235/$D235</f>
        <v/>
      </c>
      <c r="JA235" s="55">
        <f>SUMIFS(tblBudget[Ore_Mined_t],tblBudget[Month],"&lt;"&amp;$E235)+$IZ235</f>
        <v/>
      </c>
      <c r="JB235" s="56">
        <f>IFERROR(IF(($IY235)&gt;0,($IV235*cfg_TroyOz)/($IY235),""),"")</f>
        <v/>
      </c>
      <c r="JC235" s="56">
        <f>IFERROR(IF(($IZ235)&gt;0,($IW235*cfg_TroyOz)/($IZ235),""),"")</f>
        <v/>
      </c>
      <c r="JD235" s="56">
        <f>IFERROR(IF(($JA235)&gt;0,($IX235*cfg_TroyOz)/($JA235),""),"")</f>
        <v/>
      </c>
      <c r="JE235" s="55">
        <f>SUMIFS(tblBudget[Waste_t],tblBudget[Month],$E235)</f>
        <v/>
      </c>
      <c r="JF235" s="55">
        <f>$JE235*$C235/$D235</f>
        <v/>
      </c>
      <c r="JG235" s="55">
        <f>SUMIFS(tblBudget[Waste_t],tblBudget[Month],"&lt;"&amp;$E235)+$JF235</f>
        <v/>
      </c>
      <c r="JH235" s="55">
        <f>SUMIFS(tblBudget[TMM_t],tblBudget[Month],$E235)</f>
        <v/>
      </c>
      <c r="JI235" s="55">
        <f>$JH235*$C235/$D235</f>
        <v/>
      </c>
      <c r="JJ235" s="55">
        <f>SUMIFS(tblBudget[TMM_t],tblBudget[Month],"&lt;"&amp;$E235)+$JI235</f>
        <v/>
      </c>
      <c r="JK235" s="56">
        <f>IFERROR(IF(($IS235)&gt;0,($JE235)/($IS235),""),"")</f>
        <v/>
      </c>
      <c r="JL235" s="56">
        <f>IFERROR(IF(($IT235)&gt;0,($JF235)/($IT235),""),"")</f>
        <v/>
      </c>
      <c r="JM235" s="56">
        <f>IFERROR(IF(($IU235)&gt;0,($JG235)/($IU235),""),"")</f>
        <v/>
      </c>
      <c r="JN235" s="55">
        <f>SUMIFS(tblBudget[Drill_m],tblBudget[Month],$E235)</f>
        <v/>
      </c>
      <c r="JO235" s="55">
        <f>$JN235*$C235/$D235</f>
        <v/>
      </c>
      <c r="JP235" s="55">
        <f>SUMIFS(tblBudget[Drill_m],tblBudget[Month],"&lt;"&amp;$E235)+$JO235</f>
        <v/>
      </c>
      <c r="JQ235" s="55">
        <f>SUMIFS(tblBudget[Diesel_L],tblBudget[Month],$E235)</f>
        <v/>
      </c>
      <c r="JR235" s="55">
        <f>$JQ235*$C235/$D235</f>
        <v/>
      </c>
      <c r="JS235" s="55">
        <f>SUMIFS(tblBudget[Diesel_L],tblBudget[Month],"&lt;"&amp;$E235)+$JR235</f>
        <v/>
      </c>
      <c r="JT235" s="55">
        <f>SUMIFS(tblBudget[Milled_t],tblBudget[Month],$E235)</f>
        <v/>
      </c>
      <c r="JU235" s="55">
        <f>$JT235*$C235/$D235</f>
        <v/>
      </c>
      <c r="JV235" s="55">
        <f>SUMIFS(tblBudget[Milled_t],tblBudget[Month],"&lt;"&amp;$E235)+$JU235</f>
        <v/>
      </c>
      <c r="JW235" s="55">
        <f>SUMIFS(tblBudget[Feed_oz],tblBudget[Month],$E235)</f>
        <v/>
      </c>
      <c r="JX235" s="55">
        <f>$JW235*$C235/$D235</f>
        <v/>
      </c>
      <c r="JY235" s="55">
        <f>SUMIFS(tblBudget[Feed_oz],tblBudget[Month],"&lt;"&amp;$E235)+$JX235</f>
        <v/>
      </c>
      <c r="JZ235" s="55">
        <f>SUMIFS(tblBudget[Recovered_oz],tblBudget[Month],$E235)</f>
        <v/>
      </c>
      <c r="KA235" s="55">
        <f>$JZ235*$C235/$D235</f>
        <v/>
      </c>
      <c r="KB235" s="55">
        <f>SUMIFS(tblBudget[Recovered_oz],tblBudget[Month],"&lt;"&amp;$E235)+$KA235</f>
        <v/>
      </c>
      <c r="KC235" s="55">
        <f>SUMIFS(tblBudget[Milled_t],tblBudget[Month],$E235)</f>
        <v/>
      </c>
      <c r="KD235" s="55">
        <f>$KC235*$C235/$D235</f>
        <v/>
      </c>
      <c r="KE235" s="55">
        <f>SUMIFS(tblBudget[Milled_t],tblBudget[Month],"&lt;"&amp;$E235)+$KD235</f>
        <v/>
      </c>
      <c r="KF235" s="55">
        <f>SUMIFS(tblBudget[Feed_oz],tblBudget[Month],$E235)</f>
        <v/>
      </c>
      <c r="KG235" s="55">
        <f>$KF235*$C235/$D235</f>
        <v/>
      </c>
      <c r="KH235" s="55">
        <f>SUMIFS(tblBudget[Feed_oz],tblBudget[Month],"&lt;"&amp;$E235)+$KG235</f>
        <v/>
      </c>
      <c r="KI235" s="56">
        <f>IFERROR(IF(($KC235)&gt;0,($JW235*cfg_TroyOz)/($KC235),""),"")</f>
        <v/>
      </c>
      <c r="KJ235" s="56">
        <f>IFERROR(IF(($KD235)&gt;0,($JX235*cfg_TroyOz)/($KD235),""),"")</f>
        <v/>
      </c>
      <c r="KK235" s="56">
        <f>IFERROR(IF(($KE235)&gt;0,($JY235*cfg_TroyOz)/($KE235),""),"")</f>
        <v/>
      </c>
      <c r="KL235" s="67">
        <f>IFERROR(IF(($KF235)&gt;0,($JZ235)/($KF235),""),"")</f>
        <v/>
      </c>
      <c r="KM235" s="67">
        <f>IFERROR(IF(($KG235)&gt;0,($KA235)/($KG235),""),"")</f>
        <v/>
      </c>
      <c r="KN235" s="67">
        <f>IFERROR(IF(($KH235)&gt;0,($KB235)/($KH235),""),"")</f>
        <v/>
      </c>
      <c r="KO235" s="55">
        <f>SUMIFS(tblBudget[Gold_Poured_oz],tblBudget[Month],$E235)</f>
        <v/>
      </c>
      <c r="KP235" s="55">
        <f>$KO235*$C235/$D235</f>
        <v/>
      </c>
      <c r="KQ235" s="55">
        <f>SUMIFS(tblBudget[Gold_Poured_oz],tblBudget[Month],"&lt;"&amp;$E235)+$KP235</f>
        <v/>
      </c>
      <c r="KR235" s="57">
        <f>SUMIFS(tblBudget[Hours_Worked],tblBudget[Month],$E235)</f>
        <v/>
      </c>
      <c r="KS235" s="57">
        <f>$KR235*$C235/$D235</f>
        <v/>
      </c>
      <c r="KT235" s="57">
        <f>SUMIFS(tblBudget[Hours_Worked],tblBudget[Month],"&lt;"&amp;$E235)+$KS235</f>
        <v/>
      </c>
    </row>
    <row r="236">
      <c r="A236" s="54" t="n">
        <v>46257</v>
      </c>
      <c r="B236">
        <f>MONTH($A236)</f>
        <v/>
      </c>
      <c r="C236">
        <f>DAY($A236)</f>
        <v/>
      </c>
      <c r="D236">
        <f>DAY(EOMONTH($A236,0))</f>
        <v/>
      </c>
      <c r="E236" s="54">
        <f>DATE(YEAR($A236),MONTH($A236),1)</f>
        <v/>
      </c>
      <c r="F236" s="55">
        <f>SUMIFS(tblMovement[Tonnes_t],tblMovement[Date],$A236,tblMovement[Is_Ore],1,tblMovement[Source_Type],"Pit")</f>
        <v/>
      </c>
      <c r="G236" s="55">
        <f>IF($B236=$B235,$G235,0)+$F236</f>
        <v/>
      </c>
      <c r="H236" s="55">
        <f>$H235+$F236</f>
        <v/>
      </c>
      <c r="I236" s="55">
        <f>SUMIFS(tblMovement[Ore_oz],tblMovement[Date],$A236,tblMovement[Source_Type],"Pit")</f>
        <v/>
      </c>
      <c r="J236" s="55">
        <f>IF($B236=$B235,$J235,0)+$I236</f>
        <v/>
      </c>
      <c r="K236" s="55">
        <f>$K235+$I236</f>
        <v/>
      </c>
      <c r="L236" s="55">
        <f>SUMIFS(tblMovement[Tonnes_t],tblMovement[Date],$A236,tblMovement[Is_Ore],1,tblMovement[Source_Type],"Pit",tblMovement[Grade_gpt],"&lt;&gt;")</f>
        <v/>
      </c>
      <c r="M236" s="55">
        <f>IF($B236=$B235,$M235,0)+$L236</f>
        <v/>
      </c>
      <c r="N236" s="55">
        <f>$N235+$L236</f>
        <v/>
      </c>
      <c r="O236" s="56">
        <f>IFERROR(IF(($L236)&gt;0,($I236*cfg_TroyOz)/($L236),""),"")</f>
        <v/>
      </c>
      <c r="P236" s="56">
        <f>IFERROR(IF(($M236)&gt;0,($J236*cfg_TroyOz)/($M236),""),"")</f>
        <v/>
      </c>
      <c r="Q236" s="56">
        <f>IFERROR(IF(($N236)&gt;0,($K236*cfg_TroyOz)/($N236),""),"")</f>
        <v/>
      </c>
      <c r="R236" s="55">
        <f>$F236-$L236</f>
        <v/>
      </c>
      <c r="S236" s="55">
        <f>IF($B236=$B235,$S235,0)+$R236</f>
        <v/>
      </c>
      <c r="T236" s="55">
        <f>$T235+$R236</f>
        <v/>
      </c>
      <c r="U236" s="55">
        <f>SUMIFS(tblMovement[Tonnes_t],tblMovement[Date],$A236,tblMovement[Is_Ore],0,tblMovement[Source_Type],"Pit")</f>
        <v/>
      </c>
      <c r="V236" s="55">
        <f>IF($B236=$B235,$V235,0)+$U236</f>
        <v/>
      </c>
      <c r="W236" s="55">
        <f>$W235+$U236</f>
        <v/>
      </c>
      <c r="X236" s="55">
        <f>$F236+$U236</f>
        <v/>
      </c>
      <c r="Y236" s="55">
        <f>IF($B236=$B235,$Y235,0)+$X236</f>
        <v/>
      </c>
      <c r="Z236" s="55">
        <f>$Z235+$X236</f>
        <v/>
      </c>
      <c r="AA236" s="56">
        <f>IFERROR(IF(($F236)&gt;0,($U236)/($F236),""),"")</f>
        <v/>
      </c>
      <c r="AB236" s="56">
        <f>IFERROR(IF(($G236)&gt;0,($V236)/($G236),""),"")</f>
        <v/>
      </c>
      <c r="AC236" s="56">
        <f>IFERROR(IF(($H236)&gt;0,($W236)/($H236),""),"")</f>
        <v/>
      </c>
      <c r="AD236" s="55">
        <f>SUMIFS(tblMovement[Tonnes_t],tblMovement[Date],$A236,tblMovement[Source_Type],"Stockpile")</f>
        <v/>
      </c>
      <c r="AE236" s="55">
        <f>IF($B236=$B235,$AE235,0)+$AD236</f>
        <v/>
      </c>
      <c r="AF236" s="55">
        <f>$AF235+$AD236</f>
        <v/>
      </c>
      <c r="AG236" s="55">
        <f>SUMIFS(tblMovement[Tonnes_t],tblMovement[Date],$A236)</f>
        <v/>
      </c>
      <c r="AH236" s="55">
        <f>IF($B236=$B235,$AH235,0)+$AG236</f>
        <v/>
      </c>
      <c r="AI236" s="55">
        <f>$AI235+$AG236</f>
        <v/>
      </c>
      <c r="AJ236" s="55">
        <f>$AG236-$X236-$AD236</f>
        <v/>
      </c>
      <c r="AK236" s="55">
        <f>IF($B236=$B235,$AK235,0)+$AJ236</f>
        <v/>
      </c>
      <c r="AL236" s="55">
        <f>$AL235+$AJ236</f>
        <v/>
      </c>
      <c r="AM236" s="55">
        <f>SUMIFS(tblMiningDaily[Drill_m],tblMiningDaily[Date],$A236)</f>
        <v/>
      </c>
      <c r="AN236" s="55">
        <f>IF($B236=$B235,$AN235,0)+$AM236</f>
        <v/>
      </c>
      <c r="AO236" s="55">
        <f>$AO235+$AM236</f>
        <v/>
      </c>
      <c r="AP236" s="55">
        <f>SUMIFS(tblMiningDaily[GC_Drill_m],tblMiningDaily[Date],$A236)</f>
        <v/>
      </c>
      <c r="AQ236" s="55">
        <f>IF($B236=$B235,$AQ235,0)+$AP236</f>
        <v/>
      </c>
      <c r="AR236" s="55">
        <f>$AR235+$AP236</f>
        <v/>
      </c>
      <c r="AS236" s="55">
        <f>SUMIFS(tblMiningDaily[Blast_t],tblMiningDaily[Date],$A236)</f>
        <v/>
      </c>
      <c r="AT236" s="55">
        <f>IF($B236=$B235,$AT235,0)+$AS236</f>
        <v/>
      </c>
      <c r="AU236" s="55">
        <f>$AU235+$AS236</f>
        <v/>
      </c>
      <c r="AV236" s="55">
        <f>SUMIFS(tblMiningDaily[Explosives_kg],tblMiningDaily[Date],$A236)</f>
        <v/>
      </c>
      <c r="AW236" s="55">
        <f>IF($B236=$B235,$AW235,0)+$AV236</f>
        <v/>
      </c>
      <c r="AX236" s="55">
        <f>$AX235+$AV236</f>
        <v/>
      </c>
      <c r="AY236" s="56">
        <f>IFERROR(IF(($AS236)&gt;0,($AV236)/($AS236),""),"")</f>
        <v/>
      </c>
      <c r="AZ236" s="56">
        <f>IFERROR(IF(($AT236)&gt;0,($AW236)/($AT236),""),"")</f>
        <v/>
      </c>
      <c r="BA236" s="56">
        <f>IFERROR(IF(($AU236)&gt;0,($AX236)/($AU236),""),"")</f>
        <v/>
      </c>
      <c r="BB236" s="55">
        <f>SUMIFS(tblMiningDaily[Diesel_L],tblMiningDaily[Date],$A236)</f>
        <v/>
      </c>
      <c r="BC236" s="55">
        <f>IF($B236=$B235,$BC235,0)+$BB236</f>
        <v/>
      </c>
      <c r="BD236" s="55">
        <f>$BD235+$BB236</f>
        <v/>
      </c>
      <c r="BE236" s="55">
        <f>SUMIFS(tblMiningDaily[Dewatering_m3],tblMiningDaily[Date],$A236)</f>
        <v/>
      </c>
      <c r="BF236" s="55">
        <f>IF($B236=$B235,$BF235,0)+$BE236</f>
        <v/>
      </c>
      <c r="BG236" s="55">
        <f>$BG235+$BE236</f>
        <v/>
      </c>
      <c r="BH236" s="57">
        <f>SUMIFS(tblFleet[Calendar_h],tblFleet[Date],$A236,tblFleet[Equipment_Class],"Excavator")</f>
        <v/>
      </c>
      <c r="BI236" s="57">
        <f>IF($B236=$B235,$BI235,0)+$BH236</f>
        <v/>
      </c>
      <c r="BJ236" s="57">
        <f>$BJ235+$BH236</f>
        <v/>
      </c>
      <c r="BK236" s="57">
        <f>SUMIFS(tblFleet[Available_h],tblFleet[Date],$A236,tblFleet[Equipment_Class],"Excavator")</f>
        <v/>
      </c>
      <c r="BL236" s="57">
        <f>IF($B236=$B235,$BL235,0)+$BK236</f>
        <v/>
      </c>
      <c r="BM236" s="57">
        <f>$BM235+$BK236</f>
        <v/>
      </c>
      <c r="BN236" s="57">
        <f>SUMIFS(tblFleet[Operating_h],tblFleet[Date],$A236,tblFleet[Equipment_Class],"Excavator")</f>
        <v/>
      </c>
      <c r="BO236" s="57">
        <f>IF($B236=$B235,$BO235,0)+$BN236</f>
        <v/>
      </c>
      <c r="BP236" s="57">
        <f>$BP235+$BN236</f>
        <v/>
      </c>
      <c r="BQ236" s="67">
        <f>IFERROR(IF(($BH236)&gt;0,($BK236)/($BH236),""),"")</f>
        <v/>
      </c>
      <c r="BR236" s="67">
        <f>IFERROR(IF(($BI236)&gt;0,($BL236)/($BI236),""),"")</f>
        <v/>
      </c>
      <c r="BS236" s="67">
        <f>IFERROR(IF(($BJ236)&gt;0,($BM236)/($BJ236),""),"")</f>
        <v/>
      </c>
      <c r="BT236" s="67">
        <f>IFERROR(IF(($BK236)&gt;0,($BN236)/($BK236),""),"")</f>
        <v/>
      </c>
      <c r="BU236" s="67">
        <f>IFERROR(IF(($BL236)&gt;0,($BO236)/($BL236),""),"")</f>
        <v/>
      </c>
      <c r="BV236" s="67">
        <f>IFERROR(IF(($BM236)&gt;0,($BP236)/($BM236),""),"")</f>
        <v/>
      </c>
      <c r="BW236" s="57">
        <f>SUMIFS(tblFleet[Calendar_h],tblFleet[Date],$A236,tblFleet[Equipment_Class],"Haul Truck")</f>
        <v/>
      </c>
      <c r="BX236" s="57">
        <f>IF($B236=$B235,$BX235,0)+$BW236</f>
        <v/>
      </c>
      <c r="BY236" s="57">
        <f>$BY235+$BW236</f>
        <v/>
      </c>
      <c r="BZ236" s="57">
        <f>SUMIFS(tblFleet[Available_h],tblFleet[Date],$A236,tblFleet[Equipment_Class],"Haul Truck")</f>
        <v/>
      </c>
      <c r="CA236" s="57">
        <f>IF($B236=$B235,$CA235,0)+$BZ236</f>
        <v/>
      </c>
      <c r="CB236" s="57">
        <f>$CB235+$BZ236</f>
        <v/>
      </c>
      <c r="CC236" s="57">
        <f>SUMIFS(tblFleet[Operating_h],tblFleet[Date],$A236,tblFleet[Equipment_Class],"Haul Truck")</f>
        <v/>
      </c>
      <c r="CD236" s="57">
        <f>IF($B236=$B235,$CD235,0)+$CC236</f>
        <v/>
      </c>
      <c r="CE236" s="57">
        <f>$CE235+$CC236</f>
        <v/>
      </c>
      <c r="CF236" s="67">
        <f>IFERROR(IF(($BW236)&gt;0,($BZ236)/($BW236),""),"")</f>
        <v/>
      </c>
      <c r="CG236" s="67">
        <f>IFERROR(IF(($BX236)&gt;0,($CA236)/($BX236),""),"")</f>
        <v/>
      </c>
      <c r="CH236" s="67">
        <f>IFERROR(IF(($BY236)&gt;0,($CB236)/($BY236),""),"")</f>
        <v/>
      </c>
      <c r="CI236" s="67">
        <f>IFERROR(IF(($BZ236)&gt;0,($CC236)/($BZ236),""),"")</f>
        <v/>
      </c>
      <c r="CJ236" s="67">
        <f>IFERROR(IF(($CA236)&gt;0,($CD236)/($CA236),""),"")</f>
        <v/>
      </c>
      <c r="CK236" s="67">
        <f>IFERROR(IF(($CB236)&gt;0,($CE236)/($CB236),""),"")</f>
        <v/>
      </c>
      <c r="CL236" s="55">
        <f>IFERROR(IF(($BN236)&gt;0,($X236+$AD236)/($BN236),""),"")</f>
        <v/>
      </c>
      <c r="CM236" s="55">
        <f>IFERROR(IF(($BO236)&gt;0,($Y236+$AE236)/($BO236),""),"")</f>
        <v/>
      </c>
      <c r="CN236" s="55">
        <f>IFERROR(IF(($BP236)&gt;0,($Z236+$AF236)/($BP236),""),"")</f>
        <v/>
      </c>
      <c r="CO236" s="55">
        <f>IFERROR(IF(($CC236)&gt;0,($X236+$AD236)/($CC236),""),"")</f>
        <v/>
      </c>
      <c r="CP236" s="55">
        <f>IFERROR(IF(($CD236)&gt;0,($Y236+$AE236)/($CD236),""),"")</f>
        <v/>
      </c>
      <c r="CQ236" s="55">
        <f>IFERROR(IF(($CE236)&gt;0,($Z236+$AF236)/($CE236),""),"")</f>
        <v/>
      </c>
      <c r="CR236" s="55">
        <f>SUMIFS(tblPlant[Crushed_t],tblPlant[Date],$A236)</f>
        <v/>
      </c>
      <c r="CS236" s="55">
        <f>IF($B236=$B235,$CS235,0)+$CR236</f>
        <v/>
      </c>
      <c r="CT236" s="55">
        <f>$CT235+$CR236</f>
        <v/>
      </c>
      <c r="CU236" s="55">
        <f>SUMIFS(tblPlant[Milled_t],tblPlant[Date],$A236)</f>
        <v/>
      </c>
      <c r="CV236" s="55">
        <f>IF($B236=$B235,$CV235,0)+$CU236</f>
        <v/>
      </c>
      <c r="CW236" s="55">
        <f>$CW235+$CU236</f>
        <v/>
      </c>
      <c r="CX236" s="55">
        <f>SUMIFS(tblPlant[Feed_oz],tblPlant[Date],$A236)</f>
        <v/>
      </c>
      <c r="CY236" s="55">
        <f>IF($B236=$B235,$CY235,0)+$CX236</f>
        <v/>
      </c>
      <c r="CZ236" s="55">
        <f>$CZ235+$CX236</f>
        <v/>
      </c>
      <c r="DA236" s="55">
        <f>SUMIFS(tblPlant[Tails_oz],tblPlant[Date],$A236)</f>
        <v/>
      </c>
      <c r="DB236" s="55">
        <f>IF($B236=$B235,$DB235,0)+$DA236</f>
        <v/>
      </c>
      <c r="DC236" s="55">
        <f>$DC235+$DA236</f>
        <v/>
      </c>
      <c r="DD236" s="55">
        <f>SUMIFS(tblPlant[Recovered_oz],tblPlant[Date],$A236)</f>
        <v/>
      </c>
      <c r="DE236" s="55">
        <f>IF($B236=$B235,$DE235,0)+$DD236</f>
        <v/>
      </c>
      <c r="DF236" s="55">
        <f>$DF235+$DD236</f>
        <v/>
      </c>
      <c r="DG236" s="55">
        <f>SUMIFS(tblPlant[Milled_t],tblPlant[Date],$A236,tblPlant[Head_Grade_gpt],"&lt;&gt;")</f>
        <v/>
      </c>
      <c r="DH236" s="55">
        <f>IF($B236=$B235,$DH235,0)+$DG236</f>
        <v/>
      </c>
      <c r="DI236" s="55">
        <f>$DI235+$DG236</f>
        <v/>
      </c>
      <c r="DJ236" s="55">
        <f>SUMIFS(tblPlant[Milled_t],tblPlant[Date],$A236,tblPlant[Tails_Grade_gpt],"&lt;&gt;")</f>
        <v/>
      </c>
      <c r="DK236" s="55">
        <f>IF($B236=$B235,$DK235,0)+$DJ236</f>
        <v/>
      </c>
      <c r="DL236" s="55">
        <f>$DL235+$DJ236</f>
        <v/>
      </c>
      <c r="DM236" s="55">
        <f>SUMIFS(tblPlant[Feed_oz],tblPlant[Date],$A236,tblPlant[Tails_Grade_gpt],"&lt;&gt;")</f>
        <v/>
      </c>
      <c r="DN236" s="55">
        <f>IF($B236=$B235,$DN235,0)+$DM236</f>
        <v/>
      </c>
      <c r="DO236" s="55">
        <f>$DO235+$DM236</f>
        <v/>
      </c>
      <c r="DP236" s="55">
        <f>SUMIFS(tblPlant[Milled_t],tblPlant[Date],$A236,tblPlant[Mill_Run_h],"&lt;&gt;")</f>
        <v/>
      </c>
      <c r="DQ236" s="55">
        <f>IF($B236=$B235,$DQ235,0)+$DP236</f>
        <v/>
      </c>
      <c r="DR236" s="55">
        <f>$DR235+$DP236</f>
        <v/>
      </c>
      <c r="DS236" s="56">
        <f>IFERROR(IF(($DG236)&gt;0,($CX236*cfg_TroyOz)/($DG236),""),"")</f>
        <v/>
      </c>
      <c r="DT236" s="56">
        <f>IFERROR(IF(($DH236)&gt;0,($CY236*cfg_TroyOz)/($DH236),""),"")</f>
        <v/>
      </c>
      <c r="DU236" s="56">
        <f>IFERROR(IF(($DI236)&gt;0,($CZ236*cfg_TroyOz)/($DI236),""),"")</f>
        <v/>
      </c>
      <c r="DV236" s="56">
        <f>IFERROR(IF(($DJ236)&gt;0,($DA236*cfg_TroyOz)/($DJ236),""),"")</f>
        <v/>
      </c>
      <c r="DW236" s="56">
        <f>IFERROR(IF(($DK236)&gt;0,($DB236*cfg_TroyOz)/($DK236),""),"")</f>
        <v/>
      </c>
      <c r="DX236" s="56">
        <f>IFERROR(IF(($DL236)&gt;0,($DC236*cfg_TroyOz)/($DL236),""),"")</f>
        <v/>
      </c>
      <c r="DY236" s="67">
        <f>IFERROR(IF(($DM236)&gt;0,($DD236)/($DM236),""),"")</f>
        <v/>
      </c>
      <c r="DZ236" s="67">
        <f>IFERROR(IF(($DN236)&gt;0,($DE236)/($DN236),""),"")</f>
        <v/>
      </c>
      <c r="EA236" s="67">
        <f>IFERROR(IF(($DO236)&gt;0,($DF236)/($DO236),""),"")</f>
        <v/>
      </c>
      <c r="EB236" s="55">
        <f>SUMIFS(tblPlant[Gravity_Gold_oz],tblPlant[Date],$A236)</f>
        <v/>
      </c>
      <c r="EC236" s="55">
        <f>IF($B236=$B235,$EC235,0)+$EB236</f>
        <v/>
      </c>
      <c r="ED236" s="55">
        <f>$ED235+$EB236</f>
        <v/>
      </c>
      <c r="EE236" s="67">
        <f>IFERROR(IF(($DD236)&gt;0,($EB236)/($DD236),""),"")</f>
        <v/>
      </c>
      <c r="EF236" s="67">
        <f>IFERROR(IF(($DE236)&gt;0,($EC236)/($DE236),""),"")</f>
        <v/>
      </c>
      <c r="EG236" s="67">
        <f>IFERROR(IF(($DF236)&gt;0,($ED236)/($DF236),""),"")</f>
        <v/>
      </c>
      <c r="EH236" s="55">
        <f>SUMIFS(tblPlant[Gold_Poured_oz],tblPlant[Date],$A236)</f>
        <v/>
      </c>
      <c r="EI236" s="55">
        <f>IF($B236=$B235,$EI235,0)+$EH236</f>
        <v/>
      </c>
      <c r="EJ236" s="55">
        <f>$EJ235+$EH236</f>
        <v/>
      </c>
      <c r="EK236" s="57">
        <f>SUMIFS(tblPlant[Mill_Run_h],tblPlant[Date],$A236)</f>
        <v/>
      </c>
      <c r="EL236" s="57">
        <f>IF($B236=$B235,$EL235,0)+$EK236</f>
        <v/>
      </c>
      <c r="EM236" s="57">
        <f>$EM235+$EK236</f>
        <v/>
      </c>
      <c r="EN236" s="57">
        <f>SUMIFS(tblPlant[Mill_Planned_Maint_h],tblPlant[Date],$A236)</f>
        <v/>
      </c>
      <c r="EO236" s="57">
        <f>IF($B236=$B235,$EO235,0)+$EN236</f>
        <v/>
      </c>
      <c r="EP236" s="57">
        <f>$EP235+$EN236</f>
        <v/>
      </c>
      <c r="EQ236" s="57">
        <f>SUMIFS(tblPlant[Mill_Unplanned_Down_h],tblPlant[Date],$A236)</f>
        <v/>
      </c>
      <c r="ER236" s="57">
        <f>IF($B236=$B235,$ER235,0)+$EQ236</f>
        <v/>
      </c>
      <c r="ES236" s="57">
        <f>$ES235+$EQ236</f>
        <v/>
      </c>
      <c r="ET236" s="57">
        <f>IF(COUNTIFS(tblPlant[Date],$A236,tblPlant[Mill_Run_h],"&lt;&gt;")+COUNTIFS(tblPlant[Date],$A236,tblPlant[Mill_Planned_Maint_h],"&lt;&gt;")+COUNTIFS(tblPlant[Date],$A236,tblPlant[Mill_Unplanned_Down_h],"&lt;&gt;")&gt;0,cfg_HoursPerDay,0)</f>
        <v/>
      </c>
      <c r="EU236" s="57">
        <f>IF($B236=$B235,$EU235,0)+$ET236</f>
        <v/>
      </c>
      <c r="EV236" s="57">
        <f>$EV235+$ET236</f>
        <v/>
      </c>
      <c r="EW236" s="57">
        <f>SUMIFS(tblPlant[Crusher_Run_h],tblPlant[Date],$A236)</f>
        <v/>
      </c>
      <c r="EX236" s="57">
        <f>IF($B236=$B235,$EX235,0)+$EW236</f>
        <v/>
      </c>
      <c r="EY236" s="57">
        <f>$EY235+$EW236</f>
        <v/>
      </c>
      <c r="EZ236" s="55">
        <f>IFERROR(IF(($EK236)&gt;0,($DP236)/($EK236),""),"")</f>
        <v/>
      </c>
      <c r="FA236" s="55">
        <f>IFERROR(IF(($EL236)&gt;0,($DQ236)/($EL236),""),"")</f>
        <v/>
      </c>
      <c r="FB236" s="55">
        <f>IFERROR(IF(($EM236)&gt;0,($DR236)/($EM236),""),"")</f>
        <v/>
      </c>
      <c r="FC236" s="67">
        <f>IFERROR(IF(($ET236)&gt;0,($ET236-$EN236-$EQ236)/($ET236),""),"")</f>
        <v/>
      </c>
      <c r="FD236" s="67">
        <f>IFERROR(IF(($EU236)&gt;0,($EU236-$EO236-$ER236)/($EU236),""),"")</f>
        <v/>
      </c>
      <c r="FE236" s="67">
        <f>IFERROR(IF(($EV236)&gt;0,($EV236-$EP236-$ES236)/($EV236),""),"")</f>
        <v/>
      </c>
      <c r="FF236" s="67">
        <f>IFERROR(IF(($ET236-$EN236-$EQ236)&gt;0,($EK236)/($ET236-$EN236-$EQ236),""),"")</f>
        <v/>
      </c>
      <c r="FG236" s="67">
        <f>IFERROR(IF(($EU236-$EO236-$ER236)&gt;0,($EL236)/($EU236-$EO236-$ER236),""),"")</f>
        <v/>
      </c>
      <c r="FH236" s="67">
        <f>IFERROR(IF(($EV236-$EP236-$ES236)&gt;0,($EM236)/($EV236-$EP236-$ES236),""),"")</f>
        <v/>
      </c>
      <c r="FI236" s="55">
        <f>SUMIFS(tblPlant[Cyanide_kg],tblPlant[Date],$A236)</f>
        <v/>
      </c>
      <c r="FJ236" s="55">
        <f>IF($B236=$B235,$FJ235,0)+$FI236</f>
        <v/>
      </c>
      <c r="FK236" s="55">
        <f>$FK235+$FI236</f>
        <v/>
      </c>
      <c r="FL236" s="55">
        <f>SUMIFS(tblPlant[Lime_kg],tblPlant[Date],$A236)</f>
        <v/>
      </c>
      <c r="FM236" s="55">
        <f>IF($B236=$B235,$FM235,0)+$FL236</f>
        <v/>
      </c>
      <c r="FN236" s="55">
        <f>$FN235+$FL236</f>
        <v/>
      </c>
      <c r="FO236" s="55">
        <f>SUMIFS(tblPlant[Grinding_Media_kg],tblPlant[Date],$A236)</f>
        <v/>
      </c>
      <c r="FP236" s="55">
        <f>IF($B236=$B235,$FP235,0)+$FO236</f>
        <v/>
      </c>
      <c r="FQ236" s="55">
        <f>$FQ235+$FO236</f>
        <v/>
      </c>
      <c r="FR236" s="55">
        <f>SUMIFS(tblPlant[Power_kWh],tblPlant[Date],$A236)</f>
        <v/>
      </c>
      <c r="FS236" s="55">
        <f>IF($B236=$B235,$FS235,0)+$FR236</f>
        <v/>
      </c>
      <c r="FT236" s="55">
        <f>$FT235+$FR236</f>
        <v/>
      </c>
      <c r="FU236" s="55">
        <f>SUMIFS(tblPlant[Raw_Water_m3],tblPlant[Date],$A236)</f>
        <v/>
      </c>
      <c r="FV236" s="55">
        <f>IF($B236=$B235,$FV235,0)+$FU236</f>
        <v/>
      </c>
      <c r="FW236" s="55">
        <f>$FW235+$FU236</f>
        <v/>
      </c>
      <c r="FX236" s="56">
        <f>IFERROR(IF(($CU236)&gt;0,($FI236)/($CU236),""),"")</f>
        <v/>
      </c>
      <c r="FY236" s="56">
        <f>IFERROR(IF(($CV236)&gt;0,($FJ236)/($CV236),""),"")</f>
        <v/>
      </c>
      <c r="FZ236" s="56">
        <f>IFERROR(IF(($CW236)&gt;0,($FK236)/($CW236),""),"")</f>
        <v/>
      </c>
      <c r="GA236" s="56">
        <f>IFERROR(IF(($CU236)&gt;0,($FL236)/($CU236),""),"")</f>
        <v/>
      </c>
      <c r="GB236" s="56">
        <f>IFERROR(IF(($CV236)&gt;0,($FM236)/($CV236),""),"")</f>
        <v/>
      </c>
      <c r="GC236" s="56">
        <f>IFERROR(IF(($CW236)&gt;0,($FN236)/($CW236),""),"")</f>
        <v/>
      </c>
      <c r="GD236" s="56">
        <f>IFERROR(IF(($CU236)&gt;0,($FO236)/($CU236),""),"")</f>
        <v/>
      </c>
      <c r="GE236" s="56">
        <f>IFERROR(IF(($CV236)&gt;0,($FP236)/($CV236),""),"")</f>
        <v/>
      </c>
      <c r="GF236" s="56">
        <f>IFERROR(IF(($CW236)&gt;0,($FQ236)/($CW236),""),"")</f>
        <v/>
      </c>
      <c r="GG236" s="79">
        <f>IFERROR(IF(($CU236)&gt;0,($FR236)/($CU236),""),"")</f>
        <v/>
      </c>
      <c r="GH236" s="79">
        <f>IFERROR(IF(($CV236)&gt;0,($FS236)/($CV236),""),"")</f>
        <v/>
      </c>
      <c r="GI236" s="79">
        <f>IFERROR(IF(($CW236)&gt;0,($FT236)/($CW236),""),"")</f>
        <v/>
      </c>
      <c r="GJ236" s="56">
        <f>IFERROR(IF(($CU236)&gt;0,($FU236)/($CU236),""),"")</f>
        <v/>
      </c>
      <c r="GK236" s="56">
        <f>IFERROR(IF(($CV236)&gt;0,($FV236)/($CV236),""),"")</f>
        <v/>
      </c>
      <c r="GL236" s="56">
        <f>IFERROR(IF(($CW236)&gt;0,($FW236)/($CW236),""),"")</f>
        <v/>
      </c>
      <c r="GM236" s="55">
        <f>IF(SUMIFS(tblPlant[GIC_oz],tblPlant[Date],$A236)&gt;0,SUMIFS(tblPlant[GIC_oz],tblPlant[Date],$A236),"")</f>
        <v/>
      </c>
      <c r="GN236" s="55">
        <f>SUMIFS(tblGold[Gold_oz],tblGold[Date],$A236,tblGold[Type],"Shipment")</f>
        <v/>
      </c>
      <c r="GO236" s="55">
        <f>IF($B236=$B235,$GO235,0)+$GN236</f>
        <v/>
      </c>
      <c r="GP236" s="55">
        <f>$GP235+$GN236</f>
        <v/>
      </c>
      <c r="GQ236" s="55">
        <f>SUMIFS(tblGold[Gold_oz],tblGold[Date],$A236,tblGold[Type],"Sale")</f>
        <v/>
      </c>
      <c r="GR236" s="55">
        <f>IF($B236=$B235,$GR235,0)+$GQ236</f>
        <v/>
      </c>
      <c r="GS236" s="55">
        <f>$GS235+$GQ236</f>
        <v/>
      </c>
      <c r="GT236" s="55">
        <f>SUMIFS(tblGold[Dore_kg],tblGold[Date],$A236,tblGold[Type],"Shipment")</f>
        <v/>
      </c>
      <c r="GU236" s="55">
        <f>IF($B236=$B235,$GU235,0)+$GT236</f>
        <v/>
      </c>
      <c r="GV236" s="55">
        <f>$GV235+$GT236</f>
        <v/>
      </c>
      <c r="GW236" s="57">
        <f>SUMIFS(tblSafety[Hours_Total],tblSafety[Date],$A236)</f>
        <v/>
      </c>
      <c r="GX236" s="57">
        <f>IF($B236=$B235,$GX235,0)+$GW236</f>
        <v/>
      </c>
      <c r="GY236" s="57">
        <f>$GY235+$GW236</f>
        <v/>
      </c>
      <c r="GZ236" s="62">
        <f>SUMIFS(tblSafety[Fatality],tblSafety[Date],$A236)</f>
        <v/>
      </c>
      <c r="HA236" s="62">
        <f>IF($B236=$B235,$HA235,0)+$GZ236</f>
        <v/>
      </c>
      <c r="HB236" s="62">
        <f>$HB235+$GZ236</f>
        <v/>
      </c>
      <c r="HC236" s="62">
        <f>SUMIFS(tblSafety[LTI],tblSafety[Date],$A236)</f>
        <v/>
      </c>
      <c r="HD236" s="62">
        <f>IF($B236=$B235,$HD235,0)+$HC236</f>
        <v/>
      </c>
      <c r="HE236" s="62">
        <f>$HE235+$HC236</f>
        <v/>
      </c>
      <c r="HF236" s="62">
        <f>SUMIFS(tblSafety[RWI],tblSafety[Date],$A236)</f>
        <v/>
      </c>
      <c r="HG236" s="62">
        <f>IF($B236=$B235,$HG235,0)+$HF236</f>
        <v/>
      </c>
      <c r="HH236" s="62">
        <f>$HH235+$HF236</f>
        <v/>
      </c>
      <c r="HI236" s="62">
        <f>SUMIFS(tblSafety[MTI],tblSafety[Date],$A236)</f>
        <v/>
      </c>
      <c r="HJ236" s="62">
        <f>IF($B236=$B235,$HJ235,0)+$HI236</f>
        <v/>
      </c>
      <c r="HK236" s="62">
        <f>$HK235+$HI236</f>
        <v/>
      </c>
      <c r="HL236" s="62">
        <f>SUMIFS(tblSafety[FAI],tblSafety[Date],$A236)</f>
        <v/>
      </c>
      <c r="HM236" s="62">
        <f>IF($B236=$B235,$HM235,0)+$HL236</f>
        <v/>
      </c>
      <c r="HN236" s="62">
        <f>$HN235+$HL236</f>
        <v/>
      </c>
      <c r="HO236" s="62">
        <f>SUMIFS(tblSafety[Recordables],tblSafety[Date],$A236)</f>
        <v/>
      </c>
      <c r="HP236" s="62">
        <f>IF($B236=$B235,$HP235,0)+$HO236</f>
        <v/>
      </c>
      <c r="HQ236" s="62">
        <f>$HQ235+$HO236</f>
        <v/>
      </c>
      <c r="HR236" s="62">
        <f>SUMIFS(tblSafety[Near_Miss],tblSafety[Date],$A236)</f>
        <v/>
      </c>
      <c r="HS236" s="62">
        <f>IF($B236=$B235,$HS235,0)+$HR236</f>
        <v/>
      </c>
      <c r="HT236" s="62">
        <f>$HT235+$HR236</f>
        <v/>
      </c>
      <c r="HU236" s="62">
        <f>SUMIFS(tblSafety[Hazard_Reports],tblSafety[Date],$A236)</f>
        <v/>
      </c>
      <c r="HV236" s="62">
        <f>IF($B236=$B235,$HV235,0)+$HU236</f>
        <v/>
      </c>
      <c r="HW236" s="62">
        <f>$HW235+$HU236</f>
        <v/>
      </c>
      <c r="HX236" s="62">
        <f>SUMIFS(tblSafety[HPI],tblSafety[Date],$A236)</f>
        <v/>
      </c>
      <c r="HY236" s="62">
        <f>IF($B236=$B235,$HY235,0)+$HX236</f>
        <v/>
      </c>
      <c r="HZ236" s="62">
        <f>$HZ235+$HX236</f>
        <v/>
      </c>
      <c r="IA236" s="62">
        <f>SUMIFS(tblSafety[Env_Incidents],tblSafety[Date],$A236)</f>
        <v/>
      </c>
      <c r="IB236" s="62">
        <f>IF($B236=$B235,$IB235,0)+$IA236</f>
        <v/>
      </c>
      <c r="IC236" s="62">
        <f>$IC235+$IA236</f>
        <v/>
      </c>
      <c r="ID236" s="62">
        <f>SUMIFS(tblSafety[Community_Incidents],tblSafety[Date],$A236)</f>
        <v/>
      </c>
      <c r="IE236" s="62">
        <f>IF($B236=$B235,$IE235,0)+$ID236</f>
        <v/>
      </c>
      <c r="IF236" s="62">
        <f>$IF235+$ID236</f>
        <v/>
      </c>
      <c r="IG236" s="62">
        <f>SUMIFS(tblSafety[Vehicle_Incidents],tblSafety[Date],$A236)</f>
        <v/>
      </c>
      <c r="IH236" s="62">
        <f>IF($B236=$B235,$IH235,0)+$IG236</f>
        <v/>
      </c>
      <c r="II236" s="62">
        <f>$II235+$IG236</f>
        <v/>
      </c>
      <c r="IJ236" s="62">
        <f>SUMIFS(tblSafety[Toolbox_Talks],tblSafety[Date],$A236)</f>
        <v/>
      </c>
      <c r="IK236" s="62">
        <f>IF($B236=$B235,$IK235,0)+$IJ236</f>
        <v/>
      </c>
      <c r="IL236" s="62">
        <f>$IL235+$IJ236</f>
        <v/>
      </c>
      <c r="IM236" s="62">
        <f>SUMIFS(tblSafety[Inspections],tblSafety[Date],$A236)</f>
        <v/>
      </c>
      <c r="IN236" s="62">
        <f>IF($B236=$B235,$IN235,0)+$IM236</f>
        <v/>
      </c>
      <c r="IO236" s="62">
        <f>$IO235+$IM236</f>
        <v/>
      </c>
      <c r="IP236" s="56">
        <f>IFERROR((SUMIFS(tblSafety[Recordables],tblSafety[Date],"&gt;="&amp;EDATE($E236,-12),tblSafety[Date],"&lt;="&amp;$A236)+SUMIFS(tblSafetyHistory[Recordables],tblSafetyHistory[Month],"&gt;="&amp;EDATE($E236,-12),tblSafetyHistory[Month],"&lt;"&amp;$E236,tblSafetyHistory[Use],1))/(SUMIFS(tblSafety[Hours_Total],tblSafety[Date],"&gt;="&amp;EDATE($E236,-12),tblSafety[Date],"&lt;="&amp;$A236)+SUMIFS(tblSafetyHistory[Hours_Total],tblSafetyHistory[Month],"&gt;="&amp;EDATE($E236,-12),tblSafetyHistory[Month],"&lt;"&amp;$E236,tblSafetyHistory[Use],1))*cfg_RateBasisHours,"")</f>
        <v/>
      </c>
      <c r="IQ236" s="56">
        <f>IFERROR((SUMIFS(tblSafety[LTI],tblSafety[Date],"&gt;="&amp;EDATE($E236,-12),tblSafety[Date],"&lt;="&amp;$A236)+SUMIFS(tblSafetyHistory[LTI],tblSafetyHistory[Month],"&gt;="&amp;EDATE($E236,-12),tblSafetyHistory[Month],"&lt;"&amp;$E236,tblSafetyHistory[Use],1))/(SUMIFS(tblSafety[Hours_Total],tblSafety[Date],"&gt;="&amp;EDATE($E236,-12),tblSafety[Date],"&lt;="&amp;$A236)+SUMIFS(tblSafetyHistory[Hours_Total],tblSafetyHistory[Month],"&gt;="&amp;EDATE($E236,-12),tblSafetyHistory[Month],"&lt;"&amp;$E236,tblSafetyHistory[Use],1))*cfg_RateBasisHours,"")</f>
        <v/>
      </c>
      <c r="IR236" s="62">
        <f>IF(MAX(N(cfg_PriorLTIDate),_xlfn.MAXIFS(tblSafety[Date],tblSafety[LTI],"&gt;0",tblSafety[Date],"&lt;="&amp;$A236))=0,"",$A236-MAX(N(cfg_PriorLTIDate),_xlfn.MAXIFS(tblSafety[Date],tblSafety[LTI],"&gt;0",tblSafety[Date],"&lt;="&amp;$A236)))</f>
        <v/>
      </c>
      <c r="IS236" s="55">
        <f>SUMIFS(tblBudget[Ore_Mined_t],tblBudget[Month],$E236)</f>
        <v/>
      </c>
      <c r="IT236" s="55">
        <f>$IS236*$C236/$D236</f>
        <v/>
      </c>
      <c r="IU236" s="55">
        <f>SUMIFS(tblBudget[Ore_Mined_t],tblBudget[Month],"&lt;"&amp;$E236)+$IT236</f>
        <v/>
      </c>
      <c r="IV236" s="55">
        <f>SUMIFS(tblBudget[Ore_oz],tblBudget[Month],$E236)</f>
        <v/>
      </c>
      <c r="IW236" s="55">
        <f>$IV236*$C236/$D236</f>
        <v/>
      </c>
      <c r="IX236" s="55">
        <f>SUMIFS(tblBudget[Ore_oz],tblBudget[Month],"&lt;"&amp;$E236)+$IW236</f>
        <v/>
      </c>
      <c r="IY236" s="55">
        <f>SUMIFS(tblBudget[Ore_Mined_t],tblBudget[Month],$E236)</f>
        <v/>
      </c>
      <c r="IZ236" s="55">
        <f>$IY236*$C236/$D236</f>
        <v/>
      </c>
      <c r="JA236" s="55">
        <f>SUMIFS(tblBudget[Ore_Mined_t],tblBudget[Month],"&lt;"&amp;$E236)+$IZ236</f>
        <v/>
      </c>
      <c r="JB236" s="56">
        <f>IFERROR(IF(($IY236)&gt;0,($IV236*cfg_TroyOz)/($IY236),""),"")</f>
        <v/>
      </c>
      <c r="JC236" s="56">
        <f>IFERROR(IF(($IZ236)&gt;0,($IW236*cfg_TroyOz)/($IZ236),""),"")</f>
        <v/>
      </c>
      <c r="JD236" s="56">
        <f>IFERROR(IF(($JA236)&gt;0,($IX236*cfg_TroyOz)/($JA236),""),"")</f>
        <v/>
      </c>
      <c r="JE236" s="55">
        <f>SUMIFS(tblBudget[Waste_t],tblBudget[Month],$E236)</f>
        <v/>
      </c>
      <c r="JF236" s="55">
        <f>$JE236*$C236/$D236</f>
        <v/>
      </c>
      <c r="JG236" s="55">
        <f>SUMIFS(tblBudget[Waste_t],tblBudget[Month],"&lt;"&amp;$E236)+$JF236</f>
        <v/>
      </c>
      <c r="JH236" s="55">
        <f>SUMIFS(tblBudget[TMM_t],tblBudget[Month],$E236)</f>
        <v/>
      </c>
      <c r="JI236" s="55">
        <f>$JH236*$C236/$D236</f>
        <v/>
      </c>
      <c r="JJ236" s="55">
        <f>SUMIFS(tblBudget[TMM_t],tblBudget[Month],"&lt;"&amp;$E236)+$JI236</f>
        <v/>
      </c>
      <c r="JK236" s="56">
        <f>IFERROR(IF(($IS236)&gt;0,($JE236)/($IS236),""),"")</f>
        <v/>
      </c>
      <c r="JL236" s="56">
        <f>IFERROR(IF(($IT236)&gt;0,($JF236)/($IT236),""),"")</f>
        <v/>
      </c>
      <c r="JM236" s="56">
        <f>IFERROR(IF(($IU236)&gt;0,($JG236)/($IU236),""),"")</f>
        <v/>
      </c>
      <c r="JN236" s="55">
        <f>SUMIFS(tblBudget[Drill_m],tblBudget[Month],$E236)</f>
        <v/>
      </c>
      <c r="JO236" s="55">
        <f>$JN236*$C236/$D236</f>
        <v/>
      </c>
      <c r="JP236" s="55">
        <f>SUMIFS(tblBudget[Drill_m],tblBudget[Month],"&lt;"&amp;$E236)+$JO236</f>
        <v/>
      </c>
      <c r="JQ236" s="55">
        <f>SUMIFS(tblBudget[Diesel_L],tblBudget[Month],$E236)</f>
        <v/>
      </c>
      <c r="JR236" s="55">
        <f>$JQ236*$C236/$D236</f>
        <v/>
      </c>
      <c r="JS236" s="55">
        <f>SUMIFS(tblBudget[Diesel_L],tblBudget[Month],"&lt;"&amp;$E236)+$JR236</f>
        <v/>
      </c>
      <c r="JT236" s="55">
        <f>SUMIFS(tblBudget[Milled_t],tblBudget[Month],$E236)</f>
        <v/>
      </c>
      <c r="JU236" s="55">
        <f>$JT236*$C236/$D236</f>
        <v/>
      </c>
      <c r="JV236" s="55">
        <f>SUMIFS(tblBudget[Milled_t],tblBudget[Month],"&lt;"&amp;$E236)+$JU236</f>
        <v/>
      </c>
      <c r="JW236" s="55">
        <f>SUMIFS(tblBudget[Feed_oz],tblBudget[Month],$E236)</f>
        <v/>
      </c>
      <c r="JX236" s="55">
        <f>$JW236*$C236/$D236</f>
        <v/>
      </c>
      <c r="JY236" s="55">
        <f>SUMIFS(tblBudget[Feed_oz],tblBudget[Month],"&lt;"&amp;$E236)+$JX236</f>
        <v/>
      </c>
      <c r="JZ236" s="55">
        <f>SUMIFS(tblBudget[Recovered_oz],tblBudget[Month],$E236)</f>
        <v/>
      </c>
      <c r="KA236" s="55">
        <f>$JZ236*$C236/$D236</f>
        <v/>
      </c>
      <c r="KB236" s="55">
        <f>SUMIFS(tblBudget[Recovered_oz],tblBudget[Month],"&lt;"&amp;$E236)+$KA236</f>
        <v/>
      </c>
      <c r="KC236" s="55">
        <f>SUMIFS(tblBudget[Milled_t],tblBudget[Month],$E236)</f>
        <v/>
      </c>
      <c r="KD236" s="55">
        <f>$KC236*$C236/$D236</f>
        <v/>
      </c>
      <c r="KE236" s="55">
        <f>SUMIFS(tblBudget[Milled_t],tblBudget[Month],"&lt;"&amp;$E236)+$KD236</f>
        <v/>
      </c>
      <c r="KF236" s="55">
        <f>SUMIFS(tblBudget[Feed_oz],tblBudget[Month],$E236)</f>
        <v/>
      </c>
      <c r="KG236" s="55">
        <f>$KF236*$C236/$D236</f>
        <v/>
      </c>
      <c r="KH236" s="55">
        <f>SUMIFS(tblBudget[Feed_oz],tblBudget[Month],"&lt;"&amp;$E236)+$KG236</f>
        <v/>
      </c>
      <c r="KI236" s="56">
        <f>IFERROR(IF(($KC236)&gt;0,($JW236*cfg_TroyOz)/($KC236),""),"")</f>
        <v/>
      </c>
      <c r="KJ236" s="56">
        <f>IFERROR(IF(($KD236)&gt;0,($JX236*cfg_TroyOz)/($KD236),""),"")</f>
        <v/>
      </c>
      <c r="KK236" s="56">
        <f>IFERROR(IF(($KE236)&gt;0,($JY236*cfg_TroyOz)/($KE236),""),"")</f>
        <v/>
      </c>
      <c r="KL236" s="67">
        <f>IFERROR(IF(($KF236)&gt;0,($JZ236)/($KF236),""),"")</f>
        <v/>
      </c>
      <c r="KM236" s="67">
        <f>IFERROR(IF(($KG236)&gt;0,($KA236)/($KG236),""),"")</f>
        <v/>
      </c>
      <c r="KN236" s="67">
        <f>IFERROR(IF(($KH236)&gt;0,($KB236)/($KH236),""),"")</f>
        <v/>
      </c>
      <c r="KO236" s="55">
        <f>SUMIFS(tblBudget[Gold_Poured_oz],tblBudget[Month],$E236)</f>
        <v/>
      </c>
      <c r="KP236" s="55">
        <f>$KO236*$C236/$D236</f>
        <v/>
      </c>
      <c r="KQ236" s="55">
        <f>SUMIFS(tblBudget[Gold_Poured_oz],tblBudget[Month],"&lt;"&amp;$E236)+$KP236</f>
        <v/>
      </c>
      <c r="KR236" s="57">
        <f>SUMIFS(tblBudget[Hours_Worked],tblBudget[Month],$E236)</f>
        <v/>
      </c>
      <c r="KS236" s="57">
        <f>$KR236*$C236/$D236</f>
        <v/>
      </c>
      <c r="KT236" s="57">
        <f>SUMIFS(tblBudget[Hours_Worked],tblBudget[Month],"&lt;"&amp;$E236)+$KS236</f>
        <v/>
      </c>
    </row>
    <row r="237">
      <c r="A237" s="54" t="n">
        <v>46258</v>
      </c>
      <c r="B237">
        <f>MONTH($A237)</f>
        <v/>
      </c>
      <c r="C237">
        <f>DAY($A237)</f>
        <v/>
      </c>
      <c r="D237">
        <f>DAY(EOMONTH($A237,0))</f>
        <v/>
      </c>
      <c r="E237" s="54">
        <f>DATE(YEAR($A237),MONTH($A237),1)</f>
        <v/>
      </c>
      <c r="F237" s="55">
        <f>SUMIFS(tblMovement[Tonnes_t],tblMovement[Date],$A237,tblMovement[Is_Ore],1,tblMovement[Source_Type],"Pit")</f>
        <v/>
      </c>
      <c r="G237" s="55">
        <f>IF($B237=$B236,$G236,0)+$F237</f>
        <v/>
      </c>
      <c r="H237" s="55">
        <f>$H236+$F237</f>
        <v/>
      </c>
      <c r="I237" s="55">
        <f>SUMIFS(tblMovement[Ore_oz],tblMovement[Date],$A237,tblMovement[Source_Type],"Pit")</f>
        <v/>
      </c>
      <c r="J237" s="55">
        <f>IF($B237=$B236,$J236,0)+$I237</f>
        <v/>
      </c>
      <c r="K237" s="55">
        <f>$K236+$I237</f>
        <v/>
      </c>
      <c r="L237" s="55">
        <f>SUMIFS(tblMovement[Tonnes_t],tblMovement[Date],$A237,tblMovement[Is_Ore],1,tblMovement[Source_Type],"Pit",tblMovement[Grade_gpt],"&lt;&gt;")</f>
        <v/>
      </c>
      <c r="M237" s="55">
        <f>IF($B237=$B236,$M236,0)+$L237</f>
        <v/>
      </c>
      <c r="N237" s="55">
        <f>$N236+$L237</f>
        <v/>
      </c>
      <c r="O237" s="56">
        <f>IFERROR(IF(($L237)&gt;0,($I237*cfg_TroyOz)/($L237),""),"")</f>
        <v/>
      </c>
      <c r="P237" s="56">
        <f>IFERROR(IF(($M237)&gt;0,($J237*cfg_TroyOz)/($M237),""),"")</f>
        <v/>
      </c>
      <c r="Q237" s="56">
        <f>IFERROR(IF(($N237)&gt;0,($K237*cfg_TroyOz)/($N237),""),"")</f>
        <v/>
      </c>
      <c r="R237" s="55">
        <f>$F237-$L237</f>
        <v/>
      </c>
      <c r="S237" s="55">
        <f>IF($B237=$B236,$S236,0)+$R237</f>
        <v/>
      </c>
      <c r="T237" s="55">
        <f>$T236+$R237</f>
        <v/>
      </c>
      <c r="U237" s="55">
        <f>SUMIFS(tblMovement[Tonnes_t],tblMovement[Date],$A237,tblMovement[Is_Ore],0,tblMovement[Source_Type],"Pit")</f>
        <v/>
      </c>
      <c r="V237" s="55">
        <f>IF($B237=$B236,$V236,0)+$U237</f>
        <v/>
      </c>
      <c r="W237" s="55">
        <f>$W236+$U237</f>
        <v/>
      </c>
      <c r="X237" s="55">
        <f>$F237+$U237</f>
        <v/>
      </c>
      <c r="Y237" s="55">
        <f>IF($B237=$B236,$Y236,0)+$X237</f>
        <v/>
      </c>
      <c r="Z237" s="55">
        <f>$Z236+$X237</f>
        <v/>
      </c>
      <c r="AA237" s="56">
        <f>IFERROR(IF(($F237)&gt;0,($U237)/($F237),""),"")</f>
        <v/>
      </c>
      <c r="AB237" s="56">
        <f>IFERROR(IF(($G237)&gt;0,($V237)/($G237),""),"")</f>
        <v/>
      </c>
      <c r="AC237" s="56">
        <f>IFERROR(IF(($H237)&gt;0,($W237)/($H237),""),"")</f>
        <v/>
      </c>
      <c r="AD237" s="55">
        <f>SUMIFS(tblMovement[Tonnes_t],tblMovement[Date],$A237,tblMovement[Source_Type],"Stockpile")</f>
        <v/>
      </c>
      <c r="AE237" s="55">
        <f>IF($B237=$B236,$AE236,0)+$AD237</f>
        <v/>
      </c>
      <c r="AF237" s="55">
        <f>$AF236+$AD237</f>
        <v/>
      </c>
      <c r="AG237" s="55">
        <f>SUMIFS(tblMovement[Tonnes_t],tblMovement[Date],$A237)</f>
        <v/>
      </c>
      <c r="AH237" s="55">
        <f>IF($B237=$B236,$AH236,0)+$AG237</f>
        <v/>
      </c>
      <c r="AI237" s="55">
        <f>$AI236+$AG237</f>
        <v/>
      </c>
      <c r="AJ237" s="55">
        <f>$AG237-$X237-$AD237</f>
        <v/>
      </c>
      <c r="AK237" s="55">
        <f>IF($B237=$B236,$AK236,0)+$AJ237</f>
        <v/>
      </c>
      <c r="AL237" s="55">
        <f>$AL236+$AJ237</f>
        <v/>
      </c>
      <c r="AM237" s="55">
        <f>SUMIFS(tblMiningDaily[Drill_m],tblMiningDaily[Date],$A237)</f>
        <v/>
      </c>
      <c r="AN237" s="55">
        <f>IF($B237=$B236,$AN236,0)+$AM237</f>
        <v/>
      </c>
      <c r="AO237" s="55">
        <f>$AO236+$AM237</f>
        <v/>
      </c>
      <c r="AP237" s="55">
        <f>SUMIFS(tblMiningDaily[GC_Drill_m],tblMiningDaily[Date],$A237)</f>
        <v/>
      </c>
      <c r="AQ237" s="55">
        <f>IF($B237=$B236,$AQ236,0)+$AP237</f>
        <v/>
      </c>
      <c r="AR237" s="55">
        <f>$AR236+$AP237</f>
        <v/>
      </c>
      <c r="AS237" s="55">
        <f>SUMIFS(tblMiningDaily[Blast_t],tblMiningDaily[Date],$A237)</f>
        <v/>
      </c>
      <c r="AT237" s="55">
        <f>IF($B237=$B236,$AT236,0)+$AS237</f>
        <v/>
      </c>
      <c r="AU237" s="55">
        <f>$AU236+$AS237</f>
        <v/>
      </c>
      <c r="AV237" s="55">
        <f>SUMIFS(tblMiningDaily[Explosives_kg],tblMiningDaily[Date],$A237)</f>
        <v/>
      </c>
      <c r="AW237" s="55">
        <f>IF($B237=$B236,$AW236,0)+$AV237</f>
        <v/>
      </c>
      <c r="AX237" s="55">
        <f>$AX236+$AV237</f>
        <v/>
      </c>
      <c r="AY237" s="56">
        <f>IFERROR(IF(($AS237)&gt;0,($AV237)/($AS237),""),"")</f>
        <v/>
      </c>
      <c r="AZ237" s="56">
        <f>IFERROR(IF(($AT237)&gt;0,($AW237)/($AT237),""),"")</f>
        <v/>
      </c>
      <c r="BA237" s="56">
        <f>IFERROR(IF(($AU237)&gt;0,($AX237)/($AU237),""),"")</f>
        <v/>
      </c>
      <c r="BB237" s="55">
        <f>SUMIFS(tblMiningDaily[Diesel_L],tblMiningDaily[Date],$A237)</f>
        <v/>
      </c>
      <c r="BC237" s="55">
        <f>IF($B237=$B236,$BC236,0)+$BB237</f>
        <v/>
      </c>
      <c r="BD237" s="55">
        <f>$BD236+$BB237</f>
        <v/>
      </c>
      <c r="BE237" s="55">
        <f>SUMIFS(tblMiningDaily[Dewatering_m3],tblMiningDaily[Date],$A237)</f>
        <v/>
      </c>
      <c r="BF237" s="55">
        <f>IF($B237=$B236,$BF236,0)+$BE237</f>
        <v/>
      </c>
      <c r="BG237" s="55">
        <f>$BG236+$BE237</f>
        <v/>
      </c>
      <c r="BH237" s="57">
        <f>SUMIFS(tblFleet[Calendar_h],tblFleet[Date],$A237,tblFleet[Equipment_Class],"Excavator")</f>
        <v/>
      </c>
      <c r="BI237" s="57">
        <f>IF($B237=$B236,$BI236,0)+$BH237</f>
        <v/>
      </c>
      <c r="BJ237" s="57">
        <f>$BJ236+$BH237</f>
        <v/>
      </c>
      <c r="BK237" s="57">
        <f>SUMIFS(tblFleet[Available_h],tblFleet[Date],$A237,tblFleet[Equipment_Class],"Excavator")</f>
        <v/>
      </c>
      <c r="BL237" s="57">
        <f>IF($B237=$B236,$BL236,0)+$BK237</f>
        <v/>
      </c>
      <c r="BM237" s="57">
        <f>$BM236+$BK237</f>
        <v/>
      </c>
      <c r="BN237" s="57">
        <f>SUMIFS(tblFleet[Operating_h],tblFleet[Date],$A237,tblFleet[Equipment_Class],"Excavator")</f>
        <v/>
      </c>
      <c r="BO237" s="57">
        <f>IF($B237=$B236,$BO236,0)+$BN237</f>
        <v/>
      </c>
      <c r="BP237" s="57">
        <f>$BP236+$BN237</f>
        <v/>
      </c>
      <c r="BQ237" s="67">
        <f>IFERROR(IF(($BH237)&gt;0,($BK237)/($BH237),""),"")</f>
        <v/>
      </c>
      <c r="BR237" s="67">
        <f>IFERROR(IF(($BI237)&gt;0,($BL237)/($BI237),""),"")</f>
        <v/>
      </c>
      <c r="BS237" s="67">
        <f>IFERROR(IF(($BJ237)&gt;0,($BM237)/($BJ237),""),"")</f>
        <v/>
      </c>
      <c r="BT237" s="67">
        <f>IFERROR(IF(($BK237)&gt;0,($BN237)/($BK237),""),"")</f>
        <v/>
      </c>
      <c r="BU237" s="67">
        <f>IFERROR(IF(($BL237)&gt;0,($BO237)/($BL237),""),"")</f>
        <v/>
      </c>
      <c r="BV237" s="67">
        <f>IFERROR(IF(($BM237)&gt;0,($BP237)/($BM237),""),"")</f>
        <v/>
      </c>
      <c r="BW237" s="57">
        <f>SUMIFS(tblFleet[Calendar_h],tblFleet[Date],$A237,tblFleet[Equipment_Class],"Haul Truck")</f>
        <v/>
      </c>
      <c r="BX237" s="57">
        <f>IF($B237=$B236,$BX236,0)+$BW237</f>
        <v/>
      </c>
      <c r="BY237" s="57">
        <f>$BY236+$BW237</f>
        <v/>
      </c>
      <c r="BZ237" s="57">
        <f>SUMIFS(tblFleet[Available_h],tblFleet[Date],$A237,tblFleet[Equipment_Class],"Haul Truck")</f>
        <v/>
      </c>
      <c r="CA237" s="57">
        <f>IF($B237=$B236,$CA236,0)+$BZ237</f>
        <v/>
      </c>
      <c r="CB237" s="57">
        <f>$CB236+$BZ237</f>
        <v/>
      </c>
      <c r="CC237" s="57">
        <f>SUMIFS(tblFleet[Operating_h],tblFleet[Date],$A237,tblFleet[Equipment_Class],"Haul Truck")</f>
        <v/>
      </c>
      <c r="CD237" s="57">
        <f>IF($B237=$B236,$CD236,0)+$CC237</f>
        <v/>
      </c>
      <c r="CE237" s="57">
        <f>$CE236+$CC237</f>
        <v/>
      </c>
      <c r="CF237" s="67">
        <f>IFERROR(IF(($BW237)&gt;0,($BZ237)/($BW237),""),"")</f>
        <v/>
      </c>
      <c r="CG237" s="67">
        <f>IFERROR(IF(($BX237)&gt;0,($CA237)/($BX237),""),"")</f>
        <v/>
      </c>
      <c r="CH237" s="67">
        <f>IFERROR(IF(($BY237)&gt;0,($CB237)/($BY237),""),"")</f>
        <v/>
      </c>
      <c r="CI237" s="67">
        <f>IFERROR(IF(($BZ237)&gt;0,($CC237)/($BZ237),""),"")</f>
        <v/>
      </c>
      <c r="CJ237" s="67">
        <f>IFERROR(IF(($CA237)&gt;0,($CD237)/($CA237),""),"")</f>
        <v/>
      </c>
      <c r="CK237" s="67">
        <f>IFERROR(IF(($CB237)&gt;0,($CE237)/($CB237),""),"")</f>
        <v/>
      </c>
      <c r="CL237" s="55">
        <f>IFERROR(IF(($BN237)&gt;0,($X237+$AD237)/($BN237),""),"")</f>
        <v/>
      </c>
      <c r="CM237" s="55">
        <f>IFERROR(IF(($BO237)&gt;0,($Y237+$AE237)/($BO237),""),"")</f>
        <v/>
      </c>
      <c r="CN237" s="55">
        <f>IFERROR(IF(($BP237)&gt;0,($Z237+$AF237)/($BP237),""),"")</f>
        <v/>
      </c>
      <c r="CO237" s="55">
        <f>IFERROR(IF(($CC237)&gt;0,($X237+$AD237)/($CC237),""),"")</f>
        <v/>
      </c>
      <c r="CP237" s="55">
        <f>IFERROR(IF(($CD237)&gt;0,($Y237+$AE237)/($CD237),""),"")</f>
        <v/>
      </c>
      <c r="CQ237" s="55">
        <f>IFERROR(IF(($CE237)&gt;0,($Z237+$AF237)/($CE237),""),"")</f>
        <v/>
      </c>
      <c r="CR237" s="55">
        <f>SUMIFS(tblPlant[Crushed_t],tblPlant[Date],$A237)</f>
        <v/>
      </c>
      <c r="CS237" s="55">
        <f>IF($B237=$B236,$CS236,0)+$CR237</f>
        <v/>
      </c>
      <c r="CT237" s="55">
        <f>$CT236+$CR237</f>
        <v/>
      </c>
      <c r="CU237" s="55">
        <f>SUMIFS(tblPlant[Milled_t],tblPlant[Date],$A237)</f>
        <v/>
      </c>
      <c r="CV237" s="55">
        <f>IF($B237=$B236,$CV236,0)+$CU237</f>
        <v/>
      </c>
      <c r="CW237" s="55">
        <f>$CW236+$CU237</f>
        <v/>
      </c>
      <c r="CX237" s="55">
        <f>SUMIFS(tblPlant[Feed_oz],tblPlant[Date],$A237)</f>
        <v/>
      </c>
      <c r="CY237" s="55">
        <f>IF($B237=$B236,$CY236,0)+$CX237</f>
        <v/>
      </c>
      <c r="CZ237" s="55">
        <f>$CZ236+$CX237</f>
        <v/>
      </c>
      <c r="DA237" s="55">
        <f>SUMIFS(tblPlant[Tails_oz],tblPlant[Date],$A237)</f>
        <v/>
      </c>
      <c r="DB237" s="55">
        <f>IF($B237=$B236,$DB236,0)+$DA237</f>
        <v/>
      </c>
      <c r="DC237" s="55">
        <f>$DC236+$DA237</f>
        <v/>
      </c>
      <c r="DD237" s="55">
        <f>SUMIFS(tblPlant[Recovered_oz],tblPlant[Date],$A237)</f>
        <v/>
      </c>
      <c r="DE237" s="55">
        <f>IF($B237=$B236,$DE236,0)+$DD237</f>
        <v/>
      </c>
      <c r="DF237" s="55">
        <f>$DF236+$DD237</f>
        <v/>
      </c>
      <c r="DG237" s="55">
        <f>SUMIFS(tblPlant[Milled_t],tblPlant[Date],$A237,tblPlant[Head_Grade_gpt],"&lt;&gt;")</f>
        <v/>
      </c>
      <c r="DH237" s="55">
        <f>IF($B237=$B236,$DH236,0)+$DG237</f>
        <v/>
      </c>
      <c r="DI237" s="55">
        <f>$DI236+$DG237</f>
        <v/>
      </c>
      <c r="DJ237" s="55">
        <f>SUMIFS(tblPlant[Milled_t],tblPlant[Date],$A237,tblPlant[Tails_Grade_gpt],"&lt;&gt;")</f>
        <v/>
      </c>
      <c r="DK237" s="55">
        <f>IF($B237=$B236,$DK236,0)+$DJ237</f>
        <v/>
      </c>
      <c r="DL237" s="55">
        <f>$DL236+$DJ237</f>
        <v/>
      </c>
      <c r="DM237" s="55">
        <f>SUMIFS(tblPlant[Feed_oz],tblPlant[Date],$A237,tblPlant[Tails_Grade_gpt],"&lt;&gt;")</f>
        <v/>
      </c>
      <c r="DN237" s="55">
        <f>IF($B237=$B236,$DN236,0)+$DM237</f>
        <v/>
      </c>
      <c r="DO237" s="55">
        <f>$DO236+$DM237</f>
        <v/>
      </c>
      <c r="DP237" s="55">
        <f>SUMIFS(tblPlant[Milled_t],tblPlant[Date],$A237,tblPlant[Mill_Run_h],"&lt;&gt;")</f>
        <v/>
      </c>
      <c r="DQ237" s="55">
        <f>IF($B237=$B236,$DQ236,0)+$DP237</f>
        <v/>
      </c>
      <c r="DR237" s="55">
        <f>$DR236+$DP237</f>
        <v/>
      </c>
      <c r="DS237" s="56">
        <f>IFERROR(IF(($DG237)&gt;0,($CX237*cfg_TroyOz)/($DG237),""),"")</f>
        <v/>
      </c>
      <c r="DT237" s="56">
        <f>IFERROR(IF(($DH237)&gt;0,($CY237*cfg_TroyOz)/($DH237),""),"")</f>
        <v/>
      </c>
      <c r="DU237" s="56">
        <f>IFERROR(IF(($DI237)&gt;0,($CZ237*cfg_TroyOz)/($DI237),""),"")</f>
        <v/>
      </c>
      <c r="DV237" s="56">
        <f>IFERROR(IF(($DJ237)&gt;0,($DA237*cfg_TroyOz)/($DJ237),""),"")</f>
        <v/>
      </c>
      <c r="DW237" s="56">
        <f>IFERROR(IF(($DK237)&gt;0,($DB237*cfg_TroyOz)/($DK237),""),"")</f>
        <v/>
      </c>
      <c r="DX237" s="56">
        <f>IFERROR(IF(($DL237)&gt;0,($DC237*cfg_TroyOz)/($DL237),""),"")</f>
        <v/>
      </c>
      <c r="DY237" s="67">
        <f>IFERROR(IF(($DM237)&gt;0,($DD237)/($DM237),""),"")</f>
        <v/>
      </c>
      <c r="DZ237" s="67">
        <f>IFERROR(IF(($DN237)&gt;0,($DE237)/($DN237),""),"")</f>
        <v/>
      </c>
      <c r="EA237" s="67">
        <f>IFERROR(IF(($DO237)&gt;0,($DF237)/($DO237),""),"")</f>
        <v/>
      </c>
      <c r="EB237" s="55">
        <f>SUMIFS(tblPlant[Gravity_Gold_oz],tblPlant[Date],$A237)</f>
        <v/>
      </c>
      <c r="EC237" s="55">
        <f>IF($B237=$B236,$EC236,0)+$EB237</f>
        <v/>
      </c>
      <c r="ED237" s="55">
        <f>$ED236+$EB237</f>
        <v/>
      </c>
      <c r="EE237" s="67">
        <f>IFERROR(IF(($DD237)&gt;0,($EB237)/($DD237),""),"")</f>
        <v/>
      </c>
      <c r="EF237" s="67">
        <f>IFERROR(IF(($DE237)&gt;0,($EC237)/($DE237),""),"")</f>
        <v/>
      </c>
      <c r="EG237" s="67">
        <f>IFERROR(IF(($DF237)&gt;0,($ED237)/($DF237),""),"")</f>
        <v/>
      </c>
      <c r="EH237" s="55">
        <f>SUMIFS(tblPlant[Gold_Poured_oz],tblPlant[Date],$A237)</f>
        <v/>
      </c>
      <c r="EI237" s="55">
        <f>IF($B237=$B236,$EI236,0)+$EH237</f>
        <v/>
      </c>
      <c r="EJ237" s="55">
        <f>$EJ236+$EH237</f>
        <v/>
      </c>
      <c r="EK237" s="57">
        <f>SUMIFS(tblPlant[Mill_Run_h],tblPlant[Date],$A237)</f>
        <v/>
      </c>
      <c r="EL237" s="57">
        <f>IF($B237=$B236,$EL236,0)+$EK237</f>
        <v/>
      </c>
      <c r="EM237" s="57">
        <f>$EM236+$EK237</f>
        <v/>
      </c>
      <c r="EN237" s="57">
        <f>SUMIFS(tblPlant[Mill_Planned_Maint_h],tblPlant[Date],$A237)</f>
        <v/>
      </c>
      <c r="EO237" s="57">
        <f>IF($B237=$B236,$EO236,0)+$EN237</f>
        <v/>
      </c>
      <c r="EP237" s="57">
        <f>$EP236+$EN237</f>
        <v/>
      </c>
      <c r="EQ237" s="57">
        <f>SUMIFS(tblPlant[Mill_Unplanned_Down_h],tblPlant[Date],$A237)</f>
        <v/>
      </c>
      <c r="ER237" s="57">
        <f>IF($B237=$B236,$ER236,0)+$EQ237</f>
        <v/>
      </c>
      <c r="ES237" s="57">
        <f>$ES236+$EQ237</f>
        <v/>
      </c>
      <c r="ET237" s="57">
        <f>IF(COUNTIFS(tblPlant[Date],$A237,tblPlant[Mill_Run_h],"&lt;&gt;")+COUNTIFS(tblPlant[Date],$A237,tblPlant[Mill_Planned_Maint_h],"&lt;&gt;")+COUNTIFS(tblPlant[Date],$A237,tblPlant[Mill_Unplanned_Down_h],"&lt;&gt;")&gt;0,cfg_HoursPerDay,0)</f>
        <v/>
      </c>
      <c r="EU237" s="57">
        <f>IF($B237=$B236,$EU236,0)+$ET237</f>
        <v/>
      </c>
      <c r="EV237" s="57">
        <f>$EV236+$ET237</f>
        <v/>
      </c>
      <c r="EW237" s="57">
        <f>SUMIFS(tblPlant[Crusher_Run_h],tblPlant[Date],$A237)</f>
        <v/>
      </c>
      <c r="EX237" s="57">
        <f>IF($B237=$B236,$EX236,0)+$EW237</f>
        <v/>
      </c>
      <c r="EY237" s="57">
        <f>$EY236+$EW237</f>
        <v/>
      </c>
      <c r="EZ237" s="55">
        <f>IFERROR(IF(($EK237)&gt;0,($DP237)/($EK237),""),"")</f>
        <v/>
      </c>
      <c r="FA237" s="55">
        <f>IFERROR(IF(($EL237)&gt;0,($DQ237)/($EL237),""),"")</f>
        <v/>
      </c>
      <c r="FB237" s="55">
        <f>IFERROR(IF(($EM237)&gt;0,($DR237)/($EM237),""),"")</f>
        <v/>
      </c>
      <c r="FC237" s="67">
        <f>IFERROR(IF(($ET237)&gt;0,($ET237-$EN237-$EQ237)/($ET237),""),"")</f>
        <v/>
      </c>
      <c r="FD237" s="67">
        <f>IFERROR(IF(($EU237)&gt;0,($EU237-$EO237-$ER237)/($EU237),""),"")</f>
        <v/>
      </c>
      <c r="FE237" s="67">
        <f>IFERROR(IF(($EV237)&gt;0,($EV237-$EP237-$ES237)/($EV237),""),"")</f>
        <v/>
      </c>
      <c r="FF237" s="67">
        <f>IFERROR(IF(($ET237-$EN237-$EQ237)&gt;0,($EK237)/($ET237-$EN237-$EQ237),""),"")</f>
        <v/>
      </c>
      <c r="FG237" s="67">
        <f>IFERROR(IF(($EU237-$EO237-$ER237)&gt;0,($EL237)/($EU237-$EO237-$ER237),""),"")</f>
        <v/>
      </c>
      <c r="FH237" s="67">
        <f>IFERROR(IF(($EV237-$EP237-$ES237)&gt;0,($EM237)/($EV237-$EP237-$ES237),""),"")</f>
        <v/>
      </c>
      <c r="FI237" s="55">
        <f>SUMIFS(tblPlant[Cyanide_kg],tblPlant[Date],$A237)</f>
        <v/>
      </c>
      <c r="FJ237" s="55">
        <f>IF($B237=$B236,$FJ236,0)+$FI237</f>
        <v/>
      </c>
      <c r="FK237" s="55">
        <f>$FK236+$FI237</f>
        <v/>
      </c>
      <c r="FL237" s="55">
        <f>SUMIFS(tblPlant[Lime_kg],tblPlant[Date],$A237)</f>
        <v/>
      </c>
      <c r="FM237" s="55">
        <f>IF($B237=$B236,$FM236,0)+$FL237</f>
        <v/>
      </c>
      <c r="FN237" s="55">
        <f>$FN236+$FL237</f>
        <v/>
      </c>
      <c r="FO237" s="55">
        <f>SUMIFS(tblPlant[Grinding_Media_kg],tblPlant[Date],$A237)</f>
        <v/>
      </c>
      <c r="FP237" s="55">
        <f>IF($B237=$B236,$FP236,0)+$FO237</f>
        <v/>
      </c>
      <c r="FQ237" s="55">
        <f>$FQ236+$FO237</f>
        <v/>
      </c>
      <c r="FR237" s="55">
        <f>SUMIFS(tblPlant[Power_kWh],tblPlant[Date],$A237)</f>
        <v/>
      </c>
      <c r="FS237" s="55">
        <f>IF($B237=$B236,$FS236,0)+$FR237</f>
        <v/>
      </c>
      <c r="FT237" s="55">
        <f>$FT236+$FR237</f>
        <v/>
      </c>
      <c r="FU237" s="55">
        <f>SUMIFS(tblPlant[Raw_Water_m3],tblPlant[Date],$A237)</f>
        <v/>
      </c>
      <c r="FV237" s="55">
        <f>IF($B237=$B236,$FV236,0)+$FU237</f>
        <v/>
      </c>
      <c r="FW237" s="55">
        <f>$FW236+$FU237</f>
        <v/>
      </c>
      <c r="FX237" s="56">
        <f>IFERROR(IF(($CU237)&gt;0,($FI237)/($CU237),""),"")</f>
        <v/>
      </c>
      <c r="FY237" s="56">
        <f>IFERROR(IF(($CV237)&gt;0,($FJ237)/($CV237),""),"")</f>
        <v/>
      </c>
      <c r="FZ237" s="56">
        <f>IFERROR(IF(($CW237)&gt;0,($FK237)/($CW237),""),"")</f>
        <v/>
      </c>
      <c r="GA237" s="56">
        <f>IFERROR(IF(($CU237)&gt;0,($FL237)/($CU237),""),"")</f>
        <v/>
      </c>
      <c r="GB237" s="56">
        <f>IFERROR(IF(($CV237)&gt;0,($FM237)/($CV237),""),"")</f>
        <v/>
      </c>
      <c r="GC237" s="56">
        <f>IFERROR(IF(($CW237)&gt;0,($FN237)/($CW237),""),"")</f>
        <v/>
      </c>
      <c r="GD237" s="56">
        <f>IFERROR(IF(($CU237)&gt;0,($FO237)/($CU237),""),"")</f>
        <v/>
      </c>
      <c r="GE237" s="56">
        <f>IFERROR(IF(($CV237)&gt;0,($FP237)/($CV237),""),"")</f>
        <v/>
      </c>
      <c r="GF237" s="56">
        <f>IFERROR(IF(($CW237)&gt;0,($FQ237)/($CW237),""),"")</f>
        <v/>
      </c>
      <c r="GG237" s="79">
        <f>IFERROR(IF(($CU237)&gt;0,($FR237)/($CU237),""),"")</f>
        <v/>
      </c>
      <c r="GH237" s="79">
        <f>IFERROR(IF(($CV237)&gt;0,($FS237)/($CV237),""),"")</f>
        <v/>
      </c>
      <c r="GI237" s="79">
        <f>IFERROR(IF(($CW237)&gt;0,($FT237)/($CW237),""),"")</f>
        <v/>
      </c>
      <c r="GJ237" s="56">
        <f>IFERROR(IF(($CU237)&gt;0,($FU237)/($CU237),""),"")</f>
        <v/>
      </c>
      <c r="GK237" s="56">
        <f>IFERROR(IF(($CV237)&gt;0,($FV237)/($CV237),""),"")</f>
        <v/>
      </c>
      <c r="GL237" s="56">
        <f>IFERROR(IF(($CW237)&gt;0,($FW237)/($CW237),""),"")</f>
        <v/>
      </c>
      <c r="GM237" s="55">
        <f>IF(SUMIFS(tblPlant[GIC_oz],tblPlant[Date],$A237)&gt;0,SUMIFS(tblPlant[GIC_oz],tblPlant[Date],$A237),"")</f>
        <v/>
      </c>
      <c r="GN237" s="55">
        <f>SUMIFS(tblGold[Gold_oz],tblGold[Date],$A237,tblGold[Type],"Shipment")</f>
        <v/>
      </c>
      <c r="GO237" s="55">
        <f>IF($B237=$B236,$GO236,0)+$GN237</f>
        <v/>
      </c>
      <c r="GP237" s="55">
        <f>$GP236+$GN237</f>
        <v/>
      </c>
      <c r="GQ237" s="55">
        <f>SUMIFS(tblGold[Gold_oz],tblGold[Date],$A237,tblGold[Type],"Sale")</f>
        <v/>
      </c>
      <c r="GR237" s="55">
        <f>IF($B237=$B236,$GR236,0)+$GQ237</f>
        <v/>
      </c>
      <c r="GS237" s="55">
        <f>$GS236+$GQ237</f>
        <v/>
      </c>
      <c r="GT237" s="55">
        <f>SUMIFS(tblGold[Dore_kg],tblGold[Date],$A237,tblGold[Type],"Shipment")</f>
        <v/>
      </c>
      <c r="GU237" s="55">
        <f>IF($B237=$B236,$GU236,0)+$GT237</f>
        <v/>
      </c>
      <c r="GV237" s="55">
        <f>$GV236+$GT237</f>
        <v/>
      </c>
      <c r="GW237" s="57">
        <f>SUMIFS(tblSafety[Hours_Total],tblSafety[Date],$A237)</f>
        <v/>
      </c>
      <c r="GX237" s="57">
        <f>IF($B237=$B236,$GX236,0)+$GW237</f>
        <v/>
      </c>
      <c r="GY237" s="57">
        <f>$GY236+$GW237</f>
        <v/>
      </c>
      <c r="GZ237" s="62">
        <f>SUMIFS(tblSafety[Fatality],tblSafety[Date],$A237)</f>
        <v/>
      </c>
      <c r="HA237" s="62">
        <f>IF($B237=$B236,$HA236,0)+$GZ237</f>
        <v/>
      </c>
      <c r="HB237" s="62">
        <f>$HB236+$GZ237</f>
        <v/>
      </c>
      <c r="HC237" s="62">
        <f>SUMIFS(tblSafety[LTI],tblSafety[Date],$A237)</f>
        <v/>
      </c>
      <c r="HD237" s="62">
        <f>IF($B237=$B236,$HD236,0)+$HC237</f>
        <v/>
      </c>
      <c r="HE237" s="62">
        <f>$HE236+$HC237</f>
        <v/>
      </c>
      <c r="HF237" s="62">
        <f>SUMIFS(tblSafety[RWI],tblSafety[Date],$A237)</f>
        <v/>
      </c>
      <c r="HG237" s="62">
        <f>IF($B237=$B236,$HG236,0)+$HF237</f>
        <v/>
      </c>
      <c r="HH237" s="62">
        <f>$HH236+$HF237</f>
        <v/>
      </c>
      <c r="HI237" s="62">
        <f>SUMIFS(tblSafety[MTI],tblSafety[Date],$A237)</f>
        <v/>
      </c>
      <c r="HJ237" s="62">
        <f>IF($B237=$B236,$HJ236,0)+$HI237</f>
        <v/>
      </c>
      <c r="HK237" s="62">
        <f>$HK236+$HI237</f>
        <v/>
      </c>
      <c r="HL237" s="62">
        <f>SUMIFS(tblSafety[FAI],tblSafety[Date],$A237)</f>
        <v/>
      </c>
      <c r="HM237" s="62">
        <f>IF($B237=$B236,$HM236,0)+$HL237</f>
        <v/>
      </c>
      <c r="HN237" s="62">
        <f>$HN236+$HL237</f>
        <v/>
      </c>
      <c r="HO237" s="62">
        <f>SUMIFS(tblSafety[Recordables],tblSafety[Date],$A237)</f>
        <v/>
      </c>
      <c r="HP237" s="62">
        <f>IF($B237=$B236,$HP236,0)+$HO237</f>
        <v/>
      </c>
      <c r="HQ237" s="62">
        <f>$HQ236+$HO237</f>
        <v/>
      </c>
      <c r="HR237" s="62">
        <f>SUMIFS(tblSafety[Near_Miss],tblSafety[Date],$A237)</f>
        <v/>
      </c>
      <c r="HS237" s="62">
        <f>IF($B237=$B236,$HS236,0)+$HR237</f>
        <v/>
      </c>
      <c r="HT237" s="62">
        <f>$HT236+$HR237</f>
        <v/>
      </c>
      <c r="HU237" s="62">
        <f>SUMIFS(tblSafety[Hazard_Reports],tblSafety[Date],$A237)</f>
        <v/>
      </c>
      <c r="HV237" s="62">
        <f>IF($B237=$B236,$HV236,0)+$HU237</f>
        <v/>
      </c>
      <c r="HW237" s="62">
        <f>$HW236+$HU237</f>
        <v/>
      </c>
      <c r="HX237" s="62">
        <f>SUMIFS(tblSafety[HPI],tblSafety[Date],$A237)</f>
        <v/>
      </c>
      <c r="HY237" s="62">
        <f>IF($B237=$B236,$HY236,0)+$HX237</f>
        <v/>
      </c>
      <c r="HZ237" s="62">
        <f>$HZ236+$HX237</f>
        <v/>
      </c>
      <c r="IA237" s="62">
        <f>SUMIFS(tblSafety[Env_Incidents],tblSafety[Date],$A237)</f>
        <v/>
      </c>
      <c r="IB237" s="62">
        <f>IF($B237=$B236,$IB236,0)+$IA237</f>
        <v/>
      </c>
      <c r="IC237" s="62">
        <f>$IC236+$IA237</f>
        <v/>
      </c>
      <c r="ID237" s="62">
        <f>SUMIFS(tblSafety[Community_Incidents],tblSafety[Date],$A237)</f>
        <v/>
      </c>
      <c r="IE237" s="62">
        <f>IF($B237=$B236,$IE236,0)+$ID237</f>
        <v/>
      </c>
      <c r="IF237" s="62">
        <f>$IF236+$ID237</f>
        <v/>
      </c>
      <c r="IG237" s="62">
        <f>SUMIFS(tblSafety[Vehicle_Incidents],tblSafety[Date],$A237)</f>
        <v/>
      </c>
      <c r="IH237" s="62">
        <f>IF($B237=$B236,$IH236,0)+$IG237</f>
        <v/>
      </c>
      <c r="II237" s="62">
        <f>$II236+$IG237</f>
        <v/>
      </c>
      <c r="IJ237" s="62">
        <f>SUMIFS(tblSafety[Toolbox_Talks],tblSafety[Date],$A237)</f>
        <v/>
      </c>
      <c r="IK237" s="62">
        <f>IF($B237=$B236,$IK236,0)+$IJ237</f>
        <v/>
      </c>
      <c r="IL237" s="62">
        <f>$IL236+$IJ237</f>
        <v/>
      </c>
      <c r="IM237" s="62">
        <f>SUMIFS(tblSafety[Inspections],tblSafety[Date],$A237)</f>
        <v/>
      </c>
      <c r="IN237" s="62">
        <f>IF($B237=$B236,$IN236,0)+$IM237</f>
        <v/>
      </c>
      <c r="IO237" s="62">
        <f>$IO236+$IM237</f>
        <v/>
      </c>
      <c r="IP237" s="56">
        <f>IFERROR((SUMIFS(tblSafety[Recordables],tblSafety[Date],"&gt;="&amp;EDATE($E237,-12),tblSafety[Date],"&lt;="&amp;$A237)+SUMIFS(tblSafetyHistory[Recordables],tblSafetyHistory[Month],"&gt;="&amp;EDATE($E237,-12),tblSafetyHistory[Month],"&lt;"&amp;$E237,tblSafetyHistory[Use],1))/(SUMIFS(tblSafety[Hours_Total],tblSafety[Date],"&gt;="&amp;EDATE($E237,-12),tblSafety[Date],"&lt;="&amp;$A237)+SUMIFS(tblSafetyHistory[Hours_Total],tblSafetyHistory[Month],"&gt;="&amp;EDATE($E237,-12),tblSafetyHistory[Month],"&lt;"&amp;$E237,tblSafetyHistory[Use],1))*cfg_RateBasisHours,"")</f>
        <v/>
      </c>
      <c r="IQ237" s="56">
        <f>IFERROR((SUMIFS(tblSafety[LTI],tblSafety[Date],"&gt;="&amp;EDATE($E237,-12),tblSafety[Date],"&lt;="&amp;$A237)+SUMIFS(tblSafetyHistory[LTI],tblSafetyHistory[Month],"&gt;="&amp;EDATE($E237,-12),tblSafetyHistory[Month],"&lt;"&amp;$E237,tblSafetyHistory[Use],1))/(SUMIFS(tblSafety[Hours_Total],tblSafety[Date],"&gt;="&amp;EDATE($E237,-12),tblSafety[Date],"&lt;="&amp;$A237)+SUMIFS(tblSafetyHistory[Hours_Total],tblSafetyHistory[Month],"&gt;="&amp;EDATE($E237,-12),tblSafetyHistory[Month],"&lt;"&amp;$E237,tblSafetyHistory[Use],1))*cfg_RateBasisHours,"")</f>
        <v/>
      </c>
      <c r="IR237" s="62">
        <f>IF(MAX(N(cfg_PriorLTIDate),_xlfn.MAXIFS(tblSafety[Date],tblSafety[LTI],"&gt;0",tblSafety[Date],"&lt;="&amp;$A237))=0,"",$A237-MAX(N(cfg_PriorLTIDate),_xlfn.MAXIFS(tblSafety[Date],tblSafety[LTI],"&gt;0",tblSafety[Date],"&lt;="&amp;$A237)))</f>
        <v/>
      </c>
      <c r="IS237" s="55">
        <f>SUMIFS(tblBudget[Ore_Mined_t],tblBudget[Month],$E237)</f>
        <v/>
      </c>
      <c r="IT237" s="55">
        <f>$IS237*$C237/$D237</f>
        <v/>
      </c>
      <c r="IU237" s="55">
        <f>SUMIFS(tblBudget[Ore_Mined_t],tblBudget[Month],"&lt;"&amp;$E237)+$IT237</f>
        <v/>
      </c>
      <c r="IV237" s="55">
        <f>SUMIFS(tblBudget[Ore_oz],tblBudget[Month],$E237)</f>
        <v/>
      </c>
      <c r="IW237" s="55">
        <f>$IV237*$C237/$D237</f>
        <v/>
      </c>
      <c r="IX237" s="55">
        <f>SUMIFS(tblBudget[Ore_oz],tblBudget[Month],"&lt;"&amp;$E237)+$IW237</f>
        <v/>
      </c>
      <c r="IY237" s="55">
        <f>SUMIFS(tblBudget[Ore_Mined_t],tblBudget[Month],$E237)</f>
        <v/>
      </c>
      <c r="IZ237" s="55">
        <f>$IY237*$C237/$D237</f>
        <v/>
      </c>
      <c r="JA237" s="55">
        <f>SUMIFS(tblBudget[Ore_Mined_t],tblBudget[Month],"&lt;"&amp;$E237)+$IZ237</f>
        <v/>
      </c>
      <c r="JB237" s="56">
        <f>IFERROR(IF(($IY237)&gt;0,($IV237*cfg_TroyOz)/($IY237),""),"")</f>
        <v/>
      </c>
      <c r="JC237" s="56">
        <f>IFERROR(IF(($IZ237)&gt;0,($IW237*cfg_TroyOz)/($IZ237),""),"")</f>
        <v/>
      </c>
      <c r="JD237" s="56">
        <f>IFERROR(IF(($JA237)&gt;0,($IX237*cfg_TroyOz)/($JA237),""),"")</f>
        <v/>
      </c>
      <c r="JE237" s="55">
        <f>SUMIFS(tblBudget[Waste_t],tblBudget[Month],$E237)</f>
        <v/>
      </c>
      <c r="JF237" s="55">
        <f>$JE237*$C237/$D237</f>
        <v/>
      </c>
      <c r="JG237" s="55">
        <f>SUMIFS(tblBudget[Waste_t],tblBudget[Month],"&lt;"&amp;$E237)+$JF237</f>
        <v/>
      </c>
      <c r="JH237" s="55">
        <f>SUMIFS(tblBudget[TMM_t],tblBudget[Month],$E237)</f>
        <v/>
      </c>
      <c r="JI237" s="55">
        <f>$JH237*$C237/$D237</f>
        <v/>
      </c>
      <c r="JJ237" s="55">
        <f>SUMIFS(tblBudget[TMM_t],tblBudget[Month],"&lt;"&amp;$E237)+$JI237</f>
        <v/>
      </c>
      <c r="JK237" s="56">
        <f>IFERROR(IF(($IS237)&gt;0,($JE237)/($IS237),""),"")</f>
        <v/>
      </c>
      <c r="JL237" s="56">
        <f>IFERROR(IF(($IT237)&gt;0,($JF237)/($IT237),""),"")</f>
        <v/>
      </c>
      <c r="JM237" s="56">
        <f>IFERROR(IF(($IU237)&gt;0,($JG237)/($IU237),""),"")</f>
        <v/>
      </c>
      <c r="JN237" s="55">
        <f>SUMIFS(tblBudget[Drill_m],tblBudget[Month],$E237)</f>
        <v/>
      </c>
      <c r="JO237" s="55">
        <f>$JN237*$C237/$D237</f>
        <v/>
      </c>
      <c r="JP237" s="55">
        <f>SUMIFS(tblBudget[Drill_m],tblBudget[Month],"&lt;"&amp;$E237)+$JO237</f>
        <v/>
      </c>
      <c r="JQ237" s="55">
        <f>SUMIFS(tblBudget[Diesel_L],tblBudget[Month],$E237)</f>
        <v/>
      </c>
      <c r="JR237" s="55">
        <f>$JQ237*$C237/$D237</f>
        <v/>
      </c>
      <c r="JS237" s="55">
        <f>SUMIFS(tblBudget[Diesel_L],tblBudget[Month],"&lt;"&amp;$E237)+$JR237</f>
        <v/>
      </c>
      <c r="JT237" s="55">
        <f>SUMIFS(tblBudget[Milled_t],tblBudget[Month],$E237)</f>
        <v/>
      </c>
      <c r="JU237" s="55">
        <f>$JT237*$C237/$D237</f>
        <v/>
      </c>
      <c r="JV237" s="55">
        <f>SUMIFS(tblBudget[Milled_t],tblBudget[Month],"&lt;"&amp;$E237)+$JU237</f>
        <v/>
      </c>
      <c r="JW237" s="55">
        <f>SUMIFS(tblBudget[Feed_oz],tblBudget[Month],$E237)</f>
        <v/>
      </c>
      <c r="JX237" s="55">
        <f>$JW237*$C237/$D237</f>
        <v/>
      </c>
      <c r="JY237" s="55">
        <f>SUMIFS(tblBudget[Feed_oz],tblBudget[Month],"&lt;"&amp;$E237)+$JX237</f>
        <v/>
      </c>
      <c r="JZ237" s="55">
        <f>SUMIFS(tblBudget[Recovered_oz],tblBudget[Month],$E237)</f>
        <v/>
      </c>
      <c r="KA237" s="55">
        <f>$JZ237*$C237/$D237</f>
        <v/>
      </c>
      <c r="KB237" s="55">
        <f>SUMIFS(tblBudget[Recovered_oz],tblBudget[Month],"&lt;"&amp;$E237)+$KA237</f>
        <v/>
      </c>
      <c r="KC237" s="55">
        <f>SUMIFS(tblBudget[Milled_t],tblBudget[Month],$E237)</f>
        <v/>
      </c>
      <c r="KD237" s="55">
        <f>$KC237*$C237/$D237</f>
        <v/>
      </c>
      <c r="KE237" s="55">
        <f>SUMIFS(tblBudget[Milled_t],tblBudget[Month],"&lt;"&amp;$E237)+$KD237</f>
        <v/>
      </c>
      <c r="KF237" s="55">
        <f>SUMIFS(tblBudget[Feed_oz],tblBudget[Month],$E237)</f>
        <v/>
      </c>
      <c r="KG237" s="55">
        <f>$KF237*$C237/$D237</f>
        <v/>
      </c>
      <c r="KH237" s="55">
        <f>SUMIFS(tblBudget[Feed_oz],tblBudget[Month],"&lt;"&amp;$E237)+$KG237</f>
        <v/>
      </c>
      <c r="KI237" s="56">
        <f>IFERROR(IF(($KC237)&gt;0,($JW237*cfg_TroyOz)/($KC237),""),"")</f>
        <v/>
      </c>
      <c r="KJ237" s="56">
        <f>IFERROR(IF(($KD237)&gt;0,($JX237*cfg_TroyOz)/($KD237),""),"")</f>
        <v/>
      </c>
      <c r="KK237" s="56">
        <f>IFERROR(IF(($KE237)&gt;0,($JY237*cfg_TroyOz)/($KE237),""),"")</f>
        <v/>
      </c>
      <c r="KL237" s="67">
        <f>IFERROR(IF(($KF237)&gt;0,($JZ237)/($KF237),""),"")</f>
        <v/>
      </c>
      <c r="KM237" s="67">
        <f>IFERROR(IF(($KG237)&gt;0,($KA237)/($KG237),""),"")</f>
        <v/>
      </c>
      <c r="KN237" s="67">
        <f>IFERROR(IF(($KH237)&gt;0,($KB237)/($KH237),""),"")</f>
        <v/>
      </c>
      <c r="KO237" s="55">
        <f>SUMIFS(tblBudget[Gold_Poured_oz],tblBudget[Month],$E237)</f>
        <v/>
      </c>
      <c r="KP237" s="55">
        <f>$KO237*$C237/$D237</f>
        <v/>
      </c>
      <c r="KQ237" s="55">
        <f>SUMIFS(tblBudget[Gold_Poured_oz],tblBudget[Month],"&lt;"&amp;$E237)+$KP237</f>
        <v/>
      </c>
      <c r="KR237" s="57">
        <f>SUMIFS(tblBudget[Hours_Worked],tblBudget[Month],$E237)</f>
        <v/>
      </c>
      <c r="KS237" s="57">
        <f>$KR237*$C237/$D237</f>
        <v/>
      </c>
      <c r="KT237" s="57">
        <f>SUMIFS(tblBudget[Hours_Worked],tblBudget[Month],"&lt;"&amp;$E237)+$KS237</f>
        <v/>
      </c>
    </row>
    <row r="238">
      <c r="A238" s="54" t="n">
        <v>46259</v>
      </c>
      <c r="B238">
        <f>MONTH($A238)</f>
        <v/>
      </c>
      <c r="C238">
        <f>DAY($A238)</f>
        <v/>
      </c>
      <c r="D238">
        <f>DAY(EOMONTH($A238,0))</f>
        <v/>
      </c>
      <c r="E238" s="54">
        <f>DATE(YEAR($A238),MONTH($A238),1)</f>
        <v/>
      </c>
      <c r="F238" s="55">
        <f>SUMIFS(tblMovement[Tonnes_t],tblMovement[Date],$A238,tblMovement[Is_Ore],1,tblMovement[Source_Type],"Pit")</f>
        <v/>
      </c>
      <c r="G238" s="55">
        <f>IF($B238=$B237,$G237,0)+$F238</f>
        <v/>
      </c>
      <c r="H238" s="55">
        <f>$H237+$F238</f>
        <v/>
      </c>
      <c r="I238" s="55">
        <f>SUMIFS(tblMovement[Ore_oz],tblMovement[Date],$A238,tblMovement[Source_Type],"Pit")</f>
        <v/>
      </c>
      <c r="J238" s="55">
        <f>IF($B238=$B237,$J237,0)+$I238</f>
        <v/>
      </c>
      <c r="K238" s="55">
        <f>$K237+$I238</f>
        <v/>
      </c>
      <c r="L238" s="55">
        <f>SUMIFS(tblMovement[Tonnes_t],tblMovement[Date],$A238,tblMovement[Is_Ore],1,tblMovement[Source_Type],"Pit",tblMovement[Grade_gpt],"&lt;&gt;")</f>
        <v/>
      </c>
      <c r="M238" s="55">
        <f>IF($B238=$B237,$M237,0)+$L238</f>
        <v/>
      </c>
      <c r="N238" s="55">
        <f>$N237+$L238</f>
        <v/>
      </c>
      <c r="O238" s="56">
        <f>IFERROR(IF(($L238)&gt;0,($I238*cfg_TroyOz)/($L238),""),"")</f>
        <v/>
      </c>
      <c r="P238" s="56">
        <f>IFERROR(IF(($M238)&gt;0,($J238*cfg_TroyOz)/($M238),""),"")</f>
        <v/>
      </c>
      <c r="Q238" s="56">
        <f>IFERROR(IF(($N238)&gt;0,($K238*cfg_TroyOz)/($N238),""),"")</f>
        <v/>
      </c>
      <c r="R238" s="55">
        <f>$F238-$L238</f>
        <v/>
      </c>
      <c r="S238" s="55">
        <f>IF($B238=$B237,$S237,0)+$R238</f>
        <v/>
      </c>
      <c r="T238" s="55">
        <f>$T237+$R238</f>
        <v/>
      </c>
      <c r="U238" s="55">
        <f>SUMIFS(tblMovement[Tonnes_t],tblMovement[Date],$A238,tblMovement[Is_Ore],0,tblMovement[Source_Type],"Pit")</f>
        <v/>
      </c>
      <c r="V238" s="55">
        <f>IF($B238=$B237,$V237,0)+$U238</f>
        <v/>
      </c>
      <c r="W238" s="55">
        <f>$W237+$U238</f>
        <v/>
      </c>
      <c r="X238" s="55">
        <f>$F238+$U238</f>
        <v/>
      </c>
      <c r="Y238" s="55">
        <f>IF($B238=$B237,$Y237,0)+$X238</f>
        <v/>
      </c>
      <c r="Z238" s="55">
        <f>$Z237+$X238</f>
        <v/>
      </c>
      <c r="AA238" s="56">
        <f>IFERROR(IF(($F238)&gt;0,($U238)/($F238),""),"")</f>
        <v/>
      </c>
      <c r="AB238" s="56">
        <f>IFERROR(IF(($G238)&gt;0,($V238)/($G238),""),"")</f>
        <v/>
      </c>
      <c r="AC238" s="56">
        <f>IFERROR(IF(($H238)&gt;0,($W238)/($H238),""),"")</f>
        <v/>
      </c>
      <c r="AD238" s="55">
        <f>SUMIFS(tblMovement[Tonnes_t],tblMovement[Date],$A238,tblMovement[Source_Type],"Stockpile")</f>
        <v/>
      </c>
      <c r="AE238" s="55">
        <f>IF($B238=$B237,$AE237,0)+$AD238</f>
        <v/>
      </c>
      <c r="AF238" s="55">
        <f>$AF237+$AD238</f>
        <v/>
      </c>
      <c r="AG238" s="55">
        <f>SUMIFS(tblMovement[Tonnes_t],tblMovement[Date],$A238)</f>
        <v/>
      </c>
      <c r="AH238" s="55">
        <f>IF($B238=$B237,$AH237,0)+$AG238</f>
        <v/>
      </c>
      <c r="AI238" s="55">
        <f>$AI237+$AG238</f>
        <v/>
      </c>
      <c r="AJ238" s="55">
        <f>$AG238-$X238-$AD238</f>
        <v/>
      </c>
      <c r="AK238" s="55">
        <f>IF($B238=$B237,$AK237,0)+$AJ238</f>
        <v/>
      </c>
      <c r="AL238" s="55">
        <f>$AL237+$AJ238</f>
        <v/>
      </c>
      <c r="AM238" s="55">
        <f>SUMIFS(tblMiningDaily[Drill_m],tblMiningDaily[Date],$A238)</f>
        <v/>
      </c>
      <c r="AN238" s="55">
        <f>IF($B238=$B237,$AN237,0)+$AM238</f>
        <v/>
      </c>
      <c r="AO238" s="55">
        <f>$AO237+$AM238</f>
        <v/>
      </c>
      <c r="AP238" s="55">
        <f>SUMIFS(tblMiningDaily[GC_Drill_m],tblMiningDaily[Date],$A238)</f>
        <v/>
      </c>
      <c r="AQ238" s="55">
        <f>IF($B238=$B237,$AQ237,0)+$AP238</f>
        <v/>
      </c>
      <c r="AR238" s="55">
        <f>$AR237+$AP238</f>
        <v/>
      </c>
      <c r="AS238" s="55">
        <f>SUMIFS(tblMiningDaily[Blast_t],tblMiningDaily[Date],$A238)</f>
        <v/>
      </c>
      <c r="AT238" s="55">
        <f>IF($B238=$B237,$AT237,0)+$AS238</f>
        <v/>
      </c>
      <c r="AU238" s="55">
        <f>$AU237+$AS238</f>
        <v/>
      </c>
      <c r="AV238" s="55">
        <f>SUMIFS(tblMiningDaily[Explosives_kg],tblMiningDaily[Date],$A238)</f>
        <v/>
      </c>
      <c r="AW238" s="55">
        <f>IF($B238=$B237,$AW237,0)+$AV238</f>
        <v/>
      </c>
      <c r="AX238" s="55">
        <f>$AX237+$AV238</f>
        <v/>
      </c>
      <c r="AY238" s="56">
        <f>IFERROR(IF(($AS238)&gt;0,($AV238)/($AS238),""),"")</f>
        <v/>
      </c>
      <c r="AZ238" s="56">
        <f>IFERROR(IF(($AT238)&gt;0,($AW238)/($AT238),""),"")</f>
        <v/>
      </c>
      <c r="BA238" s="56">
        <f>IFERROR(IF(($AU238)&gt;0,($AX238)/($AU238),""),"")</f>
        <v/>
      </c>
      <c r="BB238" s="55">
        <f>SUMIFS(tblMiningDaily[Diesel_L],tblMiningDaily[Date],$A238)</f>
        <v/>
      </c>
      <c r="BC238" s="55">
        <f>IF($B238=$B237,$BC237,0)+$BB238</f>
        <v/>
      </c>
      <c r="BD238" s="55">
        <f>$BD237+$BB238</f>
        <v/>
      </c>
      <c r="BE238" s="55">
        <f>SUMIFS(tblMiningDaily[Dewatering_m3],tblMiningDaily[Date],$A238)</f>
        <v/>
      </c>
      <c r="BF238" s="55">
        <f>IF($B238=$B237,$BF237,0)+$BE238</f>
        <v/>
      </c>
      <c r="BG238" s="55">
        <f>$BG237+$BE238</f>
        <v/>
      </c>
      <c r="BH238" s="57">
        <f>SUMIFS(tblFleet[Calendar_h],tblFleet[Date],$A238,tblFleet[Equipment_Class],"Excavator")</f>
        <v/>
      </c>
      <c r="BI238" s="57">
        <f>IF($B238=$B237,$BI237,0)+$BH238</f>
        <v/>
      </c>
      <c r="BJ238" s="57">
        <f>$BJ237+$BH238</f>
        <v/>
      </c>
      <c r="BK238" s="57">
        <f>SUMIFS(tblFleet[Available_h],tblFleet[Date],$A238,tblFleet[Equipment_Class],"Excavator")</f>
        <v/>
      </c>
      <c r="BL238" s="57">
        <f>IF($B238=$B237,$BL237,0)+$BK238</f>
        <v/>
      </c>
      <c r="BM238" s="57">
        <f>$BM237+$BK238</f>
        <v/>
      </c>
      <c r="BN238" s="57">
        <f>SUMIFS(tblFleet[Operating_h],tblFleet[Date],$A238,tblFleet[Equipment_Class],"Excavator")</f>
        <v/>
      </c>
      <c r="BO238" s="57">
        <f>IF($B238=$B237,$BO237,0)+$BN238</f>
        <v/>
      </c>
      <c r="BP238" s="57">
        <f>$BP237+$BN238</f>
        <v/>
      </c>
      <c r="BQ238" s="67">
        <f>IFERROR(IF(($BH238)&gt;0,($BK238)/($BH238),""),"")</f>
        <v/>
      </c>
      <c r="BR238" s="67">
        <f>IFERROR(IF(($BI238)&gt;0,($BL238)/($BI238),""),"")</f>
        <v/>
      </c>
      <c r="BS238" s="67">
        <f>IFERROR(IF(($BJ238)&gt;0,($BM238)/($BJ238),""),"")</f>
        <v/>
      </c>
      <c r="BT238" s="67">
        <f>IFERROR(IF(($BK238)&gt;0,($BN238)/($BK238),""),"")</f>
        <v/>
      </c>
      <c r="BU238" s="67">
        <f>IFERROR(IF(($BL238)&gt;0,($BO238)/($BL238),""),"")</f>
        <v/>
      </c>
      <c r="BV238" s="67">
        <f>IFERROR(IF(($BM238)&gt;0,($BP238)/($BM238),""),"")</f>
        <v/>
      </c>
      <c r="BW238" s="57">
        <f>SUMIFS(tblFleet[Calendar_h],tblFleet[Date],$A238,tblFleet[Equipment_Class],"Haul Truck")</f>
        <v/>
      </c>
      <c r="BX238" s="57">
        <f>IF($B238=$B237,$BX237,0)+$BW238</f>
        <v/>
      </c>
      <c r="BY238" s="57">
        <f>$BY237+$BW238</f>
        <v/>
      </c>
      <c r="BZ238" s="57">
        <f>SUMIFS(tblFleet[Available_h],tblFleet[Date],$A238,tblFleet[Equipment_Class],"Haul Truck")</f>
        <v/>
      </c>
      <c r="CA238" s="57">
        <f>IF($B238=$B237,$CA237,0)+$BZ238</f>
        <v/>
      </c>
      <c r="CB238" s="57">
        <f>$CB237+$BZ238</f>
        <v/>
      </c>
      <c r="CC238" s="57">
        <f>SUMIFS(tblFleet[Operating_h],tblFleet[Date],$A238,tblFleet[Equipment_Class],"Haul Truck")</f>
        <v/>
      </c>
      <c r="CD238" s="57">
        <f>IF($B238=$B237,$CD237,0)+$CC238</f>
        <v/>
      </c>
      <c r="CE238" s="57">
        <f>$CE237+$CC238</f>
        <v/>
      </c>
      <c r="CF238" s="67">
        <f>IFERROR(IF(($BW238)&gt;0,($BZ238)/($BW238),""),"")</f>
        <v/>
      </c>
      <c r="CG238" s="67">
        <f>IFERROR(IF(($BX238)&gt;0,($CA238)/($BX238),""),"")</f>
        <v/>
      </c>
      <c r="CH238" s="67">
        <f>IFERROR(IF(($BY238)&gt;0,($CB238)/($BY238),""),"")</f>
        <v/>
      </c>
      <c r="CI238" s="67">
        <f>IFERROR(IF(($BZ238)&gt;0,($CC238)/($BZ238),""),"")</f>
        <v/>
      </c>
      <c r="CJ238" s="67">
        <f>IFERROR(IF(($CA238)&gt;0,($CD238)/($CA238),""),"")</f>
        <v/>
      </c>
      <c r="CK238" s="67">
        <f>IFERROR(IF(($CB238)&gt;0,($CE238)/($CB238),""),"")</f>
        <v/>
      </c>
      <c r="CL238" s="55">
        <f>IFERROR(IF(($BN238)&gt;0,($X238+$AD238)/($BN238),""),"")</f>
        <v/>
      </c>
      <c r="CM238" s="55">
        <f>IFERROR(IF(($BO238)&gt;0,($Y238+$AE238)/($BO238),""),"")</f>
        <v/>
      </c>
      <c r="CN238" s="55">
        <f>IFERROR(IF(($BP238)&gt;0,($Z238+$AF238)/($BP238),""),"")</f>
        <v/>
      </c>
      <c r="CO238" s="55">
        <f>IFERROR(IF(($CC238)&gt;0,($X238+$AD238)/($CC238),""),"")</f>
        <v/>
      </c>
      <c r="CP238" s="55">
        <f>IFERROR(IF(($CD238)&gt;0,($Y238+$AE238)/($CD238),""),"")</f>
        <v/>
      </c>
      <c r="CQ238" s="55">
        <f>IFERROR(IF(($CE238)&gt;0,($Z238+$AF238)/($CE238),""),"")</f>
        <v/>
      </c>
      <c r="CR238" s="55">
        <f>SUMIFS(tblPlant[Crushed_t],tblPlant[Date],$A238)</f>
        <v/>
      </c>
      <c r="CS238" s="55">
        <f>IF($B238=$B237,$CS237,0)+$CR238</f>
        <v/>
      </c>
      <c r="CT238" s="55">
        <f>$CT237+$CR238</f>
        <v/>
      </c>
      <c r="CU238" s="55">
        <f>SUMIFS(tblPlant[Milled_t],tblPlant[Date],$A238)</f>
        <v/>
      </c>
      <c r="CV238" s="55">
        <f>IF($B238=$B237,$CV237,0)+$CU238</f>
        <v/>
      </c>
      <c r="CW238" s="55">
        <f>$CW237+$CU238</f>
        <v/>
      </c>
      <c r="CX238" s="55">
        <f>SUMIFS(tblPlant[Feed_oz],tblPlant[Date],$A238)</f>
        <v/>
      </c>
      <c r="CY238" s="55">
        <f>IF($B238=$B237,$CY237,0)+$CX238</f>
        <v/>
      </c>
      <c r="CZ238" s="55">
        <f>$CZ237+$CX238</f>
        <v/>
      </c>
      <c r="DA238" s="55">
        <f>SUMIFS(tblPlant[Tails_oz],tblPlant[Date],$A238)</f>
        <v/>
      </c>
      <c r="DB238" s="55">
        <f>IF($B238=$B237,$DB237,0)+$DA238</f>
        <v/>
      </c>
      <c r="DC238" s="55">
        <f>$DC237+$DA238</f>
        <v/>
      </c>
      <c r="DD238" s="55">
        <f>SUMIFS(tblPlant[Recovered_oz],tblPlant[Date],$A238)</f>
        <v/>
      </c>
      <c r="DE238" s="55">
        <f>IF($B238=$B237,$DE237,0)+$DD238</f>
        <v/>
      </c>
      <c r="DF238" s="55">
        <f>$DF237+$DD238</f>
        <v/>
      </c>
      <c r="DG238" s="55">
        <f>SUMIFS(tblPlant[Milled_t],tblPlant[Date],$A238,tblPlant[Head_Grade_gpt],"&lt;&gt;")</f>
        <v/>
      </c>
      <c r="DH238" s="55">
        <f>IF($B238=$B237,$DH237,0)+$DG238</f>
        <v/>
      </c>
      <c r="DI238" s="55">
        <f>$DI237+$DG238</f>
        <v/>
      </c>
      <c r="DJ238" s="55">
        <f>SUMIFS(tblPlant[Milled_t],tblPlant[Date],$A238,tblPlant[Tails_Grade_gpt],"&lt;&gt;")</f>
        <v/>
      </c>
      <c r="DK238" s="55">
        <f>IF($B238=$B237,$DK237,0)+$DJ238</f>
        <v/>
      </c>
      <c r="DL238" s="55">
        <f>$DL237+$DJ238</f>
        <v/>
      </c>
      <c r="DM238" s="55">
        <f>SUMIFS(tblPlant[Feed_oz],tblPlant[Date],$A238,tblPlant[Tails_Grade_gpt],"&lt;&gt;")</f>
        <v/>
      </c>
      <c r="DN238" s="55">
        <f>IF($B238=$B237,$DN237,0)+$DM238</f>
        <v/>
      </c>
      <c r="DO238" s="55">
        <f>$DO237+$DM238</f>
        <v/>
      </c>
      <c r="DP238" s="55">
        <f>SUMIFS(tblPlant[Milled_t],tblPlant[Date],$A238,tblPlant[Mill_Run_h],"&lt;&gt;")</f>
        <v/>
      </c>
      <c r="DQ238" s="55">
        <f>IF($B238=$B237,$DQ237,0)+$DP238</f>
        <v/>
      </c>
      <c r="DR238" s="55">
        <f>$DR237+$DP238</f>
        <v/>
      </c>
      <c r="DS238" s="56">
        <f>IFERROR(IF(($DG238)&gt;0,($CX238*cfg_TroyOz)/($DG238),""),"")</f>
        <v/>
      </c>
      <c r="DT238" s="56">
        <f>IFERROR(IF(($DH238)&gt;0,($CY238*cfg_TroyOz)/($DH238),""),"")</f>
        <v/>
      </c>
      <c r="DU238" s="56">
        <f>IFERROR(IF(($DI238)&gt;0,($CZ238*cfg_TroyOz)/($DI238),""),"")</f>
        <v/>
      </c>
      <c r="DV238" s="56">
        <f>IFERROR(IF(($DJ238)&gt;0,($DA238*cfg_TroyOz)/($DJ238),""),"")</f>
        <v/>
      </c>
      <c r="DW238" s="56">
        <f>IFERROR(IF(($DK238)&gt;0,($DB238*cfg_TroyOz)/($DK238),""),"")</f>
        <v/>
      </c>
      <c r="DX238" s="56">
        <f>IFERROR(IF(($DL238)&gt;0,($DC238*cfg_TroyOz)/($DL238),""),"")</f>
        <v/>
      </c>
      <c r="DY238" s="67">
        <f>IFERROR(IF(($DM238)&gt;0,($DD238)/($DM238),""),"")</f>
        <v/>
      </c>
      <c r="DZ238" s="67">
        <f>IFERROR(IF(($DN238)&gt;0,($DE238)/($DN238),""),"")</f>
        <v/>
      </c>
      <c r="EA238" s="67">
        <f>IFERROR(IF(($DO238)&gt;0,($DF238)/($DO238),""),"")</f>
        <v/>
      </c>
      <c r="EB238" s="55">
        <f>SUMIFS(tblPlant[Gravity_Gold_oz],tblPlant[Date],$A238)</f>
        <v/>
      </c>
      <c r="EC238" s="55">
        <f>IF($B238=$B237,$EC237,0)+$EB238</f>
        <v/>
      </c>
      <c r="ED238" s="55">
        <f>$ED237+$EB238</f>
        <v/>
      </c>
      <c r="EE238" s="67">
        <f>IFERROR(IF(($DD238)&gt;0,($EB238)/($DD238),""),"")</f>
        <v/>
      </c>
      <c r="EF238" s="67">
        <f>IFERROR(IF(($DE238)&gt;0,($EC238)/($DE238),""),"")</f>
        <v/>
      </c>
      <c r="EG238" s="67">
        <f>IFERROR(IF(($DF238)&gt;0,($ED238)/($DF238),""),"")</f>
        <v/>
      </c>
      <c r="EH238" s="55">
        <f>SUMIFS(tblPlant[Gold_Poured_oz],tblPlant[Date],$A238)</f>
        <v/>
      </c>
      <c r="EI238" s="55">
        <f>IF($B238=$B237,$EI237,0)+$EH238</f>
        <v/>
      </c>
      <c r="EJ238" s="55">
        <f>$EJ237+$EH238</f>
        <v/>
      </c>
      <c r="EK238" s="57">
        <f>SUMIFS(tblPlant[Mill_Run_h],tblPlant[Date],$A238)</f>
        <v/>
      </c>
      <c r="EL238" s="57">
        <f>IF($B238=$B237,$EL237,0)+$EK238</f>
        <v/>
      </c>
      <c r="EM238" s="57">
        <f>$EM237+$EK238</f>
        <v/>
      </c>
      <c r="EN238" s="57">
        <f>SUMIFS(tblPlant[Mill_Planned_Maint_h],tblPlant[Date],$A238)</f>
        <v/>
      </c>
      <c r="EO238" s="57">
        <f>IF($B238=$B237,$EO237,0)+$EN238</f>
        <v/>
      </c>
      <c r="EP238" s="57">
        <f>$EP237+$EN238</f>
        <v/>
      </c>
      <c r="EQ238" s="57">
        <f>SUMIFS(tblPlant[Mill_Unplanned_Down_h],tblPlant[Date],$A238)</f>
        <v/>
      </c>
      <c r="ER238" s="57">
        <f>IF($B238=$B237,$ER237,0)+$EQ238</f>
        <v/>
      </c>
      <c r="ES238" s="57">
        <f>$ES237+$EQ238</f>
        <v/>
      </c>
      <c r="ET238" s="57">
        <f>IF(COUNTIFS(tblPlant[Date],$A238,tblPlant[Mill_Run_h],"&lt;&gt;")+COUNTIFS(tblPlant[Date],$A238,tblPlant[Mill_Planned_Maint_h],"&lt;&gt;")+COUNTIFS(tblPlant[Date],$A238,tblPlant[Mill_Unplanned_Down_h],"&lt;&gt;")&gt;0,cfg_HoursPerDay,0)</f>
        <v/>
      </c>
      <c r="EU238" s="57">
        <f>IF($B238=$B237,$EU237,0)+$ET238</f>
        <v/>
      </c>
      <c r="EV238" s="57">
        <f>$EV237+$ET238</f>
        <v/>
      </c>
      <c r="EW238" s="57">
        <f>SUMIFS(tblPlant[Crusher_Run_h],tblPlant[Date],$A238)</f>
        <v/>
      </c>
      <c r="EX238" s="57">
        <f>IF($B238=$B237,$EX237,0)+$EW238</f>
        <v/>
      </c>
      <c r="EY238" s="57">
        <f>$EY237+$EW238</f>
        <v/>
      </c>
      <c r="EZ238" s="55">
        <f>IFERROR(IF(($EK238)&gt;0,($DP238)/($EK238),""),"")</f>
        <v/>
      </c>
      <c r="FA238" s="55">
        <f>IFERROR(IF(($EL238)&gt;0,($DQ238)/($EL238),""),"")</f>
        <v/>
      </c>
      <c r="FB238" s="55">
        <f>IFERROR(IF(($EM238)&gt;0,($DR238)/($EM238),""),"")</f>
        <v/>
      </c>
      <c r="FC238" s="67">
        <f>IFERROR(IF(($ET238)&gt;0,($ET238-$EN238-$EQ238)/($ET238),""),"")</f>
        <v/>
      </c>
      <c r="FD238" s="67">
        <f>IFERROR(IF(($EU238)&gt;0,($EU238-$EO238-$ER238)/($EU238),""),"")</f>
        <v/>
      </c>
      <c r="FE238" s="67">
        <f>IFERROR(IF(($EV238)&gt;0,($EV238-$EP238-$ES238)/($EV238),""),"")</f>
        <v/>
      </c>
      <c r="FF238" s="67">
        <f>IFERROR(IF(($ET238-$EN238-$EQ238)&gt;0,($EK238)/($ET238-$EN238-$EQ238),""),"")</f>
        <v/>
      </c>
      <c r="FG238" s="67">
        <f>IFERROR(IF(($EU238-$EO238-$ER238)&gt;0,($EL238)/($EU238-$EO238-$ER238),""),"")</f>
        <v/>
      </c>
      <c r="FH238" s="67">
        <f>IFERROR(IF(($EV238-$EP238-$ES238)&gt;0,($EM238)/($EV238-$EP238-$ES238),""),"")</f>
        <v/>
      </c>
      <c r="FI238" s="55">
        <f>SUMIFS(tblPlant[Cyanide_kg],tblPlant[Date],$A238)</f>
        <v/>
      </c>
      <c r="FJ238" s="55">
        <f>IF($B238=$B237,$FJ237,0)+$FI238</f>
        <v/>
      </c>
      <c r="FK238" s="55">
        <f>$FK237+$FI238</f>
        <v/>
      </c>
      <c r="FL238" s="55">
        <f>SUMIFS(tblPlant[Lime_kg],tblPlant[Date],$A238)</f>
        <v/>
      </c>
      <c r="FM238" s="55">
        <f>IF($B238=$B237,$FM237,0)+$FL238</f>
        <v/>
      </c>
      <c r="FN238" s="55">
        <f>$FN237+$FL238</f>
        <v/>
      </c>
      <c r="FO238" s="55">
        <f>SUMIFS(tblPlant[Grinding_Media_kg],tblPlant[Date],$A238)</f>
        <v/>
      </c>
      <c r="FP238" s="55">
        <f>IF($B238=$B237,$FP237,0)+$FO238</f>
        <v/>
      </c>
      <c r="FQ238" s="55">
        <f>$FQ237+$FO238</f>
        <v/>
      </c>
      <c r="FR238" s="55">
        <f>SUMIFS(tblPlant[Power_kWh],tblPlant[Date],$A238)</f>
        <v/>
      </c>
      <c r="FS238" s="55">
        <f>IF($B238=$B237,$FS237,0)+$FR238</f>
        <v/>
      </c>
      <c r="FT238" s="55">
        <f>$FT237+$FR238</f>
        <v/>
      </c>
      <c r="FU238" s="55">
        <f>SUMIFS(tblPlant[Raw_Water_m3],tblPlant[Date],$A238)</f>
        <v/>
      </c>
      <c r="FV238" s="55">
        <f>IF($B238=$B237,$FV237,0)+$FU238</f>
        <v/>
      </c>
      <c r="FW238" s="55">
        <f>$FW237+$FU238</f>
        <v/>
      </c>
      <c r="FX238" s="56">
        <f>IFERROR(IF(($CU238)&gt;0,($FI238)/($CU238),""),"")</f>
        <v/>
      </c>
      <c r="FY238" s="56">
        <f>IFERROR(IF(($CV238)&gt;0,($FJ238)/($CV238),""),"")</f>
        <v/>
      </c>
      <c r="FZ238" s="56">
        <f>IFERROR(IF(($CW238)&gt;0,($FK238)/($CW238),""),"")</f>
        <v/>
      </c>
      <c r="GA238" s="56">
        <f>IFERROR(IF(($CU238)&gt;0,($FL238)/($CU238),""),"")</f>
        <v/>
      </c>
      <c r="GB238" s="56">
        <f>IFERROR(IF(($CV238)&gt;0,($FM238)/($CV238),""),"")</f>
        <v/>
      </c>
      <c r="GC238" s="56">
        <f>IFERROR(IF(($CW238)&gt;0,($FN238)/($CW238),""),"")</f>
        <v/>
      </c>
      <c r="GD238" s="56">
        <f>IFERROR(IF(($CU238)&gt;0,($FO238)/($CU238),""),"")</f>
        <v/>
      </c>
      <c r="GE238" s="56">
        <f>IFERROR(IF(($CV238)&gt;0,($FP238)/($CV238),""),"")</f>
        <v/>
      </c>
      <c r="GF238" s="56">
        <f>IFERROR(IF(($CW238)&gt;0,($FQ238)/($CW238),""),"")</f>
        <v/>
      </c>
      <c r="GG238" s="79">
        <f>IFERROR(IF(($CU238)&gt;0,($FR238)/($CU238),""),"")</f>
        <v/>
      </c>
      <c r="GH238" s="79">
        <f>IFERROR(IF(($CV238)&gt;0,($FS238)/($CV238),""),"")</f>
        <v/>
      </c>
      <c r="GI238" s="79">
        <f>IFERROR(IF(($CW238)&gt;0,($FT238)/($CW238),""),"")</f>
        <v/>
      </c>
      <c r="GJ238" s="56">
        <f>IFERROR(IF(($CU238)&gt;0,($FU238)/($CU238),""),"")</f>
        <v/>
      </c>
      <c r="GK238" s="56">
        <f>IFERROR(IF(($CV238)&gt;0,($FV238)/($CV238),""),"")</f>
        <v/>
      </c>
      <c r="GL238" s="56">
        <f>IFERROR(IF(($CW238)&gt;0,($FW238)/($CW238),""),"")</f>
        <v/>
      </c>
      <c r="GM238" s="55">
        <f>IF(SUMIFS(tblPlant[GIC_oz],tblPlant[Date],$A238)&gt;0,SUMIFS(tblPlant[GIC_oz],tblPlant[Date],$A238),"")</f>
        <v/>
      </c>
      <c r="GN238" s="55">
        <f>SUMIFS(tblGold[Gold_oz],tblGold[Date],$A238,tblGold[Type],"Shipment")</f>
        <v/>
      </c>
      <c r="GO238" s="55">
        <f>IF($B238=$B237,$GO237,0)+$GN238</f>
        <v/>
      </c>
      <c r="GP238" s="55">
        <f>$GP237+$GN238</f>
        <v/>
      </c>
      <c r="GQ238" s="55">
        <f>SUMIFS(tblGold[Gold_oz],tblGold[Date],$A238,tblGold[Type],"Sale")</f>
        <v/>
      </c>
      <c r="GR238" s="55">
        <f>IF($B238=$B237,$GR237,0)+$GQ238</f>
        <v/>
      </c>
      <c r="GS238" s="55">
        <f>$GS237+$GQ238</f>
        <v/>
      </c>
      <c r="GT238" s="55">
        <f>SUMIFS(tblGold[Dore_kg],tblGold[Date],$A238,tblGold[Type],"Shipment")</f>
        <v/>
      </c>
      <c r="GU238" s="55">
        <f>IF($B238=$B237,$GU237,0)+$GT238</f>
        <v/>
      </c>
      <c r="GV238" s="55">
        <f>$GV237+$GT238</f>
        <v/>
      </c>
      <c r="GW238" s="57">
        <f>SUMIFS(tblSafety[Hours_Total],tblSafety[Date],$A238)</f>
        <v/>
      </c>
      <c r="GX238" s="57">
        <f>IF($B238=$B237,$GX237,0)+$GW238</f>
        <v/>
      </c>
      <c r="GY238" s="57">
        <f>$GY237+$GW238</f>
        <v/>
      </c>
      <c r="GZ238" s="62">
        <f>SUMIFS(tblSafety[Fatality],tblSafety[Date],$A238)</f>
        <v/>
      </c>
      <c r="HA238" s="62">
        <f>IF($B238=$B237,$HA237,0)+$GZ238</f>
        <v/>
      </c>
      <c r="HB238" s="62">
        <f>$HB237+$GZ238</f>
        <v/>
      </c>
      <c r="HC238" s="62">
        <f>SUMIFS(tblSafety[LTI],tblSafety[Date],$A238)</f>
        <v/>
      </c>
      <c r="HD238" s="62">
        <f>IF($B238=$B237,$HD237,0)+$HC238</f>
        <v/>
      </c>
      <c r="HE238" s="62">
        <f>$HE237+$HC238</f>
        <v/>
      </c>
      <c r="HF238" s="62">
        <f>SUMIFS(tblSafety[RWI],tblSafety[Date],$A238)</f>
        <v/>
      </c>
      <c r="HG238" s="62">
        <f>IF($B238=$B237,$HG237,0)+$HF238</f>
        <v/>
      </c>
      <c r="HH238" s="62">
        <f>$HH237+$HF238</f>
        <v/>
      </c>
      <c r="HI238" s="62">
        <f>SUMIFS(tblSafety[MTI],tblSafety[Date],$A238)</f>
        <v/>
      </c>
      <c r="HJ238" s="62">
        <f>IF($B238=$B237,$HJ237,0)+$HI238</f>
        <v/>
      </c>
      <c r="HK238" s="62">
        <f>$HK237+$HI238</f>
        <v/>
      </c>
      <c r="HL238" s="62">
        <f>SUMIFS(tblSafety[FAI],tblSafety[Date],$A238)</f>
        <v/>
      </c>
      <c r="HM238" s="62">
        <f>IF($B238=$B237,$HM237,0)+$HL238</f>
        <v/>
      </c>
      <c r="HN238" s="62">
        <f>$HN237+$HL238</f>
        <v/>
      </c>
      <c r="HO238" s="62">
        <f>SUMIFS(tblSafety[Recordables],tblSafety[Date],$A238)</f>
        <v/>
      </c>
      <c r="HP238" s="62">
        <f>IF($B238=$B237,$HP237,0)+$HO238</f>
        <v/>
      </c>
      <c r="HQ238" s="62">
        <f>$HQ237+$HO238</f>
        <v/>
      </c>
      <c r="HR238" s="62">
        <f>SUMIFS(tblSafety[Near_Miss],tblSafety[Date],$A238)</f>
        <v/>
      </c>
      <c r="HS238" s="62">
        <f>IF($B238=$B237,$HS237,0)+$HR238</f>
        <v/>
      </c>
      <c r="HT238" s="62">
        <f>$HT237+$HR238</f>
        <v/>
      </c>
      <c r="HU238" s="62">
        <f>SUMIFS(tblSafety[Hazard_Reports],tblSafety[Date],$A238)</f>
        <v/>
      </c>
      <c r="HV238" s="62">
        <f>IF($B238=$B237,$HV237,0)+$HU238</f>
        <v/>
      </c>
      <c r="HW238" s="62">
        <f>$HW237+$HU238</f>
        <v/>
      </c>
      <c r="HX238" s="62">
        <f>SUMIFS(tblSafety[HPI],tblSafety[Date],$A238)</f>
        <v/>
      </c>
      <c r="HY238" s="62">
        <f>IF($B238=$B237,$HY237,0)+$HX238</f>
        <v/>
      </c>
      <c r="HZ238" s="62">
        <f>$HZ237+$HX238</f>
        <v/>
      </c>
      <c r="IA238" s="62">
        <f>SUMIFS(tblSafety[Env_Incidents],tblSafety[Date],$A238)</f>
        <v/>
      </c>
      <c r="IB238" s="62">
        <f>IF($B238=$B237,$IB237,0)+$IA238</f>
        <v/>
      </c>
      <c r="IC238" s="62">
        <f>$IC237+$IA238</f>
        <v/>
      </c>
      <c r="ID238" s="62">
        <f>SUMIFS(tblSafety[Community_Incidents],tblSafety[Date],$A238)</f>
        <v/>
      </c>
      <c r="IE238" s="62">
        <f>IF($B238=$B237,$IE237,0)+$ID238</f>
        <v/>
      </c>
      <c r="IF238" s="62">
        <f>$IF237+$ID238</f>
        <v/>
      </c>
      <c r="IG238" s="62">
        <f>SUMIFS(tblSafety[Vehicle_Incidents],tblSafety[Date],$A238)</f>
        <v/>
      </c>
      <c r="IH238" s="62">
        <f>IF($B238=$B237,$IH237,0)+$IG238</f>
        <v/>
      </c>
      <c r="II238" s="62">
        <f>$II237+$IG238</f>
        <v/>
      </c>
      <c r="IJ238" s="62">
        <f>SUMIFS(tblSafety[Toolbox_Talks],tblSafety[Date],$A238)</f>
        <v/>
      </c>
      <c r="IK238" s="62">
        <f>IF($B238=$B237,$IK237,0)+$IJ238</f>
        <v/>
      </c>
      <c r="IL238" s="62">
        <f>$IL237+$IJ238</f>
        <v/>
      </c>
      <c r="IM238" s="62">
        <f>SUMIFS(tblSafety[Inspections],tblSafety[Date],$A238)</f>
        <v/>
      </c>
      <c r="IN238" s="62">
        <f>IF($B238=$B237,$IN237,0)+$IM238</f>
        <v/>
      </c>
      <c r="IO238" s="62">
        <f>$IO237+$IM238</f>
        <v/>
      </c>
      <c r="IP238" s="56">
        <f>IFERROR((SUMIFS(tblSafety[Recordables],tblSafety[Date],"&gt;="&amp;EDATE($E238,-12),tblSafety[Date],"&lt;="&amp;$A238)+SUMIFS(tblSafetyHistory[Recordables],tblSafetyHistory[Month],"&gt;="&amp;EDATE($E238,-12),tblSafetyHistory[Month],"&lt;"&amp;$E238,tblSafetyHistory[Use],1))/(SUMIFS(tblSafety[Hours_Total],tblSafety[Date],"&gt;="&amp;EDATE($E238,-12),tblSafety[Date],"&lt;="&amp;$A238)+SUMIFS(tblSafetyHistory[Hours_Total],tblSafetyHistory[Month],"&gt;="&amp;EDATE($E238,-12),tblSafetyHistory[Month],"&lt;"&amp;$E238,tblSafetyHistory[Use],1))*cfg_RateBasisHours,"")</f>
        <v/>
      </c>
      <c r="IQ238" s="56">
        <f>IFERROR((SUMIFS(tblSafety[LTI],tblSafety[Date],"&gt;="&amp;EDATE($E238,-12),tblSafety[Date],"&lt;="&amp;$A238)+SUMIFS(tblSafetyHistory[LTI],tblSafetyHistory[Month],"&gt;="&amp;EDATE($E238,-12),tblSafetyHistory[Month],"&lt;"&amp;$E238,tblSafetyHistory[Use],1))/(SUMIFS(tblSafety[Hours_Total],tblSafety[Date],"&gt;="&amp;EDATE($E238,-12),tblSafety[Date],"&lt;="&amp;$A238)+SUMIFS(tblSafetyHistory[Hours_Total],tblSafetyHistory[Month],"&gt;="&amp;EDATE($E238,-12),tblSafetyHistory[Month],"&lt;"&amp;$E238,tblSafetyHistory[Use],1))*cfg_RateBasisHours,"")</f>
        <v/>
      </c>
      <c r="IR238" s="62">
        <f>IF(MAX(N(cfg_PriorLTIDate),_xlfn.MAXIFS(tblSafety[Date],tblSafety[LTI],"&gt;0",tblSafety[Date],"&lt;="&amp;$A238))=0,"",$A238-MAX(N(cfg_PriorLTIDate),_xlfn.MAXIFS(tblSafety[Date],tblSafety[LTI],"&gt;0",tblSafety[Date],"&lt;="&amp;$A238)))</f>
        <v/>
      </c>
      <c r="IS238" s="55">
        <f>SUMIFS(tblBudget[Ore_Mined_t],tblBudget[Month],$E238)</f>
        <v/>
      </c>
      <c r="IT238" s="55">
        <f>$IS238*$C238/$D238</f>
        <v/>
      </c>
      <c r="IU238" s="55">
        <f>SUMIFS(tblBudget[Ore_Mined_t],tblBudget[Month],"&lt;"&amp;$E238)+$IT238</f>
        <v/>
      </c>
      <c r="IV238" s="55">
        <f>SUMIFS(tblBudget[Ore_oz],tblBudget[Month],$E238)</f>
        <v/>
      </c>
      <c r="IW238" s="55">
        <f>$IV238*$C238/$D238</f>
        <v/>
      </c>
      <c r="IX238" s="55">
        <f>SUMIFS(tblBudget[Ore_oz],tblBudget[Month],"&lt;"&amp;$E238)+$IW238</f>
        <v/>
      </c>
      <c r="IY238" s="55">
        <f>SUMIFS(tblBudget[Ore_Mined_t],tblBudget[Month],$E238)</f>
        <v/>
      </c>
      <c r="IZ238" s="55">
        <f>$IY238*$C238/$D238</f>
        <v/>
      </c>
      <c r="JA238" s="55">
        <f>SUMIFS(tblBudget[Ore_Mined_t],tblBudget[Month],"&lt;"&amp;$E238)+$IZ238</f>
        <v/>
      </c>
      <c r="JB238" s="56">
        <f>IFERROR(IF(($IY238)&gt;0,($IV238*cfg_TroyOz)/($IY238),""),"")</f>
        <v/>
      </c>
      <c r="JC238" s="56">
        <f>IFERROR(IF(($IZ238)&gt;0,($IW238*cfg_TroyOz)/($IZ238),""),"")</f>
        <v/>
      </c>
      <c r="JD238" s="56">
        <f>IFERROR(IF(($JA238)&gt;0,($IX238*cfg_TroyOz)/($JA238),""),"")</f>
        <v/>
      </c>
      <c r="JE238" s="55">
        <f>SUMIFS(tblBudget[Waste_t],tblBudget[Month],$E238)</f>
        <v/>
      </c>
      <c r="JF238" s="55">
        <f>$JE238*$C238/$D238</f>
        <v/>
      </c>
      <c r="JG238" s="55">
        <f>SUMIFS(tblBudget[Waste_t],tblBudget[Month],"&lt;"&amp;$E238)+$JF238</f>
        <v/>
      </c>
      <c r="JH238" s="55">
        <f>SUMIFS(tblBudget[TMM_t],tblBudget[Month],$E238)</f>
        <v/>
      </c>
      <c r="JI238" s="55">
        <f>$JH238*$C238/$D238</f>
        <v/>
      </c>
      <c r="JJ238" s="55">
        <f>SUMIFS(tblBudget[TMM_t],tblBudget[Month],"&lt;"&amp;$E238)+$JI238</f>
        <v/>
      </c>
      <c r="JK238" s="56">
        <f>IFERROR(IF(($IS238)&gt;0,($JE238)/($IS238),""),"")</f>
        <v/>
      </c>
      <c r="JL238" s="56">
        <f>IFERROR(IF(($IT238)&gt;0,($JF238)/($IT238),""),"")</f>
        <v/>
      </c>
      <c r="JM238" s="56">
        <f>IFERROR(IF(($IU238)&gt;0,($JG238)/($IU238),""),"")</f>
        <v/>
      </c>
      <c r="JN238" s="55">
        <f>SUMIFS(tblBudget[Drill_m],tblBudget[Month],$E238)</f>
        <v/>
      </c>
      <c r="JO238" s="55">
        <f>$JN238*$C238/$D238</f>
        <v/>
      </c>
      <c r="JP238" s="55">
        <f>SUMIFS(tblBudget[Drill_m],tblBudget[Month],"&lt;"&amp;$E238)+$JO238</f>
        <v/>
      </c>
      <c r="JQ238" s="55">
        <f>SUMIFS(tblBudget[Diesel_L],tblBudget[Month],$E238)</f>
        <v/>
      </c>
      <c r="JR238" s="55">
        <f>$JQ238*$C238/$D238</f>
        <v/>
      </c>
      <c r="JS238" s="55">
        <f>SUMIFS(tblBudget[Diesel_L],tblBudget[Month],"&lt;"&amp;$E238)+$JR238</f>
        <v/>
      </c>
      <c r="JT238" s="55">
        <f>SUMIFS(tblBudget[Milled_t],tblBudget[Month],$E238)</f>
        <v/>
      </c>
      <c r="JU238" s="55">
        <f>$JT238*$C238/$D238</f>
        <v/>
      </c>
      <c r="JV238" s="55">
        <f>SUMIFS(tblBudget[Milled_t],tblBudget[Month],"&lt;"&amp;$E238)+$JU238</f>
        <v/>
      </c>
      <c r="JW238" s="55">
        <f>SUMIFS(tblBudget[Feed_oz],tblBudget[Month],$E238)</f>
        <v/>
      </c>
      <c r="JX238" s="55">
        <f>$JW238*$C238/$D238</f>
        <v/>
      </c>
      <c r="JY238" s="55">
        <f>SUMIFS(tblBudget[Feed_oz],tblBudget[Month],"&lt;"&amp;$E238)+$JX238</f>
        <v/>
      </c>
      <c r="JZ238" s="55">
        <f>SUMIFS(tblBudget[Recovered_oz],tblBudget[Month],$E238)</f>
        <v/>
      </c>
      <c r="KA238" s="55">
        <f>$JZ238*$C238/$D238</f>
        <v/>
      </c>
      <c r="KB238" s="55">
        <f>SUMIFS(tblBudget[Recovered_oz],tblBudget[Month],"&lt;"&amp;$E238)+$KA238</f>
        <v/>
      </c>
      <c r="KC238" s="55">
        <f>SUMIFS(tblBudget[Milled_t],tblBudget[Month],$E238)</f>
        <v/>
      </c>
      <c r="KD238" s="55">
        <f>$KC238*$C238/$D238</f>
        <v/>
      </c>
      <c r="KE238" s="55">
        <f>SUMIFS(tblBudget[Milled_t],tblBudget[Month],"&lt;"&amp;$E238)+$KD238</f>
        <v/>
      </c>
      <c r="KF238" s="55">
        <f>SUMIFS(tblBudget[Feed_oz],tblBudget[Month],$E238)</f>
        <v/>
      </c>
      <c r="KG238" s="55">
        <f>$KF238*$C238/$D238</f>
        <v/>
      </c>
      <c r="KH238" s="55">
        <f>SUMIFS(tblBudget[Feed_oz],tblBudget[Month],"&lt;"&amp;$E238)+$KG238</f>
        <v/>
      </c>
      <c r="KI238" s="56">
        <f>IFERROR(IF(($KC238)&gt;0,($JW238*cfg_TroyOz)/($KC238),""),"")</f>
        <v/>
      </c>
      <c r="KJ238" s="56">
        <f>IFERROR(IF(($KD238)&gt;0,($JX238*cfg_TroyOz)/($KD238),""),"")</f>
        <v/>
      </c>
      <c r="KK238" s="56">
        <f>IFERROR(IF(($KE238)&gt;0,($JY238*cfg_TroyOz)/($KE238),""),"")</f>
        <v/>
      </c>
      <c r="KL238" s="67">
        <f>IFERROR(IF(($KF238)&gt;0,($JZ238)/($KF238),""),"")</f>
        <v/>
      </c>
      <c r="KM238" s="67">
        <f>IFERROR(IF(($KG238)&gt;0,($KA238)/($KG238),""),"")</f>
        <v/>
      </c>
      <c r="KN238" s="67">
        <f>IFERROR(IF(($KH238)&gt;0,($KB238)/($KH238),""),"")</f>
        <v/>
      </c>
      <c r="KO238" s="55">
        <f>SUMIFS(tblBudget[Gold_Poured_oz],tblBudget[Month],$E238)</f>
        <v/>
      </c>
      <c r="KP238" s="55">
        <f>$KO238*$C238/$D238</f>
        <v/>
      </c>
      <c r="KQ238" s="55">
        <f>SUMIFS(tblBudget[Gold_Poured_oz],tblBudget[Month],"&lt;"&amp;$E238)+$KP238</f>
        <v/>
      </c>
      <c r="KR238" s="57">
        <f>SUMIFS(tblBudget[Hours_Worked],tblBudget[Month],$E238)</f>
        <v/>
      </c>
      <c r="KS238" s="57">
        <f>$KR238*$C238/$D238</f>
        <v/>
      </c>
      <c r="KT238" s="57">
        <f>SUMIFS(tblBudget[Hours_Worked],tblBudget[Month],"&lt;"&amp;$E238)+$KS238</f>
        <v/>
      </c>
    </row>
    <row r="239">
      <c r="A239" s="54" t="n">
        <v>46260</v>
      </c>
      <c r="B239">
        <f>MONTH($A239)</f>
        <v/>
      </c>
      <c r="C239">
        <f>DAY($A239)</f>
        <v/>
      </c>
      <c r="D239">
        <f>DAY(EOMONTH($A239,0))</f>
        <v/>
      </c>
      <c r="E239" s="54">
        <f>DATE(YEAR($A239),MONTH($A239),1)</f>
        <v/>
      </c>
      <c r="F239" s="55">
        <f>SUMIFS(tblMovement[Tonnes_t],tblMovement[Date],$A239,tblMovement[Is_Ore],1,tblMovement[Source_Type],"Pit")</f>
        <v/>
      </c>
      <c r="G239" s="55">
        <f>IF($B239=$B238,$G238,0)+$F239</f>
        <v/>
      </c>
      <c r="H239" s="55">
        <f>$H238+$F239</f>
        <v/>
      </c>
      <c r="I239" s="55">
        <f>SUMIFS(tblMovement[Ore_oz],tblMovement[Date],$A239,tblMovement[Source_Type],"Pit")</f>
        <v/>
      </c>
      <c r="J239" s="55">
        <f>IF($B239=$B238,$J238,0)+$I239</f>
        <v/>
      </c>
      <c r="K239" s="55">
        <f>$K238+$I239</f>
        <v/>
      </c>
      <c r="L239" s="55">
        <f>SUMIFS(tblMovement[Tonnes_t],tblMovement[Date],$A239,tblMovement[Is_Ore],1,tblMovement[Source_Type],"Pit",tblMovement[Grade_gpt],"&lt;&gt;")</f>
        <v/>
      </c>
      <c r="M239" s="55">
        <f>IF($B239=$B238,$M238,0)+$L239</f>
        <v/>
      </c>
      <c r="N239" s="55">
        <f>$N238+$L239</f>
        <v/>
      </c>
      <c r="O239" s="56">
        <f>IFERROR(IF(($L239)&gt;0,($I239*cfg_TroyOz)/($L239),""),"")</f>
        <v/>
      </c>
      <c r="P239" s="56">
        <f>IFERROR(IF(($M239)&gt;0,($J239*cfg_TroyOz)/($M239),""),"")</f>
        <v/>
      </c>
      <c r="Q239" s="56">
        <f>IFERROR(IF(($N239)&gt;0,($K239*cfg_TroyOz)/($N239),""),"")</f>
        <v/>
      </c>
      <c r="R239" s="55">
        <f>$F239-$L239</f>
        <v/>
      </c>
      <c r="S239" s="55">
        <f>IF($B239=$B238,$S238,0)+$R239</f>
        <v/>
      </c>
      <c r="T239" s="55">
        <f>$T238+$R239</f>
        <v/>
      </c>
      <c r="U239" s="55">
        <f>SUMIFS(tblMovement[Tonnes_t],tblMovement[Date],$A239,tblMovement[Is_Ore],0,tblMovement[Source_Type],"Pit")</f>
        <v/>
      </c>
      <c r="V239" s="55">
        <f>IF($B239=$B238,$V238,0)+$U239</f>
        <v/>
      </c>
      <c r="W239" s="55">
        <f>$W238+$U239</f>
        <v/>
      </c>
      <c r="X239" s="55">
        <f>$F239+$U239</f>
        <v/>
      </c>
      <c r="Y239" s="55">
        <f>IF($B239=$B238,$Y238,0)+$X239</f>
        <v/>
      </c>
      <c r="Z239" s="55">
        <f>$Z238+$X239</f>
        <v/>
      </c>
      <c r="AA239" s="56">
        <f>IFERROR(IF(($F239)&gt;0,($U239)/($F239),""),"")</f>
        <v/>
      </c>
      <c r="AB239" s="56">
        <f>IFERROR(IF(($G239)&gt;0,($V239)/($G239),""),"")</f>
        <v/>
      </c>
      <c r="AC239" s="56">
        <f>IFERROR(IF(($H239)&gt;0,($W239)/($H239),""),"")</f>
        <v/>
      </c>
      <c r="AD239" s="55">
        <f>SUMIFS(tblMovement[Tonnes_t],tblMovement[Date],$A239,tblMovement[Source_Type],"Stockpile")</f>
        <v/>
      </c>
      <c r="AE239" s="55">
        <f>IF($B239=$B238,$AE238,0)+$AD239</f>
        <v/>
      </c>
      <c r="AF239" s="55">
        <f>$AF238+$AD239</f>
        <v/>
      </c>
      <c r="AG239" s="55">
        <f>SUMIFS(tblMovement[Tonnes_t],tblMovement[Date],$A239)</f>
        <v/>
      </c>
      <c r="AH239" s="55">
        <f>IF($B239=$B238,$AH238,0)+$AG239</f>
        <v/>
      </c>
      <c r="AI239" s="55">
        <f>$AI238+$AG239</f>
        <v/>
      </c>
      <c r="AJ239" s="55">
        <f>$AG239-$X239-$AD239</f>
        <v/>
      </c>
      <c r="AK239" s="55">
        <f>IF($B239=$B238,$AK238,0)+$AJ239</f>
        <v/>
      </c>
      <c r="AL239" s="55">
        <f>$AL238+$AJ239</f>
        <v/>
      </c>
      <c r="AM239" s="55">
        <f>SUMIFS(tblMiningDaily[Drill_m],tblMiningDaily[Date],$A239)</f>
        <v/>
      </c>
      <c r="AN239" s="55">
        <f>IF($B239=$B238,$AN238,0)+$AM239</f>
        <v/>
      </c>
      <c r="AO239" s="55">
        <f>$AO238+$AM239</f>
        <v/>
      </c>
      <c r="AP239" s="55">
        <f>SUMIFS(tblMiningDaily[GC_Drill_m],tblMiningDaily[Date],$A239)</f>
        <v/>
      </c>
      <c r="AQ239" s="55">
        <f>IF($B239=$B238,$AQ238,0)+$AP239</f>
        <v/>
      </c>
      <c r="AR239" s="55">
        <f>$AR238+$AP239</f>
        <v/>
      </c>
      <c r="AS239" s="55">
        <f>SUMIFS(tblMiningDaily[Blast_t],tblMiningDaily[Date],$A239)</f>
        <v/>
      </c>
      <c r="AT239" s="55">
        <f>IF($B239=$B238,$AT238,0)+$AS239</f>
        <v/>
      </c>
      <c r="AU239" s="55">
        <f>$AU238+$AS239</f>
        <v/>
      </c>
      <c r="AV239" s="55">
        <f>SUMIFS(tblMiningDaily[Explosives_kg],tblMiningDaily[Date],$A239)</f>
        <v/>
      </c>
      <c r="AW239" s="55">
        <f>IF($B239=$B238,$AW238,0)+$AV239</f>
        <v/>
      </c>
      <c r="AX239" s="55">
        <f>$AX238+$AV239</f>
        <v/>
      </c>
      <c r="AY239" s="56">
        <f>IFERROR(IF(($AS239)&gt;0,($AV239)/($AS239),""),"")</f>
        <v/>
      </c>
      <c r="AZ239" s="56">
        <f>IFERROR(IF(($AT239)&gt;0,($AW239)/($AT239),""),"")</f>
        <v/>
      </c>
      <c r="BA239" s="56">
        <f>IFERROR(IF(($AU239)&gt;0,($AX239)/($AU239),""),"")</f>
        <v/>
      </c>
      <c r="BB239" s="55">
        <f>SUMIFS(tblMiningDaily[Diesel_L],tblMiningDaily[Date],$A239)</f>
        <v/>
      </c>
      <c r="BC239" s="55">
        <f>IF($B239=$B238,$BC238,0)+$BB239</f>
        <v/>
      </c>
      <c r="BD239" s="55">
        <f>$BD238+$BB239</f>
        <v/>
      </c>
      <c r="BE239" s="55">
        <f>SUMIFS(tblMiningDaily[Dewatering_m3],tblMiningDaily[Date],$A239)</f>
        <v/>
      </c>
      <c r="BF239" s="55">
        <f>IF($B239=$B238,$BF238,0)+$BE239</f>
        <v/>
      </c>
      <c r="BG239" s="55">
        <f>$BG238+$BE239</f>
        <v/>
      </c>
      <c r="BH239" s="57">
        <f>SUMIFS(tblFleet[Calendar_h],tblFleet[Date],$A239,tblFleet[Equipment_Class],"Excavator")</f>
        <v/>
      </c>
      <c r="BI239" s="57">
        <f>IF($B239=$B238,$BI238,0)+$BH239</f>
        <v/>
      </c>
      <c r="BJ239" s="57">
        <f>$BJ238+$BH239</f>
        <v/>
      </c>
      <c r="BK239" s="57">
        <f>SUMIFS(tblFleet[Available_h],tblFleet[Date],$A239,tblFleet[Equipment_Class],"Excavator")</f>
        <v/>
      </c>
      <c r="BL239" s="57">
        <f>IF($B239=$B238,$BL238,0)+$BK239</f>
        <v/>
      </c>
      <c r="BM239" s="57">
        <f>$BM238+$BK239</f>
        <v/>
      </c>
      <c r="BN239" s="57">
        <f>SUMIFS(tblFleet[Operating_h],tblFleet[Date],$A239,tblFleet[Equipment_Class],"Excavator")</f>
        <v/>
      </c>
      <c r="BO239" s="57">
        <f>IF($B239=$B238,$BO238,0)+$BN239</f>
        <v/>
      </c>
      <c r="BP239" s="57">
        <f>$BP238+$BN239</f>
        <v/>
      </c>
      <c r="BQ239" s="67">
        <f>IFERROR(IF(($BH239)&gt;0,($BK239)/($BH239),""),"")</f>
        <v/>
      </c>
      <c r="BR239" s="67">
        <f>IFERROR(IF(($BI239)&gt;0,($BL239)/($BI239),""),"")</f>
        <v/>
      </c>
      <c r="BS239" s="67">
        <f>IFERROR(IF(($BJ239)&gt;0,($BM239)/($BJ239),""),"")</f>
        <v/>
      </c>
      <c r="BT239" s="67">
        <f>IFERROR(IF(($BK239)&gt;0,($BN239)/($BK239),""),"")</f>
        <v/>
      </c>
      <c r="BU239" s="67">
        <f>IFERROR(IF(($BL239)&gt;0,($BO239)/($BL239),""),"")</f>
        <v/>
      </c>
      <c r="BV239" s="67">
        <f>IFERROR(IF(($BM239)&gt;0,($BP239)/($BM239),""),"")</f>
        <v/>
      </c>
      <c r="BW239" s="57">
        <f>SUMIFS(tblFleet[Calendar_h],tblFleet[Date],$A239,tblFleet[Equipment_Class],"Haul Truck")</f>
        <v/>
      </c>
      <c r="BX239" s="57">
        <f>IF($B239=$B238,$BX238,0)+$BW239</f>
        <v/>
      </c>
      <c r="BY239" s="57">
        <f>$BY238+$BW239</f>
        <v/>
      </c>
      <c r="BZ239" s="57">
        <f>SUMIFS(tblFleet[Available_h],tblFleet[Date],$A239,tblFleet[Equipment_Class],"Haul Truck")</f>
        <v/>
      </c>
      <c r="CA239" s="57">
        <f>IF($B239=$B238,$CA238,0)+$BZ239</f>
        <v/>
      </c>
      <c r="CB239" s="57">
        <f>$CB238+$BZ239</f>
        <v/>
      </c>
      <c r="CC239" s="57">
        <f>SUMIFS(tblFleet[Operating_h],tblFleet[Date],$A239,tblFleet[Equipment_Class],"Haul Truck")</f>
        <v/>
      </c>
      <c r="CD239" s="57">
        <f>IF($B239=$B238,$CD238,0)+$CC239</f>
        <v/>
      </c>
      <c r="CE239" s="57">
        <f>$CE238+$CC239</f>
        <v/>
      </c>
      <c r="CF239" s="67">
        <f>IFERROR(IF(($BW239)&gt;0,($BZ239)/($BW239),""),"")</f>
        <v/>
      </c>
      <c r="CG239" s="67">
        <f>IFERROR(IF(($BX239)&gt;0,($CA239)/($BX239),""),"")</f>
        <v/>
      </c>
      <c r="CH239" s="67">
        <f>IFERROR(IF(($BY239)&gt;0,($CB239)/($BY239),""),"")</f>
        <v/>
      </c>
      <c r="CI239" s="67">
        <f>IFERROR(IF(($BZ239)&gt;0,($CC239)/($BZ239),""),"")</f>
        <v/>
      </c>
      <c r="CJ239" s="67">
        <f>IFERROR(IF(($CA239)&gt;0,($CD239)/($CA239),""),"")</f>
        <v/>
      </c>
      <c r="CK239" s="67">
        <f>IFERROR(IF(($CB239)&gt;0,($CE239)/($CB239),""),"")</f>
        <v/>
      </c>
      <c r="CL239" s="55">
        <f>IFERROR(IF(($BN239)&gt;0,($X239+$AD239)/($BN239),""),"")</f>
        <v/>
      </c>
      <c r="CM239" s="55">
        <f>IFERROR(IF(($BO239)&gt;0,($Y239+$AE239)/($BO239),""),"")</f>
        <v/>
      </c>
      <c r="CN239" s="55">
        <f>IFERROR(IF(($BP239)&gt;0,($Z239+$AF239)/($BP239),""),"")</f>
        <v/>
      </c>
      <c r="CO239" s="55">
        <f>IFERROR(IF(($CC239)&gt;0,($X239+$AD239)/($CC239),""),"")</f>
        <v/>
      </c>
      <c r="CP239" s="55">
        <f>IFERROR(IF(($CD239)&gt;0,($Y239+$AE239)/($CD239),""),"")</f>
        <v/>
      </c>
      <c r="CQ239" s="55">
        <f>IFERROR(IF(($CE239)&gt;0,($Z239+$AF239)/($CE239),""),"")</f>
        <v/>
      </c>
      <c r="CR239" s="55">
        <f>SUMIFS(tblPlant[Crushed_t],tblPlant[Date],$A239)</f>
        <v/>
      </c>
      <c r="CS239" s="55">
        <f>IF($B239=$B238,$CS238,0)+$CR239</f>
        <v/>
      </c>
      <c r="CT239" s="55">
        <f>$CT238+$CR239</f>
        <v/>
      </c>
      <c r="CU239" s="55">
        <f>SUMIFS(tblPlant[Milled_t],tblPlant[Date],$A239)</f>
        <v/>
      </c>
      <c r="CV239" s="55">
        <f>IF($B239=$B238,$CV238,0)+$CU239</f>
        <v/>
      </c>
      <c r="CW239" s="55">
        <f>$CW238+$CU239</f>
        <v/>
      </c>
      <c r="CX239" s="55">
        <f>SUMIFS(tblPlant[Feed_oz],tblPlant[Date],$A239)</f>
        <v/>
      </c>
      <c r="CY239" s="55">
        <f>IF($B239=$B238,$CY238,0)+$CX239</f>
        <v/>
      </c>
      <c r="CZ239" s="55">
        <f>$CZ238+$CX239</f>
        <v/>
      </c>
      <c r="DA239" s="55">
        <f>SUMIFS(tblPlant[Tails_oz],tblPlant[Date],$A239)</f>
        <v/>
      </c>
      <c r="DB239" s="55">
        <f>IF($B239=$B238,$DB238,0)+$DA239</f>
        <v/>
      </c>
      <c r="DC239" s="55">
        <f>$DC238+$DA239</f>
        <v/>
      </c>
      <c r="DD239" s="55">
        <f>SUMIFS(tblPlant[Recovered_oz],tblPlant[Date],$A239)</f>
        <v/>
      </c>
      <c r="DE239" s="55">
        <f>IF($B239=$B238,$DE238,0)+$DD239</f>
        <v/>
      </c>
      <c r="DF239" s="55">
        <f>$DF238+$DD239</f>
        <v/>
      </c>
      <c r="DG239" s="55">
        <f>SUMIFS(tblPlant[Milled_t],tblPlant[Date],$A239,tblPlant[Head_Grade_gpt],"&lt;&gt;")</f>
        <v/>
      </c>
      <c r="DH239" s="55">
        <f>IF($B239=$B238,$DH238,0)+$DG239</f>
        <v/>
      </c>
      <c r="DI239" s="55">
        <f>$DI238+$DG239</f>
        <v/>
      </c>
      <c r="DJ239" s="55">
        <f>SUMIFS(tblPlant[Milled_t],tblPlant[Date],$A239,tblPlant[Tails_Grade_gpt],"&lt;&gt;")</f>
        <v/>
      </c>
      <c r="DK239" s="55">
        <f>IF($B239=$B238,$DK238,0)+$DJ239</f>
        <v/>
      </c>
      <c r="DL239" s="55">
        <f>$DL238+$DJ239</f>
        <v/>
      </c>
      <c r="DM239" s="55">
        <f>SUMIFS(tblPlant[Feed_oz],tblPlant[Date],$A239,tblPlant[Tails_Grade_gpt],"&lt;&gt;")</f>
        <v/>
      </c>
      <c r="DN239" s="55">
        <f>IF($B239=$B238,$DN238,0)+$DM239</f>
        <v/>
      </c>
      <c r="DO239" s="55">
        <f>$DO238+$DM239</f>
        <v/>
      </c>
      <c r="DP239" s="55">
        <f>SUMIFS(tblPlant[Milled_t],tblPlant[Date],$A239,tblPlant[Mill_Run_h],"&lt;&gt;")</f>
        <v/>
      </c>
      <c r="DQ239" s="55">
        <f>IF($B239=$B238,$DQ238,0)+$DP239</f>
        <v/>
      </c>
      <c r="DR239" s="55">
        <f>$DR238+$DP239</f>
        <v/>
      </c>
      <c r="DS239" s="56">
        <f>IFERROR(IF(($DG239)&gt;0,($CX239*cfg_TroyOz)/($DG239),""),"")</f>
        <v/>
      </c>
      <c r="DT239" s="56">
        <f>IFERROR(IF(($DH239)&gt;0,($CY239*cfg_TroyOz)/($DH239),""),"")</f>
        <v/>
      </c>
      <c r="DU239" s="56">
        <f>IFERROR(IF(($DI239)&gt;0,($CZ239*cfg_TroyOz)/($DI239),""),"")</f>
        <v/>
      </c>
      <c r="DV239" s="56">
        <f>IFERROR(IF(($DJ239)&gt;0,($DA239*cfg_TroyOz)/($DJ239),""),"")</f>
        <v/>
      </c>
      <c r="DW239" s="56">
        <f>IFERROR(IF(($DK239)&gt;0,($DB239*cfg_TroyOz)/($DK239),""),"")</f>
        <v/>
      </c>
      <c r="DX239" s="56">
        <f>IFERROR(IF(($DL239)&gt;0,($DC239*cfg_TroyOz)/($DL239),""),"")</f>
        <v/>
      </c>
      <c r="DY239" s="67">
        <f>IFERROR(IF(($DM239)&gt;0,($DD239)/($DM239),""),"")</f>
        <v/>
      </c>
      <c r="DZ239" s="67">
        <f>IFERROR(IF(($DN239)&gt;0,($DE239)/($DN239),""),"")</f>
        <v/>
      </c>
      <c r="EA239" s="67">
        <f>IFERROR(IF(($DO239)&gt;0,($DF239)/($DO239),""),"")</f>
        <v/>
      </c>
      <c r="EB239" s="55">
        <f>SUMIFS(tblPlant[Gravity_Gold_oz],tblPlant[Date],$A239)</f>
        <v/>
      </c>
      <c r="EC239" s="55">
        <f>IF($B239=$B238,$EC238,0)+$EB239</f>
        <v/>
      </c>
      <c r="ED239" s="55">
        <f>$ED238+$EB239</f>
        <v/>
      </c>
      <c r="EE239" s="67">
        <f>IFERROR(IF(($DD239)&gt;0,($EB239)/($DD239),""),"")</f>
        <v/>
      </c>
      <c r="EF239" s="67">
        <f>IFERROR(IF(($DE239)&gt;0,($EC239)/($DE239),""),"")</f>
        <v/>
      </c>
      <c r="EG239" s="67">
        <f>IFERROR(IF(($DF239)&gt;0,($ED239)/($DF239),""),"")</f>
        <v/>
      </c>
      <c r="EH239" s="55">
        <f>SUMIFS(tblPlant[Gold_Poured_oz],tblPlant[Date],$A239)</f>
        <v/>
      </c>
      <c r="EI239" s="55">
        <f>IF($B239=$B238,$EI238,0)+$EH239</f>
        <v/>
      </c>
      <c r="EJ239" s="55">
        <f>$EJ238+$EH239</f>
        <v/>
      </c>
      <c r="EK239" s="57">
        <f>SUMIFS(tblPlant[Mill_Run_h],tblPlant[Date],$A239)</f>
        <v/>
      </c>
      <c r="EL239" s="57">
        <f>IF($B239=$B238,$EL238,0)+$EK239</f>
        <v/>
      </c>
      <c r="EM239" s="57">
        <f>$EM238+$EK239</f>
        <v/>
      </c>
      <c r="EN239" s="57">
        <f>SUMIFS(tblPlant[Mill_Planned_Maint_h],tblPlant[Date],$A239)</f>
        <v/>
      </c>
      <c r="EO239" s="57">
        <f>IF($B239=$B238,$EO238,0)+$EN239</f>
        <v/>
      </c>
      <c r="EP239" s="57">
        <f>$EP238+$EN239</f>
        <v/>
      </c>
      <c r="EQ239" s="57">
        <f>SUMIFS(tblPlant[Mill_Unplanned_Down_h],tblPlant[Date],$A239)</f>
        <v/>
      </c>
      <c r="ER239" s="57">
        <f>IF($B239=$B238,$ER238,0)+$EQ239</f>
        <v/>
      </c>
      <c r="ES239" s="57">
        <f>$ES238+$EQ239</f>
        <v/>
      </c>
      <c r="ET239" s="57">
        <f>IF(COUNTIFS(tblPlant[Date],$A239,tblPlant[Mill_Run_h],"&lt;&gt;")+COUNTIFS(tblPlant[Date],$A239,tblPlant[Mill_Planned_Maint_h],"&lt;&gt;")+COUNTIFS(tblPlant[Date],$A239,tblPlant[Mill_Unplanned_Down_h],"&lt;&gt;")&gt;0,cfg_HoursPerDay,0)</f>
        <v/>
      </c>
      <c r="EU239" s="57">
        <f>IF($B239=$B238,$EU238,0)+$ET239</f>
        <v/>
      </c>
      <c r="EV239" s="57">
        <f>$EV238+$ET239</f>
        <v/>
      </c>
      <c r="EW239" s="57">
        <f>SUMIFS(tblPlant[Crusher_Run_h],tblPlant[Date],$A239)</f>
        <v/>
      </c>
      <c r="EX239" s="57">
        <f>IF($B239=$B238,$EX238,0)+$EW239</f>
        <v/>
      </c>
      <c r="EY239" s="57">
        <f>$EY238+$EW239</f>
        <v/>
      </c>
      <c r="EZ239" s="55">
        <f>IFERROR(IF(($EK239)&gt;0,($DP239)/($EK239),""),"")</f>
        <v/>
      </c>
      <c r="FA239" s="55">
        <f>IFERROR(IF(($EL239)&gt;0,($DQ239)/($EL239),""),"")</f>
        <v/>
      </c>
      <c r="FB239" s="55">
        <f>IFERROR(IF(($EM239)&gt;0,($DR239)/($EM239),""),"")</f>
        <v/>
      </c>
      <c r="FC239" s="67">
        <f>IFERROR(IF(($ET239)&gt;0,($ET239-$EN239-$EQ239)/($ET239),""),"")</f>
        <v/>
      </c>
      <c r="FD239" s="67">
        <f>IFERROR(IF(($EU239)&gt;0,($EU239-$EO239-$ER239)/($EU239),""),"")</f>
        <v/>
      </c>
      <c r="FE239" s="67">
        <f>IFERROR(IF(($EV239)&gt;0,($EV239-$EP239-$ES239)/($EV239),""),"")</f>
        <v/>
      </c>
      <c r="FF239" s="67">
        <f>IFERROR(IF(($ET239-$EN239-$EQ239)&gt;0,($EK239)/($ET239-$EN239-$EQ239),""),"")</f>
        <v/>
      </c>
      <c r="FG239" s="67">
        <f>IFERROR(IF(($EU239-$EO239-$ER239)&gt;0,($EL239)/($EU239-$EO239-$ER239),""),"")</f>
        <v/>
      </c>
      <c r="FH239" s="67">
        <f>IFERROR(IF(($EV239-$EP239-$ES239)&gt;0,($EM239)/($EV239-$EP239-$ES239),""),"")</f>
        <v/>
      </c>
      <c r="FI239" s="55">
        <f>SUMIFS(tblPlant[Cyanide_kg],tblPlant[Date],$A239)</f>
        <v/>
      </c>
      <c r="FJ239" s="55">
        <f>IF($B239=$B238,$FJ238,0)+$FI239</f>
        <v/>
      </c>
      <c r="FK239" s="55">
        <f>$FK238+$FI239</f>
        <v/>
      </c>
      <c r="FL239" s="55">
        <f>SUMIFS(tblPlant[Lime_kg],tblPlant[Date],$A239)</f>
        <v/>
      </c>
      <c r="FM239" s="55">
        <f>IF($B239=$B238,$FM238,0)+$FL239</f>
        <v/>
      </c>
      <c r="FN239" s="55">
        <f>$FN238+$FL239</f>
        <v/>
      </c>
      <c r="FO239" s="55">
        <f>SUMIFS(tblPlant[Grinding_Media_kg],tblPlant[Date],$A239)</f>
        <v/>
      </c>
      <c r="FP239" s="55">
        <f>IF($B239=$B238,$FP238,0)+$FO239</f>
        <v/>
      </c>
      <c r="FQ239" s="55">
        <f>$FQ238+$FO239</f>
        <v/>
      </c>
      <c r="FR239" s="55">
        <f>SUMIFS(tblPlant[Power_kWh],tblPlant[Date],$A239)</f>
        <v/>
      </c>
      <c r="FS239" s="55">
        <f>IF($B239=$B238,$FS238,0)+$FR239</f>
        <v/>
      </c>
      <c r="FT239" s="55">
        <f>$FT238+$FR239</f>
        <v/>
      </c>
      <c r="FU239" s="55">
        <f>SUMIFS(tblPlant[Raw_Water_m3],tblPlant[Date],$A239)</f>
        <v/>
      </c>
      <c r="FV239" s="55">
        <f>IF($B239=$B238,$FV238,0)+$FU239</f>
        <v/>
      </c>
      <c r="FW239" s="55">
        <f>$FW238+$FU239</f>
        <v/>
      </c>
      <c r="FX239" s="56">
        <f>IFERROR(IF(($CU239)&gt;0,($FI239)/($CU239),""),"")</f>
        <v/>
      </c>
      <c r="FY239" s="56">
        <f>IFERROR(IF(($CV239)&gt;0,($FJ239)/($CV239),""),"")</f>
        <v/>
      </c>
      <c r="FZ239" s="56">
        <f>IFERROR(IF(($CW239)&gt;0,($FK239)/($CW239),""),"")</f>
        <v/>
      </c>
      <c r="GA239" s="56">
        <f>IFERROR(IF(($CU239)&gt;0,($FL239)/($CU239),""),"")</f>
        <v/>
      </c>
      <c r="GB239" s="56">
        <f>IFERROR(IF(($CV239)&gt;0,($FM239)/($CV239),""),"")</f>
        <v/>
      </c>
      <c r="GC239" s="56">
        <f>IFERROR(IF(($CW239)&gt;0,($FN239)/($CW239),""),"")</f>
        <v/>
      </c>
      <c r="GD239" s="56">
        <f>IFERROR(IF(($CU239)&gt;0,($FO239)/($CU239),""),"")</f>
        <v/>
      </c>
      <c r="GE239" s="56">
        <f>IFERROR(IF(($CV239)&gt;0,($FP239)/($CV239),""),"")</f>
        <v/>
      </c>
      <c r="GF239" s="56">
        <f>IFERROR(IF(($CW239)&gt;0,($FQ239)/($CW239),""),"")</f>
        <v/>
      </c>
      <c r="GG239" s="79">
        <f>IFERROR(IF(($CU239)&gt;0,($FR239)/($CU239),""),"")</f>
        <v/>
      </c>
      <c r="GH239" s="79">
        <f>IFERROR(IF(($CV239)&gt;0,($FS239)/($CV239),""),"")</f>
        <v/>
      </c>
      <c r="GI239" s="79">
        <f>IFERROR(IF(($CW239)&gt;0,($FT239)/($CW239),""),"")</f>
        <v/>
      </c>
      <c r="GJ239" s="56">
        <f>IFERROR(IF(($CU239)&gt;0,($FU239)/($CU239),""),"")</f>
        <v/>
      </c>
      <c r="GK239" s="56">
        <f>IFERROR(IF(($CV239)&gt;0,($FV239)/($CV239),""),"")</f>
        <v/>
      </c>
      <c r="GL239" s="56">
        <f>IFERROR(IF(($CW239)&gt;0,($FW239)/($CW239),""),"")</f>
        <v/>
      </c>
      <c r="GM239" s="55">
        <f>IF(SUMIFS(tblPlant[GIC_oz],tblPlant[Date],$A239)&gt;0,SUMIFS(tblPlant[GIC_oz],tblPlant[Date],$A239),"")</f>
        <v/>
      </c>
      <c r="GN239" s="55">
        <f>SUMIFS(tblGold[Gold_oz],tblGold[Date],$A239,tblGold[Type],"Shipment")</f>
        <v/>
      </c>
      <c r="GO239" s="55">
        <f>IF($B239=$B238,$GO238,0)+$GN239</f>
        <v/>
      </c>
      <c r="GP239" s="55">
        <f>$GP238+$GN239</f>
        <v/>
      </c>
      <c r="GQ239" s="55">
        <f>SUMIFS(tblGold[Gold_oz],tblGold[Date],$A239,tblGold[Type],"Sale")</f>
        <v/>
      </c>
      <c r="GR239" s="55">
        <f>IF($B239=$B238,$GR238,0)+$GQ239</f>
        <v/>
      </c>
      <c r="GS239" s="55">
        <f>$GS238+$GQ239</f>
        <v/>
      </c>
      <c r="GT239" s="55">
        <f>SUMIFS(tblGold[Dore_kg],tblGold[Date],$A239,tblGold[Type],"Shipment")</f>
        <v/>
      </c>
      <c r="GU239" s="55">
        <f>IF($B239=$B238,$GU238,0)+$GT239</f>
        <v/>
      </c>
      <c r="GV239" s="55">
        <f>$GV238+$GT239</f>
        <v/>
      </c>
      <c r="GW239" s="57">
        <f>SUMIFS(tblSafety[Hours_Total],tblSafety[Date],$A239)</f>
        <v/>
      </c>
      <c r="GX239" s="57">
        <f>IF($B239=$B238,$GX238,0)+$GW239</f>
        <v/>
      </c>
      <c r="GY239" s="57">
        <f>$GY238+$GW239</f>
        <v/>
      </c>
      <c r="GZ239" s="62">
        <f>SUMIFS(tblSafety[Fatality],tblSafety[Date],$A239)</f>
        <v/>
      </c>
      <c r="HA239" s="62">
        <f>IF($B239=$B238,$HA238,0)+$GZ239</f>
        <v/>
      </c>
      <c r="HB239" s="62">
        <f>$HB238+$GZ239</f>
        <v/>
      </c>
      <c r="HC239" s="62">
        <f>SUMIFS(tblSafety[LTI],tblSafety[Date],$A239)</f>
        <v/>
      </c>
      <c r="HD239" s="62">
        <f>IF($B239=$B238,$HD238,0)+$HC239</f>
        <v/>
      </c>
      <c r="HE239" s="62">
        <f>$HE238+$HC239</f>
        <v/>
      </c>
      <c r="HF239" s="62">
        <f>SUMIFS(tblSafety[RWI],tblSafety[Date],$A239)</f>
        <v/>
      </c>
      <c r="HG239" s="62">
        <f>IF($B239=$B238,$HG238,0)+$HF239</f>
        <v/>
      </c>
      <c r="HH239" s="62">
        <f>$HH238+$HF239</f>
        <v/>
      </c>
      <c r="HI239" s="62">
        <f>SUMIFS(tblSafety[MTI],tblSafety[Date],$A239)</f>
        <v/>
      </c>
      <c r="HJ239" s="62">
        <f>IF($B239=$B238,$HJ238,0)+$HI239</f>
        <v/>
      </c>
      <c r="HK239" s="62">
        <f>$HK238+$HI239</f>
        <v/>
      </c>
      <c r="HL239" s="62">
        <f>SUMIFS(tblSafety[FAI],tblSafety[Date],$A239)</f>
        <v/>
      </c>
      <c r="HM239" s="62">
        <f>IF($B239=$B238,$HM238,0)+$HL239</f>
        <v/>
      </c>
      <c r="HN239" s="62">
        <f>$HN238+$HL239</f>
        <v/>
      </c>
      <c r="HO239" s="62">
        <f>SUMIFS(tblSafety[Recordables],tblSafety[Date],$A239)</f>
        <v/>
      </c>
      <c r="HP239" s="62">
        <f>IF($B239=$B238,$HP238,0)+$HO239</f>
        <v/>
      </c>
      <c r="HQ239" s="62">
        <f>$HQ238+$HO239</f>
        <v/>
      </c>
      <c r="HR239" s="62">
        <f>SUMIFS(tblSafety[Near_Miss],tblSafety[Date],$A239)</f>
        <v/>
      </c>
      <c r="HS239" s="62">
        <f>IF($B239=$B238,$HS238,0)+$HR239</f>
        <v/>
      </c>
      <c r="HT239" s="62">
        <f>$HT238+$HR239</f>
        <v/>
      </c>
      <c r="HU239" s="62">
        <f>SUMIFS(tblSafety[Hazard_Reports],tblSafety[Date],$A239)</f>
        <v/>
      </c>
      <c r="HV239" s="62">
        <f>IF($B239=$B238,$HV238,0)+$HU239</f>
        <v/>
      </c>
      <c r="HW239" s="62">
        <f>$HW238+$HU239</f>
        <v/>
      </c>
      <c r="HX239" s="62">
        <f>SUMIFS(tblSafety[HPI],tblSafety[Date],$A239)</f>
        <v/>
      </c>
      <c r="HY239" s="62">
        <f>IF($B239=$B238,$HY238,0)+$HX239</f>
        <v/>
      </c>
      <c r="HZ239" s="62">
        <f>$HZ238+$HX239</f>
        <v/>
      </c>
      <c r="IA239" s="62">
        <f>SUMIFS(tblSafety[Env_Incidents],tblSafety[Date],$A239)</f>
        <v/>
      </c>
      <c r="IB239" s="62">
        <f>IF($B239=$B238,$IB238,0)+$IA239</f>
        <v/>
      </c>
      <c r="IC239" s="62">
        <f>$IC238+$IA239</f>
        <v/>
      </c>
      <c r="ID239" s="62">
        <f>SUMIFS(tblSafety[Community_Incidents],tblSafety[Date],$A239)</f>
        <v/>
      </c>
      <c r="IE239" s="62">
        <f>IF($B239=$B238,$IE238,0)+$ID239</f>
        <v/>
      </c>
      <c r="IF239" s="62">
        <f>$IF238+$ID239</f>
        <v/>
      </c>
      <c r="IG239" s="62">
        <f>SUMIFS(tblSafety[Vehicle_Incidents],tblSafety[Date],$A239)</f>
        <v/>
      </c>
      <c r="IH239" s="62">
        <f>IF($B239=$B238,$IH238,0)+$IG239</f>
        <v/>
      </c>
      <c r="II239" s="62">
        <f>$II238+$IG239</f>
        <v/>
      </c>
      <c r="IJ239" s="62">
        <f>SUMIFS(tblSafety[Toolbox_Talks],tblSafety[Date],$A239)</f>
        <v/>
      </c>
      <c r="IK239" s="62">
        <f>IF($B239=$B238,$IK238,0)+$IJ239</f>
        <v/>
      </c>
      <c r="IL239" s="62">
        <f>$IL238+$IJ239</f>
        <v/>
      </c>
      <c r="IM239" s="62">
        <f>SUMIFS(tblSafety[Inspections],tblSafety[Date],$A239)</f>
        <v/>
      </c>
      <c r="IN239" s="62">
        <f>IF($B239=$B238,$IN238,0)+$IM239</f>
        <v/>
      </c>
      <c r="IO239" s="62">
        <f>$IO238+$IM239</f>
        <v/>
      </c>
      <c r="IP239" s="56">
        <f>IFERROR((SUMIFS(tblSafety[Recordables],tblSafety[Date],"&gt;="&amp;EDATE($E239,-12),tblSafety[Date],"&lt;="&amp;$A239)+SUMIFS(tblSafetyHistory[Recordables],tblSafetyHistory[Month],"&gt;="&amp;EDATE($E239,-12),tblSafetyHistory[Month],"&lt;"&amp;$E239,tblSafetyHistory[Use],1))/(SUMIFS(tblSafety[Hours_Total],tblSafety[Date],"&gt;="&amp;EDATE($E239,-12),tblSafety[Date],"&lt;="&amp;$A239)+SUMIFS(tblSafetyHistory[Hours_Total],tblSafetyHistory[Month],"&gt;="&amp;EDATE($E239,-12),tblSafetyHistory[Month],"&lt;"&amp;$E239,tblSafetyHistory[Use],1))*cfg_RateBasisHours,"")</f>
        <v/>
      </c>
      <c r="IQ239" s="56">
        <f>IFERROR((SUMIFS(tblSafety[LTI],tblSafety[Date],"&gt;="&amp;EDATE($E239,-12),tblSafety[Date],"&lt;="&amp;$A239)+SUMIFS(tblSafetyHistory[LTI],tblSafetyHistory[Month],"&gt;="&amp;EDATE($E239,-12),tblSafetyHistory[Month],"&lt;"&amp;$E239,tblSafetyHistory[Use],1))/(SUMIFS(tblSafety[Hours_Total],tblSafety[Date],"&gt;="&amp;EDATE($E239,-12),tblSafety[Date],"&lt;="&amp;$A239)+SUMIFS(tblSafetyHistory[Hours_Total],tblSafetyHistory[Month],"&gt;="&amp;EDATE($E239,-12),tblSafetyHistory[Month],"&lt;"&amp;$E239,tblSafetyHistory[Use],1))*cfg_RateBasisHours,"")</f>
        <v/>
      </c>
      <c r="IR239" s="62">
        <f>IF(MAX(N(cfg_PriorLTIDate),_xlfn.MAXIFS(tblSafety[Date],tblSafety[LTI],"&gt;0",tblSafety[Date],"&lt;="&amp;$A239))=0,"",$A239-MAX(N(cfg_PriorLTIDate),_xlfn.MAXIFS(tblSafety[Date],tblSafety[LTI],"&gt;0",tblSafety[Date],"&lt;="&amp;$A239)))</f>
        <v/>
      </c>
      <c r="IS239" s="55">
        <f>SUMIFS(tblBudget[Ore_Mined_t],tblBudget[Month],$E239)</f>
        <v/>
      </c>
      <c r="IT239" s="55">
        <f>$IS239*$C239/$D239</f>
        <v/>
      </c>
      <c r="IU239" s="55">
        <f>SUMIFS(tblBudget[Ore_Mined_t],tblBudget[Month],"&lt;"&amp;$E239)+$IT239</f>
        <v/>
      </c>
      <c r="IV239" s="55">
        <f>SUMIFS(tblBudget[Ore_oz],tblBudget[Month],$E239)</f>
        <v/>
      </c>
      <c r="IW239" s="55">
        <f>$IV239*$C239/$D239</f>
        <v/>
      </c>
      <c r="IX239" s="55">
        <f>SUMIFS(tblBudget[Ore_oz],tblBudget[Month],"&lt;"&amp;$E239)+$IW239</f>
        <v/>
      </c>
      <c r="IY239" s="55">
        <f>SUMIFS(tblBudget[Ore_Mined_t],tblBudget[Month],$E239)</f>
        <v/>
      </c>
      <c r="IZ239" s="55">
        <f>$IY239*$C239/$D239</f>
        <v/>
      </c>
      <c r="JA239" s="55">
        <f>SUMIFS(tblBudget[Ore_Mined_t],tblBudget[Month],"&lt;"&amp;$E239)+$IZ239</f>
        <v/>
      </c>
      <c r="JB239" s="56">
        <f>IFERROR(IF(($IY239)&gt;0,($IV239*cfg_TroyOz)/($IY239),""),"")</f>
        <v/>
      </c>
      <c r="JC239" s="56">
        <f>IFERROR(IF(($IZ239)&gt;0,($IW239*cfg_TroyOz)/($IZ239),""),"")</f>
        <v/>
      </c>
      <c r="JD239" s="56">
        <f>IFERROR(IF(($JA239)&gt;0,($IX239*cfg_TroyOz)/($JA239),""),"")</f>
        <v/>
      </c>
      <c r="JE239" s="55">
        <f>SUMIFS(tblBudget[Waste_t],tblBudget[Month],$E239)</f>
        <v/>
      </c>
      <c r="JF239" s="55">
        <f>$JE239*$C239/$D239</f>
        <v/>
      </c>
      <c r="JG239" s="55">
        <f>SUMIFS(tblBudget[Waste_t],tblBudget[Month],"&lt;"&amp;$E239)+$JF239</f>
        <v/>
      </c>
      <c r="JH239" s="55">
        <f>SUMIFS(tblBudget[TMM_t],tblBudget[Month],$E239)</f>
        <v/>
      </c>
      <c r="JI239" s="55">
        <f>$JH239*$C239/$D239</f>
        <v/>
      </c>
      <c r="JJ239" s="55">
        <f>SUMIFS(tblBudget[TMM_t],tblBudget[Month],"&lt;"&amp;$E239)+$JI239</f>
        <v/>
      </c>
      <c r="JK239" s="56">
        <f>IFERROR(IF(($IS239)&gt;0,($JE239)/($IS239),""),"")</f>
        <v/>
      </c>
      <c r="JL239" s="56">
        <f>IFERROR(IF(($IT239)&gt;0,($JF239)/($IT239),""),"")</f>
        <v/>
      </c>
      <c r="JM239" s="56">
        <f>IFERROR(IF(($IU239)&gt;0,($JG239)/($IU239),""),"")</f>
        <v/>
      </c>
      <c r="JN239" s="55">
        <f>SUMIFS(tblBudget[Drill_m],tblBudget[Month],$E239)</f>
        <v/>
      </c>
      <c r="JO239" s="55">
        <f>$JN239*$C239/$D239</f>
        <v/>
      </c>
      <c r="JP239" s="55">
        <f>SUMIFS(tblBudget[Drill_m],tblBudget[Month],"&lt;"&amp;$E239)+$JO239</f>
        <v/>
      </c>
      <c r="JQ239" s="55">
        <f>SUMIFS(tblBudget[Diesel_L],tblBudget[Month],$E239)</f>
        <v/>
      </c>
      <c r="JR239" s="55">
        <f>$JQ239*$C239/$D239</f>
        <v/>
      </c>
      <c r="JS239" s="55">
        <f>SUMIFS(tblBudget[Diesel_L],tblBudget[Month],"&lt;"&amp;$E239)+$JR239</f>
        <v/>
      </c>
      <c r="JT239" s="55">
        <f>SUMIFS(tblBudget[Milled_t],tblBudget[Month],$E239)</f>
        <v/>
      </c>
      <c r="JU239" s="55">
        <f>$JT239*$C239/$D239</f>
        <v/>
      </c>
      <c r="JV239" s="55">
        <f>SUMIFS(tblBudget[Milled_t],tblBudget[Month],"&lt;"&amp;$E239)+$JU239</f>
        <v/>
      </c>
      <c r="JW239" s="55">
        <f>SUMIFS(tblBudget[Feed_oz],tblBudget[Month],$E239)</f>
        <v/>
      </c>
      <c r="JX239" s="55">
        <f>$JW239*$C239/$D239</f>
        <v/>
      </c>
      <c r="JY239" s="55">
        <f>SUMIFS(tblBudget[Feed_oz],tblBudget[Month],"&lt;"&amp;$E239)+$JX239</f>
        <v/>
      </c>
      <c r="JZ239" s="55">
        <f>SUMIFS(tblBudget[Recovered_oz],tblBudget[Month],$E239)</f>
        <v/>
      </c>
      <c r="KA239" s="55">
        <f>$JZ239*$C239/$D239</f>
        <v/>
      </c>
      <c r="KB239" s="55">
        <f>SUMIFS(tblBudget[Recovered_oz],tblBudget[Month],"&lt;"&amp;$E239)+$KA239</f>
        <v/>
      </c>
      <c r="KC239" s="55">
        <f>SUMIFS(tblBudget[Milled_t],tblBudget[Month],$E239)</f>
        <v/>
      </c>
      <c r="KD239" s="55">
        <f>$KC239*$C239/$D239</f>
        <v/>
      </c>
      <c r="KE239" s="55">
        <f>SUMIFS(tblBudget[Milled_t],tblBudget[Month],"&lt;"&amp;$E239)+$KD239</f>
        <v/>
      </c>
      <c r="KF239" s="55">
        <f>SUMIFS(tblBudget[Feed_oz],tblBudget[Month],$E239)</f>
        <v/>
      </c>
      <c r="KG239" s="55">
        <f>$KF239*$C239/$D239</f>
        <v/>
      </c>
      <c r="KH239" s="55">
        <f>SUMIFS(tblBudget[Feed_oz],tblBudget[Month],"&lt;"&amp;$E239)+$KG239</f>
        <v/>
      </c>
      <c r="KI239" s="56">
        <f>IFERROR(IF(($KC239)&gt;0,($JW239*cfg_TroyOz)/($KC239),""),"")</f>
        <v/>
      </c>
      <c r="KJ239" s="56">
        <f>IFERROR(IF(($KD239)&gt;0,($JX239*cfg_TroyOz)/($KD239),""),"")</f>
        <v/>
      </c>
      <c r="KK239" s="56">
        <f>IFERROR(IF(($KE239)&gt;0,($JY239*cfg_TroyOz)/($KE239),""),"")</f>
        <v/>
      </c>
      <c r="KL239" s="67">
        <f>IFERROR(IF(($KF239)&gt;0,($JZ239)/($KF239),""),"")</f>
        <v/>
      </c>
      <c r="KM239" s="67">
        <f>IFERROR(IF(($KG239)&gt;0,($KA239)/($KG239),""),"")</f>
        <v/>
      </c>
      <c r="KN239" s="67">
        <f>IFERROR(IF(($KH239)&gt;0,($KB239)/($KH239),""),"")</f>
        <v/>
      </c>
      <c r="KO239" s="55">
        <f>SUMIFS(tblBudget[Gold_Poured_oz],tblBudget[Month],$E239)</f>
        <v/>
      </c>
      <c r="KP239" s="55">
        <f>$KO239*$C239/$D239</f>
        <v/>
      </c>
      <c r="KQ239" s="55">
        <f>SUMIFS(tblBudget[Gold_Poured_oz],tblBudget[Month],"&lt;"&amp;$E239)+$KP239</f>
        <v/>
      </c>
      <c r="KR239" s="57">
        <f>SUMIFS(tblBudget[Hours_Worked],tblBudget[Month],$E239)</f>
        <v/>
      </c>
      <c r="KS239" s="57">
        <f>$KR239*$C239/$D239</f>
        <v/>
      </c>
      <c r="KT239" s="57">
        <f>SUMIFS(tblBudget[Hours_Worked],tblBudget[Month],"&lt;"&amp;$E239)+$KS239</f>
        <v/>
      </c>
    </row>
    <row r="240">
      <c r="A240" s="54" t="n">
        <v>46261</v>
      </c>
      <c r="B240">
        <f>MONTH($A240)</f>
        <v/>
      </c>
      <c r="C240">
        <f>DAY($A240)</f>
        <v/>
      </c>
      <c r="D240">
        <f>DAY(EOMONTH($A240,0))</f>
        <v/>
      </c>
      <c r="E240" s="54">
        <f>DATE(YEAR($A240),MONTH($A240),1)</f>
        <v/>
      </c>
      <c r="F240" s="55">
        <f>SUMIFS(tblMovement[Tonnes_t],tblMovement[Date],$A240,tblMovement[Is_Ore],1,tblMovement[Source_Type],"Pit")</f>
        <v/>
      </c>
      <c r="G240" s="55">
        <f>IF($B240=$B239,$G239,0)+$F240</f>
        <v/>
      </c>
      <c r="H240" s="55">
        <f>$H239+$F240</f>
        <v/>
      </c>
      <c r="I240" s="55">
        <f>SUMIFS(tblMovement[Ore_oz],tblMovement[Date],$A240,tblMovement[Source_Type],"Pit")</f>
        <v/>
      </c>
      <c r="J240" s="55">
        <f>IF($B240=$B239,$J239,0)+$I240</f>
        <v/>
      </c>
      <c r="K240" s="55">
        <f>$K239+$I240</f>
        <v/>
      </c>
      <c r="L240" s="55">
        <f>SUMIFS(tblMovement[Tonnes_t],tblMovement[Date],$A240,tblMovement[Is_Ore],1,tblMovement[Source_Type],"Pit",tblMovement[Grade_gpt],"&lt;&gt;")</f>
        <v/>
      </c>
      <c r="M240" s="55">
        <f>IF($B240=$B239,$M239,0)+$L240</f>
        <v/>
      </c>
      <c r="N240" s="55">
        <f>$N239+$L240</f>
        <v/>
      </c>
      <c r="O240" s="56">
        <f>IFERROR(IF(($L240)&gt;0,($I240*cfg_TroyOz)/($L240),""),"")</f>
        <v/>
      </c>
      <c r="P240" s="56">
        <f>IFERROR(IF(($M240)&gt;0,($J240*cfg_TroyOz)/($M240),""),"")</f>
        <v/>
      </c>
      <c r="Q240" s="56">
        <f>IFERROR(IF(($N240)&gt;0,($K240*cfg_TroyOz)/($N240),""),"")</f>
        <v/>
      </c>
      <c r="R240" s="55">
        <f>$F240-$L240</f>
        <v/>
      </c>
      <c r="S240" s="55">
        <f>IF($B240=$B239,$S239,0)+$R240</f>
        <v/>
      </c>
      <c r="T240" s="55">
        <f>$T239+$R240</f>
        <v/>
      </c>
      <c r="U240" s="55">
        <f>SUMIFS(tblMovement[Tonnes_t],tblMovement[Date],$A240,tblMovement[Is_Ore],0,tblMovement[Source_Type],"Pit")</f>
        <v/>
      </c>
      <c r="V240" s="55">
        <f>IF($B240=$B239,$V239,0)+$U240</f>
        <v/>
      </c>
      <c r="W240" s="55">
        <f>$W239+$U240</f>
        <v/>
      </c>
      <c r="X240" s="55">
        <f>$F240+$U240</f>
        <v/>
      </c>
      <c r="Y240" s="55">
        <f>IF($B240=$B239,$Y239,0)+$X240</f>
        <v/>
      </c>
      <c r="Z240" s="55">
        <f>$Z239+$X240</f>
        <v/>
      </c>
      <c r="AA240" s="56">
        <f>IFERROR(IF(($F240)&gt;0,($U240)/($F240),""),"")</f>
        <v/>
      </c>
      <c r="AB240" s="56">
        <f>IFERROR(IF(($G240)&gt;0,($V240)/($G240),""),"")</f>
        <v/>
      </c>
      <c r="AC240" s="56">
        <f>IFERROR(IF(($H240)&gt;0,($W240)/($H240),""),"")</f>
        <v/>
      </c>
      <c r="AD240" s="55">
        <f>SUMIFS(tblMovement[Tonnes_t],tblMovement[Date],$A240,tblMovement[Source_Type],"Stockpile")</f>
        <v/>
      </c>
      <c r="AE240" s="55">
        <f>IF($B240=$B239,$AE239,0)+$AD240</f>
        <v/>
      </c>
      <c r="AF240" s="55">
        <f>$AF239+$AD240</f>
        <v/>
      </c>
      <c r="AG240" s="55">
        <f>SUMIFS(tblMovement[Tonnes_t],tblMovement[Date],$A240)</f>
        <v/>
      </c>
      <c r="AH240" s="55">
        <f>IF($B240=$B239,$AH239,0)+$AG240</f>
        <v/>
      </c>
      <c r="AI240" s="55">
        <f>$AI239+$AG240</f>
        <v/>
      </c>
      <c r="AJ240" s="55">
        <f>$AG240-$X240-$AD240</f>
        <v/>
      </c>
      <c r="AK240" s="55">
        <f>IF($B240=$B239,$AK239,0)+$AJ240</f>
        <v/>
      </c>
      <c r="AL240" s="55">
        <f>$AL239+$AJ240</f>
        <v/>
      </c>
      <c r="AM240" s="55">
        <f>SUMIFS(tblMiningDaily[Drill_m],tblMiningDaily[Date],$A240)</f>
        <v/>
      </c>
      <c r="AN240" s="55">
        <f>IF($B240=$B239,$AN239,0)+$AM240</f>
        <v/>
      </c>
      <c r="AO240" s="55">
        <f>$AO239+$AM240</f>
        <v/>
      </c>
      <c r="AP240" s="55">
        <f>SUMIFS(tblMiningDaily[GC_Drill_m],tblMiningDaily[Date],$A240)</f>
        <v/>
      </c>
      <c r="AQ240" s="55">
        <f>IF($B240=$B239,$AQ239,0)+$AP240</f>
        <v/>
      </c>
      <c r="AR240" s="55">
        <f>$AR239+$AP240</f>
        <v/>
      </c>
      <c r="AS240" s="55">
        <f>SUMIFS(tblMiningDaily[Blast_t],tblMiningDaily[Date],$A240)</f>
        <v/>
      </c>
      <c r="AT240" s="55">
        <f>IF($B240=$B239,$AT239,0)+$AS240</f>
        <v/>
      </c>
      <c r="AU240" s="55">
        <f>$AU239+$AS240</f>
        <v/>
      </c>
      <c r="AV240" s="55">
        <f>SUMIFS(tblMiningDaily[Explosives_kg],tblMiningDaily[Date],$A240)</f>
        <v/>
      </c>
      <c r="AW240" s="55">
        <f>IF($B240=$B239,$AW239,0)+$AV240</f>
        <v/>
      </c>
      <c r="AX240" s="55">
        <f>$AX239+$AV240</f>
        <v/>
      </c>
      <c r="AY240" s="56">
        <f>IFERROR(IF(($AS240)&gt;0,($AV240)/($AS240),""),"")</f>
        <v/>
      </c>
      <c r="AZ240" s="56">
        <f>IFERROR(IF(($AT240)&gt;0,($AW240)/($AT240),""),"")</f>
        <v/>
      </c>
      <c r="BA240" s="56">
        <f>IFERROR(IF(($AU240)&gt;0,($AX240)/($AU240),""),"")</f>
        <v/>
      </c>
      <c r="BB240" s="55">
        <f>SUMIFS(tblMiningDaily[Diesel_L],tblMiningDaily[Date],$A240)</f>
        <v/>
      </c>
      <c r="BC240" s="55">
        <f>IF($B240=$B239,$BC239,0)+$BB240</f>
        <v/>
      </c>
      <c r="BD240" s="55">
        <f>$BD239+$BB240</f>
        <v/>
      </c>
      <c r="BE240" s="55">
        <f>SUMIFS(tblMiningDaily[Dewatering_m3],tblMiningDaily[Date],$A240)</f>
        <v/>
      </c>
      <c r="BF240" s="55">
        <f>IF($B240=$B239,$BF239,0)+$BE240</f>
        <v/>
      </c>
      <c r="BG240" s="55">
        <f>$BG239+$BE240</f>
        <v/>
      </c>
      <c r="BH240" s="57">
        <f>SUMIFS(tblFleet[Calendar_h],tblFleet[Date],$A240,tblFleet[Equipment_Class],"Excavator")</f>
        <v/>
      </c>
      <c r="BI240" s="57">
        <f>IF($B240=$B239,$BI239,0)+$BH240</f>
        <v/>
      </c>
      <c r="BJ240" s="57">
        <f>$BJ239+$BH240</f>
        <v/>
      </c>
      <c r="BK240" s="57">
        <f>SUMIFS(tblFleet[Available_h],tblFleet[Date],$A240,tblFleet[Equipment_Class],"Excavator")</f>
        <v/>
      </c>
      <c r="BL240" s="57">
        <f>IF($B240=$B239,$BL239,0)+$BK240</f>
        <v/>
      </c>
      <c r="BM240" s="57">
        <f>$BM239+$BK240</f>
        <v/>
      </c>
      <c r="BN240" s="57">
        <f>SUMIFS(tblFleet[Operating_h],tblFleet[Date],$A240,tblFleet[Equipment_Class],"Excavator")</f>
        <v/>
      </c>
      <c r="BO240" s="57">
        <f>IF($B240=$B239,$BO239,0)+$BN240</f>
        <v/>
      </c>
      <c r="BP240" s="57">
        <f>$BP239+$BN240</f>
        <v/>
      </c>
      <c r="BQ240" s="67">
        <f>IFERROR(IF(($BH240)&gt;0,($BK240)/($BH240),""),"")</f>
        <v/>
      </c>
      <c r="BR240" s="67">
        <f>IFERROR(IF(($BI240)&gt;0,($BL240)/($BI240),""),"")</f>
        <v/>
      </c>
      <c r="BS240" s="67">
        <f>IFERROR(IF(($BJ240)&gt;0,($BM240)/($BJ240),""),"")</f>
        <v/>
      </c>
      <c r="BT240" s="67">
        <f>IFERROR(IF(($BK240)&gt;0,($BN240)/($BK240),""),"")</f>
        <v/>
      </c>
      <c r="BU240" s="67">
        <f>IFERROR(IF(($BL240)&gt;0,($BO240)/($BL240),""),"")</f>
        <v/>
      </c>
      <c r="BV240" s="67">
        <f>IFERROR(IF(($BM240)&gt;0,($BP240)/($BM240),""),"")</f>
        <v/>
      </c>
      <c r="BW240" s="57">
        <f>SUMIFS(tblFleet[Calendar_h],tblFleet[Date],$A240,tblFleet[Equipment_Class],"Haul Truck")</f>
        <v/>
      </c>
      <c r="BX240" s="57">
        <f>IF($B240=$B239,$BX239,0)+$BW240</f>
        <v/>
      </c>
      <c r="BY240" s="57">
        <f>$BY239+$BW240</f>
        <v/>
      </c>
      <c r="BZ240" s="57">
        <f>SUMIFS(tblFleet[Available_h],tblFleet[Date],$A240,tblFleet[Equipment_Class],"Haul Truck")</f>
        <v/>
      </c>
      <c r="CA240" s="57">
        <f>IF($B240=$B239,$CA239,0)+$BZ240</f>
        <v/>
      </c>
      <c r="CB240" s="57">
        <f>$CB239+$BZ240</f>
        <v/>
      </c>
      <c r="CC240" s="57">
        <f>SUMIFS(tblFleet[Operating_h],tblFleet[Date],$A240,tblFleet[Equipment_Class],"Haul Truck")</f>
        <v/>
      </c>
      <c r="CD240" s="57">
        <f>IF($B240=$B239,$CD239,0)+$CC240</f>
        <v/>
      </c>
      <c r="CE240" s="57">
        <f>$CE239+$CC240</f>
        <v/>
      </c>
      <c r="CF240" s="67">
        <f>IFERROR(IF(($BW240)&gt;0,($BZ240)/($BW240),""),"")</f>
        <v/>
      </c>
      <c r="CG240" s="67">
        <f>IFERROR(IF(($BX240)&gt;0,($CA240)/($BX240),""),"")</f>
        <v/>
      </c>
      <c r="CH240" s="67">
        <f>IFERROR(IF(($BY240)&gt;0,($CB240)/($BY240),""),"")</f>
        <v/>
      </c>
      <c r="CI240" s="67">
        <f>IFERROR(IF(($BZ240)&gt;0,($CC240)/($BZ240),""),"")</f>
        <v/>
      </c>
      <c r="CJ240" s="67">
        <f>IFERROR(IF(($CA240)&gt;0,($CD240)/($CA240),""),"")</f>
        <v/>
      </c>
      <c r="CK240" s="67">
        <f>IFERROR(IF(($CB240)&gt;0,($CE240)/($CB240),""),"")</f>
        <v/>
      </c>
      <c r="CL240" s="55">
        <f>IFERROR(IF(($BN240)&gt;0,($X240+$AD240)/($BN240),""),"")</f>
        <v/>
      </c>
      <c r="CM240" s="55">
        <f>IFERROR(IF(($BO240)&gt;0,($Y240+$AE240)/($BO240),""),"")</f>
        <v/>
      </c>
      <c r="CN240" s="55">
        <f>IFERROR(IF(($BP240)&gt;0,($Z240+$AF240)/($BP240),""),"")</f>
        <v/>
      </c>
      <c r="CO240" s="55">
        <f>IFERROR(IF(($CC240)&gt;0,($X240+$AD240)/($CC240),""),"")</f>
        <v/>
      </c>
      <c r="CP240" s="55">
        <f>IFERROR(IF(($CD240)&gt;0,($Y240+$AE240)/($CD240),""),"")</f>
        <v/>
      </c>
      <c r="CQ240" s="55">
        <f>IFERROR(IF(($CE240)&gt;0,($Z240+$AF240)/($CE240),""),"")</f>
        <v/>
      </c>
      <c r="CR240" s="55">
        <f>SUMIFS(tblPlant[Crushed_t],tblPlant[Date],$A240)</f>
        <v/>
      </c>
      <c r="CS240" s="55">
        <f>IF($B240=$B239,$CS239,0)+$CR240</f>
        <v/>
      </c>
      <c r="CT240" s="55">
        <f>$CT239+$CR240</f>
        <v/>
      </c>
      <c r="CU240" s="55">
        <f>SUMIFS(tblPlant[Milled_t],tblPlant[Date],$A240)</f>
        <v/>
      </c>
      <c r="CV240" s="55">
        <f>IF($B240=$B239,$CV239,0)+$CU240</f>
        <v/>
      </c>
      <c r="CW240" s="55">
        <f>$CW239+$CU240</f>
        <v/>
      </c>
      <c r="CX240" s="55">
        <f>SUMIFS(tblPlant[Feed_oz],tblPlant[Date],$A240)</f>
        <v/>
      </c>
      <c r="CY240" s="55">
        <f>IF($B240=$B239,$CY239,0)+$CX240</f>
        <v/>
      </c>
      <c r="CZ240" s="55">
        <f>$CZ239+$CX240</f>
        <v/>
      </c>
      <c r="DA240" s="55">
        <f>SUMIFS(tblPlant[Tails_oz],tblPlant[Date],$A240)</f>
        <v/>
      </c>
      <c r="DB240" s="55">
        <f>IF($B240=$B239,$DB239,0)+$DA240</f>
        <v/>
      </c>
      <c r="DC240" s="55">
        <f>$DC239+$DA240</f>
        <v/>
      </c>
      <c r="DD240" s="55">
        <f>SUMIFS(tblPlant[Recovered_oz],tblPlant[Date],$A240)</f>
        <v/>
      </c>
      <c r="DE240" s="55">
        <f>IF($B240=$B239,$DE239,0)+$DD240</f>
        <v/>
      </c>
      <c r="DF240" s="55">
        <f>$DF239+$DD240</f>
        <v/>
      </c>
      <c r="DG240" s="55">
        <f>SUMIFS(tblPlant[Milled_t],tblPlant[Date],$A240,tblPlant[Head_Grade_gpt],"&lt;&gt;")</f>
        <v/>
      </c>
      <c r="DH240" s="55">
        <f>IF($B240=$B239,$DH239,0)+$DG240</f>
        <v/>
      </c>
      <c r="DI240" s="55">
        <f>$DI239+$DG240</f>
        <v/>
      </c>
      <c r="DJ240" s="55">
        <f>SUMIFS(tblPlant[Milled_t],tblPlant[Date],$A240,tblPlant[Tails_Grade_gpt],"&lt;&gt;")</f>
        <v/>
      </c>
      <c r="DK240" s="55">
        <f>IF($B240=$B239,$DK239,0)+$DJ240</f>
        <v/>
      </c>
      <c r="DL240" s="55">
        <f>$DL239+$DJ240</f>
        <v/>
      </c>
      <c r="DM240" s="55">
        <f>SUMIFS(tblPlant[Feed_oz],tblPlant[Date],$A240,tblPlant[Tails_Grade_gpt],"&lt;&gt;")</f>
        <v/>
      </c>
      <c r="DN240" s="55">
        <f>IF($B240=$B239,$DN239,0)+$DM240</f>
        <v/>
      </c>
      <c r="DO240" s="55">
        <f>$DO239+$DM240</f>
        <v/>
      </c>
      <c r="DP240" s="55">
        <f>SUMIFS(tblPlant[Milled_t],tblPlant[Date],$A240,tblPlant[Mill_Run_h],"&lt;&gt;")</f>
        <v/>
      </c>
      <c r="DQ240" s="55">
        <f>IF($B240=$B239,$DQ239,0)+$DP240</f>
        <v/>
      </c>
      <c r="DR240" s="55">
        <f>$DR239+$DP240</f>
        <v/>
      </c>
      <c r="DS240" s="56">
        <f>IFERROR(IF(($DG240)&gt;0,($CX240*cfg_TroyOz)/($DG240),""),"")</f>
        <v/>
      </c>
      <c r="DT240" s="56">
        <f>IFERROR(IF(($DH240)&gt;0,($CY240*cfg_TroyOz)/($DH240),""),"")</f>
        <v/>
      </c>
      <c r="DU240" s="56">
        <f>IFERROR(IF(($DI240)&gt;0,($CZ240*cfg_TroyOz)/($DI240),""),"")</f>
        <v/>
      </c>
      <c r="DV240" s="56">
        <f>IFERROR(IF(($DJ240)&gt;0,($DA240*cfg_TroyOz)/($DJ240),""),"")</f>
        <v/>
      </c>
      <c r="DW240" s="56">
        <f>IFERROR(IF(($DK240)&gt;0,($DB240*cfg_TroyOz)/($DK240),""),"")</f>
        <v/>
      </c>
      <c r="DX240" s="56">
        <f>IFERROR(IF(($DL240)&gt;0,($DC240*cfg_TroyOz)/($DL240),""),"")</f>
        <v/>
      </c>
      <c r="DY240" s="67">
        <f>IFERROR(IF(($DM240)&gt;0,($DD240)/($DM240),""),"")</f>
        <v/>
      </c>
      <c r="DZ240" s="67">
        <f>IFERROR(IF(($DN240)&gt;0,($DE240)/($DN240),""),"")</f>
        <v/>
      </c>
      <c r="EA240" s="67">
        <f>IFERROR(IF(($DO240)&gt;0,($DF240)/($DO240),""),"")</f>
        <v/>
      </c>
      <c r="EB240" s="55">
        <f>SUMIFS(tblPlant[Gravity_Gold_oz],tblPlant[Date],$A240)</f>
        <v/>
      </c>
      <c r="EC240" s="55">
        <f>IF($B240=$B239,$EC239,0)+$EB240</f>
        <v/>
      </c>
      <c r="ED240" s="55">
        <f>$ED239+$EB240</f>
        <v/>
      </c>
      <c r="EE240" s="67">
        <f>IFERROR(IF(($DD240)&gt;0,($EB240)/($DD240),""),"")</f>
        <v/>
      </c>
      <c r="EF240" s="67">
        <f>IFERROR(IF(($DE240)&gt;0,($EC240)/($DE240),""),"")</f>
        <v/>
      </c>
      <c r="EG240" s="67">
        <f>IFERROR(IF(($DF240)&gt;0,($ED240)/($DF240),""),"")</f>
        <v/>
      </c>
      <c r="EH240" s="55">
        <f>SUMIFS(tblPlant[Gold_Poured_oz],tblPlant[Date],$A240)</f>
        <v/>
      </c>
      <c r="EI240" s="55">
        <f>IF($B240=$B239,$EI239,0)+$EH240</f>
        <v/>
      </c>
      <c r="EJ240" s="55">
        <f>$EJ239+$EH240</f>
        <v/>
      </c>
      <c r="EK240" s="57">
        <f>SUMIFS(tblPlant[Mill_Run_h],tblPlant[Date],$A240)</f>
        <v/>
      </c>
      <c r="EL240" s="57">
        <f>IF($B240=$B239,$EL239,0)+$EK240</f>
        <v/>
      </c>
      <c r="EM240" s="57">
        <f>$EM239+$EK240</f>
        <v/>
      </c>
      <c r="EN240" s="57">
        <f>SUMIFS(tblPlant[Mill_Planned_Maint_h],tblPlant[Date],$A240)</f>
        <v/>
      </c>
      <c r="EO240" s="57">
        <f>IF($B240=$B239,$EO239,0)+$EN240</f>
        <v/>
      </c>
      <c r="EP240" s="57">
        <f>$EP239+$EN240</f>
        <v/>
      </c>
      <c r="EQ240" s="57">
        <f>SUMIFS(tblPlant[Mill_Unplanned_Down_h],tblPlant[Date],$A240)</f>
        <v/>
      </c>
      <c r="ER240" s="57">
        <f>IF($B240=$B239,$ER239,0)+$EQ240</f>
        <v/>
      </c>
      <c r="ES240" s="57">
        <f>$ES239+$EQ240</f>
        <v/>
      </c>
      <c r="ET240" s="57">
        <f>IF(COUNTIFS(tblPlant[Date],$A240,tblPlant[Mill_Run_h],"&lt;&gt;")+COUNTIFS(tblPlant[Date],$A240,tblPlant[Mill_Planned_Maint_h],"&lt;&gt;")+COUNTIFS(tblPlant[Date],$A240,tblPlant[Mill_Unplanned_Down_h],"&lt;&gt;")&gt;0,cfg_HoursPerDay,0)</f>
        <v/>
      </c>
      <c r="EU240" s="57">
        <f>IF($B240=$B239,$EU239,0)+$ET240</f>
        <v/>
      </c>
      <c r="EV240" s="57">
        <f>$EV239+$ET240</f>
        <v/>
      </c>
      <c r="EW240" s="57">
        <f>SUMIFS(tblPlant[Crusher_Run_h],tblPlant[Date],$A240)</f>
        <v/>
      </c>
      <c r="EX240" s="57">
        <f>IF($B240=$B239,$EX239,0)+$EW240</f>
        <v/>
      </c>
      <c r="EY240" s="57">
        <f>$EY239+$EW240</f>
        <v/>
      </c>
      <c r="EZ240" s="55">
        <f>IFERROR(IF(($EK240)&gt;0,($DP240)/($EK240),""),"")</f>
        <v/>
      </c>
      <c r="FA240" s="55">
        <f>IFERROR(IF(($EL240)&gt;0,($DQ240)/($EL240),""),"")</f>
        <v/>
      </c>
      <c r="FB240" s="55">
        <f>IFERROR(IF(($EM240)&gt;0,($DR240)/($EM240),""),"")</f>
        <v/>
      </c>
      <c r="FC240" s="67">
        <f>IFERROR(IF(($ET240)&gt;0,($ET240-$EN240-$EQ240)/($ET240),""),"")</f>
        <v/>
      </c>
      <c r="FD240" s="67">
        <f>IFERROR(IF(($EU240)&gt;0,($EU240-$EO240-$ER240)/($EU240),""),"")</f>
        <v/>
      </c>
      <c r="FE240" s="67">
        <f>IFERROR(IF(($EV240)&gt;0,($EV240-$EP240-$ES240)/($EV240),""),"")</f>
        <v/>
      </c>
      <c r="FF240" s="67">
        <f>IFERROR(IF(($ET240-$EN240-$EQ240)&gt;0,($EK240)/($ET240-$EN240-$EQ240),""),"")</f>
        <v/>
      </c>
      <c r="FG240" s="67">
        <f>IFERROR(IF(($EU240-$EO240-$ER240)&gt;0,($EL240)/($EU240-$EO240-$ER240),""),"")</f>
        <v/>
      </c>
      <c r="FH240" s="67">
        <f>IFERROR(IF(($EV240-$EP240-$ES240)&gt;0,($EM240)/($EV240-$EP240-$ES240),""),"")</f>
        <v/>
      </c>
      <c r="FI240" s="55">
        <f>SUMIFS(tblPlant[Cyanide_kg],tblPlant[Date],$A240)</f>
        <v/>
      </c>
      <c r="FJ240" s="55">
        <f>IF($B240=$B239,$FJ239,0)+$FI240</f>
        <v/>
      </c>
      <c r="FK240" s="55">
        <f>$FK239+$FI240</f>
        <v/>
      </c>
      <c r="FL240" s="55">
        <f>SUMIFS(tblPlant[Lime_kg],tblPlant[Date],$A240)</f>
        <v/>
      </c>
      <c r="FM240" s="55">
        <f>IF($B240=$B239,$FM239,0)+$FL240</f>
        <v/>
      </c>
      <c r="FN240" s="55">
        <f>$FN239+$FL240</f>
        <v/>
      </c>
      <c r="FO240" s="55">
        <f>SUMIFS(tblPlant[Grinding_Media_kg],tblPlant[Date],$A240)</f>
        <v/>
      </c>
      <c r="FP240" s="55">
        <f>IF($B240=$B239,$FP239,0)+$FO240</f>
        <v/>
      </c>
      <c r="FQ240" s="55">
        <f>$FQ239+$FO240</f>
        <v/>
      </c>
      <c r="FR240" s="55">
        <f>SUMIFS(tblPlant[Power_kWh],tblPlant[Date],$A240)</f>
        <v/>
      </c>
      <c r="FS240" s="55">
        <f>IF($B240=$B239,$FS239,0)+$FR240</f>
        <v/>
      </c>
      <c r="FT240" s="55">
        <f>$FT239+$FR240</f>
        <v/>
      </c>
      <c r="FU240" s="55">
        <f>SUMIFS(tblPlant[Raw_Water_m3],tblPlant[Date],$A240)</f>
        <v/>
      </c>
      <c r="FV240" s="55">
        <f>IF($B240=$B239,$FV239,0)+$FU240</f>
        <v/>
      </c>
      <c r="FW240" s="55">
        <f>$FW239+$FU240</f>
        <v/>
      </c>
      <c r="FX240" s="56">
        <f>IFERROR(IF(($CU240)&gt;0,($FI240)/($CU240),""),"")</f>
        <v/>
      </c>
      <c r="FY240" s="56">
        <f>IFERROR(IF(($CV240)&gt;0,($FJ240)/($CV240),""),"")</f>
        <v/>
      </c>
      <c r="FZ240" s="56">
        <f>IFERROR(IF(($CW240)&gt;0,($FK240)/($CW240),""),"")</f>
        <v/>
      </c>
      <c r="GA240" s="56">
        <f>IFERROR(IF(($CU240)&gt;0,($FL240)/($CU240),""),"")</f>
        <v/>
      </c>
      <c r="GB240" s="56">
        <f>IFERROR(IF(($CV240)&gt;0,($FM240)/($CV240),""),"")</f>
        <v/>
      </c>
      <c r="GC240" s="56">
        <f>IFERROR(IF(($CW240)&gt;0,($FN240)/($CW240),""),"")</f>
        <v/>
      </c>
      <c r="GD240" s="56">
        <f>IFERROR(IF(($CU240)&gt;0,($FO240)/($CU240),""),"")</f>
        <v/>
      </c>
      <c r="GE240" s="56">
        <f>IFERROR(IF(($CV240)&gt;0,($FP240)/($CV240),""),"")</f>
        <v/>
      </c>
      <c r="GF240" s="56">
        <f>IFERROR(IF(($CW240)&gt;0,($FQ240)/($CW240),""),"")</f>
        <v/>
      </c>
      <c r="GG240" s="79">
        <f>IFERROR(IF(($CU240)&gt;0,($FR240)/($CU240),""),"")</f>
        <v/>
      </c>
      <c r="GH240" s="79">
        <f>IFERROR(IF(($CV240)&gt;0,($FS240)/($CV240),""),"")</f>
        <v/>
      </c>
      <c r="GI240" s="79">
        <f>IFERROR(IF(($CW240)&gt;0,($FT240)/($CW240),""),"")</f>
        <v/>
      </c>
      <c r="GJ240" s="56">
        <f>IFERROR(IF(($CU240)&gt;0,($FU240)/($CU240),""),"")</f>
        <v/>
      </c>
      <c r="GK240" s="56">
        <f>IFERROR(IF(($CV240)&gt;0,($FV240)/($CV240),""),"")</f>
        <v/>
      </c>
      <c r="GL240" s="56">
        <f>IFERROR(IF(($CW240)&gt;0,($FW240)/($CW240),""),"")</f>
        <v/>
      </c>
      <c r="GM240" s="55">
        <f>IF(SUMIFS(tblPlant[GIC_oz],tblPlant[Date],$A240)&gt;0,SUMIFS(tblPlant[GIC_oz],tblPlant[Date],$A240),"")</f>
        <v/>
      </c>
      <c r="GN240" s="55">
        <f>SUMIFS(tblGold[Gold_oz],tblGold[Date],$A240,tblGold[Type],"Shipment")</f>
        <v/>
      </c>
      <c r="GO240" s="55">
        <f>IF($B240=$B239,$GO239,0)+$GN240</f>
        <v/>
      </c>
      <c r="GP240" s="55">
        <f>$GP239+$GN240</f>
        <v/>
      </c>
      <c r="GQ240" s="55">
        <f>SUMIFS(tblGold[Gold_oz],tblGold[Date],$A240,tblGold[Type],"Sale")</f>
        <v/>
      </c>
      <c r="GR240" s="55">
        <f>IF($B240=$B239,$GR239,0)+$GQ240</f>
        <v/>
      </c>
      <c r="GS240" s="55">
        <f>$GS239+$GQ240</f>
        <v/>
      </c>
      <c r="GT240" s="55">
        <f>SUMIFS(tblGold[Dore_kg],tblGold[Date],$A240,tblGold[Type],"Shipment")</f>
        <v/>
      </c>
      <c r="GU240" s="55">
        <f>IF($B240=$B239,$GU239,0)+$GT240</f>
        <v/>
      </c>
      <c r="GV240" s="55">
        <f>$GV239+$GT240</f>
        <v/>
      </c>
      <c r="GW240" s="57">
        <f>SUMIFS(tblSafety[Hours_Total],tblSafety[Date],$A240)</f>
        <v/>
      </c>
      <c r="GX240" s="57">
        <f>IF($B240=$B239,$GX239,0)+$GW240</f>
        <v/>
      </c>
      <c r="GY240" s="57">
        <f>$GY239+$GW240</f>
        <v/>
      </c>
      <c r="GZ240" s="62">
        <f>SUMIFS(tblSafety[Fatality],tblSafety[Date],$A240)</f>
        <v/>
      </c>
      <c r="HA240" s="62">
        <f>IF($B240=$B239,$HA239,0)+$GZ240</f>
        <v/>
      </c>
      <c r="HB240" s="62">
        <f>$HB239+$GZ240</f>
        <v/>
      </c>
      <c r="HC240" s="62">
        <f>SUMIFS(tblSafety[LTI],tblSafety[Date],$A240)</f>
        <v/>
      </c>
      <c r="HD240" s="62">
        <f>IF($B240=$B239,$HD239,0)+$HC240</f>
        <v/>
      </c>
      <c r="HE240" s="62">
        <f>$HE239+$HC240</f>
        <v/>
      </c>
      <c r="HF240" s="62">
        <f>SUMIFS(tblSafety[RWI],tblSafety[Date],$A240)</f>
        <v/>
      </c>
      <c r="HG240" s="62">
        <f>IF($B240=$B239,$HG239,0)+$HF240</f>
        <v/>
      </c>
      <c r="HH240" s="62">
        <f>$HH239+$HF240</f>
        <v/>
      </c>
      <c r="HI240" s="62">
        <f>SUMIFS(tblSafety[MTI],tblSafety[Date],$A240)</f>
        <v/>
      </c>
      <c r="HJ240" s="62">
        <f>IF($B240=$B239,$HJ239,0)+$HI240</f>
        <v/>
      </c>
      <c r="HK240" s="62">
        <f>$HK239+$HI240</f>
        <v/>
      </c>
      <c r="HL240" s="62">
        <f>SUMIFS(tblSafety[FAI],tblSafety[Date],$A240)</f>
        <v/>
      </c>
      <c r="HM240" s="62">
        <f>IF($B240=$B239,$HM239,0)+$HL240</f>
        <v/>
      </c>
      <c r="HN240" s="62">
        <f>$HN239+$HL240</f>
        <v/>
      </c>
      <c r="HO240" s="62">
        <f>SUMIFS(tblSafety[Recordables],tblSafety[Date],$A240)</f>
        <v/>
      </c>
      <c r="HP240" s="62">
        <f>IF($B240=$B239,$HP239,0)+$HO240</f>
        <v/>
      </c>
      <c r="HQ240" s="62">
        <f>$HQ239+$HO240</f>
        <v/>
      </c>
      <c r="HR240" s="62">
        <f>SUMIFS(tblSafety[Near_Miss],tblSafety[Date],$A240)</f>
        <v/>
      </c>
      <c r="HS240" s="62">
        <f>IF($B240=$B239,$HS239,0)+$HR240</f>
        <v/>
      </c>
      <c r="HT240" s="62">
        <f>$HT239+$HR240</f>
        <v/>
      </c>
      <c r="HU240" s="62">
        <f>SUMIFS(tblSafety[Hazard_Reports],tblSafety[Date],$A240)</f>
        <v/>
      </c>
      <c r="HV240" s="62">
        <f>IF($B240=$B239,$HV239,0)+$HU240</f>
        <v/>
      </c>
      <c r="HW240" s="62">
        <f>$HW239+$HU240</f>
        <v/>
      </c>
      <c r="HX240" s="62">
        <f>SUMIFS(tblSafety[HPI],tblSafety[Date],$A240)</f>
        <v/>
      </c>
      <c r="HY240" s="62">
        <f>IF($B240=$B239,$HY239,0)+$HX240</f>
        <v/>
      </c>
      <c r="HZ240" s="62">
        <f>$HZ239+$HX240</f>
        <v/>
      </c>
      <c r="IA240" s="62">
        <f>SUMIFS(tblSafety[Env_Incidents],tblSafety[Date],$A240)</f>
        <v/>
      </c>
      <c r="IB240" s="62">
        <f>IF($B240=$B239,$IB239,0)+$IA240</f>
        <v/>
      </c>
      <c r="IC240" s="62">
        <f>$IC239+$IA240</f>
        <v/>
      </c>
      <c r="ID240" s="62">
        <f>SUMIFS(tblSafety[Community_Incidents],tblSafety[Date],$A240)</f>
        <v/>
      </c>
      <c r="IE240" s="62">
        <f>IF($B240=$B239,$IE239,0)+$ID240</f>
        <v/>
      </c>
      <c r="IF240" s="62">
        <f>$IF239+$ID240</f>
        <v/>
      </c>
      <c r="IG240" s="62">
        <f>SUMIFS(tblSafety[Vehicle_Incidents],tblSafety[Date],$A240)</f>
        <v/>
      </c>
      <c r="IH240" s="62">
        <f>IF($B240=$B239,$IH239,0)+$IG240</f>
        <v/>
      </c>
      <c r="II240" s="62">
        <f>$II239+$IG240</f>
        <v/>
      </c>
      <c r="IJ240" s="62">
        <f>SUMIFS(tblSafety[Toolbox_Talks],tblSafety[Date],$A240)</f>
        <v/>
      </c>
      <c r="IK240" s="62">
        <f>IF($B240=$B239,$IK239,0)+$IJ240</f>
        <v/>
      </c>
      <c r="IL240" s="62">
        <f>$IL239+$IJ240</f>
        <v/>
      </c>
      <c r="IM240" s="62">
        <f>SUMIFS(tblSafety[Inspections],tblSafety[Date],$A240)</f>
        <v/>
      </c>
      <c r="IN240" s="62">
        <f>IF($B240=$B239,$IN239,0)+$IM240</f>
        <v/>
      </c>
      <c r="IO240" s="62">
        <f>$IO239+$IM240</f>
        <v/>
      </c>
      <c r="IP240" s="56">
        <f>IFERROR((SUMIFS(tblSafety[Recordables],tblSafety[Date],"&gt;="&amp;EDATE($E240,-12),tblSafety[Date],"&lt;="&amp;$A240)+SUMIFS(tblSafetyHistory[Recordables],tblSafetyHistory[Month],"&gt;="&amp;EDATE($E240,-12),tblSafetyHistory[Month],"&lt;"&amp;$E240,tblSafetyHistory[Use],1))/(SUMIFS(tblSafety[Hours_Total],tblSafety[Date],"&gt;="&amp;EDATE($E240,-12),tblSafety[Date],"&lt;="&amp;$A240)+SUMIFS(tblSafetyHistory[Hours_Total],tblSafetyHistory[Month],"&gt;="&amp;EDATE($E240,-12),tblSafetyHistory[Month],"&lt;"&amp;$E240,tblSafetyHistory[Use],1))*cfg_RateBasisHours,"")</f>
        <v/>
      </c>
      <c r="IQ240" s="56">
        <f>IFERROR((SUMIFS(tblSafety[LTI],tblSafety[Date],"&gt;="&amp;EDATE($E240,-12),tblSafety[Date],"&lt;="&amp;$A240)+SUMIFS(tblSafetyHistory[LTI],tblSafetyHistory[Month],"&gt;="&amp;EDATE($E240,-12),tblSafetyHistory[Month],"&lt;"&amp;$E240,tblSafetyHistory[Use],1))/(SUMIFS(tblSafety[Hours_Total],tblSafety[Date],"&gt;="&amp;EDATE($E240,-12),tblSafety[Date],"&lt;="&amp;$A240)+SUMIFS(tblSafetyHistory[Hours_Total],tblSafetyHistory[Month],"&gt;="&amp;EDATE($E240,-12),tblSafetyHistory[Month],"&lt;"&amp;$E240,tblSafetyHistory[Use],1))*cfg_RateBasisHours,"")</f>
        <v/>
      </c>
      <c r="IR240" s="62">
        <f>IF(MAX(N(cfg_PriorLTIDate),_xlfn.MAXIFS(tblSafety[Date],tblSafety[LTI],"&gt;0",tblSafety[Date],"&lt;="&amp;$A240))=0,"",$A240-MAX(N(cfg_PriorLTIDate),_xlfn.MAXIFS(tblSafety[Date],tblSafety[LTI],"&gt;0",tblSafety[Date],"&lt;="&amp;$A240)))</f>
        <v/>
      </c>
      <c r="IS240" s="55">
        <f>SUMIFS(tblBudget[Ore_Mined_t],tblBudget[Month],$E240)</f>
        <v/>
      </c>
      <c r="IT240" s="55">
        <f>$IS240*$C240/$D240</f>
        <v/>
      </c>
      <c r="IU240" s="55">
        <f>SUMIFS(tblBudget[Ore_Mined_t],tblBudget[Month],"&lt;"&amp;$E240)+$IT240</f>
        <v/>
      </c>
      <c r="IV240" s="55">
        <f>SUMIFS(tblBudget[Ore_oz],tblBudget[Month],$E240)</f>
        <v/>
      </c>
      <c r="IW240" s="55">
        <f>$IV240*$C240/$D240</f>
        <v/>
      </c>
      <c r="IX240" s="55">
        <f>SUMIFS(tblBudget[Ore_oz],tblBudget[Month],"&lt;"&amp;$E240)+$IW240</f>
        <v/>
      </c>
      <c r="IY240" s="55">
        <f>SUMIFS(tblBudget[Ore_Mined_t],tblBudget[Month],$E240)</f>
        <v/>
      </c>
      <c r="IZ240" s="55">
        <f>$IY240*$C240/$D240</f>
        <v/>
      </c>
      <c r="JA240" s="55">
        <f>SUMIFS(tblBudget[Ore_Mined_t],tblBudget[Month],"&lt;"&amp;$E240)+$IZ240</f>
        <v/>
      </c>
      <c r="JB240" s="56">
        <f>IFERROR(IF(($IY240)&gt;0,($IV240*cfg_TroyOz)/($IY240),""),"")</f>
        <v/>
      </c>
      <c r="JC240" s="56">
        <f>IFERROR(IF(($IZ240)&gt;0,($IW240*cfg_TroyOz)/($IZ240),""),"")</f>
        <v/>
      </c>
      <c r="JD240" s="56">
        <f>IFERROR(IF(($JA240)&gt;0,($IX240*cfg_TroyOz)/($JA240),""),"")</f>
        <v/>
      </c>
      <c r="JE240" s="55">
        <f>SUMIFS(tblBudget[Waste_t],tblBudget[Month],$E240)</f>
        <v/>
      </c>
      <c r="JF240" s="55">
        <f>$JE240*$C240/$D240</f>
        <v/>
      </c>
      <c r="JG240" s="55">
        <f>SUMIFS(tblBudget[Waste_t],tblBudget[Month],"&lt;"&amp;$E240)+$JF240</f>
        <v/>
      </c>
      <c r="JH240" s="55">
        <f>SUMIFS(tblBudget[TMM_t],tblBudget[Month],$E240)</f>
        <v/>
      </c>
      <c r="JI240" s="55">
        <f>$JH240*$C240/$D240</f>
        <v/>
      </c>
      <c r="JJ240" s="55">
        <f>SUMIFS(tblBudget[TMM_t],tblBudget[Month],"&lt;"&amp;$E240)+$JI240</f>
        <v/>
      </c>
      <c r="JK240" s="56">
        <f>IFERROR(IF(($IS240)&gt;0,($JE240)/($IS240),""),"")</f>
        <v/>
      </c>
      <c r="JL240" s="56">
        <f>IFERROR(IF(($IT240)&gt;0,($JF240)/($IT240),""),"")</f>
        <v/>
      </c>
      <c r="JM240" s="56">
        <f>IFERROR(IF(($IU240)&gt;0,($JG240)/($IU240),""),"")</f>
        <v/>
      </c>
      <c r="JN240" s="55">
        <f>SUMIFS(tblBudget[Drill_m],tblBudget[Month],$E240)</f>
        <v/>
      </c>
      <c r="JO240" s="55">
        <f>$JN240*$C240/$D240</f>
        <v/>
      </c>
      <c r="JP240" s="55">
        <f>SUMIFS(tblBudget[Drill_m],tblBudget[Month],"&lt;"&amp;$E240)+$JO240</f>
        <v/>
      </c>
      <c r="JQ240" s="55">
        <f>SUMIFS(tblBudget[Diesel_L],tblBudget[Month],$E240)</f>
        <v/>
      </c>
      <c r="JR240" s="55">
        <f>$JQ240*$C240/$D240</f>
        <v/>
      </c>
      <c r="JS240" s="55">
        <f>SUMIFS(tblBudget[Diesel_L],tblBudget[Month],"&lt;"&amp;$E240)+$JR240</f>
        <v/>
      </c>
      <c r="JT240" s="55">
        <f>SUMIFS(tblBudget[Milled_t],tblBudget[Month],$E240)</f>
        <v/>
      </c>
      <c r="JU240" s="55">
        <f>$JT240*$C240/$D240</f>
        <v/>
      </c>
      <c r="JV240" s="55">
        <f>SUMIFS(tblBudget[Milled_t],tblBudget[Month],"&lt;"&amp;$E240)+$JU240</f>
        <v/>
      </c>
      <c r="JW240" s="55">
        <f>SUMIFS(tblBudget[Feed_oz],tblBudget[Month],$E240)</f>
        <v/>
      </c>
      <c r="JX240" s="55">
        <f>$JW240*$C240/$D240</f>
        <v/>
      </c>
      <c r="JY240" s="55">
        <f>SUMIFS(tblBudget[Feed_oz],tblBudget[Month],"&lt;"&amp;$E240)+$JX240</f>
        <v/>
      </c>
      <c r="JZ240" s="55">
        <f>SUMIFS(tblBudget[Recovered_oz],tblBudget[Month],$E240)</f>
        <v/>
      </c>
      <c r="KA240" s="55">
        <f>$JZ240*$C240/$D240</f>
        <v/>
      </c>
      <c r="KB240" s="55">
        <f>SUMIFS(tblBudget[Recovered_oz],tblBudget[Month],"&lt;"&amp;$E240)+$KA240</f>
        <v/>
      </c>
      <c r="KC240" s="55">
        <f>SUMIFS(tblBudget[Milled_t],tblBudget[Month],$E240)</f>
        <v/>
      </c>
      <c r="KD240" s="55">
        <f>$KC240*$C240/$D240</f>
        <v/>
      </c>
      <c r="KE240" s="55">
        <f>SUMIFS(tblBudget[Milled_t],tblBudget[Month],"&lt;"&amp;$E240)+$KD240</f>
        <v/>
      </c>
      <c r="KF240" s="55">
        <f>SUMIFS(tblBudget[Feed_oz],tblBudget[Month],$E240)</f>
        <v/>
      </c>
      <c r="KG240" s="55">
        <f>$KF240*$C240/$D240</f>
        <v/>
      </c>
      <c r="KH240" s="55">
        <f>SUMIFS(tblBudget[Feed_oz],tblBudget[Month],"&lt;"&amp;$E240)+$KG240</f>
        <v/>
      </c>
      <c r="KI240" s="56">
        <f>IFERROR(IF(($KC240)&gt;0,($JW240*cfg_TroyOz)/($KC240),""),"")</f>
        <v/>
      </c>
      <c r="KJ240" s="56">
        <f>IFERROR(IF(($KD240)&gt;0,($JX240*cfg_TroyOz)/($KD240),""),"")</f>
        <v/>
      </c>
      <c r="KK240" s="56">
        <f>IFERROR(IF(($KE240)&gt;0,($JY240*cfg_TroyOz)/($KE240),""),"")</f>
        <v/>
      </c>
      <c r="KL240" s="67">
        <f>IFERROR(IF(($KF240)&gt;0,($JZ240)/($KF240),""),"")</f>
        <v/>
      </c>
      <c r="KM240" s="67">
        <f>IFERROR(IF(($KG240)&gt;0,($KA240)/($KG240),""),"")</f>
        <v/>
      </c>
      <c r="KN240" s="67">
        <f>IFERROR(IF(($KH240)&gt;0,($KB240)/($KH240),""),"")</f>
        <v/>
      </c>
      <c r="KO240" s="55">
        <f>SUMIFS(tblBudget[Gold_Poured_oz],tblBudget[Month],$E240)</f>
        <v/>
      </c>
      <c r="KP240" s="55">
        <f>$KO240*$C240/$D240</f>
        <v/>
      </c>
      <c r="KQ240" s="55">
        <f>SUMIFS(tblBudget[Gold_Poured_oz],tblBudget[Month],"&lt;"&amp;$E240)+$KP240</f>
        <v/>
      </c>
      <c r="KR240" s="57">
        <f>SUMIFS(tblBudget[Hours_Worked],tblBudget[Month],$E240)</f>
        <v/>
      </c>
      <c r="KS240" s="57">
        <f>$KR240*$C240/$D240</f>
        <v/>
      </c>
      <c r="KT240" s="57">
        <f>SUMIFS(tblBudget[Hours_Worked],tblBudget[Month],"&lt;"&amp;$E240)+$KS240</f>
        <v/>
      </c>
    </row>
    <row r="241">
      <c r="A241" s="54" t="n">
        <v>46262</v>
      </c>
      <c r="B241">
        <f>MONTH($A241)</f>
        <v/>
      </c>
      <c r="C241">
        <f>DAY($A241)</f>
        <v/>
      </c>
      <c r="D241">
        <f>DAY(EOMONTH($A241,0))</f>
        <v/>
      </c>
      <c r="E241" s="54">
        <f>DATE(YEAR($A241),MONTH($A241),1)</f>
        <v/>
      </c>
      <c r="F241" s="55">
        <f>SUMIFS(tblMovement[Tonnes_t],tblMovement[Date],$A241,tblMovement[Is_Ore],1,tblMovement[Source_Type],"Pit")</f>
        <v/>
      </c>
      <c r="G241" s="55">
        <f>IF($B241=$B240,$G240,0)+$F241</f>
        <v/>
      </c>
      <c r="H241" s="55">
        <f>$H240+$F241</f>
        <v/>
      </c>
      <c r="I241" s="55">
        <f>SUMIFS(tblMovement[Ore_oz],tblMovement[Date],$A241,tblMovement[Source_Type],"Pit")</f>
        <v/>
      </c>
      <c r="J241" s="55">
        <f>IF($B241=$B240,$J240,0)+$I241</f>
        <v/>
      </c>
      <c r="K241" s="55">
        <f>$K240+$I241</f>
        <v/>
      </c>
      <c r="L241" s="55">
        <f>SUMIFS(tblMovement[Tonnes_t],tblMovement[Date],$A241,tblMovement[Is_Ore],1,tblMovement[Source_Type],"Pit",tblMovement[Grade_gpt],"&lt;&gt;")</f>
        <v/>
      </c>
      <c r="M241" s="55">
        <f>IF($B241=$B240,$M240,0)+$L241</f>
        <v/>
      </c>
      <c r="N241" s="55">
        <f>$N240+$L241</f>
        <v/>
      </c>
      <c r="O241" s="56">
        <f>IFERROR(IF(($L241)&gt;0,($I241*cfg_TroyOz)/($L241),""),"")</f>
        <v/>
      </c>
      <c r="P241" s="56">
        <f>IFERROR(IF(($M241)&gt;0,($J241*cfg_TroyOz)/($M241),""),"")</f>
        <v/>
      </c>
      <c r="Q241" s="56">
        <f>IFERROR(IF(($N241)&gt;0,($K241*cfg_TroyOz)/($N241),""),"")</f>
        <v/>
      </c>
      <c r="R241" s="55">
        <f>$F241-$L241</f>
        <v/>
      </c>
      <c r="S241" s="55">
        <f>IF($B241=$B240,$S240,0)+$R241</f>
        <v/>
      </c>
      <c r="T241" s="55">
        <f>$T240+$R241</f>
        <v/>
      </c>
      <c r="U241" s="55">
        <f>SUMIFS(tblMovement[Tonnes_t],tblMovement[Date],$A241,tblMovement[Is_Ore],0,tblMovement[Source_Type],"Pit")</f>
        <v/>
      </c>
      <c r="V241" s="55">
        <f>IF($B241=$B240,$V240,0)+$U241</f>
        <v/>
      </c>
      <c r="W241" s="55">
        <f>$W240+$U241</f>
        <v/>
      </c>
      <c r="X241" s="55">
        <f>$F241+$U241</f>
        <v/>
      </c>
      <c r="Y241" s="55">
        <f>IF($B241=$B240,$Y240,0)+$X241</f>
        <v/>
      </c>
      <c r="Z241" s="55">
        <f>$Z240+$X241</f>
        <v/>
      </c>
      <c r="AA241" s="56">
        <f>IFERROR(IF(($F241)&gt;0,($U241)/($F241),""),"")</f>
        <v/>
      </c>
      <c r="AB241" s="56">
        <f>IFERROR(IF(($G241)&gt;0,($V241)/($G241),""),"")</f>
        <v/>
      </c>
      <c r="AC241" s="56">
        <f>IFERROR(IF(($H241)&gt;0,($W241)/($H241),""),"")</f>
        <v/>
      </c>
      <c r="AD241" s="55">
        <f>SUMIFS(tblMovement[Tonnes_t],tblMovement[Date],$A241,tblMovement[Source_Type],"Stockpile")</f>
        <v/>
      </c>
      <c r="AE241" s="55">
        <f>IF($B241=$B240,$AE240,0)+$AD241</f>
        <v/>
      </c>
      <c r="AF241" s="55">
        <f>$AF240+$AD241</f>
        <v/>
      </c>
      <c r="AG241" s="55">
        <f>SUMIFS(tblMovement[Tonnes_t],tblMovement[Date],$A241)</f>
        <v/>
      </c>
      <c r="AH241" s="55">
        <f>IF($B241=$B240,$AH240,0)+$AG241</f>
        <v/>
      </c>
      <c r="AI241" s="55">
        <f>$AI240+$AG241</f>
        <v/>
      </c>
      <c r="AJ241" s="55">
        <f>$AG241-$X241-$AD241</f>
        <v/>
      </c>
      <c r="AK241" s="55">
        <f>IF($B241=$B240,$AK240,0)+$AJ241</f>
        <v/>
      </c>
      <c r="AL241" s="55">
        <f>$AL240+$AJ241</f>
        <v/>
      </c>
      <c r="AM241" s="55">
        <f>SUMIFS(tblMiningDaily[Drill_m],tblMiningDaily[Date],$A241)</f>
        <v/>
      </c>
      <c r="AN241" s="55">
        <f>IF($B241=$B240,$AN240,0)+$AM241</f>
        <v/>
      </c>
      <c r="AO241" s="55">
        <f>$AO240+$AM241</f>
        <v/>
      </c>
      <c r="AP241" s="55">
        <f>SUMIFS(tblMiningDaily[GC_Drill_m],tblMiningDaily[Date],$A241)</f>
        <v/>
      </c>
      <c r="AQ241" s="55">
        <f>IF($B241=$B240,$AQ240,0)+$AP241</f>
        <v/>
      </c>
      <c r="AR241" s="55">
        <f>$AR240+$AP241</f>
        <v/>
      </c>
      <c r="AS241" s="55">
        <f>SUMIFS(tblMiningDaily[Blast_t],tblMiningDaily[Date],$A241)</f>
        <v/>
      </c>
      <c r="AT241" s="55">
        <f>IF($B241=$B240,$AT240,0)+$AS241</f>
        <v/>
      </c>
      <c r="AU241" s="55">
        <f>$AU240+$AS241</f>
        <v/>
      </c>
      <c r="AV241" s="55">
        <f>SUMIFS(tblMiningDaily[Explosives_kg],tblMiningDaily[Date],$A241)</f>
        <v/>
      </c>
      <c r="AW241" s="55">
        <f>IF($B241=$B240,$AW240,0)+$AV241</f>
        <v/>
      </c>
      <c r="AX241" s="55">
        <f>$AX240+$AV241</f>
        <v/>
      </c>
      <c r="AY241" s="56">
        <f>IFERROR(IF(($AS241)&gt;0,($AV241)/($AS241),""),"")</f>
        <v/>
      </c>
      <c r="AZ241" s="56">
        <f>IFERROR(IF(($AT241)&gt;0,($AW241)/($AT241),""),"")</f>
        <v/>
      </c>
      <c r="BA241" s="56">
        <f>IFERROR(IF(($AU241)&gt;0,($AX241)/($AU241),""),"")</f>
        <v/>
      </c>
      <c r="BB241" s="55">
        <f>SUMIFS(tblMiningDaily[Diesel_L],tblMiningDaily[Date],$A241)</f>
        <v/>
      </c>
      <c r="BC241" s="55">
        <f>IF($B241=$B240,$BC240,0)+$BB241</f>
        <v/>
      </c>
      <c r="BD241" s="55">
        <f>$BD240+$BB241</f>
        <v/>
      </c>
      <c r="BE241" s="55">
        <f>SUMIFS(tblMiningDaily[Dewatering_m3],tblMiningDaily[Date],$A241)</f>
        <v/>
      </c>
      <c r="BF241" s="55">
        <f>IF($B241=$B240,$BF240,0)+$BE241</f>
        <v/>
      </c>
      <c r="BG241" s="55">
        <f>$BG240+$BE241</f>
        <v/>
      </c>
      <c r="BH241" s="57">
        <f>SUMIFS(tblFleet[Calendar_h],tblFleet[Date],$A241,tblFleet[Equipment_Class],"Excavator")</f>
        <v/>
      </c>
      <c r="BI241" s="57">
        <f>IF($B241=$B240,$BI240,0)+$BH241</f>
        <v/>
      </c>
      <c r="BJ241" s="57">
        <f>$BJ240+$BH241</f>
        <v/>
      </c>
      <c r="BK241" s="57">
        <f>SUMIFS(tblFleet[Available_h],tblFleet[Date],$A241,tblFleet[Equipment_Class],"Excavator")</f>
        <v/>
      </c>
      <c r="BL241" s="57">
        <f>IF($B241=$B240,$BL240,0)+$BK241</f>
        <v/>
      </c>
      <c r="BM241" s="57">
        <f>$BM240+$BK241</f>
        <v/>
      </c>
      <c r="BN241" s="57">
        <f>SUMIFS(tblFleet[Operating_h],tblFleet[Date],$A241,tblFleet[Equipment_Class],"Excavator")</f>
        <v/>
      </c>
      <c r="BO241" s="57">
        <f>IF($B241=$B240,$BO240,0)+$BN241</f>
        <v/>
      </c>
      <c r="BP241" s="57">
        <f>$BP240+$BN241</f>
        <v/>
      </c>
      <c r="BQ241" s="67">
        <f>IFERROR(IF(($BH241)&gt;0,($BK241)/($BH241),""),"")</f>
        <v/>
      </c>
      <c r="BR241" s="67">
        <f>IFERROR(IF(($BI241)&gt;0,($BL241)/($BI241),""),"")</f>
        <v/>
      </c>
      <c r="BS241" s="67">
        <f>IFERROR(IF(($BJ241)&gt;0,($BM241)/($BJ241),""),"")</f>
        <v/>
      </c>
      <c r="BT241" s="67">
        <f>IFERROR(IF(($BK241)&gt;0,($BN241)/($BK241),""),"")</f>
        <v/>
      </c>
      <c r="BU241" s="67">
        <f>IFERROR(IF(($BL241)&gt;0,($BO241)/($BL241),""),"")</f>
        <v/>
      </c>
      <c r="BV241" s="67">
        <f>IFERROR(IF(($BM241)&gt;0,($BP241)/($BM241),""),"")</f>
        <v/>
      </c>
      <c r="BW241" s="57">
        <f>SUMIFS(tblFleet[Calendar_h],tblFleet[Date],$A241,tblFleet[Equipment_Class],"Haul Truck")</f>
        <v/>
      </c>
      <c r="BX241" s="57">
        <f>IF($B241=$B240,$BX240,0)+$BW241</f>
        <v/>
      </c>
      <c r="BY241" s="57">
        <f>$BY240+$BW241</f>
        <v/>
      </c>
      <c r="BZ241" s="57">
        <f>SUMIFS(tblFleet[Available_h],tblFleet[Date],$A241,tblFleet[Equipment_Class],"Haul Truck")</f>
        <v/>
      </c>
      <c r="CA241" s="57">
        <f>IF($B241=$B240,$CA240,0)+$BZ241</f>
        <v/>
      </c>
      <c r="CB241" s="57">
        <f>$CB240+$BZ241</f>
        <v/>
      </c>
      <c r="CC241" s="57">
        <f>SUMIFS(tblFleet[Operating_h],tblFleet[Date],$A241,tblFleet[Equipment_Class],"Haul Truck")</f>
        <v/>
      </c>
      <c r="CD241" s="57">
        <f>IF($B241=$B240,$CD240,0)+$CC241</f>
        <v/>
      </c>
      <c r="CE241" s="57">
        <f>$CE240+$CC241</f>
        <v/>
      </c>
      <c r="CF241" s="67">
        <f>IFERROR(IF(($BW241)&gt;0,($BZ241)/($BW241),""),"")</f>
        <v/>
      </c>
      <c r="CG241" s="67">
        <f>IFERROR(IF(($BX241)&gt;0,($CA241)/($BX241),""),"")</f>
        <v/>
      </c>
      <c r="CH241" s="67">
        <f>IFERROR(IF(($BY241)&gt;0,($CB241)/($BY241),""),"")</f>
        <v/>
      </c>
      <c r="CI241" s="67">
        <f>IFERROR(IF(($BZ241)&gt;0,($CC241)/($BZ241),""),"")</f>
        <v/>
      </c>
      <c r="CJ241" s="67">
        <f>IFERROR(IF(($CA241)&gt;0,($CD241)/($CA241),""),"")</f>
        <v/>
      </c>
      <c r="CK241" s="67">
        <f>IFERROR(IF(($CB241)&gt;0,($CE241)/($CB241),""),"")</f>
        <v/>
      </c>
      <c r="CL241" s="55">
        <f>IFERROR(IF(($BN241)&gt;0,($X241+$AD241)/($BN241),""),"")</f>
        <v/>
      </c>
      <c r="CM241" s="55">
        <f>IFERROR(IF(($BO241)&gt;0,($Y241+$AE241)/($BO241),""),"")</f>
        <v/>
      </c>
      <c r="CN241" s="55">
        <f>IFERROR(IF(($BP241)&gt;0,($Z241+$AF241)/($BP241),""),"")</f>
        <v/>
      </c>
      <c r="CO241" s="55">
        <f>IFERROR(IF(($CC241)&gt;0,($X241+$AD241)/($CC241),""),"")</f>
        <v/>
      </c>
      <c r="CP241" s="55">
        <f>IFERROR(IF(($CD241)&gt;0,($Y241+$AE241)/($CD241),""),"")</f>
        <v/>
      </c>
      <c r="CQ241" s="55">
        <f>IFERROR(IF(($CE241)&gt;0,($Z241+$AF241)/($CE241),""),"")</f>
        <v/>
      </c>
      <c r="CR241" s="55">
        <f>SUMIFS(tblPlant[Crushed_t],tblPlant[Date],$A241)</f>
        <v/>
      </c>
      <c r="CS241" s="55">
        <f>IF($B241=$B240,$CS240,0)+$CR241</f>
        <v/>
      </c>
      <c r="CT241" s="55">
        <f>$CT240+$CR241</f>
        <v/>
      </c>
      <c r="CU241" s="55">
        <f>SUMIFS(tblPlant[Milled_t],tblPlant[Date],$A241)</f>
        <v/>
      </c>
      <c r="CV241" s="55">
        <f>IF($B241=$B240,$CV240,0)+$CU241</f>
        <v/>
      </c>
      <c r="CW241" s="55">
        <f>$CW240+$CU241</f>
        <v/>
      </c>
      <c r="CX241" s="55">
        <f>SUMIFS(tblPlant[Feed_oz],tblPlant[Date],$A241)</f>
        <v/>
      </c>
      <c r="CY241" s="55">
        <f>IF($B241=$B240,$CY240,0)+$CX241</f>
        <v/>
      </c>
      <c r="CZ241" s="55">
        <f>$CZ240+$CX241</f>
        <v/>
      </c>
      <c r="DA241" s="55">
        <f>SUMIFS(tblPlant[Tails_oz],tblPlant[Date],$A241)</f>
        <v/>
      </c>
      <c r="DB241" s="55">
        <f>IF($B241=$B240,$DB240,0)+$DA241</f>
        <v/>
      </c>
      <c r="DC241" s="55">
        <f>$DC240+$DA241</f>
        <v/>
      </c>
      <c r="DD241" s="55">
        <f>SUMIFS(tblPlant[Recovered_oz],tblPlant[Date],$A241)</f>
        <v/>
      </c>
      <c r="DE241" s="55">
        <f>IF($B241=$B240,$DE240,0)+$DD241</f>
        <v/>
      </c>
      <c r="DF241" s="55">
        <f>$DF240+$DD241</f>
        <v/>
      </c>
      <c r="DG241" s="55">
        <f>SUMIFS(tblPlant[Milled_t],tblPlant[Date],$A241,tblPlant[Head_Grade_gpt],"&lt;&gt;")</f>
        <v/>
      </c>
      <c r="DH241" s="55">
        <f>IF($B241=$B240,$DH240,0)+$DG241</f>
        <v/>
      </c>
      <c r="DI241" s="55">
        <f>$DI240+$DG241</f>
        <v/>
      </c>
      <c r="DJ241" s="55">
        <f>SUMIFS(tblPlant[Milled_t],tblPlant[Date],$A241,tblPlant[Tails_Grade_gpt],"&lt;&gt;")</f>
        <v/>
      </c>
      <c r="DK241" s="55">
        <f>IF($B241=$B240,$DK240,0)+$DJ241</f>
        <v/>
      </c>
      <c r="DL241" s="55">
        <f>$DL240+$DJ241</f>
        <v/>
      </c>
      <c r="DM241" s="55">
        <f>SUMIFS(tblPlant[Feed_oz],tblPlant[Date],$A241,tblPlant[Tails_Grade_gpt],"&lt;&gt;")</f>
        <v/>
      </c>
      <c r="DN241" s="55">
        <f>IF($B241=$B240,$DN240,0)+$DM241</f>
        <v/>
      </c>
      <c r="DO241" s="55">
        <f>$DO240+$DM241</f>
        <v/>
      </c>
      <c r="DP241" s="55">
        <f>SUMIFS(tblPlant[Milled_t],tblPlant[Date],$A241,tblPlant[Mill_Run_h],"&lt;&gt;")</f>
        <v/>
      </c>
      <c r="DQ241" s="55">
        <f>IF($B241=$B240,$DQ240,0)+$DP241</f>
        <v/>
      </c>
      <c r="DR241" s="55">
        <f>$DR240+$DP241</f>
        <v/>
      </c>
      <c r="DS241" s="56">
        <f>IFERROR(IF(($DG241)&gt;0,($CX241*cfg_TroyOz)/($DG241),""),"")</f>
        <v/>
      </c>
      <c r="DT241" s="56">
        <f>IFERROR(IF(($DH241)&gt;0,($CY241*cfg_TroyOz)/($DH241),""),"")</f>
        <v/>
      </c>
      <c r="DU241" s="56">
        <f>IFERROR(IF(($DI241)&gt;0,($CZ241*cfg_TroyOz)/($DI241),""),"")</f>
        <v/>
      </c>
      <c r="DV241" s="56">
        <f>IFERROR(IF(($DJ241)&gt;0,($DA241*cfg_TroyOz)/($DJ241),""),"")</f>
        <v/>
      </c>
      <c r="DW241" s="56">
        <f>IFERROR(IF(($DK241)&gt;0,($DB241*cfg_TroyOz)/($DK241),""),"")</f>
        <v/>
      </c>
      <c r="DX241" s="56">
        <f>IFERROR(IF(($DL241)&gt;0,($DC241*cfg_TroyOz)/($DL241),""),"")</f>
        <v/>
      </c>
      <c r="DY241" s="67">
        <f>IFERROR(IF(($DM241)&gt;0,($DD241)/($DM241),""),"")</f>
        <v/>
      </c>
      <c r="DZ241" s="67">
        <f>IFERROR(IF(($DN241)&gt;0,($DE241)/($DN241),""),"")</f>
        <v/>
      </c>
      <c r="EA241" s="67">
        <f>IFERROR(IF(($DO241)&gt;0,($DF241)/($DO241),""),"")</f>
        <v/>
      </c>
      <c r="EB241" s="55">
        <f>SUMIFS(tblPlant[Gravity_Gold_oz],tblPlant[Date],$A241)</f>
        <v/>
      </c>
      <c r="EC241" s="55">
        <f>IF($B241=$B240,$EC240,0)+$EB241</f>
        <v/>
      </c>
      <c r="ED241" s="55">
        <f>$ED240+$EB241</f>
        <v/>
      </c>
      <c r="EE241" s="67">
        <f>IFERROR(IF(($DD241)&gt;0,($EB241)/($DD241),""),"")</f>
        <v/>
      </c>
      <c r="EF241" s="67">
        <f>IFERROR(IF(($DE241)&gt;0,($EC241)/($DE241),""),"")</f>
        <v/>
      </c>
      <c r="EG241" s="67">
        <f>IFERROR(IF(($DF241)&gt;0,($ED241)/($DF241),""),"")</f>
        <v/>
      </c>
      <c r="EH241" s="55">
        <f>SUMIFS(tblPlant[Gold_Poured_oz],tblPlant[Date],$A241)</f>
        <v/>
      </c>
      <c r="EI241" s="55">
        <f>IF($B241=$B240,$EI240,0)+$EH241</f>
        <v/>
      </c>
      <c r="EJ241" s="55">
        <f>$EJ240+$EH241</f>
        <v/>
      </c>
      <c r="EK241" s="57">
        <f>SUMIFS(tblPlant[Mill_Run_h],tblPlant[Date],$A241)</f>
        <v/>
      </c>
      <c r="EL241" s="57">
        <f>IF($B241=$B240,$EL240,0)+$EK241</f>
        <v/>
      </c>
      <c r="EM241" s="57">
        <f>$EM240+$EK241</f>
        <v/>
      </c>
      <c r="EN241" s="57">
        <f>SUMIFS(tblPlant[Mill_Planned_Maint_h],tblPlant[Date],$A241)</f>
        <v/>
      </c>
      <c r="EO241" s="57">
        <f>IF($B241=$B240,$EO240,0)+$EN241</f>
        <v/>
      </c>
      <c r="EP241" s="57">
        <f>$EP240+$EN241</f>
        <v/>
      </c>
      <c r="EQ241" s="57">
        <f>SUMIFS(tblPlant[Mill_Unplanned_Down_h],tblPlant[Date],$A241)</f>
        <v/>
      </c>
      <c r="ER241" s="57">
        <f>IF($B241=$B240,$ER240,0)+$EQ241</f>
        <v/>
      </c>
      <c r="ES241" s="57">
        <f>$ES240+$EQ241</f>
        <v/>
      </c>
      <c r="ET241" s="57">
        <f>IF(COUNTIFS(tblPlant[Date],$A241,tblPlant[Mill_Run_h],"&lt;&gt;")+COUNTIFS(tblPlant[Date],$A241,tblPlant[Mill_Planned_Maint_h],"&lt;&gt;")+COUNTIFS(tblPlant[Date],$A241,tblPlant[Mill_Unplanned_Down_h],"&lt;&gt;")&gt;0,cfg_HoursPerDay,0)</f>
        <v/>
      </c>
      <c r="EU241" s="57">
        <f>IF($B241=$B240,$EU240,0)+$ET241</f>
        <v/>
      </c>
      <c r="EV241" s="57">
        <f>$EV240+$ET241</f>
        <v/>
      </c>
      <c r="EW241" s="57">
        <f>SUMIFS(tblPlant[Crusher_Run_h],tblPlant[Date],$A241)</f>
        <v/>
      </c>
      <c r="EX241" s="57">
        <f>IF($B241=$B240,$EX240,0)+$EW241</f>
        <v/>
      </c>
      <c r="EY241" s="57">
        <f>$EY240+$EW241</f>
        <v/>
      </c>
      <c r="EZ241" s="55">
        <f>IFERROR(IF(($EK241)&gt;0,($DP241)/($EK241),""),"")</f>
        <v/>
      </c>
      <c r="FA241" s="55">
        <f>IFERROR(IF(($EL241)&gt;0,($DQ241)/($EL241),""),"")</f>
        <v/>
      </c>
      <c r="FB241" s="55">
        <f>IFERROR(IF(($EM241)&gt;0,($DR241)/($EM241),""),"")</f>
        <v/>
      </c>
      <c r="FC241" s="67">
        <f>IFERROR(IF(($ET241)&gt;0,($ET241-$EN241-$EQ241)/($ET241),""),"")</f>
        <v/>
      </c>
      <c r="FD241" s="67">
        <f>IFERROR(IF(($EU241)&gt;0,($EU241-$EO241-$ER241)/($EU241),""),"")</f>
        <v/>
      </c>
      <c r="FE241" s="67">
        <f>IFERROR(IF(($EV241)&gt;0,($EV241-$EP241-$ES241)/($EV241),""),"")</f>
        <v/>
      </c>
      <c r="FF241" s="67">
        <f>IFERROR(IF(($ET241-$EN241-$EQ241)&gt;0,($EK241)/($ET241-$EN241-$EQ241),""),"")</f>
        <v/>
      </c>
      <c r="FG241" s="67">
        <f>IFERROR(IF(($EU241-$EO241-$ER241)&gt;0,($EL241)/($EU241-$EO241-$ER241),""),"")</f>
        <v/>
      </c>
      <c r="FH241" s="67">
        <f>IFERROR(IF(($EV241-$EP241-$ES241)&gt;0,($EM241)/($EV241-$EP241-$ES241),""),"")</f>
        <v/>
      </c>
      <c r="FI241" s="55">
        <f>SUMIFS(tblPlant[Cyanide_kg],tblPlant[Date],$A241)</f>
        <v/>
      </c>
      <c r="FJ241" s="55">
        <f>IF($B241=$B240,$FJ240,0)+$FI241</f>
        <v/>
      </c>
      <c r="FK241" s="55">
        <f>$FK240+$FI241</f>
        <v/>
      </c>
      <c r="FL241" s="55">
        <f>SUMIFS(tblPlant[Lime_kg],tblPlant[Date],$A241)</f>
        <v/>
      </c>
      <c r="FM241" s="55">
        <f>IF($B241=$B240,$FM240,0)+$FL241</f>
        <v/>
      </c>
      <c r="FN241" s="55">
        <f>$FN240+$FL241</f>
        <v/>
      </c>
      <c r="FO241" s="55">
        <f>SUMIFS(tblPlant[Grinding_Media_kg],tblPlant[Date],$A241)</f>
        <v/>
      </c>
      <c r="FP241" s="55">
        <f>IF($B241=$B240,$FP240,0)+$FO241</f>
        <v/>
      </c>
      <c r="FQ241" s="55">
        <f>$FQ240+$FO241</f>
        <v/>
      </c>
      <c r="FR241" s="55">
        <f>SUMIFS(tblPlant[Power_kWh],tblPlant[Date],$A241)</f>
        <v/>
      </c>
      <c r="FS241" s="55">
        <f>IF($B241=$B240,$FS240,0)+$FR241</f>
        <v/>
      </c>
      <c r="FT241" s="55">
        <f>$FT240+$FR241</f>
        <v/>
      </c>
      <c r="FU241" s="55">
        <f>SUMIFS(tblPlant[Raw_Water_m3],tblPlant[Date],$A241)</f>
        <v/>
      </c>
      <c r="FV241" s="55">
        <f>IF($B241=$B240,$FV240,0)+$FU241</f>
        <v/>
      </c>
      <c r="FW241" s="55">
        <f>$FW240+$FU241</f>
        <v/>
      </c>
      <c r="FX241" s="56">
        <f>IFERROR(IF(($CU241)&gt;0,($FI241)/($CU241),""),"")</f>
        <v/>
      </c>
      <c r="FY241" s="56">
        <f>IFERROR(IF(($CV241)&gt;0,($FJ241)/($CV241),""),"")</f>
        <v/>
      </c>
      <c r="FZ241" s="56">
        <f>IFERROR(IF(($CW241)&gt;0,($FK241)/($CW241),""),"")</f>
        <v/>
      </c>
      <c r="GA241" s="56">
        <f>IFERROR(IF(($CU241)&gt;0,($FL241)/($CU241),""),"")</f>
        <v/>
      </c>
      <c r="GB241" s="56">
        <f>IFERROR(IF(($CV241)&gt;0,($FM241)/($CV241),""),"")</f>
        <v/>
      </c>
      <c r="GC241" s="56">
        <f>IFERROR(IF(($CW241)&gt;0,($FN241)/($CW241),""),"")</f>
        <v/>
      </c>
      <c r="GD241" s="56">
        <f>IFERROR(IF(($CU241)&gt;0,($FO241)/($CU241),""),"")</f>
        <v/>
      </c>
      <c r="GE241" s="56">
        <f>IFERROR(IF(($CV241)&gt;0,($FP241)/($CV241),""),"")</f>
        <v/>
      </c>
      <c r="GF241" s="56">
        <f>IFERROR(IF(($CW241)&gt;0,($FQ241)/($CW241),""),"")</f>
        <v/>
      </c>
      <c r="GG241" s="79">
        <f>IFERROR(IF(($CU241)&gt;0,($FR241)/($CU241),""),"")</f>
        <v/>
      </c>
      <c r="GH241" s="79">
        <f>IFERROR(IF(($CV241)&gt;0,($FS241)/($CV241),""),"")</f>
        <v/>
      </c>
      <c r="GI241" s="79">
        <f>IFERROR(IF(($CW241)&gt;0,($FT241)/($CW241),""),"")</f>
        <v/>
      </c>
      <c r="GJ241" s="56">
        <f>IFERROR(IF(($CU241)&gt;0,($FU241)/($CU241),""),"")</f>
        <v/>
      </c>
      <c r="GK241" s="56">
        <f>IFERROR(IF(($CV241)&gt;0,($FV241)/($CV241),""),"")</f>
        <v/>
      </c>
      <c r="GL241" s="56">
        <f>IFERROR(IF(($CW241)&gt;0,($FW241)/($CW241),""),"")</f>
        <v/>
      </c>
      <c r="GM241" s="55">
        <f>IF(SUMIFS(tblPlant[GIC_oz],tblPlant[Date],$A241)&gt;0,SUMIFS(tblPlant[GIC_oz],tblPlant[Date],$A241),"")</f>
        <v/>
      </c>
      <c r="GN241" s="55">
        <f>SUMIFS(tblGold[Gold_oz],tblGold[Date],$A241,tblGold[Type],"Shipment")</f>
        <v/>
      </c>
      <c r="GO241" s="55">
        <f>IF($B241=$B240,$GO240,0)+$GN241</f>
        <v/>
      </c>
      <c r="GP241" s="55">
        <f>$GP240+$GN241</f>
        <v/>
      </c>
      <c r="GQ241" s="55">
        <f>SUMIFS(tblGold[Gold_oz],tblGold[Date],$A241,tblGold[Type],"Sale")</f>
        <v/>
      </c>
      <c r="GR241" s="55">
        <f>IF($B241=$B240,$GR240,0)+$GQ241</f>
        <v/>
      </c>
      <c r="GS241" s="55">
        <f>$GS240+$GQ241</f>
        <v/>
      </c>
      <c r="GT241" s="55">
        <f>SUMIFS(tblGold[Dore_kg],tblGold[Date],$A241,tblGold[Type],"Shipment")</f>
        <v/>
      </c>
      <c r="GU241" s="55">
        <f>IF($B241=$B240,$GU240,0)+$GT241</f>
        <v/>
      </c>
      <c r="GV241" s="55">
        <f>$GV240+$GT241</f>
        <v/>
      </c>
      <c r="GW241" s="57">
        <f>SUMIFS(tblSafety[Hours_Total],tblSafety[Date],$A241)</f>
        <v/>
      </c>
      <c r="GX241" s="57">
        <f>IF($B241=$B240,$GX240,0)+$GW241</f>
        <v/>
      </c>
      <c r="GY241" s="57">
        <f>$GY240+$GW241</f>
        <v/>
      </c>
      <c r="GZ241" s="62">
        <f>SUMIFS(tblSafety[Fatality],tblSafety[Date],$A241)</f>
        <v/>
      </c>
      <c r="HA241" s="62">
        <f>IF($B241=$B240,$HA240,0)+$GZ241</f>
        <v/>
      </c>
      <c r="HB241" s="62">
        <f>$HB240+$GZ241</f>
        <v/>
      </c>
      <c r="HC241" s="62">
        <f>SUMIFS(tblSafety[LTI],tblSafety[Date],$A241)</f>
        <v/>
      </c>
      <c r="HD241" s="62">
        <f>IF($B241=$B240,$HD240,0)+$HC241</f>
        <v/>
      </c>
      <c r="HE241" s="62">
        <f>$HE240+$HC241</f>
        <v/>
      </c>
      <c r="HF241" s="62">
        <f>SUMIFS(tblSafety[RWI],tblSafety[Date],$A241)</f>
        <v/>
      </c>
      <c r="HG241" s="62">
        <f>IF($B241=$B240,$HG240,0)+$HF241</f>
        <v/>
      </c>
      <c r="HH241" s="62">
        <f>$HH240+$HF241</f>
        <v/>
      </c>
      <c r="HI241" s="62">
        <f>SUMIFS(tblSafety[MTI],tblSafety[Date],$A241)</f>
        <v/>
      </c>
      <c r="HJ241" s="62">
        <f>IF($B241=$B240,$HJ240,0)+$HI241</f>
        <v/>
      </c>
      <c r="HK241" s="62">
        <f>$HK240+$HI241</f>
        <v/>
      </c>
      <c r="HL241" s="62">
        <f>SUMIFS(tblSafety[FAI],tblSafety[Date],$A241)</f>
        <v/>
      </c>
      <c r="HM241" s="62">
        <f>IF($B241=$B240,$HM240,0)+$HL241</f>
        <v/>
      </c>
      <c r="HN241" s="62">
        <f>$HN240+$HL241</f>
        <v/>
      </c>
      <c r="HO241" s="62">
        <f>SUMIFS(tblSafety[Recordables],tblSafety[Date],$A241)</f>
        <v/>
      </c>
      <c r="HP241" s="62">
        <f>IF($B241=$B240,$HP240,0)+$HO241</f>
        <v/>
      </c>
      <c r="HQ241" s="62">
        <f>$HQ240+$HO241</f>
        <v/>
      </c>
      <c r="HR241" s="62">
        <f>SUMIFS(tblSafety[Near_Miss],tblSafety[Date],$A241)</f>
        <v/>
      </c>
      <c r="HS241" s="62">
        <f>IF($B241=$B240,$HS240,0)+$HR241</f>
        <v/>
      </c>
      <c r="HT241" s="62">
        <f>$HT240+$HR241</f>
        <v/>
      </c>
      <c r="HU241" s="62">
        <f>SUMIFS(tblSafety[Hazard_Reports],tblSafety[Date],$A241)</f>
        <v/>
      </c>
      <c r="HV241" s="62">
        <f>IF($B241=$B240,$HV240,0)+$HU241</f>
        <v/>
      </c>
      <c r="HW241" s="62">
        <f>$HW240+$HU241</f>
        <v/>
      </c>
      <c r="HX241" s="62">
        <f>SUMIFS(tblSafety[HPI],tblSafety[Date],$A241)</f>
        <v/>
      </c>
      <c r="HY241" s="62">
        <f>IF($B241=$B240,$HY240,0)+$HX241</f>
        <v/>
      </c>
      <c r="HZ241" s="62">
        <f>$HZ240+$HX241</f>
        <v/>
      </c>
      <c r="IA241" s="62">
        <f>SUMIFS(tblSafety[Env_Incidents],tblSafety[Date],$A241)</f>
        <v/>
      </c>
      <c r="IB241" s="62">
        <f>IF($B241=$B240,$IB240,0)+$IA241</f>
        <v/>
      </c>
      <c r="IC241" s="62">
        <f>$IC240+$IA241</f>
        <v/>
      </c>
      <c r="ID241" s="62">
        <f>SUMIFS(tblSafety[Community_Incidents],tblSafety[Date],$A241)</f>
        <v/>
      </c>
      <c r="IE241" s="62">
        <f>IF($B241=$B240,$IE240,0)+$ID241</f>
        <v/>
      </c>
      <c r="IF241" s="62">
        <f>$IF240+$ID241</f>
        <v/>
      </c>
      <c r="IG241" s="62">
        <f>SUMIFS(tblSafety[Vehicle_Incidents],tblSafety[Date],$A241)</f>
        <v/>
      </c>
      <c r="IH241" s="62">
        <f>IF($B241=$B240,$IH240,0)+$IG241</f>
        <v/>
      </c>
      <c r="II241" s="62">
        <f>$II240+$IG241</f>
        <v/>
      </c>
      <c r="IJ241" s="62">
        <f>SUMIFS(tblSafety[Toolbox_Talks],tblSafety[Date],$A241)</f>
        <v/>
      </c>
      <c r="IK241" s="62">
        <f>IF($B241=$B240,$IK240,0)+$IJ241</f>
        <v/>
      </c>
      <c r="IL241" s="62">
        <f>$IL240+$IJ241</f>
        <v/>
      </c>
      <c r="IM241" s="62">
        <f>SUMIFS(tblSafety[Inspections],tblSafety[Date],$A241)</f>
        <v/>
      </c>
      <c r="IN241" s="62">
        <f>IF($B241=$B240,$IN240,0)+$IM241</f>
        <v/>
      </c>
      <c r="IO241" s="62">
        <f>$IO240+$IM241</f>
        <v/>
      </c>
      <c r="IP241" s="56">
        <f>IFERROR((SUMIFS(tblSafety[Recordables],tblSafety[Date],"&gt;="&amp;EDATE($E241,-12),tblSafety[Date],"&lt;="&amp;$A241)+SUMIFS(tblSafetyHistory[Recordables],tblSafetyHistory[Month],"&gt;="&amp;EDATE($E241,-12),tblSafetyHistory[Month],"&lt;"&amp;$E241,tblSafetyHistory[Use],1))/(SUMIFS(tblSafety[Hours_Total],tblSafety[Date],"&gt;="&amp;EDATE($E241,-12),tblSafety[Date],"&lt;="&amp;$A241)+SUMIFS(tblSafetyHistory[Hours_Total],tblSafetyHistory[Month],"&gt;="&amp;EDATE($E241,-12),tblSafetyHistory[Month],"&lt;"&amp;$E241,tblSafetyHistory[Use],1))*cfg_RateBasisHours,"")</f>
        <v/>
      </c>
      <c r="IQ241" s="56">
        <f>IFERROR((SUMIFS(tblSafety[LTI],tblSafety[Date],"&gt;="&amp;EDATE($E241,-12),tblSafety[Date],"&lt;="&amp;$A241)+SUMIFS(tblSafetyHistory[LTI],tblSafetyHistory[Month],"&gt;="&amp;EDATE($E241,-12),tblSafetyHistory[Month],"&lt;"&amp;$E241,tblSafetyHistory[Use],1))/(SUMIFS(tblSafety[Hours_Total],tblSafety[Date],"&gt;="&amp;EDATE($E241,-12),tblSafety[Date],"&lt;="&amp;$A241)+SUMIFS(tblSafetyHistory[Hours_Total],tblSafetyHistory[Month],"&gt;="&amp;EDATE($E241,-12),tblSafetyHistory[Month],"&lt;"&amp;$E241,tblSafetyHistory[Use],1))*cfg_RateBasisHours,"")</f>
        <v/>
      </c>
      <c r="IR241" s="62">
        <f>IF(MAX(N(cfg_PriorLTIDate),_xlfn.MAXIFS(tblSafety[Date],tblSafety[LTI],"&gt;0",tblSafety[Date],"&lt;="&amp;$A241))=0,"",$A241-MAX(N(cfg_PriorLTIDate),_xlfn.MAXIFS(tblSafety[Date],tblSafety[LTI],"&gt;0",tblSafety[Date],"&lt;="&amp;$A241)))</f>
        <v/>
      </c>
      <c r="IS241" s="55">
        <f>SUMIFS(tblBudget[Ore_Mined_t],tblBudget[Month],$E241)</f>
        <v/>
      </c>
      <c r="IT241" s="55">
        <f>$IS241*$C241/$D241</f>
        <v/>
      </c>
      <c r="IU241" s="55">
        <f>SUMIFS(tblBudget[Ore_Mined_t],tblBudget[Month],"&lt;"&amp;$E241)+$IT241</f>
        <v/>
      </c>
      <c r="IV241" s="55">
        <f>SUMIFS(tblBudget[Ore_oz],tblBudget[Month],$E241)</f>
        <v/>
      </c>
      <c r="IW241" s="55">
        <f>$IV241*$C241/$D241</f>
        <v/>
      </c>
      <c r="IX241" s="55">
        <f>SUMIFS(tblBudget[Ore_oz],tblBudget[Month],"&lt;"&amp;$E241)+$IW241</f>
        <v/>
      </c>
      <c r="IY241" s="55">
        <f>SUMIFS(tblBudget[Ore_Mined_t],tblBudget[Month],$E241)</f>
        <v/>
      </c>
      <c r="IZ241" s="55">
        <f>$IY241*$C241/$D241</f>
        <v/>
      </c>
      <c r="JA241" s="55">
        <f>SUMIFS(tblBudget[Ore_Mined_t],tblBudget[Month],"&lt;"&amp;$E241)+$IZ241</f>
        <v/>
      </c>
      <c r="JB241" s="56">
        <f>IFERROR(IF(($IY241)&gt;0,($IV241*cfg_TroyOz)/($IY241),""),"")</f>
        <v/>
      </c>
      <c r="JC241" s="56">
        <f>IFERROR(IF(($IZ241)&gt;0,($IW241*cfg_TroyOz)/($IZ241),""),"")</f>
        <v/>
      </c>
      <c r="JD241" s="56">
        <f>IFERROR(IF(($JA241)&gt;0,($IX241*cfg_TroyOz)/($JA241),""),"")</f>
        <v/>
      </c>
      <c r="JE241" s="55">
        <f>SUMIFS(tblBudget[Waste_t],tblBudget[Month],$E241)</f>
        <v/>
      </c>
      <c r="JF241" s="55">
        <f>$JE241*$C241/$D241</f>
        <v/>
      </c>
      <c r="JG241" s="55">
        <f>SUMIFS(tblBudget[Waste_t],tblBudget[Month],"&lt;"&amp;$E241)+$JF241</f>
        <v/>
      </c>
      <c r="JH241" s="55">
        <f>SUMIFS(tblBudget[TMM_t],tblBudget[Month],$E241)</f>
        <v/>
      </c>
      <c r="JI241" s="55">
        <f>$JH241*$C241/$D241</f>
        <v/>
      </c>
      <c r="JJ241" s="55">
        <f>SUMIFS(tblBudget[TMM_t],tblBudget[Month],"&lt;"&amp;$E241)+$JI241</f>
        <v/>
      </c>
      <c r="JK241" s="56">
        <f>IFERROR(IF(($IS241)&gt;0,($JE241)/($IS241),""),"")</f>
        <v/>
      </c>
      <c r="JL241" s="56">
        <f>IFERROR(IF(($IT241)&gt;0,($JF241)/($IT241),""),"")</f>
        <v/>
      </c>
      <c r="JM241" s="56">
        <f>IFERROR(IF(($IU241)&gt;0,($JG241)/($IU241),""),"")</f>
        <v/>
      </c>
      <c r="JN241" s="55">
        <f>SUMIFS(tblBudget[Drill_m],tblBudget[Month],$E241)</f>
        <v/>
      </c>
      <c r="JO241" s="55">
        <f>$JN241*$C241/$D241</f>
        <v/>
      </c>
      <c r="JP241" s="55">
        <f>SUMIFS(tblBudget[Drill_m],tblBudget[Month],"&lt;"&amp;$E241)+$JO241</f>
        <v/>
      </c>
      <c r="JQ241" s="55">
        <f>SUMIFS(tblBudget[Diesel_L],tblBudget[Month],$E241)</f>
        <v/>
      </c>
      <c r="JR241" s="55">
        <f>$JQ241*$C241/$D241</f>
        <v/>
      </c>
      <c r="JS241" s="55">
        <f>SUMIFS(tblBudget[Diesel_L],tblBudget[Month],"&lt;"&amp;$E241)+$JR241</f>
        <v/>
      </c>
      <c r="JT241" s="55">
        <f>SUMIFS(tblBudget[Milled_t],tblBudget[Month],$E241)</f>
        <v/>
      </c>
      <c r="JU241" s="55">
        <f>$JT241*$C241/$D241</f>
        <v/>
      </c>
      <c r="JV241" s="55">
        <f>SUMIFS(tblBudget[Milled_t],tblBudget[Month],"&lt;"&amp;$E241)+$JU241</f>
        <v/>
      </c>
      <c r="JW241" s="55">
        <f>SUMIFS(tblBudget[Feed_oz],tblBudget[Month],$E241)</f>
        <v/>
      </c>
      <c r="JX241" s="55">
        <f>$JW241*$C241/$D241</f>
        <v/>
      </c>
      <c r="JY241" s="55">
        <f>SUMIFS(tblBudget[Feed_oz],tblBudget[Month],"&lt;"&amp;$E241)+$JX241</f>
        <v/>
      </c>
      <c r="JZ241" s="55">
        <f>SUMIFS(tblBudget[Recovered_oz],tblBudget[Month],$E241)</f>
        <v/>
      </c>
      <c r="KA241" s="55">
        <f>$JZ241*$C241/$D241</f>
        <v/>
      </c>
      <c r="KB241" s="55">
        <f>SUMIFS(tblBudget[Recovered_oz],tblBudget[Month],"&lt;"&amp;$E241)+$KA241</f>
        <v/>
      </c>
      <c r="KC241" s="55">
        <f>SUMIFS(tblBudget[Milled_t],tblBudget[Month],$E241)</f>
        <v/>
      </c>
      <c r="KD241" s="55">
        <f>$KC241*$C241/$D241</f>
        <v/>
      </c>
      <c r="KE241" s="55">
        <f>SUMIFS(tblBudget[Milled_t],tblBudget[Month],"&lt;"&amp;$E241)+$KD241</f>
        <v/>
      </c>
      <c r="KF241" s="55">
        <f>SUMIFS(tblBudget[Feed_oz],tblBudget[Month],$E241)</f>
        <v/>
      </c>
      <c r="KG241" s="55">
        <f>$KF241*$C241/$D241</f>
        <v/>
      </c>
      <c r="KH241" s="55">
        <f>SUMIFS(tblBudget[Feed_oz],tblBudget[Month],"&lt;"&amp;$E241)+$KG241</f>
        <v/>
      </c>
      <c r="KI241" s="56">
        <f>IFERROR(IF(($KC241)&gt;0,($JW241*cfg_TroyOz)/($KC241),""),"")</f>
        <v/>
      </c>
      <c r="KJ241" s="56">
        <f>IFERROR(IF(($KD241)&gt;0,($JX241*cfg_TroyOz)/($KD241),""),"")</f>
        <v/>
      </c>
      <c r="KK241" s="56">
        <f>IFERROR(IF(($KE241)&gt;0,($JY241*cfg_TroyOz)/($KE241),""),"")</f>
        <v/>
      </c>
      <c r="KL241" s="67">
        <f>IFERROR(IF(($KF241)&gt;0,($JZ241)/($KF241),""),"")</f>
        <v/>
      </c>
      <c r="KM241" s="67">
        <f>IFERROR(IF(($KG241)&gt;0,($KA241)/($KG241),""),"")</f>
        <v/>
      </c>
      <c r="KN241" s="67">
        <f>IFERROR(IF(($KH241)&gt;0,($KB241)/($KH241),""),"")</f>
        <v/>
      </c>
      <c r="KO241" s="55">
        <f>SUMIFS(tblBudget[Gold_Poured_oz],tblBudget[Month],$E241)</f>
        <v/>
      </c>
      <c r="KP241" s="55">
        <f>$KO241*$C241/$D241</f>
        <v/>
      </c>
      <c r="KQ241" s="55">
        <f>SUMIFS(tblBudget[Gold_Poured_oz],tblBudget[Month],"&lt;"&amp;$E241)+$KP241</f>
        <v/>
      </c>
      <c r="KR241" s="57">
        <f>SUMIFS(tblBudget[Hours_Worked],tblBudget[Month],$E241)</f>
        <v/>
      </c>
      <c r="KS241" s="57">
        <f>$KR241*$C241/$D241</f>
        <v/>
      </c>
      <c r="KT241" s="57">
        <f>SUMIFS(tblBudget[Hours_Worked],tblBudget[Month],"&lt;"&amp;$E241)+$KS241</f>
        <v/>
      </c>
    </row>
    <row r="242">
      <c r="A242" s="54" t="n">
        <v>46263</v>
      </c>
      <c r="B242">
        <f>MONTH($A242)</f>
        <v/>
      </c>
      <c r="C242">
        <f>DAY($A242)</f>
        <v/>
      </c>
      <c r="D242">
        <f>DAY(EOMONTH($A242,0))</f>
        <v/>
      </c>
      <c r="E242" s="54">
        <f>DATE(YEAR($A242),MONTH($A242),1)</f>
        <v/>
      </c>
      <c r="F242" s="55">
        <f>SUMIFS(tblMovement[Tonnes_t],tblMovement[Date],$A242,tblMovement[Is_Ore],1,tblMovement[Source_Type],"Pit")</f>
        <v/>
      </c>
      <c r="G242" s="55">
        <f>IF($B242=$B241,$G241,0)+$F242</f>
        <v/>
      </c>
      <c r="H242" s="55">
        <f>$H241+$F242</f>
        <v/>
      </c>
      <c r="I242" s="55">
        <f>SUMIFS(tblMovement[Ore_oz],tblMovement[Date],$A242,tblMovement[Source_Type],"Pit")</f>
        <v/>
      </c>
      <c r="J242" s="55">
        <f>IF($B242=$B241,$J241,0)+$I242</f>
        <v/>
      </c>
      <c r="K242" s="55">
        <f>$K241+$I242</f>
        <v/>
      </c>
      <c r="L242" s="55">
        <f>SUMIFS(tblMovement[Tonnes_t],tblMovement[Date],$A242,tblMovement[Is_Ore],1,tblMovement[Source_Type],"Pit",tblMovement[Grade_gpt],"&lt;&gt;")</f>
        <v/>
      </c>
      <c r="M242" s="55">
        <f>IF($B242=$B241,$M241,0)+$L242</f>
        <v/>
      </c>
      <c r="N242" s="55">
        <f>$N241+$L242</f>
        <v/>
      </c>
      <c r="O242" s="56">
        <f>IFERROR(IF(($L242)&gt;0,($I242*cfg_TroyOz)/($L242),""),"")</f>
        <v/>
      </c>
      <c r="P242" s="56">
        <f>IFERROR(IF(($M242)&gt;0,($J242*cfg_TroyOz)/($M242),""),"")</f>
        <v/>
      </c>
      <c r="Q242" s="56">
        <f>IFERROR(IF(($N242)&gt;0,($K242*cfg_TroyOz)/($N242),""),"")</f>
        <v/>
      </c>
      <c r="R242" s="55">
        <f>$F242-$L242</f>
        <v/>
      </c>
      <c r="S242" s="55">
        <f>IF($B242=$B241,$S241,0)+$R242</f>
        <v/>
      </c>
      <c r="T242" s="55">
        <f>$T241+$R242</f>
        <v/>
      </c>
      <c r="U242" s="55">
        <f>SUMIFS(tblMovement[Tonnes_t],tblMovement[Date],$A242,tblMovement[Is_Ore],0,tblMovement[Source_Type],"Pit")</f>
        <v/>
      </c>
      <c r="V242" s="55">
        <f>IF($B242=$B241,$V241,0)+$U242</f>
        <v/>
      </c>
      <c r="W242" s="55">
        <f>$W241+$U242</f>
        <v/>
      </c>
      <c r="X242" s="55">
        <f>$F242+$U242</f>
        <v/>
      </c>
      <c r="Y242" s="55">
        <f>IF($B242=$B241,$Y241,0)+$X242</f>
        <v/>
      </c>
      <c r="Z242" s="55">
        <f>$Z241+$X242</f>
        <v/>
      </c>
      <c r="AA242" s="56">
        <f>IFERROR(IF(($F242)&gt;0,($U242)/($F242),""),"")</f>
        <v/>
      </c>
      <c r="AB242" s="56">
        <f>IFERROR(IF(($G242)&gt;0,($V242)/($G242),""),"")</f>
        <v/>
      </c>
      <c r="AC242" s="56">
        <f>IFERROR(IF(($H242)&gt;0,($W242)/($H242),""),"")</f>
        <v/>
      </c>
      <c r="AD242" s="55">
        <f>SUMIFS(tblMovement[Tonnes_t],tblMovement[Date],$A242,tblMovement[Source_Type],"Stockpile")</f>
        <v/>
      </c>
      <c r="AE242" s="55">
        <f>IF($B242=$B241,$AE241,0)+$AD242</f>
        <v/>
      </c>
      <c r="AF242" s="55">
        <f>$AF241+$AD242</f>
        <v/>
      </c>
      <c r="AG242" s="55">
        <f>SUMIFS(tblMovement[Tonnes_t],tblMovement[Date],$A242)</f>
        <v/>
      </c>
      <c r="AH242" s="55">
        <f>IF($B242=$B241,$AH241,0)+$AG242</f>
        <v/>
      </c>
      <c r="AI242" s="55">
        <f>$AI241+$AG242</f>
        <v/>
      </c>
      <c r="AJ242" s="55">
        <f>$AG242-$X242-$AD242</f>
        <v/>
      </c>
      <c r="AK242" s="55">
        <f>IF($B242=$B241,$AK241,0)+$AJ242</f>
        <v/>
      </c>
      <c r="AL242" s="55">
        <f>$AL241+$AJ242</f>
        <v/>
      </c>
      <c r="AM242" s="55">
        <f>SUMIFS(tblMiningDaily[Drill_m],tblMiningDaily[Date],$A242)</f>
        <v/>
      </c>
      <c r="AN242" s="55">
        <f>IF($B242=$B241,$AN241,0)+$AM242</f>
        <v/>
      </c>
      <c r="AO242" s="55">
        <f>$AO241+$AM242</f>
        <v/>
      </c>
      <c r="AP242" s="55">
        <f>SUMIFS(tblMiningDaily[GC_Drill_m],tblMiningDaily[Date],$A242)</f>
        <v/>
      </c>
      <c r="AQ242" s="55">
        <f>IF($B242=$B241,$AQ241,0)+$AP242</f>
        <v/>
      </c>
      <c r="AR242" s="55">
        <f>$AR241+$AP242</f>
        <v/>
      </c>
      <c r="AS242" s="55">
        <f>SUMIFS(tblMiningDaily[Blast_t],tblMiningDaily[Date],$A242)</f>
        <v/>
      </c>
      <c r="AT242" s="55">
        <f>IF($B242=$B241,$AT241,0)+$AS242</f>
        <v/>
      </c>
      <c r="AU242" s="55">
        <f>$AU241+$AS242</f>
        <v/>
      </c>
      <c r="AV242" s="55">
        <f>SUMIFS(tblMiningDaily[Explosives_kg],tblMiningDaily[Date],$A242)</f>
        <v/>
      </c>
      <c r="AW242" s="55">
        <f>IF($B242=$B241,$AW241,0)+$AV242</f>
        <v/>
      </c>
      <c r="AX242" s="55">
        <f>$AX241+$AV242</f>
        <v/>
      </c>
      <c r="AY242" s="56">
        <f>IFERROR(IF(($AS242)&gt;0,($AV242)/($AS242),""),"")</f>
        <v/>
      </c>
      <c r="AZ242" s="56">
        <f>IFERROR(IF(($AT242)&gt;0,($AW242)/($AT242),""),"")</f>
        <v/>
      </c>
      <c r="BA242" s="56">
        <f>IFERROR(IF(($AU242)&gt;0,($AX242)/($AU242),""),"")</f>
        <v/>
      </c>
      <c r="BB242" s="55">
        <f>SUMIFS(tblMiningDaily[Diesel_L],tblMiningDaily[Date],$A242)</f>
        <v/>
      </c>
      <c r="BC242" s="55">
        <f>IF($B242=$B241,$BC241,0)+$BB242</f>
        <v/>
      </c>
      <c r="BD242" s="55">
        <f>$BD241+$BB242</f>
        <v/>
      </c>
      <c r="BE242" s="55">
        <f>SUMIFS(tblMiningDaily[Dewatering_m3],tblMiningDaily[Date],$A242)</f>
        <v/>
      </c>
      <c r="BF242" s="55">
        <f>IF($B242=$B241,$BF241,0)+$BE242</f>
        <v/>
      </c>
      <c r="BG242" s="55">
        <f>$BG241+$BE242</f>
        <v/>
      </c>
      <c r="BH242" s="57">
        <f>SUMIFS(tblFleet[Calendar_h],tblFleet[Date],$A242,tblFleet[Equipment_Class],"Excavator")</f>
        <v/>
      </c>
      <c r="BI242" s="57">
        <f>IF($B242=$B241,$BI241,0)+$BH242</f>
        <v/>
      </c>
      <c r="BJ242" s="57">
        <f>$BJ241+$BH242</f>
        <v/>
      </c>
      <c r="BK242" s="57">
        <f>SUMIFS(tblFleet[Available_h],tblFleet[Date],$A242,tblFleet[Equipment_Class],"Excavator")</f>
        <v/>
      </c>
      <c r="BL242" s="57">
        <f>IF($B242=$B241,$BL241,0)+$BK242</f>
        <v/>
      </c>
      <c r="BM242" s="57">
        <f>$BM241+$BK242</f>
        <v/>
      </c>
      <c r="BN242" s="57">
        <f>SUMIFS(tblFleet[Operating_h],tblFleet[Date],$A242,tblFleet[Equipment_Class],"Excavator")</f>
        <v/>
      </c>
      <c r="BO242" s="57">
        <f>IF($B242=$B241,$BO241,0)+$BN242</f>
        <v/>
      </c>
      <c r="BP242" s="57">
        <f>$BP241+$BN242</f>
        <v/>
      </c>
      <c r="BQ242" s="67">
        <f>IFERROR(IF(($BH242)&gt;0,($BK242)/($BH242),""),"")</f>
        <v/>
      </c>
      <c r="BR242" s="67">
        <f>IFERROR(IF(($BI242)&gt;0,($BL242)/($BI242),""),"")</f>
        <v/>
      </c>
      <c r="BS242" s="67">
        <f>IFERROR(IF(($BJ242)&gt;0,($BM242)/($BJ242),""),"")</f>
        <v/>
      </c>
      <c r="BT242" s="67">
        <f>IFERROR(IF(($BK242)&gt;0,($BN242)/($BK242),""),"")</f>
        <v/>
      </c>
      <c r="BU242" s="67">
        <f>IFERROR(IF(($BL242)&gt;0,($BO242)/($BL242),""),"")</f>
        <v/>
      </c>
      <c r="BV242" s="67">
        <f>IFERROR(IF(($BM242)&gt;0,($BP242)/($BM242),""),"")</f>
        <v/>
      </c>
      <c r="BW242" s="57">
        <f>SUMIFS(tblFleet[Calendar_h],tblFleet[Date],$A242,tblFleet[Equipment_Class],"Haul Truck")</f>
        <v/>
      </c>
      <c r="BX242" s="57">
        <f>IF($B242=$B241,$BX241,0)+$BW242</f>
        <v/>
      </c>
      <c r="BY242" s="57">
        <f>$BY241+$BW242</f>
        <v/>
      </c>
      <c r="BZ242" s="57">
        <f>SUMIFS(tblFleet[Available_h],tblFleet[Date],$A242,tblFleet[Equipment_Class],"Haul Truck")</f>
        <v/>
      </c>
      <c r="CA242" s="57">
        <f>IF($B242=$B241,$CA241,0)+$BZ242</f>
        <v/>
      </c>
      <c r="CB242" s="57">
        <f>$CB241+$BZ242</f>
        <v/>
      </c>
      <c r="CC242" s="57">
        <f>SUMIFS(tblFleet[Operating_h],tblFleet[Date],$A242,tblFleet[Equipment_Class],"Haul Truck")</f>
        <v/>
      </c>
      <c r="CD242" s="57">
        <f>IF($B242=$B241,$CD241,0)+$CC242</f>
        <v/>
      </c>
      <c r="CE242" s="57">
        <f>$CE241+$CC242</f>
        <v/>
      </c>
      <c r="CF242" s="67">
        <f>IFERROR(IF(($BW242)&gt;0,($BZ242)/($BW242),""),"")</f>
        <v/>
      </c>
      <c r="CG242" s="67">
        <f>IFERROR(IF(($BX242)&gt;0,($CA242)/($BX242),""),"")</f>
        <v/>
      </c>
      <c r="CH242" s="67">
        <f>IFERROR(IF(($BY242)&gt;0,($CB242)/($BY242),""),"")</f>
        <v/>
      </c>
      <c r="CI242" s="67">
        <f>IFERROR(IF(($BZ242)&gt;0,($CC242)/($BZ242),""),"")</f>
        <v/>
      </c>
      <c r="CJ242" s="67">
        <f>IFERROR(IF(($CA242)&gt;0,($CD242)/($CA242),""),"")</f>
        <v/>
      </c>
      <c r="CK242" s="67">
        <f>IFERROR(IF(($CB242)&gt;0,($CE242)/($CB242),""),"")</f>
        <v/>
      </c>
      <c r="CL242" s="55">
        <f>IFERROR(IF(($BN242)&gt;0,($X242+$AD242)/($BN242),""),"")</f>
        <v/>
      </c>
      <c r="CM242" s="55">
        <f>IFERROR(IF(($BO242)&gt;0,($Y242+$AE242)/($BO242),""),"")</f>
        <v/>
      </c>
      <c r="CN242" s="55">
        <f>IFERROR(IF(($BP242)&gt;0,($Z242+$AF242)/($BP242),""),"")</f>
        <v/>
      </c>
      <c r="CO242" s="55">
        <f>IFERROR(IF(($CC242)&gt;0,($X242+$AD242)/($CC242),""),"")</f>
        <v/>
      </c>
      <c r="CP242" s="55">
        <f>IFERROR(IF(($CD242)&gt;0,($Y242+$AE242)/($CD242),""),"")</f>
        <v/>
      </c>
      <c r="CQ242" s="55">
        <f>IFERROR(IF(($CE242)&gt;0,($Z242+$AF242)/($CE242),""),"")</f>
        <v/>
      </c>
      <c r="CR242" s="55">
        <f>SUMIFS(tblPlant[Crushed_t],tblPlant[Date],$A242)</f>
        <v/>
      </c>
      <c r="CS242" s="55">
        <f>IF($B242=$B241,$CS241,0)+$CR242</f>
        <v/>
      </c>
      <c r="CT242" s="55">
        <f>$CT241+$CR242</f>
        <v/>
      </c>
      <c r="CU242" s="55">
        <f>SUMIFS(tblPlant[Milled_t],tblPlant[Date],$A242)</f>
        <v/>
      </c>
      <c r="CV242" s="55">
        <f>IF($B242=$B241,$CV241,0)+$CU242</f>
        <v/>
      </c>
      <c r="CW242" s="55">
        <f>$CW241+$CU242</f>
        <v/>
      </c>
      <c r="CX242" s="55">
        <f>SUMIFS(tblPlant[Feed_oz],tblPlant[Date],$A242)</f>
        <v/>
      </c>
      <c r="CY242" s="55">
        <f>IF($B242=$B241,$CY241,0)+$CX242</f>
        <v/>
      </c>
      <c r="CZ242" s="55">
        <f>$CZ241+$CX242</f>
        <v/>
      </c>
      <c r="DA242" s="55">
        <f>SUMIFS(tblPlant[Tails_oz],tblPlant[Date],$A242)</f>
        <v/>
      </c>
      <c r="DB242" s="55">
        <f>IF($B242=$B241,$DB241,0)+$DA242</f>
        <v/>
      </c>
      <c r="DC242" s="55">
        <f>$DC241+$DA242</f>
        <v/>
      </c>
      <c r="DD242" s="55">
        <f>SUMIFS(tblPlant[Recovered_oz],tblPlant[Date],$A242)</f>
        <v/>
      </c>
      <c r="DE242" s="55">
        <f>IF($B242=$B241,$DE241,0)+$DD242</f>
        <v/>
      </c>
      <c r="DF242" s="55">
        <f>$DF241+$DD242</f>
        <v/>
      </c>
      <c r="DG242" s="55">
        <f>SUMIFS(tblPlant[Milled_t],tblPlant[Date],$A242,tblPlant[Head_Grade_gpt],"&lt;&gt;")</f>
        <v/>
      </c>
      <c r="DH242" s="55">
        <f>IF($B242=$B241,$DH241,0)+$DG242</f>
        <v/>
      </c>
      <c r="DI242" s="55">
        <f>$DI241+$DG242</f>
        <v/>
      </c>
      <c r="DJ242" s="55">
        <f>SUMIFS(tblPlant[Milled_t],tblPlant[Date],$A242,tblPlant[Tails_Grade_gpt],"&lt;&gt;")</f>
        <v/>
      </c>
      <c r="DK242" s="55">
        <f>IF($B242=$B241,$DK241,0)+$DJ242</f>
        <v/>
      </c>
      <c r="DL242" s="55">
        <f>$DL241+$DJ242</f>
        <v/>
      </c>
      <c r="DM242" s="55">
        <f>SUMIFS(tblPlant[Feed_oz],tblPlant[Date],$A242,tblPlant[Tails_Grade_gpt],"&lt;&gt;")</f>
        <v/>
      </c>
      <c r="DN242" s="55">
        <f>IF($B242=$B241,$DN241,0)+$DM242</f>
        <v/>
      </c>
      <c r="DO242" s="55">
        <f>$DO241+$DM242</f>
        <v/>
      </c>
      <c r="DP242" s="55">
        <f>SUMIFS(tblPlant[Milled_t],tblPlant[Date],$A242,tblPlant[Mill_Run_h],"&lt;&gt;")</f>
        <v/>
      </c>
      <c r="DQ242" s="55">
        <f>IF($B242=$B241,$DQ241,0)+$DP242</f>
        <v/>
      </c>
      <c r="DR242" s="55">
        <f>$DR241+$DP242</f>
        <v/>
      </c>
      <c r="DS242" s="56">
        <f>IFERROR(IF(($DG242)&gt;0,($CX242*cfg_TroyOz)/($DG242),""),"")</f>
        <v/>
      </c>
      <c r="DT242" s="56">
        <f>IFERROR(IF(($DH242)&gt;0,($CY242*cfg_TroyOz)/($DH242),""),"")</f>
        <v/>
      </c>
      <c r="DU242" s="56">
        <f>IFERROR(IF(($DI242)&gt;0,($CZ242*cfg_TroyOz)/($DI242),""),"")</f>
        <v/>
      </c>
      <c r="DV242" s="56">
        <f>IFERROR(IF(($DJ242)&gt;0,($DA242*cfg_TroyOz)/($DJ242),""),"")</f>
        <v/>
      </c>
      <c r="DW242" s="56">
        <f>IFERROR(IF(($DK242)&gt;0,($DB242*cfg_TroyOz)/($DK242),""),"")</f>
        <v/>
      </c>
      <c r="DX242" s="56">
        <f>IFERROR(IF(($DL242)&gt;0,($DC242*cfg_TroyOz)/($DL242),""),"")</f>
        <v/>
      </c>
      <c r="DY242" s="67">
        <f>IFERROR(IF(($DM242)&gt;0,($DD242)/($DM242),""),"")</f>
        <v/>
      </c>
      <c r="DZ242" s="67">
        <f>IFERROR(IF(($DN242)&gt;0,($DE242)/($DN242),""),"")</f>
        <v/>
      </c>
      <c r="EA242" s="67">
        <f>IFERROR(IF(($DO242)&gt;0,($DF242)/($DO242),""),"")</f>
        <v/>
      </c>
      <c r="EB242" s="55">
        <f>SUMIFS(tblPlant[Gravity_Gold_oz],tblPlant[Date],$A242)</f>
        <v/>
      </c>
      <c r="EC242" s="55">
        <f>IF($B242=$B241,$EC241,0)+$EB242</f>
        <v/>
      </c>
      <c r="ED242" s="55">
        <f>$ED241+$EB242</f>
        <v/>
      </c>
      <c r="EE242" s="67">
        <f>IFERROR(IF(($DD242)&gt;0,($EB242)/($DD242),""),"")</f>
        <v/>
      </c>
      <c r="EF242" s="67">
        <f>IFERROR(IF(($DE242)&gt;0,($EC242)/($DE242),""),"")</f>
        <v/>
      </c>
      <c r="EG242" s="67">
        <f>IFERROR(IF(($DF242)&gt;0,($ED242)/($DF242),""),"")</f>
        <v/>
      </c>
      <c r="EH242" s="55">
        <f>SUMIFS(tblPlant[Gold_Poured_oz],tblPlant[Date],$A242)</f>
        <v/>
      </c>
      <c r="EI242" s="55">
        <f>IF($B242=$B241,$EI241,0)+$EH242</f>
        <v/>
      </c>
      <c r="EJ242" s="55">
        <f>$EJ241+$EH242</f>
        <v/>
      </c>
      <c r="EK242" s="57">
        <f>SUMIFS(tblPlant[Mill_Run_h],tblPlant[Date],$A242)</f>
        <v/>
      </c>
      <c r="EL242" s="57">
        <f>IF($B242=$B241,$EL241,0)+$EK242</f>
        <v/>
      </c>
      <c r="EM242" s="57">
        <f>$EM241+$EK242</f>
        <v/>
      </c>
      <c r="EN242" s="57">
        <f>SUMIFS(tblPlant[Mill_Planned_Maint_h],tblPlant[Date],$A242)</f>
        <v/>
      </c>
      <c r="EO242" s="57">
        <f>IF($B242=$B241,$EO241,0)+$EN242</f>
        <v/>
      </c>
      <c r="EP242" s="57">
        <f>$EP241+$EN242</f>
        <v/>
      </c>
      <c r="EQ242" s="57">
        <f>SUMIFS(tblPlant[Mill_Unplanned_Down_h],tblPlant[Date],$A242)</f>
        <v/>
      </c>
      <c r="ER242" s="57">
        <f>IF($B242=$B241,$ER241,0)+$EQ242</f>
        <v/>
      </c>
      <c r="ES242" s="57">
        <f>$ES241+$EQ242</f>
        <v/>
      </c>
      <c r="ET242" s="57">
        <f>IF(COUNTIFS(tblPlant[Date],$A242,tblPlant[Mill_Run_h],"&lt;&gt;")+COUNTIFS(tblPlant[Date],$A242,tblPlant[Mill_Planned_Maint_h],"&lt;&gt;")+COUNTIFS(tblPlant[Date],$A242,tblPlant[Mill_Unplanned_Down_h],"&lt;&gt;")&gt;0,cfg_HoursPerDay,0)</f>
        <v/>
      </c>
      <c r="EU242" s="57">
        <f>IF($B242=$B241,$EU241,0)+$ET242</f>
        <v/>
      </c>
      <c r="EV242" s="57">
        <f>$EV241+$ET242</f>
        <v/>
      </c>
      <c r="EW242" s="57">
        <f>SUMIFS(tblPlant[Crusher_Run_h],tblPlant[Date],$A242)</f>
        <v/>
      </c>
      <c r="EX242" s="57">
        <f>IF($B242=$B241,$EX241,0)+$EW242</f>
        <v/>
      </c>
      <c r="EY242" s="57">
        <f>$EY241+$EW242</f>
        <v/>
      </c>
      <c r="EZ242" s="55">
        <f>IFERROR(IF(($EK242)&gt;0,($DP242)/($EK242),""),"")</f>
        <v/>
      </c>
      <c r="FA242" s="55">
        <f>IFERROR(IF(($EL242)&gt;0,($DQ242)/($EL242),""),"")</f>
        <v/>
      </c>
      <c r="FB242" s="55">
        <f>IFERROR(IF(($EM242)&gt;0,($DR242)/($EM242),""),"")</f>
        <v/>
      </c>
      <c r="FC242" s="67">
        <f>IFERROR(IF(($ET242)&gt;0,($ET242-$EN242-$EQ242)/($ET242),""),"")</f>
        <v/>
      </c>
      <c r="FD242" s="67">
        <f>IFERROR(IF(($EU242)&gt;0,($EU242-$EO242-$ER242)/($EU242),""),"")</f>
        <v/>
      </c>
      <c r="FE242" s="67">
        <f>IFERROR(IF(($EV242)&gt;0,($EV242-$EP242-$ES242)/($EV242),""),"")</f>
        <v/>
      </c>
      <c r="FF242" s="67">
        <f>IFERROR(IF(($ET242-$EN242-$EQ242)&gt;0,($EK242)/($ET242-$EN242-$EQ242),""),"")</f>
        <v/>
      </c>
      <c r="FG242" s="67">
        <f>IFERROR(IF(($EU242-$EO242-$ER242)&gt;0,($EL242)/($EU242-$EO242-$ER242),""),"")</f>
        <v/>
      </c>
      <c r="FH242" s="67">
        <f>IFERROR(IF(($EV242-$EP242-$ES242)&gt;0,($EM242)/($EV242-$EP242-$ES242),""),"")</f>
        <v/>
      </c>
      <c r="FI242" s="55">
        <f>SUMIFS(tblPlant[Cyanide_kg],tblPlant[Date],$A242)</f>
        <v/>
      </c>
      <c r="FJ242" s="55">
        <f>IF($B242=$B241,$FJ241,0)+$FI242</f>
        <v/>
      </c>
      <c r="FK242" s="55">
        <f>$FK241+$FI242</f>
        <v/>
      </c>
      <c r="FL242" s="55">
        <f>SUMIFS(tblPlant[Lime_kg],tblPlant[Date],$A242)</f>
        <v/>
      </c>
      <c r="FM242" s="55">
        <f>IF($B242=$B241,$FM241,0)+$FL242</f>
        <v/>
      </c>
      <c r="FN242" s="55">
        <f>$FN241+$FL242</f>
        <v/>
      </c>
      <c r="FO242" s="55">
        <f>SUMIFS(tblPlant[Grinding_Media_kg],tblPlant[Date],$A242)</f>
        <v/>
      </c>
      <c r="FP242" s="55">
        <f>IF($B242=$B241,$FP241,0)+$FO242</f>
        <v/>
      </c>
      <c r="FQ242" s="55">
        <f>$FQ241+$FO242</f>
        <v/>
      </c>
      <c r="FR242" s="55">
        <f>SUMIFS(tblPlant[Power_kWh],tblPlant[Date],$A242)</f>
        <v/>
      </c>
      <c r="FS242" s="55">
        <f>IF($B242=$B241,$FS241,0)+$FR242</f>
        <v/>
      </c>
      <c r="FT242" s="55">
        <f>$FT241+$FR242</f>
        <v/>
      </c>
      <c r="FU242" s="55">
        <f>SUMIFS(tblPlant[Raw_Water_m3],tblPlant[Date],$A242)</f>
        <v/>
      </c>
      <c r="FV242" s="55">
        <f>IF($B242=$B241,$FV241,0)+$FU242</f>
        <v/>
      </c>
      <c r="FW242" s="55">
        <f>$FW241+$FU242</f>
        <v/>
      </c>
      <c r="FX242" s="56">
        <f>IFERROR(IF(($CU242)&gt;0,($FI242)/($CU242),""),"")</f>
        <v/>
      </c>
      <c r="FY242" s="56">
        <f>IFERROR(IF(($CV242)&gt;0,($FJ242)/($CV242),""),"")</f>
        <v/>
      </c>
      <c r="FZ242" s="56">
        <f>IFERROR(IF(($CW242)&gt;0,($FK242)/($CW242),""),"")</f>
        <v/>
      </c>
      <c r="GA242" s="56">
        <f>IFERROR(IF(($CU242)&gt;0,($FL242)/($CU242),""),"")</f>
        <v/>
      </c>
      <c r="GB242" s="56">
        <f>IFERROR(IF(($CV242)&gt;0,($FM242)/($CV242),""),"")</f>
        <v/>
      </c>
      <c r="GC242" s="56">
        <f>IFERROR(IF(($CW242)&gt;0,($FN242)/($CW242),""),"")</f>
        <v/>
      </c>
      <c r="GD242" s="56">
        <f>IFERROR(IF(($CU242)&gt;0,($FO242)/($CU242),""),"")</f>
        <v/>
      </c>
      <c r="GE242" s="56">
        <f>IFERROR(IF(($CV242)&gt;0,($FP242)/($CV242),""),"")</f>
        <v/>
      </c>
      <c r="GF242" s="56">
        <f>IFERROR(IF(($CW242)&gt;0,($FQ242)/($CW242),""),"")</f>
        <v/>
      </c>
      <c r="GG242" s="79">
        <f>IFERROR(IF(($CU242)&gt;0,($FR242)/($CU242),""),"")</f>
        <v/>
      </c>
      <c r="GH242" s="79">
        <f>IFERROR(IF(($CV242)&gt;0,($FS242)/($CV242),""),"")</f>
        <v/>
      </c>
      <c r="GI242" s="79">
        <f>IFERROR(IF(($CW242)&gt;0,($FT242)/($CW242),""),"")</f>
        <v/>
      </c>
      <c r="GJ242" s="56">
        <f>IFERROR(IF(($CU242)&gt;0,($FU242)/($CU242),""),"")</f>
        <v/>
      </c>
      <c r="GK242" s="56">
        <f>IFERROR(IF(($CV242)&gt;0,($FV242)/($CV242),""),"")</f>
        <v/>
      </c>
      <c r="GL242" s="56">
        <f>IFERROR(IF(($CW242)&gt;0,($FW242)/($CW242),""),"")</f>
        <v/>
      </c>
      <c r="GM242" s="55">
        <f>IF(SUMIFS(tblPlant[GIC_oz],tblPlant[Date],$A242)&gt;0,SUMIFS(tblPlant[GIC_oz],tblPlant[Date],$A242),"")</f>
        <v/>
      </c>
      <c r="GN242" s="55">
        <f>SUMIFS(tblGold[Gold_oz],tblGold[Date],$A242,tblGold[Type],"Shipment")</f>
        <v/>
      </c>
      <c r="GO242" s="55">
        <f>IF($B242=$B241,$GO241,0)+$GN242</f>
        <v/>
      </c>
      <c r="GP242" s="55">
        <f>$GP241+$GN242</f>
        <v/>
      </c>
      <c r="GQ242" s="55">
        <f>SUMIFS(tblGold[Gold_oz],tblGold[Date],$A242,tblGold[Type],"Sale")</f>
        <v/>
      </c>
      <c r="GR242" s="55">
        <f>IF($B242=$B241,$GR241,0)+$GQ242</f>
        <v/>
      </c>
      <c r="GS242" s="55">
        <f>$GS241+$GQ242</f>
        <v/>
      </c>
      <c r="GT242" s="55">
        <f>SUMIFS(tblGold[Dore_kg],tblGold[Date],$A242,tblGold[Type],"Shipment")</f>
        <v/>
      </c>
      <c r="GU242" s="55">
        <f>IF($B242=$B241,$GU241,0)+$GT242</f>
        <v/>
      </c>
      <c r="GV242" s="55">
        <f>$GV241+$GT242</f>
        <v/>
      </c>
      <c r="GW242" s="57">
        <f>SUMIFS(tblSafety[Hours_Total],tblSafety[Date],$A242)</f>
        <v/>
      </c>
      <c r="GX242" s="57">
        <f>IF($B242=$B241,$GX241,0)+$GW242</f>
        <v/>
      </c>
      <c r="GY242" s="57">
        <f>$GY241+$GW242</f>
        <v/>
      </c>
      <c r="GZ242" s="62">
        <f>SUMIFS(tblSafety[Fatality],tblSafety[Date],$A242)</f>
        <v/>
      </c>
      <c r="HA242" s="62">
        <f>IF($B242=$B241,$HA241,0)+$GZ242</f>
        <v/>
      </c>
      <c r="HB242" s="62">
        <f>$HB241+$GZ242</f>
        <v/>
      </c>
      <c r="HC242" s="62">
        <f>SUMIFS(tblSafety[LTI],tblSafety[Date],$A242)</f>
        <v/>
      </c>
      <c r="HD242" s="62">
        <f>IF($B242=$B241,$HD241,0)+$HC242</f>
        <v/>
      </c>
      <c r="HE242" s="62">
        <f>$HE241+$HC242</f>
        <v/>
      </c>
      <c r="HF242" s="62">
        <f>SUMIFS(tblSafety[RWI],tblSafety[Date],$A242)</f>
        <v/>
      </c>
      <c r="HG242" s="62">
        <f>IF($B242=$B241,$HG241,0)+$HF242</f>
        <v/>
      </c>
      <c r="HH242" s="62">
        <f>$HH241+$HF242</f>
        <v/>
      </c>
      <c r="HI242" s="62">
        <f>SUMIFS(tblSafety[MTI],tblSafety[Date],$A242)</f>
        <v/>
      </c>
      <c r="HJ242" s="62">
        <f>IF($B242=$B241,$HJ241,0)+$HI242</f>
        <v/>
      </c>
      <c r="HK242" s="62">
        <f>$HK241+$HI242</f>
        <v/>
      </c>
      <c r="HL242" s="62">
        <f>SUMIFS(tblSafety[FAI],tblSafety[Date],$A242)</f>
        <v/>
      </c>
      <c r="HM242" s="62">
        <f>IF($B242=$B241,$HM241,0)+$HL242</f>
        <v/>
      </c>
      <c r="HN242" s="62">
        <f>$HN241+$HL242</f>
        <v/>
      </c>
      <c r="HO242" s="62">
        <f>SUMIFS(tblSafety[Recordables],tblSafety[Date],$A242)</f>
        <v/>
      </c>
      <c r="HP242" s="62">
        <f>IF($B242=$B241,$HP241,0)+$HO242</f>
        <v/>
      </c>
      <c r="HQ242" s="62">
        <f>$HQ241+$HO242</f>
        <v/>
      </c>
      <c r="HR242" s="62">
        <f>SUMIFS(tblSafety[Near_Miss],tblSafety[Date],$A242)</f>
        <v/>
      </c>
      <c r="HS242" s="62">
        <f>IF($B242=$B241,$HS241,0)+$HR242</f>
        <v/>
      </c>
      <c r="HT242" s="62">
        <f>$HT241+$HR242</f>
        <v/>
      </c>
      <c r="HU242" s="62">
        <f>SUMIFS(tblSafety[Hazard_Reports],tblSafety[Date],$A242)</f>
        <v/>
      </c>
      <c r="HV242" s="62">
        <f>IF($B242=$B241,$HV241,0)+$HU242</f>
        <v/>
      </c>
      <c r="HW242" s="62">
        <f>$HW241+$HU242</f>
        <v/>
      </c>
      <c r="HX242" s="62">
        <f>SUMIFS(tblSafety[HPI],tblSafety[Date],$A242)</f>
        <v/>
      </c>
      <c r="HY242" s="62">
        <f>IF($B242=$B241,$HY241,0)+$HX242</f>
        <v/>
      </c>
      <c r="HZ242" s="62">
        <f>$HZ241+$HX242</f>
        <v/>
      </c>
      <c r="IA242" s="62">
        <f>SUMIFS(tblSafety[Env_Incidents],tblSafety[Date],$A242)</f>
        <v/>
      </c>
      <c r="IB242" s="62">
        <f>IF($B242=$B241,$IB241,0)+$IA242</f>
        <v/>
      </c>
      <c r="IC242" s="62">
        <f>$IC241+$IA242</f>
        <v/>
      </c>
      <c r="ID242" s="62">
        <f>SUMIFS(tblSafety[Community_Incidents],tblSafety[Date],$A242)</f>
        <v/>
      </c>
      <c r="IE242" s="62">
        <f>IF($B242=$B241,$IE241,0)+$ID242</f>
        <v/>
      </c>
      <c r="IF242" s="62">
        <f>$IF241+$ID242</f>
        <v/>
      </c>
      <c r="IG242" s="62">
        <f>SUMIFS(tblSafety[Vehicle_Incidents],tblSafety[Date],$A242)</f>
        <v/>
      </c>
      <c r="IH242" s="62">
        <f>IF($B242=$B241,$IH241,0)+$IG242</f>
        <v/>
      </c>
      <c r="II242" s="62">
        <f>$II241+$IG242</f>
        <v/>
      </c>
      <c r="IJ242" s="62">
        <f>SUMIFS(tblSafety[Toolbox_Talks],tblSafety[Date],$A242)</f>
        <v/>
      </c>
      <c r="IK242" s="62">
        <f>IF($B242=$B241,$IK241,0)+$IJ242</f>
        <v/>
      </c>
      <c r="IL242" s="62">
        <f>$IL241+$IJ242</f>
        <v/>
      </c>
      <c r="IM242" s="62">
        <f>SUMIFS(tblSafety[Inspections],tblSafety[Date],$A242)</f>
        <v/>
      </c>
      <c r="IN242" s="62">
        <f>IF($B242=$B241,$IN241,0)+$IM242</f>
        <v/>
      </c>
      <c r="IO242" s="62">
        <f>$IO241+$IM242</f>
        <v/>
      </c>
      <c r="IP242" s="56">
        <f>IFERROR((SUMIFS(tblSafety[Recordables],tblSafety[Date],"&gt;="&amp;EDATE($E242,-12),tblSafety[Date],"&lt;="&amp;$A242)+SUMIFS(tblSafetyHistory[Recordables],tblSafetyHistory[Month],"&gt;="&amp;EDATE($E242,-12),tblSafetyHistory[Month],"&lt;"&amp;$E242,tblSafetyHistory[Use],1))/(SUMIFS(tblSafety[Hours_Total],tblSafety[Date],"&gt;="&amp;EDATE($E242,-12),tblSafety[Date],"&lt;="&amp;$A242)+SUMIFS(tblSafetyHistory[Hours_Total],tblSafetyHistory[Month],"&gt;="&amp;EDATE($E242,-12),tblSafetyHistory[Month],"&lt;"&amp;$E242,tblSafetyHistory[Use],1))*cfg_RateBasisHours,"")</f>
        <v/>
      </c>
      <c r="IQ242" s="56">
        <f>IFERROR((SUMIFS(tblSafety[LTI],tblSafety[Date],"&gt;="&amp;EDATE($E242,-12),tblSafety[Date],"&lt;="&amp;$A242)+SUMIFS(tblSafetyHistory[LTI],tblSafetyHistory[Month],"&gt;="&amp;EDATE($E242,-12),tblSafetyHistory[Month],"&lt;"&amp;$E242,tblSafetyHistory[Use],1))/(SUMIFS(tblSafety[Hours_Total],tblSafety[Date],"&gt;="&amp;EDATE($E242,-12),tblSafety[Date],"&lt;="&amp;$A242)+SUMIFS(tblSafetyHistory[Hours_Total],tblSafetyHistory[Month],"&gt;="&amp;EDATE($E242,-12),tblSafetyHistory[Month],"&lt;"&amp;$E242,tblSafetyHistory[Use],1))*cfg_RateBasisHours,"")</f>
        <v/>
      </c>
      <c r="IR242" s="62">
        <f>IF(MAX(N(cfg_PriorLTIDate),_xlfn.MAXIFS(tblSafety[Date],tblSafety[LTI],"&gt;0",tblSafety[Date],"&lt;="&amp;$A242))=0,"",$A242-MAX(N(cfg_PriorLTIDate),_xlfn.MAXIFS(tblSafety[Date],tblSafety[LTI],"&gt;0",tblSafety[Date],"&lt;="&amp;$A242)))</f>
        <v/>
      </c>
      <c r="IS242" s="55">
        <f>SUMIFS(tblBudget[Ore_Mined_t],tblBudget[Month],$E242)</f>
        <v/>
      </c>
      <c r="IT242" s="55">
        <f>$IS242*$C242/$D242</f>
        <v/>
      </c>
      <c r="IU242" s="55">
        <f>SUMIFS(tblBudget[Ore_Mined_t],tblBudget[Month],"&lt;"&amp;$E242)+$IT242</f>
        <v/>
      </c>
      <c r="IV242" s="55">
        <f>SUMIFS(tblBudget[Ore_oz],tblBudget[Month],$E242)</f>
        <v/>
      </c>
      <c r="IW242" s="55">
        <f>$IV242*$C242/$D242</f>
        <v/>
      </c>
      <c r="IX242" s="55">
        <f>SUMIFS(tblBudget[Ore_oz],tblBudget[Month],"&lt;"&amp;$E242)+$IW242</f>
        <v/>
      </c>
      <c r="IY242" s="55">
        <f>SUMIFS(tblBudget[Ore_Mined_t],tblBudget[Month],$E242)</f>
        <v/>
      </c>
      <c r="IZ242" s="55">
        <f>$IY242*$C242/$D242</f>
        <v/>
      </c>
      <c r="JA242" s="55">
        <f>SUMIFS(tblBudget[Ore_Mined_t],tblBudget[Month],"&lt;"&amp;$E242)+$IZ242</f>
        <v/>
      </c>
      <c r="JB242" s="56">
        <f>IFERROR(IF(($IY242)&gt;0,($IV242*cfg_TroyOz)/($IY242),""),"")</f>
        <v/>
      </c>
      <c r="JC242" s="56">
        <f>IFERROR(IF(($IZ242)&gt;0,($IW242*cfg_TroyOz)/($IZ242),""),"")</f>
        <v/>
      </c>
      <c r="JD242" s="56">
        <f>IFERROR(IF(($JA242)&gt;0,($IX242*cfg_TroyOz)/($JA242),""),"")</f>
        <v/>
      </c>
      <c r="JE242" s="55">
        <f>SUMIFS(tblBudget[Waste_t],tblBudget[Month],$E242)</f>
        <v/>
      </c>
      <c r="JF242" s="55">
        <f>$JE242*$C242/$D242</f>
        <v/>
      </c>
      <c r="JG242" s="55">
        <f>SUMIFS(tblBudget[Waste_t],tblBudget[Month],"&lt;"&amp;$E242)+$JF242</f>
        <v/>
      </c>
      <c r="JH242" s="55">
        <f>SUMIFS(tblBudget[TMM_t],tblBudget[Month],$E242)</f>
        <v/>
      </c>
      <c r="JI242" s="55">
        <f>$JH242*$C242/$D242</f>
        <v/>
      </c>
      <c r="JJ242" s="55">
        <f>SUMIFS(tblBudget[TMM_t],tblBudget[Month],"&lt;"&amp;$E242)+$JI242</f>
        <v/>
      </c>
      <c r="JK242" s="56">
        <f>IFERROR(IF(($IS242)&gt;0,($JE242)/($IS242),""),"")</f>
        <v/>
      </c>
      <c r="JL242" s="56">
        <f>IFERROR(IF(($IT242)&gt;0,($JF242)/($IT242),""),"")</f>
        <v/>
      </c>
      <c r="JM242" s="56">
        <f>IFERROR(IF(($IU242)&gt;0,($JG242)/($IU242),""),"")</f>
        <v/>
      </c>
      <c r="JN242" s="55">
        <f>SUMIFS(tblBudget[Drill_m],tblBudget[Month],$E242)</f>
        <v/>
      </c>
      <c r="JO242" s="55">
        <f>$JN242*$C242/$D242</f>
        <v/>
      </c>
      <c r="JP242" s="55">
        <f>SUMIFS(tblBudget[Drill_m],tblBudget[Month],"&lt;"&amp;$E242)+$JO242</f>
        <v/>
      </c>
      <c r="JQ242" s="55">
        <f>SUMIFS(tblBudget[Diesel_L],tblBudget[Month],$E242)</f>
        <v/>
      </c>
      <c r="JR242" s="55">
        <f>$JQ242*$C242/$D242</f>
        <v/>
      </c>
      <c r="JS242" s="55">
        <f>SUMIFS(tblBudget[Diesel_L],tblBudget[Month],"&lt;"&amp;$E242)+$JR242</f>
        <v/>
      </c>
      <c r="JT242" s="55">
        <f>SUMIFS(tblBudget[Milled_t],tblBudget[Month],$E242)</f>
        <v/>
      </c>
      <c r="JU242" s="55">
        <f>$JT242*$C242/$D242</f>
        <v/>
      </c>
      <c r="JV242" s="55">
        <f>SUMIFS(tblBudget[Milled_t],tblBudget[Month],"&lt;"&amp;$E242)+$JU242</f>
        <v/>
      </c>
      <c r="JW242" s="55">
        <f>SUMIFS(tblBudget[Feed_oz],tblBudget[Month],$E242)</f>
        <v/>
      </c>
      <c r="JX242" s="55">
        <f>$JW242*$C242/$D242</f>
        <v/>
      </c>
      <c r="JY242" s="55">
        <f>SUMIFS(tblBudget[Feed_oz],tblBudget[Month],"&lt;"&amp;$E242)+$JX242</f>
        <v/>
      </c>
      <c r="JZ242" s="55">
        <f>SUMIFS(tblBudget[Recovered_oz],tblBudget[Month],$E242)</f>
        <v/>
      </c>
      <c r="KA242" s="55">
        <f>$JZ242*$C242/$D242</f>
        <v/>
      </c>
      <c r="KB242" s="55">
        <f>SUMIFS(tblBudget[Recovered_oz],tblBudget[Month],"&lt;"&amp;$E242)+$KA242</f>
        <v/>
      </c>
      <c r="KC242" s="55">
        <f>SUMIFS(tblBudget[Milled_t],tblBudget[Month],$E242)</f>
        <v/>
      </c>
      <c r="KD242" s="55">
        <f>$KC242*$C242/$D242</f>
        <v/>
      </c>
      <c r="KE242" s="55">
        <f>SUMIFS(tblBudget[Milled_t],tblBudget[Month],"&lt;"&amp;$E242)+$KD242</f>
        <v/>
      </c>
      <c r="KF242" s="55">
        <f>SUMIFS(tblBudget[Feed_oz],tblBudget[Month],$E242)</f>
        <v/>
      </c>
      <c r="KG242" s="55">
        <f>$KF242*$C242/$D242</f>
        <v/>
      </c>
      <c r="KH242" s="55">
        <f>SUMIFS(tblBudget[Feed_oz],tblBudget[Month],"&lt;"&amp;$E242)+$KG242</f>
        <v/>
      </c>
      <c r="KI242" s="56">
        <f>IFERROR(IF(($KC242)&gt;0,($JW242*cfg_TroyOz)/($KC242),""),"")</f>
        <v/>
      </c>
      <c r="KJ242" s="56">
        <f>IFERROR(IF(($KD242)&gt;0,($JX242*cfg_TroyOz)/($KD242),""),"")</f>
        <v/>
      </c>
      <c r="KK242" s="56">
        <f>IFERROR(IF(($KE242)&gt;0,($JY242*cfg_TroyOz)/($KE242),""),"")</f>
        <v/>
      </c>
      <c r="KL242" s="67">
        <f>IFERROR(IF(($KF242)&gt;0,($JZ242)/($KF242),""),"")</f>
        <v/>
      </c>
      <c r="KM242" s="67">
        <f>IFERROR(IF(($KG242)&gt;0,($KA242)/($KG242),""),"")</f>
        <v/>
      </c>
      <c r="KN242" s="67">
        <f>IFERROR(IF(($KH242)&gt;0,($KB242)/($KH242),""),"")</f>
        <v/>
      </c>
      <c r="KO242" s="55">
        <f>SUMIFS(tblBudget[Gold_Poured_oz],tblBudget[Month],$E242)</f>
        <v/>
      </c>
      <c r="KP242" s="55">
        <f>$KO242*$C242/$D242</f>
        <v/>
      </c>
      <c r="KQ242" s="55">
        <f>SUMIFS(tblBudget[Gold_Poured_oz],tblBudget[Month],"&lt;"&amp;$E242)+$KP242</f>
        <v/>
      </c>
      <c r="KR242" s="57">
        <f>SUMIFS(tblBudget[Hours_Worked],tblBudget[Month],$E242)</f>
        <v/>
      </c>
      <c r="KS242" s="57">
        <f>$KR242*$C242/$D242</f>
        <v/>
      </c>
      <c r="KT242" s="57">
        <f>SUMIFS(tblBudget[Hours_Worked],tblBudget[Month],"&lt;"&amp;$E242)+$KS242</f>
        <v/>
      </c>
    </row>
    <row r="243">
      <c r="A243" s="54" t="n">
        <v>46264</v>
      </c>
      <c r="B243">
        <f>MONTH($A243)</f>
        <v/>
      </c>
      <c r="C243">
        <f>DAY($A243)</f>
        <v/>
      </c>
      <c r="D243">
        <f>DAY(EOMONTH($A243,0))</f>
        <v/>
      </c>
      <c r="E243" s="54">
        <f>DATE(YEAR($A243),MONTH($A243),1)</f>
        <v/>
      </c>
      <c r="F243" s="55">
        <f>SUMIFS(tblMovement[Tonnes_t],tblMovement[Date],$A243,tblMovement[Is_Ore],1,tblMovement[Source_Type],"Pit")</f>
        <v/>
      </c>
      <c r="G243" s="55">
        <f>IF($B243=$B242,$G242,0)+$F243</f>
        <v/>
      </c>
      <c r="H243" s="55">
        <f>$H242+$F243</f>
        <v/>
      </c>
      <c r="I243" s="55">
        <f>SUMIFS(tblMovement[Ore_oz],tblMovement[Date],$A243,tblMovement[Source_Type],"Pit")</f>
        <v/>
      </c>
      <c r="J243" s="55">
        <f>IF($B243=$B242,$J242,0)+$I243</f>
        <v/>
      </c>
      <c r="K243" s="55">
        <f>$K242+$I243</f>
        <v/>
      </c>
      <c r="L243" s="55">
        <f>SUMIFS(tblMovement[Tonnes_t],tblMovement[Date],$A243,tblMovement[Is_Ore],1,tblMovement[Source_Type],"Pit",tblMovement[Grade_gpt],"&lt;&gt;")</f>
        <v/>
      </c>
      <c r="M243" s="55">
        <f>IF($B243=$B242,$M242,0)+$L243</f>
        <v/>
      </c>
      <c r="N243" s="55">
        <f>$N242+$L243</f>
        <v/>
      </c>
      <c r="O243" s="56">
        <f>IFERROR(IF(($L243)&gt;0,($I243*cfg_TroyOz)/($L243),""),"")</f>
        <v/>
      </c>
      <c r="P243" s="56">
        <f>IFERROR(IF(($M243)&gt;0,($J243*cfg_TroyOz)/($M243),""),"")</f>
        <v/>
      </c>
      <c r="Q243" s="56">
        <f>IFERROR(IF(($N243)&gt;0,($K243*cfg_TroyOz)/($N243),""),"")</f>
        <v/>
      </c>
      <c r="R243" s="55">
        <f>$F243-$L243</f>
        <v/>
      </c>
      <c r="S243" s="55">
        <f>IF($B243=$B242,$S242,0)+$R243</f>
        <v/>
      </c>
      <c r="T243" s="55">
        <f>$T242+$R243</f>
        <v/>
      </c>
      <c r="U243" s="55">
        <f>SUMIFS(tblMovement[Tonnes_t],tblMovement[Date],$A243,tblMovement[Is_Ore],0,tblMovement[Source_Type],"Pit")</f>
        <v/>
      </c>
      <c r="V243" s="55">
        <f>IF($B243=$B242,$V242,0)+$U243</f>
        <v/>
      </c>
      <c r="W243" s="55">
        <f>$W242+$U243</f>
        <v/>
      </c>
      <c r="X243" s="55">
        <f>$F243+$U243</f>
        <v/>
      </c>
      <c r="Y243" s="55">
        <f>IF($B243=$B242,$Y242,0)+$X243</f>
        <v/>
      </c>
      <c r="Z243" s="55">
        <f>$Z242+$X243</f>
        <v/>
      </c>
      <c r="AA243" s="56">
        <f>IFERROR(IF(($F243)&gt;0,($U243)/($F243),""),"")</f>
        <v/>
      </c>
      <c r="AB243" s="56">
        <f>IFERROR(IF(($G243)&gt;0,($V243)/($G243),""),"")</f>
        <v/>
      </c>
      <c r="AC243" s="56">
        <f>IFERROR(IF(($H243)&gt;0,($W243)/($H243),""),"")</f>
        <v/>
      </c>
      <c r="AD243" s="55">
        <f>SUMIFS(tblMovement[Tonnes_t],tblMovement[Date],$A243,tblMovement[Source_Type],"Stockpile")</f>
        <v/>
      </c>
      <c r="AE243" s="55">
        <f>IF($B243=$B242,$AE242,0)+$AD243</f>
        <v/>
      </c>
      <c r="AF243" s="55">
        <f>$AF242+$AD243</f>
        <v/>
      </c>
      <c r="AG243" s="55">
        <f>SUMIFS(tblMovement[Tonnes_t],tblMovement[Date],$A243)</f>
        <v/>
      </c>
      <c r="AH243" s="55">
        <f>IF($B243=$B242,$AH242,0)+$AG243</f>
        <v/>
      </c>
      <c r="AI243" s="55">
        <f>$AI242+$AG243</f>
        <v/>
      </c>
      <c r="AJ243" s="55">
        <f>$AG243-$X243-$AD243</f>
        <v/>
      </c>
      <c r="AK243" s="55">
        <f>IF($B243=$B242,$AK242,0)+$AJ243</f>
        <v/>
      </c>
      <c r="AL243" s="55">
        <f>$AL242+$AJ243</f>
        <v/>
      </c>
      <c r="AM243" s="55">
        <f>SUMIFS(tblMiningDaily[Drill_m],tblMiningDaily[Date],$A243)</f>
        <v/>
      </c>
      <c r="AN243" s="55">
        <f>IF($B243=$B242,$AN242,0)+$AM243</f>
        <v/>
      </c>
      <c r="AO243" s="55">
        <f>$AO242+$AM243</f>
        <v/>
      </c>
      <c r="AP243" s="55">
        <f>SUMIFS(tblMiningDaily[GC_Drill_m],tblMiningDaily[Date],$A243)</f>
        <v/>
      </c>
      <c r="AQ243" s="55">
        <f>IF($B243=$B242,$AQ242,0)+$AP243</f>
        <v/>
      </c>
      <c r="AR243" s="55">
        <f>$AR242+$AP243</f>
        <v/>
      </c>
      <c r="AS243" s="55">
        <f>SUMIFS(tblMiningDaily[Blast_t],tblMiningDaily[Date],$A243)</f>
        <v/>
      </c>
      <c r="AT243" s="55">
        <f>IF($B243=$B242,$AT242,0)+$AS243</f>
        <v/>
      </c>
      <c r="AU243" s="55">
        <f>$AU242+$AS243</f>
        <v/>
      </c>
      <c r="AV243" s="55">
        <f>SUMIFS(tblMiningDaily[Explosives_kg],tblMiningDaily[Date],$A243)</f>
        <v/>
      </c>
      <c r="AW243" s="55">
        <f>IF($B243=$B242,$AW242,0)+$AV243</f>
        <v/>
      </c>
      <c r="AX243" s="55">
        <f>$AX242+$AV243</f>
        <v/>
      </c>
      <c r="AY243" s="56">
        <f>IFERROR(IF(($AS243)&gt;0,($AV243)/($AS243),""),"")</f>
        <v/>
      </c>
      <c r="AZ243" s="56">
        <f>IFERROR(IF(($AT243)&gt;0,($AW243)/($AT243),""),"")</f>
        <v/>
      </c>
      <c r="BA243" s="56">
        <f>IFERROR(IF(($AU243)&gt;0,($AX243)/($AU243),""),"")</f>
        <v/>
      </c>
      <c r="BB243" s="55">
        <f>SUMIFS(tblMiningDaily[Diesel_L],tblMiningDaily[Date],$A243)</f>
        <v/>
      </c>
      <c r="BC243" s="55">
        <f>IF($B243=$B242,$BC242,0)+$BB243</f>
        <v/>
      </c>
      <c r="BD243" s="55">
        <f>$BD242+$BB243</f>
        <v/>
      </c>
      <c r="BE243" s="55">
        <f>SUMIFS(tblMiningDaily[Dewatering_m3],tblMiningDaily[Date],$A243)</f>
        <v/>
      </c>
      <c r="BF243" s="55">
        <f>IF($B243=$B242,$BF242,0)+$BE243</f>
        <v/>
      </c>
      <c r="BG243" s="55">
        <f>$BG242+$BE243</f>
        <v/>
      </c>
      <c r="BH243" s="57">
        <f>SUMIFS(tblFleet[Calendar_h],tblFleet[Date],$A243,tblFleet[Equipment_Class],"Excavator")</f>
        <v/>
      </c>
      <c r="BI243" s="57">
        <f>IF($B243=$B242,$BI242,0)+$BH243</f>
        <v/>
      </c>
      <c r="BJ243" s="57">
        <f>$BJ242+$BH243</f>
        <v/>
      </c>
      <c r="BK243" s="57">
        <f>SUMIFS(tblFleet[Available_h],tblFleet[Date],$A243,tblFleet[Equipment_Class],"Excavator")</f>
        <v/>
      </c>
      <c r="BL243" s="57">
        <f>IF($B243=$B242,$BL242,0)+$BK243</f>
        <v/>
      </c>
      <c r="BM243" s="57">
        <f>$BM242+$BK243</f>
        <v/>
      </c>
      <c r="BN243" s="57">
        <f>SUMIFS(tblFleet[Operating_h],tblFleet[Date],$A243,tblFleet[Equipment_Class],"Excavator")</f>
        <v/>
      </c>
      <c r="BO243" s="57">
        <f>IF($B243=$B242,$BO242,0)+$BN243</f>
        <v/>
      </c>
      <c r="BP243" s="57">
        <f>$BP242+$BN243</f>
        <v/>
      </c>
      <c r="BQ243" s="67">
        <f>IFERROR(IF(($BH243)&gt;0,($BK243)/($BH243),""),"")</f>
        <v/>
      </c>
      <c r="BR243" s="67">
        <f>IFERROR(IF(($BI243)&gt;0,($BL243)/($BI243),""),"")</f>
        <v/>
      </c>
      <c r="BS243" s="67">
        <f>IFERROR(IF(($BJ243)&gt;0,($BM243)/($BJ243),""),"")</f>
        <v/>
      </c>
      <c r="BT243" s="67">
        <f>IFERROR(IF(($BK243)&gt;0,($BN243)/($BK243),""),"")</f>
        <v/>
      </c>
      <c r="BU243" s="67">
        <f>IFERROR(IF(($BL243)&gt;0,($BO243)/($BL243),""),"")</f>
        <v/>
      </c>
      <c r="BV243" s="67">
        <f>IFERROR(IF(($BM243)&gt;0,($BP243)/($BM243),""),"")</f>
        <v/>
      </c>
      <c r="BW243" s="57">
        <f>SUMIFS(tblFleet[Calendar_h],tblFleet[Date],$A243,tblFleet[Equipment_Class],"Haul Truck")</f>
        <v/>
      </c>
      <c r="BX243" s="57">
        <f>IF($B243=$B242,$BX242,0)+$BW243</f>
        <v/>
      </c>
      <c r="BY243" s="57">
        <f>$BY242+$BW243</f>
        <v/>
      </c>
      <c r="BZ243" s="57">
        <f>SUMIFS(tblFleet[Available_h],tblFleet[Date],$A243,tblFleet[Equipment_Class],"Haul Truck")</f>
        <v/>
      </c>
      <c r="CA243" s="57">
        <f>IF($B243=$B242,$CA242,0)+$BZ243</f>
        <v/>
      </c>
      <c r="CB243" s="57">
        <f>$CB242+$BZ243</f>
        <v/>
      </c>
      <c r="CC243" s="57">
        <f>SUMIFS(tblFleet[Operating_h],tblFleet[Date],$A243,tblFleet[Equipment_Class],"Haul Truck")</f>
        <v/>
      </c>
      <c r="CD243" s="57">
        <f>IF($B243=$B242,$CD242,0)+$CC243</f>
        <v/>
      </c>
      <c r="CE243" s="57">
        <f>$CE242+$CC243</f>
        <v/>
      </c>
      <c r="CF243" s="67">
        <f>IFERROR(IF(($BW243)&gt;0,($BZ243)/($BW243),""),"")</f>
        <v/>
      </c>
      <c r="CG243" s="67">
        <f>IFERROR(IF(($BX243)&gt;0,($CA243)/($BX243),""),"")</f>
        <v/>
      </c>
      <c r="CH243" s="67">
        <f>IFERROR(IF(($BY243)&gt;0,($CB243)/($BY243),""),"")</f>
        <v/>
      </c>
      <c r="CI243" s="67">
        <f>IFERROR(IF(($BZ243)&gt;0,($CC243)/($BZ243),""),"")</f>
        <v/>
      </c>
      <c r="CJ243" s="67">
        <f>IFERROR(IF(($CA243)&gt;0,($CD243)/($CA243),""),"")</f>
        <v/>
      </c>
      <c r="CK243" s="67">
        <f>IFERROR(IF(($CB243)&gt;0,($CE243)/($CB243),""),"")</f>
        <v/>
      </c>
      <c r="CL243" s="55">
        <f>IFERROR(IF(($BN243)&gt;0,($X243+$AD243)/($BN243),""),"")</f>
        <v/>
      </c>
      <c r="CM243" s="55">
        <f>IFERROR(IF(($BO243)&gt;0,($Y243+$AE243)/($BO243),""),"")</f>
        <v/>
      </c>
      <c r="CN243" s="55">
        <f>IFERROR(IF(($BP243)&gt;0,($Z243+$AF243)/($BP243),""),"")</f>
        <v/>
      </c>
      <c r="CO243" s="55">
        <f>IFERROR(IF(($CC243)&gt;0,($X243+$AD243)/($CC243),""),"")</f>
        <v/>
      </c>
      <c r="CP243" s="55">
        <f>IFERROR(IF(($CD243)&gt;0,($Y243+$AE243)/($CD243),""),"")</f>
        <v/>
      </c>
      <c r="CQ243" s="55">
        <f>IFERROR(IF(($CE243)&gt;0,($Z243+$AF243)/($CE243),""),"")</f>
        <v/>
      </c>
      <c r="CR243" s="55">
        <f>SUMIFS(tblPlant[Crushed_t],tblPlant[Date],$A243)</f>
        <v/>
      </c>
      <c r="CS243" s="55">
        <f>IF($B243=$B242,$CS242,0)+$CR243</f>
        <v/>
      </c>
      <c r="CT243" s="55">
        <f>$CT242+$CR243</f>
        <v/>
      </c>
      <c r="CU243" s="55">
        <f>SUMIFS(tblPlant[Milled_t],tblPlant[Date],$A243)</f>
        <v/>
      </c>
      <c r="CV243" s="55">
        <f>IF($B243=$B242,$CV242,0)+$CU243</f>
        <v/>
      </c>
      <c r="CW243" s="55">
        <f>$CW242+$CU243</f>
        <v/>
      </c>
      <c r="CX243" s="55">
        <f>SUMIFS(tblPlant[Feed_oz],tblPlant[Date],$A243)</f>
        <v/>
      </c>
      <c r="CY243" s="55">
        <f>IF($B243=$B242,$CY242,0)+$CX243</f>
        <v/>
      </c>
      <c r="CZ243" s="55">
        <f>$CZ242+$CX243</f>
        <v/>
      </c>
      <c r="DA243" s="55">
        <f>SUMIFS(tblPlant[Tails_oz],tblPlant[Date],$A243)</f>
        <v/>
      </c>
      <c r="DB243" s="55">
        <f>IF($B243=$B242,$DB242,0)+$DA243</f>
        <v/>
      </c>
      <c r="DC243" s="55">
        <f>$DC242+$DA243</f>
        <v/>
      </c>
      <c r="DD243" s="55">
        <f>SUMIFS(tblPlant[Recovered_oz],tblPlant[Date],$A243)</f>
        <v/>
      </c>
      <c r="DE243" s="55">
        <f>IF($B243=$B242,$DE242,0)+$DD243</f>
        <v/>
      </c>
      <c r="DF243" s="55">
        <f>$DF242+$DD243</f>
        <v/>
      </c>
      <c r="DG243" s="55">
        <f>SUMIFS(tblPlant[Milled_t],tblPlant[Date],$A243,tblPlant[Head_Grade_gpt],"&lt;&gt;")</f>
        <v/>
      </c>
      <c r="DH243" s="55">
        <f>IF($B243=$B242,$DH242,0)+$DG243</f>
        <v/>
      </c>
      <c r="DI243" s="55">
        <f>$DI242+$DG243</f>
        <v/>
      </c>
      <c r="DJ243" s="55">
        <f>SUMIFS(tblPlant[Milled_t],tblPlant[Date],$A243,tblPlant[Tails_Grade_gpt],"&lt;&gt;")</f>
        <v/>
      </c>
      <c r="DK243" s="55">
        <f>IF($B243=$B242,$DK242,0)+$DJ243</f>
        <v/>
      </c>
      <c r="DL243" s="55">
        <f>$DL242+$DJ243</f>
        <v/>
      </c>
      <c r="DM243" s="55">
        <f>SUMIFS(tblPlant[Feed_oz],tblPlant[Date],$A243,tblPlant[Tails_Grade_gpt],"&lt;&gt;")</f>
        <v/>
      </c>
      <c r="DN243" s="55">
        <f>IF($B243=$B242,$DN242,0)+$DM243</f>
        <v/>
      </c>
      <c r="DO243" s="55">
        <f>$DO242+$DM243</f>
        <v/>
      </c>
      <c r="DP243" s="55">
        <f>SUMIFS(tblPlant[Milled_t],tblPlant[Date],$A243,tblPlant[Mill_Run_h],"&lt;&gt;")</f>
        <v/>
      </c>
      <c r="DQ243" s="55">
        <f>IF($B243=$B242,$DQ242,0)+$DP243</f>
        <v/>
      </c>
      <c r="DR243" s="55">
        <f>$DR242+$DP243</f>
        <v/>
      </c>
      <c r="DS243" s="56">
        <f>IFERROR(IF(($DG243)&gt;0,($CX243*cfg_TroyOz)/($DG243),""),"")</f>
        <v/>
      </c>
      <c r="DT243" s="56">
        <f>IFERROR(IF(($DH243)&gt;0,($CY243*cfg_TroyOz)/($DH243),""),"")</f>
        <v/>
      </c>
      <c r="DU243" s="56">
        <f>IFERROR(IF(($DI243)&gt;0,($CZ243*cfg_TroyOz)/($DI243),""),"")</f>
        <v/>
      </c>
      <c r="DV243" s="56">
        <f>IFERROR(IF(($DJ243)&gt;0,($DA243*cfg_TroyOz)/($DJ243),""),"")</f>
        <v/>
      </c>
      <c r="DW243" s="56">
        <f>IFERROR(IF(($DK243)&gt;0,($DB243*cfg_TroyOz)/($DK243),""),"")</f>
        <v/>
      </c>
      <c r="DX243" s="56">
        <f>IFERROR(IF(($DL243)&gt;0,($DC243*cfg_TroyOz)/($DL243),""),"")</f>
        <v/>
      </c>
      <c r="DY243" s="67">
        <f>IFERROR(IF(($DM243)&gt;0,($DD243)/($DM243),""),"")</f>
        <v/>
      </c>
      <c r="DZ243" s="67">
        <f>IFERROR(IF(($DN243)&gt;0,($DE243)/($DN243),""),"")</f>
        <v/>
      </c>
      <c r="EA243" s="67">
        <f>IFERROR(IF(($DO243)&gt;0,($DF243)/($DO243),""),"")</f>
        <v/>
      </c>
      <c r="EB243" s="55">
        <f>SUMIFS(tblPlant[Gravity_Gold_oz],tblPlant[Date],$A243)</f>
        <v/>
      </c>
      <c r="EC243" s="55">
        <f>IF($B243=$B242,$EC242,0)+$EB243</f>
        <v/>
      </c>
      <c r="ED243" s="55">
        <f>$ED242+$EB243</f>
        <v/>
      </c>
      <c r="EE243" s="67">
        <f>IFERROR(IF(($DD243)&gt;0,($EB243)/($DD243),""),"")</f>
        <v/>
      </c>
      <c r="EF243" s="67">
        <f>IFERROR(IF(($DE243)&gt;0,($EC243)/($DE243),""),"")</f>
        <v/>
      </c>
      <c r="EG243" s="67">
        <f>IFERROR(IF(($DF243)&gt;0,($ED243)/($DF243),""),"")</f>
        <v/>
      </c>
      <c r="EH243" s="55">
        <f>SUMIFS(tblPlant[Gold_Poured_oz],tblPlant[Date],$A243)</f>
        <v/>
      </c>
      <c r="EI243" s="55">
        <f>IF($B243=$B242,$EI242,0)+$EH243</f>
        <v/>
      </c>
      <c r="EJ243" s="55">
        <f>$EJ242+$EH243</f>
        <v/>
      </c>
      <c r="EK243" s="57">
        <f>SUMIFS(tblPlant[Mill_Run_h],tblPlant[Date],$A243)</f>
        <v/>
      </c>
      <c r="EL243" s="57">
        <f>IF($B243=$B242,$EL242,0)+$EK243</f>
        <v/>
      </c>
      <c r="EM243" s="57">
        <f>$EM242+$EK243</f>
        <v/>
      </c>
      <c r="EN243" s="57">
        <f>SUMIFS(tblPlant[Mill_Planned_Maint_h],tblPlant[Date],$A243)</f>
        <v/>
      </c>
      <c r="EO243" s="57">
        <f>IF($B243=$B242,$EO242,0)+$EN243</f>
        <v/>
      </c>
      <c r="EP243" s="57">
        <f>$EP242+$EN243</f>
        <v/>
      </c>
      <c r="EQ243" s="57">
        <f>SUMIFS(tblPlant[Mill_Unplanned_Down_h],tblPlant[Date],$A243)</f>
        <v/>
      </c>
      <c r="ER243" s="57">
        <f>IF($B243=$B242,$ER242,0)+$EQ243</f>
        <v/>
      </c>
      <c r="ES243" s="57">
        <f>$ES242+$EQ243</f>
        <v/>
      </c>
      <c r="ET243" s="57">
        <f>IF(COUNTIFS(tblPlant[Date],$A243,tblPlant[Mill_Run_h],"&lt;&gt;")+COUNTIFS(tblPlant[Date],$A243,tblPlant[Mill_Planned_Maint_h],"&lt;&gt;")+COUNTIFS(tblPlant[Date],$A243,tblPlant[Mill_Unplanned_Down_h],"&lt;&gt;")&gt;0,cfg_HoursPerDay,0)</f>
        <v/>
      </c>
      <c r="EU243" s="57">
        <f>IF($B243=$B242,$EU242,0)+$ET243</f>
        <v/>
      </c>
      <c r="EV243" s="57">
        <f>$EV242+$ET243</f>
        <v/>
      </c>
      <c r="EW243" s="57">
        <f>SUMIFS(tblPlant[Crusher_Run_h],tblPlant[Date],$A243)</f>
        <v/>
      </c>
      <c r="EX243" s="57">
        <f>IF($B243=$B242,$EX242,0)+$EW243</f>
        <v/>
      </c>
      <c r="EY243" s="57">
        <f>$EY242+$EW243</f>
        <v/>
      </c>
      <c r="EZ243" s="55">
        <f>IFERROR(IF(($EK243)&gt;0,($DP243)/($EK243),""),"")</f>
        <v/>
      </c>
      <c r="FA243" s="55">
        <f>IFERROR(IF(($EL243)&gt;0,($DQ243)/($EL243),""),"")</f>
        <v/>
      </c>
      <c r="FB243" s="55">
        <f>IFERROR(IF(($EM243)&gt;0,($DR243)/($EM243),""),"")</f>
        <v/>
      </c>
      <c r="FC243" s="67">
        <f>IFERROR(IF(($ET243)&gt;0,($ET243-$EN243-$EQ243)/($ET243),""),"")</f>
        <v/>
      </c>
      <c r="FD243" s="67">
        <f>IFERROR(IF(($EU243)&gt;0,($EU243-$EO243-$ER243)/($EU243),""),"")</f>
        <v/>
      </c>
      <c r="FE243" s="67">
        <f>IFERROR(IF(($EV243)&gt;0,($EV243-$EP243-$ES243)/($EV243),""),"")</f>
        <v/>
      </c>
      <c r="FF243" s="67">
        <f>IFERROR(IF(($ET243-$EN243-$EQ243)&gt;0,($EK243)/($ET243-$EN243-$EQ243),""),"")</f>
        <v/>
      </c>
      <c r="FG243" s="67">
        <f>IFERROR(IF(($EU243-$EO243-$ER243)&gt;0,($EL243)/($EU243-$EO243-$ER243),""),"")</f>
        <v/>
      </c>
      <c r="FH243" s="67">
        <f>IFERROR(IF(($EV243-$EP243-$ES243)&gt;0,($EM243)/($EV243-$EP243-$ES243),""),"")</f>
        <v/>
      </c>
      <c r="FI243" s="55">
        <f>SUMIFS(tblPlant[Cyanide_kg],tblPlant[Date],$A243)</f>
        <v/>
      </c>
      <c r="FJ243" s="55">
        <f>IF($B243=$B242,$FJ242,0)+$FI243</f>
        <v/>
      </c>
      <c r="FK243" s="55">
        <f>$FK242+$FI243</f>
        <v/>
      </c>
      <c r="FL243" s="55">
        <f>SUMIFS(tblPlant[Lime_kg],tblPlant[Date],$A243)</f>
        <v/>
      </c>
      <c r="FM243" s="55">
        <f>IF($B243=$B242,$FM242,0)+$FL243</f>
        <v/>
      </c>
      <c r="FN243" s="55">
        <f>$FN242+$FL243</f>
        <v/>
      </c>
      <c r="FO243" s="55">
        <f>SUMIFS(tblPlant[Grinding_Media_kg],tblPlant[Date],$A243)</f>
        <v/>
      </c>
      <c r="FP243" s="55">
        <f>IF($B243=$B242,$FP242,0)+$FO243</f>
        <v/>
      </c>
      <c r="FQ243" s="55">
        <f>$FQ242+$FO243</f>
        <v/>
      </c>
      <c r="FR243" s="55">
        <f>SUMIFS(tblPlant[Power_kWh],tblPlant[Date],$A243)</f>
        <v/>
      </c>
      <c r="FS243" s="55">
        <f>IF($B243=$B242,$FS242,0)+$FR243</f>
        <v/>
      </c>
      <c r="FT243" s="55">
        <f>$FT242+$FR243</f>
        <v/>
      </c>
      <c r="FU243" s="55">
        <f>SUMIFS(tblPlant[Raw_Water_m3],tblPlant[Date],$A243)</f>
        <v/>
      </c>
      <c r="FV243" s="55">
        <f>IF($B243=$B242,$FV242,0)+$FU243</f>
        <v/>
      </c>
      <c r="FW243" s="55">
        <f>$FW242+$FU243</f>
        <v/>
      </c>
      <c r="FX243" s="56">
        <f>IFERROR(IF(($CU243)&gt;0,($FI243)/($CU243),""),"")</f>
        <v/>
      </c>
      <c r="FY243" s="56">
        <f>IFERROR(IF(($CV243)&gt;0,($FJ243)/($CV243),""),"")</f>
        <v/>
      </c>
      <c r="FZ243" s="56">
        <f>IFERROR(IF(($CW243)&gt;0,($FK243)/($CW243),""),"")</f>
        <v/>
      </c>
      <c r="GA243" s="56">
        <f>IFERROR(IF(($CU243)&gt;0,($FL243)/($CU243),""),"")</f>
        <v/>
      </c>
      <c r="GB243" s="56">
        <f>IFERROR(IF(($CV243)&gt;0,($FM243)/($CV243),""),"")</f>
        <v/>
      </c>
      <c r="GC243" s="56">
        <f>IFERROR(IF(($CW243)&gt;0,($FN243)/($CW243),""),"")</f>
        <v/>
      </c>
      <c r="GD243" s="56">
        <f>IFERROR(IF(($CU243)&gt;0,($FO243)/($CU243),""),"")</f>
        <v/>
      </c>
      <c r="GE243" s="56">
        <f>IFERROR(IF(($CV243)&gt;0,($FP243)/($CV243),""),"")</f>
        <v/>
      </c>
      <c r="GF243" s="56">
        <f>IFERROR(IF(($CW243)&gt;0,($FQ243)/($CW243),""),"")</f>
        <v/>
      </c>
      <c r="GG243" s="79">
        <f>IFERROR(IF(($CU243)&gt;0,($FR243)/($CU243),""),"")</f>
        <v/>
      </c>
      <c r="GH243" s="79">
        <f>IFERROR(IF(($CV243)&gt;0,($FS243)/($CV243),""),"")</f>
        <v/>
      </c>
      <c r="GI243" s="79">
        <f>IFERROR(IF(($CW243)&gt;0,($FT243)/($CW243),""),"")</f>
        <v/>
      </c>
      <c r="GJ243" s="56">
        <f>IFERROR(IF(($CU243)&gt;0,($FU243)/($CU243),""),"")</f>
        <v/>
      </c>
      <c r="GK243" s="56">
        <f>IFERROR(IF(($CV243)&gt;0,($FV243)/($CV243),""),"")</f>
        <v/>
      </c>
      <c r="GL243" s="56">
        <f>IFERROR(IF(($CW243)&gt;0,($FW243)/($CW243),""),"")</f>
        <v/>
      </c>
      <c r="GM243" s="55">
        <f>IF(SUMIFS(tblPlant[GIC_oz],tblPlant[Date],$A243)&gt;0,SUMIFS(tblPlant[GIC_oz],tblPlant[Date],$A243),"")</f>
        <v/>
      </c>
      <c r="GN243" s="55">
        <f>SUMIFS(tblGold[Gold_oz],tblGold[Date],$A243,tblGold[Type],"Shipment")</f>
        <v/>
      </c>
      <c r="GO243" s="55">
        <f>IF($B243=$B242,$GO242,0)+$GN243</f>
        <v/>
      </c>
      <c r="GP243" s="55">
        <f>$GP242+$GN243</f>
        <v/>
      </c>
      <c r="GQ243" s="55">
        <f>SUMIFS(tblGold[Gold_oz],tblGold[Date],$A243,tblGold[Type],"Sale")</f>
        <v/>
      </c>
      <c r="GR243" s="55">
        <f>IF($B243=$B242,$GR242,0)+$GQ243</f>
        <v/>
      </c>
      <c r="GS243" s="55">
        <f>$GS242+$GQ243</f>
        <v/>
      </c>
      <c r="GT243" s="55">
        <f>SUMIFS(tblGold[Dore_kg],tblGold[Date],$A243,tblGold[Type],"Shipment")</f>
        <v/>
      </c>
      <c r="GU243" s="55">
        <f>IF($B243=$B242,$GU242,0)+$GT243</f>
        <v/>
      </c>
      <c r="GV243" s="55">
        <f>$GV242+$GT243</f>
        <v/>
      </c>
      <c r="GW243" s="57">
        <f>SUMIFS(tblSafety[Hours_Total],tblSafety[Date],$A243)</f>
        <v/>
      </c>
      <c r="GX243" s="57">
        <f>IF($B243=$B242,$GX242,0)+$GW243</f>
        <v/>
      </c>
      <c r="GY243" s="57">
        <f>$GY242+$GW243</f>
        <v/>
      </c>
      <c r="GZ243" s="62">
        <f>SUMIFS(tblSafety[Fatality],tblSafety[Date],$A243)</f>
        <v/>
      </c>
      <c r="HA243" s="62">
        <f>IF($B243=$B242,$HA242,0)+$GZ243</f>
        <v/>
      </c>
      <c r="HB243" s="62">
        <f>$HB242+$GZ243</f>
        <v/>
      </c>
      <c r="HC243" s="62">
        <f>SUMIFS(tblSafety[LTI],tblSafety[Date],$A243)</f>
        <v/>
      </c>
      <c r="HD243" s="62">
        <f>IF($B243=$B242,$HD242,0)+$HC243</f>
        <v/>
      </c>
      <c r="HE243" s="62">
        <f>$HE242+$HC243</f>
        <v/>
      </c>
      <c r="HF243" s="62">
        <f>SUMIFS(tblSafety[RWI],tblSafety[Date],$A243)</f>
        <v/>
      </c>
      <c r="HG243" s="62">
        <f>IF($B243=$B242,$HG242,0)+$HF243</f>
        <v/>
      </c>
      <c r="HH243" s="62">
        <f>$HH242+$HF243</f>
        <v/>
      </c>
      <c r="HI243" s="62">
        <f>SUMIFS(tblSafety[MTI],tblSafety[Date],$A243)</f>
        <v/>
      </c>
      <c r="HJ243" s="62">
        <f>IF($B243=$B242,$HJ242,0)+$HI243</f>
        <v/>
      </c>
      <c r="HK243" s="62">
        <f>$HK242+$HI243</f>
        <v/>
      </c>
      <c r="HL243" s="62">
        <f>SUMIFS(tblSafety[FAI],tblSafety[Date],$A243)</f>
        <v/>
      </c>
      <c r="HM243" s="62">
        <f>IF($B243=$B242,$HM242,0)+$HL243</f>
        <v/>
      </c>
      <c r="HN243" s="62">
        <f>$HN242+$HL243</f>
        <v/>
      </c>
      <c r="HO243" s="62">
        <f>SUMIFS(tblSafety[Recordables],tblSafety[Date],$A243)</f>
        <v/>
      </c>
      <c r="HP243" s="62">
        <f>IF($B243=$B242,$HP242,0)+$HO243</f>
        <v/>
      </c>
      <c r="HQ243" s="62">
        <f>$HQ242+$HO243</f>
        <v/>
      </c>
      <c r="HR243" s="62">
        <f>SUMIFS(tblSafety[Near_Miss],tblSafety[Date],$A243)</f>
        <v/>
      </c>
      <c r="HS243" s="62">
        <f>IF($B243=$B242,$HS242,0)+$HR243</f>
        <v/>
      </c>
      <c r="HT243" s="62">
        <f>$HT242+$HR243</f>
        <v/>
      </c>
      <c r="HU243" s="62">
        <f>SUMIFS(tblSafety[Hazard_Reports],tblSafety[Date],$A243)</f>
        <v/>
      </c>
      <c r="HV243" s="62">
        <f>IF($B243=$B242,$HV242,0)+$HU243</f>
        <v/>
      </c>
      <c r="HW243" s="62">
        <f>$HW242+$HU243</f>
        <v/>
      </c>
      <c r="HX243" s="62">
        <f>SUMIFS(tblSafety[HPI],tblSafety[Date],$A243)</f>
        <v/>
      </c>
      <c r="HY243" s="62">
        <f>IF($B243=$B242,$HY242,0)+$HX243</f>
        <v/>
      </c>
      <c r="HZ243" s="62">
        <f>$HZ242+$HX243</f>
        <v/>
      </c>
      <c r="IA243" s="62">
        <f>SUMIFS(tblSafety[Env_Incidents],tblSafety[Date],$A243)</f>
        <v/>
      </c>
      <c r="IB243" s="62">
        <f>IF($B243=$B242,$IB242,0)+$IA243</f>
        <v/>
      </c>
      <c r="IC243" s="62">
        <f>$IC242+$IA243</f>
        <v/>
      </c>
      <c r="ID243" s="62">
        <f>SUMIFS(tblSafety[Community_Incidents],tblSafety[Date],$A243)</f>
        <v/>
      </c>
      <c r="IE243" s="62">
        <f>IF($B243=$B242,$IE242,0)+$ID243</f>
        <v/>
      </c>
      <c r="IF243" s="62">
        <f>$IF242+$ID243</f>
        <v/>
      </c>
      <c r="IG243" s="62">
        <f>SUMIFS(tblSafety[Vehicle_Incidents],tblSafety[Date],$A243)</f>
        <v/>
      </c>
      <c r="IH243" s="62">
        <f>IF($B243=$B242,$IH242,0)+$IG243</f>
        <v/>
      </c>
      <c r="II243" s="62">
        <f>$II242+$IG243</f>
        <v/>
      </c>
      <c r="IJ243" s="62">
        <f>SUMIFS(tblSafety[Toolbox_Talks],tblSafety[Date],$A243)</f>
        <v/>
      </c>
      <c r="IK243" s="62">
        <f>IF($B243=$B242,$IK242,0)+$IJ243</f>
        <v/>
      </c>
      <c r="IL243" s="62">
        <f>$IL242+$IJ243</f>
        <v/>
      </c>
      <c r="IM243" s="62">
        <f>SUMIFS(tblSafety[Inspections],tblSafety[Date],$A243)</f>
        <v/>
      </c>
      <c r="IN243" s="62">
        <f>IF($B243=$B242,$IN242,0)+$IM243</f>
        <v/>
      </c>
      <c r="IO243" s="62">
        <f>$IO242+$IM243</f>
        <v/>
      </c>
      <c r="IP243" s="56">
        <f>IFERROR((SUMIFS(tblSafety[Recordables],tblSafety[Date],"&gt;="&amp;EDATE($E243,-12),tblSafety[Date],"&lt;="&amp;$A243)+SUMIFS(tblSafetyHistory[Recordables],tblSafetyHistory[Month],"&gt;="&amp;EDATE($E243,-12),tblSafetyHistory[Month],"&lt;"&amp;$E243,tblSafetyHistory[Use],1))/(SUMIFS(tblSafety[Hours_Total],tblSafety[Date],"&gt;="&amp;EDATE($E243,-12),tblSafety[Date],"&lt;="&amp;$A243)+SUMIFS(tblSafetyHistory[Hours_Total],tblSafetyHistory[Month],"&gt;="&amp;EDATE($E243,-12),tblSafetyHistory[Month],"&lt;"&amp;$E243,tblSafetyHistory[Use],1))*cfg_RateBasisHours,"")</f>
        <v/>
      </c>
      <c r="IQ243" s="56">
        <f>IFERROR((SUMIFS(tblSafety[LTI],tblSafety[Date],"&gt;="&amp;EDATE($E243,-12),tblSafety[Date],"&lt;="&amp;$A243)+SUMIFS(tblSafetyHistory[LTI],tblSafetyHistory[Month],"&gt;="&amp;EDATE($E243,-12),tblSafetyHistory[Month],"&lt;"&amp;$E243,tblSafetyHistory[Use],1))/(SUMIFS(tblSafety[Hours_Total],tblSafety[Date],"&gt;="&amp;EDATE($E243,-12),tblSafety[Date],"&lt;="&amp;$A243)+SUMIFS(tblSafetyHistory[Hours_Total],tblSafetyHistory[Month],"&gt;="&amp;EDATE($E243,-12),tblSafetyHistory[Month],"&lt;"&amp;$E243,tblSafetyHistory[Use],1))*cfg_RateBasisHours,"")</f>
        <v/>
      </c>
      <c r="IR243" s="62">
        <f>IF(MAX(N(cfg_PriorLTIDate),_xlfn.MAXIFS(tblSafety[Date],tblSafety[LTI],"&gt;0",tblSafety[Date],"&lt;="&amp;$A243))=0,"",$A243-MAX(N(cfg_PriorLTIDate),_xlfn.MAXIFS(tblSafety[Date],tblSafety[LTI],"&gt;0",tblSafety[Date],"&lt;="&amp;$A243)))</f>
        <v/>
      </c>
      <c r="IS243" s="55">
        <f>SUMIFS(tblBudget[Ore_Mined_t],tblBudget[Month],$E243)</f>
        <v/>
      </c>
      <c r="IT243" s="55">
        <f>$IS243*$C243/$D243</f>
        <v/>
      </c>
      <c r="IU243" s="55">
        <f>SUMIFS(tblBudget[Ore_Mined_t],tblBudget[Month],"&lt;"&amp;$E243)+$IT243</f>
        <v/>
      </c>
      <c r="IV243" s="55">
        <f>SUMIFS(tblBudget[Ore_oz],tblBudget[Month],$E243)</f>
        <v/>
      </c>
      <c r="IW243" s="55">
        <f>$IV243*$C243/$D243</f>
        <v/>
      </c>
      <c r="IX243" s="55">
        <f>SUMIFS(tblBudget[Ore_oz],tblBudget[Month],"&lt;"&amp;$E243)+$IW243</f>
        <v/>
      </c>
      <c r="IY243" s="55">
        <f>SUMIFS(tblBudget[Ore_Mined_t],tblBudget[Month],$E243)</f>
        <v/>
      </c>
      <c r="IZ243" s="55">
        <f>$IY243*$C243/$D243</f>
        <v/>
      </c>
      <c r="JA243" s="55">
        <f>SUMIFS(tblBudget[Ore_Mined_t],tblBudget[Month],"&lt;"&amp;$E243)+$IZ243</f>
        <v/>
      </c>
      <c r="JB243" s="56">
        <f>IFERROR(IF(($IY243)&gt;0,($IV243*cfg_TroyOz)/($IY243),""),"")</f>
        <v/>
      </c>
      <c r="JC243" s="56">
        <f>IFERROR(IF(($IZ243)&gt;0,($IW243*cfg_TroyOz)/($IZ243),""),"")</f>
        <v/>
      </c>
      <c r="JD243" s="56">
        <f>IFERROR(IF(($JA243)&gt;0,($IX243*cfg_TroyOz)/($JA243),""),"")</f>
        <v/>
      </c>
      <c r="JE243" s="55">
        <f>SUMIFS(tblBudget[Waste_t],tblBudget[Month],$E243)</f>
        <v/>
      </c>
      <c r="JF243" s="55">
        <f>$JE243*$C243/$D243</f>
        <v/>
      </c>
      <c r="JG243" s="55">
        <f>SUMIFS(tblBudget[Waste_t],tblBudget[Month],"&lt;"&amp;$E243)+$JF243</f>
        <v/>
      </c>
      <c r="JH243" s="55">
        <f>SUMIFS(tblBudget[TMM_t],tblBudget[Month],$E243)</f>
        <v/>
      </c>
      <c r="JI243" s="55">
        <f>$JH243*$C243/$D243</f>
        <v/>
      </c>
      <c r="JJ243" s="55">
        <f>SUMIFS(tblBudget[TMM_t],tblBudget[Month],"&lt;"&amp;$E243)+$JI243</f>
        <v/>
      </c>
      <c r="JK243" s="56">
        <f>IFERROR(IF(($IS243)&gt;0,($JE243)/($IS243),""),"")</f>
        <v/>
      </c>
      <c r="JL243" s="56">
        <f>IFERROR(IF(($IT243)&gt;0,($JF243)/($IT243),""),"")</f>
        <v/>
      </c>
      <c r="JM243" s="56">
        <f>IFERROR(IF(($IU243)&gt;0,($JG243)/($IU243),""),"")</f>
        <v/>
      </c>
      <c r="JN243" s="55">
        <f>SUMIFS(tblBudget[Drill_m],tblBudget[Month],$E243)</f>
        <v/>
      </c>
      <c r="JO243" s="55">
        <f>$JN243*$C243/$D243</f>
        <v/>
      </c>
      <c r="JP243" s="55">
        <f>SUMIFS(tblBudget[Drill_m],tblBudget[Month],"&lt;"&amp;$E243)+$JO243</f>
        <v/>
      </c>
      <c r="JQ243" s="55">
        <f>SUMIFS(tblBudget[Diesel_L],tblBudget[Month],$E243)</f>
        <v/>
      </c>
      <c r="JR243" s="55">
        <f>$JQ243*$C243/$D243</f>
        <v/>
      </c>
      <c r="JS243" s="55">
        <f>SUMIFS(tblBudget[Diesel_L],tblBudget[Month],"&lt;"&amp;$E243)+$JR243</f>
        <v/>
      </c>
      <c r="JT243" s="55">
        <f>SUMIFS(tblBudget[Milled_t],tblBudget[Month],$E243)</f>
        <v/>
      </c>
      <c r="JU243" s="55">
        <f>$JT243*$C243/$D243</f>
        <v/>
      </c>
      <c r="JV243" s="55">
        <f>SUMIFS(tblBudget[Milled_t],tblBudget[Month],"&lt;"&amp;$E243)+$JU243</f>
        <v/>
      </c>
      <c r="JW243" s="55">
        <f>SUMIFS(tblBudget[Feed_oz],tblBudget[Month],$E243)</f>
        <v/>
      </c>
      <c r="JX243" s="55">
        <f>$JW243*$C243/$D243</f>
        <v/>
      </c>
      <c r="JY243" s="55">
        <f>SUMIFS(tblBudget[Feed_oz],tblBudget[Month],"&lt;"&amp;$E243)+$JX243</f>
        <v/>
      </c>
      <c r="JZ243" s="55">
        <f>SUMIFS(tblBudget[Recovered_oz],tblBudget[Month],$E243)</f>
        <v/>
      </c>
      <c r="KA243" s="55">
        <f>$JZ243*$C243/$D243</f>
        <v/>
      </c>
      <c r="KB243" s="55">
        <f>SUMIFS(tblBudget[Recovered_oz],tblBudget[Month],"&lt;"&amp;$E243)+$KA243</f>
        <v/>
      </c>
      <c r="KC243" s="55">
        <f>SUMIFS(tblBudget[Milled_t],tblBudget[Month],$E243)</f>
        <v/>
      </c>
      <c r="KD243" s="55">
        <f>$KC243*$C243/$D243</f>
        <v/>
      </c>
      <c r="KE243" s="55">
        <f>SUMIFS(tblBudget[Milled_t],tblBudget[Month],"&lt;"&amp;$E243)+$KD243</f>
        <v/>
      </c>
      <c r="KF243" s="55">
        <f>SUMIFS(tblBudget[Feed_oz],tblBudget[Month],$E243)</f>
        <v/>
      </c>
      <c r="KG243" s="55">
        <f>$KF243*$C243/$D243</f>
        <v/>
      </c>
      <c r="KH243" s="55">
        <f>SUMIFS(tblBudget[Feed_oz],tblBudget[Month],"&lt;"&amp;$E243)+$KG243</f>
        <v/>
      </c>
      <c r="KI243" s="56">
        <f>IFERROR(IF(($KC243)&gt;0,($JW243*cfg_TroyOz)/($KC243),""),"")</f>
        <v/>
      </c>
      <c r="KJ243" s="56">
        <f>IFERROR(IF(($KD243)&gt;0,($JX243*cfg_TroyOz)/($KD243),""),"")</f>
        <v/>
      </c>
      <c r="KK243" s="56">
        <f>IFERROR(IF(($KE243)&gt;0,($JY243*cfg_TroyOz)/($KE243),""),"")</f>
        <v/>
      </c>
      <c r="KL243" s="67">
        <f>IFERROR(IF(($KF243)&gt;0,($JZ243)/($KF243),""),"")</f>
        <v/>
      </c>
      <c r="KM243" s="67">
        <f>IFERROR(IF(($KG243)&gt;0,($KA243)/($KG243),""),"")</f>
        <v/>
      </c>
      <c r="KN243" s="67">
        <f>IFERROR(IF(($KH243)&gt;0,($KB243)/($KH243),""),"")</f>
        <v/>
      </c>
      <c r="KO243" s="55">
        <f>SUMIFS(tblBudget[Gold_Poured_oz],tblBudget[Month],$E243)</f>
        <v/>
      </c>
      <c r="KP243" s="55">
        <f>$KO243*$C243/$D243</f>
        <v/>
      </c>
      <c r="KQ243" s="55">
        <f>SUMIFS(tblBudget[Gold_Poured_oz],tblBudget[Month],"&lt;"&amp;$E243)+$KP243</f>
        <v/>
      </c>
      <c r="KR243" s="57">
        <f>SUMIFS(tblBudget[Hours_Worked],tblBudget[Month],$E243)</f>
        <v/>
      </c>
      <c r="KS243" s="57">
        <f>$KR243*$C243/$D243</f>
        <v/>
      </c>
      <c r="KT243" s="57">
        <f>SUMIFS(tblBudget[Hours_Worked],tblBudget[Month],"&lt;"&amp;$E243)+$KS243</f>
        <v/>
      </c>
    </row>
    <row r="244">
      <c r="A244" s="54" t="n">
        <v>46265</v>
      </c>
      <c r="B244">
        <f>MONTH($A244)</f>
        <v/>
      </c>
      <c r="C244">
        <f>DAY($A244)</f>
        <v/>
      </c>
      <c r="D244">
        <f>DAY(EOMONTH($A244,0))</f>
        <v/>
      </c>
      <c r="E244" s="54">
        <f>DATE(YEAR($A244),MONTH($A244),1)</f>
        <v/>
      </c>
      <c r="F244" s="55">
        <f>SUMIFS(tblMovement[Tonnes_t],tblMovement[Date],$A244,tblMovement[Is_Ore],1,tblMovement[Source_Type],"Pit")</f>
        <v/>
      </c>
      <c r="G244" s="55">
        <f>IF($B244=$B243,$G243,0)+$F244</f>
        <v/>
      </c>
      <c r="H244" s="55">
        <f>$H243+$F244</f>
        <v/>
      </c>
      <c r="I244" s="55">
        <f>SUMIFS(tblMovement[Ore_oz],tblMovement[Date],$A244,tblMovement[Source_Type],"Pit")</f>
        <v/>
      </c>
      <c r="J244" s="55">
        <f>IF($B244=$B243,$J243,0)+$I244</f>
        <v/>
      </c>
      <c r="K244" s="55">
        <f>$K243+$I244</f>
        <v/>
      </c>
      <c r="L244" s="55">
        <f>SUMIFS(tblMovement[Tonnes_t],tblMovement[Date],$A244,tblMovement[Is_Ore],1,tblMovement[Source_Type],"Pit",tblMovement[Grade_gpt],"&lt;&gt;")</f>
        <v/>
      </c>
      <c r="M244" s="55">
        <f>IF($B244=$B243,$M243,0)+$L244</f>
        <v/>
      </c>
      <c r="N244" s="55">
        <f>$N243+$L244</f>
        <v/>
      </c>
      <c r="O244" s="56">
        <f>IFERROR(IF(($L244)&gt;0,($I244*cfg_TroyOz)/($L244),""),"")</f>
        <v/>
      </c>
      <c r="P244" s="56">
        <f>IFERROR(IF(($M244)&gt;0,($J244*cfg_TroyOz)/($M244),""),"")</f>
        <v/>
      </c>
      <c r="Q244" s="56">
        <f>IFERROR(IF(($N244)&gt;0,($K244*cfg_TroyOz)/($N244),""),"")</f>
        <v/>
      </c>
      <c r="R244" s="55">
        <f>$F244-$L244</f>
        <v/>
      </c>
      <c r="S244" s="55">
        <f>IF($B244=$B243,$S243,0)+$R244</f>
        <v/>
      </c>
      <c r="T244" s="55">
        <f>$T243+$R244</f>
        <v/>
      </c>
      <c r="U244" s="55">
        <f>SUMIFS(tblMovement[Tonnes_t],tblMovement[Date],$A244,tblMovement[Is_Ore],0,tblMovement[Source_Type],"Pit")</f>
        <v/>
      </c>
      <c r="V244" s="55">
        <f>IF($B244=$B243,$V243,0)+$U244</f>
        <v/>
      </c>
      <c r="W244" s="55">
        <f>$W243+$U244</f>
        <v/>
      </c>
      <c r="X244" s="55">
        <f>$F244+$U244</f>
        <v/>
      </c>
      <c r="Y244" s="55">
        <f>IF($B244=$B243,$Y243,0)+$X244</f>
        <v/>
      </c>
      <c r="Z244" s="55">
        <f>$Z243+$X244</f>
        <v/>
      </c>
      <c r="AA244" s="56">
        <f>IFERROR(IF(($F244)&gt;0,($U244)/($F244),""),"")</f>
        <v/>
      </c>
      <c r="AB244" s="56">
        <f>IFERROR(IF(($G244)&gt;0,($V244)/($G244),""),"")</f>
        <v/>
      </c>
      <c r="AC244" s="56">
        <f>IFERROR(IF(($H244)&gt;0,($W244)/($H244),""),"")</f>
        <v/>
      </c>
      <c r="AD244" s="55">
        <f>SUMIFS(tblMovement[Tonnes_t],tblMovement[Date],$A244,tblMovement[Source_Type],"Stockpile")</f>
        <v/>
      </c>
      <c r="AE244" s="55">
        <f>IF($B244=$B243,$AE243,0)+$AD244</f>
        <v/>
      </c>
      <c r="AF244" s="55">
        <f>$AF243+$AD244</f>
        <v/>
      </c>
      <c r="AG244" s="55">
        <f>SUMIFS(tblMovement[Tonnes_t],tblMovement[Date],$A244)</f>
        <v/>
      </c>
      <c r="AH244" s="55">
        <f>IF($B244=$B243,$AH243,0)+$AG244</f>
        <v/>
      </c>
      <c r="AI244" s="55">
        <f>$AI243+$AG244</f>
        <v/>
      </c>
      <c r="AJ244" s="55">
        <f>$AG244-$X244-$AD244</f>
        <v/>
      </c>
      <c r="AK244" s="55">
        <f>IF($B244=$B243,$AK243,0)+$AJ244</f>
        <v/>
      </c>
      <c r="AL244" s="55">
        <f>$AL243+$AJ244</f>
        <v/>
      </c>
      <c r="AM244" s="55">
        <f>SUMIFS(tblMiningDaily[Drill_m],tblMiningDaily[Date],$A244)</f>
        <v/>
      </c>
      <c r="AN244" s="55">
        <f>IF($B244=$B243,$AN243,0)+$AM244</f>
        <v/>
      </c>
      <c r="AO244" s="55">
        <f>$AO243+$AM244</f>
        <v/>
      </c>
      <c r="AP244" s="55">
        <f>SUMIFS(tblMiningDaily[GC_Drill_m],tblMiningDaily[Date],$A244)</f>
        <v/>
      </c>
      <c r="AQ244" s="55">
        <f>IF($B244=$B243,$AQ243,0)+$AP244</f>
        <v/>
      </c>
      <c r="AR244" s="55">
        <f>$AR243+$AP244</f>
        <v/>
      </c>
      <c r="AS244" s="55">
        <f>SUMIFS(tblMiningDaily[Blast_t],tblMiningDaily[Date],$A244)</f>
        <v/>
      </c>
      <c r="AT244" s="55">
        <f>IF($B244=$B243,$AT243,0)+$AS244</f>
        <v/>
      </c>
      <c r="AU244" s="55">
        <f>$AU243+$AS244</f>
        <v/>
      </c>
      <c r="AV244" s="55">
        <f>SUMIFS(tblMiningDaily[Explosives_kg],tblMiningDaily[Date],$A244)</f>
        <v/>
      </c>
      <c r="AW244" s="55">
        <f>IF($B244=$B243,$AW243,0)+$AV244</f>
        <v/>
      </c>
      <c r="AX244" s="55">
        <f>$AX243+$AV244</f>
        <v/>
      </c>
      <c r="AY244" s="56">
        <f>IFERROR(IF(($AS244)&gt;0,($AV244)/($AS244),""),"")</f>
        <v/>
      </c>
      <c r="AZ244" s="56">
        <f>IFERROR(IF(($AT244)&gt;0,($AW244)/($AT244),""),"")</f>
        <v/>
      </c>
      <c r="BA244" s="56">
        <f>IFERROR(IF(($AU244)&gt;0,($AX244)/($AU244),""),"")</f>
        <v/>
      </c>
      <c r="BB244" s="55">
        <f>SUMIFS(tblMiningDaily[Diesel_L],tblMiningDaily[Date],$A244)</f>
        <v/>
      </c>
      <c r="BC244" s="55">
        <f>IF($B244=$B243,$BC243,0)+$BB244</f>
        <v/>
      </c>
      <c r="BD244" s="55">
        <f>$BD243+$BB244</f>
        <v/>
      </c>
      <c r="BE244" s="55">
        <f>SUMIFS(tblMiningDaily[Dewatering_m3],tblMiningDaily[Date],$A244)</f>
        <v/>
      </c>
      <c r="BF244" s="55">
        <f>IF($B244=$B243,$BF243,0)+$BE244</f>
        <v/>
      </c>
      <c r="BG244" s="55">
        <f>$BG243+$BE244</f>
        <v/>
      </c>
      <c r="BH244" s="57">
        <f>SUMIFS(tblFleet[Calendar_h],tblFleet[Date],$A244,tblFleet[Equipment_Class],"Excavator")</f>
        <v/>
      </c>
      <c r="BI244" s="57">
        <f>IF($B244=$B243,$BI243,0)+$BH244</f>
        <v/>
      </c>
      <c r="BJ244" s="57">
        <f>$BJ243+$BH244</f>
        <v/>
      </c>
      <c r="BK244" s="57">
        <f>SUMIFS(tblFleet[Available_h],tblFleet[Date],$A244,tblFleet[Equipment_Class],"Excavator")</f>
        <v/>
      </c>
      <c r="BL244" s="57">
        <f>IF($B244=$B243,$BL243,0)+$BK244</f>
        <v/>
      </c>
      <c r="BM244" s="57">
        <f>$BM243+$BK244</f>
        <v/>
      </c>
      <c r="BN244" s="57">
        <f>SUMIFS(tblFleet[Operating_h],tblFleet[Date],$A244,tblFleet[Equipment_Class],"Excavator")</f>
        <v/>
      </c>
      <c r="BO244" s="57">
        <f>IF($B244=$B243,$BO243,0)+$BN244</f>
        <v/>
      </c>
      <c r="BP244" s="57">
        <f>$BP243+$BN244</f>
        <v/>
      </c>
      <c r="BQ244" s="67">
        <f>IFERROR(IF(($BH244)&gt;0,($BK244)/($BH244),""),"")</f>
        <v/>
      </c>
      <c r="BR244" s="67">
        <f>IFERROR(IF(($BI244)&gt;0,($BL244)/($BI244),""),"")</f>
        <v/>
      </c>
      <c r="BS244" s="67">
        <f>IFERROR(IF(($BJ244)&gt;0,($BM244)/($BJ244),""),"")</f>
        <v/>
      </c>
      <c r="BT244" s="67">
        <f>IFERROR(IF(($BK244)&gt;0,($BN244)/($BK244),""),"")</f>
        <v/>
      </c>
      <c r="BU244" s="67">
        <f>IFERROR(IF(($BL244)&gt;0,($BO244)/($BL244),""),"")</f>
        <v/>
      </c>
      <c r="BV244" s="67">
        <f>IFERROR(IF(($BM244)&gt;0,($BP244)/($BM244),""),"")</f>
        <v/>
      </c>
      <c r="BW244" s="57">
        <f>SUMIFS(tblFleet[Calendar_h],tblFleet[Date],$A244,tblFleet[Equipment_Class],"Haul Truck")</f>
        <v/>
      </c>
      <c r="BX244" s="57">
        <f>IF($B244=$B243,$BX243,0)+$BW244</f>
        <v/>
      </c>
      <c r="BY244" s="57">
        <f>$BY243+$BW244</f>
        <v/>
      </c>
      <c r="BZ244" s="57">
        <f>SUMIFS(tblFleet[Available_h],tblFleet[Date],$A244,tblFleet[Equipment_Class],"Haul Truck")</f>
        <v/>
      </c>
      <c r="CA244" s="57">
        <f>IF($B244=$B243,$CA243,0)+$BZ244</f>
        <v/>
      </c>
      <c r="CB244" s="57">
        <f>$CB243+$BZ244</f>
        <v/>
      </c>
      <c r="CC244" s="57">
        <f>SUMIFS(tblFleet[Operating_h],tblFleet[Date],$A244,tblFleet[Equipment_Class],"Haul Truck")</f>
        <v/>
      </c>
      <c r="CD244" s="57">
        <f>IF($B244=$B243,$CD243,0)+$CC244</f>
        <v/>
      </c>
      <c r="CE244" s="57">
        <f>$CE243+$CC244</f>
        <v/>
      </c>
      <c r="CF244" s="67">
        <f>IFERROR(IF(($BW244)&gt;0,($BZ244)/($BW244),""),"")</f>
        <v/>
      </c>
      <c r="CG244" s="67">
        <f>IFERROR(IF(($BX244)&gt;0,($CA244)/($BX244),""),"")</f>
        <v/>
      </c>
      <c r="CH244" s="67">
        <f>IFERROR(IF(($BY244)&gt;0,($CB244)/($BY244),""),"")</f>
        <v/>
      </c>
      <c r="CI244" s="67">
        <f>IFERROR(IF(($BZ244)&gt;0,($CC244)/($BZ244),""),"")</f>
        <v/>
      </c>
      <c r="CJ244" s="67">
        <f>IFERROR(IF(($CA244)&gt;0,($CD244)/($CA244),""),"")</f>
        <v/>
      </c>
      <c r="CK244" s="67">
        <f>IFERROR(IF(($CB244)&gt;0,($CE244)/($CB244),""),"")</f>
        <v/>
      </c>
      <c r="CL244" s="55">
        <f>IFERROR(IF(($BN244)&gt;0,($X244+$AD244)/($BN244),""),"")</f>
        <v/>
      </c>
      <c r="CM244" s="55">
        <f>IFERROR(IF(($BO244)&gt;0,($Y244+$AE244)/($BO244),""),"")</f>
        <v/>
      </c>
      <c r="CN244" s="55">
        <f>IFERROR(IF(($BP244)&gt;0,($Z244+$AF244)/($BP244),""),"")</f>
        <v/>
      </c>
      <c r="CO244" s="55">
        <f>IFERROR(IF(($CC244)&gt;0,($X244+$AD244)/($CC244),""),"")</f>
        <v/>
      </c>
      <c r="CP244" s="55">
        <f>IFERROR(IF(($CD244)&gt;0,($Y244+$AE244)/($CD244),""),"")</f>
        <v/>
      </c>
      <c r="CQ244" s="55">
        <f>IFERROR(IF(($CE244)&gt;0,($Z244+$AF244)/($CE244),""),"")</f>
        <v/>
      </c>
      <c r="CR244" s="55">
        <f>SUMIFS(tblPlant[Crushed_t],tblPlant[Date],$A244)</f>
        <v/>
      </c>
      <c r="CS244" s="55">
        <f>IF($B244=$B243,$CS243,0)+$CR244</f>
        <v/>
      </c>
      <c r="CT244" s="55">
        <f>$CT243+$CR244</f>
        <v/>
      </c>
      <c r="CU244" s="55">
        <f>SUMIFS(tblPlant[Milled_t],tblPlant[Date],$A244)</f>
        <v/>
      </c>
      <c r="CV244" s="55">
        <f>IF($B244=$B243,$CV243,0)+$CU244</f>
        <v/>
      </c>
      <c r="CW244" s="55">
        <f>$CW243+$CU244</f>
        <v/>
      </c>
      <c r="CX244" s="55">
        <f>SUMIFS(tblPlant[Feed_oz],tblPlant[Date],$A244)</f>
        <v/>
      </c>
      <c r="CY244" s="55">
        <f>IF($B244=$B243,$CY243,0)+$CX244</f>
        <v/>
      </c>
      <c r="CZ244" s="55">
        <f>$CZ243+$CX244</f>
        <v/>
      </c>
      <c r="DA244" s="55">
        <f>SUMIFS(tblPlant[Tails_oz],tblPlant[Date],$A244)</f>
        <v/>
      </c>
      <c r="DB244" s="55">
        <f>IF($B244=$B243,$DB243,0)+$DA244</f>
        <v/>
      </c>
      <c r="DC244" s="55">
        <f>$DC243+$DA244</f>
        <v/>
      </c>
      <c r="DD244" s="55">
        <f>SUMIFS(tblPlant[Recovered_oz],tblPlant[Date],$A244)</f>
        <v/>
      </c>
      <c r="DE244" s="55">
        <f>IF($B244=$B243,$DE243,0)+$DD244</f>
        <v/>
      </c>
      <c r="DF244" s="55">
        <f>$DF243+$DD244</f>
        <v/>
      </c>
      <c r="DG244" s="55">
        <f>SUMIFS(tblPlant[Milled_t],tblPlant[Date],$A244,tblPlant[Head_Grade_gpt],"&lt;&gt;")</f>
        <v/>
      </c>
      <c r="DH244" s="55">
        <f>IF($B244=$B243,$DH243,0)+$DG244</f>
        <v/>
      </c>
      <c r="DI244" s="55">
        <f>$DI243+$DG244</f>
        <v/>
      </c>
      <c r="DJ244" s="55">
        <f>SUMIFS(tblPlant[Milled_t],tblPlant[Date],$A244,tblPlant[Tails_Grade_gpt],"&lt;&gt;")</f>
        <v/>
      </c>
      <c r="DK244" s="55">
        <f>IF($B244=$B243,$DK243,0)+$DJ244</f>
        <v/>
      </c>
      <c r="DL244" s="55">
        <f>$DL243+$DJ244</f>
        <v/>
      </c>
      <c r="DM244" s="55">
        <f>SUMIFS(tblPlant[Feed_oz],tblPlant[Date],$A244,tblPlant[Tails_Grade_gpt],"&lt;&gt;")</f>
        <v/>
      </c>
      <c r="DN244" s="55">
        <f>IF($B244=$B243,$DN243,0)+$DM244</f>
        <v/>
      </c>
      <c r="DO244" s="55">
        <f>$DO243+$DM244</f>
        <v/>
      </c>
      <c r="DP244" s="55">
        <f>SUMIFS(tblPlant[Milled_t],tblPlant[Date],$A244,tblPlant[Mill_Run_h],"&lt;&gt;")</f>
        <v/>
      </c>
      <c r="DQ244" s="55">
        <f>IF($B244=$B243,$DQ243,0)+$DP244</f>
        <v/>
      </c>
      <c r="DR244" s="55">
        <f>$DR243+$DP244</f>
        <v/>
      </c>
      <c r="DS244" s="56">
        <f>IFERROR(IF(($DG244)&gt;0,($CX244*cfg_TroyOz)/($DG244),""),"")</f>
        <v/>
      </c>
      <c r="DT244" s="56">
        <f>IFERROR(IF(($DH244)&gt;0,($CY244*cfg_TroyOz)/($DH244),""),"")</f>
        <v/>
      </c>
      <c r="DU244" s="56">
        <f>IFERROR(IF(($DI244)&gt;0,($CZ244*cfg_TroyOz)/($DI244),""),"")</f>
        <v/>
      </c>
      <c r="DV244" s="56">
        <f>IFERROR(IF(($DJ244)&gt;0,($DA244*cfg_TroyOz)/($DJ244),""),"")</f>
        <v/>
      </c>
      <c r="DW244" s="56">
        <f>IFERROR(IF(($DK244)&gt;0,($DB244*cfg_TroyOz)/($DK244),""),"")</f>
        <v/>
      </c>
      <c r="DX244" s="56">
        <f>IFERROR(IF(($DL244)&gt;0,($DC244*cfg_TroyOz)/($DL244),""),"")</f>
        <v/>
      </c>
      <c r="DY244" s="67">
        <f>IFERROR(IF(($DM244)&gt;0,($DD244)/($DM244),""),"")</f>
        <v/>
      </c>
      <c r="DZ244" s="67">
        <f>IFERROR(IF(($DN244)&gt;0,($DE244)/($DN244),""),"")</f>
        <v/>
      </c>
      <c r="EA244" s="67">
        <f>IFERROR(IF(($DO244)&gt;0,($DF244)/($DO244),""),"")</f>
        <v/>
      </c>
      <c r="EB244" s="55">
        <f>SUMIFS(tblPlant[Gravity_Gold_oz],tblPlant[Date],$A244)</f>
        <v/>
      </c>
      <c r="EC244" s="55">
        <f>IF($B244=$B243,$EC243,0)+$EB244</f>
        <v/>
      </c>
      <c r="ED244" s="55">
        <f>$ED243+$EB244</f>
        <v/>
      </c>
      <c r="EE244" s="67">
        <f>IFERROR(IF(($DD244)&gt;0,($EB244)/($DD244),""),"")</f>
        <v/>
      </c>
      <c r="EF244" s="67">
        <f>IFERROR(IF(($DE244)&gt;0,($EC244)/($DE244),""),"")</f>
        <v/>
      </c>
      <c r="EG244" s="67">
        <f>IFERROR(IF(($DF244)&gt;0,($ED244)/($DF244),""),"")</f>
        <v/>
      </c>
      <c r="EH244" s="55">
        <f>SUMIFS(tblPlant[Gold_Poured_oz],tblPlant[Date],$A244)</f>
        <v/>
      </c>
      <c r="EI244" s="55">
        <f>IF($B244=$B243,$EI243,0)+$EH244</f>
        <v/>
      </c>
      <c r="EJ244" s="55">
        <f>$EJ243+$EH244</f>
        <v/>
      </c>
      <c r="EK244" s="57">
        <f>SUMIFS(tblPlant[Mill_Run_h],tblPlant[Date],$A244)</f>
        <v/>
      </c>
      <c r="EL244" s="57">
        <f>IF($B244=$B243,$EL243,0)+$EK244</f>
        <v/>
      </c>
      <c r="EM244" s="57">
        <f>$EM243+$EK244</f>
        <v/>
      </c>
      <c r="EN244" s="57">
        <f>SUMIFS(tblPlant[Mill_Planned_Maint_h],tblPlant[Date],$A244)</f>
        <v/>
      </c>
      <c r="EO244" s="57">
        <f>IF($B244=$B243,$EO243,0)+$EN244</f>
        <v/>
      </c>
      <c r="EP244" s="57">
        <f>$EP243+$EN244</f>
        <v/>
      </c>
      <c r="EQ244" s="57">
        <f>SUMIFS(tblPlant[Mill_Unplanned_Down_h],tblPlant[Date],$A244)</f>
        <v/>
      </c>
      <c r="ER244" s="57">
        <f>IF($B244=$B243,$ER243,0)+$EQ244</f>
        <v/>
      </c>
      <c r="ES244" s="57">
        <f>$ES243+$EQ244</f>
        <v/>
      </c>
      <c r="ET244" s="57">
        <f>IF(COUNTIFS(tblPlant[Date],$A244,tblPlant[Mill_Run_h],"&lt;&gt;")+COUNTIFS(tblPlant[Date],$A244,tblPlant[Mill_Planned_Maint_h],"&lt;&gt;")+COUNTIFS(tblPlant[Date],$A244,tblPlant[Mill_Unplanned_Down_h],"&lt;&gt;")&gt;0,cfg_HoursPerDay,0)</f>
        <v/>
      </c>
      <c r="EU244" s="57">
        <f>IF($B244=$B243,$EU243,0)+$ET244</f>
        <v/>
      </c>
      <c r="EV244" s="57">
        <f>$EV243+$ET244</f>
        <v/>
      </c>
      <c r="EW244" s="57">
        <f>SUMIFS(tblPlant[Crusher_Run_h],tblPlant[Date],$A244)</f>
        <v/>
      </c>
      <c r="EX244" s="57">
        <f>IF($B244=$B243,$EX243,0)+$EW244</f>
        <v/>
      </c>
      <c r="EY244" s="57">
        <f>$EY243+$EW244</f>
        <v/>
      </c>
      <c r="EZ244" s="55">
        <f>IFERROR(IF(($EK244)&gt;0,($DP244)/($EK244),""),"")</f>
        <v/>
      </c>
      <c r="FA244" s="55">
        <f>IFERROR(IF(($EL244)&gt;0,($DQ244)/($EL244),""),"")</f>
        <v/>
      </c>
      <c r="FB244" s="55">
        <f>IFERROR(IF(($EM244)&gt;0,($DR244)/($EM244),""),"")</f>
        <v/>
      </c>
      <c r="FC244" s="67">
        <f>IFERROR(IF(($ET244)&gt;0,($ET244-$EN244-$EQ244)/($ET244),""),"")</f>
        <v/>
      </c>
      <c r="FD244" s="67">
        <f>IFERROR(IF(($EU244)&gt;0,($EU244-$EO244-$ER244)/($EU244),""),"")</f>
        <v/>
      </c>
      <c r="FE244" s="67">
        <f>IFERROR(IF(($EV244)&gt;0,($EV244-$EP244-$ES244)/($EV244),""),"")</f>
        <v/>
      </c>
      <c r="FF244" s="67">
        <f>IFERROR(IF(($ET244-$EN244-$EQ244)&gt;0,($EK244)/($ET244-$EN244-$EQ244),""),"")</f>
        <v/>
      </c>
      <c r="FG244" s="67">
        <f>IFERROR(IF(($EU244-$EO244-$ER244)&gt;0,($EL244)/($EU244-$EO244-$ER244),""),"")</f>
        <v/>
      </c>
      <c r="FH244" s="67">
        <f>IFERROR(IF(($EV244-$EP244-$ES244)&gt;0,($EM244)/($EV244-$EP244-$ES244),""),"")</f>
        <v/>
      </c>
      <c r="FI244" s="55">
        <f>SUMIFS(tblPlant[Cyanide_kg],tblPlant[Date],$A244)</f>
        <v/>
      </c>
      <c r="FJ244" s="55">
        <f>IF($B244=$B243,$FJ243,0)+$FI244</f>
        <v/>
      </c>
      <c r="FK244" s="55">
        <f>$FK243+$FI244</f>
        <v/>
      </c>
      <c r="FL244" s="55">
        <f>SUMIFS(tblPlant[Lime_kg],tblPlant[Date],$A244)</f>
        <v/>
      </c>
      <c r="FM244" s="55">
        <f>IF($B244=$B243,$FM243,0)+$FL244</f>
        <v/>
      </c>
      <c r="FN244" s="55">
        <f>$FN243+$FL244</f>
        <v/>
      </c>
      <c r="FO244" s="55">
        <f>SUMIFS(tblPlant[Grinding_Media_kg],tblPlant[Date],$A244)</f>
        <v/>
      </c>
      <c r="FP244" s="55">
        <f>IF($B244=$B243,$FP243,0)+$FO244</f>
        <v/>
      </c>
      <c r="FQ244" s="55">
        <f>$FQ243+$FO244</f>
        <v/>
      </c>
      <c r="FR244" s="55">
        <f>SUMIFS(tblPlant[Power_kWh],tblPlant[Date],$A244)</f>
        <v/>
      </c>
      <c r="FS244" s="55">
        <f>IF($B244=$B243,$FS243,0)+$FR244</f>
        <v/>
      </c>
      <c r="FT244" s="55">
        <f>$FT243+$FR244</f>
        <v/>
      </c>
      <c r="FU244" s="55">
        <f>SUMIFS(tblPlant[Raw_Water_m3],tblPlant[Date],$A244)</f>
        <v/>
      </c>
      <c r="FV244" s="55">
        <f>IF($B244=$B243,$FV243,0)+$FU244</f>
        <v/>
      </c>
      <c r="FW244" s="55">
        <f>$FW243+$FU244</f>
        <v/>
      </c>
      <c r="FX244" s="56">
        <f>IFERROR(IF(($CU244)&gt;0,($FI244)/($CU244),""),"")</f>
        <v/>
      </c>
      <c r="FY244" s="56">
        <f>IFERROR(IF(($CV244)&gt;0,($FJ244)/($CV244),""),"")</f>
        <v/>
      </c>
      <c r="FZ244" s="56">
        <f>IFERROR(IF(($CW244)&gt;0,($FK244)/($CW244),""),"")</f>
        <v/>
      </c>
      <c r="GA244" s="56">
        <f>IFERROR(IF(($CU244)&gt;0,($FL244)/($CU244),""),"")</f>
        <v/>
      </c>
      <c r="GB244" s="56">
        <f>IFERROR(IF(($CV244)&gt;0,($FM244)/($CV244),""),"")</f>
        <v/>
      </c>
      <c r="GC244" s="56">
        <f>IFERROR(IF(($CW244)&gt;0,($FN244)/($CW244),""),"")</f>
        <v/>
      </c>
      <c r="GD244" s="56">
        <f>IFERROR(IF(($CU244)&gt;0,($FO244)/($CU244),""),"")</f>
        <v/>
      </c>
      <c r="GE244" s="56">
        <f>IFERROR(IF(($CV244)&gt;0,($FP244)/($CV244),""),"")</f>
        <v/>
      </c>
      <c r="GF244" s="56">
        <f>IFERROR(IF(($CW244)&gt;0,($FQ244)/($CW244),""),"")</f>
        <v/>
      </c>
      <c r="GG244" s="79">
        <f>IFERROR(IF(($CU244)&gt;0,($FR244)/($CU244),""),"")</f>
        <v/>
      </c>
      <c r="GH244" s="79">
        <f>IFERROR(IF(($CV244)&gt;0,($FS244)/($CV244),""),"")</f>
        <v/>
      </c>
      <c r="GI244" s="79">
        <f>IFERROR(IF(($CW244)&gt;0,($FT244)/($CW244),""),"")</f>
        <v/>
      </c>
      <c r="GJ244" s="56">
        <f>IFERROR(IF(($CU244)&gt;0,($FU244)/($CU244),""),"")</f>
        <v/>
      </c>
      <c r="GK244" s="56">
        <f>IFERROR(IF(($CV244)&gt;0,($FV244)/($CV244),""),"")</f>
        <v/>
      </c>
      <c r="GL244" s="56">
        <f>IFERROR(IF(($CW244)&gt;0,($FW244)/($CW244),""),"")</f>
        <v/>
      </c>
      <c r="GM244" s="55">
        <f>IF(SUMIFS(tblPlant[GIC_oz],tblPlant[Date],$A244)&gt;0,SUMIFS(tblPlant[GIC_oz],tblPlant[Date],$A244),"")</f>
        <v/>
      </c>
      <c r="GN244" s="55">
        <f>SUMIFS(tblGold[Gold_oz],tblGold[Date],$A244,tblGold[Type],"Shipment")</f>
        <v/>
      </c>
      <c r="GO244" s="55">
        <f>IF($B244=$B243,$GO243,0)+$GN244</f>
        <v/>
      </c>
      <c r="GP244" s="55">
        <f>$GP243+$GN244</f>
        <v/>
      </c>
      <c r="GQ244" s="55">
        <f>SUMIFS(tblGold[Gold_oz],tblGold[Date],$A244,tblGold[Type],"Sale")</f>
        <v/>
      </c>
      <c r="GR244" s="55">
        <f>IF($B244=$B243,$GR243,0)+$GQ244</f>
        <v/>
      </c>
      <c r="GS244" s="55">
        <f>$GS243+$GQ244</f>
        <v/>
      </c>
      <c r="GT244" s="55">
        <f>SUMIFS(tblGold[Dore_kg],tblGold[Date],$A244,tblGold[Type],"Shipment")</f>
        <v/>
      </c>
      <c r="GU244" s="55">
        <f>IF($B244=$B243,$GU243,0)+$GT244</f>
        <v/>
      </c>
      <c r="GV244" s="55">
        <f>$GV243+$GT244</f>
        <v/>
      </c>
      <c r="GW244" s="57">
        <f>SUMIFS(tblSafety[Hours_Total],tblSafety[Date],$A244)</f>
        <v/>
      </c>
      <c r="GX244" s="57">
        <f>IF($B244=$B243,$GX243,0)+$GW244</f>
        <v/>
      </c>
      <c r="GY244" s="57">
        <f>$GY243+$GW244</f>
        <v/>
      </c>
      <c r="GZ244" s="62">
        <f>SUMIFS(tblSafety[Fatality],tblSafety[Date],$A244)</f>
        <v/>
      </c>
      <c r="HA244" s="62">
        <f>IF($B244=$B243,$HA243,0)+$GZ244</f>
        <v/>
      </c>
      <c r="HB244" s="62">
        <f>$HB243+$GZ244</f>
        <v/>
      </c>
      <c r="HC244" s="62">
        <f>SUMIFS(tblSafety[LTI],tblSafety[Date],$A244)</f>
        <v/>
      </c>
      <c r="HD244" s="62">
        <f>IF($B244=$B243,$HD243,0)+$HC244</f>
        <v/>
      </c>
      <c r="HE244" s="62">
        <f>$HE243+$HC244</f>
        <v/>
      </c>
      <c r="HF244" s="62">
        <f>SUMIFS(tblSafety[RWI],tblSafety[Date],$A244)</f>
        <v/>
      </c>
      <c r="HG244" s="62">
        <f>IF($B244=$B243,$HG243,0)+$HF244</f>
        <v/>
      </c>
      <c r="HH244" s="62">
        <f>$HH243+$HF244</f>
        <v/>
      </c>
      <c r="HI244" s="62">
        <f>SUMIFS(tblSafety[MTI],tblSafety[Date],$A244)</f>
        <v/>
      </c>
      <c r="HJ244" s="62">
        <f>IF($B244=$B243,$HJ243,0)+$HI244</f>
        <v/>
      </c>
      <c r="HK244" s="62">
        <f>$HK243+$HI244</f>
        <v/>
      </c>
      <c r="HL244" s="62">
        <f>SUMIFS(tblSafety[FAI],tblSafety[Date],$A244)</f>
        <v/>
      </c>
      <c r="HM244" s="62">
        <f>IF($B244=$B243,$HM243,0)+$HL244</f>
        <v/>
      </c>
      <c r="HN244" s="62">
        <f>$HN243+$HL244</f>
        <v/>
      </c>
      <c r="HO244" s="62">
        <f>SUMIFS(tblSafety[Recordables],tblSafety[Date],$A244)</f>
        <v/>
      </c>
      <c r="HP244" s="62">
        <f>IF($B244=$B243,$HP243,0)+$HO244</f>
        <v/>
      </c>
      <c r="HQ244" s="62">
        <f>$HQ243+$HO244</f>
        <v/>
      </c>
      <c r="HR244" s="62">
        <f>SUMIFS(tblSafety[Near_Miss],tblSafety[Date],$A244)</f>
        <v/>
      </c>
      <c r="HS244" s="62">
        <f>IF($B244=$B243,$HS243,0)+$HR244</f>
        <v/>
      </c>
      <c r="HT244" s="62">
        <f>$HT243+$HR244</f>
        <v/>
      </c>
      <c r="HU244" s="62">
        <f>SUMIFS(tblSafety[Hazard_Reports],tblSafety[Date],$A244)</f>
        <v/>
      </c>
      <c r="HV244" s="62">
        <f>IF($B244=$B243,$HV243,0)+$HU244</f>
        <v/>
      </c>
      <c r="HW244" s="62">
        <f>$HW243+$HU244</f>
        <v/>
      </c>
      <c r="HX244" s="62">
        <f>SUMIFS(tblSafety[HPI],tblSafety[Date],$A244)</f>
        <v/>
      </c>
      <c r="HY244" s="62">
        <f>IF($B244=$B243,$HY243,0)+$HX244</f>
        <v/>
      </c>
      <c r="HZ244" s="62">
        <f>$HZ243+$HX244</f>
        <v/>
      </c>
      <c r="IA244" s="62">
        <f>SUMIFS(tblSafety[Env_Incidents],tblSafety[Date],$A244)</f>
        <v/>
      </c>
      <c r="IB244" s="62">
        <f>IF($B244=$B243,$IB243,0)+$IA244</f>
        <v/>
      </c>
      <c r="IC244" s="62">
        <f>$IC243+$IA244</f>
        <v/>
      </c>
      <c r="ID244" s="62">
        <f>SUMIFS(tblSafety[Community_Incidents],tblSafety[Date],$A244)</f>
        <v/>
      </c>
      <c r="IE244" s="62">
        <f>IF($B244=$B243,$IE243,0)+$ID244</f>
        <v/>
      </c>
      <c r="IF244" s="62">
        <f>$IF243+$ID244</f>
        <v/>
      </c>
      <c r="IG244" s="62">
        <f>SUMIFS(tblSafety[Vehicle_Incidents],tblSafety[Date],$A244)</f>
        <v/>
      </c>
      <c r="IH244" s="62">
        <f>IF($B244=$B243,$IH243,0)+$IG244</f>
        <v/>
      </c>
      <c r="II244" s="62">
        <f>$II243+$IG244</f>
        <v/>
      </c>
      <c r="IJ244" s="62">
        <f>SUMIFS(tblSafety[Toolbox_Talks],tblSafety[Date],$A244)</f>
        <v/>
      </c>
      <c r="IK244" s="62">
        <f>IF($B244=$B243,$IK243,0)+$IJ244</f>
        <v/>
      </c>
      <c r="IL244" s="62">
        <f>$IL243+$IJ244</f>
        <v/>
      </c>
      <c r="IM244" s="62">
        <f>SUMIFS(tblSafety[Inspections],tblSafety[Date],$A244)</f>
        <v/>
      </c>
      <c r="IN244" s="62">
        <f>IF($B244=$B243,$IN243,0)+$IM244</f>
        <v/>
      </c>
      <c r="IO244" s="62">
        <f>$IO243+$IM244</f>
        <v/>
      </c>
      <c r="IP244" s="56">
        <f>IFERROR((SUMIFS(tblSafety[Recordables],tblSafety[Date],"&gt;="&amp;EDATE($E244,-12),tblSafety[Date],"&lt;="&amp;$A244)+SUMIFS(tblSafetyHistory[Recordables],tblSafetyHistory[Month],"&gt;="&amp;EDATE($E244,-12),tblSafetyHistory[Month],"&lt;"&amp;$E244,tblSafetyHistory[Use],1))/(SUMIFS(tblSafety[Hours_Total],tblSafety[Date],"&gt;="&amp;EDATE($E244,-12),tblSafety[Date],"&lt;="&amp;$A244)+SUMIFS(tblSafetyHistory[Hours_Total],tblSafetyHistory[Month],"&gt;="&amp;EDATE($E244,-12),tblSafetyHistory[Month],"&lt;"&amp;$E244,tblSafetyHistory[Use],1))*cfg_RateBasisHours,"")</f>
        <v/>
      </c>
      <c r="IQ244" s="56">
        <f>IFERROR((SUMIFS(tblSafety[LTI],tblSafety[Date],"&gt;="&amp;EDATE($E244,-12),tblSafety[Date],"&lt;="&amp;$A244)+SUMIFS(tblSafetyHistory[LTI],tblSafetyHistory[Month],"&gt;="&amp;EDATE($E244,-12),tblSafetyHistory[Month],"&lt;"&amp;$E244,tblSafetyHistory[Use],1))/(SUMIFS(tblSafety[Hours_Total],tblSafety[Date],"&gt;="&amp;EDATE($E244,-12),tblSafety[Date],"&lt;="&amp;$A244)+SUMIFS(tblSafetyHistory[Hours_Total],tblSafetyHistory[Month],"&gt;="&amp;EDATE($E244,-12),tblSafetyHistory[Month],"&lt;"&amp;$E244,tblSafetyHistory[Use],1))*cfg_RateBasisHours,"")</f>
        <v/>
      </c>
      <c r="IR244" s="62">
        <f>IF(MAX(N(cfg_PriorLTIDate),_xlfn.MAXIFS(tblSafety[Date],tblSafety[LTI],"&gt;0",tblSafety[Date],"&lt;="&amp;$A244))=0,"",$A244-MAX(N(cfg_PriorLTIDate),_xlfn.MAXIFS(tblSafety[Date],tblSafety[LTI],"&gt;0",tblSafety[Date],"&lt;="&amp;$A244)))</f>
        <v/>
      </c>
      <c r="IS244" s="55">
        <f>SUMIFS(tblBudget[Ore_Mined_t],tblBudget[Month],$E244)</f>
        <v/>
      </c>
      <c r="IT244" s="55">
        <f>$IS244*$C244/$D244</f>
        <v/>
      </c>
      <c r="IU244" s="55">
        <f>SUMIFS(tblBudget[Ore_Mined_t],tblBudget[Month],"&lt;"&amp;$E244)+$IT244</f>
        <v/>
      </c>
      <c r="IV244" s="55">
        <f>SUMIFS(tblBudget[Ore_oz],tblBudget[Month],$E244)</f>
        <v/>
      </c>
      <c r="IW244" s="55">
        <f>$IV244*$C244/$D244</f>
        <v/>
      </c>
      <c r="IX244" s="55">
        <f>SUMIFS(tblBudget[Ore_oz],tblBudget[Month],"&lt;"&amp;$E244)+$IW244</f>
        <v/>
      </c>
      <c r="IY244" s="55">
        <f>SUMIFS(tblBudget[Ore_Mined_t],tblBudget[Month],$E244)</f>
        <v/>
      </c>
      <c r="IZ244" s="55">
        <f>$IY244*$C244/$D244</f>
        <v/>
      </c>
      <c r="JA244" s="55">
        <f>SUMIFS(tblBudget[Ore_Mined_t],tblBudget[Month],"&lt;"&amp;$E244)+$IZ244</f>
        <v/>
      </c>
      <c r="JB244" s="56">
        <f>IFERROR(IF(($IY244)&gt;0,($IV244*cfg_TroyOz)/($IY244),""),"")</f>
        <v/>
      </c>
      <c r="JC244" s="56">
        <f>IFERROR(IF(($IZ244)&gt;0,($IW244*cfg_TroyOz)/($IZ244),""),"")</f>
        <v/>
      </c>
      <c r="JD244" s="56">
        <f>IFERROR(IF(($JA244)&gt;0,($IX244*cfg_TroyOz)/($JA244),""),"")</f>
        <v/>
      </c>
      <c r="JE244" s="55">
        <f>SUMIFS(tblBudget[Waste_t],tblBudget[Month],$E244)</f>
        <v/>
      </c>
      <c r="JF244" s="55">
        <f>$JE244*$C244/$D244</f>
        <v/>
      </c>
      <c r="JG244" s="55">
        <f>SUMIFS(tblBudget[Waste_t],tblBudget[Month],"&lt;"&amp;$E244)+$JF244</f>
        <v/>
      </c>
      <c r="JH244" s="55">
        <f>SUMIFS(tblBudget[TMM_t],tblBudget[Month],$E244)</f>
        <v/>
      </c>
      <c r="JI244" s="55">
        <f>$JH244*$C244/$D244</f>
        <v/>
      </c>
      <c r="JJ244" s="55">
        <f>SUMIFS(tblBudget[TMM_t],tblBudget[Month],"&lt;"&amp;$E244)+$JI244</f>
        <v/>
      </c>
      <c r="JK244" s="56">
        <f>IFERROR(IF(($IS244)&gt;0,($JE244)/($IS244),""),"")</f>
        <v/>
      </c>
      <c r="JL244" s="56">
        <f>IFERROR(IF(($IT244)&gt;0,($JF244)/($IT244),""),"")</f>
        <v/>
      </c>
      <c r="JM244" s="56">
        <f>IFERROR(IF(($IU244)&gt;0,($JG244)/($IU244),""),"")</f>
        <v/>
      </c>
      <c r="JN244" s="55">
        <f>SUMIFS(tblBudget[Drill_m],tblBudget[Month],$E244)</f>
        <v/>
      </c>
      <c r="JO244" s="55">
        <f>$JN244*$C244/$D244</f>
        <v/>
      </c>
      <c r="JP244" s="55">
        <f>SUMIFS(tblBudget[Drill_m],tblBudget[Month],"&lt;"&amp;$E244)+$JO244</f>
        <v/>
      </c>
      <c r="JQ244" s="55">
        <f>SUMIFS(tblBudget[Diesel_L],tblBudget[Month],$E244)</f>
        <v/>
      </c>
      <c r="JR244" s="55">
        <f>$JQ244*$C244/$D244</f>
        <v/>
      </c>
      <c r="JS244" s="55">
        <f>SUMIFS(tblBudget[Diesel_L],tblBudget[Month],"&lt;"&amp;$E244)+$JR244</f>
        <v/>
      </c>
      <c r="JT244" s="55">
        <f>SUMIFS(tblBudget[Milled_t],tblBudget[Month],$E244)</f>
        <v/>
      </c>
      <c r="JU244" s="55">
        <f>$JT244*$C244/$D244</f>
        <v/>
      </c>
      <c r="JV244" s="55">
        <f>SUMIFS(tblBudget[Milled_t],tblBudget[Month],"&lt;"&amp;$E244)+$JU244</f>
        <v/>
      </c>
      <c r="JW244" s="55">
        <f>SUMIFS(tblBudget[Feed_oz],tblBudget[Month],$E244)</f>
        <v/>
      </c>
      <c r="JX244" s="55">
        <f>$JW244*$C244/$D244</f>
        <v/>
      </c>
      <c r="JY244" s="55">
        <f>SUMIFS(tblBudget[Feed_oz],tblBudget[Month],"&lt;"&amp;$E244)+$JX244</f>
        <v/>
      </c>
      <c r="JZ244" s="55">
        <f>SUMIFS(tblBudget[Recovered_oz],tblBudget[Month],$E244)</f>
        <v/>
      </c>
      <c r="KA244" s="55">
        <f>$JZ244*$C244/$D244</f>
        <v/>
      </c>
      <c r="KB244" s="55">
        <f>SUMIFS(tblBudget[Recovered_oz],tblBudget[Month],"&lt;"&amp;$E244)+$KA244</f>
        <v/>
      </c>
      <c r="KC244" s="55">
        <f>SUMIFS(tblBudget[Milled_t],tblBudget[Month],$E244)</f>
        <v/>
      </c>
      <c r="KD244" s="55">
        <f>$KC244*$C244/$D244</f>
        <v/>
      </c>
      <c r="KE244" s="55">
        <f>SUMIFS(tblBudget[Milled_t],tblBudget[Month],"&lt;"&amp;$E244)+$KD244</f>
        <v/>
      </c>
      <c r="KF244" s="55">
        <f>SUMIFS(tblBudget[Feed_oz],tblBudget[Month],$E244)</f>
        <v/>
      </c>
      <c r="KG244" s="55">
        <f>$KF244*$C244/$D244</f>
        <v/>
      </c>
      <c r="KH244" s="55">
        <f>SUMIFS(tblBudget[Feed_oz],tblBudget[Month],"&lt;"&amp;$E244)+$KG244</f>
        <v/>
      </c>
      <c r="KI244" s="56">
        <f>IFERROR(IF(($KC244)&gt;0,($JW244*cfg_TroyOz)/($KC244),""),"")</f>
        <v/>
      </c>
      <c r="KJ244" s="56">
        <f>IFERROR(IF(($KD244)&gt;0,($JX244*cfg_TroyOz)/($KD244),""),"")</f>
        <v/>
      </c>
      <c r="KK244" s="56">
        <f>IFERROR(IF(($KE244)&gt;0,($JY244*cfg_TroyOz)/($KE244),""),"")</f>
        <v/>
      </c>
      <c r="KL244" s="67">
        <f>IFERROR(IF(($KF244)&gt;0,($JZ244)/($KF244),""),"")</f>
        <v/>
      </c>
      <c r="KM244" s="67">
        <f>IFERROR(IF(($KG244)&gt;0,($KA244)/($KG244),""),"")</f>
        <v/>
      </c>
      <c r="KN244" s="67">
        <f>IFERROR(IF(($KH244)&gt;0,($KB244)/($KH244),""),"")</f>
        <v/>
      </c>
      <c r="KO244" s="55">
        <f>SUMIFS(tblBudget[Gold_Poured_oz],tblBudget[Month],$E244)</f>
        <v/>
      </c>
      <c r="KP244" s="55">
        <f>$KO244*$C244/$D244</f>
        <v/>
      </c>
      <c r="KQ244" s="55">
        <f>SUMIFS(tblBudget[Gold_Poured_oz],tblBudget[Month],"&lt;"&amp;$E244)+$KP244</f>
        <v/>
      </c>
      <c r="KR244" s="57">
        <f>SUMIFS(tblBudget[Hours_Worked],tblBudget[Month],$E244)</f>
        <v/>
      </c>
      <c r="KS244" s="57">
        <f>$KR244*$C244/$D244</f>
        <v/>
      </c>
      <c r="KT244" s="57">
        <f>SUMIFS(tblBudget[Hours_Worked],tblBudget[Month],"&lt;"&amp;$E244)+$KS244</f>
        <v/>
      </c>
    </row>
    <row r="245">
      <c r="A245" s="54" t="n">
        <v>46266</v>
      </c>
      <c r="B245">
        <f>MONTH($A245)</f>
        <v/>
      </c>
      <c r="C245">
        <f>DAY($A245)</f>
        <v/>
      </c>
      <c r="D245">
        <f>DAY(EOMONTH($A245,0))</f>
        <v/>
      </c>
      <c r="E245" s="54">
        <f>DATE(YEAR($A245),MONTH($A245),1)</f>
        <v/>
      </c>
      <c r="F245" s="55">
        <f>SUMIFS(tblMovement[Tonnes_t],tblMovement[Date],$A245,tblMovement[Is_Ore],1,tblMovement[Source_Type],"Pit")</f>
        <v/>
      </c>
      <c r="G245" s="55">
        <f>IF($B245=$B244,$G244,0)+$F245</f>
        <v/>
      </c>
      <c r="H245" s="55">
        <f>$H244+$F245</f>
        <v/>
      </c>
      <c r="I245" s="55">
        <f>SUMIFS(tblMovement[Ore_oz],tblMovement[Date],$A245,tblMovement[Source_Type],"Pit")</f>
        <v/>
      </c>
      <c r="J245" s="55">
        <f>IF($B245=$B244,$J244,0)+$I245</f>
        <v/>
      </c>
      <c r="K245" s="55">
        <f>$K244+$I245</f>
        <v/>
      </c>
      <c r="L245" s="55">
        <f>SUMIFS(tblMovement[Tonnes_t],tblMovement[Date],$A245,tblMovement[Is_Ore],1,tblMovement[Source_Type],"Pit",tblMovement[Grade_gpt],"&lt;&gt;")</f>
        <v/>
      </c>
      <c r="M245" s="55">
        <f>IF($B245=$B244,$M244,0)+$L245</f>
        <v/>
      </c>
      <c r="N245" s="55">
        <f>$N244+$L245</f>
        <v/>
      </c>
      <c r="O245" s="56">
        <f>IFERROR(IF(($L245)&gt;0,($I245*cfg_TroyOz)/($L245),""),"")</f>
        <v/>
      </c>
      <c r="P245" s="56">
        <f>IFERROR(IF(($M245)&gt;0,($J245*cfg_TroyOz)/($M245),""),"")</f>
        <v/>
      </c>
      <c r="Q245" s="56">
        <f>IFERROR(IF(($N245)&gt;0,($K245*cfg_TroyOz)/($N245),""),"")</f>
        <v/>
      </c>
      <c r="R245" s="55">
        <f>$F245-$L245</f>
        <v/>
      </c>
      <c r="S245" s="55">
        <f>IF($B245=$B244,$S244,0)+$R245</f>
        <v/>
      </c>
      <c r="T245" s="55">
        <f>$T244+$R245</f>
        <v/>
      </c>
      <c r="U245" s="55">
        <f>SUMIFS(tblMovement[Tonnes_t],tblMovement[Date],$A245,tblMovement[Is_Ore],0,tblMovement[Source_Type],"Pit")</f>
        <v/>
      </c>
      <c r="V245" s="55">
        <f>IF($B245=$B244,$V244,0)+$U245</f>
        <v/>
      </c>
      <c r="W245" s="55">
        <f>$W244+$U245</f>
        <v/>
      </c>
      <c r="X245" s="55">
        <f>$F245+$U245</f>
        <v/>
      </c>
      <c r="Y245" s="55">
        <f>IF($B245=$B244,$Y244,0)+$X245</f>
        <v/>
      </c>
      <c r="Z245" s="55">
        <f>$Z244+$X245</f>
        <v/>
      </c>
      <c r="AA245" s="56">
        <f>IFERROR(IF(($F245)&gt;0,($U245)/($F245),""),"")</f>
        <v/>
      </c>
      <c r="AB245" s="56">
        <f>IFERROR(IF(($G245)&gt;0,($V245)/($G245),""),"")</f>
        <v/>
      </c>
      <c r="AC245" s="56">
        <f>IFERROR(IF(($H245)&gt;0,($W245)/($H245),""),"")</f>
        <v/>
      </c>
      <c r="AD245" s="55">
        <f>SUMIFS(tblMovement[Tonnes_t],tblMovement[Date],$A245,tblMovement[Source_Type],"Stockpile")</f>
        <v/>
      </c>
      <c r="AE245" s="55">
        <f>IF($B245=$B244,$AE244,0)+$AD245</f>
        <v/>
      </c>
      <c r="AF245" s="55">
        <f>$AF244+$AD245</f>
        <v/>
      </c>
      <c r="AG245" s="55">
        <f>SUMIFS(tblMovement[Tonnes_t],tblMovement[Date],$A245)</f>
        <v/>
      </c>
      <c r="AH245" s="55">
        <f>IF($B245=$B244,$AH244,0)+$AG245</f>
        <v/>
      </c>
      <c r="AI245" s="55">
        <f>$AI244+$AG245</f>
        <v/>
      </c>
      <c r="AJ245" s="55">
        <f>$AG245-$X245-$AD245</f>
        <v/>
      </c>
      <c r="AK245" s="55">
        <f>IF($B245=$B244,$AK244,0)+$AJ245</f>
        <v/>
      </c>
      <c r="AL245" s="55">
        <f>$AL244+$AJ245</f>
        <v/>
      </c>
      <c r="AM245" s="55">
        <f>SUMIFS(tblMiningDaily[Drill_m],tblMiningDaily[Date],$A245)</f>
        <v/>
      </c>
      <c r="AN245" s="55">
        <f>IF($B245=$B244,$AN244,0)+$AM245</f>
        <v/>
      </c>
      <c r="AO245" s="55">
        <f>$AO244+$AM245</f>
        <v/>
      </c>
      <c r="AP245" s="55">
        <f>SUMIFS(tblMiningDaily[GC_Drill_m],tblMiningDaily[Date],$A245)</f>
        <v/>
      </c>
      <c r="AQ245" s="55">
        <f>IF($B245=$B244,$AQ244,0)+$AP245</f>
        <v/>
      </c>
      <c r="AR245" s="55">
        <f>$AR244+$AP245</f>
        <v/>
      </c>
      <c r="AS245" s="55">
        <f>SUMIFS(tblMiningDaily[Blast_t],tblMiningDaily[Date],$A245)</f>
        <v/>
      </c>
      <c r="AT245" s="55">
        <f>IF($B245=$B244,$AT244,0)+$AS245</f>
        <v/>
      </c>
      <c r="AU245" s="55">
        <f>$AU244+$AS245</f>
        <v/>
      </c>
      <c r="AV245" s="55">
        <f>SUMIFS(tblMiningDaily[Explosives_kg],tblMiningDaily[Date],$A245)</f>
        <v/>
      </c>
      <c r="AW245" s="55">
        <f>IF($B245=$B244,$AW244,0)+$AV245</f>
        <v/>
      </c>
      <c r="AX245" s="55">
        <f>$AX244+$AV245</f>
        <v/>
      </c>
      <c r="AY245" s="56">
        <f>IFERROR(IF(($AS245)&gt;0,($AV245)/($AS245),""),"")</f>
        <v/>
      </c>
      <c r="AZ245" s="56">
        <f>IFERROR(IF(($AT245)&gt;0,($AW245)/($AT245),""),"")</f>
        <v/>
      </c>
      <c r="BA245" s="56">
        <f>IFERROR(IF(($AU245)&gt;0,($AX245)/($AU245),""),"")</f>
        <v/>
      </c>
      <c r="BB245" s="55">
        <f>SUMIFS(tblMiningDaily[Diesel_L],tblMiningDaily[Date],$A245)</f>
        <v/>
      </c>
      <c r="BC245" s="55">
        <f>IF($B245=$B244,$BC244,0)+$BB245</f>
        <v/>
      </c>
      <c r="BD245" s="55">
        <f>$BD244+$BB245</f>
        <v/>
      </c>
      <c r="BE245" s="55">
        <f>SUMIFS(tblMiningDaily[Dewatering_m3],tblMiningDaily[Date],$A245)</f>
        <v/>
      </c>
      <c r="BF245" s="55">
        <f>IF($B245=$B244,$BF244,0)+$BE245</f>
        <v/>
      </c>
      <c r="BG245" s="55">
        <f>$BG244+$BE245</f>
        <v/>
      </c>
      <c r="BH245" s="57">
        <f>SUMIFS(tblFleet[Calendar_h],tblFleet[Date],$A245,tblFleet[Equipment_Class],"Excavator")</f>
        <v/>
      </c>
      <c r="BI245" s="57">
        <f>IF($B245=$B244,$BI244,0)+$BH245</f>
        <v/>
      </c>
      <c r="BJ245" s="57">
        <f>$BJ244+$BH245</f>
        <v/>
      </c>
      <c r="BK245" s="57">
        <f>SUMIFS(tblFleet[Available_h],tblFleet[Date],$A245,tblFleet[Equipment_Class],"Excavator")</f>
        <v/>
      </c>
      <c r="BL245" s="57">
        <f>IF($B245=$B244,$BL244,0)+$BK245</f>
        <v/>
      </c>
      <c r="BM245" s="57">
        <f>$BM244+$BK245</f>
        <v/>
      </c>
      <c r="BN245" s="57">
        <f>SUMIFS(tblFleet[Operating_h],tblFleet[Date],$A245,tblFleet[Equipment_Class],"Excavator")</f>
        <v/>
      </c>
      <c r="BO245" s="57">
        <f>IF($B245=$B244,$BO244,0)+$BN245</f>
        <v/>
      </c>
      <c r="BP245" s="57">
        <f>$BP244+$BN245</f>
        <v/>
      </c>
      <c r="BQ245" s="67">
        <f>IFERROR(IF(($BH245)&gt;0,($BK245)/($BH245),""),"")</f>
        <v/>
      </c>
      <c r="BR245" s="67">
        <f>IFERROR(IF(($BI245)&gt;0,($BL245)/($BI245),""),"")</f>
        <v/>
      </c>
      <c r="BS245" s="67">
        <f>IFERROR(IF(($BJ245)&gt;0,($BM245)/($BJ245),""),"")</f>
        <v/>
      </c>
      <c r="BT245" s="67">
        <f>IFERROR(IF(($BK245)&gt;0,($BN245)/($BK245),""),"")</f>
        <v/>
      </c>
      <c r="BU245" s="67">
        <f>IFERROR(IF(($BL245)&gt;0,($BO245)/($BL245),""),"")</f>
        <v/>
      </c>
      <c r="BV245" s="67">
        <f>IFERROR(IF(($BM245)&gt;0,($BP245)/($BM245),""),"")</f>
        <v/>
      </c>
      <c r="BW245" s="57">
        <f>SUMIFS(tblFleet[Calendar_h],tblFleet[Date],$A245,tblFleet[Equipment_Class],"Haul Truck")</f>
        <v/>
      </c>
      <c r="BX245" s="57">
        <f>IF($B245=$B244,$BX244,0)+$BW245</f>
        <v/>
      </c>
      <c r="BY245" s="57">
        <f>$BY244+$BW245</f>
        <v/>
      </c>
      <c r="BZ245" s="57">
        <f>SUMIFS(tblFleet[Available_h],tblFleet[Date],$A245,tblFleet[Equipment_Class],"Haul Truck")</f>
        <v/>
      </c>
      <c r="CA245" s="57">
        <f>IF($B245=$B244,$CA244,0)+$BZ245</f>
        <v/>
      </c>
      <c r="CB245" s="57">
        <f>$CB244+$BZ245</f>
        <v/>
      </c>
      <c r="CC245" s="57">
        <f>SUMIFS(tblFleet[Operating_h],tblFleet[Date],$A245,tblFleet[Equipment_Class],"Haul Truck")</f>
        <v/>
      </c>
      <c r="CD245" s="57">
        <f>IF($B245=$B244,$CD244,0)+$CC245</f>
        <v/>
      </c>
      <c r="CE245" s="57">
        <f>$CE244+$CC245</f>
        <v/>
      </c>
      <c r="CF245" s="67">
        <f>IFERROR(IF(($BW245)&gt;0,($BZ245)/($BW245),""),"")</f>
        <v/>
      </c>
      <c r="CG245" s="67">
        <f>IFERROR(IF(($BX245)&gt;0,($CA245)/($BX245),""),"")</f>
        <v/>
      </c>
      <c r="CH245" s="67">
        <f>IFERROR(IF(($BY245)&gt;0,($CB245)/($BY245),""),"")</f>
        <v/>
      </c>
      <c r="CI245" s="67">
        <f>IFERROR(IF(($BZ245)&gt;0,($CC245)/($BZ245),""),"")</f>
        <v/>
      </c>
      <c r="CJ245" s="67">
        <f>IFERROR(IF(($CA245)&gt;0,($CD245)/($CA245),""),"")</f>
        <v/>
      </c>
      <c r="CK245" s="67">
        <f>IFERROR(IF(($CB245)&gt;0,($CE245)/($CB245),""),"")</f>
        <v/>
      </c>
      <c r="CL245" s="55">
        <f>IFERROR(IF(($BN245)&gt;0,($X245+$AD245)/($BN245),""),"")</f>
        <v/>
      </c>
      <c r="CM245" s="55">
        <f>IFERROR(IF(($BO245)&gt;0,($Y245+$AE245)/($BO245),""),"")</f>
        <v/>
      </c>
      <c r="CN245" s="55">
        <f>IFERROR(IF(($BP245)&gt;0,($Z245+$AF245)/($BP245),""),"")</f>
        <v/>
      </c>
      <c r="CO245" s="55">
        <f>IFERROR(IF(($CC245)&gt;0,($X245+$AD245)/($CC245),""),"")</f>
        <v/>
      </c>
      <c r="CP245" s="55">
        <f>IFERROR(IF(($CD245)&gt;0,($Y245+$AE245)/($CD245),""),"")</f>
        <v/>
      </c>
      <c r="CQ245" s="55">
        <f>IFERROR(IF(($CE245)&gt;0,($Z245+$AF245)/($CE245),""),"")</f>
        <v/>
      </c>
      <c r="CR245" s="55">
        <f>SUMIFS(tblPlant[Crushed_t],tblPlant[Date],$A245)</f>
        <v/>
      </c>
      <c r="CS245" s="55">
        <f>IF($B245=$B244,$CS244,0)+$CR245</f>
        <v/>
      </c>
      <c r="CT245" s="55">
        <f>$CT244+$CR245</f>
        <v/>
      </c>
      <c r="CU245" s="55">
        <f>SUMIFS(tblPlant[Milled_t],tblPlant[Date],$A245)</f>
        <v/>
      </c>
      <c r="CV245" s="55">
        <f>IF($B245=$B244,$CV244,0)+$CU245</f>
        <v/>
      </c>
      <c r="CW245" s="55">
        <f>$CW244+$CU245</f>
        <v/>
      </c>
      <c r="CX245" s="55">
        <f>SUMIFS(tblPlant[Feed_oz],tblPlant[Date],$A245)</f>
        <v/>
      </c>
      <c r="CY245" s="55">
        <f>IF($B245=$B244,$CY244,0)+$CX245</f>
        <v/>
      </c>
      <c r="CZ245" s="55">
        <f>$CZ244+$CX245</f>
        <v/>
      </c>
      <c r="DA245" s="55">
        <f>SUMIFS(tblPlant[Tails_oz],tblPlant[Date],$A245)</f>
        <v/>
      </c>
      <c r="DB245" s="55">
        <f>IF($B245=$B244,$DB244,0)+$DA245</f>
        <v/>
      </c>
      <c r="DC245" s="55">
        <f>$DC244+$DA245</f>
        <v/>
      </c>
      <c r="DD245" s="55">
        <f>SUMIFS(tblPlant[Recovered_oz],tblPlant[Date],$A245)</f>
        <v/>
      </c>
      <c r="DE245" s="55">
        <f>IF($B245=$B244,$DE244,0)+$DD245</f>
        <v/>
      </c>
      <c r="DF245" s="55">
        <f>$DF244+$DD245</f>
        <v/>
      </c>
      <c r="DG245" s="55">
        <f>SUMIFS(tblPlant[Milled_t],tblPlant[Date],$A245,tblPlant[Head_Grade_gpt],"&lt;&gt;")</f>
        <v/>
      </c>
      <c r="DH245" s="55">
        <f>IF($B245=$B244,$DH244,0)+$DG245</f>
        <v/>
      </c>
      <c r="DI245" s="55">
        <f>$DI244+$DG245</f>
        <v/>
      </c>
      <c r="DJ245" s="55">
        <f>SUMIFS(tblPlant[Milled_t],tblPlant[Date],$A245,tblPlant[Tails_Grade_gpt],"&lt;&gt;")</f>
        <v/>
      </c>
      <c r="DK245" s="55">
        <f>IF($B245=$B244,$DK244,0)+$DJ245</f>
        <v/>
      </c>
      <c r="DL245" s="55">
        <f>$DL244+$DJ245</f>
        <v/>
      </c>
      <c r="DM245" s="55">
        <f>SUMIFS(tblPlant[Feed_oz],tblPlant[Date],$A245,tblPlant[Tails_Grade_gpt],"&lt;&gt;")</f>
        <v/>
      </c>
      <c r="DN245" s="55">
        <f>IF($B245=$B244,$DN244,0)+$DM245</f>
        <v/>
      </c>
      <c r="DO245" s="55">
        <f>$DO244+$DM245</f>
        <v/>
      </c>
      <c r="DP245" s="55">
        <f>SUMIFS(tblPlant[Milled_t],tblPlant[Date],$A245,tblPlant[Mill_Run_h],"&lt;&gt;")</f>
        <v/>
      </c>
      <c r="DQ245" s="55">
        <f>IF($B245=$B244,$DQ244,0)+$DP245</f>
        <v/>
      </c>
      <c r="DR245" s="55">
        <f>$DR244+$DP245</f>
        <v/>
      </c>
      <c r="DS245" s="56">
        <f>IFERROR(IF(($DG245)&gt;0,($CX245*cfg_TroyOz)/($DG245),""),"")</f>
        <v/>
      </c>
      <c r="DT245" s="56">
        <f>IFERROR(IF(($DH245)&gt;0,($CY245*cfg_TroyOz)/($DH245),""),"")</f>
        <v/>
      </c>
      <c r="DU245" s="56">
        <f>IFERROR(IF(($DI245)&gt;0,($CZ245*cfg_TroyOz)/($DI245),""),"")</f>
        <v/>
      </c>
      <c r="DV245" s="56">
        <f>IFERROR(IF(($DJ245)&gt;0,($DA245*cfg_TroyOz)/($DJ245),""),"")</f>
        <v/>
      </c>
      <c r="DW245" s="56">
        <f>IFERROR(IF(($DK245)&gt;0,($DB245*cfg_TroyOz)/($DK245),""),"")</f>
        <v/>
      </c>
      <c r="DX245" s="56">
        <f>IFERROR(IF(($DL245)&gt;0,($DC245*cfg_TroyOz)/($DL245),""),"")</f>
        <v/>
      </c>
      <c r="DY245" s="67">
        <f>IFERROR(IF(($DM245)&gt;0,($DD245)/($DM245),""),"")</f>
        <v/>
      </c>
      <c r="DZ245" s="67">
        <f>IFERROR(IF(($DN245)&gt;0,($DE245)/($DN245),""),"")</f>
        <v/>
      </c>
      <c r="EA245" s="67">
        <f>IFERROR(IF(($DO245)&gt;0,($DF245)/($DO245),""),"")</f>
        <v/>
      </c>
      <c r="EB245" s="55">
        <f>SUMIFS(tblPlant[Gravity_Gold_oz],tblPlant[Date],$A245)</f>
        <v/>
      </c>
      <c r="EC245" s="55">
        <f>IF($B245=$B244,$EC244,0)+$EB245</f>
        <v/>
      </c>
      <c r="ED245" s="55">
        <f>$ED244+$EB245</f>
        <v/>
      </c>
      <c r="EE245" s="67">
        <f>IFERROR(IF(($DD245)&gt;0,($EB245)/($DD245),""),"")</f>
        <v/>
      </c>
      <c r="EF245" s="67">
        <f>IFERROR(IF(($DE245)&gt;0,($EC245)/($DE245),""),"")</f>
        <v/>
      </c>
      <c r="EG245" s="67">
        <f>IFERROR(IF(($DF245)&gt;0,($ED245)/($DF245),""),"")</f>
        <v/>
      </c>
      <c r="EH245" s="55">
        <f>SUMIFS(tblPlant[Gold_Poured_oz],tblPlant[Date],$A245)</f>
        <v/>
      </c>
      <c r="EI245" s="55">
        <f>IF($B245=$B244,$EI244,0)+$EH245</f>
        <v/>
      </c>
      <c r="EJ245" s="55">
        <f>$EJ244+$EH245</f>
        <v/>
      </c>
      <c r="EK245" s="57">
        <f>SUMIFS(tblPlant[Mill_Run_h],tblPlant[Date],$A245)</f>
        <v/>
      </c>
      <c r="EL245" s="57">
        <f>IF($B245=$B244,$EL244,0)+$EK245</f>
        <v/>
      </c>
      <c r="EM245" s="57">
        <f>$EM244+$EK245</f>
        <v/>
      </c>
      <c r="EN245" s="57">
        <f>SUMIFS(tblPlant[Mill_Planned_Maint_h],tblPlant[Date],$A245)</f>
        <v/>
      </c>
      <c r="EO245" s="57">
        <f>IF($B245=$B244,$EO244,0)+$EN245</f>
        <v/>
      </c>
      <c r="EP245" s="57">
        <f>$EP244+$EN245</f>
        <v/>
      </c>
      <c r="EQ245" s="57">
        <f>SUMIFS(tblPlant[Mill_Unplanned_Down_h],tblPlant[Date],$A245)</f>
        <v/>
      </c>
      <c r="ER245" s="57">
        <f>IF($B245=$B244,$ER244,0)+$EQ245</f>
        <v/>
      </c>
      <c r="ES245" s="57">
        <f>$ES244+$EQ245</f>
        <v/>
      </c>
      <c r="ET245" s="57">
        <f>IF(COUNTIFS(tblPlant[Date],$A245,tblPlant[Mill_Run_h],"&lt;&gt;")+COUNTIFS(tblPlant[Date],$A245,tblPlant[Mill_Planned_Maint_h],"&lt;&gt;")+COUNTIFS(tblPlant[Date],$A245,tblPlant[Mill_Unplanned_Down_h],"&lt;&gt;")&gt;0,cfg_HoursPerDay,0)</f>
        <v/>
      </c>
      <c r="EU245" s="57">
        <f>IF($B245=$B244,$EU244,0)+$ET245</f>
        <v/>
      </c>
      <c r="EV245" s="57">
        <f>$EV244+$ET245</f>
        <v/>
      </c>
      <c r="EW245" s="57">
        <f>SUMIFS(tblPlant[Crusher_Run_h],tblPlant[Date],$A245)</f>
        <v/>
      </c>
      <c r="EX245" s="57">
        <f>IF($B245=$B244,$EX244,0)+$EW245</f>
        <v/>
      </c>
      <c r="EY245" s="57">
        <f>$EY244+$EW245</f>
        <v/>
      </c>
      <c r="EZ245" s="55">
        <f>IFERROR(IF(($EK245)&gt;0,($DP245)/($EK245),""),"")</f>
        <v/>
      </c>
      <c r="FA245" s="55">
        <f>IFERROR(IF(($EL245)&gt;0,($DQ245)/($EL245),""),"")</f>
        <v/>
      </c>
      <c r="FB245" s="55">
        <f>IFERROR(IF(($EM245)&gt;0,($DR245)/($EM245),""),"")</f>
        <v/>
      </c>
      <c r="FC245" s="67">
        <f>IFERROR(IF(($ET245)&gt;0,($ET245-$EN245-$EQ245)/($ET245),""),"")</f>
        <v/>
      </c>
      <c r="FD245" s="67">
        <f>IFERROR(IF(($EU245)&gt;0,($EU245-$EO245-$ER245)/($EU245),""),"")</f>
        <v/>
      </c>
      <c r="FE245" s="67">
        <f>IFERROR(IF(($EV245)&gt;0,($EV245-$EP245-$ES245)/($EV245),""),"")</f>
        <v/>
      </c>
      <c r="FF245" s="67">
        <f>IFERROR(IF(($ET245-$EN245-$EQ245)&gt;0,($EK245)/($ET245-$EN245-$EQ245),""),"")</f>
        <v/>
      </c>
      <c r="FG245" s="67">
        <f>IFERROR(IF(($EU245-$EO245-$ER245)&gt;0,($EL245)/($EU245-$EO245-$ER245),""),"")</f>
        <v/>
      </c>
      <c r="FH245" s="67">
        <f>IFERROR(IF(($EV245-$EP245-$ES245)&gt;0,($EM245)/($EV245-$EP245-$ES245),""),"")</f>
        <v/>
      </c>
      <c r="FI245" s="55">
        <f>SUMIFS(tblPlant[Cyanide_kg],tblPlant[Date],$A245)</f>
        <v/>
      </c>
      <c r="FJ245" s="55">
        <f>IF($B245=$B244,$FJ244,0)+$FI245</f>
        <v/>
      </c>
      <c r="FK245" s="55">
        <f>$FK244+$FI245</f>
        <v/>
      </c>
      <c r="FL245" s="55">
        <f>SUMIFS(tblPlant[Lime_kg],tblPlant[Date],$A245)</f>
        <v/>
      </c>
      <c r="FM245" s="55">
        <f>IF($B245=$B244,$FM244,0)+$FL245</f>
        <v/>
      </c>
      <c r="FN245" s="55">
        <f>$FN244+$FL245</f>
        <v/>
      </c>
      <c r="FO245" s="55">
        <f>SUMIFS(tblPlant[Grinding_Media_kg],tblPlant[Date],$A245)</f>
        <v/>
      </c>
      <c r="FP245" s="55">
        <f>IF($B245=$B244,$FP244,0)+$FO245</f>
        <v/>
      </c>
      <c r="FQ245" s="55">
        <f>$FQ244+$FO245</f>
        <v/>
      </c>
      <c r="FR245" s="55">
        <f>SUMIFS(tblPlant[Power_kWh],tblPlant[Date],$A245)</f>
        <v/>
      </c>
      <c r="FS245" s="55">
        <f>IF($B245=$B244,$FS244,0)+$FR245</f>
        <v/>
      </c>
      <c r="FT245" s="55">
        <f>$FT244+$FR245</f>
        <v/>
      </c>
      <c r="FU245" s="55">
        <f>SUMIFS(tblPlant[Raw_Water_m3],tblPlant[Date],$A245)</f>
        <v/>
      </c>
      <c r="FV245" s="55">
        <f>IF($B245=$B244,$FV244,0)+$FU245</f>
        <v/>
      </c>
      <c r="FW245" s="55">
        <f>$FW244+$FU245</f>
        <v/>
      </c>
      <c r="FX245" s="56">
        <f>IFERROR(IF(($CU245)&gt;0,($FI245)/($CU245),""),"")</f>
        <v/>
      </c>
      <c r="FY245" s="56">
        <f>IFERROR(IF(($CV245)&gt;0,($FJ245)/($CV245),""),"")</f>
        <v/>
      </c>
      <c r="FZ245" s="56">
        <f>IFERROR(IF(($CW245)&gt;0,($FK245)/($CW245),""),"")</f>
        <v/>
      </c>
      <c r="GA245" s="56">
        <f>IFERROR(IF(($CU245)&gt;0,($FL245)/($CU245),""),"")</f>
        <v/>
      </c>
      <c r="GB245" s="56">
        <f>IFERROR(IF(($CV245)&gt;0,($FM245)/($CV245),""),"")</f>
        <v/>
      </c>
      <c r="GC245" s="56">
        <f>IFERROR(IF(($CW245)&gt;0,($FN245)/($CW245),""),"")</f>
        <v/>
      </c>
      <c r="GD245" s="56">
        <f>IFERROR(IF(($CU245)&gt;0,($FO245)/($CU245),""),"")</f>
        <v/>
      </c>
      <c r="GE245" s="56">
        <f>IFERROR(IF(($CV245)&gt;0,($FP245)/($CV245),""),"")</f>
        <v/>
      </c>
      <c r="GF245" s="56">
        <f>IFERROR(IF(($CW245)&gt;0,($FQ245)/($CW245),""),"")</f>
        <v/>
      </c>
      <c r="GG245" s="79">
        <f>IFERROR(IF(($CU245)&gt;0,($FR245)/($CU245),""),"")</f>
        <v/>
      </c>
      <c r="GH245" s="79">
        <f>IFERROR(IF(($CV245)&gt;0,($FS245)/($CV245),""),"")</f>
        <v/>
      </c>
      <c r="GI245" s="79">
        <f>IFERROR(IF(($CW245)&gt;0,($FT245)/($CW245),""),"")</f>
        <v/>
      </c>
      <c r="GJ245" s="56">
        <f>IFERROR(IF(($CU245)&gt;0,($FU245)/($CU245),""),"")</f>
        <v/>
      </c>
      <c r="GK245" s="56">
        <f>IFERROR(IF(($CV245)&gt;0,($FV245)/($CV245),""),"")</f>
        <v/>
      </c>
      <c r="GL245" s="56">
        <f>IFERROR(IF(($CW245)&gt;0,($FW245)/($CW245),""),"")</f>
        <v/>
      </c>
      <c r="GM245" s="55">
        <f>IF(SUMIFS(tblPlant[GIC_oz],tblPlant[Date],$A245)&gt;0,SUMIFS(tblPlant[GIC_oz],tblPlant[Date],$A245),"")</f>
        <v/>
      </c>
      <c r="GN245" s="55">
        <f>SUMIFS(tblGold[Gold_oz],tblGold[Date],$A245,tblGold[Type],"Shipment")</f>
        <v/>
      </c>
      <c r="GO245" s="55">
        <f>IF($B245=$B244,$GO244,0)+$GN245</f>
        <v/>
      </c>
      <c r="GP245" s="55">
        <f>$GP244+$GN245</f>
        <v/>
      </c>
      <c r="GQ245" s="55">
        <f>SUMIFS(tblGold[Gold_oz],tblGold[Date],$A245,tblGold[Type],"Sale")</f>
        <v/>
      </c>
      <c r="GR245" s="55">
        <f>IF($B245=$B244,$GR244,0)+$GQ245</f>
        <v/>
      </c>
      <c r="GS245" s="55">
        <f>$GS244+$GQ245</f>
        <v/>
      </c>
      <c r="GT245" s="55">
        <f>SUMIFS(tblGold[Dore_kg],tblGold[Date],$A245,tblGold[Type],"Shipment")</f>
        <v/>
      </c>
      <c r="GU245" s="55">
        <f>IF($B245=$B244,$GU244,0)+$GT245</f>
        <v/>
      </c>
      <c r="GV245" s="55">
        <f>$GV244+$GT245</f>
        <v/>
      </c>
      <c r="GW245" s="57">
        <f>SUMIFS(tblSafety[Hours_Total],tblSafety[Date],$A245)</f>
        <v/>
      </c>
      <c r="GX245" s="57">
        <f>IF($B245=$B244,$GX244,0)+$GW245</f>
        <v/>
      </c>
      <c r="GY245" s="57">
        <f>$GY244+$GW245</f>
        <v/>
      </c>
      <c r="GZ245" s="62">
        <f>SUMIFS(tblSafety[Fatality],tblSafety[Date],$A245)</f>
        <v/>
      </c>
      <c r="HA245" s="62">
        <f>IF($B245=$B244,$HA244,0)+$GZ245</f>
        <v/>
      </c>
      <c r="HB245" s="62">
        <f>$HB244+$GZ245</f>
        <v/>
      </c>
      <c r="HC245" s="62">
        <f>SUMIFS(tblSafety[LTI],tblSafety[Date],$A245)</f>
        <v/>
      </c>
      <c r="HD245" s="62">
        <f>IF($B245=$B244,$HD244,0)+$HC245</f>
        <v/>
      </c>
      <c r="HE245" s="62">
        <f>$HE244+$HC245</f>
        <v/>
      </c>
      <c r="HF245" s="62">
        <f>SUMIFS(tblSafety[RWI],tblSafety[Date],$A245)</f>
        <v/>
      </c>
      <c r="HG245" s="62">
        <f>IF($B245=$B244,$HG244,0)+$HF245</f>
        <v/>
      </c>
      <c r="HH245" s="62">
        <f>$HH244+$HF245</f>
        <v/>
      </c>
      <c r="HI245" s="62">
        <f>SUMIFS(tblSafety[MTI],tblSafety[Date],$A245)</f>
        <v/>
      </c>
      <c r="HJ245" s="62">
        <f>IF($B245=$B244,$HJ244,0)+$HI245</f>
        <v/>
      </c>
      <c r="HK245" s="62">
        <f>$HK244+$HI245</f>
        <v/>
      </c>
      <c r="HL245" s="62">
        <f>SUMIFS(tblSafety[FAI],tblSafety[Date],$A245)</f>
        <v/>
      </c>
      <c r="HM245" s="62">
        <f>IF($B245=$B244,$HM244,0)+$HL245</f>
        <v/>
      </c>
      <c r="HN245" s="62">
        <f>$HN244+$HL245</f>
        <v/>
      </c>
      <c r="HO245" s="62">
        <f>SUMIFS(tblSafety[Recordables],tblSafety[Date],$A245)</f>
        <v/>
      </c>
      <c r="HP245" s="62">
        <f>IF($B245=$B244,$HP244,0)+$HO245</f>
        <v/>
      </c>
      <c r="HQ245" s="62">
        <f>$HQ244+$HO245</f>
        <v/>
      </c>
      <c r="HR245" s="62">
        <f>SUMIFS(tblSafety[Near_Miss],tblSafety[Date],$A245)</f>
        <v/>
      </c>
      <c r="HS245" s="62">
        <f>IF($B245=$B244,$HS244,0)+$HR245</f>
        <v/>
      </c>
      <c r="HT245" s="62">
        <f>$HT244+$HR245</f>
        <v/>
      </c>
      <c r="HU245" s="62">
        <f>SUMIFS(tblSafety[Hazard_Reports],tblSafety[Date],$A245)</f>
        <v/>
      </c>
      <c r="HV245" s="62">
        <f>IF($B245=$B244,$HV244,0)+$HU245</f>
        <v/>
      </c>
      <c r="HW245" s="62">
        <f>$HW244+$HU245</f>
        <v/>
      </c>
      <c r="HX245" s="62">
        <f>SUMIFS(tblSafety[HPI],tblSafety[Date],$A245)</f>
        <v/>
      </c>
      <c r="HY245" s="62">
        <f>IF($B245=$B244,$HY244,0)+$HX245</f>
        <v/>
      </c>
      <c r="HZ245" s="62">
        <f>$HZ244+$HX245</f>
        <v/>
      </c>
      <c r="IA245" s="62">
        <f>SUMIFS(tblSafety[Env_Incidents],tblSafety[Date],$A245)</f>
        <v/>
      </c>
      <c r="IB245" s="62">
        <f>IF($B245=$B244,$IB244,0)+$IA245</f>
        <v/>
      </c>
      <c r="IC245" s="62">
        <f>$IC244+$IA245</f>
        <v/>
      </c>
      <c r="ID245" s="62">
        <f>SUMIFS(tblSafety[Community_Incidents],tblSafety[Date],$A245)</f>
        <v/>
      </c>
      <c r="IE245" s="62">
        <f>IF($B245=$B244,$IE244,0)+$ID245</f>
        <v/>
      </c>
      <c r="IF245" s="62">
        <f>$IF244+$ID245</f>
        <v/>
      </c>
      <c r="IG245" s="62">
        <f>SUMIFS(tblSafety[Vehicle_Incidents],tblSafety[Date],$A245)</f>
        <v/>
      </c>
      <c r="IH245" s="62">
        <f>IF($B245=$B244,$IH244,0)+$IG245</f>
        <v/>
      </c>
      <c r="II245" s="62">
        <f>$II244+$IG245</f>
        <v/>
      </c>
      <c r="IJ245" s="62">
        <f>SUMIFS(tblSafety[Toolbox_Talks],tblSafety[Date],$A245)</f>
        <v/>
      </c>
      <c r="IK245" s="62">
        <f>IF($B245=$B244,$IK244,0)+$IJ245</f>
        <v/>
      </c>
      <c r="IL245" s="62">
        <f>$IL244+$IJ245</f>
        <v/>
      </c>
      <c r="IM245" s="62">
        <f>SUMIFS(tblSafety[Inspections],tblSafety[Date],$A245)</f>
        <v/>
      </c>
      <c r="IN245" s="62">
        <f>IF($B245=$B244,$IN244,0)+$IM245</f>
        <v/>
      </c>
      <c r="IO245" s="62">
        <f>$IO244+$IM245</f>
        <v/>
      </c>
      <c r="IP245" s="56">
        <f>IFERROR((SUMIFS(tblSafety[Recordables],tblSafety[Date],"&gt;="&amp;EDATE($E245,-12),tblSafety[Date],"&lt;="&amp;$A245)+SUMIFS(tblSafetyHistory[Recordables],tblSafetyHistory[Month],"&gt;="&amp;EDATE($E245,-12),tblSafetyHistory[Month],"&lt;"&amp;$E245,tblSafetyHistory[Use],1))/(SUMIFS(tblSafety[Hours_Total],tblSafety[Date],"&gt;="&amp;EDATE($E245,-12),tblSafety[Date],"&lt;="&amp;$A245)+SUMIFS(tblSafetyHistory[Hours_Total],tblSafetyHistory[Month],"&gt;="&amp;EDATE($E245,-12),tblSafetyHistory[Month],"&lt;"&amp;$E245,tblSafetyHistory[Use],1))*cfg_RateBasisHours,"")</f>
        <v/>
      </c>
      <c r="IQ245" s="56">
        <f>IFERROR((SUMIFS(tblSafety[LTI],tblSafety[Date],"&gt;="&amp;EDATE($E245,-12),tblSafety[Date],"&lt;="&amp;$A245)+SUMIFS(tblSafetyHistory[LTI],tblSafetyHistory[Month],"&gt;="&amp;EDATE($E245,-12),tblSafetyHistory[Month],"&lt;"&amp;$E245,tblSafetyHistory[Use],1))/(SUMIFS(tblSafety[Hours_Total],tblSafety[Date],"&gt;="&amp;EDATE($E245,-12),tblSafety[Date],"&lt;="&amp;$A245)+SUMIFS(tblSafetyHistory[Hours_Total],tblSafetyHistory[Month],"&gt;="&amp;EDATE($E245,-12),tblSafetyHistory[Month],"&lt;"&amp;$E245,tblSafetyHistory[Use],1))*cfg_RateBasisHours,"")</f>
        <v/>
      </c>
      <c r="IR245" s="62">
        <f>IF(MAX(N(cfg_PriorLTIDate),_xlfn.MAXIFS(tblSafety[Date],tblSafety[LTI],"&gt;0",tblSafety[Date],"&lt;="&amp;$A245))=0,"",$A245-MAX(N(cfg_PriorLTIDate),_xlfn.MAXIFS(tblSafety[Date],tblSafety[LTI],"&gt;0",tblSafety[Date],"&lt;="&amp;$A245)))</f>
        <v/>
      </c>
      <c r="IS245" s="55">
        <f>SUMIFS(tblBudget[Ore_Mined_t],tblBudget[Month],$E245)</f>
        <v/>
      </c>
      <c r="IT245" s="55">
        <f>$IS245*$C245/$D245</f>
        <v/>
      </c>
      <c r="IU245" s="55">
        <f>SUMIFS(tblBudget[Ore_Mined_t],tblBudget[Month],"&lt;"&amp;$E245)+$IT245</f>
        <v/>
      </c>
      <c r="IV245" s="55">
        <f>SUMIFS(tblBudget[Ore_oz],tblBudget[Month],$E245)</f>
        <v/>
      </c>
      <c r="IW245" s="55">
        <f>$IV245*$C245/$D245</f>
        <v/>
      </c>
      <c r="IX245" s="55">
        <f>SUMIFS(tblBudget[Ore_oz],tblBudget[Month],"&lt;"&amp;$E245)+$IW245</f>
        <v/>
      </c>
      <c r="IY245" s="55">
        <f>SUMIFS(tblBudget[Ore_Mined_t],tblBudget[Month],$E245)</f>
        <v/>
      </c>
      <c r="IZ245" s="55">
        <f>$IY245*$C245/$D245</f>
        <v/>
      </c>
      <c r="JA245" s="55">
        <f>SUMIFS(tblBudget[Ore_Mined_t],tblBudget[Month],"&lt;"&amp;$E245)+$IZ245</f>
        <v/>
      </c>
      <c r="JB245" s="56">
        <f>IFERROR(IF(($IY245)&gt;0,($IV245*cfg_TroyOz)/($IY245),""),"")</f>
        <v/>
      </c>
      <c r="JC245" s="56">
        <f>IFERROR(IF(($IZ245)&gt;0,($IW245*cfg_TroyOz)/($IZ245),""),"")</f>
        <v/>
      </c>
      <c r="JD245" s="56">
        <f>IFERROR(IF(($JA245)&gt;0,($IX245*cfg_TroyOz)/($JA245),""),"")</f>
        <v/>
      </c>
      <c r="JE245" s="55">
        <f>SUMIFS(tblBudget[Waste_t],tblBudget[Month],$E245)</f>
        <v/>
      </c>
      <c r="JF245" s="55">
        <f>$JE245*$C245/$D245</f>
        <v/>
      </c>
      <c r="JG245" s="55">
        <f>SUMIFS(tblBudget[Waste_t],tblBudget[Month],"&lt;"&amp;$E245)+$JF245</f>
        <v/>
      </c>
      <c r="JH245" s="55">
        <f>SUMIFS(tblBudget[TMM_t],tblBudget[Month],$E245)</f>
        <v/>
      </c>
      <c r="JI245" s="55">
        <f>$JH245*$C245/$D245</f>
        <v/>
      </c>
      <c r="JJ245" s="55">
        <f>SUMIFS(tblBudget[TMM_t],tblBudget[Month],"&lt;"&amp;$E245)+$JI245</f>
        <v/>
      </c>
      <c r="JK245" s="56">
        <f>IFERROR(IF(($IS245)&gt;0,($JE245)/($IS245),""),"")</f>
        <v/>
      </c>
      <c r="JL245" s="56">
        <f>IFERROR(IF(($IT245)&gt;0,($JF245)/($IT245),""),"")</f>
        <v/>
      </c>
      <c r="JM245" s="56">
        <f>IFERROR(IF(($IU245)&gt;0,($JG245)/($IU245),""),"")</f>
        <v/>
      </c>
      <c r="JN245" s="55">
        <f>SUMIFS(tblBudget[Drill_m],tblBudget[Month],$E245)</f>
        <v/>
      </c>
      <c r="JO245" s="55">
        <f>$JN245*$C245/$D245</f>
        <v/>
      </c>
      <c r="JP245" s="55">
        <f>SUMIFS(tblBudget[Drill_m],tblBudget[Month],"&lt;"&amp;$E245)+$JO245</f>
        <v/>
      </c>
      <c r="JQ245" s="55">
        <f>SUMIFS(tblBudget[Diesel_L],tblBudget[Month],$E245)</f>
        <v/>
      </c>
      <c r="JR245" s="55">
        <f>$JQ245*$C245/$D245</f>
        <v/>
      </c>
      <c r="JS245" s="55">
        <f>SUMIFS(tblBudget[Diesel_L],tblBudget[Month],"&lt;"&amp;$E245)+$JR245</f>
        <v/>
      </c>
      <c r="JT245" s="55">
        <f>SUMIFS(tblBudget[Milled_t],tblBudget[Month],$E245)</f>
        <v/>
      </c>
      <c r="JU245" s="55">
        <f>$JT245*$C245/$D245</f>
        <v/>
      </c>
      <c r="JV245" s="55">
        <f>SUMIFS(tblBudget[Milled_t],tblBudget[Month],"&lt;"&amp;$E245)+$JU245</f>
        <v/>
      </c>
      <c r="JW245" s="55">
        <f>SUMIFS(tblBudget[Feed_oz],tblBudget[Month],$E245)</f>
        <v/>
      </c>
      <c r="JX245" s="55">
        <f>$JW245*$C245/$D245</f>
        <v/>
      </c>
      <c r="JY245" s="55">
        <f>SUMIFS(tblBudget[Feed_oz],tblBudget[Month],"&lt;"&amp;$E245)+$JX245</f>
        <v/>
      </c>
      <c r="JZ245" s="55">
        <f>SUMIFS(tblBudget[Recovered_oz],tblBudget[Month],$E245)</f>
        <v/>
      </c>
      <c r="KA245" s="55">
        <f>$JZ245*$C245/$D245</f>
        <v/>
      </c>
      <c r="KB245" s="55">
        <f>SUMIFS(tblBudget[Recovered_oz],tblBudget[Month],"&lt;"&amp;$E245)+$KA245</f>
        <v/>
      </c>
      <c r="KC245" s="55">
        <f>SUMIFS(tblBudget[Milled_t],tblBudget[Month],$E245)</f>
        <v/>
      </c>
      <c r="KD245" s="55">
        <f>$KC245*$C245/$D245</f>
        <v/>
      </c>
      <c r="KE245" s="55">
        <f>SUMIFS(tblBudget[Milled_t],tblBudget[Month],"&lt;"&amp;$E245)+$KD245</f>
        <v/>
      </c>
      <c r="KF245" s="55">
        <f>SUMIFS(tblBudget[Feed_oz],tblBudget[Month],$E245)</f>
        <v/>
      </c>
      <c r="KG245" s="55">
        <f>$KF245*$C245/$D245</f>
        <v/>
      </c>
      <c r="KH245" s="55">
        <f>SUMIFS(tblBudget[Feed_oz],tblBudget[Month],"&lt;"&amp;$E245)+$KG245</f>
        <v/>
      </c>
      <c r="KI245" s="56">
        <f>IFERROR(IF(($KC245)&gt;0,($JW245*cfg_TroyOz)/($KC245),""),"")</f>
        <v/>
      </c>
      <c r="KJ245" s="56">
        <f>IFERROR(IF(($KD245)&gt;0,($JX245*cfg_TroyOz)/($KD245),""),"")</f>
        <v/>
      </c>
      <c r="KK245" s="56">
        <f>IFERROR(IF(($KE245)&gt;0,($JY245*cfg_TroyOz)/($KE245),""),"")</f>
        <v/>
      </c>
      <c r="KL245" s="67">
        <f>IFERROR(IF(($KF245)&gt;0,($JZ245)/($KF245),""),"")</f>
        <v/>
      </c>
      <c r="KM245" s="67">
        <f>IFERROR(IF(($KG245)&gt;0,($KA245)/($KG245),""),"")</f>
        <v/>
      </c>
      <c r="KN245" s="67">
        <f>IFERROR(IF(($KH245)&gt;0,($KB245)/($KH245),""),"")</f>
        <v/>
      </c>
      <c r="KO245" s="55">
        <f>SUMIFS(tblBudget[Gold_Poured_oz],tblBudget[Month],$E245)</f>
        <v/>
      </c>
      <c r="KP245" s="55">
        <f>$KO245*$C245/$D245</f>
        <v/>
      </c>
      <c r="KQ245" s="55">
        <f>SUMIFS(tblBudget[Gold_Poured_oz],tblBudget[Month],"&lt;"&amp;$E245)+$KP245</f>
        <v/>
      </c>
      <c r="KR245" s="57">
        <f>SUMIFS(tblBudget[Hours_Worked],tblBudget[Month],$E245)</f>
        <v/>
      </c>
      <c r="KS245" s="57">
        <f>$KR245*$C245/$D245</f>
        <v/>
      </c>
      <c r="KT245" s="57">
        <f>SUMIFS(tblBudget[Hours_Worked],tblBudget[Month],"&lt;"&amp;$E245)+$KS245</f>
        <v/>
      </c>
    </row>
    <row r="246">
      <c r="A246" s="54" t="n">
        <v>46267</v>
      </c>
      <c r="B246">
        <f>MONTH($A246)</f>
        <v/>
      </c>
      <c r="C246">
        <f>DAY($A246)</f>
        <v/>
      </c>
      <c r="D246">
        <f>DAY(EOMONTH($A246,0))</f>
        <v/>
      </c>
      <c r="E246" s="54">
        <f>DATE(YEAR($A246),MONTH($A246),1)</f>
        <v/>
      </c>
      <c r="F246" s="55">
        <f>SUMIFS(tblMovement[Tonnes_t],tblMovement[Date],$A246,tblMovement[Is_Ore],1,tblMovement[Source_Type],"Pit")</f>
        <v/>
      </c>
      <c r="G246" s="55">
        <f>IF($B246=$B245,$G245,0)+$F246</f>
        <v/>
      </c>
      <c r="H246" s="55">
        <f>$H245+$F246</f>
        <v/>
      </c>
      <c r="I246" s="55">
        <f>SUMIFS(tblMovement[Ore_oz],tblMovement[Date],$A246,tblMovement[Source_Type],"Pit")</f>
        <v/>
      </c>
      <c r="J246" s="55">
        <f>IF($B246=$B245,$J245,0)+$I246</f>
        <v/>
      </c>
      <c r="K246" s="55">
        <f>$K245+$I246</f>
        <v/>
      </c>
      <c r="L246" s="55">
        <f>SUMIFS(tblMovement[Tonnes_t],tblMovement[Date],$A246,tblMovement[Is_Ore],1,tblMovement[Source_Type],"Pit",tblMovement[Grade_gpt],"&lt;&gt;")</f>
        <v/>
      </c>
      <c r="M246" s="55">
        <f>IF($B246=$B245,$M245,0)+$L246</f>
        <v/>
      </c>
      <c r="N246" s="55">
        <f>$N245+$L246</f>
        <v/>
      </c>
      <c r="O246" s="56">
        <f>IFERROR(IF(($L246)&gt;0,($I246*cfg_TroyOz)/($L246),""),"")</f>
        <v/>
      </c>
      <c r="P246" s="56">
        <f>IFERROR(IF(($M246)&gt;0,($J246*cfg_TroyOz)/($M246),""),"")</f>
        <v/>
      </c>
      <c r="Q246" s="56">
        <f>IFERROR(IF(($N246)&gt;0,($K246*cfg_TroyOz)/($N246),""),"")</f>
        <v/>
      </c>
      <c r="R246" s="55">
        <f>$F246-$L246</f>
        <v/>
      </c>
      <c r="S246" s="55">
        <f>IF($B246=$B245,$S245,0)+$R246</f>
        <v/>
      </c>
      <c r="T246" s="55">
        <f>$T245+$R246</f>
        <v/>
      </c>
      <c r="U246" s="55">
        <f>SUMIFS(tblMovement[Tonnes_t],tblMovement[Date],$A246,tblMovement[Is_Ore],0,tblMovement[Source_Type],"Pit")</f>
        <v/>
      </c>
      <c r="V246" s="55">
        <f>IF($B246=$B245,$V245,0)+$U246</f>
        <v/>
      </c>
      <c r="W246" s="55">
        <f>$W245+$U246</f>
        <v/>
      </c>
      <c r="X246" s="55">
        <f>$F246+$U246</f>
        <v/>
      </c>
      <c r="Y246" s="55">
        <f>IF($B246=$B245,$Y245,0)+$X246</f>
        <v/>
      </c>
      <c r="Z246" s="55">
        <f>$Z245+$X246</f>
        <v/>
      </c>
      <c r="AA246" s="56">
        <f>IFERROR(IF(($F246)&gt;0,($U246)/($F246),""),"")</f>
        <v/>
      </c>
      <c r="AB246" s="56">
        <f>IFERROR(IF(($G246)&gt;0,($V246)/($G246),""),"")</f>
        <v/>
      </c>
      <c r="AC246" s="56">
        <f>IFERROR(IF(($H246)&gt;0,($W246)/($H246),""),"")</f>
        <v/>
      </c>
      <c r="AD246" s="55">
        <f>SUMIFS(tblMovement[Tonnes_t],tblMovement[Date],$A246,tblMovement[Source_Type],"Stockpile")</f>
        <v/>
      </c>
      <c r="AE246" s="55">
        <f>IF($B246=$B245,$AE245,0)+$AD246</f>
        <v/>
      </c>
      <c r="AF246" s="55">
        <f>$AF245+$AD246</f>
        <v/>
      </c>
      <c r="AG246" s="55">
        <f>SUMIFS(tblMovement[Tonnes_t],tblMovement[Date],$A246)</f>
        <v/>
      </c>
      <c r="AH246" s="55">
        <f>IF($B246=$B245,$AH245,0)+$AG246</f>
        <v/>
      </c>
      <c r="AI246" s="55">
        <f>$AI245+$AG246</f>
        <v/>
      </c>
      <c r="AJ246" s="55">
        <f>$AG246-$X246-$AD246</f>
        <v/>
      </c>
      <c r="AK246" s="55">
        <f>IF($B246=$B245,$AK245,0)+$AJ246</f>
        <v/>
      </c>
      <c r="AL246" s="55">
        <f>$AL245+$AJ246</f>
        <v/>
      </c>
      <c r="AM246" s="55">
        <f>SUMIFS(tblMiningDaily[Drill_m],tblMiningDaily[Date],$A246)</f>
        <v/>
      </c>
      <c r="AN246" s="55">
        <f>IF($B246=$B245,$AN245,0)+$AM246</f>
        <v/>
      </c>
      <c r="AO246" s="55">
        <f>$AO245+$AM246</f>
        <v/>
      </c>
      <c r="AP246" s="55">
        <f>SUMIFS(tblMiningDaily[GC_Drill_m],tblMiningDaily[Date],$A246)</f>
        <v/>
      </c>
      <c r="AQ246" s="55">
        <f>IF($B246=$B245,$AQ245,0)+$AP246</f>
        <v/>
      </c>
      <c r="AR246" s="55">
        <f>$AR245+$AP246</f>
        <v/>
      </c>
      <c r="AS246" s="55">
        <f>SUMIFS(tblMiningDaily[Blast_t],tblMiningDaily[Date],$A246)</f>
        <v/>
      </c>
      <c r="AT246" s="55">
        <f>IF($B246=$B245,$AT245,0)+$AS246</f>
        <v/>
      </c>
      <c r="AU246" s="55">
        <f>$AU245+$AS246</f>
        <v/>
      </c>
      <c r="AV246" s="55">
        <f>SUMIFS(tblMiningDaily[Explosives_kg],tblMiningDaily[Date],$A246)</f>
        <v/>
      </c>
      <c r="AW246" s="55">
        <f>IF($B246=$B245,$AW245,0)+$AV246</f>
        <v/>
      </c>
      <c r="AX246" s="55">
        <f>$AX245+$AV246</f>
        <v/>
      </c>
      <c r="AY246" s="56">
        <f>IFERROR(IF(($AS246)&gt;0,($AV246)/($AS246),""),"")</f>
        <v/>
      </c>
      <c r="AZ246" s="56">
        <f>IFERROR(IF(($AT246)&gt;0,($AW246)/($AT246),""),"")</f>
        <v/>
      </c>
      <c r="BA246" s="56">
        <f>IFERROR(IF(($AU246)&gt;0,($AX246)/($AU246),""),"")</f>
        <v/>
      </c>
      <c r="BB246" s="55">
        <f>SUMIFS(tblMiningDaily[Diesel_L],tblMiningDaily[Date],$A246)</f>
        <v/>
      </c>
      <c r="BC246" s="55">
        <f>IF($B246=$B245,$BC245,0)+$BB246</f>
        <v/>
      </c>
      <c r="BD246" s="55">
        <f>$BD245+$BB246</f>
        <v/>
      </c>
      <c r="BE246" s="55">
        <f>SUMIFS(tblMiningDaily[Dewatering_m3],tblMiningDaily[Date],$A246)</f>
        <v/>
      </c>
      <c r="BF246" s="55">
        <f>IF($B246=$B245,$BF245,0)+$BE246</f>
        <v/>
      </c>
      <c r="BG246" s="55">
        <f>$BG245+$BE246</f>
        <v/>
      </c>
      <c r="BH246" s="57">
        <f>SUMIFS(tblFleet[Calendar_h],tblFleet[Date],$A246,tblFleet[Equipment_Class],"Excavator")</f>
        <v/>
      </c>
      <c r="BI246" s="57">
        <f>IF($B246=$B245,$BI245,0)+$BH246</f>
        <v/>
      </c>
      <c r="BJ246" s="57">
        <f>$BJ245+$BH246</f>
        <v/>
      </c>
      <c r="BK246" s="57">
        <f>SUMIFS(tblFleet[Available_h],tblFleet[Date],$A246,tblFleet[Equipment_Class],"Excavator")</f>
        <v/>
      </c>
      <c r="BL246" s="57">
        <f>IF($B246=$B245,$BL245,0)+$BK246</f>
        <v/>
      </c>
      <c r="BM246" s="57">
        <f>$BM245+$BK246</f>
        <v/>
      </c>
      <c r="BN246" s="57">
        <f>SUMIFS(tblFleet[Operating_h],tblFleet[Date],$A246,tblFleet[Equipment_Class],"Excavator")</f>
        <v/>
      </c>
      <c r="BO246" s="57">
        <f>IF($B246=$B245,$BO245,0)+$BN246</f>
        <v/>
      </c>
      <c r="BP246" s="57">
        <f>$BP245+$BN246</f>
        <v/>
      </c>
      <c r="BQ246" s="67">
        <f>IFERROR(IF(($BH246)&gt;0,($BK246)/($BH246),""),"")</f>
        <v/>
      </c>
      <c r="BR246" s="67">
        <f>IFERROR(IF(($BI246)&gt;0,($BL246)/($BI246),""),"")</f>
        <v/>
      </c>
      <c r="BS246" s="67">
        <f>IFERROR(IF(($BJ246)&gt;0,($BM246)/($BJ246),""),"")</f>
        <v/>
      </c>
      <c r="BT246" s="67">
        <f>IFERROR(IF(($BK246)&gt;0,($BN246)/($BK246),""),"")</f>
        <v/>
      </c>
      <c r="BU246" s="67">
        <f>IFERROR(IF(($BL246)&gt;0,($BO246)/($BL246),""),"")</f>
        <v/>
      </c>
      <c r="BV246" s="67">
        <f>IFERROR(IF(($BM246)&gt;0,($BP246)/($BM246),""),"")</f>
        <v/>
      </c>
      <c r="BW246" s="57">
        <f>SUMIFS(tblFleet[Calendar_h],tblFleet[Date],$A246,tblFleet[Equipment_Class],"Haul Truck")</f>
        <v/>
      </c>
      <c r="BX246" s="57">
        <f>IF($B246=$B245,$BX245,0)+$BW246</f>
        <v/>
      </c>
      <c r="BY246" s="57">
        <f>$BY245+$BW246</f>
        <v/>
      </c>
      <c r="BZ246" s="57">
        <f>SUMIFS(tblFleet[Available_h],tblFleet[Date],$A246,tblFleet[Equipment_Class],"Haul Truck")</f>
        <v/>
      </c>
      <c r="CA246" s="57">
        <f>IF($B246=$B245,$CA245,0)+$BZ246</f>
        <v/>
      </c>
      <c r="CB246" s="57">
        <f>$CB245+$BZ246</f>
        <v/>
      </c>
      <c r="CC246" s="57">
        <f>SUMIFS(tblFleet[Operating_h],tblFleet[Date],$A246,tblFleet[Equipment_Class],"Haul Truck")</f>
        <v/>
      </c>
      <c r="CD246" s="57">
        <f>IF($B246=$B245,$CD245,0)+$CC246</f>
        <v/>
      </c>
      <c r="CE246" s="57">
        <f>$CE245+$CC246</f>
        <v/>
      </c>
      <c r="CF246" s="67">
        <f>IFERROR(IF(($BW246)&gt;0,($BZ246)/($BW246),""),"")</f>
        <v/>
      </c>
      <c r="CG246" s="67">
        <f>IFERROR(IF(($BX246)&gt;0,($CA246)/($BX246),""),"")</f>
        <v/>
      </c>
      <c r="CH246" s="67">
        <f>IFERROR(IF(($BY246)&gt;0,($CB246)/($BY246),""),"")</f>
        <v/>
      </c>
      <c r="CI246" s="67">
        <f>IFERROR(IF(($BZ246)&gt;0,($CC246)/($BZ246),""),"")</f>
        <v/>
      </c>
      <c r="CJ246" s="67">
        <f>IFERROR(IF(($CA246)&gt;0,($CD246)/($CA246),""),"")</f>
        <v/>
      </c>
      <c r="CK246" s="67">
        <f>IFERROR(IF(($CB246)&gt;0,($CE246)/($CB246),""),"")</f>
        <v/>
      </c>
      <c r="CL246" s="55">
        <f>IFERROR(IF(($BN246)&gt;0,($X246+$AD246)/($BN246),""),"")</f>
        <v/>
      </c>
      <c r="CM246" s="55">
        <f>IFERROR(IF(($BO246)&gt;0,($Y246+$AE246)/($BO246),""),"")</f>
        <v/>
      </c>
      <c r="CN246" s="55">
        <f>IFERROR(IF(($BP246)&gt;0,($Z246+$AF246)/($BP246),""),"")</f>
        <v/>
      </c>
      <c r="CO246" s="55">
        <f>IFERROR(IF(($CC246)&gt;0,($X246+$AD246)/($CC246),""),"")</f>
        <v/>
      </c>
      <c r="CP246" s="55">
        <f>IFERROR(IF(($CD246)&gt;0,($Y246+$AE246)/($CD246),""),"")</f>
        <v/>
      </c>
      <c r="CQ246" s="55">
        <f>IFERROR(IF(($CE246)&gt;0,($Z246+$AF246)/($CE246),""),"")</f>
        <v/>
      </c>
      <c r="CR246" s="55">
        <f>SUMIFS(tblPlant[Crushed_t],tblPlant[Date],$A246)</f>
        <v/>
      </c>
      <c r="CS246" s="55">
        <f>IF($B246=$B245,$CS245,0)+$CR246</f>
        <v/>
      </c>
      <c r="CT246" s="55">
        <f>$CT245+$CR246</f>
        <v/>
      </c>
      <c r="CU246" s="55">
        <f>SUMIFS(tblPlant[Milled_t],tblPlant[Date],$A246)</f>
        <v/>
      </c>
      <c r="CV246" s="55">
        <f>IF($B246=$B245,$CV245,0)+$CU246</f>
        <v/>
      </c>
      <c r="CW246" s="55">
        <f>$CW245+$CU246</f>
        <v/>
      </c>
      <c r="CX246" s="55">
        <f>SUMIFS(tblPlant[Feed_oz],tblPlant[Date],$A246)</f>
        <v/>
      </c>
      <c r="CY246" s="55">
        <f>IF($B246=$B245,$CY245,0)+$CX246</f>
        <v/>
      </c>
      <c r="CZ246" s="55">
        <f>$CZ245+$CX246</f>
        <v/>
      </c>
      <c r="DA246" s="55">
        <f>SUMIFS(tblPlant[Tails_oz],tblPlant[Date],$A246)</f>
        <v/>
      </c>
      <c r="DB246" s="55">
        <f>IF($B246=$B245,$DB245,0)+$DA246</f>
        <v/>
      </c>
      <c r="DC246" s="55">
        <f>$DC245+$DA246</f>
        <v/>
      </c>
      <c r="DD246" s="55">
        <f>SUMIFS(tblPlant[Recovered_oz],tblPlant[Date],$A246)</f>
        <v/>
      </c>
      <c r="DE246" s="55">
        <f>IF($B246=$B245,$DE245,0)+$DD246</f>
        <v/>
      </c>
      <c r="DF246" s="55">
        <f>$DF245+$DD246</f>
        <v/>
      </c>
      <c r="DG246" s="55">
        <f>SUMIFS(tblPlant[Milled_t],tblPlant[Date],$A246,tblPlant[Head_Grade_gpt],"&lt;&gt;")</f>
        <v/>
      </c>
      <c r="DH246" s="55">
        <f>IF($B246=$B245,$DH245,0)+$DG246</f>
        <v/>
      </c>
      <c r="DI246" s="55">
        <f>$DI245+$DG246</f>
        <v/>
      </c>
      <c r="DJ246" s="55">
        <f>SUMIFS(tblPlant[Milled_t],tblPlant[Date],$A246,tblPlant[Tails_Grade_gpt],"&lt;&gt;")</f>
        <v/>
      </c>
      <c r="DK246" s="55">
        <f>IF($B246=$B245,$DK245,0)+$DJ246</f>
        <v/>
      </c>
      <c r="DL246" s="55">
        <f>$DL245+$DJ246</f>
        <v/>
      </c>
      <c r="DM246" s="55">
        <f>SUMIFS(tblPlant[Feed_oz],tblPlant[Date],$A246,tblPlant[Tails_Grade_gpt],"&lt;&gt;")</f>
        <v/>
      </c>
      <c r="DN246" s="55">
        <f>IF($B246=$B245,$DN245,0)+$DM246</f>
        <v/>
      </c>
      <c r="DO246" s="55">
        <f>$DO245+$DM246</f>
        <v/>
      </c>
      <c r="DP246" s="55">
        <f>SUMIFS(tblPlant[Milled_t],tblPlant[Date],$A246,tblPlant[Mill_Run_h],"&lt;&gt;")</f>
        <v/>
      </c>
      <c r="DQ246" s="55">
        <f>IF($B246=$B245,$DQ245,0)+$DP246</f>
        <v/>
      </c>
      <c r="DR246" s="55">
        <f>$DR245+$DP246</f>
        <v/>
      </c>
      <c r="DS246" s="56">
        <f>IFERROR(IF(($DG246)&gt;0,($CX246*cfg_TroyOz)/($DG246),""),"")</f>
        <v/>
      </c>
      <c r="DT246" s="56">
        <f>IFERROR(IF(($DH246)&gt;0,($CY246*cfg_TroyOz)/($DH246),""),"")</f>
        <v/>
      </c>
      <c r="DU246" s="56">
        <f>IFERROR(IF(($DI246)&gt;0,($CZ246*cfg_TroyOz)/($DI246),""),"")</f>
        <v/>
      </c>
      <c r="DV246" s="56">
        <f>IFERROR(IF(($DJ246)&gt;0,($DA246*cfg_TroyOz)/($DJ246),""),"")</f>
        <v/>
      </c>
      <c r="DW246" s="56">
        <f>IFERROR(IF(($DK246)&gt;0,($DB246*cfg_TroyOz)/($DK246),""),"")</f>
        <v/>
      </c>
      <c r="DX246" s="56">
        <f>IFERROR(IF(($DL246)&gt;0,($DC246*cfg_TroyOz)/($DL246),""),"")</f>
        <v/>
      </c>
      <c r="DY246" s="67">
        <f>IFERROR(IF(($DM246)&gt;0,($DD246)/($DM246),""),"")</f>
        <v/>
      </c>
      <c r="DZ246" s="67">
        <f>IFERROR(IF(($DN246)&gt;0,($DE246)/($DN246),""),"")</f>
        <v/>
      </c>
      <c r="EA246" s="67">
        <f>IFERROR(IF(($DO246)&gt;0,($DF246)/($DO246),""),"")</f>
        <v/>
      </c>
      <c r="EB246" s="55">
        <f>SUMIFS(tblPlant[Gravity_Gold_oz],tblPlant[Date],$A246)</f>
        <v/>
      </c>
      <c r="EC246" s="55">
        <f>IF($B246=$B245,$EC245,0)+$EB246</f>
        <v/>
      </c>
      <c r="ED246" s="55">
        <f>$ED245+$EB246</f>
        <v/>
      </c>
      <c r="EE246" s="67">
        <f>IFERROR(IF(($DD246)&gt;0,($EB246)/($DD246),""),"")</f>
        <v/>
      </c>
      <c r="EF246" s="67">
        <f>IFERROR(IF(($DE246)&gt;0,($EC246)/($DE246),""),"")</f>
        <v/>
      </c>
      <c r="EG246" s="67">
        <f>IFERROR(IF(($DF246)&gt;0,($ED246)/($DF246),""),"")</f>
        <v/>
      </c>
      <c r="EH246" s="55">
        <f>SUMIFS(tblPlant[Gold_Poured_oz],tblPlant[Date],$A246)</f>
        <v/>
      </c>
      <c r="EI246" s="55">
        <f>IF($B246=$B245,$EI245,0)+$EH246</f>
        <v/>
      </c>
      <c r="EJ246" s="55">
        <f>$EJ245+$EH246</f>
        <v/>
      </c>
      <c r="EK246" s="57">
        <f>SUMIFS(tblPlant[Mill_Run_h],tblPlant[Date],$A246)</f>
        <v/>
      </c>
      <c r="EL246" s="57">
        <f>IF($B246=$B245,$EL245,0)+$EK246</f>
        <v/>
      </c>
      <c r="EM246" s="57">
        <f>$EM245+$EK246</f>
        <v/>
      </c>
      <c r="EN246" s="57">
        <f>SUMIFS(tblPlant[Mill_Planned_Maint_h],tblPlant[Date],$A246)</f>
        <v/>
      </c>
      <c r="EO246" s="57">
        <f>IF($B246=$B245,$EO245,0)+$EN246</f>
        <v/>
      </c>
      <c r="EP246" s="57">
        <f>$EP245+$EN246</f>
        <v/>
      </c>
      <c r="EQ246" s="57">
        <f>SUMIFS(tblPlant[Mill_Unplanned_Down_h],tblPlant[Date],$A246)</f>
        <v/>
      </c>
      <c r="ER246" s="57">
        <f>IF($B246=$B245,$ER245,0)+$EQ246</f>
        <v/>
      </c>
      <c r="ES246" s="57">
        <f>$ES245+$EQ246</f>
        <v/>
      </c>
      <c r="ET246" s="57">
        <f>IF(COUNTIFS(tblPlant[Date],$A246,tblPlant[Mill_Run_h],"&lt;&gt;")+COUNTIFS(tblPlant[Date],$A246,tblPlant[Mill_Planned_Maint_h],"&lt;&gt;")+COUNTIFS(tblPlant[Date],$A246,tblPlant[Mill_Unplanned_Down_h],"&lt;&gt;")&gt;0,cfg_HoursPerDay,0)</f>
        <v/>
      </c>
      <c r="EU246" s="57">
        <f>IF($B246=$B245,$EU245,0)+$ET246</f>
        <v/>
      </c>
      <c r="EV246" s="57">
        <f>$EV245+$ET246</f>
        <v/>
      </c>
      <c r="EW246" s="57">
        <f>SUMIFS(tblPlant[Crusher_Run_h],tblPlant[Date],$A246)</f>
        <v/>
      </c>
      <c r="EX246" s="57">
        <f>IF($B246=$B245,$EX245,0)+$EW246</f>
        <v/>
      </c>
      <c r="EY246" s="57">
        <f>$EY245+$EW246</f>
        <v/>
      </c>
      <c r="EZ246" s="55">
        <f>IFERROR(IF(($EK246)&gt;0,($DP246)/($EK246),""),"")</f>
        <v/>
      </c>
      <c r="FA246" s="55">
        <f>IFERROR(IF(($EL246)&gt;0,($DQ246)/($EL246),""),"")</f>
        <v/>
      </c>
      <c r="FB246" s="55">
        <f>IFERROR(IF(($EM246)&gt;0,($DR246)/($EM246),""),"")</f>
        <v/>
      </c>
      <c r="FC246" s="67">
        <f>IFERROR(IF(($ET246)&gt;0,($ET246-$EN246-$EQ246)/($ET246),""),"")</f>
        <v/>
      </c>
      <c r="FD246" s="67">
        <f>IFERROR(IF(($EU246)&gt;0,($EU246-$EO246-$ER246)/($EU246),""),"")</f>
        <v/>
      </c>
      <c r="FE246" s="67">
        <f>IFERROR(IF(($EV246)&gt;0,($EV246-$EP246-$ES246)/($EV246),""),"")</f>
        <v/>
      </c>
      <c r="FF246" s="67">
        <f>IFERROR(IF(($ET246-$EN246-$EQ246)&gt;0,($EK246)/($ET246-$EN246-$EQ246),""),"")</f>
        <v/>
      </c>
      <c r="FG246" s="67">
        <f>IFERROR(IF(($EU246-$EO246-$ER246)&gt;0,($EL246)/($EU246-$EO246-$ER246),""),"")</f>
        <v/>
      </c>
      <c r="FH246" s="67">
        <f>IFERROR(IF(($EV246-$EP246-$ES246)&gt;0,($EM246)/($EV246-$EP246-$ES246),""),"")</f>
        <v/>
      </c>
      <c r="FI246" s="55">
        <f>SUMIFS(tblPlant[Cyanide_kg],tblPlant[Date],$A246)</f>
        <v/>
      </c>
      <c r="FJ246" s="55">
        <f>IF($B246=$B245,$FJ245,0)+$FI246</f>
        <v/>
      </c>
      <c r="FK246" s="55">
        <f>$FK245+$FI246</f>
        <v/>
      </c>
      <c r="FL246" s="55">
        <f>SUMIFS(tblPlant[Lime_kg],tblPlant[Date],$A246)</f>
        <v/>
      </c>
      <c r="FM246" s="55">
        <f>IF($B246=$B245,$FM245,0)+$FL246</f>
        <v/>
      </c>
      <c r="FN246" s="55">
        <f>$FN245+$FL246</f>
        <v/>
      </c>
      <c r="FO246" s="55">
        <f>SUMIFS(tblPlant[Grinding_Media_kg],tblPlant[Date],$A246)</f>
        <v/>
      </c>
      <c r="FP246" s="55">
        <f>IF($B246=$B245,$FP245,0)+$FO246</f>
        <v/>
      </c>
      <c r="FQ246" s="55">
        <f>$FQ245+$FO246</f>
        <v/>
      </c>
      <c r="FR246" s="55">
        <f>SUMIFS(tblPlant[Power_kWh],tblPlant[Date],$A246)</f>
        <v/>
      </c>
      <c r="FS246" s="55">
        <f>IF($B246=$B245,$FS245,0)+$FR246</f>
        <v/>
      </c>
      <c r="FT246" s="55">
        <f>$FT245+$FR246</f>
        <v/>
      </c>
      <c r="FU246" s="55">
        <f>SUMIFS(tblPlant[Raw_Water_m3],tblPlant[Date],$A246)</f>
        <v/>
      </c>
      <c r="FV246" s="55">
        <f>IF($B246=$B245,$FV245,0)+$FU246</f>
        <v/>
      </c>
      <c r="FW246" s="55">
        <f>$FW245+$FU246</f>
        <v/>
      </c>
      <c r="FX246" s="56">
        <f>IFERROR(IF(($CU246)&gt;0,($FI246)/($CU246),""),"")</f>
        <v/>
      </c>
      <c r="FY246" s="56">
        <f>IFERROR(IF(($CV246)&gt;0,($FJ246)/($CV246),""),"")</f>
        <v/>
      </c>
      <c r="FZ246" s="56">
        <f>IFERROR(IF(($CW246)&gt;0,($FK246)/($CW246),""),"")</f>
        <v/>
      </c>
      <c r="GA246" s="56">
        <f>IFERROR(IF(($CU246)&gt;0,($FL246)/($CU246),""),"")</f>
        <v/>
      </c>
      <c r="GB246" s="56">
        <f>IFERROR(IF(($CV246)&gt;0,($FM246)/($CV246),""),"")</f>
        <v/>
      </c>
      <c r="GC246" s="56">
        <f>IFERROR(IF(($CW246)&gt;0,($FN246)/($CW246),""),"")</f>
        <v/>
      </c>
      <c r="GD246" s="56">
        <f>IFERROR(IF(($CU246)&gt;0,($FO246)/($CU246),""),"")</f>
        <v/>
      </c>
      <c r="GE246" s="56">
        <f>IFERROR(IF(($CV246)&gt;0,($FP246)/($CV246),""),"")</f>
        <v/>
      </c>
      <c r="GF246" s="56">
        <f>IFERROR(IF(($CW246)&gt;0,($FQ246)/($CW246),""),"")</f>
        <v/>
      </c>
      <c r="GG246" s="79">
        <f>IFERROR(IF(($CU246)&gt;0,($FR246)/($CU246),""),"")</f>
        <v/>
      </c>
      <c r="GH246" s="79">
        <f>IFERROR(IF(($CV246)&gt;0,($FS246)/($CV246),""),"")</f>
        <v/>
      </c>
      <c r="GI246" s="79">
        <f>IFERROR(IF(($CW246)&gt;0,($FT246)/($CW246),""),"")</f>
        <v/>
      </c>
      <c r="GJ246" s="56">
        <f>IFERROR(IF(($CU246)&gt;0,($FU246)/($CU246),""),"")</f>
        <v/>
      </c>
      <c r="GK246" s="56">
        <f>IFERROR(IF(($CV246)&gt;0,($FV246)/($CV246),""),"")</f>
        <v/>
      </c>
      <c r="GL246" s="56">
        <f>IFERROR(IF(($CW246)&gt;0,($FW246)/($CW246),""),"")</f>
        <v/>
      </c>
      <c r="GM246" s="55">
        <f>IF(SUMIFS(tblPlant[GIC_oz],tblPlant[Date],$A246)&gt;0,SUMIFS(tblPlant[GIC_oz],tblPlant[Date],$A246),"")</f>
        <v/>
      </c>
      <c r="GN246" s="55">
        <f>SUMIFS(tblGold[Gold_oz],tblGold[Date],$A246,tblGold[Type],"Shipment")</f>
        <v/>
      </c>
      <c r="GO246" s="55">
        <f>IF($B246=$B245,$GO245,0)+$GN246</f>
        <v/>
      </c>
      <c r="GP246" s="55">
        <f>$GP245+$GN246</f>
        <v/>
      </c>
      <c r="GQ246" s="55">
        <f>SUMIFS(tblGold[Gold_oz],tblGold[Date],$A246,tblGold[Type],"Sale")</f>
        <v/>
      </c>
      <c r="GR246" s="55">
        <f>IF($B246=$B245,$GR245,0)+$GQ246</f>
        <v/>
      </c>
      <c r="GS246" s="55">
        <f>$GS245+$GQ246</f>
        <v/>
      </c>
      <c r="GT246" s="55">
        <f>SUMIFS(tblGold[Dore_kg],tblGold[Date],$A246,tblGold[Type],"Shipment")</f>
        <v/>
      </c>
      <c r="GU246" s="55">
        <f>IF($B246=$B245,$GU245,0)+$GT246</f>
        <v/>
      </c>
      <c r="GV246" s="55">
        <f>$GV245+$GT246</f>
        <v/>
      </c>
      <c r="GW246" s="57">
        <f>SUMIFS(tblSafety[Hours_Total],tblSafety[Date],$A246)</f>
        <v/>
      </c>
      <c r="GX246" s="57">
        <f>IF($B246=$B245,$GX245,0)+$GW246</f>
        <v/>
      </c>
      <c r="GY246" s="57">
        <f>$GY245+$GW246</f>
        <v/>
      </c>
      <c r="GZ246" s="62">
        <f>SUMIFS(tblSafety[Fatality],tblSafety[Date],$A246)</f>
        <v/>
      </c>
      <c r="HA246" s="62">
        <f>IF($B246=$B245,$HA245,0)+$GZ246</f>
        <v/>
      </c>
      <c r="HB246" s="62">
        <f>$HB245+$GZ246</f>
        <v/>
      </c>
      <c r="HC246" s="62">
        <f>SUMIFS(tblSafety[LTI],tblSafety[Date],$A246)</f>
        <v/>
      </c>
      <c r="HD246" s="62">
        <f>IF($B246=$B245,$HD245,0)+$HC246</f>
        <v/>
      </c>
      <c r="HE246" s="62">
        <f>$HE245+$HC246</f>
        <v/>
      </c>
      <c r="HF246" s="62">
        <f>SUMIFS(tblSafety[RWI],tblSafety[Date],$A246)</f>
        <v/>
      </c>
      <c r="HG246" s="62">
        <f>IF($B246=$B245,$HG245,0)+$HF246</f>
        <v/>
      </c>
      <c r="HH246" s="62">
        <f>$HH245+$HF246</f>
        <v/>
      </c>
      <c r="HI246" s="62">
        <f>SUMIFS(tblSafety[MTI],tblSafety[Date],$A246)</f>
        <v/>
      </c>
      <c r="HJ246" s="62">
        <f>IF($B246=$B245,$HJ245,0)+$HI246</f>
        <v/>
      </c>
      <c r="HK246" s="62">
        <f>$HK245+$HI246</f>
        <v/>
      </c>
      <c r="HL246" s="62">
        <f>SUMIFS(tblSafety[FAI],tblSafety[Date],$A246)</f>
        <v/>
      </c>
      <c r="HM246" s="62">
        <f>IF($B246=$B245,$HM245,0)+$HL246</f>
        <v/>
      </c>
      <c r="HN246" s="62">
        <f>$HN245+$HL246</f>
        <v/>
      </c>
      <c r="HO246" s="62">
        <f>SUMIFS(tblSafety[Recordables],tblSafety[Date],$A246)</f>
        <v/>
      </c>
      <c r="HP246" s="62">
        <f>IF($B246=$B245,$HP245,0)+$HO246</f>
        <v/>
      </c>
      <c r="HQ246" s="62">
        <f>$HQ245+$HO246</f>
        <v/>
      </c>
      <c r="HR246" s="62">
        <f>SUMIFS(tblSafety[Near_Miss],tblSafety[Date],$A246)</f>
        <v/>
      </c>
      <c r="HS246" s="62">
        <f>IF($B246=$B245,$HS245,0)+$HR246</f>
        <v/>
      </c>
      <c r="HT246" s="62">
        <f>$HT245+$HR246</f>
        <v/>
      </c>
      <c r="HU246" s="62">
        <f>SUMIFS(tblSafety[Hazard_Reports],tblSafety[Date],$A246)</f>
        <v/>
      </c>
      <c r="HV246" s="62">
        <f>IF($B246=$B245,$HV245,0)+$HU246</f>
        <v/>
      </c>
      <c r="HW246" s="62">
        <f>$HW245+$HU246</f>
        <v/>
      </c>
      <c r="HX246" s="62">
        <f>SUMIFS(tblSafety[HPI],tblSafety[Date],$A246)</f>
        <v/>
      </c>
      <c r="HY246" s="62">
        <f>IF($B246=$B245,$HY245,0)+$HX246</f>
        <v/>
      </c>
      <c r="HZ246" s="62">
        <f>$HZ245+$HX246</f>
        <v/>
      </c>
      <c r="IA246" s="62">
        <f>SUMIFS(tblSafety[Env_Incidents],tblSafety[Date],$A246)</f>
        <v/>
      </c>
      <c r="IB246" s="62">
        <f>IF($B246=$B245,$IB245,0)+$IA246</f>
        <v/>
      </c>
      <c r="IC246" s="62">
        <f>$IC245+$IA246</f>
        <v/>
      </c>
      <c r="ID246" s="62">
        <f>SUMIFS(tblSafety[Community_Incidents],tblSafety[Date],$A246)</f>
        <v/>
      </c>
      <c r="IE246" s="62">
        <f>IF($B246=$B245,$IE245,0)+$ID246</f>
        <v/>
      </c>
      <c r="IF246" s="62">
        <f>$IF245+$ID246</f>
        <v/>
      </c>
      <c r="IG246" s="62">
        <f>SUMIFS(tblSafety[Vehicle_Incidents],tblSafety[Date],$A246)</f>
        <v/>
      </c>
      <c r="IH246" s="62">
        <f>IF($B246=$B245,$IH245,0)+$IG246</f>
        <v/>
      </c>
      <c r="II246" s="62">
        <f>$II245+$IG246</f>
        <v/>
      </c>
      <c r="IJ246" s="62">
        <f>SUMIFS(tblSafety[Toolbox_Talks],tblSafety[Date],$A246)</f>
        <v/>
      </c>
      <c r="IK246" s="62">
        <f>IF($B246=$B245,$IK245,0)+$IJ246</f>
        <v/>
      </c>
      <c r="IL246" s="62">
        <f>$IL245+$IJ246</f>
        <v/>
      </c>
      <c r="IM246" s="62">
        <f>SUMIFS(tblSafety[Inspections],tblSafety[Date],$A246)</f>
        <v/>
      </c>
      <c r="IN246" s="62">
        <f>IF($B246=$B245,$IN245,0)+$IM246</f>
        <v/>
      </c>
      <c r="IO246" s="62">
        <f>$IO245+$IM246</f>
        <v/>
      </c>
      <c r="IP246" s="56">
        <f>IFERROR((SUMIFS(tblSafety[Recordables],tblSafety[Date],"&gt;="&amp;EDATE($E246,-12),tblSafety[Date],"&lt;="&amp;$A246)+SUMIFS(tblSafetyHistory[Recordables],tblSafetyHistory[Month],"&gt;="&amp;EDATE($E246,-12),tblSafetyHistory[Month],"&lt;"&amp;$E246,tblSafetyHistory[Use],1))/(SUMIFS(tblSafety[Hours_Total],tblSafety[Date],"&gt;="&amp;EDATE($E246,-12),tblSafety[Date],"&lt;="&amp;$A246)+SUMIFS(tblSafetyHistory[Hours_Total],tblSafetyHistory[Month],"&gt;="&amp;EDATE($E246,-12),tblSafetyHistory[Month],"&lt;"&amp;$E246,tblSafetyHistory[Use],1))*cfg_RateBasisHours,"")</f>
        <v/>
      </c>
      <c r="IQ246" s="56">
        <f>IFERROR((SUMIFS(tblSafety[LTI],tblSafety[Date],"&gt;="&amp;EDATE($E246,-12),tblSafety[Date],"&lt;="&amp;$A246)+SUMIFS(tblSafetyHistory[LTI],tblSafetyHistory[Month],"&gt;="&amp;EDATE($E246,-12),tblSafetyHistory[Month],"&lt;"&amp;$E246,tblSafetyHistory[Use],1))/(SUMIFS(tblSafety[Hours_Total],tblSafety[Date],"&gt;="&amp;EDATE($E246,-12),tblSafety[Date],"&lt;="&amp;$A246)+SUMIFS(tblSafetyHistory[Hours_Total],tblSafetyHistory[Month],"&gt;="&amp;EDATE($E246,-12),tblSafetyHistory[Month],"&lt;"&amp;$E246,tblSafetyHistory[Use],1))*cfg_RateBasisHours,"")</f>
        <v/>
      </c>
      <c r="IR246" s="62">
        <f>IF(MAX(N(cfg_PriorLTIDate),_xlfn.MAXIFS(tblSafety[Date],tblSafety[LTI],"&gt;0",tblSafety[Date],"&lt;="&amp;$A246))=0,"",$A246-MAX(N(cfg_PriorLTIDate),_xlfn.MAXIFS(tblSafety[Date],tblSafety[LTI],"&gt;0",tblSafety[Date],"&lt;="&amp;$A246)))</f>
        <v/>
      </c>
      <c r="IS246" s="55">
        <f>SUMIFS(tblBudget[Ore_Mined_t],tblBudget[Month],$E246)</f>
        <v/>
      </c>
      <c r="IT246" s="55">
        <f>$IS246*$C246/$D246</f>
        <v/>
      </c>
      <c r="IU246" s="55">
        <f>SUMIFS(tblBudget[Ore_Mined_t],tblBudget[Month],"&lt;"&amp;$E246)+$IT246</f>
        <v/>
      </c>
      <c r="IV246" s="55">
        <f>SUMIFS(tblBudget[Ore_oz],tblBudget[Month],$E246)</f>
        <v/>
      </c>
      <c r="IW246" s="55">
        <f>$IV246*$C246/$D246</f>
        <v/>
      </c>
      <c r="IX246" s="55">
        <f>SUMIFS(tblBudget[Ore_oz],tblBudget[Month],"&lt;"&amp;$E246)+$IW246</f>
        <v/>
      </c>
      <c r="IY246" s="55">
        <f>SUMIFS(tblBudget[Ore_Mined_t],tblBudget[Month],$E246)</f>
        <v/>
      </c>
      <c r="IZ246" s="55">
        <f>$IY246*$C246/$D246</f>
        <v/>
      </c>
      <c r="JA246" s="55">
        <f>SUMIFS(tblBudget[Ore_Mined_t],tblBudget[Month],"&lt;"&amp;$E246)+$IZ246</f>
        <v/>
      </c>
      <c r="JB246" s="56">
        <f>IFERROR(IF(($IY246)&gt;0,($IV246*cfg_TroyOz)/($IY246),""),"")</f>
        <v/>
      </c>
      <c r="JC246" s="56">
        <f>IFERROR(IF(($IZ246)&gt;0,($IW246*cfg_TroyOz)/($IZ246),""),"")</f>
        <v/>
      </c>
      <c r="JD246" s="56">
        <f>IFERROR(IF(($JA246)&gt;0,($IX246*cfg_TroyOz)/($JA246),""),"")</f>
        <v/>
      </c>
      <c r="JE246" s="55">
        <f>SUMIFS(tblBudget[Waste_t],tblBudget[Month],$E246)</f>
        <v/>
      </c>
      <c r="JF246" s="55">
        <f>$JE246*$C246/$D246</f>
        <v/>
      </c>
      <c r="JG246" s="55">
        <f>SUMIFS(tblBudget[Waste_t],tblBudget[Month],"&lt;"&amp;$E246)+$JF246</f>
        <v/>
      </c>
      <c r="JH246" s="55">
        <f>SUMIFS(tblBudget[TMM_t],tblBudget[Month],$E246)</f>
        <v/>
      </c>
      <c r="JI246" s="55">
        <f>$JH246*$C246/$D246</f>
        <v/>
      </c>
      <c r="JJ246" s="55">
        <f>SUMIFS(tblBudget[TMM_t],tblBudget[Month],"&lt;"&amp;$E246)+$JI246</f>
        <v/>
      </c>
      <c r="JK246" s="56">
        <f>IFERROR(IF(($IS246)&gt;0,($JE246)/($IS246),""),"")</f>
        <v/>
      </c>
      <c r="JL246" s="56">
        <f>IFERROR(IF(($IT246)&gt;0,($JF246)/($IT246),""),"")</f>
        <v/>
      </c>
      <c r="JM246" s="56">
        <f>IFERROR(IF(($IU246)&gt;0,($JG246)/($IU246),""),"")</f>
        <v/>
      </c>
      <c r="JN246" s="55">
        <f>SUMIFS(tblBudget[Drill_m],tblBudget[Month],$E246)</f>
        <v/>
      </c>
      <c r="JO246" s="55">
        <f>$JN246*$C246/$D246</f>
        <v/>
      </c>
      <c r="JP246" s="55">
        <f>SUMIFS(tblBudget[Drill_m],tblBudget[Month],"&lt;"&amp;$E246)+$JO246</f>
        <v/>
      </c>
      <c r="JQ246" s="55">
        <f>SUMIFS(tblBudget[Diesel_L],tblBudget[Month],$E246)</f>
        <v/>
      </c>
      <c r="JR246" s="55">
        <f>$JQ246*$C246/$D246</f>
        <v/>
      </c>
      <c r="JS246" s="55">
        <f>SUMIFS(tblBudget[Diesel_L],tblBudget[Month],"&lt;"&amp;$E246)+$JR246</f>
        <v/>
      </c>
      <c r="JT246" s="55">
        <f>SUMIFS(tblBudget[Milled_t],tblBudget[Month],$E246)</f>
        <v/>
      </c>
      <c r="JU246" s="55">
        <f>$JT246*$C246/$D246</f>
        <v/>
      </c>
      <c r="JV246" s="55">
        <f>SUMIFS(tblBudget[Milled_t],tblBudget[Month],"&lt;"&amp;$E246)+$JU246</f>
        <v/>
      </c>
      <c r="JW246" s="55">
        <f>SUMIFS(tblBudget[Feed_oz],tblBudget[Month],$E246)</f>
        <v/>
      </c>
      <c r="JX246" s="55">
        <f>$JW246*$C246/$D246</f>
        <v/>
      </c>
      <c r="JY246" s="55">
        <f>SUMIFS(tblBudget[Feed_oz],tblBudget[Month],"&lt;"&amp;$E246)+$JX246</f>
        <v/>
      </c>
      <c r="JZ246" s="55">
        <f>SUMIFS(tblBudget[Recovered_oz],tblBudget[Month],$E246)</f>
        <v/>
      </c>
      <c r="KA246" s="55">
        <f>$JZ246*$C246/$D246</f>
        <v/>
      </c>
      <c r="KB246" s="55">
        <f>SUMIFS(tblBudget[Recovered_oz],tblBudget[Month],"&lt;"&amp;$E246)+$KA246</f>
        <v/>
      </c>
      <c r="KC246" s="55">
        <f>SUMIFS(tblBudget[Milled_t],tblBudget[Month],$E246)</f>
        <v/>
      </c>
      <c r="KD246" s="55">
        <f>$KC246*$C246/$D246</f>
        <v/>
      </c>
      <c r="KE246" s="55">
        <f>SUMIFS(tblBudget[Milled_t],tblBudget[Month],"&lt;"&amp;$E246)+$KD246</f>
        <v/>
      </c>
      <c r="KF246" s="55">
        <f>SUMIFS(tblBudget[Feed_oz],tblBudget[Month],$E246)</f>
        <v/>
      </c>
      <c r="KG246" s="55">
        <f>$KF246*$C246/$D246</f>
        <v/>
      </c>
      <c r="KH246" s="55">
        <f>SUMIFS(tblBudget[Feed_oz],tblBudget[Month],"&lt;"&amp;$E246)+$KG246</f>
        <v/>
      </c>
      <c r="KI246" s="56">
        <f>IFERROR(IF(($KC246)&gt;0,($JW246*cfg_TroyOz)/($KC246),""),"")</f>
        <v/>
      </c>
      <c r="KJ246" s="56">
        <f>IFERROR(IF(($KD246)&gt;0,($JX246*cfg_TroyOz)/($KD246),""),"")</f>
        <v/>
      </c>
      <c r="KK246" s="56">
        <f>IFERROR(IF(($KE246)&gt;0,($JY246*cfg_TroyOz)/($KE246),""),"")</f>
        <v/>
      </c>
      <c r="KL246" s="67">
        <f>IFERROR(IF(($KF246)&gt;0,($JZ246)/($KF246),""),"")</f>
        <v/>
      </c>
      <c r="KM246" s="67">
        <f>IFERROR(IF(($KG246)&gt;0,($KA246)/($KG246),""),"")</f>
        <v/>
      </c>
      <c r="KN246" s="67">
        <f>IFERROR(IF(($KH246)&gt;0,($KB246)/($KH246),""),"")</f>
        <v/>
      </c>
      <c r="KO246" s="55">
        <f>SUMIFS(tblBudget[Gold_Poured_oz],tblBudget[Month],$E246)</f>
        <v/>
      </c>
      <c r="KP246" s="55">
        <f>$KO246*$C246/$D246</f>
        <v/>
      </c>
      <c r="KQ246" s="55">
        <f>SUMIFS(tblBudget[Gold_Poured_oz],tblBudget[Month],"&lt;"&amp;$E246)+$KP246</f>
        <v/>
      </c>
      <c r="KR246" s="57">
        <f>SUMIFS(tblBudget[Hours_Worked],tblBudget[Month],$E246)</f>
        <v/>
      </c>
      <c r="KS246" s="57">
        <f>$KR246*$C246/$D246</f>
        <v/>
      </c>
      <c r="KT246" s="57">
        <f>SUMIFS(tblBudget[Hours_Worked],tblBudget[Month],"&lt;"&amp;$E246)+$KS246</f>
        <v/>
      </c>
    </row>
    <row r="247">
      <c r="A247" s="54" t="n">
        <v>46268</v>
      </c>
      <c r="B247">
        <f>MONTH($A247)</f>
        <v/>
      </c>
      <c r="C247">
        <f>DAY($A247)</f>
        <v/>
      </c>
      <c r="D247">
        <f>DAY(EOMONTH($A247,0))</f>
        <v/>
      </c>
      <c r="E247" s="54">
        <f>DATE(YEAR($A247),MONTH($A247),1)</f>
        <v/>
      </c>
      <c r="F247" s="55">
        <f>SUMIFS(tblMovement[Tonnes_t],tblMovement[Date],$A247,tblMovement[Is_Ore],1,tblMovement[Source_Type],"Pit")</f>
        <v/>
      </c>
      <c r="G247" s="55">
        <f>IF($B247=$B246,$G246,0)+$F247</f>
        <v/>
      </c>
      <c r="H247" s="55">
        <f>$H246+$F247</f>
        <v/>
      </c>
      <c r="I247" s="55">
        <f>SUMIFS(tblMovement[Ore_oz],tblMovement[Date],$A247,tblMovement[Source_Type],"Pit")</f>
        <v/>
      </c>
      <c r="J247" s="55">
        <f>IF($B247=$B246,$J246,0)+$I247</f>
        <v/>
      </c>
      <c r="K247" s="55">
        <f>$K246+$I247</f>
        <v/>
      </c>
      <c r="L247" s="55">
        <f>SUMIFS(tblMovement[Tonnes_t],tblMovement[Date],$A247,tblMovement[Is_Ore],1,tblMovement[Source_Type],"Pit",tblMovement[Grade_gpt],"&lt;&gt;")</f>
        <v/>
      </c>
      <c r="M247" s="55">
        <f>IF($B247=$B246,$M246,0)+$L247</f>
        <v/>
      </c>
      <c r="N247" s="55">
        <f>$N246+$L247</f>
        <v/>
      </c>
      <c r="O247" s="56">
        <f>IFERROR(IF(($L247)&gt;0,($I247*cfg_TroyOz)/($L247),""),"")</f>
        <v/>
      </c>
      <c r="P247" s="56">
        <f>IFERROR(IF(($M247)&gt;0,($J247*cfg_TroyOz)/($M247),""),"")</f>
        <v/>
      </c>
      <c r="Q247" s="56">
        <f>IFERROR(IF(($N247)&gt;0,($K247*cfg_TroyOz)/($N247),""),"")</f>
        <v/>
      </c>
      <c r="R247" s="55">
        <f>$F247-$L247</f>
        <v/>
      </c>
      <c r="S247" s="55">
        <f>IF($B247=$B246,$S246,0)+$R247</f>
        <v/>
      </c>
      <c r="T247" s="55">
        <f>$T246+$R247</f>
        <v/>
      </c>
      <c r="U247" s="55">
        <f>SUMIFS(tblMovement[Tonnes_t],tblMovement[Date],$A247,tblMovement[Is_Ore],0,tblMovement[Source_Type],"Pit")</f>
        <v/>
      </c>
      <c r="V247" s="55">
        <f>IF($B247=$B246,$V246,0)+$U247</f>
        <v/>
      </c>
      <c r="W247" s="55">
        <f>$W246+$U247</f>
        <v/>
      </c>
      <c r="X247" s="55">
        <f>$F247+$U247</f>
        <v/>
      </c>
      <c r="Y247" s="55">
        <f>IF($B247=$B246,$Y246,0)+$X247</f>
        <v/>
      </c>
      <c r="Z247" s="55">
        <f>$Z246+$X247</f>
        <v/>
      </c>
      <c r="AA247" s="56">
        <f>IFERROR(IF(($F247)&gt;0,($U247)/($F247),""),"")</f>
        <v/>
      </c>
      <c r="AB247" s="56">
        <f>IFERROR(IF(($G247)&gt;0,($V247)/($G247),""),"")</f>
        <v/>
      </c>
      <c r="AC247" s="56">
        <f>IFERROR(IF(($H247)&gt;0,($W247)/($H247),""),"")</f>
        <v/>
      </c>
      <c r="AD247" s="55">
        <f>SUMIFS(tblMovement[Tonnes_t],tblMovement[Date],$A247,tblMovement[Source_Type],"Stockpile")</f>
        <v/>
      </c>
      <c r="AE247" s="55">
        <f>IF($B247=$B246,$AE246,0)+$AD247</f>
        <v/>
      </c>
      <c r="AF247" s="55">
        <f>$AF246+$AD247</f>
        <v/>
      </c>
      <c r="AG247" s="55">
        <f>SUMIFS(tblMovement[Tonnes_t],tblMovement[Date],$A247)</f>
        <v/>
      </c>
      <c r="AH247" s="55">
        <f>IF($B247=$B246,$AH246,0)+$AG247</f>
        <v/>
      </c>
      <c r="AI247" s="55">
        <f>$AI246+$AG247</f>
        <v/>
      </c>
      <c r="AJ247" s="55">
        <f>$AG247-$X247-$AD247</f>
        <v/>
      </c>
      <c r="AK247" s="55">
        <f>IF($B247=$B246,$AK246,0)+$AJ247</f>
        <v/>
      </c>
      <c r="AL247" s="55">
        <f>$AL246+$AJ247</f>
        <v/>
      </c>
      <c r="AM247" s="55">
        <f>SUMIFS(tblMiningDaily[Drill_m],tblMiningDaily[Date],$A247)</f>
        <v/>
      </c>
      <c r="AN247" s="55">
        <f>IF($B247=$B246,$AN246,0)+$AM247</f>
        <v/>
      </c>
      <c r="AO247" s="55">
        <f>$AO246+$AM247</f>
        <v/>
      </c>
      <c r="AP247" s="55">
        <f>SUMIFS(tblMiningDaily[GC_Drill_m],tblMiningDaily[Date],$A247)</f>
        <v/>
      </c>
      <c r="AQ247" s="55">
        <f>IF($B247=$B246,$AQ246,0)+$AP247</f>
        <v/>
      </c>
      <c r="AR247" s="55">
        <f>$AR246+$AP247</f>
        <v/>
      </c>
      <c r="AS247" s="55">
        <f>SUMIFS(tblMiningDaily[Blast_t],tblMiningDaily[Date],$A247)</f>
        <v/>
      </c>
      <c r="AT247" s="55">
        <f>IF($B247=$B246,$AT246,0)+$AS247</f>
        <v/>
      </c>
      <c r="AU247" s="55">
        <f>$AU246+$AS247</f>
        <v/>
      </c>
      <c r="AV247" s="55">
        <f>SUMIFS(tblMiningDaily[Explosives_kg],tblMiningDaily[Date],$A247)</f>
        <v/>
      </c>
      <c r="AW247" s="55">
        <f>IF($B247=$B246,$AW246,0)+$AV247</f>
        <v/>
      </c>
      <c r="AX247" s="55">
        <f>$AX246+$AV247</f>
        <v/>
      </c>
      <c r="AY247" s="56">
        <f>IFERROR(IF(($AS247)&gt;0,($AV247)/($AS247),""),"")</f>
        <v/>
      </c>
      <c r="AZ247" s="56">
        <f>IFERROR(IF(($AT247)&gt;0,($AW247)/($AT247),""),"")</f>
        <v/>
      </c>
      <c r="BA247" s="56">
        <f>IFERROR(IF(($AU247)&gt;0,($AX247)/($AU247),""),"")</f>
        <v/>
      </c>
      <c r="BB247" s="55">
        <f>SUMIFS(tblMiningDaily[Diesel_L],tblMiningDaily[Date],$A247)</f>
        <v/>
      </c>
      <c r="BC247" s="55">
        <f>IF($B247=$B246,$BC246,0)+$BB247</f>
        <v/>
      </c>
      <c r="BD247" s="55">
        <f>$BD246+$BB247</f>
        <v/>
      </c>
      <c r="BE247" s="55">
        <f>SUMIFS(tblMiningDaily[Dewatering_m3],tblMiningDaily[Date],$A247)</f>
        <v/>
      </c>
      <c r="BF247" s="55">
        <f>IF($B247=$B246,$BF246,0)+$BE247</f>
        <v/>
      </c>
      <c r="BG247" s="55">
        <f>$BG246+$BE247</f>
        <v/>
      </c>
      <c r="BH247" s="57">
        <f>SUMIFS(tblFleet[Calendar_h],tblFleet[Date],$A247,tblFleet[Equipment_Class],"Excavator")</f>
        <v/>
      </c>
      <c r="BI247" s="57">
        <f>IF($B247=$B246,$BI246,0)+$BH247</f>
        <v/>
      </c>
      <c r="BJ247" s="57">
        <f>$BJ246+$BH247</f>
        <v/>
      </c>
      <c r="BK247" s="57">
        <f>SUMIFS(tblFleet[Available_h],tblFleet[Date],$A247,tblFleet[Equipment_Class],"Excavator")</f>
        <v/>
      </c>
      <c r="BL247" s="57">
        <f>IF($B247=$B246,$BL246,0)+$BK247</f>
        <v/>
      </c>
      <c r="BM247" s="57">
        <f>$BM246+$BK247</f>
        <v/>
      </c>
      <c r="BN247" s="57">
        <f>SUMIFS(tblFleet[Operating_h],tblFleet[Date],$A247,tblFleet[Equipment_Class],"Excavator")</f>
        <v/>
      </c>
      <c r="BO247" s="57">
        <f>IF($B247=$B246,$BO246,0)+$BN247</f>
        <v/>
      </c>
      <c r="BP247" s="57">
        <f>$BP246+$BN247</f>
        <v/>
      </c>
      <c r="BQ247" s="67">
        <f>IFERROR(IF(($BH247)&gt;0,($BK247)/($BH247),""),"")</f>
        <v/>
      </c>
      <c r="BR247" s="67">
        <f>IFERROR(IF(($BI247)&gt;0,($BL247)/($BI247),""),"")</f>
        <v/>
      </c>
      <c r="BS247" s="67">
        <f>IFERROR(IF(($BJ247)&gt;0,($BM247)/($BJ247),""),"")</f>
        <v/>
      </c>
      <c r="BT247" s="67">
        <f>IFERROR(IF(($BK247)&gt;0,($BN247)/($BK247),""),"")</f>
        <v/>
      </c>
      <c r="BU247" s="67">
        <f>IFERROR(IF(($BL247)&gt;0,($BO247)/($BL247),""),"")</f>
        <v/>
      </c>
      <c r="BV247" s="67">
        <f>IFERROR(IF(($BM247)&gt;0,($BP247)/($BM247),""),"")</f>
        <v/>
      </c>
      <c r="BW247" s="57">
        <f>SUMIFS(tblFleet[Calendar_h],tblFleet[Date],$A247,tblFleet[Equipment_Class],"Haul Truck")</f>
        <v/>
      </c>
      <c r="BX247" s="57">
        <f>IF($B247=$B246,$BX246,0)+$BW247</f>
        <v/>
      </c>
      <c r="BY247" s="57">
        <f>$BY246+$BW247</f>
        <v/>
      </c>
      <c r="BZ247" s="57">
        <f>SUMIFS(tblFleet[Available_h],tblFleet[Date],$A247,tblFleet[Equipment_Class],"Haul Truck")</f>
        <v/>
      </c>
      <c r="CA247" s="57">
        <f>IF($B247=$B246,$CA246,0)+$BZ247</f>
        <v/>
      </c>
      <c r="CB247" s="57">
        <f>$CB246+$BZ247</f>
        <v/>
      </c>
      <c r="CC247" s="57">
        <f>SUMIFS(tblFleet[Operating_h],tblFleet[Date],$A247,tblFleet[Equipment_Class],"Haul Truck")</f>
        <v/>
      </c>
      <c r="CD247" s="57">
        <f>IF($B247=$B246,$CD246,0)+$CC247</f>
        <v/>
      </c>
      <c r="CE247" s="57">
        <f>$CE246+$CC247</f>
        <v/>
      </c>
      <c r="CF247" s="67">
        <f>IFERROR(IF(($BW247)&gt;0,($BZ247)/($BW247),""),"")</f>
        <v/>
      </c>
      <c r="CG247" s="67">
        <f>IFERROR(IF(($BX247)&gt;0,($CA247)/($BX247),""),"")</f>
        <v/>
      </c>
      <c r="CH247" s="67">
        <f>IFERROR(IF(($BY247)&gt;0,($CB247)/($BY247),""),"")</f>
        <v/>
      </c>
      <c r="CI247" s="67">
        <f>IFERROR(IF(($BZ247)&gt;0,($CC247)/($BZ247),""),"")</f>
        <v/>
      </c>
      <c r="CJ247" s="67">
        <f>IFERROR(IF(($CA247)&gt;0,($CD247)/($CA247),""),"")</f>
        <v/>
      </c>
      <c r="CK247" s="67">
        <f>IFERROR(IF(($CB247)&gt;0,($CE247)/($CB247),""),"")</f>
        <v/>
      </c>
      <c r="CL247" s="55">
        <f>IFERROR(IF(($BN247)&gt;0,($X247+$AD247)/($BN247),""),"")</f>
        <v/>
      </c>
      <c r="CM247" s="55">
        <f>IFERROR(IF(($BO247)&gt;0,($Y247+$AE247)/($BO247),""),"")</f>
        <v/>
      </c>
      <c r="CN247" s="55">
        <f>IFERROR(IF(($BP247)&gt;0,($Z247+$AF247)/($BP247),""),"")</f>
        <v/>
      </c>
      <c r="CO247" s="55">
        <f>IFERROR(IF(($CC247)&gt;0,($X247+$AD247)/($CC247),""),"")</f>
        <v/>
      </c>
      <c r="CP247" s="55">
        <f>IFERROR(IF(($CD247)&gt;0,($Y247+$AE247)/($CD247),""),"")</f>
        <v/>
      </c>
      <c r="CQ247" s="55">
        <f>IFERROR(IF(($CE247)&gt;0,($Z247+$AF247)/($CE247),""),"")</f>
        <v/>
      </c>
      <c r="CR247" s="55">
        <f>SUMIFS(tblPlant[Crushed_t],tblPlant[Date],$A247)</f>
        <v/>
      </c>
      <c r="CS247" s="55">
        <f>IF($B247=$B246,$CS246,0)+$CR247</f>
        <v/>
      </c>
      <c r="CT247" s="55">
        <f>$CT246+$CR247</f>
        <v/>
      </c>
      <c r="CU247" s="55">
        <f>SUMIFS(tblPlant[Milled_t],tblPlant[Date],$A247)</f>
        <v/>
      </c>
      <c r="CV247" s="55">
        <f>IF($B247=$B246,$CV246,0)+$CU247</f>
        <v/>
      </c>
      <c r="CW247" s="55">
        <f>$CW246+$CU247</f>
        <v/>
      </c>
      <c r="CX247" s="55">
        <f>SUMIFS(tblPlant[Feed_oz],tblPlant[Date],$A247)</f>
        <v/>
      </c>
      <c r="CY247" s="55">
        <f>IF($B247=$B246,$CY246,0)+$CX247</f>
        <v/>
      </c>
      <c r="CZ247" s="55">
        <f>$CZ246+$CX247</f>
        <v/>
      </c>
      <c r="DA247" s="55">
        <f>SUMIFS(tblPlant[Tails_oz],tblPlant[Date],$A247)</f>
        <v/>
      </c>
      <c r="DB247" s="55">
        <f>IF($B247=$B246,$DB246,0)+$DA247</f>
        <v/>
      </c>
      <c r="DC247" s="55">
        <f>$DC246+$DA247</f>
        <v/>
      </c>
      <c r="DD247" s="55">
        <f>SUMIFS(tblPlant[Recovered_oz],tblPlant[Date],$A247)</f>
        <v/>
      </c>
      <c r="DE247" s="55">
        <f>IF($B247=$B246,$DE246,0)+$DD247</f>
        <v/>
      </c>
      <c r="DF247" s="55">
        <f>$DF246+$DD247</f>
        <v/>
      </c>
      <c r="DG247" s="55">
        <f>SUMIFS(tblPlant[Milled_t],tblPlant[Date],$A247,tblPlant[Head_Grade_gpt],"&lt;&gt;")</f>
        <v/>
      </c>
      <c r="DH247" s="55">
        <f>IF($B247=$B246,$DH246,0)+$DG247</f>
        <v/>
      </c>
      <c r="DI247" s="55">
        <f>$DI246+$DG247</f>
        <v/>
      </c>
      <c r="DJ247" s="55">
        <f>SUMIFS(tblPlant[Milled_t],tblPlant[Date],$A247,tblPlant[Tails_Grade_gpt],"&lt;&gt;")</f>
        <v/>
      </c>
      <c r="DK247" s="55">
        <f>IF($B247=$B246,$DK246,0)+$DJ247</f>
        <v/>
      </c>
      <c r="DL247" s="55">
        <f>$DL246+$DJ247</f>
        <v/>
      </c>
      <c r="DM247" s="55">
        <f>SUMIFS(tblPlant[Feed_oz],tblPlant[Date],$A247,tblPlant[Tails_Grade_gpt],"&lt;&gt;")</f>
        <v/>
      </c>
      <c r="DN247" s="55">
        <f>IF($B247=$B246,$DN246,0)+$DM247</f>
        <v/>
      </c>
      <c r="DO247" s="55">
        <f>$DO246+$DM247</f>
        <v/>
      </c>
      <c r="DP247" s="55">
        <f>SUMIFS(tblPlant[Milled_t],tblPlant[Date],$A247,tblPlant[Mill_Run_h],"&lt;&gt;")</f>
        <v/>
      </c>
      <c r="DQ247" s="55">
        <f>IF($B247=$B246,$DQ246,0)+$DP247</f>
        <v/>
      </c>
      <c r="DR247" s="55">
        <f>$DR246+$DP247</f>
        <v/>
      </c>
      <c r="DS247" s="56">
        <f>IFERROR(IF(($DG247)&gt;0,($CX247*cfg_TroyOz)/($DG247),""),"")</f>
        <v/>
      </c>
      <c r="DT247" s="56">
        <f>IFERROR(IF(($DH247)&gt;0,($CY247*cfg_TroyOz)/($DH247),""),"")</f>
        <v/>
      </c>
      <c r="DU247" s="56">
        <f>IFERROR(IF(($DI247)&gt;0,($CZ247*cfg_TroyOz)/($DI247),""),"")</f>
        <v/>
      </c>
      <c r="DV247" s="56">
        <f>IFERROR(IF(($DJ247)&gt;0,($DA247*cfg_TroyOz)/($DJ247),""),"")</f>
        <v/>
      </c>
      <c r="DW247" s="56">
        <f>IFERROR(IF(($DK247)&gt;0,($DB247*cfg_TroyOz)/($DK247),""),"")</f>
        <v/>
      </c>
      <c r="DX247" s="56">
        <f>IFERROR(IF(($DL247)&gt;0,($DC247*cfg_TroyOz)/($DL247),""),"")</f>
        <v/>
      </c>
      <c r="DY247" s="67">
        <f>IFERROR(IF(($DM247)&gt;0,($DD247)/($DM247),""),"")</f>
        <v/>
      </c>
      <c r="DZ247" s="67">
        <f>IFERROR(IF(($DN247)&gt;0,($DE247)/($DN247),""),"")</f>
        <v/>
      </c>
      <c r="EA247" s="67">
        <f>IFERROR(IF(($DO247)&gt;0,($DF247)/($DO247),""),"")</f>
        <v/>
      </c>
      <c r="EB247" s="55">
        <f>SUMIFS(tblPlant[Gravity_Gold_oz],tblPlant[Date],$A247)</f>
        <v/>
      </c>
      <c r="EC247" s="55">
        <f>IF($B247=$B246,$EC246,0)+$EB247</f>
        <v/>
      </c>
      <c r="ED247" s="55">
        <f>$ED246+$EB247</f>
        <v/>
      </c>
      <c r="EE247" s="67">
        <f>IFERROR(IF(($DD247)&gt;0,($EB247)/($DD247),""),"")</f>
        <v/>
      </c>
      <c r="EF247" s="67">
        <f>IFERROR(IF(($DE247)&gt;0,($EC247)/($DE247),""),"")</f>
        <v/>
      </c>
      <c r="EG247" s="67">
        <f>IFERROR(IF(($DF247)&gt;0,($ED247)/($DF247),""),"")</f>
        <v/>
      </c>
      <c r="EH247" s="55">
        <f>SUMIFS(tblPlant[Gold_Poured_oz],tblPlant[Date],$A247)</f>
        <v/>
      </c>
      <c r="EI247" s="55">
        <f>IF($B247=$B246,$EI246,0)+$EH247</f>
        <v/>
      </c>
      <c r="EJ247" s="55">
        <f>$EJ246+$EH247</f>
        <v/>
      </c>
      <c r="EK247" s="57">
        <f>SUMIFS(tblPlant[Mill_Run_h],tblPlant[Date],$A247)</f>
        <v/>
      </c>
      <c r="EL247" s="57">
        <f>IF($B247=$B246,$EL246,0)+$EK247</f>
        <v/>
      </c>
      <c r="EM247" s="57">
        <f>$EM246+$EK247</f>
        <v/>
      </c>
      <c r="EN247" s="57">
        <f>SUMIFS(tblPlant[Mill_Planned_Maint_h],tblPlant[Date],$A247)</f>
        <v/>
      </c>
      <c r="EO247" s="57">
        <f>IF($B247=$B246,$EO246,0)+$EN247</f>
        <v/>
      </c>
      <c r="EP247" s="57">
        <f>$EP246+$EN247</f>
        <v/>
      </c>
      <c r="EQ247" s="57">
        <f>SUMIFS(tblPlant[Mill_Unplanned_Down_h],tblPlant[Date],$A247)</f>
        <v/>
      </c>
      <c r="ER247" s="57">
        <f>IF($B247=$B246,$ER246,0)+$EQ247</f>
        <v/>
      </c>
      <c r="ES247" s="57">
        <f>$ES246+$EQ247</f>
        <v/>
      </c>
      <c r="ET247" s="57">
        <f>IF(COUNTIFS(tblPlant[Date],$A247,tblPlant[Mill_Run_h],"&lt;&gt;")+COUNTIFS(tblPlant[Date],$A247,tblPlant[Mill_Planned_Maint_h],"&lt;&gt;")+COUNTIFS(tblPlant[Date],$A247,tblPlant[Mill_Unplanned_Down_h],"&lt;&gt;")&gt;0,cfg_HoursPerDay,0)</f>
        <v/>
      </c>
      <c r="EU247" s="57">
        <f>IF($B247=$B246,$EU246,0)+$ET247</f>
        <v/>
      </c>
      <c r="EV247" s="57">
        <f>$EV246+$ET247</f>
        <v/>
      </c>
      <c r="EW247" s="57">
        <f>SUMIFS(tblPlant[Crusher_Run_h],tblPlant[Date],$A247)</f>
        <v/>
      </c>
      <c r="EX247" s="57">
        <f>IF($B247=$B246,$EX246,0)+$EW247</f>
        <v/>
      </c>
      <c r="EY247" s="57">
        <f>$EY246+$EW247</f>
        <v/>
      </c>
      <c r="EZ247" s="55">
        <f>IFERROR(IF(($EK247)&gt;0,($DP247)/($EK247),""),"")</f>
        <v/>
      </c>
      <c r="FA247" s="55">
        <f>IFERROR(IF(($EL247)&gt;0,($DQ247)/($EL247),""),"")</f>
        <v/>
      </c>
      <c r="FB247" s="55">
        <f>IFERROR(IF(($EM247)&gt;0,($DR247)/($EM247),""),"")</f>
        <v/>
      </c>
      <c r="FC247" s="67">
        <f>IFERROR(IF(($ET247)&gt;0,($ET247-$EN247-$EQ247)/($ET247),""),"")</f>
        <v/>
      </c>
      <c r="FD247" s="67">
        <f>IFERROR(IF(($EU247)&gt;0,($EU247-$EO247-$ER247)/($EU247),""),"")</f>
        <v/>
      </c>
      <c r="FE247" s="67">
        <f>IFERROR(IF(($EV247)&gt;0,($EV247-$EP247-$ES247)/($EV247),""),"")</f>
        <v/>
      </c>
      <c r="FF247" s="67">
        <f>IFERROR(IF(($ET247-$EN247-$EQ247)&gt;0,($EK247)/($ET247-$EN247-$EQ247),""),"")</f>
        <v/>
      </c>
      <c r="FG247" s="67">
        <f>IFERROR(IF(($EU247-$EO247-$ER247)&gt;0,($EL247)/($EU247-$EO247-$ER247),""),"")</f>
        <v/>
      </c>
      <c r="FH247" s="67">
        <f>IFERROR(IF(($EV247-$EP247-$ES247)&gt;0,($EM247)/($EV247-$EP247-$ES247),""),"")</f>
        <v/>
      </c>
      <c r="FI247" s="55">
        <f>SUMIFS(tblPlant[Cyanide_kg],tblPlant[Date],$A247)</f>
        <v/>
      </c>
      <c r="FJ247" s="55">
        <f>IF($B247=$B246,$FJ246,0)+$FI247</f>
        <v/>
      </c>
      <c r="FK247" s="55">
        <f>$FK246+$FI247</f>
        <v/>
      </c>
      <c r="FL247" s="55">
        <f>SUMIFS(tblPlant[Lime_kg],tblPlant[Date],$A247)</f>
        <v/>
      </c>
      <c r="FM247" s="55">
        <f>IF($B247=$B246,$FM246,0)+$FL247</f>
        <v/>
      </c>
      <c r="FN247" s="55">
        <f>$FN246+$FL247</f>
        <v/>
      </c>
      <c r="FO247" s="55">
        <f>SUMIFS(tblPlant[Grinding_Media_kg],tblPlant[Date],$A247)</f>
        <v/>
      </c>
      <c r="FP247" s="55">
        <f>IF($B247=$B246,$FP246,0)+$FO247</f>
        <v/>
      </c>
      <c r="FQ247" s="55">
        <f>$FQ246+$FO247</f>
        <v/>
      </c>
      <c r="FR247" s="55">
        <f>SUMIFS(tblPlant[Power_kWh],tblPlant[Date],$A247)</f>
        <v/>
      </c>
      <c r="FS247" s="55">
        <f>IF($B247=$B246,$FS246,0)+$FR247</f>
        <v/>
      </c>
      <c r="FT247" s="55">
        <f>$FT246+$FR247</f>
        <v/>
      </c>
      <c r="FU247" s="55">
        <f>SUMIFS(tblPlant[Raw_Water_m3],tblPlant[Date],$A247)</f>
        <v/>
      </c>
      <c r="FV247" s="55">
        <f>IF($B247=$B246,$FV246,0)+$FU247</f>
        <v/>
      </c>
      <c r="FW247" s="55">
        <f>$FW246+$FU247</f>
        <v/>
      </c>
      <c r="FX247" s="56">
        <f>IFERROR(IF(($CU247)&gt;0,($FI247)/($CU247),""),"")</f>
        <v/>
      </c>
      <c r="FY247" s="56">
        <f>IFERROR(IF(($CV247)&gt;0,($FJ247)/($CV247),""),"")</f>
        <v/>
      </c>
      <c r="FZ247" s="56">
        <f>IFERROR(IF(($CW247)&gt;0,($FK247)/($CW247),""),"")</f>
        <v/>
      </c>
      <c r="GA247" s="56">
        <f>IFERROR(IF(($CU247)&gt;0,($FL247)/($CU247),""),"")</f>
        <v/>
      </c>
      <c r="GB247" s="56">
        <f>IFERROR(IF(($CV247)&gt;0,($FM247)/($CV247),""),"")</f>
        <v/>
      </c>
      <c r="GC247" s="56">
        <f>IFERROR(IF(($CW247)&gt;0,($FN247)/($CW247),""),"")</f>
        <v/>
      </c>
      <c r="GD247" s="56">
        <f>IFERROR(IF(($CU247)&gt;0,($FO247)/($CU247),""),"")</f>
        <v/>
      </c>
      <c r="GE247" s="56">
        <f>IFERROR(IF(($CV247)&gt;0,($FP247)/($CV247),""),"")</f>
        <v/>
      </c>
      <c r="GF247" s="56">
        <f>IFERROR(IF(($CW247)&gt;0,($FQ247)/($CW247),""),"")</f>
        <v/>
      </c>
      <c r="GG247" s="79">
        <f>IFERROR(IF(($CU247)&gt;0,($FR247)/($CU247),""),"")</f>
        <v/>
      </c>
      <c r="GH247" s="79">
        <f>IFERROR(IF(($CV247)&gt;0,($FS247)/($CV247),""),"")</f>
        <v/>
      </c>
      <c r="GI247" s="79">
        <f>IFERROR(IF(($CW247)&gt;0,($FT247)/($CW247),""),"")</f>
        <v/>
      </c>
      <c r="GJ247" s="56">
        <f>IFERROR(IF(($CU247)&gt;0,($FU247)/($CU247),""),"")</f>
        <v/>
      </c>
      <c r="GK247" s="56">
        <f>IFERROR(IF(($CV247)&gt;0,($FV247)/($CV247),""),"")</f>
        <v/>
      </c>
      <c r="GL247" s="56">
        <f>IFERROR(IF(($CW247)&gt;0,($FW247)/($CW247),""),"")</f>
        <v/>
      </c>
      <c r="GM247" s="55">
        <f>IF(SUMIFS(tblPlant[GIC_oz],tblPlant[Date],$A247)&gt;0,SUMIFS(tblPlant[GIC_oz],tblPlant[Date],$A247),"")</f>
        <v/>
      </c>
      <c r="GN247" s="55">
        <f>SUMIFS(tblGold[Gold_oz],tblGold[Date],$A247,tblGold[Type],"Shipment")</f>
        <v/>
      </c>
      <c r="GO247" s="55">
        <f>IF($B247=$B246,$GO246,0)+$GN247</f>
        <v/>
      </c>
      <c r="GP247" s="55">
        <f>$GP246+$GN247</f>
        <v/>
      </c>
      <c r="GQ247" s="55">
        <f>SUMIFS(tblGold[Gold_oz],tblGold[Date],$A247,tblGold[Type],"Sale")</f>
        <v/>
      </c>
      <c r="GR247" s="55">
        <f>IF($B247=$B246,$GR246,0)+$GQ247</f>
        <v/>
      </c>
      <c r="GS247" s="55">
        <f>$GS246+$GQ247</f>
        <v/>
      </c>
      <c r="GT247" s="55">
        <f>SUMIFS(tblGold[Dore_kg],tblGold[Date],$A247,tblGold[Type],"Shipment")</f>
        <v/>
      </c>
      <c r="GU247" s="55">
        <f>IF($B247=$B246,$GU246,0)+$GT247</f>
        <v/>
      </c>
      <c r="GV247" s="55">
        <f>$GV246+$GT247</f>
        <v/>
      </c>
      <c r="GW247" s="57">
        <f>SUMIFS(tblSafety[Hours_Total],tblSafety[Date],$A247)</f>
        <v/>
      </c>
      <c r="GX247" s="57">
        <f>IF($B247=$B246,$GX246,0)+$GW247</f>
        <v/>
      </c>
      <c r="GY247" s="57">
        <f>$GY246+$GW247</f>
        <v/>
      </c>
      <c r="GZ247" s="62">
        <f>SUMIFS(tblSafety[Fatality],tblSafety[Date],$A247)</f>
        <v/>
      </c>
      <c r="HA247" s="62">
        <f>IF($B247=$B246,$HA246,0)+$GZ247</f>
        <v/>
      </c>
      <c r="HB247" s="62">
        <f>$HB246+$GZ247</f>
        <v/>
      </c>
      <c r="HC247" s="62">
        <f>SUMIFS(tblSafety[LTI],tblSafety[Date],$A247)</f>
        <v/>
      </c>
      <c r="HD247" s="62">
        <f>IF($B247=$B246,$HD246,0)+$HC247</f>
        <v/>
      </c>
      <c r="HE247" s="62">
        <f>$HE246+$HC247</f>
        <v/>
      </c>
      <c r="HF247" s="62">
        <f>SUMIFS(tblSafety[RWI],tblSafety[Date],$A247)</f>
        <v/>
      </c>
      <c r="HG247" s="62">
        <f>IF($B247=$B246,$HG246,0)+$HF247</f>
        <v/>
      </c>
      <c r="HH247" s="62">
        <f>$HH246+$HF247</f>
        <v/>
      </c>
      <c r="HI247" s="62">
        <f>SUMIFS(tblSafety[MTI],tblSafety[Date],$A247)</f>
        <v/>
      </c>
      <c r="HJ247" s="62">
        <f>IF($B247=$B246,$HJ246,0)+$HI247</f>
        <v/>
      </c>
      <c r="HK247" s="62">
        <f>$HK246+$HI247</f>
        <v/>
      </c>
      <c r="HL247" s="62">
        <f>SUMIFS(tblSafety[FAI],tblSafety[Date],$A247)</f>
        <v/>
      </c>
      <c r="HM247" s="62">
        <f>IF($B247=$B246,$HM246,0)+$HL247</f>
        <v/>
      </c>
      <c r="HN247" s="62">
        <f>$HN246+$HL247</f>
        <v/>
      </c>
      <c r="HO247" s="62">
        <f>SUMIFS(tblSafety[Recordables],tblSafety[Date],$A247)</f>
        <v/>
      </c>
      <c r="HP247" s="62">
        <f>IF($B247=$B246,$HP246,0)+$HO247</f>
        <v/>
      </c>
      <c r="HQ247" s="62">
        <f>$HQ246+$HO247</f>
        <v/>
      </c>
      <c r="HR247" s="62">
        <f>SUMIFS(tblSafety[Near_Miss],tblSafety[Date],$A247)</f>
        <v/>
      </c>
      <c r="HS247" s="62">
        <f>IF($B247=$B246,$HS246,0)+$HR247</f>
        <v/>
      </c>
      <c r="HT247" s="62">
        <f>$HT246+$HR247</f>
        <v/>
      </c>
      <c r="HU247" s="62">
        <f>SUMIFS(tblSafety[Hazard_Reports],tblSafety[Date],$A247)</f>
        <v/>
      </c>
      <c r="HV247" s="62">
        <f>IF($B247=$B246,$HV246,0)+$HU247</f>
        <v/>
      </c>
      <c r="HW247" s="62">
        <f>$HW246+$HU247</f>
        <v/>
      </c>
      <c r="HX247" s="62">
        <f>SUMIFS(tblSafety[HPI],tblSafety[Date],$A247)</f>
        <v/>
      </c>
      <c r="HY247" s="62">
        <f>IF($B247=$B246,$HY246,0)+$HX247</f>
        <v/>
      </c>
      <c r="HZ247" s="62">
        <f>$HZ246+$HX247</f>
        <v/>
      </c>
      <c r="IA247" s="62">
        <f>SUMIFS(tblSafety[Env_Incidents],tblSafety[Date],$A247)</f>
        <v/>
      </c>
      <c r="IB247" s="62">
        <f>IF($B247=$B246,$IB246,0)+$IA247</f>
        <v/>
      </c>
      <c r="IC247" s="62">
        <f>$IC246+$IA247</f>
        <v/>
      </c>
      <c r="ID247" s="62">
        <f>SUMIFS(tblSafety[Community_Incidents],tblSafety[Date],$A247)</f>
        <v/>
      </c>
      <c r="IE247" s="62">
        <f>IF($B247=$B246,$IE246,0)+$ID247</f>
        <v/>
      </c>
      <c r="IF247" s="62">
        <f>$IF246+$ID247</f>
        <v/>
      </c>
      <c r="IG247" s="62">
        <f>SUMIFS(tblSafety[Vehicle_Incidents],tblSafety[Date],$A247)</f>
        <v/>
      </c>
      <c r="IH247" s="62">
        <f>IF($B247=$B246,$IH246,0)+$IG247</f>
        <v/>
      </c>
      <c r="II247" s="62">
        <f>$II246+$IG247</f>
        <v/>
      </c>
      <c r="IJ247" s="62">
        <f>SUMIFS(tblSafety[Toolbox_Talks],tblSafety[Date],$A247)</f>
        <v/>
      </c>
      <c r="IK247" s="62">
        <f>IF($B247=$B246,$IK246,0)+$IJ247</f>
        <v/>
      </c>
      <c r="IL247" s="62">
        <f>$IL246+$IJ247</f>
        <v/>
      </c>
      <c r="IM247" s="62">
        <f>SUMIFS(tblSafety[Inspections],tblSafety[Date],$A247)</f>
        <v/>
      </c>
      <c r="IN247" s="62">
        <f>IF($B247=$B246,$IN246,0)+$IM247</f>
        <v/>
      </c>
      <c r="IO247" s="62">
        <f>$IO246+$IM247</f>
        <v/>
      </c>
      <c r="IP247" s="56">
        <f>IFERROR((SUMIFS(tblSafety[Recordables],tblSafety[Date],"&gt;="&amp;EDATE($E247,-12),tblSafety[Date],"&lt;="&amp;$A247)+SUMIFS(tblSafetyHistory[Recordables],tblSafetyHistory[Month],"&gt;="&amp;EDATE($E247,-12),tblSafetyHistory[Month],"&lt;"&amp;$E247,tblSafetyHistory[Use],1))/(SUMIFS(tblSafety[Hours_Total],tblSafety[Date],"&gt;="&amp;EDATE($E247,-12),tblSafety[Date],"&lt;="&amp;$A247)+SUMIFS(tblSafetyHistory[Hours_Total],tblSafetyHistory[Month],"&gt;="&amp;EDATE($E247,-12),tblSafetyHistory[Month],"&lt;"&amp;$E247,tblSafetyHistory[Use],1))*cfg_RateBasisHours,"")</f>
        <v/>
      </c>
      <c r="IQ247" s="56">
        <f>IFERROR((SUMIFS(tblSafety[LTI],tblSafety[Date],"&gt;="&amp;EDATE($E247,-12),tblSafety[Date],"&lt;="&amp;$A247)+SUMIFS(tblSafetyHistory[LTI],tblSafetyHistory[Month],"&gt;="&amp;EDATE($E247,-12),tblSafetyHistory[Month],"&lt;"&amp;$E247,tblSafetyHistory[Use],1))/(SUMIFS(tblSafety[Hours_Total],tblSafety[Date],"&gt;="&amp;EDATE($E247,-12),tblSafety[Date],"&lt;="&amp;$A247)+SUMIFS(tblSafetyHistory[Hours_Total],tblSafetyHistory[Month],"&gt;="&amp;EDATE($E247,-12),tblSafetyHistory[Month],"&lt;"&amp;$E247,tblSafetyHistory[Use],1))*cfg_RateBasisHours,"")</f>
        <v/>
      </c>
      <c r="IR247" s="62">
        <f>IF(MAX(N(cfg_PriorLTIDate),_xlfn.MAXIFS(tblSafety[Date],tblSafety[LTI],"&gt;0",tblSafety[Date],"&lt;="&amp;$A247))=0,"",$A247-MAX(N(cfg_PriorLTIDate),_xlfn.MAXIFS(tblSafety[Date],tblSafety[LTI],"&gt;0",tblSafety[Date],"&lt;="&amp;$A247)))</f>
        <v/>
      </c>
      <c r="IS247" s="55">
        <f>SUMIFS(tblBudget[Ore_Mined_t],tblBudget[Month],$E247)</f>
        <v/>
      </c>
      <c r="IT247" s="55">
        <f>$IS247*$C247/$D247</f>
        <v/>
      </c>
      <c r="IU247" s="55">
        <f>SUMIFS(tblBudget[Ore_Mined_t],tblBudget[Month],"&lt;"&amp;$E247)+$IT247</f>
        <v/>
      </c>
      <c r="IV247" s="55">
        <f>SUMIFS(tblBudget[Ore_oz],tblBudget[Month],$E247)</f>
        <v/>
      </c>
      <c r="IW247" s="55">
        <f>$IV247*$C247/$D247</f>
        <v/>
      </c>
      <c r="IX247" s="55">
        <f>SUMIFS(tblBudget[Ore_oz],tblBudget[Month],"&lt;"&amp;$E247)+$IW247</f>
        <v/>
      </c>
      <c r="IY247" s="55">
        <f>SUMIFS(tblBudget[Ore_Mined_t],tblBudget[Month],$E247)</f>
        <v/>
      </c>
      <c r="IZ247" s="55">
        <f>$IY247*$C247/$D247</f>
        <v/>
      </c>
      <c r="JA247" s="55">
        <f>SUMIFS(tblBudget[Ore_Mined_t],tblBudget[Month],"&lt;"&amp;$E247)+$IZ247</f>
        <v/>
      </c>
      <c r="JB247" s="56">
        <f>IFERROR(IF(($IY247)&gt;0,($IV247*cfg_TroyOz)/($IY247),""),"")</f>
        <v/>
      </c>
      <c r="JC247" s="56">
        <f>IFERROR(IF(($IZ247)&gt;0,($IW247*cfg_TroyOz)/($IZ247),""),"")</f>
        <v/>
      </c>
      <c r="JD247" s="56">
        <f>IFERROR(IF(($JA247)&gt;0,($IX247*cfg_TroyOz)/($JA247),""),"")</f>
        <v/>
      </c>
      <c r="JE247" s="55">
        <f>SUMIFS(tblBudget[Waste_t],tblBudget[Month],$E247)</f>
        <v/>
      </c>
      <c r="JF247" s="55">
        <f>$JE247*$C247/$D247</f>
        <v/>
      </c>
      <c r="JG247" s="55">
        <f>SUMIFS(tblBudget[Waste_t],tblBudget[Month],"&lt;"&amp;$E247)+$JF247</f>
        <v/>
      </c>
      <c r="JH247" s="55">
        <f>SUMIFS(tblBudget[TMM_t],tblBudget[Month],$E247)</f>
        <v/>
      </c>
      <c r="JI247" s="55">
        <f>$JH247*$C247/$D247</f>
        <v/>
      </c>
      <c r="JJ247" s="55">
        <f>SUMIFS(tblBudget[TMM_t],tblBudget[Month],"&lt;"&amp;$E247)+$JI247</f>
        <v/>
      </c>
      <c r="JK247" s="56">
        <f>IFERROR(IF(($IS247)&gt;0,($JE247)/($IS247),""),"")</f>
        <v/>
      </c>
      <c r="JL247" s="56">
        <f>IFERROR(IF(($IT247)&gt;0,($JF247)/($IT247),""),"")</f>
        <v/>
      </c>
      <c r="JM247" s="56">
        <f>IFERROR(IF(($IU247)&gt;0,($JG247)/($IU247),""),"")</f>
        <v/>
      </c>
      <c r="JN247" s="55">
        <f>SUMIFS(tblBudget[Drill_m],tblBudget[Month],$E247)</f>
        <v/>
      </c>
      <c r="JO247" s="55">
        <f>$JN247*$C247/$D247</f>
        <v/>
      </c>
      <c r="JP247" s="55">
        <f>SUMIFS(tblBudget[Drill_m],tblBudget[Month],"&lt;"&amp;$E247)+$JO247</f>
        <v/>
      </c>
      <c r="JQ247" s="55">
        <f>SUMIFS(tblBudget[Diesel_L],tblBudget[Month],$E247)</f>
        <v/>
      </c>
      <c r="JR247" s="55">
        <f>$JQ247*$C247/$D247</f>
        <v/>
      </c>
      <c r="JS247" s="55">
        <f>SUMIFS(tblBudget[Diesel_L],tblBudget[Month],"&lt;"&amp;$E247)+$JR247</f>
        <v/>
      </c>
      <c r="JT247" s="55">
        <f>SUMIFS(tblBudget[Milled_t],tblBudget[Month],$E247)</f>
        <v/>
      </c>
      <c r="JU247" s="55">
        <f>$JT247*$C247/$D247</f>
        <v/>
      </c>
      <c r="JV247" s="55">
        <f>SUMIFS(tblBudget[Milled_t],tblBudget[Month],"&lt;"&amp;$E247)+$JU247</f>
        <v/>
      </c>
      <c r="JW247" s="55">
        <f>SUMIFS(tblBudget[Feed_oz],tblBudget[Month],$E247)</f>
        <v/>
      </c>
      <c r="JX247" s="55">
        <f>$JW247*$C247/$D247</f>
        <v/>
      </c>
      <c r="JY247" s="55">
        <f>SUMIFS(tblBudget[Feed_oz],tblBudget[Month],"&lt;"&amp;$E247)+$JX247</f>
        <v/>
      </c>
      <c r="JZ247" s="55">
        <f>SUMIFS(tblBudget[Recovered_oz],tblBudget[Month],$E247)</f>
        <v/>
      </c>
      <c r="KA247" s="55">
        <f>$JZ247*$C247/$D247</f>
        <v/>
      </c>
      <c r="KB247" s="55">
        <f>SUMIFS(tblBudget[Recovered_oz],tblBudget[Month],"&lt;"&amp;$E247)+$KA247</f>
        <v/>
      </c>
      <c r="KC247" s="55">
        <f>SUMIFS(tblBudget[Milled_t],tblBudget[Month],$E247)</f>
        <v/>
      </c>
      <c r="KD247" s="55">
        <f>$KC247*$C247/$D247</f>
        <v/>
      </c>
      <c r="KE247" s="55">
        <f>SUMIFS(tblBudget[Milled_t],tblBudget[Month],"&lt;"&amp;$E247)+$KD247</f>
        <v/>
      </c>
      <c r="KF247" s="55">
        <f>SUMIFS(tblBudget[Feed_oz],tblBudget[Month],$E247)</f>
        <v/>
      </c>
      <c r="KG247" s="55">
        <f>$KF247*$C247/$D247</f>
        <v/>
      </c>
      <c r="KH247" s="55">
        <f>SUMIFS(tblBudget[Feed_oz],tblBudget[Month],"&lt;"&amp;$E247)+$KG247</f>
        <v/>
      </c>
      <c r="KI247" s="56">
        <f>IFERROR(IF(($KC247)&gt;0,($JW247*cfg_TroyOz)/($KC247),""),"")</f>
        <v/>
      </c>
      <c r="KJ247" s="56">
        <f>IFERROR(IF(($KD247)&gt;0,($JX247*cfg_TroyOz)/($KD247),""),"")</f>
        <v/>
      </c>
      <c r="KK247" s="56">
        <f>IFERROR(IF(($KE247)&gt;0,($JY247*cfg_TroyOz)/($KE247),""),"")</f>
        <v/>
      </c>
      <c r="KL247" s="67">
        <f>IFERROR(IF(($KF247)&gt;0,($JZ247)/($KF247),""),"")</f>
        <v/>
      </c>
      <c r="KM247" s="67">
        <f>IFERROR(IF(($KG247)&gt;0,($KA247)/($KG247),""),"")</f>
        <v/>
      </c>
      <c r="KN247" s="67">
        <f>IFERROR(IF(($KH247)&gt;0,($KB247)/($KH247),""),"")</f>
        <v/>
      </c>
      <c r="KO247" s="55">
        <f>SUMIFS(tblBudget[Gold_Poured_oz],tblBudget[Month],$E247)</f>
        <v/>
      </c>
      <c r="KP247" s="55">
        <f>$KO247*$C247/$D247</f>
        <v/>
      </c>
      <c r="KQ247" s="55">
        <f>SUMIFS(tblBudget[Gold_Poured_oz],tblBudget[Month],"&lt;"&amp;$E247)+$KP247</f>
        <v/>
      </c>
      <c r="KR247" s="57">
        <f>SUMIFS(tblBudget[Hours_Worked],tblBudget[Month],$E247)</f>
        <v/>
      </c>
      <c r="KS247" s="57">
        <f>$KR247*$C247/$D247</f>
        <v/>
      </c>
      <c r="KT247" s="57">
        <f>SUMIFS(tblBudget[Hours_Worked],tblBudget[Month],"&lt;"&amp;$E247)+$KS247</f>
        <v/>
      </c>
    </row>
    <row r="248">
      <c r="A248" s="54" t="n">
        <v>46269</v>
      </c>
      <c r="B248">
        <f>MONTH($A248)</f>
        <v/>
      </c>
      <c r="C248">
        <f>DAY($A248)</f>
        <v/>
      </c>
      <c r="D248">
        <f>DAY(EOMONTH($A248,0))</f>
        <v/>
      </c>
      <c r="E248" s="54">
        <f>DATE(YEAR($A248),MONTH($A248),1)</f>
        <v/>
      </c>
      <c r="F248" s="55">
        <f>SUMIFS(tblMovement[Tonnes_t],tblMovement[Date],$A248,tblMovement[Is_Ore],1,tblMovement[Source_Type],"Pit")</f>
        <v/>
      </c>
      <c r="G248" s="55">
        <f>IF($B248=$B247,$G247,0)+$F248</f>
        <v/>
      </c>
      <c r="H248" s="55">
        <f>$H247+$F248</f>
        <v/>
      </c>
      <c r="I248" s="55">
        <f>SUMIFS(tblMovement[Ore_oz],tblMovement[Date],$A248,tblMovement[Source_Type],"Pit")</f>
        <v/>
      </c>
      <c r="J248" s="55">
        <f>IF($B248=$B247,$J247,0)+$I248</f>
        <v/>
      </c>
      <c r="K248" s="55">
        <f>$K247+$I248</f>
        <v/>
      </c>
      <c r="L248" s="55">
        <f>SUMIFS(tblMovement[Tonnes_t],tblMovement[Date],$A248,tblMovement[Is_Ore],1,tblMovement[Source_Type],"Pit",tblMovement[Grade_gpt],"&lt;&gt;")</f>
        <v/>
      </c>
      <c r="M248" s="55">
        <f>IF($B248=$B247,$M247,0)+$L248</f>
        <v/>
      </c>
      <c r="N248" s="55">
        <f>$N247+$L248</f>
        <v/>
      </c>
      <c r="O248" s="56">
        <f>IFERROR(IF(($L248)&gt;0,($I248*cfg_TroyOz)/($L248),""),"")</f>
        <v/>
      </c>
      <c r="P248" s="56">
        <f>IFERROR(IF(($M248)&gt;0,($J248*cfg_TroyOz)/($M248),""),"")</f>
        <v/>
      </c>
      <c r="Q248" s="56">
        <f>IFERROR(IF(($N248)&gt;0,($K248*cfg_TroyOz)/($N248),""),"")</f>
        <v/>
      </c>
      <c r="R248" s="55">
        <f>$F248-$L248</f>
        <v/>
      </c>
      <c r="S248" s="55">
        <f>IF($B248=$B247,$S247,0)+$R248</f>
        <v/>
      </c>
      <c r="T248" s="55">
        <f>$T247+$R248</f>
        <v/>
      </c>
      <c r="U248" s="55">
        <f>SUMIFS(tblMovement[Tonnes_t],tblMovement[Date],$A248,tblMovement[Is_Ore],0,tblMovement[Source_Type],"Pit")</f>
        <v/>
      </c>
      <c r="V248" s="55">
        <f>IF($B248=$B247,$V247,0)+$U248</f>
        <v/>
      </c>
      <c r="W248" s="55">
        <f>$W247+$U248</f>
        <v/>
      </c>
      <c r="X248" s="55">
        <f>$F248+$U248</f>
        <v/>
      </c>
      <c r="Y248" s="55">
        <f>IF($B248=$B247,$Y247,0)+$X248</f>
        <v/>
      </c>
      <c r="Z248" s="55">
        <f>$Z247+$X248</f>
        <v/>
      </c>
      <c r="AA248" s="56">
        <f>IFERROR(IF(($F248)&gt;0,($U248)/($F248),""),"")</f>
        <v/>
      </c>
      <c r="AB248" s="56">
        <f>IFERROR(IF(($G248)&gt;0,($V248)/($G248),""),"")</f>
        <v/>
      </c>
      <c r="AC248" s="56">
        <f>IFERROR(IF(($H248)&gt;0,($W248)/($H248),""),"")</f>
        <v/>
      </c>
      <c r="AD248" s="55">
        <f>SUMIFS(tblMovement[Tonnes_t],tblMovement[Date],$A248,tblMovement[Source_Type],"Stockpile")</f>
        <v/>
      </c>
      <c r="AE248" s="55">
        <f>IF($B248=$B247,$AE247,0)+$AD248</f>
        <v/>
      </c>
      <c r="AF248" s="55">
        <f>$AF247+$AD248</f>
        <v/>
      </c>
      <c r="AG248" s="55">
        <f>SUMIFS(tblMovement[Tonnes_t],tblMovement[Date],$A248)</f>
        <v/>
      </c>
      <c r="AH248" s="55">
        <f>IF($B248=$B247,$AH247,0)+$AG248</f>
        <v/>
      </c>
      <c r="AI248" s="55">
        <f>$AI247+$AG248</f>
        <v/>
      </c>
      <c r="AJ248" s="55">
        <f>$AG248-$X248-$AD248</f>
        <v/>
      </c>
      <c r="AK248" s="55">
        <f>IF($B248=$B247,$AK247,0)+$AJ248</f>
        <v/>
      </c>
      <c r="AL248" s="55">
        <f>$AL247+$AJ248</f>
        <v/>
      </c>
      <c r="AM248" s="55">
        <f>SUMIFS(tblMiningDaily[Drill_m],tblMiningDaily[Date],$A248)</f>
        <v/>
      </c>
      <c r="AN248" s="55">
        <f>IF($B248=$B247,$AN247,0)+$AM248</f>
        <v/>
      </c>
      <c r="AO248" s="55">
        <f>$AO247+$AM248</f>
        <v/>
      </c>
      <c r="AP248" s="55">
        <f>SUMIFS(tblMiningDaily[GC_Drill_m],tblMiningDaily[Date],$A248)</f>
        <v/>
      </c>
      <c r="AQ248" s="55">
        <f>IF($B248=$B247,$AQ247,0)+$AP248</f>
        <v/>
      </c>
      <c r="AR248" s="55">
        <f>$AR247+$AP248</f>
        <v/>
      </c>
      <c r="AS248" s="55">
        <f>SUMIFS(tblMiningDaily[Blast_t],tblMiningDaily[Date],$A248)</f>
        <v/>
      </c>
      <c r="AT248" s="55">
        <f>IF($B248=$B247,$AT247,0)+$AS248</f>
        <v/>
      </c>
      <c r="AU248" s="55">
        <f>$AU247+$AS248</f>
        <v/>
      </c>
      <c r="AV248" s="55">
        <f>SUMIFS(tblMiningDaily[Explosives_kg],tblMiningDaily[Date],$A248)</f>
        <v/>
      </c>
      <c r="AW248" s="55">
        <f>IF($B248=$B247,$AW247,0)+$AV248</f>
        <v/>
      </c>
      <c r="AX248" s="55">
        <f>$AX247+$AV248</f>
        <v/>
      </c>
      <c r="AY248" s="56">
        <f>IFERROR(IF(($AS248)&gt;0,($AV248)/($AS248),""),"")</f>
        <v/>
      </c>
      <c r="AZ248" s="56">
        <f>IFERROR(IF(($AT248)&gt;0,($AW248)/($AT248),""),"")</f>
        <v/>
      </c>
      <c r="BA248" s="56">
        <f>IFERROR(IF(($AU248)&gt;0,($AX248)/($AU248),""),"")</f>
        <v/>
      </c>
      <c r="BB248" s="55">
        <f>SUMIFS(tblMiningDaily[Diesel_L],tblMiningDaily[Date],$A248)</f>
        <v/>
      </c>
      <c r="BC248" s="55">
        <f>IF($B248=$B247,$BC247,0)+$BB248</f>
        <v/>
      </c>
      <c r="BD248" s="55">
        <f>$BD247+$BB248</f>
        <v/>
      </c>
      <c r="BE248" s="55">
        <f>SUMIFS(tblMiningDaily[Dewatering_m3],tblMiningDaily[Date],$A248)</f>
        <v/>
      </c>
      <c r="BF248" s="55">
        <f>IF($B248=$B247,$BF247,0)+$BE248</f>
        <v/>
      </c>
      <c r="BG248" s="55">
        <f>$BG247+$BE248</f>
        <v/>
      </c>
      <c r="BH248" s="57">
        <f>SUMIFS(tblFleet[Calendar_h],tblFleet[Date],$A248,tblFleet[Equipment_Class],"Excavator")</f>
        <v/>
      </c>
      <c r="BI248" s="57">
        <f>IF($B248=$B247,$BI247,0)+$BH248</f>
        <v/>
      </c>
      <c r="BJ248" s="57">
        <f>$BJ247+$BH248</f>
        <v/>
      </c>
      <c r="BK248" s="57">
        <f>SUMIFS(tblFleet[Available_h],tblFleet[Date],$A248,tblFleet[Equipment_Class],"Excavator")</f>
        <v/>
      </c>
      <c r="BL248" s="57">
        <f>IF($B248=$B247,$BL247,0)+$BK248</f>
        <v/>
      </c>
      <c r="BM248" s="57">
        <f>$BM247+$BK248</f>
        <v/>
      </c>
      <c r="BN248" s="57">
        <f>SUMIFS(tblFleet[Operating_h],tblFleet[Date],$A248,tblFleet[Equipment_Class],"Excavator")</f>
        <v/>
      </c>
      <c r="BO248" s="57">
        <f>IF($B248=$B247,$BO247,0)+$BN248</f>
        <v/>
      </c>
      <c r="BP248" s="57">
        <f>$BP247+$BN248</f>
        <v/>
      </c>
      <c r="BQ248" s="67">
        <f>IFERROR(IF(($BH248)&gt;0,($BK248)/($BH248),""),"")</f>
        <v/>
      </c>
      <c r="BR248" s="67">
        <f>IFERROR(IF(($BI248)&gt;0,($BL248)/($BI248),""),"")</f>
        <v/>
      </c>
      <c r="BS248" s="67">
        <f>IFERROR(IF(($BJ248)&gt;0,($BM248)/($BJ248),""),"")</f>
        <v/>
      </c>
      <c r="BT248" s="67">
        <f>IFERROR(IF(($BK248)&gt;0,($BN248)/($BK248),""),"")</f>
        <v/>
      </c>
      <c r="BU248" s="67">
        <f>IFERROR(IF(($BL248)&gt;0,($BO248)/($BL248),""),"")</f>
        <v/>
      </c>
      <c r="BV248" s="67">
        <f>IFERROR(IF(($BM248)&gt;0,($BP248)/($BM248),""),"")</f>
        <v/>
      </c>
      <c r="BW248" s="57">
        <f>SUMIFS(tblFleet[Calendar_h],tblFleet[Date],$A248,tblFleet[Equipment_Class],"Haul Truck")</f>
        <v/>
      </c>
      <c r="BX248" s="57">
        <f>IF($B248=$B247,$BX247,0)+$BW248</f>
        <v/>
      </c>
      <c r="BY248" s="57">
        <f>$BY247+$BW248</f>
        <v/>
      </c>
      <c r="BZ248" s="57">
        <f>SUMIFS(tblFleet[Available_h],tblFleet[Date],$A248,tblFleet[Equipment_Class],"Haul Truck")</f>
        <v/>
      </c>
      <c r="CA248" s="57">
        <f>IF($B248=$B247,$CA247,0)+$BZ248</f>
        <v/>
      </c>
      <c r="CB248" s="57">
        <f>$CB247+$BZ248</f>
        <v/>
      </c>
      <c r="CC248" s="57">
        <f>SUMIFS(tblFleet[Operating_h],tblFleet[Date],$A248,tblFleet[Equipment_Class],"Haul Truck")</f>
        <v/>
      </c>
      <c r="CD248" s="57">
        <f>IF($B248=$B247,$CD247,0)+$CC248</f>
        <v/>
      </c>
      <c r="CE248" s="57">
        <f>$CE247+$CC248</f>
        <v/>
      </c>
      <c r="CF248" s="67">
        <f>IFERROR(IF(($BW248)&gt;0,($BZ248)/($BW248),""),"")</f>
        <v/>
      </c>
      <c r="CG248" s="67">
        <f>IFERROR(IF(($BX248)&gt;0,($CA248)/($BX248),""),"")</f>
        <v/>
      </c>
      <c r="CH248" s="67">
        <f>IFERROR(IF(($BY248)&gt;0,($CB248)/($BY248),""),"")</f>
        <v/>
      </c>
      <c r="CI248" s="67">
        <f>IFERROR(IF(($BZ248)&gt;0,($CC248)/($BZ248),""),"")</f>
        <v/>
      </c>
      <c r="CJ248" s="67">
        <f>IFERROR(IF(($CA248)&gt;0,($CD248)/($CA248),""),"")</f>
        <v/>
      </c>
      <c r="CK248" s="67">
        <f>IFERROR(IF(($CB248)&gt;0,($CE248)/($CB248),""),"")</f>
        <v/>
      </c>
      <c r="CL248" s="55">
        <f>IFERROR(IF(($BN248)&gt;0,($X248+$AD248)/($BN248),""),"")</f>
        <v/>
      </c>
      <c r="CM248" s="55">
        <f>IFERROR(IF(($BO248)&gt;0,($Y248+$AE248)/($BO248),""),"")</f>
        <v/>
      </c>
      <c r="CN248" s="55">
        <f>IFERROR(IF(($BP248)&gt;0,($Z248+$AF248)/($BP248),""),"")</f>
        <v/>
      </c>
      <c r="CO248" s="55">
        <f>IFERROR(IF(($CC248)&gt;0,($X248+$AD248)/($CC248),""),"")</f>
        <v/>
      </c>
      <c r="CP248" s="55">
        <f>IFERROR(IF(($CD248)&gt;0,($Y248+$AE248)/($CD248),""),"")</f>
        <v/>
      </c>
      <c r="CQ248" s="55">
        <f>IFERROR(IF(($CE248)&gt;0,($Z248+$AF248)/($CE248),""),"")</f>
        <v/>
      </c>
      <c r="CR248" s="55">
        <f>SUMIFS(tblPlant[Crushed_t],tblPlant[Date],$A248)</f>
        <v/>
      </c>
      <c r="CS248" s="55">
        <f>IF($B248=$B247,$CS247,0)+$CR248</f>
        <v/>
      </c>
      <c r="CT248" s="55">
        <f>$CT247+$CR248</f>
        <v/>
      </c>
      <c r="CU248" s="55">
        <f>SUMIFS(tblPlant[Milled_t],tblPlant[Date],$A248)</f>
        <v/>
      </c>
      <c r="CV248" s="55">
        <f>IF($B248=$B247,$CV247,0)+$CU248</f>
        <v/>
      </c>
      <c r="CW248" s="55">
        <f>$CW247+$CU248</f>
        <v/>
      </c>
      <c r="CX248" s="55">
        <f>SUMIFS(tblPlant[Feed_oz],tblPlant[Date],$A248)</f>
        <v/>
      </c>
      <c r="CY248" s="55">
        <f>IF($B248=$B247,$CY247,0)+$CX248</f>
        <v/>
      </c>
      <c r="CZ248" s="55">
        <f>$CZ247+$CX248</f>
        <v/>
      </c>
      <c r="DA248" s="55">
        <f>SUMIFS(tblPlant[Tails_oz],tblPlant[Date],$A248)</f>
        <v/>
      </c>
      <c r="DB248" s="55">
        <f>IF($B248=$B247,$DB247,0)+$DA248</f>
        <v/>
      </c>
      <c r="DC248" s="55">
        <f>$DC247+$DA248</f>
        <v/>
      </c>
      <c r="DD248" s="55">
        <f>SUMIFS(tblPlant[Recovered_oz],tblPlant[Date],$A248)</f>
        <v/>
      </c>
      <c r="DE248" s="55">
        <f>IF($B248=$B247,$DE247,0)+$DD248</f>
        <v/>
      </c>
      <c r="DF248" s="55">
        <f>$DF247+$DD248</f>
        <v/>
      </c>
      <c r="DG248" s="55">
        <f>SUMIFS(tblPlant[Milled_t],tblPlant[Date],$A248,tblPlant[Head_Grade_gpt],"&lt;&gt;")</f>
        <v/>
      </c>
      <c r="DH248" s="55">
        <f>IF($B248=$B247,$DH247,0)+$DG248</f>
        <v/>
      </c>
      <c r="DI248" s="55">
        <f>$DI247+$DG248</f>
        <v/>
      </c>
      <c r="DJ248" s="55">
        <f>SUMIFS(tblPlant[Milled_t],tblPlant[Date],$A248,tblPlant[Tails_Grade_gpt],"&lt;&gt;")</f>
        <v/>
      </c>
      <c r="DK248" s="55">
        <f>IF($B248=$B247,$DK247,0)+$DJ248</f>
        <v/>
      </c>
      <c r="DL248" s="55">
        <f>$DL247+$DJ248</f>
        <v/>
      </c>
      <c r="DM248" s="55">
        <f>SUMIFS(tblPlant[Feed_oz],tblPlant[Date],$A248,tblPlant[Tails_Grade_gpt],"&lt;&gt;")</f>
        <v/>
      </c>
      <c r="DN248" s="55">
        <f>IF($B248=$B247,$DN247,0)+$DM248</f>
        <v/>
      </c>
      <c r="DO248" s="55">
        <f>$DO247+$DM248</f>
        <v/>
      </c>
      <c r="DP248" s="55">
        <f>SUMIFS(tblPlant[Milled_t],tblPlant[Date],$A248,tblPlant[Mill_Run_h],"&lt;&gt;")</f>
        <v/>
      </c>
      <c r="DQ248" s="55">
        <f>IF($B248=$B247,$DQ247,0)+$DP248</f>
        <v/>
      </c>
      <c r="DR248" s="55">
        <f>$DR247+$DP248</f>
        <v/>
      </c>
      <c r="DS248" s="56">
        <f>IFERROR(IF(($DG248)&gt;0,($CX248*cfg_TroyOz)/($DG248),""),"")</f>
        <v/>
      </c>
      <c r="DT248" s="56">
        <f>IFERROR(IF(($DH248)&gt;0,($CY248*cfg_TroyOz)/($DH248),""),"")</f>
        <v/>
      </c>
      <c r="DU248" s="56">
        <f>IFERROR(IF(($DI248)&gt;0,($CZ248*cfg_TroyOz)/($DI248),""),"")</f>
        <v/>
      </c>
      <c r="DV248" s="56">
        <f>IFERROR(IF(($DJ248)&gt;0,($DA248*cfg_TroyOz)/($DJ248),""),"")</f>
        <v/>
      </c>
      <c r="DW248" s="56">
        <f>IFERROR(IF(($DK248)&gt;0,($DB248*cfg_TroyOz)/($DK248),""),"")</f>
        <v/>
      </c>
      <c r="DX248" s="56">
        <f>IFERROR(IF(($DL248)&gt;0,($DC248*cfg_TroyOz)/($DL248),""),"")</f>
        <v/>
      </c>
      <c r="DY248" s="67">
        <f>IFERROR(IF(($DM248)&gt;0,($DD248)/($DM248),""),"")</f>
        <v/>
      </c>
      <c r="DZ248" s="67">
        <f>IFERROR(IF(($DN248)&gt;0,($DE248)/($DN248),""),"")</f>
        <v/>
      </c>
      <c r="EA248" s="67">
        <f>IFERROR(IF(($DO248)&gt;0,($DF248)/($DO248),""),"")</f>
        <v/>
      </c>
      <c r="EB248" s="55">
        <f>SUMIFS(tblPlant[Gravity_Gold_oz],tblPlant[Date],$A248)</f>
        <v/>
      </c>
      <c r="EC248" s="55">
        <f>IF($B248=$B247,$EC247,0)+$EB248</f>
        <v/>
      </c>
      <c r="ED248" s="55">
        <f>$ED247+$EB248</f>
        <v/>
      </c>
      <c r="EE248" s="67">
        <f>IFERROR(IF(($DD248)&gt;0,($EB248)/($DD248),""),"")</f>
        <v/>
      </c>
      <c r="EF248" s="67">
        <f>IFERROR(IF(($DE248)&gt;0,($EC248)/($DE248),""),"")</f>
        <v/>
      </c>
      <c r="EG248" s="67">
        <f>IFERROR(IF(($DF248)&gt;0,($ED248)/($DF248),""),"")</f>
        <v/>
      </c>
      <c r="EH248" s="55">
        <f>SUMIFS(tblPlant[Gold_Poured_oz],tblPlant[Date],$A248)</f>
        <v/>
      </c>
      <c r="EI248" s="55">
        <f>IF($B248=$B247,$EI247,0)+$EH248</f>
        <v/>
      </c>
      <c r="EJ248" s="55">
        <f>$EJ247+$EH248</f>
        <v/>
      </c>
      <c r="EK248" s="57">
        <f>SUMIFS(tblPlant[Mill_Run_h],tblPlant[Date],$A248)</f>
        <v/>
      </c>
      <c r="EL248" s="57">
        <f>IF($B248=$B247,$EL247,0)+$EK248</f>
        <v/>
      </c>
      <c r="EM248" s="57">
        <f>$EM247+$EK248</f>
        <v/>
      </c>
      <c r="EN248" s="57">
        <f>SUMIFS(tblPlant[Mill_Planned_Maint_h],tblPlant[Date],$A248)</f>
        <v/>
      </c>
      <c r="EO248" s="57">
        <f>IF($B248=$B247,$EO247,0)+$EN248</f>
        <v/>
      </c>
      <c r="EP248" s="57">
        <f>$EP247+$EN248</f>
        <v/>
      </c>
      <c r="EQ248" s="57">
        <f>SUMIFS(tblPlant[Mill_Unplanned_Down_h],tblPlant[Date],$A248)</f>
        <v/>
      </c>
      <c r="ER248" s="57">
        <f>IF($B248=$B247,$ER247,0)+$EQ248</f>
        <v/>
      </c>
      <c r="ES248" s="57">
        <f>$ES247+$EQ248</f>
        <v/>
      </c>
      <c r="ET248" s="57">
        <f>IF(COUNTIFS(tblPlant[Date],$A248,tblPlant[Mill_Run_h],"&lt;&gt;")+COUNTIFS(tblPlant[Date],$A248,tblPlant[Mill_Planned_Maint_h],"&lt;&gt;")+COUNTIFS(tblPlant[Date],$A248,tblPlant[Mill_Unplanned_Down_h],"&lt;&gt;")&gt;0,cfg_HoursPerDay,0)</f>
        <v/>
      </c>
      <c r="EU248" s="57">
        <f>IF($B248=$B247,$EU247,0)+$ET248</f>
        <v/>
      </c>
      <c r="EV248" s="57">
        <f>$EV247+$ET248</f>
        <v/>
      </c>
      <c r="EW248" s="57">
        <f>SUMIFS(tblPlant[Crusher_Run_h],tblPlant[Date],$A248)</f>
        <v/>
      </c>
      <c r="EX248" s="57">
        <f>IF($B248=$B247,$EX247,0)+$EW248</f>
        <v/>
      </c>
      <c r="EY248" s="57">
        <f>$EY247+$EW248</f>
        <v/>
      </c>
      <c r="EZ248" s="55">
        <f>IFERROR(IF(($EK248)&gt;0,($DP248)/($EK248),""),"")</f>
        <v/>
      </c>
      <c r="FA248" s="55">
        <f>IFERROR(IF(($EL248)&gt;0,($DQ248)/($EL248),""),"")</f>
        <v/>
      </c>
      <c r="FB248" s="55">
        <f>IFERROR(IF(($EM248)&gt;0,($DR248)/($EM248),""),"")</f>
        <v/>
      </c>
      <c r="FC248" s="67">
        <f>IFERROR(IF(($ET248)&gt;0,($ET248-$EN248-$EQ248)/($ET248),""),"")</f>
        <v/>
      </c>
      <c r="FD248" s="67">
        <f>IFERROR(IF(($EU248)&gt;0,($EU248-$EO248-$ER248)/($EU248),""),"")</f>
        <v/>
      </c>
      <c r="FE248" s="67">
        <f>IFERROR(IF(($EV248)&gt;0,($EV248-$EP248-$ES248)/($EV248),""),"")</f>
        <v/>
      </c>
      <c r="FF248" s="67">
        <f>IFERROR(IF(($ET248-$EN248-$EQ248)&gt;0,($EK248)/($ET248-$EN248-$EQ248),""),"")</f>
        <v/>
      </c>
      <c r="FG248" s="67">
        <f>IFERROR(IF(($EU248-$EO248-$ER248)&gt;0,($EL248)/($EU248-$EO248-$ER248),""),"")</f>
        <v/>
      </c>
      <c r="FH248" s="67">
        <f>IFERROR(IF(($EV248-$EP248-$ES248)&gt;0,($EM248)/($EV248-$EP248-$ES248),""),"")</f>
        <v/>
      </c>
      <c r="FI248" s="55">
        <f>SUMIFS(tblPlant[Cyanide_kg],tblPlant[Date],$A248)</f>
        <v/>
      </c>
      <c r="FJ248" s="55">
        <f>IF($B248=$B247,$FJ247,0)+$FI248</f>
        <v/>
      </c>
      <c r="FK248" s="55">
        <f>$FK247+$FI248</f>
        <v/>
      </c>
      <c r="FL248" s="55">
        <f>SUMIFS(tblPlant[Lime_kg],tblPlant[Date],$A248)</f>
        <v/>
      </c>
      <c r="FM248" s="55">
        <f>IF($B248=$B247,$FM247,0)+$FL248</f>
        <v/>
      </c>
      <c r="FN248" s="55">
        <f>$FN247+$FL248</f>
        <v/>
      </c>
      <c r="FO248" s="55">
        <f>SUMIFS(tblPlant[Grinding_Media_kg],tblPlant[Date],$A248)</f>
        <v/>
      </c>
      <c r="FP248" s="55">
        <f>IF($B248=$B247,$FP247,0)+$FO248</f>
        <v/>
      </c>
      <c r="FQ248" s="55">
        <f>$FQ247+$FO248</f>
        <v/>
      </c>
      <c r="FR248" s="55">
        <f>SUMIFS(tblPlant[Power_kWh],tblPlant[Date],$A248)</f>
        <v/>
      </c>
      <c r="FS248" s="55">
        <f>IF($B248=$B247,$FS247,0)+$FR248</f>
        <v/>
      </c>
      <c r="FT248" s="55">
        <f>$FT247+$FR248</f>
        <v/>
      </c>
      <c r="FU248" s="55">
        <f>SUMIFS(tblPlant[Raw_Water_m3],tblPlant[Date],$A248)</f>
        <v/>
      </c>
      <c r="FV248" s="55">
        <f>IF($B248=$B247,$FV247,0)+$FU248</f>
        <v/>
      </c>
      <c r="FW248" s="55">
        <f>$FW247+$FU248</f>
        <v/>
      </c>
      <c r="FX248" s="56">
        <f>IFERROR(IF(($CU248)&gt;0,($FI248)/($CU248),""),"")</f>
        <v/>
      </c>
      <c r="FY248" s="56">
        <f>IFERROR(IF(($CV248)&gt;0,($FJ248)/($CV248),""),"")</f>
        <v/>
      </c>
      <c r="FZ248" s="56">
        <f>IFERROR(IF(($CW248)&gt;0,($FK248)/($CW248),""),"")</f>
        <v/>
      </c>
      <c r="GA248" s="56">
        <f>IFERROR(IF(($CU248)&gt;0,($FL248)/($CU248),""),"")</f>
        <v/>
      </c>
      <c r="GB248" s="56">
        <f>IFERROR(IF(($CV248)&gt;0,($FM248)/($CV248),""),"")</f>
        <v/>
      </c>
      <c r="GC248" s="56">
        <f>IFERROR(IF(($CW248)&gt;0,($FN248)/($CW248),""),"")</f>
        <v/>
      </c>
      <c r="GD248" s="56">
        <f>IFERROR(IF(($CU248)&gt;0,($FO248)/($CU248),""),"")</f>
        <v/>
      </c>
      <c r="GE248" s="56">
        <f>IFERROR(IF(($CV248)&gt;0,($FP248)/($CV248),""),"")</f>
        <v/>
      </c>
      <c r="GF248" s="56">
        <f>IFERROR(IF(($CW248)&gt;0,($FQ248)/($CW248),""),"")</f>
        <v/>
      </c>
      <c r="GG248" s="79">
        <f>IFERROR(IF(($CU248)&gt;0,($FR248)/($CU248),""),"")</f>
        <v/>
      </c>
      <c r="GH248" s="79">
        <f>IFERROR(IF(($CV248)&gt;0,($FS248)/($CV248),""),"")</f>
        <v/>
      </c>
      <c r="GI248" s="79">
        <f>IFERROR(IF(($CW248)&gt;0,($FT248)/($CW248),""),"")</f>
        <v/>
      </c>
      <c r="GJ248" s="56">
        <f>IFERROR(IF(($CU248)&gt;0,($FU248)/($CU248),""),"")</f>
        <v/>
      </c>
      <c r="GK248" s="56">
        <f>IFERROR(IF(($CV248)&gt;0,($FV248)/($CV248),""),"")</f>
        <v/>
      </c>
      <c r="GL248" s="56">
        <f>IFERROR(IF(($CW248)&gt;0,($FW248)/($CW248),""),"")</f>
        <v/>
      </c>
      <c r="GM248" s="55">
        <f>IF(SUMIFS(tblPlant[GIC_oz],tblPlant[Date],$A248)&gt;0,SUMIFS(tblPlant[GIC_oz],tblPlant[Date],$A248),"")</f>
        <v/>
      </c>
      <c r="GN248" s="55">
        <f>SUMIFS(tblGold[Gold_oz],tblGold[Date],$A248,tblGold[Type],"Shipment")</f>
        <v/>
      </c>
      <c r="GO248" s="55">
        <f>IF($B248=$B247,$GO247,0)+$GN248</f>
        <v/>
      </c>
      <c r="GP248" s="55">
        <f>$GP247+$GN248</f>
        <v/>
      </c>
      <c r="GQ248" s="55">
        <f>SUMIFS(tblGold[Gold_oz],tblGold[Date],$A248,tblGold[Type],"Sale")</f>
        <v/>
      </c>
      <c r="GR248" s="55">
        <f>IF($B248=$B247,$GR247,0)+$GQ248</f>
        <v/>
      </c>
      <c r="GS248" s="55">
        <f>$GS247+$GQ248</f>
        <v/>
      </c>
      <c r="GT248" s="55">
        <f>SUMIFS(tblGold[Dore_kg],tblGold[Date],$A248,tblGold[Type],"Shipment")</f>
        <v/>
      </c>
      <c r="GU248" s="55">
        <f>IF($B248=$B247,$GU247,0)+$GT248</f>
        <v/>
      </c>
      <c r="GV248" s="55">
        <f>$GV247+$GT248</f>
        <v/>
      </c>
      <c r="GW248" s="57">
        <f>SUMIFS(tblSafety[Hours_Total],tblSafety[Date],$A248)</f>
        <v/>
      </c>
      <c r="GX248" s="57">
        <f>IF($B248=$B247,$GX247,0)+$GW248</f>
        <v/>
      </c>
      <c r="GY248" s="57">
        <f>$GY247+$GW248</f>
        <v/>
      </c>
      <c r="GZ248" s="62">
        <f>SUMIFS(tblSafety[Fatality],tblSafety[Date],$A248)</f>
        <v/>
      </c>
      <c r="HA248" s="62">
        <f>IF($B248=$B247,$HA247,0)+$GZ248</f>
        <v/>
      </c>
      <c r="HB248" s="62">
        <f>$HB247+$GZ248</f>
        <v/>
      </c>
      <c r="HC248" s="62">
        <f>SUMIFS(tblSafety[LTI],tblSafety[Date],$A248)</f>
        <v/>
      </c>
      <c r="HD248" s="62">
        <f>IF($B248=$B247,$HD247,0)+$HC248</f>
        <v/>
      </c>
      <c r="HE248" s="62">
        <f>$HE247+$HC248</f>
        <v/>
      </c>
      <c r="HF248" s="62">
        <f>SUMIFS(tblSafety[RWI],tblSafety[Date],$A248)</f>
        <v/>
      </c>
      <c r="HG248" s="62">
        <f>IF($B248=$B247,$HG247,0)+$HF248</f>
        <v/>
      </c>
      <c r="HH248" s="62">
        <f>$HH247+$HF248</f>
        <v/>
      </c>
      <c r="HI248" s="62">
        <f>SUMIFS(tblSafety[MTI],tblSafety[Date],$A248)</f>
        <v/>
      </c>
      <c r="HJ248" s="62">
        <f>IF($B248=$B247,$HJ247,0)+$HI248</f>
        <v/>
      </c>
      <c r="HK248" s="62">
        <f>$HK247+$HI248</f>
        <v/>
      </c>
      <c r="HL248" s="62">
        <f>SUMIFS(tblSafety[FAI],tblSafety[Date],$A248)</f>
        <v/>
      </c>
      <c r="HM248" s="62">
        <f>IF($B248=$B247,$HM247,0)+$HL248</f>
        <v/>
      </c>
      <c r="HN248" s="62">
        <f>$HN247+$HL248</f>
        <v/>
      </c>
      <c r="HO248" s="62">
        <f>SUMIFS(tblSafety[Recordables],tblSafety[Date],$A248)</f>
        <v/>
      </c>
      <c r="HP248" s="62">
        <f>IF($B248=$B247,$HP247,0)+$HO248</f>
        <v/>
      </c>
      <c r="HQ248" s="62">
        <f>$HQ247+$HO248</f>
        <v/>
      </c>
      <c r="HR248" s="62">
        <f>SUMIFS(tblSafety[Near_Miss],tblSafety[Date],$A248)</f>
        <v/>
      </c>
      <c r="HS248" s="62">
        <f>IF($B248=$B247,$HS247,0)+$HR248</f>
        <v/>
      </c>
      <c r="HT248" s="62">
        <f>$HT247+$HR248</f>
        <v/>
      </c>
      <c r="HU248" s="62">
        <f>SUMIFS(tblSafety[Hazard_Reports],tblSafety[Date],$A248)</f>
        <v/>
      </c>
      <c r="HV248" s="62">
        <f>IF($B248=$B247,$HV247,0)+$HU248</f>
        <v/>
      </c>
      <c r="HW248" s="62">
        <f>$HW247+$HU248</f>
        <v/>
      </c>
      <c r="HX248" s="62">
        <f>SUMIFS(tblSafety[HPI],tblSafety[Date],$A248)</f>
        <v/>
      </c>
      <c r="HY248" s="62">
        <f>IF($B248=$B247,$HY247,0)+$HX248</f>
        <v/>
      </c>
      <c r="HZ248" s="62">
        <f>$HZ247+$HX248</f>
        <v/>
      </c>
      <c r="IA248" s="62">
        <f>SUMIFS(tblSafety[Env_Incidents],tblSafety[Date],$A248)</f>
        <v/>
      </c>
      <c r="IB248" s="62">
        <f>IF($B248=$B247,$IB247,0)+$IA248</f>
        <v/>
      </c>
      <c r="IC248" s="62">
        <f>$IC247+$IA248</f>
        <v/>
      </c>
      <c r="ID248" s="62">
        <f>SUMIFS(tblSafety[Community_Incidents],tblSafety[Date],$A248)</f>
        <v/>
      </c>
      <c r="IE248" s="62">
        <f>IF($B248=$B247,$IE247,0)+$ID248</f>
        <v/>
      </c>
      <c r="IF248" s="62">
        <f>$IF247+$ID248</f>
        <v/>
      </c>
      <c r="IG248" s="62">
        <f>SUMIFS(tblSafety[Vehicle_Incidents],tblSafety[Date],$A248)</f>
        <v/>
      </c>
      <c r="IH248" s="62">
        <f>IF($B248=$B247,$IH247,0)+$IG248</f>
        <v/>
      </c>
      <c r="II248" s="62">
        <f>$II247+$IG248</f>
        <v/>
      </c>
      <c r="IJ248" s="62">
        <f>SUMIFS(tblSafety[Toolbox_Talks],tblSafety[Date],$A248)</f>
        <v/>
      </c>
      <c r="IK248" s="62">
        <f>IF($B248=$B247,$IK247,0)+$IJ248</f>
        <v/>
      </c>
      <c r="IL248" s="62">
        <f>$IL247+$IJ248</f>
        <v/>
      </c>
      <c r="IM248" s="62">
        <f>SUMIFS(tblSafety[Inspections],tblSafety[Date],$A248)</f>
        <v/>
      </c>
      <c r="IN248" s="62">
        <f>IF($B248=$B247,$IN247,0)+$IM248</f>
        <v/>
      </c>
      <c r="IO248" s="62">
        <f>$IO247+$IM248</f>
        <v/>
      </c>
      <c r="IP248" s="56">
        <f>IFERROR((SUMIFS(tblSafety[Recordables],tblSafety[Date],"&gt;="&amp;EDATE($E248,-12),tblSafety[Date],"&lt;="&amp;$A248)+SUMIFS(tblSafetyHistory[Recordables],tblSafetyHistory[Month],"&gt;="&amp;EDATE($E248,-12),tblSafetyHistory[Month],"&lt;"&amp;$E248,tblSafetyHistory[Use],1))/(SUMIFS(tblSafety[Hours_Total],tblSafety[Date],"&gt;="&amp;EDATE($E248,-12),tblSafety[Date],"&lt;="&amp;$A248)+SUMIFS(tblSafetyHistory[Hours_Total],tblSafetyHistory[Month],"&gt;="&amp;EDATE($E248,-12),tblSafetyHistory[Month],"&lt;"&amp;$E248,tblSafetyHistory[Use],1))*cfg_RateBasisHours,"")</f>
        <v/>
      </c>
      <c r="IQ248" s="56">
        <f>IFERROR((SUMIFS(tblSafety[LTI],tblSafety[Date],"&gt;="&amp;EDATE($E248,-12),tblSafety[Date],"&lt;="&amp;$A248)+SUMIFS(tblSafetyHistory[LTI],tblSafetyHistory[Month],"&gt;="&amp;EDATE($E248,-12),tblSafetyHistory[Month],"&lt;"&amp;$E248,tblSafetyHistory[Use],1))/(SUMIFS(tblSafety[Hours_Total],tblSafety[Date],"&gt;="&amp;EDATE($E248,-12),tblSafety[Date],"&lt;="&amp;$A248)+SUMIFS(tblSafetyHistory[Hours_Total],tblSafetyHistory[Month],"&gt;="&amp;EDATE($E248,-12),tblSafetyHistory[Month],"&lt;"&amp;$E248,tblSafetyHistory[Use],1))*cfg_RateBasisHours,"")</f>
        <v/>
      </c>
      <c r="IR248" s="62">
        <f>IF(MAX(N(cfg_PriorLTIDate),_xlfn.MAXIFS(tblSafety[Date],tblSafety[LTI],"&gt;0",tblSafety[Date],"&lt;="&amp;$A248))=0,"",$A248-MAX(N(cfg_PriorLTIDate),_xlfn.MAXIFS(tblSafety[Date],tblSafety[LTI],"&gt;0",tblSafety[Date],"&lt;="&amp;$A248)))</f>
        <v/>
      </c>
      <c r="IS248" s="55">
        <f>SUMIFS(tblBudget[Ore_Mined_t],tblBudget[Month],$E248)</f>
        <v/>
      </c>
      <c r="IT248" s="55">
        <f>$IS248*$C248/$D248</f>
        <v/>
      </c>
      <c r="IU248" s="55">
        <f>SUMIFS(tblBudget[Ore_Mined_t],tblBudget[Month],"&lt;"&amp;$E248)+$IT248</f>
        <v/>
      </c>
      <c r="IV248" s="55">
        <f>SUMIFS(tblBudget[Ore_oz],tblBudget[Month],$E248)</f>
        <v/>
      </c>
      <c r="IW248" s="55">
        <f>$IV248*$C248/$D248</f>
        <v/>
      </c>
      <c r="IX248" s="55">
        <f>SUMIFS(tblBudget[Ore_oz],tblBudget[Month],"&lt;"&amp;$E248)+$IW248</f>
        <v/>
      </c>
      <c r="IY248" s="55">
        <f>SUMIFS(tblBudget[Ore_Mined_t],tblBudget[Month],$E248)</f>
        <v/>
      </c>
      <c r="IZ248" s="55">
        <f>$IY248*$C248/$D248</f>
        <v/>
      </c>
      <c r="JA248" s="55">
        <f>SUMIFS(tblBudget[Ore_Mined_t],tblBudget[Month],"&lt;"&amp;$E248)+$IZ248</f>
        <v/>
      </c>
      <c r="JB248" s="56">
        <f>IFERROR(IF(($IY248)&gt;0,($IV248*cfg_TroyOz)/($IY248),""),"")</f>
        <v/>
      </c>
      <c r="JC248" s="56">
        <f>IFERROR(IF(($IZ248)&gt;0,($IW248*cfg_TroyOz)/($IZ248),""),"")</f>
        <v/>
      </c>
      <c r="JD248" s="56">
        <f>IFERROR(IF(($JA248)&gt;0,($IX248*cfg_TroyOz)/($JA248),""),"")</f>
        <v/>
      </c>
      <c r="JE248" s="55">
        <f>SUMIFS(tblBudget[Waste_t],tblBudget[Month],$E248)</f>
        <v/>
      </c>
      <c r="JF248" s="55">
        <f>$JE248*$C248/$D248</f>
        <v/>
      </c>
      <c r="JG248" s="55">
        <f>SUMIFS(tblBudget[Waste_t],tblBudget[Month],"&lt;"&amp;$E248)+$JF248</f>
        <v/>
      </c>
      <c r="JH248" s="55">
        <f>SUMIFS(tblBudget[TMM_t],tblBudget[Month],$E248)</f>
        <v/>
      </c>
      <c r="JI248" s="55">
        <f>$JH248*$C248/$D248</f>
        <v/>
      </c>
      <c r="JJ248" s="55">
        <f>SUMIFS(tblBudget[TMM_t],tblBudget[Month],"&lt;"&amp;$E248)+$JI248</f>
        <v/>
      </c>
      <c r="JK248" s="56">
        <f>IFERROR(IF(($IS248)&gt;0,($JE248)/($IS248),""),"")</f>
        <v/>
      </c>
      <c r="JL248" s="56">
        <f>IFERROR(IF(($IT248)&gt;0,($JF248)/($IT248),""),"")</f>
        <v/>
      </c>
      <c r="JM248" s="56">
        <f>IFERROR(IF(($IU248)&gt;0,($JG248)/($IU248),""),"")</f>
        <v/>
      </c>
      <c r="JN248" s="55">
        <f>SUMIFS(tblBudget[Drill_m],tblBudget[Month],$E248)</f>
        <v/>
      </c>
      <c r="JO248" s="55">
        <f>$JN248*$C248/$D248</f>
        <v/>
      </c>
      <c r="JP248" s="55">
        <f>SUMIFS(tblBudget[Drill_m],tblBudget[Month],"&lt;"&amp;$E248)+$JO248</f>
        <v/>
      </c>
      <c r="JQ248" s="55">
        <f>SUMIFS(tblBudget[Diesel_L],tblBudget[Month],$E248)</f>
        <v/>
      </c>
      <c r="JR248" s="55">
        <f>$JQ248*$C248/$D248</f>
        <v/>
      </c>
      <c r="JS248" s="55">
        <f>SUMIFS(tblBudget[Diesel_L],tblBudget[Month],"&lt;"&amp;$E248)+$JR248</f>
        <v/>
      </c>
      <c r="JT248" s="55">
        <f>SUMIFS(tblBudget[Milled_t],tblBudget[Month],$E248)</f>
        <v/>
      </c>
      <c r="JU248" s="55">
        <f>$JT248*$C248/$D248</f>
        <v/>
      </c>
      <c r="JV248" s="55">
        <f>SUMIFS(tblBudget[Milled_t],tblBudget[Month],"&lt;"&amp;$E248)+$JU248</f>
        <v/>
      </c>
      <c r="JW248" s="55">
        <f>SUMIFS(tblBudget[Feed_oz],tblBudget[Month],$E248)</f>
        <v/>
      </c>
      <c r="JX248" s="55">
        <f>$JW248*$C248/$D248</f>
        <v/>
      </c>
      <c r="JY248" s="55">
        <f>SUMIFS(tblBudget[Feed_oz],tblBudget[Month],"&lt;"&amp;$E248)+$JX248</f>
        <v/>
      </c>
      <c r="JZ248" s="55">
        <f>SUMIFS(tblBudget[Recovered_oz],tblBudget[Month],$E248)</f>
        <v/>
      </c>
      <c r="KA248" s="55">
        <f>$JZ248*$C248/$D248</f>
        <v/>
      </c>
      <c r="KB248" s="55">
        <f>SUMIFS(tblBudget[Recovered_oz],tblBudget[Month],"&lt;"&amp;$E248)+$KA248</f>
        <v/>
      </c>
      <c r="KC248" s="55">
        <f>SUMIFS(tblBudget[Milled_t],tblBudget[Month],$E248)</f>
        <v/>
      </c>
      <c r="KD248" s="55">
        <f>$KC248*$C248/$D248</f>
        <v/>
      </c>
      <c r="KE248" s="55">
        <f>SUMIFS(tblBudget[Milled_t],tblBudget[Month],"&lt;"&amp;$E248)+$KD248</f>
        <v/>
      </c>
      <c r="KF248" s="55">
        <f>SUMIFS(tblBudget[Feed_oz],tblBudget[Month],$E248)</f>
        <v/>
      </c>
      <c r="KG248" s="55">
        <f>$KF248*$C248/$D248</f>
        <v/>
      </c>
      <c r="KH248" s="55">
        <f>SUMIFS(tblBudget[Feed_oz],tblBudget[Month],"&lt;"&amp;$E248)+$KG248</f>
        <v/>
      </c>
      <c r="KI248" s="56">
        <f>IFERROR(IF(($KC248)&gt;0,($JW248*cfg_TroyOz)/($KC248),""),"")</f>
        <v/>
      </c>
      <c r="KJ248" s="56">
        <f>IFERROR(IF(($KD248)&gt;0,($JX248*cfg_TroyOz)/($KD248),""),"")</f>
        <v/>
      </c>
      <c r="KK248" s="56">
        <f>IFERROR(IF(($KE248)&gt;0,($JY248*cfg_TroyOz)/($KE248),""),"")</f>
        <v/>
      </c>
      <c r="KL248" s="67">
        <f>IFERROR(IF(($KF248)&gt;0,($JZ248)/($KF248),""),"")</f>
        <v/>
      </c>
      <c r="KM248" s="67">
        <f>IFERROR(IF(($KG248)&gt;0,($KA248)/($KG248),""),"")</f>
        <v/>
      </c>
      <c r="KN248" s="67">
        <f>IFERROR(IF(($KH248)&gt;0,($KB248)/($KH248),""),"")</f>
        <v/>
      </c>
      <c r="KO248" s="55">
        <f>SUMIFS(tblBudget[Gold_Poured_oz],tblBudget[Month],$E248)</f>
        <v/>
      </c>
      <c r="KP248" s="55">
        <f>$KO248*$C248/$D248</f>
        <v/>
      </c>
      <c r="KQ248" s="55">
        <f>SUMIFS(tblBudget[Gold_Poured_oz],tblBudget[Month],"&lt;"&amp;$E248)+$KP248</f>
        <v/>
      </c>
      <c r="KR248" s="57">
        <f>SUMIFS(tblBudget[Hours_Worked],tblBudget[Month],$E248)</f>
        <v/>
      </c>
      <c r="KS248" s="57">
        <f>$KR248*$C248/$D248</f>
        <v/>
      </c>
      <c r="KT248" s="57">
        <f>SUMIFS(tblBudget[Hours_Worked],tblBudget[Month],"&lt;"&amp;$E248)+$KS248</f>
        <v/>
      </c>
    </row>
    <row r="249">
      <c r="A249" s="54" t="n">
        <v>46270</v>
      </c>
      <c r="B249">
        <f>MONTH($A249)</f>
        <v/>
      </c>
      <c r="C249">
        <f>DAY($A249)</f>
        <v/>
      </c>
      <c r="D249">
        <f>DAY(EOMONTH($A249,0))</f>
        <v/>
      </c>
      <c r="E249" s="54">
        <f>DATE(YEAR($A249),MONTH($A249),1)</f>
        <v/>
      </c>
      <c r="F249" s="55">
        <f>SUMIFS(tblMovement[Tonnes_t],tblMovement[Date],$A249,tblMovement[Is_Ore],1,tblMovement[Source_Type],"Pit")</f>
        <v/>
      </c>
      <c r="G249" s="55">
        <f>IF($B249=$B248,$G248,0)+$F249</f>
        <v/>
      </c>
      <c r="H249" s="55">
        <f>$H248+$F249</f>
        <v/>
      </c>
      <c r="I249" s="55">
        <f>SUMIFS(tblMovement[Ore_oz],tblMovement[Date],$A249,tblMovement[Source_Type],"Pit")</f>
        <v/>
      </c>
      <c r="J249" s="55">
        <f>IF($B249=$B248,$J248,0)+$I249</f>
        <v/>
      </c>
      <c r="K249" s="55">
        <f>$K248+$I249</f>
        <v/>
      </c>
      <c r="L249" s="55">
        <f>SUMIFS(tblMovement[Tonnes_t],tblMovement[Date],$A249,tblMovement[Is_Ore],1,tblMovement[Source_Type],"Pit",tblMovement[Grade_gpt],"&lt;&gt;")</f>
        <v/>
      </c>
      <c r="M249" s="55">
        <f>IF($B249=$B248,$M248,0)+$L249</f>
        <v/>
      </c>
      <c r="N249" s="55">
        <f>$N248+$L249</f>
        <v/>
      </c>
      <c r="O249" s="56">
        <f>IFERROR(IF(($L249)&gt;0,($I249*cfg_TroyOz)/($L249),""),"")</f>
        <v/>
      </c>
      <c r="P249" s="56">
        <f>IFERROR(IF(($M249)&gt;0,($J249*cfg_TroyOz)/($M249),""),"")</f>
        <v/>
      </c>
      <c r="Q249" s="56">
        <f>IFERROR(IF(($N249)&gt;0,($K249*cfg_TroyOz)/($N249),""),"")</f>
        <v/>
      </c>
      <c r="R249" s="55">
        <f>$F249-$L249</f>
        <v/>
      </c>
      <c r="S249" s="55">
        <f>IF($B249=$B248,$S248,0)+$R249</f>
        <v/>
      </c>
      <c r="T249" s="55">
        <f>$T248+$R249</f>
        <v/>
      </c>
      <c r="U249" s="55">
        <f>SUMIFS(tblMovement[Tonnes_t],tblMovement[Date],$A249,tblMovement[Is_Ore],0,tblMovement[Source_Type],"Pit")</f>
        <v/>
      </c>
      <c r="V249" s="55">
        <f>IF($B249=$B248,$V248,0)+$U249</f>
        <v/>
      </c>
      <c r="W249" s="55">
        <f>$W248+$U249</f>
        <v/>
      </c>
      <c r="X249" s="55">
        <f>$F249+$U249</f>
        <v/>
      </c>
      <c r="Y249" s="55">
        <f>IF($B249=$B248,$Y248,0)+$X249</f>
        <v/>
      </c>
      <c r="Z249" s="55">
        <f>$Z248+$X249</f>
        <v/>
      </c>
      <c r="AA249" s="56">
        <f>IFERROR(IF(($F249)&gt;0,($U249)/($F249),""),"")</f>
        <v/>
      </c>
      <c r="AB249" s="56">
        <f>IFERROR(IF(($G249)&gt;0,($V249)/($G249),""),"")</f>
        <v/>
      </c>
      <c r="AC249" s="56">
        <f>IFERROR(IF(($H249)&gt;0,($W249)/($H249),""),"")</f>
        <v/>
      </c>
      <c r="AD249" s="55">
        <f>SUMIFS(tblMovement[Tonnes_t],tblMovement[Date],$A249,tblMovement[Source_Type],"Stockpile")</f>
        <v/>
      </c>
      <c r="AE249" s="55">
        <f>IF($B249=$B248,$AE248,0)+$AD249</f>
        <v/>
      </c>
      <c r="AF249" s="55">
        <f>$AF248+$AD249</f>
        <v/>
      </c>
      <c r="AG249" s="55">
        <f>SUMIFS(tblMovement[Tonnes_t],tblMovement[Date],$A249)</f>
        <v/>
      </c>
      <c r="AH249" s="55">
        <f>IF($B249=$B248,$AH248,0)+$AG249</f>
        <v/>
      </c>
      <c r="AI249" s="55">
        <f>$AI248+$AG249</f>
        <v/>
      </c>
      <c r="AJ249" s="55">
        <f>$AG249-$X249-$AD249</f>
        <v/>
      </c>
      <c r="AK249" s="55">
        <f>IF($B249=$B248,$AK248,0)+$AJ249</f>
        <v/>
      </c>
      <c r="AL249" s="55">
        <f>$AL248+$AJ249</f>
        <v/>
      </c>
      <c r="AM249" s="55">
        <f>SUMIFS(tblMiningDaily[Drill_m],tblMiningDaily[Date],$A249)</f>
        <v/>
      </c>
      <c r="AN249" s="55">
        <f>IF($B249=$B248,$AN248,0)+$AM249</f>
        <v/>
      </c>
      <c r="AO249" s="55">
        <f>$AO248+$AM249</f>
        <v/>
      </c>
      <c r="AP249" s="55">
        <f>SUMIFS(tblMiningDaily[GC_Drill_m],tblMiningDaily[Date],$A249)</f>
        <v/>
      </c>
      <c r="AQ249" s="55">
        <f>IF($B249=$B248,$AQ248,0)+$AP249</f>
        <v/>
      </c>
      <c r="AR249" s="55">
        <f>$AR248+$AP249</f>
        <v/>
      </c>
      <c r="AS249" s="55">
        <f>SUMIFS(tblMiningDaily[Blast_t],tblMiningDaily[Date],$A249)</f>
        <v/>
      </c>
      <c r="AT249" s="55">
        <f>IF($B249=$B248,$AT248,0)+$AS249</f>
        <v/>
      </c>
      <c r="AU249" s="55">
        <f>$AU248+$AS249</f>
        <v/>
      </c>
      <c r="AV249" s="55">
        <f>SUMIFS(tblMiningDaily[Explosives_kg],tblMiningDaily[Date],$A249)</f>
        <v/>
      </c>
      <c r="AW249" s="55">
        <f>IF($B249=$B248,$AW248,0)+$AV249</f>
        <v/>
      </c>
      <c r="AX249" s="55">
        <f>$AX248+$AV249</f>
        <v/>
      </c>
      <c r="AY249" s="56">
        <f>IFERROR(IF(($AS249)&gt;0,($AV249)/($AS249),""),"")</f>
        <v/>
      </c>
      <c r="AZ249" s="56">
        <f>IFERROR(IF(($AT249)&gt;0,($AW249)/($AT249),""),"")</f>
        <v/>
      </c>
      <c r="BA249" s="56">
        <f>IFERROR(IF(($AU249)&gt;0,($AX249)/($AU249),""),"")</f>
        <v/>
      </c>
      <c r="BB249" s="55">
        <f>SUMIFS(tblMiningDaily[Diesel_L],tblMiningDaily[Date],$A249)</f>
        <v/>
      </c>
      <c r="BC249" s="55">
        <f>IF($B249=$B248,$BC248,0)+$BB249</f>
        <v/>
      </c>
      <c r="BD249" s="55">
        <f>$BD248+$BB249</f>
        <v/>
      </c>
      <c r="BE249" s="55">
        <f>SUMIFS(tblMiningDaily[Dewatering_m3],tblMiningDaily[Date],$A249)</f>
        <v/>
      </c>
      <c r="BF249" s="55">
        <f>IF($B249=$B248,$BF248,0)+$BE249</f>
        <v/>
      </c>
      <c r="BG249" s="55">
        <f>$BG248+$BE249</f>
        <v/>
      </c>
      <c r="BH249" s="57">
        <f>SUMIFS(tblFleet[Calendar_h],tblFleet[Date],$A249,tblFleet[Equipment_Class],"Excavator")</f>
        <v/>
      </c>
      <c r="BI249" s="57">
        <f>IF($B249=$B248,$BI248,0)+$BH249</f>
        <v/>
      </c>
      <c r="BJ249" s="57">
        <f>$BJ248+$BH249</f>
        <v/>
      </c>
      <c r="BK249" s="57">
        <f>SUMIFS(tblFleet[Available_h],tblFleet[Date],$A249,tblFleet[Equipment_Class],"Excavator")</f>
        <v/>
      </c>
      <c r="BL249" s="57">
        <f>IF($B249=$B248,$BL248,0)+$BK249</f>
        <v/>
      </c>
      <c r="BM249" s="57">
        <f>$BM248+$BK249</f>
        <v/>
      </c>
      <c r="BN249" s="57">
        <f>SUMIFS(tblFleet[Operating_h],tblFleet[Date],$A249,tblFleet[Equipment_Class],"Excavator")</f>
        <v/>
      </c>
      <c r="BO249" s="57">
        <f>IF($B249=$B248,$BO248,0)+$BN249</f>
        <v/>
      </c>
      <c r="BP249" s="57">
        <f>$BP248+$BN249</f>
        <v/>
      </c>
      <c r="BQ249" s="67">
        <f>IFERROR(IF(($BH249)&gt;0,($BK249)/($BH249),""),"")</f>
        <v/>
      </c>
      <c r="BR249" s="67">
        <f>IFERROR(IF(($BI249)&gt;0,($BL249)/($BI249),""),"")</f>
        <v/>
      </c>
      <c r="BS249" s="67">
        <f>IFERROR(IF(($BJ249)&gt;0,($BM249)/($BJ249),""),"")</f>
        <v/>
      </c>
      <c r="BT249" s="67">
        <f>IFERROR(IF(($BK249)&gt;0,($BN249)/($BK249),""),"")</f>
        <v/>
      </c>
      <c r="BU249" s="67">
        <f>IFERROR(IF(($BL249)&gt;0,($BO249)/($BL249),""),"")</f>
        <v/>
      </c>
      <c r="BV249" s="67">
        <f>IFERROR(IF(($BM249)&gt;0,($BP249)/($BM249),""),"")</f>
        <v/>
      </c>
      <c r="BW249" s="57">
        <f>SUMIFS(tblFleet[Calendar_h],tblFleet[Date],$A249,tblFleet[Equipment_Class],"Haul Truck")</f>
        <v/>
      </c>
      <c r="BX249" s="57">
        <f>IF($B249=$B248,$BX248,0)+$BW249</f>
        <v/>
      </c>
      <c r="BY249" s="57">
        <f>$BY248+$BW249</f>
        <v/>
      </c>
      <c r="BZ249" s="57">
        <f>SUMIFS(tblFleet[Available_h],tblFleet[Date],$A249,tblFleet[Equipment_Class],"Haul Truck")</f>
        <v/>
      </c>
      <c r="CA249" s="57">
        <f>IF($B249=$B248,$CA248,0)+$BZ249</f>
        <v/>
      </c>
      <c r="CB249" s="57">
        <f>$CB248+$BZ249</f>
        <v/>
      </c>
      <c r="CC249" s="57">
        <f>SUMIFS(tblFleet[Operating_h],tblFleet[Date],$A249,tblFleet[Equipment_Class],"Haul Truck")</f>
        <v/>
      </c>
      <c r="CD249" s="57">
        <f>IF($B249=$B248,$CD248,0)+$CC249</f>
        <v/>
      </c>
      <c r="CE249" s="57">
        <f>$CE248+$CC249</f>
        <v/>
      </c>
      <c r="CF249" s="67">
        <f>IFERROR(IF(($BW249)&gt;0,($BZ249)/($BW249),""),"")</f>
        <v/>
      </c>
      <c r="CG249" s="67">
        <f>IFERROR(IF(($BX249)&gt;0,($CA249)/($BX249),""),"")</f>
        <v/>
      </c>
      <c r="CH249" s="67">
        <f>IFERROR(IF(($BY249)&gt;0,($CB249)/($BY249),""),"")</f>
        <v/>
      </c>
      <c r="CI249" s="67">
        <f>IFERROR(IF(($BZ249)&gt;0,($CC249)/($BZ249),""),"")</f>
        <v/>
      </c>
      <c r="CJ249" s="67">
        <f>IFERROR(IF(($CA249)&gt;0,($CD249)/($CA249),""),"")</f>
        <v/>
      </c>
      <c r="CK249" s="67">
        <f>IFERROR(IF(($CB249)&gt;0,($CE249)/($CB249),""),"")</f>
        <v/>
      </c>
      <c r="CL249" s="55">
        <f>IFERROR(IF(($BN249)&gt;0,($X249+$AD249)/($BN249),""),"")</f>
        <v/>
      </c>
      <c r="CM249" s="55">
        <f>IFERROR(IF(($BO249)&gt;0,($Y249+$AE249)/($BO249),""),"")</f>
        <v/>
      </c>
      <c r="CN249" s="55">
        <f>IFERROR(IF(($BP249)&gt;0,($Z249+$AF249)/($BP249),""),"")</f>
        <v/>
      </c>
      <c r="CO249" s="55">
        <f>IFERROR(IF(($CC249)&gt;0,($X249+$AD249)/($CC249),""),"")</f>
        <v/>
      </c>
      <c r="CP249" s="55">
        <f>IFERROR(IF(($CD249)&gt;0,($Y249+$AE249)/($CD249),""),"")</f>
        <v/>
      </c>
      <c r="CQ249" s="55">
        <f>IFERROR(IF(($CE249)&gt;0,($Z249+$AF249)/($CE249),""),"")</f>
        <v/>
      </c>
      <c r="CR249" s="55">
        <f>SUMIFS(tblPlant[Crushed_t],tblPlant[Date],$A249)</f>
        <v/>
      </c>
      <c r="CS249" s="55">
        <f>IF($B249=$B248,$CS248,0)+$CR249</f>
        <v/>
      </c>
      <c r="CT249" s="55">
        <f>$CT248+$CR249</f>
        <v/>
      </c>
      <c r="CU249" s="55">
        <f>SUMIFS(tblPlant[Milled_t],tblPlant[Date],$A249)</f>
        <v/>
      </c>
      <c r="CV249" s="55">
        <f>IF($B249=$B248,$CV248,0)+$CU249</f>
        <v/>
      </c>
      <c r="CW249" s="55">
        <f>$CW248+$CU249</f>
        <v/>
      </c>
      <c r="CX249" s="55">
        <f>SUMIFS(tblPlant[Feed_oz],tblPlant[Date],$A249)</f>
        <v/>
      </c>
      <c r="CY249" s="55">
        <f>IF($B249=$B248,$CY248,0)+$CX249</f>
        <v/>
      </c>
      <c r="CZ249" s="55">
        <f>$CZ248+$CX249</f>
        <v/>
      </c>
      <c r="DA249" s="55">
        <f>SUMIFS(tblPlant[Tails_oz],tblPlant[Date],$A249)</f>
        <v/>
      </c>
      <c r="DB249" s="55">
        <f>IF($B249=$B248,$DB248,0)+$DA249</f>
        <v/>
      </c>
      <c r="DC249" s="55">
        <f>$DC248+$DA249</f>
        <v/>
      </c>
      <c r="DD249" s="55">
        <f>SUMIFS(tblPlant[Recovered_oz],tblPlant[Date],$A249)</f>
        <v/>
      </c>
      <c r="DE249" s="55">
        <f>IF($B249=$B248,$DE248,0)+$DD249</f>
        <v/>
      </c>
      <c r="DF249" s="55">
        <f>$DF248+$DD249</f>
        <v/>
      </c>
      <c r="DG249" s="55">
        <f>SUMIFS(tblPlant[Milled_t],tblPlant[Date],$A249,tblPlant[Head_Grade_gpt],"&lt;&gt;")</f>
        <v/>
      </c>
      <c r="DH249" s="55">
        <f>IF($B249=$B248,$DH248,0)+$DG249</f>
        <v/>
      </c>
      <c r="DI249" s="55">
        <f>$DI248+$DG249</f>
        <v/>
      </c>
      <c r="DJ249" s="55">
        <f>SUMIFS(tblPlant[Milled_t],tblPlant[Date],$A249,tblPlant[Tails_Grade_gpt],"&lt;&gt;")</f>
        <v/>
      </c>
      <c r="DK249" s="55">
        <f>IF($B249=$B248,$DK248,0)+$DJ249</f>
        <v/>
      </c>
      <c r="DL249" s="55">
        <f>$DL248+$DJ249</f>
        <v/>
      </c>
      <c r="DM249" s="55">
        <f>SUMIFS(tblPlant[Feed_oz],tblPlant[Date],$A249,tblPlant[Tails_Grade_gpt],"&lt;&gt;")</f>
        <v/>
      </c>
      <c r="DN249" s="55">
        <f>IF($B249=$B248,$DN248,0)+$DM249</f>
        <v/>
      </c>
      <c r="DO249" s="55">
        <f>$DO248+$DM249</f>
        <v/>
      </c>
      <c r="DP249" s="55">
        <f>SUMIFS(tblPlant[Milled_t],tblPlant[Date],$A249,tblPlant[Mill_Run_h],"&lt;&gt;")</f>
        <v/>
      </c>
      <c r="DQ249" s="55">
        <f>IF($B249=$B248,$DQ248,0)+$DP249</f>
        <v/>
      </c>
      <c r="DR249" s="55">
        <f>$DR248+$DP249</f>
        <v/>
      </c>
      <c r="DS249" s="56">
        <f>IFERROR(IF(($DG249)&gt;0,($CX249*cfg_TroyOz)/($DG249),""),"")</f>
        <v/>
      </c>
      <c r="DT249" s="56">
        <f>IFERROR(IF(($DH249)&gt;0,($CY249*cfg_TroyOz)/($DH249),""),"")</f>
        <v/>
      </c>
      <c r="DU249" s="56">
        <f>IFERROR(IF(($DI249)&gt;0,($CZ249*cfg_TroyOz)/($DI249),""),"")</f>
        <v/>
      </c>
      <c r="DV249" s="56">
        <f>IFERROR(IF(($DJ249)&gt;0,($DA249*cfg_TroyOz)/($DJ249),""),"")</f>
        <v/>
      </c>
      <c r="DW249" s="56">
        <f>IFERROR(IF(($DK249)&gt;0,($DB249*cfg_TroyOz)/($DK249),""),"")</f>
        <v/>
      </c>
      <c r="DX249" s="56">
        <f>IFERROR(IF(($DL249)&gt;0,($DC249*cfg_TroyOz)/($DL249),""),"")</f>
        <v/>
      </c>
      <c r="DY249" s="67">
        <f>IFERROR(IF(($DM249)&gt;0,($DD249)/($DM249),""),"")</f>
        <v/>
      </c>
      <c r="DZ249" s="67">
        <f>IFERROR(IF(($DN249)&gt;0,($DE249)/($DN249),""),"")</f>
        <v/>
      </c>
      <c r="EA249" s="67">
        <f>IFERROR(IF(($DO249)&gt;0,($DF249)/($DO249),""),"")</f>
        <v/>
      </c>
      <c r="EB249" s="55">
        <f>SUMIFS(tblPlant[Gravity_Gold_oz],tblPlant[Date],$A249)</f>
        <v/>
      </c>
      <c r="EC249" s="55">
        <f>IF($B249=$B248,$EC248,0)+$EB249</f>
        <v/>
      </c>
      <c r="ED249" s="55">
        <f>$ED248+$EB249</f>
        <v/>
      </c>
      <c r="EE249" s="67">
        <f>IFERROR(IF(($DD249)&gt;0,($EB249)/($DD249),""),"")</f>
        <v/>
      </c>
      <c r="EF249" s="67">
        <f>IFERROR(IF(($DE249)&gt;0,($EC249)/($DE249),""),"")</f>
        <v/>
      </c>
      <c r="EG249" s="67">
        <f>IFERROR(IF(($DF249)&gt;0,($ED249)/($DF249),""),"")</f>
        <v/>
      </c>
      <c r="EH249" s="55">
        <f>SUMIFS(tblPlant[Gold_Poured_oz],tblPlant[Date],$A249)</f>
        <v/>
      </c>
      <c r="EI249" s="55">
        <f>IF($B249=$B248,$EI248,0)+$EH249</f>
        <v/>
      </c>
      <c r="EJ249" s="55">
        <f>$EJ248+$EH249</f>
        <v/>
      </c>
      <c r="EK249" s="57">
        <f>SUMIFS(tblPlant[Mill_Run_h],tblPlant[Date],$A249)</f>
        <v/>
      </c>
      <c r="EL249" s="57">
        <f>IF($B249=$B248,$EL248,0)+$EK249</f>
        <v/>
      </c>
      <c r="EM249" s="57">
        <f>$EM248+$EK249</f>
        <v/>
      </c>
      <c r="EN249" s="57">
        <f>SUMIFS(tblPlant[Mill_Planned_Maint_h],tblPlant[Date],$A249)</f>
        <v/>
      </c>
      <c r="EO249" s="57">
        <f>IF($B249=$B248,$EO248,0)+$EN249</f>
        <v/>
      </c>
      <c r="EP249" s="57">
        <f>$EP248+$EN249</f>
        <v/>
      </c>
      <c r="EQ249" s="57">
        <f>SUMIFS(tblPlant[Mill_Unplanned_Down_h],tblPlant[Date],$A249)</f>
        <v/>
      </c>
      <c r="ER249" s="57">
        <f>IF($B249=$B248,$ER248,0)+$EQ249</f>
        <v/>
      </c>
      <c r="ES249" s="57">
        <f>$ES248+$EQ249</f>
        <v/>
      </c>
      <c r="ET249" s="57">
        <f>IF(COUNTIFS(tblPlant[Date],$A249,tblPlant[Mill_Run_h],"&lt;&gt;")+COUNTIFS(tblPlant[Date],$A249,tblPlant[Mill_Planned_Maint_h],"&lt;&gt;")+COUNTIFS(tblPlant[Date],$A249,tblPlant[Mill_Unplanned_Down_h],"&lt;&gt;")&gt;0,cfg_HoursPerDay,0)</f>
        <v/>
      </c>
      <c r="EU249" s="57">
        <f>IF($B249=$B248,$EU248,0)+$ET249</f>
        <v/>
      </c>
      <c r="EV249" s="57">
        <f>$EV248+$ET249</f>
        <v/>
      </c>
      <c r="EW249" s="57">
        <f>SUMIFS(tblPlant[Crusher_Run_h],tblPlant[Date],$A249)</f>
        <v/>
      </c>
      <c r="EX249" s="57">
        <f>IF($B249=$B248,$EX248,0)+$EW249</f>
        <v/>
      </c>
      <c r="EY249" s="57">
        <f>$EY248+$EW249</f>
        <v/>
      </c>
      <c r="EZ249" s="55">
        <f>IFERROR(IF(($EK249)&gt;0,($DP249)/($EK249),""),"")</f>
        <v/>
      </c>
      <c r="FA249" s="55">
        <f>IFERROR(IF(($EL249)&gt;0,($DQ249)/($EL249),""),"")</f>
        <v/>
      </c>
      <c r="FB249" s="55">
        <f>IFERROR(IF(($EM249)&gt;0,($DR249)/($EM249),""),"")</f>
        <v/>
      </c>
      <c r="FC249" s="67">
        <f>IFERROR(IF(($ET249)&gt;0,($ET249-$EN249-$EQ249)/($ET249),""),"")</f>
        <v/>
      </c>
      <c r="FD249" s="67">
        <f>IFERROR(IF(($EU249)&gt;0,($EU249-$EO249-$ER249)/($EU249),""),"")</f>
        <v/>
      </c>
      <c r="FE249" s="67">
        <f>IFERROR(IF(($EV249)&gt;0,($EV249-$EP249-$ES249)/($EV249),""),"")</f>
        <v/>
      </c>
      <c r="FF249" s="67">
        <f>IFERROR(IF(($ET249-$EN249-$EQ249)&gt;0,($EK249)/($ET249-$EN249-$EQ249),""),"")</f>
        <v/>
      </c>
      <c r="FG249" s="67">
        <f>IFERROR(IF(($EU249-$EO249-$ER249)&gt;0,($EL249)/($EU249-$EO249-$ER249),""),"")</f>
        <v/>
      </c>
      <c r="FH249" s="67">
        <f>IFERROR(IF(($EV249-$EP249-$ES249)&gt;0,($EM249)/($EV249-$EP249-$ES249),""),"")</f>
        <v/>
      </c>
      <c r="FI249" s="55">
        <f>SUMIFS(tblPlant[Cyanide_kg],tblPlant[Date],$A249)</f>
        <v/>
      </c>
      <c r="FJ249" s="55">
        <f>IF($B249=$B248,$FJ248,0)+$FI249</f>
        <v/>
      </c>
      <c r="FK249" s="55">
        <f>$FK248+$FI249</f>
        <v/>
      </c>
      <c r="FL249" s="55">
        <f>SUMIFS(tblPlant[Lime_kg],tblPlant[Date],$A249)</f>
        <v/>
      </c>
      <c r="FM249" s="55">
        <f>IF($B249=$B248,$FM248,0)+$FL249</f>
        <v/>
      </c>
      <c r="FN249" s="55">
        <f>$FN248+$FL249</f>
        <v/>
      </c>
      <c r="FO249" s="55">
        <f>SUMIFS(tblPlant[Grinding_Media_kg],tblPlant[Date],$A249)</f>
        <v/>
      </c>
      <c r="FP249" s="55">
        <f>IF($B249=$B248,$FP248,0)+$FO249</f>
        <v/>
      </c>
      <c r="FQ249" s="55">
        <f>$FQ248+$FO249</f>
        <v/>
      </c>
      <c r="FR249" s="55">
        <f>SUMIFS(tblPlant[Power_kWh],tblPlant[Date],$A249)</f>
        <v/>
      </c>
      <c r="FS249" s="55">
        <f>IF($B249=$B248,$FS248,0)+$FR249</f>
        <v/>
      </c>
      <c r="FT249" s="55">
        <f>$FT248+$FR249</f>
        <v/>
      </c>
      <c r="FU249" s="55">
        <f>SUMIFS(tblPlant[Raw_Water_m3],tblPlant[Date],$A249)</f>
        <v/>
      </c>
      <c r="FV249" s="55">
        <f>IF($B249=$B248,$FV248,0)+$FU249</f>
        <v/>
      </c>
      <c r="FW249" s="55">
        <f>$FW248+$FU249</f>
        <v/>
      </c>
      <c r="FX249" s="56">
        <f>IFERROR(IF(($CU249)&gt;0,($FI249)/($CU249),""),"")</f>
        <v/>
      </c>
      <c r="FY249" s="56">
        <f>IFERROR(IF(($CV249)&gt;0,($FJ249)/($CV249),""),"")</f>
        <v/>
      </c>
      <c r="FZ249" s="56">
        <f>IFERROR(IF(($CW249)&gt;0,($FK249)/($CW249),""),"")</f>
        <v/>
      </c>
      <c r="GA249" s="56">
        <f>IFERROR(IF(($CU249)&gt;0,($FL249)/($CU249),""),"")</f>
        <v/>
      </c>
      <c r="GB249" s="56">
        <f>IFERROR(IF(($CV249)&gt;0,($FM249)/($CV249),""),"")</f>
        <v/>
      </c>
      <c r="GC249" s="56">
        <f>IFERROR(IF(($CW249)&gt;0,($FN249)/($CW249),""),"")</f>
        <v/>
      </c>
      <c r="GD249" s="56">
        <f>IFERROR(IF(($CU249)&gt;0,($FO249)/($CU249),""),"")</f>
        <v/>
      </c>
      <c r="GE249" s="56">
        <f>IFERROR(IF(($CV249)&gt;0,($FP249)/($CV249),""),"")</f>
        <v/>
      </c>
      <c r="GF249" s="56">
        <f>IFERROR(IF(($CW249)&gt;0,($FQ249)/($CW249),""),"")</f>
        <v/>
      </c>
      <c r="GG249" s="79">
        <f>IFERROR(IF(($CU249)&gt;0,($FR249)/($CU249),""),"")</f>
        <v/>
      </c>
      <c r="GH249" s="79">
        <f>IFERROR(IF(($CV249)&gt;0,($FS249)/($CV249),""),"")</f>
        <v/>
      </c>
      <c r="GI249" s="79">
        <f>IFERROR(IF(($CW249)&gt;0,($FT249)/($CW249),""),"")</f>
        <v/>
      </c>
      <c r="GJ249" s="56">
        <f>IFERROR(IF(($CU249)&gt;0,($FU249)/($CU249),""),"")</f>
        <v/>
      </c>
      <c r="GK249" s="56">
        <f>IFERROR(IF(($CV249)&gt;0,($FV249)/($CV249),""),"")</f>
        <v/>
      </c>
      <c r="GL249" s="56">
        <f>IFERROR(IF(($CW249)&gt;0,($FW249)/($CW249),""),"")</f>
        <v/>
      </c>
      <c r="GM249" s="55">
        <f>IF(SUMIFS(tblPlant[GIC_oz],tblPlant[Date],$A249)&gt;0,SUMIFS(tblPlant[GIC_oz],tblPlant[Date],$A249),"")</f>
        <v/>
      </c>
      <c r="GN249" s="55">
        <f>SUMIFS(tblGold[Gold_oz],tblGold[Date],$A249,tblGold[Type],"Shipment")</f>
        <v/>
      </c>
      <c r="GO249" s="55">
        <f>IF($B249=$B248,$GO248,0)+$GN249</f>
        <v/>
      </c>
      <c r="GP249" s="55">
        <f>$GP248+$GN249</f>
        <v/>
      </c>
      <c r="GQ249" s="55">
        <f>SUMIFS(tblGold[Gold_oz],tblGold[Date],$A249,tblGold[Type],"Sale")</f>
        <v/>
      </c>
      <c r="GR249" s="55">
        <f>IF($B249=$B248,$GR248,0)+$GQ249</f>
        <v/>
      </c>
      <c r="GS249" s="55">
        <f>$GS248+$GQ249</f>
        <v/>
      </c>
      <c r="GT249" s="55">
        <f>SUMIFS(tblGold[Dore_kg],tblGold[Date],$A249,tblGold[Type],"Shipment")</f>
        <v/>
      </c>
      <c r="GU249" s="55">
        <f>IF($B249=$B248,$GU248,0)+$GT249</f>
        <v/>
      </c>
      <c r="GV249" s="55">
        <f>$GV248+$GT249</f>
        <v/>
      </c>
      <c r="GW249" s="57">
        <f>SUMIFS(tblSafety[Hours_Total],tblSafety[Date],$A249)</f>
        <v/>
      </c>
      <c r="GX249" s="57">
        <f>IF($B249=$B248,$GX248,0)+$GW249</f>
        <v/>
      </c>
      <c r="GY249" s="57">
        <f>$GY248+$GW249</f>
        <v/>
      </c>
      <c r="GZ249" s="62">
        <f>SUMIFS(tblSafety[Fatality],tblSafety[Date],$A249)</f>
        <v/>
      </c>
      <c r="HA249" s="62">
        <f>IF($B249=$B248,$HA248,0)+$GZ249</f>
        <v/>
      </c>
      <c r="HB249" s="62">
        <f>$HB248+$GZ249</f>
        <v/>
      </c>
      <c r="HC249" s="62">
        <f>SUMIFS(tblSafety[LTI],tblSafety[Date],$A249)</f>
        <v/>
      </c>
      <c r="HD249" s="62">
        <f>IF($B249=$B248,$HD248,0)+$HC249</f>
        <v/>
      </c>
      <c r="HE249" s="62">
        <f>$HE248+$HC249</f>
        <v/>
      </c>
      <c r="HF249" s="62">
        <f>SUMIFS(tblSafety[RWI],tblSafety[Date],$A249)</f>
        <v/>
      </c>
      <c r="HG249" s="62">
        <f>IF($B249=$B248,$HG248,0)+$HF249</f>
        <v/>
      </c>
      <c r="HH249" s="62">
        <f>$HH248+$HF249</f>
        <v/>
      </c>
      <c r="HI249" s="62">
        <f>SUMIFS(tblSafety[MTI],tblSafety[Date],$A249)</f>
        <v/>
      </c>
      <c r="HJ249" s="62">
        <f>IF($B249=$B248,$HJ248,0)+$HI249</f>
        <v/>
      </c>
      <c r="HK249" s="62">
        <f>$HK248+$HI249</f>
        <v/>
      </c>
      <c r="HL249" s="62">
        <f>SUMIFS(tblSafety[FAI],tblSafety[Date],$A249)</f>
        <v/>
      </c>
      <c r="HM249" s="62">
        <f>IF($B249=$B248,$HM248,0)+$HL249</f>
        <v/>
      </c>
      <c r="HN249" s="62">
        <f>$HN248+$HL249</f>
        <v/>
      </c>
      <c r="HO249" s="62">
        <f>SUMIFS(tblSafety[Recordables],tblSafety[Date],$A249)</f>
        <v/>
      </c>
      <c r="HP249" s="62">
        <f>IF($B249=$B248,$HP248,0)+$HO249</f>
        <v/>
      </c>
      <c r="HQ249" s="62">
        <f>$HQ248+$HO249</f>
        <v/>
      </c>
      <c r="HR249" s="62">
        <f>SUMIFS(tblSafety[Near_Miss],tblSafety[Date],$A249)</f>
        <v/>
      </c>
      <c r="HS249" s="62">
        <f>IF($B249=$B248,$HS248,0)+$HR249</f>
        <v/>
      </c>
      <c r="HT249" s="62">
        <f>$HT248+$HR249</f>
        <v/>
      </c>
      <c r="HU249" s="62">
        <f>SUMIFS(tblSafety[Hazard_Reports],tblSafety[Date],$A249)</f>
        <v/>
      </c>
      <c r="HV249" s="62">
        <f>IF($B249=$B248,$HV248,0)+$HU249</f>
        <v/>
      </c>
      <c r="HW249" s="62">
        <f>$HW248+$HU249</f>
        <v/>
      </c>
      <c r="HX249" s="62">
        <f>SUMIFS(tblSafety[HPI],tblSafety[Date],$A249)</f>
        <v/>
      </c>
      <c r="HY249" s="62">
        <f>IF($B249=$B248,$HY248,0)+$HX249</f>
        <v/>
      </c>
      <c r="HZ249" s="62">
        <f>$HZ248+$HX249</f>
        <v/>
      </c>
      <c r="IA249" s="62">
        <f>SUMIFS(tblSafety[Env_Incidents],tblSafety[Date],$A249)</f>
        <v/>
      </c>
      <c r="IB249" s="62">
        <f>IF($B249=$B248,$IB248,0)+$IA249</f>
        <v/>
      </c>
      <c r="IC249" s="62">
        <f>$IC248+$IA249</f>
        <v/>
      </c>
      <c r="ID249" s="62">
        <f>SUMIFS(tblSafety[Community_Incidents],tblSafety[Date],$A249)</f>
        <v/>
      </c>
      <c r="IE249" s="62">
        <f>IF($B249=$B248,$IE248,0)+$ID249</f>
        <v/>
      </c>
      <c r="IF249" s="62">
        <f>$IF248+$ID249</f>
        <v/>
      </c>
      <c r="IG249" s="62">
        <f>SUMIFS(tblSafety[Vehicle_Incidents],tblSafety[Date],$A249)</f>
        <v/>
      </c>
      <c r="IH249" s="62">
        <f>IF($B249=$B248,$IH248,0)+$IG249</f>
        <v/>
      </c>
      <c r="II249" s="62">
        <f>$II248+$IG249</f>
        <v/>
      </c>
      <c r="IJ249" s="62">
        <f>SUMIFS(tblSafety[Toolbox_Talks],tblSafety[Date],$A249)</f>
        <v/>
      </c>
      <c r="IK249" s="62">
        <f>IF($B249=$B248,$IK248,0)+$IJ249</f>
        <v/>
      </c>
      <c r="IL249" s="62">
        <f>$IL248+$IJ249</f>
        <v/>
      </c>
      <c r="IM249" s="62">
        <f>SUMIFS(tblSafety[Inspections],tblSafety[Date],$A249)</f>
        <v/>
      </c>
      <c r="IN249" s="62">
        <f>IF($B249=$B248,$IN248,0)+$IM249</f>
        <v/>
      </c>
      <c r="IO249" s="62">
        <f>$IO248+$IM249</f>
        <v/>
      </c>
      <c r="IP249" s="56">
        <f>IFERROR((SUMIFS(tblSafety[Recordables],tblSafety[Date],"&gt;="&amp;EDATE($E249,-12),tblSafety[Date],"&lt;="&amp;$A249)+SUMIFS(tblSafetyHistory[Recordables],tblSafetyHistory[Month],"&gt;="&amp;EDATE($E249,-12),tblSafetyHistory[Month],"&lt;"&amp;$E249,tblSafetyHistory[Use],1))/(SUMIFS(tblSafety[Hours_Total],tblSafety[Date],"&gt;="&amp;EDATE($E249,-12),tblSafety[Date],"&lt;="&amp;$A249)+SUMIFS(tblSafetyHistory[Hours_Total],tblSafetyHistory[Month],"&gt;="&amp;EDATE($E249,-12),tblSafetyHistory[Month],"&lt;"&amp;$E249,tblSafetyHistory[Use],1))*cfg_RateBasisHours,"")</f>
        <v/>
      </c>
      <c r="IQ249" s="56">
        <f>IFERROR((SUMIFS(tblSafety[LTI],tblSafety[Date],"&gt;="&amp;EDATE($E249,-12),tblSafety[Date],"&lt;="&amp;$A249)+SUMIFS(tblSafetyHistory[LTI],tblSafetyHistory[Month],"&gt;="&amp;EDATE($E249,-12),tblSafetyHistory[Month],"&lt;"&amp;$E249,tblSafetyHistory[Use],1))/(SUMIFS(tblSafety[Hours_Total],tblSafety[Date],"&gt;="&amp;EDATE($E249,-12),tblSafety[Date],"&lt;="&amp;$A249)+SUMIFS(tblSafetyHistory[Hours_Total],tblSafetyHistory[Month],"&gt;="&amp;EDATE($E249,-12),tblSafetyHistory[Month],"&lt;"&amp;$E249,tblSafetyHistory[Use],1))*cfg_RateBasisHours,"")</f>
        <v/>
      </c>
      <c r="IR249" s="62">
        <f>IF(MAX(N(cfg_PriorLTIDate),_xlfn.MAXIFS(tblSafety[Date],tblSafety[LTI],"&gt;0",tblSafety[Date],"&lt;="&amp;$A249))=0,"",$A249-MAX(N(cfg_PriorLTIDate),_xlfn.MAXIFS(tblSafety[Date],tblSafety[LTI],"&gt;0",tblSafety[Date],"&lt;="&amp;$A249)))</f>
        <v/>
      </c>
      <c r="IS249" s="55">
        <f>SUMIFS(tblBudget[Ore_Mined_t],tblBudget[Month],$E249)</f>
        <v/>
      </c>
      <c r="IT249" s="55">
        <f>$IS249*$C249/$D249</f>
        <v/>
      </c>
      <c r="IU249" s="55">
        <f>SUMIFS(tblBudget[Ore_Mined_t],tblBudget[Month],"&lt;"&amp;$E249)+$IT249</f>
        <v/>
      </c>
      <c r="IV249" s="55">
        <f>SUMIFS(tblBudget[Ore_oz],tblBudget[Month],$E249)</f>
        <v/>
      </c>
      <c r="IW249" s="55">
        <f>$IV249*$C249/$D249</f>
        <v/>
      </c>
      <c r="IX249" s="55">
        <f>SUMIFS(tblBudget[Ore_oz],tblBudget[Month],"&lt;"&amp;$E249)+$IW249</f>
        <v/>
      </c>
      <c r="IY249" s="55">
        <f>SUMIFS(tblBudget[Ore_Mined_t],tblBudget[Month],$E249)</f>
        <v/>
      </c>
      <c r="IZ249" s="55">
        <f>$IY249*$C249/$D249</f>
        <v/>
      </c>
      <c r="JA249" s="55">
        <f>SUMIFS(tblBudget[Ore_Mined_t],tblBudget[Month],"&lt;"&amp;$E249)+$IZ249</f>
        <v/>
      </c>
      <c r="JB249" s="56">
        <f>IFERROR(IF(($IY249)&gt;0,($IV249*cfg_TroyOz)/($IY249),""),"")</f>
        <v/>
      </c>
      <c r="JC249" s="56">
        <f>IFERROR(IF(($IZ249)&gt;0,($IW249*cfg_TroyOz)/($IZ249),""),"")</f>
        <v/>
      </c>
      <c r="JD249" s="56">
        <f>IFERROR(IF(($JA249)&gt;0,($IX249*cfg_TroyOz)/($JA249),""),"")</f>
        <v/>
      </c>
      <c r="JE249" s="55">
        <f>SUMIFS(tblBudget[Waste_t],tblBudget[Month],$E249)</f>
        <v/>
      </c>
      <c r="JF249" s="55">
        <f>$JE249*$C249/$D249</f>
        <v/>
      </c>
      <c r="JG249" s="55">
        <f>SUMIFS(tblBudget[Waste_t],tblBudget[Month],"&lt;"&amp;$E249)+$JF249</f>
        <v/>
      </c>
      <c r="JH249" s="55">
        <f>SUMIFS(tblBudget[TMM_t],tblBudget[Month],$E249)</f>
        <v/>
      </c>
      <c r="JI249" s="55">
        <f>$JH249*$C249/$D249</f>
        <v/>
      </c>
      <c r="JJ249" s="55">
        <f>SUMIFS(tblBudget[TMM_t],tblBudget[Month],"&lt;"&amp;$E249)+$JI249</f>
        <v/>
      </c>
      <c r="JK249" s="56">
        <f>IFERROR(IF(($IS249)&gt;0,($JE249)/($IS249),""),"")</f>
        <v/>
      </c>
      <c r="JL249" s="56">
        <f>IFERROR(IF(($IT249)&gt;0,($JF249)/($IT249),""),"")</f>
        <v/>
      </c>
      <c r="JM249" s="56">
        <f>IFERROR(IF(($IU249)&gt;0,($JG249)/($IU249),""),"")</f>
        <v/>
      </c>
      <c r="JN249" s="55">
        <f>SUMIFS(tblBudget[Drill_m],tblBudget[Month],$E249)</f>
        <v/>
      </c>
      <c r="JO249" s="55">
        <f>$JN249*$C249/$D249</f>
        <v/>
      </c>
      <c r="JP249" s="55">
        <f>SUMIFS(tblBudget[Drill_m],tblBudget[Month],"&lt;"&amp;$E249)+$JO249</f>
        <v/>
      </c>
      <c r="JQ249" s="55">
        <f>SUMIFS(tblBudget[Diesel_L],tblBudget[Month],$E249)</f>
        <v/>
      </c>
      <c r="JR249" s="55">
        <f>$JQ249*$C249/$D249</f>
        <v/>
      </c>
      <c r="JS249" s="55">
        <f>SUMIFS(tblBudget[Diesel_L],tblBudget[Month],"&lt;"&amp;$E249)+$JR249</f>
        <v/>
      </c>
      <c r="JT249" s="55">
        <f>SUMIFS(tblBudget[Milled_t],tblBudget[Month],$E249)</f>
        <v/>
      </c>
      <c r="JU249" s="55">
        <f>$JT249*$C249/$D249</f>
        <v/>
      </c>
      <c r="JV249" s="55">
        <f>SUMIFS(tblBudget[Milled_t],tblBudget[Month],"&lt;"&amp;$E249)+$JU249</f>
        <v/>
      </c>
      <c r="JW249" s="55">
        <f>SUMIFS(tblBudget[Feed_oz],tblBudget[Month],$E249)</f>
        <v/>
      </c>
      <c r="JX249" s="55">
        <f>$JW249*$C249/$D249</f>
        <v/>
      </c>
      <c r="JY249" s="55">
        <f>SUMIFS(tblBudget[Feed_oz],tblBudget[Month],"&lt;"&amp;$E249)+$JX249</f>
        <v/>
      </c>
      <c r="JZ249" s="55">
        <f>SUMIFS(tblBudget[Recovered_oz],tblBudget[Month],$E249)</f>
        <v/>
      </c>
      <c r="KA249" s="55">
        <f>$JZ249*$C249/$D249</f>
        <v/>
      </c>
      <c r="KB249" s="55">
        <f>SUMIFS(tblBudget[Recovered_oz],tblBudget[Month],"&lt;"&amp;$E249)+$KA249</f>
        <v/>
      </c>
      <c r="KC249" s="55">
        <f>SUMIFS(tblBudget[Milled_t],tblBudget[Month],$E249)</f>
        <v/>
      </c>
      <c r="KD249" s="55">
        <f>$KC249*$C249/$D249</f>
        <v/>
      </c>
      <c r="KE249" s="55">
        <f>SUMIFS(tblBudget[Milled_t],tblBudget[Month],"&lt;"&amp;$E249)+$KD249</f>
        <v/>
      </c>
      <c r="KF249" s="55">
        <f>SUMIFS(tblBudget[Feed_oz],tblBudget[Month],$E249)</f>
        <v/>
      </c>
      <c r="KG249" s="55">
        <f>$KF249*$C249/$D249</f>
        <v/>
      </c>
      <c r="KH249" s="55">
        <f>SUMIFS(tblBudget[Feed_oz],tblBudget[Month],"&lt;"&amp;$E249)+$KG249</f>
        <v/>
      </c>
      <c r="KI249" s="56">
        <f>IFERROR(IF(($KC249)&gt;0,($JW249*cfg_TroyOz)/($KC249),""),"")</f>
        <v/>
      </c>
      <c r="KJ249" s="56">
        <f>IFERROR(IF(($KD249)&gt;0,($JX249*cfg_TroyOz)/($KD249),""),"")</f>
        <v/>
      </c>
      <c r="KK249" s="56">
        <f>IFERROR(IF(($KE249)&gt;0,($JY249*cfg_TroyOz)/($KE249),""),"")</f>
        <v/>
      </c>
      <c r="KL249" s="67">
        <f>IFERROR(IF(($KF249)&gt;0,($JZ249)/($KF249),""),"")</f>
        <v/>
      </c>
      <c r="KM249" s="67">
        <f>IFERROR(IF(($KG249)&gt;0,($KA249)/($KG249),""),"")</f>
        <v/>
      </c>
      <c r="KN249" s="67">
        <f>IFERROR(IF(($KH249)&gt;0,($KB249)/($KH249),""),"")</f>
        <v/>
      </c>
      <c r="KO249" s="55">
        <f>SUMIFS(tblBudget[Gold_Poured_oz],tblBudget[Month],$E249)</f>
        <v/>
      </c>
      <c r="KP249" s="55">
        <f>$KO249*$C249/$D249</f>
        <v/>
      </c>
      <c r="KQ249" s="55">
        <f>SUMIFS(tblBudget[Gold_Poured_oz],tblBudget[Month],"&lt;"&amp;$E249)+$KP249</f>
        <v/>
      </c>
      <c r="KR249" s="57">
        <f>SUMIFS(tblBudget[Hours_Worked],tblBudget[Month],$E249)</f>
        <v/>
      </c>
      <c r="KS249" s="57">
        <f>$KR249*$C249/$D249</f>
        <v/>
      </c>
      <c r="KT249" s="57">
        <f>SUMIFS(tblBudget[Hours_Worked],tblBudget[Month],"&lt;"&amp;$E249)+$KS249</f>
        <v/>
      </c>
    </row>
    <row r="250">
      <c r="A250" s="54" t="n">
        <v>46271</v>
      </c>
      <c r="B250">
        <f>MONTH($A250)</f>
        <v/>
      </c>
      <c r="C250">
        <f>DAY($A250)</f>
        <v/>
      </c>
      <c r="D250">
        <f>DAY(EOMONTH($A250,0))</f>
        <v/>
      </c>
      <c r="E250" s="54">
        <f>DATE(YEAR($A250),MONTH($A250),1)</f>
        <v/>
      </c>
      <c r="F250" s="55">
        <f>SUMIFS(tblMovement[Tonnes_t],tblMovement[Date],$A250,tblMovement[Is_Ore],1,tblMovement[Source_Type],"Pit")</f>
        <v/>
      </c>
      <c r="G250" s="55">
        <f>IF($B250=$B249,$G249,0)+$F250</f>
        <v/>
      </c>
      <c r="H250" s="55">
        <f>$H249+$F250</f>
        <v/>
      </c>
      <c r="I250" s="55">
        <f>SUMIFS(tblMovement[Ore_oz],tblMovement[Date],$A250,tblMovement[Source_Type],"Pit")</f>
        <v/>
      </c>
      <c r="J250" s="55">
        <f>IF($B250=$B249,$J249,0)+$I250</f>
        <v/>
      </c>
      <c r="K250" s="55">
        <f>$K249+$I250</f>
        <v/>
      </c>
      <c r="L250" s="55">
        <f>SUMIFS(tblMovement[Tonnes_t],tblMovement[Date],$A250,tblMovement[Is_Ore],1,tblMovement[Source_Type],"Pit",tblMovement[Grade_gpt],"&lt;&gt;")</f>
        <v/>
      </c>
      <c r="M250" s="55">
        <f>IF($B250=$B249,$M249,0)+$L250</f>
        <v/>
      </c>
      <c r="N250" s="55">
        <f>$N249+$L250</f>
        <v/>
      </c>
      <c r="O250" s="56">
        <f>IFERROR(IF(($L250)&gt;0,($I250*cfg_TroyOz)/($L250),""),"")</f>
        <v/>
      </c>
      <c r="P250" s="56">
        <f>IFERROR(IF(($M250)&gt;0,($J250*cfg_TroyOz)/($M250),""),"")</f>
        <v/>
      </c>
      <c r="Q250" s="56">
        <f>IFERROR(IF(($N250)&gt;0,($K250*cfg_TroyOz)/($N250),""),"")</f>
        <v/>
      </c>
      <c r="R250" s="55">
        <f>$F250-$L250</f>
        <v/>
      </c>
      <c r="S250" s="55">
        <f>IF($B250=$B249,$S249,0)+$R250</f>
        <v/>
      </c>
      <c r="T250" s="55">
        <f>$T249+$R250</f>
        <v/>
      </c>
      <c r="U250" s="55">
        <f>SUMIFS(tblMovement[Tonnes_t],tblMovement[Date],$A250,tblMovement[Is_Ore],0,tblMovement[Source_Type],"Pit")</f>
        <v/>
      </c>
      <c r="V250" s="55">
        <f>IF($B250=$B249,$V249,0)+$U250</f>
        <v/>
      </c>
      <c r="W250" s="55">
        <f>$W249+$U250</f>
        <v/>
      </c>
      <c r="X250" s="55">
        <f>$F250+$U250</f>
        <v/>
      </c>
      <c r="Y250" s="55">
        <f>IF($B250=$B249,$Y249,0)+$X250</f>
        <v/>
      </c>
      <c r="Z250" s="55">
        <f>$Z249+$X250</f>
        <v/>
      </c>
      <c r="AA250" s="56">
        <f>IFERROR(IF(($F250)&gt;0,($U250)/($F250),""),"")</f>
        <v/>
      </c>
      <c r="AB250" s="56">
        <f>IFERROR(IF(($G250)&gt;0,($V250)/($G250),""),"")</f>
        <v/>
      </c>
      <c r="AC250" s="56">
        <f>IFERROR(IF(($H250)&gt;0,($W250)/($H250),""),"")</f>
        <v/>
      </c>
      <c r="AD250" s="55">
        <f>SUMIFS(tblMovement[Tonnes_t],tblMovement[Date],$A250,tblMovement[Source_Type],"Stockpile")</f>
        <v/>
      </c>
      <c r="AE250" s="55">
        <f>IF($B250=$B249,$AE249,0)+$AD250</f>
        <v/>
      </c>
      <c r="AF250" s="55">
        <f>$AF249+$AD250</f>
        <v/>
      </c>
      <c r="AG250" s="55">
        <f>SUMIFS(tblMovement[Tonnes_t],tblMovement[Date],$A250)</f>
        <v/>
      </c>
      <c r="AH250" s="55">
        <f>IF($B250=$B249,$AH249,0)+$AG250</f>
        <v/>
      </c>
      <c r="AI250" s="55">
        <f>$AI249+$AG250</f>
        <v/>
      </c>
      <c r="AJ250" s="55">
        <f>$AG250-$X250-$AD250</f>
        <v/>
      </c>
      <c r="AK250" s="55">
        <f>IF($B250=$B249,$AK249,0)+$AJ250</f>
        <v/>
      </c>
      <c r="AL250" s="55">
        <f>$AL249+$AJ250</f>
        <v/>
      </c>
      <c r="AM250" s="55">
        <f>SUMIFS(tblMiningDaily[Drill_m],tblMiningDaily[Date],$A250)</f>
        <v/>
      </c>
      <c r="AN250" s="55">
        <f>IF($B250=$B249,$AN249,0)+$AM250</f>
        <v/>
      </c>
      <c r="AO250" s="55">
        <f>$AO249+$AM250</f>
        <v/>
      </c>
      <c r="AP250" s="55">
        <f>SUMIFS(tblMiningDaily[GC_Drill_m],tblMiningDaily[Date],$A250)</f>
        <v/>
      </c>
      <c r="AQ250" s="55">
        <f>IF($B250=$B249,$AQ249,0)+$AP250</f>
        <v/>
      </c>
      <c r="AR250" s="55">
        <f>$AR249+$AP250</f>
        <v/>
      </c>
      <c r="AS250" s="55">
        <f>SUMIFS(tblMiningDaily[Blast_t],tblMiningDaily[Date],$A250)</f>
        <v/>
      </c>
      <c r="AT250" s="55">
        <f>IF($B250=$B249,$AT249,0)+$AS250</f>
        <v/>
      </c>
      <c r="AU250" s="55">
        <f>$AU249+$AS250</f>
        <v/>
      </c>
      <c r="AV250" s="55">
        <f>SUMIFS(tblMiningDaily[Explosives_kg],tblMiningDaily[Date],$A250)</f>
        <v/>
      </c>
      <c r="AW250" s="55">
        <f>IF($B250=$B249,$AW249,0)+$AV250</f>
        <v/>
      </c>
      <c r="AX250" s="55">
        <f>$AX249+$AV250</f>
        <v/>
      </c>
      <c r="AY250" s="56">
        <f>IFERROR(IF(($AS250)&gt;0,($AV250)/($AS250),""),"")</f>
        <v/>
      </c>
      <c r="AZ250" s="56">
        <f>IFERROR(IF(($AT250)&gt;0,($AW250)/($AT250),""),"")</f>
        <v/>
      </c>
      <c r="BA250" s="56">
        <f>IFERROR(IF(($AU250)&gt;0,($AX250)/($AU250),""),"")</f>
        <v/>
      </c>
      <c r="BB250" s="55">
        <f>SUMIFS(tblMiningDaily[Diesel_L],tblMiningDaily[Date],$A250)</f>
        <v/>
      </c>
      <c r="BC250" s="55">
        <f>IF($B250=$B249,$BC249,0)+$BB250</f>
        <v/>
      </c>
      <c r="BD250" s="55">
        <f>$BD249+$BB250</f>
        <v/>
      </c>
      <c r="BE250" s="55">
        <f>SUMIFS(tblMiningDaily[Dewatering_m3],tblMiningDaily[Date],$A250)</f>
        <v/>
      </c>
      <c r="BF250" s="55">
        <f>IF($B250=$B249,$BF249,0)+$BE250</f>
        <v/>
      </c>
      <c r="BG250" s="55">
        <f>$BG249+$BE250</f>
        <v/>
      </c>
      <c r="BH250" s="57">
        <f>SUMIFS(tblFleet[Calendar_h],tblFleet[Date],$A250,tblFleet[Equipment_Class],"Excavator")</f>
        <v/>
      </c>
      <c r="BI250" s="57">
        <f>IF($B250=$B249,$BI249,0)+$BH250</f>
        <v/>
      </c>
      <c r="BJ250" s="57">
        <f>$BJ249+$BH250</f>
        <v/>
      </c>
      <c r="BK250" s="57">
        <f>SUMIFS(tblFleet[Available_h],tblFleet[Date],$A250,tblFleet[Equipment_Class],"Excavator")</f>
        <v/>
      </c>
      <c r="BL250" s="57">
        <f>IF($B250=$B249,$BL249,0)+$BK250</f>
        <v/>
      </c>
      <c r="BM250" s="57">
        <f>$BM249+$BK250</f>
        <v/>
      </c>
      <c r="BN250" s="57">
        <f>SUMIFS(tblFleet[Operating_h],tblFleet[Date],$A250,tblFleet[Equipment_Class],"Excavator")</f>
        <v/>
      </c>
      <c r="BO250" s="57">
        <f>IF($B250=$B249,$BO249,0)+$BN250</f>
        <v/>
      </c>
      <c r="BP250" s="57">
        <f>$BP249+$BN250</f>
        <v/>
      </c>
      <c r="BQ250" s="67">
        <f>IFERROR(IF(($BH250)&gt;0,($BK250)/($BH250),""),"")</f>
        <v/>
      </c>
      <c r="BR250" s="67">
        <f>IFERROR(IF(($BI250)&gt;0,($BL250)/($BI250),""),"")</f>
        <v/>
      </c>
      <c r="BS250" s="67">
        <f>IFERROR(IF(($BJ250)&gt;0,($BM250)/($BJ250),""),"")</f>
        <v/>
      </c>
      <c r="BT250" s="67">
        <f>IFERROR(IF(($BK250)&gt;0,($BN250)/($BK250),""),"")</f>
        <v/>
      </c>
      <c r="BU250" s="67">
        <f>IFERROR(IF(($BL250)&gt;0,($BO250)/($BL250),""),"")</f>
        <v/>
      </c>
      <c r="BV250" s="67">
        <f>IFERROR(IF(($BM250)&gt;0,($BP250)/($BM250),""),"")</f>
        <v/>
      </c>
      <c r="BW250" s="57">
        <f>SUMIFS(tblFleet[Calendar_h],tblFleet[Date],$A250,tblFleet[Equipment_Class],"Haul Truck")</f>
        <v/>
      </c>
      <c r="BX250" s="57">
        <f>IF($B250=$B249,$BX249,0)+$BW250</f>
        <v/>
      </c>
      <c r="BY250" s="57">
        <f>$BY249+$BW250</f>
        <v/>
      </c>
      <c r="BZ250" s="57">
        <f>SUMIFS(tblFleet[Available_h],tblFleet[Date],$A250,tblFleet[Equipment_Class],"Haul Truck")</f>
        <v/>
      </c>
      <c r="CA250" s="57">
        <f>IF($B250=$B249,$CA249,0)+$BZ250</f>
        <v/>
      </c>
      <c r="CB250" s="57">
        <f>$CB249+$BZ250</f>
        <v/>
      </c>
      <c r="CC250" s="57">
        <f>SUMIFS(tblFleet[Operating_h],tblFleet[Date],$A250,tblFleet[Equipment_Class],"Haul Truck")</f>
        <v/>
      </c>
      <c r="CD250" s="57">
        <f>IF($B250=$B249,$CD249,0)+$CC250</f>
        <v/>
      </c>
      <c r="CE250" s="57">
        <f>$CE249+$CC250</f>
        <v/>
      </c>
      <c r="CF250" s="67">
        <f>IFERROR(IF(($BW250)&gt;0,($BZ250)/($BW250),""),"")</f>
        <v/>
      </c>
      <c r="CG250" s="67">
        <f>IFERROR(IF(($BX250)&gt;0,($CA250)/($BX250),""),"")</f>
        <v/>
      </c>
      <c r="CH250" s="67">
        <f>IFERROR(IF(($BY250)&gt;0,($CB250)/($BY250),""),"")</f>
        <v/>
      </c>
      <c r="CI250" s="67">
        <f>IFERROR(IF(($BZ250)&gt;0,($CC250)/($BZ250),""),"")</f>
        <v/>
      </c>
      <c r="CJ250" s="67">
        <f>IFERROR(IF(($CA250)&gt;0,($CD250)/($CA250),""),"")</f>
        <v/>
      </c>
      <c r="CK250" s="67">
        <f>IFERROR(IF(($CB250)&gt;0,($CE250)/($CB250),""),"")</f>
        <v/>
      </c>
      <c r="CL250" s="55">
        <f>IFERROR(IF(($BN250)&gt;0,($X250+$AD250)/($BN250),""),"")</f>
        <v/>
      </c>
      <c r="CM250" s="55">
        <f>IFERROR(IF(($BO250)&gt;0,($Y250+$AE250)/($BO250),""),"")</f>
        <v/>
      </c>
      <c r="CN250" s="55">
        <f>IFERROR(IF(($BP250)&gt;0,($Z250+$AF250)/($BP250),""),"")</f>
        <v/>
      </c>
      <c r="CO250" s="55">
        <f>IFERROR(IF(($CC250)&gt;0,($X250+$AD250)/($CC250),""),"")</f>
        <v/>
      </c>
      <c r="CP250" s="55">
        <f>IFERROR(IF(($CD250)&gt;0,($Y250+$AE250)/($CD250),""),"")</f>
        <v/>
      </c>
      <c r="CQ250" s="55">
        <f>IFERROR(IF(($CE250)&gt;0,($Z250+$AF250)/($CE250),""),"")</f>
        <v/>
      </c>
      <c r="CR250" s="55">
        <f>SUMIFS(tblPlant[Crushed_t],tblPlant[Date],$A250)</f>
        <v/>
      </c>
      <c r="CS250" s="55">
        <f>IF($B250=$B249,$CS249,0)+$CR250</f>
        <v/>
      </c>
      <c r="CT250" s="55">
        <f>$CT249+$CR250</f>
        <v/>
      </c>
      <c r="CU250" s="55">
        <f>SUMIFS(tblPlant[Milled_t],tblPlant[Date],$A250)</f>
        <v/>
      </c>
      <c r="CV250" s="55">
        <f>IF($B250=$B249,$CV249,0)+$CU250</f>
        <v/>
      </c>
      <c r="CW250" s="55">
        <f>$CW249+$CU250</f>
        <v/>
      </c>
      <c r="CX250" s="55">
        <f>SUMIFS(tblPlant[Feed_oz],tblPlant[Date],$A250)</f>
        <v/>
      </c>
      <c r="CY250" s="55">
        <f>IF($B250=$B249,$CY249,0)+$CX250</f>
        <v/>
      </c>
      <c r="CZ250" s="55">
        <f>$CZ249+$CX250</f>
        <v/>
      </c>
      <c r="DA250" s="55">
        <f>SUMIFS(tblPlant[Tails_oz],tblPlant[Date],$A250)</f>
        <v/>
      </c>
      <c r="DB250" s="55">
        <f>IF($B250=$B249,$DB249,0)+$DA250</f>
        <v/>
      </c>
      <c r="DC250" s="55">
        <f>$DC249+$DA250</f>
        <v/>
      </c>
      <c r="DD250" s="55">
        <f>SUMIFS(tblPlant[Recovered_oz],tblPlant[Date],$A250)</f>
        <v/>
      </c>
      <c r="DE250" s="55">
        <f>IF($B250=$B249,$DE249,0)+$DD250</f>
        <v/>
      </c>
      <c r="DF250" s="55">
        <f>$DF249+$DD250</f>
        <v/>
      </c>
      <c r="DG250" s="55">
        <f>SUMIFS(tblPlant[Milled_t],tblPlant[Date],$A250,tblPlant[Head_Grade_gpt],"&lt;&gt;")</f>
        <v/>
      </c>
      <c r="DH250" s="55">
        <f>IF($B250=$B249,$DH249,0)+$DG250</f>
        <v/>
      </c>
      <c r="DI250" s="55">
        <f>$DI249+$DG250</f>
        <v/>
      </c>
      <c r="DJ250" s="55">
        <f>SUMIFS(tblPlant[Milled_t],tblPlant[Date],$A250,tblPlant[Tails_Grade_gpt],"&lt;&gt;")</f>
        <v/>
      </c>
      <c r="DK250" s="55">
        <f>IF($B250=$B249,$DK249,0)+$DJ250</f>
        <v/>
      </c>
      <c r="DL250" s="55">
        <f>$DL249+$DJ250</f>
        <v/>
      </c>
      <c r="DM250" s="55">
        <f>SUMIFS(tblPlant[Feed_oz],tblPlant[Date],$A250,tblPlant[Tails_Grade_gpt],"&lt;&gt;")</f>
        <v/>
      </c>
      <c r="DN250" s="55">
        <f>IF($B250=$B249,$DN249,0)+$DM250</f>
        <v/>
      </c>
      <c r="DO250" s="55">
        <f>$DO249+$DM250</f>
        <v/>
      </c>
      <c r="DP250" s="55">
        <f>SUMIFS(tblPlant[Milled_t],tblPlant[Date],$A250,tblPlant[Mill_Run_h],"&lt;&gt;")</f>
        <v/>
      </c>
      <c r="DQ250" s="55">
        <f>IF($B250=$B249,$DQ249,0)+$DP250</f>
        <v/>
      </c>
      <c r="DR250" s="55">
        <f>$DR249+$DP250</f>
        <v/>
      </c>
      <c r="DS250" s="56">
        <f>IFERROR(IF(($DG250)&gt;0,($CX250*cfg_TroyOz)/($DG250),""),"")</f>
        <v/>
      </c>
      <c r="DT250" s="56">
        <f>IFERROR(IF(($DH250)&gt;0,($CY250*cfg_TroyOz)/($DH250),""),"")</f>
        <v/>
      </c>
      <c r="DU250" s="56">
        <f>IFERROR(IF(($DI250)&gt;0,($CZ250*cfg_TroyOz)/($DI250),""),"")</f>
        <v/>
      </c>
      <c r="DV250" s="56">
        <f>IFERROR(IF(($DJ250)&gt;0,($DA250*cfg_TroyOz)/($DJ250),""),"")</f>
        <v/>
      </c>
      <c r="DW250" s="56">
        <f>IFERROR(IF(($DK250)&gt;0,($DB250*cfg_TroyOz)/($DK250),""),"")</f>
        <v/>
      </c>
      <c r="DX250" s="56">
        <f>IFERROR(IF(($DL250)&gt;0,($DC250*cfg_TroyOz)/($DL250),""),"")</f>
        <v/>
      </c>
      <c r="DY250" s="67">
        <f>IFERROR(IF(($DM250)&gt;0,($DD250)/($DM250),""),"")</f>
        <v/>
      </c>
      <c r="DZ250" s="67">
        <f>IFERROR(IF(($DN250)&gt;0,($DE250)/($DN250),""),"")</f>
        <v/>
      </c>
      <c r="EA250" s="67">
        <f>IFERROR(IF(($DO250)&gt;0,($DF250)/($DO250),""),"")</f>
        <v/>
      </c>
      <c r="EB250" s="55">
        <f>SUMIFS(tblPlant[Gravity_Gold_oz],tblPlant[Date],$A250)</f>
        <v/>
      </c>
      <c r="EC250" s="55">
        <f>IF($B250=$B249,$EC249,0)+$EB250</f>
        <v/>
      </c>
      <c r="ED250" s="55">
        <f>$ED249+$EB250</f>
        <v/>
      </c>
      <c r="EE250" s="67">
        <f>IFERROR(IF(($DD250)&gt;0,($EB250)/($DD250),""),"")</f>
        <v/>
      </c>
      <c r="EF250" s="67">
        <f>IFERROR(IF(($DE250)&gt;0,($EC250)/($DE250),""),"")</f>
        <v/>
      </c>
      <c r="EG250" s="67">
        <f>IFERROR(IF(($DF250)&gt;0,($ED250)/($DF250),""),"")</f>
        <v/>
      </c>
      <c r="EH250" s="55">
        <f>SUMIFS(tblPlant[Gold_Poured_oz],tblPlant[Date],$A250)</f>
        <v/>
      </c>
      <c r="EI250" s="55">
        <f>IF($B250=$B249,$EI249,0)+$EH250</f>
        <v/>
      </c>
      <c r="EJ250" s="55">
        <f>$EJ249+$EH250</f>
        <v/>
      </c>
      <c r="EK250" s="57">
        <f>SUMIFS(tblPlant[Mill_Run_h],tblPlant[Date],$A250)</f>
        <v/>
      </c>
      <c r="EL250" s="57">
        <f>IF($B250=$B249,$EL249,0)+$EK250</f>
        <v/>
      </c>
      <c r="EM250" s="57">
        <f>$EM249+$EK250</f>
        <v/>
      </c>
      <c r="EN250" s="57">
        <f>SUMIFS(tblPlant[Mill_Planned_Maint_h],tblPlant[Date],$A250)</f>
        <v/>
      </c>
      <c r="EO250" s="57">
        <f>IF($B250=$B249,$EO249,0)+$EN250</f>
        <v/>
      </c>
      <c r="EP250" s="57">
        <f>$EP249+$EN250</f>
        <v/>
      </c>
      <c r="EQ250" s="57">
        <f>SUMIFS(tblPlant[Mill_Unplanned_Down_h],tblPlant[Date],$A250)</f>
        <v/>
      </c>
      <c r="ER250" s="57">
        <f>IF($B250=$B249,$ER249,0)+$EQ250</f>
        <v/>
      </c>
      <c r="ES250" s="57">
        <f>$ES249+$EQ250</f>
        <v/>
      </c>
      <c r="ET250" s="57">
        <f>IF(COUNTIFS(tblPlant[Date],$A250,tblPlant[Mill_Run_h],"&lt;&gt;")+COUNTIFS(tblPlant[Date],$A250,tblPlant[Mill_Planned_Maint_h],"&lt;&gt;")+COUNTIFS(tblPlant[Date],$A250,tblPlant[Mill_Unplanned_Down_h],"&lt;&gt;")&gt;0,cfg_HoursPerDay,0)</f>
        <v/>
      </c>
      <c r="EU250" s="57">
        <f>IF($B250=$B249,$EU249,0)+$ET250</f>
        <v/>
      </c>
      <c r="EV250" s="57">
        <f>$EV249+$ET250</f>
        <v/>
      </c>
      <c r="EW250" s="57">
        <f>SUMIFS(tblPlant[Crusher_Run_h],tblPlant[Date],$A250)</f>
        <v/>
      </c>
      <c r="EX250" s="57">
        <f>IF($B250=$B249,$EX249,0)+$EW250</f>
        <v/>
      </c>
      <c r="EY250" s="57">
        <f>$EY249+$EW250</f>
        <v/>
      </c>
      <c r="EZ250" s="55">
        <f>IFERROR(IF(($EK250)&gt;0,($DP250)/($EK250),""),"")</f>
        <v/>
      </c>
      <c r="FA250" s="55">
        <f>IFERROR(IF(($EL250)&gt;0,($DQ250)/($EL250),""),"")</f>
        <v/>
      </c>
      <c r="FB250" s="55">
        <f>IFERROR(IF(($EM250)&gt;0,($DR250)/($EM250),""),"")</f>
        <v/>
      </c>
      <c r="FC250" s="67">
        <f>IFERROR(IF(($ET250)&gt;0,($ET250-$EN250-$EQ250)/($ET250),""),"")</f>
        <v/>
      </c>
      <c r="FD250" s="67">
        <f>IFERROR(IF(($EU250)&gt;0,($EU250-$EO250-$ER250)/($EU250),""),"")</f>
        <v/>
      </c>
      <c r="FE250" s="67">
        <f>IFERROR(IF(($EV250)&gt;0,($EV250-$EP250-$ES250)/($EV250),""),"")</f>
        <v/>
      </c>
      <c r="FF250" s="67">
        <f>IFERROR(IF(($ET250-$EN250-$EQ250)&gt;0,($EK250)/($ET250-$EN250-$EQ250),""),"")</f>
        <v/>
      </c>
      <c r="FG250" s="67">
        <f>IFERROR(IF(($EU250-$EO250-$ER250)&gt;0,($EL250)/($EU250-$EO250-$ER250),""),"")</f>
        <v/>
      </c>
      <c r="FH250" s="67">
        <f>IFERROR(IF(($EV250-$EP250-$ES250)&gt;0,($EM250)/($EV250-$EP250-$ES250),""),"")</f>
        <v/>
      </c>
      <c r="FI250" s="55">
        <f>SUMIFS(tblPlant[Cyanide_kg],tblPlant[Date],$A250)</f>
        <v/>
      </c>
      <c r="FJ250" s="55">
        <f>IF($B250=$B249,$FJ249,0)+$FI250</f>
        <v/>
      </c>
      <c r="FK250" s="55">
        <f>$FK249+$FI250</f>
        <v/>
      </c>
      <c r="FL250" s="55">
        <f>SUMIFS(tblPlant[Lime_kg],tblPlant[Date],$A250)</f>
        <v/>
      </c>
      <c r="FM250" s="55">
        <f>IF($B250=$B249,$FM249,0)+$FL250</f>
        <v/>
      </c>
      <c r="FN250" s="55">
        <f>$FN249+$FL250</f>
        <v/>
      </c>
      <c r="FO250" s="55">
        <f>SUMIFS(tblPlant[Grinding_Media_kg],tblPlant[Date],$A250)</f>
        <v/>
      </c>
      <c r="FP250" s="55">
        <f>IF($B250=$B249,$FP249,0)+$FO250</f>
        <v/>
      </c>
      <c r="FQ250" s="55">
        <f>$FQ249+$FO250</f>
        <v/>
      </c>
      <c r="FR250" s="55">
        <f>SUMIFS(tblPlant[Power_kWh],tblPlant[Date],$A250)</f>
        <v/>
      </c>
      <c r="FS250" s="55">
        <f>IF($B250=$B249,$FS249,0)+$FR250</f>
        <v/>
      </c>
      <c r="FT250" s="55">
        <f>$FT249+$FR250</f>
        <v/>
      </c>
      <c r="FU250" s="55">
        <f>SUMIFS(tblPlant[Raw_Water_m3],tblPlant[Date],$A250)</f>
        <v/>
      </c>
      <c r="FV250" s="55">
        <f>IF($B250=$B249,$FV249,0)+$FU250</f>
        <v/>
      </c>
      <c r="FW250" s="55">
        <f>$FW249+$FU250</f>
        <v/>
      </c>
      <c r="FX250" s="56">
        <f>IFERROR(IF(($CU250)&gt;0,($FI250)/($CU250),""),"")</f>
        <v/>
      </c>
      <c r="FY250" s="56">
        <f>IFERROR(IF(($CV250)&gt;0,($FJ250)/($CV250),""),"")</f>
        <v/>
      </c>
      <c r="FZ250" s="56">
        <f>IFERROR(IF(($CW250)&gt;0,($FK250)/($CW250),""),"")</f>
        <v/>
      </c>
      <c r="GA250" s="56">
        <f>IFERROR(IF(($CU250)&gt;0,($FL250)/($CU250),""),"")</f>
        <v/>
      </c>
      <c r="GB250" s="56">
        <f>IFERROR(IF(($CV250)&gt;0,($FM250)/($CV250),""),"")</f>
        <v/>
      </c>
      <c r="GC250" s="56">
        <f>IFERROR(IF(($CW250)&gt;0,($FN250)/($CW250),""),"")</f>
        <v/>
      </c>
      <c r="GD250" s="56">
        <f>IFERROR(IF(($CU250)&gt;0,($FO250)/($CU250),""),"")</f>
        <v/>
      </c>
      <c r="GE250" s="56">
        <f>IFERROR(IF(($CV250)&gt;0,($FP250)/($CV250),""),"")</f>
        <v/>
      </c>
      <c r="GF250" s="56">
        <f>IFERROR(IF(($CW250)&gt;0,($FQ250)/($CW250),""),"")</f>
        <v/>
      </c>
      <c r="GG250" s="79">
        <f>IFERROR(IF(($CU250)&gt;0,($FR250)/($CU250),""),"")</f>
        <v/>
      </c>
      <c r="GH250" s="79">
        <f>IFERROR(IF(($CV250)&gt;0,($FS250)/($CV250),""),"")</f>
        <v/>
      </c>
      <c r="GI250" s="79">
        <f>IFERROR(IF(($CW250)&gt;0,($FT250)/($CW250),""),"")</f>
        <v/>
      </c>
      <c r="GJ250" s="56">
        <f>IFERROR(IF(($CU250)&gt;0,($FU250)/($CU250),""),"")</f>
        <v/>
      </c>
      <c r="GK250" s="56">
        <f>IFERROR(IF(($CV250)&gt;0,($FV250)/($CV250),""),"")</f>
        <v/>
      </c>
      <c r="GL250" s="56">
        <f>IFERROR(IF(($CW250)&gt;0,($FW250)/($CW250),""),"")</f>
        <v/>
      </c>
      <c r="GM250" s="55">
        <f>IF(SUMIFS(tblPlant[GIC_oz],tblPlant[Date],$A250)&gt;0,SUMIFS(tblPlant[GIC_oz],tblPlant[Date],$A250),"")</f>
        <v/>
      </c>
      <c r="GN250" s="55">
        <f>SUMIFS(tblGold[Gold_oz],tblGold[Date],$A250,tblGold[Type],"Shipment")</f>
        <v/>
      </c>
      <c r="GO250" s="55">
        <f>IF($B250=$B249,$GO249,0)+$GN250</f>
        <v/>
      </c>
      <c r="GP250" s="55">
        <f>$GP249+$GN250</f>
        <v/>
      </c>
      <c r="GQ250" s="55">
        <f>SUMIFS(tblGold[Gold_oz],tblGold[Date],$A250,tblGold[Type],"Sale")</f>
        <v/>
      </c>
      <c r="GR250" s="55">
        <f>IF($B250=$B249,$GR249,0)+$GQ250</f>
        <v/>
      </c>
      <c r="GS250" s="55">
        <f>$GS249+$GQ250</f>
        <v/>
      </c>
      <c r="GT250" s="55">
        <f>SUMIFS(tblGold[Dore_kg],tblGold[Date],$A250,tblGold[Type],"Shipment")</f>
        <v/>
      </c>
      <c r="GU250" s="55">
        <f>IF($B250=$B249,$GU249,0)+$GT250</f>
        <v/>
      </c>
      <c r="GV250" s="55">
        <f>$GV249+$GT250</f>
        <v/>
      </c>
      <c r="GW250" s="57">
        <f>SUMIFS(tblSafety[Hours_Total],tblSafety[Date],$A250)</f>
        <v/>
      </c>
      <c r="GX250" s="57">
        <f>IF($B250=$B249,$GX249,0)+$GW250</f>
        <v/>
      </c>
      <c r="GY250" s="57">
        <f>$GY249+$GW250</f>
        <v/>
      </c>
      <c r="GZ250" s="62">
        <f>SUMIFS(tblSafety[Fatality],tblSafety[Date],$A250)</f>
        <v/>
      </c>
      <c r="HA250" s="62">
        <f>IF($B250=$B249,$HA249,0)+$GZ250</f>
        <v/>
      </c>
      <c r="HB250" s="62">
        <f>$HB249+$GZ250</f>
        <v/>
      </c>
      <c r="HC250" s="62">
        <f>SUMIFS(tblSafety[LTI],tblSafety[Date],$A250)</f>
        <v/>
      </c>
      <c r="HD250" s="62">
        <f>IF($B250=$B249,$HD249,0)+$HC250</f>
        <v/>
      </c>
      <c r="HE250" s="62">
        <f>$HE249+$HC250</f>
        <v/>
      </c>
      <c r="HF250" s="62">
        <f>SUMIFS(tblSafety[RWI],tblSafety[Date],$A250)</f>
        <v/>
      </c>
      <c r="HG250" s="62">
        <f>IF($B250=$B249,$HG249,0)+$HF250</f>
        <v/>
      </c>
      <c r="HH250" s="62">
        <f>$HH249+$HF250</f>
        <v/>
      </c>
      <c r="HI250" s="62">
        <f>SUMIFS(tblSafety[MTI],tblSafety[Date],$A250)</f>
        <v/>
      </c>
      <c r="HJ250" s="62">
        <f>IF($B250=$B249,$HJ249,0)+$HI250</f>
        <v/>
      </c>
      <c r="HK250" s="62">
        <f>$HK249+$HI250</f>
        <v/>
      </c>
      <c r="HL250" s="62">
        <f>SUMIFS(tblSafety[FAI],tblSafety[Date],$A250)</f>
        <v/>
      </c>
      <c r="HM250" s="62">
        <f>IF($B250=$B249,$HM249,0)+$HL250</f>
        <v/>
      </c>
      <c r="HN250" s="62">
        <f>$HN249+$HL250</f>
        <v/>
      </c>
      <c r="HO250" s="62">
        <f>SUMIFS(tblSafety[Recordables],tblSafety[Date],$A250)</f>
        <v/>
      </c>
      <c r="HP250" s="62">
        <f>IF($B250=$B249,$HP249,0)+$HO250</f>
        <v/>
      </c>
      <c r="HQ250" s="62">
        <f>$HQ249+$HO250</f>
        <v/>
      </c>
      <c r="HR250" s="62">
        <f>SUMIFS(tblSafety[Near_Miss],tblSafety[Date],$A250)</f>
        <v/>
      </c>
      <c r="HS250" s="62">
        <f>IF($B250=$B249,$HS249,0)+$HR250</f>
        <v/>
      </c>
      <c r="HT250" s="62">
        <f>$HT249+$HR250</f>
        <v/>
      </c>
      <c r="HU250" s="62">
        <f>SUMIFS(tblSafety[Hazard_Reports],tblSafety[Date],$A250)</f>
        <v/>
      </c>
      <c r="HV250" s="62">
        <f>IF($B250=$B249,$HV249,0)+$HU250</f>
        <v/>
      </c>
      <c r="HW250" s="62">
        <f>$HW249+$HU250</f>
        <v/>
      </c>
      <c r="HX250" s="62">
        <f>SUMIFS(tblSafety[HPI],tblSafety[Date],$A250)</f>
        <v/>
      </c>
      <c r="HY250" s="62">
        <f>IF($B250=$B249,$HY249,0)+$HX250</f>
        <v/>
      </c>
      <c r="HZ250" s="62">
        <f>$HZ249+$HX250</f>
        <v/>
      </c>
      <c r="IA250" s="62">
        <f>SUMIFS(tblSafety[Env_Incidents],tblSafety[Date],$A250)</f>
        <v/>
      </c>
      <c r="IB250" s="62">
        <f>IF($B250=$B249,$IB249,0)+$IA250</f>
        <v/>
      </c>
      <c r="IC250" s="62">
        <f>$IC249+$IA250</f>
        <v/>
      </c>
      <c r="ID250" s="62">
        <f>SUMIFS(tblSafety[Community_Incidents],tblSafety[Date],$A250)</f>
        <v/>
      </c>
      <c r="IE250" s="62">
        <f>IF($B250=$B249,$IE249,0)+$ID250</f>
        <v/>
      </c>
      <c r="IF250" s="62">
        <f>$IF249+$ID250</f>
        <v/>
      </c>
      <c r="IG250" s="62">
        <f>SUMIFS(tblSafety[Vehicle_Incidents],tblSafety[Date],$A250)</f>
        <v/>
      </c>
      <c r="IH250" s="62">
        <f>IF($B250=$B249,$IH249,0)+$IG250</f>
        <v/>
      </c>
      <c r="II250" s="62">
        <f>$II249+$IG250</f>
        <v/>
      </c>
      <c r="IJ250" s="62">
        <f>SUMIFS(tblSafety[Toolbox_Talks],tblSafety[Date],$A250)</f>
        <v/>
      </c>
      <c r="IK250" s="62">
        <f>IF($B250=$B249,$IK249,0)+$IJ250</f>
        <v/>
      </c>
      <c r="IL250" s="62">
        <f>$IL249+$IJ250</f>
        <v/>
      </c>
      <c r="IM250" s="62">
        <f>SUMIFS(tblSafety[Inspections],tblSafety[Date],$A250)</f>
        <v/>
      </c>
      <c r="IN250" s="62">
        <f>IF($B250=$B249,$IN249,0)+$IM250</f>
        <v/>
      </c>
      <c r="IO250" s="62">
        <f>$IO249+$IM250</f>
        <v/>
      </c>
      <c r="IP250" s="56">
        <f>IFERROR((SUMIFS(tblSafety[Recordables],tblSafety[Date],"&gt;="&amp;EDATE($E250,-12),tblSafety[Date],"&lt;="&amp;$A250)+SUMIFS(tblSafetyHistory[Recordables],tblSafetyHistory[Month],"&gt;="&amp;EDATE($E250,-12),tblSafetyHistory[Month],"&lt;"&amp;$E250,tblSafetyHistory[Use],1))/(SUMIFS(tblSafety[Hours_Total],tblSafety[Date],"&gt;="&amp;EDATE($E250,-12),tblSafety[Date],"&lt;="&amp;$A250)+SUMIFS(tblSafetyHistory[Hours_Total],tblSafetyHistory[Month],"&gt;="&amp;EDATE($E250,-12),tblSafetyHistory[Month],"&lt;"&amp;$E250,tblSafetyHistory[Use],1))*cfg_RateBasisHours,"")</f>
        <v/>
      </c>
      <c r="IQ250" s="56">
        <f>IFERROR((SUMIFS(tblSafety[LTI],tblSafety[Date],"&gt;="&amp;EDATE($E250,-12),tblSafety[Date],"&lt;="&amp;$A250)+SUMIFS(tblSafetyHistory[LTI],tblSafetyHistory[Month],"&gt;="&amp;EDATE($E250,-12),tblSafetyHistory[Month],"&lt;"&amp;$E250,tblSafetyHistory[Use],1))/(SUMIFS(tblSafety[Hours_Total],tblSafety[Date],"&gt;="&amp;EDATE($E250,-12),tblSafety[Date],"&lt;="&amp;$A250)+SUMIFS(tblSafetyHistory[Hours_Total],tblSafetyHistory[Month],"&gt;="&amp;EDATE($E250,-12),tblSafetyHistory[Month],"&lt;"&amp;$E250,tblSafetyHistory[Use],1))*cfg_RateBasisHours,"")</f>
        <v/>
      </c>
      <c r="IR250" s="62">
        <f>IF(MAX(N(cfg_PriorLTIDate),_xlfn.MAXIFS(tblSafety[Date],tblSafety[LTI],"&gt;0",tblSafety[Date],"&lt;="&amp;$A250))=0,"",$A250-MAX(N(cfg_PriorLTIDate),_xlfn.MAXIFS(tblSafety[Date],tblSafety[LTI],"&gt;0",tblSafety[Date],"&lt;="&amp;$A250)))</f>
        <v/>
      </c>
      <c r="IS250" s="55">
        <f>SUMIFS(tblBudget[Ore_Mined_t],tblBudget[Month],$E250)</f>
        <v/>
      </c>
      <c r="IT250" s="55">
        <f>$IS250*$C250/$D250</f>
        <v/>
      </c>
      <c r="IU250" s="55">
        <f>SUMIFS(tblBudget[Ore_Mined_t],tblBudget[Month],"&lt;"&amp;$E250)+$IT250</f>
        <v/>
      </c>
      <c r="IV250" s="55">
        <f>SUMIFS(tblBudget[Ore_oz],tblBudget[Month],$E250)</f>
        <v/>
      </c>
      <c r="IW250" s="55">
        <f>$IV250*$C250/$D250</f>
        <v/>
      </c>
      <c r="IX250" s="55">
        <f>SUMIFS(tblBudget[Ore_oz],tblBudget[Month],"&lt;"&amp;$E250)+$IW250</f>
        <v/>
      </c>
      <c r="IY250" s="55">
        <f>SUMIFS(tblBudget[Ore_Mined_t],tblBudget[Month],$E250)</f>
        <v/>
      </c>
      <c r="IZ250" s="55">
        <f>$IY250*$C250/$D250</f>
        <v/>
      </c>
      <c r="JA250" s="55">
        <f>SUMIFS(tblBudget[Ore_Mined_t],tblBudget[Month],"&lt;"&amp;$E250)+$IZ250</f>
        <v/>
      </c>
      <c r="JB250" s="56">
        <f>IFERROR(IF(($IY250)&gt;0,($IV250*cfg_TroyOz)/($IY250),""),"")</f>
        <v/>
      </c>
      <c r="JC250" s="56">
        <f>IFERROR(IF(($IZ250)&gt;0,($IW250*cfg_TroyOz)/($IZ250),""),"")</f>
        <v/>
      </c>
      <c r="JD250" s="56">
        <f>IFERROR(IF(($JA250)&gt;0,($IX250*cfg_TroyOz)/($JA250),""),"")</f>
        <v/>
      </c>
      <c r="JE250" s="55">
        <f>SUMIFS(tblBudget[Waste_t],tblBudget[Month],$E250)</f>
        <v/>
      </c>
      <c r="JF250" s="55">
        <f>$JE250*$C250/$D250</f>
        <v/>
      </c>
      <c r="JG250" s="55">
        <f>SUMIFS(tblBudget[Waste_t],tblBudget[Month],"&lt;"&amp;$E250)+$JF250</f>
        <v/>
      </c>
      <c r="JH250" s="55">
        <f>SUMIFS(tblBudget[TMM_t],tblBudget[Month],$E250)</f>
        <v/>
      </c>
      <c r="JI250" s="55">
        <f>$JH250*$C250/$D250</f>
        <v/>
      </c>
      <c r="JJ250" s="55">
        <f>SUMIFS(tblBudget[TMM_t],tblBudget[Month],"&lt;"&amp;$E250)+$JI250</f>
        <v/>
      </c>
      <c r="JK250" s="56">
        <f>IFERROR(IF(($IS250)&gt;0,($JE250)/($IS250),""),"")</f>
        <v/>
      </c>
      <c r="JL250" s="56">
        <f>IFERROR(IF(($IT250)&gt;0,($JF250)/($IT250),""),"")</f>
        <v/>
      </c>
      <c r="JM250" s="56">
        <f>IFERROR(IF(($IU250)&gt;0,($JG250)/($IU250),""),"")</f>
        <v/>
      </c>
      <c r="JN250" s="55">
        <f>SUMIFS(tblBudget[Drill_m],tblBudget[Month],$E250)</f>
        <v/>
      </c>
      <c r="JO250" s="55">
        <f>$JN250*$C250/$D250</f>
        <v/>
      </c>
      <c r="JP250" s="55">
        <f>SUMIFS(tblBudget[Drill_m],tblBudget[Month],"&lt;"&amp;$E250)+$JO250</f>
        <v/>
      </c>
      <c r="JQ250" s="55">
        <f>SUMIFS(tblBudget[Diesel_L],tblBudget[Month],$E250)</f>
        <v/>
      </c>
      <c r="JR250" s="55">
        <f>$JQ250*$C250/$D250</f>
        <v/>
      </c>
      <c r="JS250" s="55">
        <f>SUMIFS(tblBudget[Diesel_L],tblBudget[Month],"&lt;"&amp;$E250)+$JR250</f>
        <v/>
      </c>
      <c r="JT250" s="55">
        <f>SUMIFS(tblBudget[Milled_t],tblBudget[Month],$E250)</f>
        <v/>
      </c>
      <c r="JU250" s="55">
        <f>$JT250*$C250/$D250</f>
        <v/>
      </c>
      <c r="JV250" s="55">
        <f>SUMIFS(tblBudget[Milled_t],tblBudget[Month],"&lt;"&amp;$E250)+$JU250</f>
        <v/>
      </c>
      <c r="JW250" s="55">
        <f>SUMIFS(tblBudget[Feed_oz],tblBudget[Month],$E250)</f>
        <v/>
      </c>
      <c r="JX250" s="55">
        <f>$JW250*$C250/$D250</f>
        <v/>
      </c>
      <c r="JY250" s="55">
        <f>SUMIFS(tblBudget[Feed_oz],tblBudget[Month],"&lt;"&amp;$E250)+$JX250</f>
        <v/>
      </c>
      <c r="JZ250" s="55">
        <f>SUMIFS(tblBudget[Recovered_oz],tblBudget[Month],$E250)</f>
        <v/>
      </c>
      <c r="KA250" s="55">
        <f>$JZ250*$C250/$D250</f>
        <v/>
      </c>
      <c r="KB250" s="55">
        <f>SUMIFS(tblBudget[Recovered_oz],tblBudget[Month],"&lt;"&amp;$E250)+$KA250</f>
        <v/>
      </c>
      <c r="KC250" s="55">
        <f>SUMIFS(tblBudget[Milled_t],tblBudget[Month],$E250)</f>
        <v/>
      </c>
      <c r="KD250" s="55">
        <f>$KC250*$C250/$D250</f>
        <v/>
      </c>
      <c r="KE250" s="55">
        <f>SUMIFS(tblBudget[Milled_t],tblBudget[Month],"&lt;"&amp;$E250)+$KD250</f>
        <v/>
      </c>
      <c r="KF250" s="55">
        <f>SUMIFS(tblBudget[Feed_oz],tblBudget[Month],$E250)</f>
        <v/>
      </c>
      <c r="KG250" s="55">
        <f>$KF250*$C250/$D250</f>
        <v/>
      </c>
      <c r="KH250" s="55">
        <f>SUMIFS(tblBudget[Feed_oz],tblBudget[Month],"&lt;"&amp;$E250)+$KG250</f>
        <v/>
      </c>
      <c r="KI250" s="56">
        <f>IFERROR(IF(($KC250)&gt;0,($JW250*cfg_TroyOz)/($KC250),""),"")</f>
        <v/>
      </c>
      <c r="KJ250" s="56">
        <f>IFERROR(IF(($KD250)&gt;0,($JX250*cfg_TroyOz)/($KD250),""),"")</f>
        <v/>
      </c>
      <c r="KK250" s="56">
        <f>IFERROR(IF(($KE250)&gt;0,($JY250*cfg_TroyOz)/($KE250),""),"")</f>
        <v/>
      </c>
      <c r="KL250" s="67">
        <f>IFERROR(IF(($KF250)&gt;0,($JZ250)/($KF250),""),"")</f>
        <v/>
      </c>
      <c r="KM250" s="67">
        <f>IFERROR(IF(($KG250)&gt;0,($KA250)/($KG250),""),"")</f>
        <v/>
      </c>
      <c r="KN250" s="67">
        <f>IFERROR(IF(($KH250)&gt;0,($KB250)/($KH250),""),"")</f>
        <v/>
      </c>
      <c r="KO250" s="55">
        <f>SUMIFS(tblBudget[Gold_Poured_oz],tblBudget[Month],$E250)</f>
        <v/>
      </c>
      <c r="KP250" s="55">
        <f>$KO250*$C250/$D250</f>
        <v/>
      </c>
      <c r="KQ250" s="55">
        <f>SUMIFS(tblBudget[Gold_Poured_oz],tblBudget[Month],"&lt;"&amp;$E250)+$KP250</f>
        <v/>
      </c>
      <c r="KR250" s="57">
        <f>SUMIFS(tblBudget[Hours_Worked],tblBudget[Month],$E250)</f>
        <v/>
      </c>
      <c r="KS250" s="57">
        <f>$KR250*$C250/$D250</f>
        <v/>
      </c>
      <c r="KT250" s="57">
        <f>SUMIFS(tblBudget[Hours_Worked],tblBudget[Month],"&lt;"&amp;$E250)+$KS250</f>
        <v/>
      </c>
    </row>
    <row r="251">
      <c r="A251" s="54" t="n">
        <v>46272</v>
      </c>
      <c r="B251">
        <f>MONTH($A251)</f>
        <v/>
      </c>
      <c r="C251">
        <f>DAY($A251)</f>
        <v/>
      </c>
      <c r="D251">
        <f>DAY(EOMONTH($A251,0))</f>
        <v/>
      </c>
      <c r="E251" s="54">
        <f>DATE(YEAR($A251),MONTH($A251),1)</f>
        <v/>
      </c>
      <c r="F251" s="55">
        <f>SUMIFS(tblMovement[Tonnes_t],tblMovement[Date],$A251,tblMovement[Is_Ore],1,tblMovement[Source_Type],"Pit")</f>
        <v/>
      </c>
      <c r="G251" s="55">
        <f>IF($B251=$B250,$G250,0)+$F251</f>
        <v/>
      </c>
      <c r="H251" s="55">
        <f>$H250+$F251</f>
        <v/>
      </c>
      <c r="I251" s="55">
        <f>SUMIFS(tblMovement[Ore_oz],tblMovement[Date],$A251,tblMovement[Source_Type],"Pit")</f>
        <v/>
      </c>
      <c r="J251" s="55">
        <f>IF($B251=$B250,$J250,0)+$I251</f>
        <v/>
      </c>
      <c r="K251" s="55">
        <f>$K250+$I251</f>
        <v/>
      </c>
      <c r="L251" s="55">
        <f>SUMIFS(tblMovement[Tonnes_t],tblMovement[Date],$A251,tblMovement[Is_Ore],1,tblMovement[Source_Type],"Pit",tblMovement[Grade_gpt],"&lt;&gt;")</f>
        <v/>
      </c>
      <c r="M251" s="55">
        <f>IF($B251=$B250,$M250,0)+$L251</f>
        <v/>
      </c>
      <c r="N251" s="55">
        <f>$N250+$L251</f>
        <v/>
      </c>
      <c r="O251" s="56">
        <f>IFERROR(IF(($L251)&gt;0,($I251*cfg_TroyOz)/($L251),""),"")</f>
        <v/>
      </c>
      <c r="P251" s="56">
        <f>IFERROR(IF(($M251)&gt;0,($J251*cfg_TroyOz)/($M251),""),"")</f>
        <v/>
      </c>
      <c r="Q251" s="56">
        <f>IFERROR(IF(($N251)&gt;0,($K251*cfg_TroyOz)/($N251),""),"")</f>
        <v/>
      </c>
      <c r="R251" s="55">
        <f>$F251-$L251</f>
        <v/>
      </c>
      <c r="S251" s="55">
        <f>IF($B251=$B250,$S250,0)+$R251</f>
        <v/>
      </c>
      <c r="T251" s="55">
        <f>$T250+$R251</f>
        <v/>
      </c>
      <c r="U251" s="55">
        <f>SUMIFS(tblMovement[Tonnes_t],tblMovement[Date],$A251,tblMovement[Is_Ore],0,tblMovement[Source_Type],"Pit")</f>
        <v/>
      </c>
      <c r="V251" s="55">
        <f>IF($B251=$B250,$V250,0)+$U251</f>
        <v/>
      </c>
      <c r="W251" s="55">
        <f>$W250+$U251</f>
        <v/>
      </c>
      <c r="X251" s="55">
        <f>$F251+$U251</f>
        <v/>
      </c>
      <c r="Y251" s="55">
        <f>IF($B251=$B250,$Y250,0)+$X251</f>
        <v/>
      </c>
      <c r="Z251" s="55">
        <f>$Z250+$X251</f>
        <v/>
      </c>
      <c r="AA251" s="56">
        <f>IFERROR(IF(($F251)&gt;0,($U251)/($F251),""),"")</f>
        <v/>
      </c>
      <c r="AB251" s="56">
        <f>IFERROR(IF(($G251)&gt;0,($V251)/($G251),""),"")</f>
        <v/>
      </c>
      <c r="AC251" s="56">
        <f>IFERROR(IF(($H251)&gt;0,($W251)/($H251),""),"")</f>
        <v/>
      </c>
      <c r="AD251" s="55">
        <f>SUMIFS(tblMovement[Tonnes_t],tblMovement[Date],$A251,tblMovement[Source_Type],"Stockpile")</f>
        <v/>
      </c>
      <c r="AE251" s="55">
        <f>IF($B251=$B250,$AE250,0)+$AD251</f>
        <v/>
      </c>
      <c r="AF251" s="55">
        <f>$AF250+$AD251</f>
        <v/>
      </c>
      <c r="AG251" s="55">
        <f>SUMIFS(tblMovement[Tonnes_t],tblMovement[Date],$A251)</f>
        <v/>
      </c>
      <c r="AH251" s="55">
        <f>IF($B251=$B250,$AH250,0)+$AG251</f>
        <v/>
      </c>
      <c r="AI251" s="55">
        <f>$AI250+$AG251</f>
        <v/>
      </c>
      <c r="AJ251" s="55">
        <f>$AG251-$X251-$AD251</f>
        <v/>
      </c>
      <c r="AK251" s="55">
        <f>IF($B251=$B250,$AK250,0)+$AJ251</f>
        <v/>
      </c>
      <c r="AL251" s="55">
        <f>$AL250+$AJ251</f>
        <v/>
      </c>
      <c r="AM251" s="55">
        <f>SUMIFS(tblMiningDaily[Drill_m],tblMiningDaily[Date],$A251)</f>
        <v/>
      </c>
      <c r="AN251" s="55">
        <f>IF($B251=$B250,$AN250,0)+$AM251</f>
        <v/>
      </c>
      <c r="AO251" s="55">
        <f>$AO250+$AM251</f>
        <v/>
      </c>
      <c r="AP251" s="55">
        <f>SUMIFS(tblMiningDaily[GC_Drill_m],tblMiningDaily[Date],$A251)</f>
        <v/>
      </c>
      <c r="AQ251" s="55">
        <f>IF($B251=$B250,$AQ250,0)+$AP251</f>
        <v/>
      </c>
      <c r="AR251" s="55">
        <f>$AR250+$AP251</f>
        <v/>
      </c>
      <c r="AS251" s="55">
        <f>SUMIFS(tblMiningDaily[Blast_t],tblMiningDaily[Date],$A251)</f>
        <v/>
      </c>
      <c r="AT251" s="55">
        <f>IF($B251=$B250,$AT250,0)+$AS251</f>
        <v/>
      </c>
      <c r="AU251" s="55">
        <f>$AU250+$AS251</f>
        <v/>
      </c>
      <c r="AV251" s="55">
        <f>SUMIFS(tblMiningDaily[Explosives_kg],tblMiningDaily[Date],$A251)</f>
        <v/>
      </c>
      <c r="AW251" s="55">
        <f>IF($B251=$B250,$AW250,0)+$AV251</f>
        <v/>
      </c>
      <c r="AX251" s="55">
        <f>$AX250+$AV251</f>
        <v/>
      </c>
      <c r="AY251" s="56">
        <f>IFERROR(IF(($AS251)&gt;0,($AV251)/($AS251),""),"")</f>
        <v/>
      </c>
      <c r="AZ251" s="56">
        <f>IFERROR(IF(($AT251)&gt;0,($AW251)/($AT251),""),"")</f>
        <v/>
      </c>
      <c r="BA251" s="56">
        <f>IFERROR(IF(($AU251)&gt;0,($AX251)/($AU251),""),"")</f>
        <v/>
      </c>
      <c r="BB251" s="55">
        <f>SUMIFS(tblMiningDaily[Diesel_L],tblMiningDaily[Date],$A251)</f>
        <v/>
      </c>
      <c r="BC251" s="55">
        <f>IF($B251=$B250,$BC250,0)+$BB251</f>
        <v/>
      </c>
      <c r="BD251" s="55">
        <f>$BD250+$BB251</f>
        <v/>
      </c>
      <c r="BE251" s="55">
        <f>SUMIFS(tblMiningDaily[Dewatering_m3],tblMiningDaily[Date],$A251)</f>
        <v/>
      </c>
      <c r="BF251" s="55">
        <f>IF($B251=$B250,$BF250,0)+$BE251</f>
        <v/>
      </c>
      <c r="BG251" s="55">
        <f>$BG250+$BE251</f>
        <v/>
      </c>
      <c r="BH251" s="57">
        <f>SUMIFS(tblFleet[Calendar_h],tblFleet[Date],$A251,tblFleet[Equipment_Class],"Excavator")</f>
        <v/>
      </c>
      <c r="BI251" s="57">
        <f>IF($B251=$B250,$BI250,0)+$BH251</f>
        <v/>
      </c>
      <c r="BJ251" s="57">
        <f>$BJ250+$BH251</f>
        <v/>
      </c>
      <c r="BK251" s="57">
        <f>SUMIFS(tblFleet[Available_h],tblFleet[Date],$A251,tblFleet[Equipment_Class],"Excavator")</f>
        <v/>
      </c>
      <c r="BL251" s="57">
        <f>IF($B251=$B250,$BL250,0)+$BK251</f>
        <v/>
      </c>
      <c r="BM251" s="57">
        <f>$BM250+$BK251</f>
        <v/>
      </c>
      <c r="BN251" s="57">
        <f>SUMIFS(tblFleet[Operating_h],tblFleet[Date],$A251,tblFleet[Equipment_Class],"Excavator")</f>
        <v/>
      </c>
      <c r="BO251" s="57">
        <f>IF($B251=$B250,$BO250,0)+$BN251</f>
        <v/>
      </c>
      <c r="BP251" s="57">
        <f>$BP250+$BN251</f>
        <v/>
      </c>
      <c r="BQ251" s="67">
        <f>IFERROR(IF(($BH251)&gt;0,($BK251)/($BH251),""),"")</f>
        <v/>
      </c>
      <c r="BR251" s="67">
        <f>IFERROR(IF(($BI251)&gt;0,($BL251)/($BI251),""),"")</f>
        <v/>
      </c>
      <c r="BS251" s="67">
        <f>IFERROR(IF(($BJ251)&gt;0,($BM251)/($BJ251),""),"")</f>
        <v/>
      </c>
      <c r="BT251" s="67">
        <f>IFERROR(IF(($BK251)&gt;0,($BN251)/($BK251),""),"")</f>
        <v/>
      </c>
      <c r="BU251" s="67">
        <f>IFERROR(IF(($BL251)&gt;0,($BO251)/($BL251),""),"")</f>
        <v/>
      </c>
      <c r="BV251" s="67">
        <f>IFERROR(IF(($BM251)&gt;0,($BP251)/($BM251),""),"")</f>
        <v/>
      </c>
      <c r="BW251" s="57">
        <f>SUMIFS(tblFleet[Calendar_h],tblFleet[Date],$A251,tblFleet[Equipment_Class],"Haul Truck")</f>
        <v/>
      </c>
      <c r="BX251" s="57">
        <f>IF($B251=$B250,$BX250,0)+$BW251</f>
        <v/>
      </c>
      <c r="BY251" s="57">
        <f>$BY250+$BW251</f>
        <v/>
      </c>
      <c r="BZ251" s="57">
        <f>SUMIFS(tblFleet[Available_h],tblFleet[Date],$A251,tblFleet[Equipment_Class],"Haul Truck")</f>
        <v/>
      </c>
      <c r="CA251" s="57">
        <f>IF($B251=$B250,$CA250,0)+$BZ251</f>
        <v/>
      </c>
      <c r="CB251" s="57">
        <f>$CB250+$BZ251</f>
        <v/>
      </c>
      <c r="CC251" s="57">
        <f>SUMIFS(tblFleet[Operating_h],tblFleet[Date],$A251,tblFleet[Equipment_Class],"Haul Truck")</f>
        <v/>
      </c>
      <c r="CD251" s="57">
        <f>IF($B251=$B250,$CD250,0)+$CC251</f>
        <v/>
      </c>
      <c r="CE251" s="57">
        <f>$CE250+$CC251</f>
        <v/>
      </c>
      <c r="CF251" s="67">
        <f>IFERROR(IF(($BW251)&gt;0,($BZ251)/($BW251),""),"")</f>
        <v/>
      </c>
      <c r="CG251" s="67">
        <f>IFERROR(IF(($BX251)&gt;0,($CA251)/($BX251),""),"")</f>
        <v/>
      </c>
      <c r="CH251" s="67">
        <f>IFERROR(IF(($BY251)&gt;0,($CB251)/($BY251),""),"")</f>
        <v/>
      </c>
      <c r="CI251" s="67">
        <f>IFERROR(IF(($BZ251)&gt;0,($CC251)/($BZ251),""),"")</f>
        <v/>
      </c>
      <c r="CJ251" s="67">
        <f>IFERROR(IF(($CA251)&gt;0,($CD251)/($CA251),""),"")</f>
        <v/>
      </c>
      <c r="CK251" s="67">
        <f>IFERROR(IF(($CB251)&gt;0,($CE251)/($CB251),""),"")</f>
        <v/>
      </c>
      <c r="CL251" s="55">
        <f>IFERROR(IF(($BN251)&gt;0,($X251+$AD251)/($BN251),""),"")</f>
        <v/>
      </c>
      <c r="CM251" s="55">
        <f>IFERROR(IF(($BO251)&gt;0,($Y251+$AE251)/($BO251),""),"")</f>
        <v/>
      </c>
      <c r="CN251" s="55">
        <f>IFERROR(IF(($BP251)&gt;0,($Z251+$AF251)/($BP251),""),"")</f>
        <v/>
      </c>
      <c r="CO251" s="55">
        <f>IFERROR(IF(($CC251)&gt;0,($X251+$AD251)/($CC251),""),"")</f>
        <v/>
      </c>
      <c r="CP251" s="55">
        <f>IFERROR(IF(($CD251)&gt;0,($Y251+$AE251)/($CD251),""),"")</f>
        <v/>
      </c>
      <c r="CQ251" s="55">
        <f>IFERROR(IF(($CE251)&gt;0,($Z251+$AF251)/($CE251),""),"")</f>
        <v/>
      </c>
      <c r="CR251" s="55">
        <f>SUMIFS(tblPlant[Crushed_t],tblPlant[Date],$A251)</f>
        <v/>
      </c>
      <c r="CS251" s="55">
        <f>IF($B251=$B250,$CS250,0)+$CR251</f>
        <v/>
      </c>
      <c r="CT251" s="55">
        <f>$CT250+$CR251</f>
        <v/>
      </c>
      <c r="CU251" s="55">
        <f>SUMIFS(tblPlant[Milled_t],tblPlant[Date],$A251)</f>
        <v/>
      </c>
      <c r="CV251" s="55">
        <f>IF($B251=$B250,$CV250,0)+$CU251</f>
        <v/>
      </c>
      <c r="CW251" s="55">
        <f>$CW250+$CU251</f>
        <v/>
      </c>
      <c r="CX251" s="55">
        <f>SUMIFS(tblPlant[Feed_oz],tblPlant[Date],$A251)</f>
        <v/>
      </c>
      <c r="CY251" s="55">
        <f>IF($B251=$B250,$CY250,0)+$CX251</f>
        <v/>
      </c>
      <c r="CZ251" s="55">
        <f>$CZ250+$CX251</f>
        <v/>
      </c>
      <c r="DA251" s="55">
        <f>SUMIFS(tblPlant[Tails_oz],tblPlant[Date],$A251)</f>
        <v/>
      </c>
      <c r="DB251" s="55">
        <f>IF($B251=$B250,$DB250,0)+$DA251</f>
        <v/>
      </c>
      <c r="DC251" s="55">
        <f>$DC250+$DA251</f>
        <v/>
      </c>
      <c r="DD251" s="55">
        <f>SUMIFS(tblPlant[Recovered_oz],tblPlant[Date],$A251)</f>
        <v/>
      </c>
      <c r="DE251" s="55">
        <f>IF($B251=$B250,$DE250,0)+$DD251</f>
        <v/>
      </c>
      <c r="DF251" s="55">
        <f>$DF250+$DD251</f>
        <v/>
      </c>
      <c r="DG251" s="55">
        <f>SUMIFS(tblPlant[Milled_t],tblPlant[Date],$A251,tblPlant[Head_Grade_gpt],"&lt;&gt;")</f>
        <v/>
      </c>
      <c r="DH251" s="55">
        <f>IF($B251=$B250,$DH250,0)+$DG251</f>
        <v/>
      </c>
      <c r="DI251" s="55">
        <f>$DI250+$DG251</f>
        <v/>
      </c>
      <c r="DJ251" s="55">
        <f>SUMIFS(tblPlant[Milled_t],tblPlant[Date],$A251,tblPlant[Tails_Grade_gpt],"&lt;&gt;")</f>
        <v/>
      </c>
      <c r="DK251" s="55">
        <f>IF($B251=$B250,$DK250,0)+$DJ251</f>
        <v/>
      </c>
      <c r="DL251" s="55">
        <f>$DL250+$DJ251</f>
        <v/>
      </c>
      <c r="DM251" s="55">
        <f>SUMIFS(tblPlant[Feed_oz],tblPlant[Date],$A251,tblPlant[Tails_Grade_gpt],"&lt;&gt;")</f>
        <v/>
      </c>
      <c r="DN251" s="55">
        <f>IF($B251=$B250,$DN250,0)+$DM251</f>
        <v/>
      </c>
      <c r="DO251" s="55">
        <f>$DO250+$DM251</f>
        <v/>
      </c>
      <c r="DP251" s="55">
        <f>SUMIFS(tblPlant[Milled_t],tblPlant[Date],$A251,tblPlant[Mill_Run_h],"&lt;&gt;")</f>
        <v/>
      </c>
      <c r="DQ251" s="55">
        <f>IF($B251=$B250,$DQ250,0)+$DP251</f>
        <v/>
      </c>
      <c r="DR251" s="55">
        <f>$DR250+$DP251</f>
        <v/>
      </c>
      <c r="DS251" s="56">
        <f>IFERROR(IF(($DG251)&gt;0,($CX251*cfg_TroyOz)/($DG251),""),"")</f>
        <v/>
      </c>
      <c r="DT251" s="56">
        <f>IFERROR(IF(($DH251)&gt;0,($CY251*cfg_TroyOz)/($DH251),""),"")</f>
        <v/>
      </c>
      <c r="DU251" s="56">
        <f>IFERROR(IF(($DI251)&gt;0,($CZ251*cfg_TroyOz)/($DI251),""),"")</f>
        <v/>
      </c>
      <c r="DV251" s="56">
        <f>IFERROR(IF(($DJ251)&gt;0,($DA251*cfg_TroyOz)/($DJ251),""),"")</f>
        <v/>
      </c>
      <c r="DW251" s="56">
        <f>IFERROR(IF(($DK251)&gt;0,($DB251*cfg_TroyOz)/($DK251),""),"")</f>
        <v/>
      </c>
      <c r="DX251" s="56">
        <f>IFERROR(IF(($DL251)&gt;0,($DC251*cfg_TroyOz)/($DL251),""),"")</f>
        <v/>
      </c>
      <c r="DY251" s="67">
        <f>IFERROR(IF(($DM251)&gt;0,($DD251)/($DM251),""),"")</f>
        <v/>
      </c>
      <c r="DZ251" s="67">
        <f>IFERROR(IF(($DN251)&gt;0,($DE251)/($DN251),""),"")</f>
        <v/>
      </c>
      <c r="EA251" s="67">
        <f>IFERROR(IF(($DO251)&gt;0,($DF251)/($DO251),""),"")</f>
        <v/>
      </c>
      <c r="EB251" s="55">
        <f>SUMIFS(tblPlant[Gravity_Gold_oz],tblPlant[Date],$A251)</f>
        <v/>
      </c>
      <c r="EC251" s="55">
        <f>IF($B251=$B250,$EC250,0)+$EB251</f>
        <v/>
      </c>
      <c r="ED251" s="55">
        <f>$ED250+$EB251</f>
        <v/>
      </c>
      <c r="EE251" s="67">
        <f>IFERROR(IF(($DD251)&gt;0,($EB251)/($DD251),""),"")</f>
        <v/>
      </c>
      <c r="EF251" s="67">
        <f>IFERROR(IF(($DE251)&gt;0,($EC251)/($DE251),""),"")</f>
        <v/>
      </c>
      <c r="EG251" s="67">
        <f>IFERROR(IF(($DF251)&gt;0,($ED251)/($DF251),""),"")</f>
        <v/>
      </c>
      <c r="EH251" s="55">
        <f>SUMIFS(tblPlant[Gold_Poured_oz],tblPlant[Date],$A251)</f>
        <v/>
      </c>
      <c r="EI251" s="55">
        <f>IF($B251=$B250,$EI250,0)+$EH251</f>
        <v/>
      </c>
      <c r="EJ251" s="55">
        <f>$EJ250+$EH251</f>
        <v/>
      </c>
      <c r="EK251" s="57">
        <f>SUMIFS(tblPlant[Mill_Run_h],tblPlant[Date],$A251)</f>
        <v/>
      </c>
      <c r="EL251" s="57">
        <f>IF($B251=$B250,$EL250,0)+$EK251</f>
        <v/>
      </c>
      <c r="EM251" s="57">
        <f>$EM250+$EK251</f>
        <v/>
      </c>
      <c r="EN251" s="57">
        <f>SUMIFS(tblPlant[Mill_Planned_Maint_h],tblPlant[Date],$A251)</f>
        <v/>
      </c>
      <c r="EO251" s="57">
        <f>IF($B251=$B250,$EO250,0)+$EN251</f>
        <v/>
      </c>
      <c r="EP251" s="57">
        <f>$EP250+$EN251</f>
        <v/>
      </c>
      <c r="EQ251" s="57">
        <f>SUMIFS(tblPlant[Mill_Unplanned_Down_h],tblPlant[Date],$A251)</f>
        <v/>
      </c>
      <c r="ER251" s="57">
        <f>IF($B251=$B250,$ER250,0)+$EQ251</f>
        <v/>
      </c>
      <c r="ES251" s="57">
        <f>$ES250+$EQ251</f>
        <v/>
      </c>
      <c r="ET251" s="57">
        <f>IF(COUNTIFS(tblPlant[Date],$A251,tblPlant[Mill_Run_h],"&lt;&gt;")+COUNTIFS(tblPlant[Date],$A251,tblPlant[Mill_Planned_Maint_h],"&lt;&gt;")+COUNTIFS(tblPlant[Date],$A251,tblPlant[Mill_Unplanned_Down_h],"&lt;&gt;")&gt;0,cfg_HoursPerDay,0)</f>
        <v/>
      </c>
      <c r="EU251" s="57">
        <f>IF($B251=$B250,$EU250,0)+$ET251</f>
        <v/>
      </c>
      <c r="EV251" s="57">
        <f>$EV250+$ET251</f>
        <v/>
      </c>
      <c r="EW251" s="57">
        <f>SUMIFS(tblPlant[Crusher_Run_h],tblPlant[Date],$A251)</f>
        <v/>
      </c>
      <c r="EX251" s="57">
        <f>IF($B251=$B250,$EX250,0)+$EW251</f>
        <v/>
      </c>
      <c r="EY251" s="57">
        <f>$EY250+$EW251</f>
        <v/>
      </c>
      <c r="EZ251" s="55">
        <f>IFERROR(IF(($EK251)&gt;0,($DP251)/($EK251),""),"")</f>
        <v/>
      </c>
      <c r="FA251" s="55">
        <f>IFERROR(IF(($EL251)&gt;0,($DQ251)/($EL251),""),"")</f>
        <v/>
      </c>
      <c r="FB251" s="55">
        <f>IFERROR(IF(($EM251)&gt;0,($DR251)/($EM251),""),"")</f>
        <v/>
      </c>
      <c r="FC251" s="67">
        <f>IFERROR(IF(($ET251)&gt;0,($ET251-$EN251-$EQ251)/($ET251),""),"")</f>
        <v/>
      </c>
      <c r="FD251" s="67">
        <f>IFERROR(IF(($EU251)&gt;0,($EU251-$EO251-$ER251)/($EU251),""),"")</f>
        <v/>
      </c>
      <c r="FE251" s="67">
        <f>IFERROR(IF(($EV251)&gt;0,($EV251-$EP251-$ES251)/($EV251),""),"")</f>
        <v/>
      </c>
      <c r="FF251" s="67">
        <f>IFERROR(IF(($ET251-$EN251-$EQ251)&gt;0,($EK251)/($ET251-$EN251-$EQ251),""),"")</f>
        <v/>
      </c>
      <c r="FG251" s="67">
        <f>IFERROR(IF(($EU251-$EO251-$ER251)&gt;0,($EL251)/($EU251-$EO251-$ER251),""),"")</f>
        <v/>
      </c>
      <c r="FH251" s="67">
        <f>IFERROR(IF(($EV251-$EP251-$ES251)&gt;0,($EM251)/($EV251-$EP251-$ES251),""),"")</f>
        <v/>
      </c>
      <c r="FI251" s="55">
        <f>SUMIFS(tblPlant[Cyanide_kg],tblPlant[Date],$A251)</f>
        <v/>
      </c>
      <c r="FJ251" s="55">
        <f>IF($B251=$B250,$FJ250,0)+$FI251</f>
        <v/>
      </c>
      <c r="FK251" s="55">
        <f>$FK250+$FI251</f>
        <v/>
      </c>
      <c r="FL251" s="55">
        <f>SUMIFS(tblPlant[Lime_kg],tblPlant[Date],$A251)</f>
        <v/>
      </c>
      <c r="FM251" s="55">
        <f>IF($B251=$B250,$FM250,0)+$FL251</f>
        <v/>
      </c>
      <c r="FN251" s="55">
        <f>$FN250+$FL251</f>
        <v/>
      </c>
      <c r="FO251" s="55">
        <f>SUMIFS(tblPlant[Grinding_Media_kg],tblPlant[Date],$A251)</f>
        <v/>
      </c>
      <c r="FP251" s="55">
        <f>IF($B251=$B250,$FP250,0)+$FO251</f>
        <v/>
      </c>
      <c r="FQ251" s="55">
        <f>$FQ250+$FO251</f>
        <v/>
      </c>
      <c r="FR251" s="55">
        <f>SUMIFS(tblPlant[Power_kWh],tblPlant[Date],$A251)</f>
        <v/>
      </c>
      <c r="FS251" s="55">
        <f>IF($B251=$B250,$FS250,0)+$FR251</f>
        <v/>
      </c>
      <c r="FT251" s="55">
        <f>$FT250+$FR251</f>
        <v/>
      </c>
      <c r="FU251" s="55">
        <f>SUMIFS(tblPlant[Raw_Water_m3],tblPlant[Date],$A251)</f>
        <v/>
      </c>
      <c r="FV251" s="55">
        <f>IF($B251=$B250,$FV250,0)+$FU251</f>
        <v/>
      </c>
      <c r="FW251" s="55">
        <f>$FW250+$FU251</f>
        <v/>
      </c>
      <c r="FX251" s="56">
        <f>IFERROR(IF(($CU251)&gt;0,($FI251)/($CU251),""),"")</f>
        <v/>
      </c>
      <c r="FY251" s="56">
        <f>IFERROR(IF(($CV251)&gt;0,($FJ251)/($CV251),""),"")</f>
        <v/>
      </c>
      <c r="FZ251" s="56">
        <f>IFERROR(IF(($CW251)&gt;0,($FK251)/($CW251),""),"")</f>
        <v/>
      </c>
      <c r="GA251" s="56">
        <f>IFERROR(IF(($CU251)&gt;0,($FL251)/($CU251),""),"")</f>
        <v/>
      </c>
      <c r="GB251" s="56">
        <f>IFERROR(IF(($CV251)&gt;0,($FM251)/($CV251),""),"")</f>
        <v/>
      </c>
      <c r="GC251" s="56">
        <f>IFERROR(IF(($CW251)&gt;0,($FN251)/($CW251),""),"")</f>
        <v/>
      </c>
      <c r="GD251" s="56">
        <f>IFERROR(IF(($CU251)&gt;0,($FO251)/($CU251),""),"")</f>
        <v/>
      </c>
      <c r="GE251" s="56">
        <f>IFERROR(IF(($CV251)&gt;0,($FP251)/($CV251),""),"")</f>
        <v/>
      </c>
      <c r="GF251" s="56">
        <f>IFERROR(IF(($CW251)&gt;0,($FQ251)/($CW251),""),"")</f>
        <v/>
      </c>
      <c r="GG251" s="79">
        <f>IFERROR(IF(($CU251)&gt;0,($FR251)/($CU251),""),"")</f>
        <v/>
      </c>
      <c r="GH251" s="79">
        <f>IFERROR(IF(($CV251)&gt;0,($FS251)/($CV251),""),"")</f>
        <v/>
      </c>
      <c r="GI251" s="79">
        <f>IFERROR(IF(($CW251)&gt;0,($FT251)/($CW251),""),"")</f>
        <v/>
      </c>
      <c r="GJ251" s="56">
        <f>IFERROR(IF(($CU251)&gt;0,($FU251)/($CU251),""),"")</f>
        <v/>
      </c>
      <c r="GK251" s="56">
        <f>IFERROR(IF(($CV251)&gt;0,($FV251)/($CV251),""),"")</f>
        <v/>
      </c>
      <c r="GL251" s="56">
        <f>IFERROR(IF(($CW251)&gt;0,($FW251)/($CW251),""),"")</f>
        <v/>
      </c>
      <c r="GM251" s="55">
        <f>IF(SUMIFS(tblPlant[GIC_oz],tblPlant[Date],$A251)&gt;0,SUMIFS(tblPlant[GIC_oz],tblPlant[Date],$A251),"")</f>
        <v/>
      </c>
      <c r="GN251" s="55">
        <f>SUMIFS(tblGold[Gold_oz],tblGold[Date],$A251,tblGold[Type],"Shipment")</f>
        <v/>
      </c>
      <c r="GO251" s="55">
        <f>IF($B251=$B250,$GO250,0)+$GN251</f>
        <v/>
      </c>
      <c r="GP251" s="55">
        <f>$GP250+$GN251</f>
        <v/>
      </c>
      <c r="GQ251" s="55">
        <f>SUMIFS(tblGold[Gold_oz],tblGold[Date],$A251,tblGold[Type],"Sale")</f>
        <v/>
      </c>
      <c r="GR251" s="55">
        <f>IF($B251=$B250,$GR250,0)+$GQ251</f>
        <v/>
      </c>
      <c r="GS251" s="55">
        <f>$GS250+$GQ251</f>
        <v/>
      </c>
      <c r="GT251" s="55">
        <f>SUMIFS(tblGold[Dore_kg],tblGold[Date],$A251,tblGold[Type],"Shipment")</f>
        <v/>
      </c>
      <c r="GU251" s="55">
        <f>IF($B251=$B250,$GU250,0)+$GT251</f>
        <v/>
      </c>
      <c r="GV251" s="55">
        <f>$GV250+$GT251</f>
        <v/>
      </c>
      <c r="GW251" s="57">
        <f>SUMIFS(tblSafety[Hours_Total],tblSafety[Date],$A251)</f>
        <v/>
      </c>
      <c r="GX251" s="57">
        <f>IF($B251=$B250,$GX250,0)+$GW251</f>
        <v/>
      </c>
      <c r="GY251" s="57">
        <f>$GY250+$GW251</f>
        <v/>
      </c>
      <c r="GZ251" s="62">
        <f>SUMIFS(tblSafety[Fatality],tblSafety[Date],$A251)</f>
        <v/>
      </c>
      <c r="HA251" s="62">
        <f>IF($B251=$B250,$HA250,0)+$GZ251</f>
        <v/>
      </c>
      <c r="HB251" s="62">
        <f>$HB250+$GZ251</f>
        <v/>
      </c>
      <c r="HC251" s="62">
        <f>SUMIFS(tblSafety[LTI],tblSafety[Date],$A251)</f>
        <v/>
      </c>
      <c r="HD251" s="62">
        <f>IF($B251=$B250,$HD250,0)+$HC251</f>
        <v/>
      </c>
      <c r="HE251" s="62">
        <f>$HE250+$HC251</f>
        <v/>
      </c>
      <c r="HF251" s="62">
        <f>SUMIFS(tblSafety[RWI],tblSafety[Date],$A251)</f>
        <v/>
      </c>
      <c r="HG251" s="62">
        <f>IF($B251=$B250,$HG250,0)+$HF251</f>
        <v/>
      </c>
      <c r="HH251" s="62">
        <f>$HH250+$HF251</f>
        <v/>
      </c>
      <c r="HI251" s="62">
        <f>SUMIFS(tblSafety[MTI],tblSafety[Date],$A251)</f>
        <v/>
      </c>
      <c r="HJ251" s="62">
        <f>IF($B251=$B250,$HJ250,0)+$HI251</f>
        <v/>
      </c>
      <c r="HK251" s="62">
        <f>$HK250+$HI251</f>
        <v/>
      </c>
      <c r="HL251" s="62">
        <f>SUMIFS(tblSafety[FAI],tblSafety[Date],$A251)</f>
        <v/>
      </c>
      <c r="HM251" s="62">
        <f>IF($B251=$B250,$HM250,0)+$HL251</f>
        <v/>
      </c>
      <c r="HN251" s="62">
        <f>$HN250+$HL251</f>
        <v/>
      </c>
      <c r="HO251" s="62">
        <f>SUMIFS(tblSafety[Recordables],tblSafety[Date],$A251)</f>
        <v/>
      </c>
      <c r="HP251" s="62">
        <f>IF($B251=$B250,$HP250,0)+$HO251</f>
        <v/>
      </c>
      <c r="HQ251" s="62">
        <f>$HQ250+$HO251</f>
        <v/>
      </c>
      <c r="HR251" s="62">
        <f>SUMIFS(tblSafety[Near_Miss],tblSafety[Date],$A251)</f>
        <v/>
      </c>
      <c r="HS251" s="62">
        <f>IF($B251=$B250,$HS250,0)+$HR251</f>
        <v/>
      </c>
      <c r="HT251" s="62">
        <f>$HT250+$HR251</f>
        <v/>
      </c>
      <c r="HU251" s="62">
        <f>SUMIFS(tblSafety[Hazard_Reports],tblSafety[Date],$A251)</f>
        <v/>
      </c>
      <c r="HV251" s="62">
        <f>IF($B251=$B250,$HV250,0)+$HU251</f>
        <v/>
      </c>
      <c r="HW251" s="62">
        <f>$HW250+$HU251</f>
        <v/>
      </c>
      <c r="HX251" s="62">
        <f>SUMIFS(tblSafety[HPI],tblSafety[Date],$A251)</f>
        <v/>
      </c>
      <c r="HY251" s="62">
        <f>IF($B251=$B250,$HY250,0)+$HX251</f>
        <v/>
      </c>
      <c r="HZ251" s="62">
        <f>$HZ250+$HX251</f>
        <v/>
      </c>
      <c r="IA251" s="62">
        <f>SUMIFS(tblSafety[Env_Incidents],tblSafety[Date],$A251)</f>
        <v/>
      </c>
      <c r="IB251" s="62">
        <f>IF($B251=$B250,$IB250,0)+$IA251</f>
        <v/>
      </c>
      <c r="IC251" s="62">
        <f>$IC250+$IA251</f>
        <v/>
      </c>
      <c r="ID251" s="62">
        <f>SUMIFS(tblSafety[Community_Incidents],tblSafety[Date],$A251)</f>
        <v/>
      </c>
      <c r="IE251" s="62">
        <f>IF($B251=$B250,$IE250,0)+$ID251</f>
        <v/>
      </c>
      <c r="IF251" s="62">
        <f>$IF250+$ID251</f>
        <v/>
      </c>
      <c r="IG251" s="62">
        <f>SUMIFS(tblSafety[Vehicle_Incidents],tblSafety[Date],$A251)</f>
        <v/>
      </c>
      <c r="IH251" s="62">
        <f>IF($B251=$B250,$IH250,0)+$IG251</f>
        <v/>
      </c>
      <c r="II251" s="62">
        <f>$II250+$IG251</f>
        <v/>
      </c>
      <c r="IJ251" s="62">
        <f>SUMIFS(tblSafety[Toolbox_Talks],tblSafety[Date],$A251)</f>
        <v/>
      </c>
      <c r="IK251" s="62">
        <f>IF($B251=$B250,$IK250,0)+$IJ251</f>
        <v/>
      </c>
      <c r="IL251" s="62">
        <f>$IL250+$IJ251</f>
        <v/>
      </c>
      <c r="IM251" s="62">
        <f>SUMIFS(tblSafety[Inspections],tblSafety[Date],$A251)</f>
        <v/>
      </c>
      <c r="IN251" s="62">
        <f>IF($B251=$B250,$IN250,0)+$IM251</f>
        <v/>
      </c>
      <c r="IO251" s="62">
        <f>$IO250+$IM251</f>
        <v/>
      </c>
      <c r="IP251" s="56">
        <f>IFERROR((SUMIFS(tblSafety[Recordables],tblSafety[Date],"&gt;="&amp;EDATE($E251,-12),tblSafety[Date],"&lt;="&amp;$A251)+SUMIFS(tblSafetyHistory[Recordables],tblSafetyHistory[Month],"&gt;="&amp;EDATE($E251,-12),tblSafetyHistory[Month],"&lt;"&amp;$E251,tblSafetyHistory[Use],1))/(SUMIFS(tblSafety[Hours_Total],tblSafety[Date],"&gt;="&amp;EDATE($E251,-12),tblSafety[Date],"&lt;="&amp;$A251)+SUMIFS(tblSafetyHistory[Hours_Total],tblSafetyHistory[Month],"&gt;="&amp;EDATE($E251,-12),tblSafetyHistory[Month],"&lt;"&amp;$E251,tblSafetyHistory[Use],1))*cfg_RateBasisHours,"")</f>
        <v/>
      </c>
      <c r="IQ251" s="56">
        <f>IFERROR((SUMIFS(tblSafety[LTI],tblSafety[Date],"&gt;="&amp;EDATE($E251,-12),tblSafety[Date],"&lt;="&amp;$A251)+SUMIFS(tblSafetyHistory[LTI],tblSafetyHistory[Month],"&gt;="&amp;EDATE($E251,-12),tblSafetyHistory[Month],"&lt;"&amp;$E251,tblSafetyHistory[Use],1))/(SUMIFS(tblSafety[Hours_Total],tblSafety[Date],"&gt;="&amp;EDATE($E251,-12),tblSafety[Date],"&lt;="&amp;$A251)+SUMIFS(tblSafetyHistory[Hours_Total],tblSafetyHistory[Month],"&gt;="&amp;EDATE($E251,-12),tblSafetyHistory[Month],"&lt;"&amp;$E251,tblSafetyHistory[Use],1))*cfg_RateBasisHours,"")</f>
        <v/>
      </c>
      <c r="IR251" s="62">
        <f>IF(MAX(N(cfg_PriorLTIDate),_xlfn.MAXIFS(tblSafety[Date],tblSafety[LTI],"&gt;0",tblSafety[Date],"&lt;="&amp;$A251))=0,"",$A251-MAX(N(cfg_PriorLTIDate),_xlfn.MAXIFS(tblSafety[Date],tblSafety[LTI],"&gt;0",tblSafety[Date],"&lt;="&amp;$A251)))</f>
        <v/>
      </c>
      <c r="IS251" s="55">
        <f>SUMIFS(tblBudget[Ore_Mined_t],tblBudget[Month],$E251)</f>
        <v/>
      </c>
      <c r="IT251" s="55">
        <f>$IS251*$C251/$D251</f>
        <v/>
      </c>
      <c r="IU251" s="55">
        <f>SUMIFS(tblBudget[Ore_Mined_t],tblBudget[Month],"&lt;"&amp;$E251)+$IT251</f>
        <v/>
      </c>
      <c r="IV251" s="55">
        <f>SUMIFS(tblBudget[Ore_oz],tblBudget[Month],$E251)</f>
        <v/>
      </c>
      <c r="IW251" s="55">
        <f>$IV251*$C251/$D251</f>
        <v/>
      </c>
      <c r="IX251" s="55">
        <f>SUMIFS(tblBudget[Ore_oz],tblBudget[Month],"&lt;"&amp;$E251)+$IW251</f>
        <v/>
      </c>
      <c r="IY251" s="55">
        <f>SUMIFS(tblBudget[Ore_Mined_t],tblBudget[Month],$E251)</f>
        <v/>
      </c>
      <c r="IZ251" s="55">
        <f>$IY251*$C251/$D251</f>
        <v/>
      </c>
      <c r="JA251" s="55">
        <f>SUMIFS(tblBudget[Ore_Mined_t],tblBudget[Month],"&lt;"&amp;$E251)+$IZ251</f>
        <v/>
      </c>
      <c r="JB251" s="56">
        <f>IFERROR(IF(($IY251)&gt;0,($IV251*cfg_TroyOz)/($IY251),""),"")</f>
        <v/>
      </c>
      <c r="JC251" s="56">
        <f>IFERROR(IF(($IZ251)&gt;0,($IW251*cfg_TroyOz)/($IZ251),""),"")</f>
        <v/>
      </c>
      <c r="JD251" s="56">
        <f>IFERROR(IF(($JA251)&gt;0,($IX251*cfg_TroyOz)/($JA251),""),"")</f>
        <v/>
      </c>
      <c r="JE251" s="55">
        <f>SUMIFS(tblBudget[Waste_t],tblBudget[Month],$E251)</f>
        <v/>
      </c>
      <c r="JF251" s="55">
        <f>$JE251*$C251/$D251</f>
        <v/>
      </c>
      <c r="JG251" s="55">
        <f>SUMIFS(tblBudget[Waste_t],tblBudget[Month],"&lt;"&amp;$E251)+$JF251</f>
        <v/>
      </c>
      <c r="JH251" s="55">
        <f>SUMIFS(tblBudget[TMM_t],tblBudget[Month],$E251)</f>
        <v/>
      </c>
      <c r="JI251" s="55">
        <f>$JH251*$C251/$D251</f>
        <v/>
      </c>
      <c r="JJ251" s="55">
        <f>SUMIFS(tblBudget[TMM_t],tblBudget[Month],"&lt;"&amp;$E251)+$JI251</f>
        <v/>
      </c>
      <c r="JK251" s="56">
        <f>IFERROR(IF(($IS251)&gt;0,($JE251)/($IS251),""),"")</f>
        <v/>
      </c>
      <c r="JL251" s="56">
        <f>IFERROR(IF(($IT251)&gt;0,($JF251)/($IT251),""),"")</f>
        <v/>
      </c>
      <c r="JM251" s="56">
        <f>IFERROR(IF(($IU251)&gt;0,($JG251)/($IU251),""),"")</f>
        <v/>
      </c>
      <c r="JN251" s="55">
        <f>SUMIFS(tblBudget[Drill_m],tblBudget[Month],$E251)</f>
        <v/>
      </c>
      <c r="JO251" s="55">
        <f>$JN251*$C251/$D251</f>
        <v/>
      </c>
      <c r="JP251" s="55">
        <f>SUMIFS(tblBudget[Drill_m],tblBudget[Month],"&lt;"&amp;$E251)+$JO251</f>
        <v/>
      </c>
      <c r="JQ251" s="55">
        <f>SUMIFS(tblBudget[Diesel_L],tblBudget[Month],$E251)</f>
        <v/>
      </c>
      <c r="JR251" s="55">
        <f>$JQ251*$C251/$D251</f>
        <v/>
      </c>
      <c r="JS251" s="55">
        <f>SUMIFS(tblBudget[Diesel_L],tblBudget[Month],"&lt;"&amp;$E251)+$JR251</f>
        <v/>
      </c>
      <c r="JT251" s="55">
        <f>SUMIFS(tblBudget[Milled_t],tblBudget[Month],$E251)</f>
        <v/>
      </c>
      <c r="JU251" s="55">
        <f>$JT251*$C251/$D251</f>
        <v/>
      </c>
      <c r="JV251" s="55">
        <f>SUMIFS(tblBudget[Milled_t],tblBudget[Month],"&lt;"&amp;$E251)+$JU251</f>
        <v/>
      </c>
      <c r="JW251" s="55">
        <f>SUMIFS(tblBudget[Feed_oz],tblBudget[Month],$E251)</f>
        <v/>
      </c>
      <c r="JX251" s="55">
        <f>$JW251*$C251/$D251</f>
        <v/>
      </c>
      <c r="JY251" s="55">
        <f>SUMIFS(tblBudget[Feed_oz],tblBudget[Month],"&lt;"&amp;$E251)+$JX251</f>
        <v/>
      </c>
      <c r="JZ251" s="55">
        <f>SUMIFS(tblBudget[Recovered_oz],tblBudget[Month],$E251)</f>
        <v/>
      </c>
      <c r="KA251" s="55">
        <f>$JZ251*$C251/$D251</f>
        <v/>
      </c>
      <c r="KB251" s="55">
        <f>SUMIFS(tblBudget[Recovered_oz],tblBudget[Month],"&lt;"&amp;$E251)+$KA251</f>
        <v/>
      </c>
      <c r="KC251" s="55">
        <f>SUMIFS(tblBudget[Milled_t],tblBudget[Month],$E251)</f>
        <v/>
      </c>
      <c r="KD251" s="55">
        <f>$KC251*$C251/$D251</f>
        <v/>
      </c>
      <c r="KE251" s="55">
        <f>SUMIFS(tblBudget[Milled_t],tblBudget[Month],"&lt;"&amp;$E251)+$KD251</f>
        <v/>
      </c>
      <c r="KF251" s="55">
        <f>SUMIFS(tblBudget[Feed_oz],tblBudget[Month],$E251)</f>
        <v/>
      </c>
      <c r="KG251" s="55">
        <f>$KF251*$C251/$D251</f>
        <v/>
      </c>
      <c r="KH251" s="55">
        <f>SUMIFS(tblBudget[Feed_oz],tblBudget[Month],"&lt;"&amp;$E251)+$KG251</f>
        <v/>
      </c>
      <c r="KI251" s="56">
        <f>IFERROR(IF(($KC251)&gt;0,($JW251*cfg_TroyOz)/($KC251),""),"")</f>
        <v/>
      </c>
      <c r="KJ251" s="56">
        <f>IFERROR(IF(($KD251)&gt;0,($JX251*cfg_TroyOz)/($KD251),""),"")</f>
        <v/>
      </c>
      <c r="KK251" s="56">
        <f>IFERROR(IF(($KE251)&gt;0,($JY251*cfg_TroyOz)/($KE251),""),"")</f>
        <v/>
      </c>
      <c r="KL251" s="67">
        <f>IFERROR(IF(($KF251)&gt;0,($JZ251)/($KF251),""),"")</f>
        <v/>
      </c>
      <c r="KM251" s="67">
        <f>IFERROR(IF(($KG251)&gt;0,($KA251)/($KG251),""),"")</f>
        <v/>
      </c>
      <c r="KN251" s="67">
        <f>IFERROR(IF(($KH251)&gt;0,($KB251)/($KH251),""),"")</f>
        <v/>
      </c>
      <c r="KO251" s="55">
        <f>SUMIFS(tblBudget[Gold_Poured_oz],tblBudget[Month],$E251)</f>
        <v/>
      </c>
      <c r="KP251" s="55">
        <f>$KO251*$C251/$D251</f>
        <v/>
      </c>
      <c r="KQ251" s="55">
        <f>SUMIFS(tblBudget[Gold_Poured_oz],tblBudget[Month],"&lt;"&amp;$E251)+$KP251</f>
        <v/>
      </c>
      <c r="KR251" s="57">
        <f>SUMIFS(tblBudget[Hours_Worked],tblBudget[Month],$E251)</f>
        <v/>
      </c>
      <c r="KS251" s="57">
        <f>$KR251*$C251/$D251</f>
        <v/>
      </c>
      <c r="KT251" s="57">
        <f>SUMIFS(tblBudget[Hours_Worked],tblBudget[Month],"&lt;"&amp;$E251)+$KS251</f>
        <v/>
      </c>
    </row>
    <row r="252">
      <c r="A252" s="54" t="n">
        <v>46273</v>
      </c>
      <c r="B252">
        <f>MONTH($A252)</f>
        <v/>
      </c>
      <c r="C252">
        <f>DAY($A252)</f>
        <v/>
      </c>
      <c r="D252">
        <f>DAY(EOMONTH($A252,0))</f>
        <v/>
      </c>
      <c r="E252" s="54">
        <f>DATE(YEAR($A252),MONTH($A252),1)</f>
        <v/>
      </c>
      <c r="F252" s="55">
        <f>SUMIFS(tblMovement[Tonnes_t],tblMovement[Date],$A252,tblMovement[Is_Ore],1,tblMovement[Source_Type],"Pit")</f>
        <v/>
      </c>
      <c r="G252" s="55">
        <f>IF($B252=$B251,$G251,0)+$F252</f>
        <v/>
      </c>
      <c r="H252" s="55">
        <f>$H251+$F252</f>
        <v/>
      </c>
      <c r="I252" s="55">
        <f>SUMIFS(tblMovement[Ore_oz],tblMovement[Date],$A252,tblMovement[Source_Type],"Pit")</f>
        <v/>
      </c>
      <c r="J252" s="55">
        <f>IF($B252=$B251,$J251,0)+$I252</f>
        <v/>
      </c>
      <c r="K252" s="55">
        <f>$K251+$I252</f>
        <v/>
      </c>
      <c r="L252" s="55">
        <f>SUMIFS(tblMovement[Tonnes_t],tblMovement[Date],$A252,tblMovement[Is_Ore],1,tblMovement[Source_Type],"Pit",tblMovement[Grade_gpt],"&lt;&gt;")</f>
        <v/>
      </c>
      <c r="M252" s="55">
        <f>IF($B252=$B251,$M251,0)+$L252</f>
        <v/>
      </c>
      <c r="N252" s="55">
        <f>$N251+$L252</f>
        <v/>
      </c>
      <c r="O252" s="56">
        <f>IFERROR(IF(($L252)&gt;0,($I252*cfg_TroyOz)/($L252),""),"")</f>
        <v/>
      </c>
      <c r="P252" s="56">
        <f>IFERROR(IF(($M252)&gt;0,($J252*cfg_TroyOz)/($M252),""),"")</f>
        <v/>
      </c>
      <c r="Q252" s="56">
        <f>IFERROR(IF(($N252)&gt;0,($K252*cfg_TroyOz)/($N252),""),"")</f>
        <v/>
      </c>
      <c r="R252" s="55">
        <f>$F252-$L252</f>
        <v/>
      </c>
      <c r="S252" s="55">
        <f>IF($B252=$B251,$S251,0)+$R252</f>
        <v/>
      </c>
      <c r="T252" s="55">
        <f>$T251+$R252</f>
        <v/>
      </c>
      <c r="U252" s="55">
        <f>SUMIFS(tblMovement[Tonnes_t],tblMovement[Date],$A252,tblMovement[Is_Ore],0,tblMovement[Source_Type],"Pit")</f>
        <v/>
      </c>
      <c r="V252" s="55">
        <f>IF($B252=$B251,$V251,0)+$U252</f>
        <v/>
      </c>
      <c r="W252" s="55">
        <f>$W251+$U252</f>
        <v/>
      </c>
      <c r="X252" s="55">
        <f>$F252+$U252</f>
        <v/>
      </c>
      <c r="Y252" s="55">
        <f>IF($B252=$B251,$Y251,0)+$X252</f>
        <v/>
      </c>
      <c r="Z252" s="55">
        <f>$Z251+$X252</f>
        <v/>
      </c>
      <c r="AA252" s="56">
        <f>IFERROR(IF(($F252)&gt;0,($U252)/($F252),""),"")</f>
        <v/>
      </c>
      <c r="AB252" s="56">
        <f>IFERROR(IF(($G252)&gt;0,($V252)/($G252),""),"")</f>
        <v/>
      </c>
      <c r="AC252" s="56">
        <f>IFERROR(IF(($H252)&gt;0,($W252)/($H252),""),"")</f>
        <v/>
      </c>
      <c r="AD252" s="55">
        <f>SUMIFS(tblMovement[Tonnes_t],tblMovement[Date],$A252,tblMovement[Source_Type],"Stockpile")</f>
        <v/>
      </c>
      <c r="AE252" s="55">
        <f>IF($B252=$B251,$AE251,0)+$AD252</f>
        <v/>
      </c>
      <c r="AF252" s="55">
        <f>$AF251+$AD252</f>
        <v/>
      </c>
      <c r="AG252" s="55">
        <f>SUMIFS(tblMovement[Tonnes_t],tblMovement[Date],$A252)</f>
        <v/>
      </c>
      <c r="AH252" s="55">
        <f>IF($B252=$B251,$AH251,0)+$AG252</f>
        <v/>
      </c>
      <c r="AI252" s="55">
        <f>$AI251+$AG252</f>
        <v/>
      </c>
      <c r="AJ252" s="55">
        <f>$AG252-$X252-$AD252</f>
        <v/>
      </c>
      <c r="AK252" s="55">
        <f>IF($B252=$B251,$AK251,0)+$AJ252</f>
        <v/>
      </c>
      <c r="AL252" s="55">
        <f>$AL251+$AJ252</f>
        <v/>
      </c>
      <c r="AM252" s="55">
        <f>SUMIFS(tblMiningDaily[Drill_m],tblMiningDaily[Date],$A252)</f>
        <v/>
      </c>
      <c r="AN252" s="55">
        <f>IF($B252=$B251,$AN251,0)+$AM252</f>
        <v/>
      </c>
      <c r="AO252" s="55">
        <f>$AO251+$AM252</f>
        <v/>
      </c>
      <c r="AP252" s="55">
        <f>SUMIFS(tblMiningDaily[GC_Drill_m],tblMiningDaily[Date],$A252)</f>
        <v/>
      </c>
      <c r="AQ252" s="55">
        <f>IF($B252=$B251,$AQ251,0)+$AP252</f>
        <v/>
      </c>
      <c r="AR252" s="55">
        <f>$AR251+$AP252</f>
        <v/>
      </c>
      <c r="AS252" s="55">
        <f>SUMIFS(tblMiningDaily[Blast_t],tblMiningDaily[Date],$A252)</f>
        <v/>
      </c>
      <c r="AT252" s="55">
        <f>IF($B252=$B251,$AT251,0)+$AS252</f>
        <v/>
      </c>
      <c r="AU252" s="55">
        <f>$AU251+$AS252</f>
        <v/>
      </c>
      <c r="AV252" s="55">
        <f>SUMIFS(tblMiningDaily[Explosives_kg],tblMiningDaily[Date],$A252)</f>
        <v/>
      </c>
      <c r="AW252" s="55">
        <f>IF($B252=$B251,$AW251,0)+$AV252</f>
        <v/>
      </c>
      <c r="AX252" s="55">
        <f>$AX251+$AV252</f>
        <v/>
      </c>
      <c r="AY252" s="56">
        <f>IFERROR(IF(($AS252)&gt;0,($AV252)/($AS252),""),"")</f>
        <v/>
      </c>
      <c r="AZ252" s="56">
        <f>IFERROR(IF(($AT252)&gt;0,($AW252)/($AT252),""),"")</f>
        <v/>
      </c>
      <c r="BA252" s="56">
        <f>IFERROR(IF(($AU252)&gt;0,($AX252)/($AU252),""),"")</f>
        <v/>
      </c>
      <c r="BB252" s="55">
        <f>SUMIFS(tblMiningDaily[Diesel_L],tblMiningDaily[Date],$A252)</f>
        <v/>
      </c>
      <c r="BC252" s="55">
        <f>IF($B252=$B251,$BC251,0)+$BB252</f>
        <v/>
      </c>
      <c r="BD252" s="55">
        <f>$BD251+$BB252</f>
        <v/>
      </c>
      <c r="BE252" s="55">
        <f>SUMIFS(tblMiningDaily[Dewatering_m3],tblMiningDaily[Date],$A252)</f>
        <v/>
      </c>
      <c r="BF252" s="55">
        <f>IF($B252=$B251,$BF251,0)+$BE252</f>
        <v/>
      </c>
      <c r="BG252" s="55">
        <f>$BG251+$BE252</f>
        <v/>
      </c>
      <c r="BH252" s="57">
        <f>SUMIFS(tblFleet[Calendar_h],tblFleet[Date],$A252,tblFleet[Equipment_Class],"Excavator")</f>
        <v/>
      </c>
      <c r="BI252" s="57">
        <f>IF($B252=$B251,$BI251,0)+$BH252</f>
        <v/>
      </c>
      <c r="BJ252" s="57">
        <f>$BJ251+$BH252</f>
        <v/>
      </c>
      <c r="BK252" s="57">
        <f>SUMIFS(tblFleet[Available_h],tblFleet[Date],$A252,tblFleet[Equipment_Class],"Excavator")</f>
        <v/>
      </c>
      <c r="BL252" s="57">
        <f>IF($B252=$B251,$BL251,0)+$BK252</f>
        <v/>
      </c>
      <c r="BM252" s="57">
        <f>$BM251+$BK252</f>
        <v/>
      </c>
      <c r="BN252" s="57">
        <f>SUMIFS(tblFleet[Operating_h],tblFleet[Date],$A252,tblFleet[Equipment_Class],"Excavator")</f>
        <v/>
      </c>
      <c r="BO252" s="57">
        <f>IF($B252=$B251,$BO251,0)+$BN252</f>
        <v/>
      </c>
      <c r="BP252" s="57">
        <f>$BP251+$BN252</f>
        <v/>
      </c>
      <c r="BQ252" s="67">
        <f>IFERROR(IF(($BH252)&gt;0,($BK252)/($BH252),""),"")</f>
        <v/>
      </c>
      <c r="BR252" s="67">
        <f>IFERROR(IF(($BI252)&gt;0,($BL252)/($BI252),""),"")</f>
        <v/>
      </c>
      <c r="BS252" s="67">
        <f>IFERROR(IF(($BJ252)&gt;0,($BM252)/($BJ252),""),"")</f>
        <v/>
      </c>
      <c r="BT252" s="67">
        <f>IFERROR(IF(($BK252)&gt;0,($BN252)/($BK252),""),"")</f>
        <v/>
      </c>
      <c r="BU252" s="67">
        <f>IFERROR(IF(($BL252)&gt;0,($BO252)/($BL252),""),"")</f>
        <v/>
      </c>
      <c r="BV252" s="67">
        <f>IFERROR(IF(($BM252)&gt;0,($BP252)/($BM252),""),"")</f>
        <v/>
      </c>
      <c r="BW252" s="57">
        <f>SUMIFS(tblFleet[Calendar_h],tblFleet[Date],$A252,tblFleet[Equipment_Class],"Haul Truck")</f>
        <v/>
      </c>
      <c r="BX252" s="57">
        <f>IF($B252=$B251,$BX251,0)+$BW252</f>
        <v/>
      </c>
      <c r="BY252" s="57">
        <f>$BY251+$BW252</f>
        <v/>
      </c>
      <c r="BZ252" s="57">
        <f>SUMIFS(tblFleet[Available_h],tblFleet[Date],$A252,tblFleet[Equipment_Class],"Haul Truck")</f>
        <v/>
      </c>
      <c r="CA252" s="57">
        <f>IF($B252=$B251,$CA251,0)+$BZ252</f>
        <v/>
      </c>
      <c r="CB252" s="57">
        <f>$CB251+$BZ252</f>
        <v/>
      </c>
      <c r="CC252" s="57">
        <f>SUMIFS(tblFleet[Operating_h],tblFleet[Date],$A252,tblFleet[Equipment_Class],"Haul Truck")</f>
        <v/>
      </c>
      <c r="CD252" s="57">
        <f>IF($B252=$B251,$CD251,0)+$CC252</f>
        <v/>
      </c>
      <c r="CE252" s="57">
        <f>$CE251+$CC252</f>
        <v/>
      </c>
      <c r="CF252" s="67">
        <f>IFERROR(IF(($BW252)&gt;0,($BZ252)/($BW252),""),"")</f>
        <v/>
      </c>
      <c r="CG252" s="67">
        <f>IFERROR(IF(($BX252)&gt;0,($CA252)/($BX252),""),"")</f>
        <v/>
      </c>
      <c r="CH252" s="67">
        <f>IFERROR(IF(($BY252)&gt;0,($CB252)/($BY252),""),"")</f>
        <v/>
      </c>
      <c r="CI252" s="67">
        <f>IFERROR(IF(($BZ252)&gt;0,($CC252)/($BZ252),""),"")</f>
        <v/>
      </c>
      <c r="CJ252" s="67">
        <f>IFERROR(IF(($CA252)&gt;0,($CD252)/($CA252),""),"")</f>
        <v/>
      </c>
      <c r="CK252" s="67">
        <f>IFERROR(IF(($CB252)&gt;0,($CE252)/($CB252),""),"")</f>
        <v/>
      </c>
      <c r="CL252" s="55">
        <f>IFERROR(IF(($BN252)&gt;0,($X252+$AD252)/($BN252),""),"")</f>
        <v/>
      </c>
      <c r="CM252" s="55">
        <f>IFERROR(IF(($BO252)&gt;0,($Y252+$AE252)/($BO252),""),"")</f>
        <v/>
      </c>
      <c r="CN252" s="55">
        <f>IFERROR(IF(($BP252)&gt;0,($Z252+$AF252)/($BP252),""),"")</f>
        <v/>
      </c>
      <c r="CO252" s="55">
        <f>IFERROR(IF(($CC252)&gt;0,($X252+$AD252)/($CC252),""),"")</f>
        <v/>
      </c>
      <c r="CP252" s="55">
        <f>IFERROR(IF(($CD252)&gt;0,($Y252+$AE252)/($CD252),""),"")</f>
        <v/>
      </c>
      <c r="CQ252" s="55">
        <f>IFERROR(IF(($CE252)&gt;0,($Z252+$AF252)/($CE252),""),"")</f>
        <v/>
      </c>
      <c r="CR252" s="55">
        <f>SUMIFS(tblPlant[Crushed_t],tblPlant[Date],$A252)</f>
        <v/>
      </c>
      <c r="CS252" s="55">
        <f>IF($B252=$B251,$CS251,0)+$CR252</f>
        <v/>
      </c>
      <c r="CT252" s="55">
        <f>$CT251+$CR252</f>
        <v/>
      </c>
      <c r="CU252" s="55">
        <f>SUMIFS(tblPlant[Milled_t],tblPlant[Date],$A252)</f>
        <v/>
      </c>
      <c r="CV252" s="55">
        <f>IF($B252=$B251,$CV251,0)+$CU252</f>
        <v/>
      </c>
      <c r="CW252" s="55">
        <f>$CW251+$CU252</f>
        <v/>
      </c>
      <c r="CX252" s="55">
        <f>SUMIFS(tblPlant[Feed_oz],tblPlant[Date],$A252)</f>
        <v/>
      </c>
      <c r="CY252" s="55">
        <f>IF($B252=$B251,$CY251,0)+$CX252</f>
        <v/>
      </c>
      <c r="CZ252" s="55">
        <f>$CZ251+$CX252</f>
        <v/>
      </c>
      <c r="DA252" s="55">
        <f>SUMIFS(tblPlant[Tails_oz],tblPlant[Date],$A252)</f>
        <v/>
      </c>
      <c r="DB252" s="55">
        <f>IF($B252=$B251,$DB251,0)+$DA252</f>
        <v/>
      </c>
      <c r="DC252" s="55">
        <f>$DC251+$DA252</f>
        <v/>
      </c>
      <c r="DD252" s="55">
        <f>SUMIFS(tblPlant[Recovered_oz],tblPlant[Date],$A252)</f>
        <v/>
      </c>
      <c r="DE252" s="55">
        <f>IF($B252=$B251,$DE251,0)+$DD252</f>
        <v/>
      </c>
      <c r="DF252" s="55">
        <f>$DF251+$DD252</f>
        <v/>
      </c>
      <c r="DG252" s="55">
        <f>SUMIFS(tblPlant[Milled_t],tblPlant[Date],$A252,tblPlant[Head_Grade_gpt],"&lt;&gt;")</f>
        <v/>
      </c>
      <c r="DH252" s="55">
        <f>IF($B252=$B251,$DH251,0)+$DG252</f>
        <v/>
      </c>
      <c r="DI252" s="55">
        <f>$DI251+$DG252</f>
        <v/>
      </c>
      <c r="DJ252" s="55">
        <f>SUMIFS(tblPlant[Milled_t],tblPlant[Date],$A252,tblPlant[Tails_Grade_gpt],"&lt;&gt;")</f>
        <v/>
      </c>
      <c r="DK252" s="55">
        <f>IF($B252=$B251,$DK251,0)+$DJ252</f>
        <v/>
      </c>
      <c r="DL252" s="55">
        <f>$DL251+$DJ252</f>
        <v/>
      </c>
      <c r="DM252" s="55">
        <f>SUMIFS(tblPlant[Feed_oz],tblPlant[Date],$A252,tblPlant[Tails_Grade_gpt],"&lt;&gt;")</f>
        <v/>
      </c>
      <c r="DN252" s="55">
        <f>IF($B252=$B251,$DN251,0)+$DM252</f>
        <v/>
      </c>
      <c r="DO252" s="55">
        <f>$DO251+$DM252</f>
        <v/>
      </c>
      <c r="DP252" s="55">
        <f>SUMIFS(tblPlant[Milled_t],tblPlant[Date],$A252,tblPlant[Mill_Run_h],"&lt;&gt;")</f>
        <v/>
      </c>
      <c r="DQ252" s="55">
        <f>IF($B252=$B251,$DQ251,0)+$DP252</f>
        <v/>
      </c>
      <c r="DR252" s="55">
        <f>$DR251+$DP252</f>
        <v/>
      </c>
      <c r="DS252" s="56">
        <f>IFERROR(IF(($DG252)&gt;0,($CX252*cfg_TroyOz)/($DG252),""),"")</f>
        <v/>
      </c>
      <c r="DT252" s="56">
        <f>IFERROR(IF(($DH252)&gt;0,($CY252*cfg_TroyOz)/($DH252),""),"")</f>
        <v/>
      </c>
      <c r="DU252" s="56">
        <f>IFERROR(IF(($DI252)&gt;0,($CZ252*cfg_TroyOz)/($DI252),""),"")</f>
        <v/>
      </c>
      <c r="DV252" s="56">
        <f>IFERROR(IF(($DJ252)&gt;0,($DA252*cfg_TroyOz)/($DJ252),""),"")</f>
        <v/>
      </c>
      <c r="DW252" s="56">
        <f>IFERROR(IF(($DK252)&gt;0,($DB252*cfg_TroyOz)/($DK252),""),"")</f>
        <v/>
      </c>
      <c r="DX252" s="56">
        <f>IFERROR(IF(($DL252)&gt;0,($DC252*cfg_TroyOz)/($DL252),""),"")</f>
        <v/>
      </c>
      <c r="DY252" s="67">
        <f>IFERROR(IF(($DM252)&gt;0,($DD252)/($DM252),""),"")</f>
        <v/>
      </c>
      <c r="DZ252" s="67">
        <f>IFERROR(IF(($DN252)&gt;0,($DE252)/($DN252),""),"")</f>
        <v/>
      </c>
      <c r="EA252" s="67">
        <f>IFERROR(IF(($DO252)&gt;0,($DF252)/($DO252),""),"")</f>
        <v/>
      </c>
      <c r="EB252" s="55">
        <f>SUMIFS(tblPlant[Gravity_Gold_oz],tblPlant[Date],$A252)</f>
        <v/>
      </c>
      <c r="EC252" s="55">
        <f>IF($B252=$B251,$EC251,0)+$EB252</f>
        <v/>
      </c>
      <c r="ED252" s="55">
        <f>$ED251+$EB252</f>
        <v/>
      </c>
      <c r="EE252" s="67">
        <f>IFERROR(IF(($DD252)&gt;0,($EB252)/($DD252),""),"")</f>
        <v/>
      </c>
      <c r="EF252" s="67">
        <f>IFERROR(IF(($DE252)&gt;0,($EC252)/($DE252),""),"")</f>
        <v/>
      </c>
      <c r="EG252" s="67">
        <f>IFERROR(IF(($DF252)&gt;0,($ED252)/($DF252),""),"")</f>
        <v/>
      </c>
      <c r="EH252" s="55">
        <f>SUMIFS(tblPlant[Gold_Poured_oz],tblPlant[Date],$A252)</f>
        <v/>
      </c>
      <c r="EI252" s="55">
        <f>IF($B252=$B251,$EI251,0)+$EH252</f>
        <v/>
      </c>
      <c r="EJ252" s="55">
        <f>$EJ251+$EH252</f>
        <v/>
      </c>
      <c r="EK252" s="57">
        <f>SUMIFS(tblPlant[Mill_Run_h],tblPlant[Date],$A252)</f>
        <v/>
      </c>
      <c r="EL252" s="57">
        <f>IF($B252=$B251,$EL251,0)+$EK252</f>
        <v/>
      </c>
      <c r="EM252" s="57">
        <f>$EM251+$EK252</f>
        <v/>
      </c>
      <c r="EN252" s="57">
        <f>SUMIFS(tblPlant[Mill_Planned_Maint_h],tblPlant[Date],$A252)</f>
        <v/>
      </c>
      <c r="EO252" s="57">
        <f>IF($B252=$B251,$EO251,0)+$EN252</f>
        <v/>
      </c>
      <c r="EP252" s="57">
        <f>$EP251+$EN252</f>
        <v/>
      </c>
      <c r="EQ252" s="57">
        <f>SUMIFS(tblPlant[Mill_Unplanned_Down_h],tblPlant[Date],$A252)</f>
        <v/>
      </c>
      <c r="ER252" s="57">
        <f>IF($B252=$B251,$ER251,0)+$EQ252</f>
        <v/>
      </c>
      <c r="ES252" s="57">
        <f>$ES251+$EQ252</f>
        <v/>
      </c>
      <c r="ET252" s="57">
        <f>IF(COUNTIFS(tblPlant[Date],$A252,tblPlant[Mill_Run_h],"&lt;&gt;")+COUNTIFS(tblPlant[Date],$A252,tblPlant[Mill_Planned_Maint_h],"&lt;&gt;")+COUNTIFS(tblPlant[Date],$A252,tblPlant[Mill_Unplanned_Down_h],"&lt;&gt;")&gt;0,cfg_HoursPerDay,0)</f>
        <v/>
      </c>
      <c r="EU252" s="57">
        <f>IF($B252=$B251,$EU251,0)+$ET252</f>
        <v/>
      </c>
      <c r="EV252" s="57">
        <f>$EV251+$ET252</f>
        <v/>
      </c>
      <c r="EW252" s="57">
        <f>SUMIFS(tblPlant[Crusher_Run_h],tblPlant[Date],$A252)</f>
        <v/>
      </c>
      <c r="EX252" s="57">
        <f>IF($B252=$B251,$EX251,0)+$EW252</f>
        <v/>
      </c>
      <c r="EY252" s="57">
        <f>$EY251+$EW252</f>
        <v/>
      </c>
      <c r="EZ252" s="55">
        <f>IFERROR(IF(($EK252)&gt;0,($DP252)/($EK252),""),"")</f>
        <v/>
      </c>
      <c r="FA252" s="55">
        <f>IFERROR(IF(($EL252)&gt;0,($DQ252)/($EL252),""),"")</f>
        <v/>
      </c>
      <c r="FB252" s="55">
        <f>IFERROR(IF(($EM252)&gt;0,($DR252)/($EM252),""),"")</f>
        <v/>
      </c>
      <c r="FC252" s="67">
        <f>IFERROR(IF(($ET252)&gt;0,($ET252-$EN252-$EQ252)/($ET252),""),"")</f>
        <v/>
      </c>
      <c r="FD252" s="67">
        <f>IFERROR(IF(($EU252)&gt;0,($EU252-$EO252-$ER252)/($EU252),""),"")</f>
        <v/>
      </c>
      <c r="FE252" s="67">
        <f>IFERROR(IF(($EV252)&gt;0,($EV252-$EP252-$ES252)/($EV252),""),"")</f>
        <v/>
      </c>
      <c r="FF252" s="67">
        <f>IFERROR(IF(($ET252-$EN252-$EQ252)&gt;0,($EK252)/($ET252-$EN252-$EQ252),""),"")</f>
        <v/>
      </c>
      <c r="FG252" s="67">
        <f>IFERROR(IF(($EU252-$EO252-$ER252)&gt;0,($EL252)/($EU252-$EO252-$ER252),""),"")</f>
        <v/>
      </c>
      <c r="FH252" s="67">
        <f>IFERROR(IF(($EV252-$EP252-$ES252)&gt;0,($EM252)/($EV252-$EP252-$ES252),""),"")</f>
        <v/>
      </c>
      <c r="FI252" s="55">
        <f>SUMIFS(tblPlant[Cyanide_kg],tblPlant[Date],$A252)</f>
        <v/>
      </c>
      <c r="FJ252" s="55">
        <f>IF($B252=$B251,$FJ251,0)+$FI252</f>
        <v/>
      </c>
      <c r="FK252" s="55">
        <f>$FK251+$FI252</f>
        <v/>
      </c>
      <c r="FL252" s="55">
        <f>SUMIFS(tblPlant[Lime_kg],tblPlant[Date],$A252)</f>
        <v/>
      </c>
      <c r="FM252" s="55">
        <f>IF($B252=$B251,$FM251,0)+$FL252</f>
        <v/>
      </c>
      <c r="FN252" s="55">
        <f>$FN251+$FL252</f>
        <v/>
      </c>
      <c r="FO252" s="55">
        <f>SUMIFS(tblPlant[Grinding_Media_kg],tblPlant[Date],$A252)</f>
        <v/>
      </c>
      <c r="FP252" s="55">
        <f>IF($B252=$B251,$FP251,0)+$FO252</f>
        <v/>
      </c>
      <c r="FQ252" s="55">
        <f>$FQ251+$FO252</f>
        <v/>
      </c>
      <c r="FR252" s="55">
        <f>SUMIFS(tblPlant[Power_kWh],tblPlant[Date],$A252)</f>
        <v/>
      </c>
      <c r="FS252" s="55">
        <f>IF($B252=$B251,$FS251,0)+$FR252</f>
        <v/>
      </c>
      <c r="FT252" s="55">
        <f>$FT251+$FR252</f>
        <v/>
      </c>
      <c r="FU252" s="55">
        <f>SUMIFS(tblPlant[Raw_Water_m3],tblPlant[Date],$A252)</f>
        <v/>
      </c>
      <c r="FV252" s="55">
        <f>IF($B252=$B251,$FV251,0)+$FU252</f>
        <v/>
      </c>
      <c r="FW252" s="55">
        <f>$FW251+$FU252</f>
        <v/>
      </c>
      <c r="FX252" s="56">
        <f>IFERROR(IF(($CU252)&gt;0,($FI252)/($CU252),""),"")</f>
        <v/>
      </c>
      <c r="FY252" s="56">
        <f>IFERROR(IF(($CV252)&gt;0,($FJ252)/($CV252),""),"")</f>
        <v/>
      </c>
      <c r="FZ252" s="56">
        <f>IFERROR(IF(($CW252)&gt;0,($FK252)/($CW252),""),"")</f>
        <v/>
      </c>
      <c r="GA252" s="56">
        <f>IFERROR(IF(($CU252)&gt;0,($FL252)/($CU252),""),"")</f>
        <v/>
      </c>
      <c r="GB252" s="56">
        <f>IFERROR(IF(($CV252)&gt;0,($FM252)/($CV252),""),"")</f>
        <v/>
      </c>
      <c r="GC252" s="56">
        <f>IFERROR(IF(($CW252)&gt;0,($FN252)/($CW252),""),"")</f>
        <v/>
      </c>
      <c r="GD252" s="56">
        <f>IFERROR(IF(($CU252)&gt;0,($FO252)/($CU252),""),"")</f>
        <v/>
      </c>
      <c r="GE252" s="56">
        <f>IFERROR(IF(($CV252)&gt;0,($FP252)/($CV252),""),"")</f>
        <v/>
      </c>
      <c r="GF252" s="56">
        <f>IFERROR(IF(($CW252)&gt;0,($FQ252)/($CW252),""),"")</f>
        <v/>
      </c>
      <c r="GG252" s="79">
        <f>IFERROR(IF(($CU252)&gt;0,($FR252)/($CU252),""),"")</f>
        <v/>
      </c>
      <c r="GH252" s="79">
        <f>IFERROR(IF(($CV252)&gt;0,($FS252)/($CV252),""),"")</f>
        <v/>
      </c>
      <c r="GI252" s="79">
        <f>IFERROR(IF(($CW252)&gt;0,($FT252)/($CW252),""),"")</f>
        <v/>
      </c>
      <c r="GJ252" s="56">
        <f>IFERROR(IF(($CU252)&gt;0,($FU252)/($CU252),""),"")</f>
        <v/>
      </c>
      <c r="GK252" s="56">
        <f>IFERROR(IF(($CV252)&gt;0,($FV252)/($CV252),""),"")</f>
        <v/>
      </c>
      <c r="GL252" s="56">
        <f>IFERROR(IF(($CW252)&gt;0,($FW252)/($CW252),""),"")</f>
        <v/>
      </c>
      <c r="GM252" s="55">
        <f>IF(SUMIFS(tblPlant[GIC_oz],tblPlant[Date],$A252)&gt;0,SUMIFS(tblPlant[GIC_oz],tblPlant[Date],$A252),"")</f>
        <v/>
      </c>
      <c r="GN252" s="55">
        <f>SUMIFS(tblGold[Gold_oz],tblGold[Date],$A252,tblGold[Type],"Shipment")</f>
        <v/>
      </c>
      <c r="GO252" s="55">
        <f>IF($B252=$B251,$GO251,0)+$GN252</f>
        <v/>
      </c>
      <c r="GP252" s="55">
        <f>$GP251+$GN252</f>
        <v/>
      </c>
      <c r="GQ252" s="55">
        <f>SUMIFS(tblGold[Gold_oz],tblGold[Date],$A252,tblGold[Type],"Sale")</f>
        <v/>
      </c>
      <c r="GR252" s="55">
        <f>IF($B252=$B251,$GR251,0)+$GQ252</f>
        <v/>
      </c>
      <c r="GS252" s="55">
        <f>$GS251+$GQ252</f>
        <v/>
      </c>
      <c r="GT252" s="55">
        <f>SUMIFS(tblGold[Dore_kg],tblGold[Date],$A252,tblGold[Type],"Shipment")</f>
        <v/>
      </c>
      <c r="GU252" s="55">
        <f>IF($B252=$B251,$GU251,0)+$GT252</f>
        <v/>
      </c>
      <c r="GV252" s="55">
        <f>$GV251+$GT252</f>
        <v/>
      </c>
      <c r="GW252" s="57">
        <f>SUMIFS(tblSafety[Hours_Total],tblSafety[Date],$A252)</f>
        <v/>
      </c>
      <c r="GX252" s="57">
        <f>IF($B252=$B251,$GX251,0)+$GW252</f>
        <v/>
      </c>
      <c r="GY252" s="57">
        <f>$GY251+$GW252</f>
        <v/>
      </c>
      <c r="GZ252" s="62">
        <f>SUMIFS(tblSafety[Fatality],tblSafety[Date],$A252)</f>
        <v/>
      </c>
      <c r="HA252" s="62">
        <f>IF($B252=$B251,$HA251,0)+$GZ252</f>
        <v/>
      </c>
      <c r="HB252" s="62">
        <f>$HB251+$GZ252</f>
        <v/>
      </c>
      <c r="HC252" s="62">
        <f>SUMIFS(tblSafety[LTI],tblSafety[Date],$A252)</f>
        <v/>
      </c>
      <c r="HD252" s="62">
        <f>IF($B252=$B251,$HD251,0)+$HC252</f>
        <v/>
      </c>
      <c r="HE252" s="62">
        <f>$HE251+$HC252</f>
        <v/>
      </c>
      <c r="HF252" s="62">
        <f>SUMIFS(tblSafety[RWI],tblSafety[Date],$A252)</f>
        <v/>
      </c>
      <c r="HG252" s="62">
        <f>IF($B252=$B251,$HG251,0)+$HF252</f>
        <v/>
      </c>
      <c r="HH252" s="62">
        <f>$HH251+$HF252</f>
        <v/>
      </c>
      <c r="HI252" s="62">
        <f>SUMIFS(tblSafety[MTI],tblSafety[Date],$A252)</f>
        <v/>
      </c>
      <c r="HJ252" s="62">
        <f>IF($B252=$B251,$HJ251,0)+$HI252</f>
        <v/>
      </c>
      <c r="HK252" s="62">
        <f>$HK251+$HI252</f>
        <v/>
      </c>
      <c r="HL252" s="62">
        <f>SUMIFS(tblSafety[FAI],tblSafety[Date],$A252)</f>
        <v/>
      </c>
      <c r="HM252" s="62">
        <f>IF($B252=$B251,$HM251,0)+$HL252</f>
        <v/>
      </c>
      <c r="HN252" s="62">
        <f>$HN251+$HL252</f>
        <v/>
      </c>
      <c r="HO252" s="62">
        <f>SUMIFS(tblSafety[Recordables],tblSafety[Date],$A252)</f>
        <v/>
      </c>
      <c r="HP252" s="62">
        <f>IF($B252=$B251,$HP251,0)+$HO252</f>
        <v/>
      </c>
      <c r="HQ252" s="62">
        <f>$HQ251+$HO252</f>
        <v/>
      </c>
      <c r="HR252" s="62">
        <f>SUMIFS(tblSafety[Near_Miss],tblSafety[Date],$A252)</f>
        <v/>
      </c>
      <c r="HS252" s="62">
        <f>IF($B252=$B251,$HS251,0)+$HR252</f>
        <v/>
      </c>
      <c r="HT252" s="62">
        <f>$HT251+$HR252</f>
        <v/>
      </c>
      <c r="HU252" s="62">
        <f>SUMIFS(tblSafety[Hazard_Reports],tblSafety[Date],$A252)</f>
        <v/>
      </c>
      <c r="HV252" s="62">
        <f>IF($B252=$B251,$HV251,0)+$HU252</f>
        <v/>
      </c>
      <c r="HW252" s="62">
        <f>$HW251+$HU252</f>
        <v/>
      </c>
      <c r="HX252" s="62">
        <f>SUMIFS(tblSafety[HPI],tblSafety[Date],$A252)</f>
        <v/>
      </c>
      <c r="HY252" s="62">
        <f>IF($B252=$B251,$HY251,0)+$HX252</f>
        <v/>
      </c>
      <c r="HZ252" s="62">
        <f>$HZ251+$HX252</f>
        <v/>
      </c>
      <c r="IA252" s="62">
        <f>SUMIFS(tblSafety[Env_Incidents],tblSafety[Date],$A252)</f>
        <v/>
      </c>
      <c r="IB252" s="62">
        <f>IF($B252=$B251,$IB251,0)+$IA252</f>
        <v/>
      </c>
      <c r="IC252" s="62">
        <f>$IC251+$IA252</f>
        <v/>
      </c>
      <c r="ID252" s="62">
        <f>SUMIFS(tblSafety[Community_Incidents],tblSafety[Date],$A252)</f>
        <v/>
      </c>
      <c r="IE252" s="62">
        <f>IF($B252=$B251,$IE251,0)+$ID252</f>
        <v/>
      </c>
      <c r="IF252" s="62">
        <f>$IF251+$ID252</f>
        <v/>
      </c>
      <c r="IG252" s="62">
        <f>SUMIFS(tblSafety[Vehicle_Incidents],tblSafety[Date],$A252)</f>
        <v/>
      </c>
      <c r="IH252" s="62">
        <f>IF($B252=$B251,$IH251,0)+$IG252</f>
        <v/>
      </c>
      <c r="II252" s="62">
        <f>$II251+$IG252</f>
        <v/>
      </c>
      <c r="IJ252" s="62">
        <f>SUMIFS(tblSafety[Toolbox_Talks],tblSafety[Date],$A252)</f>
        <v/>
      </c>
      <c r="IK252" s="62">
        <f>IF($B252=$B251,$IK251,0)+$IJ252</f>
        <v/>
      </c>
      <c r="IL252" s="62">
        <f>$IL251+$IJ252</f>
        <v/>
      </c>
      <c r="IM252" s="62">
        <f>SUMIFS(tblSafety[Inspections],tblSafety[Date],$A252)</f>
        <v/>
      </c>
      <c r="IN252" s="62">
        <f>IF($B252=$B251,$IN251,0)+$IM252</f>
        <v/>
      </c>
      <c r="IO252" s="62">
        <f>$IO251+$IM252</f>
        <v/>
      </c>
      <c r="IP252" s="56">
        <f>IFERROR((SUMIFS(tblSafety[Recordables],tblSafety[Date],"&gt;="&amp;EDATE($E252,-12),tblSafety[Date],"&lt;="&amp;$A252)+SUMIFS(tblSafetyHistory[Recordables],tblSafetyHistory[Month],"&gt;="&amp;EDATE($E252,-12),tblSafetyHistory[Month],"&lt;"&amp;$E252,tblSafetyHistory[Use],1))/(SUMIFS(tblSafety[Hours_Total],tblSafety[Date],"&gt;="&amp;EDATE($E252,-12),tblSafety[Date],"&lt;="&amp;$A252)+SUMIFS(tblSafetyHistory[Hours_Total],tblSafetyHistory[Month],"&gt;="&amp;EDATE($E252,-12),tblSafetyHistory[Month],"&lt;"&amp;$E252,tblSafetyHistory[Use],1))*cfg_RateBasisHours,"")</f>
        <v/>
      </c>
      <c r="IQ252" s="56">
        <f>IFERROR((SUMIFS(tblSafety[LTI],tblSafety[Date],"&gt;="&amp;EDATE($E252,-12),tblSafety[Date],"&lt;="&amp;$A252)+SUMIFS(tblSafetyHistory[LTI],tblSafetyHistory[Month],"&gt;="&amp;EDATE($E252,-12),tblSafetyHistory[Month],"&lt;"&amp;$E252,tblSafetyHistory[Use],1))/(SUMIFS(tblSafety[Hours_Total],tblSafety[Date],"&gt;="&amp;EDATE($E252,-12),tblSafety[Date],"&lt;="&amp;$A252)+SUMIFS(tblSafetyHistory[Hours_Total],tblSafetyHistory[Month],"&gt;="&amp;EDATE($E252,-12),tblSafetyHistory[Month],"&lt;"&amp;$E252,tblSafetyHistory[Use],1))*cfg_RateBasisHours,"")</f>
        <v/>
      </c>
      <c r="IR252" s="62">
        <f>IF(MAX(N(cfg_PriorLTIDate),_xlfn.MAXIFS(tblSafety[Date],tblSafety[LTI],"&gt;0",tblSafety[Date],"&lt;="&amp;$A252))=0,"",$A252-MAX(N(cfg_PriorLTIDate),_xlfn.MAXIFS(tblSafety[Date],tblSafety[LTI],"&gt;0",tblSafety[Date],"&lt;="&amp;$A252)))</f>
        <v/>
      </c>
      <c r="IS252" s="55">
        <f>SUMIFS(tblBudget[Ore_Mined_t],tblBudget[Month],$E252)</f>
        <v/>
      </c>
      <c r="IT252" s="55">
        <f>$IS252*$C252/$D252</f>
        <v/>
      </c>
      <c r="IU252" s="55">
        <f>SUMIFS(tblBudget[Ore_Mined_t],tblBudget[Month],"&lt;"&amp;$E252)+$IT252</f>
        <v/>
      </c>
      <c r="IV252" s="55">
        <f>SUMIFS(tblBudget[Ore_oz],tblBudget[Month],$E252)</f>
        <v/>
      </c>
      <c r="IW252" s="55">
        <f>$IV252*$C252/$D252</f>
        <v/>
      </c>
      <c r="IX252" s="55">
        <f>SUMIFS(tblBudget[Ore_oz],tblBudget[Month],"&lt;"&amp;$E252)+$IW252</f>
        <v/>
      </c>
      <c r="IY252" s="55">
        <f>SUMIFS(tblBudget[Ore_Mined_t],tblBudget[Month],$E252)</f>
        <v/>
      </c>
      <c r="IZ252" s="55">
        <f>$IY252*$C252/$D252</f>
        <v/>
      </c>
      <c r="JA252" s="55">
        <f>SUMIFS(tblBudget[Ore_Mined_t],tblBudget[Month],"&lt;"&amp;$E252)+$IZ252</f>
        <v/>
      </c>
      <c r="JB252" s="56">
        <f>IFERROR(IF(($IY252)&gt;0,($IV252*cfg_TroyOz)/($IY252),""),"")</f>
        <v/>
      </c>
      <c r="JC252" s="56">
        <f>IFERROR(IF(($IZ252)&gt;0,($IW252*cfg_TroyOz)/($IZ252),""),"")</f>
        <v/>
      </c>
      <c r="JD252" s="56">
        <f>IFERROR(IF(($JA252)&gt;0,($IX252*cfg_TroyOz)/($JA252),""),"")</f>
        <v/>
      </c>
      <c r="JE252" s="55">
        <f>SUMIFS(tblBudget[Waste_t],tblBudget[Month],$E252)</f>
        <v/>
      </c>
      <c r="JF252" s="55">
        <f>$JE252*$C252/$D252</f>
        <v/>
      </c>
      <c r="JG252" s="55">
        <f>SUMIFS(tblBudget[Waste_t],tblBudget[Month],"&lt;"&amp;$E252)+$JF252</f>
        <v/>
      </c>
      <c r="JH252" s="55">
        <f>SUMIFS(tblBudget[TMM_t],tblBudget[Month],$E252)</f>
        <v/>
      </c>
      <c r="JI252" s="55">
        <f>$JH252*$C252/$D252</f>
        <v/>
      </c>
      <c r="JJ252" s="55">
        <f>SUMIFS(tblBudget[TMM_t],tblBudget[Month],"&lt;"&amp;$E252)+$JI252</f>
        <v/>
      </c>
      <c r="JK252" s="56">
        <f>IFERROR(IF(($IS252)&gt;0,($JE252)/($IS252),""),"")</f>
        <v/>
      </c>
      <c r="JL252" s="56">
        <f>IFERROR(IF(($IT252)&gt;0,($JF252)/($IT252),""),"")</f>
        <v/>
      </c>
      <c r="JM252" s="56">
        <f>IFERROR(IF(($IU252)&gt;0,($JG252)/($IU252),""),"")</f>
        <v/>
      </c>
      <c r="JN252" s="55">
        <f>SUMIFS(tblBudget[Drill_m],tblBudget[Month],$E252)</f>
        <v/>
      </c>
      <c r="JO252" s="55">
        <f>$JN252*$C252/$D252</f>
        <v/>
      </c>
      <c r="JP252" s="55">
        <f>SUMIFS(tblBudget[Drill_m],tblBudget[Month],"&lt;"&amp;$E252)+$JO252</f>
        <v/>
      </c>
      <c r="JQ252" s="55">
        <f>SUMIFS(tblBudget[Diesel_L],tblBudget[Month],$E252)</f>
        <v/>
      </c>
      <c r="JR252" s="55">
        <f>$JQ252*$C252/$D252</f>
        <v/>
      </c>
      <c r="JS252" s="55">
        <f>SUMIFS(tblBudget[Diesel_L],tblBudget[Month],"&lt;"&amp;$E252)+$JR252</f>
        <v/>
      </c>
      <c r="JT252" s="55">
        <f>SUMIFS(tblBudget[Milled_t],tblBudget[Month],$E252)</f>
        <v/>
      </c>
      <c r="JU252" s="55">
        <f>$JT252*$C252/$D252</f>
        <v/>
      </c>
      <c r="JV252" s="55">
        <f>SUMIFS(tblBudget[Milled_t],tblBudget[Month],"&lt;"&amp;$E252)+$JU252</f>
        <v/>
      </c>
      <c r="JW252" s="55">
        <f>SUMIFS(tblBudget[Feed_oz],tblBudget[Month],$E252)</f>
        <v/>
      </c>
      <c r="JX252" s="55">
        <f>$JW252*$C252/$D252</f>
        <v/>
      </c>
      <c r="JY252" s="55">
        <f>SUMIFS(tblBudget[Feed_oz],tblBudget[Month],"&lt;"&amp;$E252)+$JX252</f>
        <v/>
      </c>
      <c r="JZ252" s="55">
        <f>SUMIFS(tblBudget[Recovered_oz],tblBudget[Month],$E252)</f>
        <v/>
      </c>
      <c r="KA252" s="55">
        <f>$JZ252*$C252/$D252</f>
        <v/>
      </c>
      <c r="KB252" s="55">
        <f>SUMIFS(tblBudget[Recovered_oz],tblBudget[Month],"&lt;"&amp;$E252)+$KA252</f>
        <v/>
      </c>
      <c r="KC252" s="55">
        <f>SUMIFS(tblBudget[Milled_t],tblBudget[Month],$E252)</f>
        <v/>
      </c>
      <c r="KD252" s="55">
        <f>$KC252*$C252/$D252</f>
        <v/>
      </c>
      <c r="KE252" s="55">
        <f>SUMIFS(tblBudget[Milled_t],tblBudget[Month],"&lt;"&amp;$E252)+$KD252</f>
        <v/>
      </c>
      <c r="KF252" s="55">
        <f>SUMIFS(tblBudget[Feed_oz],tblBudget[Month],$E252)</f>
        <v/>
      </c>
      <c r="KG252" s="55">
        <f>$KF252*$C252/$D252</f>
        <v/>
      </c>
      <c r="KH252" s="55">
        <f>SUMIFS(tblBudget[Feed_oz],tblBudget[Month],"&lt;"&amp;$E252)+$KG252</f>
        <v/>
      </c>
      <c r="KI252" s="56">
        <f>IFERROR(IF(($KC252)&gt;0,($JW252*cfg_TroyOz)/($KC252),""),"")</f>
        <v/>
      </c>
      <c r="KJ252" s="56">
        <f>IFERROR(IF(($KD252)&gt;0,($JX252*cfg_TroyOz)/($KD252),""),"")</f>
        <v/>
      </c>
      <c r="KK252" s="56">
        <f>IFERROR(IF(($KE252)&gt;0,($JY252*cfg_TroyOz)/($KE252),""),"")</f>
        <v/>
      </c>
      <c r="KL252" s="67">
        <f>IFERROR(IF(($KF252)&gt;0,($JZ252)/($KF252),""),"")</f>
        <v/>
      </c>
      <c r="KM252" s="67">
        <f>IFERROR(IF(($KG252)&gt;0,($KA252)/($KG252),""),"")</f>
        <v/>
      </c>
      <c r="KN252" s="67">
        <f>IFERROR(IF(($KH252)&gt;0,($KB252)/($KH252),""),"")</f>
        <v/>
      </c>
      <c r="KO252" s="55">
        <f>SUMIFS(tblBudget[Gold_Poured_oz],tblBudget[Month],$E252)</f>
        <v/>
      </c>
      <c r="KP252" s="55">
        <f>$KO252*$C252/$D252</f>
        <v/>
      </c>
      <c r="KQ252" s="55">
        <f>SUMIFS(tblBudget[Gold_Poured_oz],tblBudget[Month],"&lt;"&amp;$E252)+$KP252</f>
        <v/>
      </c>
      <c r="KR252" s="57">
        <f>SUMIFS(tblBudget[Hours_Worked],tblBudget[Month],$E252)</f>
        <v/>
      </c>
      <c r="KS252" s="57">
        <f>$KR252*$C252/$D252</f>
        <v/>
      </c>
      <c r="KT252" s="57">
        <f>SUMIFS(tblBudget[Hours_Worked],tblBudget[Month],"&lt;"&amp;$E252)+$KS252</f>
        <v/>
      </c>
    </row>
    <row r="253">
      <c r="A253" s="54" t="n">
        <v>46274</v>
      </c>
      <c r="B253">
        <f>MONTH($A253)</f>
        <v/>
      </c>
      <c r="C253">
        <f>DAY($A253)</f>
        <v/>
      </c>
      <c r="D253">
        <f>DAY(EOMONTH($A253,0))</f>
        <v/>
      </c>
      <c r="E253" s="54">
        <f>DATE(YEAR($A253),MONTH($A253),1)</f>
        <v/>
      </c>
      <c r="F253" s="55">
        <f>SUMIFS(tblMovement[Tonnes_t],tblMovement[Date],$A253,tblMovement[Is_Ore],1,tblMovement[Source_Type],"Pit")</f>
        <v/>
      </c>
      <c r="G253" s="55">
        <f>IF($B253=$B252,$G252,0)+$F253</f>
        <v/>
      </c>
      <c r="H253" s="55">
        <f>$H252+$F253</f>
        <v/>
      </c>
      <c r="I253" s="55">
        <f>SUMIFS(tblMovement[Ore_oz],tblMovement[Date],$A253,tblMovement[Source_Type],"Pit")</f>
        <v/>
      </c>
      <c r="J253" s="55">
        <f>IF($B253=$B252,$J252,0)+$I253</f>
        <v/>
      </c>
      <c r="K253" s="55">
        <f>$K252+$I253</f>
        <v/>
      </c>
      <c r="L253" s="55">
        <f>SUMIFS(tblMovement[Tonnes_t],tblMovement[Date],$A253,tblMovement[Is_Ore],1,tblMovement[Source_Type],"Pit",tblMovement[Grade_gpt],"&lt;&gt;")</f>
        <v/>
      </c>
      <c r="M253" s="55">
        <f>IF($B253=$B252,$M252,0)+$L253</f>
        <v/>
      </c>
      <c r="N253" s="55">
        <f>$N252+$L253</f>
        <v/>
      </c>
      <c r="O253" s="56">
        <f>IFERROR(IF(($L253)&gt;0,($I253*cfg_TroyOz)/($L253),""),"")</f>
        <v/>
      </c>
      <c r="P253" s="56">
        <f>IFERROR(IF(($M253)&gt;0,($J253*cfg_TroyOz)/($M253),""),"")</f>
        <v/>
      </c>
      <c r="Q253" s="56">
        <f>IFERROR(IF(($N253)&gt;0,($K253*cfg_TroyOz)/($N253),""),"")</f>
        <v/>
      </c>
      <c r="R253" s="55">
        <f>$F253-$L253</f>
        <v/>
      </c>
      <c r="S253" s="55">
        <f>IF($B253=$B252,$S252,0)+$R253</f>
        <v/>
      </c>
      <c r="T253" s="55">
        <f>$T252+$R253</f>
        <v/>
      </c>
      <c r="U253" s="55">
        <f>SUMIFS(tblMovement[Tonnes_t],tblMovement[Date],$A253,tblMovement[Is_Ore],0,tblMovement[Source_Type],"Pit")</f>
        <v/>
      </c>
      <c r="V253" s="55">
        <f>IF($B253=$B252,$V252,0)+$U253</f>
        <v/>
      </c>
      <c r="W253" s="55">
        <f>$W252+$U253</f>
        <v/>
      </c>
      <c r="X253" s="55">
        <f>$F253+$U253</f>
        <v/>
      </c>
      <c r="Y253" s="55">
        <f>IF($B253=$B252,$Y252,0)+$X253</f>
        <v/>
      </c>
      <c r="Z253" s="55">
        <f>$Z252+$X253</f>
        <v/>
      </c>
      <c r="AA253" s="56">
        <f>IFERROR(IF(($F253)&gt;0,($U253)/($F253),""),"")</f>
        <v/>
      </c>
      <c r="AB253" s="56">
        <f>IFERROR(IF(($G253)&gt;0,($V253)/($G253),""),"")</f>
        <v/>
      </c>
      <c r="AC253" s="56">
        <f>IFERROR(IF(($H253)&gt;0,($W253)/($H253),""),"")</f>
        <v/>
      </c>
      <c r="AD253" s="55">
        <f>SUMIFS(tblMovement[Tonnes_t],tblMovement[Date],$A253,tblMovement[Source_Type],"Stockpile")</f>
        <v/>
      </c>
      <c r="AE253" s="55">
        <f>IF($B253=$B252,$AE252,0)+$AD253</f>
        <v/>
      </c>
      <c r="AF253" s="55">
        <f>$AF252+$AD253</f>
        <v/>
      </c>
      <c r="AG253" s="55">
        <f>SUMIFS(tblMovement[Tonnes_t],tblMovement[Date],$A253)</f>
        <v/>
      </c>
      <c r="AH253" s="55">
        <f>IF($B253=$B252,$AH252,0)+$AG253</f>
        <v/>
      </c>
      <c r="AI253" s="55">
        <f>$AI252+$AG253</f>
        <v/>
      </c>
      <c r="AJ253" s="55">
        <f>$AG253-$X253-$AD253</f>
        <v/>
      </c>
      <c r="AK253" s="55">
        <f>IF($B253=$B252,$AK252,0)+$AJ253</f>
        <v/>
      </c>
      <c r="AL253" s="55">
        <f>$AL252+$AJ253</f>
        <v/>
      </c>
      <c r="AM253" s="55">
        <f>SUMIFS(tblMiningDaily[Drill_m],tblMiningDaily[Date],$A253)</f>
        <v/>
      </c>
      <c r="AN253" s="55">
        <f>IF($B253=$B252,$AN252,0)+$AM253</f>
        <v/>
      </c>
      <c r="AO253" s="55">
        <f>$AO252+$AM253</f>
        <v/>
      </c>
      <c r="AP253" s="55">
        <f>SUMIFS(tblMiningDaily[GC_Drill_m],tblMiningDaily[Date],$A253)</f>
        <v/>
      </c>
      <c r="AQ253" s="55">
        <f>IF($B253=$B252,$AQ252,0)+$AP253</f>
        <v/>
      </c>
      <c r="AR253" s="55">
        <f>$AR252+$AP253</f>
        <v/>
      </c>
      <c r="AS253" s="55">
        <f>SUMIFS(tblMiningDaily[Blast_t],tblMiningDaily[Date],$A253)</f>
        <v/>
      </c>
      <c r="AT253" s="55">
        <f>IF($B253=$B252,$AT252,0)+$AS253</f>
        <v/>
      </c>
      <c r="AU253" s="55">
        <f>$AU252+$AS253</f>
        <v/>
      </c>
      <c r="AV253" s="55">
        <f>SUMIFS(tblMiningDaily[Explosives_kg],tblMiningDaily[Date],$A253)</f>
        <v/>
      </c>
      <c r="AW253" s="55">
        <f>IF($B253=$B252,$AW252,0)+$AV253</f>
        <v/>
      </c>
      <c r="AX253" s="55">
        <f>$AX252+$AV253</f>
        <v/>
      </c>
      <c r="AY253" s="56">
        <f>IFERROR(IF(($AS253)&gt;0,($AV253)/($AS253),""),"")</f>
        <v/>
      </c>
      <c r="AZ253" s="56">
        <f>IFERROR(IF(($AT253)&gt;0,($AW253)/($AT253),""),"")</f>
        <v/>
      </c>
      <c r="BA253" s="56">
        <f>IFERROR(IF(($AU253)&gt;0,($AX253)/($AU253),""),"")</f>
        <v/>
      </c>
      <c r="BB253" s="55">
        <f>SUMIFS(tblMiningDaily[Diesel_L],tblMiningDaily[Date],$A253)</f>
        <v/>
      </c>
      <c r="BC253" s="55">
        <f>IF($B253=$B252,$BC252,0)+$BB253</f>
        <v/>
      </c>
      <c r="BD253" s="55">
        <f>$BD252+$BB253</f>
        <v/>
      </c>
      <c r="BE253" s="55">
        <f>SUMIFS(tblMiningDaily[Dewatering_m3],tblMiningDaily[Date],$A253)</f>
        <v/>
      </c>
      <c r="BF253" s="55">
        <f>IF($B253=$B252,$BF252,0)+$BE253</f>
        <v/>
      </c>
      <c r="BG253" s="55">
        <f>$BG252+$BE253</f>
        <v/>
      </c>
      <c r="BH253" s="57">
        <f>SUMIFS(tblFleet[Calendar_h],tblFleet[Date],$A253,tblFleet[Equipment_Class],"Excavator")</f>
        <v/>
      </c>
      <c r="BI253" s="57">
        <f>IF($B253=$B252,$BI252,0)+$BH253</f>
        <v/>
      </c>
      <c r="BJ253" s="57">
        <f>$BJ252+$BH253</f>
        <v/>
      </c>
      <c r="BK253" s="57">
        <f>SUMIFS(tblFleet[Available_h],tblFleet[Date],$A253,tblFleet[Equipment_Class],"Excavator")</f>
        <v/>
      </c>
      <c r="BL253" s="57">
        <f>IF($B253=$B252,$BL252,0)+$BK253</f>
        <v/>
      </c>
      <c r="BM253" s="57">
        <f>$BM252+$BK253</f>
        <v/>
      </c>
      <c r="BN253" s="57">
        <f>SUMIFS(tblFleet[Operating_h],tblFleet[Date],$A253,tblFleet[Equipment_Class],"Excavator")</f>
        <v/>
      </c>
      <c r="BO253" s="57">
        <f>IF($B253=$B252,$BO252,0)+$BN253</f>
        <v/>
      </c>
      <c r="BP253" s="57">
        <f>$BP252+$BN253</f>
        <v/>
      </c>
      <c r="BQ253" s="67">
        <f>IFERROR(IF(($BH253)&gt;0,($BK253)/($BH253),""),"")</f>
        <v/>
      </c>
      <c r="BR253" s="67">
        <f>IFERROR(IF(($BI253)&gt;0,($BL253)/($BI253),""),"")</f>
        <v/>
      </c>
      <c r="BS253" s="67">
        <f>IFERROR(IF(($BJ253)&gt;0,($BM253)/($BJ253),""),"")</f>
        <v/>
      </c>
      <c r="BT253" s="67">
        <f>IFERROR(IF(($BK253)&gt;0,($BN253)/($BK253),""),"")</f>
        <v/>
      </c>
      <c r="BU253" s="67">
        <f>IFERROR(IF(($BL253)&gt;0,($BO253)/($BL253),""),"")</f>
        <v/>
      </c>
      <c r="BV253" s="67">
        <f>IFERROR(IF(($BM253)&gt;0,($BP253)/($BM253),""),"")</f>
        <v/>
      </c>
      <c r="BW253" s="57">
        <f>SUMIFS(tblFleet[Calendar_h],tblFleet[Date],$A253,tblFleet[Equipment_Class],"Haul Truck")</f>
        <v/>
      </c>
      <c r="BX253" s="57">
        <f>IF($B253=$B252,$BX252,0)+$BW253</f>
        <v/>
      </c>
      <c r="BY253" s="57">
        <f>$BY252+$BW253</f>
        <v/>
      </c>
      <c r="BZ253" s="57">
        <f>SUMIFS(tblFleet[Available_h],tblFleet[Date],$A253,tblFleet[Equipment_Class],"Haul Truck")</f>
        <v/>
      </c>
      <c r="CA253" s="57">
        <f>IF($B253=$B252,$CA252,0)+$BZ253</f>
        <v/>
      </c>
      <c r="CB253" s="57">
        <f>$CB252+$BZ253</f>
        <v/>
      </c>
      <c r="CC253" s="57">
        <f>SUMIFS(tblFleet[Operating_h],tblFleet[Date],$A253,tblFleet[Equipment_Class],"Haul Truck")</f>
        <v/>
      </c>
      <c r="CD253" s="57">
        <f>IF($B253=$B252,$CD252,0)+$CC253</f>
        <v/>
      </c>
      <c r="CE253" s="57">
        <f>$CE252+$CC253</f>
        <v/>
      </c>
      <c r="CF253" s="67">
        <f>IFERROR(IF(($BW253)&gt;0,($BZ253)/($BW253),""),"")</f>
        <v/>
      </c>
      <c r="CG253" s="67">
        <f>IFERROR(IF(($BX253)&gt;0,($CA253)/($BX253),""),"")</f>
        <v/>
      </c>
      <c r="CH253" s="67">
        <f>IFERROR(IF(($BY253)&gt;0,($CB253)/($BY253),""),"")</f>
        <v/>
      </c>
      <c r="CI253" s="67">
        <f>IFERROR(IF(($BZ253)&gt;0,($CC253)/($BZ253),""),"")</f>
        <v/>
      </c>
      <c r="CJ253" s="67">
        <f>IFERROR(IF(($CA253)&gt;0,($CD253)/($CA253),""),"")</f>
        <v/>
      </c>
      <c r="CK253" s="67">
        <f>IFERROR(IF(($CB253)&gt;0,($CE253)/($CB253),""),"")</f>
        <v/>
      </c>
      <c r="CL253" s="55">
        <f>IFERROR(IF(($BN253)&gt;0,($X253+$AD253)/($BN253),""),"")</f>
        <v/>
      </c>
      <c r="CM253" s="55">
        <f>IFERROR(IF(($BO253)&gt;0,($Y253+$AE253)/($BO253),""),"")</f>
        <v/>
      </c>
      <c r="CN253" s="55">
        <f>IFERROR(IF(($BP253)&gt;0,($Z253+$AF253)/($BP253),""),"")</f>
        <v/>
      </c>
      <c r="CO253" s="55">
        <f>IFERROR(IF(($CC253)&gt;0,($X253+$AD253)/($CC253),""),"")</f>
        <v/>
      </c>
      <c r="CP253" s="55">
        <f>IFERROR(IF(($CD253)&gt;0,($Y253+$AE253)/($CD253),""),"")</f>
        <v/>
      </c>
      <c r="CQ253" s="55">
        <f>IFERROR(IF(($CE253)&gt;0,($Z253+$AF253)/($CE253),""),"")</f>
        <v/>
      </c>
      <c r="CR253" s="55">
        <f>SUMIFS(tblPlant[Crushed_t],tblPlant[Date],$A253)</f>
        <v/>
      </c>
      <c r="CS253" s="55">
        <f>IF($B253=$B252,$CS252,0)+$CR253</f>
        <v/>
      </c>
      <c r="CT253" s="55">
        <f>$CT252+$CR253</f>
        <v/>
      </c>
      <c r="CU253" s="55">
        <f>SUMIFS(tblPlant[Milled_t],tblPlant[Date],$A253)</f>
        <v/>
      </c>
      <c r="CV253" s="55">
        <f>IF($B253=$B252,$CV252,0)+$CU253</f>
        <v/>
      </c>
      <c r="CW253" s="55">
        <f>$CW252+$CU253</f>
        <v/>
      </c>
      <c r="CX253" s="55">
        <f>SUMIFS(tblPlant[Feed_oz],tblPlant[Date],$A253)</f>
        <v/>
      </c>
      <c r="CY253" s="55">
        <f>IF($B253=$B252,$CY252,0)+$CX253</f>
        <v/>
      </c>
      <c r="CZ253" s="55">
        <f>$CZ252+$CX253</f>
        <v/>
      </c>
      <c r="DA253" s="55">
        <f>SUMIFS(tblPlant[Tails_oz],tblPlant[Date],$A253)</f>
        <v/>
      </c>
      <c r="DB253" s="55">
        <f>IF($B253=$B252,$DB252,0)+$DA253</f>
        <v/>
      </c>
      <c r="DC253" s="55">
        <f>$DC252+$DA253</f>
        <v/>
      </c>
      <c r="DD253" s="55">
        <f>SUMIFS(tblPlant[Recovered_oz],tblPlant[Date],$A253)</f>
        <v/>
      </c>
      <c r="DE253" s="55">
        <f>IF($B253=$B252,$DE252,0)+$DD253</f>
        <v/>
      </c>
      <c r="DF253" s="55">
        <f>$DF252+$DD253</f>
        <v/>
      </c>
      <c r="DG253" s="55">
        <f>SUMIFS(tblPlant[Milled_t],tblPlant[Date],$A253,tblPlant[Head_Grade_gpt],"&lt;&gt;")</f>
        <v/>
      </c>
      <c r="DH253" s="55">
        <f>IF($B253=$B252,$DH252,0)+$DG253</f>
        <v/>
      </c>
      <c r="DI253" s="55">
        <f>$DI252+$DG253</f>
        <v/>
      </c>
      <c r="DJ253" s="55">
        <f>SUMIFS(tblPlant[Milled_t],tblPlant[Date],$A253,tblPlant[Tails_Grade_gpt],"&lt;&gt;")</f>
        <v/>
      </c>
      <c r="DK253" s="55">
        <f>IF($B253=$B252,$DK252,0)+$DJ253</f>
        <v/>
      </c>
      <c r="DL253" s="55">
        <f>$DL252+$DJ253</f>
        <v/>
      </c>
      <c r="DM253" s="55">
        <f>SUMIFS(tblPlant[Feed_oz],tblPlant[Date],$A253,tblPlant[Tails_Grade_gpt],"&lt;&gt;")</f>
        <v/>
      </c>
      <c r="DN253" s="55">
        <f>IF($B253=$B252,$DN252,0)+$DM253</f>
        <v/>
      </c>
      <c r="DO253" s="55">
        <f>$DO252+$DM253</f>
        <v/>
      </c>
      <c r="DP253" s="55">
        <f>SUMIFS(tblPlant[Milled_t],tblPlant[Date],$A253,tblPlant[Mill_Run_h],"&lt;&gt;")</f>
        <v/>
      </c>
      <c r="DQ253" s="55">
        <f>IF($B253=$B252,$DQ252,0)+$DP253</f>
        <v/>
      </c>
      <c r="DR253" s="55">
        <f>$DR252+$DP253</f>
        <v/>
      </c>
      <c r="DS253" s="56">
        <f>IFERROR(IF(($DG253)&gt;0,($CX253*cfg_TroyOz)/($DG253),""),"")</f>
        <v/>
      </c>
      <c r="DT253" s="56">
        <f>IFERROR(IF(($DH253)&gt;0,($CY253*cfg_TroyOz)/($DH253),""),"")</f>
        <v/>
      </c>
      <c r="DU253" s="56">
        <f>IFERROR(IF(($DI253)&gt;0,($CZ253*cfg_TroyOz)/($DI253),""),"")</f>
        <v/>
      </c>
      <c r="DV253" s="56">
        <f>IFERROR(IF(($DJ253)&gt;0,($DA253*cfg_TroyOz)/($DJ253),""),"")</f>
        <v/>
      </c>
      <c r="DW253" s="56">
        <f>IFERROR(IF(($DK253)&gt;0,($DB253*cfg_TroyOz)/($DK253),""),"")</f>
        <v/>
      </c>
      <c r="DX253" s="56">
        <f>IFERROR(IF(($DL253)&gt;0,($DC253*cfg_TroyOz)/($DL253),""),"")</f>
        <v/>
      </c>
      <c r="DY253" s="67">
        <f>IFERROR(IF(($DM253)&gt;0,($DD253)/($DM253),""),"")</f>
        <v/>
      </c>
      <c r="DZ253" s="67">
        <f>IFERROR(IF(($DN253)&gt;0,($DE253)/($DN253),""),"")</f>
        <v/>
      </c>
      <c r="EA253" s="67">
        <f>IFERROR(IF(($DO253)&gt;0,($DF253)/($DO253),""),"")</f>
        <v/>
      </c>
      <c r="EB253" s="55">
        <f>SUMIFS(tblPlant[Gravity_Gold_oz],tblPlant[Date],$A253)</f>
        <v/>
      </c>
      <c r="EC253" s="55">
        <f>IF($B253=$B252,$EC252,0)+$EB253</f>
        <v/>
      </c>
      <c r="ED253" s="55">
        <f>$ED252+$EB253</f>
        <v/>
      </c>
      <c r="EE253" s="67">
        <f>IFERROR(IF(($DD253)&gt;0,($EB253)/($DD253),""),"")</f>
        <v/>
      </c>
      <c r="EF253" s="67">
        <f>IFERROR(IF(($DE253)&gt;0,($EC253)/($DE253),""),"")</f>
        <v/>
      </c>
      <c r="EG253" s="67">
        <f>IFERROR(IF(($DF253)&gt;0,($ED253)/($DF253),""),"")</f>
        <v/>
      </c>
      <c r="EH253" s="55">
        <f>SUMIFS(tblPlant[Gold_Poured_oz],tblPlant[Date],$A253)</f>
        <v/>
      </c>
      <c r="EI253" s="55">
        <f>IF($B253=$B252,$EI252,0)+$EH253</f>
        <v/>
      </c>
      <c r="EJ253" s="55">
        <f>$EJ252+$EH253</f>
        <v/>
      </c>
      <c r="EK253" s="57">
        <f>SUMIFS(tblPlant[Mill_Run_h],tblPlant[Date],$A253)</f>
        <v/>
      </c>
      <c r="EL253" s="57">
        <f>IF($B253=$B252,$EL252,0)+$EK253</f>
        <v/>
      </c>
      <c r="EM253" s="57">
        <f>$EM252+$EK253</f>
        <v/>
      </c>
      <c r="EN253" s="57">
        <f>SUMIFS(tblPlant[Mill_Planned_Maint_h],tblPlant[Date],$A253)</f>
        <v/>
      </c>
      <c r="EO253" s="57">
        <f>IF($B253=$B252,$EO252,0)+$EN253</f>
        <v/>
      </c>
      <c r="EP253" s="57">
        <f>$EP252+$EN253</f>
        <v/>
      </c>
      <c r="EQ253" s="57">
        <f>SUMIFS(tblPlant[Mill_Unplanned_Down_h],tblPlant[Date],$A253)</f>
        <v/>
      </c>
      <c r="ER253" s="57">
        <f>IF($B253=$B252,$ER252,0)+$EQ253</f>
        <v/>
      </c>
      <c r="ES253" s="57">
        <f>$ES252+$EQ253</f>
        <v/>
      </c>
      <c r="ET253" s="57">
        <f>IF(COUNTIFS(tblPlant[Date],$A253,tblPlant[Mill_Run_h],"&lt;&gt;")+COUNTIFS(tblPlant[Date],$A253,tblPlant[Mill_Planned_Maint_h],"&lt;&gt;")+COUNTIFS(tblPlant[Date],$A253,tblPlant[Mill_Unplanned_Down_h],"&lt;&gt;")&gt;0,cfg_HoursPerDay,0)</f>
        <v/>
      </c>
      <c r="EU253" s="57">
        <f>IF($B253=$B252,$EU252,0)+$ET253</f>
        <v/>
      </c>
      <c r="EV253" s="57">
        <f>$EV252+$ET253</f>
        <v/>
      </c>
      <c r="EW253" s="57">
        <f>SUMIFS(tblPlant[Crusher_Run_h],tblPlant[Date],$A253)</f>
        <v/>
      </c>
      <c r="EX253" s="57">
        <f>IF($B253=$B252,$EX252,0)+$EW253</f>
        <v/>
      </c>
      <c r="EY253" s="57">
        <f>$EY252+$EW253</f>
        <v/>
      </c>
      <c r="EZ253" s="55">
        <f>IFERROR(IF(($EK253)&gt;0,($DP253)/($EK253),""),"")</f>
        <v/>
      </c>
      <c r="FA253" s="55">
        <f>IFERROR(IF(($EL253)&gt;0,($DQ253)/($EL253),""),"")</f>
        <v/>
      </c>
      <c r="FB253" s="55">
        <f>IFERROR(IF(($EM253)&gt;0,($DR253)/($EM253),""),"")</f>
        <v/>
      </c>
      <c r="FC253" s="67">
        <f>IFERROR(IF(($ET253)&gt;0,($ET253-$EN253-$EQ253)/($ET253),""),"")</f>
        <v/>
      </c>
      <c r="FD253" s="67">
        <f>IFERROR(IF(($EU253)&gt;0,($EU253-$EO253-$ER253)/($EU253),""),"")</f>
        <v/>
      </c>
      <c r="FE253" s="67">
        <f>IFERROR(IF(($EV253)&gt;0,($EV253-$EP253-$ES253)/($EV253),""),"")</f>
        <v/>
      </c>
      <c r="FF253" s="67">
        <f>IFERROR(IF(($ET253-$EN253-$EQ253)&gt;0,($EK253)/($ET253-$EN253-$EQ253),""),"")</f>
        <v/>
      </c>
      <c r="FG253" s="67">
        <f>IFERROR(IF(($EU253-$EO253-$ER253)&gt;0,($EL253)/($EU253-$EO253-$ER253),""),"")</f>
        <v/>
      </c>
      <c r="FH253" s="67">
        <f>IFERROR(IF(($EV253-$EP253-$ES253)&gt;0,($EM253)/($EV253-$EP253-$ES253),""),"")</f>
        <v/>
      </c>
      <c r="FI253" s="55">
        <f>SUMIFS(tblPlant[Cyanide_kg],tblPlant[Date],$A253)</f>
        <v/>
      </c>
      <c r="FJ253" s="55">
        <f>IF($B253=$B252,$FJ252,0)+$FI253</f>
        <v/>
      </c>
      <c r="FK253" s="55">
        <f>$FK252+$FI253</f>
        <v/>
      </c>
      <c r="FL253" s="55">
        <f>SUMIFS(tblPlant[Lime_kg],tblPlant[Date],$A253)</f>
        <v/>
      </c>
      <c r="FM253" s="55">
        <f>IF($B253=$B252,$FM252,0)+$FL253</f>
        <v/>
      </c>
      <c r="FN253" s="55">
        <f>$FN252+$FL253</f>
        <v/>
      </c>
      <c r="FO253" s="55">
        <f>SUMIFS(tblPlant[Grinding_Media_kg],tblPlant[Date],$A253)</f>
        <v/>
      </c>
      <c r="FP253" s="55">
        <f>IF($B253=$B252,$FP252,0)+$FO253</f>
        <v/>
      </c>
      <c r="FQ253" s="55">
        <f>$FQ252+$FO253</f>
        <v/>
      </c>
      <c r="FR253" s="55">
        <f>SUMIFS(tblPlant[Power_kWh],tblPlant[Date],$A253)</f>
        <v/>
      </c>
      <c r="FS253" s="55">
        <f>IF($B253=$B252,$FS252,0)+$FR253</f>
        <v/>
      </c>
      <c r="FT253" s="55">
        <f>$FT252+$FR253</f>
        <v/>
      </c>
      <c r="FU253" s="55">
        <f>SUMIFS(tblPlant[Raw_Water_m3],tblPlant[Date],$A253)</f>
        <v/>
      </c>
      <c r="FV253" s="55">
        <f>IF($B253=$B252,$FV252,0)+$FU253</f>
        <v/>
      </c>
      <c r="FW253" s="55">
        <f>$FW252+$FU253</f>
        <v/>
      </c>
      <c r="FX253" s="56">
        <f>IFERROR(IF(($CU253)&gt;0,($FI253)/($CU253),""),"")</f>
        <v/>
      </c>
      <c r="FY253" s="56">
        <f>IFERROR(IF(($CV253)&gt;0,($FJ253)/($CV253),""),"")</f>
        <v/>
      </c>
      <c r="FZ253" s="56">
        <f>IFERROR(IF(($CW253)&gt;0,($FK253)/($CW253),""),"")</f>
        <v/>
      </c>
      <c r="GA253" s="56">
        <f>IFERROR(IF(($CU253)&gt;0,($FL253)/($CU253),""),"")</f>
        <v/>
      </c>
      <c r="GB253" s="56">
        <f>IFERROR(IF(($CV253)&gt;0,($FM253)/($CV253),""),"")</f>
        <v/>
      </c>
      <c r="GC253" s="56">
        <f>IFERROR(IF(($CW253)&gt;0,($FN253)/($CW253),""),"")</f>
        <v/>
      </c>
      <c r="GD253" s="56">
        <f>IFERROR(IF(($CU253)&gt;0,($FO253)/($CU253),""),"")</f>
        <v/>
      </c>
      <c r="GE253" s="56">
        <f>IFERROR(IF(($CV253)&gt;0,($FP253)/($CV253),""),"")</f>
        <v/>
      </c>
      <c r="GF253" s="56">
        <f>IFERROR(IF(($CW253)&gt;0,($FQ253)/($CW253),""),"")</f>
        <v/>
      </c>
      <c r="GG253" s="79">
        <f>IFERROR(IF(($CU253)&gt;0,($FR253)/($CU253),""),"")</f>
        <v/>
      </c>
      <c r="GH253" s="79">
        <f>IFERROR(IF(($CV253)&gt;0,($FS253)/($CV253),""),"")</f>
        <v/>
      </c>
      <c r="GI253" s="79">
        <f>IFERROR(IF(($CW253)&gt;0,($FT253)/($CW253),""),"")</f>
        <v/>
      </c>
      <c r="GJ253" s="56">
        <f>IFERROR(IF(($CU253)&gt;0,($FU253)/($CU253),""),"")</f>
        <v/>
      </c>
      <c r="GK253" s="56">
        <f>IFERROR(IF(($CV253)&gt;0,($FV253)/($CV253),""),"")</f>
        <v/>
      </c>
      <c r="GL253" s="56">
        <f>IFERROR(IF(($CW253)&gt;0,($FW253)/($CW253),""),"")</f>
        <v/>
      </c>
      <c r="GM253" s="55">
        <f>IF(SUMIFS(tblPlant[GIC_oz],tblPlant[Date],$A253)&gt;0,SUMIFS(tblPlant[GIC_oz],tblPlant[Date],$A253),"")</f>
        <v/>
      </c>
      <c r="GN253" s="55">
        <f>SUMIFS(tblGold[Gold_oz],tblGold[Date],$A253,tblGold[Type],"Shipment")</f>
        <v/>
      </c>
      <c r="GO253" s="55">
        <f>IF($B253=$B252,$GO252,0)+$GN253</f>
        <v/>
      </c>
      <c r="GP253" s="55">
        <f>$GP252+$GN253</f>
        <v/>
      </c>
      <c r="GQ253" s="55">
        <f>SUMIFS(tblGold[Gold_oz],tblGold[Date],$A253,tblGold[Type],"Sale")</f>
        <v/>
      </c>
      <c r="GR253" s="55">
        <f>IF($B253=$B252,$GR252,0)+$GQ253</f>
        <v/>
      </c>
      <c r="GS253" s="55">
        <f>$GS252+$GQ253</f>
        <v/>
      </c>
      <c r="GT253" s="55">
        <f>SUMIFS(tblGold[Dore_kg],tblGold[Date],$A253,tblGold[Type],"Shipment")</f>
        <v/>
      </c>
      <c r="GU253" s="55">
        <f>IF($B253=$B252,$GU252,0)+$GT253</f>
        <v/>
      </c>
      <c r="GV253" s="55">
        <f>$GV252+$GT253</f>
        <v/>
      </c>
      <c r="GW253" s="57">
        <f>SUMIFS(tblSafety[Hours_Total],tblSafety[Date],$A253)</f>
        <v/>
      </c>
      <c r="GX253" s="57">
        <f>IF($B253=$B252,$GX252,0)+$GW253</f>
        <v/>
      </c>
      <c r="GY253" s="57">
        <f>$GY252+$GW253</f>
        <v/>
      </c>
      <c r="GZ253" s="62">
        <f>SUMIFS(tblSafety[Fatality],tblSafety[Date],$A253)</f>
        <v/>
      </c>
      <c r="HA253" s="62">
        <f>IF($B253=$B252,$HA252,0)+$GZ253</f>
        <v/>
      </c>
      <c r="HB253" s="62">
        <f>$HB252+$GZ253</f>
        <v/>
      </c>
      <c r="HC253" s="62">
        <f>SUMIFS(tblSafety[LTI],tblSafety[Date],$A253)</f>
        <v/>
      </c>
      <c r="HD253" s="62">
        <f>IF($B253=$B252,$HD252,0)+$HC253</f>
        <v/>
      </c>
      <c r="HE253" s="62">
        <f>$HE252+$HC253</f>
        <v/>
      </c>
      <c r="HF253" s="62">
        <f>SUMIFS(tblSafety[RWI],tblSafety[Date],$A253)</f>
        <v/>
      </c>
      <c r="HG253" s="62">
        <f>IF($B253=$B252,$HG252,0)+$HF253</f>
        <v/>
      </c>
      <c r="HH253" s="62">
        <f>$HH252+$HF253</f>
        <v/>
      </c>
      <c r="HI253" s="62">
        <f>SUMIFS(tblSafety[MTI],tblSafety[Date],$A253)</f>
        <v/>
      </c>
      <c r="HJ253" s="62">
        <f>IF($B253=$B252,$HJ252,0)+$HI253</f>
        <v/>
      </c>
      <c r="HK253" s="62">
        <f>$HK252+$HI253</f>
        <v/>
      </c>
      <c r="HL253" s="62">
        <f>SUMIFS(tblSafety[FAI],tblSafety[Date],$A253)</f>
        <v/>
      </c>
      <c r="HM253" s="62">
        <f>IF($B253=$B252,$HM252,0)+$HL253</f>
        <v/>
      </c>
      <c r="HN253" s="62">
        <f>$HN252+$HL253</f>
        <v/>
      </c>
      <c r="HO253" s="62">
        <f>SUMIFS(tblSafety[Recordables],tblSafety[Date],$A253)</f>
        <v/>
      </c>
      <c r="HP253" s="62">
        <f>IF($B253=$B252,$HP252,0)+$HO253</f>
        <v/>
      </c>
      <c r="HQ253" s="62">
        <f>$HQ252+$HO253</f>
        <v/>
      </c>
      <c r="HR253" s="62">
        <f>SUMIFS(tblSafety[Near_Miss],tblSafety[Date],$A253)</f>
        <v/>
      </c>
      <c r="HS253" s="62">
        <f>IF($B253=$B252,$HS252,0)+$HR253</f>
        <v/>
      </c>
      <c r="HT253" s="62">
        <f>$HT252+$HR253</f>
        <v/>
      </c>
      <c r="HU253" s="62">
        <f>SUMIFS(tblSafety[Hazard_Reports],tblSafety[Date],$A253)</f>
        <v/>
      </c>
      <c r="HV253" s="62">
        <f>IF($B253=$B252,$HV252,0)+$HU253</f>
        <v/>
      </c>
      <c r="HW253" s="62">
        <f>$HW252+$HU253</f>
        <v/>
      </c>
      <c r="HX253" s="62">
        <f>SUMIFS(tblSafety[HPI],tblSafety[Date],$A253)</f>
        <v/>
      </c>
      <c r="HY253" s="62">
        <f>IF($B253=$B252,$HY252,0)+$HX253</f>
        <v/>
      </c>
      <c r="HZ253" s="62">
        <f>$HZ252+$HX253</f>
        <v/>
      </c>
      <c r="IA253" s="62">
        <f>SUMIFS(tblSafety[Env_Incidents],tblSafety[Date],$A253)</f>
        <v/>
      </c>
      <c r="IB253" s="62">
        <f>IF($B253=$B252,$IB252,0)+$IA253</f>
        <v/>
      </c>
      <c r="IC253" s="62">
        <f>$IC252+$IA253</f>
        <v/>
      </c>
      <c r="ID253" s="62">
        <f>SUMIFS(tblSafety[Community_Incidents],tblSafety[Date],$A253)</f>
        <v/>
      </c>
      <c r="IE253" s="62">
        <f>IF($B253=$B252,$IE252,0)+$ID253</f>
        <v/>
      </c>
      <c r="IF253" s="62">
        <f>$IF252+$ID253</f>
        <v/>
      </c>
      <c r="IG253" s="62">
        <f>SUMIFS(tblSafety[Vehicle_Incidents],tblSafety[Date],$A253)</f>
        <v/>
      </c>
      <c r="IH253" s="62">
        <f>IF($B253=$B252,$IH252,0)+$IG253</f>
        <v/>
      </c>
      <c r="II253" s="62">
        <f>$II252+$IG253</f>
        <v/>
      </c>
      <c r="IJ253" s="62">
        <f>SUMIFS(tblSafety[Toolbox_Talks],tblSafety[Date],$A253)</f>
        <v/>
      </c>
      <c r="IK253" s="62">
        <f>IF($B253=$B252,$IK252,0)+$IJ253</f>
        <v/>
      </c>
      <c r="IL253" s="62">
        <f>$IL252+$IJ253</f>
        <v/>
      </c>
      <c r="IM253" s="62">
        <f>SUMIFS(tblSafety[Inspections],tblSafety[Date],$A253)</f>
        <v/>
      </c>
      <c r="IN253" s="62">
        <f>IF($B253=$B252,$IN252,0)+$IM253</f>
        <v/>
      </c>
      <c r="IO253" s="62">
        <f>$IO252+$IM253</f>
        <v/>
      </c>
      <c r="IP253" s="56">
        <f>IFERROR((SUMIFS(tblSafety[Recordables],tblSafety[Date],"&gt;="&amp;EDATE($E253,-12),tblSafety[Date],"&lt;="&amp;$A253)+SUMIFS(tblSafetyHistory[Recordables],tblSafetyHistory[Month],"&gt;="&amp;EDATE($E253,-12),tblSafetyHistory[Month],"&lt;"&amp;$E253,tblSafetyHistory[Use],1))/(SUMIFS(tblSafety[Hours_Total],tblSafety[Date],"&gt;="&amp;EDATE($E253,-12),tblSafety[Date],"&lt;="&amp;$A253)+SUMIFS(tblSafetyHistory[Hours_Total],tblSafetyHistory[Month],"&gt;="&amp;EDATE($E253,-12),tblSafetyHistory[Month],"&lt;"&amp;$E253,tblSafetyHistory[Use],1))*cfg_RateBasisHours,"")</f>
        <v/>
      </c>
      <c r="IQ253" s="56">
        <f>IFERROR((SUMIFS(tblSafety[LTI],tblSafety[Date],"&gt;="&amp;EDATE($E253,-12),tblSafety[Date],"&lt;="&amp;$A253)+SUMIFS(tblSafetyHistory[LTI],tblSafetyHistory[Month],"&gt;="&amp;EDATE($E253,-12),tblSafetyHistory[Month],"&lt;"&amp;$E253,tblSafetyHistory[Use],1))/(SUMIFS(tblSafety[Hours_Total],tblSafety[Date],"&gt;="&amp;EDATE($E253,-12),tblSafety[Date],"&lt;="&amp;$A253)+SUMIFS(tblSafetyHistory[Hours_Total],tblSafetyHistory[Month],"&gt;="&amp;EDATE($E253,-12),tblSafetyHistory[Month],"&lt;"&amp;$E253,tblSafetyHistory[Use],1))*cfg_RateBasisHours,"")</f>
        <v/>
      </c>
      <c r="IR253" s="62">
        <f>IF(MAX(N(cfg_PriorLTIDate),_xlfn.MAXIFS(tblSafety[Date],tblSafety[LTI],"&gt;0",tblSafety[Date],"&lt;="&amp;$A253))=0,"",$A253-MAX(N(cfg_PriorLTIDate),_xlfn.MAXIFS(tblSafety[Date],tblSafety[LTI],"&gt;0",tblSafety[Date],"&lt;="&amp;$A253)))</f>
        <v/>
      </c>
      <c r="IS253" s="55">
        <f>SUMIFS(tblBudget[Ore_Mined_t],tblBudget[Month],$E253)</f>
        <v/>
      </c>
      <c r="IT253" s="55">
        <f>$IS253*$C253/$D253</f>
        <v/>
      </c>
      <c r="IU253" s="55">
        <f>SUMIFS(tblBudget[Ore_Mined_t],tblBudget[Month],"&lt;"&amp;$E253)+$IT253</f>
        <v/>
      </c>
      <c r="IV253" s="55">
        <f>SUMIFS(tblBudget[Ore_oz],tblBudget[Month],$E253)</f>
        <v/>
      </c>
      <c r="IW253" s="55">
        <f>$IV253*$C253/$D253</f>
        <v/>
      </c>
      <c r="IX253" s="55">
        <f>SUMIFS(tblBudget[Ore_oz],tblBudget[Month],"&lt;"&amp;$E253)+$IW253</f>
        <v/>
      </c>
      <c r="IY253" s="55">
        <f>SUMIFS(tblBudget[Ore_Mined_t],tblBudget[Month],$E253)</f>
        <v/>
      </c>
      <c r="IZ253" s="55">
        <f>$IY253*$C253/$D253</f>
        <v/>
      </c>
      <c r="JA253" s="55">
        <f>SUMIFS(tblBudget[Ore_Mined_t],tblBudget[Month],"&lt;"&amp;$E253)+$IZ253</f>
        <v/>
      </c>
      <c r="JB253" s="56">
        <f>IFERROR(IF(($IY253)&gt;0,($IV253*cfg_TroyOz)/($IY253),""),"")</f>
        <v/>
      </c>
      <c r="JC253" s="56">
        <f>IFERROR(IF(($IZ253)&gt;0,($IW253*cfg_TroyOz)/($IZ253),""),"")</f>
        <v/>
      </c>
      <c r="JD253" s="56">
        <f>IFERROR(IF(($JA253)&gt;0,($IX253*cfg_TroyOz)/($JA253),""),"")</f>
        <v/>
      </c>
      <c r="JE253" s="55">
        <f>SUMIFS(tblBudget[Waste_t],tblBudget[Month],$E253)</f>
        <v/>
      </c>
      <c r="JF253" s="55">
        <f>$JE253*$C253/$D253</f>
        <v/>
      </c>
      <c r="JG253" s="55">
        <f>SUMIFS(tblBudget[Waste_t],tblBudget[Month],"&lt;"&amp;$E253)+$JF253</f>
        <v/>
      </c>
      <c r="JH253" s="55">
        <f>SUMIFS(tblBudget[TMM_t],tblBudget[Month],$E253)</f>
        <v/>
      </c>
      <c r="JI253" s="55">
        <f>$JH253*$C253/$D253</f>
        <v/>
      </c>
      <c r="JJ253" s="55">
        <f>SUMIFS(tblBudget[TMM_t],tblBudget[Month],"&lt;"&amp;$E253)+$JI253</f>
        <v/>
      </c>
      <c r="JK253" s="56">
        <f>IFERROR(IF(($IS253)&gt;0,($JE253)/($IS253),""),"")</f>
        <v/>
      </c>
      <c r="JL253" s="56">
        <f>IFERROR(IF(($IT253)&gt;0,($JF253)/($IT253),""),"")</f>
        <v/>
      </c>
      <c r="JM253" s="56">
        <f>IFERROR(IF(($IU253)&gt;0,($JG253)/($IU253),""),"")</f>
        <v/>
      </c>
      <c r="JN253" s="55">
        <f>SUMIFS(tblBudget[Drill_m],tblBudget[Month],$E253)</f>
        <v/>
      </c>
      <c r="JO253" s="55">
        <f>$JN253*$C253/$D253</f>
        <v/>
      </c>
      <c r="JP253" s="55">
        <f>SUMIFS(tblBudget[Drill_m],tblBudget[Month],"&lt;"&amp;$E253)+$JO253</f>
        <v/>
      </c>
      <c r="JQ253" s="55">
        <f>SUMIFS(tblBudget[Diesel_L],tblBudget[Month],$E253)</f>
        <v/>
      </c>
      <c r="JR253" s="55">
        <f>$JQ253*$C253/$D253</f>
        <v/>
      </c>
      <c r="JS253" s="55">
        <f>SUMIFS(tblBudget[Diesel_L],tblBudget[Month],"&lt;"&amp;$E253)+$JR253</f>
        <v/>
      </c>
      <c r="JT253" s="55">
        <f>SUMIFS(tblBudget[Milled_t],tblBudget[Month],$E253)</f>
        <v/>
      </c>
      <c r="JU253" s="55">
        <f>$JT253*$C253/$D253</f>
        <v/>
      </c>
      <c r="JV253" s="55">
        <f>SUMIFS(tblBudget[Milled_t],tblBudget[Month],"&lt;"&amp;$E253)+$JU253</f>
        <v/>
      </c>
      <c r="JW253" s="55">
        <f>SUMIFS(tblBudget[Feed_oz],tblBudget[Month],$E253)</f>
        <v/>
      </c>
      <c r="JX253" s="55">
        <f>$JW253*$C253/$D253</f>
        <v/>
      </c>
      <c r="JY253" s="55">
        <f>SUMIFS(tblBudget[Feed_oz],tblBudget[Month],"&lt;"&amp;$E253)+$JX253</f>
        <v/>
      </c>
      <c r="JZ253" s="55">
        <f>SUMIFS(tblBudget[Recovered_oz],tblBudget[Month],$E253)</f>
        <v/>
      </c>
      <c r="KA253" s="55">
        <f>$JZ253*$C253/$D253</f>
        <v/>
      </c>
      <c r="KB253" s="55">
        <f>SUMIFS(tblBudget[Recovered_oz],tblBudget[Month],"&lt;"&amp;$E253)+$KA253</f>
        <v/>
      </c>
      <c r="KC253" s="55">
        <f>SUMIFS(tblBudget[Milled_t],tblBudget[Month],$E253)</f>
        <v/>
      </c>
      <c r="KD253" s="55">
        <f>$KC253*$C253/$D253</f>
        <v/>
      </c>
      <c r="KE253" s="55">
        <f>SUMIFS(tblBudget[Milled_t],tblBudget[Month],"&lt;"&amp;$E253)+$KD253</f>
        <v/>
      </c>
      <c r="KF253" s="55">
        <f>SUMIFS(tblBudget[Feed_oz],tblBudget[Month],$E253)</f>
        <v/>
      </c>
      <c r="KG253" s="55">
        <f>$KF253*$C253/$D253</f>
        <v/>
      </c>
      <c r="KH253" s="55">
        <f>SUMIFS(tblBudget[Feed_oz],tblBudget[Month],"&lt;"&amp;$E253)+$KG253</f>
        <v/>
      </c>
      <c r="KI253" s="56">
        <f>IFERROR(IF(($KC253)&gt;0,($JW253*cfg_TroyOz)/($KC253),""),"")</f>
        <v/>
      </c>
      <c r="KJ253" s="56">
        <f>IFERROR(IF(($KD253)&gt;0,($JX253*cfg_TroyOz)/($KD253),""),"")</f>
        <v/>
      </c>
      <c r="KK253" s="56">
        <f>IFERROR(IF(($KE253)&gt;0,($JY253*cfg_TroyOz)/($KE253),""),"")</f>
        <v/>
      </c>
      <c r="KL253" s="67">
        <f>IFERROR(IF(($KF253)&gt;0,($JZ253)/($KF253),""),"")</f>
        <v/>
      </c>
      <c r="KM253" s="67">
        <f>IFERROR(IF(($KG253)&gt;0,($KA253)/($KG253),""),"")</f>
        <v/>
      </c>
      <c r="KN253" s="67">
        <f>IFERROR(IF(($KH253)&gt;0,($KB253)/($KH253),""),"")</f>
        <v/>
      </c>
      <c r="KO253" s="55">
        <f>SUMIFS(tblBudget[Gold_Poured_oz],tblBudget[Month],$E253)</f>
        <v/>
      </c>
      <c r="KP253" s="55">
        <f>$KO253*$C253/$D253</f>
        <v/>
      </c>
      <c r="KQ253" s="55">
        <f>SUMIFS(tblBudget[Gold_Poured_oz],tblBudget[Month],"&lt;"&amp;$E253)+$KP253</f>
        <v/>
      </c>
      <c r="KR253" s="57">
        <f>SUMIFS(tblBudget[Hours_Worked],tblBudget[Month],$E253)</f>
        <v/>
      </c>
      <c r="KS253" s="57">
        <f>$KR253*$C253/$D253</f>
        <v/>
      </c>
      <c r="KT253" s="57">
        <f>SUMIFS(tblBudget[Hours_Worked],tblBudget[Month],"&lt;"&amp;$E253)+$KS253</f>
        <v/>
      </c>
    </row>
    <row r="254">
      <c r="A254" s="54" t="n">
        <v>46275</v>
      </c>
      <c r="B254">
        <f>MONTH($A254)</f>
        <v/>
      </c>
      <c r="C254">
        <f>DAY($A254)</f>
        <v/>
      </c>
      <c r="D254">
        <f>DAY(EOMONTH($A254,0))</f>
        <v/>
      </c>
      <c r="E254" s="54">
        <f>DATE(YEAR($A254),MONTH($A254),1)</f>
        <v/>
      </c>
      <c r="F254" s="55">
        <f>SUMIFS(tblMovement[Tonnes_t],tblMovement[Date],$A254,tblMovement[Is_Ore],1,tblMovement[Source_Type],"Pit")</f>
        <v/>
      </c>
      <c r="G254" s="55">
        <f>IF($B254=$B253,$G253,0)+$F254</f>
        <v/>
      </c>
      <c r="H254" s="55">
        <f>$H253+$F254</f>
        <v/>
      </c>
      <c r="I254" s="55">
        <f>SUMIFS(tblMovement[Ore_oz],tblMovement[Date],$A254,tblMovement[Source_Type],"Pit")</f>
        <v/>
      </c>
      <c r="J254" s="55">
        <f>IF($B254=$B253,$J253,0)+$I254</f>
        <v/>
      </c>
      <c r="K254" s="55">
        <f>$K253+$I254</f>
        <v/>
      </c>
      <c r="L254" s="55">
        <f>SUMIFS(tblMovement[Tonnes_t],tblMovement[Date],$A254,tblMovement[Is_Ore],1,tblMovement[Source_Type],"Pit",tblMovement[Grade_gpt],"&lt;&gt;")</f>
        <v/>
      </c>
      <c r="M254" s="55">
        <f>IF($B254=$B253,$M253,0)+$L254</f>
        <v/>
      </c>
      <c r="N254" s="55">
        <f>$N253+$L254</f>
        <v/>
      </c>
      <c r="O254" s="56">
        <f>IFERROR(IF(($L254)&gt;0,($I254*cfg_TroyOz)/($L254),""),"")</f>
        <v/>
      </c>
      <c r="P254" s="56">
        <f>IFERROR(IF(($M254)&gt;0,($J254*cfg_TroyOz)/($M254),""),"")</f>
        <v/>
      </c>
      <c r="Q254" s="56">
        <f>IFERROR(IF(($N254)&gt;0,($K254*cfg_TroyOz)/($N254),""),"")</f>
        <v/>
      </c>
      <c r="R254" s="55">
        <f>$F254-$L254</f>
        <v/>
      </c>
      <c r="S254" s="55">
        <f>IF($B254=$B253,$S253,0)+$R254</f>
        <v/>
      </c>
      <c r="T254" s="55">
        <f>$T253+$R254</f>
        <v/>
      </c>
      <c r="U254" s="55">
        <f>SUMIFS(tblMovement[Tonnes_t],tblMovement[Date],$A254,tblMovement[Is_Ore],0,tblMovement[Source_Type],"Pit")</f>
        <v/>
      </c>
      <c r="V254" s="55">
        <f>IF($B254=$B253,$V253,0)+$U254</f>
        <v/>
      </c>
      <c r="W254" s="55">
        <f>$W253+$U254</f>
        <v/>
      </c>
      <c r="X254" s="55">
        <f>$F254+$U254</f>
        <v/>
      </c>
      <c r="Y254" s="55">
        <f>IF($B254=$B253,$Y253,0)+$X254</f>
        <v/>
      </c>
      <c r="Z254" s="55">
        <f>$Z253+$X254</f>
        <v/>
      </c>
      <c r="AA254" s="56">
        <f>IFERROR(IF(($F254)&gt;0,($U254)/($F254),""),"")</f>
        <v/>
      </c>
      <c r="AB254" s="56">
        <f>IFERROR(IF(($G254)&gt;0,($V254)/($G254),""),"")</f>
        <v/>
      </c>
      <c r="AC254" s="56">
        <f>IFERROR(IF(($H254)&gt;0,($W254)/($H254),""),"")</f>
        <v/>
      </c>
      <c r="AD254" s="55">
        <f>SUMIFS(tblMovement[Tonnes_t],tblMovement[Date],$A254,tblMovement[Source_Type],"Stockpile")</f>
        <v/>
      </c>
      <c r="AE254" s="55">
        <f>IF($B254=$B253,$AE253,0)+$AD254</f>
        <v/>
      </c>
      <c r="AF254" s="55">
        <f>$AF253+$AD254</f>
        <v/>
      </c>
      <c r="AG254" s="55">
        <f>SUMIFS(tblMovement[Tonnes_t],tblMovement[Date],$A254)</f>
        <v/>
      </c>
      <c r="AH254" s="55">
        <f>IF($B254=$B253,$AH253,0)+$AG254</f>
        <v/>
      </c>
      <c r="AI254" s="55">
        <f>$AI253+$AG254</f>
        <v/>
      </c>
      <c r="AJ254" s="55">
        <f>$AG254-$X254-$AD254</f>
        <v/>
      </c>
      <c r="AK254" s="55">
        <f>IF($B254=$B253,$AK253,0)+$AJ254</f>
        <v/>
      </c>
      <c r="AL254" s="55">
        <f>$AL253+$AJ254</f>
        <v/>
      </c>
      <c r="AM254" s="55">
        <f>SUMIFS(tblMiningDaily[Drill_m],tblMiningDaily[Date],$A254)</f>
        <v/>
      </c>
      <c r="AN254" s="55">
        <f>IF($B254=$B253,$AN253,0)+$AM254</f>
        <v/>
      </c>
      <c r="AO254" s="55">
        <f>$AO253+$AM254</f>
        <v/>
      </c>
      <c r="AP254" s="55">
        <f>SUMIFS(tblMiningDaily[GC_Drill_m],tblMiningDaily[Date],$A254)</f>
        <v/>
      </c>
      <c r="AQ254" s="55">
        <f>IF($B254=$B253,$AQ253,0)+$AP254</f>
        <v/>
      </c>
      <c r="AR254" s="55">
        <f>$AR253+$AP254</f>
        <v/>
      </c>
      <c r="AS254" s="55">
        <f>SUMIFS(tblMiningDaily[Blast_t],tblMiningDaily[Date],$A254)</f>
        <v/>
      </c>
      <c r="AT254" s="55">
        <f>IF($B254=$B253,$AT253,0)+$AS254</f>
        <v/>
      </c>
      <c r="AU254" s="55">
        <f>$AU253+$AS254</f>
        <v/>
      </c>
      <c r="AV254" s="55">
        <f>SUMIFS(tblMiningDaily[Explosives_kg],tblMiningDaily[Date],$A254)</f>
        <v/>
      </c>
      <c r="AW254" s="55">
        <f>IF($B254=$B253,$AW253,0)+$AV254</f>
        <v/>
      </c>
      <c r="AX254" s="55">
        <f>$AX253+$AV254</f>
        <v/>
      </c>
      <c r="AY254" s="56">
        <f>IFERROR(IF(($AS254)&gt;0,($AV254)/($AS254),""),"")</f>
        <v/>
      </c>
      <c r="AZ254" s="56">
        <f>IFERROR(IF(($AT254)&gt;0,($AW254)/($AT254),""),"")</f>
        <v/>
      </c>
      <c r="BA254" s="56">
        <f>IFERROR(IF(($AU254)&gt;0,($AX254)/($AU254),""),"")</f>
        <v/>
      </c>
      <c r="BB254" s="55">
        <f>SUMIFS(tblMiningDaily[Diesel_L],tblMiningDaily[Date],$A254)</f>
        <v/>
      </c>
      <c r="BC254" s="55">
        <f>IF($B254=$B253,$BC253,0)+$BB254</f>
        <v/>
      </c>
      <c r="BD254" s="55">
        <f>$BD253+$BB254</f>
        <v/>
      </c>
      <c r="BE254" s="55">
        <f>SUMIFS(tblMiningDaily[Dewatering_m3],tblMiningDaily[Date],$A254)</f>
        <v/>
      </c>
      <c r="BF254" s="55">
        <f>IF($B254=$B253,$BF253,0)+$BE254</f>
        <v/>
      </c>
      <c r="BG254" s="55">
        <f>$BG253+$BE254</f>
        <v/>
      </c>
      <c r="BH254" s="57">
        <f>SUMIFS(tblFleet[Calendar_h],tblFleet[Date],$A254,tblFleet[Equipment_Class],"Excavator")</f>
        <v/>
      </c>
      <c r="BI254" s="57">
        <f>IF($B254=$B253,$BI253,0)+$BH254</f>
        <v/>
      </c>
      <c r="BJ254" s="57">
        <f>$BJ253+$BH254</f>
        <v/>
      </c>
      <c r="BK254" s="57">
        <f>SUMIFS(tblFleet[Available_h],tblFleet[Date],$A254,tblFleet[Equipment_Class],"Excavator")</f>
        <v/>
      </c>
      <c r="BL254" s="57">
        <f>IF($B254=$B253,$BL253,0)+$BK254</f>
        <v/>
      </c>
      <c r="BM254" s="57">
        <f>$BM253+$BK254</f>
        <v/>
      </c>
      <c r="BN254" s="57">
        <f>SUMIFS(tblFleet[Operating_h],tblFleet[Date],$A254,tblFleet[Equipment_Class],"Excavator")</f>
        <v/>
      </c>
      <c r="BO254" s="57">
        <f>IF($B254=$B253,$BO253,0)+$BN254</f>
        <v/>
      </c>
      <c r="BP254" s="57">
        <f>$BP253+$BN254</f>
        <v/>
      </c>
      <c r="BQ254" s="67">
        <f>IFERROR(IF(($BH254)&gt;0,($BK254)/($BH254),""),"")</f>
        <v/>
      </c>
      <c r="BR254" s="67">
        <f>IFERROR(IF(($BI254)&gt;0,($BL254)/($BI254),""),"")</f>
        <v/>
      </c>
      <c r="BS254" s="67">
        <f>IFERROR(IF(($BJ254)&gt;0,($BM254)/($BJ254),""),"")</f>
        <v/>
      </c>
      <c r="BT254" s="67">
        <f>IFERROR(IF(($BK254)&gt;0,($BN254)/($BK254),""),"")</f>
        <v/>
      </c>
      <c r="BU254" s="67">
        <f>IFERROR(IF(($BL254)&gt;0,($BO254)/($BL254),""),"")</f>
        <v/>
      </c>
      <c r="BV254" s="67">
        <f>IFERROR(IF(($BM254)&gt;0,($BP254)/($BM254),""),"")</f>
        <v/>
      </c>
      <c r="BW254" s="57">
        <f>SUMIFS(tblFleet[Calendar_h],tblFleet[Date],$A254,tblFleet[Equipment_Class],"Haul Truck")</f>
        <v/>
      </c>
      <c r="BX254" s="57">
        <f>IF($B254=$B253,$BX253,0)+$BW254</f>
        <v/>
      </c>
      <c r="BY254" s="57">
        <f>$BY253+$BW254</f>
        <v/>
      </c>
      <c r="BZ254" s="57">
        <f>SUMIFS(tblFleet[Available_h],tblFleet[Date],$A254,tblFleet[Equipment_Class],"Haul Truck")</f>
        <v/>
      </c>
      <c r="CA254" s="57">
        <f>IF($B254=$B253,$CA253,0)+$BZ254</f>
        <v/>
      </c>
      <c r="CB254" s="57">
        <f>$CB253+$BZ254</f>
        <v/>
      </c>
      <c r="CC254" s="57">
        <f>SUMIFS(tblFleet[Operating_h],tblFleet[Date],$A254,tblFleet[Equipment_Class],"Haul Truck")</f>
        <v/>
      </c>
      <c r="CD254" s="57">
        <f>IF($B254=$B253,$CD253,0)+$CC254</f>
        <v/>
      </c>
      <c r="CE254" s="57">
        <f>$CE253+$CC254</f>
        <v/>
      </c>
      <c r="CF254" s="67">
        <f>IFERROR(IF(($BW254)&gt;0,($BZ254)/($BW254),""),"")</f>
        <v/>
      </c>
      <c r="CG254" s="67">
        <f>IFERROR(IF(($BX254)&gt;0,($CA254)/($BX254),""),"")</f>
        <v/>
      </c>
      <c r="CH254" s="67">
        <f>IFERROR(IF(($BY254)&gt;0,($CB254)/($BY254),""),"")</f>
        <v/>
      </c>
      <c r="CI254" s="67">
        <f>IFERROR(IF(($BZ254)&gt;0,($CC254)/($BZ254),""),"")</f>
        <v/>
      </c>
      <c r="CJ254" s="67">
        <f>IFERROR(IF(($CA254)&gt;0,($CD254)/($CA254),""),"")</f>
        <v/>
      </c>
      <c r="CK254" s="67">
        <f>IFERROR(IF(($CB254)&gt;0,($CE254)/($CB254),""),"")</f>
        <v/>
      </c>
      <c r="CL254" s="55">
        <f>IFERROR(IF(($BN254)&gt;0,($X254+$AD254)/($BN254),""),"")</f>
        <v/>
      </c>
      <c r="CM254" s="55">
        <f>IFERROR(IF(($BO254)&gt;0,($Y254+$AE254)/($BO254),""),"")</f>
        <v/>
      </c>
      <c r="CN254" s="55">
        <f>IFERROR(IF(($BP254)&gt;0,($Z254+$AF254)/($BP254),""),"")</f>
        <v/>
      </c>
      <c r="CO254" s="55">
        <f>IFERROR(IF(($CC254)&gt;0,($X254+$AD254)/($CC254),""),"")</f>
        <v/>
      </c>
      <c r="CP254" s="55">
        <f>IFERROR(IF(($CD254)&gt;0,($Y254+$AE254)/($CD254),""),"")</f>
        <v/>
      </c>
      <c r="CQ254" s="55">
        <f>IFERROR(IF(($CE254)&gt;0,($Z254+$AF254)/($CE254),""),"")</f>
        <v/>
      </c>
      <c r="CR254" s="55">
        <f>SUMIFS(tblPlant[Crushed_t],tblPlant[Date],$A254)</f>
        <v/>
      </c>
      <c r="CS254" s="55">
        <f>IF($B254=$B253,$CS253,0)+$CR254</f>
        <v/>
      </c>
      <c r="CT254" s="55">
        <f>$CT253+$CR254</f>
        <v/>
      </c>
      <c r="CU254" s="55">
        <f>SUMIFS(tblPlant[Milled_t],tblPlant[Date],$A254)</f>
        <v/>
      </c>
      <c r="CV254" s="55">
        <f>IF($B254=$B253,$CV253,0)+$CU254</f>
        <v/>
      </c>
      <c r="CW254" s="55">
        <f>$CW253+$CU254</f>
        <v/>
      </c>
      <c r="CX254" s="55">
        <f>SUMIFS(tblPlant[Feed_oz],tblPlant[Date],$A254)</f>
        <v/>
      </c>
      <c r="CY254" s="55">
        <f>IF($B254=$B253,$CY253,0)+$CX254</f>
        <v/>
      </c>
      <c r="CZ254" s="55">
        <f>$CZ253+$CX254</f>
        <v/>
      </c>
      <c r="DA254" s="55">
        <f>SUMIFS(tblPlant[Tails_oz],tblPlant[Date],$A254)</f>
        <v/>
      </c>
      <c r="DB254" s="55">
        <f>IF($B254=$B253,$DB253,0)+$DA254</f>
        <v/>
      </c>
      <c r="DC254" s="55">
        <f>$DC253+$DA254</f>
        <v/>
      </c>
      <c r="DD254" s="55">
        <f>SUMIFS(tblPlant[Recovered_oz],tblPlant[Date],$A254)</f>
        <v/>
      </c>
      <c r="DE254" s="55">
        <f>IF($B254=$B253,$DE253,0)+$DD254</f>
        <v/>
      </c>
      <c r="DF254" s="55">
        <f>$DF253+$DD254</f>
        <v/>
      </c>
      <c r="DG254" s="55">
        <f>SUMIFS(tblPlant[Milled_t],tblPlant[Date],$A254,tblPlant[Head_Grade_gpt],"&lt;&gt;")</f>
        <v/>
      </c>
      <c r="DH254" s="55">
        <f>IF($B254=$B253,$DH253,0)+$DG254</f>
        <v/>
      </c>
      <c r="DI254" s="55">
        <f>$DI253+$DG254</f>
        <v/>
      </c>
      <c r="DJ254" s="55">
        <f>SUMIFS(tblPlant[Milled_t],tblPlant[Date],$A254,tblPlant[Tails_Grade_gpt],"&lt;&gt;")</f>
        <v/>
      </c>
      <c r="DK254" s="55">
        <f>IF($B254=$B253,$DK253,0)+$DJ254</f>
        <v/>
      </c>
      <c r="DL254" s="55">
        <f>$DL253+$DJ254</f>
        <v/>
      </c>
      <c r="DM254" s="55">
        <f>SUMIFS(tblPlant[Feed_oz],tblPlant[Date],$A254,tblPlant[Tails_Grade_gpt],"&lt;&gt;")</f>
        <v/>
      </c>
      <c r="DN254" s="55">
        <f>IF($B254=$B253,$DN253,0)+$DM254</f>
        <v/>
      </c>
      <c r="DO254" s="55">
        <f>$DO253+$DM254</f>
        <v/>
      </c>
      <c r="DP254" s="55">
        <f>SUMIFS(tblPlant[Milled_t],tblPlant[Date],$A254,tblPlant[Mill_Run_h],"&lt;&gt;")</f>
        <v/>
      </c>
      <c r="DQ254" s="55">
        <f>IF($B254=$B253,$DQ253,0)+$DP254</f>
        <v/>
      </c>
      <c r="DR254" s="55">
        <f>$DR253+$DP254</f>
        <v/>
      </c>
      <c r="DS254" s="56">
        <f>IFERROR(IF(($DG254)&gt;0,($CX254*cfg_TroyOz)/($DG254),""),"")</f>
        <v/>
      </c>
      <c r="DT254" s="56">
        <f>IFERROR(IF(($DH254)&gt;0,($CY254*cfg_TroyOz)/($DH254),""),"")</f>
        <v/>
      </c>
      <c r="DU254" s="56">
        <f>IFERROR(IF(($DI254)&gt;0,($CZ254*cfg_TroyOz)/($DI254),""),"")</f>
        <v/>
      </c>
      <c r="DV254" s="56">
        <f>IFERROR(IF(($DJ254)&gt;0,($DA254*cfg_TroyOz)/($DJ254),""),"")</f>
        <v/>
      </c>
      <c r="DW254" s="56">
        <f>IFERROR(IF(($DK254)&gt;0,($DB254*cfg_TroyOz)/($DK254),""),"")</f>
        <v/>
      </c>
      <c r="DX254" s="56">
        <f>IFERROR(IF(($DL254)&gt;0,($DC254*cfg_TroyOz)/($DL254),""),"")</f>
        <v/>
      </c>
      <c r="DY254" s="67">
        <f>IFERROR(IF(($DM254)&gt;0,($DD254)/($DM254),""),"")</f>
        <v/>
      </c>
      <c r="DZ254" s="67">
        <f>IFERROR(IF(($DN254)&gt;0,($DE254)/($DN254),""),"")</f>
        <v/>
      </c>
      <c r="EA254" s="67">
        <f>IFERROR(IF(($DO254)&gt;0,($DF254)/($DO254),""),"")</f>
        <v/>
      </c>
      <c r="EB254" s="55">
        <f>SUMIFS(tblPlant[Gravity_Gold_oz],tblPlant[Date],$A254)</f>
        <v/>
      </c>
      <c r="EC254" s="55">
        <f>IF($B254=$B253,$EC253,0)+$EB254</f>
        <v/>
      </c>
      <c r="ED254" s="55">
        <f>$ED253+$EB254</f>
        <v/>
      </c>
      <c r="EE254" s="67">
        <f>IFERROR(IF(($DD254)&gt;0,($EB254)/($DD254),""),"")</f>
        <v/>
      </c>
      <c r="EF254" s="67">
        <f>IFERROR(IF(($DE254)&gt;0,($EC254)/($DE254),""),"")</f>
        <v/>
      </c>
      <c r="EG254" s="67">
        <f>IFERROR(IF(($DF254)&gt;0,($ED254)/($DF254),""),"")</f>
        <v/>
      </c>
      <c r="EH254" s="55">
        <f>SUMIFS(tblPlant[Gold_Poured_oz],tblPlant[Date],$A254)</f>
        <v/>
      </c>
      <c r="EI254" s="55">
        <f>IF($B254=$B253,$EI253,0)+$EH254</f>
        <v/>
      </c>
      <c r="EJ254" s="55">
        <f>$EJ253+$EH254</f>
        <v/>
      </c>
      <c r="EK254" s="57">
        <f>SUMIFS(tblPlant[Mill_Run_h],tblPlant[Date],$A254)</f>
        <v/>
      </c>
      <c r="EL254" s="57">
        <f>IF($B254=$B253,$EL253,0)+$EK254</f>
        <v/>
      </c>
      <c r="EM254" s="57">
        <f>$EM253+$EK254</f>
        <v/>
      </c>
      <c r="EN254" s="57">
        <f>SUMIFS(tblPlant[Mill_Planned_Maint_h],tblPlant[Date],$A254)</f>
        <v/>
      </c>
      <c r="EO254" s="57">
        <f>IF($B254=$B253,$EO253,0)+$EN254</f>
        <v/>
      </c>
      <c r="EP254" s="57">
        <f>$EP253+$EN254</f>
        <v/>
      </c>
      <c r="EQ254" s="57">
        <f>SUMIFS(tblPlant[Mill_Unplanned_Down_h],tblPlant[Date],$A254)</f>
        <v/>
      </c>
      <c r="ER254" s="57">
        <f>IF($B254=$B253,$ER253,0)+$EQ254</f>
        <v/>
      </c>
      <c r="ES254" s="57">
        <f>$ES253+$EQ254</f>
        <v/>
      </c>
      <c r="ET254" s="57">
        <f>IF(COUNTIFS(tblPlant[Date],$A254,tblPlant[Mill_Run_h],"&lt;&gt;")+COUNTIFS(tblPlant[Date],$A254,tblPlant[Mill_Planned_Maint_h],"&lt;&gt;")+COUNTIFS(tblPlant[Date],$A254,tblPlant[Mill_Unplanned_Down_h],"&lt;&gt;")&gt;0,cfg_HoursPerDay,0)</f>
        <v/>
      </c>
      <c r="EU254" s="57">
        <f>IF($B254=$B253,$EU253,0)+$ET254</f>
        <v/>
      </c>
      <c r="EV254" s="57">
        <f>$EV253+$ET254</f>
        <v/>
      </c>
      <c r="EW254" s="57">
        <f>SUMIFS(tblPlant[Crusher_Run_h],tblPlant[Date],$A254)</f>
        <v/>
      </c>
      <c r="EX254" s="57">
        <f>IF($B254=$B253,$EX253,0)+$EW254</f>
        <v/>
      </c>
      <c r="EY254" s="57">
        <f>$EY253+$EW254</f>
        <v/>
      </c>
      <c r="EZ254" s="55">
        <f>IFERROR(IF(($EK254)&gt;0,($DP254)/($EK254),""),"")</f>
        <v/>
      </c>
      <c r="FA254" s="55">
        <f>IFERROR(IF(($EL254)&gt;0,($DQ254)/($EL254),""),"")</f>
        <v/>
      </c>
      <c r="FB254" s="55">
        <f>IFERROR(IF(($EM254)&gt;0,($DR254)/($EM254),""),"")</f>
        <v/>
      </c>
      <c r="FC254" s="67">
        <f>IFERROR(IF(($ET254)&gt;0,($ET254-$EN254-$EQ254)/($ET254),""),"")</f>
        <v/>
      </c>
      <c r="FD254" s="67">
        <f>IFERROR(IF(($EU254)&gt;0,($EU254-$EO254-$ER254)/($EU254),""),"")</f>
        <v/>
      </c>
      <c r="FE254" s="67">
        <f>IFERROR(IF(($EV254)&gt;0,($EV254-$EP254-$ES254)/($EV254),""),"")</f>
        <v/>
      </c>
      <c r="FF254" s="67">
        <f>IFERROR(IF(($ET254-$EN254-$EQ254)&gt;0,($EK254)/($ET254-$EN254-$EQ254),""),"")</f>
        <v/>
      </c>
      <c r="FG254" s="67">
        <f>IFERROR(IF(($EU254-$EO254-$ER254)&gt;0,($EL254)/($EU254-$EO254-$ER254),""),"")</f>
        <v/>
      </c>
      <c r="FH254" s="67">
        <f>IFERROR(IF(($EV254-$EP254-$ES254)&gt;0,($EM254)/($EV254-$EP254-$ES254),""),"")</f>
        <v/>
      </c>
      <c r="FI254" s="55">
        <f>SUMIFS(tblPlant[Cyanide_kg],tblPlant[Date],$A254)</f>
        <v/>
      </c>
      <c r="FJ254" s="55">
        <f>IF($B254=$B253,$FJ253,0)+$FI254</f>
        <v/>
      </c>
      <c r="FK254" s="55">
        <f>$FK253+$FI254</f>
        <v/>
      </c>
      <c r="FL254" s="55">
        <f>SUMIFS(tblPlant[Lime_kg],tblPlant[Date],$A254)</f>
        <v/>
      </c>
      <c r="FM254" s="55">
        <f>IF($B254=$B253,$FM253,0)+$FL254</f>
        <v/>
      </c>
      <c r="FN254" s="55">
        <f>$FN253+$FL254</f>
        <v/>
      </c>
      <c r="FO254" s="55">
        <f>SUMIFS(tblPlant[Grinding_Media_kg],tblPlant[Date],$A254)</f>
        <v/>
      </c>
      <c r="FP254" s="55">
        <f>IF($B254=$B253,$FP253,0)+$FO254</f>
        <v/>
      </c>
      <c r="FQ254" s="55">
        <f>$FQ253+$FO254</f>
        <v/>
      </c>
      <c r="FR254" s="55">
        <f>SUMIFS(tblPlant[Power_kWh],tblPlant[Date],$A254)</f>
        <v/>
      </c>
      <c r="FS254" s="55">
        <f>IF($B254=$B253,$FS253,0)+$FR254</f>
        <v/>
      </c>
      <c r="FT254" s="55">
        <f>$FT253+$FR254</f>
        <v/>
      </c>
      <c r="FU254" s="55">
        <f>SUMIFS(tblPlant[Raw_Water_m3],tblPlant[Date],$A254)</f>
        <v/>
      </c>
      <c r="FV254" s="55">
        <f>IF($B254=$B253,$FV253,0)+$FU254</f>
        <v/>
      </c>
      <c r="FW254" s="55">
        <f>$FW253+$FU254</f>
        <v/>
      </c>
      <c r="FX254" s="56">
        <f>IFERROR(IF(($CU254)&gt;0,($FI254)/($CU254),""),"")</f>
        <v/>
      </c>
      <c r="FY254" s="56">
        <f>IFERROR(IF(($CV254)&gt;0,($FJ254)/($CV254),""),"")</f>
        <v/>
      </c>
      <c r="FZ254" s="56">
        <f>IFERROR(IF(($CW254)&gt;0,($FK254)/($CW254),""),"")</f>
        <v/>
      </c>
      <c r="GA254" s="56">
        <f>IFERROR(IF(($CU254)&gt;0,($FL254)/($CU254),""),"")</f>
        <v/>
      </c>
      <c r="GB254" s="56">
        <f>IFERROR(IF(($CV254)&gt;0,($FM254)/($CV254),""),"")</f>
        <v/>
      </c>
      <c r="GC254" s="56">
        <f>IFERROR(IF(($CW254)&gt;0,($FN254)/($CW254),""),"")</f>
        <v/>
      </c>
      <c r="GD254" s="56">
        <f>IFERROR(IF(($CU254)&gt;0,($FO254)/($CU254),""),"")</f>
        <v/>
      </c>
      <c r="GE254" s="56">
        <f>IFERROR(IF(($CV254)&gt;0,($FP254)/($CV254),""),"")</f>
        <v/>
      </c>
      <c r="GF254" s="56">
        <f>IFERROR(IF(($CW254)&gt;0,($FQ254)/($CW254),""),"")</f>
        <v/>
      </c>
      <c r="GG254" s="79">
        <f>IFERROR(IF(($CU254)&gt;0,($FR254)/($CU254),""),"")</f>
        <v/>
      </c>
      <c r="GH254" s="79">
        <f>IFERROR(IF(($CV254)&gt;0,($FS254)/($CV254),""),"")</f>
        <v/>
      </c>
      <c r="GI254" s="79">
        <f>IFERROR(IF(($CW254)&gt;0,($FT254)/($CW254),""),"")</f>
        <v/>
      </c>
      <c r="GJ254" s="56">
        <f>IFERROR(IF(($CU254)&gt;0,($FU254)/($CU254),""),"")</f>
        <v/>
      </c>
      <c r="GK254" s="56">
        <f>IFERROR(IF(($CV254)&gt;0,($FV254)/($CV254),""),"")</f>
        <v/>
      </c>
      <c r="GL254" s="56">
        <f>IFERROR(IF(($CW254)&gt;0,($FW254)/($CW254),""),"")</f>
        <v/>
      </c>
      <c r="GM254" s="55">
        <f>IF(SUMIFS(tblPlant[GIC_oz],tblPlant[Date],$A254)&gt;0,SUMIFS(tblPlant[GIC_oz],tblPlant[Date],$A254),"")</f>
        <v/>
      </c>
      <c r="GN254" s="55">
        <f>SUMIFS(tblGold[Gold_oz],tblGold[Date],$A254,tblGold[Type],"Shipment")</f>
        <v/>
      </c>
      <c r="GO254" s="55">
        <f>IF($B254=$B253,$GO253,0)+$GN254</f>
        <v/>
      </c>
      <c r="GP254" s="55">
        <f>$GP253+$GN254</f>
        <v/>
      </c>
      <c r="GQ254" s="55">
        <f>SUMIFS(tblGold[Gold_oz],tblGold[Date],$A254,tblGold[Type],"Sale")</f>
        <v/>
      </c>
      <c r="GR254" s="55">
        <f>IF($B254=$B253,$GR253,0)+$GQ254</f>
        <v/>
      </c>
      <c r="GS254" s="55">
        <f>$GS253+$GQ254</f>
        <v/>
      </c>
      <c r="GT254" s="55">
        <f>SUMIFS(tblGold[Dore_kg],tblGold[Date],$A254,tblGold[Type],"Shipment")</f>
        <v/>
      </c>
      <c r="GU254" s="55">
        <f>IF($B254=$B253,$GU253,0)+$GT254</f>
        <v/>
      </c>
      <c r="GV254" s="55">
        <f>$GV253+$GT254</f>
        <v/>
      </c>
      <c r="GW254" s="57">
        <f>SUMIFS(tblSafety[Hours_Total],tblSafety[Date],$A254)</f>
        <v/>
      </c>
      <c r="GX254" s="57">
        <f>IF($B254=$B253,$GX253,0)+$GW254</f>
        <v/>
      </c>
      <c r="GY254" s="57">
        <f>$GY253+$GW254</f>
        <v/>
      </c>
      <c r="GZ254" s="62">
        <f>SUMIFS(tblSafety[Fatality],tblSafety[Date],$A254)</f>
        <v/>
      </c>
      <c r="HA254" s="62">
        <f>IF($B254=$B253,$HA253,0)+$GZ254</f>
        <v/>
      </c>
      <c r="HB254" s="62">
        <f>$HB253+$GZ254</f>
        <v/>
      </c>
      <c r="HC254" s="62">
        <f>SUMIFS(tblSafety[LTI],tblSafety[Date],$A254)</f>
        <v/>
      </c>
      <c r="HD254" s="62">
        <f>IF($B254=$B253,$HD253,0)+$HC254</f>
        <v/>
      </c>
      <c r="HE254" s="62">
        <f>$HE253+$HC254</f>
        <v/>
      </c>
      <c r="HF254" s="62">
        <f>SUMIFS(tblSafety[RWI],tblSafety[Date],$A254)</f>
        <v/>
      </c>
      <c r="HG254" s="62">
        <f>IF($B254=$B253,$HG253,0)+$HF254</f>
        <v/>
      </c>
      <c r="HH254" s="62">
        <f>$HH253+$HF254</f>
        <v/>
      </c>
      <c r="HI254" s="62">
        <f>SUMIFS(tblSafety[MTI],tblSafety[Date],$A254)</f>
        <v/>
      </c>
      <c r="HJ254" s="62">
        <f>IF($B254=$B253,$HJ253,0)+$HI254</f>
        <v/>
      </c>
      <c r="HK254" s="62">
        <f>$HK253+$HI254</f>
        <v/>
      </c>
      <c r="HL254" s="62">
        <f>SUMIFS(tblSafety[FAI],tblSafety[Date],$A254)</f>
        <v/>
      </c>
      <c r="HM254" s="62">
        <f>IF($B254=$B253,$HM253,0)+$HL254</f>
        <v/>
      </c>
      <c r="HN254" s="62">
        <f>$HN253+$HL254</f>
        <v/>
      </c>
      <c r="HO254" s="62">
        <f>SUMIFS(tblSafety[Recordables],tblSafety[Date],$A254)</f>
        <v/>
      </c>
      <c r="HP254" s="62">
        <f>IF($B254=$B253,$HP253,0)+$HO254</f>
        <v/>
      </c>
      <c r="HQ254" s="62">
        <f>$HQ253+$HO254</f>
        <v/>
      </c>
      <c r="HR254" s="62">
        <f>SUMIFS(tblSafety[Near_Miss],tblSafety[Date],$A254)</f>
        <v/>
      </c>
      <c r="HS254" s="62">
        <f>IF($B254=$B253,$HS253,0)+$HR254</f>
        <v/>
      </c>
      <c r="HT254" s="62">
        <f>$HT253+$HR254</f>
        <v/>
      </c>
      <c r="HU254" s="62">
        <f>SUMIFS(tblSafety[Hazard_Reports],tblSafety[Date],$A254)</f>
        <v/>
      </c>
      <c r="HV254" s="62">
        <f>IF($B254=$B253,$HV253,0)+$HU254</f>
        <v/>
      </c>
      <c r="HW254" s="62">
        <f>$HW253+$HU254</f>
        <v/>
      </c>
      <c r="HX254" s="62">
        <f>SUMIFS(tblSafety[HPI],tblSafety[Date],$A254)</f>
        <v/>
      </c>
      <c r="HY254" s="62">
        <f>IF($B254=$B253,$HY253,0)+$HX254</f>
        <v/>
      </c>
      <c r="HZ254" s="62">
        <f>$HZ253+$HX254</f>
        <v/>
      </c>
      <c r="IA254" s="62">
        <f>SUMIFS(tblSafety[Env_Incidents],tblSafety[Date],$A254)</f>
        <v/>
      </c>
      <c r="IB254" s="62">
        <f>IF($B254=$B253,$IB253,0)+$IA254</f>
        <v/>
      </c>
      <c r="IC254" s="62">
        <f>$IC253+$IA254</f>
        <v/>
      </c>
      <c r="ID254" s="62">
        <f>SUMIFS(tblSafety[Community_Incidents],tblSafety[Date],$A254)</f>
        <v/>
      </c>
      <c r="IE254" s="62">
        <f>IF($B254=$B253,$IE253,0)+$ID254</f>
        <v/>
      </c>
      <c r="IF254" s="62">
        <f>$IF253+$ID254</f>
        <v/>
      </c>
      <c r="IG254" s="62">
        <f>SUMIFS(tblSafety[Vehicle_Incidents],tblSafety[Date],$A254)</f>
        <v/>
      </c>
      <c r="IH254" s="62">
        <f>IF($B254=$B253,$IH253,0)+$IG254</f>
        <v/>
      </c>
      <c r="II254" s="62">
        <f>$II253+$IG254</f>
        <v/>
      </c>
      <c r="IJ254" s="62">
        <f>SUMIFS(tblSafety[Toolbox_Talks],tblSafety[Date],$A254)</f>
        <v/>
      </c>
      <c r="IK254" s="62">
        <f>IF($B254=$B253,$IK253,0)+$IJ254</f>
        <v/>
      </c>
      <c r="IL254" s="62">
        <f>$IL253+$IJ254</f>
        <v/>
      </c>
      <c r="IM254" s="62">
        <f>SUMIFS(tblSafety[Inspections],tblSafety[Date],$A254)</f>
        <v/>
      </c>
      <c r="IN254" s="62">
        <f>IF($B254=$B253,$IN253,0)+$IM254</f>
        <v/>
      </c>
      <c r="IO254" s="62">
        <f>$IO253+$IM254</f>
        <v/>
      </c>
      <c r="IP254" s="56">
        <f>IFERROR((SUMIFS(tblSafety[Recordables],tblSafety[Date],"&gt;="&amp;EDATE($E254,-12),tblSafety[Date],"&lt;="&amp;$A254)+SUMIFS(tblSafetyHistory[Recordables],tblSafetyHistory[Month],"&gt;="&amp;EDATE($E254,-12),tblSafetyHistory[Month],"&lt;"&amp;$E254,tblSafetyHistory[Use],1))/(SUMIFS(tblSafety[Hours_Total],tblSafety[Date],"&gt;="&amp;EDATE($E254,-12),tblSafety[Date],"&lt;="&amp;$A254)+SUMIFS(tblSafetyHistory[Hours_Total],tblSafetyHistory[Month],"&gt;="&amp;EDATE($E254,-12),tblSafetyHistory[Month],"&lt;"&amp;$E254,tblSafetyHistory[Use],1))*cfg_RateBasisHours,"")</f>
        <v/>
      </c>
      <c r="IQ254" s="56">
        <f>IFERROR((SUMIFS(tblSafety[LTI],tblSafety[Date],"&gt;="&amp;EDATE($E254,-12),tblSafety[Date],"&lt;="&amp;$A254)+SUMIFS(tblSafetyHistory[LTI],tblSafetyHistory[Month],"&gt;="&amp;EDATE($E254,-12),tblSafetyHistory[Month],"&lt;"&amp;$E254,tblSafetyHistory[Use],1))/(SUMIFS(tblSafety[Hours_Total],tblSafety[Date],"&gt;="&amp;EDATE($E254,-12),tblSafety[Date],"&lt;="&amp;$A254)+SUMIFS(tblSafetyHistory[Hours_Total],tblSafetyHistory[Month],"&gt;="&amp;EDATE($E254,-12),tblSafetyHistory[Month],"&lt;"&amp;$E254,tblSafetyHistory[Use],1))*cfg_RateBasisHours,"")</f>
        <v/>
      </c>
      <c r="IR254" s="62">
        <f>IF(MAX(N(cfg_PriorLTIDate),_xlfn.MAXIFS(tblSafety[Date],tblSafety[LTI],"&gt;0",tblSafety[Date],"&lt;="&amp;$A254))=0,"",$A254-MAX(N(cfg_PriorLTIDate),_xlfn.MAXIFS(tblSafety[Date],tblSafety[LTI],"&gt;0",tblSafety[Date],"&lt;="&amp;$A254)))</f>
        <v/>
      </c>
      <c r="IS254" s="55">
        <f>SUMIFS(tblBudget[Ore_Mined_t],tblBudget[Month],$E254)</f>
        <v/>
      </c>
      <c r="IT254" s="55">
        <f>$IS254*$C254/$D254</f>
        <v/>
      </c>
      <c r="IU254" s="55">
        <f>SUMIFS(tblBudget[Ore_Mined_t],tblBudget[Month],"&lt;"&amp;$E254)+$IT254</f>
        <v/>
      </c>
      <c r="IV254" s="55">
        <f>SUMIFS(tblBudget[Ore_oz],tblBudget[Month],$E254)</f>
        <v/>
      </c>
      <c r="IW254" s="55">
        <f>$IV254*$C254/$D254</f>
        <v/>
      </c>
      <c r="IX254" s="55">
        <f>SUMIFS(tblBudget[Ore_oz],tblBudget[Month],"&lt;"&amp;$E254)+$IW254</f>
        <v/>
      </c>
      <c r="IY254" s="55">
        <f>SUMIFS(tblBudget[Ore_Mined_t],tblBudget[Month],$E254)</f>
        <v/>
      </c>
      <c r="IZ254" s="55">
        <f>$IY254*$C254/$D254</f>
        <v/>
      </c>
      <c r="JA254" s="55">
        <f>SUMIFS(tblBudget[Ore_Mined_t],tblBudget[Month],"&lt;"&amp;$E254)+$IZ254</f>
        <v/>
      </c>
      <c r="JB254" s="56">
        <f>IFERROR(IF(($IY254)&gt;0,($IV254*cfg_TroyOz)/($IY254),""),"")</f>
        <v/>
      </c>
      <c r="JC254" s="56">
        <f>IFERROR(IF(($IZ254)&gt;0,($IW254*cfg_TroyOz)/($IZ254),""),"")</f>
        <v/>
      </c>
      <c r="JD254" s="56">
        <f>IFERROR(IF(($JA254)&gt;0,($IX254*cfg_TroyOz)/($JA254),""),"")</f>
        <v/>
      </c>
      <c r="JE254" s="55">
        <f>SUMIFS(tblBudget[Waste_t],tblBudget[Month],$E254)</f>
        <v/>
      </c>
      <c r="JF254" s="55">
        <f>$JE254*$C254/$D254</f>
        <v/>
      </c>
      <c r="JG254" s="55">
        <f>SUMIFS(tblBudget[Waste_t],tblBudget[Month],"&lt;"&amp;$E254)+$JF254</f>
        <v/>
      </c>
      <c r="JH254" s="55">
        <f>SUMIFS(tblBudget[TMM_t],tblBudget[Month],$E254)</f>
        <v/>
      </c>
      <c r="JI254" s="55">
        <f>$JH254*$C254/$D254</f>
        <v/>
      </c>
      <c r="JJ254" s="55">
        <f>SUMIFS(tblBudget[TMM_t],tblBudget[Month],"&lt;"&amp;$E254)+$JI254</f>
        <v/>
      </c>
      <c r="JK254" s="56">
        <f>IFERROR(IF(($IS254)&gt;0,($JE254)/($IS254),""),"")</f>
        <v/>
      </c>
      <c r="JL254" s="56">
        <f>IFERROR(IF(($IT254)&gt;0,($JF254)/($IT254),""),"")</f>
        <v/>
      </c>
      <c r="JM254" s="56">
        <f>IFERROR(IF(($IU254)&gt;0,($JG254)/($IU254),""),"")</f>
        <v/>
      </c>
      <c r="JN254" s="55">
        <f>SUMIFS(tblBudget[Drill_m],tblBudget[Month],$E254)</f>
        <v/>
      </c>
      <c r="JO254" s="55">
        <f>$JN254*$C254/$D254</f>
        <v/>
      </c>
      <c r="JP254" s="55">
        <f>SUMIFS(tblBudget[Drill_m],tblBudget[Month],"&lt;"&amp;$E254)+$JO254</f>
        <v/>
      </c>
      <c r="JQ254" s="55">
        <f>SUMIFS(tblBudget[Diesel_L],tblBudget[Month],$E254)</f>
        <v/>
      </c>
      <c r="JR254" s="55">
        <f>$JQ254*$C254/$D254</f>
        <v/>
      </c>
      <c r="JS254" s="55">
        <f>SUMIFS(tblBudget[Diesel_L],tblBudget[Month],"&lt;"&amp;$E254)+$JR254</f>
        <v/>
      </c>
      <c r="JT254" s="55">
        <f>SUMIFS(tblBudget[Milled_t],tblBudget[Month],$E254)</f>
        <v/>
      </c>
      <c r="JU254" s="55">
        <f>$JT254*$C254/$D254</f>
        <v/>
      </c>
      <c r="JV254" s="55">
        <f>SUMIFS(tblBudget[Milled_t],tblBudget[Month],"&lt;"&amp;$E254)+$JU254</f>
        <v/>
      </c>
      <c r="JW254" s="55">
        <f>SUMIFS(tblBudget[Feed_oz],tblBudget[Month],$E254)</f>
        <v/>
      </c>
      <c r="JX254" s="55">
        <f>$JW254*$C254/$D254</f>
        <v/>
      </c>
      <c r="JY254" s="55">
        <f>SUMIFS(tblBudget[Feed_oz],tblBudget[Month],"&lt;"&amp;$E254)+$JX254</f>
        <v/>
      </c>
      <c r="JZ254" s="55">
        <f>SUMIFS(tblBudget[Recovered_oz],tblBudget[Month],$E254)</f>
        <v/>
      </c>
      <c r="KA254" s="55">
        <f>$JZ254*$C254/$D254</f>
        <v/>
      </c>
      <c r="KB254" s="55">
        <f>SUMIFS(tblBudget[Recovered_oz],tblBudget[Month],"&lt;"&amp;$E254)+$KA254</f>
        <v/>
      </c>
      <c r="KC254" s="55">
        <f>SUMIFS(tblBudget[Milled_t],tblBudget[Month],$E254)</f>
        <v/>
      </c>
      <c r="KD254" s="55">
        <f>$KC254*$C254/$D254</f>
        <v/>
      </c>
      <c r="KE254" s="55">
        <f>SUMIFS(tblBudget[Milled_t],tblBudget[Month],"&lt;"&amp;$E254)+$KD254</f>
        <v/>
      </c>
      <c r="KF254" s="55">
        <f>SUMIFS(tblBudget[Feed_oz],tblBudget[Month],$E254)</f>
        <v/>
      </c>
      <c r="KG254" s="55">
        <f>$KF254*$C254/$D254</f>
        <v/>
      </c>
      <c r="KH254" s="55">
        <f>SUMIFS(tblBudget[Feed_oz],tblBudget[Month],"&lt;"&amp;$E254)+$KG254</f>
        <v/>
      </c>
      <c r="KI254" s="56">
        <f>IFERROR(IF(($KC254)&gt;0,($JW254*cfg_TroyOz)/($KC254),""),"")</f>
        <v/>
      </c>
      <c r="KJ254" s="56">
        <f>IFERROR(IF(($KD254)&gt;0,($JX254*cfg_TroyOz)/($KD254),""),"")</f>
        <v/>
      </c>
      <c r="KK254" s="56">
        <f>IFERROR(IF(($KE254)&gt;0,($JY254*cfg_TroyOz)/($KE254),""),"")</f>
        <v/>
      </c>
      <c r="KL254" s="67">
        <f>IFERROR(IF(($KF254)&gt;0,($JZ254)/($KF254),""),"")</f>
        <v/>
      </c>
      <c r="KM254" s="67">
        <f>IFERROR(IF(($KG254)&gt;0,($KA254)/($KG254),""),"")</f>
        <v/>
      </c>
      <c r="KN254" s="67">
        <f>IFERROR(IF(($KH254)&gt;0,($KB254)/($KH254),""),"")</f>
        <v/>
      </c>
      <c r="KO254" s="55">
        <f>SUMIFS(tblBudget[Gold_Poured_oz],tblBudget[Month],$E254)</f>
        <v/>
      </c>
      <c r="KP254" s="55">
        <f>$KO254*$C254/$D254</f>
        <v/>
      </c>
      <c r="KQ254" s="55">
        <f>SUMIFS(tblBudget[Gold_Poured_oz],tblBudget[Month],"&lt;"&amp;$E254)+$KP254</f>
        <v/>
      </c>
      <c r="KR254" s="57">
        <f>SUMIFS(tblBudget[Hours_Worked],tblBudget[Month],$E254)</f>
        <v/>
      </c>
      <c r="KS254" s="57">
        <f>$KR254*$C254/$D254</f>
        <v/>
      </c>
      <c r="KT254" s="57">
        <f>SUMIFS(tblBudget[Hours_Worked],tblBudget[Month],"&lt;"&amp;$E254)+$KS254</f>
        <v/>
      </c>
    </row>
    <row r="255">
      <c r="A255" s="54" t="n">
        <v>46276</v>
      </c>
      <c r="B255">
        <f>MONTH($A255)</f>
        <v/>
      </c>
      <c r="C255">
        <f>DAY($A255)</f>
        <v/>
      </c>
      <c r="D255">
        <f>DAY(EOMONTH($A255,0))</f>
        <v/>
      </c>
      <c r="E255" s="54">
        <f>DATE(YEAR($A255),MONTH($A255),1)</f>
        <v/>
      </c>
      <c r="F255" s="55">
        <f>SUMIFS(tblMovement[Tonnes_t],tblMovement[Date],$A255,tblMovement[Is_Ore],1,tblMovement[Source_Type],"Pit")</f>
        <v/>
      </c>
      <c r="G255" s="55">
        <f>IF($B255=$B254,$G254,0)+$F255</f>
        <v/>
      </c>
      <c r="H255" s="55">
        <f>$H254+$F255</f>
        <v/>
      </c>
      <c r="I255" s="55">
        <f>SUMIFS(tblMovement[Ore_oz],tblMovement[Date],$A255,tblMovement[Source_Type],"Pit")</f>
        <v/>
      </c>
      <c r="J255" s="55">
        <f>IF($B255=$B254,$J254,0)+$I255</f>
        <v/>
      </c>
      <c r="K255" s="55">
        <f>$K254+$I255</f>
        <v/>
      </c>
      <c r="L255" s="55">
        <f>SUMIFS(tblMovement[Tonnes_t],tblMovement[Date],$A255,tblMovement[Is_Ore],1,tblMovement[Source_Type],"Pit",tblMovement[Grade_gpt],"&lt;&gt;")</f>
        <v/>
      </c>
      <c r="M255" s="55">
        <f>IF($B255=$B254,$M254,0)+$L255</f>
        <v/>
      </c>
      <c r="N255" s="55">
        <f>$N254+$L255</f>
        <v/>
      </c>
      <c r="O255" s="56">
        <f>IFERROR(IF(($L255)&gt;0,($I255*cfg_TroyOz)/($L255),""),"")</f>
        <v/>
      </c>
      <c r="P255" s="56">
        <f>IFERROR(IF(($M255)&gt;0,($J255*cfg_TroyOz)/($M255),""),"")</f>
        <v/>
      </c>
      <c r="Q255" s="56">
        <f>IFERROR(IF(($N255)&gt;0,($K255*cfg_TroyOz)/($N255),""),"")</f>
        <v/>
      </c>
      <c r="R255" s="55">
        <f>$F255-$L255</f>
        <v/>
      </c>
      <c r="S255" s="55">
        <f>IF($B255=$B254,$S254,0)+$R255</f>
        <v/>
      </c>
      <c r="T255" s="55">
        <f>$T254+$R255</f>
        <v/>
      </c>
      <c r="U255" s="55">
        <f>SUMIFS(tblMovement[Tonnes_t],tblMovement[Date],$A255,tblMovement[Is_Ore],0,tblMovement[Source_Type],"Pit")</f>
        <v/>
      </c>
      <c r="V255" s="55">
        <f>IF($B255=$B254,$V254,0)+$U255</f>
        <v/>
      </c>
      <c r="W255" s="55">
        <f>$W254+$U255</f>
        <v/>
      </c>
      <c r="X255" s="55">
        <f>$F255+$U255</f>
        <v/>
      </c>
      <c r="Y255" s="55">
        <f>IF($B255=$B254,$Y254,0)+$X255</f>
        <v/>
      </c>
      <c r="Z255" s="55">
        <f>$Z254+$X255</f>
        <v/>
      </c>
      <c r="AA255" s="56">
        <f>IFERROR(IF(($F255)&gt;0,($U255)/($F255),""),"")</f>
        <v/>
      </c>
      <c r="AB255" s="56">
        <f>IFERROR(IF(($G255)&gt;0,($V255)/($G255),""),"")</f>
        <v/>
      </c>
      <c r="AC255" s="56">
        <f>IFERROR(IF(($H255)&gt;0,($W255)/($H255),""),"")</f>
        <v/>
      </c>
      <c r="AD255" s="55">
        <f>SUMIFS(tblMovement[Tonnes_t],tblMovement[Date],$A255,tblMovement[Source_Type],"Stockpile")</f>
        <v/>
      </c>
      <c r="AE255" s="55">
        <f>IF($B255=$B254,$AE254,0)+$AD255</f>
        <v/>
      </c>
      <c r="AF255" s="55">
        <f>$AF254+$AD255</f>
        <v/>
      </c>
      <c r="AG255" s="55">
        <f>SUMIFS(tblMovement[Tonnes_t],tblMovement[Date],$A255)</f>
        <v/>
      </c>
      <c r="AH255" s="55">
        <f>IF($B255=$B254,$AH254,0)+$AG255</f>
        <v/>
      </c>
      <c r="AI255" s="55">
        <f>$AI254+$AG255</f>
        <v/>
      </c>
      <c r="AJ255" s="55">
        <f>$AG255-$X255-$AD255</f>
        <v/>
      </c>
      <c r="AK255" s="55">
        <f>IF($B255=$B254,$AK254,0)+$AJ255</f>
        <v/>
      </c>
      <c r="AL255" s="55">
        <f>$AL254+$AJ255</f>
        <v/>
      </c>
      <c r="AM255" s="55">
        <f>SUMIFS(tblMiningDaily[Drill_m],tblMiningDaily[Date],$A255)</f>
        <v/>
      </c>
      <c r="AN255" s="55">
        <f>IF($B255=$B254,$AN254,0)+$AM255</f>
        <v/>
      </c>
      <c r="AO255" s="55">
        <f>$AO254+$AM255</f>
        <v/>
      </c>
      <c r="AP255" s="55">
        <f>SUMIFS(tblMiningDaily[GC_Drill_m],tblMiningDaily[Date],$A255)</f>
        <v/>
      </c>
      <c r="AQ255" s="55">
        <f>IF($B255=$B254,$AQ254,0)+$AP255</f>
        <v/>
      </c>
      <c r="AR255" s="55">
        <f>$AR254+$AP255</f>
        <v/>
      </c>
      <c r="AS255" s="55">
        <f>SUMIFS(tblMiningDaily[Blast_t],tblMiningDaily[Date],$A255)</f>
        <v/>
      </c>
      <c r="AT255" s="55">
        <f>IF($B255=$B254,$AT254,0)+$AS255</f>
        <v/>
      </c>
      <c r="AU255" s="55">
        <f>$AU254+$AS255</f>
        <v/>
      </c>
      <c r="AV255" s="55">
        <f>SUMIFS(tblMiningDaily[Explosives_kg],tblMiningDaily[Date],$A255)</f>
        <v/>
      </c>
      <c r="AW255" s="55">
        <f>IF($B255=$B254,$AW254,0)+$AV255</f>
        <v/>
      </c>
      <c r="AX255" s="55">
        <f>$AX254+$AV255</f>
        <v/>
      </c>
      <c r="AY255" s="56">
        <f>IFERROR(IF(($AS255)&gt;0,($AV255)/($AS255),""),"")</f>
        <v/>
      </c>
      <c r="AZ255" s="56">
        <f>IFERROR(IF(($AT255)&gt;0,($AW255)/($AT255),""),"")</f>
        <v/>
      </c>
      <c r="BA255" s="56">
        <f>IFERROR(IF(($AU255)&gt;0,($AX255)/($AU255),""),"")</f>
        <v/>
      </c>
      <c r="BB255" s="55">
        <f>SUMIFS(tblMiningDaily[Diesel_L],tblMiningDaily[Date],$A255)</f>
        <v/>
      </c>
      <c r="BC255" s="55">
        <f>IF($B255=$B254,$BC254,0)+$BB255</f>
        <v/>
      </c>
      <c r="BD255" s="55">
        <f>$BD254+$BB255</f>
        <v/>
      </c>
      <c r="BE255" s="55">
        <f>SUMIFS(tblMiningDaily[Dewatering_m3],tblMiningDaily[Date],$A255)</f>
        <v/>
      </c>
      <c r="BF255" s="55">
        <f>IF($B255=$B254,$BF254,0)+$BE255</f>
        <v/>
      </c>
      <c r="BG255" s="55">
        <f>$BG254+$BE255</f>
        <v/>
      </c>
      <c r="BH255" s="57">
        <f>SUMIFS(tblFleet[Calendar_h],tblFleet[Date],$A255,tblFleet[Equipment_Class],"Excavator")</f>
        <v/>
      </c>
      <c r="BI255" s="57">
        <f>IF($B255=$B254,$BI254,0)+$BH255</f>
        <v/>
      </c>
      <c r="BJ255" s="57">
        <f>$BJ254+$BH255</f>
        <v/>
      </c>
      <c r="BK255" s="57">
        <f>SUMIFS(tblFleet[Available_h],tblFleet[Date],$A255,tblFleet[Equipment_Class],"Excavator")</f>
        <v/>
      </c>
      <c r="BL255" s="57">
        <f>IF($B255=$B254,$BL254,0)+$BK255</f>
        <v/>
      </c>
      <c r="BM255" s="57">
        <f>$BM254+$BK255</f>
        <v/>
      </c>
      <c r="BN255" s="57">
        <f>SUMIFS(tblFleet[Operating_h],tblFleet[Date],$A255,tblFleet[Equipment_Class],"Excavator")</f>
        <v/>
      </c>
      <c r="BO255" s="57">
        <f>IF($B255=$B254,$BO254,0)+$BN255</f>
        <v/>
      </c>
      <c r="BP255" s="57">
        <f>$BP254+$BN255</f>
        <v/>
      </c>
      <c r="BQ255" s="67">
        <f>IFERROR(IF(($BH255)&gt;0,($BK255)/($BH255),""),"")</f>
        <v/>
      </c>
      <c r="BR255" s="67">
        <f>IFERROR(IF(($BI255)&gt;0,($BL255)/($BI255),""),"")</f>
        <v/>
      </c>
      <c r="BS255" s="67">
        <f>IFERROR(IF(($BJ255)&gt;0,($BM255)/($BJ255),""),"")</f>
        <v/>
      </c>
      <c r="BT255" s="67">
        <f>IFERROR(IF(($BK255)&gt;0,($BN255)/($BK255),""),"")</f>
        <v/>
      </c>
      <c r="BU255" s="67">
        <f>IFERROR(IF(($BL255)&gt;0,($BO255)/($BL255),""),"")</f>
        <v/>
      </c>
      <c r="BV255" s="67">
        <f>IFERROR(IF(($BM255)&gt;0,($BP255)/($BM255),""),"")</f>
        <v/>
      </c>
      <c r="BW255" s="57">
        <f>SUMIFS(tblFleet[Calendar_h],tblFleet[Date],$A255,tblFleet[Equipment_Class],"Haul Truck")</f>
        <v/>
      </c>
      <c r="BX255" s="57">
        <f>IF($B255=$B254,$BX254,0)+$BW255</f>
        <v/>
      </c>
      <c r="BY255" s="57">
        <f>$BY254+$BW255</f>
        <v/>
      </c>
      <c r="BZ255" s="57">
        <f>SUMIFS(tblFleet[Available_h],tblFleet[Date],$A255,tblFleet[Equipment_Class],"Haul Truck")</f>
        <v/>
      </c>
      <c r="CA255" s="57">
        <f>IF($B255=$B254,$CA254,0)+$BZ255</f>
        <v/>
      </c>
      <c r="CB255" s="57">
        <f>$CB254+$BZ255</f>
        <v/>
      </c>
      <c r="CC255" s="57">
        <f>SUMIFS(tblFleet[Operating_h],tblFleet[Date],$A255,tblFleet[Equipment_Class],"Haul Truck")</f>
        <v/>
      </c>
      <c r="CD255" s="57">
        <f>IF($B255=$B254,$CD254,0)+$CC255</f>
        <v/>
      </c>
      <c r="CE255" s="57">
        <f>$CE254+$CC255</f>
        <v/>
      </c>
      <c r="CF255" s="67">
        <f>IFERROR(IF(($BW255)&gt;0,($BZ255)/($BW255),""),"")</f>
        <v/>
      </c>
      <c r="CG255" s="67">
        <f>IFERROR(IF(($BX255)&gt;0,($CA255)/($BX255),""),"")</f>
        <v/>
      </c>
      <c r="CH255" s="67">
        <f>IFERROR(IF(($BY255)&gt;0,($CB255)/($BY255),""),"")</f>
        <v/>
      </c>
      <c r="CI255" s="67">
        <f>IFERROR(IF(($BZ255)&gt;0,($CC255)/($BZ255),""),"")</f>
        <v/>
      </c>
      <c r="CJ255" s="67">
        <f>IFERROR(IF(($CA255)&gt;0,($CD255)/($CA255),""),"")</f>
        <v/>
      </c>
      <c r="CK255" s="67">
        <f>IFERROR(IF(($CB255)&gt;0,($CE255)/($CB255),""),"")</f>
        <v/>
      </c>
      <c r="CL255" s="55">
        <f>IFERROR(IF(($BN255)&gt;0,($X255+$AD255)/($BN255),""),"")</f>
        <v/>
      </c>
      <c r="CM255" s="55">
        <f>IFERROR(IF(($BO255)&gt;0,($Y255+$AE255)/($BO255),""),"")</f>
        <v/>
      </c>
      <c r="CN255" s="55">
        <f>IFERROR(IF(($BP255)&gt;0,($Z255+$AF255)/($BP255),""),"")</f>
        <v/>
      </c>
      <c r="CO255" s="55">
        <f>IFERROR(IF(($CC255)&gt;0,($X255+$AD255)/($CC255),""),"")</f>
        <v/>
      </c>
      <c r="CP255" s="55">
        <f>IFERROR(IF(($CD255)&gt;0,($Y255+$AE255)/($CD255),""),"")</f>
        <v/>
      </c>
      <c r="CQ255" s="55">
        <f>IFERROR(IF(($CE255)&gt;0,($Z255+$AF255)/($CE255),""),"")</f>
        <v/>
      </c>
      <c r="CR255" s="55">
        <f>SUMIFS(tblPlant[Crushed_t],tblPlant[Date],$A255)</f>
        <v/>
      </c>
      <c r="CS255" s="55">
        <f>IF($B255=$B254,$CS254,0)+$CR255</f>
        <v/>
      </c>
      <c r="CT255" s="55">
        <f>$CT254+$CR255</f>
        <v/>
      </c>
      <c r="CU255" s="55">
        <f>SUMIFS(tblPlant[Milled_t],tblPlant[Date],$A255)</f>
        <v/>
      </c>
      <c r="CV255" s="55">
        <f>IF($B255=$B254,$CV254,0)+$CU255</f>
        <v/>
      </c>
      <c r="CW255" s="55">
        <f>$CW254+$CU255</f>
        <v/>
      </c>
      <c r="CX255" s="55">
        <f>SUMIFS(tblPlant[Feed_oz],tblPlant[Date],$A255)</f>
        <v/>
      </c>
      <c r="CY255" s="55">
        <f>IF($B255=$B254,$CY254,0)+$CX255</f>
        <v/>
      </c>
      <c r="CZ255" s="55">
        <f>$CZ254+$CX255</f>
        <v/>
      </c>
      <c r="DA255" s="55">
        <f>SUMIFS(tblPlant[Tails_oz],tblPlant[Date],$A255)</f>
        <v/>
      </c>
      <c r="DB255" s="55">
        <f>IF($B255=$B254,$DB254,0)+$DA255</f>
        <v/>
      </c>
      <c r="DC255" s="55">
        <f>$DC254+$DA255</f>
        <v/>
      </c>
      <c r="DD255" s="55">
        <f>SUMIFS(tblPlant[Recovered_oz],tblPlant[Date],$A255)</f>
        <v/>
      </c>
      <c r="DE255" s="55">
        <f>IF($B255=$B254,$DE254,0)+$DD255</f>
        <v/>
      </c>
      <c r="DF255" s="55">
        <f>$DF254+$DD255</f>
        <v/>
      </c>
      <c r="DG255" s="55">
        <f>SUMIFS(tblPlant[Milled_t],tblPlant[Date],$A255,tblPlant[Head_Grade_gpt],"&lt;&gt;")</f>
        <v/>
      </c>
      <c r="DH255" s="55">
        <f>IF($B255=$B254,$DH254,0)+$DG255</f>
        <v/>
      </c>
      <c r="DI255" s="55">
        <f>$DI254+$DG255</f>
        <v/>
      </c>
      <c r="DJ255" s="55">
        <f>SUMIFS(tblPlant[Milled_t],tblPlant[Date],$A255,tblPlant[Tails_Grade_gpt],"&lt;&gt;")</f>
        <v/>
      </c>
      <c r="DK255" s="55">
        <f>IF($B255=$B254,$DK254,0)+$DJ255</f>
        <v/>
      </c>
      <c r="DL255" s="55">
        <f>$DL254+$DJ255</f>
        <v/>
      </c>
      <c r="DM255" s="55">
        <f>SUMIFS(tblPlant[Feed_oz],tblPlant[Date],$A255,tblPlant[Tails_Grade_gpt],"&lt;&gt;")</f>
        <v/>
      </c>
      <c r="DN255" s="55">
        <f>IF($B255=$B254,$DN254,0)+$DM255</f>
        <v/>
      </c>
      <c r="DO255" s="55">
        <f>$DO254+$DM255</f>
        <v/>
      </c>
      <c r="DP255" s="55">
        <f>SUMIFS(tblPlant[Milled_t],tblPlant[Date],$A255,tblPlant[Mill_Run_h],"&lt;&gt;")</f>
        <v/>
      </c>
      <c r="DQ255" s="55">
        <f>IF($B255=$B254,$DQ254,0)+$DP255</f>
        <v/>
      </c>
      <c r="DR255" s="55">
        <f>$DR254+$DP255</f>
        <v/>
      </c>
      <c r="DS255" s="56">
        <f>IFERROR(IF(($DG255)&gt;0,($CX255*cfg_TroyOz)/($DG255),""),"")</f>
        <v/>
      </c>
      <c r="DT255" s="56">
        <f>IFERROR(IF(($DH255)&gt;0,($CY255*cfg_TroyOz)/($DH255),""),"")</f>
        <v/>
      </c>
      <c r="DU255" s="56">
        <f>IFERROR(IF(($DI255)&gt;0,($CZ255*cfg_TroyOz)/($DI255),""),"")</f>
        <v/>
      </c>
      <c r="DV255" s="56">
        <f>IFERROR(IF(($DJ255)&gt;0,($DA255*cfg_TroyOz)/($DJ255),""),"")</f>
        <v/>
      </c>
      <c r="DW255" s="56">
        <f>IFERROR(IF(($DK255)&gt;0,($DB255*cfg_TroyOz)/($DK255),""),"")</f>
        <v/>
      </c>
      <c r="DX255" s="56">
        <f>IFERROR(IF(($DL255)&gt;0,($DC255*cfg_TroyOz)/($DL255),""),"")</f>
        <v/>
      </c>
      <c r="DY255" s="67">
        <f>IFERROR(IF(($DM255)&gt;0,($DD255)/($DM255),""),"")</f>
        <v/>
      </c>
      <c r="DZ255" s="67">
        <f>IFERROR(IF(($DN255)&gt;0,($DE255)/($DN255),""),"")</f>
        <v/>
      </c>
      <c r="EA255" s="67">
        <f>IFERROR(IF(($DO255)&gt;0,($DF255)/($DO255),""),"")</f>
        <v/>
      </c>
      <c r="EB255" s="55">
        <f>SUMIFS(tblPlant[Gravity_Gold_oz],tblPlant[Date],$A255)</f>
        <v/>
      </c>
      <c r="EC255" s="55">
        <f>IF($B255=$B254,$EC254,0)+$EB255</f>
        <v/>
      </c>
      <c r="ED255" s="55">
        <f>$ED254+$EB255</f>
        <v/>
      </c>
      <c r="EE255" s="67">
        <f>IFERROR(IF(($DD255)&gt;0,($EB255)/($DD255),""),"")</f>
        <v/>
      </c>
      <c r="EF255" s="67">
        <f>IFERROR(IF(($DE255)&gt;0,($EC255)/($DE255),""),"")</f>
        <v/>
      </c>
      <c r="EG255" s="67">
        <f>IFERROR(IF(($DF255)&gt;0,($ED255)/($DF255),""),"")</f>
        <v/>
      </c>
      <c r="EH255" s="55">
        <f>SUMIFS(tblPlant[Gold_Poured_oz],tblPlant[Date],$A255)</f>
        <v/>
      </c>
      <c r="EI255" s="55">
        <f>IF($B255=$B254,$EI254,0)+$EH255</f>
        <v/>
      </c>
      <c r="EJ255" s="55">
        <f>$EJ254+$EH255</f>
        <v/>
      </c>
      <c r="EK255" s="57">
        <f>SUMIFS(tblPlant[Mill_Run_h],tblPlant[Date],$A255)</f>
        <v/>
      </c>
      <c r="EL255" s="57">
        <f>IF($B255=$B254,$EL254,0)+$EK255</f>
        <v/>
      </c>
      <c r="EM255" s="57">
        <f>$EM254+$EK255</f>
        <v/>
      </c>
      <c r="EN255" s="57">
        <f>SUMIFS(tblPlant[Mill_Planned_Maint_h],tblPlant[Date],$A255)</f>
        <v/>
      </c>
      <c r="EO255" s="57">
        <f>IF($B255=$B254,$EO254,0)+$EN255</f>
        <v/>
      </c>
      <c r="EP255" s="57">
        <f>$EP254+$EN255</f>
        <v/>
      </c>
      <c r="EQ255" s="57">
        <f>SUMIFS(tblPlant[Mill_Unplanned_Down_h],tblPlant[Date],$A255)</f>
        <v/>
      </c>
      <c r="ER255" s="57">
        <f>IF($B255=$B254,$ER254,0)+$EQ255</f>
        <v/>
      </c>
      <c r="ES255" s="57">
        <f>$ES254+$EQ255</f>
        <v/>
      </c>
      <c r="ET255" s="57">
        <f>IF(COUNTIFS(tblPlant[Date],$A255,tblPlant[Mill_Run_h],"&lt;&gt;")+COUNTIFS(tblPlant[Date],$A255,tblPlant[Mill_Planned_Maint_h],"&lt;&gt;")+COUNTIFS(tblPlant[Date],$A255,tblPlant[Mill_Unplanned_Down_h],"&lt;&gt;")&gt;0,cfg_HoursPerDay,0)</f>
        <v/>
      </c>
      <c r="EU255" s="57">
        <f>IF($B255=$B254,$EU254,0)+$ET255</f>
        <v/>
      </c>
      <c r="EV255" s="57">
        <f>$EV254+$ET255</f>
        <v/>
      </c>
      <c r="EW255" s="57">
        <f>SUMIFS(tblPlant[Crusher_Run_h],tblPlant[Date],$A255)</f>
        <v/>
      </c>
      <c r="EX255" s="57">
        <f>IF($B255=$B254,$EX254,0)+$EW255</f>
        <v/>
      </c>
      <c r="EY255" s="57">
        <f>$EY254+$EW255</f>
        <v/>
      </c>
      <c r="EZ255" s="55">
        <f>IFERROR(IF(($EK255)&gt;0,($DP255)/($EK255),""),"")</f>
        <v/>
      </c>
      <c r="FA255" s="55">
        <f>IFERROR(IF(($EL255)&gt;0,($DQ255)/($EL255),""),"")</f>
        <v/>
      </c>
      <c r="FB255" s="55">
        <f>IFERROR(IF(($EM255)&gt;0,($DR255)/($EM255),""),"")</f>
        <v/>
      </c>
      <c r="FC255" s="67">
        <f>IFERROR(IF(($ET255)&gt;0,($ET255-$EN255-$EQ255)/($ET255),""),"")</f>
        <v/>
      </c>
      <c r="FD255" s="67">
        <f>IFERROR(IF(($EU255)&gt;0,($EU255-$EO255-$ER255)/($EU255),""),"")</f>
        <v/>
      </c>
      <c r="FE255" s="67">
        <f>IFERROR(IF(($EV255)&gt;0,($EV255-$EP255-$ES255)/($EV255),""),"")</f>
        <v/>
      </c>
      <c r="FF255" s="67">
        <f>IFERROR(IF(($ET255-$EN255-$EQ255)&gt;0,($EK255)/($ET255-$EN255-$EQ255),""),"")</f>
        <v/>
      </c>
      <c r="FG255" s="67">
        <f>IFERROR(IF(($EU255-$EO255-$ER255)&gt;0,($EL255)/($EU255-$EO255-$ER255),""),"")</f>
        <v/>
      </c>
      <c r="FH255" s="67">
        <f>IFERROR(IF(($EV255-$EP255-$ES255)&gt;0,($EM255)/($EV255-$EP255-$ES255),""),"")</f>
        <v/>
      </c>
      <c r="FI255" s="55">
        <f>SUMIFS(tblPlant[Cyanide_kg],tblPlant[Date],$A255)</f>
        <v/>
      </c>
      <c r="FJ255" s="55">
        <f>IF($B255=$B254,$FJ254,0)+$FI255</f>
        <v/>
      </c>
      <c r="FK255" s="55">
        <f>$FK254+$FI255</f>
        <v/>
      </c>
      <c r="FL255" s="55">
        <f>SUMIFS(tblPlant[Lime_kg],tblPlant[Date],$A255)</f>
        <v/>
      </c>
      <c r="FM255" s="55">
        <f>IF($B255=$B254,$FM254,0)+$FL255</f>
        <v/>
      </c>
      <c r="FN255" s="55">
        <f>$FN254+$FL255</f>
        <v/>
      </c>
      <c r="FO255" s="55">
        <f>SUMIFS(tblPlant[Grinding_Media_kg],tblPlant[Date],$A255)</f>
        <v/>
      </c>
      <c r="FP255" s="55">
        <f>IF($B255=$B254,$FP254,0)+$FO255</f>
        <v/>
      </c>
      <c r="FQ255" s="55">
        <f>$FQ254+$FO255</f>
        <v/>
      </c>
      <c r="FR255" s="55">
        <f>SUMIFS(tblPlant[Power_kWh],tblPlant[Date],$A255)</f>
        <v/>
      </c>
      <c r="FS255" s="55">
        <f>IF($B255=$B254,$FS254,0)+$FR255</f>
        <v/>
      </c>
      <c r="FT255" s="55">
        <f>$FT254+$FR255</f>
        <v/>
      </c>
      <c r="FU255" s="55">
        <f>SUMIFS(tblPlant[Raw_Water_m3],tblPlant[Date],$A255)</f>
        <v/>
      </c>
      <c r="FV255" s="55">
        <f>IF($B255=$B254,$FV254,0)+$FU255</f>
        <v/>
      </c>
      <c r="FW255" s="55">
        <f>$FW254+$FU255</f>
        <v/>
      </c>
      <c r="FX255" s="56">
        <f>IFERROR(IF(($CU255)&gt;0,($FI255)/($CU255),""),"")</f>
        <v/>
      </c>
      <c r="FY255" s="56">
        <f>IFERROR(IF(($CV255)&gt;0,($FJ255)/($CV255),""),"")</f>
        <v/>
      </c>
      <c r="FZ255" s="56">
        <f>IFERROR(IF(($CW255)&gt;0,($FK255)/($CW255),""),"")</f>
        <v/>
      </c>
      <c r="GA255" s="56">
        <f>IFERROR(IF(($CU255)&gt;0,($FL255)/($CU255),""),"")</f>
        <v/>
      </c>
      <c r="GB255" s="56">
        <f>IFERROR(IF(($CV255)&gt;0,($FM255)/($CV255),""),"")</f>
        <v/>
      </c>
      <c r="GC255" s="56">
        <f>IFERROR(IF(($CW255)&gt;0,($FN255)/($CW255),""),"")</f>
        <v/>
      </c>
      <c r="GD255" s="56">
        <f>IFERROR(IF(($CU255)&gt;0,($FO255)/($CU255),""),"")</f>
        <v/>
      </c>
      <c r="GE255" s="56">
        <f>IFERROR(IF(($CV255)&gt;0,($FP255)/($CV255),""),"")</f>
        <v/>
      </c>
      <c r="GF255" s="56">
        <f>IFERROR(IF(($CW255)&gt;0,($FQ255)/($CW255),""),"")</f>
        <v/>
      </c>
      <c r="GG255" s="79">
        <f>IFERROR(IF(($CU255)&gt;0,($FR255)/($CU255),""),"")</f>
        <v/>
      </c>
      <c r="GH255" s="79">
        <f>IFERROR(IF(($CV255)&gt;0,($FS255)/($CV255),""),"")</f>
        <v/>
      </c>
      <c r="GI255" s="79">
        <f>IFERROR(IF(($CW255)&gt;0,($FT255)/($CW255),""),"")</f>
        <v/>
      </c>
      <c r="GJ255" s="56">
        <f>IFERROR(IF(($CU255)&gt;0,($FU255)/($CU255),""),"")</f>
        <v/>
      </c>
      <c r="GK255" s="56">
        <f>IFERROR(IF(($CV255)&gt;0,($FV255)/($CV255),""),"")</f>
        <v/>
      </c>
      <c r="GL255" s="56">
        <f>IFERROR(IF(($CW255)&gt;0,($FW255)/($CW255),""),"")</f>
        <v/>
      </c>
      <c r="GM255" s="55">
        <f>IF(SUMIFS(tblPlant[GIC_oz],tblPlant[Date],$A255)&gt;0,SUMIFS(tblPlant[GIC_oz],tblPlant[Date],$A255),"")</f>
        <v/>
      </c>
      <c r="GN255" s="55">
        <f>SUMIFS(tblGold[Gold_oz],tblGold[Date],$A255,tblGold[Type],"Shipment")</f>
        <v/>
      </c>
      <c r="GO255" s="55">
        <f>IF($B255=$B254,$GO254,0)+$GN255</f>
        <v/>
      </c>
      <c r="GP255" s="55">
        <f>$GP254+$GN255</f>
        <v/>
      </c>
      <c r="GQ255" s="55">
        <f>SUMIFS(tblGold[Gold_oz],tblGold[Date],$A255,tblGold[Type],"Sale")</f>
        <v/>
      </c>
      <c r="GR255" s="55">
        <f>IF($B255=$B254,$GR254,0)+$GQ255</f>
        <v/>
      </c>
      <c r="GS255" s="55">
        <f>$GS254+$GQ255</f>
        <v/>
      </c>
      <c r="GT255" s="55">
        <f>SUMIFS(tblGold[Dore_kg],tblGold[Date],$A255,tblGold[Type],"Shipment")</f>
        <v/>
      </c>
      <c r="GU255" s="55">
        <f>IF($B255=$B254,$GU254,0)+$GT255</f>
        <v/>
      </c>
      <c r="GV255" s="55">
        <f>$GV254+$GT255</f>
        <v/>
      </c>
      <c r="GW255" s="57">
        <f>SUMIFS(tblSafety[Hours_Total],tblSafety[Date],$A255)</f>
        <v/>
      </c>
      <c r="GX255" s="57">
        <f>IF($B255=$B254,$GX254,0)+$GW255</f>
        <v/>
      </c>
      <c r="GY255" s="57">
        <f>$GY254+$GW255</f>
        <v/>
      </c>
      <c r="GZ255" s="62">
        <f>SUMIFS(tblSafety[Fatality],tblSafety[Date],$A255)</f>
        <v/>
      </c>
      <c r="HA255" s="62">
        <f>IF($B255=$B254,$HA254,0)+$GZ255</f>
        <v/>
      </c>
      <c r="HB255" s="62">
        <f>$HB254+$GZ255</f>
        <v/>
      </c>
      <c r="HC255" s="62">
        <f>SUMIFS(tblSafety[LTI],tblSafety[Date],$A255)</f>
        <v/>
      </c>
      <c r="HD255" s="62">
        <f>IF($B255=$B254,$HD254,0)+$HC255</f>
        <v/>
      </c>
      <c r="HE255" s="62">
        <f>$HE254+$HC255</f>
        <v/>
      </c>
      <c r="HF255" s="62">
        <f>SUMIFS(tblSafety[RWI],tblSafety[Date],$A255)</f>
        <v/>
      </c>
      <c r="HG255" s="62">
        <f>IF($B255=$B254,$HG254,0)+$HF255</f>
        <v/>
      </c>
      <c r="HH255" s="62">
        <f>$HH254+$HF255</f>
        <v/>
      </c>
      <c r="HI255" s="62">
        <f>SUMIFS(tblSafety[MTI],tblSafety[Date],$A255)</f>
        <v/>
      </c>
      <c r="HJ255" s="62">
        <f>IF($B255=$B254,$HJ254,0)+$HI255</f>
        <v/>
      </c>
      <c r="HK255" s="62">
        <f>$HK254+$HI255</f>
        <v/>
      </c>
      <c r="HL255" s="62">
        <f>SUMIFS(tblSafety[FAI],tblSafety[Date],$A255)</f>
        <v/>
      </c>
      <c r="HM255" s="62">
        <f>IF($B255=$B254,$HM254,0)+$HL255</f>
        <v/>
      </c>
      <c r="HN255" s="62">
        <f>$HN254+$HL255</f>
        <v/>
      </c>
      <c r="HO255" s="62">
        <f>SUMIFS(tblSafety[Recordables],tblSafety[Date],$A255)</f>
        <v/>
      </c>
      <c r="HP255" s="62">
        <f>IF($B255=$B254,$HP254,0)+$HO255</f>
        <v/>
      </c>
      <c r="HQ255" s="62">
        <f>$HQ254+$HO255</f>
        <v/>
      </c>
      <c r="HR255" s="62">
        <f>SUMIFS(tblSafety[Near_Miss],tblSafety[Date],$A255)</f>
        <v/>
      </c>
      <c r="HS255" s="62">
        <f>IF($B255=$B254,$HS254,0)+$HR255</f>
        <v/>
      </c>
      <c r="HT255" s="62">
        <f>$HT254+$HR255</f>
        <v/>
      </c>
      <c r="HU255" s="62">
        <f>SUMIFS(tblSafety[Hazard_Reports],tblSafety[Date],$A255)</f>
        <v/>
      </c>
      <c r="HV255" s="62">
        <f>IF($B255=$B254,$HV254,0)+$HU255</f>
        <v/>
      </c>
      <c r="HW255" s="62">
        <f>$HW254+$HU255</f>
        <v/>
      </c>
      <c r="HX255" s="62">
        <f>SUMIFS(tblSafety[HPI],tblSafety[Date],$A255)</f>
        <v/>
      </c>
      <c r="HY255" s="62">
        <f>IF($B255=$B254,$HY254,0)+$HX255</f>
        <v/>
      </c>
      <c r="HZ255" s="62">
        <f>$HZ254+$HX255</f>
        <v/>
      </c>
      <c r="IA255" s="62">
        <f>SUMIFS(tblSafety[Env_Incidents],tblSafety[Date],$A255)</f>
        <v/>
      </c>
      <c r="IB255" s="62">
        <f>IF($B255=$B254,$IB254,0)+$IA255</f>
        <v/>
      </c>
      <c r="IC255" s="62">
        <f>$IC254+$IA255</f>
        <v/>
      </c>
      <c r="ID255" s="62">
        <f>SUMIFS(tblSafety[Community_Incidents],tblSafety[Date],$A255)</f>
        <v/>
      </c>
      <c r="IE255" s="62">
        <f>IF($B255=$B254,$IE254,0)+$ID255</f>
        <v/>
      </c>
      <c r="IF255" s="62">
        <f>$IF254+$ID255</f>
        <v/>
      </c>
      <c r="IG255" s="62">
        <f>SUMIFS(tblSafety[Vehicle_Incidents],tblSafety[Date],$A255)</f>
        <v/>
      </c>
      <c r="IH255" s="62">
        <f>IF($B255=$B254,$IH254,0)+$IG255</f>
        <v/>
      </c>
      <c r="II255" s="62">
        <f>$II254+$IG255</f>
        <v/>
      </c>
      <c r="IJ255" s="62">
        <f>SUMIFS(tblSafety[Toolbox_Talks],tblSafety[Date],$A255)</f>
        <v/>
      </c>
      <c r="IK255" s="62">
        <f>IF($B255=$B254,$IK254,0)+$IJ255</f>
        <v/>
      </c>
      <c r="IL255" s="62">
        <f>$IL254+$IJ255</f>
        <v/>
      </c>
      <c r="IM255" s="62">
        <f>SUMIFS(tblSafety[Inspections],tblSafety[Date],$A255)</f>
        <v/>
      </c>
      <c r="IN255" s="62">
        <f>IF($B255=$B254,$IN254,0)+$IM255</f>
        <v/>
      </c>
      <c r="IO255" s="62">
        <f>$IO254+$IM255</f>
        <v/>
      </c>
      <c r="IP255" s="56">
        <f>IFERROR((SUMIFS(tblSafety[Recordables],tblSafety[Date],"&gt;="&amp;EDATE($E255,-12),tblSafety[Date],"&lt;="&amp;$A255)+SUMIFS(tblSafetyHistory[Recordables],tblSafetyHistory[Month],"&gt;="&amp;EDATE($E255,-12),tblSafetyHistory[Month],"&lt;"&amp;$E255,tblSafetyHistory[Use],1))/(SUMIFS(tblSafety[Hours_Total],tblSafety[Date],"&gt;="&amp;EDATE($E255,-12),tblSafety[Date],"&lt;="&amp;$A255)+SUMIFS(tblSafetyHistory[Hours_Total],tblSafetyHistory[Month],"&gt;="&amp;EDATE($E255,-12),tblSafetyHistory[Month],"&lt;"&amp;$E255,tblSafetyHistory[Use],1))*cfg_RateBasisHours,"")</f>
        <v/>
      </c>
      <c r="IQ255" s="56">
        <f>IFERROR((SUMIFS(tblSafety[LTI],tblSafety[Date],"&gt;="&amp;EDATE($E255,-12),tblSafety[Date],"&lt;="&amp;$A255)+SUMIFS(tblSafetyHistory[LTI],tblSafetyHistory[Month],"&gt;="&amp;EDATE($E255,-12),tblSafetyHistory[Month],"&lt;"&amp;$E255,tblSafetyHistory[Use],1))/(SUMIFS(tblSafety[Hours_Total],tblSafety[Date],"&gt;="&amp;EDATE($E255,-12),tblSafety[Date],"&lt;="&amp;$A255)+SUMIFS(tblSafetyHistory[Hours_Total],tblSafetyHistory[Month],"&gt;="&amp;EDATE($E255,-12),tblSafetyHistory[Month],"&lt;"&amp;$E255,tblSafetyHistory[Use],1))*cfg_RateBasisHours,"")</f>
        <v/>
      </c>
      <c r="IR255" s="62">
        <f>IF(MAX(N(cfg_PriorLTIDate),_xlfn.MAXIFS(tblSafety[Date],tblSafety[LTI],"&gt;0",tblSafety[Date],"&lt;="&amp;$A255))=0,"",$A255-MAX(N(cfg_PriorLTIDate),_xlfn.MAXIFS(tblSafety[Date],tblSafety[LTI],"&gt;0",tblSafety[Date],"&lt;="&amp;$A255)))</f>
        <v/>
      </c>
      <c r="IS255" s="55">
        <f>SUMIFS(tblBudget[Ore_Mined_t],tblBudget[Month],$E255)</f>
        <v/>
      </c>
      <c r="IT255" s="55">
        <f>$IS255*$C255/$D255</f>
        <v/>
      </c>
      <c r="IU255" s="55">
        <f>SUMIFS(tblBudget[Ore_Mined_t],tblBudget[Month],"&lt;"&amp;$E255)+$IT255</f>
        <v/>
      </c>
      <c r="IV255" s="55">
        <f>SUMIFS(tblBudget[Ore_oz],tblBudget[Month],$E255)</f>
        <v/>
      </c>
      <c r="IW255" s="55">
        <f>$IV255*$C255/$D255</f>
        <v/>
      </c>
      <c r="IX255" s="55">
        <f>SUMIFS(tblBudget[Ore_oz],tblBudget[Month],"&lt;"&amp;$E255)+$IW255</f>
        <v/>
      </c>
      <c r="IY255" s="55">
        <f>SUMIFS(tblBudget[Ore_Mined_t],tblBudget[Month],$E255)</f>
        <v/>
      </c>
      <c r="IZ255" s="55">
        <f>$IY255*$C255/$D255</f>
        <v/>
      </c>
      <c r="JA255" s="55">
        <f>SUMIFS(tblBudget[Ore_Mined_t],tblBudget[Month],"&lt;"&amp;$E255)+$IZ255</f>
        <v/>
      </c>
      <c r="JB255" s="56">
        <f>IFERROR(IF(($IY255)&gt;0,($IV255*cfg_TroyOz)/($IY255),""),"")</f>
        <v/>
      </c>
      <c r="JC255" s="56">
        <f>IFERROR(IF(($IZ255)&gt;0,($IW255*cfg_TroyOz)/($IZ255),""),"")</f>
        <v/>
      </c>
      <c r="JD255" s="56">
        <f>IFERROR(IF(($JA255)&gt;0,($IX255*cfg_TroyOz)/($JA255),""),"")</f>
        <v/>
      </c>
      <c r="JE255" s="55">
        <f>SUMIFS(tblBudget[Waste_t],tblBudget[Month],$E255)</f>
        <v/>
      </c>
      <c r="JF255" s="55">
        <f>$JE255*$C255/$D255</f>
        <v/>
      </c>
      <c r="JG255" s="55">
        <f>SUMIFS(tblBudget[Waste_t],tblBudget[Month],"&lt;"&amp;$E255)+$JF255</f>
        <v/>
      </c>
      <c r="JH255" s="55">
        <f>SUMIFS(tblBudget[TMM_t],tblBudget[Month],$E255)</f>
        <v/>
      </c>
      <c r="JI255" s="55">
        <f>$JH255*$C255/$D255</f>
        <v/>
      </c>
      <c r="JJ255" s="55">
        <f>SUMIFS(tblBudget[TMM_t],tblBudget[Month],"&lt;"&amp;$E255)+$JI255</f>
        <v/>
      </c>
      <c r="JK255" s="56">
        <f>IFERROR(IF(($IS255)&gt;0,($JE255)/($IS255),""),"")</f>
        <v/>
      </c>
      <c r="JL255" s="56">
        <f>IFERROR(IF(($IT255)&gt;0,($JF255)/($IT255),""),"")</f>
        <v/>
      </c>
      <c r="JM255" s="56">
        <f>IFERROR(IF(($IU255)&gt;0,($JG255)/($IU255),""),"")</f>
        <v/>
      </c>
      <c r="JN255" s="55">
        <f>SUMIFS(tblBudget[Drill_m],tblBudget[Month],$E255)</f>
        <v/>
      </c>
      <c r="JO255" s="55">
        <f>$JN255*$C255/$D255</f>
        <v/>
      </c>
      <c r="JP255" s="55">
        <f>SUMIFS(tblBudget[Drill_m],tblBudget[Month],"&lt;"&amp;$E255)+$JO255</f>
        <v/>
      </c>
      <c r="JQ255" s="55">
        <f>SUMIFS(tblBudget[Diesel_L],tblBudget[Month],$E255)</f>
        <v/>
      </c>
      <c r="JR255" s="55">
        <f>$JQ255*$C255/$D255</f>
        <v/>
      </c>
      <c r="JS255" s="55">
        <f>SUMIFS(tblBudget[Diesel_L],tblBudget[Month],"&lt;"&amp;$E255)+$JR255</f>
        <v/>
      </c>
      <c r="JT255" s="55">
        <f>SUMIFS(tblBudget[Milled_t],tblBudget[Month],$E255)</f>
        <v/>
      </c>
      <c r="JU255" s="55">
        <f>$JT255*$C255/$D255</f>
        <v/>
      </c>
      <c r="JV255" s="55">
        <f>SUMIFS(tblBudget[Milled_t],tblBudget[Month],"&lt;"&amp;$E255)+$JU255</f>
        <v/>
      </c>
      <c r="JW255" s="55">
        <f>SUMIFS(tblBudget[Feed_oz],tblBudget[Month],$E255)</f>
        <v/>
      </c>
      <c r="JX255" s="55">
        <f>$JW255*$C255/$D255</f>
        <v/>
      </c>
      <c r="JY255" s="55">
        <f>SUMIFS(tblBudget[Feed_oz],tblBudget[Month],"&lt;"&amp;$E255)+$JX255</f>
        <v/>
      </c>
      <c r="JZ255" s="55">
        <f>SUMIFS(tblBudget[Recovered_oz],tblBudget[Month],$E255)</f>
        <v/>
      </c>
      <c r="KA255" s="55">
        <f>$JZ255*$C255/$D255</f>
        <v/>
      </c>
      <c r="KB255" s="55">
        <f>SUMIFS(tblBudget[Recovered_oz],tblBudget[Month],"&lt;"&amp;$E255)+$KA255</f>
        <v/>
      </c>
      <c r="KC255" s="55">
        <f>SUMIFS(tblBudget[Milled_t],tblBudget[Month],$E255)</f>
        <v/>
      </c>
      <c r="KD255" s="55">
        <f>$KC255*$C255/$D255</f>
        <v/>
      </c>
      <c r="KE255" s="55">
        <f>SUMIFS(tblBudget[Milled_t],tblBudget[Month],"&lt;"&amp;$E255)+$KD255</f>
        <v/>
      </c>
      <c r="KF255" s="55">
        <f>SUMIFS(tblBudget[Feed_oz],tblBudget[Month],$E255)</f>
        <v/>
      </c>
      <c r="KG255" s="55">
        <f>$KF255*$C255/$D255</f>
        <v/>
      </c>
      <c r="KH255" s="55">
        <f>SUMIFS(tblBudget[Feed_oz],tblBudget[Month],"&lt;"&amp;$E255)+$KG255</f>
        <v/>
      </c>
      <c r="KI255" s="56">
        <f>IFERROR(IF(($KC255)&gt;0,($JW255*cfg_TroyOz)/($KC255),""),"")</f>
        <v/>
      </c>
      <c r="KJ255" s="56">
        <f>IFERROR(IF(($KD255)&gt;0,($JX255*cfg_TroyOz)/($KD255),""),"")</f>
        <v/>
      </c>
      <c r="KK255" s="56">
        <f>IFERROR(IF(($KE255)&gt;0,($JY255*cfg_TroyOz)/($KE255),""),"")</f>
        <v/>
      </c>
      <c r="KL255" s="67">
        <f>IFERROR(IF(($KF255)&gt;0,($JZ255)/($KF255),""),"")</f>
        <v/>
      </c>
      <c r="KM255" s="67">
        <f>IFERROR(IF(($KG255)&gt;0,($KA255)/($KG255),""),"")</f>
        <v/>
      </c>
      <c r="KN255" s="67">
        <f>IFERROR(IF(($KH255)&gt;0,($KB255)/($KH255),""),"")</f>
        <v/>
      </c>
      <c r="KO255" s="55">
        <f>SUMIFS(tblBudget[Gold_Poured_oz],tblBudget[Month],$E255)</f>
        <v/>
      </c>
      <c r="KP255" s="55">
        <f>$KO255*$C255/$D255</f>
        <v/>
      </c>
      <c r="KQ255" s="55">
        <f>SUMIFS(tblBudget[Gold_Poured_oz],tblBudget[Month],"&lt;"&amp;$E255)+$KP255</f>
        <v/>
      </c>
      <c r="KR255" s="57">
        <f>SUMIFS(tblBudget[Hours_Worked],tblBudget[Month],$E255)</f>
        <v/>
      </c>
      <c r="KS255" s="57">
        <f>$KR255*$C255/$D255</f>
        <v/>
      </c>
      <c r="KT255" s="57">
        <f>SUMIFS(tblBudget[Hours_Worked],tblBudget[Month],"&lt;"&amp;$E255)+$KS255</f>
        <v/>
      </c>
    </row>
    <row r="256">
      <c r="A256" s="54" t="n">
        <v>46277</v>
      </c>
      <c r="B256">
        <f>MONTH($A256)</f>
        <v/>
      </c>
      <c r="C256">
        <f>DAY($A256)</f>
        <v/>
      </c>
      <c r="D256">
        <f>DAY(EOMONTH($A256,0))</f>
        <v/>
      </c>
      <c r="E256" s="54">
        <f>DATE(YEAR($A256),MONTH($A256),1)</f>
        <v/>
      </c>
      <c r="F256" s="55">
        <f>SUMIFS(tblMovement[Tonnes_t],tblMovement[Date],$A256,tblMovement[Is_Ore],1,tblMovement[Source_Type],"Pit")</f>
        <v/>
      </c>
      <c r="G256" s="55">
        <f>IF($B256=$B255,$G255,0)+$F256</f>
        <v/>
      </c>
      <c r="H256" s="55">
        <f>$H255+$F256</f>
        <v/>
      </c>
      <c r="I256" s="55">
        <f>SUMIFS(tblMovement[Ore_oz],tblMovement[Date],$A256,tblMovement[Source_Type],"Pit")</f>
        <v/>
      </c>
      <c r="J256" s="55">
        <f>IF($B256=$B255,$J255,0)+$I256</f>
        <v/>
      </c>
      <c r="K256" s="55">
        <f>$K255+$I256</f>
        <v/>
      </c>
      <c r="L256" s="55">
        <f>SUMIFS(tblMovement[Tonnes_t],tblMovement[Date],$A256,tblMovement[Is_Ore],1,tblMovement[Source_Type],"Pit",tblMovement[Grade_gpt],"&lt;&gt;")</f>
        <v/>
      </c>
      <c r="M256" s="55">
        <f>IF($B256=$B255,$M255,0)+$L256</f>
        <v/>
      </c>
      <c r="N256" s="55">
        <f>$N255+$L256</f>
        <v/>
      </c>
      <c r="O256" s="56">
        <f>IFERROR(IF(($L256)&gt;0,($I256*cfg_TroyOz)/($L256),""),"")</f>
        <v/>
      </c>
      <c r="P256" s="56">
        <f>IFERROR(IF(($M256)&gt;0,($J256*cfg_TroyOz)/($M256),""),"")</f>
        <v/>
      </c>
      <c r="Q256" s="56">
        <f>IFERROR(IF(($N256)&gt;0,($K256*cfg_TroyOz)/($N256),""),"")</f>
        <v/>
      </c>
      <c r="R256" s="55">
        <f>$F256-$L256</f>
        <v/>
      </c>
      <c r="S256" s="55">
        <f>IF($B256=$B255,$S255,0)+$R256</f>
        <v/>
      </c>
      <c r="T256" s="55">
        <f>$T255+$R256</f>
        <v/>
      </c>
      <c r="U256" s="55">
        <f>SUMIFS(tblMovement[Tonnes_t],tblMovement[Date],$A256,tblMovement[Is_Ore],0,tblMovement[Source_Type],"Pit")</f>
        <v/>
      </c>
      <c r="V256" s="55">
        <f>IF($B256=$B255,$V255,0)+$U256</f>
        <v/>
      </c>
      <c r="W256" s="55">
        <f>$W255+$U256</f>
        <v/>
      </c>
      <c r="X256" s="55">
        <f>$F256+$U256</f>
        <v/>
      </c>
      <c r="Y256" s="55">
        <f>IF($B256=$B255,$Y255,0)+$X256</f>
        <v/>
      </c>
      <c r="Z256" s="55">
        <f>$Z255+$X256</f>
        <v/>
      </c>
      <c r="AA256" s="56">
        <f>IFERROR(IF(($F256)&gt;0,($U256)/($F256),""),"")</f>
        <v/>
      </c>
      <c r="AB256" s="56">
        <f>IFERROR(IF(($G256)&gt;0,($V256)/($G256),""),"")</f>
        <v/>
      </c>
      <c r="AC256" s="56">
        <f>IFERROR(IF(($H256)&gt;0,($W256)/($H256),""),"")</f>
        <v/>
      </c>
      <c r="AD256" s="55">
        <f>SUMIFS(tblMovement[Tonnes_t],tblMovement[Date],$A256,tblMovement[Source_Type],"Stockpile")</f>
        <v/>
      </c>
      <c r="AE256" s="55">
        <f>IF($B256=$B255,$AE255,0)+$AD256</f>
        <v/>
      </c>
      <c r="AF256" s="55">
        <f>$AF255+$AD256</f>
        <v/>
      </c>
      <c r="AG256" s="55">
        <f>SUMIFS(tblMovement[Tonnes_t],tblMovement[Date],$A256)</f>
        <v/>
      </c>
      <c r="AH256" s="55">
        <f>IF($B256=$B255,$AH255,0)+$AG256</f>
        <v/>
      </c>
      <c r="AI256" s="55">
        <f>$AI255+$AG256</f>
        <v/>
      </c>
      <c r="AJ256" s="55">
        <f>$AG256-$X256-$AD256</f>
        <v/>
      </c>
      <c r="AK256" s="55">
        <f>IF($B256=$B255,$AK255,0)+$AJ256</f>
        <v/>
      </c>
      <c r="AL256" s="55">
        <f>$AL255+$AJ256</f>
        <v/>
      </c>
      <c r="AM256" s="55">
        <f>SUMIFS(tblMiningDaily[Drill_m],tblMiningDaily[Date],$A256)</f>
        <v/>
      </c>
      <c r="AN256" s="55">
        <f>IF($B256=$B255,$AN255,0)+$AM256</f>
        <v/>
      </c>
      <c r="AO256" s="55">
        <f>$AO255+$AM256</f>
        <v/>
      </c>
      <c r="AP256" s="55">
        <f>SUMIFS(tblMiningDaily[GC_Drill_m],tblMiningDaily[Date],$A256)</f>
        <v/>
      </c>
      <c r="AQ256" s="55">
        <f>IF($B256=$B255,$AQ255,0)+$AP256</f>
        <v/>
      </c>
      <c r="AR256" s="55">
        <f>$AR255+$AP256</f>
        <v/>
      </c>
      <c r="AS256" s="55">
        <f>SUMIFS(tblMiningDaily[Blast_t],tblMiningDaily[Date],$A256)</f>
        <v/>
      </c>
      <c r="AT256" s="55">
        <f>IF($B256=$B255,$AT255,0)+$AS256</f>
        <v/>
      </c>
      <c r="AU256" s="55">
        <f>$AU255+$AS256</f>
        <v/>
      </c>
      <c r="AV256" s="55">
        <f>SUMIFS(tblMiningDaily[Explosives_kg],tblMiningDaily[Date],$A256)</f>
        <v/>
      </c>
      <c r="AW256" s="55">
        <f>IF($B256=$B255,$AW255,0)+$AV256</f>
        <v/>
      </c>
      <c r="AX256" s="55">
        <f>$AX255+$AV256</f>
        <v/>
      </c>
      <c r="AY256" s="56">
        <f>IFERROR(IF(($AS256)&gt;0,($AV256)/($AS256),""),"")</f>
        <v/>
      </c>
      <c r="AZ256" s="56">
        <f>IFERROR(IF(($AT256)&gt;0,($AW256)/($AT256),""),"")</f>
        <v/>
      </c>
      <c r="BA256" s="56">
        <f>IFERROR(IF(($AU256)&gt;0,($AX256)/($AU256),""),"")</f>
        <v/>
      </c>
      <c r="BB256" s="55">
        <f>SUMIFS(tblMiningDaily[Diesel_L],tblMiningDaily[Date],$A256)</f>
        <v/>
      </c>
      <c r="BC256" s="55">
        <f>IF($B256=$B255,$BC255,0)+$BB256</f>
        <v/>
      </c>
      <c r="BD256" s="55">
        <f>$BD255+$BB256</f>
        <v/>
      </c>
      <c r="BE256" s="55">
        <f>SUMIFS(tblMiningDaily[Dewatering_m3],tblMiningDaily[Date],$A256)</f>
        <v/>
      </c>
      <c r="BF256" s="55">
        <f>IF($B256=$B255,$BF255,0)+$BE256</f>
        <v/>
      </c>
      <c r="BG256" s="55">
        <f>$BG255+$BE256</f>
        <v/>
      </c>
      <c r="BH256" s="57">
        <f>SUMIFS(tblFleet[Calendar_h],tblFleet[Date],$A256,tblFleet[Equipment_Class],"Excavator")</f>
        <v/>
      </c>
      <c r="BI256" s="57">
        <f>IF($B256=$B255,$BI255,0)+$BH256</f>
        <v/>
      </c>
      <c r="BJ256" s="57">
        <f>$BJ255+$BH256</f>
        <v/>
      </c>
      <c r="BK256" s="57">
        <f>SUMIFS(tblFleet[Available_h],tblFleet[Date],$A256,tblFleet[Equipment_Class],"Excavator")</f>
        <v/>
      </c>
      <c r="BL256" s="57">
        <f>IF($B256=$B255,$BL255,0)+$BK256</f>
        <v/>
      </c>
      <c r="BM256" s="57">
        <f>$BM255+$BK256</f>
        <v/>
      </c>
      <c r="BN256" s="57">
        <f>SUMIFS(tblFleet[Operating_h],tblFleet[Date],$A256,tblFleet[Equipment_Class],"Excavator")</f>
        <v/>
      </c>
      <c r="BO256" s="57">
        <f>IF($B256=$B255,$BO255,0)+$BN256</f>
        <v/>
      </c>
      <c r="BP256" s="57">
        <f>$BP255+$BN256</f>
        <v/>
      </c>
      <c r="BQ256" s="67">
        <f>IFERROR(IF(($BH256)&gt;0,($BK256)/($BH256),""),"")</f>
        <v/>
      </c>
      <c r="BR256" s="67">
        <f>IFERROR(IF(($BI256)&gt;0,($BL256)/($BI256),""),"")</f>
        <v/>
      </c>
      <c r="BS256" s="67">
        <f>IFERROR(IF(($BJ256)&gt;0,($BM256)/($BJ256),""),"")</f>
        <v/>
      </c>
      <c r="BT256" s="67">
        <f>IFERROR(IF(($BK256)&gt;0,($BN256)/($BK256),""),"")</f>
        <v/>
      </c>
      <c r="BU256" s="67">
        <f>IFERROR(IF(($BL256)&gt;0,($BO256)/($BL256),""),"")</f>
        <v/>
      </c>
      <c r="BV256" s="67">
        <f>IFERROR(IF(($BM256)&gt;0,($BP256)/($BM256),""),"")</f>
        <v/>
      </c>
      <c r="BW256" s="57">
        <f>SUMIFS(tblFleet[Calendar_h],tblFleet[Date],$A256,tblFleet[Equipment_Class],"Haul Truck")</f>
        <v/>
      </c>
      <c r="BX256" s="57">
        <f>IF($B256=$B255,$BX255,0)+$BW256</f>
        <v/>
      </c>
      <c r="BY256" s="57">
        <f>$BY255+$BW256</f>
        <v/>
      </c>
      <c r="BZ256" s="57">
        <f>SUMIFS(tblFleet[Available_h],tblFleet[Date],$A256,tblFleet[Equipment_Class],"Haul Truck")</f>
        <v/>
      </c>
      <c r="CA256" s="57">
        <f>IF($B256=$B255,$CA255,0)+$BZ256</f>
        <v/>
      </c>
      <c r="CB256" s="57">
        <f>$CB255+$BZ256</f>
        <v/>
      </c>
      <c r="CC256" s="57">
        <f>SUMIFS(tblFleet[Operating_h],tblFleet[Date],$A256,tblFleet[Equipment_Class],"Haul Truck")</f>
        <v/>
      </c>
      <c r="CD256" s="57">
        <f>IF($B256=$B255,$CD255,0)+$CC256</f>
        <v/>
      </c>
      <c r="CE256" s="57">
        <f>$CE255+$CC256</f>
        <v/>
      </c>
      <c r="CF256" s="67">
        <f>IFERROR(IF(($BW256)&gt;0,($BZ256)/($BW256),""),"")</f>
        <v/>
      </c>
      <c r="CG256" s="67">
        <f>IFERROR(IF(($BX256)&gt;0,($CA256)/($BX256),""),"")</f>
        <v/>
      </c>
      <c r="CH256" s="67">
        <f>IFERROR(IF(($BY256)&gt;0,($CB256)/($BY256),""),"")</f>
        <v/>
      </c>
      <c r="CI256" s="67">
        <f>IFERROR(IF(($BZ256)&gt;0,($CC256)/($BZ256),""),"")</f>
        <v/>
      </c>
      <c r="CJ256" s="67">
        <f>IFERROR(IF(($CA256)&gt;0,($CD256)/($CA256),""),"")</f>
        <v/>
      </c>
      <c r="CK256" s="67">
        <f>IFERROR(IF(($CB256)&gt;0,($CE256)/($CB256),""),"")</f>
        <v/>
      </c>
      <c r="CL256" s="55">
        <f>IFERROR(IF(($BN256)&gt;0,($X256+$AD256)/($BN256),""),"")</f>
        <v/>
      </c>
      <c r="CM256" s="55">
        <f>IFERROR(IF(($BO256)&gt;0,($Y256+$AE256)/($BO256),""),"")</f>
        <v/>
      </c>
      <c r="CN256" s="55">
        <f>IFERROR(IF(($BP256)&gt;0,($Z256+$AF256)/($BP256),""),"")</f>
        <v/>
      </c>
      <c r="CO256" s="55">
        <f>IFERROR(IF(($CC256)&gt;0,($X256+$AD256)/($CC256),""),"")</f>
        <v/>
      </c>
      <c r="CP256" s="55">
        <f>IFERROR(IF(($CD256)&gt;0,($Y256+$AE256)/($CD256),""),"")</f>
        <v/>
      </c>
      <c r="CQ256" s="55">
        <f>IFERROR(IF(($CE256)&gt;0,($Z256+$AF256)/($CE256),""),"")</f>
        <v/>
      </c>
      <c r="CR256" s="55">
        <f>SUMIFS(tblPlant[Crushed_t],tblPlant[Date],$A256)</f>
        <v/>
      </c>
      <c r="CS256" s="55">
        <f>IF($B256=$B255,$CS255,0)+$CR256</f>
        <v/>
      </c>
      <c r="CT256" s="55">
        <f>$CT255+$CR256</f>
        <v/>
      </c>
      <c r="CU256" s="55">
        <f>SUMIFS(tblPlant[Milled_t],tblPlant[Date],$A256)</f>
        <v/>
      </c>
      <c r="CV256" s="55">
        <f>IF($B256=$B255,$CV255,0)+$CU256</f>
        <v/>
      </c>
      <c r="CW256" s="55">
        <f>$CW255+$CU256</f>
        <v/>
      </c>
      <c r="CX256" s="55">
        <f>SUMIFS(tblPlant[Feed_oz],tblPlant[Date],$A256)</f>
        <v/>
      </c>
      <c r="CY256" s="55">
        <f>IF($B256=$B255,$CY255,0)+$CX256</f>
        <v/>
      </c>
      <c r="CZ256" s="55">
        <f>$CZ255+$CX256</f>
        <v/>
      </c>
      <c r="DA256" s="55">
        <f>SUMIFS(tblPlant[Tails_oz],tblPlant[Date],$A256)</f>
        <v/>
      </c>
      <c r="DB256" s="55">
        <f>IF($B256=$B255,$DB255,0)+$DA256</f>
        <v/>
      </c>
      <c r="DC256" s="55">
        <f>$DC255+$DA256</f>
        <v/>
      </c>
      <c r="DD256" s="55">
        <f>SUMIFS(tblPlant[Recovered_oz],tblPlant[Date],$A256)</f>
        <v/>
      </c>
      <c r="DE256" s="55">
        <f>IF($B256=$B255,$DE255,0)+$DD256</f>
        <v/>
      </c>
      <c r="DF256" s="55">
        <f>$DF255+$DD256</f>
        <v/>
      </c>
      <c r="DG256" s="55">
        <f>SUMIFS(tblPlant[Milled_t],tblPlant[Date],$A256,tblPlant[Head_Grade_gpt],"&lt;&gt;")</f>
        <v/>
      </c>
      <c r="DH256" s="55">
        <f>IF($B256=$B255,$DH255,0)+$DG256</f>
        <v/>
      </c>
      <c r="DI256" s="55">
        <f>$DI255+$DG256</f>
        <v/>
      </c>
      <c r="DJ256" s="55">
        <f>SUMIFS(tblPlant[Milled_t],tblPlant[Date],$A256,tblPlant[Tails_Grade_gpt],"&lt;&gt;")</f>
        <v/>
      </c>
      <c r="DK256" s="55">
        <f>IF($B256=$B255,$DK255,0)+$DJ256</f>
        <v/>
      </c>
      <c r="DL256" s="55">
        <f>$DL255+$DJ256</f>
        <v/>
      </c>
      <c r="DM256" s="55">
        <f>SUMIFS(tblPlant[Feed_oz],tblPlant[Date],$A256,tblPlant[Tails_Grade_gpt],"&lt;&gt;")</f>
        <v/>
      </c>
      <c r="DN256" s="55">
        <f>IF($B256=$B255,$DN255,0)+$DM256</f>
        <v/>
      </c>
      <c r="DO256" s="55">
        <f>$DO255+$DM256</f>
        <v/>
      </c>
      <c r="DP256" s="55">
        <f>SUMIFS(tblPlant[Milled_t],tblPlant[Date],$A256,tblPlant[Mill_Run_h],"&lt;&gt;")</f>
        <v/>
      </c>
      <c r="DQ256" s="55">
        <f>IF($B256=$B255,$DQ255,0)+$DP256</f>
        <v/>
      </c>
      <c r="DR256" s="55">
        <f>$DR255+$DP256</f>
        <v/>
      </c>
      <c r="DS256" s="56">
        <f>IFERROR(IF(($DG256)&gt;0,($CX256*cfg_TroyOz)/($DG256),""),"")</f>
        <v/>
      </c>
      <c r="DT256" s="56">
        <f>IFERROR(IF(($DH256)&gt;0,($CY256*cfg_TroyOz)/($DH256),""),"")</f>
        <v/>
      </c>
      <c r="DU256" s="56">
        <f>IFERROR(IF(($DI256)&gt;0,($CZ256*cfg_TroyOz)/($DI256),""),"")</f>
        <v/>
      </c>
      <c r="DV256" s="56">
        <f>IFERROR(IF(($DJ256)&gt;0,($DA256*cfg_TroyOz)/($DJ256),""),"")</f>
        <v/>
      </c>
      <c r="DW256" s="56">
        <f>IFERROR(IF(($DK256)&gt;0,($DB256*cfg_TroyOz)/($DK256),""),"")</f>
        <v/>
      </c>
      <c r="DX256" s="56">
        <f>IFERROR(IF(($DL256)&gt;0,($DC256*cfg_TroyOz)/($DL256),""),"")</f>
        <v/>
      </c>
      <c r="DY256" s="67">
        <f>IFERROR(IF(($DM256)&gt;0,($DD256)/($DM256),""),"")</f>
        <v/>
      </c>
      <c r="DZ256" s="67">
        <f>IFERROR(IF(($DN256)&gt;0,($DE256)/($DN256),""),"")</f>
        <v/>
      </c>
      <c r="EA256" s="67">
        <f>IFERROR(IF(($DO256)&gt;0,($DF256)/($DO256),""),"")</f>
        <v/>
      </c>
      <c r="EB256" s="55">
        <f>SUMIFS(tblPlant[Gravity_Gold_oz],tblPlant[Date],$A256)</f>
        <v/>
      </c>
      <c r="EC256" s="55">
        <f>IF($B256=$B255,$EC255,0)+$EB256</f>
        <v/>
      </c>
      <c r="ED256" s="55">
        <f>$ED255+$EB256</f>
        <v/>
      </c>
      <c r="EE256" s="67">
        <f>IFERROR(IF(($DD256)&gt;0,($EB256)/($DD256),""),"")</f>
        <v/>
      </c>
      <c r="EF256" s="67">
        <f>IFERROR(IF(($DE256)&gt;0,($EC256)/($DE256),""),"")</f>
        <v/>
      </c>
      <c r="EG256" s="67">
        <f>IFERROR(IF(($DF256)&gt;0,($ED256)/($DF256),""),"")</f>
        <v/>
      </c>
      <c r="EH256" s="55">
        <f>SUMIFS(tblPlant[Gold_Poured_oz],tblPlant[Date],$A256)</f>
        <v/>
      </c>
      <c r="EI256" s="55">
        <f>IF($B256=$B255,$EI255,0)+$EH256</f>
        <v/>
      </c>
      <c r="EJ256" s="55">
        <f>$EJ255+$EH256</f>
        <v/>
      </c>
      <c r="EK256" s="57">
        <f>SUMIFS(tblPlant[Mill_Run_h],tblPlant[Date],$A256)</f>
        <v/>
      </c>
      <c r="EL256" s="57">
        <f>IF($B256=$B255,$EL255,0)+$EK256</f>
        <v/>
      </c>
      <c r="EM256" s="57">
        <f>$EM255+$EK256</f>
        <v/>
      </c>
      <c r="EN256" s="57">
        <f>SUMIFS(tblPlant[Mill_Planned_Maint_h],tblPlant[Date],$A256)</f>
        <v/>
      </c>
      <c r="EO256" s="57">
        <f>IF($B256=$B255,$EO255,0)+$EN256</f>
        <v/>
      </c>
      <c r="EP256" s="57">
        <f>$EP255+$EN256</f>
        <v/>
      </c>
      <c r="EQ256" s="57">
        <f>SUMIFS(tblPlant[Mill_Unplanned_Down_h],tblPlant[Date],$A256)</f>
        <v/>
      </c>
      <c r="ER256" s="57">
        <f>IF($B256=$B255,$ER255,0)+$EQ256</f>
        <v/>
      </c>
      <c r="ES256" s="57">
        <f>$ES255+$EQ256</f>
        <v/>
      </c>
      <c r="ET256" s="57">
        <f>IF(COUNTIFS(tblPlant[Date],$A256,tblPlant[Mill_Run_h],"&lt;&gt;")+COUNTIFS(tblPlant[Date],$A256,tblPlant[Mill_Planned_Maint_h],"&lt;&gt;")+COUNTIFS(tblPlant[Date],$A256,tblPlant[Mill_Unplanned_Down_h],"&lt;&gt;")&gt;0,cfg_HoursPerDay,0)</f>
        <v/>
      </c>
      <c r="EU256" s="57">
        <f>IF($B256=$B255,$EU255,0)+$ET256</f>
        <v/>
      </c>
      <c r="EV256" s="57">
        <f>$EV255+$ET256</f>
        <v/>
      </c>
      <c r="EW256" s="57">
        <f>SUMIFS(tblPlant[Crusher_Run_h],tblPlant[Date],$A256)</f>
        <v/>
      </c>
      <c r="EX256" s="57">
        <f>IF($B256=$B255,$EX255,0)+$EW256</f>
        <v/>
      </c>
      <c r="EY256" s="57">
        <f>$EY255+$EW256</f>
        <v/>
      </c>
      <c r="EZ256" s="55">
        <f>IFERROR(IF(($EK256)&gt;0,($DP256)/($EK256),""),"")</f>
        <v/>
      </c>
      <c r="FA256" s="55">
        <f>IFERROR(IF(($EL256)&gt;0,($DQ256)/($EL256),""),"")</f>
        <v/>
      </c>
      <c r="FB256" s="55">
        <f>IFERROR(IF(($EM256)&gt;0,($DR256)/($EM256),""),"")</f>
        <v/>
      </c>
      <c r="FC256" s="67">
        <f>IFERROR(IF(($ET256)&gt;0,($ET256-$EN256-$EQ256)/($ET256),""),"")</f>
        <v/>
      </c>
      <c r="FD256" s="67">
        <f>IFERROR(IF(($EU256)&gt;0,($EU256-$EO256-$ER256)/($EU256),""),"")</f>
        <v/>
      </c>
      <c r="FE256" s="67">
        <f>IFERROR(IF(($EV256)&gt;0,($EV256-$EP256-$ES256)/($EV256),""),"")</f>
        <v/>
      </c>
      <c r="FF256" s="67">
        <f>IFERROR(IF(($ET256-$EN256-$EQ256)&gt;0,($EK256)/($ET256-$EN256-$EQ256),""),"")</f>
        <v/>
      </c>
      <c r="FG256" s="67">
        <f>IFERROR(IF(($EU256-$EO256-$ER256)&gt;0,($EL256)/($EU256-$EO256-$ER256),""),"")</f>
        <v/>
      </c>
      <c r="FH256" s="67">
        <f>IFERROR(IF(($EV256-$EP256-$ES256)&gt;0,($EM256)/($EV256-$EP256-$ES256),""),"")</f>
        <v/>
      </c>
      <c r="FI256" s="55">
        <f>SUMIFS(tblPlant[Cyanide_kg],tblPlant[Date],$A256)</f>
        <v/>
      </c>
      <c r="FJ256" s="55">
        <f>IF($B256=$B255,$FJ255,0)+$FI256</f>
        <v/>
      </c>
      <c r="FK256" s="55">
        <f>$FK255+$FI256</f>
        <v/>
      </c>
      <c r="FL256" s="55">
        <f>SUMIFS(tblPlant[Lime_kg],tblPlant[Date],$A256)</f>
        <v/>
      </c>
      <c r="FM256" s="55">
        <f>IF($B256=$B255,$FM255,0)+$FL256</f>
        <v/>
      </c>
      <c r="FN256" s="55">
        <f>$FN255+$FL256</f>
        <v/>
      </c>
      <c r="FO256" s="55">
        <f>SUMIFS(tblPlant[Grinding_Media_kg],tblPlant[Date],$A256)</f>
        <v/>
      </c>
      <c r="FP256" s="55">
        <f>IF($B256=$B255,$FP255,0)+$FO256</f>
        <v/>
      </c>
      <c r="FQ256" s="55">
        <f>$FQ255+$FO256</f>
        <v/>
      </c>
      <c r="FR256" s="55">
        <f>SUMIFS(tblPlant[Power_kWh],tblPlant[Date],$A256)</f>
        <v/>
      </c>
      <c r="FS256" s="55">
        <f>IF($B256=$B255,$FS255,0)+$FR256</f>
        <v/>
      </c>
      <c r="FT256" s="55">
        <f>$FT255+$FR256</f>
        <v/>
      </c>
      <c r="FU256" s="55">
        <f>SUMIFS(tblPlant[Raw_Water_m3],tblPlant[Date],$A256)</f>
        <v/>
      </c>
      <c r="FV256" s="55">
        <f>IF($B256=$B255,$FV255,0)+$FU256</f>
        <v/>
      </c>
      <c r="FW256" s="55">
        <f>$FW255+$FU256</f>
        <v/>
      </c>
      <c r="FX256" s="56">
        <f>IFERROR(IF(($CU256)&gt;0,($FI256)/($CU256),""),"")</f>
        <v/>
      </c>
      <c r="FY256" s="56">
        <f>IFERROR(IF(($CV256)&gt;0,($FJ256)/($CV256),""),"")</f>
        <v/>
      </c>
      <c r="FZ256" s="56">
        <f>IFERROR(IF(($CW256)&gt;0,($FK256)/($CW256),""),"")</f>
        <v/>
      </c>
      <c r="GA256" s="56">
        <f>IFERROR(IF(($CU256)&gt;0,($FL256)/($CU256),""),"")</f>
        <v/>
      </c>
      <c r="GB256" s="56">
        <f>IFERROR(IF(($CV256)&gt;0,($FM256)/($CV256),""),"")</f>
        <v/>
      </c>
      <c r="GC256" s="56">
        <f>IFERROR(IF(($CW256)&gt;0,($FN256)/($CW256),""),"")</f>
        <v/>
      </c>
      <c r="GD256" s="56">
        <f>IFERROR(IF(($CU256)&gt;0,($FO256)/($CU256),""),"")</f>
        <v/>
      </c>
      <c r="GE256" s="56">
        <f>IFERROR(IF(($CV256)&gt;0,($FP256)/($CV256),""),"")</f>
        <v/>
      </c>
      <c r="GF256" s="56">
        <f>IFERROR(IF(($CW256)&gt;0,($FQ256)/($CW256),""),"")</f>
        <v/>
      </c>
      <c r="GG256" s="79">
        <f>IFERROR(IF(($CU256)&gt;0,($FR256)/($CU256),""),"")</f>
        <v/>
      </c>
      <c r="GH256" s="79">
        <f>IFERROR(IF(($CV256)&gt;0,($FS256)/($CV256),""),"")</f>
        <v/>
      </c>
      <c r="GI256" s="79">
        <f>IFERROR(IF(($CW256)&gt;0,($FT256)/($CW256),""),"")</f>
        <v/>
      </c>
      <c r="GJ256" s="56">
        <f>IFERROR(IF(($CU256)&gt;0,($FU256)/($CU256),""),"")</f>
        <v/>
      </c>
      <c r="GK256" s="56">
        <f>IFERROR(IF(($CV256)&gt;0,($FV256)/($CV256),""),"")</f>
        <v/>
      </c>
      <c r="GL256" s="56">
        <f>IFERROR(IF(($CW256)&gt;0,($FW256)/($CW256),""),"")</f>
        <v/>
      </c>
      <c r="GM256" s="55">
        <f>IF(SUMIFS(tblPlant[GIC_oz],tblPlant[Date],$A256)&gt;0,SUMIFS(tblPlant[GIC_oz],tblPlant[Date],$A256),"")</f>
        <v/>
      </c>
      <c r="GN256" s="55">
        <f>SUMIFS(tblGold[Gold_oz],tblGold[Date],$A256,tblGold[Type],"Shipment")</f>
        <v/>
      </c>
      <c r="GO256" s="55">
        <f>IF($B256=$B255,$GO255,0)+$GN256</f>
        <v/>
      </c>
      <c r="GP256" s="55">
        <f>$GP255+$GN256</f>
        <v/>
      </c>
      <c r="GQ256" s="55">
        <f>SUMIFS(tblGold[Gold_oz],tblGold[Date],$A256,tblGold[Type],"Sale")</f>
        <v/>
      </c>
      <c r="GR256" s="55">
        <f>IF($B256=$B255,$GR255,0)+$GQ256</f>
        <v/>
      </c>
      <c r="GS256" s="55">
        <f>$GS255+$GQ256</f>
        <v/>
      </c>
      <c r="GT256" s="55">
        <f>SUMIFS(tblGold[Dore_kg],tblGold[Date],$A256,tblGold[Type],"Shipment")</f>
        <v/>
      </c>
      <c r="GU256" s="55">
        <f>IF($B256=$B255,$GU255,0)+$GT256</f>
        <v/>
      </c>
      <c r="GV256" s="55">
        <f>$GV255+$GT256</f>
        <v/>
      </c>
      <c r="GW256" s="57">
        <f>SUMIFS(tblSafety[Hours_Total],tblSafety[Date],$A256)</f>
        <v/>
      </c>
      <c r="GX256" s="57">
        <f>IF($B256=$B255,$GX255,0)+$GW256</f>
        <v/>
      </c>
      <c r="GY256" s="57">
        <f>$GY255+$GW256</f>
        <v/>
      </c>
      <c r="GZ256" s="62">
        <f>SUMIFS(tblSafety[Fatality],tblSafety[Date],$A256)</f>
        <v/>
      </c>
      <c r="HA256" s="62">
        <f>IF($B256=$B255,$HA255,0)+$GZ256</f>
        <v/>
      </c>
      <c r="HB256" s="62">
        <f>$HB255+$GZ256</f>
        <v/>
      </c>
      <c r="HC256" s="62">
        <f>SUMIFS(tblSafety[LTI],tblSafety[Date],$A256)</f>
        <v/>
      </c>
      <c r="HD256" s="62">
        <f>IF($B256=$B255,$HD255,0)+$HC256</f>
        <v/>
      </c>
      <c r="HE256" s="62">
        <f>$HE255+$HC256</f>
        <v/>
      </c>
      <c r="HF256" s="62">
        <f>SUMIFS(tblSafety[RWI],tblSafety[Date],$A256)</f>
        <v/>
      </c>
      <c r="HG256" s="62">
        <f>IF($B256=$B255,$HG255,0)+$HF256</f>
        <v/>
      </c>
      <c r="HH256" s="62">
        <f>$HH255+$HF256</f>
        <v/>
      </c>
      <c r="HI256" s="62">
        <f>SUMIFS(tblSafety[MTI],tblSafety[Date],$A256)</f>
        <v/>
      </c>
      <c r="HJ256" s="62">
        <f>IF($B256=$B255,$HJ255,0)+$HI256</f>
        <v/>
      </c>
      <c r="HK256" s="62">
        <f>$HK255+$HI256</f>
        <v/>
      </c>
      <c r="HL256" s="62">
        <f>SUMIFS(tblSafety[FAI],tblSafety[Date],$A256)</f>
        <v/>
      </c>
      <c r="HM256" s="62">
        <f>IF($B256=$B255,$HM255,0)+$HL256</f>
        <v/>
      </c>
      <c r="HN256" s="62">
        <f>$HN255+$HL256</f>
        <v/>
      </c>
      <c r="HO256" s="62">
        <f>SUMIFS(tblSafety[Recordables],tblSafety[Date],$A256)</f>
        <v/>
      </c>
      <c r="HP256" s="62">
        <f>IF($B256=$B255,$HP255,0)+$HO256</f>
        <v/>
      </c>
      <c r="HQ256" s="62">
        <f>$HQ255+$HO256</f>
        <v/>
      </c>
      <c r="HR256" s="62">
        <f>SUMIFS(tblSafety[Near_Miss],tblSafety[Date],$A256)</f>
        <v/>
      </c>
      <c r="HS256" s="62">
        <f>IF($B256=$B255,$HS255,0)+$HR256</f>
        <v/>
      </c>
      <c r="HT256" s="62">
        <f>$HT255+$HR256</f>
        <v/>
      </c>
      <c r="HU256" s="62">
        <f>SUMIFS(tblSafety[Hazard_Reports],tblSafety[Date],$A256)</f>
        <v/>
      </c>
      <c r="HV256" s="62">
        <f>IF($B256=$B255,$HV255,0)+$HU256</f>
        <v/>
      </c>
      <c r="HW256" s="62">
        <f>$HW255+$HU256</f>
        <v/>
      </c>
      <c r="HX256" s="62">
        <f>SUMIFS(tblSafety[HPI],tblSafety[Date],$A256)</f>
        <v/>
      </c>
      <c r="HY256" s="62">
        <f>IF($B256=$B255,$HY255,0)+$HX256</f>
        <v/>
      </c>
      <c r="HZ256" s="62">
        <f>$HZ255+$HX256</f>
        <v/>
      </c>
      <c r="IA256" s="62">
        <f>SUMIFS(tblSafety[Env_Incidents],tblSafety[Date],$A256)</f>
        <v/>
      </c>
      <c r="IB256" s="62">
        <f>IF($B256=$B255,$IB255,0)+$IA256</f>
        <v/>
      </c>
      <c r="IC256" s="62">
        <f>$IC255+$IA256</f>
        <v/>
      </c>
      <c r="ID256" s="62">
        <f>SUMIFS(tblSafety[Community_Incidents],tblSafety[Date],$A256)</f>
        <v/>
      </c>
      <c r="IE256" s="62">
        <f>IF($B256=$B255,$IE255,0)+$ID256</f>
        <v/>
      </c>
      <c r="IF256" s="62">
        <f>$IF255+$ID256</f>
        <v/>
      </c>
      <c r="IG256" s="62">
        <f>SUMIFS(tblSafety[Vehicle_Incidents],tblSafety[Date],$A256)</f>
        <v/>
      </c>
      <c r="IH256" s="62">
        <f>IF($B256=$B255,$IH255,0)+$IG256</f>
        <v/>
      </c>
      <c r="II256" s="62">
        <f>$II255+$IG256</f>
        <v/>
      </c>
      <c r="IJ256" s="62">
        <f>SUMIFS(tblSafety[Toolbox_Talks],tblSafety[Date],$A256)</f>
        <v/>
      </c>
      <c r="IK256" s="62">
        <f>IF($B256=$B255,$IK255,0)+$IJ256</f>
        <v/>
      </c>
      <c r="IL256" s="62">
        <f>$IL255+$IJ256</f>
        <v/>
      </c>
      <c r="IM256" s="62">
        <f>SUMIFS(tblSafety[Inspections],tblSafety[Date],$A256)</f>
        <v/>
      </c>
      <c r="IN256" s="62">
        <f>IF($B256=$B255,$IN255,0)+$IM256</f>
        <v/>
      </c>
      <c r="IO256" s="62">
        <f>$IO255+$IM256</f>
        <v/>
      </c>
      <c r="IP256" s="56">
        <f>IFERROR((SUMIFS(tblSafety[Recordables],tblSafety[Date],"&gt;="&amp;EDATE($E256,-12),tblSafety[Date],"&lt;="&amp;$A256)+SUMIFS(tblSafetyHistory[Recordables],tblSafetyHistory[Month],"&gt;="&amp;EDATE($E256,-12),tblSafetyHistory[Month],"&lt;"&amp;$E256,tblSafetyHistory[Use],1))/(SUMIFS(tblSafety[Hours_Total],tblSafety[Date],"&gt;="&amp;EDATE($E256,-12),tblSafety[Date],"&lt;="&amp;$A256)+SUMIFS(tblSafetyHistory[Hours_Total],tblSafetyHistory[Month],"&gt;="&amp;EDATE($E256,-12),tblSafetyHistory[Month],"&lt;"&amp;$E256,tblSafetyHistory[Use],1))*cfg_RateBasisHours,"")</f>
        <v/>
      </c>
      <c r="IQ256" s="56">
        <f>IFERROR((SUMIFS(tblSafety[LTI],tblSafety[Date],"&gt;="&amp;EDATE($E256,-12),tblSafety[Date],"&lt;="&amp;$A256)+SUMIFS(tblSafetyHistory[LTI],tblSafetyHistory[Month],"&gt;="&amp;EDATE($E256,-12),tblSafetyHistory[Month],"&lt;"&amp;$E256,tblSafetyHistory[Use],1))/(SUMIFS(tblSafety[Hours_Total],tblSafety[Date],"&gt;="&amp;EDATE($E256,-12),tblSafety[Date],"&lt;="&amp;$A256)+SUMIFS(tblSafetyHistory[Hours_Total],tblSafetyHistory[Month],"&gt;="&amp;EDATE($E256,-12),tblSafetyHistory[Month],"&lt;"&amp;$E256,tblSafetyHistory[Use],1))*cfg_RateBasisHours,"")</f>
        <v/>
      </c>
      <c r="IR256" s="62">
        <f>IF(MAX(N(cfg_PriorLTIDate),_xlfn.MAXIFS(tblSafety[Date],tblSafety[LTI],"&gt;0",tblSafety[Date],"&lt;="&amp;$A256))=0,"",$A256-MAX(N(cfg_PriorLTIDate),_xlfn.MAXIFS(tblSafety[Date],tblSafety[LTI],"&gt;0",tblSafety[Date],"&lt;="&amp;$A256)))</f>
        <v/>
      </c>
      <c r="IS256" s="55">
        <f>SUMIFS(tblBudget[Ore_Mined_t],tblBudget[Month],$E256)</f>
        <v/>
      </c>
      <c r="IT256" s="55">
        <f>$IS256*$C256/$D256</f>
        <v/>
      </c>
      <c r="IU256" s="55">
        <f>SUMIFS(tblBudget[Ore_Mined_t],tblBudget[Month],"&lt;"&amp;$E256)+$IT256</f>
        <v/>
      </c>
      <c r="IV256" s="55">
        <f>SUMIFS(tblBudget[Ore_oz],tblBudget[Month],$E256)</f>
        <v/>
      </c>
      <c r="IW256" s="55">
        <f>$IV256*$C256/$D256</f>
        <v/>
      </c>
      <c r="IX256" s="55">
        <f>SUMIFS(tblBudget[Ore_oz],tblBudget[Month],"&lt;"&amp;$E256)+$IW256</f>
        <v/>
      </c>
      <c r="IY256" s="55">
        <f>SUMIFS(tblBudget[Ore_Mined_t],tblBudget[Month],$E256)</f>
        <v/>
      </c>
      <c r="IZ256" s="55">
        <f>$IY256*$C256/$D256</f>
        <v/>
      </c>
      <c r="JA256" s="55">
        <f>SUMIFS(tblBudget[Ore_Mined_t],tblBudget[Month],"&lt;"&amp;$E256)+$IZ256</f>
        <v/>
      </c>
      <c r="JB256" s="56">
        <f>IFERROR(IF(($IY256)&gt;0,($IV256*cfg_TroyOz)/($IY256),""),"")</f>
        <v/>
      </c>
      <c r="JC256" s="56">
        <f>IFERROR(IF(($IZ256)&gt;0,($IW256*cfg_TroyOz)/($IZ256),""),"")</f>
        <v/>
      </c>
      <c r="JD256" s="56">
        <f>IFERROR(IF(($JA256)&gt;0,($IX256*cfg_TroyOz)/($JA256),""),"")</f>
        <v/>
      </c>
      <c r="JE256" s="55">
        <f>SUMIFS(tblBudget[Waste_t],tblBudget[Month],$E256)</f>
        <v/>
      </c>
      <c r="JF256" s="55">
        <f>$JE256*$C256/$D256</f>
        <v/>
      </c>
      <c r="JG256" s="55">
        <f>SUMIFS(tblBudget[Waste_t],tblBudget[Month],"&lt;"&amp;$E256)+$JF256</f>
        <v/>
      </c>
      <c r="JH256" s="55">
        <f>SUMIFS(tblBudget[TMM_t],tblBudget[Month],$E256)</f>
        <v/>
      </c>
      <c r="JI256" s="55">
        <f>$JH256*$C256/$D256</f>
        <v/>
      </c>
      <c r="JJ256" s="55">
        <f>SUMIFS(tblBudget[TMM_t],tblBudget[Month],"&lt;"&amp;$E256)+$JI256</f>
        <v/>
      </c>
      <c r="JK256" s="56">
        <f>IFERROR(IF(($IS256)&gt;0,($JE256)/($IS256),""),"")</f>
        <v/>
      </c>
      <c r="JL256" s="56">
        <f>IFERROR(IF(($IT256)&gt;0,($JF256)/($IT256),""),"")</f>
        <v/>
      </c>
      <c r="JM256" s="56">
        <f>IFERROR(IF(($IU256)&gt;0,($JG256)/($IU256),""),"")</f>
        <v/>
      </c>
      <c r="JN256" s="55">
        <f>SUMIFS(tblBudget[Drill_m],tblBudget[Month],$E256)</f>
        <v/>
      </c>
      <c r="JO256" s="55">
        <f>$JN256*$C256/$D256</f>
        <v/>
      </c>
      <c r="JP256" s="55">
        <f>SUMIFS(tblBudget[Drill_m],tblBudget[Month],"&lt;"&amp;$E256)+$JO256</f>
        <v/>
      </c>
      <c r="JQ256" s="55">
        <f>SUMIFS(tblBudget[Diesel_L],tblBudget[Month],$E256)</f>
        <v/>
      </c>
      <c r="JR256" s="55">
        <f>$JQ256*$C256/$D256</f>
        <v/>
      </c>
      <c r="JS256" s="55">
        <f>SUMIFS(tblBudget[Diesel_L],tblBudget[Month],"&lt;"&amp;$E256)+$JR256</f>
        <v/>
      </c>
      <c r="JT256" s="55">
        <f>SUMIFS(tblBudget[Milled_t],tblBudget[Month],$E256)</f>
        <v/>
      </c>
      <c r="JU256" s="55">
        <f>$JT256*$C256/$D256</f>
        <v/>
      </c>
      <c r="JV256" s="55">
        <f>SUMIFS(tblBudget[Milled_t],tblBudget[Month],"&lt;"&amp;$E256)+$JU256</f>
        <v/>
      </c>
      <c r="JW256" s="55">
        <f>SUMIFS(tblBudget[Feed_oz],tblBudget[Month],$E256)</f>
        <v/>
      </c>
      <c r="JX256" s="55">
        <f>$JW256*$C256/$D256</f>
        <v/>
      </c>
      <c r="JY256" s="55">
        <f>SUMIFS(tblBudget[Feed_oz],tblBudget[Month],"&lt;"&amp;$E256)+$JX256</f>
        <v/>
      </c>
      <c r="JZ256" s="55">
        <f>SUMIFS(tblBudget[Recovered_oz],tblBudget[Month],$E256)</f>
        <v/>
      </c>
      <c r="KA256" s="55">
        <f>$JZ256*$C256/$D256</f>
        <v/>
      </c>
      <c r="KB256" s="55">
        <f>SUMIFS(tblBudget[Recovered_oz],tblBudget[Month],"&lt;"&amp;$E256)+$KA256</f>
        <v/>
      </c>
      <c r="KC256" s="55">
        <f>SUMIFS(tblBudget[Milled_t],tblBudget[Month],$E256)</f>
        <v/>
      </c>
      <c r="KD256" s="55">
        <f>$KC256*$C256/$D256</f>
        <v/>
      </c>
      <c r="KE256" s="55">
        <f>SUMIFS(tblBudget[Milled_t],tblBudget[Month],"&lt;"&amp;$E256)+$KD256</f>
        <v/>
      </c>
      <c r="KF256" s="55">
        <f>SUMIFS(tblBudget[Feed_oz],tblBudget[Month],$E256)</f>
        <v/>
      </c>
      <c r="KG256" s="55">
        <f>$KF256*$C256/$D256</f>
        <v/>
      </c>
      <c r="KH256" s="55">
        <f>SUMIFS(tblBudget[Feed_oz],tblBudget[Month],"&lt;"&amp;$E256)+$KG256</f>
        <v/>
      </c>
      <c r="KI256" s="56">
        <f>IFERROR(IF(($KC256)&gt;0,($JW256*cfg_TroyOz)/($KC256),""),"")</f>
        <v/>
      </c>
      <c r="KJ256" s="56">
        <f>IFERROR(IF(($KD256)&gt;0,($JX256*cfg_TroyOz)/($KD256),""),"")</f>
        <v/>
      </c>
      <c r="KK256" s="56">
        <f>IFERROR(IF(($KE256)&gt;0,($JY256*cfg_TroyOz)/($KE256),""),"")</f>
        <v/>
      </c>
      <c r="KL256" s="67">
        <f>IFERROR(IF(($KF256)&gt;0,($JZ256)/($KF256),""),"")</f>
        <v/>
      </c>
      <c r="KM256" s="67">
        <f>IFERROR(IF(($KG256)&gt;0,($KA256)/($KG256),""),"")</f>
        <v/>
      </c>
      <c r="KN256" s="67">
        <f>IFERROR(IF(($KH256)&gt;0,($KB256)/($KH256),""),"")</f>
        <v/>
      </c>
      <c r="KO256" s="55">
        <f>SUMIFS(tblBudget[Gold_Poured_oz],tblBudget[Month],$E256)</f>
        <v/>
      </c>
      <c r="KP256" s="55">
        <f>$KO256*$C256/$D256</f>
        <v/>
      </c>
      <c r="KQ256" s="55">
        <f>SUMIFS(tblBudget[Gold_Poured_oz],tblBudget[Month],"&lt;"&amp;$E256)+$KP256</f>
        <v/>
      </c>
      <c r="KR256" s="57">
        <f>SUMIFS(tblBudget[Hours_Worked],tblBudget[Month],$E256)</f>
        <v/>
      </c>
      <c r="KS256" s="57">
        <f>$KR256*$C256/$D256</f>
        <v/>
      </c>
      <c r="KT256" s="57">
        <f>SUMIFS(tblBudget[Hours_Worked],tblBudget[Month],"&lt;"&amp;$E256)+$KS256</f>
        <v/>
      </c>
    </row>
    <row r="257">
      <c r="A257" s="54" t="n">
        <v>46278</v>
      </c>
      <c r="B257">
        <f>MONTH($A257)</f>
        <v/>
      </c>
      <c r="C257">
        <f>DAY($A257)</f>
        <v/>
      </c>
      <c r="D257">
        <f>DAY(EOMONTH($A257,0))</f>
        <v/>
      </c>
      <c r="E257" s="54">
        <f>DATE(YEAR($A257),MONTH($A257),1)</f>
        <v/>
      </c>
      <c r="F257" s="55">
        <f>SUMIFS(tblMovement[Tonnes_t],tblMovement[Date],$A257,tblMovement[Is_Ore],1,tblMovement[Source_Type],"Pit")</f>
        <v/>
      </c>
      <c r="G257" s="55">
        <f>IF($B257=$B256,$G256,0)+$F257</f>
        <v/>
      </c>
      <c r="H257" s="55">
        <f>$H256+$F257</f>
        <v/>
      </c>
      <c r="I257" s="55">
        <f>SUMIFS(tblMovement[Ore_oz],tblMovement[Date],$A257,tblMovement[Source_Type],"Pit")</f>
        <v/>
      </c>
      <c r="J257" s="55">
        <f>IF($B257=$B256,$J256,0)+$I257</f>
        <v/>
      </c>
      <c r="K257" s="55">
        <f>$K256+$I257</f>
        <v/>
      </c>
      <c r="L257" s="55">
        <f>SUMIFS(tblMovement[Tonnes_t],tblMovement[Date],$A257,tblMovement[Is_Ore],1,tblMovement[Source_Type],"Pit",tblMovement[Grade_gpt],"&lt;&gt;")</f>
        <v/>
      </c>
      <c r="M257" s="55">
        <f>IF($B257=$B256,$M256,0)+$L257</f>
        <v/>
      </c>
      <c r="N257" s="55">
        <f>$N256+$L257</f>
        <v/>
      </c>
      <c r="O257" s="56">
        <f>IFERROR(IF(($L257)&gt;0,($I257*cfg_TroyOz)/($L257),""),"")</f>
        <v/>
      </c>
      <c r="P257" s="56">
        <f>IFERROR(IF(($M257)&gt;0,($J257*cfg_TroyOz)/($M257),""),"")</f>
        <v/>
      </c>
      <c r="Q257" s="56">
        <f>IFERROR(IF(($N257)&gt;0,($K257*cfg_TroyOz)/($N257),""),"")</f>
        <v/>
      </c>
      <c r="R257" s="55">
        <f>$F257-$L257</f>
        <v/>
      </c>
      <c r="S257" s="55">
        <f>IF($B257=$B256,$S256,0)+$R257</f>
        <v/>
      </c>
      <c r="T257" s="55">
        <f>$T256+$R257</f>
        <v/>
      </c>
      <c r="U257" s="55">
        <f>SUMIFS(tblMovement[Tonnes_t],tblMovement[Date],$A257,tblMovement[Is_Ore],0,tblMovement[Source_Type],"Pit")</f>
        <v/>
      </c>
      <c r="V257" s="55">
        <f>IF($B257=$B256,$V256,0)+$U257</f>
        <v/>
      </c>
      <c r="W257" s="55">
        <f>$W256+$U257</f>
        <v/>
      </c>
      <c r="X257" s="55">
        <f>$F257+$U257</f>
        <v/>
      </c>
      <c r="Y257" s="55">
        <f>IF($B257=$B256,$Y256,0)+$X257</f>
        <v/>
      </c>
      <c r="Z257" s="55">
        <f>$Z256+$X257</f>
        <v/>
      </c>
      <c r="AA257" s="56">
        <f>IFERROR(IF(($F257)&gt;0,($U257)/($F257),""),"")</f>
        <v/>
      </c>
      <c r="AB257" s="56">
        <f>IFERROR(IF(($G257)&gt;0,($V257)/($G257),""),"")</f>
        <v/>
      </c>
      <c r="AC257" s="56">
        <f>IFERROR(IF(($H257)&gt;0,($W257)/($H257),""),"")</f>
        <v/>
      </c>
      <c r="AD257" s="55">
        <f>SUMIFS(tblMovement[Tonnes_t],tblMovement[Date],$A257,tblMovement[Source_Type],"Stockpile")</f>
        <v/>
      </c>
      <c r="AE257" s="55">
        <f>IF($B257=$B256,$AE256,0)+$AD257</f>
        <v/>
      </c>
      <c r="AF257" s="55">
        <f>$AF256+$AD257</f>
        <v/>
      </c>
      <c r="AG257" s="55">
        <f>SUMIFS(tblMovement[Tonnes_t],tblMovement[Date],$A257)</f>
        <v/>
      </c>
      <c r="AH257" s="55">
        <f>IF($B257=$B256,$AH256,0)+$AG257</f>
        <v/>
      </c>
      <c r="AI257" s="55">
        <f>$AI256+$AG257</f>
        <v/>
      </c>
      <c r="AJ257" s="55">
        <f>$AG257-$X257-$AD257</f>
        <v/>
      </c>
      <c r="AK257" s="55">
        <f>IF($B257=$B256,$AK256,0)+$AJ257</f>
        <v/>
      </c>
      <c r="AL257" s="55">
        <f>$AL256+$AJ257</f>
        <v/>
      </c>
      <c r="AM257" s="55">
        <f>SUMIFS(tblMiningDaily[Drill_m],tblMiningDaily[Date],$A257)</f>
        <v/>
      </c>
      <c r="AN257" s="55">
        <f>IF($B257=$B256,$AN256,0)+$AM257</f>
        <v/>
      </c>
      <c r="AO257" s="55">
        <f>$AO256+$AM257</f>
        <v/>
      </c>
      <c r="AP257" s="55">
        <f>SUMIFS(tblMiningDaily[GC_Drill_m],tblMiningDaily[Date],$A257)</f>
        <v/>
      </c>
      <c r="AQ257" s="55">
        <f>IF($B257=$B256,$AQ256,0)+$AP257</f>
        <v/>
      </c>
      <c r="AR257" s="55">
        <f>$AR256+$AP257</f>
        <v/>
      </c>
      <c r="AS257" s="55">
        <f>SUMIFS(tblMiningDaily[Blast_t],tblMiningDaily[Date],$A257)</f>
        <v/>
      </c>
      <c r="AT257" s="55">
        <f>IF($B257=$B256,$AT256,0)+$AS257</f>
        <v/>
      </c>
      <c r="AU257" s="55">
        <f>$AU256+$AS257</f>
        <v/>
      </c>
      <c r="AV257" s="55">
        <f>SUMIFS(tblMiningDaily[Explosives_kg],tblMiningDaily[Date],$A257)</f>
        <v/>
      </c>
      <c r="AW257" s="55">
        <f>IF($B257=$B256,$AW256,0)+$AV257</f>
        <v/>
      </c>
      <c r="AX257" s="55">
        <f>$AX256+$AV257</f>
        <v/>
      </c>
      <c r="AY257" s="56">
        <f>IFERROR(IF(($AS257)&gt;0,($AV257)/($AS257),""),"")</f>
        <v/>
      </c>
      <c r="AZ257" s="56">
        <f>IFERROR(IF(($AT257)&gt;0,($AW257)/($AT257),""),"")</f>
        <v/>
      </c>
      <c r="BA257" s="56">
        <f>IFERROR(IF(($AU257)&gt;0,($AX257)/($AU257),""),"")</f>
        <v/>
      </c>
      <c r="BB257" s="55">
        <f>SUMIFS(tblMiningDaily[Diesel_L],tblMiningDaily[Date],$A257)</f>
        <v/>
      </c>
      <c r="BC257" s="55">
        <f>IF($B257=$B256,$BC256,0)+$BB257</f>
        <v/>
      </c>
      <c r="BD257" s="55">
        <f>$BD256+$BB257</f>
        <v/>
      </c>
      <c r="BE257" s="55">
        <f>SUMIFS(tblMiningDaily[Dewatering_m3],tblMiningDaily[Date],$A257)</f>
        <v/>
      </c>
      <c r="BF257" s="55">
        <f>IF($B257=$B256,$BF256,0)+$BE257</f>
        <v/>
      </c>
      <c r="BG257" s="55">
        <f>$BG256+$BE257</f>
        <v/>
      </c>
      <c r="BH257" s="57">
        <f>SUMIFS(tblFleet[Calendar_h],tblFleet[Date],$A257,tblFleet[Equipment_Class],"Excavator")</f>
        <v/>
      </c>
      <c r="BI257" s="57">
        <f>IF($B257=$B256,$BI256,0)+$BH257</f>
        <v/>
      </c>
      <c r="BJ257" s="57">
        <f>$BJ256+$BH257</f>
        <v/>
      </c>
      <c r="BK257" s="57">
        <f>SUMIFS(tblFleet[Available_h],tblFleet[Date],$A257,tblFleet[Equipment_Class],"Excavator")</f>
        <v/>
      </c>
      <c r="BL257" s="57">
        <f>IF($B257=$B256,$BL256,0)+$BK257</f>
        <v/>
      </c>
      <c r="BM257" s="57">
        <f>$BM256+$BK257</f>
        <v/>
      </c>
      <c r="BN257" s="57">
        <f>SUMIFS(tblFleet[Operating_h],tblFleet[Date],$A257,tblFleet[Equipment_Class],"Excavator")</f>
        <v/>
      </c>
      <c r="BO257" s="57">
        <f>IF($B257=$B256,$BO256,0)+$BN257</f>
        <v/>
      </c>
      <c r="BP257" s="57">
        <f>$BP256+$BN257</f>
        <v/>
      </c>
      <c r="BQ257" s="67">
        <f>IFERROR(IF(($BH257)&gt;0,($BK257)/($BH257),""),"")</f>
        <v/>
      </c>
      <c r="BR257" s="67">
        <f>IFERROR(IF(($BI257)&gt;0,($BL257)/($BI257),""),"")</f>
        <v/>
      </c>
      <c r="BS257" s="67">
        <f>IFERROR(IF(($BJ257)&gt;0,($BM257)/($BJ257),""),"")</f>
        <v/>
      </c>
      <c r="BT257" s="67">
        <f>IFERROR(IF(($BK257)&gt;0,($BN257)/($BK257),""),"")</f>
        <v/>
      </c>
      <c r="BU257" s="67">
        <f>IFERROR(IF(($BL257)&gt;0,($BO257)/($BL257),""),"")</f>
        <v/>
      </c>
      <c r="BV257" s="67">
        <f>IFERROR(IF(($BM257)&gt;0,($BP257)/($BM257),""),"")</f>
        <v/>
      </c>
      <c r="BW257" s="57">
        <f>SUMIFS(tblFleet[Calendar_h],tblFleet[Date],$A257,tblFleet[Equipment_Class],"Haul Truck")</f>
        <v/>
      </c>
      <c r="BX257" s="57">
        <f>IF($B257=$B256,$BX256,0)+$BW257</f>
        <v/>
      </c>
      <c r="BY257" s="57">
        <f>$BY256+$BW257</f>
        <v/>
      </c>
      <c r="BZ257" s="57">
        <f>SUMIFS(tblFleet[Available_h],tblFleet[Date],$A257,tblFleet[Equipment_Class],"Haul Truck")</f>
        <v/>
      </c>
      <c r="CA257" s="57">
        <f>IF($B257=$B256,$CA256,0)+$BZ257</f>
        <v/>
      </c>
      <c r="CB257" s="57">
        <f>$CB256+$BZ257</f>
        <v/>
      </c>
      <c r="CC257" s="57">
        <f>SUMIFS(tblFleet[Operating_h],tblFleet[Date],$A257,tblFleet[Equipment_Class],"Haul Truck")</f>
        <v/>
      </c>
      <c r="CD257" s="57">
        <f>IF($B257=$B256,$CD256,0)+$CC257</f>
        <v/>
      </c>
      <c r="CE257" s="57">
        <f>$CE256+$CC257</f>
        <v/>
      </c>
      <c r="CF257" s="67">
        <f>IFERROR(IF(($BW257)&gt;0,($BZ257)/($BW257),""),"")</f>
        <v/>
      </c>
      <c r="CG257" s="67">
        <f>IFERROR(IF(($BX257)&gt;0,($CA257)/($BX257),""),"")</f>
        <v/>
      </c>
      <c r="CH257" s="67">
        <f>IFERROR(IF(($BY257)&gt;0,($CB257)/($BY257),""),"")</f>
        <v/>
      </c>
      <c r="CI257" s="67">
        <f>IFERROR(IF(($BZ257)&gt;0,($CC257)/($BZ257),""),"")</f>
        <v/>
      </c>
      <c r="CJ257" s="67">
        <f>IFERROR(IF(($CA257)&gt;0,($CD257)/($CA257),""),"")</f>
        <v/>
      </c>
      <c r="CK257" s="67">
        <f>IFERROR(IF(($CB257)&gt;0,($CE257)/($CB257),""),"")</f>
        <v/>
      </c>
      <c r="CL257" s="55">
        <f>IFERROR(IF(($BN257)&gt;0,($X257+$AD257)/($BN257),""),"")</f>
        <v/>
      </c>
      <c r="CM257" s="55">
        <f>IFERROR(IF(($BO257)&gt;0,($Y257+$AE257)/($BO257),""),"")</f>
        <v/>
      </c>
      <c r="CN257" s="55">
        <f>IFERROR(IF(($BP257)&gt;0,($Z257+$AF257)/($BP257),""),"")</f>
        <v/>
      </c>
      <c r="CO257" s="55">
        <f>IFERROR(IF(($CC257)&gt;0,($X257+$AD257)/($CC257),""),"")</f>
        <v/>
      </c>
      <c r="CP257" s="55">
        <f>IFERROR(IF(($CD257)&gt;0,($Y257+$AE257)/($CD257),""),"")</f>
        <v/>
      </c>
      <c r="CQ257" s="55">
        <f>IFERROR(IF(($CE257)&gt;0,($Z257+$AF257)/($CE257),""),"")</f>
        <v/>
      </c>
      <c r="CR257" s="55">
        <f>SUMIFS(tblPlant[Crushed_t],tblPlant[Date],$A257)</f>
        <v/>
      </c>
      <c r="CS257" s="55">
        <f>IF($B257=$B256,$CS256,0)+$CR257</f>
        <v/>
      </c>
      <c r="CT257" s="55">
        <f>$CT256+$CR257</f>
        <v/>
      </c>
      <c r="CU257" s="55">
        <f>SUMIFS(tblPlant[Milled_t],tblPlant[Date],$A257)</f>
        <v/>
      </c>
      <c r="CV257" s="55">
        <f>IF($B257=$B256,$CV256,0)+$CU257</f>
        <v/>
      </c>
      <c r="CW257" s="55">
        <f>$CW256+$CU257</f>
        <v/>
      </c>
      <c r="CX257" s="55">
        <f>SUMIFS(tblPlant[Feed_oz],tblPlant[Date],$A257)</f>
        <v/>
      </c>
      <c r="CY257" s="55">
        <f>IF($B257=$B256,$CY256,0)+$CX257</f>
        <v/>
      </c>
      <c r="CZ257" s="55">
        <f>$CZ256+$CX257</f>
        <v/>
      </c>
      <c r="DA257" s="55">
        <f>SUMIFS(tblPlant[Tails_oz],tblPlant[Date],$A257)</f>
        <v/>
      </c>
      <c r="DB257" s="55">
        <f>IF($B257=$B256,$DB256,0)+$DA257</f>
        <v/>
      </c>
      <c r="DC257" s="55">
        <f>$DC256+$DA257</f>
        <v/>
      </c>
      <c r="DD257" s="55">
        <f>SUMIFS(tblPlant[Recovered_oz],tblPlant[Date],$A257)</f>
        <v/>
      </c>
      <c r="DE257" s="55">
        <f>IF($B257=$B256,$DE256,0)+$DD257</f>
        <v/>
      </c>
      <c r="DF257" s="55">
        <f>$DF256+$DD257</f>
        <v/>
      </c>
      <c r="DG257" s="55">
        <f>SUMIFS(tblPlant[Milled_t],tblPlant[Date],$A257,tblPlant[Head_Grade_gpt],"&lt;&gt;")</f>
        <v/>
      </c>
      <c r="DH257" s="55">
        <f>IF($B257=$B256,$DH256,0)+$DG257</f>
        <v/>
      </c>
      <c r="DI257" s="55">
        <f>$DI256+$DG257</f>
        <v/>
      </c>
      <c r="DJ257" s="55">
        <f>SUMIFS(tblPlant[Milled_t],tblPlant[Date],$A257,tblPlant[Tails_Grade_gpt],"&lt;&gt;")</f>
        <v/>
      </c>
      <c r="DK257" s="55">
        <f>IF($B257=$B256,$DK256,0)+$DJ257</f>
        <v/>
      </c>
      <c r="DL257" s="55">
        <f>$DL256+$DJ257</f>
        <v/>
      </c>
      <c r="DM257" s="55">
        <f>SUMIFS(tblPlant[Feed_oz],tblPlant[Date],$A257,tblPlant[Tails_Grade_gpt],"&lt;&gt;")</f>
        <v/>
      </c>
      <c r="DN257" s="55">
        <f>IF($B257=$B256,$DN256,0)+$DM257</f>
        <v/>
      </c>
      <c r="DO257" s="55">
        <f>$DO256+$DM257</f>
        <v/>
      </c>
      <c r="DP257" s="55">
        <f>SUMIFS(tblPlant[Milled_t],tblPlant[Date],$A257,tblPlant[Mill_Run_h],"&lt;&gt;")</f>
        <v/>
      </c>
      <c r="DQ257" s="55">
        <f>IF($B257=$B256,$DQ256,0)+$DP257</f>
        <v/>
      </c>
      <c r="DR257" s="55">
        <f>$DR256+$DP257</f>
        <v/>
      </c>
      <c r="DS257" s="56">
        <f>IFERROR(IF(($DG257)&gt;0,($CX257*cfg_TroyOz)/($DG257),""),"")</f>
        <v/>
      </c>
      <c r="DT257" s="56">
        <f>IFERROR(IF(($DH257)&gt;0,($CY257*cfg_TroyOz)/($DH257),""),"")</f>
        <v/>
      </c>
      <c r="DU257" s="56">
        <f>IFERROR(IF(($DI257)&gt;0,($CZ257*cfg_TroyOz)/($DI257),""),"")</f>
        <v/>
      </c>
      <c r="DV257" s="56">
        <f>IFERROR(IF(($DJ257)&gt;0,($DA257*cfg_TroyOz)/($DJ257),""),"")</f>
        <v/>
      </c>
      <c r="DW257" s="56">
        <f>IFERROR(IF(($DK257)&gt;0,($DB257*cfg_TroyOz)/($DK257),""),"")</f>
        <v/>
      </c>
      <c r="DX257" s="56">
        <f>IFERROR(IF(($DL257)&gt;0,($DC257*cfg_TroyOz)/($DL257),""),"")</f>
        <v/>
      </c>
      <c r="DY257" s="67">
        <f>IFERROR(IF(($DM257)&gt;0,($DD257)/($DM257),""),"")</f>
        <v/>
      </c>
      <c r="DZ257" s="67">
        <f>IFERROR(IF(($DN257)&gt;0,($DE257)/($DN257),""),"")</f>
        <v/>
      </c>
      <c r="EA257" s="67">
        <f>IFERROR(IF(($DO257)&gt;0,($DF257)/($DO257),""),"")</f>
        <v/>
      </c>
      <c r="EB257" s="55">
        <f>SUMIFS(tblPlant[Gravity_Gold_oz],tblPlant[Date],$A257)</f>
        <v/>
      </c>
      <c r="EC257" s="55">
        <f>IF($B257=$B256,$EC256,0)+$EB257</f>
        <v/>
      </c>
      <c r="ED257" s="55">
        <f>$ED256+$EB257</f>
        <v/>
      </c>
      <c r="EE257" s="67">
        <f>IFERROR(IF(($DD257)&gt;0,($EB257)/($DD257),""),"")</f>
        <v/>
      </c>
      <c r="EF257" s="67">
        <f>IFERROR(IF(($DE257)&gt;0,($EC257)/($DE257),""),"")</f>
        <v/>
      </c>
      <c r="EG257" s="67">
        <f>IFERROR(IF(($DF257)&gt;0,($ED257)/($DF257),""),"")</f>
        <v/>
      </c>
      <c r="EH257" s="55">
        <f>SUMIFS(tblPlant[Gold_Poured_oz],tblPlant[Date],$A257)</f>
        <v/>
      </c>
      <c r="EI257" s="55">
        <f>IF($B257=$B256,$EI256,0)+$EH257</f>
        <v/>
      </c>
      <c r="EJ257" s="55">
        <f>$EJ256+$EH257</f>
        <v/>
      </c>
      <c r="EK257" s="57">
        <f>SUMIFS(tblPlant[Mill_Run_h],tblPlant[Date],$A257)</f>
        <v/>
      </c>
      <c r="EL257" s="57">
        <f>IF($B257=$B256,$EL256,0)+$EK257</f>
        <v/>
      </c>
      <c r="EM257" s="57">
        <f>$EM256+$EK257</f>
        <v/>
      </c>
      <c r="EN257" s="57">
        <f>SUMIFS(tblPlant[Mill_Planned_Maint_h],tblPlant[Date],$A257)</f>
        <v/>
      </c>
      <c r="EO257" s="57">
        <f>IF($B257=$B256,$EO256,0)+$EN257</f>
        <v/>
      </c>
      <c r="EP257" s="57">
        <f>$EP256+$EN257</f>
        <v/>
      </c>
      <c r="EQ257" s="57">
        <f>SUMIFS(tblPlant[Mill_Unplanned_Down_h],tblPlant[Date],$A257)</f>
        <v/>
      </c>
      <c r="ER257" s="57">
        <f>IF($B257=$B256,$ER256,0)+$EQ257</f>
        <v/>
      </c>
      <c r="ES257" s="57">
        <f>$ES256+$EQ257</f>
        <v/>
      </c>
      <c r="ET257" s="57">
        <f>IF(COUNTIFS(tblPlant[Date],$A257,tblPlant[Mill_Run_h],"&lt;&gt;")+COUNTIFS(tblPlant[Date],$A257,tblPlant[Mill_Planned_Maint_h],"&lt;&gt;")+COUNTIFS(tblPlant[Date],$A257,tblPlant[Mill_Unplanned_Down_h],"&lt;&gt;")&gt;0,cfg_HoursPerDay,0)</f>
        <v/>
      </c>
      <c r="EU257" s="57">
        <f>IF($B257=$B256,$EU256,0)+$ET257</f>
        <v/>
      </c>
      <c r="EV257" s="57">
        <f>$EV256+$ET257</f>
        <v/>
      </c>
      <c r="EW257" s="57">
        <f>SUMIFS(tblPlant[Crusher_Run_h],tblPlant[Date],$A257)</f>
        <v/>
      </c>
      <c r="EX257" s="57">
        <f>IF($B257=$B256,$EX256,0)+$EW257</f>
        <v/>
      </c>
      <c r="EY257" s="57">
        <f>$EY256+$EW257</f>
        <v/>
      </c>
      <c r="EZ257" s="55">
        <f>IFERROR(IF(($EK257)&gt;0,($DP257)/($EK257),""),"")</f>
        <v/>
      </c>
      <c r="FA257" s="55">
        <f>IFERROR(IF(($EL257)&gt;0,($DQ257)/($EL257),""),"")</f>
        <v/>
      </c>
      <c r="FB257" s="55">
        <f>IFERROR(IF(($EM257)&gt;0,($DR257)/($EM257),""),"")</f>
        <v/>
      </c>
      <c r="FC257" s="67">
        <f>IFERROR(IF(($ET257)&gt;0,($ET257-$EN257-$EQ257)/($ET257),""),"")</f>
        <v/>
      </c>
      <c r="FD257" s="67">
        <f>IFERROR(IF(($EU257)&gt;0,($EU257-$EO257-$ER257)/($EU257),""),"")</f>
        <v/>
      </c>
      <c r="FE257" s="67">
        <f>IFERROR(IF(($EV257)&gt;0,($EV257-$EP257-$ES257)/($EV257),""),"")</f>
        <v/>
      </c>
      <c r="FF257" s="67">
        <f>IFERROR(IF(($ET257-$EN257-$EQ257)&gt;0,($EK257)/($ET257-$EN257-$EQ257),""),"")</f>
        <v/>
      </c>
      <c r="FG257" s="67">
        <f>IFERROR(IF(($EU257-$EO257-$ER257)&gt;0,($EL257)/($EU257-$EO257-$ER257),""),"")</f>
        <v/>
      </c>
      <c r="FH257" s="67">
        <f>IFERROR(IF(($EV257-$EP257-$ES257)&gt;0,($EM257)/($EV257-$EP257-$ES257),""),"")</f>
        <v/>
      </c>
      <c r="FI257" s="55">
        <f>SUMIFS(tblPlant[Cyanide_kg],tblPlant[Date],$A257)</f>
        <v/>
      </c>
      <c r="FJ257" s="55">
        <f>IF($B257=$B256,$FJ256,0)+$FI257</f>
        <v/>
      </c>
      <c r="FK257" s="55">
        <f>$FK256+$FI257</f>
        <v/>
      </c>
      <c r="FL257" s="55">
        <f>SUMIFS(tblPlant[Lime_kg],tblPlant[Date],$A257)</f>
        <v/>
      </c>
      <c r="FM257" s="55">
        <f>IF($B257=$B256,$FM256,0)+$FL257</f>
        <v/>
      </c>
      <c r="FN257" s="55">
        <f>$FN256+$FL257</f>
        <v/>
      </c>
      <c r="FO257" s="55">
        <f>SUMIFS(tblPlant[Grinding_Media_kg],tblPlant[Date],$A257)</f>
        <v/>
      </c>
      <c r="FP257" s="55">
        <f>IF($B257=$B256,$FP256,0)+$FO257</f>
        <v/>
      </c>
      <c r="FQ257" s="55">
        <f>$FQ256+$FO257</f>
        <v/>
      </c>
      <c r="FR257" s="55">
        <f>SUMIFS(tblPlant[Power_kWh],tblPlant[Date],$A257)</f>
        <v/>
      </c>
      <c r="FS257" s="55">
        <f>IF($B257=$B256,$FS256,0)+$FR257</f>
        <v/>
      </c>
      <c r="FT257" s="55">
        <f>$FT256+$FR257</f>
        <v/>
      </c>
      <c r="FU257" s="55">
        <f>SUMIFS(tblPlant[Raw_Water_m3],tblPlant[Date],$A257)</f>
        <v/>
      </c>
      <c r="FV257" s="55">
        <f>IF($B257=$B256,$FV256,0)+$FU257</f>
        <v/>
      </c>
      <c r="FW257" s="55">
        <f>$FW256+$FU257</f>
        <v/>
      </c>
      <c r="FX257" s="56">
        <f>IFERROR(IF(($CU257)&gt;0,($FI257)/($CU257),""),"")</f>
        <v/>
      </c>
      <c r="FY257" s="56">
        <f>IFERROR(IF(($CV257)&gt;0,($FJ257)/($CV257),""),"")</f>
        <v/>
      </c>
      <c r="FZ257" s="56">
        <f>IFERROR(IF(($CW257)&gt;0,($FK257)/($CW257),""),"")</f>
        <v/>
      </c>
      <c r="GA257" s="56">
        <f>IFERROR(IF(($CU257)&gt;0,($FL257)/($CU257),""),"")</f>
        <v/>
      </c>
      <c r="GB257" s="56">
        <f>IFERROR(IF(($CV257)&gt;0,($FM257)/($CV257),""),"")</f>
        <v/>
      </c>
      <c r="GC257" s="56">
        <f>IFERROR(IF(($CW257)&gt;0,($FN257)/($CW257),""),"")</f>
        <v/>
      </c>
      <c r="GD257" s="56">
        <f>IFERROR(IF(($CU257)&gt;0,($FO257)/($CU257),""),"")</f>
        <v/>
      </c>
      <c r="GE257" s="56">
        <f>IFERROR(IF(($CV257)&gt;0,($FP257)/($CV257),""),"")</f>
        <v/>
      </c>
      <c r="GF257" s="56">
        <f>IFERROR(IF(($CW257)&gt;0,($FQ257)/($CW257),""),"")</f>
        <v/>
      </c>
      <c r="GG257" s="79">
        <f>IFERROR(IF(($CU257)&gt;0,($FR257)/($CU257),""),"")</f>
        <v/>
      </c>
      <c r="GH257" s="79">
        <f>IFERROR(IF(($CV257)&gt;0,($FS257)/($CV257),""),"")</f>
        <v/>
      </c>
      <c r="GI257" s="79">
        <f>IFERROR(IF(($CW257)&gt;0,($FT257)/($CW257),""),"")</f>
        <v/>
      </c>
      <c r="GJ257" s="56">
        <f>IFERROR(IF(($CU257)&gt;0,($FU257)/($CU257),""),"")</f>
        <v/>
      </c>
      <c r="GK257" s="56">
        <f>IFERROR(IF(($CV257)&gt;0,($FV257)/($CV257),""),"")</f>
        <v/>
      </c>
      <c r="GL257" s="56">
        <f>IFERROR(IF(($CW257)&gt;0,($FW257)/($CW257),""),"")</f>
        <v/>
      </c>
      <c r="GM257" s="55">
        <f>IF(SUMIFS(tblPlant[GIC_oz],tblPlant[Date],$A257)&gt;0,SUMIFS(tblPlant[GIC_oz],tblPlant[Date],$A257),"")</f>
        <v/>
      </c>
      <c r="GN257" s="55">
        <f>SUMIFS(tblGold[Gold_oz],tblGold[Date],$A257,tblGold[Type],"Shipment")</f>
        <v/>
      </c>
      <c r="GO257" s="55">
        <f>IF($B257=$B256,$GO256,0)+$GN257</f>
        <v/>
      </c>
      <c r="GP257" s="55">
        <f>$GP256+$GN257</f>
        <v/>
      </c>
      <c r="GQ257" s="55">
        <f>SUMIFS(tblGold[Gold_oz],tblGold[Date],$A257,tblGold[Type],"Sale")</f>
        <v/>
      </c>
      <c r="GR257" s="55">
        <f>IF($B257=$B256,$GR256,0)+$GQ257</f>
        <v/>
      </c>
      <c r="GS257" s="55">
        <f>$GS256+$GQ257</f>
        <v/>
      </c>
      <c r="GT257" s="55">
        <f>SUMIFS(tblGold[Dore_kg],tblGold[Date],$A257,tblGold[Type],"Shipment")</f>
        <v/>
      </c>
      <c r="GU257" s="55">
        <f>IF($B257=$B256,$GU256,0)+$GT257</f>
        <v/>
      </c>
      <c r="GV257" s="55">
        <f>$GV256+$GT257</f>
        <v/>
      </c>
      <c r="GW257" s="57">
        <f>SUMIFS(tblSafety[Hours_Total],tblSafety[Date],$A257)</f>
        <v/>
      </c>
      <c r="GX257" s="57">
        <f>IF($B257=$B256,$GX256,0)+$GW257</f>
        <v/>
      </c>
      <c r="GY257" s="57">
        <f>$GY256+$GW257</f>
        <v/>
      </c>
      <c r="GZ257" s="62">
        <f>SUMIFS(tblSafety[Fatality],tblSafety[Date],$A257)</f>
        <v/>
      </c>
      <c r="HA257" s="62">
        <f>IF($B257=$B256,$HA256,0)+$GZ257</f>
        <v/>
      </c>
      <c r="HB257" s="62">
        <f>$HB256+$GZ257</f>
        <v/>
      </c>
      <c r="HC257" s="62">
        <f>SUMIFS(tblSafety[LTI],tblSafety[Date],$A257)</f>
        <v/>
      </c>
      <c r="HD257" s="62">
        <f>IF($B257=$B256,$HD256,0)+$HC257</f>
        <v/>
      </c>
      <c r="HE257" s="62">
        <f>$HE256+$HC257</f>
        <v/>
      </c>
      <c r="HF257" s="62">
        <f>SUMIFS(tblSafety[RWI],tblSafety[Date],$A257)</f>
        <v/>
      </c>
      <c r="HG257" s="62">
        <f>IF($B257=$B256,$HG256,0)+$HF257</f>
        <v/>
      </c>
      <c r="HH257" s="62">
        <f>$HH256+$HF257</f>
        <v/>
      </c>
      <c r="HI257" s="62">
        <f>SUMIFS(tblSafety[MTI],tblSafety[Date],$A257)</f>
        <v/>
      </c>
      <c r="HJ257" s="62">
        <f>IF($B257=$B256,$HJ256,0)+$HI257</f>
        <v/>
      </c>
      <c r="HK257" s="62">
        <f>$HK256+$HI257</f>
        <v/>
      </c>
      <c r="HL257" s="62">
        <f>SUMIFS(tblSafety[FAI],tblSafety[Date],$A257)</f>
        <v/>
      </c>
      <c r="HM257" s="62">
        <f>IF($B257=$B256,$HM256,0)+$HL257</f>
        <v/>
      </c>
      <c r="HN257" s="62">
        <f>$HN256+$HL257</f>
        <v/>
      </c>
      <c r="HO257" s="62">
        <f>SUMIFS(tblSafety[Recordables],tblSafety[Date],$A257)</f>
        <v/>
      </c>
      <c r="HP257" s="62">
        <f>IF($B257=$B256,$HP256,0)+$HO257</f>
        <v/>
      </c>
      <c r="HQ257" s="62">
        <f>$HQ256+$HO257</f>
        <v/>
      </c>
      <c r="HR257" s="62">
        <f>SUMIFS(tblSafety[Near_Miss],tblSafety[Date],$A257)</f>
        <v/>
      </c>
      <c r="HS257" s="62">
        <f>IF($B257=$B256,$HS256,0)+$HR257</f>
        <v/>
      </c>
      <c r="HT257" s="62">
        <f>$HT256+$HR257</f>
        <v/>
      </c>
      <c r="HU257" s="62">
        <f>SUMIFS(tblSafety[Hazard_Reports],tblSafety[Date],$A257)</f>
        <v/>
      </c>
      <c r="HV257" s="62">
        <f>IF($B257=$B256,$HV256,0)+$HU257</f>
        <v/>
      </c>
      <c r="HW257" s="62">
        <f>$HW256+$HU257</f>
        <v/>
      </c>
      <c r="HX257" s="62">
        <f>SUMIFS(tblSafety[HPI],tblSafety[Date],$A257)</f>
        <v/>
      </c>
      <c r="HY257" s="62">
        <f>IF($B257=$B256,$HY256,0)+$HX257</f>
        <v/>
      </c>
      <c r="HZ257" s="62">
        <f>$HZ256+$HX257</f>
        <v/>
      </c>
      <c r="IA257" s="62">
        <f>SUMIFS(tblSafety[Env_Incidents],tblSafety[Date],$A257)</f>
        <v/>
      </c>
      <c r="IB257" s="62">
        <f>IF($B257=$B256,$IB256,0)+$IA257</f>
        <v/>
      </c>
      <c r="IC257" s="62">
        <f>$IC256+$IA257</f>
        <v/>
      </c>
      <c r="ID257" s="62">
        <f>SUMIFS(tblSafety[Community_Incidents],tblSafety[Date],$A257)</f>
        <v/>
      </c>
      <c r="IE257" s="62">
        <f>IF($B257=$B256,$IE256,0)+$ID257</f>
        <v/>
      </c>
      <c r="IF257" s="62">
        <f>$IF256+$ID257</f>
        <v/>
      </c>
      <c r="IG257" s="62">
        <f>SUMIFS(tblSafety[Vehicle_Incidents],tblSafety[Date],$A257)</f>
        <v/>
      </c>
      <c r="IH257" s="62">
        <f>IF($B257=$B256,$IH256,0)+$IG257</f>
        <v/>
      </c>
      <c r="II257" s="62">
        <f>$II256+$IG257</f>
        <v/>
      </c>
      <c r="IJ257" s="62">
        <f>SUMIFS(tblSafety[Toolbox_Talks],tblSafety[Date],$A257)</f>
        <v/>
      </c>
      <c r="IK257" s="62">
        <f>IF($B257=$B256,$IK256,0)+$IJ257</f>
        <v/>
      </c>
      <c r="IL257" s="62">
        <f>$IL256+$IJ257</f>
        <v/>
      </c>
      <c r="IM257" s="62">
        <f>SUMIFS(tblSafety[Inspections],tblSafety[Date],$A257)</f>
        <v/>
      </c>
      <c r="IN257" s="62">
        <f>IF($B257=$B256,$IN256,0)+$IM257</f>
        <v/>
      </c>
      <c r="IO257" s="62">
        <f>$IO256+$IM257</f>
        <v/>
      </c>
      <c r="IP257" s="56">
        <f>IFERROR((SUMIFS(tblSafety[Recordables],tblSafety[Date],"&gt;="&amp;EDATE($E257,-12),tblSafety[Date],"&lt;="&amp;$A257)+SUMIFS(tblSafetyHistory[Recordables],tblSafetyHistory[Month],"&gt;="&amp;EDATE($E257,-12),tblSafetyHistory[Month],"&lt;"&amp;$E257,tblSafetyHistory[Use],1))/(SUMIFS(tblSafety[Hours_Total],tblSafety[Date],"&gt;="&amp;EDATE($E257,-12),tblSafety[Date],"&lt;="&amp;$A257)+SUMIFS(tblSafetyHistory[Hours_Total],tblSafetyHistory[Month],"&gt;="&amp;EDATE($E257,-12),tblSafetyHistory[Month],"&lt;"&amp;$E257,tblSafetyHistory[Use],1))*cfg_RateBasisHours,"")</f>
        <v/>
      </c>
      <c r="IQ257" s="56">
        <f>IFERROR((SUMIFS(tblSafety[LTI],tblSafety[Date],"&gt;="&amp;EDATE($E257,-12),tblSafety[Date],"&lt;="&amp;$A257)+SUMIFS(tblSafetyHistory[LTI],tblSafetyHistory[Month],"&gt;="&amp;EDATE($E257,-12),tblSafetyHistory[Month],"&lt;"&amp;$E257,tblSafetyHistory[Use],1))/(SUMIFS(tblSafety[Hours_Total],tblSafety[Date],"&gt;="&amp;EDATE($E257,-12),tblSafety[Date],"&lt;="&amp;$A257)+SUMIFS(tblSafetyHistory[Hours_Total],tblSafetyHistory[Month],"&gt;="&amp;EDATE($E257,-12),tblSafetyHistory[Month],"&lt;"&amp;$E257,tblSafetyHistory[Use],1))*cfg_RateBasisHours,"")</f>
        <v/>
      </c>
      <c r="IR257" s="62">
        <f>IF(MAX(N(cfg_PriorLTIDate),_xlfn.MAXIFS(tblSafety[Date],tblSafety[LTI],"&gt;0",tblSafety[Date],"&lt;="&amp;$A257))=0,"",$A257-MAX(N(cfg_PriorLTIDate),_xlfn.MAXIFS(tblSafety[Date],tblSafety[LTI],"&gt;0",tblSafety[Date],"&lt;="&amp;$A257)))</f>
        <v/>
      </c>
      <c r="IS257" s="55">
        <f>SUMIFS(tblBudget[Ore_Mined_t],tblBudget[Month],$E257)</f>
        <v/>
      </c>
      <c r="IT257" s="55">
        <f>$IS257*$C257/$D257</f>
        <v/>
      </c>
      <c r="IU257" s="55">
        <f>SUMIFS(tblBudget[Ore_Mined_t],tblBudget[Month],"&lt;"&amp;$E257)+$IT257</f>
        <v/>
      </c>
      <c r="IV257" s="55">
        <f>SUMIFS(tblBudget[Ore_oz],tblBudget[Month],$E257)</f>
        <v/>
      </c>
      <c r="IW257" s="55">
        <f>$IV257*$C257/$D257</f>
        <v/>
      </c>
      <c r="IX257" s="55">
        <f>SUMIFS(tblBudget[Ore_oz],tblBudget[Month],"&lt;"&amp;$E257)+$IW257</f>
        <v/>
      </c>
      <c r="IY257" s="55">
        <f>SUMIFS(tblBudget[Ore_Mined_t],tblBudget[Month],$E257)</f>
        <v/>
      </c>
      <c r="IZ257" s="55">
        <f>$IY257*$C257/$D257</f>
        <v/>
      </c>
      <c r="JA257" s="55">
        <f>SUMIFS(tblBudget[Ore_Mined_t],tblBudget[Month],"&lt;"&amp;$E257)+$IZ257</f>
        <v/>
      </c>
      <c r="JB257" s="56">
        <f>IFERROR(IF(($IY257)&gt;0,($IV257*cfg_TroyOz)/($IY257),""),"")</f>
        <v/>
      </c>
      <c r="JC257" s="56">
        <f>IFERROR(IF(($IZ257)&gt;0,($IW257*cfg_TroyOz)/($IZ257),""),"")</f>
        <v/>
      </c>
      <c r="JD257" s="56">
        <f>IFERROR(IF(($JA257)&gt;0,($IX257*cfg_TroyOz)/($JA257),""),"")</f>
        <v/>
      </c>
      <c r="JE257" s="55">
        <f>SUMIFS(tblBudget[Waste_t],tblBudget[Month],$E257)</f>
        <v/>
      </c>
      <c r="JF257" s="55">
        <f>$JE257*$C257/$D257</f>
        <v/>
      </c>
      <c r="JG257" s="55">
        <f>SUMIFS(tblBudget[Waste_t],tblBudget[Month],"&lt;"&amp;$E257)+$JF257</f>
        <v/>
      </c>
      <c r="JH257" s="55">
        <f>SUMIFS(tblBudget[TMM_t],tblBudget[Month],$E257)</f>
        <v/>
      </c>
      <c r="JI257" s="55">
        <f>$JH257*$C257/$D257</f>
        <v/>
      </c>
      <c r="JJ257" s="55">
        <f>SUMIFS(tblBudget[TMM_t],tblBudget[Month],"&lt;"&amp;$E257)+$JI257</f>
        <v/>
      </c>
      <c r="JK257" s="56">
        <f>IFERROR(IF(($IS257)&gt;0,($JE257)/($IS257),""),"")</f>
        <v/>
      </c>
      <c r="JL257" s="56">
        <f>IFERROR(IF(($IT257)&gt;0,($JF257)/($IT257),""),"")</f>
        <v/>
      </c>
      <c r="JM257" s="56">
        <f>IFERROR(IF(($IU257)&gt;0,($JG257)/($IU257),""),"")</f>
        <v/>
      </c>
      <c r="JN257" s="55">
        <f>SUMIFS(tblBudget[Drill_m],tblBudget[Month],$E257)</f>
        <v/>
      </c>
      <c r="JO257" s="55">
        <f>$JN257*$C257/$D257</f>
        <v/>
      </c>
      <c r="JP257" s="55">
        <f>SUMIFS(tblBudget[Drill_m],tblBudget[Month],"&lt;"&amp;$E257)+$JO257</f>
        <v/>
      </c>
      <c r="JQ257" s="55">
        <f>SUMIFS(tblBudget[Diesel_L],tblBudget[Month],$E257)</f>
        <v/>
      </c>
      <c r="JR257" s="55">
        <f>$JQ257*$C257/$D257</f>
        <v/>
      </c>
      <c r="JS257" s="55">
        <f>SUMIFS(tblBudget[Diesel_L],tblBudget[Month],"&lt;"&amp;$E257)+$JR257</f>
        <v/>
      </c>
      <c r="JT257" s="55">
        <f>SUMIFS(tblBudget[Milled_t],tblBudget[Month],$E257)</f>
        <v/>
      </c>
      <c r="JU257" s="55">
        <f>$JT257*$C257/$D257</f>
        <v/>
      </c>
      <c r="JV257" s="55">
        <f>SUMIFS(tblBudget[Milled_t],tblBudget[Month],"&lt;"&amp;$E257)+$JU257</f>
        <v/>
      </c>
      <c r="JW257" s="55">
        <f>SUMIFS(tblBudget[Feed_oz],tblBudget[Month],$E257)</f>
        <v/>
      </c>
      <c r="JX257" s="55">
        <f>$JW257*$C257/$D257</f>
        <v/>
      </c>
      <c r="JY257" s="55">
        <f>SUMIFS(tblBudget[Feed_oz],tblBudget[Month],"&lt;"&amp;$E257)+$JX257</f>
        <v/>
      </c>
      <c r="JZ257" s="55">
        <f>SUMIFS(tblBudget[Recovered_oz],tblBudget[Month],$E257)</f>
        <v/>
      </c>
      <c r="KA257" s="55">
        <f>$JZ257*$C257/$D257</f>
        <v/>
      </c>
      <c r="KB257" s="55">
        <f>SUMIFS(tblBudget[Recovered_oz],tblBudget[Month],"&lt;"&amp;$E257)+$KA257</f>
        <v/>
      </c>
      <c r="KC257" s="55">
        <f>SUMIFS(tblBudget[Milled_t],tblBudget[Month],$E257)</f>
        <v/>
      </c>
      <c r="KD257" s="55">
        <f>$KC257*$C257/$D257</f>
        <v/>
      </c>
      <c r="KE257" s="55">
        <f>SUMIFS(tblBudget[Milled_t],tblBudget[Month],"&lt;"&amp;$E257)+$KD257</f>
        <v/>
      </c>
      <c r="KF257" s="55">
        <f>SUMIFS(tblBudget[Feed_oz],tblBudget[Month],$E257)</f>
        <v/>
      </c>
      <c r="KG257" s="55">
        <f>$KF257*$C257/$D257</f>
        <v/>
      </c>
      <c r="KH257" s="55">
        <f>SUMIFS(tblBudget[Feed_oz],tblBudget[Month],"&lt;"&amp;$E257)+$KG257</f>
        <v/>
      </c>
      <c r="KI257" s="56">
        <f>IFERROR(IF(($KC257)&gt;0,($JW257*cfg_TroyOz)/($KC257),""),"")</f>
        <v/>
      </c>
      <c r="KJ257" s="56">
        <f>IFERROR(IF(($KD257)&gt;0,($JX257*cfg_TroyOz)/($KD257),""),"")</f>
        <v/>
      </c>
      <c r="KK257" s="56">
        <f>IFERROR(IF(($KE257)&gt;0,($JY257*cfg_TroyOz)/($KE257),""),"")</f>
        <v/>
      </c>
      <c r="KL257" s="67">
        <f>IFERROR(IF(($KF257)&gt;0,($JZ257)/($KF257),""),"")</f>
        <v/>
      </c>
      <c r="KM257" s="67">
        <f>IFERROR(IF(($KG257)&gt;0,($KA257)/($KG257),""),"")</f>
        <v/>
      </c>
      <c r="KN257" s="67">
        <f>IFERROR(IF(($KH257)&gt;0,($KB257)/($KH257),""),"")</f>
        <v/>
      </c>
      <c r="KO257" s="55">
        <f>SUMIFS(tblBudget[Gold_Poured_oz],tblBudget[Month],$E257)</f>
        <v/>
      </c>
      <c r="KP257" s="55">
        <f>$KO257*$C257/$D257</f>
        <v/>
      </c>
      <c r="KQ257" s="55">
        <f>SUMIFS(tblBudget[Gold_Poured_oz],tblBudget[Month],"&lt;"&amp;$E257)+$KP257</f>
        <v/>
      </c>
      <c r="KR257" s="57">
        <f>SUMIFS(tblBudget[Hours_Worked],tblBudget[Month],$E257)</f>
        <v/>
      </c>
      <c r="KS257" s="57">
        <f>$KR257*$C257/$D257</f>
        <v/>
      </c>
      <c r="KT257" s="57">
        <f>SUMIFS(tblBudget[Hours_Worked],tblBudget[Month],"&lt;"&amp;$E257)+$KS257</f>
        <v/>
      </c>
    </row>
    <row r="258">
      <c r="A258" s="54" t="n">
        <v>46279</v>
      </c>
      <c r="B258">
        <f>MONTH($A258)</f>
        <v/>
      </c>
      <c r="C258">
        <f>DAY($A258)</f>
        <v/>
      </c>
      <c r="D258">
        <f>DAY(EOMONTH($A258,0))</f>
        <v/>
      </c>
      <c r="E258" s="54">
        <f>DATE(YEAR($A258),MONTH($A258),1)</f>
        <v/>
      </c>
      <c r="F258" s="55">
        <f>SUMIFS(tblMovement[Tonnes_t],tblMovement[Date],$A258,tblMovement[Is_Ore],1,tblMovement[Source_Type],"Pit")</f>
        <v/>
      </c>
      <c r="G258" s="55">
        <f>IF($B258=$B257,$G257,0)+$F258</f>
        <v/>
      </c>
      <c r="H258" s="55">
        <f>$H257+$F258</f>
        <v/>
      </c>
      <c r="I258" s="55">
        <f>SUMIFS(tblMovement[Ore_oz],tblMovement[Date],$A258,tblMovement[Source_Type],"Pit")</f>
        <v/>
      </c>
      <c r="J258" s="55">
        <f>IF($B258=$B257,$J257,0)+$I258</f>
        <v/>
      </c>
      <c r="K258" s="55">
        <f>$K257+$I258</f>
        <v/>
      </c>
      <c r="L258" s="55">
        <f>SUMIFS(tblMovement[Tonnes_t],tblMovement[Date],$A258,tblMovement[Is_Ore],1,tblMovement[Source_Type],"Pit",tblMovement[Grade_gpt],"&lt;&gt;")</f>
        <v/>
      </c>
      <c r="M258" s="55">
        <f>IF($B258=$B257,$M257,0)+$L258</f>
        <v/>
      </c>
      <c r="N258" s="55">
        <f>$N257+$L258</f>
        <v/>
      </c>
      <c r="O258" s="56">
        <f>IFERROR(IF(($L258)&gt;0,($I258*cfg_TroyOz)/($L258),""),"")</f>
        <v/>
      </c>
      <c r="P258" s="56">
        <f>IFERROR(IF(($M258)&gt;0,($J258*cfg_TroyOz)/($M258),""),"")</f>
        <v/>
      </c>
      <c r="Q258" s="56">
        <f>IFERROR(IF(($N258)&gt;0,($K258*cfg_TroyOz)/($N258),""),"")</f>
        <v/>
      </c>
      <c r="R258" s="55">
        <f>$F258-$L258</f>
        <v/>
      </c>
      <c r="S258" s="55">
        <f>IF($B258=$B257,$S257,0)+$R258</f>
        <v/>
      </c>
      <c r="T258" s="55">
        <f>$T257+$R258</f>
        <v/>
      </c>
      <c r="U258" s="55">
        <f>SUMIFS(tblMovement[Tonnes_t],tblMovement[Date],$A258,tblMovement[Is_Ore],0,tblMovement[Source_Type],"Pit")</f>
        <v/>
      </c>
      <c r="V258" s="55">
        <f>IF($B258=$B257,$V257,0)+$U258</f>
        <v/>
      </c>
      <c r="W258" s="55">
        <f>$W257+$U258</f>
        <v/>
      </c>
      <c r="X258" s="55">
        <f>$F258+$U258</f>
        <v/>
      </c>
      <c r="Y258" s="55">
        <f>IF($B258=$B257,$Y257,0)+$X258</f>
        <v/>
      </c>
      <c r="Z258" s="55">
        <f>$Z257+$X258</f>
        <v/>
      </c>
      <c r="AA258" s="56">
        <f>IFERROR(IF(($F258)&gt;0,($U258)/($F258),""),"")</f>
        <v/>
      </c>
      <c r="AB258" s="56">
        <f>IFERROR(IF(($G258)&gt;0,($V258)/($G258),""),"")</f>
        <v/>
      </c>
      <c r="AC258" s="56">
        <f>IFERROR(IF(($H258)&gt;0,($W258)/($H258),""),"")</f>
        <v/>
      </c>
      <c r="AD258" s="55">
        <f>SUMIFS(tblMovement[Tonnes_t],tblMovement[Date],$A258,tblMovement[Source_Type],"Stockpile")</f>
        <v/>
      </c>
      <c r="AE258" s="55">
        <f>IF($B258=$B257,$AE257,0)+$AD258</f>
        <v/>
      </c>
      <c r="AF258" s="55">
        <f>$AF257+$AD258</f>
        <v/>
      </c>
      <c r="AG258" s="55">
        <f>SUMIFS(tblMovement[Tonnes_t],tblMovement[Date],$A258)</f>
        <v/>
      </c>
      <c r="AH258" s="55">
        <f>IF($B258=$B257,$AH257,0)+$AG258</f>
        <v/>
      </c>
      <c r="AI258" s="55">
        <f>$AI257+$AG258</f>
        <v/>
      </c>
      <c r="AJ258" s="55">
        <f>$AG258-$X258-$AD258</f>
        <v/>
      </c>
      <c r="AK258" s="55">
        <f>IF($B258=$B257,$AK257,0)+$AJ258</f>
        <v/>
      </c>
      <c r="AL258" s="55">
        <f>$AL257+$AJ258</f>
        <v/>
      </c>
      <c r="AM258" s="55">
        <f>SUMIFS(tblMiningDaily[Drill_m],tblMiningDaily[Date],$A258)</f>
        <v/>
      </c>
      <c r="AN258" s="55">
        <f>IF($B258=$B257,$AN257,0)+$AM258</f>
        <v/>
      </c>
      <c r="AO258" s="55">
        <f>$AO257+$AM258</f>
        <v/>
      </c>
      <c r="AP258" s="55">
        <f>SUMIFS(tblMiningDaily[GC_Drill_m],tblMiningDaily[Date],$A258)</f>
        <v/>
      </c>
      <c r="AQ258" s="55">
        <f>IF($B258=$B257,$AQ257,0)+$AP258</f>
        <v/>
      </c>
      <c r="AR258" s="55">
        <f>$AR257+$AP258</f>
        <v/>
      </c>
      <c r="AS258" s="55">
        <f>SUMIFS(tblMiningDaily[Blast_t],tblMiningDaily[Date],$A258)</f>
        <v/>
      </c>
      <c r="AT258" s="55">
        <f>IF($B258=$B257,$AT257,0)+$AS258</f>
        <v/>
      </c>
      <c r="AU258" s="55">
        <f>$AU257+$AS258</f>
        <v/>
      </c>
      <c r="AV258" s="55">
        <f>SUMIFS(tblMiningDaily[Explosives_kg],tblMiningDaily[Date],$A258)</f>
        <v/>
      </c>
      <c r="AW258" s="55">
        <f>IF($B258=$B257,$AW257,0)+$AV258</f>
        <v/>
      </c>
      <c r="AX258" s="55">
        <f>$AX257+$AV258</f>
        <v/>
      </c>
      <c r="AY258" s="56">
        <f>IFERROR(IF(($AS258)&gt;0,($AV258)/($AS258),""),"")</f>
        <v/>
      </c>
      <c r="AZ258" s="56">
        <f>IFERROR(IF(($AT258)&gt;0,($AW258)/($AT258),""),"")</f>
        <v/>
      </c>
      <c r="BA258" s="56">
        <f>IFERROR(IF(($AU258)&gt;0,($AX258)/($AU258),""),"")</f>
        <v/>
      </c>
      <c r="BB258" s="55">
        <f>SUMIFS(tblMiningDaily[Diesel_L],tblMiningDaily[Date],$A258)</f>
        <v/>
      </c>
      <c r="BC258" s="55">
        <f>IF($B258=$B257,$BC257,0)+$BB258</f>
        <v/>
      </c>
      <c r="BD258" s="55">
        <f>$BD257+$BB258</f>
        <v/>
      </c>
      <c r="BE258" s="55">
        <f>SUMIFS(tblMiningDaily[Dewatering_m3],tblMiningDaily[Date],$A258)</f>
        <v/>
      </c>
      <c r="BF258" s="55">
        <f>IF($B258=$B257,$BF257,0)+$BE258</f>
        <v/>
      </c>
      <c r="BG258" s="55">
        <f>$BG257+$BE258</f>
        <v/>
      </c>
      <c r="BH258" s="57">
        <f>SUMIFS(tblFleet[Calendar_h],tblFleet[Date],$A258,tblFleet[Equipment_Class],"Excavator")</f>
        <v/>
      </c>
      <c r="BI258" s="57">
        <f>IF($B258=$B257,$BI257,0)+$BH258</f>
        <v/>
      </c>
      <c r="BJ258" s="57">
        <f>$BJ257+$BH258</f>
        <v/>
      </c>
      <c r="BK258" s="57">
        <f>SUMIFS(tblFleet[Available_h],tblFleet[Date],$A258,tblFleet[Equipment_Class],"Excavator")</f>
        <v/>
      </c>
      <c r="BL258" s="57">
        <f>IF($B258=$B257,$BL257,0)+$BK258</f>
        <v/>
      </c>
      <c r="BM258" s="57">
        <f>$BM257+$BK258</f>
        <v/>
      </c>
      <c r="BN258" s="57">
        <f>SUMIFS(tblFleet[Operating_h],tblFleet[Date],$A258,tblFleet[Equipment_Class],"Excavator")</f>
        <v/>
      </c>
      <c r="BO258" s="57">
        <f>IF($B258=$B257,$BO257,0)+$BN258</f>
        <v/>
      </c>
      <c r="BP258" s="57">
        <f>$BP257+$BN258</f>
        <v/>
      </c>
      <c r="BQ258" s="67">
        <f>IFERROR(IF(($BH258)&gt;0,($BK258)/($BH258),""),"")</f>
        <v/>
      </c>
      <c r="BR258" s="67">
        <f>IFERROR(IF(($BI258)&gt;0,($BL258)/($BI258),""),"")</f>
        <v/>
      </c>
      <c r="BS258" s="67">
        <f>IFERROR(IF(($BJ258)&gt;0,($BM258)/($BJ258),""),"")</f>
        <v/>
      </c>
      <c r="BT258" s="67">
        <f>IFERROR(IF(($BK258)&gt;0,($BN258)/($BK258),""),"")</f>
        <v/>
      </c>
      <c r="BU258" s="67">
        <f>IFERROR(IF(($BL258)&gt;0,($BO258)/($BL258),""),"")</f>
        <v/>
      </c>
      <c r="BV258" s="67">
        <f>IFERROR(IF(($BM258)&gt;0,($BP258)/($BM258),""),"")</f>
        <v/>
      </c>
      <c r="BW258" s="57">
        <f>SUMIFS(tblFleet[Calendar_h],tblFleet[Date],$A258,tblFleet[Equipment_Class],"Haul Truck")</f>
        <v/>
      </c>
      <c r="BX258" s="57">
        <f>IF($B258=$B257,$BX257,0)+$BW258</f>
        <v/>
      </c>
      <c r="BY258" s="57">
        <f>$BY257+$BW258</f>
        <v/>
      </c>
      <c r="BZ258" s="57">
        <f>SUMIFS(tblFleet[Available_h],tblFleet[Date],$A258,tblFleet[Equipment_Class],"Haul Truck")</f>
        <v/>
      </c>
      <c r="CA258" s="57">
        <f>IF($B258=$B257,$CA257,0)+$BZ258</f>
        <v/>
      </c>
      <c r="CB258" s="57">
        <f>$CB257+$BZ258</f>
        <v/>
      </c>
      <c r="CC258" s="57">
        <f>SUMIFS(tblFleet[Operating_h],tblFleet[Date],$A258,tblFleet[Equipment_Class],"Haul Truck")</f>
        <v/>
      </c>
      <c r="CD258" s="57">
        <f>IF($B258=$B257,$CD257,0)+$CC258</f>
        <v/>
      </c>
      <c r="CE258" s="57">
        <f>$CE257+$CC258</f>
        <v/>
      </c>
      <c r="CF258" s="67">
        <f>IFERROR(IF(($BW258)&gt;0,($BZ258)/($BW258),""),"")</f>
        <v/>
      </c>
      <c r="CG258" s="67">
        <f>IFERROR(IF(($BX258)&gt;0,($CA258)/($BX258),""),"")</f>
        <v/>
      </c>
      <c r="CH258" s="67">
        <f>IFERROR(IF(($BY258)&gt;0,($CB258)/($BY258),""),"")</f>
        <v/>
      </c>
      <c r="CI258" s="67">
        <f>IFERROR(IF(($BZ258)&gt;0,($CC258)/($BZ258),""),"")</f>
        <v/>
      </c>
      <c r="CJ258" s="67">
        <f>IFERROR(IF(($CA258)&gt;0,($CD258)/($CA258),""),"")</f>
        <v/>
      </c>
      <c r="CK258" s="67">
        <f>IFERROR(IF(($CB258)&gt;0,($CE258)/($CB258),""),"")</f>
        <v/>
      </c>
      <c r="CL258" s="55">
        <f>IFERROR(IF(($BN258)&gt;0,($X258+$AD258)/($BN258),""),"")</f>
        <v/>
      </c>
      <c r="CM258" s="55">
        <f>IFERROR(IF(($BO258)&gt;0,($Y258+$AE258)/($BO258),""),"")</f>
        <v/>
      </c>
      <c r="CN258" s="55">
        <f>IFERROR(IF(($BP258)&gt;0,($Z258+$AF258)/($BP258),""),"")</f>
        <v/>
      </c>
      <c r="CO258" s="55">
        <f>IFERROR(IF(($CC258)&gt;0,($X258+$AD258)/($CC258),""),"")</f>
        <v/>
      </c>
      <c r="CP258" s="55">
        <f>IFERROR(IF(($CD258)&gt;0,($Y258+$AE258)/($CD258),""),"")</f>
        <v/>
      </c>
      <c r="CQ258" s="55">
        <f>IFERROR(IF(($CE258)&gt;0,($Z258+$AF258)/($CE258),""),"")</f>
        <v/>
      </c>
      <c r="CR258" s="55">
        <f>SUMIFS(tblPlant[Crushed_t],tblPlant[Date],$A258)</f>
        <v/>
      </c>
      <c r="CS258" s="55">
        <f>IF($B258=$B257,$CS257,0)+$CR258</f>
        <v/>
      </c>
      <c r="CT258" s="55">
        <f>$CT257+$CR258</f>
        <v/>
      </c>
      <c r="CU258" s="55">
        <f>SUMIFS(tblPlant[Milled_t],tblPlant[Date],$A258)</f>
        <v/>
      </c>
      <c r="CV258" s="55">
        <f>IF($B258=$B257,$CV257,0)+$CU258</f>
        <v/>
      </c>
      <c r="CW258" s="55">
        <f>$CW257+$CU258</f>
        <v/>
      </c>
      <c r="CX258" s="55">
        <f>SUMIFS(tblPlant[Feed_oz],tblPlant[Date],$A258)</f>
        <v/>
      </c>
      <c r="CY258" s="55">
        <f>IF($B258=$B257,$CY257,0)+$CX258</f>
        <v/>
      </c>
      <c r="CZ258" s="55">
        <f>$CZ257+$CX258</f>
        <v/>
      </c>
      <c r="DA258" s="55">
        <f>SUMIFS(tblPlant[Tails_oz],tblPlant[Date],$A258)</f>
        <v/>
      </c>
      <c r="DB258" s="55">
        <f>IF($B258=$B257,$DB257,0)+$DA258</f>
        <v/>
      </c>
      <c r="DC258" s="55">
        <f>$DC257+$DA258</f>
        <v/>
      </c>
      <c r="DD258" s="55">
        <f>SUMIFS(tblPlant[Recovered_oz],tblPlant[Date],$A258)</f>
        <v/>
      </c>
      <c r="DE258" s="55">
        <f>IF($B258=$B257,$DE257,0)+$DD258</f>
        <v/>
      </c>
      <c r="DF258" s="55">
        <f>$DF257+$DD258</f>
        <v/>
      </c>
      <c r="DG258" s="55">
        <f>SUMIFS(tblPlant[Milled_t],tblPlant[Date],$A258,tblPlant[Head_Grade_gpt],"&lt;&gt;")</f>
        <v/>
      </c>
      <c r="DH258" s="55">
        <f>IF($B258=$B257,$DH257,0)+$DG258</f>
        <v/>
      </c>
      <c r="DI258" s="55">
        <f>$DI257+$DG258</f>
        <v/>
      </c>
      <c r="DJ258" s="55">
        <f>SUMIFS(tblPlant[Milled_t],tblPlant[Date],$A258,tblPlant[Tails_Grade_gpt],"&lt;&gt;")</f>
        <v/>
      </c>
      <c r="DK258" s="55">
        <f>IF($B258=$B257,$DK257,0)+$DJ258</f>
        <v/>
      </c>
      <c r="DL258" s="55">
        <f>$DL257+$DJ258</f>
        <v/>
      </c>
      <c r="DM258" s="55">
        <f>SUMIFS(tblPlant[Feed_oz],tblPlant[Date],$A258,tblPlant[Tails_Grade_gpt],"&lt;&gt;")</f>
        <v/>
      </c>
      <c r="DN258" s="55">
        <f>IF($B258=$B257,$DN257,0)+$DM258</f>
        <v/>
      </c>
      <c r="DO258" s="55">
        <f>$DO257+$DM258</f>
        <v/>
      </c>
      <c r="DP258" s="55">
        <f>SUMIFS(tblPlant[Milled_t],tblPlant[Date],$A258,tblPlant[Mill_Run_h],"&lt;&gt;")</f>
        <v/>
      </c>
      <c r="DQ258" s="55">
        <f>IF($B258=$B257,$DQ257,0)+$DP258</f>
        <v/>
      </c>
      <c r="DR258" s="55">
        <f>$DR257+$DP258</f>
        <v/>
      </c>
      <c r="DS258" s="56">
        <f>IFERROR(IF(($DG258)&gt;0,($CX258*cfg_TroyOz)/($DG258),""),"")</f>
        <v/>
      </c>
      <c r="DT258" s="56">
        <f>IFERROR(IF(($DH258)&gt;0,($CY258*cfg_TroyOz)/($DH258),""),"")</f>
        <v/>
      </c>
      <c r="DU258" s="56">
        <f>IFERROR(IF(($DI258)&gt;0,($CZ258*cfg_TroyOz)/($DI258),""),"")</f>
        <v/>
      </c>
      <c r="DV258" s="56">
        <f>IFERROR(IF(($DJ258)&gt;0,($DA258*cfg_TroyOz)/($DJ258),""),"")</f>
        <v/>
      </c>
      <c r="DW258" s="56">
        <f>IFERROR(IF(($DK258)&gt;0,($DB258*cfg_TroyOz)/($DK258),""),"")</f>
        <v/>
      </c>
      <c r="DX258" s="56">
        <f>IFERROR(IF(($DL258)&gt;0,($DC258*cfg_TroyOz)/($DL258),""),"")</f>
        <v/>
      </c>
      <c r="DY258" s="67">
        <f>IFERROR(IF(($DM258)&gt;0,($DD258)/($DM258),""),"")</f>
        <v/>
      </c>
      <c r="DZ258" s="67">
        <f>IFERROR(IF(($DN258)&gt;0,($DE258)/($DN258),""),"")</f>
        <v/>
      </c>
      <c r="EA258" s="67">
        <f>IFERROR(IF(($DO258)&gt;0,($DF258)/($DO258),""),"")</f>
        <v/>
      </c>
      <c r="EB258" s="55">
        <f>SUMIFS(tblPlant[Gravity_Gold_oz],tblPlant[Date],$A258)</f>
        <v/>
      </c>
      <c r="EC258" s="55">
        <f>IF($B258=$B257,$EC257,0)+$EB258</f>
        <v/>
      </c>
      <c r="ED258" s="55">
        <f>$ED257+$EB258</f>
        <v/>
      </c>
      <c r="EE258" s="67">
        <f>IFERROR(IF(($DD258)&gt;0,($EB258)/($DD258),""),"")</f>
        <v/>
      </c>
      <c r="EF258" s="67">
        <f>IFERROR(IF(($DE258)&gt;0,($EC258)/($DE258),""),"")</f>
        <v/>
      </c>
      <c r="EG258" s="67">
        <f>IFERROR(IF(($DF258)&gt;0,($ED258)/($DF258),""),"")</f>
        <v/>
      </c>
      <c r="EH258" s="55">
        <f>SUMIFS(tblPlant[Gold_Poured_oz],tblPlant[Date],$A258)</f>
        <v/>
      </c>
      <c r="EI258" s="55">
        <f>IF($B258=$B257,$EI257,0)+$EH258</f>
        <v/>
      </c>
      <c r="EJ258" s="55">
        <f>$EJ257+$EH258</f>
        <v/>
      </c>
      <c r="EK258" s="57">
        <f>SUMIFS(tblPlant[Mill_Run_h],tblPlant[Date],$A258)</f>
        <v/>
      </c>
      <c r="EL258" s="57">
        <f>IF($B258=$B257,$EL257,0)+$EK258</f>
        <v/>
      </c>
      <c r="EM258" s="57">
        <f>$EM257+$EK258</f>
        <v/>
      </c>
      <c r="EN258" s="57">
        <f>SUMIFS(tblPlant[Mill_Planned_Maint_h],tblPlant[Date],$A258)</f>
        <v/>
      </c>
      <c r="EO258" s="57">
        <f>IF($B258=$B257,$EO257,0)+$EN258</f>
        <v/>
      </c>
      <c r="EP258" s="57">
        <f>$EP257+$EN258</f>
        <v/>
      </c>
      <c r="EQ258" s="57">
        <f>SUMIFS(tblPlant[Mill_Unplanned_Down_h],tblPlant[Date],$A258)</f>
        <v/>
      </c>
      <c r="ER258" s="57">
        <f>IF($B258=$B257,$ER257,0)+$EQ258</f>
        <v/>
      </c>
      <c r="ES258" s="57">
        <f>$ES257+$EQ258</f>
        <v/>
      </c>
      <c r="ET258" s="57">
        <f>IF(COUNTIFS(tblPlant[Date],$A258,tblPlant[Mill_Run_h],"&lt;&gt;")+COUNTIFS(tblPlant[Date],$A258,tblPlant[Mill_Planned_Maint_h],"&lt;&gt;")+COUNTIFS(tblPlant[Date],$A258,tblPlant[Mill_Unplanned_Down_h],"&lt;&gt;")&gt;0,cfg_HoursPerDay,0)</f>
        <v/>
      </c>
      <c r="EU258" s="57">
        <f>IF($B258=$B257,$EU257,0)+$ET258</f>
        <v/>
      </c>
      <c r="EV258" s="57">
        <f>$EV257+$ET258</f>
        <v/>
      </c>
      <c r="EW258" s="57">
        <f>SUMIFS(tblPlant[Crusher_Run_h],tblPlant[Date],$A258)</f>
        <v/>
      </c>
      <c r="EX258" s="57">
        <f>IF($B258=$B257,$EX257,0)+$EW258</f>
        <v/>
      </c>
      <c r="EY258" s="57">
        <f>$EY257+$EW258</f>
        <v/>
      </c>
      <c r="EZ258" s="55">
        <f>IFERROR(IF(($EK258)&gt;0,($DP258)/($EK258),""),"")</f>
        <v/>
      </c>
      <c r="FA258" s="55">
        <f>IFERROR(IF(($EL258)&gt;0,($DQ258)/($EL258),""),"")</f>
        <v/>
      </c>
      <c r="FB258" s="55">
        <f>IFERROR(IF(($EM258)&gt;0,($DR258)/($EM258),""),"")</f>
        <v/>
      </c>
      <c r="FC258" s="67">
        <f>IFERROR(IF(($ET258)&gt;0,($ET258-$EN258-$EQ258)/($ET258),""),"")</f>
        <v/>
      </c>
      <c r="FD258" s="67">
        <f>IFERROR(IF(($EU258)&gt;0,($EU258-$EO258-$ER258)/($EU258),""),"")</f>
        <v/>
      </c>
      <c r="FE258" s="67">
        <f>IFERROR(IF(($EV258)&gt;0,($EV258-$EP258-$ES258)/($EV258),""),"")</f>
        <v/>
      </c>
      <c r="FF258" s="67">
        <f>IFERROR(IF(($ET258-$EN258-$EQ258)&gt;0,($EK258)/($ET258-$EN258-$EQ258),""),"")</f>
        <v/>
      </c>
      <c r="FG258" s="67">
        <f>IFERROR(IF(($EU258-$EO258-$ER258)&gt;0,($EL258)/($EU258-$EO258-$ER258),""),"")</f>
        <v/>
      </c>
      <c r="FH258" s="67">
        <f>IFERROR(IF(($EV258-$EP258-$ES258)&gt;0,($EM258)/($EV258-$EP258-$ES258),""),"")</f>
        <v/>
      </c>
      <c r="FI258" s="55">
        <f>SUMIFS(tblPlant[Cyanide_kg],tblPlant[Date],$A258)</f>
        <v/>
      </c>
      <c r="FJ258" s="55">
        <f>IF($B258=$B257,$FJ257,0)+$FI258</f>
        <v/>
      </c>
      <c r="FK258" s="55">
        <f>$FK257+$FI258</f>
        <v/>
      </c>
      <c r="FL258" s="55">
        <f>SUMIFS(tblPlant[Lime_kg],tblPlant[Date],$A258)</f>
        <v/>
      </c>
      <c r="FM258" s="55">
        <f>IF($B258=$B257,$FM257,0)+$FL258</f>
        <v/>
      </c>
      <c r="FN258" s="55">
        <f>$FN257+$FL258</f>
        <v/>
      </c>
      <c r="FO258" s="55">
        <f>SUMIFS(tblPlant[Grinding_Media_kg],tblPlant[Date],$A258)</f>
        <v/>
      </c>
      <c r="FP258" s="55">
        <f>IF($B258=$B257,$FP257,0)+$FO258</f>
        <v/>
      </c>
      <c r="FQ258" s="55">
        <f>$FQ257+$FO258</f>
        <v/>
      </c>
      <c r="FR258" s="55">
        <f>SUMIFS(tblPlant[Power_kWh],tblPlant[Date],$A258)</f>
        <v/>
      </c>
      <c r="FS258" s="55">
        <f>IF($B258=$B257,$FS257,0)+$FR258</f>
        <v/>
      </c>
      <c r="FT258" s="55">
        <f>$FT257+$FR258</f>
        <v/>
      </c>
      <c r="FU258" s="55">
        <f>SUMIFS(tblPlant[Raw_Water_m3],tblPlant[Date],$A258)</f>
        <v/>
      </c>
      <c r="FV258" s="55">
        <f>IF($B258=$B257,$FV257,0)+$FU258</f>
        <v/>
      </c>
      <c r="FW258" s="55">
        <f>$FW257+$FU258</f>
        <v/>
      </c>
      <c r="FX258" s="56">
        <f>IFERROR(IF(($CU258)&gt;0,($FI258)/($CU258),""),"")</f>
        <v/>
      </c>
      <c r="FY258" s="56">
        <f>IFERROR(IF(($CV258)&gt;0,($FJ258)/($CV258),""),"")</f>
        <v/>
      </c>
      <c r="FZ258" s="56">
        <f>IFERROR(IF(($CW258)&gt;0,($FK258)/($CW258),""),"")</f>
        <v/>
      </c>
      <c r="GA258" s="56">
        <f>IFERROR(IF(($CU258)&gt;0,($FL258)/($CU258),""),"")</f>
        <v/>
      </c>
      <c r="GB258" s="56">
        <f>IFERROR(IF(($CV258)&gt;0,($FM258)/($CV258),""),"")</f>
        <v/>
      </c>
      <c r="GC258" s="56">
        <f>IFERROR(IF(($CW258)&gt;0,($FN258)/($CW258),""),"")</f>
        <v/>
      </c>
      <c r="GD258" s="56">
        <f>IFERROR(IF(($CU258)&gt;0,($FO258)/($CU258),""),"")</f>
        <v/>
      </c>
      <c r="GE258" s="56">
        <f>IFERROR(IF(($CV258)&gt;0,($FP258)/($CV258),""),"")</f>
        <v/>
      </c>
      <c r="GF258" s="56">
        <f>IFERROR(IF(($CW258)&gt;0,($FQ258)/($CW258),""),"")</f>
        <v/>
      </c>
      <c r="GG258" s="79">
        <f>IFERROR(IF(($CU258)&gt;0,($FR258)/($CU258),""),"")</f>
        <v/>
      </c>
      <c r="GH258" s="79">
        <f>IFERROR(IF(($CV258)&gt;0,($FS258)/($CV258),""),"")</f>
        <v/>
      </c>
      <c r="GI258" s="79">
        <f>IFERROR(IF(($CW258)&gt;0,($FT258)/($CW258),""),"")</f>
        <v/>
      </c>
      <c r="GJ258" s="56">
        <f>IFERROR(IF(($CU258)&gt;0,($FU258)/($CU258),""),"")</f>
        <v/>
      </c>
      <c r="GK258" s="56">
        <f>IFERROR(IF(($CV258)&gt;0,($FV258)/($CV258),""),"")</f>
        <v/>
      </c>
      <c r="GL258" s="56">
        <f>IFERROR(IF(($CW258)&gt;0,($FW258)/($CW258),""),"")</f>
        <v/>
      </c>
      <c r="GM258" s="55">
        <f>IF(SUMIFS(tblPlant[GIC_oz],tblPlant[Date],$A258)&gt;0,SUMIFS(tblPlant[GIC_oz],tblPlant[Date],$A258),"")</f>
        <v/>
      </c>
      <c r="GN258" s="55">
        <f>SUMIFS(tblGold[Gold_oz],tblGold[Date],$A258,tblGold[Type],"Shipment")</f>
        <v/>
      </c>
      <c r="GO258" s="55">
        <f>IF($B258=$B257,$GO257,0)+$GN258</f>
        <v/>
      </c>
      <c r="GP258" s="55">
        <f>$GP257+$GN258</f>
        <v/>
      </c>
      <c r="GQ258" s="55">
        <f>SUMIFS(tblGold[Gold_oz],tblGold[Date],$A258,tblGold[Type],"Sale")</f>
        <v/>
      </c>
      <c r="GR258" s="55">
        <f>IF($B258=$B257,$GR257,0)+$GQ258</f>
        <v/>
      </c>
      <c r="GS258" s="55">
        <f>$GS257+$GQ258</f>
        <v/>
      </c>
      <c r="GT258" s="55">
        <f>SUMIFS(tblGold[Dore_kg],tblGold[Date],$A258,tblGold[Type],"Shipment")</f>
        <v/>
      </c>
      <c r="GU258" s="55">
        <f>IF($B258=$B257,$GU257,0)+$GT258</f>
        <v/>
      </c>
      <c r="GV258" s="55">
        <f>$GV257+$GT258</f>
        <v/>
      </c>
      <c r="GW258" s="57">
        <f>SUMIFS(tblSafety[Hours_Total],tblSafety[Date],$A258)</f>
        <v/>
      </c>
      <c r="GX258" s="57">
        <f>IF($B258=$B257,$GX257,0)+$GW258</f>
        <v/>
      </c>
      <c r="GY258" s="57">
        <f>$GY257+$GW258</f>
        <v/>
      </c>
      <c r="GZ258" s="62">
        <f>SUMIFS(tblSafety[Fatality],tblSafety[Date],$A258)</f>
        <v/>
      </c>
      <c r="HA258" s="62">
        <f>IF($B258=$B257,$HA257,0)+$GZ258</f>
        <v/>
      </c>
      <c r="HB258" s="62">
        <f>$HB257+$GZ258</f>
        <v/>
      </c>
      <c r="HC258" s="62">
        <f>SUMIFS(tblSafety[LTI],tblSafety[Date],$A258)</f>
        <v/>
      </c>
      <c r="HD258" s="62">
        <f>IF($B258=$B257,$HD257,0)+$HC258</f>
        <v/>
      </c>
      <c r="HE258" s="62">
        <f>$HE257+$HC258</f>
        <v/>
      </c>
      <c r="HF258" s="62">
        <f>SUMIFS(tblSafety[RWI],tblSafety[Date],$A258)</f>
        <v/>
      </c>
      <c r="HG258" s="62">
        <f>IF($B258=$B257,$HG257,0)+$HF258</f>
        <v/>
      </c>
      <c r="HH258" s="62">
        <f>$HH257+$HF258</f>
        <v/>
      </c>
      <c r="HI258" s="62">
        <f>SUMIFS(tblSafety[MTI],tblSafety[Date],$A258)</f>
        <v/>
      </c>
      <c r="HJ258" s="62">
        <f>IF($B258=$B257,$HJ257,0)+$HI258</f>
        <v/>
      </c>
      <c r="HK258" s="62">
        <f>$HK257+$HI258</f>
        <v/>
      </c>
      <c r="HL258" s="62">
        <f>SUMIFS(tblSafety[FAI],tblSafety[Date],$A258)</f>
        <v/>
      </c>
      <c r="HM258" s="62">
        <f>IF($B258=$B257,$HM257,0)+$HL258</f>
        <v/>
      </c>
      <c r="HN258" s="62">
        <f>$HN257+$HL258</f>
        <v/>
      </c>
      <c r="HO258" s="62">
        <f>SUMIFS(tblSafety[Recordables],tblSafety[Date],$A258)</f>
        <v/>
      </c>
      <c r="HP258" s="62">
        <f>IF($B258=$B257,$HP257,0)+$HO258</f>
        <v/>
      </c>
      <c r="HQ258" s="62">
        <f>$HQ257+$HO258</f>
        <v/>
      </c>
      <c r="HR258" s="62">
        <f>SUMIFS(tblSafety[Near_Miss],tblSafety[Date],$A258)</f>
        <v/>
      </c>
      <c r="HS258" s="62">
        <f>IF($B258=$B257,$HS257,0)+$HR258</f>
        <v/>
      </c>
      <c r="HT258" s="62">
        <f>$HT257+$HR258</f>
        <v/>
      </c>
      <c r="HU258" s="62">
        <f>SUMIFS(tblSafety[Hazard_Reports],tblSafety[Date],$A258)</f>
        <v/>
      </c>
      <c r="HV258" s="62">
        <f>IF($B258=$B257,$HV257,0)+$HU258</f>
        <v/>
      </c>
      <c r="HW258" s="62">
        <f>$HW257+$HU258</f>
        <v/>
      </c>
      <c r="HX258" s="62">
        <f>SUMIFS(tblSafety[HPI],tblSafety[Date],$A258)</f>
        <v/>
      </c>
      <c r="HY258" s="62">
        <f>IF($B258=$B257,$HY257,0)+$HX258</f>
        <v/>
      </c>
      <c r="HZ258" s="62">
        <f>$HZ257+$HX258</f>
        <v/>
      </c>
      <c r="IA258" s="62">
        <f>SUMIFS(tblSafety[Env_Incidents],tblSafety[Date],$A258)</f>
        <v/>
      </c>
      <c r="IB258" s="62">
        <f>IF($B258=$B257,$IB257,0)+$IA258</f>
        <v/>
      </c>
      <c r="IC258" s="62">
        <f>$IC257+$IA258</f>
        <v/>
      </c>
      <c r="ID258" s="62">
        <f>SUMIFS(tblSafety[Community_Incidents],tblSafety[Date],$A258)</f>
        <v/>
      </c>
      <c r="IE258" s="62">
        <f>IF($B258=$B257,$IE257,0)+$ID258</f>
        <v/>
      </c>
      <c r="IF258" s="62">
        <f>$IF257+$ID258</f>
        <v/>
      </c>
      <c r="IG258" s="62">
        <f>SUMIFS(tblSafety[Vehicle_Incidents],tblSafety[Date],$A258)</f>
        <v/>
      </c>
      <c r="IH258" s="62">
        <f>IF($B258=$B257,$IH257,0)+$IG258</f>
        <v/>
      </c>
      <c r="II258" s="62">
        <f>$II257+$IG258</f>
        <v/>
      </c>
      <c r="IJ258" s="62">
        <f>SUMIFS(tblSafety[Toolbox_Talks],tblSafety[Date],$A258)</f>
        <v/>
      </c>
      <c r="IK258" s="62">
        <f>IF($B258=$B257,$IK257,0)+$IJ258</f>
        <v/>
      </c>
      <c r="IL258" s="62">
        <f>$IL257+$IJ258</f>
        <v/>
      </c>
      <c r="IM258" s="62">
        <f>SUMIFS(tblSafety[Inspections],tblSafety[Date],$A258)</f>
        <v/>
      </c>
      <c r="IN258" s="62">
        <f>IF($B258=$B257,$IN257,0)+$IM258</f>
        <v/>
      </c>
      <c r="IO258" s="62">
        <f>$IO257+$IM258</f>
        <v/>
      </c>
      <c r="IP258" s="56">
        <f>IFERROR((SUMIFS(tblSafety[Recordables],tblSafety[Date],"&gt;="&amp;EDATE($E258,-12),tblSafety[Date],"&lt;="&amp;$A258)+SUMIFS(tblSafetyHistory[Recordables],tblSafetyHistory[Month],"&gt;="&amp;EDATE($E258,-12),tblSafetyHistory[Month],"&lt;"&amp;$E258,tblSafetyHistory[Use],1))/(SUMIFS(tblSafety[Hours_Total],tblSafety[Date],"&gt;="&amp;EDATE($E258,-12),tblSafety[Date],"&lt;="&amp;$A258)+SUMIFS(tblSafetyHistory[Hours_Total],tblSafetyHistory[Month],"&gt;="&amp;EDATE($E258,-12),tblSafetyHistory[Month],"&lt;"&amp;$E258,tblSafetyHistory[Use],1))*cfg_RateBasisHours,"")</f>
        <v/>
      </c>
      <c r="IQ258" s="56">
        <f>IFERROR((SUMIFS(tblSafety[LTI],tblSafety[Date],"&gt;="&amp;EDATE($E258,-12),tblSafety[Date],"&lt;="&amp;$A258)+SUMIFS(tblSafetyHistory[LTI],tblSafetyHistory[Month],"&gt;="&amp;EDATE($E258,-12),tblSafetyHistory[Month],"&lt;"&amp;$E258,tblSafetyHistory[Use],1))/(SUMIFS(tblSafety[Hours_Total],tblSafety[Date],"&gt;="&amp;EDATE($E258,-12),tblSafety[Date],"&lt;="&amp;$A258)+SUMIFS(tblSafetyHistory[Hours_Total],tblSafetyHistory[Month],"&gt;="&amp;EDATE($E258,-12),tblSafetyHistory[Month],"&lt;"&amp;$E258,tblSafetyHistory[Use],1))*cfg_RateBasisHours,"")</f>
        <v/>
      </c>
      <c r="IR258" s="62">
        <f>IF(MAX(N(cfg_PriorLTIDate),_xlfn.MAXIFS(tblSafety[Date],tblSafety[LTI],"&gt;0",tblSafety[Date],"&lt;="&amp;$A258))=0,"",$A258-MAX(N(cfg_PriorLTIDate),_xlfn.MAXIFS(tblSafety[Date],tblSafety[LTI],"&gt;0",tblSafety[Date],"&lt;="&amp;$A258)))</f>
        <v/>
      </c>
      <c r="IS258" s="55">
        <f>SUMIFS(tblBudget[Ore_Mined_t],tblBudget[Month],$E258)</f>
        <v/>
      </c>
      <c r="IT258" s="55">
        <f>$IS258*$C258/$D258</f>
        <v/>
      </c>
      <c r="IU258" s="55">
        <f>SUMIFS(tblBudget[Ore_Mined_t],tblBudget[Month],"&lt;"&amp;$E258)+$IT258</f>
        <v/>
      </c>
      <c r="IV258" s="55">
        <f>SUMIFS(tblBudget[Ore_oz],tblBudget[Month],$E258)</f>
        <v/>
      </c>
      <c r="IW258" s="55">
        <f>$IV258*$C258/$D258</f>
        <v/>
      </c>
      <c r="IX258" s="55">
        <f>SUMIFS(tblBudget[Ore_oz],tblBudget[Month],"&lt;"&amp;$E258)+$IW258</f>
        <v/>
      </c>
      <c r="IY258" s="55">
        <f>SUMIFS(tblBudget[Ore_Mined_t],tblBudget[Month],$E258)</f>
        <v/>
      </c>
      <c r="IZ258" s="55">
        <f>$IY258*$C258/$D258</f>
        <v/>
      </c>
      <c r="JA258" s="55">
        <f>SUMIFS(tblBudget[Ore_Mined_t],tblBudget[Month],"&lt;"&amp;$E258)+$IZ258</f>
        <v/>
      </c>
      <c r="JB258" s="56">
        <f>IFERROR(IF(($IY258)&gt;0,($IV258*cfg_TroyOz)/($IY258),""),"")</f>
        <v/>
      </c>
      <c r="JC258" s="56">
        <f>IFERROR(IF(($IZ258)&gt;0,($IW258*cfg_TroyOz)/($IZ258),""),"")</f>
        <v/>
      </c>
      <c r="JD258" s="56">
        <f>IFERROR(IF(($JA258)&gt;0,($IX258*cfg_TroyOz)/($JA258),""),"")</f>
        <v/>
      </c>
      <c r="JE258" s="55">
        <f>SUMIFS(tblBudget[Waste_t],tblBudget[Month],$E258)</f>
        <v/>
      </c>
      <c r="JF258" s="55">
        <f>$JE258*$C258/$D258</f>
        <v/>
      </c>
      <c r="JG258" s="55">
        <f>SUMIFS(tblBudget[Waste_t],tblBudget[Month],"&lt;"&amp;$E258)+$JF258</f>
        <v/>
      </c>
      <c r="JH258" s="55">
        <f>SUMIFS(tblBudget[TMM_t],tblBudget[Month],$E258)</f>
        <v/>
      </c>
      <c r="JI258" s="55">
        <f>$JH258*$C258/$D258</f>
        <v/>
      </c>
      <c r="JJ258" s="55">
        <f>SUMIFS(tblBudget[TMM_t],tblBudget[Month],"&lt;"&amp;$E258)+$JI258</f>
        <v/>
      </c>
      <c r="JK258" s="56">
        <f>IFERROR(IF(($IS258)&gt;0,($JE258)/($IS258),""),"")</f>
        <v/>
      </c>
      <c r="JL258" s="56">
        <f>IFERROR(IF(($IT258)&gt;0,($JF258)/($IT258),""),"")</f>
        <v/>
      </c>
      <c r="JM258" s="56">
        <f>IFERROR(IF(($IU258)&gt;0,($JG258)/($IU258),""),"")</f>
        <v/>
      </c>
      <c r="JN258" s="55">
        <f>SUMIFS(tblBudget[Drill_m],tblBudget[Month],$E258)</f>
        <v/>
      </c>
      <c r="JO258" s="55">
        <f>$JN258*$C258/$D258</f>
        <v/>
      </c>
      <c r="JP258" s="55">
        <f>SUMIFS(tblBudget[Drill_m],tblBudget[Month],"&lt;"&amp;$E258)+$JO258</f>
        <v/>
      </c>
      <c r="JQ258" s="55">
        <f>SUMIFS(tblBudget[Diesel_L],tblBudget[Month],$E258)</f>
        <v/>
      </c>
      <c r="JR258" s="55">
        <f>$JQ258*$C258/$D258</f>
        <v/>
      </c>
      <c r="JS258" s="55">
        <f>SUMIFS(tblBudget[Diesel_L],tblBudget[Month],"&lt;"&amp;$E258)+$JR258</f>
        <v/>
      </c>
      <c r="JT258" s="55">
        <f>SUMIFS(tblBudget[Milled_t],tblBudget[Month],$E258)</f>
        <v/>
      </c>
      <c r="JU258" s="55">
        <f>$JT258*$C258/$D258</f>
        <v/>
      </c>
      <c r="JV258" s="55">
        <f>SUMIFS(tblBudget[Milled_t],tblBudget[Month],"&lt;"&amp;$E258)+$JU258</f>
        <v/>
      </c>
      <c r="JW258" s="55">
        <f>SUMIFS(tblBudget[Feed_oz],tblBudget[Month],$E258)</f>
        <v/>
      </c>
      <c r="JX258" s="55">
        <f>$JW258*$C258/$D258</f>
        <v/>
      </c>
      <c r="JY258" s="55">
        <f>SUMIFS(tblBudget[Feed_oz],tblBudget[Month],"&lt;"&amp;$E258)+$JX258</f>
        <v/>
      </c>
      <c r="JZ258" s="55">
        <f>SUMIFS(tblBudget[Recovered_oz],tblBudget[Month],$E258)</f>
        <v/>
      </c>
      <c r="KA258" s="55">
        <f>$JZ258*$C258/$D258</f>
        <v/>
      </c>
      <c r="KB258" s="55">
        <f>SUMIFS(tblBudget[Recovered_oz],tblBudget[Month],"&lt;"&amp;$E258)+$KA258</f>
        <v/>
      </c>
      <c r="KC258" s="55">
        <f>SUMIFS(tblBudget[Milled_t],tblBudget[Month],$E258)</f>
        <v/>
      </c>
      <c r="KD258" s="55">
        <f>$KC258*$C258/$D258</f>
        <v/>
      </c>
      <c r="KE258" s="55">
        <f>SUMIFS(tblBudget[Milled_t],tblBudget[Month],"&lt;"&amp;$E258)+$KD258</f>
        <v/>
      </c>
      <c r="KF258" s="55">
        <f>SUMIFS(tblBudget[Feed_oz],tblBudget[Month],$E258)</f>
        <v/>
      </c>
      <c r="KG258" s="55">
        <f>$KF258*$C258/$D258</f>
        <v/>
      </c>
      <c r="KH258" s="55">
        <f>SUMIFS(tblBudget[Feed_oz],tblBudget[Month],"&lt;"&amp;$E258)+$KG258</f>
        <v/>
      </c>
      <c r="KI258" s="56">
        <f>IFERROR(IF(($KC258)&gt;0,($JW258*cfg_TroyOz)/($KC258),""),"")</f>
        <v/>
      </c>
      <c r="KJ258" s="56">
        <f>IFERROR(IF(($KD258)&gt;0,($JX258*cfg_TroyOz)/($KD258),""),"")</f>
        <v/>
      </c>
      <c r="KK258" s="56">
        <f>IFERROR(IF(($KE258)&gt;0,($JY258*cfg_TroyOz)/($KE258),""),"")</f>
        <v/>
      </c>
      <c r="KL258" s="67">
        <f>IFERROR(IF(($KF258)&gt;0,($JZ258)/($KF258),""),"")</f>
        <v/>
      </c>
      <c r="KM258" s="67">
        <f>IFERROR(IF(($KG258)&gt;0,($KA258)/($KG258),""),"")</f>
        <v/>
      </c>
      <c r="KN258" s="67">
        <f>IFERROR(IF(($KH258)&gt;0,($KB258)/($KH258),""),"")</f>
        <v/>
      </c>
      <c r="KO258" s="55">
        <f>SUMIFS(tblBudget[Gold_Poured_oz],tblBudget[Month],$E258)</f>
        <v/>
      </c>
      <c r="KP258" s="55">
        <f>$KO258*$C258/$D258</f>
        <v/>
      </c>
      <c r="KQ258" s="55">
        <f>SUMIFS(tblBudget[Gold_Poured_oz],tblBudget[Month],"&lt;"&amp;$E258)+$KP258</f>
        <v/>
      </c>
      <c r="KR258" s="57">
        <f>SUMIFS(tblBudget[Hours_Worked],tblBudget[Month],$E258)</f>
        <v/>
      </c>
      <c r="KS258" s="57">
        <f>$KR258*$C258/$D258</f>
        <v/>
      </c>
      <c r="KT258" s="57">
        <f>SUMIFS(tblBudget[Hours_Worked],tblBudget[Month],"&lt;"&amp;$E258)+$KS258</f>
        <v/>
      </c>
    </row>
    <row r="259">
      <c r="A259" s="54" t="n">
        <v>46280</v>
      </c>
      <c r="B259">
        <f>MONTH($A259)</f>
        <v/>
      </c>
      <c r="C259">
        <f>DAY($A259)</f>
        <v/>
      </c>
      <c r="D259">
        <f>DAY(EOMONTH($A259,0))</f>
        <v/>
      </c>
      <c r="E259" s="54">
        <f>DATE(YEAR($A259),MONTH($A259),1)</f>
        <v/>
      </c>
      <c r="F259" s="55">
        <f>SUMIFS(tblMovement[Tonnes_t],tblMovement[Date],$A259,tblMovement[Is_Ore],1,tblMovement[Source_Type],"Pit")</f>
        <v/>
      </c>
      <c r="G259" s="55">
        <f>IF($B259=$B258,$G258,0)+$F259</f>
        <v/>
      </c>
      <c r="H259" s="55">
        <f>$H258+$F259</f>
        <v/>
      </c>
      <c r="I259" s="55">
        <f>SUMIFS(tblMovement[Ore_oz],tblMovement[Date],$A259,tblMovement[Source_Type],"Pit")</f>
        <v/>
      </c>
      <c r="J259" s="55">
        <f>IF($B259=$B258,$J258,0)+$I259</f>
        <v/>
      </c>
      <c r="K259" s="55">
        <f>$K258+$I259</f>
        <v/>
      </c>
      <c r="L259" s="55">
        <f>SUMIFS(tblMovement[Tonnes_t],tblMovement[Date],$A259,tblMovement[Is_Ore],1,tblMovement[Source_Type],"Pit",tblMovement[Grade_gpt],"&lt;&gt;")</f>
        <v/>
      </c>
      <c r="M259" s="55">
        <f>IF($B259=$B258,$M258,0)+$L259</f>
        <v/>
      </c>
      <c r="N259" s="55">
        <f>$N258+$L259</f>
        <v/>
      </c>
      <c r="O259" s="56">
        <f>IFERROR(IF(($L259)&gt;0,($I259*cfg_TroyOz)/($L259),""),"")</f>
        <v/>
      </c>
      <c r="P259" s="56">
        <f>IFERROR(IF(($M259)&gt;0,($J259*cfg_TroyOz)/($M259),""),"")</f>
        <v/>
      </c>
      <c r="Q259" s="56">
        <f>IFERROR(IF(($N259)&gt;0,($K259*cfg_TroyOz)/($N259),""),"")</f>
        <v/>
      </c>
      <c r="R259" s="55">
        <f>$F259-$L259</f>
        <v/>
      </c>
      <c r="S259" s="55">
        <f>IF($B259=$B258,$S258,0)+$R259</f>
        <v/>
      </c>
      <c r="T259" s="55">
        <f>$T258+$R259</f>
        <v/>
      </c>
      <c r="U259" s="55">
        <f>SUMIFS(tblMovement[Tonnes_t],tblMovement[Date],$A259,tblMovement[Is_Ore],0,tblMovement[Source_Type],"Pit")</f>
        <v/>
      </c>
      <c r="V259" s="55">
        <f>IF($B259=$B258,$V258,0)+$U259</f>
        <v/>
      </c>
      <c r="W259" s="55">
        <f>$W258+$U259</f>
        <v/>
      </c>
      <c r="X259" s="55">
        <f>$F259+$U259</f>
        <v/>
      </c>
      <c r="Y259" s="55">
        <f>IF($B259=$B258,$Y258,0)+$X259</f>
        <v/>
      </c>
      <c r="Z259" s="55">
        <f>$Z258+$X259</f>
        <v/>
      </c>
      <c r="AA259" s="56">
        <f>IFERROR(IF(($F259)&gt;0,($U259)/($F259),""),"")</f>
        <v/>
      </c>
      <c r="AB259" s="56">
        <f>IFERROR(IF(($G259)&gt;0,($V259)/($G259),""),"")</f>
        <v/>
      </c>
      <c r="AC259" s="56">
        <f>IFERROR(IF(($H259)&gt;0,($W259)/($H259),""),"")</f>
        <v/>
      </c>
      <c r="AD259" s="55">
        <f>SUMIFS(tblMovement[Tonnes_t],tblMovement[Date],$A259,tblMovement[Source_Type],"Stockpile")</f>
        <v/>
      </c>
      <c r="AE259" s="55">
        <f>IF($B259=$B258,$AE258,0)+$AD259</f>
        <v/>
      </c>
      <c r="AF259" s="55">
        <f>$AF258+$AD259</f>
        <v/>
      </c>
      <c r="AG259" s="55">
        <f>SUMIFS(tblMovement[Tonnes_t],tblMovement[Date],$A259)</f>
        <v/>
      </c>
      <c r="AH259" s="55">
        <f>IF($B259=$B258,$AH258,0)+$AG259</f>
        <v/>
      </c>
      <c r="AI259" s="55">
        <f>$AI258+$AG259</f>
        <v/>
      </c>
      <c r="AJ259" s="55">
        <f>$AG259-$X259-$AD259</f>
        <v/>
      </c>
      <c r="AK259" s="55">
        <f>IF($B259=$B258,$AK258,0)+$AJ259</f>
        <v/>
      </c>
      <c r="AL259" s="55">
        <f>$AL258+$AJ259</f>
        <v/>
      </c>
      <c r="AM259" s="55">
        <f>SUMIFS(tblMiningDaily[Drill_m],tblMiningDaily[Date],$A259)</f>
        <v/>
      </c>
      <c r="AN259" s="55">
        <f>IF($B259=$B258,$AN258,0)+$AM259</f>
        <v/>
      </c>
      <c r="AO259" s="55">
        <f>$AO258+$AM259</f>
        <v/>
      </c>
      <c r="AP259" s="55">
        <f>SUMIFS(tblMiningDaily[GC_Drill_m],tblMiningDaily[Date],$A259)</f>
        <v/>
      </c>
      <c r="AQ259" s="55">
        <f>IF($B259=$B258,$AQ258,0)+$AP259</f>
        <v/>
      </c>
      <c r="AR259" s="55">
        <f>$AR258+$AP259</f>
        <v/>
      </c>
      <c r="AS259" s="55">
        <f>SUMIFS(tblMiningDaily[Blast_t],tblMiningDaily[Date],$A259)</f>
        <v/>
      </c>
      <c r="AT259" s="55">
        <f>IF($B259=$B258,$AT258,0)+$AS259</f>
        <v/>
      </c>
      <c r="AU259" s="55">
        <f>$AU258+$AS259</f>
        <v/>
      </c>
      <c r="AV259" s="55">
        <f>SUMIFS(tblMiningDaily[Explosives_kg],tblMiningDaily[Date],$A259)</f>
        <v/>
      </c>
      <c r="AW259" s="55">
        <f>IF($B259=$B258,$AW258,0)+$AV259</f>
        <v/>
      </c>
      <c r="AX259" s="55">
        <f>$AX258+$AV259</f>
        <v/>
      </c>
      <c r="AY259" s="56">
        <f>IFERROR(IF(($AS259)&gt;0,($AV259)/($AS259),""),"")</f>
        <v/>
      </c>
      <c r="AZ259" s="56">
        <f>IFERROR(IF(($AT259)&gt;0,($AW259)/($AT259),""),"")</f>
        <v/>
      </c>
      <c r="BA259" s="56">
        <f>IFERROR(IF(($AU259)&gt;0,($AX259)/($AU259),""),"")</f>
        <v/>
      </c>
      <c r="BB259" s="55">
        <f>SUMIFS(tblMiningDaily[Diesel_L],tblMiningDaily[Date],$A259)</f>
        <v/>
      </c>
      <c r="BC259" s="55">
        <f>IF($B259=$B258,$BC258,0)+$BB259</f>
        <v/>
      </c>
      <c r="BD259" s="55">
        <f>$BD258+$BB259</f>
        <v/>
      </c>
      <c r="BE259" s="55">
        <f>SUMIFS(tblMiningDaily[Dewatering_m3],tblMiningDaily[Date],$A259)</f>
        <v/>
      </c>
      <c r="BF259" s="55">
        <f>IF($B259=$B258,$BF258,0)+$BE259</f>
        <v/>
      </c>
      <c r="BG259" s="55">
        <f>$BG258+$BE259</f>
        <v/>
      </c>
      <c r="BH259" s="57">
        <f>SUMIFS(tblFleet[Calendar_h],tblFleet[Date],$A259,tblFleet[Equipment_Class],"Excavator")</f>
        <v/>
      </c>
      <c r="BI259" s="57">
        <f>IF($B259=$B258,$BI258,0)+$BH259</f>
        <v/>
      </c>
      <c r="BJ259" s="57">
        <f>$BJ258+$BH259</f>
        <v/>
      </c>
      <c r="BK259" s="57">
        <f>SUMIFS(tblFleet[Available_h],tblFleet[Date],$A259,tblFleet[Equipment_Class],"Excavator")</f>
        <v/>
      </c>
      <c r="BL259" s="57">
        <f>IF($B259=$B258,$BL258,0)+$BK259</f>
        <v/>
      </c>
      <c r="BM259" s="57">
        <f>$BM258+$BK259</f>
        <v/>
      </c>
      <c r="BN259" s="57">
        <f>SUMIFS(tblFleet[Operating_h],tblFleet[Date],$A259,tblFleet[Equipment_Class],"Excavator")</f>
        <v/>
      </c>
      <c r="BO259" s="57">
        <f>IF($B259=$B258,$BO258,0)+$BN259</f>
        <v/>
      </c>
      <c r="BP259" s="57">
        <f>$BP258+$BN259</f>
        <v/>
      </c>
      <c r="BQ259" s="67">
        <f>IFERROR(IF(($BH259)&gt;0,($BK259)/($BH259),""),"")</f>
        <v/>
      </c>
      <c r="BR259" s="67">
        <f>IFERROR(IF(($BI259)&gt;0,($BL259)/($BI259),""),"")</f>
        <v/>
      </c>
      <c r="BS259" s="67">
        <f>IFERROR(IF(($BJ259)&gt;0,($BM259)/($BJ259),""),"")</f>
        <v/>
      </c>
      <c r="BT259" s="67">
        <f>IFERROR(IF(($BK259)&gt;0,($BN259)/($BK259),""),"")</f>
        <v/>
      </c>
      <c r="BU259" s="67">
        <f>IFERROR(IF(($BL259)&gt;0,($BO259)/($BL259),""),"")</f>
        <v/>
      </c>
      <c r="BV259" s="67">
        <f>IFERROR(IF(($BM259)&gt;0,($BP259)/($BM259),""),"")</f>
        <v/>
      </c>
      <c r="BW259" s="57">
        <f>SUMIFS(tblFleet[Calendar_h],tblFleet[Date],$A259,tblFleet[Equipment_Class],"Haul Truck")</f>
        <v/>
      </c>
      <c r="BX259" s="57">
        <f>IF($B259=$B258,$BX258,0)+$BW259</f>
        <v/>
      </c>
      <c r="BY259" s="57">
        <f>$BY258+$BW259</f>
        <v/>
      </c>
      <c r="BZ259" s="57">
        <f>SUMIFS(tblFleet[Available_h],tblFleet[Date],$A259,tblFleet[Equipment_Class],"Haul Truck")</f>
        <v/>
      </c>
      <c r="CA259" s="57">
        <f>IF($B259=$B258,$CA258,0)+$BZ259</f>
        <v/>
      </c>
      <c r="CB259" s="57">
        <f>$CB258+$BZ259</f>
        <v/>
      </c>
      <c r="CC259" s="57">
        <f>SUMIFS(tblFleet[Operating_h],tblFleet[Date],$A259,tblFleet[Equipment_Class],"Haul Truck")</f>
        <v/>
      </c>
      <c r="CD259" s="57">
        <f>IF($B259=$B258,$CD258,0)+$CC259</f>
        <v/>
      </c>
      <c r="CE259" s="57">
        <f>$CE258+$CC259</f>
        <v/>
      </c>
      <c r="CF259" s="67">
        <f>IFERROR(IF(($BW259)&gt;0,($BZ259)/($BW259),""),"")</f>
        <v/>
      </c>
      <c r="CG259" s="67">
        <f>IFERROR(IF(($BX259)&gt;0,($CA259)/($BX259),""),"")</f>
        <v/>
      </c>
      <c r="CH259" s="67">
        <f>IFERROR(IF(($BY259)&gt;0,($CB259)/($BY259),""),"")</f>
        <v/>
      </c>
      <c r="CI259" s="67">
        <f>IFERROR(IF(($BZ259)&gt;0,($CC259)/($BZ259),""),"")</f>
        <v/>
      </c>
      <c r="CJ259" s="67">
        <f>IFERROR(IF(($CA259)&gt;0,($CD259)/($CA259),""),"")</f>
        <v/>
      </c>
      <c r="CK259" s="67">
        <f>IFERROR(IF(($CB259)&gt;0,($CE259)/($CB259),""),"")</f>
        <v/>
      </c>
      <c r="CL259" s="55">
        <f>IFERROR(IF(($BN259)&gt;0,($X259+$AD259)/($BN259),""),"")</f>
        <v/>
      </c>
      <c r="CM259" s="55">
        <f>IFERROR(IF(($BO259)&gt;0,($Y259+$AE259)/($BO259),""),"")</f>
        <v/>
      </c>
      <c r="CN259" s="55">
        <f>IFERROR(IF(($BP259)&gt;0,($Z259+$AF259)/($BP259),""),"")</f>
        <v/>
      </c>
      <c r="CO259" s="55">
        <f>IFERROR(IF(($CC259)&gt;0,($X259+$AD259)/($CC259),""),"")</f>
        <v/>
      </c>
      <c r="CP259" s="55">
        <f>IFERROR(IF(($CD259)&gt;0,($Y259+$AE259)/($CD259),""),"")</f>
        <v/>
      </c>
      <c r="CQ259" s="55">
        <f>IFERROR(IF(($CE259)&gt;0,($Z259+$AF259)/($CE259),""),"")</f>
        <v/>
      </c>
      <c r="CR259" s="55">
        <f>SUMIFS(tblPlant[Crushed_t],tblPlant[Date],$A259)</f>
        <v/>
      </c>
      <c r="CS259" s="55">
        <f>IF($B259=$B258,$CS258,0)+$CR259</f>
        <v/>
      </c>
      <c r="CT259" s="55">
        <f>$CT258+$CR259</f>
        <v/>
      </c>
      <c r="CU259" s="55">
        <f>SUMIFS(tblPlant[Milled_t],tblPlant[Date],$A259)</f>
        <v/>
      </c>
      <c r="CV259" s="55">
        <f>IF($B259=$B258,$CV258,0)+$CU259</f>
        <v/>
      </c>
      <c r="CW259" s="55">
        <f>$CW258+$CU259</f>
        <v/>
      </c>
      <c r="CX259" s="55">
        <f>SUMIFS(tblPlant[Feed_oz],tblPlant[Date],$A259)</f>
        <v/>
      </c>
      <c r="CY259" s="55">
        <f>IF($B259=$B258,$CY258,0)+$CX259</f>
        <v/>
      </c>
      <c r="CZ259" s="55">
        <f>$CZ258+$CX259</f>
        <v/>
      </c>
      <c r="DA259" s="55">
        <f>SUMIFS(tblPlant[Tails_oz],tblPlant[Date],$A259)</f>
        <v/>
      </c>
      <c r="DB259" s="55">
        <f>IF($B259=$B258,$DB258,0)+$DA259</f>
        <v/>
      </c>
      <c r="DC259" s="55">
        <f>$DC258+$DA259</f>
        <v/>
      </c>
      <c r="DD259" s="55">
        <f>SUMIFS(tblPlant[Recovered_oz],tblPlant[Date],$A259)</f>
        <v/>
      </c>
      <c r="DE259" s="55">
        <f>IF($B259=$B258,$DE258,0)+$DD259</f>
        <v/>
      </c>
      <c r="DF259" s="55">
        <f>$DF258+$DD259</f>
        <v/>
      </c>
      <c r="DG259" s="55">
        <f>SUMIFS(tblPlant[Milled_t],tblPlant[Date],$A259,tblPlant[Head_Grade_gpt],"&lt;&gt;")</f>
        <v/>
      </c>
      <c r="DH259" s="55">
        <f>IF($B259=$B258,$DH258,0)+$DG259</f>
        <v/>
      </c>
      <c r="DI259" s="55">
        <f>$DI258+$DG259</f>
        <v/>
      </c>
      <c r="DJ259" s="55">
        <f>SUMIFS(tblPlant[Milled_t],tblPlant[Date],$A259,tblPlant[Tails_Grade_gpt],"&lt;&gt;")</f>
        <v/>
      </c>
      <c r="DK259" s="55">
        <f>IF($B259=$B258,$DK258,0)+$DJ259</f>
        <v/>
      </c>
      <c r="DL259" s="55">
        <f>$DL258+$DJ259</f>
        <v/>
      </c>
      <c r="DM259" s="55">
        <f>SUMIFS(tblPlant[Feed_oz],tblPlant[Date],$A259,tblPlant[Tails_Grade_gpt],"&lt;&gt;")</f>
        <v/>
      </c>
      <c r="DN259" s="55">
        <f>IF($B259=$B258,$DN258,0)+$DM259</f>
        <v/>
      </c>
      <c r="DO259" s="55">
        <f>$DO258+$DM259</f>
        <v/>
      </c>
      <c r="DP259" s="55">
        <f>SUMIFS(tblPlant[Milled_t],tblPlant[Date],$A259,tblPlant[Mill_Run_h],"&lt;&gt;")</f>
        <v/>
      </c>
      <c r="DQ259" s="55">
        <f>IF($B259=$B258,$DQ258,0)+$DP259</f>
        <v/>
      </c>
      <c r="DR259" s="55">
        <f>$DR258+$DP259</f>
        <v/>
      </c>
      <c r="DS259" s="56">
        <f>IFERROR(IF(($DG259)&gt;0,($CX259*cfg_TroyOz)/($DG259),""),"")</f>
        <v/>
      </c>
      <c r="DT259" s="56">
        <f>IFERROR(IF(($DH259)&gt;0,($CY259*cfg_TroyOz)/($DH259),""),"")</f>
        <v/>
      </c>
      <c r="DU259" s="56">
        <f>IFERROR(IF(($DI259)&gt;0,($CZ259*cfg_TroyOz)/($DI259),""),"")</f>
        <v/>
      </c>
      <c r="DV259" s="56">
        <f>IFERROR(IF(($DJ259)&gt;0,($DA259*cfg_TroyOz)/($DJ259),""),"")</f>
        <v/>
      </c>
      <c r="DW259" s="56">
        <f>IFERROR(IF(($DK259)&gt;0,($DB259*cfg_TroyOz)/($DK259),""),"")</f>
        <v/>
      </c>
      <c r="DX259" s="56">
        <f>IFERROR(IF(($DL259)&gt;0,($DC259*cfg_TroyOz)/($DL259),""),"")</f>
        <v/>
      </c>
      <c r="DY259" s="67">
        <f>IFERROR(IF(($DM259)&gt;0,($DD259)/($DM259),""),"")</f>
        <v/>
      </c>
      <c r="DZ259" s="67">
        <f>IFERROR(IF(($DN259)&gt;0,($DE259)/($DN259),""),"")</f>
        <v/>
      </c>
      <c r="EA259" s="67">
        <f>IFERROR(IF(($DO259)&gt;0,($DF259)/($DO259),""),"")</f>
        <v/>
      </c>
      <c r="EB259" s="55">
        <f>SUMIFS(tblPlant[Gravity_Gold_oz],tblPlant[Date],$A259)</f>
        <v/>
      </c>
      <c r="EC259" s="55">
        <f>IF($B259=$B258,$EC258,0)+$EB259</f>
        <v/>
      </c>
      <c r="ED259" s="55">
        <f>$ED258+$EB259</f>
        <v/>
      </c>
      <c r="EE259" s="67">
        <f>IFERROR(IF(($DD259)&gt;0,($EB259)/($DD259),""),"")</f>
        <v/>
      </c>
      <c r="EF259" s="67">
        <f>IFERROR(IF(($DE259)&gt;0,($EC259)/($DE259),""),"")</f>
        <v/>
      </c>
      <c r="EG259" s="67">
        <f>IFERROR(IF(($DF259)&gt;0,($ED259)/($DF259),""),"")</f>
        <v/>
      </c>
      <c r="EH259" s="55">
        <f>SUMIFS(tblPlant[Gold_Poured_oz],tblPlant[Date],$A259)</f>
        <v/>
      </c>
      <c r="EI259" s="55">
        <f>IF($B259=$B258,$EI258,0)+$EH259</f>
        <v/>
      </c>
      <c r="EJ259" s="55">
        <f>$EJ258+$EH259</f>
        <v/>
      </c>
      <c r="EK259" s="57">
        <f>SUMIFS(tblPlant[Mill_Run_h],tblPlant[Date],$A259)</f>
        <v/>
      </c>
      <c r="EL259" s="57">
        <f>IF($B259=$B258,$EL258,0)+$EK259</f>
        <v/>
      </c>
      <c r="EM259" s="57">
        <f>$EM258+$EK259</f>
        <v/>
      </c>
      <c r="EN259" s="57">
        <f>SUMIFS(tblPlant[Mill_Planned_Maint_h],tblPlant[Date],$A259)</f>
        <v/>
      </c>
      <c r="EO259" s="57">
        <f>IF($B259=$B258,$EO258,0)+$EN259</f>
        <v/>
      </c>
      <c r="EP259" s="57">
        <f>$EP258+$EN259</f>
        <v/>
      </c>
      <c r="EQ259" s="57">
        <f>SUMIFS(tblPlant[Mill_Unplanned_Down_h],tblPlant[Date],$A259)</f>
        <v/>
      </c>
      <c r="ER259" s="57">
        <f>IF($B259=$B258,$ER258,0)+$EQ259</f>
        <v/>
      </c>
      <c r="ES259" s="57">
        <f>$ES258+$EQ259</f>
        <v/>
      </c>
      <c r="ET259" s="57">
        <f>IF(COUNTIFS(tblPlant[Date],$A259,tblPlant[Mill_Run_h],"&lt;&gt;")+COUNTIFS(tblPlant[Date],$A259,tblPlant[Mill_Planned_Maint_h],"&lt;&gt;")+COUNTIFS(tblPlant[Date],$A259,tblPlant[Mill_Unplanned_Down_h],"&lt;&gt;")&gt;0,cfg_HoursPerDay,0)</f>
        <v/>
      </c>
      <c r="EU259" s="57">
        <f>IF($B259=$B258,$EU258,0)+$ET259</f>
        <v/>
      </c>
      <c r="EV259" s="57">
        <f>$EV258+$ET259</f>
        <v/>
      </c>
      <c r="EW259" s="57">
        <f>SUMIFS(tblPlant[Crusher_Run_h],tblPlant[Date],$A259)</f>
        <v/>
      </c>
      <c r="EX259" s="57">
        <f>IF($B259=$B258,$EX258,0)+$EW259</f>
        <v/>
      </c>
      <c r="EY259" s="57">
        <f>$EY258+$EW259</f>
        <v/>
      </c>
      <c r="EZ259" s="55">
        <f>IFERROR(IF(($EK259)&gt;0,($DP259)/($EK259),""),"")</f>
        <v/>
      </c>
      <c r="FA259" s="55">
        <f>IFERROR(IF(($EL259)&gt;0,($DQ259)/($EL259),""),"")</f>
        <v/>
      </c>
      <c r="FB259" s="55">
        <f>IFERROR(IF(($EM259)&gt;0,($DR259)/($EM259),""),"")</f>
        <v/>
      </c>
      <c r="FC259" s="67">
        <f>IFERROR(IF(($ET259)&gt;0,($ET259-$EN259-$EQ259)/($ET259),""),"")</f>
        <v/>
      </c>
      <c r="FD259" s="67">
        <f>IFERROR(IF(($EU259)&gt;0,($EU259-$EO259-$ER259)/($EU259),""),"")</f>
        <v/>
      </c>
      <c r="FE259" s="67">
        <f>IFERROR(IF(($EV259)&gt;0,($EV259-$EP259-$ES259)/($EV259),""),"")</f>
        <v/>
      </c>
      <c r="FF259" s="67">
        <f>IFERROR(IF(($ET259-$EN259-$EQ259)&gt;0,($EK259)/($ET259-$EN259-$EQ259),""),"")</f>
        <v/>
      </c>
      <c r="FG259" s="67">
        <f>IFERROR(IF(($EU259-$EO259-$ER259)&gt;0,($EL259)/($EU259-$EO259-$ER259),""),"")</f>
        <v/>
      </c>
      <c r="FH259" s="67">
        <f>IFERROR(IF(($EV259-$EP259-$ES259)&gt;0,($EM259)/($EV259-$EP259-$ES259),""),"")</f>
        <v/>
      </c>
      <c r="FI259" s="55">
        <f>SUMIFS(tblPlant[Cyanide_kg],tblPlant[Date],$A259)</f>
        <v/>
      </c>
      <c r="FJ259" s="55">
        <f>IF($B259=$B258,$FJ258,0)+$FI259</f>
        <v/>
      </c>
      <c r="FK259" s="55">
        <f>$FK258+$FI259</f>
        <v/>
      </c>
      <c r="FL259" s="55">
        <f>SUMIFS(tblPlant[Lime_kg],tblPlant[Date],$A259)</f>
        <v/>
      </c>
      <c r="FM259" s="55">
        <f>IF($B259=$B258,$FM258,0)+$FL259</f>
        <v/>
      </c>
      <c r="FN259" s="55">
        <f>$FN258+$FL259</f>
        <v/>
      </c>
      <c r="FO259" s="55">
        <f>SUMIFS(tblPlant[Grinding_Media_kg],tblPlant[Date],$A259)</f>
        <v/>
      </c>
      <c r="FP259" s="55">
        <f>IF($B259=$B258,$FP258,0)+$FO259</f>
        <v/>
      </c>
      <c r="FQ259" s="55">
        <f>$FQ258+$FO259</f>
        <v/>
      </c>
      <c r="FR259" s="55">
        <f>SUMIFS(tblPlant[Power_kWh],tblPlant[Date],$A259)</f>
        <v/>
      </c>
      <c r="FS259" s="55">
        <f>IF($B259=$B258,$FS258,0)+$FR259</f>
        <v/>
      </c>
      <c r="FT259" s="55">
        <f>$FT258+$FR259</f>
        <v/>
      </c>
      <c r="FU259" s="55">
        <f>SUMIFS(tblPlant[Raw_Water_m3],tblPlant[Date],$A259)</f>
        <v/>
      </c>
      <c r="FV259" s="55">
        <f>IF($B259=$B258,$FV258,0)+$FU259</f>
        <v/>
      </c>
      <c r="FW259" s="55">
        <f>$FW258+$FU259</f>
        <v/>
      </c>
      <c r="FX259" s="56">
        <f>IFERROR(IF(($CU259)&gt;0,($FI259)/($CU259),""),"")</f>
        <v/>
      </c>
      <c r="FY259" s="56">
        <f>IFERROR(IF(($CV259)&gt;0,($FJ259)/($CV259),""),"")</f>
        <v/>
      </c>
      <c r="FZ259" s="56">
        <f>IFERROR(IF(($CW259)&gt;0,($FK259)/($CW259),""),"")</f>
        <v/>
      </c>
      <c r="GA259" s="56">
        <f>IFERROR(IF(($CU259)&gt;0,($FL259)/($CU259),""),"")</f>
        <v/>
      </c>
      <c r="GB259" s="56">
        <f>IFERROR(IF(($CV259)&gt;0,($FM259)/($CV259),""),"")</f>
        <v/>
      </c>
      <c r="GC259" s="56">
        <f>IFERROR(IF(($CW259)&gt;0,($FN259)/($CW259),""),"")</f>
        <v/>
      </c>
      <c r="GD259" s="56">
        <f>IFERROR(IF(($CU259)&gt;0,($FO259)/($CU259),""),"")</f>
        <v/>
      </c>
      <c r="GE259" s="56">
        <f>IFERROR(IF(($CV259)&gt;0,($FP259)/($CV259),""),"")</f>
        <v/>
      </c>
      <c r="GF259" s="56">
        <f>IFERROR(IF(($CW259)&gt;0,($FQ259)/($CW259),""),"")</f>
        <v/>
      </c>
      <c r="GG259" s="79">
        <f>IFERROR(IF(($CU259)&gt;0,($FR259)/($CU259),""),"")</f>
        <v/>
      </c>
      <c r="GH259" s="79">
        <f>IFERROR(IF(($CV259)&gt;0,($FS259)/($CV259),""),"")</f>
        <v/>
      </c>
      <c r="GI259" s="79">
        <f>IFERROR(IF(($CW259)&gt;0,($FT259)/($CW259),""),"")</f>
        <v/>
      </c>
      <c r="GJ259" s="56">
        <f>IFERROR(IF(($CU259)&gt;0,($FU259)/($CU259),""),"")</f>
        <v/>
      </c>
      <c r="GK259" s="56">
        <f>IFERROR(IF(($CV259)&gt;0,($FV259)/($CV259),""),"")</f>
        <v/>
      </c>
      <c r="GL259" s="56">
        <f>IFERROR(IF(($CW259)&gt;0,($FW259)/($CW259),""),"")</f>
        <v/>
      </c>
      <c r="GM259" s="55">
        <f>IF(SUMIFS(tblPlant[GIC_oz],tblPlant[Date],$A259)&gt;0,SUMIFS(tblPlant[GIC_oz],tblPlant[Date],$A259),"")</f>
        <v/>
      </c>
      <c r="GN259" s="55">
        <f>SUMIFS(tblGold[Gold_oz],tblGold[Date],$A259,tblGold[Type],"Shipment")</f>
        <v/>
      </c>
      <c r="GO259" s="55">
        <f>IF($B259=$B258,$GO258,0)+$GN259</f>
        <v/>
      </c>
      <c r="GP259" s="55">
        <f>$GP258+$GN259</f>
        <v/>
      </c>
      <c r="GQ259" s="55">
        <f>SUMIFS(tblGold[Gold_oz],tblGold[Date],$A259,tblGold[Type],"Sale")</f>
        <v/>
      </c>
      <c r="GR259" s="55">
        <f>IF($B259=$B258,$GR258,0)+$GQ259</f>
        <v/>
      </c>
      <c r="GS259" s="55">
        <f>$GS258+$GQ259</f>
        <v/>
      </c>
      <c r="GT259" s="55">
        <f>SUMIFS(tblGold[Dore_kg],tblGold[Date],$A259,tblGold[Type],"Shipment")</f>
        <v/>
      </c>
      <c r="GU259" s="55">
        <f>IF($B259=$B258,$GU258,0)+$GT259</f>
        <v/>
      </c>
      <c r="GV259" s="55">
        <f>$GV258+$GT259</f>
        <v/>
      </c>
      <c r="GW259" s="57">
        <f>SUMIFS(tblSafety[Hours_Total],tblSafety[Date],$A259)</f>
        <v/>
      </c>
      <c r="GX259" s="57">
        <f>IF($B259=$B258,$GX258,0)+$GW259</f>
        <v/>
      </c>
      <c r="GY259" s="57">
        <f>$GY258+$GW259</f>
        <v/>
      </c>
      <c r="GZ259" s="62">
        <f>SUMIFS(tblSafety[Fatality],tblSafety[Date],$A259)</f>
        <v/>
      </c>
      <c r="HA259" s="62">
        <f>IF($B259=$B258,$HA258,0)+$GZ259</f>
        <v/>
      </c>
      <c r="HB259" s="62">
        <f>$HB258+$GZ259</f>
        <v/>
      </c>
      <c r="HC259" s="62">
        <f>SUMIFS(tblSafety[LTI],tblSafety[Date],$A259)</f>
        <v/>
      </c>
      <c r="HD259" s="62">
        <f>IF($B259=$B258,$HD258,0)+$HC259</f>
        <v/>
      </c>
      <c r="HE259" s="62">
        <f>$HE258+$HC259</f>
        <v/>
      </c>
      <c r="HF259" s="62">
        <f>SUMIFS(tblSafety[RWI],tblSafety[Date],$A259)</f>
        <v/>
      </c>
      <c r="HG259" s="62">
        <f>IF($B259=$B258,$HG258,0)+$HF259</f>
        <v/>
      </c>
      <c r="HH259" s="62">
        <f>$HH258+$HF259</f>
        <v/>
      </c>
      <c r="HI259" s="62">
        <f>SUMIFS(tblSafety[MTI],tblSafety[Date],$A259)</f>
        <v/>
      </c>
      <c r="HJ259" s="62">
        <f>IF($B259=$B258,$HJ258,0)+$HI259</f>
        <v/>
      </c>
      <c r="HK259" s="62">
        <f>$HK258+$HI259</f>
        <v/>
      </c>
      <c r="HL259" s="62">
        <f>SUMIFS(tblSafety[FAI],tblSafety[Date],$A259)</f>
        <v/>
      </c>
      <c r="HM259" s="62">
        <f>IF($B259=$B258,$HM258,0)+$HL259</f>
        <v/>
      </c>
      <c r="HN259" s="62">
        <f>$HN258+$HL259</f>
        <v/>
      </c>
      <c r="HO259" s="62">
        <f>SUMIFS(tblSafety[Recordables],tblSafety[Date],$A259)</f>
        <v/>
      </c>
      <c r="HP259" s="62">
        <f>IF($B259=$B258,$HP258,0)+$HO259</f>
        <v/>
      </c>
      <c r="HQ259" s="62">
        <f>$HQ258+$HO259</f>
        <v/>
      </c>
      <c r="HR259" s="62">
        <f>SUMIFS(tblSafety[Near_Miss],tblSafety[Date],$A259)</f>
        <v/>
      </c>
      <c r="HS259" s="62">
        <f>IF($B259=$B258,$HS258,0)+$HR259</f>
        <v/>
      </c>
      <c r="HT259" s="62">
        <f>$HT258+$HR259</f>
        <v/>
      </c>
      <c r="HU259" s="62">
        <f>SUMIFS(tblSafety[Hazard_Reports],tblSafety[Date],$A259)</f>
        <v/>
      </c>
      <c r="HV259" s="62">
        <f>IF($B259=$B258,$HV258,0)+$HU259</f>
        <v/>
      </c>
      <c r="HW259" s="62">
        <f>$HW258+$HU259</f>
        <v/>
      </c>
      <c r="HX259" s="62">
        <f>SUMIFS(tblSafety[HPI],tblSafety[Date],$A259)</f>
        <v/>
      </c>
      <c r="HY259" s="62">
        <f>IF($B259=$B258,$HY258,0)+$HX259</f>
        <v/>
      </c>
      <c r="HZ259" s="62">
        <f>$HZ258+$HX259</f>
        <v/>
      </c>
      <c r="IA259" s="62">
        <f>SUMIFS(tblSafety[Env_Incidents],tblSafety[Date],$A259)</f>
        <v/>
      </c>
      <c r="IB259" s="62">
        <f>IF($B259=$B258,$IB258,0)+$IA259</f>
        <v/>
      </c>
      <c r="IC259" s="62">
        <f>$IC258+$IA259</f>
        <v/>
      </c>
      <c r="ID259" s="62">
        <f>SUMIFS(tblSafety[Community_Incidents],tblSafety[Date],$A259)</f>
        <v/>
      </c>
      <c r="IE259" s="62">
        <f>IF($B259=$B258,$IE258,0)+$ID259</f>
        <v/>
      </c>
      <c r="IF259" s="62">
        <f>$IF258+$ID259</f>
        <v/>
      </c>
      <c r="IG259" s="62">
        <f>SUMIFS(tblSafety[Vehicle_Incidents],tblSafety[Date],$A259)</f>
        <v/>
      </c>
      <c r="IH259" s="62">
        <f>IF($B259=$B258,$IH258,0)+$IG259</f>
        <v/>
      </c>
      <c r="II259" s="62">
        <f>$II258+$IG259</f>
        <v/>
      </c>
      <c r="IJ259" s="62">
        <f>SUMIFS(tblSafety[Toolbox_Talks],tblSafety[Date],$A259)</f>
        <v/>
      </c>
      <c r="IK259" s="62">
        <f>IF($B259=$B258,$IK258,0)+$IJ259</f>
        <v/>
      </c>
      <c r="IL259" s="62">
        <f>$IL258+$IJ259</f>
        <v/>
      </c>
      <c r="IM259" s="62">
        <f>SUMIFS(tblSafety[Inspections],tblSafety[Date],$A259)</f>
        <v/>
      </c>
      <c r="IN259" s="62">
        <f>IF($B259=$B258,$IN258,0)+$IM259</f>
        <v/>
      </c>
      <c r="IO259" s="62">
        <f>$IO258+$IM259</f>
        <v/>
      </c>
      <c r="IP259" s="56">
        <f>IFERROR((SUMIFS(tblSafety[Recordables],tblSafety[Date],"&gt;="&amp;EDATE($E259,-12),tblSafety[Date],"&lt;="&amp;$A259)+SUMIFS(tblSafetyHistory[Recordables],tblSafetyHistory[Month],"&gt;="&amp;EDATE($E259,-12),tblSafetyHistory[Month],"&lt;"&amp;$E259,tblSafetyHistory[Use],1))/(SUMIFS(tblSafety[Hours_Total],tblSafety[Date],"&gt;="&amp;EDATE($E259,-12),tblSafety[Date],"&lt;="&amp;$A259)+SUMIFS(tblSafetyHistory[Hours_Total],tblSafetyHistory[Month],"&gt;="&amp;EDATE($E259,-12),tblSafetyHistory[Month],"&lt;"&amp;$E259,tblSafetyHistory[Use],1))*cfg_RateBasisHours,"")</f>
        <v/>
      </c>
      <c r="IQ259" s="56">
        <f>IFERROR((SUMIFS(tblSafety[LTI],tblSafety[Date],"&gt;="&amp;EDATE($E259,-12),tblSafety[Date],"&lt;="&amp;$A259)+SUMIFS(tblSafetyHistory[LTI],tblSafetyHistory[Month],"&gt;="&amp;EDATE($E259,-12),tblSafetyHistory[Month],"&lt;"&amp;$E259,tblSafetyHistory[Use],1))/(SUMIFS(tblSafety[Hours_Total],tblSafety[Date],"&gt;="&amp;EDATE($E259,-12),tblSafety[Date],"&lt;="&amp;$A259)+SUMIFS(tblSafetyHistory[Hours_Total],tblSafetyHistory[Month],"&gt;="&amp;EDATE($E259,-12),tblSafetyHistory[Month],"&lt;"&amp;$E259,tblSafetyHistory[Use],1))*cfg_RateBasisHours,"")</f>
        <v/>
      </c>
      <c r="IR259" s="62">
        <f>IF(MAX(N(cfg_PriorLTIDate),_xlfn.MAXIFS(tblSafety[Date],tblSafety[LTI],"&gt;0",tblSafety[Date],"&lt;="&amp;$A259))=0,"",$A259-MAX(N(cfg_PriorLTIDate),_xlfn.MAXIFS(tblSafety[Date],tblSafety[LTI],"&gt;0",tblSafety[Date],"&lt;="&amp;$A259)))</f>
        <v/>
      </c>
      <c r="IS259" s="55">
        <f>SUMIFS(tblBudget[Ore_Mined_t],tblBudget[Month],$E259)</f>
        <v/>
      </c>
      <c r="IT259" s="55">
        <f>$IS259*$C259/$D259</f>
        <v/>
      </c>
      <c r="IU259" s="55">
        <f>SUMIFS(tblBudget[Ore_Mined_t],tblBudget[Month],"&lt;"&amp;$E259)+$IT259</f>
        <v/>
      </c>
      <c r="IV259" s="55">
        <f>SUMIFS(tblBudget[Ore_oz],tblBudget[Month],$E259)</f>
        <v/>
      </c>
      <c r="IW259" s="55">
        <f>$IV259*$C259/$D259</f>
        <v/>
      </c>
      <c r="IX259" s="55">
        <f>SUMIFS(tblBudget[Ore_oz],tblBudget[Month],"&lt;"&amp;$E259)+$IW259</f>
        <v/>
      </c>
      <c r="IY259" s="55">
        <f>SUMIFS(tblBudget[Ore_Mined_t],tblBudget[Month],$E259)</f>
        <v/>
      </c>
      <c r="IZ259" s="55">
        <f>$IY259*$C259/$D259</f>
        <v/>
      </c>
      <c r="JA259" s="55">
        <f>SUMIFS(tblBudget[Ore_Mined_t],tblBudget[Month],"&lt;"&amp;$E259)+$IZ259</f>
        <v/>
      </c>
      <c r="JB259" s="56">
        <f>IFERROR(IF(($IY259)&gt;0,($IV259*cfg_TroyOz)/($IY259),""),"")</f>
        <v/>
      </c>
      <c r="JC259" s="56">
        <f>IFERROR(IF(($IZ259)&gt;0,($IW259*cfg_TroyOz)/($IZ259),""),"")</f>
        <v/>
      </c>
      <c r="JD259" s="56">
        <f>IFERROR(IF(($JA259)&gt;0,($IX259*cfg_TroyOz)/($JA259),""),"")</f>
        <v/>
      </c>
      <c r="JE259" s="55">
        <f>SUMIFS(tblBudget[Waste_t],tblBudget[Month],$E259)</f>
        <v/>
      </c>
      <c r="JF259" s="55">
        <f>$JE259*$C259/$D259</f>
        <v/>
      </c>
      <c r="JG259" s="55">
        <f>SUMIFS(tblBudget[Waste_t],tblBudget[Month],"&lt;"&amp;$E259)+$JF259</f>
        <v/>
      </c>
      <c r="JH259" s="55">
        <f>SUMIFS(tblBudget[TMM_t],tblBudget[Month],$E259)</f>
        <v/>
      </c>
      <c r="JI259" s="55">
        <f>$JH259*$C259/$D259</f>
        <v/>
      </c>
      <c r="JJ259" s="55">
        <f>SUMIFS(tblBudget[TMM_t],tblBudget[Month],"&lt;"&amp;$E259)+$JI259</f>
        <v/>
      </c>
      <c r="JK259" s="56">
        <f>IFERROR(IF(($IS259)&gt;0,($JE259)/($IS259),""),"")</f>
        <v/>
      </c>
      <c r="JL259" s="56">
        <f>IFERROR(IF(($IT259)&gt;0,($JF259)/($IT259),""),"")</f>
        <v/>
      </c>
      <c r="JM259" s="56">
        <f>IFERROR(IF(($IU259)&gt;0,($JG259)/($IU259),""),"")</f>
        <v/>
      </c>
      <c r="JN259" s="55">
        <f>SUMIFS(tblBudget[Drill_m],tblBudget[Month],$E259)</f>
        <v/>
      </c>
      <c r="JO259" s="55">
        <f>$JN259*$C259/$D259</f>
        <v/>
      </c>
      <c r="JP259" s="55">
        <f>SUMIFS(tblBudget[Drill_m],tblBudget[Month],"&lt;"&amp;$E259)+$JO259</f>
        <v/>
      </c>
      <c r="JQ259" s="55">
        <f>SUMIFS(tblBudget[Diesel_L],tblBudget[Month],$E259)</f>
        <v/>
      </c>
      <c r="JR259" s="55">
        <f>$JQ259*$C259/$D259</f>
        <v/>
      </c>
      <c r="JS259" s="55">
        <f>SUMIFS(tblBudget[Diesel_L],tblBudget[Month],"&lt;"&amp;$E259)+$JR259</f>
        <v/>
      </c>
      <c r="JT259" s="55">
        <f>SUMIFS(tblBudget[Milled_t],tblBudget[Month],$E259)</f>
        <v/>
      </c>
      <c r="JU259" s="55">
        <f>$JT259*$C259/$D259</f>
        <v/>
      </c>
      <c r="JV259" s="55">
        <f>SUMIFS(tblBudget[Milled_t],tblBudget[Month],"&lt;"&amp;$E259)+$JU259</f>
        <v/>
      </c>
      <c r="JW259" s="55">
        <f>SUMIFS(tblBudget[Feed_oz],tblBudget[Month],$E259)</f>
        <v/>
      </c>
      <c r="JX259" s="55">
        <f>$JW259*$C259/$D259</f>
        <v/>
      </c>
      <c r="JY259" s="55">
        <f>SUMIFS(tblBudget[Feed_oz],tblBudget[Month],"&lt;"&amp;$E259)+$JX259</f>
        <v/>
      </c>
      <c r="JZ259" s="55">
        <f>SUMIFS(tblBudget[Recovered_oz],tblBudget[Month],$E259)</f>
        <v/>
      </c>
      <c r="KA259" s="55">
        <f>$JZ259*$C259/$D259</f>
        <v/>
      </c>
      <c r="KB259" s="55">
        <f>SUMIFS(tblBudget[Recovered_oz],tblBudget[Month],"&lt;"&amp;$E259)+$KA259</f>
        <v/>
      </c>
      <c r="KC259" s="55">
        <f>SUMIFS(tblBudget[Milled_t],tblBudget[Month],$E259)</f>
        <v/>
      </c>
      <c r="KD259" s="55">
        <f>$KC259*$C259/$D259</f>
        <v/>
      </c>
      <c r="KE259" s="55">
        <f>SUMIFS(tblBudget[Milled_t],tblBudget[Month],"&lt;"&amp;$E259)+$KD259</f>
        <v/>
      </c>
      <c r="KF259" s="55">
        <f>SUMIFS(tblBudget[Feed_oz],tblBudget[Month],$E259)</f>
        <v/>
      </c>
      <c r="KG259" s="55">
        <f>$KF259*$C259/$D259</f>
        <v/>
      </c>
      <c r="KH259" s="55">
        <f>SUMIFS(tblBudget[Feed_oz],tblBudget[Month],"&lt;"&amp;$E259)+$KG259</f>
        <v/>
      </c>
      <c r="KI259" s="56">
        <f>IFERROR(IF(($KC259)&gt;0,($JW259*cfg_TroyOz)/($KC259),""),"")</f>
        <v/>
      </c>
      <c r="KJ259" s="56">
        <f>IFERROR(IF(($KD259)&gt;0,($JX259*cfg_TroyOz)/($KD259),""),"")</f>
        <v/>
      </c>
      <c r="KK259" s="56">
        <f>IFERROR(IF(($KE259)&gt;0,($JY259*cfg_TroyOz)/($KE259),""),"")</f>
        <v/>
      </c>
      <c r="KL259" s="67">
        <f>IFERROR(IF(($KF259)&gt;0,($JZ259)/($KF259),""),"")</f>
        <v/>
      </c>
      <c r="KM259" s="67">
        <f>IFERROR(IF(($KG259)&gt;0,($KA259)/($KG259),""),"")</f>
        <v/>
      </c>
      <c r="KN259" s="67">
        <f>IFERROR(IF(($KH259)&gt;0,($KB259)/($KH259),""),"")</f>
        <v/>
      </c>
      <c r="KO259" s="55">
        <f>SUMIFS(tblBudget[Gold_Poured_oz],tblBudget[Month],$E259)</f>
        <v/>
      </c>
      <c r="KP259" s="55">
        <f>$KO259*$C259/$D259</f>
        <v/>
      </c>
      <c r="KQ259" s="55">
        <f>SUMIFS(tblBudget[Gold_Poured_oz],tblBudget[Month],"&lt;"&amp;$E259)+$KP259</f>
        <v/>
      </c>
      <c r="KR259" s="57">
        <f>SUMIFS(tblBudget[Hours_Worked],tblBudget[Month],$E259)</f>
        <v/>
      </c>
      <c r="KS259" s="57">
        <f>$KR259*$C259/$D259</f>
        <v/>
      </c>
      <c r="KT259" s="57">
        <f>SUMIFS(tblBudget[Hours_Worked],tblBudget[Month],"&lt;"&amp;$E259)+$KS259</f>
        <v/>
      </c>
    </row>
    <row r="260">
      <c r="A260" s="54" t="n">
        <v>46281</v>
      </c>
      <c r="B260">
        <f>MONTH($A260)</f>
        <v/>
      </c>
      <c r="C260">
        <f>DAY($A260)</f>
        <v/>
      </c>
      <c r="D260">
        <f>DAY(EOMONTH($A260,0))</f>
        <v/>
      </c>
      <c r="E260" s="54">
        <f>DATE(YEAR($A260),MONTH($A260),1)</f>
        <v/>
      </c>
      <c r="F260" s="55">
        <f>SUMIFS(tblMovement[Tonnes_t],tblMovement[Date],$A260,tblMovement[Is_Ore],1,tblMovement[Source_Type],"Pit")</f>
        <v/>
      </c>
      <c r="G260" s="55">
        <f>IF($B260=$B259,$G259,0)+$F260</f>
        <v/>
      </c>
      <c r="H260" s="55">
        <f>$H259+$F260</f>
        <v/>
      </c>
      <c r="I260" s="55">
        <f>SUMIFS(tblMovement[Ore_oz],tblMovement[Date],$A260,tblMovement[Source_Type],"Pit")</f>
        <v/>
      </c>
      <c r="J260" s="55">
        <f>IF($B260=$B259,$J259,0)+$I260</f>
        <v/>
      </c>
      <c r="K260" s="55">
        <f>$K259+$I260</f>
        <v/>
      </c>
      <c r="L260" s="55">
        <f>SUMIFS(tblMovement[Tonnes_t],tblMovement[Date],$A260,tblMovement[Is_Ore],1,tblMovement[Source_Type],"Pit",tblMovement[Grade_gpt],"&lt;&gt;")</f>
        <v/>
      </c>
      <c r="M260" s="55">
        <f>IF($B260=$B259,$M259,0)+$L260</f>
        <v/>
      </c>
      <c r="N260" s="55">
        <f>$N259+$L260</f>
        <v/>
      </c>
      <c r="O260" s="56">
        <f>IFERROR(IF(($L260)&gt;0,($I260*cfg_TroyOz)/($L260),""),"")</f>
        <v/>
      </c>
      <c r="P260" s="56">
        <f>IFERROR(IF(($M260)&gt;0,($J260*cfg_TroyOz)/($M260),""),"")</f>
        <v/>
      </c>
      <c r="Q260" s="56">
        <f>IFERROR(IF(($N260)&gt;0,($K260*cfg_TroyOz)/($N260),""),"")</f>
        <v/>
      </c>
      <c r="R260" s="55">
        <f>$F260-$L260</f>
        <v/>
      </c>
      <c r="S260" s="55">
        <f>IF($B260=$B259,$S259,0)+$R260</f>
        <v/>
      </c>
      <c r="T260" s="55">
        <f>$T259+$R260</f>
        <v/>
      </c>
      <c r="U260" s="55">
        <f>SUMIFS(tblMovement[Tonnes_t],tblMovement[Date],$A260,tblMovement[Is_Ore],0,tblMovement[Source_Type],"Pit")</f>
        <v/>
      </c>
      <c r="V260" s="55">
        <f>IF($B260=$B259,$V259,0)+$U260</f>
        <v/>
      </c>
      <c r="W260" s="55">
        <f>$W259+$U260</f>
        <v/>
      </c>
      <c r="X260" s="55">
        <f>$F260+$U260</f>
        <v/>
      </c>
      <c r="Y260" s="55">
        <f>IF($B260=$B259,$Y259,0)+$X260</f>
        <v/>
      </c>
      <c r="Z260" s="55">
        <f>$Z259+$X260</f>
        <v/>
      </c>
      <c r="AA260" s="56">
        <f>IFERROR(IF(($F260)&gt;0,($U260)/($F260),""),"")</f>
        <v/>
      </c>
      <c r="AB260" s="56">
        <f>IFERROR(IF(($G260)&gt;0,($V260)/($G260),""),"")</f>
        <v/>
      </c>
      <c r="AC260" s="56">
        <f>IFERROR(IF(($H260)&gt;0,($W260)/($H260),""),"")</f>
        <v/>
      </c>
      <c r="AD260" s="55">
        <f>SUMIFS(tblMovement[Tonnes_t],tblMovement[Date],$A260,tblMovement[Source_Type],"Stockpile")</f>
        <v/>
      </c>
      <c r="AE260" s="55">
        <f>IF($B260=$B259,$AE259,0)+$AD260</f>
        <v/>
      </c>
      <c r="AF260" s="55">
        <f>$AF259+$AD260</f>
        <v/>
      </c>
      <c r="AG260" s="55">
        <f>SUMIFS(tblMovement[Tonnes_t],tblMovement[Date],$A260)</f>
        <v/>
      </c>
      <c r="AH260" s="55">
        <f>IF($B260=$B259,$AH259,0)+$AG260</f>
        <v/>
      </c>
      <c r="AI260" s="55">
        <f>$AI259+$AG260</f>
        <v/>
      </c>
      <c r="AJ260" s="55">
        <f>$AG260-$X260-$AD260</f>
        <v/>
      </c>
      <c r="AK260" s="55">
        <f>IF($B260=$B259,$AK259,0)+$AJ260</f>
        <v/>
      </c>
      <c r="AL260" s="55">
        <f>$AL259+$AJ260</f>
        <v/>
      </c>
      <c r="AM260" s="55">
        <f>SUMIFS(tblMiningDaily[Drill_m],tblMiningDaily[Date],$A260)</f>
        <v/>
      </c>
      <c r="AN260" s="55">
        <f>IF($B260=$B259,$AN259,0)+$AM260</f>
        <v/>
      </c>
      <c r="AO260" s="55">
        <f>$AO259+$AM260</f>
        <v/>
      </c>
      <c r="AP260" s="55">
        <f>SUMIFS(tblMiningDaily[GC_Drill_m],tblMiningDaily[Date],$A260)</f>
        <v/>
      </c>
      <c r="AQ260" s="55">
        <f>IF($B260=$B259,$AQ259,0)+$AP260</f>
        <v/>
      </c>
      <c r="AR260" s="55">
        <f>$AR259+$AP260</f>
        <v/>
      </c>
      <c r="AS260" s="55">
        <f>SUMIFS(tblMiningDaily[Blast_t],tblMiningDaily[Date],$A260)</f>
        <v/>
      </c>
      <c r="AT260" s="55">
        <f>IF($B260=$B259,$AT259,0)+$AS260</f>
        <v/>
      </c>
      <c r="AU260" s="55">
        <f>$AU259+$AS260</f>
        <v/>
      </c>
      <c r="AV260" s="55">
        <f>SUMIFS(tblMiningDaily[Explosives_kg],tblMiningDaily[Date],$A260)</f>
        <v/>
      </c>
      <c r="AW260" s="55">
        <f>IF($B260=$B259,$AW259,0)+$AV260</f>
        <v/>
      </c>
      <c r="AX260" s="55">
        <f>$AX259+$AV260</f>
        <v/>
      </c>
      <c r="AY260" s="56">
        <f>IFERROR(IF(($AS260)&gt;0,($AV260)/($AS260),""),"")</f>
        <v/>
      </c>
      <c r="AZ260" s="56">
        <f>IFERROR(IF(($AT260)&gt;0,($AW260)/($AT260),""),"")</f>
        <v/>
      </c>
      <c r="BA260" s="56">
        <f>IFERROR(IF(($AU260)&gt;0,($AX260)/($AU260),""),"")</f>
        <v/>
      </c>
      <c r="BB260" s="55">
        <f>SUMIFS(tblMiningDaily[Diesel_L],tblMiningDaily[Date],$A260)</f>
        <v/>
      </c>
      <c r="BC260" s="55">
        <f>IF($B260=$B259,$BC259,0)+$BB260</f>
        <v/>
      </c>
      <c r="BD260" s="55">
        <f>$BD259+$BB260</f>
        <v/>
      </c>
      <c r="BE260" s="55">
        <f>SUMIFS(tblMiningDaily[Dewatering_m3],tblMiningDaily[Date],$A260)</f>
        <v/>
      </c>
      <c r="BF260" s="55">
        <f>IF($B260=$B259,$BF259,0)+$BE260</f>
        <v/>
      </c>
      <c r="BG260" s="55">
        <f>$BG259+$BE260</f>
        <v/>
      </c>
      <c r="BH260" s="57">
        <f>SUMIFS(tblFleet[Calendar_h],tblFleet[Date],$A260,tblFleet[Equipment_Class],"Excavator")</f>
        <v/>
      </c>
      <c r="BI260" s="57">
        <f>IF($B260=$B259,$BI259,0)+$BH260</f>
        <v/>
      </c>
      <c r="BJ260" s="57">
        <f>$BJ259+$BH260</f>
        <v/>
      </c>
      <c r="BK260" s="57">
        <f>SUMIFS(tblFleet[Available_h],tblFleet[Date],$A260,tblFleet[Equipment_Class],"Excavator")</f>
        <v/>
      </c>
      <c r="BL260" s="57">
        <f>IF($B260=$B259,$BL259,0)+$BK260</f>
        <v/>
      </c>
      <c r="BM260" s="57">
        <f>$BM259+$BK260</f>
        <v/>
      </c>
      <c r="BN260" s="57">
        <f>SUMIFS(tblFleet[Operating_h],tblFleet[Date],$A260,tblFleet[Equipment_Class],"Excavator")</f>
        <v/>
      </c>
      <c r="BO260" s="57">
        <f>IF($B260=$B259,$BO259,0)+$BN260</f>
        <v/>
      </c>
      <c r="BP260" s="57">
        <f>$BP259+$BN260</f>
        <v/>
      </c>
      <c r="BQ260" s="67">
        <f>IFERROR(IF(($BH260)&gt;0,($BK260)/($BH260),""),"")</f>
        <v/>
      </c>
      <c r="BR260" s="67">
        <f>IFERROR(IF(($BI260)&gt;0,($BL260)/($BI260),""),"")</f>
        <v/>
      </c>
      <c r="BS260" s="67">
        <f>IFERROR(IF(($BJ260)&gt;0,($BM260)/($BJ260),""),"")</f>
        <v/>
      </c>
      <c r="BT260" s="67">
        <f>IFERROR(IF(($BK260)&gt;0,($BN260)/($BK260),""),"")</f>
        <v/>
      </c>
      <c r="BU260" s="67">
        <f>IFERROR(IF(($BL260)&gt;0,($BO260)/($BL260),""),"")</f>
        <v/>
      </c>
      <c r="BV260" s="67">
        <f>IFERROR(IF(($BM260)&gt;0,($BP260)/($BM260),""),"")</f>
        <v/>
      </c>
      <c r="BW260" s="57">
        <f>SUMIFS(tblFleet[Calendar_h],tblFleet[Date],$A260,tblFleet[Equipment_Class],"Haul Truck")</f>
        <v/>
      </c>
      <c r="BX260" s="57">
        <f>IF($B260=$B259,$BX259,0)+$BW260</f>
        <v/>
      </c>
      <c r="BY260" s="57">
        <f>$BY259+$BW260</f>
        <v/>
      </c>
      <c r="BZ260" s="57">
        <f>SUMIFS(tblFleet[Available_h],tblFleet[Date],$A260,tblFleet[Equipment_Class],"Haul Truck")</f>
        <v/>
      </c>
      <c r="CA260" s="57">
        <f>IF($B260=$B259,$CA259,0)+$BZ260</f>
        <v/>
      </c>
      <c r="CB260" s="57">
        <f>$CB259+$BZ260</f>
        <v/>
      </c>
      <c r="CC260" s="57">
        <f>SUMIFS(tblFleet[Operating_h],tblFleet[Date],$A260,tblFleet[Equipment_Class],"Haul Truck")</f>
        <v/>
      </c>
      <c r="CD260" s="57">
        <f>IF($B260=$B259,$CD259,0)+$CC260</f>
        <v/>
      </c>
      <c r="CE260" s="57">
        <f>$CE259+$CC260</f>
        <v/>
      </c>
      <c r="CF260" s="67">
        <f>IFERROR(IF(($BW260)&gt;0,($BZ260)/($BW260),""),"")</f>
        <v/>
      </c>
      <c r="CG260" s="67">
        <f>IFERROR(IF(($BX260)&gt;0,($CA260)/($BX260),""),"")</f>
        <v/>
      </c>
      <c r="CH260" s="67">
        <f>IFERROR(IF(($BY260)&gt;0,($CB260)/($BY260),""),"")</f>
        <v/>
      </c>
      <c r="CI260" s="67">
        <f>IFERROR(IF(($BZ260)&gt;0,($CC260)/($BZ260),""),"")</f>
        <v/>
      </c>
      <c r="CJ260" s="67">
        <f>IFERROR(IF(($CA260)&gt;0,($CD260)/($CA260),""),"")</f>
        <v/>
      </c>
      <c r="CK260" s="67">
        <f>IFERROR(IF(($CB260)&gt;0,($CE260)/($CB260),""),"")</f>
        <v/>
      </c>
      <c r="CL260" s="55">
        <f>IFERROR(IF(($BN260)&gt;0,($X260+$AD260)/($BN260),""),"")</f>
        <v/>
      </c>
      <c r="CM260" s="55">
        <f>IFERROR(IF(($BO260)&gt;0,($Y260+$AE260)/($BO260),""),"")</f>
        <v/>
      </c>
      <c r="CN260" s="55">
        <f>IFERROR(IF(($BP260)&gt;0,($Z260+$AF260)/($BP260),""),"")</f>
        <v/>
      </c>
      <c r="CO260" s="55">
        <f>IFERROR(IF(($CC260)&gt;0,($X260+$AD260)/($CC260),""),"")</f>
        <v/>
      </c>
      <c r="CP260" s="55">
        <f>IFERROR(IF(($CD260)&gt;0,($Y260+$AE260)/($CD260),""),"")</f>
        <v/>
      </c>
      <c r="CQ260" s="55">
        <f>IFERROR(IF(($CE260)&gt;0,($Z260+$AF260)/($CE260),""),"")</f>
        <v/>
      </c>
      <c r="CR260" s="55">
        <f>SUMIFS(tblPlant[Crushed_t],tblPlant[Date],$A260)</f>
        <v/>
      </c>
      <c r="CS260" s="55">
        <f>IF($B260=$B259,$CS259,0)+$CR260</f>
        <v/>
      </c>
      <c r="CT260" s="55">
        <f>$CT259+$CR260</f>
        <v/>
      </c>
      <c r="CU260" s="55">
        <f>SUMIFS(tblPlant[Milled_t],tblPlant[Date],$A260)</f>
        <v/>
      </c>
      <c r="CV260" s="55">
        <f>IF($B260=$B259,$CV259,0)+$CU260</f>
        <v/>
      </c>
      <c r="CW260" s="55">
        <f>$CW259+$CU260</f>
        <v/>
      </c>
      <c r="CX260" s="55">
        <f>SUMIFS(tblPlant[Feed_oz],tblPlant[Date],$A260)</f>
        <v/>
      </c>
      <c r="CY260" s="55">
        <f>IF($B260=$B259,$CY259,0)+$CX260</f>
        <v/>
      </c>
      <c r="CZ260" s="55">
        <f>$CZ259+$CX260</f>
        <v/>
      </c>
      <c r="DA260" s="55">
        <f>SUMIFS(tblPlant[Tails_oz],tblPlant[Date],$A260)</f>
        <v/>
      </c>
      <c r="DB260" s="55">
        <f>IF($B260=$B259,$DB259,0)+$DA260</f>
        <v/>
      </c>
      <c r="DC260" s="55">
        <f>$DC259+$DA260</f>
        <v/>
      </c>
      <c r="DD260" s="55">
        <f>SUMIFS(tblPlant[Recovered_oz],tblPlant[Date],$A260)</f>
        <v/>
      </c>
      <c r="DE260" s="55">
        <f>IF($B260=$B259,$DE259,0)+$DD260</f>
        <v/>
      </c>
      <c r="DF260" s="55">
        <f>$DF259+$DD260</f>
        <v/>
      </c>
      <c r="DG260" s="55">
        <f>SUMIFS(tblPlant[Milled_t],tblPlant[Date],$A260,tblPlant[Head_Grade_gpt],"&lt;&gt;")</f>
        <v/>
      </c>
      <c r="DH260" s="55">
        <f>IF($B260=$B259,$DH259,0)+$DG260</f>
        <v/>
      </c>
      <c r="DI260" s="55">
        <f>$DI259+$DG260</f>
        <v/>
      </c>
      <c r="DJ260" s="55">
        <f>SUMIFS(tblPlant[Milled_t],tblPlant[Date],$A260,tblPlant[Tails_Grade_gpt],"&lt;&gt;")</f>
        <v/>
      </c>
      <c r="DK260" s="55">
        <f>IF($B260=$B259,$DK259,0)+$DJ260</f>
        <v/>
      </c>
      <c r="DL260" s="55">
        <f>$DL259+$DJ260</f>
        <v/>
      </c>
      <c r="DM260" s="55">
        <f>SUMIFS(tblPlant[Feed_oz],tblPlant[Date],$A260,tblPlant[Tails_Grade_gpt],"&lt;&gt;")</f>
        <v/>
      </c>
      <c r="DN260" s="55">
        <f>IF($B260=$B259,$DN259,0)+$DM260</f>
        <v/>
      </c>
      <c r="DO260" s="55">
        <f>$DO259+$DM260</f>
        <v/>
      </c>
      <c r="DP260" s="55">
        <f>SUMIFS(tblPlant[Milled_t],tblPlant[Date],$A260,tblPlant[Mill_Run_h],"&lt;&gt;")</f>
        <v/>
      </c>
      <c r="DQ260" s="55">
        <f>IF($B260=$B259,$DQ259,0)+$DP260</f>
        <v/>
      </c>
      <c r="DR260" s="55">
        <f>$DR259+$DP260</f>
        <v/>
      </c>
      <c r="DS260" s="56">
        <f>IFERROR(IF(($DG260)&gt;0,($CX260*cfg_TroyOz)/($DG260),""),"")</f>
        <v/>
      </c>
      <c r="DT260" s="56">
        <f>IFERROR(IF(($DH260)&gt;0,($CY260*cfg_TroyOz)/($DH260),""),"")</f>
        <v/>
      </c>
      <c r="DU260" s="56">
        <f>IFERROR(IF(($DI260)&gt;0,($CZ260*cfg_TroyOz)/($DI260),""),"")</f>
        <v/>
      </c>
      <c r="DV260" s="56">
        <f>IFERROR(IF(($DJ260)&gt;0,($DA260*cfg_TroyOz)/($DJ260),""),"")</f>
        <v/>
      </c>
      <c r="DW260" s="56">
        <f>IFERROR(IF(($DK260)&gt;0,($DB260*cfg_TroyOz)/($DK260),""),"")</f>
        <v/>
      </c>
      <c r="DX260" s="56">
        <f>IFERROR(IF(($DL260)&gt;0,($DC260*cfg_TroyOz)/($DL260),""),"")</f>
        <v/>
      </c>
      <c r="DY260" s="67">
        <f>IFERROR(IF(($DM260)&gt;0,($DD260)/($DM260),""),"")</f>
        <v/>
      </c>
      <c r="DZ260" s="67">
        <f>IFERROR(IF(($DN260)&gt;0,($DE260)/($DN260),""),"")</f>
        <v/>
      </c>
      <c r="EA260" s="67">
        <f>IFERROR(IF(($DO260)&gt;0,($DF260)/($DO260),""),"")</f>
        <v/>
      </c>
      <c r="EB260" s="55">
        <f>SUMIFS(tblPlant[Gravity_Gold_oz],tblPlant[Date],$A260)</f>
        <v/>
      </c>
      <c r="EC260" s="55">
        <f>IF($B260=$B259,$EC259,0)+$EB260</f>
        <v/>
      </c>
      <c r="ED260" s="55">
        <f>$ED259+$EB260</f>
        <v/>
      </c>
      <c r="EE260" s="67">
        <f>IFERROR(IF(($DD260)&gt;0,($EB260)/($DD260),""),"")</f>
        <v/>
      </c>
      <c r="EF260" s="67">
        <f>IFERROR(IF(($DE260)&gt;0,($EC260)/($DE260),""),"")</f>
        <v/>
      </c>
      <c r="EG260" s="67">
        <f>IFERROR(IF(($DF260)&gt;0,($ED260)/($DF260),""),"")</f>
        <v/>
      </c>
      <c r="EH260" s="55">
        <f>SUMIFS(tblPlant[Gold_Poured_oz],tblPlant[Date],$A260)</f>
        <v/>
      </c>
      <c r="EI260" s="55">
        <f>IF($B260=$B259,$EI259,0)+$EH260</f>
        <v/>
      </c>
      <c r="EJ260" s="55">
        <f>$EJ259+$EH260</f>
        <v/>
      </c>
      <c r="EK260" s="57">
        <f>SUMIFS(tblPlant[Mill_Run_h],tblPlant[Date],$A260)</f>
        <v/>
      </c>
      <c r="EL260" s="57">
        <f>IF($B260=$B259,$EL259,0)+$EK260</f>
        <v/>
      </c>
      <c r="EM260" s="57">
        <f>$EM259+$EK260</f>
        <v/>
      </c>
      <c r="EN260" s="57">
        <f>SUMIFS(tblPlant[Mill_Planned_Maint_h],tblPlant[Date],$A260)</f>
        <v/>
      </c>
      <c r="EO260" s="57">
        <f>IF($B260=$B259,$EO259,0)+$EN260</f>
        <v/>
      </c>
      <c r="EP260" s="57">
        <f>$EP259+$EN260</f>
        <v/>
      </c>
      <c r="EQ260" s="57">
        <f>SUMIFS(tblPlant[Mill_Unplanned_Down_h],tblPlant[Date],$A260)</f>
        <v/>
      </c>
      <c r="ER260" s="57">
        <f>IF($B260=$B259,$ER259,0)+$EQ260</f>
        <v/>
      </c>
      <c r="ES260" s="57">
        <f>$ES259+$EQ260</f>
        <v/>
      </c>
      <c r="ET260" s="57">
        <f>IF(COUNTIFS(tblPlant[Date],$A260,tblPlant[Mill_Run_h],"&lt;&gt;")+COUNTIFS(tblPlant[Date],$A260,tblPlant[Mill_Planned_Maint_h],"&lt;&gt;")+COUNTIFS(tblPlant[Date],$A260,tblPlant[Mill_Unplanned_Down_h],"&lt;&gt;")&gt;0,cfg_HoursPerDay,0)</f>
        <v/>
      </c>
      <c r="EU260" s="57">
        <f>IF($B260=$B259,$EU259,0)+$ET260</f>
        <v/>
      </c>
      <c r="EV260" s="57">
        <f>$EV259+$ET260</f>
        <v/>
      </c>
      <c r="EW260" s="57">
        <f>SUMIFS(tblPlant[Crusher_Run_h],tblPlant[Date],$A260)</f>
        <v/>
      </c>
      <c r="EX260" s="57">
        <f>IF($B260=$B259,$EX259,0)+$EW260</f>
        <v/>
      </c>
      <c r="EY260" s="57">
        <f>$EY259+$EW260</f>
        <v/>
      </c>
      <c r="EZ260" s="55">
        <f>IFERROR(IF(($EK260)&gt;0,($DP260)/($EK260),""),"")</f>
        <v/>
      </c>
      <c r="FA260" s="55">
        <f>IFERROR(IF(($EL260)&gt;0,($DQ260)/($EL260),""),"")</f>
        <v/>
      </c>
      <c r="FB260" s="55">
        <f>IFERROR(IF(($EM260)&gt;0,($DR260)/($EM260),""),"")</f>
        <v/>
      </c>
      <c r="FC260" s="67">
        <f>IFERROR(IF(($ET260)&gt;0,($ET260-$EN260-$EQ260)/($ET260),""),"")</f>
        <v/>
      </c>
      <c r="FD260" s="67">
        <f>IFERROR(IF(($EU260)&gt;0,($EU260-$EO260-$ER260)/($EU260),""),"")</f>
        <v/>
      </c>
      <c r="FE260" s="67">
        <f>IFERROR(IF(($EV260)&gt;0,($EV260-$EP260-$ES260)/($EV260),""),"")</f>
        <v/>
      </c>
      <c r="FF260" s="67">
        <f>IFERROR(IF(($ET260-$EN260-$EQ260)&gt;0,($EK260)/($ET260-$EN260-$EQ260),""),"")</f>
        <v/>
      </c>
      <c r="FG260" s="67">
        <f>IFERROR(IF(($EU260-$EO260-$ER260)&gt;0,($EL260)/($EU260-$EO260-$ER260),""),"")</f>
        <v/>
      </c>
      <c r="FH260" s="67">
        <f>IFERROR(IF(($EV260-$EP260-$ES260)&gt;0,($EM260)/($EV260-$EP260-$ES260),""),"")</f>
        <v/>
      </c>
      <c r="FI260" s="55">
        <f>SUMIFS(tblPlant[Cyanide_kg],tblPlant[Date],$A260)</f>
        <v/>
      </c>
      <c r="FJ260" s="55">
        <f>IF($B260=$B259,$FJ259,0)+$FI260</f>
        <v/>
      </c>
      <c r="FK260" s="55">
        <f>$FK259+$FI260</f>
        <v/>
      </c>
      <c r="FL260" s="55">
        <f>SUMIFS(tblPlant[Lime_kg],tblPlant[Date],$A260)</f>
        <v/>
      </c>
      <c r="FM260" s="55">
        <f>IF($B260=$B259,$FM259,0)+$FL260</f>
        <v/>
      </c>
      <c r="FN260" s="55">
        <f>$FN259+$FL260</f>
        <v/>
      </c>
      <c r="FO260" s="55">
        <f>SUMIFS(tblPlant[Grinding_Media_kg],tblPlant[Date],$A260)</f>
        <v/>
      </c>
      <c r="FP260" s="55">
        <f>IF($B260=$B259,$FP259,0)+$FO260</f>
        <v/>
      </c>
      <c r="FQ260" s="55">
        <f>$FQ259+$FO260</f>
        <v/>
      </c>
      <c r="FR260" s="55">
        <f>SUMIFS(tblPlant[Power_kWh],tblPlant[Date],$A260)</f>
        <v/>
      </c>
      <c r="FS260" s="55">
        <f>IF($B260=$B259,$FS259,0)+$FR260</f>
        <v/>
      </c>
      <c r="FT260" s="55">
        <f>$FT259+$FR260</f>
        <v/>
      </c>
      <c r="FU260" s="55">
        <f>SUMIFS(tblPlant[Raw_Water_m3],tblPlant[Date],$A260)</f>
        <v/>
      </c>
      <c r="FV260" s="55">
        <f>IF($B260=$B259,$FV259,0)+$FU260</f>
        <v/>
      </c>
      <c r="FW260" s="55">
        <f>$FW259+$FU260</f>
        <v/>
      </c>
      <c r="FX260" s="56">
        <f>IFERROR(IF(($CU260)&gt;0,($FI260)/($CU260),""),"")</f>
        <v/>
      </c>
      <c r="FY260" s="56">
        <f>IFERROR(IF(($CV260)&gt;0,($FJ260)/($CV260),""),"")</f>
        <v/>
      </c>
      <c r="FZ260" s="56">
        <f>IFERROR(IF(($CW260)&gt;0,($FK260)/($CW260),""),"")</f>
        <v/>
      </c>
      <c r="GA260" s="56">
        <f>IFERROR(IF(($CU260)&gt;0,($FL260)/($CU260),""),"")</f>
        <v/>
      </c>
      <c r="GB260" s="56">
        <f>IFERROR(IF(($CV260)&gt;0,($FM260)/($CV260),""),"")</f>
        <v/>
      </c>
      <c r="GC260" s="56">
        <f>IFERROR(IF(($CW260)&gt;0,($FN260)/($CW260),""),"")</f>
        <v/>
      </c>
      <c r="GD260" s="56">
        <f>IFERROR(IF(($CU260)&gt;0,($FO260)/($CU260),""),"")</f>
        <v/>
      </c>
      <c r="GE260" s="56">
        <f>IFERROR(IF(($CV260)&gt;0,($FP260)/($CV260),""),"")</f>
        <v/>
      </c>
      <c r="GF260" s="56">
        <f>IFERROR(IF(($CW260)&gt;0,($FQ260)/($CW260),""),"")</f>
        <v/>
      </c>
      <c r="GG260" s="79">
        <f>IFERROR(IF(($CU260)&gt;0,($FR260)/($CU260),""),"")</f>
        <v/>
      </c>
      <c r="GH260" s="79">
        <f>IFERROR(IF(($CV260)&gt;0,($FS260)/($CV260),""),"")</f>
        <v/>
      </c>
      <c r="GI260" s="79">
        <f>IFERROR(IF(($CW260)&gt;0,($FT260)/($CW260),""),"")</f>
        <v/>
      </c>
      <c r="GJ260" s="56">
        <f>IFERROR(IF(($CU260)&gt;0,($FU260)/($CU260),""),"")</f>
        <v/>
      </c>
      <c r="GK260" s="56">
        <f>IFERROR(IF(($CV260)&gt;0,($FV260)/($CV260),""),"")</f>
        <v/>
      </c>
      <c r="GL260" s="56">
        <f>IFERROR(IF(($CW260)&gt;0,($FW260)/($CW260),""),"")</f>
        <v/>
      </c>
      <c r="GM260" s="55">
        <f>IF(SUMIFS(tblPlant[GIC_oz],tblPlant[Date],$A260)&gt;0,SUMIFS(tblPlant[GIC_oz],tblPlant[Date],$A260),"")</f>
        <v/>
      </c>
      <c r="GN260" s="55">
        <f>SUMIFS(tblGold[Gold_oz],tblGold[Date],$A260,tblGold[Type],"Shipment")</f>
        <v/>
      </c>
      <c r="GO260" s="55">
        <f>IF($B260=$B259,$GO259,0)+$GN260</f>
        <v/>
      </c>
      <c r="GP260" s="55">
        <f>$GP259+$GN260</f>
        <v/>
      </c>
      <c r="GQ260" s="55">
        <f>SUMIFS(tblGold[Gold_oz],tblGold[Date],$A260,tblGold[Type],"Sale")</f>
        <v/>
      </c>
      <c r="GR260" s="55">
        <f>IF($B260=$B259,$GR259,0)+$GQ260</f>
        <v/>
      </c>
      <c r="GS260" s="55">
        <f>$GS259+$GQ260</f>
        <v/>
      </c>
      <c r="GT260" s="55">
        <f>SUMIFS(tblGold[Dore_kg],tblGold[Date],$A260,tblGold[Type],"Shipment")</f>
        <v/>
      </c>
      <c r="GU260" s="55">
        <f>IF($B260=$B259,$GU259,0)+$GT260</f>
        <v/>
      </c>
      <c r="GV260" s="55">
        <f>$GV259+$GT260</f>
        <v/>
      </c>
      <c r="GW260" s="57">
        <f>SUMIFS(tblSafety[Hours_Total],tblSafety[Date],$A260)</f>
        <v/>
      </c>
      <c r="GX260" s="57">
        <f>IF($B260=$B259,$GX259,0)+$GW260</f>
        <v/>
      </c>
      <c r="GY260" s="57">
        <f>$GY259+$GW260</f>
        <v/>
      </c>
      <c r="GZ260" s="62">
        <f>SUMIFS(tblSafety[Fatality],tblSafety[Date],$A260)</f>
        <v/>
      </c>
      <c r="HA260" s="62">
        <f>IF($B260=$B259,$HA259,0)+$GZ260</f>
        <v/>
      </c>
      <c r="HB260" s="62">
        <f>$HB259+$GZ260</f>
        <v/>
      </c>
      <c r="HC260" s="62">
        <f>SUMIFS(tblSafety[LTI],tblSafety[Date],$A260)</f>
        <v/>
      </c>
      <c r="HD260" s="62">
        <f>IF($B260=$B259,$HD259,0)+$HC260</f>
        <v/>
      </c>
      <c r="HE260" s="62">
        <f>$HE259+$HC260</f>
        <v/>
      </c>
      <c r="HF260" s="62">
        <f>SUMIFS(tblSafety[RWI],tblSafety[Date],$A260)</f>
        <v/>
      </c>
      <c r="HG260" s="62">
        <f>IF($B260=$B259,$HG259,0)+$HF260</f>
        <v/>
      </c>
      <c r="HH260" s="62">
        <f>$HH259+$HF260</f>
        <v/>
      </c>
      <c r="HI260" s="62">
        <f>SUMIFS(tblSafety[MTI],tblSafety[Date],$A260)</f>
        <v/>
      </c>
      <c r="HJ260" s="62">
        <f>IF($B260=$B259,$HJ259,0)+$HI260</f>
        <v/>
      </c>
      <c r="HK260" s="62">
        <f>$HK259+$HI260</f>
        <v/>
      </c>
      <c r="HL260" s="62">
        <f>SUMIFS(tblSafety[FAI],tblSafety[Date],$A260)</f>
        <v/>
      </c>
      <c r="HM260" s="62">
        <f>IF($B260=$B259,$HM259,0)+$HL260</f>
        <v/>
      </c>
      <c r="HN260" s="62">
        <f>$HN259+$HL260</f>
        <v/>
      </c>
      <c r="HO260" s="62">
        <f>SUMIFS(tblSafety[Recordables],tblSafety[Date],$A260)</f>
        <v/>
      </c>
      <c r="HP260" s="62">
        <f>IF($B260=$B259,$HP259,0)+$HO260</f>
        <v/>
      </c>
      <c r="HQ260" s="62">
        <f>$HQ259+$HO260</f>
        <v/>
      </c>
      <c r="HR260" s="62">
        <f>SUMIFS(tblSafety[Near_Miss],tblSafety[Date],$A260)</f>
        <v/>
      </c>
      <c r="HS260" s="62">
        <f>IF($B260=$B259,$HS259,0)+$HR260</f>
        <v/>
      </c>
      <c r="HT260" s="62">
        <f>$HT259+$HR260</f>
        <v/>
      </c>
      <c r="HU260" s="62">
        <f>SUMIFS(tblSafety[Hazard_Reports],tblSafety[Date],$A260)</f>
        <v/>
      </c>
      <c r="HV260" s="62">
        <f>IF($B260=$B259,$HV259,0)+$HU260</f>
        <v/>
      </c>
      <c r="HW260" s="62">
        <f>$HW259+$HU260</f>
        <v/>
      </c>
      <c r="HX260" s="62">
        <f>SUMIFS(tblSafety[HPI],tblSafety[Date],$A260)</f>
        <v/>
      </c>
      <c r="HY260" s="62">
        <f>IF($B260=$B259,$HY259,0)+$HX260</f>
        <v/>
      </c>
      <c r="HZ260" s="62">
        <f>$HZ259+$HX260</f>
        <v/>
      </c>
      <c r="IA260" s="62">
        <f>SUMIFS(tblSafety[Env_Incidents],tblSafety[Date],$A260)</f>
        <v/>
      </c>
      <c r="IB260" s="62">
        <f>IF($B260=$B259,$IB259,0)+$IA260</f>
        <v/>
      </c>
      <c r="IC260" s="62">
        <f>$IC259+$IA260</f>
        <v/>
      </c>
      <c r="ID260" s="62">
        <f>SUMIFS(tblSafety[Community_Incidents],tblSafety[Date],$A260)</f>
        <v/>
      </c>
      <c r="IE260" s="62">
        <f>IF($B260=$B259,$IE259,0)+$ID260</f>
        <v/>
      </c>
      <c r="IF260" s="62">
        <f>$IF259+$ID260</f>
        <v/>
      </c>
      <c r="IG260" s="62">
        <f>SUMIFS(tblSafety[Vehicle_Incidents],tblSafety[Date],$A260)</f>
        <v/>
      </c>
      <c r="IH260" s="62">
        <f>IF($B260=$B259,$IH259,0)+$IG260</f>
        <v/>
      </c>
      <c r="II260" s="62">
        <f>$II259+$IG260</f>
        <v/>
      </c>
      <c r="IJ260" s="62">
        <f>SUMIFS(tblSafety[Toolbox_Talks],tblSafety[Date],$A260)</f>
        <v/>
      </c>
      <c r="IK260" s="62">
        <f>IF($B260=$B259,$IK259,0)+$IJ260</f>
        <v/>
      </c>
      <c r="IL260" s="62">
        <f>$IL259+$IJ260</f>
        <v/>
      </c>
      <c r="IM260" s="62">
        <f>SUMIFS(tblSafety[Inspections],tblSafety[Date],$A260)</f>
        <v/>
      </c>
      <c r="IN260" s="62">
        <f>IF($B260=$B259,$IN259,0)+$IM260</f>
        <v/>
      </c>
      <c r="IO260" s="62">
        <f>$IO259+$IM260</f>
        <v/>
      </c>
      <c r="IP260" s="56">
        <f>IFERROR((SUMIFS(tblSafety[Recordables],tblSafety[Date],"&gt;="&amp;EDATE($E260,-12),tblSafety[Date],"&lt;="&amp;$A260)+SUMIFS(tblSafetyHistory[Recordables],tblSafetyHistory[Month],"&gt;="&amp;EDATE($E260,-12),tblSafetyHistory[Month],"&lt;"&amp;$E260,tblSafetyHistory[Use],1))/(SUMIFS(tblSafety[Hours_Total],tblSafety[Date],"&gt;="&amp;EDATE($E260,-12),tblSafety[Date],"&lt;="&amp;$A260)+SUMIFS(tblSafetyHistory[Hours_Total],tblSafetyHistory[Month],"&gt;="&amp;EDATE($E260,-12),tblSafetyHistory[Month],"&lt;"&amp;$E260,tblSafetyHistory[Use],1))*cfg_RateBasisHours,"")</f>
        <v/>
      </c>
      <c r="IQ260" s="56">
        <f>IFERROR((SUMIFS(tblSafety[LTI],tblSafety[Date],"&gt;="&amp;EDATE($E260,-12),tblSafety[Date],"&lt;="&amp;$A260)+SUMIFS(tblSafetyHistory[LTI],tblSafetyHistory[Month],"&gt;="&amp;EDATE($E260,-12),tblSafetyHistory[Month],"&lt;"&amp;$E260,tblSafetyHistory[Use],1))/(SUMIFS(tblSafety[Hours_Total],tblSafety[Date],"&gt;="&amp;EDATE($E260,-12),tblSafety[Date],"&lt;="&amp;$A260)+SUMIFS(tblSafetyHistory[Hours_Total],tblSafetyHistory[Month],"&gt;="&amp;EDATE($E260,-12),tblSafetyHistory[Month],"&lt;"&amp;$E260,tblSafetyHistory[Use],1))*cfg_RateBasisHours,"")</f>
        <v/>
      </c>
      <c r="IR260" s="62">
        <f>IF(MAX(N(cfg_PriorLTIDate),_xlfn.MAXIFS(tblSafety[Date],tblSafety[LTI],"&gt;0",tblSafety[Date],"&lt;="&amp;$A260))=0,"",$A260-MAX(N(cfg_PriorLTIDate),_xlfn.MAXIFS(tblSafety[Date],tblSafety[LTI],"&gt;0",tblSafety[Date],"&lt;="&amp;$A260)))</f>
        <v/>
      </c>
      <c r="IS260" s="55">
        <f>SUMIFS(tblBudget[Ore_Mined_t],tblBudget[Month],$E260)</f>
        <v/>
      </c>
      <c r="IT260" s="55">
        <f>$IS260*$C260/$D260</f>
        <v/>
      </c>
      <c r="IU260" s="55">
        <f>SUMIFS(tblBudget[Ore_Mined_t],tblBudget[Month],"&lt;"&amp;$E260)+$IT260</f>
        <v/>
      </c>
      <c r="IV260" s="55">
        <f>SUMIFS(tblBudget[Ore_oz],tblBudget[Month],$E260)</f>
        <v/>
      </c>
      <c r="IW260" s="55">
        <f>$IV260*$C260/$D260</f>
        <v/>
      </c>
      <c r="IX260" s="55">
        <f>SUMIFS(tblBudget[Ore_oz],tblBudget[Month],"&lt;"&amp;$E260)+$IW260</f>
        <v/>
      </c>
      <c r="IY260" s="55">
        <f>SUMIFS(tblBudget[Ore_Mined_t],tblBudget[Month],$E260)</f>
        <v/>
      </c>
      <c r="IZ260" s="55">
        <f>$IY260*$C260/$D260</f>
        <v/>
      </c>
      <c r="JA260" s="55">
        <f>SUMIFS(tblBudget[Ore_Mined_t],tblBudget[Month],"&lt;"&amp;$E260)+$IZ260</f>
        <v/>
      </c>
      <c r="JB260" s="56">
        <f>IFERROR(IF(($IY260)&gt;0,($IV260*cfg_TroyOz)/($IY260),""),"")</f>
        <v/>
      </c>
      <c r="JC260" s="56">
        <f>IFERROR(IF(($IZ260)&gt;0,($IW260*cfg_TroyOz)/($IZ260),""),"")</f>
        <v/>
      </c>
      <c r="JD260" s="56">
        <f>IFERROR(IF(($JA260)&gt;0,($IX260*cfg_TroyOz)/($JA260),""),"")</f>
        <v/>
      </c>
      <c r="JE260" s="55">
        <f>SUMIFS(tblBudget[Waste_t],tblBudget[Month],$E260)</f>
        <v/>
      </c>
      <c r="JF260" s="55">
        <f>$JE260*$C260/$D260</f>
        <v/>
      </c>
      <c r="JG260" s="55">
        <f>SUMIFS(tblBudget[Waste_t],tblBudget[Month],"&lt;"&amp;$E260)+$JF260</f>
        <v/>
      </c>
      <c r="JH260" s="55">
        <f>SUMIFS(tblBudget[TMM_t],tblBudget[Month],$E260)</f>
        <v/>
      </c>
      <c r="JI260" s="55">
        <f>$JH260*$C260/$D260</f>
        <v/>
      </c>
      <c r="JJ260" s="55">
        <f>SUMIFS(tblBudget[TMM_t],tblBudget[Month],"&lt;"&amp;$E260)+$JI260</f>
        <v/>
      </c>
      <c r="JK260" s="56">
        <f>IFERROR(IF(($IS260)&gt;0,($JE260)/($IS260),""),"")</f>
        <v/>
      </c>
      <c r="JL260" s="56">
        <f>IFERROR(IF(($IT260)&gt;0,($JF260)/($IT260),""),"")</f>
        <v/>
      </c>
      <c r="JM260" s="56">
        <f>IFERROR(IF(($IU260)&gt;0,($JG260)/($IU260),""),"")</f>
        <v/>
      </c>
      <c r="JN260" s="55">
        <f>SUMIFS(tblBudget[Drill_m],tblBudget[Month],$E260)</f>
        <v/>
      </c>
      <c r="JO260" s="55">
        <f>$JN260*$C260/$D260</f>
        <v/>
      </c>
      <c r="JP260" s="55">
        <f>SUMIFS(tblBudget[Drill_m],tblBudget[Month],"&lt;"&amp;$E260)+$JO260</f>
        <v/>
      </c>
      <c r="JQ260" s="55">
        <f>SUMIFS(tblBudget[Diesel_L],tblBudget[Month],$E260)</f>
        <v/>
      </c>
      <c r="JR260" s="55">
        <f>$JQ260*$C260/$D260</f>
        <v/>
      </c>
      <c r="JS260" s="55">
        <f>SUMIFS(tblBudget[Diesel_L],tblBudget[Month],"&lt;"&amp;$E260)+$JR260</f>
        <v/>
      </c>
      <c r="JT260" s="55">
        <f>SUMIFS(tblBudget[Milled_t],tblBudget[Month],$E260)</f>
        <v/>
      </c>
      <c r="JU260" s="55">
        <f>$JT260*$C260/$D260</f>
        <v/>
      </c>
      <c r="JV260" s="55">
        <f>SUMIFS(tblBudget[Milled_t],tblBudget[Month],"&lt;"&amp;$E260)+$JU260</f>
        <v/>
      </c>
      <c r="JW260" s="55">
        <f>SUMIFS(tblBudget[Feed_oz],tblBudget[Month],$E260)</f>
        <v/>
      </c>
      <c r="JX260" s="55">
        <f>$JW260*$C260/$D260</f>
        <v/>
      </c>
      <c r="JY260" s="55">
        <f>SUMIFS(tblBudget[Feed_oz],tblBudget[Month],"&lt;"&amp;$E260)+$JX260</f>
        <v/>
      </c>
      <c r="JZ260" s="55">
        <f>SUMIFS(tblBudget[Recovered_oz],tblBudget[Month],$E260)</f>
        <v/>
      </c>
      <c r="KA260" s="55">
        <f>$JZ260*$C260/$D260</f>
        <v/>
      </c>
      <c r="KB260" s="55">
        <f>SUMIFS(tblBudget[Recovered_oz],tblBudget[Month],"&lt;"&amp;$E260)+$KA260</f>
        <v/>
      </c>
      <c r="KC260" s="55">
        <f>SUMIFS(tblBudget[Milled_t],tblBudget[Month],$E260)</f>
        <v/>
      </c>
      <c r="KD260" s="55">
        <f>$KC260*$C260/$D260</f>
        <v/>
      </c>
      <c r="KE260" s="55">
        <f>SUMIFS(tblBudget[Milled_t],tblBudget[Month],"&lt;"&amp;$E260)+$KD260</f>
        <v/>
      </c>
      <c r="KF260" s="55">
        <f>SUMIFS(tblBudget[Feed_oz],tblBudget[Month],$E260)</f>
        <v/>
      </c>
      <c r="KG260" s="55">
        <f>$KF260*$C260/$D260</f>
        <v/>
      </c>
      <c r="KH260" s="55">
        <f>SUMIFS(tblBudget[Feed_oz],tblBudget[Month],"&lt;"&amp;$E260)+$KG260</f>
        <v/>
      </c>
      <c r="KI260" s="56">
        <f>IFERROR(IF(($KC260)&gt;0,($JW260*cfg_TroyOz)/($KC260),""),"")</f>
        <v/>
      </c>
      <c r="KJ260" s="56">
        <f>IFERROR(IF(($KD260)&gt;0,($JX260*cfg_TroyOz)/($KD260),""),"")</f>
        <v/>
      </c>
      <c r="KK260" s="56">
        <f>IFERROR(IF(($KE260)&gt;0,($JY260*cfg_TroyOz)/($KE260),""),"")</f>
        <v/>
      </c>
      <c r="KL260" s="67">
        <f>IFERROR(IF(($KF260)&gt;0,($JZ260)/($KF260),""),"")</f>
        <v/>
      </c>
      <c r="KM260" s="67">
        <f>IFERROR(IF(($KG260)&gt;0,($KA260)/($KG260),""),"")</f>
        <v/>
      </c>
      <c r="KN260" s="67">
        <f>IFERROR(IF(($KH260)&gt;0,($KB260)/($KH260),""),"")</f>
        <v/>
      </c>
      <c r="KO260" s="55">
        <f>SUMIFS(tblBudget[Gold_Poured_oz],tblBudget[Month],$E260)</f>
        <v/>
      </c>
      <c r="KP260" s="55">
        <f>$KO260*$C260/$D260</f>
        <v/>
      </c>
      <c r="KQ260" s="55">
        <f>SUMIFS(tblBudget[Gold_Poured_oz],tblBudget[Month],"&lt;"&amp;$E260)+$KP260</f>
        <v/>
      </c>
      <c r="KR260" s="57">
        <f>SUMIFS(tblBudget[Hours_Worked],tblBudget[Month],$E260)</f>
        <v/>
      </c>
      <c r="KS260" s="57">
        <f>$KR260*$C260/$D260</f>
        <v/>
      </c>
      <c r="KT260" s="57">
        <f>SUMIFS(tblBudget[Hours_Worked],tblBudget[Month],"&lt;"&amp;$E260)+$KS260</f>
        <v/>
      </c>
    </row>
    <row r="261">
      <c r="A261" s="54" t="n">
        <v>46282</v>
      </c>
      <c r="B261">
        <f>MONTH($A261)</f>
        <v/>
      </c>
      <c r="C261">
        <f>DAY($A261)</f>
        <v/>
      </c>
      <c r="D261">
        <f>DAY(EOMONTH($A261,0))</f>
        <v/>
      </c>
      <c r="E261" s="54">
        <f>DATE(YEAR($A261),MONTH($A261),1)</f>
        <v/>
      </c>
      <c r="F261" s="55">
        <f>SUMIFS(tblMovement[Tonnes_t],tblMovement[Date],$A261,tblMovement[Is_Ore],1,tblMovement[Source_Type],"Pit")</f>
        <v/>
      </c>
      <c r="G261" s="55">
        <f>IF($B261=$B260,$G260,0)+$F261</f>
        <v/>
      </c>
      <c r="H261" s="55">
        <f>$H260+$F261</f>
        <v/>
      </c>
      <c r="I261" s="55">
        <f>SUMIFS(tblMovement[Ore_oz],tblMovement[Date],$A261,tblMovement[Source_Type],"Pit")</f>
        <v/>
      </c>
      <c r="J261" s="55">
        <f>IF($B261=$B260,$J260,0)+$I261</f>
        <v/>
      </c>
      <c r="K261" s="55">
        <f>$K260+$I261</f>
        <v/>
      </c>
      <c r="L261" s="55">
        <f>SUMIFS(tblMovement[Tonnes_t],tblMovement[Date],$A261,tblMovement[Is_Ore],1,tblMovement[Source_Type],"Pit",tblMovement[Grade_gpt],"&lt;&gt;")</f>
        <v/>
      </c>
      <c r="M261" s="55">
        <f>IF($B261=$B260,$M260,0)+$L261</f>
        <v/>
      </c>
      <c r="N261" s="55">
        <f>$N260+$L261</f>
        <v/>
      </c>
      <c r="O261" s="56">
        <f>IFERROR(IF(($L261)&gt;0,($I261*cfg_TroyOz)/($L261),""),"")</f>
        <v/>
      </c>
      <c r="P261" s="56">
        <f>IFERROR(IF(($M261)&gt;0,($J261*cfg_TroyOz)/($M261),""),"")</f>
        <v/>
      </c>
      <c r="Q261" s="56">
        <f>IFERROR(IF(($N261)&gt;0,($K261*cfg_TroyOz)/($N261),""),"")</f>
        <v/>
      </c>
      <c r="R261" s="55">
        <f>$F261-$L261</f>
        <v/>
      </c>
      <c r="S261" s="55">
        <f>IF($B261=$B260,$S260,0)+$R261</f>
        <v/>
      </c>
      <c r="T261" s="55">
        <f>$T260+$R261</f>
        <v/>
      </c>
      <c r="U261" s="55">
        <f>SUMIFS(tblMovement[Tonnes_t],tblMovement[Date],$A261,tblMovement[Is_Ore],0,tblMovement[Source_Type],"Pit")</f>
        <v/>
      </c>
      <c r="V261" s="55">
        <f>IF($B261=$B260,$V260,0)+$U261</f>
        <v/>
      </c>
      <c r="W261" s="55">
        <f>$W260+$U261</f>
        <v/>
      </c>
      <c r="X261" s="55">
        <f>$F261+$U261</f>
        <v/>
      </c>
      <c r="Y261" s="55">
        <f>IF($B261=$B260,$Y260,0)+$X261</f>
        <v/>
      </c>
      <c r="Z261" s="55">
        <f>$Z260+$X261</f>
        <v/>
      </c>
      <c r="AA261" s="56">
        <f>IFERROR(IF(($F261)&gt;0,($U261)/($F261),""),"")</f>
        <v/>
      </c>
      <c r="AB261" s="56">
        <f>IFERROR(IF(($G261)&gt;0,($V261)/($G261),""),"")</f>
        <v/>
      </c>
      <c r="AC261" s="56">
        <f>IFERROR(IF(($H261)&gt;0,($W261)/($H261),""),"")</f>
        <v/>
      </c>
      <c r="AD261" s="55">
        <f>SUMIFS(tblMovement[Tonnes_t],tblMovement[Date],$A261,tblMovement[Source_Type],"Stockpile")</f>
        <v/>
      </c>
      <c r="AE261" s="55">
        <f>IF($B261=$B260,$AE260,0)+$AD261</f>
        <v/>
      </c>
      <c r="AF261" s="55">
        <f>$AF260+$AD261</f>
        <v/>
      </c>
      <c r="AG261" s="55">
        <f>SUMIFS(tblMovement[Tonnes_t],tblMovement[Date],$A261)</f>
        <v/>
      </c>
      <c r="AH261" s="55">
        <f>IF($B261=$B260,$AH260,0)+$AG261</f>
        <v/>
      </c>
      <c r="AI261" s="55">
        <f>$AI260+$AG261</f>
        <v/>
      </c>
      <c r="AJ261" s="55">
        <f>$AG261-$X261-$AD261</f>
        <v/>
      </c>
      <c r="AK261" s="55">
        <f>IF($B261=$B260,$AK260,0)+$AJ261</f>
        <v/>
      </c>
      <c r="AL261" s="55">
        <f>$AL260+$AJ261</f>
        <v/>
      </c>
      <c r="AM261" s="55">
        <f>SUMIFS(tblMiningDaily[Drill_m],tblMiningDaily[Date],$A261)</f>
        <v/>
      </c>
      <c r="AN261" s="55">
        <f>IF($B261=$B260,$AN260,0)+$AM261</f>
        <v/>
      </c>
      <c r="AO261" s="55">
        <f>$AO260+$AM261</f>
        <v/>
      </c>
      <c r="AP261" s="55">
        <f>SUMIFS(tblMiningDaily[GC_Drill_m],tblMiningDaily[Date],$A261)</f>
        <v/>
      </c>
      <c r="AQ261" s="55">
        <f>IF($B261=$B260,$AQ260,0)+$AP261</f>
        <v/>
      </c>
      <c r="AR261" s="55">
        <f>$AR260+$AP261</f>
        <v/>
      </c>
      <c r="AS261" s="55">
        <f>SUMIFS(tblMiningDaily[Blast_t],tblMiningDaily[Date],$A261)</f>
        <v/>
      </c>
      <c r="AT261" s="55">
        <f>IF($B261=$B260,$AT260,0)+$AS261</f>
        <v/>
      </c>
      <c r="AU261" s="55">
        <f>$AU260+$AS261</f>
        <v/>
      </c>
      <c r="AV261" s="55">
        <f>SUMIFS(tblMiningDaily[Explosives_kg],tblMiningDaily[Date],$A261)</f>
        <v/>
      </c>
      <c r="AW261" s="55">
        <f>IF($B261=$B260,$AW260,0)+$AV261</f>
        <v/>
      </c>
      <c r="AX261" s="55">
        <f>$AX260+$AV261</f>
        <v/>
      </c>
      <c r="AY261" s="56">
        <f>IFERROR(IF(($AS261)&gt;0,($AV261)/($AS261),""),"")</f>
        <v/>
      </c>
      <c r="AZ261" s="56">
        <f>IFERROR(IF(($AT261)&gt;0,($AW261)/($AT261),""),"")</f>
        <v/>
      </c>
      <c r="BA261" s="56">
        <f>IFERROR(IF(($AU261)&gt;0,($AX261)/($AU261),""),"")</f>
        <v/>
      </c>
      <c r="BB261" s="55">
        <f>SUMIFS(tblMiningDaily[Diesel_L],tblMiningDaily[Date],$A261)</f>
        <v/>
      </c>
      <c r="BC261" s="55">
        <f>IF($B261=$B260,$BC260,0)+$BB261</f>
        <v/>
      </c>
      <c r="BD261" s="55">
        <f>$BD260+$BB261</f>
        <v/>
      </c>
      <c r="BE261" s="55">
        <f>SUMIFS(tblMiningDaily[Dewatering_m3],tblMiningDaily[Date],$A261)</f>
        <v/>
      </c>
      <c r="BF261" s="55">
        <f>IF($B261=$B260,$BF260,0)+$BE261</f>
        <v/>
      </c>
      <c r="BG261" s="55">
        <f>$BG260+$BE261</f>
        <v/>
      </c>
      <c r="BH261" s="57">
        <f>SUMIFS(tblFleet[Calendar_h],tblFleet[Date],$A261,tblFleet[Equipment_Class],"Excavator")</f>
        <v/>
      </c>
      <c r="BI261" s="57">
        <f>IF($B261=$B260,$BI260,0)+$BH261</f>
        <v/>
      </c>
      <c r="BJ261" s="57">
        <f>$BJ260+$BH261</f>
        <v/>
      </c>
      <c r="BK261" s="57">
        <f>SUMIFS(tblFleet[Available_h],tblFleet[Date],$A261,tblFleet[Equipment_Class],"Excavator")</f>
        <v/>
      </c>
      <c r="BL261" s="57">
        <f>IF($B261=$B260,$BL260,0)+$BK261</f>
        <v/>
      </c>
      <c r="BM261" s="57">
        <f>$BM260+$BK261</f>
        <v/>
      </c>
      <c r="BN261" s="57">
        <f>SUMIFS(tblFleet[Operating_h],tblFleet[Date],$A261,tblFleet[Equipment_Class],"Excavator")</f>
        <v/>
      </c>
      <c r="BO261" s="57">
        <f>IF($B261=$B260,$BO260,0)+$BN261</f>
        <v/>
      </c>
      <c r="BP261" s="57">
        <f>$BP260+$BN261</f>
        <v/>
      </c>
      <c r="BQ261" s="67">
        <f>IFERROR(IF(($BH261)&gt;0,($BK261)/($BH261),""),"")</f>
        <v/>
      </c>
      <c r="BR261" s="67">
        <f>IFERROR(IF(($BI261)&gt;0,($BL261)/($BI261),""),"")</f>
        <v/>
      </c>
      <c r="BS261" s="67">
        <f>IFERROR(IF(($BJ261)&gt;0,($BM261)/($BJ261),""),"")</f>
        <v/>
      </c>
      <c r="BT261" s="67">
        <f>IFERROR(IF(($BK261)&gt;0,($BN261)/($BK261),""),"")</f>
        <v/>
      </c>
      <c r="BU261" s="67">
        <f>IFERROR(IF(($BL261)&gt;0,($BO261)/($BL261),""),"")</f>
        <v/>
      </c>
      <c r="BV261" s="67">
        <f>IFERROR(IF(($BM261)&gt;0,($BP261)/($BM261),""),"")</f>
        <v/>
      </c>
      <c r="BW261" s="57">
        <f>SUMIFS(tblFleet[Calendar_h],tblFleet[Date],$A261,tblFleet[Equipment_Class],"Haul Truck")</f>
        <v/>
      </c>
      <c r="BX261" s="57">
        <f>IF($B261=$B260,$BX260,0)+$BW261</f>
        <v/>
      </c>
      <c r="BY261" s="57">
        <f>$BY260+$BW261</f>
        <v/>
      </c>
      <c r="BZ261" s="57">
        <f>SUMIFS(tblFleet[Available_h],tblFleet[Date],$A261,tblFleet[Equipment_Class],"Haul Truck")</f>
        <v/>
      </c>
      <c r="CA261" s="57">
        <f>IF($B261=$B260,$CA260,0)+$BZ261</f>
        <v/>
      </c>
      <c r="CB261" s="57">
        <f>$CB260+$BZ261</f>
        <v/>
      </c>
      <c r="CC261" s="57">
        <f>SUMIFS(tblFleet[Operating_h],tblFleet[Date],$A261,tblFleet[Equipment_Class],"Haul Truck")</f>
        <v/>
      </c>
      <c r="CD261" s="57">
        <f>IF($B261=$B260,$CD260,0)+$CC261</f>
        <v/>
      </c>
      <c r="CE261" s="57">
        <f>$CE260+$CC261</f>
        <v/>
      </c>
      <c r="CF261" s="67">
        <f>IFERROR(IF(($BW261)&gt;0,($BZ261)/($BW261),""),"")</f>
        <v/>
      </c>
      <c r="CG261" s="67">
        <f>IFERROR(IF(($BX261)&gt;0,($CA261)/($BX261),""),"")</f>
        <v/>
      </c>
      <c r="CH261" s="67">
        <f>IFERROR(IF(($BY261)&gt;0,($CB261)/($BY261),""),"")</f>
        <v/>
      </c>
      <c r="CI261" s="67">
        <f>IFERROR(IF(($BZ261)&gt;0,($CC261)/($BZ261),""),"")</f>
        <v/>
      </c>
      <c r="CJ261" s="67">
        <f>IFERROR(IF(($CA261)&gt;0,($CD261)/($CA261),""),"")</f>
        <v/>
      </c>
      <c r="CK261" s="67">
        <f>IFERROR(IF(($CB261)&gt;0,($CE261)/($CB261),""),"")</f>
        <v/>
      </c>
      <c r="CL261" s="55">
        <f>IFERROR(IF(($BN261)&gt;0,($X261+$AD261)/($BN261),""),"")</f>
        <v/>
      </c>
      <c r="CM261" s="55">
        <f>IFERROR(IF(($BO261)&gt;0,($Y261+$AE261)/($BO261),""),"")</f>
        <v/>
      </c>
      <c r="CN261" s="55">
        <f>IFERROR(IF(($BP261)&gt;0,($Z261+$AF261)/($BP261),""),"")</f>
        <v/>
      </c>
      <c r="CO261" s="55">
        <f>IFERROR(IF(($CC261)&gt;0,($X261+$AD261)/($CC261),""),"")</f>
        <v/>
      </c>
      <c r="CP261" s="55">
        <f>IFERROR(IF(($CD261)&gt;0,($Y261+$AE261)/($CD261),""),"")</f>
        <v/>
      </c>
      <c r="CQ261" s="55">
        <f>IFERROR(IF(($CE261)&gt;0,($Z261+$AF261)/($CE261),""),"")</f>
        <v/>
      </c>
      <c r="CR261" s="55">
        <f>SUMIFS(tblPlant[Crushed_t],tblPlant[Date],$A261)</f>
        <v/>
      </c>
      <c r="CS261" s="55">
        <f>IF($B261=$B260,$CS260,0)+$CR261</f>
        <v/>
      </c>
      <c r="CT261" s="55">
        <f>$CT260+$CR261</f>
        <v/>
      </c>
      <c r="CU261" s="55">
        <f>SUMIFS(tblPlant[Milled_t],tblPlant[Date],$A261)</f>
        <v/>
      </c>
      <c r="CV261" s="55">
        <f>IF($B261=$B260,$CV260,0)+$CU261</f>
        <v/>
      </c>
      <c r="CW261" s="55">
        <f>$CW260+$CU261</f>
        <v/>
      </c>
      <c r="CX261" s="55">
        <f>SUMIFS(tblPlant[Feed_oz],tblPlant[Date],$A261)</f>
        <v/>
      </c>
      <c r="CY261" s="55">
        <f>IF($B261=$B260,$CY260,0)+$CX261</f>
        <v/>
      </c>
      <c r="CZ261" s="55">
        <f>$CZ260+$CX261</f>
        <v/>
      </c>
      <c r="DA261" s="55">
        <f>SUMIFS(tblPlant[Tails_oz],tblPlant[Date],$A261)</f>
        <v/>
      </c>
      <c r="DB261" s="55">
        <f>IF($B261=$B260,$DB260,0)+$DA261</f>
        <v/>
      </c>
      <c r="DC261" s="55">
        <f>$DC260+$DA261</f>
        <v/>
      </c>
      <c r="DD261" s="55">
        <f>SUMIFS(tblPlant[Recovered_oz],tblPlant[Date],$A261)</f>
        <v/>
      </c>
      <c r="DE261" s="55">
        <f>IF($B261=$B260,$DE260,0)+$DD261</f>
        <v/>
      </c>
      <c r="DF261" s="55">
        <f>$DF260+$DD261</f>
        <v/>
      </c>
      <c r="DG261" s="55">
        <f>SUMIFS(tblPlant[Milled_t],tblPlant[Date],$A261,tblPlant[Head_Grade_gpt],"&lt;&gt;")</f>
        <v/>
      </c>
      <c r="DH261" s="55">
        <f>IF($B261=$B260,$DH260,0)+$DG261</f>
        <v/>
      </c>
      <c r="DI261" s="55">
        <f>$DI260+$DG261</f>
        <v/>
      </c>
      <c r="DJ261" s="55">
        <f>SUMIFS(tblPlant[Milled_t],tblPlant[Date],$A261,tblPlant[Tails_Grade_gpt],"&lt;&gt;")</f>
        <v/>
      </c>
      <c r="DK261" s="55">
        <f>IF($B261=$B260,$DK260,0)+$DJ261</f>
        <v/>
      </c>
      <c r="DL261" s="55">
        <f>$DL260+$DJ261</f>
        <v/>
      </c>
      <c r="DM261" s="55">
        <f>SUMIFS(tblPlant[Feed_oz],tblPlant[Date],$A261,tblPlant[Tails_Grade_gpt],"&lt;&gt;")</f>
        <v/>
      </c>
      <c r="DN261" s="55">
        <f>IF($B261=$B260,$DN260,0)+$DM261</f>
        <v/>
      </c>
      <c r="DO261" s="55">
        <f>$DO260+$DM261</f>
        <v/>
      </c>
      <c r="DP261" s="55">
        <f>SUMIFS(tblPlant[Milled_t],tblPlant[Date],$A261,tblPlant[Mill_Run_h],"&lt;&gt;")</f>
        <v/>
      </c>
      <c r="DQ261" s="55">
        <f>IF($B261=$B260,$DQ260,0)+$DP261</f>
        <v/>
      </c>
      <c r="DR261" s="55">
        <f>$DR260+$DP261</f>
        <v/>
      </c>
      <c r="DS261" s="56">
        <f>IFERROR(IF(($DG261)&gt;0,($CX261*cfg_TroyOz)/($DG261),""),"")</f>
        <v/>
      </c>
      <c r="DT261" s="56">
        <f>IFERROR(IF(($DH261)&gt;0,($CY261*cfg_TroyOz)/($DH261),""),"")</f>
        <v/>
      </c>
      <c r="DU261" s="56">
        <f>IFERROR(IF(($DI261)&gt;0,($CZ261*cfg_TroyOz)/($DI261),""),"")</f>
        <v/>
      </c>
      <c r="DV261" s="56">
        <f>IFERROR(IF(($DJ261)&gt;0,($DA261*cfg_TroyOz)/($DJ261),""),"")</f>
        <v/>
      </c>
      <c r="DW261" s="56">
        <f>IFERROR(IF(($DK261)&gt;0,($DB261*cfg_TroyOz)/($DK261),""),"")</f>
        <v/>
      </c>
      <c r="DX261" s="56">
        <f>IFERROR(IF(($DL261)&gt;0,($DC261*cfg_TroyOz)/($DL261),""),"")</f>
        <v/>
      </c>
      <c r="DY261" s="67">
        <f>IFERROR(IF(($DM261)&gt;0,($DD261)/($DM261),""),"")</f>
        <v/>
      </c>
      <c r="DZ261" s="67">
        <f>IFERROR(IF(($DN261)&gt;0,($DE261)/($DN261),""),"")</f>
        <v/>
      </c>
      <c r="EA261" s="67">
        <f>IFERROR(IF(($DO261)&gt;0,($DF261)/($DO261),""),"")</f>
        <v/>
      </c>
      <c r="EB261" s="55">
        <f>SUMIFS(tblPlant[Gravity_Gold_oz],tblPlant[Date],$A261)</f>
        <v/>
      </c>
      <c r="EC261" s="55">
        <f>IF($B261=$B260,$EC260,0)+$EB261</f>
        <v/>
      </c>
      <c r="ED261" s="55">
        <f>$ED260+$EB261</f>
        <v/>
      </c>
      <c r="EE261" s="67">
        <f>IFERROR(IF(($DD261)&gt;0,($EB261)/($DD261),""),"")</f>
        <v/>
      </c>
      <c r="EF261" s="67">
        <f>IFERROR(IF(($DE261)&gt;0,($EC261)/($DE261),""),"")</f>
        <v/>
      </c>
      <c r="EG261" s="67">
        <f>IFERROR(IF(($DF261)&gt;0,($ED261)/($DF261),""),"")</f>
        <v/>
      </c>
      <c r="EH261" s="55">
        <f>SUMIFS(tblPlant[Gold_Poured_oz],tblPlant[Date],$A261)</f>
        <v/>
      </c>
      <c r="EI261" s="55">
        <f>IF($B261=$B260,$EI260,0)+$EH261</f>
        <v/>
      </c>
      <c r="EJ261" s="55">
        <f>$EJ260+$EH261</f>
        <v/>
      </c>
      <c r="EK261" s="57">
        <f>SUMIFS(tblPlant[Mill_Run_h],tblPlant[Date],$A261)</f>
        <v/>
      </c>
      <c r="EL261" s="57">
        <f>IF($B261=$B260,$EL260,0)+$EK261</f>
        <v/>
      </c>
      <c r="EM261" s="57">
        <f>$EM260+$EK261</f>
        <v/>
      </c>
      <c r="EN261" s="57">
        <f>SUMIFS(tblPlant[Mill_Planned_Maint_h],tblPlant[Date],$A261)</f>
        <v/>
      </c>
      <c r="EO261" s="57">
        <f>IF($B261=$B260,$EO260,0)+$EN261</f>
        <v/>
      </c>
      <c r="EP261" s="57">
        <f>$EP260+$EN261</f>
        <v/>
      </c>
      <c r="EQ261" s="57">
        <f>SUMIFS(tblPlant[Mill_Unplanned_Down_h],tblPlant[Date],$A261)</f>
        <v/>
      </c>
      <c r="ER261" s="57">
        <f>IF($B261=$B260,$ER260,0)+$EQ261</f>
        <v/>
      </c>
      <c r="ES261" s="57">
        <f>$ES260+$EQ261</f>
        <v/>
      </c>
      <c r="ET261" s="57">
        <f>IF(COUNTIFS(tblPlant[Date],$A261,tblPlant[Mill_Run_h],"&lt;&gt;")+COUNTIFS(tblPlant[Date],$A261,tblPlant[Mill_Planned_Maint_h],"&lt;&gt;")+COUNTIFS(tblPlant[Date],$A261,tblPlant[Mill_Unplanned_Down_h],"&lt;&gt;")&gt;0,cfg_HoursPerDay,0)</f>
        <v/>
      </c>
      <c r="EU261" s="57">
        <f>IF($B261=$B260,$EU260,0)+$ET261</f>
        <v/>
      </c>
      <c r="EV261" s="57">
        <f>$EV260+$ET261</f>
        <v/>
      </c>
      <c r="EW261" s="57">
        <f>SUMIFS(tblPlant[Crusher_Run_h],tblPlant[Date],$A261)</f>
        <v/>
      </c>
      <c r="EX261" s="57">
        <f>IF($B261=$B260,$EX260,0)+$EW261</f>
        <v/>
      </c>
      <c r="EY261" s="57">
        <f>$EY260+$EW261</f>
        <v/>
      </c>
      <c r="EZ261" s="55">
        <f>IFERROR(IF(($EK261)&gt;0,($DP261)/($EK261),""),"")</f>
        <v/>
      </c>
      <c r="FA261" s="55">
        <f>IFERROR(IF(($EL261)&gt;0,($DQ261)/($EL261),""),"")</f>
        <v/>
      </c>
      <c r="FB261" s="55">
        <f>IFERROR(IF(($EM261)&gt;0,($DR261)/($EM261),""),"")</f>
        <v/>
      </c>
      <c r="FC261" s="67">
        <f>IFERROR(IF(($ET261)&gt;0,($ET261-$EN261-$EQ261)/($ET261),""),"")</f>
        <v/>
      </c>
      <c r="FD261" s="67">
        <f>IFERROR(IF(($EU261)&gt;0,($EU261-$EO261-$ER261)/($EU261),""),"")</f>
        <v/>
      </c>
      <c r="FE261" s="67">
        <f>IFERROR(IF(($EV261)&gt;0,($EV261-$EP261-$ES261)/($EV261),""),"")</f>
        <v/>
      </c>
      <c r="FF261" s="67">
        <f>IFERROR(IF(($ET261-$EN261-$EQ261)&gt;0,($EK261)/($ET261-$EN261-$EQ261),""),"")</f>
        <v/>
      </c>
      <c r="FG261" s="67">
        <f>IFERROR(IF(($EU261-$EO261-$ER261)&gt;0,($EL261)/($EU261-$EO261-$ER261),""),"")</f>
        <v/>
      </c>
      <c r="FH261" s="67">
        <f>IFERROR(IF(($EV261-$EP261-$ES261)&gt;0,($EM261)/($EV261-$EP261-$ES261),""),"")</f>
        <v/>
      </c>
      <c r="FI261" s="55">
        <f>SUMIFS(tblPlant[Cyanide_kg],tblPlant[Date],$A261)</f>
        <v/>
      </c>
      <c r="FJ261" s="55">
        <f>IF($B261=$B260,$FJ260,0)+$FI261</f>
        <v/>
      </c>
      <c r="FK261" s="55">
        <f>$FK260+$FI261</f>
        <v/>
      </c>
      <c r="FL261" s="55">
        <f>SUMIFS(tblPlant[Lime_kg],tblPlant[Date],$A261)</f>
        <v/>
      </c>
      <c r="FM261" s="55">
        <f>IF($B261=$B260,$FM260,0)+$FL261</f>
        <v/>
      </c>
      <c r="FN261" s="55">
        <f>$FN260+$FL261</f>
        <v/>
      </c>
      <c r="FO261" s="55">
        <f>SUMIFS(tblPlant[Grinding_Media_kg],tblPlant[Date],$A261)</f>
        <v/>
      </c>
      <c r="FP261" s="55">
        <f>IF($B261=$B260,$FP260,0)+$FO261</f>
        <v/>
      </c>
      <c r="FQ261" s="55">
        <f>$FQ260+$FO261</f>
        <v/>
      </c>
      <c r="FR261" s="55">
        <f>SUMIFS(tblPlant[Power_kWh],tblPlant[Date],$A261)</f>
        <v/>
      </c>
      <c r="FS261" s="55">
        <f>IF($B261=$B260,$FS260,0)+$FR261</f>
        <v/>
      </c>
      <c r="FT261" s="55">
        <f>$FT260+$FR261</f>
        <v/>
      </c>
      <c r="FU261" s="55">
        <f>SUMIFS(tblPlant[Raw_Water_m3],tblPlant[Date],$A261)</f>
        <v/>
      </c>
      <c r="FV261" s="55">
        <f>IF($B261=$B260,$FV260,0)+$FU261</f>
        <v/>
      </c>
      <c r="FW261" s="55">
        <f>$FW260+$FU261</f>
        <v/>
      </c>
      <c r="FX261" s="56">
        <f>IFERROR(IF(($CU261)&gt;0,($FI261)/($CU261),""),"")</f>
        <v/>
      </c>
      <c r="FY261" s="56">
        <f>IFERROR(IF(($CV261)&gt;0,($FJ261)/($CV261),""),"")</f>
        <v/>
      </c>
      <c r="FZ261" s="56">
        <f>IFERROR(IF(($CW261)&gt;0,($FK261)/($CW261),""),"")</f>
        <v/>
      </c>
      <c r="GA261" s="56">
        <f>IFERROR(IF(($CU261)&gt;0,($FL261)/($CU261),""),"")</f>
        <v/>
      </c>
      <c r="GB261" s="56">
        <f>IFERROR(IF(($CV261)&gt;0,($FM261)/($CV261),""),"")</f>
        <v/>
      </c>
      <c r="GC261" s="56">
        <f>IFERROR(IF(($CW261)&gt;0,($FN261)/($CW261),""),"")</f>
        <v/>
      </c>
      <c r="GD261" s="56">
        <f>IFERROR(IF(($CU261)&gt;0,($FO261)/($CU261),""),"")</f>
        <v/>
      </c>
      <c r="GE261" s="56">
        <f>IFERROR(IF(($CV261)&gt;0,($FP261)/($CV261),""),"")</f>
        <v/>
      </c>
      <c r="GF261" s="56">
        <f>IFERROR(IF(($CW261)&gt;0,($FQ261)/($CW261),""),"")</f>
        <v/>
      </c>
      <c r="GG261" s="79">
        <f>IFERROR(IF(($CU261)&gt;0,($FR261)/($CU261),""),"")</f>
        <v/>
      </c>
      <c r="GH261" s="79">
        <f>IFERROR(IF(($CV261)&gt;0,($FS261)/($CV261),""),"")</f>
        <v/>
      </c>
      <c r="GI261" s="79">
        <f>IFERROR(IF(($CW261)&gt;0,($FT261)/($CW261),""),"")</f>
        <v/>
      </c>
      <c r="GJ261" s="56">
        <f>IFERROR(IF(($CU261)&gt;0,($FU261)/($CU261),""),"")</f>
        <v/>
      </c>
      <c r="GK261" s="56">
        <f>IFERROR(IF(($CV261)&gt;0,($FV261)/($CV261),""),"")</f>
        <v/>
      </c>
      <c r="GL261" s="56">
        <f>IFERROR(IF(($CW261)&gt;0,($FW261)/($CW261),""),"")</f>
        <v/>
      </c>
      <c r="GM261" s="55">
        <f>IF(SUMIFS(tblPlant[GIC_oz],tblPlant[Date],$A261)&gt;0,SUMIFS(tblPlant[GIC_oz],tblPlant[Date],$A261),"")</f>
        <v/>
      </c>
      <c r="GN261" s="55">
        <f>SUMIFS(tblGold[Gold_oz],tblGold[Date],$A261,tblGold[Type],"Shipment")</f>
        <v/>
      </c>
      <c r="GO261" s="55">
        <f>IF($B261=$B260,$GO260,0)+$GN261</f>
        <v/>
      </c>
      <c r="GP261" s="55">
        <f>$GP260+$GN261</f>
        <v/>
      </c>
      <c r="GQ261" s="55">
        <f>SUMIFS(tblGold[Gold_oz],tblGold[Date],$A261,tblGold[Type],"Sale")</f>
        <v/>
      </c>
      <c r="GR261" s="55">
        <f>IF($B261=$B260,$GR260,0)+$GQ261</f>
        <v/>
      </c>
      <c r="GS261" s="55">
        <f>$GS260+$GQ261</f>
        <v/>
      </c>
      <c r="GT261" s="55">
        <f>SUMIFS(tblGold[Dore_kg],tblGold[Date],$A261,tblGold[Type],"Shipment")</f>
        <v/>
      </c>
      <c r="GU261" s="55">
        <f>IF($B261=$B260,$GU260,0)+$GT261</f>
        <v/>
      </c>
      <c r="GV261" s="55">
        <f>$GV260+$GT261</f>
        <v/>
      </c>
      <c r="GW261" s="57">
        <f>SUMIFS(tblSafety[Hours_Total],tblSafety[Date],$A261)</f>
        <v/>
      </c>
      <c r="GX261" s="57">
        <f>IF($B261=$B260,$GX260,0)+$GW261</f>
        <v/>
      </c>
      <c r="GY261" s="57">
        <f>$GY260+$GW261</f>
        <v/>
      </c>
      <c r="GZ261" s="62">
        <f>SUMIFS(tblSafety[Fatality],tblSafety[Date],$A261)</f>
        <v/>
      </c>
      <c r="HA261" s="62">
        <f>IF($B261=$B260,$HA260,0)+$GZ261</f>
        <v/>
      </c>
      <c r="HB261" s="62">
        <f>$HB260+$GZ261</f>
        <v/>
      </c>
      <c r="HC261" s="62">
        <f>SUMIFS(tblSafety[LTI],tblSafety[Date],$A261)</f>
        <v/>
      </c>
      <c r="HD261" s="62">
        <f>IF($B261=$B260,$HD260,0)+$HC261</f>
        <v/>
      </c>
      <c r="HE261" s="62">
        <f>$HE260+$HC261</f>
        <v/>
      </c>
      <c r="HF261" s="62">
        <f>SUMIFS(tblSafety[RWI],tblSafety[Date],$A261)</f>
        <v/>
      </c>
      <c r="HG261" s="62">
        <f>IF($B261=$B260,$HG260,0)+$HF261</f>
        <v/>
      </c>
      <c r="HH261" s="62">
        <f>$HH260+$HF261</f>
        <v/>
      </c>
      <c r="HI261" s="62">
        <f>SUMIFS(tblSafety[MTI],tblSafety[Date],$A261)</f>
        <v/>
      </c>
      <c r="HJ261" s="62">
        <f>IF($B261=$B260,$HJ260,0)+$HI261</f>
        <v/>
      </c>
      <c r="HK261" s="62">
        <f>$HK260+$HI261</f>
        <v/>
      </c>
      <c r="HL261" s="62">
        <f>SUMIFS(tblSafety[FAI],tblSafety[Date],$A261)</f>
        <v/>
      </c>
      <c r="HM261" s="62">
        <f>IF($B261=$B260,$HM260,0)+$HL261</f>
        <v/>
      </c>
      <c r="HN261" s="62">
        <f>$HN260+$HL261</f>
        <v/>
      </c>
      <c r="HO261" s="62">
        <f>SUMIFS(tblSafety[Recordables],tblSafety[Date],$A261)</f>
        <v/>
      </c>
      <c r="HP261" s="62">
        <f>IF($B261=$B260,$HP260,0)+$HO261</f>
        <v/>
      </c>
      <c r="HQ261" s="62">
        <f>$HQ260+$HO261</f>
        <v/>
      </c>
      <c r="HR261" s="62">
        <f>SUMIFS(tblSafety[Near_Miss],tblSafety[Date],$A261)</f>
        <v/>
      </c>
      <c r="HS261" s="62">
        <f>IF($B261=$B260,$HS260,0)+$HR261</f>
        <v/>
      </c>
      <c r="HT261" s="62">
        <f>$HT260+$HR261</f>
        <v/>
      </c>
      <c r="HU261" s="62">
        <f>SUMIFS(tblSafety[Hazard_Reports],tblSafety[Date],$A261)</f>
        <v/>
      </c>
      <c r="HV261" s="62">
        <f>IF($B261=$B260,$HV260,0)+$HU261</f>
        <v/>
      </c>
      <c r="HW261" s="62">
        <f>$HW260+$HU261</f>
        <v/>
      </c>
      <c r="HX261" s="62">
        <f>SUMIFS(tblSafety[HPI],tblSafety[Date],$A261)</f>
        <v/>
      </c>
      <c r="HY261" s="62">
        <f>IF($B261=$B260,$HY260,0)+$HX261</f>
        <v/>
      </c>
      <c r="HZ261" s="62">
        <f>$HZ260+$HX261</f>
        <v/>
      </c>
      <c r="IA261" s="62">
        <f>SUMIFS(tblSafety[Env_Incidents],tblSafety[Date],$A261)</f>
        <v/>
      </c>
      <c r="IB261" s="62">
        <f>IF($B261=$B260,$IB260,0)+$IA261</f>
        <v/>
      </c>
      <c r="IC261" s="62">
        <f>$IC260+$IA261</f>
        <v/>
      </c>
      <c r="ID261" s="62">
        <f>SUMIFS(tblSafety[Community_Incidents],tblSafety[Date],$A261)</f>
        <v/>
      </c>
      <c r="IE261" s="62">
        <f>IF($B261=$B260,$IE260,0)+$ID261</f>
        <v/>
      </c>
      <c r="IF261" s="62">
        <f>$IF260+$ID261</f>
        <v/>
      </c>
      <c r="IG261" s="62">
        <f>SUMIFS(tblSafety[Vehicle_Incidents],tblSafety[Date],$A261)</f>
        <v/>
      </c>
      <c r="IH261" s="62">
        <f>IF($B261=$B260,$IH260,0)+$IG261</f>
        <v/>
      </c>
      <c r="II261" s="62">
        <f>$II260+$IG261</f>
        <v/>
      </c>
      <c r="IJ261" s="62">
        <f>SUMIFS(tblSafety[Toolbox_Talks],tblSafety[Date],$A261)</f>
        <v/>
      </c>
      <c r="IK261" s="62">
        <f>IF($B261=$B260,$IK260,0)+$IJ261</f>
        <v/>
      </c>
      <c r="IL261" s="62">
        <f>$IL260+$IJ261</f>
        <v/>
      </c>
      <c r="IM261" s="62">
        <f>SUMIFS(tblSafety[Inspections],tblSafety[Date],$A261)</f>
        <v/>
      </c>
      <c r="IN261" s="62">
        <f>IF($B261=$B260,$IN260,0)+$IM261</f>
        <v/>
      </c>
      <c r="IO261" s="62">
        <f>$IO260+$IM261</f>
        <v/>
      </c>
      <c r="IP261" s="56">
        <f>IFERROR((SUMIFS(tblSafety[Recordables],tblSafety[Date],"&gt;="&amp;EDATE($E261,-12),tblSafety[Date],"&lt;="&amp;$A261)+SUMIFS(tblSafetyHistory[Recordables],tblSafetyHistory[Month],"&gt;="&amp;EDATE($E261,-12),tblSafetyHistory[Month],"&lt;"&amp;$E261,tblSafetyHistory[Use],1))/(SUMIFS(tblSafety[Hours_Total],tblSafety[Date],"&gt;="&amp;EDATE($E261,-12),tblSafety[Date],"&lt;="&amp;$A261)+SUMIFS(tblSafetyHistory[Hours_Total],tblSafetyHistory[Month],"&gt;="&amp;EDATE($E261,-12),tblSafetyHistory[Month],"&lt;"&amp;$E261,tblSafetyHistory[Use],1))*cfg_RateBasisHours,"")</f>
        <v/>
      </c>
      <c r="IQ261" s="56">
        <f>IFERROR((SUMIFS(tblSafety[LTI],tblSafety[Date],"&gt;="&amp;EDATE($E261,-12),tblSafety[Date],"&lt;="&amp;$A261)+SUMIFS(tblSafetyHistory[LTI],tblSafetyHistory[Month],"&gt;="&amp;EDATE($E261,-12),tblSafetyHistory[Month],"&lt;"&amp;$E261,tblSafetyHistory[Use],1))/(SUMIFS(tblSafety[Hours_Total],tblSafety[Date],"&gt;="&amp;EDATE($E261,-12),tblSafety[Date],"&lt;="&amp;$A261)+SUMIFS(tblSafetyHistory[Hours_Total],tblSafetyHistory[Month],"&gt;="&amp;EDATE($E261,-12),tblSafetyHistory[Month],"&lt;"&amp;$E261,tblSafetyHistory[Use],1))*cfg_RateBasisHours,"")</f>
        <v/>
      </c>
      <c r="IR261" s="62">
        <f>IF(MAX(N(cfg_PriorLTIDate),_xlfn.MAXIFS(tblSafety[Date],tblSafety[LTI],"&gt;0",tblSafety[Date],"&lt;="&amp;$A261))=0,"",$A261-MAX(N(cfg_PriorLTIDate),_xlfn.MAXIFS(tblSafety[Date],tblSafety[LTI],"&gt;0",tblSafety[Date],"&lt;="&amp;$A261)))</f>
        <v/>
      </c>
      <c r="IS261" s="55">
        <f>SUMIFS(tblBudget[Ore_Mined_t],tblBudget[Month],$E261)</f>
        <v/>
      </c>
      <c r="IT261" s="55">
        <f>$IS261*$C261/$D261</f>
        <v/>
      </c>
      <c r="IU261" s="55">
        <f>SUMIFS(tblBudget[Ore_Mined_t],tblBudget[Month],"&lt;"&amp;$E261)+$IT261</f>
        <v/>
      </c>
      <c r="IV261" s="55">
        <f>SUMIFS(tblBudget[Ore_oz],tblBudget[Month],$E261)</f>
        <v/>
      </c>
      <c r="IW261" s="55">
        <f>$IV261*$C261/$D261</f>
        <v/>
      </c>
      <c r="IX261" s="55">
        <f>SUMIFS(tblBudget[Ore_oz],tblBudget[Month],"&lt;"&amp;$E261)+$IW261</f>
        <v/>
      </c>
      <c r="IY261" s="55">
        <f>SUMIFS(tblBudget[Ore_Mined_t],tblBudget[Month],$E261)</f>
        <v/>
      </c>
      <c r="IZ261" s="55">
        <f>$IY261*$C261/$D261</f>
        <v/>
      </c>
      <c r="JA261" s="55">
        <f>SUMIFS(tblBudget[Ore_Mined_t],tblBudget[Month],"&lt;"&amp;$E261)+$IZ261</f>
        <v/>
      </c>
      <c r="JB261" s="56">
        <f>IFERROR(IF(($IY261)&gt;0,($IV261*cfg_TroyOz)/($IY261),""),"")</f>
        <v/>
      </c>
      <c r="JC261" s="56">
        <f>IFERROR(IF(($IZ261)&gt;0,($IW261*cfg_TroyOz)/($IZ261),""),"")</f>
        <v/>
      </c>
      <c r="JD261" s="56">
        <f>IFERROR(IF(($JA261)&gt;0,($IX261*cfg_TroyOz)/($JA261),""),"")</f>
        <v/>
      </c>
      <c r="JE261" s="55">
        <f>SUMIFS(tblBudget[Waste_t],tblBudget[Month],$E261)</f>
        <v/>
      </c>
      <c r="JF261" s="55">
        <f>$JE261*$C261/$D261</f>
        <v/>
      </c>
      <c r="JG261" s="55">
        <f>SUMIFS(tblBudget[Waste_t],tblBudget[Month],"&lt;"&amp;$E261)+$JF261</f>
        <v/>
      </c>
      <c r="JH261" s="55">
        <f>SUMIFS(tblBudget[TMM_t],tblBudget[Month],$E261)</f>
        <v/>
      </c>
      <c r="JI261" s="55">
        <f>$JH261*$C261/$D261</f>
        <v/>
      </c>
      <c r="JJ261" s="55">
        <f>SUMIFS(tblBudget[TMM_t],tblBudget[Month],"&lt;"&amp;$E261)+$JI261</f>
        <v/>
      </c>
      <c r="JK261" s="56">
        <f>IFERROR(IF(($IS261)&gt;0,($JE261)/($IS261),""),"")</f>
        <v/>
      </c>
      <c r="JL261" s="56">
        <f>IFERROR(IF(($IT261)&gt;0,($JF261)/($IT261),""),"")</f>
        <v/>
      </c>
      <c r="JM261" s="56">
        <f>IFERROR(IF(($IU261)&gt;0,($JG261)/($IU261),""),"")</f>
        <v/>
      </c>
      <c r="JN261" s="55">
        <f>SUMIFS(tblBudget[Drill_m],tblBudget[Month],$E261)</f>
        <v/>
      </c>
      <c r="JO261" s="55">
        <f>$JN261*$C261/$D261</f>
        <v/>
      </c>
      <c r="JP261" s="55">
        <f>SUMIFS(tblBudget[Drill_m],tblBudget[Month],"&lt;"&amp;$E261)+$JO261</f>
        <v/>
      </c>
      <c r="JQ261" s="55">
        <f>SUMIFS(tblBudget[Diesel_L],tblBudget[Month],$E261)</f>
        <v/>
      </c>
      <c r="JR261" s="55">
        <f>$JQ261*$C261/$D261</f>
        <v/>
      </c>
      <c r="JS261" s="55">
        <f>SUMIFS(tblBudget[Diesel_L],tblBudget[Month],"&lt;"&amp;$E261)+$JR261</f>
        <v/>
      </c>
      <c r="JT261" s="55">
        <f>SUMIFS(tblBudget[Milled_t],tblBudget[Month],$E261)</f>
        <v/>
      </c>
      <c r="JU261" s="55">
        <f>$JT261*$C261/$D261</f>
        <v/>
      </c>
      <c r="JV261" s="55">
        <f>SUMIFS(tblBudget[Milled_t],tblBudget[Month],"&lt;"&amp;$E261)+$JU261</f>
        <v/>
      </c>
      <c r="JW261" s="55">
        <f>SUMIFS(tblBudget[Feed_oz],tblBudget[Month],$E261)</f>
        <v/>
      </c>
      <c r="JX261" s="55">
        <f>$JW261*$C261/$D261</f>
        <v/>
      </c>
      <c r="JY261" s="55">
        <f>SUMIFS(tblBudget[Feed_oz],tblBudget[Month],"&lt;"&amp;$E261)+$JX261</f>
        <v/>
      </c>
      <c r="JZ261" s="55">
        <f>SUMIFS(tblBudget[Recovered_oz],tblBudget[Month],$E261)</f>
        <v/>
      </c>
      <c r="KA261" s="55">
        <f>$JZ261*$C261/$D261</f>
        <v/>
      </c>
      <c r="KB261" s="55">
        <f>SUMIFS(tblBudget[Recovered_oz],tblBudget[Month],"&lt;"&amp;$E261)+$KA261</f>
        <v/>
      </c>
      <c r="KC261" s="55">
        <f>SUMIFS(tblBudget[Milled_t],tblBudget[Month],$E261)</f>
        <v/>
      </c>
      <c r="KD261" s="55">
        <f>$KC261*$C261/$D261</f>
        <v/>
      </c>
      <c r="KE261" s="55">
        <f>SUMIFS(tblBudget[Milled_t],tblBudget[Month],"&lt;"&amp;$E261)+$KD261</f>
        <v/>
      </c>
      <c r="KF261" s="55">
        <f>SUMIFS(tblBudget[Feed_oz],tblBudget[Month],$E261)</f>
        <v/>
      </c>
      <c r="KG261" s="55">
        <f>$KF261*$C261/$D261</f>
        <v/>
      </c>
      <c r="KH261" s="55">
        <f>SUMIFS(tblBudget[Feed_oz],tblBudget[Month],"&lt;"&amp;$E261)+$KG261</f>
        <v/>
      </c>
      <c r="KI261" s="56">
        <f>IFERROR(IF(($KC261)&gt;0,($JW261*cfg_TroyOz)/($KC261),""),"")</f>
        <v/>
      </c>
      <c r="KJ261" s="56">
        <f>IFERROR(IF(($KD261)&gt;0,($JX261*cfg_TroyOz)/($KD261),""),"")</f>
        <v/>
      </c>
      <c r="KK261" s="56">
        <f>IFERROR(IF(($KE261)&gt;0,($JY261*cfg_TroyOz)/($KE261),""),"")</f>
        <v/>
      </c>
      <c r="KL261" s="67">
        <f>IFERROR(IF(($KF261)&gt;0,($JZ261)/($KF261),""),"")</f>
        <v/>
      </c>
      <c r="KM261" s="67">
        <f>IFERROR(IF(($KG261)&gt;0,($KA261)/($KG261),""),"")</f>
        <v/>
      </c>
      <c r="KN261" s="67">
        <f>IFERROR(IF(($KH261)&gt;0,($KB261)/($KH261),""),"")</f>
        <v/>
      </c>
      <c r="KO261" s="55">
        <f>SUMIFS(tblBudget[Gold_Poured_oz],tblBudget[Month],$E261)</f>
        <v/>
      </c>
      <c r="KP261" s="55">
        <f>$KO261*$C261/$D261</f>
        <v/>
      </c>
      <c r="KQ261" s="55">
        <f>SUMIFS(tblBudget[Gold_Poured_oz],tblBudget[Month],"&lt;"&amp;$E261)+$KP261</f>
        <v/>
      </c>
      <c r="KR261" s="57">
        <f>SUMIFS(tblBudget[Hours_Worked],tblBudget[Month],$E261)</f>
        <v/>
      </c>
      <c r="KS261" s="57">
        <f>$KR261*$C261/$D261</f>
        <v/>
      </c>
      <c r="KT261" s="57">
        <f>SUMIFS(tblBudget[Hours_Worked],tblBudget[Month],"&lt;"&amp;$E261)+$KS261</f>
        <v/>
      </c>
    </row>
    <row r="262">
      <c r="A262" s="54" t="n">
        <v>46283</v>
      </c>
      <c r="B262">
        <f>MONTH($A262)</f>
        <v/>
      </c>
      <c r="C262">
        <f>DAY($A262)</f>
        <v/>
      </c>
      <c r="D262">
        <f>DAY(EOMONTH($A262,0))</f>
        <v/>
      </c>
      <c r="E262" s="54">
        <f>DATE(YEAR($A262),MONTH($A262),1)</f>
        <v/>
      </c>
      <c r="F262" s="55">
        <f>SUMIFS(tblMovement[Tonnes_t],tblMovement[Date],$A262,tblMovement[Is_Ore],1,tblMovement[Source_Type],"Pit")</f>
        <v/>
      </c>
      <c r="G262" s="55">
        <f>IF($B262=$B261,$G261,0)+$F262</f>
        <v/>
      </c>
      <c r="H262" s="55">
        <f>$H261+$F262</f>
        <v/>
      </c>
      <c r="I262" s="55">
        <f>SUMIFS(tblMovement[Ore_oz],tblMovement[Date],$A262,tblMovement[Source_Type],"Pit")</f>
        <v/>
      </c>
      <c r="J262" s="55">
        <f>IF($B262=$B261,$J261,0)+$I262</f>
        <v/>
      </c>
      <c r="K262" s="55">
        <f>$K261+$I262</f>
        <v/>
      </c>
      <c r="L262" s="55">
        <f>SUMIFS(tblMovement[Tonnes_t],tblMovement[Date],$A262,tblMovement[Is_Ore],1,tblMovement[Source_Type],"Pit",tblMovement[Grade_gpt],"&lt;&gt;")</f>
        <v/>
      </c>
      <c r="M262" s="55">
        <f>IF($B262=$B261,$M261,0)+$L262</f>
        <v/>
      </c>
      <c r="N262" s="55">
        <f>$N261+$L262</f>
        <v/>
      </c>
      <c r="O262" s="56">
        <f>IFERROR(IF(($L262)&gt;0,($I262*cfg_TroyOz)/($L262),""),"")</f>
        <v/>
      </c>
      <c r="P262" s="56">
        <f>IFERROR(IF(($M262)&gt;0,($J262*cfg_TroyOz)/($M262),""),"")</f>
        <v/>
      </c>
      <c r="Q262" s="56">
        <f>IFERROR(IF(($N262)&gt;0,($K262*cfg_TroyOz)/($N262),""),"")</f>
        <v/>
      </c>
      <c r="R262" s="55">
        <f>$F262-$L262</f>
        <v/>
      </c>
      <c r="S262" s="55">
        <f>IF($B262=$B261,$S261,0)+$R262</f>
        <v/>
      </c>
      <c r="T262" s="55">
        <f>$T261+$R262</f>
        <v/>
      </c>
      <c r="U262" s="55">
        <f>SUMIFS(tblMovement[Tonnes_t],tblMovement[Date],$A262,tblMovement[Is_Ore],0,tblMovement[Source_Type],"Pit")</f>
        <v/>
      </c>
      <c r="V262" s="55">
        <f>IF($B262=$B261,$V261,0)+$U262</f>
        <v/>
      </c>
      <c r="W262" s="55">
        <f>$W261+$U262</f>
        <v/>
      </c>
      <c r="X262" s="55">
        <f>$F262+$U262</f>
        <v/>
      </c>
      <c r="Y262" s="55">
        <f>IF($B262=$B261,$Y261,0)+$X262</f>
        <v/>
      </c>
      <c r="Z262" s="55">
        <f>$Z261+$X262</f>
        <v/>
      </c>
      <c r="AA262" s="56">
        <f>IFERROR(IF(($F262)&gt;0,($U262)/($F262),""),"")</f>
        <v/>
      </c>
      <c r="AB262" s="56">
        <f>IFERROR(IF(($G262)&gt;0,($V262)/($G262),""),"")</f>
        <v/>
      </c>
      <c r="AC262" s="56">
        <f>IFERROR(IF(($H262)&gt;0,($W262)/($H262),""),"")</f>
        <v/>
      </c>
      <c r="AD262" s="55">
        <f>SUMIFS(tblMovement[Tonnes_t],tblMovement[Date],$A262,tblMovement[Source_Type],"Stockpile")</f>
        <v/>
      </c>
      <c r="AE262" s="55">
        <f>IF($B262=$B261,$AE261,0)+$AD262</f>
        <v/>
      </c>
      <c r="AF262" s="55">
        <f>$AF261+$AD262</f>
        <v/>
      </c>
      <c r="AG262" s="55">
        <f>SUMIFS(tblMovement[Tonnes_t],tblMovement[Date],$A262)</f>
        <v/>
      </c>
      <c r="AH262" s="55">
        <f>IF($B262=$B261,$AH261,0)+$AG262</f>
        <v/>
      </c>
      <c r="AI262" s="55">
        <f>$AI261+$AG262</f>
        <v/>
      </c>
      <c r="AJ262" s="55">
        <f>$AG262-$X262-$AD262</f>
        <v/>
      </c>
      <c r="AK262" s="55">
        <f>IF($B262=$B261,$AK261,0)+$AJ262</f>
        <v/>
      </c>
      <c r="AL262" s="55">
        <f>$AL261+$AJ262</f>
        <v/>
      </c>
      <c r="AM262" s="55">
        <f>SUMIFS(tblMiningDaily[Drill_m],tblMiningDaily[Date],$A262)</f>
        <v/>
      </c>
      <c r="AN262" s="55">
        <f>IF($B262=$B261,$AN261,0)+$AM262</f>
        <v/>
      </c>
      <c r="AO262" s="55">
        <f>$AO261+$AM262</f>
        <v/>
      </c>
      <c r="AP262" s="55">
        <f>SUMIFS(tblMiningDaily[GC_Drill_m],tblMiningDaily[Date],$A262)</f>
        <v/>
      </c>
      <c r="AQ262" s="55">
        <f>IF($B262=$B261,$AQ261,0)+$AP262</f>
        <v/>
      </c>
      <c r="AR262" s="55">
        <f>$AR261+$AP262</f>
        <v/>
      </c>
      <c r="AS262" s="55">
        <f>SUMIFS(tblMiningDaily[Blast_t],tblMiningDaily[Date],$A262)</f>
        <v/>
      </c>
      <c r="AT262" s="55">
        <f>IF($B262=$B261,$AT261,0)+$AS262</f>
        <v/>
      </c>
      <c r="AU262" s="55">
        <f>$AU261+$AS262</f>
        <v/>
      </c>
      <c r="AV262" s="55">
        <f>SUMIFS(tblMiningDaily[Explosives_kg],tblMiningDaily[Date],$A262)</f>
        <v/>
      </c>
      <c r="AW262" s="55">
        <f>IF($B262=$B261,$AW261,0)+$AV262</f>
        <v/>
      </c>
      <c r="AX262" s="55">
        <f>$AX261+$AV262</f>
        <v/>
      </c>
      <c r="AY262" s="56">
        <f>IFERROR(IF(($AS262)&gt;0,($AV262)/($AS262),""),"")</f>
        <v/>
      </c>
      <c r="AZ262" s="56">
        <f>IFERROR(IF(($AT262)&gt;0,($AW262)/($AT262),""),"")</f>
        <v/>
      </c>
      <c r="BA262" s="56">
        <f>IFERROR(IF(($AU262)&gt;0,($AX262)/($AU262),""),"")</f>
        <v/>
      </c>
      <c r="BB262" s="55">
        <f>SUMIFS(tblMiningDaily[Diesel_L],tblMiningDaily[Date],$A262)</f>
        <v/>
      </c>
      <c r="BC262" s="55">
        <f>IF($B262=$B261,$BC261,0)+$BB262</f>
        <v/>
      </c>
      <c r="BD262" s="55">
        <f>$BD261+$BB262</f>
        <v/>
      </c>
      <c r="BE262" s="55">
        <f>SUMIFS(tblMiningDaily[Dewatering_m3],tblMiningDaily[Date],$A262)</f>
        <v/>
      </c>
      <c r="BF262" s="55">
        <f>IF($B262=$B261,$BF261,0)+$BE262</f>
        <v/>
      </c>
      <c r="BG262" s="55">
        <f>$BG261+$BE262</f>
        <v/>
      </c>
      <c r="BH262" s="57">
        <f>SUMIFS(tblFleet[Calendar_h],tblFleet[Date],$A262,tblFleet[Equipment_Class],"Excavator")</f>
        <v/>
      </c>
      <c r="BI262" s="57">
        <f>IF($B262=$B261,$BI261,0)+$BH262</f>
        <v/>
      </c>
      <c r="BJ262" s="57">
        <f>$BJ261+$BH262</f>
        <v/>
      </c>
      <c r="BK262" s="57">
        <f>SUMIFS(tblFleet[Available_h],tblFleet[Date],$A262,tblFleet[Equipment_Class],"Excavator")</f>
        <v/>
      </c>
      <c r="BL262" s="57">
        <f>IF($B262=$B261,$BL261,0)+$BK262</f>
        <v/>
      </c>
      <c r="BM262" s="57">
        <f>$BM261+$BK262</f>
        <v/>
      </c>
      <c r="BN262" s="57">
        <f>SUMIFS(tblFleet[Operating_h],tblFleet[Date],$A262,tblFleet[Equipment_Class],"Excavator")</f>
        <v/>
      </c>
      <c r="BO262" s="57">
        <f>IF($B262=$B261,$BO261,0)+$BN262</f>
        <v/>
      </c>
      <c r="BP262" s="57">
        <f>$BP261+$BN262</f>
        <v/>
      </c>
      <c r="BQ262" s="67">
        <f>IFERROR(IF(($BH262)&gt;0,($BK262)/($BH262),""),"")</f>
        <v/>
      </c>
      <c r="BR262" s="67">
        <f>IFERROR(IF(($BI262)&gt;0,($BL262)/($BI262),""),"")</f>
        <v/>
      </c>
      <c r="BS262" s="67">
        <f>IFERROR(IF(($BJ262)&gt;0,($BM262)/($BJ262),""),"")</f>
        <v/>
      </c>
      <c r="BT262" s="67">
        <f>IFERROR(IF(($BK262)&gt;0,($BN262)/($BK262),""),"")</f>
        <v/>
      </c>
      <c r="BU262" s="67">
        <f>IFERROR(IF(($BL262)&gt;0,($BO262)/($BL262),""),"")</f>
        <v/>
      </c>
      <c r="BV262" s="67">
        <f>IFERROR(IF(($BM262)&gt;0,($BP262)/($BM262),""),"")</f>
        <v/>
      </c>
      <c r="BW262" s="57">
        <f>SUMIFS(tblFleet[Calendar_h],tblFleet[Date],$A262,tblFleet[Equipment_Class],"Haul Truck")</f>
        <v/>
      </c>
      <c r="BX262" s="57">
        <f>IF($B262=$B261,$BX261,0)+$BW262</f>
        <v/>
      </c>
      <c r="BY262" s="57">
        <f>$BY261+$BW262</f>
        <v/>
      </c>
      <c r="BZ262" s="57">
        <f>SUMIFS(tblFleet[Available_h],tblFleet[Date],$A262,tblFleet[Equipment_Class],"Haul Truck")</f>
        <v/>
      </c>
      <c r="CA262" s="57">
        <f>IF($B262=$B261,$CA261,0)+$BZ262</f>
        <v/>
      </c>
      <c r="CB262" s="57">
        <f>$CB261+$BZ262</f>
        <v/>
      </c>
      <c r="CC262" s="57">
        <f>SUMIFS(tblFleet[Operating_h],tblFleet[Date],$A262,tblFleet[Equipment_Class],"Haul Truck")</f>
        <v/>
      </c>
      <c r="CD262" s="57">
        <f>IF($B262=$B261,$CD261,0)+$CC262</f>
        <v/>
      </c>
      <c r="CE262" s="57">
        <f>$CE261+$CC262</f>
        <v/>
      </c>
      <c r="CF262" s="67">
        <f>IFERROR(IF(($BW262)&gt;0,($BZ262)/($BW262),""),"")</f>
        <v/>
      </c>
      <c r="CG262" s="67">
        <f>IFERROR(IF(($BX262)&gt;0,($CA262)/($BX262),""),"")</f>
        <v/>
      </c>
      <c r="CH262" s="67">
        <f>IFERROR(IF(($BY262)&gt;0,($CB262)/($BY262),""),"")</f>
        <v/>
      </c>
      <c r="CI262" s="67">
        <f>IFERROR(IF(($BZ262)&gt;0,($CC262)/($BZ262),""),"")</f>
        <v/>
      </c>
      <c r="CJ262" s="67">
        <f>IFERROR(IF(($CA262)&gt;0,($CD262)/($CA262),""),"")</f>
        <v/>
      </c>
      <c r="CK262" s="67">
        <f>IFERROR(IF(($CB262)&gt;0,($CE262)/($CB262),""),"")</f>
        <v/>
      </c>
      <c r="CL262" s="55">
        <f>IFERROR(IF(($BN262)&gt;0,($X262+$AD262)/($BN262),""),"")</f>
        <v/>
      </c>
      <c r="CM262" s="55">
        <f>IFERROR(IF(($BO262)&gt;0,($Y262+$AE262)/($BO262),""),"")</f>
        <v/>
      </c>
      <c r="CN262" s="55">
        <f>IFERROR(IF(($BP262)&gt;0,($Z262+$AF262)/($BP262),""),"")</f>
        <v/>
      </c>
      <c r="CO262" s="55">
        <f>IFERROR(IF(($CC262)&gt;0,($X262+$AD262)/($CC262),""),"")</f>
        <v/>
      </c>
      <c r="CP262" s="55">
        <f>IFERROR(IF(($CD262)&gt;0,($Y262+$AE262)/($CD262),""),"")</f>
        <v/>
      </c>
      <c r="CQ262" s="55">
        <f>IFERROR(IF(($CE262)&gt;0,($Z262+$AF262)/($CE262),""),"")</f>
        <v/>
      </c>
      <c r="CR262" s="55">
        <f>SUMIFS(tblPlant[Crushed_t],tblPlant[Date],$A262)</f>
        <v/>
      </c>
      <c r="CS262" s="55">
        <f>IF($B262=$B261,$CS261,0)+$CR262</f>
        <v/>
      </c>
      <c r="CT262" s="55">
        <f>$CT261+$CR262</f>
        <v/>
      </c>
      <c r="CU262" s="55">
        <f>SUMIFS(tblPlant[Milled_t],tblPlant[Date],$A262)</f>
        <v/>
      </c>
      <c r="CV262" s="55">
        <f>IF($B262=$B261,$CV261,0)+$CU262</f>
        <v/>
      </c>
      <c r="CW262" s="55">
        <f>$CW261+$CU262</f>
        <v/>
      </c>
      <c r="CX262" s="55">
        <f>SUMIFS(tblPlant[Feed_oz],tblPlant[Date],$A262)</f>
        <v/>
      </c>
      <c r="CY262" s="55">
        <f>IF($B262=$B261,$CY261,0)+$CX262</f>
        <v/>
      </c>
      <c r="CZ262" s="55">
        <f>$CZ261+$CX262</f>
        <v/>
      </c>
      <c r="DA262" s="55">
        <f>SUMIFS(tblPlant[Tails_oz],tblPlant[Date],$A262)</f>
        <v/>
      </c>
      <c r="DB262" s="55">
        <f>IF($B262=$B261,$DB261,0)+$DA262</f>
        <v/>
      </c>
      <c r="DC262" s="55">
        <f>$DC261+$DA262</f>
        <v/>
      </c>
      <c r="DD262" s="55">
        <f>SUMIFS(tblPlant[Recovered_oz],tblPlant[Date],$A262)</f>
        <v/>
      </c>
      <c r="DE262" s="55">
        <f>IF($B262=$B261,$DE261,0)+$DD262</f>
        <v/>
      </c>
      <c r="DF262" s="55">
        <f>$DF261+$DD262</f>
        <v/>
      </c>
      <c r="DG262" s="55">
        <f>SUMIFS(tblPlant[Milled_t],tblPlant[Date],$A262,tblPlant[Head_Grade_gpt],"&lt;&gt;")</f>
        <v/>
      </c>
      <c r="DH262" s="55">
        <f>IF($B262=$B261,$DH261,0)+$DG262</f>
        <v/>
      </c>
      <c r="DI262" s="55">
        <f>$DI261+$DG262</f>
        <v/>
      </c>
      <c r="DJ262" s="55">
        <f>SUMIFS(tblPlant[Milled_t],tblPlant[Date],$A262,tblPlant[Tails_Grade_gpt],"&lt;&gt;")</f>
        <v/>
      </c>
      <c r="DK262" s="55">
        <f>IF($B262=$B261,$DK261,0)+$DJ262</f>
        <v/>
      </c>
      <c r="DL262" s="55">
        <f>$DL261+$DJ262</f>
        <v/>
      </c>
      <c r="DM262" s="55">
        <f>SUMIFS(tblPlant[Feed_oz],tblPlant[Date],$A262,tblPlant[Tails_Grade_gpt],"&lt;&gt;")</f>
        <v/>
      </c>
      <c r="DN262" s="55">
        <f>IF($B262=$B261,$DN261,0)+$DM262</f>
        <v/>
      </c>
      <c r="DO262" s="55">
        <f>$DO261+$DM262</f>
        <v/>
      </c>
      <c r="DP262" s="55">
        <f>SUMIFS(tblPlant[Milled_t],tblPlant[Date],$A262,tblPlant[Mill_Run_h],"&lt;&gt;")</f>
        <v/>
      </c>
      <c r="DQ262" s="55">
        <f>IF($B262=$B261,$DQ261,0)+$DP262</f>
        <v/>
      </c>
      <c r="DR262" s="55">
        <f>$DR261+$DP262</f>
        <v/>
      </c>
      <c r="DS262" s="56">
        <f>IFERROR(IF(($DG262)&gt;0,($CX262*cfg_TroyOz)/($DG262),""),"")</f>
        <v/>
      </c>
      <c r="DT262" s="56">
        <f>IFERROR(IF(($DH262)&gt;0,($CY262*cfg_TroyOz)/($DH262),""),"")</f>
        <v/>
      </c>
      <c r="DU262" s="56">
        <f>IFERROR(IF(($DI262)&gt;0,($CZ262*cfg_TroyOz)/($DI262),""),"")</f>
        <v/>
      </c>
      <c r="DV262" s="56">
        <f>IFERROR(IF(($DJ262)&gt;0,($DA262*cfg_TroyOz)/($DJ262),""),"")</f>
        <v/>
      </c>
      <c r="DW262" s="56">
        <f>IFERROR(IF(($DK262)&gt;0,($DB262*cfg_TroyOz)/($DK262),""),"")</f>
        <v/>
      </c>
      <c r="DX262" s="56">
        <f>IFERROR(IF(($DL262)&gt;0,($DC262*cfg_TroyOz)/($DL262),""),"")</f>
        <v/>
      </c>
      <c r="DY262" s="67">
        <f>IFERROR(IF(($DM262)&gt;0,($DD262)/($DM262),""),"")</f>
        <v/>
      </c>
      <c r="DZ262" s="67">
        <f>IFERROR(IF(($DN262)&gt;0,($DE262)/($DN262),""),"")</f>
        <v/>
      </c>
      <c r="EA262" s="67">
        <f>IFERROR(IF(($DO262)&gt;0,($DF262)/($DO262),""),"")</f>
        <v/>
      </c>
      <c r="EB262" s="55">
        <f>SUMIFS(tblPlant[Gravity_Gold_oz],tblPlant[Date],$A262)</f>
        <v/>
      </c>
      <c r="EC262" s="55">
        <f>IF($B262=$B261,$EC261,0)+$EB262</f>
        <v/>
      </c>
      <c r="ED262" s="55">
        <f>$ED261+$EB262</f>
        <v/>
      </c>
      <c r="EE262" s="67">
        <f>IFERROR(IF(($DD262)&gt;0,($EB262)/($DD262),""),"")</f>
        <v/>
      </c>
      <c r="EF262" s="67">
        <f>IFERROR(IF(($DE262)&gt;0,($EC262)/($DE262),""),"")</f>
        <v/>
      </c>
      <c r="EG262" s="67">
        <f>IFERROR(IF(($DF262)&gt;0,($ED262)/($DF262),""),"")</f>
        <v/>
      </c>
      <c r="EH262" s="55">
        <f>SUMIFS(tblPlant[Gold_Poured_oz],tblPlant[Date],$A262)</f>
        <v/>
      </c>
      <c r="EI262" s="55">
        <f>IF($B262=$B261,$EI261,0)+$EH262</f>
        <v/>
      </c>
      <c r="EJ262" s="55">
        <f>$EJ261+$EH262</f>
        <v/>
      </c>
      <c r="EK262" s="57">
        <f>SUMIFS(tblPlant[Mill_Run_h],tblPlant[Date],$A262)</f>
        <v/>
      </c>
      <c r="EL262" s="57">
        <f>IF($B262=$B261,$EL261,0)+$EK262</f>
        <v/>
      </c>
      <c r="EM262" s="57">
        <f>$EM261+$EK262</f>
        <v/>
      </c>
      <c r="EN262" s="57">
        <f>SUMIFS(tblPlant[Mill_Planned_Maint_h],tblPlant[Date],$A262)</f>
        <v/>
      </c>
      <c r="EO262" s="57">
        <f>IF($B262=$B261,$EO261,0)+$EN262</f>
        <v/>
      </c>
      <c r="EP262" s="57">
        <f>$EP261+$EN262</f>
        <v/>
      </c>
      <c r="EQ262" s="57">
        <f>SUMIFS(tblPlant[Mill_Unplanned_Down_h],tblPlant[Date],$A262)</f>
        <v/>
      </c>
      <c r="ER262" s="57">
        <f>IF($B262=$B261,$ER261,0)+$EQ262</f>
        <v/>
      </c>
      <c r="ES262" s="57">
        <f>$ES261+$EQ262</f>
        <v/>
      </c>
      <c r="ET262" s="57">
        <f>IF(COUNTIFS(tblPlant[Date],$A262,tblPlant[Mill_Run_h],"&lt;&gt;")+COUNTIFS(tblPlant[Date],$A262,tblPlant[Mill_Planned_Maint_h],"&lt;&gt;")+COUNTIFS(tblPlant[Date],$A262,tblPlant[Mill_Unplanned_Down_h],"&lt;&gt;")&gt;0,cfg_HoursPerDay,0)</f>
        <v/>
      </c>
      <c r="EU262" s="57">
        <f>IF($B262=$B261,$EU261,0)+$ET262</f>
        <v/>
      </c>
      <c r="EV262" s="57">
        <f>$EV261+$ET262</f>
        <v/>
      </c>
      <c r="EW262" s="57">
        <f>SUMIFS(tblPlant[Crusher_Run_h],tblPlant[Date],$A262)</f>
        <v/>
      </c>
      <c r="EX262" s="57">
        <f>IF($B262=$B261,$EX261,0)+$EW262</f>
        <v/>
      </c>
      <c r="EY262" s="57">
        <f>$EY261+$EW262</f>
        <v/>
      </c>
      <c r="EZ262" s="55">
        <f>IFERROR(IF(($EK262)&gt;0,($DP262)/($EK262),""),"")</f>
        <v/>
      </c>
      <c r="FA262" s="55">
        <f>IFERROR(IF(($EL262)&gt;0,($DQ262)/($EL262),""),"")</f>
        <v/>
      </c>
      <c r="FB262" s="55">
        <f>IFERROR(IF(($EM262)&gt;0,($DR262)/($EM262),""),"")</f>
        <v/>
      </c>
      <c r="FC262" s="67">
        <f>IFERROR(IF(($ET262)&gt;0,($ET262-$EN262-$EQ262)/($ET262),""),"")</f>
        <v/>
      </c>
      <c r="FD262" s="67">
        <f>IFERROR(IF(($EU262)&gt;0,($EU262-$EO262-$ER262)/($EU262),""),"")</f>
        <v/>
      </c>
      <c r="FE262" s="67">
        <f>IFERROR(IF(($EV262)&gt;0,($EV262-$EP262-$ES262)/($EV262),""),"")</f>
        <v/>
      </c>
      <c r="FF262" s="67">
        <f>IFERROR(IF(($ET262-$EN262-$EQ262)&gt;0,($EK262)/($ET262-$EN262-$EQ262),""),"")</f>
        <v/>
      </c>
      <c r="FG262" s="67">
        <f>IFERROR(IF(($EU262-$EO262-$ER262)&gt;0,($EL262)/($EU262-$EO262-$ER262),""),"")</f>
        <v/>
      </c>
      <c r="FH262" s="67">
        <f>IFERROR(IF(($EV262-$EP262-$ES262)&gt;0,($EM262)/($EV262-$EP262-$ES262),""),"")</f>
        <v/>
      </c>
      <c r="FI262" s="55">
        <f>SUMIFS(tblPlant[Cyanide_kg],tblPlant[Date],$A262)</f>
        <v/>
      </c>
      <c r="FJ262" s="55">
        <f>IF($B262=$B261,$FJ261,0)+$FI262</f>
        <v/>
      </c>
      <c r="FK262" s="55">
        <f>$FK261+$FI262</f>
        <v/>
      </c>
      <c r="FL262" s="55">
        <f>SUMIFS(tblPlant[Lime_kg],tblPlant[Date],$A262)</f>
        <v/>
      </c>
      <c r="FM262" s="55">
        <f>IF($B262=$B261,$FM261,0)+$FL262</f>
        <v/>
      </c>
      <c r="FN262" s="55">
        <f>$FN261+$FL262</f>
        <v/>
      </c>
      <c r="FO262" s="55">
        <f>SUMIFS(tblPlant[Grinding_Media_kg],tblPlant[Date],$A262)</f>
        <v/>
      </c>
      <c r="FP262" s="55">
        <f>IF($B262=$B261,$FP261,0)+$FO262</f>
        <v/>
      </c>
      <c r="FQ262" s="55">
        <f>$FQ261+$FO262</f>
        <v/>
      </c>
      <c r="FR262" s="55">
        <f>SUMIFS(tblPlant[Power_kWh],tblPlant[Date],$A262)</f>
        <v/>
      </c>
      <c r="FS262" s="55">
        <f>IF($B262=$B261,$FS261,0)+$FR262</f>
        <v/>
      </c>
      <c r="FT262" s="55">
        <f>$FT261+$FR262</f>
        <v/>
      </c>
      <c r="FU262" s="55">
        <f>SUMIFS(tblPlant[Raw_Water_m3],tblPlant[Date],$A262)</f>
        <v/>
      </c>
      <c r="FV262" s="55">
        <f>IF($B262=$B261,$FV261,0)+$FU262</f>
        <v/>
      </c>
      <c r="FW262" s="55">
        <f>$FW261+$FU262</f>
        <v/>
      </c>
      <c r="FX262" s="56">
        <f>IFERROR(IF(($CU262)&gt;0,($FI262)/($CU262),""),"")</f>
        <v/>
      </c>
      <c r="FY262" s="56">
        <f>IFERROR(IF(($CV262)&gt;0,($FJ262)/($CV262),""),"")</f>
        <v/>
      </c>
      <c r="FZ262" s="56">
        <f>IFERROR(IF(($CW262)&gt;0,($FK262)/($CW262),""),"")</f>
        <v/>
      </c>
      <c r="GA262" s="56">
        <f>IFERROR(IF(($CU262)&gt;0,($FL262)/($CU262),""),"")</f>
        <v/>
      </c>
      <c r="GB262" s="56">
        <f>IFERROR(IF(($CV262)&gt;0,($FM262)/($CV262),""),"")</f>
        <v/>
      </c>
      <c r="GC262" s="56">
        <f>IFERROR(IF(($CW262)&gt;0,($FN262)/($CW262),""),"")</f>
        <v/>
      </c>
      <c r="GD262" s="56">
        <f>IFERROR(IF(($CU262)&gt;0,($FO262)/($CU262),""),"")</f>
        <v/>
      </c>
      <c r="GE262" s="56">
        <f>IFERROR(IF(($CV262)&gt;0,($FP262)/($CV262),""),"")</f>
        <v/>
      </c>
      <c r="GF262" s="56">
        <f>IFERROR(IF(($CW262)&gt;0,($FQ262)/($CW262),""),"")</f>
        <v/>
      </c>
      <c r="GG262" s="79">
        <f>IFERROR(IF(($CU262)&gt;0,($FR262)/($CU262),""),"")</f>
        <v/>
      </c>
      <c r="GH262" s="79">
        <f>IFERROR(IF(($CV262)&gt;0,($FS262)/($CV262),""),"")</f>
        <v/>
      </c>
      <c r="GI262" s="79">
        <f>IFERROR(IF(($CW262)&gt;0,($FT262)/($CW262),""),"")</f>
        <v/>
      </c>
      <c r="GJ262" s="56">
        <f>IFERROR(IF(($CU262)&gt;0,($FU262)/($CU262),""),"")</f>
        <v/>
      </c>
      <c r="GK262" s="56">
        <f>IFERROR(IF(($CV262)&gt;0,($FV262)/($CV262),""),"")</f>
        <v/>
      </c>
      <c r="GL262" s="56">
        <f>IFERROR(IF(($CW262)&gt;0,($FW262)/($CW262),""),"")</f>
        <v/>
      </c>
      <c r="GM262" s="55">
        <f>IF(SUMIFS(tblPlant[GIC_oz],tblPlant[Date],$A262)&gt;0,SUMIFS(tblPlant[GIC_oz],tblPlant[Date],$A262),"")</f>
        <v/>
      </c>
      <c r="GN262" s="55">
        <f>SUMIFS(tblGold[Gold_oz],tblGold[Date],$A262,tblGold[Type],"Shipment")</f>
        <v/>
      </c>
      <c r="GO262" s="55">
        <f>IF($B262=$B261,$GO261,0)+$GN262</f>
        <v/>
      </c>
      <c r="GP262" s="55">
        <f>$GP261+$GN262</f>
        <v/>
      </c>
      <c r="GQ262" s="55">
        <f>SUMIFS(tblGold[Gold_oz],tblGold[Date],$A262,tblGold[Type],"Sale")</f>
        <v/>
      </c>
      <c r="GR262" s="55">
        <f>IF($B262=$B261,$GR261,0)+$GQ262</f>
        <v/>
      </c>
      <c r="GS262" s="55">
        <f>$GS261+$GQ262</f>
        <v/>
      </c>
      <c r="GT262" s="55">
        <f>SUMIFS(tblGold[Dore_kg],tblGold[Date],$A262,tblGold[Type],"Shipment")</f>
        <v/>
      </c>
      <c r="GU262" s="55">
        <f>IF($B262=$B261,$GU261,0)+$GT262</f>
        <v/>
      </c>
      <c r="GV262" s="55">
        <f>$GV261+$GT262</f>
        <v/>
      </c>
      <c r="GW262" s="57">
        <f>SUMIFS(tblSafety[Hours_Total],tblSafety[Date],$A262)</f>
        <v/>
      </c>
      <c r="GX262" s="57">
        <f>IF($B262=$B261,$GX261,0)+$GW262</f>
        <v/>
      </c>
      <c r="GY262" s="57">
        <f>$GY261+$GW262</f>
        <v/>
      </c>
      <c r="GZ262" s="62">
        <f>SUMIFS(tblSafety[Fatality],tblSafety[Date],$A262)</f>
        <v/>
      </c>
      <c r="HA262" s="62">
        <f>IF($B262=$B261,$HA261,0)+$GZ262</f>
        <v/>
      </c>
      <c r="HB262" s="62">
        <f>$HB261+$GZ262</f>
        <v/>
      </c>
      <c r="HC262" s="62">
        <f>SUMIFS(tblSafety[LTI],tblSafety[Date],$A262)</f>
        <v/>
      </c>
      <c r="HD262" s="62">
        <f>IF($B262=$B261,$HD261,0)+$HC262</f>
        <v/>
      </c>
      <c r="HE262" s="62">
        <f>$HE261+$HC262</f>
        <v/>
      </c>
      <c r="HF262" s="62">
        <f>SUMIFS(tblSafety[RWI],tblSafety[Date],$A262)</f>
        <v/>
      </c>
      <c r="HG262" s="62">
        <f>IF($B262=$B261,$HG261,0)+$HF262</f>
        <v/>
      </c>
      <c r="HH262" s="62">
        <f>$HH261+$HF262</f>
        <v/>
      </c>
      <c r="HI262" s="62">
        <f>SUMIFS(tblSafety[MTI],tblSafety[Date],$A262)</f>
        <v/>
      </c>
      <c r="HJ262" s="62">
        <f>IF($B262=$B261,$HJ261,0)+$HI262</f>
        <v/>
      </c>
      <c r="HK262" s="62">
        <f>$HK261+$HI262</f>
        <v/>
      </c>
      <c r="HL262" s="62">
        <f>SUMIFS(tblSafety[FAI],tblSafety[Date],$A262)</f>
        <v/>
      </c>
      <c r="HM262" s="62">
        <f>IF($B262=$B261,$HM261,0)+$HL262</f>
        <v/>
      </c>
      <c r="HN262" s="62">
        <f>$HN261+$HL262</f>
        <v/>
      </c>
      <c r="HO262" s="62">
        <f>SUMIFS(tblSafety[Recordables],tblSafety[Date],$A262)</f>
        <v/>
      </c>
      <c r="HP262" s="62">
        <f>IF($B262=$B261,$HP261,0)+$HO262</f>
        <v/>
      </c>
      <c r="HQ262" s="62">
        <f>$HQ261+$HO262</f>
        <v/>
      </c>
      <c r="HR262" s="62">
        <f>SUMIFS(tblSafety[Near_Miss],tblSafety[Date],$A262)</f>
        <v/>
      </c>
      <c r="HS262" s="62">
        <f>IF($B262=$B261,$HS261,0)+$HR262</f>
        <v/>
      </c>
      <c r="HT262" s="62">
        <f>$HT261+$HR262</f>
        <v/>
      </c>
      <c r="HU262" s="62">
        <f>SUMIFS(tblSafety[Hazard_Reports],tblSafety[Date],$A262)</f>
        <v/>
      </c>
      <c r="HV262" s="62">
        <f>IF($B262=$B261,$HV261,0)+$HU262</f>
        <v/>
      </c>
      <c r="HW262" s="62">
        <f>$HW261+$HU262</f>
        <v/>
      </c>
      <c r="HX262" s="62">
        <f>SUMIFS(tblSafety[HPI],tblSafety[Date],$A262)</f>
        <v/>
      </c>
      <c r="HY262" s="62">
        <f>IF($B262=$B261,$HY261,0)+$HX262</f>
        <v/>
      </c>
      <c r="HZ262" s="62">
        <f>$HZ261+$HX262</f>
        <v/>
      </c>
      <c r="IA262" s="62">
        <f>SUMIFS(tblSafety[Env_Incidents],tblSafety[Date],$A262)</f>
        <v/>
      </c>
      <c r="IB262" s="62">
        <f>IF($B262=$B261,$IB261,0)+$IA262</f>
        <v/>
      </c>
      <c r="IC262" s="62">
        <f>$IC261+$IA262</f>
        <v/>
      </c>
      <c r="ID262" s="62">
        <f>SUMIFS(tblSafety[Community_Incidents],tblSafety[Date],$A262)</f>
        <v/>
      </c>
      <c r="IE262" s="62">
        <f>IF($B262=$B261,$IE261,0)+$ID262</f>
        <v/>
      </c>
      <c r="IF262" s="62">
        <f>$IF261+$ID262</f>
        <v/>
      </c>
      <c r="IG262" s="62">
        <f>SUMIFS(tblSafety[Vehicle_Incidents],tblSafety[Date],$A262)</f>
        <v/>
      </c>
      <c r="IH262" s="62">
        <f>IF($B262=$B261,$IH261,0)+$IG262</f>
        <v/>
      </c>
      <c r="II262" s="62">
        <f>$II261+$IG262</f>
        <v/>
      </c>
      <c r="IJ262" s="62">
        <f>SUMIFS(tblSafety[Toolbox_Talks],tblSafety[Date],$A262)</f>
        <v/>
      </c>
      <c r="IK262" s="62">
        <f>IF($B262=$B261,$IK261,0)+$IJ262</f>
        <v/>
      </c>
      <c r="IL262" s="62">
        <f>$IL261+$IJ262</f>
        <v/>
      </c>
      <c r="IM262" s="62">
        <f>SUMIFS(tblSafety[Inspections],tblSafety[Date],$A262)</f>
        <v/>
      </c>
      <c r="IN262" s="62">
        <f>IF($B262=$B261,$IN261,0)+$IM262</f>
        <v/>
      </c>
      <c r="IO262" s="62">
        <f>$IO261+$IM262</f>
        <v/>
      </c>
      <c r="IP262" s="56">
        <f>IFERROR((SUMIFS(tblSafety[Recordables],tblSafety[Date],"&gt;="&amp;EDATE($E262,-12),tblSafety[Date],"&lt;="&amp;$A262)+SUMIFS(tblSafetyHistory[Recordables],tblSafetyHistory[Month],"&gt;="&amp;EDATE($E262,-12),tblSafetyHistory[Month],"&lt;"&amp;$E262,tblSafetyHistory[Use],1))/(SUMIFS(tblSafety[Hours_Total],tblSafety[Date],"&gt;="&amp;EDATE($E262,-12),tblSafety[Date],"&lt;="&amp;$A262)+SUMIFS(tblSafetyHistory[Hours_Total],tblSafetyHistory[Month],"&gt;="&amp;EDATE($E262,-12),tblSafetyHistory[Month],"&lt;"&amp;$E262,tblSafetyHistory[Use],1))*cfg_RateBasisHours,"")</f>
        <v/>
      </c>
      <c r="IQ262" s="56">
        <f>IFERROR((SUMIFS(tblSafety[LTI],tblSafety[Date],"&gt;="&amp;EDATE($E262,-12),tblSafety[Date],"&lt;="&amp;$A262)+SUMIFS(tblSafetyHistory[LTI],tblSafetyHistory[Month],"&gt;="&amp;EDATE($E262,-12),tblSafetyHistory[Month],"&lt;"&amp;$E262,tblSafetyHistory[Use],1))/(SUMIFS(tblSafety[Hours_Total],tblSafety[Date],"&gt;="&amp;EDATE($E262,-12),tblSafety[Date],"&lt;="&amp;$A262)+SUMIFS(tblSafetyHistory[Hours_Total],tblSafetyHistory[Month],"&gt;="&amp;EDATE($E262,-12),tblSafetyHistory[Month],"&lt;"&amp;$E262,tblSafetyHistory[Use],1))*cfg_RateBasisHours,"")</f>
        <v/>
      </c>
      <c r="IR262" s="62">
        <f>IF(MAX(N(cfg_PriorLTIDate),_xlfn.MAXIFS(tblSafety[Date],tblSafety[LTI],"&gt;0",tblSafety[Date],"&lt;="&amp;$A262))=0,"",$A262-MAX(N(cfg_PriorLTIDate),_xlfn.MAXIFS(tblSafety[Date],tblSafety[LTI],"&gt;0",tblSafety[Date],"&lt;="&amp;$A262)))</f>
        <v/>
      </c>
      <c r="IS262" s="55">
        <f>SUMIFS(tblBudget[Ore_Mined_t],tblBudget[Month],$E262)</f>
        <v/>
      </c>
      <c r="IT262" s="55">
        <f>$IS262*$C262/$D262</f>
        <v/>
      </c>
      <c r="IU262" s="55">
        <f>SUMIFS(tblBudget[Ore_Mined_t],tblBudget[Month],"&lt;"&amp;$E262)+$IT262</f>
        <v/>
      </c>
      <c r="IV262" s="55">
        <f>SUMIFS(tblBudget[Ore_oz],tblBudget[Month],$E262)</f>
        <v/>
      </c>
      <c r="IW262" s="55">
        <f>$IV262*$C262/$D262</f>
        <v/>
      </c>
      <c r="IX262" s="55">
        <f>SUMIFS(tblBudget[Ore_oz],tblBudget[Month],"&lt;"&amp;$E262)+$IW262</f>
        <v/>
      </c>
      <c r="IY262" s="55">
        <f>SUMIFS(tblBudget[Ore_Mined_t],tblBudget[Month],$E262)</f>
        <v/>
      </c>
      <c r="IZ262" s="55">
        <f>$IY262*$C262/$D262</f>
        <v/>
      </c>
      <c r="JA262" s="55">
        <f>SUMIFS(tblBudget[Ore_Mined_t],tblBudget[Month],"&lt;"&amp;$E262)+$IZ262</f>
        <v/>
      </c>
      <c r="JB262" s="56">
        <f>IFERROR(IF(($IY262)&gt;0,($IV262*cfg_TroyOz)/($IY262),""),"")</f>
        <v/>
      </c>
      <c r="JC262" s="56">
        <f>IFERROR(IF(($IZ262)&gt;0,($IW262*cfg_TroyOz)/($IZ262),""),"")</f>
        <v/>
      </c>
      <c r="JD262" s="56">
        <f>IFERROR(IF(($JA262)&gt;0,($IX262*cfg_TroyOz)/($JA262),""),"")</f>
        <v/>
      </c>
      <c r="JE262" s="55">
        <f>SUMIFS(tblBudget[Waste_t],tblBudget[Month],$E262)</f>
        <v/>
      </c>
      <c r="JF262" s="55">
        <f>$JE262*$C262/$D262</f>
        <v/>
      </c>
      <c r="JG262" s="55">
        <f>SUMIFS(tblBudget[Waste_t],tblBudget[Month],"&lt;"&amp;$E262)+$JF262</f>
        <v/>
      </c>
      <c r="JH262" s="55">
        <f>SUMIFS(tblBudget[TMM_t],tblBudget[Month],$E262)</f>
        <v/>
      </c>
      <c r="JI262" s="55">
        <f>$JH262*$C262/$D262</f>
        <v/>
      </c>
      <c r="JJ262" s="55">
        <f>SUMIFS(tblBudget[TMM_t],tblBudget[Month],"&lt;"&amp;$E262)+$JI262</f>
        <v/>
      </c>
      <c r="JK262" s="56">
        <f>IFERROR(IF(($IS262)&gt;0,($JE262)/($IS262),""),"")</f>
        <v/>
      </c>
      <c r="JL262" s="56">
        <f>IFERROR(IF(($IT262)&gt;0,($JF262)/($IT262),""),"")</f>
        <v/>
      </c>
      <c r="JM262" s="56">
        <f>IFERROR(IF(($IU262)&gt;0,($JG262)/($IU262),""),"")</f>
        <v/>
      </c>
      <c r="JN262" s="55">
        <f>SUMIFS(tblBudget[Drill_m],tblBudget[Month],$E262)</f>
        <v/>
      </c>
      <c r="JO262" s="55">
        <f>$JN262*$C262/$D262</f>
        <v/>
      </c>
      <c r="JP262" s="55">
        <f>SUMIFS(tblBudget[Drill_m],tblBudget[Month],"&lt;"&amp;$E262)+$JO262</f>
        <v/>
      </c>
      <c r="JQ262" s="55">
        <f>SUMIFS(tblBudget[Diesel_L],tblBudget[Month],$E262)</f>
        <v/>
      </c>
      <c r="JR262" s="55">
        <f>$JQ262*$C262/$D262</f>
        <v/>
      </c>
      <c r="JS262" s="55">
        <f>SUMIFS(tblBudget[Diesel_L],tblBudget[Month],"&lt;"&amp;$E262)+$JR262</f>
        <v/>
      </c>
      <c r="JT262" s="55">
        <f>SUMIFS(tblBudget[Milled_t],tblBudget[Month],$E262)</f>
        <v/>
      </c>
      <c r="JU262" s="55">
        <f>$JT262*$C262/$D262</f>
        <v/>
      </c>
      <c r="JV262" s="55">
        <f>SUMIFS(tblBudget[Milled_t],tblBudget[Month],"&lt;"&amp;$E262)+$JU262</f>
        <v/>
      </c>
      <c r="JW262" s="55">
        <f>SUMIFS(tblBudget[Feed_oz],tblBudget[Month],$E262)</f>
        <v/>
      </c>
      <c r="JX262" s="55">
        <f>$JW262*$C262/$D262</f>
        <v/>
      </c>
      <c r="JY262" s="55">
        <f>SUMIFS(tblBudget[Feed_oz],tblBudget[Month],"&lt;"&amp;$E262)+$JX262</f>
        <v/>
      </c>
      <c r="JZ262" s="55">
        <f>SUMIFS(tblBudget[Recovered_oz],tblBudget[Month],$E262)</f>
        <v/>
      </c>
      <c r="KA262" s="55">
        <f>$JZ262*$C262/$D262</f>
        <v/>
      </c>
      <c r="KB262" s="55">
        <f>SUMIFS(tblBudget[Recovered_oz],tblBudget[Month],"&lt;"&amp;$E262)+$KA262</f>
        <v/>
      </c>
      <c r="KC262" s="55">
        <f>SUMIFS(tblBudget[Milled_t],tblBudget[Month],$E262)</f>
        <v/>
      </c>
      <c r="KD262" s="55">
        <f>$KC262*$C262/$D262</f>
        <v/>
      </c>
      <c r="KE262" s="55">
        <f>SUMIFS(tblBudget[Milled_t],tblBudget[Month],"&lt;"&amp;$E262)+$KD262</f>
        <v/>
      </c>
      <c r="KF262" s="55">
        <f>SUMIFS(tblBudget[Feed_oz],tblBudget[Month],$E262)</f>
        <v/>
      </c>
      <c r="KG262" s="55">
        <f>$KF262*$C262/$D262</f>
        <v/>
      </c>
      <c r="KH262" s="55">
        <f>SUMIFS(tblBudget[Feed_oz],tblBudget[Month],"&lt;"&amp;$E262)+$KG262</f>
        <v/>
      </c>
      <c r="KI262" s="56">
        <f>IFERROR(IF(($KC262)&gt;0,($JW262*cfg_TroyOz)/($KC262),""),"")</f>
        <v/>
      </c>
      <c r="KJ262" s="56">
        <f>IFERROR(IF(($KD262)&gt;0,($JX262*cfg_TroyOz)/($KD262),""),"")</f>
        <v/>
      </c>
      <c r="KK262" s="56">
        <f>IFERROR(IF(($KE262)&gt;0,($JY262*cfg_TroyOz)/($KE262),""),"")</f>
        <v/>
      </c>
      <c r="KL262" s="67">
        <f>IFERROR(IF(($KF262)&gt;0,($JZ262)/($KF262),""),"")</f>
        <v/>
      </c>
      <c r="KM262" s="67">
        <f>IFERROR(IF(($KG262)&gt;0,($KA262)/($KG262),""),"")</f>
        <v/>
      </c>
      <c r="KN262" s="67">
        <f>IFERROR(IF(($KH262)&gt;0,($KB262)/($KH262),""),"")</f>
        <v/>
      </c>
      <c r="KO262" s="55">
        <f>SUMIFS(tblBudget[Gold_Poured_oz],tblBudget[Month],$E262)</f>
        <v/>
      </c>
      <c r="KP262" s="55">
        <f>$KO262*$C262/$D262</f>
        <v/>
      </c>
      <c r="KQ262" s="55">
        <f>SUMIFS(tblBudget[Gold_Poured_oz],tblBudget[Month],"&lt;"&amp;$E262)+$KP262</f>
        <v/>
      </c>
      <c r="KR262" s="57">
        <f>SUMIFS(tblBudget[Hours_Worked],tblBudget[Month],$E262)</f>
        <v/>
      </c>
      <c r="KS262" s="57">
        <f>$KR262*$C262/$D262</f>
        <v/>
      </c>
      <c r="KT262" s="57">
        <f>SUMIFS(tblBudget[Hours_Worked],tblBudget[Month],"&lt;"&amp;$E262)+$KS262</f>
        <v/>
      </c>
    </row>
    <row r="263">
      <c r="A263" s="54" t="n">
        <v>46284</v>
      </c>
      <c r="B263">
        <f>MONTH($A263)</f>
        <v/>
      </c>
      <c r="C263">
        <f>DAY($A263)</f>
        <v/>
      </c>
      <c r="D263">
        <f>DAY(EOMONTH($A263,0))</f>
        <v/>
      </c>
      <c r="E263" s="54">
        <f>DATE(YEAR($A263),MONTH($A263),1)</f>
        <v/>
      </c>
      <c r="F263" s="55">
        <f>SUMIFS(tblMovement[Tonnes_t],tblMovement[Date],$A263,tblMovement[Is_Ore],1,tblMovement[Source_Type],"Pit")</f>
        <v/>
      </c>
      <c r="G263" s="55">
        <f>IF($B263=$B262,$G262,0)+$F263</f>
        <v/>
      </c>
      <c r="H263" s="55">
        <f>$H262+$F263</f>
        <v/>
      </c>
      <c r="I263" s="55">
        <f>SUMIFS(tblMovement[Ore_oz],tblMovement[Date],$A263,tblMovement[Source_Type],"Pit")</f>
        <v/>
      </c>
      <c r="J263" s="55">
        <f>IF($B263=$B262,$J262,0)+$I263</f>
        <v/>
      </c>
      <c r="K263" s="55">
        <f>$K262+$I263</f>
        <v/>
      </c>
      <c r="L263" s="55">
        <f>SUMIFS(tblMovement[Tonnes_t],tblMovement[Date],$A263,tblMovement[Is_Ore],1,tblMovement[Source_Type],"Pit",tblMovement[Grade_gpt],"&lt;&gt;")</f>
        <v/>
      </c>
      <c r="M263" s="55">
        <f>IF($B263=$B262,$M262,0)+$L263</f>
        <v/>
      </c>
      <c r="N263" s="55">
        <f>$N262+$L263</f>
        <v/>
      </c>
      <c r="O263" s="56">
        <f>IFERROR(IF(($L263)&gt;0,($I263*cfg_TroyOz)/($L263),""),"")</f>
        <v/>
      </c>
      <c r="P263" s="56">
        <f>IFERROR(IF(($M263)&gt;0,($J263*cfg_TroyOz)/($M263),""),"")</f>
        <v/>
      </c>
      <c r="Q263" s="56">
        <f>IFERROR(IF(($N263)&gt;0,($K263*cfg_TroyOz)/($N263),""),"")</f>
        <v/>
      </c>
      <c r="R263" s="55">
        <f>$F263-$L263</f>
        <v/>
      </c>
      <c r="S263" s="55">
        <f>IF($B263=$B262,$S262,0)+$R263</f>
        <v/>
      </c>
      <c r="T263" s="55">
        <f>$T262+$R263</f>
        <v/>
      </c>
      <c r="U263" s="55">
        <f>SUMIFS(tblMovement[Tonnes_t],tblMovement[Date],$A263,tblMovement[Is_Ore],0,tblMovement[Source_Type],"Pit")</f>
        <v/>
      </c>
      <c r="V263" s="55">
        <f>IF($B263=$B262,$V262,0)+$U263</f>
        <v/>
      </c>
      <c r="W263" s="55">
        <f>$W262+$U263</f>
        <v/>
      </c>
      <c r="X263" s="55">
        <f>$F263+$U263</f>
        <v/>
      </c>
      <c r="Y263" s="55">
        <f>IF($B263=$B262,$Y262,0)+$X263</f>
        <v/>
      </c>
      <c r="Z263" s="55">
        <f>$Z262+$X263</f>
        <v/>
      </c>
      <c r="AA263" s="56">
        <f>IFERROR(IF(($F263)&gt;0,($U263)/($F263),""),"")</f>
        <v/>
      </c>
      <c r="AB263" s="56">
        <f>IFERROR(IF(($G263)&gt;0,($V263)/($G263),""),"")</f>
        <v/>
      </c>
      <c r="AC263" s="56">
        <f>IFERROR(IF(($H263)&gt;0,($W263)/($H263),""),"")</f>
        <v/>
      </c>
      <c r="AD263" s="55">
        <f>SUMIFS(tblMovement[Tonnes_t],tblMovement[Date],$A263,tblMovement[Source_Type],"Stockpile")</f>
        <v/>
      </c>
      <c r="AE263" s="55">
        <f>IF($B263=$B262,$AE262,0)+$AD263</f>
        <v/>
      </c>
      <c r="AF263" s="55">
        <f>$AF262+$AD263</f>
        <v/>
      </c>
      <c r="AG263" s="55">
        <f>SUMIFS(tblMovement[Tonnes_t],tblMovement[Date],$A263)</f>
        <v/>
      </c>
      <c r="AH263" s="55">
        <f>IF($B263=$B262,$AH262,0)+$AG263</f>
        <v/>
      </c>
      <c r="AI263" s="55">
        <f>$AI262+$AG263</f>
        <v/>
      </c>
      <c r="AJ263" s="55">
        <f>$AG263-$X263-$AD263</f>
        <v/>
      </c>
      <c r="AK263" s="55">
        <f>IF($B263=$B262,$AK262,0)+$AJ263</f>
        <v/>
      </c>
      <c r="AL263" s="55">
        <f>$AL262+$AJ263</f>
        <v/>
      </c>
      <c r="AM263" s="55">
        <f>SUMIFS(tblMiningDaily[Drill_m],tblMiningDaily[Date],$A263)</f>
        <v/>
      </c>
      <c r="AN263" s="55">
        <f>IF($B263=$B262,$AN262,0)+$AM263</f>
        <v/>
      </c>
      <c r="AO263" s="55">
        <f>$AO262+$AM263</f>
        <v/>
      </c>
      <c r="AP263" s="55">
        <f>SUMIFS(tblMiningDaily[GC_Drill_m],tblMiningDaily[Date],$A263)</f>
        <v/>
      </c>
      <c r="AQ263" s="55">
        <f>IF($B263=$B262,$AQ262,0)+$AP263</f>
        <v/>
      </c>
      <c r="AR263" s="55">
        <f>$AR262+$AP263</f>
        <v/>
      </c>
      <c r="AS263" s="55">
        <f>SUMIFS(tblMiningDaily[Blast_t],tblMiningDaily[Date],$A263)</f>
        <v/>
      </c>
      <c r="AT263" s="55">
        <f>IF($B263=$B262,$AT262,0)+$AS263</f>
        <v/>
      </c>
      <c r="AU263" s="55">
        <f>$AU262+$AS263</f>
        <v/>
      </c>
      <c r="AV263" s="55">
        <f>SUMIFS(tblMiningDaily[Explosives_kg],tblMiningDaily[Date],$A263)</f>
        <v/>
      </c>
      <c r="AW263" s="55">
        <f>IF($B263=$B262,$AW262,0)+$AV263</f>
        <v/>
      </c>
      <c r="AX263" s="55">
        <f>$AX262+$AV263</f>
        <v/>
      </c>
      <c r="AY263" s="56">
        <f>IFERROR(IF(($AS263)&gt;0,($AV263)/($AS263),""),"")</f>
        <v/>
      </c>
      <c r="AZ263" s="56">
        <f>IFERROR(IF(($AT263)&gt;0,($AW263)/($AT263),""),"")</f>
        <v/>
      </c>
      <c r="BA263" s="56">
        <f>IFERROR(IF(($AU263)&gt;0,($AX263)/($AU263),""),"")</f>
        <v/>
      </c>
      <c r="BB263" s="55">
        <f>SUMIFS(tblMiningDaily[Diesel_L],tblMiningDaily[Date],$A263)</f>
        <v/>
      </c>
      <c r="BC263" s="55">
        <f>IF($B263=$B262,$BC262,0)+$BB263</f>
        <v/>
      </c>
      <c r="BD263" s="55">
        <f>$BD262+$BB263</f>
        <v/>
      </c>
      <c r="BE263" s="55">
        <f>SUMIFS(tblMiningDaily[Dewatering_m3],tblMiningDaily[Date],$A263)</f>
        <v/>
      </c>
      <c r="BF263" s="55">
        <f>IF($B263=$B262,$BF262,0)+$BE263</f>
        <v/>
      </c>
      <c r="BG263" s="55">
        <f>$BG262+$BE263</f>
        <v/>
      </c>
      <c r="BH263" s="57">
        <f>SUMIFS(tblFleet[Calendar_h],tblFleet[Date],$A263,tblFleet[Equipment_Class],"Excavator")</f>
        <v/>
      </c>
      <c r="BI263" s="57">
        <f>IF($B263=$B262,$BI262,0)+$BH263</f>
        <v/>
      </c>
      <c r="BJ263" s="57">
        <f>$BJ262+$BH263</f>
        <v/>
      </c>
      <c r="BK263" s="57">
        <f>SUMIFS(tblFleet[Available_h],tblFleet[Date],$A263,tblFleet[Equipment_Class],"Excavator")</f>
        <v/>
      </c>
      <c r="BL263" s="57">
        <f>IF($B263=$B262,$BL262,0)+$BK263</f>
        <v/>
      </c>
      <c r="BM263" s="57">
        <f>$BM262+$BK263</f>
        <v/>
      </c>
      <c r="BN263" s="57">
        <f>SUMIFS(tblFleet[Operating_h],tblFleet[Date],$A263,tblFleet[Equipment_Class],"Excavator")</f>
        <v/>
      </c>
      <c r="BO263" s="57">
        <f>IF($B263=$B262,$BO262,0)+$BN263</f>
        <v/>
      </c>
      <c r="BP263" s="57">
        <f>$BP262+$BN263</f>
        <v/>
      </c>
      <c r="BQ263" s="67">
        <f>IFERROR(IF(($BH263)&gt;0,($BK263)/($BH263),""),"")</f>
        <v/>
      </c>
      <c r="BR263" s="67">
        <f>IFERROR(IF(($BI263)&gt;0,($BL263)/($BI263),""),"")</f>
        <v/>
      </c>
      <c r="BS263" s="67">
        <f>IFERROR(IF(($BJ263)&gt;0,($BM263)/($BJ263),""),"")</f>
        <v/>
      </c>
      <c r="BT263" s="67">
        <f>IFERROR(IF(($BK263)&gt;0,($BN263)/($BK263),""),"")</f>
        <v/>
      </c>
      <c r="BU263" s="67">
        <f>IFERROR(IF(($BL263)&gt;0,($BO263)/($BL263),""),"")</f>
        <v/>
      </c>
      <c r="BV263" s="67">
        <f>IFERROR(IF(($BM263)&gt;0,($BP263)/($BM263),""),"")</f>
        <v/>
      </c>
      <c r="BW263" s="57">
        <f>SUMIFS(tblFleet[Calendar_h],tblFleet[Date],$A263,tblFleet[Equipment_Class],"Haul Truck")</f>
        <v/>
      </c>
      <c r="BX263" s="57">
        <f>IF($B263=$B262,$BX262,0)+$BW263</f>
        <v/>
      </c>
      <c r="BY263" s="57">
        <f>$BY262+$BW263</f>
        <v/>
      </c>
      <c r="BZ263" s="57">
        <f>SUMIFS(tblFleet[Available_h],tblFleet[Date],$A263,tblFleet[Equipment_Class],"Haul Truck")</f>
        <v/>
      </c>
      <c r="CA263" s="57">
        <f>IF($B263=$B262,$CA262,0)+$BZ263</f>
        <v/>
      </c>
      <c r="CB263" s="57">
        <f>$CB262+$BZ263</f>
        <v/>
      </c>
      <c r="CC263" s="57">
        <f>SUMIFS(tblFleet[Operating_h],tblFleet[Date],$A263,tblFleet[Equipment_Class],"Haul Truck")</f>
        <v/>
      </c>
      <c r="CD263" s="57">
        <f>IF($B263=$B262,$CD262,0)+$CC263</f>
        <v/>
      </c>
      <c r="CE263" s="57">
        <f>$CE262+$CC263</f>
        <v/>
      </c>
      <c r="CF263" s="67">
        <f>IFERROR(IF(($BW263)&gt;0,($BZ263)/($BW263),""),"")</f>
        <v/>
      </c>
      <c r="CG263" s="67">
        <f>IFERROR(IF(($BX263)&gt;0,($CA263)/($BX263),""),"")</f>
        <v/>
      </c>
      <c r="CH263" s="67">
        <f>IFERROR(IF(($BY263)&gt;0,($CB263)/($BY263),""),"")</f>
        <v/>
      </c>
      <c r="CI263" s="67">
        <f>IFERROR(IF(($BZ263)&gt;0,($CC263)/($BZ263),""),"")</f>
        <v/>
      </c>
      <c r="CJ263" s="67">
        <f>IFERROR(IF(($CA263)&gt;0,($CD263)/($CA263),""),"")</f>
        <v/>
      </c>
      <c r="CK263" s="67">
        <f>IFERROR(IF(($CB263)&gt;0,($CE263)/($CB263),""),"")</f>
        <v/>
      </c>
      <c r="CL263" s="55">
        <f>IFERROR(IF(($BN263)&gt;0,($X263+$AD263)/($BN263),""),"")</f>
        <v/>
      </c>
      <c r="CM263" s="55">
        <f>IFERROR(IF(($BO263)&gt;0,($Y263+$AE263)/($BO263),""),"")</f>
        <v/>
      </c>
      <c r="CN263" s="55">
        <f>IFERROR(IF(($BP263)&gt;0,($Z263+$AF263)/($BP263),""),"")</f>
        <v/>
      </c>
      <c r="CO263" s="55">
        <f>IFERROR(IF(($CC263)&gt;0,($X263+$AD263)/($CC263),""),"")</f>
        <v/>
      </c>
      <c r="CP263" s="55">
        <f>IFERROR(IF(($CD263)&gt;0,($Y263+$AE263)/($CD263),""),"")</f>
        <v/>
      </c>
      <c r="CQ263" s="55">
        <f>IFERROR(IF(($CE263)&gt;0,($Z263+$AF263)/($CE263),""),"")</f>
        <v/>
      </c>
      <c r="CR263" s="55">
        <f>SUMIFS(tblPlant[Crushed_t],tblPlant[Date],$A263)</f>
        <v/>
      </c>
      <c r="CS263" s="55">
        <f>IF($B263=$B262,$CS262,0)+$CR263</f>
        <v/>
      </c>
      <c r="CT263" s="55">
        <f>$CT262+$CR263</f>
        <v/>
      </c>
      <c r="CU263" s="55">
        <f>SUMIFS(tblPlant[Milled_t],tblPlant[Date],$A263)</f>
        <v/>
      </c>
      <c r="CV263" s="55">
        <f>IF($B263=$B262,$CV262,0)+$CU263</f>
        <v/>
      </c>
      <c r="CW263" s="55">
        <f>$CW262+$CU263</f>
        <v/>
      </c>
      <c r="CX263" s="55">
        <f>SUMIFS(tblPlant[Feed_oz],tblPlant[Date],$A263)</f>
        <v/>
      </c>
      <c r="CY263" s="55">
        <f>IF($B263=$B262,$CY262,0)+$CX263</f>
        <v/>
      </c>
      <c r="CZ263" s="55">
        <f>$CZ262+$CX263</f>
        <v/>
      </c>
      <c r="DA263" s="55">
        <f>SUMIFS(tblPlant[Tails_oz],tblPlant[Date],$A263)</f>
        <v/>
      </c>
      <c r="DB263" s="55">
        <f>IF($B263=$B262,$DB262,0)+$DA263</f>
        <v/>
      </c>
      <c r="DC263" s="55">
        <f>$DC262+$DA263</f>
        <v/>
      </c>
      <c r="DD263" s="55">
        <f>SUMIFS(tblPlant[Recovered_oz],tblPlant[Date],$A263)</f>
        <v/>
      </c>
      <c r="DE263" s="55">
        <f>IF($B263=$B262,$DE262,0)+$DD263</f>
        <v/>
      </c>
      <c r="DF263" s="55">
        <f>$DF262+$DD263</f>
        <v/>
      </c>
      <c r="DG263" s="55">
        <f>SUMIFS(tblPlant[Milled_t],tblPlant[Date],$A263,tblPlant[Head_Grade_gpt],"&lt;&gt;")</f>
        <v/>
      </c>
      <c r="DH263" s="55">
        <f>IF($B263=$B262,$DH262,0)+$DG263</f>
        <v/>
      </c>
      <c r="DI263" s="55">
        <f>$DI262+$DG263</f>
        <v/>
      </c>
      <c r="DJ263" s="55">
        <f>SUMIFS(tblPlant[Milled_t],tblPlant[Date],$A263,tblPlant[Tails_Grade_gpt],"&lt;&gt;")</f>
        <v/>
      </c>
      <c r="DK263" s="55">
        <f>IF($B263=$B262,$DK262,0)+$DJ263</f>
        <v/>
      </c>
      <c r="DL263" s="55">
        <f>$DL262+$DJ263</f>
        <v/>
      </c>
      <c r="DM263" s="55">
        <f>SUMIFS(tblPlant[Feed_oz],tblPlant[Date],$A263,tblPlant[Tails_Grade_gpt],"&lt;&gt;")</f>
        <v/>
      </c>
      <c r="DN263" s="55">
        <f>IF($B263=$B262,$DN262,0)+$DM263</f>
        <v/>
      </c>
      <c r="DO263" s="55">
        <f>$DO262+$DM263</f>
        <v/>
      </c>
      <c r="DP263" s="55">
        <f>SUMIFS(tblPlant[Milled_t],tblPlant[Date],$A263,tblPlant[Mill_Run_h],"&lt;&gt;")</f>
        <v/>
      </c>
      <c r="DQ263" s="55">
        <f>IF($B263=$B262,$DQ262,0)+$DP263</f>
        <v/>
      </c>
      <c r="DR263" s="55">
        <f>$DR262+$DP263</f>
        <v/>
      </c>
      <c r="DS263" s="56">
        <f>IFERROR(IF(($DG263)&gt;0,($CX263*cfg_TroyOz)/($DG263),""),"")</f>
        <v/>
      </c>
      <c r="DT263" s="56">
        <f>IFERROR(IF(($DH263)&gt;0,($CY263*cfg_TroyOz)/($DH263),""),"")</f>
        <v/>
      </c>
      <c r="DU263" s="56">
        <f>IFERROR(IF(($DI263)&gt;0,($CZ263*cfg_TroyOz)/($DI263),""),"")</f>
        <v/>
      </c>
      <c r="DV263" s="56">
        <f>IFERROR(IF(($DJ263)&gt;0,($DA263*cfg_TroyOz)/($DJ263),""),"")</f>
        <v/>
      </c>
      <c r="DW263" s="56">
        <f>IFERROR(IF(($DK263)&gt;0,($DB263*cfg_TroyOz)/($DK263),""),"")</f>
        <v/>
      </c>
      <c r="DX263" s="56">
        <f>IFERROR(IF(($DL263)&gt;0,($DC263*cfg_TroyOz)/($DL263),""),"")</f>
        <v/>
      </c>
      <c r="DY263" s="67">
        <f>IFERROR(IF(($DM263)&gt;0,($DD263)/($DM263),""),"")</f>
        <v/>
      </c>
      <c r="DZ263" s="67">
        <f>IFERROR(IF(($DN263)&gt;0,($DE263)/($DN263),""),"")</f>
        <v/>
      </c>
      <c r="EA263" s="67">
        <f>IFERROR(IF(($DO263)&gt;0,($DF263)/($DO263),""),"")</f>
        <v/>
      </c>
      <c r="EB263" s="55">
        <f>SUMIFS(tblPlant[Gravity_Gold_oz],tblPlant[Date],$A263)</f>
        <v/>
      </c>
      <c r="EC263" s="55">
        <f>IF($B263=$B262,$EC262,0)+$EB263</f>
        <v/>
      </c>
      <c r="ED263" s="55">
        <f>$ED262+$EB263</f>
        <v/>
      </c>
      <c r="EE263" s="67">
        <f>IFERROR(IF(($DD263)&gt;0,($EB263)/($DD263),""),"")</f>
        <v/>
      </c>
      <c r="EF263" s="67">
        <f>IFERROR(IF(($DE263)&gt;0,($EC263)/($DE263),""),"")</f>
        <v/>
      </c>
      <c r="EG263" s="67">
        <f>IFERROR(IF(($DF263)&gt;0,($ED263)/($DF263),""),"")</f>
        <v/>
      </c>
      <c r="EH263" s="55">
        <f>SUMIFS(tblPlant[Gold_Poured_oz],tblPlant[Date],$A263)</f>
        <v/>
      </c>
      <c r="EI263" s="55">
        <f>IF($B263=$B262,$EI262,0)+$EH263</f>
        <v/>
      </c>
      <c r="EJ263" s="55">
        <f>$EJ262+$EH263</f>
        <v/>
      </c>
      <c r="EK263" s="57">
        <f>SUMIFS(tblPlant[Mill_Run_h],tblPlant[Date],$A263)</f>
        <v/>
      </c>
      <c r="EL263" s="57">
        <f>IF($B263=$B262,$EL262,0)+$EK263</f>
        <v/>
      </c>
      <c r="EM263" s="57">
        <f>$EM262+$EK263</f>
        <v/>
      </c>
      <c r="EN263" s="57">
        <f>SUMIFS(tblPlant[Mill_Planned_Maint_h],tblPlant[Date],$A263)</f>
        <v/>
      </c>
      <c r="EO263" s="57">
        <f>IF($B263=$B262,$EO262,0)+$EN263</f>
        <v/>
      </c>
      <c r="EP263" s="57">
        <f>$EP262+$EN263</f>
        <v/>
      </c>
      <c r="EQ263" s="57">
        <f>SUMIFS(tblPlant[Mill_Unplanned_Down_h],tblPlant[Date],$A263)</f>
        <v/>
      </c>
      <c r="ER263" s="57">
        <f>IF($B263=$B262,$ER262,0)+$EQ263</f>
        <v/>
      </c>
      <c r="ES263" s="57">
        <f>$ES262+$EQ263</f>
        <v/>
      </c>
      <c r="ET263" s="57">
        <f>IF(COUNTIFS(tblPlant[Date],$A263,tblPlant[Mill_Run_h],"&lt;&gt;")+COUNTIFS(tblPlant[Date],$A263,tblPlant[Mill_Planned_Maint_h],"&lt;&gt;")+COUNTIFS(tblPlant[Date],$A263,tblPlant[Mill_Unplanned_Down_h],"&lt;&gt;")&gt;0,cfg_HoursPerDay,0)</f>
        <v/>
      </c>
      <c r="EU263" s="57">
        <f>IF($B263=$B262,$EU262,0)+$ET263</f>
        <v/>
      </c>
      <c r="EV263" s="57">
        <f>$EV262+$ET263</f>
        <v/>
      </c>
      <c r="EW263" s="57">
        <f>SUMIFS(tblPlant[Crusher_Run_h],tblPlant[Date],$A263)</f>
        <v/>
      </c>
      <c r="EX263" s="57">
        <f>IF($B263=$B262,$EX262,0)+$EW263</f>
        <v/>
      </c>
      <c r="EY263" s="57">
        <f>$EY262+$EW263</f>
        <v/>
      </c>
      <c r="EZ263" s="55">
        <f>IFERROR(IF(($EK263)&gt;0,($DP263)/($EK263),""),"")</f>
        <v/>
      </c>
      <c r="FA263" s="55">
        <f>IFERROR(IF(($EL263)&gt;0,($DQ263)/($EL263),""),"")</f>
        <v/>
      </c>
      <c r="FB263" s="55">
        <f>IFERROR(IF(($EM263)&gt;0,($DR263)/($EM263),""),"")</f>
        <v/>
      </c>
      <c r="FC263" s="67">
        <f>IFERROR(IF(($ET263)&gt;0,($ET263-$EN263-$EQ263)/($ET263),""),"")</f>
        <v/>
      </c>
      <c r="FD263" s="67">
        <f>IFERROR(IF(($EU263)&gt;0,($EU263-$EO263-$ER263)/($EU263),""),"")</f>
        <v/>
      </c>
      <c r="FE263" s="67">
        <f>IFERROR(IF(($EV263)&gt;0,($EV263-$EP263-$ES263)/($EV263),""),"")</f>
        <v/>
      </c>
      <c r="FF263" s="67">
        <f>IFERROR(IF(($ET263-$EN263-$EQ263)&gt;0,($EK263)/($ET263-$EN263-$EQ263),""),"")</f>
        <v/>
      </c>
      <c r="FG263" s="67">
        <f>IFERROR(IF(($EU263-$EO263-$ER263)&gt;0,($EL263)/($EU263-$EO263-$ER263),""),"")</f>
        <v/>
      </c>
      <c r="FH263" s="67">
        <f>IFERROR(IF(($EV263-$EP263-$ES263)&gt;0,($EM263)/($EV263-$EP263-$ES263),""),"")</f>
        <v/>
      </c>
      <c r="FI263" s="55">
        <f>SUMIFS(tblPlant[Cyanide_kg],tblPlant[Date],$A263)</f>
        <v/>
      </c>
      <c r="FJ263" s="55">
        <f>IF($B263=$B262,$FJ262,0)+$FI263</f>
        <v/>
      </c>
      <c r="FK263" s="55">
        <f>$FK262+$FI263</f>
        <v/>
      </c>
      <c r="FL263" s="55">
        <f>SUMIFS(tblPlant[Lime_kg],tblPlant[Date],$A263)</f>
        <v/>
      </c>
      <c r="FM263" s="55">
        <f>IF($B263=$B262,$FM262,0)+$FL263</f>
        <v/>
      </c>
      <c r="FN263" s="55">
        <f>$FN262+$FL263</f>
        <v/>
      </c>
      <c r="FO263" s="55">
        <f>SUMIFS(tblPlant[Grinding_Media_kg],tblPlant[Date],$A263)</f>
        <v/>
      </c>
      <c r="FP263" s="55">
        <f>IF($B263=$B262,$FP262,0)+$FO263</f>
        <v/>
      </c>
      <c r="FQ263" s="55">
        <f>$FQ262+$FO263</f>
        <v/>
      </c>
      <c r="FR263" s="55">
        <f>SUMIFS(tblPlant[Power_kWh],tblPlant[Date],$A263)</f>
        <v/>
      </c>
      <c r="FS263" s="55">
        <f>IF($B263=$B262,$FS262,0)+$FR263</f>
        <v/>
      </c>
      <c r="FT263" s="55">
        <f>$FT262+$FR263</f>
        <v/>
      </c>
      <c r="FU263" s="55">
        <f>SUMIFS(tblPlant[Raw_Water_m3],tblPlant[Date],$A263)</f>
        <v/>
      </c>
      <c r="FV263" s="55">
        <f>IF($B263=$B262,$FV262,0)+$FU263</f>
        <v/>
      </c>
      <c r="FW263" s="55">
        <f>$FW262+$FU263</f>
        <v/>
      </c>
      <c r="FX263" s="56">
        <f>IFERROR(IF(($CU263)&gt;0,($FI263)/($CU263),""),"")</f>
        <v/>
      </c>
      <c r="FY263" s="56">
        <f>IFERROR(IF(($CV263)&gt;0,($FJ263)/($CV263),""),"")</f>
        <v/>
      </c>
      <c r="FZ263" s="56">
        <f>IFERROR(IF(($CW263)&gt;0,($FK263)/($CW263),""),"")</f>
        <v/>
      </c>
      <c r="GA263" s="56">
        <f>IFERROR(IF(($CU263)&gt;0,($FL263)/($CU263),""),"")</f>
        <v/>
      </c>
      <c r="GB263" s="56">
        <f>IFERROR(IF(($CV263)&gt;0,($FM263)/($CV263),""),"")</f>
        <v/>
      </c>
      <c r="GC263" s="56">
        <f>IFERROR(IF(($CW263)&gt;0,($FN263)/($CW263),""),"")</f>
        <v/>
      </c>
      <c r="GD263" s="56">
        <f>IFERROR(IF(($CU263)&gt;0,($FO263)/($CU263),""),"")</f>
        <v/>
      </c>
      <c r="GE263" s="56">
        <f>IFERROR(IF(($CV263)&gt;0,($FP263)/($CV263),""),"")</f>
        <v/>
      </c>
      <c r="GF263" s="56">
        <f>IFERROR(IF(($CW263)&gt;0,($FQ263)/($CW263),""),"")</f>
        <v/>
      </c>
      <c r="GG263" s="79">
        <f>IFERROR(IF(($CU263)&gt;0,($FR263)/($CU263),""),"")</f>
        <v/>
      </c>
      <c r="GH263" s="79">
        <f>IFERROR(IF(($CV263)&gt;0,($FS263)/($CV263),""),"")</f>
        <v/>
      </c>
      <c r="GI263" s="79">
        <f>IFERROR(IF(($CW263)&gt;0,($FT263)/($CW263),""),"")</f>
        <v/>
      </c>
      <c r="GJ263" s="56">
        <f>IFERROR(IF(($CU263)&gt;0,($FU263)/($CU263),""),"")</f>
        <v/>
      </c>
      <c r="GK263" s="56">
        <f>IFERROR(IF(($CV263)&gt;0,($FV263)/($CV263),""),"")</f>
        <v/>
      </c>
      <c r="GL263" s="56">
        <f>IFERROR(IF(($CW263)&gt;0,($FW263)/($CW263),""),"")</f>
        <v/>
      </c>
      <c r="GM263" s="55">
        <f>IF(SUMIFS(tblPlant[GIC_oz],tblPlant[Date],$A263)&gt;0,SUMIFS(tblPlant[GIC_oz],tblPlant[Date],$A263),"")</f>
        <v/>
      </c>
      <c r="GN263" s="55">
        <f>SUMIFS(tblGold[Gold_oz],tblGold[Date],$A263,tblGold[Type],"Shipment")</f>
        <v/>
      </c>
      <c r="GO263" s="55">
        <f>IF($B263=$B262,$GO262,0)+$GN263</f>
        <v/>
      </c>
      <c r="GP263" s="55">
        <f>$GP262+$GN263</f>
        <v/>
      </c>
      <c r="GQ263" s="55">
        <f>SUMIFS(tblGold[Gold_oz],tblGold[Date],$A263,tblGold[Type],"Sale")</f>
        <v/>
      </c>
      <c r="GR263" s="55">
        <f>IF($B263=$B262,$GR262,0)+$GQ263</f>
        <v/>
      </c>
      <c r="GS263" s="55">
        <f>$GS262+$GQ263</f>
        <v/>
      </c>
      <c r="GT263" s="55">
        <f>SUMIFS(tblGold[Dore_kg],tblGold[Date],$A263,tblGold[Type],"Shipment")</f>
        <v/>
      </c>
      <c r="GU263" s="55">
        <f>IF($B263=$B262,$GU262,0)+$GT263</f>
        <v/>
      </c>
      <c r="GV263" s="55">
        <f>$GV262+$GT263</f>
        <v/>
      </c>
      <c r="GW263" s="57">
        <f>SUMIFS(tblSafety[Hours_Total],tblSafety[Date],$A263)</f>
        <v/>
      </c>
      <c r="GX263" s="57">
        <f>IF($B263=$B262,$GX262,0)+$GW263</f>
        <v/>
      </c>
      <c r="GY263" s="57">
        <f>$GY262+$GW263</f>
        <v/>
      </c>
      <c r="GZ263" s="62">
        <f>SUMIFS(tblSafety[Fatality],tblSafety[Date],$A263)</f>
        <v/>
      </c>
      <c r="HA263" s="62">
        <f>IF($B263=$B262,$HA262,0)+$GZ263</f>
        <v/>
      </c>
      <c r="HB263" s="62">
        <f>$HB262+$GZ263</f>
        <v/>
      </c>
      <c r="HC263" s="62">
        <f>SUMIFS(tblSafety[LTI],tblSafety[Date],$A263)</f>
        <v/>
      </c>
      <c r="HD263" s="62">
        <f>IF($B263=$B262,$HD262,0)+$HC263</f>
        <v/>
      </c>
      <c r="HE263" s="62">
        <f>$HE262+$HC263</f>
        <v/>
      </c>
      <c r="HF263" s="62">
        <f>SUMIFS(tblSafety[RWI],tblSafety[Date],$A263)</f>
        <v/>
      </c>
      <c r="HG263" s="62">
        <f>IF($B263=$B262,$HG262,0)+$HF263</f>
        <v/>
      </c>
      <c r="HH263" s="62">
        <f>$HH262+$HF263</f>
        <v/>
      </c>
      <c r="HI263" s="62">
        <f>SUMIFS(tblSafety[MTI],tblSafety[Date],$A263)</f>
        <v/>
      </c>
      <c r="HJ263" s="62">
        <f>IF($B263=$B262,$HJ262,0)+$HI263</f>
        <v/>
      </c>
      <c r="HK263" s="62">
        <f>$HK262+$HI263</f>
        <v/>
      </c>
      <c r="HL263" s="62">
        <f>SUMIFS(tblSafety[FAI],tblSafety[Date],$A263)</f>
        <v/>
      </c>
      <c r="HM263" s="62">
        <f>IF($B263=$B262,$HM262,0)+$HL263</f>
        <v/>
      </c>
      <c r="HN263" s="62">
        <f>$HN262+$HL263</f>
        <v/>
      </c>
      <c r="HO263" s="62">
        <f>SUMIFS(tblSafety[Recordables],tblSafety[Date],$A263)</f>
        <v/>
      </c>
      <c r="HP263" s="62">
        <f>IF($B263=$B262,$HP262,0)+$HO263</f>
        <v/>
      </c>
      <c r="HQ263" s="62">
        <f>$HQ262+$HO263</f>
        <v/>
      </c>
      <c r="HR263" s="62">
        <f>SUMIFS(tblSafety[Near_Miss],tblSafety[Date],$A263)</f>
        <v/>
      </c>
      <c r="HS263" s="62">
        <f>IF($B263=$B262,$HS262,0)+$HR263</f>
        <v/>
      </c>
      <c r="HT263" s="62">
        <f>$HT262+$HR263</f>
        <v/>
      </c>
      <c r="HU263" s="62">
        <f>SUMIFS(tblSafety[Hazard_Reports],tblSafety[Date],$A263)</f>
        <v/>
      </c>
      <c r="HV263" s="62">
        <f>IF($B263=$B262,$HV262,0)+$HU263</f>
        <v/>
      </c>
      <c r="HW263" s="62">
        <f>$HW262+$HU263</f>
        <v/>
      </c>
      <c r="HX263" s="62">
        <f>SUMIFS(tblSafety[HPI],tblSafety[Date],$A263)</f>
        <v/>
      </c>
      <c r="HY263" s="62">
        <f>IF($B263=$B262,$HY262,0)+$HX263</f>
        <v/>
      </c>
      <c r="HZ263" s="62">
        <f>$HZ262+$HX263</f>
        <v/>
      </c>
      <c r="IA263" s="62">
        <f>SUMIFS(tblSafety[Env_Incidents],tblSafety[Date],$A263)</f>
        <v/>
      </c>
      <c r="IB263" s="62">
        <f>IF($B263=$B262,$IB262,0)+$IA263</f>
        <v/>
      </c>
      <c r="IC263" s="62">
        <f>$IC262+$IA263</f>
        <v/>
      </c>
      <c r="ID263" s="62">
        <f>SUMIFS(tblSafety[Community_Incidents],tblSafety[Date],$A263)</f>
        <v/>
      </c>
      <c r="IE263" s="62">
        <f>IF($B263=$B262,$IE262,0)+$ID263</f>
        <v/>
      </c>
      <c r="IF263" s="62">
        <f>$IF262+$ID263</f>
        <v/>
      </c>
      <c r="IG263" s="62">
        <f>SUMIFS(tblSafety[Vehicle_Incidents],tblSafety[Date],$A263)</f>
        <v/>
      </c>
      <c r="IH263" s="62">
        <f>IF($B263=$B262,$IH262,0)+$IG263</f>
        <v/>
      </c>
      <c r="II263" s="62">
        <f>$II262+$IG263</f>
        <v/>
      </c>
      <c r="IJ263" s="62">
        <f>SUMIFS(tblSafety[Toolbox_Talks],tblSafety[Date],$A263)</f>
        <v/>
      </c>
      <c r="IK263" s="62">
        <f>IF($B263=$B262,$IK262,0)+$IJ263</f>
        <v/>
      </c>
      <c r="IL263" s="62">
        <f>$IL262+$IJ263</f>
        <v/>
      </c>
      <c r="IM263" s="62">
        <f>SUMIFS(tblSafety[Inspections],tblSafety[Date],$A263)</f>
        <v/>
      </c>
      <c r="IN263" s="62">
        <f>IF($B263=$B262,$IN262,0)+$IM263</f>
        <v/>
      </c>
      <c r="IO263" s="62">
        <f>$IO262+$IM263</f>
        <v/>
      </c>
      <c r="IP263" s="56">
        <f>IFERROR((SUMIFS(tblSafety[Recordables],tblSafety[Date],"&gt;="&amp;EDATE($E263,-12),tblSafety[Date],"&lt;="&amp;$A263)+SUMIFS(tblSafetyHistory[Recordables],tblSafetyHistory[Month],"&gt;="&amp;EDATE($E263,-12),tblSafetyHistory[Month],"&lt;"&amp;$E263,tblSafetyHistory[Use],1))/(SUMIFS(tblSafety[Hours_Total],tblSafety[Date],"&gt;="&amp;EDATE($E263,-12),tblSafety[Date],"&lt;="&amp;$A263)+SUMIFS(tblSafetyHistory[Hours_Total],tblSafetyHistory[Month],"&gt;="&amp;EDATE($E263,-12),tblSafetyHistory[Month],"&lt;"&amp;$E263,tblSafetyHistory[Use],1))*cfg_RateBasisHours,"")</f>
        <v/>
      </c>
      <c r="IQ263" s="56">
        <f>IFERROR((SUMIFS(tblSafety[LTI],tblSafety[Date],"&gt;="&amp;EDATE($E263,-12),tblSafety[Date],"&lt;="&amp;$A263)+SUMIFS(tblSafetyHistory[LTI],tblSafetyHistory[Month],"&gt;="&amp;EDATE($E263,-12),tblSafetyHistory[Month],"&lt;"&amp;$E263,tblSafetyHistory[Use],1))/(SUMIFS(tblSafety[Hours_Total],tblSafety[Date],"&gt;="&amp;EDATE($E263,-12),tblSafety[Date],"&lt;="&amp;$A263)+SUMIFS(tblSafetyHistory[Hours_Total],tblSafetyHistory[Month],"&gt;="&amp;EDATE($E263,-12),tblSafetyHistory[Month],"&lt;"&amp;$E263,tblSafetyHistory[Use],1))*cfg_RateBasisHours,"")</f>
        <v/>
      </c>
      <c r="IR263" s="62">
        <f>IF(MAX(N(cfg_PriorLTIDate),_xlfn.MAXIFS(tblSafety[Date],tblSafety[LTI],"&gt;0",tblSafety[Date],"&lt;="&amp;$A263))=0,"",$A263-MAX(N(cfg_PriorLTIDate),_xlfn.MAXIFS(tblSafety[Date],tblSafety[LTI],"&gt;0",tblSafety[Date],"&lt;="&amp;$A263)))</f>
        <v/>
      </c>
      <c r="IS263" s="55">
        <f>SUMIFS(tblBudget[Ore_Mined_t],tblBudget[Month],$E263)</f>
        <v/>
      </c>
      <c r="IT263" s="55">
        <f>$IS263*$C263/$D263</f>
        <v/>
      </c>
      <c r="IU263" s="55">
        <f>SUMIFS(tblBudget[Ore_Mined_t],tblBudget[Month],"&lt;"&amp;$E263)+$IT263</f>
        <v/>
      </c>
      <c r="IV263" s="55">
        <f>SUMIFS(tblBudget[Ore_oz],tblBudget[Month],$E263)</f>
        <v/>
      </c>
      <c r="IW263" s="55">
        <f>$IV263*$C263/$D263</f>
        <v/>
      </c>
      <c r="IX263" s="55">
        <f>SUMIFS(tblBudget[Ore_oz],tblBudget[Month],"&lt;"&amp;$E263)+$IW263</f>
        <v/>
      </c>
      <c r="IY263" s="55">
        <f>SUMIFS(tblBudget[Ore_Mined_t],tblBudget[Month],$E263)</f>
        <v/>
      </c>
      <c r="IZ263" s="55">
        <f>$IY263*$C263/$D263</f>
        <v/>
      </c>
      <c r="JA263" s="55">
        <f>SUMIFS(tblBudget[Ore_Mined_t],tblBudget[Month],"&lt;"&amp;$E263)+$IZ263</f>
        <v/>
      </c>
      <c r="JB263" s="56">
        <f>IFERROR(IF(($IY263)&gt;0,($IV263*cfg_TroyOz)/($IY263),""),"")</f>
        <v/>
      </c>
      <c r="JC263" s="56">
        <f>IFERROR(IF(($IZ263)&gt;0,($IW263*cfg_TroyOz)/($IZ263),""),"")</f>
        <v/>
      </c>
      <c r="JD263" s="56">
        <f>IFERROR(IF(($JA263)&gt;0,($IX263*cfg_TroyOz)/($JA263),""),"")</f>
        <v/>
      </c>
      <c r="JE263" s="55">
        <f>SUMIFS(tblBudget[Waste_t],tblBudget[Month],$E263)</f>
        <v/>
      </c>
      <c r="JF263" s="55">
        <f>$JE263*$C263/$D263</f>
        <v/>
      </c>
      <c r="JG263" s="55">
        <f>SUMIFS(tblBudget[Waste_t],tblBudget[Month],"&lt;"&amp;$E263)+$JF263</f>
        <v/>
      </c>
      <c r="JH263" s="55">
        <f>SUMIFS(tblBudget[TMM_t],tblBudget[Month],$E263)</f>
        <v/>
      </c>
      <c r="JI263" s="55">
        <f>$JH263*$C263/$D263</f>
        <v/>
      </c>
      <c r="JJ263" s="55">
        <f>SUMIFS(tblBudget[TMM_t],tblBudget[Month],"&lt;"&amp;$E263)+$JI263</f>
        <v/>
      </c>
      <c r="JK263" s="56">
        <f>IFERROR(IF(($IS263)&gt;0,($JE263)/($IS263),""),"")</f>
        <v/>
      </c>
      <c r="JL263" s="56">
        <f>IFERROR(IF(($IT263)&gt;0,($JF263)/($IT263),""),"")</f>
        <v/>
      </c>
      <c r="JM263" s="56">
        <f>IFERROR(IF(($IU263)&gt;0,($JG263)/($IU263),""),"")</f>
        <v/>
      </c>
      <c r="JN263" s="55">
        <f>SUMIFS(tblBudget[Drill_m],tblBudget[Month],$E263)</f>
        <v/>
      </c>
      <c r="JO263" s="55">
        <f>$JN263*$C263/$D263</f>
        <v/>
      </c>
      <c r="JP263" s="55">
        <f>SUMIFS(tblBudget[Drill_m],tblBudget[Month],"&lt;"&amp;$E263)+$JO263</f>
        <v/>
      </c>
      <c r="JQ263" s="55">
        <f>SUMIFS(tblBudget[Diesel_L],tblBudget[Month],$E263)</f>
        <v/>
      </c>
      <c r="JR263" s="55">
        <f>$JQ263*$C263/$D263</f>
        <v/>
      </c>
      <c r="JS263" s="55">
        <f>SUMIFS(tblBudget[Diesel_L],tblBudget[Month],"&lt;"&amp;$E263)+$JR263</f>
        <v/>
      </c>
      <c r="JT263" s="55">
        <f>SUMIFS(tblBudget[Milled_t],tblBudget[Month],$E263)</f>
        <v/>
      </c>
      <c r="JU263" s="55">
        <f>$JT263*$C263/$D263</f>
        <v/>
      </c>
      <c r="JV263" s="55">
        <f>SUMIFS(tblBudget[Milled_t],tblBudget[Month],"&lt;"&amp;$E263)+$JU263</f>
        <v/>
      </c>
      <c r="JW263" s="55">
        <f>SUMIFS(tblBudget[Feed_oz],tblBudget[Month],$E263)</f>
        <v/>
      </c>
      <c r="JX263" s="55">
        <f>$JW263*$C263/$D263</f>
        <v/>
      </c>
      <c r="JY263" s="55">
        <f>SUMIFS(tblBudget[Feed_oz],tblBudget[Month],"&lt;"&amp;$E263)+$JX263</f>
        <v/>
      </c>
      <c r="JZ263" s="55">
        <f>SUMIFS(tblBudget[Recovered_oz],tblBudget[Month],$E263)</f>
        <v/>
      </c>
      <c r="KA263" s="55">
        <f>$JZ263*$C263/$D263</f>
        <v/>
      </c>
      <c r="KB263" s="55">
        <f>SUMIFS(tblBudget[Recovered_oz],tblBudget[Month],"&lt;"&amp;$E263)+$KA263</f>
        <v/>
      </c>
      <c r="KC263" s="55">
        <f>SUMIFS(tblBudget[Milled_t],tblBudget[Month],$E263)</f>
        <v/>
      </c>
      <c r="KD263" s="55">
        <f>$KC263*$C263/$D263</f>
        <v/>
      </c>
      <c r="KE263" s="55">
        <f>SUMIFS(tblBudget[Milled_t],tblBudget[Month],"&lt;"&amp;$E263)+$KD263</f>
        <v/>
      </c>
      <c r="KF263" s="55">
        <f>SUMIFS(tblBudget[Feed_oz],tblBudget[Month],$E263)</f>
        <v/>
      </c>
      <c r="KG263" s="55">
        <f>$KF263*$C263/$D263</f>
        <v/>
      </c>
      <c r="KH263" s="55">
        <f>SUMIFS(tblBudget[Feed_oz],tblBudget[Month],"&lt;"&amp;$E263)+$KG263</f>
        <v/>
      </c>
      <c r="KI263" s="56">
        <f>IFERROR(IF(($KC263)&gt;0,($JW263*cfg_TroyOz)/($KC263),""),"")</f>
        <v/>
      </c>
      <c r="KJ263" s="56">
        <f>IFERROR(IF(($KD263)&gt;0,($JX263*cfg_TroyOz)/($KD263),""),"")</f>
        <v/>
      </c>
      <c r="KK263" s="56">
        <f>IFERROR(IF(($KE263)&gt;0,($JY263*cfg_TroyOz)/($KE263),""),"")</f>
        <v/>
      </c>
      <c r="KL263" s="67">
        <f>IFERROR(IF(($KF263)&gt;0,($JZ263)/($KF263),""),"")</f>
        <v/>
      </c>
      <c r="KM263" s="67">
        <f>IFERROR(IF(($KG263)&gt;0,($KA263)/($KG263),""),"")</f>
        <v/>
      </c>
      <c r="KN263" s="67">
        <f>IFERROR(IF(($KH263)&gt;0,($KB263)/($KH263),""),"")</f>
        <v/>
      </c>
      <c r="KO263" s="55">
        <f>SUMIFS(tblBudget[Gold_Poured_oz],tblBudget[Month],$E263)</f>
        <v/>
      </c>
      <c r="KP263" s="55">
        <f>$KO263*$C263/$D263</f>
        <v/>
      </c>
      <c r="KQ263" s="55">
        <f>SUMIFS(tblBudget[Gold_Poured_oz],tblBudget[Month],"&lt;"&amp;$E263)+$KP263</f>
        <v/>
      </c>
      <c r="KR263" s="57">
        <f>SUMIFS(tblBudget[Hours_Worked],tblBudget[Month],$E263)</f>
        <v/>
      </c>
      <c r="KS263" s="57">
        <f>$KR263*$C263/$D263</f>
        <v/>
      </c>
      <c r="KT263" s="57">
        <f>SUMIFS(tblBudget[Hours_Worked],tblBudget[Month],"&lt;"&amp;$E263)+$KS263</f>
        <v/>
      </c>
    </row>
    <row r="264">
      <c r="A264" s="54" t="n">
        <v>46285</v>
      </c>
      <c r="B264">
        <f>MONTH($A264)</f>
        <v/>
      </c>
      <c r="C264">
        <f>DAY($A264)</f>
        <v/>
      </c>
      <c r="D264">
        <f>DAY(EOMONTH($A264,0))</f>
        <v/>
      </c>
      <c r="E264" s="54">
        <f>DATE(YEAR($A264),MONTH($A264),1)</f>
        <v/>
      </c>
      <c r="F264" s="55">
        <f>SUMIFS(tblMovement[Tonnes_t],tblMovement[Date],$A264,tblMovement[Is_Ore],1,tblMovement[Source_Type],"Pit")</f>
        <v/>
      </c>
      <c r="G264" s="55">
        <f>IF($B264=$B263,$G263,0)+$F264</f>
        <v/>
      </c>
      <c r="H264" s="55">
        <f>$H263+$F264</f>
        <v/>
      </c>
      <c r="I264" s="55">
        <f>SUMIFS(tblMovement[Ore_oz],tblMovement[Date],$A264,tblMovement[Source_Type],"Pit")</f>
        <v/>
      </c>
      <c r="J264" s="55">
        <f>IF($B264=$B263,$J263,0)+$I264</f>
        <v/>
      </c>
      <c r="K264" s="55">
        <f>$K263+$I264</f>
        <v/>
      </c>
      <c r="L264" s="55">
        <f>SUMIFS(tblMovement[Tonnes_t],tblMovement[Date],$A264,tblMovement[Is_Ore],1,tblMovement[Source_Type],"Pit",tblMovement[Grade_gpt],"&lt;&gt;")</f>
        <v/>
      </c>
      <c r="M264" s="55">
        <f>IF($B264=$B263,$M263,0)+$L264</f>
        <v/>
      </c>
      <c r="N264" s="55">
        <f>$N263+$L264</f>
        <v/>
      </c>
      <c r="O264" s="56">
        <f>IFERROR(IF(($L264)&gt;0,($I264*cfg_TroyOz)/($L264),""),"")</f>
        <v/>
      </c>
      <c r="P264" s="56">
        <f>IFERROR(IF(($M264)&gt;0,($J264*cfg_TroyOz)/($M264),""),"")</f>
        <v/>
      </c>
      <c r="Q264" s="56">
        <f>IFERROR(IF(($N264)&gt;0,($K264*cfg_TroyOz)/($N264),""),"")</f>
        <v/>
      </c>
      <c r="R264" s="55">
        <f>$F264-$L264</f>
        <v/>
      </c>
      <c r="S264" s="55">
        <f>IF($B264=$B263,$S263,0)+$R264</f>
        <v/>
      </c>
      <c r="T264" s="55">
        <f>$T263+$R264</f>
        <v/>
      </c>
      <c r="U264" s="55">
        <f>SUMIFS(tblMovement[Tonnes_t],tblMovement[Date],$A264,tblMovement[Is_Ore],0,tblMovement[Source_Type],"Pit")</f>
        <v/>
      </c>
      <c r="V264" s="55">
        <f>IF($B264=$B263,$V263,0)+$U264</f>
        <v/>
      </c>
      <c r="W264" s="55">
        <f>$W263+$U264</f>
        <v/>
      </c>
      <c r="X264" s="55">
        <f>$F264+$U264</f>
        <v/>
      </c>
      <c r="Y264" s="55">
        <f>IF($B264=$B263,$Y263,0)+$X264</f>
        <v/>
      </c>
      <c r="Z264" s="55">
        <f>$Z263+$X264</f>
        <v/>
      </c>
      <c r="AA264" s="56">
        <f>IFERROR(IF(($F264)&gt;0,($U264)/($F264),""),"")</f>
        <v/>
      </c>
      <c r="AB264" s="56">
        <f>IFERROR(IF(($G264)&gt;0,($V264)/($G264),""),"")</f>
        <v/>
      </c>
      <c r="AC264" s="56">
        <f>IFERROR(IF(($H264)&gt;0,($W264)/($H264),""),"")</f>
        <v/>
      </c>
      <c r="AD264" s="55">
        <f>SUMIFS(tblMovement[Tonnes_t],tblMovement[Date],$A264,tblMovement[Source_Type],"Stockpile")</f>
        <v/>
      </c>
      <c r="AE264" s="55">
        <f>IF($B264=$B263,$AE263,0)+$AD264</f>
        <v/>
      </c>
      <c r="AF264" s="55">
        <f>$AF263+$AD264</f>
        <v/>
      </c>
      <c r="AG264" s="55">
        <f>SUMIFS(tblMovement[Tonnes_t],tblMovement[Date],$A264)</f>
        <v/>
      </c>
      <c r="AH264" s="55">
        <f>IF($B264=$B263,$AH263,0)+$AG264</f>
        <v/>
      </c>
      <c r="AI264" s="55">
        <f>$AI263+$AG264</f>
        <v/>
      </c>
      <c r="AJ264" s="55">
        <f>$AG264-$X264-$AD264</f>
        <v/>
      </c>
      <c r="AK264" s="55">
        <f>IF($B264=$B263,$AK263,0)+$AJ264</f>
        <v/>
      </c>
      <c r="AL264" s="55">
        <f>$AL263+$AJ264</f>
        <v/>
      </c>
      <c r="AM264" s="55">
        <f>SUMIFS(tblMiningDaily[Drill_m],tblMiningDaily[Date],$A264)</f>
        <v/>
      </c>
      <c r="AN264" s="55">
        <f>IF($B264=$B263,$AN263,0)+$AM264</f>
        <v/>
      </c>
      <c r="AO264" s="55">
        <f>$AO263+$AM264</f>
        <v/>
      </c>
      <c r="AP264" s="55">
        <f>SUMIFS(tblMiningDaily[GC_Drill_m],tblMiningDaily[Date],$A264)</f>
        <v/>
      </c>
      <c r="AQ264" s="55">
        <f>IF($B264=$B263,$AQ263,0)+$AP264</f>
        <v/>
      </c>
      <c r="AR264" s="55">
        <f>$AR263+$AP264</f>
        <v/>
      </c>
      <c r="AS264" s="55">
        <f>SUMIFS(tblMiningDaily[Blast_t],tblMiningDaily[Date],$A264)</f>
        <v/>
      </c>
      <c r="AT264" s="55">
        <f>IF($B264=$B263,$AT263,0)+$AS264</f>
        <v/>
      </c>
      <c r="AU264" s="55">
        <f>$AU263+$AS264</f>
        <v/>
      </c>
      <c r="AV264" s="55">
        <f>SUMIFS(tblMiningDaily[Explosives_kg],tblMiningDaily[Date],$A264)</f>
        <v/>
      </c>
      <c r="AW264" s="55">
        <f>IF($B264=$B263,$AW263,0)+$AV264</f>
        <v/>
      </c>
      <c r="AX264" s="55">
        <f>$AX263+$AV264</f>
        <v/>
      </c>
      <c r="AY264" s="56">
        <f>IFERROR(IF(($AS264)&gt;0,($AV264)/($AS264),""),"")</f>
        <v/>
      </c>
      <c r="AZ264" s="56">
        <f>IFERROR(IF(($AT264)&gt;0,($AW264)/($AT264),""),"")</f>
        <v/>
      </c>
      <c r="BA264" s="56">
        <f>IFERROR(IF(($AU264)&gt;0,($AX264)/($AU264),""),"")</f>
        <v/>
      </c>
      <c r="BB264" s="55">
        <f>SUMIFS(tblMiningDaily[Diesel_L],tblMiningDaily[Date],$A264)</f>
        <v/>
      </c>
      <c r="BC264" s="55">
        <f>IF($B264=$B263,$BC263,0)+$BB264</f>
        <v/>
      </c>
      <c r="BD264" s="55">
        <f>$BD263+$BB264</f>
        <v/>
      </c>
      <c r="BE264" s="55">
        <f>SUMIFS(tblMiningDaily[Dewatering_m3],tblMiningDaily[Date],$A264)</f>
        <v/>
      </c>
      <c r="BF264" s="55">
        <f>IF($B264=$B263,$BF263,0)+$BE264</f>
        <v/>
      </c>
      <c r="BG264" s="55">
        <f>$BG263+$BE264</f>
        <v/>
      </c>
      <c r="BH264" s="57">
        <f>SUMIFS(tblFleet[Calendar_h],tblFleet[Date],$A264,tblFleet[Equipment_Class],"Excavator")</f>
        <v/>
      </c>
      <c r="BI264" s="57">
        <f>IF($B264=$B263,$BI263,0)+$BH264</f>
        <v/>
      </c>
      <c r="BJ264" s="57">
        <f>$BJ263+$BH264</f>
        <v/>
      </c>
      <c r="BK264" s="57">
        <f>SUMIFS(tblFleet[Available_h],tblFleet[Date],$A264,tblFleet[Equipment_Class],"Excavator")</f>
        <v/>
      </c>
      <c r="BL264" s="57">
        <f>IF($B264=$B263,$BL263,0)+$BK264</f>
        <v/>
      </c>
      <c r="BM264" s="57">
        <f>$BM263+$BK264</f>
        <v/>
      </c>
      <c r="BN264" s="57">
        <f>SUMIFS(tblFleet[Operating_h],tblFleet[Date],$A264,tblFleet[Equipment_Class],"Excavator")</f>
        <v/>
      </c>
      <c r="BO264" s="57">
        <f>IF($B264=$B263,$BO263,0)+$BN264</f>
        <v/>
      </c>
      <c r="BP264" s="57">
        <f>$BP263+$BN264</f>
        <v/>
      </c>
      <c r="BQ264" s="67">
        <f>IFERROR(IF(($BH264)&gt;0,($BK264)/($BH264),""),"")</f>
        <v/>
      </c>
      <c r="BR264" s="67">
        <f>IFERROR(IF(($BI264)&gt;0,($BL264)/($BI264),""),"")</f>
        <v/>
      </c>
      <c r="BS264" s="67">
        <f>IFERROR(IF(($BJ264)&gt;0,($BM264)/($BJ264),""),"")</f>
        <v/>
      </c>
      <c r="BT264" s="67">
        <f>IFERROR(IF(($BK264)&gt;0,($BN264)/($BK264),""),"")</f>
        <v/>
      </c>
      <c r="BU264" s="67">
        <f>IFERROR(IF(($BL264)&gt;0,($BO264)/($BL264),""),"")</f>
        <v/>
      </c>
      <c r="BV264" s="67">
        <f>IFERROR(IF(($BM264)&gt;0,($BP264)/($BM264),""),"")</f>
        <v/>
      </c>
      <c r="BW264" s="57">
        <f>SUMIFS(tblFleet[Calendar_h],tblFleet[Date],$A264,tblFleet[Equipment_Class],"Haul Truck")</f>
        <v/>
      </c>
      <c r="BX264" s="57">
        <f>IF($B264=$B263,$BX263,0)+$BW264</f>
        <v/>
      </c>
      <c r="BY264" s="57">
        <f>$BY263+$BW264</f>
        <v/>
      </c>
      <c r="BZ264" s="57">
        <f>SUMIFS(tblFleet[Available_h],tblFleet[Date],$A264,tblFleet[Equipment_Class],"Haul Truck")</f>
        <v/>
      </c>
      <c r="CA264" s="57">
        <f>IF($B264=$B263,$CA263,0)+$BZ264</f>
        <v/>
      </c>
      <c r="CB264" s="57">
        <f>$CB263+$BZ264</f>
        <v/>
      </c>
      <c r="CC264" s="57">
        <f>SUMIFS(tblFleet[Operating_h],tblFleet[Date],$A264,tblFleet[Equipment_Class],"Haul Truck")</f>
        <v/>
      </c>
      <c r="CD264" s="57">
        <f>IF($B264=$B263,$CD263,0)+$CC264</f>
        <v/>
      </c>
      <c r="CE264" s="57">
        <f>$CE263+$CC264</f>
        <v/>
      </c>
      <c r="CF264" s="67">
        <f>IFERROR(IF(($BW264)&gt;0,($BZ264)/($BW264),""),"")</f>
        <v/>
      </c>
      <c r="CG264" s="67">
        <f>IFERROR(IF(($BX264)&gt;0,($CA264)/($BX264),""),"")</f>
        <v/>
      </c>
      <c r="CH264" s="67">
        <f>IFERROR(IF(($BY264)&gt;0,($CB264)/($BY264),""),"")</f>
        <v/>
      </c>
      <c r="CI264" s="67">
        <f>IFERROR(IF(($BZ264)&gt;0,($CC264)/($BZ264),""),"")</f>
        <v/>
      </c>
      <c r="CJ264" s="67">
        <f>IFERROR(IF(($CA264)&gt;0,($CD264)/($CA264),""),"")</f>
        <v/>
      </c>
      <c r="CK264" s="67">
        <f>IFERROR(IF(($CB264)&gt;0,($CE264)/($CB264),""),"")</f>
        <v/>
      </c>
      <c r="CL264" s="55">
        <f>IFERROR(IF(($BN264)&gt;0,($X264+$AD264)/($BN264),""),"")</f>
        <v/>
      </c>
      <c r="CM264" s="55">
        <f>IFERROR(IF(($BO264)&gt;0,($Y264+$AE264)/($BO264),""),"")</f>
        <v/>
      </c>
      <c r="CN264" s="55">
        <f>IFERROR(IF(($BP264)&gt;0,($Z264+$AF264)/($BP264),""),"")</f>
        <v/>
      </c>
      <c r="CO264" s="55">
        <f>IFERROR(IF(($CC264)&gt;0,($X264+$AD264)/($CC264),""),"")</f>
        <v/>
      </c>
      <c r="CP264" s="55">
        <f>IFERROR(IF(($CD264)&gt;0,($Y264+$AE264)/($CD264),""),"")</f>
        <v/>
      </c>
      <c r="CQ264" s="55">
        <f>IFERROR(IF(($CE264)&gt;0,($Z264+$AF264)/($CE264),""),"")</f>
        <v/>
      </c>
      <c r="CR264" s="55">
        <f>SUMIFS(tblPlant[Crushed_t],tblPlant[Date],$A264)</f>
        <v/>
      </c>
      <c r="CS264" s="55">
        <f>IF($B264=$B263,$CS263,0)+$CR264</f>
        <v/>
      </c>
      <c r="CT264" s="55">
        <f>$CT263+$CR264</f>
        <v/>
      </c>
      <c r="CU264" s="55">
        <f>SUMIFS(tblPlant[Milled_t],tblPlant[Date],$A264)</f>
        <v/>
      </c>
      <c r="CV264" s="55">
        <f>IF($B264=$B263,$CV263,0)+$CU264</f>
        <v/>
      </c>
      <c r="CW264" s="55">
        <f>$CW263+$CU264</f>
        <v/>
      </c>
      <c r="CX264" s="55">
        <f>SUMIFS(tblPlant[Feed_oz],tblPlant[Date],$A264)</f>
        <v/>
      </c>
      <c r="CY264" s="55">
        <f>IF($B264=$B263,$CY263,0)+$CX264</f>
        <v/>
      </c>
      <c r="CZ264" s="55">
        <f>$CZ263+$CX264</f>
        <v/>
      </c>
      <c r="DA264" s="55">
        <f>SUMIFS(tblPlant[Tails_oz],tblPlant[Date],$A264)</f>
        <v/>
      </c>
      <c r="DB264" s="55">
        <f>IF($B264=$B263,$DB263,0)+$DA264</f>
        <v/>
      </c>
      <c r="DC264" s="55">
        <f>$DC263+$DA264</f>
        <v/>
      </c>
      <c r="DD264" s="55">
        <f>SUMIFS(tblPlant[Recovered_oz],tblPlant[Date],$A264)</f>
        <v/>
      </c>
      <c r="DE264" s="55">
        <f>IF($B264=$B263,$DE263,0)+$DD264</f>
        <v/>
      </c>
      <c r="DF264" s="55">
        <f>$DF263+$DD264</f>
        <v/>
      </c>
      <c r="DG264" s="55">
        <f>SUMIFS(tblPlant[Milled_t],tblPlant[Date],$A264,tblPlant[Head_Grade_gpt],"&lt;&gt;")</f>
        <v/>
      </c>
      <c r="DH264" s="55">
        <f>IF($B264=$B263,$DH263,0)+$DG264</f>
        <v/>
      </c>
      <c r="DI264" s="55">
        <f>$DI263+$DG264</f>
        <v/>
      </c>
      <c r="DJ264" s="55">
        <f>SUMIFS(tblPlant[Milled_t],tblPlant[Date],$A264,tblPlant[Tails_Grade_gpt],"&lt;&gt;")</f>
        <v/>
      </c>
      <c r="DK264" s="55">
        <f>IF($B264=$B263,$DK263,0)+$DJ264</f>
        <v/>
      </c>
      <c r="DL264" s="55">
        <f>$DL263+$DJ264</f>
        <v/>
      </c>
      <c r="DM264" s="55">
        <f>SUMIFS(tblPlant[Feed_oz],tblPlant[Date],$A264,tblPlant[Tails_Grade_gpt],"&lt;&gt;")</f>
        <v/>
      </c>
      <c r="DN264" s="55">
        <f>IF($B264=$B263,$DN263,0)+$DM264</f>
        <v/>
      </c>
      <c r="DO264" s="55">
        <f>$DO263+$DM264</f>
        <v/>
      </c>
      <c r="DP264" s="55">
        <f>SUMIFS(tblPlant[Milled_t],tblPlant[Date],$A264,tblPlant[Mill_Run_h],"&lt;&gt;")</f>
        <v/>
      </c>
      <c r="DQ264" s="55">
        <f>IF($B264=$B263,$DQ263,0)+$DP264</f>
        <v/>
      </c>
      <c r="DR264" s="55">
        <f>$DR263+$DP264</f>
        <v/>
      </c>
      <c r="DS264" s="56">
        <f>IFERROR(IF(($DG264)&gt;0,($CX264*cfg_TroyOz)/($DG264),""),"")</f>
        <v/>
      </c>
      <c r="DT264" s="56">
        <f>IFERROR(IF(($DH264)&gt;0,($CY264*cfg_TroyOz)/($DH264),""),"")</f>
        <v/>
      </c>
      <c r="DU264" s="56">
        <f>IFERROR(IF(($DI264)&gt;0,($CZ264*cfg_TroyOz)/($DI264),""),"")</f>
        <v/>
      </c>
      <c r="DV264" s="56">
        <f>IFERROR(IF(($DJ264)&gt;0,($DA264*cfg_TroyOz)/($DJ264),""),"")</f>
        <v/>
      </c>
      <c r="DW264" s="56">
        <f>IFERROR(IF(($DK264)&gt;0,($DB264*cfg_TroyOz)/($DK264),""),"")</f>
        <v/>
      </c>
      <c r="DX264" s="56">
        <f>IFERROR(IF(($DL264)&gt;0,($DC264*cfg_TroyOz)/($DL264),""),"")</f>
        <v/>
      </c>
      <c r="DY264" s="67">
        <f>IFERROR(IF(($DM264)&gt;0,($DD264)/($DM264),""),"")</f>
        <v/>
      </c>
      <c r="DZ264" s="67">
        <f>IFERROR(IF(($DN264)&gt;0,($DE264)/($DN264),""),"")</f>
        <v/>
      </c>
      <c r="EA264" s="67">
        <f>IFERROR(IF(($DO264)&gt;0,($DF264)/($DO264),""),"")</f>
        <v/>
      </c>
      <c r="EB264" s="55">
        <f>SUMIFS(tblPlant[Gravity_Gold_oz],tblPlant[Date],$A264)</f>
        <v/>
      </c>
      <c r="EC264" s="55">
        <f>IF($B264=$B263,$EC263,0)+$EB264</f>
        <v/>
      </c>
      <c r="ED264" s="55">
        <f>$ED263+$EB264</f>
        <v/>
      </c>
      <c r="EE264" s="67">
        <f>IFERROR(IF(($DD264)&gt;0,($EB264)/($DD264),""),"")</f>
        <v/>
      </c>
      <c r="EF264" s="67">
        <f>IFERROR(IF(($DE264)&gt;0,($EC264)/($DE264),""),"")</f>
        <v/>
      </c>
      <c r="EG264" s="67">
        <f>IFERROR(IF(($DF264)&gt;0,($ED264)/($DF264),""),"")</f>
        <v/>
      </c>
      <c r="EH264" s="55">
        <f>SUMIFS(tblPlant[Gold_Poured_oz],tblPlant[Date],$A264)</f>
        <v/>
      </c>
      <c r="EI264" s="55">
        <f>IF($B264=$B263,$EI263,0)+$EH264</f>
        <v/>
      </c>
      <c r="EJ264" s="55">
        <f>$EJ263+$EH264</f>
        <v/>
      </c>
      <c r="EK264" s="57">
        <f>SUMIFS(tblPlant[Mill_Run_h],tblPlant[Date],$A264)</f>
        <v/>
      </c>
      <c r="EL264" s="57">
        <f>IF($B264=$B263,$EL263,0)+$EK264</f>
        <v/>
      </c>
      <c r="EM264" s="57">
        <f>$EM263+$EK264</f>
        <v/>
      </c>
      <c r="EN264" s="57">
        <f>SUMIFS(tblPlant[Mill_Planned_Maint_h],tblPlant[Date],$A264)</f>
        <v/>
      </c>
      <c r="EO264" s="57">
        <f>IF($B264=$B263,$EO263,0)+$EN264</f>
        <v/>
      </c>
      <c r="EP264" s="57">
        <f>$EP263+$EN264</f>
        <v/>
      </c>
      <c r="EQ264" s="57">
        <f>SUMIFS(tblPlant[Mill_Unplanned_Down_h],tblPlant[Date],$A264)</f>
        <v/>
      </c>
      <c r="ER264" s="57">
        <f>IF($B264=$B263,$ER263,0)+$EQ264</f>
        <v/>
      </c>
      <c r="ES264" s="57">
        <f>$ES263+$EQ264</f>
        <v/>
      </c>
      <c r="ET264" s="57">
        <f>IF(COUNTIFS(tblPlant[Date],$A264,tblPlant[Mill_Run_h],"&lt;&gt;")+COUNTIFS(tblPlant[Date],$A264,tblPlant[Mill_Planned_Maint_h],"&lt;&gt;")+COUNTIFS(tblPlant[Date],$A264,tblPlant[Mill_Unplanned_Down_h],"&lt;&gt;")&gt;0,cfg_HoursPerDay,0)</f>
        <v/>
      </c>
      <c r="EU264" s="57">
        <f>IF($B264=$B263,$EU263,0)+$ET264</f>
        <v/>
      </c>
      <c r="EV264" s="57">
        <f>$EV263+$ET264</f>
        <v/>
      </c>
      <c r="EW264" s="57">
        <f>SUMIFS(tblPlant[Crusher_Run_h],tblPlant[Date],$A264)</f>
        <v/>
      </c>
      <c r="EX264" s="57">
        <f>IF($B264=$B263,$EX263,0)+$EW264</f>
        <v/>
      </c>
      <c r="EY264" s="57">
        <f>$EY263+$EW264</f>
        <v/>
      </c>
      <c r="EZ264" s="55">
        <f>IFERROR(IF(($EK264)&gt;0,($DP264)/($EK264),""),"")</f>
        <v/>
      </c>
      <c r="FA264" s="55">
        <f>IFERROR(IF(($EL264)&gt;0,($DQ264)/($EL264),""),"")</f>
        <v/>
      </c>
      <c r="FB264" s="55">
        <f>IFERROR(IF(($EM264)&gt;0,($DR264)/($EM264),""),"")</f>
        <v/>
      </c>
      <c r="FC264" s="67">
        <f>IFERROR(IF(($ET264)&gt;0,($ET264-$EN264-$EQ264)/($ET264),""),"")</f>
        <v/>
      </c>
      <c r="FD264" s="67">
        <f>IFERROR(IF(($EU264)&gt;0,($EU264-$EO264-$ER264)/($EU264),""),"")</f>
        <v/>
      </c>
      <c r="FE264" s="67">
        <f>IFERROR(IF(($EV264)&gt;0,($EV264-$EP264-$ES264)/($EV264),""),"")</f>
        <v/>
      </c>
      <c r="FF264" s="67">
        <f>IFERROR(IF(($ET264-$EN264-$EQ264)&gt;0,($EK264)/($ET264-$EN264-$EQ264),""),"")</f>
        <v/>
      </c>
      <c r="FG264" s="67">
        <f>IFERROR(IF(($EU264-$EO264-$ER264)&gt;0,($EL264)/($EU264-$EO264-$ER264),""),"")</f>
        <v/>
      </c>
      <c r="FH264" s="67">
        <f>IFERROR(IF(($EV264-$EP264-$ES264)&gt;0,($EM264)/($EV264-$EP264-$ES264),""),"")</f>
        <v/>
      </c>
      <c r="FI264" s="55">
        <f>SUMIFS(tblPlant[Cyanide_kg],tblPlant[Date],$A264)</f>
        <v/>
      </c>
      <c r="FJ264" s="55">
        <f>IF($B264=$B263,$FJ263,0)+$FI264</f>
        <v/>
      </c>
      <c r="FK264" s="55">
        <f>$FK263+$FI264</f>
        <v/>
      </c>
      <c r="FL264" s="55">
        <f>SUMIFS(tblPlant[Lime_kg],tblPlant[Date],$A264)</f>
        <v/>
      </c>
      <c r="FM264" s="55">
        <f>IF($B264=$B263,$FM263,0)+$FL264</f>
        <v/>
      </c>
      <c r="FN264" s="55">
        <f>$FN263+$FL264</f>
        <v/>
      </c>
      <c r="FO264" s="55">
        <f>SUMIFS(tblPlant[Grinding_Media_kg],tblPlant[Date],$A264)</f>
        <v/>
      </c>
      <c r="FP264" s="55">
        <f>IF($B264=$B263,$FP263,0)+$FO264</f>
        <v/>
      </c>
      <c r="FQ264" s="55">
        <f>$FQ263+$FO264</f>
        <v/>
      </c>
      <c r="FR264" s="55">
        <f>SUMIFS(tblPlant[Power_kWh],tblPlant[Date],$A264)</f>
        <v/>
      </c>
      <c r="FS264" s="55">
        <f>IF($B264=$B263,$FS263,0)+$FR264</f>
        <v/>
      </c>
      <c r="FT264" s="55">
        <f>$FT263+$FR264</f>
        <v/>
      </c>
      <c r="FU264" s="55">
        <f>SUMIFS(tblPlant[Raw_Water_m3],tblPlant[Date],$A264)</f>
        <v/>
      </c>
      <c r="FV264" s="55">
        <f>IF($B264=$B263,$FV263,0)+$FU264</f>
        <v/>
      </c>
      <c r="FW264" s="55">
        <f>$FW263+$FU264</f>
        <v/>
      </c>
      <c r="FX264" s="56">
        <f>IFERROR(IF(($CU264)&gt;0,($FI264)/($CU264),""),"")</f>
        <v/>
      </c>
      <c r="FY264" s="56">
        <f>IFERROR(IF(($CV264)&gt;0,($FJ264)/($CV264),""),"")</f>
        <v/>
      </c>
      <c r="FZ264" s="56">
        <f>IFERROR(IF(($CW264)&gt;0,($FK264)/($CW264),""),"")</f>
        <v/>
      </c>
      <c r="GA264" s="56">
        <f>IFERROR(IF(($CU264)&gt;0,($FL264)/($CU264),""),"")</f>
        <v/>
      </c>
      <c r="GB264" s="56">
        <f>IFERROR(IF(($CV264)&gt;0,($FM264)/($CV264),""),"")</f>
        <v/>
      </c>
      <c r="GC264" s="56">
        <f>IFERROR(IF(($CW264)&gt;0,($FN264)/($CW264),""),"")</f>
        <v/>
      </c>
      <c r="GD264" s="56">
        <f>IFERROR(IF(($CU264)&gt;0,($FO264)/($CU264),""),"")</f>
        <v/>
      </c>
      <c r="GE264" s="56">
        <f>IFERROR(IF(($CV264)&gt;0,($FP264)/($CV264),""),"")</f>
        <v/>
      </c>
      <c r="GF264" s="56">
        <f>IFERROR(IF(($CW264)&gt;0,($FQ264)/($CW264),""),"")</f>
        <v/>
      </c>
      <c r="GG264" s="79">
        <f>IFERROR(IF(($CU264)&gt;0,($FR264)/($CU264),""),"")</f>
        <v/>
      </c>
      <c r="GH264" s="79">
        <f>IFERROR(IF(($CV264)&gt;0,($FS264)/($CV264),""),"")</f>
        <v/>
      </c>
      <c r="GI264" s="79">
        <f>IFERROR(IF(($CW264)&gt;0,($FT264)/($CW264),""),"")</f>
        <v/>
      </c>
      <c r="GJ264" s="56">
        <f>IFERROR(IF(($CU264)&gt;0,($FU264)/($CU264),""),"")</f>
        <v/>
      </c>
      <c r="GK264" s="56">
        <f>IFERROR(IF(($CV264)&gt;0,($FV264)/($CV264),""),"")</f>
        <v/>
      </c>
      <c r="GL264" s="56">
        <f>IFERROR(IF(($CW264)&gt;0,($FW264)/($CW264),""),"")</f>
        <v/>
      </c>
      <c r="GM264" s="55">
        <f>IF(SUMIFS(tblPlant[GIC_oz],tblPlant[Date],$A264)&gt;0,SUMIFS(tblPlant[GIC_oz],tblPlant[Date],$A264),"")</f>
        <v/>
      </c>
      <c r="GN264" s="55">
        <f>SUMIFS(tblGold[Gold_oz],tblGold[Date],$A264,tblGold[Type],"Shipment")</f>
        <v/>
      </c>
      <c r="GO264" s="55">
        <f>IF($B264=$B263,$GO263,0)+$GN264</f>
        <v/>
      </c>
      <c r="GP264" s="55">
        <f>$GP263+$GN264</f>
        <v/>
      </c>
      <c r="GQ264" s="55">
        <f>SUMIFS(tblGold[Gold_oz],tblGold[Date],$A264,tblGold[Type],"Sale")</f>
        <v/>
      </c>
      <c r="GR264" s="55">
        <f>IF($B264=$B263,$GR263,0)+$GQ264</f>
        <v/>
      </c>
      <c r="GS264" s="55">
        <f>$GS263+$GQ264</f>
        <v/>
      </c>
      <c r="GT264" s="55">
        <f>SUMIFS(tblGold[Dore_kg],tblGold[Date],$A264,tblGold[Type],"Shipment")</f>
        <v/>
      </c>
      <c r="GU264" s="55">
        <f>IF($B264=$B263,$GU263,0)+$GT264</f>
        <v/>
      </c>
      <c r="GV264" s="55">
        <f>$GV263+$GT264</f>
        <v/>
      </c>
      <c r="GW264" s="57">
        <f>SUMIFS(tblSafety[Hours_Total],tblSafety[Date],$A264)</f>
        <v/>
      </c>
      <c r="GX264" s="57">
        <f>IF($B264=$B263,$GX263,0)+$GW264</f>
        <v/>
      </c>
      <c r="GY264" s="57">
        <f>$GY263+$GW264</f>
        <v/>
      </c>
      <c r="GZ264" s="62">
        <f>SUMIFS(tblSafety[Fatality],tblSafety[Date],$A264)</f>
        <v/>
      </c>
      <c r="HA264" s="62">
        <f>IF($B264=$B263,$HA263,0)+$GZ264</f>
        <v/>
      </c>
      <c r="HB264" s="62">
        <f>$HB263+$GZ264</f>
        <v/>
      </c>
      <c r="HC264" s="62">
        <f>SUMIFS(tblSafety[LTI],tblSafety[Date],$A264)</f>
        <v/>
      </c>
      <c r="HD264" s="62">
        <f>IF($B264=$B263,$HD263,0)+$HC264</f>
        <v/>
      </c>
      <c r="HE264" s="62">
        <f>$HE263+$HC264</f>
        <v/>
      </c>
      <c r="HF264" s="62">
        <f>SUMIFS(tblSafety[RWI],tblSafety[Date],$A264)</f>
        <v/>
      </c>
      <c r="HG264" s="62">
        <f>IF($B264=$B263,$HG263,0)+$HF264</f>
        <v/>
      </c>
      <c r="HH264" s="62">
        <f>$HH263+$HF264</f>
        <v/>
      </c>
      <c r="HI264" s="62">
        <f>SUMIFS(tblSafety[MTI],tblSafety[Date],$A264)</f>
        <v/>
      </c>
      <c r="HJ264" s="62">
        <f>IF($B264=$B263,$HJ263,0)+$HI264</f>
        <v/>
      </c>
      <c r="HK264" s="62">
        <f>$HK263+$HI264</f>
        <v/>
      </c>
      <c r="HL264" s="62">
        <f>SUMIFS(tblSafety[FAI],tblSafety[Date],$A264)</f>
        <v/>
      </c>
      <c r="HM264" s="62">
        <f>IF($B264=$B263,$HM263,0)+$HL264</f>
        <v/>
      </c>
      <c r="HN264" s="62">
        <f>$HN263+$HL264</f>
        <v/>
      </c>
      <c r="HO264" s="62">
        <f>SUMIFS(tblSafety[Recordables],tblSafety[Date],$A264)</f>
        <v/>
      </c>
      <c r="HP264" s="62">
        <f>IF($B264=$B263,$HP263,0)+$HO264</f>
        <v/>
      </c>
      <c r="HQ264" s="62">
        <f>$HQ263+$HO264</f>
        <v/>
      </c>
      <c r="HR264" s="62">
        <f>SUMIFS(tblSafety[Near_Miss],tblSafety[Date],$A264)</f>
        <v/>
      </c>
      <c r="HS264" s="62">
        <f>IF($B264=$B263,$HS263,0)+$HR264</f>
        <v/>
      </c>
      <c r="HT264" s="62">
        <f>$HT263+$HR264</f>
        <v/>
      </c>
      <c r="HU264" s="62">
        <f>SUMIFS(tblSafety[Hazard_Reports],tblSafety[Date],$A264)</f>
        <v/>
      </c>
      <c r="HV264" s="62">
        <f>IF($B264=$B263,$HV263,0)+$HU264</f>
        <v/>
      </c>
      <c r="HW264" s="62">
        <f>$HW263+$HU264</f>
        <v/>
      </c>
      <c r="HX264" s="62">
        <f>SUMIFS(tblSafety[HPI],tblSafety[Date],$A264)</f>
        <v/>
      </c>
      <c r="HY264" s="62">
        <f>IF($B264=$B263,$HY263,0)+$HX264</f>
        <v/>
      </c>
      <c r="HZ264" s="62">
        <f>$HZ263+$HX264</f>
        <v/>
      </c>
      <c r="IA264" s="62">
        <f>SUMIFS(tblSafety[Env_Incidents],tblSafety[Date],$A264)</f>
        <v/>
      </c>
      <c r="IB264" s="62">
        <f>IF($B264=$B263,$IB263,0)+$IA264</f>
        <v/>
      </c>
      <c r="IC264" s="62">
        <f>$IC263+$IA264</f>
        <v/>
      </c>
      <c r="ID264" s="62">
        <f>SUMIFS(tblSafety[Community_Incidents],tblSafety[Date],$A264)</f>
        <v/>
      </c>
      <c r="IE264" s="62">
        <f>IF($B264=$B263,$IE263,0)+$ID264</f>
        <v/>
      </c>
      <c r="IF264" s="62">
        <f>$IF263+$ID264</f>
        <v/>
      </c>
      <c r="IG264" s="62">
        <f>SUMIFS(tblSafety[Vehicle_Incidents],tblSafety[Date],$A264)</f>
        <v/>
      </c>
      <c r="IH264" s="62">
        <f>IF($B264=$B263,$IH263,0)+$IG264</f>
        <v/>
      </c>
      <c r="II264" s="62">
        <f>$II263+$IG264</f>
        <v/>
      </c>
      <c r="IJ264" s="62">
        <f>SUMIFS(tblSafety[Toolbox_Talks],tblSafety[Date],$A264)</f>
        <v/>
      </c>
      <c r="IK264" s="62">
        <f>IF($B264=$B263,$IK263,0)+$IJ264</f>
        <v/>
      </c>
      <c r="IL264" s="62">
        <f>$IL263+$IJ264</f>
        <v/>
      </c>
      <c r="IM264" s="62">
        <f>SUMIFS(tblSafety[Inspections],tblSafety[Date],$A264)</f>
        <v/>
      </c>
      <c r="IN264" s="62">
        <f>IF($B264=$B263,$IN263,0)+$IM264</f>
        <v/>
      </c>
      <c r="IO264" s="62">
        <f>$IO263+$IM264</f>
        <v/>
      </c>
      <c r="IP264" s="56">
        <f>IFERROR((SUMIFS(tblSafety[Recordables],tblSafety[Date],"&gt;="&amp;EDATE($E264,-12),tblSafety[Date],"&lt;="&amp;$A264)+SUMIFS(tblSafetyHistory[Recordables],tblSafetyHistory[Month],"&gt;="&amp;EDATE($E264,-12),tblSafetyHistory[Month],"&lt;"&amp;$E264,tblSafetyHistory[Use],1))/(SUMIFS(tblSafety[Hours_Total],tblSafety[Date],"&gt;="&amp;EDATE($E264,-12),tblSafety[Date],"&lt;="&amp;$A264)+SUMIFS(tblSafetyHistory[Hours_Total],tblSafetyHistory[Month],"&gt;="&amp;EDATE($E264,-12),tblSafetyHistory[Month],"&lt;"&amp;$E264,tblSafetyHistory[Use],1))*cfg_RateBasisHours,"")</f>
        <v/>
      </c>
      <c r="IQ264" s="56">
        <f>IFERROR((SUMIFS(tblSafety[LTI],tblSafety[Date],"&gt;="&amp;EDATE($E264,-12),tblSafety[Date],"&lt;="&amp;$A264)+SUMIFS(tblSafetyHistory[LTI],tblSafetyHistory[Month],"&gt;="&amp;EDATE($E264,-12),tblSafetyHistory[Month],"&lt;"&amp;$E264,tblSafetyHistory[Use],1))/(SUMIFS(tblSafety[Hours_Total],tblSafety[Date],"&gt;="&amp;EDATE($E264,-12),tblSafety[Date],"&lt;="&amp;$A264)+SUMIFS(tblSafetyHistory[Hours_Total],tblSafetyHistory[Month],"&gt;="&amp;EDATE($E264,-12),tblSafetyHistory[Month],"&lt;"&amp;$E264,tblSafetyHistory[Use],1))*cfg_RateBasisHours,"")</f>
        <v/>
      </c>
      <c r="IR264" s="62">
        <f>IF(MAX(N(cfg_PriorLTIDate),_xlfn.MAXIFS(tblSafety[Date],tblSafety[LTI],"&gt;0",tblSafety[Date],"&lt;="&amp;$A264))=0,"",$A264-MAX(N(cfg_PriorLTIDate),_xlfn.MAXIFS(tblSafety[Date],tblSafety[LTI],"&gt;0",tblSafety[Date],"&lt;="&amp;$A264)))</f>
        <v/>
      </c>
      <c r="IS264" s="55">
        <f>SUMIFS(tblBudget[Ore_Mined_t],tblBudget[Month],$E264)</f>
        <v/>
      </c>
      <c r="IT264" s="55">
        <f>$IS264*$C264/$D264</f>
        <v/>
      </c>
      <c r="IU264" s="55">
        <f>SUMIFS(tblBudget[Ore_Mined_t],tblBudget[Month],"&lt;"&amp;$E264)+$IT264</f>
        <v/>
      </c>
      <c r="IV264" s="55">
        <f>SUMIFS(tblBudget[Ore_oz],tblBudget[Month],$E264)</f>
        <v/>
      </c>
      <c r="IW264" s="55">
        <f>$IV264*$C264/$D264</f>
        <v/>
      </c>
      <c r="IX264" s="55">
        <f>SUMIFS(tblBudget[Ore_oz],tblBudget[Month],"&lt;"&amp;$E264)+$IW264</f>
        <v/>
      </c>
      <c r="IY264" s="55">
        <f>SUMIFS(tblBudget[Ore_Mined_t],tblBudget[Month],$E264)</f>
        <v/>
      </c>
      <c r="IZ264" s="55">
        <f>$IY264*$C264/$D264</f>
        <v/>
      </c>
      <c r="JA264" s="55">
        <f>SUMIFS(tblBudget[Ore_Mined_t],tblBudget[Month],"&lt;"&amp;$E264)+$IZ264</f>
        <v/>
      </c>
      <c r="JB264" s="56">
        <f>IFERROR(IF(($IY264)&gt;0,($IV264*cfg_TroyOz)/($IY264),""),"")</f>
        <v/>
      </c>
      <c r="JC264" s="56">
        <f>IFERROR(IF(($IZ264)&gt;0,($IW264*cfg_TroyOz)/($IZ264),""),"")</f>
        <v/>
      </c>
      <c r="JD264" s="56">
        <f>IFERROR(IF(($JA264)&gt;0,($IX264*cfg_TroyOz)/($JA264),""),"")</f>
        <v/>
      </c>
      <c r="JE264" s="55">
        <f>SUMIFS(tblBudget[Waste_t],tblBudget[Month],$E264)</f>
        <v/>
      </c>
      <c r="JF264" s="55">
        <f>$JE264*$C264/$D264</f>
        <v/>
      </c>
      <c r="JG264" s="55">
        <f>SUMIFS(tblBudget[Waste_t],tblBudget[Month],"&lt;"&amp;$E264)+$JF264</f>
        <v/>
      </c>
      <c r="JH264" s="55">
        <f>SUMIFS(tblBudget[TMM_t],tblBudget[Month],$E264)</f>
        <v/>
      </c>
      <c r="JI264" s="55">
        <f>$JH264*$C264/$D264</f>
        <v/>
      </c>
      <c r="JJ264" s="55">
        <f>SUMIFS(tblBudget[TMM_t],tblBudget[Month],"&lt;"&amp;$E264)+$JI264</f>
        <v/>
      </c>
      <c r="JK264" s="56">
        <f>IFERROR(IF(($IS264)&gt;0,($JE264)/($IS264),""),"")</f>
        <v/>
      </c>
      <c r="JL264" s="56">
        <f>IFERROR(IF(($IT264)&gt;0,($JF264)/($IT264),""),"")</f>
        <v/>
      </c>
      <c r="JM264" s="56">
        <f>IFERROR(IF(($IU264)&gt;0,($JG264)/($IU264),""),"")</f>
        <v/>
      </c>
      <c r="JN264" s="55">
        <f>SUMIFS(tblBudget[Drill_m],tblBudget[Month],$E264)</f>
        <v/>
      </c>
      <c r="JO264" s="55">
        <f>$JN264*$C264/$D264</f>
        <v/>
      </c>
      <c r="JP264" s="55">
        <f>SUMIFS(tblBudget[Drill_m],tblBudget[Month],"&lt;"&amp;$E264)+$JO264</f>
        <v/>
      </c>
      <c r="JQ264" s="55">
        <f>SUMIFS(tblBudget[Diesel_L],tblBudget[Month],$E264)</f>
        <v/>
      </c>
      <c r="JR264" s="55">
        <f>$JQ264*$C264/$D264</f>
        <v/>
      </c>
      <c r="JS264" s="55">
        <f>SUMIFS(tblBudget[Diesel_L],tblBudget[Month],"&lt;"&amp;$E264)+$JR264</f>
        <v/>
      </c>
      <c r="JT264" s="55">
        <f>SUMIFS(tblBudget[Milled_t],tblBudget[Month],$E264)</f>
        <v/>
      </c>
      <c r="JU264" s="55">
        <f>$JT264*$C264/$D264</f>
        <v/>
      </c>
      <c r="JV264" s="55">
        <f>SUMIFS(tblBudget[Milled_t],tblBudget[Month],"&lt;"&amp;$E264)+$JU264</f>
        <v/>
      </c>
      <c r="JW264" s="55">
        <f>SUMIFS(tblBudget[Feed_oz],tblBudget[Month],$E264)</f>
        <v/>
      </c>
      <c r="JX264" s="55">
        <f>$JW264*$C264/$D264</f>
        <v/>
      </c>
      <c r="JY264" s="55">
        <f>SUMIFS(tblBudget[Feed_oz],tblBudget[Month],"&lt;"&amp;$E264)+$JX264</f>
        <v/>
      </c>
      <c r="JZ264" s="55">
        <f>SUMIFS(tblBudget[Recovered_oz],tblBudget[Month],$E264)</f>
        <v/>
      </c>
      <c r="KA264" s="55">
        <f>$JZ264*$C264/$D264</f>
        <v/>
      </c>
      <c r="KB264" s="55">
        <f>SUMIFS(tblBudget[Recovered_oz],tblBudget[Month],"&lt;"&amp;$E264)+$KA264</f>
        <v/>
      </c>
      <c r="KC264" s="55">
        <f>SUMIFS(tblBudget[Milled_t],tblBudget[Month],$E264)</f>
        <v/>
      </c>
      <c r="KD264" s="55">
        <f>$KC264*$C264/$D264</f>
        <v/>
      </c>
      <c r="KE264" s="55">
        <f>SUMIFS(tblBudget[Milled_t],tblBudget[Month],"&lt;"&amp;$E264)+$KD264</f>
        <v/>
      </c>
      <c r="KF264" s="55">
        <f>SUMIFS(tblBudget[Feed_oz],tblBudget[Month],$E264)</f>
        <v/>
      </c>
      <c r="KG264" s="55">
        <f>$KF264*$C264/$D264</f>
        <v/>
      </c>
      <c r="KH264" s="55">
        <f>SUMIFS(tblBudget[Feed_oz],tblBudget[Month],"&lt;"&amp;$E264)+$KG264</f>
        <v/>
      </c>
      <c r="KI264" s="56">
        <f>IFERROR(IF(($KC264)&gt;0,($JW264*cfg_TroyOz)/($KC264),""),"")</f>
        <v/>
      </c>
      <c r="KJ264" s="56">
        <f>IFERROR(IF(($KD264)&gt;0,($JX264*cfg_TroyOz)/($KD264),""),"")</f>
        <v/>
      </c>
      <c r="KK264" s="56">
        <f>IFERROR(IF(($KE264)&gt;0,($JY264*cfg_TroyOz)/($KE264),""),"")</f>
        <v/>
      </c>
      <c r="KL264" s="67">
        <f>IFERROR(IF(($KF264)&gt;0,($JZ264)/($KF264),""),"")</f>
        <v/>
      </c>
      <c r="KM264" s="67">
        <f>IFERROR(IF(($KG264)&gt;0,($KA264)/($KG264),""),"")</f>
        <v/>
      </c>
      <c r="KN264" s="67">
        <f>IFERROR(IF(($KH264)&gt;0,($KB264)/($KH264),""),"")</f>
        <v/>
      </c>
      <c r="KO264" s="55">
        <f>SUMIFS(tblBudget[Gold_Poured_oz],tblBudget[Month],$E264)</f>
        <v/>
      </c>
      <c r="KP264" s="55">
        <f>$KO264*$C264/$D264</f>
        <v/>
      </c>
      <c r="KQ264" s="55">
        <f>SUMIFS(tblBudget[Gold_Poured_oz],tblBudget[Month],"&lt;"&amp;$E264)+$KP264</f>
        <v/>
      </c>
      <c r="KR264" s="57">
        <f>SUMIFS(tblBudget[Hours_Worked],tblBudget[Month],$E264)</f>
        <v/>
      </c>
      <c r="KS264" s="57">
        <f>$KR264*$C264/$D264</f>
        <v/>
      </c>
      <c r="KT264" s="57">
        <f>SUMIFS(tblBudget[Hours_Worked],tblBudget[Month],"&lt;"&amp;$E264)+$KS264</f>
        <v/>
      </c>
    </row>
    <row r="265">
      <c r="A265" s="54" t="n">
        <v>46286</v>
      </c>
      <c r="B265">
        <f>MONTH($A265)</f>
        <v/>
      </c>
      <c r="C265">
        <f>DAY($A265)</f>
        <v/>
      </c>
      <c r="D265">
        <f>DAY(EOMONTH($A265,0))</f>
        <v/>
      </c>
      <c r="E265" s="54">
        <f>DATE(YEAR($A265),MONTH($A265),1)</f>
        <v/>
      </c>
      <c r="F265" s="55">
        <f>SUMIFS(tblMovement[Tonnes_t],tblMovement[Date],$A265,tblMovement[Is_Ore],1,tblMovement[Source_Type],"Pit")</f>
        <v/>
      </c>
      <c r="G265" s="55">
        <f>IF($B265=$B264,$G264,0)+$F265</f>
        <v/>
      </c>
      <c r="H265" s="55">
        <f>$H264+$F265</f>
        <v/>
      </c>
      <c r="I265" s="55">
        <f>SUMIFS(tblMovement[Ore_oz],tblMovement[Date],$A265,tblMovement[Source_Type],"Pit")</f>
        <v/>
      </c>
      <c r="J265" s="55">
        <f>IF($B265=$B264,$J264,0)+$I265</f>
        <v/>
      </c>
      <c r="K265" s="55">
        <f>$K264+$I265</f>
        <v/>
      </c>
      <c r="L265" s="55">
        <f>SUMIFS(tblMovement[Tonnes_t],tblMovement[Date],$A265,tblMovement[Is_Ore],1,tblMovement[Source_Type],"Pit",tblMovement[Grade_gpt],"&lt;&gt;")</f>
        <v/>
      </c>
      <c r="M265" s="55">
        <f>IF($B265=$B264,$M264,0)+$L265</f>
        <v/>
      </c>
      <c r="N265" s="55">
        <f>$N264+$L265</f>
        <v/>
      </c>
      <c r="O265" s="56">
        <f>IFERROR(IF(($L265)&gt;0,($I265*cfg_TroyOz)/($L265),""),"")</f>
        <v/>
      </c>
      <c r="P265" s="56">
        <f>IFERROR(IF(($M265)&gt;0,($J265*cfg_TroyOz)/($M265),""),"")</f>
        <v/>
      </c>
      <c r="Q265" s="56">
        <f>IFERROR(IF(($N265)&gt;0,($K265*cfg_TroyOz)/($N265),""),"")</f>
        <v/>
      </c>
      <c r="R265" s="55">
        <f>$F265-$L265</f>
        <v/>
      </c>
      <c r="S265" s="55">
        <f>IF($B265=$B264,$S264,0)+$R265</f>
        <v/>
      </c>
      <c r="T265" s="55">
        <f>$T264+$R265</f>
        <v/>
      </c>
      <c r="U265" s="55">
        <f>SUMIFS(tblMovement[Tonnes_t],tblMovement[Date],$A265,tblMovement[Is_Ore],0,tblMovement[Source_Type],"Pit")</f>
        <v/>
      </c>
      <c r="V265" s="55">
        <f>IF($B265=$B264,$V264,0)+$U265</f>
        <v/>
      </c>
      <c r="W265" s="55">
        <f>$W264+$U265</f>
        <v/>
      </c>
      <c r="X265" s="55">
        <f>$F265+$U265</f>
        <v/>
      </c>
      <c r="Y265" s="55">
        <f>IF($B265=$B264,$Y264,0)+$X265</f>
        <v/>
      </c>
      <c r="Z265" s="55">
        <f>$Z264+$X265</f>
        <v/>
      </c>
      <c r="AA265" s="56">
        <f>IFERROR(IF(($F265)&gt;0,($U265)/($F265),""),"")</f>
        <v/>
      </c>
      <c r="AB265" s="56">
        <f>IFERROR(IF(($G265)&gt;0,($V265)/($G265),""),"")</f>
        <v/>
      </c>
      <c r="AC265" s="56">
        <f>IFERROR(IF(($H265)&gt;0,($W265)/($H265),""),"")</f>
        <v/>
      </c>
      <c r="AD265" s="55">
        <f>SUMIFS(tblMovement[Tonnes_t],tblMovement[Date],$A265,tblMovement[Source_Type],"Stockpile")</f>
        <v/>
      </c>
      <c r="AE265" s="55">
        <f>IF($B265=$B264,$AE264,0)+$AD265</f>
        <v/>
      </c>
      <c r="AF265" s="55">
        <f>$AF264+$AD265</f>
        <v/>
      </c>
      <c r="AG265" s="55">
        <f>SUMIFS(tblMovement[Tonnes_t],tblMovement[Date],$A265)</f>
        <v/>
      </c>
      <c r="AH265" s="55">
        <f>IF($B265=$B264,$AH264,0)+$AG265</f>
        <v/>
      </c>
      <c r="AI265" s="55">
        <f>$AI264+$AG265</f>
        <v/>
      </c>
      <c r="AJ265" s="55">
        <f>$AG265-$X265-$AD265</f>
        <v/>
      </c>
      <c r="AK265" s="55">
        <f>IF($B265=$B264,$AK264,0)+$AJ265</f>
        <v/>
      </c>
      <c r="AL265" s="55">
        <f>$AL264+$AJ265</f>
        <v/>
      </c>
      <c r="AM265" s="55">
        <f>SUMIFS(tblMiningDaily[Drill_m],tblMiningDaily[Date],$A265)</f>
        <v/>
      </c>
      <c r="AN265" s="55">
        <f>IF($B265=$B264,$AN264,0)+$AM265</f>
        <v/>
      </c>
      <c r="AO265" s="55">
        <f>$AO264+$AM265</f>
        <v/>
      </c>
      <c r="AP265" s="55">
        <f>SUMIFS(tblMiningDaily[GC_Drill_m],tblMiningDaily[Date],$A265)</f>
        <v/>
      </c>
      <c r="AQ265" s="55">
        <f>IF($B265=$B264,$AQ264,0)+$AP265</f>
        <v/>
      </c>
      <c r="AR265" s="55">
        <f>$AR264+$AP265</f>
        <v/>
      </c>
      <c r="AS265" s="55">
        <f>SUMIFS(tblMiningDaily[Blast_t],tblMiningDaily[Date],$A265)</f>
        <v/>
      </c>
      <c r="AT265" s="55">
        <f>IF($B265=$B264,$AT264,0)+$AS265</f>
        <v/>
      </c>
      <c r="AU265" s="55">
        <f>$AU264+$AS265</f>
        <v/>
      </c>
      <c r="AV265" s="55">
        <f>SUMIFS(tblMiningDaily[Explosives_kg],tblMiningDaily[Date],$A265)</f>
        <v/>
      </c>
      <c r="AW265" s="55">
        <f>IF($B265=$B264,$AW264,0)+$AV265</f>
        <v/>
      </c>
      <c r="AX265" s="55">
        <f>$AX264+$AV265</f>
        <v/>
      </c>
      <c r="AY265" s="56">
        <f>IFERROR(IF(($AS265)&gt;0,($AV265)/($AS265),""),"")</f>
        <v/>
      </c>
      <c r="AZ265" s="56">
        <f>IFERROR(IF(($AT265)&gt;0,($AW265)/($AT265),""),"")</f>
        <v/>
      </c>
      <c r="BA265" s="56">
        <f>IFERROR(IF(($AU265)&gt;0,($AX265)/($AU265),""),"")</f>
        <v/>
      </c>
      <c r="BB265" s="55">
        <f>SUMIFS(tblMiningDaily[Diesel_L],tblMiningDaily[Date],$A265)</f>
        <v/>
      </c>
      <c r="BC265" s="55">
        <f>IF($B265=$B264,$BC264,0)+$BB265</f>
        <v/>
      </c>
      <c r="BD265" s="55">
        <f>$BD264+$BB265</f>
        <v/>
      </c>
      <c r="BE265" s="55">
        <f>SUMIFS(tblMiningDaily[Dewatering_m3],tblMiningDaily[Date],$A265)</f>
        <v/>
      </c>
      <c r="BF265" s="55">
        <f>IF($B265=$B264,$BF264,0)+$BE265</f>
        <v/>
      </c>
      <c r="BG265" s="55">
        <f>$BG264+$BE265</f>
        <v/>
      </c>
      <c r="BH265" s="57">
        <f>SUMIFS(tblFleet[Calendar_h],tblFleet[Date],$A265,tblFleet[Equipment_Class],"Excavator")</f>
        <v/>
      </c>
      <c r="BI265" s="57">
        <f>IF($B265=$B264,$BI264,0)+$BH265</f>
        <v/>
      </c>
      <c r="BJ265" s="57">
        <f>$BJ264+$BH265</f>
        <v/>
      </c>
      <c r="BK265" s="57">
        <f>SUMIFS(tblFleet[Available_h],tblFleet[Date],$A265,tblFleet[Equipment_Class],"Excavator")</f>
        <v/>
      </c>
      <c r="BL265" s="57">
        <f>IF($B265=$B264,$BL264,0)+$BK265</f>
        <v/>
      </c>
      <c r="BM265" s="57">
        <f>$BM264+$BK265</f>
        <v/>
      </c>
      <c r="BN265" s="57">
        <f>SUMIFS(tblFleet[Operating_h],tblFleet[Date],$A265,tblFleet[Equipment_Class],"Excavator")</f>
        <v/>
      </c>
      <c r="BO265" s="57">
        <f>IF($B265=$B264,$BO264,0)+$BN265</f>
        <v/>
      </c>
      <c r="BP265" s="57">
        <f>$BP264+$BN265</f>
        <v/>
      </c>
      <c r="BQ265" s="67">
        <f>IFERROR(IF(($BH265)&gt;0,($BK265)/($BH265),""),"")</f>
        <v/>
      </c>
      <c r="BR265" s="67">
        <f>IFERROR(IF(($BI265)&gt;0,($BL265)/($BI265),""),"")</f>
        <v/>
      </c>
      <c r="BS265" s="67">
        <f>IFERROR(IF(($BJ265)&gt;0,($BM265)/($BJ265),""),"")</f>
        <v/>
      </c>
      <c r="BT265" s="67">
        <f>IFERROR(IF(($BK265)&gt;0,($BN265)/($BK265),""),"")</f>
        <v/>
      </c>
      <c r="BU265" s="67">
        <f>IFERROR(IF(($BL265)&gt;0,($BO265)/($BL265),""),"")</f>
        <v/>
      </c>
      <c r="BV265" s="67">
        <f>IFERROR(IF(($BM265)&gt;0,($BP265)/($BM265),""),"")</f>
        <v/>
      </c>
      <c r="BW265" s="57">
        <f>SUMIFS(tblFleet[Calendar_h],tblFleet[Date],$A265,tblFleet[Equipment_Class],"Haul Truck")</f>
        <v/>
      </c>
      <c r="BX265" s="57">
        <f>IF($B265=$B264,$BX264,0)+$BW265</f>
        <v/>
      </c>
      <c r="BY265" s="57">
        <f>$BY264+$BW265</f>
        <v/>
      </c>
      <c r="BZ265" s="57">
        <f>SUMIFS(tblFleet[Available_h],tblFleet[Date],$A265,tblFleet[Equipment_Class],"Haul Truck")</f>
        <v/>
      </c>
      <c r="CA265" s="57">
        <f>IF($B265=$B264,$CA264,0)+$BZ265</f>
        <v/>
      </c>
      <c r="CB265" s="57">
        <f>$CB264+$BZ265</f>
        <v/>
      </c>
      <c r="CC265" s="57">
        <f>SUMIFS(tblFleet[Operating_h],tblFleet[Date],$A265,tblFleet[Equipment_Class],"Haul Truck")</f>
        <v/>
      </c>
      <c r="CD265" s="57">
        <f>IF($B265=$B264,$CD264,0)+$CC265</f>
        <v/>
      </c>
      <c r="CE265" s="57">
        <f>$CE264+$CC265</f>
        <v/>
      </c>
      <c r="CF265" s="67">
        <f>IFERROR(IF(($BW265)&gt;0,($BZ265)/($BW265),""),"")</f>
        <v/>
      </c>
      <c r="CG265" s="67">
        <f>IFERROR(IF(($BX265)&gt;0,($CA265)/($BX265),""),"")</f>
        <v/>
      </c>
      <c r="CH265" s="67">
        <f>IFERROR(IF(($BY265)&gt;0,($CB265)/($BY265),""),"")</f>
        <v/>
      </c>
      <c r="CI265" s="67">
        <f>IFERROR(IF(($BZ265)&gt;0,($CC265)/($BZ265),""),"")</f>
        <v/>
      </c>
      <c r="CJ265" s="67">
        <f>IFERROR(IF(($CA265)&gt;0,($CD265)/($CA265),""),"")</f>
        <v/>
      </c>
      <c r="CK265" s="67">
        <f>IFERROR(IF(($CB265)&gt;0,($CE265)/($CB265),""),"")</f>
        <v/>
      </c>
      <c r="CL265" s="55">
        <f>IFERROR(IF(($BN265)&gt;0,($X265+$AD265)/($BN265),""),"")</f>
        <v/>
      </c>
      <c r="CM265" s="55">
        <f>IFERROR(IF(($BO265)&gt;0,($Y265+$AE265)/($BO265),""),"")</f>
        <v/>
      </c>
      <c r="CN265" s="55">
        <f>IFERROR(IF(($BP265)&gt;0,($Z265+$AF265)/($BP265),""),"")</f>
        <v/>
      </c>
      <c r="CO265" s="55">
        <f>IFERROR(IF(($CC265)&gt;0,($X265+$AD265)/($CC265),""),"")</f>
        <v/>
      </c>
      <c r="CP265" s="55">
        <f>IFERROR(IF(($CD265)&gt;0,($Y265+$AE265)/($CD265),""),"")</f>
        <v/>
      </c>
      <c r="CQ265" s="55">
        <f>IFERROR(IF(($CE265)&gt;0,($Z265+$AF265)/($CE265),""),"")</f>
        <v/>
      </c>
      <c r="CR265" s="55">
        <f>SUMIFS(tblPlant[Crushed_t],tblPlant[Date],$A265)</f>
        <v/>
      </c>
      <c r="CS265" s="55">
        <f>IF($B265=$B264,$CS264,0)+$CR265</f>
        <v/>
      </c>
      <c r="CT265" s="55">
        <f>$CT264+$CR265</f>
        <v/>
      </c>
      <c r="CU265" s="55">
        <f>SUMIFS(tblPlant[Milled_t],tblPlant[Date],$A265)</f>
        <v/>
      </c>
      <c r="CV265" s="55">
        <f>IF($B265=$B264,$CV264,0)+$CU265</f>
        <v/>
      </c>
      <c r="CW265" s="55">
        <f>$CW264+$CU265</f>
        <v/>
      </c>
      <c r="CX265" s="55">
        <f>SUMIFS(tblPlant[Feed_oz],tblPlant[Date],$A265)</f>
        <v/>
      </c>
      <c r="CY265" s="55">
        <f>IF($B265=$B264,$CY264,0)+$CX265</f>
        <v/>
      </c>
      <c r="CZ265" s="55">
        <f>$CZ264+$CX265</f>
        <v/>
      </c>
      <c r="DA265" s="55">
        <f>SUMIFS(tblPlant[Tails_oz],tblPlant[Date],$A265)</f>
        <v/>
      </c>
      <c r="DB265" s="55">
        <f>IF($B265=$B264,$DB264,0)+$DA265</f>
        <v/>
      </c>
      <c r="DC265" s="55">
        <f>$DC264+$DA265</f>
        <v/>
      </c>
      <c r="DD265" s="55">
        <f>SUMIFS(tblPlant[Recovered_oz],tblPlant[Date],$A265)</f>
        <v/>
      </c>
      <c r="DE265" s="55">
        <f>IF($B265=$B264,$DE264,0)+$DD265</f>
        <v/>
      </c>
      <c r="DF265" s="55">
        <f>$DF264+$DD265</f>
        <v/>
      </c>
      <c r="DG265" s="55">
        <f>SUMIFS(tblPlant[Milled_t],tblPlant[Date],$A265,tblPlant[Head_Grade_gpt],"&lt;&gt;")</f>
        <v/>
      </c>
      <c r="DH265" s="55">
        <f>IF($B265=$B264,$DH264,0)+$DG265</f>
        <v/>
      </c>
      <c r="DI265" s="55">
        <f>$DI264+$DG265</f>
        <v/>
      </c>
      <c r="DJ265" s="55">
        <f>SUMIFS(tblPlant[Milled_t],tblPlant[Date],$A265,tblPlant[Tails_Grade_gpt],"&lt;&gt;")</f>
        <v/>
      </c>
      <c r="DK265" s="55">
        <f>IF($B265=$B264,$DK264,0)+$DJ265</f>
        <v/>
      </c>
      <c r="DL265" s="55">
        <f>$DL264+$DJ265</f>
        <v/>
      </c>
      <c r="DM265" s="55">
        <f>SUMIFS(tblPlant[Feed_oz],tblPlant[Date],$A265,tblPlant[Tails_Grade_gpt],"&lt;&gt;")</f>
        <v/>
      </c>
      <c r="DN265" s="55">
        <f>IF($B265=$B264,$DN264,0)+$DM265</f>
        <v/>
      </c>
      <c r="DO265" s="55">
        <f>$DO264+$DM265</f>
        <v/>
      </c>
      <c r="DP265" s="55">
        <f>SUMIFS(tblPlant[Milled_t],tblPlant[Date],$A265,tblPlant[Mill_Run_h],"&lt;&gt;")</f>
        <v/>
      </c>
      <c r="DQ265" s="55">
        <f>IF($B265=$B264,$DQ264,0)+$DP265</f>
        <v/>
      </c>
      <c r="DR265" s="55">
        <f>$DR264+$DP265</f>
        <v/>
      </c>
      <c r="DS265" s="56">
        <f>IFERROR(IF(($DG265)&gt;0,($CX265*cfg_TroyOz)/($DG265),""),"")</f>
        <v/>
      </c>
      <c r="DT265" s="56">
        <f>IFERROR(IF(($DH265)&gt;0,($CY265*cfg_TroyOz)/($DH265),""),"")</f>
        <v/>
      </c>
      <c r="DU265" s="56">
        <f>IFERROR(IF(($DI265)&gt;0,($CZ265*cfg_TroyOz)/($DI265),""),"")</f>
        <v/>
      </c>
      <c r="DV265" s="56">
        <f>IFERROR(IF(($DJ265)&gt;0,($DA265*cfg_TroyOz)/($DJ265),""),"")</f>
        <v/>
      </c>
      <c r="DW265" s="56">
        <f>IFERROR(IF(($DK265)&gt;0,($DB265*cfg_TroyOz)/($DK265),""),"")</f>
        <v/>
      </c>
      <c r="DX265" s="56">
        <f>IFERROR(IF(($DL265)&gt;0,($DC265*cfg_TroyOz)/($DL265),""),"")</f>
        <v/>
      </c>
      <c r="DY265" s="67">
        <f>IFERROR(IF(($DM265)&gt;0,($DD265)/($DM265),""),"")</f>
        <v/>
      </c>
      <c r="DZ265" s="67">
        <f>IFERROR(IF(($DN265)&gt;0,($DE265)/($DN265),""),"")</f>
        <v/>
      </c>
      <c r="EA265" s="67">
        <f>IFERROR(IF(($DO265)&gt;0,($DF265)/($DO265),""),"")</f>
        <v/>
      </c>
      <c r="EB265" s="55">
        <f>SUMIFS(tblPlant[Gravity_Gold_oz],tblPlant[Date],$A265)</f>
        <v/>
      </c>
      <c r="EC265" s="55">
        <f>IF($B265=$B264,$EC264,0)+$EB265</f>
        <v/>
      </c>
      <c r="ED265" s="55">
        <f>$ED264+$EB265</f>
        <v/>
      </c>
      <c r="EE265" s="67">
        <f>IFERROR(IF(($DD265)&gt;0,($EB265)/($DD265),""),"")</f>
        <v/>
      </c>
      <c r="EF265" s="67">
        <f>IFERROR(IF(($DE265)&gt;0,($EC265)/($DE265),""),"")</f>
        <v/>
      </c>
      <c r="EG265" s="67">
        <f>IFERROR(IF(($DF265)&gt;0,($ED265)/($DF265),""),"")</f>
        <v/>
      </c>
      <c r="EH265" s="55">
        <f>SUMIFS(tblPlant[Gold_Poured_oz],tblPlant[Date],$A265)</f>
        <v/>
      </c>
      <c r="EI265" s="55">
        <f>IF($B265=$B264,$EI264,0)+$EH265</f>
        <v/>
      </c>
      <c r="EJ265" s="55">
        <f>$EJ264+$EH265</f>
        <v/>
      </c>
      <c r="EK265" s="57">
        <f>SUMIFS(tblPlant[Mill_Run_h],tblPlant[Date],$A265)</f>
        <v/>
      </c>
      <c r="EL265" s="57">
        <f>IF($B265=$B264,$EL264,0)+$EK265</f>
        <v/>
      </c>
      <c r="EM265" s="57">
        <f>$EM264+$EK265</f>
        <v/>
      </c>
      <c r="EN265" s="57">
        <f>SUMIFS(tblPlant[Mill_Planned_Maint_h],tblPlant[Date],$A265)</f>
        <v/>
      </c>
      <c r="EO265" s="57">
        <f>IF($B265=$B264,$EO264,0)+$EN265</f>
        <v/>
      </c>
      <c r="EP265" s="57">
        <f>$EP264+$EN265</f>
        <v/>
      </c>
      <c r="EQ265" s="57">
        <f>SUMIFS(tblPlant[Mill_Unplanned_Down_h],tblPlant[Date],$A265)</f>
        <v/>
      </c>
      <c r="ER265" s="57">
        <f>IF($B265=$B264,$ER264,0)+$EQ265</f>
        <v/>
      </c>
      <c r="ES265" s="57">
        <f>$ES264+$EQ265</f>
        <v/>
      </c>
      <c r="ET265" s="57">
        <f>IF(COUNTIFS(tblPlant[Date],$A265,tblPlant[Mill_Run_h],"&lt;&gt;")+COUNTIFS(tblPlant[Date],$A265,tblPlant[Mill_Planned_Maint_h],"&lt;&gt;")+COUNTIFS(tblPlant[Date],$A265,tblPlant[Mill_Unplanned_Down_h],"&lt;&gt;")&gt;0,cfg_HoursPerDay,0)</f>
        <v/>
      </c>
      <c r="EU265" s="57">
        <f>IF($B265=$B264,$EU264,0)+$ET265</f>
        <v/>
      </c>
      <c r="EV265" s="57">
        <f>$EV264+$ET265</f>
        <v/>
      </c>
      <c r="EW265" s="57">
        <f>SUMIFS(tblPlant[Crusher_Run_h],tblPlant[Date],$A265)</f>
        <v/>
      </c>
      <c r="EX265" s="57">
        <f>IF($B265=$B264,$EX264,0)+$EW265</f>
        <v/>
      </c>
      <c r="EY265" s="57">
        <f>$EY264+$EW265</f>
        <v/>
      </c>
      <c r="EZ265" s="55">
        <f>IFERROR(IF(($EK265)&gt;0,($DP265)/($EK265),""),"")</f>
        <v/>
      </c>
      <c r="FA265" s="55">
        <f>IFERROR(IF(($EL265)&gt;0,($DQ265)/($EL265),""),"")</f>
        <v/>
      </c>
      <c r="FB265" s="55">
        <f>IFERROR(IF(($EM265)&gt;0,($DR265)/($EM265),""),"")</f>
        <v/>
      </c>
      <c r="FC265" s="67">
        <f>IFERROR(IF(($ET265)&gt;0,($ET265-$EN265-$EQ265)/($ET265),""),"")</f>
        <v/>
      </c>
      <c r="FD265" s="67">
        <f>IFERROR(IF(($EU265)&gt;0,($EU265-$EO265-$ER265)/($EU265),""),"")</f>
        <v/>
      </c>
      <c r="FE265" s="67">
        <f>IFERROR(IF(($EV265)&gt;0,($EV265-$EP265-$ES265)/($EV265),""),"")</f>
        <v/>
      </c>
      <c r="FF265" s="67">
        <f>IFERROR(IF(($ET265-$EN265-$EQ265)&gt;0,($EK265)/($ET265-$EN265-$EQ265),""),"")</f>
        <v/>
      </c>
      <c r="FG265" s="67">
        <f>IFERROR(IF(($EU265-$EO265-$ER265)&gt;0,($EL265)/($EU265-$EO265-$ER265),""),"")</f>
        <v/>
      </c>
      <c r="FH265" s="67">
        <f>IFERROR(IF(($EV265-$EP265-$ES265)&gt;0,($EM265)/($EV265-$EP265-$ES265),""),"")</f>
        <v/>
      </c>
      <c r="FI265" s="55">
        <f>SUMIFS(tblPlant[Cyanide_kg],tblPlant[Date],$A265)</f>
        <v/>
      </c>
      <c r="FJ265" s="55">
        <f>IF($B265=$B264,$FJ264,0)+$FI265</f>
        <v/>
      </c>
      <c r="FK265" s="55">
        <f>$FK264+$FI265</f>
        <v/>
      </c>
      <c r="FL265" s="55">
        <f>SUMIFS(tblPlant[Lime_kg],tblPlant[Date],$A265)</f>
        <v/>
      </c>
      <c r="FM265" s="55">
        <f>IF($B265=$B264,$FM264,0)+$FL265</f>
        <v/>
      </c>
      <c r="FN265" s="55">
        <f>$FN264+$FL265</f>
        <v/>
      </c>
      <c r="FO265" s="55">
        <f>SUMIFS(tblPlant[Grinding_Media_kg],tblPlant[Date],$A265)</f>
        <v/>
      </c>
      <c r="FP265" s="55">
        <f>IF($B265=$B264,$FP264,0)+$FO265</f>
        <v/>
      </c>
      <c r="FQ265" s="55">
        <f>$FQ264+$FO265</f>
        <v/>
      </c>
      <c r="FR265" s="55">
        <f>SUMIFS(tblPlant[Power_kWh],tblPlant[Date],$A265)</f>
        <v/>
      </c>
      <c r="FS265" s="55">
        <f>IF($B265=$B264,$FS264,0)+$FR265</f>
        <v/>
      </c>
      <c r="FT265" s="55">
        <f>$FT264+$FR265</f>
        <v/>
      </c>
      <c r="FU265" s="55">
        <f>SUMIFS(tblPlant[Raw_Water_m3],tblPlant[Date],$A265)</f>
        <v/>
      </c>
      <c r="FV265" s="55">
        <f>IF($B265=$B264,$FV264,0)+$FU265</f>
        <v/>
      </c>
      <c r="FW265" s="55">
        <f>$FW264+$FU265</f>
        <v/>
      </c>
      <c r="FX265" s="56">
        <f>IFERROR(IF(($CU265)&gt;0,($FI265)/($CU265),""),"")</f>
        <v/>
      </c>
      <c r="FY265" s="56">
        <f>IFERROR(IF(($CV265)&gt;0,($FJ265)/($CV265),""),"")</f>
        <v/>
      </c>
      <c r="FZ265" s="56">
        <f>IFERROR(IF(($CW265)&gt;0,($FK265)/($CW265),""),"")</f>
        <v/>
      </c>
      <c r="GA265" s="56">
        <f>IFERROR(IF(($CU265)&gt;0,($FL265)/($CU265),""),"")</f>
        <v/>
      </c>
      <c r="GB265" s="56">
        <f>IFERROR(IF(($CV265)&gt;0,($FM265)/($CV265),""),"")</f>
        <v/>
      </c>
      <c r="GC265" s="56">
        <f>IFERROR(IF(($CW265)&gt;0,($FN265)/($CW265),""),"")</f>
        <v/>
      </c>
      <c r="GD265" s="56">
        <f>IFERROR(IF(($CU265)&gt;0,($FO265)/($CU265),""),"")</f>
        <v/>
      </c>
      <c r="GE265" s="56">
        <f>IFERROR(IF(($CV265)&gt;0,($FP265)/($CV265),""),"")</f>
        <v/>
      </c>
      <c r="GF265" s="56">
        <f>IFERROR(IF(($CW265)&gt;0,($FQ265)/($CW265),""),"")</f>
        <v/>
      </c>
      <c r="GG265" s="79">
        <f>IFERROR(IF(($CU265)&gt;0,($FR265)/($CU265),""),"")</f>
        <v/>
      </c>
      <c r="GH265" s="79">
        <f>IFERROR(IF(($CV265)&gt;0,($FS265)/($CV265),""),"")</f>
        <v/>
      </c>
      <c r="GI265" s="79">
        <f>IFERROR(IF(($CW265)&gt;0,($FT265)/($CW265),""),"")</f>
        <v/>
      </c>
      <c r="GJ265" s="56">
        <f>IFERROR(IF(($CU265)&gt;0,($FU265)/($CU265),""),"")</f>
        <v/>
      </c>
      <c r="GK265" s="56">
        <f>IFERROR(IF(($CV265)&gt;0,($FV265)/($CV265),""),"")</f>
        <v/>
      </c>
      <c r="GL265" s="56">
        <f>IFERROR(IF(($CW265)&gt;0,($FW265)/($CW265),""),"")</f>
        <v/>
      </c>
      <c r="GM265" s="55">
        <f>IF(SUMIFS(tblPlant[GIC_oz],tblPlant[Date],$A265)&gt;0,SUMIFS(tblPlant[GIC_oz],tblPlant[Date],$A265),"")</f>
        <v/>
      </c>
      <c r="GN265" s="55">
        <f>SUMIFS(tblGold[Gold_oz],tblGold[Date],$A265,tblGold[Type],"Shipment")</f>
        <v/>
      </c>
      <c r="GO265" s="55">
        <f>IF($B265=$B264,$GO264,0)+$GN265</f>
        <v/>
      </c>
      <c r="GP265" s="55">
        <f>$GP264+$GN265</f>
        <v/>
      </c>
      <c r="GQ265" s="55">
        <f>SUMIFS(tblGold[Gold_oz],tblGold[Date],$A265,tblGold[Type],"Sale")</f>
        <v/>
      </c>
      <c r="GR265" s="55">
        <f>IF($B265=$B264,$GR264,0)+$GQ265</f>
        <v/>
      </c>
      <c r="GS265" s="55">
        <f>$GS264+$GQ265</f>
        <v/>
      </c>
      <c r="GT265" s="55">
        <f>SUMIFS(tblGold[Dore_kg],tblGold[Date],$A265,tblGold[Type],"Shipment")</f>
        <v/>
      </c>
      <c r="GU265" s="55">
        <f>IF($B265=$B264,$GU264,0)+$GT265</f>
        <v/>
      </c>
      <c r="GV265" s="55">
        <f>$GV264+$GT265</f>
        <v/>
      </c>
      <c r="GW265" s="57">
        <f>SUMIFS(tblSafety[Hours_Total],tblSafety[Date],$A265)</f>
        <v/>
      </c>
      <c r="GX265" s="57">
        <f>IF($B265=$B264,$GX264,0)+$GW265</f>
        <v/>
      </c>
      <c r="GY265" s="57">
        <f>$GY264+$GW265</f>
        <v/>
      </c>
      <c r="GZ265" s="62">
        <f>SUMIFS(tblSafety[Fatality],tblSafety[Date],$A265)</f>
        <v/>
      </c>
      <c r="HA265" s="62">
        <f>IF($B265=$B264,$HA264,0)+$GZ265</f>
        <v/>
      </c>
      <c r="HB265" s="62">
        <f>$HB264+$GZ265</f>
        <v/>
      </c>
      <c r="HC265" s="62">
        <f>SUMIFS(tblSafety[LTI],tblSafety[Date],$A265)</f>
        <v/>
      </c>
      <c r="HD265" s="62">
        <f>IF($B265=$B264,$HD264,0)+$HC265</f>
        <v/>
      </c>
      <c r="HE265" s="62">
        <f>$HE264+$HC265</f>
        <v/>
      </c>
      <c r="HF265" s="62">
        <f>SUMIFS(tblSafety[RWI],tblSafety[Date],$A265)</f>
        <v/>
      </c>
      <c r="HG265" s="62">
        <f>IF($B265=$B264,$HG264,0)+$HF265</f>
        <v/>
      </c>
      <c r="HH265" s="62">
        <f>$HH264+$HF265</f>
        <v/>
      </c>
      <c r="HI265" s="62">
        <f>SUMIFS(tblSafety[MTI],tblSafety[Date],$A265)</f>
        <v/>
      </c>
      <c r="HJ265" s="62">
        <f>IF($B265=$B264,$HJ264,0)+$HI265</f>
        <v/>
      </c>
      <c r="HK265" s="62">
        <f>$HK264+$HI265</f>
        <v/>
      </c>
      <c r="HL265" s="62">
        <f>SUMIFS(tblSafety[FAI],tblSafety[Date],$A265)</f>
        <v/>
      </c>
      <c r="HM265" s="62">
        <f>IF($B265=$B264,$HM264,0)+$HL265</f>
        <v/>
      </c>
      <c r="HN265" s="62">
        <f>$HN264+$HL265</f>
        <v/>
      </c>
      <c r="HO265" s="62">
        <f>SUMIFS(tblSafety[Recordables],tblSafety[Date],$A265)</f>
        <v/>
      </c>
      <c r="HP265" s="62">
        <f>IF($B265=$B264,$HP264,0)+$HO265</f>
        <v/>
      </c>
      <c r="HQ265" s="62">
        <f>$HQ264+$HO265</f>
        <v/>
      </c>
      <c r="HR265" s="62">
        <f>SUMIFS(tblSafety[Near_Miss],tblSafety[Date],$A265)</f>
        <v/>
      </c>
      <c r="HS265" s="62">
        <f>IF($B265=$B264,$HS264,0)+$HR265</f>
        <v/>
      </c>
      <c r="HT265" s="62">
        <f>$HT264+$HR265</f>
        <v/>
      </c>
      <c r="HU265" s="62">
        <f>SUMIFS(tblSafety[Hazard_Reports],tblSafety[Date],$A265)</f>
        <v/>
      </c>
      <c r="HV265" s="62">
        <f>IF($B265=$B264,$HV264,0)+$HU265</f>
        <v/>
      </c>
      <c r="HW265" s="62">
        <f>$HW264+$HU265</f>
        <v/>
      </c>
      <c r="HX265" s="62">
        <f>SUMIFS(tblSafety[HPI],tblSafety[Date],$A265)</f>
        <v/>
      </c>
      <c r="HY265" s="62">
        <f>IF($B265=$B264,$HY264,0)+$HX265</f>
        <v/>
      </c>
      <c r="HZ265" s="62">
        <f>$HZ264+$HX265</f>
        <v/>
      </c>
      <c r="IA265" s="62">
        <f>SUMIFS(tblSafety[Env_Incidents],tblSafety[Date],$A265)</f>
        <v/>
      </c>
      <c r="IB265" s="62">
        <f>IF($B265=$B264,$IB264,0)+$IA265</f>
        <v/>
      </c>
      <c r="IC265" s="62">
        <f>$IC264+$IA265</f>
        <v/>
      </c>
      <c r="ID265" s="62">
        <f>SUMIFS(tblSafety[Community_Incidents],tblSafety[Date],$A265)</f>
        <v/>
      </c>
      <c r="IE265" s="62">
        <f>IF($B265=$B264,$IE264,0)+$ID265</f>
        <v/>
      </c>
      <c r="IF265" s="62">
        <f>$IF264+$ID265</f>
        <v/>
      </c>
      <c r="IG265" s="62">
        <f>SUMIFS(tblSafety[Vehicle_Incidents],tblSafety[Date],$A265)</f>
        <v/>
      </c>
      <c r="IH265" s="62">
        <f>IF($B265=$B264,$IH264,0)+$IG265</f>
        <v/>
      </c>
      <c r="II265" s="62">
        <f>$II264+$IG265</f>
        <v/>
      </c>
      <c r="IJ265" s="62">
        <f>SUMIFS(tblSafety[Toolbox_Talks],tblSafety[Date],$A265)</f>
        <v/>
      </c>
      <c r="IK265" s="62">
        <f>IF($B265=$B264,$IK264,0)+$IJ265</f>
        <v/>
      </c>
      <c r="IL265" s="62">
        <f>$IL264+$IJ265</f>
        <v/>
      </c>
      <c r="IM265" s="62">
        <f>SUMIFS(tblSafety[Inspections],tblSafety[Date],$A265)</f>
        <v/>
      </c>
      <c r="IN265" s="62">
        <f>IF($B265=$B264,$IN264,0)+$IM265</f>
        <v/>
      </c>
      <c r="IO265" s="62">
        <f>$IO264+$IM265</f>
        <v/>
      </c>
      <c r="IP265" s="56">
        <f>IFERROR((SUMIFS(tblSafety[Recordables],tblSafety[Date],"&gt;="&amp;EDATE($E265,-12),tblSafety[Date],"&lt;="&amp;$A265)+SUMIFS(tblSafetyHistory[Recordables],tblSafetyHistory[Month],"&gt;="&amp;EDATE($E265,-12),tblSafetyHistory[Month],"&lt;"&amp;$E265,tblSafetyHistory[Use],1))/(SUMIFS(tblSafety[Hours_Total],tblSafety[Date],"&gt;="&amp;EDATE($E265,-12),tblSafety[Date],"&lt;="&amp;$A265)+SUMIFS(tblSafetyHistory[Hours_Total],tblSafetyHistory[Month],"&gt;="&amp;EDATE($E265,-12),tblSafetyHistory[Month],"&lt;"&amp;$E265,tblSafetyHistory[Use],1))*cfg_RateBasisHours,"")</f>
        <v/>
      </c>
      <c r="IQ265" s="56">
        <f>IFERROR((SUMIFS(tblSafety[LTI],tblSafety[Date],"&gt;="&amp;EDATE($E265,-12),tblSafety[Date],"&lt;="&amp;$A265)+SUMIFS(tblSafetyHistory[LTI],tblSafetyHistory[Month],"&gt;="&amp;EDATE($E265,-12),tblSafetyHistory[Month],"&lt;"&amp;$E265,tblSafetyHistory[Use],1))/(SUMIFS(tblSafety[Hours_Total],tblSafety[Date],"&gt;="&amp;EDATE($E265,-12),tblSafety[Date],"&lt;="&amp;$A265)+SUMIFS(tblSafetyHistory[Hours_Total],tblSafetyHistory[Month],"&gt;="&amp;EDATE($E265,-12),tblSafetyHistory[Month],"&lt;"&amp;$E265,tblSafetyHistory[Use],1))*cfg_RateBasisHours,"")</f>
        <v/>
      </c>
      <c r="IR265" s="62">
        <f>IF(MAX(N(cfg_PriorLTIDate),_xlfn.MAXIFS(tblSafety[Date],tblSafety[LTI],"&gt;0",tblSafety[Date],"&lt;="&amp;$A265))=0,"",$A265-MAX(N(cfg_PriorLTIDate),_xlfn.MAXIFS(tblSafety[Date],tblSafety[LTI],"&gt;0",tblSafety[Date],"&lt;="&amp;$A265)))</f>
        <v/>
      </c>
      <c r="IS265" s="55">
        <f>SUMIFS(tblBudget[Ore_Mined_t],tblBudget[Month],$E265)</f>
        <v/>
      </c>
      <c r="IT265" s="55">
        <f>$IS265*$C265/$D265</f>
        <v/>
      </c>
      <c r="IU265" s="55">
        <f>SUMIFS(tblBudget[Ore_Mined_t],tblBudget[Month],"&lt;"&amp;$E265)+$IT265</f>
        <v/>
      </c>
      <c r="IV265" s="55">
        <f>SUMIFS(tblBudget[Ore_oz],tblBudget[Month],$E265)</f>
        <v/>
      </c>
      <c r="IW265" s="55">
        <f>$IV265*$C265/$D265</f>
        <v/>
      </c>
      <c r="IX265" s="55">
        <f>SUMIFS(tblBudget[Ore_oz],tblBudget[Month],"&lt;"&amp;$E265)+$IW265</f>
        <v/>
      </c>
      <c r="IY265" s="55">
        <f>SUMIFS(tblBudget[Ore_Mined_t],tblBudget[Month],$E265)</f>
        <v/>
      </c>
      <c r="IZ265" s="55">
        <f>$IY265*$C265/$D265</f>
        <v/>
      </c>
      <c r="JA265" s="55">
        <f>SUMIFS(tblBudget[Ore_Mined_t],tblBudget[Month],"&lt;"&amp;$E265)+$IZ265</f>
        <v/>
      </c>
      <c r="JB265" s="56">
        <f>IFERROR(IF(($IY265)&gt;0,($IV265*cfg_TroyOz)/($IY265),""),"")</f>
        <v/>
      </c>
      <c r="JC265" s="56">
        <f>IFERROR(IF(($IZ265)&gt;0,($IW265*cfg_TroyOz)/($IZ265),""),"")</f>
        <v/>
      </c>
      <c r="JD265" s="56">
        <f>IFERROR(IF(($JA265)&gt;0,($IX265*cfg_TroyOz)/($JA265),""),"")</f>
        <v/>
      </c>
      <c r="JE265" s="55">
        <f>SUMIFS(tblBudget[Waste_t],tblBudget[Month],$E265)</f>
        <v/>
      </c>
      <c r="JF265" s="55">
        <f>$JE265*$C265/$D265</f>
        <v/>
      </c>
      <c r="JG265" s="55">
        <f>SUMIFS(tblBudget[Waste_t],tblBudget[Month],"&lt;"&amp;$E265)+$JF265</f>
        <v/>
      </c>
      <c r="JH265" s="55">
        <f>SUMIFS(tblBudget[TMM_t],tblBudget[Month],$E265)</f>
        <v/>
      </c>
      <c r="JI265" s="55">
        <f>$JH265*$C265/$D265</f>
        <v/>
      </c>
      <c r="JJ265" s="55">
        <f>SUMIFS(tblBudget[TMM_t],tblBudget[Month],"&lt;"&amp;$E265)+$JI265</f>
        <v/>
      </c>
      <c r="JK265" s="56">
        <f>IFERROR(IF(($IS265)&gt;0,($JE265)/($IS265),""),"")</f>
        <v/>
      </c>
      <c r="JL265" s="56">
        <f>IFERROR(IF(($IT265)&gt;0,($JF265)/($IT265),""),"")</f>
        <v/>
      </c>
      <c r="JM265" s="56">
        <f>IFERROR(IF(($IU265)&gt;0,($JG265)/($IU265),""),"")</f>
        <v/>
      </c>
      <c r="JN265" s="55">
        <f>SUMIFS(tblBudget[Drill_m],tblBudget[Month],$E265)</f>
        <v/>
      </c>
      <c r="JO265" s="55">
        <f>$JN265*$C265/$D265</f>
        <v/>
      </c>
      <c r="JP265" s="55">
        <f>SUMIFS(tblBudget[Drill_m],tblBudget[Month],"&lt;"&amp;$E265)+$JO265</f>
        <v/>
      </c>
      <c r="JQ265" s="55">
        <f>SUMIFS(tblBudget[Diesel_L],tblBudget[Month],$E265)</f>
        <v/>
      </c>
      <c r="JR265" s="55">
        <f>$JQ265*$C265/$D265</f>
        <v/>
      </c>
      <c r="JS265" s="55">
        <f>SUMIFS(tblBudget[Diesel_L],tblBudget[Month],"&lt;"&amp;$E265)+$JR265</f>
        <v/>
      </c>
      <c r="JT265" s="55">
        <f>SUMIFS(tblBudget[Milled_t],tblBudget[Month],$E265)</f>
        <v/>
      </c>
      <c r="JU265" s="55">
        <f>$JT265*$C265/$D265</f>
        <v/>
      </c>
      <c r="JV265" s="55">
        <f>SUMIFS(tblBudget[Milled_t],tblBudget[Month],"&lt;"&amp;$E265)+$JU265</f>
        <v/>
      </c>
      <c r="JW265" s="55">
        <f>SUMIFS(tblBudget[Feed_oz],tblBudget[Month],$E265)</f>
        <v/>
      </c>
      <c r="JX265" s="55">
        <f>$JW265*$C265/$D265</f>
        <v/>
      </c>
      <c r="JY265" s="55">
        <f>SUMIFS(tblBudget[Feed_oz],tblBudget[Month],"&lt;"&amp;$E265)+$JX265</f>
        <v/>
      </c>
      <c r="JZ265" s="55">
        <f>SUMIFS(tblBudget[Recovered_oz],tblBudget[Month],$E265)</f>
        <v/>
      </c>
      <c r="KA265" s="55">
        <f>$JZ265*$C265/$D265</f>
        <v/>
      </c>
      <c r="KB265" s="55">
        <f>SUMIFS(tblBudget[Recovered_oz],tblBudget[Month],"&lt;"&amp;$E265)+$KA265</f>
        <v/>
      </c>
      <c r="KC265" s="55">
        <f>SUMIFS(tblBudget[Milled_t],tblBudget[Month],$E265)</f>
        <v/>
      </c>
      <c r="KD265" s="55">
        <f>$KC265*$C265/$D265</f>
        <v/>
      </c>
      <c r="KE265" s="55">
        <f>SUMIFS(tblBudget[Milled_t],tblBudget[Month],"&lt;"&amp;$E265)+$KD265</f>
        <v/>
      </c>
      <c r="KF265" s="55">
        <f>SUMIFS(tblBudget[Feed_oz],tblBudget[Month],$E265)</f>
        <v/>
      </c>
      <c r="KG265" s="55">
        <f>$KF265*$C265/$D265</f>
        <v/>
      </c>
      <c r="KH265" s="55">
        <f>SUMIFS(tblBudget[Feed_oz],tblBudget[Month],"&lt;"&amp;$E265)+$KG265</f>
        <v/>
      </c>
      <c r="KI265" s="56">
        <f>IFERROR(IF(($KC265)&gt;0,($JW265*cfg_TroyOz)/($KC265),""),"")</f>
        <v/>
      </c>
      <c r="KJ265" s="56">
        <f>IFERROR(IF(($KD265)&gt;0,($JX265*cfg_TroyOz)/($KD265),""),"")</f>
        <v/>
      </c>
      <c r="KK265" s="56">
        <f>IFERROR(IF(($KE265)&gt;0,($JY265*cfg_TroyOz)/($KE265),""),"")</f>
        <v/>
      </c>
      <c r="KL265" s="67">
        <f>IFERROR(IF(($KF265)&gt;0,($JZ265)/($KF265),""),"")</f>
        <v/>
      </c>
      <c r="KM265" s="67">
        <f>IFERROR(IF(($KG265)&gt;0,($KA265)/($KG265),""),"")</f>
        <v/>
      </c>
      <c r="KN265" s="67">
        <f>IFERROR(IF(($KH265)&gt;0,($KB265)/($KH265),""),"")</f>
        <v/>
      </c>
      <c r="KO265" s="55">
        <f>SUMIFS(tblBudget[Gold_Poured_oz],tblBudget[Month],$E265)</f>
        <v/>
      </c>
      <c r="KP265" s="55">
        <f>$KO265*$C265/$D265</f>
        <v/>
      </c>
      <c r="KQ265" s="55">
        <f>SUMIFS(tblBudget[Gold_Poured_oz],tblBudget[Month],"&lt;"&amp;$E265)+$KP265</f>
        <v/>
      </c>
      <c r="KR265" s="57">
        <f>SUMIFS(tblBudget[Hours_Worked],tblBudget[Month],$E265)</f>
        <v/>
      </c>
      <c r="KS265" s="57">
        <f>$KR265*$C265/$D265</f>
        <v/>
      </c>
      <c r="KT265" s="57">
        <f>SUMIFS(tblBudget[Hours_Worked],tblBudget[Month],"&lt;"&amp;$E265)+$KS265</f>
        <v/>
      </c>
    </row>
    <row r="266">
      <c r="A266" s="54" t="n">
        <v>46287</v>
      </c>
      <c r="B266">
        <f>MONTH($A266)</f>
        <v/>
      </c>
      <c r="C266">
        <f>DAY($A266)</f>
        <v/>
      </c>
      <c r="D266">
        <f>DAY(EOMONTH($A266,0))</f>
        <v/>
      </c>
      <c r="E266" s="54">
        <f>DATE(YEAR($A266),MONTH($A266),1)</f>
        <v/>
      </c>
      <c r="F266" s="55">
        <f>SUMIFS(tblMovement[Tonnes_t],tblMovement[Date],$A266,tblMovement[Is_Ore],1,tblMovement[Source_Type],"Pit")</f>
        <v/>
      </c>
      <c r="G266" s="55">
        <f>IF($B266=$B265,$G265,0)+$F266</f>
        <v/>
      </c>
      <c r="H266" s="55">
        <f>$H265+$F266</f>
        <v/>
      </c>
      <c r="I266" s="55">
        <f>SUMIFS(tblMovement[Ore_oz],tblMovement[Date],$A266,tblMovement[Source_Type],"Pit")</f>
        <v/>
      </c>
      <c r="J266" s="55">
        <f>IF($B266=$B265,$J265,0)+$I266</f>
        <v/>
      </c>
      <c r="K266" s="55">
        <f>$K265+$I266</f>
        <v/>
      </c>
      <c r="L266" s="55">
        <f>SUMIFS(tblMovement[Tonnes_t],tblMovement[Date],$A266,tblMovement[Is_Ore],1,tblMovement[Source_Type],"Pit",tblMovement[Grade_gpt],"&lt;&gt;")</f>
        <v/>
      </c>
      <c r="M266" s="55">
        <f>IF($B266=$B265,$M265,0)+$L266</f>
        <v/>
      </c>
      <c r="N266" s="55">
        <f>$N265+$L266</f>
        <v/>
      </c>
      <c r="O266" s="56">
        <f>IFERROR(IF(($L266)&gt;0,($I266*cfg_TroyOz)/($L266),""),"")</f>
        <v/>
      </c>
      <c r="P266" s="56">
        <f>IFERROR(IF(($M266)&gt;0,($J266*cfg_TroyOz)/($M266),""),"")</f>
        <v/>
      </c>
      <c r="Q266" s="56">
        <f>IFERROR(IF(($N266)&gt;0,($K266*cfg_TroyOz)/($N266),""),"")</f>
        <v/>
      </c>
      <c r="R266" s="55">
        <f>$F266-$L266</f>
        <v/>
      </c>
      <c r="S266" s="55">
        <f>IF($B266=$B265,$S265,0)+$R266</f>
        <v/>
      </c>
      <c r="T266" s="55">
        <f>$T265+$R266</f>
        <v/>
      </c>
      <c r="U266" s="55">
        <f>SUMIFS(tblMovement[Tonnes_t],tblMovement[Date],$A266,tblMovement[Is_Ore],0,tblMovement[Source_Type],"Pit")</f>
        <v/>
      </c>
      <c r="V266" s="55">
        <f>IF($B266=$B265,$V265,0)+$U266</f>
        <v/>
      </c>
      <c r="W266" s="55">
        <f>$W265+$U266</f>
        <v/>
      </c>
      <c r="X266" s="55">
        <f>$F266+$U266</f>
        <v/>
      </c>
      <c r="Y266" s="55">
        <f>IF($B266=$B265,$Y265,0)+$X266</f>
        <v/>
      </c>
      <c r="Z266" s="55">
        <f>$Z265+$X266</f>
        <v/>
      </c>
      <c r="AA266" s="56">
        <f>IFERROR(IF(($F266)&gt;0,($U266)/($F266),""),"")</f>
        <v/>
      </c>
      <c r="AB266" s="56">
        <f>IFERROR(IF(($G266)&gt;0,($V266)/($G266),""),"")</f>
        <v/>
      </c>
      <c r="AC266" s="56">
        <f>IFERROR(IF(($H266)&gt;0,($W266)/($H266),""),"")</f>
        <v/>
      </c>
      <c r="AD266" s="55">
        <f>SUMIFS(tblMovement[Tonnes_t],tblMovement[Date],$A266,tblMovement[Source_Type],"Stockpile")</f>
        <v/>
      </c>
      <c r="AE266" s="55">
        <f>IF($B266=$B265,$AE265,0)+$AD266</f>
        <v/>
      </c>
      <c r="AF266" s="55">
        <f>$AF265+$AD266</f>
        <v/>
      </c>
      <c r="AG266" s="55">
        <f>SUMIFS(tblMovement[Tonnes_t],tblMovement[Date],$A266)</f>
        <v/>
      </c>
      <c r="AH266" s="55">
        <f>IF($B266=$B265,$AH265,0)+$AG266</f>
        <v/>
      </c>
      <c r="AI266" s="55">
        <f>$AI265+$AG266</f>
        <v/>
      </c>
      <c r="AJ266" s="55">
        <f>$AG266-$X266-$AD266</f>
        <v/>
      </c>
      <c r="AK266" s="55">
        <f>IF($B266=$B265,$AK265,0)+$AJ266</f>
        <v/>
      </c>
      <c r="AL266" s="55">
        <f>$AL265+$AJ266</f>
        <v/>
      </c>
      <c r="AM266" s="55">
        <f>SUMIFS(tblMiningDaily[Drill_m],tblMiningDaily[Date],$A266)</f>
        <v/>
      </c>
      <c r="AN266" s="55">
        <f>IF($B266=$B265,$AN265,0)+$AM266</f>
        <v/>
      </c>
      <c r="AO266" s="55">
        <f>$AO265+$AM266</f>
        <v/>
      </c>
      <c r="AP266" s="55">
        <f>SUMIFS(tblMiningDaily[GC_Drill_m],tblMiningDaily[Date],$A266)</f>
        <v/>
      </c>
      <c r="AQ266" s="55">
        <f>IF($B266=$B265,$AQ265,0)+$AP266</f>
        <v/>
      </c>
      <c r="AR266" s="55">
        <f>$AR265+$AP266</f>
        <v/>
      </c>
      <c r="AS266" s="55">
        <f>SUMIFS(tblMiningDaily[Blast_t],tblMiningDaily[Date],$A266)</f>
        <v/>
      </c>
      <c r="AT266" s="55">
        <f>IF($B266=$B265,$AT265,0)+$AS266</f>
        <v/>
      </c>
      <c r="AU266" s="55">
        <f>$AU265+$AS266</f>
        <v/>
      </c>
      <c r="AV266" s="55">
        <f>SUMIFS(tblMiningDaily[Explosives_kg],tblMiningDaily[Date],$A266)</f>
        <v/>
      </c>
      <c r="AW266" s="55">
        <f>IF($B266=$B265,$AW265,0)+$AV266</f>
        <v/>
      </c>
      <c r="AX266" s="55">
        <f>$AX265+$AV266</f>
        <v/>
      </c>
      <c r="AY266" s="56">
        <f>IFERROR(IF(($AS266)&gt;0,($AV266)/($AS266),""),"")</f>
        <v/>
      </c>
      <c r="AZ266" s="56">
        <f>IFERROR(IF(($AT266)&gt;0,($AW266)/($AT266),""),"")</f>
        <v/>
      </c>
      <c r="BA266" s="56">
        <f>IFERROR(IF(($AU266)&gt;0,($AX266)/($AU266),""),"")</f>
        <v/>
      </c>
      <c r="BB266" s="55">
        <f>SUMIFS(tblMiningDaily[Diesel_L],tblMiningDaily[Date],$A266)</f>
        <v/>
      </c>
      <c r="BC266" s="55">
        <f>IF($B266=$B265,$BC265,0)+$BB266</f>
        <v/>
      </c>
      <c r="BD266" s="55">
        <f>$BD265+$BB266</f>
        <v/>
      </c>
      <c r="BE266" s="55">
        <f>SUMIFS(tblMiningDaily[Dewatering_m3],tblMiningDaily[Date],$A266)</f>
        <v/>
      </c>
      <c r="BF266" s="55">
        <f>IF($B266=$B265,$BF265,0)+$BE266</f>
        <v/>
      </c>
      <c r="BG266" s="55">
        <f>$BG265+$BE266</f>
        <v/>
      </c>
      <c r="BH266" s="57">
        <f>SUMIFS(tblFleet[Calendar_h],tblFleet[Date],$A266,tblFleet[Equipment_Class],"Excavator")</f>
        <v/>
      </c>
      <c r="BI266" s="57">
        <f>IF($B266=$B265,$BI265,0)+$BH266</f>
        <v/>
      </c>
      <c r="BJ266" s="57">
        <f>$BJ265+$BH266</f>
        <v/>
      </c>
      <c r="BK266" s="57">
        <f>SUMIFS(tblFleet[Available_h],tblFleet[Date],$A266,tblFleet[Equipment_Class],"Excavator")</f>
        <v/>
      </c>
      <c r="BL266" s="57">
        <f>IF($B266=$B265,$BL265,0)+$BK266</f>
        <v/>
      </c>
      <c r="BM266" s="57">
        <f>$BM265+$BK266</f>
        <v/>
      </c>
      <c r="BN266" s="57">
        <f>SUMIFS(tblFleet[Operating_h],tblFleet[Date],$A266,tblFleet[Equipment_Class],"Excavator")</f>
        <v/>
      </c>
      <c r="BO266" s="57">
        <f>IF($B266=$B265,$BO265,0)+$BN266</f>
        <v/>
      </c>
      <c r="BP266" s="57">
        <f>$BP265+$BN266</f>
        <v/>
      </c>
      <c r="BQ266" s="67">
        <f>IFERROR(IF(($BH266)&gt;0,($BK266)/($BH266),""),"")</f>
        <v/>
      </c>
      <c r="BR266" s="67">
        <f>IFERROR(IF(($BI266)&gt;0,($BL266)/($BI266),""),"")</f>
        <v/>
      </c>
      <c r="BS266" s="67">
        <f>IFERROR(IF(($BJ266)&gt;0,($BM266)/($BJ266),""),"")</f>
        <v/>
      </c>
      <c r="BT266" s="67">
        <f>IFERROR(IF(($BK266)&gt;0,($BN266)/($BK266),""),"")</f>
        <v/>
      </c>
      <c r="BU266" s="67">
        <f>IFERROR(IF(($BL266)&gt;0,($BO266)/($BL266),""),"")</f>
        <v/>
      </c>
      <c r="BV266" s="67">
        <f>IFERROR(IF(($BM266)&gt;0,($BP266)/($BM266),""),"")</f>
        <v/>
      </c>
      <c r="BW266" s="57">
        <f>SUMIFS(tblFleet[Calendar_h],tblFleet[Date],$A266,tblFleet[Equipment_Class],"Haul Truck")</f>
        <v/>
      </c>
      <c r="BX266" s="57">
        <f>IF($B266=$B265,$BX265,0)+$BW266</f>
        <v/>
      </c>
      <c r="BY266" s="57">
        <f>$BY265+$BW266</f>
        <v/>
      </c>
      <c r="BZ266" s="57">
        <f>SUMIFS(tblFleet[Available_h],tblFleet[Date],$A266,tblFleet[Equipment_Class],"Haul Truck")</f>
        <v/>
      </c>
      <c r="CA266" s="57">
        <f>IF($B266=$B265,$CA265,0)+$BZ266</f>
        <v/>
      </c>
      <c r="CB266" s="57">
        <f>$CB265+$BZ266</f>
        <v/>
      </c>
      <c r="CC266" s="57">
        <f>SUMIFS(tblFleet[Operating_h],tblFleet[Date],$A266,tblFleet[Equipment_Class],"Haul Truck")</f>
        <v/>
      </c>
      <c r="CD266" s="57">
        <f>IF($B266=$B265,$CD265,0)+$CC266</f>
        <v/>
      </c>
      <c r="CE266" s="57">
        <f>$CE265+$CC266</f>
        <v/>
      </c>
      <c r="CF266" s="67">
        <f>IFERROR(IF(($BW266)&gt;0,($BZ266)/($BW266),""),"")</f>
        <v/>
      </c>
      <c r="CG266" s="67">
        <f>IFERROR(IF(($BX266)&gt;0,($CA266)/($BX266),""),"")</f>
        <v/>
      </c>
      <c r="CH266" s="67">
        <f>IFERROR(IF(($BY266)&gt;0,($CB266)/($BY266),""),"")</f>
        <v/>
      </c>
      <c r="CI266" s="67">
        <f>IFERROR(IF(($BZ266)&gt;0,($CC266)/($BZ266),""),"")</f>
        <v/>
      </c>
      <c r="CJ266" s="67">
        <f>IFERROR(IF(($CA266)&gt;0,($CD266)/($CA266),""),"")</f>
        <v/>
      </c>
      <c r="CK266" s="67">
        <f>IFERROR(IF(($CB266)&gt;0,($CE266)/($CB266),""),"")</f>
        <v/>
      </c>
      <c r="CL266" s="55">
        <f>IFERROR(IF(($BN266)&gt;0,($X266+$AD266)/($BN266),""),"")</f>
        <v/>
      </c>
      <c r="CM266" s="55">
        <f>IFERROR(IF(($BO266)&gt;0,($Y266+$AE266)/($BO266),""),"")</f>
        <v/>
      </c>
      <c r="CN266" s="55">
        <f>IFERROR(IF(($BP266)&gt;0,($Z266+$AF266)/($BP266),""),"")</f>
        <v/>
      </c>
      <c r="CO266" s="55">
        <f>IFERROR(IF(($CC266)&gt;0,($X266+$AD266)/($CC266),""),"")</f>
        <v/>
      </c>
      <c r="CP266" s="55">
        <f>IFERROR(IF(($CD266)&gt;0,($Y266+$AE266)/($CD266),""),"")</f>
        <v/>
      </c>
      <c r="CQ266" s="55">
        <f>IFERROR(IF(($CE266)&gt;0,($Z266+$AF266)/($CE266),""),"")</f>
        <v/>
      </c>
      <c r="CR266" s="55">
        <f>SUMIFS(tblPlant[Crushed_t],tblPlant[Date],$A266)</f>
        <v/>
      </c>
      <c r="CS266" s="55">
        <f>IF($B266=$B265,$CS265,0)+$CR266</f>
        <v/>
      </c>
      <c r="CT266" s="55">
        <f>$CT265+$CR266</f>
        <v/>
      </c>
      <c r="CU266" s="55">
        <f>SUMIFS(tblPlant[Milled_t],tblPlant[Date],$A266)</f>
        <v/>
      </c>
      <c r="CV266" s="55">
        <f>IF($B266=$B265,$CV265,0)+$CU266</f>
        <v/>
      </c>
      <c r="CW266" s="55">
        <f>$CW265+$CU266</f>
        <v/>
      </c>
      <c r="CX266" s="55">
        <f>SUMIFS(tblPlant[Feed_oz],tblPlant[Date],$A266)</f>
        <v/>
      </c>
      <c r="CY266" s="55">
        <f>IF($B266=$B265,$CY265,0)+$CX266</f>
        <v/>
      </c>
      <c r="CZ266" s="55">
        <f>$CZ265+$CX266</f>
        <v/>
      </c>
      <c r="DA266" s="55">
        <f>SUMIFS(tblPlant[Tails_oz],tblPlant[Date],$A266)</f>
        <v/>
      </c>
      <c r="DB266" s="55">
        <f>IF($B266=$B265,$DB265,0)+$DA266</f>
        <v/>
      </c>
      <c r="DC266" s="55">
        <f>$DC265+$DA266</f>
        <v/>
      </c>
      <c r="DD266" s="55">
        <f>SUMIFS(tblPlant[Recovered_oz],tblPlant[Date],$A266)</f>
        <v/>
      </c>
      <c r="DE266" s="55">
        <f>IF($B266=$B265,$DE265,0)+$DD266</f>
        <v/>
      </c>
      <c r="DF266" s="55">
        <f>$DF265+$DD266</f>
        <v/>
      </c>
      <c r="DG266" s="55">
        <f>SUMIFS(tblPlant[Milled_t],tblPlant[Date],$A266,tblPlant[Head_Grade_gpt],"&lt;&gt;")</f>
        <v/>
      </c>
      <c r="DH266" s="55">
        <f>IF($B266=$B265,$DH265,0)+$DG266</f>
        <v/>
      </c>
      <c r="DI266" s="55">
        <f>$DI265+$DG266</f>
        <v/>
      </c>
      <c r="DJ266" s="55">
        <f>SUMIFS(tblPlant[Milled_t],tblPlant[Date],$A266,tblPlant[Tails_Grade_gpt],"&lt;&gt;")</f>
        <v/>
      </c>
      <c r="DK266" s="55">
        <f>IF($B266=$B265,$DK265,0)+$DJ266</f>
        <v/>
      </c>
      <c r="DL266" s="55">
        <f>$DL265+$DJ266</f>
        <v/>
      </c>
      <c r="DM266" s="55">
        <f>SUMIFS(tblPlant[Feed_oz],tblPlant[Date],$A266,tblPlant[Tails_Grade_gpt],"&lt;&gt;")</f>
        <v/>
      </c>
      <c r="DN266" s="55">
        <f>IF($B266=$B265,$DN265,0)+$DM266</f>
        <v/>
      </c>
      <c r="DO266" s="55">
        <f>$DO265+$DM266</f>
        <v/>
      </c>
      <c r="DP266" s="55">
        <f>SUMIFS(tblPlant[Milled_t],tblPlant[Date],$A266,tblPlant[Mill_Run_h],"&lt;&gt;")</f>
        <v/>
      </c>
      <c r="DQ266" s="55">
        <f>IF($B266=$B265,$DQ265,0)+$DP266</f>
        <v/>
      </c>
      <c r="DR266" s="55">
        <f>$DR265+$DP266</f>
        <v/>
      </c>
      <c r="DS266" s="56">
        <f>IFERROR(IF(($DG266)&gt;0,($CX266*cfg_TroyOz)/($DG266),""),"")</f>
        <v/>
      </c>
      <c r="DT266" s="56">
        <f>IFERROR(IF(($DH266)&gt;0,($CY266*cfg_TroyOz)/($DH266),""),"")</f>
        <v/>
      </c>
      <c r="DU266" s="56">
        <f>IFERROR(IF(($DI266)&gt;0,($CZ266*cfg_TroyOz)/($DI266),""),"")</f>
        <v/>
      </c>
      <c r="DV266" s="56">
        <f>IFERROR(IF(($DJ266)&gt;0,($DA266*cfg_TroyOz)/($DJ266),""),"")</f>
        <v/>
      </c>
      <c r="DW266" s="56">
        <f>IFERROR(IF(($DK266)&gt;0,($DB266*cfg_TroyOz)/($DK266),""),"")</f>
        <v/>
      </c>
      <c r="DX266" s="56">
        <f>IFERROR(IF(($DL266)&gt;0,($DC266*cfg_TroyOz)/($DL266),""),"")</f>
        <v/>
      </c>
      <c r="DY266" s="67">
        <f>IFERROR(IF(($DM266)&gt;0,($DD266)/($DM266),""),"")</f>
        <v/>
      </c>
      <c r="DZ266" s="67">
        <f>IFERROR(IF(($DN266)&gt;0,($DE266)/($DN266),""),"")</f>
        <v/>
      </c>
      <c r="EA266" s="67">
        <f>IFERROR(IF(($DO266)&gt;0,($DF266)/($DO266),""),"")</f>
        <v/>
      </c>
      <c r="EB266" s="55">
        <f>SUMIFS(tblPlant[Gravity_Gold_oz],tblPlant[Date],$A266)</f>
        <v/>
      </c>
      <c r="EC266" s="55">
        <f>IF($B266=$B265,$EC265,0)+$EB266</f>
        <v/>
      </c>
      <c r="ED266" s="55">
        <f>$ED265+$EB266</f>
        <v/>
      </c>
      <c r="EE266" s="67">
        <f>IFERROR(IF(($DD266)&gt;0,($EB266)/($DD266),""),"")</f>
        <v/>
      </c>
      <c r="EF266" s="67">
        <f>IFERROR(IF(($DE266)&gt;0,($EC266)/($DE266),""),"")</f>
        <v/>
      </c>
      <c r="EG266" s="67">
        <f>IFERROR(IF(($DF266)&gt;0,($ED266)/($DF266),""),"")</f>
        <v/>
      </c>
      <c r="EH266" s="55">
        <f>SUMIFS(tblPlant[Gold_Poured_oz],tblPlant[Date],$A266)</f>
        <v/>
      </c>
      <c r="EI266" s="55">
        <f>IF($B266=$B265,$EI265,0)+$EH266</f>
        <v/>
      </c>
      <c r="EJ266" s="55">
        <f>$EJ265+$EH266</f>
        <v/>
      </c>
      <c r="EK266" s="57">
        <f>SUMIFS(tblPlant[Mill_Run_h],tblPlant[Date],$A266)</f>
        <v/>
      </c>
      <c r="EL266" s="57">
        <f>IF($B266=$B265,$EL265,0)+$EK266</f>
        <v/>
      </c>
      <c r="EM266" s="57">
        <f>$EM265+$EK266</f>
        <v/>
      </c>
      <c r="EN266" s="57">
        <f>SUMIFS(tblPlant[Mill_Planned_Maint_h],tblPlant[Date],$A266)</f>
        <v/>
      </c>
      <c r="EO266" s="57">
        <f>IF($B266=$B265,$EO265,0)+$EN266</f>
        <v/>
      </c>
      <c r="EP266" s="57">
        <f>$EP265+$EN266</f>
        <v/>
      </c>
      <c r="EQ266" s="57">
        <f>SUMIFS(tblPlant[Mill_Unplanned_Down_h],tblPlant[Date],$A266)</f>
        <v/>
      </c>
      <c r="ER266" s="57">
        <f>IF($B266=$B265,$ER265,0)+$EQ266</f>
        <v/>
      </c>
      <c r="ES266" s="57">
        <f>$ES265+$EQ266</f>
        <v/>
      </c>
      <c r="ET266" s="57">
        <f>IF(COUNTIFS(tblPlant[Date],$A266,tblPlant[Mill_Run_h],"&lt;&gt;")+COUNTIFS(tblPlant[Date],$A266,tblPlant[Mill_Planned_Maint_h],"&lt;&gt;")+COUNTIFS(tblPlant[Date],$A266,tblPlant[Mill_Unplanned_Down_h],"&lt;&gt;")&gt;0,cfg_HoursPerDay,0)</f>
        <v/>
      </c>
      <c r="EU266" s="57">
        <f>IF($B266=$B265,$EU265,0)+$ET266</f>
        <v/>
      </c>
      <c r="EV266" s="57">
        <f>$EV265+$ET266</f>
        <v/>
      </c>
      <c r="EW266" s="57">
        <f>SUMIFS(tblPlant[Crusher_Run_h],tblPlant[Date],$A266)</f>
        <v/>
      </c>
      <c r="EX266" s="57">
        <f>IF($B266=$B265,$EX265,0)+$EW266</f>
        <v/>
      </c>
      <c r="EY266" s="57">
        <f>$EY265+$EW266</f>
        <v/>
      </c>
      <c r="EZ266" s="55">
        <f>IFERROR(IF(($EK266)&gt;0,($DP266)/($EK266),""),"")</f>
        <v/>
      </c>
      <c r="FA266" s="55">
        <f>IFERROR(IF(($EL266)&gt;0,($DQ266)/($EL266),""),"")</f>
        <v/>
      </c>
      <c r="FB266" s="55">
        <f>IFERROR(IF(($EM266)&gt;0,($DR266)/($EM266),""),"")</f>
        <v/>
      </c>
      <c r="FC266" s="67">
        <f>IFERROR(IF(($ET266)&gt;0,($ET266-$EN266-$EQ266)/($ET266),""),"")</f>
        <v/>
      </c>
      <c r="FD266" s="67">
        <f>IFERROR(IF(($EU266)&gt;0,($EU266-$EO266-$ER266)/($EU266),""),"")</f>
        <v/>
      </c>
      <c r="FE266" s="67">
        <f>IFERROR(IF(($EV266)&gt;0,($EV266-$EP266-$ES266)/($EV266),""),"")</f>
        <v/>
      </c>
      <c r="FF266" s="67">
        <f>IFERROR(IF(($ET266-$EN266-$EQ266)&gt;0,($EK266)/($ET266-$EN266-$EQ266),""),"")</f>
        <v/>
      </c>
      <c r="FG266" s="67">
        <f>IFERROR(IF(($EU266-$EO266-$ER266)&gt;0,($EL266)/($EU266-$EO266-$ER266),""),"")</f>
        <v/>
      </c>
      <c r="FH266" s="67">
        <f>IFERROR(IF(($EV266-$EP266-$ES266)&gt;0,($EM266)/($EV266-$EP266-$ES266),""),"")</f>
        <v/>
      </c>
      <c r="FI266" s="55">
        <f>SUMIFS(tblPlant[Cyanide_kg],tblPlant[Date],$A266)</f>
        <v/>
      </c>
      <c r="FJ266" s="55">
        <f>IF($B266=$B265,$FJ265,0)+$FI266</f>
        <v/>
      </c>
      <c r="FK266" s="55">
        <f>$FK265+$FI266</f>
        <v/>
      </c>
      <c r="FL266" s="55">
        <f>SUMIFS(tblPlant[Lime_kg],tblPlant[Date],$A266)</f>
        <v/>
      </c>
      <c r="FM266" s="55">
        <f>IF($B266=$B265,$FM265,0)+$FL266</f>
        <v/>
      </c>
      <c r="FN266" s="55">
        <f>$FN265+$FL266</f>
        <v/>
      </c>
      <c r="FO266" s="55">
        <f>SUMIFS(tblPlant[Grinding_Media_kg],tblPlant[Date],$A266)</f>
        <v/>
      </c>
      <c r="FP266" s="55">
        <f>IF($B266=$B265,$FP265,0)+$FO266</f>
        <v/>
      </c>
      <c r="FQ266" s="55">
        <f>$FQ265+$FO266</f>
        <v/>
      </c>
      <c r="FR266" s="55">
        <f>SUMIFS(tblPlant[Power_kWh],tblPlant[Date],$A266)</f>
        <v/>
      </c>
      <c r="FS266" s="55">
        <f>IF($B266=$B265,$FS265,0)+$FR266</f>
        <v/>
      </c>
      <c r="FT266" s="55">
        <f>$FT265+$FR266</f>
        <v/>
      </c>
      <c r="FU266" s="55">
        <f>SUMIFS(tblPlant[Raw_Water_m3],tblPlant[Date],$A266)</f>
        <v/>
      </c>
      <c r="FV266" s="55">
        <f>IF($B266=$B265,$FV265,0)+$FU266</f>
        <v/>
      </c>
      <c r="FW266" s="55">
        <f>$FW265+$FU266</f>
        <v/>
      </c>
      <c r="FX266" s="56">
        <f>IFERROR(IF(($CU266)&gt;0,($FI266)/($CU266),""),"")</f>
        <v/>
      </c>
      <c r="FY266" s="56">
        <f>IFERROR(IF(($CV266)&gt;0,($FJ266)/($CV266),""),"")</f>
        <v/>
      </c>
      <c r="FZ266" s="56">
        <f>IFERROR(IF(($CW266)&gt;0,($FK266)/($CW266),""),"")</f>
        <v/>
      </c>
      <c r="GA266" s="56">
        <f>IFERROR(IF(($CU266)&gt;0,($FL266)/($CU266),""),"")</f>
        <v/>
      </c>
      <c r="GB266" s="56">
        <f>IFERROR(IF(($CV266)&gt;0,($FM266)/($CV266),""),"")</f>
        <v/>
      </c>
      <c r="GC266" s="56">
        <f>IFERROR(IF(($CW266)&gt;0,($FN266)/($CW266),""),"")</f>
        <v/>
      </c>
      <c r="GD266" s="56">
        <f>IFERROR(IF(($CU266)&gt;0,($FO266)/($CU266),""),"")</f>
        <v/>
      </c>
      <c r="GE266" s="56">
        <f>IFERROR(IF(($CV266)&gt;0,($FP266)/($CV266),""),"")</f>
        <v/>
      </c>
      <c r="GF266" s="56">
        <f>IFERROR(IF(($CW266)&gt;0,($FQ266)/($CW266),""),"")</f>
        <v/>
      </c>
      <c r="GG266" s="79">
        <f>IFERROR(IF(($CU266)&gt;0,($FR266)/($CU266),""),"")</f>
        <v/>
      </c>
      <c r="GH266" s="79">
        <f>IFERROR(IF(($CV266)&gt;0,($FS266)/($CV266),""),"")</f>
        <v/>
      </c>
      <c r="GI266" s="79">
        <f>IFERROR(IF(($CW266)&gt;0,($FT266)/($CW266),""),"")</f>
        <v/>
      </c>
      <c r="GJ266" s="56">
        <f>IFERROR(IF(($CU266)&gt;0,($FU266)/($CU266),""),"")</f>
        <v/>
      </c>
      <c r="GK266" s="56">
        <f>IFERROR(IF(($CV266)&gt;0,($FV266)/($CV266),""),"")</f>
        <v/>
      </c>
      <c r="GL266" s="56">
        <f>IFERROR(IF(($CW266)&gt;0,($FW266)/($CW266),""),"")</f>
        <v/>
      </c>
      <c r="GM266" s="55">
        <f>IF(SUMIFS(tblPlant[GIC_oz],tblPlant[Date],$A266)&gt;0,SUMIFS(tblPlant[GIC_oz],tblPlant[Date],$A266),"")</f>
        <v/>
      </c>
      <c r="GN266" s="55">
        <f>SUMIFS(tblGold[Gold_oz],tblGold[Date],$A266,tblGold[Type],"Shipment")</f>
        <v/>
      </c>
      <c r="GO266" s="55">
        <f>IF($B266=$B265,$GO265,0)+$GN266</f>
        <v/>
      </c>
      <c r="GP266" s="55">
        <f>$GP265+$GN266</f>
        <v/>
      </c>
      <c r="GQ266" s="55">
        <f>SUMIFS(tblGold[Gold_oz],tblGold[Date],$A266,tblGold[Type],"Sale")</f>
        <v/>
      </c>
      <c r="GR266" s="55">
        <f>IF($B266=$B265,$GR265,0)+$GQ266</f>
        <v/>
      </c>
      <c r="GS266" s="55">
        <f>$GS265+$GQ266</f>
        <v/>
      </c>
      <c r="GT266" s="55">
        <f>SUMIFS(tblGold[Dore_kg],tblGold[Date],$A266,tblGold[Type],"Shipment")</f>
        <v/>
      </c>
      <c r="GU266" s="55">
        <f>IF($B266=$B265,$GU265,0)+$GT266</f>
        <v/>
      </c>
      <c r="GV266" s="55">
        <f>$GV265+$GT266</f>
        <v/>
      </c>
      <c r="GW266" s="57">
        <f>SUMIFS(tblSafety[Hours_Total],tblSafety[Date],$A266)</f>
        <v/>
      </c>
      <c r="GX266" s="57">
        <f>IF($B266=$B265,$GX265,0)+$GW266</f>
        <v/>
      </c>
      <c r="GY266" s="57">
        <f>$GY265+$GW266</f>
        <v/>
      </c>
      <c r="GZ266" s="62">
        <f>SUMIFS(tblSafety[Fatality],tblSafety[Date],$A266)</f>
        <v/>
      </c>
      <c r="HA266" s="62">
        <f>IF($B266=$B265,$HA265,0)+$GZ266</f>
        <v/>
      </c>
      <c r="HB266" s="62">
        <f>$HB265+$GZ266</f>
        <v/>
      </c>
      <c r="HC266" s="62">
        <f>SUMIFS(tblSafety[LTI],tblSafety[Date],$A266)</f>
        <v/>
      </c>
      <c r="HD266" s="62">
        <f>IF($B266=$B265,$HD265,0)+$HC266</f>
        <v/>
      </c>
      <c r="HE266" s="62">
        <f>$HE265+$HC266</f>
        <v/>
      </c>
      <c r="HF266" s="62">
        <f>SUMIFS(tblSafety[RWI],tblSafety[Date],$A266)</f>
        <v/>
      </c>
      <c r="HG266" s="62">
        <f>IF($B266=$B265,$HG265,0)+$HF266</f>
        <v/>
      </c>
      <c r="HH266" s="62">
        <f>$HH265+$HF266</f>
        <v/>
      </c>
      <c r="HI266" s="62">
        <f>SUMIFS(tblSafety[MTI],tblSafety[Date],$A266)</f>
        <v/>
      </c>
      <c r="HJ266" s="62">
        <f>IF($B266=$B265,$HJ265,0)+$HI266</f>
        <v/>
      </c>
      <c r="HK266" s="62">
        <f>$HK265+$HI266</f>
        <v/>
      </c>
      <c r="HL266" s="62">
        <f>SUMIFS(tblSafety[FAI],tblSafety[Date],$A266)</f>
        <v/>
      </c>
      <c r="HM266" s="62">
        <f>IF($B266=$B265,$HM265,0)+$HL266</f>
        <v/>
      </c>
      <c r="HN266" s="62">
        <f>$HN265+$HL266</f>
        <v/>
      </c>
      <c r="HO266" s="62">
        <f>SUMIFS(tblSafety[Recordables],tblSafety[Date],$A266)</f>
        <v/>
      </c>
      <c r="HP266" s="62">
        <f>IF($B266=$B265,$HP265,0)+$HO266</f>
        <v/>
      </c>
      <c r="HQ266" s="62">
        <f>$HQ265+$HO266</f>
        <v/>
      </c>
      <c r="HR266" s="62">
        <f>SUMIFS(tblSafety[Near_Miss],tblSafety[Date],$A266)</f>
        <v/>
      </c>
      <c r="HS266" s="62">
        <f>IF($B266=$B265,$HS265,0)+$HR266</f>
        <v/>
      </c>
      <c r="HT266" s="62">
        <f>$HT265+$HR266</f>
        <v/>
      </c>
      <c r="HU266" s="62">
        <f>SUMIFS(tblSafety[Hazard_Reports],tblSafety[Date],$A266)</f>
        <v/>
      </c>
      <c r="HV266" s="62">
        <f>IF($B266=$B265,$HV265,0)+$HU266</f>
        <v/>
      </c>
      <c r="HW266" s="62">
        <f>$HW265+$HU266</f>
        <v/>
      </c>
      <c r="HX266" s="62">
        <f>SUMIFS(tblSafety[HPI],tblSafety[Date],$A266)</f>
        <v/>
      </c>
      <c r="HY266" s="62">
        <f>IF($B266=$B265,$HY265,0)+$HX266</f>
        <v/>
      </c>
      <c r="HZ266" s="62">
        <f>$HZ265+$HX266</f>
        <v/>
      </c>
      <c r="IA266" s="62">
        <f>SUMIFS(tblSafety[Env_Incidents],tblSafety[Date],$A266)</f>
        <v/>
      </c>
      <c r="IB266" s="62">
        <f>IF($B266=$B265,$IB265,0)+$IA266</f>
        <v/>
      </c>
      <c r="IC266" s="62">
        <f>$IC265+$IA266</f>
        <v/>
      </c>
      <c r="ID266" s="62">
        <f>SUMIFS(tblSafety[Community_Incidents],tblSafety[Date],$A266)</f>
        <v/>
      </c>
      <c r="IE266" s="62">
        <f>IF($B266=$B265,$IE265,0)+$ID266</f>
        <v/>
      </c>
      <c r="IF266" s="62">
        <f>$IF265+$ID266</f>
        <v/>
      </c>
      <c r="IG266" s="62">
        <f>SUMIFS(tblSafety[Vehicle_Incidents],tblSafety[Date],$A266)</f>
        <v/>
      </c>
      <c r="IH266" s="62">
        <f>IF($B266=$B265,$IH265,0)+$IG266</f>
        <v/>
      </c>
      <c r="II266" s="62">
        <f>$II265+$IG266</f>
        <v/>
      </c>
      <c r="IJ266" s="62">
        <f>SUMIFS(tblSafety[Toolbox_Talks],tblSafety[Date],$A266)</f>
        <v/>
      </c>
      <c r="IK266" s="62">
        <f>IF($B266=$B265,$IK265,0)+$IJ266</f>
        <v/>
      </c>
      <c r="IL266" s="62">
        <f>$IL265+$IJ266</f>
        <v/>
      </c>
      <c r="IM266" s="62">
        <f>SUMIFS(tblSafety[Inspections],tblSafety[Date],$A266)</f>
        <v/>
      </c>
      <c r="IN266" s="62">
        <f>IF($B266=$B265,$IN265,0)+$IM266</f>
        <v/>
      </c>
      <c r="IO266" s="62">
        <f>$IO265+$IM266</f>
        <v/>
      </c>
      <c r="IP266" s="56">
        <f>IFERROR((SUMIFS(tblSafety[Recordables],tblSafety[Date],"&gt;="&amp;EDATE($E266,-12),tblSafety[Date],"&lt;="&amp;$A266)+SUMIFS(tblSafetyHistory[Recordables],tblSafetyHistory[Month],"&gt;="&amp;EDATE($E266,-12),tblSafetyHistory[Month],"&lt;"&amp;$E266,tblSafetyHistory[Use],1))/(SUMIFS(tblSafety[Hours_Total],tblSafety[Date],"&gt;="&amp;EDATE($E266,-12),tblSafety[Date],"&lt;="&amp;$A266)+SUMIFS(tblSafetyHistory[Hours_Total],tblSafetyHistory[Month],"&gt;="&amp;EDATE($E266,-12),tblSafetyHistory[Month],"&lt;"&amp;$E266,tblSafetyHistory[Use],1))*cfg_RateBasisHours,"")</f>
        <v/>
      </c>
      <c r="IQ266" s="56">
        <f>IFERROR((SUMIFS(tblSafety[LTI],tblSafety[Date],"&gt;="&amp;EDATE($E266,-12),tblSafety[Date],"&lt;="&amp;$A266)+SUMIFS(tblSafetyHistory[LTI],tblSafetyHistory[Month],"&gt;="&amp;EDATE($E266,-12),tblSafetyHistory[Month],"&lt;"&amp;$E266,tblSafetyHistory[Use],1))/(SUMIFS(tblSafety[Hours_Total],tblSafety[Date],"&gt;="&amp;EDATE($E266,-12),tblSafety[Date],"&lt;="&amp;$A266)+SUMIFS(tblSafetyHistory[Hours_Total],tblSafetyHistory[Month],"&gt;="&amp;EDATE($E266,-12),tblSafetyHistory[Month],"&lt;"&amp;$E266,tblSafetyHistory[Use],1))*cfg_RateBasisHours,"")</f>
        <v/>
      </c>
      <c r="IR266" s="62">
        <f>IF(MAX(N(cfg_PriorLTIDate),_xlfn.MAXIFS(tblSafety[Date],tblSafety[LTI],"&gt;0",tblSafety[Date],"&lt;="&amp;$A266))=0,"",$A266-MAX(N(cfg_PriorLTIDate),_xlfn.MAXIFS(tblSafety[Date],tblSafety[LTI],"&gt;0",tblSafety[Date],"&lt;="&amp;$A266)))</f>
        <v/>
      </c>
      <c r="IS266" s="55">
        <f>SUMIFS(tblBudget[Ore_Mined_t],tblBudget[Month],$E266)</f>
        <v/>
      </c>
      <c r="IT266" s="55">
        <f>$IS266*$C266/$D266</f>
        <v/>
      </c>
      <c r="IU266" s="55">
        <f>SUMIFS(tblBudget[Ore_Mined_t],tblBudget[Month],"&lt;"&amp;$E266)+$IT266</f>
        <v/>
      </c>
      <c r="IV266" s="55">
        <f>SUMIFS(tblBudget[Ore_oz],tblBudget[Month],$E266)</f>
        <v/>
      </c>
      <c r="IW266" s="55">
        <f>$IV266*$C266/$D266</f>
        <v/>
      </c>
      <c r="IX266" s="55">
        <f>SUMIFS(tblBudget[Ore_oz],tblBudget[Month],"&lt;"&amp;$E266)+$IW266</f>
        <v/>
      </c>
      <c r="IY266" s="55">
        <f>SUMIFS(tblBudget[Ore_Mined_t],tblBudget[Month],$E266)</f>
        <v/>
      </c>
      <c r="IZ266" s="55">
        <f>$IY266*$C266/$D266</f>
        <v/>
      </c>
      <c r="JA266" s="55">
        <f>SUMIFS(tblBudget[Ore_Mined_t],tblBudget[Month],"&lt;"&amp;$E266)+$IZ266</f>
        <v/>
      </c>
      <c r="JB266" s="56">
        <f>IFERROR(IF(($IY266)&gt;0,($IV266*cfg_TroyOz)/($IY266),""),"")</f>
        <v/>
      </c>
      <c r="JC266" s="56">
        <f>IFERROR(IF(($IZ266)&gt;0,($IW266*cfg_TroyOz)/($IZ266),""),"")</f>
        <v/>
      </c>
      <c r="JD266" s="56">
        <f>IFERROR(IF(($JA266)&gt;0,($IX266*cfg_TroyOz)/($JA266),""),"")</f>
        <v/>
      </c>
      <c r="JE266" s="55">
        <f>SUMIFS(tblBudget[Waste_t],tblBudget[Month],$E266)</f>
        <v/>
      </c>
      <c r="JF266" s="55">
        <f>$JE266*$C266/$D266</f>
        <v/>
      </c>
      <c r="JG266" s="55">
        <f>SUMIFS(tblBudget[Waste_t],tblBudget[Month],"&lt;"&amp;$E266)+$JF266</f>
        <v/>
      </c>
      <c r="JH266" s="55">
        <f>SUMIFS(tblBudget[TMM_t],tblBudget[Month],$E266)</f>
        <v/>
      </c>
      <c r="JI266" s="55">
        <f>$JH266*$C266/$D266</f>
        <v/>
      </c>
      <c r="JJ266" s="55">
        <f>SUMIFS(tblBudget[TMM_t],tblBudget[Month],"&lt;"&amp;$E266)+$JI266</f>
        <v/>
      </c>
      <c r="JK266" s="56">
        <f>IFERROR(IF(($IS266)&gt;0,($JE266)/($IS266),""),"")</f>
        <v/>
      </c>
      <c r="JL266" s="56">
        <f>IFERROR(IF(($IT266)&gt;0,($JF266)/($IT266),""),"")</f>
        <v/>
      </c>
      <c r="JM266" s="56">
        <f>IFERROR(IF(($IU266)&gt;0,($JG266)/($IU266),""),"")</f>
        <v/>
      </c>
      <c r="JN266" s="55">
        <f>SUMIFS(tblBudget[Drill_m],tblBudget[Month],$E266)</f>
        <v/>
      </c>
      <c r="JO266" s="55">
        <f>$JN266*$C266/$D266</f>
        <v/>
      </c>
      <c r="JP266" s="55">
        <f>SUMIFS(tblBudget[Drill_m],tblBudget[Month],"&lt;"&amp;$E266)+$JO266</f>
        <v/>
      </c>
      <c r="JQ266" s="55">
        <f>SUMIFS(tblBudget[Diesel_L],tblBudget[Month],$E266)</f>
        <v/>
      </c>
      <c r="JR266" s="55">
        <f>$JQ266*$C266/$D266</f>
        <v/>
      </c>
      <c r="JS266" s="55">
        <f>SUMIFS(tblBudget[Diesel_L],tblBudget[Month],"&lt;"&amp;$E266)+$JR266</f>
        <v/>
      </c>
      <c r="JT266" s="55">
        <f>SUMIFS(tblBudget[Milled_t],tblBudget[Month],$E266)</f>
        <v/>
      </c>
      <c r="JU266" s="55">
        <f>$JT266*$C266/$D266</f>
        <v/>
      </c>
      <c r="JV266" s="55">
        <f>SUMIFS(tblBudget[Milled_t],tblBudget[Month],"&lt;"&amp;$E266)+$JU266</f>
        <v/>
      </c>
      <c r="JW266" s="55">
        <f>SUMIFS(tblBudget[Feed_oz],tblBudget[Month],$E266)</f>
        <v/>
      </c>
      <c r="JX266" s="55">
        <f>$JW266*$C266/$D266</f>
        <v/>
      </c>
      <c r="JY266" s="55">
        <f>SUMIFS(tblBudget[Feed_oz],tblBudget[Month],"&lt;"&amp;$E266)+$JX266</f>
        <v/>
      </c>
      <c r="JZ266" s="55">
        <f>SUMIFS(tblBudget[Recovered_oz],tblBudget[Month],$E266)</f>
        <v/>
      </c>
      <c r="KA266" s="55">
        <f>$JZ266*$C266/$D266</f>
        <v/>
      </c>
      <c r="KB266" s="55">
        <f>SUMIFS(tblBudget[Recovered_oz],tblBudget[Month],"&lt;"&amp;$E266)+$KA266</f>
        <v/>
      </c>
      <c r="KC266" s="55">
        <f>SUMIFS(tblBudget[Milled_t],tblBudget[Month],$E266)</f>
        <v/>
      </c>
      <c r="KD266" s="55">
        <f>$KC266*$C266/$D266</f>
        <v/>
      </c>
      <c r="KE266" s="55">
        <f>SUMIFS(tblBudget[Milled_t],tblBudget[Month],"&lt;"&amp;$E266)+$KD266</f>
        <v/>
      </c>
      <c r="KF266" s="55">
        <f>SUMIFS(tblBudget[Feed_oz],tblBudget[Month],$E266)</f>
        <v/>
      </c>
      <c r="KG266" s="55">
        <f>$KF266*$C266/$D266</f>
        <v/>
      </c>
      <c r="KH266" s="55">
        <f>SUMIFS(tblBudget[Feed_oz],tblBudget[Month],"&lt;"&amp;$E266)+$KG266</f>
        <v/>
      </c>
      <c r="KI266" s="56">
        <f>IFERROR(IF(($KC266)&gt;0,($JW266*cfg_TroyOz)/($KC266),""),"")</f>
        <v/>
      </c>
      <c r="KJ266" s="56">
        <f>IFERROR(IF(($KD266)&gt;0,($JX266*cfg_TroyOz)/($KD266),""),"")</f>
        <v/>
      </c>
      <c r="KK266" s="56">
        <f>IFERROR(IF(($KE266)&gt;0,($JY266*cfg_TroyOz)/($KE266),""),"")</f>
        <v/>
      </c>
      <c r="KL266" s="67">
        <f>IFERROR(IF(($KF266)&gt;0,($JZ266)/($KF266),""),"")</f>
        <v/>
      </c>
      <c r="KM266" s="67">
        <f>IFERROR(IF(($KG266)&gt;0,($KA266)/($KG266),""),"")</f>
        <v/>
      </c>
      <c r="KN266" s="67">
        <f>IFERROR(IF(($KH266)&gt;0,($KB266)/($KH266),""),"")</f>
        <v/>
      </c>
      <c r="KO266" s="55">
        <f>SUMIFS(tblBudget[Gold_Poured_oz],tblBudget[Month],$E266)</f>
        <v/>
      </c>
      <c r="KP266" s="55">
        <f>$KO266*$C266/$D266</f>
        <v/>
      </c>
      <c r="KQ266" s="55">
        <f>SUMIFS(tblBudget[Gold_Poured_oz],tblBudget[Month],"&lt;"&amp;$E266)+$KP266</f>
        <v/>
      </c>
      <c r="KR266" s="57">
        <f>SUMIFS(tblBudget[Hours_Worked],tblBudget[Month],$E266)</f>
        <v/>
      </c>
      <c r="KS266" s="57">
        <f>$KR266*$C266/$D266</f>
        <v/>
      </c>
      <c r="KT266" s="57">
        <f>SUMIFS(tblBudget[Hours_Worked],tblBudget[Month],"&lt;"&amp;$E266)+$KS266</f>
        <v/>
      </c>
    </row>
    <row r="267">
      <c r="A267" s="54" t="n">
        <v>46288</v>
      </c>
      <c r="B267">
        <f>MONTH($A267)</f>
        <v/>
      </c>
      <c r="C267">
        <f>DAY($A267)</f>
        <v/>
      </c>
      <c r="D267">
        <f>DAY(EOMONTH($A267,0))</f>
        <v/>
      </c>
      <c r="E267" s="54">
        <f>DATE(YEAR($A267),MONTH($A267),1)</f>
        <v/>
      </c>
      <c r="F267" s="55">
        <f>SUMIFS(tblMovement[Tonnes_t],tblMovement[Date],$A267,tblMovement[Is_Ore],1,tblMovement[Source_Type],"Pit")</f>
        <v/>
      </c>
      <c r="G267" s="55">
        <f>IF($B267=$B266,$G266,0)+$F267</f>
        <v/>
      </c>
      <c r="H267" s="55">
        <f>$H266+$F267</f>
        <v/>
      </c>
      <c r="I267" s="55">
        <f>SUMIFS(tblMovement[Ore_oz],tblMovement[Date],$A267,tblMovement[Source_Type],"Pit")</f>
        <v/>
      </c>
      <c r="J267" s="55">
        <f>IF($B267=$B266,$J266,0)+$I267</f>
        <v/>
      </c>
      <c r="K267" s="55">
        <f>$K266+$I267</f>
        <v/>
      </c>
      <c r="L267" s="55">
        <f>SUMIFS(tblMovement[Tonnes_t],tblMovement[Date],$A267,tblMovement[Is_Ore],1,tblMovement[Source_Type],"Pit",tblMovement[Grade_gpt],"&lt;&gt;")</f>
        <v/>
      </c>
      <c r="M267" s="55">
        <f>IF($B267=$B266,$M266,0)+$L267</f>
        <v/>
      </c>
      <c r="N267" s="55">
        <f>$N266+$L267</f>
        <v/>
      </c>
      <c r="O267" s="56">
        <f>IFERROR(IF(($L267)&gt;0,($I267*cfg_TroyOz)/($L267),""),"")</f>
        <v/>
      </c>
      <c r="P267" s="56">
        <f>IFERROR(IF(($M267)&gt;0,($J267*cfg_TroyOz)/($M267),""),"")</f>
        <v/>
      </c>
      <c r="Q267" s="56">
        <f>IFERROR(IF(($N267)&gt;0,($K267*cfg_TroyOz)/($N267),""),"")</f>
        <v/>
      </c>
      <c r="R267" s="55">
        <f>$F267-$L267</f>
        <v/>
      </c>
      <c r="S267" s="55">
        <f>IF($B267=$B266,$S266,0)+$R267</f>
        <v/>
      </c>
      <c r="T267" s="55">
        <f>$T266+$R267</f>
        <v/>
      </c>
      <c r="U267" s="55">
        <f>SUMIFS(tblMovement[Tonnes_t],tblMovement[Date],$A267,tblMovement[Is_Ore],0,tblMovement[Source_Type],"Pit")</f>
        <v/>
      </c>
      <c r="V267" s="55">
        <f>IF($B267=$B266,$V266,0)+$U267</f>
        <v/>
      </c>
      <c r="W267" s="55">
        <f>$W266+$U267</f>
        <v/>
      </c>
      <c r="X267" s="55">
        <f>$F267+$U267</f>
        <v/>
      </c>
      <c r="Y267" s="55">
        <f>IF($B267=$B266,$Y266,0)+$X267</f>
        <v/>
      </c>
      <c r="Z267" s="55">
        <f>$Z266+$X267</f>
        <v/>
      </c>
      <c r="AA267" s="56">
        <f>IFERROR(IF(($F267)&gt;0,($U267)/($F267),""),"")</f>
        <v/>
      </c>
      <c r="AB267" s="56">
        <f>IFERROR(IF(($G267)&gt;0,($V267)/($G267),""),"")</f>
        <v/>
      </c>
      <c r="AC267" s="56">
        <f>IFERROR(IF(($H267)&gt;0,($W267)/($H267),""),"")</f>
        <v/>
      </c>
      <c r="AD267" s="55">
        <f>SUMIFS(tblMovement[Tonnes_t],tblMovement[Date],$A267,tblMovement[Source_Type],"Stockpile")</f>
        <v/>
      </c>
      <c r="AE267" s="55">
        <f>IF($B267=$B266,$AE266,0)+$AD267</f>
        <v/>
      </c>
      <c r="AF267" s="55">
        <f>$AF266+$AD267</f>
        <v/>
      </c>
      <c r="AG267" s="55">
        <f>SUMIFS(tblMovement[Tonnes_t],tblMovement[Date],$A267)</f>
        <v/>
      </c>
      <c r="AH267" s="55">
        <f>IF($B267=$B266,$AH266,0)+$AG267</f>
        <v/>
      </c>
      <c r="AI267" s="55">
        <f>$AI266+$AG267</f>
        <v/>
      </c>
      <c r="AJ267" s="55">
        <f>$AG267-$X267-$AD267</f>
        <v/>
      </c>
      <c r="AK267" s="55">
        <f>IF($B267=$B266,$AK266,0)+$AJ267</f>
        <v/>
      </c>
      <c r="AL267" s="55">
        <f>$AL266+$AJ267</f>
        <v/>
      </c>
      <c r="AM267" s="55">
        <f>SUMIFS(tblMiningDaily[Drill_m],tblMiningDaily[Date],$A267)</f>
        <v/>
      </c>
      <c r="AN267" s="55">
        <f>IF($B267=$B266,$AN266,0)+$AM267</f>
        <v/>
      </c>
      <c r="AO267" s="55">
        <f>$AO266+$AM267</f>
        <v/>
      </c>
      <c r="AP267" s="55">
        <f>SUMIFS(tblMiningDaily[GC_Drill_m],tblMiningDaily[Date],$A267)</f>
        <v/>
      </c>
      <c r="AQ267" s="55">
        <f>IF($B267=$B266,$AQ266,0)+$AP267</f>
        <v/>
      </c>
      <c r="AR267" s="55">
        <f>$AR266+$AP267</f>
        <v/>
      </c>
      <c r="AS267" s="55">
        <f>SUMIFS(tblMiningDaily[Blast_t],tblMiningDaily[Date],$A267)</f>
        <v/>
      </c>
      <c r="AT267" s="55">
        <f>IF($B267=$B266,$AT266,0)+$AS267</f>
        <v/>
      </c>
      <c r="AU267" s="55">
        <f>$AU266+$AS267</f>
        <v/>
      </c>
      <c r="AV267" s="55">
        <f>SUMIFS(tblMiningDaily[Explosives_kg],tblMiningDaily[Date],$A267)</f>
        <v/>
      </c>
      <c r="AW267" s="55">
        <f>IF($B267=$B266,$AW266,0)+$AV267</f>
        <v/>
      </c>
      <c r="AX267" s="55">
        <f>$AX266+$AV267</f>
        <v/>
      </c>
      <c r="AY267" s="56">
        <f>IFERROR(IF(($AS267)&gt;0,($AV267)/($AS267),""),"")</f>
        <v/>
      </c>
      <c r="AZ267" s="56">
        <f>IFERROR(IF(($AT267)&gt;0,($AW267)/($AT267),""),"")</f>
        <v/>
      </c>
      <c r="BA267" s="56">
        <f>IFERROR(IF(($AU267)&gt;0,($AX267)/($AU267),""),"")</f>
        <v/>
      </c>
      <c r="BB267" s="55">
        <f>SUMIFS(tblMiningDaily[Diesel_L],tblMiningDaily[Date],$A267)</f>
        <v/>
      </c>
      <c r="BC267" s="55">
        <f>IF($B267=$B266,$BC266,0)+$BB267</f>
        <v/>
      </c>
      <c r="BD267" s="55">
        <f>$BD266+$BB267</f>
        <v/>
      </c>
      <c r="BE267" s="55">
        <f>SUMIFS(tblMiningDaily[Dewatering_m3],tblMiningDaily[Date],$A267)</f>
        <v/>
      </c>
      <c r="BF267" s="55">
        <f>IF($B267=$B266,$BF266,0)+$BE267</f>
        <v/>
      </c>
      <c r="BG267" s="55">
        <f>$BG266+$BE267</f>
        <v/>
      </c>
      <c r="BH267" s="57">
        <f>SUMIFS(tblFleet[Calendar_h],tblFleet[Date],$A267,tblFleet[Equipment_Class],"Excavator")</f>
        <v/>
      </c>
      <c r="BI267" s="57">
        <f>IF($B267=$B266,$BI266,0)+$BH267</f>
        <v/>
      </c>
      <c r="BJ267" s="57">
        <f>$BJ266+$BH267</f>
        <v/>
      </c>
      <c r="BK267" s="57">
        <f>SUMIFS(tblFleet[Available_h],tblFleet[Date],$A267,tblFleet[Equipment_Class],"Excavator")</f>
        <v/>
      </c>
      <c r="BL267" s="57">
        <f>IF($B267=$B266,$BL266,0)+$BK267</f>
        <v/>
      </c>
      <c r="BM267" s="57">
        <f>$BM266+$BK267</f>
        <v/>
      </c>
      <c r="BN267" s="57">
        <f>SUMIFS(tblFleet[Operating_h],tblFleet[Date],$A267,tblFleet[Equipment_Class],"Excavator")</f>
        <v/>
      </c>
      <c r="BO267" s="57">
        <f>IF($B267=$B266,$BO266,0)+$BN267</f>
        <v/>
      </c>
      <c r="BP267" s="57">
        <f>$BP266+$BN267</f>
        <v/>
      </c>
      <c r="BQ267" s="67">
        <f>IFERROR(IF(($BH267)&gt;0,($BK267)/($BH267),""),"")</f>
        <v/>
      </c>
      <c r="BR267" s="67">
        <f>IFERROR(IF(($BI267)&gt;0,($BL267)/($BI267),""),"")</f>
        <v/>
      </c>
      <c r="BS267" s="67">
        <f>IFERROR(IF(($BJ267)&gt;0,($BM267)/($BJ267),""),"")</f>
        <v/>
      </c>
      <c r="BT267" s="67">
        <f>IFERROR(IF(($BK267)&gt;0,($BN267)/($BK267),""),"")</f>
        <v/>
      </c>
      <c r="BU267" s="67">
        <f>IFERROR(IF(($BL267)&gt;0,($BO267)/($BL267),""),"")</f>
        <v/>
      </c>
      <c r="BV267" s="67">
        <f>IFERROR(IF(($BM267)&gt;0,($BP267)/($BM267),""),"")</f>
        <v/>
      </c>
      <c r="BW267" s="57">
        <f>SUMIFS(tblFleet[Calendar_h],tblFleet[Date],$A267,tblFleet[Equipment_Class],"Haul Truck")</f>
        <v/>
      </c>
      <c r="BX267" s="57">
        <f>IF($B267=$B266,$BX266,0)+$BW267</f>
        <v/>
      </c>
      <c r="BY267" s="57">
        <f>$BY266+$BW267</f>
        <v/>
      </c>
      <c r="BZ267" s="57">
        <f>SUMIFS(tblFleet[Available_h],tblFleet[Date],$A267,tblFleet[Equipment_Class],"Haul Truck")</f>
        <v/>
      </c>
      <c r="CA267" s="57">
        <f>IF($B267=$B266,$CA266,0)+$BZ267</f>
        <v/>
      </c>
      <c r="CB267" s="57">
        <f>$CB266+$BZ267</f>
        <v/>
      </c>
      <c r="CC267" s="57">
        <f>SUMIFS(tblFleet[Operating_h],tblFleet[Date],$A267,tblFleet[Equipment_Class],"Haul Truck")</f>
        <v/>
      </c>
      <c r="CD267" s="57">
        <f>IF($B267=$B266,$CD266,0)+$CC267</f>
        <v/>
      </c>
      <c r="CE267" s="57">
        <f>$CE266+$CC267</f>
        <v/>
      </c>
      <c r="CF267" s="67">
        <f>IFERROR(IF(($BW267)&gt;0,($BZ267)/($BW267),""),"")</f>
        <v/>
      </c>
      <c r="CG267" s="67">
        <f>IFERROR(IF(($BX267)&gt;0,($CA267)/($BX267),""),"")</f>
        <v/>
      </c>
      <c r="CH267" s="67">
        <f>IFERROR(IF(($BY267)&gt;0,($CB267)/($BY267),""),"")</f>
        <v/>
      </c>
      <c r="CI267" s="67">
        <f>IFERROR(IF(($BZ267)&gt;0,($CC267)/($BZ267),""),"")</f>
        <v/>
      </c>
      <c r="CJ267" s="67">
        <f>IFERROR(IF(($CA267)&gt;0,($CD267)/($CA267),""),"")</f>
        <v/>
      </c>
      <c r="CK267" s="67">
        <f>IFERROR(IF(($CB267)&gt;0,($CE267)/($CB267),""),"")</f>
        <v/>
      </c>
      <c r="CL267" s="55">
        <f>IFERROR(IF(($BN267)&gt;0,($X267+$AD267)/($BN267),""),"")</f>
        <v/>
      </c>
      <c r="CM267" s="55">
        <f>IFERROR(IF(($BO267)&gt;0,($Y267+$AE267)/($BO267),""),"")</f>
        <v/>
      </c>
      <c r="CN267" s="55">
        <f>IFERROR(IF(($BP267)&gt;0,($Z267+$AF267)/($BP267),""),"")</f>
        <v/>
      </c>
      <c r="CO267" s="55">
        <f>IFERROR(IF(($CC267)&gt;0,($X267+$AD267)/($CC267),""),"")</f>
        <v/>
      </c>
      <c r="CP267" s="55">
        <f>IFERROR(IF(($CD267)&gt;0,($Y267+$AE267)/($CD267),""),"")</f>
        <v/>
      </c>
      <c r="CQ267" s="55">
        <f>IFERROR(IF(($CE267)&gt;0,($Z267+$AF267)/($CE267),""),"")</f>
        <v/>
      </c>
      <c r="CR267" s="55">
        <f>SUMIFS(tblPlant[Crushed_t],tblPlant[Date],$A267)</f>
        <v/>
      </c>
      <c r="CS267" s="55">
        <f>IF($B267=$B266,$CS266,0)+$CR267</f>
        <v/>
      </c>
      <c r="CT267" s="55">
        <f>$CT266+$CR267</f>
        <v/>
      </c>
      <c r="CU267" s="55">
        <f>SUMIFS(tblPlant[Milled_t],tblPlant[Date],$A267)</f>
        <v/>
      </c>
      <c r="CV267" s="55">
        <f>IF($B267=$B266,$CV266,0)+$CU267</f>
        <v/>
      </c>
      <c r="CW267" s="55">
        <f>$CW266+$CU267</f>
        <v/>
      </c>
      <c r="CX267" s="55">
        <f>SUMIFS(tblPlant[Feed_oz],tblPlant[Date],$A267)</f>
        <v/>
      </c>
      <c r="CY267" s="55">
        <f>IF($B267=$B266,$CY266,0)+$CX267</f>
        <v/>
      </c>
      <c r="CZ267" s="55">
        <f>$CZ266+$CX267</f>
        <v/>
      </c>
      <c r="DA267" s="55">
        <f>SUMIFS(tblPlant[Tails_oz],tblPlant[Date],$A267)</f>
        <v/>
      </c>
      <c r="DB267" s="55">
        <f>IF($B267=$B266,$DB266,0)+$DA267</f>
        <v/>
      </c>
      <c r="DC267" s="55">
        <f>$DC266+$DA267</f>
        <v/>
      </c>
      <c r="DD267" s="55">
        <f>SUMIFS(tblPlant[Recovered_oz],tblPlant[Date],$A267)</f>
        <v/>
      </c>
      <c r="DE267" s="55">
        <f>IF($B267=$B266,$DE266,0)+$DD267</f>
        <v/>
      </c>
      <c r="DF267" s="55">
        <f>$DF266+$DD267</f>
        <v/>
      </c>
      <c r="DG267" s="55">
        <f>SUMIFS(tblPlant[Milled_t],tblPlant[Date],$A267,tblPlant[Head_Grade_gpt],"&lt;&gt;")</f>
        <v/>
      </c>
      <c r="DH267" s="55">
        <f>IF($B267=$B266,$DH266,0)+$DG267</f>
        <v/>
      </c>
      <c r="DI267" s="55">
        <f>$DI266+$DG267</f>
        <v/>
      </c>
      <c r="DJ267" s="55">
        <f>SUMIFS(tblPlant[Milled_t],tblPlant[Date],$A267,tblPlant[Tails_Grade_gpt],"&lt;&gt;")</f>
        <v/>
      </c>
      <c r="DK267" s="55">
        <f>IF($B267=$B266,$DK266,0)+$DJ267</f>
        <v/>
      </c>
      <c r="DL267" s="55">
        <f>$DL266+$DJ267</f>
        <v/>
      </c>
      <c r="DM267" s="55">
        <f>SUMIFS(tblPlant[Feed_oz],tblPlant[Date],$A267,tblPlant[Tails_Grade_gpt],"&lt;&gt;")</f>
        <v/>
      </c>
      <c r="DN267" s="55">
        <f>IF($B267=$B266,$DN266,0)+$DM267</f>
        <v/>
      </c>
      <c r="DO267" s="55">
        <f>$DO266+$DM267</f>
        <v/>
      </c>
      <c r="DP267" s="55">
        <f>SUMIFS(tblPlant[Milled_t],tblPlant[Date],$A267,tblPlant[Mill_Run_h],"&lt;&gt;")</f>
        <v/>
      </c>
      <c r="DQ267" s="55">
        <f>IF($B267=$B266,$DQ266,0)+$DP267</f>
        <v/>
      </c>
      <c r="DR267" s="55">
        <f>$DR266+$DP267</f>
        <v/>
      </c>
      <c r="DS267" s="56">
        <f>IFERROR(IF(($DG267)&gt;0,($CX267*cfg_TroyOz)/($DG267),""),"")</f>
        <v/>
      </c>
      <c r="DT267" s="56">
        <f>IFERROR(IF(($DH267)&gt;0,($CY267*cfg_TroyOz)/($DH267),""),"")</f>
        <v/>
      </c>
      <c r="DU267" s="56">
        <f>IFERROR(IF(($DI267)&gt;0,($CZ267*cfg_TroyOz)/($DI267),""),"")</f>
        <v/>
      </c>
      <c r="DV267" s="56">
        <f>IFERROR(IF(($DJ267)&gt;0,($DA267*cfg_TroyOz)/($DJ267),""),"")</f>
        <v/>
      </c>
      <c r="DW267" s="56">
        <f>IFERROR(IF(($DK267)&gt;0,($DB267*cfg_TroyOz)/($DK267),""),"")</f>
        <v/>
      </c>
      <c r="DX267" s="56">
        <f>IFERROR(IF(($DL267)&gt;0,($DC267*cfg_TroyOz)/($DL267),""),"")</f>
        <v/>
      </c>
      <c r="DY267" s="67">
        <f>IFERROR(IF(($DM267)&gt;0,($DD267)/($DM267),""),"")</f>
        <v/>
      </c>
      <c r="DZ267" s="67">
        <f>IFERROR(IF(($DN267)&gt;0,($DE267)/($DN267),""),"")</f>
        <v/>
      </c>
      <c r="EA267" s="67">
        <f>IFERROR(IF(($DO267)&gt;0,($DF267)/($DO267),""),"")</f>
        <v/>
      </c>
      <c r="EB267" s="55">
        <f>SUMIFS(tblPlant[Gravity_Gold_oz],tblPlant[Date],$A267)</f>
        <v/>
      </c>
      <c r="EC267" s="55">
        <f>IF($B267=$B266,$EC266,0)+$EB267</f>
        <v/>
      </c>
      <c r="ED267" s="55">
        <f>$ED266+$EB267</f>
        <v/>
      </c>
      <c r="EE267" s="67">
        <f>IFERROR(IF(($DD267)&gt;0,($EB267)/($DD267),""),"")</f>
        <v/>
      </c>
      <c r="EF267" s="67">
        <f>IFERROR(IF(($DE267)&gt;0,($EC267)/($DE267),""),"")</f>
        <v/>
      </c>
      <c r="EG267" s="67">
        <f>IFERROR(IF(($DF267)&gt;0,($ED267)/($DF267),""),"")</f>
        <v/>
      </c>
      <c r="EH267" s="55">
        <f>SUMIFS(tblPlant[Gold_Poured_oz],tblPlant[Date],$A267)</f>
        <v/>
      </c>
      <c r="EI267" s="55">
        <f>IF($B267=$B266,$EI266,0)+$EH267</f>
        <v/>
      </c>
      <c r="EJ267" s="55">
        <f>$EJ266+$EH267</f>
        <v/>
      </c>
      <c r="EK267" s="57">
        <f>SUMIFS(tblPlant[Mill_Run_h],tblPlant[Date],$A267)</f>
        <v/>
      </c>
      <c r="EL267" s="57">
        <f>IF($B267=$B266,$EL266,0)+$EK267</f>
        <v/>
      </c>
      <c r="EM267" s="57">
        <f>$EM266+$EK267</f>
        <v/>
      </c>
      <c r="EN267" s="57">
        <f>SUMIFS(tblPlant[Mill_Planned_Maint_h],tblPlant[Date],$A267)</f>
        <v/>
      </c>
      <c r="EO267" s="57">
        <f>IF($B267=$B266,$EO266,0)+$EN267</f>
        <v/>
      </c>
      <c r="EP267" s="57">
        <f>$EP266+$EN267</f>
        <v/>
      </c>
      <c r="EQ267" s="57">
        <f>SUMIFS(tblPlant[Mill_Unplanned_Down_h],tblPlant[Date],$A267)</f>
        <v/>
      </c>
      <c r="ER267" s="57">
        <f>IF($B267=$B266,$ER266,0)+$EQ267</f>
        <v/>
      </c>
      <c r="ES267" s="57">
        <f>$ES266+$EQ267</f>
        <v/>
      </c>
      <c r="ET267" s="57">
        <f>IF(COUNTIFS(tblPlant[Date],$A267,tblPlant[Mill_Run_h],"&lt;&gt;")+COUNTIFS(tblPlant[Date],$A267,tblPlant[Mill_Planned_Maint_h],"&lt;&gt;")+COUNTIFS(tblPlant[Date],$A267,tblPlant[Mill_Unplanned_Down_h],"&lt;&gt;")&gt;0,cfg_HoursPerDay,0)</f>
        <v/>
      </c>
      <c r="EU267" s="57">
        <f>IF($B267=$B266,$EU266,0)+$ET267</f>
        <v/>
      </c>
      <c r="EV267" s="57">
        <f>$EV266+$ET267</f>
        <v/>
      </c>
      <c r="EW267" s="57">
        <f>SUMIFS(tblPlant[Crusher_Run_h],tblPlant[Date],$A267)</f>
        <v/>
      </c>
      <c r="EX267" s="57">
        <f>IF($B267=$B266,$EX266,0)+$EW267</f>
        <v/>
      </c>
      <c r="EY267" s="57">
        <f>$EY266+$EW267</f>
        <v/>
      </c>
      <c r="EZ267" s="55">
        <f>IFERROR(IF(($EK267)&gt;0,($DP267)/($EK267),""),"")</f>
        <v/>
      </c>
      <c r="FA267" s="55">
        <f>IFERROR(IF(($EL267)&gt;0,($DQ267)/($EL267),""),"")</f>
        <v/>
      </c>
      <c r="FB267" s="55">
        <f>IFERROR(IF(($EM267)&gt;0,($DR267)/($EM267),""),"")</f>
        <v/>
      </c>
      <c r="FC267" s="67">
        <f>IFERROR(IF(($ET267)&gt;0,($ET267-$EN267-$EQ267)/($ET267),""),"")</f>
        <v/>
      </c>
      <c r="FD267" s="67">
        <f>IFERROR(IF(($EU267)&gt;0,($EU267-$EO267-$ER267)/($EU267),""),"")</f>
        <v/>
      </c>
      <c r="FE267" s="67">
        <f>IFERROR(IF(($EV267)&gt;0,($EV267-$EP267-$ES267)/($EV267),""),"")</f>
        <v/>
      </c>
      <c r="FF267" s="67">
        <f>IFERROR(IF(($ET267-$EN267-$EQ267)&gt;0,($EK267)/($ET267-$EN267-$EQ267),""),"")</f>
        <v/>
      </c>
      <c r="FG267" s="67">
        <f>IFERROR(IF(($EU267-$EO267-$ER267)&gt;0,($EL267)/($EU267-$EO267-$ER267),""),"")</f>
        <v/>
      </c>
      <c r="FH267" s="67">
        <f>IFERROR(IF(($EV267-$EP267-$ES267)&gt;0,($EM267)/($EV267-$EP267-$ES267),""),"")</f>
        <v/>
      </c>
      <c r="FI267" s="55">
        <f>SUMIFS(tblPlant[Cyanide_kg],tblPlant[Date],$A267)</f>
        <v/>
      </c>
      <c r="FJ267" s="55">
        <f>IF($B267=$B266,$FJ266,0)+$FI267</f>
        <v/>
      </c>
      <c r="FK267" s="55">
        <f>$FK266+$FI267</f>
        <v/>
      </c>
      <c r="FL267" s="55">
        <f>SUMIFS(tblPlant[Lime_kg],tblPlant[Date],$A267)</f>
        <v/>
      </c>
      <c r="FM267" s="55">
        <f>IF($B267=$B266,$FM266,0)+$FL267</f>
        <v/>
      </c>
      <c r="FN267" s="55">
        <f>$FN266+$FL267</f>
        <v/>
      </c>
      <c r="FO267" s="55">
        <f>SUMIFS(tblPlant[Grinding_Media_kg],tblPlant[Date],$A267)</f>
        <v/>
      </c>
      <c r="FP267" s="55">
        <f>IF($B267=$B266,$FP266,0)+$FO267</f>
        <v/>
      </c>
      <c r="FQ267" s="55">
        <f>$FQ266+$FO267</f>
        <v/>
      </c>
      <c r="FR267" s="55">
        <f>SUMIFS(tblPlant[Power_kWh],tblPlant[Date],$A267)</f>
        <v/>
      </c>
      <c r="FS267" s="55">
        <f>IF($B267=$B266,$FS266,0)+$FR267</f>
        <v/>
      </c>
      <c r="FT267" s="55">
        <f>$FT266+$FR267</f>
        <v/>
      </c>
      <c r="FU267" s="55">
        <f>SUMIFS(tblPlant[Raw_Water_m3],tblPlant[Date],$A267)</f>
        <v/>
      </c>
      <c r="FV267" s="55">
        <f>IF($B267=$B266,$FV266,0)+$FU267</f>
        <v/>
      </c>
      <c r="FW267" s="55">
        <f>$FW266+$FU267</f>
        <v/>
      </c>
      <c r="FX267" s="56">
        <f>IFERROR(IF(($CU267)&gt;0,($FI267)/($CU267),""),"")</f>
        <v/>
      </c>
      <c r="FY267" s="56">
        <f>IFERROR(IF(($CV267)&gt;0,($FJ267)/($CV267),""),"")</f>
        <v/>
      </c>
      <c r="FZ267" s="56">
        <f>IFERROR(IF(($CW267)&gt;0,($FK267)/($CW267),""),"")</f>
        <v/>
      </c>
      <c r="GA267" s="56">
        <f>IFERROR(IF(($CU267)&gt;0,($FL267)/($CU267),""),"")</f>
        <v/>
      </c>
      <c r="GB267" s="56">
        <f>IFERROR(IF(($CV267)&gt;0,($FM267)/($CV267),""),"")</f>
        <v/>
      </c>
      <c r="GC267" s="56">
        <f>IFERROR(IF(($CW267)&gt;0,($FN267)/($CW267),""),"")</f>
        <v/>
      </c>
      <c r="GD267" s="56">
        <f>IFERROR(IF(($CU267)&gt;0,($FO267)/($CU267),""),"")</f>
        <v/>
      </c>
      <c r="GE267" s="56">
        <f>IFERROR(IF(($CV267)&gt;0,($FP267)/($CV267),""),"")</f>
        <v/>
      </c>
      <c r="GF267" s="56">
        <f>IFERROR(IF(($CW267)&gt;0,($FQ267)/($CW267),""),"")</f>
        <v/>
      </c>
      <c r="GG267" s="79">
        <f>IFERROR(IF(($CU267)&gt;0,($FR267)/($CU267),""),"")</f>
        <v/>
      </c>
      <c r="GH267" s="79">
        <f>IFERROR(IF(($CV267)&gt;0,($FS267)/($CV267),""),"")</f>
        <v/>
      </c>
      <c r="GI267" s="79">
        <f>IFERROR(IF(($CW267)&gt;0,($FT267)/($CW267),""),"")</f>
        <v/>
      </c>
      <c r="GJ267" s="56">
        <f>IFERROR(IF(($CU267)&gt;0,($FU267)/($CU267),""),"")</f>
        <v/>
      </c>
      <c r="GK267" s="56">
        <f>IFERROR(IF(($CV267)&gt;0,($FV267)/($CV267),""),"")</f>
        <v/>
      </c>
      <c r="GL267" s="56">
        <f>IFERROR(IF(($CW267)&gt;0,($FW267)/($CW267),""),"")</f>
        <v/>
      </c>
      <c r="GM267" s="55">
        <f>IF(SUMIFS(tblPlant[GIC_oz],tblPlant[Date],$A267)&gt;0,SUMIFS(tblPlant[GIC_oz],tblPlant[Date],$A267),"")</f>
        <v/>
      </c>
      <c r="GN267" s="55">
        <f>SUMIFS(tblGold[Gold_oz],tblGold[Date],$A267,tblGold[Type],"Shipment")</f>
        <v/>
      </c>
      <c r="GO267" s="55">
        <f>IF($B267=$B266,$GO266,0)+$GN267</f>
        <v/>
      </c>
      <c r="GP267" s="55">
        <f>$GP266+$GN267</f>
        <v/>
      </c>
      <c r="GQ267" s="55">
        <f>SUMIFS(tblGold[Gold_oz],tblGold[Date],$A267,tblGold[Type],"Sale")</f>
        <v/>
      </c>
      <c r="GR267" s="55">
        <f>IF($B267=$B266,$GR266,0)+$GQ267</f>
        <v/>
      </c>
      <c r="GS267" s="55">
        <f>$GS266+$GQ267</f>
        <v/>
      </c>
      <c r="GT267" s="55">
        <f>SUMIFS(tblGold[Dore_kg],tblGold[Date],$A267,tblGold[Type],"Shipment")</f>
        <v/>
      </c>
      <c r="GU267" s="55">
        <f>IF($B267=$B266,$GU266,0)+$GT267</f>
        <v/>
      </c>
      <c r="GV267" s="55">
        <f>$GV266+$GT267</f>
        <v/>
      </c>
      <c r="GW267" s="57">
        <f>SUMIFS(tblSafety[Hours_Total],tblSafety[Date],$A267)</f>
        <v/>
      </c>
      <c r="GX267" s="57">
        <f>IF($B267=$B266,$GX266,0)+$GW267</f>
        <v/>
      </c>
      <c r="GY267" s="57">
        <f>$GY266+$GW267</f>
        <v/>
      </c>
      <c r="GZ267" s="62">
        <f>SUMIFS(tblSafety[Fatality],tblSafety[Date],$A267)</f>
        <v/>
      </c>
      <c r="HA267" s="62">
        <f>IF($B267=$B266,$HA266,0)+$GZ267</f>
        <v/>
      </c>
      <c r="HB267" s="62">
        <f>$HB266+$GZ267</f>
        <v/>
      </c>
      <c r="HC267" s="62">
        <f>SUMIFS(tblSafety[LTI],tblSafety[Date],$A267)</f>
        <v/>
      </c>
      <c r="HD267" s="62">
        <f>IF($B267=$B266,$HD266,0)+$HC267</f>
        <v/>
      </c>
      <c r="HE267" s="62">
        <f>$HE266+$HC267</f>
        <v/>
      </c>
      <c r="HF267" s="62">
        <f>SUMIFS(tblSafety[RWI],tblSafety[Date],$A267)</f>
        <v/>
      </c>
      <c r="HG267" s="62">
        <f>IF($B267=$B266,$HG266,0)+$HF267</f>
        <v/>
      </c>
      <c r="HH267" s="62">
        <f>$HH266+$HF267</f>
        <v/>
      </c>
      <c r="HI267" s="62">
        <f>SUMIFS(tblSafety[MTI],tblSafety[Date],$A267)</f>
        <v/>
      </c>
      <c r="HJ267" s="62">
        <f>IF($B267=$B266,$HJ266,0)+$HI267</f>
        <v/>
      </c>
      <c r="HK267" s="62">
        <f>$HK266+$HI267</f>
        <v/>
      </c>
      <c r="HL267" s="62">
        <f>SUMIFS(tblSafety[FAI],tblSafety[Date],$A267)</f>
        <v/>
      </c>
      <c r="HM267" s="62">
        <f>IF($B267=$B266,$HM266,0)+$HL267</f>
        <v/>
      </c>
      <c r="HN267" s="62">
        <f>$HN266+$HL267</f>
        <v/>
      </c>
      <c r="HO267" s="62">
        <f>SUMIFS(tblSafety[Recordables],tblSafety[Date],$A267)</f>
        <v/>
      </c>
      <c r="HP267" s="62">
        <f>IF($B267=$B266,$HP266,0)+$HO267</f>
        <v/>
      </c>
      <c r="HQ267" s="62">
        <f>$HQ266+$HO267</f>
        <v/>
      </c>
      <c r="HR267" s="62">
        <f>SUMIFS(tblSafety[Near_Miss],tblSafety[Date],$A267)</f>
        <v/>
      </c>
      <c r="HS267" s="62">
        <f>IF($B267=$B266,$HS266,0)+$HR267</f>
        <v/>
      </c>
      <c r="HT267" s="62">
        <f>$HT266+$HR267</f>
        <v/>
      </c>
      <c r="HU267" s="62">
        <f>SUMIFS(tblSafety[Hazard_Reports],tblSafety[Date],$A267)</f>
        <v/>
      </c>
      <c r="HV267" s="62">
        <f>IF($B267=$B266,$HV266,0)+$HU267</f>
        <v/>
      </c>
      <c r="HW267" s="62">
        <f>$HW266+$HU267</f>
        <v/>
      </c>
      <c r="HX267" s="62">
        <f>SUMIFS(tblSafety[HPI],tblSafety[Date],$A267)</f>
        <v/>
      </c>
      <c r="HY267" s="62">
        <f>IF($B267=$B266,$HY266,0)+$HX267</f>
        <v/>
      </c>
      <c r="HZ267" s="62">
        <f>$HZ266+$HX267</f>
        <v/>
      </c>
      <c r="IA267" s="62">
        <f>SUMIFS(tblSafety[Env_Incidents],tblSafety[Date],$A267)</f>
        <v/>
      </c>
      <c r="IB267" s="62">
        <f>IF($B267=$B266,$IB266,0)+$IA267</f>
        <v/>
      </c>
      <c r="IC267" s="62">
        <f>$IC266+$IA267</f>
        <v/>
      </c>
      <c r="ID267" s="62">
        <f>SUMIFS(tblSafety[Community_Incidents],tblSafety[Date],$A267)</f>
        <v/>
      </c>
      <c r="IE267" s="62">
        <f>IF($B267=$B266,$IE266,0)+$ID267</f>
        <v/>
      </c>
      <c r="IF267" s="62">
        <f>$IF266+$ID267</f>
        <v/>
      </c>
      <c r="IG267" s="62">
        <f>SUMIFS(tblSafety[Vehicle_Incidents],tblSafety[Date],$A267)</f>
        <v/>
      </c>
      <c r="IH267" s="62">
        <f>IF($B267=$B266,$IH266,0)+$IG267</f>
        <v/>
      </c>
      <c r="II267" s="62">
        <f>$II266+$IG267</f>
        <v/>
      </c>
      <c r="IJ267" s="62">
        <f>SUMIFS(tblSafety[Toolbox_Talks],tblSafety[Date],$A267)</f>
        <v/>
      </c>
      <c r="IK267" s="62">
        <f>IF($B267=$B266,$IK266,0)+$IJ267</f>
        <v/>
      </c>
      <c r="IL267" s="62">
        <f>$IL266+$IJ267</f>
        <v/>
      </c>
      <c r="IM267" s="62">
        <f>SUMIFS(tblSafety[Inspections],tblSafety[Date],$A267)</f>
        <v/>
      </c>
      <c r="IN267" s="62">
        <f>IF($B267=$B266,$IN266,0)+$IM267</f>
        <v/>
      </c>
      <c r="IO267" s="62">
        <f>$IO266+$IM267</f>
        <v/>
      </c>
      <c r="IP267" s="56">
        <f>IFERROR((SUMIFS(tblSafety[Recordables],tblSafety[Date],"&gt;="&amp;EDATE($E267,-12),tblSafety[Date],"&lt;="&amp;$A267)+SUMIFS(tblSafetyHistory[Recordables],tblSafetyHistory[Month],"&gt;="&amp;EDATE($E267,-12),tblSafetyHistory[Month],"&lt;"&amp;$E267,tblSafetyHistory[Use],1))/(SUMIFS(tblSafety[Hours_Total],tblSafety[Date],"&gt;="&amp;EDATE($E267,-12),tblSafety[Date],"&lt;="&amp;$A267)+SUMIFS(tblSafetyHistory[Hours_Total],tblSafetyHistory[Month],"&gt;="&amp;EDATE($E267,-12),tblSafetyHistory[Month],"&lt;"&amp;$E267,tblSafetyHistory[Use],1))*cfg_RateBasisHours,"")</f>
        <v/>
      </c>
      <c r="IQ267" s="56">
        <f>IFERROR((SUMIFS(tblSafety[LTI],tblSafety[Date],"&gt;="&amp;EDATE($E267,-12),tblSafety[Date],"&lt;="&amp;$A267)+SUMIFS(tblSafetyHistory[LTI],tblSafetyHistory[Month],"&gt;="&amp;EDATE($E267,-12),tblSafetyHistory[Month],"&lt;"&amp;$E267,tblSafetyHistory[Use],1))/(SUMIFS(tblSafety[Hours_Total],tblSafety[Date],"&gt;="&amp;EDATE($E267,-12),tblSafety[Date],"&lt;="&amp;$A267)+SUMIFS(tblSafetyHistory[Hours_Total],tblSafetyHistory[Month],"&gt;="&amp;EDATE($E267,-12),tblSafetyHistory[Month],"&lt;"&amp;$E267,tblSafetyHistory[Use],1))*cfg_RateBasisHours,"")</f>
        <v/>
      </c>
      <c r="IR267" s="62">
        <f>IF(MAX(N(cfg_PriorLTIDate),_xlfn.MAXIFS(tblSafety[Date],tblSafety[LTI],"&gt;0",tblSafety[Date],"&lt;="&amp;$A267))=0,"",$A267-MAX(N(cfg_PriorLTIDate),_xlfn.MAXIFS(tblSafety[Date],tblSafety[LTI],"&gt;0",tblSafety[Date],"&lt;="&amp;$A267)))</f>
        <v/>
      </c>
      <c r="IS267" s="55">
        <f>SUMIFS(tblBudget[Ore_Mined_t],tblBudget[Month],$E267)</f>
        <v/>
      </c>
      <c r="IT267" s="55">
        <f>$IS267*$C267/$D267</f>
        <v/>
      </c>
      <c r="IU267" s="55">
        <f>SUMIFS(tblBudget[Ore_Mined_t],tblBudget[Month],"&lt;"&amp;$E267)+$IT267</f>
        <v/>
      </c>
      <c r="IV267" s="55">
        <f>SUMIFS(tblBudget[Ore_oz],tblBudget[Month],$E267)</f>
        <v/>
      </c>
      <c r="IW267" s="55">
        <f>$IV267*$C267/$D267</f>
        <v/>
      </c>
      <c r="IX267" s="55">
        <f>SUMIFS(tblBudget[Ore_oz],tblBudget[Month],"&lt;"&amp;$E267)+$IW267</f>
        <v/>
      </c>
      <c r="IY267" s="55">
        <f>SUMIFS(tblBudget[Ore_Mined_t],tblBudget[Month],$E267)</f>
        <v/>
      </c>
      <c r="IZ267" s="55">
        <f>$IY267*$C267/$D267</f>
        <v/>
      </c>
      <c r="JA267" s="55">
        <f>SUMIFS(tblBudget[Ore_Mined_t],tblBudget[Month],"&lt;"&amp;$E267)+$IZ267</f>
        <v/>
      </c>
      <c r="JB267" s="56">
        <f>IFERROR(IF(($IY267)&gt;0,($IV267*cfg_TroyOz)/($IY267),""),"")</f>
        <v/>
      </c>
      <c r="JC267" s="56">
        <f>IFERROR(IF(($IZ267)&gt;0,($IW267*cfg_TroyOz)/($IZ267),""),"")</f>
        <v/>
      </c>
      <c r="JD267" s="56">
        <f>IFERROR(IF(($JA267)&gt;0,($IX267*cfg_TroyOz)/($JA267),""),"")</f>
        <v/>
      </c>
      <c r="JE267" s="55">
        <f>SUMIFS(tblBudget[Waste_t],tblBudget[Month],$E267)</f>
        <v/>
      </c>
      <c r="JF267" s="55">
        <f>$JE267*$C267/$D267</f>
        <v/>
      </c>
      <c r="JG267" s="55">
        <f>SUMIFS(tblBudget[Waste_t],tblBudget[Month],"&lt;"&amp;$E267)+$JF267</f>
        <v/>
      </c>
      <c r="JH267" s="55">
        <f>SUMIFS(tblBudget[TMM_t],tblBudget[Month],$E267)</f>
        <v/>
      </c>
      <c r="JI267" s="55">
        <f>$JH267*$C267/$D267</f>
        <v/>
      </c>
      <c r="JJ267" s="55">
        <f>SUMIFS(tblBudget[TMM_t],tblBudget[Month],"&lt;"&amp;$E267)+$JI267</f>
        <v/>
      </c>
      <c r="JK267" s="56">
        <f>IFERROR(IF(($IS267)&gt;0,($JE267)/($IS267),""),"")</f>
        <v/>
      </c>
      <c r="JL267" s="56">
        <f>IFERROR(IF(($IT267)&gt;0,($JF267)/($IT267),""),"")</f>
        <v/>
      </c>
      <c r="JM267" s="56">
        <f>IFERROR(IF(($IU267)&gt;0,($JG267)/($IU267),""),"")</f>
        <v/>
      </c>
      <c r="JN267" s="55">
        <f>SUMIFS(tblBudget[Drill_m],tblBudget[Month],$E267)</f>
        <v/>
      </c>
      <c r="JO267" s="55">
        <f>$JN267*$C267/$D267</f>
        <v/>
      </c>
      <c r="JP267" s="55">
        <f>SUMIFS(tblBudget[Drill_m],tblBudget[Month],"&lt;"&amp;$E267)+$JO267</f>
        <v/>
      </c>
      <c r="JQ267" s="55">
        <f>SUMIFS(tblBudget[Diesel_L],tblBudget[Month],$E267)</f>
        <v/>
      </c>
      <c r="JR267" s="55">
        <f>$JQ267*$C267/$D267</f>
        <v/>
      </c>
      <c r="JS267" s="55">
        <f>SUMIFS(tblBudget[Diesel_L],tblBudget[Month],"&lt;"&amp;$E267)+$JR267</f>
        <v/>
      </c>
      <c r="JT267" s="55">
        <f>SUMIFS(tblBudget[Milled_t],tblBudget[Month],$E267)</f>
        <v/>
      </c>
      <c r="JU267" s="55">
        <f>$JT267*$C267/$D267</f>
        <v/>
      </c>
      <c r="JV267" s="55">
        <f>SUMIFS(tblBudget[Milled_t],tblBudget[Month],"&lt;"&amp;$E267)+$JU267</f>
        <v/>
      </c>
      <c r="JW267" s="55">
        <f>SUMIFS(tblBudget[Feed_oz],tblBudget[Month],$E267)</f>
        <v/>
      </c>
      <c r="JX267" s="55">
        <f>$JW267*$C267/$D267</f>
        <v/>
      </c>
      <c r="JY267" s="55">
        <f>SUMIFS(tblBudget[Feed_oz],tblBudget[Month],"&lt;"&amp;$E267)+$JX267</f>
        <v/>
      </c>
      <c r="JZ267" s="55">
        <f>SUMIFS(tblBudget[Recovered_oz],tblBudget[Month],$E267)</f>
        <v/>
      </c>
      <c r="KA267" s="55">
        <f>$JZ267*$C267/$D267</f>
        <v/>
      </c>
      <c r="KB267" s="55">
        <f>SUMIFS(tblBudget[Recovered_oz],tblBudget[Month],"&lt;"&amp;$E267)+$KA267</f>
        <v/>
      </c>
      <c r="KC267" s="55">
        <f>SUMIFS(tblBudget[Milled_t],tblBudget[Month],$E267)</f>
        <v/>
      </c>
      <c r="KD267" s="55">
        <f>$KC267*$C267/$D267</f>
        <v/>
      </c>
      <c r="KE267" s="55">
        <f>SUMIFS(tblBudget[Milled_t],tblBudget[Month],"&lt;"&amp;$E267)+$KD267</f>
        <v/>
      </c>
      <c r="KF267" s="55">
        <f>SUMIFS(tblBudget[Feed_oz],tblBudget[Month],$E267)</f>
        <v/>
      </c>
      <c r="KG267" s="55">
        <f>$KF267*$C267/$D267</f>
        <v/>
      </c>
      <c r="KH267" s="55">
        <f>SUMIFS(tblBudget[Feed_oz],tblBudget[Month],"&lt;"&amp;$E267)+$KG267</f>
        <v/>
      </c>
      <c r="KI267" s="56">
        <f>IFERROR(IF(($KC267)&gt;0,($JW267*cfg_TroyOz)/($KC267),""),"")</f>
        <v/>
      </c>
      <c r="KJ267" s="56">
        <f>IFERROR(IF(($KD267)&gt;0,($JX267*cfg_TroyOz)/($KD267),""),"")</f>
        <v/>
      </c>
      <c r="KK267" s="56">
        <f>IFERROR(IF(($KE267)&gt;0,($JY267*cfg_TroyOz)/($KE267),""),"")</f>
        <v/>
      </c>
      <c r="KL267" s="67">
        <f>IFERROR(IF(($KF267)&gt;0,($JZ267)/($KF267),""),"")</f>
        <v/>
      </c>
      <c r="KM267" s="67">
        <f>IFERROR(IF(($KG267)&gt;0,($KA267)/($KG267),""),"")</f>
        <v/>
      </c>
      <c r="KN267" s="67">
        <f>IFERROR(IF(($KH267)&gt;0,($KB267)/($KH267),""),"")</f>
        <v/>
      </c>
      <c r="KO267" s="55">
        <f>SUMIFS(tblBudget[Gold_Poured_oz],tblBudget[Month],$E267)</f>
        <v/>
      </c>
      <c r="KP267" s="55">
        <f>$KO267*$C267/$D267</f>
        <v/>
      </c>
      <c r="KQ267" s="55">
        <f>SUMIFS(tblBudget[Gold_Poured_oz],tblBudget[Month],"&lt;"&amp;$E267)+$KP267</f>
        <v/>
      </c>
      <c r="KR267" s="57">
        <f>SUMIFS(tblBudget[Hours_Worked],tblBudget[Month],$E267)</f>
        <v/>
      </c>
      <c r="KS267" s="57">
        <f>$KR267*$C267/$D267</f>
        <v/>
      </c>
      <c r="KT267" s="57">
        <f>SUMIFS(tblBudget[Hours_Worked],tblBudget[Month],"&lt;"&amp;$E267)+$KS267</f>
        <v/>
      </c>
    </row>
    <row r="268">
      <c r="A268" s="54" t="n">
        <v>46289</v>
      </c>
      <c r="B268">
        <f>MONTH($A268)</f>
        <v/>
      </c>
      <c r="C268">
        <f>DAY($A268)</f>
        <v/>
      </c>
      <c r="D268">
        <f>DAY(EOMONTH($A268,0))</f>
        <v/>
      </c>
      <c r="E268" s="54">
        <f>DATE(YEAR($A268),MONTH($A268),1)</f>
        <v/>
      </c>
      <c r="F268" s="55">
        <f>SUMIFS(tblMovement[Tonnes_t],tblMovement[Date],$A268,tblMovement[Is_Ore],1,tblMovement[Source_Type],"Pit")</f>
        <v/>
      </c>
      <c r="G268" s="55">
        <f>IF($B268=$B267,$G267,0)+$F268</f>
        <v/>
      </c>
      <c r="H268" s="55">
        <f>$H267+$F268</f>
        <v/>
      </c>
      <c r="I268" s="55">
        <f>SUMIFS(tblMovement[Ore_oz],tblMovement[Date],$A268,tblMovement[Source_Type],"Pit")</f>
        <v/>
      </c>
      <c r="J268" s="55">
        <f>IF($B268=$B267,$J267,0)+$I268</f>
        <v/>
      </c>
      <c r="K268" s="55">
        <f>$K267+$I268</f>
        <v/>
      </c>
      <c r="L268" s="55">
        <f>SUMIFS(tblMovement[Tonnes_t],tblMovement[Date],$A268,tblMovement[Is_Ore],1,tblMovement[Source_Type],"Pit",tblMovement[Grade_gpt],"&lt;&gt;")</f>
        <v/>
      </c>
      <c r="M268" s="55">
        <f>IF($B268=$B267,$M267,0)+$L268</f>
        <v/>
      </c>
      <c r="N268" s="55">
        <f>$N267+$L268</f>
        <v/>
      </c>
      <c r="O268" s="56">
        <f>IFERROR(IF(($L268)&gt;0,($I268*cfg_TroyOz)/($L268),""),"")</f>
        <v/>
      </c>
      <c r="P268" s="56">
        <f>IFERROR(IF(($M268)&gt;0,($J268*cfg_TroyOz)/($M268),""),"")</f>
        <v/>
      </c>
      <c r="Q268" s="56">
        <f>IFERROR(IF(($N268)&gt;0,($K268*cfg_TroyOz)/($N268),""),"")</f>
        <v/>
      </c>
      <c r="R268" s="55">
        <f>$F268-$L268</f>
        <v/>
      </c>
      <c r="S268" s="55">
        <f>IF($B268=$B267,$S267,0)+$R268</f>
        <v/>
      </c>
      <c r="T268" s="55">
        <f>$T267+$R268</f>
        <v/>
      </c>
      <c r="U268" s="55">
        <f>SUMIFS(tblMovement[Tonnes_t],tblMovement[Date],$A268,tblMovement[Is_Ore],0,tblMovement[Source_Type],"Pit")</f>
        <v/>
      </c>
      <c r="V268" s="55">
        <f>IF($B268=$B267,$V267,0)+$U268</f>
        <v/>
      </c>
      <c r="W268" s="55">
        <f>$W267+$U268</f>
        <v/>
      </c>
      <c r="X268" s="55">
        <f>$F268+$U268</f>
        <v/>
      </c>
      <c r="Y268" s="55">
        <f>IF($B268=$B267,$Y267,0)+$X268</f>
        <v/>
      </c>
      <c r="Z268" s="55">
        <f>$Z267+$X268</f>
        <v/>
      </c>
      <c r="AA268" s="56">
        <f>IFERROR(IF(($F268)&gt;0,($U268)/($F268),""),"")</f>
        <v/>
      </c>
      <c r="AB268" s="56">
        <f>IFERROR(IF(($G268)&gt;0,($V268)/($G268),""),"")</f>
        <v/>
      </c>
      <c r="AC268" s="56">
        <f>IFERROR(IF(($H268)&gt;0,($W268)/($H268),""),"")</f>
        <v/>
      </c>
      <c r="AD268" s="55">
        <f>SUMIFS(tblMovement[Tonnes_t],tblMovement[Date],$A268,tblMovement[Source_Type],"Stockpile")</f>
        <v/>
      </c>
      <c r="AE268" s="55">
        <f>IF($B268=$B267,$AE267,0)+$AD268</f>
        <v/>
      </c>
      <c r="AF268" s="55">
        <f>$AF267+$AD268</f>
        <v/>
      </c>
      <c r="AG268" s="55">
        <f>SUMIFS(tblMovement[Tonnes_t],tblMovement[Date],$A268)</f>
        <v/>
      </c>
      <c r="AH268" s="55">
        <f>IF($B268=$B267,$AH267,0)+$AG268</f>
        <v/>
      </c>
      <c r="AI268" s="55">
        <f>$AI267+$AG268</f>
        <v/>
      </c>
      <c r="AJ268" s="55">
        <f>$AG268-$X268-$AD268</f>
        <v/>
      </c>
      <c r="AK268" s="55">
        <f>IF($B268=$B267,$AK267,0)+$AJ268</f>
        <v/>
      </c>
      <c r="AL268" s="55">
        <f>$AL267+$AJ268</f>
        <v/>
      </c>
      <c r="AM268" s="55">
        <f>SUMIFS(tblMiningDaily[Drill_m],tblMiningDaily[Date],$A268)</f>
        <v/>
      </c>
      <c r="AN268" s="55">
        <f>IF($B268=$B267,$AN267,0)+$AM268</f>
        <v/>
      </c>
      <c r="AO268" s="55">
        <f>$AO267+$AM268</f>
        <v/>
      </c>
      <c r="AP268" s="55">
        <f>SUMIFS(tblMiningDaily[GC_Drill_m],tblMiningDaily[Date],$A268)</f>
        <v/>
      </c>
      <c r="AQ268" s="55">
        <f>IF($B268=$B267,$AQ267,0)+$AP268</f>
        <v/>
      </c>
      <c r="AR268" s="55">
        <f>$AR267+$AP268</f>
        <v/>
      </c>
      <c r="AS268" s="55">
        <f>SUMIFS(tblMiningDaily[Blast_t],tblMiningDaily[Date],$A268)</f>
        <v/>
      </c>
      <c r="AT268" s="55">
        <f>IF($B268=$B267,$AT267,0)+$AS268</f>
        <v/>
      </c>
      <c r="AU268" s="55">
        <f>$AU267+$AS268</f>
        <v/>
      </c>
      <c r="AV268" s="55">
        <f>SUMIFS(tblMiningDaily[Explosives_kg],tblMiningDaily[Date],$A268)</f>
        <v/>
      </c>
      <c r="AW268" s="55">
        <f>IF($B268=$B267,$AW267,0)+$AV268</f>
        <v/>
      </c>
      <c r="AX268" s="55">
        <f>$AX267+$AV268</f>
        <v/>
      </c>
      <c r="AY268" s="56">
        <f>IFERROR(IF(($AS268)&gt;0,($AV268)/($AS268),""),"")</f>
        <v/>
      </c>
      <c r="AZ268" s="56">
        <f>IFERROR(IF(($AT268)&gt;0,($AW268)/($AT268),""),"")</f>
        <v/>
      </c>
      <c r="BA268" s="56">
        <f>IFERROR(IF(($AU268)&gt;0,($AX268)/($AU268),""),"")</f>
        <v/>
      </c>
      <c r="BB268" s="55">
        <f>SUMIFS(tblMiningDaily[Diesel_L],tblMiningDaily[Date],$A268)</f>
        <v/>
      </c>
      <c r="BC268" s="55">
        <f>IF($B268=$B267,$BC267,0)+$BB268</f>
        <v/>
      </c>
      <c r="BD268" s="55">
        <f>$BD267+$BB268</f>
        <v/>
      </c>
      <c r="BE268" s="55">
        <f>SUMIFS(tblMiningDaily[Dewatering_m3],tblMiningDaily[Date],$A268)</f>
        <v/>
      </c>
      <c r="BF268" s="55">
        <f>IF($B268=$B267,$BF267,0)+$BE268</f>
        <v/>
      </c>
      <c r="BG268" s="55">
        <f>$BG267+$BE268</f>
        <v/>
      </c>
      <c r="BH268" s="57">
        <f>SUMIFS(tblFleet[Calendar_h],tblFleet[Date],$A268,tblFleet[Equipment_Class],"Excavator")</f>
        <v/>
      </c>
      <c r="BI268" s="57">
        <f>IF($B268=$B267,$BI267,0)+$BH268</f>
        <v/>
      </c>
      <c r="BJ268" s="57">
        <f>$BJ267+$BH268</f>
        <v/>
      </c>
      <c r="BK268" s="57">
        <f>SUMIFS(tblFleet[Available_h],tblFleet[Date],$A268,tblFleet[Equipment_Class],"Excavator")</f>
        <v/>
      </c>
      <c r="BL268" s="57">
        <f>IF($B268=$B267,$BL267,0)+$BK268</f>
        <v/>
      </c>
      <c r="BM268" s="57">
        <f>$BM267+$BK268</f>
        <v/>
      </c>
      <c r="BN268" s="57">
        <f>SUMIFS(tblFleet[Operating_h],tblFleet[Date],$A268,tblFleet[Equipment_Class],"Excavator")</f>
        <v/>
      </c>
      <c r="BO268" s="57">
        <f>IF($B268=$B267,$BO267,0)+$BN268</f>
        <v/>
      </c>
      <c r="BP268" s="57">
        <f>$BP267+$BN268</f>
        <v/>
      </c>
      <c r="BQ268" s="67">
        <f>IFERROR(IF(($BH268)&gt;0,($BK268)/($BH268),""),"")</f>
        <v/>
      </c>
      <c r="BR268" s="67">
        <f>IFERROR(IF(($BI268)&gt;0,($BL268)/($BI268),""),"")</f>
        <v/>
      </c>
      <c r="BS268" s="67">
        <f>IFERROR(IF(($BJ268)&gt;0,($BM268)/($BJ268),""),"")</f>
        <v/>
      </c>
      <c r="BT268" s="67">
        <f>IFERROR(IF(($BK268)&gt;0,($BN268)/($BK268),""),"")</f>
        <v/>
      </c>
      <c r="BU268" s="67">
        <f>IFERROR(IF(($BL268)&gt;0,($BO268)/($BL268),""),"")</f>
        <v/>
      </c>
      <c r="BV268" s="67">
        <f>IFERROR(IF(($BM268)&gt;0,($BP268)/($BM268),""),"")</f>
        <v/>
      </c>
      <c r="BW268" s="57">
        <f>SUMIFS(tblFleet[Calendar_h],tblFleet[Date],$A268,tblFleet[Equipment_Class],"Haul Truck")</f>
        <v/>
      </c>
      <c r="BX268" s="57">
        <f>IF($B268=$B267,$BX267,0)+$BW268</f>
        <v/>
      </c>
      <c r="BY268" s="57">
        <f>$BY267+$BW268</f>
        <v/>
      </c>
      <c r="BZ268" s="57">
        <f>SUMIFS(tblFleet[Available_h],tblFleet[Date],$A268,tblFleet[Equipment_Class],"Haul Truck")</f>
        <v/>
      </c>
      <c r="CA268" s="57">
        <f>IF($B268=$B267,$CA267,0)+$BZ268</f>
        <v/>
      </c>
      <c r="CB268" s="57">
        <f>$CB267+$BZ268</f>
        <v/>
      </c>
      <c r="CC268" s="57">
        <f>SUMIFS(tblFleet[Operating_h],tblFleet[Date],$A268,tblFleet[Equipment_Class],"Haul Truck")</f>
        <v/>
      </c>
      <c r="CD268" s="57">
        <f>IF($B268=$B267,$CD267,0)+$CC268</f>
        <v/>
      </c>
      <c r="CE268" s="57">
        <f>$CE267+$CC268</f>
        <v/>
      </c>
      <c r="CF268" s="67">
        <f>IFERROR(IF(($BW268)&gt;0,($BZ268)/($BW268),""),"")</f>
        <v/>
      </c>
      <c r="CG268" s="67">
        <f>IFERROR(IF(($BX268)&gt;0,($CA268)/($BX268),""),"")</f>
        <v/>
      </c>
      <c r="CH268" s="67">
        <f>IFERROR(IF(($BY268)&gt;0,($CB268)/($BY268),""),"")</f>
        <v/>
      </c>
      <c r="CI268" s="67">
        <f>IFERROR(IF(($BZ268)&gt;0,($CC268)/($BZ268),""),"")</f>
        <v/>
      </c>
      <c r="CJ268" s="67">
        <f>IFERROR(IF(($CA268)&gt;0,($CD268)/($CA268),""),"")</f>
        <v/>
      </c>
      <c r="CK268" s="67">
        <f>IFERROR(IF(($CB268)&gt;0,($CE268)/($CB268),""),"")</f>
        <v/>
      </c>
      <c r="CL268" s="55">
        <f>IFERROR(IF(($BN268)&gt;0,($X268+$AD268)/($BN268),""),"")</f>
        <v/>
      </c>
      <c r="CM268" s="55">
        <f>IFERROR(IF(($BO268)&gt;0,($Y268+$AE268)/($BO268),""),"")</f>
        <v/>
      </c>
      <c r="CN268" s="55">
        <f>IFERROR(IF(($BP268)&gt;0,($Z268+$AF268)/($BP268),""),"")</f>
        <v/>
      </c>
      <c r="CO268" s="55">
        <f>IFERROR(IF(($CC268)&gt;0,($X268+$AD268)/($CC268),""),"")</f>
        <v/>
      </c>
      <c r="CP268" s="55">
        <f>IFERROR(IF(($CD268)&gt;0,($Y268+$AE268)/($CD268),""),"")</f>
        <v/>
      </c>
      <c r="CQ268" s="55">
        <f>IFERROR(IF(($CE268)&gt;0,($Z268+$AF268)/($CE268),""),"")</f>
        <v/>
      </c>
      <c r="CR268" s="55">
        <f>SUMIFS(tblPlant[Crushed_t],tblPlant[Date],$A268)</f>
        <v/>
      </c>
      <c r="CS268" s="55">
        <f>IF($B268=$B267,$CS267,0)+$CR268</f>
        <v/>
      </c>
      <c r="CT268" s="55">
        <f>$CT267+$CR268</f>
        <v/>
      </c>
      <c r="CU268" s="55">
        <f>SUMIFS(tblPlant[Milled_t],tblPlant[Date],$A268)</f>
        <v/>
      </c>
      <c r="CV268" s="55">
        <f>IF($B268=$B267,$CV267,0)+$CU268</f>
        <v/>
      </c>
      <c r="CW268" s="55">
        <f>$CW267+$CU268</f>
        <v/>
      </c>
      <c r="CX268" s="55">
        <f>SUMIFS(tblPlant[Feed_oz],tblPlant[Date],$A268)</f>
        <v/>
      </c>
      <c r="CY268" s="55">
        <f>IF($B268=$B267,$CY267,0)+$CX268</f>
        <v/>
      </c>
      <c r="CZ268" s="55">
        <f>$CZ267+$CX268</f>
        <v/>
      </c>
      <c r="DA268" s="55">
        <f>SUMIFS(tblPlant[Tails_oz],tblPlant[Date],$A268)</f>
        <v/>
      </c>
      <c r="DB268" s="55">
        <f>IF($B268=$B267,$DB267,0)+$DA268</f>
        <v/>
      </c>
      <c r="DC268" s="55">
        <f>$DC267+$DA268</f>
        <v/>
      </c>
      <c r="DD268" s="55">
        <f>SUMIFS(tblPlant[Recovered_oz],tblPlant[Date],$A268)</f>
        <v/>
      </c>
      <c r="DE268" s="55">
        <f>IF($B268=$B267,$DE267,0)+$DD268</f>
        <v/>
      </c>
      <c r="DF268" s="55">
        <f>$DF267+$DD268</f>
        <v/>
      </c>
      <c r="DG268" s="55">
        <f>SUMIFS(tblPlant[Milled_t],tblPlant[Date],$A268,tblPlant[Head_Grade_gpt],"&lt;&gt;")</f>
        <v/>
      </c>
      <c r="DH268" s="55">
        <f>IF($B268=$B267,$DH267,0)+$DG268</f>
        <v/>
      </c>
      <c r="DI268" s="55">
        <f>$DI267+$DG268</f>
        <v/>
      </c>
      <c r="DJ268" s="55">
        <f>SUMIFS(tblPlant[Milled_t],tblPlant[Date],$A268,tblPlant[Tails_Grade_gpt],"&lt;&gt;")</f>
        <v/>
      </c>
      <c r="DK268" s="55">
        <f>IF($B268=$B267,$DK267,0)+$DJ268</f>
        <v/>
      </c>
      <c r="DL268" s="55">
        <f>$DL267+$DJ268</f>
        <v/>
      </c>
      <c r="DM268" s="55">
        <f>SUMIFS(tblPlant[Feed_oz],tblPlant[Date],$A268,tblPlant[Tails_Grade_gpt],"&lt;&gt;")</f>
        <v/>
      </c>
      <c r="DN268" s="55">
        <f>IF($B268=$B267,$DN267,0)+$DM268</f>
        <v/>
      </c>
      <c r="DO268" s="55">
        <f>$DO267+$DM268</f>
        <v/>
      </c>
      <c r="DP268" s="55">
        <f>SUMIFS(tblPlant[Milled_t],tblPlant[Date],$A268,tblPlant[Mill_Run_h],"&lt;&gt;")</f>
        <v/>
      </c>
      <c r="DQ268" s="55">
        <f>IF($B268=$B267,$DQ267,0)+$DP268</f>
        <v/>
      </c>
      <c r="DR268" s="55">
        <f>$DR267+$DP268</f>
        <v/>
      </c>
      <c r="DS268" s="56">
        <f>IFERROR(IF(($DG268)&gt;0,($CX268*cfg_TroyOz)/($DG268),""),"")</f>
        <v/>
      </c>
      <c r="DT268" s="56">
        <f>IFERROR(IF(($DH268)&gt;0,($CY268*cfg_TroyOz)/($DH268),""),"")</f>
        <v/>
      </c>
      <c r="DU268" s="56">
        <f>IFERROR(IF(($DI268)&gt;0,($CZ268*cfg_TroyOz)/($DI268),""),"")</f>
        <v/>
      </c>
      <c r="DV268" s="56">
        <f>IFERROR(IF(($DJ268)&gt;0,($DA268*cfg_TroyOz)/($DJ268),""),"")</f>
        <v/>
      </c>
      <c r="DW268" s="56">
        <f>IFERROR(IF(($DK268)&gt;0,($DB268*cfg_TroyOz)/($DK268),""),"")</f>
        <v/>
      </c>
      <c r="DX268" s="56">
        <f>IFERROR(IF(($DL268)&gt;0,($DC268*cfg_TroyOz)/($DL268),""),"")</f>
        <v/>
      </c>
      <c r="DY268" s="67">
        <f>IFERROR(IF(($DM268)&gt;0,($DD268)/($DM268),""),"")</f>
        <v/>
      </c>
      <c r="DZ268" s="67">
        <f>IFERROR(IF(($DN268)&gt;0,($DE268)/($DN268),""),"")</f>
        <v/>
      </c>
      <c r="EA268" s="67">
        <f>IFERROR(IF(($DO268)&gt;0,($DF268)/($DO268),""),"")</f>
        <v/>
      </c>
      <c r="EB268" s="55">
        <f>SUMIFS(tblPlant[Gravity_Gold_oz],tblPlant[Date],$A268)</f>
        <v/>
      </c>
      <c r="EC268" s="55">
        <f>IF($B268=$B267,$EC267,0)+$EB268</f>
        <v/>
      </c>
      <c r="ED268" s="55">
        <f>$ED267+$EB268</f>
        <v/>
      </c>
      <c r="EE268" s="67">
        <f>IFERROR(IF(($DD268)&gt;0,($EB268)/($DD268),""),"")</f>
        <v/>
      </c>
      <c r="EF268" s="67">
        <f>IFERROR(IF(($DE268)&gt;0,($EC268)/($DE268),""),"")</f>
        <v/>
      </c>
      <c r="EG268" s="67">
        <f>IFERROR(IF(($DF268)&gt;0,($ED268)/($DF268),""),"")</f>
        <v/>
      </c>
      <c r="EH268" s="55">
        <f>SUMIFS(tblPlant[Gold_Poured_oz],tblPlant[Date],$A268)</f>
        <v/>
      </c>
      <c r="EI268" s="55">
        <f>IF($B268=$B267,$EI267,0)+$EH268</f>
        <v/>
      </c>
      <c r="EJ268" s="55">
        <f>$EJ267+$EH268</f>
        <v/>
      </c>
      <c r="EK268" s="57">
        <f>SUMIFS(tblPlant[Mill_Run_h],tblPlant[Date],$A268)</f>
        <v/>
      </c>
      <c r="EL268" s="57">
        <f>IF($B268=$B267,$EL267,0)+$EK268</f>
        <v/>
      </c>
      <c r="EM268" s="57">
        <f>$EM267+$EK268</f>
        <v/>
      </c>
      <c r="EN268" s="57">
        <f>SUMIFS(tblPlant[Mill_Planned_Maint_h],tblPlant[Date],$A268)</f>
        <v/>
      </c>
      <c r="EO268" s="57">
        <f>IF($B268=$B267,$EO267,0)+$EN268</f>
        <v/>
      </c>
      <c r="EP268" s="57">
        <f>$EP267+$EN268</f>
        <v/>
      </c>
      <c r="EQ268" s="57">
        <f>SUMIFS(tblPlant[Mill_Unplanned_Down_h],tblPlant[Date],$A268)</f>
        <v/>
      </c>
      <c r="ER268" s="57">
        <f>IF($B268=$B267,$ER267,0)+$EQ268</f>
        <v/>
      </c>
      <c r="ES268" s="57">
        <f>$ES267+$EQ268</f>
        <v/>
      </c>
      <c r="ET268" s="57">
        <f>IF(COUNTIFS(tblPlant[Date],$A268,tblPlant[Mill_Run_h],"&lt;&gt;")+COUNTIFS(tblPlant[Date],$A268,tblPlant[Mill_Planned_Maint_h],"&lt;&gt;")+COUNTIFS(tblPlant[Date],$A268,tblPlant[Mill_Unplanned_Down_h],"&lt;&gt;")&gt;0,cfg_HoursPerDay,0)</f>
        <v/>
      </c>
      <c r="EU268" s="57">
        <f>IF($B268=$B267,$EU267,0)+$ET268</f>
        <v/>
      </c>
      <c r="EV268" s="57">
        <f>$EV267+$ET268</f>
        <v/>
      </c>
      <c r="EW268" s="57">
        <f>SUMIFS(tblPlant[Crusher_Run_h],tblPlant[Date],$A268)</f>
        <v/>
      </c>
      <c r="EX268" s="57">
        <f>IF($B268=$B267,$EX267,0)+$EW268</f>
        <v/>
      </c>
      <c r="EY268" s="57">
        <f>$EY267+$EW268</f>
        <v/>
      </c>
      <c r="EZ268" s="55">
        <f>IFERROR(IF(($EK268)&gt;0,($DP268)/($EK268),""),"")</f>
        <v/>
      </c>
      <c r="FA268" s="55">
        <f>IFERROR(IF(($EL268)&gt;0,($DQ268)/($EL268),""),"")</f>
        <v/>
      </c>
      <c r="FB268" s="55">
        <f>IFERROR(IF(($EM268)&gt;0,($DR268)/($EM268),""),"")</f>
        <v/>
      </c>
      <c r="FC268" s="67">
        <f>IFERROR(IF(($ET268)&gt;0,($ET268-$EN268-$EQ268)/($ET268),""),"")</f>
        <v/>
      </c>
      <c r="FD268" s="67">
        <f>IFERROR(IF(($EU268)&gt;0,($EU268-$EO268-$ER268)/($EU268),""),"")</f>
        <v/>
      </c>
      <c r="FE268" s="67">
        <f>IFERROR(IF(($EV268)&gt;0,($EV268-$EP268-$ES268)/($EV268),""),"")</f>
        <v/>
      </c>
      <c r="FF268" s="67">
        <f>IFERROR(IF(($ET268-$EN268-$EQ268)&gt;0,($EK268)/($ET268-$EN268-$EQ268),""),"")</f>
        <v/>
      </c>
      <c r="FG268" s="67">
        <f>IFERROR(IF(($EU268-$EO268-$ER268)&gt;0,($EL268)/($EU268-$EO268-$ER268),""),"")</f>
        <v/>
      </c>
      <c r="FH268" s="67">
        <f>IFERROR(IF(($EV268-$EP268-$ES268)&gt;0,($EM268)/($EV268-$EP268-$ES268),""),"")</f>
        <v/>
      </c>
      <c r="FI268" s="55">
        <f>SUMIFS(tblPlant[Cyanide_kg],tblPlant[Date],$A268)</f>
        <v/>
      </c>
      <c r="FJ268" s="55">
        <f>IF($B268=$B267,$FJ267,0)+$FI268</f>
        <v/>
      </c>
      <c r="FK268" s="55">
        <f>$FK267+$FI268</f>
        <v/>
      </c>
      <c r="FL268" s="55">
        <f>SUMIFS(tblPlant[Lime_kg],tblPlant[Date],$A268)</f>
        <v/>
      </c>
      <c r="FM268" s="55">
        <f>IF($B268=$B267,$FM267,0)+$FL268</f>
        <v/>
      </c>
      <c r="FN268" s="55">
        <f>$FN267+$FL268</f>
        <v/>
      </c>
      <c r="FO268" s="55">
        <f>SUMIFS(tblPlant[Grinding_Media_kg],tblPlant[Date],$A268)</f>
        <v/>
      </c>
      <c r="FP268" s="55">
        <f>IF($B268=$B267,$FP267,0)+$FO268</f>
        <v/>
      </c>
      <c r="FQ268" s="55">
        <f>$FQ267+$FO268</f>
        <v/>
      </c>
      <c r="FR268" s="55">
        <f>SUMIFS(tblPlant[Power_kWh],tblPlant[Date],$A268)</f>
        <v/>
      </c>
      <c r="FS268" s="55">
        <f>IF($B268=$B267,$FS267,0)+$FR268</f>
        <v/>
      </c>
      <c r="FT268" s="55">
        <f>$FT267+$FR268</f>
        <v/>
      </c>
      <c r="FU268" s="55">
        <f>SUMIFS(tblPlant[Raw_Water_m3],tblPlant[Date],$A268)</f>
        <v/>
      </c>
      <c r="FV268" s="55">
        <f>IF($B268=$B267,$FV267,0)+$FU268</f>
        <v/>
      </c>
      <c r="FW268" s="55">
        <f>$FW267+$FU268</f>
        <v/>
      </c>
      <c r="FX268" s="56">
        <f>IFERROR(IF(($CU268)&gt;0,($FI268)/($CU268),""),"")</f>
        <v/>
      </c>
      <c r="FY268" s="56">
        <f>IFERROR(IF(($CV268)&gt;0,($FJ268)/($CV268),""),"")</f>
        <v/>
      </c>
      <c r="FZ268" s="56">
        <f>IFERROR(IF(($CW268)&gt;0,($FK268)/($CW268),""),"")</f>
        <v/>
      </c>
      <c r="GA268" s="56">
        <f>IFERROR(IF(($CU268)&gt;0,($FL268)/($CU268),""),"")</f>
        <v/>
      </c>
      <c r="GB268" s="56">
        <f>IFERROR(IF(($CV268)&gt;0,($FM268)/($CV268),""),"")</f>
        <v/>
      </c>
      <c r="GC268" s="56">
        <f>IFERROR(IF(($CW268)&gt;0,($FN268)/($CW268),""),"")</f>
        <v/>
      </c>
      <c r="GD268" s="56">
        <f>IFERROR(IF(($CU268)&gt;0,($FO268)/($CU268),""),"")</f>
        <v/>
      </c>
      <c r="GE268" s="56">
        <f>IFERROR(IF(($CV268)&gt;0,($FP268)/($CV268),""),"")</f>
        <v/>
      </c>
      <c r="GF268" s="56">
        <f>IFERROR(IF(($CW268)&gt;0,($FQ268)/($CW268),""),"")</f>
        <v/>
      </c>
      <c r="GG268" s="79">
        <f>IFERROR(IF(($CU268)&gt;0,($FR268)/($CU268),""),"")</f>
        <v/>
      </c>
      <c r="GH268" s="79">
        <f>IFERROR(IF(($CV268)&gt;0,($FS268)/($CV268),""),"")</f>
        <v/>
      </c>
      <c r="GI268" s="79">
        <f>IFERROR(IF(($CW268)&gt;0,($FT268)/($CW268),""),"")</f>
        <v/>
      </c>
      <c r="GJ268" s="56">
        <f>IFERROR(IF(($CU268)&gt;0,($FU268)/($CU268),""),"")</f>
        <v/>
      </c>
      <c r="GK268" s="56">
        <f>IFERROR(IF(($CV268)&gt;0,($FV268)/($CV268),""),"")</f>
        <v/>
      </c>
      <c r="GL268" s="56">
        <f>IFERROR(IF(($CW268)&gt;0,($FW268)/($CW268),""),"")</f>
        <v/>
      </c>
      <c r="GM268" s="55">
        <f>IF(SUMIFS(tblPlant[GIC_oz],tblPlant[Date],$A268)&gt;0,SUMIFS(tblPlant[GIC_oz],tblPlant[Date],$A268),"")</f>
        <v/>
      </c>
      <c r="GN268" s="55">
        <f>SUMIFS(tblGold[Gold_oz],tblGold[Date],$A268,tblGold[Type],"Shipment")</f>
        <v/>
      </c>
      <c r="GO268" s="55">
        <f>IF($B268=$B267,$GO267,0)+$GN268</f>
        <v/>
      </c>
      <c r="GP268" s="55">
        <f>$GP267+$GN268</f>
        <v/>
      </c>
      <c r="GQ268" s="55">
        <f>SUMIFS(tblGold[Gold_oz],tblGold[Date],$A268,tblGold[Type],"Sale")</f>
        <v/>
      </c>
      <c r="GR268" s="55">
        <f>IF($B268=$B267,$GR267,0)+$GQ268</f>
        <v/>
      </c>
      <c r="GS268" s="55">
        <f>$GS267+$GQ268</f>
        <v/>
      </c>
      <c r="GT268" s="55">
        <f>SUMIFS(tblGold[Dore_kg],tblGold[Date],$A268,tblGold[Type],"Shipment")</f>
        <v/>
      </c>
      <c r="GU268" s="55">
        <f>IF($B268=$B267,$GU267,0)+$GT268</f>
        <v/>
      </c>
      <c r="GV268" s="55">
        <f>$GV267+$GT268</f>
        <v/>
      </c>
      <c r="GW268" s="57">
        <f>SUMIFS(tblSafety[Hours_Total],tblSafety[Date],$A268)</f>
        <v/>
      </c>
      <c r="GX268" s="57">
        <f>IF($B268=$B267,$GX267,0)+$GW268</f>
        <v/>
      </c>
      <c r="GY268" s="57">
        <f>$GY267+$GW268</f>
        <v/>
      </c>
      <c r="GZ268" s="62">
        <f>SUMIFS(tblSafety[Fatality],tblSafety[Date],$A268)</f>
        <v/>
      </c>
      <c r="HA268" s="62">
        <f>IF($B268=$B267,$HA267,0)+$GZ268</f>
        <v/>
      </c>
      <c r="HB268" s="62">
        <f>$HB267+$GZ268</f>
        <v/>
      </c>
      <c r="HC268" s="62">
        <f>SUMIFS(tblSafety[LTI],tblSafety[Date],$A268)</f>
        <v/>
      </c>
      <c r="HD268" s="62">
        <f>IF($B268=$B267,$HD267,0)+$HC268</f>
        <v/>
      </c>
      <c r="HE268" s="62">
        <f>$HE267+$HC268</f>
        <v/>
      </c>
      <c r="HF268" s="62">
        <f>SUMIFS(tblSafety[RWI],tblSafety[Date],$A268)</f>
        <v/>
      </c>
      <c r="HG268" s="62">
        <f>IF($B268=$B267,$HG267,0)+$HF268</f>
        <v/>
      </c>
      <c r="HH268" s="62">
        <f>$HH267+$HF268</f>
        <v/>
      </c>
      <c r="HI268" s="62">
        <f>SUMIFS(tblSafety[MTI],tblSafety[Date],$A268)</f>
        <v/>
      </c>
      <c r="HJ268" s="62">
        <f>IF($B268=$B267,$HJ267,0)+$HI268</f>
        <v/>
      </c>
      <c r="HK268" s="62">
        <f>$HK267+$HI268</f>
        <v/>
      </c>
      <c r="HL268" s="62">
        <f>SUMIFS(tblSafety[FAI],tblSafety[Date],$A268)</f>
        <v/>
      </c>
      <c r="HM268" s="62">
        <f>IF($B268=$B267,$HM267,0)+$HL268</f>
        <v/>
      </c>
      <c r="HN268" s="62">
        <f>$HN267+$HL268</f>
        <v/>
      </c>
      <c r="HO268" s="62">
        <f>SUMIFS(tblSafety[Recordables],tblSafety[Date],$A268)</f>
        <v/>
      </c>
      <c r="HP268" s="62">
        <f>IF($B268=$B267,$HP267,0)+$HO268</f>
        <v/>
      </c>
      <c r="HQ268" s="62">
        <f>$HQ267+$HO268</f>
        <v/>
      </c>
      <c r="HR268" s="62">
        <f>SUMIFS(tblSafety[Near_Miss],tblSafety[Date],$A268)</f>
        <v/>
      </c>
      <c r="HS268" s="62">
        <f>IF($B268=$B267,$HS267,0)+$HR268</f>
        <v/>
      </c>
      <c r="HT268" s="62">
        <f>$HT267+$HR268</f>
        <v/>
      </c>
      <c r="HU268" s="62">
        <f>SUMIFS(tblSafety[Hazard_Reports],tblSafety[Date],$A268)</f>
        <v/>
      </c>
      <c r="HV268" s="62">
        <f>IF($B268=$B267,$HV267,0)+$HU268</f>
        <v/>
      </c>
      <c r="HW268" s="62">
        <f>$HW267+$HU268</f>
        <v/>
      </c>
      <c r="HX268" s="62">
        <f>SUMIFS(tblSafety[HPI],tblSafety[Date],$A268)</f>
        <v/>
      </c>
      <c r="HY268" s="62">
        <f>IF($B268=$B267,$HY267,0)+$HX268</f>
        <v/>
      </c>
      <c r="HZ268" s="62">
        <f>$HZ267+$HX268</f>
        <v/>
      </c>
      <c r="IA268" s="62">
        <f>SUMIFS(tblSafety[Env_Incidents],tblSafety[Date],$A268)</f>
        <v/>
      </c>
      <c r="IB268" s="62">
        <f>IF($B268=$B267,$IB267,0)+$IA268</f>
        <v/>
      </c>
      <c r="IC268" s="62">
        <f>$IC267+$IA268</f>
        <v/>
      </c>
      <c r="ID268" s="62">
        <f>SUMIFS(tblSafety[Community_Incidents],tblSafety[Date],$A268)</f>
        <v/>
      </c>
      <c r="IE268" s="62">
        <f>IF($B268=$B267,$IE267,0)+$ID268</f>
        <v/>
      </c>
      <c r="IF268" s="62">
        <f>$IF267+$ID268</f>
        <v/>
      </c>
      <c r="IG268" s="62">
        <f>SUMIFS(tblSafety[Vehicle_Incidents],tblSafety[Date],$A268)</f>
        <v/>
      </c>
      <c r="IH268" s="62">
        <f>IF($B268=$B267,$IH267,0)+$IG268</f>
        <v/>
      </c>
      <c r="II268" s="62">
        <f>$II267+$IG268</f>
        <v/>
      </c>
      <c r="IJ268" s="62">
        <f>SUMIFS(tblSafety[Toolbox_Talks],tblSafety[Date],$A268)</f>
        <v/>
      </c>
      <c r="IK268" s="62">
        <f>IF($B268=$B267,$IK267,0)+$IJ268</f>
        <v/>
      </c>
      <c r="IL268" s="62">
        <f>$IL267+$IJ268</f>
        <v/>
      </c>
      <c r="IM268" s="62">
        <f>SUMIFS(tblSafety[Inspections],tblSafety[Date],$A268)</f>
        <v/>
      </c>
      <c r="IN268" s="62">
        <f>IF($B268=$B267,$IN267,0)+$IM268</f>
        <v/>
      </c>
      <c r="IO268" s="62">
        <f>$IO267+$IM268</f>
        <v/>
      </c>
      <c r="IP268" s="56">
        <f>IFERROR((SUMIFS(tblSafety[Recordables],tblSafety[Date],"&gt;="&amp;EDATE($E268,-12),tblSafety[Date],"&lt;="&amp;$A268)+SUMIFS(tblSafetyHistory[Recordables],tblSafetyHistory[Month],"&gt;="&amp;EDATE($E268,-12),tblSafetyHistory[Month],"&lt;"&amp;$E268,tblSafetyHistory[Use],1))/(SUMIFS(tblSafety[Hours_Total],tblSafety[Date],"&gt;="&amp;EDATE($E268,-12),tblSafety[Date],"&lt;="&amp;$A268)+SUMIFS(tblSafetyHistory[Hours_Total],tblSafetyHistory[Month],"&gt;="&amp;EDATE($E268,-12),tblSafetyHistory[Month],"&lt;"&amp;$E268,tblSafetyHistory[Use],1))*cfg_RateBasisHours,"")</f>
        <v/>
      </c>
      <c r="IQ268" s="56">
        <f>IFERROR((SUMIFS(tblSafety[LTI],tblSafety[Date],"&gt;="&amp;EDATE($E268,-12),tblSafety[Date],"&lt;="&amp;$A268)+SUMIFS(tblSafetyHistory[LTI],tblSafetyHistory[Month],"&gt;="&amp;EDATE($E268,-12),tblSafetyHistory[Month],"&lt;"&amp;$E268,tblSafetyHistory[Use],1))/(SUMIFS(tblSafety[Hours_Total],tblSafety[Date],"&gt;="&amp;EDATE($E268,-12),tblSafety[Date],"&lt;="&amp;$A268)+SUMIFS(tblSafetyHistory[Hours_Total],tblSafetyHistory[Month],"&gt;="&amp;EDATE($E268,-12),tblSafetyHistory[Month],"&lt;"&amp;$E268,tblSafetyHistory[Use],1))*cfg_RateBasisHours,"")</f>
        <v/>
      </c>
      <c r="IR268" s="62">
        <f>IF(MAX(N(cfg_PriorLTIDate),_xlfn.MAXIFS(tblSafety[Date],tblSafety[LTI],"&gt;0",tblSafety[Date],"&lt;="&amp;$A268))=0,"",$A268-MAX(N(cfg_PriorLTIDate),_xlfn.MAXIFS(tblSafety[Date],tblSafety[LTI],"&gt;0",tblSafety[Date],"&lt;="&amp;$A268)))</f>
        <v/>
      </c>
      <c r="IS268" s="55">
        <f>SUMIFS(tblBudget[Ore_Mined_t],tblBudget[Month],$E268)</f>
        <v/>
      </c>
      <c r="IT268" s="55">
        <f>$IS268*$C268/$D268</f>
        <v/>
      </c>
      <c r="IU268" s="55">
        <f>SUMIFS(tblBudget[Ore_Mined_t],tblBudget[Month],"&lt;"&amp;$E268)+$IT268</f>
        <v/>
      </c>
      <c r="IV268" s="55">
        <f>SUMIFS(tblBudget[Ore_oz],tblBudget[Month],$E268)</f>
        <v/>
      </c>
      <c r="IW268" s="55">
        <f>$IV268*$C268/$D268</f>
        <v/>
      </c>
      <c r="IX268" s="55">
        <f>SUMIFS(tblBudget[Ore_oz],tblBudget[Month],"&lt;"&amp;$E268)+$IW268</f>
        <v/>
      </c>
      <c r="IY268" s="55">
        <f>SUMIFS(tblBudget[Ore_Mined_t],tblBudget[Month],$E268)</f>
        <v/>
      </c>
      <c r="IZ268" s="55">
        <f>$IY268*$C268/$D268</f>
        <v/>
      </c>
      <c r="JA268" s="55">
        <f>SUMIFS(tblBudget[Ore_Mined_t],tblBudget[Month],"&lt;"&amp;$E268)+$IZ268</f>
        <v/>
      </c>
      <c r="JB268" s="56">
        <f>IFERROR(IF(($IY268)&gt;0,($IV268*cfg_TroyOz)/($IY268),""),"")</f>
        <v/>
      </c>
      <c r="JC268" s="56">
        <f>IFERROR(IF(($IZ268)&gt;0,($IW268*cfg_TroyOz)/($IZ268),""),"")</f>
        <v/>
      </c>
      <c r="JD268" s="56">
        <f>IFERROR(IF(($JA268)&gt;0,($IX268*cfg_TroyOz)/($JA268),""),"")</f>
        <v/>
      </c>
      <c r="JE268" s="55">
        <f>SUMIFS(tblBudget[Waste_t],tblBudget[Month],$E268)</f>
        <v/>
      </c>
      <c r="JF268" s="55">
        <f>$JE268*$C268/$D268</f>
        <v/>
      </c>
      <c r="JG268" s="55">
        <f>SUMIFS(tblBudget[Waste_t],tblBudget[Month],"&lt;"&amp;$E268)+$JF268</f>
        <v/>
      </c>
      <c r="JH268" s="55">
        <f>SUMIFS(tblBudget[TMM_t],tblBudget[Month],$E268)</f>
        <v/>
      </c>
      <c r="JI268" s="55">
        <f>$JH268*$C268/$D268</f>
        <v/>
      </c>
      <c r="JJ268" s="55">
        <f>SUMIFS(tblBudget[TMM_t],tblBudget[Month],"&lt;"&amp;$E268)+$JI268</f>
        <v/>
      </c>
      <c r="JK268" s="56">
        <f>IFERROR(IF(($IS268)&gt;0,($JE268)/($IS268),""),"")</f>
        <v/>
      </c>
      <c r="JL268" s="56">
        <f>IFERROR(IF(($IT268)&gt;0,($JF268)/($IT268),""),"")</f>
        <v/>
      </c>
      <c r="JM268" s="56">
        <f>IFERROR(IF(($IU268)&gt;0,($JG268)/($IU268),""),"")</f>
        <v/>
      </c>
      <c r="JN268" s="55">
        <f>SUMIFS(tblBudget[Drill_m],tblBudget[Month],$E268)</f>
        <v/>
      </c>
      <c r="JO268" s="55">
        <f>$JN268*$C268/$D268</f>
        <v/>
      </c>
      <c r="JP268" s="55">
        <f>SUMIFS(tblBudget[Drill_m],tblBudget[Month],"&lt;"&amp;$E268)+$JO268</f>
        <v/>
      </c>
      <c r="JQ268" s="55">
        <f>SUMIFS(tblBudget[Diesel_L],tblBudget[Month],$E268)</f>
        <v/>
      </c>
      <c r="JR268" s="55">
        <f>$JQ268*$C268/$D268</f>
        <v/>
      </c>
      <c r="JS268" s="55">
        <f>SUMIFS(tblBudget[Diesel_L],tblBudget[Month],"&lt;"&amp;$E268)+$JR268</f>
        <v/>
      </c>
      <c r="JT268" s="55">
        <f>SUMIFS(tblBudget[Milled_t],tblBudget[Month],$E268)</f>
        <v/>
      </c>
      <c r="JU268" s="55">
        <f>$JT268*$C268/$D268</f>
        <v/>
      </c>
      <c r="JV268" s="55">
        <f>SUMIFS(tblBudget[Milled_t],tblBudget[Month],"&lt;"&amp;$E268)+$JU268</f>
        <v/>
      </c>
      <c r="JW268" s="55">
        <f>SUMIFS(tblBudget[Feed_oz],tblBudget[Month],$E268)</f>
        <v/>
      </c>
      <c r="JX268" s="55">
        <f>$JW268*$C268/$D268</f>
        <v/>
      </c>
      <c r="JY268" s="55">
        <f>SUMIFS(tblBudget[Feed_oz],tblBudget[Month],"&lt;"&amp;$E268)+$JX268</f>
        <v/>
      </c>
      <c r="JZ268" s="55">
        <f>SUMIFS(tblBudget[Recovered_oz],tblBudget[Month],$E268)</f>
        <v/>
      </c>
      <c r="KA268" s="55">
        <f>$JZ268*$C268/$D268</f>
        <v/>
      </c>
      <c r="KB268" s="55">
        <f>SUMIFS(tblBudget[Recovered_oz],tblBudget[Month],"&lt;"&amp;$E268)+$KA268</f>
        <v/>
      </c>
      <c r="KC268" s="55">
        <f>SUMIFS(tblBudget[Milled_t],tblBudget[Month],$E268)</f>
        <v/>
      </c>
      <c r="KD268" s="55">
        <f>$KC268*$C268/$D268</f>
        <v/>
      </c>
      <c r="KE268" s="55">
        <f>SUMIFS(tblBudget[Milled_t],tblBudget[Month],"&lt;"&amp;$E268)+$KD268</f>
        <v/>
      </c>
      <c r="KF268" s="55">
        <f>SUMIFS(tblBudget[Feed_oz],tblBudget[Month],$E268)</f>
        <v/>
      </c>
      <c r="KG268" s="55">
        <f>$KF268*$C268/$D268</f>
        <v/>
      </c>
      <c r="KH268" s="55">
        <f>SUMIFS(tblBudget[Feed_oz],tblBudget[Month],"&lt;"&amp;$E268)+$KG268</f>
        <v/>
      </c>
      <c r="KI268" s="56">
        <f>IFERROR(IF(($KC268)&gt;0,($JW268*cfg_TroyOz)/($KC268),""),"")</f>
        <v/>
      </c>
      <c r="KJ268" s="56">
        <f>IFERROR(IF(($KD268)&gt;0,($JX268*cfg_TroyOz)/($KD268),""),"")</f>
        <v/>
      </c>
      <c r="KK268" s="56">
        <f>IFERROR(IF(($KE268)&gt;0,($JY268*cfg_TroyOz)/($KE268),""),"")</f>
        <v/>
      </c>
      <c r="KL268" s="67">
        <f>IFERROR(IF(($KF268)&gt;0,($JZ268)/($KF268),""),"")</f>
        <v/>
      </c>
      <c r="KM268" s="67">
        <f>IFERROR(IF(($KG268)&gt;0,($KA268)/($KG268),""),"")</f>
        <v/>
      </c>
      <c r="KN268" s="67">
        <f>IFERROR(IF(($KH268)&gt;0,($KB268)/($KH268),""),"")</f>
        <v/>
      </c>
      <c r="KO268" s="55">
        <f>SUMIFS(tblBudget[Gold_Poured_oz],tblBudget[Month],$E268)</f>
        <v/>
      </c>
      <c r="KP268" s="55">
        <f>$KO268*$C268/$D268</f>
        <v/>
      </c>
      <c r="KQ268" s="55">
        <f>SUMIFS(tblBudget[Gold_Poured_oz],tblBudget[Month],"&lt;"&amp;$E268)+$KP268</f>
        <v/>
      </c>
      <c r="KR268" s="57">
        <f>SUMIFS(tblBudget[Hours_Worked],tblBudget[Month],$E268)</f>
        <v/>
      </c>
      <c r="KS268" s="57">
        <f>$KR268*$C268/$D268</f>
        <v/>
      </c>
      <c r="KT268" s="57">
        <f>SUMIFS(tblBudget[Hours_Worked],tblBudget[Month],"&lt;"&amp;$E268)+$KS268</f>
        <v/>
      </c>
    </row>
    <row r="269">
      <c r="A269" s="54" t="n">
        <v>46290</v>
      </c>
      <c r="B269">
        <f>MONTH($A269)</f>
        <v/>
      </c>
      <c r="C269">
        <f>DAY($A269)</f>
        <v/>
      </c>
      <c r="D269">
        <f>DAY(EOMONTH($A269,0))</f>
        <v/>
      </c>
      <c r="E269" s="54">
        <f>DATE(YEAR($A269),MONTH($A269),1)</f>
        <v/>
      </c>
      <c r="F269" s="55">
        <f>SUMIFS(tblMovement[Tonnes_t],tblMovement[Date],$A269,tblMovement[Is_Ore],1,tblMovement[Source_Type],"Pit")</f>
        <v/>
      </c>
      <c r="G269" s="55">
        <f>IF($B269=$B268,$G268,0)+$F269</f>
        <v/>
      </c>
      <c r="H269" s="55">
        <f>$H268+$F269</f>
        <v/>
      </c>
      <c r="I269" s="55">
        <f>SUMIFS(tblMovement[Ore_oz],tblMovement[Date],$A269,tblMovement[Source_Type],"Pit")</f>
        <v/>
      </c>
      <c r="J269" s="55">
        <f>IF($B269=$B268,$J268,0)+$I269</f>
        <v/>
      </c>
      <c r="K269" s="55">
        <f>$K268+$I269</f>
        <v/>
      </c>
      <c r="L269" s="55">
        <f>SUMIFS(tblMovement[Tonnes_t],tblMovement[Date],$A269,tblMovement[Is_Ore],1,tblMovement[Source_Type],"Pit",tblMovement[Grade_gpt],"&lt;&gt;")</f>
        <v/>
      </c>
      <c r="M269" s="55">
        <f>IF($B269=$B268,$M268,0)+$L269</f>
        <v/>
      </c>
      <c r="N269" s="55">
        <f>$N268+$L269</f>
        <v/>
      </c>
      <c r="O269" s="56">
        <f>IFERROR(IF(($L269)&gt;0,($I269*cfg_TroyOz)/($L269),""),"")</f>
        <v/>
      </c>
      <c r="P269" s="56">
        <f>IFERROR(IF(($M269)&gt;0,($J269*cfg_TroyOz)/($M269),""),"")</f>
        <v/>
      </c>
      <c r="Q269" s="56">
        <f>IFERROR(IF(($N269)&gt;0,($K269*cfg_TroyOz)/($N269),""),"")</f>
        <v/>
      </c>
      <c r="R269" s="55">
        <f>$F269-$L269</f>
        <v/>
      </c>
      <c r="S269" s="55">
        <f>IF($B269=$B268,$S268,0)+$R269</f>
        <v/>
      </c>
      <c r="T269" s="55">
        <f>$T268+$R269</f>
        <v/>
      </c>
      <c r="U269" s="55">
        <f>SUMIFS(tblMovement[Tonnes_t],tblMovement[Date],$A269,tblMovement[Is_Ore],0,tblMovement[Source_Type],"Pit")</f>
        <v/>
      </c>
      <c r="V269" s="55">
        <f>IF($B269=$B268,$V268,0)+$U269</f>
        <v/>
      </c>
      <c r="W269" s="55">
        <f>$W268+$U269</f>
        <v/>
      </c>
      <c r="X269" s="55">
        <f>$F269+$U269</f>
        <v/>
      </c>
      <c r="Y269" s="55">
        <f>IF($B269=$B268,$Y268,0)+$X269</f>
        <v/>
      </c>
      <c r="Z269" s="55">
        <f>$Z268+$X269</f>
        <v/>
      </c>
      <c r="AA269" s="56">
        <f>IFERROR(IF(($F269)&gt;0,($U269)/($F269),""),"")</f>
        <v/>
      </c>
      <c r="AB269" s="56">
        <f>IFERROR(IF(($G269)&gt;0,($V269)/($G269),""),"")</f>
        <v/>
      </c>
      <c r="AC269" s="56">
        <f>IFERROR(IF(($H269)&gt;0,($W269)/($H269),""),"")</f>
        <v/>
      </c>
      <c r="AD269" s="55">
        <f>SUMIFS(tblMovement[Tonnes_t],tblMovement[Date],$A269,tblMovement[Source_Type],"Stockpile")</f>
        <v/>
      </c>
      <c r="AE269" s="55">
        <f>IF($B269=$B268,$AE268,0)+$AD269</f>
        <v/>
      </c>
      <c r="AF269" s="55">
        <f>$AF268+$AD269</f>
        <v/>
      </c>
      <c r="AG269" s="55">
        <f>SUMIFS(tblMovement[Tonnes_t],tblMovement[Date],$A269)</f>
        <v/>
      </c>
      <c r="AH269" s="55">
        <f>IF($B269=$B268,$AH268,0)+$AG269</f>
        <v/>
      </c>
      <c r="AI269" s="55">
        <f>$AI268+$AG269</f>
        <v/>
      </c>
      <c r="AJ269" s="55">
        <f>$AG269-$X269-$AD269</f>
        <v/>
      </c>
      <c r="AK269" s="55">
        <f>IF($B269=$B268,$AK268,0)+$AJ269</f>
        <v/>
      </c>
      <c r="AL269" s="55">
        <f>$AL268+$AJ269</f>
        <v/>
      </c>
      <c r="AM269" s="55">
        <f>SUMIFS(tblMiningDaily[Drill_m],tblMiningDaily[Date],$A269)</f>
        <v/>
      </c>
      <c r="AN269" s="55">
        <f>IF($B269=$B268,$AN268,0)+$AM269</f>
        <v/>
      </c>
      <c r="AO269" s="55">
        <f>$AO268+$AM269</f>
        <v/>
      </c>
      <c r="AP269" s="55">
        <f>SUMIFS(tblMiningDaily[GC_Drill_m],tblMiningDaily[Date],$A269)</f>
        <v/>
      </c>
      <c r="AQ269" s="55">
        <f>IF($B269=$B268,$AQ268,0)+$AP269</f>
        <v/>
      </c>
      <c r="AR269" s="55">
        <f>$AR268+$AP269</f>
        <v/>
      </c>
      <c r="AS269" s="55">
        <f>SUMIFS(tblMiningDaily[Blast_t],tblMiningDaily[Date],$A269)</f>
        <v/>
      </c>
      <c r="AT269" s="55">
        <f>IF($B269=$B268,$AT268,0)+$AS269</f>
        <v/>
      </c>
      <c r="AU269" s="55">
        <f>$AU268+$AS269</f>
        <v/>
      </c>
      <c r="AV269" s="55">
        <f>SUMIFS(tblMiningDaily[Explosives_kg],tblMiningDaily[Date],$A269)</f>
        <v/>
      </c>
      <c r="AW269" s="55">
        <f>IF($B269=$B268,$AW268,0)+$AV269</f>
        <v/>
      </c>
      <c r="AX269" s="55">
        <f>$AX268+$AV269</f>
        <v/>
      </c>
      <c r="AY269" s="56">
        <f>IFERROR(IF(($AS269)&gt;0,($AV269)/($AS269),""),"")</f>
        <v/>
      </c>
      <c r="AZ269" s="56">
        <f>IFERROR(IF(($AT269)&gt;0,($AW269)/($AT269),""),"")</f>
        <v/>
      </c>
      <c r="BA269" s="56">
        <f>IFERROR(IF(($AU269)&gt;0,($AX269)/($AU269),""),"")</f>
        <v/>
      </c>
      <c r="BB269" s="55">
        <f>SUMIFS(tblMiningDaily[Diesel_L],tblMiningDaily[Date],$A269)</f>
        <v/>
      </c>
      <c r="BC269" s="55">
        <f>IF($B269=$B268,$BC268,0)+$BB269</f>
        <v/>
      </c>
      <c r="BD269" s="55">
        <f>$BD268+$BB269</f>
        <v/>
      </c>
      <c r="BE269" s="55">
        <f>SUMIFS(tblMiningDaily[Dewatering_m3],tblMiningDaily[Date],$A269)</f>
        <v/>
      </c>
      <c r="BF269" s="55">
        <f>IF($B269=$B268,$BF268,0)+$BE269</f>
        <v/>
      </c>
      <c r="BG269" s="55">
        <f>$BG268+$BE269</f>
        <v/>
      </c>
      <c r="BH269" s="57">
        <f>SUMIFS(tblFleet[Calendar_h],tblFleet[Date],$A269,tblFleet[Equipment_Class],"Excavator")</f>
        <v/>
      </c>
      <c r="BI269" s="57">
        <f>IF($B269=$B268,$BI268,0)+$BH269</f>
        <v/>
      </c>
      <c r="BJ269" s="57">
        <f>$BJ268+$BH269</f>
        <v/>
      </c>
      <c r="BK269" s="57">
        <f>SUMIFS(tblFleet[Available_h],tblFleet[Date],$A269,tblFleet[Equipment_Class],"Excavator")</f>
        <v/>
      </c>
      <c r="BL269" s="57">
        <f>IF($B269=$B268,$BL268,0)+$BK269</f>
        <v/>
      </c>
      <c r="BM269" s="57">
        <f>$BM268+$BK269</f>
        <v/>
      </c>
      <c r="BN269" s="57">
        <f>SUMIFS(tblFleet[Operating_h],tblFleet[Date],$A269,tblFleet[Equipment_Class],"Excavator")</f>
        <v/>
      </c>
      <c r="BO269" s="57">
        <f>IF($B269=$B268,$BO268,0)+$BN269</f>
        <v/>
      </c>
      <c r="BP269" s="57">
        <f>$BP268+$BN269</f>
        <v/>
      </c>
      <c r="BQ269" s="67">
        <f>IFERROR(IF(($BH269)&gt;0,($BK269)/($BH269),""),"")</f>
        <v/>
      </c>
      <c r="BR269" s="67">
        <f>IFERROR(IF(($BI269)&gt;0,($BL269)/($BI269),""),"")</f>
        <v/>
      </c>
      <c r="BS269" s="67">
        <f>IFERROR(IF(($BJ269)&gt;0,($BM269)/($BJ269),""),"")</f>
        <v/>
      </c>
      <c r="BT269" s="67">
        <f>IFERROR(IF(($BK269)&gt;0,($BN269)/($BK269),""),"")</f>
        <v/>
      </c>
      <c r="BU269" s="67">
        <f>IFERROR(IF(($BL269)&gt;0,($BO269)/($BL269),""),"")</f>
        <v/>
      </c>
      <c r="BV269" s="67">
        <f>IFERROR(IF(($BM269)&gt;0,($BP269)/($BM269),""),"")</f>
        <v/>
      </c>
      <c r="BW269" s="57">
        <f>SUMIFS(tblFleet[Calendar_h],tblFleet[Date],$A269,tblFleet[Equipment_Class],"Haul Truck")</f>
        <v/>
      </c>
      <c r="BX269" s="57">
        <f>IF($B269=$B268,$BX268,0)+$BW269</f>
        <v/>
      </c>
      <c r="BY269" s="57">
        <f>$BY268+$BW269</f>
        <v/>
      </c>
      <c r="BZ269" s="57">
        <f>SUMIFS(tblFleet[Available_h],tblFleet[Date],$A269,tblFleet[Equipment_Class],"Haul Truck")</f>
        <v/>
      </c>
      <c r="CA269" s="57">
        <f>IF($B269=$B268,$CA268,0)+$BZ269</f>
        <v/>
      </c>
      <c r="CB269" s="57">
        <f>$CB268+$BZ269</f>
        <v/>
      </c>
      <c r="CC269" s="57">
        <f>SUMIFS(tblFleet[Operating_h],tblFleet[Date],$A269,tblFleet[Equipment_Class],"Haul Truck")</f>
        <v/>
      </c>
      <c r="CD269" s="57">
        <f>IF($B269=$B268,$CD268,0)+$CC269</f>
        <v/>
      </c>
      <c r="CE269" s="57">
        <f>$CE268+$CC269</f>
        <v/>
      </c>
      <c r="CF269" s="67">
        <f>IFERROR(IF(($BW269)&gt;0,($BZ269)/($BW269),""),"")</f>
        <v/>
      </c>
      <c r="CG269" s="67">
        <f>IFERROR(IF(($BX269)&gt;0,($CA269)/($BX269),""),"")</f>
        <v/>
      </c>
      <c r="CH269" s="67">
        <f>IFERROR(IF(($BY269)&gt;0,($CB269)/($BY269),""),"")</f>
        <v/>
      </c>
      <c r="CI269" s="67">
        <f>IFERROR(IF(($BZ269)&gt;0,($CC269)/($BZ269),""),"")</f>
        <v/>
      </c>
      <c r="CJ269" s="67">
        <f>IFERROR(IF(($CA269)&gt;0,($CD269)/($CA269),""),"")</f>
        <v/>
      </c>
      <c r="CK269" s="67">
        <f>IFERROR(IF(($CB269)&gt;0,($CE269)/($CB269),""),"")</f>
        <v/>
      </c>
      <c r="CL269" s="55">
        <f>IFERROR(IF(($BN269)&gt;0,($X269+$AD269)/($BN269),""),"")</f>
        <v/>
      </c>
      <c r="CM269" s="55">
        <f>IFERROR(IF(($BO269)&gt;0,($Y269+$AE269)/($BO269),""),"")</f>
        <v/>
      </c>
      <c r="CN269" s="55">
        <f>IFERROR(IF(($BP269)&gt;0,($Z269+$AF269)/($BP269),""),"")</f>
        <v/>
      </c>
      <c r="CO269" s="55">
        <f>IFERROR(IF(($CC269)&gt;0,($X269+$AD269)/($CC269),""),"")</f>
        <v/>
      </c>
      <c r="CP269" s="55">
        <f>IFERROR(IF(($CD269)&gt;0,($Y269+$AE269)/($CD269),""),"")</f>
        <v/>
      </c>
      <c r="CQ269" s="55">
        <f>IFERROR(IF(($CE269)&gt;0,($Z269+$AF269)/($CE269),""),"")</f>
        <v/>
      </c>
      <c r="CR269" s="55">
        <f>SUMIFS(tblPlant[Crushed_t],tblPlant[Date],$A269)</f>
        <v/>
      </c>
      <c r="CS269" s="55">
        <f>IF($B269=$B268,$CS268,0)+$CR269</f>
        <v/>
      </c>
      <c r="CT269" s="55">
        <f>$CT268+$CR269</f>
        <v/>
      </c>
      <c r="CU269" s="55">
        <f>SUMIFS(tblPlant[Milled_t],tblPlant[Date],$A269)</f>
        <v/>
      </c>
      <c r="CV269" s="55">
        <f>IF($B269=$B268,$CV268,0)+$CU269</f>
        <v/>
      </c>
      <c r="CW269" s="55">
        <f>$CW268+$CU269</f>
        <v/>
      </c>
      <c r="CX269" s="55">
        <f>SUMIFS(tblPlant[Feed_oz],tblPlant[Date],$A269)</f>
        <v/>
      </c>
      <c r="CY269" s="55">
        <f>IF($B269=$B268,$CY268,0)+$CX269</f>
        <v/>
      </c>
      <c r="CZ269" s="55">
        <f>$CZ268+$CX269</f>
        <v/>
      </c>
      <c r="DA269" s="55">
        <f>SUMIFS(tblPlant[Tails_oz],tblPlant[Date],$A269)</f>
        <v/>
      </c>
      <c r="DB269" s="55">
        <f>IF($B269=$B268,$DB268,0)+$DA269</f>
        <v/>
      </c>
      <c r="DC269" s="55">
        <f>$DC268+$DA269</f>
        <v/>
      </c>
      <c r="DD269" s="55">
        <f>SUMIFS(tblPlant[Recovered_oz],tblPlant[Date],$A269)</f>
        <v/>
      </c>
      <c r="DE269" s="55">
        <f>IF($B269=$B268,$DE268,0)+$DD269</f>
        <v/>
      </c>
      <c r="DF269" s="55">
        <f>$DF268+$DD269</f>
        <v/>
      </c>
      <c r="DG269" s="55">
        <f>SUMIFS(tblPlant[Milled_t],tblPlant[Date],$A269,tblPlant[Head_Grade_gpt],"&lt;&gt;")</f>
        <v/>
      </c>
      <c r="DH269" s="55">
        <f>IF($B269=$B268,$DH268,0)+$DG269</f>
        <v/>
      </c>
      <c r="DI269" s="55">
        <f>$DI268+$DG269</f>
        <v/>
      </c>
      <c r="DJ269" s="55">
        <f>SUMIFS(tblPlant[Milled_t],tblPlant[Date],$A269,tblPlant[Tails_Grade_gpt],"&lt;&gt;")</f>
        <v/>
      </c>
      <c r="DK269" s="55">
        <f>IF($B269=$B268,$DK268,0)+$DJ269</f>
        <v/>
      </c>
      <c r="DL269" s="55">
        <f>$DL268+$DJ269</f>
        <v/>
      </c>
      <c r="DM269" s="55">
        <f>SUMIFS(tblPlant[Feed_oz],tblPlant[Date],$A269,tblPlant[Tails_Grade_gpt],"&lt;&gt;")</f>
        <v/>
      </c>
      <c r="DN269" s="55">
        <f>IF($B269=$B268,$DN268,0)+$DM269</f>
        <v/>
      </c>
      <c r="DO269" s="55">
        <f>$DO268+$DM269</f>
        <v/>
      </c>
      <c r="DP269" s="55">
        <f>SUMIFS(tblPlant[Milled_t],tblPlant[Date],$A269,tblPlant[Mill_Run_h],"&lt;&gt;")</f>
        <v/>
      </c>
      <c r="DQ269" s="55">
        <f>IF($B269=$B268,$DQ268,0)+$DP269</f>
        <v/>
      </c>
      <c r="DR269" s="55">
        <f>$DR268+$DP269</f>
        <v/>
      </c>
      <c r="DS269" s="56">
        <f>IFERROR(IF(($DG269)&gt;0,($CX269*cfg_TroyOz)/($DG269),""),"")</f>
        <v/>
      </c>
      <c r="DT269" s="56">
        <f>IFERROR(IF(($DH269)&gt;0,($CY269*cfg_TroyOz)/($DH269),""),"")</f>
        <v/>
      </c>
      <c r="DU269" s="56">
        <f>IFERROR(IF(($DI269)&gt;0,($CZ269*cfg_TroyOz)/($DI269),""),"")</f>
        <v/>
      </c>
      <c r="DV269" s="56">
        <f>IFERROR(IF(($DJ269)&gt;0,($DA269*cfg_TroyOz)/($DJ269),""),"")</f>
        <v/>
      </c>
      <c r="DW269" s="56">
        <f>IFERROR(IF(($DK269)&gt;0,($DB269*cfg_TroyOz)/($DK269),""),"")</f>
        <v/>
      </c>
      <c r="DX269" s="56">
        <f>IFERROR(IF(($DL269)&gt;0,($DC269*cfg_TroyOz)/($DL269),""),"")</f>
        <v/>
      </c>
      <c r="DY269" s="67">
        <f>IFERROR(IF(($DM269)&gt;0,($DD269)/($DM269),""),"")</f>
        <v/>
      </c>
      <c r="DZ269" s="67">
        <f>IFERROR(IF(($DN269)&gt;0,($DE269)/($DN269),""),"")</f>
        <v/>
      </c>
      <c r="EA269" s="67">
        <f>IFERROR(IF(($DO269)&gt;0,($DF269)/($DO269),""),"")</f>
        <v/>
      </c>
      <c r="EB269" s="55">
        <f>SUMIFS(tblPlant[Gravity_Gold_oz],tblPlant[Date],$A269)</f>
        <v/>
      </c>
      <c r="EC269" s="55">
        <f>IF($B269=$B268,$EC268,0)+$EB269</f>
        <v/>
      </c>
      <c r="ED269" s="55">
        <f>$ED268+$EB269</f>
        <v/>
      </c>
      <c r="EE269" s="67">
        <f>IFERROR(IF(($DD269)&gt;0,($EB269)/($DD269),""),"")</f>
        <v/>
      </c>
      <c r="EF269" s="67">
        <f>IFERROR(IF(($DE269)&gt;0,($EC269)/($DE269),""),"")</f>
        <v/>
      </c>
      <c r="EG269" s="67">
        <f>IFERROR(IF(($DF269)&gt;0,($ED269)/($DF269),""),"")</f>
        <v/>
      </c>
      <c r="EH269" s="55">
        <f>SUMIFS(tblPlant[Gold_Poured_oz],tblPlant[Date],$A269)</f>
        <v/>
      </c>
      <c r="EI269" s="55">
        <f>IF($B269=$B268,$EI268,0)+$EH269</f>
        <v/>
      </c>
      <c r="EJ269" s="55">
        <f>$EJ268+$EH269</f>
        <v/>
      </c>
      <c r="EK269" s="57">
        <f>SUMIFS(tblPlant[Mill_Run_h],tblPlant[Date],$A269)</f>
        <v/>
      </c>
      <c r="EL269" s="57">
        <f>IF($B269=$B268,$EL268,0)+$EK269</f>
        <v/>
      </c>
      <c r="EM269" s="57">
        <f>$EM268+$EK269</f>
        <v/>
      </c>
      <c r="EN269" s="57">
        <f>SUMIFS(tblPlant[Mill_Planned_Maint_h],tblPlant[Date],$A269)</f>
        <v/>
      </c>
      <c r="EO269" s="57">
        <f>IF($B269=$B268,$EO268,0)+$EN269</f>
        <v/>
      </c>
      <c r="EP269" s="57">
        <f>$EP268+$EN269</f>
        <v/>
      </c>
      <c r="EQ269" s="57">
        <f>SUMIFS(tblPlant[Mill_Unplanned_Down_h],tblPlant[Date],$A269)</f>
        <v/>
      </c>
      <c r="ER269" s="57">
        <f>IF($B269=$B268,$ER268,0)+$EQ269</f>
        <v/>
      </c>
      <c r="ES269" s="57">
        <f>$ES268+$EQ269</f>
        <v/>
      </c>
      <c r="ET269" s="57">
        <f>IF(COUNTIFS(tblPlant[Date],$A269,tblPlant[Mill_Run_h],"&lt;&gt;")+COUNTIFS(tblPlant[Date],$A269,tblPlant[Mill_Planned_Maint_h],"&lt;&gt;")+COUNTIFS(tblPlant[Date],$A269,tblPlant[Mill_Unplanned_Down_h],"&lt;&gt;")&gt;0,cfg_HoursPerDay,0)</f>
        <v/>
      </c>
      <c r="EU269" s="57">
        <f>IF($B269=$B268,$EU268,0)+$ET269</f>
        <v/>
      </c>
      <c r="EV269" s="57">
        <f>$EV268+$ET269</f>
        <v/>
      </c>
      <c r="EW269" s="57">
        <f>SUMIFS(tblPlant[Crusher_Run_h],tblPlant[Date],$A269)</f>
        <v/>
      </c>
      <c r="EX269" s="57">
        <f>IF($B269=$B268,$EX268,0)+$EW269</f>
        <v/>
      </c>
      <c r="EY269" s="57">
        <f>$EY268+$EW269</f>
        <v/>
      </c>
      <c r="EZ269" s="55">
        <f>IFERROR(IF(($EK269)&gt;0,($DP269)/($EK269),""),"")</f>
        <v/>
      </c>
      <c r="FA269" s="55">
        <f>IFERROR(IF(($EL269)&gt;0,($DQ269)/($EL269),""),"")</f>
        <v/>
      </c>
      <c r="FB269" s="55">
        <f>IFERROR(IF(($EM269)&gt;0,($DR269)/($EM269),""),"")</f>
        <v/>
      </c>
      <c r="FC269" s="67">
        <f>IFERROR(IF(($ET269)&gt;0,($ET269-$EN269-$EQ269)/($ET269),""),"")</f>
        <v/>
      </c>
      <c r="FD269" s="67">
        <f>IFERROR(IF(($EU269)&gt;0,($EU269-$EO269-$ER269)/($EU269),""),"")</f>
        <v/>
      </c>
      <c r="FE269" s="67">
        <f>IFERROR(IF(($EV269)&gt;0,($EV269-$EP269-$ES269)/($EV269),""),"")</f>
        <v/>
      </c>
      <c r="FF269" s="67">
        <f>IFERROR(IF(($ET269-$EN269-$EQ269)&gt;0,($EK269)/($ET269-$EN269-$EQ269),""),"")</f>
        <v/>
      </c>
      <c r="FG269" s="67">
        <f>IFERROR(IF(($EU269-$EO269-$ER269)&gt;0,($EL269)/($EU269-$EO269-$ER269),""),"")</f>
        <v/>
      </c>
      <c r="FH269" s="67">
        <f>IFERROR(IF(($EV269-$EP269-$ES269)&gt;0,($EM269)/($EV269-$EP269-$ES269),""),"")</f>
        <v/>
      </c>
      <c r="FI269" s="55">
        <f>SUMIFS(tblPlant[Cyanide_kg],tblPlant[Date],$A269)</f>
        <v/>
      </c>
      <c r="FJ269" s="55">
        <f>IF($B269=$B268,$FJ268,0)+$FI269</f>
        <v/>
      </c>
      <c r="FK269" s="55">
        <f>$FK268+$FI269</f>
        <v/>
      </c>
      <c r="FL269" s="55">
        <f>SUMIFS(tblPlant[Lime_kg],tblPlant[Date],$A269)</f>
        <v/>
      </c>
      <c r="FM269" s="55">
        <f>IF($B269=$B268,$FM268,0)+$FL269</f>
        <v/>
      </c>
      <c r="FN269" s="55">
        <f>$FN268+$FL269</f>
        <v/>
      </c>
      <c r="FO269" s="55">
        <f>SUMIFS(tblPlant[Grinding_Media_kg],tblPlant[Date],$A269)</f>
        <v/>
      </c>
      <c r="FP269" s="55">
        <f>IF($B269=$B268,$FP268,0)+$FO269</f>
        <v/>
      </c>
      <c r="FQ269" s="55">
        <f>$FQ268+$FO269</f>
        <v/>
      </c>
      <c r="FR269" s="55">
        <f>SUMIFS(tblPlant[Power_kWh],tblPlant[Date],$A269)</f>
        <v/>
      </c>
      <c r="FS269" s="55">
        <f>IF($B269=$B268,$FS268,0)+$FR269</f>
        <v/>
      </c>
      <c r="FT269" s="55">
        <f>$FT268+$FR269</f>
        <v/>
      </c>
      <c r="FU269" s="55">
        <f>SUMIFS(tblPlant[Raw_Water_m3],tblPlant[Date],$A269)</f>
        <v/>
      </c>
      <c r="FV269" s="55">
        <f>IF($B269=$B268,$FV268,0)+$FU269</f>
        <v/>
      </c>
      <c r="FW269" s="55">
        <f>$FW268+$FU269</f>
        <v/>
      </c>
      <c r="FX269" s="56">
        <f>IFERROR(IF(($CU269)&gt;0,($FI269)/($CU269),""),"")</f>
        <v/>
      </c>
      <c r="FY269" s="56">
        <f>IFERROR(IF(($CV269)&gt;0,($FJ269)/($CV269),""),"")</f>
        <v/>
      </c>
      <c r="FZ269" s="56">
        <f>IFERROR(IF(($CW269)&gt;0,($FK269)/($CW269),""),"")</f>
        <v/>
      </c>
      <c r="GA269" s="56">
        <f>IFERROR(IF(($CU269)&gt;0,($FL269)/($CU269),""),"")</f>
        <v/>
      </c>
      <c r="GB269" s="56">
        <f>IFERROR(IF(($CV269)&gt;0,($FM269)/($CV269),""),"")</f>
        <v/>
      </c>
      <c r="GC269" s="56">
        <f>IFERROR(IF(($CW269)&gt;0,($FN269)/($CW269),""),"")</f>
        <v/>
      </c>
      <c r="GD269" s="56">
        <f>IFERROR(IF(($CU269)&gt;0,($FO269)/($CU269),""),"")</f>
        <v/>
      </c>
      <c r="GE269" s="56">
        <f>IFERROR(IF(($CV269)&gt;0,($FP269)/($CV269),""),"")</f>
        <v/>
      </c>
      <c r="GF269" s="56">
        <f>IFERROR(IF(($CW269)&gt;0,($FQ269)/($CW269),""),"")</f>
        <v/>
      </c>
      <c r="GG269" s="79">
        <f>IFERROR(IF(($CU269)&gt;0,($FR269)/($CU269),""),"")</f>
        <v/>
      </c>
      <c r="GH269" s="79">
        <f>IFERROR(IF(($CV269)&gt;0,($FS269)/($CV269),""),"")</f>
        <v/>
      </c>
      <c r="GI269" s="79">
        <f>IFERROR(IF(($CW269)&gt;0,($FT269)/($CW269),""),"")</f>
        <v/>
      </c>
      <c r="GJ269" s="56">
        <f>IFERROR(IF(($CU269)&gt;0,($FU269)/($CU269),""),"")</f>
        <v/>
      </c>
      <c r="GK269" s="56">
        <f>IFERROR(IF(($CV269)&gt;0,($FV269)/($CV269),""),"")</f>
        <v/>
      </c>
      <c r="GL269" s="56">
        <f>IFERROR(IF(($CW269)&gt;0,($FW269)/($CW269),""),"")</f>
        <v/>
      </c>
      <c r="GM269" s="55">
        <f>IF(SUMIFS(tblPlant[GIC_oz],tblPlant[Date],$A269)&gt;0,SUMIFS(tblPlant[GIC_oz],tblPlant[Date],$A269),"")</f>
        <v/>
      </c>
      <c r="GN269" s="55">
        <f>SUMIFS(tblGold[Gold_oz],tblGold[Date],$A269,tblGold[Type],"Shipment")</f>
        <v/>
      </c>
      <c r="GO269" s="55">
        <f>IF($B269=$B268,$GO268,0)+$GN269</f>
        <v/>
      </c>
      <c r="GP269" s="55">
        <f>$GP268+$GN269</f>
        <v/>
      </c>
      <c r="GQ269" s="55">
        <f>SUMIFS(tblGold[Gold_oz],tblGold[Date],$A269,tblGold[Type],"Sale")</f>
        <v/>
      </c>
      <c r="GR269" s="55">
        <f>IF($B269=$B268,$GR268,0)+$GQ269</f>
        <v/>
      </c>
      <c r="GS269" s="55">
        <f>$GS268+$GQ269</f>
        <v/>
      </c>
      <c r="GT269" s="55">
        <f>SUMIFS(tblGold[Dore_kg],tblGold[Date],$A269,tblGold[Type],"Shipment")</f>
        <v/>
      </c>
      <c r="GU269" s="55">
        <f>IF($B269=$B268,$GU268,0)+$GT269</f>
        <v/>
      </c>
      <c r="GV269" s="55">
        <f>$GV268+$GT269</f>
        <v/>
      </c>
      <c r="GW269" s="57">
        <f>SUMIFS(tblSafety[Hours_Total],tblSafety[Date],$A269)</f>
        <v/>
      </c>
      <c r="GX269" s="57">
        <f>IF($B269=$B268,$GX268,0)+$GW269</f>
        <v/>
      </c>
      <c r="GY269" s="57">
        <f>$GY268+$GW269</f>
        <v/>
      </c>
      <c r="GZ269" s="62">
        <f>SUMIFS(tblSafety[Fatality],tblSafety[Date],$A269)</f>
        <v/>
      </c>
      <c r="HA269" s="62">
        <f>IF($B269=$B268,$HA268,0)+$GZ269</f>
        <v/>
      </c>
      <c r="HB269" s="62">
        <f>$HB268+$GZ269</f>
        <v/>
      </c>
      <c r="HC269" s="62">
        <f>SUMIFS(tblSafety[LTI],tblSafety[Date],$A269)</f>
        <v/>
      </c>
      <c r="HD269" s="62">
        <f>IF($B269=$B268,$HD268,0)+$HC269</f>
        <v/>
      </c>
      <c r="HE269" s="62">
        <f>$HE268+$HC269</f>
        <v/>
      </c>
      <c r="HF269" s="62">
        <f>SUMIFS(tblSafety[RWI],tblSafety[Date],$A269)</f>
        <v/>
      </c>
      <c r="HG269" s="62">
        <f>IF($B269=$B268,$HG268,0)+$HF269</f>
        <v/>
      </c>
      <c r="HH269" s="62">
        <f>$HH268+$HF269</f>
        <v/>
      </c>
      <c r="HI269" s="62">
        <f>SUMIFS(tblSafety[MTI],tblSafety[Date],$A269)</f>
        <v/>
      </c>
      <c r="HJ269" s="62">
        <f>IF($B269=$B268,$HJ268,0)+$HI269</f>
        <v/>
      </c>
      <c r="HK269" s="62">
        <f>$HK268+$HI269</f>
        <v/>
      </c>
      <c r="HL269" s="62">
        <f>SUMIFS(tblSafety[FAI],tblSafety[Date],$A269)</f>
        <v/>
      </c>
      <c r="HM269" s="62">
        <f>IF($B269=$B268,$HM268,0)+$HL269</f>
        <v/>
      </c>
      <c r="HN269" s="62">
        <f>$HN268+$HL269</f>
        <v/>
      </c>
      <c r="HO269" s="62">
        <f>SUMIFS(tblSafety[Recordables],tblSafety[Date],$A269)</f>
        <v/>
      </c>
      <c r="HP269" s="62">
        <f>IF($B269=$B268,$HP268,0)+$HO269</f>
        <v/>
      </c>
      <c r="HQ269" s="62">
        <f>$HQ268+$HO269</f>
        <v/>
      </c>
      <c r="HR269" s="62">
        <f>SUMIFS(tblSafety[Near_Miss],tblSafety[Date],$A269)</f>
        <v/>
      </c>
      <c r="HS269" s="62">
        <f>IF($B269=$B268,$HS268,0)+$HR269</f>
        <v/>
      </c>
      <c r="HT269" s="62">
        <f>$HT268+$HR269</f>
        <v/>
      </c>
      <c r="HU269" s="62">
        <f>SUMIFS(tblSafety[Hazard_Reports],tblSafety[Date],$A269)</f>
        <v/>
      </c>
      <c r="HV269" s="62">
        <f>IF($B269=$B268,$HV268,0)+$HU269</f>
        <v/>
      </c>
      <c r="HW269" s="62">
        <f>$HW268+$HU269</f>
        <v/>
      </c>
      <c r="HX269" s="62">
        <f>SUMIFS(tblSafety[HPI],tblSafety[Date],$A269)</f>
        <v/>
      </c>
      <c r="HY269" s="62">
        <f>IF($B269=$B268,$HY268,0)+$HX269</f>
        <v/>
      </c>
      <c r="HZ269" s="62">
        <f>$HZ268+$HX269</f>
        <v/>
      </c>
      <c r="IA269" s="62">
        <f>SUMIFS(tblSafety[Env_Incidents],tblSafety[Date],$A269)</f>
        <v/>
      </c>
      <c r="IB269" s="62">
        <f>IF($B269=$B268,$IB268,0)+$IA269</f>
        <v/>
      </c>
      <c r="IC269" s="62">
        <f>$IC268+$IA269</f>
        <v/>
      </c>
      <c r="ID269" s="62">
        <f>SUMIFS(tblSafety[Community_Incidents],tblSafety[Date],$A269)</f>
        <v/>
      </c>
      <c r="IE269" s="62">
        <f>IF($B269=$B268,$IE268,0)+$ID269</f>
        <v/>
      </c>
      <c r="IF269" s="62">
        <f>$IF268+$ID269</f>
        <v/>
      </c>
      <c r="IG269" s="62">
        <f>SUMIFS(tblSafety[Vehicle_Incidents],tblSafety[Date],$A269)</f>
        <v/>
      </c>
      <c r="IH269" s="62">
        <f>IF($B269=$B268,$IH268,0)+$IG269</f>
        <v/>
      </c>
      <c r="II269" s="62">
        <f>$II268+$IG269</f>
        <v/>
      </c>
      <c r="IJ269" s="62">
        <f>SUMIFS(tblSafety[Toolbox_Talks],tblSafety[Date],$A269)</f>
        <v/>
      </c>
      <c r="IK269" s="62">
        <f>IF($B269=$B268,$IK268,0)+$IJ269</f>
        <v/>
      </c>
      <c r="IL269" s="62">
        <f>$IL268+$IJ269</f>
        <v/>
      </c>
      <c r="IM269" s="62">
        <f>SUMIFS(tblSafety[Inspections],tblSafety[Date],$A269)</f>
        <v/>
      </c>
      <c r="IN269" s="62">
        <f>IF($B269=$B268,$IN268,0)+$IM269</f>
        <v/>
      </c>
      <c r="IO269" s="62">
        <f>$IO268+$IM269</f>
        <v/>
      </c>
      <c r="IP269" s="56">
        <f>IFERROR((SUMIFS(tblSafety[Recordables],tblSafety[Date],"&gt;="&amp;EDATE($E269,-12),tblSafety[Date],"&lt;="&amp;$A269)+SUMIFS(tblSafetyHistory[Recordables],tblSafetyHistory[Month],"&gt;="&amp;EDATE($E269,-12),tblSafetyHistory[Month],"&lt;"&amp;$E269,tblSafetyHistory[Use],1))/(SUMIFS(tblSafety[Hours_Total],tblSafety[Date],"&gt;="&amp;EDATE($E269,-12),tblSafety[Date],"&lt;="&amp;$A269)+SUMIFS(tblSafetyHistory[Hours_Total],tblSafetyHistory[Month],"&gt;="&amp;EDATE($E269,-12),tblSafetyHistory[Month],"&lt;"&amp;$E269,tblSafetyHistory[Use],1))*cfg_RateBasisHours,"")</f>
        <v/>
      </c>
      <c r="IQ269" s="56">
        <f>IFERROR((SUMIFS(tblSafety[LTI],tblSafety[Date],"&gt;="&amp;EDATE($E269,-12),tblSafety[Date],"&lt;="&amp;$A269)+SUMIFS(tblSafetyHistory[LTI],tblSafetyHistory[Month],"&gt;="&amp;EDATE($E269,-12),tblSafetyHistory[Month],"&lt;"&amp;$E269,tblSafetyHistory[Use],1))/(SUMIFS(tblSafety[Hours_Total],tblSafety[Date],"&gt;="&amp;EDATE($E269,-12),tblSafety[Date],"&lt;="&amp;$A269)+SUMIFS(tblSafetyHistory[Hours_Total],tblSafetyHistory[Month],"&gt;="&amp;EDATE($E269,-12),tblSafetyHistory[Month],"&lt;"&amp;$E269,tblSafetyHistory[Use],1))*cfg_RateBasisHours,"")</f>
        <v/>
      </c>
      <c r="IR269" s="62">
        <f>IF(MAX(N(cfg_PriorLTIDate),_xlfn.MAXIFS(tblSafety[Date],tblSafety[LTI],"&gt;0",tblSafety[Date],"&lt;="&amp;$A269))=0,"",$A269-MAX(N(cfg_PriorLTIDate),_xlfn.MAXIFS(tblSafety[Date],tblSafety[LTI],"&gt;0",tblSafety[Date],"&lt;="&amp;$A269)))</f>
        <v/>
      </c>
      <c r="IS269" s="55">
        <f>SUMIFS(tblBudget[Ore_Mined_t],tblBudget[Month],$E269)</f>
        <v/>
      </c>
      <c r="IT269" s="55">
        <f>$IS269*$C269/$D269</f>
        <v/>
      </c>
      <c r="IU269" s="55">
        <f>SUMIFS(tblBudget[Ore_Mined_t],tblBudget[Month],"&lt;"&amp;$E269)+$IT269</f>
        <v/>
      </c>
      <c r="IV269" s="55">
        <f>SUMIFS(tblBudget[Ore_oz],tblBudget[Month],$E269)</f>
        <v/>
      </c>
      <c r="IW269" s="55">
        <f>$IV269*$C269/$D269</f>
        <v/>
      </c>
      <c r="IX269" s="55">
        <f>SUMIFS(tblBudget[Ore_oz],tblBudget[Month],"&lt;"&amp;$E269)+$IW269</f>
        <v/>
      </c>
      <c r="IY269" s="55">
        <f>SUMIFS(tblBudget[Ore_Mined_t],tblBudget[Month],$E269)</f>
        <v/>
      </c>
      <c r="IZ269" s="55">
        <f>$IY269*$C269/$D269</f>
        <v/>
      </c>
      <c r="JA269" s="55">
        <f>SUMIFS(tblBudget[Ore_Mined_t],tblBudget[Month],"&lt;"&amp;$E269)+$IZ269</f>
        <v/>
      </c>
      <c r="JB269" s="56">
        <f>IFERROR(IF(($IY269)&gt;0,($IV269*cfg_TroyOz)/($IY269),""),"")</f>
        <v/>
      </c>
      <c r="JC269" s="56">
        <f>IFERROR(IF(($IZ269)&gt;0,($IW269*cfg_TroyOz)/($IZ269),""),"")</f>
        <v/>
      </c>
      <c r="JD269" s="56">
        <f>IFERROR(IF(($JA269)&gt;0,($IX269*cfg_TroyOz)/($JA269),""),"")</f>
        <v/>
      </c>
      <c r="JE269" s="55">
        <f>SUMIFS(tblBudget[Waste_t],tblBudget[Month],$E269)</f>
        <v/>
      </c>
      <c r="JF269" s="55">
        <f>$JE269*$C269/$D269</f>
        <v/>
      </c>
      <c r="JG269" s="55">
        <f>SUMIFS(tblBudget[Waste_t],tblBudget[Month],"&lt;"&amp;$E269)+$JF269</f>
        <v/>
      </c>
      <c r="JH269" s="55">
        <f>SUMIFS(tblBudget[TMM_t],tblBudget[Month],$E269)</f>
        <v/>
      </c>
      <c r="JI269" s="55">
        <f>$JH269*$C269/$D269</f>
        <v/>
      </c>
      <c r="JJ269" s="55">
        <f>SUMIFS(tblBudget[TMM_t],tblBudget[Month],"&lt;"&amp;$E269)+$JI269</f>
        <v/>
      </c>
      <c r="JK269" s="56">
        <f>IFERROR(IF(($IS269)&gt;0,($JE269)/($IS269),""),"")</f>
        <v/>
      </c>
      <c r="JL269" s="56">
        <f>IFERROR(IF(($IT269)&gt;0,($JF269)/($IT269),""),"")</f>
        <v/>
      </c>
      <c r="JM269" s="56">
        <f>IFERROR(IF(($IU269)&gt;0,($JG269)/($IU269),""),"")</f>
        <v/>
      </c>
      <c r="JN269" s="55">
        <f>SUMIFS(tblBudget[Drill_m],tblBudget[Month],$E269)</f>
        <v/>
      </c>
      <c r="JO269" s="55">
        <f>$JN269*$C269/$D269</f>
        <v/>
      </c>
      <c r="JP269" s="55">
        <f>SUMIFS(tblBudget[Drill_m],tblBudget[Month],"&lt;"&amp;$E269)+$JO269</f>
        <v/>
      </c>
      <c r="JQ269" s="55">
        <f>SUMIFS(tblBudget[Diesel_L],tblBudget[Month],$E269)</f>
        <v/>
      </c>
      <c r="JR269" s="55">
        <f>$JQ269*$C269/$D269</f>
        <v/>
      </c>
      <c r="JS269" s="55">
        <f>SUMIFS(tblBudget[Diesel_L],tblBudget[Month],"&lt;"&amp;$E269)+$JR269</f>
        <v/>
      </c>
      <c r="JT269" s="55">
        <f>SUMIFS(tblBudget[Milled_t],tblBudget[Month],$E269)</f>
        <v/>
      </c>
      <c r="JU269" s="55">
        <f>$JT269*$C269/$D269</f>
        <v/>
      </c>
      <c r="JV269" s="55">
        <f>SUMIFS(tblBudget[Milled_t],tblBudget[Month],"&lt;"&amp;$E269)+$JU269</f>
        <v/>
      </c>
      <c r="JW269" s="55">
        <f>SUMIFS(tblBudget[Feed_oz],tblBudget[Month],$E269)</f>
        <v/>
      </c>
      <c r="JX269" s="55">
        <f>$JW269*$C269/$D269</f>
        <v/>
      </c>
      <c r="JY269" s="55">
        <f>SUMIFS(tblBudget[Feed_oz],tblBudget[Month],"&lt;"&amp;$E269)+$JX269</f>
        <v/>
      </c>
      <c r="JZ269" s="55">
        <f>SUMIFS(tblBudget[Recovered_oz],tblBudget[Month],$E269)</f>
        <v/>
      </c>
      <c r="KA269" s="55">
        <f>$JZ269*$C269/$D269</f>
        <v/>
      </c>
      <c r="KB269" s="55">
        <f>SUMIFS(tblBudget[Recovered_oz],tblBudget[Month],"&lt;"&amp;$E269)+$KA269</f>
        <v/>
      </c>
      <c r="KC269" s="55">
        <f>SUMIFS(tblBudget[Milled_t],tblBudget[Month],$E269)</f>
        <v/>
      </c>
      <c r="KD269" s="55">
        <f>$KC269*$C269/$D269</f>
        <v/>
      </c>
      <c r="KE269" s="55">
        <f>SUMIFS(tblBudget[Milled_t],tblBudget[Month],"&lt;"&amp;$E269)+$KD269</f>
        <v/>
      </c>
      <c r="KF269" s="55">
        <f>SUMIFS(tblBudget[Feed_oz],tblBudget[Month],$E269)</f>
        <v/>
      </c>
      <c r="KG269" s="55">
        <f>$KF269*$C269/$D269</f>
        <v/>
      </c>
      <c r="KH269" s="55">
        <f>SUMIFS(tblBudget[Feed_oz],tblBudget[Month],"&lt;"&amp;$E269)+$KG269</f>
        <v/>
      </c>
      <c r="KI269" s="56">
        <f>IFERROR(IF(($KC269)&gt;0,($JW269*cfg_TroyOz)/($KC269),""),"")</f>
        <v/>
      </c>
      <c r="KJ269" s="56">
        <f>IFERROR(IF(($KD269)&gt;0,($JX269*cfg_TroyOz)/($KD269),""),"")</f>
        <v/>
      </c>
      <c r="KK269" s="56">
        <f>IFERROR(IF(($KE269)&gt;0,($JY269*cfg_TroyOz)/($KE269),""),"")</f>
        <v/>
      </c>
      <c r="KL269" s="67">
        <f>IFERROR(IF(($KF269)&gt;0,($JZ269)/($KF269),""),"")</f>
        <v/>
      </c>
      <c r="KM269" s="67">
        <f>IFERROR(IF(($KG269)&gt;0,($KA269)/($KG269),""),"")</f>
        <v/>
      </c>
      <c r="KN269" s="67">
        <f>IFERROR(IF(($KH269)&gt;0,($KB269)/($KH269),""),"")</f>
        <v/>
      </c>
      <c r="KO269" s="55">
        <f>SUMIFS(tblBudget[Gold_Poured_oz],tblBudget[Month],$E269)</f>
        <v/>
      </c>
      <c r="KP269" s="55">
        <f>$KO269*$C269/$D269</f>
        <v/>
      </c>
      <c r="KQ269" s="55">
        <f>SUMIFS(tblBudget[Gold_Poured_oz],tblBudget[Month],"&lt;"&amp;$E269)+$KP269</f>
        <v/>
      </c>
      <c r="KR269" s="57">
        <f>SUMIFS(tblBudget[Hours_Worked],tblBudget[Month],$E269)</f>
        <v/>
      </c>
      <c r="KS269" s="57">
        <f>$KR269*$C269/$D269</f>
        <v/>
      </c>
      <c r="KT269" s="57">
        <f>SUMIFS(tblBudget[Hours_Worked],tblBudget[Month],"&lt;"&amp;$E269)+$KS269</f>
        <v/>
      </c>
    </row>
    <row r="270">
      <c r="A270" s="54" t="n">
        <v>46291</v>
      </c>
      <c r="B270">
        <f>MONTH($A270)</f>
        <v/>
      </c>
      <c r="C270">
        <f>DAY($A270)</f>
        <v/>
      </c>
      <c r="D270">
        <f>DAY(EOMONTH($A270,0))</f>
        <v/>
      </c>
      <c r="E270" s="54">
        <f>DATE(YEAR($A270),MONTH($A270),1)</f>
        <v/>
      </c>
      <c r="F270" s="55">
        <f>SUMIFS(tblMovement[Tonnes_t],tblMovement[Date],$A270,tblMovement[Is_Ore],1,tblMovement[Source_Type],"Pit")</f>
        <v/>
      </c>
      <c r="G270" s="55">
        <f>IF($B270=$B269,$G269,0)+$F270</f>
        <v/>
      </c>
      <c r="H270" s="55">
        <f>$H269+$F270</f>
        <v/>
      </c>
      <c r="I270" s="55">
        <f>SUMIFS(tblMovement[Ore_oz],tblMovement[Date],$A270,tblMovement[Source_Type],"Pit")</f>
        <v/>
      </c>
      <c r="J270" s="55">
        <f>IF($B270=$B269,$J269,0)+$I270</f>
        <v/>
      </c>
      <c r="K270" s="55">
        <f>$K269+$I270</f>
        <v/>
      </c>
      <c r="L270" s="55">
        <f>SUMIFS(tblMovement[Tonnes_t],tblMovement[Date],$A270,tblMovement[Is_Ore],1,tblMovement[Source_Type],"Pit",tblMovement[Grade_gpt],"&lt;&gt;")</f>
        <v/>
      </c>
      <c r="M270" s="55">
        <f>IF($B270=$B269,$M269,0)+$L270</f>
        <v/>
      </c>
      <c r="N270" s="55">
        <f>$N269+$L270</f>
        <v/>
      </c>
      <c r="O270" s="56">
        <f>IFERROR(IF(($L270)&gt;0,($I270*cfg_TroyOz)/($L270),""),"")</f>
        <v/>
      </c>
      <c r="P270" s="56">
        <f>IFERROR(IF(($M270)&gt;0,($J270*cfg_TroyOz)/($M270),""),"")</f>
        <v/>
      </c>
      <c r="Q270" s="56">
        <f>IFERROR(IF(($N270)&gt;0,($K270*cfg_TroyOz)/($N270),""),"")</f>
        <v/>
      </c>
      <c r="R270" s="55">
        <f>$F270-$L270</f>
        <v/>
      </c>
      <c r="S270" s="55">
        <f>IF($B270=$B269,$S269,0)+$R270</f>
        <v/>
      </c>
      <c r="T270" s="55">
        <f>$T269+$R270</f>
        <v/>
      </c>
      <c r="U270" s="55">
        <f>SUMIFS(tblMovement[Tonnes_t],tblMovement[Date],$A270,tblMovement[Is_Ore],0,tblMovement[Source_Type],"Pit")</f>
        <v/>
      </c>
      <c r="V270" s="55">
        <f>IF($B270=$B269,$V269,0)+$U270</f>
        <v/>
      </c>
      <c r="W270" s="55">
        <f>$W269+$U270</f>
        <v/>
      </c>
      <c r="X270" s="55">
        <f>$F270+$U270</f>
        <v/>
      </c>
      <c r="Y270" s="55">
        <f>IF($B270=$B269,$Y269,0)+$X270</f>
        <v/>
      </c>
      <c r="Z270" s="55">
        <f>$Z269+$X270</f>
        <v/>
      </c>
      <c r="AA270" s="56">
        <f>IFERROR(IF(($F270)&gt;0,($U270)/($F270),""),"")</f>
        <v/>
      </c>
      <c r="AB270" s="56">
        <f>IFERROR(IF(($G270)&gt;0,($V270)/($G270),""),"")</f>
        <v/>
      </c>
      <c r="AC270" s="56">
        <f>IFERROR(IF(($H270)&gt;0,($W270)/($H270),""),"")</f>
        <v/>
      </c>
      <c r="AD270" s="55">
        <f>SUMIFS(tblMovement[Tonnes_t],tblMovement[Date],$A270,tblMovement[Source_Type],"Stockpile")</f>
        <v/>
      </c>
      <c r="AE270" s="55">
        <f>IF($B270=$B269,$AE269,0)+$AD270</f>
        <v/>
      </c>
      <c r="AF270" s="55">
        <f>$AF269+$AD270</f>
        <v/>
      </c>
      <c r="AG270" s="55">
        <f>SUMIFS(tblMovement[Tonnes_t],tblMovement[Date],$A270)</f>
        <v/>
      </c>
      <c r="AH270" s="55">
        <f>IF($B270=$B269,$AH269,0)+$AG270</f>
        <v/>
      </c>
      <c r="AI270" s="55">
        <f>$AI269+$AG270</f>
        <v/>
      </c>
      <c r="AJ270" s="55">
        <f>$AG270-$X270-$AD270</f>
        <v/>
      </c>
      <c r="AK270" s="55">
        <f>IF($B270=$B269,$AK269,0)+$AJ270</f>
        <v/>
      </c>
      <c r="AL270" s="55">
        <f>$AL269+$AJ270</f>
        <v/>
      </c>
      <c r="AM270" s="55">
        <f>SUMIFS(tblMiningDaily[Drill_m],tblMiningDaily[Date],$A270)</f>
        <v/>
      </c>
      <c r="AN270" s="55">
        <f>IF($B270=$B269,$AN269,0)+$AM270</f>
        <v/>
      </c>
      <c r="AO270" s="55">
        <f>$AO269+$AM270</f>
        <v/>
      </c>
      <c r="AP270" s="55">
        <f>SUMIFS(tblMiningDaily[GC_Drill_m],tblMiningDaily[Date],$A270)</f>
        <v/>
      </c>
      <c r="AQ270" s="55">
        <f>IF($B270=$B269,$AQ269,0)+$AP270</f>
        <v/>
      </c>
      <c r="AR270" s="55">
        <f>$AR269+$AP270</f>
        <v/>
      </c>
      <c r="AS270" s="55">
        <f>SUMIFS(tblMiningDaily[Blast_t],tblMiningDaily[Date],$A270)</f>
        <v/>
      </c>
      <c r="AT270" s="55">
        <f>IF($B270=$B269,$AT269,0)+$AS270</f>
        <v/>
      </c>
      <c r="AU270" s="55">
        <f>$AU269+$AS270</f>
        <v/>
      </c>
      <c r="AV270" s="55">
        <f>SUMIFS(tblMiningDaily[Explosives_kg],tblMiningDaily[Date],$A270)</f>
        <v/>
      </c>
      <c r="AW270" s="55">
        <f>IF($B270=$B269,$AW269,0)+$AV270</f>
        <v/>
      </c>
      <c r="AX270" s="55">
        <f>$AX269+$AV270</f>
        <v/>
      </c>
      <c r="AY270" s="56">
        <f>IFERROR(IF(($AS270)&gt;0,($AV270)/($AS270),""),"")</f>
        <v/>
      </c>
      <c r="AZ270" s="56">
        <f>IFERROR(IF(($AT270)&gt;0,($AW270)/($AT270),""),"")</f>
        <v/>
      </c>
      <c r="BA270" s="56">
        <f>IFERROR(IF(($AU270)&gt;0,($AX270)/($AU270),""),"")</f>
        <v/>
      </c>
      <c r="BB270" s="55">
        <f>SUMIFS(tblMiningDaily[Diesel_L],tblMiningDaily[Date],$A270)</f>
        <v/>
      </c>
      <c r="BC270" s="55">
        <f>IF($B270=$B269,$BC269,0)+$BB270</f>
        <v/>
      </c>
      <c r="BD270" s="55">
        <f>$BD269+$BB270</f>
        <v/>
      </c>
      <c r="BE270" s="55">
        <f>SUMIFS(tblMiningDaily[Dewatering_m3],tblMiningDaily[Date],$A270)</f>
        <v/>
      </c>
      <c r="BF270" s="55">
        <f>IF($B270=$B269,$BF269,0)+$BE270</f>
        <v/>
      </c>
      <c r="BG270" s="55">
        <f>$BG269+$BE270</f>
        <v/>
      </c>
      <c r="BH270" s="57">
        <f>SUMIFS(tblFleet[Calendar_h],tblFleet[Date],$A270,tblFleet[Equipment_Class],"Excavator")</f>
        <v/>
      </c>
      <c r="BI270" s="57">
        <f>IF($B270=$B269,$BI269,0)+$BH270</f>
        <v/>
      </c>
      <c r="BJ270" s="57">
        <f>$BJ269+$BH270</f>
        <v/>
      </c>
      <c r="BK270" s="57">
        <f>SUMIFS(tblFleet[Available_h],tblFleet[Date],$A270,tblFleet[Equipment_Class],"Excavator")</f>
        <v/>
      </c>
      <c r="BL270" s="57">
        <f>IF($B270=$B269,$BL269,0)+$BK270</f>
        <v/>
      </c>
      <c r="BM270" s="57">
        <f>$BM269+$BK270</f>
        <v/>
      </c>
      <c r="BN270" s="57">
        <f>SUMIFS(tblFleet[Operating_h],tblFleet[Date],$A270,tblFleet[Equipment_Class],"Excavator")</f>
        <v/>
      </c>
      <c r="BO270" s="57">
        <f>IF($B270=$B269,$BO269,0)+$BN270</f>
        <v/>
      </c>
      <c r="BP270" s="57">
        <f>$BP269+$BN270</f>
        <v/>
      </c>
      <c r="BQ270" s="67">
        <f>IFERROR(IF(($BH270)&gt;0,($BK270)/($BH270),""),"")</f>
        <v/>
      </c>
      <c r="BR270" s="67">
        <f>IFERROR(IF(($BI270)&gt;0,($BL270)/($BI270),""),"")</f>
        <v/>
      </c>
      <c r="BS270" s="67">
        <f>IFERROR(IF(($BJ270)&gt;0,($BM270)/($BJ270),""),"")</f>
        <v/>
      </c>
      <c r="BT270" s="67">
        <f>IFERROR(IF(($BK270)&gt;0,($BN270)/($BK270),""),"")</f>
        <v/>
      </c>
      <c r="BU270" s="67">
        <f>IFERROR(IF(($BL270)&gt;0,($BO270)/($BL270),""),"")</f>
        <v/>
      </c>
      <c r="BV270" s="67">
        <f>IFERROR(IF(($BM270)&gt;0,($BP270)/($BM270),""),"")</f>
        <v/>
      </c>
      <c r="BW270" s="57">
        <f>SUMIFS(tblFleet[Calendar_h],tblFleet[Date],$A270,tblFleet[Equipment_Class],"Haul Truck")</f>
        <v/>
      </c>
      <c r="BX270" s="57">
        <f>IF($B270=$B269,$BX269,0)+$BW270</f>
        <v/>
      </c>
      <c r="BY270" s="57">
        <f>$BY269+$BW270</f>
        <v/>
      </c>
      <c r="BZ270" s="57">
        <f>SUMIFS(tblFleet[Available_h],tblFleet[Date],$A270,tblFleet[Equipment_Class],"Haul Truck")</f>
        <v/>
      </c>
      <c r="CA270" s="57">
        <f>IF($B270=$B269,$CA269,0)+$BZ270</f>
        <v/>
      </c>
      <c r="CB270" s="57">
        <f>$CB269+$BZ270</f>
        <v/>
      </c>
      <c r="CC270" s="57">
        <f>SUMIFS(tblFleet[Operating_h],tblFleet[Date],$A270,tblFleet[Equipment_Class],"Haul Truck")</f>
        <v/>
      </c>
      <c r="CD270" s="57">
        <f>IF($B270=$B269,$CD269,0)+$CC270</f>
        <v/>
      </c>
      <c r="CE270" s="57">
        <f>$CE269+$CC270</f>
        <v/>
      </c>
      <c r="CF270" s="67">
        <f>IFERROR(IF(($BW270)&gt;0,($BZ270)/($BW270),""),"")</f>
        <v/>
      </c>
      <c r="CG270" s="67">
        <f>IFERROR(IF(($BX270)&gt;0,($CA270)/($BX270),""),"")</f>
        <v/>
      </c>
      <c r="CH270" s="67">
        <f>IFERROR(IF(($BY270)&gt;0,($CB270)/($BY270),""),"")</f>
        <v/>
      </c>
      <c r="CI270" s="67">
        <f>IFERROR(IF(($BZ270)&gt;0,($CC270)/($BZ270),""),"")</f>
        <v/>
      </c>
      <c r="CJ270" s="67">
        <f>IFERROR(IF(($CA270)&gt;0,($CD270)/($CA270),""),"")</f>
        <v/>
      </c>
      <c r="CK270" s="67">
        <f>IFERROR(IF(($CB270)&gt;0,($CE270)/($CB270),""),"")</f>
        <v/>
      </c>
      <c r="CL270" s="55">
        <f>IFERROR(IF(($BN270)&gt;0,($X270+$AD270)/($BN270),""),"")</f>
        <v/>
      </c>
      <c r="CM270" s="55">
        <f>IFERROR(IF(($BO270)&gt;0,($Y270+$AE270)/($BO270),""),"")</f>
        <v/>
      </c>
      <c r="CN270" s="55">
        <f>IFERROR(IF(($BP270)&gt;0,($Z270+$AF270)/($BP270),""),"")</f>
        <v/>
      </c>
      <c r="CO270" s="55">
        <f>IFERROR(IF(($CC270)&gt;0,($X270+$AD270)/($CC270),""),"")</f>
        <v/>
      </c>
      <c r="CP270" s="55">
        <f>IFERROR(IF(($CD270)&gt;0,($Y270+$AE270)/($CD270),""),"")</f>
        <v/>
      </c>
      <c r="CQ270" s="55">
        <f>IFERROR(IF(($CE270)&gt;0,($Z270+$AF270)/($CE270),""),"")</f>
        <v/>
      </c>
      <c r="CR270" s="55">
        <f>SUMIFS(tblPlant[Crushed_t],tblPlant[Date],$A270)</f>
        <v/>
      </c>
      <c r="CS270" s="55">
        <f>IF($B270=$B269,$CS269,0)+$CR270</f>
        <v/>
      </c>
      <c r="CT270" s="55">
        <f>$CT269+$CR270</f>
        <v/>
      </c>
      <c r="CU270" s="55">
        <f>SUMIFS(tblPlant[Milled_t],tblPlant[Date],$A270)</f>
        <v/>
      </c>
      <c r="CV270" s="55">
        <f>IF($B270=$B269,$CV269,0)+$CU270</f>
        <v/>
      </c>
      <c r="CW270" s="55">
        <f>$CW269+$CU270</f>
        <v/>
      </c>
      <c r="CX270" s="55">
        <f>SUMIFS(tblPlant[Feed_oz],tblPlant[Date],$A270)</f>
        <v/>
      </c>
      <c r="CY270" s="55">
        <f>IF($B270=$B269,$CY269,0)+$CX270</f>
        <v/>
      </c>
      <c r="CZ270" s="55">
        <f>$CZ269+$CX270</f>
        <v/>
      </c>
      <c r="DA270" s="55">
        <f>SUMIFS(tblPlant[Tails_oz],tblPlant[Date],$A270)</f>
        <v/>
      </c>
      <c r="DB270" s="55">
        <f>IF($B270=$B269,$DB269,0)+$DA270</f>
        <v/>
      </c>
      <c r="DC270" s="55">
        <f>$DC269+$DA270</f>
        <v/>
      </c>
      <c r="DD270" s="55">
        <f>SUMIFS(tblPlant[Recovered_oz],tblPlant[Date],$A270)</f>
        <v/>
      </c>
      <c r="DE270" s="55">
        <f>IF($B270=$B269,$DE269,0)+$DD270</f>
        <v/>
      </c>
      <c r="DF270" s="55">
        <f>$DF269+$DD270</f>
        <v/>
      </c>
      <c r="DG270" s="55">
        <f>SUMIFS(tblPlant[Milled_t],tblPlant[Date],$A270,tblPlant[Head_Grade_gpt],"&lt;&gt;")</f>
        <v/>
      </c>
      <c r="DH270" s="55">
        <f>IF($B270=$B269,$DH269,0)+$DG270</f>
        <v/>
      </c>
      <c r="DI270" s="55">
        <f>$DI269+$DG270</f>
        <v/>
      </c>
      <c r="DJ270" s="55">
        <f>SUMIFS(tblPlant[Milled_t],tblPlant[Date],$A270,tblPlant[Tails_Grade_gpt],"&lt;&gt;")</f>
        <v/>
      </c>
      <c r="DK270" s="55">
        <f>IF($B270=$B269,$DK269,0)+$DJ270</f>
        <v/>
      </c>
      <c r="DL270" s="55">
        <f>$DL269+$DJ270</f>
        <v/>
      </c>
      <c r="DM270" s="55">
        <f>SUMIFS(tblPlant[Feed_oz],tblPlant[Date],$A270,tblPlant[Tails_Grade_gpt],"&lt;&gt;")</f>
        <v/>
      </c>
      <c r="DN270" s="55">
        <f>IF($B270=$B269,$DN269,0)+$DM270</f>
        <v/>
      </c>
      <c r="DO270" s="55">
        <f>$DO269+$DM270</f>
        <v/>
      </c>
      <c r="DP270" s="55">
        <f>SUMIFS(tblPlant[Milled_t],tblPlant[Date],$A270,tblPlant[Mill_Run_h],"&lt;&gt;")</f>
        <v/>
      </c>
      <c r="DQ270" s="55">
        <f>IF($B270=$B269,$DQ269,0)+$DP270</f>
        <v/>
      </c>
      <c r="DR270" s="55">
        <f>$DR269+$DP270</f>
        <v/>
      </c>
      <c r="DS270" s="56">
        <f>IFERROR(IF(($DG270)&gt;0,($CX270*cfg_TroyOz)/($DG270),""),"")</f>
        <v/>
      </c>
      <c r="DT270" s="56">
        <f>IFERROR(IF(($DH270)&gt;0,($CY270*cfg_TroyOz)/($DH270),""),"")</f>
        <v/>
      </c>
      <c r="DU270" s="56">
        <f>IFERROR(IF(($DI270)&gt;0,($CZ270*cfg_TroyOz)/($DI270),""),"")</f>
        <v/>
      </c>
      <c r="DV270" s="56">
        <f>IFERROR(IF(($DJ270)&gt;0,($DA270*cfg_TroyOz)/($DJ270),""),"")</f>
        <v/>
      </c>
      <c r="DW270" s="56">
        <f>IFERROR(IF(($DK270)&gt;0,($DB270*cfg_TroyOz)/($DK270),""),"")</f>
        <v/>
      </c>
      <c r="DX270" s="56">
        <f>IFERROR(IF(($DL270)&gt;0,($DC270*cfg_TroyOz)/($DL270),""),"")</f>
        <v/>
      </c>
      <c r="DY270" s="67">
        <f>IFERROR(IF(($DM270)&gt;0,($DD270)/($DM270),""),"")</f>
        <v/>
      </c>
      <c r="DZ270" s="67">
        <f>IFERROR(IF(($DN270)&gt;0,($DE270)/($DN270),""),"")</f>
        <v/>
      </c>
      <c r="EA270" s="67">
        <f>IFERROR(IF(($DO270)&gt;0,($DF270)/($DO270),""),"")</f>
        <v/>
      </c>
      <c r="EB270" s="55">
        <f>SUMIFS(tblPlant[Gravity_Gold_oz],tblPlant[Date],$A270)</f>
        <v/>
      </c>
      <c r="EC270" s="55">
        <f>IF($B270=$B269,$EC269,0)+$EB270</f>
        <v/>
      </c>
      <c r="ED270" s="55">
        <f>$ED269+$EB270</f>
        <v/>
      </c>
      <c r="EE270" s="67">
        <f>IFERROR(IF(($DD270)&gt;0,($EB270)/($DD270),""),"")</f>
        <v/>
      </c>
      <c r="EF270" s="67">
        <f>IFERROR(IF(($DE270)&gt;0,($EC270)/($DE270),""),"")</f>
        <v/>
      </c>
      <c r="EG270" s="67">
        <f>IFERROR(IF(($DF270)&gt;0,($ED270)/($DF270),""),"")</f>
        <v/>
      </c>
      <c r="EH270" s="55">
        <f>SUMIFS(tblPlant[Gold_Poured_oz],tblPlant[Date],$A270)</f>
        <v/>
      </c>
      <c r="EI270" s="55">
        <f>IF($B270=$B269,$EI269,0)+$EH270</f>
        <v/>
      </c>
      <c r="EJ270" s="55">
        <f>$EJ269+$EH270</f>
        <v/>
      </c>
      <c r="EK270" s="57">
        <f>SUMIFS(tblPlant[Mill_Run_h],tblPlant[Date],$A270)</f>
        <v/>
      </c>
      <c r="EL270" s="57">
        <f>IF($B270=$B269,$EL269,0)+$EK270</f>
        <v/>
      </c>
      <c r="EM270" s="57">
        <f>$EM269+$EK270</f>
        <v/>
      </c>
      <c r="EN270" s="57">
        <f>SUMIFS(tblPlant[Mill_Planned_Maint_h],tblPlant[Date],$A270)</f>
        <v/>
      </c>
      <c r="EO270" s="57">
        <f>IF($B270=$B269,$EO269,0)+$EN270</f>
        <v/>
      </c>
      <c r="EP270" s="57">
        <f>$EP269+$EN270</f>
        <v/>
      </c>
      <c r="EQ270" s="57">
        <f>SUMIFS(tblPlant[Mill_Unplanned_Down_h],tblPlant[Date],$A270)</f>
        <v/>
      </c>
      <c r="ER270" s="57">
        <f>IF($B270=$B269,$ER269,0)+$EQ270</f>
        <v/>
      </c>
      <c r="ES270" s="57">
        <f>$ES269+$EQ270</f>
        <v/>
      </c>
      <c r="ET270" s="57">
        <f>IF(COUNTIFS(tblPlant[Date],$A270,tblPlant[Mill_Run_h],"&lt;&gt;")+COUNTIFS(tblPlant[Date],$A270,tblPlant[Mill_Planned_Maint_h],"&lt;&gt;")+COUNTIFS(tblPlant[Date],$A270,tblPlant[Mill_Unplanned_Down_h],"&lt;&gt;")&gt;0,cfg_HoursPerDay,0)</f>
        <v/>
      </c>
      <c r="EU270" s="57">
        <f>IF($B270=$B269,$EU269,0)+$ET270</f>
        <v/>
      </c>
      <c r="EV270" s="57">
        <f>$EV269+$ET270</f>
        <v/>
      </c>
      <c r="EW270" s="57">
        <f>SUMIFS(tblPlant[Crusher_Run_h],tblPlant[Date],$A270)</f>
        <v/>
      </c>
      <c r="EX270" s="57">
        <f>IF($B270=$B269,$EX269,0)+$EW270</f>
        <v/>
      </c>
      <c r="EY270" s="57">
        <f>$EY269+$EW270</f>
        <v/>
      </c>
      <c r="EZ270" s="55">
        <f>IFERROR(IF(($EK270)&gt;0,($DP270)/($EK270),""),"")</f>
        <v/>
      </c>
      <c r="FA270" s="55">
        <f>IFERROR(IF(($EL270)&gt;0,($DQ270)/($EL270),""),"")</f>
        <v/>
      </c>
      <c r="FB270" s="55">
        <f>IFERROR(IF(($EM270)&gt;0,($DR270)/($EM270),""),"")</f>
        <v/>
      </c>
      <c r="FC270" s="67">
        <f>IFERROR(IF(($ET270)&gt;0,($ET270-$EN270-$EQ270)/($ET270),""),"")</f>
        <v/>
      </c>
      <c r="FD270" s="67">
        <f>IFERROR(IF(($EU270)&gt;0,($EU270-$EO270-$ER270)/($EU270),""),"")</f>
        <v/>
      </c>
      <c r="FE270" s="67">
        <f>IFERROR(IF(($EV270)&gt;0,($EV270-$EP270-$ES270)/($EV270),""),"")</f>
        <v/>
      </c>
      <c r="FF270" s="67">
        <f>IFERROR(IF(($ET270-$EN270-$EQ270)&gt;0,($EK270)/($ET270-$EN270-$EQ270),""),"")</f>
        <v/>
      </c>
      <c r="FG270" s="67">
        <f>IFERROR(IF(($EU270-$EO270-$ER270)&gt;0,($EL270)/($EU270-$EO270-$ER270),""),"")</f>
        <v/>
      </c>
      <c r="FH270" s="67">
        <f>IFERROR(IF(($EV270-$EP270-$ES270)&gt;0,($EM270)/($EV270-$EP270-$ES270),""),"")</f>
        <v/>
      </c>
      <c r="FI270" s="55">
        <f>SUMIFS(tblPlant[Cyanide_kg],tblPlant[Date],$A270)</f>
        <v/>
      </c>
      <c r="FJ270" s="55">
        <f>IF($B270=$B269,$FJ269,0)+$FI270</f>
        <v/>
      </c>
      <c r="FK270" s="55">
        <f>$FK269+$FI270</f>
        <v/>
      </c>
      <c r="FL270" s="55">
        <f>SUMIFS(tblPlant[Lime_kg],tblPlant[Date],$A270)</f>
        <v/>
      </c>
      <c r="FM270" s="55">
        <f>IF($B270=$B269,$FM269,0)+$FL270</f>
        <v/>
      </c>
      <c r="FN270" s="55">
        <f>$FN269+$FL270</f>
        <v/>
      </c>
      <c r="FO270" s="55">
        <f>SUMIFS(tblPlant[Grinding_Media_kg],tblPlant[Date],$A270)</f>
        <v/>
      </c>
      <c r="FP270" s="55">
        <f>IF($B270=$B269,$FP269,0)+$FO270</f>
        <v/>
      </c>
      <c r="FQ270" s="55">
        <f>$FQ269+$FO270</f>
        <v/>
      </c>
      <c r="FR270" s="55">
        <f>SUMIFS(tblPlant[Power_kWh],tblPlant[Date],$A270)</f>
        <v/>
      </c>
      <c r="FS270" s="55">
        <f>IF($B270=$B269,$FS269,0)+$FR270</f>
        <v/>
      </c>
      <c r="FT270" s="55">
        <f>$FT269+$FR270</f>
        <v/>
      </c>
      <c r="FU270" s="55">
        <f>SUMIFS(tblPlant[Raw_Water_m3],tblPlant[Date],$A270)</f>
        <v/>
      </c>
      <c r="FV270" s="55">
        <f>IF($B270=$B269,$FV269,0)+$FU270</f>
        <v/>
      </c>
      <c r="FW270" s="55">
        <f>$FW269+$FU270</f>
        <v/>
      </c>
      <c r="FX270" s="56">
        <f>IFERROR(IF(($CU270)&gt;0,($FI270)/($CU270),""),"")</f>
        <v/>
      </c>
      <c r="FY270" s="56">
        <f>IFERROR(IF(($CV270)&gt;0,($FJ270)/($CV270),""),"")</f>
        <v/>
      </c>
      <c r="FZ270" s="56">
        <f>IFERROR(IF(($CW270)&gt;0,($FK270)/($CW270),""),"")</f>
        <v/>
      </c>
      <c r="GA270" s="56">
        <f>IFERROR(IF(($CU270)&gt;0,($FL270)/($CU270),""),"")</f>
        <v/>
      </c>
      <c r="GB270" s="56">
        <f>IFERROR(IF(($CV270)&gt;0,($FM270)/($CV270),""),"")</f>
        <v/>
      </c>
      <c r="GC270" s="56">
        <f>IFERROR(IF(($CW270)&gt;0,($FN270)/($CW270),""),"")</f>
        <v/>
      </c>
      <c r="GD270" s="56">
        <f>IFERROR(IF(($CU270)&gt;0,($FO270)/($CU270),""),"")</f>
        <v/>
      </c>
      <c r="GE270" s="56">
        <f>IFERROR(IF(($CV270)&gt;0,($FP270)/($CV270),""),"")</f>
        <v/>
      </c>
      <c r="GF270" s="56">
        <f>IFERROR(IF(($CW270)&gt;0,($FQ270)/($CW270),""),"")</f>
        <v/>
      </c>
      <c r="GG270" s="79">
        <f>IFERROR(IF(($CU270)&gt;0,($FR270)/($CU270),""),"")</f>
        <v/>
      </c>
      <c r="GH270" s="79">
        <f>IFERROR(IF(($CV270)&gt;0,($FS270)/($CV270),""),"")</f>
        <v/>
      </c>
      <c r="GI270" s="79">
        <f>IFERROR(IF(($CW270)&gt;0,($FT270)/($CW270),""),"")</f>
        <v/>
      </c>
      <c r="GJ270" s="56">
        <f>IFERROR(IF(($CU270)&gt;0,($FU270)/($CU270),""),"")</f>
        <v/>
      </c>
      <c r="GK270" s="56">
        <f>IFERROR(IF(($CV270)&gt;0,($FV270)/($CV270),""),"")</f>
        <v/>
      </c>
      <c r="GL270" s="56">
        <f>IFERROR(IF(($CW270)&gt;0,($FW270)/($CW270),""),"")</f>
        <v/>
      </c>
      <c r="GM270" s="55">
        <f>IF(SUMIFS(tblPlant[GIC_oz],tblPlant[Date],$A270)&gt;0,SUMIFS(tblPlant[GIC_oz],tblPlant[Date],$A270),"")</f>
        <v/>
      </c>
      <c r="GN270" s="55">
        <f>SUMIFS(tblGold[Gold_oz],tblGold[Date],$A270,tblGold[Type],"Shipment")</f>
        <v/>
      </c>
      <c r="GO270" s="55">
        <f>IF($B270=$B269,$GO269,0)+$GN270</f>
        <v/>
      </c>
      <c r="GP270" s="55">
        <f>$GP269+$GN270</f>
        <v/>
      </c>
      <c r="GQ270" s="55">
        <f>SUMIFS(tblGold[Gold_oz],tblGold[Date],$A270,tblGold[Type],"Sale")</f>
        <v/>
      </c>
      <c r="GR270" s="55">
        <f>IF($B270=$B269,$GR269,0)+$GQ270</f>
        <v/>
      </c>
      <c r="GS270" s="55">
        <f>$GS269+$GQ270</f>
        <v/>
      </c>
      <c r="GT270" s="55">
        <f>SUMIFS(tblGold[Dore_kg],tblGold[Date],$A270,tblGold[Type],"Shipment")</f>
        <v/>
      </c>
      <c r="GU270" s="55">
        <f>IF($B270=$B269,$GU269,0)+$GT270</f>
        <v/>
      </c>
      <c r="GV270" s="55">
        <f>$GV269+$GT270</f>
        <v/>
      </c>
      <c r="GW270" s="57">
        <f>SUMIFS(tblSafety[Hours_Total],tblSafety[Date],$A270)</f>
        <v/>
      </c>
      <c r="GX270" s="57">
        <f>IF($B270=$B269,$GX269,0)+$GW270</f>
        <v/>
      </c>
      <c r="GY270" s="57">
        <f>$GY269+$GW270</f>
        <v/>
      </c>
      <c r="GZ270" s="62">
        <f>SUMIFS(tblSafety[Fatality],tblSafety[Date],$A270)</f>
        <v/>
      </c>
      <c r="HA270" s="62">
        <f>IF($B270=$B269,$HA269,0)+$GZ270</f>
        <v/>
      </c>
      <c r="HB270" s="62">
        <f>$HB269+$GZ270</f>
        <v/>
      </c>
      <c r="HC270" s="62">
        <f>SUMIFS(tblSafety[LTI],tblSafety[Date],$A270)</f>
        <v/>
      </c>
      <c r="HD270" s="62">
        <f>IF($B270=$B269,$HD269,0)+$HC270</f>
        <v/>
      </c>
      <c r="HE270" s="62">
        <f>$HE269+$HC270</f>
        <v/>
      </c>
      <c r="HF270" s="62">
        <f>SUMIFS(tblSafety[RWI],tblSafety[Date],$A270)</f>
        <v/>
      </c>
      <c r="HG270" s="62">
        <f>IF($B270=$B269,$HG269,0)+$HF270</f>
        <v/>
      </c>
      <c r="HH270" s="62">
        <f>$HH269+$HF270</f>
        <v/>
      </c>
      <c r="HI270" s="62">
        <f>SUMIFS(tblSafety[MTI],tblSafety[Date],$A270)</f>
        <v/>
      </c>
      <c r="HJ270" s="62">
        <f>IF($B270=$B269,$HJ269,0)+$HI270</f>
        <v/>
      </c>
      <c r="HK270" s="62">
        <f>$HK269+$HI270</f>
        <v/>
      </c>
      <c r="HL270" s="62">
        <f>SUMIFS(tblSafety[FAI],tblSafety[Date],$A270)</f>
        <v/>
      </c>
      <c r="HM270" s="62">
        <f>IF($B270=$B269,$HM269,0)+$HL270</f>
        <v/>
      </c>
      <c r="HN270" s="62">
        <f>$HN269+$HL270</f>
        <v/>
      </c>
      <c r="HO270" s="62">
        <f>SUMIFS(tblSafety[Recordables],tblSafety[Date],$A270)</f>
        <v/>
      </c>
      <c r="HP270" s="62">
        <f>IF($B270=$B269,$HP269,0)+$HO270</f>
        <v/>
      </c>
      <c r="HQ270" s="62">
        <f>$HQ269+$HO270</f>
        <v/>
      </c>
      <c r="HR270" s="62">
        <f>SUMIFS(tblSafety[Near_Miss],tblSafety[Date],$A270)</f>
        <v/>
      </c>
      <c r="HS270" s="62">
        <f>IF($B270=$B269,$HS269,0)+$HR270</f>
        <v/>
      </c>
      <c r="HT270" s="62">
        <f>$HT269+$HR270</f>
        <v/>
      </c>
      <c r="HU270" s="62">
        <f>SUMIFS(tblSafety[Hazard_Reports],tblSafety[Date],$A270)</f>
        <v/>
      </c>
      <c r="HV270" s="62">
        <f>IF($B270=$B269,$HV269,0)+$HU270</f>
        <v/>
      </c>
      <c r="HW270" s="62">
        <f>$HW269+$HU270</f>
        <v/>
      </c>
      <c r="HX270" s="62">
        <f>SUMIFS(tblSafety[HPI],tblSafety[Date],$A270)</f>
        <v/>
      </c>
      <c r="HY270" s="62">
        <f>IF($B270=$B269,$HY269,0)+$HX270</f>
        <v/>
      </c>
      <c r="HZ270" s="62">
        <f>$HZ269+$HX270</f>
        <v/>
      </c>
      <c r="IA270" s="62">
        <f>SUMIFS(tblSafety[Env_Incidents],tblSafety[Date],$A270)</f>
        <v/>
      </c>
      <c r="IB270" s="62">
        <f>IF($B270=$B269,$IB269,0)+$IA270</f>
        <v/>
      </c>
      <c r="IC270" s="62">
        <f>$IC269+$IA270</f>
        <v/>
      </c>
      <c r="ID270" s="62">
        <f>SUMIFS(tblSafety[Community_Incidents],tblSafety[Date],$A270)</f>
        <v/>
      </c>
      <c r="IE270" s="62">
        <f>IF($B270=$B269,$IE269,0)+$ID270</f>
        <v/>
      </c>
      <c r="IF270" s="62">
        <f>$IF269+$ID270</f>
        <v/>
      </c>
      <c r="IG270" s="62">
        <f>SUMIFS(tblSafety[Vehicle_Incidents],tblSafety[Date],$A270)</f>
        <v/>
      </c>
      <c r="IH270" s="62">
        <f>IF($B270=$B269,$IH269,0)+$IG270</f>
        <v/>
      </c>
      <c r="II270" s="62">
        <f>$II269+$IG270</f>
        <v/>
      </c>
      <c r="IJ270" s="62">
        <f>SUMIFS(tblSafety[Toolbox_Talks],tblSafety[Date],$A270)</f>
        <v/>
      </c>
      <c r="IK270" s="62">
        <f>IF($B270=$B269,$IK269,0)+$IJ270</f>
        <v/>
      </c>
      <c r="IL270" s="62">
        <f>$IL269+$IJ270</f>
        <v/>
      </c>
      <c r="IM270" s="62">
        <f>SUMIFS(tblSafety[Inspections],tblSafety[Date],$A270)</f>
        <v/>
      </c>
      <c r="IN270" s="62">
        <f>IF($B270=$B269,$IN269,0)+$IM270</f>
        <v/>
      </c>
      <c r="IO270" s="62">
        <f>$IO269+$IM270</f>
        <v/>
      </c>
      <c r="IP270" s="56">
        <f>IFERROR((SUMIFS(tblSafety[Recordables],tblSafety[Date],"&gt;="&amp;EDATE($E270,-12),tblSafety[Date],"&lt;="&amp;$A270)+SUMIFS(tblSafetyHistory[Recordables],tblSafetyHistory[Month],"&gt;="&amp;EDATE($E270,-12),tblSafetyHistory[Month],"&lt;"&amp;$E270,tblSafetyHistory[Use],1))/(SUMIFS(tblSafety[Hours_Total],tblSafety[Date],"&gt;="&amp;EDATE($E270,-12),tblSafety[Date],"&lt;="&amp;$A270)+SUMIFS(tblSafetyHistory[Hours_Total],tblSafetyHistory[Month],"&gt;="&amp;EDATE($E270,-12),tblSafetyHistory[Month],"&lt;"&amp;$E270,tblSafetyHistory[Use],1))*cfg_RateBasisHours,"")</f>
        <v/>
      </c>
      <c r="IQ270" s="56">
        <f>IFERROR((SUMIFS(tblSafety[LTI],tblSafety[Date],"&gt;="&amp;EDATE($E270,-12),tblSafety[Date],"&lt;="&amp;$A270)+SUMIFS(tblSafetyHistory[LTI],tblSafetyHistory[Month],"&gt;="&amp;EDATE($E270,-12),tblSafetyHistory[Month],"&lt;"&amp;$E270,tblSafetyHistory[Use],1))/(SUMIFS(tblSafety[Hours_Total],tblSafety[Date],"&gt;="&amp;EDATE($E270,-12),tblSafety[Date],"&lt;="&amp;$A270)+SUMIFS(tblSafetyHistory[Hours_Total],tblSafetyHistory[Month],"&gt;="&amp;EDATE($E270,-12),tblSafetyHistory[Month],"&lt;"&amp;$E270,tblSafetyHistory[Use],1))*cfg_RateBasisHours,"")</f>
        <v/>
      </c>
      <c r="IR270" s="62">
        <f>IF(MAX(N(cfg_PriorLTIDate),_xlfn.MAXIFS(tblSafety[Date],tblSafety[LTI],"&gt;0",tblSafety[Date],"&lt;="&amp;$A270))=0,"",$A270-MAX(N(cfg_PriorLTIDate),_xlfn.MAXIFS(tblSafety[Date],tblSafety[LTI],"&gt;0",tblSafety[Date],"&lt;="&amp;$A270)))</f>
        <v/>
      </c>
      <c r="IS270" s="55">
        <f>SUMIFS(tblBudget[Ore_Mined_t],tblBudget[Month],$E270)</f>
        <v/>
      </c>
      <c r="IT270" s="55">
        <f>$IS270*$C270/$D270</f>
        <v/>
      </c>
      <c r="IU270" s="55">
        <f>SUMIFS(tblBudget[Ore_Mined_t],tblBudget[Month],"&lt;"&amp;$E270)+$IT270</f>
        <v/>
      </c>
      <c r="IV270" s="55">
        <f>SUMIFS(tblBudget[Ore_oz],tblBudget[Month],$E270)</f>
        <v/>
      </c>
      <c r="IW270" s="55">
        <f>$IV270*$C270/$D270</f>
        <v/>
      </c>
      <c r="IX270" s="55">
        <f>SUMIFS(tblBudget[Ore_oz],tblBudget[Month],"&lt;"&amp;$E270)+$IW270</f>
        <v/>
      </c>
      <c r="IY270" s="55">
        <f>SUMIFS(tblBudget[Ore_Mined_t],tblBudget[Month],$E270)</f>
        <v/>
      </c>
      <c r="IZ270" s="55">
        <f>$IY270*$C270/$D270</f>
        <v/>
      </c>
      <c r="JA270" s="55">
        <f>SUMIFS(tblBudget[Ore_Mined_t],tblBudget[Month],"&lt;"&amp;$E270)+$IZ270</f>
        <v/>
      </c>
      <c r="JB270" s="56">
        <f>IFERROR(IF(($IY270)&gt;0,($IV270*cfg_TroyOz)/($IY270),""),"")</f>
        <v/>
      </c>
      <c r="JC270" s="56">
        <f>IFERROR(IF(($IZ270)&gt;0,($IW270*cfg_TroyOz)/($IZ270),""),"")</f>
        <v/>
      </c>
      <c r="JD270" s="56">
        <f>IFERROR(IF(($JA270)&gt;0,($IX270*cfg_TroyOz)/($JA270),""),"")</f>
        <v/>
      </c>
      <c r="JE270" s="55">
        <f>SUMIFS(tblBudget[Waste_t],tblBudget[Month],$E270)</f>
        <v/>
      </c>
      <c r="JF270" s="55">
        <f>$JE270*$C270/$D270</f>
        <v/>
      </c>
      <c r="JG270" s="55">
        <f>SUMIFS(tblBudget[Waste_t],tblBudget[Month],"&lt;"&amp;$E270)+$JF270</f>
        <v/>
      </c>
      <c r="JH270" s="55">
        <f>SUMIFS(tblBudget[TMM_t],tblBudget[Month],$E270)</f>
        <v/>
      </c>
      <c r="JI270" s="55">
        <f>$JH270*$C270/$D270</f>
        <v/>
      </c>
      <c r="JJ270" s="55">
        <f>SUMIFS(tblBudget[TMM_t],tblBudget[Month],"&lt;"&amp;$E270)+$JI270</f>
        <v/>
      </c>
      <c r="JK270" s="56">
        <f>IFERROR(IF(($IS270)&gt;0,($JE270)/($IS270),""),"")</f>
        <v/>
      </c>
      <c r="JL270" s="56">
        <f>IFERROR(IF(($IT270)&gt;0,($JF270)/($IT270),""),"")</f>
        <v/>
      </c>
      <c r="JM270" s="56">
        <f>IFERROR(IF(($IU270)&gt;0,($JG270)/($IU270),""),"")</f>
        <v/>
      </c>
      <c r="JN270" s="55">
        <f>SUMIFS(tblBudget[Drill_m],tblBudget[Month],$E270)</f>
        <v/>
      </c>
      <c r="JO270" s="55">
        <f>$JN270*$C270/$D270</f>
        <v/>
      </c>
      <c r="JP270" s="55">
        <f>SUMIFS(tblBudget[Drill_m],tblBudget[Month],"&lt;"&amp;$E270)+$JO270</f>
        <v/>
      </c>
      <c r="JQ270" s="55">
        <f>SUMIFS(tblBudget[Diesel_L],tblBudget[Month],$E270)</f>
        <v/>
      </c>
      <c r="JR270" s="55">
        <f>$JQ270*$C270/$D270</f>
        <v/>
      </c>
      <c r="JS270" s="55">
        <f>SUMIFS(tblBudget[Diesel_L],tblBudget[Month],"&lt;"&amp;$E270)+$JR270</f>
        <v/>
      </c>
      <c r="JT270" s="55">
        <f>SUMIFS(tblBudget[Milled_t],tblBudget[Month],$E270)</f>
        <v/>
      </c>
      <c r="JU270" s="55">
        <f>$JT270*$C270/$D270</f>
        <v/>
      </c>
      <c r="JV270" s="55">
        <f>SUMIFS(tblBudget[Milled_t],tblBudget[Month],"&lt;"&amp;$E270)+$JU270</f>
        <v/>
      </c>
      <c r="JW270" s="55">
        <f>SUMIFS(tblBudget[Feed_oz],tblBudget[Month],$E270)</f>
        <v/>
      </c>
      <c r="JX270" s="55">
        <f>$JW270*$C270/$D270</f>
        <v/>
      </c>
      <c r="JY270" s="55">
        <f>SUMIFS(tblBudget[Feed_oz],tblBudget[Month],"&lt;"&amp;$E270)+$JX270</f>
        <v/>
      </c>
      <c r="JZ270" s="55">
        <f>SUMIFS(tblBudget[Recovered_oz],tblBudget[Month],$E270)</f>
        <v/>
      </c>
      <c r="KA270" s="55">
        <f>$JZ270*$C270/$D270</f>
        <v/>
      </c>
      <c r="KB270" s="55">
        <f>SUMIFS(tblBudget[Recovered_oz],tblBudget[Month],"&lt;"&amp;$E270)+$KA270</f>
        <v/>
      </c>
      <c r="KC270" s="55">
        <f>SUMIFS(tblBudget[Milled_t],tblBudget[Month],$E270)</f>
        <v/>
      </c>
      <c r="KD270" s="55">
        <f>$KC270*$C270/$D270</f>
        <v/>
      </c>
      <c r="KE270" s="55">
        <f>SUMIFS(tblBudget[Milled_t],tblBudget[Month],"&lt;"&amp;$E270)+$KD270</f>
        <v/>
      </c>
      <c r="KF270" s="55">
        <f>SUMIFS(tblBudget[Feed_oz],tblBudget[Month],$E270)</f>
        <v/>
      </c>
      <c r="KG270" s="55">
        <f>$KF270*$C270/$D270</f>
        <v/>
      </c>
      <c r="KH270" s="55">
        <f>SUMIFS(tblBudget[Feed_oz],tblBudget[Month],"&lt;"&amp;$E270)+$KG270</f>
        <v/>
      </c>
      <c r="KI270" s="56">
        <f>IFERROR(IF(($KC270)&gt;0,($JW270*cfg_TroyOz)/($KC270),""),"")</f>
        <v/>
      </c>
      <c r="KJ270" s="56">
        <f>IFERROR(IF(($KD270)&gt;0,($JX270*cfg_TroyOz)/($KD270),""),"")</f>
        <v/>
      </c>
      <c r="KK270" s="56">
        <f>IFERROR(IF(($KE270)&gt;0,($JY270*cfg_TroyOz)/($KE270),""),"")</f>
        <v/>
      </c>
      <c r="KL270" s="67">
        <f>IFERROR(IF(($KF270)&gt;0,($JZ270)/($KF270),""),"")</f>
        <v/>
      </c>
      <c r="KM270" s="67">
        <f>IFERROR(IF(($KG270)&gt;0,($KA270)/($KG270),""),"")</f>
        <v/>
      </c>
      <c r="KN270" s="67">
        <f>IFERROR(IF(($KH270)&gt;0,($KB270)/($KH270),""),"")</f>
        <v/>
      </c>
      <c r="KO270" s="55">
        <f>SUMIFS(tblBudget[Gold_Poured_oz],tblBudget[Month],$E270)</f>
        <v/>
      </c>
      <c r="KP270" s="55">
        <f>$KO270*$C270/$D270</f>
        <v/>
      </c>
      <c r="KQ270" s="55">
        <f>SUMIFS(tblBudget[Gold_Poured_oz],tblBudget[Month],"&lt;"&amp;$E270)+$KP270</f>
        <v/>
      </c>
      <c r="KR270" s="57">
        <f>SUMIFS(tblBudget[Hours_Worked],tblBudget[Month],$E270)</f>
        <v/>
      </c>
      <c r="KS270" s="57">
        <f>$KR270*$C270/$D270</f>
        <v/>
      </c>
      <c r="KT270" s="57">
        <f>SUMIFS(tblBudget[Hours_Worked],tblBudget[Month],"&lt;"&amp;$E270)+$KS270</f>
        <v/>
      </c>
    </row>
    <row r="271">
      <c r="A271" s="54" t="n">
        <v>46292</v>
      </c>
      <c r="B271">
        <f>MONTH($A271)</f>
        <v/>
      </c>
      <c r="C271">
        <f>DAY($A271)</f>
        <v/>
      </c>
      <c r="D271">
        <f>DAY(EOMONTH($A271,0))</f>
        <v/>
      </c>
      <c r="E271" s="54">
        <f>DATE(YEAR($A271),MONTH($A271),1)</f>
        <v/>
      </c>
      <c r="F271" s="55">
        <f>SUMIFS(tblMovement[Tonnes_t],tblMovement[Date],$A271,tblMovement[Is_Ore],1,tblMovement[Source_Type],"Pit")</f>
        <v/>
      </c>
      <c r="G271" s="55">
        <f>IF($B271=$B270,$G270,0)+$F271</f>
        <v/>
      </c>
      <c r="H271" s="55">
        <f>$H270+$F271</f>
        <v/>
      </c>
      <c r="I271" s="55">
        <f>SUMIFS(tblMovement[Ore_oz],tblMovement[Date],$A271,tblMovement[Source_Type],"Pit")</f>
        <v/>
      </c>
      <c r="J271" s="55">
        <f>IF($B271=$B270,$J270,0)+$I271</f>
        <v/>
      </c>
      <c r="K271" s="55">
        <f>$K270+$I271</f>
        <v/>
      </c>
      <c r="L271" s="55">
        <f>SUMIFS(tblMovement[Tonnes_t],tblMovement[Date],$A271,tblMovement[Is_Ore],1,tblMovement[Source_Type],"Pit",tblMovement[Grade_gpt],"&lt;&gt;")</f>
        <v/>
      </c>
      <c r="M271" s="55">
        <f>IF($B271=$B270,$M270,0)+$L271</f>
        <v/>
      </c>
      <c r="N271" s="55">
        <f>$N270+$L271</f>
        <v/>
      </c>
      <c r="O271" s="56">
        <f>IFERROR(IF(($L271)&gt;0,($I271*cfg_TroyOz)/($L271),""),"")</f>
        <v/>
      </c>
      <c r="P271" s="56">
        <f>IFERROR(IF(($M271)&gt;0,($J271*cfg_TroyOz)/($M271),""),"")</f>
        <v/>
      </c>
      <c r="Q271" s="56">
        <f>IFERROR(IF(($N271)&gt;0,($K271*cfg_TroyOz)/($N271),""),"")</f>
        <v/>
      </c>
      <c r="R271" s="55">
        <f>$F271-$L271</f>
        <v/>
      </c>
      <c r="S271" s="55">
        <f>IF($B271=$B270,$S270,0)+$R271</f>
        <v/>
      </c>
      <c r="T271" s="55">
        <f>$T270+$R271</f>
        <v/>
      </c>
      <c r="U271" s="55">
        <f>SUMIFS(tblMovement[Tonnes_t],tblMovement[Date],$A271,tblMovement[Is_Ore],0,tblMovement[Source_Type],"Pit")</f>
        <v/>
      </c>
      <c r="V271" s="55">
        <f>IF($B271=$B270,$V270,0)+$U271</f>
        <v/>
      </c>
      <c r="W271" s="55">
        <f>$W270+$U271</f>
        <v/>
      </c>
      <c r="X271" s="55">
        <f>$F271+$U271</f>
        <v/>
      </c>
      <c r="Y271" s="55">
        <f>IF($B271=$B270,$Y270,0)+$X271</f>
        <v/>
      </c>
      <c r="Z271" s="55">
        <f>$Z270+$X271</f>
        <v/>
      </c>
      <c r="AA271" s="56">
        <f>IFERROR(IF(($F271)&gt;0,($U271)/($F271),""),"")</f>
        <v/>
      </c>
      <c r="AB271" s="56">
        <f>IFERROR(IF(($G271)&gt;0,($V271)/($G271),""),"")</f>
        <v/>
      </c>
      <c r="AC271" s="56">
        <f>IFERROR(IF(($H271)&gt;0,($W271)/($H271),""),"")</f>
        <v/>
      </c>
      <c r="AD271" s="55">
        <f>SUMIFS(tblMovement[Tonnes_t],tblMovement[Date],$A271,tblMovement[Source_Type],"Stockpile")</f>
        <v/>
      </c>
      <c r="AE271" s="55">
        <f>IF($B271=$B270,$AE270,0)+$AD271</f>
        <v/>
      </c>
      <c r="AF271" s="55">
        <f>$AF270+$AD271</f>
        <v/>
      </c>
      <c r="AG271" s="55">
        <f>SUMIFS(tblMovement[Tonnes_t],tblMovement[Date],$A271)</f>
        <v/>
      </c>
      <c r="AH271" s="55">
        <f>IF($B271=$B270,$AH270,0)+$AG271</f>
        <v/>
      </c>
      <c r="AI271" s="55">
        <f>$AI270+$AG271</f>
        <v/>
      </c>
      <c r="AJ271" s="55">
        <f>$AG271-$X271-$AD271</f>
        <v/>
      </c>
      <c r="AK271" s="55">
        <f>IF($B271=$B270,$AK270,0)+$AJ271</f>
        <v/>
      </c>
      <c r="AL271" s="55">
        <f>$AL270+$AJ271</f>
        <v/>
      </c>
      <c r="AM271" s="55">
        <f>SUMIFS(tblMiningDaily[Drill_m],tblMiningDaily[Date],$A271)</f>
        <v/>
      </c>
      <c r="AN271" s="55">
        <f>IF($B271=$B270,$AN270,0)+$AM271</f>
        <v/>
      </c>
      <c r="AO271" s="55">
        <f>$AO270+$AM271</f>
        <v/>
      </c>
      <c r="AP271" s="55">
        <f>SUMIFS(tblMiningDaily[GC_Drill_m],tblMiningDaily[Date],$A271)</f>
        <v/>
      </c>
      <c r="AQ271" s="55">
        <f>IF($B271=$B270,$AQ270,0)+$AP271</f>
        <v/>
      </c>
      <c r="AR271" s="55">
        <f>$AR270+$AP271</f>
        <v/>
      </c>
      <c r="AS271" s="55">
        <f>SUMIFS(tblMiningDaily[Blast_t],tblMiningDaily[Date],$A271)</f>
        <v/>
      </c>
      <c r="AT271" s="55">
        <f>IF($B271=$B270,$AT270,0)+$AS271</f>
        <v/>
      </c>
      <c r="AU271" s="55">
        <f>$AU270+$AS271</f>
        <v/>
      </c>
      <c r="AV271" s="55">
        <f>SUMIFS(tblMiningDaily[Explosives_kg],tblMiningDaily[Date],$A271)</f>
        <v/>
      </c>
      <c r="AW271" s="55">
        <f>IF($B271=$B270,$AW270,0)+$AV271</f>
        <v/>
      </c>
      <c r="AX271" s="55">
        <f>$AX270+$AV271</f>
        <v/>
      </c>
      <c r="AY271" s="56">
        <f>IFERROR(IF(($AS271)&gt;0,($AV271)/($AS271),""),"")</f>
        <v/>
      </c>
      <c r="AZ271" s="56">
        <f>IFERROR(IF(($AT271)&gt;0,($AW271)/($AT271),""),"")</f>
        <v/>
      </c>
      <c r="BA271" s="56">
        <f>IFERROR(IF(($AU271)&gt;0,($AX271)/($AU271),""),"")</f>
        <v/>
      </c>
      <c r="BB271" s="55">
        <f>SUMIFS(tblMiningDaily[Diesel_L],tblMiningDaily[Date],$A271)</f>
        <v/>
      </c>
      <c r="BC271" s="55">
        <f>IF($B271=$B270,$BC270,0)+$BB271</f>
        <v/>
      </c>
      <c r="BD271" s="55">
        <f>$BD270+$BB271</f>
        <v/>
      </c>
      <c r="BE271" s="55">
        <f>SUMIFS(tblMiningDaily[Dewatering_m3],tblMiningDaily[Date],$A271)</f>
        <v/>
      </c>
      <c r="BF271" s="55">
        <f>IF($B271=$B270,$BF270,0)+$BE271</f>
        <v/>
      </c>
      <c r="BG271" s="55">
        <f>$BG270+$BE271</f>
        <v/>
      </c>
      <c r="BH271" s="57">
        <f>SUMIFS(tblFleet[Calendar_h],tblFleet[Date],$A271,tblFleet[Equipment_Class],"Excavator")</f>
        <v/>
      </c>
      <c r="BI271" s="57">
        <f>IF($B271=$B270,$BI270,0)+$BH271</f>
        <v/>
      </c>
      <c r="BJ271" s="57">
        <f>$BJ270+$BH271</f>
        <v/>
      </c>
      <c r="BK271" s="57">
        <f>SUMIFS(tblFleet[Available_h],tblFleet[Date],$A271,tblFleet[Equipment_Class],"Excavator")</f>
        <v/>
      </c>
      <c r="BL271" s="57">
        <f>IF($B271=$B270,$BL270,0)+$BK271</f>
        <v/>
      </c>
      <c r="BM271" s="57">
        <f>$BM270+$BK271</f>
        <v/>
      </c>
      <c r="BN271" s="57">
        <f>SUMIFS(tblFleet[Operating_h],tblFleet[Date],$A271,tblFleet[Equipment_Class],"Excavator")</f>
        <v/>
      </c>
      <c r="BO271" s="57">
        <f>IF($B271=$B270,$BO270,0)+$BN271</f>
        <v/>
      </c>
      <c r="BP271" s="57">
        <f>$BP270+$BN271</f>
        <v/>
      </c>
      <c r="BQ271" s="67">
        <f>IFERROR(IF(($BH271)&gt;0,($BK271)/($BH271),""),"")</f>
        <v/>
      </c>
      <c r="BR271" s="67">
        <f>IFERROR(IF(($BI271)&gt;0,($BL271)/($BI271),""),"")</f>
        <v/>
      </c>
      <c r="BS271" s="67">
        <f>IFERROR(IF(($BJ271)&gt;0,($BM271)/($BJ271),""),"")</f>
        <v/>
      </c>
      <c r="BT271" s="67">
        <f>IFERROR(IF(($BK271)&gt;0,($BN271)/($BK271),""),"")</f>
        <v/>
      </c>
      <c r="BU271" s="67">
        <f>IFERROR(IF(($BL271)&gt;0,($BO271)/($BL271),""),"")</f>
        <v/>
      </c>
      <c r="BV271" s="67">
        <f>IFERROR(IF(($BM271)&gt;0,($BP271)/($BM271),""),"")</f>
        <v/>
      </c>
      <c r="BW271" s="57">
        <f>SUMIFS(tblFleet[Calendar_h],tblFleet[Date],$A271,tblFleet[Equipment_Class],"Haul Truck")</f>
        <v/>
      </c>
      <c r="BX271" s="57">
        <f>IF($B271=$B270,$BX270,0)+$BW271</f>
        <v/>
      </c>
      <c r="BY271" s="57">
        <f>$BY270+$BW271</f>
        <v/>
      </c>
      <c r="BZ271" s="57">
        <f>SUMIFS(tblFleet[Available_h],tblFleet[Date],$A271,tblFleet[Equipment_Class],"Haul Truck")</f>
        <v/>
      </c>
      <c r="CA271" s="57">
        <f>IF($B271=$B270,$CA270,0)+$BZ271</f>
        <v/>
      </c>
      <c r="CB271" s="57">
        <f>$CB270+$BZ271</f>
        <v/>
      </c>
      <c r="CC271" s="57">
        <f>SUMIFS(tblFleet[Operating_h],tblFleet[Date],$A271,tblFleet[Equipment_Class],"Haul Truck")</f>
        <v/>
      </c>
      <c r="CD271" s="57">
        <f>IF($B271=$B270,$CD270,0)+$CC271</f>
        <v/>
      </c>
      <c r="CE271" s="57">
        <f>$CE270+$CC271</f>
        <v/>
      </c>
      <c r="CF271" s="67">
        <f>IFERROR(IF(($BW271)&gt;0,($BZ271)/($BW271),""),"")</f>
        <v/>
      </c>
      <c r="CG271" s="67">
        <f>IFERROR(IF(($BX271)&gt;0,($CA271)/($BX271),""),"")</f>
        <v/>
      </c>
      <c r="CH271" s="67">
        <f>IFERROR(IF(($BY271)&gt;0,($CB271)/($BY271),""),"")</f>
        <v/>
      </c>
      <c r="CI271" s="67">
        <f>IFERROR(IF(($BZ271)&gt;0,($CC271)/($BZ271),""),"")</f>
        <v/>
      </c>
      <c r="CJ271" s="67">
        <f>IFERROR(IF(($CA271)&gt;0,($CD271)/($CA271),""),"")</f>
        <v/>
      </c>
      <c r="CK271" s="67">
        <f>IFERROR(IF(($CB271)&gt;0,($CE271)/($CB271),""),"")</f>
        <v/>
      </c>
      <c r="CL271" s="55">
        <f>IFERROR(IF(($BN271)&gt;0,($X271+$AD271)/($BN271),""),"")</f>
        <v/>
      </c>
      <c r="CM271" s="55">
        <f>IFERROR(IF(($BO271)&gt;0,($Y271+$AE271)/($BO271),""),"")</f>
        <v/>
      </c>
      <c r="CN271" s="55">
        <f>IFERROR(IF(($BP271)&gt;0,($Z271+$AF271)/($BP271),""),"")</f>
        <v/>
      </c>
      <c r="CO271" s="55">
        <f>IFERROR(IF(($CC271)&gt;0,($X271+$AD271)/($CC271),""),"")</f>
        <v/>
      </c>
      <c r="CP271" s="55">
        <f>IFERROR(IF(($CD271)&gt;0,($Y271+$AE271)/($CD271),""),"")</f>
        <v/>
      </c>
      <c r="CQ271" s="55">
        <f>IFERROR(IF(($CE271)&gt;0,($Z271+$AF271)/($CE271),""),"")</f>
        <v/>
      </c>
      <c r="CR271" s="55">
        <f>SUMIFS(tblPlant[Crushed_t],tblPlant[Date],$A271)</f>
        <v/>
      </c>
      <c r="CS271" s="55">
        <f>IF($B271=$B270,$CS270,0)+$CR271</f>
        <v/>
      </c>
      <c r="CT271" s="55">
        <f>$CT270+$CR271</f>
        <v/>
      </c>
      <c r="CU271" s="55">
        <f>SUMIFS(tblPlant[Milled_t],tblPlant[Date],$A271)</f>
        <v/>
      </c>
      <c r="CV271" s="55">
        <f>IF($B271=$B270,$CV270,0)+$CU271</f>
        <v/>
      </c>
      <c r="CW271" s="55">
        <f>$CW270+$CU271</f>
        <v/>
      </c>
      <c r="CX271" s="55">
        <f>SUMIFS(tblPlant[Feed_oz],tblPlant[Date],$A271)</f>
        <v/>
      </c>
      <c r="CY271" s="55">
        <f>IF($B271=$B270,$CY270,0)+$CX271</f>
        <v/>
      </c>
      <c r="CZ271" s="55">
        <f>$CZ270+$CX271</f>
        <v/>
      </c>
      <c r="DA271" s="55">
        <f>SUMIFS(tblPlant[Tails_oz],tblPlant[Date],$A271)</f>
        <v/>
      </c>
      <c r="DB271" s="55">
        <f>IF($B271=$B270,$DB270,0)+$DA271</f>
        <v/>
      </c>
      <c r="DC271" s="55">
        <f>$DC270+$DA271</f>
        <v/>
      </c>
      <c r="DD271" s="55">
        <f>SUMIFS(tblPlant[Recovered_oz],tblPlant[Date],$A271)</f>
        <v/>
      </c>
      <c r="DE271" s="55">
        <f>IF($B271=$B270,$DE270,0)+$DD271</f>
        <v/>
      </c>
      <c r="DF271" s="55">
        <f>$DF270+$DD271</f>
        <v/>
      </c>
      <c r="DG271" s="55">
        <f>SUMIFS(tblPlant[Milled_t],tblPlant[Date],$A271,tblPlant[Head_Grade_gpt],"&lt;&gt;")</f>
        <v/>
      </c>
      <c r="DH271" s="55">
        <f>IF($B271=$B270,$DH270,0)+$DG271</f>
        <v/>
      </c>
      <c r="DI271" s="55">
        <f>$DI270+$DG271</f>
        <v/>
      </c>
      <c r="DJ271" s="55">
        <f>SUMIFS(tblPlant[Milled_t],tblPlant[Date],$A271,tblPlant[Tails_Grade_gpt],"&lt;&gt;")</f>
        <v/>
      </c>
      <c r="DK271" s="55">
        <f>IF($B271=$B270,$DK270,0)+$DJ271</f>
        <v/>
      </c>
      <c r="DL271" s="55">
        <f>$DL270+$DJ271</f>
        <v/>
      </c>
      <c r="DM271" s="55">
        <f>SUMIFS(tblPlant[Feed_oz],tblPlant[Date],$A271,tblPlant[Tails_Grade_gpt],"&lt;&gt;")</f>
        <v/>
      </c>
      <c r="DN271" s="55">
        <f>IF($B271=$B270,$DN270,0)+$DM271</f>
        <v/>
      </c>
      <c r="DO271" s="55">
        <f>$DO270+$DM271</f>
        <v/>
      </c>
      <c r="DP271" s="55">
        <f>SUMIFS(tblPlant[Milled_t],tblPlant[Date],$A271,tblPlant[Mill_Run_h],"&lt;&gt;")</f>
        <v/>
      </c>
      <c r="DQ271" s="55">
        <f>IF($B271=$B270,$DQ270,0)+$DP271</f>
        <v/>
      </c>
      <c r="DR271" s="55">
        <f>$DR270+$DP271</f>
        <v/>
      </c>
      <c r="DS271" s="56">
        <f>IFERROR(IF(($DG271)&gt;0,($CX271*cfg_TroyOz)/($DG271),""),"")</f>
        <v/>
      </c>
      <c r="DT271" s="56">
        <f>IFERROR(IF(($DH271)&gt;0,($CY271*cfg_TroyOz)/($DH271),""),"")</f>
        <v/>
      </c>
      <c r="DU271" s="56">
        <f>IFERROR(IF(($DI271)&gt;0,($CZ271*cfg_TroyOz)/($DI271),""),"")</f>
        <v/>
      </c>
      <c r="DV271" s="56">
        <f>IFERROR(IF(($DJ271)&gt;0,($DA271*cfg_TroyOz)/($DJ271),""),"")</f>
        <v/>
      </c>
      <c r="DW271" s="56">
        <f>IFERROR(IF(($DK271)&gt;0,($DB271*cfg_TroyOz)/($DK271),""),"")</f>
        <v/>
      </c>
      <c r="DX271" s="56">
        <f>IFERROR(IF(($DL271)&gt;0,($DC271*cfg_TroyOz)/($DL271),""),"")</f>
        <v/>
      </c>
      <c r="DY271" s="67">
        <f>IFERROR(IF(($DM271)&gt;0,($DD271)/($DM271),""),"")</f>
        <v/>
      </c>
      <c r="DZ271" s="67">
        <f>IFERROR(IF(($DN271)&gt;0,($DE271)/($DN271),""),"")</f>
        <v/>
      </c>
      <c r="EA271" s="67">
        <f>IFERROR(IF(($DO271)&gt;0,($DF271)/($DO271),""),"")</f>
        <v/>
      </c>
      <c r="EB271" s="55">
        <f>SUMIFS(tblPlant[Gravity_Gold_oz],tblPlant[Date],$A271)</f>
        <v/>
      </c>
      <c r="EC271" s="55">
        <f>IF($B271=$B270,$EC270,0)+$EB271</f>
        <v/>
      </c>
      <c r="ED271" s="55">
        <f>$ED270+$EB271</f>
        <v/>
      </c>
      <c r="EE271" s="67">
        <f>IFERROR(IF(($DD271)&gt;0,($EB271)/($DD271),""),"")</f>
        <v/>
      </c>
      <c r="EF271" s="67">
        <f>IFERROR(IF(($DE271)&gt;0,($EC271)/($DE271),""),"")</f>
        <v/>
      </c>
      <c r="EG271" s="67">
        <f>IFERROR(IF(($DF271)&gt;0,($ED271)/($DF271),""),"")</f>
        <v/>
      </c>
      <c r="EH271" s="55">
        <f>SUMIFS(tblPlant[Gold_Poured_oz],tblPlant[Date],$A271)</f>
        <v/>
      </c>
      <c r="EI271" s="55">
        <f>IF($B271=$B270,$EI270,0)+$EH271</f>
        <v/>
      </c>
      <c r="EJ271" s="55">
        <f>$EJ270+$EH271</f>
        <v/>
      </c>
      <c r="EK271" s="57">
        <f>SUMIFS(tblPlant[Mill_Run_h],tblPlant[Date],$A271)</f>
        <v/>
      </c>
      <c r="EL271" s="57">
        <f>IF($B271=$B270,$EL270,0)+$EK271</f>
        <v/>
      </c>
      <c r="EM271" s="57">
        <f>$EM270+$EK271</f>
        <v/>
      </c>
      <c r="EN271" s="57">
        <f>SUMIFS(tblPlant[Mill_Planned_Maint_h],tblPlant[Date],$A271)</f>
        <v/>
      </c>
      <c r="EO271" s="57">
        <f>IF($B271=$B270,$EO270,0)+$EN271</f>
        <v/>
      </c>
      <c r="EP271" s="57">
        <f>$EP270+$EN271</f>
        <v/>
      </c>
      <c r="EQ271" s="57">
        <f>SUMIFS(tblPlant[Mill_Unplanned_Down_h],tblPlant[Date],$A271)</f>
        <v/>
      </c>
      <c r="ER271" s="57">
        <f>IF($B271=$B270,$ER270,0)+$EQ271</f>
        <v/>
      </c>
      <c r="ES271" s="57">
        <f>$ES270+$EQ271</f>
        <v/>
      </c>
      <c r="ET271" s="57">
        <f>IF(COUNTIFS(tblPlant[Date],$A271,tblPlant[Mill_Run_h],"&lt;&gt;")+COUNTIFS(tblPlant[Date],$A271,tblPlant[Mill_Planned_Maint_h],"&lt;&gt;")+COUNTIFS(tblPlant[Date],$A271,tblPlant[Mill_Unplanned_Down_h],"&lt;&gt;")&gt;0,cfg_HoursPerDay,0)</f>
        <v/>
      </c>
      <c r="EU271" s="57">
        <f>IF($B271=$B270,$EU270,0)+$ET271</f>
        <v/>
      </c>
      <c r="EV271" s="57">
        <f>$EV270+$ET271</f>
        <v/>
      </c>
      <c r="EW271" s="57">
        <f>SUMIFS(tblPlant[Crusher_Run_h],tblPlant[Date],$A271)</f>
        <v/>
      </c>
      <c r="EX271" s="57">
        <f>IF($B271=$B270,$EX270,0)+$EW271</f>
        <v/>
      </c>
      <c r="EY271" s="57">
        <f>$EY270+$EW271</f>
        <v/>
      </c>
      <c r="EZ271" s="55">
        <f>IFERROR(IF(($EK271)&gt;0,($DP271)/($EK271),""),"")</f>
        <v/>
      </c>
      <c r="FA271" s="55">
        <f>IFERROR(IF(($EL271)&gt;0,($DQ271)/($EL271),""),"")</f>
        <v/>
      </c>
      <c r="FB271" s="55">
        <f>IFERROR(IF(($EM271)&gt;0,($DR271)/($EM271),""),"")</f>
        <v/>
      </c>
      <c r="FC271" s="67">
        <f>IFERROR(IF(($ET271)&gt;0,($ET271-$EN271-$EQ271)/($ET271),""),"")</f>
        <v/>
      </c>
      <c r="FD271" s="67">
        <f>IFERROR(IF(($EU271)&gt;0,($EU271-$EO271-$ER271)/($EU271),""),"")</f>
        <v/>
      </c>
      <c r="FE271" s="67">
        <f>IFERROR(IF(($EV271)&gt;0,($EV271-$EP271-$ES271)/($EV271),""),"")</f>
        <v/>
      </c>
      <c r="FF271" s="67">
        <f>IFERROR(IF(($ET271-$EN271-$EQ271)&gt;0,($EK271)/($ET271-$EN271-$EQ271),""),"")</f>
        <v/>
      </c>
      <c r="FG271" s="67">
        <f>IFERROR(IF(($EU271-$EO271-$ER271)&gt;0,($EL271)/($EU271-$EO271-$ER271),""),"")</f>
        <v/>
      </c>
      <c r="FH271" s="67">
        <f>IFERROR(IF(($EV271-$EP271-$ES271)&gt;0,($EM271)/($EV271-$EP271-$ES271),""),"")</f>
        <v/>
      </c>
      <c r="FI271" s="55">
        <f>SUMIFS(tblPlant[Cyanide_kg],tblPlant[Date],$A271)</f>
        <v/>
      </c>
      <c r="FJ271" s="55">
        <f>IF($B271=$B270,$FJ270,0)+$FI271</f>
        <v/>
      </c>
      <c r="FK271" s="55">
        <f>$FK270+$FI271</f>
        <v/>
      </c>
      <c r="FL271" s="55">
        <f>SUMIFS(tblPlant[Lime_kg],tblPlant[Date],$A271)</f>
        <v/>
      </c>
      <c r="FM271" s="55">
        <f>IF($B271=$B270,$FM270,0)+$FL271</f>
        <v/>
      </c>
      <c r="FN271" s="55">
        <f>$FN270+$FL271</f>
        <v/>
      </c>
      <c r="FO271" s="55">
        <f>SUMIFS(tblPlant[Grinding_Media_kg],tblPlant[Date],$A271)</f>
        <v/>
      </c>
      <c r="FP271" s="55">
        <f>IF($B271=$B270,$FP270,0)+$FO271</f>
        <v/>
      </c>
      <c r="FQ271" s="55">
        <f>$FQ270+$FO271</f>
        <v/>
      </c>
      <c r="FR271" s="55">
        <f>SUMIFS(tblPlant[Power_kWh],tblPlant[Date],$A271)</f>
        <v/>
      </c>
      <c r="FS271" s="55">
        <f>IF($B271=$B270,$FS270,0)+$FR271</f>
        <v/>
      </c>
      <c r="FT271" s="55">
        <f>$FT270+$FR271</f>
        <v/>
      </c>
      <c r="FU271" s="55">
        <f>SUMIFS(tblPlant[Raw_Water_m3],tblPlant[Date],$A271)</f>
        <v/>
      </c>
      <c r="FV271" s="55">
        <f>IF($B271=$B270,$FV270,0)+$FU271</f>
        <v/>
      </c>
      <c r="FW271" s="55">
        <f>$FW270+$FU271</f>
        <v/>
      </c>
      <c r="FX271" s="56">
        <f>IFERROR(IF(($CU271)&gt;0,($FI271)/($CU271),""),"")</f>
        <v/>
      </c>
      <c r="FY271" s="56">
        <f>IFERROR(IF(($CV271)&gt;0,($FJ271)/($CV271),""),"")</f>
        <v/>
      </c>
      <c r="FZ271" s="56">
        <f>IFERROR(IF(($CW271)&gt;0,($FK271)/($CW271),""),"")</f>
        <v/>
      </c>
      <c r="GA271" s="56">
        <f>IFERROR(IF(($CU271)&gt;0,($FL271)/($CU271),""),"")</f>
        <v/>
      </c>
      <c r="GB271" s="56">
        <f>IFERROR(IF(($CV271)&gt;0,($FM271)/($CV271),""),"")</f>
        <v/>
      </c>
      <c r="GC271" s="56">
        <f>IFERROR(IF(($CW271)&gt;0,($FN271)/($CW271),""),"")</f>
        <v/>
      </c>
      <c r="GD271" s="56">
        <f>IFERROR(IF(($CU271)&gt;0,($FO271)/($CU271),""),"")</f>
        <v/>
      </c>
      <c r="GE271" s="56">
        <f>IFERROR(IF(($CV271)&gt;0,($FP271)/($CV271),""),"")</f>
        <v/>
      </c>
      <c r="GF271" s="56">
        <f>IFERROR(IF(($CW271)&gt;0,($FQ271)/($CW271),""),"")</f>
        <v/>
      </c>
      <c r="GG271" s="79">
        <f>IFERROR(IF(($CU271)&gt;0,($FR271)/($CU271),""),"")</f>
        <v/>
      </c>
      <c r="GH271" s="79">
        <f>IFERROR(IF(($CV271)&gt;0,($FS271)/($CV271),""),"")</f>
        <v/>
      </c>
      <c r="GI271" s="79">
        <f>IFERROR(IF(($CW271)&gt;0,($FT271)/($CW271),""),"")</f>
        <v/>
      </c>
      <c r="GJ271" s="56">
        <f>IFERROR(IF(($CU271)&gt;0,($FU271)/($CU271),""),"")</f>
        <v/>
      </c>
      <c r="GK271" s="56">
        <f>IFERROR(IF(($CV271)&gt;0,($FV271)/($CV271),""),"")</f>
        <v/>
      </c>
      <c r="GL271" s="56">
        <f>IFERROR(IF(($CW271)&gt;0,($FW271)/($CW271),""),"")</f>
        <v/>
      </c>
      <c r="GM271" s="55">
        <f>IF(SUMIFS(tblPlant[GIC_oz],tblPlant[Date],$A271)&gt;0,SUMIFS(tblPlant[GIC_oz],tblPlant[Date],$A271),"")</f>
        <v/>
      </c>
      <c r="GN271" s="55">
        <f>SUMIFS(tblGold[Gold_oz],tblGold[Date],$A271,tblGold[Type],"Shipment")</f>
        <v/>
      </c>
      <c r="GO271" s="55">
        <f>IF($B271=$B270,$GO270,0)+$GN271</f>
        <v/>
      </c>
      <c r="GP271" s="55">
        <f>$GP270+$GN271</f>
        <v/>
      </c>
      <c r="GQ271" s="55">
        <f>SUMIFS(tblGold[Gold_oz],tblGold[Date],$A271,tblGold[Type],"Sale")</f>
        <v/>
      </c>
      <c r="GR271" s="55">
        <f>IF($B271=$B270,$GR270,0)+$GQ271</f>
        <v/>
      </c>
      <c r="GS271" s="55">
        <f>$GS270+$GQ271</f>
        <v/>
      </c>
      <c r="GT271" s="55">
        <f>SUMIFS(tblGold[Dore_kg],tblGold[Date],$A271,tblGold[Type],"Shipment")</f>
        <v/>
      </c>
      <c r="GU271" s="55">
        <f>IF($B271=$B270,$GU270,0)+$GT271</f>
        <v/>
      </c>
      <c r="GV271" s="55">
        <f>$GV270+$GT271</f>
        <v/>
      </c>
      <c r="GW271" s="57">
        <f>SUMIFS(tblSafety[Hours_Total],tblSafety[Date],$A271)</f>
        <v/>
      </c>
      <c r="GX271" s="57">
        <f>IF($B271=$B270,$GX270,0)+$GW271</f>
        <v/>
      </c>
      <c r="GY271" s="57">
        <f>$GY270+$GW271</f>
        <v/>
      </c>
      <c r="GZ271" s="62">
        <f>SUMIFS(tblSafety[Fatality],tblSafety[Date],$A271)</f>
        <v/>
      </c>
      <c r="HA271" s="62">
        <f>IF($B271=$B270,$HA270,0)+$GZ271</f>
        <v/>
      </c>
      <c r="HB271" s="62">
        <f>$HB270+$GZ271</f>
        <v/>
      </c>
      <c r="HC271" s="62">
        <f>SUMIFS(tblSafety[LTI],tblSafety[Date],$A271)</f>
        <v/>
      </c>
      <c r="HD271" s="62">
        <f>IF($B271=$B270,$HD270,0)+$HC271</f>
        <v/>
      </c>
      <c r="HE271" s="62">
        <f>$HE270+$HC271</f>
        <v/>
      </c>
      <c r="HF271" s="62">
        <f>SUMIFS(tblSafety[RWI],tblSafety[Date],$A271)</f>
        <v/>
      </c>
      <c r="HG271" s="62">
        <f>IF($B271=$B270,$HG270,0)+$HF271</f>
        <v/>
      </c>
      <c r="HH271" s="62">
        <f>$HH270+$HF271</f>
        <v/>
      </c>
      <c r="HI271" s="62">
        <f>SUMIFS(tblSafety[MTI],tblSafety[Date],$A271)</f>
        <v/>
      </c>
      <c r="HJ271" s="62">
        <f>IF($B271=$B270,$HJ270,0)+$HI271</f>
        <v/>
      </c>
      <c r="HK271" s="62">
        <f>$HK270+$HI271</f>
        <v/>
      </c>
      <c r="HL271" s="62">
        <f>SUMIFS(tblSafety[FAI],tblSafety[Date],$A271)</f>
        <v/>
      </c>
      <c r="HM271" s="62">
        <f>IF($B271=$B270,$HM270,0)+$HL271</f>
        <v/>
      </c>
      <c r="HN271" s="62">
        <f>$HN270+$HL271</f>
        <v/>
      </c>
      <c r="HO271" s="62">
        <f>SUMIFS(tblSafety[Recordables],tblSafety[Date],$A271)</f>
        <v/>
      </c>
      <c r="HP271" s="62">
        <f>IF($B271=$B270,$HP270,0)+$HO271</f>
        <v/>
      </c>
      <c r="HQ271" s="62">
        <f>$HQ270+$HO271</f>
        <v/>
      </c>
      <c r="HR271" s="62">
        <f>SUMIFS(tblSafety[Near_Miss],tblSafety[Date],$A271)</f>
        <v/>
      </c>
      <c r="HS271" s="62">
        <f>IF($B271=$B270,$HS270,0)+$HR271</f>
        <v/>
      </c>
      <c r="HT271" s="62">
        <f>$HT270+$HR271</f>
        <v/>
      </c>
      <c r="HU271" s="62">
        <f>SUMIFS(tblSafety[Hazard_Reports],tblSafety[Date],$A271)</f>
        <v/>
      </c>
      <c r="HV271" s="62">
        <f>IF($B271=$B270,$HV270,0)+$HU271</f>
        <v/>
      </c>
      <c r="HW271" s="62">
        <f>$HW270+$HU271</f>
        <v/>
      </c>
      <c r="HX271" s="62">
        <f>SUMIFS(tblSafety[HPI],tblSafety[Date],$A271)</f>
        <v/>
      </c>
      <c r="HY271" s="62">
        <f>IF($B271=$B270,$HY270,0)+$HX271</f>
        <v/>
      </c>
      <c r="HZ271" s="62">
        <f>$HZ270+$HX271</f>
        <v/>
      </c>
      <c r="IA271" s="62">
        <f>SUMIFS(tblSafety[Env_Incidents],tblSafety[Date],$A271)</f>
        <v/>
      </c>
      <c r="IB271" s="62">
        <f>IF($B271=$B270,$IB270,0)+$IA271</f>
        <v/>
      </c>
      <c r="IC271" s="62">
        <f>$IC270+$IA271</f>
        <v/>
      </c>
      <c r="ID271" s="62">
        <f>SUMIFS(tblSafety[Community_Incidents],tblSafety[Date],$A271)</f>
        <v/>
      </c>
      <c r="IE271" s="62">
        <f>IF($B271=$B270,$IE270,0)+$ID271</f>
        <v/>
      </c>
      <c r="IF271" s="62">
        <f>$IF270+$ID271</f>
        <v/>
      </c>
      <c r="IG271" s="62">
        <f>SUMIFS(tblSafety[Vehicle_Incidents],tblSafety[Date],$A271)</f>
        <v/>
      </c>
      <c r="IH271" s="62">
        <f>IF($B271=$B270,$IH270,0)+$IG271</f>
        <v/>
      </c>
      <c r="II271" s="62">
        <f>$II270+$IG271</f>
        <v/>
      </c>
      <c r="IJ271" s="62">
        <f>SUMIFS(tblSafety[Toolbox_Talks],tblSafety[Date],$A271)</f>
        <v/>
      </c>
      <c r="IK271" s="62">
        <f>IF($B271=$B270,$IK270,0)+$IJ271</f>
        <v/>
      </c>
      <c r="IL271" s="62">
        <f>$IL270+$IJ271</f>
        <v/>
      </c>
      <c r="IM271" s="62">
        <f>SUMIFS(tblSafety[Inspections],tblSafety[Date],$A271)</f>
        <v/>
      </c>
      <c r="IN271" s="62">
        <f>IF($B271=$B270,$IN270,0)+$IM271</f>
        <v/>
      </c>
      <c r="IO271" s="62">
        <f>$IO270+$IM271</f>
        <v/>
      </c>
      <c r="IP271" s="56">
        <f>IFERROR((SUMIFS(tblSafety[Recordables],tblSafety[Date],"&gt;="&amp;EDATE($E271,-12),tblSafety[Date],"&lt;="&amp;$A271)+SUMIFS(tblSafetyHistory[Recordables],tblSafetyHistory[Month],"&gt;="&amp;EDATE($E271,-12),tblSafetyHistory[Month],"&lt;"&amp;$E271,tblSafetyHistory[Use],1))/(SUMIFS(tblSafety[Hours_Total],tblSafety[Date],"&gt;="&amp;EDATE($E271,-12),tblSafety[Date],"&lt;="&amp;$A271)+SUMIFS(tblSafetyHistory[Hours_Total],tblSafetyHistory[Month],"&gt;="&amp;EDATE($E271,-12),tblSafetyHistory[Month],"&lt;"&amp;$E271,tblSafetyHistory[Use],1))*cfg_RateBasisHours,"")</f>
        <v/>
      </c>
      <c r="IQ271" s="56">
        <f>IFERROR((SUMIFS(tblSafety[LTI],tblSafety[Date],"&gt;="&amp;EDATE($E271,-12),tblSafety[Date],"&lt;="&amp;$A271)+SUMIFS(tblSafetyHistory[LTI],tblSafetyHistory[Month],"&gt;="&amp;EDATE($E271,-12),tblSafetyHistory[Month],"&lt;"&amp;$E271,tblSafetyHistory[Use],1))/(SUMIFS(tblSafety[Hours_Total],tblSafety[Date],"&gt;="&amp;EDATE($E271,-12),tblSafety[Date],"&lt;="&amp;$A271)+SUMIFS(tblSafetyHistory[Hours_Total],tblSafetyHistory[Month],"&gt;="&amp;EDATE($E271,-12),tblSafetyHistory[Month],"&lt;"&amp;$E271,tblSafetyHistory[Use],1))*cfg_RateBasisHours,"")</f>
        <v/>
      </c>
      <c r="IR271" s="62">
        <f>IF(MAX(N(cfg_PriorLTIDate),_xlfn.MAXIFS(tblSafety[Date],tblSafety[LTI],"&gt;0",tblSafety[Date],"&lt;="&amp;$A271))=0,"",$A271-MAX(N(cfg_PriorLTIDate),_xlfn.MAXIFS(tblSafety[Date],tblSafety[LTI],"&gt;0",tblSafety[Date],"&lt;="&amp;$A271)))</f>
        <v/>
      </c>
      <c r="IS271" s="55">
        <f>SUMIFS(tblBudget[Ore_Mined_t],tblBudget[Month],$E271)</f>
        <v/>
      </c>
      <c r="IT271" s="55">
        <f>$IS271*$C271/$D271</f>
        <v/>
      </c>
      <c r="IU271" s="55">
        <f>SUMIFS(tblBudget[Ore_Mined_t],tblBudget[Month],"&lt;"&amp;$E271)+$IT271</f>
        <v/>
      </c>
      <c r="IV271" s="55">
        <f>SUMIFS(tblBudget[Ore_oz],tblBudget[Month],$E271)</f>
        <v/>
      </c>
      <c r="IW271" s="55">
        <f>$IV271*$C271/$D271</f>
        <v/>
      </c>
      <c r="IX271" s="55">
        <f>SUMIFS(tblBudget[Ore_oz],tblBudget[Month],"&lt;"&amp;$E271)+$IW271</f>
        <v/>
      </c>
      <c r="IY271" s="55">
        <f>SUMIFS(tblBudget[Ore_Mined_t],tblBudget[Month],$E271)</f>
        <v/>
      </c>
      <c r="IZ271" s="55">
        <f>$IY271*$C271/$D271</f>
        <v/>
      </c>
      <c r="JA271" s="55">
        <f>SUMIFS(tblBudget[Ore_Mined_t],tblBudget[Month],"&lt;"&amp;$E271)+$IZ271</f>
        <v/>
      </c>
      <c r="JB271" s="56">
        <f>IFERROR(IF(($IY271)&gt;0,($IV271*cfg_TroyOz)/($IY271),""),"")</f>
        <v/>
      </c>
      <c r="JC271" s="56">
        <f>IFERROR(IF(($IZ271)&gt;0,($IW271*cfg_TroyOz)/($IZ271),""),"")</f>
        <v/>
      </c>
      <c r="JD271" s="56">
        <f>IFERROR(IF(($JA271)&gt;0,($IX271*cfg_TroyOz)/($JA271),""),"")</f>
        <v/>
      </c>
      <c r="JE271" s="55">
        <f>SUMIFS(tblBudget[Waste_t],tblBudget[Month],$E271)</f>
        <v/>
      </c>
      <c r="JF271" s="55">
        <f>$JE271*$C271/$D271</f>
        <v/>
      </c>
      <c r="JG271" s="55">
        <f>SUMIFS(tblBudget[Waste_t],tblBudget[Month],"&lt;"&amp;$E271)+$JF271</f>
        <v/>
      </c>
      <c r="JH271" s="55">
        <f>SUMIFS(tblBudget[TMM_t],tblBudget[Month],$E271)</f>
        <v/>
      </c>
      <c r="JI271" s="55">
        <f>$JH271*$C271/$D271</f>
        <v/>
      </c>
      <c r="JJ271" s="55">
        <f>SUMIFS(tblBudget[TMM_t],tblBudget[Month],"&lt;"&amp;$E271)+$JI271</f>
        <v/>
      </c>
      <c r="JK271" s="56">
        <f>IFERROR(IF(($IS271)&gt;0,($JE271)/($IS271),""),"")</f>
        <v/>
      </c>
      <c r="JL271" s="56">
        <f>IFERROR(IF(($IT271)&gt;0,($JF271)/($IT271),""),"")</f>
        <v/>
      </c>
      <c r="JM271" s="56">
        <f>IFERROR(IF(($IU271)&gt;0,($JG271)/($IU271),""),"")</f>
        <v/>
      </c>
      <c r="JN271" s="55">
        <f>SUMIFS(tblBudget[Drill_m],tblBudget[Month],$E271)</f>
        <v/>
      </c>
      <c r="JO271" s="55">
        <f>$JN271*$C271/$D271</f>
        <v/>
      </c>
      <c r="JP271" s="55">
        <f>SUMIFS(tblBudget[Drill_m],tblBudget[Month],"&lt;"&amp;$E271)+$JO271</f>
        <v/>
      </c>
      <c r="JQ271" s="55">
        <f>SUMIFS(tblBudget[Diesel_L],tblBudget[Month],$E271)</f>
        <v/>
      </c>
      <c r="JR271" s="55">
        <f>$JQ271*$C271/$D271</f>
        <v/>
      </c>
      <c r="JS271" s="55">
        <f>SUMIFS(tblBudget[Diesel_L],tblBudget[Month],"&lt;"&amp;$E271)+$JR271</f>
        <v/>
      </c>
      <c r="JT271" s="55">
        <f>SUMIFS(tblBudget[Milled_t],tblBudget[Month],$E271)</f>
        <v/>
      </c>
      <c r="JU271" s="55">
        <f>$JT271*$C271/$D271</f>
        <v/>
      </c>
      <c r="JV271" s="55">
        <f>SUMIFS(tblBudget[Milled_t],tblBudget[Month],"&lt;"&amp;$E271)+$JU271</f>
        <v/>
      </c>
      <c r="JW271" s="55">
        <f>SUMIFS(tblBudget[Feed_oz],tblBudget[Month],$E271)</f>
        <v/>
      </c>
      <c r="JX271" s="55">
        <f>$JW271*$C271/$D271</f>
        <v/>
      </c>
      <c r="JY271" s="55">
        <f>SUMIFS(tblBudget[Feed_oz],tblBudget[Month],"&lt;"&amp;$E271)+$JX271</f>
        <v/>
      </c>
      <c r="JZ271" s="55">
        <f>SUMIFS(tblBudget[Recovered_oz],tblBudget[Month],$E271)</f>
        <v/>
      </c>
      <c r="KA271" s="55">
        <f>$JZ271*$C271/$D271</f>
        <v/>
      </c>
      <c r="KB271" s="55">
        <f>SUMIFS(tblBudget[Recovered_oz],tblBudget[Month],"&lt;"&amp;$E271)+$KA271</f>
        <v/>
      </c>
      <c r="KC271" s="55">
        <f>SUMIFS(tblBudget[Milled_t],tblBudget[Month],$E271)</f>
        <v/>
      </c>
      <c r="KD271" s="55">
        <f>$KC271*$C271/$D271</f>
        <v/>
      </c>
      <c r="KE271" s="55">
        <f>SUMIFS(tblBudget[Milled_t],tblBudget[Month],"&lt;"&amp;$E271)+$KD271</f>
        <v/>
      </c>
      <c r="KF271" s="55">
        <f>SUMIFS(tblBudget[Feed_oz],tblBudget[Month],$E271)</f>
        <v/>
      </c>
      <c r="KG271" s="55">
        <f>$KF271*$C271/$D271</f>
        <v/>
      </c>
      <c r="KH271" s="55">
        <f>SUMIFS(tblBudget[Feed_oz],tblBudget[Month],"&lt;"&amp;$E271)+$KG271</f>
        <v/>
      </c>
      <c r="KI271" s="56">
        <f>IFERROR(IF(($KC271)&gt;0,($JW271*cfg_TroyOz)/($KC271),""),"")</f>
        <v/>
      </c>
      <c r="KJ271" s="56">
        <f>IFERROR(IF(($KD271)&gt;0,($JX271*cfg_TroyOz)/($KD271),""),"")</f>
        <v/>
      </c>
      <c r="KK271" s="56">
        <f>IFERROR(IF(($KE271)&gt;0,($JY271*cfg_TroyOz)/($KE271),""),"")</f>
        <v/>
      </c>
      <c r="KL271" s="67">
        <f>IFERROR(IF(($KF271)&gt;0,($JZ271)/($KF271),""),"")</f>
        <v/>
      </c>
      <c r="KM271" s="67">
        <f>IFERROR(IF(($KG271)&gt;0,($KA271)/($KG271),""),"")</f>
        <v/>
      </c>
      <c r="KN271" s="67">
        <f>IFERROR(IF(($KH271)&gt;0,($KB271)/($KH271),""),"")</f>
        <v/>
      </c>
      <c r="KO271" s="55">
        <f>SUMIFS(tblBudget[Gold_Poured_oz],tblBudget[Month],$E271)</f>
        <v/>
      </c>
      <c r="KP271" s="55">
        <f>$KO271*$C271/$D271</f>
        <v/>
      </c>
      <c r="KQ271" s="55">
        <f>SUMIFS(tblBudget[Gold_Poured_oz],tblBudget[Month],"&lt;"&amp;$E271)+$KP271</f>
        <v/>
      </c>
      <c r="KR271" s="57">
        <f>SUMIFS(tblBudget[Hours_Worked],tblBudget[Month],$E271)</f>
        <v/>
      </c>
      <c r="KS271" s="57">
        <f>$KR271*$C271/$D271</f>
        <v/>
      </c>
      <c r="KT271" s="57">
        <f>SUMIFS(tblBudget[Hours_Worked],tblBudget[Month],"&lt;"&amp;$E271)+$KS271</f>
        <v/>
      </c>
    </row>
    <row r="272">
      <c r="A272" s="54" t="n">
        <v>46293</v>
      </c>
      <c r="B272">
        <f>MONTH($A272)</f>
        <v/>
      </c>
      <c r="C272">
        <f>DAY($A272)</f>
        <v/>
      </c>
      <c r="D272">
        <f>DAY(EOMONTH($A272,0))</f>
        <v/>
      </c>
      <c r="E272" s="54">
        <f>DATE(YEAR($A272),MONTH($A272),1)</f>
        <v/>
      </c>
      <c r="F272" s="55">
        <f>SUMIFS(tblMovement[Tonnes_t],tblMovement[Date],$A272,tblMovement[Is_Ore],1,tblMovement[Source_Type],"Pit")</f>
        <v/>
      </c>
      <c r="G272" s="55">
        <f>IF($B272=$B271,$G271,0)+$F272</f>
        <v/>
      </c>
      <c r="H272" s="55">
        <f>$H271+$F272</f>
        <v/>
      </c>
      <c r="I272" s="55">
        <f>SUMIFS(tblMovement[Ore_oz],tblMovement[Date],$A272,tblMovement[Source_Type],"Pit")</f>
        <v/>
      </c>
      <c r="J272" s="55">
        <f>IF($B272=$B271,$J271,0)+$I272</f>
        <v/>
      </c>
      <c r="K272" s="55">
        <f>$K271+$I272</f>
        <v/>
      </c>
      <c r="L272" s="55">
        <f>SUMIFS(tblMovement[Tonnes_t],tblMovement[Date],$A272,tblMovement[Is_Ore],1,tblMovement[Source_Type],"Pit",tblMovement[Grade_gpt],"&lt;&gt;")</f>
        <v/>
      </c>
      <c r="M272" s="55">
        <f>IF($B272=$B271,$M271,0)+$L272</f>
        <v/>
      </c>
      <c r="N272" s="55">
        <f>$N271+$L272</f>
        <v/>
      </c>
      <c r="O272" s="56">
        <f>IFERROR(IF(($L272)&gt;0,($I272*cfg_TroyOz)/($L272),""),"")</f>
        <v/>
      </c>
      <c r="P272" s="56">
        <f>IFERROR(IF(($M272)&gt;0,($J272*cfg_TroyOz)/($M272),""),"")</f>
        <v/>
      </c>
      <c r="Q272" s="56">
        <f>IFERROR(IF(($N272)&gt;0,($K272*cfg_TroyOz)/($N272),""),"")</f>
        <v/>
      </c>
      <c r="R272" s="55">
        <f>$F272-$L272</f>
        <v/>
      </c>
      <c r="S272" s="55">
        <f>IF($B272=$B271,$S271,0)+$R272</f>
        <v/>
      </c>
      <c r="T272" s="55">
        <f>$T271+$R272</f>
        <v/>
      </c>
      <c r="U272" s="55">
        <f>SUMIFS(tblMovement[Tonnes_t],tblMovement[Date],$A272,tblMovement[Is_Ore],0,tblMovement[Source_Type],"Pit")</f>
        <v/>
      </c>
      <c r="V272" s="55">
        <f>IF($B272=$B271,$V271,0)+$U272</f>
        <v/>
      </c>
      <c r="W272" s="55">
        <f>$W271+$U272</f>
        <v/>
      </c>
      <c r="X272" s="55">
        <f>$F272+$U272</f>
        <v/>
      </c>
      <c r="Y272" s="55">
        <f>IF($B272=$B271,$Y271,0)+$X272</f>
        <v/>
      </c>
      <c r="Z272" s="55">
        <f>$Z271+$X272</f>
        <v/>
      </c>
      <c r="AA272" s="56">
        <f>IFERROR(IF(($F272)&gt;0,($U272)/($F272),""),"")</f>
        <v/>
      </c>
      <c r="AB272" s="56">
        <f>IFERROR(IF(($G272)&gt;0,($V272)/($G272),""),"")</f>
        <v/>
      </c>
      <c r="AC272" s="56">
        <f>IFERROR(IF(($H272)&gt;0,($W272)/($H272),""),"")</f>
        <v/>
      </c>
      <c r="AD272" s="55">
        <f>SUMIFS(tblMovement[Tonnes_t],tblMovement[Date],$A272,tblMovement[Source_Type],"Stockpile")</f>
        <v/>
      </c>
      <c r="AE272" s="55">
        <f>IF($B272=$B271,$AE271,0)+$AD272</f>
        <v/>
      </c>
      <c r="AF272" s="55">
        <f>$AF271+$AD272</f>
        <v/>
      </c>
      <c r="AG272" s="55">
        <f>SUMIFS(tblMovement[Tonnes_t],tblMovement[Date],$A272)</f>
        <v/>
      </c>
      <c r="AH272" s="55">
        <f>IF($B272=$B271,$AH271,0)+$AG272</f>
        <v/>
      </c>
      <c r="AI272" s="55">
        <f>$AI271+$AG272</f>
        <v/>
      </c>
      <c r="AJ272" s="55">
        <f>$AG272-$X272-$AD272</f>
        <v/>
      </c>
      <c r="AK272" s="55">
        <f>IF($B272=$B271,$AK271,0)+$AJ272</f>
        <v/>
      </c>
      <c r="AL272" s="55">
        <f>$AL271+$AJ272</f>
        <v/>
      </c>
      <c r="AM272" s="55">
        <f>SUMIFS(tblMiningDaily[Drill_m],tblMiningDaily[Date],$A272)</f>
        <v/>
      </c>
      <c r="AN272" s="55">
        <f>IF($B272=$B271,$AN271,0)+$AM272</f>
        <v/>
      </c>
      <c r="AO272" s="55">
        <f>$AO271+$AM272</f>
        <v/>
      </c>
      <c r="AP272" s="55">
        <f>SUMIFS(tblMiningDaily[GC_Drill_m],tblMiningDaily[Date],$A272)</f>
        <v/>
      </c>
      <c r="AQ272" s="55">
        <f>IF($B272=$B271,$AQ271,0)+$AP272</f>
        <v/>
      </c>
      <c r="AR272" s="55">
        <f>$AR271+$AP272</f>
        <v/>
      </c>
      <c r="AS272" s="55">
        <f>SUMIFS(tblMiningDaily[Blast_t],tblMiningDaily[Date],$A272)</f>
        <v/>
      </c>
      <c r="AT272" s="55">
        <f>IF($B272=$B271,$AT271,0)+$AS272</f>
        <v/>
      </c>
      <c r="AU272" s="55">
        <f>$AU271+$AS272</f>
        <v/>
      </c>
      <c r="AV272" s="55">
        <f>SUMIFS(tblMiningDaily[Explosives_kg],tblMiningDaily[Date],$A272)</f>
        <v/>
      </c>
      <c r="AW272" s="55">
        <f>IF($B272=$B271,$AW271,0)+$AV272</f>
        <v/>
      </c>
      <c r="AX272" s="55">
        <f>$AX271+$AV272</f>
        <v/>
      </c>
      <c r="AY272" s="56">
        <f>IFERROR(IF(($AS272)&gt;0,($AV272)/($AS272),""),"")</f>
        <v/>
      </c>
      <c r="AZ272" s="56">
        <f>IFERROR(IF(($AT272)&gt;0,($AW272)/($AT272),""),"")</f>
        <v/>
      </c>
      <c r="BA272" s="56">
        <f>IFERROR(IF(($AU272)&gt;0,($AX272)/($AU272),""),"")</f>
        <v/>
      </c>
      <c r="BB272" s="55">
        <f>SUMIFS(tblMiningDaily[Diesel_L],tblMiningDaily[Date],$A272)</f>
        <v/>
      </c>
      <c r="BC272" s="55">
        <f>IF($B272=$B271,$BC271,0)+$BB272</f>
        <v/>
      </c>
      <c r="BD272" s="55">
        <f>$BD271+$BB272</f>
        <v/>
      </c>
      <c r="BE272" s="55">
        <f>SUMIFS(tblMiningDaily[Dewatering_m3],tblMiningDaily[Date],$A272)</f>
        <v/>
      </c>
      <c r="BF272" s="55">
        <f>IF($B272=$B271,$BF271,0)+$BE272</f>
        <v/>
      </c>
      <c r="BG272" s="55">
        <f>$BG271+$BE272</f>
        <v/>
      </c>
      <c r="BH272" s="57">
        <f>SUMIFS(tblFleet[Calendar_h],tblFleet[Date],$A272,tblFleet[Equipment_Class],"Excavator")</f>
        <v/>
      </c>
      <c r="BI272" s="57">
        <f>IF($B272=$B271,$BI271,0)+$BH272</f>
        <v/>
      </c>
      <c r="BJ272" s="57">
        <f>$BJ271+$BH272</f>
        <v/>
      </c>
      <c r="BK272" s="57">
        <f>SUMIFS(tblFleet[Available_h],tblFleet[Date],$A272,tblFleet[Equipment_Class],"Excavator")</f>
        <v/>
      </c>
      <c r="BL272" s="57">
        <f>IF($B272=$B271,$BL271,0)+$BK272</f>
        <v/>
      </c>
      <c r="BM272" s="57">
        <f>$BM271+$BK272</f>
        <v/>
      </c>
      <c r="BN272" s="57">
        <f>SUMIFS(tblFleet[Operating_h],tblFleet[Date],$A272,tblFleet[Equipment_Class],"Excavator")</f>
        <v/>
      </c>
      <c r="BO272" s="57">
        <f>IF($B272=$B271,$BO271,0)+$BN272</f>
        <v/>
      </c>
      <c r="BP272" s="57">
        <f>$BP271+$BN272</f>
        <v/>
      </c>
      <c r="BQ272" s="67">
        <f>IFERROR(IF(($BH272)&gt;0,($BK272)/($BH272),""),"")</f>
        <v/>
      </c>
      <c r="BR272" s="67">
        <f>IFERROR(IF(($BI272)&gt;0,($BL272)/($BI272),""),"")</f>
        <v/>
      </c>
      <c r="BS272" s="67">
        <f>IFERROR(IF(($BJ272)&gt;0,($BM272)/($BJ272),""),"")</f>
        <v/>
      </c>
      <c r="BT272" s="67">
        <f>IFERROR(IF(($BK272)&gt;0,($BN272)/($BK272),""),"")</f>
        <v/>
      </c>
      <c r="BU272" s="67">
        <f>IFERROR(IF(($BL272)&gt;0,($BO272)/($BL272),""),"")</f>
        <v/>
      </c>
      <c r="BV272" s="67">
        <f>IFERROR(IF(($BM272)&gt;0,($BP272)/($BM272),""),"")</f>
        <v/>
      </c>
      <c r="BW272" s="57">
        <f>SUMIFS(tblFleet[Calendar_h],tblFleet[Date],$A272,tblFleet[Equipment_Class],"Haul Truck")</f>
        <v/>
      </c>
      <c r="BX272" s="57">
        <f>IF($B272=$B271,$BX271,0)+$BW272</f>
        <v/>
      </c>
      <c r="BY272" s="57">
        <f>$BY271+$BW272</f>
        <v/>
      </c>
      <c r="BZ272" s="57">
        <f>SUMIFS(tblFleet[Available_h],tblFleet[Date],$A272,tblFleet[Equipment_Class],"Haul Truck")</f>
        <v/>
      </c>
      <c r="CA272" s="57">
        <f>IF($B272=$B271,$CA271,0)+$BZ272</f>
        <v/>
      </c>
      <c r="CB272" s="57">
        <f>$CB271+$BZ272</f>
        <v/>
      </c>
      <c r="CC272" s="57">
        <f>SUMIFS(tblFleet[Operating_h],tblFleet[Date],$A272,tblFleet[Equipment_Class],"Haul Truck")</f>
        <v/>
      </c>
      <c r="CD272" s="57">
        <f>IF($B272=$B271,$CD271,0)+$CC272</f>
        <v/>
      </c>
      <c r="CE272" s="57">
        <f>$CE271+$CC272</f>
        <v/>
      </c>
      <c r="CF272" s="67">
        <f>IFERROR(IF(($BW272)&gt;0,($BZ272)/($BW272),""),"")</f>
        <v/>
      </c>
      <c r="CG272" s="67">
        <f>IFERROR(IF(($BX272)&gt;0,($CA272)/($BX272),""),"")</f>
        <v/>
      </c>
      <c r="CH272" s="67">
        <f>IFERROR(IF(($BY272)&gt;0,($CB272)/($BY272),""),"")</f>
        <v/>
      </c>
      <c r="CI272" s="67">
        <f>IFERROR(IF(($BZ272)&gt;0,($CC272)/($BZ272),""),"")</f>
        <v/>
      </c>
      <c r="CJ272" s="67">
        <f>IFERROR(IF(($CA272)&gt;0,($CD272)/($CA272),""),"")</f>
        <v/>
      </c>
      <c r="CK272" s="67">
        <f>IFERROR(IF(($CB272)&gt;0,($CE272)/($CB272),""),"")</f>
        <v/>
      </c>
      <c r="CL272" s="55">
        <f>IFERROR(IF(($BN272)&gt;0,($X272+$AD272)/($BN272),""),"")</f>
        <v/>
      </c>
      <c r="CM272" s="55">
        <f>IFERROR(IF(($BO272)&gt;0,($Y272+$AE272)/($BO272),""),"")</f>
        <v/>
      </c>
      <c r="CN272" s="55">
        <f>IFERROR(IF(($BP272)&gt;0,($Z272+$AF272)/($BP272),""),"")</f>
        <v/>
      </c>
      <c r="CO272" s="55">
        <f>IFERROR(IF(($CC272)&gt;0,($X272+$AD272)/($CC272),""),"")</f>
        <v/>
      </c>
      <c r="CP272" s="55">
        <f>IFERROR(IF(($CD272)&gt;0,($Y272+$AE272)/($CD272),""),"")</f>
        <v/>
      </c>
      <c r="CQ272" s="55">
        <f>IFERROR(IF(($CE272)&gt;0,($Z272+$AF272)/($CE272),""),"")</f>
        <v/>
      </c>
      <c r="CR272" s="55">
        <f>SUMIFS(tblPlant[Crushed_t],tblPlant[Date],$A272)</f>
        <v/>
      </c>
      <c r="CS272" s="55">
        <f>IF($B272=$B271,$CS271,0)+$CR272</f>
        <v/>
      </c>
      <c r="CT272" s="55">
        <f>$CT271+$CR272</f>
        <v/>
      </c>
      <c r="CU272" s="55">
        <f>SUMIFS(tblPlant[Milled_t],tblPlant[Date],$A272)</f>
        <v/>
      </c>
      <c r="CV272" s="55">
        <f>IF($B272=$B271,$CV271,0)+$CU272</f>
        <v/>
      </c>
      <c r="CW272" s="55">
        <f>$CW271+$CU272</f>
        <v/>
      </c>
      <c r="CX272" s="55">
        <f>SUMIFS(tblPlant[Feed_oz],tblPlant[Date],$A272)</f>
        <v/>
      </c>
      <c r="CY272" s="55">
        <f>IF($B272=$B271,$CY271,0)+$CX272</f>
        <v/>
      </c>
      <c r="CZ272" s="55">
        <f>$CZ271+$CX272</f>
        <v/>
      </c>
      <c r="DA272" s="55">
        <f>SUMIFS(tblPlant[Tails_oz],tblPlant[Date],$A272)</f>
        <v/>
      </c>
      <c r="DB272" s="55">
        <f>IF($B272=$B271,$DB271,0)+$DA272</f>
        <v/>
      </c>
      <c r="DC272" s="55">
        <f>$DC271+$DA272</f>
        <v/>
      </c>
      <c r="DD272" s="55">
        <f>SUMIFS(tblPlant[Recovered_oz],tblPlant[Date],$A272)</f>
        <v/>
      </c>
      <c r="DE272" s="55">
        <f>IF($B272=$B271,$DE271,0)+$DD272</f>
        <v/>
      </c>
      <c r="DF272" s="55">
        <f>$DF271+$DD272</f>
        <v/>
      </c>
      <c r="DG272" s="55">
        <f>SUMIFS(tblPlant[Milled_t],tblPlant[Date],$A272,tblPlant[Head_Grade_gpt],"&lt;&gt;")</f>
        <v/>
      </c>
      <c r="DH272" s="55">
        <f>IF($B272=$B271,$DH271,0)+$DG272</f>
        <v/>
      </c>
      <c r="DI272" s="55">
        <f>$DI271+$DG272</f>
        <v/>
      </c>
      <c r="DJ272" s="55">
        <f>SUMIFS(tblPlant[Milled_t],tblPlant[Date],$A272,tblPlant[Tails_Grade_gpt],"&lt;&gt;")</f>
        <v/>
      </c>
      <c r="DK272" s="55">
        <f>IF($B272=$B271,$DK271,0)+$DJ272</f>
        <v/>
      </c>
      <c r="DL272" s="55">
        <f>$DL271+$DJ272</f>
        <v/>
      </c>
      <c r="DM272" s="55">
        <f>SUMIFS(tblPlant[Feed_oz],tblPlant[Date],$A272,tblPlant[Tails_Grade_gpt],"&lt;&gt;")</f>
        <v/>
      </c>
      <c r="DN272" s="55">
        <f>IF($B272=$B271,$DN271,0)+$DM272</f>
        <v/>
      </c>
      <c r="DO272" s="55">
        <f>$DO271+$DM272</f>
        <v/>
      </c>
      <c r="DP272" s="55">
        <f>SUMIFS(tblPlant[Milled_t],tblPlant[Date],$A272,tblPlant[Mill_Run_h],"&lt;&gt;")</f>
        <v/>
      </c>
      <c r="DQ272" s="55">
        <f>IF($B272=$B271,$DQ271,0)+$DP272</f>
        <v/>
      </c>
      <c r="DR272" s="55">
        <f>$DR271+$DP272</f>
        <v/>
      </c>
      <c r="DS272" s="56">
        <f>IFERROR(IF(($DG272)&gt;0,($CX272*cfg_TroyOz)/($DG272),""),"")</f>
        <v/>
      </c>
      <c r="DT272" s="56">
        <f>IFERROR(IF(($DH272)&gt;0,($CY272*cfg_TroyOz)/($DH272),""),"")</f>
        <v/>
      </c>
      <c r="DU272" s="56">
        <f>IFERROR(IF(($DI272)&gt;0,($CZ272*cfg_TroyOz)/($DI272),""),"")</f>
        <v/>
      </c>
      <c r="DV272" s="56">
        <f>IFERROR(IF(($DJ272)&gt;0,($DA272*cfg_TroyOz)/($DJ272),""),"")</f>
        <v/>
      </c>
      <c r="DW272" s="56">
        <f>IFERROR(IF(($DK272)&gt;0,($DB272*cfg_TroyOz)/($DK272),""),"")</f>
        <v/>
      </c>
      <c r="DX272" s="56">
        <f>IFERROR(IF(($DL272)&gt;0,($DC272*cfg_TroyOz)/($DL272),""),"")</f>
        <v/>
      </c>
      <c r="DY272" s="67">
        <f>IFERROR(IF(($DM272)&gt;0,($DD272)/($DM272),""),"")</f>
        <v/>
      </c>
      <c r="DZ272" s="67">
        <f>IFERROR(IF(($DN272)&gt;0,($DE272)/($DN272),""),"")</f>
        <v/>
      </c>
      <c r="EA272" s="67">
        <f>IFERROR(IF(($DO272)&gt;0,($DF272)/($DO272),""),"")</f>
        <v/>
      </c>
      <c r="EB272" s="55">
        <f>SUMIFS(tblPlant[Gravity_Gold_oz],tblPlant[Date],$A272)</f>
        <v/>
      </c>
      <c r="EC272" s="55">
        <f>IF($B272=$B271,$EC271,0)+$EB272</f>
        <v/>
      </c>
      <c r="ED272" s="55">
        <f>$ED271+$EB272</f>
        <v/>
      </c>
      <c r="EE272" s="67">
        <f>IFERROR(IF(($DD272)&gt;0,($EB272)/($DD272),""),"")</f>
        <v/>
      </c>
      <c r="EF272" s="67">
        <f>IFERROR(IF(($DE272)&gt;0,($EC272)/($DE272),""),"")</f>
        <v/>
      </c>
      <c r="EG272" s="67">
        <f>IFERROR(IF(($DF272)&gt;0,($ED272)/($DF272),""),"")</f>
        <v/>
      </c>
      <c r="EH272" s="55">
        <f>SUMIFS(tblPlant[Gold_Poured_oz],tblPlant[Date],$A272)</f>
        <v/>
      </c>
      <c r="EI272" s="55">
        <f>IF($B272=$B271,$EI271,0)+$EH272</f>
        <v/>
      </c>
      <c r="EJ272" s="55">
        <f>$EJ271+$EH272</f>
        <v/>
      </c>
      <c r="EK272" s="57">
        <f>SUMIFS(tblPlant[Mill_Run_h],tblPlant[Date],$A272)</f>
        <v/>
      </c>
      <c r="EL272" s="57">
        <f>IF($B272=$B271,$EL271,0)+$EK272</f>
        <v/>
      </c>
      <c r="EM272" s="57">
        <f>$EM271+$EK272</f>
        <v/>
      </c>
      <c r="EN272" s="57">
        <f>SUMIFS(tblPlant[Mill_Planned_Maint_h],tblPlant[Date],$A272)</f>
        <v/>
      </c>
      <c r="EO272" s="57">
        <f>IF($B272=$B271,$EO271,0)+$EN272</f>
        <v/>
      </c>
      <c r="EP272" s="57">
        <f>$EP271+$EN272</f>
        <v/>
      </c>
      <c r="EQ272" s="57">
        <f>SUMIFS(tblPlant[Mill_Unplanned_Down_h],tblPlant[Date],$A272)</f>
        <v/>
      </c>
      <c r="ER272" s="57">
        <f>IF($B272=$B271,$ER271,0)+$EQ272</f>
        <v/>
      </c>
      <c r="ES272" s="57">
        <f>$ES271+$EQ272</f>
        <v/>
      </c>
      <c r="ET272" s="57">
        <f>IF(COUNTIFS(tblPlant[Date],$A272,tblPlant[Mill_Run_h],"&lt;&gt;")+COUNTIFS(tblPlant[Date],$A272,tblPlant[Mill_Planned_Maint_h],"&lt;&gt;")+COUNTIFS(tblPlant[Date],$A272,tblPlant[Mill_Unplanned_Down_h],"&lt;&gt;")&gt;0,cfg_HoursPerDay,0)</f>
        <v/>
      </c>
      <c r="EU272" s="57">
        <f>IF($B272=$B271,$EU271,0)+$ET272</f>
        <v/>
      </c>
      <c r="EV272" s="57">
        <f>$EV271+$ET272</f>
        <v/>
      </c>
      <c r="EW272" s="57">
        <f>SUMIFS(tblPlant[Crusher_Run_h],tblPlant[Date],$A272)</f>
        <v/>
      </c>
      <c r="EX272" s="57">
        <f>IF($B272=$B271,$EX271,0)+$EW272</f>
        <v/>
      </c>
      <c r="EY272" s="57">
        <f>$EY271+$EW272</f>
        <v/>
      </c>
      <c r="EZ272" s="55">
        <f>IFERROR(IF(($EK272)&gt;0,($DP272)/($EK272),""),"")</f>
        <v/>
      </c>
      <c r="FA272" s="55">
        <f>IFERROR(IF(($EL272)&gt;0,($DQ272)/($EL272),""),"")</f>
        <v/>
      </c>
      <c r="FB272" s="55">
        <f>IFERROR(IF(($EM272)&gt;0,($DR272)/($EM272),""),"")</f>
        <v/>
      </c>
      <c r="FC272" s="67">
        <f>IFERROR(IF(($ET272)&gt;0,($ET272-$EN272-$EQ272)/($ET272),""),"")</f>
        <v/>
      </c>
      <c r="FD272" s="67">
        <f>IFERROR(IF(($EU272)&gt;0,($EU272-$EO272-$ER272)/($EU272),""),"")</f>
        <v/>
      </c>
      <c r="FE272" s="67">
        <f>IFERROR(IF(($EV272)&gt;0,($EV272-$EP272-$ES272)/($EV272),""),"")</f>
        <v/>
      </c>
      <c r="FF272" s="67">
        <f>IFERROR(IF(($ET272-$EN272-$EQ272)&gt;0,($EK272)/($ET272-$EN272-$EQ272),""),"")</f>
        <v/>
      </c>
      <c r="FG272" s="67">
        <f>IFERROR(IF(($EU272-$EO272-$ER272)&gt;0,($EL272)/($EU272-$EO272-$ER272),""),"")</f>
        <v/>
      </c>
      <c r="FH272" s="67">
        <f>IFERROR(IF(($EV272-$EP272-$ES272)&gt;0,($EM272)/($EV272-$EP272-$ES272),""),"")</f>
        <v/>
      </c>
      <c r="FI272" s="55">
        <f>SUMIFS(tblPlant[Cyanide_kg],tblPlant[Date],$A272)</f>
        <v/>
      </c>
      <c r="FJ272" s="55">
        <f>IF($B272=$B271,$FJ271,0)+$FI272</f>
        <v/>
      </c>
      <c r="FK272" s="55">
        <f>$FK271+$FI272</f>
        <v/>
      </c>
      <c r="FL272" s="55">
        <f>SUMIFS(tblPlant[Lime_kg],tblPlant[Date],$A272)</f>
        <v/>
      </c>
      <c r="FM272" s="55">
        <f>IF($B272=$B271,$FM271,0)+$FL272</f>
        <v/>
      </c>
      <c r="FN272" s="55">
        <f>$FN271+$FL272</f>
        <v/>
      </c>
      <c r="FO272" s="55">
        <f>SUMIFS(tblPlant[Grinding_Media_kg],tblPlant[Date],$A272)</f>
        <v/>
      </c>
      <c r="FP272" s="55">
        <f>IF($B272=$B271,$FP271,0)+$FO272</f>
        <v/>
      </c>
      <c r="FQ272" s="55">
        <f>$FQ271+$FO272</f>
        <v/>
      </c>
      <c r="FR272" s="55">
        <f>SUMIFS(tblPlant[Power_kWh],tblPlant[Date],$A272)</f>
        <v/>
      </c>
      <c r="FS272" s="55">
        <f>IF($B272=$B271,$FS271,0)+$FR272</f>
        <v/>
      </c>
      <c r="FT272" s="55">
        <f>$FT271+$FR272</f>
        <v/>
      </c>
      <c r="FU272" s="55">
        <f>SUMIFS(tblPlant[Raw_Water_m3],tblPlant[Date],$A272)</f>
        <v/>
      </c>
      <c r="FV272" s="55">
        <f>IF($B272=$B271,$FV271,0)+$FU272</f>
        <v/>
      </c>
      <c r="FW272" s="55">
        <f>$FW271+$FU272</f>
        <v/>
      </c>
      <c r="FX272" s="56">
        <f>IFERROR(IF(($CU272)&gt;0,($FI272)/($CU272),""),"")</f>
        <v/>
      </c>
      <c r="FY272" s="56">
        <f>IFERROR(IF(($CV272)&gt;0,($FJ272)/($CV272),""),"")</f>
        <v/>
      </c>
      <c r="FZ272" s="56">
        <f>IFERROR(IF(($CW272)&gt;0,($FK272)/($CW272),""),"")</f>
        <v/>
      </c>
      <c r="GA272" s="56">
        <f>IFERROR(IF(($CU272)&gt;0,($FL272)/($CU272),""),"")</f>
        <v/>
      </c>
      <c r="GB272" s="56">
        <f>IFERROR(IF(($CV272)&gt;0,($FM272)/($CV272),""),"")</f>
        <v/>
      </c>
      <c r="GC272" s="56">
        <f>IFERROR(IF(($CW272)&gt;0,($FN272)/($CW272),""),"")</f>
        <v/>
      </c>
      <c r="GD272" s="56">
        <f>IFERROR(IF(($CU272)&gt;0,($FO272)/($CU272),""),"")</f>
        <v/>
      </c>
      <c r="GE272" s="56">
        <f>IFERROR(IF(($CV272)&gt;0,($FP272)/($CV272),""),"")</f>
        <v/>
      </c>
      <c r="GF272" s="56">
        <f>IFERROR(IF(($CW272)&gt;0,($FQ272)/($CW272),""),"")</f>
        <v/>
      </c>
      <c r="GG272" s="79">
        <f>IFERROR(IF(($CU272)&gt;0,($FR272)/($CU272),""),"")</f>
        <v/>
      </c>
      <c r="GH272" s="79">
        <f>IFERROR(IF(($CV272)&gt;0,($FS272)/($CV272),""),"")</f>
        <v/>
      </c>
      <c r="GI272" s="79">
        <f>IFERROR(IF(($CW272)&gt;0,($FT272)/($CW272),""),"")</f>
        <v/>
      </c>
      <c r="GJ272" s="56">
        <f>IFERROR(IF(($CU272)&gt;0,($FU272)/($CU272),""),"")</f>
        <v/>
      </c>
      <c r="GK272" s="56">
        <f>IFERROR(IF(($CV272)&gt;0,($FV272)/($CV272),""),"")</f>
        <v/>
      </c>
      <c r="GL272" s="56">
        <f>IFERROR(IF(($CW272)&gt;0,($FW272)/($CW272),""),"")</f>
        <v/>
      </c>
      <c r="GM272" s="55">
        <f>IF(SUMIFS(tblPlant[GIC_oz],tblPlant[Date],$A272)&gt;0,SUMIFS(tblPlant[GIC_oz],tblPlant[Date],$A272),"")</f>
        <v/>
      </c>
      <c r="GN272" s="55">
        <f>SUMIFS(tblGold[Gold_oz],tblGold[Date],$A272,tblGold[Type],"Shipment")</f>
        <v/>
      </c>
      <c r="GO272" s="55">
        <f>IF($B272=$B271,$GO271,0)+$GN272</f>
        <v/>
      </c>
      <c r="GP272" s="55">
        <f>$GP271+$GN272</f>
        <v/>
      </c>
      <c r="GQ272" s="55">
        <f>SUMIFS(tblGold[Gold_oz],tblGold[Date],$A272,tblGold[Type],"Sale")</f>
        <v/>
      </c>
      <c r="GR272" s="55">
        <f>IF($B272=$B271,$GR271,0)+$GQ272</f>
        <v/>
      </c>
      <c r="GS272" s="55">
        <f>$GS271+$GQ272</f>
        <v/>
      </c>
      <c r="GT272" s="55">
        <f>SUMIFS(tblGold[Dore_kg],tblGold[Date],$A272,tblGold[Type],"Shipment")</f>
        <v/>
      </c>
      <c r="GU272" s="55">
        <f>IF($B272=$B271,$GU271,0)+$GT272</f>
        <v/>
      </c>
      <c r="GV272" s="55">
        <f>$GV271+$GT272</f>
        <v/>
      </c>
      <c r="GW272" s="57">
        <f>SUMIFS(tblSafety[Hours_Total],tblSafety[Date],$A272)</f>
        <v/>
      </c>
      <c r="GX272" s="57">
        <f>IF($B272=$B271,$GX271,0)+$GW272</f>
        <v/>
      </c>
      <c r="GY272" s="57">
        <f>$GY271+$GW272</f>
        <v/>
      </c>
      <c r="GZ272" s="62">
        <f>SUMIFS(tblSafety[Fatality],tblSafety[Date],$A272)</f>
        <v/>
      </c>
      <c r="HA272" s="62">
        <f>IF($B272=$B271,$HA271,0)+$GZ272</f>
        <v/>
      </c>
      <c r="HB272" s="62">
        <f>$HB271+$GZ272</f>
        <v/>
      </c>
      <c r="HC272" s="62">
        <f>SUMIFS(tblSafety[LTI],tblSafety[Date],$A272)</f>
        <v/>
      </c>
      <c r="HD272" s="62">
        <f>IF($B272=$B271,$HD271,0)+$HC272</f>
        <v/>
      </c>
      <c r="HE272" s="62">
        <f>$HE271+$HC272</f>
        <v/>
      </c>
      <c r="HF272" s="62">
        <f>SUMIFS(tblSafety[RWI],tblSafety[Date],$A272)</f>
        <v/>
      </c>
      <c r="HG272" s="62">
        <f>IF($B272=$B271,$HG271,0)+$HF272</f>
        <v/>
      </c>
      <c r="HH272" s="62">
        <f>$HH271+$HF272</f>
        <v/>
      </c>
      <c r="HI272" s="62">
        <f>SUMIFS(tblSafety[MTI],tblSafety[Date],$A272)</f>
        <v/>
      </c>
      <c r="HJ272" s="62">
        <f>IF($B272=$B271,$HJ271,0)+$HI272</f>
        <v/>
      </c>
      <c r="HK272" s="62">
        <f>$HK271+$HI272</f>
        <v/>
      </c>
      <c r="HL272" s="62">
        <f>SUMIFS(tblSafety[FAI],tblSafety[Date],$A272)</f>
        <v/>
      </c>
      <c r="HM272" s="62">
        <f>IF($B272=$B271,$HM271,0)+$HL272</f>
        <v/>
      </c>
      <c r="HN272" s="62">
        <f>$HN271+$HL272</f>
        <v/>
      </c>
      <c r="HO272" s="62">
        <f>SUMIFS(tblSafety[Recordables],tblSafety[Date],$A272)</f>
        <v/>
      </c>
      <c r="HP272" s="62">
        <f>IF($B272=$B271,$HP271,0)+$HO272</f>
        <v/>
      </c>
      <c r="HQ272" s="62">
        <f>$HQ271+$HO272</f>
        <v/>
      </c>
      <c r="HR272" s="62">
        <f>SUMIFS(tblSafety[Near_Miss],tblSafety[Date],$A272)</f>
        <v/>
      </c>
      <c r="HS272" s="62">
        <f>IF($B272=$B271,$HS271,0)+$HR272</f>
        <v/>
      </c>
      <c r="HT272" s="62">
        <f>$HT271+$HR272</f>
        <v/>
      </c>
      <c r="HU272" s="62">
        <f>SUMIFS(tblSafety[Hazard_Reports],tblSafety[Date],$A272)</f>
        <v/>
      </c>
      <c r="HV272" s="62">
        <f>IF($B272=$B271,$HV271,0)+$HU272</f>
        <v/>
      </c>
      <c r="HW272" s="62">
        <f>$HW271+$HU272</f>
        <v/>
      </c>
      <c r="HX272" s="62">
        <f>SUMIFS(tblSafety[HPI],tblSafety[Date],$A272)</f>
        <v/>
      </c>
      <c r="HY272" s="62">
        <f>IF($B272=$B271,$HY271,0)+$HX272</f>
        <v/>
      </c>
      <c r="HZ272" s="62">
        <f>$HZ271+$HX272</f>
        <v/>
      </c>
      <c r="IA272" s="62">
        <f>SUMIFS(tblSafety[Env_Incidents],tblSafety[Date],$A272)</f>
        <v/>
      </c>
      <c r="IB272" s="62">
        <f>IF($B272=$B271,$IB271,0)+$IA272</f>
        <v/>
      </c>
      <c r="IC272" s="62">
        <f>$IC271+$IA272</f>
        <v/>
      </c>
      <c r="ID272" s="62">
        <f>SUMIFS(tblSafety[Community_Incidents],tblSafety[Date],$A272)</f>
        <v/>
      </c>
      <c r="IE272" s="62">
        <f>IF($B272=$B271,$IE271,0)+$ID272</f>
        <v/>
      </c>
      <c r="IF272" s="62">
        <f>$IF271+$ID272</f>
        <v/>
      </c>
      <c r="IG272" s="62">
        <f>SUMIFS(tblSafety[Vehicle_Incidents],tblSafety[Date],$A272)</f>
        <v/>
      </c>
      <c r="IH272" s="62">
        <f>IF($B272=$B271,$IH271,0)+$IG272</f>
        <v/>
      </c>
      <c r="II272" s="62">
        <f>$II271+$IG272</f>
        <v/>
      </c>
      <c r="IJ272" s="62">
        <f>SUMIFS(tblSafety[Toolbox_Talks],tblSafety[Date],$A272)</f>
        <v/>
      </c>
      <c r="IK272" s="62">
        <f>IF($B272=$B271,$IK271,0)+$IJ272</f>
        <v/>
      </c>
      <c r="IL272" s="62">
        <f>$IL271+$IJ272</f>
        <v/>
      </c>
      <c r="IM272" s="62">
        <f>SUMIFS(tblSafety[Inspections],tblSafety[Date],$A272)</f>
        <v/>
      </c>
      <c r="IN272" s="62">
        <f>IF($B272=$B271,$IN271,0)+$IM272</f>
        <v/>
      </c>
      <c r="IO272" s="62">
        <f>$IO271+$IM272</f>
        <v/>
      </c>
      <c r="IP272" s="56">
        <f>IFERROR((SUMIFS(tblSafety[Recordables],tblSafety[Date],"&gt;="&amp;EDATE($E272,-12),tblSafety[Date],"&lt;="&amp;$A272)+SUMIFS(tblSafetyHistory[Recordables],tblSafetyHistory[Month],"&gt;="&amp;EDATE($E272,-12),tblSafetyHistory[Month],"&lt;"&amp;$E272,tblSafetyHistory[Use],1))/(SUMIFS(tblSafety[Hours_Total],tblSafety[Date],"&gt;="&amp;EDATE($E272,-12),tblSafety[Date],"&lt;="&amp;$A272)+SUMIFS(tblSafetyHistory[Hours_Total],tblSafetyHistory[Month],"&gt;="&amp;EDATE($E272,-12),tblSafetyHistory[Month],"&lt;"&amp;$E272,tblSafetyHistory[Use],1))*cfg_RateBasisHours,"")</f>
        <v/>
      </c>
      <c r="IQ272" s="56">
        <f>IFERROR((SUMIFS(tblSafety[LTI],tblSafety[Date],"&gt;="&amp;EDATE($E272,-12),tblSafety[Date],"&lt;="&amp;$A272)+SUMIFS(tblSafetyHistory[LTI],tblSafetyHistory[Month],"&gt;="&amp;EDATE($E272,-12),tblSafetyHistory[Month],"&lt;"&amp;$E272,tblSafetyHistory[Use],1))/(SUMIFS(tblSafety[Hours_Total],tblSafety[Date],"&gt;="&amp;EDATE($E272,-12),tblSafety[Date],"&lt;="&amp;$A272)+SUMIFS(tblSafetyHistory[Hours_Total],tblSafetyHistory[Month],"&gt;="&amp;EDATE($E272,-12),tblSafetyHistory[Month],"&lt;"&amp;$E272,tblSafetyHistory[Use],1))*cfg_RateBasisHours,"")</f>
        <v/>
      </c>
      <c r="IR272" s="62">
        <f>IF(MAX(N(cfg_PriorLTIDate),_xlfn.MAXIFS(tblSafety[Date],tblSafety[LTI],"&gt;0",tblSafety[Date],"&lt;="&amp;$A272))=0,"",$A272-MAX(N(cfg_PriorLTIDate),_xlfn.MAXIFS(tblSafety[Date],tblSafety[LTI],"&gt;0",tblSafety[Date],"&lt;="&amp;$A272)))</f>
        <v/>
      </c>
      <c r="IS272" s="55">
        <f>SUMIFS(tblBudget[Ore_Mined_t],tblBudget[Month],$E272)</f>
        <v/>
      </c>
      <c r="IT272" s="55">
        <f>$IS272*$C272/$D272</f>
        <v/>
      </c>
      <c r="IU272" s="55">
        <f>SUMIFS(tblBudget[Ore_Mined_t],tblBudget[Month],"&lt;"&amp;$E272)+$IT272</f>
        <v/>
      </c>
      <c r="IV272" s="55">
        <f>SUMIFS(tblBudget[Ore_oz],tblBudget[Month],$E272)</f>
        <v/>
      </c>
      <c r="IW272" s="55">
        <f>$IV272*$C272/$D272</f>
        <v/>
      </c>
      <c r="IX272" s="55">
        <f>SUMIFS(tblBudget[Ore_oz],tblBudget[Month],"&lt;"&amp;$E272)+$IW272</f>
        <v/>
      </c>
      <c r="IY272" s="55">
        <f>SUMIFS(tblBudget[Ore_Mined_t],tblBudget[Month],$E272)</f>
        <v/>
      </c>
      <c r="IZ272" s="55">
        <f>$IY272*$C272/$D272</f>
        <v/>
      </c>
      <c r="JA272" s="55">
        <f>SUMIFS(tblBudget[Ore_Mined_t],tblBudget[Month],"&lt;"&amp;$E272)+$IZ272</f>
        <v/>
      </c>
      <c r="JB272" s="56">
        <f>IFERROR(IF(($IY272)&gt;0,($IV272*cfg_TroyOz)/($IY272),""),"")</f>
        <v/>
      </c>
      <c r="JC272" s="56">
        <f>IFERROR(IF(($IZ272)&gt;0,($IW272*cfg_TroyOz)/($IZ272),""),"")</f>
        <v/>
      </c>
      <c r="JD272" s="56">
        <f>IFERROR(IF(($JA272)&gt;0,($IX272*cfg_TroyOz)/($JA272),""),"")</f>
        <v/>
      </c>
      <c r="JE272" s="55">
        <f>SUMIFS(tblBudget[Waste_t],tblBudget[Month],$E272)</f>
        <v/>
      </c>
      <c r="JF272" s="55">
        <f>$JE272*$C272/$D272</f>
        <v/>
      </c>
      <c r="JG272" s="55">
        <f>SUMIFS(tblBudget[Waste_t],tblBudget[Month],"&lt;"&amp;$E272)+$JF272</f>
        <v/>
      </c>
      <c r="JH272" s="55">
        <f>SUMIFS(tblBudget[TMM_t],tblBudget[Month],$E272)</f>
        <v/>
      </c>
      <c r="JI272" s="55">
        <f>$JH272*$C272/$D272</f>
        <v/>
      </c>
      <c r="JJ272" s="55">
        <f>SUMIFS(tblBudget[TMM_t],tblBudget[Month],"&lt;"&amp;$E272)+$JI272</f>
        <v/>
      </c>
      <c r="JK272" s="56">
        <f>IFERROR(IF(($IS272)&gt;0,($JE272)/($IS272),""),"")</f>
        <v/>
      </c>
      <c r="JL272" s="56">
        <f>IFERROR(IF(($IT272)&gt;0,($JF272)/($IT272),""),"")</f>
        <v/>
      </c>
      <c r="JM272" s="56">
        <f>IFERROR(IF(($IU272)&gt;0,($JG272)/($IU272),""),"")</f>
        <v/>
      </c>
      <c r="JN272" s="55">
        <f>SUMIFS(tblBudget[Drill_m],tblBudget[Month],$E272)</f>
        <v/>
      </c>
      <c r="JO272" s="55">
        <f>$JN272*$C272/$D272</f>
        <v/>
      </c>
      <c r="JP272" s="55">
        <f>SUMIFS(tblBudget[Drill_m],tblBudget[Month],"&lt;"&amp;$E272)+$JO272</f>
        <v/>
      </c>
      <c r="JQ272" s="55">
        <f>SUMIFS(tblBudget[Diesel_L],tblBudget[Month],$E272)</f>
        <v/>
      </c>
      <c r="JR272" s="55">
        <f>$JQ272*$C272/$D272</f>
        <v/>
      </c>
      <c r="JS272" s="55">
        <f>SUMIFS(tblBudget[Diesel_L],tblBudget[Month],"&lt;"&amp;$E272)+$JR272</f>
        <v/>
      </c>
      <c r="JT272" s="55">
        <f>SUMIFS(tblBudget[Milled_t],tblBudget[Month],$E272)</f>
        <v/>
      </c>
      <c r="JU272" s="55">
        <f>$JT272*$C272/$D272</f>
        <v/>
      </c>
      <c r="JV272" s="55">
        <f>SUMIFS(tblBudget[Milled_t],tblBudget[Month],"&lt;"&amp;$E272)+$JU272</f>
        <v/>
      </c>
      <c r="JW272" s="55">
        <f>SUMIFS(tblBudget[Feed_oz],tblBudget[Month],$E272)</f>
        <v/>
      </c>
      <c r="JX272" s="55">
        <f>$JW272*$C272/$D272</f>
        <v/>
      </c>
      <c r="JY272" s="55">
        <f>SUMIFS(tblBudget[Feed_oz],tblBudget[Month],"&lt;"&amp;$E272)+$JX272</f>
        <v/>
      </c>
      <c r="JZ272" s="55">
        <f>SUMIFS(tblBudget[Recovered_oz],tblBudget[Month],$E272)</f>
        <v/>
      </c>
      <c r="KA272" s="55">
        <f>$JZ272*$C272/$D272</f>
        <v/>
      </c>
      <c r="KB272" s="55">
        <f>SUMIFS(tblBudget[Recovered_oz],tblBudget[Month],"&lt;"&amp;$E272)+$KA272</f>
        <v/>
      </c>
      <c r="KC272" s="55">
        <f>SUMIFS(tblBudget[Milled_t],tblBudget[Month],$E272)</f>
        <v/>
      </c>
      <c r="KD272" s="55">
        <f>$KC272*$C272/$D272</f>
        <v/>
      </c>
      <c r="KE272" s="55">
        <f>SUMIFS(tblBudget[Milled_t],tblBudget[Month],"&lt;"&amp;$E272)+$KD272</f>
        <v/>
      </c>
      <c r="KF272" s="55">
        <f>SUMIFS(tblBudget[Feed_oz],tblBudget[Month],$E272)</f>
        <v/>
      </c>
      <c r="KG272" s="55">
        <f>$KF272*$C272/$D272</f>
        <v/>
      </c>
      <c r="KH272" s="55">
        <f>SUMIFS(tblBudget[Feed_oz],tblBudget[Month],"&lt;"&amp;$E272)+$KG272</f>
        <v/>
      </c>
      <c r="KI272" s="56">
        <f>IFERROR(IF(($KC272)&gt;0,($JW272*cfg_TroyOz)/($KC272),""),"")</f>
        <v/>
      </c>
      <c r="KJ272" s="56">
        <f>IFERROR(IF(($KD272)&gt;0,($JX272*cfg_TroyOz)/($KD272),""),"")</f>
        <v/>
      </c>
      <c r="KK272" s="56">
        <f>IFERROR(IF(($KE272)&gt;0,($JY272*cfg_TroyOz)/($KE272),""),"")</f>
        <v/>
      </c>
      <c r="KL272" s="67">
        <f>IFERROR(IF(($KF272)&gt;0,($JZ272)/($KF272),""),"")</f>
        <v/>
      </c>
      <c r="KM272" s="67">
        <f>IFERROR(IF(($KG272)&gt;0,($KA272)/($KG272),""),"")</f>
        <v/>
      </c>
      <c r="KN272" s="67">
        <f>IFERROR(IF(($KH272)&gt;0,($KB272)/($KH272),""),"")</f>
        <v/>
      </c>
      <c r="KO272" s="55">
        <f>SUMIFS(tblBudget[Gold_Poured_oz],tblBudget[Month],$E272)</f>
        <v/>
      </c>
      <c r="KP272" s="55">
        <f>$KO272*$C272/$D272</f>
        <v/>
      </c>
      <c r="KQ272" s="55">
        <f>SUMIFS(tblBudget[Gold_Poured_oz],tblBudget[Month],"&lt;"&amp;$E272)+$KP272</f>
        <v/>
      </c>
      <c r="KR272" s="57">
        <f>SUMIFS(tblBudget[Hours_Worked],tblBudget[Month],$E272)</f>
        <v/>
      </c>
      <c r="KS272" s="57">
        <f>$KR272*$C272/$D272</f>
        <v/>
      </c>
      <c r="KT272" s="57">
        <f>SUMIFS(tblBudget[Hours_Worked],tblBudget[Month],"&lt;"&amp;$E272)+$KS272</f>
        <v/>
      </c>
    </row>
    <row r="273">
      <c r="A273" s="54" t="n">
        <v>46294</v>
      </c>
      <c r="B273">
        <f>MONTH($A273)</f>
        <v/>
      </c>
      <c r="C273">
        <f>DAY($A273)</f>
        <v/>
      </c>
      <c r="D273">
        <f>DAY(EOMONTH($A273,0))</f>
        <v/>
      </c>
      <c r="E273" s="54">
        <f>DATE(YEAR($A273),MONTH($A273),1)</f>
        <v/>
      </c>
      <c r="F273" s="55">
        <f>SUMIFS(tblMovement[Tonnes_t],tblMovement[Date],$A273,tblMovement[Is_Ore],1,tblMovement[Source_Type],"Pit")</f>
        <v/>
      </c>
      <c r="G273" s="55">
        <f>IF($B273=$B272,$G272,0)+$F273</f>
        <v/>
      </c>
      <c r="H273" s="55">
        <f>$H272+$F273</f>
        <v/>
      </c>
      <c r="I273" s="55">
        <f>SUMIFS(tblMovement[Ore_oz],tblMovement[Date],$A273,tblMovement[Source_Type],"Pit")</f>
        <v/>
      </c>
      <c r="J273" s="55">
        <f>IF($B273=$B272,$J272,0)+$I273</f>
        <v/>
      </c>
      <c r="K273" s="55">
        <f>$K272+$I273</f>
        <v/>
      </c>
      <c r="L273" s="55">
        <f>SUMIFS(tblMovement[Tonnes_t],tblMovement[Date],$A273,tblMovement[Is_Ore],1,tblMovement[Source_Type],"Pit",tblMovement[Grade_gpt],"&lt;&gt;")</f>
        <v/>
      </c>
      <c r="M273" s="55">
        <f>IF($B273=$B272,$M272,0)+$L273</f>
        <v/>
      </c>
      <c r="N273" s="55">
        <f>$N272+$L273</f>
        <v/>
      </c>
      <c r="O273" s="56">
        <f>IFERROR(IF(($L273)&gt;0,($I273*cfg_TroyOz)/($L273),""),"")</f>
        <v/>
      </c>
      <c r="P273" s="56">
        <f>IFERROR(IF(($M273)&gt;0,($J273*cfg_TroyOz)/($M273),""),"")</f>
        <v/>
      </c>
      <c r="Q273" s="56">
        <f>IFERROR(IF(($N273)&gt;0,($K273*cfg_TroyOz)/($N273),""),"")</f>
        <v/>
      </c>
      <c r="R273" s="55">
        <f>$F273-$L273</f>
        <v/>
      </c>
      <c r="S273" s="55">
        <f>IF($B273=$B272,$S272,0)+$R273</f>
        <v/>
      </c>
      <c r="T273" s="55">
        <f>$T272+$R273</f>
        <v/>
      </c>
      <c r="U273" s="55">
        <f>SUMIFS(tblMovement[Tonnes_t],tblMovement[Date],$A273,tblMovement[Is_Ore],0,tblMovement[Source_Type],"Pit")</f>
        <v/>
      </c>
      <c r="V273" s="55">
        <f>IF($B273=$B272,$V272,0)+$U273</f>
        <v/>
      </c>
      <c r="W273" s="55">
        <f>$W272+$U273</f>
        <v/>
      </c>
      <c r="X273" s="55">
        <f>$F273+$U273</f>
        <v/>
      </c>
      <c r="Y273" s="55">
        <f>IF($B273=$B272,$Y272,0)+$X273</f>
        <v/>
      </c>
      <c r="Z273" s="55">
        <f>$Z272+$X273</f>
        <v/>
      </c>
      <c r="AA273" s="56">
        <f>IFERROR(IF(($F273)&gt;0,($U273)/($F273),""),"")</f>
        <v/>
      </c>
      <c r="AB273" s="56">
        <f>IFERROR(IF(($G273)&gt;0,($V273)/($G273),""),"")</f>
        <v/>
      </c>
      <c r="AC273" s="56">
        <f>IFERROR(IF(($H273)&gt;0,($W273)/($H273),""),"")</f>
        <v/>
      </c>
      <c r="AD273" s="55">
        <f>SUMIFS(tblMovement[Tonnes_t],tblMovement[Date],$A273,tblMovement[Source_Type],"Stockpile")</f>
        <v/>
      </c>
      <c r="AE273" s="55">
        <f>IF($B273=$B272,$AE272,0)+$AD273</f>
        <v/>
      </c>
      <c r="AF273" s="55">
        <f>$AF272+$AD273</f>
        <v/>
      </c>
      <c r="AG273" s="55">
        <f>SUMIFS(tblMovement[Tonnes_t],tblMovement[Date],$A273)</f>
        <v/>
      </c>
      <c r="AH273" s="55">
        <f>IF($B273=$B272,$AH272,0)+$AG273</f>
        <v/>
      </c>
      <c r="AI273" s="55">
        <f>$AI272+$AG273</f>
        <v/>
      </c>
      <c r="AJ273" s="55">
        <f>$AG273-$X273-$AD273</f>
        <v/>
      </c>
      <c r="AK273" s="55">
        <f>IF($B273=$B272,$AK272,0)+$AJ273</f>
        <v/>
      </c>
      <c r="AL273" s="55">
        <f>$AL272+$AJ273</f>
        <v/>
      </c>
      <c r="AM273" s="55">
        <f>SUMIFS(tblMiningDaily[Drill_m],tblMiningDaily[Date],$A273)</f>
        <v/>
      </c>
      <c r="AN273" s="55">
        <f>IF($B273=$B272,$AN272,0)+$AM273</f>
        <v/>
      </c>
      <c r="AO273" s="55">
        <f>$AO272+$AM273</f>
        <v/>
      </c>
      <c r="AP273" s="55">
        <f>SUMIFS(tblMiningDaily[GC_Drill_m],tblMiningDaily[Date],$A273)</f>
        <v/>
      </c>
      <c r="AQ273" s="55">
        <f>IF($B273=$B272,$AQ272,0)+$AP273</f>
        <v/>
      </c>
      <c r="AR273" s="55">
        <f>$AR272+$AP273</f>
        <v/>
      </c>
      <c r="AS273" s="55">
        <f>SUMIFS(tblMiningDaily[Blast_t],tblMiningDaily[Date],$A273)</f>
        <v/>
      </c>
      <c r="AT273" s="55">
        <f>IF($B273=$B272,$AT272,0)+$AS273</f>
        <v/>
      </c>
      <c r="AU273" s="55">
        <f>$AU272+$AS273</f>
        <v/>
      </c>
      <c r="AV273" s="55">
        <f>SUMIFS(tblMiningDaily[Explosives_kg],tblMiningDaily[Date],$A273)</f>
        <v/>
      </c>
      <c r="AW273" s="55">
        <f>IF($B273=$B272,$AW272,0)+$AV273</f>
        <v/>
      </c>
      <c r="AX273" s="55">
        <f>$AX272+$AV273</f>
        <v/>
      </c>
      <c r="AY273" s="56">
        <f>IFERROR(IF(($AS273)&gt;0,($AV273)/($AS273),""),"")</f>
        <v/>
      </c>
      <c r="AZ273" s="56">
        <f>IFERROR(IF(($AT273)&gt;0,($AW273)/($AT273),""),"")</f>
        <v/>
      </c>
      <c r="BA273" s="56">
        <f>IFERROR(IF(($AU273)&gt;0,($AX273)/($AU273),""),"")</f>
        <v/>
      </c>
      <c r="BB273" s="55">
        <f>SUMIFS(tblMiningDaily[Diesel_L],tblMiningDaily[Date],$A273)</f>
        <v/>
      </c>
      <c r="BC273" s="55">
        <f>IF($B273=$B272,$BC272,0)+$BB273</f>
        <v/>
      </c>
      <c r="BD273" s="55">
        <f>$BD272+$BB273</f>
        <v/>
      </c>
      <c r="BE273" s="55">
        <f>SUMIFS(tblMiningDaily[Dewatering_m3],tblMiningDaily[Date],$A273)</f>
        <v/>
      </c>
      <c r="BF273" s="55">
        <f>IF($B273=$B272,$BF272,0)+$BE273</f>
        <v/>
      </c>
      <c r="BG273" s="55">
        <f>$BG272+$BE273</f>
        <v/>
      </c>
      <c r="BH273" s="57">
        <f>SUMIFS(tblFleet[Calendar_h],tblFleet[Date],$A273,tblFleet[Equipment_Class],"Excavator")</f>
        <v/>
      </c>
      <c r="BI273" s="57">
        <f>IF($B273=$B272,$BI272,0)+$BH273</f>
        <v/>
      </c>
      <c r="BJ273" s="57">
        <f>$BJ272+$BH273</f>
        <v/>
      </c>
      <c r="BK273" s="57">
        <f>SUMIFS(tblFleet[Available_h],tblFleet[Date],$A273,tblFleet[Equipment_Class],"Excavator")</f>
        <v/>
      </c>
      <c r="BL273" s="57">
        <f>IF($B273=$B272,$BL272,0)+$BK273</f>
        <v/>
      </c>
      <c r="BM273" s="57">
        <f>$BM272+$BK273</f>
        <v/>
      </c>
      <c r="BN273" s="57">
        <f>SUMIFS(tblFleet[Operating_h],tblFleet[Date],$A273,tblFleet[Equipment_Class],"Excavator")</f>
        <v/>
      </c>
      <c r="BO273" s="57">
        <f>IF($B273=$B272,$BO272,0)+$BN273</f>
        <v/>
      </c>
      <c r="BP273" s="57">
        <f>$BP272+$BN273</f>
        <v/>
      </c>
      <c r="BQ273" s="67">
        <f>IFERROR(IF(($BH273)&gt;0,($BK273)/($BH273),""),"")</f>
        <v/>
      </c>
      <c r="BR273" s="67">
        <f>IFERROR(IF(($BI273)&gt;0,($BL273)/($BI273),""),"")</f>
        <v/>
      </c>
      <c r="BS273" s="67">
        <f>IFERROR(IF(($BJ273)&gt;0,($BM273)/($BJ273),""),"")</f>
        <v/>
      </c>
      <c r="BT273" s="67">
        <f>IFERROR(IF(($BK273)&gt;0,($BN273)/($BK273),""),"")</f>
        <v/>
      </c>
      <c r="BU273" s="67">
        <f>IFERROR(IF(($BL273)&gt;0,($BO273)/($BL273),""),"")</f>
        <v/>
      </c>
      <c r="BV273" s="67">
        <f>IFERROR(IF(($BM273)&gt;0,($BP273)/($BM273),""),"")</f>
        <v/>
      </c>
      <c r="BW273" s="57">
        <f>SUMIFS(tblFleet[Calendar_h],tblFleet[Date],$A273,tblFleet[Equipment_Class],"Haul Truck")</f>
        <v/>
      </c>
      <c r="BX273" s="57">
        <f>IF($B273=$B272,$BX272,0)+$BW273</f>
        <v/>
      </c>
      <c r="BY273" s="57">
        <f>$BY272+$BW273</f>
        <v/>
      </c>
      <c r="BZ273" s="57">
        <f>SUMIFS(tblFleet[Available_h],tblFleet[Date],$A273,tblFleet[Equipment_Class],"Haul Truck")</f>
        <v/>
      </c>
      <c r="CA273" s="57">
        <f>IF($B273=$B272,$CA272,0)+$BZ273</f>
        <v/>
      </c>
      <c r="CB273" s="57">
        <f>$CB272+$BZ273</f>
        <v/>
      </c>
      <c r="CC273" s="57">
        <f>SUMIFS(tblFleet[Operating_h],tblFleet[Date],$A273,tblFleet[Equipment_Class],"Haul Truck")</f>
        <v/>
      </c>
      <c r="CD273" s="57">
        <f>IF($B273=$B272,$CD272,0)+$CC273</f>
        <v/>
      </c>
      <c r="CE273" s="57">
        <f>$CE272+$CC273</f>
        <v/>
      </c>
      <c r="CF273" s="67">
        <f>IFERROR(IF(($BW273)&gt;0,($BZ273)/($BW273),""),"")</f>
        <v/>
      </c>
      <c r="CG273" s="67">
        <f>IFERROR(IF(($BX273)&gt;0,($CA273)/($BX273),""),"")</f>
        <v/>
      </c>
      <c r="CH273" s="67">
        <f>IFERROR(IF(($BY273)&gt;0,($CB273)/($BY273),""),"")</f>
        <v/>
      </c>
      <c r="CI273" s="67">
        <f>IFERROR(IF(($BZ273)&gt;0,($CC273)/($BZ273),""),"")</f>
        <v/>
      </c>
      <c r="CJ273" s="67">
        <f>IFERROR(IF(($CA273)&gt;0,($CD273)/($CA273),""),"")</f>
        <v/>
      </c>
      <c r="CK273" s="67">
        <f>IFERROR(IF(($CB273)&gt;0,($CE273)/($CB273),""),"")</f>
        <v/>
      </c>
      <c r="CL273" s="55">
        <f>IFERROR(IF(($BN273)&gt;0,($X273+$AD273)/($BN273),""),"")</f>
        <v/>
      </c>
      <c r="CM273" s="55">
        <f>IFERROR(IF(($BO273)&gt;0,($Y273+$AE273)/($BO273),""),"")</f>
        <v/>
      </c>
      <c r="CN273" s="55">
        <f>IFERROR(IF(($BP273)&gt;0,($Z273+$AF273)/($BP273),""),"")</f>
        <v/>
      </c>
      <c r="CO273" s="55">
        <f>IFERROR(IF(($CC273)&gt;0,($X273+$AD273)/($CC273),""),"")</f>
        <v/>
      </c>
      <c r="CP273" s="55">
        <f>IFERROR(IF(($CD273)&gt;0,($Y273+$AE273)/($CD273),""),"")</f>
        <v/>
      </c>
      <c r="CQ273" s="55">
        <f>IFERROR(IF(($CE273)&gt;0,($Z273+$AF273)/($CE273),""),"")</f>
        <v/>
      </c>
      <c r="CR273" s="55">
        <f>SUMIFS(tblPlant[Crushed_t],tblPlant[Date],$A273)</f>
        <v/>
      </c>
      <c r="CS273" s="55">
        <f>IF($B273=$B272,$CS272,0)+$CR273</f>
        <v/>
      </c>
      <c r="CT273" s="55">
        <f>$CT272+$CR273</f>
        <v/>
      </c>
      <c r="CU273" s="55">
        <f>SUMIFS(tblPlant[Milled_t],tblPlant[Date],$A273)</f>
        <v/>
      </c>
      <c r="CV273" s="55">
        <f>IF($B273=$B272,$CV272,0)+$CU273</f>
        <v/>
      </c>
      <c r="CW273" s="55">
        <f>$CW272+$CU273</f>
        <v/>
      </c>
      <c r="CX273" s="55">
        <f>SUMIFS(tblPlant[Feed_oz],tblPlant[Date],$A273)</f>
        <v/>
      </c>
      <c r="CY273" s="55">
        <f>IF($B273=$B272,$CY272,0)+$CX273</f>
        <v/>
      </c>
      <c r="CZ273" s="55">
        <f>$CZ272+$CX273</f>
        <v/>
      </c>
      <c r="DA273" s="55">
        <f>SUMIFS(tblPlant[Tails_oz],tblPlant[Date],$A273)</f>
        <v/>
      </c>
      <c r="DB273" s="55">
        <f>IF($B273=$B272,$DB272,0)+$DA273</f>
        <v/>
      </c>
      <c r="DC273" s="55">
        <f>$DC272+$DA273</f>
        <v/>
      </c>
      <c r="DD273" s="55">
        <f>SUMIFS(tblPlant[Recovered_oz],tblPlant[Date],$A273)</f>
        <v/>
      </c>
      <c r="DE273" s="55">
        <f>IF($B273=$B272,$DE272,0)+$DD273</f>
        <v/>
      </c>
      <c r="DF273" s="55">
        <f>$DF272+$DD273</f>
        <v/>
      </c>
      <c r="DG273" s="55">
        <f>SUMIFS(tblPlant[Milled_t],tblPlant[Date],$A273,tblPlant[Head_Grade_gpt],"&lt;&gt;")</f>
        <v/>
      </c>
      <c r="DH273" s="55">
        <f>IF($B273=$B272,$DH272,0)+$DG273</f>
        <v/>
      </c>
      <c r="DI273" s="55">
        <f>$DI272+$DG273</f>
        <v/>
      </c>
      <c r="DJ273" s="55">
        <f>SUMIFS(tblPlant[Milled_t],tblPlant[Date],$A273,tblPlant[Tails_Grade_gpt],"&lt;&gt;")</f>
        <v/>
      </c>
      <c r="DK273" s="55">
        <f>IF($B273=$B272,$DK272,0)+$DJ273</f>
        <v/>
      </c>
      <c r="DL273" s="55">
        <f>$DL272+$DJ273</f>
        <v/>
      </c>
      <c r="DM273" s="55">
        <f>SUMIFS(tblPlant[Feed_oz],tblPlant[Date],$A273,tblPlant[Tails_Grade_gpt],"&lt;&gt;")</f>
        <v/>
      </c>
      <c r="DN273" s="55">
        <f>IF($B273=$B272,$DN272,0)+$DM273</f>
        <v/>
      </c>
      <c r="DO273" s="55">
        <f>$DO272+$DM273</f>
        <v/>
      </c>
      <c r="DP273" s="55">
        <f>SUMIFS(tblPlant[Milled_t],tblPlant[Date],$A273,tblPlant[Mill_Run_h],"&lt;&gt;")</f>
        <v/>
      </c>
      <c r="DQ273" s="55">
        <f>IF($B273=$B272,$DQ272,0)+$DP273</f>
        <v/>
      </c>
      <c r="DR273" s="55">
        <f>$DR272+$DP273</f>
        <v/>
      </c>
      <c r="DS273" s="56">
        <f>IFERROR(IF(($DG273)&gt;0,($CX273*cfg_TroyOz)/($DG273),""),"")</f>
        <v/>
      </c>
      <c r="DT273" s="56">
        <f>IFERROR(IF(($DH273)&gt;0,($CY273*cfg_TroyOz)/($DH273),""),"")</f>
        <v/>
      </c>
      <c r="DU273" s="56">
        <f>IFERROR(IF(($DI273)&gt;0,($CZ273*cfg_TroyOz)/($DI273),""),"")</f>
        <v/>
      </c>
      <c r="DV273" s="56">
        <f>IFERROR(IF(($DJ273)&gt;0,($DA273*cfg_TroyOz)/($DJ273),""),"")</f>
        <v/>
      </c>
      <c r="DW273" s="56">
        <f>IFERROR(IF(($DK273)&gt;0,($DB273*cfg_TroyOz)/($DK273),""),"")</f>
        <v/>
      </c>
      <c r="DX273" s="56">
        <f>IFERROR(IF(($DL273)&gt;0,($DC273*cfg_TroyOz)/($DL273),""),"")</f>
        <v/>
      </c>
      <c r="DY273" s="67">
        <f>IFERROR(IF(($DM273)&gt;0,($DD273)/($DM273),""),"")</f>
        <v/>
      </c>
      <c r="DZ273" s="67">
        <f>IFERROR(IF(($DN273)&gt;0,($DE273)/($DN273),""),"")</f>
        <v/>
      </c>
      <c r="EA273" s="67">
        <f>IFERROR(IF(($DO273)&gt;0,($DF273)/($DO273),""),"")</f>
        <v/>
      </c>
      <c r="EB273" s="55">
        <f>SUMIFS(tblPlant[Gravity_Gold_oz],tblPlant[Date],$A273)</f>
        <v/>
      </c>
      <c r="EC273" s="55">
        <f>IF($B273=$B272,$EC272,0)+$EB273</f>
        <v/>
      </c>
      <c r="ED273" s="55">
        <f>$ED272+$EB273</f>
        <v/>
      </c>
      <c r="EE273" s="67">
        <f>IFERROR(IF(($DD273)&gt;0,($EB273)/($DD273),""),"")</f>
        <v/>
      </c>
      <c r="EF273" s="67">
        <f>IFERROR(IF(($DE273)&gt;0,($EC273)/($DE273),""),"")</f>
        <v/>
      </c>
      <c r="EG273" s="67">
        <f>IFERROR(IF(($DF273)&gt;0,($ED273)/($DF273),""),"")</f>
        <v/>
      </c>
      <c r="EH273" s="55">
        <f>SUMIFS(tblPlant[Gold_Poured_oz],tblPlant[Date],$A273)</f>
        <v/>
      </c>
      <c r="EI273" s="55">
        <f>IF($B273=$B272,$EI272,0)+$EH273</f>
        <v/>
      </c>
      <c r="EJ273" s="55">
        <f>$EJ272+$EH273</f>
        <v/>
      </c>
      <c r="EK273" s="57">
        <f>SUMIFS(tblPlant[Mill_Run_h],tblPlant[Date],$A273)</f>
        <v/>
      </c>
      <c r="EL273" s="57">
        <f>IF($B273=$B272,$EL272,0)+$EK273</f>
        <v/>
      </c>
      <c r="EM273" s="57">
        <f>$EM272+$EK273</f>
        <v/>
      </c>
      <c r="EN273" s="57">
        <f>SUMIFS(tblPlant[Mill_Planned_Maint_h],tblPlant[Date],$A273)</f>
        <v/>
      </c>
      <c r="EO273" s="57">
        <f>IF($B273=$B272,$EO272,0)+$EN273</f>
        <v/>
      </c>
      <c r="EP273" s="57">
        <f>$EP272+$EN273</f>
        <v/>
      </c>
      <c r="EQ273" s="57">
        <f>SUMIFS(tblPlant[Mill_Unplanned_Down_h],tblPlant[Date],$A273)</f>
        <v/>
      </c>
      <c r="ER273" s="57">
        <f>IF($B273=$B272,$ER272,0)+$EQ273</f>
        <v/>
      </c>
      <c r="ES273" s="57">
        <f>$ES272+$EQ273</f>
        <v/>
      </c>
      <c r="ET273" s="57">
        <f>IF(COUNTIFS(tblPlant[Date],$A273,tblPlant[Mill_Run_h],"&lt;&gt;")+COUNTIFS(tblPlant[Date],$A273,tblPlant[Mill_Planned_Maint_h],"&lt;&gt;")+COUNTIFS(tblPlant[Date],$A273,tblPlant[Mill_Unplanned_Down_h],"&lt;&gt;")&gt;0,cfg_HoursPerDay,0)</f>
        <v/>
      </c>
      <c r="EU273" s="57">
        <f>IF($B273=$B272,$EU272,0)+$ET273</f>
        <v/>
      </c>
      <c r="EV273" s="57">
        <f>$EV272+$ET273</f>
        <v/>
      </c>
      <c r="EW273" s="57">
        <f>SUMIFS(tblPlant[Crusher_Run_h],tblPlant[Date],$A273)</f>
        <v/>
      </c>
      <c r="EX273" s="57">
        <f>IF($B273=$B272,$EX272,0)+$EW273</f>
        <v/>
      </c>
      <c r="EY273" s="57">
        <f>$EY272+$EW273</f>
        <v/>
      </c>
      <c r="EZ273" s="55">
        <f>IFERROR(IF(($EK273)&gt;0,($DP273)/($EK273),""),"")</f>
        <v/>
      </c>
      <c r="FA273" s="55">
        <f>IFERROR(IF(($EL273)&gt;0,($DQ273)/($EL273),""),"")</f>
        <v/>
      </c>
      <c r="FB273" s="55">
        <f>IFERROR(IF(($EM273)&gt;0,($DR273)/($EM273),""),"")</f>
        <v/>
      </c>
      <c r="FC273" s="67">
        <f>IFERROR(IF(($ET273)&gt;0,($ET273-$EN273-$EQ273)/($ET273),""),"")</f>
        <v/>
      </c>
      <c r="FD273" s="67">
        <f>IFERROR(IF(($EU273)&gt;0,($EU273-$EO273-$ER273)/($EU273),""),"")</f>
        <v/>
      </c>
      <c r="FE273" s="67">
        <f>IFERROR(IF(($EV273)&gt;0,($EV273-$EP273-$ES273)/($EV273),""),"")</f>
        <v/>
      </c>
      <c r="FF273" s="67">
        <f>IFERROR(IF(($ET273-$EN273-$EQ273)&gt;0,($EK273)/($ET273-$EN273-$EQ273),""),"")</f>
        <v/>
      </c>
      <c r="FG273" s="67">
        <f>IFERROR(IF(($EU273-$EO273-$ER273)&gt;0,($EL273)/($EU273-$EO273-$ER273),""),"")</f>
        <v/>
      </c>
      <c r="FH273" s="67">
        <f>IFERROR(IF(($EV273-$EP273-$ES273)&gt;0,($EM273)/($EV273-$EP273-$ES273),""),"")</f>
        <v/>
      </c>
      <c r="FI273" s="55">
        <f>SUMIFS(tblPlant[Cyanide_kg],tblPlant[Date],$A273)</f>
        <v/>
      </c>
      <c r="FJ273" s="55">
        <f>IF($B273=$B272,$FJ272,0)+$FI273</f>
        <v/>
      </c>
      <c r="FK273" s="55">
        <f>$FK272+$FI273</f>
        <v/>
      </c>
      <c r="FL273" s="55">
        <f>SUMIFS(tblPlant[Lime_kg],tblPlant[Date],$A273)</f>
        <v/>
      </c>
      <c r="FM273" s="55">
        <f>IF($B273=$B272,$FM272,0)+$FL273</f>
        <v/>
      </c>
      <c r="FN273" s="55">
        <f>$FN272+$FL273</f>
        <v/>
      </c>
      <c r="FO273" s="55">
        <f>SUMIFS(tblPlant[Grinding_Media_kg],tblPlant[Date],$A273)</f>
        <v/>
      </c>
      <c r="FP273" s="55">
        <f>IF($B273=$B272,$FP272,0)+$FO273</f>
        <v/>
      </c>
      <c r="FQ273" s="55">
        <f>$FQ272+$FO273</f>
        <v/>
      </c>
      <c r="FR273" s="55">
        <f>SUMIFS(tblPlant[Power_kWh],tblPlant[Date],$A273)</f>
        <v/>
      </c>
      <c r="FS273" s="55">
        <f>IF($B273=$B272,$FS272,0)+$FR273</f>
        <v/>
      </c>
      <c r="FT273" s="55">
        <f>$FT272+$FR273</f>
        <v/>
      </c>
      <c r="FU273" s="55">
        <f>SUMIFS(tblPlant[Raw_Water_m3],tblPlant[Date],$A273)</f>
        <v/>
      </c>
      <c r="FV273" s="55">
        <f>IF($B273=$B272,$FV272,0)+$FU273</f>
        <v/>
      </c>
      <c r="FW273" s="55">
        <f>$FW272+$FU273</f>
        <v/>
      </c>
      <c r="FX273" s="56">
        <f>IFERROR(IF(($CU273)&gt;0,($FI273)/($CU273),""),"")</f>
        <v/>
      </c>
      <c r="FY273" s="56">
        <f>IFERROR(IF(($CV273)&gt;0,($FJ273)/($CV273),""),"")</f>
        <v/>
      </c>
      <c r="FZ273" s="56">
        <f>IFERROR(IF(($CW273)&gt;0,($FK273)/($CW273),""),"")</f>
        <v/>
      </c>
      <c r="GA273" s="56">
        <f>IFERROR(IF(($CU273)&gt;0,($FL273)/($CU273),""),"")</f>
        <v/>
      </c>
      <c r="GB273" s="56">
        <f>IFERROR(IF(($CV273)&gt;0,($FM273)/($CV273),""),"")</f>
        <v/>
      </c>
      <c r="GC273" s="56">
        <f>IFERROR(IF(($CW273)&gt;0,($FN273)/($CW273),""),"")</f>
        <v/>
      </c>
      <c r="GD273" s="56">
        <f>IFERROR(IF(($CU273)&gt;0,($FO273)/($CU273),""),"")</f>
        <v/>
      </c>
      <c r="GE273" s="56">
        <f>IFERROR(IF(($CV273)&gt;0,($FP273)/($CV273),""),"")</f>
        <v/>
      </c>
      <c r="GF273" s="56">
        <f>IFERROR(IF(($CW273)&gt;0,($FQ273)/($CW273),""),"")</f>
        <v/>
      </c>
      <c r="GG273" s="79">
        <f>IFERROR(IF(($CU273)&gt;0,($FR273)/($CU273),""),"")</f>
        <v/>
      </c>
      <c r="GH273" s="79">
        <f>IFERROR(IF(($CV273)&gt;0,($FS273)/($CV273),""),"")</f>
        <v/>
      </c>
      <c r="GI273" s="79">
        <f>IFERROR(IF(($CW273)&gt;0,($FT273)/($CW273),""),"")</f>
        <v/>
      </c>
      <c r="GJ273" s="56">
        <f>IFERROR(IF(($CU273)&gt;0,($FU273)/($CU273),""),"")</f>
        <v/>
      </c>
      <c r="GK273" s="56">
        <f>IFERROR(IF(($CV273)&gt;0,($FV273)/($CV273),""),"")</f>
        <v/>
      </c>
      <c r="GL273" s="56">
        <f>IFERROR(IF(($CW273)&gt;0,($FW273)/($CW273),""),"")</f>
        <v/>
      </c>
      <c r="GM273" s="55">
        <f>IF(SUMIFS(tblPlant[GIC_oz],tblPlant[Date],$A273)&gt;0,SUMIFS(tblPlant[GIC_oz],tblPlant[Date],$A273),"")</f>
        <v/>
      </c>
      <c r="GN273" s="55">
        <f>SUMIFS(tblGold[Gold_oz],tblGold[Date],$A273,tblGold[Type],"Shipment")</f>
        <v/>
      </c>
      <c r="GO273" s="55">
        <f>IF($B273=$B272,$GO272,0)+$GN273</f>
        <v/>
      </c>
      <c r="GP273" s="55">
        <f>$GP272+$GN273</f>
        <v/>
      </c>
      <c r="GQ273" s="55">
        <f>SUMIFS(tblGold[Gold_oz],tblGold[Date],$A273,tblGold[Type],"Sale")</f>
        <v/>
      </c>
      <c r="GR273" s="55">
        <f>IF($B273=$B272,$GR272,0)+$GQ273</f>
        <v/>
      </c>
      <c r="GS273" s="55">
        <f>$GS272+$GQ273</f>
        <v/>
      </c>
      <c r="GT273" s="55">
        <f>SUMIFS(tblGold[Dore_kg],tblGold[Date],$A273,tblGold[Type],"Shipment")</f>
        <v/>
      </c>
      <c r="GU273" s="55">
        <f>IF($B273=$B272,$GU272,0)+$GT273</f>
        <v/>
      </c>
      <c r="GV273" s="55">
        <f>$GV272+$GT273</f>
        <v/>
      </c>
      <c r="GW273" s="57">
        <f>SUMIFS(tblSafety[Hours_Total],tblSafety[Date],$A273)</f>
        <v/>
      </c>
      <c r="GX273" s="57">
        <f>IF($B273=$B272,$GX272,0)+$GW273</f>
        <v/>
      </c>
      <c r="GY273" s="57">
        <f>$GY272+$GW273</f>
        <v/>
      </c>
      <c r="GZ273" s="62">
        <f>SUMIFS(tblSafety[Fatality],tblSafety[Date],$A273)</f>
        <v/>
      </c>
      <c r="HA273" s="62">
        <f>IF($B273=$B272,$HA272,0)+$GZ273</f>
        <v/>
      </c>
      <c r="HB273" s="62">
        <f>$HB272+$GZ273</f>
        <v/>
      </c>
      <c r="HC273" s="62">
        <f>SUMIFS(tblSafety[LTI],tblSafety[Date],$A273)</f>
        <v/>
      </c>
      <c r="HD273" s="62">
        <f>IF($B273=$B272,$HD272,0)+$HC273</f>
        <v/>
      </c>
      <c r="HE273" s="62">
        <f>$HE272+$HC273</f>
        <v/>
      </c>
      <c r="HF273" s="62">
        <f>SUMIFS(tblSafety[RWI],tblSafety[Date],$A273)</f>
        <v/>
      </c>
      <c r="HG273" s="62">
        <f>IF($B273=$B272,$HG272,0)+$HF273</f>
        <v/>
      </c>
      <c r="HH273" s="62">
        <f>$HH272+$HF273</f>
        <v/>
      </c>
      <c r="HI273" s="62">
        <f>SUMIFS(tblSafety[MTI],tblSafety[Date],$A273)</f>
        <v/>
      </c>
      <c r="HJ273" s="62">
        <f>IF($B273=$B272,$HJ272,0)+$HI273</f>
        <v/>
      </c>
      <c r="HK273" s="62">
        <f>$HK272+$HI273</f>
        <v/>
      </c>
      <c r="HL273" s="62">
        <f>SUMIFS(tblSafety[FAI],tblSafety[Date],$A273)</f>
        <v/>
      </c>
      <c r="HM273" s="62">
        <f>IF($B273=$B272,$HM272,0)+$HL273</f>
        <v/>
      </c>
      <c r="HN273" s="62">
        <f>$HN272+$HL273</f>
        <v/>
      </c>
      <c r="HO273" s="62">
        <f>SUMIFS(tblSafety[Recordables],tblSafety[Date],$A273)</f>
        <v/>
      </c>
      <c r="HP273" s="62">
        <f>IF($B273=$B272,$HP272,0)+$HO273</f>
        <v/>
      </c>
      <c r="HQ273" s="62">
        <f>$HQ272+$HO273</f>
        <v/>
      </c>
      <c r="HR273" s="62">
        <f>SUMIFS(tblSafety[Near_Miss],tblSafety[Date],$A273)</f>
        <v/>
      </c>
      <c r="HS273" s="62">
        <f>IF($B273=$B272,$HS272,0)+$HR273</f>
        <v/>
      </c>
      <c r="HT273" s="62">
        <f>$HT272+$HR273</f>
        <v/>
      </c>
      <c r="HU273" s="62">
        <f>SUMIFS(tblSafety[Hazard_Reports],tblSafety[Date],$A273)</f>
        <v/>
      </c>
      <c r="HV273" s="62">
        <f>IF($B273=$B272,$HV272,0)+$HU273</f>
        <v/>
      </c>
      <c r="HW273" s="62">
        <f>$HW272+$HU273</f>
        <v/>
      </c>
      <c r="HX273" s="62">
        <f>SUMIFS(tblSafety[HPI],tblSafety[Date],$A273)</f>
        <v/>
      </c>
      <c r="HY273" s="62">
        <f>IF($B273=$B272,$HY272,0)+$HX273</f>
        <v/>
      </c>
      <c r="HZ273" s="62">
        <f>$HZ272+$HX273</f>
        <v/>
      </c>
      <c r="IA273" s="62">
        <f>SUMIFS(tblSafety[Env_Incidents],tblSafety[Date],$A273)</f>
        <v/>
      </c>
      <c r="IB273" s="62">
        <f>IF($B273=$B272,$IB272,0)+$IA273</f>
        <v/>
      </c>
      <c r="IC273" s="62">
        <f>$IC272+$IA273</f>
        <v/>
      </c>
      <c r="ID273" s="62">
        <f>SUMIFS(tblSafety[Community_Incidents],tblSafety[Date],$A273)</f>
        <v/>
      </c>
      <c r="IE273" s="62">
        <f>IF($B273=$B272,$IE272,0)+$ID273</f>
        <v/>
      </c>
      <c r="IF273" s="62">
        <f>$IF272+$ID273</f>
        <v/>
      </c>
      <c r="IG273" s="62">
        <f>SUMIFS(tblSafety[Vehicle_Incidents],tblSafety[Date],$A273)</f>
        <v/>
      </c>
      <c r="IH273" s="62">
        <f>IF($B273=$B272,$IH272,0)+$IG273</f>
        <v/>
      </c>
      <c r="II273" s="62">
        <f>$II272+$IG273</f>
        <v/>
      </c>
      <c r="IJ273" s="62">
        <f>SUMIFS(tblSafety[Toolbox_Talks],tblSafety[Date],$A273)</f>
        <v/>
      </c>
      <c r="IK273" s="62">
        <f>IF($B273=$B272,$IK272,0)+$IJ273</f>
        <v/>
      </c>
      <c r="IL273" s="62">
        <f>$IL272+$IJ273</f>
        <v/>
      </c>
      <c r="IM273" s="62">
        <f>SUMIFS(tblSafety[Inspections],tblSafety[Date],$A273)</f>
        <v/>
      </c>
      <c r="IN273" s="62">
        <f>IF($B273=$B272,$IN272,0)+$IM273</f>
        <v/>
      </c>
      <c r="IO273" s="62">
        <f>$IO272+$IM273</f>
        <v/>
      </c>
      <c r="IP273" s="56">
        <f>IFERROR((SUMIFS(tblSafety[Recordables],tblSafety[Date],"&gt;="&amp;EDATE($E273,-12),tblSafety[Date],"&lt;="&amp;$A273)+SUMIFS(tblSafetyHistory[Recordables],tblSafetyHistory[Month],"&gt;="&amp;EDATE($E273,-12),tblSafetyHistory[Month],"&lt;"&amp;$E273,tblSafetyHistory[Use],1))/(SUMIFS(tblSafety[Hours_Total],tblSafety[Date],"&gt;="&amp;EDATE($E273,-12),tblSafety[Date],"&lt;="&amp;$A273)+SUMIFS(tblSafetyHistory[Hours_Total],tblSafetyHistory[Month],"&gt;="&amp;EDATE($E273,-12),tblSafetyHistory[Month],"&lt;"&amp;$E273,tblSafetyHistory[Use],1))*cfg_RateBasisHours,"")</f>
        <v/>
      </c>
      <c r="IQ273" s="56">
        <f>IFERROR((SUMIFS(tblSafety[LTI],tblSafety[Date],"&gt;="&amp;EDATE($E273,-12),tblSafety[Date],"&lt;="&amp;$A273)+SUMIFS(tblSafetyHistory[LTI],tblSafetyHistory[Month],"&gt;="&amp;EDATE($E273,-12),tblSafetyHistory[Month],"&lt;"&amp;$E273,tblSafetyHistory[Use],1))/(SUMIFS(tblSafety[Hours_Total],tblSafety[Date],"&gt;="&amp;EDATE($E273,-12),tblSafety[Date],"&lt;="&amp;$A273)+SUMIFS(tblSafetyHistory[Hours_Total],tblSafetyHistory[Month],"&gt;="&amp;EDATE($E273,-12),tblSafetyHistory[Month],"&lt;"&amp;$E273,tblSafetyHistory[Use],1))*cfg_RateBasisHours,"")</f>
        <v/>
      </c>
      <c r="IR273" s="62">
        <f>IF(MAX(N(cfg_PriorLTIDate),_xlfn.MAXIFS(tblSafety[Date],tblSafety[LTI],"&gt;0",tblSafety[Date],"&lt;="&amp;$A273))=0,"",$A273-MAX(N(cfg_PriorLTIDate),_xlfn.MAXIFS(tblSafety[Date],tblSafety[LTI],"&gt;0",tblSafety[Date],"&lt;="&amp;$A273)))</f>
        <v/>
      </c>
      <c r="IS273" s="55">
        <f>SUMIFS(tblBudget[Ore_Mined_t],tblBudget[Month],$E273)</f>
        <v/>
      </c>
      <c r="IT273" s="55">
        <f>$IS273*$C273/$D273</f>
        <v/>
      </c>
      <c r="IU273" s="55">
        <f>SUMIFS(tblBudget[Ore_Mined_t],tblBudget[Month],"&lt;"&amp;$E273)+$IT273</f>
        <v/>
      </c>
      <c r="IV273" s="55">
        <f>SUMIFS(tblBudget[Ore_oz],tblBudget[Month],$E273)</f>
        <v/>
      </c>
      <c r="IW273" s="55">
        <f>$IV273*$C273/$D273</f>
        <v/>
      </c>
      <c r="IX273" s="55">
        <f>SUMIFS(tblBudget[Ore_oz],tblBudget[Month],"&lt;"&amp;$E273)+$IW273</f>
        <v/>
      </c>
      <c r="IY273" s="55">
        <f>SUMIFS(tblBudget[Ore_Mined_t],tblBudget[Month],$E273)</f>
        <v/>
      </c>
      <c r="IZ273" s="55">
        <f>$IY273*$C273/$D273</f>
        <v/>
      </c>
      <c r="JA273" s="55">
        <f>SUMIFS(tblBudget[Ore_Mined_t],tblBudget[Month],"&lt;"&amp;$E273)+$IZ273</f>
        <v/>
      </c>
      <c r="JB273" s="56">
        <f>IFERROR(IF(($IY273)&gt;0,($IV273*cfg_TroyOz)/($IY273),""),"")</f>
        <v/>
      </c>
      <c r="JC273" s="56">
        <f>IFERROR(IF(($IZ273)&gt;0,($IW273*cfg_TroyOz)/($IZ273),""),"")</f>
        <v/>
      </c>
      <c r="JD273" s="56">
        <f>IFERROR(IF(($JA273)&gt;0,($IX273*cfg_TroyOz)/($JA273),""),"")</f>
        <v/>
      </c>
      <c r="JE273" s="55">
        <f>SUMIFS(tblBudget[Waste_t],tblBudget[Month],$E273)</f>
        <v/>
      </c>
      <c r="JF273" s="55">
        <f>$JE273*$C273/$D273</f>
        <v/>
      </c>
      <c r="JG273" s="55">
        <f>SUMIFS(tblBudget[Waste_t],tblBudget[Month],"&lt;"&amp;$E273)+$JF273</f>
        <v/>
      </c>
      <c r="JH273" s="55">
        <f>SUMIFS(tblBudget[TMM_t],tblBudget[Month],$E273)</f>
        <v/>
      </c>
      <c r="JI273" s="55">
        <f>$JH273*$C273/$D273</f>
        <v/>
      </c>
      <c r="JJ273" s="55">
        <f>SUMIFS(tblBudget[TMM_t],tblBudget[Month],"&lt;"&amp;$E273)+$JI273</f>
        <v/>
      </c>
      <c r="JK273" s="56">
        <f>IFERROR(IF(($IS273)&gt;0,($JE273)/($IS273),""),"")</f>
        <v/>
      </c>
      <c r="JL273" s="56">
        <f>IFERROR(IF(($IT273)&gt;0,($JF273)/($IT273),""),"")</f>
        <v/>
      </c>
      <c r="JM273" s="56">
        <f>IFERROR(IF(($IU273)&gt;0,($JG273)/($IU273),""),"")</f>
        <v/>
      </c>
      <c r="JN273" s="55">
        <f>SUMIFS(tblBudget[Drill_m],tblBudget[Month],$E273)</f>
        <v/>
      </c>
      <c r="JO273" s="55">
        <f>$JN273*$C273/$D273</f>
        <v/>
      </c>
      <c r="JP273" s="55">
        <f>SUMIFS(tblBudget[Drill_m],tblBudget[Month],"&lt;"&amp;$E273)+$JO273</f>
        <v/>
      </c>
      <c r="JQ273" s="55">
        <f>SUMIFS(tblBudget[Diesel_L],tblBudget[Month],$E273)</f>
        <v/>
      </c>
      <c r="JR273" s="55">
        <f>$JQ273*$C273/$D273</f>
        <v/>
      </c>
      <c r="JS273" s="55">
        <f>SUMIFS(tblBudget[Diesel_L],tblBudget[Month],"&lt;"&amp;$E273)+$JR273</f>
        <v/>
      </c>
      <c r="JT273" s="55">
        <f>SUMIFS(tblBudget[Milled_t],tblBudget[Month],$E273)</f>
        <v/>
      </c>
      <c r="JU273" s="55">
        <f>$JT273*$C273/$D273</f>
        <v/>
      </c>
      <c r="JV273" s="55">
        <f>SUMIFS(tblBudget[Milled_t],tblBudget[Month],"&lt;"&amp;$E273)+$JU273</f>
        <v/>
      </c>
      <c r="JW273" s="55">
        <f>SUMIFS(tblBudget[Feed_oz],tblBudget[Month],$E273)</f>
        <v/>
      </c>
      <c r="JX273" s="55">
        <f>$JW273*$C273/$D273</f>
        <v/>
      </c>
      <c r="JY273" s="55">
        <f>SUMIFS(tblBudget[Feed_oz],tblBudget[Month],"&lt;"&amp;$E273)+$JX273</f>
        <v/>
      </c>
      <c r="JZ273" s="55">
        <f>SUMIFS(tblBudget[Recovered_oz],tblBudget[Month],$E273)</f>
        <v/>
      </c>
      <c r="KA273" s="55">
        <f>$JZ273*$C273/$D273</f>
        <v/>
      </c>
      <c r="KB273" s="55">
        <f>SUMIFS(tblBudget[Recovered_oz],tblBudget[Month],"&lt;"&amp;$E273)+$KA273</f>
        <v/>
      </c>
      <c r="KC273" s="55">
        <f>SUMIFS(tblBudget[Milled_t],tblBudget[Month],$E273)</f>
        <v/>
      </c>
      <c r="KD273" s="55">
        <f>$KC273*$C273/$D273</f>
        <v/>
      </c>
      <c r="KE273" s="55">
        <f>SUMIFS(tblBudget[Milled_t],tblBudget[Month],"&lt;"&amp;$E273)+$KD273</f>
        <v/>
      </c>
      <c r="KF273" s="55">
        <f>SUMIFS(tblBudget[Feed_oz],tblBudget[Month],$E273)</f>
        <v/>
      </c>
      <c r="KG273" s="55">
        <f>$KF273*$C273/$D273</f>
        <v/>
      </c>
      <c r="KH273" s="55">
        <f>SUMIFS(tblBudget[Feed_oz],tblBudget[Month],"&lt;"&amp;$E273)+$KG273</f>
        <v/>
      </c>
      <c r="KI273" s="56">
        <f>IFERROR(IF(($KC273)&gt;0,($JW273*cfg_TroyOz)/($KC273),""),"")</f>
        <v/>
      </c>
      <c r="KJ273" s="56">
        <f>IFERROR(IF(($KD273)&gt;0,($JX273*cfg_TroyOz)/($KD273),""),"")</f>
        <v/>
      </c>
      <c r="KK273" s="56">
        <f>IFERROR(IF(($KE273)&gt;0,($JY273*cfg_TroyOz)/($KE273),""),"")</f>
        <v/>
      </c>
      <c r="KL273" s="67">
        <f>IFERROR(IF(($KF273)&gt;0,($JZ273)/($KF273),""),"")</f>
        <v/>
      </c>
      <c r="KM273" s="67">
        <f>IFERROR(IF(($KG273)&gt;0,($KA273)/($KG273),""),"")</f>
        <v/>
      </c>
      <c r="KN273" s="67">
        <f>IFERROR(IF(($KH273)&gt;0,($KB273)/($KH273),""),"")</f>
        <v/>
      </c>
      <c r="KO273" s="55">
        <f>SUMIFS(tblBudget[Gold_Poured_oz],tblBudget[Month],$E273)</f>
        <v/>
      </c>
      <c r="KP273" s="55">
        <f>$KO273*$C273/$D273</f>
        <v/>
      </c>
      <c r="KQ273" s="55">
        <f>SUMIFS(tblBudget[Gold_Poured_oz],tblBudget[Month],"&lt;"&amp;$E273)+$KP273</f>
        <v/>
      </c>
      <c r="KR273" s="57">
        <f>SUMIFS(tblBudget[Hours_Worked],tblBudget[Month],$E273)</f>
        <v/>
      </c>
      <c r="KS273" s="57">
        <f>$KR273*$C273/$D273</f>
        <v/>
      </c>
      <c r="KT273" s="57">
        <f>SUMIFS(tblBudget[Hours_Worked],tblBudget[Month],"&lt;"&amp;$E273)+$KS273</f>
        <v/>
      </c>
    </row>
    <row r="274">
      <c r="A274" s="54" t="n">
        <v>46295</v>
      </c>
      <c r="B274">
        <f>MONTH($A274)</f>
        <v/>
      </c>
      <c r="C274">
        <f>DAY($A274)</f>
        <v/>
      </c>
      <c r="D274">
        <f>DAY(EOMONTH($A274,0))</f>
        <v/>
      </c>
      <c r="E274" s="54">
        <f>DATE(YEAR($A274),MONTH($A274),1)</f>
        <v/>
      </c>
      <c r="F274" s="55">
        <f>SUMIFS(tblMovement[Tonnes_t],tblMovement[Date],$A274,tblMovement[Is_Ore],1,tblMovement[Source_Type],"Pit")</f>
        <v/>
      </c>
      <c r="G274" s="55">
        <f>IF($B274=$B273,$G273,0)+$F274</f>
        <v/>
      </c>
      <c r="H274" s="55">
        <f>$H273+$F274</f>
        <v/>
      </c>
      <c r="I274" s="55">
        <f>SUMIFS(tblMovement[Ore_oz],tblMovement[Date],$A274,tblMovement[Source_Type],"Pit")</f>
        <v/>
      </c>
      <c r="J274" s="55">
        <f>IF($B274=$B273,$J273,0)+$I274</f>
        <v/>
      </c>
      <c r="K274" s="55">
        <f>$K273+$I274</f>
        <v/>
      </c>
      <c r="L274" s="55">
        <f>SUMIFS(tblMovement[Tonnes_t],tblMovement[Date],$A274,tblMovement[Is_Ore],1,tblMovement[Source_Type],"Pit",tblMovement[Grade_gpt],"&lt;&gt;")</f>
        <v/>
      </c>
      <c r="M274" s="55">
        <f>IF($B274=$B273,$M273,0)+$L274</f>
        <v/>
      </c>
      <c r="N274" s="55">
        <f>$N273+$L274</f>
        <v/>
      </c>
      <c r="O274" s="56">
        <f>IFERROR(IF(($L274)&gt;0,($I274*cfg_TroyOz)/($L274),""),"")</f>
        <v/>
      </c>
      <c r="P274" s="56">
        <f>IFERROR(IF(($M274)&gt;0,($J274*cfg_TroyOz)/($M274),""),"")</f>
        <v/>
      </c>
      <c r="Q274" s="56">
        <f>IFERROR(IF(($N274)&gt;0,($K274*cfg_TroyOz)/($N274),""),"")</f>
        <v/>
      </c>
      <c r="R274" s="55">
        <f>$F274-$L274</f>
        <v/>
      </c>
      <c r="S274" s="55">
        <f>IF($B274=$B273,$S273,0)+$R274</f>
        <v/>
      </c>
      <c r="T274" s="55">
        <f>$T273+$R274</f>
        <v/>
      </c>
      <c r="U274" s="55">
        <f>SUMIFS(tblMovement[Tonnes_t],tblMovement[Date],$A274,tblMovement[Is_Ore],0,tblMovement[Source_Type],"Pit")</f>
        <v/>
      </c>
      <c r="V274" s="55">
        <f>IF($B274=$B273,$V273,0)+$U274</f>
        <v/>
      </c>
      <c r="W274" s="55">
        <f>$W273+$U274</f>
        <v/>
      </c>
      <c r="X274" s="55">
        <f>$F274+$U274</f>
        <v/>
      </c>
      <c r="Y274" s="55">
        <f>IF($B274=$B273,$Y273,0)+$X274</f>
        <v/>
      </c>
      <c r="Z274" s="55">
        <f>$Z273+$X274</f>
        <v/>
      </c>
      <c r="AA274" s="56">
        <f>IFERROR(IF(($F274)&gt;0,($U274)/($F274),""),"")</f>
        <v/>
      </c>
      <c r="AB274" s="56">
        <f>IFERROR(IF(($G274)&gt;0,($V274)/($G274),""),"")</f>
        <v/>
      </c>
      <c r="AC274" s="56">
        <f>IFERROR(IF(($H274)&gt;0,($W274)/($H274),""),"")</f>
        <v/>
      </c>
      <c r="AD274" s="55">
        <f>SUMIFS(tblMovement[Tonnes_t],tblMovement[Date],$A274,tblMovement[Source_Type],"Stockpile")</f>
        <v/>
      </c>
      <c r="AE274" s="55">
        <f>IF($B274=$B273,$AE273,0)+$AD274</f>
        <v/>
      </c>
      <c r="AF274" s="55">
        <f>$AF273+$AD274</f>
        <v/>
      </c>
      <c r="AG274" s="55">
        <f>SUMIFS(tblMovement[Tonnes_t],tblMovement[Date],$A274)</f>
        <v/>
      </c>
      <c r="AH274" s="55">
        <f>IF($B274=$B273,$AH273,0)+$AG274</f>
        <v/>
      </c>
      <c r="AI274" s="55">
        <f>$AI273+$AG274</f>
        <v/>
      </c>
      <c r="AJ274" s="55">
        <f>$AG274-$X274-$AD274</f>
        <v/>
      </c>
      <c r="AK274" s="55">
        <f>IF($B274=$B273,$AK273,0)+$AJ274</f>
        <v/>
      </c>
      <c r="AL274" s="55">
        <f>$AL273+$AJ274</f>
        <v/>
      </c>
      <c r="AM274" s="55">
        <f>SUMIFS(tblMiningDaily[Drill_m],tblMiningDaily[Date],$A274)</f>
        <v/>
      </c>
      <c r="AN274" s="55">
        <f>IF($B274=$B273,$AN273,0)+$AM274</f>
        <v/>
      </c>
      <c r="AO274" s="55">
        <f>$AO273+$AM274</f>
        <v/>
      </c>
      <c r="AP274" s="55">
        <f>SUMIFS(tblMiningDaily[GC_Drill_m],tblMiningDaily[Date],$A274)</f>
        <v/>
      </c>
      <c r="AQ274" s="55">
        <f>IF($B274=$B273,$AQ273,0)+$AP274</f>
        <v/>
      </c>
      <c r="AR274" s="55">
        <f>$AR273+$AP274</f>
        <v/>
      </c>
      <c r="AS274" s="55">
        <f>SUMIFS(tblMiningDaily[Blast_t],tblMiningDaily[Date],$A274)</f>
        <v/>
      </c>
      <c r="AT274" s="55">
        <f>IF($B274=$B273,$AT273,0)+$AS274</f>
        <v/>
      </c>
      <c r="AU274" s="55">
        <f>$AU273+$AS274</f>
        <v/>
      </c>
      <c r="AV274" s="55">
        <f>SUMIFS(tblMiningDaily[Explosives_kg],tblMiningDaily[Date],$A274)</f>
        <v/>
      </c>
      <c r="AW274" s="55">
        <f>IF($B274=$B273,$AW273,0)+$AV274</f>
        <v/>
      </c>
      <c r="AX274" s="55">
        <f>$AX273+$AV274</f>
        <v/>
      </c>
      <c r="AY274" s="56">
        <f>IFERROR(IF(($AS274)&gt;0,($AV274)/($AS274),""),"")</f>
        <v/>
      </c>
      <c r="AZ274" s="56">
        <f>IFERROR(IF(($AT274)&gt;0,($AW274)/($AT274),""),"")</f>
        <v/>
      </c>
      <c r="BA274" s="56">
        <f>IFERROR(IF(($AU274)&gt;0,($AX274)/($AU274),""),"")</f>
        <v/>
      </c>
      <c r="BB274" s="55">
        <f>SUMIFS(tblMiningDaily[Diesel_L],tblMiningDaily[Date],$A274)</f>
        <v/>
      </c>
      <c r="BC274" s="55">
        <f>IF($B274=$B273,$BC273,0)+$BB274</f>
        <v/>
      </c>
      <c r="BD274" s="55">
        <f>$BD273+$BB274</f>
        <v/>
      </c>
      <c r="BE274" s="55">
        <f>SUMIFS(tblMiningDaily[Dewatering_m3],tblMiningDaily[Date],$A274)</f>
        <v/>
      </c>
      <c r="BF274" s="55">
        <f>IF($B274=$B273,$BF273,0)+$BE274</f>
        <v/>
      </c>
      <c r="BG274" s="55">
        <f>$BG273+$BE274</f>
        <v/>
      </c>
      <c r="BH274" s="57">
        <f>SUMIFS(tblFleet[Calendar_h],tblFleet[Date],$A274,tblFleet[Equipment_Class],"Excavator")</f>
        <v/>
      </c>
      <c r="BI274" s="57">
        <f>IF($B274=$B273,$BI273,0)+$BH274</f>
        <v/>
      </c>
      <c r="BJ274" s="57">
        <f>$BJ273+$BH274</f>
        <v/>
      </c>
      <c r="BK274" s="57">
        <f>SUMIFS(tblFleet[Available_h],tblFleet[Date],$A274,tblFleet[Equipment_Class],"Excavator")</f>
        <v/>
      </c>
      <c r="BL274" s="57">
        <f>IF($B274=$B273,$BL273,0)+$BK274</f>
        <v/>
      </c>
      <c r="BM274" s="57">
        <f>$BM273+$BK274</f>
        <v/>
      </c>
      <c r="BN274" s="57">
        <f>SUMIFS(tblFleet[Operating_h],tblFleet[Date],$A274,tblFleet[Equipment_Class],"Excavator")</f>
        <v/>
      </c>
      <c r="BO274" s="57">
        <f>IF($B274=$B273,$BO273,0)+$BN274</f>
        <v/>
      </c>
      <c r="BP274" s="57">
        <f>$BP273+$BN274</f>
        <v/>
      </c>
      <c r="BQ274" s="67">
        <f>IFERROR(IF(($BH274)&gt;0,($BK274)/($BH274),""),"")</f>
        <v/>
      </c>
      <c r="BR274" s="67">
        <f>IFERROR(IF(($BI274)&gt;0,($BL274)/($BI274),""),"")</f>
        <v/>
      </c>
      <c r="BS274" s="67">
        <f>IFERROR(IF(($BJ274)&gt;0,($BM274)/($BJ274),""),"")</f>
        <v/>
      </c>
      <c r="BT274" s="67">
        <f>IFERROR(IF(($BK274)&gt;0,($BN274)/($BK274),""),"")</f>
        <v/>
      </c>
      <c r="BU274" s="67">
        <f>IFERROR(IF(($BL274)&gt;0,($BO274)/($BL274),""),"")</f>
        <v/>
      </c>
      <c r="BV274" s="67">
        <f>IFERROR(IF(($BM274)&gt;0,($BP274)/($BM274),""),"")</f>
        <v/>
      </c>
      <c r="BW274" s="57">
        <f>SUMIFS(tblFleet[Calendar_h],tblFleet[Date],$A274,tblFleet[Equipment_Class],"Haul Truck")</f>
        <v/>
      </c>
      <c r="BX274" s="57">
        <f>IF($B274=$B273,$BX273,0)+$BW274</f>
        <v/>
      </c>
      <c r="BY274" s="57">
        <f>$BY273+$BW274</f>
        <v/>
      </c>
      <c r="BZ274" s="57">
        <f>SUMIFS(tblFleet[Available_h],tblFleet[Date],$A274,tblFleet[Equipment_Class],"Haul Truck")</f>
        <v/>
      </c>
      <c r="CA274" s="57">
        <f>IF($B274=$B273,$CA273,0)+$BZ274</f>
        <v/>
      </c>
      <c r="CB274" s="57">
        <f>$CB273+$BZ274</f>
        <v/>
      </c>
      <c r="CC274" s="57">
        <f>SUMIFS(tblFleet[Operating_h],tblFleet[Date],$A274,tblFleet[Equipment_Class],"Haul Truck")</f>
        <v/>
      </c>
      <c r="CD274" s="57">
        <f>IF($B274=$B273,$CD273,0)+$CC274</f>
        <v/>
      </c>
      <c r="CE274" s="57">
        <f>$CE273+$CC274</f>
        <v/>
      </c>
      <c r="CF274" s="67">
        <f>IFERROR(IF(($BW274)&gt;0,($BZ274)/($BW274),""),"")</f>
        <v/>
      </c>
      <c r="CG274" s="67">
        <f>IFERROR(IF(($BX274)&gt;0,($CA274)/($BX274),""),"")</f>
        <v/>
      </c>
      <c r="CH274" s="67">
        <f>IFERROR(IF(($BY274)&gt;0,($CB274)/($BY274),""),"")</f>
        <v/>
      </c>
      <c r="CI274" s="67">
        <f>IFERROR(IF(($BZ274)&gt;0,($CC274)/($BZ274),""),"")</f>
        <v/>
      </c>
      <c r="CJ274" s="67">
        <f>IFERROR(IF(($CA274)&gt;0,($CD274)/($CA274),""),"")</f>
        <v/>
      </c>
      <c r="CK274" s="67">
        <f>IFERROR(IF(($CB274)&gt;0,($CE274)/($CB274),""),"")</f>
        <v/>
      </c>
      <c r="CL274" s="55">
        <f>IFERROR(IF(($BN274)&gt;0,($X274+$AD274)/($BN274),""),"")</f>
        <v/>
      </c>
      <c r="CM274" s="55">
        <f>IFERROR(IF(($BO274)&gt;0,($Y274+$AE274)/($BO274),""),"")</f>
        <v/>
      </c>
      <c r="CN274" s="55">
        <f>IFERROR(IF(($BP274)&gt;0,($Z274+$AF274)/($BP274),""),"")</f>
        <v/>
      </c>
      <c r="CO274" s="55">
        <f>IFERROR(IF(($CC274)&gt;0,($X274+$AD274)/($CC274),""),"")</f>
        <v/>
      </c>
      <c r="CP274" s="55">
        <f>IFERROR(IF(($CD274)&gt;0,($Y274+$AE274)/($CD274),""),"")</f>
        <v/>
      </c>
      <c r="CQ274" s="55">
        <f>IFERROR(IF(($CE274)&gt;0,($Z274+$AF274)/($CE274),""),"")</f>
        <v/>
      </c>
      <c r="CR274" s="55">
        <f>SUMIFS(tblPlant[Crushed_t],tblPlant[Date],$A274)</f>
        <v/>
      </c>
      <c r="CS274" s="55">
        <f>IF($B274=$B273,$CS273,0)+$CR274</f>
        <v/>
      </c>
      <c r="CT274" s="55">
        <f>$CT273+$CR274</f>
        <v/>
      </c>
      <c r="CU274" s="55">
        <f>SUMIFS(tblPlant[Milled_t],tblPlant[Date],$A274)</f>
        <v/>
      </c>
      <c r="CV274" s="55">
        <f>IF($B274=$B273,$CV273,0)+$CU274</f>
        <v/>
      </c>
      <c r="CW274" s="55">
        <f>$CW273+$CU274</f>
        <v/>
      </c>
      <c r="CX274" s="55">
        <f>SUMIFS(tblPlant[Feed_oz],tblPlant[Date],$A274)</f>
        <v/>
      </c>
      <c r="CY274" s="55">
        <f>IF($B274=$B273,$CY273,0)+$CX274</f>
        <v/>
      </c>
      <c r="CZ274" s="55">
        <f>$CZ273+$CX274</f>
        <v/>
      </c>
      <c r="DA274" s="55">
        <f>SUMIFS(tblPlant[Tails_oz],tblPlant[Date],$A274)</f>
        <v/>
      </c>
      <c r="DB274" s="55">
        <f>IF($B274=$B273,$DB273,0)+$DA274</f>
        <v/>
      </c>
      <c r="DC274" s="55">
        <f>$DC273+$DA274</f>
        <v/>
      </c>
      <c r="DD274" s="55">
        <f>SUMIFS(tblPlant[Recovered_oz],tblPlant[Date],$A274)</f>
        <v/>
      </c>
      <c r="DE274" s="55">
        <f>IF($B274=$B273,$DE273,0)+$DD274</f>
        <v/>
      </c>
      <c r="DF274" s="55">
        <f>$DF273+$DD274</f>
        <v/>
      </c>
      <c r="DG274" s="55">
        <f>SUMIFS(tblPlant[Milled_t],tblPlant[Date],$A274,tblPlant[Head_Grade_gpt],"&lt;&gt;")</f>
        <v/>
      </c>
      <c r="DH274" s="55">
        <f>IF($B274=$B273,$DH273,0)+$DG274</f>
        <v/>
      </c>
      <c r="DI274" s="55">
        <f>$DI273+$DG274</f>
        <v/>
      </c>
      <c r="DJ274" s="55">
        <f>SUMIFS(tblPlant[Milled_t],tblPlant[Date],$A274,tblPlant[Tails_Grade_gpt],"&lt;&gt;")</f>
        <v/>
      </c>
      <c r="DK274" s="55">
        <f>IF($B274=$B273,$DK273,0)+$DJ274</f>
        <v/>
      </c>
      <c r="DL274" s="55">
        <f>$DL273+$DJ274</f>
        <v/>
      </c>
      <c r="DM274" s="55">
        <f>SUMIFS(tblPlant[Feed_oz],tblPlant[Date],$A274,tblPlant[Tails_Grade_gpt],"&lt;&gt;")</f>
        <v/>
      </c>
      <c r="DN274" s="55">
        <f>IF($B274=$B273,$DN273,0)+$DM274</f>
        <v/>
      </c>
      <c r="DO274" s="55">
        <f>$DO273+$DM274</f>
        <v/>
      </c>
      <c r="DP274" s="55">
        <f>SUMIFS(tblPlant[Milled_t],tblPlant[Date],$A274,tblPlant[Mill_Run_h],"&lt;&gt;")</f>
        <v/>
      </c>
      <c r="DQ274" s="55">
        <f>IF($B274=$B273,$DQ273,0)+$DP274</f>
        <v/>
      </c>
      <c r="DR274" s="55">
        <f>$DR273+$DP274</f>
        <v/>
      </c>
      <c r="DS274" s="56">
        <f>IFERROR(IF(($DG274)&gt;0,($CX274*cfg_TroyOz)/($DG274),""),"")</f>
        <v/>
      </c>
      <c r="DT274" s="56">
        <f>IFERROR(IF(($DH274)&gt;0,($CY274*cfg_TroyOz)/($DH274),""),"")</f>
        <v/>
      </c>
      <c r="DU274" s="56">
        <f>IFERROR(IF(($DI274)&gt;0,($CZ274*cfg_TroyOz)/($DI274),""),"")</f>
        <v/>
      </c>
      <c r="DV274" s="56">
        <f>IFERROR(IF(($DJ274)&gt;0,($DA274*cfg_TroyOz)/($DJ274),""),"")</f>
        <v/>
      </c>
      <c r="DW274" s="56">
        <f>IFERROR(IF(($DK274)&gt;0,($DB274*cfg_TroyOz)/($DK274),""),"")</f>
        <v/>
      </c>
      <c r="DX274" s="56">
        <f>IFERROR(IF(($DL274)&gt;0,($DC274*cfg_TroyOz)/($DL274),""),"")</f>
        <v/>
      </c>
      <c r="DY274" s="67">
        <f>IFERROR(IF(($DM274)&gt;0,($DD274)/($DM274),""),"")</f>
        <v/>
      </c>
      <c r="DZ274" s="67">
        <f>IFERROR(IF(($DN274)&gt;0,($DE274)/($DN274),""),"")</f>
        <v/>
      </c>
      <c r="EA274" s="67">
        <f>IFERROR(IF(($DO274)&gt;0,($DF274)/($DO274),""),"")</f>
        <v/>
      </c>
      <c r="EB274" s="55">
        <f>SUMIFS(tblPlant[Gravity_Gold_oz],tblPlant[Date],$A274)</f>
        <v/>
      </c>
      <c r="EC274" s="55">
        <f>IF($B274=$B273,$EC273,0)+$EB274</f>
        <v/>
      </c>
      <c r="ED274" s="55">
        <f>$ED273+$EB274</f>
        <v/>
      </c>
      <c r="EE274" s="67">
        <f>IFERROR(IF(($DD274)&gt;0,($EB274)/($DD274),""),"")</f>
        <v/>
      </c>
      <c r="EF274" s="67">
        <f>IFERROR(IF(($DE274)&gt;0,($EC274)/($DE274),""),"")</f>
        <v/>
      </c>
      <c r="EG274" s="67">
        <f>IFERROR(IF(($DF274)&gt;0,($ED274)/($DF274),""),"")</f>
        <v/>
      </c>
      <c r="EH274" s="55">
        <f>SUMIFS(tblPlant[Gold_Poured_oz],tblPlant[Date],$A274)</f>
        <v/>
      </c>
      <c r="EI274" s="55">
        <f>IF($B274=$B273,$EI273,0)+$EH274</f>
        <v/>
      </c>
      <c r="EJ274" s="55">
        <f>$EJ273+$EH274</f>
        <v/>
      </c>
      <c r="EK274" s="57">
        <f>SUMIFS(tblPlant[Mill_Run_h],tblPlant[Date],$A274)</f>
        <v/>
      </c>
      <c r="EL274" s="57">
        <f>IF($B274=$B273,$EL273,0)+$EK274</f>
        <v/>
      </c>
      <c r="EM274" s="57">
        <f>$EM273+$EK274</f>
        <v/>
      </c>
      <c r="EN274" s="57">
        <f>SUMIFS(tblPlant[Mill_Planned_Maint_h],tblPlant[Date],$A274)</f>
        <v/>
      </c>
      <c r="EO274" s="57">
        <f>IF($B274=$B273,$EO273,0)+$EN274</f>
        <v/>
      </c>
      <c r="EP274" s="57">
        <f>$EP273+$EN274</f>
        <v/>
      </c>
      <c r="EQ274" s="57">
        <f>SUMIFS(tblPlant[Mill_Unplanned_Down_h],tblPlant[Date],$A274)</f>
        <v/>
      </c>
      <c r="ER274" s="57">
        <f>IF($B274=$B273,$ER273,0)+$EQ274</f>
        <v/>
      </c>
      <c r="ES274" s="57">
        <f>$ES273+$EQ274</f>
        <v/>
      </c>
      <c r="ET274" s="57">
        <f>IF(COUNTIFS(tblPlant[Date],$A274,tblPlant[Mill_Run_h],"&lt;&gt;")+COUNTIFS(tblPlant[Date],$A274,tblPlant[Mill_Planned_Maint_h],"&lt;&gt;")+COUNTIFS(tblPlant[Date],$A274,tblPlant[Mill_Unplanned_Down_h],"&lt;&gt;")&gt;0,cfg_HoursPerDay,0)</f>
        <v/>
      </c>
      <c r="EU274" s="57">
        <f>IF($B274=$B273,$EU273,0)+$ET274</f>
        <v/>
      </c>
      <c r="EV274" s="57">
        <f>$EV273+$ET274</f>
        <v/>
      </c>
      <c r="EW274" s="57">
        <f>SUMIFS(tblPlant[Crusher_Run_h],tblPlant[Date],$A274)</f>
        <v/>
      </c>
      <c r="EX274" s="57">
        <f>IF($B274=$B273,$EX273,0)+$EW274</f>
        <v/>
      </c>
      <c r="EY274" s="57">
        <f>$EY273+$EW274</f>
        <v/>
      </c>
      <c r="EZ274" s="55">
        <f>IFERROR(IF(($EK274)&gt;0,($DP274)/($EK274),""),"")</f>
        <v/>
      </c>
      <c r="FA274" s="55">
        <f>IFERROR(IF(($EL274)&gt;0,($DQ274)/($EL274),""),"")</f>
        <v/>
      </c>
      <c r="FB274" s="55">
        <f>IFERROR(IF(($EM274)&gt;0,($DR274)/($EM274),""),"")</f>
        <v/>
      </c>
      <c r="FC274" s="67">
        <f>IFERROR(IF(($ET274)&gt;0,($ET274-$EN274-$EQ274)/($ET274),""),"")</f>
        <v/>
      </c>
      <c r="FD274" s="67">
        <f>IFERROR(IF(($EU274)&gt;0,($EU274-$EO274-$ER274)/($EU274),""),"")</f>
        <v/>
      </c>
      <c r="FE274" s="67">
        <f>IFERROR(IF(($EV274)&gt;0,($EV274-$EP274-$ES274)/($EV274),""),"")</f>
        <v/>
      </c>
      <c r="FF274" s="67">
        <f>IFERROR(IF(($ET274-$EN274-$EQ274)&gt;0,($EK274)/($ET274-$EN274-$EQ274),""),"")</f>
        <v/>
      </c>
      <c r="FG274" s="67">
        <f>IFERROR(IF(($EU274-$EO274-$ER274)&gt;0,($EL274)/($EU274-$EO274-$ER274),""),"")</f>
        <v/>
      </c>
      <c r="FH274" s="67">
        <f>IFERROR(IF(($EV274-$EP274-$ES274)&gt;0,($EM274)/($EV274-$EP274-$ES274),""),"")</f>
        <v/>
      </c>
      <c r="FI274" s="55">
        <f>SUMIFS(tblPlant[Cyanide_kg],tblPlant[Date],$A274)</f>
        <v/>
      </c>
      <c r="FJ274" s="55">
        <f>IF($B274=$B273,$FJ273,0)+$FI274</f>
        <v/>
      </c>
      <c r="FK274" s="55">
        <f>$FK273+$FI274</f>
        <v/>
      </c>
      <c r="FL274" s="55">
        <f>SUMIFS(tblPlant[Lime_kg],tblPlant[Date],$A274)</f>
        <v/>
      </c>
      <c r="FM274" s="55">
        <f>IF($B274=$B273,$FM273,0)+$FL274</f>
        <v/>
      </c>
      <c r="FN274" s="55">
        <f>$FN273+$FL274</f>
        <v/>
      </c>
      <c r="FO274" s="55">
        <f>SUMIFS(tblPlant[Grinding_Media_kg],tblPlant[Date],$A274)</f>
        <v/>
      </c>
      <c r="FP274" s="55">
        <f>IF($B274=$B273,$FP273,0)+$FO274</f>
        <v/>
      </c>
      <c r="FQ274" s="55">
        <f>$FQ273+$FO274</f>
        <v/>
      </c>
      <c r="FR274" s="55">
        <f>SUMIFS(tblPlant[Power_kWh],tblPlant[Date],$A274)</f>
        <v/>
      </c>
      <c r="FS274" s="55">
        <f>IF($B274=$B273,$FS273,0)+$FR274</f>
        <v/>
      </c>
      <c r="FT274" s="55">
        <f>$FT273+$FR274</f>
        <v/>
      </c>
      <c r="FU274" s="55">
        <f>SUMIFS(tblPlant[Raw_Water_m3],tblPlant[Date],$A274)</f>
        <v/>
      </c>
      <c r="FV274" s="55">
        <f>IF($B274=$B273,$FV273,0)+$FU274</f>
        <v/>
      </c>
      <c r="FW274" s="55">
        <f>$FW273+$FU274</f>
        <v/>
      </c>
      <c r="FX274" s="56">
        <f>IFERROR(IF(($CU274)&gt;0,($FI274)/($CU274),""),"")</f>
        <v/>
      </c>
      <c r="FY274" s="56">
        <f>IFERROR(IF(($CV274)&gt;0,($FJ274)/($CV274),""),"")</f>
        <v/>
      </c>
      <c r="FZ274" s="56">
        <f>IFERROR(IF(($CW274)&gt;0,($FK274)/($CW274),""),"")</f>
        <v/>
      </c>
      <c r="GA274" s="56">
        <f>IFERROR(IF(($CU274)&gt;0,($FL274)/($CU274),""),"")</f>
        <v/>
      </c>
      <c r="GB274" s="56">
        <f>IFERROR(IF(($CV274)&gt;0,($FM274)/($CV274),""),"")</f>
        <v/>
      </c>
      <c r="GC274" s="56">
        <f>IFERROR(IF(($CW274)&gt;0,($FN274)/($CW274),""),"")</f>
        <v/>
      </c>
      <c r="GD274" s="56">
        <f>IFERROR(IF(($CU274)&gt;0,($FO274)/($CU274),""),"")</f>
        <v/>
      </c>
      <c r="GE274" s="56">
        <f>IFERROR(IF(($CV274)&gt;0,($FP274)/($CV274),""),"")</f>
        <v/>
      </c>
      <c r="GF274" s="56">
        <f>IFERROR(IF(($CW274)&gt;0,($FQ274)/($CW274),""),"")</f>
        <v/>
      </c>
      <c r="GG274" s="79">
        <f>IFERROR(IF(($CU274)&gt;0,($FR274)/($CU274),""),"")</f>
        <v/>
      </c>
      <c r="GH274" s="79">
        <f>IFERROR(IF(($CV274)&gt;0,($FS274)/($CV274),""),"")</f>
        <v/>
      </c>
      <c r="GI274" s="79">
        <f>IFERROR(IF(($CW274)&gt;0,($FT274)/($CW274),""),"")</f>
        <v/>
      </c>
      <c r="GJ274" s="56">
        <f>IFERROR(IF(($CU274)&gt;0,($FU274)/($CU274),""),"")</f>
        <v/>
      </c>
      <c r="GK274" s="56">
        <f>IFERROR(IF(($CV274)&gt;0,($FV274)/($CV274),""),"")</f>
        <v/>
      </c>
      <c r="GL274" s="56">
        <f>IFERROR(IF(($CW274)&gt;0,($FW274)/($CW274),""),"")</f>
        <v/>
      </c>
      <c r="GM274" s="55">
        <f>IF(SUMIFS(tblPlant[GIC_oz],tblPlant[Date],$A274)&gt;0,SUMIFS(tblPlant[GIC_oz],tblPlant[Date],$A274),"")</f>
        <v/>
      </c>
      <c r="GN274" s="55">
        <f>SUMIFS(tblGold[Gold_oz],tblGold[Date],$A274,tblGold[Type],"Shipment")</f>
        <v/>
      </c>
      <c r="GO274" s="55">
        <f>IF($B274=$B273,$GO273,0)+$GN274</f>
        <v/>
      </c>
      <c r="GP274" s="55">
        <f>$GP273+$GN274</f>
        <v/>
      </c>
      <c r="GQ274" s="55">
        <f>SUMIFS(tblGold[Gold_oz],tblGold[Date],$A274,tblGold[Type],"Sale")</f>
        <v/>
      </c>
      <c r="GR274" s="55">
        <f>IF($B274=$B273,$GR273,0)+$GQ274</f>
        <v/>
      </c>
      <c r="GS274" s="55">
        <f>$GS273+$GQ274</f>
        <v/>
      </c>
      <c r="GT274" s="55">
        <f>SUMIFS(tblGold[Dore_kg],tblGold[Date],$A274,tblGold[Type],"Shipment")</f>
        <v/>
      </c>
      <c r="GU274" s="55">
        <f>IF($B274=$B273,$GU273,0)+$GT274</f>
        <v/>
      </c>
      <c r="GV274" s="55">
        <f>$GV273+$GT274</f>
        <v/>
      </c>
      <c r="GW274" s="57">
        <f>SUMIFS(tblSafety[Hours_Total],tblSafety[Date],$A274)</f>
        <v/>
      </c>
      <c r="GX274" s="57">
        <f>IF($B274=$B273,$GX273,0)+$GW274</f>
        <v/>
      </c>
      <c r="GY274" s="57">
        <f>$GY273+$GW274</f>
        <v/>
      </c>
      <c r="GZ274" s="62">
        <f>SUMIFS(tblSafety[Fatality],tblSafety[Date],$A274)</f>
        <v/>
      </c>
      <c r="HA274" s="62">
        <f>IF($B274=$B273,$HA273,0)+$GZ274</f>
        <v/>
      </c>
      <c r="HB274" s="62">
        <f>$HB273+$GZ274</f>
        <v/>
      </c>
      <c r="HC274" s="62">
        <f>SUMIFS(tblSafety[LTI],tblSafety[Date],$A274)</f>
        <v/>
      </c>
      <c r="HD274" s="62">
        <f>IF($B274=$B273,$HD273,0)+$HC274</f>
        <v/>
      </c>
      <c r="HE274" s="62">
        <f>$HE273+$HC274</f>
        <v/>
      </c>
      <c r="HF274" s="62">
        <f>SUMIFS(tblSafety[RWI],tblSafety[Date],$A274)</f>
        <v/>
      </c>
      <c r="HG274" s="62">
        <f>IF($B274=$B273,$HG273,0)+$HF274</f>
        <v/>
      </c>
      <c r="HH274" s="62">
        <f>$HH273+$HF274</f>
        <v/>
      </c>
      <c r="HI274" s="62">
        <f>SUMIFS(tblSafety[MTI],tblSafety[Date],$A274)</f>
        <v/>
      </c>
      <c r="HJ274" s="62">
        <f>IF($B274=$B273,$HJ273,0)+$HI274</f>
        <v/>
      </c>
      <c r="HK274" s="62">
        <f>$HK273+$HI274</f>
        <v/>
      </c>
      <c r="HL274" s="62">
        <f>SUMIFS(tblSafety[FAI],tblSafety[Date],$A274)</f>
        <v/>
      </c>
      <c r="HM274" s="62">
        <f>IF($B274=$B273,$HM273,0)+$HL274</f>
        <v/>
      </c>
      <c r="HN274" s="62">
        <f>$HN273+$HL274</f>
        <v/>
      </c>
      <c r="HO274" s="62">
        <f>SUMIFS(tblSafety[Recordables],tblSafety[Date],$A274)</f>
        <v/>
      </c>
      <c r="HP274" s="62">
        <f>IF($B274=$B273,$HP273,0)+$HO274</f>
        <v/>
      </c>
      <c r="HQ274" s="62">
        <f>$HQ273+$HO274</f>
        <v/>
      </c>
      <c r="HR274" s="62">
        <f>SUMIFS(tblSafety[Near_Miss],tblSafety[Date],$A274)</f>
        <v/>
      </c>
      <c r="HS274" s="62">
        <f>IF($B274=$B273,$HS273,0)+$HR274</f>
        <v/>
      </c>
      <c r="HT274" s="62">
        <f>$HT273+$HR274</f>
        <v/>
      </c>
      <c r="HU274" s="62">
        <f>SUMIFS(tblSafety[Hazard_Reports],tblSafety[Date],$A274)</f>
        <v/>
      </c>
      <c r="HV274" s="62">
        <f>IF($B274=$B273,$HV273,0)+$HU274</f>
        <v/>
      </c>
      <c r="HW274" s="62">
        <f>$HW273+$HU274</f>
        <v/>
      </c>
      <c r="HX274" s="62">
        <f>SUMIFS(tblSafety[HPI],tblSafety[Date],$A274)</f>
        <v/>
      </c>
      <c r="HY274" s="62">
        <f>IF($B274=$B273,$HY273,0)+$HX274</f>
        <v/>
      </c>
      <c r="HZ274" s="62">
        <f>$HZ273+$HX274</f>
        <v/>
      </c>
      <c r="IA274" s="62">
        <f>SUMIFS(tblSafety[Env_Incidents],tblSafety[Date],$A274)</f>
        <v/>
      </c>
      <c r="IB274" s="62">
        <f>IF($B274=$B273,$IB273,0)+$IA274</f>
        <v/>
      </c>
      <c r="IC274" s="62">
        <f>$IC273+$IA274</f>
        <v/>
      </c>
      <c r="ID274" s="62">
        <f>SUMIFS(tblSafety[Community_Incidents],tblSafety[Date],$A274)</f>
        <v/>
      </c>
      <c r="IE274" s="62">
        <f>IF($B274=$B273,$IE273,0)+$ID274</f>
        <v/>
      </c>
      <c r="IF274" s="62">
        <f>$IF273+$ID274</f>
        <v/>
      </c>
      <c r="IG274" s="62">
        <f>SUMIFS(tblSafety[Vehicle_Incidents],tblSafety[Date],$A274)</f>
        <v/>
      </c>
      <c r="IH274" s="62">
        <f>IF($B274=$B273,$IH273,0)+$IG274</f>
        <v/>
      </c>
      <c r="II274" s="62">
        <f>$II273+$IG274</f>
        <v/>
      </c>
      <c r="IJ274" s="62">
        <f>SUMIFS(tblSafety[Toolbox_Talks],tblSafety[Date],$A274)</f>
        <v/>
      </c>
      <c r="IK274" s="62">
        <f>IF($B274=$B273,$IK273,0)+$IJ274</f>
        <v/>
      </c>
      <c r="IL274" s="62">
        <f>$IL273+$IJ274</f>
        <v/>
      </c>
      <c r="IM274" s="62">
        <f>SUMIFS(tblSafety[Inspections],tblSafety[Date],$A274)</f>
        <v/>
      </c>
      <c r="IN274" s="62">
        <f>IF($B274=$B273,$IN273,0)+$IM274</f>
        <v/>
      </c>
      <c r="IO274" s="62">
        <f>$IO273+$IM274</f>
        <v/>
      </c>
      <c r="IP274" s="56">
        <f>IFERROR((SUMIFS(tblSafety[Recordables],tblSafety[Date],"&gt;="&amp;EDATE($E274,-12),tblSafety[Date],"&lt;="&amp;$A274)+SUMIFS(tblSafetyHistory[Recordables],tblSafetyHistory[Month],"&gt;="&amp;EDATE($E274,-12),tblSafetyHistory[Month],"&lt;"&amp;$E274,tblSafetyHistory[Use],1))/(SUMIFS(tblSafety[Hours_Total],tblSafety[Date],"&gt;="&amp;EDATE($E274,-12),tblSafety[Date],"&lt;="&amp;$A274)+SUMIFS(tblSafetyHistory[Hours_Total],tblSafetyHistory[Month],"&gt;="&amp;EDATE($E274,-12),tblSafetyHistory[Month],"&lt;"&amp;$E274,tblSafetyHistory[Use],1))*cfg_RateBasisHours,"")</f>
        <v/>
      </c>
      <c r="IQ274" s="56">
        <f>IFERROR((SUMIFS(tblSafety[LTI],tblSafety[Date],"&gt;="&amp;EDATE($E274,-12),tblSafety[Date],"&lt;="&amp;$A274)+SUMIFS(tblSafetyHistory[LTI],tblSafetyHistory[Month],"&gt;="&amp;EDATE($E274,-12),tblSafetyHistory[Month],"&lt;"&amp;$E274,tblSafetyHistory[Use],1))/(SUMIFS(tblSafety[Hours_Total],tblSafety[Date],"&gt;="&amp;EDATE($E274,-12),tblSafety[Date],"&lt;="&amp;$A274)+SUMIFS(tblSafetyHistory[Hours_Total],tblSafetyHistory[Month],"&gt;="&amp;EDATE($E274,-12),tblSafetyHistory[Month],"&lt;"&amp;$E274,tblSafetyHistory[Use],1))*cfg_RateBasisHours,"")</f>
        <v/>
      </c>
      <c r="IR274" s="62">
        <f>IF(MAX(N(cfg_PriorLTIDate),_xlfn.MAXIFS(tblSafety[Date],tblSafety[LTI],"&gt;0",tblSafety[Date],"&lt;="&amp;$A274))=0,"",$A274-MAX(N(cfg_PriorLTIDate),_xlfn.MAXIFS(tblSafety[Date],tblSafety[LTI],"&gt;0",tblSafety[Date],"&lt;="&amp;$A274)))</f>
        <v/>
      </c>
      <c r="IS274" s="55">
        <f>SUMIFS(tblBudget[Ore_Mined_t],tblBudget[Month],$E274)</f>
        <v/>
      </c>
      <c r="IT274" s="55">
        <f>$IS274*$C274/$D274</f>
        <v/>
      </c>
      <c r="IU274" s="55">
        <f>SUMIFS(tblBudget[Ore_Mined_t],tblBudget[Month],"&lt;"&amp;$E274)+$IT274</f>
        <v/>
      </c>
      <c r="IV274" s="55">
        <f>SUMIFS(tblBudget[Ore_oz],tblBudget[Month],$E274)</f>
        <v/>
      </c>
      <c r="IW274" s="55">
        <f>$IV274*$C274/$D274</f>
        <v/>
      </c>
      <c r="IX274" s="55">
        <f>SUMIFS(tblBudget[Ore_oz],tblBudget[Month],"&lt;"&amp;$E274)+$IW274</f>
        <v/>
      </c>
      <c r="IY274" s="55">
        <f>SUMIFS(tblBudget[Ore_Mined_t],tblBudget[Month],$E274)</f>
        <v/>
      </c>
      <c r="IZ274" s="55">
        <f>$IY274*$C274/$D274</f>
        <v/>
      </c>
      <c r="JA274" s="55">
        <f>SUMIFS(tblBudget[Ore_Mined_t],tblBudget[Month],"&lt;"&amp;$E274)+$IZ274</f>
        <v/>
      </c>
      <c r="JB274" s="56">
        <f>IFERROR(IF(($IY274)&gt;0,($IV274*cfg_TroyOz)/($IY274),""),"")</f>
        <v/>
      </c>
      <c r="JC274" s="56">
        <f>IFERROR(IF(($IZ274)&gt;0,($IW274*cfg_TroyOz)/($IZ274),""),"")</f>
        <v/>
      </c>
      <c r="JD274" s="56">
        <f>IFERROR(IF(($JA274)&gt;0,($IX274*cfg_TroyOz)/($JA274),""),"")</f>
        <v/>
      </c>
      <c r="JE274" s="55">
        <f>SUMIFS(tblBudget[Waste_t],tblBudget[Month],$E274)</f>
        <v/>
      </c>
      <c r="JF274" s="55">
        <f>$JE274*$C274/$D274</f>
        <v/>
      </c>
      <c r="JG274" s="55">
        <f>SUMIFS(tblBudget[Waste_t],tblBudget[Month],"&lt;"&amp;$E274)+$JF274</f>
        <v/>
      </c>
      <c r="JH274" s="55">
        <f>SUMIFS(tblBudget[TMM_t],tblBudget[Month],$E274)</f>
        <v/>
      </c>
      <c r="JI274" s="55">
        <f>$JH274*$C274/$D274</f>
        <v/>
      </c>
      <c r="JJ274" s="55">
        <f>SUMIFS(tblBudget[TMM_t],tblBudget[Month],"&lt;"&amp;$E274)+$JI274</f>
        <v/>
      </c>
      <c r="JK274" s="56">
        <f>IFERROR(IF(($IS274)&gt;0,($JE274)/($IS274),""),"")</f>
        <v/>
      </c>
      <c r="JL274" s="56">
        <f>IFERROR(IF(($IT274)&gt;0,($JF274)/($IT274),""),"")</f>
        <v/>
      </c>
      <c r="JM274" s="56">
        <f>IFERROR(IF(($IU274)&gt;0,($JG274)/($IU274),""),"")</f>
        <v/>
      </c>
      <c r="JN274" s="55">
        <f>SUMIFS(tblBudget[Drill_m],tblBudget[Month],$E274)</f>
        <v/>
      </c>
      <c r="JO274" s="55">
        <f>$JN274*$C274/$D274</f>
        <v/>
      </c>
      <c r="JP274" s="55">
        <f>SUMIFS(tblBudget[Drill_m],tblBudget[Month],"&lt;"&amp;$E274)+$JO274</f>
        <v/>
      </c>
      <c r="JQ274" s="55">
        <f>SUMIFS(tblBudget[Diesel_L],tblBudget[Month],$E274)</f>
        <v/>
      </c>
      <c r="JR274" s="55">
        <f>$JQ274*$C274/$D274</f>
        <v/>
      </c>
      <c r="JS274" s="55">
        <f>SUMIFS(tblBudget[Diesel_L],tblBudget[Month],"&lt;"&amp;$E274)+$JR274</f>
        <v/>
      </c>
      <c r="JT274" s="55">
        <f>SUMIFS(tblBudget[Milled_t],tblBudget[Month],$E274)</f>
        <v/>
      </c>
      <c r="JU274" s="55">
        <f>$JT274*$C274/$D274</f>
        <v/>
      </c>
      <c r="JV274" s="55">
        <f>SUMIFS(tblBudget[Milled_t],tblBudget[Month],"&lt;"&amp;$E274)+$JU274</f>
        <v/>
      </c>
      <c r="JW274" s="55">
        <f>SUMIFS(tblBudget[Feed_oz],tblBudget[Month],$E274)</f>
        <v/>
      </c>
      <c r="JX274" s="55">
        <f>$JW274*$C274/$D274</f>
        <v/>
      </c>
      <c r="JY274" s="55">
        <f>SUMIFS(tblBudget[Feed_oz],tblBudget[Month],"&lt;"&amp;$E274)+$JX274</f>
        <v/>
      </c>
      <c r="JZ274" s="55">
        <f>SUMIFS(tblBudget[Recovered_oz],tblBudget[Month],$E274)</f>
        <v/>
      </c>
      <c r="KA274" s="55">
        <f>$JZ274*$C274/$D274</f>
        <v/>
      </c>
      <c r="KB274" s="55">
        <f>SUMIFS(tblBudget[Recovered_oz],tblBudget[Month],"&lt;"&amp;$E274)+$KA274</f>
        <v/>
      </c>
      <c r="KC274" s="55">
        <f>SUMIFS(tblBudget[Milled_t],tblBudget[Month],$E274)</f>
        <v/>
      </c>
      <c r="KD274" s="55">
        <f>$KC274*$C274/$D274</f>
        <v/>
      </c>
      <c r="KE274" s="55">
        <f>SUMIFS(tblBudget[Milled_t],tblBudget[Month],"&lt;"&amp;$E274)+$KD274</f>
        <v/>
      </c>
      <c r="KF274" s="55">
        <f>SUMIFS(tblBudget[Feed_oz],tblBudget[Month],$E274)</f>
        <v/>
      </c>
      <c r="KG274" s="55">
        <f>$KF274*$C274/$D274</f>
        <v/>
      </c>
      <c r="KH274" s="55">
        <f>SUMIFS(tblBudget[Feed_oz],tblBudget[Month],"&lt;"&amp;$E274)+$KG274</f>
        <v/>
      </c>
      <c r="KI274" s="56">
        <f>IFERROR(IF(($KC274)&gt;0,($JW274*cfg_TroyOz)/($KC274),""),"")</f>
        <v/>
      </c>
      <c r="KJ274" s="56">
        <f>IFERROR(IF(($KD274)&gt;0,($JX274*cfg_TroyOz)/($KD274),""),"")</f>
        <v/>
      </c>
      <c r="KK274" s="56">
        <f>IFERROR(IF(($KE274)&gt;0,($JY274*cfg_TroyOz)/($KE274),""),"")</f>
        <v/>
      </c>
      <c r="KL274" s="67">
        <f>IFERROR(IF(($KF274)&gt;0,($JZ274)/($KF274),""),"")</f>
        <v/>
      </c>
      <c r="KM274" s="67">
        <f>IFERROR(IF(($KG274)&gt;0,($KA274)/($KG274),""),"")</f>
        <v/>
      </c>
      <c r="KN274" s="67">
        <f>IFERROR(IF(($KH274)&gt;0,($KB274)/($KH274),""),"")</f>
        <v/>
      </c>
      <c r="KO274" s="55">
        <f>SUMIFS(tblBudget[Gold_Poured_oz],tblBudget[Month],$E274)</f>
        <v/>
      </c>
      <c r="KP274" s="55">
        <f>$KO274*$C274/$D274</f>
        <v/>
      </c>
      <c r="KQ274" s="55">
        <f>SUMIFS(tblBudget[Gold_Poured_oz],tblBudget[Month],"&lt;"&amp;$E274)+$KP274</f>
        <v/>
      </c>
      <c r="KR274" s="57">
        <f>SUMIFS(tblBudget[Hours_Worked],tblBudget[Month],$E274)</f>
        <v/>
      </c>
      <c r="KS274" s="57">
        <f>$KR274*$C274/$D274</f>
        <v/>
      </c>
      <c r="KT274" s="57">
        <f>SUMIFS(tblBudget[Hours_Worked],tblBudget[Month],"&lt;"&amp;$E274)+$KS274</f>
        <v/>
      </c>
    </row>
    <row r="275">
      <c r="A275" s="54" t="n">
        <v>46296</v>
      </c>
      <c r="B275">
        <f>MONTH($A275)</f>
        <v/>
      </c>
      <c r="C275">
        <f>DAY($A275)</f>
        <v/>
      </c>
      <c r="D275">
        <f>DAY(EOMONTH($A275,0))</f>
        <v/>
      </c>
      <c r="E275" s="54">
        <f>DATE(YEAR($A275),MONTH($A275),1)</f>
        <v/>
      </c>
      <c r="F275" s="55">
        <f>SUMIFS(tblMovement[Tonnes_t],tblMovement[Date],$A275,tblMovement[Is_Ore],1,tblMovement[Source_Type],"Pit")</f>
        <v/>
      </c>
      <c r="G275" s="55">
        <f>IF($B275=$B274,$G274,0)+$F275</f>
        <v/>
      </c>
      <c r="H275" s="55">
        <f>$H274+$F275</f>
        <v/>
      </c>
      <c r="I275" s="55">
        <f>SUMIFS(tblMovement[Ore_oz],tblMovement[Date],$A275,tblMovement[Source_Type],"Pit")</f>
        <v/>
      </c>
      <c r="J275" s="55">
        <f>IF($B275=$B274,$J274,0)+$I275</f>
        <v/>
      </c>
      <c r="K275" s="55">
        <f>$K274+$I275</f>
        <v/>
      </c>
      <c r="L275" s="55">
        <f>SUMIFS(tblMovement[Tonnes_t],tblMovement[Date],$A275,tblMovement[Is_Ore],1,tblMovement[Source_Type],"Pit",tblMovement[Grade_gpt],"&lt;&gt;")</f>
        <v/>
      </c>
      <c r="M275" s="55">
        <f>IF($B275=$B274,$M274,0)+$L275</f>
        <v/>
      </c>
      <c r="N275" s="55">
        <f>$N274+$L275</f>
        <v/>
      </c>
      <c r="O275" s="56">
        <f>IFERROR(IF(($L275)&gt;0,($I275*cfg_TroyOz)/($L275),""),"")</f>
        <v/>
      </c>
      <c r="P275" s="56">
        <f>IFERROR(IF(($M275)&gt;0,($J275*cfg_TroyOz)/($M275),""),"")</f>
        <v/>
      </c>
      <c r="Q275" s="56">
        <f>IFERROR(IF(($N275)&gt;0,($K275*cfg_TroyOz)/($N275),""),"")</f>
        <v/>
      </c>
      <c r="R275" s="55">
        <f>$F275-$L275</f>
        <v/>
      </c>
      <c r="S275" s="55">
        <f>IF($B275=$B274,$S274,0)+$R275</f>
        <v/>
      </c>
      <c r="T275" s="55">
        <f>$T274+$R275</f>
        <v/>
      </c>
      <c r="U275" s="55">
        <f>SUMIFS(tblMovement[Tonnes_t],tblMovement[Date],$A275,tblMovement[Is_Ore],0,tblMovement[Source_Type],"Pit")</f>
        <v/>
      </c>
      <c r="V275" s="55">
        <f>IF($B275=$B274,$V274,0)+$U275</f>
        <v/>
      </c>
      <c r="W275" s="55">
        <f>$W274+$U275</f>
        <v/>
      </c>
      <c r="X275" s="55">
        <f>$F275+$U275</f>
        <v/>
      </c>
      <c r="Y275" s="55">
        <f>IF($B275=$B274,$Y274,0)+$X275</f>
        <v/>
      </c>
      <c r="Z275" s="55">
        <f>$Z274+$X275</f>
        <v/>
      </c>
      <c r="AA275" s="56">
        <f>IFERROR(IF(($F275)&gt;0,($U275)/($F275),""),"")</f>
        <v/>
      </c>
      <c r="AB275" s="56">
        <f>IFERROR(IF(($G275)&gt;0,($V275)/($G275),""),"")</f>
        <v/>
      </c>
      <c r="AC275" s="56">
        <f>IFERROR(IF(($H275)&gt;0,($W275)/($H275),""),"")</f>
        <v/>
      </c>
      <c r="AD275" s="55">
        <f>SUMIFS(tblMovement[Tonnes_t],tblMovement[Date],$A275,tblMovement[Source_Type],"Stockpile")</f>
        <v/>
      </c>
      <c r="AE275" s="55">
        <f>IF($B275=$B274,$AE274,0)+$AD275</f>
        <v/>
      </c>
      <c r="AF275" s="55">
        <f>$AF274+$AD275</f>
        <v/>
      </c>
      <c r="AG275" s="55">
        <f>SUMIFS(tblMovement[Tonnes_t],tblMovement[Date],$A275)</f>
        <v/>
      </c>
      <c r="AH275" s="55">
        <f>IF($B275=$B274,$AH274,0)+$AG275</f>
        <v/>
      </c>
      <c r="AI275" s="55">
        <f>$AI274+$AG275</f>
        <v/>
      </c>
      <c r="AJ275" s="55">
        <f>$AG275-$X275-$AD275</f>
        <v/>
      </c>
      <c r="AK275" s="55">
        <f>IF($B275=$B274,$AK274,0)+$AJ275</f>
        <v/>
      </c>
      <c r="AL275" s="55">
        <f>$AL274+$AJ275</f>
        <v/>
      </c>
      <c r="AM275" s="55">
        <f>SUMIFS(tblMiningDaily[Drill_m],tblMiningDaily[Date],$A275)</f>
        <v/>
      </c>
      <c r="AN275" s="55">
        <f>IF($B275=$B274,$AN274,0)+$AM275</f>
        <v/>
      </c>
      <c r="AO275" s="55">
        <f>$AO274+$AM275</f>
        <v/>
      </c>
      <c r="AP275" s="55">
        <f>SUMIFS(tblMiningDaily[GC_Drill_m],tblMiningDaily[Date],$A275)</f>
        <v/>
      </c>
      <c r="AQ275" s="55">
        <f>IF($B275=$B274,$AQ274,0)+$AP275</f>
        <v/>
      </c>
      <c r="AR275" s="55">
        <f>$AR274+$AP275</f>
        <v/>
      </c>
      <c r="AS275" s="55">
        <f>SUMIFS(tblMiningDaily[Blast_t],tblMiningDaily[Date],$A275)</f>
        <v/>
      </c>
      <c r="AT275" s="55">
        <f>IF($B275=$B274,$AT274,0)+$AS275</f>
        <v/>
      </c>
      <c r="AU275" s="55">
        <f>$AU274+$AS275</f>
        <v/>
      </c>
      <c r="AV275" s="55">
        <f>SUMIFS(tblMiningDaily[Explosives_kg],tblMiningDaily[Date],$A275)</f>
        <v/>
      </c>
      <c r="AW275" s="55">
        <f>IF($B275=$B274,$AW274,0)+$AV275</f>
        <v/>
      </c>
      <c r="AX275" s="55">
        <f>$AX274+$AV275</f>
        <v/>
      </c>
      <c r="AY275" s="56">
        <f>IFERROR(IF(($AS275)&gt;0,($AV275)/($AS275),""),"")</f>
        <v/>
      </c>
      <c r="AZ275" s="56">
        <f>IFERROR(IF(($AT275)&gt;0,($AW275)/($AT275),""),"")</f>
        <v/>
      </c>
      <c r="BA275" s="56">
        <f>IFERROR(IF(($AU275)&gt;0,($AX275)/($AU275),""),"")</f>
        <v/>
      </c>
      <c r="BB275" s="55">
        <f>SUMIFS(tblMiningDaily[Diesel_L],tblMiningDaily[Date],$A275)</f>
        <v/>
      </c>
      <c r="BC275" s="55">
        <f>IF($B275=$B274,$BC274,0)+$BB275</f>
        <v/>
      </c>
      <c r="BD275" s="55">
        <f>$BD274+$BB275</f>
        <v/>
      </c>
      <c r="BE275" s="55">
        <f>SUMIFS(tblMiningDaily[Dewatering_m3],tblMiningDaily[Date],$A275)</f>
        <v/>
      </c>
      <c r="BF275" s="55">
        <f>IF($B275=$B274,$BF274,0)+$BE275</f>
        <v/>
      </c>
      <c r="BG275" s="55">
        <f>$BG274+$BE275</f>
        <v/>
      </c>
      <c r="BH275" s="57">
        <f>SUMIFS(tblFleet[Calendar_h],tblFleet[Date],$A275,tblFleet[Equipment_Class],"Excavator")</f>
        <v/>
      </c>
      <c r="BI275" s="57">
        <f>IF($B275=$B274,$BI274,0)+$BH275</f>
        <v/>
      </c>
      <c r="BJ275" s="57">
        <f>$BJ274+$BH275</f>
        <v/>
      </c>
      <c r="BK275" s="57">
        <f>SUMIFS(tblFleet[Available_h],tblFleet[Date],$A275,tblFleet[Equipment_Class],"Excavator")</f>
        <v/>
      </c>
      <c r="BL275" s="57">
        <f>IF($B275=$B274,$BL274,0)+$BK275</f>
        <v/>
      </c>
      <c r="BM275" s="57">
        <f>$BM274+$BK275</f>
        <v/>
      </c>
      <c r="BN275" s="57">
        <f>SUMIFS(tblFleet[Operating_h],tblFleet[Date],$A275,tblFleet[Equipment_Class],"Excavator")</f>
        <v/>
      </c>
      <c r="BO275" s="57">
        <f>IF($B275=$B274,$BO274,0)+$BN275</f>
        <v/>
      </c>
      <c r="BP275" s="57">
        <f>$BP274+$BN275</f>
        <v/>
      </c>
      <c r="BQ275" s="67">
        <f>IFERROR(IF(($BH275)&gt;0,($BK275)/($BH275),""),"")</f>
        <v/>
      </c>
      <c r="BR275" s="67">
        <f>IFERROR(IF(($BI275)&gt;0,($BL275)/($BI275),""),"")</f>
        <v/>
      </c>
      <c r="BS275" s="67">
        <f>IFERROR(IF(($BJ275)&gt;0,($BM275)/($BJ275),""),"")</f>
        <v/>
      </c>
      <c r="BT275" s="67">
        <f>IFERROR(IF(($BK275)&gt;0,($BN275)/($BK275),""),"")</f>
        <v/>
      </c>
      <c r="BU275" s="67">
        <f>IFERROR(IF(($BL275)&gt;0,($BO275)/($BL275),""),"")</f>
        <v/>
      </c>
      <c r="BV275" s="67">
        <f>IFERROR(IF(($BM275)&gt;0,($BP275)/($BM275),""),"")</f>
        <v/>
      </c>
      <c r="BW275" s="57">
        <f>SUMIFS(tblFleet[Calendar_h],tblFleet[Date],$A275,tblFleet[Equipment_Class],"Haul Truck")</f>
        <v/>
      </c>
      <c r="BX275" s="57">
        <f>IF($B275=$B274,$BX274,0)+$BW275</f>
        <v/>
      </c>
      <c r="BY275" s="57">
        <f>$BY274+$BW275</f>
        <v/>
      </c>
      <c r="BZ275" s="57">
        <f>SUMIFS(tblFleet[Available_h],tblFleet[Date],$A275,tblFleet[Equipment_Class],"Haul Truck")</f>
        <v/>
      </c>
      <c r="CA275" s="57">
        <f>IF($B275=$B274,$CA274,0)+$BZ275</f>
        <v/>
      </c>
      <c r="CB275" s="57">
        <f>$CB274+$BZ275</f>
        <v/>
      </c>
      <c r="CC275" s="57">
        <f>SUMIFS(tblFleet[Operating_h],tblFleet[Date],$A275,tblFleet[Equipment_Class],"Haul Truck")</f>
        <v/>
      </c>
      <c r="CD275" s="57">
        <f>IF($B275=$B274,$CD274,0)+$CC275</f>
        <v/>
      </c>
      <c r="CE275" s="57">
        <f>$CE274+$CC275</f>
        <v/>
      </c>
      <c r="CF275" s="67">
        <f>IFERROR(IF(($BW275)&gt;0,($BZ275)/($BW275),""),"")</f>
        <v/>
      </c>
      <c r="CG275" s="67">
        <f>IFERROR(IF(($BX275)&gt;0,($CA275)/($BX275),""),"")</f>
        <v/>
      </c>
      <c r="CH275" s="67">
        <f>IFERROR(IF(($BY275)&gt;0,($CB275)/($BY275),""),"")</f>
        <v/>
      </c>
      <c r="CI275" s="67">
        <f>IFERROR(IF(($BZ275)&gt;0,($CC275)/($BZ275),""),"")</f>
        <v/>
      </c>
      <c r="CJ275" s="67">
        <f>IFERROR(IF(($CA275)&gt;0,($CD275)/($CA275),""),"")</f>
        <v/>
      </c>
      <c r="CK275" s="67">
        <f>IFERROR(IF(($CB275)&gt;0,($CE275)/($CB275),""),"")</f>
        <v/>
      </c>
      <c r="CL275" s="55">
        <f>IFERROR(IF(($BN275)&gt;0,($X275+$AD275)/($BN275),""),"")</f>
        <v/>
      </c>
      <c r="CM275" s="55">
        <f>IFERROR(IF(($BO275)&gt;0,($Y275+$AE275)/($BO275),""),"")</f>
        <v/>
      </c>
      <c r="CN275" s="55">
        <f>IFERROR(IF(($BP275)&gt;0,($Z275+$AF275)/($BP275),""),"")</f>
        <v/>
      </c>
      <c r="CO275" s="55">
        <f>IFERROR(IF(($CC275)&gt;0,($X275+$AD275)/($CC275),""),"")</f>
        <v/>
      </c>
      <c r="CP275" s="55">
        <f>IFERROR(IF(($CD275)&gt;0,($Y275+$AE275)/($CD275),""),"")</f>
        <v/>
      </c>
      <c r="CQ275" s="55">
        <f>IFERROR(IF(($CE275)&gt;0,($Z275+$AF275)/($CE275),""),"")</f>
        <v/>
      </c>
      <c r="CR275" s="55">
        <f>SUMIFS(tblPlant[Crushed_t],tblPlant[Date],$A275)</f>
        <v/>
      </c>
      <c r="CS275" s="55">
        <f>IF($B275=$B274,$CS274,0)+$CR275</f>
        <v/>
      </c>
      <c r="CT275" s="55">
        <f>$CT274+$CR275</f>
        <v/>
      </c>
      <c r="CU275" s="55">
        <f>SUMIFS(tblPlant[Milled_t],tblPlant[Date],$A275)</f>
        <v/>
      </c>
      <c r="CV275" s="55">
        <f>IF($B275=$B274,$CV274,0)+$CU275</f>
        <v/>
      </c>
      <c r="CW275" s="55">
        <f>$CW274+$CU275</f>
        <v/>
      </c>
      <c r="CX275" s="55">
        <f>SUMIFS(tblPlant[Feed_oz],tblPlant[Date],$A275)</f>
        <v/>
      </c>
      <c r="CY275" s="55">
        <f>IF($B275=$B274,$CY274,0)+$CX275</f>
        <v/>
      </c>
      <c r="CZ275" s="55">
        <f>$CZ274+$CX275</f>
        <v/>
      </c>
      <c r="DA275" s="55">
        <f>SUMIFS(tblPlant[Tails_oz],tblPlant[Date],$A275)</f>
        <v/>
      </c>
      <c r="DB275" s="55">
        <f>IF($B275=$B274,$DB274,0)+$DA275</f>
        <v/>
      </c>
      <c r="DC275" s="55">
        <f>$DC274+$DA275</f>
        <v/>
      </c>
      <c r="DD275" s="55">
        <f>SUMIFS(tblPlant[Recovered_oz],tblPlant[Date],$A275)</f>
        <v/>
      </c>
      <c r="DE275" s="55">
        <f>IF($B275=$B274,$DE274,0)+$DD275</f>
        <v/>
      </c>
      <c r="DF275" s="55">
        <f>$DF274+$DD275</f>
        <v/>
      </c>
      <c r="DG275" s="55">
        <f>SUMIFS(tblPlant[Milled_t],tblPlant[Date],$A275,tblPlant[Head_Grade_gpt],"&lt;&gt;")</f>
        <v/>
      </c>
      <c r="DH275" s="55">
        <f>IF($B275=$B274,$DH274,0)+$DG275</f>
        <v/>
      </c>
      <c r="DI275" s="55">
        <f>$DI274+$DG275</f>
        <v/>
      </c>
      <c r="DJ275" s="55">
        <f>SUMIFS(tblPlant[Milled_t],tblPlant[Date],$A275,tblPlant[Tails_Grade_gpt],"&lt;&gt;")</f>
        <v/>
      </c>
      <c r="DK275" s="55">
        <f>IF($B275=$B274,$DK274,0)+$DJ275</f>
        <v/>
      </c>
      <c r="DL275" s="55">
        <f>$DL274+$DJ275</f>
        <v/>
      </c>
      <c r="DM275" s="55">
        <f>SUMIFS(tblPlant[Feed_oz],tblPlant[Date],$A275,tblPlant[Tails_Grade_gpt],"&lt;&gt;")</f>
        <v/>
      </c>
      <c r="DN275" s="55">
        <f>IF($B275=$B274,$DN274,0)+$DM275</f>
        <v/>
      </c>
      <c r="DO275" s="55">
        <f>$DO274+$DM275</f>
        <v/>
      </c>
      <c r="DP275" s="55">
        <f>SUMIFS(tblPlant[Milled_t],tblPlant[Date],$A275,tblPlant[Mill_Run_h],"&lt;&gt;")</f>
        <v/>
      </c>
      <c r="DQ275" s="55">
        <f>IF($B275=$B274,$DQ274,0)+$DP275</f>
        <v/>
      </c>
      <c r="DR275" s="55">
        <f>$DR274+$DP275</f>
        <v/>
      </c>
      <c r="DS275" s="56">
        <f>IFERROR(IF(($DG275)&gt;0,($CX275*cfg_TroyOz)/($DG275),""),"")</f>
        <v/>
      </c>
      <c r="DT275" s="56">
        <f>IFERROR(IF(($DH275)&gt;0,($CY275*cfg_TroyOz)/($DH275),""),"")</f>
        <v/>
      </c>
      <c r="DU275" s="56">
        <f>IFERROR(IF(($DI275)&gt;0,($CZ275*cfg_TroyOz)/($DI275),""),"")</f>
        <v/>
      </c>
      <c r="DV275" s="56">
        <f>IFERROR(IF(($DJ275)&gt;0,($DA275*cfg_TroyOz)/($DJ275),""),"")</f>
        <v/>
      </c>
      <c r="DW275" s="56">
        <f>IFERROR(IF(($DK275)&gt;0,($DB275*cfg_TroyOz)/($DK275),""),"")</f>
        <v/>
      </c>
      <c r="DX275" s="56">
        <f>IFERROR(IF(($DL275)&gt;0,($DC275*cfg_TroyOz)/($DL275),""),"")</f>
        <v/>
      </c>
      <c r="DY275" s="67">
        <f>IFERROR(IF(($DM275)&gt;0,($DD275)/($DM275),""),"")</f>
        <v/>
      </c>
      <c r="DZ275" s="67">
        <f>IFERROR(IF(($DN275)&gt;0,($DE275)/($DN275),""),"")</f>
        <v/>
      </c>
      <c r="EA275" s="67">
        <f>IFERROR(IF(($DO275)&gt;0,($DF275)/($DO275),""),"")</f>
        <v/>
      </c>
      <c r="EB275" s="55">
        <f>SUMIFS(tblPlant[Gravity_Gold_oz],tblPlant[Date],$A275)</f>
        <v/>
      </c>
      <c r="EC275" s="55">
        <f>IF($B275=$B274,$EC274,0)+$EB275</f>
        <v/>
      </c>
      <c r="ED275" s="55">
        <f>$ED274+$EB275</f>
        <v/>
      </c>
      <c r="EE275" s="67">
        <f>IFERROR(IF(($DD275)&gt;0,($EB275)/($DD275),""),"")</f>
        <v/>
      </c>
      <c r="EF275" s="67">
        <f>IFERROR(IF(($DE275)&gt;0,($EC275)/($DE275),""),"")</f>
        <v/>
      </c>
      <c r="EG275" s="67">
        <f>IFERROR(IF(($DF275)&gt;0,($ED275)/($DF275),""),"")</f>
        <v/>
      </c>
      <c r="EH275" s="55">
        <f>SUMIFS(tblPlant[Gold_Poured_oz],tblPlant[Date],$A275)</f>
        <v/>
      </c>
      <c r="EI275" s="55">
        <f>IF($B275=$B274,$EI274,0)+$EH275</f>
        <v/>
      </c>
      <c r="EJ275" s="55">
        <f>$EJ274+$EH275</f>
        <v/>
      </c>
      <c r="EK275" s="57">
        <f>SUMIFS(tblPlant[Mill_Run_h],tblPlant[Date],$A275)</f>
        <v/>
      </c>
      <c r="EL275" s="57">
        <f>IF($B275=$B274,$EL274,0)+$EK275</f>
        <v/>
      </c>
      <c r="EM275" s="57">
        <f>$EM274+$EK275</f>
        <v/>
      </c>
      <c r="EN275" s="57">
        <f>SUMIFS(tblPlant[Mill_Planned_Maint_h],tblPlant[Date],$A275)</f>
        <v/>
      </c>
      <c r="EO275" s="57">
        <f>IF($B275=$B274,$EO274,0)+$EN275</f>
        <v/>
      </c>
      <c r="EP275" s="57">
        <f>$EP274+$EN275</f>
        <v/>
      </c>
      <c r="EQ275" s="57">
        <f>SUMIFS(tblPlant[Mill_Unplanned_Down_h],tblPlant[Date],$A275)</f>
        <v/>
      </c>
      <c r="ER275" s="57">
        <f>IF($B275=$B274,$ER274,0)+$EQ275</f>
        <v/>
      </c>
      <c r="ES275" s="57">
        <f>$ES274+$EQ275</f>
        <v/>
      </c>
      <c r="ET275" s="57">
        <f>IF(COUNTIFS(tblPlant[Date],$A275,tblPlant[Mill_Run_h],"&lt;&gt;")+COUNTIFS(tblPlant[Date],$A275,tblPlant[Mill_Planned_Maint_h],"&lt;&gt;")+COUNTIFS(tblPlant[Date],$A275,tblPlant[Mill_Unplanned_Down_h],"&lt;&gt;")&gt;0,cfg_HoursPerDay,0)</f>
        <v/>
      </c>
      <c r="EU275" s="57">
        <f>IF($B275=$B274,$EU274,0)+$ET275</f>
        <v/>
      </c>
      <c r="EV275" s="57">
        <f>$EV274+$ET275</f>
        <v/>
      </c>
      <c r="EW275" s="57">
        <f>SUMIFS(tblPlant[Crusher_Run_h],tblPlant[Date],$A275)</f>
        <v/>
      </c>
      <c r="EX275" s="57">
        <f>IF($B275=$B274,$EX274,0)+$EW275</f>
        <v/>
      </c>
      <c r="EY275" s="57">
        <f>$EY274+$EW275</f>
        <v/>
      </c>
      <c r="EZ275" s="55">
        <f>IFERROR(IF(($EK275)&gt;0,($DP275)/($EK275),""),"")</f>
        <v/>
      </c>
      <c r="FA275" s="55">
        <f>IFERROR(IF(($EL275)&gt;0,($DQ275)/($EL275),""),"")</f>
        <v/>
      </c>
      <c r="FB275" s="55">
        <f>IFERROR(IF(($EM275)&gt;0,($DR275)/($EM275),""),"")</f>
        <v/>
      </c>
      <c r="FC275" s="67">
        <f>IFERROR(IF(($ET275)&gt;0,($ET275-$EN275-$EQ275)/($ET275),""),"")</f>
        <v/>
      </c>
      <c r="FD275" s="67">
        <f>IFERROR(IF(($EU275)&gt;0,($EU275-$EO275-$ER275)/($EU275),""),"")</f>
        <v/>
      </c>
      <c r="FE275" s="67">
        <f>IFERROR(IF(($EV275)&gt;0,($EV275-$EP275-$ES275)/($EV275),""),"")</f>
        <v/>
      </c>
      <c r="FF275" s="67">
        <f>IFERROR(IF(($ET275-$EN275-$EQ275)&gt;0,($EK275)/($ET275-$EN275-$EQ275),""),"")</f>
        <v/>
      </c>
      <c r="FG275" s="67">
        <f>IFERROR(IF(($EU275-$EO275-$ER275)&gt;0,($EL275)/($EU275-$EO275-$ER275),""),"")</f>
        <v/>
      </c>
      <c r="FH275" s="67">
        <f>IFERROR(IF(($EV275-$EP275-$ES275)&gt;0,($EM275)/($EV275-$EP275-$ES275),""),"")</f>
        <v/>
      </c>
      <c r="FI275" s="55">
        <f>SUMIFS(tblPlant[Cyanide_kg],tblPlant[Date],$A275)</f>
        <v/>
      </c>
      <c r="FJ275" s="55">
        <f>IF($B275=$B274,$FJ274,0)+$FI275</f>
        <v/>
      </c>
      <c r="FK275" s="55">
        <f>$FK274+$FI275</f>
        <v/>
      </c>
      <c r="FL275" s="55">
        <f>SUMIFS(tblPlant[Lime_kg],tblPlant[Date],$A275)</f>
        <v/>
      </c>
      <c r="FM275" s="55">
        <f>IF($B275=$B274,$FM274,0)+$FL275</f>
        <v/>
      </c>
      <c r="FN275" s="55">
        <f>$FN274+$FL275</f>
        <v/>
      </c>
      <c r="FO275" s="55">
        <f>SUMIFS(tblPlant[Grinding_Media_kg],tblPlant[Date],$A275)</f>
        <v/>
      </c>
      <c r="FP275" s="55">
        <f>IF($B275=$B274,$FP274,0)+$FO275</f>
        <v/>
      </c>
      <c r="FQ275" s="55">
        <f>$FQ274+$FO275</f>
        <v/>
      </c>
      <c r="FR275" s="55">
        <f>SUMIFS(tblPlant[Power_kWh],tblPlant[Date],$A275)</f>
        <v/>
      </c>
      <c r="FS275" s="55">
        <f>IF($B275=$B274,$FS274,0)+$FR275</f>
        <v/>
      </c>
      <c r="FT275" s="55">
        <f>$FT274+$FR275</f>
        <v/>
      </c>
      <c r="FU275" s="55">
        <f>SUMIFS(tblPlant[Raw_Water_m3],tblPlant[Date],$A275)</f>
        <v/>
      </c>
      <c r="FV275" s="55">
        <f>IF($B275=$B274,$FV274,0)+$FU275</f>
        <v/>
      </c>
      <c r="FW275" s="55">
        <f>$FW274+$FU275</f>
        <v/>
      </c>
      <c r="FX275" s="56">
        <f>IFERROR(IF(($CU275)&gt;0,($FI275)/($CU275),""),"")</f>
        <v/>
      </c>
      <c r="FY275" s="56">
        <f>IFERROR(IF(($CV275)&gt;0,($FJ275)/($CV275),""),"")</f>
        <v/>
      </c>
      <c r="FZ275" s="56">
        <f>IFERROR(IF(($CW275)&gt;0,($FK275)/($CW275),""),"")</f>
        <v/>
      </c>
      <c r="GA275" s="56">
        <f>IFERROR(IF(($CU275)&gt;0,($FL275)/($CU275),""),"")</f>
        <v/>
      </c>
      <c r="GB275" s="56">
        <f>IFERROR(IF(($CV275)&gt;0,($FM275)/($CV275),""),"")</f>
        <v/>
      </c>
      <c r="GC275" s="56">
        <f>IFERROR(IF(($CW275)&gt;0,($FN275)/($CW275),""),"")</f>
        <v/>
      </c>
      <c r="GD275" s="56">
        <f>IFERROR(IF(($CU275)&gt;0,($FO275)/($CU275),""),"")</f>
        <v/>
      </c>
      <c r="GE275" s="56">
        <f>IFERROR(IF(($CV275)&gt;0,($FP275)/($CV275),""),"")</f>
        <v/>
      </c>
      <c r="GF275" s="56">
        <f>IFERROR(IF(($CW275)&gt;0,($FQ275)/($CW275),""),"")</f>
        <v/>
      </c>
      <c r="GG275" s="79">
        <f>IFERROR(IF(($CU275)&gt;0,($FR275)/($CU275),""),"")</f>
        <v/>
      </c>
      <c r="GH275" s="79">
        <f>IFERROR(IF(($CV275)&gt;0,($FS275)/($CV275),""),"")</f>
        <v/>
      </c>
      <c r="GI275" s="79">
        <f>IFERROR(IF(($CW275)&gt;0,($FT275)/($CW275),""),"")</f>
        <v/>
      </c>
      <c r="GJ275" s="56">
        <f>IFERROR(IF(($CU275)&gt;0,($FU275)/($CU275),""),"")</f>
        <v/>
      </c>
      <c r="GK275" s="56">
        <f>IFERROR(IF(($CV275)&gt;0,($FV275)/($CV275),""),"")</f>
        <v/>
      </c>
      <c r="GL275" s="56">
        <f>IFERROR(IF(($CW275)&gt;0,($FW275)/($CW275),""),"")</f>
        <v/>
      </c>
      <c r="GM275" s="55">
        <f>IF(SUMIFS(tblPlant[GIC_oz],tblPlant[Date],$A275)&gt;0,SUMIFS(tblPlant[GIC_oz],tblPlant[Date],$A275),"")</f>
        <v/>
      </c>
      <c r="GN275" s="55">
        <f>SUMIFS(tblGold[Gold_oz],tblGold[Date],$A275,tblGold[Type],"Shipment")</f>
        <v/>
      </c>
      <c r="GO275" s="55">
        <f>IF($B275=$B274,$GO274,0)+$GN275</f>
        <v/>
      </c>
      <c r="GP275" s="55">
        <f>$GP274+$GN275</f>
        <v/>
      </c>
      <c r="GQ275" s="55">
        <f>SUMIFS(tblGold[Gold_oz],tblGold[Date],$A275,tblGold[Type],"Sale")</f>
        <v/>
      </c>
      <c r="GR275" s="55">
        <f>IF($B275=$B274,$GR274,0)+$GQ275</f>
        <v/>
      </c>
      <c r="GS275" s="55">
        <f>$GS274+$GQ275</f>
        <v/>
      </c>
      <c r="GT275" s="55">
        <f>SUMIFS(tblGold[Dore_kg],tblGold[Date],$A275,tblGold[Type],"Shipment")</f>
        <v/>
      </c>
      <c r="GU275" s="55">
        <f>IF($B275=$B274,$GU274,0)+$GT275</f>
        <v/>
      </c>
      <c r="GV275" s="55">
        <f>$GV274+$GT275</f>
        <v/>
      </c>
      <c r="GW275" s="57">
        <f>SUMIFS(tblSafety[Hours_Total],tblSafety[Date],$A275)</f>
        <v/>
      </c>
      <c r="GX275" s="57">
        <f>IF($B275=$B274,$GX274,0)+$GW275</f>
        <v/>
      </c>
      <c r="GY275" s="57">
        <f>$GY274+$GW275</f>
        <v/>
      </c>
      <c r="GZ275" s="62">
        <f>SUMIFS(tblSafety[Fatality],tblSafety[Date],$A275)</f>
        <v/>
      </c>
      <c r="HA275" s="62">
        <f>IF($B275=$B274,$HA274,0)+$GZ275</f>
        <v/>
      </c>
      <c r="HB275" s="62">
        <f>$HB274+$GZ275</f>
        <v/>
      </c>
      <c r="HC275" s="62">
        <f>SUMIFS(tblSafety[LTI],tblSafety[Date],$A275)</f>
        <v/>
      </c>
      <c r="HD275" s="62">
        <f>IF($B275=$B274,$HD274,0)+$HC275</f>
        <v/>
      </c>
      <c r="HE275" s="62">
        <f>$HE274+$HC275</f>
        <v/>
      </c>
      <c r="HF275" s="62">
        <f>SUMIFS(tblSafety[RWI],tblSafety[Date],$A275)</f>
        <v/>
      </c>
      <c r="HG275" s="62">
        <f>IF($B275=$B274,$HG274,0)+$HF275</f>
        <v/>
      </c>
      <c r="HH275" s="62">
        <f>$HH274+$HF275</f>
        <v/>
      </c>
      <c r="HI275" s="62">
        <f>SUMIFS(tblSafety[MTI],tblSafety[Date],$A275)</f>
        <v/>
      </c>
      <c r="HJ275" s="62">
        <f>IF($B275=$B274,$HJ274,0)+$HI275</f>
        <v/>
      </c>
      <c r="HK275" s="62">
        <f>$HK274+$HI275</f>
        <v/>
      </c>
      <c r="HL275" s="62">
        <f>SUMIFS(tblSafety[FAI],tblSafety[Date],$A275)</f>
        <v/>
      </c>
      <c r="HM275" s="62">
        <f>IF($B275=$B274,$HM274,0)+$HL275</f>
        <v/>
      </c>
      <c r="HN275" s="62">
        <f>$HN274+$HL275</f>
        <v/>
      </c>
      <c r="HO275" s="62">
        <f>SUMIFS(tblSafety[Recordables],tblSafety[Date],$A275)</f>
        <v/>
      </c>
      <c r="HP275" s="62">
        <f>IF($B275=$B274,$HP274,0)+$HO275</f>
        <v/>
      </c>
      <c r="HQ275" s="62">
        <f>$HQ274+$HO275</f>
        <v/>
      </c>
      <c r="HR275" s="62">
        <f>SUMIFS(tblSafety[Near_Miss],tblSafety[Date],$A275)</f>
        <v/>
      </c>
      <c r="HS275" s="62">
        <f>IF($B275=$B274,$HS274,0)+$HR275</f>
        <v/>
      </c>
      <c r="HT275" s="62">
        <f>$HT274+$HR275</f>
        <v/>
      </c>
      <c r="HU275" s="62">
        <f>SUMIFS(tblSafety[Hazard_Reports],tblSafety[Date],$A275)</f>
        <v/>
      </c>
      <c r="HV275" s="62">
        <f>IF($B275=$B274,$HV274,0)+$HU275</f>
        <v/>
      </c>
      <c r="HW275" s="62">
        <f>$HW274+$HU275</f>
        <v/>
      </c>
      <c r="HX275" s="62">
        <f>SUMIFS(tblSafety[HPI],tblSafety[Date],$A275)</f>
        <v/>
      </c>
      <c r="HY275" s="62">
        <f>IF($B275=$B274,$HY274,0)+$HX275</f>
        <v/>
      </c>
      <c r="HZ275" s="62">
        <f>$HZ274+$HX275</f>
        <v/>
      </c>
      <c r="IA275" s="62">
        <f>SUMIFS(tblSafety[Env_Incidents],tblSafety[Date],$A275)</f>
        <v/>
      </c>
      <c r="IB275" s="62">
        <f>IF($B275=$B274,$IB274,0)+$IA275</f>
        <v/>
      </c>
      <c r="IC275" s="62">
        <f>$IC274+$IA275</f>
        <v/>
      </c>
      <c r="ID275" s="62">
        <f>SUMIFS(tblSafety[Community_Incidents],tblSafety[Date],$A275)</f>
        <v/>
      </c>
      <c r="IE275" s="62">
        <f>IF($B275=$B274,$IE274,0)+$ID275</f>
        <v/>
      </c>
      <c r="IF275" s="62">
        <f>$IF274+$ID275</f>
        <v/>
      </c>
      <c r="IG275" s="62">
        <f>SUMIFS(tblSafety[Vehicle_Incidents],tblSafety[Date],$A275)</f>
        <v/>
      </c>
      <c r="IH275" s="62">
        <f>IF($B275=$B274,$IH274,0)+$IG275</f>
        <v/>
      </c>
      <c r="II275" s="62">
        <f>$II274+$IG275</f>
        <v/>
      </c>
      <c r="IJ275" s="62">
        <f>SUMIFS(tblSafety[Toolbox_Talks],tblSafety[Date],$A275)</f>
        <v/>
      </c>
      <c r="IK275" s="62">
        <f>IF($B275=$B274,$IK274,0)+$IJ275</f>
        <v/>
      </c>
      <c r="IL275" s="62">
        <f>$IL274+$IJ275</f>
        <v/>
      </c>
      <c r="IM275" s="62">
        <f>SUMIFS(tblSafety[Inspections],tblSafety[Date],$A275)</f>
        <v/>
      </c>
      <c r="IN275" s="62">
        <f>IF($B275=$B274,$IN274,0)+$IM275</f>
        <v/>
      </c>
      <c r="IO275" s="62">
        <f>$IO274+$IM275</f>
        <v/>
      </c>
      <c r="IP275" s="56">
        <f>IFERROR((SUMIFS(tblSafety[Recordables],tblSafety[Date],"&gt;="&amp;EDATE($E275,-12),tblSafety[Date],"&lt;="&amp;$A275)+SUMIFS(tblSafetyHistory[Recordables],tblSafetyHistory[Month],"&gt;="&amp;EDATE($E275,-12),tblSafetyHistory[Month],"&lt;"&amp;$E275,tblSafetyHistory[Use],1))/(SUMIFS(tblSafety[Hours_Total],tblSafety[Date],"&gt;="&amp;EDATE($E275,-12),tblSafety[Date],"&lt;="&amp;$A275)+SUMIFS(tblSafetyHistory[Hours_Total],tblSafetyHistory[Month],"&gt;="&amp;EDATE($E275,-12),tblSafetyHistory[Month],"&lt;"&amp;$E275,tblSafetyHistory[Use],1))*cfg_RateBasisHours,"")</f>
        <v/>
      </c>
      <c r="IQ275" s="56">
        <f>IFERROR((SUMIFS(tblSafety[LTI],tblSafety[Date],"&gt;="&amp;EDATE($E275,-12),tblSafety[Date],"&lt;="&amp;$A275)+SUMIFS(tblSafetyHistory[LTI],tblSafetyHistory[Month],"&gt;="&amp;EDATE($E275,-12),tblSafetyHistory[Month],"&lt;"&amp;$E275,tblSafetyHistory[Use],1))/(SUMIFS(tblSafety[Hours_Total],tblSafety[Date],"&gt;="&amp;EDATE($E275,-12),tblSafety[Date],"&lt;="&amp;$A275)+SUMIFS(tblSafetyHistory[Hours_Total],tblSafetyHistory[Month],"&gt;="&amp;EDATE($E275,-12),tblSafetyHistory[Month],"&lt;"&amp;$E275,tblSafetyHistory[Use],1))*cfg_RateBasisHours,"")</f>
        <v/>
      </c>
      <c r="IR275" s="62">
        <f>IF(MAX(N(cfg_PriorLTIDate),_xlfn.MAXIFS(tblSafety[Date],tblSafety[LTI],"&gt;0",tblSafety[Date],"&lt;="&amp;$A275))=0,"",$A275-MAX(N(cfg_PriorLTIDate),_xlfn.MAXIFS(tblSafety[Date],tblSafety[LTI],"&gt;0",tblSafety[Date],"&lt;="&amp;$A275)))</f>
        <v/>
      </c>
      <c r="IS275" s="55">
        <f>SUMIFS(tblBudget[Ore_Mined_t],tblBudget[Month],$E275)</f>
        <v/>
      </c>
      <c r="IT275" s="55">
        <f>$IS275*$C275/$D275</f>
        <v/>
      </c>
      <c r="IU275" s="55">
        <f>SUMIFS(tblBudget[Ore_Mined_t],tblBudget[Month],"&lt;"&amp;$E275)+$IT275</f>
        <v/>
      </c>
      <c r="IV275" s="55">
        <f>SUMIFS(tblBudget[Ore_oz],tblBudget[Month],$E275)</f>
        <v/>
      </c>
      <c r="IW275" s="55">
        <f>$IV275*$C275/$D275</f>
        <v/>
      </c>
      <c r="IX275" s="55">
        <f>SUMIFS(tblBudget[Ore_oz],tblBudget[Month],"&lt;"&amp;$E275)+$IW275</f>
        <v/>
      </c>
      <c r="IY275" s="55">
        <f>SUMIFS(tblBudget[Ore_Mined_t],tblBudget[Month],$E275)</f>
        <v/>
      </c>
      <c r="IZ275" s="55">
        <f>$IY275*$C275/$D275</f>
        <v/>
      </c>
      <c r="JA275" s="55">
        <f>SUMIFS(tblBudget[Ore_Mined_t],tblBudget[Month],"&lt;"&amp;$E275)+$IZ275</f>
        <v/>
      </c>
      <c r="JB275" s="56">
        <f>IFERROR(IF(($IY275)&gt;0,($IV275*cfg_TroyOz)/($IY275),""),"")</f>
        <v/>
      </c>
      <c r="JC275" s="56">
        <f>IFERROR(IF(($IZ275)&gt;0,($IW275*cfg_TroyOz)/($IZ275),""),"")</f>
        <v/>
      </c>
      <c r="JD275" s="56">
        <f>IFERROR(IF(($JA275)&gt;0,($IX275*cfg_TroyOz)/($JA275),""),"")</f>
        <v/>
      </c>
      <c r="JE275" s="55">
        <f>SUMIFS(tblBudget[Waste_t],tblBudget[Month],$E275)</f>
        <v/>
      </c>
      <c r="JF275" s="55">
        <f>$JE275*$C275/$D275</f>
        <v/>
      </c>
      <c r="JG275" s="55">
        <f>SUMIFS(tblBudget[Waste_t],tblBudget[Month],"&lt;"&amp;$E275)+$JF275</f>
        <v/>
      </c>
      <c r="JH275" s="55">
        <f>SUMIFS(tblBudget[TMM_t],tblBudget[Month],$E275)</f>
        <v/>
      </c>
      <c r="JI275" s="55">
        <f>$JH275*$C275/$D275</f>
        <v/>
      </c>
      <c r="JJ275" s="55">
        <f>SUMIFS(tblBudget[TMM_t],tblBudget[Month],"&lt;"&amp;$E275)+$JI275</f>
        <v/>
      </c>
      <c r="JK275" s="56">
        <f>IFERROR(IF(($IS275)&gt;0,($JE275)/($IS275),""),"")</f>
        <v/>
      </c>
      <c r="JL275" s="56">
        <f>IFERROR(IF(($IT275)&gt;0,($JF275)/($IT275),""),"")</f>
        <v/>
      </c>
      <c r="JM275" s="56">
        <f>IFERROR(IF(($IU275)&gt;0,($JG275)/($IU275),""),"")</f>
        <v/>
      </c>
      <c r="JN275" s="55">
        <f>SUMIFS(tblBudget[Drill_m],tblBudget[Month],$E275)</f>
        <v/>
      </c>
      <c r="JO275" s="55">
        <f>$JN275*$C275/$D275</f>
        <v/>
      </c>
      <c r="JP275" s="55">
        <f>SUMIFS(tblBudget[Drill_m],tblBudget[Month],"&lt;"&amp;$E275)+$JO275</f>
        <v/>
      </c>
      <c r="JQ275" s="55">
        <f>SUMIFS(tblBudget[Diesel_L],tblBudget[Month],$E275)</f>
        <v/>
      </c>
      <c r="JR275" s="55">
        <f>$JQ275*$C275/$D275</f>
        <v/>
      </c>
      <c r="JS275" s="55">
        <f>SUMIFS(tblBudget[Diesel_L],tblBudget[Month],"&lt;"&amp;$E275)+$JR275</f>
        <v/>
      </c>
      <c r="JT275" s="55">
        <f>SUMIFS(tblBudget[Milled_t],tblBudget[Month],$E275)</f>
        <v/>
      </c>
      <c r="JU275" s="55">
        <f>$JT275*$C275/$D275</f>
        <v/>
      </c>
      <c r="JV275" s="55">
        <f>SUMIFS(tblBudget[Milled_t],tblBudget[Month],"&lt;"&amp;$E275)+$JU275</f>
        <v/>
      </c>
      <c r="JW275" s="55">
        <f>SUMIFS(tblBudget[Feed_oz],tblBudget[Month],$E275)</f>
        <v/>
      </c>
      <c r="JX275" s="55">
        <f>$JW275*$C275/$D275</f>
        <v/>
      </c>
      <c r="JY275" s="55">
        <f>SUMIFS(tblBudget[Feed_oz],tblBudget[Month],"&lt;"&amp;$E275)+$JX275</f>
        <v/>
      </c>
      <c r="JZ275" s="55">
        <f>SUMIFS(tblBudget[Recovered_oz],tblBudget[Month],$E275)</f>
        <v/>
      </c>
      <c r="KA275" s="55">
        <f>$JZ275*$C275/$D275</f>
        <v/>
      </c>
      <c r="KB275" s="55">
        <f>SUMIFS(tblBudget[Recovered_oz],tblBudget[Month],"&lt;"&amp;$E275)+$KA275</f>
        <v/>
      </c>
      <c r="KC275" s="55">
        <f>SUMIFS(tblBudget[Milled_t],tblBudget[Month],$E275)</f>
        <v/>
      </c>
      <c r="KD275" s="55">
        <f>$KC275*$C275/$D275</f>
        <v/>
      </c>
      <c r="KE275" s="55">
        <f>SUMIFS(tblBudget[Milled_t],tblBudget[Month],"&lt;"&amp;$E275)+$KD275</f>
        <v/>
      </c>
      <c r="KF275" s="55">
        <f>SUMIFS(tblBudget[Feed_oz],tblBudget[Month],$E275)</f>
        <v/>
      </c>
      <c r="KG275" s="55">
        <f>$KF275*$C275/$D275</f>
        <v/>
      </c>
      <c r="KH275" s="55">
        <f>SUMIFS(tblBudget[Feed_oz],tblBudget[Month],"&lt;"&amp;$E275)+$KG275</f>
        <v/>
      </c>
      <c r="KI275" s="56">
        <f>IFERROR(IF(($KC275)&gt;0,($JW275*cfg_TroyOz)/($KC275),""),"")</f>
        <v/>
      </c>
      <c r="KJ275" s="56">
        <f>IFERROR(IF(($KD275)&gt;0,($JX275*cfg_TroyOz)/($KD275),""),"")</f>
        <v/>
      </c>
      <c r="KK275" s="56">
        <f>IFERROR(IF(($KE275)&gt;0,($JY275*cfg_TroyOz)/($KE275),""),"")</f>
        <v/>
      </c>
      <c r="KL275" s="67">
        <f>IFERROR(IF(($KF275)&gt;0,($JZ275)/($KF275),""),"")</f>
        <v/>
      </c>
      <c r="KM275" s="67">
        <f>IFERROR(IF(($KG275)&gt;0,($KA275)/($KG275),""),"")</f>
        <v/>
      </c>
      <c r="KN275" s="67">
        <f>IFERROR(IF(($KH275)&gt;0,($KB275)/($KH275),""),"")</f>
        <v/>
      </c>
      <c r="KO275" s="55">
        <f>SUMIFS(tblBudget[Gold_Poured_oz],tblBudget[Month],$E275)</f>
        <v/>
      </c>
      <c r="KP275" s="55">
        <f>$KO275*$C275/$D275</f>
        <v/>
      </c>
      <c r="KQ275" s="55">
        <f>SUMIFS(tblBudget[Gold_Poured_oz],tblBudget[Month],"&lt;"&amp;$E275)+$KP275</f>
        <v/>
      </c>
      <c r="KR275" s="57">
        <f>SUMIFS(tblBudget[Hours_Worked],tblBudget[Month],$E275)</f>
        <v/>
      </c>
      <c r="KS275" s="57">
        <f>$KR275*$C275/$D275</f>
        <v/>
      </c>
      <c r="KT275" s="57">
        <f>SUMIFS(tblBudget[Hours_Worked],tblBudget[Month],"&lt;"&amp;$E275)+$KS275</f>
        <v/>
      </c>
    </row>
    <row r="276">
      <c r="A276" s="54" t="n">
        <v>46297</v>
      </c>
      <c r="B276">
        <f>MONTH($A276)</f>
        <v/>
      </c>
      <c r="C276">
        <f>DAY($A276)</f>
        <v/>
      </c>
      <c r="D276">
        <f>DAY(EOMONTH($A276,0))</f>
        <v/>
      </c>
      <c r="E276" s="54">
        <f>DATE(YEAR($A276),MONTH($A276),1)</f>
        <v/>
      </c>
      <c r="F276" s="55">
        <f>SUMIFS(tblMovement[Tonnes_t],tblMovement[Date],$A276,tblMovement[Is_Ore],1,tblMovement[Source_Type],"Pit")</f>
        <v/>
      </c>
      <c r="G276" s="55">
        <f>IF($B276=$B275,$G275,0)+$F276</f>
        <v/>
      </c>
      <c r="H276" s="55">
        <f>$H275+$F276</f>
        <v/>
      </c>
      <c r="I276" s="55">
        <f>SUMIFS(tblMovement[Ore_oz],tblMovement[Date],$A276,tblMovement[Source_Type],"Pit")</f>
        <v/>
      </c>
      <c r="J276" s="55">
        <f>IF($B276=$B275,$J275,0)+$I276</f>
        <v/>
      </c>
      <c r="K276" s="55">
        <f>$K275+$I276</f>
        <v/>
      </c>
      <c r="L276" s="55">
        <f>SUMIFS(tblMovement[Tonnes_t],tblMovement[Date],$A276,tblMovement[Is_Ore],1,tblMovement[Source_Type],"Pit",tblMovement[Grade_gpt],"&lt;&gt;")</f>
        <v/>
      </c>
      <c r="M276" s="55">
        <f>IF($B276=$B275,$M275,0)+$L276</f>
        <v/>
      </c>
      <c r="N276" s="55">
        <f>$N275+$L276</f>
        <v/>
      </c>
      <c r="O276" s="56">
        <f>IFERROR(IF(($L276)&gt;0,($I276*cfg_TroyOz)/($L276),""),"")</f>
        <v/>
      </c>
      <c r="P276" s="56">
        <f>IFERROR(IF(($M276)&gt;0,($J276*cfg_TroyOz)/($M276),""),"")</f>
        <v/>
      </c>
      <c r="Q276" s="56">
        <f>IFERROR(IF(($N276)&gt;0,($K276*cfg_TroyOz)/($N276),""),"")</f>
        <v/>
      </c>
      <c r="R276" s="55">
        <f>$F276-$L276</f>
        <v/>
      </c>
      <c r="S276" s="55">
        <f>IF($B276=$B275,$S275,0)+$R276</f>
        <v/>
      </c>
      <c r="T276" s="55">
        <f>$T275+$R276</f>
        <v/>
      </c>
      <c r="U276" s="55">
        <f>SUMIFS(tblMovement[Tonnes_t],tblMovement[Date],$A276,tblMovement[Is_Ore],0,tblMovement[Source_Type],"Pit")</f>
        <v/>
      </c>
      <c r="V276" s="55">
        <f>IF($B276=$B275,$V275,0)+$U276</f>
        <v/>
      </c>
      <c r="W276" s="55">
        <f>$W275+$U276</f>
        <v/>
      </c>
      <c r="X276" s="55">
        <f>$F276+$U276</f>
        <v/>
      </c>
      <c r="Y276" s="55">
        <f>IF($B276=$B275,$Y275,0)+$X276</f>
        <v/>
      </c>
      <c r="Z276" s="55">
        <f>$Z275+$X276</f>
        <v/>
      </c>
      <c r="AA276" s="56">
        <f>IFERROR(IF(($F276)&gt;0,($U276)/($F276),""),"")</f>
        <v/>
      </c>
      <c r="AB276" s="56">
        <f>IFERROR(IF(($G276)&gt;0,($V276)/($G276),""),"")</f>
        <v/>
      </c>
      <c r="AC276" s="56">
        <f>IFERROR(IF(($H276)&gt;0,($W276)/($H276),""),"")</f>
        <v/>
      </c>
      <c r="AD276" s="55">
        <f>SUMIFS(tblMovement[Tonnes_t],tblMovement[Date],$A276,tblMovement[Source_Type],"Stockpile")</f>
        <v/>
      </c>
      <c r="AE276" s="55">
        <f>IF($B276=$B275,$AE275,0)+$AD276</f>
        <v/>
      </c>
      <c r="AF276" s="55">
        <f>$AF275+$AD276</f>
        <v/>
      </c>
      <c r="AG276" s="55">
        <f>SUMIFS(tblMovement[Tonnes_t],tblMovement[Date],$A276)</f>
        <v/>
      </c>
      <c r="AH276" s="55">
        <f>IF($B276=$B275,$AH275,0)+$AG276</f>
        <v/>
      </c>
      <c r="AI276" s="55">
        <f>$AI275+$AG276</f>
        <v/>
      </c>
      <c r="AJ276" s="55">
        <f>$AG276-$X276-$AD276</f>
        <v/>
      </c>
      <c r="AK276" s="55">
        <f>IF($B276=$B275,$AK275,0)+$AJ276</f>
        <v/>
      </c>
      <c r="AL276" s="55">
        <f>$AL275+$AJ276</f>
        <v/>
      </c>
      <c r="AM276" s="55">
        <f>SUMIFS(tblMiningDaily[Drill_m],tblMiningDaily[Date],$A276)</f>
        <v/>
      </c>
      <c r="AN276" s="55">
        <f>IF($B276=$B275,$AN275,0)+$AM276</f>
        <v/>
      </c>
      <c r="AO276" s="55">
        <f>$AO275+$AM276</f>
        <v/>
      </c>
      <c r="AP276" s="55">
        <f>SUMIFS(tblMiningDaily[GC_Drill_m],tblMiningDaily[Date],$A276)</f>
        <v/>
      </c>
      <c r="AQ276" s="55">
        <f>IF($B276=$B275,$AQ275,0)+$AP276</f>
        <v/>
      </c>
      <c r="AR276" s="55">
        <f>$AR275+$AP276</f>
        <v/>
      </c>
      <c r="AS276" s="55">
        <f>SUMIFS(tblMiningDaily[Blast_t],tblMiningDaily[Date],$A276)</f>
        <v/>
      </c>
      <c r="AT276" s="55">
        <f>IF($B276=$B275,$AT275,0)+$AS276</f>
        <v/>
      </c>
      <c r="AU276" s="55">
        <f>$AU275+$AS276</f>
        <v/>
      </c>
      <c r="AV276" s="55">
        <f>SUMIFS(tblMiningDaily[Explosives_kg],tblMiningDaily[Date],$A276)</f>
        <v/>
      </c>
      <c r="AW276" s="55">
        <f>IF($B276=$B275,$AW275,0)+$AV276</f>
        <v/>
      </c>
      <c r="AX276" s="55">
        <f>$AX275+$AV276</f>
        <v/>
      </c>
      <c r="AY276" s="56">
        <f>IFERROR(IF(($AS276)&gt;0,($AV276)/($AS276),""),"")</f>
        <v/>
      </c>
      <c r="AZ276" s="56">
        <f>IFERROR(IF(($AT276)&gt;0,($AW276)/($AT276),""),"")</f>
        <v/>
      </c>
      <c r="BA276" s="56">
        <f>IFERROR(IF(($AU276)&gt;0,($AX276)/($AU276),""),"")</f>
        <v/>
      </c>
      <c r="BB276" s="55">
        <f>SUMIFS(tblMiningDaily[Diesel_L],tblMiningDaily[Date],$A276)</f>
        <v/>
      </c>
      <c r="BC276" s="55">
        <f>IF($B276=$B275,$BC275,0)+$BB276</f>
        <v/>
      </c>
      <c r="BD276" s="55">
        <f>$BD275+$BB276</f>
        <v/>
      </c>
      <c r="BE276" s="55">
        <f>SUMIFS(tblMiningDaily[Dewatering_m3],tblMiningDaily[Date],$A276)</f>
        <v/>
      </c>
      <c r="BF276" s="55">
        <f>IF($B276=$B275,$BF275,0)+$BE276</f>
        <v/>
      </c>
      <c r="BG276" s="55">
        <f>$BG275+$BE276</f>
        <v/>
      </c>
      <c r="BH276" s="57">
        <f>SUMIFS(tblFleet[Calendar_h],tblFleet[Date],$A276,tblFleet[Equipment_Class],"Excavator")</f>
        <v/>
      </c>
      <c r="BI276" s="57">
        <f>IF($B276=$B275,$BI275,0)+$BH276</f>
        <v/>
      </c>
      <c r="BJ276" s="57">
        <f>$BJ275+$BH276</f>
        <v/>
      </c>
      <c r="BK276" s="57">
        <f>SUMIFS(tblFleet[Available_h],tblFleet[Date],$A276,tblFleet[Equipment_Class],"Excavator")</f>
        <v/>
      </c>
      <c r="BL276" s="57">
        <f>IF($B276=$B275,$BL275,0)+$BK276</f>
        <v/>
      </c>
      <c r="BM276" s="57">
        <f>$BM275+$BK276</f>
        <v/>
      </c>
      <c r="BN276" s="57">
        <f>SUMIFS(tblFleet[Operating_h],tblFleet[Date],$A276,tblFleet[Equipment_Class],"Excavator")</f>
        <v/>
      </c>
      <c r="BO276" s="57">
        <f>IF($B276=$B275,$BO275,0)+$BN276</f>
        <v/>
      </c>
      <c r="BP276" s="57">
        <f>$BP275+$BN276</f>
        <v/>
      </c>
      <c r="BQ276" s="67">
        <f>IFERROR(IF(($BH276)&gt;0,($BK276)/($BH276),""),"")</f>
        <v/>
      </c>
      <c r="BR276" s="67">
        <f>IFERROR(IF(($BI276)&gt;0,($BL276)/($BI276),""),"")</f>
        <v/>
      </c>
      <c r="BS276" s="67">
        <f>IFERROR(IF(($BJ276)&gt;0,($BM276)/($BJ276),""),"")</f>
        <v/>
      </c>
      <c r="BT276" s="67">
        <f>IFERROR(IF(($BK276)&gt;0,($BN276)/($BK276),""),"")</f>
        <v/>
      </c>
      <c r="BU276" s="67">
        <f>IFERROR(IF(($BL276)&gt;0,($BO276)/($BL276),""),"")</f>
        <v/>
      </c>
      <c r="BV276" s="67">
        <f>IFERROR(IF(($BM276)&gt;0,($BP276)/($BM276),""),"")</f>
        <v/>
      </c>
      <c r="BW276" s="57">
        <f>SUMIFS(tblFleet[Calendar_h],tblFleet[Date],$A276,tblFleet[Equipment_Class],"Haul Truck")</f>
        <v/>
      </c>
      <c r="BX276" s="57">
        <f>IF($B276=$B275,$BX275,0)+$BW276</f>
        <v/>
      </c>
      <c r="BY276" s="57">
        <f>$BY275+$BW276</f>
        <v/>
      </c>
      <c r="BZ276" s="57">
        <f>SUMIFS(tblFleet[Available_h],tblFleet[Date],$A276,tblFleet[Equipment_Class],"Haul Truck")</f>
        <v/>
      </c>
      <c r="CA276" s="57">
        <f>IF($B276=$B275,$CA275,0)+$BZ276</f>
        <v/>
      </c>
      <c r="CB276" s="57">
        <f>$CB275+$BZ276</f>
        <v/>
      </c>
      <c r="CC276" s="57">
        <f>SUMIFS(tblFleet[Operating_h],tblFleet[Date],$A276,tblFleet[Equipment_Class],"Haul Truck")</f>
        <v/>
      </c>
      <c r="CD276" s="57">
        <f>IF($B276=$B275,$CD275,0)+$CC276</f>
        <v/>
      </c>
      <c r="CE276" s="57">
        <f>$CE275+$CC276</f>
        <v/>
      </c>
      <c r="CF276" s="67">
        <f>IFERROR(IF(($BW276)&gt;0,($BZ276)/($BW276),""),"")</f>
        <v/>
      </c>
      <c r="CG276" s="67">
        <f>IFERROR(IF(($BX276)&gt;0,($CA276)/($BX276),""),"")</f>
        <v/>
      </c>
      <c r="CH276" s="67">
        <f>IFERROR(IF(($BY276)&gt;0,($CB276)/($BY276),""),"")</f>
        <v/>
      </c>
      <c r="CI276" s="67">
        <f>IFERROR(IF(($BZ276)&gt;0,($CC276)/($BZ276),""),"")</f>
        <v/>
      </c>
      <c r="CJ276" s="67">
        <f>IFERROR(IF(($CA276)&gt;0,($CD276)/($CA276),""),"")</f>
        <v/>
      </c>
      <c r="CK276" s="67">
        <f>IFERROR(IF(($CB276)&gt;0,($CE276)/($CB276),""),"")</f>
        <v/>
      </c>
      <c r="CL276" s="55">
        <f>IFERROR(IF(($BN276)&gt;0,($X276+$AD276)/($BN276),""),"")</f>
        <v/>
      </c>
      <c r="CM276" s="55">
        <f>IFERROR(IF(($BO276)&gt;0,($Y276+$AE276)/($BO276),""),"")</f>
        <v/>
      </c>
      <c r="CN276" s="55">
        <f>IFERROR(IF(($BP276)&gt;0,($Z276+$AF276)/($BP276),""),"")</f>
        <v/>
      </c>
      <c r="CO276" s="55">
        <f>IFERROR(IF(($CC276)&gt;0,($X276+$AD276)/($CC276),""),"")</f>
        <v/>
      </c>
      <c r="CP276" s="55">
        <f>IFERROR(IF(($CD276)&gt;0,($Y276+$AE276)/($CD276),""),"")</f>
        <v/>
      </c>
      <c r="CQ276" s="55">
        <f>IFERROR(IF(($CE276)&gt;0,($Z276+$AF276)/($CE276),""),"")</f>
        <v/>
      </c>
      <c r="CR276" s="55">
        <f>SUMIFS(tblPlant[Crushed_t],tblPlant[Date],$A276)</f>
        <v/>
      </c>
      <c r="CS276" s="55">
        <f>IF($B276=$B275,$CS275,0)+$CR276</f>
        <v/>
      </c>
      <c r="CT276" s="55">
        <f>$CT275+$CR276</f>
        <v/>
      </c>
      <c r="CU276" s="55">
        <f>SUMIFS(tblPlant[Milled_t],tblPlant[Date],$A276)</f>
        <v/>
      </c>
      <c r="CV276" s="55">
        <f>IF($B276=$B275,$CV275,0)+$CU276</f>
        <v/>
      </c>
      <c r="CW276" s="55">
        <f>$CW275+$CU276</f>
        <v/>
      </c>
      <c r="CX276" s="55">
        <f>SUMIFS(tblPlant[Feed_oz],tblPlant[Date],$A276)</f>
        <v/>
      </c>
      <c r="CY276" s="55">
        <f>IF($B276=$B275,$CY275,0)+$CX276</f>
        <v/>
      </c>
      <c r="CZ276" s="55">
        <f>$CZ275+$CX276</f>
        <v/>
      </c>
      <c r="DA276" s="55">
        <f>SUMIFS(tblPlant[Tails_oz],tblPlant[Date],$A276)</f>
        <v/>
      </c>
      <c r="DB276" s="55">
        <f>IF($B276=$B275,$DB275,0)+$DA276</f>
        <v/>
      </c>
      <c r="DC276" s="55">
        <f>$DC275+$DA276</f>
        <v/>
      </c>
      <c r="DD276" s="55">
        <f>SUMIFS(tblPlant[Recovered_oz],tblPlant[Date],$A276)</f>
        <v/>
      </c>
      <c r="DE276" s="55">
        <f>IF($B276=$B275,$DE275,0)+$DD276</f>
        <v/>
      </c>
      <c r="DF276" s="55">
        <f>$DF275+$DD276</f>
        <v/>
      </c>
      <c r="DG276" s="55">
        <f>SUMIFS(tblPlant[Milled_t],tblPlant[Date],$A276,tblPlant[Head_Grade_gpt],"&lt;&gt;")</f>
        <v/>
      </c>
      <c r="DH276" s="55">
        <f>IF($B276=$B275,$DH275,0)+$DG276</f>
        <v/>
      </c>
      <c r="DI276" s="55">
        <f>$DI275+$DG276</f>
        <v/>
      </c>
      <c r="DJ276" s="55">
        <f>SUMIFS(tblPlant[Milled_t],tblPlant[Date],$A276,tblPlant[Tails_Grade_gpt],"&lt;&gt;")</f>
        <v/>
      </c>
      <c r="DK276" s="55">
        <f>IF($B276=$B275,$DK275,0)+$DJ276</f>
        <v/>
      </c>
      <c r="DL276" s="55">
        <f>$DL275+$DJ276</f>
        <v/>
      </c>
      <c r="DM276" s="55">
        <f>SUMIFS(tblPlant[Feed_oz],tblPlant[Date],$A276,tblPlant[Tails_Grade_gpt],"&lt;&gt;")</f>
        <v/>
      </c>
      <c r="DN276" s="55">
        <f>IF($B276=$B275,$DN275,0)+$DM276</f>
        <v/>
      </c>
      <c r="DO276" s="55">
        <f>$DO275+$DM276</f>
        <v/>
      </c>
      <c r="DP276" s="55">
        <f>SUMIFS(tblPlant[Milled_t],tblPlant[Date],$A276,tblPlant[Mill_Run_h],"&lt;&gt;")</f>
        <v/>
      </c>
      <c r="DQ276" s="55">
        <f>IF($B276=$B275,$DQ275,0)+$DP276</f>
        <v/>
      </c>
      <c r="DR276" s="55">
        <f>$DR275+$DP276</f>
        <v/>
      </c>
      <c r="DS276" s="56">
        <f>IFERROR(IF(($DG276)&gt;0,($CX276*cfg_TroyOz)/($DG276),""),"")</f>
        <v/>
      </c>
      <c r="DT276" s="56">
        <f>IFERROR(IF(($DH276)&gt;0,($CY276*cfg_TroyOz)/($DH276),""),"")</f>
        <v/>
      </c>
      <c r="DU276" s="56">
        <f>IFERROR(IF(($DI276)&gt;0,($CZ276*cfg_TroyOz)/($DI276),""),"")</f>
        <v/>
      </c>
      <c r="DV276" s="56">
        <f>IFERROR(IF(($DJ276)&gt;0,($DA276*cfg_TroyOz)/($DJ276),""),"")</f>
        <v/>
      </c>
      <c r="DW276" s="56">
        <f>IFERROR(IF(($DK276)&gt;0,($DB276*cfg_TroyOz)/($DK276),""),"")</f>
        <v/>
      </c>
      <c r="DX276" s="56">
        <f>IFERROR(IF(($DL276)&gt;0,($DC276*cfg_TroyOz)/($DL276),""),"")</f>
        <v/>
      </c>
      <c r="DY276" s="67">
        <f>IFERROR(IF(($DM276)&gt;0,($DD276)/($DM276),""),"")</f>
        <v/>
      </c>
      <c r="DZ276" s="67">
        <f>IFERROR(IF(($DN276)&gt;0,($DE276)/($DN276),""),"")</f>
        <v/>
      </c>
      <c r="EA276" s="67">
        <f>IFERROR(IF(($DO276)&gt;0,($DF276)/($DO276),""),"")</f>
        <v/>
      </c>
      <c r="EB276" s="55">
        <f>SUMIFS(tblPlant[Gravity_Gold_oz],tblPlant[Date],$A276)</f>
        <v/>
      </c>
      <c r="EC276" s="55">
        <f>IF($B276=$B275,$EC275,0)+$EB276</f>
        <v/>
      </c>
      <c r="ED276" s="55">
        <f>$ED275+$EB276</f>
        <v/>
      </c>
      <c r="EE276" s="67">
        <f>IFERROR(IF(($DD276)&gt;0,($EB276)/($DD276),""),"")</f>
        <v/>
      </c>
      <c r="EF276" s="67">
        <f>IFERROR(IF(($DE276)&gt;0,($EC276)/($DE276),""),"")</f>
        <v/>
      </c>
      <c r="EG276" s="67">
        <f>IFERROR(IF(($DF276)&gt;0,($ED276)/($DF276),""),"")</f>
        <v/>
      </c>
      <c r="EH276" s="55">
        <f>SUMIFS(tblPlant[Gold_Poured_oz],tblPlant[Date],$A276)</f>
        <v/>
      </c>
      <c r="EI276" s="55">
        <f>IF($B276=$B275,$EI275,0)+$EH276</f>
        <v/>
      </c>
      <c r="EJ276" s="55">
        <f>$EJ275+$EH276</f>
        <v/>
      </c>
      <c r="EK276" s="57">
        <f>SUMIFS(tblPlant[Mill_Run_h],tblPlant[Date],$A276)</f>
        <v/>
      </c>
      <c r="EL276" s="57">
        <f>IF($B276=$B275,$EL275,0)+$EK276</f>
        <v/>
      </c>
      <c r="EM276" s="57">
        <f>$EM275+$EK276</f>
        <v/>
      </c>
      <c r="EN276" s="57">
        <f>SUMIFS(tblPlant[Mill_Planned_Maint_h],tblPlant[Date],$A276)</f>
        <v/>
      </c>
      <c r="EO276" s="57">
        <f>IF($B276=$B275,$EO275,0)+$EN276</f>
        <v/>
      </c>
      <c r="EP276" s="57">
        <f>$EP275+$EN276</f>
        <v/>
      </c>
      <c r="EQ276" s="57">
        <f>SUMIFS(tblPlant[Mill_Unplanned_Down_h],tblPlant[Date],$A276)</f>
        <v/>
      </c>
      <c r="ER276" s="57">
        <f>IF($B276=$B275,$ER275,0)+$EQ276</f>
        <v/>
      </c>
      <c r="ES276" s="57">
        <f>$ES275+$EQ276</f>
        <v/>
      </c>
      <c r="ET276" s="57">
        <f>IF(COUNTIFS(tblPlant[Date],$A276,tblPlant[Mill_Run_h],"&lt;&gt;")+COUNTIFS(tblPlant[Date],$A276,tblPlant[Mill_Planned_Maint_h],"&lt;&gt;")+COUNTIFS(tblPlant[Date],$A276,tblPlant[Mill_Unplanned_Down_h],"&lt;&gt;")&gt;0,cfg_HoursPerDay,0)</f>
        <v/>
      </c>
      <c r="EU276" s="57">
        <f>IF($B276=$B275,$EU275,0)+$ET276</f>
        <v/>
      </c>
      <c r="EV276" s="57">
        <f>$EV275+$ET276</f>
        <v/>
      </c>
      <c r="EW276" s="57">
        <f>SUMIFS(tblPlant[Crusher_Run_h],tblPlant[Date],$A276)</f>
        <v/>
      </c>
      <c r="EX276" s="57">
        <f>IF($B276=$B275,$EX275,0)+$EW276</f>
        <v/>
      </c>
      <c r="EY276" s="57">
        <f>$EY275+$EW276</f>
        <v/>
      </c>
      <c r="EZ276" s="55">
        <f>IFERROR(IF(($EK276)&gt;0,($DP276)/($EK276),""),"")</f>
        <v/>
      </c>
      <c r="FA276" s="55">
        <f>IFERROR(IF(($EL276)&gt;0,($DQ276)/($EL276),""),"")</f>
        <v/>
      </c>
      <c r="FB276" s="55">
        <f>IFERROR(IF(($EM276)&gt;0,($DR276)/($EM276),""),"")</f>
        <v/>
      </c>
      <c r="FC276" s="67">
        <f>IFERROR(IF(($ET276)&gt;0,($ET276-$EN276-$EQ276)/($ET276),""),"")</f>
        <v/>
      </c>
      <c r="FD276" s="67">
        <f>IFERROR(IF(($EU276)&gt;0,($EU276-$EO276-$ER276)/($EU276),""),"")</f>
        <v/>
      </c>
      <c r="FE276" s="67">
        <f>IFERROR(IF(($EV276)&gt;0,($EV276-$EP276-$ES276)/($EV276),""),"")</f>
        <v/>
      </c>
      <c r="FF276" s="67">
        <f>IFERROR(IF(($ET276-$EN276-$EQ276)&gt;0,($EK276)/($ET276-$EN276-$EQ276),""),"")</f>
        <v/>
      </c>
      <c r="FG276" s="67">
        <f>IFERROR(IF(($EU276-$EO276-$ER276)&gt;0,($EL276)/($EU276-$EO276-$ER276),""),"")</f>
        <v/>
      </c>
      <c r="FH276" s="67">
        <f>IFERROR(IF(($EV276-$EP276-$ES276)&gt;0,($EM276)/($EV276-$EP276-$ES276),""),"")</f>
        <v/>
      </c>
      <c r="FI276" s="55">
        <f>SUMIFS(tblPlant[Cyanide_kg],tblPlant[Date],$A276)</f>
        <v/>
      </c>
      <c r="FJ276" s="55">
        <f>IF($B276=$B275,$FJ275,0)+$FI276</f>
        <v/>
      </c>
      <c r="FK276" s="55">
        <f>$FK275+$FI276</f>
        <v/>
      </c>
      <c r="FL276" s="55">
        <f>SUMIFS(tblPlant[Lime_kg],tblPlant[Date],$A276)</f>
        <v/>
      </c>
      <c r="FM276" s="55">
        <f>IF($B276=$B275,$FM275,0)+$FL276</f>
        <v/>
      </c>
      <c r="FN276" s="55">
        <f>$FN275+$FL276</f>
        <v/>
      </c>
      <c r="FO276" s="55">
        <f>SUMIFS(tblPlant[Grinding_Media_kg],tblPlant[Date],$A276)</f>
        <v/>
      </c>
      <c r="FP276" s="55">
        <f>IF($B276=$B275,$FP275,0)+$FO276</f>
        <v/>
      </c>
      <c r="FQ276" s="55">
        <f>$FQ275+$FO276</f>
        <v/>
      </c>
      <c r="FR276" s="55">
        <f>SUMIFS(tblPlant[Power_kWh],tblPlant[Date],$A276)</f>
        <v/>
      </c>
      <c r="FS276" s="55">
        <f>IF($B276=$B275,$FS275,0)+$FR276</f>
        <v/>
      </c>
      <c r="FT276" s="55">
        <f>$FT275+$FR276</f>
        <v/>
      </c>
      <c r="FU276" s="55">
        <f>SUMIFS(tblPlant[Raw_Water_m3],tblPlant[Date],$A276)</f>
        <v/>
      </c>
      <c r="FV276" s="55">
        <f>IF($B276=$B275,$FV275,0)+$FU276</f>
        <v/>
      </c>
      <c r="FW276" s="55">
        <f>$FW275+$FU276</f>
        <v/>
      </c>
      <c r="FX276" s="56">
        <f>IFERROR(IF(($CU276)&gt;0,($FI276)/($CU276),""),"")</f>
        <v/>
      </c>
      <c r="FY276" s="56">
        <f>IFERROR(IF(($CV276)&gt;0,($FJ276)/($CV276),""),"")</f>
        <v/>
      </c>
      <c r="FZ276" s="56">
        <f>IFERROR(IF(($CW276)&gt;0,($FK276)/($CW276),""),"")</f>
        <v/>
      </c>
      <c r="GA276" s="56">
        <f>IFERROR(IF(($CU276)&gt;0,($FL276)/($CU276),""),"")</f>
        <v/>
      </c>
      <c r="GB276" s="56">
        <f>IFERROR(IF(($CV276)&gt;0,($FM276)/($CV276),""),"")</f>
        <v/>
      </c>
      <c r="GC276" s="56">
        <f>IFERROR(IF(($CW276)&gt;0,($FN276)/($CW276),""),"")</f>
        <v/>
      </c>
      <c r="GD276" s="56">
        <f>IFERROR(IF(($CU276)&gt;0,($FO276)/($CU276),""),"")</f>
        <v/>
      </c>
      <c r="GE276" s="56">
        <f>IFERROR(IF(($CV276)&gt;0,($FP276)/($CV276),""),"")</f>
        <v/>
      </c>
      <c r="GF276" s="56">
        <f>IFERROR(IF(($CW276)&gt;0,($FQ276)/($CW276),""),"")</f>
        <v/>
      </c>
      <c r="GG276" s="79">
        <f>IFERROR(IF(($CU276)&gt;0,($FR276)/($CU276),""),"")</f>
        <v/>
      </c>
      <c r="GH276" s="79">
        <f>IFERROR(IF(($CV276)&gt;0,($FS276)/($CV276),""),"")</f>
        <v/>
      </c>
      <c r="GI276" s="79">
        <f>IFERROR(IF(($CW276)&gt;0,($FT276)/($CW276),""),"")</f>
        <v/>
      </c>
      <c r="GJ276" s="56">
        <f>IFERROR(IF(($CU276)&gt;0,($FU276)/($CU276),""),"")</f>
        <v/>
      </c>
      <c r="GK276" s="56">
        <f>IFERROR(IF(($CV276)&gt;0,($FV276)/($CV276),""),"")</f>
        <v/>
      </c>
      <c r="GL276" s="56">
        <f>IFERROR(IF(($CW276)&gt;0,($FW276)/($CW276),""),"")</f>
        <v/>
      </c>
      <c r="GM276" s="55">
        <f>IF(SUMIFS(tblPlant[GIC_oz],tblPlant[Date],$A276)&gt;0,SUMIFS(tblPlant[GIC_oz],tblPlant[Date],$A276),"")</f>
        <v/>
      </c>
      <c r="GN276" s="55">
        <f>SUMIFS(tblGold[Gold_oz],tblGold[Date],$A276,tblGold[Type],"Shipment")</f>
        <v/>
      </c>
      <c r="GO276" s="55">
        <f>IF($B276=$B275,$GO275,0)+$GN276</f>
        <v/>
      </c>
      <c r="GP276" s="55">
        <f>$GP275+$GN276</f>
        <v/>
      </c>
      <c r="GQ276" s="55">
        <f>SUMIFS(tblGold[Gold_oz],tblGold[Date],$A276,tblGold[Type],"Sale")</f>
        <v/>
      </c>
      <c r="GR276" s="55">
        <f>IF($B276=$B275,$GR275,0)+$GQ276</f>
        <v/>
      </c>
      <c r="GS276" s="55">
        <f>$GS275+$GQ276</f>
        <v/>
      </c>
      <c r="GT276" s="55">
        <f>SUMIFS(tblGold[Dore_kg],tblGold[Date],$A276,tblGold[Type],"Shipment")</f>
        <v/>
      </c>
      <c r="GU276" s="55">
        <f>IF($B276=$B275,$GU275,0)+$GT276</f>
        <v/>
      </c>
      <c r="GV276" s="55">
        <f>$GV275+$GT276</f>
        <v/>
      </c>
      <c r="GW276" s="57">
        <f>SUMIFS(tblSafety[Hours_Total],tblSafety[Date],$A276)</f>
        <v/>
      </c>
      <c r="GX276" s="57">
        <f>IF($B276=$B275,$GX275,0)+$GW276</f>
        <v/>
      </c>
      <c r="GY276" s="57">
        <f>$GY275+$GW276</f>
        <v/>
      </c>
      <c r="GZ276" s="62">
        <f>SUMIFS(tblSafety[Fatality],tblSafety[Date],$A276)</f>
        <v/>
      </c>
      <c r="HA276" s="62">
        <f>IF($B276=$B275,$HA275,0)+$GZ276</f>
        <v/>
      </c>
      <c r="HB276" s="62">
        <f>$HB275+$GZ276</f>
        <v/>
      </c>
      <c r="HC276" s="62">
        <f>SUMIFS(tblSafety[LTI],tblSafety[Date],$A276)</f>
        <v/>
      </c>
      <c r="HD276" s="62">
        <f>IF($B276=$B275,$HD275,0)+$HC276</f>
        <v/>
      </c>
      <c r="HE276" s="62">
        <f>$HE275+$HC276</f>
        <v/>
      </c>
      <c r="HF276" s="62">
        <f>SUMIFS(tblSafety[RWI],tblSafety[Date],$A276)</f>
        <v/>
      </c>
      <c r="HG276" s="62">
        <f>IF($B276=$B275,$HG275,0)+$HF276</f>
        <v/>
      </c>
      <c r="HH276" s="62">
        <f>$HH275+$HF276</f>
        <v/>
      </c>
      <c r="HI276" s="62">
        <f>SUMIFS(tblSafety[MTI],tblSafety[Date],$A276)</f>
        <v/>
      </c>
      <c r="HJ276" s="62">
        <f>IF($B276=$B275,$HJ275,0)+$HI276</f>
        <v/>
      </c>
      <c r="HK276" s="62">
        <f>$HK275+$HI276</f>
        <v/>
      </c>
      <c r="HL276" s="62">
        <f>SUMIFS(tblSafety[FAI],tblSafety[Date],$A276)</f>
        <v/>
      </c>
      <c r="HM276" s="62">
        <f>IF($B276=$B275,$HM275,0)+$HL276</f>
        <v/>
      </c>
      <c r="HN276" s="62">
        <f>$HN275+$HL276</f>
        <v/>
      </c>
      <c r="HO276" s="62">
        <f>SUMIFS(tblSafety[Recordables],tblSafety[Date],$A276)</f>
        <v/>
      </c>
      <c r="HP276" s="62">
        <f>IF($B276=$B275,$HP275,0)+$HO276</f>
        <v/>
      </c>
      <c r="HQ276" s="62">
        <f>$HQ275+$HO276</f>
        <v/>
      </c>
      <c r="HR276" s="62">
        <f>SUMIFS(tblSafety[Near_Miss],tblSafety[Date],$A276)</f>
        <v/>
      </c>
      <c r="HS276" s="62">
        <f>IF($B276=$B275,$HS275,0)+$HR276</f>
        <v/>
      </c>
      <c r="HT276" s="62">
        <f>$HT275+$HR276</f>
        <v/>
      </c>
      <c r="HU276" s="62">
        <f>SUMIFS(tblSafety[Hazard_Reports],tblSafety[Date],$A276)</f>
        <v/>
      </c>
      <c r="HV276" s="62">
        <f>IF($B276=$B275,$HV275,0)+$HU276</f>
        <v/>
      </c>
      <c r="HW276" s="62">
        <f>$HW275+$HU276</f>
        <v/>
      </c>
      <c r="HX276" s="62">
        <f>SUMIFS(tblSafety[HPI],tblSafety[Date],$A276)</f>
        <v/>
      </c>
      <c r="HY276" s="62">
        <f>IF($B276=$B275,$HY275,0)+$HX276</f>
        <v/>
      </c>
      <c r="HZ276" s="62">
        <f>$HZ275+$HX276</f>
        <v/>
      </c>
      <c r="IA276" s="62">
        <f>SUMIFS(tblSafety[Env_Incidents],tblSafety[Date],$A276)</f>
        <v/>
      </c>
      <c r="IB276" s="62">
        <f>IF($B276=$B275,$IB275,0)+$IA276</f>
        <v/>
      </c>
      <c r="IC276" s="62">
        <f>$IC275+$IA276</f>
        <v/>
      </c>
      <c r="ID276" s="62">
        <f>SUMIFS(tblSafety[Community_Incidents],tblSafety[Date],$A276)</f>
        <v/>
      </c>
      <c r="IE276" s="62">
        <f>IF($B276=$B275,$IE275,0)+$ID276</f>
        <v/>
      </c>
      <c r="IF276" s="62">
        <f>$IF275+$ID276</f>
        <v/>
      </c>
      <c r="IG276" s="62">
        <f>SUMIFS(tblSafety[Vehicle_Incidents],tblSafety[Date],$A276)</f>
        <v/>
      </c>
      <c r="IH276" s="62">
        <f>IF($B276=$B275,$IH275,0)+$IG276</f>
        <v/>
      </c>
      <c r="II276" s="62">
        <f>$II275+$IG276</f>
        <v/>
      </c>
      <c r="IJ276" s="62">
        <f>SUMIFS(tblSafety[Toolbox_Talks],tblSafety[Date],$A276)</f>
        <v/>
      </c>
      <c r="IK276" s="62">
        <f>IF($B276=$B275,$IK275,0)+$IJ276</f>
        <v/>
      </c>
      <c r="IL276" s="62">
        <f>$IL275+$IJ276</f>
        <v/>
      </c>
      <c r="IM276" s="62">
        <f>SUMIFS(tblSafety[Inspections],tblSafety[Date],$A276)</f>
        <v/>
      </c>
      <c r="IN276" s="62">
        <f>IF($B276=$B275,$IN275,0)+$IM276</f>
        <v/>
      </c>
      <c r="IO276" s="62">
        <f>$IO275+$IM276</f>
        <v/>
      </c>
      <c r="IP276" s="56">
        <f>IFERROR((SUMIFS(tblSafety[Recordables],tblSafety[Date],"&gt;="&amp;EDATE($E276,-12),tblSafety[Date],"&lt;="&amp;$A276)+SUMIFS(tblSafetyHistory[Recordables],tblSafetyHistory[Month],"&gt;="&amp;EDATE($E276,-12),tblSafetyHistory[Month],"&lt;"&amp;$E276,tblSafetyHistory[Use],1))/(SUMIFS(tblSafety[Hours_Total],tblSafety[Date],"&gt;="&amp;EDATE($E276,-12),tblSafety[Date],"&lt;="&amp;$A276)+SUMIFS(tblSafetyHistory[Hours_Total],tblSafetyHistory[Month],"&gt;="&amp;EDATE($E276,-12),tblSafetyHistory[Month],"&lt;"&amp;$E276,tblSafetyHistory[Use],1))*cfg_RateBasisHours,"")</f>
        <v/>
      </c>
      <c r="IQ276" s="56">
        <f>IFERROR((SUMIFS(tblSafety[LTI],tblSafety[Date],"&gt;="&amp;EDATE($E276,-12),tblSafety[Date],"&lt;="&amp;$A276)+SUMIFS(tblSafetyHistory[LTI],tblSafetyHistory[Month],"&gt;="&amp;EDATE($E276,-12),tblSafetyHistory[Month],"&lt;"&amp;$E276,tblSafetyHistory[Use],1))/(SUMIFS(tblSafety[Hours_Total],tblSafety[Date],"&gt;="&amp;EDATE($E276,-12),tblSafety[Date],"&lt;="&amp;$A276)+SUMIFS(tblSafetyHistory[Hours_Total],tblSafetyHistory[Month],"&gt;="&amp;EDATE($E276,-12),tblSafetyHistory[Month],"&lt;"&amp;$E276,tblSafetyHistory[Use],1))*cfg_RateBasisHours,"")</f>
        <v/>
      </c>
      <c r="IR276" s="62">
        <f>IF(MAX(N(cfg_PriorLTIDate),_xlfn.MAXIFS(tblSafety[Date],tblSafety[LTI],"&gt;0",tblSafety[Date],"&lt;="&amp;$A276))=0,"",$A276-MAX(N(cfg_PriorLTIDate),_xlfn.MAXIFS(tblSafety[Date],tblSafety[LTI],"&gt;0",tblSafety[Date],"&lt;="&amp;$A276)))</f>
        <v/>
      </c>
      <c r="IS276" s="55">
        <f>SUMIFS(tblBudget[Ore_Mined_t],tblBudget[Month],$E276)</f>
        <v/>
      </c>
      <c r="IT276" s="55">
        <f>$IS276*$C276/$D276</f>
        <v/>
      </c>
      <c r="IU276" s="55">
        <f>SUMIFS(tblBudget[Ore_Mined_t],tblBudget[Month],"&lt;"&amp;$E276)+$IT276</f>
        <v/>
      </c>
      <c r="IV276" s="55">
        <f>SUMIFS(tblBudget[Ore_oz],tblBudget[Month],$E276)</f>
        <v/>
      </c>
      <c r="IW276" s="55">
        <f>$IV276*$C276/$D276</f>
        <v/>
      </c>
      <c r="IX276" s="55">
        <f>SUMIFS(tblBudget[Ore_oz],tblBudget[Month],"&lt;"&amp;$E276)+$IW276</f>
        <v/>
      </c>
      <c r="IY276" s="55">
        <f>SUMIFS(tblBudget[Ore_Mined_t],tblBudget[Month],$E276)</f>
        <v/>
      </c>
      <c r="IZ276" s="55">
        <f>$IY276*$C276/$D276</f>
        <v/>
      </c>
      <c r="JA276" s="55">
        <f>SUMIFS(tblBudget[Ore_Mined_t],tblBudget[Month],"&lt;"&amp;$E276)+$IZ276</f>
        <v/>
      </c>
      <c r="JB276" s="56">
        <f>IFERROR(IF(($IY276)&gt;0,($IV276*cfg_TroyOz)/($IY276),""),"")</f>
        <v/>
      </c>
      <c r="JC276" s="56">
        <f>IFERROR(IF(($IZ276)&gt;0,($IW276*cfg_TroyOz)/($IZ276),""),"")</f>
        <v/>
      </c>
      <c r="JD276" s="56">
        <f>IFERROR(IF(($JA276)&gt;0,($IX276*cfg_TroyOz)/($JA276),""),"")</f>
        <v/>
      </c>
      <c r="JE276" s="55">
        <f>SUMIFS(tblBudget[Waste_t],tblBudget[Month],$E276)</f>
        <v/>
      </c>
      <c r="JF276" s="55">
        <f>$JE276*$C276/$D276</f>
        <v/>
      </c>
      <c r="JG276" s="55">
        <f>SUMIFS(tblBudget[Waste_t],tblBudget[Month],"&lt;"&amp;$E276)+$JF276</f>
        <v/>
      </c>
      <c r="JH276" s="55">
        <f>SUMIFS(tblBudget[TMM_t],tblBudget[Month],$E276)</f>
        <v/>
      </c>
      <c r="JI276" s="55">
        <f>$JH276*$C276/$D276</f>
        <v/>
      </c>
      <c r="JJ276" s="55">
        <f>SUMIFS(tblBudget[TMM_t],tblBudget[Month],"&lt;"&amp;$E276)+$JI276</f>
        <v/>
      </c>
      <c r="JK276" s="56">
        <f>IFERROR(IF(($IS276)&gt;0,($JE276)/($IS276),""),"")</f>
        <v/>
      </c>
      <c r="JL276" s="56">
        <f>IFERROR(IF(($IT276)&gt;0,($JF276)/($IT276),""),"")</f>
        <v/>
      </c>
      <c r="JM276" s="56">
        <f>IFERROR(IF(($IU276)&gt;0,($JG276)/($IU276),""),"")</f>
        <v/>
      </c>
      <c r="JN276" s="55">
        <f>SUMIFS(tblBudget[Drill_m],tblBudget[Month],$E276)</f>
        <v/>
      </c>
      <c r="JO276" s="55">
        <f>$JN276*$C276/$D276</f>
        <v/>
      </c>
      <c r="JP276" s="55">
        <f>SUMIFS(tblBudget[Drill_m],tblBudget[Month],"&lt;"&amp;$E276)+$JO276</f>
        <v/>
      </c>
      <c r="JQ276" s="55">
        <f>SUMIFS(tblBudget[Diesel_L],tblBudget[Month],$E276)</f>
        <v/>
      </c>
      <c r="JR276" s="55">
        <f>$JQ276*$C276/$D276</f>
        <v/>
      </c>
      <c r="JS276" s="55">
        <f>SUMIFS(tblBudget[Diesel_L],tblBudget[Month],"&lt;"&amp;$E276)+$JR276</f>
        <v/>
      </c>
      <c r="JT276" s="55">
        <f>SUMIFS(tblBudget[Milled_t],tblBudget[Month],$E276)</f>
        <v/>
      </c>
      <c r="JU276" s="55">
        <f>$JT276*$C276/$D276</f>
        <v/>
      </c>
      <c r="JV276" s="55">
        <f>SUMIFS(tblBudget[Milled_t],tblBudget[Month],"&lt;"&amp;$E276)+$JU276</f>
        <v/>
      </c>
      <c r="JW276" s="55">
        <f>SUMIFS(tblBudget[Feed_oz],tblBudget[Month],$E276)</f>
        <v/>
      </c>
      <c r="JX276" s="55">
        <f>$JW276*$C276/$D276</f>
        <v/>
      </c>
      <c r="JY276" s="55">
        <f>SUMIFS(tblBudget[Feed_oz],tblBudget[Month],"&lt;"&amp;$E276)+$JX276</f>
        <v/>
      </c>
      <c r="JZ276" s="55">
        <f>SUMIFS(tblBudget[Recovered_oz],tblBudget[Month],$E276)</f>
        <v/>
      </c>
      <c r="KA276" s="55">
        <f>$JZ276*$C276/$D276</f>
        <v/>
      </c>
      <c r="KB276" s="55">
        <f>SUMIFS(tblBudget[Recovered_oz],tblBudget[Month],"&lt;"&amp;$E276)+$KA276</f>
        <v/>
      </c>
      <c r="KC276" s="55">
        <f>SUMIFS(tblBudget[Milled_t],tblBudget[Month],$E276)</f>
        <v/>
      </c>
      <c r="KD276" s="55">
        <f>$KC276*$C276/$D276</f>
        <v/>
      </c>
      <c r="KE276" s="55">
        <f>SUMIFS(tblBudget[Milled_t],tblBudget[Month],"&lt;"&amp;$E276)+$KD276</f>
        <v/>
      </c>
      <c r="KF276" s="55">
        <f>SUMIFS(tblBudget[Feed_oz],tblBudget[Month],$E276)</f>
        <v/>
      </c>
      <c r="KG276" s="55">
        <f>$KF276*$C276/$D276</f>
        <v/>
      </c>
      <c r="KH276" s="55">
        <f>SUMIFS(tblBudget[Feed_oz],tblBudget[Month],"&lt;"&amp;$E276)+$KG276</f>
        <v/>
      </c>
      <c r="KI276" s="56">
        <f>IFERROR(IF(($KC276)&gt;0,($JW276*cfg_TroyOz)/($KC276),""),"")</f>
        <v/>
      </c>
      <c r="KJ276" s="56">
        <f>IFERROR(IF(($KD276)&gt;0,($JX276*cfg_TroyOz)/($KD276),""),"")</f>
        <v/>
      </c>
      <c r="KK276" s="56">
        <f>IFERROR(IF(($KE276)&gt;0,($JY276*cfg_TroyOz)/($KE276),""),"")</f>
        <v/>
      </c>
      <c r="KL276" s="67">
        <f>IFERROR(IF(($KF276)&gt;0,($JZ276)/($KF276),""),"")</f>
        <v/>
      </c>
      <c r="KM276" s="67">
        <f>IFERROR(IF(($KG276)&gt;0,($KA276)/($KG276),""),"")</f>
        <v/>
      </c>
      <c r="KN276" s="67">
        <f>IFERROR(IF(($KH276)&gt;0,($KB276)/($KH276),""),"")</f>
        <v/>
      </c>
      <c r="KO276" s="55">
        <f>SUMIFS(tblBudget[Gold_Poured_oz],tblBudget[Month],$E276)</f>
        <v/>
      </c>
      <c r="KP276" s="55">
        <f>$KO276*$C276/$D276</f>
        <v/>
      </c>
      <c r="KQ276" s="55">
        <f>SUMIFS(tblBudget[Gold_Poured_oz],tblBudget[Month],"&lt;"&amp;$E276)+$KP276</f>
        <v/>
      </c>
      <c r="KR276" s="57">
        <f>SUMIFS(tblBudget[Hours_Worked],tblBudget[Month],$E276)</f>
        <v/>
      </c>
      <c r="KS276" s="57">
        <f>$KR276*$C276/$D276</f>
        <v/>
      </c>
      <c r="KT276" s="57">
        <f>SUMIFS(tblBudget[Hours_Worked],tblBudget[Month],"&lt;"&amp;$E276)+$KS276</f>
        <v/>
      </c>
    </row>
    <row r="277">
      <c r="A277" s="54" t="n">
        <v>46298</v>
      </c>
      <c r="B277">
        <f>MONTH($A277)</f>
        <v/>
      </c>
      <c r="C277">
        <f>DAY($A277)</f>
        <v/>
      </c>
      <c r="D277">
        <f>DAY(EOMONTH($A277,0))</f>
        <v/>
      </c>
      <c r="E277" s="54">
        <f>DATE(YEAR($A277),MONTH($A277),1)</f>
        <v/>
      </c>
      <c r="F277" s="55">
        <f>SUMIFS(tblMovement[Tonnes_t],tblMovement[Date],$A277,tblMovement[Is_Ore],1,tblMovement[Source_Type],"Pit")</f>
        <v/>
      </c>
      <c r="G277" s="55">
        <f>IF($B277=$B276,$G276,0)+$F277</f>
        <v/>
      </c>
      <c r="H277" s="55">
        <f>$H276+$F277</f>
        <v/>
      </c>
      <c r="I277" s="55">
        <f>SUMIFS(tblMovement[Ore_oz],tblMovement[Date],$A277,tblMovement[Source_Type],"Pit")</f>
        <v/>
      </c>
      <c r="J277" s="55">
        <f>IF($B277=$B276,$J276,0)+$I277</f>
        <v/>
      </c>
      <c r="K277" s="55">
        <f>$K276+$I277</f>
        <v/>
      </c>
      <c r="L277" s="55">
        <f>SUMIFS(tblMovement[Tonnes_t],tblMovement[Date],$A277,tblMovement[Is_Ore],1,tblMovement[Source_Type],"Pit",tblMovement[Grade_gpt],"&lt;&gt;")</f>
        <v/>
      </c>
      <c r="M277" s="55">
        <f>IF($B277=$B276,$M276,0)+$L277</f>
        <v/>
      </c>
      <c r="N277" s="55">
        <f>$N276+$L277</f>
        <v/>
      </c>
      <c r="O277" s="56">
        <f>IFERROR(IF(($L277)&gt;0,($I277*cfg_TroyOz)/($L277),""),"")</f>
        <v/>
      </c>
      <c r="P277" s="56">
        <f>IFERROR(IF(($M277)&gt;0,($J277*cfg_TroyOz)/($M277),""),"")</f>
        <v/>
      </c>
      <c r="Q277" s="56">
        <f>IFERROR(IF(($N277)&gt;0,($K277*cfg_TroyOz)/($N277),""),"")</f>
        <v/>
      </c>
      <c r="R277" s="55">
        <f>$F277-$L277</f>
        <v/>
      </c>
      <c r="S277" s="55">
        <f>IF($B277=$B276,$S276,0)+$R277</f>
        <v/>
      </c>
      <c r="T277" s="55">
        <f>$T276+$R277</f>
        <v/>
      </c>
      <c r="U277" s="55">
        <f>SUMIFS(tblMovement[Tonnes_t],tblMovement[Date],$A277,tblMovement[Is_Ore],0,tblMovement[Source_Type],"Pit")</f>
        <v/>
      </c>
      <c r="V277" s="55">
        <f>IF($B277=$B276,$V276,0)+$U277</f>
        <v/>
      </c>
      <c r="W277" s="55">
        <f>$W276+$U277</f>
        <v/>
      </c>
      <c r="X277" s="55">
        <f>$F277+$U277</f>
        <v/>
      </c>
      <c r="Y277" s="55">
        <f>IF($B277=$B276,$Y276,0)+$X277</f>
        <v/>
      </c>
      <c r="Z277" s="55">
        <f>$Z276+$X277</f>
        <v/>
      </c>
      <c r="AA277" s="56">
        <f>IFERROR(IF(($F277)&gt;0,($U277)/($F277),""),"")</f>
        <v/>
      </c>
      <c r="AB277" s="56">
        <f>IFERROR(IF(($G277)&gt;0,($V277)/($G277),""),"")</f>
        <v/>
      </c>
      <c r="AC277" s="56">
        <f>IFERROR(IF(($H277)&gt;0,($W277)/($H277),""),"")</f>
        <v/>
      </c>
      <c r="AD277" s="55">
        <f>SUMIFS(tblMovement[Tonnes_t],tblMovement[Date],$A277,tblMovement[Source_Type],"Stockpile")</f>
        <v/>
      </c>
      <c r="AE277" s="55">
        <f>IF($B277=$B276,$AE276,0)+$AD277</f>
        <v/>
      </c>
      <c r="AF277" s="55">
        <f>$AF276+$AD277</f>
        <v/>
      </c>
      <c r="AG277" s="55">
        <f>SUMIFS(tblMovement[Tonnes_t],tblMovement[Date],$A277)</f>
        <v/>
      </c>
      <c r="AH277" s="55">
        <f>IF($B277=$B276,$AH276,0)+$AG277</f>
        <v/>
      </c>
      <c r="AI277" s="55">
        <f>$AI276+$AG277</f>
        <v/>
      </c>
      <c r="AJ277" s="55">
        <f>$AG277-$X277-$AD277</f>
        <v/>
      </c>
      <c r="AK277" s="55">
        <f>IF($B277=$B276,$AK276,0)+$AJ277</f>
        <v/>
      </c>
      <c r="AL277" s="55">
        <f>$AL276+$AJ277</f>
        <v/>
      </c>
      <c r="AM277" s="55">
        <f>SUMIFS(tblMiningDaily[Drill_m],tblMiningDaily[Date],$A277)</f>
        <v/>
      </c>
      <c r="AN277" s="55">
        <f>IF($B277=$B276,$AN276,0)+$AM277</f>
        <v/>
      </c>
      <c r="AO277" s="55">
        <f>$AO276+$AM277</f>
        <v/>
      </c>
      <c r="AP277" s="55">
        <f>SUMIFS(tblMiningDaily[GC_Drill_m],tblMiningDaily[Date],$A277)</f>
        <v/>
      </c>
      <c r="AQ277" s="55">
        <f>IF($B277=$B276,$AQ276,0)+$AP277</f>
        <v/>
      </c>
      <c r="AR277" s="55">
        <f>$AR276+$AP277</f>
        <v/>
      </c>
      <c r="AS277" s="55">
        <f>SUMIFS(tblMiningDaily[Blast_t],tblMiningDaily[Date],$A277)</f>
        <v/>
      </c>
      <c r="AT277" s="55">
        <f>IF($B277=$B276,$AT276,0)+$AS277</f>
        <v/>
      </c>
      <c r="AU277" s="55">
        <f>$AU276+$AS277</f>
        <v/>
      </c>
      <c r="AV277" s="55">
        <f>SUMIFS(tblMiningDaily[Explosives_kg],tblMiningDaily[Date],$A277)</f>
        <v/>
      </c>
      <c r="AW277" s="55">
        <f>IF($B277=$B276,$AW276,0)+$AV277</f>
        <v/>
      </c>
      <c r="AX277" s="55">
        <f>$AX276+$AV277</f>
        <v/>
      </c>
      <c r="AY277" s="56">
        <f>IFERROR(IF(($AS277)&gt;0,($AV277)/($AS277),""),"")</f>
        <v/>
      </c>
      <c r="AZ277" s="56">
        <f>IFERROR(IF(($AT277)&gt;0,($AW277)/($AT277),""),"")</f>
        <v/>
      </c>
      <c r="BA277" s="56">
        <f>IFERROR(IF(($AU277)&gt;0,($AX277)/($AU277),""),"")</f>
        <v/>
      </c>
      <c r="BB277" s="55">
        <f>SUMIFS(tblMiningDaily[Diesel_L],tblMiningDaily[Date],$A277)</f>
        <v/>
      </c>
      <c r="BC277" s="55">
        <f>IF($B277=$B276,$BC276,0)+$BB277</f>
        <v/>
      </c>
      <c r="BD277" s="55">
        <f>$BD276+$BB277</f>
        <v/>
      </c>
      <c r="BE277" s="55">
        <f>SUMIFS(tblMiningDaily[Dewatering_m3],tblMiningDaily[Date],$A277)</f>
        <v/>
      </c>
      <c r="BF277" s="55">
        <f>IF($B277=$B276,$BF276,0)+$BE277</f>
        <v/>
      </c>
      <c r="BG277" s="55">
        <f>$BG276+$BE277</f>
        <v/>
      </c>
      <c r="BH277" s="57">
        <f>SUMIFS(tblFleet[Calendar_h],tblFleet[Date],$A277,tblFleet[Equipment_Class],"Excavator")</f>
        <v/>
      </c>
      <c r="BI277" s="57">
        <f>IF($B277=$B276,$BI276,0)+$BH277</f>
        <v/>
      </c>
      <c r="BJ277" s="57">
        <f>$BJ276+$BH277</f>
        <v/>
      </c>
      <c r="BK277" s="57">
        <f>SUMIFS(tblFleet[Available_h],tblFleet[Date],$A277,tblFleet[Equipment_Class],"Excavator")</f>
        <v/>
      </c>
      <c r="BL277" s="57">
        <f>IF($B277=$B276,$BL276,0)+$BK277</f>
        <v/>
      </c>
      <c r="BM277" s="57">
        <f>$BM276+$BK277</f>
        <v/>
      </c>
      <c r="BN277" s="57">
        <f>SUMIFS(tblFleet[Operating_h],tblFleet[Date],$A277,tblFleet[Equipment_Class],"Excavator")</f>
        <v/>
      </c>
      <c r="BO277" s="57">
        <f>IF($B277=$B276,$BO276,0)+$BN277</f>
        <v/>
      </c>
      <c r="BP277" s="57">
        <f>$BP276+$BN277</f>
        <v/>
      </c>
      <c r="BQ277" s="67">
        <f>IFERROR(IF(($BH277)&gt;0,($BK277)/($BH277),""),"")</f>
        <v/>
      </c>
      <c r="BR277" s="67">
        <f>IFERROR(IF(($BI277)&gt;0,($BL277)/($BI277),""),"")</f>
        <v/>
      </c>
      <c r="BS277" s="67">
        <f>IFERROR(IF(($BJ277)&gt;0,($BM277)/($BJ277),""),"")</f>
        <v/>
      </c>
      <c r="BT277" s="67">
        <f>IFERROR(IF(($BK277)&gt;0,($BN277)/($BK277),""),"")</f>
        <v/>
      </c>
      <c r="BU277" s="67">
        <f>IFERROR(IF(($BL277)&gt;0,($BO277)/($BL277),""),"")</f>
        <v/>
      </c>
      <c r="BV277" s="67">
        <f>IFERROR(IF(($BM277)&gt;0,($BP277)/($BM277),""),"")</f>
        <v/>
      </c>
      <c r="BW277" s="57">
        <f>SUMIFS(tblFleet[Calendar_h],tblFleet[Date],$A277,tblFleet[Equipment_Class],"Haul Truck")</f>
        <v/>
      </c>
      <c r="BX277" s="57">
        <f>IF($B277=$B276,$BX276,0)+$BW277</f>
        <v/>
      </c>
      <c r="BY277" s="57">
        <f>$BY276+$BW277</f>
        <v/>
      </c>
      <c r="BZ277" s="57">
        <f>SUMIFS(tblFleet[Available_h],tblFleet[Date],$A277,tblFleet[Equipment_Class],"Haul Truck")</f>
        <v/>
      </c>
      <c r="CA277" s="57">
        <f>IF($B277=$B276,$CA276,0)+$BZ277</f>
        <v/>
      </c>
      <c r="CB277" s="57">
        <f>$CB276+$BZ277</f>
        <v/>
      </c>
      <c r="CC277" s="57">
        <f>SUMIFS(tblFleet[Operating_h],tblFleet[Date],$A277,tblFleet[Equipment_Class],"Haul Truck")</f>
        <v/>
      </c>
      <c r="CD277" s="57">
        <f>IF($B277=$B276,$CD276,0)+$CC277</f>
        <v/>
      </c>
      <c r="CE277" s="57">
        <f>$CE276+$CC277</f>
        <v/>
      </c>
      <c r="CF277" s="67">
        <f>IFERROR(IF(($BW277)&gt;0,($BZ277)/($BW277),""),"")</f>
        <v/>
      </c>
      <c r="CG277" s="67">
        <f>IFERROR(IF(($BX277)&gt;0,($CA277)/($BX277),""),"")</f>
        <v/>
      </c>
      <c r="CH277" s="67">
        <f>IFERROR(IF(($BY277)&gt;0,($CB277)/($BY277),""),"")</f>
        <v/>
      </c>
      <c r="CI277" s="67">
        <f>IFERROR(IF(($BZ277)&gt;0,($CC277)/($BZ277),""),"")</f>
        <v/>
      </c>
      <c r="CJ277" s="67">
        <f>IFERROR(IF(($CA277)&gt;0,($CD277)/($CA277),""),"")</f>
        <v/>
      </c>
      <c r="CK277" s="67">
        <f>IFERROR(IF(($CB277)&gt;0,($CE277)/($CB277),""),"")</f>
        <v/>
      </c>
      <c r="CL277" s="55">
        <f>IFERROR(IF(($BN277)&gt;0,($X277+$AD277)/($BN277),""),"")</f>
        <v/>
      </c>
      <c r="CM277" s="55">
        <f>IFERROR(IF(($BO277)&gt;0,($Y277+$AE277)/($BO277),""),"")</f>
        <v/>
      </c>
      <c r="CN277" s="55">
        <f>IFERROR(IF(($BP277)&gt;0,($Z277+$AF277)/($BP277),""),"")</f>
        <v/>
      </c>
      <c r="CO277" s="55">
        <f>IFERROR(IF(($CC277)&gt;0,($X277+$AD277)/($CC277),""),"")</f>
        <v/>
      </c>
      <c r="CP277" s="55">
        <f>IFERROR(IF(($CD277)&gt;0,($Y277+$AE277)/($CD277),""),"")</f>
        <v/>
      </c>
      <c r="CQ277" s="55">
        <f>IFERROR(IF(($CE277)&gt;0,($Z277+$AF277)/($CE277),""),"")</f>
        <v/>
      </c>
      <c r="CR277" s="55">
        <f>SUMIFS(tblPlant[Crushed_t],tblPlant[Date],$A277)</f>
        <v/>
      </c>
      <c r="CS277" s="55">
        <f>IF($B277=$B276,$CS276,0)+$CR277</f>
        <v/>
      </c>
      <c r="CT277" s="55">
        <f>$CT276+$CR277</f>
        <v/>
      </c>
      <c r="CU277" s="55">
        <f>SUMIFS(tblPlant[Milled_t],tblPlant[Date],$A277)</f>
        <v/>
      </c>
      <c r="CV277" s="55">
        <f>IF($B277=$B276,$CV276,0)+$CU277</f>
        <v/>
      </c>
      <c r="CW277" s="55">
        <f>$CW276+$CU277</f>
        <v/>
      </c>
      <c r="CX277" s="55">
        <f>SUMIFS(tblPlant[Feed_oz],tblPlant[Date],$A277)</f>
        <v/>
      </c>
      <c r="CY277" s="55">
        <f>IF($B277=$B276,$CY276,0)+$CX277</f>
        <v/>
      </c>
      <c r="CZ277" s="55">
        <f>$CZ276+$CX277</f>
        <v/>
      </c>
      <c r="DA277" s="55">
        <f>SUMIFS(tblPlant[Tails_oz],tblPlant[Date],$A277)</f>
        <v/>
      </c>
      <c r="DB277" s="55">
        <f>IF($B277=$B276,$DB276,0)+$DA277</f>
        <v/>
      </c>
      <c r="DC277" s="55">
        <f>$DC276+$DA277</f>
        <v/>
      </c>
      <c r="DD277" s="55">
        <f>SUMIFS(tblPlant[Recovered_oz],tblPlant[Date],$A277)</f>
        <v/>
      </c>
      <c r="DE277" s="55">
        <f>IF($B277=$B276,$DE276,0)+$DD277</f>
        <v/>
      </c>
      <c r="DF277" s="55">
        <f>$DF276+$DD277</f>
        <v/>
      </c>
      <c r="DG277" s="55">
        <f>SUMIFS(tblPlant[Milled_t],tblPlant[Date],$A277,tblPlant[Head_Grade_gpt],"&lt;&gt;")</f>
        <v/>
      </c>
      <c r="DH277" s="55">
        <f>IF($B277=$B276,$DH276,0)+$DG277</f>
        <v/>
      </c>
      <c r="DI277" s="55">
        <f>$DI276+$DG277</f>
        <v/>
      </c>
      <c r="DJ277" s="55">
        <f>SUMIFS(tblPlant[Milled_t],tblPlant[Date],$A277,tblPlant[Tails_Grade_gpt],"&lt;&gt;")</f>
        <v/>
      </c>
      <c r="DK277" s="55">
        <f>IF($B277=$B276,$DK276,0)+$DJ277</f>
        <v/>
      </c>
      <c r="DL277" s="55">
        <f>$DL276+$DJ277</f>
        <v/>
      </c>
      <c r="DM277" s="55">
        <f>SUMIFS(tblPlant[Feed_oz],tblPlant[Date],$A277,tblPlant[Tails_Grade_gpt],"&lt;&gt;")</f>
        <v/>
      </c>
      <c r="DN277" s="55">
        <f>IF($B277=$B276,$DN276,0)+$DM277</f>
        <v/>
      </c>
      <c r="DO277" s="55">
        <f>$DO276+$DM277</f>
        <v/>
      </c>
      <c r="DP277" s="55">
        <f>SUMIFS(tblPlant[Milled_t],tblPlant[Date],$A277,tblPlant[Mill_Run_h],"&lt;&gt;")</f>
        <v/>
      </c>
      <c r="DQ277" s="55">
        <f>IF($B277=$B276,$DQ276,0)+$DP277</f>
        <v/>
      </c>
      <c r="DR277" s="55">
        <f>$DR276+$DP277</f>
        <v/>
      </c>
      <c r="DS277" s="56">
        <f>IFERROR(IF(($DG277)&gt;0,($CX277*cfg_TroyOz)/($DG277),""),"")</f>
        <v/>
      </c>
      <c r="DT277" s="56">
        <f>IFERROR(IF(($DH277)&gt;0,($CY277*cfg_TroyOz)/($DH277),""),"")</f>
        <v/>
      </c>
      <c r="DU277" s="56">
        <f>IFERROR(IF(($DI277)&gt;0,($CZ277*cfg_TroyOz)/($DI277),""),"")</f>
        <v/>
      </c>
      <c r="DV277" s="56">
        <f>IFERROR(IF(($DJ277)&gt;0,($DA277*cfg_TroyOz)/($DJ277),""),"")</f>
        <v/>
      </c>
      <c r="DW277" s="56">
        <f>IFERROR(IF(($DK277)&gt;0,($DB277*cfg_TroyOz)/($DK277),""),"")</f>
        <v/>
      </c>
      <c r="DX277" s="56">
        <f>IFERROR(IF(($DL277)&gt;0,($DC277*cfg_TroyOz)/($DL277),""),"")</f>
        <v/>
      </c>
      <c r="DY277" s="67">
        <f>IFERROR(IF(($DM277)&gt;0,($DD277)/($DM277),""),"")</f>
        <v/>
      </c>
      <c r="DZ277" s="67">
        <f>IFERROR(IF(($DN277)&gt;0,($DE277)/($DN277),""),"")</f>
        <v/>
      </c>
      <c r="EA277" s="67">
        <f>IFERROR(IF(($DO277)&gt;0,($DF277)/($DO277),""),"")</f>
        <v/>
      </c>
      <c r="EB277" s="55">
        <f>SUMIFS(tblPlant[Gravity_Gold_oz],tblPlant[Date],$A277)</f>
        <v/>
      </c>
      <c r="EC277" s="55">
        <f>IF($B277=$B276,$EC276,0)+$EB277</f>
        <v/>
      </c>
      <c r="ED277" s="55">
        <f>$ED276+$EB277</f>
        <v/>
      </c>
      <c r="EE277" s="67">
        <f>IFERROR(IF(($DD277)&gt;0,($EB277)/($DD277),""),"")</f>
        <v/>
      </c>
      <c r="EF277" s="67">
        <f>IFERROR(IF(($DE277)&gt;0,($EC277)/($DE277),""),"")</f>
        <v/>
      </c>
      <c r="EG277" s="67">
        <f>IFERROR(IF(($DF277)&gt;0,($ED277)/($DF277),""),"")</f>
        <v/>
      </c>
      <c r="EH277" s="55">
        <f>SUMIFS(tblPlant[Gold_Poured_oz],tblPlant[Date],$A277)</f>
        <v/>
      </c>
      <c r="EI277" s="55">
        <f>IF($B277=$B276,$EI276,0)+$EH277</f>
        <v/>
      </c>
      <c r="EJ277" s="55">
        <f>$EJ276+$EH277</f>
        <v/>
      </c>
      <c r="EK277" s="57">
        <f>SUMIFS(tblPlant[Mill_Run_h],tblPlant[Date],$A277)</f>
        <v/>
      </c>
      <c r="EL277" s="57">
        <f>IF($B277=$B276,$EL276,0)+$EK277</f>
        <v/>
      </c>
      <c r="EM277" s="57">
        <f>$EM276+$EK277</f>
        <v/>
      </c>
      <c r="EN277" s="57">
        <f>SUMIFS(tblPlant[Mill_Planned_Maint_h],tblPlant[Date],$A277)</f>
        <v/>
      </c>
      <c r="EO277" s="57">
        <f>IF($B277=$B276,$EO276,0)+$EN277</f>
        <v/>
      </c>
      <c r="EP277" s="57">
        <f>$EP276+$EN277</f>
        <v/>
      </c>
      <c r="EQ277" s="57">
        <f>SUMIFS(tblPlant[Mill_Unplanned_Down_h],tblPlant[Date],$A277)</f>
        <v/>
      </c>
      <c r="ER277" s="57">
        <f>IF($B277=$B276,$ER276,0)+$EQ277</f>
        <v/>
      </c>
      <c r="ES277" s="57">
        <f>$ES276+$EQ277</f>
        <v/>
      </c>
      <c r="ET277" s="57">
        <f>IF(COUNTIFS(tblPlant[Date],$A277,tblPlant[Mill_Run_h],"&lt;&gt;")+COUNTIFS(tblPlant[Date],$A277,tblPlant[Mill_Planned_Maint_h],"&lt;&gt;")+COUNTIFS(tblPlant[Date],$A277,tblPlant[Mill_Unplanned_Down_h],"&lt;&gt;")&gt;0,cfg_HoursPerDay,0)</f>
        <v/>
      </c>
      <c r="EU277" s="57">
        <f>IF($B277=$B276,$EU276,0)+$ET277</f>
        <v/>
      </c>
      <c r="EV277" s="57">
        <f>$EV276+$ET277</f>
        <v/>
      </c>
      <c r="EW277" s="57">
        <f>SUMIFS(tblPlant[Crusher_Run_h],tblPlant[Date],$A277)</f>
        <v/>
      </c>
      <c r="EX277" s="57">
        <f>IF($B277=$B276,$EX276,0)+$EW277</f>
        <v/>
      </c>
      <c r="EY277" s="57">
        <f>$EY276+$EW277</f>
        <v/>
      </c>
      <c r="EZ277" s="55">
        <f>IFERROR(IF(($EK277)&gt;0,($DP277)/($EK277),""),"")</f>
        <v/>
      </c>
      <c r="FA277" s="55">
        <f>IFERROR(IF(($EL277)&gt;0,($DQ277)/($EL277),""),"")</f>
        <v/>
      </c>
      <c r="FB277" s="55">
        <f>IFERROR(IF(($EM277)&gt;0,($DR277)/($EM277),""),"")</f>
        <v/>
      </c>
      <c r="FC277" s="67">
        <f>IFERROR(IF(($ET277)&gt;0,($ET277-$EN277-$EQ277)/($ET277),""),"")</f>
        <v/>
      </c>
      <c r="FD277" s="67">
        <f>IFERROR(IF(($EU277)&gt;0,($EU277-$EO277-$ER277)/($EU277),""),"")</f>
        <v/>
      </c>
      <c r="FE277" s="67">
        <f>IFERROR(IF(($EV277)&gt;0,($EV277-$EP277-$ES277)/($EV277),""),"")</f>
        <v/>
      </c>
      <c r="FF277" s="67">
        <f>IFERROR(IF(($ET277-$EN277-$EQ277)&gt;0,($EK277)/($ET277-$EN277-$EQ277),""),"")</f>
        <v/>
      </c>
      <c r="FG277" s="67">
        <f>IFERROR(IF(($EU277-$EO277-$ER277)&gt;0,($EL277)/($EU277-$EO277-$ER277),""),"")</f>
        <v/>
      </c>
      <c r="FH277" s="67">
        <f>IFERROR(IF(($EV277-$EP277-$ES277)&gt;0,($EM277)/($EV277-$EP277-$ES277),""),"")</f>
        <v/>
      </c>
      <c r="FI277" s="55">
        <f>SUMIFS(tblPlant[Cyanide_kg],tblPlant[Date],$A277)</f>
        <v/>
      </c>
      <c r="FJ277" s="55">
        <f>IF($B277=$B276,$FJ276,0)+$FI277</f>
        <v/>
      </c>
      <c r="FK277" s="55">
        <f>$FK276+$FI277</f>
        <v/>
      </c>
      <c r="FL277" s="55">
        <f>SUMIFS(tblPlant[Lime_kg],tblPlant[Date],$A277)</f>
        <v/>
      </c>
      <c r="FM277" s="55">
        <f>IF($B277=$B276,$FM276,0)+$FL277</f>
        <v/>
      </c>
      <c r="FN277" s="55">
        <f>$FN276+$FL277</f>
        <v/>
      </c>
      <c r="FO277" s="55">
        <f>SUMIFS(tblPlant[Grinding_Media_kg],tblPlant[Date],$A277)</f>
        <v/>
      </c>
      <c r="FP277" s="55">
        <f>IF($B277=$B276,$FP276,0)+$FO277</f>
        <v/>
      </c>
      <c r="FQ277" s="55">
        <f>$FQ276+$FO277</f>
        <v/>
      </c>
      <c r="FR277" s="55">
        <f>SUMIFS(tblPlant[Power_kWh],tblPlant[Date],$A277)</f>
        <v/>
      </c>
      <c r="FS277" s="55">
        <f>IF($B277=$B276,$FS276,0)+$FR277</f>
        <v/>
      </c>
      <c r="FT277" s="55">
        <f>$FT276+$FR277</f>
        <v/>
      </c>
      <c r="FU277" s="55">
        <f>SUMIFS(tblPlant[Raw_Water_m3],tblPlant[Date],$A277)</f>
        <v/>
      </c>
      <c r="FV277" s="55">
        <f>IF($B277=$B276,$FV276,0)+$FU277</f>
        <v/>
      </c>
      <c r="FW277" s="55">
        <f>$FW276+$FU277</f>
        <v/>
      </c>
      <c r="FX277" s="56">
        <f>IFERROR(IF(($CU277)&gt;0,($FI277)/($CU277),""),"")</f>
        <v/>
      </c>
      <c r="FY277" s="56">
        <f>IFERROR(IF(($CV277)&gt;0,($FJ277)/($CV277),""),"")</f>
        <v/>
      </c>
      <c r="FZ277" s="56">
        <f>IFERROR(IF(($CW277)&gt;0,($FK277)/($CW277),""),"")</f>
        <v/>
      </c>
      <c r="GA277" s="56">
        <f>IFERROR(IF(($CU277)&gt;0,($FL277)/($CU277),""),"")</f>
        <v/>
      </c>
      <c r="GB277" s="56">
        <f>IFERROR(IF(($CV277)&gt;0,($FM277)/($CV277),""),"")</f>
        <v/>
      </c>
      <c r="GC277" s="56">
        <f>IFERROR(IF(($CW277)&gt;0,($FN277)/($CW277),""),"")</f>
        <v/>
      </c>
      <c r="GD277" s="56">
        <f>IFERROR(IF(($CU277)&gt;0,($FO277)/($CU277),""),"")</f>
        <v/>
      </c>
      <c r="GE277" s="56">
        <f>IFERROR(IF(($CV277)&gt;0,($FP277)/($CV277),""),"")</f>
        <v/>
      </c>
      <c r="GF277" s="56">
        <f>IFERROR(IF(($CW277)&gt;0,($FQ277)/($CW277),""),"")</f>
        <v/>
      </c>
      <c r="GG277" s="79">
        <f>IFERROR(IF(($CU277)&gt;0,($FR277)/($CU277),""),"")</f>
        <v/>
      </c>
      <c r="GH277" s="79">
        <f>IFERROR(IF(($CV277)&gt;0,($FS277)/($CV277),""),"")</f>
        <v/>
      </c>
      <c r="GI277" s="79">
        <f>IFERROR(IF(($CW277)&gt;0,($FT277)/($CW277),""),"")</f>
        <v/>
      </c>
      <c r="GJ277" s="56">
        <f>IFERROR(IF(($CU277)&gt;0,($FU277)/($CU277),""),"")</f>
        <v/>
      </c>
      <c r="GK277" s="56">
        <f>IFERROR(IF(($CV277)&gt;0,($FV277)/($CV277),""),"")</f>
        <v/>
      </c>
      <c r="GL277" s="56">
        <f>IFERROR(IF(($CW277)&gt;0,($FW277)/($CW277),""),"")</f>
        <v/>
      </c>
      <c r="GM277" s="55">
        <f>IF(SUMIFS(tblPlant[GIC_oz],tblPlant[Date],$A277)&gt;0,SUMIFS(tblPlant[GIC_oz],tblPlant[Date],$A277),"")</f>
        <v/>
      </c>
      <c r="GN277" s="55">
        <f>SUMIFS(tblGold[Gold_oz],tblGold[Date],$A277,tblGold[Type],"Shipment")</f>
        <v/>
      </c>
      <c r="GO277" s="55">
        <f>IF($B277=$B276,$GO276,0)+$GN277</f>
        <v/>
      </c>
      <c r="GP277" s="55">
        <f>$GP276+$GN277</f>
        <v/>
      </c>
      <c r="GQ277" s="55">
        <f>SUMIFS(tblGold[Gold_oz],tblGold[Date],$A277,tblGold[Type],"Sale")</f>
        <v/>
      </c>
      <c r="GR277" s="55">
        <f>IF($B277=$B276,$GR276,0)+$GQ277</f>
        <v/>
      </c>
      <c r="GS277" s="55">
        <f>$GS276+$GQ277</f>
        <v/>
      </c>
      <c r="GT277" s="55">
        <f>SUMIFS(tblGold[Dore_kg],tblGold[Date],$A277,tblGold[Type],"Shipment")</f>
        <v/>
      </c>
      <c r="GU277" s="55">
        <f>IF($B277=$B276,$GU276,0)+$GT277</f>
        <v/>
      </c>
      <c r="GV277" s="55">
        <f>$GV276+$GT277</f>
        <v/>
      </c>
      <c r="GW277" s="57">
        <f>SUMIFS(tblSafety[Hours_Total],tblSafety[Date],$A277)</f>
        <v/>
      </c>
      <c r="GX277" s="57">
        <f>IF($B277=$B276,$GX276,0)+$GW277</f>
        <v/>
      </c>
      <c r="GY277" s="57">
        <f>$GY276+$GW277</f>
        <v/>
      </c>
      <c r="GZ277" s="62">
        <f>SUMIFS(tblSafety[Fatality],tblSafety[Date],$A277)</f>
        <v/>
      </c>
      <c r="HA277" s="62">
        <f>IF($B277=$B276,$HA276,0)+$GZ277</f>
        <v/>
      </c>
      <c r="HB277" s="62">
        <f>$HB276+$GZ277</f>
        <v/>
      </c>
      <c r="HC277" s="62">
        <f>SUMIFS(tblSafety[LTI],tblSafety[Date],$A277)</f>
        <v/>
      </c>
      <c r="HD277" s="62">
        <f>IF($B277=$B276,$HD276,0)+$HC277</f>
        <v/>
      </c>
      <c r="HE277" s="62">
        <f>$HE276+$HC277</f>
        <v/>
      </c>
      <c r="HF277" s="62">
        <f>SUMIFS(tblSafety[RWI],tblSafety[Date],$A277)</f>
        <v/>
      </c>
      <c r="HG277" s="62">
        <f>IF($B277=$B276,$HG276,0)+$HF277</f>
        <v/>
      </c>
      <c r="HH277" s="62">
        <f>$HH276+$HF277</f>
        <v/>
      </c>
      <c r="HI277" s="62">
        <f>SUMIFS(tblSafety[MTI],tblSafety[Date],$A277)</f>
        <v/>
      </c>
      <c r="HJ277" s="62">
        <f>IF($B277=$B276,$HJ276,0)+$HI277</f>
        <v/>
      </c>
      <c r="HK277" s="62">
        <f>$HK276+$HI277</f>
        <v/>
      </c>
      <c r="HL277" s="62">
        <f>SUMIFS(tblSafety[FAI],tblSafety[Date],$A277)</f>
        <v/>
      </c>
      <c r="HM277" s="62">
        <f>IF($B277=$B276,$HM276,0)+$HL277</f>
        <v/>
      </c>
      <c r="HN277" s="62">
        <f>$HN276+$HL277</f>
        <v/>
      </c>
      <c r="HO277" s="62">
        <f>SUMIFS(tblSafety[Recordables],tblSafety[Date],$A277)</f>
        <v/>
      </c>
      <c r="HP277" s="62">
        <f>IF($B277=$B276,$HP276,0)+$HO277</f>
        <v/>
      </c>
      <c r="HQ277" s="62">
        <f>$HQ276+$HO277</f>
        <v/>
      </c>
      <c r="HR277" s="62">
        <f>SUMIFS(tblSafety[Near_Miss],tblSafety[Date],$A277)</f>
        <v/>
      </c>
      <c r="HS277" s="62">
        <f>IF($B277=$B276,$HS276,0)+$HR277</f>
        <v/>
      </c>
      <c r="HT277" s="62">
        <f>$HT276+$HR277</f>
        <v/>
      </c>
      <c r="HU277" s="62">
        <f>SUMIFS(tblSafety[Hazard_Reports],tblSafety[Date],$A277)</f>
        <v/>
      </c>
      <c r="HV277" s="62">
        <f>IF($B277=$B276,$HV276,0)+$HU277</f>
        <v/>
      </c>
      <c r="HW277" s="62">
        <f>$HW276+$HU277</f>
        <v/>
      </c>
      <c r="HX277" s="62">
        <f>SUMIFS(tblSafety[HPI],tblSafety[Date],$A277)</f>
        <v/>
      </c>
      <c r="HY277" s="62">
        <f>IF($B277=$B276,$HY276,0)+$HX277</f>
        <v/>
      </c>
      <c r="HZ277" s="62">
        <f>$HZ276+$HX277</f>
        <v/>
      </c>
      <c r="IA277" s="62">
        <f>SUMIFS(tblSafety[Env_Incidents],tblSafety[Date],$A277)</f>
        <v/>
      </c>
      <c r="IB277" s="62">
        <f>IF($B277=$B276,$IB276,0)+$IA277</f>
        <v/>
      </c>
      <c r="IC277" s="62">
        <f>$IC276+$IA277</f>
        <v/>
      </c>
      <c r="ID277" s="62">
        <f>SUMIFS(tblSafety[Community_Incidents],tblSafety[Date],$A277)</f>
        <v/>
      </c>
      <c r="IE277" s="62">
        <f>IF($B277=$B276,$IE276,0)+$ID277</f>
        <v/>
      </c>
      <c r="IF277" s="62">
        <f>$IF276+$ID277</f>
        <v/>
      </c>
      <c r="IG277" s="62">
        <f>SUMIFS(tblSafety[Vehicle_Incidents],tblSafety[Date],$A277)</f>
        <v/>
      </c>
      <c r="IH277" s="62">
        <f>IF($B277=$B276,$IH276,0)+$IG277</f>
        <v/>
      </c>
      <c r="II277" s="62">
        <f>$II276+$IG277</f>
        <v/>
      </c>
      <c r="IJ277" s="62">
        <f>SUMIFS(tblSafety[Toolbox_Talks],tblSafety[Date],$A277)</f>
        <v/>
      </c>
      <c r="IK277" s="62">
        <f>IF($B277=$B276,$IK276,0)+$IJ277</f>
        <v/>
      </c>
      <c r="IL277" s="62">
        <f>$IL276+$IJ277</f>
        <v/>
      </c>
      <c r="IM277" s="62">
        <f>SUMIFS(tblSafety[Inspections],tblSafety[Date],$A277)</f>
        <v/>
      </c>
      <c r="IN277" s="62">
        <f>IF($B277=$B276,$IN276,0)+$IM277</f>
        <v/>
      </c>
      <c r="IO277" s="62">
        <f>$IO276+$IM277</f>
        <v/>
      </c>
      <c r="IP277" s="56">
        <f>IFERROR((SUMIFS(tblSafety[Recordables],tblSafety[Date],"&gt;="&amp;EDATE($E277,-12),tblSafety[Date],"&lt;="&amp;$A277)+SUMIFS(tblSafetyHistory[Recordables],tblSafetyHistory[Month],"&gt;="&amp;EDATE($E277,-12),tblSafetyHistory[Month],"&lt;"&amp;$E277,tblSafetyHistory[Use],1))/(SUMIFS(tblSafety[Hours_Total],tblSafety[Date],"&gt;="&amp;EDATE($E277,-12),tblSafety[Date],"&lt;="&amp;$A277)+SUMIFS(tblSafetyHistory[Hours_Total],tblSafetyHistory[Month],"&gt;="&amp;EDATE($E277,-12),tblSafetyHistory[Month],"&lt;"&amp;$E277,tblSafetyHistory[Use],1))*cfg_RateBasisHours,"")</f>
        <v/>
      </c>
      <c r="IQ277" s="56">
        <f>IFERROR((SUMIFS(tblSafety[LTI],tblSafety[Date],"&gt;="&amp;EDATE($E277,-12),tblSafety[Date],"&lt;="&amp;$A277)+SUMIFS(tblSafetyHistory[LTI],tblSafetyHistory[Month],"&gt;="&amp;EDATE($E277,-12),tblSafetyHistory[Month],"&lt;"&amp;$E277,tblSafetyHistory[Use],1))/(SUMIFS(tblSafety[Hours_Total],tblSafety[Date],"&gt;="&amp;EDATE($E277,-12),tblSafety[Date],"&lt;="&amp;$A277)+SUMIFS(tblSafetyHistory[Hours_Total],tblSafetyHistory[Month],"&gt;="&amp;EDATE($E277,-12),tblSafetyHistory[Month],"&lt;"&amp;$E277,tblSafetyHistory[Use],1))*cfg_RateBasisHours,"")</f>
        <v/>
      </c>
      <c r="IR277" s="62">
        <f>IF(MAX(N(cfg_PriorLTIDate),_xlfn.MAXIFS(tblSafety[Date],tblSafety[LTI],"&gt;0",tblSafety[Date],"&lt;="&amp;$A277))=0,"",$A277-MAX(N(cfg_PriorLTIDate),_xlfn.MAXIFS(tblSafety[Date],tblSafety[LTI],"&gt;0",tblSafety[Date],"&lt;="&amp;$A277)))</f>
        <v/>
      </c>
      <c r="IS277" s="55">
        <f>SUMIFS(tblBudget[Ore_Mined_t],tblBudget[Month],$E277)</f>
        <v/>
      </c>
      <c r="IT277" s="55">
        <f>$IS277*$C277/$D277</f>
        <v/>
      </c>
      <c r="IU277" s="55">
        <f>SUMIFS(tblBudget[Ore_Mined_t],tblBudget[Month],"&lt;"&amp;$E277)+$IT277</f>
        <v/>
      </c>
      <c r="IV277" s="55">
        <f>SUMIFS(tblBudget[Ore_oz],tblBudget[Month],$E277)</f>
        <v/>
      </c>
      <c r="IW277" s="55">
        <f>$IV277*$C277/$D277</f>
        <v/>
      </c>
      <c r="IX277" s="55">
        <f>SUMIFS(tblBudget[Ore_oz],tblBudget[Month],"&lt;"&amp;$E277)+$IW277</f>
        <v/>
      </c>
      <c r="IY277" s="55">
        <f>SUMIFS(tblBudget[Ore_Mined_t],tblBudget[Month],$E277)</f>
        <v/>
      </c>
      <c r="IZ277" s="55">
        <f>$IY277*$C277/$D277</f>
        <v/>
      </c>
      <c r="JA277" s="55">
        <f>SUMIFS(tblBudget[Ore_Mined_t],tblBudget[Month],"&lt;"&amp;$E277)+$IZ277</f>
        <v/>
      </c>
      <c r="JB277" s="56">
        <f>IFERROR(IF(($IY277)&gt;0,($IV277*cfg_TroyOz)/($IY277),""),"")</f>
        <v/>
      </c>
      <c r="JC277" s="56">
        <f>IFERROR(IF(($IZ277)&gt;0,($IW277*cfg_TroyOz)/($IZ277),""),"")</f>
        <v/>
      </c>
      <c r="JD277" s="56">
        <f>IFERROR(IF(($JA277)&gt;0,($IX277*cfg_TroyOz)/($JA277),""),"")</f>
        <v/>
      </c>
      <c r="JE277" s="55">
        <f>SUMIFS(tblBudget[Waste_t],tblBudget[Month],$E277)</f>
        <v/>
      </c>
      <c r="JF277" s="55">
        <f>$JE277*$C277/$D277</f>
        <v/>
      </c>
      <c r="JG277" s="55">
        <f>SUMIFS(tblBudget[Waste_t],tblBudget[Month],"&lt;"&amp;$E277)+$JF277</f>
        <v/>
      </c>
      <c r="JH277" s="55">
        <f>SUMIFS(tblBudget[TMM_t],tblBudget[Month],$E277)</f>
        <v/>
      </c>
      <c r="JI277" s="55">
        <f>$JH277*$C277/$D277</f>
        <v/>
      </c>
      <c r="JJ277" s="55">
        <f>SUMIFS(tblBudget[TMM_t],tblBudget[Month],"&lt;"&amp;$E277)+$JI277</f>
        <v/>
      </c>
      <c r="JK277" s="56">
        <f>IFERROR(IF(($IS277)&gt;0,($JE277)/($IS277),""),"")</f>
        <v/>
      </c>
      <c r="JL277" s="56">
        <f>IFERROR(IF(($IT277)&gt;0,($JF277)/($IT277),""),"")</f>
        <v/>
      </c>
      <c r="JM277" s="56">
        <f>IFERROR(IF(($IU277)&gt;0,($JG277)/($IU277),""),"")</f>
        <v/>
      </c>
      <c r="JN277" s="55">
        <f>SUMIFS(tblBudget[Drill_m],tblBudget[Month],$E277)</f>
        <v/>
      </c>
      <c r="JO277" s="55">
        <f>$JN277*$C277/$D277</f>
        <v/>
      </c>
      <c r="JP277" s="55">
        <f>SUMIFS(tblBudget[Drill_m],tblBudget[Month],"&lt;"&amp;$E277)+$JO277</f>
        <v/>
      </c>
      <c r="JQ277" s="55">
        <f>SUMIFS(tblBudget[Diesel_L],tblBudget[Month],$E277)</f>
        <v/>
      </c>
      <c r="JR277" s="55">
        <f>$JQ277*$C277/$D277</f>
        <v/>
      </c>
      <c r="JS277" s="55">
        <f>SUMIFS(tblBudget[Diesel_L],tblBudget[Month],"&lt;"&amp;$E277)+$JR277</f>
        <v/>
      </c>
      <c r="JT277" s="55">
        <f>SUMIFS(tblBudget[Milled_t],tblBudget[Month],$E277)</f>
        <v/>
      </c>
      <c r="JU277" s="55">
        <f>$JT277*$C277/$D277</f>
        <v/>
      </c>
      <c r="JV277" s="55">
        <f>SUMIFS(tblBudget[Milled_t],tblBudget[Month],"&lt;"&amp;$E277)+$JU277</f>
        <v/>
      </c>
      <c r="JW277" s="55">
        <f>SUMIFS(tblBudget[Feed_oz],tblBudget[Month],$E277)</f>
        <v/>
      </c>
      <c r="JX277" s="55">
        <f>$JW277*$C277/$D277</f>
        <v/>
      </c>
      <c r="JY277" s="55">
        <f>SUMIFS(tblBudget[Feed_oz],tblBudget[Month],"&lt;"&amp;$E277)+$JX277</f>
        <v/>
      </c>
      <c r="JZ277" s="55">
        <f>SUMIFS(tblBudget[Recovered_oz],tblBudget[Month],$E277)</f>
        <v/>
      </c>
      <c r="KA277" s="55">
        <f>$JZ277*$C277/$D277</f>
        <v/>
      </c>
      <c r="KB277" s="55">
        <f>SUMIFS(tblBudget[Recovered_oz],tblBudget[Month],"&lt;"&amp;$E277)+$KA277</f>
        <v/>
      </c>
      <c r="KC277" s="55">
        <f>SUMIFS(tblBudget[Milled_t],tblBudget[Month],$E277)</f>
        <v/>
      </c>
      <c r="KD277" s="55">
        <f>$KC277*$C277/$D277</f>
        <v/>
      </c>
      <c r="KE277" s="55">
        <f>SUMIFS(tblBudget[Milled_t],tblBudget[Month],"&lt;"&amp;$E277)+$KD277</f>
        <v/>
      </c>
      <c r="KF277" s="55">
        <f>SUMIFS(tblBudget[Feed_oz],tblBudget[Month],$E277)</f>
        <v/>
      </c>
      <c r="KG277" s="55">
        <f>$KF277*$C277/$D277</f>
        <v/>
      </c>
      <c r="KH277" s="55">
        <f>SUMIFS(tblBudget[Feed_oz],tblBudget[Month],"&lt;"&amp;$E277)+$KG277</f>
        <v/>
      </c>
      <c r="KI277" s="56">
        <f>IFERROR(IF(($KC277)&gt;0,($JW277*cfg_TroyOz)/($KC277),""),"")</f>
        <v/>
      </c>
      <c r="KJ277" s="56">
        <f>IFERROR(IF(($KD277)&gt;0,($JX277*cfg_TroyOz)/($KD277),""),"")</f>
        <v/>
      </c>
      <c r="KK277" s="56">
        <f>IFERROR(IF(($KE277)&gt;0,($JY277*cfg_TroyOz)/($KE277),""),"")</f>
        <v/>
      </c>
      <c r="KL277" s="67">
        <f>IFERROR(IF(($KF277)&gt;0,($JZ277)/($KF277),""),"")</f>
        <v/>
      </c>
      <c r="KM277" s="67">
        <f>IFERROR(IF(($KG277)&gt;0,($KA277)/($KG277),""),"")</f>
        <v/>
      </c>
      <c r="KN277" s="67">
        <f>IFERROR(IF(($KH277)&gt;0,($KB277)/($KH277),""),"")</f>
        <v/>
      </c>
      <c r="KO277" s="55">
        <f>SUMIFS(tblBudget[Gold_Poured_oz],tblBudget[Month],$E277)</f>
        <v/>
      </c>
      <c r="KP277" s="55">
        <f>$KO277*$C277/$D277</f>
        <v/>
      </c>
      <c r="KQ277" s="55">
        <f>SUMIFS(tblBudget[Gold_Poured_oz],tblBudget[Month],"&lt;"&amp;$E277)+$KP277</f>
        <v/>
      </c>
      <c r="KR277" s="57">
        <f>SUMIFS(tblBudget[Hours_Worked],tblBudget[Month],$E277)</f>
        <v/>
      </c>
      <c r="KS277" s="57">
        <f>$KR277*$C277/$D277</f>
        <v/>
      </c>
      <c r="KT277" s="57">
        <f>SUMIFS(tblBudget[Hours_Worked],tblBudget[Month],"&lt;"&amp;$E277)+$KS277</f>
        <v/>
      </c>
    </row>
    <row r="278">
      <c r="A278" s="54" t="n">
        <v>46299</v>
      </c>
      <c r="B278">
        <f>MONTH($A278)</f>
        <v/>
      </c>
      <c r="C278">
        <f>DAY($A278)</f>
        <v/>
      </c>
      <c r="D278">
        <f>DAY(EOMONTH($A278,0))</f>
        <v/>
      </c>
      <c r="E278" s="54">
        <f>DATE(YEAR($A278),MONTH($A278),1)</f>
        <v/>
      </c>
      <c r="F278" s="55">
        <f>SUMIFS(tblMovement[Tonnes_t],tblMovement[Date],$A278,tblMovement[Is_Ore],1,tblMovement[Source_Type],"Pit")</f>
        <v/>
      </c>
      <c r="G278" s="55">
        <f>IF($B278=$B277,$G277,0)+$F278</f>
        <v/>
      </c>
      <c r="H278" s="55">
        <f>$H277+$F278</f>
        <v/>
      </c>
      <c r="I278" s="55">
        <f>SUMIFS(tblMovement[Ore_oz],tblMovement[Date],$A278,tblMovement[Source_Type],"Pit")</f>
        <v/>
      </c>
      <c r="J278" s="55">
        <f>IF($B278=$B277,$J277,0)+$I278</f>
        <v/>
      </c>
      <c r="K278" s="55">
        <f>$K277+$I278</f>
        <v/>
      </c>
      <c r="L278" s="55">
        <f>SUMIFS(tblMovement[Tonnes_t],tblMovement[Date],$A278,tblMovement[Is_Ore],1,tblMovement[Source_Type],"Pit",tblMovement[Grade_gpt],"&lt;&gt;")</f>
        <v/>
      </c>
      <c r="M278" s="55">
        <f>IF($B278=$B277,$M277,0)+$L278</f>
        <v/>
      </c>
      <c r="N278" s="55">
        <f>$N277+$L278</f>
        <v/>
      </c>
      <c r="O278" s="56">
        <f>IFERROR(IF(($L278)&gt;0,($I278*cfg_TroyOz)/($L278),""),"")</f>
        <v/>
      </c>
      <c r="P278" s="56">
        <f>IFERROR(IF(($M278)&gt;0,($J278*cfg_TroyOz)/($M278),""),"")</f>
        <v/>
      </c>
      <c r="Q278" s="56">
        <f>IFERROR(IF(($N278)&gt;0,($K278*cfg_TroyOz)/($N278),""),"")</f>
        <v/>
      </c>
      <c r="R278" s="55">
        <f>$F278-$L278</f>
        <v/>
      </c>
      <c r="S278" s="55">
        <f>IF($B278=$B277,$S277,0)+$R278</f>
        <v/>
      </c>
      <c r="T278" s="55">
        <f>$T277+$R278</f>
        <v/>
      </c>
      <c r="U278" s="55">
        <f>SUMIFS(tblMovement[Tonnes_t],tblMovement[Date],$A278,tblMovement[Is_Ore],0,tblMovement[Source_Type],"Pit")</f>
        <v/>
      </c>
      <c r="V278" s="55">
        <f>IF($B278=$B277,$V277,0)+$U278</f>
        <v/>
      </c>
      <c r="W278" s="55">
        <f>$W277+$U278</f>
        <v/>
      </c>
      <c r="X278" s="55">
        <f>$F278+$U278</f>
        <v/>
      </c>
      <c r="Y278" s="55">
        <f>IF($B278=$B277,$Y277,0)+$X278</f>
        <v/>
      </c>
      <c r="Z278" s="55">
        <f>$Z277+$X278</f>
        <v/>
      </c>
      <c r="AA278" s="56">
        <f>IFERROR(IF(($F278)&gt;0,($U278)/($F278),""),"")</f>
        <v/>
      </c>
      <c r="AB278" s="56">
        <f>IFERROR(IF(($G278)&gt;0,($V278)/($G278),""),"")</f>
        <v/>
      </c>
      <c r="AC278" s="56">
        <f>IFERROR(IF(($H278)&gt;0,($W278)/($H278),""),"")</f>
        <v/>
      </c>
      <c r="AD278" s="55">
        <f>SUMIFS(tblMovement[Tonnes_t],tblMovement[Date],$A278,tblMovement[Source_Type],"Stockpile")</f>
        <v/>
      </c>
      <c r="AE278" s="55">
        <f>IF($B278=$B277,$AE277,0)+$AD278</f>
        <v/>
      </c>
      <c r="AF278" s="55">
        <f>$AF277+$AD278</f>
        <v/>
      </c>
      <c r="AG278" s="55">
        <f>SUMIFS(tblMovement[Tonnes_t],tblMovement[Date],$A278)</f>
        <v/>
      </c>
      <c r="AH278" s="55">
        <f>IF($B278=$B277,$AH277,0)+$AG278</f>
        <v/>
      </c>
      <c r="AI278" s="55">
        <f>$AI277+$AG278</f>
        <v/>
      </c>
      <c r="AJ278" s="55">
        <f>$AG278-$X278-$AD278</f>
        <v/>
      </c>
      <c r="AK278" s="55">
        <f>IF($B278=$B277,$AK277,0)+$AJ278</f>
        <v/>
      </c>
      <c r="AL278" s="55">
        <f>$AL277+$AJ278</f>
        <v/>
      </c>
      <c r="AM278" s="55">
        <f>SUMIFS(tblMiningDaily[Drill_m],tblMiningDaily[Date],$A278)</f>
        <v/>
      </c>
      <c r="AN278" s="55">
        <f>IF($B278=$B277,$AN277,0)+$AM278</f>
        <v/>
      </c>
      <c r="AO278" s="55">
        <f>$AO277+$AM278</f>
        <v/>
      </c>
      <c r="AP278" s="55">
        <f>SUMIFS(tblMiningDaily[GC_Drill_m],tblMiningDaily[Date],$A278)</f>
        <v/>
      </c>
      <c r="AQ278" s="55">
        <f>IF($B278=$B277,$AQ277,0)+$AP278</f>
        <v/>
      </c>
      <c r="AR278" s="55">
        <f>$AR277+$AP278</f>
        <v/>
      </c>
      <c r="AS278" s="55">
        <f>SUMIFS(tblMiningDaily[Blast_t],tblMiningDaily[Date],$A278)</f>
        <v/>
      </c>
      <c r="AT278" s="55">
        <f>IF($B278=$B277,$AT277,0)+$AS278</f>
        <v/>
      </c>
      <c r="AU278" s="55">
        <f>$AU277+$AS278</f>
        <v/>
      </c>
      <c r="AV278" s="55">
        <f>SUMIFS(tblMiningDaily[Explosives_kg],tblMiningDaily[Date],$A278)</f>
        <v/>
      </c>
      <c r="AW278" s="55">
        <f>IF($B278=$B277,$AW277,0)+$AV278</f>
        <v/>
      </c>
      <c r="AX278" s="55">
        <f>$AX277+$AV278</f>
        <v/>
      </c>
      <c r="AY278" s="56">
        <f>IFERROR(IF(($AS278)&gt;0,($AV278)/($AS278),""),"")</f>
        <v/>
      </c>
      <c r="AZ278" s="56">
        <f>IFERROR(IF(($AT278)&gt;0,($AW278)/($AT278),""),"")</f>
        <v/>
      </c>
      <c r="BA278" s="56">
        <f>IFERROR(IF(($AU278)&gt;0,($AX278)/($AU278),""),"")</f>
        <v/>
      </c>
      <c r="BB278" s="55">
        <f>SUMIFS(tblMiningDaily[Diesel_L],tblMiningDaily[Date],$A278)</f>
        <v/>
      </c>
      <c r="BC278" s="55">
        <f>IF($B278=$B277,$BC277,0)+$BB278</f>
        <v/>
      </c>
      <c r="BD278" s="55">
        <f>$BD277+$BB278</f>
        <v/>
      </c>
      <c r="BE278" s="55">
        <f>SUMIFS(tblMiningDaily[Dewatering_m3],tblMiningDaily[Date],$A278)</f>
        <v/>
      </c>
      <c r="BF278" s="55">
        <f>IF($B278=$B277,$BF277,0)+$BE278</f>
        <v/>
      </c>
      <c r="BG278" s="55">
        <f>$BG277+$BE278</f>
        <v/>
      </c>
      <c r="BH278" s="57">
        <f>SUMIFS(tblFleet[Calendar_h],tblFleet[Date],$A278,tblFleet[Equipment_Class],"Excavator")</f>
        <v/>
      </c>
      <c r="BI278" s="57">
        <f>IF($B278=$B277,$BI277,0)+$BH278</f>
        <v/>
      </c>
      <c r="BJ278" s="57">
        <f>$BJ277+$BH278</f>
        <v/>
      </c>
      <c r="BK278" s="57">
        <f>SUMIFS(tblFleet[Available_h],tblFleet[Date],$A278,tblFleet[Equipment_Class],"Excavator")</f>
        <v/>
      </c>
      <c r="BL278" s="57">
        <f>IF($B278=$B277,$BL277,0)+$BK278</f>
        <v/>
      </c>
      <c r="BM278" s="57">
        <f>$BM277+$BK278</f>
        <v/>
      </c>
      <c r="BN278" s="57">
        <f>SUMIFS(tblFleet[Operating_h],tblFleet[Date],$A278,tblFleet[Equipment_Class],"Excavator")</f>
        <v/>
      </c>
      <c r="BO278" s="57">
        <f>IF($B278=$B277,$BO277,0)+$BN278</f>
        <v/>
      </c>
      <c r="BP278" s="57">
        <f>$BP277+$BN278</f>
        <v/>
      </c>
      <c r="BQ278" s="67">
        <f>IFERROR(IF(($BH278)&gt;0,($BK278)/($BH278),""),"")</f>
        <v/>
      </c>
      <c r="BR278" s="67">
        <f>IFERROR(IF(($BI278)&gt;0,($BL278)/($BI278),""),"")</f>
        <v/>
      </c>
      <c r="BS278" s="67">
        <f>IFERROR(IF(($BJ278)&gt;0,($BM278)/($BJ278),""),"")</f>
        <v/>
      </c>
      <c r="BT278" s="67">
        <f>IFERROR(IF(($BK278)&gt;0,($BN278)/($BK278),""),"")</f>
        <v/>
      </c>
      <c r="BU278" s="67">
        <f>IFERROR(IF(($BL278)&gt;0,($BO278)/($BL278),""),"")</f>
        <v/>
      </c>
      <c r="BV278" s="67">
        <f>IFERROR(IF(($BM278)&gt;0,($BP278)/($BM278),""),"")</f>
        <v/>
      </c>
      <c r="BW278" s="57">
        <f>SUMIFS(tblFleet[Calendar_h],tblFleet[Date],$A278,tblFleet[Equipment_Class],"Haul Truck")</f>
        <v/>
      </c>
      <c r="BX278" s="57">
        <f>IF($B278=$B277,$BX277,0)+$BW278</f>
        <v/>
      </c>
      <c r="BY278" s="57">
        <f>$BY277+$BW278</f>
        <v/>
      </c>
      <c r="BZ278" s="57">
        <f>SUMIFS(tblFleet[Available_h],tblFleet[Date],$A278,tblFleet[Equipment_Class],"Haul Truck")</f>
        <v/>
      </c>
      <c r="CA278" s="57">
        <f>IF($B278=$B277,$CA277,0)+$BZ278</f>
        <v/>
      </c>
      <c r="CB278" s="57">
        <f>$CB277+$BZ278</f>
        <v/>
      </c>
      <c r="CC278" s="57">
        <f>SUMIFS(tblFleet[Operating_h],tblFleet[Date],$A278,tblFleet[Equipment_Class],"Haul Truck")</f>
        <v/>
      </c>
      <c r="CD278" s="57">
        <f>IF($B278=$B277,$CD277,0)+$CC278</f>
        <v/>
      </c>
      <c r="CE278" s="57">
        <f>$CE277+$CC278</f>
        <v/>
      </c>
      <c r="CF278" s="67">
        <f>IFERROR(IF(($BW278)&gt;0,($BZ278)/($BW278),""),"")</f>
        <v/>
      </c>
      <c r="CG278" s="67">
        <f>IFERROR(IF(($BX278)&gt;0,($CA278)/($BX278),""),"")</f>
        <v/>
      </c>
      <c r="CH278" s="67">
        <f>IFERROR(IF(($BY278)&gt;0,($CB278)/($BY278),""),"")</f>
        <v/>
      </c>
      <c r="CI278" s="67">
        <f>IFERROR(IF(($BZ278)&gt;0,($CC278)/($BZ278),""),"")</f>
        <v/>
      </c>
      <c r="CJ278" s="67">
        <f>IFERROR(IF(($CA278)&gt;0,($CD278)/($CA278),""),"")</f>
        <v/>
      </c>
      <c r="CK278" s="67">
        <f>IFERROR(IF(($CB278)&gt;0,($CE278)/($CB278),""),"")</f>
        <v/>
      </c>
      <c r="CL278" s="55">
        <f>IFERROR(IF(($BN278)&gt;0,($X278+$AD278)/($BN278),""),"")</f>
        <v/>
      </c>
      <c r="CM278" s="55">
        <f>IFERROR(IF(($BO278)&gt;0,($Y278+$AE278)/($BO278),""),"")</f>
        <v/>
      </c>
      <c r="CN278" s="55">
        <f>IFERROR(IF(($BP278)&gt;0,($Z278+$AF278)/($BP278),""),"")</f>
        <v/>
      </c>
      <c r="CO278" s="55">
        <f>IFERROR(IF(($CC278)&gt;0,($X278+$AD278)/($CC278),""),"")</f>
        <v/>
      </c>
      <c r="CP278" s="55">
        <f>IFERROR(IF(($CD278)&gt;0,($Y278+$AE278)/($CD278),""),"")</f>
        <v/>
      </c>
      <c r="CQ278" s="55">
        <f>IFERROR(IF(($CE278)&gt;0,($Z278+$AF278)/($CE278),""),"")</f>
        <v/>
      </c>
      <c r="CR278" s="55">
        <f>SUMIFS(tblPlant[Crushed_t],tblPlant[Date],$A278)</f>
        <v/>
      </c>
      <c r="CS278" s="55">
        <f>IF($B278=$B277,$CS277,0)+$CR278</f>
        <v/>
      </c>
      <c r="CT278" s="55">
        <f>$CT277+$CR278</f>
        <v/>
      </c>
      <c r="CU278" s="55">
        <f>SUMIFS(tblPlant[Milled_t],tblPlant[Date],$A278)</f>
        <v/>
      </c>
      <c r="CV278" s="55">
        <f>IF($B278=$B277,$CV277,0)+$CU278</f>
        <v/>
      </c>
      <c r="CW278" s="55">
        <f>$CW277+$CU278</f>
        <v/>
      </c>
      <c r="CX278" s="55">
        <f>SUMIFS(tblPlant[Feed_oz],tblPlant[Date],$A278)</f>
        <v/>
      </c>
      <c r="CY278" s="55">
        <f>IF($B278=$B277,$CY277,0)+$CX278</f>
        <v/>
      </c>
      <c r="CZ278" s="55">
        <f>$CZ277+$CX278</f>
        <v/>
      </c>
      <c r="DA278" s="55">
        <f>SUMIFS(tblPlant[Tails_oz],tblPlant[Date],$A278)</f>
        <v/>
      </c>
      <c r="DB278" s="55">
        <f>IF($B278=$B277,$DB277,0)+$DA278</f>
        <v/>
      </c>
      <c r="DC278" s="55">
        <f>$DC277+$DA278</f>
        <v/>
      </c>
      <c r="DD278" s="55">
        <f>SUMIFS(tblPlant[Recovered_oz],tblPlant[Date],$A278)</f>
        <v/>
      </c>
      <c r="DE278" s="55">
        <f>IF($B278=$B277,$DE277,0)+$DD278</f>
        <v/>
      </c>
      <c r="DF278" s="55">
        <f>$DF277+$DD278</f>
        <v/>
      </c>
      <c r="DG278" s="55">
        <f>SUMIFS(tblPlant[Milled_t],tblPlant[Date],$A278,tblPlant[Head_Grade_gpt],"&lt;&gt;")</f>
        <v/>
      </c>
      <c r="DH278" s="55">
        <f>IF($B278=$B277,$DH277,0)+$DG278</f>
        <v/>
      </c>
      <c r="DI278" s="55">
        <f>$DI277+$DG278</f>
        <v/>
      </c>
      <c r="DJ278" s="55">
        <f>SUMIFS(tblPlant[Milled_t],tblPlant[Date],$A278,tblPlant[Tails_Grade_gpt],"&lt;&gt;")</f>
        <v/>
      </c>
      <c r="DK278" s="55">
        <f>IF($B278=$B277,$DK277,0)+$DJ278</f>
        <v/>
      </c>
      <c r="DL278" s="55">
        <f>$DL277+$DJ278</f>
        <v/>
      </c>
      <c r="DM278" s="55">
        <f>SUMIFS(tblPlant[Feed_oz],tblPlant[Date],$A278,tblPlant[Tails_Grade_gpt],"&lt;&gt;")</f>
        <v/>
      </c>
      <c r="DN278" s="55">
        <f>IF($B278=$B277,$DN277,0)+$DM278</f>
        <v/>
      </c>
      <c r="DO278" s="55">
        <f>$DO277+$DM278</f>
        <v/>
      </c>
      <c r="DP278" s="55">
        <f>SUMIFS(tblPlant[Milled_t],tblPlant[Date],$A278,tblPlant[Mill_Run_h],"&lt;&gt;")</f>
        <v/>
      </c>
      <c r="DQ278" s="55">
        <f>IF($B278=$B277,$DQ277,0)+$DP278</f>
        <v/>
      </c>
      <c r="DR278" s="55">
        <f>$DR277+$DP278</f>
        <v/>
      </c>
      <c r="DS278" s="56">
        <f>IFERROR(IF(($DG278)&gt;0,($CX278*cfg_TroyOz)/($DG278),""),"")</f>
        <v/>
      </c>
      <c r="DT278" s="56">
        <f>IFERROR(IF(($DH278)&gt;0,($CY278*cfg_TroyOz)/($DH278),""),"")</f>
        <v/>
      </c>
      <c r="DU278" s="56">
        <f>IFERROR(IF(($DI278)&gt;0,($CZ278*cfg_TroyOz)/($DI278),""),"")</f>
        <v/>
      </c>
      <c r="DV278" s="56">
        <f>IFERROR(IF(($DJ278)&gt;0,($DA278*cfg_TroyOz)/($DJ278),""),"")</f>
        <v/>
      </c>
      <c r="DW278" s="56">
        <f>IFERROR(IF(($DK278)&gt;0,($DB278*cfg_TroyOz)/($DK278),""),"")</f>
        <v/>
      </c>
      <c r="DX278" s="56">
        <f>IFERROR(IF(($DL278)&gt;0,($DC278*cfg_TroyOz)/($DL278),""),"")</f>
        <v/>
      </c>
      <c r="DY278" s="67">
        <f>IFERROR(IF(($DM278)&gt;0,($DD278)/($DM278),""),"")</f>
        <v/>
      </c>
      <c r="DZ278" s="67">
        <f>IFERROR(IF(($DN278)&gt;0,($DE278)/($DN278),""),"")</f>
        <v/>
      </c>
      <c r="EA278" s="67">
        <f>IFERROR(IF(($DO278)&gt;0,($DF278)/($DO278),""),"")</f>
        <v/>
      </c>
      <c r="EB278" s="55">
        <f>SUMIFS(tblPlant[Gravity_Gold_oz],tblPlant[Date],$A278)</f>
        <v/>
      </c>
      <c r="EC278" s="55">
        <f>IF($B278=$B277,$EC277,0)+$EB278</f>
        <v/>
      </c>
      <c r="ED278" s="55">
        <f>$ED277+$EB278</f>
        <v/>
      </c>
      <c r="EE278" s="67">
        <f>IFERROR(IF(($DD278)&gt;0,($EB278)/($DD278),""),"")</f>
        <v/>
      </c>
      <c r="EF278" s="67">
        <f>IFERROR(IF(($DE278)&gt;0,($EC278)/($DE278),""),"")</f>
        <v/>
      </c>
      <c r="EG278" s="67">
        <f>IFERROR(IF(($DF278)&gt;0,($ED278)/($DF278),""),"")</f>
        <v/>
      </c>
      <c r="EH278" s="55">
        <f>SUMIFS(tblPlant[Gold_Poured_oz],tblPlant[Date],$A278)</f>
        <v/>
      </c>
      <c r="EI278" s="55">
        <f>IF($B278=$B277,$EI277,0)+$EH278</f>
        <v/>
      </c>
      <c r="EJ278" s="55">
        <f>$EJ277+$EH278</f>
        <v/>
      </c>
      <c r="EK278" s="57">
        <f>SUMIFS(tblPlant[Mill_Run_h],tblPlant[Date],$A278)</f>
        <v/>
      </c>
      <c r="EL278" s="57">
        <f>IF($B278=$B277,$EL277,0)+$EK278</f>
        <v/>
      </c>
      <c r="EM278" s="57">
        <f>$EM277+$EK278</f>
        <v/>
      </c>
      <c r="EN278" s="57">
        <f>SUMIFS(tblPlant[Mill_Planned_Maint_h],tblPlant[Date],$A278)</f>
        <v/>
      </c>
      <c r="EO278" s="57">
        <f>IF($B278=$B277,$EO277,0)+$EN278</f>
        <v/>
      </c>
      <c r="EP278" s="57">
        <f>$EP277+$EN278</f>
        <v/>
      </c>
      <c r="EQ278" s="57">
        <f>SUMIFS(tblPlant[Mill_Unplanned_Down_h],tblPlant[Date],$A278)</f>
        <v/>
      </c>
      <c r="ER278" s="57">
        <f>IF($B278=$B277,$ER277,0)+$EQ278</f>
        <v/>
      </c>
      <c r="ES278" s="57">
        <f>$ES277+$EQ278</f>
        <v/>
      </c>
      <c r="ET278" s="57">
        <f>IF(COUNTIFS(tblPlant[Date],$A278,tblPlant[Mill_Run_h],"&lt;&gt;")+COUNTIFS(tblPlant[Date],$A278,tblPlant[Mill_Planned_Maint_h],"&lt;&gt;")+COUNTIFS(tblPlant[Date],$A278,tblPlant[Mill_Unplanned_Down_h],"&lt;&gt;")&gt;0,cfg_HoursPerDay,0)</f>
        <v/>
      </c>
      <c r="EU278" s="57">
        <f>IF($B278=$B277,$EU277,0)+$ET278</f>
        <v/>
      </c>
      <c r="EV278" s="57">
        <f>$EV277+$ET278</f>
        <v/>
      </c>
      <c r="EW278" s="57">
        <f>SUMIFS(tblPlant[Crusher_Run_h],tblPlant[Date],$A278)</f>
        <v/>
      </c>
      <c r="EX278" s="57">
        <f>IF($B278=$B277,$EX277,0)+$EW278</f>
        <v/>
      </c>
      <c r="EY278" s="57">
        <f>$EY277+$EW278</f>
        <v/>
      </c>
      <c r="EZ278" s="55">
        <f>IFERROR(IF(($EK278)&gt;0,($DP278)/($EK278),""),"")</f>
        <v/>
      </c>
      <c r="FA278" s="55">
        <f>IFERROR(IF(($EL278)&gt;0,($DQ278)/($EL278),""),"")</f>
        <v/>
      </c>
      <c r="FB278" s="55">
        <f>IFERROR(IF(($EM278)&gt;0,($DR278)/($EM278),""),"")</f>
        <v/>
      </c>
      <c r="FC278" s="67">
        <f>IFERROR(IF(($ET278)&gt;0,($ET278-$EN278-$EQ278)/($ET278),""),"")</f>
        <v/>
      </c>
      <c r="FD278" s="67">
        <f>IFERROR(IF(($EU278)&gt;0,($EU278-$EO278-$ER278)/($EU278),""),"")</f>
        <v/>
      </c>
      <c r="FE278" s="67">
        <f>IFERROR(IF(($EV278)&gt;0,($EV278-$EP278-$ES278)/($EV278),""),"")</f>
        <v/>
      </c>
      <c r="FF278" s="67">
        <f>IFERROR(IF(($ET278-$EN278-$EQ278)&gt;0,($EK278)/($ET278-$EN278-$EQ278),""),"")</f>
        <v/>
      </c>
      <c r="FG278" s="67">
        <f>IFERROR(IF(($EU278-$EO278-$ER278)&gt;0,($EL278)/($EU278-$EO278-$ER278),""),"")</f>
        <v/>
      </c>
      <c r="FH278" s="67">
        <f>IFERROR(IF(($EV278-$EP278-$ES278)&gt;0,($EM278)/($EV278-$EP278-$ES278),""),"")</f>
        <v/>
      </c>
      <c r="FI278" s="55">
        <f>SUMIFS(tblPlant[Cyanide_kg],tblPlant[Date],$A278)</f>
        <v/>
      </c>
      <c r="FJ278" s="55">
        <f>IF($B278=$B277,$FJ277,0)+$FI278</f>
        <v/>
      </c>
      <c r="FK278" s="55">
        <f>$FK277+$FI278</f>
        <v/>
      </c>
      <c r="FL278" s="55">
        <f>SUMIFS(tblPlant[Lime_kg],tblPlant[Date],$A278)</f>
        <v/>
      </c>
      <c r="FM278" s="55">
        <f>IF($B278=$B277,$FM277,0)+$FL278</f>
        <v/>
      </c>
      <c r="FN278" s="55">
        <f>$FN277+$FL278</f>
        <v/>
      </c>
      <c r="FO278" s="55">
        <f>SUMIFS(tblPlant[Grinding_Media_kg],tblPlant[Date],$A278)</f>
        <v/>
      </c>
      <c r="FP278" s="55">
        <f>IF($B278=$B277,$FP277,0)+$FO278</f>
        <v/>
      </c>
      <c r="FQ278" s="55">
        <f>$FQ277+$FO278</f>
        <v/>
      </c>
      <c r="FR278" s="55">
        <f>SUMIFS(tblPlant[Power_kWh],tblPlant[Date],$A278)</f>
        <v/>
      </c>
      <c r="FS278" s="55">
        <f>IF($B278=$B277,$FS277,0)+$FR278</f>
        <v/>
      </c>
      <c r="FT278" s="55">
        <f>$FT277+$FR278</f>
        <v/>
      </c>
      <c r="FU278" s="55">
        <f>SUMIFS(tblPlant[Raw_Water_m3],tblPlant[Date],$A278)</f>
        <v/>
      </c>
      <c r="FV278" s="55">
        <f>IF($B278=$B277,$FV277,0)+$FU278</f>
        <v/>
      </c>
      <c r="FW278" s="55">
        <f>$FW277+$FU278</f>
        <v/>
      </c>
      <c r="FX278" s="56">
        <f>IFERROR(IF(($CU278)&gt;0,($FI278)/($CU278),""),"")</f>
        <v/>
      </c>
      <c r="FY278" s="56">
        <f>IFERROR(IF(($CV278)&gt;0,($FJ278)/($CV278),""),"")</f>
        <v/>
      </c>
      <c r="FZ278" s="56">
        <f>IFERROR(IF(($CW278)&gt;0,($FK278)/($CW278),""),"")</f>
        <v/>
      </c>
      <c r="GA278" s="56">
        <f>IFERROR(IF(($CU278)&gt;0,($FL278)/($CU278),""),"")</f>
        <v/>
      </c>
      <c r="GB278" s="56">
        <f>IFERROR(IF(($CV278)&gt;0,($FM278)/($CV278),""),"")</f>
        <v/>
      </c>
      <c r="GC278" s="56">
        <f>IFERROR(IF(($CW278)&gt;0,($FN278)/($CW278),""),"")</f>
        <v/>
      </c>
      <c r="GD278" s="56">
        <f>IFERROR(IF(($CU278)&gt;0,($FO278)/($CU278),""),"")</f>
        <v/>
      </c>
      <c r="GE278" s="56">
        <f>IFERROR(IF(($CV278)&gt;0,($FP278)/($CV278),""),"")</f>
        <v/>
      </c>
      <c r="GF278" s="56">
        <f>IFERROR(IF(($CW278)&gt;0,($FQ278)/($CW278),""),"")</f>
        <v/>
      </c>
      <c r="GG278" s="79">
        <f>IFERROR(IF(($CU278)&gt;0,($FR278)/($CU278),""),"")</f>
        <v/>
      </c>
      <c r="GH278" s="79">
        <f>IFERROR(IF(($CV278)&gt;0,($FS278)/($CV278),""),"")</f>
        <v/>
      </c>
      <c r="GI278" s="79">
        <f>IFERROR(IF(($CW278)&gt;0,($FT278)/($CW278),""),"")</f>
        <v/>
      </c>
      <c r="GJ278" s="56">
        <f>IFERROR(IF(($CU278)&gt;0,($FU278)/($CU278),""),"")</f>
        <v/>
      </c>
      <c r="GK278" s="56">
        <f>IFERROR(IF(($CV278)&gt;0,($FV278)/($CV278),""),"")</f>
        <v/>
      </c>
      <c r="GL278" s="56">
        <f>IFERROR(IF(($CW278)&gt;0,($FW278)/($CW278),""),"")</f>
        <v/>
      </c>
      <c r="GM278" s="55">
        <f>IF(SUMIFS(tblPlant[GIC_oz],tblPlant[Date],$A278)&gt;0,SUMIFS(tblPlant[GIC_oz],tblPlant[Date],$A278),"")</f>
        <v/>
      </c>
      <c r="GN278" s="55">
        <f>SUMIFS(tblGold[Gold_oz],tblGold[Date],$A278,tblGold[Type],"Shipment")</f>
        <v/>
      </c>
      <c r="GO278" s="55">
        <f>IF($B278=$B277,$GO277,0)+$GN278</f>
        <v/>
      </c>
      <c r="GP278" s="55">
        <f>$GP277+$GN278</f>
        <v/>
      </c>
      <c r="GQ278" s="55">
        <f>SUMIFS(tblGold[Gold_oz],tblGold[Date],$A278,tblGold[Type],"Sale")</f>
        <v/>
      </c>
      <c r="GR278" s="55">
        <f>IF($B278=$B277,$GR277,0)+$GQ278</f>
        <v/>
      </c>
      <c r="GS278" s="55">
        <f>$GS277+$GQ278</f>
        <v/>
      </c>
      <c r="GT278" s="55">
        <f>SUMIFS(tblGold[Dore_kg],tblGold[Date],$A278,tblGold[Type],"Shipment")</f>
        <v/>
      </c>
      <c r="GU278" s="55">
        <f>IF($B278=$B277,$GU277,0)+$GT278</f>
        <v/>
      </c>
      <c r="GV278" s="55">
        <f>$GV277+$GT278</f>
        <v/>
      </c>
      <c r="GW278" s="57">
        <f>SUMIFS(tblSafety[Hours_Total],tblSafety[Date],$A278)</f>
        <v/>
      </c>
      <c r="GX278" s="57">
        <f>IF($B278=$B277,$GX277,0)+$GW278</f>
        <v/>
      </c>
      <c r="GY278" s="57">
        <f>$GY277+$GW278</f>
        <v/>
      </c>
      <c r="GZ278" s="62">
        <f>SUMIFS(tblSafety[Fatality],tblSafety[Date],$A278)</f>
        <v/>
      </c>
      <c r="HA278" s="62">
        <f>IF($B278=$B277,$HA277,0)+$GZ278</f>
        <v/>
      </c>
      <c r="HB278" s="62">
        <f>$HB277+$GZ278</f>
        <v/>
      </c>
      <c r="HC278" s="62">
        <f>SUMIFS(tblSafety[LTI],tblSafety[Date],$A278)</f>
        <v/>
      </c>
      <c r="HD278" s="62">
        <f>IF($B278=$B277,$HD277,0)+$HC278</f>
        <v/>
      </c>
      <c r="HE278" s="62">
        <f>$HE277+$HC278</f>
        <v/>
      </c>
      <c r="HF278" s="62">
        <f>SUMIFS(tblSafety[RWI],tblSafety[Date],$A278)</f>
        <v/>
      </c>
      <c r="HG278" s="62">
        <f>IF($B278=$B277,$HG277,0)+$HF278</f>
        <v/>
      </c>
      <c r="HH278" s="62">
        <f>$HH277+$HF278</f>
        <v/>
      </c>
      <c r="HI278" s="62">
        <f>SUMIFS(tblSafety[MTI],tblSafety[Date],$A278)</f>
        <v/>
      </c>
      <c r="HJ278" s="62">
        <f>IF($B278=$B277,$HJ277,0)+$HI278</f>
        <v/>
      </c>
      <c r="HK278" s="62">
        <f>$HK277+$HI278</f>
        <v/>
      </c>
      <c r="HL278" s="62">
        <f>SUMIFS(tblSafety[FAI],tblSafety[Date],$A278)</f>
        <v/>
      </c>
      <c r="HM278" s="62">
        <f>IF($B278=$B277,$HM277,0)+$HL278</f>
        <v/>
      </c>
      <c r="HN278" s="62">
        <f>$HN277+$HL278</f>
        <v/>
      </c>
      <c r="HO278" s="62">
        <f>SUMIFS(tblSafety[Recordables],tblSafety[Date],$A278)</f>
        <v/>
      </c>
      <c r="HP278" s="62">
        <f>IF($B278=$B277,$HP277,0)+$HO278</f>
        <v/>
      </c>
      <c r="HQ278" s="62">
        <f>$HQ277+$HO278</f>
        <v/>
      </c>
      <c r="HR278" s="62">
        <f>SUMIFS(tblSafety[Near_Miss],tblSafety[Date],$A278)</f>
        <v/>
      </c>
      <c r="HS278" s="62">
        <f>IF($B278=$B277,$HS277,0)+$HR278</f>
        <v/>
      </c>
      <c r="HT278" s="62">
        <f>$HT277+$HR278</f>
        <v/>
      </c>
      <c r="HU278" s="62">
        <f>SUMIFS(tblSafety[Hazard_Reports],tblSafety[Date],$A278)</f>
        <v/>
      </c>
      <c r="HV278" s="62">
        <f>IF($B278=$B277,$HV277,0)+$HU278</f>
        <v/>
      </c>
      <c r="HW278" s="62">
        <f>$HW277+$HU278</f>
        <v/>
      </c>
      <c r="HX278" s="62">
        <f>SUMIFS(tblSafety[HPI],tblSafety[Date],$A278)</f>
        <v/>
      </c>
      <c r="HY278" s="62">
        <f>IF($B278=$B277,$HY277,0)+$HX278</f>
        <v/>
      </c>
      <c r="HZ278" s="62">
        <f>$HZ277+$HX278</f>
        <v/>
      </c>
      <c r="IA278" s="62">
        <f>SUMIFS(tblSafety[Env_Incidents],tblSafety[Date],$A278)</f>
        <v/>
      </c>
      <c r="IB278" s="62">
        <f>IF($B278=$B277,$IB277,0)+$IA278</f>
        <v/>
      </c>
      <c r="IC278" s="62">
        <f>$IC277+$IA278</f>
        <v/>
      </c>
      <c r="ID278" s="62">
        <f>SUMIFS(tblSafety[Community_Incidents],tblSafety[Date],$A278)</f>
        <v/>
      </c>
      <c r="IE278" s="62">
        <f>IF($B278=$B277,$IE277,0)+$ID278</f>
        <v/>
      </c>
      <c r="IF278" s="62">
        <f>$IF277+$ID278</f>
        <v/>
      </c>
      <c r="IG278" s="62">
        <f>SUMIFS(tblSafety[Vehicle_Incidents],tblSafety[Date],$A278)</f>
        <v/>
      </c>
      <c r="IH278" s="62">
        <f>IF($B278=$B277,$IH277,0)+$IG278</f>
        <v/>
      </c>
      <c r="II278" s="62">
        <f>$II277+$IG278</f>
        <v/>
      </c>
      <c r="IJ278" s="62">
        <f>SUMIFS(tblSafety[Toolbox_Talks],tblSafety[Date],$A278)</f>
        <v/>
      </c>
      <c r="IK278" s="62">
        <f>IF($B278=$B277,$IK277,0)+$IJ278</f>
        <v/>
      </c>
      <c r="IL278" s="62">
        <f>$IL277+$IJ278</f>
        <v/>
      </c>
      <c r="IM278" s="62">
        <f>SUMIFS(tblSafety[Inspections],tblSafety[Date],$A278)</f>
        <v/>
      </c>
      <c r="IN278" s="62">
        <f>IF($B278=$B277,$IN277,0)+$IM278</f>
        <v/>
      </c>
      <c r="IO278" s="62">
        <f>$IO277+$IM278</f>
        <v/>
      </c>
      <c r="IP278" s="56">
        <f>IFERROR((SUMIFS(tblSafety[Recordables],tblSafety[Date],"&gt;="&amp;EDATE($E278,-12),tblSafety[Date],"&lt;="&amp;$A278)+SUMIFS(tblSafetyHistory[Recordables],tblSafetyHistory[Month],"&gt;="&amp;EDATE($E278,-12),tblSafetyHistory[Month],"&lt;"&amp;$E278,tblSafetyHistory[Use],1))/(SUMIFS(tblSafety[Hours_Total],tblSafety[Date],"&gt;="&amp;EDATE($E278,-12),tblSafety[Date],"&lt;="&amp;$A278)+SUMIFS(tblSafetyHistory[Hours_Total],tblSafetyHistory[Month],"&gt;="&amp;EDATE($E278,-12),tblSafetyHistory[Month],"&lt;"&amp;$E278,tblSafetyHistory[Use],1))*cfg_RateBasisHours,"")</f>
        <v/>
      </c>
      <c r="IQ278" s="56">
        <f>IFERROR((SUMIFS(tblSafety[LTI],tblSafety[Date],"&gt;="&amp;EDATE($E278,-12),tblSafety[Date],"&lt;="&amp;$A278)+SUMIFS(tblSafetyHistory[LTI],tblSafetyHistory[Month],"&gt;="&amp;EDATE($E278,-12),tblSafetyHistory[Month],"&lt;"&amp;$E278,tblSafetyHistory[Use],1))/(SUMIFS(tblSafety[Hours_Total],tblSafety[Date],"&gt;="&amp;EDATE($E278,-12),tblSafety[Date],"&lt;="&amp;$A278)+SUMIFS(tblSafetyHistory[Hours_Total],tblSafetyHistory[Month],"&gt;="&amp;EDATE($E278,-12),tblSafetyHistory[Month],"&lt;"&amp;$E278,tblSafetyHistory[Use],1))*cfg_RateBasisHours,"")</f>
        <v/>
      </c>
      <c r="IR278" s="62">
        <f>IF(MAX(N(cfg_PriorLTIDate),_xlfn.MAXIFS(tblSafety[Date],tblSafety[LTI],"&gt;0",tblSafety[Date],"&lt;="&amp;$A278))=0,"",$A278-MAX(N(cfg_PriorLTIDate),_xlfn.MAXIFS(tblSafety[Date],tblSafety[LTI],"&gt;0",tblSafety[Date],"&lt;="&amp;$A278)))</f>
        <v/>
      </c>
      <c r="IS278" s="55">
        <f>SUMIFS(tblBudget[Ore_Mined_t],tblBudget[Month],$E278)</f>
        <v/>
      </c>
      <c r="IT278" s="55">
        <f>$IS278*$C278/$D278</f>
        <v/>
      </c>
      <c r="IU278" s="55">
        <f>SUMIFS(tblBudget[Ore_Mined_t],tblBudget[Month],"&lt;"&amp;$E278)+$IT278</f>
        <v/>
      </c>
      <c r="IV278" s="55">
        <f>SUMIFS(tblBudget[Ore_oz],tblBudget[Month],$E278)</f>
        <v/>
      </c>
      <c r="IW278" s="55">
        <f>$IV278*$C278/$D278</f>
        <v/>
      </c>
      <c r="IX278" s="55">
        <f>SUMIFS(tblBudget[Ore_oz],tblBudget[Month],"&lt;"&amp;$E278)+$IW278</f>
        <v/>
      </c>
      <c r="IY278" s="55">
        <f>SUMIFS(tblBudget[Ore_Mined_t],tblBudget[Month],$E278)</f>
        <v/>
      </c>
      <c r="IZ278" s="55">
        <f>$IY278*$C278/$D278</f>
        <v/>
      </c>
      <c r="JA278" s="55">
        <f>SUMIFS(tblBudget[Ore_Mined_t],tblBudget[Month],"&lt;"&amp;$E278)+$IZ278</f>
        <v/>
      </c>
      <c r="JB278" s="56">
        <f>IFERROR(IF(($IY278)&gt;0,($IV278*cfg_TroyOz)/($IY278),""),"")</f>
        <v/>
      </c>
      <c r="JC278" s="56">
        <f>IFERROR(IF(($IZ278)&gt;0,($IW278*cfg_TroyOz)/($IZ278),""),"")</f>
        <v/>
      </c>
      <c r="JD278" s="56">
        <f>IFERROR(IF(($JA278)&gt;0,($IX278*cfg_TroyOz)/($JA278),""),"")</f>
        <v/>
      </c>
      <c r="JE278" s="55">
        <f>SUMIFS(tblBudget[Waste_t],tblBudget[Month],$E278)</f>
        <v/>
      </c>
      <c r="JF278" s="55">
        <f>$JE278*$C278/$D278</f>
        <v/>
      </c>
      <c r="JG278" s="55">
        <f>SUMIFS(tblBudget[Waste_t],tblBudget[Month],"&lt;"&amp;$E278)+$JF278</f>
        <v/>
      </c>
      <c r="JH278" s="55">
        <f>SUMIFS(tblBudget[TMM_t],tblBudget[Month],$E278)</f>
        <v/>
      </c>
      <c r="JI278" s="55">
        <f>$JH278*$C278/$D278</f>
        <v/>
      </c>
      <c r="JJ278" s="55">
        <f>SUMIFS(tblBudget[TMM_t],tblBudget[Month],"&lt;"&amp;$E278)+$JI278</f>
        <v/>
      </c>
      <c r="JK278" s="56">
        <f>IFERROR(IF(($IS278)&gt;0,($JE278)/($IS278),""),"")</f>
        <v/>
      </c>
      <c r="JL278" s="56">
        <f>IFERROR(IF(($IT278)&gt;0,($JF278)/($IT278),""),"")</f>
        <v/>
      </c>
      <c r="JM278" s="56">
        <f>IFERROR(IF(($IU278)&gt;0,($JG278)/($IU278),""),"")</f>
        <v/>
      </c>
      <c r="JN278" s="55">
        <f>SUMIFS(tblBudget[Drill_m],tblBudget[Month],$E278)</f>
        <v/>
      </c>
      <c r="JO278" s="55">
        <f>$JN278*$C278/$D278</f>
        <v/>
      </c>
      <c r="JP278" s="55">
        <f>SUMIFS(tblBudget[Drill_m],tblBudget[Month],"&lt;"&amp;$E278)+$JO278</f>
        <v/>
      </c>
      <c r="JQ278" s="55">
        <f>SUMIFS(tblBudget[Diesel_L],tblBudget[Month],$E278)</f>
        <v/>
      </c>
      <c r="JR278" s="55">
        <f>$JQ278*$C278/$D278</f>
        <v/>
      </c>
      <c r="JS278" s="55">
        <f>SUMIFS(tblBudget[Diesel_L],tblBudget[Month],"&lt;"&amp;$E278)+$JR278</f>
        <v/>
      </c>
      <c r="JT278" s="55">
        <f>SUMIFS(tblBudget[Milled_t],tblBudget[Month],$E278)</f>
        <v/>
      </c>
      <c r="JU278" s="55">
        <f>$JT278*$C278/$D278</f>
        <v/>
      </c>
      <c r="JV278" s="55">
        <f>SUMIFS(tblBudget[Milled_t],tblBudget[Month],"&lt;"&amp;$E278)+$JU278</f>
        <v/>
      </c>
      <c r="JW278" s="55">
        <f>SUMIFS(tblBudget[Feed_oz],tblBudget[Month],$E278)</f>
        <v/>
      </c>
      <c r="JX278" s="55">
        <f>$JW278*$C278/$D278</f>
        <v/>
      </c>
      <c r="JY278" s="55">
        <f>SUMIFS(tblBudget[Feed_oz],tblBudget[Month],"&lt;"&amp;$E278)+$JX278</f>
        <v/>
      </c>
      <c r="JZ278" s="55">
        <f>SUMIFS(tblBudget[Recovered_oz],tblBudget[Month],$E278)</f>
        <v/>
      </c>
      <c r="KA278" s="55">
        <f>$JZ278*$C278/$D278</f>
        <v/>
      </c>
      <c r="KB278" s="55">
        <f>SUMIFS(tblBudget[Recovered_oz],tblBudget[Month],"&lt;"&amp;$E278)+$KA278</f>
        <v/>
      </c>
      <c r="KC278" s="55">
        <f>SUMIFS(tblBudget[Milled_t],tblBudget[Month],$E278)</f>
        <v/>
      </c>
      <c r="KD278" s="55">
        <f>$KC278*$C278/$D278</f>
        <v/>
      </c>
      <c r="KE278" s="55">
        <f>SUMIFS(tblBudget[Milled_t],tblBudget[Month],"&lt;"&amp;$E278)+$KD278</f>
        <v/>
      </c>
      <c r="KF278" s="55">
        <f>SUMIFS(tblBudget[Feed_oz],tblBudget[Month],$E278)</f>
        <v/>
      </c>
      <c r="KG278" s="55">
        <f>$KF278*$C278/$D278</f>
        <v/>
      </c>
      <c r="KH278" s="55">
        <f>SUMIFS(tblBudget[Feed_oz],tblBudget[Month],"&lt;"&amp;$E278)+$KG278</f>
        <v/>
      </c>
      <c r="KI278" s="56">
        <f>IFERROR(IF(($KC278)&gt;0,($JW278*cfg_TroyOz)/($KC278),""),"")</f>
        <v/>
      </c>
      <c r="KJ278" s="56">
        <f>IFERROR(IF(($KD278)&gt;0,($JX278*cfg_TroyOz)/($KD278),""),"")</f>
        <v/>
      </c>
      <c r="KK278" s="56">
        <f>IFERROR(IF(($KE278)&gt;0,($JY278*cfg_TroyOz)/($KE278),""),"")</f>
        <v/>
      </c>
      <c r="KL278" s="67">
        <f>IFERROR(IF(($KF278)&gt;0,($JZ278)/($KF278),""),"")</f>
        <v/>
      </c>
      <c r="KM278" s="67">
        <f>IFERROR(IF(($KG278)&gt;0,($KA278)/($KG278),""),"")</f>
        <v/>
      </c>
      <c r="KN278" s="67">
        <f>IFERROR(IF(($KH278)&gt;0,($KB278)/($KH278),""),"")</f>
        <v/>
      </c>
      <c r="KO278" s="55">
        <f>SUMIFS(tblBudget[Gold_Poured_oz],tblBudget[Month],$E278)</f>
        <v/>
      </c>
      <c r="KP278" s="55">
        <f>$KO278*$C278/$D278</f>
        <v/>
      </c>
      <c r="KQ278" s="55">
        <f>SUMIFS(tblBudget[Gold_Poured_oz],tblBudget[Month],"&lt;"&amp;$E278)+$KP278</f>
        <v/>
      </c>
      <c r="KR278" s="57">
        <f>SUMIFS(tblBudget[Hours_Worked],tblBudget[Month],$E278)</f>
        <v/>
      </c>
      <c r="KS278" s="57">
        <f>$KR278*$C278/$D278</f>
        <v/>
      </c>
      <c r="KT278" s="57">
        <f>SUMIFS(tblBudget[Hours_Worked],tblBudget[Month],"&lt;"&amp;$E278)+$KS278</f>
        <v/>
      </c>
    </row>
    <row r="279">
      <c r="A279" s="54" t="n">
        <v>46300</v>
      </c>
      <c r="B279">
        <f>MONTH($A279)</f>
        <v/>
      </c>
      <c r="C279">
        <f>DAY($A279)</f>
        <v/>
      </c>
      <c r="D279">
        <f>DAY(EOMONTH($A279,0))</f>
        <v/>
      </c>
      <c r="E279" s="54">
        <f>DATE(YEAR($A279),MONTH($A279),1)</f>
        <v/>
      </c>
      <c r="F279" s="55">
        <f>SUMIFS(tblMovement[Tonnes_t],tblMovement[Date],$A279,tblMovement[Is_Ore],1,tblMovement[Source_Type],"Pit")</f>
        <v/>
      </c>
      <c r="G279" s="55">
        <f>IF($B279=$B278,$G278,0)+$F279</f>
        <v/>
      </c>
      <c r="H279" s="55">
        <f>$H278+$F279</f>
        <v/>
      </c>
      <c r="I279" s="55">
        <f>SUMIFS(tblMovement[Ore_oz],tblMovement[Date],$A279,tblMovement[Source_Type],"Pit")</f>
        <v/>
      </c>
      <c r="J279" s="55">
        <f>IF($B279=$B278,$J278,0)+$I279</f>
        <v/>
      </c>
      <c r="K279" s="55">
        <f>$K278+$I279</f>
        <v/>
      </c>
      <c r="L279" s="55">
        <f>SUMIFS(tblMovement[Tonnes_t],tblMovement[Date],$A279,tblMovement[Is_Ore],1,tblMovement[Source_Type],"Pit",tblMovement[Grade_gpt],"&lt;&gt;")</f>
        <v/>
      </c>
      <c r="M279" s="55">
        <f>IF($B279=$B278,$M278,0)+$L279</f>
        <v/>
      </c>
      <c r="N279" s="55">
        <f>$N278+$L279</f>
        <v/>
      </c>
      <c r="O279" s="56">
        <f>IFERROR(IF(($L279)&gt;0,($I279*cfg_TroyOz)/($L279),""),"")</f>
        <v/>
      </c>
      <c r="P279" s="56">
        <f>IFERROR(IF(($M279)&gt;0,($J279*cfg_TroyOz)/($M279),""),"")</f>
        <v/>
      </c>
      <c r="Q279" s="56">
        <f>IFERROR(IF(($N279)&gt;0,($K279*cfg_TroyOz)/($N279),""),"")</f>
        <v/>
      </c>
      <c r="R279" s="55">
        <f>$F279-$L279</f>
        <v/>
      </c>
      <c r="S279" s="55">
        <f>IF($B279=$B278,$S278,0)+$R279</f>
        <v/>
      </c>
      <c r="T279" s="55">
        <f>$T278+$R279</f>
        <v/>
      </c>
      <c r="U279" s="55">
        <f>SUMIFS(tblMovement[Tonnes_t],tblMovement[Date],$A279,tblMovement[Is_Ore],0,tblMovement[Source_Type],"Pit")</f>
        <v/>
      </c>
      <c r="V279" s="55">
        <f>IF($B279=$B278,$V278,0)+$U279</f>
        <v/>
      </c>
      <c r="W279" s="55">
        <f>$W278+$U279</f>
        <v/>
      </c>
      <c r="X279" s="55">
        <f>$F279+$U279</f>
        <v/>
      </c>
      <c r="Y279" s="55">
        <f>IF($B279=$B278,$Y278,0)+$X279</f>
        <v/>
      </c>
      <c r="Z279" s="55">
        <f>$Z278+$X279</f>
        <v/>
      </c>
      <c r="AA279" s="56">
        <f>IFERROR(IF(($F279)&gt;0,($U279)/($F279),""),"")</f>
        <v/>
      </c>
      <c r="AB279" s="56">
        <f>IFERROR(IF(($G279)&gt;0,($V279)/($G279),""),"")</f>
        <v/>
      </c>
      <c r="AC279" s="56">
        <f>IFERROR(IF(($H279)&gt;0,($W279)/($H279),""),"")</f>
        <v/>
      </c>
      <c r="AD279" s="55">
        <f>SUMIFS(tblMovement[Tonnes_t],tblMovement[Date],$A279,tblMovement[Source_Type],"Stockpile")</f>
        <v/>
      </c>
      <c r="AE279" s="55">
        <f>IF($B279=$B278,$AE278,0)+$AD279</f>
        <v/>
      </c>
      <c r="AF279" s="55">
        <f>$AF278+$AD279</f>
        <v/>
      </c>
      <c r="AG279" s="55">
        <f>SUMIFS(tblMovement[Tonnes_t],tblMovement[Date],$A279)</f>
        <v/>
      </c>
      <c r="AH279" s="55">
        <f>IF($B279=$B278,$AH278,0)+$AG279</f>
        <v/>
      </c>
      <c r="AI279" s="55">
        <f>$AI278+$AG279</f>
        <v/>
      </c>
      <c r="AJ279" s="55">
        <f>$AG279-$X279-$AD279</f>
        <v/>
      </c>
      <c r="AK279" s="55">
        <f>IF($B279=$B278,$AK278,0)+$AJ279</f>
        <v/>
      </c>
      <c r="AL279" s="55">
        <f>$AL278+$AJ279</f>
        <v/>
      </c>
      <c r="AM279" s="55">
        <f>SUMIFS(tblMiningDaily[Drill_m],tblMiningDaily[Date],$A279)</f>
        <v/>
      </c>
      <c r="AN279" s="55">
        <f>IF($B279=$B278,$AN278,0)+$AM279</f>
        <v/>
      </c>
      <c r="AO279" s="55">
        <f>$AO278+$AM279</f>
        <v/>
      </c>
      <c r="AP279" s="55">
        <f>SUMIFS(tblMiningDaily[GC_Drill_m],tblMiningDaily[Date],$A279)</f>
        <v/>
      </c>
      <c r="AQ279" s="55">
        <f>IF($B279=$B278,$AQ278,0)+$AP279</f>
        <v/>
      </c>
      <c r="AR279" s="55">
        <f>$AR278+$AP279</f>
        <v/>
      </c>
      <c r="AS279" s="55">
        <f>SUMIFS(tblMiningDaily[Blast_t],tblMiningDaily[Date],$A279)</f>
        <v/>
      </c>
      <c r="AT279" s="55">
        <f>IF($B279=$B278,$AT278,0)+$AS279</f>
        <v/>
      </c>
      <c r="AU279" s="55">
        <f>$AU278+$AS279</f>
        <v/>
      </c>
      <c r="AV279" s="55">
        <f>SUMIFS(tblMiningDaily[Explosives_kg],tblMiningDaily[Date],$A279)</f>
        <v/>
      </c>
      <c r="AW279" s="55">
        <f>IF($B279=$B278,$AW278,0)+$AV279</f>
        <v/>
      </c>
      <c r="AX279" s="55">
        <f>$AX278+$AV279</f>
        <v/>
      </c>
      <c r="AY279" s="56">
        <f>IFERROR(IF(($AS279)&gt;0,($AV279)/($AS279),""),"")</f>
        <v/>
      </c>
      <c r="AZ279" s="56">
        <f>IFERROR(IF(($AT279)&gt;0,($AW279)/($AT279),""),"")</f>
        <v/>
      </c>
      <c r="BA279" s="56">
        <f>IFERROR(IF(($AU279)&gt;0,($AX279)/($AU279),""),"")</f>
        <v/>
      </c>
      <c r="BB279" s="55">
        <f>SUMIFS(tblMiningDaily[Diesel_L],tblMiningDaily[Date],$A279)</f>
        <v/>
      </c>
      <c r="BC279" s="55">
        <f>IF($B279=$B278,$BC278,0)+$BB279</f>
        <v/>
      </c>
      <c r="BD279" s="55">
        <f>$BD278+$BB279</f>
        <v/>
      </c>
      <c r="BE279" s="55">
        <f>SUMIFS(tblMiningDaily[Dewatering_m3],tblMiningDaily[Date],$A279)</f>
        <v/>
      </c>
      <c r="BF279" s="55">
        <f>IF($B279=$B278,$BF278,0)+$BE279</f>
        <v/>
      </c>
      <c r="BG279" s="55">
        <f>$BG278+$BE279</f>
        <v/>
      </c>
      <c r="BH279" s="57">
        <f>SUMIFS(tblFleet[Calendar_h],tblFleet[Date],$A279,tblFleet[Equipment_Class],"Excavator")</f>
        <v/>
      </c>
      <c r="BI279" s="57">
        <f>IF($B279=$B278,$BI278,0)+$BH279</f>
        <v/>
      </c>
      <c r="BJ279" s="57">
        <f>$BJ278+$BH279</f>
        <v/>
      </c>
      <c r="BK279" s="57">
        <f>SUMIFS(tblFleet[Available_h],tblFleet[Date],$A279,tblFleet[Equipment_Class],"Excavator")</f>
        <v/>
      </c>
      <c r="BL279" s="57">
        <f>IF($B279=$B278,$BL278,0)+$BK279</f>
        <v/>
      </c>
      <c r="BM279" s="57">
        <f>$BM278+$BK279</f>
        <v/>
      </c>
      <c r="BN279" s="57">
        <f>SUMIFS(tblFleet[Operating_h],tblFleet[Date],$A279,tblFleet[Equipment_Class],"Excavator")</f>
        <v/>
      </c>
      <c r="BO279" s="57">
        <f>IF($B279=$B278,$BO278,0)+$BN279</f>
        <v/>
      </c>
      <c r="BP279" s="57">
        <f>$BP278+$BN279</f>
        <v/>
      </c>
      <c r="BQ279" s="67">
        <f>IFERROR(IF(($BH279)&gt;0,($BK279)/($BH279),""),"")</f>
        <v/>
      </c>
      <c r="BR279" s="67">
        <f>IFERROR(IF(($BI279)&gt;0,($BL279)/($BI279),""),"")</f>
        <v/>
      </c>
      <c r="BS279" s="67">
        <f>IFERROR(IF(($BJ279)&gt;0,($BM279)/($BJ279),""),"")</f>
        <v/>
      </c>
      <c r="BT279" s="67">
        <f>IFERROR(IF(($BK279)&gt;0,($BN279)/($BK279),""),"")</f>
        <v/>
      </c>
      <c r="BU279" s="67">
        <f>IFERROR(IF(($BL279)&gt;0,($BO279)/($BL279),""),"")</f>
        <v/>
      </c>
      <c r="BV279" s="67">
        <f>IFERROR(IF(($BM279)&gt;0,($BP279)/($BM279),""),"")</f>
        <v/>
      </c>
      <c r="BW279" s="57">
        <f>SUMIFS(tblFleet[Calendar_h],tblFleet[Date],$A279,tblFleet[Equipment_Class],"Haul Truck")</f>
        <v/>
      </c>
      <c r="BX279" s="57">
        <f>IF($B279=$B278,$BX278,0)+$BW279</f>
        <v/>
      </c>
      <c r="BY279" s="57">
        <f>$BY278+$BW279</f>
        <v/>
      </c>
      <c r="BZ279" s="57">
        <f>SUMIFS(tblFleet[Available_h],tblFleet[Date],$A279,tblFleet[Equipment_Class],"Haul Truck")</f>
        <v/>
      </c>
      <c r="CA279" s="57">
        <f>IF($B279=$B278,$CA278,0)+$BZ279</f>
        <v/>
      </c>
      <c r="CB279" s="57">
        <f>$CB278+$BZ279</f>
        <v/>
      </c>
      <c r="CC279" s="57">
        <f>SUMIFS(tblFleet[Operating_h],tblFleet[Date],$A279,tblFleet[Equipment_Class],"Haul Truck")</f>
        <v/>
      </c>
      <c r="CD279" s="57">
        <f>IF($B279=$B278,$CD278,0)+$CC279</f>
        <v/>
      </c>
      <c r="CE279" s="57">
        <f>$CE278+$CC279</f>
        <v/>
      </c>
      <c r="CF279" s="67">
        <f>IFERROR(IF(($BW279)&gt;0,($BZ279)/($BW279),""),"")</f>
        <v/>
      </c>
      <c r="CG279" s="67">
        <f>IFERROR(IF(($BX279)&gt;0,($CA279)/($BX279),""),"")</f>
        <v/>
      </c>
      <c r="CH279" s="67">
        <f>IFERROR(IF(($BY279)&gt;0,($CB279)/($BY279),""),"")</f>
        <v/>
      </c>
      <c r="CI279" s="67">
        <f>IFERROR(IF(($BZ279)&gt;0,($CC279)/($BZ279),""),"")</f>
        <v/>
      </c>
      <c r="CJ279" s="67">
        <f>IFERROR(IF(($CA279)&gt;0,($CD279)/($CA279),""),"")</f>
        <v/>
      </c>
      <c r="CK279" s="67">
        <f>IFERROR(IF(($CB279)&gt;0,($CE279)/($CB279),""),"")</f>
        <v/>
      </c>
      <c r="CL279" s="55">
        <f>IFERROR(IF(($BN279)&gt;0,($X279+$AD279)/($BN279),""),"")</f>
        <v/>
      </c>
      <c r="CM279" s="55">
        <f>IFERROR(IF(($BO279)&gt;0,($Y279+$AE279)/($BO279),""),"")</f>
        <v/>
      </c>
      <c r="CN279" s="55">
        <f>IFERROR(IF(($BP279)&gt;0,($Z279+$AF279)/($BP279),""),"")</f>
        <v/>
      </c>
      <c r="CO279" s="55">
        <f>IFERROR(IF(($CC279)&gt;0,($X279+$AD279)/($CC279),""),"")</f>
        <v/>
      </c>
      <c r="CP279" s="55">
        <f>IFERROR(IF(($CD279)&gt;0,($Y279+$AE279)/($CD279),""),"")</f>
        <v/>
      </c>
      <c r="CQ279" s="55">
        <f>IFERROR(IF(($CE279)&gt;0,($Z279+$AF279)/($CE279),""),"")</f>
        <v/>
      </c>
      <c r="CR279" s="55">
        <f>SUMIFS(tblPlant[Crushed_t],tblPlant[Date],$A279)</f>
        <v/>
      </c>
      <c r="CS279" s="55">
        <f>IF($B279=$B278,$CS278,0)+$CR279</f>
        <v/>
      </c>
      <c r="CT279" s="55">
        <f>$CT278+$CR279</f>
        <v/>
      </c>
      <c r="CU279" s="55">
        <f>SUMIFS(tblPlant[Milled_t],tblPlant[Date],$A279)</f>
        <v/>
      </c>
      <c r="CV279" s="55">
        <f>IF($B279=$B278,$CV278,0)+$CU279</f>
        <v/>
      </c>
      <c r="CW279" s="55">
        <f>$CW278+$CU279</f>
        <v/>
      </c>
      <c r="CX279" s="55">
        <f>SUMIFS(tblPlant[Feed_oz],tblPlant[Date],$A279)</f>
        <v/>
      </c>
      <c r="CY279" s="55">
        <f>IF($B279=$B278,$CY278,0)+$CX279</f>
        <v/>
      </c>
      <c r="CZ279" s="55">
        <f>$CZ278+$CX279</f>
        <v/>
      </c>
      <c r="DA279" s="55">
        <f>SUMIFS(tblPlant[Tails_oz],tblPlant[Date],$A279)</f>
        <v/>
      </c>
      <c r="DB279" s="55">
        <f>IF($B279=$B278,$DB278,0)+$DA279</f>
        <v/>
      </c>
      <c r="DC279" s="55">
        <f>$DC278+$DA279</f>
        <v/>
      </c>
      <c r="DD279" s="55">
        <f>SUMIFS(tblPlant[Recovered_oz],tblPlant[Date],$A279)</f>
        <v/>
      </c>
      <c r="DE279" s="55">
        <f>IF($B279=$B278,$DE278,0)+$DD279</f>
        <v/>
      </c>
      <c r="DF279" s="55">
        <f>$DF278+$DD279</f>
        <v/>
      </c>
      <c r="DG279" s="55">
        <f>SUMIFS(tblPlant[Milled_t],tblPlant[Date],$A279,tblPlant[Head_Grade_gpt],"&lt;&gt;")</f>
        <v/>
      </c>
      <c r="DH279" s="55">
        <f>IF($B279=$B278,$DH278,0)+$DG279</f>
        <v/>
      </c>
      <c r="DI279" s="55">
        <f>$DI278+$DG279</f>
        <v/>
      </c>
      <c r="DJ279" s="55">
        <f>SUMIFS(tblPlant[Milled_t],tblPlant[Date],$A279,tblPlant[Tails_Grade_gpt],"&lt;&gt;")</f>
        <v/>
      </c>
      <c r="DK279" s="55">
        <f>IF($B279=$B278,$DK278,0)+$DJ279</f>
        <v/>
      </c>
      <c r="DL279" s="55">
        <f>$DL278+$DJ279</f>
        <v/>
      </c>
      <c r="DM279" s="55">
        <f>SUMIFS(tblPlant[Feed_oz],tblPlant[Date],$A279,tblPlant[Tails_Grade_gpt],"&lt;&gt;")</f>
        <v/>
      </c>
      <c r="DN279" s="55">
        <f>IF($B279=$B278,$DN278,0)+$DM279</f>
        <v/>
      </c>
      <c r="DO279" s="55">
        <f>$DO278+$DM279</f>
        <v/>
      </c>
      <c r="DP279" s="55">
        <f>SUMIFS(tblPlant[Milled_t],tblPlant[Date],$A279,tblPlant[Mill_Run_h],"&lt;&gt;")</f>
        <v/>
      </c>
      <c r="DQ279" s="55">
        <f>IF($B279=$B278,$DQ278,0)+$DP279</f>
        <v/>
      </c>
      <c r="DR279" s="55">
        <f>$DR278+$DP279</f>
        <v/>
      </c>
      <c r="DS279" s="56">
        <f>IFERROR(IF(($DG279)&gt;0,($CX279*cfg_TroyOz)/($DG279),""),"")</f>
        <v/>
      </c>
      <c r="DT279" s="56">
        <f>IFERROR(IF(($DH279)&gt;0,($CY279*cfg_TroyOz)/($DH279),""),"")</f>
        <v/>
      </c>
      <c r="DU279" s="56">
        <f>IFERROR(IF(($DI279)&gt;0,($CZ279*cfg_TroyOz)/($DI279),""),"")</f>
        <v/>
      </c>
      <c r="DV279" s="56">
        <f>IFERROR(IF(($DJ279)&gt;0,($DA279*cfg_TroyOz)/($DJ279),""),"")</f>
        <v/>
      </c>
      <c r="DW279" s="56">
        <f>IFERROR(IF(($DK279)&gt;0,($DB279*cfg_TroyOz)/($DK279),""),"")</f>
        <v/>
      </c>
      <c r="DX279" s="56">
        <f>IFERROR(IF(($DL279)&gt;0,($DC279*cfg_TroyOz)/($DL279),""),"")</f>
        <v/>
      </c>
      <c r="DY279" s="67">
        <f>IFERROR(IF(($DM279)&gt;0,($DD279)/($DM279),""),"")</f>
        <v/>
      </c>
      <c r="DZ279" s="67">
        <f>IFERROR(IF(($DN279)&gt;0,($DE279)/($DN279),""),"")</f>
        <v/>
      </c>
      <c r="EA279" s="67">
        <f>IFERROR(IF(($DO279)&gt;0,($DF279)/($DO279),""),"")</f>
        <v/>
      </c>
      <c r="EB279" s="55">
        <f>SUMIFS(tblPlant[Gravity_Gold_oz],tblPlant[Date],$A279)</f>
        <v/>
      </c>
      <c r="EC279" s="55">
        <f>IF($B279=$B278,$EC278,0)+$EB279</f>
        <v/>
      </c>
      <c r="ED279" s="55">
        <f>$ED278+$EB279</f>
        <v/>
      </c>
      <c r="EE279" s="67">
        <f>IFERROR(IF(($DD279)&gt;0,($EB279)/($DD279),""),"")</f>
        <v/>
      </c>
      <c r="EF279" s="67">
        <f>IFERROR(IF(($DE279)&gt;0,($EC279)/($DE279),""),"")</f>
        <v/>
      </c>
      <c r="EG279" s="67">
        <f>IFERROR(IF(($DF279)&gt;0,($ED279)/($DF279),""),"")</f>
        <v/>
      </c>
      <c r="EH279" s="55">
        <f>SUMIFS(tblPlant[Gold_Poured_oz],tblPlant[Date],$A279)</f>
        <v/>
      </c>
      <c r="EI279" s="55">
        <f>IF($B279=$B278,$EI278,0)+$EH279</f>
        <v/>
      </c>
      <c r="EJ279" s="55">
        <f>$EJ278+$EH279</f>
        <v/>
      </c>
      <c r="EK279" s="57">
        <f>SUMIFS(tblPlant[Mill_Run_h],tblPlant[Date],$A279)</f>
        <v/>
      </c>
      <c r="EL279" s="57">
        <f>IF($B279=$B278,$EL278,0)+$EK279</f>
        <v/>
      </c>
      <c r="EM279" s="57">
        <f>$EM278+$EK279</f>
        <v/>
      </c>
      <c r="EN279" s="57">
        <f>SUMIFS(tblPlant[Mill_Planned_Maint_h],tblPlant[Date],$A279)</f>
        <v/>
      </c>
      <c r="EO279" s="57">
        <f>IF($B279=$B278,$EO278,0)+$EN279</f>
        <v/>
      </c>
      <c r="EP279" s="57">
        <f>$EP278+$EN279</f>
        <v/>
      </c>
      <c r="EQ279" s="57">
        <f>SUMIFS(tblPlant[Mill_Unplanned_Down_h],tblPlant[Date],$A279)</f>
        <v/>
      </c>
      <c r="ER279" s="57">
        <f>IF($B279=$B278,$ER278,0)+$EQ279</f>
        <v/>
      </c>
      <c r="ES279" s="57">
        <f>$ES278+$EQ279</f>
        <v/>
      </c>
      <c r="ET279" s="57">
        <f>IF(COUNTIFS(tblPlant[Date],$A279,tblPlant[Mill_Run_h],"&lt;&gt;")+COUNTIFS(tblPlant[Date],$A279,tblPlant[Mill_Planned_Maint_h],"&lt;&gt;")+COUNTIFS(tblPlant[Date],$A279,tblPlant[Mill_Unplanned_Down_h],"&lt;&gt;")&gt;0,cfg_HoursPerDay,0)</f>
        <v/>
      </c>
      <c r="EU279" s="57">
        <f>IF($B279=$B278,$EU278,0)+$ET279</f>
        <v/>
      </c>
      <c r="EV279" s="57">
        <f>$EV278+$ET279</f>
        <v/>
      </c>
      <c r="EW279" s="57">
        <f>SUMIFS(tblPlant[Crusher_Run_h],tblPlant[Date],$A279)</f>
        <v/>
      </c>
      <c r="EX279" s="57">
        <f>IF($B279=$B278,$EX278,0)+$EW279</f>
        <v/>
      </c>
      <c r="EY279" s="57">
        <f>$EY278+$EW279</f>
        <v/>
      </c>
      <c r="EZ279" s="55">
        <f>IFERROR(IF(($EK279)&gt;0,($DP279)/($EK279),""),"")</f>
        <v/>
      </c>
      <c r="FA279" s="55">
        <f>IFERROR(IF(($EL279)&gt;0,($DQ279)/($EL279),""),"")</f>
        <v/>
      </c>
      <c r="FB279" s="55">
        <f>IFERROR(IF(($EM279)&gt;0,($DR279)/($EM279),""),"")</f>
        <v/>
      </c>
      <c r="FC279" s="67">
        <f>IFERROR(IF(($ET279)&gt;0,($ET279-$EN279-$EQ279)/($ET279),""),"")</f>
        <v/>
      </c>
      <c r="FD279" s="67">
        <f>IFERROR(IF(($EU279)&gt;0,($EU279-$EO279-$ER279)/($EU279),""),"")</f>
        <v/>
      </c>
      <c r="FE279" s="67">
        <f>IFERROR(IF(($EV279)&gt;0,($EV279-$EP279-$ES279)/($EV279),""),"")</f>
        <v/>
      </c>
      <c r="FF279" s="67">
        <f>IFERROR(IF(($ET279-$EN279-$EQ279)&gt;0,($EK279)/($ET279-$EN279-$EQ279),""),"")</f>
        <v/>
      </c>
      <c r="FG279" s="67">
        <f>IFERROR(IF(($EU279-$EO279-$ER279)&gt;0,($EL279)/($EU279-$EO279-$ER279),""),"")</f>
        <v/>
      </c>
      <c r="FH279" s="67">
        <f>IFERROR(IF(($EV279-$EP279-$ES279)&gt;0,($EM279)/($EV279-$EP279-$ES279),""),"")</f>
        <v/>
      </c>
      <c r="FI279" s="55">
        <f>SUMIFS(tblPlant[Cyanide_kg],tblPlant[Date],$A279)</f>
        <v/>
      </c>
      <c r="FJ279" s="55">
        <f>IF($B279=$B278,$FJ278,0)+$FI279</f>
        <v/>
      </c>
      <c r="FK279" s="55">
        <f>$FK278+$FI279</f>
        <v/>
      </c>
      <c r="FL279" s="55">
        <f>SUMIFS(tblPlant[Lime_kg],tblPlant[Date],$A279)</f>
        <v/>
      </c>
      <c r="FM279" s="55">
        <f>IF($B279=$B278,$FM278,0)+$FL279</f>
        <v/>
      </c>
      <c r="FN279" s="55">
        <f>$FN278+$FL279</f>
        <v/>
      </c>
      <c r="FO279" s="55">
        <f>SUMIFS(tblPlant[Grinding_Media_kg],tblPlant[Date],$A279)</f>
        <v/>
      </c>
      <c r="FP279" s="55">
        <f>IF($B279=$B278,$FP278,0)+$FO279</f>
        <v/>
      </c>
      <c r="FQ279" s="55">
        <f>$FQ278+$FO279</f>
        <v/>
      </c>
      <c r="FR279" s="55">
        <f>SUMIFS(tblPlant[Power_kWh],tblPlant[Date],$A279)</f>
        <v/>
      </c>
      <c r="FS279" s="55">
        <f>IF($B279=$B278,$FS278,0)+$FR279</f>
        <v/>
      </c>
      <c r="FT279" s="55">
        <f>$FT278+$FR279</f>
        <v/>
      </c>
      <c r="FU279" s="55">
        <f>SUMIFS(tblPlant[Raw_Water_m3],tblPlant[Date],$A279)</f>
        <v/>
      </c>
      <c r="FV279" s="55">
        <f>IF($B279=$B278,$FV278,0)+$FU279</f>
        <v/>
      </c>
      <c r="FW279" s="55">
        <f>$FW278+$FU279</f>
        <v/>
      </c>
      <c r="FX279" s="56">
        <f>IFERROR(IF(($CU279)&gt;0,($FI279)/($CU279),""),"")</f>
        <v/>
      </c>
      <c r="FY279" s="56">
        <f>IFERROR(IF(($CV279)&gt;0,($FJ279)/($CV279),""),"")</f>
        <v/>
      </c>
      <c r="FZ279" s="56">
        <f>IFERROR(IF(($CW279)&gt;0,($FK279)/($CW279),""),"")</f>
        <v/>
      </c>
      <c r="GA279" s="56">
        <f>IFERROR(IF(($CU279)&gt;0,($FL279)/($CU279),""),"")</f>
        <v/>
      </c>
      <c r="GB279" s="56">
        <f>IFERROR(IF(($CV279)&gt;0,($FM279)/($CV279),""),"")</f>
        <v/>
      </c>
      <c r="GC279" s="56">
        <f>IFERROR(IF(($CW279)&gt;0,($FN279)/($CW279),""),"")</f>
        <v/>
      </c>
      <c r="GD279" s="56">
        <f>IFERROR(IF(($CU279)&gt;0,($FO279)/($CU279),""),"")</f>
        <v/>
      </c>
      <c r="GE279" s="56">
        <f>IFERROR(IF(($CV279)&gt;0,($FP279)/($CV279),""),"")</f>
        <v/>
      </c>
      <c r="GF279" s="56">
        <f>IFERROR(IF(($CW279)&gt;0,($FQ279)/($CW279),""),"")</f>
        <v/>
      </c>
      <c r="GG279" s="79">
        <f>IFERROR(IF(($CU279)&gt;0,($FR279)/($CU279),""),"")</f>
        <v/>
      </c>
      <c r="GH279" s="79">
        <f>IFERROR(IF(($CV279)&gt;0,($FS279)/($CV279),""),"")</f>
        <v/>
      </c>
      <c r="GI279" s="79">
        <f>IFERROR(IF(($CW279)&gt;0,($FT279)/($CW279),""),"")</f>
        <v/>
      </c>
      <c r="GJ279" s="56">
        <f>IFERROR(IF(($CU279)&gt;0,($FU279)/($CU279),""),"")</f>
        <v/>
      </c>
      <c r="GK279" s="56">
        <f>IFERROR(IF(($CV279)&gt;0,($FV279)/($CV279),""),"")</f>
        <v/>
      </c>
      <c r="GL279" s="56">
        <f>IFERROR(IF(($CW279)&gt;0,($FW279)/($CW279),""),"")</f>
        <v/>
      </c>
      <c r="GM279" s="55">
        <f>IF(SUMIFS(tblPlant[GIC_oz],tblPlant[Date],$A279)&gt;0,SUMIFS(tblPlant[GIC_oz],tblPlant[Date],$A279),"")</f>
        <v/>
      </c>
      <c r="GN279" s="55">
        <f>SUMIFS(tblGold[Gold_oz],tblGold[Date],$A279,tblGold[Type],"Shipment")</f>
        <v/>
      </c>
      <c r="GO279" s="55">
        <f>IF($B279=$B278,$GO278,0)+$GN279</f>
        <v/>
      </c>
      <c r="GP279" s="55">
        <f>$GP278+$GN279</f>
        <v/>
      </c>
      <c r="GQ279" s="55">
        <f>SUMIFS(tblGold[Gold_oz],tblGold[Date],$A279,tblGold[Type],"Sale")</f>
        <v/>
      </c>
      <c r="GR279" s="55">
        <f>IF($B279=$B278,$GR278,0)+$GQ279</f>
        <v/>
      </c>
      <c r="GS279" s="55">
        <f>$GS278+$GQ279</f>
        <v/>
      </c>
      <c r="GT279" s="55">
        <f>SUMIFS(tblGold[Dore_kg],tblGold[Date],$A279,tblGold[Type],"Shipment")</f>
        <v/>
      </c>
      <c r="GU279" s="55">
        <f>IF($B279=$B278,$GU278,0)+$GT279</f>
        <v/>
      </c>
      <c r="GV279" s="55">
        <f>$GV278+$GT279</f>
        <v/>
      </c>
      <c r="GW279" s="57">
        <f>SUMIFS(tblSafety[Hours_Total],tblSafety[Date],$A279)</f>
        <v/>
      </c>
      <c r="GX279" s="57">
        <f>IF($B279=$B278,$GX278,0)+$GW279</f>
        <v/>
      </c>
      <c r="GY279" s="57">
        <f>$GY278+$GW279</f>
        <v/>
      </c>
      <c r="GZ279" s="62">
        <f>SUMIFS(tblSafety[Fatality],tblSafety[Date],$A279)</f>
        <v/>
      </c>
      <c r="HA279" s="62">
        <f>IF($B279=$B278,$HA278,0)+$GZ279</f>
        <v/>
      </c>
      <c r="HB279" s="62">
        <f>$HB278+$GZ279</f>
        <v/>
      </c>
      <c r="HC279" s="62">
        <f>SUMIFS(tblSafety[LTI],tblSafety[Date],$A279)</f>
        <v/>
      </c>
      <c r="HD279" s="62">
        <f>IF($B279=$B278,$HD278,0)+$HC279</f>
        <v/>
      </c>
      <c r="HE279" s="62">
        <f>$HE278+$HC279</f>
        <v/>
      </c>
      <c r="HF279" s="62">
        <f>SUMIFS(tblSafety[RWI],tblSafety[Date],$A279)</f>
        <v/>
      </c>
      <c r="HG279" s="62">
        <f>IF($B279=$B278,$HG278,0)+$HF279</f>
        <v/>
      </c>
      <c r="HH279" s="62">
        <f>$HH278+$HF279</f>
        <v/>
      </c>
      <c r="HI279" s="62">
        <f>SUMIFS(tblSafety[MTI],tblSafety[Date],$A279)</f>
        <v/>
      </c>
      <c r="HJ279" s="62">
        <f>IF($B279=$B278,$HJ278,0)+$HI279</f>
        <v/>
      </c>
      <c r="HK279" s="62">
        <f>$HK278+$HI279</f>
        <v/>
      </c>
      <c r="HL279" s="62">
        <f>SUMIFS(tblSafety[FAI],tblSafety[Date],$A279)</f>
        <v/>
      </c>
      <c r="HM279" s="62">
        <f>IF($B279=$B278,$HM278,0)+$HL279</f>
        <v/>
      </c>
      <c r="HN279" s="62">
        <f>$HN278+$HL279</f>
        <v/>
      </c>
      <c r="HO279" s="62">
        <f>SUMIFS(tblSafety[Recordables],tblSafety[Date],$A279)</f>
        <v/>
      </c>
      <c r="HP279" s="62">
        <f>IF($B279=$B278,$HP278,0)+$HO279</f>
        <v/>
      </c>
      <c r="HQ279" s="62">
        <f>$HQ278+$HO279</f>
        <v/>
      </c>
      <c r="HR279" s="62">
        <f>SUMIFS(tblSafety[Near_Miss],tblSafety[Date],$A279)</f>
        <v/>
      </c>
      <c r="HS279" s="62">
        <f>IF($B279=$B278,$HS278,0)+$HR279</f>
        <v/>
      </c>
      <c r="HT279" s="62">
        <f>$HT278+$HR279</f>
        <v/>
      </c>
      <c r="HU279" s="62">
        <f>SUMIFS(tblSafety[Hazard_Reports],tblSafety[Date],$A279)</f>
        <v/>
      </c>
      <c r="HV279" s="62">
        <f>IF($B279=$B278,$HV278,0)+$HU279</f>
        <v/>
      </c>
      <c r="HW279" s="62">
        <f>$HW278+$HU279</f>
        <v/>
      </c>
      <c r="HX279" s="62">
        <f>SUMIFS(tblSafety[HPI],tblSafety[Date],$A279)</f>
        <v/>
      </c>
      <c r="HY279" s="62">
        <f>IF($B279=$B278,$HY278,0)+$HX279</f>
        <v/>
      </c>
      <c r="HZ279" s="62">
        <f>$HZ278+$HX279</f>
        <v/>
      </c>
      <c r="IA279" s="62">
        <f>SUMIFS(tblSafety[Env_Incidents],tblSafety[Date],$A279)</f>
        <v/>
      </c>
      <c r="IB279" s="62">
        <f>IF($B279=$B278,$IB278,0)+$IA279</f>
        <v/>
      </c>
      <c r="IC279" s="62">
        <f>$IC278+$IA279</f>
        <v/>
      </c>
      <c r="ID279" s="62">
        <f>SUMIFS(tblSafety[Community_Incidents],tblSafety[Date],$A279)</f>
        <v/>
      </c>
      <c r="IE279" s="62">
        <f>IF($B279=$B278,$IE278,0)+$ID279</f>
        <v/>
      </c>
      <c r="IF279" s="62">
        <f>$IF278+$ID279</f>
        <v/>
      </c>
      <c r="IG279" s="62">
        <f>SUMIFS(tblSafety[Vehicle_Incidents],tblSafety[Date],$A279)</f>
        <v/>
      </c>
      <c r="IH279" s="62">
        <f>IF($B279=$B278,$IH278,0)+$IG279</f>
        <v/>
      </c>
      <c r="II279" s="62">
        <f>$II278+$IG279</f>
        <v/>
      </c>
      <c r="IJ279" s="62">
        <f>SUMIFS(tblSafety[Toolbox_Talks],tblSafety[Date],$A279)</f>
        <v/>
      </c>
      <c r="IK279" s="62">
        <f>IF($B279=$B278,$IK278,0)+$IJ279</f>
        <v/>
      </c>
      <c r="IL279" s="62">
        <f>$IL278+$IJ279</f>
        <v/>
      </c>
      <c r="IM279" s="62">
        <f>SUMIFS(tblSafety[Inspections],tblSafety[Date],$A279)</f>
        <v/>
      </c>
      <c r="IN279" s="62">
        <f>IF($B279=$B278,$IN278,0)+$IM279</f>
        <v/>
      </c>
      <c r="IO279" s="62">
        <f>$IO278+$IM279</f>
        <v/>
      </c>
      <c r="IP279" s="56">
        <f>IFERROR((SUMIFS(tblSafety[Recordables],tblSafety[Date],"&gt;="&amp;EDATE($E279,-12),tblSafety[Date],"&lt;="&amp;$A279)+SUMIFS(tblSafetyHistory[Recordables],tblSafetyHistory[Month],"&gt;="&amp;EDATE($E279,-12),tblSafetyHistory[Month],"&lt;"&amp;$E279,tblSafetyHistory[Use],1))/(SUMIFS(tblSafety[Hours_Total],tblSafety[Date],"&gt;="&amp;EDATE($E279,-12),tblSafety[Date],"&lt;="&amp;$A279)+SUMIFS(tblSafetyHistory[Hours_Total],tblSafetyHistory[Month],"&gt;="&amp;EDATE($E279,-12),tblSafetyHistory[Month],"&lt;"&amp;$E279,tblSafetyHistory[Use],1))*cfg_RateBasisHours,"")</f>
        <v/>
      </c>
      <c r="IQ279" s="56">
        <f>IFERROR((SUMIFS(tblSafety[LTI],tblSafety[Date],"&gt;="&amp;EDATE($E279,-12),tblSafety[Date],"&lt;="&amp;$A279)+SUMIFS(tblSafetyHistory[LTI],tblSafetyHistory[Month],"&gt;="&amp;EDATE($E279,-12),tblSafetyHistory[Month],"&lt;"&amp;$E279,tblSafetyHistory[Use],1))/(SUMIFS(tblSafety[Hours_Total],tblSafety[Date],"&gt;="&amp;EDATE($E279,-12),tblSafety[Date],"&lt;="&amp;$A279)+SUMIFS(tblSafetyHistory[Hours_Total],tblSafetyHistory[Month],"&gt;="&amp;EDATE($E279,-12),tblSafetyHistory[Month],"&lt;"&amp;$E279,tblSafetyHistory[Use],1))*cfg_RateBasisHours,"")</f>
        <v/>
      </c>
      <c r="IR279" s="62">
        <f>IF(MAX(N(cfg_PriorLTIDate),_xlfn.MAXIFS(tblSafety[Date],tblSafety[LTI],"&gt;0",tblSafety[Date],"&lt;="&amp;$A279))=0,"",$A279-MAX(N(cfg_PriorLTIDate),_xlfn.MAXIFS(tblSafety[Date],tblSafety[LTI],"&gt;0",tblSafety[Date],"&lt;="&amp;$A279)))</f>
        <v/>
      </c>
      <c r="IS279" s="55">
        <f>SUMIFS(tblBudget[Ore_Mined_t],tblBudget[Month],$E279)</f>
        <v/>
      </c>
      <c r="IT279" s="55">
        <f>$IS279*$C279/$D279</f>
        <v/>
      </c>
      <c r="IU279" s="55">
        <f>SUMIFS(tblBudget[Ore_Mined_t],tblBudget[Month],"&lt;"&amp;$E279)+$IT279</f>
        <v/>
      </c>
      <c r="IV279" s="55">
        <f>SUMIFS(tblBudget[Ore_oz],tblBudget[Month],$E279)</f>
        <v/>
      </c>
      <c r="IW279" s="55">
        <f>$IV279*$C279/$D279</f>
        <v/>
      </c>
      <c r="IX279" s="55">
        <f>SUMIFS(tblBudget[Ore_oz],tblBudget[Month],"&lt;"&amp;$E279)+$IW279</f>
        <v/>
      </c>
      <c r="IY279" s="55">
        <f>SUMIFS(tblBudget[Ore_Mined_t],tblBudget[Month],$E279)</f>
        <v/>
      </c>
      <c r="IZ279" s="55">
        <f>$IY279*$C279/$D279</f>
        <v/>
      </c>
      <c r="JA279" s="55">
        <f>SUMIFS(tblBudget[Ore_Mined_t],tblBudget[Month],"&lt;"&amp;$E279)+$IZ279</f>
        <v/>
      </c>
      <c r="JB279" s="56">
        <f>IFERROR(IF(($IY279)&gt;0,($IV279*cfg_TroyOz)/($IY279),""),"")</f>
        <v/>
      </c>
      <c r="JC279" s="56">
        <f>IFERROR(IF(($IZ279)&gt;0,($IW279*cfg_TroyOz)/($IZ279),""),"")</f>
        <v/>
      </c>
      <c r="JD279" s="56">
        <f>IFERROR(IF(($JA279)&gt;0,($IX279*cfg_TroyOz)/($JA279),""),"")</f>
        <v/>
      </c>
      <c r="JE279" s="55">
        <f>SUMIFS(tblBudget[Waste_t],tblBudget[Month],$E279)</f>
        <v/>
      </c>
      <c r="JF279" s="55">
        <f>$JE279*$C279/$D279</f>
        <v/>
      </c>
      <c r="JG279" s="55">
        <f>SUMIFS(tblBudget[Waste_t],tblBudget[Month],"&lt;"&amp;$E279)+$JF279</f>
        <v/>
      </c>
      <c r="JH279" s="55">
        <f>SUMIFS(tblBudget[TMM_t],tblBudget[Month],$E279)</f>
        <v/>
      </c>
      <c r="JI279" s="55">
        <f>$JH279*$C279/$D279</f>
        <v/>
      </c>
      <c r="JJ279" s="55">
        <f>SUMIFS(tblBudget[TMM_t],tblBudget[Month],"&lt;"&amp;$E279)+$JI279</f>
        <v/>
      </c>
      <c r="JK279" s="56">
        <f>IFERROR(IF(($IS279)&gt;0,($JE279)/($IS279),""),"")</f>
        <v/>
      </c>
      <c r="JL279" s="56">
        <f>IFERROR(IF(($IT279)&gt;0,($JF279)/($IT279),""),"")</f>
        <v/>
      </c>
      <c r="JM279" s="56">
        <f>IFERROR(IF(($IU279)&gt;0,($JG279)/($IU279),""),"")</f>
        <v/>
      </c>
      <c r="JN279" s="55">
        <f>SUMIFS(tblBudget[Drill_m],tblBudget[Month],$E279)</f>
        <v/>
      </c>
      <c r="JO279" s="55">
        <f>$JN279*$C279/$D279</f>
        <v/>
      </c>
      <c r="JP279" s="55">
        <f>SUMIFS(tblBudget[Drill_m],tblBudget[Month],"&lt;"&amp;$E279)+$JO279</f>
        <v/>
      </c>
      <c r="JQ279" s="55">
        <f>SUMIFS(tblBudget[Diesel_L],tblBudget[Month],$E279)</f>
        <v/>
      </c>
      <c r="JR279" s="55">
        <f>$JQ279*$C279/$D279</f>
        <v/>
      </c>
      <c r="JS279" s="55">
        <f>SUMIFS(tblBudget[Diesel_L],tblBudget[Month],"&lt;"&amp;$E279)+$JR279</f>
        <v/>
      </c>
      <c r="JT279" s="55">
        <f>SUMIFS(tblBudget[Milled_t],tblBudget[Month],$E279)</f>
        <v/>
      </c>
      <c r="JU279" s="55">
        <f>$JT279*$C279/$D279</f>
        <v/>
      </c>
      <c r="JV279" s="55">
        <f>SUMIFS(tblBudget[Milled_t],tblBudget[Month],"&lt;"&amp;$E279)+$JU279</f>
        <v/>
      </c>
      <c r="JW279" s="55">
        <f>SUMIFS(tblBudget[Feed_oz],tblBudget[Month],$E279)</f>
        <v/>
      </c>
      <c r="JX279" s="55">
        <f>$JW279*$C279/$D279</f>
        <v/>
      </c>
      <c r="JY279" s="55">
        <f>SUMIFS(tblBudget[Feed_oz],tblBudget[Month],"&lt;"&amp;$E279)+$JX279</f>
        <v/>
      </c>
      <c r="JZ279" s="55">
        <f>SUMIFS(tblBudget[Recovered_oz],tblBudget[Month],$E279)</f>
        <v/>
      </c>
      <c r="KA279" s="55">
        <f>$JZ279*$C279/$D279</f>
        <v/>
      </c>
      <c r="KB279" s="55">
        <f>SUMIFS(tblBudget[Recovered_oz],tblBudget[Month],"&lt;"&amp;$E279)+$KA279</f>
        <v/>
      </c>
      <c r="KC279" s="55">
        <f>SUMIFS(tblBudget[Milled_t],tblBudget[Month],$E279)</f>
        <v/>
      </c>
      <c r="KD279" s="55">
        <f>$KC279*$C279/$D279</f>
        <v/>
      </c>
      <c r="KE279" s="55">
        <f>SUMIFS(tblBudget[Milled_t],tblBudget[Month],"&lt;"&amp;$E279)+$KD279</f>
        <v/>
      </c>
      <c r="KF279" s="55">
        <f>SUMIFS(tblBudget[Feed_oz],tblBudget[Month],$E279)</f>
        <v/>
      </c>
      <c r="KG279" s="55">
        <f>$KF279*$C279/$D279</f>
        <v/>
      </c>
      <c r="KH279" s="55">
        <f>SUMIFS(tblBudget[Feed_oz],tblBudget[Month],"&lt;"&amp;$E279)+$KG279</f>
        <v/>
      </c>
      <c r="KI279" s="56">
        <f>IFERROR(IF(($KC279)&gt;0,($JW279*cfg_TroyOz)/($KC279),""),"")</f>
        <v/>
      </c>
      <c r="KJ279" s="56">
        <f>IFERROR(IF(($KD279)&gt;0,($JX279*cfg_TroyOz)/($KD279),""),"")</f>
        <v/>
      </c>
      <c r="KK279" s="56">
        <f>IFERROR(IF(($KE279)&gt;0,($JY279*cfg_TroyOz)/($KE279),""),"")</f>
        <v/>
      </c>
      <c r="KL279" s="67">
        <f>IFERROR(IF(($KF279)&gt;0,($JZ279)/($KF279),""),"")</f>
        <v/>
      </c>
      <c r="KM279" s="67">
        <f>IFERROR(IF(($KG279)&gt;0,($KA279)/($KG279),""),"")</f>
        <v/>
      </c>
      <c r="KN279" s="67">
        <f>IFERROR(IF(($KH279)&gt;0,($KB279)/($KH279),""),"")</f>
        <v/>
      </c>
      <c r="KO279" s="55">
        <f>SUMIFS(tblBudget[Gold_Poured_oz],tblBudget[Month],$E279)</f>
        <v/>
      </c>
      <c r="KP279" s="55">
        <f>$KO279*$C279/$D279</f>
        <v/>
      </c>
      <c r="KQ279" s="55">
        <f>SUMIFS(tblBudget[Gold_Poured_oz],tblBudget[Month],"&lt;"&amp;$E279)+$KP279</f>
        <v/>
      </c>
      <c r="KR279" s="57">
        <f>SUMIFS(tblBudget[Hours_Worked],tblBudget[Month],$E279)</f>
        <v/>
      </c>
      <c r="KS279" s="57">
        <f>$KR279*$C279/$D279</f>
        <v/>
      </c>
      <c r="KT279" s="57">
        <f>SUMIFS(tblBudget[Hours_Worked],tblBudget[Month],"&lt;"&amp;$E279)+$KS279</f>
        <v/>
      </c>
    </row>
    <row r="280">
      <c r="A280" s="54" t="n">
        <v>46301</v>
      </c>
      <c r="B280">
        <f>MONTH($A280)</f>
        <v/>
      </c>
      <c r="C280">
        <f>DAY($A280)</f>
        <v/>
      </c>
      <c r="D280">
        <f>DAY(EOMONTH($A280,0))</f>
        <v/>
      </c>
      <c r="E280" s="54">
        <f>DATE(YEAR($A280),MONTH($A280),1)</f>
        <v/>
      </c>
      <c r="F280" s="55">
        <f>SUMIFS(tblMovement[Tonnes_t],tblMovement[Date],$A280,tblMovement[Is_Ore],1,tblMovement[Source_Type],"Pit")</f>
        <v/>
      </c>
      <c r="G280" s="55">
        <f>IF($B280=$B279,$G279,0)+$F280</f>
        <v/>
      </c>
      <c r="H280" s="55">
        <f>$H279+$F280</f>
        <v/>
      </c>
      <c r="I280" s="55">
        <f>SUMIFS(tblMovement[Ore_oz],tblMovement[Date],$A280,tblMovement[Source_Type],"Pit")</f>
        <v/>
      </c>
      <c r="J280" s="55">
        <f>IF($B280=$B279,$J279,0)+$I280</f>
        <v/>
      </c>
      <c r="K280" s="55">
        <f>$K279+$I280</f>
        <v/>
      </c>
      <c r="L280" s="55">
        <f>SUMIFS(tblMovement[Tonnes_t],tblMovement[Date],$A280,tblMovement[Is_Ore],1,tblMovement[Source_Type],"Pit",tblMovement[Grade_gpt],"&lt;&gt;")</f>
        <v/>
      </c>
      <c r="M280" s="55">
        <f>IF($B280=$B279,$M279,0)+$L280</f>
        <v/>
      </c>
      <c r="N280" s="55">
        <f>$N279+$L280</f>
        <v/>
      </c>
      <c r="O280" s="56">
        <f>IFERROR(IF(($L280)&gt;0,($I280*cfg_TroyOz)/($L280),""),"")</f>
        <v/>
      </c>
      <c r="P280" s="56">
        <f>IFERROR(IF(($M280)&gt;0,($J280*cfg_TroyOz)/($M280),""),"")</f>
        <v/>
      </c>
      <c r="Q280" s="56">
        <f>IFERROR(IF(($N280)&gt;0,($K280*cfg_TroyOz)/($N280),""),"")</f>
        <v/>
      </c>
      <c r="R280" s="55">
        <f>$F280-$L280</f>
        <v/>
      </c>
      <c r="S280" s="55">
        <f>IF($B280=$B279,$S279,0)+$R280</f>
        <v/>
      </c>
      <c r="T280" s="55">
        <f>$T279+$R280</f>
        <v/>
      </c>
      <c r="U280" s="55">
        <f>SUMIFS(tblMovement[Tonnes_t],tblMovement[Date],$A280,tblMovement[Is_Ore],0,tblMovement[Source_Type],"Pit")</f>
        <v/>
      </c>
      <c r="V280" s="55">
        <f>IF($B280=$B279,$V279,0)+$U280</f>
        <v/>
      </c>
      <c r="W280" s="55">
        <f>$W279+$U280</f>
        <v/>
      </c>
      <c r="X280" s="55">
        <f>$F280+$U280</f>
        <v/>
      </c>
      <c r="Y280" s="55">
        <f>IF($B280=$B279,$Y279,0)+$X280</f>
        <v/>
      </c>
      <c r="Z280" s="55">
        <f>$Z279+$X280</f>
        <v/>
      </c>
      <c r="AA280" s="56">
        <f>IFERROR(IF(($F280)&gt;0,($U280)/($F280),""),"")</f>
        <v/>
      </c>
      <c r="AB280" s="56">
        <f>IFERROR(IF(($G280)&gt;0,($V280)/($G280),""),"")</f>
        <v/>
      </c>
      <c r="AC280" s="56">
        <f>IFERROR(IF(($H280)&gt;0,($W280)/($H280),""),"")</f>
        <v/>
      </c>
      <c r="AD280" s="55">
        <f>SUMIFS(tblMovement[Tonnes_t],tblMovement[Date],$A280,tblMovement[Source_Type],"Stockpile")</f>
        <v/>
      </c>
      <c r="AE280" s="55">
        <f>IF($B280=$B279,$AE279,0)+$AD280</f>
        <v/>
      </c>
      <c r="AF280" s="55">
        <f>$AF279+$AD280</f>
        <v/>
      </c>
      <c r="AG280" s="55">
        <f>SUMIFS(tblMovement[Tonnes_t],tblMovement[Date],$A280)</f>
        <v/>
      </c>
      <c r="AH280" s="55">
        <f>IF($B280=$B279,$AH279,0)+$AG280</f>
        <v/>
      </c>
      <c r="AI280" s="55">
        <f>$AI279+$AG280</f>
        <v/>
      </c>
      <c r="AJ280" s="55">
        <f>$AG280-$X280-$AD280</f>
        <v/>
      </c>
      <c r="AK280" s="55">
        <f>IF($B280=$B279,$AK279,0)+$AJ280</f>
        <v/>
      </c>
      <c r="AL280" s="55">
        <f>$AL279+$AJ280</f>
        <v/>
      </c>
      <c r="AM280" s="55">
        <f>SUMIFS(tblMiningDaily[Drill_m],tblMiningDaily[Date],$A280)</f>
        <v/>
      </c>
      <c r="AN280" s="55">
        <f>IF($B280=$B279,$AN279,0)+$AM280</f>
        <v/>
      </c>
      <c r="AO280" s="55">
        <f>$AO279+$AM280</f>
        <v/>
      </c>
      <c r="AP280" s="55">
        <f>SUMIFS(tblMiningDaily[GC_Drill_m],tblMiningDaily[Date],$A280)</f>
        <v/>
      </c>
      <c r="AQ280" s="55">
        <f>IF($B280=$B279,$AQ279,0)+$AP280</f>
        <v/>
      </c>
      <c r="AR280" s="55">
        <f>$AR279+$AP280</f>
        <v/>
      </c>
      <c r="AS280" s="55">
        <f>SUMIFS(tblMiningDaily[Blast_t],tblMiningDaily[Date],$A280)</f>
        <v/>
      </c>
      <c r="AT280" s="55">
        <f>IF($B280=$B279,$AT279,0)+$AS280</f>
        <v/>
      </c>
      <c r="AU280" s="55">
        <f>$AU279+$AS280</f>
        <v/>
      </c>
      <c r="AV280" s="55">
        <f>SUMIFS(tblMiningDaily[Explosives_kg],tblMiningDaily[Date],$A280)</f>
        <v/>
      </c>
      <c r="AW280" s="55">
        <f>IF($B280=$B279,$AW279,0)+$AV280</f>
        <v/>
      </c>
      <c r="AX280" s="55">
        <f>$AX279+$AV280</f>
        <v/>
      </c>
      <c r="AY280" s="56">
        <f>IFERROR(IF(($AS280)&gt;0,($AV280)/($AS280),""),"")</f>
        <v/>
      </c>
      <c r="AZ280" s="56">
        <f>IFERROR(IF(($AT280)&gt;0,($AW280)/($AT280),""),"")</f>
        <v/>
      </c>
      <c r="BA280" s="56">
        <f>IFERROR(IF(($AU280)&gt;0,($AX280)/($AU280),""),"")</f>
        <v/>
      </c>
      <c r="BB280" s="55">
        <f>SUMIFS(tblMiningDaily[Diesel_L],tblMiningDaily[Date],$A280)</f>
        <v/>
      </c>
      <c r="BC280" s="55">
        <f>IF($B280=$B279,$BC279,0)+$BB280</f>
        <v/>
      </c>
      <c r="BD280" s="55">
        <f>$BD279+$BB280</f>
        <v/>
      </c>
      <c r="BE280" s="55">
        <f>SUMIFS(tblMiningDaily[Dewatering_m3],tblMiningDaily[Date],$A280)</f>
        <v/>
      </c>
      <c r="BF280" s="55">
        <f>IF($B280=$B279,$BF279,0)+$BE280</f>
        <v/>
      </c>
      <c r="BG280" s="55">
        <f>$BG279+$BE280</f>
        <v/>
      </c>
      <c r="BH280" s="57">
        <f>SUMIFS(tblFleet[Calendar_h],tblFleet[Date],$A280,tblFleet[Equipment_Class],"Excavator")</f>
        <v/>
      </c>
      <c r="BI280" s="57">
        <f>IF($B280=$B279,$BI279,0)+$BH280</f>
        <v/>
      </c>
      <c r="BJ280" s="57">
        <f>$BJ279+$BH280</f>
        <v/>
      </c>
      <c r="BK280" s="57">
        <f>SUMIFS(tblFleet[Available_h],tblFleet[Date],$A280,tblFleet[Equipment_Class],"Excavator")</f>
        <v/>
      </c>
      <c r="BL280" s="57">
        <f>IF($B280=$B279,$BL279,0)+$BK280</f>
        <v/>
      </c>
      <c r="BM280" s="57">
        <f>$BM279+$BK280</f>
        <v/>
      </c>
      <c r="BN280" s="57">
        <f>SUMIFS(tblFleet[Operating_h],tblFleet[Date],$A280,tblFleet[Equipment_Class],"Excavator")</f>
        <v/>
      </c>
      <c r="BO280" s="57">
        <f>IF($B280=$B279,$BO279,0)+$BN280</f>
        <v/>
      </c>
      <c r="BP280" s="57">
        <f>$BP279+$BN280</f>
        <v/>
      </c>
      <c r="BQ280" s="67">
        <f>IFERROR(IF(($BH280)&gt;0,($BK280)/($BH280),""),"")</f>
        <v/>
      </c>
      <c r="BR280" s="67">
        <f>IFERROR(IF(($BI280)&gt;0,($BL280)/($BI280),""),"")</f>
        <v/>
      </c>
      <c r="BS280" s="67">
        <f>IFERROR(IF(($BJ280)&gt;0,($BM280)/($BJ280),""),"")</f>
        <v/>
      </c>
      <c r="BT280" s="67">
        <f>IFERROR(IF(($BK280)&gt;0,($BN280)/($BK280),""),"")</f>
        <v/>
      </c>
      <c r="BU280" s="67">
        <f>IFERROR(IF(($BL280)&gt;0,($BO280)/($BL280),""),"")</f>
        <v/>
      </c>
      <c r="BV280" s="67">
        <f>IFERROR(IF(($BM280)&gt;0,($BP280)/($BM280),""),"")</f>
        <v/>
      </c>
      <c r="BW280" s="57">
        <f>SUMIFS(tblFleet[Calendar_h],tblFleet[Date],$A280,tblFleet[Equipment_Class],"Haul Truck")</f>
        <v/>
      </c>
      <c r="BX280" s="57">
        <f>IF($B280=$B279,$BX279,0)+$BW280</f>
        <v/>
      </c>
      <c r="BY280" s="57">
        <f>$BY279+$BW280</f>
        <v/>
      </c>
      <c r="BZ280" s="57">
        <f>SUMIFS(tblFleet[Available_h],tblFleet[Date],$A280,tblFleet[Equipment_Class],"Haul Truck")</f>
        <v/>
      </c>
      <c r="CA280" s="57">
        <f>IF($B280=$B279,$CA279,0)+$BZ280</f>
        <v/>
      </c>
      <c r="CB280" s="57">
        <f>$CB279+$BZ280</f>
        <v/>
      </c>
      <c r="CC280" s="57">
        <f>SUMIFS(tblFleet[Operating_h],tblFleet[Date],$A280,tblFleet[Equipment_Class],"Haul Truck")</f>
        <v/>
      </c>
      <c r="CD280" s="57">
        <f>IF($B280=$B279,$CD279,0)+$CC280</f>
        <v/>
      </c>
      <c r="CE280" s="57">
        <f>$CE279+$CC280</f>
        <v/>
      </c>
      <c r="CF280" s="67">
        <f>IFERROR(IF(($BW280)&gt;0,($BZ280)/($BW280),""),"")</f>
        <v/>
      </c>
      <c r="CG280" s="67">
        <f>IFERROR(IF(($BX280)&gt;0,($CA280)/($BX280),""),"")</f>
        <v/>
      </c>
      <c r="CH280" s="67">
        <f>IFERROR(IF(($BY280)&gt;0,($CB280)/($BY280),""),"")</f>
        <v/>
      </c>
      <c r="CI280" s="67">
        <f>IFERROR(IF(($BZ280)&gt;0,($CC280)/($BZ280),""),"")</f>
        <v/>
      </c>
      <c r="CJ280" s="67">
        <f>IFERROR(IF(($CA280)&gt;0,($CD280)/($CA280),""),"")</f>
        <v/>
      </c>
      <c r="CK280" s="67">
        <f>IFERROR(IF(($CB280)&gt;0,($CE280)/($CB280),""),"")</f>
        <v/>
      </c>
      <c r="CL280" s="55">
        <f>IFERROR(IF(($BN280)&gt;0,($X280+$AD280)/($BN280),""),"")</f>
        <v/>
      </c>
      <c r="CM280" s="55">
        <f>IFERROR(IF(($BO280)&gt;0,($Y280+$AE280)/($BO280),""),"")</f>
        <v/>
      </c>
      <c r="CN280" s="55">
        <f>IFERROR(IF(($BP280)&gt;0,($Z280+$AF280)/($BP280),""),"")</f>
        <v/>
      </c>
      <c r="CO280" s="55">
        <f>IFERROR(IF(($CC280)&gt;0,($X280+$AD280)/($CC280),""),"")</f>
        <v/>
      </c>
      <c r="CP280" s="55">
        <f>IFERROR(IF(($CD280)&gt;0,($Y280+$AE280)/($CD280),""),"")</f>
        <v/>
      </c>
      <c r="CQ280" s="55">
        <f>IFERROR(IF(($CE280)&gt;0,($Z280+$AF280)/($CE280),""),"")</f>
        <v/>
      </c>
      <c r="CR280" s="55">
        <f>SUMIFS(tblPlant[Crushed_t],tblPlant[Date],$A280)</f>
        <v/>
      </c>
      <c r="CS280" s="55">
        <f>IF($B280=$B279,$CS279,0)+$CR280</f>
        <v/>
      </c>
      <c r="CT280" s="55">
        <f>$CT279+$CR280</f>
        <v/>
      </c>
      <c r="CU280" s="55">
        <f>SUMIFS(tblPlant[Milled_t],tblPlant[Date],$A280)</f>
        <v/>
      </c>
      <c r="CV280" s="55">
        <f>IF($B280=$B279,$CV279,0)+$CU280</f>
        <v/>
      </c>
      <c r="CW280" s="55">
        <f>$CW279+$CU280</f>
        <v/>
      </c>
      <c r="CX280" s="55">
        <f>SUMIFS(tblPlant[Feed_oz],tblPlant[Date],$A280)</f>
        <v/>
      </c>
      <c r="CY280" s="55">
        <f>IF($B280=$B279,$CY279,0)+$CX280</f>
        <v/>
      </c>
      <c r="CZ280" s="55">
        <f>$CZ279+$CX280</f>
        <v/>
      </c>
      <c r="DA280" s="55">
        <f>SUMIFS(tblPlant[Tails_oz],tblPlant[Date],$A280)</f>
        <v/>
      </c>
      <c r="DB280" s="55">
        <f>IF($B280=$B279,$DB279,0)+$DA280</f>
        <v/>
      </c>
      <c r="DC280" s="55">
        <f>$DC279+$DA280</f>
        <v/>
      </c>
      <c r="DD280" s="55">
        <f>SUMIFS(tblPlant[Recovered_oz],tblPlant[Date],$A280)</f>
        <v/>
      </c>
      <c r="DE280" s="55">
        <f>IF($B280=$B279,$DE279,0)+$DD280</f>
        <v/>
      </c>
      <c r="DF280" s="55">
        <f>$DF279+$DD280</f>
        <v/>
      </c>
      <c r="DG280" s="55">
        <f>SUMIFS(tblPlant[Milled_t],tblPlant[Date],$A280,tblPlant[Head_Grade_gpt],"&lt;&gt;")</f>
        <v/>
      </c>
      <c r="DH280" s="55">
        <f>IF($B280=$B279,$DH279,0)+$DG280</f>
        <v/>
      </c>
      <c r="DI280" s="55">
        <f>$DI279+$DG280</f>
        <v/>
      </c>
      <c r="DJ280" s="55">
        <f>SUMIFS(tblPlant[Milled_t],tblPlant[Date],$A280,tblPlant[Tails_Grade_gpt],"&lt;&gt;")</f>
        <v/>
      </c>
      <c r="DK280" s="55">
        <f>IF($B280=$B279,$DK279,0)+$DJ280</f>
        <v/>
      </c>
      <c r="DL280" s="55">
        <f>$DL279+$DJ280</f>
        <v/>
      </c>
      <c r="DM280" s="55">
        <f>SUMIFS(tblPlant[Feed_oz],tblPlant[Date],$A280,tblPlant[Tails_Grade_gpt],"&lt;&gt;")</f>
        <v/>
      </c>
      <c r="DN280" s="55">
        <f>IF($B280=$B279,$DN279,0)+$DM280</f>
        <v/>
      </c>
      <c r="DO280" s="55">
        <f>$DO279+$DM280</f>
        <v/>
      </c>
      <c r="DP280" s="55">
        <f>SUMIFS(tblPlant[Milled_t],tblPlant[Date],$A280,tblPlant[Mill_Run_h],"&lt;&gt;")</f>
        <v/>
      </c>
      <c r="DQ280" s="55">
        <f>IF($B280=$B279,$DQ279,0)+$DP280</f>
        <v/>
      </c>
      <c r="DR280" s="55">
        <f>$DR279+$DP280</f>
        <v/>
      </c>
      <c r="DS280" s="56">
        <f>IFERROR(IF(($DG280)&gt;0,($CX280*cfg_TroyOz)/($DG280),""),"")</f>
        <v/>
      </c>
      <c r="DT280" s="56">
        <f>IFERROR(IF(($DH280)&gt;0,($CY280*cfg_TroyOz)/($DH280),""),"")</f>
        <v/>
      </c>
      <c r="DU280" s="56">
        <f>IFERROR(IF(($DI280)&gt;0,($CZ280*cfg_TroyOz)/($DI280),""),"")</f>
        <v/>
      </c>
      <c r="DV280" s="56">
        <f>IFERROR(IF(($DJ280)&gt;0,($DA280*cfg_TroyOz)/($DJ280),""),"")</f>
        <v/>
      </c>
      <c r="DW280" s="56">
        <f>IFERROR(IF(($DK280)&gt;0,($DB280*cfg_TroyOz)/($DK280),""),"")</f>
        <v/>
      </c>
      <c r="DX280" s="56">
        <f>IFERROR(IF(($DL280)&gt;0,($DC280*cfg_TroyOz)/($DL280),""),"")</f>
        <v/>
      </c>
      <c r="DY280" s="67">
        <f>IFERROR(IF(($DM280)&gt;0,($DD280)/($DM280),""),"")</f>
        <v/>
      </c>
      <c r="DZ280" s="67">
        <f>IFERROR(IF(($DN280)&gt;0,($DE280)/($DN280),""),"")</f>
        <v/>
      </c>
      <c r="EA280" s="67">
        <f>IFERROR(IF(($DO280)&gt;0,($DF280)/($DO280),""),"")</f>
        <v/>
      </c>
      <c r="EB280" s="55">
        <f>SUMIFS(tblPlant[Gravity_Gold_oz],tblPlant[Date],$A280)</f>
        <v/>
      </c>
      <c r="EC280" s="55">
        <f>IF($B280=$B279,$EC279,0)+$EB280</f>
        <v/>
      </c>
      <c r="ED280" s="55">
        <f>$ED279+$EB280</f>
        <v/>
      </c>
      <c r="EE280" s="67">
        <f>IFERROR(IF(($DD280)&gt;0,($EB280)/($DD280),""),"")</f>
        <v/>
      </c>
      <c r="EF280" s="67">
        <f>IFERROR(IF(($DE280)&gt;0,($EC280)/($DE280),""),"")</f>
        <v/>
      </c>
      <c r="EG280" s="67">
        <f>IFERROR(IF(($DF280)&gt;0,($ED280)/($DF280),""),"")</f>
        <v/>
      </c>
      <c r="EH280" s="55">
        <f>SUMIFS(tblPlant[Gold_Poured_oz],tblPlant[Date],$A280)</f>
        <v/>
      </c>
      <c r="EI280" s="55">
        <f>IF($B280=$B279,$EI279,0)+$EH280</f>
        <v/>
      </c>
      <c r="EJ280" s="55">
        <f>$EJ279+$EH280</f>
        <v/>
      </c>
      <c r="EK280" s="57">
        <f>SUMIFS(tblPlant[Mill_Run_h],tblPlant[Date],$A280)</f>
        <v/>
      </c>
      <c r="EL280" s="57">
        <f>IF($B280=$B279,$EL279,0)+$EK280</f>
        <v/>
      </c>
      <c r="EM280" s="57">
        <f>$EM279+$EK280</f>
        <v/>
      </c>
      <c r="EN280" s="57">
        <f>SUMIFS(tblPlant[Mill_Planned_Maint_h],tblPlant[Date],$A280)</f>
        <v/>
      </c>
      <c r="EO280" s="57">
        <f>IF($B280=$B279,$EO279,0)+$EN280</f>
        <v/>
      </c>
      <c r="EP280" s="57">
        <f>$EP279+$EN280</f>
        <v/>
      </c>
      <c r="EQ280" s="57">
        <f>SUMIFS(tblPlant[Mill_Unplanned_Down_h],tblPlant[Date],$A280)</f>
        <v/>
      </c>
      <c r="ER280" s="57">
        <f>IF($B280=$B279,$ER279,0)+$EQ280</f>
        <v/>
      </c>
      <c r="ES280" s="57">
        <f>$ES279+$EQ280</f>
        <v/>
      </c>
      <c r="ET280" s="57">
        <f>IF(COUNTIFS(tblPlant[Date],$A280,tblPlant[Mill_Run_h],"&lt;&gt;")+COUNTIFS(tblPlant[Date],$A280,tblPlant[Mill_Planned_Maint_h],"&lt;&gt;")+COUNTIFS(tblPlant[Date],$A280,tblPlant[Mill_Unplanned_Down_h],"&lt;&gt;")&gt;0,cfg_HoursPerDay,0)</f>
        <v/>
      </c>
      <c r="EU280" s="57">
        <f>IF($B280=$B279,$EU279,0)+$ET280</f>
        <v/>
      </c>
      <c r="EV280" s="57">
        <f>$EV279+$ET280</f>
        <v/>
      </c>
      <c r="EW280" s="57">
        <f>SUMIFS(tblPlant[Crusher_Run_h],tblPlant[Date],$A280)</f>
        <v/>
      </c>
      <c r="EX280" s="57">
        <f>IF($B280=$B279,$EX279,0)+$EW280</f>
        <v/>
      </c>
      <c r="EY280" s="57">
        <f>$EY279+$EW280</f>
        <v/>
      </c>
      <c r="EZ280" s="55">
        <f>IFERROR(IF(($EK280)&gt;0,($DP280)/($EK280),""),"")</f>
        <v/>
      </c>
      <c r="FA280" s="55">
        <f>IFERROR(IF(($EL280)&gt;0,($DQ280)/($EL280),""),"")</f>
        <v/>
      </c>
      <c r="FB280" s="55">
        <f>IFERROR(IF(($EM280)&gt;0,($DR280)/($EM280),""),"")</f>
        <v/>
      </c>
      <c r="FC280" s="67">
        <f>IFERROR(IF(($ET280)&gt;0,($ET280-$EN280-$EQ280)/($ET280),""),"")</f>
        <v/>
      </c>
      <c r="FD280" s="67">
        <f>IFERROR(IF(($EU280)&gt;0,($EU280-$EO280-$ER280)/($EU280),""),"")</f>
        <v/>
      </c>
      <c r="FE280" s="67">
        <f>IFERROR(IF(($EV280)&gt;0,($EV280-$EP280-$ES280)/($EV280),""),"")</f>
        <v/>
      </c>
      <c r="FF280" s="67">
        <f>IFERROR(IF(($ET280-$EN280-$EQ280)&gt;0,($EK280)/($ET280-$EN280-$EQ280),""),"")</f>
        <v/>
      </c>
      <c r="FG280" s="67">
        <f>IFERROR(IF(($EU280-$EO280-$ER280)&gt;0,($EL280)/($EU280-$EO280-$ER280),""),"")</f>
        <v/>
      </c>
      <c r="FH280" s="67">
        <f>IFERROR(IF(($EV280-$EP280-$ES280)&gt;0,($EM280)/($EV280-$EP280-$ES280),""),"")</f>
        <v/>
      </c>
      <c r="FI280" s="55">
        <f>SUMIFS(tblPlant[Cyanide_kg],tblPlant[Date],$A280)</f>
        <v/>
      </c>
      <c r="FJ280" s="55">
        <f>IF($B280=$B279,$FJ279,0)+$FI280</f>
        <v/>
      </c>
      <c r="FK280" s="55">
        <f>$FK279+$FI280</f>
        <v/>
      </c>
      <c r="FL280" s="55">
        <f>SUMIFS(tblPlant[Lime_kg],tblPlant[Date],$A280)</f>
        <v/>
      </c>
      <c r="FM280" s="55">
        <f>IF($B280=$B279,$FM279,0)+$FL280</f>
        <v/>
      </c>
      <c r="FN280" s="55">
        <f>$FN279+$FL280</f>
        <v/>
      </c>
      <c r="FO280" s="55">
        <f>SUMIFS(tblPlant[Grinding_Media_kg],tblPlant[Date],$A280)</f>
        <v/>
      </c>
      <c r="FP280" s="55">
        <f>IF($B280=$B279,$FP279,0)+$FO280</f>
        <v/>
      </c>
      <c r="FQ280" s="55">
        <f>$FQ279+$FO280</f>
        <v/>
      </c>
      <c r="FR280" s="55">
        <f>SUMIFS(tblPlant[Power_kWh],tblPlant[Date],$A280)</f>
        <v/>
      </c>
      <c r="FS280" s="55">
        <f>IF($B280=$B279,$FS279,0)+$FR280</f>
        <v/>
      </c>
      <c r="FT280" s="55">
        <f>$FT279+$FR280</f>
        <v/>
      </c>
      <c r="FU280" s="55">
        <f>SUMIFS(tblPlant[Raw_Water_m3],tblPlant[Date],$A280)</f>
        <v/>
      </c>
      <c r="FV280" s="55">
        <f>IF($B280=$B279,$FV279,0)+$FU280</f>
        <v/>
      </c>
      <c r="FW280" s="55">
        <f>$FW279+$FU280</f>
        <v/>
      </c>
      <c r="FX280" s="56">
        <f>IFERROR(IF(($CU280)&gt;0,($FI280)/($CU280),""),"")</f>
        <v/>
      </c>
      <c r="FY280" s="56">
        <f>IFERROR(IF(($CV280)&gt;0,($FJ280)/($CV280),""),"")</f>
        <v/>
      </c>
      <c r="FZ280" s="56">
        <f>IFERROR(IF(($CW280)&gt;0,($FK280)/($CW280),""),"")</f>
        <v/>
      </c>
      <c r="GA280" s="56">
        <f>IFERROR(IF(($CU280)&gt;0,($FL280)/($CU280),""),"")</f>
        <v/>
      </c>
      <c r="GB280" s="56">
        <f>IFERROR(IF(($CV280)&gt;0,($FM280)/($CV280),""),"")</f>
        <v/>
      </c>
      <c r="GC280" s="56">
        <f>IFERROR(IF(($CW280)&gt;0,($FN280)/($CW280),""),"")</f>
        <v/>
      </c>
      <c r="GD280" s="56">
        <f>IFERROR(IF(($CU280)&gt;0,($FO280)/($CU280),""),"")</f>
        <v/>
      </c>
      <c r="GE280" s="56">
        <f>IFERROR(IF(($CV280)&gt;0,($FP280)/($CV280),""),"")</f>
        <v/>
      </c>
      <c r="GF280" s="56">
        <f>IFERROR(IF(($CW280)&gt;0,($FQ280)/($CW280),""),"")</f>
        <v/>
      </c>
      <c r="GG280" s="79">
        <f>IFERROR(IF(($CU280)&gt;0,($FR280)/($CU280),""),"")</f>
        <v/>
      </c>
      <c r="GH280" s="79">
        <f>IFERROR(IF(($CV280)&gt;0,($FS280)/($CV280),""),"")</f>
        <v/>
      </c>
      <c r="GI280" s="79">
        <f>IFERROR(IF(($CW280)&gt;0,($FT280)/($CW280),""),"")</f>
        <v/>
      </c>
      <c r="GJ280" s="56">
        <f>IFERROR(IF(($CU280)&gt;0,($FU280)/($CU280),""),"")</f>
        <v/>
      </c>
      <c r="GK280" s="56">
        <f>IFERROR(IF(($CV280)&gt;0,($FV280)/($CV280),""),"")</f>
        <v/>
      </c>
      <c r="GL280" s="56">
        <f>IFERROR(IF(($CW280)&gt;0,($FW280)/($CW280),""),"")</f>
        <v/>
      </c>
      <c r="GM280" s="55">
        <f>IF(SUMIFS(tblPlant[GIC_oz],tblPlant[Date],$A280)&gt;0,SUMIFS(tblPlant[GIC_oz],tblPlant[Date],$A280),"")</f>
        <v/>
      </c>
      <c r="GN280" s="55">
        <f>SUMIFS(tblGold[Gold_oz],tblGold[Date],$A280,tblGold[Type],"Shipment")</f>
        <v/>
      </c>
      <c r="GO280" s="55">
        <f>IF($B280=$B279,$GO279,0)+$GN280</f>
        <v/>
      </c>
      <c r="GP280" s="55">
        <f>$GP279+$GN280</f>
        <v/>
      </c>
      <c r="GQ280" s="55">
        <f>SUMIFS(tblGold[Gold_oz],tblGold[Date],$A280,tblGold[Type],"Sale")</f>
        <v/>
      </c>
      <c r="GR280" s="55">
        <f>IF($B280=$B279,$GR279,0)+$GQ280</f>
        <v/>
      </c>
      <c r="GS280" s="55">
        <f>$GS279+$GQ280</f>
        <v/>
      </c>
      <c r="GT280" s="55">
        <f>SUMIFS(tblGold[Dore_kg],tblGold[Date],$A280,tblGold[Type],"Shipment")</f>
        <v/>
      </c>
      <c r="GU280" s="55">
        <f>IF($B280=$B279,$GU279,0)+$GT280</f>
        <v/>
      </c>
      <c r="GV280" s="55">
        <f>$GV279+$GT280</f>
        <v/>
      </c>
      <c r="GW280" s="57">
        <f>SUMIFS(tblSafety[Hours_Total],tblSafety[Date],$A280)</f>
        <v/>
      </c>
      <c r="GX280" s="57">
        <f>IF($B280=$B279,$GX279,0)+$GW280</f>
        <v/>
      </c>
      <c r="GY280" s="57">
        <f>$GY279+$GW280</f>
        <v/>
      </c>
      <c r="GZ280" s="62">
        <f>SUMIFS(tblSafety[Fatality],tblSafety[Date],$A280)</f>
        <v/>
      </c>
      <c r="HA280" s="62">
        <f>IF($B280=$B279,$HA279,0)+$GZ280</f>
        <v/>
      </c>
      <c r="HB280" s="62">
        <f>$HB279+$GZ280</f>
        <v/>
      </c>
      <c r="HC280" s="62">
        <f>SUMIFS(tblSafety[LTI],tblSafety[Date],$A280)</f>
        <v/>
      </c>
      <c r="HD280" s="62">
        <f>IF($B280=$B279,$HD279,0)+$HC280</f>
        <v/>
      </c>
      <c r="HE280" s="62">
        <f>$HE279+$HC280</f>
        <v/>
      </c>
      <c r="HF280" s="62">
        <f>SUMIFS(tblSafety[RWI],tblSafety[Date],$A280)</f>
        <v/>
      </c>
      <c r="HG280" s="62">
        <f>IF($B280=$B279,$HG279,0)+$HF280</f>
        <v/>
      </c>
      <c r="HH280" s="62">
        <f>$HH279+$HF280</f>
        <v/>
      </c>
      <c r="HI280" s="62">
        <f>SUMIFS(tblSafety[MTI],tblSafety[Date],$A280)</f>
        <v/>
      </c>
      <c r="HJ280" s="62">
        <f>IF($B280=$B279,$HJ279,0)+$HI280</f>
        <v/>
      </c>
      <c r="HK280" s="62">
        <f>$HK279+$HI280</f>
        <v/>
      </c>
      <c r="HL280" s="62">
        <f>SUMIFS(tblSafety[FAI],tblSafety[Date],$A280)</f>
        <v/>
      </c>
      <c r="HM280" s="62">
        <f>IF($B280=$B279,$HM279,0)+$HL280</f>
        <v/>
      </c>
      <c r="HN280" s="62">
        <f>$HN279+$HL280</f>
        <v/>
      </c>
      <c r="HO280" s="62">
        <f>SUMIFS(tblSafety[Recordables],tblSafety[Date],$A280)</f>
        <v/>
      </c>
      <c r="HP280" s="62">
        <f>IF($B280=$B279,$HP279,0)+$HO280</f>
        <v/>
      </c>
      <c r="HQ280" s="62">
        <f>$HQ279+$HO280</f>
        <v/>
      </c>
      <c r="HR280" s="62">
        <f>SUMIFS(tblSafety[Near_Miss],tblSafety[Date],$A280)</f>
        <v/>
      </c>
      <c r="HS280" s="62">
        <f>IF($B280=$B279,$HS279,0)+$HR280</f>
        <v/>
      </c>
      <c r="HT280" s="62">
        <f>$HT279+$HR280</f>
        <v/>
      </c>
      <c r="HU280" s="62">
        <f>SUMIFS(tblSafety[Hazard_Reports],tblSafety[Date],$A280)</f>
        <v/>
      </c>
      <c r="HV280" s="62">
        <f>IF($B280=$B279,$HV279,0)+$HU280</f>
        <v/>
      </c>
      <c r="HW280" s="62">
        <f>$HW279+$HU280</f>
        <v/>
      </c>
      <c r="HX280" s="62">
        <f>SUMIFS(tblSafety[HPI],tblSafety[Date],$A280)</f>
        <v/>
      </c>
      <c r="HY280" s="62">
        <f>IF($B280=$B279,$HY279,0)+$HX280</f>
        <v/>
      </c>
      <c r="HZ280" s="62">
        <f>$HZ279+$HX280</f>
        <v/>
      </c>
      <c r="IA280" s="62">
        <f>SUMIFS(tblSafety[Env_Incidents],tblSafety[Date],$A280)</f>
        <v/>
      </c>
      <c r="IB280" s="62">
        <f>IF($B280=$B279,$IB279,0)+$IA280</f>
        <v/>
      </c>
      <c r="IC280" s="62">
        <f>$IC279+$IA280</f>
        <v/>
      </c>
      <c r="ID280" s="62">
        <f>SUMIFS(tblSafety[Community_Incidents],tblSafety[Date],$A280)</f>
        <v/>
      </c>
      <c r="IE280" s="62">
        <f>IF($B280=$B279,$IE279,0)+$ID280</f>
        <v/>
      </c>
      <c r="IF280" s="62">
        <f>$IF279+$ID280</f>
        <v/>
      </c>
      <c r="IG280" s="62">
        <f>SUMIFS(tblSafety[Vehicle_Incidents],tblSafety[Date],$A280)</f>
        <v/>
      </c>
      <c r="IH280" s="62">
        <f>IF($B280=$B279,$IH279,0)+$IG280</f>
        <v/>
      </c>
      <c r="II280" s="62">
        <f>$II279+$IG280</f>
        <v/>
      </c>
      <c r="IJ280" s="62">
        <f>SUMIFS(tblSafety[Toolbox_Talks],tblSafety[Date],$A280)</f>
        <v/>
      </c>
      <c r="IK280" s="62">
        <f>IF($B280=$B279,$IK279,0)+$IJ280</f>
        <v/>
      </c>
      <c r="IL280" s="62">
        <f>$IL279+$IJ280</f>
        <v/>
      </c>
      <c r="IM280" s="62">
        <f>SUMIFS(tblSafety[Inspections],tblSafety[Date],$A280)</f>
        <v/>
      </c>
      <c r="IN280" s="62">
        <f>IF($B280=$B279,$IN279,0)+$IM280</f>
        <v/>
      </c>
      <c r="IO280" s="62">
        <f>$IO279+$IM280</f>
        <v/>
      </c>
      <c r="IP280" s="56">
        <f>IFERROR((SUMIFS(tblSafety[Recordables],tblSafety[Date],"&gt;="&amp;EDATE($E280,-12),tblSafety[Date],"&lt;="&amp;$A280)+SUMIFS(tblSafetyHistory[Recordables],tblSafetyHistory[Month],"&gt;="&amp;EDATE($E280,-12),tblSafetyHistory[Month],"&lt;"&amp;$E280,tblSafetyHistory[Use],1))/(SUMIFS(tblSafety[Hours_Total],tblSafety[Date],"&gt;="&amp;EDATE($E280,-12),tblSafety[Date],"&lt;="&amp;$A280)+SUMIFS(tblSafetyHistory[Hours_Total],tblSafetyHistory[Month],"&gt;="&amp;EDATE($E280,-12),tblSafetyHistory[Month],"&lt;"&amp;$E280,tblSafetyHistory[Use],1))*cfg_RateBasisHours,"")</f>
        <v/>
      </c>
      <c r="IQ280" s="56">
        <f>IFERROR((SUMIFS(tblSafety[LTI],tblSafety[Date],"&gt;="&amp;EDATE($E280,-12),tblSafety[Date],"&lt;="&amp;$A280)+SUMIFS(tblSafetyHistory[LTI],tblSafetyHistory[Month],"&gt;="&amp;EDATE($E280,-12),tblSafetyHistory[Month],"&lt;"&amp;$E280,tblSafetyHistory[Use],1))/(SUMIFS(tblSafety[Hours_Total],tblSafety[Date],"&gt;="&amp;EDATE($E280,-12),tblSafety[Date],"&lt;="&amp;$A280)+SUMIFS(tblSafetyHistory[Hours_Total],tblSafetyHistory[Month],"&gt;="&amp;EDATE($E280,-12),tblSafetyHistory[Month],"&lt;"&amp;$E280,tblSafetyHistory[Use],1))*cfg_RateBasisHours,"")</f>
        <v/>
      </c>
      <c r="IR280" s="62">
        <f>IF(MAX(N(cfg_PriorLTIDate),_xlfn.MAXIFS(tblSafety[Date],tblSafety[LTI],"&gt;0",tblSafety[Date],"&lt;="&amp;$A280))=0,"",$A280-MAX(N(cfg_PriorLTIDate),_xlfn.MAXIFS(tblSafety[Date],tblSafety[LTI],"&gt;0",tblSafety[Date],"&lt;="&amp;$A280)))</f>
        <v/>
      </c>
      <c r="IS280" s="55">
        <f>SUMIFS(tblBudget[Ore_Mined_t],tblBudget[Month],$E280)</f>
        <v/>
      </c>
      <c r="IT280" s="55">
        <f>$IS280*$C280/$D280</f>
        <v/>
      </c>
      <c r="IU280" s="55">
        <f>SUMIFS(tblBudget[Ore_Mined_t],tblBudget[Month],"&lt;"&amp;$E280)+$IT280</f>
        <v/>
      </c>
      <c r="IV280" s="55">
        <f>SUMIFS(tblBudget[Ore_oz],tblBudget[Month],$E280)</f>
        <v/>
      </c>
      <c r="IW280" s="55">
        <f>$IV280*$C280/$D280</f>
        <v/>
      </c>
      <c r="IX280" s="55">
        <f>SUMIFS(tblBudget[Ore_oz],tblBudget[Month],"&lt;"&amp;$E280)+$IW280</f>
        <v/>
      </c>
      <c r="IY280" s="55">
        <f>SUMIFS(tblBudget[Ore_Mined_t],tblBudget[Month],$E280)</f>
        <v/>
      </c>
      <c r="IZ280" s="55">
        <f>$IY280*$C280/$D280</f>
        <v/>
      </c>
      <c r="JA280" s="55">
        <f>SUMIFS(tblBudget[Ore_Mined_t],tblBudget[Month],"&lt;"&amp;$E280)+$IZ280</f>
        <v/>
      </c>
      <c r="JB280" s="56">
        <f>IFERROR(IF(($IY280)&gt;0,($IV280*cfg_TroyOz)/($IY280),""),"")</f>
        <v/>
      </c>
      <c r="JC280" s="56">
        <f>IFERROR(IF(($IZ280)&gt;0,($IW280*cfg_TroyOz)/($IZ280),""),"")</f>
        <v/>
      </c>
      <c r="JD280" s="56">
        <f>IFERROR(IF(($JA280)&gt;0,($IX280*cfg_TroyOz)/($JA280),""),"")</f>
        <v/>
      </c>
      <c r="JE280" s="55">
        <f>SUMIFS(tblBudget[Waste_t],tblBudget[Month],$E280)</f>
        <v/>
      </c>
      <c r="JF280" s="55">
        <f>$JE280*$C280/$D280</f>
        <v/>
      </c>
      <c r="JG280" s="55">
        <f>SUMIFS(tblBudget[Waste_t],tblBudget[Month],"&lt;"&amp;$E280)+$JF280</f>
        <v/>
      </c>
      <c r="JH280" s="55">
        <f>SUMIFS(tblBudget[TMM_t],tblBudget[Month],$E280)</f>
        <v/>
      </c>
      <c r="JI280" s="55">
        <f>$JH280*$C280/$D280</f>
        <v/>
      </c>
      <c r="JJ280" s="55">
        <f>SUMIFS(tblBudget[TMM_t],tblBudget[Month],"&lt;"&amp;$E280)+$JI280</f>
        <v/>
      </c>
      <c r="JK280" s="56">
        <f>IFERROR(IF(($IS280)&gt;0,($JE280)/($IS280),""),"")</f>
        <v/>
      </c>
      <c r="JL280" s="56">
        <f>IFERROR(IF(($IT280)&gt;0,($JF280)/($IT280),""),"")</f>
        <v/>
      </c>
      <c r="JM280" s="56">
        <f>IFERROR(IF(($IU280)&gt;0,($JG280)/($IU280),""),"")</f>
        <v/>
      </c>
      <c r="JN280" s="55">
        <f>SUMIFS(tblBudget[Drill_m],tblBudget[Month],$E280)</f>
        <v/>
      </c>
      <c r="JO280" s="55">
        <f>$JN280*$C280/$D280</f>
        <v/>
      </c>
      <c r="JP280" s="55">
        <f>SUMIFS(tblBudget[Drill_m],tblBudget[Month],"&lt;"&amp;$E280)+$JO280</f>
        <v/>
      </c>
      <c r="JQ280" s="55">
        <f>SUMIFS(tblBudget[Diesel_L],tblBudget[Month],$E280)</f>
        <v/>
      </c>
      <c r="JR280" s="55">
        <f>$JQ280*$C280/$D280</f>
        <v/>
      </c>
      <c r="JS280" s="55">
        <f>SUMIFS(tblBudget[Diesel_L],tblBudget[Month],"&lt;"&amp;$E280)+$JR280</f>
        <v/>
      </c>
      <c r="JT280" s="55">
        <f>SUMIFS(tblBudget[Milled_t],tblBudget[Month],$E280)</f>
        <v/>
      </c>
      <c r="JU280" s="55">
        <f>$JT280*$C280/$D280</f>
        <v/>
      </c>
      <c r="JV280" s="55">
        <f>SUMIFS(tblBudget[Milled_t],tblBudget[Month],"&lt;"&amp;$E280)+$JU280</f>
        <v/>
      </c>
      <c r="JW280" s="55">
        <f>SUMIFS(tblBudget[Feed_oz],tblBudget[Month],$E280)</f>
        <v/>
      </c>
      <c r="JX280" s="55">
        <f>$JW280*$C280/$D280</f>
        <v/>
      </c>
      <c r="JY280" s="55">
        <f>SUMIFS(tblBudget[Feed_oz],tblBudget[Month],"&lt;"&amp;$E280)+$JX280</f>
        <v/>
      </c>
      <c r="JZ280" s="55">
        <f>SUMIFS(tblBudget[Recovered_oz],tblBudget[Month],$E280)</f>
        <v/>
      </c>
      <c r="KA280" s="55">
        <f>$JZ280*$C280/$D280</f>
        <v/>
      </c>
      <c r="KB280" s="55">
        <f>SUMIFS(tblBudget[Recovered_oz],tblBudget[Month],"&lt;"&amp;$E280)+$KA280</f>
        <v/>
      </c>
      <c r="KC280" s="55">
        <f>SUMIFS(tblBudget[Milled_t],tblBudget[Month],$E280)</f>
        <v/>
      </c>
      <c r="KD280" s="55">
        <f>$KC280*$C280/$D280</f>
        <v/>
      </c>
      <c r="KE280" s="55">
        <f>SUMIFS(tblBudget[Milled_t],tblBudget[Month],"&lt;"&amp;$E280)+$KD280</f>
        <v/>
      </c>
      <c r="KF280" s="55">
        <f>SUMIFS(tblBudget[Feed_oz],tblBudget[Month],$E280)</f>
        <v/>
      </c>
      <c r="KG280" s="55">
        <f>$KF280*$C280/$D280</f>
        <v/>
      </c>
      <c r="KH280" s="55">
        <f>SUMIFS(tblBudget[Feed_oz],tblBudget[Month],"&lt;"&amp;$E280)+$KG280</f>
        <v/>
      </c>
      <c r="KI280" s="56">
        <f>IFERROR(IF(($KC280)&gt;0,($JW280*cfg_TroyOz)/($KC280),""),"")</f>
        <v/>
      </c>
      <c r="KJ280" s="56">
        <f>IFERROR(IF(($KD280)&gt;0,($JX280*cfg_TroyOz)/($KD280),""),"")</f>
        <v/>
      </c>
      <c r="KK280" s="56">
        <f>IFERROR(IF(($KE280)&gt;0,($JY280*cfg_TroyOz)/($KE280),""),"")</f>
        <v/>
      </c>
      <c r="KL280" s="67">
        <f>IFERROR(IF(($KF280)&gt;0,($JZ280)/($KF280),""),"")</f>
        <v/>
      </c>
      <c r="KM280" s="67">
        <f>IFERROR(IF(($KG280)&gt;0,($KA280)/($KG280),""),"")</f>
        <v/>
      </c>
      <c r="KN280" s="67">
        <f>IFERROR(IF(($KH280)&gt;0,($KB280)/($KH280),""),"")</f>
        <v/>
      </c>
      <c r="KO280" s="55">
        <f>SUMIFS(tblBudget[Gold_Poured_oz],tblBudget[Month],$E280)</f>
        <v/>
      </c>
      <c r="KP280" s="55">
        <f>$KO280*$C280/$D280</f>
        <v/>
      </c>
      <c r="KQ280" s="55">
        <f>SUMIFS(tblBudget[Gold_Poured_oz],tblBudget[Month],"&lt;"&amp;$E280)+$KP280</f>
        <v/>
      </c>
      <c r="KR280" s="57">
        <f>SUMIFS(tblBudget[Hours_Worked],tblBudget[Month],$E280)</f>
        <v/>
      </c>
      <c r="KS280" s="57">
        <f>$KR280*$C280/$D280</f>
        <v/>
      </c>
      <c r="KT280" s="57">
        <f>SUMIFS(tblBudget[Hours_Worked],tblBudget[Month],"&lt;"&amp;$E280)+$KS280</f>
        <v/>
      </c>
    </row>
    <row r="281">
      <c r="A281" s="54" t="n">
        <v>46302</v>
      </c>
      <c r="B281">
        <f>MONTH($A281)</f>
        <v/>
      </c>
      <c r="C281">
        <f>DAY($A281)</f>
        <v/>
      </c>
      <c r="D281">
        <f>DAY(EOMONTH($A281,0))</f>
        <v/>
      </c>
      <c r="E281" s="54">
        <f>DATE(YEAR($A281),MONTH($A281),1)</f>
        <v/>
      </c>
      <c r="F281" s="55">
        <f>SUMIFS(tblMovement[Tonnes_t],tblMovement[Date],$A281,tblMovement[Is_Ore],1,tblMovement[Source_Type],"Pit")</f>
        <v/>
      </c>
      <c r="G281" s="55">
        <f>IF($B281=$B280,$G280,0)+$F281</f>
        <v/>
      </c>
      <c r="H281" s="55">
        <f>$H280+$F281</f>
        <v/>
      </c>
      <c r="I281" s="55">
        <f>SUMIFS(tblMovement[Ore_oz],tblMovement[Date],$A281,tblMovement[Source_Type],"Pit")</f>
        <v/>
      </c>
      <c r="J281" s="55">
        <f>IF($B281=$B280,$J280,0)+$I281</f>
        <v/>
      </c>
      <c r="K281" s="55">
        <f>$K280+$I281</f>
        <v/>
      </c>
      <c r="L281" s="55">
        <f>SUMIFS(tblMovement[Tonnes_t],tblMovement[Date],$A281,tblMovement[Is_Ore],1,tblMovement[Source_Type],"Pit",tblMovement[Grade_gpt],"&lt;&gt;")</f>
        <v/>
      </c>
      <c r="M281" s="55">
        <f>IF($B281=$B280,$M280,0)+$L281</f>
        <v/>
      </c>
      <c r="N281" s="55">
        <f>$N280+$L281</f>
        <v/>
      </c>
      <c r="O281" s="56">
        <f>IFERROR(IF(($L281)&gt;0,($I281*cfg_TroyOz)/($L281),""),"")</f>
        <v/>
      </c>
      <c r="P281" s="56">
        <f>IFERROR(IF(($M281)&gt;0,($J281*cfg_TroyOz)/($M281),""),"")</f>
        <v/>
      </c>
      <c r="Q281" s="56">
        <f>IFERROR(IF(($N281)&gt;0,($K281*cfg_TroyOz)/($N281),""),"")</f>
        <v/>
      </c>
      <c r="R281" s="55">
        <f>$F281-$L281</f>
        <v/>
      </c>
      <c r="S281" s="55">
        <f>IF($B281=$B280,$S280,0)+$R281</f>
        <v/>
      </c>
      <c r="T281" s="55">
        <f>$T280+$R281</f>
        <v/>
      </c>
      <c r="U281" s="55">
        <f>SUMIFS(tblMovement[Tonnes_t],tblMovement[Date],$A281,tblMovement[Is_Ore],0,tblMovement[Source_Type],"Pit")</f>
        <v/>
      </c>
      <c r="V281" s="55">
        <f>IF($B281=$B280,$V280,0)+$U281</f>
        <v/>
      </c>
      <c r="W281" s="55">
        <f>$W280+$U281</f>
        <v/>
      </c>
      <c r="X281" s="55">
        <f>$F281+$U281</f>
        <v/>
      </c>
      <c r="Y281" s="55">
        <f>IF($B281=$B280,$Y280,0)+$X281</f>
        <v/>
      </c>
      <c r="Z281" s="55">
        <f>$Z280+$X281</f>
        <v/>
      </c>
      <c r="AA281" s="56">
        <f>IFERROR(IF(($F281)&gt;0,($U281)/($F281),""),"")</f>
        <v/>
      </c>
      <c r="AB281" s="56">
        <f>IFERROR(IF(($G281)&gt;0,($V281)/($G281),""),"")</f>
        <v/>
      </c>
      <c r="AC281" s="56">
        <f>IFERROR(IF(($H281)&gt;0,($W281)/($H281),""),"")</f>
        <v/>
      </c>
      <c r="AD281" s="55">
        <f>SUMIFS(tblMovement[Tonnes_t],tblMovement[Date],$A281,tblMovement[Source_Type],"Stockpile")</f>
        <v/>
      </c>
      <c r="AE281" s="55">
        <f>IF($B281=$B280,$AE280,0)+$AD281</f>
        <v/>
      </c>
      <c r="AF281" s="55">
        <f>$AF280+$AD281</f>
        <v/>
      </c>
      <c r="AG281" s="55">
        <f>SUMIFS(tblMovement[Tonnes_t],tblMovement[Date],$A281)</f>
        <v/>
      </c>
      <c r="AH281" s="55">
        <f>IF($B281=$B280,$AH280,0)+$AG281</f>
        <v/>
      </c>
      <c r="AI281" s="55">
        <f>$AI280+$AG281</f>
        <v/>
      </c>
      <c r="AJ281" s="55">
        <f>$AG281-$X281-$AD281</f>
        <v/>
      </c>
      <c r="AK281" s="55">
        <f>IF($B281=$B280,$AK280,0)+$AJ281</f>
        <v/>
      </c>
      <c r="AL281" s="55">
        <f>$AL280+$AJ281</f>
        <v/>
      </c>
      <c r="AM281" s="55">
        <f>SUMIFS(tblMiningDaily[Drill_m],tblMiningDaily[Date],$A281)</f>
        <v/>
      </c>
      <c r="AN281" s="55">
        <f>IF($B281=$B280,$AN280,0)+$AM281</f>
        <v/>
      </c>
      <c r="AO281" s="55">
        <f>$AO280+$AM281</f>
        <v/>
      </c>
      <c r="AP281" s="55">
        <f>SUMIFS(tblMiningDaily[GC_Drill_m],tblMiningDaily[Date],$A281)</f>
        <v/>
      </c>
      <c r="AQ281" s="55">
        <f>IF($B281=$B280,$AQ280,0)+$AP281</f>
        <v/>
      </c>
      <c r="AR281" s="55">
        <f>$AR280+$AP281</f>
        <v/>
      </c>
      <c r="AS281" s="55">
        <f>SUMIFS(tblMiningDaily[Blast_t],tblMiningDaily[Date],$A281)</f>
        <v/>
      </c>
      <c r="AT281" s="55">
        <f>IF($B281=$B280,$AT280,0)+$AS281</f>
        <v/>
      </c>
      <c r="AU281" s="55">
        <f>$AU280+$AS281</f>
        <v/>
      </c>
      <c r="AV281" s="55">
        <f>SUMIFS(tblMiningDaily[Explosives_kg],tblMiningDaily[Date],$A281)</f>
        <v/>
      </c>
      <c r="AW281" s="55">
        <f>IF($B281=$B280,$AW280,0)+$AV281</f>
        <v/>
      </c>
      <c r="AX281" s="55">
        <f>$AX280+$AV281</f>
        <v/>
      </c>
      <c r="AY281" s="56">
        <f>IFERROR(IF(($AS281)&gt;0,($AV281)/($AS281),""),"")</f>
        <v/>
      </c>
      <c r="AZ281" s="56">
        <f>IFERROR(IF(($AT281)&gt;0,($AW281)/($AT281),""),"")</f>
        <v/>
      </c>
      <c r="BA281" s="56">
        <f>IFERROR(IF(($AU281)&gt;0,($AX281)/($AU281),""),"")</f>
        <v/>
      </c>
      <c r="BB281" s="55">
        <f>SUMIFS(tblMiningDaily[Diesel_L],tblMiningDaily[Date],$A281)</f>
        <v/>
      </c>
      <c r="BC281" s="55">
        <f>IF($B281=$B280,$BC280,0)+$BB281</f>
        <v/>
      </c>
      <c r="BD281" s="55">
        <f>$BD280+$BB281</f>
        <v/>
      </c>
      <c r="BE281" s="55">
        <f>SUMIFS(tblMiningDaily[Dewatering_m3],tblMiningDaily[Date],$A281)</f>
        <v/>
      </c>
      <c r="BF281" s="55">
        <f>IF($B281=$B280,$BF280,0)+$BE281</f>
        <v/>
      </c>
      <c r="BG281" s="55">
        <f>$BG280+$BE281</f>
        <v/>
      </c>
      <c r="BH281" s="57">
        <f>SUMIFS(tblFleet[Calendar_h],tblFleet[Date],$A281,tblFleet[Equipment_Class],"Excavator")</f>
        <v/>
      </c>
      <c r="BI281" s="57">
        <f>IF($B281=$B280,$BI280,0)+$BH281</f>
        <v/>
      </c>
      <c r="BJ281" s="57">
        <f>$BJ280+$BH281</f>
        <v/>
      </c>
      <c r="BK281" s="57">
        <f>SUMIFS(tblFleet[Available_h],tblFleet[Date],$A281,tblFleet[Equipment_Class],"Excavator")</f>
        <v/>
      </c>
      <c r="BL281" s="57">
        <f>IF($B281=$B280,$BL280,0)+$BK281</f>
        <v/>
      </c>
      <c r="BM281" s="57">
        <f>$BM280+$BK281</f>
        <v/>
      </c>
      <c r="BN281" s="57">
        <f>SUMIFS(tblFleet[Operating_h],tblFleet[Date],$A281,tblFleet[Equipment_Class],"Excavator")</f>
        <v/>
      </c>
      <c r="BO281" s="57">
        <f>IF($B281=$B280,$BO280,0)+$BN281</f>
        <v/>
      </c>
      <c r="BP281" s="57">
        <f>$BP280+$BN281</f>
        <v/>
      </c>
      <c r="BQ281" s="67">
        <f>IFERROR(IF(($BH281)&gt;0,($BK281)/($BH281),""),"")</f>
        <v/>
      </c>
      <c r="BR281" s="67">
        <f>IFERROR(IF(($BI281)&gt;0,($BL281)/($BI281),""),"")</f>
        <v/>
      </c>
      <c r="BS281" s="67">
        <f>IFERROR(IF(($BJ281)&gt;0,($BM281)/($BJ281),""),"")</f>
        <v/>
      </c>
      <c r="BT281" s="67">
        <f>IFERROR(IF(($BK281)&gt;0,($BN281)/($BK281),""),"")</f>
        <v/>
      </c>
      <c r="BU281" s="67">
        <f>IFERROR(IF(($BL281)&gt;0,($BO281)/($BL281),""),"")</f>
        <v/>
      </c>
      <c r="BV281" s="67">
        <f>IFERROR(IF(($BM281)&gt;0,($BP281)/($BM281),""),"")</f>
        <v/>
      </c>
      <c r="BW281" s="57">
        <f>SUMIFS(tblFleet[Calendar_h],tblFleet[Date],$A281,tblFleet[Equipment_Class],"Haul Truck")</f>
        <v/>
      </c>
      <c r="BX281" s="57">
        <f>IF($B281=$B280,$BX280,0)+$BW281</f>
        <v/>
      </c>
      <c r="BY281" s="57">
        <f>$BY280+$BW281</f>
        <v/>
      </c>
      <c r="BZ281" s="57">
        <f>SUMIFS(tblFleet[Available_h],tblFleet[Date],$A281,tblFleet[Equipment_Class],"Haul Truck")</f>
        <v/>
      </c>
      <c r="CA281" s="57">
        <f>IF($B281=$B280,$CA280,0)+$BZ281</f>
        <v/>
      </c>
      <c r="CB281" s="57">
        <f>$CB280+$BZ281</f>
        <v/>
      </c>
      <c r="CC281" s="57">
        <f>SUMIFS(tblFleet[Operating_h],tblFleet[Date],$A281,tblFleet[Equipment_Class],"Haul Truck")</f>
        <v/>
      </c>
      <c r="CD281" s="57">
        <f>IF($B281=$B280,$CD280,0)+$CC281</f>
        <v/>
      </c>
      <c r="CE281" s="57">
        <f>$CE280+$CC281</f>
        <v/>
      </c>
      <c r="CF281" s="67">
        <f>IFERROR(IF(($BW281)&gt;0,($BZ281)/($BW281),""),"")</f>
        <v/>
      </c>
      <c r="CG281" s="67">
        <f>IFERROR(IF(($BX281)&gt;0,($CA281)/($BX281),""),"")</f>
        <v/>
      </c>
      <c r="CH281" s="67">
        <f>IFERROR(IF(($BY281)&gt;0,($CB281)/($BY281),""),"")</f>
        <v/>
      </c>
      <c r="CI281" s="67">
        <f>IFERROR(IF(($BZ281)&gt;0,($CC281)/($BZ281),""),"")</f>
        <v/>
      </c>
      <c r="CJ281" s="67">
        <f>IFERROR(IF(($CA281)&gt;0,($CD281)/($CA281),""),"")</f>
        <v/>
      </c>
      <c r="CK281" s="67">
        <f>IFERROR(IF(($CB281)&gt;0,($CE281)/($CB281),""),"")</f>
        <v/>
      </c>
      <c r="CL281" s="55">
        <f>IFERROR(IF(($BN281)&gt;0,($X281+$AD281)/($BN281),""),"")</f>
        <v/>
      </c>
      <c r="CM281" s="55">
        <f>IFERROR(IF(($BO281)&gt;0,($Y281+$AE281)/($BO281),""),"")</f>
        <v/>
      </c>
      <c r="CN281" s="55">
        <f>IFERROR(IF(($BP281)&gt;0,($Z281+$AF281)/($BP281),""),"")</f>
        <v/>
      </c>
      <c r="CO281" s="55">
        <f>IFERROR(IF(($CC281)&gt;0,($X281+$AD281)/($CC281),""),"")</f>
        <v/>
      </c>
      <c r="CP281" s="55">
        <f>IFERROR(IF(($CD281)&gt;0,($Y281+$AE281)/($CD281),""),"")</f>
        <v/>
      </c>
      <c r="CQ281" s="55">
        <f>IFERROR(IF(($CE281)&gt;0,($Z281+$AF281)/($CE281),""),"")</f>
        <v/>
      </c>
      <c r="CR281" s="55">
        <f>SUMIFS(tblPlant[Crushed_t],tblPlant[Date],$A281)</f>
        <v/>
      </c>
      <c r="CS281" s="55">
        <f>IF($B281=$B280,$CS280,0)+$CR281</f>
        <v/>
      </c>
      <c r="CT281" s="55">
        <f>$CT280+$CR281</f>
        <v/>
      </c>
      <c r="CU281" s="55">
        <f>SUMIFS(tblPlant[Milled_t],tblPlant[Date],$A281)</f>
        <v/>
      </c>
      <c r="CV281" s="55">
        <f>IF($B281=$B280,$CV280,0)+$CU281</f>
        <v/>
      </c>
      <c r="CW281" s="55">
        <f>$CW280+$CU281</f>
        <v/>
      </c>
      <c r="CX281" s="55">
        <f>SUMIFS(tblPlant[Feed_oz],tblPlant[Date],$A281)</f>
        <v/>
      </c>
      <c r="CY281" s="55">
        <f>IF($B281=$B280,$CY280,0)+$CX281</f>
        <v/>
      </c>
      <c r="CZ281" s="55">
        <f>$CZ280+$CX281</f>
        <v/>
      </c>
      <c r="DA281" s="55">
        <f>SUMIFS(tblPlant[Tails_oz],tblPlant[Date],$A281)</f>
        <v/>
      </c>
      <c r="DB281" s="55">
        <f>IF($B281=$B280,$DB280,0)+$DA281</f>
        <v/>
      </c>
      <c r="DC281" s="55">
        <f>$DC280+$DA281</f>
        <v/>
      </c>
      <c r="DD281" s="55">
        <f>SUMIFS(tblPlant[Recovered_oz],tblPlant[Date],$A281)</f>
        <v/>
      </c>
      <c r="DE281" s="55">
        <f>IF($B281=$B280,$DE280,0)+$DD281</f>
        <v/>
      </c>
      <c r="DF281" s="55">
        <f>$DF280+$DD281</f>
        <v/>
      </c>
      <c r="DG281" s="55">
        <f>SUMIFS(tblPlant[Milled_t],tblPlant[Date],$A281,tblPlant[Head_Grade_gpt],"&lt;&gt;")</f>
        <v/>
      </c>
      <c r="DH281" s="55">
        <f>IF($B281=$B280,$DH280,0)+$DG281</f>
        <v/>
      </c>
      <c r="DI281" s="55">
        <f>$DI280+$DG281</f>
        <v/>
      </c>
      <c r="DJ281" s="55">
        <f>SUMIFS(tblPlant[Milled_t],tblPlant[Date],$A281,tblPlant[Tails_Grade_gpt],"&lt;&gt;")</f>
        <v/>
      </c>
      <c r="DK281" s="55">
        <f>IF($B281=$B280,$DK280,0)+$DJ281</f>
        <v/>
      </c>
      <c r="DL281" s="55">
        <f>$DL280+$DJ281</f>
        <v/>
      </c>
      <c r="DM281" s="55">
        <f>SUMIFS(tblPlant[Feed_oz],tblPlant[Date],$A281,tblPlant[Tails_Grade_gpt],"&lt;&gt;")</f>
        <v/>
      </c>
      <c r="DN281" s="55">
        <f>IF($B281=$B280,$DN280,0)+$DM281</f>
        <v/>
      </c>
      <c r="DO281" s="55">
        <f>$DO280+$DM281</f>
        <v/>
      </c>
      <c r="DP281" s="55">
        <f>SUMIFS(tblPlant[Milled_t],tblPlant[Date],$A281,tblPlant[Mill_Run_h],"&lt;&gt;")</f>
        <v/>
      </c>
      <c r="DQ281" s="55">
        <f>IF($B281=$B280,$DQ280,0)+$DP281</f>
        <v/>
      </c>
      <c r="DR281" s="55">
        <f>$DR280+$DP281</f>
        <v/>
      </c>
      <c r="DS281" s="56">
        <f>IFERROR(IF(($DG281)&gt;0,($CX281*cfg_TroyOz)/($DG281),""),"")</f>
        <v/>
      </c>
      <c r="DT281" s="56">
        <f>IFERROR(IF(($DH281)&gt;0,($CY281*cfg_TroyOz)/($DH281),""),"")</f>
        <v/>
      </c>
      <c r="DU281" s="56">
        <f>IFERROR(IF(($DI281)&gt;0,($CZ281*cfg_TroyOz)/($DI281),""),"")</f>
        <v/>
      </c>
      <c r="DV281" s="56">
        <f>IFERROR(IF(($DJ281)&gt;0,($DA281*cfg_TroyOz)/($DJ281),""),"")</f>
        <v/>
      </c>
      <c r="DW281" s="56">
        <f>IFERROR(IF(($DK281)&gt;0,($DB281*cfg_TroyOz)/($DK281),""),"")</f>
        <v/>
      </c>
      <c r="DX281" s="56">
        <f>IFERROR(IF(($DL281)&gt;0,($DC281*cfg_TroyOz)/($DL281),""),"")</f>
        <v/>
      </c>
      <c r="DY281" s="67">
        <f>IFERROR(IF(($DM281)&gt;0,($DD281)/($DM281),""),"")</f>
        <v/>
      </c>
      <c r="DZ281" s="67">
        <f>IFERROR(IF(($DN281)&gt;0,($DE281)/($DN281),""),"")</f>
        <v/>
      </c>
      <c r="EA281" s="67">
        <f>IFERROR(IF(($DO281)&gt;0,($DF281)/($DO281),""),"")</f>
        <v/>
      </c>
      <c r="EB281" s="55">
        <f>SUMIFS(tblPlant[Gravity_Gold_oz],tblPlant[Date],$A281)</f>
        <v/>
      </c>
      <c r="EC281" s="55">
        <f>IF($B281=$B280,$EC280,0)+$EB281</f>
        <v/>
      </c>
      <c r="ED281" s="55">
        <f>$ED280+$EB281</f>
        <v/>
      </c>
      <c r="EE281" s="67">
        <f>IFERROR(IF(($DD281)&gt;0,($EB281)/($DD281),""),"")</f>
        <v/>
      </c>
      <c r="EF281" s="67">
        <f>IFERROR(IF(($DE281)&gt;0,($EC281)/($DE281),""),"")</f>
        <v/>
      </c>
      <c r="EG281" s="67">
        <f>IFERROR(IF(($DF281)&gt;0,($ED281)/($DF281),""),"")</f>
        <v/>
      </c>
      <c r="EH281" s="55">
        <f>SUMIFS(tblPlant[Gold_Poured_oz],tblPlant[Date],$A281)</f>
        <v/>
      </c>
      <c r="EI281" s="55">
        <f>IF($B281=$B280,$EI280,0)+$EH281</f>
        <v/>
      </c>
      <c r="EJ281" s="55">
        <f>$EJ280+$EH281</f>
        <v/>
      </c>
      <c r="EK281" s="57">
        <f>SUMIFS(tblPlant[Mill_Run_h],tblPlant[Date],$A281)</f>
        <v/>
      </c>
      <c r="EL281" s="57">
        <f>IF($B281=$B280,$EL280,0)+$EK281</f>
        <v/>
      </c>
      <c r="EM281" s="57">
        <f>$EM280+$EK281</f>
        <v/>
      </c>
      <c r="EN281" s="57">
        <f>SUMIFS(tblPlant[Mill_Planned_Maint_h],tblPlant[Date],$A281)</f>
        <v/>
      </c>
      <c r="EO281" s="57">
        <f>IF($B281=$B280,$EO280,0)+$EN281</f>
        <v/>
      </c>
      <c r="EP281" s="57">
        <f>$EP280+$EN281</f>
        <v/>
      </c>
      <c r="EQ281" s="57">
        <f>SUMIFS(tblPlant[Mill_Unplanned_Down_h],tblPlant[Date],$A281)</f>
        <v/>
      </c>
      <c r="ER281" s="57">
        <f>IF($B281=$B280,$ER280,0)+$EQ281</f>
        <v/>
      </c>
      <c r="ES281" s="57">
        <f>$ES280+$EQ281</f>
        <v/>
      </c>
      <c r="ET281" s="57">
        <f>IF(COUNTIFS(tblPlant[Date],$A281,tblPlant[Mill_Run_h],"&lt;&gt;")+COUNTIFS(tblPlant[Date],$A281,tblPlant[Mill_Planned_Maint_h],"&lt;&gt;")+COUNTIFS(tblPlant[Date],$A281,tblPlant[Mill_Unplanned_Down_h],"&lt;&gt;")&gt;0,cfg_HoursPerDay,0)</f>
        <v/>
      </c>
      <c r="EU281" s="57">
        <f>IF($B281=$B280,$EU280,0)+$ET281</f>
        <v/>
      </c>
      <c r="EV281" s="57">
        <f>$EV280+$ET281</f>
        <v/>
      </c>
      <c r="EW281" s="57">
        <f>SUMIFS(tblPlant[Crusher_Run_h],tblPlant[Date],$A281)</f>
        <v/>
      </c>
      <c r="EX281" s="57">
        <f>IF($B281=$B280,$EX280,0)+$EW281</f>
        <v/>
      </c>
      <c r="EY281" s="57">
        <f>$EY280+$EW281</f>
        <v/>
      </c>
      <c r="EZ281" s="55">
        <f>IFERROR(IF(($EK281)&gt;0,($DP281)/($EK281),""),"")</f>
        <v/>
      </c>
      <c r="FA281" s="55">
        <f>IFERROR(IF(($EL281)&gt;0,($DQ281)/($EL281),""),"")</f>
        <v/>
      </c>
      <c r="FB281" s="55">
        <f>IFERROR(IF(($EM281)&gt;0,($DR281)/($EM281),""),"")</f>
        <v/>
      </c>
      <c r="FC281" s="67">
        <f>IFERROR(IF(($ET281)&gt;0,($ET281-$EN281-$EQ281)/($ET281),""),"")</f>
        <v/>
      </c>
      <c r="FD281" s="67">
        <f>IFERROR(IF(($EU281)&gt;0,($EU281-$EO281-$ER281)/($EU281),""),"")</f>
        <v/>
      </c>
      <c r="FE281" s="67">
        <f>IFERROR(IF(($EV281)&gt;0,($EV281-$EP281-$ES281)/($EV281),""),"")</f>
        <v/>
      </c>
      <c r="FF281" s="67">
        <f>IFERROR(IF(($ET281-$EN281-$EQ281)&gt;0,($EK281)/($ET281-$EN281-$EQ281),""),"")</f>
        <v/>
      </c>
      <c r="FG281" s="67">
        <f>IFERROR(IF(($EU281-$EO281-$ER281)&gt;0,($EL281)/($EU281-$EO281-$ER281),""),"")</f>
        <v/>
      </c>
      <c r="FH281" s="67">
        <f>IFERROR(IF(($EV281-$EP281-$ES281)&gt;0,($EM281)/($EV281-$EP281-$ES281),""),"")</f>
        <v/>
      </c>
      <c r="FI281" s="55">
        <f>SUMIFS(tblPlant[Cyanide_kg],tblPlant[Date],$A281)</f>
        <v/>
      </c>
      <c r="FJ281" s="55">
        <f>IF($B281=$B280,$FJ280,0)+$FI281</f>
        <v/>
      </c>
      <c r="FK281" s="55">
        <f>$FK280+$FI281</f>
        <v/>
      </c>
      <c r="FL281" s="55">
        <f>SUMIFS(tblPlant[Lime_kg],tblPlant[Date],$A281)</f>
        <v/>
      </c>
      <c r="FM281" s="55">
        <f>IF($B281=$B280,$FM280,0)+$FL281</f>
        <v/>
      </c>
      <c r="FN281" s="55">
        <f>$FN280+$FL281</f>
        <v/>
      </c>
      <c r="FO281" s="55">
        <f>SUMIFS(tblPlant[Grinding_Media_kg],tblPlant[Date],$A281)</f>
        <v/>
      </c>
      <c r="FP281" s="55">
        <f>IF($B281=$B280,$FP280,0)+$FO281</f>
        <v/>
      </c>
      <c r="FQ281" s="55">
        <f>$FQ280+$FO281</f>
        <v/>
      </c>
      <c r="FR281" s="55">
        <f>SUMIFS(tblPlant[Power_kWh],tblPlant[Date],$A281)</f>
        <v/>
      </c>
      <c r="FS281" s="55">
        <f>IF($B281=$B280,$FS280,0)+$FR281</f>
        <v/>
      </c>
      <c r="FT281" s="55">
        <f>$FT280+$FR281</f>
        <v/>
      </c>
      <c r="FU281" s="55">
        <f>SUMIFS(tblPlant[Raw_Water_m3],tblPlant[Date],$A281)</f>
        <v/>
      </c>
      <c r="FV281" s="55">
        <f>IF($B281=$B280,$FV280,0)+$FU281</f>
        <v/>
      </c>
      <c r="FW281" s="55">
        <f>$FW280+$FU281</f>
        <v/>
      </c>
      <c r="FX281" s="56">
        <f>IFERROR(IF(($CU281)&gt;0,($FI281)/($CU281),""),"")</f>
        <v/>
      </c>
      <c r="FY281" s="56">
        <f>IFERROR(IF(($CV281)&gt;0,($FJ281)/($CV281),""),"")</f>
        <v/>
      </c>
      <c r="FZ281" s="56">
        <f>IFERROR(IF(($CW281)&gt;0,($FK281)/($CW281),""),"")</f>
        <v/>
      </c>
      <c r="GA281" s="56">
        <f>IFERROR(IF(($CU281)&gt;0,($FL281)/($CU281),""),"")</f>
        <v/>
      </c>
      <c r="GB281" s="56">
        <f>IFERROR(IF(($CV281)&gt;0,($FM281)/($CV281),""),"")</f>
        <v/>
      </c>
      <c r="GC281" s="56">
        <f>IFERROR(IF(($CW281)&gt;0,($FN281)/($CW281),""),"")</f>
        <v/>
      </c>
      <c r="GD281" s="56">
        <f>IFERROR(IF(($CU281)&gt;0,($FO281)/($CU281),""),"")</f>
        <v/>
      </c>
      <c r="GE281" s="56">
        <f>IFERROR(IF(($CV281)&gt;0,($FP281)/($CV281),""),"")</f>
        <v/>
      </c>
      <c r="GF281" s="56">
        <f>IFERROR(IF(($CW281)&gt;0,($FQ281)/($CW281),""),"")</f>
        <v/>
      </c>
      <c r="GG281" s="79">
        <f>IFERROR(IF(($CU281)&gt;0,($FR281)/($CU281),""),"")</f>
        <v/>
      </c>
      <c r="GH281" s="79">
        <f>IFERROR(IF(($CV281)&gt;0,($FS281)/($CV281),""),"")</f>
        <v/>
      </c>
      <c r="GI281" s="79">
        <f>IFERROR(IF(($CW281)&gt;0,($FT281)/($CW281),""),"")</f>
        <v/>
      </c>
      <c r="GJ281" s="56">
        <f>IFERROR(IF(($CU281)&gt;0,($FU281)/($CU281),""),"")</f>
        <v/>
      </c>
      <c r="GK281" s="56">
        <f>IFERROR(IF(($CV281)&gt;0,($FV281)/($CV281),""),"")</f>
        <v/>
      </c>
      <c r="GL281" s="56">
        <f>IFERROR(IF(($CW281)&gt;0,($FW281)/($CW281),""),"")</f>
        <v/>
      </c>
      <c r="GM281" s="55">
        <f>IF(SUMIFS(tblPlant[GIC_oz],tblPlant[Date],$A281)&gt;0,SUMIFS(tblPlant[GIC_oz],tblPlant[Date],$A281),"")</f>
        <v/>
      </c>
      <c r="GN281" s="55">
        <f>SUMIFS(tblGold[Gold_oz],tblGold[Date],$A281,tblGold[Type],"Shipment")</f>
        <v/>
      </c>
      <c r="GO281" s="55">
        <f>IF($B281=$B280,$GO280,0)+$GN281</f>
        <v/>
      </c>
      <c r="GP281" s="55">
        <f>$GP280+$GN281</f>
        <v/>
      </c>
      <c r="GQ281" s="55">
        <f>SUMIFS(tblGold[Gold_oz],tblGold[Date],$A281,tblGold[Type],"Sale")</f>
        <v/>
      </c>
      <c r="GR281" s="55">
        <f>IF($B281=$B280,$GR280,0)+$GQ281</f>
        <v/>
      </c>
      <c r="GS281" s="55">
        <f>$GS280+$GQ281</f>
        <v/>
      </c>
      <c r="GT281" s="55">
        <f>SUMIFS(tblGold[Dore_kg],tblGold[Date],$A281,tblGold[Type],"Shipment")</f>
        <v/>
      </c>
      <c r="GU281" s="55">
        <f>IF($B281=$B280,$GU280,0)+$GT281</f>
        <v/>
      </c>
      <c r="GV281" s="55">
        <f>$GV280+$GT281</f>
        <v/>
      </c>
      <c r="GW281" s="57">
        <f>SUMIFS(tblSafety[Hours_Total],tblSafety[Date],$A281)</f>
        <v/>
      </c>
      <c r="GX281" s="57">
        <f>IF($B281=$B280,$GX280,0)+$GW281</f>
        <v/>
      </c>
      <c r="GY281" s="57">
        <f>$GY280+$GW281</f>
        <v/>
      </c>
      <c r="GZ281" s="62">
        <f>SUMIFS(tblSafety[Fatality],tblSafety[Date],$A281)</f>
        <v/>
      </c>
      <c r="HA281" s="62">
        <f>IF($B281=$B280,$HA280,0)+$GZ281</f>
        <v/>
      </c>
      <c r="HB281" s="62">
        <f>$HB280+$GZ281</f>
        <v/>
      </c>
      <c r="HC281" s="62">
        <f>SUMIFS(tblSafety[LTI],tblSafety[Date],$A281)</f>
        <v/>
      </c>
      <c r="HD281" s="62">
        <f>IF($B281=$B280,$HD280,0)+$HC281</f>
        <v/>
      </c>
      <c r="HE281" s="62">
        <f>$HE280+$HC281</f>
        <v/>
      </c>
      <c r="HF281" s="62">
        <f>SUMIFS(tblSafety[RWI],tblSafety[Date],$A281)</f>
        <v/>
      </c>
      <c r="HG281" s="62">
        <f>IF($B281=$B280,$HG280,0)+$HF281</f>
        <v/>
      </c>
      <c r="HH281" s="62">
        <f>$HH280+$HF281</f>
        <v/>
      </c>
      <c r="HI281" s="62">
        <f>SUMIFS(tblSafety[MTI],tblSafety[Date],$A281)</f>
        <v/>
      </c>
      <c r="HJ281" s="62">
        <f>IF($B281=$B280,$HJ280,0)+$HI281</f>
        <v/>
      </c>
      <c r="HK281" s="62">
        <f>$HK280+$HI281</f>
        <v/>
      </c>
      <c r="HL281" s="62">
        <f>SUMIFS(tblSafety[FAI],tblSafety[Date],$A281)</f>
        <v/>
      </c>
      <c r="HM281" s="62">
        <f>IF($B281=$B280,$HM280,0)+$HL281</f>
        <v/>
      </c>
      <c r="HN281" s="62">
        <f>$HN280+$HL281</f>
        <v/>
      </c>
      <c r="HO281" s="62">
        <f>SUMIFS(tblSafety[Recordables],tblSafety[Date],$A281)</f>
        <v/>
      </c>
      <c r="HP281" s="62">
        <f>IF($B281=$B280,$HP280,0)+$HO281</f>
        <v/>
      </c>
      <c r="HQ281" s="62">
        <f>$HQ280+$HO281</f>
        <v/>
      </c>
      <c r="HR281" s="62">
        <f>SUMIFS(tblSafety[Near_Miss],tblSafety[Date],$A281)</f>
        <v/>
      </c>
      <c r="HS281" s="62">
        <f>IF($B281=$B280,$HS280,0)+$HR281</f>
        <v/>
      </c>
      <c r="HT281" s="62">
        <f>$HT280+$HR281</f>
        <v/>
      </c>
      <c r="HU281" s="62">
        <f>SUMIFS(tblSafety[Hazard_Reports],tblSafety[Date],$A281)</f>
        <v/>
      </c>
      <c r="HV281" s="62">
        <f>IF($B281=$B280,$HV280,0)+$HU281</f>
        <v/>
      </c>
      <c r="HW281" s="62">
        <f>$HW280+$HU281</f>
        <v/>
      </c>
      <c r="HX281" s="62">
        <f>SUMIFS(tblSafety[HPI],tblSafety[Date],$A281)</f>
        <v/>
      </c>
      <c r="HY281" s="62">
        <f>IF($B281=$B280,$HY280,0)+$HX281</f>
        <v/>
      </c>
      <c r="HZ281" s="62">
        <f>$HZ280+$HX281</f>
        <v/>
      </c>
      <c r="IA281" s="62">
        <f>SUMIFS(tblSafety[Env_Incidents],tblSafety[Date],$A281)</f>
        <v/>
      </c>
      <c r="IB281" s="62">
        <f>IF($B281=$B280,$IB280,0)+$IA281</f>
        <v/>
      </c>
      <c r="IC281" s="62">
        <f>$IC280+$IA281</f>
        <v/>
      </c>
      <c r="ID281" s="62">
        <f>SUMIFS(tblSafety[Community_Incidents],tblSafety[Date],$A281)</f>
        <v/>
      </c>
      <c r="IE281" s="62">
        <f>IF($B281=$B280,$IE280,0)+$ID281</f>
        <v/>
      </c>
      <c r="IF281" s="62">
        <f>$IF280+$ID281</f>
        <v/>
      </c>
      <c r="IG281" s="62">
        <f>SUMIFS(tblSafety[Vehicle_Incidents],tblSafety[Date],$A281)</f>
        <v/>
      </c>
      <c r="IH281" s="62">
        <f>IF($B281=$B280,$IH280,0)+$IG281</f>
        <v/>
      </c>
      <c r="II281" s="62">
        <f>$II280+$IG281</f>
        <v/>
      </c>
      <c r="IJ281" s="62">
        <f>SUMIFS(tblSafety[Toolbox_Talks],tblSafety[Date],$A281)</f>
        <v/>
      </c>
      <c r="IK281" s="62">
        <f>IF($B281=$B280,$IK280,0)+$IJ281</f>
        <v/>
      </c>
      <c r="IL281" s="62">
        <f>$IL280+$IJ281</f>
        <v/>
      </c>
      <c r="IM281" s="62">
        <f>SUMIFS(tblSafety[Inspections],tblSafety[Date],$A281)</f>
        <v/>
      </c>
      <c r="IN281" s="62">
        <f>IF($B281=$B280,$IN280,0)+$IM281</f>
        <v/>
      </c>
      <c r="IO281" s="62">
        <f>$IO280+$IM281</f>
        <v/>
      </c>
      <c r="IP281" s="56">
        <f>IFERROR((SUMIFS(tblSafety[Recordables],tblSafety[Date],"&gt;="&amp;EDATE($E281,-12),tblSafety[Date],"&lt;="&amp;$A281)+SUMIFS(tblSafetyHistory[Recordables],tblSafetyHistory[Month],"&gt;="&amp;EDATE($E281,-12),tblSafetyHistory[Month],"&lt;"&amp;$E281,tblSafetyHistory[Use],1))/(SUMIFS(tblSafety[Hours_Total],tblSafety[Date],"&gt;="&amp;EDATE($E281,-12),tblSafety[Date],"&lt;="&amp;$A281)+SUMIFS(tblSafetyHistory[Hours_Total],tblSafetyHistory[Month],"&gt;="&amp;EDATE($E281,-12),tblSafetyHistory[Month],"&lt;"&amp;$E281,tblSafetyHistory[Use],1))*cfg_RateBasisHours,"")</f>
        <v/>
      </c>
      <c r="IQ281" s="56">
        <f>IFERROR((SUMIFS(tblSafety[LTI],tblSafety[Date],"&gt;="&amp;EDATE($E281,-12),tblSafety[Date],"&lt;="&amp;$A281)+SUMIFS(tblSafetyHistory[LTI],tblSafetyHistory[Month],"&gt;="&amp;EDATE($E281,-12),tblSafetyHistory[Month],"&lt;"&amp;$E281,tblSafetyHistory[Use],1))/(SUMIFS(tblSafety[Hours_Total],tblSafety[Date],"&gt;="&amp;EDATE($E281,-12),tblSafety[Date],"&lt;="&amp;$A281)+SUMIFS(tblSafetyHistory[Hours_Total],tblSafetyHistory[Month],"&gt;="&amp;EDATE($E281,-12),tblSafetyHistory[Month],"&lt;"&amp;$E281,tblSafetyHistory[Use],1))*cfg_RateBasisHours,"")</f>
        <v/>
      </c>
      <c r="IR281" s="62">
        <f>IF(MAX(N(cfg_PriorLTIDate),_xlfn.MAXIFS(tblSafety[Date],tblSafety[LTI],"&gt;0",tblSafety[Date],"&lt;="&amp;$A281))=0,"",$A281-MAX(N(cfg_PriorLTIDate),_xlfn.MAXIFS(tblSafety[Date],tblSafety[LTI],"&gt;0",tblSafety[Date],"&lt;="&amp;$A281)))</f>
        <v/>
      </c>
      <c r="IS281" s="55">
        <f>SUMIFS(tblBudget[Ore_Mined_t],tblBudget[Month],$E281)</f>
        <v/>
      </c>
      <c r="IT281" s="55">
        <f>$IS281*$C281/$D281</f>
        <v/>
      </c>
      <c r="IU281" s="55">
        <f>SUMIFS(tblBudget[Ore_Mined_t],tblBudget[Month],"&lt;"&amp;$E281)+$IT281</f>
        <v/>
      </c>
      <c r="IV281" s="55">
        <f>SUMIFS(tblBudget[Ore_oz],tblBudget[Month],$E281)</f>
        <v/>
      </c>
      <c r="IW281" s="55">
        <f>$IV281*$C281/$D281</f>
        <v/>
      </c>
      <c r="IX281" s="55">
        <f>SUMIFS(tblBudget[Ore_oz],tblBudget[Month],"&lt;"&amp;$E281)+$IW281</f>
        <v/>
      </c>
      <c r="IY281" s="55">
        <f>SUMIFS(tblBudget[Ore_Mined_t],tblBudget[Month],$E281)</f>
        <v/>
      </c>
      <c r="IZ281" s="55">
        <f>$IY281*$C281/$D281</f>
        <v/>
      </c>
      <c r="JA281" s="55">
        <f>SUMIFS(tblBudget[Ore_Mined_t],tblBudget[Month],"&lt;"&amp;$E281)+$IZ281</f>
        <v/>
      </c>
      <c r="JB281" s="56">
        <f>IFERROR(IF(($IY281)&gt;0,($IV281*cfg_TroyOz)/($IY281),""),"")</f>
        <v/>
      </c>
      <c r="JC281" s="56">
        <f>IFERROR(IF(($IZ281)&gt;0,($IW281*cfg_TroyOz)/($IZ281),""),"")</f>
        <v/>
      </c>
      <c r="JD281" s="56">
        <f>IFERROR(IF(($JA281)&gt;0,($IX281*cfg_TroyOz)/($JA281),""),"")</f>
        <v/>
      </c>
      <c r="JE281" s="55">
        <f>SUMIFS(tblBudget[Waste_t],tblBudget[Month],$E281)</f>
        <v/>
      </c>
      <c r="JF281" s="55">
        <f>$JE281*$C281/$D281</f>
        <v/>
      </c>
      <c r="JG281" s="55">
        <f>SUMIFS(tblBudget[Waste_t],tblBudget[Month],"&lt;"&amp;$E281)+$JF281</f>
        <v/>
      </c>
      <c r="JH281" s="55">
        <f>SUMIFS(tblBudget[TMM_t],tblBudget[Month],$E281)</f>
        <v/>
      </c>
      <c r="JI281" s="55">
        <f>$JH281*$C281/$D281</f>
        <v/>
      </c>
      <c r="JJ281" s="55">
        <f>SUMIFS(tblBudget[TMM_t],tblBudget[Month],"&lt;"&amp;$E281)+$JI281</f>
        <v/>
      </c>
      <c r="JK281" s="56">
        <f>IFERROR(IF(($IS281)&gt;0,($JE281)/($IS281),""),"")</f>
        <v/>
      </c>
      <c r="JL281" s="56">
        <f>IFERROR(IF(($IT281)&gt;0,($JF281)/($IT281),""),"")</f>
        <v/>
      </c>
      <c r="JM281" s="56">
        <f>IFERROR(IF(($IU281)&gt;0,($JG281)/($IU281),""),"")</f>
        <v/>
      </c>
      <c r="JN281" s="55">
        <f>SUMIFS(tblBudget[Drill_m],tblBudget[Month],$E281)</f>
        <v/>
      </c>
      <c r="JO281" s="55">
        <f>$JN281*$C281/$D281</f>
        <v/>
      </c>
      <c r="JP281" s="55">
        <f>SUMIFS(tblBudget[Drill_m],tblBudget[Month],"&lt;"&amp;$E281)+$JO281</f>
        <v/>
      </c>
      <c r="JQ281" s="55">
        <f>SUMIFS(tblBudget[Diesel_L],tblBudget[Month],$E281)</f>
        <v/>
      </c>
      <c r="JR281" s="55">
        <f>$JQ281*$C281/$D281</f>
        <v/>
      </c>
      <c r="JS281" s="55">
        <f>SUMIFS(tblBudget[Diesel_L],tblBudget[Month],"&lt;"&amp;$E281)+$JR281</f>
        <v/>
      </c>
      <c r="JT281" s="55">
        <f>SUMIFS(tblBudget[Milled_t],tblBudget[Month],$E281)</f>
        <v/>
      </c>
      <c r="JU281" s="55">
        <f>$JT281*$C281/$D281</f>
        <v/>
      </c>
      <c r="JV281" s="55">
        <f>SUMIFS(tblBudget[Milled_t],tblBudget[Month],"&lt;"&amp;$E281)+$JU281</f>
        <v/>
      </c>
      <c r="JW281" s="55">
        <f>SUMIFS(tblBudget[Feed_oz],tblBudget[Month],$E281)</f>
        <v/>
      </c>
      <c r="JX281" s="55">
        <f>$JW281*$C281/$D281</f>
        <v/>
      </c>
      <c r="JY281" s="55">
        <f>SUMIFS(tblBudget[Feed_oz],tblBudget[Month],"&lt;"&amp;$E281)+$JX281</f>
        <v/>
      </c>
      <c r="JZ281" s="55">
        <f>SUMIFS(tblBudget[Recovered_oz],tblBudget[Month],$E281)</f>
        <v/>
      </c>
      <c r="KA281" s="55">
        <f>$JZ281*$C281/$D281</f>
        <v/>
      </c>
      <c r="KB281" s="55">
        <f>SUMIFS(tblBudget[Recovered_oz],tblBudget[Month],"&lt;"&amp;$E281)+$KA281</f>
        <v/>
      </c>
      <c r="KC281" s="55">
        <f>SUMIFS(tblBudget[Milled_t],tblBudget[Month],$E281)</f>
        <v/>
      </c>
      <c r="KD281" s="55">
        <f>$KC281*$C281/$D281</f>
        <v/>
      </c>
      <c r="KE281" s="55">
        <f>SUMIFS(tblBudget[Milled_t],tblBudget[Month],"&lt;"&amp;$E281)+$KD281</f>
        <v/>
      </c>
      <c r="KF281" s="55">
        <f>SUMIFS(tblBudget[Feed_oz],tblBudget[Month],$E281)</f>
        <v/>
      </c>
      <c r="KG281" s="55">
        <f>$KF281*$C281/$D281</f>
        <v/>
      </c>
      <c r="KH281" s="55">
        <f>SUMIFS(tblBudget[Feed_oz],tblBudget[Month],"&lt;"&amp;$E281)+$KG281</f>
        <v/>
      </c>
      <c r="KI281" s="56">
        <f>IFERROR(IF(($KC281)&gt;0,($JW281*cfg_TroyOz)/($KC281),""),"")</f>
        <v/>
      </c>
      <c r="KJ281" s="56">
        <f>IFERROR(IF(($KD281)&gt;0,($JX281*cfg_TroyOz)/($KD281),""),"")</f>
        <v/>
      </c>
      <c r="KK281" s="56">
        <f>IFERROR(IF(($KE281)&gt;0,($JY281*cfg_TroyOz)/($KE281),""),"")</f>
        <v/>
      </c>
      <c r="KL281" s="67">
        <f>IFERROR(IF(($KF281)&gt;0,($JZ281)/($KF281),""),"")</f>
        <v/>
      </c>
      <c r="KM281" s="67">
        <f>IFERROR(IF(($KG281)&gt;0,($KA281)/($KG281),""),"")</f>
        <v/>
      </c>
      <c r="KN281" s="67">
        <f>IFERROR(IF(($KH281)&gt;0,($KB281)/($KH281),""),"")</f>
        <v/>
      </c>
      <c r="KO281" s="55">
        <f>SUMIFS(tblBudget[Gold_Poured_oz],tblBudget[Month],$E281)</f>
        <v/>
      </c>
      <c r="KP281" s="55">
        <f>$KO281*$C281/$D281</f>
        <v/>
      </c>
      <c r="KQ281" s="55">
        <f>SUMIFS(tblBudget[Gold_Poured_oz],tblBudget[Month],"&lt;"&amp;$E281)+$KP281</f>
        <v/>
      </c>
      <c r="KR281" s="57">
        <f>SUMIFS(tblBudget[Hours_Worked],tblBudget[Month],$E281)</f>
        <v/>
      </c>
      <c r="KS281" s="57">
        <f>$KR281*$C281/$D281</f>
        <v/>
      </c>
      <c r="KT281" s="57">
        <f>SUMIFS(tblBudget[Hours_Worked],tblBudget[Month],"&lt;"&amp;$E281)+$KS281</f>
        <v/>
      </c>
    </row>
    <row r="282">
      <c r="A282" s="54" t="n">
        <v>46303</v>
      </c>
      <c r="B282">
        <f>MONTH($A282)</f>
        <v/>
      </c>
      <c r="C282">
        <f>DAY($A282)</f>
        <v/>
      </c>
      <c r="D282">
        <f>DAY(EOMONTH($A282,0))</f>
        <v/>
      </c>
      <c r="E282" s="54">
        <f>DATE(YEAR($A282),MONTH($A282),1)</f>
        <v/>
      </c>
      <c r="F282" s="55">
        <f>SUMIFS(tblMovement[Tonnes_t],tblMovement[Date],$A282,tblMovement[Is_Ore],1,tblMovement[Source_Type],"Pit")</f>
        <v/>
      </c>
      <c r="G282" s="55">
        <f>IF($B282=$B281,$G281,0)+$F282</f>
        <v/>
      </c>
      <c r="H282" s="55">
        <f>$H281+$F282</f>
        <v/>
      </c>
      <c r="I282" s="55">
        <f>SUMIFS(tblMovement[Ore_oz],tblMovement[Date],$A282,tblMovement[Source_Type],"Pit")</f>
        <v/>
      </c>
      <c r="J282" s="55">
        <f>IF($B282=$B281,$J281,0)+$I282</f>
        <v/>
      </c>
      <c r="K282" s="55">
        <f>$K281+$I282</f>
        <v/>
      </c>
      <c r="L282" s="55">
        <f>SUMIFS(tblMovement[Tonnes_t],tblMovement[Date],$A282,tblMovement[Is_Ore],1,tblMovement[Source_Type],"Pit",tblMovement[Grade_gpt],"&lt;&gt;")</f>
        <v/>
      </c>
      <c r="M282" s="55">
        <f>IF($B282=$B281,$M281,0)+$L282</f>
        <v/>
      </c>
      <c r="N282" s="55">
        <f>$N281+$L282</f>
        <v/>
      </c>
      <c r="O282" s="56">
        <f>IFERROR(IF(($L282)&gt;0,($I282*cfg_TroyOz)/($L282),""),"")</f>
        <v/>
      </c>
      <c r="P282" s="56">
        <f>IFERROR(IF(($M282)&gt;0,($J282*cfg_TroyOz)/($M282),""),"")</f>
        <v/>
      </c>
      <c r="Q282" s="56">
        <f>IFERROR(IF(($N282)&gt;0,($K282*cfg_TroyOz)/($N282),""),"")</f>
        <v/>
      </c>
      <c r="R282" s="55">
        <f>$F282-$L282</f>
        <v/>
      </c>
      <c r="S282" s="55">
        <f>IF($B282=$B281,$S281,0)+$R282</f>
        <v/>
      </c>
      <c r="T282" s="55">
        <f>$T281+$R282</f>
        <v/>
      </c>
      <c r="U282" s="55">
        <f>SUMIFS(tblMovement[Tonnes_t],tblMovement[Date],$A282,tblMovement[Is_Ore],0,tblMovement[Source_Type],"Pit")</f>
        <v/>
      </c>
      <c r="V282" s="55">
        <f>IF($B282=$B281,$V281,0)+$U282</f>
        <v/>
      </c>
      <c r="W282" s="55">
        <f>$W281+$U282</f>
        <v/>
      </c>
      <c r="X282" s="55">
        <f>$F282+$U282</f>
        <v/>
      </c>
      <c r="Y282" s="55">
        <f>IF($B282=$B281,$Y281,0)+$X282</f>
        <v/>
      </c>
      <c r="Z282" s="55">
        <f>$Z281+$X282</f>
        <v/>
      </c>
      <c r="AA282" s="56">
        <f>IFERROR(IF(($F282)&gt;0,($U282)/($F282),""),"")</f>
        <v/>
      </c>
      <c r="AB282" s="56">
        <f>IFERROR(IF(($G282)&gt;0,($V282)/($G282),""),"")</f>
        <v/>
      </c>
      <c r="AC282" s="56">
        <f>IFERROR(IF(($H282)&gt;0,($W282)/($H282),""),"")</f>
        <v/>
      </c>
      <c r="AD282" s="55">
        <f>SUMIFS(tblMovement[Tonnes_t],tblMovement[Date],$A282,tblMovement[Source_Type],"Stockpile")</f>
        <v/>
      </c>
      <c r="AE282" s="55">
        <f>IF($B282=$B281,$AE281,0)+$AD282</f>
        <v/>
      </c>
      <c r="AF282" s="55">
        <f>$AF281+$AD282</f>
        <v/>
      </c>
      <c r="AG282" s="55">
        <f>SUMIFS(tblMovement[Tonnes_t],tblMovement[Date],$A282)</f>
        <v/>
      </c>
      <c r="AH282" s="55">
        <f>IF($B282=$B281,$AH281,0)+$AG282</f>
        <v/>
      </c>
      <c r="AI282" s="55">
        <f>$AI281+$AG282</f>
        <v/>
      </c>
      <c r="AJ282" s="55">
        <f>$AG282-$X282-$AD282</f>
        <v/>
      </c>
      <c r="AK282" s="55">
        <f>IF($B282=$B281,$AK281,0)+$AJ282</f>
        <v/>
      </c>
      <c r="AL282" s="55">
        <f>$AL281+$AJ282</f>
        <v/>
      </c>
      <c r="AM282" s="55">
        <f>SUMIFS(tblMiningDaily[Drill_m],tblMiningDaily[Date],$A282)</f>
        <v/>
      </c>
      <c r="AN282" s="55">
        <f>IF($B282=$B281,$AN281,0)+$AM282</f>
        <v/>
      </c>
      <c r="AO282" s="55">
        <f>$AO281+$AM282</f>
        <v/>
      </c>
      <c r="AP282" s="55">
        <f>SUMIFS(tblMiningDaily[GC_Drill_m],tblMiningDaily[Date],$A282)</f>
        <v/>
      </c>
      <c r="AQ282" s="55">
        <f>IF($B282=$B281,$AQ281,0)+$AP282</f>
        <v/>
      </c>
      <c r="AR282" s="55">
        <f>$AR281+$AP282</f>
        <v/>
      </c>
      <c r="AS282" s="55">
        <f>SUMIFS(tblMiningDaily[Blast_t],tblMiningDaily[Date],$A282)</f>
        <v/>
      </c>
      <c r="AT282" s="55">
        <f>IF($B282=$B281,$AT281,0)+$AS282</f>
        <v/>
      </c>
      <c r="AU282" s="55">
        <f>$AU281+$AS282</f>
        <v/>
      </c>
      <c r="AV282" s="55">
        <f>SUMIFS(tblMiningDaily[Explosives_kg],tblMiningDaily[Date],$A282)</f>
        <v/>
      </c>
      <c r="AW282" s="55">
        <f>IF($B282=$B281,$AW281,0)+$AV282</f>
        <v/>
      </c>
      <c r="AX282" s="55">
        <f>$AX281+$AV282</f>
        <v/>
      </c>
      <c r="AY282" s="56">
        <f>IFERROR(IF(($AS282)&gt;0,($AV282)/($AS282),""),"")</f>
        <v/>
      </c>
      <c r="AZ282" s="56">
        <f>IFERROR(IF(($AT282)&gt;0,($AW282)/($AT282),""),"")</f>
        <v/>
      </c>
      <c r="BA282" s="56">
        <f>IFERROR(IF(($AU282)&gt;0,($AX282)/($AU282),""),"")</f>
        <v/>
      </c>
      <c r="BB282" s="55">
        <f>SUMIFS(tblMiningDaily[Diesel_L],tblMiningDaily[Date],$A282)</f>
        <v/>
      </c>
      <c r="BC282" s="55">
        <f>IF($B282=$B281,$BC281,0)+$BB282</f>
        <v/>
      </c>
      <c r="BD282" s="55">
        <f>$BD281+$BB282</f>
        <v/>
      </c>
      <c r="BE282" s="55">
        <f>SUMIFS(tblMiningDaily[Dewatering_m3],tblMiningDaily[Date],$A282)</f>
        <v/>
      </c>
      <c r="BF282" s="55">
        <f>IF($B282=$B281,$BF281,0)+$BE282</f>
        <v/>
      </c>
      <c r="BG282" s="55">
        <f>$BG281+$BE282</f>
        <v/>
      </c>
      <c r="BH282" s="57">
        <f>SUMIFS(tblFleet[Calendar_h],tblFleet[Date],$A282,tblFleet[Equipment_Class],"Excavator")</f>
        <v/>
      </c>
      <c r="BI282" s="57">
        <f>IF($B282=$B281,$BI281,0)+$BH282</f>
        <v/>
      </c>
      <c r="BJ282" s="57">
        <f>$BJ281+$BH282</f>
        <v/>
      </c>
      <c r="BK282" s="57">
        <f>SUMIFS(tblFleet[Available_h],tblFleet[Date],$A282,tblFleet[Equipment_Class],"Excavator")</f>
        <v/>
      </c>
      <c r="BL282" s="57">
        <f>IF($B282=$B281,$BL281,0)+$BK282</f>
        <v/>
      </c>
      <c r="BM282" s="57">
        <f>$BM281+$BK282</f>
        <v/>
      </c>
      <c r="BN282" s="57">
        <f>SUMIFS(tblFleet[Operating_h],tblFleet[Date],$A282,tblFleet[Equipment_Class],"Excavator")</f>
        <v/>
      </c>
      <c r="BO282" s="57">
        <f>IF($B282=$B281,$BO281,0)+$BN282</f>
        <v/>
      </c>
      <c r="BP282" s="57">
        <f>$BP281+$BN282</f>
        <v/>
      </c>
      <c r="BQ282" s="67">
        <f>IFERROR(IF(($BH282)&gt;0,($BK282)/($BH282),""),"")</f>
        <v/>
      </c>
      <c r="BR282" s="67">
        <f>IFERROR(IF(($BI282)&gt;0,($BL282)/($BI282),""),"")</f>
        <v/>
      </c>
      <c r="BS282" s="67">
        <f>IFERROR(IF(($BJ282)&gt;0,($BM282)/($BJ282),""),"")</f>
        <v/>
      </c>
      <c r="BT282" s="67">
        <f>IFERROR(IF(($BK282)&gt;0,($BN282)/($BK282),""),"")</f>
        <v/>
      </c>
      <c r="BU282" s="67">
        <f>IFERROR(IF(($BL282)&gt;0,($BO282)/($BL282),""),"")</f>
        <v/>
      </c>
      <c r="BV282" s="67">
        <f>IFERROR(IF(($BM282)&gt;0,($BP282)/($BM282),""),"")</f>
        <v/>
      </c>
      <c r="BW282" s="57">
        <f>SUMIFS(tblFleet[Calendar_h],tblFleet[Date],$A282,tblFleet[Equipment_Class],"Haul Truck")</f>
        <v/>
      </c>
      <c r="BX282" s="57">
        <f>IF($B282=$B281,$BX281,0)+$BW282</f>
        <v/>
      </c>
      <c r="BY282" s="57">
        <f>$BY281+$BW282</f>
        <v/>
      </c>
      <c r="BZ282" s="57">
        <f>SUMIFS(tblFleet[Available_h],tblFleet[Date],$A282,tblFleet[Equipment_Class],"Haul Truck")</f>
        <v/>
      </c>
      <c r="CA282" s="57">
        <f>IF($B282=$B281,$CA281,0)+$BZ282</f>
        <v/>
      </c>
      <c r="CB282" s="57">
        <f>$CB281+$BZ282</f>
        <v/>
      </c>
      <c r="CC282" s="57">
        <f>SUMIFS(tblFleet[Operating_h],tblFleet[Date],$A282,tblFleet[Equipment_Class],"Haul Truck")</f>
        <v/>
      </c>
      <c r="CD282" s="57">
        <f>IF($B282=$B281,$CD281,0)+$CC282</f>
        <v/>
      </c>
      <c r="CE282" s="57">
        <f>$CE281+$CC282</f>
        <v/>
      </c>
      <c r="CF282" s="67">
        <f>IFERROR(IF(($BW282)&gt;0,($BZ282)/($BW282),""),"")</f>
        <v/>
      </c>
      <c r="CG282" s="67">
        <f>IFERROR(IF(($BX282)&gt;0,($CA282)/($BX282),""),"")</f>
        <v/>
      </c>
      <c r="CH282" s="67">
        <f>IFERROR(IF(($BY282)&gt;0,($CB282)/($BY282),""),"")</f>
        <v/>
      </c>
      <c r="CI282" s="67">
        <f>IFERROR(IF(($BZ282)&gt;0,($CC282)/($BZ282),""),"")</f>
        <v/>
      </c>
      <c r="CJ282" s="67">
        <f>IFERROR(IF(($CA282)&gt;0,($CD282)/($CA282),""),"")</f>
        <v/>
      </c>
      <c r="CK282" s="67">
        <f>IFERROR(IF(($CB282)&gt;0,($CE282)/($CB282),""),"")</f>
        <v/>
      </c>
      <c r="CL282" s="55">
        <f>IFERROR(IF(($BN282)&gt;0,($X282+$AD282)/($BN282),""),"")</f>
        <v/>
      </c>
      <c r="CM282" s="55">
        <f>IFERROR(IF(($BO282)&gt;0,($Y282+$AE282)/($BO282),""),"")</f>
        <v/>
      </c>
      <c r="CN282" s="55">
        <f>IFERROR(IF(($BP282)&gt;0,($Z282+$AF282)/($BP282),""),"")</f>
        <v/>
      </c>
      <c r="CO282" s="55">
        <f>IFERROR(IF(($CC282)&gt;0,($X282+$AD282)/($CC282),""),"")</f>
        <v/>
      </c>
      <c r="CP282" s="55">
        <f>IFERROR(IF(($CD282)&gt;0,($Y282+$AE282)/($CD282),""),"")</f>
        <v/>
      </c>
      <c r="CQ282" s="55">
        <f>IFERROR(IF(($CE282)&gt;0,($Z282+$AF282)/($CE282),""),"")</f>
        <v/>
      </c>
      <c r="CR282" s="55">
        <f>SUMIFS(tblPlant[Crushed_t],tblPlant[Date],$A282)</f>
        <v/>
      </c>
      <c r="CS282" s="55">
        <f>IF($B282=$B281,$CS281,0)+$CR282</f>
        <v/>
      </c>
      <c r="CT282" s="55">
        <f>$CT281+$CR282</f>
        <v/>
      </c>
      <c r="CU282" s="55">
        <f>SUMIFS(tblPlant[Milled_t],tblPlant[Date],$A282)</f>
        <v/>
      </c>
      <c r="CV282" s="55">
        <f>IF($B282=$B281,$CV281,0)+$CU282</f>
        <v/>
      </c>
      <c r="CW282" s="55">
        <f>$CW281+$CU282</f>
        <v/>
      </c>
      <c r="CX282" s="55">
        <f>SUMIFS(tblPlant[Feed_oz],tblPlant[Date],$A282)</f>
        <v/>
      </c>
      <c r="CY282" s="55">
        <f>IF($B282=$B281,$CY281,0)+$CX282</f>
        <v/>
      </c>
      <c r="CZ282" s="55">
        <f>$CZ281+$CX282</f>
        <v/>
      </c>
      <c r="DA282" s="55">
        <f>SUMIFS(tblPlant[Tails_oz],tblPlant[Date],$A282)</f>
        <v/>
      </c>
      <c r="DB282" s="55">
        <f>IF($B282=$B281,$DB281,0)+$DA282</f>
        <v/>
      </c>
      <c r="DC282" s="55">
        <f>$DC281+$DA282</f>
        <v/>
      </c>
      <c r="DD282" s="55">
        <f>SUMIFS(tblPlant[Recovered_oz],tblPlant[Date],$A282)</f>
        <v/>
      </c>
      <c r="DE282" s="55">
        <f>IF($B282=$B281,$DE281,0)+$DD282</f>
        <v/>
      </c>
      <c r="DF282" s="55">
        <f>$DF281+$DD282</f>
        <v/>
      </c>
      <c r="DG282" s="55">
        <f>SUMIFS(tblPlant[Milled_t],tblPlant[Date],$A282,tblPlant[Head_Grade_gpt],"&lt;&gt;")</f>
        <v/>
      </c>
      <c r="DH282" s="55">
        <f>IF($B282=$B281,$DH281,0)+$DG282</f>
        <v/>
      </c>
      <c r="DI282" s="55">
        <f>$DI281+$DG282</f>
        <v/>
      </c>
      <c r="DJ282" s="55">
        <f>SUMIFS(tblPlant[Milled_t],tblPlant[Date],$A282,tblPlant[Tails_Grade_gpt],"&lt;&gt;")</f>
        <v/>
      </c>
      <c r="DK282" s="55">
        <f>IF($B282=$B281,$DK281,0)+$DJ282</f>
        <v/>
      </c>
      <c r="DL282" s="55">
        <f>$DL281+$DJ282</f>
        <v/>
      </c>
      <c r="DM282" s="55">
        <f>SUMIFS(tblPlant[Feed_oz],tblPlant[Date],$A282,tblPlant[Tails_Grade_gpt],"&lt;&gt;")</f>
        <v/>
      </c>
      <c r="DN282" s="55">
        <f>IF($B282=$B281,$DN281,0)+$DM282</f>
        <v/>
      </c>
      <c r="DO282" s="55">
        <f>$DO281+$DM282</f>
        <v/>
      </c>
      <c r="DP282" s="55">
        <f>SUMIFS(tblPlant[Milled_t],tblPlant[Date],$A282,tblPlant[Mill_Run_h],"&lt;&gt;")</f>
        <v/>
      </c>
      <c r="DQ282" s="55">
        <f>IF($B282=$B281,$DQ281,0)+$DP282</f>
        <v/>
      </c>
      <c r="DR282" s="55">
        <f>$DR281+$DP282</f>
        <v/>
      </c>
      <c r="DS282" s="56">
        <f>IFERROR(IF(($DG282)&gt;0,($CX282*cfg_TroyOz)/($DG282),""),"")</f>
        <v/>
      </c>
      <c r="DT282" s="56">
        <f>IFERROR(IF(($DH282)&gt;0,($CY282*cfg_TroyOz)/($DH282),""),"")</f>
        <v/>
      </c>
      <c r="DU282" s="56">
        <f>IFERROR(IF(($DI282)&gt;0,($CZ282*cfg_TroyOz)/($DI282),""),"")</f>
        <v/>
      </c>
      <c r="DV282" s="56">
        <f>IFERROR(IF(($DJ282)&gt;0,($DA282*cfg_TroyOz)/($DJ282),""),"")</f>
        <v/>
      </c>
      <c r="DW282" s="56">
        <f>IFERROR(IF(($DK282)&gt;0,($DB282*cfg_TroyOz)/($DK282),""),"")</f>
        <v/>
      </c>
      <c r="DX282" s="56">
        <f>IFERROR(IF(($DL282)&gt;0,($DC282*cfg_TroyOz)/($DL282),""),"")</f>
        <v/>
      </c>
      <c r="DY282" s="67">
        <f>IFERROR(IF(($DM282)&gt;0,($DD282)/($DM282),""),"")</f>
        <v/>
      </c>
      <c r="DZ282" s="67">
        <f>IFERROR(IF(($DN282)&gt;0,($DE282)/($DN282),""),"")</f>
        <v/>
      </c>
      <c r="EA282" s="67">
        <f>IFERROR(IF(($DO282)&gt;0,($DF282)/($DO282),""),"")</f>
        <v/>
      </c>
      <c r="EB282" s="55">
        <f>SUMIFS(tblPlant[Gravity_Gold_oz],tblPlant[Date],$A282)</f>
        <v/>
      </c>
      <c r="EC282" s="55">
        <f>IF($B282=$B281,$EC281,0)+$EB282</f>
        <v/>
      </c>
      <c r="ED282" s="55">
        <f>$ED281+$EB282</f>
        <v/>
      </c>
      <c r="EE282" s="67">
        <f>IFERROR(IF(($DD282)&gt;0,($EB282)/($DD282),""),"")</f>
        <v/>
      </c>
      <c r="EF282" s="67">
        <f>IFERROR(IF(($DE282)&gt;0,($EC282)/($DE282),""),"")</f>
        <v/>
      </c>
      <c r="EG282" s="67">
        <f>IFERROR(IF(($DF282)&gt;0,($ED282)/($DF282),""),"")</f>
        <v/>
      </c>
      <c r="EH282" s="55">
        <f>SUMIFS(tblPlant[Gold_Poured_oz],tblPlant[Date],$A282)</f>
        <v/>
      </c>
      <c r="EI282" s="55">
        <f>IF($B282=$B281,$EI281,0)+$EH282</f>
        <v/>
      </c>
      <c r="EJ282" s="55">
        <f>$EJ281+$EH282</f>
        <v/>
      </c>
      <c r="EK282" s="57">
        <f>SUMIFS(tblPlant[Mill_Run_h],tblPlant[Date],$A282)</f>
        <v/>
      </c>
      <c r="EL282" s="57">
        <f>IF($B282=$B281,$EL281,0)+$EK282</f>
        <v/>
      </c>
      <c r="EM282" s="57">
        <f>$EM281+$EK282</f>
        <v/>
      </c>
      <c r="EN282" s="57">
        <f>SUMIFS(tblPlant[Mill_Planned_Maint_h],tblPlant[Date],$A282)</f>
        <v/>
      </c>
      <c r="EO282" s="57">
        <f>IF($B282=$B281,$EO281,0)+$EN282</f>
        <v/>
      </c>
      <c r="EP282" s="57">
        <f>$EP281+$EN282</f>
        <v/>
      </c>
      <c r="EQ282" s="57">
        <f>SUMIFS(tblPlant[Mill_Unplanned_Down_h],tblPlant[Date],$A282)</f>
        <v/>
      </c>
      <c r="ER282" s="57">
        <f>IF($B282=$B281,$ER281,0)+$EQ282</f>
        <v/>
      </c>
      <c r="ES282" s="57">
        <f>$ES281+$EQ282</f>
        <v/>
      </c>
      <c r="ET282" s="57">
        <f>IF(COUNTIFS(tblPlant[Date],$A282,tblPlant[Mill_Run_h],"&lt;&gt;")+COUNTIFS(tblPlant[Date],$A282,tblPlant[Mill_Planned_Maint_h],"&lt;&gt;")+COUNTIFS(tblPlant[Date],$A282,tblPlant[Mill_Unplanned_Down_h],"&lt;&gt;")&gt;0,cfg_HoursPerDay,0)</f>
        <v/>
      </c>
      <c r="EU282" s="57">
        <f>IF($B282=$B281,$EU281,0)+$ET282</f>
        <v/>
      </c>
      <c r="EV282" s="57">
        <f>$EV281+$ET282</f>
        <v/>
      </c>
      <c r="EW282" s="57">
        <f>SUMIFS(tblPlant[Crusher_Run_h],tblPlant[Date],$A282)</f>
        <v/>
      </c>
      <c r="EX282" s="57">
        <f>IF($B282=$B281,$EX281,0)+$EW282</f>
        <v/>
      </c>
      <c r="EY282" s="57">
        <f>$EY281+$EW282</f>
        <v/>
      </c>
      <c r="EZ282" s="55">
        <f>IFERROR(IF(($EK282)&gt;0,($DP282)/($EK282),""),"")</f>
        <v/>
      </c>
      <c r="FA282" s="55">
        <f>IFERROR(IF(($EL282)&gt;0,($DQ282)/($EL282),""),"")</f>
        <v/>
      </c>
      <c r="FB282" s="55">
        <f>IFERROR(IF(($EM282)&gt;0,($DR282)/($EM282),""),"")</f>
        <v/>
      </c>
      <c r="FC282" s="67">
        <f>IFERROR(IF(($ET282)&gt;0,($ET282-$EN282-$EQ282)/($ET282),""),"")</f>
        <v/>
      </c>
      <c r="FD282" s="67">
        <f>IFERROR(IF(($EU282)&gt;0,($EU282-$EO282-$ER282)/($EU282),""),"")</f>
        <v/>
      </c>
      <c r="FE282" s="67">
        <f>IFERROR(IF(($EV282)&gt;0,($EV282-$EP282-$ES282)/($EV282),""),"")</f>
        <v/>
      </c>
      <c r="FF282" s="67">
        <f>IFERROR(IF(($ET282-$EN282-$EQ282)&gt;0,($EK282)/($ET282-$EN282-$EQ282),""),"")</f>
        <v/>
      </c>
      <c r="FG282" s="67">
        <f>IFERROR(IF(($EU282-$EO282-$ER282)&gt;0,($EL282)/($EU282-$EO282-$ER282),""),"")</f>
        <v/>
      </c>
      <c r="FH282" s="67">
        <f>IFERROR(IF(($EV282-$EP282-$ES282)&gt;0,($EM282)/($EV282-$EP282-$ES282),""),"")</f>
        <v/>
      </c>
      <c r="FI282" s="55">
        <f>SUMIFS(tblPlant[Cyanide_kg],tblPlant[Date],$A282)</f>
        <v/>
      </c>
      <c r="FJ282" s="55">
        <f>IF($B282=$B281,$FJ281,0)+$FI282</f>
        <v/>
      </c>
      <c r="FK282" s="55">
        <f>$FK281+$FI282</f>
        <v/>
      </c>
      <c r="FL282" s="55">
        <f>SUMIFS(tblPlant[Lime_kg],tblPlant[Date],$A282)</f>
        <v/>
      </c>
      <c r="FM282" s="55">
        <f>IF($B282=$B281,$FM281,0)+$FL282</f>
        <v/>
      </c>
      <c r="FN282" s="55">
        <f>$FN281+$FL282</f>
        <v/>
      </c>
      <c r="FO282" s="55">
        <f>SUMIFS(tblPlant[Grinding_Media_kg],tblPlant[Date],$A282)</f>
        <v/>
      </c>
      <c r="FP282" s="55">
        <f>IF($B282=$B281,$FP281,0)+$FO282</f>
        <v/>
      </c>
      <c r="FQ282" s="55">
        <f>$FQ281+$FO282</f>
        <v/>
      </c>
      <c r="FR282" s="55">
        <f>SUMIFS(tblPlant[Power_kWh],tblPlant[Date],$A282)</f>
        <v/>
      </c>
      <c r="FS282" s="55">
        <f>IF($B282=$B281,$FS281,0)+$FR282</f>
        <v/>
      </c>
      <c r="FT282" s="55">
        <f>$FT281+$FR282</f>
        <v/>
      </c>
      <c r="FU282" s="55">
        <f>SUMIFS(tblPlant[Raw_Water_m3],tblPlant[Date],$A282)</f>
        <v/>
      </c>
      <c r="FV282" s="55">
        <f>IF($B282=$B281,$FV281,0)+$FU282</f>
        <v/>
      </c>
      <c r="FW282" s="55">
        <f>$FW281+$FU282</f>
        <v/>
      </c>
      <c r="FX282" s="56">
        <f>IFERROR(IF(($CU282)&gt;0,($FI282)/($CU282),""),"")</f>
        <v/>
      </c>
      <c r="FY282" s="56">
        <f>IFERROR(IF(($CV282)&gt;0,($FJ282)/($CV282),""),"")</f>
        <v/>
      </c>
      <c r="FZ282" s="56">
        <f>IFERROR(IF(($CW282)&gt;0,($FK282)/($CW282),""),"")</f>
        <v/>
      </c>
      <c r="GA282" s="56">
        <f>IFERROR(IF(($CU282)&gt;0,($FL282)/($CU282),""),"")</f>
        <v/>
      </c>
      <c r="GB282" s="56">
        <f>IFERROR(IF(($CV282)&gt;0,($FM282)/($CV282),""),"")</f>
        <v/>
      </c>
      <c r="GC282" s="56">
        <f>IFERROR(IF(($CW282)&gt;0,($FN282)/($CW282),""),"")</f>
        <v/>
      </c>
      <c r="GD282" s="56">
        <f>IFERROR(IF(($CU282)&gt;0,($FO282)/($CU282),""),"")</f>
        <v/>
      </c>
      <c r="GE282" s="56">
        <f>IFERROR(IF(($CV282)&gt;0,($FP282)/($CV282),""),"")</f>
        <v/>
      </c>
      <c r="GF282" s="56">
        <f>IFERROR(IF(($CW282)&gt;0,($FQ282)/($CW282),""),"")</f>
        <v/>
      </c>
      <c r="GG282" s="79">
        <f>IFERROR(IF(($CU282)&gt;0,($FR282)/($CU282),""),"")</f>
        <v/>
      </c>
      <c r="GH282" s="79">
        <f>IFERROR(IF(($CV282)&gt;0,($FS282)/($CV282),""),"")</f>
        <v/>
      </c>
      <c r="GI282" s="79">
        <f>IFERROR(IF(($CW282)&gt;0,($FT282)/($CW282),""),"")</f>
        <v/>
      </c>
      <c r="GJ282" s="56">
        <f>IFERROR(IF(($CU282)&gt;0,($FU282)/($CU282),""),"")</f>
        <v/>
      </c>
      <c r="GK282" s="56">
        <f>IFERROR(IF(($CV282)&gt;0,($FV282)/($CV282),""),"")</f>
        <v/>
      </c>
      <c r="GL282" s="56">
        <f>IFERROR(IF(($CW282)&gt;0,($FW282)/($CW282),""),"")</f>
        <v/>
      </c>
      <c r="GM282" s="55">
        <f>IF(SUMIFS(tblPlant[GIC_oz],tblPlant[Date],$A282)&gt;0,SUMIFS(tblPlant[GIC_oz],tblPlant[Date],$A282),"")</f>
        <v/>
      </c>
      <c r="GN282" s="55">
        <f>SUMIFS(tblGold[Gold_oz],tblGold[Date],$A282,tblGold[Type],"Shipment")</f>
        <v/>
      </c>
      <c r="GO282" s="55">
        <f>IF($B282=$B281,$GO281,0)+$GN282</f>
        <v/>
      </c>
      <c r="GP282" s="55">
        <f>$GP281+$GN282</f>
        <v/>
      </c>
      <c r="GQ282" s="55">
        <f>SUMIFS(tblGold[Gold_oz],tblGold[Date],$A282,tblGold[Type],"Sale")</f>
        <v/>
      </c>
      <c r="GR282" s="55">
        <f>IF($B282=$B281,$GR281,0)+$GQ282</f>
        <v/>
      </c>
      <c r="GS282" s="55">
        <f>$GS281+$GQ282</f>
        <v/>
      </c>
      <c r="GT282" s="55">
        <f>SUMIFS(tblGold[Dore_kg],tblGold[Date],$A282,tblGold[Type],"Shipment")</f>
        <v/>
      </c>
      <c r="GU282" s="55">
        <f>IF($B282=$B281,$GU281,0)+$GT282</f>
        <v/>
      </c>
      <c r="GV282" s="55">
        <f>$GV281+$GT282</f>
        <v/>
      </c>
      <c r="GW282" s="57">
        <f>SUMIFS(tblSafety[Hours_Total],tblSafety[Date],$A282)</f>
        <v/>
      </c>
      <c r="GX282" s="57">
        <f>IF($B282=$B281,$GX281,0)+$GW282</f>
        <v/>
      </c>
      <c r="GY282" s="57">
        <f>$GY281+$GW282</f>
        <v/>
      </c>
      <c r="GZ282" s="62">
        <f>SUMIFS(tblSafety[Fatality],tblSafety[Date],$A282)</f>
        <v/>
      </c>
      <c r="HA282" s="62">
        <f>IF($B282=$B281,$HA281,0)+$GZ282</f>
        <v/>
      </c>
      <c r="HB282" s="62">
        <f>$HB281+$GZ282</f>
        <v/>
      </c>
      <c r="HC282" s="62">
        <f>SUMIFS(tblSafety[LTI],tblSafety[Date],$A282)</f>
        <v/>
      </c>
      <c r="HD282" s="62">
        <f>IF($B282=$B281,$HD281,0)+$HC282</f>
        <v/>
      </c>
      <c r="HE282" s="62">
        <f>$HE281+$HC282</f>
        <v/>
      </c>
      <c r="HF282" s="62">
        <f>SUMIFS(tblSafety[RWI],tblSafety[Date],$A282)</f>
        <v/>
      </c>
      <c r="HG282" s="62">
        <f>IF($B282=$B281,$HG281,0)+$HF282</f>
        <v/>
      </c>
      <c r="HH282" s="62">
        <f>$HH281+$HF282</f>
        <v/>
      </c>
      <c r="HI282" s="62">
        <f>SUMIFS(tblSafety[MTI],tblSafety[Date],$A282)</f>
        <v/>
      </c>
      <c r="HJ282" s="62">
        <f>IF($B282=$B281,$HJ281,0)+$HI282</f>
        <v/>
      </c>
      <c r="HK282" s="62">
        <f>$HK281+$HI282</f>
        <v/>
      </c>
      <c r="HL282" s="62">
        <f>SUMIFS(tblSafety[FAI],tblSafety[Date],$A282)</f>
        <v/>
      </c>
      <c r="HM282" s="62">
        <f>IF($B282=$B281,$HM281,0)+$HL282</f>
        <v/>
      </c>
      <c r="HN282" s="62">
        <f>$HN281+$HL282</f>
        <v/>
      </c>
      <c r="HO282" s="62">
        <f>SUMIFS(tblSafety[Recordables],tblSafety[Date],$A282)</f>
        <v/>
      </c>
      <c r="HP282" s="62">
        <f>IF($B282=$B281,$HP281,0)+$HO282</f>
        <v/>
      </c>
      <c r="HQ282" s="62">
        <f>$HQ281+$HO282</f>
        <v/>
      </c>
      <c r="HR282" s="62">
        <f>SUMIFS(tblSafety[Near_Miss],tblSafety[Date],$A282)</f>
        <v/>
      </c>
      <c r="HS282" s="62">
        <f>IF($B282=$B281,$HS281,0)+$HR282</f>
        <v/>
      </c>
      <c r="HT282" s="62">
        <f>$HT281+$HR282</f>
        <v/>
      </c>
      <c r="HU282" s="62">
        <f>SUMIFS(tblSafety[Hazard_Reports],tblSafety[Date],$A282)</f>
        <v/>
      </c>
      <c r="HV282" s="62">
        <f>IF($B282=$B281,$HV281,0)+$HU282</f>
        <v/>
      </c>
      <c r="HW282" s="62">
        <f>$HW281+$HU282</f>
        <v/>
      </c>
      <c r="HX282" s="62">
        <f>SUMIFS(tblSafety[HPI],tblSafety[Date],$A282)</f>
        <v/>
      </c>
      <c r="HY282" s="62">
        <f>IF($B282=$B281,$HY281,0)+$HX282</f>
        <v/>
      </c>
      <c r="HZ282" s="62">
        <f>$HZ281+$HX282</f>
        <v/>
      </c>
      <c r="IA282" s="62">
        <f>SUMIFS(tblSafety[Env_Incidents],tblSafety[Date],$A282)</f>
        <v/>
      </c>
      <c r="IB282" s="62">
        <f>IF($B282=$B281,$IB281,0)+$IA282</f>
        <v/>
      </c>
      <c r="IC282" s="62">
        <f>$IC281+$IA282</f>
        <v/>
      </c>
      <c r="ID282" s="62">
        <f>SUMIFS(tblSafety[Community_Incidents],tblSafety[Date],$A282)</f>
        <v/>
      </c>
      <c r="IE282" s="62">
        <f>IF($B282=$B281,$IE281,0)+$ID282</f>
        <v/>
      </c>
      <c r="IF282" s="62">
        <f>$IF281+$ID282</f>
        <v/>
      </c>
      <c r="IG282" s="62">
        <f>SUMIFS(tblSafety[Vehicle_Incidents],tblSafety[Date],$A282)</f>
        <v/>
      </c>
      <c r="IH282" s="62">
        <f>IF($B282=$B281,$IH281,0)+$IG282</f>
        <v/>
      </c>
      <c r="II282" s="62">
        <f>$II281+$IG282</f>
        <v/>
      </c>
      <c r="IJ282" s="62">
        <f>SUMIFS(tblSafety[Toolbox_Talks],tblSafety[Date],$A282)</f>
        <v/>
      </c>
      <c r="IK282" s="62">
        <f>IF($B282=$B281,$IK281,0)+$IJ282</f>
        <v/>
      </c>
      <c r="IL282" s="62">
        <f>$IL281+$IJ282</f>
        <v/>
      </c>
      <c r="IM282" s="62">
        <f>SUMIFS(tblSafety[Inspections],tblSafety[Date],$A282)</f>
        <v/>
      </c>
      <c r="IN282" s="62">
        <f>IF($B282=$B281,$IN281,0)+$IM282</f>
        <v/>
      </c>
      <c r="IO282" s="62">
        <f>$IO281+$IM282</f>
        <v/>
      </c>
      <c r="IP282" s="56">
        <f>IFERROR((SUMIFS(tblSafety[Recordables],tblSafety[Date],"&gt;="&amp;EDATE($E282,-12),tblSafety[Date],"&lt;="&amp;$A282)+SUMIFS(tblSafetyHistory[Recordables],tblSafetyHistory[Month],"&gt;="&amp;EDATE($E282,-12),tblSafetyHistory[Month],"&lt;"&amp;$E282,tblSafetyHistory[Use],1))/(SUMIFS(tblSafety[Hours_Total],tblSafety[Date],"&gt;="&amp;EDATE($E282,-12),tblSafety[Date],"&lt;="&amp;$A282)+SUMIFS(tblSafetyHistory[Hours_Total],tblSafetyHistory[Month],"&gt;="&amp;EDATE($E282,-12),tblSafetyHistory[Month],"&lt;"&amp;$E282,tblSafetyHistory[Use],1))*cfg_RateBasisHours,"")</f>
        <v/>
      </c>
      <c r="IQ282" s="56">
        <f>IFERROR((SUMIFS(tblSafety[LTI],tblSafety[Date],"&gt;="&amp;EDATE($E282,-12),tblSafety[Date],"&lt;="&amp;$A282)+SUMIFS(tblSafetyHistory[LTI],tblSafetyHistory[Month],"&gt;="&amp;EDATE($E282,-12),tblSafetyHistory[Month],"&lt;"&amp;$E282,tblSafetyHistory[Use],1))/(SUMIFS(tblSafety[Hours_Total],tblSafety[Date],"&gt;="&amp;EDATE($E282,-12),tblSafety[Date],"&lt;="&amp;$A282)+SUMIFS(tblSafetyHistory[Hours_Total],tblSafetyHistory[Month],"&gt;="&amp;EDATE($E282,-12),tblSafetyHistory[Month],"&lt;"&amp;$E282,tblSafetyHistory[Use],1))*cfg_RateBasisHours,"")</f>
        <v/>
      </c>
      <c r="IR282" s="62">
        <f>IF(MAX(N(cfg_PriorLTIDate),_xlfn.MAXIFS(tblSafety[Date],tblSafety[LTI],"&gt;0",tblSafety[Date],"&lt;="&amp;$A282))=0,"",$A282-MAX(N(cfg_PriorLTIDate),_xlfn.MAXIFS(tblSafety[Date],tblSafety[LTI],"&gt;0",tblSafety[Date],"&lt;="&amp;$A282)))</f>
        <v/>
      </c>
      <c r="IS282" s="55">
        <f>SUMIFS(tblBudget[Ore_Mined_t],tblBudget[Month],$E282)</f>
        <v/>
      </c>
      <c r="IT282" s="55">
        <f>$IS282*$C282/$D282</f>
        <v/>
      </c>
      <c r="IU282" s="55">
        <f>SUMIFS(tblBudget[Ore_Mined_t],tblBudget[Month],"&lt;"&amp;$E282)+$IT282</f>
        <v/>
      </c>
      <c r="IV282" s="55">
        <f>SUMIFS(tblBudget[Ore_oz],tblBudget[Month],$E282)</f>
        <v/>
      </c>
      <c r="IW282" s="55">
        <f>$IV282*$C282/$D282</f>
        <v/>
      </c>
      <c r="IX282" s="55">
        <f>SUMIFS(tblBudget[Ore_oz],tblBudget[Month],"&lt;"&amp;$E282)+$IW282</f>
        <v/>
      </c>
      <c r="IY282" s="55">
        <f>SUMIFS(tblBudget[Ore_Mined_t],tblBudget[Month],$E282)</f>
        <v/>
      </c>
      <c r="IZ282" s="55">
        <f>$IY282*$C282/$D282</f>
        <v/>
      </c>
      <c r="JA282" s="55">
        <f>SUMIFS(tblBudget[Ore_Mined_t],tblBudget[Month],"&lt;"&amp;$E282)+$IZ282</f>
        <v/>
      </c>
      <c r="JB282" s="56">
        <f>IFERROR(IF(($IY282)&gt;0,($IV282*cfg_TroyOz)/($IY282),""),"")</f>
        <v/>
      </c>
      <c r="JC282" s="56">
        <f>IFERROR(IF(($IZ282)&gt;0,($IW282*cfg_TroyOz)/($IZ282),""),"")</f>
        <v/>
      </c>
      <c r="JD282" s="56">
        <f>IFERROR(IF(($JA282)&gt;0,($IX282*cfg_TroyOz)/($JA282),""),"")</f>
        <v/>
      </c>
      <c r="JE282" s="55">
        <f>SUMIFS(tblBudget[Waste_t],tblBudget[Month],$E282)</f>
        <v/>
      </c>
      <c r="JF282" s="55">
        <f>$JE282*$C282/$D282</f>
        <v/>
      </c>
      <c r="JG282" s="55">
        <f>SUMIFS(tblBudget[Waste_t],tblBudget[Month],"&lt;"&amp;$E282)+$JF282</f>
        <v/>
      </c>
      <c r="JH282" s="55">
        <f>SUMIFS(tblBudget[TMM_t],tblBudget[Month],$E282)</f>
        <v/>
      </c>
      <c r="JI282" s="55">
        <f>$JH282*$C282/$D282</f>
        <v/>
      </c>
      <c r="JJ282" s="55">
        <f>SUMIFS(tblBudget[TMM_t],tblBudget[Month],"&lt;"&amp;$E282)+$JI282</f>
        <v/>
      </c>
      <c r="JK282" s="56">
        <f>IFERROR(IF(($IS282)&gt;0,($JE282)/($IS282),""),"")</f>
        <v/>
      </c>
      <c r="JL282" s="56">
        <f>IFERROR(IF(($IT282)&gt;0,($JF282)/($IT282),""),"")</f>
        <v/>
      </c>
      <c r="JM282" s="56">
        <f>IFERROR(IF(($IU282)&gt;0,($JG282)/($IU282),""),"")</f>
        <v/>
      </c>
      <c r="JN282" s="55">
        <f>SUMIFS(tblBudget[Drill_m],tblBudget[Month],$E282)</f>
        <v/>
      </c>
      <c r="JO282" s="55">
        <f>$JN282*$C282/$D282</f>
        <v/>
      </c>
      <c r="JP282" s="55">
        <f>SUMIFS(tblBudget[Drill_m],tblBudget[Month],"&lt;"&amp;$E282)+$JO282</f>
        <v/>
      </c>
      <c r="JQ282" s="55">
        <f>SUMIFS(tblBudget[Diesel_L],tblBudget[Month],$E282)</f>
        <v/>
      </c>
      <c r="JR282" s="55">
        <f>$JQ282*$C282/$D282</f>
        <v/>
      </c>
      <c r="JS282" s="55">
        <f>SUMIFS(tblBudget[Diesel_L],tblBudget[Month],"&lt;"&amp;$E282)+$JR282</f>
        <v/>
      </c>
      <c r="JT282" s="55">
        <f>SUMIFS(tblBudget[Milled_t],tblBudget[Month],$E282)</f>
        <v/>
      </c>
      <c r="JU282" s="55">
        <f>$JT282*$C282/$D282</f>
        <v/>
      </c>
      <c r="JV282" s="55">
        <f>SUMIFS(tblBudget[Milled_t],tblBudget[Month],"&lt;"&amp;$E282)+$JU282</f>
        <v/>
      </c>
      <c r="JW282" s="55">
        <f>SUMIFS(tblBudget[Feed_oz],tblBudget[Month],$E282)</f>
        <v/>
      </c>
      <c r="JX282" s="55">
        <f>$JW282*$C282/$D282</f>
        <v/>
      </c>
      <c r="JY282" s="55">
        <f>SUMIFS(tblBudget[Feed_oz],tblBudget[Month],"&lt;"&amp;$E282)+$JX282</f>
        <v/>
      </c>
      <c r="JZ282" s="55">
        <f>SUMIFS(tblBudget[Recovered_oz],tblBudget[Month],$E282)</f>
        <v/>
      </c>
      <c r="KA282" s="55">
        <f>$JZ282*$C282/$D282</f>
        <v/>
      </c>
      <c r="KB282" s="55">
        <f>SUMIFS(tblBudget[Recovered_oz],tblBudget[Month],"&lt;"&amp;$E282)+$KA282</f>
        <v/>
      </c>
      <c r="KC282" s="55">
        <f>SUMIFS(tblBudget[Milled_t],tblBudget[Month],$E282)</f>
        <v/>
      </c>
      <c r="KD282" s="55">
        <f>$KC282*$C282/$D282</f>
        <v/>
      </c>
      <c r="KE282" s="55">
        <f>SUMIFS(tblBudget[Milled_t],tblBudget[Month],"&lt;"&amp;$E282)+$KD282</f>
        <v/>
      </c>
      <c r="KF282" s="55">
        <f>SUMIFS(tblBudget[Feed_oz],tblBudget[Month],$E282)</f>
        <v/>
      </c>
      <c r="KG282" s="55">
        <f>$KF282*$C282/$D282</f>
        <v/>
      </c>
      <c r="KH282" s="55">
        <f>SUMIFS(tblBudget[Feed_oz],tblBudget[Month],"&lt;"&amp;$E282)+$KG282</f>
        <v/>
      </c>
      <c r="KI282" s="56">
        <f>IFERROR(IF(($KC282)&gt;0,($JW282*cfg_TroyOz)/($KC282),""),"")</f>
        <v/>
      </c>
      <c r="KJ282" s="56">
        <f>IFERROR(IF(($KD282)&gt;0,($JX282*cfg_TroyOz)/($KD282),""),"")</f>
        <v/>
      </c>
      <c r="KK282" s="56">
        <f>IFERROR(IF(($KE282)&gt;0,($JY282*cfg_TroyOz)/($KE282),""),"")</f>
        <v/>
      </c>
      <c r="KL282" s="67">
        <f>IFERROR(IF(($KF282)&gt;0,($JZ282)/($KF282),""),"")</f>
        <v/>
      </c>
      <c r="KM282" s="67">
        <f>IFERROR(IF(($KG282)&gt;0,($KA282)/($KG282),""),"")</f>
        <v/>
      </c>
      <c r="KN282" s="67">
        <f>IFERROR(IF(($KH282)&gt;0,($KB282)/($KH282),""),"")</f>
        <v/>
      </c>
      <c r="KO282" s="55">
        <f>SUMIFS(tblBudget[Gold_Poured_oz],tblBudget[Month],$E282)</f>
        <v/>
      </c>
      <c r="KP282" s="55">
        <f>$KO282*$C282/$D282</f>
        <v/>
      </c>
      <c r="KQ282" s="55">
        <f>SUMIFS(tblBudget[Gold_Poured_oz],tblBudget[Month],"&lt;"&amp;$E282)+$KP282</f>
        <v/>
      </c>
      <c r="KR282" s="57">
        <f>SUMIFS(tblBudget[Hours_Worked],tblBudget[Month],$E282)</f>
        <v/>
      </c>
      <c r="KS282" s="57">
        <f>$KR282*$C282/$D282</f>
        <v/>
      </c>
      <c r="KT282" s="57">
        <f>SUMIFS(tblBudget[Hours_Worked],tblBudget[Month],"&lt;"&amp;$E282)+$KS282</f>
        <v/>
      </c>
    </row>
    <row r="283">
      <c r="A283" s="54" t="n">
        <v>46304</v>
      </c>
      <c r="B283">
        <f>MONTH($A283)</f>
        <v/>
      </c>
      <c r="C283">
        <f>DAY($A283)</f>
        <v/>
      </c>
      <c r="D283">
        <f>DAY(EOMONTH($A283,0))</f>
        <v/>
      </c>
      <c r="E283" s="54">
        <f>DATE(YEAR($A283),MONTH($A283),1)</f>
        <v/>
      </c>
      <c r="F283" s="55">
        <f>SUMIFS(tblMovement[Tonnes_t],tblMovement[Date],$A283,tblMovement[Is_Ore],1,tblMovement[Source_Type],"Pit")</f>
        <v/>
      </c>
      <c r="G283" s="55">
        <f>IF($B283=$B282,$G282,0)+$F283</f>
        <v/>
      </c>
      <c r="H283" s="55">
        <f>$H282+$F283</f>
        <v/>
      </c>
      <c r="I283" s="55">
        <f>SUMIFS(tblMovement[Ore_oz],tblMovement[Date],$A283,tblMovement[Source_Type],"Pit")</f>
        <v/>
      </c>
      <c r="J283" s="55">
        <f>IF($B283=$B282,$J282,0)+$I283</f>
        <v/>
      </c>
      <c r="K283" s="55">
        <f>$K282+$I283</f>
        <v/>
      </c>
      <c r="L283" s="55">
        <f>SUMIFS(tblMovement[Tonnes_t],tblMovement[Date],$A283,tblMovement[Is_Ore],1,tblMovement[Source_Type],"Pit",tblMovement[Grade_gpt],"&lt;&gt;")</f>
        <v/>
      </c>
      <c r="M283" s="55">
        <f>IF($B283=$B282,$M282,0)+$L283</f>
        <v/>
      </c>
      <c r="N283" s="55">
        <f>$N282+$L283</f>
        <v/>
      </c>
      <c r="O283" s="56">
        <f>IFERROR(IF(($L283)&gt;0,($I283*cfg_TroyOz)/($L283),""),"")</f>
        <v/>
      </c>
      <c r="P283" s="56">
        <f>IFERROR(IF(($M283)&gt;0,($J283*cfg_TroyOz)/($M283),""),"")</f>
        <v/>
      </c>
      <c r="Q283" s="56">
        <f>IFERROR(IF(($N283)&gt;0,($K283*cfg_TroyOz)/($N283),""),"")</f>
        <v/>
      </c>
      <c r="R283" s="55">
        <f>$F283-$L283</f>
        <v/>
      </c>
      <c r="S283" s="55">
        <f>IF($B283=$B282,$S282,0)+$R283</f>
        <v/>
      </c>
      <c r="T283" s="55">
        <f>$T282+$R283</f>
        <v/>
      </c>
      <c r="U283" s="55">
        <f>SUMIFS(tblMovement[Tonnes_t],tblMovement[Date],$A283,tblMovement[Is_Ore],0,tblMovement[Source_Type],"Pit")</f>
        <v/>
      </c>
      <c r="V283" s="55">
        <f>IF($B283=$B282,$V282,0)+$U283</f>
        <v/>
      </c>
      <c r="W283" s="55">
        <f>$W282+$U283</f>
        <v/>
      </c>
      <c r="X283" s="55">
        <f>$F283+$U283</f>
        <v/>
      </c>
      <c r="Y283" s="55">
        <f>IF($B283=$B282,$Y282,0)+$X283</f>
        <v/>
      </c>
      <c r="Z283" s="55">
        <f>$Z282+$X283</f>
        <v/>
      </c>
      <c r="AA283" s="56">
        <f>IFERROR(IF(($F283)&gt;0,($U283)/($F283),""),"")</f>
        <v/>
      </c>
      <c r="AB283" s="56">
        <f>IFERROR(IF(($G283)&gt;0,($V283)/($G283),""),"")</f>
        <v/>
      </c>
      <c r="AC283" s="56">
        <f>IFERROR(IF(($H283)&gt;0,($W283)/($H283),""),"")</f>
        <v/>
      </c>
      <c r="AD283" s="55">
        <f>SUMIFS(tblMovement[Tonnes_t],tblMovement[Date],$A283,tblMovement[Source_Type],"Stockpile")</f>
        <v/>
      </c>
      <c r="AE283" s="55">
        <f>IF($B283=$B282,$AE282,0)+$AD283</f>
        <v/>
      </c>
      <c r="AF283" s="55">
        <f>$AF282+$AD283</f>
        <v/>
      </c>
      <c r="AG283" s="55">
        <f>SUMIFS(tblMovement[Tonnes_t],tblMovement[Date],$A283)</f>
        <v/>
      </c>
      <c r="AH283" s="55">
        <f>IF($B283=$B282,$AH282,0)+$AG283</f>
        <v/>
      </c>
      <c r="AI283" s="55">
        <f>$AI282+$AG283</f>
        <v/>
      </c>
      <c r="AJ283" s="55">
        <f>$AG283-$X283-$AD283</f>
        <v/>
      </c>
      <c r="AK283" s="55">
        <f>IF($B283=$B282,$AK282,0)+$AJ283</f>
        <v/>
      </c>
      <c r="AL283" s="55">
        <f>$AL282+$AJ283</f>
        <v/>
      </c>
      <c r="AM283" s="55">
        <f>SUMIFS(tblMiningDaily[Drill_m],tblMiningDaily[Date],$A283)</f>
        <v/>
      </c>
      <c r="AN283" s="55">
        <f>IF($B283=$B282,$AN282,0)+$AM283</f>
        <v/>
      </c>
      <c r="AO283" s="55">
        <f>$AO282+$AM283</f>
        <v/>
      </c>
      <c r="AP283" s="55">
        <f>SUMIFS(tblMiningDaily[GC_Drill_m],tblMiningDaily[Date],$A283)</f>
        <v/>
      </c>
      <c r="AQ283" s="55">
        <f>IF($B283=$B282,$AQ282,0)+$AP283</f>
        <v/>
      </c>
      <c r="AR283" s="55">
        <f>$AR282+$AP283</f>
        <v/>
      </c>
      <c r="AS283" s="55">
        <f>SUMIFS(tblMiningDaily[Blast_t],tblMiningDaily[Date],$A283)</f>
        <v/>
      </c>
      <c r="AT283" s="55">
        <f>IF($B283=$B282,$AT282,0)+$AS283</f>
        <v/>
      </c>
      <c r="AU283" s="55">
        <f>$AU282+$AS283</f>
        <v/>
      </c>
      <c r="AV283" s="55">
        <f>SUMIFS(tblMiningDaily[Explosives_kg],tblMiningDaily[Date],$A283)</f>
        <v/>
      </c>
      <c r="AW283" s="55">
        <f>IF($B283=$B282,$AW282,0)+$AV283</f>
        <v/>
      </c>
      <c r="AX283" s="55">
        <f>$AX282+$AV283</f>
        <v/>
      </c>
      <c r="AY283" s="56">
        <f>IFERROR(IF(($AS283)&gt;0,($AV283)/($AS283),""),"")</f>
        <v/>
      </c>
      <c r="AZ283" s="56">
        <f>IFERROR(IF(($AT283)&gt;0,($AW283)/($AT283),""),"")</f>
        <v/>
      </c>
      <c r="BA283" s="56">
        <f>IFERROR(IF(($AU283)&gt;0,($AX283)/($AU283),""),"")</f>
        <v/>
      </c>
      <c r="BB283" s="55">
        <f>SUMIFS(tblMiningDaily[Diesel_L],tblMiningDaily[Date],$A283)</f>
        <v/>
      </c>
      <c r="BC283" s="55">
        <f>IF($B283=$B282,$BC282,0)+$BB283</f>
        <v/>
      </c>
      <c r="BD283" s="55">
        <f>$BD282+$BB283</f>
        <v/>
      </c>
      <c r="BE283" s="55">
        <f>SUMIFS(tblMiningDaily[Dewatering_m3],tblMiningDaily[Date],$A283)</f>
        <v/>
      </c>
      <c r="BF283" s="55">
        <f>IF($B283=$B282,$BF282,0)+$BE283</f>
        <v/>
      </c>
      <c r="BG283" s="55">
        <f>$BG282+$BE283</f>
        <v/>
      </c>
      <c r="BH283" s="57">
        <f>SUMIFS(tblFleet[Calendar_h],tblFleet[Date],$A283,tblFleet[Equipment_Class],"Excavator")</f>
        <v/>
      </c>
      <c r="BI283" s="57">
        <f>IF($B283=$B282,$BI282,0)+$BH283</f>
        <v/>
      </c>
      <c r="BJ283" s="57">
        <f>$BJ282+$BH283</f>
        <v/>
      </c>
      <c r="BK283" s="57">
        <f>SUMIFS(tblFleet[Available_h],tblFleet[Date],$A283,tblFleet[Equipment_Class],"Excavator")</f>
        <v/>
      </c>
      <c r="BL283" s="57">
        <f>IF($B283=$B282,$BL282,0)+$BK283</f>
        <v/>
      </c>
      <c r="BM283" s="57">
        <f>$BM282+$BK283</f>
        <v/>
      </c>
      <c r="BN283" s="57">
        <f>SUMIFS(tblFleet[Operating_h],tblFleet[Date],$A283,tblFleet[Equipment_Class],"Excavator")</f>
        <v/>
      </c>
      <c r="BO283" s="57">
        <f>IF($B283=$B282,$BO282,0)+$BN283</f>
        <v/>
      </c>
      <c r="BP283" s="57">
        <f>$BP282+$BN283</f>
        <v/>
      </c>
      <c r="BQ283" s="67">
        <f>IFERROR(IF(($BH283)&gt;0,($BK283)/($BH283),""),"")</f>
        <v/>
      </c>
      <c r="BR283" s="67">
        <f>IFERROR(IF(($BI283)&gt;0,($BL283)/($BI283),""),"")</f>
        <v/>
      </c>
      <c r="BS283" s="67">
        <f>IFERROR(IF(($BJ283)&gt;0,($BM283)/($BJ283),""),"")</f>
        <v/>
      </c>
      <c r="BT283" s="67">
        <f>IFERROR(IF(($BK283)&gt;0,($BN283)/($BK283),""),"")</f>
        <v/>
      </c>
      <c r="BU283" s="67">
        <f>IFERROR(IF(($BL283)&gt;0,($BO283)/($BL283),""),"")</f>
        <v/>
      </c>
      <c r="BV283" s="67">
        <f>IFERROR(IF(($BM283)&gt;0,($BP283)/($BM283),""),"")</f>
        <v/>
      </c>
      <c r="BW283" s="57">
        <f>SUMIFS(tblFleet[Calendar_h],tblFleet[Date],$A283,tblFleet[Equipment_Class],"Haul Truck")</f>
        <v/>
      </c>
      <c r="BX283" s="57">
        <f>IF($B283=$B282,$BX282,0)+$BW283</f>
        <v/>
      </c>
      <c r="BY283" s="57">
        <f>$BY282+$BW283</f>
        <v/>
      </c>
      <c r="BZ283" s="57">
        <f>SUMIFS(tblFleet[Available_h],tblFleet[Date],$A283,tblFleet[Equipment_Class],"Haul Truck")</f>
        <v/>
      </c>
      <c r="CA283" s="57">
        <f>IF($B283=$B282,$CA282,0)+$BZ283</f>
        <v/>
      </c>
      <c r="CB283" s="57">
        <f>$CB282+$BZ283</f>
        <v/>
      </c>
      <c r="CC283" s="57">
        <f>SUMIFS(tblFleet[Operating_h],tblFleet[Date],$A283,tblFleet[Equipment_Class],"Haul Truck")</f>
        <v/>
      </c>
      <c r="CD283" s="57">
        <f>IF($B283=$B282,$CD282,0)+$CC283</f>
        <v/>
      </c>
      <c r="CE283" s="57">
        <f>$CE282+$CC283</f>
        <v/>
      </c>
      <c r="CF283" s="67">
        <f>IFERROR(IF(($BW283)&gt;0,($BZ283)/($BW283),""),"")</f>
        <v/>
      </c>
      <c r="CG283" s="67">
        <f>IFERROR(IF(($BX283)&gt;0,($CA283)/($BX283),""),"")</f>
        <v/>
      </c>
      <c r="CH283" s="67">
        <f>IFERROR(IF(($BY283)&gt;0,($CB283)/($BY283),""),"")</f>
        <v/>
      </c>
      <c r="CI283" s="67">
        <f>IFERROR(IF(($BZ283)&gt;0,($CC283)/($BZ283),""),"")</f>
        <v/>
      </c>
      <c r="CJ283" s="67">
        <f>IFERROR(IF(($CA283)&gt;0,($CD283)/($CA283),""),"")</f>
        <v/>
      </c>
      <c r="CK283" s="67">
        <f>IFERROR(IF(($CB283)&gt;0,($CE283)/($CB283),""),"")</f>
        <v/>
      </c>
      <c r="CL283" s="55">
        <f>IFERROR(IF(($BN283)&gt;0,($X283+$AD283)/($BN283),""),"")</f>
        <v/>
      </c>
      <c r="CM283" s="55">
        <f>IFERROR(IF(($BO283)&gt;0,($Y283+$AE283)/($BO283),""),"")</f>
        <v/>
      </c>
      <c r="CN283" s="55">
        <f>IFERROR(IF(($BP283)&gt;0,($Z283+$AF283)/($BP283),""),"")</f>
        <v/>
      </c>
      <c r="CO283" s="55">
        <f>IFERROR(IF(($CC283)&gt;0,($X283+$AD283)/($CC283),""),"")</f>
        <v/>
      </c>
      <c r="CP283" s="55">
        <f>IFERROR(IF(($CD283)&gt;0,($Y283+$AE283)/($CD283),""),"")</f>
        <v/>
      </c>
      <c r="CQ283" s="55">
        <f>IFERROR(IF(($CE283)&gt;0,($Z283+$AF283)/($CE283),""),"")</f>
        <v/>
      </c>
      <c r="CR283" s="55">
        <f>SUMIFS(tblPlant[Crushed_t],tblPlant[Date],$A283)</f>
        <v/>
      </c>
      <c r="CS283" s="55">
        <f>IF($B283=$B282,$CS282,0)+$CR283</f>
        <v/>
      </c>
      <c r="CT283" s="55">
        <f>$CT282+$CR283</f>
        <v/>
      </c>
      <c r="CU283" s="55">
        <f>SUMIFS(tblPlant[Milled_t],tblPlant[Date],$A283)</f>
        <v/>
      </c>
      <c r="CV283" s="55">
        <f>IF($B283=$B282,$CV282,0)+$CU283</f>
        <v/>
      </c>
      <c r="CW283" s="55">
        <f>$CW282+$CU283</f>
        <v/>
      </c>
      <c r="CX283" s="55">
        <f>SUMIFS(tblPlant[Feed_oz],tblPlant[Date],$A283)</f>
        <v/>
      </c>
      <c r="CY283" s="55">
        <f>IF($B283=$B282,$CY282,0)+$CX283</f>
        <v/>
      </c>
      <c r="CZ283" s="55">
        <f>$CZ282+$CX283</f>
        <v/>
      </c>
      <c r="DA283" s="55">
        <f>SUMIFS(tblPlant[Tails_oz],tblPlant[Date],$A283)</f>
        <v/>
      </c>
      <c r="DB283" s="55">
        <f>IF($B283=$B282,$DB282,0)+$DA283</f>
        <v/>
      </c>
      <c r="DC283" s="55">
        <f>$DC282+$DA283</f>
        <v/>
      </c>
      <c r="DD283" s="55">
        <f>SUMIFS(tblPlant[Recovered_oz],tblPlant[Date],$A283)</f>
        <v/>
      </c>
      <c r="DE283" s="55">
        <f>IF($B283=$B282,$DE282,0)+$DD283</f>
        <v/>
      </c>
      <c r="DF283" s="55">
        <f>$DF282+$DD283</f>
        <v/>
      </c>
      <c r="DG283" s="55">
        <f>SUMIFS(tblPlant[Milled_t],tblPlant[Date],$A283,tblPlant[Head_Grade_gpt],"&lt;&gt;")</f>
        <v/>
      </c>
      <c r="DH283" s="55">
        <f>IF($B283=$B282,$DH282,0)+$DG283</f>
        <v/>
      </c>
      <c r="DI283" s="55">
        <f>$DI282+$DG283</f>
        <v/>
      </c>
      <c r="DJ283" s="55">
        <f>SUMIFS(tblPlant[Milled_t],tblPlant[Date],$A283,tblPlant[Tails_Grade_gpt],"&lt;&gt;")</f>
        <v/>
      </c>
      <c r="DK283" s="55">
        <f>IF($B283=$B282,$DK282,0)+$DJ283</f>
        <v/>
      </c>
      <c r="DL283" s="55">
        <f>$DL282+$DJ283</f>
        <v/>
      </c>
      <c r="DM283" s="55">
        <f>SUMIFS(tblPlant[Feed_oz],tblPlant[Date],$A283,tblPlant[Tails_Grade_gpt],"&lt;&gt;")</f>
        <v/>
      </c>
      <c r="DN283" s="55">
        <f>IF($B283=$B282,$DN282,0)+$DM283</f>
        <v/>
      </c>
      <c r="DO283" s="55">
        <f>$DO282+$DM283</f>
        <v/>
      </c>
      <c r="DP283" s="55">
        <f>SUMIFS(tblPlant[Milled_t],tblPlant[Date],$A283,tblPlant[Mill_Run_h],"&lt;&gt;")</f>
        <v/>
      </c>
      <c r="DQ283" s="55">
        <f>IF($B283=$B282,$DQ282,0)+$DP283</f>
        <v/>
      </c>
      <c r="DR283" s="55">
        <f>$DR282+$DP283</f>
        <v/>
      </c>
      <c r="DS283" s="56">
        <f>IFERROR(IF(($DG283)&gt;0,($CX283*cfg_TroyOz)/($DG283),""),"")</f>
        <v/>
      </c>
      <c r="DT283" s="56">
        <f>IFERROR(IF(($DH283)&gt;0,($CY283*cfg_TroyOz)/($DH283),""),"")</f>
        <v/>
      </c>
      <c r="DU283" s="56">
        <f>IFERROR(IF(($DI283)&gt;0,($CZ283*cfg_TroyOz)/($DI283),""),"")</f>
        <v/>
      </c>
      <c r="DV283" s="56">
        <f>IFERROR(IF(($DJ283)&gt;0,($DA283*cfg_TroyOz)/($DJ283),""),"")</f>
        <v/>
      </c>
      <c r="DW283" s="56">
        <f>IFERROR(IF(($DK283)&gt;0,($DB283*cfg_TroyOz)/($DK283),""),"")</f>
        <v/>
      </c>
      <c r="DX283" s="56">
        <f>IFERROR(IF(($DL283)&gt;0,($DC283*cfg_TroyOz)/($DL283),""),"")</f>
        <v/>
      </c>
      <c r="DY283" s="67">
        <f>IFERROR(IF(($DM283)&gt;0,($DD283)/($DM283),""),"")</f>
        <v/>
      </c>
      <c r="DZ283" s="67">
        <f>IFERROR(IF(($DN283)&gt;0,($DE283)/($DN283),""),"")</f>
        <v/>
      </c>
      <c r="EA283" s="67">
        <f>IFERROR(IF(($DO283)&gt;0,($DF283)/($DO283),""),"")</f>
        <v/>
      </c>
      <c r="EB283" s="55">
        <f>SUMIFS(tblPlant[Gravity_Gold_oz],tblPlant[Date],$A283)</f>
        <v/>
      </c>
      <c r="EC283" s="55">
        <f>IF($B283=$B282,$EC282,0)+$EB283</f>
        <v/>
      </c>
      <c r="ED283" s="55">
        <f>$ED282+$EB283</f>
        <v/>
      </c>
      <c r="EE283" s="67">
        <f>IFERROR(IF(($DD283)&gt;0,($EB283)/($DD283),""),"")</f>
        <v/>
      </c>
      <c r="EF283" s="67">
        <f>IFERROR(IF(($DE283)&gt;0,($EC283)/($DE283),""),"")</f>
        <v/>
      </c>
      <c r="EG283" s="67">
        <f>IFERROR(IF(($DF283)&gt;0,($ED283)/($DF283),""),"")</f>
        <v/>
      </c>
      <c r="EH283" s="55">
        <f>SUMIFS(tblPlant[Gold_Poured_oz],tblPlant[Date],$A283)</f>
        <v/>
      </c>
      <c r="EI283" s="55">
        <f>IF($B283=$B282,$EI282,0)+$EH283</f>
        <v/>
      </c>
      <c r="EJ283" s="55">
        <f>$EJ282+$EH283</f>
        <v/>
      </c>
      <c r="EK283" s="57">
        <f>SUMIFS(tblPlant[Mill_Run_h],tblPlant[Date],$A283)</f>
        <v/>
      </c>
      <c r="EL283" s="57">
        <f>IF($B283=$B282,$EL282,0)+$EK283</f>
        <v/>
      </c>
      <c r="EM283" s="57">
        <f>$EM282+$EK283</f>
        <v/>
      </c>
      <c r="EN283" s="57">
        <f>SUMIFS(tblPlant[Mill_Planned_Maint_h],tblPlant[Date],$A283)</f>
        <v/>
      </c>
      <c r="EO283" s="57">
        <f>IF($B283=$B282,$EO282,0)+$EN283</f>
        <v/>
      </c>
      <c r="EP283" s="57">
        <f>$EP282+$EN283</f>
        <v/>
      </c>
      <c r="EQ283" s="57">
        <f>SUMIFS(tblPlant[Mill_Unplanned_Down_h],tblPlant[Date],$A283)</f>
        <v/>
      </c>
      <c r="ER283" s="57">
        <f>IF($B283=$B282,$ER282,0)+$EQ283</f>
        <v/>
      </c>
      <c r="ES283" s="57">
        <f>$ES282+$EQ283</f>
        <v/>
      </c>
      <c r="ET283" s="57">
        <f>IF(COUNTIFS(tblPlant[Date],$A283,tblPlant[Mill_Run_h],"&lt;&gt;")+COUNTIFS(tblPlant[Date],$A283,tblPlant[Mill_Planned_Maint_h],"&lt;&gt;")+COUNTIFS(tblPlant[Date],$A283,tblPlant[Mill_Unplanned_Down_h],"&lt;&gt;")&gt;0,cfg_HoursPerDay,0)</f>
        <v/>
      </c>
      <c r="EU283" s="57">
        <f>IF($B283=$B282,$EU282,0)+$ET283</f>
        <v/>
      </c>
      <c r="EV283" s="57">
        <f>$EV282+$ET283</f>
        <v/>
      </c>
      <c r="EW283" s="57">
        <f>SUMIFS(tblPlant[Crusher_Run_h],tblPlant[Date],$A283)</f>
        <v/>
      </c>
      <c r="EX283" s="57">
        <f>IF($B283=$B282,$EX282,0)+$EW283</f>
        <v/>
      </c>
      <c r="EY283" s="57">
        <f>$EY282+$EW283</f>
        <v/>
      </c>
      <c r="EZ283" s="55">
        <f>IFERROR(IF(($EK283)&gt;0,($DP283)/($EK283),""),"")</f>
        <v/>
      </c>
      <c r="FA283" s="55">
        <f>IFERROR(IF(($EL283)&gt;0,($DQ283)/($EL283),""),"")</f>
        <v/>
      </c>
      <c r="FB283" s="55">
        <f>IFERROR(IF(($EM283)&gt;0,($DR283)/($EM283),""),"")</f>
        <v/>
      </c>
      <c r="FC283" s="67">
        <f>IFERROR(IF(($ET283)&gt;0,($ET283-$EN283-$EQ283)/($ET283),""),"")</f>
        <v/>
      </c>
      <c r="FD283" s="67">
        <f>IFERROR(IF(($EU283)&gt;0,($EU283-$EO283-$ER283)/($EU283),""),"")</f>
        <v/>
      </c>
      <c r="FE283" s="67">
        <f>IFERROR(IF(($EV283)&gt;0,($EV283-$EP283-$ES283)/($EV283),""),"")</f>
        <v/>
      </c>
      <c r="FF283" s="67">
        <f>IFERROR(IF(($ET283-$EN283-$EQ283)&gt;0,($EK283)/($ET283-$EN283-$EQ283),""),"")</f>
        <v/>
      </c>
      <c r="FG283" s="67">
        <f>IFERROR(IF(($EU283-$EO283-$ER283)&gt;0,($EL283)/($EU283-$EO283-$ER283),""),"")</f>
        <v/>
      </c>
      <c r="FH283" s="67">
        <f>IFERROR(IF(($EV283-$EP283-$ES283)&gt;0,($EM283)/($EV283-$EP283-$ES283),""),"")</f>
        <v/>
      </c>
      <c r="FI283" s="55">
        <f>SUMIFS(tblPlant[Cyanide_kg],tblPlant[Date],$A283)</f>
        <v/>
      </c>
      <c r="FJ283" s="55">
        <f>IF($B283=$B282,$FJ282,0)+$FI283</f>
        <v/>
      </c>
      <c r="FK283" s="55">
        <f>$FK282+$FI283</f>
        <v/>
      </c>
      <c r="FL283" s="55">
        <f>SUMIFS(tblPlant[Lime_kg],tblPlant[Date],$A283)</f>
        <v/>
      </c>
      <c r="FM283" s="55">
        <f>IF($B283=$B282,$FM282,0)+$FL283</f>
        <v/>
      </c>
      <c r="FN283" s="55">
        <f>$FN282+$FL283</f>
        <v/>
      </c>
      <c r="FO283" s="55">
        <f>SUMIFS(tblPlant[Grinding_Media_kg],tblPlant[Date],$A283)</f>
        <v/>
      </c>
      <c r="FP283" s="55">
        <f>IF($B283=$B282,$FP282,0)+$FO283</f>
        <v/>
      </c>
      <c r="FQ283" s="55">
        <f>$FQ282+$FO283</f>
        <v/>
      </c>
      <c r="FR283" s="55">
        <f>SUMIFS(tblPlant[Power_kWh],tblPlant[Date],$A283)</f>
        <v/>
      </c>
      <c r="FS283" s="55">
        <f>IF($B283=$B282,$FS282,0)+$FR283</f>
        <v/>
      </c>
      <c r="FT283" s="55">
        <f>$FT282+$FR283</f>
        <v/>
      </c>
      <c r="FU283" s="55">
        <f>SUMIFS(tblPlant[Raw_Water_m3],tblPlant[Date],$A283)</f>
        <v/>
      </c>
      <c r="FV283" s="55">
        <f>IF($B283=$B282,$FV282,0)+$FU283</f>
        <v/>
      </c>
      <c r="FW283" s="55">
        <f>$FW282+$FU283</f>
        <v/>
      </c>
      <c r="FX283" s="56">
        <f>IFERROR(IF(($CU283)&gt;0,($FI283)/($CU283),""),"")</f>
        <v/>
      </c>
      <c r="FY283" s="56">
        <f>IFERROR(IF(($CV283)&gt;0,($FJ283)/($CV283),""),"")</f>
        <v/>
      </c>
      <c r="FZ283" s="56">
        <f>IFERROR(IF(($CW283)&gt;0,($FK283)/($CW283),""),"")</f>
        <v/>
      </c>
      <c r="GA283" s="56">
        <f>IFERROR(IF(($CU283)&gt;0,($FL283)/($CU283),""),"")</f>
        <v/>
      </c>
      <c r="GB283" s="56">
        <f>IFERROR(IF(($CV283)&gt;0,($FM283)/($CV283),""),"")</f>
        <v/>
      </c>
      <c r="GC283" s="56">
        <f>IFERROR(IF(($CW283)&gt;0,($FN283)/($CW283),""),"")</f>
        <v/>
      </c>
      <c r="GD283" s="56">
        <f>IFERROR(IF(($CU283)&gt;0,($FO283)/($CU283),""),"")</f>
        <v/>
      </c>
      <c r="GE283" s="56">
        <f>IFERROR(IF(($CV283)&gt;0,($FP283)/($CV283),""),"")</f>
        <v/>
      </c>
      <c r="GF283" s="56">
        <f>IFERROR(IF(($CW283)&gt;0,($FQ283)/($CW283),""),"")</f>
        <v/>
      </c>
      <c r="GG283" s="79">
        <f>IFERROR(IF(($CU283)&gt;0,($FR283)/($CU283),""),"")</f>
        <v/>
      </c>
      <c r="GH283" s="79">
        <f>IFERROR(IF(($CV283)&gt;0,($FS283)/($CV283),""),"")</f>
        <v/>
      </c>
      <c r="GI283" s="79">
        <f>IFERROR(IF(($CW283)&gt;0,($FT283)/($CW283),""),"")</f>
        <v/>
      </c>
      <c r="GJ283" s="56">
        <f>IFERROR(IF(($CU283)&gt;0,($FU283)/($CU283),""),"")</f>
        <v/>
      </c>
      <c r="GK283" s="56">
        <f>IFERROR(IF(($CV283)&gt;0,($FV283)/($CV283),""),"")</f>
        <v/>
      </c>
      <c r="GL283" s="56">
        <f>IFERROR(IF(($CW283)&gt;0,($FW283)/($CW283),""),"")</f>
        <v/>
      </c>
      <c r="GM283" s="55">
        <f>IF(SUMIFS(tblPlant[GIC_oz],tblPlant[Date],$A283)&gt;0,SUMIFS(tblPlant[GIC_oz],tblPlant[Date],$A283),"")</f>
        <v/>
      </c>
      <c r="GN283" s="55">
        <f>SUMIFS(tblGold[Gold_oz],tblGold[Date],$A283,tblGold[Type],"Shipment")</f>
        <v/>
      </c>
      <c r="GO283" s="55">
        <f>IF($B283=$B282,$GO282,0)+$GN283</f>
        <v/>
      </c>
      <c r="GP283" s="55">
        <f>$GP282+$GN283</f>
        <v/>
      </c>
      <c r="GQ283" s="55">
        <f>SUMIFS(tblGold[Gold_oz],tblGold[Date],$A283,tblGold[Type],"Sale")</f>
        <v/>
      </c>
      <c r="GR283" s="55">
        <f>IF($B283=$B282,$GR282,0)+$GQ283</f>
        <v/>
      </c>
      <c r="GS283" s="55">
        <f>$GS282+$GQ283</f>
        <v/>
      </c>
      <c r="GT283" s="55">
        <f>SUMIFS(tblGold[Dore_kg],tblGold[Date],$A283,tblGold[Type],"Shipment")</f>
        <v/>
      </c>
      <c r="GU283" s="55">
        <f>IF($B283=$B282,$GU282,0)+$GT283</f>
        <v/>
      </c>
      <c r="GV283" s="55">
        <f>$GV282+$GT283</f>
        <v/>
      </c>
      <c r="GW283" s="57">
        <f>SUMIFS(tblSafety[Hours_Total],tblSafety[Date],$A283)</f>
        <v/>
      </c>
      <c r="GX283" s="57">
        <f>IF($B283=$B282,$GX282,0)+$GW283</f>
        <v/>
      </c>
      <c r="GY283" s="57">
        <f>$GY282+$GW283</f>
        <v/>
      </c>
      <c r="GZ283" s="62">
        <f>SUMIFS(tblSafety[Fatality],tblSafety[Date],$A283)</f>
        <v/>
      </c>
      <c r="HA283" s="62">
        <f>IF($B283=$B282,$HA282,0)+$GZ283</f>
        <v/>
      </c>
      <c r="HB283" s="62">
        <f>$HB282+$GZ283</f>
        <v/>
      </c>
      <c r="HC283" s="62">
        <f>SUMIFS(tblSafety[LTI],tblSafety[Date],$A283)</f>
        <v/>
      </c>
      <c r="HD283" s="62">
        <f>IF($B283=$B282,$HD282,0)+$HC283</f>
        <v/>
      </c>
      <c r="HE283" s="62">
        <f>$HE282+$HC283</f>
        <v/>
      </c>
      <c r="HF283" s="62">
        <f>SUMIFS(tblSafety[RWI],tblSafety[Date],$A283)</f>
        <v/>
      </c>
      <c r="HG283" s="62">
        <f>IF($B283=$B282,$HG282,0)+$HF283</f>
        <v/>
      </c>
      <c r="HH283" s="62">
        <f>$HH282+$HF283</f>
        <v/>
      </c>
      <c r="HI283" s="62">
        <f>SUMIFS(tblSafety[MTI],tblSafety[Date],$A283)</f>
        <v/>
      </c>
      <c r="HJ283" s="62">
        <f>IF($B283=$B282,$HJ282,0)+$HI283</f>
        <v/>
      </c>
      <c r="HK283" s="62">
        <f>$HK282+$HI283</f>
        <v/>
      </c>
      <c r="HL283" s="62">
        <f>SUMIFS(tblSafety[FAI],tblSafety[Date],$A283)</f>
        <v/>
      </c>
      <c r="HM283" s="62">
        <f>IF($B283=$B282,$HM282,0)+$HL283</f>
        <v/>
      </c>
      <c r="HN283" s="62">
        <f>$HN282+$HL283</f>
        <v/>
      </c>
      <c r="HO283" s="62">
        <f>SUMIFS(tblSafety[Recordables],tblSafety[Date],$A283)</f>
        <v/>
      </c>
      <c r="HP283" s="62">
        <f>IF($B283=$B282,$HP282,0)+$HO283</f>
        <v/>
      </c>
      <c r="HQ283" s="62">
        <f>$HQ282+$HO283</f>
        <v/>
      </c>
      <c r="HR283" s="62">
        <f>SUMIFS(tblSafety[Near_Miss],tblSafety[Date],$A283)</f>
        <v/>
      </c>
      <c r="HS283" s="62">
        <f>IF($B283=$B282,$HS282,0)+$HR283</f>
        <v/>
      </c>
      <c r="HT283" s="62">
        <f>$HT282+$HR283</f>
        <v/>
      </c>
      <c r="HU283" s="62">
        <f>SUMIFS(tblSafety[Hazard_Reports],tblSafety[Date],$A283)</f>
        <v/>
      </c>
      <c r="HV283" s="62">
        <f>IF($B283=$B282,$HV282,0)+$HU283</f>
        <v/>
      </c>
      <c r="HW283" s="62">
        <f>$HW282+$HU283</f>
        <v/>
      </c>
      <c r="HX283" s="62">
        <f>SUMIFS(tblSafety[HPI],tblSafety[Date],$A283)</f>
        <v/>
      </c>
      <c r="HY283" s="62">
        <f>IF($B283=$B282,$HY282,0)+$HX283</f>
        <v/>
      </c>
      <c r="HZ283" s="62">
        <f>$HZ282+$HX283</f>
        <v/>
      </c>
      <c r="IA283" s="62">
        <f>SUMIFS(tblSafety[Env_Incidents],tblSafety[Date],$A283)</f>
        <v/>
      </c>
      <c r="IB283" s="62">
        <f>IF($B283=$B282,$IB282,0)+$IA283</f>
        <v/>
      </c>
      <c r="IC283" s="62">
        <f>$IC282+$IA283</f>
        <v/>
      </c>
      <c r="ID283" s="62">
        <f>SUMIFS(tblSafety[Community_Incidents],tblSafety[Date],$A283)</f>
        <v/>
      </c>
      <c r="IE283" s="62">
        <f>IF($B283=$B282,$IE282,0)+$ID283</f>
        <v/>
      </c>
      <c r="IF283" s="62">
        <f>$IF282+$ID283</f>
        <v/>
      </c>
      <c r="IG283" s="62">
        <f>SUMIFS(tblSafety[Vehicle_Incidents],tblSafety[Date],$A283)</f>
        <v/>
      </c>
      <c r="IH283" s="62">
        <f>IF($B283=$B282,$IH282,0)+$IG283</f>
        <v/>
      </c>
      <c r="II283" s="62">
        <f>$II282+$IG283</f>
        <v/>
      </c>
      <c r="IJ283" s="62">
        <f>SUMIFS(tblSafety[Toolbox_Talks],tblSafety[Date],$A283)</f>
        <v/>
      </c>
      <c r="IK283" s="62">
        <f>IF($B283=$B282,$IK282,0)+$IJ283</f>
        <v/>
      </c>
      <c r="IL283" s="62">
        <f>$IL282+$IJ283</f>
        <v/>
      </c>
      <c r="IM283" s="62">
        <f>SUMIFS(tblSafety[Inspections],tblSafety[Date],$A283)</f>
        <v/>
      </c>
      <c r="IN283" s="62">
        <f>IF($B283=$B282,$IN282,0)+$IM283</f>
        <v/>
      </c>
      <c r="IO283" s="62">
        <f>$IO282+$IM283</f>
        <v/>
      </c>
      <c r="IP283" s="56">
        <f>IFERROR((SUMIFS(tblSafety[Recordables],tblSafety[Date],"&gt;="&amp;EDATE($E283,-12),tblSafety[Date],"&lt;="&amp;$A283)+SUMIFS(tblSafetyHistory[Recordables],tblSafetyHistory[Month],"&gt;="&amp;EDATE($E283,-12),tblSafetyHistory[Month],"&lt;"&amp;$E283,tblSafetyHistory[Use],1))/(SUMIFS(tblSafety[Hours_Total],tblSafety[Date],"&gt;="&amp;EDATE($E283,-12),tblSafety[Date],"&lt;="&amp;$A283)+SUMIFS(tblSafetyHistory[Hours_Total],tblSafetyHistory[Month],"&gt;="&amp;EDATE($E283,-12),tblSafetyHistory[Month],"&lt;"&amp;$E283,tblSafetyHistory[Use],1))*cfg_RateBasisHours,"")</f>
        <v/>
      </c>
      <c r="IQ283" s="56">
        <f>IFERROR((SUMIFS(tblSafety[LTI],tblSafety[Date],"&gt;="&amp;EDATE($E283,-12),tblSafety[Date],"&lt;="&amp;$A283)+SUMIFS(tblSafetyHistory[LTI],tblSafetyHistory[Month],"&gt;="&amp;EDATE($E283,-12),tblSafetyHistory[Month],"&lt;"&amp;$E283,tblSafetyHistory[Use],1))/(SUMIFS(tblSafety[Hours_Total],tblSafety[Date],"&gt;="&amp;EDATE($E283,-12),tblSafety[Date],"&lt;="&amp;$A283)+SUMIFS(tblSafetyHistory[Hours_Total],tblSafetyHistory[Month],"&gt;="&amp;EDATE($E283,-12),tblSafetyHistory[Month],"&lt;"&amp;$E283,tblSafetyHistory[Use],1))*cfg_RateBasisHours,"")</f>
        <v/>
      </c>
      <c r="IR283" s="62">
        <f>IF(MAX(N(cfg_PriorLTIDate),_xlfn.MAXIFS(tblSafety[Date],tblSafety[LTI],"&gt;0",tblSafety[Date],"&lt;="&amp;$A283))=0,"",$A283-MAX(N(cfg_PriorLTIDate),_xlfn.MAXIFS(tblSafety[Date],tblSafety[LTI],"&gt;0",tblSafety[Date],"&lt;="&amp;$A283)))</f>
        <v/>
      </c>
      <c r="IS283" s="55">
        <f>SUMIFS(tblBudget[Ore_Mined_t],tblBudget[Month],$E283)</f>
        <v/>
      </c>
      <c r="IT283" s="55">
        <f>$IS283*$C283/$D283</f>
        <v/>
      </c>
      <c r="IU283" s="55">
        <f>SUMIFS(tblBudget[Ore_Mined_t],tblBudget[Month],"&lt;"&amp;$E283)+$IT283</f>
        <v/>
      </c>
      <c r="IV283" s="55">
        <f>SUMIFS(tblBudget[Ore_oz],tblBudget[Month],$E283)</f>
        <v/>
      </c>
      <c r="IW283" s="55">
        <f>$IV283*$C283/$D283</f>
        <v/>
      </c>
      <c r="IX283" s="55">
        <f>SUMIFS(tblBudget[Ore_oz],tblBudget[Month],"&lt;"&amp;$E283)+$IW283</f>
        <v/>
      </c>
      <c r="IY283" s="55">
        <f>SUMIFS(tblBudget[Ore_Mined_t],tblBudget[Month],$E283)</f>
        <v/>
      </c>
      <c r="IZ283" s="55">
        <f>$IY283*$C283/$D283</f>
        <v/>
      </c>
      <c r="JA283" s="55">
        <f>SUMIFS(tblBudget[Ore_Mined_t],tblBudget[Month],"&lt;"&amp;$E283)+$IZ283</f>
        <v/>
      </c>
      <c r="JB283" s="56">
        <f>IFERROR(IF(($IY283)&gt;0,($IV283*cfg_TroyOz)/($IY283),""),"")</f>
        <v/>
      </c>
      <c r="JC283" s="56">
        <f>IFERROR(IF(($IZ283)&gt;0,($IW283*cfg_TroyOz)/($IZ283),""),"")</f>
        <v/>
      </c>
      <c r="JD283" s="56">
        <f>IFERROR(IF(($JA283)&gt;0,($IX283*cfg_TroyOz)/($JA283),""),"")</f>
        <v/>
      </c>
      <c r="JE283" s="55">
        <f>SUMIFS(tblBudget[Waste_t],tblBudget[Month],$E283)</f>
        <v/>
      </c>
      <c r="JF283" s="55">
        <f>$JE283*$C283/$D283</f>
        <v/>
      </c>
      <c r="JG283" s="55">
        <f>SUMIFS(tblBudget[Waste_t],tblBudget[Month],"&lt;"&amp;$E283)+$JF283</f>
        <v/>
      </c>
      <c r="JH283" s="55">
        <f>SUMIFS(tblBudget[TMM_t],tblBudget[Month],$E283)</f>
        <v/>
      </c>
      <c r="JI283" s="55">
        <f>$JH283*$C283/$D283</f>
        <v/>
      </c>
      <c r="JJ283" s="55">
        <f>SUMIFS(tblBudget[TMM_t],tblBudget[Month],"&lt;"&amp;$E283)+$JI283</f>
        <v/>
      </c>
      <c r="JK283" s="56">
        <f>IFERROR(IF(($IS283)&gt;0,($JE283)/($IS283),""),"")</f>
        <v/>
      </c>
      <c r="JL283" s="56">
        <f>IFERROR(IF(($IT283)&gt;0,($JF283)/($IT283),""),"")</f>
        <v/>
      </c>
      <c r="JM283" s="56">
        <f>IFERROR(IF(($IU283)&gt;0,($JG283)/($IU283),""),"")</f>
        <v/>
      </c>
      <c r="JN283" s="55">
        <f>SUMIFS(tblBudget[Drill_m],tblBudget[Month],$E283)</f>
        <v/>
      </c>
      <c r="JO283" s="55">
        <f>$JN283*$C283/$D283</f>
        <v/>
      </c>
      <c r="JP283" s="55">
        <f>SUMIFS(tblBudget[Drill_m],tblBudget[Month],"&lt;"&amp;$E283)+$JO283</f>
        <v/>
      </c>
      <c r="JQ283" s="55">
        <f>SUMIFS(tblBudget[Diesel_L],tblBudget[Month],$E283)</f>
        <v/>
      </c>
      <c r="JR283" s="55">
        <f>$JQ283*$C283/$D283</f>
        <v/>
      </c>
      <c r="JS283" s="55">
        <f>SUMIFS(tblBudget[Diesel_L],tblBudget[Month],"&lt;"&amp;$E283)+$JR283</f>
        <v/>
      </c>
      <c r="JT283" s="55">
        <f>SUMIFS(tblBudget[Milled_t],tblBudget[Month],$E283)</f>
        <v/>
      </c>
      <c r="JU283" s="55">
        <f>$JT283*$C283/$D283</f>
        <v/>
      </c>
      <c r="JV283" s="55">
        <f>SUMIFS(tblBudget[Milled_t],tblBudget[Month],"&lt;"&amp;$E283)+$JU283</f>
        <v/>
      </c>
      <c r="JW283" s="55">
        <f>SUMIFS(tblBudget[Feed_oz],tblBudget[Month],$E283)</f>
        <v/>
      </c>
      <c r="JX283" s="55">
        <f>$JW283*$C283/$D283</f>
        <v/>
      </c>
      <c r="JY283" s="55">
        <f>SUMIFS(tblBudget[Feed_oz],tblBudget[Month],"&lt;"&amp;$E283)+$JX283</f>
        <v/>
      </c>
      <c r="JZ283" s="55">
        <f>SUMIFS(tblBudget[Recovered_oz],tblBudget[Month],$E283)</f>
        <v/>
      </c>
      <c r="KA283" s="55">
        <f>$JZ283*$C283/$D283</f>
        <v/>
      </c>
      <c r="KB283" s="55">
        <f>SUMIFS(tblBudget[Recovered_oz],tblBudget[Month],"&lt;"&amp;$E283)+$KA283</f>
        <v/>
      </c>
      <c r="KC283" s="55">
        <f>SUMIFS(tblBudget[Milled_t],tblBudget[Month],$E283)</f>
        <v/>
      </c>
      <c r="KD283" s="55">
        <f>$KC283*$C283/$D283</f>
        <v/>
      </c>
      <c r="KE283" s="55">
        <f>SUMIFS(tblBudget[Milled_t],tblBudget[Month],"&lt;"&amp;$E283)+$KD283</f>
        <v/>
      </c>
      <c r="KF283" s="55">
        <f>SUMIFS(tblBudget[Feed_oz],tblBudget[Month],$E283)</f>
        <v/>
      </c>
      <c r="KG283" s="55">
        <f>$KF283*$C283/$D283</f>
        <v/>
      </c>
      <c r="KH283" s="55">
        <f>SUMIFS(tblBudget[Feed_oz],tblBudget[Month],"&lt;"&amp;$E283)+$KG283</f>
        <v/>
      </c>
      <c r="KI283" s="56">
        <f>IFERROR(IF(($KC283)&gt;0,($JW283*cfg_TroyOz)/($KC283),""),"")</f>
        <v/>
      </c>
      <c r="KJ283" s="56">
        <f>IFERROR(IF(($KD283)&gt;0,($JX283*cfg_TroyOz)/($KD283),""),"")</f>
        <v/>
      </c>
      <c r="KK283" s="56">
        <f>IFERROR(IF(($KE283)&gt;0,($JY283*cfg_TroyOz)/($KE283),""),"")</f>
        <v/>
      </c>
      <c r="KL283" s="67">
        <f>IFERROR(IF(($KF283)&gt;0,($JZ283)/($KF283),""),"")</f>
        <v/>
      </c>
      <c r="KM283" s="67">
        <f>IFERROR(IF(($KG283)&gt;0,($KA283)/($KG283),""),"")</f>
        <v/>
      </c>
      <c r="KN283" s="67">
        <f>IFERROR(IF(($KH283)&gt;0,($KB283)/($KH283),""),"")</f>
        <v/>
      </c>
      <c r="KO283" s="55">
        <f>SUMIFS(tblBudget[Gold_Poured_oz],tblBudget[Month],$E283)</f>
        <v/>
      </c>
      <c r="KP283" s="55">
        <f>$KO283*$C283/$D283</f>
        <v/>
      </c>
      <c r="KQ283" s="55">
        <f>SUMIFS(tblBudget[Gold_Poured_oz],tblBudget[Month],"&lt;"&amp;$E283)+$KP283</f>
        <v/>
      </c>
      <c r="KR283" s="57">
        <f>SUMIFS(tblBudget[Hours_Worked],tblBudget[Month],$E283)</f>
        <v/>
      </c>
      <c r="KS283" s="57">
        <f>$KR283*$C283/$D283</f>
        <v/>
      </c>
      <c r="KT283" s="57">
        <f>SUMIFS(tblBudget[Hours_Worked],tblBudget[Month],"&lt;"&amp;$E283)+$KS283</f>
        <v/>
      </c>
    </row>
    <row r="284">
      <c r="A284" s="54" t="n">
        <v>46305</v>
      </c>
      <c r="B284">
        <f>MONTH($A284)</f>
        <v/>
      </c>
      <c r="C284">
        <f>DAY($A284)</f>
        <v/>
      </c>
      <c r="D284">
        <f>DAY(EOMONTH($A284,0))</f>
        <v/>
      </c>
      <c r="E284" s="54">
        <f>DATE(YEAR($A284),MONTH($A284),1)</f>
        <v/>
      </c>
      <c r="F284" s="55">
        <f>SUMIFS(tblMovement[Tonnes_t],tblMovement[Date],$A284,tblMovement[Is_Ore],1,tblMovement[Source_Type],"Pit")</f>
        <v/>
      </c>
      <c r="G284" s="55">
        <f>IF($B284=$B283,$G283,0)+$F284</f>
        <v/>
      </c>
      <c r="H284" s="55">
        <f>$H283+$F284</f>
        <v/>
      </c>
      <c r="I284" s="55">
        <f>SUMIFS(tblMovement[Ore_oz],tblMovement[Date],$A284,tblMovement[Source_Type],"Pit")</f>
        <v/>
      </c>
      <c r="J284" s="55">
        <f>IF($B284=$B283,$J283,0)+$I284</f>
        <v/>
      </c>
      <c r="K284" s="55">
        <f>$K283+$I284</f>
        <v/>
      </c>
      <c r="L284" s="55">
        <f>SUMIFS(tblMovement[Tonnes_t],tblMovement[Date],$A284,tblMovement[Is_Ore],1,tblMovement[Source_Type],"Pit",tblMovement[Grade_gpt],"&lt;&gt;")</f>
        <v/>
      </c>
      <c r="M284" s="55">
        <f>IF($B284=$B283,$M283,0)+$L284</f>
        <v/>
      </c>
      <c r="N284" s="55">
        <f>$N283+$L284</f>
        <v/>
      </c>
      <c r="O284" s="56">
        <f>IFERROR(IF(($L284)&gt;0,($I284*cfg_TroyOz)/($L284),""),"")</f>
        <v/>
      </c>
      <c r="P284" s="56">
        <f>IFERROR(IF(($M284)&gt;0,($J284*cfg_TroyOz)/($M284),""),"")</f>
        <v/>
      </c>
      <c r="Q284" s="56">
        <f>IFERROR(IF(($N284)&gt;0,($K284*cfg_TroyOz)/($N284),""),"")</f>
        <v/>
      </c>
      <c r="R284" s="55">
        <f>$F284-$L284</f>
        <v/>
      </c>
      <c r="S284" s="55">
        <f>IF($B284=$B283,$S283,0)+$R284</f>
        <v/>
      </c>
      <c r="T284" s="55">
        <f>$T283+$R284</f>
        <v/>
      </c>
      <c r="U284" s="55">
        <f>SUMIFS(tblMovement[Tonnes_t],tblMovement[Date],$A284,tblMovement[Is_Ore],0,tblMovement[Source_Type],"Pit")</f>
        <v/>
      </c>
      <c r="V284" s="55">
        <f>IF($B284=$B283,$V283,0)+$U284</f>
        <v/>
      </c>
      <c r="W284" s="55">
        <f>$W283+$U284</f>
        <v/>
      </c>
      <c r="X284" s="55">
        <f>$F284+$U284</f>
        <v/>
      </c>
      <c r="Y284" s="55">
        <f>IF($B284=$B283,$Y283,0)+$X284</f>
        <v/>
      </c>
      <c r="Z284" s="55">
        <f>$Z283+$X284</f>
        <v/>
      </c>
      <c r="AA284" s="56">
        <f>IFERROR(IF(($F284)&gt;0,($U284)/($F284),""),"")</f>
        <v/>
      </c>
      <c r="AB284" s="56">
        <f>IFERROR(IF(($G284)&gt;0,($V284)/($G284),""),"")</f>
        <v/>
      </c>
      <c r="AC284" s="56">
        <f>IFERROR(IF(($H284)&gt;0,($W284)/($H284),""),"")</f>
        <v/>
      </c>
      <c r="AD284" s="55">
        <f>SUMIFS(tblMovement[Tonnes_t],tblMovement[Date],$A284,tblMovement[Source_Type],"Stockpile")</f>
        <v/>
      </c>
      <c r="AE284" s="55">
        <f>IF($B284=$B283,$AE283,0)+$AD284</f>
        <v/>
      </c>
      <c r="AF284" s="55">
        <f>$AF283+$AD284</f>
        <v/>
      </c>
      <c r="AG284" s="55">
        <f>SUMIFS(tblMovement[Tonnes_t],tblMovement[Date],$A284)</f>
        <v/>
      </c>
      <c r="AH284" s="55">
        <f>IF($B284=$B283,$AH283,0)+$AG284</f>
        <v/>
      </c>
      <c r="AI284" s="55">
        <f>$AI283+$AG284</f>
        <v/>
      </c>
      <c r="AJ284" s="55">
        <f>$AG284-$X284-$AD284</f>
        <v/>
      </c>
      <c r="AK284" s="55">
        <f>IF($B284=$B283,$AK283,0)+$AJ284</f>
        <v/>
      </c>
      <c r="AL284" s="55">
        <f>$AL283+$AJ284</f>
        <v/>
      </c>
      <c r="AM284" s="55">
        <f>SUMIFS(tblMiningDaily[Drill_m],tblMiningDaily[Date],$A284)</f>
        <v/>
      </c>
      <c r="AN284" s="55">
        <f>IF($B284=$B283,$AN283,0)+$AM284</f>
        <v/>
      </c>
      <c r="AO284" s="55">
        <f>$AO283+$AM284</f>
        <v/>
      </c>
      <c r="AP284" s="55">
        <f>SUMIFS(tblMiningDaily[GC_Drill_m],tblMiningDaily[Date],$A284)</f>
        <v/>
      </c>
      <c r="AQ284" s="55">
        <f>IF($B284=$B283,$AQ283,0)+$AP284</f>
        <v/>
      </c>
      <c r="AR284" s="55">
        <f>$AR283+$AP284</f>
        <v/>
      </c>
      <c r="AS284" s="55">
        <f>SUMIFS(tblMiningDaily[Blast_t],tblMiningDaily[Date],$A284)</f>
        <v/>
      </c>
      <c r="AT284" s="55">
        <f>IF($B284=$B283,$AT283,0)+$AS284</f>
        <v/>
      </c>
      <c r="AU284" s="55">
        <f>$AU283+$AS284</f>
        <v/>
      </c>
      <c r="AV284" s="55">
        <f>SUMIFS(tblMiningDaily[Explosives_kg],tblMiningDaily[Date],$A284)</f>
        <v/>
      </c>
      <c r="AW284" s="55">
        <f>IF($B284=$B283,$AW283,0)+$AV284</f>
        <v/>
      </c>
      <c r="AX284" s="55">
        <f>$AX283+$AV284</f>
        <v/>
      </c>
      <c r="AY284" s="56">
        <f>IFERROR(IF(($AS284)&gt;0,($AV284)/($AS284),""),"")</f>
        <v/>
      </c>
      <c r="AZ284" s="56">
        <f>IFERROR(IF(($AT284)&gt;0,($AW284)/($AT284),""),"")</f>
        <v/>
      </c>
      <c r="BA284" s="56">
        <f>IFERROR(IF(($AU284)&gt;0,($AX284)/($AU284),""),"")</f>
        <v/>
      </c>
      <c r="BB284" s="55">
        <f>SUMIFS(tblMiningDaily[Diesel_L],tblMiningDaily[Date],$A284)</f>
        <v/>
      </c>
      <c r="BC284" s="55">
        <f>IF($B284=$B283,$BC283,0)+$BB284</f>
        <v/>
      </c>
      <c r="BD284" s="55">
        <f>$BD283+$BB284</f>
        <v/>
      </c>
      <c r="BE284" s="55">
        <f>SUMIFS(tblMiningDaily[Dewatering_m3],tblMiningDaily[Date],$A284)</f>
        <v/>
      </c>
      <c r="BF284" s="55">
        <f>IF($B284=$B283,$BF283,0)+$BE284</f>
        <v/>
      </c>
      <c r="BG284" s="55">
        <f>$BG283+$BE284</f>
        <v/>
      </c>
      <c r="BH284" s="57">
        <f>SUMIFS(tblFleet[Calendar_h],tblFleet[Date],$A284,tblFleet[Equipment_Class],"Excavator")</f>
        <v/>
      </c>
      <c r="BI284" s="57">
        <f>IF($B284=$B283,$BI283,0)+$BH284</f>
        <v/>
      </c>
      <c r="BJ284" s="57">
        <f>$BJ283+$BH284</f>
        <v/>
      </c>
      <c r="BK284" s="57">
        <f>SUMIFS(tblFleet[Available_h],tblFleet[Date],$A284,tblFleet[Equipment_Class],"Excavator")</f>
        <v/>
      </c>
      <c r="BL284" s="57">
        <f>IF($B284=$B283,$BL283,0)+$BK284</f>
        <v/>
      </c>
      <c r="BM284" s="57">
        <f>$BM283+$BK284</f>
        <v/>
      </c>
      <c r="BN284" s="57">
        <f>SUMIFS(tblFleet[Operating_h],tblFleet[Date],$A284,tblFleet[Equipment_Class],"Excavator")</f>
        <v/>
      </c>
      <c r="BO284" s="57">
        <f>IF($B284=$B283,$BO283,0)+$BN284</f>
        <v/>
      </c>
      <c r="BP284" s="57">
        <f>$BP283+$BN284</f>
        <v/>
      </c>
      <c r="BQ284" s="67">
        <f>IFERROR(IF(($BH284)&gt;0,($BK284)/($BH284),""),"")</f>
        <v/>
      </c>
      <c r="BR284" s="67">
        <f>IFERROR(IF(($BI284)&gt;0,($BL284)/($BI284),""),"")</f>
        <v/>
      </c>
      <c r="BS284" s="67">
        <f>IFERROR(IF(($BJ284)&gt;0,($BM284)/($BJ284),""),"")</f>
        <v/>
      </c>
      <c r="BT284" s="67">
        <f>IFERROR(IF(($BK284)&gt;0,($BN284)/($BK284),""),"")</f>
        <v/>
      </c>
      <c r="BU284" s="67">
        <f>IFERROR(IF(($BL284)&gt;0,($BO284)/($BL284),""),"")</f>
        <v/>
      </c>
      <c r="BV284" s="67">
        <f>IFERROR(IF(($BM284)&gt;0,($BP284)/($BM284),""),"")</f>
        <v/>
      </c>
      <c r="BW284" s="57">
        <f>SUMIFS(tblFleet[Calendar_h],tblFleet[Date],$A284,tblFleet[Equipment_Class],"Haul Truck")</f>
        <v/>
      </c>
      <c r="BX284" s="57">
        <f>IF($B284=$B283,$BX283,0)+$BW284</f>
        <v/>
      </c>
      <c r="BY284" s="57">
        <f>$BY283+$BW284</f>
        <v/>
      </c>
      <c r="BZ284" s="57">
        <f>SUMIFS(tblFleet[Available_h],tblFleet[Date],$A284,tblFleet[Equipment_Class],"Haul Truck")</f>
        <v/>
      </c>
      <c r="CA284" s="57">
        <f>IF($B284=$B283,$CA283,0)+$BZ284</f>
        <v/>
      </c>
      <c r="CB284" s="57">
        <f>$CB283+$BZ284</f>
        <v/>
      </c>
      <c r="CC284" s="57">
        <f>SUMIFS(tblFleet[Operating_h],tblFleet[Date],$A284,tblFleet[Equipment_Class],"Haul Truck")</f>
        <v/>
      </c>
      <c r="CD284" s="57">
        <f>IF($B284=$B283,$CD283,0)+$CC284</f>
        <v/>
      </c>
      <c r="CE284" s="57">
        <f>$CE283+$CC284</f>
        <v/>
      </c>
      <c r="CF284" s="67">
        <f>IFERROR(IF(($BW284)&gt;0,($BZ284)/($BW284),""),"")</f>
        <v/>
      </c>
      <c r="CG284" s="67">
        <f>IFERROR(IF(($BX284)&gt;0,($CA284)/($BX284),""),"")</f>
        <v/>
      </c>
      <c r="CH284" s="67">
        <f>IFERROR(IF(($BY284)&gt;0,($CB284)/($BY284),""),"")</f>
        <v/>
      </c>
      <c r="CI284" s="67">
        <f>IFERROR(IF(($BZ284)&gt;0,($CC284)/($BZ284),""),"")</f>
        <v/>
      </c>
      <c r="CJ284" s="67">
        <f>IFERROR(IF(($CA284)&gt;0,($CD284)/($CA284),""),"")</f>
        <v/>
      </c>
      <c r="CK284" s="67">
        <f>IFERROR(IF(($CB284)&gt;0,($CE284)/($CB284),""),"")</f>
        <v/>
      </c>
      <c r="CL284" s="55">
        <f>IFERROR(IF(($BN284)&gt;0,($X284+$AD284)/($BN284),""),"")</f>
        <v/>
      </c>
      <c r="CM284" s="55">
        <f>IFERROR(IF(($BO284)&gt;0,($Y284+$AE284)/($BO284),""),"")</f>
        <v/>
      </c>
      <c r="CN284" s="55">
        <f>IFERROR(IF(($BP284)&gt;0,($Z284+$AF284)/($BP284),""),"")</f>
        <v/>
      </c>
      <c r="CO284" s="55">
        <f>IFERROR(IF(($CC284)&gt;0,($X284+$AD284)/($CC284),""),"")</f>
        <v/>
      </c>
      <c r="CP284" s="55">
        <f>IFERROR(IF(($CD284)&gt;0,($Y284+$AE284)/($CD284),""),"")</f>
        <v/>
      </c>
      <c r="CQ284" s="55">
        <f>IFERROR(IF(($CE284)&gt;0,($Z284+$AF284)/($CE284),""),"")</f>
        <v/>
      </c>
      <c r="CR284" s="55">
        <f>SUMIFS(tblPlant[Crushed_t],tblPlant[Date],$A284)</f>
        <v/>
      </c>
      <c r="CS284" s="55">
        <f>IF($B284=$B283,$CS283,0)+$CR284</f>
        <v/>
      </c>
      <c r="CT284" s="55">
        <f>$CT283+$CR284</f>
        <v/>
      </c>
      <c r="CU284" s="55">
        <f>SUMIFS(tblPlant[Milled_t],tblPlant[Date],$A284)</f>
        <v/>
      </c>
      <c r="CV284" s="55">
        <f>IF($B284=$B283,$CV283,0)+$CU284</f>
        <v/>
      </c>
      <c r="CW284" s="55">
        <f>$CW283+$CU284</f>
        <v/>
      </c>
      <c r="CX284" s="55">
        <f>SUMIFS(tblPlant[Feed_oz],tblPlant[Date],$A284)</f>
        <v/>
      </c>
      <c r="CY284" s="55">
        <f>IF($B284=$B283,$CY283,0)+$CX284</f>
        <v/>
      </c>
      <c r="CZ284" s="55">
        <f>$CZ283+$CX284</f>
        <v/>
      </c>
      <c r="DA284" s="55">
        <f>SUMIFS(tblPlant[Tails_oz],tblPlant[Date],$A284)</f>
        <v/>
      </c>
      <c r="DB284" s="55">
        <f>IF($B284=$B283,$DB283,0)+$DA284</f>
        <v/>
      </c>
      <c r="DC284" s="55">
        <f>$DC283+$DA284</f>
        <v/>
      </c>
      <c r="DD284" s="55">
        <f>SUMIFS(tblPlant[Recovered_oz],tblPlant[Date],$A284)</f>
        <v/>
      </c>
      <c r="DE284" s="55">
        <f>IF($B284=$B283,$DE283,0)+$DD284</f>
        <v/>
      </c>
      <c r="DF284" s="55">
        <f>$DF283+$DD284</f>
        <v/>
      </c>
      <c r="DG284" s="55">
        <f>SUMIFS(tblPlant[Milled_t],tblPlant[Date],$A284,tblPlant[Head_Grade_gpt],"&lt;&gt;")</f>
        <v/>
      </c>
      <c r="DH284" s="55">
        <f>IF($B284=$B283,$DH283,0)+$DG284</f>
        <v/>
      </c>
      <c r="DI284" s="55">
        <f>$DI283+$DG284</f>
        <v/>
      </c>
      <c r="DJ284" s="55">
        <f>SUMIFS(tblPlant[Milled_t],tblPlant[Date],$A284,tblPlant[Tails_Grade_gpt],"&lt;&gt;")</f>
        <v/>
      </c>
      <c r="DK284" s="55">
        <f>IF($B284=$B283,$DK283,0)+$DJ284</f>
        <v/>
      </c>
      <c r="DL284" s="55">
        <f>$DL283+$DJ284</f>
        <v/>
      </c>
      <c r="DM284" s="55">
        <f>SUMIFS(tblPlant[Feed_oz],tblPlant[Date],$A284,tblPlant[Tails_Grade_gpt],"&lt;&gt;")</f>
        <v/>
      </c>
      <c r="DN284" s="55">
        <f>IF($B284=$B283,$DN283,0)+$DM284</f>
        <v/>
      </c>
      <c r="DO284" s="55">
        <f>$DO283+$DM284</f>
        <v/>
      </c>
      <c r="DP284" s="55">
        <f>SUMIFS(tblPlant[Milled_t],tblPlant[Date],$A284,tblPlant[Mill_Run_h],"&lt;&gt;")</f>
        <v/>
      </c>
      <c r="DQ284" s="55">
        <f>IF($B284=$B283,$DQ283,0)+$DP284</f>
        <v/>
      </c>
      <c r="DR284" s="55">
        <f>$DR283+$DP284</f>
        <v/>
      </c>
      <c r="DS284" s="56">
        <f>IFERROR(IF(($DG284)&gt;0,($CX284*cfg_TroyOz)/($DG284),""),"")</f>
        <v/>
      </c>
      <c r="DT284" s="56">
        <f>IFERROR(IF(($DH284)&gt;0,($CY284*cfg_TroyOz)/($DH284),""),"")</f>
        <v/>
      </c>
      <c r="DU284" s="56">
        <f>IFERROR(IF(($DI284)&gt;0,($CZ284*cfg_TroyOz)/($DI284),""),"")</f>
        <v/>
      </c>
      <c r="DV284" s="56">
        <f>IFERROR(IF(($DJ284)&gt;0,($DA284*cfg_TroyOz)/($DJ284),""),"")</f>
        <v/>
      </c>
      <c r="DW284" s="56">
        <f>IFERROR(IF(($DK284)&gt;0,($DB284*cfg_TroyOz)/($DK284),""),"")</f>
        <v/>
      </c>
      <c r="DX284" s="56">
        <f>IFERROR(IF(($DL284)&gt;0,($DC284*cfg_TroyOz)/($DL284),""),"")</f>
        <v/>
      </c>
      <c r="DY284" s="67">
        <f>IFERROR(IF(($DM284)&gt;0,($DD284)/($DM284),""),"")</f>
        <v/>
      </c>
      <c r="DZ284" s="67">
        <f>IFERROR(IF(($DN284)&gt;0,($DE284)/($DN284),""),"")</f>
        <v/>
      </c>
      <c r="EA284" s="67">
        <f>IFERROR(IF(($DO284)&gt;0,($DF284)/($DO284),""),"")</f>
        <v/>
      </c>
      <c r="EB284" s="55">
        <f>SUMIFS(tblPlant[Gravity_Gold_oz],tblPlant[Date],$A284)</f>
        <v/>
      </c>
      <c r="EC284" s="55">
        <f>IF($B284=$B283,$EC283,0)+$EB284</f>
        <v/>
      </c>
      <c r="ED284" s="55">
        <f>$ED283+$EB284</f>
        <v/>
      </c>
      <c r="EE284" s="67">
        <f>IFERROR(IF(($DD284)&gt;0,($EB284)/($DD284),""),"")</f>
        <v/>
      </c>
      <c r="EF284" s="67">
        <f>IFERROR(IF(($DE284)&gt;0,($EC284)/($DE284),""),"")</f>
        <v/>
      </c>
      <c r="EG284" s="67">
        <f>IFERROR(IF(($DF284)&gt;0,($ED284)/($DF284),""),"")</f>
        <v/>
      </c>
      <c r="EH284" s="55">
        <f>SUMIFS(tblPlant[Gold_Poured_oz],tblPlant[Date],$A284)</f>
        <v/>
      </c>
      <c r="EI284" s="55">
        <f>IF($B284=$B283,$EI283,0)+$EH284</f>
        <v/>
      </c>
      <c r="EJ284" s="55">
        <f>$EJ283+$EH284</f>
        <v/>
      </c>
      <c r="EK284" s="57">
        <f>SUMIFS(tblPlant[Mill_Run_h],tblPlant[Date],$A284)</f>
        <v/>
      </c>
      <c r="EL284" s="57">
        <f>IF($B284=$B283,$EL283,0)+$EK284</f>
        <v/>
      </c>
      <c r="EM284" s="57">
        <f>$EM283+$EK284</f>
        <v/>
      </c>
      <c r="EN284" s="57">
        <f>SUMIFS(tblPlant[Mill_Planned_Maint_h],tblPlant[Date],$A284)</f>
        <v/>
      </c>
      <c r="EO284" s="57">
        <f>IF($B284=$B283,$EO283,0)+$EN284</f>
        <v/>
      </c>
      <c r="EP284" s="57">
        <f>$EP283+$EN284</f>
        <v/>
      </c>
      <c r="EQ284" s="57">
        <f>SUMIFS(tblPlant[Mill_Unplanned_Down_h],tblPlant[Date],$A284)</f>
        <v/>
      </c>
      <c r="ER284" s="57">
        <f>IF($B284=$B283,$ER283,0)+$EQ284</f>
        <v/>
      </c>
      <c r="ES284" s="57">
        <f>$ES283+$EQ284</f>
        <v/>
      </c>
      <c r="ET284" s="57">
        <f>IF(COUNTIFS(tblPlant[Date],$A284,tblPlant[Mill_Run_h],"&lt;&gt;")+COUNTIFS(tblPlant[Date],$A284,tblPlant[Mill_Planned_Maint_h],"&lt;&gt;")+COUNTIFS(tblPlant[Date],$A284,tblPlant[Mill_Unplanned_Down_h],"&lt;&gt;")&gt;0,cfg_HoursPerDay,0)</f>
        <v/>
      </c>
      <c r="EU284" s="57">
        <f>IF($B284=$B283,$EU283,0)+$ET284</f>
        <v/>
      </c>
      <c r="EV284" s="57">
        <f>$EV283+$ET284</f>
        <v/>
      </c>
      <c r="EW284" s="57">
        <f>SUMIFS(tblPlant[Crusher_Run_h],tblPlant[Date],$A284)</f>
        <v/>
      </c>
      <c r="EX284" s="57">
        <f>IF($B284=$B283,$EX283,0)+$EW284</f>
        <v/>
      </c>
      <c r="EY284" s="57">
        <f>$EY283+$EW284</f>
        <v/>
      </c>
      <c r="EZ284" s="55">
        <f>IFERROR(IF(($EK284)&gt;0,($DP284)/($EK284),""),"")</f>
        <v/>
      </c>
      <c r="FA284" s="55">
        <f>IFERROR(IF(($EL284)&gt;0,($DQ284)/($EL284),""),"")</f>
        <v/>
      </c>
      <c r="FB284" s="55">
        <f>IFERROR(IF(($EM284)&gt;0,($DR284)/($EM284),""),"")</f>
        <v/>
      </c>
      <c r="FC284" s="67">
        <f>IFERROR(IF(($ET284)&gt;0,($ET284-$EN284-$EQ284)/($ET284),""),"")</f>
        <v/>
      </c>
      <c r="FD284" s="67">
        <f>IFERROR(IF(($EU284)&gt;0,($EU284-$EO284-$ER284)/($EU284),""),"")</f>
        <v/>
      </c>
      <c r="FE284" s="67">
        <f>IFERROR(IF(($EV284)&gt;0,($EV284-$EP284-$ES284)/($EV284),""),"")</f>
        <v/>
      </c>
      <c r="FF284" s="67">
        <f>IFERROR(IF(($ET284-$EN284-$EQ284)&gt;0,($EK284)/($ET284-$EN284-$EQ284),""),"")</f>
        <v/>
      </c>
      <c r="FG284" s="67">
        <f>IFERROR(IF(($EU284-$EO284-$ER284)&gt;0,($EL284)/($EU284-$EO284-$ER284),""),"")</f>
        <v/>
      </c>
      <c r="FH284" s="67">
        <f>IFERROR(IF(($EV284-$EP284-$ES284)&gt;0,($EM284)/($EV284-$EP284-$ES284),""),"")</f>
        <v/>
      </c>
      <c r="FI284" s="55">
        <f>SUMIFS(tblPlant[Cyanide_kg],tblPlant[Date],$A284)</f>
        <v/>
      </c>
      <c r="FJ284" s="55">
        <f>IF($B284=$B283,$FJ283,0)+$FI284</f>
        <v/>
      </c>
      <c r="FK284" s="55">
        <f>$FK283+$FI284</f>
        <v/>
      </c>
      <c r="FL284" s="55">
        <f>SUMIFS(tblPlant[Lime_kg],tblPlant[Date],$A284)</f>
        <v/>
      </c>
      <c r="FM284" s="55">
        <f>IF($B284=$B283,$FM283,0)+$FL284</f>
        <v/>
      </c>
      <c r="FN284" s="55">
        <f>$FN283+$FL284</f>
        <v/>
      </c>
      <c r="FO284" s="55">
        <f>SUMIFS(tblPlant[Grinding_Media_kg],tblPlant[Date],$A284)</f>
        <v/>
      </c>
      <c r="FP284" s="55">
        <f>IF($B284=$B283,$FP283,0)+$FO284</f>
        <v/>
      </c>
      <c r="FQ284" s="55">
        <f>$FQ283+$FO284</f>
        <v/>
      </c>
      <c r="FR284" s="55">
        <f>SUMIFS(tblPlant[Power_kWh],tblPlant[Date],$A284)</f>
        <v/>
      </c>
      <c r="FS284" s="55">
        <f>IF($B284=$B283,$FS283,0)+$FR284</f>
        <v/>
      </c>
      <c r="FT284" s="55">
        <f>$FT283+$FR284</f>
        <v/>
      </c>
      <c r="FU284" s="55">
        <f>SUMIFS(tblPlant[Raw_Water_m3],tblPlant[Date],$A284)</f>
        <v/>
      </c>
      <c r="FV284" s="55">
        <f>IF($B284=$B283,$FV283,0)+$FU284</f>
        <v/>
      </c>
      <c r="FW284" s="55">
        <f>$FW283+$FU284</f>
        <v/>
      </c>
      <c r="FX284" s="56">
        <f>IFERROR(IF(($CU284)&gt;0,($FI284)/($CU284),""),"")</f>
        <v/>
      </c>
      <c r="FY284" s="56">
        <f>IFERROR(IF(($CV284)&gt;0,($FJ284)/($CV284),""),"")</f>
        <v/>
      </c>
      <c r="FZ284" s="56">
        <f>IFERROR(IF(($CW284)&gt;0,($FK284)/($CW284),""),"")</f>
        <v/>
      </c>
      <c r="GA284" s="56">
        <f>IFERROR(IF(($CU284)&gt;0,($FL284)/($CU284),""),"")</f>
        <v/>
      </c>
      <c r="GB284" s="56">
        <f>IFERROR(IF(($CV284)&gt;0,($FM284)/($CV284),""),"")</f>
        <v/>
      </c>
      <c r="GC284" s="56">
        <f>IFERROR(IF(($CW284)&gt;0,($FN284)/($CW284),""),"")</f>
        <v/>
      </c>
      <c r="GD284" s="56">
        <f>IFERROR(IF(($CU284)&gt;0,($FO284)/($CU284),""),"")</f>
        <v/>
      </c>
      <c r="GE284" s="56">
        <f>IFERROR(IF(($CV284)&gt;0,($FP284)/($CV284),""),"")</f>
        <v/>
      </c>
      <c r="GF284" s="56">
        <f>IFERROR(IF(($CW284)&gt;0,($FQ284)/($CW284),""),"")</f>
        <v/>
      </c>
      <c r="GG284" s="79">
        <f>IFERROR(IF(($CU284)&gt;0,($FR284)/($CU284),""),"")</f>
        <v/>
      </c>
      <c r="GH284" s="79">
        <f>IFERROR(IF(($CV284)&gt;0,($FS284)/($CV284),""),"")</f>
        <v/>
      </c>
      <c r="GI284" s="79">
        <f>IFERROR(IF(($CW284)&gt;0,($FT284)/($CW284),""),"")</f>
        <v/>
      </c>
      <c r="GJ284" s="56">
        <f>IFERROR(IF(($CU284)&gt;0,($FU284)/($CU284),""),"")</f>
        <v/>
      </c>
      <c r="GK284" s="56">
        <f>IFERROR(IF(($CV284)&gt;0,($FV284)/($CV284),""),"")</f>
        <v/>
      </c>
      <c r="GL284" s="56">
        <f>IFERROR(IF(($CW284)&gt;0,($FW284)/($CW284),""),"")</f>
        <v/>
      </c>
      <c r="GM284" s="55">
        <f>IF(SUMIFS(tblPlant[GIC_oz],tblPlant[Date],$A284)&gt;0,SUMIFS(tblPlant[GIC_oz],tblPlant[Date],$A284),"")</f>
        <v/>
      </c>
      <c r="GN284" s="55">
        <f>SUMIFS(tblGold[Gold_oz],tblGold[Date],$A284,tblGold[Type],"Shipment")</f>
        <v/>
      </c>
      <c r="GO284" s="55">
        <f>IF($B284=$B283,$GO283,0)+$GN284</f>
        <v/>
      </c>
      <c r="GP284" s="55">
        <f>$GP283+$GN284</f>
        <v/>
      </c>
      <c r="GQ284" s="55">
        <f>SUMIFS(tblGold[Gold_oz],tblGold[Date],$A284,tblGold[Type],"Sale")</f>
        <v/>
      </c>
      <c r="GR284" s="55">
        <f>IF($B284=$B283,$GR283,0)+$GQ284</f>
        <v/>
      </c>
      <c r="GS284" s="55">
        <f>$GS283+$GQ284</f>
        <v/>
      </c>
      <c r="GT284" s="55">
        <f>SUMIFS(tblGold[Dore_kg],tblGold[Date],$A284,tblGold[Type],"Shipment")</f>
        <v/>
      </c>
      <c r="GU284" s="55">
        <f>IF($B284=$B283,$GU283,0)+$GT284</f>
        <v/>
      </c>
      <c r="GV284" s="55">
        <f>$GV283+$GT284</f>
        <v/>
      </c>
      <c r="GW284" s="57">
        <f>SUMIFS(tblSafety[Hours_Total],tblSafety[Date],$A284)</f>
        <v/>
      </c>
      <c r="GX284" s="57">
        <f>IF($B284=$B283,$GX283,0)+$GW284</f>
        <v/>
      </c>
      <c r="GY284" s="57">
        <f>$GY283+$GW284</f>
        <v/>
      </c>
      <c r="GZ284" s="62">
        <f>SUMIFS(tblSafety[Fatality],tblSafety[Date],$A284)</f>
        <v/>
      </c>
      <c r="HA284" s="62">
        <f>IF($B284=$B283,$HA283,0)+$GZ284</f>
        <v/>
      </c>
      <c r="HB284" s="62">
        <f>$HB283+$GZ284</f>
        <v/>
      </c>
      <c r="HC284" s="62">
        <f>SUMIFS(tblSafety[LTI],tblSafety[Date],$A284)</f>
        <v/>
      </c>
      <c r="HD284" s="62">
        <f>IF($B284=$B283,$HD283,0)+$HC284</f>
        <v/>
      </c>
      <c r="HE284" s="62">
        <f>$HE283+$HC284</f>
        <v/>
      </c>
      <c r="HF284" s="62">
        <f>SUMIFS(tblSafety[RWI],tblSafety[Date],$A284)</f>
        <v/>
      </c>
      <c r="HG284" s="62">
        <f>IF($B284=$B283,$HG283,0)+$HF284</f>
        <v/>
      </c>
      <c r="HH284" s="62">
        <f>$HH283+$HF284</f>
        <v/>
      </c>
      <c r="HI284" s="62">
        <f>SUMIFS(tblSafety[MTI],tblSafety[Date],$A284)</f>
        <v/>
      </c>
      <c r="HJ284" s="62">
        <f>IF($B284=$B283,$HJ283,0)+$HI284</f>
        <v/>
      </c>
      <c r="HK284" s="62">
        <f>$HK283+$HI284</f>
        <v/>
      </c>
      <c r="HL284" s="62">
        <f>SUMIFS(tblSafety[FAI],tblSafety[Date],$A284)</f>
        <v/>
      </c>
      <c r="HM284" s="62">
        <f>IF($B284=$B283,$HM283,0)+$HL284</f>
        <v/>
      </c>
      <c r="HN284" s="62">
        <f>$HN283+$HL284</f>
        <v/>
      </c>
      <c r="HO284" s="62">
        <f>SUMIFS(tblSafety[Recordables],tblSafety[Date],$A284)</f>
        <v/>
      </c>
      <c r="HP284" s="62">
        <f>IF($B284=$B283,$HP283,0)+$HO284</f>
        <v/>
      </c>
      <c r="HQ284" s="62">
        <f>$HQ283+$HO284</f>
        <v/>
      </c>
      <c r="HR284" s="62">
        <f>SUMIFS(tblSafety[Near_Miss],tblSafety[Date],$A284)</f>
        <v/>
      </c>
      <c r="HS284" s="62">
        <f>IF($B284=$B283,$HS283,0)+$HR284</f>
        <v/>
      </c>
      <c r="HT284" s="62">
        <f>$HT283+$HR284</f>
        <v/>
      </c>
      <c r="HU284" s="62">
        <f>SUMIFS(tblSafety[Hazard_Reports],tblSafety[Date],$A284)</f>
        <v/>
      </c>
      <c r="HV284" s="62">
        <f>IF($B284=$B283,$HV283,0)+$HU284</f>
        <v/>
      </c>
      <c r="HW284" s="62">
        <f>$HW283+$HU284</f>
        <v/>
      </c>
      <c r="HX284" s="62">
        <f>SUMIFS(tblSafety[HPI],tblSafety[Date],$A284)</f>
        <v/>
      </c>
      <c r="HY284" s="62">
        <f>IF($B284=$B283,$HY283,0)+$HX284</f>
        <v/>
      </c>
      <c r="HZ284" s="62">
        <f>$HZ283+$HX284</f>
        <v/>
      </c>
      <c r="IA284" s="62">
        <f>SUMIFS(tblSafety[Env_Incidents],tblSafety[Date],$A284)</f>
        <v/>
      </c>
      <c r="IB284" s="62">
        <f>IF($B284=$B283,$IB283,0)+$IA284</f>
        <v/>
      </c>
      <c r="IC284" s="62">
        <f>$IC283+$IA284</f>
        <v/>
      </c>
      <c r="ID284" s="62">
        <f>SUMIFS(tblSafety[Community_Incidents],tblSafety[Date],$A284)</f>
        <v/>
      </c>
      <c r="IE284" s="62">
        <f>IF($B284=$B283,$IE283,0)+$ID284</f>
        <v/>
      </c>
      <c r="IF284" s="62">
        <f>$IF283+$ID284</f>
        <v/>
      </c>
      <c r="IG284" s="62">
        <f>SUMIFS(tblSafety[Vehicle_Incidents],tblSafety[Date],$A284)</f>
        <v/>
      </c>
      <c r="IH284" s="62">
        <f>IF($B284=$B283,$IH283,0)+$IG284</f>
        <v/>
      </c>
      <c r="II284" s="62">
        <f>$II283+$IG284</f>
        <v/>
      </c>
      <c r="IJ284" s="62">
        <f>SUMIFS(tblSafety[Toolbox_Talks],tblSafety[Date],$A284)</f>
        <v/>
      </c>
      <c r="IK284" s="62">
        <f>IF($B284=$B283,$IK283,0)+$IJ284</f>
        <v/>
      </c>
      <c r="IL284" s="62">
        <f>$IL283+$IJ284</f>
        <v/>
      </c>
      <c r="IM284" s="62">
        <f>SUMIFS(tblSafety[Inspections],tblSafety[Date],$A284)</f>
        <v/>
      </c>
      <c r="IN284" s="62">
        <f>IF($B284=$B283,$IN283,0)+$IM284</f>
        <v/>
      </c>
      <c r="IO284" s="62">
        <f>$IO283+$IM284</f>
        <v/>
      </c>
      <c r="IP284" s="56">
        <f>IFERROR((SUMIFS(tblSafety[Recordables],tblSafety[Date],"&gt;="&amp;EDATE($E284,-12),tblSafety[Date],"&lt;="&amp;$A284)+SUMIFS(tblSafetyHistory[Recordables],tblSafetyHistory[Month],"&gt;="&amp;EDATE($E284,-12),tblSafetyHistory[Month],"&lt;"&amp;$E284,tblSafetyHistory[Use],1))/(SUMIFS(tblSafety[Hours_Total],tblSafety[Date],"&gt;="&amp;EDATE($E284,-12),tblSafety[Date],"&lt;="&amp;$A284)+SUMIFS(tblSafetyHistory[Hours_Total],tblSafetyHistory[Month],"&gt;="&amp;EDATE($E284,-12),tblSafetyHistory[Month],"&lt;"&amp;$E284,tblSafetyHistory[Use],1))*cfg_RateBasisHours,"")</f>
        <v/>
      </c>
      <c r="IQ284" s="56">
        <f>IFERROR((SUMIFS(tblSafety[LTI],tblSafety[Date],"&gt;="&amp;EDATE($E284,-12),tblSafety[Date],"&lt;="&amp;$A284)+SUMIFS(tblSafetyHistory[LTI],tblSafetyHistory[Month],"&gt;="&amp;EDATE($E284,-12),tblSafetyHistory[Month],"&lt;"&amp;$E284,tblSafetyHistory[Use],1))/(SUMIFS(tblSafety[Hours_Total],tblSafety[Date],"&gt;="&amp;EDATE($E284,-12),tblSafety[Date],"&lt;="&amp;$A284)+SUMIFS(tblSafetyHistory[Hours_Total],tblSafetyHistory[Month],"&gt;="&amp;EDATE($E284,-12),tblSafetyHistory[Month],"&lt;"&amp;$E284,tblSafetyHistory[Use],1))*cfg_RateBasisHours,"")</f>
        <v/>
      </c>
      <c r="IR284" s="62">
        <f>IF(MAX(N(cfg_PriorLTIDate),_xlfn.MAXIFS(tblSafety[Date],tblSafety[LTI],"&gt;0",tblSafety[Date],"&lt;="&amp;$A284))=0,"",$A284-MAX(N(cfg_PriorLTIDate),_xlfn.MAXIFS(tblSafety[Date],tblSafety[LTI],"&gt;0",tblSafety[Date],"&lt;="&amp;$A284)))</f>
        <v/>
      </c>
      <c r="IS284" s="55">
        <f>SUMIFS(tblBudget[Ore_Mined_t],tblBudget[Month],$E284)</f>
        <v/>
      </c>
      <c r="IT284" s="55">
        <f>$IS284*$C284/$D284</f>
        <v/>
      </c>
      <c r="IU284" s="55">
        <f>SUMIFS(tblBudget[Ore_Mined_t],tblBudget[Month],"&lt;"&amp;$E284)+$IT284</f>
        <v/>
      </c>
      <c r="IV284" s="55">
        <f>SUMIFS(tblBudget[Ore_oz],tblBudget[Month],$E284)</f>
        <v/>
      </c>
      <c r="IW284" s="55">
        <f>$IV284*$C284/$D284</f>
        <v/>
      </c>
      <c r="IX284" s="55">
        <f>SUMIFS(tblBudget[Ore_oz],tblBudget[Month],"&lt;"&amp;$E284)+$IW284</f>
        <v/>
      </c>
      <c r="IY284" s="55">
        <f>SUMIFS(tblBudget[Ore_Mined_t],tblBudget[Month],$E284)</f>
        <v/>
      </c>
      <c r="IZ284" s="55">
        <f>$IY284*$C284/$D284</f>
        <v/>
      </c>
      <c r="JA284" s="55">
        <f>SUMIFS(tblBudget[Ore_Mined_t],tblBudget[Month],"&lt;"&amp;$E284)+$IZ284</f>
        <v/>
      </c>
      <c r="JB284" s="56">
        <f>IFERROR(IF(($IY284)&gt;0,($IV284*cfg_TroyOz)/($IY284),""),"")</f>
        <v/>
      </c>
      <c r="JC284" s="56">
        <f>IFERROR(IF(($IZ284)&gt;0,($IW284*cfg_TroyOz)/($IZ284),""),"")</f>
        <v/>
      </c>
      <c r="JD284" s="56">
        <f>IFERROR(IF(($JA284)&gt;0,($IX284*cfg_TroyOz)/($JA284),""),"")</f>
        <v/>
      </c>
      <c r="JE284" s="55">
        <f>SUMIFS(tblBudget[Waste_t],tblBudget[Month],$E284)</f>
        <v/>
      </c>
      <c r="JF284" s="55">
        <f>$JE284*$C284/$D284</f>
        <v/>
      </c>
      <c r="JG284" s="55">
        <f>SUMIFS(tblBudget[Waste_t],tblBudget[Month],"&lt;"&amp;$E284)+$JF284</f>
        <v/>
      </c>
      <c r="JH284" s="55">
        <f>SUMIFS(tblBudget[TMM_t],tblBudget[Month],$E284)</f>
        <v/>
      </c>
      <c r="JI284" s="55">
        <f>$JH284*$C284/$D284</f>
        <v/>
      </c>
      <c r="JJ284" s="55">
        <f>SUMIFS(tblBudget[TMM_t],tblBudget[Month],"&lt;"&amp;$E284)+$JI284</f>
        <v/>
      </c>
      <c r="JK284" s="56">
        <f>IFERROR(IF(($IS284)&gt;0,($JE284)/($IS284),""),"")</f>
        <v/>
      </c>
      <c r="JL284" s="56">
        <f>IFERROR(IF(($IT284)&gt;0,($JF284)/($IT284),""),"")</f>
        <v/>
      </c>
      <c r="JM284" s="56">
        <f>IFERROR(IF(($IU284)&gt;0,($JG284)/($IU284),""),"")</f>
        <v/>
      </c>
      <c r="JN284" s="55">
        <f>SUMIFS(tblBudget[Drill_m],tblBudget[Month],$E284)</f>
        <v/>
      </c>
      <c r="JO284" s="55">
        <f>$JN284*$C284/$D284</f>
        <v/>
      </c>
      <c r="JP284" s="55">
        <f>SUMIFS(tblBudget[Drill_m],tblBudget[Month],"&lt;"&amp;$E284)+$JO284</f>
        <v/>
      </c>
      <c r="JQ284" s="55">
        <f>SUMIFS(tblBudget[Diesel_L],tblBudget[Month],$E284)</f>
        <v/>
      </c>
      <c r="JR284" s="55">
        <f>$JQ284*$C284/$D284</f>
        <v/>
      </c>
      <c r="JS284" s="55">
        <f>SUMIFS(tblBudget[Diesel_L],tblBudget[Month],"&lt;"&amp;$E284)+$JR284</f>
        <v/>
      </c>
      <c r="JT284" s="55">
        <f>SUMIFS(tblBudget[Milled_t],tblBudget[Month],$E284)</f>
        <v/>
      </c>
      <c r="JU284" s="55">
        <f>$JT284*$C284/$D284</f>
        <v/>
      </c>
      <c r="JV284" s="55">
        <f>SUMIFS(tblBudget[Milled_t],tblBudget[Month],"&lt;"&amp;$E284)+$JU284</f>
        <v/>
      </c>
      <c r="JW284" s="55">
        <f>SUMIFS(tblBudget[Feed_oz],tblBudget[Month],$E284)</f>
        <v/>
      </c>
      <c r="JX284" s="55">
        <f>$JW284*$C284/$D284</f>
        <v/>
      </c>
      <c r="JY284" s="55">
        <f>SUMIFS(tblBudget[Feed_oz],tblBudget[Month],"&lt;"&amp;$E284)+$JX284</f>
        <v/>
      </c>
      <c r="JZ284" s="55">
        <f>SUMIFS(tblBudget[Recovered_oz],tblBudget[Month],$E284)</f>
        <v/>
      </c>
      <c r="KA284" s="55">
        <f>$JZ284*$C284/$D284</f>
        <v/>
      </c>
      <c r="KB284" s="55">
        <f>SUMIFS(tblBudget[Recovered_oz],tblBudget[Month],"&lt;"&amp;$E284)+$KA284</f>
        <v/>
      </c>
      <c r="KC284" s="55">
        <f>SUMIFS(tblBudget[Milled_t],tblBudget[Month],$E284)</f>
        <v/>
      </c>
      <c r="KD284" s="55">
        <f>$KC284*$C284/$D284</f>
        <v/>
      </c>
      <c r="KE284" s="55">
        <f>SUMIFS(tblBudget[Milled_t],tblBudget[Month],"&lt;"&amp;$E284)+$KD284</f>
        <v/>
      </c>
      <c r="KF284" s="55">
        <f>SUMIFS(tblBudget[Feed_oz],tblBudget[Month],$E284)</f>
        <v/>
      </c>
      <c r="KG284" s="55">
        <f>$KF284*$C284/$D284</f>
        <v/>
      </c>
      <c r="KH284" s="55">
        <f>SUMIFS(tblBudget[Feed_oz],tblBudget[Month],"&lt;"&amp;$E284)+$KG284</f>
        <v/>
      </c>
      <c r="KI284" s="56">
        <f>IFERROR(IF(($KC284)&gt;0,($JW284*cfg_TroyOz)/($KC284),""),"")</f>
        <v/>
      </c>
      <c r="KJ284" s="56">
        <f>IFERROR(IF(($KD284)&gt;0,($JX284*cfg_TroyOz)/($KD284),""),"")</f>
        <v/>
      </c>
      <c r="KK284" s="56">
        <f>IFERROR(IF(($KE284)&gt;0,($JY284*cfg_TroyOz)/($KE284),""),"")</f>
        <v/>
      </c>
      <c r="KL284" s="67">
        <f>IFERROR(IF(($KF284)&gt;0,($JZ284)/($KF284),""),"")</f>
        <v/>
      </c>
      <c r="KM284" s="67">
        <f>IFERROR(IF(($KG284)&gt;0,($KA284)/($KG284),""),"")</f>
        <v/>
      </c>
      <c r="KN284" s="67">
        <f>IFERROR(IF(($KH284)&gt;0,($KB284)/($KH284),""),"")</f>
        <v/>
      </c>
      <c r="KO284" s="55">
        <f>SUMIFS(tblBudget[Gold_Poured_oz],tblBudget[Month],$E284)</f>
        <v/>
      </c>
      <c r="KP284" s="55">
        <f>$KO284*$C284/$D284</f>
        <v/>
      </c>
      <c r="KQ284" s="55">
        <f>SUMIFS(tblBudget[Gold_Poured_oz],tblBudget[Month],"&lt;"&amp;$E284)+$KP284</f>
        <v/>
      </c>
      <c r="KR284" s="57">
        <f>SUMIFS(tblBudget[Hours_Worked],tblBudget[Month],$E284)</f>
        <v/>
      </c>
      <c r="KS284" s="57">
        <f>$KR284*$C284/$D284</f>
        <v/>
      </c>
      <c r="KT284" s="57">
        <f>SUMIFS(tblBudget[Hours_Worked],tblBudget[Month],"&lt;"&amp;$E284)+$KS284</f>
        <v/>
      </c>
    </row>
    <row r="285">
      <c r="A285" s="54" t="n">
        <v>46306</v>
      </c>
      <c r="B285">
        <f>MONTH($A285)</f>
        <v/>
      </c>
      <c r="C285">
        <f>DAY($A285)</f>
        <v/>
      </c>
      <c r="D285">
        <f>DAY(EOMONTH($A285,0))</f>
        <v/>
      </c>
      <c r="E285" s="54">
        <f>DATE(YEAR($A285),MONTH($A285),1)</f>
        <v/>
      </c>
      <c r="F285" s="55">
        <f>SUMIFS(tblMovement[Tonnes_t],tblMovement[Date],$A285,tblMovement[Is_Ore],1,tblMovement[Source_Type],"Pit")</f>
        <v/>
      </c>
      <c r="G285" s="55">
        <f>IF($B285=$B284,$G284,0)+$F285</f>
        <v/>
      </c>
      <c r="H285" s="55">
        <f>$H284+$F285</f>
        <v/>
      </c>
      <c r="I285" s="55">
        <f>SUMIFS(tblMovement[Ore_oz],tblMovement[Date],$A285,tblMovement[Source_Type],"Pit")</f>
        <v/>
      </c>
      <c r="J285" s="55">
        <f>IF($B285=$B284,$J284,0)+$I285</f>
        <v/>
      </c>
      <c r="K285" s="55">
        <f>$K284+$I285</f>
        <v/>
      </c>
      <c r="L285" s="55">
        <f>SUMIFS(tblMovement[Tonnes_t],tblMovement[Date],$A285,tblMovement[Is_Ore],1,tblMovement[Source_Type],"Pit",tblMovement[Grade_gpt],"&lt;&gt;")</f>
        <v/>
      </c>
      <c r="M285" s="55">
        <f>IF($B285=$B284,$M284,0)+$L285</f>
        <v/>
      </c>
      <c r="N285" s="55">
        <f>$N284+$L285</f>
        <v/>
      </c>
      <c r="O285" s="56">
        <f>IFERROR(IF(($L285)&gt;0,($I285*cfg_TroyOz)/($L285),""),"")</f>
        <v/>
      </c>
      <c r="P285" s="56">
        <f>IFERROR(IF(($M285)&gt;0,($J285*cfg_TroyOz)/($M285),""),"")</f>
        <v/>
      </c>
      <c r="Q285" s="56">
        <f>IFERROR(IF(($N285)&gt;0,($K285*cfg_TroyOz)/($N285),""),"")</f>
        <v/>
      </c>
      <c r="R285" s="55">
        <f>$F285-$L285</f>
        <v/>
      </c>
      <c r="S285" s="55">
        <f>IF($B285=$B284,$S284,0)+$R285</f>
        <v/>
      </c>
      <c r="T285" s="55">
        <f>$T284+$R285</f>
        <v/>
      </c>
      <c r="U285" s="55">
        <f>SUMIFS(tblMovement[Tonnes_t],tblMovement[Date],$A285,tblMovement[Is_Ore],0,tblMovement[Source_Type],"Pit")</f>
        <v/>
      </c>
      <c r="V285" s="55">
        <f>IF($B285=$B284,$V284,0)+$U285</f>
        <v/>
      </c>
      <c r="W285" s="55">
        <f>$W284+$U285</f>
        <v/>
      </c>
      <c r="X285" s="55">
        <f>$F285+$U285</f>
        <v/>
      </c>
      <c r="Y285" s="55">
        <f>IF($B285=$B284,$Y284,0)+$X285</f>
        <v/>
      </c>
      <c r="Z285" s="55">
        <f>$Z284+$X285</f>
        <v/>
      </c>
      <c r="AA285" s="56">
        <f>IFERROR(IF(($F285)&gt;0,($U285)/($F285),""),"")</f>
        <v/>
      </c>
      <c r="AB285" s="56">
        <f>IFERROR(IF(($G285)&gt;0,($V285)/($G285),""),"")</f>
        <v/>
      </c>
      <c r="AC285" s="56">
        <f>IFERROR(IF(($H285)&gt;0,($W285)/($H285),""),"")</f>
        <v/>
      </c>
      <c r="AD285" s="55">
        <f>SUMIFS(tblMovement[Tonnes_t],tblMovement[Date],$A285,tblMovement[Source_Type],"Stockpile")</f>
        <v/>
      </c>
      <c r="AE285" s="55">
        <f>IF($B285=$B284,$AE284,0)+$AD285</f>
        <v/>
      </c>
      <c r="AF285" s="55">
        <f>$AF284+$AD285</f>
        <v/>
      </c>
      <c r="AG285" s="55">
        <f>SUMIFS(tblMovement[Tonnes_t],tblMovement[Date],$A285)</f>
        <v/>
      </c>
      <c r="AH285" s="55">
        <f>IF($B285=$B284,$AH284,0)+$AG285</f>
        <v/>
      </c>
      <c r="AI285" s="55">
        <f>$AI284+$AG285</f>
        <v/>
      </c>
      <c r="AJ285" s="55">
        <f>$AG285-$X285-$AD285</f>
        <v/>
      </c>
      <c r="AK285" s="55">
        <f>IF($B285=$B284,$AK284,0)+$AJ285</f>
        <v/>
      </c>
      <c r="AL285" s="55">
        <f>$AL284+$AJ285</f>
        <v/>
      </c>
      <c r="AM285" s="55">
        <f>SUMIFS(tblMiningDaily[Drill_m],tblMiningDaily[Date],$A285)</f>
        <v/>
      </c>
      <c r="AN285" s="55">
        <f>IF($B285=$B284,$AN284,0)+$AM285</f>
        <v/>
      </c>
      <c r="AO285" s="55">
        <f>$AO284+$AM285</f>
        <v/>
      </c>
      <c r="AP285" s="55">
        <f>SUMIFS(tblMiningDaily[GC_Drill_m],tblMiningDaily[Date],$A285)</f>
        <v/>
      </c>
      <c r="AQ285" s="55">
        <f>IF($B285=$B284,$AQ284,0)+$AP285</f>
        <v/>
      </c>
      <c r="AR285" s="55">
        <f>$AR284+$AP285</f>
        <v/>
      </c>
      <c r="AS285" s="55">
        <f>SUMIFS(tblMiningDaily[Blast_t],tblMiningDaily[Date],$A285)</f>
        <v/>
      </c>
      <c r="AT285" s="55">
        <f>IF($B285=$B284,$AT284,0)+$AS285</f>
        <v/>
      </c>
      <c r="AU285" s="55">
        <f>$AU284+$AS285</f>
        <v/>
      </c>
      <c r="AV285" s="55">
        <f>SUMIFS(tblMiningDaily[Explosives_kg],tblMiningDaily[Date],$A285)</f>
        <v/>
      </c>
      <c r="AW285" s="55">
        <f>IF($B285=$B284,$AW284,0)+$AV285</f>
        <v/>
      </c>
      <c r="AX285" s="55">
        <f>$AX284+$AV285</f>
        <v/>
      </c>
      <c r="AY285" s="56">
        <f>IFERROR(IF(($AS285)&gt;0,($AV285)/($AS285),""),"")</f>
        <v/>
      </c>
      <c r="AZ285" s="56">
        <f>IFERROR(IF(($AT285)&gt;0,($AW285)/($AT285),""),"")</f>
        <v/>
      </c>
      <c r="BA285" s="56">
        <f>IFERROR(IF(($AU285)&gt;0,($AX285)/($AU285),""),"")</f>
        <v/>
      </c>
      <c r="BB285" s="55">
        <f>SUMIFS(tblMiningDaily[Diesel_L],tblMiningDaily[Date],$A285)</f>
        <v/>
      </c>
      <c r="BC285" s="55">
        <f>IF($B285=$B284,$BC284,0)+$BB285</f>
        <v/>
      </c>
      <c r="BD285" s="55">
        <f>$BD284+$BB285</f>
        <v/>
      </c>
      <c r="BE285" s="55">
        <f>SUMIFS(tblMiningDaily[Dewatering_m3],tblMiningDaily[Date],$A285)</f>
        <v/>
      </c>
      <c r="BF285" s="55">
        <f>IF($B285=$B284,$BF284,0)+$BE285</f>
        <v/>
      </c>
      <c r="BG285" s="55">
        <f>$BG284+$BE285</f>
        <v/>
      </c>
      <c r="BH285" s="57">
        <f>SUMIFS(tblFleet[Calendar_h],tblFleet[Date],$A285,tblFleet[Equipment_Class],"Excavator")</f>
        <v/>
      </c>
      <c r="BI285" s="57">
        <f>IF($B285=$B284,$BI284,0)+$BH285</f>
        <v/>
      </c>
      <c r="BJ285" s="57">
        <f>$BJ284+$BH285</f>
        <v/>
      </c>
      <c r="BK285" s="57">
        <f>SUMIFS(tblFleet[Available_h],tblFleet[Date],$A285,tblFleet[Equipment_Class],"Excavator")</f>
        <v/>
      </c>
      <c r="BL285" s="57">
        <f>IF($B285=$B284,$BL284,0)+$BK285</f>
        <v/>
      </c>
      <c r="BM285" s="57">
        <f>$BM284+$BK285</f>
        <v/>
      </c>
      <c r="BN285" s="57">
        <f>SUMIFS(tblFleet[Operating_h],tblFleet[Date],$A285,tblFleet[Equipment_Class],"Excavator")</f>
        <v/>
      </c>
      <c r="BO285" s="57">
        <f>IF($B285=$B284,$BO284,0)+$BN285</f>
        <v/>
      </c>
      <c r="BP285" s="57">
        <f>$BP284+$BN285</f>
        <v/>
      </c>
      <c r="BQ285" s="67">
        <f>IFERROR(IF(($BH285)&gt;0,($BK285)/($BH285),""),"")</f>
        <v/>
      </c>
      <c r="BR285" s="67">
        <f>IFERROR(IF(($BI285)&gt;0,($BL285)/($BI285),""),"")</f>
        <v/>
      </c>
      <c r="BS285" s="67">
        <f>IFERROR(IF(($BJ285)&gt;0,($BM285)/($BJ285),""),"")</f>
        <v/>
      </c>
      <c r="BT285" s="67">
        <f>IFERROR(IF(($BK285)&gt;0,($BN285)/($BK285),""),"")</f>
        <v/>
      </c>
      <c r="BU285" s="67">
        <f>IFERROR(IF(($BL285)&gt;0,($BO285)/($BL285),""),"")</f>
        <v/>
      </c>
      <c r="BV285" s="67">
        <f>IFERROR(IF(($BM285)&gt;0,($BP285)/($BM285),""),"")</f>
        <v/>
      </c>
      <c r="BW285" s="57">
        <f>SUMIFS(tblFleet[Calendar_h],tblFleet[Date],$A285,tblFleet[Equipment_Class],"Haul Truck")</f>
        <v/>
      </c>
      <c r="BX285" s="57">
        <f>IF($B285=$B284,$BX284,0)+$BW285</f>
        <v/>
      </c>
      <c r="BY285" s="57">
        <f>$BY284+$BW285</f>
        <v/>
      </c>
      <c r="BZ285" s="57">
        <f>SUMIFS(tblFleet[Available_h],tblFleet[Date],$A285,tblFleet[Equipment_Class],"Haul Truck")</f>
        <v/>
      </c>
      <c r="CA285" s="57">
        <f>IF($B285=$B284,$CA284,0)+$BZ285</f>
        <v/>
      </c>
      <c r="CB285" s="57">
        <f>$CB284+$BZ285</f>
        <v/>
      </c>
      <c r="CC285" s="57">
        <f>SUMIFS(tblFleet[Operating_h],tblFleet[Date],$A285,tblFleet[Equipment_Class],"Haul Truck")</f>
        <v/>
      </c>
      <c r="CD285" s="57">
        <f>IF($B285=$B284,$CD284,0)+$CC285</f>
        <v/>
      </c>
      <c r="CE285" s="57">
        <f>$CE284+$CC285</f>
        <v/>
      </c>
      <c r="CF285" s="67">
        <f>IFERROR(IF(($BW285)&gt;0,($BZ285)/($BW285),""),"")</f>
        <v/>
      </c>
      <c r="CG285" s="67">
        <f>IFERROR(IF(($BX285)&gt;0,($CA285)/($BX285),""),"")</f>
        <v/>
      </c>
      <c r="CH285" s="67">
        <f>IFERROR(IF(($BY285)&gt;0,($CB285)/($BY285),""),"")</f>
        <v/>
      </c>
      <c r="CI285" s="67">
        <f>IFERROR(IF(($BZ285)&gt;0,($CC285)/($BZ285),""),"")</f>
        <v/>
      </c>
      <c r="CJ285" s="67">
        <f>IFERROR(IF(($CA285)&gt;0,($CD285)/($CA285),""),"")</f>
        <v/>
      </c>
      <c r="CK285" s="67">
        <f>IFERROR(IF(($CB285)&gt;0,($CE285)/($CB285),""),"")</f>
        <v/>
      </c>
      <c r="CL285" s="55">
        <f>IFERROR(IF(($BN285)&gt;0,($X285+$AD285)/($BN285),""),"")</f>
        <v/>
      </c>
      <c r="CM285" s="55">
        <f>IFERROR(IF(($BO285)&gt;0,($Y285+$AE285)/($BO285),""),"")</f>
        <v/>
      </c>
      <c r="CN285" s="55">
        <f>IFERROR(IF(($BP285)&gt;0,($Z285+$AF285)/($BP285),""),"")</f>
        <v/>
      </c>
      <c r="CO285" s="55">
        <f>IFERROR(IF(($CC285)&gt;0,($X285+$AD285)/($CC285),""),"")</f>
        <v/>
      </c>
      <c r="CP285" s="55">
        <f>IFERROR(IF(($CD285)&gt;0,($Y285+$AE285)/($CD285),""),"")</f>
        <v/>
      </c>
      <c r="CQ285" s="55">
        <f>IFERROR(IF(($CE285)&gt;0,($Z285+$AF285)/($CE285),""),"")</f>
        <v/>
      </c>
      <c r="CR285" s="55">
        <f>SUMIFS(tblPlant[Crushed_t],tblPlant[Date],$A285)</f>
        <v/>
      </c>
      <c r="CS285" s="55">
        <f>IF($B285=$B284,$CS284,0)+$CR285</f>
        <v/>
      </c>
      <c r="CT285" s="55">
        <f>$CT284+$CR285</f>
        <v/>
      </c>
      <c r="CU285" s="55">
        <f>SUMIFS(tblPlant[Milled_t],tblPlant[Date],$A285)</f>
        <v/>
      </c>
      <c r="CV285" s="55">
        <f>IF($B285=$B284,$CV284,0)+$CU285</f>
        <v/>
      </c>
      <c r="CW285" s="55">
        <f>$CW284+$CU285</f>
        <v/>
      </c>
      <c r="CX285" s="55">
        <f>SUMIFS(tblPlant[Feed_oz],tblPlant[Date],$A285)</f>
        <v/>
      </c>
      <c r="CY285" s="55">
        <f>IF($B285=$B284,$CY284,0)+$CX285</f>
        <v/>
      </c>
      <c r="CZ285" s="55">
        <f>$CZ284+$CX285</f>
        <v/>
      </c>
      <c r="DA285" s="55">
        <f>SUMIFS(tblPlant[Tails_oz],tblPlant[Date],$A285)</f>
        <v/>
      </c>
      <c r="DB285" s="55">
        <f>IF($B285=$B284,$DB284,0)+$DA285</f>
        <v/>
      </c>
      <c r="DC285" s="55">
        <f>$DC284+$DA285</f>
        <v/>
      </c>
      <c r="DD285" s="55">
        <f>SUMIFS(tblPlant[Recovered_oz],tblPlant[Date],$A285)</f>
        <v/>
      </c>
      <c r="DE285" s="55">
        <f>IF($B285=$B284,$DE284,0)+$DD285</f>
        <v/>
      </c>
      <c r="DF285" s="55">
        <f>$DF284+$DD285</f>
        <v/>
      </c>
      <c r="DG285" s="55">
        <f>SUMIFS(tblPlant[Milled_t],tblPlant[Date],$A285,tblPlant[Head_Grade_gpt],"&lt;&gt;")</f>
        <v/>
      </c>
      <c r="DH285" s="55">
        <f>IF($B285=$B284,$DH284,0)+$DG285</f>
        <v/>
      </c>
      <c r="DI285" s="55">
        <f>$DI284+$DG285</f>
        <v/>
      </c>
      <c r="DJ285" s="55">
        <f>SUMIFS(tblPlant[Milled_t],tblPlant[Date],$A285,tblPlant[Tails_Grade_gpt],"&lt;&gt;")</f>
        <v/>
      </c>
      <c r="DK285" s="55">
        <f>IF($B285=$B284,$DK284,0)+$DJ285</f>
        <v/>
      </c>
      <c r="DL285" s="55">
        <f>$DL284+$DJ285</f>
        <v/>
      </c>
      <c r="DM285" s="55">
        <f>SUMIFS(tblPlant[Feed_oz],tblPlant[Date],$A285,tblPlant[Tails_Grade_gpt],"&lt;&gt;")</f>
        <v/>
      </c>
      <c r="DN285" s="55">
        <f>IF($B285=$B284,$DN284,0)+$DM285</f>
        <v/>
      </c>
      <c r="DO285" s="55">
        <f>$DO284+$DM285</f>
        <v/>
      </c>
      <c r="DP285" s="55">
        <f>SUMIFS(tblPlant[Milled_t],tblPlant[Date],$A285,tblPlant[Mill_Run_h],"&lt;&gt;")</f>
        <v/>
      </c>
      <c r="DQ285" s="55">
        <f>IF($B285=$B284,$DQ284,0)+$DP285</f>
        <v/>
      </c>
      <c r="DR285" s="55">
        <f>$DR284+$DP285</f>
        <v/>
      </c>
      <c r="DS285" s="56">
        <f>IFERROR(IF(($DG285)&gt;0,($CX285*cfg_TroyOz)/($DG285),""),"")</f>
        <v/>
      </c>
      <c r="DT285" s="56">
        <f>IFERROR(IF(($DH285)&gt;0,($CY285*cfg_TroyOz)/($DH285),""),"")</f>
        <v/>
      </c>
      <c r="DU285" s="56">
        <f>IFERROR(IF(($DI285)&gt;0,($CZ285*cfg_TroyOz)/($DI285),""),"")</f>
        <v/>
      </c>
      <c r="DV285" s="56">
        <f>IFERROR(IF(($DJ285)&gt;0,($DA285*cfg_TroyOz)/($DJ285),""),"")</f>
        <v/>
      </c>
      <c r="DW285" s="56">
        <f>IFERROR(IF(($DK285)&gt;0,($DB285*cfg_TroyOz)/($DK285),""),"")</f>
        <v/>
      </c>
      <c r="DX285" s="56">
        <f>IFERROR(IF(($DL285)&gt;0,($DC285*cfg_TroyOz)/($DL285),""),"")</f>
        <v/>
      </c>
      <c r="DY285" s="67">
        <f>IFERROR(IF(($DM285)&gt;0,($DD285)/($DM285),""),"")</f>
        <v/>
      </c>
      <c r="DZ285" s="67">
        <f>IFERROR(IF(($DN285)&gt;0,($DE285)/($DN285),""),"")</f>
        <v/>
      </c>
      <c r="EA285" s="67">
        <f>IFERROR(IF(($DO285)&gt;0,($DF285)/($DO285),""),"")</f>
        <v/>
      </c>
      <c r="EB285" s="55">
        <f>SUMIFS(tblPlant[Gravity_Gold_oz],tblPlant[Date],$A285)</f>
        <v/>
      </c>
      <c r="EC285" s="55">
        <f>IF($B285=$B284,$EC284,0)+$EB285</f>
        <v/>
      </c>
      <c r="ED285" s="55">
        <f>$ED284+$EB285</f>
        <v/>
      </c>
      <c r="EE285" s="67">
        <f>IFERROR(IF(($DD285)&gt;0,($EB285)/($DD285),""),"")</f>
        <v/>
      </c>
      <c r="EF285" s="67">
        <f>IFERROR(IF(($DE285)&gt;0,($EC285)/($DE285),""),"")</f>
        <v/>
      </c>
      <c r="EG285" s="67">
        <f>IFERROR(IF(($DF285)&gt;0,($ED285)/($DF285),""),"")</f>
        <v/>
      </c>
      <c r="EH285" s="55">
        <f>SUMIFS(tblPlant[Gold_Poured_oz],tblPlant[Date],$A285)</f>
        <v/>
      </c>
      <c r="EI285" s="55">
        <f>IF($B285=$B284,$EI284,0)+$EH285</f>
        <v/>
      </c>
      <c r="EJ285" s="55">
        <f>$EJ284+$EH285</f>
        <v/>
      </c>
      <c r="EK285" s="57">
        <f>SUMIFS(tblPlant[Mill_Run_h],tblPlant[Date],$A285)</f>
        <v/>
      </c>
      <c r="EL285" s="57">
        <f>IF($B285=$B284,$EL284,0)+$EK285</f>
        <v/>
      </c>
      <c r="EM285" s="57">
        <f>$EM284+$EK285</f>
        <v/>
      </c>
      <c r="EN285" s="57">
        <f>SUMIFS(tblPlant[Mill_Planned_Maint_h],tblPlant[Date],$A285)</f>
        <v/>
      </c>
      <c r="EO285" s="57">
        <f>IF($B285=$B284,$EO284,0)+$EN285</f>
        <v/>
      </c>
      <c r="EP285" s="57">
        <f>$EP284+$EN285</f>
        <v/>
      </c>
      <c r="EQ285" s="57">
        <f>SUMIFS(tblPlant[Mill_Unplanned_Down_h],tblPlant[Date],$A285)</f>
        <v/>
      </c>
      <c r="ER285" s="57">
        <f>IF($B285=$B284,$ER284,0)+$EQ285</f>
        <v/>
      </c>
      <c r="ES285" s="57">
        <f>$ES284+$EQ285</f>
        <v/>
      </c>
      <c r="ET285" s="57">
        <f>IF(COUNTIFS(tblPlant[Date],$A285,tblPlant[Mill_Run_h],"&lt;&gt;")+COUNTIFS(tblPlant[Date],$A285,tblPlant[Mill_Planned_Maint_h],"&lt;&gt;")+COUNTIFS(tblPlant[Date],$A285,tblPlant[Mill_Unplanned_Down_h],"&lt;&gt;")&gt;0,cfg_HoursPerDay,0)</f>
        <v/>
      </c>
      <c r="EU285" s="57">
        <f>IF($B285=$B284,$EU284,0)+$ET285</f>
        <v/>
      </c>
      <c r="EV285" s="57">
        <f>$EV284+$ET285</f>
        <v/>
      </c>
      <c r="EW285" s="57">
        <f>SUMIFS(tblPlant[Crusher_Run_h],tblPlant[Date],$A285)</f>
        <v/>
      </c>
      <c r="EX285" s="57">
        <f>IF($B285=$B284,$EX284,0)+$EW285</f>
        <v/>
      </c>
      <c r="EY285" s="57">
        <f>$EY284+$EW285</f>
        <v/>
      </c>
      <c r="EZ285" s="55">
        <f>IFERROR(IF(($EK285)&gt;0,($DP285)/($EK285),""),"")</f>
        <v/>
      </c>
      <c r="FA285" s="55">
        <f>IFERROR(IF(($EL285)&gt;0,($DQ285)/($EL285),""),"")</f>
        <v/>
      </c>
      <c r="FB285" s="55">
        <f>IFERROR(IF(($EM285)&gt;0,($DR285)/($EM285),""),"")</f>
        <v/>
      </c>
      <c r="FC285" s="67">
        <f>IFERROR(IF(($ET285)&gt;0,($ET285-$EN285-$EQ285)/($ET285),""),"")</f>
        <v/>
      </c>
      <c r="FD285" s="67">
        <f>IFERROR(IF(($EU285)&gt;0,($EU285-$EO285-$ER285)/($EU285),""),"")</f>
        <v/>
      </c>
      <c r="FE285" s="67">
        <f>IFERROR(IF(($EV285)&gt;0,($EV285-$EP285-$ES285)/($EV285),""),"")</f>
        <v/>
      </c>
      <c r="FF285" s="67">
        <f>IFERROR(IF(($ET285-$EN285-$EQ285)&gt;0,($EK285)/($ET285-$EN285-$EQ285),""),"")</f>
        <v/>
      </c>
      <c r="FG285" s="67">
        <f>IFERROR(IF(($EU285-$EO285-$ER285)&gt;0,($EL285)/($EU285-$EO285-$ER285),""),"")</f>
        <v/>
      </c>
      <c r="FH285" s="67">
        <f>IFERROR(IF(($EV285-$EP285-$ES285)&gt;0,($EM285)/($EV285-$EP285-$ES285),""),"")</f>
        <v/>
      </c>
      <c r="FI285" s="55">
        <f>SUMIFS(tblPlant[Cyanide_kg],tblPlant[Date],$A285)</f>
        <v/>
      </c>
      <c r="FJ285" s="55">
        <f>IF($B285=$B284,$FJ284,0)+$FI285</f>
        <v/>
      </c>
      <c r="FK285" s="55">
        <f>$FK284+$FI285</f>
        <v/>
      </c>
      <c r="FL285" s="55">
        <f>SUMIFS(tblPlant[Lime_kg],tblPlant[Date],$A285)</f>
        <v/>
      </c>
      <c r="FM285" s="55">
        <f>IF($B285=$B284,$FM284,0)+$FL285</f>
        <v/>
      </c>
      <c r="FN285" s="55">
        <f>$FN284+$FL285</f>
        <v/>
      </c>
      <c r="FO285" s="55">
        <f>SUMIFS(tblPlant[Grinding_Media_kg],tblPlant[Date],$A285)</f>
        <v/>
      </c>
      <c r="FP285" s="55">
        <f>IF($B285=$B284,$FP284,0)+$FO285</f>
        <v/>
      </c>
      <c r="FQ285" s="55">
        <f>$FQ284+$FO285</f>
        <v/>
      </c>
      <c r="FR285" s="55">
        <f>SUMIFS(tblPlant[Power_kWh],tblPlant[Date],$A285)</f>
        <v/>
      </c>
      <c r="FS285" s="55">
        <f>IF($B285=$B284,$FS284,0)+$FR285</f>
        <v/>
      </c>
      <c r="FT285" s="55">
        <f>$FT284+$FR285</f>
        <v/>
      </c>
      <c r="FU285" s="55">
        <f>SUMIFS(tblPlant[Raw_Water_m3],tblPlant[Date],$A285)</f>
        <v/>
      </c>
      <c r="FV285" s="55">
        <f>IF($B285=$B284,$FV284,0)+$FU285</f>
        <v/>
      </c>
      <c r="FW285" s="55">
        <f>$FW284+$FU285</f>
        <v/>
      </c>
      <c r="FX285" s="56">
        <f>IFERROR(IF(($CU285)&gt;0,($FI285)/($CU285),""),"")</f>
        <v/>
      </c>
      <c r="FY285" s="56">
        <f>IFERROR(IF(($CV285)&gt;0,($FJ285)/($CV285),""),"")</f>
        <v/>
      </c>
      <c r="FZ285" s="56">
        <f>IFERROR(IF(($CW285)&gt;0,($FK285)/($CW285),""),"")</f>
        <v/>
      </c>
      <c r="GA285" s="56">
        <f>IFERROR(IF(($CU285)&gt;0,($FL285)/($CU285),""),"")</f>
        <v/>
      </c>
      <c r="GB285" s="56">
        <f>IFERROR(IF(($CV285)&gt;0,($FM285)/($CV285),""),"")</f>
        <v/>
      </c>
      <c r="GC285" s="56">
        <f>IFERROR(IF(($CW285)&gt;0,($FN285)/($CW285),""),"")</f>
        <v/>
      </c>
      <c r="GD285" s="56">
        <f>IFERROR(IF(($CU285)&gt;0,($FO285)/($CU285),""),"")</f>
        <v/>
      </c>
      <c r="GE285" s="56">
        <f>IFERROR(IF(($CV285)&gt;0,($FP285)/($CV285),""),"")</f>
        <v/>
      </c>
      <c r="GF285" s="56">
        <f>IFERROR(IF(($CW285)&gt;0,($FQ285)/($CW285),""),"")</f>
        <v/>
      </c>
      <c r="GG285" s="79">
        <f>IFERROR(IF(($CU285)&gt;0,($FR285)/($CU285),""),"")</f>
        <v/>
      </c>
      <c r="GH285" s="79">
        <f>IFERROR(IF(($CV285)&gt;0,($FS285)/($CV285),""),"")</f>
        <v/>
      </c>
      <c r="GI285" s="79">
        <f>IFERROR(IF(($CW285)&gt;0,($FT285)/($CW285),""),"")</f>
        <v/>
      </c>
      <c r="GJ285" s="56">
        <f>IFERROR(IF(($CU285)&gt;0,($FU285)/($CU285),""),"")</f>
        <v/>
      </c>
      <c r="GK285" s="56">
        <f>IFERROR(IF(($CV285)&gt;0,($FV285)/($CV285),""),"")</f>
        <v/>
      </c>
      <c r="GL285" s="56">
        <f>IFERROR(IF(($CW285)&gt;0,($FW285)/($CW285),""),"")</f>
        <v/>
      </c>
      <c r="GM285" s="55">
        <f>IF(SUMIFS(tblPlant[GIC_oz],tblPlant[Date],$A285)&gt;0,SUMIFS(tblPlant[GIC_oz],tblPlant[Date],$A285),"")</f>
        <v/>
      </c>
      <c r="GN285" s="55">
        <f>SUMIFS(tblGold[Gold_oz],tblGold[Date],$A285,tblGold[Type],"Shipment")</f>
        <v/>
      </c>
      <c r="GO285" s="55">
        <f>IF($B285=$B284,$GO284,0)+$GN285</f>
        <v/>
      </c>
      <c r="GP285" s="55">
        <f>$GP284+$GN285</f>
        <v/>
      </c>
      <c r="GQ285" s="55">
        <f>SUMIFS(tblGold[Gold_oz],tblGold[Date],$A285,tblGold[Type],"Sale")</f>
        <v/>
      </c>
      <c r="GR285" s="55">
        <f>IF($B285=$B284,$GR284,0)+$GQ285</f>
        <v/>
      </c>
      <c r="GS285" s="55">
        <f>$GS284+$GQ285</f>
        <v/>
      </c>
      <c r="GT285" s="55">
        <f>SUMIFS(tblGold[Dore_kg],tblGold[Date],$A285,tblGold[Type],"Shipment")</f>
        <v/>
      </c>
      <c r="GU285" s="55">
        <f>IF($B285=$B284,$GU284,0)+$GT285</f>
        <v/>
      </c>
      <c r="GV285" s="55">
        <f>$GV284+$GT285</f>
        <v/>
      </c>
      <c r="GW285" s="57">
        <f>SUMIFS(tblSafety[Hours_Total],tblSafety[Date],$A285)</f>
        <v/>
      </c>
      <c r="GX285" s="57">
        <f>IF($B285=$B284,$GX284,0)+$GW285</f>
        <v/>
      </c>
      <c r="GY285" s="57">
        <f>$GY284+$GW285</f>
        <v/>
      </c>
      <c r="GZ285" s="62">
        <f>SUMIFS(tblSafety[Fatality],tblSafety[Date],$A285)</f>
        <v/>
      </c>
      <c r="HA285" s="62">
        <f>IF($B285=$B284,$HA284,0)+$GZ285</f>
        <v/>
      </c>
      <c r="HB285" s="62">
        <f>$HB284+$GZ285</f>
        <v/>
      </c>
      <c r="HC285" s="62">
        <f>SUMIFS(tblSafety[LTI],tblSafety[Date],$A285)</f>
        <v/>
      </c>
      <c r="HD285" s="62">
        <f>IF($B285=$B284,$HD284,0)+$HC285</f>
        <v/>
      </c>
      <c r="HE285" s="62">
        <f>$HE284+$HC285</f>
        <v/>
      </c>
      <c r="HF285" s="62">
        <f>SUMIFS(tblSafety[RWI],tblSafety[Date],$A285)</f>
        <v/>
      </c>
      <c r="HG285" s="62">
        <f>IF($B285=$B284,$HG284,0)+$HF285</f>
        <v/>
      </c>
      <c r="HH285" s="62">
        <f>$HH284+$HF285</f>
        <v/>
      </c>
      <c r="HI285" s="62">
        <f>SUMIFS(tblSafety[MTI],tblSafety[Date],$A285)</f>
        <v/>
      </c>
      <c r="HJ285" s="62">
        <f>IF($B285=$B284,$HJ284,0)+$HI285</f>
        <v/>
      </c>
      <c r="HK285" s="62">
        <f>$HK284+$HI285</f>
        <v/>
      </c>
      <c r="HL285" s="62">
        <f>SUMIFS(tblSafety[FAI],tblSafety[Date],$A285)</f>
        <v/>
      </c>
      <c r="HM285" s="62">
        <f>IF($B285=$B284,$HM284,0)+$HL285</f>
        <v/>
      </c>
      <c r="HN285" s="62">
        <f>$HN284+$HL285</f>
        <v/>
      </c>
      <c r="HO285" s="62">
        <f>SUMIFS(tblSafety[Recordables],tblSafety[Date],$A285)</f>
        <v/>
      </c>
      <c r="HP285" s="62">
        <f>IF($B285=$B284,$HP284,0)+$HO285</f>
        <v/>
      </c>
      <c r="HQ285" s="62">
        <f>$HQ284+$HO285</f>
        <v/>
      </c>
      <c r="HR285" s="62">
        <f>SUMIFS(tblSafety[Near_Miss],tblSafety[Date],$A285)</f>
        <v/>
      </c>
      <c r="HS285" s="62">
        <f>IF($B285=$B284,$HS284,0)+$HR285</f>
        <v/>
      </c>
      <c r="HT285" s="62">
        <f>$HT284+$HR285</f>
        <v/>
      </c>
      <c r="HU285" s="62">
        <f>SUMIFS(tblSafety[Hazard_Reports],tblSafety[Date],$A285)</f>
        <v/>
      </c>
      <c r="HV285" s="62">
        <f>IF($B285=$B284,$HV284,0)+$HU285</f>
        <v/>
      </c>
      <c r="HW285" s="62">
        <f>$HW284+$HU285</f>
        <v/>
      </c>
      <c r="HX285" s="62">
        <f>SUMIFS(tblSafety[HPI],tblSafety[Date],$A285)</f>
        <v/>
      </c>
      <c r="HY285" s="62">
        <f>IF($B285=$B284,$HY284,0)+$HX285</f>
        <v/>
      </c>
      <c r="HZ285" s="62">
        <f>$HZ284+$HX285</f>
        <v/>
      </c>
      <c r="IA285" s="62">
        <f>SUMIFS(tblSafety[Env_Incidents],tblSafety[Date],$A285)</f>
        <v/>
      </c>
      <c r="IB285" s="62">
        <f>IF($B285=$B284,$IB284,0)+$IA285</f>
        <v/>
      </c>
      <c r="IC285" s="62">
        <f>$IC284+$IA285</f>
        <v/>
      </c>
      <c r="ID285" s="62">
        <f>SUMIFS(tblSafety[Community_Incidents],tblSafety[Date],$A285)</f>
        <v/>
      </c>
      <c r="IE285" s="62">
        <f>IF($B285=$B284,$IE284,0)+$ID285</f>
        <v/>
      </c>
      <c r="IF285" s="62">
        <f>$IF284+$ID285</f>
        <v/>
      </c>
      <c r="IG285" s="62">
        <f>SUMIFS(tblSafety[Vehicle_Incidents],tblSafety[Date],$A285)</f>
        <v/>
      </c>
      <c r="IH285" s="62">
        <f>IF($B285=$B284,$IH284,0)+$IG285</f>
        <v/>
      </c>
      <c r="II285" s="62">
        <f>$II284+$IG285</f>
        <v/>
      </c>
      <c r="IJ285" s="62">
        <f>SUMIFS(tblSafety[Toolbox_Talks],tblSafety[Date],$A285)</f>
        <v/>
      </c>
      <c r="IK285" s="62">
        <f>IF($B285=$B284,$IK284,0)+$IJ285</f>
        <v/>
      </c>
      <c r="IL285" s="62">
        <f>$IL284+$IJ285</f>
        <v/>
      </c>
      <c r="IM285" s="62">
        <f>SUMIFS(tblSafety[Inspections],tblSafety[Date],$A285)</f>
        <v/>
      </c>
      <c r="IN285" s="62">
        <f>IF($B285=$B284,$IN284,0)+$IM285</f>
        <v/>
      </c>
      <c r="IO285" s="62">
        <f>$IO284+$IM285</f>
        <v/>
      </c>
      <c r="IP285" s="56">
        <f>IFERROR((SUMIFS(tblSafety[Recordables],tblSafety[Date],"&gt;="&amp;EDATE($E285,-12),tblSafety[Date],"&lt;="&amp;$A285)+SUMIFS(tblSafetyHistory[Recordables],tblSafetyHistory[Month],"&gt;="&amp;EDATE($E285,-12),tblSafetyHistory[Month],"&lt;"&amp;$E285,tblSafetyHistory[Use],1))/(SUMIFS(tblSafety[Hours_Total],tblSafety[Date],"&gt;="&amp;EDATE($E285,-12),tblSafety[Date],"&lt;="&amp;$A285)+SUMIFS(tblSafetyHistory[Hours_Total],tblSafetyHistory[Month],"&gt;="&amp;EDATE($E285,-12),tblSafetyHistory[Month],"&lt;"&amp;$E285,tblSafetyHistory[Use],1))*cfg_RateBasisHours,"")</f>
        <v/>
      </c>
      <c r="IQ285" s="56">
        <f>IFERROR((SUMIFS(tblSafety[LTI],tblSafety[Date],"&gt;="&amp;EDATE($E285,-12),tblSafety[Date],"&lt;="&amp;$A285)+SUMIFS(tblSafetyHistory[LTI],tblSafetyHistory[Month],"&gt;="&amp;EDATE($E285,-12),tblSafetyHistory[Month],"&lt;"&amp;$E285,tblSafetyHistory[Use],1))/(SUMIFS(tblSafety[Hours_Total],tblSafety[Date],"&gt;="&amp;EDATE($E285,-12),tblSafety[Date],"&lt;="&amp;$A285)+SUMIFS(tblSafetyHistory[Hours_Total],tblSafetyHistory[Month],"&gt;="&amp;EDATE($E285,-12),tblSafetyHistory[Month],"&lt;"&amp;$E285,tblSafetyHistory[Use],1))*cfg_RateBasisHours,"")</f>
        <v/>
      </c>
      <c r="IR285" s="62">
        <f>IF(MAX(N(cfg_PriorLTIDate),_xlfn.MAXIFS(tblSafety[Date],tblSafety[LTI],"&gt;0",tblSafety[Date],"&lt;="&amp;$A285))=0,"",$A285-MAX(N(cfg_PriorLTIDate),_xlfn.MAXIFS(tblSafety[Date],tblSafety[LTI],"&gt;0",tblSafety[Date],"&lt;="&amp;$A285)))</f>
        <v/>
      </c>
      <c r="IS285" s="55">
        <f>SUMIFS(tblBudget[Ore_Mined_t],tblBudget[Month],$E285)</f>
        <v/>
      </c>
      <c r="IT285" s="55">
        <f>$IS285*$C285/$D285</f>
        <v/>
      </c>
      <c r="IU285" s="55">
        <f>SUMIFS(tblBudget[Ore_Mined_t],tblBudget[Month],"&lt;"&amp;$E285)+$IT285</f>
        <v/>
      </c>
      <c r="IV285" s="55">
        <f>SUMIFS(tblBudget[Ore_oz],tblBudget[Month],$E285)</f>
        <v/>
      </c>
      <c r="IW285" s="55">
        <f>$IV285*$C285/$D285</f>
        <v/>
      </c>
      <c r="IX285" s="55">
        <f>SUMIFS(tblBudget[Ore_oz],tblBudget[Month],"&lt;"&amp;$E285)+$IW285</f>
        <v/>
      </c>
      <c r="IY285" s="55">
        <f>SUMIFS(tblBudget[Ore_Mined_t],tblBudget[Month],$E285)</f>
        <v/>
      </c>
      <c r="IZ285" s="55">
        <f>$IY285*$C285/$D285</f>
        <v/>
      </c>
      <c r="JA285" s="55">
        <f>SUMIFS(tblBudget[Ore_Mined_t],tblBudget[Month],"&lt;"&amp;$E285)+$IZ285</f>
        <v/>
      </c>
      <c r="JB285" s="56">
        <f>IFERROR(IF(($IY285)&gt;0,($IV285*cfg_TroyOz)/($IY285),""),"")</f>
        <v/>
      </c>
      <c r="JC285" s="56">
        <f>IFERROR(IF(($IZ285)&gt;0,($IW285*cfg_TroyOz)/($IZ285),""),"")</f>
        <v/>
      </c>
      <c r="JD285" s="56">
        <f>IFERROR(IF(($JA285)&gt;0,($IX285*cfg_TroyOz)/($JA285),""),"")</f>
        <v/>
      </c>
      <c r="JE285" s="55">
        <f>SUMIFS(tblBudget[Waste_t],tblBudget[Month],$E285)</f>
        <v/>
      </c>
      <c r="JF285" s="55">
        <f>$JE285*$C285/$D285</f>
        <v/>
      </c>
      <c r="JG285" s="55">
        <f>SUMIFS(tblBudget[Waste_t],tblBudget[Month],"&lt;"&amp;$E285)+$JF285</f>
        <v/>
      </c>
      <c r="JH285" s="55">
        <f>SUMIFS(tblBudget[TMM_t],tblBudget[Month],$E285)</f>
        <v/>
      </c>
      <c r="JI285" s="55">
        <f>$JH285*$C285/$D285</f>
        <v/>
      </c>
      <c r="JJ285" s="55">
        <f>SUMIFS(tblBudget[TMM_t],tblBudget[Month],"&lt;"&amp;$E285)+$JI285</f>
        <v/>
      </c>
      <c r="JK285" s="56">
        <f>IFERROR(IF(($IS285)&gt;0,($JE285)/($IS285),""),"")</f>
        <v/>
      </c>
      <c r="JL285" s="56">
        <f>IFERROR(IF(($IT285)&gt;0,($JF285)/($IT285),""),"")</f>
        <v/>
      </c>
      <c r="JM285" s="56">
        <f>IFERROR(IF(($IU285)&gt;0,($JG285)/($IU285),""),"")</f>
        <v/>
      </c>
      <c r="JN285" s="55">
        <f>SUMIFS(tblBudget[Drill_m],tblBudget[Month],$E285)</f>
        <v/>
      </c>
      <c r="JO285" s="55">
        <f>$JN285*$C285/$D285</f>
        <v/>
      </c>
      <c r="JP285" s="55">
        <f>SUMIFS(tblBudget[Drill_m],tblBudget[Month],"&lt;"&amp;$E285)+$JO285</f>
        <v/>
      </c>
      <c r="JQ285" s="55">
        <f>SUMIFS(tblBudget[Diesel_L],tblBudget[Month],$E285)</f>
        <v/>
      </c>
      <c r="JR285" s="55">
        <f>$JQ285*$C285/$D285</f>
        <v/>
      </c>
      <c r="JS285" s="55">
        <f>SUMIFS(tblBudget[Diesel_L],tblBudget[Month],"&lt;"&amp;$E285)+$JR285</f>
        <v/>
      </c>
      <c r="JT285" s="55">
        <f>SUMIFS(tblBudget[Milled_t],tblBudget[Month],$E285)</f>
        <v/>
      </c>
      <c r="JU285" s="55">
        <f>$JT285*$C285/$D285</f>
        <v/>
      </c>
      <c r="JV285" s="55">
        <f>SUMIFS(tblBudget[Milled_t],tblBudget[Month],"&lt;"&amp;$E285)+$JU285</f>
        <v/>
      </c>
      <c r="JW285" s="55">
        <f>SUMIFS(tblBudget[Feed_oz],tblBudget[Month],$E285)</f>
        <v/>
      </c>
      <c r="JX285" s="55">
        <f>$JW285*$C285/$D285</f>
        <v/>
      </c>
      <c r="JY285" s="55">
        <f>SUMIFS(tblBudget[Feed_oz],tblBudget[Month],"&lt;"&amp;$E285)+$JX285</f>
        <v/>
      </c>
      <c r="JZ285" s="55">
        <f>SUMIFS(tblBudget[Recovered_oz],tblBudget[Month],$E285)</f>
        <v/>
      </c>
      <c r="KA285" s="55">
        <f>$JZ285*$C285/$D285</f>
        <v/>
      </c>
      <c r="KB285" s="55">
        <f>SUMIFS(tblBudget[Recovered_oz],tblBudget[Month],"&lt;"&amp;$E285)+$KA285</f>
        <v/>
      </c>
      <c r="KC285" s="55">
        <f>SUMIFS(tblBudget[Milled_t],tblBudget[Month],$E285)</f>
        <v/>
      </c>
      <c r="KD285" s="55">
        <f>$KC285*$C285/$D285</f>
        <v/>
      </c>
      <c r="KE285" s="55">
        <f>SUMIFS(tblBudget[Milled_t],tblBudget[Month],"&lt;"&amp;$E285)+$KD285</f>
        <v/>
      </c>
      <c r="KF285" s="55">
        <f>SUMIFS(tblBudget[Feed_oz],tblBudget[Month],$E285)</f>
        <v/>
      </c>
      <c r="KG285" s="55">
        <f>$KF285*$C285/$D285</f>
        <v/>
      </c>
      <c r="KH285" s="55">
        <f>SUMIFS(tblBudget[Feed_oz],tblBudget[Month],"&lt;"&amp;$E285)+$KG285</f>
        <v/>
      </c>
      <c r="KI285" s="56">
        <f>IFERROR(IF(($KC285)&gt;0,($JW285*cfg_TroyOz)/($KC285),""),"")</f>
        <v/>
      </c>
      <c r="KJ285" s="56">
        <f>IFERROR(IF(($KD285)&gt;0,($JX285*cfg_TroyOz)/($KD285),""),"")</f>
        <v/>
      </c>
      <c r="KK285" s="56">
        <f>IFERROR(IF(($KE285)&gt;0,($JY285*cfg_TroyOz)/($KE285),""),"")</f>
        <v/>
      </c>
      <c r="KL285" s="67">
        <f>IFERROR(IF(($KF285)&gt;0,($JZ285)/($KF285),""),"")</f>
        <v/>
      </c>
      <c r="KM285" s="67">
        <f>IFERROR(IF(($KG285)&gt;0,($KA285)/($KG285),""),"")</f>
        <v/>
      </c>
      <c r="KN285" s="67">
        <f>IFERROR(IF(($KH285)&gt;0,($KB285)/($KH285),""),"")</f>
        <v/>
      </c>
      <c r="KO285" s="55">
        <f>SUMIFS(tblBudget[Gold_Poured_oz],tblBudget[Month],$E285)</f>
        <v/>
      </c>
      <c r="KP285" s="55">
        <f>$KO285*$C285/$D285</f>
        <v/>
      </c>
      <c r="KQ285" s="55">
        <f>SUMIFS(tblBudget[Gold_Poured_oz],tblBudget[Month],"&lt;"&amp;$E285)+$KP285</f>
        <v/>
      </c>
      <c r="KR285" s="57">
        <f>SUMIFS(tblBudget[Hours_Worked],tblBudget[Month],$E285)</f>
        <v/>
      </c>
      <c r="KS285" s="57">
        <f>$KR285*$C285/$D285</f>
        <v/>
      </c>
      <c r="KT285" s="57">
        <f>SUMIFS(tblBudget[Hours_Worked],tblBudget[Month],"&lt;"&amp;$E285)+$KS285</f>
        <v/>
      </c>
    </row>
    <row r="286">
      <c r="A286" s="54" t="n">
        <v>46307</v>
      </c>
      <c r="B286">
        <f>MONTH($A286)</f>
        <v/>
      </c>
      <c r="C286">
        <f>DAY($A286)</f>
        <v/>
      </c>
      <c r="D286">
        <f>DAY(EOMONTH($A286,0))</f>
        <v/>
      </c>
      <c r="E286" s="54">
        <f>DATE(YEAR($A286),MONTH($A286),1)</f>
        <v/>
      </c>
      <c r="F286" s="55">
        <f>SUMIFS(tblMovement[Tonnes_t],tblMovement[Date],$A286,tblMovement[Is_Ore],1,tblMovement[Source_Type],"Pit")</f>
        <v/>
      </c>
      <c r="G286" s="55">
        <f>IF($B286=$B285,$G285,0)+$F286</f>
        <v/>
      </c>
      <c r="H286" s="55">
        <f>$H285+$F286</f>
        <v/>
      </c>
      <c r="I286" s="55">
        <f>SUMIFS(tblMovement[Ore_oz],tblMovement[Date],$A286,tblMovement[Source_Type],"Pit")</f>
        <v/>
      </c>
      <c r="J286" s="55">
        <f>IF($B286=$B285,$J285,0)+$I286</f>
        <v/>
      </c>
      <c r="K286" s="55">
        <f>$K285+$I286</f>
        <v/>
      </c>
      <c r="L286" s="55">
        <f>SUMIFS(tblMovement[Tonnes_t],tblMovement[Date],$A286,tblMovement[Is_Ore],1,tblMovement[Source_Type],"Pit",tblMovement[Grade_gpt],"&lt;&gt;")</f>
        <v/>
      </c>
      <c r="M286" s="55">
        <f>IF($B286=$B285,$M285,0)+$L286</f>
        <v/>
      </c>
      <c r="N286" s="55">
        <f>$N285+$L286</f>
        <v/>
      </c>
      <c r="O286" s="56">
        <f>IFERROR(IF(($L286)&gt;0,($I286*cfg_TroyOz)/($L286),""),"")</f>
        <v/>
      </c>
      <c r="P286" s="56">
        <f>IFERROR(IF(($M286)&gt;0,($J286*cfg_TroyOz)/($M286),""),"")</f>
        <v/>
      </c>
      <c r="Q286" s="56">
        <f>IFERROR(IF(($N286)&gt;0,($K286*cfg_TroyOz)/($N286),""),"")</f>
        <v/>
      </c>
      <c r="R286" s="55">
        <f>$F286-$L286</f>
        <v/>
      </c>
      <c r="S286" s="55">
        <f>IF($B286=$B285,$S285,0)+$R286</f>
        <v/>
      </c>
      <c r="T286" s="55">
        <f>$T285+$R286</f>
        <v/>
      </c>
      <c r="U286" s="55">
        <f>SUMIFS(tblMovement[Tonnes_t],tblMovement[Date],$A286,tblMovement[Is_Ore],0,tblMovement[Source_Type],"Pit")</f>
        <v/>
      </c>
      <c r="V286" s="55">
        <f>IF($B286=$B285,$V285,0)+$U286</f>
        <v/>
      </c>
      <c r="W286" s="55">
        <f>$W285+$U286</f>
        <v/>
      </c>
      <c r="X286" s="55">
        <f>$F286+$U286</f>
        <v/>
      </c>
      <c r="Y286" s="55">
        <f>IF($B286=$B285,$Y285,0)+$X286</f>
        <v/>
      </c>
      <c r="Z286" s="55">
        <f>$Z285+$X286</f>
        <v/>
      </c>
      <c r="AA286" s="56">
        <f>IFERROR(IF(($F286)&gt;0,($U286)/($F286),""),"")</f>
        <v/>
      </c>
      <c r="AB286" s="56">
        <f>IFERROR(IF(($G286)&gt;0,($V286)/($G286),""),"")</f>
        <v/>
      </c>
      <c r="AC286" s="56">
        <f>IFERROR(IF(($H286)&gt;0,($W286)/($H286),""),"")</f>
        <v/>
      </c>
      <c r="AD286" s="55">
        <f>SUMIFS(tblMovement[Tonnes_t],tblMovement[Date],$A286,tblMovement[Source_Type],"Stockpile")</f>
        <v/>
      </c>
      <c r="AE286" s="55">
        <f>IF($B286=$B285,$AE285,0)+$AD286</f>
        <v/>
      </c>
      <c r="AF286" s="55">
        <f>$AF285+$AD286</f>
        <v/>
      </c>
      <c r="AG286" s="55">
        <f>SUMIFS(tblMovement[Tonnes_t],tblMovement[Date],$A286)</f>
        <v/>
      </c>
      <c r="AH286" s="55">
        <f>IF($B286=$B285,$AH285,0)+$AG286</f>
        <v/>
      </c>
      <c r="AI286" s="55">
        <f>$AI285+$AG286</f>
        <v/>
      </c>
      <c r="AJ286" s="55">
        <f>$AG286-$X286-$AD286</f>
        <v/>
      </c>
      <c r="AK286" s="55">
        <f>IF($B286=$B285,$AK285,0)+$AJ286</f>
        <v/>
      </c>
      <c r="AL286" s="55">
        <f>$AL285+$AJ286</f>
        <v/>
      </c>
      <c r="AM286" s="55">
        <f>SUMIFS(tblMiningDaily[Drill_m],tblMiningDaily[Date],$A286)</f>
        <v/>
      </c>
      <c r="AN286" s="55">
        <f>IF($B286=$B285,$AN285,0)+$AM286</f>
        <v/>
      </c>
      <c r="AO286" s="55">
        <f>$AO285+$AM286</f>
        <v/>
      </c>
      <c r="AP286" s="55">
        <f>SUMIFS(tblMiningDaily[GC_Drill_m],tblMiningDaily[Date],$A286)</f>
        <v/>
      </c>
      <c r="AQ286" s="55">
        <f>IF($B286=$B285,$AQ285,0)+$AP286</f>
        <v/>
      </c>
      <c r="AR286" s="55">
        <f>$AR285+$AP286</f>
        <v/>
      </c>
      <c r="AS286" s="55">
        <f>SUMIFS(tblMiningDaily[Blast_t],tblMiningDaily[Date],$A286)</f>
        <v/>
      </c>
      <c r="AT286" s="55">
        <f>IF($B286=$B285,$AT285,0)+$AS286</f>
        <v/>
      </c>
      <c r="AU286" s="55">
        <f>$AU285+$AS286</f>
        <v/>
      </c>
      <c r="AV286" s="55">
        <f>SUMIFS(tblMiningDaily[Explosives_kg],tblMiningDaily[Date],$A286)</f>
        <v/>
      </c>
      <c r="AW286" s="55">
        <f>IF($B286=$B285,$AW285,0)+$AV286</f>
        <v/>
      </c>
      <c r="AX286" s="55">
        <f>$AX285+$AV286</f>
        <v/>
      </c>
      <c r="AY286" s="56">
        <f>IFERROR(IF(($AS286)&gt;0,($AV286)/($AS286),""),"")</f>
        <v/>
      </c>
      <c r="AZ286" s="56">
        <f>IFERROR(IF(($AT286)&gt;0,($AW286)/($AT286),""),"")</f>
        <v/>
      </c>
      <c r="BA286" s="56">
        <f>IFERROR(IF(($AU286)&gt;0,($AX286)/($AU286),""),"")</f>
        <v/>
      </c>
      <c r="BB286" s="55">
        <f>SUMIFS(tblMiningDaily[Diesel_L],tblMiningDaily[Date],$A286)</f>
        <v/>
      </c>
      <c r="BC286" s="55">
        <f>IF($B286=$B285,$BC285,0)+$BB286</f>
        <v/>
      </c>
      <c r="BD286" s="55">
        <f>$BD285+$BB286</f>
        <v/>
      </c>
      <c r="BE286" s="55">
        <f>SUMIFS(tblMiningDaily[Dewatering_m3],tblMiningDaily[Date],$A286)</f>
        <v/>
      </c>
      <c r="BF286" s="55">
        <f>IF($B286=$B285,$BF285,0)+$BE286</f>
        <v/>
      </c>
      <c r="BG286" s="55">
        <f>$BG285+$BE286</f>
        <v/>
      </c>
      <c r="BH286" s="57">
        <f>SUMIFS(tblFleet[Calendar_h],tblFleet[Date],$A286,tblFleet[Equipment_Class],"Excavator")</f>
        <v/>
      </c>
      <c r="BI286" s="57">
        <f>IF($B286=$B285,$BI285,0)+$BH286</f>
        <v/>
      </c>
      <c r="BJ286" s="57">
        <f>$BJ285+$BH286</f>
        <v/>
      </c>
      <c r="BK286" s="57">
        <f>SUMIFS(tblFleet[Available_h],tblFleet[Date],$A286,tblFleet[Equipment_Class],"Excavator")</f>
        <v/>
      </c>
      <c r="BL286" s="57">
        <f>IF($B286=$B285,$BL285,0)+$BK286</f>
        <v/>
      </c>
      <c r="BM286" s="57">
        <f>$BM285+$BK286</f>
        <v/>
      </c>
      <c r="BN286" s="57">
        <f>SUMIFS(tblFleet[Operating_h],tblFleet[Date],$A286,tblFleet[Equipment_Class],"Excavator")</f>
        <v/>
      </c>
      <c r="BO286" s="57">
        <f>IF($B286=$B285,$BO285,0)+$BN286</f>
        <v/>
      </c>
      <c r="BP286" s="57">
        <f>$BP285+$BN286</f>
        <v/>
      </c>
      <c r="BQ286" s="67">
        <f>IFERROR(IF(($BH286)&gt;0,($BK286)/($BH286),""),"")</f>
        <v/>
      </c>
      <c r="BR286" s="67">
        <f>IFERROR(IF(($BI286)&gt;0,($BL286)/($BI286),""),"")</f>
        <v/>
      </c>
      <c r="BS286" s="67">
        <f>IFERROR(IF(($BJ286)&gt;0,($BM286)/($BJ286),""),"")</f>
        <v/>
      </c>
      <c r="BT286" s="67">
        <f>IFERROR(IF(($BK286)&gt;0,($BN286)/($BK286),""),"")</f>
        <v/>
      </c>
      <c r="BU286" s="67">
        <f>IFERROR(IF(($BL286)&gt;0,($BO286)/($BL286),""),"")</f>
        <v/>
      </c>
      <c r="BV286" s="67">
        <f>IFERROR(IF(($BM286)&gt;0,($BP286)/($BM286),""),"")</f>
        <v/>
      </c>
      <c r="BW286" s="57">
        <f>SUMIFS(tblFleet[Calendar_h],tblFleet[Date],$A286,tblFleet[Equipment_Class],"Haul Truck")</f>
        <v/>
      </c>
      <c r="BX286" s="57">
        <f>IF($B286=$B285,$BX285,0)+$BW286</f>
        <v/>
      </c>
      <c r="BY286" s="57">
        <f>$BY285+$BW286</f>
        <v/>
      </c>
      <c r="BZ286" s="57">
        <f>SUMIFS(tblFleet[Available_h],tblFleet[Date],$A286,tblFleet[Equipment_Class],"Haul Truck")</f>
        <v/>
      </c>
      <c r="CA286" s="57">
        <f>IF($B286=$B285,$CA285,0)+$BZ286</f>
        <v/>
      </c>
      <c r="CB286" s="57">
        <f>$CB285+$BZ286</f>
        <v/>
      </c>
      <c r="CC286" s="57">
        <f>SUMIFS(tblFleet[Operating_h],tblFleet[Date],$A286,tblFleet[Equipment_Class],"Haul Truck")</f>
        <v/>
      </c>
      <c r="CD286" s="57">
        <f>IF($B286=$B285,$CD285,0)+$CC286</f>
        <v/>
      </c>
      <c r="CE286" s="57">
        <f>$CE285+$CC286</f>
        <v/>
      </c>
      <c r="CF286" s="67">
        <f>IFERROR(IF(($BW286)&gt;0,($BZ286)/($BW286),""),"")</f>
        <v/>
      </c>
      <c r="CG286" s="67">
        <f>IFERROR(IF(($BX286)&gt;0,($CA286)/($BX286),""),"")</f>
        <v/>
      </c>
      <c r="CH286" s="67">
        <f>IFERROR(IF(($BY286)&gt;0,($CB286)/($BY286),""),"")</f>
        <v/>
      </c>
      <c r="CI286" s="67">
        <f>IFERROR(IF(($BZ286)&gt;0,($CC286)/($BZ286),""),"")</f>
        <v/>
      </c>
      <c r="CJ286" s="67">
        <f>IFERROR(IF(($CA286)&gt;0,($CD286)/($CA286),""),"")</f>
        <v/>
      </c>
      <c r="CK286" s="67">
        <f>IFERROR(IF(($CB286)&gt;0,($CE286)/($CB286),""),"")</f>
        <v/>
      </c>
      <c r="CL286" s="55">
        <f>IFERROR(IF(($BN286)&gt;0,($X286+$AD286)/($BN286),""),"")</f>
        <v/>
      </c>
      <c r="CM286" s="55">
        <f>IFERROR(IF(($BO286)&gt;0,($Y286+$AE286)/($BO286),""),"")</f>
        <v/>
      </c>
      <c r="CN286" s="55">
        <f>IFERROR(IF(($BP286)&gt;0,($Z286+$AF286)/($BP286),""),"")</f>
        <v/>
      </c>
      <c r="CO286" s="55">
        <f>IFERROR(IF(($CC286)&gt;0,($X286+$AD286)/($CC286),""),"")</f>
        <v/>
      </c>
      <c r="CP286" s="55">
        <f>IFERROR(IF(($CD286)&gt;0,($Y286+$AE286)/($CD286),""),"")</f>
        <v/>
      </c>
      <c r="CQ286" s="55">
        <f>IFERROR(IF(($CE286)&gt;0,($Z286+$AF286)/($CE286),""),"")</f>
        <v/>
      </c>
      <c r="CR286" s="55">
        <f>SUMIFS(tblPlant[Crushed_t],tblPlant[Date],$A286)</f>
        <v/>
      </c>
      <c r="CS286" s="55">
        <f>IF($B286=$B285,$CS285,0)+$CR286</f>
        <v/>
      </c>
      <c r="CT286" s="55">
        <f>$CT285+$CR286</f>
        <v/>
      </c>
      <c r="CU286" s="55">
        <f>SUMIFS(tblPlant[Milled_t],tblPlant[Date],$A286)</f>
        <v/>
      </c>
      <c r="CV286" s="55">
        <f>IF($B286=$B285,$CV285,0)+$CU286</f>
        <v/>
      </c>
      <c r="CW286" s="55">
        <f>$CW285+$CU286</f>
        <v/>
      </c>
      <c r="CX286" s="55">
        <f>SUMIFS(tblPlant[Feed_oz],tblPlant[Date],$A286)</f>
        <v/>
      </c>
      <c r="CY286" s="55">
        <f>IF($B286=$B285,$CY285,0)+$CX286</f>
        <v/>
      </c>
      <c r="CZ286" s="55">
        <f>$CZ285+$CX286</f>
        <v/>
      </c>
      <c r="DA286" s="55">
        <f>SUMIFS(tblPlant[Tails_oz],tblPlant[Date],$A286)</f>
        <v/>
      </c>
      <c r="DB286" s="55">
        <f>IF($B286=$B285,$DB285,0)+$DA286</f>
        <v/>
      </c>
      <c r="DC286" s="55">
        <f>$DC285+$DA286</f>
        <v/>
      </c>
      <c r="DD286" s="55">
        <f>SUMIFS(tblPlant[Recovered_oz],tblPlant[Date],$A286)</f>
        <v/>
      </c>
      <c r="DE286" s="55">
        <f>IF($B286=$B285,$DE285,0)+$DD286</f>
        <v/>
      </c>
      <c r="DF286" s="55">
        <f>$DF285+$DD286</f>
        <v/>
      </c>
      <c r="DG286" s="55">
        <f>SUMIFS(tblPlant[Milled_t],tblPlant[Date],$A286,tblPlant[Head_Grade_gpt],"&lt;&gt;")</f>
        <v/>
      </c>
      <c r="DH286" s="55">
        <f>IF($B286=$B285,$DH285,0)+$DG286</f>
        <v/>
      </c>
      <c r="DI286" s="55">
        <f>$DI285+$DG286</f>
        <v/>
      </c>
      <c r="DJ286" s="55">
        <f>SUMIFS(tblPlant[Milled_t],tblPlant[Date],$A286,tblPlant[Tails_Grade_gpt],"&lt;&gt;")</f>
        <v/>
      </c>
      <c r="DK286" s="55">
        <f>IF($B286=$B285,$DK285,0)+$DJ286</f>
        <v/>
      </c>
      <c r="DL286" s="55">
        <f>$DL285+$DJ286</f>
        <v/>
      </c>
      <c r="DM286" s="55">
        <f>SUMIFS(tblPlant[Feed_oz],tblPlant[Date],$A286,tblPlant[Tails_Grade_gpt],"&lt;&gt;")</f>
        <v/>
      </c>
      <c r="DN286" s="55">
        <f>IF($B286=$B285,$DN285,0)+$DM286</f>
        <v/>
      </c>
      <c r="DO286" s="55">
        <f>$DO285+$DM286</f>
        <v/>
      </c>
      <c r="DP286" s="55">
        <f>SUMIFS(tblPlant[Milled_t],tblPlant[Date],$A286,tblPlant[Mill_Run_h],"&lt;&gt;")</f>
        <v/>
      </c>
      <c r="DQ286" s="55">
        <f>IF($B286=$B285,$DQ285,0)+$DP286</f>
        <v/>
      </c>
      <c r="DR286" s="55">
        <f>$DR285+$DP286</f>
        <v/>
      </c>
      <c r="DS286" s="56">
        <f>IFERROR(IF(($DG286)&gt;0,($CX286*cfg_TroyOz)/($DG286),""),"")</f>
        <v/>
      </c>
      <c r="DT286" s="56">
        <f>IFERROR(IF(($DH286)&gt;0,($CY286*cfg_TroyOz)/($DH286),""),"")</f>
        <v/>
      </c>
      <c r="DU286" s="56">
        <f>IFERROR(IF(($DI286)&gt;0,($CZ286*cfg_TroyOz)/($DI286),""),"")</f>
        <v/>
      </c>
      <c r="DV286" s="56">
        <f>IFERROR(IF(($DJ286)&gt;0,($DA286*cfg_TroyOz)/($DJ286),""),"")</f>
        <v/>
      </c>
      <c r="DW286" s="56">
        <f>IFERROR(IF(($DK286)&gt;0,($DB286*cfg_TroyOz)/($DK286),""),"")</f>
        <v/>
      </c>
      <c r="DX286" s="56">
        <f>IFERROR(IF(($DL286)&gt;0,($DC286*cfg_TroyOz)/($DL286),""),"")</f>
        <v/>
      </c>
      <c r="DY286" s="67">
        <f>IFERROR(IF(($DM286)&gt;0,($DD286)/($DM286),""),"")</f>
        <v/>
      </c>
      <c r="DZ286" s="67">
        <f>IFERROR(IF(($DN286)&gt;0,($DE286)/($DN286),""),"")</f>
        <v/>
      </c>
      <c r="EA286" s="67">
        <f>IFERROR(IF(($DO286)&gt;0,($DF286)/($DO286),""),"")</f>
        <v/>
      </c>
      <c r="EB286" s="55">
        <f>SUMIFS(tblPlant[Gravity_Gold_oz],tblPlant[Date],$A286)</f>
        <v/>
      </c>
      <c r="EC286" s="55">
        <f>IF($B286=$B285,$EC285,0)+$EB286</f>
        <v/>
      </c>
      <c r="ED286" s="55">
        <f>$ED285+$EB286</f>
        <v/>
      </c>
      <c r="EE286" s="67">
        <f>IFERROR(IF(($DD286)&gt;0,($EB286)/($DD286),""),"")</f>
        <v/>
      </c>
      <c r="EF286" s="67">
        <f>IFERROR(IF(($DE286)&gt;0,($EC286)/($DE286),""),"")</f>
        <v/>
      </c>
      <c r="EG286" s="67">
        <f>IFERROR(IF(($DF286)&gt;0,($ED286)/($DF286),""),"")</f>
        <v/>
      </c>
      <c r="EH286" s="55">
        <f>SUMIFS(tblPlant[Gold_Poured_oz],tblPlant[Date],$A286)</f>
        <v/>
      </c>
      <c r="EI286" s="55">
        <f>IF($B286=$B285,$EI285,0)+$EH286</f>
        <v/>
      </c>
      <c r="EJ286" s="55">
        <f>$EJ285+$EH286</f>
        <v/>
      </c>
      <c r="EK286" s="57">
        <f>SUMIFS(tblPlant[Mill_Run_h],tblPlant[Date],$A286)</f>
        <v/>
      </c>
      <c r="EL286" s="57">
        <f>IF($B286=$B285,$EL285,0)+$EK286</f>
        <v/>
      </c>
      <c r="EM286" s="57">
        <f>$EM285+$EK286</f>
        <v/>
      </c>
      <c r="EN286" s="57">
        <f>SUMIFS(tblPlant[Mill_Planned_Maint_h],tblPlant[Date],$A286)</f>
        <v/>
      </c>
      <c r="EO286" s="57">
        <f>IF($B286=$B285,$EO285,0)+$EN286</f>
        <v/>
      </c>
      <c r="EP286" s="57">
        <f>$EP285+$EN286</f>
        <v/>
      </c>
      <c r="EQ286" s="57">
        <f>SUMIFS(tblPlant[Mill_Unplanned_Down_h],tblPlant[Date],$A286)</f>
        <v/>
      </c>
      <c r="ER286" s="57">
        <f>IF($B286=$B285,$ER285,0)+$EQ286</f>
        <v/>
      </c>
      <c r="ES286" s="57">
        <f>$ES285+$EQ286</f>
        <v/>
      </c>
      <c r="ET286" s="57">
        <f>IF(COUNTIFS(tblPlant[Date],$A286,tblPlant[Mill_Run_h],"&lt;&gt;")+COUNTIFS(tblPlant[Date],$A286,tblPlant[Mill_Planned_Maint_h],"&lt;&gt;")+COUNTIFS(tblPlant[Date],$A286,tblPlant[Mill_Unplanned_Down_h],"&lt;&gt;")&gt;0,cfg_HoursPerDay,0)</f>
        <v/>
      </c>
      <c r="EU286" s="57">
        <f>IF($B286=$B285,$EU285,0)+$ET286</f>
        <v/>
      </c>
      <c r="EV286" s="57">
        <f>$EV285+$ET286</f>
        <v/>
      </c>
      <c r="EW286" s="57">
        <f>SUMIFS(tblPlant[Crusher_Run_h],tblPlant[Date],$A286)</f>
        <v/>
      </c>
      <c r="EX286" s="57">
        <f>IF($B286=$B285,$EX285,0)+$EW286</f>
        <v/>
      </c>
      <c r="EY286" s="57">
        <f>$EY285+$EW286</f>
        <v/>
      </c>
      <c r="EZ286" s="55">
        <f>IFERROR(IF(($EK286)&gt;0,($DP286)/($EK286),""),"")</f>
        <v/>
      </c>
      <c r="FA286" s="55">
        <f>IFERROR(IF(($EL286)&gt;0,($DQ286)/($EL286),""),"")</f>
        <v/>
      </c>
      <c r="FB286" s="55">
        <f>IFERROR(IF(($EM286)&gt;0,($DR286)/($EM286),""),"")</f>
        <v/>
      </c>
      <c r="FC286" s="67">
        <f>IFERROR(IF(($ET286)&gt;0,($ET286-$EN286-$EQ286)/($ET286),""),"")</f>
        <v/>
      </c>
      <c r="FD286" s="67">
        <f>IFERROR(IF(($EU286)&gt;0,($EU286-$EO286-$ER286)/($EU286),""),"")</f>
        <v/>
      </c>
      <c r="FE286" s="67">
        <f>IFERROR(IF(($EV286)&gt;0,($EV286-$EP286-$ES286)/($EV286),""),"")</f>
        <v/>
      </c>
      <c r="FF286" s="67">
        <f>IFERROR(IF(($ET286-$EN286-$EQ286)&gt;0,($EK286)/($ET286-$EN286-$EQ286),""),"")</f>
        <v/>
      </c>
      <c r="FG286" s="67">
        <f>IFERROR(IF(($EU286-$EO286-$ER286)&gt;0,($EL286)/($EU286-$EO286-$ER286),""),"")</f>
        <v/>
      </c>
      <c r="FH286" s="67">
        <f>IFERROR(IF(($EV286-$EP286-$ES286)&gt;0,($EM286)/($EV286-$EP286-$ES286),""),"")</f>
        <v/>
      </c>
      <c r="FI286" s="55">
        <f>SUMIFS(tblPlant[Cyanide_kg],tblPlant[Date],$A286)</f>
        <v/>
      </c>
      <c r="FJ286" s="55">
        <f>IF($B286=$B285,$FJ285,0)+$FI286</f>
        <v/>
      </c>
      <c r="FK286" s="55">
        <f>$FK285+$FI286</f>
        <v/>
      </c>
      <c r="FL286" s="55">
        <f>SUMIFS(tblPlant[Lime_kg],tblPlant[Date],$A286)</f>
        <v/>
      </c>
      <c r="FM286" s="55">
        <f>IF($B286=$B285,$FM285,0)+$FL286</f>
        <v/>
      </c>
      <c r="FN286" s="55">
        <f>$FN285+$FL286</f>
        <v/>
      </c>
      <c r="FO286" s="55">
        <f>SUMIFS(tblPlant[Grinding_Media_kg],tblPlant[Date],$A286)</f>
        <v/>
      </c>
      <c r="FP286" s="55">
        <f>IF($B286=$B285,$FP285,0)+$FO286</f>
        <v/>
      </c>
      <c r="FQ286" s="55">
        <f>$FQ285+$FO286</f>
        <v/>
      </c>
      <c r="FR286" s="55">
        <f>SUMIFS(tblPlant[Power_kWh],tblPlant[Date],$A286)</f>
        <v/>
      </c>
      <c r="FS286" s="55">
        <f>IF($B286=$B285,$FS285,0)+$FR286</f>
        <v/>
      </c>
      <c r="FT286" s="55">
        <f>$FT285+$FR286</f>
        <v/>
      </c>
      <c r="FU286" s="55">
        <f>SUMIFS(tblPlant[Raw_Water_m3],tblPlant[Date],$A286)</f>
        <v/>
      </c>
      <c r="FV286" s="55">
        <f>IF($B286=$B285,$FV285,0)+$FU286</f>
        <v/>
      </c>
      <c r="FW286" s="55">
        <f>$FW285+$FU286</f>
        <v/>
      </c>
      <c r="FX286" s="56">
        <f>IFERROR(IF(($CU286)&gt;0,($FI286)/($CU286),""),"")</f>
        <v/>
      </c>
      <c r="FY286" s="56">
        <f>IFERROR(IF(($CV286)&gt;0,($FJ286)/($CV286),""),"")</f>
        <v/>
      </c>
      <c r="FZ286" s="56">
        <f>IFERROR(IF(($CW286)&gt;0,($FK286)/($CW286),""),"")</f>
        <v/>
      </c>
      <c r="GA286" s="56">
        <f>IFERROR(IF(($CU286)&gt;0,($FL286)/($CU286),""),"")</f>
        <v/>
      </c>
      <c r="GB286" s="56">
        <f>IFERROR(IF(($CV286)&gt;0,($FM286)/($CV286),""),"")</f>
        <v/>
      </c>
      <c r="GC286" s="56">
        <f>IFERROR(IF(($CW286)&gt;0,($FN286)/($CW286),""),"")</f>
        <v/>
      </c>
      <c r="GD286" s="56">
        <f>IFERROR(IF(($CU286)&gt;0,($FO286)/($CU286),""),"")</f>
        <v/>
      </c>
      <c r="GE286" s="56">
        <f>IFERROR(IF(($CV286)&gt;0,($FP286)/($CV286),""),"")</f>
        <v/>
      </c>
      <c r="GF286" s="56">
        <f>IFERROR(IF(($CW286)&gt;0,($FQ286)/($CW286),""),"")</f>
        <v/>
      </c>
      <c r="GG286" s="79">
        <f>IFERROR(IF(($CU286)&gt;0,($FR286)/($CU286),""),"")</f>
        <v/>
      </c>
      <c r="GH286" s="79">
        <f>IFERROR(IF(($CV286)&gt;0,($FS286)/($CV286),""),"")</f>
        <v/>
      </c>
      <c r="GI286" s="79">
        <f>IFERROR(IF(($CW286)&gt;0,($FT286)/($CW286),""),"")</f>
        <v/>
      </c>
      <c r="GJ286" s="56">
        <f>IFERROR(IF(($CU286)&gt;0,($FU286)/($CU286),""),"")</f>
        <v/>
      </c>
      <c r="GK286" s="56">
        <f>IFERROR(IF(($CV286)&gt;0,($FV286)/($CV286),""),"")</f>
        <v/>
      </c>
      <c r="GL286" s="56">
        <f>IFERROR(IF(($CW286)&gt;0,($FW286)/($CW286),""),"")</f>
        <v/>
      </c>
      <c r="GM286" s="55">
        <f>IF(SUMIFS(tblPlant[GIC_oz],tblPlant[Date],$A286)&gt;0,SUMIFS(tblPlant[GIC_oz],tblPlant[Date],$A286),"")</f>
        <v/>
      </c>
      <c r="GN286" s="55">
        <f>SUMIFS(tblGold[Gold_oz],tblGold[Date],$A286,tblGold[Type],"Shipment")</f>
        <v/>
      </c>
      <c r="GO286" s="55">
        <f>IF($B286=$B285,$GO285,0)+$GN286</f>
        <v/>
      </c>
      <c r="GP286" s="55">
        <f>$GP285+$GN286</f>
        <v/>
      </c>
      <c r="GQ286" s="55">
        <f>SUMIFS(tblGold[Gold_oz],tblGold[Date],$A286,tblGold[Type],"Sale")</f>
        <v/>
      </c>
      <c r="GR286" s="55">
        <f>IF($B286=$B285,$GR285,0)+$GQ286</f>
        <v/>
      </c>
      <c r="GS286" s="55">
        <f>$GS285+$GQ286</f>
        <v/>
      </c>
      <c r="GT286" s="55">
        <f>SUMIFS(tblGold[Dore_kg],tblGold[Date],$A286,tblGold[Type],"Shipment")</f>
        <v/>
      </c>
      <c r="GU286" s="55">
        <f>IF($B286=$B285,$GU285,0)+$GT286</f>
        <v/>
      </c>
      <c r="GV286" s="55">
        <f>$GV285+$GT286</f>
        <v/>
      </c>
      <c r="GW286" s="57">
        <f>SUMIFS(tblSafety[Hours_Total],tblSafety[Date],$A286)</f>
        <v/>
      </c>
      <c r="GX286" s="57">
        <f>IF($B286=$B285,$GX285,0)+$GW286</f>
        <v/>
      </c>
      <c r="GY286" s="57">
        <f>$GY285+$GW286</f>
        <v/>
      </c>
      <c r="GZ286" s="62">
        <f>SUMIFS(tblSafety[Fatality],tblSafety[Date],$A286)</f>
        <v/>
      </c>
      <c r="HA286" s="62">
        <f>IF($B286=$B285,$HA285,0)+$GZ286</f>
        <v/>
      </c>
      <c r="HB286" s="62">
        <f>$HB285+$GZ286</f>
        <v/>
      </c>
      <c r="HC286" s="62">
        <f>SUMIFS(tblSafety[LTI],tblSafety[Date],$A286)</f>
        <v/>
      </c>
      <c r="HD286" s="62">
        <f>IF($B286=$B285,$HD285,0)+$HC286</f>
        <v/>
      </c>
      <c r="HE286" s="62">
        <f>$HE285+$HC286</f>
        <v/>
      </c>
      <c r="HF286" s="62">
        <f>SUMIFS(tblSafety[RWI],tblSafety[Date],$A286)</f>
        <v/>
      </c>
      <c r="HG286" s="62">
        <f>IF($B286=$B285,$HG285,0)+$HF286</f>
        <v/>
      </c>
      <c r="HH286" s="62">
        <f>$HH285+$HF286</f>
        <v/>
      </c>
      <c r="HI286" s="62">
        <f>SUMIFS(tblSafety[MTI],tblSafety[Date],$A286)</f>
        <v/>
      </c>
      <c r="HJ286" s="62">
        <f>IF($B286=$B285,$HJ285,0)+$HI286</f>
        <v/>
      </c>
      <c r="HK286" s="62">
        <f>$HK285+$HI286</f>
        <v/>
      </c>
      <c r="HL286" s="62">
        <f>SUMIFS(tblSafety[FAI],tblSafety[Date],$A286)</f>
        <v/>
      </c>
      <c r="HM286" s="62">
        <f>IF($B286=$B285,$HM285,0)+$HL286</f>
        <v/>
      </c>
      <c r="HN286" s="62">
        <f>$HN285+$HL286</f>
        <v/>
      </c>
      <c r="HO286" s="62">
        <f>SUMIFS(tblSafety[Recordables],tblSafety[Date],$A286)</f>
        <v/>
      </c>
      <c r="HP286" s="62">
        <f>IF($B286=$B285,$HP285,0)+$HO286</f>
        <v/>
      </c>
      <c r="HQ286" s="62">
        <f>$HQ285+$HO286</f>
        <v/>
      </c>
      <c r="HR286" s="62">
        <f>SUMIFS(tblSafety[Near_Miss],tblSafety[Date],$A286)</f>
        <v/>
      </c>
      <c r="HS286" s="62">
        <f>IF($B286=$B285,$HS285,0)+$HR286</f>
        <v/>
      </c>
      <c r="HT286" s="62">
        <f>$HT285+$HR286</f>
        <v/>
      </c>
      <c r="HU286" s="62">
        <f>SUMIFS(tblSafety[Hazard_Reports],tblSafety[Date],$A286)</f>
        <v/>
      </c>
      <c r="HV286" s="62">
        <f>IF($B286=$B285,$HV285,0)+$HU286</f>
        <v/>
      </c>
      <c r="HW286" s="62">
        <f>$HW285+$HU286</f>
        <v/>
      </c>
      <c r="HX286" s="62">
        <f>SUMIFS(tblSafety[HPI],tblSafety[Date],$A286)</f>
        <v/>
      </c>
      <c r="HY286" s="62">
        <f>IF($B286=$B285,$HY285,0)+$HX286</f>
        <v/>
      </c>
      <c r="HZ286" s="62">
        <f>$HZ285+$HX286</f>
        <v/>
      </c>
      <c r="IA286" s="62">
        <f>SUMIFS(tblSafety[Env_Incidents],tblSafety[Date],$A286)</f>
        <v/>
      </c>
      <c r="IB286" s="62">
        <f>IF($B286=$B285,$IB285,0)+$IA286</f>
        <v/>
      </c>
      <c r="IC286" s="62">
        <f>$IC285+$IA286</f>
        <v/>
      </c>
      <c r="ID286" s="62">
        <f>SUMIFS(tblSafety[Community_Incidents],tblSafety[Date],$A286)</f>
        <v/>
      </c>
      <c r="IE286" s="62">
        <f>IF($B286=$B285,$IE285,0)+$ID286</f>
        <v/>
      </c>
      <c r="IF286" s="62">
        <f>$IF285+$ID286</f>
        <v/>
      </c>
      <c r="IG286" s="62">
        <f>SUMIFS(tblSafety[Vehicle_Incidents],tblSafety[Date],$A286)</f>
        <v/>
      </c>
      <c r="IH286" s="62">
        <f>IF($B286=$B285,$IH285,0)+$IG286</f>
        <v/>
      </c>
      <c r="II286" s="62">
        <f>$II285+$IG286</f>
        <v/>
      </c>
      <c r="IJ286" s="62">
        <f>SUMIFS(tblSafety[Toolbox_Talks],tblSafety[Date],$A286)</f>
        <v/>
      </c>
      <c r="IK286" s="62">
        <f>IF($B286=$B285,$IK285,0)+$IJ286</f>
        <v/>
      </c>
      <c r="IL286" s="62">
        <f>$IL285+$IJ286</f>
        <v/>
      </c>
      <c r="IM286" s="62">
        <f>SUMIFS(tblSafety[Inspections],tblSafety[Date],$A286)</f>
        <v/>
      </c>
      <c r="IN286" s="62">
        <f>IF($B286=$B285,$IN285,0)+$IM286</f>
        <v/>
      </c>
      <c r="IO286" s="62">
        <f>$IO285+$IM286</f>
        <v/>
      </c>
      <c r="IP286" s="56">
        <f>IFERROR((SUMIFS(tblSafety[Recordables],tblSafety[Date],"&gt;="&amp;EDATE($E286,-12),tblSafety[Date],"&lt;="&amp;$A286)+SUMIFS(tblSafetyHistory[Recordables],tblSafetyHistory[Month],"&gt;="&amp;EDATE($E286,-12),tblSafetyHistory[Month],"&lt;"&amp;$E286,tblSafetyHistory[Use],1))/(SUMIFS(tblSafety[Hours_Total],tblSafety[Date],"&gt;="&amp;EDATE($E286,-12),tblSafety[Date],"&lt;="&amp;$A286)+SUMIFS(tblSafetyHistory[Hours_Total],tblSafetyHistory[Month],"&gt;="&amp;EDATE($E286,-12),tblSafetyHistory[Month],"&lt;"&amp;$E286,tblSafetyHistory[Use],1))*cfg_RateBasisHours,"")</f>
        <v/>
      </c>
      <c r="IQ286" s="56">
        <f>IFERROR((SUMIFS(tblSafety[LTI],tblSafety[Date],"&gt;="&amp;EDATE($E286,-12),tblSafety[Date],"&lt;="&amp;$A286)+SUMIFS(tblSafetyHistory[LTI],tblSafetyHistory[Month],"&gt;="&amp;EDATE($E286,-12),tblSafetyHistory[Month],"&lt;"&amp;$E286,tblSafetyHistory[Use],1))/(SUMIFS(tblSafety[Hours_Total],tblSafety[Date],"&gt;="&amp;EDATE($E286,-12),tblSafety[Date],"&lt;="&amp;$A286)+SUMIFS(tblSafetyHistory[Hours_Total],tblSafetyHistory[Month],"&gt;="&amp;EDATE($E286,-12),tblSafetyHistory[Month],"&lt;"&amp;$E286,tblSafetyHistory[Use],1))*cfg_RateBasisHours,"")</f>
        <v/>
      </c>
      <c r="IR286" s="62">
        <f>IF(MAX(N(cfg_PriorLTIDate),_xlfn.MAXIFS(tblSafety[Date],tblSafety[LTI],"&gt;0",tblSafety[Date],"&lt;="&amp;$A286))=0,"",$A286-MAX(N(cfg_PriorLTIDate),_xlfn.MAXIFS(tblSafety[Date],tblSafety[LTI],"&gt;0",tblSafety[Date],"&lt;="&amp;$A286)))</f>
        <v/>
      </c>
      <c r="IS286" s="55">
        <f>SUMIFS(tblBudget[Ore_Mined_t],tblBudget[Month],$E286)</f>
        <v/>
      </c>
      <c r="IT286" s="55">
        <f>$IS286*$C286/$D286</f>
        <v/>
      </c>
      <c r="IU286" s="55">
        <f>SUMIFS(tblBudget[Ore_Mined_t],tblBudget[Month],"&lt;"&amp;$E286)+$IT286</f>
        <v/>
      </c>
      <c r="IV286" s="55">
        <f>SUMIFS(tblBudget[Ore_oz],tblBudget[Month],$E286)</f>
        <v/>
      </c>
      <c r="IW286" s="55">
        <f>$IV286*$C286/$D286</f>
        <v/>
      </c>
      <c r="IX286" s="55">
        <f>SUMIFS(tblBudget[Ore_oz],tblBudget[Month],"&lt;"&amp;$E286)+$IW286</f>
        <v/>
      </c>
      <c r="IY286" s="55">
        <f>SUMIFS(tblBudget[Ore_Mined_t],tblBudget[Month],$E286)</f>
        <v/>
      </c>
      <c r="IZ286" s="55">
        <f>$IY286*$C286/$D286</f>
        <v/>
      </c>
      <c r="JA286" s="55">
        <f>SUMIFS(tblBudget[Ore_Mined_t],tblBudget[Month],"&lt;"&amp;$E286)+$IZ286</f>
        <v/>
      </c>
      <c r="JB286" s="56">
        <f>IFERROR(IF(($IY286)&gt;0,($IV286*cfg_TroyOz)/($IY286),""),"")</f>
        <v/>
      </c>
      <c r="JC286" s="56">
        <f>IFERROR(IF(($IZ286)&gt;0,($IW286*cfg_TroyOz)/($IZ286),""),"")</f>
        <v/>
      </c>
      <c r="JD286" s="56">
        <f>IFERROR(IF(($JA286)&gt;0,($IX286*cfg_TroyOz)/($JA286),""),"")</f>
        <v/>
      </c>
      <c r="JE286" s="55">
        <f>SUMIFS(tblBudget[Waste_t],tblBudget[Month],$E286)</f>
        <v/>
      </c>
      <c r="JF286" s="55">
        <f>$JE286*$C286/$D286</f>
        <v/>
      </c>
      <c r="JG286" s="55">
        <f>SUMIFS(tblBudget[Waste_t],tblBudget[Month],"&lt;"&amp;$E286)+$JF286</f>
        <v/>
      </c>
      <c r="JH286" s="55">
        <f>SUMIFS(tblBudget[TMM_t],tblBudget[Month],$E286)</f>
        <v/>
      </c>
      <c r="JI286" s="55">
        <f>$JH286*$C286/$D286</f>
        <v/>
      </c>
      <c r="JJ286" s="55">
        <f>SUMIFS(tblBudget[TMM_t],tblBudget[Month],"&lt;"&amp;$E286)+$JI286</f>
        <v/>
      </c>
      <c r="JK286" s="56">
        <f>IFERROR(IF(($IS286)&gt;0,($JE286)/($IS286),""),"")</f>
        <v/>
      </c>
      <c r="JL286" s="56">
        <f>IFERROR(IF(($IT286)&gt;0,($JF286)/($IT286),""),"")</f>
        <v/>
      </c>
      <c r="JM286" s="56">
        <f>IFERROR(IF(($IU286)&gt;0,($JG286)/($IU286),""),"")</f>
        <v/>
      </c>
      <c r="JN286" s="55">
        <f>SUMIFS(tblBudget[Drill_m],tblBudget[Month],$E286)</f>
        <v/>
      </c>
      <c r="JO286" s="55">
        <f>$JN286*$C286/$D286</f>
        <v/>
      </c>
      <c r="JP286" s="55">
        <f>SUMIFS(tblBudget[Drill_m],tblBudget[Month],"&lt;"&amp;$E286)+$JO286</f>
        <v/>
      </c>
      <c r="JQ286" s="55">
        <f>SUMIFS(tblBudget[Diesel_L],tblBudget[Month],$E286)</f>
        <v/>
      </c>
      <c r="JR286" s="55">
        <f>$JQ286*$C286/$D286</f>
        <v/>
      </c>
      <c r="JS286" s="55">
        <f>SUMIFS(tblBudget[Diesel_L],tblBudget[Month],"&lt;"&amp;$E286)+$JR286</f>
        <v/>
      </c>
      <c r="JT286" s="55">
        <f>SUMIFS(tblBudget[Milled_t],tblBudget[Month],$E286)</f>
        <v/>
      </c>
      <c r="JU286" s="55">
        <f>$JT286*$C286/$D286</f>
        <v/>
      </c>
      <c r="JV286" s="55">
        <f>SUMIFS(tblBudget[Milled_t],tblBudget[Month],"&lt;"&amp;$E286)+$JU286</f>
        <v/>
      </c>
      <c r="JW286" s="55">
        <f>SUMIFS(tblBudget[Feed_oz],tblBudget[Month],$E286)</f>
        <v/>
      </c>
      <c r="JX286" s="55">
        <f>$JW286*$C286/$D286</f>
        <v/>
      </c>
      <c r="JY286" s="55">
        <f>SUMIFS(tblBudget[Feed_oz],tblBudget[Month],"&lt;"&amp;$E286)+$JX286</f>
        <v/>
      </c>
      <c r="JZ286" s="55">
        <f>SUMIFS(tblBudget[Recovered_oz],tblBudget[Month],$E286)</f>
        <v/>
      </c>
      <c r="KA286" s="55">
        <f>$JZ286*$C286/$D286</f>
        <v/>
      </c>
      <c r="KB286" s="55">
        <f>SUMIFS(tblBudget[Recovered_oz],tblBudget[Month],"&lt;"&amp;$E286)+$KA286</f>
        <v/>
      </c>
      <c r="KC286" s="55">
        <f>SUMIFS(tblBudget[Milled_t],tblBudget[Month],$E286)</f>
        <v/>
      </c>
      <c r="KD286" s="55">
        <f>$KC286*$C286/$D286</f>
        <v/>
      </c>
      <c r="KE286" s="55">
        <f>SUMIFS(tblBudget[Milled_t],tblBudget[Month],"&lt;"&amp;$E286)+$KD286</f>
        <v/>
      </c>
      <c r="KF286" s="55">
        <f>SUMIFS(tblBudget[Feed_oz],tblBudget[Month],$E286)</f>
        <v/>
      </c>
      <c r="KG286" s="55">
        <f>$KF286*$C286/$D286</f>
        <v/>
      </c>
      <c r="KH286" s="55">
        <f>SUMIFS(tblBudget[Feed_oz],tblBudget[Month],"&lt;"&amp;$E286)+$KG286</f>
        <v/>
      </c>
      <c r="KI286" s="56">
        <f>IFERROR(IF(($KC286)&gt;0,($JW286*cfg_TroyOz)/($KC286),""),"")</f>
        <v/>
      </c>
      <c r="KJ286" s="56">
        <f>IFERROR(IF(($KD286)&gt;0,($JX286*cfg_TroyOz)/($KD286),""),"")</f>
        <v/>
      </c>
      <c r="KK286" s="56">
        <f>IFERROR(IF(($KE286)&gt;0,($JY286*cfg_TroyOz)/($KE286),""),"")</f>
        <v/>
      </c>
      <c r="KL286" s="67">
        <f>IFERROR(IF(($KF286)&gt;0,($JZ286)/($KF286),""),"")</f>
        <v/>
      </c>
      <c r="KM286" s="67">
        <f>IFERROR(IF(($KG286)&gt;0,($KA286)/($KG286),""),"")</f>
        <v/>
      </c>
      <c r="KN286" s="67">
        <f>IFERROR(IF(($KH286)&gt;0,($KB286)/($KH286),""),"")</f>
        <v/>
      </c>
      <c r="KO286" s="55">
        <f>SUMIFS(tblBudget[Gold_Poured_oz],tblBudget[Month],$E286)</f>
        <v/>
      </c>
      <c r="KP286" s="55">
        <f>$KO286*$C286/$D286</f>
        <v/>
      </c>
      <c r="KQ286" s="55">
        <f>SUMIFS(tblBudget[Gold_Poured_oz],tblBudget[Month],"&lt;"&amp;$E286)+$KP286</f>
        <v/>
      </c>
      <c r="KR286" s="57">
        <f>SUMIFS(tblBudget[Hours_Worked],tblBudget[Month],$E286)</f>
        <v/>
      </c>
      <c r="KS286" s="57">
        <f>$KR286*$C286/$D286</f>
        <v/>
      </c>
      <c r="KT286" s="57">
        <f>SUMIFS(tblBudget[Hours_Worked],tblBudget[Month],"&lt;"&amp;$E286)+$KS286</f>
        <v/>
      </c>
    </row>
    <row r="287">
      <c r="A287" s="54" t="n">
        <v>46308</v>
      </c>
      <c r="B287">
        <f>MONTH($A287)</f>
        <v/>
      </c>
      <c r="C287">
        <f>DAY($A287)</f>
        <v/>
      </c>
      <c r="D287">
        <f>DAY(EOMONTH($A287,0))</f>
        <v/>
      </c>
      <c r="E287" s="54">
        <f>DATE(YEAR($A287),MONTH($A287),1)</f>
        <v/>
      </c>
      <c r="F287" s="55">
        <f>SUMIFS(tblMovement[Tonnes_t],tblMovement[Date],$A287,tblMovement[Is_Ore],1,tblMovement[Source_Type],"Pit")</f>
        <v/>
      </c>
      <c r="G287" s="55">
        <f>IF($B287=$B286,$G286,0)+$F287</f>
        <v/>
      </c>
      <c r="H287" s="55">
        <f>$H286+$F287</f>
        <v/>
      </c>
      <c r="I287" s="55">
        <f>SUMIFS(tblMovement[Ore_oz],tblMovement[Date],$A287,tblMovement[Source_Type],"Pit")</f>
        <v/>
      </c>
      <c r="J287" s="55">
        <f>IF($B287=$B286,$J286,0)+$I287</f>
        <v/>
      </c>
      <c r="K287" s="55">
        <f>$K286+$I287</f>
        <v/>
      </c>
      <c r="L287" s="55">
        <f>SUMIFS(tblMovement[Tonnes_t],tblMovement[Date],$A287,tblMovement[Is_Ore],1,tblMovement[Source_Type],"Pit",tblMovement[Grade_gpt],"&lt;&gt;")</f>
        <v/>
      </c>
      <c r="M287" s="55">
        <f>IF($B287=$B286,$M286,0)+$L287</f>
        <v/>
      </c>
      <c r="N287" s="55">
        <f>$N286+$L287</f>
        <v/>
      </c>
      <c r="O287" s="56">
        <f>IFERROR(IF(($L287)&gt;0,($I287*cfg_TroyOz)/($L287),""),"")</f>
        <v/>
      </c>
      <c r="P287" s="56">
        <f>IFERROR(IF(($M287)&gt;0,($J287*cfg_TroyOz)/($M287),""),"")</f>
        <v/>
      </c>
      <c r="Q287" s="56">
        <f>IFERROR(IF(($N287)&gt;0,($K287*cfg_TroyOz)/($N287),""),"")</f>
        <v/>
      </c>
      <c r="R287" s="55">
        <f>$F287-$L287</f>
        <v/>
      </c>
      <c r="S287" s="55">
        <f>IF($B287=$B286,$S286,0)+$R287</f>
        <v/>
      </c>
      <c r="T287" s="55">
        <f>$T286+$R287</f>
        <v/>
      </c>
      <c r="U287" s="55">
        <f>SUMIFS(tblMovement[Tonnes_t],tblMovement[Date],$A287,tblMovement[Is_Ore],0,tblMovement[Source_Type],"Pit")</f>
        <v/>
      </c>
      <c r="V287" s="55">
        <f>IF($B287=$B286,$V286,0)+$U287</f>
        <v/>
      </c>
      <c r="W287" s="55">
        <f>$W286+$U287</f>
        <v/>
      </c>
      <c r="X287" s="55">
        <f>$F287+$U287</f>
        <v/>
      </c>
      <c r="Y287" s="55">
        <f>IF($B287=$B286,$Y286,0)+$X287</f>
        <v/>
      </c>
      <c r="Z287" s="55">
        <f>$Z286+$X287</f>
        <v/>
      </c>
      <c r="AA287" s="56">
        <f>IFERROR(IF(($F287)&gt;0,($U287)/($F287),""),"")</f>
        <v/>
      </c>
      <c r="AB287" s="56">
        <f>IFERROR(IF(($G287)&gt;0,($V287)/($G287),""),"")</f>
        <v/>
      </c>
      <c r="AC287" s="56">
        <f>IFERROR(IF(($H287)&gt;0,($W287)/($H287),""),"")</f>
        <v/>
      </c>
      <c r="AD287" s="55">
        <f>SUMIFS(tblMovement[Tonnes_t],tblMovement[Date],$A287,tblMovement[Source_Type],"Stockpile")</f>
        <v/>
      </c>
      <c r="AE287" s="55">
        <f>IF($B287=$B286,$AE286,0)+$AD287</f>
        <v/>
      </c>
      <c r="AF287" s="55">
        <f>$AF286+$AD287</f>
        <v/>
      </c>
      <c r="AG287" s="55">
        <f>SUMIFS(tblMovement[Tonnes_t],tblMovement[Date],$A287)</f>
        <v/>
      </c>
      <c r="AH287" s="55">
        <f>IF($B287=$B286,$AH286,0)+$AG287</f>
        <v/>
      </c>
      <c r="AI287" s="55">
        <f>$AI286+$AG287</f>
        <v/>
      </c>
      <c r="AJ287" s="55">
        <f>$AG287-$X287-$AD287</f>
        <v/>
      </c>
      <c r="AK287" s="55">
        <f>IF($B287=$B286,$AK286,0)+$AJ287</f>
        <v/>
      </c>
      <c r="AL287" s="55">
        <f>$AL286+$AJ287</f>
        <v/>
      </c>
      <c r="AM287" s="55">
        <f>SUMIFS(tblMiningDaily[Drill_m],tblMiningDaily[Date],$A287)</f>
        <v/>
      </c>
      <c r="AN287" s="55">
        <f>IF($B287=$B286,$AN286,0)+$AM287</f>
        <v/>
      </c>
      <c r="AO287" s="55">
        <f>$AO286+$AM287</f>
        <v/>
      </c>
      <c r="AP287" s="55">
        <f>SUMIFS(tblMiningDaily[GC_Drill_m],tblMiningDaily[Date],$A287)</f>
        <v/>
      </c>
      <c r="AQ287" s="55">
        <f>IF($B287=$B286,$AQ286,0)+$AP287</f>
        <v/>
      </c>
      <c r="AR287" s="55">
        <f>$AR286+$AP287</f>
        <v/>
      </c>
      <c r="AS287" s="55">
        <f>SUMIFS(tblMiningDaily[Blast_t],tblMiningDaily[Date],$A287)</f>
        <v/>
      </c>
      <c r="AT287" s="55">
        <f>IF($B287=$B286,$AT286,0)+$AS287</f>
        <v/>
      </c>
      <c r="AU287" s="55">
        <f>$AU286+$AS287</f>
        <v/>
      </c>
      <c r="AV287" s="55">
        <f>SUMIFS(tblMiningDaily[Explosives_kg],tblMiningDaily[Date],$A287)</f>
        <v/>
      </c>
      <c r="AW287" s="55">
        <f>IF($B287=$B286,$AW286,0)+$AV287</f>
        <v/>
      </c>
      <c r="AX287" s="55">
        <f>$AX286+$AV287</f>
        <v/>
      </c>
      <c r="AY287" s="56">
        <f>IFERROR(IF(($AS287)&gt;0,($AV287)/($AS287),""),"")</f>
        <v/>
      </c>
      <c r="AZ287" s="56">
        <f>IFERROR(IF(($AT287)&gt;0,($AW287)/($AT287),""),"")</f>
        <v/>
      </c>
      <c r="BA287" s="56">
        <f>IFERROR(IF(($AU287)&gt;0,($AX287)/($AU287),""),"")</f>
        <v/>
      </c>
      <c r="BB287" s="55">
        <f>SUMIFS(tblMiningDaily[Diesel_L],tblMiningDaily[Date],$A287)</f>
        <v/>
      </c>
      <c r="BC287" s="55">
        <f>IF($B287=$B286,$BC286,0)+$BB287</f>
        <v/>
      </c>
      <c r="BD287" s="55">
        <f>$BD286+$BB287</f>
        <v/>
      </c>
      <c r="BE287" s="55">
        <f>SUMIFS(tblMiningDaily[Dewatering_m3],tblMiningDaily[Date],$A287)</f>
        <v/>
      </c>
      <c r="BF287" s="55">
        <f>IF($B287=$B286,$BF286,0)+$BE287</f>
        <v/>
      </c>
      <c r="BG287" s="55">
        <f>$BG286+$BE287</f>
        <v/>
      </c>
      <c r="BH287" s="57">
        <f>SUMIFS(tblFleet[Calendar_h],tblFleet[Date],$A287,tblFleet[Equipment_Class],"Excavator")</f>
        <v/>
      </c>
      <c r="BI287" s="57">
        <f>IF($B287=$B286,$BI286,0)+$BH287</f>
        <v/>
      </c>
      <c r="BJ287" s="57">
        <f>$BJ286+$BH287</f>
        <v/>
      </c>
      <c r="BK287" s="57">
        <f>SUMIFS(tblFleet[Available_h],tblFleet[Date],$A287,tblFleet[Equipment_Class],"Excavator")</f>
        <v/>
      </c>
      <c r="BL287" s="57">
        <f>IF($B287=$B286,$BL286,0)+$BK287</f>
        <v/>
      </c>
      <c r="BM287" s="57">
        <f>$BM286+$BK287</f>
        <v/>
      </c>
      <c r="BN287" s="57">
        <f>SUMIFS(tblFleet[Operating_h],tblFleet[Date],$A287,tblFleet[Equipment_Class],"Excavator")</f>
        <v/>
      </c>
      <c r="BO287" s="57">
        <f>IF($B287=$B286,$BO286,0)+$BN287</f>
        <v/>
      </c>
      <c r="BP287" s="57">
        <f>$BP286+$BN287</f>
        <v/>
      </c>
      <c r="BQ287" s="67">
        <f>IFERROR(IF(($BH287)&gt;0,($BK287)/($BH287),""),"")</f>
        <v/>
      </c>
      <c r="BR287" s="67">
        <f>IFERROR(IF(($BI287)&gt;0,($BL287)/($BI287),""),"")</f>
        <v/>
      </c>
      <c r="BS287" s="67">
        <f>IFERROR(IF(($BJ287)&gt;0,($BM287)/($BJ287),""),"")</f>
        <v/>
      </c>
      <c r="BT287" s="67">
        <f>IFERROR(IF(($BK287)&gt;0,($BN287)/($BK287),""),"")</f>
        <v/>
      </c>
      <c r="BU287" s="67">
        <f>IFERROR(IF(($BL287)&gt;0,($BO287)/($BL287),""),"")</f>
        <v/>
      </c>
      <c r="BV287" s="67">
        <f>IFERROR(IF(($BM287)&gt;0,($BP287)/($BM287),""),"")</f>
        <v/>
      </c>
      <c r="BW287" s="57">
        <f>SUMIFS(tblFleet[Calendar_h],tblFleet[Date],$A287,tblFleet[Equipment_Class],"Haul Truck")</f>
        <v/>
      </c>
      <c r="BX287" s="57">
        <f>IF($B287=$B286,$BX286,0)+$BW287</f>
        <v/>
      </c>
      <c r="BY287" s="57">
        <f>$BY286+$BW287</f>
        <v/>
      </c>
      <c r="BZ287" s="57">
        <f>SUMIFS(tblFleet[Available_h],tblFleet[Date],$A287,tblFleet[Equipment_Class],"Haul Truck")</f>
        <v/>
      </c>
      <c r="CA287" s="57">
        <f>IF($B287=$B286,$CA286,0)+$BZ287</f>
        <v/>
      </c>
      <c r="CB287" s="57">
        <f>$CB286+$BZ287</f>
        <v/>
      </c>
      <c r="CC287" s="57">
        <f>SUMIFS(tblFleet[Operating_h],tblFleet[Date],$A287,tblFleet[Equipment_Class],"Haul Truck")</f>
        <v/>
      </c>
      <c r="CD287" s="57">
        <f>IF($B287=$B286,$CD286,0)+$CC287</f>
        <v/>
      </c>
      <c r="CE287" s="57">
        <f>$CE286+$CC287</f>
        <v/>
      </c>
      <c r="CF287" s="67">
        <f>IFERROR(IF(($BW287)&gt;0,($BZ287)/($BW287),""),"")</f>
        <v/>
      </c>
      <c r="CG287" s="67">
        <f>IFERROR(IF(($BX287)&gt;0,($CA287)/($BX287),""),"")</f>
        <v/>
      </c>
      <c r="CH287" s="67">
        <f>IFERROR(IF(($BY287)&gt;0,($CB287)/($BY287),""),"")</f>
        <v/>
      </c>
      <c r="CI287" s="67">
        <f>IFERROR(IF(($BZ287)&gt;0,($CC287)/($BZ287),""),"")</f>
        <v/>
      </c>
      <c r="CJ287" s="67">
        <f>IFERROR(IF(($CA287)&gt;0,($CD287)/($CA287),""),"")</f>
        <v/>
      </c>
      <c r="CK287" s="67">
        <f>IFERROR(IF(($CB287)&gt;0,($CE287)/($CB287),""),"")</f>
        <v/>
      </c>
      <c r="CL287" s="55">
        <f>IFERROR(IF(($BN287)&gt;0,($X287+$AD287)/($BN287),""),"")</f>
        <v/>
      </c>
      <c r="CM287" s="55">
        <f>IFERROR(IF(($BO287)&gt;0,($Y287+$AE287)/($BO287),""),"")</f>
        <v/>
      </c>
      <c r="CN287" s="55">
        <f>IFERROR(IF(($BP287)&gt;0,($Z287+$AF287)/($BP287),""),"")</f>
        <v/>
      </c>
      <c r="CO287" s="55">
        <f>IFERROR(IF(($CC287)&gt;0,($X287+$AD287)/($CC287),""),"")</f>
        <v/>
      </c>
      <c r="CP287" s="55">
        <f>IFERROR(IF(($CD287)&gt;0,($Y287+$AE287)/($CD287),""),"")</f>
        <v/>
      </c>
      <c r="CQ287" s="55">
        <f>IFERROR(IF(($CE287)&gt;0,($Z287+$AF287)/($CE287),""),"")</f>
        <v/>
      </c>
      <c r="CR287" s="55">
        <f>SUMIFS(tblPlant[Crushed_t],tblPlant[Date],$A287)</f>
        <v/>
      </c>
      <c r="CS287" s="55">
        <f>IF($B287=$B286,$CS286,0)+$CR287</f>
        <v/>
      </c>
      <c r="CT287" s="55">
        <f>$CT286+$CR287</f>
        <v/>
      </c>
      <c r="CU287" s="55">
        <f>SUMIFS(tblPlant[Milled_t],tblPlant[Date],$A287)</f>
        <v/>
      </c>
      <c r="CV287" s="55">
        <f>IF($B287=$B286,$CV286,0)+$CU287</f>
        <v/>
      </c>
      <c r="CW287" s="55">
        <f>$CW286+$CU287</f>
        <v/>
      </c>
      <c r="CX287" s="55">
        <f>SUMIFS(tblPlant[Feed_oz],tblPlant[Date],$A287)</f>
        <v/>
      </c>
      <c r="CY287" s="55">
        <f>IF($B287=$B286,$CY286,0)+$CX287</f>
        <v/>
      </c>
      <c r="CZ287" s="55">
        <f>$CZ286+$CX287</f>
        <v/>
      </c>
      <c r="DA287" s="55">
        <f>SUMIFS(tblPlant[Tails_oz],tblPlant[Date],$A287)</f>
        <v/>
      </c>
      <c r="DB287" s="55">
        <f>IF($B287=$B286,$DB286,0)+$DA287</f>
        <v/>
      </c>
      <c r="DC287" s="55">
        <f>$DC286+$DA287</f>
        <v/>
      </c>
      <c r="DD287" s="55">
        <f>SUMIFS(tblPlant[Recovered_oz],tblPlant[Date],$A287)</f>
        <v/>
      </c>
      <c r="DE287" s="55">
        <f>IF($B287=$B286,$DE286,0)+$DD287</f>
        <v/>
      </c>
      <c r="DF287" s="55">
        <f>$DF286+$DD287</f>
        <v/>
      </c>
      <c r="DG287" s="55">
        <f>SUMIFS(tblPlant[Milled_t],tblPlant[Date],$A287,tblPlant[Head_Grade_gpt],"&lt;&gt;")</f>
        <v/>
      </c>
      <c r="DH287" s="55">
        <f>IF($B287=$B286,$DH286,0)+$DG287</f>
        <v/>
      </c>
      <c r="DI287" s="55">
        <f>$DI286+$DG287</f>
        <v/>
      </c>
      <c r="DJ287" s="55">
        <f>SUMIFS(tblPlant[Milled_t],tblPlant[Date],$A287,tblPlant[Tails_Grade_gpt],"&lt;&gt;")</f>
        <v/>
      </c>
      <c r="DK287" s="55">
        <f>IF($B287=$B286,$DK286,0)+$DJ287</f>
        <v/>
      </c>
      <c r="DL287" s="55">
        <f>$DL286+$DJ287</f>
        <v/>
      </c>
      <c r="DM287" s="55">
        <f>SUMIFS(tblPlant[Feed_oz],tblPlant[Date],$A287,tblPlant[Tails_Grade_gpt],"&lt;&gt;")</f>
        <v/>
      </c>
      <c r="DN287" s="55">
        <f>IF($B287=$B286,$DN286,0)+$DM287</f>
        <v/>
      </c>
      <c r="DO287" s="55">
        <f>$DO286+$DM287</f>
        <v/>
      </c>
      <c r="DP287" s="55">
        <f>SUMIFS(tblPlant[Milled_t],tblPlant[Date],$A287,tblPlant[Mill_Run_h],"&lt;&gt;")</f>
        <v/>
      </c>
      <c r="DQ287" s="55">
        <f>IF($B287=$B286,$DQ286,0)+$DP287</f>
        <v/>
      </c>
      <c r="DR287" s="55">
        <f>$DR286+$DP287</f>
        <v/>
      </c>
      <c r="DS287" s="56">
        <f>IFERROR(IF(($DG287)&gt;0,($CX287*cfg_TroyOz)/($DG287),""),"")</f>
        <v/>
      </c>
      <c r="DT287" s="56">
        <f>IFERROR(IF(($DH287)&gt;0,($CY287*cfg_TroyOz)/($DH287),""),"")</f>
        <v/>
      </c>
      <c r="DU287" s="56">
        <f>IFERROR(IF(($DI287)&gt;0,($CZ287*cfg_TroyOz)/($DI287),""),"")</f>
        <v/>
      </c>
      <c r="DV287" s="56">
        <f>IFERROR(IF(($DJ287)&gt;0,($DA287*cfg_TroyOz)/($DJ287),""),"")</f>
        <v/>
      </c>
      <c r="DW287" s="56">
        <f>IFERROR(IF(($DK287)&gt;0,($DB287*cfg_TroyOz)/($DK287),""),"")</f>
        <v/>
      </c>
      <c r="DX287" s="56">
        <f>IFERROR(IF(($DL287)&gt;0,($DC287*cfg_TroyOz)/($DL287),""),"")</f>
        <v/>
      </c>
      <c r="DY287" s="67">
        <f>IFERROR(IF(($DM287)&gt;0,($DD287)/($DM287),""),"")</f>
        <v/>
      </c>
      <c r="DZ287" s="67">
        <f>IFERROR(IF(($DN287)&gt;0,($DE287)/($DN287),""),"")</f>
        <v/>
      </c>
      <c r="EA287" s="67">
        <f>IFERROR(IF(($DO287)&gt;0,($DF287)/($DO287),""),"")</f>
        <v/>
      </c>
      <c r="EB287" s="55">
        <f>SUMIFS(tblPlant[Gravity_Gold_oz],tblPlant[Date],$A287)</f>
        <v/>
      </c>
      <c r="EC287" s="55">
        <f>IF($B287=$B286,$EC286,0)+$EB287</f>
        <v/>
      </c>
      <c r="ED287" s="55">
        <f>$ED286+$EB287</f>
        <v/>
      </c>
      <c r="EE287" s="67">
        <f>IFERROR(IF(($DD287)&gt;0,($EB287)/($DD287),""),"")</f>
        <v/>
      </c>
      <c r="EF287" s="67">
        <f>IFERROR(IF(($DE287)&gt;0,($EC287)/($DE287),""),"")</f>
        <v/>
      </c>
      <c r="EG287" s="67">
        <f>IFERROR(IF(($DF287)&gt;0,($ED287)/($DF287),""),"")</f>
        <v/>
      </c>
      <c r="EH287" s="55">
        <f>SUMIFS(tblPlant[Gold_Poured_oz],tblPlant[Date],$A287)</f>
        <v/>
      </c>
      <c r="EI287" s="55">
        <f>IF($B287=$B286,$EI286,0)+$EH287</f>
        <v/>
      </c>
      <c r="EJ287" s="55">
        <f>$EJ286+$EH287</f>
        <v/>
      </c>
      <c r="EK287" s="57">
        <f>SUMIFS(tblPlant[Mill_Run_h],tblPlant[Date],$A287)</f>
        <v/>
      </c>
      <c r="EL287" s="57">
        <f>IF($B287=$B286,$EL286,0)+$EK287</f>
        <v/>
      </c>
      <c r="EM287" s="57">
        <f>$EM286+$EK287</f>
        <v/>
      </c>
      <c r="EN287" s="57">
        <f>SUMIFS(tblPlant[Mill_Planned_Maint_h],tblPlant[Date],$A287)</f>
        <v/>
      </c>
      <c r="EO287" s="57">
        <f>IF($B287=$B286,$EO286,0)+$EN287</f>
        <v/>
      </c>
      <c r="EP287" s="57">
        <f>$EP286+$EN287</f>
        <v/>
      </c>
      <c r="EQ287" s="57">
        <f>SUMIFS(tblPlant[Mill_Unplanned_Down_h],tblPlant[Date],$A287)</f>
        <v/>
      </c>
      <c r="ER287" s="57">
        <f>IF($B287=$B286,$ER286,0)+$EQ287</f>
        <v/>
      </c>
      <c r="ES287" s="57">
        <f>$ES286+$EQ287</f>
        <v/>
      </c>
      <c r="ET287" s="57">
        <f>IF(COUNTIFS(tblPlant[Date],$A287,tblPlant[Mill_Run_h],"&lt;&gt;")+COUNTIFS(tblPlant[Date],$A287,tblPlant[Mill_Planned_Maint_h],"&lt;&gt;")+COUNTIFS(tblPlant[Date],$A287,tblPlant[Mill_Unplanned_Down_h],"&lt;&gt;")&gt;0,cfg_HoursPerDay,0)</f>
        <v/>
      </c>
      <c r="EU287" s="57">
        <f>IF($B287=$B286,$EU286,0)+$ET287</f>
        <v/>
      </c>
      <c r="EV287" s="57">
        <f>$EV286+$ET287</f>
        <v/>
      </c>
      <c r="EW287" s="57">
        <f>SUMIFS(tblPlant[Crusher_Run_h],tblPlant[Date],$A287)</f>
        <v/>
      </c>
      <c r="EX287" s="57">
        <f>IF($B287=$B286,$EX286,0)+$EW287</f>
        <v/>
      </c>
      <c r="EY287" s="57">
        <f>$EY286+$EW287</f>
        <v/>
      </c>
      <c r="EZ287" s="55">
        <f>IFERROR(IF(($EK287)&gt;0,($DP287)/($EK287),""),"")</f>
        <v/>
      </c>
      <c r="FA287" s="55">
        <f>IFERROR(IF(($EL287)&gt;0,($DQ287)/($EL287),""),"")</f>
        <v/>
      </c>
      <c r="FB287" s="55">
        <f>IFERROR(IF(($EM287)&gt;0,($DR287)/($EM287),""),"")</f>
        <v/>
      </c>
      <c r="FC287" s="67">
        <f>IFERROR(IF(($ET287)&gt;0,($ET287-$EN287-$EQ287)/($ET287),""),"")</f>
        <v/>
      </c>
      <c r="FD287" s="67">
        <f>IFERROR(IF(($EU287)&gt;0,($EU287-$EO287-$ER287)/($EU287),""),"")</f>
        <v/>
      </c>
      <c r="FE287" s="67">
        <f>IFERROR(IF(($EV287)&gt;0,($EV287-$EP287-$ES287)/($EV287),""),"")</f>
        <v/>
      </c>
      <c r="FF287" s="67">
        <f>IFERROR(IF(($ET287-$EN287-$EQ287)&gt;0,($EK287)/($ET287-$EN287-$EQ287),""),"")</f>
        <v/>
      </c>
      <c r="FG287" s="67">
        <f>IFERROR(IF(($EU287-$EO287-$ER287)&gt;0,($EL287)/($EU287-$EO287-$ER287),""),"")</f>
        <v/>
      </c>
      <c r="FH287" s="67">
        <f>IFERROR(IF(($EV287-$EP287-$ES287)&gt;0,($EM287)/($EV287-$EP287-$ES287),""),"")</f>
        <v/>
      </c>
      <c r="FI287" s="55">
        <f>SUMIFS(tblPlant[Cyanide_kg],tblPlant[Date],$A287)</f>
        <v/>
      </c>
      <c r="FJ287" s="55">
        <f>IF($B287=$B286,$FJ286,0)+$FI287</f>
        <v/>
      </c>
      <c r="FK287" s="55">
        <f>$FK286+$FI287</f>
        <v/>
      </c>
      <c r="FL287" s="55">
        <f>SUMIFS(tblPlant[Lime_kg],tblPlant[Date],$A287)</f>
        <v/>
      </c>
      <c r="FM287" s="55">
        <f>IF($B287=$B286,$FM286,0)+$FL287</f>
        <v/>
      </c>
      <c r="FN287" s="55">
        <f>$FN286+$FL287</f>
        <v/>
      </c>
      <c r="FO287" s="55">
        <f>SUMIFS(tblPlant[Grinding_Media_kg],tblPlant[Date],$A287)</f>
        <v/>
      </c>
      <c r="FP287" s="55">
        <f>IF($B287=$B286,$FP286,0)+$FO287</f>
        <v/>
      </c>
      <c r="FQ287" s="55">
        <f>$FQ286+$FO287</f>
        <v/>
      </c>
      <c r="FR287" s="55">
        <f>SUMIFS(tblPlant[Power_kWh],tblPlant[Date],$A287)</f>
        <v/>
      </c>
      <c r="FS287" s="55">
        <f>IF($B287=$B286,$FS286,0)+$FR287</f>
        <v/>
      </c>
      <c r="FT287" s="55">
        <f>$FT286+$FR287</f>
        <v/>
      </c>
      <c r="FU287" s="55">
        <f>SUMIFS(tblPlant[Raw_Water_m3],tblPlant[Date],$A287)</f>
        <v/>
      </c>
      <c r="FV287" s="55">
        <f>IF($B287=$B286,$FV286,0)+$FU287</f>
        <v/>
      </c>
      <c r="FW287" s="55">
        <f>$FW286+$FU287</f>
        <v/>
      </c>
      <c r="FX287" s="56">
        <f>IFERROR(IF(($CU287)&gt;0,($FI287)/($CU287),""),"")</f>
        <v/>
      </c>
      <c r="FY287" s="56">
        <f>IFERROR(IF(($CV287)&gt;0,($FJ287)/($CV287),""),"")</f>
        <v/>
      </c>
      <c r="FZ287" s="56">
        <f>IFERROR(IF(($CW287)&gt;0,($FK287)/($CW287),""),"")</f>
        <v/>
      </c>
      <c r="GA287" s="56">
        <f>IFERROR(IF(($CU287)&gt;0,($FL287)/($CU287),""),"")</f>
        <v/>
      </c>
      <c r="GB287" s="56">
        <f>IFERROR(IF(($CV287)&gt;0,($FM287)/($CV287),""),"")</f>
        <v/>
      </c>
      <c r="GC287" s="56">
        <f>IFERROR(IF(($CW287)&gt;0,($FN287)/($CW287),""),"")</f>
        <v/>
      </c>
      <c r="GD287" s="56">
        <f>IFERROR(IF(($CU287)&gt;0,($FO287)/($CU287),""),"")</f>
        <v/>
      </c>
      <c r="GE287" s="56">
        <f>IFERROR(IF(($CV287)&gt;0,($FP287)/($CV287),""),"")</f>
        <v/>
      </c>
      <c r="GF287" s="56">
        <f>IFERROR(IF(($CW287)&gt;0,($FQ287)/($CW287),""),"")</f>
        <v/>
      </c>
      <c r="GG287" s="79">
        <f>IFERROR(IF(($CU287)&gt;0,($FR287)/($CU287),""),"")</f>
        <v/>
      </c>
      <c r="GH287" s="79">
        <f>IFERROR(IF(($CV287)&gt;0,($FS287)/($CV287),""),"")</f>
        <v/>
      </c>
      <c r="GI287" s="79">
        <f>IFERROR(IF(($CW287)&gt;0,($FT287)/($CW287),""),"")</f>
        <v/>
      </c>
      <c r="GJ287" s="56">
        <f>IFERROR(IF(($CU287)&gt;0,($FU287)/($CU287),""),"")</f>
        <v/>
      </c>
      <c r="GK287" s="56">
        <f>IFERROR(IF(($CV287)&gt;0,($FV287)/($CV287),""),"")</f>
        <v/>
      </c>
      <c r="GL287" s="56">
        <f>IFERROR(IF(($CW287)&gt;0,($FW287)/($CW287),""),"")</f>
        <v/>
      </c>
      <c r="GM287" s="55">
        <f>IF(SUMIFS(tblPlant[GIC_oz],tblPlant[Date],$A287)&gt;0,SUMIFS(tblPlant[GIC_oz],tblPlant[Date],$A287),"")</f>
        <v/>
      </c>
      <c r="GN287" s="55">
        <f>SUMIFS(tblGold[Gold_oz],tblGold[Date],$A287,tblGold[Type],"Shipment")</f>
        <v/>
      </c>
      <c r="GO287" s="55">
        <f>IF($B287=$B286,$GO286,0)+$GN287</f>
        <v/>
      </c>
      <c r="GP287" s="55">
        <f>$GP286+$GN287</f>
        <v/>
      </c>
      <c r="GQ287" s="55">
        <f>SUMIFS(tblGold[Gold_oz],tblGold[Date],$A287,tblGold[Type],"Sale")</f>
        <v/>
      </c>
      <c r="GR287" s="55">
        <f>IF($B287=$B286,$GR286,0)+$GQ287</f>
        <v/>
      </c>
      <c r="GS287" s="55">
        <f>$GS286+$GQ287</f>
        <v/>
      </c>
      <c r="GT287" s="55">
        <f>SUMIFS(tblGold[Dore_kg],tblGold[Date],$A287,tblGold[Type],"Shipment")</f>
        <v/>
      </c>
      <c r="GU287" s="55">
        <f>IF($B287=$B286,$GU286,0)+$GT287</f>
        <v/>
      </c>
      <c r="GV287" s="55">
        <f>$GV286+$GT287</f>
        <v/>
      </c>
      <c r="GW287" s="57">
        <f>SUMIFS(tblSafety[Hours_Total],tblSafety[Date],$A287)</f>
        <v/>
      </c>
      <c r="GX287" s="57">
        <f>IF($B287=$B286,$GX286,0)+$GW287</f>
        <v/>
      </c>
      <c r="GY287" s="57">
        <f>$GY286+$GW287</f>
        <v/>
      </c>
      <c r="GZ287" s="62">
        <f>SUMIFS(tblSafety[Fatality],tblSafety[Date],$A287)</f>
        <v/>
      </c>
      <c r="HA287" s="62">
        <f>IF($B287=$B286,$HA286,0)+$GZ287</f>
        <v/>
      </c>
      <c r="HB287" s="62">
        <f>$HB286+$GZ287</f>
        <v/>
      </c>
      <c r="HC287" s="62">
        <f>SUMIFS(tblSafety[LTI],tblSafety[Date],$A287)</f>
        <v/>
      </c>
      <c r="HD287" s="62">
        <f>IF($B287=$B286,$HD286,0)+$HC287</f>
        <v/>
      </c>
      <c r="HE287" s="62">
        <f>$HE286+$HC287</f>
        <v/>
      </c>
      <c r="HF287" s="62">
        <f>SUMIFS(tblSafety[RWI],tblSafety[Date],$A287)</f>
        <v/>
      </c>
      <c r="HG287" s="62">
        <f>IF($B287=$B286,$HG286,0)+$HF287</f>
        <v/>
      </c>
      <c r="HH287" s="62">
        <f>$HH286+$HF287</f>
        <v/>
      </c>
      <c r="HI287" s="62">
        <f>SUMIFS(tblSafety[MTI],tblSafety[Date],$A287)</f>
        <v/>
      </c>
      <c r="HJ287" s="62">
        <f>IF($B287=$B286,$HJ286,0)+$HI287</f>
        <v/>
      </c>
      <c r="HK287" s="62">
        <f>$HK286+$HI287</f>
        <v/>
      </c>
      <c r="HL287" s="62">
        <f>SUMIFS(tblSafety[FAI],tblSafety[Date],$A287)</f>
        <v/>
      </c>
      <c r="HM287" s="62">
        <f>IF($B287=$B286,$HM286,0)+$HL287</f>
        <v/>
      </c>
      <c r="HN287" s="62">
        <f>$HN286+$HL287</f>
        <v/>
      </c>
      <c r="HO287" s="62">
        <f>SUMIFS(tblSafety[Recordables],tblSafety[Date],$A287)</f>
        <v/>
      </c>
      <c r="HP287" s="62">
        <f>IF($B287=$B286,$HP286,0)+$HO287</f>
        <v/>
      </c>
      <c r="HQ287" s="62">
        <f>$HQ286+$HO287</f>
        <v/>
      </c>
      <c r="HR287" s="62">
        <f>SUMIFS(tblSafety[Near_Miss],tblSafety[Date],$A287)</f>
        <v/>
      </c>
      <c r="HS287" s="62">
        <f>IF($B287=$B286,$HS286,0)+$HR287</f>
        <v/>
      </c>
      <c r="HT287" s="62">
        <f>$HT286+$HR287</f>
        <v/>
      </c>
      <c r="HU287" s="62">
        <f>SUMIFS(tblSafety[Hazard_Reports],tblSafety[Date],$A287)</f>
        <v/>
      </c>
      <c r="HV287" s="62">
        <f>IF($B287=$B286,$HV286,0)+$HU287</f>
        <v/>
      </c>
      <c r="HW287" s="62">
        <f>$HW286+$HU287</f>
        <v/>
      </c>
      <c r="HX287" s="62">
        <f>SUMIFS(tblSafety[HPI],tblSafety[Date],$A287)</f>
        <v/>
      </c>
      <c r="HY287" s="62">
        <f>IF($B287=$B286,$HY286,0)+$HX287</f>
        <v/>
      </c>
      <c r="HZ287" s="62">
        <f>$HZ286+$HX287</f>
        <v/>
      </c>
      <c r="IA287" s="62">
        <f>SUMIFS(tblSafety[Env_Incidents],tblSafety[Date],$A287)</f>
        <v/>
      </c>
      <c r="IB287" s="62">
        <f>IF($B287=$B286,$IB286,0)+$IA287</f>
        <v/>
      </c>
      <c r="IC287" s="62">
        <f>$IC286+$IA287</f>
        <v/>
      </c>
      <c r="ID287" s="62">
        <f>SUMIFS(tblSafety[Community_Incidents],tblSafety[Date],$A287)</f>
        <v/>
      </c>
      <c r="IE287" s="62">
        <f>IF($B287=$B286,$IE286,0)+$ID287</f>
        <v/>
      </c>
      <c r="IF287" s="62">
        <f>$IF286+$ID287</f>
        <v/>
      </c>
      <c r="IG287" s="62">
        <f>SUMIFS(tblSafety[Vehicle_Incidents],tblSafety[Date],$A287)</f>
        <v/>
      </c>
      <c r="IH287" s="62">
        <f>IF($B287=$B286,$IH286,0)+$IG287</f>
        <v/>
      </c>
      <c r="II287" s="62">
        <f>$II286+$IG287</f>
        <v/>
      </c>
      <c r="IJ287" s="62">
        <f>SUMIFS(tblSafety[Toolbox_Talks],tblSafety[Date],$A287)</f>
        <v/>
      </c>
      <c r="IK287" s="62">
        <f>IF($B287=$B286,$IK286,0)+$IJ287</f>
        <v/>
      </c>
      <c r="IL287" s="62">
        <f>$IL286+$IJ287</f>
        <v/>
      </c>
      <c r="IM287" s="62">
        <f>SUMIFS(tblSafety[Inspections],tblSafety[Date],$A287)</f>
        <v/>
      </c>
      <c r="IN287" s="62">
        <f>IF($B287=$B286,$IN286,0)+$IM287</f>
        <v/>
      </c>
      <c r="IO287" s="62">
        <f>$IO286+$IM287</f>
        <v/>
      </c>
      <c r="IP287" s="56">
        <f>IFERROR((SUMIFS(tblSafety[Recordables],tblSafety[Date],"&gt;="&amp;EDATE($E287,-12),tblSafety[Date],"&lt;="&amp;$A287)+SUMIFS(tblSafetyHistory[Recordables],tblSafetyHistory[Month],"&gt;="&amp;EDATE($E287,-12),tblSafetyHistory[Month],"&lt;"&amp;$E287,tblSafetyHistory[Use],1))/(SUMIFS(tblSafety[Hours_Total],tblSafety[Date],"&gt;="&amp;EDATE($E287,-12),tblSafety[Date],"&lt;="&amp;$A287)+SUMIFS(tblSafetyHistory[Hours_Total],tblSafetyHistory[Month],"&gt;="&amp;EDATE($E287,-12),tblSafetyHistory[Month],"&lt;"&amp;$E287,tblSafetyHistory[Use],1))*cfg_RateBasisHours,"")</f>
        <v/>
      </c>
      <c r="IQ287" s="56">
        <f>IFERROR((SUMIFS(tblSafety[LTI],tblSafety[Date],"&gt;="&amp;EDATE($E287,-12),tblSafety[Date],"&lt;="&amp;$A287)+SUMIFS(tblSafetyHistory[LTI],tblSafetyHistory[Month],"&gt;="&amp;EDATE($E287,-12),tblSafetyHistory[Month],"&lt;"&amp;$E287,tblSafetyHistory[Use],1))/(SUMIFS(tblSafety[Hours_Total],tblSafety[Date],"&gt;="&amp;EDATE($E287,-12),tblSafety[Date],"&lt;="&amp;$A287)+SUMIFS(tblSafetyHistory[Hours_Total],tblSafetyHistory[Month],"&gt;="&amp;EDATE($E287,-12),tblSafetyHistory[Month],"&lt;"&amp;$E287,tblSafetyHistory[Use],1))*cfg_RateBasisHours,"")</f>
        <v/>
      </c>
      <c r="IR287" s="62">
        <f>IF(MAX(N(cfg_PriorLTIDate),_xlfn.MAXIFS(tblSafety[Date],tblSafety[LTI],"&gt;0",tblSafety[Date],"&lt;="&amp;$A287))=0,"",$A287-MAX(N(cfg_PriorLTIDate),_xlfn.MAXIFS(tblSafety[Date],tblSafety[LTI],"&gt;0",tblSafety[Date],"&lt;="&amp;$A287)))</f>
        <v/>
      </c>
      <c r="IS287" s="55">
        <f>SUMIFS(tblBudget[Ore_Mined_t],tblBudget[Month],$E287)</f>
        <v/>
      </c>
      <c r="IT287" s="55">
        <f>$IS287*$C287/$D287</f>
        <v/>
      </c>
      <c r="IU287" s="55">
        <f>SUMIFS(tblBudget[Ore_Mined_t],tblBudget[Month],"&lt;"&amp;$E287)+$IT287</f>
        <v/>
      </c>
      <c r="IV287" s="55">
        <f>SUMIFS(tblBudget[Ore_oz],tblBudget[Month],$E287)</f>
        <v/>
      </c>
      <c r="IW287" s="55">
        <f>$IV287*$C287/$D287</f>
        <v/>
      </c>
      <c r="IX287" s="55">
        <f>SUMIFS(tblBudget[Ore_oz],tblBudget[Month],"&lt;"&amp;$E287)+$IW287</f>
        <v/>
      </c>
      <c r="IY287" s="55">
        <f>SUMIFS(tblBudget[Ore_Mined_t],tblBudget[Month],$E287)</f>
        <v/>
      </c>
      <c r="IZ287" s="55">
        <f>$IY287*$C287/$D287</f>
        <v/>
      </c>
      <c r="JA287" s="55">
        <f>SUMIFS(tblBudget[Ore_Mined_t],tblBudget[Month],"&lt;"&amp;$E287)+$IZ287</f>
        <v/>
      </c>
      <c r="JB287" s="56">
        <f>IFERROR(IF(($IY287)&gt;0,($IV287*cfg_TroyOz)/($IY287),""),"")</f>
        <v/>
      </c>
      <c r="JC287" s="56">
        <f>IFERROR(IF(($IZ287)&gt;0,($IW287*cfg_TroyOz)/($IZ287),""),"")</f>
        <v/>
      </c>
      <c r="JD287" s="56">
        <f>IFERROR(IF(($JA287)&gt;0,($IX287*cfg_TroyOz)/($JA287),""),"")</f>
        <v/>
      </c>
      <c r="JE287" s="55">
        <f>SUMIFS(tblBudget[Waste_t],tblBudget[Month],$E287)</f>
        <v/>
      </c>
      <c r="JF287" s="55">
        <f>$JE287*$C287/$D287</f>
        <v/>
      </c>
      <c r="JG287" s="55">
        <f>SUMIFS(tblBudget[Waste_t],tblBudget[Month],"&lt;"&amp;$E287)+$JF287</f>
        <v/>
      </c>
      <c r="JH287" s="55">
        <f>SUMIFS(tblBudget[TMM_t],tblBudget[Month],$E287)</f>
        <v/>
      </c>
      <c r="JI287" s="55">
        <f>$JH287*$C287/$D287</f>
        <v/>
      </c>
      <c r="JJ287" s="55">
        <f>SUMIFS(tblBudget[TMM_t],tblBudget[Month],"&lt;"&amp;$E287)+$JI287</f>
        <v/>
      </c>
      <c r="JK287" s="56">
        <f>IFERROR(IF(($IS287)&gt;0,($JE287)/($IS287),""),"")</f>
        <v/>
      </c>
      <c r="JL287" s="56">
        <f>IFERROR(IF(($IT287)&gt;0,($JF287)/($IT287),""),"")</f>
        <v/>
      </c>
      <c r="JM287" s="56">
        <f>IFERROR(IF(($IU287)&gt;0,($JG287)/($IU287),""),"")</f>
        <v/>
      </c>
      <c r="JN287" s="55">
        <f>SUMIFS(tblBudget[Drill_m],tblBudget[Month],$E287)</f>
        <v/>
      </c>
      <c r="JO287" s="55">
        <f>$JN287*$C287/$D287</f>
        <v/>
      </c>
      <c r="JP287" s="55">
        <f>SUMIFS(tblBudget[Drill_m],tblBudget[Month],"&lt;"&amp;$E287)+$JO287</f>
        <v/>
      </c>
      <c r="JQ287" s="55">
        <f>SUMIFS(tblBudget[Diesel_L],tblBudget[Month],$E287)</f>
        <v/>
      </c>
      <c r="JR287" s="55">
        <f>$JQ287*$C287/$D287</f>
        <v/>
      </c>
      <c r="JS287" s="55">
        <f>SUMIFS(tblBudget[Diesel_L],tblBudget[Month],"&lt;"&amp;$E287)+$JR287</f>
        <v/>
      </c>
      <c r="JT287" s="55">
        <f>SUMIFS(tblBudget[Milled_t],tblBudget[Month],$E287)</f>
        <v/>
      </c>
      <c r="JU287" s="55">
        <f>$JT287*$C287/$D287</f>
        <v/>
      </c>
      <c r="JV287" s="55">
        <f>SUMIFS(tblBudget[Milled_t],tblBudget[Month],"&lt;"&amp;$E287)+$JU287</f>
        <v/>
      </c>
      <c r="JW287" s="55">
        <f>SUMIFS(tblBudget[Feed_oz],tblBudget[Month],$E287)</f>
        <v/>
      </c>
      <c r="JX287" s="55">
        <f>$JW287*$C287/$D287</f>
        <v/>
      </c>
      <c r="JY287" s="55">
        <f>SUMIFS(tblBudget[Feed_oz],tblBudget[Month],"&lt;"&amp;$E287)+$JX287</f>
        <v/>
      </c>
      <c r="JZ287" s="55">
        <f>SUMIFS(tblBudget[Recovered_oz],tblBudget[Month],$E287)</f>
        <v/>
      </c>
      <c r="KA287" s="55">
        <f>$JZ287*$C287/$D287</f>
        <v/>
      </c>
      <c r="KB287" s="55">
        <f>SUMIFS(tblBudget[Recovered_oz],tblBudget[Month],"&lt;"&amp;$E287)+$KA287</f>
        <v/>
      </c>
      <c r="KC287" s="55">
        <f>SUMIFS(tblBudget[Milled_t],tblBudget[Month],$E287)</f>
        <v/>
      </c>
      <c r="KD287" s="55">
        <f>$KC287*$C287/$D287</f>
        <v/>
      </c>
      <c r="KE287" s="55">
        <f>SUMIFS(tblBudget[Milled_t],tblBudget[Month],"&lt;"&amp;$E287)+$KD287</f>
        <v/>
      </c>
      <c r="KF287" s="55">
        <f>SUMIFS(tblBudget[Feed_oz],tblBudget[Month],$E287)</f>
        <v/>
      </c>
      <c r="KG287" s="55">
        <f>$KF287*$C287/$D287</f>
        <v/>
      </c>
      <c r="KH287" s="55">
        <f>SUMIFS(tblBudget[Feed_oz],tblBudget[Month],"&lt;"&amp;$E287)+$KG287</f>
        <v/>
      </c>
      <c r="KI287" s="56">
        <f>IFERROR(IF(($KC287)&gt;0,($JW287*cfg_TroyOz)/($KC287),""),"")</f>
        <v/>
      </c>
      <c r="KJ287" s="56">
        <f>IFERROR(IF(($KD287)&gt;0,($JX287*cfg_TroyOz)/($KD287),""),"")</f>
        <v/>
      </c>
      <c r="KK287" s="56">
        <f>IFERROR(IF(($KE287)&gt;0,($JY287*cfg_TroyOz)/($KE287),""),"")</f>
        <v/>
      </c>
      <c r="KL287" s="67">
        <f>IFERROR(IF(($KF287)&gt;0,($JZ287)/($KF287),""),"")</f>
        <v/>
      </c>
      <c r="KM287" s="67">
        <f>IFERROR(IF(($KG287)&gt;0,($KA287)/($KG287),""),"")</f>
        <v/>
      </c>
      <c r="KN287" s="67">
        <f>IFERROR(IF(($KH287)&gt;0,($KB287)/($KH287),""),"")</f>
        <v/>
      </c>
      <c r="KO287" s="55">
        <f>SUMIFS(tblBudget[Gold_Poured_oz],tblBudget[Month],$E287)</f>
        <v/>
      </c>
      <c r="KP287" s="55">
        <f>$KO287*$C287/$D287</f>
        <v/>
      </c>
      <c r="KQ287" s="55">
        <f>SUMIFS(tblBudget[Gold_Poured_oz],tblBudget[Month],"&lt;"&amp;$E287)+$KP287</f>
        <v/>
      </c>
      <c r="KR287" s="57">
        <f>SUMIFS(tblBudget[Hours_Worked],tblBudget[Month],$E287)</f>
        <v/>
      </c>
      <c r="KS287" s="57">
        <f>$KR287*$C287/$D287</f>
        <v/>
      </c>
      <c r="KT287" s="57">
        <f>SUMIFS(tblBudget[Hours_Worked],tblBudget[Month],"&lt;"&amp;$E287)+$KS287</f>
        <v/>
      </c>
    </row>
    <row r="288">
      <c r="A288" s="54" t="n">
        <v>46309</v>
      </c>
      <c r="B288">
        <f>MONTH($A288)</f>
        <v/>
      </c>
      <c r="C288">
        <f>DAY($A288)</f>
        <v/>
      </c>
      <c r="D288">
        <f>DAY(EOMONTH($A288,0))</f>
        <v/>
      </c>
      <c r="E288" s="54">
        <f>DATE(YEAR($A288),MONTH($A288),1)</f>
        <v/>
      </c>
      <c r="F288" s="55">
        <f>SUMIFS(tblMovement[Tonnes_t],tblMovement[Date],$A288,tblMovement[Is_Ore],1,tblMovement[Source_Type],"Pit")</f>
        <v/>
      </c>
      <c r="G288" s="55">
        <f>IF($B288=$B287,$G287,0)+$F288</f>
        <v/>
      </c>
      <c r="H288" s="55">
        <f>$H287+$F288</f>
        <v/>
      </c>
      <c r="I288" s="55">
        <f>SUMIFS(tblMovement[Ore_oz],tblMovement[Date],$A288,tblMovement[Source_Type],"Pit")</f>
        <v/>
      </c>
      <c r="J288" s="55">
        <f>IF($B288=$B287,$J287,0)+$I288</f>
        <v/>
      </c>
      <c r="K288" s="55">
        <f>$K287+$I288</f>
        <v/>
      </c>
      <c r="L288" s="55">
        <f>SUMIFS(tblMovement[Tonnes_t],tblMovement[Date],$A288,tblMovement[Is_Ore],1,tblMovement[Source_Type],"Pit",tblMovement[Grade_gpt],"&lt;&gt;")</f>
        <v/>
      </c>
      <c r="M288" s="55">
        <f>IF($B288=$B287,$M287,0)+$L288</f>
        <v/>
      </c>
      <c r="N288" s="55">
        <f>$N287+$L288</f>
        <v/>
      </c>
      <c r="O288" s="56">
        <f>IFERROR(IF(($L288)&gt;0,($I288*cfg_TroyOz)/($L288),""),"")</f>
        <v/>
      </c>
      <c r="P288" s="56">
        <f>IFERROR(IF(($M288)&gt;0,($J288*cfg_TroyOz)/($M288),""),"")</f>
        <v/>
      </c>
      <c r="Q288" s="56">
        <f>IFERROR(IF(($N288)&gt;0,($K288*cfg_TroyOz)/($N288),""),"")</f>
        <v/>
      </c>
      <c r="R288" s="55">
        <f>$F288-$L288</f>
        <v/>
      </c>
      <c r="S288" s="55">
        <f>IF($B288=$B287,$S287,0)+$R288</f>
        <v/>
      </c>
      <c r="T288" s="55">
        <f>$T287+$R288</f>
        <v/>
      </c>
      <c r="U288" s="55">
        <f>SUMIFS(tblMovement[Tonnes_t],tblMovement[Date],$A288,tblMovement[Is_Ore],0,tblMovement[Source_Type],"Pit")</f>
        <v/>
      </c>
      <c r="V288" s="55">
        <f>IF($B288=$B287,$V287,0)+$U288</f>
        <v/>
      </c>
      <c r="W288" s="55">
        <f>$W287+$U288</f>
        <v/>
      </c>
      <c r="X288" s="55">
        <f>$F288+$U288</f>
        <v/>
      </c>
      <c r="Y288" s="55">
        <f>IF($B288=$B287,$Y287,0)+$X288</f>
        <v/>
      </c>
      <c r="Z288" s="55">
        <f>$Z287+$X288</f>
        <v/>
      </c>
      <c r="AA288" s="56">
        <f>IFERROR(IF(($F288)&gt;0,($U288)/($F288),""),"")</f>
        <v/>
      </c>
      <c r="AB288" s="56">
        <f>IFERROR(IF(($G288)&gt;0,($V288)/($G288),""),"")</f>
        <v/>
      </c>
      <c r="AC288" s="56">
        <f>IFERROR(IF(($H288)&gt;0,($W288)/($H288),""),"")</f>
        <v/>
      </c>
      <c r="AD288" s="55">
        <f>SUMIFS(tblMovement[Tonnes_t],tblMovement[Date],$A288,tblMovement[Source_Type],"Stockpile")</f>
        <v/>
      </c>
      <c r="AE288" s="55">
        <f>IF($B288=$B287,$AE287,0)+$AD288</f>
        <v/>
      </c>
      <c r="AF288" s="55">
        <f>$AF287+$AD288</f>
        <v/>
      </c>
      <c r="AG288" s="55">
        <f>SUMIFS(tblMovement[Tonnes_t],tblMovement[Date],$A288)</f>
        <v/>
      </c>
      <c r="AH288" s="55">
        <f>IF($B288=$B287,$AH287,0)+$AG288</f>
        <v/>
      </c>
      <c r="AI288" s="55">
        <f>$AI287+$AG288</f>
        <v/>
      </c>
      <c r="AJ288" s="55">
        <f>$AG288-$X288-$AD288</f>
        <v/>
      </c>
      <c r="AK288" s="55">
        <f>IF($B288=$B287,$AK287,0)+$AJ288</f>
        <v/>
      </c>
      <c r="AL288" s="55">
        <f>$AL287+$AJ288</f>
        <v/>
      </c>
      <c r="AM288" s="55">
        <f>SUMIFS(tblMiningDaily[Drill_m],tblMiningDaily[Date],$A288)</f>
        <v/>
      </c>
      <c r="AN288" s="55">
        <f>IF($B288=$B287,$AN287,0)+$AM288</f>
        <v/>
      </c>
      <c r="AO288" s="55">
        <f>$AO287+$AM288</f>
        <v/>
      </c>
      <c r="AP288" s="55">
        <f>SUMIFS(tblMiningDaily[GC_Drill_m],tblMiningDaily[Date],$A288)</f>
        <v/>
      </c>
      <c r="AQ288" s="55">
        <f>IF($B288=$B287,$AQ287,0)+$AP288</f>
        <v/>
      </c>
      <c r="AR288" s="55">
        <f>$AR287+$AP288</f>
        <v/>
      </c>
      <c r="AS288" s="55">
        <f>SUMIFS(tblMiningDaily[Blast_t],tblMiningDaily[Date],$A288)</f>
        <v/>
      </c>
      <c r="AT288" s="55">
        <f>IF($B288=$B287,$AT287,0)+$AS288</f>
        <v/>
      </c>
      <c r="AU288" s="55">
        <f>$AU287+$AS288</f>
        <v/>
      </c>
      <c r="AV288" s="55">
        <f>SUMIFS(tblMiningDaily[Explosives_kg],tblMiningDaily[Date],$A288)</f>
        <v/>
      </c>
      <c r="AW288" s="55">
        <f>IF($B288=$B287,$AW287,0)+$AV288</f>
        <v/>
      </c>
      <c r="AX288" s="55">
        <f>$AX287+$AV288</f>
        <v/>
      </c>
      <c r="AY288" s="56">
        <f>IFERROR(IF(($AS288)&gt;0,($AV288)/($AS288),""),"")</f>
        <v/>
      </c>
      <c r="AZ288" s="56">
        <f>IFERROR(IF(($AT288)&gt;0,($AW288)/($AT288),""),"")</f>
        <v/>
      </c>
      <c r="BA288" s="56">
        <f>IFERROR(IF(($AU288)&gt;0,($AX288)/($AU288),""),"")</f>
        <v/>
      </c>
      <c r="BB288" s="55">
        <f>SUMIFS(tblMiningDaily[Diesel_L],tblMiningDaily[Date],$A288)</f>
        <v/>
      </c>
      <c r="BC288" s="55">
        <f>IF($B288=$B287,$BC287,0)+$BB288</f>
        <v/>
      </c>
      <c r="BD288" s="55">
        <f>$BD287+$BB288</f>
        <v/>
      </c>
      <c r="BE288" s="55">
        <f>SUMIFS(tblMiningDaily[Dewatering_m3],tblMiningDaily[Date],$A288)</f>
        <v/>
      </c>
      <c r="BF288" s="55">
        <f>IF($B288=$B287,$BF287,0)+$BE288</f>
        <v/>
      </c>
      <c r="BG288" s="55">
        <f>$BG287+$BE288</f>
        <v/>
      </c>
      <c r="BH288" s="57">
        <f>SUMIFS(tblFleet[Calendar_h],tblFleet[Date],$A288,tblFleet[Equipment_Class],"Excavator")</f>
        <v/>
      </c>
      <c r="BI288" s="57">
        <f>IF($B288=$B287,$BI287,0)+$BH288</f>
        <v/>
      </c>
      <c r="BJ288" s="57">
        <f>$BJ287+$BH288</f>
        <v/>
      </c>
      <c r="BK288" s="57">
        <f>SUMIFS(tblFleet[Available_h],tblFleet[Date],$A288,tblFleet[Equipment_Class],"Excavator")</f>
        <v/>
      </c>
      <c r="BL288" s="57">
        <f>IF($B288=$B287,$BL287,0)+$BK288</f>
        <v/>
      </c>
      <c r="BM288" s="57">
        <f>$BM287+$BK288</f>
        <v/>
      </c>
      <c r="BN288" s="57">
        <f>SUMIFS(tblFleet[Operating_h],tblFleet[Date],$A288,tblFleet[Equipment_Class],"Excavator")</f>
        <v/>
      </c>
      <c r="BO288" s="57">
        <f>IF($B288=$B287,$BO287,0)+$BN288</f>
        <v/>
      </c>
      <c r="BP288" s="57">
        <f>$BP287+$BN288</f>
        <v/>
      </c>
      <c r="BQ288" s="67">
        <f>IFERROR(IF(($BH288)&gt;0,($BK288)/($BH288),""),"")</f>
        <v/>
      </c>
      <c r="BR288" s="67">
        <f>IFERROR(IF(($BI288)&gt;0,($BL288)/($BI288),""),"")</f>
        <v/>
      </c>
      <c r="BS288" s="67">
        <f>IFERROR(IF(($BJ288)&gt;0,($BM288)/($BJ288),""),"")</f>
        <v/>
      </c>
      <c r="BT288" s="67">
        <f>IFERROR(IF(($BK288)&gt;0,($BN288)/($BK288),""),"")</f>
        <v/>
      </c>
      <c r="BU288" s="67">
        <f>IFERROR(IF(($BL288)&gt;0,($BO288)/($BL288),""),"")</f>
        <v/>
      </c>
      <c r="BV288" s="67">
        <f>IFERROR(IF(($BM288)&gt;0,($BP288)/($BM288),""),"")</f>
        <v/>
      </c>
      <c r="BW288" s="57">
        <f>SUMIFS(tblFleet[Calendar_h],tblFleet[Date],$A288,tblFleet[Equipment_Class],"Haul Truck")</f>
        <v/>
      </c>
      <c r="BX288" s="57">
        <f>IF($B288=$B287,$BX287,0)+$BW288</f>
        <v/>
      </c>
      <c r="BY288" s="57">
        <f>$BY287+$BW288</f>
        <v/>
      </c>
      <c r="BZ288" s="57">
        <f>SUMIFS(tblFleet[Available_h],tblFleet[Date],$A288,tblFleet[Equipment_Class],"Haul Truck")</f>
        <v/>
      </c>
      <c r="CA288" s="57">
        <f>IF($B288=$B287,$CA287,0)+$BZ288</f>
        <v/>
      </c>
      <c r="CB288" s="57">
        <f>$CB287+$BZ288</f>
        <v/>
      </c>
      <c r="CC288" s="57">
        <f>SUMIFS(tblFleet[Operating_h],tblFleet[Date],$A288,tblFleet[Equipment_Class],"Haul Truck")</f>
        <v/>
      </c>
      <c r="CD288" s="57">
        <f>IF($B288=$B287,$CD287,0)+$CC288</f>
        <v/>
      </c>
      <c r="CE288" s="57">
        <f>$CE287+$CC288</f>
        <v/>
      </c>
      <c r="CF288" s="67">
        <f>IFERROR(IF(($BW288)&gt;0,($BZ288)/($BW288),""),"")</f>
        <v/>
      </c>
      <c r="CG288" s="67">
        <f>IFERROR(IF(($BX288)&gt;0,($CA288)/($BX288),""),"")</f>
        <v/>
      </c>
      <c r="CH288" s="67">
        <f>IFERROR(IF(($BY288)&gt;0,($CB288)/($BY288),""),"")</f>
        <v/>
      </c>
      <c r="CI288" s="67">
        <f>IFERROR(IF(($BZ288)&gt;0,($CC288)/($BZ288),""),"")</f>
        <v/>
      </c>
      <c r="CJ288" s="67">
        <f>IFERROR(IF(($CA288)&gt;0,($CD288)/($CA288),""),"")</f>
        <v/>
      </c>
      <c r="CK288" s="67">
        <f>IFERROR(IF(($CB288)&gt;0,($CE288)/($CB288),""),"")</f>
        <v/>
      </c>
      <c r="CL288" s="55">
        <f>IFERROR(IF(($BN288)&gt;0,($X288+$AD288)/($BN288),""),"")</f>
        <v/>
      </c>
      <c r="CM288" s="55">
        <f>IFERROR(IF(($BO288)&gt;0,($Y288+$AE288)/($BO288),""),"")</f>
        <v/>
      </c>
      <c r="CN288" s="55">
        <f>IFERROR(IF(($BP288)&gt;0,($Z288+$AF288)/($BP288),""),"")</f>
        <v/>
      </c>
      <c r="CO288" s="55">
        <f>IFERROR(IF(($CC288)&gt;0,($X288+$AD288)/($CC288),""),"")</f>
        <v/>
      </c>
      <c r="CP288" s="55">
        <f>IFERROR(IF(($CD288)&gt;0,($Y288+$AE288)/($CD288),""),"")</f>
        <v/>
      </c>
      <c r="CQ288" s="55">
        <f>IFERROR(IF(($CE288)&gt;0,($Z288+$AF288)/($CE288),""),"")</f>
        <v/>
      </c>
      <c r="CR288" s="55">
        <f>SUMIFS(tblPlant[Crushed_t],tblPlant[Date],$A288)</f>
        <v/>
      </c>
      <c r="CS288" s="55">
        <f>IF($B288=$B287,$CS287,0)+$CR288</f>
        <v/>
      </c>
      <c r="CT288" s="55">
        <f>$CT287+$CR288</f>
        <v/>
      </c>
      <c r="CU288" s="55">
        <f>SUMIFS(tblPlant[Milled_t],tblPlant[Date],$A288)</f>
        <v/>
      </c>
      <c r="CV288" s="55">
        <f>IF($B288=$B287,$CV287,0)+$CU288</f>
        <v/>
      </c>
      <c r="CW288" s="55">
        <f>$CW287+$CU288</f>
        <v/>
      </c>
      <c r="CX288" s="55">
        <f>SUMIFS(tblPlant[Feed_oz],tblPlant[Date],$A288)</f>
        <v/>
      </c>
      <c r="CY288" s="55">
        <f>IF($B288=$B287,$CY287,0)+$CX288</f>
        <v/>
      </c>
      <c r="CZ288" s="55">
        <f>$CZ287+$CX288</f>
        <v/>
      </c>
      <c r="DA288" s="55">
        <f>SUMIFS(tblPlant[Tails_oz],tblPlant[Date],$A288)</f>
        <v/>
      </c>
      <c r="DB288" s="55">
        <f>IF($B288=$B287,$DB287,0)+$DA288</f>
        <v/>
      </c>
      <c r="DC288" s="55">
        <f>$DC287+$DA288</f>
        <v/>
      </c>
      <c r="DD288" s="55">
        <f>SUMIFS(tblPlant[Recovered_oz],tblPlant[Date],$A288)</f>
        <v/>
      </c>
      <c r="DE288" s="55">
        <f>IF($B288=$B287,$DE287,0)+$DD288</f>
        <v/>
      </c>
      <c r="DF288" s="55">
        <f>$DF287+$DD288</f>
        <v/>
      </c>
      <c r="DG288" s="55">
        <f>SUMIFS(tblPlant[Milled_t],tblPlant[Date],$A288,tblPlant[Head_Grade_gpt],"&lt;&gt;")</f>
        <v/>
      </c>
      <c r="DH288" s="55">
        <f>IF($B288=$B287,$DH287,0)+$DG288</f>
        <v/>
      </c>
      <c r="DI288" s="55">
        <f>$DI287+$DG288</f>
        <v/>
      </c>
      <c r="DJ288" s="55">
        <f>SUMIFS(tblPlant[Milled_t],tblPlant[Date],$A288,tblPlant[Tails_Grade_gpt],"&lt;&gt;")</f>
        <v/>
      </c>
      <c r="DK288" s="55">
        <f>IF($B288=$B287,$DK287,0)+$DJ288</f>
        <v/>
      </c>
      <c r="DL288" s="55">
        <f>$DL287+$DJ288</f>
        <v/>
      </c>
      <c r="DM288" s="55">
        <f>SUMIFS(tblPlant[Feed_oz],tblPlant[Date],$A288,tblPlant[Tails_Grade_gpt],"&lt;&gt;")</f>
        <v/>
      </c>
      <c r="DN288" s="55">
        <f>IF($B288=$B287,$DN287,0)+$DM288</f>
        <v/>
      </c>
      <c r="DO288" s="55">
        <f>$DO287+$DM288</f>
        <v/>
      </c>
      <c r="DP288" s="55">
        <f>SUMIFS(tblPlant[Milled_t],tblPlant[Date],$A288,tblPlant[Mill_Run_h],"&lt;&gt;")</f>
        <v/>
      </c>
      <c r="DQ288" s="55">
        <f>IF($B288=$B287,$DQ287,0)+$DP288</f>
        <v/>
      </c>
      <c r="DR288" s="55">
        <f>$DR287+$DP288</f>
        <v/>
      </c>
      <c r="DS288" s="56">
        <f>IFERROR(IF(($DG288)&gt;0,($CX288*cfg_TroyOz)/($DG288),""),"")</f>
        <v/>
      </c>
      <c r="DT288" s="56">
        <f>IFERROR(IF(($DH288)&gt;0,($CY288*cfg_TroyOz)/($DH288),""),"")</f>
        <v/>
      </c>
      <c r="DU288" s="56">
        <f>IFERROR(IF(($DI288)&gt;0,($CZ288*cfg_TroyOz)/($DI288),""),"")</f>
        <v/>
      </c>
      <c r="DV288" s="56">
        <f>IFERROR(IF(($DJ288)&gt;0,($DA288*cfg_TroyOz)/($DJ288),""),"")</f>
        <v/>
      </c>
      <c r="DW288" s="56">
        <f>IFERROR(IF(($DK288)&gt;0,($DB288*cfg_TroyOz)/($DK288),""),"")</f>
        <v/>
      </c>
      <c r="DX288" s="56">
        <f>IFERROR(IF(($DL288)&gt;0,($DC288*cfg_TroyOz)/($DL288),""),"")</f>
        <v/>
      </c>
      <c r="DY288" s="67">
        <f>IFERROR(IF(($DM288)&gt;0,($DD288)/($DM288),""),"")</f>
        <v/>
      </c>
      <c r="DZ288" s="67">
        <f>IFERROR(IF(($DN288)&gt;0,($DE288)/($DN288),""),"")</f>
        <v/>
      </c>
      <c r="EA288" s="67">
        <f>IFERROR(IF(($DO288)&gt;0,($DF288)/($DO288),""),"")</f>
        <v/>
      </c>
      <c r="EB288" s="55">
        <f>SUMIFS(tblPlant[Gravity_Gold_oz],tblPlant[Date],$A288)</f>
        <v/>
      </c>
      <c r="EC288" s="55">
        <f>IF($B288=$B287,$EC287,0)+$EB288</f>
        <v/>
      </c>
      <c r="ED288" s="55">
        <f>$ED287+$EB288</f>
        <v/>
      </c>
      <c r="EE288" s="67">
        <f>IFERROR(IF(($DD288)&gt;0,($EB288)/($DD288),""),"")</f>
        <v/>
      </c>
      <c r="EF288" s="67">
        <f>IFERROR(IF(($DE288)&gt;0,($EC288)/($DE288),""),"")</f>
        <v/>
      </c>
      <c r="EG288" s="67">
        <f>IFERROR(IF(($DF288)&gt;0,($ED288)/($DF288),""),"")</f>
        <v/>
      </c>
      <c r="EH288" s="55">
        <f>SUMIFS(tblPlant[Gold_Poured_oz],tblPlant[Date],$A288)</f>
        <v/>
      </c>
      <c r="EI288" s="55">
        <f>IF($B288=$B287,$EI287,0)+$EH288</f>
        <v/>
      </c>
      <c r="EJ288" s="55">
        <f>$EJ287+$EH288</f>
        <v/>
      </c>
      <c r="EK288" s="57">
        <f>SUMIFS(tblPlant[Mill_Run_h],tblPlant[Date],$A288)</f>
        <v/>
      </c>
      <c r="EL288" s="57">
        <f>IF($B288=$B287,$EL287,0)+$EK288</f>
        <v/>
      </c>
      <c r="EM288" s="57">
        <f>$EM287+$EK288</f>
        <v/>
      </c>
      <c r="EN288" s="57">
        <f>SUMIFS(tblPlant[Mill_Planned_Maint_h],tblPlant[Date],$A288)</f>
        <v/>
      </c>
      <c r="EO288" s="57">
        <f>IF($B288=$B287,$EO287,0)+$EN288</f>
        <v/>
      </c>
      <c r="EP288" s="57">
        <f>$EP287+$EN288</f>
        <v/>
      </c>
      <c r="EQ288" s="57">
        <f>SUMIFS(tblPlant[Mill_Unplanned_Down_h],tblPlant[Date],$A288)</f>
        <v/>
      </c>
      <c r="ER288" s="57">
        <f>IF($B288=$B287,$ER287,0)+$EQ288</f>
        <v/>
      </c>
      <c r="ES288" s="57">
        <f>$ES287+$EQ288</f>
        <v/>
      </c>
      <c r="ET288" s="57">
        <f>IF(COUNTIFS(tblPlant[Date],$A288,tblPlant[Mill_Run_h],"&lt;&gt;")+COUNTIFS(tblPlant[Date],$A288,tblPlant[Mill_Planned_Maint_h],"&lt;&gt;")+COUNTIFS(tblPlant[Date],$A288,tblPlant[Mill_Unplanned_Down_h],"&lt;&gt;")&gt;0,cfg_HoursPerDay,0)</f>
        <v/>
      </c>
      <c r="EU288" s="57">
        <f>IF($B288=$B287,$EU287,0)+$ET288</f>
        <v/>
      </c>
      <c r="EV288" s="57">
        <f>$EV287+$ET288</f>
        <v/>
      </c>
      <c r="EW288" s="57">
        <f>SUMIFS(tblPlant[Crusher_Run_h],tblPlant[Date],$A288)</f>
        <v/>
      </c>
      <c r="EX288" s="57">
        <f>IF($B288=$B287,$EX287,0)+$EW288</f>
        <v/>
      </c>
      <c r="EY288" s="57">
        <f>$EY287+$EW288</f>
        <v/>
      </c>
      <c r="EZ288" s="55">
        <f>IFERROR(IF(($EK288)&gt;0,($DP288)/($EK288),""),"")</f>
        <v/>
      </c>
      <c r="FA288" s="55">
        <f>IFERROR(IF(($EL288)&gt;0,($DQ288)/($EL288),""),"")</f>
        <v/>
      </c>
      <c r="FB288" s="55">
        <f>IFERROR(IF(($EM288)&gt;0,($DR288)/($EM288),""),"")</f>
        <v/>
      </c>
      <c r="FC288" s="67">
        <f>IFERROR(IF(($ET288)&gt;0,($ET288-$EN288-$EQ288)/($ET288),""),"")</f>
        <v/>
      </c>
      <c r="FD288" s="67">
        <f>IFERROR(IF(($EU288)&gt;0,($EU288-$EO288-$ER288)/($EU288),""),"")</f>
        <v/>
      </c>
      <c r="FE288" s="67">
        <f>IFERROR(IF(($EV288)&gt;0,($EV288-$EP288-$ES288)/($EV288),""),"")</f>
        <v/>
      </c>
      <c r="FF288" s="67">
        <f>IFERROR(IF(($ET288-$EN288-$EQ288)&gt;0,($EK288)/($ET288-$EN288-$EQ288),""),"")</f>
        <v/>
      </c>
      <c r="FG288" s="67">
        <f>IFERROR(IF(($EU288-$EO288-$ER288)&gt;0,($EL288)/($EU288-$EO288-$ER288),""),"")</f>
        <v/>
      </c>
      <c r="FH288" s="67">
        <f>IFERROR(IF(($EV288-$EP288-$ES288)&gt;0,($EM288)/($EV288-$EP288-$ES288),""),"")</f>
        <v/>
      </c>
      <c r="FI288" s="55">
        <f>SUMIFS(tblPlant[Cyanide_kg],tblPlant[Date],$A288)</f>
        <v/>
      </c>
      <c r="FJ288" s="55">
        <f>IF($B288=$B287,$FJ287,0)+$FI288</f>
        <v/>
      </c>
      <c r="FK288" s="55">
        <f>$FK287+$FI288</f>
        <v/>
      </c>
      <c r="FL288" s="55">
        <f>SUMIFS(tblPlant[Lime_kg],tblPlant[Date],$A288)</f>
        <v/>
      </c>
      <c r="FM288" s="55">
        <f>IF($B288=$B287,$FM287,0)+$FL288</f>
        <v/>
      </c>
      <c r="FN288" s="55">
        <f>$FN287+$FL288</f>
        <v/>
      </c>
      <c r="FO288" s="55">
        <f>SUMIFS(tblPlant[Grinding_Media_kg],tblPlant[Date],$A288)</f>
        <v/>
      </c>
      <c r="FP288" s="55">
        <f>IF($B288=$B287,$FP287,0)+$FO288</f>
        <v/>
      </c>
      <c r="FQ288" s="55">
        <f>$FQ287+$FO288</f>
        <v/>
      </c>
      <c r="FR288" s="55">
        <f>SUMIFS(tblPlant[Power_kWh],tblPlant[Date],$A288)</f>
        <v/>
      </c>
      <c r="FS288" s="55">
        <f>IF($B288=$B287,$FS287,0)+$FR288</f>
        <v/>
      </c>
      <c r="FT288" s="55">
        <f>$FT287+$FR288</f>
        <v/>
      </c>
      <c r="FU288" s="55">
        <f>SUMIFS(tblPlant[Raw_Water_m3],tblPlant[Date],$A288)</f>
        <v/>
      </c>
      <c r="FV288" s="55">
        <f>IF($B288=$B287,$FV287,0)+$FU288</f>
        <v/>
      </c>
      <c r="FW288" s="55">
        <f>$FW287+$FU288</f>
        <v/>
      </c>
      <c r="FX288" s="56">
        <f>IFERROR(IF(($CU288)&gt;0,($FI288)/($CU288),""),"")</f>
        <v/>
      </c>
      <c r="FY288" s="56">
        <f>IFERROR(IF(($CV288)&gt;0,($FJ288)/($CV288),""),"")</f>
        <v/>
      </c>
      <c r="FZ288" s="56">
        <f>IFERROR(IF(($CW288)&gt;0,($FK288)/($CW288),""),"")</f>
        <v/>
      </c>
      <c r="GA288" s="56">
        <f>IFERROR(IF(($CU288)&gt;0,($FL288)/($CU288),""),"")</f>
        <v/>
      </c>
      <c r="GB288" s="56">
        <f>IFERROR(IF(($CV288)&gt;0,($FM288)/($CV288),""),"")</f>
        <v/>
      </c>
      <c r="GC288" s="56">
        <f>IFERROR(IF(($CW288)&gt;0,($FN288)/($CW288),""),"")</f>
        <v/>
      </c>
      <c r="GD288" s="56">
        <f>IFERROR(IF(($CU288)&gt;0,($FO288)/($CU288),""),"")</f>
        <v/>
      </c>
      <c r="GE288" s="56">
        <f>IFERROR(IF(($CV288)&gt;0,($FP288)/($CV288),""),"")</f>
        <v/>
      </c>
      <c r="GF288" s="56">
        <f>IFERROR(IF(($CW288)&gt;0,($FQ288)/($CW288),""),"")</f>
        <v/>
      </c>
      <c r="GG288" s="79">
        <f>IFERROR(IF(($CU288)&gt;0,($FR288)/($CU288),""),"")</f>
        <v/>
      </c>
      <c r="GH288" s="79">
        <f>IFERROR(IF(($CV288)&gt;0,($FS288)/($CV288),""),"")</f>
        <v/>
      </c>
      <c r="GI288" s="79">
        <f>IFERROR(IF(($CW288)&gt;0,($FT288)/($CW288),""),"")</f>
        <v/>
      </c>
      <c r="GJ288" s="56">
        <f>IFERROR(IF(($CU288)&gt;0,($FU288)/($CU288),""),"")</f>
        <v/>
      </c>
      <c r="GK288" s="56">
        <f>IFERROR(IF(($CV288)&gt;0,($FV288)/($CV288),""),"")</f>
        <v/>
      </c>
      <c r="GL288" s="56">
        <f>IFERROR(IF(($CW288)&gt;0,($FW288)/($CW288),""),"")</f>
        <v/>
      </c>
      <c r="GM288" s="55">
        <f>IF(SUMIFS(tblPlant[GIC_oz],tblPlant[Date],$A288)&gt;0,SUMIFS(tblPlant[GIC_oz],tblPlant[Date],$A288),"")</f>
        <v/>
      </c>
      <c r="GN288" s="55">
        <f>SUMIFS(tblGold[Gold_oz],tblGold[Date],$A288,tblGold[Type],"Shipment")</f>
        <v/>
      </c>
      <c r="GO288" s="55">
        <f>IF($B288=$B287,$GO287,0)+$GN288</f>
        <v/>
      </c>
      <c r="GP288" s="55">
        <f>$GP287+$GN288</f>
        <v/>
      </c>
      <c r="GQ288" s="55">
        <f>SUMIFS(tblGold[Gold_oz],tblGold[Date],$A288,tblGold[Type],"Sale")</f>
        <v/>
      </c>
      <c r="GR288" s="55">
        <f>IF($B288=$B287,$GR287,0)+$GQ288</f>
        <v/>
      </c>
      <c r="GS288" s="55">
        <f>$GS287+$GQ288</f>
        <v/>
      </c>
      <c r="GT288" s="55">
        <f>SUMIFS(tblGold[Dore_kg],tblGold[Date],$A288,tblGold[Type],"Shipment")</f>
        <v/>
      </c>
      <c r="GU288" s="55">
        <f>IF($B288=$B287,$GU287,0)+$GT288</f>
        <v/>
      </c>
      <c r="GV288" s="55">
        <f>$GV287+$GT288</f>
        <v/>
      </c>
      <c r="GW288" s="57">
        <f>SUMIFS(tblSafety[Hours_Total],tblSafety[Date],$A288)</f>
        <v/>
      </c>
      <c r="GX288" s="57">
        <f>IF($B288=$B287,$GX287,0)+$GW288</f>
        <v/>
      </c>
      <c r="GY288" s="57">
        <f>$GY287+$GW288</f>
        <v/>
      </c>
      <c r="GZ288" s="62">
        <f>SUMIFS(tblSafety[Fatality],tblSafety[Date],$A288)</f>
        <v/>
      </c>
      <c r="HA288" s="62">
        <f>IF($B288=$B287,$HA287,0)+$GZ288</f>
        <v/>
      </c>
      <c r="HB288" s="62">
        <f>$HB287+$GZ288</f>
        <v/>
      </c>
      <c r="HC288" s="62">
        <f>SUMIFS(tblSafety[LTI],tblSafety[Date],$A288)</f>
        <v/>
      </c>
      <c r="HD288" s="62">
        <f>IF($B288=$B287,$HD287,0)+$HC288</f>
        <v/>
      </c>
      <c r="HE288" s="62">
        <f>$HE287+$HC288</f>
        <v/>
      </c>
      <c r="HF288" s="62">
        <f>SUMIFS(tblSafety[RWI],tblSafety[Date],$A288)</f>
        <v/>
      </c>
      <c r="HG288" s="62">
        <f>IF($B288=$B287,$HG287,0)+$HF288</f>
        <v/>
      </c>
      <c r="HH288" s="62">
        <f>$HH287+$HF288</f>
        <v/>
      </c>
      <c r="HI288" s="62">
        <f>SUMIFS(tblSafety[MTI],tblSafety[Date],$A288)</f>
        <v/>
      </c>
      <c r="HJ288" s="62">
        <f>IF($B288=$B287,$HJ287,0)+$HI288</f>
        <v/>
      </c>
      <c r="HK288" s="62">
        <f>$HK287+$HI288</f>
        <v/>
      </c>
      <c r="HL288" s="62">
        <f>SUMIFS(tblSafety[FAI],tblSafety[Date],$A288)</f>
        <v/>
      </c>
      <c r="HM288" s="62">
        <f>IF($B288=$B287,$HM287,0)+$HL288</f>
        <v/>
      </c>
      <c r="HN288" s="62">
        <f>$HN287+$HL288</f>
        <v/>
      </c>
      <c r="HO288" s="62">
        <f>SUMIFS(tblSafety[Recordables],tblSafety[Date],$A288)</f>
        <v/>
      </c>
      <c r="HP288" s="62">
        <f>IF($B288=$B287,$HP287,0)+$HO288</f>
        <v/>
      </c>
      <c r="HQ288" s="62">
        <f>$HQ287+$HO288</f>
        <v/>
      </c>
      <c r="HR288" s="62">
        <f>SUMIFS(tblSafety[Near_Miss],tblSafety[Date],$A288)</f>
        <v/>
      </c>
      <c r="HS288" s="62">
        <f>IF($B288=$B287,$HS287,0)+$HR288</f>
        <v/>
      </c>
      <c r="HT288" s="62">
        <f>$HT287+$HR288</f>
        <v/>
      </c>
      <c r="HU288" s="62">
        <f>SUMIFS(tblSafety[Hazard_Reports],tblSafety[Date],$A288)</f>
        <v/>
      </c>
      <c r="HV288" s="62">
        <f>IF($B288=$B287,$HV287,0)+$HU288</f>
        <v/>
      </c>
      <c r="HW288" s="62">
        <f>$HW287+$HU288</f>
        <v/>
      </c>
      <c r="HX288" s="62">
        <f>SUMIFS(tblSafety[HPI],tblSafety[Date],$A288)</f>
        <v/>
      </c>
      <c r="HY288" s="62">
        <f>IF($B288=$B287,$HY287,0)+$HX288</f>
        <v/>
      </c>
      <c r="HZ288" s="62">
        <f>$HZ287+$HX288</f>
        <v/>
      </c>
      <c r="IA288" s="62">
        <f>SUMIFS(tblSafety[Env_Incidents],tblSafety[Date],$A288)</f>
        <v/>
      </c>
      <c r="IB288" s="62">
        <f>IF($B288=$B287,$IB287,0)+$IA288</f>
        <v/>
      </c>
      <c r="IC288" s="62">
        <f>$IC287+$IA288</f>
        <v/>
      </c>
      <c r="ID288" s="62">
        <f>SUMIFS(tblSafety[Community_Incidents],tblSafety[Date],$A288)</f>
        <v/>
      </c>
      <c r="IE288" s="62">
        <f>IF($B288=$B287,$IE287,0)+$ID288</f>
        <v/>
      </c>
      <c r="IF288" s="62">
        <f>$IF287+$ID288</f>
        <v/>
      </c>
      <c r="IG288" s="62">
        <f>SUMIFS(tblSafety[Vehicle_Incidents],tblSafety[Date],$A288)</f>
        <v/>
      </c>
      <c r="IH288" s="62">
        <f>IF($B288=$B287,$IH287,0)+$IG288</f>
        <v/>
      </c>
      <c r="II288" s="62">
        <f>$II287+$IG288</f>
        <v/>
      </c>
      <c r="IJ288" s="62">
        <f>SUMIFS(tblSafety[Toolbox_Talks],tblSafety[Date],$A288)</f>
        <v/>
      </c>
      <c r="IK288" s="62">
        <f>IF($B288=$B287,$IK287,0)+$IJ288</f>
        <v/>
      </c>
      <c r="IL288" s="62">
        <f>$IL287+$IJ288</f>
        <v/>
      </c>
      <c r="IM288" s="62">
        <f>SUMIFS(tblSafety[Inspections],tblSafety[Date],$A288)</f>
        <v/>
      </c>
      <c r="IN288" s="62">
        <f>IF($B288=$B287,$IN287,0)+$IM288</f>
        <v/>
      </c>
      <c r="IO288" s="62">
        <f>$IO287+$IM288</f>
        <v/>
      </c>
      <c r="IP288" s="56">
        <f>IFERROR((SUMIFS(tblSafety[Recordables],tblSafety[Date],"&gt;="&amp;EDATE($E288,-12),tblSafety[Date],"&lt;="&amp;$A288)+SUMIFS(tblSafetyHistory[Recordables],tblSafetyHistory[Month],"&gt;="&amp;EDATE($E288,-12),tblSafetyHistory[Month],"&lt;"&amp;$E288,tblSafetyHistory[Use],1))/(SUMIFS(tblSafety[Hours_Total],tblSafety[Date],"&gt;="&amp;EDATE($E288,-12),tblSafety[Date],"&lt;="&amp;$A288)+SUMIFS(tblSafetyHistory[Hours_Total],tblSafetyHistory[Month],"&gt;="&amp;EDATE($E288,-12),tblSafetyHistory[Month],"&lt;"&amp;$E288,tblSafetyHistory[Use],1))*cfg_RateBasisHours,"")</f>
        <v/>
      </c>
      <c r="IQ288" s="56">
        <f>IFERROR((SUMIFS(tblSafety[LTI],tblSafety[Date],"&gt;="&amp;EDATE($E288,-12),tblSafety[Date],"&lt;="&amp;$A288)+SUMIFS(tblSafetyHistory[LTI],tblSafetyHistory[Month],"&gt;="&amp;EDATE($E288,-12),tblSafetyHistory[Month],"&lt;"&amp;$E288,tblSafetyHistory[Use],1))/(SUMIFS(tblSafety[Hours_Total],tblSafety[Date],"&gt;="&amp;EDATE($E288,-12),tblSafety[Date],"&lt;="&amp;$A288)+SUMIFS(tblSafetyHistory[Hours_Total],tblSafetyHistory[Month],"&gt;="&amp;EDATE($E288,-12),tblSafetyHistory[Month],"&lt;"&amp;$E288,tblSafetyHistory[Use],1))*cfg_RateBasisHours,"")</f>
        <v/>
      </c>
      <c r="IR288" s="62">
        <f>IF(MAX(N(cfg_PriorLTIDate),_xlfn.MAXIFS(tblSafety[Date],tblSafety[LTI],"&gt;0",tblSafety[Date],"&lt;="&amp;$A288))=0,"",$A288-MAX(N(cfg_PriorLTIDate),_xlfn.MAXIFS(tblSafety[Date],tblSafety[LTI],"&gt;0",tblSafety[Date],"&lt;="&amp;$A288)))</f>
        <v/>
      </c>
      <c r="IS288" s="55">
        <f>SUMIFS(tblBudget[Ore_Mined_t],tblBudget[Month],$E288)</f>
        <v/>
      </c>
      <c r="IT288" s="55">
        <f>$IS288*$C288/$D288</f>
        <v/>
      </c>
      <c r="IU288" s="55">
        <f>SUMIFS(tblBudget[Ore_Mined_t],tblBudget[Month],"&lt;"&amp;$E288)+$IT288</f>
        <v/>
      </c>
      <c r="IV288" s="55">
        <f>SUMIFS(tblBudget[Ore_oz],tblBudget[Month],$E288)</f>
        <v/>
      </c>
      <c r="IW288" s="55">
        <f>$IV288*$C288/$D288</f>
        <v/>
      </c>
      <c r="IX288" s="55">
        <f>SUMIFS(tblBudget[Ore_oz],tblBudget[Month],"&lt;"&amp;$E288)+$IW288</f>
        <v/>
      </c>
      <c r="IY288" s="55">
        <f>SUMIFS(tblBudget[Ore_Mined_t],tblBudget[Month],$E288)</f>
        <v/>
      </c>
      <c r="IZ288" s="55">
        <f>$IY288*$C288/$D288</f>
        <v/>
      </c>
      <c r="JA288" s="55">
        <f>SUMIFS(tblBudget[Ore_Mined_t],tblBudget[Month],"&lt;"&amp;$E288)+$IZ288</f>
        <v/>
      </c>
      <c r="JB288" s="56">
        <f>IFERROR(IF(($IY288)&gt;0,($IV288*cfg_TroyOz)/($IY288),""),"")</f>
        <v/>
      </c>
      <c r="JC288" s="56">
        <f>IFERROR(IF(($IZ288)&gt;0,($IW288*cfg_TroyOz)/($IZ288),""),"")</f>
        <v/>
      </c>
      <c r="JD288" s="56">
        <f>IFERROR(IF(($JA288)&gt;0,($IX288*cfg_TroyOz)/($JA288),""),"")</f>
        <v/>
      </c>
      <c r="JE288" s="55">
        <f>SUMIFS(tblBudget[Waste_t],tblBudget[Month],$E288)</f>
        <v/>
      </c>
      <c r="JF288" s="55">
        <f>$JE288*$C288/$D288</f>
        <v/>
      </c>
      <c r="JG288" s="55">
        <f>SUMIFS(tblBudget[Waste_t],tblBudget[Month],"&lt;"&amp;$E288)+$JF288</f>
        <v/>
      </c>
      <c r="JH288" s="55">
        <f>SUMIFS(tblBudget[TMM_t],tblBudget[Month],$E288)</f>
        <v/>
      </c>
      <c r="JI288" s="55">
        <f>$JH288*$C288/$D288</f>
        <v/>
      </c>
      <c r="JJ288" s="55">
        <f>SUMIFS(tblBudget[TMM_t],tblBudget[Month],"&lt;"&amp;$E288)+$JI288</f>
        <v/>
      </c>
      <c r="JK288" s="56">
        <f>IFERROR(IF(($IS288)&gt;0,($JE288)/($IS288),""),"")</f>
        <v/>
      </c>
      <c r="JL288" s="56">
        <f>IFERROR(IF(($IT288)&gt;0,($JF288)/($IT288),""),"")</f>
        <v/>
      </c>
      <c r="JM288" s="56">
        <f>IFERROR(IF(($IU288)&gt;0,($JG288)/($IU288),""),"")</f>
        <v/>
      </c>
      <c r="JN288" s="55">
        <f>SUMIFS(tblBudget[Drill_m],tblBudget[Month],$E288)</f>
        <v/>
      </c>
      <c r="JO288" s="55">
        <f>$JN288*$C288/$D288</f>
        <v/>
      </c>
      <c r="JP288" s="55">
        <f>SUMIFS(tblBudget[Drill_m],tblBudget[Month],"&lt;"&amp;$E288)+$JO288</f>
        <v/>
      </c>
      <c r="JQ288" s="55">
        <f>SUMIFS(tblBudget[Diesel_L],tblBudget[Month],$E288)</f>
        <v/>
      </c>
      <c r="JR288" s="55">
        <f>$JQ288*$C288/$D288</f>
        <v/>
      </c>
      <c r="JS288" s="55">
        <f>SUMIFS(tblBudget[Diesel_L],tblBudget[Month],"&lt;"&amp;$E288)+$JR288</f>
        <v/>
      </c>
      <c r="JT288" s="55">
        <f>SUMIFS(tblBudget[Milled_t],tblBudget[Month],$E288)</f>
        <v/>
      </c>
      <c r="JU288" s="55">
        <f>$JT288*$C288/$D288</f>
        <v/>
      </c>
      <c r="JV288" s="55">
        <f>SUMIFS(tblBudget[Milled_t],tblBudget[Month],"&lt;"&amp;$E288)+$JU288</f>
        <v/>
      </c>
      <c r="JW288" s="55">
        <f>SUMIFS(tblBudget[Feed_oz],tblBudget[Month],$E288)</f>
        <v/>
      </c>
      <c r="JX288" s="55">
        <f>$JW288*$C288/$D288</f>
        <v/>
      </c>
      <c r="JY288" s="55">
        <f>SUMIFS(tblBudget[Feed_oz],tblBudget[Month],"&lt;"&amp;$E288)+$JX288</f>
        <v/>
      </c>
      <c r="JZ288" s="55">
        <f>SUMIFS(tblBudget[Recovered_oz],tblBudget[Month],$E288)</f>
        <v/>
      </c>
      <c r="KA288" s="55">
        <f>$JZ288*$C288/$D288</f>
        <v/>
      </c>
      <c r="KB288" s="55">
        <f>SUMIFS(tblBudget[Recovered_oz],tblBudget[Month],"&lt;"&amp;$E288)+$KA288</f>
        <v/>
      </c>
      <c r="KC288" s="55">
        <f>SUMIFS(tblBudget[Milled_t],tblBudget[Month],$E288)</f>
        <v/>
      </c>
      <c r="KD288" s="55">
        <f>$KC288*$C288/$D288</f>
        <v/>
      </c>
      <c r="KE288" s="55">
        <f>SUMIFS(tblBudget[Milled_t],tblBudget[Month],"&lt;"&amp;$E288)+$KD288</f>
        <v/>
      </c>
      <c r="KF288" s="55">
        <f>SUMIFS(tblBudget[Feed_oz],tblBudget[Month],$E288)</f>
        <v/>
      </c>
      <c r="KG288" s="55">
        <f>$KF288*$C288/$D288</f>
        <v/>
      </c>
      <c r="KH288" s="55">
        <f>SUMIFS(tblBudget[Feed_oz],tblBudget[Month],"&lt;"&amp;$E288)+$KG288</f>
        <v/>
      </c>
      <c r="KI288" s="56">
        <f>IFERROR(IF(($KC288)&gt;0,($JW288*cfg_TroyOz)/($KC288),""),"")</f>
        <v/>
      </c>
      <c r="KJ288" s="56">
        <f>IFERROR(IF(($KD288)&gt;0,($JX288*cfg_TroyOz)/($KD288),""),"")</f>
        <v/>
      </c>
      <c r="KK288" s="56">
        <f>IFERROR(IF(($KE288)&gt;0,($JY288*cfg_TroyOz)/($KE288),""),"")</f>
        <v/>
      </c>
      <c r="KL288" s="67">
        <f>IFERROR(IF(($KF288)&gt;0,($JZ288)/($KF288),""),"")</f>
        <v/>
      </c>
      <c r="KM288" s="67">
        <f>IFERROR(IF(($KG288)&gt;0,($KA288)/($KG288),""),"")</f>
        <v/>
      </c>
      <c r="KN288" s="67">
        <f>IFERROR(IF(($KH288)&gt;0,($KB288)/($KH288),""),"")</f>
        <v/>
      </c>
      <c r="KO288" s="55">
        <f>SUMIFS(tblBudget[Gold_Poured_oz],tblBudget[Month],$E288)</f>
        <v/>
      </c>
      <c r="KP288" s="55">
        <f>$KO288*$C288/$D288</f>
        <v/>
      </c>
      <c r="KQ288" s="55">
        <f>SUMIFS(tblBudget[Gold_Poured_oz],tblBudget[Month],"&lt;"&amp;$E288)+$KP288</f>
        <v/>
      </c>
      <c r="KR288" s="57">
        <f>SUMIFS(tblBudget[Hours_Worked],tblBudget[Month],$E288)</f>
        <v/>
      </c>
      <c r="KS288" s="57">
        <f>$KR288*$C288/$D288</f>
        <v/>
      </c>
      <c r="KT288" s="57">
        <f>SUMIFS(tblBudget[Hours_Worked],tblBudget[Month],"&lt;"&amp;$E288)+$KS288</f>
        <v/>
      </c>
    </row>
    <row r="289">
      <c r="A289" s="54" t="n">
        <v>46310</v>
      </c>
      <c r="B289">
        <f>MONTH($A289)</f>
        <v/>
      </c>
      <c r="C289">
        <f>DAY($A289)</f>
        <v/>
      </c>
      <c r="D289">
        <f>DAY(EOMONTH($A289,0))</f>
        <v/>
      </c>
      <c r="E289" s="54">
        <f>DATE(YEAR($A289),MONTH($A289),1)</f>
        <v/>
      </c>
      <c r="F289" s="55">
        <f>SUMIFS(tblMovement[Tonnes_t],tblMovement[Date],$A289,tblMovement[Is_Ore],1,tblMovement[Source_Type],"Pit")</f>
        <v/>
      </c>
      <c r="G289" s="55">
        <f>IF($B289=$B288,$G288,0)+$F289</f>
        <v/>
      </c>
      <c r="H289" s="55">
        <f>$H288+$F289</f>
        <v/>
      </c>
      <c r="I289" s="55">
        <f>SUMIFS(tblMovement[Ore_oz],tblMovement[Date],$A289,tblMovement[Source_Type],"Pit")</f>
        <v/>
      </c>
      <c r="J289" s="55">
        <f>IF($B289=$B288,$J288,0)+$I289</f>
        <v/>
      </c>
      <c r="K289" s="55">
        <f>$K288+$I289</f>
        <v/>
      </c>
      <c r="L289" s="55">
        <f>SUMIFS(tblMovement[Tonnes_t],tblMovement[Date],$A289,tblMovement[Is_Ore],1,tblMovement[Source_Type],"Pit",tblMovement[Grade_gpt],"&lt;&gt;")</f>
        <v/>
      </c>
      <c r="M289" s="55">
        <f>IF($B289=$B288,$M288,0)+$L289</f>
        <v/>
      </c>
      <c r="N289" s="55">
        <f>$N288+$L289</f>
        <v/>
      </c>
      <c r="O289" s="56">
        <f>IFERROR(IF(($L289)&gt;0,($I289*cfg_TroyOz)/($L289),""),"")</f>
        <v/>
      </c>
      <c r="P289" s="56">
        <f>IFERROR(IF(($M289)&gt;0,($J289*cfg_TroyOz)/($M289),""),"")</f>
        <v/>
      </c>
      <c r="Q289" s="56">
        <f>IFERROR(IF(($N289)&gt;0,($K289*cfg_TroyOz)/($N289),""),"")</f>
        <v/>
      </c>
      <c r="R289" s="55">
        <f>$F289-$L289</f>
        <v/>
      </c>
      <c r="S289" s="55">
        <f>IF($B289=$B288,$S288,0)+$R289</f>
        <v/>
      </c>
      <c r="T289" s="55">
        <f>$T288+$R289</f>
        <v/>
      </c>
      <c r="U289" s="55">
        <f>SUMIFS(tblMovement[Tonnes_t],tblMovement[Date],$A289,tblMovement[Is_Ore],0,tblMovement[Source_Type],"Pit")</f>
        <v/>
      </c>
      <c r="V289" s="55">
        <f>IF($B289=$B288,$V288,0)+$U289</f>
        <v/>
      </c>
      <c r="W289" s="55">
        <f>$W288+$U289</f>
        <v/>
      </c>
      <c r="X289" s="55">
        <f>$F289+$U289</f>
        <v/>
      </c>
      <c r="Y289" s="55">
        <f>IF($B289=$B288,$Y288,0)+$X289</f>
        <v/>
      </c>
      <c r="Z289" s="55">
        <f>$Z288+$X289</f>
        <v/>
      </c>
      <c r="AA289" s="56">
        <f>IFERROR(IF(($F289)&gt;0,($U289)/($F289),""),"")</f>
        <v/>
      </c>
      <c r="AB289" s="56">
        <f>IFERROR(IF(($G289)&gt;0,($V289)/($G289),""),"")</f>
        <v/>
      </c>
      <c r="AC289" s="56">
        <f>IFERROR(IF(($H289)&gt;0,($W289)/($H289),""),"")</f>
        <v/>
      </c>
      <c r="AD289" s="55">
        <f>SUMIFS(tblMovement[Tonnes_t],tblMovement[Date],$A289,tblMovement[Source_Type],"Stockpile")</f>
        <v/>
      </c>
      <c r="AE289" s="55">
        <f>IF($B289=$B288,$AE288,0)+$AD289</f>
        <v/>
      </c>
      <c r="AF289" s="55">
        <f>$AF288+$AD289</f>
        <v/>
      </c>
      <c r="AG289" s="55">
        <f>SUMIFS(tblMovement[Tonnes_t],tblMovement[Date],$A289)</f>
        <v/>
      </c>
      <c r="AH289" s="55">
        <f>IF($B289=$B288,$AH288,0)+$AG289</f>
        <v/>
      </c>
      <c r="AI289" s="55">
        <f>$AI288+$AG289</f>
        <v/>
      </c>
      <c r="AJ289" s="55">
        <f>$AG289-$X289-$AD289</f>
        <v/>
      </c>
      <c r="AK289" s="55">
        <f>IF($B289=$B288,$AK288,0)+$AJ289</f>
        <v/>
      </c>
      <c r="AL289" s="55">
        <f>$AL288+$AJ289</f>
        <v/>
      </c>
      <c r="AM289" s="55">
        <f>SUMIFS(tblMiningDaily[Drill_m],tblMiningDaily[Date],$A289)</f>
        <v/>
      </c>
      <c r="AN289" s="55">
        <f>IF($B289=$B288,$AN288,0)+$AM289</f>
        <v/>
      </c>
      <c r="AO289" s="55">
        <f>$AO288+$AM289</f>
        <v/>
      </c>
      <c r="AP289" s="55">
        <f>SUMIFS(tblMiningDaily[GC_Drill_m],tblMiningDaily[Date],$A289)</f>
        <v/>
      </c>
      <c r="AQ289" s="55">
        <f>IF($B289=$B288,$AQ288,0)+$AP289</f>
        <v/>
      </c>
      <c r="AR289" s="55">
        <f>$AR288+$AP289</f>
        <v/>
      </c>
      <c r="AS289" s="55">
        <f>SUMIFS(tblMiningDaily[Blast_t],tblMiningDaily[Date],$A289)</f>
        <v/>
      </c>
      <c r="AT289" s="55">
        <f>IF($B289=$B288,$AT288,0)+$AS289</f>
        <v/>
      </c>
      <c r="AU289" s="55">
        <f>$AU288+$AS289</f>
        <v/>
      </c>
      <c r="AV289" s="55">
        <f>SUMIFS(tblMiningDaily[Explosives_kg],tblMiningDaily[Date],$A289)</f>
        <v/>
      </c>
      <c r="AW289" s="55">
        <f>IF($B289=$B288,$AW288,0)+$AV289</f>
        <v/>
      </c>
      <c r="AX289" s="55">
        <f>$AX288+$AV289</f>
        <v/>
      </c>
      <c r="AY289" s="56">
        <f>IFERROR(IF(($AS289)&gt;0,($AV289)/($AS289),""),"")</f>
        <v/>
      </c>
      <c r="AZ289" s="56">
        <f>IFERROR(IF(($AT289)&gt;0,($AW289)/($AT289),""),"")</f>
        <v/>
      </c>
      <c r="BA289" s="56">
        <f>IFERROR(IF(($AU289)&gt;0,($AX289)/($AU289),""),"")</f>
        <v/>
      </c>
      <c r="BB289" s="55">
        <f>SUMIFS(tblMiningDaily[Diesel_L],tblMiningDaily[Date],$A289)</f>
        <v/>
      </c>
      <c r="BC289" s="55">
        <f>IF($B289=$B288,$BC288,0)+$BB289</f>
        <v/>
      </c>
      <c r="BD289" s="55">
        <f>$BD288+$BB289</f>
        <v/>
      </c>
      <c r="BE289" s="55">
        <f>SUMIFS(tblMiningDaily[Dewatering_m3],tblMiningDaily[Date],$A289)</f>
        <v/>
      </c>
      <c r="BF289" s="55">
        <f>IF($B289=$B288,$BF288,0)+$BE289</f>
        <v/>
      </c>
      <c r="BG289" s="55">
        <f>$BG288+$BE289</f>
        <v/>
      </c>
      <c r="BH289" s="57">
        <f>SUMIFS(tblFleet[Calendar_h],tblFleet[Date],$A289,tblFleet[Equipment_Class],"Excavator")</f>
        <v/>
      </c>
      <c r="BI289" s="57">
        <f>IF($B289=$B288,$BI288,0)+$BH289</f>
        <v/>
      </c>
      <c r="BJ289" s="57">
        <f>$BJ288+$BH289</f>
        <v/>
      </c>
      <c r="BK289" s="57">
        <f>SUMIFS(tblFleet[Available_h],tblFleet[Date],$A289,tblFleet[Equipment_Class],"Excavator")</f>
        <v/>
      </c>
      <c r="BL289" s="57">
        <f>IF($B289=$B288,$BL288,0)+$BK289</f>
        <v/>
      </c>
      <c r="BM289" s="57">
        <f>$BM288+$BK289</f>
        <v/>
      </c>
      <c r="BN289" s="57">
        <f>SUMIFS(tblFleet[Operating_h],tblFleet[Date],$A289,tblFleet[Equipment_Class],"Excavator")</f>
        <v/>
      </c>
      <c r="BO289" s="57">
        <f>IF($B289=$B288,$BO288,0)+$BN289</f>
        <v/>
      </c>
      <c r="BP289" s="57">
        <f>$BP288+$BN289</f>
        <v/>
      </c>
      <c r="BQ289" s="67">
        <f>IFERROR(IF(($BH289)&gt;0,($BK289)/($BH289),""),"")</f>
        <v/>
      </c>
      <c r="BR289" s="67">
        <f>IFERROR(IF(($BI289)&gt;0,($BL289)/($BI289),""),"")</f>
        <v/>
      </c>
      <c r="BS289" s="67">
        <f>IFERROR(IF(($BJ289)&gt;0,($BM289)/($BJ289),""),"")</f>
        <v/>
      </c>
      <c r="BT289" s="67">
        <f>IFERROR(IF(($BK289)&gt;0,($BN289)/($BK289),""),"")</f>
        <v/>
      </c>
      <c r="BU289" s="67">
        <f>IFERROR(IF(($BL289)&gt;0,($BO289)/($BL289),""),"")</f>
        <v/>
      </c>
      <c r="BV289" s="67">
        <f>IFERROR(IF(($BM289)&gt;0,($BP289)/($BM289),""),"")</f>
        <v/>
      </c>
      <c r="BW289" s="57">
        <f>SUMIFS(tblFleet[Calendar_h],tblFleet[Date],$A289,tblFleet[Equipment_Class],"Haul Truck")</f>
        <v/>
      </c>
      <c r="BX289" s="57">
        <f>IF($B289=$B288,$BX288,0)+$BW289</f>
        <v/>
      </c>
      <c r="BY289" s="57">
        <f>$BY288+$BW289</f>
        <v/>
      </c>
      <c r="BZ289" s="57">
        <f>SUMIFS(tblFleet[Available_h],tblFleet[Date],$A289,tblFleet[Equipment_Class],"Haul Truck")</f>
        <v/>
      </c>
      <c r="CA289" s="57">
        <f>IF($B289=$B288,$CA288,0)+$BZ289</f>
        <v/>
      </c>
      <c r="CB289" s="57">
        <f>$CB288+$BZ289</f>
        <v/>
      </c>
      <c r="CC289" s="57">
        <f>SUMIFS(tblFleet[Operating_h],tblFleet[Date],$A289,tblFleet[Equipment_Class],"Haul Truck")</f>
        <v/>
      </c>
      <c r="CD289" s="57">
        <f>IF($B289=$B288,$CD288,0)+$CC289</f>
        <v/>
      </c>
      <c r="CE289" s="57">
        <f>$CE288+$CC289</f>
        <v/>
      </c>
      <c r="CF289" s="67">
        <f>IFERROR(IF(($BW289)&gt;0,($BZ289)/($BW289),""),"")</f>
        <v/>
      </c>
      <c r="CG289" s="67">
        <f>IFERROR(IF(($BX289)&gt;0,($CA289)/($BX289),""),"")</f>
        <v/>
      </c>
      <c r="CH289" s="67">
        <f>IFERROR(IF(($BY289)&gt;0,($CB289)/($BY289),""),"")</f>
        <v/>
      </c>
      <c r="CI289" s="67">
        <f>IFERROR(IF(($BZ289)&gt;0,($CC289)/($BZ289),""),"")</f>
        <v/>
      </c>
      <c r="CJ289" s="67">
        <f>IFERROR(IF(($CA289)&gt;0,($CD289)/($CA289),""),"")</f>
        <v/>
      </c>
      <c r="CK289" s="67">
        <f>IFERROR(IF(($CB289)&gt;0,($CE289)/($CB289),""),"")</f>
        <v/>
      </c>
      <c r="CL289" s="55">
        <f>IFERROR(IF(($BN289)&gt;0,($X289+$AD289)/($BN289),""),"")</f>
        <v/>
      </c>
      <c r="CM289" s="55">
        <f>IFERROR(IF(($BO289)&gt;0,($Y289+$AE289)/($BO289),""),"")</f>
        <v/>
      </c>
      <c r="CN289" s="55">
        <f>IFERROR(IF(($BP289)&gt;0,($Z289+$AF289)/($BP289),""),"")</f>
        <v/>
      </c>
      <c r="CO289" s="55">
        <f>IFERROR(IF(($CC289)&gt;0,($X289+$AD289)/($CC289),""),"")</f>
        <v/>
      </c>
      <c r="CP289" s="55">
        <f>IFERROR(IF(($CD289)&gt;0,($Y289+$AE289)/($CD289),""),"")</f>
        <v/>
      </c>
      <c r="CQ289" s="55">
        <f>IFERROR(IF(($CE289)&gt;0,($Z289+$AF289)/($CE289),""),"")</f>
        <v/>
      </c>
      <c r="CR289" s="55">
        <f>SUMIFS(tblPlant[Crushed_t],tblPlant[Date],$A289)</f>
        <v/>
      </c>
      <c r="CS289" s="55">
        <f>IF($B289=$B288,$CS288,0)+$CR289</f>
        <v/>
      </c>
      <c r="CT289" s="55">
        <f>$CT288+$CR289</f>
        <v/>
      </c>
      <c r="CU289" s="55">
        <f>SUMIFS(tblPlant[Milled_t],tblPlant[Date],$A289)</f>
        <v/>
      </c>
      <c r="CV289" s="55">
        <f>IF($B289=$B288,$CV288,0)+$CU289</f>
        <v/>
      </c>
      <c r="CW289" s="55">
        <f>$CW288+$CU289</f>
        <v/>
      </c>
      <c r="CX289" s="55">
        <f>SUMIFS(tblPlant[Feed_oz],tblPlant[Date],$A289)</f>
        <v/>
      </c>
      <c r="CY289" s="55">
        <f>IF($B289=$B288,$CY288,0)+$CX289</f>
        <v/>
      </c>
      <c r="CZ289" s="55">
        <f>$CZ288+$CX289</f>
        <v/>
      </c>
      <c r="DA289" s="55">
        <f>SUMIFS(tblPlant[Tails_oz],tblPlant[Date],$A289)</f>
        <v/>
      </c>
      <c r="DB289" s="55">
        <f>IF($B289=$B288,$DB288,0)+$DA289</f>
        <v/>
      </c>
      <c r="DC289" s="55">
        <f>$DC288+$DA289</f>
        <v/>
      </c>
      <c r="DD289" s="55">
        <f>SUMIFS(tblPlant[Recovered_oz],tblPlant[Date],$A289)</f>
        <v/>
      </c>
      <c r="DE289" s="55">
        <f>IF($B289=$B288,$DE288,0)+$DD289</f>
        <v/>
      </c>
      <c r="DF289" s="55">
        <f>$DF288+$DD289</f>
        <v/>
      </c>
      <c r="DG289" s="55">
        <f>SUMIFS(tblPlant[Milled_t],tblPlant[Date],$A289,tblPlant[Head_Grade_gpt],"&lt;&gt;")</f>
        <v/>
      </c>
      <c r="DH289" s="55">
        <f>IF($B289=$B288,$DH288,0)+$DG289</f>
        <v/>
      </c>
      <c r="DI289" s="55">
        <f>$DI288+$DG289</f>
        <v/>
      </c>
      <c r="DJ289" s="55">
        <f>SUMIFS(tblPlant[Milled_t],tblPlant[Date],$A289,tblPlant[Tails_Grade_gpt],"&lt;&gt;")</f>
        <v/>
      </c>
      <c r="DK289" s="55">
        <f>IF($B289=$B288,$DK288,0)+$DJ289</f>
        <v/>
      </c>
      <c r="DL289" s="55">
        <f>$DL288+$DJ289</f>
        <v/>
      </c>
      <c r="DM289" s="55">
        <f>SUMIFS(tblPlant[Feed_oz],tblPlant[Date],$A289,tblPlant[Tails_Grade_gpt],"&lt;&gt;")</f>
        <v/>
      </c>
      <c r="DN289" s="55">
        <f>IF($B289=$B288,$DN288,0)+$DM289</f>
        <v/>
      </c>
      <c r="DO289" s="55">
        <f>$DO288+$DM289</f>
        <v/>
      </c>
      <c r="DP289" s="55">
        <f>SUMIFS(tblPlant[Milled_t],tblPlant[Date],$A289,tblPlant[Mill_Run_h],"&lt;&gt;")</f>
        <v/>
      </c>
      <c r="DQ289" s="55">
        <f>IF($B289=$B288,$DQ288,0)+$DP289</f>
        <v/>
      </c>
      <c r="DR289" s="55">
        <f>$DR288+$DP289</f>
        <v/>
      </c>
      <c r="DS289" s="56">
        <f>IFERROR(IF(($DG289)&gt;0,($CX289*cfg_TroyOz)/($DG289),""),"")</f>
        <v/>
      </c>
      <c r="DT289" s="56">
        <f>IFERROR(IF(($DH289)&gt;0,($CY289*cfg_TroyOz)/($DH289),""),"")</f>
        <v/>
      </c>
      <c r="DU289" s="56">
        <f>IFERROR(IF(($DI289)&gt;0,($CZ289*cfg_TroyOz)/($DI289),""),"")</f>
        <v/>
      </c>
      <c r="DV289" s="56">
        <f>IFERROR(IF(($DJ289)&gt;0,($DA289*cfg_TroyOz)/($DJ289),""),"")</f>
        <v/>
      </c>
      <c r="DW289" s="56">
        <f>IFERROR(IF(($DK289)&gt;0,($DB289*cfg_TroyOz)/($DK289),""),"")</f>
        <v/>
      </c>
      <c r="DX289" s="56">
        <f>IFERROR(IF(($DL289)&gt;0,($DC289*cfg_TroyOz)/($DL289),""),"")</f>
        <v/>
      </c>
      <c r="DY289" s="67">
        <f>IFERROR(IF(($DM289)&gt;0,($DD289)/($DM289),""),"")</f>
        <v/>
      </c>
      <c r="DZ289" s="67">
        <f>IFERROR(IF(($DN289)&gt;0,($DE289)/($DN289),""),"")</f>
        <v/>
      </c>
      <c r="EA289" s="67">
        <f>IFERROR(IF(($DO289)&gt;0,($DF289)/($DO289),""),"")</f>
        <v/>
      </c>
      <c r="EB289" s="55">
        <f>SUMIFS(tblPlant[Gravity_Gold_oz],tblPlant[Date],$A289)</f>
        <v/>
      </c>
      <c r="EC289" s="55">
        <f>IF($B289=$B288,$EC288,0)+$EB289</f>
        <v/>
      </c>
      <c r="ED289" s="55">
        <f>$ED288+$EB289</f>
        <v/>
      </c>
      <c r="EE289" s="67">
        <f>IFERROR(IF(($DD289)&gt;0,($EB289)/($DD289),""),"")</f>
        <v/>
      </c>
      <c r="EF289" s="67">
        <f>IFERROR(IF(($DE289)&gt;0,($EC289)/($DE289),""),"")</f>
        <v/>
      </c>
      <c r="EG289" s="67">
        <f>IFERROR(IF(($DF289)&gt;0,($ED289)/($DF289),""),"")</f>
        <v/>
      </c>
      <c r="EH289" s="55">
        <f>SUMIFS(tblPlant[Gold_Poured_oz],tblPlant[Date],$A289)</f>
        <v/>
      </c>
      <c r="EI289" s="55">
        <f>IF($B289=$B288,$EI288,0)+$EH289</f>
        <v/>
      </c>
      <c r="EJ289" s="55">
        <f>$EJ288+$EH289</f>
        <v/>
      </c>
      <c r="EK289" s="57">
        <f>SUMIFS(tblPlant[Mill_Run_h],tblPlant[Date],$A289)</f>
        <v/>
      </c>
      <c r="EL289" s="57">
        <f>IF($B289=$B288,$EL288,0)+$EK289</f>
        <v/>
      </c>
      <c r="EM289" s="57">
        <f>$EM288+$EK289</f>
        <v/>
      </c>
      <c r="EN289" s="57">
        <f>SUMIFS(tblPlant[Mill_Planned_Maint_h],tblPlant[Date],$A289)</f>
        <v/>
      </c>
      <c r="EO289" s="57">
        <f>IF($B289=$B288,$EO288,0)+$EN289</f>
        <v/>
      </c>
      <c r="EP289" s="57">
        <f>$EP288+$EN289</f>
        <v/>
      </c>
      <c r="EQ289" s="57">
        <f>SUMIFS(tblPlant[Mill_Unplanned_Down_h],tblPlant[Date],$A289)</f>
        <v/>
      </c>
      <c r="ER289" s="57">
        <f>IF($B289=$B288,$ER288,0)+$EQ289</f>
        <v/>
      </c>
      <c r="ES289" s="57">
        <f>$ES288+$EQ289</f>
        <v/>
      </c>
      <c r="ET289" s="57">
        <f>IF(COUNTIFS(tblPlant[Date],$A289,tblPlant[Mill_Run_h],"&lt;&gt;")+COUNTIFS(tblPlant[Date],$A289,tblPlant[Mill_Planned_Maint_h],"&lt;&gt;")+COUNTIFS(tblPlant[Date],$A289,tblPlant[Mill_Unplanned_Down_h],"&lt;&gt;")&gt;0,cfg_HoursPerDay,0)</f>
        <v/>
      </c>
      <c r="EU289" s="57">
        <f>IF($B289=$B288,$EU288,0)+$ET289</f>
        <v/>
      </c>
      <c r="EV289" s="57">
        <f>$EV288+$ET289</f>
        <v/>
      </c>
      <c r="EW289" s="57">
        <f>SUMIFS(tblPlant[Crusher_Run_h],tblPlant[Date],$A289)</f>
        <v/>
      </c>
      <c r="EX289" s="57">
        <f>IF($B289=$B288,$EX288,0)+$EW289</f>
        <v/>
      </c>
      <c r="EY289" s="57">
        <f>$EY288+$EW289</f>
        <v/>
      </c>
      <c r="EZ289" s="55">
        <f>IFERROR(IF(($EK289)&gt;0,($DP289)/($EK289),""),"")</f>
        <v/>
      </c>
      <c r="FA289" s="55">
        <f>IFERROR(IF(($EL289)&gt;0,($DQ289)/($EL289),""),"")</f>
        <v/>
      </c>
      <c r="FB289" s="55">
        <f>IFERROR(IF(($EM289)&gt;0,($DR289)/($EM289),""),"")</f>
        <v/>
      </c>
      <c r="FC289" s="67">
        <f>IFERROR(IF(($ET289)&gt;0,($ET289-$EN289-$EQ289)/($ET289),""),"")</f>
        <v/>
      </c>
      <c r="FD289" s="67">
        <f>IFERROR(IF(($EU289)&gt;0,($EU289-$EO289-$ER289)/($EU289),""),"")</f>
        <v/>
      </c>
      <c r="FE289" s="67">
        <f>IFERROR(IF(($EV289)&gt;0,($EV289-$EP289-$ES289)/($EV289),""),"")</f>
        <v/>
      </c>
      <c r="FF289" s="67">
        <f>IFERROR(IF(($ET289-$EN289-$EQ289)&gt;0,($EK289)/($ET289-$EN289-$EQ289),""),"")</f>
        <v/>
      </c>
      <c r="FG289" s="67">
        <f>IFERROR(IF(($EU289-$EO289-$ER289)&gt;0,($EL289)/($EU289-$EO289-$ER289),""),"")</f>
        <v/>
      </c>
      <c r="FH289" s="67">
        <f>IFERROR(IF(($EV289-$EP289-$ES289)&gt;0,($EM289)/($EV289-$EP289-$ES289),""),"")</f>
        <v/>
      </c>
      <c r="FI289" s="55">
        <f>SUMIFS(tblPlant[Cyanide_kg],tblPlant[Date],$A289)</f>
        <v/>
      </c>
      <c r="FJ289" s="55">
        <f>IF($B289=$B288,$FJ288,0)+$FI289</f>
        <v/>
      </c>
      <c r="FK289" s="55">
        <f>$FK288+$FI289</f>
        <v/>
      </c>
      <c r="FL289" s="55">
        <f>SUMIFS(tblPlant[Lime_kg],tblPlant[Date],$A289)</f>
        <v/>
      </c>
      <c r="FM289" s="55">
        <f>IF($B289=$B288,$FM288,0)+$FL289</f>
        <v/>
      </c>
      <c r="FN289" s="55">
        <f>$FN288+$FL289</f>
        <v/>
      </c>
      <c r="FO289" s="55">
        <f>SUMIFS(tblPlant[Grinding_Media_kg],tblPlant[Date],$A289)</f>
        <v/>
      </c>
      <c r="FP289" s="55">
        <f>IF($B289=$B288,$FP288,0)+$FO289</f>
        <v/>
      </c>
      <c r="FQ289" s="55">
        <f>$FQ288+$FO289</f>
        <v/>
      </c>
      <c r="FR289" s="55">
        <f>SUMIFS(tblPlant[Power_kWh],tblPlant[Date],$A289)</f>
        <v/>
      </c>
      <c r="FS289" s="55">
        <f>IF($B289=$B288,$FS288,0)+$FR289</f>
        <v/>
      </c>
      <c r="FT289" s="55">
        <f>$FT288+$FR289</f>
        <v/>
      </c>
      <c r="FU289" s="55">
        <f>SUMIFS(tblPlant[Raw_Water_m3],tblPlant[Date],$A289)</f>
        <v/>
      </c>
      <c r="FV289" s="55">
        <f>IF($B289=$B288,$FV288,0)+$FU289</f>
        <v/>
      </c>
      <c r="FW289" s="55">
        <f>$FW288+$FU289</f>
        <v/>
      </c>
      <c r="FX289" s="56">
        <f>IFERROR(IF(($CU289)&gt;0,($FI289)/($CU289),""),"")</f>
        <v/>
      </c>
      <c r="FY289" s="56">
        <f>IFERROR(IF(($CV289)&gt;0,($FJ289)/($CV289),""),"")</f>
        <v/>
      </c>
      <c r="FZ289" s="56">
        <f>IFERROR(IF(($CW289)&gt;0,($FK289)/($CW289),""),"")</f>
        <v/>
      </c>
      <c r="GA289" s="56">
        <f>IFERROR(IF(($CU289)&gt;0,($FL289)/($CU289),""),"")</f>
        <v/>
      </c>
      <c r="GB289" s="56">
        <f>IFERROR(IF(($CV289)&gt;0,($FM289)/($CV289),""),"")</f>
        <v/>
      </c>
      <c r="GC289" s="56">
        <f>IFERROR(IF(($CW289)&gt;0,($FN289)/($CW289),""),"")</f>
        <v/>
      </c>
      <c r="GD289" s="56">
        <f>IFERROR(IF(($CU289)&gt;0,($FO289)/($CU289),""),"")</f>
        <v/>
      </c>
      <c r="GE289" s="56">
        <f>IFERROR(IF(($CV289)&gt;0,($FP289)/($CV289),""),"")</f>
        <v/>
      </c>
      <c r="GF289" s="56">
        <f>IFERROR(IF(($CW289)&gt;0,($FQ289)/($CW289),""),"")</f>
        <v/>
      </c>
      <c r="GG289" s="79">
        <f>IFERROR(IF(($CU289)&gt;0,($FR289)/($CU289),""),"")</f>
        <v/>
      </c>
      <c r="GH289" s="79">
        <f>IFERROR(IF(($CV289)&gt;0,($FS289)/($CV289),""),"")</f>
        <v/>
      </c>
      <c r="GI289" s="79">
        <f>IFERROR(IF(($CW289)&gt;0,($FT289)/($CW289),""),"")</f>
        <v/>
      </c>
      <c r="GJ289" s="56">
        <f>IFERROR(IF(($CU289)&gt;0,($FU289)/($CU289),""),"")</f>
        <v/>
      </c>
      <c r="GK289" s="56">
        <f>IFERROR(IF(($CV289)&gt;0,($FV289)/($CV289),""),"")</f>
        <v/>
      </c>
      <c r="GL289" s="56">
        <f>IFERROR(IF(($CW289)&gt;0,($FW289)/($CW289),""),"")</f>
        <v/>
      </c>
      <c r="GM289" s="55">
        <f>IF(SUMIFS(tblPlant[GIC_oz],tblPlant[Date],$A289)&gt;0,SUMIFS(tblPlant[GIC_oz],tblPlant[Date],$A289),"")</f>
        <v/>
      </c>
      <c r="GN289" s="55">
        <f>SUMIFS(tblGold[Gold_oz],tblGold[Date],$A289,tblGold[Type],"Shipment")</f>
        <v/>
      </c>
      <c r="GO289" s="55">
        <f>IF($B289=$B288,$GO288,0)+$GN289</f>
        <v/>
      </c>
      <c r="GP289" s="55">
        <f>$GP288+$GN289</f>
        <v/>
      </c>
      <c r="GQ289" s="55">
        <f>SUMIFS(tblGold[Gold_oz],tblGold[Date],$A289,tblGold[Type],"Sale")</f>
        <v/>
      </c>
      <c r="GR289" s="55">
        <f>IF($B289=$B288,$GR288,0)+$GQ289</f>
        <v/>
      </c>
      <c r="GS289" s="55">
        <f>$GS288+$GQ289</f>
        <v/>
      </c>
      <c r="GT289" s="55">
        <f>SUMIFS(tblGold[Dore_kg],tblGold[Date],$A289,tblGold[Type],"Shipment")</f>
        <v/>
      </c>
      <c r="GU289" s="55">
        <f>IF($B289=$B288,$GU288,0)+$GT289</f>
        <v/>
      </c>
      <c r="GV289" s="55">
        <f>$GV288+$GT289</f>
        <v/>
      </c>
      <c r="GW289" s="57">
        <f>SUMIFS(tblSafety[Hours_Total],tblSafety[Date],$A289)</f>
        <v/>
      </c>
      <c r="GX289" s="57">
        <f>IF($B289=$B288,$GX288,0)+$GW289</f>
        <v/>
      </c>
      <c r="GY289" s="57">
        <f>$GY288+$GW289</f>
        <v/>
      </c>
      <c r="GZ289" s="62">
        <f>SUMIFS(tblSafety[Fatality],tblSafety[Date],$A289)</f>
        <v/>
      </c>
      <c r="HA289" s="62">
        <f>IF($B289=$B288,$HA288,0)+$GZ289</f>
        <v/>
      </c>
      <c r="HB289" s="62">
        <f>$HB288+$GZ289</f>
        <v/>
      </c>
      <c r="HC289" s="62">
        <f>SUMIFS(tblSafety[LTI],tblSafety[Date],$A289)</f>
        <v/>
      </c>
      <c r="HD289" s="62">
        <f>IF($B289=$B288,$HD288,0)+$HC289</f>
        <v/>
      </c>
      <c r="HE289" s="62">
        <f>$HE288+$HC289</f>
        <v/>
      </c>
      <c r="HF289" s="62">
        <f>SUMIFS(tblSafety[RWI],tblSafety[Date],$A289)</f>
        <v/>
      </c>
      <c r="HG289" s="62">
        <f>IF($B289=$B288,$HG288,0)+$HF289</f>
        <v/>
      </c>
      <c r="HH289" s="62">
        <f>$HH288+$HF289</f>
        <v/>
      </c>
      <c r="HI289" s="62">
        <f>SUMIFS(tblSafety[MTI],tblSafety[Date],$A289)</f>
        <v/>
      </c>
      <c r="HJ289" s="62">
        <f>IF($B289=$B288,$HJ288,0)+$HI289</f>
        <v/>
      </c>
      <c r="HK289" s="62">
        <f>$HK288+$HI289</f>
        <v/>
      </c>
      <c r="HL289" s="62">
        <f>SUMIFS(tblSafety[FAI],tblSafety[Date],$A289)</f>
        <v/>
      </c>
      <c r="HM289" s="62">
        <f>IF($B289=$B288,$HM288,0)+$HL289</f>
        <v/>
      </c>
      <c r="HN289" s="62">
        <f>$HN288+$HL289</f>
        <v/>
      </c>
      <c r="HO289" s="62">
        <f>SUMIFS(tblSafety[Recordables],tblSafety[Date],$A289)</f>
        <v/>
      </c>
      <c r="HP289" s="62">
        <f>IF($B289=$B288,$HP288,0)+$HO289</f>
        <v/>
      </c>
      <c r="HQ289" s="62">
        <f>$HQ288+$HO289</f>
        <v/>
      </c>
      <c r="HR289" s="62">
        <f>SUMIFS(tblSafety[Near_Miss],tblSafety[Date],$A289)</f>
        <v/>
      </c>
      <c r="HS289" s="62">
        <f>IF($B289=$B288,$HS288,0)+$HR289</f>
        <v/>
      </c>
      <c r="HT289" s="62">
        <f>$HT288+$HR289</f>
        <v/>
      </c>
      <c r="HU289" s="62">
        <f>SUMIFS(tblSafety[Hazard_Reports],tblSafety[Date],$A289)</f>
        <v/>
      </c>
      <c r="HV289" s="62">
        <f>IF($B289=$B288,$HV288,0)+$HU289</f>
        <v/>
      </c>
      <c r="HW289" s="62">
        <f>$HW288+$HU289</f>
        <v/>
      </c>
      <c r="HX289" s="62">
        <f>SUMIFS(tblSafety[HPI],tblSafety[Date],$A289)</f>
        <v/>
      </c>
      <c r="HY289" s="62">
        <f>IF($B289=$B288,$HY288,0)+$HX289</f>
        <v/>
      </c>
      <c r="HZ289" s="62">
        <f>$HZ288+$HX289</f>
        <v/>
      </c>
      <c r="IA289" s="62">
        <f>SUMIFS(tblSafety[Env_Incidents],tblSafety[Date],$A289)</f>
        <v/>
      </c>
      <c r="IB289" s="62">
        <f>IF($B289=$B288,$IB288,0)+$IA289</f>
        <v/>
      </c>
      <c r="IC289" s="62">
        <f>$IC288+$IA289</f>
        <v/>
      </c>
      <c r="ID289" s="62">
        <f>SUMIFS(tblSafety[Community_Incidents],tblSafety[Date],$A289)</f>
        <v/>
      </c>
      <c r="IE289" s="62">
        <f>IF($B289=$B288,$IE288,0)+$ID289</f>
        <v/>
      </c>
      <c r="IF289" s="62">
        <f>$IF288+$ID289</f>
        <v/>
      </c>
      <c r="IG289" s="62">
        <f>SUMIFS(tblSafety[Vehicle_Incidents],tblSafety[Date],$A289)</f>
        <v/>
      </c>
      <c r="IH289" s="62">
        <f>IF($B289=$B288,$IH288,0)+$IG289</f>
        <v/>
      </c>
      <c r="II289" s="62">
        <f>$II288+$IG289</f>
        <v/>
      </c>
      <c r="IJ289" s="62">
        <f>SUMIFS(tblSafety[Toolbox_Talks],tblSafety[Date],$A289)</f>
        <v/>
      </c>
      <c r="IK289" s="62">
        <f>IF($B289=$B288,$IK288,0)+$IJ289</f>
        <v/>
      </c>
      <c r="IL289" s="62">
        <f>$IL288+$IJ289</f>
        <v/>
      </c>
      <c r="IM289" s="62">
        <f>SUMIFS(tblSafety[Inspections],tblSafety[Date],$A289)</f>
        <v/>
      </c>
      <c r="IN289" s="62">
        <f>IF($B289=$B288,$IN288,0)+$IM289</f>
        <v/>
      </c>
      <c r="IO289" s="62">
        <f>$IO288+$IM289</f>
        <v/>
      </c>
      <c r="IP289" s="56">
        <f>IFERROR((SUMIFS(tblSafety[Recordables],tblSafety[Date],"&gt;="&amp;EDATE($E289,-12),tblSafety[Date],"&lt;="&amp;$A289)+SUMIFS(tblSafetyHistory[Recordables],tblSafetyHistory[Month],"&gt;="&amp;EDATE($E289,-12),tblSafetyHistory[Month],"&lt;"&amp;$E289,tblSafetyHistory[Use],1))/(SUMIFS(tblSafety[Hours_Total],tblSafety[Date],"&gt;="&amp;EDATE($E289,-12),tblSafety[Date],"&lt;="&amp;$A289)+SUMIFS(tblSafetyHistory[Hours_Total],tblSafetyHistory[Month],"&gt;="&amp;EDATE($E289,-12),tblSafetyHistory[Month],"&lt;"&amp;$E289,tblSafetyHistory[Use],1))*cfg_RateBasisHours,"")</f>
        <v/>
      </c>
      <c r="IQ289" s="56">
        <f>IFERROR((SUMIFS(tblSafety[LTI],tblSafety[Date],"&gt;="&amp;EDATE($E289,-12),tblSafety[Date],"&lt;="&amp;$A289)+SUMIFS(tblSafetyHistory[LTI],tblSafetyHistory[Month],"&gt;="&amp;EDATE($E289,-12),tblSafetyHistory[Month],"&lt;"&amp;$E289,tblSafetyHistory[Use],1))/(SUMIFS(tblSafety[Hours_Total],tblSafety[Date],"&gt;="&amp;EDATE($E289,-12),tblSafety[Date],"&lt;="&amp;$A289)+SUMIFS(tblSafetyHistory[Hours_Total],tblSafetyHistory[Month],"&gt;="&amp;EDATE($E289,-12),tblSafetyHistory[Month],"&lt;"&amp;$E289,tblSafetyHistory[Use],1))*cfg_RateBasisHours,"")</f>
        <v/>
      </c>
      <c r="IR289" s="62">
        <f>IF(MAX(N(cfg_PriorLTIDate),_xlfn.MAXIFS(tblSafety[Date],tblSafety[LTI],"&gt;0",tblSafety[Date],"&lt;="&amp;$A289))=0,"",$A289-MAX(N(cfg_PriorLTIDate),_xlfn.MAXIFS(tblSafety[Date],tblSafety[LTI],"&gt;0",tblSafety[Date],"&lt;="&amp;$A289)))</f>
        <v/>
      </c>
      <c r="IS289" s="55">
        <f>SUMIFS(tblBudget[Ore_Mined_t],tblBudget[Month],$E289)</f>
        <v/>
      </c>
      <c r="IT289" s="55">
        <f>$IS289*$C289/$D289</f>
        <v/>
      </c>
      <c r="IU289" s="55">
        <f>SUMIFS(tblBudget[Ore_Mined_t],tblBudget[Month],"&lt;"&amp;$E289)+$IT289</f>
        <v/>
      </c>
      <c r="IV289" s="55">
        <f>SUMIFS(tblBudget[Ore_oz],tblBudget[Month],$E289)</f>
        <v/>
      </c>
      <c r="IW289" s="55">
        <f>$IV289*$C289/$D289</f>
        <v/>
      </c>
      <c r="IX289" s="55">
        <f>SUMIFS(tblBudget[Ore_oz],tblBudget[Month],"&lt;"&amp;$E289)+$IW289</f>
        <v/>
      </c>
      <c r="IY289" s="55">
        <f>SUMIFS(tblBudget[Ore_Mined_t],tblBudget[Month],$E289)</f>
        <v/>
      </c>
      <c r="IZ289" s="55">
        <f>$IY289*$C289/$D289</f>
        <v/>
      </c>
      <c r="JA289" s="55">
        <f>SUMIFS(tblBudget[Ore_Mined_t],tblBudget[Month],"&lt;"&amp;$E289)+$IZ289</f>
        <v/>
      </c>
      <c r="JB289" s="56">
        <f>IFERROR(IF(($IY289)&gt;0,($IV289*cfg_TroyOz)/($IY289),""),"")</f>
        <v/>
      </c>
      <c r="JC289" s="56">
        <f>IFERROR(IF(($IZ289)&gt;0,($IW289*cfg_TroyOz)/($IZ289),""),"")</f>
        <v/>
      </c>
      <c r="JD289" s="56">
        <f>IFERROR(IF(($JA289)&gt;0,($IX289*cfg_TroyOz)/($JA289),""),"")</f>
        <v/>
      </c>
      <c r="JE289" s="55">
        <f>SUMIFS(tblBudget[Waste_t],tblBudget[Month],$E289)</f>
        <v/>
      </c>
      <c r="JF289" s="55">
        <f>$JE289*$C289/$D289</f>
        <v/>
      </c>
      <c r="JG289" s="55">
        <f>SUMIFS(tblBudget[Waste_t],tblBudget[Month],"&lt;"&amp;$E289)+$JF289</f>
        <v/>
      </c>
      <c r="JH289" s="55">
        <f>SUMIFS(tblBudget[TMM_t],tblBudget[Month],$E289)</f>
        <v/>
      </c>
      <c r="JI289" s="55">
        <f>$JH289*$C289/$D289</f>
        <v/>
      </c>
      <c r="JJ289" s="55">
        <f>SUMIFS(tblBudget[TMM_t],tblBudget[Month],"&lt;"&amp;$E289)+$JI289</f>
        <v/>
      </c>
      <c r="JK289" s="56">
        <f>IFERROR(IF(($IS289)&gt;0,($JE289)/($IS289),""),"")</f>
        <v/>
      </c>
      <c r="JL289" s="56">
        <f>IFERROR(IF(($IT289)&gt;0,($JF289)/($IT289),""),"")</f>
        <v/>
      </c>
      <c r="JM289" s="56">
        <f>IFERROR(IF(($IU289)&gt;0,($JG289)/($IU289),""),"")</f>
        <v/>
      </c>
      <c r="JN289" s="55">
        <f>SUMIFS(tblBudget[Drill_m],tblBudget[Month],$E289)</f>
        <v/>
      </c>
      <c r="JO289" s="55">
        <f>$JN289*$C289/$D289</f>
        <v/>
      </c>
      <c r="JP289" s="55">
        <f>SUMIFS(tblBudget[Drill_m],tblBudget[Month],"&lt;"&amp;$E289)+$JO289</f>
        <v/>
      </c>
      <c r="JQ289" s="55">
        <f>SUMIFS(tblBudget[Diesel_L],tblBudget[Month],$E289)</f>
        <v/>
      </c>
      <c r="JR289" s="55">
        <f>$JQ289*$C289/$D289</f>
        <v/>
      </c>
      <c r="JS289" s="55">
        <f>SUMIFS(tblBudget[Diesel_L],tblBudget[Month],"&lt;"&amp;$E289)+$JR289</f>
        <v/>
      </c>
      <c r="JT289" s="55">
        <f>SUMIFS(tblBudget[Milled_t],tblBudget[Month],$E289)</f>
        <v/>
      </c>
      <c r="JU289" s="55">
        <f>$JT289*$C289/$D289</f>
        <v/>
      </c>
      <c r="JV289" s="55">
        <f>SUMIFS(tblBudget[Milled_t],tblBudget[Month],"&lt;"&amp;$E289)+$JU289</f>
        <v/>
      </c>
      <c r="JW289" s="55">
        <f>SUMIFS(tblBudget[Feed_oz],tblBudget[Month],$E289)</f>
        <v/>
      </c>
      <c r="JX289" s="55">
        <f>$JW289*$C289/$D289</f>
        <v/>
      </c>
      <c r="JY289" s="55">
        <f>SUMIFS(tblBudget[Feed_oz],tblBudget[Month],"&lt;"&amp;$E289)+$JX289</f>
        <v/>
      </c>
      <c r="JZ289" s="55">
        <f>SUMIFS(tblBudget[Recovered_oz],tblBudget[Month],$E289)</f>
        <v/>
      </c>
      <c r="KA289" s="55">
        <f>$JZ289*$C289/$D289</f>
        <v/>
      </c>
      <c r="KB289" s="55">
        <f>SUMIFS(tblBudget[Recovered_oz],tblBudget[Month],"&lt;"&amp;$E289)+$KA289</f>
        <v/>
      </c>
      <c r="KC289" s="55">
        <f>SUMIFS(tblBudget[Milled_t],tblBudget[Month],$E289)</f>
        <v/>
      </c>
      <c r="KD289" s="55">
        <f>$KC289*$C289/$D289</f>
        <v/>
      </c>
      <c r="KE289" s="55">
        <f>SUMIFS(tblBudget[Milled_t],tblBudget[Month],"&lt;"&amp;$E289)+$KD289</f>
        <v/>
      </c>
      <c r="KF289" s="55">
        <f>SUMIFS(tblBudget[Feed_oz],tblBudget[Month],$E289)</f>
        <v/>
      </c>
      <c r="KG289" s="55">
        <f>$KF289*$C289/$D289</f>
        <v/>
      </c>
      <c r="KH289" s="55">
        <f>SUMIFS(tblBudget[Feed_oz],tblBudget[Month],"&lt;"&amp;$E289)+$KG289</f>
        <v/>
      </c>
      <c r="KI289" s="56">
        <f>IFERROR(IF(($KC289)&gt;0,($JW289*cfg_TroyOz)/($KC289),""),"")</f>
        <v/>
      </c>
      <c r="KJ289" s="56">
        <f>IFERROR(IF(($KD289)&gt;0,($JX289*cfg_TroyOz)/($KD289),""),"")</f>
        <v/>
      </c>
      <c r="KK289" s="56">
        <f>IFERROR(IF(($KE289)&gt;0,($JY289*cfg_TroyOz)/($KE289),""),"")</f>
        <v/>
      </c>
      <c r="KL289" s="67">
        <f>IFERROR(IF(($KF289)&gt;0,($JZ289)/($KF289),""),"")</f>
        <v/>
      </c>
      <c r="KM289" s="67">
        <f>IFERROR(IF(($KG289)&gt;0,($KA289)/($KG289),""),"")</f>
        <v/>
      </c>
      <c r="KN289" s="67">
        <f>IFERROR(IF(($KH289)&gt;0,($KB289)/($KH289),""),"")</f>
        <v/>
      </c>
      <c r="KO289" s="55">
        <f>SUMIFS(tblBudget[Gold_Poured_oz],tblBudget[Month],$E289)</f>
        <v/>
      </c>
      <c r="KP289" s="55">
        <f>$KO289*$C289/$D289</f>
        <v/>
      </c>
      <c r="KQ289" s="55">
        <f>SUMIFS(tblBudget[Gold_Poured_oz],tblBudget[Month],"&lt;"&amp;$E289)+$KP289</f>
        <v/>
      </c>
      <c r="KR289" s="57">
        <f>SUMIFS(tblBudget[Hours_Worked],tblBudget[Month],$E289)</f>
        <v/>
      </c>
      <c r="KS289" s="57">
        <f>$KR289*$C289/$D289</f>
        <v/>
      </c>
      <c r="KT289" s="57">
        <f>SUMIFS(tblBudget[Hours_Worked],tblBudget[Month],"&lt;"&amp;$E289)+$KS289</f>
        <v/>
      </c>
    </row>
    <row r="290">
      <c r="A290" s="54" t="n">
        <v>46311</v>
      </c>
      <c r="B290">
        <f>MONTH($A290)</f>
        <v/>
      </c>
      <c r="C290">
        <f>DAY($A290)</f>
        <v/>
      </c>
      <c r="D290">
        <f>DAY(EOMONTH($A290,0))</f>
        <v/>
      </c>
      <c r="E290" s="54">
        <f>DATE(YEAR($A290),MONTH($A290),1)</f>
        <v/>
      </c>
      <c r="F290" s="55">
        <f>SUMIFS(tblMovement[Tonnes_t],tblMovement[Date],$A290,tblMovement[Is_Ore],1,tblMovement[Source_Type],"Pit")</f>
        <v/>
      </c>
      <c r="G290" s="55">
        <f>IF($B290=$B289,$G289,0)+$F290</f>
        <v/>
      </c>
      <c r="H290" s="55">
        <f>$H289+$F290</f>
        <v/>
      </c>
      <c r="I290" s="55">
        <f>SUMIFS(tblMovement[Ore_oz],tblMovement[Date],$A290,tblMovement[Source_Type],"Pit")</f>
        <v/>
      </c>
      <c r="J290" s="55">
        <f>IF($B290=$B289,$J289,0)+$I290</f>
        <v/>
      </c>
      <c r="K290" s="55">
        <f>$K289+$I290</f>
        <v/>
      </c>
      <c r="L290" s="55">
        <f>SUMIFS(tblMovement[Tonnes_t],tblMovement[Date],$A290,tblMovement[Is_Ore],1,tblMovement[Source_Type],"Pit",tblMovement[Grade_gpt],"&lt;&gt;")</f>
        <v/>
      </c>
      <c r="M290" s="55">
        <f>IF($B290=$B289,$M289,0)+$L290</f>
        <v/>
      </c>
      <c r="N290" s="55">
        <f>$N289+$L290</f>
        <v/>
      </c>
      <c r="O290" s="56">
        <f>IFERROR(IF(($L290)&gt;0,($I290*cfg_TroyOz)/($L290),""),"")</f>
        <v/>
      </c>
      <c r="P290" s="56">
        <f>IFERROR(IF(($M290)&gt;0,($J290*cfg_TroyOz)/($M290),""),"")</f>
        <v/>
      </c>
      <c r="Q290" s="56">
        <f>IFERROR(IF(($N290)&gt;0,($K290*cfg_TroyOz)/($N290),""),"")</f>
        <v/>
      </c>
      <c r="R290" s="55">
        <f>$F290-$L290</f>
        <v/>
      </c>
      <c r="S290" s="55">
        <f>IF($B290=$B289,$S289,0)+$R290</f>
        <v/>
      </c>
      <c r="T290" s="55">
        <f>$T289+$R290</f>
        <v/>
      </c>
      <c r="U290" s="55">
        <f>SUMIFS(tblMovement[Tonnes_t],tblMovement[Date],$A290,tblMovement[Is_Ore],0,tblMovement[Source_Type],"Pit")</f>
        <v/>
      </c>
      <c r="V290" s="55">
        <f>IF($B290=$B289,$V289,0)+$U290</f>
        <v/>
      </c>
      <c r="W290" s="55">
        <f>$W289+$U290</f>
        <v/>
      </c>
      <c r="X290" s="55">
        <f>$F290+$U290</f>
        <v/>
      </c>
      <c r="Y290" s="55">
        <f>IF($B290=$B289,$Y289,0)+$X290</f>
        <v/>
      </c>
      <c r="Z290" s="55">
        <f>$Z289+$X290</f>
        <v/>
      </c>
      <c r="AA290" s="56">
        <f>IFERROR(IF(($F290)&gt;0,($U290)/($F290),""),"")</f>
        <v/>
      </c>
      <c r="AB290" s="56">
        <f>IFERROR(IF(($G290)&gt;0,($V290)/($G290),""),"")</f>
        <v/>
      </c>
      <c r="AC290" s="56">
        <f>IFERROR(IF(($H290)&gt;0,($W290)/($H290),""),"")</f>
        <v/>
      </c>
      <c r="AD290" s="55">
        <f>SUMIFS(tblMovement[Tonnes_t],tblMovement[Date],$A290,tblMovement[Source_Type],"Stockpile")</f>
        <v/>
      </c>
      <c r="AE290" s="55">
        <f>IF($B290=$B289,$AE289,0)+$AD290</f>
        <v/>
      </c>
      <c r="AF290" s="55">
        <f>$AF289+$AD290</f>
        <v/>
      </c>
      <c r="AG290" s="55">
        <f>SUMIFS(tblMovement[Tonnes_t],tblMovement[Date],$A290)</f>
        <v/>
      </c>
      <c r="AH290" s="55">
        <f>IF($B290=$B289,$AH289,0)+$AG290</f>
        <v/>
      </c>
      <c r="AI290" s="55">
        <f>$AI289+$AG290</f>
        <v/>
      </c>
      <c r="AJ290" s="55">
        <f>$AG290-$X290-$AD290</f>
        <v/>
      </c>
      <c r="AK290" s="55">
        <f>IF($B290=$B289,$AK289,0)+$AJ290</f>
        <v/>
      </c>
      <c r="AL290" s="55">
        <f>$AL289+$AJ290</f>
        <v/>
      </c>
      <c r="AM290" s="55">
        <f>SUMIFS(tblMiningDaily[Drill_m],tblMiningDaily[Date],$A290)</f>
        <v/>
      </c>
      <c r="AN290" s="55">
        <f>IF($B290=$B289,$AN289,0)+$AM290</f>
        <v/>
      </c>
      <c r="AO290" s="55">
        <f>$AO289+$AM290</f>
        <v/>
      </c>
      <c r="AP290" s="55">
        <f>SUMIFS(tblMiningDaily[GC_Drill_m],tblMiningDaily[Date],$A290)</f>
        <v/>
      </c>
      <c r="AQ290" s="55">
        <f>IF($B290=$B289,$AQ289,0)+$AP290</f>
        <v/>
      </c>
      <c r="AR290" s="55">
        <f>$AR289+$AP290</f>
        <v/>
      </c>
      <c r="AS290" s="55">
        <f>SUMIFS(tblMiningDaily[Blast_t],tblMiningDaily[Date],$A290)</f>
        <v/>
      </c>
      <c r="AT290" s="55">
        <f>IF($B290=$B289,$AT289,0)+$AS290</f>
        <v/>
      </c>
      <c r="AU290" s="55">
        <f>$AU289+$AS290</f>
        <v/>
      </c>
      <c r="AV290" s="55">
        <f>SUMIFS(tblMiningDaily[Explosives_kg],tblMiningDaily[Date],$A290)</f>
        <v/>
      </c>
      <c r="AW290" s="55">
        <f>IF($B290=$B289,$AW289,0)+$AV290</f>
        <v/>
      </c>
      <c r="AX290" s="55">
        <f>$AX289+$AV290</f>
        <v/>
      </c>
      <c r="AY290" s="56">
        <f>IFERROR(IF(($AS290)&gt;0,($AV290)/($AS290),""),"")</f>
        <v/>
      </c>
      <c r="AZ290" s="56">
        <f>IFERROR(IF(($AT290)&gt;0,($AW290)/($AT290),""),"")</f>
        <v/>
      </c>
      <c r="BA290" s="56">
        <f>IFERROR(IF(($AU290)&gt;0,($AX290)/($AU290),""),"")</f>
        <v/>
      </c>
      <c r="BB290" s="55">
        <f>SUMIFS(tblMiningDaily[Diesel_L],tblMiningDaily[Date],$A290)</f>
        <v/>
      </c>
      <c r="BC290" s="55">
        <f>IF($B290=$B289,$BC289,0)+$BB290</f>
        <v/>
      </c>
      <c r="BD290" s="55">
        <f>$BD289+$BB290</f>
        <v/>
      </c>
      <c r="BE290" s="55">
        <f>SUMIFS(tblMiningDaily[Dewatering_m3],tblMiningDaily[Date],$A290)</f>
        <v/>
      </c>
      <c r="BF290" s="55">
        <f>IF($B290=$B289,$BF289,0)+$BE290</f>
        <v/>
      </c>
      <c r="BG290" s="55">
        <f>$BG289+$BE290</f>
        <v/>
      </c>
      <c r="BH290" s="57">
        <f>SUMIFS(tblFleet[Calendar_h],tblFleet[Date],$A290,tblFleet[Equipment_Class],"Excavator")</f>
        <v/>
      </c>
      <c r="BI290" s="57">
        <f>IF($B290=$B289,$BI289,0)+$BH290</f>
        <v/>
      </c>
      <c r="BJ290" s="57">
        <f>$BJ289+$BH290</f>
        <v/>
      </c>
      <c r="BK290" s="57">
        <f>SUMIFS(tblFleet[Available_h],tblFleet[Date],$A290,tblFleet[Equipment_Class],"Excavator")</f>
        <v/>
      </c>
      <c r="BL290" s="57">
        <f>IF($B290=$B289,$BL289,0)+$BK290</f>
        <v/>
      </c>
      <c r="BM290" s="57">
        <f>$BM289+$BK290</f>
        <v/>
      </c>
      <c r="BN290" s="57">
        <f>SUMIFS(tblFleet[Operating_h],tblFleet[Date],$A290,tblFleet[Equipment_Class],"Excavator")</f>
        <v/>
      </c>
      <c r="BO290" s="57">
        <f>IF($B290=$B289,$BO289,0)+$BN290</f>
        <v/>
      </c>
      <c r="BP290" s="57">
        <f>$BP289+$BN290</f>
        <v/>
      </c>
      <c r="BQ290" s="67">
        <f>IFERROR(IF(($BH290)&gt;0,($BK290)/($BH290),""),"")</f>
        <v/>
      </c>
      <c r="BR290" s="67">
        <f>IFERROR(IF(($BI290)&gt;0,($BL290)/($BI290),""),"")</f>
        <v/>
      </c>
      <c r="BS290" s="67">
        <f>IFERROR(IF(($BJ290)&gt;0,($BM290)/($BJ290),""),"")</f>
        <v/>
      </c>
      <c r="BT290" s="67">
        <f>IFERROR(IF(($BK290)&gt;0,($BN290)/($BK290),""),"")</f>
        <v/>
      </c>
      <c r="BU290" s="67">
        <f>IFERROR(IF(($BL290)&gt;0,($BO290)/($BL290),""),"")</f>
        <v/>
      </c>
      <c r="BV290" s="67">
        <f>IFERROR(IF(($BM290)&gt;0,($BP290)/($BM290),""),"")</f>
        <v/>
      </c>
      <c r="BW290" s="57">
        <f>SUMIFS(tblFleet[Calendar_h],tblFleet[Date],$A290,tblFleet[Equipment_Class],"Haul Truck")</f>
        <v/>
      </c>
      <c r="BX290" s="57">
        <f>IF($B290=$B289,$BX289,0)+$BW290</f>
        <v/>
      </c>
      <c r="BY290" s="57">
        <f>$BY289+$BW290</f>
        <v/>
      </c>
      <c r="BZ290" s="57">
        <f>SUMIFS(tblFleet[Available_h],tblFleet[Date],$A290,tblFleet[Equipment_Class],"Haul Truck")</f>
        <v/>
      </c>
      <c r="CA290" s="57">
        <f>IF($B290=$B289,$CA289,0)+$BZ290</f>
        <v/>
      </c>
      <c r="CB290" s="57">
        <f>$CB289+$BZ290</f>
        <v/>
      </c>
      <c r="CC290" s="57">
        <f>SUMIFS(tblFleet[Operating_h],tblFleet[Date],$A290,tblFleet[Equipment_Class],"Haul Truck")</f>
        <v/>
      </c>
      <c r="CD290" s="57">
        <f>IF($B290=$B289,$CD289,0)+$CC290</f>
        <v/>
      </c>
      <c r="CE290" s="57">
        <f>$CE289+$CC290</f>
        <v/>
      </c>
      <c r="CF290" s="67">
        <f>IFERROR(IF(($BW290)&gt;0,($BZ290)/($BW290),""),"")</f>
        <v/>
      </c>
      <c r="CG290" s="67">
        <f>IFERROR(IF(($BX290)&gt;0,($CA290)/($BX290),""),"")</f>
        <v/>
      </c>
      <c r="CH290" s="67">
        <f>IFERROR(IF(($BY290)&gt;0,($CB290)/($BY290),""),"")</f>
        <v/>
      </c>
      <c r="CI290" s="67">
        <f>IFERROR(IF(($BZ290)&gt;0,($CC290)/($BZ290),""),"")</f>
        <v/>
      </c>
      <c r="CJ290" s="67">
        <f>IFERROR(IF(($CA290)&gt;0,($CD290)/($CA290),""),"")</f>
        <v/>
      </c>
      <c r="CK290" s="67">
        <f>IFERROR(IF(($CB290)&gt;0,($CE290)/($CB290),""),"")</f>
        <v/>
      </c>
      <c r="CL290" s="55">
        <f>IFERROR(IF(($BN290)&gt;0,($X290+$AD290)/($BN290),""),"")</f>
        <v/>
      </c>
      <c r="CM290" s="55">
        <f>IFERROR(IF(($BO290)&gt;0,($Y290+$AE290)/($BO290),""),"")</f>
        <v/>
      </c>
      <c r="CN290" s="55">
        <f>IFERROR(IF(($BP290)&gt;0,($Z290+$AF290)/($BP290),""),"")</f>
        <v/>
      </c>
      <c r="CO290" s="55">
        <f>IFERROR(IF(($CC290)&gt;0,($X290+$AD290)/($CC290),""),"")</f>
        <v/>
      </c>
      <c r="CP290" s="55">
        <f>IFERROR(IF(($CD290)&gt;0,($Y290+$AE290)/($CD290),""),"")</f>
        <v/>
      </c>
      <c r="CQ290" s="55">
        <f>IFERROR(IF(($CE290)&gt;0,($Z290+$AF290)/($CE290),""),"")</f>
        <v/>
      </c>
      <c r="CR290" s="55">
        <f>SUMIFS(tblPlant[Crushed_t],tblPlant[Date],$A290)</f>
        <v/>
      </c>
      <c r="CS290" s="55">
        <f>IF($B290=$B289,$CS289,0)+$CR290</f>
        <v/>
      </c>
      <c r="CT290" s="55">
        <f>$CT289+$CR290</f>
        <v/>
      </c>
      <c r="CU290" s="55">
        <f>SUMIFS(tblPlant[Milled_t],tblPlant[Date],$A290)</f>
        <v/>
      </c>
      <c r="CV290" s="55">
        <f>IF($B290=$B289,$CV289,0)+$CU290</f>
        <v/>
      </c>
      <c r="CW290" s="55">
        <f>$CW289+$CU290</f>
        <v/>
      </c>
      <c r="CX290" s="55">
        <f>SUMIFS(tblPlant[Feed_oz],tblPlant[Date],$A290)</f>
        <v/>
      </c>
      <c r="CY290" s="55">
        <f>IF($B290=$B289,$CY289,0)+$CX290</f>
        <v/>
      </c>
      <c r="CZ290" s="55">
        <f>$CZ289+$CX290</f>
        <v/>
      </c>
      <c r="DA290" s="55">
        <f>SUMIFS(tblPlant[Tails_oz],tblPlant[Date],$A290)</f>
        <v/>
      </c>
      <c r="DB290" s="55">
        <f>IF($B290=$B289,$DB289,0)+$DA290</f>
        <v/>
      </c>
      <c r="DC290" s="55">
        <f>$DC289+$DA290</f>
        <v/>
      </c>
      <c r="DD290" s="55">
        <f>SUMIFS(tblPlant[Recovered_oz],tblPlant[Date],$A290)</f>
        <v/>
      </c>
      <c r="DE290" s="55">
        <f>IF($B290=$B289,$DE289,0)+$DD290</f>
        <v/>
      </c>
      <c r="DF290" s="55">
        <f>$DF289+$DD290</f>
        <v/>
      </c>
      <c r="DG290" s="55">
        <f>SUMIFS(tblPlant[Milled_t],tblPlant[Date],$A290,tblPlant[Head_Grade_gpt],"&lt;&gt;")</f>
        <v/>
      </c>
      <c r="DH290" s="55">
        <f>IF($B290=$B289,$DH289,0)+$DG290</f>
        <v/>
      </c>
      <c r="DI290" s="55">
        <f>$DI289+$DG290</f>
        <v/>
      </c>
      <c r="DJ290" s="55">
        <f>SUMIFS(tblPlant[Milled_t],tblPlant[Date],$A290,tblPlant[Tails_Grade_gpt],"&lt;&gt;")</f>
        <v/>
      </c>
      <c r="DK290" s="55">
        <f>IF($B290=$B289,$DK289,0)+$DJ290</f>
        <v/>
      </c>
      <c r="DL290" s="55">
        <f>$DL289+$DJ290</f>
        <v/>
      </c>
      <c r="DM290" s="55">
        <f>SUMIFS(tblPlant[Feed_oz],tblPlant[Date],$A290,tblPlant[Tails_Grade_gpt],"&lt;&gt;")</f>
        <v/>
      </c>
      <c r="DN290" s="55">
        <f>IF($B290=$B289,$DN289,0)+$DM290</f>
        <v/>
      </c>
      <c r="DO290" s="55">
        <f>$DO289+$DM290</f>
        <v/>
      </c>
      <c r="DP290" s="55">
        <f>SUMIFS(tblPlant[Milled_t],tblPlant[Date],$A290,tblPlant[Mill_Run_h],"&lt;&gt;")</f>
        <v/>
      </c>
      <c r="DQ290" s="55">
        <f>IF($B290=$B289,$DQ289,0)+$DP290</f>
        <v/>
      </c>
      <c r="DR290" s="55">
        <f>$DR289+$DP290</f>
        <v/>
      </c>
      <c r="DS290" s="56">
        <f>IFERROR(IF(($DG290)&gt;0,($CX290*cfg_TroyOz)/($DG290),""),"")</f>
        <v/>
      </c>
      <c r="DT290" s="56">
        <f>IFERROR(IF(($DH290)&gt;0,($CY290*cfg_TroyOz)/($DH290),""),"")</f>
        <v/>
      </c>
      <c r="DU290" s="56">
        <f>IFERROR(IF(($DI290)&gt;0,($CZ290*cfg_TroyOz)/($DI290),""),"")</f>
        <v/>
      </c>
      <c r="DV290" s="56">
        <f>IFERROR(IF(($DJ290)&gt;0,($DA290*cfg_TroyOz)/($DJ290),""),"")</f>
        <v/>
      </c>
      <c r="DW290" s="56">
        <f>IFERROR(IF(($DK290)&gt;0,($DB290*cfg_TroyOz)/($DK290),""),"")</f>
        <v/>
      </c>
      <c r="DX290" s="56">
        <f>IFERROR(IF(($DL290)&gt;0,($DC290*cfg_TroyOz)/($DL290),""),"")</f>
        <v/>
      </c>
      <c r="DY290" s="67">
        <f>IFERROR(IF(($DM290)&gt;0,($DD290)/($DM290),""),"")</f>
        <v/>
      </c>
      <c r="DZ290" s="67">
        <f>IFERROR(IF(($DN290)&gt;0,($DE290)/($DN290),""),"")</f>
        <v/>
      </c>
      <c r="EA290" s="67">
        <f>IFERROR(IF(($DO290)&gt;0,($DF290)/($DO290),""),"")</f>
        <v/>
      </c>
      <c r="EB290" s="55">
        <f>SUMIFS(tblPlant[Gravity_Gold_oz],tblPlant[Date],$A290)</f>
        <v/>
      </c>
      <c r="EC290" s="55">
        <f>IF($B290=$B289,$EC289,0)+$EB290</f>
        <v/>
      </c>
      <c r="ED290" s="55">
        <f>$ED289+$EB290</f>
        <v/>
      </c>
      <c r="EE290" s="67">
        <f>IFERROR(IF(($DD290)&gt;0,($EB290)/($DD290),""),"")</f>
        <v/>
      </c>
      <c r="EF290" s="67">
        <f>IFERROR(IF(($DE290)&gt;0,($EC290)/($DE290),""),"")</f>
        <v/>
      </c>
      <c r="EG290" s="67">
        <f>IFERROR(IF(($DF290)&gt;0,($ED290)/($DF290),""),"")</f>
        <v/>
      </c>
      <c r="EH290" s="55">
        <f>SUMIFS(tblPlant[Gold_Poured_oz],tblPlant[Date],$A290)</f>
        <v/>
      </c>
      <c r="EI290" s="55">
        <f>IF($B290=$B289,$EI289,0)+$EH290</f>
        <v/>
      </c>
      <c r="EJ290" s="55">
        <f>$EJ289+$EH290</f>
        <v/>
      </c>
      <c r="EK290" s="57">
        <f>SUMIFS(tblPlant[Mill_Run_h],tblPlant[Date],$A290)</f>
        <v/>
      </c>
      <c r="EL290" s="57">
        <f>IF($B290=$B289,$EL289,0)+$EK290</f>
        <v/>
      </c>
      <c r="EM290" s="57">
        <f>$EM289+$EK290</f>
        <v/>
      </c>
      <c r="EN290" s="57">
        <f>SUMIFS(tblPlant[Mill_Planned_Maint_h],tblPlant[Date],$A290)</f>
        <v/>
      </c>
      <c r="EO290" s="57">
        <f>IF($B290=$B289,$EO289,0)+$EN290</f>
        <v/>
      </c>
      <c r="EP290" s="57">
        <f>$EP289+$EN290</f>
        <v/>
      </c>
      <c r="EQ290" s="57">
        <f>SUMIFS(tblPlant[Mill_Unplanned_Down_h],tblPlant[Date],$A290)</f>
        <v/>
      </c>
      <c r="ER290" s="57">
        <f>IF($B290=$B289,$ER289,0)+$EQ290</f>
        <v/>
      </c>
      <c r="ES290" s="57">
        <f>$ES289+$EQ290</f>
        <v/>
      </c>
      <c r="ET290" s="57">
        <f>IF(COUNTIFS(tblPlant[Date],$A290,tblPlant[Mill_Run_h],"&lt;&gt;")+COUNTIFS(tblPlant[Date],$A290,tblPlant[Mill_Planned_Maint_h],"&lt;&gt;")+COUNTIFS(tblPlant[Date],$A290,tblPlant[Mill_Unplanned_Down_h],"&lt;&gt;")&gt;0,cfg_HoursPerDay,0)</f>
        <v/>
      </c>
      <c r="EU290" s="57">
        <f>IF($B290=$B289,$EU289,0)+$ET290</f>
        <v/>
      </c>
      <c r="EV290" s="57">
        <f>$EV289+$ET290</f>
        <v/>
      </c>
      <c r="EW290" s="57">
        <f>SUMIFS(tblPlant[Crusher_Run_h],tblPlant[Date],$A290)</f>
        <v/>
      </c>
      <c r="EX290" s="57">
        <f>IF($B290=$B289,$EX289,0)+$EW290</f>
        <v/>
      </c>
      <c r="EY290" s="57">
        <f>$EY289+$EW290</f>
        <v/>
      </c>
      <c r="EZ290" s="55">
        <f>IFERROR(IF(($EK290)&gt;0,($DP290)/($EK290),""),"")</f>
        <v/>
      </c>
      <c r="FA290" s="55">
        <f>IFERROR(IF(($EL290)&gt;0,($DQ290)/($EL290),""),"")</f>
        <v/>
      </c>
      <c r="FB290" s="55">
        <f>IFERROR(IF(($EM290)&gt;0,($DR290)/($EM290),""),"")</f>
        <v/>
      </c>
      <c r="FC290" s="67">
        <f>IFERROR(IF(($ET290)&gt;0,($ET290-$EN290-$EQ290)/($ET290),""),"")</f>
        <v/>
      </c>
      <c r="FD290" s="67">
        <f>IFERROR(IF(($EU290)&gt;0,($EU290-$EO290-$ER290)/($EU290),""),"")</f>
        <v/>
      </c>
      <c r="FE290" s="67">
        <f>IFERROR(IF(($EV290)&gt;0,($EV290-$EP290-$ES290)/($EV290),""),"")</f>
        <v/>
      </c>
      <c r="FF290" s="67">
        <f>IFERROR(IF(($ET290-$EN290-$EQ290)&gt;0,($EK290)/($ET290-$EN290-$EQ290),""),"")</f>
        <v/>
      </c>
      <c r="FG290" s="67">
        <f>IFERROR(IF(($EU290-$EO290-$ER290)&gt;0,($EL290)/($EU290-$EO290-$ER290),""),"")</f>
        <v/>
      </c>
      <c r="FH290" s="67">
        <f>IFERROR(IF(($EV290-$EP290-$ES290)&gt;0,($EM290)/($EV290-$EP290-$ES290),""),"")</f>
        <v/>
      </c>
      <c r="FI290" s="55">
        <f>SUMIFS(tblPlant[Cyanide_kg],tblPlant[Date],$A290)</f>
        <v/>
      </c>
      <c r="FJ290" s="55">
        <f>IF($B290=$B289,$FJ289,0)+$FI290</f>
        <v/>
      </c>
      <c r="FK290" s="55">
        <f>$FK289+$FI290</f>
        <v/>
      </c>
      <c r="FL290" s="55">
        <f>SUMIFS(tblPlant[Lime_kg],tblPlant[Date],$A290)</f>
        <v/>
      </c>
      <c r="FM290" s="55">
        <f>IF($B290=$B289,$FM289,0)+$FL290</f>
        <v/>
      </c>
      <c r="FN290" s="55">
        <f>$FN289+$FL290</f>
        <v/>
      </c>
      <c r="FO290" s="55">
        <f>SUMIFS(tblPlant[Grinding_Media_kg],tblPlant[Date],$A290)</f>
        <v/>
      </c>
      <c r="FP290" s="55">
        <f>IF($B290=$B289,$FP289,0)+$FO290</f>
        <v/>
      </c>
      <c r="FQ290" s="55">
        <f>$FQ289+$FO290</f>
        <v/>
      </c>
      <c r="FR290" s="55">
        <f>SUMIFS(tblPlant[Power_kWh],tblPlant[Date],$A290)</f>
        <v/>
      </c>
      <c r="FS290" s="55">
        <f>IF($B290=$B289,$FS289,0)+$FR290</f>
        <v/>
      </c>
      <c r="FT290" s="55">
        <f>$FT289+$FR290</f>
        <v/>
      </c>
      <c r="FU290" s="55">
        <f>SUMIFS(tblPlant[Raw_Water_m3],tblPlant[Date],$A290)</f>
        <v/>
      </c>
      <c r="FV290" s="55">
        <f>IF($B290=$B289,$FV289,0)+$FU290</f>
        <v/>
      </c>
      <c r="FW290" s="55">
        <f>$FW289+$FU290</f>
        <v/>
      </c>
      <c r="FX290" s="56">
        <f>IFERROR(IF(($CU290)&gt;0,($FI290)/($CU290),""),"")</f>
        <v/>
      </c>
      <c r="FY290" s="56">
        <f>IFERROR(IF(($CV290)&gt;0,($FJ290)/($CV290),""),"")</f>
        <v/>
      </c>
      <c r="FZ290" s="56">
        <f>IFERROR(IF(($CW290)&gt;0,($FK290)/($CW290),""),"")</f>
        <v/>
      </c>
      <c r="GA290" s="56">
        <f>IFERROR(IF(($CU290)&gt;0,($FL290)/($CU290),""),"")</f>
        <v/>
      </c>
      <c r="GB290" s="56">
        <f>IFERROR(IF(($CV290)&gt;0,($FM290)/($CV290),""),"")</f>
        <v/>
      </c>
      <c r="GC290" s="56">
        <f>IFERROR(IF(($CW290)&gt;0,($FN290)/($CW290),""),"")</f>
        <v/>
      </c>
      <c r="GD290" s="56">
        <f>IFERROR(IF(($CU290)&gt;0,($FO290)/($CU290),""),"")</f>
        <v/>
      </c>
      <c r="GE290" s="56">
        <f>IFERROR(IF(($CV290)&gt;0,($FP290)/($CV290),""),"")</f>
        <v/>
      </c>
      <c r="GF290" s="56">
        <f>IFERROR(IF(($CW290)&gt;0,($FQ290)/($CW290),""),"")</f>
        <v/>
      </c>
      <c r="GG290" s="79">
        <f>IFERROR(IF(($CU290)&gt;0,($FR290)/($CU290),""),"")</f>
        <v/>
      </c>
      <c r="GH290" s="79">
        <f>IFERROR(IF(($CV290)&gt;0,($FS290)/($CV290),""),"")</f>
        <v/>
      </c>
      <c r="GI290" s="79">
        <f>IFERROR(IF(($CW290)&gt;0,($FT290)/($CW290),""),"")</f>
        <v/>
      </c>
      <c r="GJ290" s="56">
        <f>IFERROR(IF(($CU290)&gt;0,($FU290)/($CU290),""),"")</f>
        <v/>
      </c>
      <c r="GK290" s="56">
        <f>IFERROR(IF(($CV290)&gt;0,($FV290)/($CV290),""),"")</f>
        <v/>
      </c>
      <c r="GL290" s="56">
        <f>IFERROR(IF(($CW290)&gt;0,($FW290)/($CW290),""),"")</f>
        <v/>
      </c>
      <c r="GM290" s="55">
        <f>IF(SUMIFS(tblPlant[GIC_oz],tblPlant[Date],$A290)&gt;0,SUMIFS(tblPlant[GIC_oz],tblPlant[Date],$A290),"")</f>
        <v/>
      </c>
      <c r="GN290" s="55">
        <f>SUMIFS(tblGold[Gold_oz],tblGold[Date],$A290,tblGold[Type],"Shipment")</f>
        <v/>
      </c>
      <c r="GO290" s="55">
        <f>IF($B290=$B289,$GO289,0)+$GN290</f>
        <v/>
      </c>
      <c r="GP290" s="55">
        <f>$GP289+$GN290</f>
        <v/>
      </c>
      <c r="GQ290" s="55">
        <f>SUMIFS(tblGold[Gold_oz],tblGold[Date],$A290,tblGold[Type],"Sale")</f>
        <v/>
      </c>
      <c r="GR290" s="55">
        <f>IF($B290=$B289,$GR289,0)+$GQ290</f>
        <v/>
      </c>
      <c r="GS290" s="55">
        <f>$GS289+$GQ290</f>
        <v/>
      </c>
      <c r="GT290" s="55">
        <f>SUMIFS(tblGold[Dore_kg],tblGold[Date],$A290,tblGold[Type],"Shipment")</f>
        <v/>
      </c>
      <c r="GU290" s="55">
        <f>IF($B290=$B289,$GU289,0)+$GT290</f>
        <v/>
      </c>
      <c r="GV290" s="55">
        <f>$GV289+$GT290</f>
        <v/>
      </c>
      <c r="GW290" s="57">
        <f>SUMIFS(tblSafety[Hours_Total],tblSafety[Date],$A290)</f>
        <v/>
      </c>
      <c r="GX290" s="57">
        <f>IF($B290=$B289,$GX289,0)+$GW290</f>
        <v/>
      </c>
      <c r="GY290" s="57">
        <f>$GY289+$GW290</f>
        <v/>
      </c>
      <c r="GZ290" s="62">
        <f>SUMIFS(tblSafety[Fatality],tblSafety[Date],$A290)</f>
        <v/>
      </c>
      <c r="HA290" s="62">
        <f>IF($B290=$B289,$HA289,0)+$GZ290</f>
        <v/>
      </c>
      <c r="HB290" s="62">
        <f>$HB289+$GZ290</f>
        <v/>
      </c>
      <c r="HC290" s="62">
        <f>SUMIFS(tblSafety[LTI],tblSafety[Date],$A290)</f>
        <v/>
      </c>
      <c r="HD290" s="62">
        <f>IF($B290=$B289,$HD289,0)+$HC290</f>
        <v/>
      </c>
      <c r="HE290" s="62">
        <f>$HE289+$HC290</f>
        <v/>
      </c>
      <c r="HF290" s="62">
        <f>SUMIFS(tblSafety[RWI],tblSafety[Date],$A290)</f>
        <v/>
      </c>
      <c r="HG290" s="62">
        <f>IF($B290=$B289,$HG289,0)+$HF290</f>
        <v/>
      </c>
      <c r="HH290" s="62">
        <f>$HH289+$HF290</f>
        <v/>
      </c>
      <c r="HI290" s="62">
        <f>SUMIFS(tblSafety[MTI],tblSafety[Date],$A290)</f>
        <v/>
      </c>
      <c r="HJ290" s="62">
        <f>IF($B290=$B289,$HJ289,0)+$HI290</f>
        <v/>
      </c>
      <c r="HK290" s="62">
        <f>$HK289+$HI290</f>
        <v/>
      </c>
      <c r="HL290" s="62">
        <f>SUMIFS(tblSafety[FAI],tblSafety[Date],$A290)</f>
        <v/>
      </c>
      <c r="HM290" s="62">
        <f>IF($B290=$B289,$HM289,0)+$HL290</f>
        <v/>
      </c>
      <c r="HN290" s="62">
        <f>$HN289+$HL290</f>
        <v/>
      </c>
      <c r="HO290" s="62">
        <f>SUMIFS(tblSafety[Recordables],tblSafety[Date],$A290)</f>
        <v/>
      </c>
      <c r="HP290" s="62">
        <f>IF($B290=$B289,$HP289,0)+$HO290</f>
        <v/>
      </c>
      <c r="HQ290" s="62">
        <f>$HQ289+$HO290</f>
        <v/>
      </c>
      <c r="HR290" s="62">
        <f>SUMIFS(tblSafety[Near_Miss],tblSafety[Date],$A290)</f>
        <v/>
      </c>
      <c r="HS290" s="62">
        <f>IF($B290=$B289,$HS289,0)+$HR290</f>
        <v/>
      </c>
      <c r="HT290" s="62">
        <f>$HT289+$HR290</f>
        <v/>
      </c>
      <c r="HU290" s="62">
        <f>SUMIFS(tblSafety[Hazard_Reports],tblSafety[Date],$A290)</f>
        <v/>
      </c>
      <c r="HV290" s="62">
        <f>IF($B290=$B289,$HV289,0)+$HU290</f>
        <v/>
      </c>
      <c r="HW290" s="62">
        <f>$HW289+$HU290</f>
        <v/>
      </c>
      <c r="HX290" s="62">
        <f>SUMIFS(tblSafety[HPI],tblSafety[Date],$A290)</f>
        <v/>
      </c>
      <c r="HY290" s="62">
        <f>IF($B290=$B289,$HY289,0)+$HX290</f>
        <v/>
      </c>
      <c r="HZ290" s="62">
        <f>$HZ289+$HX290</f>
        <v/>
      </c>
      <c r="IA290" s="62">
        <f>SUMIFS(tblSafety[Env_Incidents],tblSafety[Date],$A290)</f>
        <v/>
      </c>
      <c r="IB290" s="62">
        <f>IF($B290=$B289,$IB289,0)+$IA290</f>
        <v/>
      </c>
      <c r="IC290" s="62">
        <f>$IC289+$IA290</f>
        <v/>
      </c>
      <c r="ID290" s="62">
        <f>SUMIFS(tblSafety[Community_Incidents],tblSafety[Date],$A290)</f>
        <v/>
      </c>
      <c r="IE290" s="62">
        <f>IF($B290=$B289,$IE289,0)+$ID290</f>
        <v/>
      </c>
      <c r="IF290" s="62">
        <f>$IF289+$ID290</f>
        <v/>
      </c>
      <c r="IG290" s="62">
        <f>SUMIFS(tblSafety[Vehicle_Incidents],tblSafety[Date],$A290)</f>
        <v/>
      </c>
      <c r="IH290" s="62">
        <f>IF($B290=$B289,$IH289,0)+$IG290</f>
        <v/>
      </c>
      <c r="II290" s="62">
        <f>$II289+$IG290</f>
        <v/>
      </c>
      <c r="IJ290" s="62">
        <f>SUMIFS(tblSafety[Toolbox_Talks],tblSafety[Date],$A290)</f>
        <v/>
      </c>
      <c r="IK290" s="62">
        <f>IF($B290=$B289,$IK289,0)+$IJ290</f>
        <v/>
      </c>
      <c r="IL290" s="62">
        <f>$IL289+$IJ290</f>
        <v/>
      </c>
      <c r="IM290" s="62">
        <f>SUMIFS(tblSafety[Inspections],tblSafety[Date],$A290)</f>
        <v/>
      </c>
      <c r="IN290" s="62">
        <f>IF($B290=$B289,$IN289,0)+$IM290</f>
        <v/>
      </c>
      <c r="IO290" s="62">
        <f>$IO289+$IM290</f>
        <v/>
      </c>
      <c r="IP290" s="56">
        <f>IFERROR((SUMIFS(tblSafety[Recordables],tblSafety[Date],"&gt;="&amp;EDATE($E290,-12),tblSafety[Date],"&lt;="&amp;$A290)+SUMIFS(tblSafetyHistory[Recordables],tblSafetyHistory[Month],"&gt;="&amp;EDATE($E290,-12),tblSafetyHistory[Month],"&lt;"&amp;$E290,tblSafetyHistory[Use],1))/(SUMIFS(tblSafety[Hours_Total],tblSafety[Date],"&gt;="&amp;EDATE($E290,-12),tblSafety[Date],"&lt;="&amp;$A290)+SUMIFS(tblSafetyHistory[Hours_Total],tblSafetyHistory[Month],"&gt;="&amp;EDATE($E290,-12),tblSafetyHistory[Month],"&lt;"&amp;$E290,tblSafetyHistory[Use],1))*cfg_RateBasisHours,"")</f>
        <v/>
      </c>
      <c r="IQ290" s="56">
        <f>IFERROR((SUMIFS(tblSafety[LTI],tblSafety[Date],"&gt;="&amp;EDATE($E290,-12),tblSafety[Date],"&lt;="&amp;$A290)+SUMIFS(tblSafetyHistory[LTI],tblSafetyHistory[Month],"&gt;="&amp;EDATE($E290,-12),tblSafetyHistory[Month],"&lt;"&amp;$E290,tblSafetyHistory[Use],1))/(SUMIFS(tblSafety[Hours_Total],tblSafety[Date],"&gt;="&amp;EDATE($E290,-12),tblSafety[Date],"&lt;="&amp;$A290)+SUMIFS(tblSafetyHistory[Hours_Total],tblSafetyHistory[Month],"&gt;="&amp;EDATE($E290,-12),tblSafetyHistory[Month],"&lt;"&amp;$E290,tblSafetyHistory[Use],1))*cfg_RateBasisHours,"")</f>
        <v/>
      </c>
      <c r="IR290" s="62">
        <f>IF(MAX(N(cfg_PriorLTIDate),_xlfn.MAXIFS(tblSafety[Date],tblSafety[LTI],"&gt;0",tblSafety[Date],"&lt;="&amp;$A290))=0,"",$A290-MAX(N(cfg_PriorLTIDate),_xlfn.MAXIFS(tblSafety[Date],tblSafety[LTI],"&gt;0",tblSafety[Date],"&lt;="&amp;$A290)))</f>
        <v/>
      </c>
      <c r="IS290" s="55">
        <f>SUMIFS(tblBudget[Ore_Mined_t],tblBudget[Month],$E290)</f>
        <v/>
      </c>
      <c r="IT290" s="55">
        <f>$IS290*$C290/$D290</f>
        <v/>
      </c>
      <c r="IU290" s="55">
        <f>SUMIFS(tblBudget[Ore_Mined_t],tblBudget[Month],"&lt;"&amp;$E290)+$IT290</f>
        <v/>
      </c>
      <c r="IV290" s="55">
        <f>SUMIFS(tblBudget[Ore_oz],tblBudget[Month],$E290)</f>
        <v/>
      </c>
      <c r="IW290" s="55">
        <f>$IV290*$C290/$D290</f>
        <v/>
      </c>
      <c r="IX290" s="55">
        <f>SUMIFS(tblBudget[Ore_oz],tblBudget[Month],"&lt;"&amp;$E290)+$IW290</f>
        <v/>
      </c>
      <c r="IY290" s="55">
        <f>SUMIFS(tblBudget[Ore_Mined_t],tblBudget[Month],$E290)</f>
        <v/>
      </c>
      <c r="IZ290" s="55">
        <f>$IY290*$C290/$D290</f>
        <v/>
      </c>
      <c r="JA290" s="55">
        <f>SUMIFS(tblBudget[Ore_Mined_t],tblBudget[Month],"&lt;"&amp;$E290)+$IZ290</f>
        <v/>
      </c>
      <c r="JB290" s="56">
        <f>IFERROR(IF(($IY290)&gt;0,($IV290*cfg_TroyOz)/($IY290),""),"")</f>
        <v/>
      </c>
      <c r="JC290" s="56">
        <f>IFERROR(IF(($IZ290)&gt;0,($IW290*cfg_TroyOz)/($IZ290),""),"")</f>
        <v/>
      </c>
      <c r="JD290" s="56">
        <f>IFERROR(IF(($JA290)&gt;0,($IX290*cfg_TroyOz)/($JA290),""),"")</f>
        <v/>
      </c>
      <c r="JE290" s="55">
        <f>SUMIFS(tblBudget[Waste_t],tblBudget[Month],$E290)</f>
        <v/>
      </c>
      <c r="JF290" s="55">
        <f>$JE290*$C290/$D290</f>
        <v/>
      </c>
      <c r="JG290" s="55">
        <f>SUMIFS(tblBudget[Waste_t],tblBudget[Month],"&lt;"&amp;$E290)+$JF290</f>
        <v/>
      </c>
      <c r="JH290" s="55">
        <f>SUMIFS(tblBudget[TMM_t],tblBudget[Month],$E290)</f>
        <v/>
      </c>
      <c r="JI290" s="55">
        <f>$JH290*$C290/$D290</f>
        <v/>
      </c>
      <c r="JJ290" s="55">
        <f>SUMIFS(tblBudget[TMM_t],tblBudget[Month],"&lt;"&amp;$E290)+$JI290</f>
        <v/>
      </c>
      <c r="JK290" s="56">
        <f>IFERROR(IF(($IS290)&gt;0,($JE290)/($IS290),""),"")</f>
        <v/>
      </c>
      <c r="JL290" s="56">
        <f>IFERROR(IF(($IT290)&gt;0,($JF290)/($IT290),""),"")</f>
        <v/>
      </c>
      <c r="JM290" s="56">
        <f>IFERROR(IF(($IU290)&gt;0,($JG290)/($IU290),""),"")</f>
        <v/>
      </c>
      <c r="JN290" s="55">
        <f>SUMIFS(tblBudget[Drill_m],tblBudget[Month],$E290)</f>
        <v/>
      </c>
      <c r="JO290" s="55">
        <f>$JN290*$C290/$D290</f>
        <v/>
      </c>
      <c r="JP290" s="55">
        <f>SUMIFS(tblBudget[Drill_m],tblBudget[Month],"&lt;"&amp;$E290)+$JO290</f>
        <v/>
      </c>
      <c r="JQ290" s="55">
        <f>SUMIFS(tblBudget[Diesel_L],tblBudget[Month],$E290)</f>
        <v/>
      </c>
      <c r="JR290" s="55">
        <f>$JQ290*$C290/$D290</f>
        <v/>
      </c>
      <c r="JS290" s="55">
        <f>SUMIFS(tblBudget[Diesel_L],tblBudget[Month],"&lt;"&amp;$E290)+$JR290</f>
        <v/>
      </c>
      <c r="JT290" s="55">
        <f>SUMIFS(tblBudget[Milled_t],tblBudget[Month],$E290)</f>
        <v/>
      </c>
      <c r="JU290" s="55">
        <f>$JT290*$C290/$D290</f>
        <v/>
      </c>
      <c r="JV290" s="55">
        <f>SUMIFS(tblBudget[Milled_t],tblBudget[Month],"&lt;"&amp;$E290)+$JU290</f>
        <v/>
      </c>
      <c r="JW290" s="55">
        <f>SUMIFS(tblBudget[Feed_oz],tblBudget[Month],$E290)</f>
        <v/>
      </c>
      <c r="JX290" s="55">
        <f>$JW290*$C290/$D290</f>
        <v/>
      </c>
      <c r="JY290" s="55">
        <f>SUMIFS(tblBudget[Feed_oz],tblBudget[Month],"&lt;"&amp;$E290)+$JX290</f>
        <v/>
      </c>
      <c r="JZ290" s="55">
        <f>SUMIFS(tblBudget[Recovered_oz],tblBudget[Month],$E290)</f>
        <v/>
      </c>
      <c r="KA290" s="55">
        <f>$JZ290*$C290/$D290</f>
        <v/>
      </c>
      <c r="KB290" s="55">
        <f>SUMIFS(tblBudget[Recovered_oz],tblBudget[Month],"&lt;"&amp;$E290)+$KA290</f>
        <v/>
      </c>
      <c r="KC290" s="55">
        <f>SUMIFS(tblBudget[Milled_t],tblBudget[Month],$E290)</f>
        <v/>
      </c>
      <c r="KD290" s="55">
        <f>$KC290*$C290/$D290</f>
        <v/>
      </c>
      <c r="KE290" s="55">
        <f>SUMIFS(tblBudget[Milled_t],tblBudget[Month],"&lt;"&amp;$E290)+$KD290</f>
        <v/>
      </c>
      <c r="KF290" s="55">
        <f>SUMIFS(tblBudget[Feed_oz],tblBudget[Month],$E290)</f>
        <v/>
      </c>
      <c r="KG290" s="55">
        <f>$KF290*$C290/$D290</f>
        <v/>
      </c>
      <c r="KH290" s="55">
        <f>SUMIFS(tblBudget[Feed_oz],tblBudget[Month],"&lt;"&amp;$E290)+$KG290</f>
        <v/>
      </c>
      <c r="KI290" s="56">
        <f>IFERROR(IF(($KC290)&gt;0,($JW290*cfg_TroyOz)/($KC290),""),"")</f>
        <v/>
      </c>
      <c r="KJ290" s="56">
        <f>IFERROR(IF(($KD290)&gt;0,($JX290*cfg_TroyOz)/($KD290),""),"")</f>
        <v/>
      </c>
      <c r="KK290" s="56">
        <f>IFERROR(IF(($KE290)&gt;0,($JY290*cfg_TroyOz)/($KE290),""),"")</f>
        <v/>
      </c>
      <c r="KL290" s="67">
        <f>IFERROR(IF(($KF290)&gt;0,($JZ290)/($KF290),""),"")</f>
        <v/>
      </c>
      <c r="KM290" s="67">
        <f>IFERROR(IF(($KG290)&gt;0,($KA290)/($KG290),""),"")</f>
        <v/>
      </c>
      <c r="KN290" s="67">
        <f>IFERROR(IF(($KH290)&gt;0,($KB290)/($KH290),""),"")</f>
        <v/>
      </c>
      <c r="KO290" s="55">
        <f>SUMIFS(tblBudget[Gold_Poured_oz],tblBudget[Month],$E290)</f>
        <v/>
      </c>
      <c r="KP290" s="55">
        <f>$KO290*$C290/$D290</f>
        <v/>
      </c>
      <c r="KQ290" s="55">
        <f>SUMIFS(tblBudget[Gold_Poured_oz],tblBudget[Month],"&lt;"&amp;$E290)+$KP290</f>
        <v/>
      </c>
      <c r="KR290" s="57">
        <f>SUMIFS(tblBudget[Hours_Worked],tblBudget[Month],$E290)</f>
        <v/>
      </c>
      <c r="KS290" s="57">
        <f>$KR290*$C290/$D290</f>
        <v/>
      </c>
      <c r="KT290" s="57">
        <f>SUMIFS(tblBudget[Hours_Worked],tblBudget[Month],"&lt;"&amp;$E290)+$KS290</f>
        <v/>
      </c>
    </row>
    <row r="291">
      <c r="A291" s="54" t="n">
        <v>46312</v>
      </c>
      <c r="B291">
        <f>MONTH($A291)</f>
        <v/>
      </c>
      <c r="C291">
        <f>DAY($A291)</f>
        <v/>
      </c>
      <c r="D291">
        <f>DAY(EOMONTH($A291,0))</f>
        <v/>
      </c>
      <c r="E291" s="54">
        <f>DATE(YEAR($A291),MONTH($A291),1)</f>
        <v/>
      </c>
      <c r="F291" s="55">
        <f>SUMIFS(tblMovement[Tonnes_t],tblMovement[Date],$A291,tblMovement[Is_Ore],1,tblMovement[Source_Type],"Pit")</f>
        <v/>
      </c>
      <c r="G291" s="55">
        <f>IF($B291=$B290,$G290,0)+$F291</f>
        <v/>
      </c>
      <c r="H291" s="55">
        <f>$H290+$F291</f>
        <v/>
      </c>
      <c r="I291" s="55">
        <f>SUMIFS(tblMovement[Ore_oz],tblMovement[Date],$A291,tblMovement[Source_Type],"Pit")</f>
        <v/>
      </c>
      <c r="J291" s="55">
        <f>IF($B291=$B290,$J290,0)+$I291</f>
        <v/>
      </c>
      <c r="K291" s="55">
        <f>$K290+$I291</f>
        <v/>
      </c>
      <c r="L291" s="55">
        <f>SUMIFS(tblMovement[Tonnes_t],tblMovement[Date],$A291,tblMovement[Is_Ore],1,tblMovement[Source_Type],"Pit",tblMovement[Grade_gpt],"&lt;&gt;")</f>
        <v/>
      </c>
      <c r="M291" s="55">
        <f>IF($B291=$B290,$M290,0)+$L291</f>
        <v/>
      </c>
      <c r="N291" s="55">
        <f>$N290+$L291</f>
        <v/>
      </c>
      <c r="O291" s="56">
        <f>IFERROR(IF(($L291)&gt;0,($I291*cfg_TroyOz)/($L291),""),"")</f>
        <v/>
      </c>
      <c r="P291" s="56">
        <f>IFERROR(IF(($M291)&gt;0,($J291*cfg_TroyOz)/($M291),""),"")</f>
        <v/>
      </c>
      <c r="Q291" s="56">
        <f>IFERROR(IF(($N291)&gt;0,($K291*cfg_TroyOz)/($N291),""),"")</f>
        <v/>
      </c>
      <c r="R291" s="55">
        <f>$F291-$L291</f>
        <v/>
      </c>
      <c r="S291" s="55">
        <f>IF($B291=$B290,$S290,0)+$R291</f>
        <v/>
      </c>
      <c r="T291" s="55">
        <f>$T290+$R291</f>
        <v/>
      </c>
      <c r="U291" s="55">
        <f>SUMIFS(tblMovement[Tonnes_t],tblMovement[Date],$A291,tblMovement[Is_Ore],0,tblMovement[Source_Type],"Pit")</f>
        <v/>
      </c>
      <c r="V291" s="55">
        <f>IF($B291=$B290,$V290,0)+$U291</f>
        <v/>
      </c>
      <c r="W291" s="55">
        <f>$W290+$U291</f>
        <v/>
      </c>
      <c r="X291" s="55">
        <f>$F291+$U291</f>
        <v/>
      </c>
      <c r="Y291" s="55">
        <f>IF($B291=$B290,$Y290,0)+$X291</f>
        <v/>
      </c>
      <c r="Z291" s="55">
        <f>$Z290+$X291</f>
        <v/>
      </c>
      <c r="AA291" s="56">
        <f>IFERROR(IF(($F291)&gt;0,($U291)/($F291),""),"")</f>
        <v/>
      </c>
      <c r="AB291" s="56">
        <f>IFERROR(IF(($G291)&gt;0,($V291)/($G291),""),"")</f>
        <v/>
      </c>
      <c r="AC291" s="56">
        <f>IFERROR(IF(($H291)&gt;0,($W291)/($H291),""),"")</f>
        <v/>
      </c>
      <c r="AD291" s="55">
        <f>SUMIFS(tblMovement[Tonnes_t],tblMovement[Date],$A291,tblMovement[Source_Type],"Stockpile")</f>
        <v/>
      </c>
      <c r="AE291" s="55">
        <f>IF($B291=$B290,$AE290,0)+$AD291</f>
        <v/>
      </c>
      <c r="AF291" s="55">
        <f>$AF290+$AD291</f>
        <v/>
      </c>
      <c r="AG291" s="55">
        <f>SUMIFS(tblMovement[Tonnes_t],tblMovement[Date],$A291)</f>
        <v/>
      </c>
      <c r="AH291" s="55">
        <f>IF($B291=$B290,$AH290,0)+$AG291</f>
        <v/>
      </c>
      <c r="AI291" s="55">
        <f>$AI290+$AG291</f>
        <v/>
      </c>
      <c r="AJ291" s="55">
        <f>$AG291-$X291-$AD291</f>
        <v/>
      </c>
      <c r="AK291" s="55">
        <f>IF($B291=$B290,$AK290,0)+$AJ291</f>
        <v/>
      </c>
      <c r="AL291" s="55">
        <f>$AL290+$AJ291</f>
        <v/>
      </c>
      <c r="AM291" s="55">
        <f>SUMIFS(tblMiningDaily[Drill_m],tblMiningDaily[Date],$A291)</f>
        <v/>
      </c>
      <c r="AN291" s="55">
        <f>IF($B291=$B290,$AN290,0)+$AM291</f>
        <v/>
      </c>
      <c r="AO291" s="55">
        <f>$AO290+$AM291</f>
        <v/>
      </c>
      <c r="AP291" s="55">
        <f>SUMIFS(tblMiningDaily[GC_Drill_m],tblMiningDaily[Date],$A291)</f>
        <v/>
      </c>
      <c r="AQ291" s="55">
        <f>IF($B291=$B290,$AQ290,0)+$AP291</f>
        <v/>
      </c>
      <c r="AR291" s="55">
        <f>$AR290+$AP291</f>
        <v/>
      </c>
      <c r="AS291" s="55">
        <f>SUMIFS(tblMiningDaily[Blast_t],tblMiningDaily[Date],$A291)</f>
        <v/>
      </c>
      <c r="AT291" s="55">
        <f>IF($B291=$B290,$AT290,0)+$AS291</f>
        <v/>
      </c>
      <c r="AU291" s="55">
        <f>$AU290+$AS291</f>
        <v/>
      </c>
      <c r="AV291" s="55">
        <f>SUMIFS(tblMiningDaily[Explosives_kg],tblMiningDaily[Date],$A291)</f>
        <v/>
      </c>
      <c r="AW291" s="55">
        <f>IF($B291=$B290,$AW290,0)+$AV291</f>
        <v/>
      </c>
      <c r="AX291" s="55">
        <f>$AX290+$AV291</f>
        <v/>
      </c>
      <c r="AY291" s="56">
        <f>IFERROR(IF(($AS291)&gt;0,($AV291)/($AS291),""),"")</f>
        <v/>
      </c>
      <c r="AZ291" s="56">
        <f>IFERROR(IF(($AT291)&gt;0,($AW291)/($AT291),""),"")</f>
        <v/>
      </c>
      <c r="BA291" s="56">
        <f>IFERROR(IF(($AU291)&gt;0,($AX291)/($AU291),""),"")</f>
        <v/>
      </c>
      <c r="BB291" s="55">
        <f>SUMIFS(tblMiningDaily[Diesel_L],tblMiningDaily[Date],$A291)</f>
        <v/>
      </c>
      <c r="BC291" s="55">
        <f>IF($B291=$B290,$BC290,0)+$BB291</f>
        <v/>
      </c>
      <c r="BD291" s="55">
        <f>$BD290+$BB291</f>
        <v/>
      </c>
      <c r="BE291" s="55">
        <f>SUMIFS(tblMiningDaily[Dewatering_m3],tblMiningDaily[Date],$A291)</f>
        <v/>
      </c>
      <c r="BF291" s="55">
        <f>IF($B291=$B290,$BF290,0)+$BE291</f>
        <v/>
      </c>
      <c r="BG291" s="55">
        <f>$BG290+$BE291</f>
        <v/>
      </c>
      <c r="BH291" s="57">
        <f>SUMIFS(tblFleet[Calendar_h],tblFleet[Date],$A291,tblFleet[Equipment_Class],"Excavator")</f>
        <v/>
      </c>
      <c r="BI291" s="57">
        <f>IF($B291=$B290,$BI290,0)+$BH291</f>
        <v/>
      </c>
      <c r="BJ291" s="57">
        <f>$BJ290+$BH291</f>
        <v/>
      </c>
      <c r="BK291" s="57">
        <f>SUMIFS(tblFleet[Available_h],tblFleet[Date],$A291,tblFleet[Equipment_Class],"Excavator")</f>
        <v/>
      </c>
      <c r="BL291" s="57">
        <f>IF($B291=$B290,$BL290,0)+$BK291</f>
        <v/>
      </c>
      <c r="BM291" s="57">
        <f>$BM290+$BK291</f>
        <v/>
      </c>
      <c r="BN291" s="57">
        <f>SUMIFS(tblFleet[Operating_h],tblFleet[Date],$A291,tblFleet[Equipment_Class],"Excavator")</f>
        <v/>
      </c>
      <c r="BO291" s="57">
        <f>IF($B291=$B290,$BO290,0)+$BN291</f>
        <v/>
      </c>
      <c r="BP291" s="57">
        <f>$BP290+$BN291</f>
        <v/>
      </c>
      <c r="BQ291" s="67">
        <f>IFERROR(IF(($BH291)&gt;0,($BK291)/($BH291),""),"")</f>
        <v/>
      </c>
      <c r="BR291" s="67">
        <f>IFERROR(IF(($BI291)&gt;0,($BL291)/($BI291),""),"")</f>
        <v/>
      </c>
      <c r="BS291" s="67">
        <f>IFERROR(IF(($BJ291)&gt;0,($BM291)/($BJ291),""),"")</f>
        <v/>
      </c>
      <c r="BT291" s="67">
        <f>IFERROR(IF(($BK291)&gt;0,($BN291)/($BK291),""),"")</f>
        <v/>
      </c>
      <c r="BU291" s="67">
        <f>IFERROR(IF(($BL291)&gt;0,($BO291)/($BL291),""),"")</f>
        <v/>
      </c>
      <c r="BV291" s="67">
        <f>IFERROR(IF(($BM291)&gt;0,($BP291)/($BM291),""),"")</f>
        <v/>
      </c>
      <c r="BW291" s="57">
        <f>SUMIFS(tblFleet[Calendar_h],tblFleet[Date],$A291,tblFleet[Equipment_Class],"Haul Truck")</f>
        <v/>
      </c>
      <c r="BX291" s="57">
        <f>IF($B291=$B290,$BX290,0)+$BW291</f>
        <v/>
      </c>
      <c r="BY291" s="57">
        <f>$BY290+$BW291</f>
        <v/>
      </c>
      <c r="BZ291" s="57">
        <f>SUMIFS(tblFleet[Available_h],tblFleet[Date],$A291,tblFleet[Equipment_Class],"Haul Truck")</f>
        <v/>
      </c>
      <c r="CA291" s="57">
        <f>IF($B291=$B290,$CA290,0)+$BZ291</f>
        <v/>
      </c>
      <c r="CB291" s="57">
        <f>$CB290+$BZ291</f>
        <v/>
      </c>
      <c r="CC291" s="57">
        <f>SUMIFS(tblFleet[Operating_h],tblFleet[Date],$A291,tblFleet[Equipment_Class],"Haul Truck")</f>
        <v/>
      </c>
      <c r="CD291" s="57">
        <f>IF($B291=$B290,$CD290,0)+$CC291</f>
        <v/>
      </c>
      <c r="CE291" s="57">
        <f>$CE290+$CC291</f>
        <v/>
      </c>
      <c r="CF291" s="67">
        <f>IFERROR(IF(($BW291)&gt;0,($BZ291)/($BW291),""),"")</f>
        <v/>
      </c>
      <c r="CG291" s="67">
        <f>IFERROR(IF(($BX291)&gt;0,($CA291)/($BX291),""),"")</f>
        <v/>
      </c>
      <c r="CH291" s="67">
        <f>IFERROR(IF(($BY291)&gt;0,($CB291)/($BY291),""),"")</f>
        <v/>
      </c>
      <c r="CI291" s="67">
        <f>IFERROR(IF(($BZ291)&gt;0,($CC291)/($BZ291),""),"")</f>
        <v/>
      </c>
      <c r="CJ291" s="67">
        <f>IFERROR(IF(($CA291)&gt;0,($CD291)/($CA291),""),"")</f>
        <v/>
      </c>
      <c r="CK291" s="67">
        <f>IFERROR(IF(($CB291)&gt;0,($CE291)/($CB291),""),"")</f>
        <v/>
      </c>
      <c r="CL291" s="55">
        <f>IFERROR(IF(($BN291)&gt;0,($X291+$AD291)/($BN291),""),"")</f>
        <v/>
      </c>
      <c r="CM291" s="55">
        <f>IFERROR(IF(($BO291)&gt;0,($Y291+$AE291)/($BO291),""),"")</f>
        <v/>
      </c>
      <c r="CN291" s="55">
        <f>IFERROR(IF(($BP291)&gt;0,($Z291+$AF291)/($BP291),""),"")</f>
        <v/>
      </c>
      <c r="CO291" s="55">
        <f>IFERROR(IF(($CC291)&gt;0,($X291+$AD291)/($CC291),""),"")</f>
        <v/>
      </c>
      <c r="CP291" s="55">
        <f>IFERROR(IF(($CD291)&gt;0,($Y291+$AE291)/($CD291),""),"")</f>
        <v/>
      </c>
      <c r="CQ291" s="55">
        <f>IFERROR(IF(($CE291)&gt;0,($Z291+$AF291)/($CE291),""),"")</f>
        <v/>
      </c>
      <c r="CR291" s="55">
        <f>SUMIFS(tblPlant[Crushed_t],tblPlant[Date],$A291)</f>
        <v/>
      </c>
      <c r="CS291" s="55">
        <f>IF($B291=$B290,$CS290,0)+$CR291</f>
        <v/>
      </c>
      <c r="CT291" s="55">
        <f>$CT290+$CR291</f>
        <v/>
      </c>
      <c r="CU291" s="55">
        <f>SUMIFS(tblPlant[Milled_t],tblPlant[Date],$A291)</f>
        <v/>
      </c>
      <c r="CV291" s="55">
        <f>IF($B291=$B290,$CV290,0)+$CU291</f>
        <v/>
      </c>
      <c r="CW291" s="55">
        <f>$CW290+$CU291</f>
        <v/>
      </c>
      <c r="CX291" s="55">
        <f>SUMIFS(tblPlant[Feed_oz],tblPlant[Date],$A291)</f>
        <v/>
      </c>
      <c r="CY291" s="55">
        <f>IF($B291=$B290,$CY290,0)+$CX291</f>
        <v/>
      </c>
      <c r="CZ291" s="55">
        <f>$CZ290+$CX291</f>
        <v/>
      </c>
      <c r="DA291" s="55">
        <f>SUMIFS(tblPlant[Tails_oz],tblPlant[Date],$A291)</f>
        <v/>
      </c>
      <c r="DB291" s="55">
        <f>IF($B291=$B290,$DB290,0)+$DA291</f>
        <v/>
      </c>
      <c r="DC291" s="55">
        <f>$DC290+$DA291</f>
        <v/>
      </c>
      <c r="DD291" s="55">
        <f>SUMIFS(tblPlant[Recovered_oz],tblPlant[Date],$A291)</f>
        <v/>
      </c>
      <c r="DE291" s="55">
        <f>IF($B291=$B290,$DE290,0)+$DD291</f>
        <v/>
      </c>
      <c r="DF291" s="55">
        <f>$DF290+$DD291</f>
        <v/>
      </c>
      <c r="DG291" s="55">
        <f>SUMIFS(tblPlant[Milled_t],tblPlant[Date],$A291,tblPlant[Head_Grade_gpt],"&lt;&gt;")</f>
        <v/>
      </c>
      <c r="DH291" s="55">
        <f>IF($B291=$B290,$DH290,0)+$DG291</f>
        <v/>
      </c>
      <c r="DI291" s="55">
        <f>$DI290+$DG291</f>
        <v/>
      </c>
      <c r="DJ291" s="55">
        <f>SUMIFS(tblPlant[Milled_t],tblPlant[Date],$A291,tblPlant[Tails_Grade_gpt],"&lt;&gt;")</f>
        <v/>
      </c>
      <c r="DK291" s="55">
        <f>IF($B291=$B290,$DK290,0)+$DJ291</f>
        <v/>
      </c>
      <c r="DL291" s="55">
        <f>$DL290+$DJ291</f>
        <v/>
      </c>
      <c r="DM291" s="55">
        <f>SUMIFS(tblPlant[Feed_oz],tblPlant[Date],$A291,tblPlant[Tails_Grade_gpt],"&lt;&gt;")</f>
        <v/>
      </c>
      <c r="DN291" s="55">
        <f>IF($B291=$B290,$DN290,0)+$DM291</f>
        <v/>
      </c>
      <c r="DO291" s="55">
        <f>$DO290+$DM291</f>
        <v/>
      </c>
      <c r="DP291" s="55">
        <f>SUMIFS(tblPlant[Milled_t],tblPlant[Date],$A291,tblPlant[Mill_Run_h],"&lt;&gt;")</f>
        <v/>
      </c>
      <c r="DQ291" s="55">
        <f>IF($B291=$B290,$DQ290,0)+$DP291</f>
        <v/>
      </c>
      <c r="DR291" s="55">
        <f>$DR290+$DP291</f>
        <v/>
      </c>
      <c r="DS291" s="56">
        <f>IFERROR(IF(($DG291)&gt;0,($CX291*cfg_TroyOz)/($DG291),""),"")</f>
        <v/>
      </c>
      <c r="DT291" s="56">
        <f>IFERROR(IF(($DH291)&gt;0,($CY291*cfg_TroyOz)/($DH291),""),"")</f>
        <v/>
      </c>
      <c r="DU291" s="56">
        <f>IFERROR(IF(($DI291)&gt;0,($CZ291*cfg_TroyOz)/($DI291),""),"")</f>
        <v/>
      </c>
      <c r="DV291" s="56">
        <f>IFERROR(IF(($DJ291)&gt;0,($DA291*cfg_TroyOz)/($DJ291),""),"")</f>
        <v/>
      </c>
      <c r="DW291" s="56">
        <f>IFERROR(IF(($DK291)&gt;0,($DB291*cfg_TroyOz)/($DK291),""),"")</f>
        <v/>
      </c>
      <c r="DX291" s="56">
        <f>IFERROR(IF(($DL291)&gt;0,($DC291*cfg_TroyOz)/($DL291),""),"")</f>
        <v/>
      </c>
      <c r="DY291" s="67">
        <f>IFERROR(IF(($DM291)&gt;0,($DD291)/($DM291),""),"")</f>
        <v/>
      </c>
      <c r="DZ291" s="67">
        <f>IFERROR(IF(($DN291)&gt;0,($DE291)/($DN291),""),"")</f>
        <v/>
      </c>
      <c r="EA291" s="67">
        <f>IFERROR(IF(($DO291)&gt;0,($DF291)/($DO291),""),"")</f>
        <v/>
      </c>
      <c r="EB291" s="55">
        <f>SUMIFS(tblPlant[Gravity_Gold_oz],tblPlant[Date],$A291)</f>
        <v/>
      </c>
      <c r="EC291" s="55">
        <f>IF($B291=$B290,$EC290,0)+$EB291</f>
        <v/>
      </c>
      <c r="ED291" s="55">
        <f>$ED290+$EB291</f>
        <v/>
      </c>
      <c r="EE291" s="67">
        <f>IFERROR(IF(($DD291)&gt;0,($EB291)/($DD291),""),"")</f>
        <v/>
      </c>
      <c r="EF291" s="67">
        <f>IFERROR(IF(($DE291)&gt;0,($EC291)/($DE291),""),"")</f>
        <v/>
      </c>
      <c r="EG291" s="67">
        <f>IFERROR(IF(($DF291)&gt;0,($ED291)/($DF291),""),"")</f>
        <v/>
      </c>
      <c r="EH291" s="55">
        <f>SUMIFS(tblPlant[Gold_Poured_oz],tblPlant[Date],$A291)</f>
        <v/>
      </c>
      <c r="EI291" s="55">
        <f>IF($B291=$B290,$EI290,0)+$EH291</f>
        <v/>
      </c>
      <c r="EJ291" s="55">
        <f>$EJ290+$EH291</f>
        <v/>
      </c>
      <c r="EK291" s="57">
        <f>SUMIFS(tblPlant[Mill_Run_h],tblPlant[Date],$A291)</f>
        <v/>
      </c>
      <c r="EL291" s="57">
        <f>IF($B291=$B290,$EL290,0)+$EK291</f>
        <v/>
      </c>
      <c r="EM291" s="57">
        <f>$EM290+$EK291</f>
        <v/>
      </c>
      <c r="EN291" s="57">
        <f>SUMIFS(tblPlant[Mill_Planned_Maint_h],tblPlant[Date],$A291)</f>
        <v/>
      </c>
      <c r="EO291" s="57">
        <f>IF($B291=$B290,$EO290,0)+$EN291</f>
        <v/>
      </c>
      <c r="EP291" s="57">
        <f>$EP290+$EN291</f>
        <v/>
      </c>
      <c r="EQ291" s="57">
        <f>SUMIFS(tblPlant[Mill_Unplanned_Down_h],tblPlant[Date],$A291)</f>
        <v/>
      </c>
      <c r="ER291" s="57">
        <f>IF($B291=$B290,$ER290,0)+$EQ291</f>
        <v/>
      </c>
      <c r="ES291" s="57">
        <f>$ES290+$EQ291</f>
        <v/>
      </c>
      <c r="ET291" s="57">
        <f>IF(COUNTIFS(tblPlant[Date],$A291,tblPlant[Mill_Run_h],"&lt;&gt;")+COUNTIFS(tblPlant[Date],$A291,tblPlant[Mill_Planned_Maint_h],"&lt;&gt;")+COUNTIFS(tblPlant[Date],$A291,tblPlant[Mill_Unplanned_Down_h],"&lt;&gt;")&gt;0,cfg_HoursPerDay,0)</f>
        <v/>
      </c>
      <c r="EU291" s="57">
        <f>IF($B291=$B290,$EU290,0)+$ET291</f>
        <v/>
      </c>
      <c r="EV291" s="57">
        <f>$EV290+$ET291</f>
        <v/>
      </c>
      <c r="EW291" s="57">
        <f>SUMIFS(tblPlant[Crusher_Run_h],tblPlant[Date],$A291)</f>
        <v/>
      </c>
      <c r="EX291" s="57">
        <f>IF($B291=$B290,$EX290,0)+$EW291</f>
        <v/>
      </c>
      <c r="EY291" s="57">
        <f>$EY290+$EW291</f>
        <v/>
      </c>
      <c r="EZ291" s="55">
        <f>IFERROR(IF(($EK291)&gt;0,($DP291)/($EK291),""),"")</f>
        <v/>
      </c>
      <c r="FA291" s="55">
        <f>IFERROR(IF(($EL291)&gt;0,($DQ291)/($EL291),""),"")</f>
        <v/>
      </c>
      <c r="FB291" s="55">
        <f>IFERROR(IF(($EM291)&gt;0,($DR291)/($EM291),""),"")</f>
        <v/>
      </c>
      <c r="FC291" s="67">
        <f>IFERROR(IF(($ET291)&gt;0,($ET291-$EN291-$EQ291)/($ET291),""),"")</f>
        <v/>
      </c>
      <c r="FD291" s="67">
        <f>IFERROR(IF(($EU291)&gt;0,($EU291-$EO291-$ER291)/($EU291),""),"")</f>
        <v/>
      </c>
      <c r="FE291" s="67">
        <f>IFERROR(IF(($EV291)&gt;0,($EV291-$EP291-$ES291)/($EV291),""),"")</f>
        <v/>
      </c>
      <c r="FF291" s="67">
        <f>IFERROR(IF(($ET291-$EN291-$EQ291)&gt;0,($EK291)/($ET291-$EN291-$EQ291),""),"")</f>
        <v/>
      </c>
      <c r="FG291" s="67">
        <f>IFERROR(IF(($EU291-$EO291-$ER291)&gt;0,($EL291)/($EU291-$EO291-$ER291),""),"")</f>
        <v/>
      </c>
      <c r="FH291" s="67">
        <f>IFERROR(IF(($EV291-$EP291-$ES291)&gt;0,($EM291)/($EV291-$EP291-$ES291),""),"")</f>
        <v/>
      </c>
      <c r="FI291" s="55">
        <f>SUMIFS(tblPlant[Cyanide_kg],tblPlant[Date],$A291)</f>
        <v/>
      </c>
      <c r="FJ291" s="55">
        <f>IF($B291=$B290,$FJ290,0)+$FI291</f>
        <v/>
      </c>
      <c r="FK291" s="55">
        <f>$FK290+$FI291</f>
        <v/>
      </c>
      <c r="FL291" s="55">
        <f>SUMIFS(tblPlant[Lime_kg],tblPlant[Date],$A291)</f>
        <v/>
      </c>
      <c r="FM291" s="55">
        <f>IF($B291=$B290,$FM290,0)+$FL291</f>
        <v/>
      </c>
      <c r="FN291" s="55">
        <f>$FN290+$FL291</f>
        <v/>
      </c>
      <c r="FO291" s="55">
        <f>SUMIFS(tblPlant[Grinding_Media_kg],tblPlant[Date],$A291)</f>
        <v/>
      </c>
      <c r="FP291" s="55">
        <f>IF($B291=$B290,$FP290,0)+$FO291</f>
        <v/>
      </c>
      <c r="FQ291" s="55">
        <f>$FQ290+$FO291</f>
        <v/>
      </c>
      <c r="FR291" s="55">
        <f>SUMIFS(tblPlant[Power_kWh],tblPlant[Date],$A291)</f>
        <v/>
      </c>
      <c r="FS291" s="55">
        <f>IF($B291=$B290,$FS290,0)+$FR291</f>
        <v/>
      </c>
      <c r="FT291" s="55">
        <f>$FT290+$FR291</f>
        <v/>
      </c>
      <c r="FU291" s="55">
        <f>SUMIFS(tblPlant[Raw_Water_m3],tblPlant[Date],$A291)</f>
        <v/>
      </c>
      <c r="FV291" s="55">
        <f>IF($B291=$B290,$FV290,0)+$FU291</f>
        <v/>
      </c>
      <c r="FW291" s="55">
        <f>$FW290+$FU291</f>
        <v/>
      </c>
      <c r="FX291" s="56">
        <f>IFERROR(IF(($CU291)&gt;0,($FI291)/($CU291),""),"")</f>
        <v/>
      </c>
      <c r="FY291" s="56">
        <f>IFERROR(IF(($CV291)&gt;0,($FJ291)/($CV291),""),"")</f>
        <v/>
      </c>
      <c r="FZ291" s="56">
        <f>IFERROR(IF(($CW291)&gt;0,($FK291)/($CW291),""),"")</f>
        <v/>
      </c>
      <c r="GA291" s="56">
        <f>IFERROR(IF(($CU291)&gt;0,($FL291)/($CU291),""),"")</f>
        <v/>
      </c>
      <c r="GB291" s="56">
        <f>IFERROR(IF(($CV291)&gt;0,($FM291)/($CV291),""),"")</f>
        <v/>
      </c>
      <c r="GC291" s="56">
        <f>IFERROR(IF(($CW291)&gt;0,($FN291)/($CW291),""),"")</f>
        <v/>
      </c>
      <c r="GD291" s="56">
        <f>IFERROR(IF(($CU291)&gt;0,($FO291)/($CU291),""),"")</f>
        <v/>
      </c>
      <c r="GE291" s="56">
        <f>IFERROR(IF(($CV291)&gt;0,($FP291)/($CV291),""),"")</f>
        <v/>
      </c>
      <c r="GF291" s="56">
        <f>IFERROR(IF(($CW291)&gt;0,($FQ291)/($CW291),""),"")</f>
        <v/>
      </c>
      <c r="GG291" s="79">
        <f>IFERROR(IF(($CU291)&gt;0,($FR291)/($CU291),""),"")</f>
        <v/>
      </c>
      <c r="GH291" s="79">
        <f>IFERROR(IF(($CV291)&gt;0,($FS291)/($CV291),""),"")</f>
        <v/>
      </c>
      <c r="GI291" s="79">
        <f>IFERROR(IF(($CW291)&gt;0,($FT291)/($CW291),""),"")</f>
        <v/>
      </c>
      <c r="GJ291" s="56">
        <f>IFERROR(IF(($CU291)&gt;0,($FU291)/($CU291),""),"")</f>
        <v/>
      </c>
      <c r="GK291" s="56">
        <f>IFERROR(IF(($CV291)&gt;0,($FV291)/($CV291),""),"")</f>
        <v/>
      </c>
      <c r="GL291" s="56">
        <f>IFERROR(IF(($CW291)&gt;0,($FW291)/($CW291),""),"")</f>
        <v/>
      </c>
      <c r="GM291" s="55">
        <f>IF(SUMIFS(tblPlant[GIC_oz],tblPlant[Date],$A291)&gt;0,SUMIFS(tblPlant[GIC_oz],tblPlant[Date],$A291),"")</f>
        <v/>
      </c>
      <c r="GN291" s="55">
        <f>SUMIFS(tblGold[Gold_oz],tblGold[Date],$A291,tblGold[Type],"Shipment")</f>
        <v/>
      </c>
      <c r="GO291" s="55">
        <f>IF($B291=$B290,$GO290,0)+$GN291</f>
        <v/>
      </c>
      <c r="GP291" s="55">
        <f>$GP290+$GN291</f>
        <v/>
      </c>
      <c r="GQ291" s="55">
        <f>SUMIFS(tblGold[Gold_oz],tblGold[Date],$A291,tblGold[Type],"Sale")</f>
        <v/>
      </c>
      <c r="GR291" s="55">
        <f>IF($B291=$B290,$GR290,0)+$GQ291</f>
        <v/>
      </c>
      <c r="GS291" s="55">
        <f>$GS290+$GQ291</f>
        <v/>
      </c>
      <c r="GT291" s="55">
        <f>SUMIFS(tblGold[Dore_kg],tblGold[Date],$A291,tblGold[Type],"Shipment")</f>
        <v/>
      </c>
      <c r="GU291" s="55">
        <f>IF($B291=$B290,$GU290,0)+$GT291</f>
        <v/>
      </c>
      <c r="GV291" s="55">
        <f>$GV290+$GT291</f>
        <v/>
      </c>
      <c r="GW291" s="57">
        <f>SUMIFS(tblSafety[Hours_Total],tblSafety[Date],$A291)</f>
        <v/>
      </c>
      <c r="GX291" s="57">
        <f>IF($B291=$B290,$GX290,0)+$GW291</f>
        <v/>
      </c>
      <c r="GY291" s="57">
        <f>$GY290+$GW291</f>
        <v/>
      </c>
      <c r="GZ291" s="62">
        <f>SUMIFS(tblSafety[Fatality],tblSafety[Date],$A291)</f>
        <v/>
      </c>
      <c r="HA291" s="62">
        <f>IF($B291=$B290,$HA290,0)+$GZ291</f>
        <v/>
      </c>
      <c r="HB291" s="62">
        <f>$HB290+$GZ291</f>
        <v/>
      </c>
      <c r="HC291" s="62">
        <f>SUMIFS(tblSafety[LTI],tblSafety[Date],$A291)</f>
        <v/>
      </c>
      <c r="HD291" s="62">
        <f>IF($B291=$B290,$HD290,0)+$HC291</f>
        <v/>
      </c>
      <c r="HE291" s="62">
        <f>$HE290+$HC291</f>
        <v/>
      </c>
      <c r="HF291" s="62">
        <f>SUMIFS(tblSafety[RWI],tblSafety[Date],$A291)</f>
        <v/>
      </c>
      <c r="HG291" s="62">
        <f>IF($B291=$B290,$HG290,0)+$HF291</f>
        <v/>
      </c>
      <c r="HH291" s="62">
        <f>$HH290+$HF291</f>
        <v/>
      </c>
      <c r="HI291" s="62">
        <f>SUMIFS(tblSafety[MTI],tblSafety[Date],$A291)</f>
        <v/>
      </c>
      <c r="HJ291" s="62">
        <f>IF($B291=$B290,$HJ290,0)+$HI291</f>
        <v/>
      </c>
      <c r="HK291" s="62">
        <f>$HK290+$HI291</f>
        <v/>
      </c>
      <c r="HL291" s="62">
        <f>SUMIFS(tblSafety[FAI],tblSafety[Date],$A291)</f>
        <v/>
      </c>
      <c r="HM291" s="62">
        <f>IF($B291=$B290,$HM290,0)+$HL291</f>
        <v/>
      </c>
      <c r="HN291" s="62">
        <f>$HN290+$HL291</f>
        <v/>
      </c>
      <c r="HO291" s="62">
        <f>SUMIFS(tblSafety[Recordables],tblSafety[Date],$A291)</f>
        <v/>
      </c>
      <c r="HP291" s="62">
        <f>IF($B291=$B290,$HP290,0)+$HO291</f>
        <v/>
      </c>
      <c r="HQ291" s="62">
        <f>$HQ290+$HO291</f>
        <v/>
      </c>
      <c r="HR291" s="62">
        <f>SUMIFS(tblSafety[Near_Miss],tblSafety[Date],$A291)</f>
        <v/>
      </c>
      <c r="HS291" s="62">
        <f>IF($B291=$B290,$HS290,0)+$HR291</f>
        <v/>
      </c>
      <c r="HT291" s="62">
        <f>$HT290+$HR291</f>
        <v/>
      </c>
      <c r="HU291" s="62">
        <f>SUMIFS(tblSafety[Hazard_Reports],tblSafety[Date],$A291)</f>
        <v/>
      </c>
      <c r="HV291" s="62">
        <f>IF($B291=$B290,$HV290,0)+$HU291</f>
        <v/>
      </c>
      <c r="HW291" s="62">
        <f>$HW290+$HU291</f>
        <v/>
      </c>
      <c r="HX291" s="62">
        <f>SUMIFS(tblSafety[HPI],tblSafety[Date],$A291)</f>
        <v/>
      </c>
      <c r="HY291" s="62">
        <f>IF($B291=$B290,$HY290,0)+$HX291</f>
        <v/>
      </c>
      <c r="HZ291" s="62">
        <f>$HZ290+$HX291</f>
        <v/>
      </c>
      <c r="IA291" s="62">
        <f>SUMIFS(tblSafety[Env_Incidents],tblSafety[Date],$A291)</f>
        <v/>
      </c>
      <c r="IB291" s="62">
        <f>IF($B291=$B290,$IB290,0)+$IA291</f>
        <v/>
      </c>
      <c r="IC291" s="62">
        <f>$IC290+$IA291</f>
        <v/>
      </c>
      <c r="ID291" s="62">
        <f>SUMIFS(tblSafety[Community_Incidents],tblSafety[Date],$A291)</f>
        <v/>
      </c>
      <c r="IE291" s="62">
        <f>IF($B291=$B290,$IE290,0)+$ID291</f>
        <v/>
      </c>
      <c r="IF291" s="62">
        <f>$IF290+$ID291</f>
        <v/>
      </c>
      <c r="IG291" s="62">
        <f>SUMIFS(tblSafety[Vehicle_Incidents],tblSafety[Date],$A291)</f>
        <v/>
      </c>
      <c r="IH291" s="62">
        <f>IF($B291=$B290,$IH290,0)+$IG291</f>
        <v/>
      </c>
      <c r="II291" s="62">
        <f>$II290+$IG291</f>
        <v/>
      </c>
      <c r="IJ291" s="62">
        <f>SUMIFS(tblSafety[Toolbox_Talks],tblSafety[Date],$A291)</f>
        <v/>
      </c>
      <c r="IK291" s="62">
        <f>IF($B291=$B290,$IK290,0)+$IJ291</f>
        <v/>
      </c>
      <c r="IL291" s="62">
        <f>$IL290+$IJ291</f>
        <v/>
      </c>
      <c r="IM291" s="62">
        <f>SUMIFS(tblSafety[Inspections],tblSafety[Date],$A291)</f>
        <v/>
      </c>
      <c r="IN291" s="62">
        <f>IF($B291=$B290,$IN290,0)+$IM291</f>
        <v/>
      </c>
      <c r="IO291" s="62">
        <f>$IO290+$IM291</f>
        <v/>
      </c>
      <c r="IP291" s="56">
        <f>IFERROR((SUMIFS(tblSafety[Recordables],tblSafety[Date],"&gt;="&amp;EDATE($E291,-12),tblSafety[Date],"&lt;="&amp;$A291)+SUMIFS(tblSafetyHistory[Recordables],tblSafetyHistory[Month],"&gt;="&amp;EDATE($E291,-12),tblSafetyHistory[Month],"&lt;"&amp;$E291,tblSafetyHistory[Use],1))/(SUMIFS(tblSafety[Hours_Total],tblSafety[Date],"&gt;="&amp;EDATE($E291,-12),tblSafety[Date],"&lt;="&amp;$A291)+SUMIFS(tblSafetyHistory[Hours_Total],tblSafetyHistory[Month],"&gt;="&amp;EDATE($E291,-12),tblSafetyHistory[Month],"&lt;"&amp;$E291,tblSafetyHistory[Use],1))*cfg_RateBasisHours,"")</f>
        <v/>
      </c>
      <c r="IQ291" s="56">
        <f>IFERROR((SUMIFS(tblSafety[LTI],tblSafety[Date],"&gt;="&amp;EDATE($E291,-12),tblSafety[Date],"&lt;="&amp;$A291)+SUMIFS(tblSafetyHistory[LTI],tblSafetyHistory[Month],"&gt;="&amp;EDATE($E291,-12),tblSafetyHistory[Month],"&lt;"&amp;$E291,tblSafetyHistory[Use],1))/(SUMIFS(tblSafety[Hours_Total],tblSafety[Date],"&gt;="&amp;EDATE($E291,-12),tblSafety[Date],"&lt;="&amp;$A291)+SUMIFS(tblSafetyHistory[Hours_Total],tblSafetyHistory[Month],"&gt;="&amp;EDATE($E291,-12),tblSafetyHistory[Month],"&lt;"&amp;$E291,tblSafetyHistory[Use],1))*cfg_RateBasisHours,"")</f>
        <v/>
      </c>
      <c r="IR291" s="62">
        <f>IF(MAX(N(cfg_PriorLTIDate),_xlfn.MAXIFS(tblSafety[Date],tblSafety[LTI],"&gt;0",tblSafety[Date],"&lt;="&amp;$A291))=0,"",$A291-MAX(N(cfg_PriorLTIDate),_xlfn.MAXIFS(tblSafety[Date],tblSafety[LTI],"&gt;0",tblSafety[Date],"&lt;="&amp;$A291)))</f>
        <v/>
      </c>
      <c r="IS291" s="55">
        <f>SUMIFS(tblBudget[Ore_Mined_t],tblBudget[Month],$E291)</f>
        <v/>
      </c>
      <c r="IT291" s="55">
        <f>$IS291*$C291/$D291</f>
        <v/>
      </c>
      <c r="IU291" s="55">
        <f>SUMIFS(tblBudget[Ore_Mined_t],tblBudget[Month],"&lt;"&amp;$E291)+$IT291</f>
        <v/>
      </c>
      <c r="IV291" s="55">
        <f>SUMIFS(tblBudget[Ore_oz],tblBudget[Month],$E291)</f>
        <v/>
      </c>
      <c r="IW291" s="55">
        <f>$IV291*$C291/$D291</f>
        <v/>
      </c>
      <c r="IX291" s="55">
        <f>SUMIFS(tblBudget[Ore_oz],tblBudget[Month],"&lt;"&amp;$E291)+$IW291</f>
        <v/>
      </c>
      <c r="IY291" s="55">
        <f>SUMIFS(tblBudget[Ore_Mined_t],tblBudget[Month],$E291)</f>
        <v/>
      </c>
      <c r="IZ291" s="55">
        <f>$IY291*$C291/$D291</f>
        <v/>
      </c>
      <c r="JA291" s="55">
        <f>SUMIFS(tblBudget[Ore_Mined_t],tblBudget[Month],"&lt;"&amp;$E291)+$IZ291</f>
        <v/>
      </c>
      <c r="JB291" s="56">
        <f>IFERROR(IF(($IY291)&gt;0,($IV291*cfg_TroyOz)/($IY291),""),"")</f>
        <v/>
      </c>
      <c r="JC291" s="56">
        <f>IFERROR(IF(($IZ291)&gt;0,($IW291*cfg_TroyOz)/($IZ291),""),"")</f>
        <v/>
      </c>
      <c r="JD291" s="56">
        <f>IFERROR(IF(($JA291)&gt;0,($IX291*cfg_TroyOz)/($JA291),""),"")</f>
        <v/>
      </c>
      <c r="JE291" s="55">
        <f>SUMIFS(tblBudget[Waste_t],tblBudget[Month],$E291)</f>
        <v/>
      </c>
      <c r="JF291" s="55">
        <f>$JE291*$C291/$D291</f>
        <v/>
      </c>
      <c r="JG291" s="55">
        <f>SUMIFS(tblBudget[Waste_t],tblBudget[Month],"&lt;"&amp;$E291)+$JF291</f>
        <v/>
      </c>
      <c r="JH291" s="55">
        <f>SUMIFS(tblBudget[TMM_t],tblBudget[Month],$E291)</f>
        <v/>
      </c>
      <c r="JI291" s="55">
        <f>$JH291*$C291/$D291</f>
        <v/>
      </c>
      <c r="JJ291" s="55">
        <f>SUMIFS(tblBudget[TMM_t],tblBudget[Month],"&lt;"&amp;$E291)+$JI291</f>
        <v/>
      </c>
      <c r="JK291" s="56">
        <f>IFERROR(IF(($IS291)&gt;0,($JE291)/($IS291),""),"")</f>
        <v/>
      </c>
      <c r="JL291" s="56">
        <f>IFERROR(IF(($IT291)&gt;0,($JF291)/($IT291),""),"")</f>
        <v/>
      </c>
      <c r="JM291" s="56">
        <f>IFERROR(IF(($IU291)&gt;0,($JG291)/($IU291),""),"")</f>
        <v/>
      </c>
      <c r="JN291" s="55">
        <f>SUMIFS(tblBudget[Drill_m],tblBudget[Month],$E291)</f>
        <v/>
      </c>
      <c r="JO291" s="55">
        <f>$JN291*$C291/$D291</f>
        <v/>
      </c>
      <c r="JP291" s="55">
        <f>SUMIFS(tblBudget[Drill_m],tblBudget[Month],"&lt;"&amp;$E291)+$JO291</f>
        <v/>
      </c>
      <c r="JQ291" s="55">
        <f>SUMIFS(tblBudget[Diesel_L],tblBudget[Month],$E291)</f>
        <v/>
      </c>
      <c r="JR291" s="55">
        <f>$JQ291*$C291/$D291</f>
        <v/>
      </c>
      <c r="JS291" s="55">
        <f>SUMIFS(tblBudget[Diesel_L],tblBudget[Month],"&lt;"&amp;$E291)+$JR291</f>
        <v/>
      </c>
      <c r="JT291" s="55">
        <f>SUMIFS(tblBudget[Milled_t],tblBudget[Month],$E291)</f>
        <v/>
      </c>
      <c r="JU291" s="55">
        <f>$JT291*$C291/$D291</f>
        <v/>
      </c>
      <c r="JV291" s="55">
        <f>SUMIFS(tblBudget[Milled_t],tblBudget[Month],"&lt;"&amp;$E291)+$JU291</f>
        <v/>
      </c>
      <c r="JW291" s="55">
        <f>SUMIFS(tblBudget[Feed_oz],tblBudget[Month],$E291)</f>
        <v/>
      </c>
      <c r="JX291" s="55">
        <f>$JW291*$C291/$D291</f>
        <v/>
      </c>
      <c r="JY291" s="55">
        <f>SUMIFS(tblBudget[Feed_oz],tblBudget[Month],"&lt;"&amp;$E291)+$JX291</f>
        <v/>
      </c>
      <c r="JZ291" s="55">
        <f>SUMIFS(tblBudget[Recovered_oz],tblBudget[Month],$E291)</f>
        <v/>
      </c>
      <c r="KA291" s="55">
        <f>$JZ291*$C291/$D291</f>
        <v/>
      </c>
      <c r="KB291" s="55">
        <f>SUMIFS(tblBudget[Recovered_oz],tblBudget[Month],"&lt;"&amp;$E291)+$KA291</f>
        <v/>
      </c>
      <c r="KC291" s="55">
        <f>SUMIFS(tblBudget[Milled_t],tblBudget[Month],$E291)</f>
        <v/>
      </c>
      <c r="KD291" s="55">
        <f>$KC291*$C291/$D291</f>
        <v/>
      </c>
      <c r="KE291" s="55">
        <f>SUMIFS(tblBudget[Milled_t],tblBudget[Month],"&lt;"&amp;$E291)+$KD291</f>
        <v/>
      </c>
      <c r="KF291" s="55">
        <f>SUMIFS(tblBudget[Feed_oz],tblBudget[Month],$E291)</f>
        <v/>
      </c>
      <c r="KG291" s="55">
        <f>$KF291*$C291/$D291</f>
        <v/>
      </c>
      <c r="KH291" s="55">
        <f>SUMIFS(tblBudget[Feed_oz],tblBudget[Month],"&lt;"&amp;$E291)+$KG291</f>
        <v/>
      </c>
      <c r="KI291" s="56">
        <f>IFERROR(IF(($KC291)&gt;0,($JW291*cfg_TroyOz)/($KC291),""),"")</f>
        <v/>
      </c>
      <c r="KJ291" s="56">
        <f>IFERROR(IF(($KD291)&gt;0,($JX291*cfg_TroyOz)/($KD291),""),"")</f>
        <v/>
      </c>
      <c r="KK291" s="56">
        <f>IFERROR(IF(($KE291)&gt;0,($JY291*cfg_TroyOz)/($KE291),""),"")</f>
        <v/>
      </c>
      <c r="KL291" s="67">
        <f>IFERROR(IF(($KF291)&gt;0,($JZ291)/($KF291),""),"")</f>
        <v/>
      </c>
      <c r="KM291" s="67">
        <f>IFERROR(IF(($KG291)&gt;0,($KA291)/($KG291),""),"")</f>
        <v/>
      </c>
      <c r="KN291" s="67">
        <f>IFERROR(IF(($KH291)&gt;0,($KB291)/($KH291),""),"")</f>
        <v/>
      </c>
      <c r="KO291" s="55">
        <f>SUMIFS(tblBudget[Gold_Poured_oz],tblBudget[Month],$E291)</f>
        <v/>
      </c>
      <c r="KP291" s="55">
        <f>$KO291*$C291/$D291</f>
        <v/>
      </c>
      <c r="KQ291" s="55">
        <f>SUMIFS(tblBudget[Gold_Poured_oz],tblBudget[Month],"&lt;"&amp;$E291)+$KP291</f>
        <v/>
      </c>
      <c r="KR291" s="57">
        <f>SUMIFS(tblBudget[Hours_Worked],tblBudget[Month],$E291)</f>
        <v/>
      </c>
      <c r="KS291" s="57">
        <f>$KR291*$C291/$D291</f>
        <v/>
      </c>
      <c r="KT291" s="57">
        <f>SUMIFS(tblBudget[Hours_Worked],tblBudget[Month],"&lt;"&amp;$E291)+$KS291</f>
        <v/>
      </c>
    </row>
    <row r="292">
      <c r="A292" s="54" t="n">
        <v>46313</v>
      </c>
      <c r="B292">
        <f>MONTH($A292)</f>
        <v/>
      </c>
      <c r="C292">
        <f>DAY($A292)</f>
        <v/>
      </c>
      <c r="D292">
        <f>DAY(EOMONTH($A292,0))</f>
        <v/>
      </c>
      <c r="E292" s="54">
        <f>DATE(YEAR($A292),MONTH($A292),1)</f>
        <v/>
      </c>
      <c r="F292" s="55">
        <f>SUMIFS(tblMovement[Tonnes_t],tblMovement[Date],$A292,tblMovement[Is_Ore],1,tblMovement[Source_Type],"Pit")</f>
        <v/>
      </c>
      <c r="G292" s="55">
        <f>IF($B292=$B291,$G291,0)+$F292</f>
        <v/>
      </c>
      <c r="H292" s="55">
        <f>$H291+$F292</f>
        <v/>
      </c>
      <c r="I292" s="55">
        <f>SUMIFS(tblMovement[Ore_oz],tblMovement[Date],$A292,tblMovement[Source_Type],"Pit")</f>
        <v/>
      </c>
      <c r="J292" s="55">
        <f>IF($B292=$B291,$J291,0)+$I292</f>
        <v/>
      </c>
      <c r="K292" s="55">
        <f>$K291+$I292</f>
        <v/>
      </c>
      <c r="L292" s="55">
        <f>SUMIFS(tblMovement[Tonnes_t],tblMovement[Date],$A292,tblMovement[Is_Ore],1,tblMovement[Source_Type],"Pit",tblMovement[Grade_gpt],"&lt;&gt;")</f>
        <v/>
      </c>
      <c r="M292" s="55">
        <f>IF($B292=$B291,$M291,0)+$L292</f>
        <v/>
      </c>
      <c r="N292" s="55">
        <f>$N291+$L292</f>
        <v/>
      </c>
      <c r="O292" s="56">
        <f>IFERROR(IF(($L292)&gt;0,($I292*cfg_TroyOz)/($L292),""),"")</f>
        <v/>
      </c>
      <c r="P292" s="56">
        <f>IFERROR(IF(($M292)&gt;0,($J292*cfg_TroyOz)/($M292),""),"")</f>
        <v/>
      </c>
      <c r="Q292" s="56">
        <f>IFERROR(IF(($N292)&gt;0,($K292*cfg_TroyOz)/($N292),""),"")</f>
        <v/>
      </c>
      <c r="R292" s="55">
        <f>$F292-$L292</f>
        <v/>
      </c>
      <c r="S292" s="55">
        <f>IF($B292=$B291,$S291,0)+$R292</f>
        <v/>
      </c>
      <c r="T292" s="55">
        <f>$T291+$R292</f>
        <v/>
      </c>
      <c r="U292" s="55">
        <f>SUMIFS(tblMovement[Tonnes_t],tblMovement[Date],$A292,tblMovement[Is_Ore],0,tblMovement[Source_Type],"Pit")</f>
        <v/>
      </c>
      <c r="V292" s="55">
        <f>IF($B292=$B291,$V291,0)+$U292</f>
        <v/>
      </c>
      <c r="W292" s="55">
        <f>$W291+$U292</f>
        <v/>
      </c>
      <c r="X292" s="55">
        <f>$F292+$U292</f>
        <v/>
      </c>
      <c r="Y292" s="55">
        <f>IF($B292=$B291,$Y291,0)+$X292</f>
        <v/>
      </c>
      <c r="Z292" s="55">
        <f>$Z291+$X292</f>
        <v/>
      </c>
      <c r="AA292" s="56">
        <f>IFERROR(IF(($F292)&gt;0,($U292)/($F292),""),"")</f>
        <v/>
      </c>
      <c r="AB292" s="56">
        <f>IFERROR(IF(($G292)&gt;0,($V292)/($G292),""),"")</f>
        <v/>
      </c>
      <c r="AC292" s="56">
        <f>IFERROR(IF(($H292)&gt;0,($W292)/($H292),""),"")</f>
        <v/>
      </c>
      <c r="AD292" s="55">
        <f>SUMIFS(tblMovement[Tonnes_t],tblMovement[Date],$A292,tblMovement[Source_Type],"Stockpile")</f>
        <v/>
      </c>
      <c r="AE292" s="55">
        <f>IF($B292=$B291,$AE291,0)+$AD292</f>
        <v/>
      </c>
      <c r="AF292" s="55">
        <f>$AF291+$AD292</f>
        <v/>
      </c>
      <c r="AG292" s="55">
        <f>SUMIFS(tblMovement[Tonnes_t],tblMovement[Date],$A292)</f>
        <v/>
      </c>
      <c r="AH292" s="55">
        <f>IF($B292=$B291,$AH291,0)+$AG292</f>
        <v/>
      </c>
      <c r="AI292" s="55">
        <f>$AI291+$AG292</f>
        <v/>
      </c>
      <c r="AJ292" s="55">
        <f>$AG292-$X292-$AD292</f>
        <v/>
      </c>
      <c r="AK292" s="55">
        <f>IF($B292=$B291,$AK291,0)+$AJ292</f>
        <v/>
      </c>
      <c r="AL292" s="55">
        <f>$AL291+$AJ292</f>
        <v/>
      </c>
      <c r="AM292" s="55">
        <f>SUMIFS(tblMiningDaily[Drill_m],tblMiningDaily[Date],$A292)</f>
        <v/>
      </c>
      <c r="AN292" s="55">
        <f>IF($B292=$B291,$AN291,0)+$AM292</f>
        <v/>
      </c>
      <c r="AO292" s="55">
        <f>$AO291+$AM292</f>
        <v/>
      </c>
      <c r="AP292" s="55">
        <f>SUMIFS(tblMiningDaily[GC_Drill_m],tblMiningDaily[Date],$A292)</f>
        <v/>
      </c>
      <c r="AQ292" s="55">
        <f>IF($B292=$B291,$AQ291,0)+$AP292</f>
        <v/>
      </c>
      <c r="AR292" s="55">
        <f>$AR291+$AP292</f>
        <v/>
      </c>
      <c r="AS292" s="55">
        <f>SUMIFS(tblMiningDaily[Blast_t],tblMiningDaily[Date],$A292)</f>
        <v/>
      </c>
      <c r="AT292" s="55">
        <f>IF($B292=$B291,$AT291,0)+$AS292</f>
        <v/>
      </c>
      <c r="AU292" s="55">
        <f>$AU291+$AS292</f>
        <v/>
      </c>
      <c r="AV292" s="55">
        <f>SUMIFS(tblMiningDaily[Explosives_kg],tblMiningDaily[Date],$A292)</f>
        <v/>
      </c>
      <c r="AW292" s="55">
        <f>IF($B292=$B291,$AW291,0)+$AV292</f>
        <v/>
      </c>
      <c r="AX292" s="55">
        <f>$AX291+$AV292</f>
        <v/>
      </c>
      <c r="AY292" s="56">
        <f>IFERROR(IF(($AS292)&gt;0,($AV292)/($AS292),""),"")</f>
        <v/>
      </c>
      <c r="AZ292" s="56">
        <f>IFERROR(IF(($AT292)&gt;0,($AW292)/($AT292),""),"")</f>
        <v/>
      </c>
      <c r="BA292" s="56">
        <f>IFERROR(IF(($AU292)&gt;0,($AX292)/($AU292),""),"")</f>
        <v/>
      </c>
      <c r="BB292" s="55">
        <f>SUMIFS(tblMiningDaily[Diesel_L],tblMiningDaily[Date],$A292)</f>
        <v/>
      </c>
      <c r="BC292" s="55">
        <f>IF($B292=$B291,$BC291,0)+$BB292</f>
        <v/>
      </c>
      <c r="BD292" s="55">
        <f>$BD291+$BB292</f>
        <v/>
      </c>
      <c r="BE292" s="55">
        <f>SUMIFS(tblMiningDaily[Dewatering_m3],tblMiningDaily[Date],$A292)</f>
        <v/>
      </c>
      <c r="BF292" s="55">
        <f>IF($B292=$B291,$BF291,0)+$BE292</f>
        <v/>
      </c>
      <c r="BG292" s="55">
        <f>$BG291+$BE292</f>
        <v/>
      </c>
      <c r="BH292" s="57">
        <f>SUMIFS(tblFleet[Calendar_h],tblFleet[Date],$A292,tblFleet[Equipment_Class],"Excavator")</f>
        <v/>
      </c>
      <c r="BI292" s="57">
        <f>IF($B292=$B291,$BI291,0)+$BH292</f>
        <v/>
      </c>
      <c r="BJ292" s="57">
        <f>$BJ291+$BH292</f>
        <v/>
      </c>
      <c r="BK292" s="57">
        <f>SUMIFS(tblFleet[Available_h],tblFleet[Date],$A292,tblFleet[Equipment_Class],"Excavator")</f>
        <v/>
      </c>
      <c r="BL292" s="57">
        <f>IF($B292=$B291,$BL291,0)+$BK292</f>
        <v/>
      </c>
      <c r="BM292" s="57">
        <f>$BM291+$BK292</f>
        <v/>
      </c>
      <c r="BN292" s="57">
        <f>SUMIFS(tblFleet[Operating_h],tblFleet[Date],$A292,tblFleet[Equipment_Class],"Excavator")</f>
        <v/>
      </c>
      <c r="BO292" s="57">
        <f>IF($B292=$B291,$BO291,0)+$BN292</f>
        <v/>
      </c>
      <c r="BP292" s="57">
        <f>$BP291+$BN292</f>
        <v/>
      </c>
      <c r="BQ292" s="67">
        <f>IFERROR(IF(($BH292)&gt;0,($BK292)/($BH292),""),"")</f>
        <v/>
      </c>
      <c r="BR292" s="67">
        <f>IFERROR(IF(($BI292)&gt;0,($BL292)/($BI292),""),"")</f>
        <v/>
      </c>
      <c r="BS292" s="67">
        <f>IFERROR(IF(($BJ292)&gt;0,($BM292)/($BJ292),""),"")</f>
        <v/>
      </c>
      <c r="BT292" s="67">
        <f>IFERROR(IF(($BK292)&gt;0,($BN292)/($BK292),""),"")</f>
        <v/>
      </c>
      <c r="BU292" s="67">
        <f>IFERROR(IF(($BL292)&gt;0,($BO292)/($BL292),""),"")</f>
        <v/>
      </c>
      <c r="BV292" s="67">
        <f>IFERROR(IF(($BM292)&gt;0,($BP292)/($BM292),""),"")</f>
        <v/>
      </c>
      <c r="BW292" s="57">
        <f>SUMIFS(tblFleet[Calendar_h],tblFleet[Date],$A292,tblFleet[Equipment_Class],"Haul Truck")</f>
        <v/>
      </c>
      <c r="BX292" s="57">
        <f>IF($B292=$B291,$BX291,0)+$BW292</f>
        <v/>
      </c>
      <c r="BY292" s="57">
        <f>$BY291+$BW292</f>
        <v/>
      </c>
      <c r="BZ292" s="57">
        <f>SUMIFS(tblFleet[Available_h],tblFleet[Date],$A292,tblFleet[Equipment_Class],"Haul Truck")</f>
        <v/>
      </c>
      <c r="CA292" s="57">
        <f>IF($B292=$B291,$CA291,0)+$BZ292</f>
        <v/>
      </c>
      <c r="CB292" s="57">
        <f>$CB291+$BZ292</f>
        <v/>
      </c>
      <c r="CC292" s="57">
        <f>SUMIFS(tblFleet[Operating_h],tblFleet[Date],$A292,tblFleet[Equipment_Class],"Haul Truck")</f>
        <v/>
      </c>
      <c r="CD292" s="57">
        <f>IF($B292=$B291,$CD291,0)+$CC292</f>
        <v/>
      </c>
      <c r="CE292" s="57">
        <f>$CE291+$CC292</f>
        <v/>
      </c>
      <c r="CF292" s="67">
        <f>IFERROR(IF(($BW292)&gt;0,($BZ292)/($BW292),""),"")</f>
        <v/>
      </c>
      <c r="CG292" s="67">
        <f>IFERROR(IF(($BX292)&gt;0,($CA292)/($BX292),""),"")</f>
        <v/>
      </c>
      <c r="CH292" s="67">
        <f>IFERROR(IF(($BY292)&gt;0,($CB292)/($BY292),""),"")</f>
        <v/>
      </c>
      <c r="CI292" s="67">
        <f>IFERROR(IF(($BZ292)&gt;0,($CC292)/($BZ292),""),"")</f>
        <v/>
      </c>
      <c r="CJ292" s="67">
        <f>IFERROR(IF(($CA292)&gt;0,($CD292)/($CA292),""),"")</f>
        <v/>
      </c>
      <c r="CK292" s="67">
        <f>IFERROR(IF(($CB292)&gt;0,($CE292)/($CB292),""),"")</f>
        <v/>
      </c>
      <c r="CL292" s="55">
        <f>IFERROR(IF(($BN292)&gt;0,($X292+$AD292)/($BN292),""),"")</f>
        <v/>
      </c>
      <c r="CM292" s="55">
        <f>IFERROR(IF(($BO292)&gt;0,($Y292+$AE292)/($BO292),""),"")</f>
        <v/>
      </c>
      <c r="CN292" s="55">
        <f>IFERROR(IF(($BP292)&gt;0,($Z292+$AF292)/($BP292),""),"")</f>
        <v/>
      </c>
      <c r="CO292" s="55">
        <f>IFERROR(IF(($CC292)&gt;0,($X292+$AD292)/($CC292),""),"")</f>
        <v/>
      </c>
      <c r="CP292" s="55">
        <f>IFERROR(IF(($CD292)&gt;0,($Y292+$AE292)/($CD292),""),"")</f>
        <v/>
      </c>
      <c r="CQ292" s="55">
        <f>IFERROR(IF(($CE292)&gt;0,($Z292+$AF292)/($CE292),""),"")</f>
        <v/>
      </c>
      <c r="CR292" s="55">
        <f>SUMIFS(tblPlant[Crushed_t],tblPlant[Date],$A292)</f>
        <v/>
      </c>
      <c r="CS292" s="55">
        <f>IF($B292=$B291,$CS291,0)+$CR292</f>
        <v/>
      </c>
      <c r="CT292" s="55">
        <f>$CT291+$CR292</f>
        <v/>
      </c>
      <c r="CU292" s="55">
        <f>SUMIFS(tblPlant[Milled_t],tblPlant[Date],$A292)</f>
        <v/>
      </c>
      <c r="CV292" s="55">
        <f>IF($B292=$B291,$CV291,0)+$CU292</f>
        <v/>
      </c>
      <c r="CW292" s="55">
        <f>$CW291+$CU292</f>
        <v/>
      </c>
      <c r="CX292" s="55">
        <f>SUMIFS(tblPlant[Feed_oz],tblPlant[Date],$A292)</f>
        <v/>
      </c>
      <c r="CY292" s="55">
        <f>IF($B292=$B291,$CY291,0)+$CX292</f>
        <v/>
      </c>
      <c r="CZ292" s="55">
        <f>$CZ291+$CX292</f>
        <v/>
      </c>
      <c r="DA292" s="55">
        <f>SUMIFS(tblPlant[Tails_oz],tblPlant[Date],$A292)</f>
        <v/>
      </c>
      <c r="DB292" s="55">
        <f>IF($B292=$B291,$DB291,0)+$DA292</f>
        <v/>
      </c>
      <c r="DC292" s="55">
        <f>$DC291+$DA292</f>
        <v/>
      </c>
      <c r="DD292" s="55">
        <f>SUMIFS(tblPlant[Recovered_oz],tblPlant[Date],$A292)</f>
        <v/>
      </c>
      <c r="DE292" s="55">
        <f>IF($B292=$B291,$DE291,0)+$DD292</f>
        <v/>
      </c>
      <c r="DF292" s="55">
        <f>$DF291+$DD292</f>
        <v/>
      </c>
      <c r="DG292" s="55">
        <f>SUMIFS(tblPlant[Milled_t],tblPlant[Date],$A292,tblPlant[Head_Grade_gpt],"&lt;&gt;")</f>
        <v/>
      </c>
      <c r="DH292" s="55">
        <f>IF($B292=$B291,$DH291,0)+$DG292</f>
        <v/>
      </c>
      <c r="DI292" s="55">
        <f>$DI291+$DG292</f>
        <v/>
      </c>
      <c r="DJ292" s="55">
        <f>SUMIFS(tblPlant[Milled_t],tblPlant[Date],$A292,tblPlant[Tails_Grade_gpt],"&lt;&gt;")</f>
        <v/>
      </c>
      <c r="DK292" s="55">
        <f>IF($B292=$B291,$DK291,0)+$DJ292</f>
        <v/>
      </c>
      <c r="DL292" s="55">
        <f>$DL291+$DJ292</f>
        <v/>
      </c>
      <c r="DM292" s="55">
        <f>SUMIFS(tblPlant[Feed_oz],tblPlant[Date],$A292,tblPlant[Tails_Grade_gpt],"&lt;&gt;")</f>
        <v/>
      </c>
      <c r="DN292" s="55">
        <f>IF($B292=$B291,$DN291,0)+$DM292</f>
        <v/>
      </c>
      <c r="DO292" s="55">
        <f>$DO291+$DM292</f>
        <v/>
      </c>
      <c r="DP292" s="55">
        <f>SUMIFS(tblPlant[Milled_t],tblPlant[Date],$A292,tblPlant[Mill_Run_h],"&lt;&gt;")</f>
        <v/>
      </c>
      <c r="DQ292" s="55">
        <f>IF($B292=$B291,$DQ291,0)+$DP292</f>
        <v/>
      </c>
      <c r="DR292" s="55">
        <f>$DR291+$DP292</f>
        <v/>
      </c>
      <c r="DS292" s="56">
        <f>IFERROR(IF(($DG292)&gt;0,($CX292*cfg_TroyOz)/($DG292),""),"")</f>
        <v/>
      </c>
      <c r="DT292" s="56">
        <f>IFERROR(IF(($DH292)&gt;0,($CY292*cfg_TroyOz)/($DH292),""),"")</f>
        <v/>
      </c>
      <c r="DU292" s="56">
        <f>IFERROR(IF(($DI292)&gt;0,($CZ292*cfg_TroyOz)/($DI292),""),"")</f>
        <v/>
      </c>
      <c r="DV292" s="56">
        <f>IFERROR(IF(($DJ292)&gt;0,($DA292*cfg_TroyOz)/($DJ292),""),"")</f>
        <v/>
      </c>
      <c r="DW292" s="56">
        <f>IFERROR(IF(($DK292)&gt;0,($DB292*cfg_TroyOz)/($DK292),""),"")</f>
        <v/>
      </c>
      <c r="DX292" s="56">
        <f>IFERROR(IF(($DL292)&gt;0,($DC292*cfg_TroyOz)/($DL292),""),"")</f>
        <v/>
      </c>
      <c r="DY292" s="67">
        <f>IFERROR(IF(($DM292)&gt;0,($DD292)/($DM292),""),"")</f>
        <v/>
      </c>
      <c r="DZ292" s="67">
        <f>IFERROR(IF(($DN292)&gt;0,($DE292)/($DN292),""),"")</f>
        <v/>
      </c>
      <c r="EA292" s="67">
        <f>IFERROR(IF(($DO292)&gt;0,($DF292)/($DO292),""),"")</f>
        <v/>
      </c>
      <c r="EB292" s="55">
        <f>SUMIFS(tblPlant[Gravity_Gold_oz],tblPlant[Date],$A292)</f>
        <v/>
      </c>
      <c r="EC292" s="55">
        <f>IF($B292=$B291,$EC291,0)+$EB292</f>
        <v/>
      </c>
      <c r="ED292" s="55">
        <f>$ED291+$EB292</f>
        <v/>
      </c>
      <c r="EE292" s="67">
        <f>IFERROR(IF(($DD292)&gt;0,($EB292)/($DD292),""),"")</f>
        <v/>
      </c>
      <c r="EF292" s="67">
        <f>IFERROR(IF(($DE292)&gt;0,($EC292)/($DE292),""),"")</f>
        <v/>
      </c>
      <c r="EG292" s="67">
        <f>IFERROR(IF(($DF292)&gt;0,($ED292)/($DF292),""),"")</f>
        <v/>
      </c>
      <c r="EH292" s="55">
        <f>SUMIFS(tblPlant[Gold_Poured_oz],tblPlant[Date],$A292)</f>
        <v/>
      </c>
      <c r="EI292" s="55">
        <f>IF($B292=$B291,$EI291,0)+$EH292</f>
        <v/>
      </c>
      <c r="EJ292" s="55">
        <f>$EJ291+$EH292</f>
        <v/>
      </c>
      <c r="EK292" s="57">
        <f>SUMIFS(tblPlant[Mill_Run_h],tblPlant[Date],$A292)</f>
        <v/>
      </c>
      <c r="EL292" s="57">
        <f>IF($B292=$B291,$EL291,0)+$EK292</f>
        <v/>
      </c>
      <c r="EM292" s="57">
        <f>$EM291+$EK292</f>
        <v/>
      </c>
      <c r="EN292" s="57">
        <f>SUMIFS(tblPlant[Mill_Planned_Maint_h],tblPlant[Date],$A292)</f>
        <v/>
      </c>
      <c r="EO292" s="57">
        <f>IF($B292=$B291,$EO291,0)+$EN292</f>
        <v/>
      </c>
      <c r="EP292" s="57">
        <f>$EP291+$EN292</f>
        <v/>
      </c>
      <c r="EQ292" s="57">
        <f>SUMIFS(tblPlant[Mill_Unplanned_Down_h],tblPlant[Date],$A292)</f>
        <v/>
      </c>
      <c r="ER292" s="57">
        <f>IF($B292=$B291,$ER291,0)+$EQ292</f>
        <v/>
      </c>
      <c r="ES292" s="57">
        <f>$ES291+$EQ292</f>
        <v/>
      </c>
      <c r="ET292" s="57">
        <f>IF(COUNTIFS(tblPlant[Date],$A292,tblPlant[Mill_Run_h],"&lt;&gt;")+COUNTIFS(tblPlant[Date],$A292,tblPlant[Mill_Planned_Maint_h],"&lt;&gt;")+COUNTIFS(tblPlant[Date],$A292,tblPlant[Mill_Unplanned_Down_h],"&lt;&gt;")&gt;0,cfg_HoursPerDay,0)</f>
        <v/>
      </c>
      <c r="EU292" s="57">
        <f>IF($B292=$B291,$EU291,0)+$ET292</f>
        <v/>
      </c>
      <c r="EV292" s="57">
        <f>$EV291+$ET292</f>
        <v/>
      </c>
      <c r="EW292" s="57">
        <f>SUMIFS(tblPlant[Crusher_Run_h],tblPlant[Date],$A292)</f>
        <v/>
      </c>
      <c r="EX292" s="57">
        <f>IF($B292=$B291,$EX291,0)+$EW292</f>
        <v/>
      </c>
      <c r="EY292" s="57">
        <f>$EY291+$EW292</f>
        <v/>
      </c>
      <c r="EZ292" s="55">
        <f>IFERROR(IF(($EK292)&gt;0,($DP292)/($EK292),""),"")</f>
        <v/>
      </c>
      <c r="FA292" s="55">
        <f>IFERROR(IF(($EL292)&gt;0,($DQ292)/($EL292),""),"")</f>
        <v/>
      </c>
      <c r="FB292" s="55">
        <f>IFERROR(IF(($EM292)&gt;0,($DR292)/($EM292),""),"")</f>
        <v/>
      </c>
      <c r="FC292" s="67">
        <f>IFERROR(IF(($ET292)&gt;0,($ET292-$EN292-$EQ292)/($ET292),""),"")</f>
        <v/>
      </c>
      <c r="FD292" s="67">
        <f>IFERROR(IF(($EU292)&gt;0,($EU292-$EO292-$ER292)/($EU292),""),"")</f>
        <v/>
      </c>
      <c r="FE292" s="67">
        <f>IFERROR(IF(($EV292)&gt;0,($EV292-$EP292-$ES292)/($EV292),""),"")</f>
        <v/>
      </c>
      <c r="FF292" s="67">
        <f>IFERROR(IF(($ET292-$EN292-$EQ292)&gt;0,($EK292)/($ET292-$EN292-$EQ292),""),"")</f>
        <v/>
      </c>
      <c r="FG292" s="67">
        <f>IFERROR(IF(($EU292-$EO292-$ER292)&gt;0,($EL292)/($EU292-$EO292-$ER292),""),"")</f>
        <v/>
      </c>
      <c r="FH292" s="67">
        <f>IFERROR(IF(($EV292-$EP292-$ES292)&gt;0,($EM292)/($EV292-$EP292-$ES292),""),"")</f>
        <v/>
      </c>
      <c r="FI292" s="55">
        <f>SUMIFS(tblPlant[Cyanide_kg],tblPlant[Date],$A292)</f>
        <v/>
      </c>
      <c r="FJ292" s="55">
        <f>IF($B292=$B291,$FJ291,0)+$FI292</f>
        <v/>
      </c>
      <c r="FK292" s="55">
        <f>$FK291+$FI292</f>
        <v/>
      </c>
      <c r="FL292" s="55">
        <f>SUMIFS(tblPlant[Lime_kg],tblPlant[Date],$A292)</f>
        <v/>
      </c>
      <c r="FM292" s="55">
        <f>IF($B292=$B291,$FM291,0)+$FL292</f>
        <v/>
      </c>
      <c r="FN292" s="55">
        <f>$FN291+$FL292</f>
        <v/>
      </c>
      <c r="FO292" s="55">
        <f>SUMIFS(tblPlant[Grinding_Media_kg],tblPlant[Date],$A292)</f>
        <v/>
      </c>
      <c r="FP292" s="55">
        <f>IF($B292=$B291,$FP291,0)+$FO292</f>
        <v/>
      </c>
      <c r="FQ292" s="55">
        <f>$FQ291+$FO292</f>
        <v/>
      </c>
      <c r="FR292" s="55">
        <f>SUMIFS(tblPlant[Power_kWh],tblPlant[Date],$A292)</f>
        <v/>
      </c>
      <c r="FS292" s="55">
        <f>IF($B292=$B291,$FS291,0)+$FR292</f>
        <v/>
      </c>
      <c r="FT292" s="55">
        <f>$FT291+$FR292</f>
        <v/>
      </c>
      <c r="FU292" s="55">
        <f>SUMIFS(tblPlant[Raw_Water_m3],tblPlant[Date],$A292)</f>
        <v/>
      </c>
      <c r="FV292" s="55">
        <f>IF($B292=$B291,$FV291,0)+$FU292</f>
        <v/>
      </c>
      <c r="FW292" s="55">
        <f>$FW291+$FU292</f>
        <v/>
      </c>
      <c r="FX292" s="56">
        <f>IFERROR(IF(($CU292)&gt;0,($FI292)/($CU292),""),"")</f>
        <v/>
      </c>
      <c r="FY292" s="56">
        <f>IFERROR(IF(($CV292)&gt;0,($FJ292)/($CV292),""),"")</f>
        <v/>
      </c>
      <c r="FZ292" s="56">
        <f>IFERROR(IF(($CW292)&gt;0,($FK292)/($CW292),""),"")</f>
        <v/>
      </c>
      <c r="GA292" s="56">
        <f>IFERROR(IF(($CU292)&gt;0,($FL292)/($CU292),""),"")</f>
        <v/>
      </c>
      <c r="GB292" s="56">
        <f>IFERROR(IF(($CV292)&gt;0,($FM292)/($CV292),""),"")</f>
        <v/>
      </c>
      <c r="GC292" s="56">
        <f>IFERROR(IF(($CW292)&gt;0,($FN292)/($CW292),""),"")</f>
        <v/>
      </c>
      <c r="GD292" s="56">
        <f>IFERROR(IF(($CU292)&gt;0,($FO292)/($CU292),""),"")</f>
        <v/>
      </c>
      <c r="GE292" s="56">
        <f>IFERROR(IF(($CV292)&gt;0,($FP292)/($CV292),""),"")</f>
        <v/>
      </c>
      <c r="GF292" s="56">
        <f>IFERROR(IF(($CW292)&gt;0,($FQ292)/($CW292),""),"")</f>
        <v/>
      </c>
      <c r="GG292" s="79">
        <f>IFERROR(IF(($CU292)&gt;0,($FR292)/($CU292),""),"")</f>
        <v/>
      </c>
      <c r="GH292" s="79">
        <f>IFERROR(IF(($CV292)&gt;0,($FS292)/($CV292),""),"")</f>
        <v/>
      </c>
      <c r="GI292" s="79">
        <f>IFERROR(IF(($CW292)&gt;0,($FT292)/($CW292),""),"")</f>
        <v/>
      </c>
      <c r="GJ292" s="56">
        <f>IFERROR(IF(($CU292)&gt;0,($FU292)/($CU292),""),"")</f>
        <v/>
      </c>
      <c r="GK292" s="56">
        <f>IFERROR(IF(($CV292)&gt;0,($FV292)/($CV292),""),"")</f>
        <v/>
      </c>
      <c r="GL292" s="56">
        <f>IFERROR(IF(($CW292)&gt;0,($FW292)/($CW292),""),"")</f>
        <v/>
      </c>
      <c r="GM292" s="55">
        <f>IF(SUMIFS(tblPlant[GIC_oz],tblPlant[Date],$A292)&gt;0,SUMIFS(tblPlant[GIC_oz],tblPlant[Date],$A292),"")</f>
        <v/>
      </c>
      <c r="GN292" s="55">
        <f>SUMIFS(tblGold[Gold_oz],tblGold[Date],$A292,tblGold[Type],"Shipment")</f>
        <v/>
      </c>
      <c r="GO292" s="55">
        <f>IF($B292=$B291,$GO291,0)+$GN292</f>
        <v/>
      </c>
      <c r="GP292" s="55">
        <f>$GP291+$GN292</f>
        <v/>
      </c>
      <c r="GQ292" s="55">
        <f>SUMIFS(tblGold[Gold_oz],tblGold[Date],$A292,tblGold[Type],"Sale")</f>
        <v/>
      </c>
      <c r="GR292" s="55">
        <f>IF($B292=$B291,$GR291,0)+$GQ292</f>
        <v/>
      </c>
      <c r="GS292" s="55">
        <f>$GS291+$GQ292</f>
        <v/>
      </c>
      <c r="GT292" s="55">
        <f>SUMIFS(tblGold[Dore_kg],tblGold[Date],$A292,tblGold[Type],"Shipment")</f>
        <v/>
      </c>
      <c r="GU292" s="55">
        <f>IF($B292=$B291,$GU291,0)+$GT292</f>
        <v/>
      </c>
      <c r="GV292" s="55">
        <f>$GV291+$GT292</f>
        <v/>
      </c>
      <c r="GW292" s="57">
        <f>SUMIFS(tblSafety[Hours_Total],tblSafety[Date],$A292)</f>
        <v/>
      </c>
      <c r="GX292" s="57">
        <f>IF($B292=$B291,$GX291,0)+$GW292</f>
        <v/>
      </c>
      <c r="GY292" s="57">
        <f>$GY291+$GW292</f>
        <v/>
      </c>
      <c r="GZ292" s="62">
        <f>SUMIFS(tblSafety[Fatality],tblSafety[Date],$A292)</f>
        <v/>
      </c>
      <c r="HA292" s="62">
        <f>IF($B292=$B291,$HA291,0)+$GZ292</f>
        <v/>
      </c>
      <c r="HB292" s="62">
        <f>$HB291+$GZ292</f>
        <v/>
      </c>
      <c r="HC292" s="62">
        <f>SUMIFS(tblSafety[LTI],tblSafety[Date],$A292)</f>
        <v/>
      </c>
      <c r="HD292" s="62">
        <f>IF($B292=$B291,$HD291,0)+$HC292</f>
        <v/>
      </c>
      <c r="HE292" s="62">
        <f>$HE291+$HC292</f>
        <v/>
      </c>
      <c r="HF292" s="62">
        <f>SUMIFS(tblSafety[RWI],tblSafety[Date],$A292)</f>
        <v/>
      </c>
      <c r="HG292" s="62">
        <f>IF($B292=$B291,$HG291,0)+$HF292</f>
        <v/>
      </c>
      <c r="HH292" s="62">
        <f>$HH291+$HF292</f>
        <v/>
      </c>
      <c r="HI292" s="62">
        <f>SUMIFS(tblSafety[MTI],tblSafety[Date],$A292)</f>
        <v/>
      </c>
      <c r="HJ292" s="62">
        <f>IF($B292=$B291,$HJ291,0)+$HI292</f>
        <v/>
      </c>
      <c r="HK292" s="62">
        <f>$HK291+$HI292</f>
        <v/>
      </c>
      <c r="HL292" s="62">
        <f>SUMIFS(tblSafety[FAI],tblSafety[Date],$A292)</f>
        <v/>
      </c>
      <c r="HM292" s="62">
        <f>IF($B292=$B291,$HM291,0)+$HL292</f>
        <v/>
      </c>
      <c r="HN292" s="62">
        <f>$HN291+$HL292</f>
        <v/>
      </c>
      <c r="HO292" s="62">
        <f>SUMIFS(tblSafety[Recordables],tblSafety[Date],$A292)</f>
        <v/>
      </c>
      <c r="HP292" s="62">
        <f>IF($B292=$B291,$HP291,0)+$HO292</f>
        <v/>
      </c>
      <c r="HQ292" s="62">
        <f>$HQ291+$HO292</f>
        <v/>
      </c>
      <c r="HR292" s="62">
        <f>SUMIFS(tblSafety[Near_Miss],tblSafety[Date],$A292)</f>
        <v/>
      </c>
      <c r="HS292" s="62">
        <f>IF($B292=$B291,$HS291,0)+$HR292</f>
        <v/>
      </c>
      <c r="HT292" s="62">
        <f>$HT291+$HR292</f>
        <v/>
      </c>
      <c r="HU292" s="62">
        <f>SUMIFS(tblSafety[Hazard_Reports],tblSafety[Date],$A292)</f>
        <v/>
      </c>
      <c r="HV292" s="62">
        <f>IF($B292=$B291,$HV291,0)+$HU292</f>
        <v/>
      </c>
      <c r="HW292" s="62">
        <f>$HW291+$HU292</f>
        <v/>
      </c>
      <c r="HX292" s="62">
        <f>SUMIFS(tblSafety[HPI],tblSafety[Date],$A292)</f>
        <v/>
      </c>
      <c r="HY292" s="62">
        <f>IF($B292=$B291,$HY291,0)+$HX292</f>
        <v/>
      </c>
      <c r="HZ292" s="62">
        <f>$HZ291+$HX292</f>
        <v/>
      </c>
      <c r="IA292" s="62">
        <f>SUMIFS(tblSafety[Env_Incidents],tblSafety[Date],$A292)</f>
        <v/>
      </c>
      <c r="IB292" s="62">
        <f>IF($B292=$B291,$IB291,0)+$IA292</f>
        <v/>
      </c>
      <c r="IC292" s="62">
        <f>$IC291+$IA292</f>
        <v/>
      </c>
      <c r="ID292" s="62">
        <f>SUMIFS(tblSafety[Community_Incidents],tblSafety[Date],$A292)</f>
        <v/>
      </c>
      <c r="IE292" s="62">
        <f>IF($B292=$B291,$IE291,0)+$ID292</f>
        <v/>
      </c>
      <c r="IF292" s="62">
        <f>$IF291+$ID292</f>
        <v/>
      </c>
      <c r="IG292" s="62">
        <f>SUMIFS(tblSafety[Vehicle_Incidents],tblSafety[Date],$A292)</f>
        <v/>
      </c>
      <c r="IH292" s="62">
        <f>IF($B292=$B291,$IH291,0)+$IG292</f>
        <v/>
      </c>
      <c r="II292" s="62">
        <f>$II291+$IG292</f>
        <v/>
      </c>
      <c r="IJ292" s="62">
        <f>SUMIFS(tblSafety[Toolbox_Talks],tblSafety[Date],$A292)</f>
        <v/>
      </c>
      <c r="IK292" s="62">
        <f>IF($B292=$B291,$IK291,0)+$IJ292</f>
        <v/>
      </c>
      <c r="IL292" s="62">
        <f>$IL291+$IJ292</f>
        <v/>
      </c>
      <c r="IM292" s="62">
        <f>SUMIFS(tblSafety[Inspections],tblSafety[Date],$A292)</f>
        <v/>
      </c>
      <c r="IN292" s="62">
        <f>IF($B292=$B291,$IN291,0)+$IM292</f>
        <v/>
      </c>
      <c r="IO292" s="62">
        <f>$IO291+$IM292</f>
        <v/>
      </c>
      <c r="IP292" s="56">
        <f>IFERROR((SUMIFS(tblSafety[Recordables],tblSafety[Date],"&gt;="&amp;EDATE($E292,-12),tblSafety[Date],"&lt;="&amp;$A292)+SUMIFS(tblSafetyHistory[Recordables],tblSafetyHistory[Month],"&gt;="&amp;EDATE($E292,-12),tblSafetyHistory[Month],"&lt;"&amp;$E292,tblSafetyHistory[Use],1))/(SUMIFS(tblSafety[Hours_Total],tblSafety[Date],"&gt;="&amp;EDATE($E292,-12),tblSafety[Date],"&lt;="&amp;$A292)+SUMIFS(tblSafetyHistory[Hours_Total],tblSafetyHistory[Month],"&gt;="&amp;EDATE($E292,-12),tblSafetyHistory[Month],"&lt;"&amp;$E292,tblSafetyHistory[Use],1))*cfg_RateBasisHours,"")</f>
        <v/>
      </c>
      <c r="IQ292" s="56">
        <f>IFERROR((SUMIFS(tblSafety[LTI],tblSafety[Date],"&gt;="&amp;EDATE($E292,-12),tblSafety[Date],"&lt;="&amp;$A292)+SUMIFS(tblSafetyHistory[LTI],tblSafetyHistory[Month],"&gt;="&amp;EDATE($E292,-12),tblSafetyHistory[Month],"&lt;"&amp;$E292,tblSafetyHistory[Use],1))/(SUMIFS(tblSafety[Hours_Total],tblSafety[Date],"&gt;="&amp;EDATE($E292,-12),tblSafety[Date],"&lt;="&amp;$A292)+SUMIFS(tblSafetyHistory[Hours_Total],tblSafetyHistory[Month],"&gt;="&amp;EDATE($E292,-12),tblSafetyHistory[Month],"&lt;"&amp;$E292,tblSafetyHistory[Use],1))*cfg_RateBasisHours,"")</f>
        <v/>
      </c>
      <c r="IR292" s="62">
        <f>IF(MAX(N(cfg_PriorLTIDate),_xlfn.MAXIFS(tblSafety[Date],tblSafety[LTI],"&gt;0",tblSafety[Date],"&lt;="&amp;$A292))=0,"",$A292-MAX(N(cfg_PriorLTIDate),_xlfn.MAXIFS(tblSafety[Date],tblSafety[LTI],"&gt;0",tblSafety[Date],"&lt;="&amp;$A292)))</f>
        <v/>
      </c>
      <c r="IS292" s="55">
        <f>SUMIFS(tblBudget[Ore_Mined_t],tblBudget[Month],$E292)</f>
        <v/>
      </c>
      <c r="IT292" s="55">
        <f>$IS292*$C292/$D292</f>
        <v/>
      </c>
      <c r="IU292" s="55">
        <f>SUMIFS(tblBudget[Ore_Mined_t],tblBudget[Month],"&lt;"&amp;$E292)+$IT292</f>
        <v/>
      </c>
      <c r="IV292" s="55">
        <f>SUMIFS(tblBudget[Ore_oz],tblBudget[Month],$E292)</f>
        <v/>
      </c>
      <c r="IW292" s="55">
        <f>$IV292*$C292/$D292</f>
        <v/>
      </c>
      <c r="IX292" s="55">
        <f>SUMIFS(tblBudget[Ore_oz],tblBudget[Month],"&lt;"&amp;$E292)+$IW292</f>
        <v/>
      </c>
      <c r="IY292" s="55">
        <f>SUMIFS(tblBudget[Ore_Mined_t],tblBudget[Month],$E292)</f>
        <v/>
      </c>
      <c r="IZ292" s="55">
        <f>$IY292*$C292/$D292</f>
        <v/>
      </c>
      <c r="JA292" s="55">
        <f>SUMIFS(tblBudget[Ore_Mined_t],tblBudget[Month],"&lt;"&amp;$E292)+$IZ292</f>
        <v/>
      </c>
      <c r="JB292" s="56">
        <f>IFERROR(IF(($IY292)&gt;0,($IV292*cfg_TroyOz)/($IY292),""),"")</f>
        <v/>
      </c>
      <c r="JC292" s="56">
        <f>IFERROR(IF(($IZ292)&gt;0,($IW292*cfg_TroyOz)/($IZ292),""),"")</f>
        <v/>
      </c>
      <c r="JD292" s="56">
        <f>IFERROR(IF(($JA292)&gt;0,($IX292*cfg_TroyOz)/($JA292),""),"")</f>
        <v/>
      </c>
      <c r="JE292" s="55">
        <f>SUMIFS(tblBudget[Waste_t],tblBudget[Month],$E292)</f>
        <v/>
      </c>
      <c r="JF292" s="55">
        <f>$JE292*$C292/$D292</f>
        <v/>
      </c>
      <c r="JG292" s="55">
        <f>SUMIFS(tblBudget[Waste_t],tblBudget[Month],"&lt;"&amp;$E292)+$JF292</f>
        <v/>
      </c>
      <c r="JH292" s="55">
        <f>SUMIFS(tblBudget[TMM_t],tblBudget[Month],$E292)</f>
        <v/>
      </c>
      <c r="JI292" s="55">
        <f>$JH292*$C292/$D292</f>
        <v/>
      </c>
      <c r="JJ292" s="55">
        <f>SUMIFS(tblBudget[TMM_t],tblBudget[Month],"&lt;"&amp;$E292)+$JI292</f>
        <v/>
      </c>
      <c r="JK292" s="56">
        <f>IFERROR(IF(($IS292)&gt;0,($JE292)/($IS292),""),"")</f>
        <v/>
      </c>
      <c r="JL292" s="56">
        <f>IFERROR(IF(($IT292)&gt;0,($JF292)/($IT292),""),"")</f>
        <v/>
      </c>
      <c r="JM292" s="56">
        <f>IFERROR(IF(($IU292)&gt;0,($JG292)/($IU292),""),"")</f>
        <v/>
      </c>
      <c r="JN292" s="55">
        <f>SUMIFS(tblBudget[Drill_m],tblBudget[Month],$E292)</f>
        <v/>
      </c>
      <c r="JO292" s="55">
        <f>$JN292*$C292/$D292</f>
        <v/>
      </c>
      <c r="JP292" s="55">
        <f>SUMIFS(tblBudget[Drill_m],tblBudget[Month],"&lt;"&amp;$E292)+$JO292</f>
        <v/>
      </c>
      <c r="JQ292" s="55">
        <f>SUMIFS(tblBudget[Diesel_L],tblBudget[Month],$E292)</f>
        <v/>
      </c>
      <c r="JR292" s="55">
        <f>$JQ292*$C292/$D292</f>
        <v/>
      </c>
      <c r="JS292" s="55">
        <f>SUMIFS(tblBudget[Diesel_L],tblBudget[Month],"&lt;"&amp;$E292)+$JR292</f>
        <v/>
      </c>
      <c r="JT292" s="55">
        <f>SUMIFS(tblBudget[Milled_t],tblBudget[Month],$E292)</f>
        <v/>
      </c>
      <c r="JU292" s="55">
        <f>$JT292*$C292/$D292</f>
        <v/>
      </c>
      <c r="JV292" s="55">
        <f>SUMIFS(tblBudget[Milled_t],tblBudget[Month],"&lt;"&amp;$E292)+$JU292</f>
        <v/>
      </c>
      <c r="JW292" s="55">
        <f>SUMIFS(tblBudget[Feed_oz],tblBudget[Month],$E292)</f>
        <v/>
      </c>
      <c r="JX292" s="55">
        <f>$JW292*$C292/$D292</f>
        <v/>
      </c>
      <c r="JY292" s="55">
        <f>SUMIFS(tblBudget[Feed_oz],tblBudget[Month],"&lt;"&amp;$E292)+$JX292</f>
        <v/>
      </c>
      <c r="JZ292" s="55">
        <f>SUMIFS(tblBudget[Recovered_oz],tblBudget[Month],$E292)</f>
        <v/>
      </c>
      <c r="KA292" s="55">
        <f>$JZ292*$C292/$D292</f>
        <v/>
      </c>
      <c r="KB292" s="55">
        <f>SUMIFS(tblBudget[Recovered_oz],tblBudget[Month],"&lt;"&amp;$E292)+$KA292</f>
        <v/>
      </c>
      <c r="KC292" s="55">
        <f>SUMIFS(tblBudget[Milled_t],tblBudget[Month],$E292)</f>
        <v/>
      </c>
      <c r="KD292" s="55">
        <f>$KC292*$C292/$D292</f>
        <v/>
      </c>
      <c r="KE292" s="55">
        <f>SUMIFS(tblBudget[Milled_t],tblBudget[Month],"&lt;"&amp;$E292)+$KD292</f>
        <v/>
      </c>
      <c r="KF292" s="55">
        <f>SUMIFS(tblBudget[Feed_oz],tblBudget[Month],$E292)</f>
        <v/>
      </c>
      <c r="KG292" s="55">
        <f>$KF292*$C292/$D292</f>
        <v/>
      </c>
      <c r="KH292" s="55">
        <f>SUMIFS(tblBudget[Feed_oz],tblBudget[Month],"&lt;"&amp;$E292)+$KG292</f>
        <v/>
      </c>
      <c r="KI292" s="56">
        <f>IFERROR(IF(($KC292)&gt;0,($JW292*cfg_TroyOz)/($KC292),""),"")</f>
        <v/>
      </c>
      <c r="KJ292" s="56">
        <f>IFERROR(IF(($KD292)&gt;0,($JX292*cfg_TroyOz)/($KD292),""),"")</f>
        <v/>
      </c>
      <c r="KK292" s="56">
        <f>IFERROR(IF(($KE292)&gt;0,($JY292*cfg_TroyOz)/($KE292),""),"")</f>
        <v/>
      </c>
      <c r="KL292" s="67">
        <f>IFERROR(IF(($KF292)&gt;0,($JZ292)/($KF292),""),"")</f>
        <v/>
      </c>
      <c r="KM292" s="67">
        <f>IFERROR(IF(($KG292)&gt;0,($KA292)/($KG292),""),"")</f>
        <v/>
      </c>
      <c r="KN292" s="67">
        <f>IFERROR(IF(($KH292)&gt;0,($KB292)/($KH292),""),"")</f>
        <v/>
      </c>
      <c r="KO292" s="55">
        <f>SUMIFS(tblBudget[Gold_Poured_oz],tblBudget[Month],$E292)</f>
        <v/>
      </c>
      <c r="KP292" s="55">
        <f>$KO292*$C292/$D292</f>
        <v/>
      </c>
      <c r="KQ292" s="55">
        <f>SUMIFS(tblBudget[Gold_Poured_oz],tblBudget[Month],"&lt;"&amp;$E292)+$KP292</f>
        <v/>
      </c>
      <c r="KR292" s="57">
        <f>SUMIFS(tblBudget[Hours_Worked],tblBudget[Month],$E292)</f>
        <v/>
      </c>
      <c r="KS292" s="57">
        <f>$KR292*$C292/$D292</f>
        <v/>
      </c>
      <c r="KT292" s="57">
        <f>SUMIFS(tblBudget[Hours_Worked],tblBudget[Month],"&lt;"&amp;$E292)+$KS292</f>
        <v/>
      </c>
    </row>
    <row r="293">
      <c r="A293" s="54" t="n">
        <v>46314</v>
      </c>
      <c r="B293">
        <f>MONTH($A293)</f>
        <v/>
      </c>
      <c r="C293">
        <f>DAY($A293)</f>
        <v/>
      </c>
      <c r="D293">
        <f>DAY(EOMONTH($A293,0))</f>
        <v/>
      </c>
      <c r="E293" s="54">
        <f>DATE(YEAR($A293),MONTH($A293),1)</f>
        <v/>
      </c>
      <c r="F293" s="55">
        <f>SUMIFS(tblMovement[Tonnes_t],tblMovement[Date],$A293,tblMovement[Is_Ore],1,tblMovement[Source_Type],"Pit")</f>
        <v/>
      </c>
      <c r="G293" s="55">
        <f>IF($B293=$B292,$G292,0)+$F293</f>
        <v/>
      </c>
      <c r="H293" s="55">
        <f>$H292+$F293</f>
        <v/>
      </c>
      <c r="I293" s="55">
        <f>SUMIFS(tblMovement[Ore_oz],tblMovement[Date],$A293,tblMovement[Source_Type],"Pit")</f>
        <v/>
      </c>
      <c r="J293" s="55">
        <f>IF($B293=$B292,$J292,0)+$I293</f>
        <v/>
      </c>
      <c r="K293" s="55">
        <f>$K292+$I293</f>
        <v/>
      </c>
      <c r="L293" s="55">
        <f>SUMIFS(tblMovement[Tonnes_t],tblMovement[Date],$A293,tblMovement[Is_Ore],1,tblMovement[Source_Type],"Pit",tblMovement[Grade_gpt],"&lt;&gt;")</f>
        <v/>
      </c>
      <c r="M293" s="55">
        <f>IF($B293=$B292,$M292,0)+$L293</f>
        <v/>
      </c>
      <c r="N293" s="55">
        <f>$N292+$L293</f>
        <v/>
      </c>
      <c r="O293" s="56">
        <f>IFERROR(IF(($L293)&gt;0,($I293*cfg_TroyOz)/($L293),""),"")</f>
        <v/>
      </c>
      <c r="P293" s="56">
        <f>IFERROR(IF(($M293)&gt;0,($J293*cfg_TroyOz)/($M293),""),"")</f>
        <v/>
      </c>
      <c r="Q293" s="56">
        <f>IFERROR(IF(($N293)&gt;0,($K293*cfg_TroyOz)/($N293),""),"")</f>
        <v/>
      </c>
      <c r="R293" s="55">
        <f>$F293-$L293</f>
        <v/>
      </c>
      <c r="S293" s="55">
        <f>IF($B293=$B292,$S292,0)+$R293</f>
        <v/>
      </c>
      <c r="T293" s="55">
        <f>$T292+$R293</f>
        <v/>
      </c>
      <c r="U293" s="55">
        <f>SUMIFS(tblMovement[Tonnes_t],tblMovement[Date],$A293,tblMovement[Is_Ore],0,tblMovement[Source_Type],"Pit")</f>
        <v/>
      </c>
      <c r="V293" s="55">
        <f>IF($B293=$B292,$V292,0)+$U293</f>
        <v/>
      </c>
      <c r="W293" s="55">
        <f>$W292+$U293</f>
        <v/>
      </c>
      <c r="X293" s="55">
        <f>$F293+$U293</f>
        <v/>
      </c>
      <c r="Y293" s="55">
        <f>IF($B293=$B292,$Y292,0)+$X293</f>
        <v/>
      </c>
      <c r="Z293" s="55">
        <f>$Z292+$X293</f>
        <v/>
      </c>
      <c r="AA293" s="56">
        <f>IFERROR(IF(($F293)&gt;0,($U293)/($F293),""),"")</f>
        <v/>
      </c>
      <c r="AB293" s="56">
        <f>IFERROR(IF(($G293)&gt;0,($V293)/($G293),""),"")</f>
        <v/>
      </c>
      <c r="AC293" s="56">
        <f>IFERROR(IF(($H293)&gt;0,($W293)/($H293),""),"")</f>
        <v/>
      </c>
      <c r="AD293" s="55">
        <f>SUMIFS(tblMovement[Tonnes_t],tblMovement[Date],$A293,tblMovement[Source_Type],"Stockpile")</f>
        <v/>
      </c>
      <c r="AE293" s="55">
        <f>IF($B293=$B292,$AE292,0)+$AD293</f>
        <v/>
      </c>
      <c r="AF293" s="55">
        <f>$AF292+$AD293</f>
        <v/>
      </c>
      <c r="AG293" s="55">
        <f>SUMIFS(tblMovement[Tonnes_t],tblMovement[Date],$A293)</f>
        <v/>
      </c>
      <c r="AH293" s="55">
        <f>IF($B293=$B292,$AH292,0)+$AG293</f>
        <v/>
      </c>
      <c r="AI293" s="55">
        <f>$AI292+$AG293</f>
        <v/>
      </c>
      <c r="AJ293" s="55">
        <f>$AG293-$X293-$AD293</f>
        <v/>
      </c>
      <c r="AK293" s="55">
        <f>IF($B293=$B292,$AK292,0)+$AJ293</f>
        <v/>
      </c>
      <c r="AL293" s="55">
        <f>$AL292+$AJ293</f>
        <v/>
      </c>
      <c r="AM293" s="55">
        <f>SUMIFS(tblMiningDaily[Drill_m],tblMiningDaily[Date],$A293)</f>
        <v/>
      </c>
      <c r="AN293" s="55">
        <f>IF($B293=$B292,$AN292,0)+$AM293</f>
        <v/>
      </c>
      <c r="AO293" s="55">
        <f>$AO292+$AM293</f>
        <v/>
      </c>
      <c r="AP293" s="55">
        <f>SUMIFS(tblMiningDaily[GC_Drill_m],tblMiningDaily[Date],$A293)</f>
        <v/>
      </c>
      <c r="AQ293" s="55">
        <f>IF($B293=$B292,$AQ292,0)+$AP293</f>
        <v/>
      </c>
      <c r="AR293" s="55">
        <f>$AR292+$AP293</f>
        <v/>
      </c>
      <c r="AS293" s="55">
        <f>SUMIFS(tblMiningDaily[Blast_t],tblMiningDaily[Date],$A293)</f>
        <v/>
      </c>
      <c r="AT293" s="55">
        <f>IF($B293=$B292,$AT292,0)+$AS293</f>
        <v/>
      </c>
      <c r="AU293" s="55">
        <f>$AU292+$AS293</f>
        <v/>
      </c>
      <c r="AV293" s="55">
        <f>SUMIFS(tblMiningDaily[Explosives_kg],tblMiningDaily[Date],$A293)</f>
        <v/>
      </c>
      <c r="AW293" s="55">
        <f>IF($B293=$B292,$AW292,0)+$AV293</f>
        <v/>
      </c>
      <c r="AX293" s="55">
        <f>$AX292+$AV293</f>
        <v/>
      </c>
      <c r="AY293" s="56">
        <f>IFERROR(IF(($AS293)&gt;0,($AV293)/($AS293),""),"")</f>
        <v/>
      </c>
      <c r="AZ293" s="56">
        <f>IFERROR(IF(($AT293)&gt;0,($AW293)/($AT293),""),"")</f>
        <v/>
      </c>
      <c r="BA293" s="56">
        <f>IFERROR(IF(($AU293)&gt;0,($AX293)/($AU293),""),"")</f>
        <v/>
      </c>
      <c r="BB293" s="55">
        <f>SUMIFS(tblMiningDaily[Diesel_L],tblMiningDaily[Date],$A293)</f>
        <v/>
      </c>
      <c r="BC293" s="55">
        <f>IF($B293=$B292,$BC292,0)+$BB293</f>
        <v/>
      </c>
      <c r="BD293" s="55">
        <f>$BD292+$BB293</f>
        <v/>
      </c>
      <c r="BE293" s="55">
        <f>SUMIFS(tblMiningDaily[Dewatering_m3],tblMiningDaily[Date],$A293)</f>
        <v/>
      </c>
      <c r="BF293" s="55">
        <f>IF($B293=$B292,$BF292,0)+$BE293</f>
        <v/>
      </c>
      <c r="BG293" s="55">
        <f>$BG292+$BE293</f>
        <v/>
      </c>
      <c r="BH293" s="57">
        <f>SUMIFS(tblFleet[Calendar_h],tblFleet[Date],$A293,tblFleet[Equipment_Class],"Excavator")</f>
        <v/>
      </c>
      <c r="BI293" s="57">
        <f>IF($B293=$B292,$BI292,0)+$BH293</f>
        <v/>
      </c>
      <c r="BJ293" s="57">
        <f>$BJ292+$BH293</f>
        <v/>
      </c>
      <c r="BK293" s="57">
        <f>SUMIFS(tblFleet[Available_h],tblFleet[Date],$A293,tblFleet[Equipment_Class],"Excavator")</f>
        <v/>
      </c>
      <c r="BL293" s="57">
        <f>IF($B293=$B292,$BL292,0)+$BK293</f>
        <v/>
      </c>
      <c r="BM293" s="57">
        <f>$BM292+$BK293</f>
        <v/>
      </c>
      <c r="BN293" s="57">
        <f>SUMIFS(tblFleet[Operating_h],tblFleet[Date],$A293,tblFleet[Equipment_Class],"Excavator")</f>
        <v/>
      </c>
      <c r="BO293" s="57">
        <f>IF($B293=$B292,$BO292,0)+$BN293</f>
        <v/>
      </c>
      <c r="BP293" s="57">
        <f>$BP292+$BN293</f>
        <v/>
      </c>
      <c r="BQ293" s="67">
        <f>IFERROR(IF(($BH293)&gt;0,($BK293)/($BH293),""),"")</f>
        <v/>
      </c>
      <c r="BR293" s="67">
        <f>IFERROR(IF(($BI293)&gt;0,($BL293)/($BI293),""),"")</f>
        <v/>
      </c>
      <c r="BS293" s="67">
        <f>IFERROR(IF(($BJ293)&gt;0,($BM293)/($BJ293),""),"")</f>
        <v/>
      </c>
      <c r="BT293" s="67">
        <f>IFERROR(IF(($BK293)&gt;0,($BN293)/($BK293),""),"")</f>
        <v/>
      </c>
      <c r="BU293" s="67">
        <f>IFERROR(IF(($BL293)&gt;0,($BO293)/($BL293),""),"")</f>
        <v/>
      </c>
      <c r="BV293" s="67">
        <f>IFERROR(IF(($BM293)&gt;0,($BP293)/($BM293),""),"")</f>
        <v/>
      </c>
      <c r="BW293" s="57">
        <f>SUMIFS(tblFleet[Calendar_h],tblFleet[Date],$A293,tblFleet[Equipment_Class],"Haul Truck")</f>
        <v/>
      </c>
      <c r="BX293" s="57">
        <f>IF($B293=$B292,$BX292,0)+$BW293</f>
        <v/>
      </c>
      <c r="BY293" s="57">
        <f>$BY292+$BW293</f>
        <v/>
      </c>
      <c r="BZ293" s="57">
        <f>SUMIFS(tblFleet[Available_h],tblFleet[Date],$A293,tblFleet[Equipment_Class],"Haul Truck")</f>
        <v/>
      </c>
      <c r="CA293" s="57">
        <f>IF($B293=$B292,$CA292,0)+$BZ293</f>
        <v/>
      </c>
      <c r="CB293" s="57">
        <f>$CB292+$BZ293</f>
        <v/>
      </c>
      <c r="CC293" s="57">
        <f>SUMIFS(tblFleet[Operating_h],tblFleet[Date],$A293,tblFleet[Equipment_Class],"Haul Truck")</f>
        <v/>
      </c>
      <c r="CD293" s="57">
        <f>IF($B293=$B292,$CD292,0)+$CC293</f>
        <v/>
      </c>
      <c r="CE293" s="57">
        <f>$CE292+$CC293</f>
        <v/>
      </c>
      <c r="CF293" s="67">
        <f>IFERROR(IF(($BW293)&gt;0,($BZ293)/($BW293),""),"")</f>
        <v/>
      </c>
      <c r="CG293" s="67">
        <f>IFERROR(IF(($BX293)&gt;0,($CA293)/($BX293),""),"")</f>
        <v/>
      </c>
      <c r="CH293" s="67">
        <f>IFERROR(IF(($BY293)&gt;0,($CB293)/($BY293),""),"")</f>
        <v/>
      </c>
      <c r="CI293" s="67">
        <f>IFERROR(IF(($BZ293)&gt;0,($CC293)/($BZ293),""),"")</f>
        <v/>
      </c>
      <c r="CJ293" s="67">
        <f>IFERROR(IF(($CA293)&gt;0,($CD293)/($CA293),""),"")</f>
        <v/>
      </c>
      <c r="CK293" s="67">
        <f>IFERROR(IF(($CB293)&gt;0,($CE293)/($CB293),""),"")</f>
        <v/>
      </c>
      <c r="CL293" s="55">
        <f>IFERROR(IF(($BN293)&gt;0,($X293+$AD293)/($BN293),""),"")</f>
        <v/>
      </c>
      <c r="CM293" s="55">
        <f>IFERROR(IF(($BO293)&gt;0,($Y293+$AE293)/($BO293),""),"")</f>
        <v/>
      </c>
      <c r="CN293" s="55">
        <f>IFERROR(IF(($BP293)&gt;0,($Z293+$AF293)/($BP293),""),"")</f>
        <v/>
      </c>
      <c r="CO293" s="55">
        <f>IFERROR(IF(($CC293)&gt;0,($X293+$AD293)/($CC293),""),"")</f>
        <v/>
      </c>
      <c r="CP293" s="55">
        <f>IFERROR(IF(($CD293)&gt;0,($Y293+$AE293)/($CD293),""),"")</f>
        <v/>
      </c>
      <c r="CQ293" s="55">
        <f>IFERROR(IF(($CE293)&gt;0,($Z293+$AF293)/($CE293),""),"")</f>
        <v/>
      </c>
      <c r="CR293" s="55">
        <f>SUMIFS(tblPlant[Crushed_t],tblPlant[Date],$A293)</f>
        <v/>
      </c>
      <c r="CS293" s="55">
        <f>IF($B293=$B292,$CS292,0)+$CR293</f>
        <v/>
      </c>
      <c r="CT293" s="55">
        <f>$CT292+$CR293</f>
        <v/>
      </c>
      <c r="CU293" s="55">
        <f>SUMIFS(tblPlant[Milled_t],tblPlant[Date],$A293)</f>
        <v/>
      </c>
      <c r="CV293" s="55">
        <f>IF($B293=$B292,$CV292,0)+$CU293</f>
        <v/>
      </c>
      <c r="CW293" s="55">
        <f>$CW292+$CU293</f>
        <v/>
      </c>
      <c r="CX293" s="55">
        <f>SUMIFS(tblPlant[Feed_oz],tblPlant[Date],$A293)</f>
        <v/>
      </c>
      <c r="CY293" s="55">
        <f>IF($B293=$B292,$CY292,0)+$CX293</f>
        <v/>
      </c>
      <c r="CZ293" s="55">
        <f>$CZ292+$CX293</f>
        <v/>
      </c>
      <c r="DA293" s="55">
        <f>SUMIFS(tblPlant[Tails_oz],tblPlant[Date],$A293)</f>
        <v/>
      </c>
      <c r="DB293" s="55">
        <f>IF($B293=$B292,$DB292,0)+$DA293</f>
        <v/>
      </c>
      <c r="DC293" s="55">
        <f>$DC292+$DA293</f>
        <v/>
      </c>
      <c r="DD293" s="55">
        <f>SUMIFS(tblPlant[Recovered_oz],tblPlant[Date],$A293)</f>
        <v/>
      </c>
      <c r="DE293" s="55">
        <f>IF($B293=$B292,$DE292,0)+$DD293</f>
        <v/>
      </c>
      <c r="DF293" s="55">
        <f>$DF292+$DD293</f>
        <v/>
      </c>
      <c r="DG293" s="55">
        <f>SUMIFS(tblPlant[Milled_t],tblPlant[Date],$A293,tblPlant[Head_Grade_gpt],"&lt;&gt;")</f>
        <v/>
      </c>
      <c r="DH293" s="55">
        <f>IF($B293=$B292,$DH292,0)+$DG293</f>
        <v/>
      </c>
      <c r="DI293" s="55">
        <f>$DI292+$DG293</f>
        <v/>
      </c>
      <c r="DJ293" s="55">
        <f>SUMIFS(tblPlant[Milled_t],tblPlant[Date],$A293,tblPlant[Tails_Grade_gpt],"&lt;&gt;")</f>
        <v/>
      </c>
      <c r="DK293" s="55">
        <f>IF($B293=$B292,$DK292,0)+$DJ293</f>
        <v/>
      </c>
      <c r="DL293" s="55">
        <f>$DL292+$DJ293</f>
        <v/>
      </c>
      <c r="DM293" s="55">
        <f>SUMIFS(tblPlant[Feed_oz],tblPlant[Date],$A293,tblPlant[Tails_Grade_gpt],"&lt;&gt;")</f>
        <v/>
      </c>
      <c r="DN293" s="55">
        <f>IF($B293=$B292,$DN292,0)+$DM293</f>
        <v/>
      </c>
      <c r="DO293" s="55">
        <f>$DO292+$DM293</f>
        <v/>
      </c>
      <c r="DP293" s="55">
        <f>SUMIFS(tblPlant[Milled_t],tblPlant[Date],$A293,tblPlant[Mill_Run_h],"&lt;&gt;")</f>
        <v/>
      </c>
      <c r="DQ293" s="55">
        <f>IF($B293=$B292,$DQ292,0)+$DP293</f>
        <v/>
      </c>
      <c r="DR293" s="55">
        <f>$DR292+$DP293</f>
        <v/>
      </c>
      <c r="DS293" s="56">
        <f>IFERROR(IF(($DG293)&gt;0,($CX293*cfg_TroyOz)/($DG293),""),"")</f>
        <v/>
      </c>
      <c r="DT293" s="56">
        <f>IFERROR(IF(($DH293)&gt;0,($CY293*cfg_TroyOz)/($DH293),""),"")</f>
        <v/>
      </c>
      <c r="DU293" s="56">
        <f>IFERROR(IF(($DI293)&gt;0,($CZ293*cfg_TroyOz)/($DI293),""),"")</f>
        <v/>
      </c>
      <c r="DV293" s="56">
        <f>IFERROR(IF(($DJ293)&gt;0,($DA293*cfg_TroyOz)/($DJ293),""),"")</f>
        <v/>
      </c>
      <c r="DW293" s="56">
        <f>IFERROR(IF(($DK293)&gt;0,($DB293*cfg_TroyOz)/($DK293),""),"")</f>
        <v/>
      </c>
      <c r="DX293" s="56">
        <f>IFERROR(IF(($DL293)&gt;0,($DC293*cfg_TroyOz)/($DL293),""),"")</f>
        <v/>
      </c>
      <c r="DY293" s="67">
        <f>IFERROR(IF(($DM293)&gt;0,($DD293)/($DM293),""),"")</f>
        <v/>
      </c>
      <c r="DZ293" s="67">
        <f>IFERROR(IF(($DN293)&gt;0,($DE293)/($DN293),""),"")</f>
        <v/>
      </c>
      <c r="EA293" s="67">
        <f>IFERROR(IF(($DO293)&gt;0,($DF293)/($DO293),""),"")</f>
        <v/>
      </c>
      <c r="EB293" s="55">
        <f>SUMIFS(tblPlant[Gravity_Gold_oz],tblPlant[Date],$A293)</f>
        <v/>
      </c>
      <c r="EC293" s="55">
        <f>IF($B293=$B292,$EC292,0)+$EB293</f>
        <v/>
      </c>
      <c r="ED293" s="55">
        <f>$ED292+$EB293</f>
        <v/>
      </c>
      <c r="EE293" s="67">
        <f>IFERROR(IF(($DD293)&gt;0,($EB293)/($DD293),""),"")</f>
        <v/>
      </c>
      <c r="EF293" s="67">
        <f>IFERROR(IF(($DE293)&gt;0,($EC293)/($DE293),""),"")</f>
        <v/>
      </c>
      <c r="EG293" s="67">
        <f>IFERROR(IF(($DF293)&gt;0,($ED293)/($DF293),""),"")</f>
        <v/>
      </c>
      <c r="EH293" s="55">
        <f>SUMIFS(tblPlant[Gold_Poured_oz],tblPlant[Date],$A293)</f>
        <v/>
      </c>
      <c r="EI293" s="55">
        <f>IF($B293=$B292,$EI292,0)+$EH293</f>
        <v/>
      </c>
      <c r="EJ293" s="55">
        <f>$EJ292+$EH293</f>
        <v/>
      </c>
      <c r="EK293" s="57">
        <f>SUMIFS(tblPlant[Mill_Run_h],tblPlant[Date],$A293)</f>
        <v/>
      </c>
      <c r="EL293" s="57">
        <f>IF($B293=$B292,$EL292,0)+$EK293</f>
        <v/>
      </c>
      <c r="EM293" s="57">
        <f>$EM292+$EK293</f>
        <v/>
      </c>
      <c r="EN293" s="57">
        <f>SUMIFS(tblPlant[Mill_Planned_Maint_h],tblPlant[Date],$A293)</f>
        <v/>
      </c>
      <c r="EO293" s="57">
        <f>IF($B293=$B292,$EO292,0)+$EN293</f>
        <v/>
      </c>
      <c r="EP293" s="57">
        <f>$EP292+$EN293</f>
        <v/>
      </c>
      <c r="EQ293" s="57">
        <f>SUMIFS(tblPlant[Mill_Unplanned_Down_h],tblPlant[Date],$A293)</f>
        <v/>
      </c>
      <c r="ER293" s="57">
        <f>IF($B293=$B292,$ER292,0)+$EQ293</f>
        <v/>
      </c>
      <c r="ES293" s="57">
        <f>$ES292+$EQ293</f>
        <v/>
      </c>
      <c r="ET293" s="57">
        <f>IF(COUNTIFS(tblPlant[Date],$A293,tblPlant[Mill_Run_h],"&lt;&gt;")+COUNTIFS(tblPlant[Date],$A293,tblPlant[Mill_Planned_Maint_h],"&lt;&gt;")+COUNTIFS(tblPlant[Date],$A293,tblPlant[Mill_Unplanned_Down_h],"&lt;&gt;")&gt;0,cfg_HoursPerDay,0)</f>
        <v/>
      </c>
      <c r="EU293" s="57">
        <f>IF($B293=$B292,$EU292,0)+$ET293</f>
        <v/>
      </c>
      <c r="EV293" s="57">
        <f>$EV292+$ET293</f>
        <v/>
      </c>
      <c r="EW293" s="57">
        <f>SUMIFS(tblPlant[Crusher_Run_h],tblPlant[Date],$A293)</f>
        <v/>
      </c>
      <c r="EX293" s="57">
        <f>IF($B293=$B292,$EX292,0)+$EW293</f>
        <v/>
      </c>
      <c r="EY293" s="57">
        <f>$EY292+$EW293</f>
        <v/>
      </c>
      <c r="EZ293" s="55">
        <f>IFERROR(IF(($EK293)&gt;0,($DP293)/($EK293),""),"")</f>
        <v/>
      </c>
      <c r="FA293" s="55">
        <f>IFERROR(IF(($EL293)&gt;0,($DQ293)/($EL293),""),"")</f>
        <v/>
      </c>
      <c r="FB293" s="55">
        <f>IFERROR(IF(($EM293)&gt;0,($DR293)/($EM293),""),"")</f>
        <v/>
      </c>
      <c r="FC293" s="67">
        <f>IFERROR(IF(($ET293)&gt;0,($ET293-$EN293-$EQ293)/($ET293),""),"")</f>
        <v/>
      </c>
      <c r="FD293" s="67">
        <f>IFERROR(IF(($EU293)&gt;0,($EU293-$EO293-$ER293)/($EU293),""),"")</f>
        <v/>
      </c>
      <c r="FE293" s="67">
        <f>IFERROR(IF(($EV293)&gt;0,($EV293-$EP293-$ES293)/($EV293),""),"")</f>
        <v/>
      </c>
      <c r="FF293" s="67">
        <f>IFERROR(IF(($ET293-$EN293-$EQ293)&gt;0,($EK293)/($ET293-$EN293-$EQ293),""),"")</f>
        <v/>
      </c>
      <c r="FG293" s="67">
        <f>IFERROR(IF(($EU293-$EO293-$ER293)&gt;0,($EL293)/($EU293-$EO293-$ER293),""),"")</f>
        <v/>
      </c>
      <c r="FH293" s="67">
        <f>IFERROR(IF(($EV293-$EP293-$ES293)&gt;0,($EM293)/($EV293-$EP293-$ES293),""),"")</f>
        <v/>
      </c>
      <c r="FI293" s="55">
        <f>SUMIFS(tblPlant[Cyanide_kg],tblPlant[Date],$A293)</f>
        <v/>
      </c>
      <c r="FJ293" s="55">
        <f>IF($B293=$B292,$FJ292,0)+$FI293</f>
        <v/>
      </c>
      <c r="FK293" s="55">
        <f>$FK292+$FI293</f>
        <v/>
      </c>
      <c r="FL293" s="55">
        <f>SUMIFS(tblPlant[Lime_kg],tblPlant[Date],$A293)</f>
        <v/>
      </c>
      <c r="FM293" s="55">
        <f>IF($B293=$B292,$FM292,0)+$FL293</f>
        <v/>
      </c>
      <c r="FN293" s="55">
        <f>$FN292+$FL293</f>
        <v/>
      </c>
      <c r="FO293" s="55">
        <f>SUMIFS(tblPlant[Grinding_Media_kg],tblPlant[Date],$A293)</f>
        <v/>
      </c>
      <c r="FP293" s="55">
        <f>IF($B293=$B292,$FP292,0)+$FO293</f>
        <v/>
      </c>
      <c r="FQ293" s="55">
        <f>$FQ292+$FO293</f>
        <v/>
      </c>
      <c r="FR293" s="55">
        <f>SUMIFS(tblPlant[Power_kWh],tblPlant[Date],$A293)</f>
        <v/>
      </c>
      <c r="FS293" s="55">
        <f>IF($B293=$B292,$FS292,0)+$FR293</f>
        <v/>
      </c>
      <c r="FT293" s="55">
        <f>$FT292+$FR293</f>
        <v/>
      </c>
      <c r="FU293" s="55">
        <f>SUMIFS(tblPlant[Raw_Water_m3],tblPlant[Date],$A293)</f>
        <v/>
      </c>
      <c r="FV293" s="55">
        <f>IF($B293=$B292,$FV292,0)+$FU293</f>
        <v/>
      </c>
      <c r="FW293" s="55">
        <f>$FW292+$FU293</f>
        <v/>
      </c>
      <c r="FX293" s="56">
        <f>IFERROR(IF(($CU293)&gt;0,($FI293)/($CU293),""),"")</f>
        <v/>
      </c>
      <c r="FY293" s="56">
        <f>IFERROR(IF(($CV293)&gt;0,($FJ293)/($CV293),""),"")</f>
        <v/>
      </c>
      <c r="FZ293" s="56">
        <f>IFERROR(IF(($CW293)&gt;0,($FK293)/($CW293),""),"")</f>
        <v/>
      </c>
      <c r="GA293" s="56">
        <f>IFERROR(IF(($CU293)&gt;0,($FL293)/($CU293),""),"")</f>
        <v/>
      </c>
      <c r="GB293" s="56">
        <f>IFERROR(IF(($CV293)&gt;0,($FM293)/($CV293),""),"")</f>
        <v/>
      </c>
      <c r="GC293" s="56">
        <f>IFERROR(IF(($CW293)&gt;0,($FN293)/($CW293),""),"")</f>
        <v/>
      </c>
      <c r="GD293" s="56">
        <f>IFERROR(IF(($CU293)&gt;0,($FO293)/($CU293),""),"")</f>
        <v/>
      </c>
      <c r="GE293" s="56">
        <f>IFERROR(IF(($CV293)&gt;0,($FP293)/($CV293),""),"")</f>
        <v/>
      </c>
      <c r="GF293" s="56">
        <f>IFERROR(IF(($CW293)&gt;0,($FQ293)/($CW293),""),"")</f>
        <v/>
      </c>
      <c r="GG293" s="79">
        <f>IFERROR(IF(($CU293)&gt;0,($FR293)/($CU293),""),"")</f>
        <v/>
      </c>
      <c r="GH293" s="79">
        <f>IFERROR(IF(($CV293)&gt;0,($FS293)/($CV293),""),"")</f>
        <v/>
      </c>
      <c r="GI293" s="79">
        <f>IFERROR(IF(($CW293)&gt;0,($FT293)/($CW293),""),"")</f>
        <v/>
      </c>
      <c r="GJ293" s="56">
        <f>IFERROR(IF(($CU293)&gt;0,($FU293)/($CU293),""),"")</f>
        <v/>
      </c>
      <c r="GK293" s="56">
        <f>IFERROR(IF(($CV293)&gt;0,($FV293)/($CV293),""),"")</f>
        <v/>
      </c>
      <c r="GL293" s="56">
        <f>IFERROR(IF(($CW293)&gt;0,($FW293)/($CW293),""),"")</f>
        <v/>
      </c>
      <c r="GM293" s="55">
        <f>IF(SUMIFS(tblPlant[GIC_oz],tblPlant[Date],$A293)&gt;0,SUMIFS(tblPlant[GIC_oz],tblPlant[Date],$A293),"")</f>
        <v/>
      </c>
      <c r="GN293" s="55">
        <f>SUMIFS(tblGold[Gold_oz],tblGold[Date],$A293,tblGold[Type],"Shipment")</f>
        <v/>
      </c>
      <c r="GO293" s="55">
        <f>IF($B293=$B292,$GO292,0)+$GN293</f>
        <v/>
      </c>
      <c r="GP293" s="55">
        <f>$GP292+$GN293</f>
        <v/>
      </c>
      <c r="GQ293" s="55">
        <f>SUMIFS(tblGold[Gold_oz],tblGold[Date],$A293,tblGold[Type],"Sale")</f>
        <v/>
      </c>
      <c r="GR293" s="55">
        <f>IF($B293=$B292,$GR292,0)+$GQ293</f>
        <v/>
      </c>
      <c r="GS293" s="55">
        <f>$GS292+$GQ293</f>
        <v/>
      </c>
      <c r="GT293" s="55">
        <f>SUMIFS(tblGold[Dore_kg],tblGold[Date],$A293,tblGold[Type],"Shipment")</f>
        <v/>
      </c>
      <c r="GU293" s="55">
        <f>IF($B293=$B292,$GU292,0)+$GT293</f>
        <v/>
      </c>
      <c r="GV293" s="55">
        <f>$GV292+$GT293</f>
        <v/>
      </c>
      <c r="GW293" s="57">
        <f>SUMIFS(tblSafety[Hours_Total],tblSafety[Date],$A293)</f>
        <v/>
      </c>
      <c r="GX293" s="57">
        <f>IF($B293=$B292,$GX292,0)+$GW293</f>
        <v/>
      </c>
      <c r="GY293" s="57">
        <f>$GY292+$GW293</f>
        <v/>
      </c>
      <c r="GZ293" s="62">
        <f>SUMIFS(tblSafety[Fatality],tblSafety[Date],$A293)</f>
        <v/>
      </c>
      <c r="HA293" s="62">
        <f>IF($B293=$B292,$HA292,0)+$GZ293</f>
        <v/>
      </c>
      <c r="HB293" s="62">
        <f>$HB292+$GZ293</f>
        <v/>
      </c>
      <c r="HC293" s="62">
        <f>SUMIFS(tblSafety[LTI],tblSafety[Date],$A293)</f>
        <v/>
      </c>
      <c r="HD293" s="62">
        <f>IF($B293=$B292,$HD292,0)+$HC293</f>
        <v/>
      </c>
      <c r="HE293" s="62">
        <f>$HE292+$HC293</f>
        <v/>
      </c>
      <c r="HF293" s="62">
        <f>SUMIFS(tblSafety[RWI],tblSafety[Date],$A293)</f>
        <v/>
      </c>
      <c r="HG293" s="62">
        <f>IF($B293=$B292,$HG292,0)+$HF293</f>
        <v/>
      </c>
      <c r="HH293" s="62">
        <f>$HH292+$HF293</f>
        <v/>
      </c>
      <c r="HI293" s="62">
        <f>SUMIFS(tblSafety[MTI],tblSafety[Date],$A293)</f>
        <v/>
      </c>
      <c r="HJ293" s="62">
        <f>IF($B293=$B292,$HJ292,0)+$HI293</f>
        <v/>
      </c>
      <c r="HK293" s="62">
        <f>$HK292+$HI293</f>
        <v/>
      </c>
      <c r="HL293" s="62">
        <f>SUMIFS(tblSafety[FAI],tblSafety[Date],$A293)</f>
        <v/>
      </c>
      <c r="HM293" s="62">
        <f>IF($B293=$B292,$HM292,0)+$HL293</f>
        <v/>
      </c>
      <c r="HN293" s="62">
        <f>$HN292+$HL293</f>
        <v/>
      </c>
      <c r="HO293" s="62">
        <f>SUMIFS(tblSafety[Recordables],tblSafety[Date],$A293)</f>
        <v/>
      </c>
      <c r="HP293" s="62">
        <f>IF($B293=$B292,$HP292,0)+$HO293</f>
        <v/>
      </c>
      <c r="HQ293" s="62">
        <f>$HQ292+$HO293</f>
        <v/>
      </c>
      <c r="HR293" s="62">
        <f>SUMIFS(tblSafety[Near_Miss],tblSafety[Date],$A293)</f>
        <v/>
      </c>
      <c r="HS293" s="62">
        <f>IF($B293=$B292,$HS292,0)+$HR293</f>
        <v/>
      </c>
      <c r="HT293" s="62">
        <f>$HT292+$HR293</f>
        <v/>
      </c>
      <c r="HU293" s="62">
        <f>SUMIFS(tblSafety[Hazard_Reports],tblSafety[Date],$A293)</f>
        <v/>
      </c>
      <c r="HV293" s="62">
        <f>IF($B293=$B292,$HV292,0)+$HU293</f>
        <v/>
      </c>
      <c r="HW293" s="62">
        <f>$HW292+$HU293</f>
        <v/>
      </c>
      <c r="HX293" s="62">
        <f>SUMIFS(tblSafety[HPI],tblSafety[Date],$A293)</f>
        <v/>
      </c>
      <c r="HY293" s="62">
        <f>IF($B293=$B292,$HY292,0)+$HX293</f>
        <v/>
      </c>
      <c r="HZ293" s="62">
        <f>$HZ292+$HX293</f>
        <v/>
      </c>
      <c r="IA293" s="62">
        <f>SUMIFS(tblSafety[Env_Incidents],tblSafety[Date],$A293)</f>
        <v/>
      </c>
      <c r="IB293" s="62">
        <f>IF($B293=$B292,$IB292,0)+$IA293</f>
        <v/>
      </c>
      <c r="IC293" s="62">
        <f>$IC292+$IA293</f>
        <v/>
      </c>
      <c r="ID293" s="62">
        <f>SUMIFS(tblSafety[Community_Incidents],tblSafety[Date],$A293)</f>
        <v/>
      </c>
      <c r="IE293" s="62">
        <f>IF($B293=$B292,$IE292,0)+$ID293</f>
        <v/>
      </c>
      <c r="IF293" s="62">
        <f>$IF292+$ID293</f>
        <v/>
      </c>
      <c r="IG293" s="62">
        <f>SUMIFS(tblSafety[Vehicle_Incidents],tblSafety[Date],$A293)</f>
        <v/>
      </c>
      <c r="IH293" s="62">
        <f>IF($B293=$B292,$IH292,0)+$IG293</f>
        <v/>
      </c>
      <c r="II293" s="62">
        <f>$II292+$IG293</f>
        <v/>
      </c>
      <c r="IJ293" s="62">
        <f>SUMIFS(tblSafety[Toolbox_Talks],tblSafety[Date],$A293)</f>
        <v/>
      </c>
      <c r="IK293" s="62">
        <f>IF($B293=$B292,$IK292,0)+$IJ293</f>
        <v/>
      </c>
      <c r="IL293" s="62">
        <f>$IL292+$IJ293</f>
        <v/>
      </c>
      <c r="IM293" s="62">
        <f>SUMIFS(tblSafety[Inspections],tblSafety[Date],$A293)</f>
        <v/>
      </c>
      <c r="IN293" s="62">
        <f>IF($B293=$B292,$IN292,0)+$IM293</f>
        <v/>
      </c>
      <c r="IO293" s="62">
        <f>$IO292+$IM293</f>
        <v/>
      </c>
      <c r="IP293" s="56">
        <f>IFERROR((SUMIFS(tblSafety[Recordables],tblSafety[Date],"&gt;="&amp;EDATE($E293,-12),tblSafety[Date],"&lt;="&amp;$A293)+SUMIFS(tblSafetyHistory[Recordables],tblSafetyHistory[Month],"&gt;="&amp;EDATE($E293,-12),tblSafetyHistory[Month],"&lt;"&amp;$E293,tblSafetyHistory[Use],1))/(SUMIFS(tblSafety[Hours_Total],tblSafety[Date],"&gt;="&amp;EDATE($E293,-12),tblSafety[Date],"&lt;="&amp;$A293)+SUMIFS(tblSafetyHistory[Hours_Total],tblSafetyHistory[Month],"&gt;="&amp;EDATE($E293,-12),tblSafetyHistory[Month],"&lt;"&amp;$E293,tblSafetyHistory[Use],1))*cfg_RateBasisHours,"")</f>
        <v/>
      </c>
      <c r="IQ293" s="56">
        <f>IFERROR((SUMIFS(tblSafety[LTI],tblSafety[Date],"&gt;="&amp;EDATE($E293,-12),tblSafety[Date],"&lt;="&amp;$A293)+SUMIFS(tblSafetyHistory[LTI],tblSafetyHistory[Month],"&gt;="&amp;EDATE($E293,-12),tblSafetyHistory[Month],"&lt;"&amp;$E293,tblSafetyHistory[Use],1))/(SUMIFS(tblSafety[Hours_Total],tblSafety[Date],"&gt;="&amp;EDATE($E293,-12),tblSafety[Date],"&lt;="&amp;$A293)+SUMIFS(tblSafetyHistory[Hours_Total],tblSafetyHistory[Month],"&gt;="&amp;EDATE($E293,-12),tblSafetyHistory[Month],"&lt;"&amp;$E293,tblSafetyHistory[Use],1))*cfg_RateBasisHours,"")</f>
        <v/>
      </c>
      <c r="IR293" s="62">
        <f>IF(MAX(N(cfg_PriorLTIDate),_xlfn.MAXIFS(tblSafety[Date],tblSafety[LTI],"&gt;0",tblSafety[Date],"&lt;="&amp;$A293))=0,"",$A293-MAX(N(cfg_PriorLTIDate),_xlfn.MAXIFS(tblSafety[Date],tblSafety[LTI],"&gt;0",tblSafety[Date],"&lt;="&amp;$A293)))</f>
        <v/>
      </c>
      <c r="IS293" s="55">
        <f>SUMIFS(tblBudget[Ore_Mined_t],tblBudget[Month],$E293)</f>
        <v/>
      </c>
      <c r="IT293" s="55">
        <f>$IS293*$C293/$D293</f>
        <v/>
      </c>
      <c r="IU293" s="55">
        <f>SUMIFS(tblBudget[Ore_Mined_t],tblBudget[Month],"&lt;"&amp;$E293)+$IT293</f>
        <v/>
      </c>
      <c r="IV293" s="55">
        <f>SUMIFS(tblBudget[Ore_oz],tblBudget[Month],$E293)</f>
        <v/>
      </c>
      <c r="IW293" s="55">
        <f>$IV293*$C293/$D293</f>
        <v/>
      </c>
      <c r="IX293" s="55">
        <f>SUMIFS(tblBudget[Ore_oz],tblBudget[Month],"&lt;"&amp;$E293)+$IW293</f>
        <v/>
      </c>
      <c r="IY293" s="55">
        <f>SUMIFS(tblBudget[Ore_Mined_t],tblBudget[Month],$E293)</f>
        <v/>
      </c>
      <c r="IZ293" s="55">
        <f>$IY293*$C293/$D293</f>
        <v/>
      </c>
      <c r="JA293" s="55">
        <f>SUMIFS(tblBudget[Ore_Mined_t],tblBudget[Month],"&lt;"&amp;$E293)+$IZ293</f>
        <v/>
      </c>
      <c r="JB293" s="56">
        <f>IFERROR(IF(($IY293)&gt;0,($IV293*cfg_TroyOz)/($IY293),""),"")</f>
        <v/>
      </c>
      <c r="JC293" s="56">
        <f>IFERROR(IF(($IZ293)&gt;0,($IW293*cfg_TroyOz)/($IZ293),""),"")</f>
        <v/>
      </c>
      <c r="JD293" s="56">
        <f>IFERROR(IF(($JA293)&gt;0,($IX293*cfg_TroyOz)/($JA293),""),"")</f>
        <v/>
      </c>
      <c r="JE293" s="55">
        <f>SUMIFS(tblBudget[Waste_t],tblBudget[Month],$E293)</f>
        <v/>
      </c>
      <c r="JF293" s="55">
        <f>$JE293*$C293/$D293</f>
        <v/>
      </c>
      <c r="JG293" s="55">
        <f>SUMIFS(tblBudget[Waste_t],tblBudget[Month],"&lt;"&amp;$E293)+$JF293</f>
        <v/>
      </c>
      <c r="JH293" s="55">
        <f>SUMIFS(tblBudget[TMM_t],tblBudget[Month],$E293)</f>
        <v/>
      </c>
      <c r="JI293" s="55">
        <f>$JH293*$C293/$D293</f>
        <v/>
      </c>
      <c r="JJ293" s="55">
        <f>SUMIFS(tblBudget[TMM_t],tblBudget[Month],"&lt;"&amp;$E293)+$JI293</f>
        <v/>
      </c>
      <c r="JK293" s="56">
        <f>IFERROR(IF(($IS293)&gt;0,($JE293)/($IS293),""),"")</f>
        <v/>
      </c>
      <c r="JL293" s="56">
        <f>IFERROR(IF(($IT293)&gt;0,($JF293)/($IT293),""),"")</f>
        <v/>
      </c>
      <c r="JM293" s="56">
        <f>IFERROR(IF(($IU293)&gt;0,($JG293)/($IU293),""),"")</f>
        <v/>
      </c>
      <c r="JN293" s="55">
        <f>SUMIFS(tblBudget[Drill_m],tblBudget[Month],$E293)</f>
        <v/>
      </c>
      <c r="JO293" s="55">
        <f>$JN293*$C293/$D293</f>
        <v/>
      </c>
      <c r="JP293" s="55">
        <f>SUMIFS(tblBudget[Drill_m],tblBudget[Month],"&lt;"&amp;$E293)+$JO293</f>
        <v/>
      </c>
      <c r="JQ293" s="55">
        <f>SUMIFS(tblBudget[Diesel_L],tblBudget[Month],$E293)</f>
        <v/>
      </c>
      <c r="JR293" s="55">
        <f>$JQ293*$C293/$D293</f>
        <v/>
      </c>
      <c r="JS293" s="55">
        <f>SUMIFS(tblBudget[Diesel_L],tblBudget[Month],"&lt;"&amp;$E293)+$JR293</f>
        <v/>
      </c>
      <c r="JT293" s="55">
        <f>SUMIFS(tblBudget[Milled_t],tblBudget[Month],$E293)</f>
        <v/>
      </c>
      <c r="JU293" s="55">
        <f>$JT293*$C293/$D293</f>
        <v/>
      </c>
      <c r="JV293" s="55">
        <f>SUMIFS(tblBudget[Milled_t],tblBudget[Month],"&lt;"&amp;$E293)+$JU293</f>
        <v/>
      </c>
      <c r="JW293" s="55">
        <f>SUMIFS(tblBudget[Feed_oz],tblBudget[Month],$E293)</f>
        <v/>
      </c>
      <c r="JX293" s="55">
        <f>$JW293*$C293/$D293</f>
        <v/>
      </c>
      <c r="JY293" s="55">
        <f>SUMIFS(tblBudget[Feed_oz],tblBudget[Month],"&lt;"&amp;$E293)+$JX293</f>
        <v/>
      </c>
      <c r="JZ293" s="55">
        <f>SUMIFS(tblBudget[Recovered_oz],tblBudget[Month],$E293)</f>
        <v/>
      </c>
      <c r="KA293" s="55">
        <f>$JZ293*$C293/$D293</f>
        <v/>
      </c>
      <c r="KB293" s="55">
        <f>SUMIFS(tblBudget[Recovered_oz],tblBudget[Month],"&lt;"&amp;$E293)+$KA293</f>
        <v/>
      </c>
      <c r="KC293" s="55">
        <f>SUMIFS(tblBudget[Milled_t],tblBudget[Month],$E293)</f>
        <v/>
      </c>
      <c r="KD293" s="55">
        <f>$KC293*$C293/$D293</f>
        <v/>
      </c>
      <c r="KE293" s="55">
        <f>SUMIFS(tblBudget[Milled_t],tblBudget[Month],"&lt;"&amp;$E293)+$KD293</f>
        <v/>
      </c>
      <c r="KF293" s="55">
        <f>SUMIFS(tblBudget[Feed_oz],tblBudget[Month],$E293)</f>
        <v/>
      </c>
      <c r="KG293" s="55">
        <f>$KF293*$C293/$D293</f>
        <v/>
      </c>
      <c r="KH293" s="55">
        <f>SUMIFS(tblBudget[Feed_oz],tblBudget[Month],"&lt;"&amp;$E293)+$KG293</f>
        <v/>
      </c>
      <c r="KI293" s="56">
        <f>IFERROR(IF(($KC293)&gt;0,($JW293*cfg_TroyOz)/($KC293),""),"")</f>
        <v/>
      </c>
      <c r="KJ293" s="56">
        <f>IFERROR(IF(($KD293)&gt;0,($JX293*cfg_TroyOz)/($KD293),""),"")</f>
        <v/>
      </c>
      <c r="KK293" s="56">
        <f>IFERROR(IF(($KE293)&gt;0,($JY293*cfg_TroyOz)/($KE293),""),"")</f>
        <v/>
      </c>
      <c r="KL293" s="67">
        <f>IFERROR(IF(($KF293)&gt;0,($JZ293)/($KF293),""),"")</f>
        <v/>
      </c>
      <c r="KM293" s="67">
        <f>IFERROR(IF(($KG293)&gt;0,($KA293)/($KG293),""),"")</f>
        <v/>
      </c>
      <c r="KN293" s="67">
        <f>IFERROR(IF(($KH293)&gt;0,($KB293)/($KH293),""),"")</f>
        <v/>
      </c>
      <c r="KO293" s="55">
        <f>SUMIFS(tblBudget[Gold_Poured_oz],tblBudget[Month],$E293)</f>
        <v/>
      </c>
      <c r="KP293" s="55">
        <f>$KO293*$C293/$D293</f>
        <v/>
      </c>
      <c r="KQ293" s="55">
        <f>SUMIFS(tblBudget[Gold_Poured_oz],tblBudget[Month],"&lt;"&amp;$E293)+$KP293</f>
        <v/>
      </c>
      <c r="KR293" s="57">
        <f>SUMIFS(tblBudget[Hours_Worked],tblBudget[Month],$E293)</f>
        <v/>
      </c>
      <c r="KS293" s="57">
        <f>$KR293*$C293/$D293</f>
        <v/>
      </c>
      <c r="KT293" s="57">
        <f>SUMIFS(tblBudget[Hours_Worked],tblBudget[Month],"&lt;"&amp;$E293)+$KS293</f>
        <v/>
      </c>
    </row>
    <row r="294">
      <c r="A294" s="54" t="n">
        <v>46315</v>
      </c>
      <c r="B294">
        <f>MONTH($A294)</f>
        <v/>
      </c>
      <c r="C294">
        <f>DAY($A294)</f>
        <v/>
      </c>
      <c r="D294">
        <f>DAY(EOMONTH($A294,0))</f>
        <v/>
      </c>
      <c r="E294" s="54">
        <f>DATE(YEAR($A294),MONTH($A294),1)</f>
        <v/>
      </c>
      <c r="F294" s="55">
        <f>SUMIFS(tblMovement[Tonnes_t],tblMovement[Date],$A294,tblMovement[Is_Ore],1,tblMovement[Source_Type],"Pit")</f>
        <v/>
      </c>
      <c r="G294" s="55">
        <f>IF($B294=$B293,$G293,0)+$F294</f>
        <v/>
      </c>
      <c r="H294" s="55">
        <f>$H293+$F294</f>
        <v/>
      </c>
      <c r="I294" s="55">
        <f>SUMIFS(tblMovement[Ore_oz],tblMovement[Date],$A294,tblMovement[Source_Type],"Pit")</f>
        <v/>
      </c>
      <c r="J294" s="55">
        <f>IF($B294=$B293,$J293,0)+$I294</f>
        <v/>
      </c>
      <c r="K294" s="55">
        <f>$K293+$I294</f>
        <v/>
      </c>
      <c r="L294" s="55">
        <f>SUMIFS(tblMovement[Tonnes_t],tblMovement[Date],$A294,tblMovement[Is_Ore],1,tblMovement[Source_Type],"Pit",tblMovement[Grade_gpt],"&lt;&gt;")</f>
        <v/>
      </c>
      <c r="M294" s="55">
        <f>IF($B294=$B293,$M293,0)+$L294</f>
        <v/>
      </c>
      <c r="N294" s="55">
        <f>$N293+$L294</f>
        <v/>
      </c>
      <c r="O294" s="56">
        <f>IFERROR(IF(($L294)&gt;0,($I294*cfg_TroyOz)/($L294),""),"")</f>
        <v/>
      </c>
      <c r="P294" s="56">
        <f>IFERROR(IF(($M294)&gt;0,($J294*cfg_TroyOz)/($M294),""),"")</f>
        <v/>
      </c>
      <c r="Q294" s="56">
        <f>IFERROR(IF(($N294)&gt;0,($K294*cfg_TroyOz)/($N294),""),"")</f>
        <v/>
      </c>
      <c r="R294" s="55">
        <f>$F294-$L294</f>
        <v/>
      </c>
      <c r="S294" s="55">
        <f>IF($B294=$B293,$S293,0)+$R294</f>
        <v/>
      </c>
      <c r="T294" s="55">
        <f>$T293+$R294</f>
        <v/>
      </c>
      <c r="U294" s="55">
        <f>SUMIFS(tblMovement[Tonnes_t],tblMovement[Date],$A294,tblMovement[Is_Ore],0,tblMovement[Source_Type],"Pit")</f>
        <v/>
      </c>
      <c r="V294" s="55">
        <f>IF($B294=$B293,$V293,0)+$U294</f>
        <v/>
      </c>
      <c r="W294" s="55">
        <f>$W293+$U294</f>
        <v/>
      </c>
      <c r="X294" s="55">
        <f>$F294+$U294</f>
        <v/>
      </c>
      <c r="Y294" s="55">
        <f>IF($B294=$B293,$Y293,0)+$X294</f>
        <v/>
      </c>
      <c r="Z294" s="55">
        <f>$Z293+$X294</f>
        <v/>
      </c>
      <c r="AA294" s="56">
        <f>IFERROR(IF(($F294)&gt;0,($U294)/($F294),""),"")</f>
        <v/>
      </c>
      <c r="AB294" s="56">
        <f>IFERROR(IF(($G294)&gt;0,($V294)/($G294),""),"")</f>
        <v/>
      </c>
      <c r="AC294" s="56">
        <f>IFERROR(IF(($H294)&gt;0,($W294)/($H294),""),"")</f>
        <v/>
      </c>
      <c r="AD294" s="55">
        <f>SUMIFS(tblMovement[Tonnes_t],tblMovement[Date],$A294,tblMovement[Source_Type],"Stockpile")</f>
        <v/>
      </c>
      <c r="AE294" s="55">
        <f>IF($B294=$B293,$AE293,0)+$AD294</f>
        <v/>
      </c>
      <c r="AF294" s="55">
        <f>$AF293+$AD294</f>
        <v/>
      </c>
      <c r="AG294" s="55">
        <f>SUMIFS(tblMovement[Tonnes_t],tblMovement[Date],$A294)</f>
        <v/>
      </c>
      <c r="AH294" s="55">
        <f>IF($B294=$B293,$AH293,0)+$AG294</f>
        <v/>
      </c>
      <c r="AI294" s="55">
        <f>$AI293+$AG294</f>
        <v/>
      </c>
      <c r="AJ294" s="55">
        <f>$AG294-$X294-$AD294</f>
        <v/>
      </c>
      <c r="AK294" s="55">
        <f>IF($B294=$B293,$AK293,0)+$AJ294</f>
        <v/>
      </c>
      <c r="AL294" s="55">
        <f>$AL293+$AJ294</f>
        <v/>
      </c>
      <c r="AM294" s="55">
        <f>SUMIFS(tblMiningDaily[Drill_m],tblMiningDaily[Date],$A294)</f>
        <v/>
      </c>
      <c r="AN294" s="55">
        <f>IF($B294=$B293,$AN293,0)+$AM294</f>
        <v/>
      </c>
      <c r="AO294" s="55">
        <f>$AO293+$AM294</f>
        <v/>
      </c>
      <c r="AP294" s="55">
        <f>SUMIFS(tblMiningDaily[GC_Drill_m],tblMiningDaily[Date],$A294)</f>
        <v/>
      </c>
      <c r="AQ294" s="55">
        <f>IF($B294=$B293,$AQ293,0)+$AP294</f>
        <v/>
      </c>
      <c r="AR294" s="55">
        <f>$AR293+$AP294</f>
        <v/>
      </c>
      <c r="AS294" s="55">
        <f>SUMIFS(tblMiningDaily[Blast_t],tblMiningDaily[Date],$A294)</f>
        <v/>
      </c>
      <c r="AT294" s="55">
        <f>IF($B294=$B293,$AT293,0)+$AS294</f>
        <v/>
      </c>
      <c r="AU294" s="55">
        <f>$AU293+$AS294</f>
        <v/>
      </c>
      <c r="AV294" s="55">
        <f>SUMIFS(tblMiningDaily[Explosives_kg],tblMiningDaily[Date],$A294)</f>
        <v/>
      </c>
      <c r="AW294" s="55">
        <f>IF($B294=$B293,$AW293,0)+$AV294</f>
        <v/>
      </c>
      <c r="AX294" s="55">
        <f>$AX293+$AV294</f>
        <v/>
      </c>
      <c r="AY294" s="56">
        <f>IFERROR(IF(($AS294)&gt;0,($AV294)/($AS294),""),"")</f>
        <v/>
      </c>
      <c r="AZ294" s="56">
        <f>IFERROR(IF(($AT294)&gt;0,($AW294)/($AT294),""),"")</f>
        <v/>
      </c>
      <c r="BA294" s="56">
        <f>IFERROR(IF(($AU294)&gt;0,($AX294)/($AU294),""),"")</f>
        <v/>
      </c>
      <c r="BB294" s="55">
        <f>SUMIFS(tblMiningDaily[Diesel_L],tblMiningDaily[Date],$A294)</f>
        <v/>
      </c>
      <c r="BC294" s="55">
        <f>IF($B294=$B293,$BC293,0)+$BB294</f>
        <v/>
      </c>
      <c r="BD294" s="55">
        <f>$BD293+$BB294</f>
        <v/>
      </c>
      <c r="BE294" s="55">
        <f>SUMIFS(tblMiningDaily[Dewatering_m3],tblMiningDaily[Date],$A294)</f>
        <v/>
      </c>
      <c r="BF294" s="55">
        <f>IF($B294=$B293,$BF293,0)+$BE294</f>
        <v/>
      </c>
      <c r="BG294" s="55">
        <f>$BG293+$BE294</f>
        <v/>
      </c>
      <c r="BH294" s="57">
        <f>SUMIFS(tblFleet[Calendar_h],tblFleet[Date],$A294,tblFleet[Equipment_Class],"Excavator")</f>
        <v/>
      </c>
      <c r="BI294" s="57">
        <f>IF($B294=$B293,$BI293,0)+$BH294</f>
        <v/>
      </c>
      <c r="BJ294" s="57">
        <f>$BJ293+$BH294</f>
        <v/>
      </c>
      <c r="BK294" s="57">
        <f>SUMIFS(tblFleet[Available_h],tblFleet[Date],$A294,tblFleet[Equipment_Class],"Excavator")</f>
        <v/>
      </c>
      <c r="BL294" s="57">
        <f>IF($B294=$B293,$BL293,0)+$BK294</f>
        <v/>
      </c>
      <c r="BM294" s="57">
        <f>$BM293+$BK294</f>
        <v/>
      </c>
      <c r="BN294" s="57">
        <f>SUMIFS(tblFleet[Operating_h],tblFleet[Date],$A294,tblFleet[Equipment_Class],"Excavator")</f>
        <v/>
      </c>
      <c r="BO294" s="57">
        <f>IF($B294=$B293,$BO293,0)+$BN294</f>
        <v/>
      </c>
      <c r="BP294" s="57">
        <f>$BP293+$BN294</f>
        <v/>
      </c>
      <c r="BQ294" s="67">
        <f>IFERROR(IF(($BH294)&gt;0,($BK294)/($BH294),""),"")</f>
        <v/>
      </c>
      <c r="BR294" s="67">
        <f>IFERROR(IF(($BI294)&gt;0,($BL294)/($BI294),""),"")</f>
        <v/>
      </c>
      <c r="BS294" s="67">
        <f>IFERROR(IF(($BJ294)&gt;0,($BM294)/($BJ294),""),"")</f>
        <v/>
      </c>
      <c r="BT294" s="67">
        <f>IFERROR(IF(($BK294)&gt;0,($BN294)/($BK294),""),"")</f>
        <v/>
      </c>
      <c r="BU294" s="67">
        <f>IFERROR(IF(($BL294)&gt;0,($BO294)/($BL294),""),"")</f>
        <v/>
      </c>
      <c r="BV294" s="67">
        <f>IFERROR(IF(($BM294)&gt;0,($BP294)/($BM294),""),"")</f>
        <v/>
      </c>
      <c r="BW294" s="57">
        <f>SUMIFS(tblFleet[Calendar_h],tblFleet[Date],$A294,tblFleet[Equipment_Class],"Haul Truck")</f>
        <v/>
      </c>
      <c r="BX294" s="57">
        <f>IF($B294=$B293,$BX293,0)+$BW294</f>
        <v/>
      </c>
      <c r="BY294" s="57">
        <f>$BY293+$BW294</f>
        <v/>
      </c>
      <c r="BZ294" s="57">
        <f>SUMIFS(tblFleet[Available_h],tblFleet[Date],$A294,tblFleet[Equipment_Class],"Haul Truck")</f>
        <v/>
      </c>
      <c r="CA294" s="57">
        <f>IF($B294=$B293,$CA293,0)+$BZ294</f>
        <v/>
      </c>
      <c r="CB294" s="57">
        <f>$CB293+$BZ294</f>
        <v/>
      </c>
      <c r="CC294" s="57">
        <f>SUMIFS(tblFleet[Operating_h],tblFleet[Date],$A294,tblFleet[Equipment_Class],"Haul Truck")</f>
        <v/>
      </c>
      <c r="CD294" s="57">
        <f>IF($B294=$B293,$CD293,0)+$CC294</f>
        <v/>
      </c>
      <c r="CE294" s="57">
        <f>$CE293+$CC294</f>
        <v/>
      </c>
      <c r="CF294" s="67">
        <f>IFERROR(IF(($BW294)&gt;0,($BZ294)/($BW294),""),"")</f>
        <v/>
      </c>
      <c r="CG294" s="67">
        <f>IFERROR(IF(($BX294)&gt;0,($CA294)/($BX294),""),"")</f>
        <v/>
      </c>
      <c r="CH294" s="67">
        <f>IFERROR(IF(($BY294)&gt;0,($CB294)/($BY294),""),"")</f>
        <v/>
      </c>
      <c r="CI294" s="67">
        <f>IFERROR(IF(($BZ294)&gt;0,($CC294)/($BZ294),""),"")</f>
        <v/>
      </c>
      <c r="CJ294" s="67">
        <f>IFERROR(IF(($CA294)&gt;0,($CD294)/($CA294),""),"")</f>
        <v/>
      </c>
      <c r="CK294" s="67">
        <f>IFERROR(IF(($CB294)&gt;0,($CE294)/($CB294),""),"")</f>
        <v/>
      </c>
      <c r="CL294" s="55">
        <f>IFERROR(IF(($BN294)&gt;0,($X294+$AD294)/($BN294),""),"")</f>
        <v/>
      </c>
      <c r="CM294" s="55">
        <f>IFERROR(IF(($BO294)&gt;0,($Y294+$AE294)/($BO294),""),"")</f>
        <v/>
      </c>
      <c r="CN294" s="55">
        <f>IFERROR(IF(($BP294)&gt;0,($Z294+$AF294)/($BP294),""),"")</f>
        <v/>
      </c>
      <c r="CO294" s="55">
        <f>IFERROR(IF(($CC294)&gt;0,($X294+$AD294)/($CC294),""),"")</f>
        <v/>
      </c>
      <c r="CP294" s="55">
        <f>IFERROR(IF(($CD294)&gt;0,($Y294+$AE294)/($CD294),""),"")</f>
        <v/>
      </c>
      <c r="CQ294" s="55">
        <f>IFERROR(IF(($CE294)&gt;0,($Z294+$AF294)/($CE294),""),"")</f>
        <v/>
      </c>
      <c r="CR294" s="55">
        <f>SUMIFS(tblPlant[Crushed_t],tblPlant[Date],$A294)</f>
        <v/>
      </c>
      <c r="CS294" s="55">
        <f>IF($B294=$B293,$CS293,0)+$CR294</f>
        <v/>
      </c>
      <c r="CT294" s="55">
        <f>$CT293+$CR294</f>
        <v/>
      </c>
      <c r="CU294" s="55">
        <f>SUMIFS(tblPlant[Milled_t],tblPlant[Date],$A294)</f>
        <v/>
      </c>
      <c r="CV294" s="55">
        <f>IF($B294=$B293,$CV293,0)+$CU294</f>
        <v/>
      </c>
      <c r="CW294" s="55">
        <f>$CW293+$CU294</f>
        <v/>
      </c>
      <c r="CX294" s="55">
        <f>SUMIFS(tblPlant[Feed_oz],tblPlant[Date],$A294)</f>
        <v/>
      </c>
      <c r="CY294" s="55">
        <f>IF($B294=$B293,$CY293,0)+$CX294</f>
        <v/>
      </c>
      <c r="CZ294" s="55">
        <f>$CZ293+$CX294</f>
        <v/>
      </c>
      <c r="DA294" s="55">
        <f>SUMIFS(tblPlant[Tails_oz],tblPlant[Date],$A294)</f>
        <v/>
      </c>
      <c r="DB294" s="55">
        <f>IF($B294=$B293,$DB293,0)+$DA294</f>
        <v/>
      </c>
      <c r="DC294" s="55">
        <f>$DC293+$DA294</f>
        <v/>
      </c>
      <c r="DD294" s="55">
        <f>SUMIFS(tblPlant[Recovered_oz],tblPlant[Date],$A294)</f>
        <v/>
      </c>
      <c r="DE294" s="55">
        <f>IF($B294=$B293,$DE293,0)+$DD294</f>
        <v/>
      </c>
      <c r="DF294" s="55">
        <f>$DF293+$DD294</f>
        <v/>
      </c>
      <c r="DG294" s="55">
        <f>SUMIFS(tblPlant[Milled_t],tblPlant[Date],$A294,tblPlant[Head_Grade_gpt],"&lt;&gt;")</f>
        <v/>
      </c>
      <c r="DH294" s="55">
        <f>IF($B294=$B293,$DH293,0)+$DG294</f>
        <v/>
      </c>
      <c r="DI294" s="55">
        <f>$DI293+$DG294</f>
        <v/>
      </c>
      <c r="DJ294" s="55">
        <f>SUMIFS(tblPlant[Milled_t],tblPlant[Date],$A294,tblPlant[Tails_Grade_gpt],"&lt;&gt;")</f>
        <v/>
      </c>
      <c r="DK294" s="55">
        <f>IF($B294=$B293,$DK293,0)+$DJ294</f>
        <v/>
      </c>
      <c r="DL294" s="55">
        <f>$DL293+$DJ294</f>
        <v/>
      </c>
      <c r="DM294" s="55">
        <f>SUMIFS(tblPlant[Feed_oz],tblPlant[Date],$A294,tblPlant[Tails_Grade_gpt],"&lt;&gt;")</f>
        <v/>
      </c>
      <c r="DN294" s="55">
        <f>IF($B294=$B293,$DN293,0)+$DM294</f>
        <v/>
      </c>
      <c r="DO294" s="55">
        <f>$DO293+$DM294</f>
        <v/>
      </c>
      <c r="DP294" s="55">
        <f>SUMIFS(tblPlant[Milled_t],tblPlant[Date],$A294,tblPlant[Mill_Run_h],"&lt;&gt;")</f>
        <v/>
      </c>
      <c r="DQ294" s="55">
        <f>IF($B294=$B293,$DQ293,0)+$DP294</f>
        <v/>
      </c>
      <c r="DR294" s="55">
        <f>$DR293+$DP294</f>
        <v/>
      </c>
      <c r="DS294" s="56">
        <f>IFERROR(IF(($DG294)&gt;0,($CX294*cfg_TroyOz)/($DG294),""),"")</f>
        <v/>
      </c>
      <c r="DT294" s="56">
        <f>IFERROR(IF(($DH294)&gt;0,($CY294*cfg_TroyOz)/($DH294),""),"")</f>
        <v/>
      </c>
      <c r="DU294" s="56">
        <f>IFERROR(IF(($DI294)&gt;0,($CZ294*cfg_TroyOz)/($DI294),""),"")</f>
        <v/>
      </c>
      <c r="DV294" s="56">
        <f>IFERROR(IF(($DJ294)&gt;0,($DA294*cfg_TroyOz)/($DJ294),""),"")</f>
        <v/>
      </c>
      <c r="DW294" s="56">
        <f>IFERROR(IF(($DK294)&gt;0,($DB294*cfg_TroyOz)/($DK294),""),"")</f>
        <v/>
      </c>
      <c r="DX294" s="56">
        <f>IFERROR(IF(($DL294)&gt;0,($DC294*cfg_TroyOz)/($DL294),""),"")</f>
        <v/>
      </c>
      <c r="DY294" s="67">
        <f>IFERROR(IF(($DM294)&gt;0,($DD294)/($DM294),""),"")</f>
        <v/>
      </c>
      <c r="DZ294" s="67">
        <f>IFERROR(IF(($DN294)&gt;0,($DE294)/($DN294),""),"")</f>
        <v/>
      </c>
      <c r="EA294" s="67">
        <f>IFERROR(IF(($DO294)&gt;0,($DF294)/($DO294),""),"")</f>
        <v/>
      </c>
      <c r="EB294" s="55">
        <f>SUMIFS(tblPlant[Gravity_Gold_oz],tblPlant[Date],$A294)</f>
        <v/>
      </c>
      <c r="EC294" s="55">
        <f>IF($B294=$B293,$EC293,0)+$EB294</f>
        <v/>
      </c>
      <c r="ED294" s="55">
        <f>$ED293+$EB294</f>
        <v/>
      </c>
      <c r="EE294" s="67">
        <f>IFERROR(IF(($DD294)&gt;0,($EB294)/($DD294),""),"")</f>
        <v/>
      </c>
      <c r="EF294" s="67">
        <f>IFERROR(IF(($DE294)&gt;0,($EC294)/($DE294),""),"")</f>
        <v/>
      </c>
      <c r="EG294" s="67">
        <f>IFERROR(IF(($DF294)&gt;0,($ED294)/($DF294),""),"")</f>
        <v/>
      </c>
      <c r="EH294" s="55">
        <f>SUMIFS(tblPlant[Gold_Poured_oz],tblPlant[Date],$A294)</f>
        <v/>
      </c>
      <c r="EI294" s="55">
        <f>IF($B294=$B293,$EI293,0)+$EH294</f>
        <v/>
      </c>
      <c r="EJ294" s="55">
        <f>$EJ293+$EH294</f>
        <v/>
      </c>
      <c r="EK294" s="57">
        <f>SUMIFS(tblPlant[Mill_Run_h],tblPlant[Date],$A294)</f>
        <v/>
      </c>
      <c r="EL294" s="57">
        <f>IF($B294=$B293,$EL293,0)+$EK294</f>
        <v/>
      </c>
      <c r="EM294" s="57">
        <f>$EM293+$EK294</f>
        <v/>
      </c>
      <c r="EN294" s="57">
        <f>SUMIFS(tblPlant[Mill_Planned_Maint_h],tblPlant[Date],$A294)</f>
        <v/>
      </c>
      <c r="EO294" s="57">
        <f>IF($B294=$B293,$EO293,0)+$EN294</f>
        <v/>
      </c>
      <c r="EP294" s="57">
        <f>$EP293+$EN294</f>
        <v/>
      </c>
      <c r="EQ294" s="57">
        <f>SUMIFS(tblPlant[Mill_Unplanned_Down_h],tblPlant[Date],$A294)</f>
        <v/>
      </c>
      <c r="ER294" s="57">
        <f>IF($B294=$B293,$ER293,0)+$EQ294</f>
        <v/>
      </c>
      <c r="ES294" s="57">
        <f>$ES293+$EQ294</f>
        <v/>
      </c>
      <c r="ET294" s="57">
        <f>IF(COUNTIFS(tblPlant[Date],$A294,tblPlant[Mill_Run_h],"&lt;&gt;")+COUNTIFS(tblPlant[Date],$A294,tblPlant[Mill_Planned_Maint_h],"&lt;&gt;")+COUNTIFS(tblPlant[Date],$A294,tblPlant[Mill_Unplanned_Down_h],"&lt;&gt;")&gt;0,cfg_HoursPerDay,0)</f>
        <v/>
      </c>
      <c r="EU294" s="57">
        <f>IF($B294=$B293,$EU293,0)+$ET294</f>
        <v/>
      </c>
      <c r="EV294" s="57">
        <f>$EV293+$ET294</f>
        <v/>
      </c>
      <c r="EW294" s="57">
        <f>SUMIFS(tblPlant[Crusher_Run_h],tblPlant[Date],$A294)</f>
        <v/>
      </c>
      <c r="EX294" s="57">
        <f>IF($B294=$B293,$EX293,0)+$EW294</f>
        <v/>
      </c>
      <c r="EY294" s="57">
        <f>$EY293+$EW294</f>
        <v/>
      </c>
      <c r="EZ294" s="55">
        <f>IFERROR(IF(($EK294)&gt;0,($DP294)/($EK294),""),"")</f>
        <v/>
      </c>
      <c r="FA294" s="55">
        <f>IFERROR(IF(($EL294)&gt;0,($DQ294)/($EL294),""),"")</f>
        <v/>
      </c>
      <c r="FB294" s="55">
        <f>IFERROR(IF(($EM294)&gt;0,($DR294)/($EM294),""),"")</f>
        <v/>
      </c>
      <c r="FC294" s="67">
        <f>IFERROR(IF(($ET294)&gt;0,($ET294-$EN294-$EQ294)/($ET294),""),"")</f>
        <v/>
      </c>
      <c r="FD294" s="67">
        <f>IFERROR(IF(($EU294)&gt;0,($EU294-$EO294-$ER294)/($EU294),""),"")</f>
        <v/>
      </c>
      <c r="FE294" s="67">
        <f>IFERROR(IF(($EV294)&gt;0,($EV294-$EP294-$ES294)/($EV294),""),"")</f>
        <v/>
      </c>
      <c r="FF294" s="67">
        <f>IFERROR(IF(($ET294-$EN294-$EQ294)&gt;0,($EK294)/($ET294-$EN294-$EQ294),""),"")</f>
        <v/>
      </c>
      <c r="FG294" s="67">
        <f>IFERROR(IF(($EU294-$EO294-$ER294)&gt;0,($EL294)/($EU294-$EO294-$ER294),""),"")</f>
        <v/>
      </c>
      <c r="FH294" s="67">
        <f>IFERROR(IF(($EV294-$EP294-$ES294)&gt;0,($EM294)/($EV294-$EP294-$ES294),""),"")</f>
        <v/>
      </c>
      <c r="FI294" s="55">
        <f>SUMIFS(tblPlant[Cyanide_kg],tblPlant[Date],$A294)</f>
        <v/>
      </c>
      <c r="FJ294" s="55">
        <f>IF($B294=$B293,$FJ293,0)+$FI294</f>
        <v/>
      </c>
      <c r="FK294" s="55">
        <f>$FK293+$FI294</f>
        <v/>
      </c>
      <c r="FL294" s="55">
        <f>SUMIFS(tblPlant[Lime_kg],tblPlant[Date],$A294)</f>
        <v/>
      </c>
      <c r="FM294" s="55">
        <f>IF($B294=$B293,$FM293,0)+$FL294</f>
        <v/>
      </c>
      <c r="FN294" s="55">
        <f>$FN293+$FL294</f>
        <v/>
      </c>
      <c r="FO294" s="55">
        <f>SUMIFS(tblPlant[Grinding_Media_kg],tblPlant[Date],$A294)</f>
        <v/>
      </c>
      <c r="FP294" s="55">
        <f>IF($B294=$B293,$FP293,0)+$FO294</f>
        <v/>
      </c>
      <c r="FQ294" s="55">
        <f>$FQ293+$FO294</f>
        <v/>
      </c>
      <c r="FR294" s="55">
        <f>SUMIFS(tblPlant[Power_kWh],tblPlant[Date],$A294)</f>
        <v/>
      </c>
      <c r="FS294" s="55">
        <f>IF($B294=$B293,$FS293,0)+$FR294</f>
        <v/>
      </c>
      <c r="FT294" s="55">
        <f>$FT293+$FR294</f>
        <v/>
      </c>
      <c r="FU294" s="55">
        <f>SUMIFS(tblPlant[Raw_Water_m3],tblPlant[Date],$A294)</f>
        <v/>
      </c>
      <c r="FV294" s="55">
        <f>IF($B294=$B293,$FV293,0)+$FU294</f>
        <v/>
      </c>
      <c r="FW294" s="55">
        <f>$FW293+$FU294</f>
        <v/>
      </c>
      <c r="FX294" s="56">
        <f>IFERROR(IF(($CU294)&gt;0,($FI294)/($CU294),""),"")</f>
        <v/>
      </c>
      <c r="FY294" s="56">
        <f>IFERROR(IF(($CV294)&gt;0,($FJ294)/($CV294),""),"")</f>
        <v/>
      </c>
      <c r="FZ294" s="56">
        <f>IFERROR(IF(($CW294)&gt;0,($FK294)/($CW294),""),"")</f>
        <v/>
      </c>
      <c r="GA294" s="56">
        <f>IFERROR(IF(($CU294)&gt;0,($FL294)/($CU294),""),"")</f>
        <v/>
      </c>
      <c r="GB294" s="56">
        <f>IFERROR(IF(($CV294)&gt;0,($FM294)/($CV294),""),"")</f>
        <v/>
      </c>
      <c r="GC294" s="56">
        <f>IFERROR(IF(($CW294)&gt;0,($FN294)/($CW294),""),"")</f>
        <v/>
      </c>
      <c r="GD294" s="56">
        <f>IFERROR(IF(($CU294)&gt;0,($FO294)/($CU294),""),"")</f>
        <v/>
      </c>
      <c r="GE294" s="56">
        <f>IFERROR(IF(($CV294)&gt;0,($FP294)/($CV294),""),"")</f>
        <v/>
      </c>
      <c r="GF294" s="56">
        <f>IFERROR(IF(($CW294)&gt;0,($FQ294)/($CW294),""),"")</f>
        <v/>
      </c>
      <c r="GG294" s="79">
        <f>IFERROR(IF(($CU294)&gt;0,($FR294)/($CU294),""),"")</f>
        <v/>
      </c>
      <c r="GH294" s="79">
        <f>IFERROR(IF(($CV294)&gt;0,($FS294)/($CV294),""),"")</f>
        <v/>
      </c>
      <c r="GI294" s="79">
        <f>IFERROR(IF(($CW294)&gt;0,($FT294)/($CW294),""),"")</f>
        <v/>
      </c>
      <c r="GJ294" s="56">
        <f>IFERROR(IF(($CU294)&gt;0,($FU294)/($CU294),""),"")</f>
        <v/>
      </c>
      <c r="GK294" s="56">
        <f>IFERROR(IF(($CV294)&gt;0,($FV294)/($CV294),""),"")</f>
        <v/>
      </c>
      <c r="GL294" s="56">
        <f>IFERROR(IF(($CW294)&gt;0,($FW294)/($CW294),""),"")</f>
        <v/>
      </c>
      <c r="GM294" s="55">
        <f>IF(SUMIFS(tblPlant[GIC_oz],tblPlant[Date],$A294)&gt;0,SUMIFS(tblPlant[GIC_oz],tblPlant[Date],$A294),"")</f>
        <v/>
      </c>
      <c r="GN294" s="55">
        <f>SUMIFS(tblGold[Gold_oz],tblGold[Date],$A294,tblGold[Type],"Shipment")</f>
        <v/>
      </c>
      <c r="GO294" s="55">
        <f>IF($B294=$B293,$GO293,0)+$GN294</f>
        <v/>
      </c>
      <c r="GP294" s="55">
        <f>$GP293+$GN294</f>
        <v/>
      </c>
      <c r="GQ294" s="55">
        <f>SUMIFS(tblGold[Gold_oz],tblGold[Date],$A294,tblGold[Type],"Sale")</f>
        <v/>
      </c>
      <c r="GR294" s="55">
        <f>IF($B294=$B293,$GR293,0)+$GQ294</f>
        <v/>
      </c>
      <c r="GS294" s="55">
        <f>$GS293+$GQ294</f>
        <v/>
      </c>
      <c r="GT294" s="55">
        <f>SUMIFS(tblGold[Dore_kg],tblGold[Date],$A294,tblGold[Type],"Shipment")</f>
        <v/>
      </c>
      <c r="GU294" s="55">
        <f>IF($B294=$B293,$GU293,0)+$GT294</f>
        <v/>
      </c>
      <c r="GV294" s="55">
        <f>$GV293+$GT294</f>
        <v/>
      </c>
      <c r="GW294" s="57">
        <f>SUMIFS(tblSafety[Hours_Total],tblSafety[Date],$A294)</f>
        <v/>
      </c>
      <c r="GX294" s="57">
        <f>IF($B294=$B293,$GX293,0)+$GW294</f>
        <v/>
      </c>
      <c r="GY294" s="57">
        <f>$GY293+$GW294</f>
        <v/>
      </c>
      <c r="GZ294" s="62">
        <f>SUMIFS(tblSafety[Fatality],tblSafety[Date],$A294)</f>
        <v/>
      </c>
      <c r="HA294" s="62">
        <f>IF($B294=$B293,$HA293,0)+$GZ294</f>
        <v/>
      </c>
      <c r="HB294" s="62">
        <f>$HB293+$GZ294</f>
        <v/>
      </c>
      <c r="HC294" s="62">
        <f>SUMIFS(tblSafety[LTI],tblSafety[Date],$A294)</f>
        <v/>
      </c>
      <c r="HD294" s="62">
        <f>IF($B294=$B293,$HD293,0)+$HC294</f>
        <v/>
      </c>
      <c r="HE294" s="62">
        <f>$HE293+$HC294</f>
        <v/>
      </c>
      <c r="HF294" s="62">
        <f>SUMIFS(tblSafety[RWI],tblSafety[Date],$A294)</f>
        <v/>
      </c>
      <c r="HG294" s="62">
        <f>IF($B294=$B293,$HG293,0)+$HF294</f>
        <v/>
      </c>
      <c r="HH294" s="62">
        <f>$HH293+$HF294</f>
        <v/>
      </c>
      <c r="HI294" s="62">
        <f>SUMIFS(tblSafety[MTI],tblSafety[Date],$A294)</f>
        <v/>
      </c>
      <c r="HJ294" s="62">
        <f>IF($B294=$B293,$HJ293,0)+$HI294</f>
        <v/>
      </c>
      <c r="HK294" s="62">
        <f>$HK293+$HI294</f>
        <v/>
      </c>
      <c r="HL294" s="62">
        <f>SUMIFS(tblSafety[FAI],tblSafety[Date],$A294)</f>
        <v/>
      </c>
      <c r="HM294" s="62">
        <f>IF($B294=$B293,$HM293,0)+$HL294</f>
        <v/>
      </c>
      <c r="HN294" s="62">
        <f>$HN293+$HL294</f>
        <v/>
      </c>
      <c r="HO294" s="62">
        <f>SUMIFS(tblSafety[Recordables],tblSafety[Date],$A294)</f>
        <v/>
      </c>
      <c r="HP294" s="62">
        <f>IF($B294=$B293,$HP293,0)+$HO294</f>
        <v/>
      </c>
      <c r="HQ294" s="62">
        <f>$HQ293+$HO294</f>
        <v/>
      </c>
      <c r="HR294" s="62">
        <f>SUMIFS(tblSafety[Near_Miss],tblSafety[Date],$A294)</f>
        <v/>
      </c>
      <c r="HS294" s="62">
        <f>IF($B294=$B293,$HS293,0)+$HR294</f>
        <v/>
      </c>
      <c r="HT294" s="62">
        <f>$HT293+$HR294</f>
        <v/>
      </c>
      <c r="HU294" s="62">
        <f>SUMIFS(tblSafety[Hazard_Reports],tblSafety[Date],$A294)</f>
        <v/>
      </c>
      <c r="HV294" s="62">
        <f>IF($B294=$B293,$HV293,0)+$HU294</f>
        <v/>
      </c>
      <c r="HW294" s="62">
        <f>$HW293+$HU294</f>
        <v/>
      </c>
      <c r="HX294" s="62">
        <f>SUMIFS(tblSafety[HPI],tblSafety[Date],$A294)</f>
        <v/>
      </c>
      <c r="HY294" s="62">
        <f>IF($B294=$B293,$HY293,0)+$HX294</f>
        <v/>
      </c>
      <c r="HZ294" s="62">
        <f>$HZ293+$HX294</f>
        <v/>
      </c>
      <c r="IA294" s="62">
        <f>SUMIFS(tblSafety[Env_Incidents],tblSafety[Date],$A294)</f>
        <v/>
      </c>
      <c r="IB294" s="62">
        <f>IF($B294=$B293,$IB293,0)+$IA294</f>
        <v/>
      </c>
      <c r="IC294" s="62">
        <f>$IC293+$IA294</f>
        <v/>
      </c>
      <c r="ID294" s="62">
        <f>SUMIFS(tblSafety[Community_Incidents],tblSafety[Date],$A294)</f>
        <v/>
      </c>
      <c r="IE294" s="62">
        <f>IF($B294=$B293,$IE293,0)+$ID294</f>
        <v/>
      </c>
      <c r="IF294" s="62">
        <f>$IF293+$ID294</f>
        <v/>
      </c>
      <c r="IG294" s="62">
        <f>SUMIFS(tblSafety[Vehicle_Incidents],tblSafety[Date],$A294)</f>
        <v/>
      </c>
      <c r="IH294" s="62">
        <f>IF($B294=$B293,$IH293,0)+$IG294</f>
        <v/>
      </c>
      <c r="II294" s="62">
        <f>$II293+$IG294</f>
        <v/>
      </c>
      <c r="IJ294" s="62">
        <f>SUMIFS(tblSafety[Toolbox_Talks],tblSafety[Date],$A294)</f>
        <v/>
      </c>
      <c r="IK294" s="62">
        <f>IF($B294=$B293,$IK293,0)+$IJ294</f>
        <v/>
      </c>
      <c r="IL294" s="62">
        <f>$IL293+$IJ294</f>
        <v/>
      </c>
      <c r="IM294" s="62">
        <f>SUMIFS(tblSafety[Inspections],tblSafety[Date],$A294)</f>
        <v/>
      </c>
      <c r="IN294" s="62">
        <f>IF($B294=$B293,$IN293,0)+$IM294</f>
        <v/>
      </c>
      <c r="IO294" s="62">
        <f>$IO293+$IM294</f>
        <v/>
      </c>
      <c r="IP294" s="56">
        <f>IFERROR((SUMIFS(tblSafety[Recordables],tblSafety[Date],"&gt;="&amp;EDATE($E294,-12),tblSafety[Date],"&lt;="&amp;$A294)+SUMIFS(tblSafetyHistory[Recordables],tblSafetyHistory[Month],"&gt;="&amp;EDATE($E294,-12),tblSafetyHistory[Month],"&lt;"&amp;$E294,tblSafetyHistory[Use],1))/(SUMIFS(tblSafety[Hours_Total],tblSafety[Date],"&gt;="&amp;EDATE($E294,-12),tblSafety[Date],"&lt;="&amp;$A294)+SUMIFS(tblSafetyHistory[Hours_Total],tblSafetyHistory[Month],"&gt;="&amp;EDATE($E294,-12),tblSafetyHistory[Month],"&lt;"&amp;$E294,tblSafetyHistory[Use],1))*cfg_RateBasisHours,"")</f>
        <v/>
      </c>
      <c r="IQ294" s="56">
        <f>IFERROR((SUMIFS(tblSafety[LTI],tblSafety[Date],"&gt;="&amp;EDATE($E294,-12),tblSafety[Date],"&lt;="&amp;$A294)+SUMIFS(tblSafetyHistory[LTI],tblSafetyHistory[Month],"&gt;="&amp;EDATE($E294,-12),tblSafetyHistory[Month],"&lt;"&amp;$E294,tblSafetyHistory[Use],1))/(SUMIFS(tblSafety[Hours_Total],tblSafety[Date],"&gt;="&amp;EDATE($E294,-12),tblSafety[Date],"&lt;="&amp;$A294)+SUMIFS(tblSafetyHistory[Hours_Total],tblSafetyHistory[Month],"&gt;="&amp;EDATE($E294,-12),tblSafetyHistory[Month],"&lt;"&amp;$E294,tblSafetyHistory[Use],1))*cfg_RateBasisHours,"")</f>
        <v/>
      </c>
      <c r="IR294" s="62">
        <f>IF(MAX(N(cfg_PriorLTIDate),_xlfn.MAXIFS(tblSafety[Date],tblSafety[LTI],"&gt;0",tblSafety[Date],"&lt;="&amp;$A294))=0,"",$A294-MAX(N(cfg_PriorLTIDate),_xlfn.MAXIFS(tblSafety[Date],tblSafety[LTI],"&gt;0",tblSafety[Date],"&lt;="&amp;$A294)))</f>
        <v/>
      </c>
      <c r="IS294" s="55">
        <f>SUMIFS(tblBudget[Ore_Mined_t],tblBudget[Month],$E294)</f>
        <v/>
      </c>
      <c r="IT294" s="55">
        <f>$IS294*$C294/$D294</f>
        <v/>
      </c>
      <c r="IU294" s="55">
        <f>SUMIFS(tblBudget[Ore_Mined_t],tblBudget[Month],"&lt;"&amp;$E294)+$IT294</f>
        <v/>
      </c>
      <c r="IV294" s="55">
        <f>SUMIFS(tblBudget[Ore_oz],tblBudget[Month],$E294)</f>
        <v/>
      </c>
      <c r="IW294" s="55">
        <f>$IV294*$C294/$D294</f>
        <v/>
      </c>
      <c r="IX294" s="55">
        <f>SUMIFS(tblBudget[Ore_oz],tblBudget[Month],"&lt;"&amp;$E294)+$IW294</f>
        <v/>
      </c>
      <c r="IY294" s="55">
        <f>SUMIFS(tblBudget[Ore_Mined_t],tblBudget[Month],$E294)</f>
        <v/>
      </c>
      <c r="IZ294" s="55">
        <f>$IY294*$C294/$D294</f>
        <v/>
      </c>
      <c r="JA294" s="55">
        <f>SUMIFS(tblBudget[Ore_Mined_t],tblBudget[Month],"&lt;"&amp;$E294)+$IZ294</f>
        <v/>
      </c>
      <c r="JB294" s="56">
        <f>IFERROR(IF(($IY294)&gt;0,($IV294*cfg_TroyOz)/($IY294),""),"")</f>
        <v/>
      </c>
      <c r="JC294" s="56">
        <f>IFERROR(IF(($IZ294)&gt;0,($IW294*cfg_TroyOz)/($IZ294),""),"")</f>
        <v/>
      </c>
      <c r="JD294" s="56">
        <f>IFERROR(IF(($JA294)&gt;0,($IX294*cfg_TroyOz)/($JA294),""),"")</f>
        <v/>
      </c>
      <c r="JE294" s="55">
        <f>SUMIFS(tblBudget[Waste_t],tblBudget[Month],$E294)</f>
        <v/>
      </c>
      <c r="JF294" s="55">
        <f>$JE294*$C294/$D294</f>
        <v/>
      </c>
      <c r="JG294" s="55">
        <f>SUMIFS(tblBudget[Waste_t],tblBudget[Month],"&lt;"&amp;$E294)+$JF294</f>
        <v/>
      </c>
      <c r="JH294" s="55">
        <f>SUMIFS(tblBudget[TMM_t],tblBudget[Month],$E294)</f>
        <v/>
      </c>
      <c r="JI294" s="55">
        <f>$JH294*$C294/$D294</f>
        <v/>
      </c>
      <c r="JJ294" s="55">
        <f>SUMIFS(tblBudget[TMM_t],tblBudget[Month],"&lt;"&amp;$E294)+$JI294</f>
        <v/>
      </c>
      <c r="JK294" s="56">
        <f>IFERROR(IF(($IS294)&gt;0,($JE294)/($IS294),""),"")</f>
        <v/>
      </c>
      <c r="JL294" s="56">
        <f>IFERROR(IF(($IT294)&gt;0,($JF294)/($IT294),""),"")</f>
        <v/>
      </c>
      <c r="JM294" s="56">
        <f>IFERROR(IF(($IU294)&gt;0,($JG294)/($IU294),""),"")</f>
        <v/>
      </c>
      <c r="JN294" s="55">
        <f>SUMIFS(tblBudget[Drill_m],tblBudget[Month],$E294)</f>
        <v/>
      </c>
      <c r="JO294" s="55">
        <f>$JN294*$C294/$D294</f>
        <v/>
      </c>
      <c r="JP294" s="55">
        <f>SUMIFS(tblBudget[Drill_m],tblBudget[Month],"&lt;"&amp;$E294)+$JO294</f>
        <v/>
      </c>
      <c r="JQ294" s="55">
        <f>SUMIFS(tblBudget[Diesel_L],tblBudget[Month],$E294)</f>
        <v/>
      </c>
      <c r="JR294" s="55">
        <f>$JQ294*$C294/$D294</f>
        <v/>
      </c>
      <c r="JS294" s="55">
        <f>SUMIFS(tblBudget[Diesel_L],tblBudget[Month],"&lt;"&amp;$E294)+$JR294</f>
        <v/>
      </c>
      <c r="JT294" s="55">
        <f>SUMIFS(tblBudget[Milled_t],tblBudget[Month],$E294)</f>
        <v/>
      </c>
      <c r="JU294" s="55">
        <f>$JT294*$C294/$D294</f>
        <v/>
      </c>
      <c r="JV294" s="55">
        <f>SUMIFS(tblBudget[Milled_t],tblBudget[Month],"&lt;"&amp;$E294)+$JU294</f>
        <v/>
      </c>
      <c r="JW294" s="55">
        <f>SUMIFS(tblBudget[Feed_oz],tblBudget[Month],$E294)</f>
        <v/>
      </c>
      <c r="JX294" s="55">
        <f>$JW294*$C294/$D294</f>
        <v/>
      </c>
      <c r="JY294" s="55">
        <f>SUMIFS(tblBudget[Feed_oz],tblBudget[Month],"&lt;"&amp;$E294)+$JX294</f>
        <v/>
      </c>
      <c r="JZ294" s="55">
        <f>SUMIFS(tblBudget[Recovered_oz],tblBudget[Month],$E294)</f>
        <v/>
      </c>
      <c r="KA294" s="55">
        <f>$JZ294*$C294/$D294</f>
        <v/>
      </c>
      <c r="KB294" s="55">
        <f>SUMIFS(tblBudget[Recovered_oz],tblBudget[Month],"&lt;"&amp;$E294)+$KA294</f>
        <v/>
      </c>
      <c r="KC294" s="55">
        <f>SUMIFS(tblBudget[Milled_t],tblBudget[Month],$E294)</f>
        <v/>
      </c>
      <c r="KD294" s="55">
        <f>$KC294*$C294/$D294</f>
        <v/>
      </c>
      <c r="KE294" s="55">
        <f>SUMIFS(tblBudget[Milled_t],tblBudget[Month],"&lt;"&amp;$E294)+$KD294</f>
        <v/>
      </c>
      <c r="KF294" s="55">
        <f>SUMIFS(tblBudget[Feed_oz],tblBudget[Month],$E294)</f>
        <v/>
      </c>
      <c r="KG294" s="55">
        <f>$KF294*$C294/$D294</f>
        <v/>
      </c>
      <c r="KH294" s="55">
        <f>SUMIFS(tblBudget[Feed_oz],tblBudget[Month],"&lt;"&amp;$E294)+$KG294</f>
        <v/>
      </c>
      <c r="KI294" s="56">
        <f>IFERROR(IF(($KC294)&gt;0,($JW294*cfg_TroyOz)/($KC294),""),"")</f>
        <v/>
      </c>
      <c r="KJ294" s="56">
        <f>IFERROR(IF(($KD294)&gt;0,($JX294*cfg_TroyOz)/($KD294),""),"")</f>
        <v/>
      </c>
      <c r="KK294" s="56">
        <f>IFERROR(IF(($KE294)&gt;0,($JY294*cfg_TroyOz)/($KE294),""),"")</f>
        <v/>
      </c>
      <c r="KL294" s="67">
        <f>IFERROR(IF(($KF294)&gt;0,($JZ294)/($KF294),""),"")</f>
        <v/>
      </c>
      <c r="KM294" s="67">
        <f>IFERROR(IF(($KG294)&gt;0,($KA294)/($KG294),""),"")</f>
        <v/>
      </c>
      <c r="KN294" s="67">
        <f>IFERROR(IF(($KH294)&gt;0,($KB294)/($KH294),""),"")</f>
        <v/>
      </c>
      <c r="KO294" s="55">
        <f>SUMIFS(tblBudget[Gold_Poured_oz],tblBudget[Month],$E294)</f>
        <v/>
      </c>
      <c r="KP294" s="55">
        <f>$KO294*$C294/$D294</f>
        <v/>
      </c>
      <c r="KQ294" s="55">
        <f>SUMIFS(tblBudget[Gold_Poured_oz],tblBudget[Month],"&lt;"&amp;$E294)+$KP294</f>
        <v/>
      </c>
      <c r="KR294" s="57">
        <f>SUMIFS(tblBudget[Hours_Worked],tblBudget[Month],$E294)</f>
        <v/>
      </c>
      <c r="KS294" s="57">
        <f>$KR294*$C294/$D294</f>
        <v/>
      </c>
      <c r="KT294" s="57">
        <f>SUMIFS(tblBudget[Hours_Worked],tblBudget[Month],"&lt;"&amp;$E294)+$KS294</f>
        <v/>
      </c>
    </row>
    <row r="295">
      <c r="A295" s="54" t="n">
        <v>46316</v>
      </c>
      <c r="B295">
        <f>MONTH($A295)</f>
        <v/>
      </c>
      <c r="C295">
        <f>DAY($A295)</f>
        <v/>
      </c>
      <c r="D295">
        <f>DAY(EOMONTH($A295,0))</f>
        <v/>
      </c>
      <c r="E295" s="54">
        <f>DATE(YEAR($A295),MONTH($A295),1)</f>
        <v/>
      </c>
      <c r="F295" s="55">
        <f>SUMIFS(tblMovement[Tonnes_t],tblMovement[Date],$A295,tblMovement[Is_Ore],1,tblMovement[Source_Type],"Pit")</f>
        <v/>
      </c>
      <c r="G295" s="55">
        <f>IF($B295=$B294,$G294,0)+$F295</f>
        <v/>
      </c>
      <c r="H295" s="55">
        <f>$H294+$F295</f>
        <v/>
      </c>
      <c r="I295" s="55">
        <f>SUMIFS(tblMovement[Ore_oz],tblMovement[Date],$A295,tblMovement[Source_Type],"Pit")</f>
        <v/>
      </c>
      <c r="J295" s="55">
        <f>IF($B295=$B294,$J294,0)+$I295</f>
        <v/>
      </c>
      <c r="K295" s="55">
        <f>$K294+$I295</f>
        <v/>
      </c>
      <c r="L295" s="55">
        <f>SUMIFS(tblMovement[Tonnes_t],tblMovement[Date],$A295,tblMovement[Is_Ore],1,tblMovement[Source_Type],"Pit",tblMovement[Grade_gpt],"&lt;&gt;")</f>
        <v/>
      </c>
      <c r="M295" s="55">
        <f>IF($B295=$B294,$M294,0)+$L295</f>
        <v/>
      </c>
      <c r="N295" s="55">
        <f>$N294+$L295</f>
        <v/>
      </c>
      <c r="O295" s="56">
        <f>IFERROR(IF(($L295)&gt;0,($I295*cfg_TroyOz)/($L295),""),"")</f>
        <v/>
      </c>
      <c r="P295" s="56">
        <f>IFERROR(IF(($M295)&gt;0,($J295*cfg_TroyOz)/($M295),""),"")</f>
        <v/>
      </c>
      <c r="Q295" s="56">
        <f>IFERROR(IF(($N295)&gt;0,($K295*cfg_TroyOz)/($N295),""),"")</f>
        <v/>
      </c>
      <c r="R295" s="55">
        <f>$F295-$L295</f>
        <v/>
      </c>
      <c r="S295" s="55">
        <f>IF($B295=$B294,$S294,0)+$R295</f>
        <v/>
      </c>
      <c r="T295" s="55">
        <f>$T294+$R295</f>
        <v/>
      </c>
      <c r="U295" s="55">
        <f>SUMIFS(tblMovement[Tonnes_t],tblMovement[Date],$A295,tblMovement[Is_Ore],0,tblMovement[Source_Type],"Pit")</f>
        <v/>
      </c>
      <c r="V295" s="55">
        <f>IF($B295=$B294,$V294,0)+$U295</f>
        <v/>
      </c>
      <c r="W295" s="55">
        <f>$W294+$U295</f>
        <v/>
      </c>
      <c r="X295" s="55">
        <f>$F295+$U295</f>
        <v/>
      </c>
      <c r="Y295" s="55">
        <f>IF($B295=$B294,$Y294,0)+$X295</f>
        <v/>
      </c>
      <c r="Z295" s="55">
        <f>$Z294+$X295</f>
        <v/>
      </c>
      <c r="AA295" s="56">
        <f>IFERROR(IF(($F295)&gt;0,($U295)/($F295),""),"")</f>
        <v/>
      </c>
      <c r="AB295" s="56">
        <f>IFERROR(IF(($G295)&gt;0,($V295)/($G295),""),"")</f>
        <v/>
      </c>
      <c r="AC295" s="56">
        <f>IFERROR(IF(($H295)&gt;0,($W295)/($H295),""),"")</f>
        <v/>
      </c>
      <c r="AD295" s="55">
        <f>SUMIFS(tblMovement[Tonnes_t],tblMovement[Date],$A295,tblMovement[Source_Type],"Stockpile")</f>
        <v/>
      </c>
      <c r="AE295" s="55">
        <f>IF($B295=$B294,$AE294,0)+$AD295</f>
        <v/>
      </c>
      <c r="AF295" s="55">
        <f>$AF294+$AD295</f>
        <v/>
      </c>
      <c r="AG295" s="55">
        <f>SUMIFS(tblMovement[Tonnes_t],tblMovement[Date],$A295)</f>
        <v/>
      </c>
      <c r="AH295" s="55">
        <f>IF($B295=$B294,$AH294,0)+$AG295</f>
        <v/>
      </c>
      <c r="AI295" s="55">
        <f>$AI294+$AG295</f>
        <v/>
      </c>
      <c r="AJ295" s="55">
        <f>$AG295-$X295-$AD295</f>
        <v/>
      </c>
      <c r="AK295" s="55">
        <f>IF($B295=$B294,$AK294,0)+$AJ295</f>
        <v/>
      </c>
      <c r="AL295" s="55">
        <f>$AL294+$AJ295</f>
        <v/>
      </c>
      <c r="AM295" s="55">
        <f>SUMIFS(tblMiningDaily[Drill_m],tblMiningDaily[Date],$A295)</f>
        <v/>
      </c>
      <c r="AN295" s="55">
        <f>IF($B295=$B294,$AN294,0)+$AM295</f>
        <v/>
      </c>
      <c r="AO295" s="55">
        <f>$AO294+$AM295</f>
        <v/>
      </c>
      <c r="AP295" s="55">
        <f>SUMIFS(tblMiningDaily[GC_Drill_m],tblMiningDaily[Date],$A295)</f>
        <v/>
      </c>
      <c r="AQ295" s="55">
        <f>IF($B295=$B294,$AQ294,0)+$AP295</f>
        <v/>
      </c>
      <c r="AR295" s="55">
        <f>$AR294+$AP295</f>
        <v/>
      </c>
      <c r="AS295" s="55">
        <f>SUMIFS(tblMiningDaily[Blast_t],tblMiningDaily[Date],$A295)</f>
        <v/>
      </c>
      <c r="AT295" s="55">
        <f>IF($B295=$B294,$AT294,0)+$AS295</f>
        <v/>
      </c>
      <c r="AU295" s="55">
        <f>$AU294+$AS295</f>
        <v/>
      </c>
      <c r="AV295" s="55">
        <f>SUMIFS(tblMiningDaily[Explosives_kg],tblMiningDaily[Date],$A295)</f>
        <v/>
      </c>
      <c r="AW295" s="55">
        <f>IF($B295=$B294,$AW294,0)+$AV295</f>
        <v/>
      </c>
      <c r="AX295" s="55">
        <f>$AX294+$AV295</f>
        <v/>
      </c>
      <c r="AY295" s="56">
        <f>IFERROR(IF(($AS295)&gt;0,($AV295)/($AS295),""),"")</f>
        <v/>
      </c>
      <c r="AZ295" s="56">
        <f>IFERROR(IF(($AT295)&gt;0,($AW295)/($AT295),""),"")</f>
        <v/>
      </c>
      <c r="BA295" s="56">
        <f>IFERROR(IF(($AU295)&gt;0,($AX295)/($AU295),""),"")</f>
        <v/>
      </c>
      <c r="BB295" s="55">
        <f>SUMIFS(tblMiningDaily[Diesel_L],tblMiningDaily[Date],$A295)</f>
        <v/>
      </c>
      <c r="BC295" s="55">
        <f>IF($B295=$B294,$BC294,0)+$BB295</f>
        <v/>
      </c>
      <c r="BD295" s="55">
        <f>$BD294+$BB295</f>
        <v/>
      </c>
      <c r="BE295" s="55">
        <f>SUMIFS(tblMiningDaily[Dewatering_m3],tblMiningDaily[Date],$A295)</f>
        <v/>
      </c>
      <c r="BF295" s="55">
        <f>IF($B295=$B294,$BF294,0)+$BE295</f>
        <v/>
      </c>
      <c r="BG295" s="55">
        <f>$BG294+$BE295</f>
        <v/>
      </c>
      <c r="BH295" s="57">
        <f>SUMIFS(tblFleet[Calendar_h],tblFleet[Date],$A295,tblFleet[Equipment_Class],"Excavator")</f>
        <v/>
      </c>
      <c r="BI295" s="57">
        <f>IF($B295=$B294,$BI294,0)+$BH295</f>
        <v/>
      </c>
      <c r="BJ295" s="57">
        <f>$BJ294+$BH295</f>
        <v/>
      </c>
      <c r="BK295" s="57">
        <f>SUMIFS(tblFleet[Available_h],tblFleet[Date],$A295,tblFleet[Equipment_Class],"Excavator")</f>
        <v/>
      </c>
      <c r="BL295" s="57">
        <f>IF($B295=$B294,$BL294,0)+$BK295</f>
        <v/>
      </c>
      <c r="BM295" s="57">
        <f>$BM294+$BK295</f>
        <v/>
      </c>
      <c r="BN295" s="57">
        <f>SUMIFS(tblFleet[Operating_h],tblFleet[Date],$A295,tblFleet[Equipment_Class],"Excavator")</f>
        <v/>
      </c>
      <c r="BO295" s="57">
        <f>IF($B295=$B294,$BO294,0)+$BN295</f>
        <v/>
      </c>
      <c r="BP295" s="57">
        <f>$BP294+$BN295</f>
        <v/>
      </c>
      <c r="BQ295" s="67">
        <f>IFERROR(IF(($BH295)&gt;0,($BK295)/($BH295),""),"")</f>
        <v/>
      </c>
      <c r="BR295" s="67">
        <f>IFERROR(IF(($BI295)&gt;0,($BL295)/($BI295),""),"")</f>
        <v/>
      </c>
      <c r="BS295" s="67">
        <f>IFERROR(IF(($BJ295)&gt;0,($BM295)/($BJ295),""),"")</f>
        <v/>
      </c>
      <c r="BT295" s="67">
        <f>IFERROR(IF(($BK295)&gt;0,($BN295)/($BK295),""),"")</f>
        <v/>
      </c>
      <c r="BU295" s="67">
        <f>IFERROR(IF(($BL295)&gt;0,($BO295)/($BL295),""),"")</f>
        <v/>
      </c>
      <c r="BV295" s="67">
        <f>IFERROR(IF(($BM295)&gt;0,($BP295)/($BM295),""),"")</f>
        <v/>
      </c>
      <c r="BW295" s="57">
        <f>SUMIFS(tblFleet[Calendar_h],tblFleet[Date],$A295,tblFleet[Equipment_Class],"Haul Truck")</f>
        <v/>
      </c>
      <c r="BX295" s="57">
        <f>IF($B295=$B294,$BX294,0)+$BW295</f>
        <v/>
      </c>
      <c r="BY295" s="57">
        <f>$BY294+$BW295</f>
        <v/>
      </c>
      <c r="BZ295" s="57">
        <f>SUMIFS(tblFleet[Available_h],tblFleet[Date],$A295,tblFleet[Equipment_Class],"Haul Truck")</f>
        <v/>
      </c>
      <c r="CA295" s="57">
        <f>IF($B295=$B294,$CA294,0)+$BZ295</f>
        <v/>
      </c>
      <c r="CB295" s="57">
        <f>$CB294+$BZ295</f>
        <v/>
      </c>
      <c r="CC295" s="57">
        <f>SUMIFS(tblFleet[Operating_h],tblFleet[Date],$A295,tblFleet[Equipment_Class],"Haul Truck")</f>
        <v/>
      </c>
      <c r="CD295" s="57">
        <f>IF($B295=$B294,$CD294,0)+$CC295</f>
        <v/>
      </c>
      <c r="CE295" s="57">
        <f>$CE294+$CC295</f>
        <v/>
      </c>
      <c r="CF295" s="67">
        <f>IFERROR(IF(($BW295)&gt;0,($BZ295)/($BW295),""),"")</f>
        <v/>
      </c>
      <c r="CG295" s="67">
        <f>IFERROR(IF(($BX295)&gt;0,($CA295)/($BX295),""),"")</f>
        <v/>
      </c>
      <c r="CH295" s="67">
        <f>IFERROR(IF(($BY295)&gt;0,($CB295)/($BY295),""),"")</f>
        <v/>
      </c>
      <c r="CI295" s="67">
        <f>IFERROR(IF(($BZ295)&gt;0,($CC295)/($BZ295),""),"")</f>
        <v/>
      </c>
      <c r="CJ295" s="67">
        <f>IFERROR(IF(($CA295)&gt;0,($CD295)/($CA295),""),"")</f>
        <v/>
      </c>
      <c r="CK295" s="67">
        <f>IFERROR(IF(($CB295)&gt;0,($CE295)/($CB295),""),"")</f>
        <v/>
      </c>
      <c r="CL295" s="55">
        <f>IFERROR(IF(($BN295)&gt;0,($X295+$AD295)/($BN295),""),"")</f>
        <v/>
      </c>
      <c r="CM295" s="55">
        <f>IFERROR(IF(($BO295)&gt;0,($Y295+$AE295)/($BO295),""),"")</f>
        <v/>
      </c>
      <c r="CN295" s="55">
        <f>IFERROR(IF(($BP295)&gt;0,($Z295+$AF295)/($BP295),""),"")</f>
        <v/>
      </c>
      <c r="CO295" s="55">
        <f>IFERROR(IF(($CC295)&gt;0,($X295+$AD295)/($CC295),""),"")</f>
        <v/>
      </c>
      <c r="CP295" s="55">
        <f>IFERROR(IF(($CD295)&gt;0,($Y295+$AE295)/($CD295),""),"")</f>
        <v/>
      </c>
      <c r="CQ295" s="55">
        <f>IFERROR(IF(($CE295)&gt;0,($Z295+$AF295)/($CE295),""),"")</f>
        <v/>
      </c>
      <c r="CR295" s="55">
        <f>SUMIFS(tblPlant[Crushed_t],tblPlant[Date],$A295)</f>
        <v/>
      </c>
      <c r="CS295" s="55">
        <f>IF($B295=$B294,$CS294,0)+$CR295</f>
        <v/>
      </c>
      <c r="CT295" s="55">
        <f>$CT294+$CR295</f>
        <v/>
      </c>
      <c r="CU295" s="55">
        <f>SUMIFS(tblPlant[Milled_t],tblPlant[Date],$A295)</f>
        <v/>
      </c>
      <c r="CV295" s="55">
        <f>IF($B295=$B294,$CV294,0)+$CU295</f>
        <v/>
      </c>
      <c r="CW295" s="55">
        <f>$CW294+$CU295</f>
        <v/>
      </c>
      <c r="CX295" s="55">
        <f>SUMIFS(tblPlant[Feed_oz],tblPlant[Date],$A295)</f>
        <v/>
      </c>
      <c r="CY295" s="55">
        <f>IF($B295=$B294,$CY294,0)+$CX295</f>
        <v/>
      </c>
      <c r="CZ295" s="55">
        <f>$CZ294+$CX295</f>
        <v/>
      </c>
      <c r="DA295" s="55">
        <f>SUMIFS(tblPlant[Tails_oz],tblPlant[Date],$A295)</f>
        <v/>
      </c>
      <c r="DB295" s="55">
        <f>IF($B295=$B294,$DB294,0)+$DA295</f>
        <v/>
      </c>
      <c r="DC295" s="55">
        <f>$DC294+$DA295</f>
        <v/>
      </c>
      <c r="DD295" s="55">
        <f>SUMIFS(tblPlant[Recovered_oz],tblPlant[Date],$A295)</f>
        <v/>
      </c>
      <c r="DE295" s="55">
        <f>IF($B295=$B294,$DE294,0)+$DD295</f>
        <v/>
      </c>
      <c r="DF295" s="55">
        <f>$DF294+$DD295</f>
        <v/>
      </c>
      <c r="DG295" s="55">
        <f>SUMIFS(tblPlant[Milled_t],tblPlant[Date],$A295,tblPlant[Head_Grade_gpt],"&lt;&gt;")</f>
        <v/>
      </c>
      <c r="DH295" s="55">
        <f>IF($B295=$B294,$DH294,0)+$DG295</f>
        <v/>
      </c>
      <c r="DI295" s="55">
        <f>$DI294+$DG295</f>
        <v/>
      </c>
      <c r="DJ295" s="55">
        <f>SUMIFS(tblPlant[Milled_t],tblPlant[Date],$A295,tblPlant[Tails_Grade_gpt],"&lt;&gt;")</f>
        <v/>
      </c>
      <c r="DK295" s="55">
        <f>IF($B295=$B294,$DK294,0)+$DJ295</f>
        <v/>
      </c>
      <c r="DL295" s="55">
        <f>$DL294+$DJ295</f>
        <v/>
      </c>
      <c r="DM295" s="55">
        <f>SUMIFS(tblPlant[Feed_oz],tblPlant[Date],$A295,tblPlant[Tails_Grade_gpt],"&lt;&gt;")</f>
        <v/>
      </c>
      <c r="DN295" s="55">
        <f>IF($B295=$B294,$DN294,0)+$DM295</f>
        <v/>
      </c>
      <c r="DO295" s="55">
        <f>$DO294+$DM295</f>
        <v/>
      </c>
      <c r="DP295" s="55">
        <f>SUMIFS(tblPlant[Milled_t],tblPlant[Date],$A295,tblPlant[Mill_Run_h],"&lt;&gt;")</f>
        <v/>
      </c>
      <c r="DQ295" s="55">
        <f>IF($B295=$B294,$DQ294,0)+$DP295</f>
        <v/>
      </c>
      <c r="DR295" s="55">
        <f>$DR294+$DP295</f>
        <v/>
      </c>
      <c r="DS295" s="56">
        <f>IFERROR(IF(($DG295)&gt;0,($CX295*cfg_TroyOz)/($DG295),""),"")</f>
        <v/>
      </c>
      <c r="DT295" s="56">
        <f>IFERROR(IF(($DH295)&gt;0,($CY295*cfg_TroyOz)/($DH295),""),"")</f>
        <v/>
      </c>
      <c r="DU295" s="56">
        <f>IFERROR(IF(($DI295)&gt;0,($CZ295*cfg_TroyOz)/($DI295),""),"")</f>
        <v/>
      </c>
      <c r="DV295" s="56">
        <f>IFERROR(IF(($DJ295)&gt;0,($DA295*cfg_TroyOz)/($DJ295),""),"")</f>
        <v/>
      </c>
      <c r="DW295" s="56">
        <f>IFERROR(IF(($DK295)&gt;0,($DB295*cfg_TroyOz)/($DK295),""),"")</f>
        <v/>
      </c>
      <c r="DX295" s="56">
        <f>IFERROR(IF(($DL295)&gt;0,($DC295*cfg_TroyOz)/($DL295),""),"")</f>
        <v/>
      </c>
      <c r="DY295" s="67">
        <f>IFERROR(IF(($DM295)&gt;0,($DD295)/($DM295),""),"")</f>
        <v/>
      </c>
      <c r="DZ295" s="67">
        <f>IFERROR(IF(($DN295)&gt;0,($DE295)/($DN295),""),"")</f>
        <v/>
      </c>
      <c r="EA295" s="67">
        <f>IFERROR(IF(($DO295)&gt;0,($DF295)/($DO295),""),"")</f>
        <v/>
      </c>
      <c r="EB295" s="55">
        <f>SUMIFS(tblPlant[Gravity_Gold_oz],tblPlant[Date],$A295)</f>
        <v/>
      </c>
      <c r="EC295" s="55">
        <f>IF($B295=$B294,$EC294,0)+$EB295</f>
        <v/>
      </c>
      <c r="ED295" s="55">
        <f>$ED294+$EB295</f>
        <v/>
      </c>
      <c r="EE295" s="67">
        <f>IFERROR(IF(($DD295)&gt;0,($EB295)/($DD295),""),"")</f>
        <v/>
      </c>
      <c r="EF295" s="67">
        <f>IFERROR(IF(($DE295)&gt;0,($EC295)/($DE295),""),"")</f>
        <v/>
      </c>
      <c r="EG295" s="67">
        <f>IFERROR(IF(($DF295)&gt;0,($ED295)/($DF295),""),"")</f>
        <v/>
      </c>
      <c r="EH295" s="55">
        <f>SUMIFS(tblPlant[Gold_Poured_oz],tblPlant[Date],$A295)</f>
        <v/>
      </c>
      <c r="EI295" s="55">
        <f>IF($B295=$B294,$EI294,0)+$EH295</f>
        <v/>
      </c>
      <c r="EJ295" s="55">
        <f>$EJ294+$EH295</f>
        <v/>
      </c>
      <c r="EK295" s="57">
        <f>SUMIFS(tblPlant[Mill_Run_h],tblPlant[Date],$A295)</f>
        <v/>
      </c>
      <c r="EL295" s="57">
        <f>IF($B295=$B294,$EL294,0)+$EK295</f>
        <v/>
      </c>
      <c r="EM295" s="57">
        <f>$EM294+$EK295</f>
        <v/>
      </c>
      <c r="EN295" s="57">
        <f>SUMIFS(tblPlant[Mill_Planned_Maint_h],tblPlant[Date],$A295)</f>
        <v/>
      </c>
      <c r="EO295" s="57">
        <f>IF($B295=$B294,$EO294,0)+$EN295</f>
        <v/>
      </c>
      <c r="EP295" s="57">
        <f>$EP294+$EN295</f>
        <v/>
      </c>
      <c r="EQ295" s="57">
        <f>SUMIFS(tblPlant[Mill_Unplanned_Down_h],tblPlant[Date],$A295)</f>
        <v/>
      </c>
      <c r="ER295" s="57">
        <f>IF($B295=$B294,$ER294,0)+$EQ295</f>
        <v/>
      </c>
      <c r="ES295" s="57">
        <f>$ES294+$EQ295</f>
        <v/>
      </c>
      <c r="ET295" s="57">
        <f>IF(COUNTIFS(tblPlant[Date],$A295,tblPlant[Mill_Run_h],"&lt;&gt;")+COUNTIFS(tblPlant[Date],$A295,tblPlant[Mill_Planned_Maint_h],"&lt;&gt;")+COUNTIFS(tblPlant[Date],$A295,tblPlant[Mill_Unplanned_Down_h],"&lt;&gt;")&gt;0,cfg_HoursPerDay,0)</f>
        <v/>
      </c>
      <c r="EU295" s="57">
        <f>IF($B295=$B294,$EU294,0)+$ET295</f>
        <v/>
      </c>
      <c r="EV295" s="57">
        <f>$EV294+$ET295</f>
        <v/>
      </c>
      <c r="EW295" s="57">
        <f>SUMIFS(tblPlant[Crusher_Run_h],tblPlant[Date],$A295)</f>
        <v/>
      </c>
      <c r="EX295" s="57">
        <f>IF($B295=$B294,$EX294,0)+$EW295</f>
        <v/>
      </c>
      <c r="EY295" s="57">
        <f>$EY294+$EW295</f>
        <v/>
      </c>
      <c r="EZ295" s="55">
        <f>IFERROR(IF(($EK295)&gt;0,($DP295)/($EK295),""),"")</f>
        <v/>
      </c>
      <c r="FA295" s="55">
        <f>IFERROR(IF(($EL295)&gt;0,($DQ295)/($EL295),""),"")</f>
        <v/>
      </c>
      <c r="FB295" s="55">
        <f>IFERROR(IF(($EM295)&gt;0,($DR295)/($EM295),""),"")</f>
        <v/>
      </c>
      <c r="FC295" s="67">
        <f>IFERROR(IF(($ET295)&gt;0,($ET295-$EN295-$EQ295)/($ET295),""),"")</f>
        <v/>
      </c>
      <c r="FD295" s="67">
        <f>IFERROR(IF(($EU295)&gt;0,($EU295-$EO295-$ER295)/($EU295),""),"")</f>
        <v/>
      </c>
      <c r="FE295" s="67">
        <f>IFERROR(IF(($EV295)&gt;0,($EV295-$EP295-$ES295)/($EV295),""),"")</f>
        <v/>
      </c>
      <c r="FF295" s="67">
        <f>IFERROR(IF(($ET295-$EN295-$EQ295)&gt;0,($EK295)/($ET295-$EN295-$EQ295),""),"")</f>
        <v/>
      </c>
      <c r="FG295" s="67">
        <f>IFERROR(IF(($EU295-$EO295-$ER295)&gt;0,($EL295)/($EU295-$EO295-$ER295),""),"")</f>
        <v/>
      </c>
      <c r="FH295" s="67">
        <f>IFERROR(IF(($EV295-$EP295-$ES295)&gt;0,($EM295)/($EV295-$EP295-$ES295),""),"")</f>
        <v/>
      </c>
      <c r="FI295" s="55">
        <f>SUMIFS(tblPlant[Cyanide_kg],tblPlant[Date],$A295)</f>
        <v/>
      </c>
      <c r="FJ295" s="55">
        <f>IF($B295=$B294,$FJ294,0)+$FI295</f>
        <v/>
      </c>
      <c r="FK295" s="55">
        <f>$FK294+$FI295</f>
        <v/>
      </c>
      <c r="FL295" s="55">
        <f>SUMIFS(tblPlant[Lime_kg],tblPlant[Date],$A295)</f>
        <v/>
      </c>
      <c r="FM295" s="55">
        <f>IF($B295=$B294,$FM294,0)+$FL295</f>
        <v/>
      </c>
      <c r="FN295" s="55">
        <f>$FN294+$FL295</f>
        <v/>
      </c>
      <c r="FO295" s="55">
        <f>SUMIFS(tblPlant[Grinding_Media_kg],tblPlant[Date],$A295)</f>
        <v/>
      </c>
      <c r="FP295" s="55">
        <f>IF($B295=$B294,$FP294,0)+$FO295</f>
        <v/>
      </c>
      <c r="FQ295" s="55">
        <f>$FQ294+$FO295</f>
        <v/>
      </c>
      <c r="FR295" s="55">
        <f>SUMIFS(tblPlant[Power_kWh],tblPlant[Date],$A295)</f>
        <v/>
      </c>
      <c r="FS295" s="55">
        <f>IF($B295=$B294,$FS294,0)+$FR295</f>
        <v/>
      </c>
      <c r="FT295" s="55">
        <f>$FT294+$FR295</f>
        <v/>
      </c>
      <c r="FU295" s="55">
        <f>SUMIFS(tblPlant[Raw_Water_m3],tblPlant[Date],$A295)</f>
        <v/>
      </c>
      <c r="FV295" s="55">
        <f>IF($B295=$B294,$FV294,0)+$FU295</f>
        <v/>
      </c>
      <c r="FW295" s="55">
        <f>$FW294+$FU295</f>
        <v/>
      </c>
      <c r="FX295" s="56">
        <f>IFERROR(IF(($CU295)&gt;0,($FI295)/($CU295),""),"")</f>
        <v/>
      </c>
      <c r="FY295" s="56">
        <f>IFERROR(IF(($CV295)&gt;0,($FJ295)/($CV295),""),"")</f>
        <v/>
      </c>
      <c r="FZ295" s="56">
        <f>IFERROR(IF(($CW295)&gt;0,($FK295)/($CW295),""),"")</f>
        <v/>
      </c>
      <c r="GA295" s="56">
        <f>IFERROR(IF(($CU295)&gt;0,($FL295)/($CU295),""),"")</f>
        <v/>
      </c>
      <c r="GB295" s="56">
        <f>IFERROR(IF(($CV295)&gt;0,($FM295)/($CV295),""),"")</f>
        <v/>
      </c>
      <c r="GC295" s="56">
        <f>IFERROR(IF(($CW295)&gt;0,($FN295)/($CW295),""),"")</f>
        <v/>
      </c>
      <c r="GD295" s="56">
        <f>IFERROR(IF(($CU295)&gt;0,($FO295)/($CU295),""),"")</f>
        <v/>
      </c>
      <c r="GE295" s="56">
        <f>IFERROR(IF(($CV295)&gt;0,($FP295)/($CV295),""),"")</f>
        <v/>
      </c>
      <c r="GF295" s="56">
        <f>IFERROR(IF(($CW295)&gt;0,($FQ295)/($CW295),""),"")</f>
        <v/>
      </c>
      <c r="GG295" s="79">
        <f>IFERROR(IF(($CU295)&gt;0,($FR295)/($CU295),""),"")</f>
        <v/>
      </c>
      <c r="GH295" s="79">
        <f>IFERROR(IF(($CV295)&gt;0,($FS295)/($CV295),""),"")</f>
        <v/>
      </c>
      <c r="GI295" s="79">
        <f>IFERROR(IF(($CW295)&gt;0,($FT295)/($CW295),""),"")</f>
        <v/>
      </c>
      <c r="GJ295" s="56">
        <f>IFERROR(IF(($CU295)&gt;0,($FU295)/($CU295),""),"")</f>
        <v/>
      </c>
      <c r="GK295" s="56">
        <f>IFERROR(IF(($CV295)&gt;0,($FV295)/($CV295),""),"")</f>
        <v/>
      </c>
      <c r="GL295" s="56">
        <f>IFERROR(IF(($CW295)&gt;0,($FW295)/($CW295),""),"")</f>
        <v/>
      </c>
      <c r="GM295" s="55">
        <f>IF(SUMIFS(tblPlant[GIC_oz],tblPlant[Date],$A295)&gt;0,SUMIFS(tblPlant[GIC_oz],tblPlant[Date],$A295),"")</f>
        <v/>
      </c>
      <c r="GN295" s="55">
        <f>SUMIFS(tblGold[Gold_oz],tblGold[Date],$A295,tblGold[Type],"Shipment")</f>
        <v/>
      </c>
      <c r="GO295" s="55">
        <f>IF($B295=$B294,$GO294,0)+$GN295</f>
        <v/>
      </c>
      <c r="GP295" s="55">
        <f>$GP294+$GN295</f>
        <v/>
      </c>
      <c r="GQ295" s="55">
        <f>SUMIFS(tblGold[Gold_oz],tblGold[Date],$A295,tblGold[Type],"Sale")</f>
        <v/>
      </c>
      <c r="GR295" s="55">
        <f>IF($B295=$B294,$GR294,0)+$GQ295</f>
        <v/>
      </c>
      <c r="GS295" s="55">
        <f>$GS294+$GQ295</f>
        <v/>
      </c>
      <c r="GT295" s="55">
        <f>SUMIFS(tblGold[Dore_kg],tblGold[Date],$A295,tblGold[Type],"Shipment")</f>
        <v/>
      </c>
      <c r="GU295" s="55">
        <f>IF($B295=$B294,$GU294,0)+$GT295</f>
        <v/>
      </c>
      <c r="GV295" s="55">
        <f>$GV294+$GT295</f>
        <v/>
      </c>
      <c r="GW295" s="57">
        <f>SUMIFS(tblSafety[Hours_Total],tblSafety[Date],$A295)</f>
        <v/>
      </c>
      <c r="GX295" s="57">
        <f>IF($B295=$B294,$GX294,0)+$GW295</f>
        <v/>
      </c>
      <c r="GY295" s="57">
        <f>$GY294+$GW295</f>
        <v/>
      </c>
      <c r="GZ295" s="62">
        <f>SUMIFS(tblSafety[Fatality],tblSafety[Date],$A295)</f>
        <v/>
      </c>
      <c r="HA295" s="62">
        <f>IF($B295=$B294,$HA294,0)+$GZ295</f>
        <v/>
      </c>
      <c r="HB295" s="62">
        <f>$HB294+$GZ295</f>
        <v/>
      </c>
      <c r="HC295" s="62">
        <f>SUMIFS(tblSafety[LTI],tblSafety[Date],$A295)</f>
        <v/>
      </c>
      <c r="HD295" s="62">
        <f>IF($B295=$B294,$HD294,0)+$HC295</f>
        <v/>
      </c>
      <c r="HE295" s="62">
        <f>$HE294+$HC295</f>
        <v/>
      </c>
      <c r="HF295" s="62">
        <f>SUMIFS(tblSafety[RWI],tblSafety[Date],$A295)</f>
        <v/>
      </c>
      <c r="HG295" s="62">
        <f>IF($B295=$B294,$HG294,0)+$HF295</f>
        <v/>
      </c>
      <c r="HH295" s="62">
        <f>$HH294+$HF295</f>
        <v/>
      </c>
      <c r="HI295" s="62">
        <f>SUMIFS(tblSafety[MTI],tblSafety[Date],$A295)</f>
        <v/>
      </c>
      <c r="HJ295" s="62">
        <f>IF($B295=$B294,$HJ294,0)+$HI295</f>
        <v/>
      </c>
      <c r="HK295" s="62">
        <f>$HK294+$HI295</f>
        <v/>
      </c>
      <c r="HL295" s="62">
        <f>SUMIFS(tblSafety[FAI],tblSafety[Date],$A295)</f>
        <v/>
      </c>
      <c r="HM295" s="62">
        <f>IF($B295=$B294,$HM294,0)+$HL295</f>
        <v/>
      </c>
      <c r="HN295" s="62">
        <f>$HN294+$HL295</f>
        <v/>
      </c>
      <c r="HO295" s="62">
        <f>SUMIFS(tblSafety[Recordables],tblSafety[Date],$A295)</f>
        <v/>
      </c>
      <c r="HP295" s="62">
        <f>IF($B295=$B294,$HP294,0)+$HO295</f>
        <v/>
      </c>
      <c r="HQ295" s="62">
        <f>$HQ294+$HO295</f>
        <v/>
      </c>
      <c r="HR295" s="62">
        <f>SUMIFS(tblSafety[Near_Miss],tblSafety[Date],$A295)</f>
        <v/>
      </c>
      <c r="HS295" s="62">
        <f>IF($B295=$B294,$HS294,0)+$HR295</f>
        <v/>
      </c>
      <c r="HT295" s="62">
        <f>$HT294+$HR295</f>
        <v/>
      </c>
      <c r="HU295" s="62">
        <f>SUMIFS(tblSafety[Hazard_Reports],tblSafety[Date],$A295)</f>
        <v/>
      </c>
      <c r="HV295" s="62">
        <f>IF($B295=$B294,$HV294,0)+$HU295</f>
        <v/>
      </c>
      <c r="HW295" s="62">
        <f>$HW294+$HU295</f>
        <v/>
      </c>
      <c r="HX295" s="62">
        <f>SUMIFS(tblSafety[HPI],tblSafety[Date],$A295)</f>
        <v/>
      </c>
      <c r="HY295" s="62">
        <f>IF($B295=$B294,$HY294,0)+$HX295</f>
        <v/>
      </c>
      <c r="HZ295" s="62">
        <f>$HZ294+$HX295</f>
        <v/>
      </c>
      <c r="IA295" s="62">
        <f>SUMIFS(tblSafety[Env_Incidents],tblSafety[Date],$A295)</f>
        <v/>
      </c>
      <c r="IB295" s="62">
        <f>IF($B295=$B294,$IB294,0)+$IA295</f>
        <v/>
      </c>
      <c r="IC295" s="62">
        <f>$IC294+$IA295</f>
        <v/>
      </c>
      <c r="ID295" s="62">
        <f>SUMIFS(tblSafety[Community_Incidents],tblSafety[Date],$A295)</f>
        <v/>
      </c>
      <c r="IE295" s="62">
        <f>IF($B295=$B294,$IE294,0)+$ID295</f>
        <v/>
      </c>
      <c r="IF295" s="62">
        <f>$IF294+$ID295</f>
        <v/>
      </c>
      <c r="IG295" s="62">
        <f>SUMIFS(tblSafety[Vehicle_Incidents],tblSafety[Date],$A295)</f>
        <v/>
      </c>
      <c r="IH295" s="62">
        <f>IF($B295=$B294,$IH294,0)+$IG295</f>
        <v/>
      </c>
      <c r="II295" s="62">
        <f>$II294+$IG295</f>
        <v/>
      </c>
      <c r="IJ295" s="62">
        <f>SUMIFS(tblSafety[Toolbox_Talks],tblSafety[Date],$A295)</f>
        <v/>
      </c>
      <c r="IK295" s="62">
        <f>IF($B295=$B294,$IK294,0)+$IJ295</f>
        <v/>
      </c>
      <c r="IL295" s="62">
        <f>$IL294+$IJ295</f>
        <v/>
      </c>
      <c r="IM295" s="62">
        <f>SUMIFS(tblSafety[Inspections],tblSafety[Date],$A295)</f>
        <v/>
      </c>
      <c r="IN295" s="62">
        <f>IF($B295=$B294,$IN294,0)+$IM295</f>
        <v/>
      </c>
      <c r="IO295" s="62">
        <f>$IO294+$IM295</f>
        <v/>
      </c>
      <c r="IP295" s="56">
        <f>IFERROR((SUMIFS(tblSafety[Recordables],tblSafety[Date],"&gt;="&amp;EDATE($E295,-12),tblSafety[Date],"&lt;="&amp;$A295)+SUMIFS(tblSafetyHistory[Recordables],tblSafetyHistory[Month],"&gt;="&amp;EDATE($E295,-12),tblSafetyHistory[Month],"&lt;"&amp;$E295,tblSafetyHistory[Use],1))/(SUMIFS(tblSafety[Hours_Total],tblSafety[Date],"&gt;="&amp;EDATE($E295,-12),tblSafety[Date],"&lt;="&amp;$A295)+SUMIFS(tblSafetyHistory[Hours_Total],tblSafetyHistory[Month],"&gt;="&amp;EDATE($E295,-12),tblSafetyHistory[Month],"&lt;"&amp;$E295,tblSafetyHistory[Use],1))*cfg_RateBasisHours,"")</f>
        <v/>
      </c>
      <c r="IQ295" s="56">
        <f>IFERROR((SUMIFS(tblSafety[LTI],tblSafety[Date],"&gt;="&amp;EDATE($E295,-12),tblSafety[Date],"&lt;="&amp;$A295)+SUMIFS(tblSafetyHistory[LTI],tblSafetyHistory[Month],"&gt;="&amp;EDATE($E295,-12),tblSafetyHistory[Month],"&lt;"&amp;$E295,tblSafetyHistory[Use],1))/(SUMIFS(tblSafety[Hours_Total],tblSafety[Date],"&gt;="&amp;EDATE($E295,-12),tblSafety[Date],"&lt;="&amp;$A295)+SUMIFS(tblSafetyHistory[Hours_Total],tblSafetyHistory[Month],"&gt;="&amp;EDATE($E295,-12),tblSafetyHistory[Month],"&lt;"&amp;$E295,tblSafetyHistory[Use],1))*cfg_RateBasisHours,"")</f>
        <v/>
      </c>
      <c r="IR295" s="62">
        <f>IF(MAX(N(cfg_PriorLTIDate),_xlfn.MAXIFS(tblSafety[Date],tblSafety[LTI],"&gt;0",tblSafety[Date],"&lt;="&amp;$A295))=0,"",$A295-MAX(N(cfg_PriorLTIDate),_xlfn.MAXIFS(tblSafety[Date],tblSafety[LTI],"&gt;0",tblSafety[Date],"&lt;="&amp;$A295)))</f>
        <v/>
      </c>
      <c r="IS295" s="55">
        <f>SUMIFS(tblBudget[Ore_Mined_t],tblBudget[Month],$E295)</f>
        <v/>
      </c>
      <c r="IT295" s="55">
        <f>$IS295*$C295/$D295</f>
        <v/>
      </c>
      <c r="IU295" s="55">
        <f>SUMIFS(tblBudget[Ore_Mined_t],tblBudget[Month],"&lt;"&amp;$E295)+$IT295</f>
        <v/>
      </c>
      <c r="IV295" s="55">
        <f>SUMIFS(tblBudget[Ore_oz],tblBudget[Month],$E295)</f>
        <v/>
      </c>
      <c r="IW295" s="55">
        <f>$IV295*$C295/$D295</f>
        <v/>
      </c>
      <c r="IX295" s="55">
        <f>SUMIFS(tblBudget[Ore_oz],tblBudget[Month],"&lt;"&amp;$E295)+$IW295</f>
        <v/>
      </c>
      <c r="IY295" s="55">
        <f>SUMIFS(tblBudget[Ore_Mined_t],tblBudget[Month],$E295)</f>
        <v/>
      </c>
      <c r="IZ295" s="55">
        <f>$IY295*$C295/$D295</f>
        <v/>
      </c>
      <c r="JA295" s="55">
        <f>SUMIFS(tblBudget[Ore_Mined_t],tblBudget[Month],"&lt;"&amp;$E295)+$IZ295</f>
        <v/>
      </c>
      <c r="JB295" s="56">
        <f>IFERROR(IF(($IY295)&gt;0,($IV295*cfg_TroyOz)/($IY295),""),"")</f>
        <v/>
      </c>
      <c r="JC295" s="56">
        <f>IFERROR(IF(($IZ295)&gt;0,($IW295*cfg_TroyOz)/($IZ295),""),"")</f>
        <v/>
      </c>
      <c r="JD295" s="56">
        <f>IFERROR(IF(($JA295)&gt;0,($IX295*cfg_TroyOz)/($JA295),""),"")</f>
        <v/>
      </c>
      <c r="JE295" s="55">
        <f>SUMIFS(tblBudget[Waste_t],tblBudget[Month],$E295)</f>
        <v/>
      </c>
      <c r="JF295" s="55">
        <f>$JE295*$C295/$D295</f>
        <v/>
      </c>
      <c r="JG295" s="55">
        <f>SUMIFS(tblBudget[Waste_t],tblBudget[Month],"&lt;"&amp;$E295)+$JF295</f>
        <v/>
      </c>
      <c r="JH295" s="55">
        <f>SUMIFS(tblBudget[TMM_t],tblBudget[Month],$E295)</f>
        <v/>
      </c>
      <c r="JI295" s="55">
        <f>$JH295*$C295/$D295</f>
        <v/>
      </c>
      <c r="JJ295" s="55">
        <f>SUMIFS(tblBudget[TMM_t],tblBudget[Month],"&lt;"&amp;$E295)+$JI295</f>
        <v/>
      </c>
      <c r="JK295" s="56">
        <f>IFERROR(IF(($IS295)&gt;0,($JE295)/($IS295),""),"")</f>
        <v/>
      </c>
      <c r="JL295" s="56">
        <f>IFERROR(IF(($IT295)&gt;0,($JF295)/($IT295),""),"")</f>
        <v/>
      </c>
      <c r="JM295" s="56">
        <f>IFERROR(IF(($IU295)&gt;0,($JG295)/($IU295),""),"")</f>
        <v/>
      </c>
      <c r="JN295" s="55">
        <f>SUMIFS(tblBudget[Drill_m],tblBudget[Month],$E295)</f>
        <v/>
      </c>
      <c r="JO295" s="55">
        <f>$JN295*$C295/$D295</f>
        <v/>
      </c>
      <c r="JP295" s="55">
        <f>SUMIFS(tblBudget[Drill_m],tblBudget[Month],"&lt;"&amp;$E295)+$JO295</f>
        <v/>
      </c>
      <c r="JQ295" s="55">
        <f>SUMIFS(tblBudget[Diesel_L],tblBudget[Month],$E295)</f>
        <v/>
      </c>
      <c r="JR295" s="55">
        <f>$JQ295*$C295/$D295</f>
        <v/>
      </c>
      <c r="JS295" s="55">
        <f>SUMIFS(tblBudget[Diesel_L],tblBudget[Month],"&lt;"&amp;$E295)+$JR295</f>
        <v/>
      </c>
      <c r="JT295" s="55">
        <f>SUMIFS(tblBudget[Milled_t],tblBudget[Month],$E295)</f>
        <v/>
      </c>
      <c r="JU295" s="55">
        <f>$JT295*$C295/$D295</f>
        <v/>
      </c>
      <c r="JV295" s="55">
        <f>SUMIFS(tblBudget[Milled_t],tblBudget[Month],"&lt;"&amp;$E295)+$JU295</f>
        <v/>
      </c>
      <c r="JW295" s="55">
        <f>SUMIFS(tblBudget[Feed_oz],tblBudget[Month],$E295)</f>
        <v/>
      </c>
      <c r="JX295" s="55">
        <f>$JW295*$C295/$D295</f>
        <v/>
      </c>
      <c r="JY295" s="55">
        <f>SUMIFS(tblBudget[Feed_oz],tblBudget[Month],"&lt;"&amp;$E295)+$JX295</f>
        <v/>
      </c>
      <c r="JZ295" s="55">
        <f>SUMIFS(tblBudget[Recovered_oz],tblBudget[Month],$E295)</f>
        <v/>
      </c>
      <c r="KA295" s="55">
        <f>$JZ295*$C295/$D295</f>
        <v/>
      </c>
      <c r="KB295" s="55">
        <f>SUMIFS(tblBudget[Recovered_oz],tblBudget[Month],"&lt;"&amp;$E295)+$KA295</f>
        <v/>
      </c>
      <c r="KC295" s="55">
        <f>SUMIFS(tblBudget[Milled_t],tblBudget[Month],$E295)</f>
        <v/>
      </c>
      <c r="KD295" s="55">
        <f>$KC295*$C295/$D295</f>
        <v/>
      </c>
      <c r="KE295" s="55">
        <f>SUMIFS(tblBudget[Milled_t],tblBudget[Month],"&lt;"&amp;$E295)+$KD295</f>
        <v/>
      </c>
      <c r="KF295" s="55">
        <f>SUMIFS(tblBudget[Feed_oz],tblBudget[Month],$E295)</f>
        <v/>
      </c>
      <c r="KG295" s="55">
        <f>$KF295*$C295/$D295</f>
        <v/>
      </c>
      <c r="KH295" s="55">
        <f>SUMIFS(tblBudget[Feed_oz],tblBudget[Month],"&lt;"&amp;$E295)+$KG295</f>
        <v/>
      </c>
      <c r="KI295" s="56">
        <f>IFERROR(IF(($KC295)&gt;0,($JW295*cfg_TroyOz)/($KC295),""),"")</f>
        <v/>
      </c>
      <c r="KJ295" s="56">
        <f>IFERROR(IF(($KD295)&gt;0,($JX295*cfg_TroyOz)/($KD295),""),"")</f>
        <v/>
      </c>
      <c r="KK295" s="56">
        <f>IFERROR(IF(($KE295)&gt;0,($JY295*cfg_TroyOz)/($KE295),""),"")</f>
        <v/>
      </c>
      <c r="KL295" s="67">
        <f>IFERROR(IF(($KF295)&gt;0,($JZ295)/($KF295),""),"")</f>
        <v/>
      </c>
      <c r="KM295" s="67">
        <f>IFERROR(IF(($KG295)&gt;0,($KA295)/($KG295),""),"")</f>
        <v/>
      </c>
      <c r="KN295" s="67">
        <f>IFERROR(IF(($KH295)&gt;0,($KB295)/($KH295),""),"")</f>
        <v/>
      </c>
      <c r="KO295" s="55">
        <f>SUMIFS(tblBudget[Gold_Poured_oz],tblBudget[Month],$E295)</f>
        <v/>
      </c>
      <c r="KP295" s="55">
        <f>$KO295*$C295/$D295</f>
        <v/>
      </c>
      <c r="KQ295" s="55">
        <f>SUMIFS(tblBudget[Gold_Poured_oz],tblBudget[Month],"&lt;"&amp;$E295)+$KP295</f>
        <v/>
      </c>
      <c r="KR295" s="57">
        <f>SUMIFS(tblBudget[Hours_Worked],tblBudget[Month],$E295)</f>
        <v/>
      </c>
      <c r="KS295" s="57">
        <f>$KR295*$C295/$D295</f>
        <v/>
      </c>
      <c r="KT295" s="57">
        <f>SUMIFS(tblBudget[Hours_Worked],tblBudget[Month],"&lt;"&amp;$E295)+$KS295</f>
        <v/>
      </c>
    </row>
    <row r="296">
      <c r="A296" s="54" t="n">
        <v>46317</v>
      </c>
      <c r="B296">
        <f>MONTH($A296)</f>
        <v/>
      </c>
      <c r="C296">
        <f>DAY($A296)</f>
        <v/>
      </c>
      <c r="D296">
        <f>DAY(EOMONTH($A296,0))</f>
        <v/>
      </c>
      <c r="E296" s="54">
        <f>DATE(YEAR($A296),MONTH($A296),1)</f>
        <v/>
      </c>
      <c r="F296" s="55">
        <f>SUMIFS(tblMovement[Tonnes_t],tblMovement[Date],$A296,tblMovement[Is_Ore],1,tblMovement[Source_Type],"Pit")</f>
        <v/>
      </c>
      <c r="G296" s="55">
        <f>IF($B296=$B295,$G295,0)+$F296</f>
        <v/>
      </c>
      <c r="H296" s="55">
        <f>$H295+$F296</f>
        <v/>
      </c>
      <c r="I296" s="55">
        <f>SUMIFS(tblMovement[Ore_oz],tblMovement[Date],$A296,tblMovement[Source_Type],"Pit")</f>
        <v/>
      </c>
      <c r="J296" s="55">
        <f>IF($B296=$B295,$J295,0)+$I296</f>
        <v/>
      </c>
      <c r="K296" s="55">
        <f>$K295+$I296</f>
        <v/>
      </c>
      <c r="L296" s="55">
        <f>SUMIFS(tblMovement[Tonnes_t],tblMovement[Date],$A296,tblMovement[Is_Ore],1,tblMovement[Source_Type],"Pit",tblMovement[Grade_gpt],"&lt;&gt;")</f>
        <v/>
      </c>
      <c r="M296" s="55">
        <f>IF($B296=$B295,$M295,0)+$L296</f>
        <v/>
      </c>
      <c r="N296" s="55">
        <f>$N295+$L296</f>
        <v/>
      </c>
      <c r="O296" s="56">
        <f>IFERROR(IF(($L296)&gt;0,($I296*cfg_TroyOz)/($L296),""),"")</f>
        <v/>
      </c>
      <c r="P296" s="56">
        <f>IFERROR(IF(($M296)&gt;0,($J296*cfg_TroyOz)/($M296),""),"")</f>
        <v/>
      </c>
      <c r="Q296" s="56">
        <f>IFERROR(IF(($N296)&gt;0,($K296*cfg_TroyOz)/($N296),""),"")</f>
        <v/>
      </c>
      <c r="R296" s="55">
        <f>$F296-$L296</f>
        <v/>
      </c>
      <c r="S296" s="55">
        <f>IF($B296=$B295,$S295,0)+$R296</f>
        <v/>
      </c>
      <c r="T296" s="55">
        <f>$T295+$R296</f>
        <v/>
      </c>
      <c r="U296" s="55">
        <f>SUMIFS(tblMovement[Tonnes_t],tblMovement[Date],$A296,tblMovement[Is_Ore],0,tblMovement[Source_Type],"Pit")</f>
        <v/>
      </c>
      <c r="V296" s="55">
        <f>IF($B296=$B295,$V295,0)+$U296</f>
        <v/>
      </c>
      <c r="W296" s="55">
        <f>$W295+$U296</f>
        <v/>
      </c>
      <c r="X296" s="55">
        <f>$F296+$U296</f>
        <v/>
      </c>
      <c r="Y296" s="55">
        <f>IF($B296=$B295,$Y295,0)+$X296</f>
        <v/>
      </c>
      <c r="Z296" s="55">
        <f>$Z295+$X296</f>
        <v/>
      </c>
      <c r="AA296" s="56">
        <f>IFERROR(IF(($F296)&gt;0,($U296)/($F296),""),"")</f>
        <v/>
      </c>
      <c r="AB296" s="56">
        <f>IFERROR(IF(($G296)&gt;0,($V296)/($G296),""),"")</f>
        <v/>
      </c>
      <c r="AC296" s="56">
        <f>IFERROR(IF(($H296)&gt;0,($W296)/($H296),""),"")</f>
        <v/>
      </c>
      <c r="AD296" s="55">
        <f>SUMIFS(tblMovement[Tonnes_t],tblMovement[Date],$A296,tblMovement[Source_Type],"Stockpile")</f>
        <v/>
      </c>
      <c r="AE296" s="55">
        <f>IF($B296=$B295,$AE295,0)+$AD296</f>
        <v/>
      </c>
      <c r="AF296" s="55">
        <f>$AF295+$AD296</f>
        <v/>
      </c>
      <c r="AG296" s="55">
        <f>SUMIFS(tblMovement[Tonnes_t],tblMovement[Date],$A296)</f>
        <v/>
      </c>
      <c r="AH296" s="55">
        <f>IF($B296=$B295,$AH295,0)+$AG296</f>
        <v/>
      </c>
      <c r="AI296" s="55">
        <f>$AI295+$AG296</f>
        <v/>
      </c>
      <c r="AJ296" s="55">
        <f>$AG296-$X296-$AD296</f>
        <v/>
      </c>
      <c r="AK296" s="55">
        <f>IF($B296=$B295,$AK295,0)+$AJ296</f>
        <v/>
      </c>
      <c r="AL296" s="55">
        <f>$AL295+$AJ296</f>
        <v/>
      </c>
      <c r="AM296" s="55">
        <f>SUMIFS(tblMiningDaily[Drill_m],tblMiningDaily[Date],$A296)</f>
        <v/>
      </c>
      <c r="AN296" s="55">
        <f>IF($B296=$B295,$AN295,0)+$AM296</f>
        <v/>
      </c>
      <c r="AO296" s="55">
        <f>$AO295+$AM296</f>
        <v/>
      </c>
      <c r="AP296" s="55">
        <f>SUMIFS(tblMiningDaily[GC_Drill_m],tblMiningDaily[Date],$A296)</f>
        <v/>
      </c>
      <c r="AQ296" s="55">
        <f>IF($B296=$B295,$AQ295,0)+$AP296</f>
        <v/>
      </c>
      <c r="AR296" s="55">
        <f>$AR295+$AP296</f>
        <v/>
      </c>
      <c r="AS296" s="55">
        <f>SUMIFS(tblMiningDaily[Blast_t],tblMiningDaily[Date],$A296)</f>
        <v/>
      </c>
      <c r="AT296" s="55">
        <f>IF($B296=$B295,$AT295,0)+$AS296</f>
        <v/>
      </c>
      <c r="AU296" s="55">
        <f>$AU295+$AS296</f>
        <v/>
      </c>
      <c r="AV296" s="55">
        <f>SUMIFS(tblMiningDaily[Explosives_kg],tblMiningDaily[Date],$A296)</f>
        <v/>
      </c>
      <c r="AW296" s="55">
        <f>IF($B296=$B295,$AW295,0)+$AV296</f>
        <v/>
      </c>
      <c r="AX296" s="55">
        <f>$AX295+$AV296</f>
        <v/>
      </c>
      <c r="AY296" s="56">
        <f>IFERROR(IF(($AS296)&gt;0,($AV296)/($AS296),""),"")</f>
        <v/>
      </c>
      <c r="AZ296" s="56">
        <f>IFERROR(IF(($AT296)&gt;0,($AW296)/($AT296),""),"")</f>
        <v/>
      </c>
      <c r="BA296" s="56">
        <f>IFERROR(IF(($AU296)&gt;0,($AX296)/($AU296),""),"")</f>
        <v/>
      </c>
      <c r="BB296" s="55">
        <f>SUMIFS(tblMiningDaily[Diesel_L],tblMiningDaily[Date],$A296)</f>
        <v/>
      </c>
      <c r="BC296" s="55">
        <f>IF($B296=$B295,$BC295,0)+$BB296</f>
        <v/>
      </c>
      <c r="BD296" s="55">
        <f>$BD295+$BB296</f>
        <v/>
      </c>
      <c r="BE296" s="55">
        <f>SUMIFS(tblMiningDaily[Dewatering_m3],tblMiningDaily[Date],$A296)</f>
        <v/>
      </c>
      <c r="BF296" s="55">
        <f>IF($B296=$B295,$BF295,0)+$BE296</f>
        <v/>
      </c>
      <c r="BG296" s="55">
        <f>$BG295+$BE296</f>
        <v/>
      </c>
      <c r="BH296" s="57">
        <f>SUMIFS(tblFleet[Calendar_h],tblFleet[Date],$A296,tblFleet[Equipment_Class],"Excavator")</f>
        <v/>
      </c>
      <c r="BI296" s="57">
        <f>IF($B296=$B295,$BI295,0)+$BH296</f>
        <v/>
      </c>
      <c r="BJ296" s="57">
        <f>$BJ295+$BH296</f>
        <v/>
      </c>
      <c r="BK296" s="57">
        <f>SUMIFS(tblFleet[Available_h],tblFleet[Date],$A296,tblFleet[Equipment_Class],"Excavator")</f>
        <v/>
      </c>
      <c r="BL296" s="57">
        <f>IF($B296=$B295,$BL295,0)+$BK296</f>
        <v/>
      </c>
      <c r="BM296" s="57">
        <f>$BM295+$BK296</f>
        <v/>
      </c>
      <c r="BN296" s="57">
        <f>SUMIFS(tblFleet[Operating_h],tblFleet[Date],$A296,tblFleet[Equipment_Class],"Excavator")</f>
        <v/>
      </c>
      <c r="BO296" s="57">
        <f>IF($B296=$B295,$BO295,0)+$BN296</f>
        <v/>
      </c>
      <c r="BP296" s="57">
        <f>$BP295+$BN296</f>
        <v/>
      </c>
      <c r="BQ296" s="67">
        <f>IFERROR(IF(($BH296)&gt;0,($BK296)/($BH296),""),"")</f>
        <v/>
      </c>
      <c r="BR296" s="67">
        <f>IFERROR(IF(($BI296)&gt;0,($BL296)/($BI296),""),"")</f>
        <v/>
      </c>
      <c r="BS296" s="67">
        <f>IFERROR(IF(($BJ296)&gt;0,($BM296)/($BJ296),""),"")</f>
        <v/>
      </c>
      <c r="BT296" s="67">
        <f>IFERROR(IF(($BK296)&gt;0,($BN296)/($BK296),""),"")</f>
        <v/>
      </c>
      <c r="BU296" s="67">
        <f>IFERROR(IF(($BL296)&gt;0,($BO296)/($BL296),""),"")</f>
        <v/>
      </c>
      <c r="BV296" s="67">
        <f>IFERROR(IF(($BM296)&gt;0,($BP296)/($BM296),""),"")</f>
        <v/>
      </c>
      <c r="BW296" s="57">
        <f>SUMIFS(tblFleet[Calendar_h],tblFleet[Date],$A296,tblFleet[Equipment_Class],"Haul Truck")</f>
        <v/>
      </c>
      <c r="BX296" s="57">
        <f>IF($B296=$B295,$BX295,0)+$BW296</f>
        <v/>
      </c>
      <c r="BY296" s="57">
        <f>$BY295+$BW296</f>
        <v/>
      </c>
      <c r="BZ296" s="57">
        <f>SUMIFS(tblFleet[Available_h],tblFleet[Date],$A296,tblFleet[Equipment_Class],"Haul Truck")</f>
        <v/>
      </c>
      <c r="CA296" s="57">
        <f>IF($B296=$B295,$CA295,0)+$BZ296</f>
        <v/>
      </c>
      <c r="CB296" s="57">
        <f>$CB295+$BZ296</f>
        <v/>
      </c>
      <c r="CC296" s="57">
        <f>SUMIFS(tblFleet[Operating_h],tblFleet[Date],$A296,tblFleet[Equipment_Class],"Haul Truck")</f>
        <v/>
      </c>
      <c r="CD296" s="57">
        <f>IF($B296=$B295,$CD295,0)+$CC296</f>
        <v/>
      </c>
      <c r="CE296" s="57">
        <f>$CE295+$CC296</f>
        <v/>
      </c>
      <c r="CF296" s="67">
        <f>IFERROR(IF(($BW296)&gt;0,($BZ296)/($BW296),""),"")</f>
        <v/>
      </c>
      <c r="CG296" s="67">
        <f>IFERROR(IF(($BX296)&gt;0,($CA296)/($BX296),""),"")</f>
        <v/>
      </c>
      <c r="CH296" s="67">
        <f>IFERROR(IF(($BY296)&gt;0,($CB296)/($BY296),""),"")</f>
        <v/>
      </c>
      <c r="CI296" s="67">
        <f>IFERROR(IF(($BZ296)&gt;0,($CC296)/($BZ296),""),"")</f>
        <v/>
      </c>
      <c r="CJ296" s="67">
        <f>IFERROR(IF(($CA296)&gt;0,($CD296)/($CA296),""),"")</f>
        <v/>
      </c>
      <c r="CK296" s="67">
        <f>IFERROR(IF(($CB296)&gt;0,($CE296)/($CB296),""),"")</f>
        <v/>
      </c>
      <c r="CL296" s="55">
        <f>IFERROR(IF(($BN296)&gt;0,($X296+$AD296)/($BN296),""),"")</f>
        <v/>
      </c>
      <c r="CM296" s="55">
        <f>IFERROR(IF(($BO296)&gt;0,($Y296+$AE296)/($BO296),""),"")</f>
        <v/>
      </c>
      <c r="CN296" s="55">
        <f>IFERROR(IF(($BP296)&gt;0,($Z296+$AF296)/($BP296),""),"")</f>
        <v/>
      </c>
      <c r="CO296" s="55">
        <f>IFERROR(IF(($CC296)&gt;0,($X296+$AD296)/($CC296),""),"")</f>
        <v/>
      </c>
      <c r="CP296" s="55">
        <f>IFERROR(IF(($CD296)&gt;0,($Y296+$AE296)/($CD296),""),"")</f>
        <v/>
      </c>
      <c r="CQ296" s="55">
        <f>IFERROR(IF(($CE296)&gt;0,($Z296+$AF296)/($CE296),""),"")</f>
        <v/>
      </c>
      <c r="CR296" s="55">
        <f>SUMIFS(tblPlant[Crushed_t],tblPlant[Date],$A296)</f>
        <v/>
      </c>
      <c r="CS296" s="55">
        <f>IF($B296=$B295,$CS295,0)+$CR296</f>
        <v/>
      </c>
      <c r="CT296" s="55">
        <f>$CT295+$CR296</f>
        <v/>
      </c>
      <c r="CU296" s="55">
        <f>SUMIFS(tblPlant[Milled_t],tblPlant[Date],$A296)</f>
        <v/>
      </c>
      <c r="CV296" s="55">
        <f>IF($B296=$B295,$CV295,0)+$CU296</f>
        <v/>
      </c>
      <c r="CW296" s="55">
        <f>$CW295+$CU296</f>
        <v/>
      </c>
      <c r="CX296" s="55">
        <f>SUMIFS(tblPlant[Feed_oz],tblPlant[Date],$A296)</f>
        <v/>
      </c>
      <c r="CY296" s="55">
        <f>IF($B296=$B295,$CY295,0)+$CX296</f>
        <v/>
      </c>
      <c r="CZ296" s="55">
        <f>$CZ295+$CX296</f>
        <v/>
      </c>
      <c r="DA296" s="55">
        <f>SUMIFS(tblPlant[Tails_oz],tblPlant[Date],$A296)</f>
        <v/>
      </c>
      <c r="DB296" s="55">
        <f>IF($B296=$B295,$DB295,0)+$DA296</f>
        <v/>
      </c>
      <c r="DC296" s="55">
        <f>$DC295+$DA296</f>
        <v/>
      </c>
      <c r="DD296" s="55">
        <f>SUMIFS(tblPlant[Recovered_oz],tblPlant[Date],$A296)</f>
        <v/>
      </c>
      <c r="DE296" s="55">
        <f>IF($B296=$B295,$DE295,0)+$DD296</f>
        <v/>
      </c>
      <c r="DF296" s="55">
        <f>$DF295+$DD296</f>
        <v/>
      </c>
      <c r="DG296" s="55">
        <f>SUMIFS(tblPlant[Milled_t],tblPlant[Date],$A296,tblPlant[Head_Grade_gpt],"&lt;&gt;")</f>
        <v/>
      </c>
      <c r="DH296" s="55">
        <f>IF($B296=$B295,$DH295,0)+$DG296</f>
        <v/>
      </c>
      <c r="DI296" s="55">
        <f>$DI295+$DG296</f>
        <v/>
      </c>
      <c r="DJ296" s="55">
        <f>SUMIFS(tblPlant[Milled_t],tblPlant[Date],$A296,tblPlant[Tails_Grade_gpt],"&lt;&gt;")</f>
        <v/>
      </c>
      <c r="DK296" s="55">
        <f>IF($B296=$B295,$DK295,0)+$DJ296</f>
        <v/>
      </c>
      <c r="DL296" s="55">
        <f>$DL295+$DJ296</f>
        <v/>
      </c>
      <c r="DM296" s="55">
        <f>SUMIFS(tblPlant[Feed_oz],tblPlant[Date],$A296,tblPlant[Tails_Grade_gpt],"&lt;&gt;")</f>
        <v/>
      </c>
      <c r="DN296" s="55">
        <f>IF($B296=$B295,$DN295,0)+$DM296</f>
        <v/>
      </c>
      <c r="DO296" s="55">
        <f>$DO295+$DM296</f>
        <v/>
      </c>
      <c r="DP296" s="55">
        <f>SUMIFS(tblPlant[Milled_t],tblPlant[Date],$A296,tblPlant[Mill_Run_h],"&lt;&gt;")</f>
        <v/>
      </c>
      <c r="DQ296" s="55">
        <f>IF($B296=$B295,$DQ295,0)+$DP296</f>
        <v/>
      </c>
      <c r="DR296" s="55">
        <f>$DR295+$DP296</f>
        <v/>
      </c>
      <c r="DS296" s="56">
        <f>IFERROR(IF(($DG296)&gt;0,($CX296*cfg_TroyOz)/($DG296),""),"")</f>
        <v/>
      </c>
      <c r="DT296" s="56">
        <f>IFERROR(IF(($DH296)&gt;0,($CY296*cfg_TroyOz)/($DH296),""),"")</f>
        <v/>
      </c>
      <c r="DU296" s="56">
        <f>IFERROR(IF(($DI296)&gt;0,($CZ296*cfg_TroyOz)/($DI296),""),"")</f>
        <v/>
      </c>
      <c r="DV296" s="56">
        <f>IFERROR(IF(($DJ296)&gt;0,($DA296*cfg_TroyOz)/($DJ296),""),"")</f>
        <v/>
      </c>
      <c r="DW296" s="56">
        <f>IFERROR(IF(($DK296)&gt;0,($DB296*cfg_TroyOz)/($DK296),""),"")</f>
        <v/>
      </c>
      <c r="DX296" s="56">
        <f>IFERROR(IF(($DL296)&gt;0,($DC296*cfg_TroyOz)/($DL296),""),"")</f>
        <v/>
      </c>
      <c r="DY296" s="67">
        <f>IFERROR(IF(($DM296)&gt;0,($DD296)/($DM296),""),"")</f>
        <v/>
      </c>
      <c r="DZ296" s="67">
        <f>IFERROR(IF(($DN296)&gt;0,($DE296)/($DN296),""),"")</f>
        <v/>
      </c>
      <c r="EA296" s="67">
        <f>IFERROR(IF(($DO296)&gt;0,($DF296)/($DO296),""),"")</f>
        <v/>
      </c>
      <c r="EB296" s="55">
        <f>SUMIFS(tblPlant[Gravity_Gold_oz],tblPlant[Date],$A296)</f>
        <v/>
      </c>
      <c r="EC296" s="55">
        <f>IF($B296=$B295,$EC295,0)+$EB296</f>
        <v/>
      </c>
      <c r="ED296" s="55">
        <f>$ED295+$EB296</f>
        <v/>
      </c>
      <c r="EE296" s="67">
        <f>IFERROR(IF(($DD296)&gt;0,($EB296)/($DD296),""),"")</f>
        <v/>
      </c>
      <c r="EF296" s="67">
        <f>IFERROR(IF(($DE296)&gt;0,($EC296)/($DE296),""),"")</f>
        <v/>
      </c>
      <c r="EG296" s="67">
        <f>IFERROR(IF(($DF296)&gt;0,($ED296)/($DF296),""),"")</f>
        <v/>
      </c>
      <c r="EH296" s="55">
        <f>SUMIFS(tblPlant[Gold_Poured_oz],tblPlant[Date],$A296)</f>
        <v/>
      </c>
      <c r="EI296" s="55">
        <f>IF($B296=$B295,$EI295,0)+$EH296</f>
        <v/>
      </c>
      <c r="EJ296" s="55">
        <f>$EJ295+$EH296</f>
        <v/>
      </c>
      <c r="EK296" s="57">
        <f>SUMIFS(tblPlant[Mill_Run_h],tblPlant[Date],$A296)</f>
        <v/>
      </c>
      <c r="EL296" s="57">
        <f>IF($B296=$B295,$EL295,0)+$EK296</f>
        <v/>
      </c>
      <c r="EM296" s="57">
        <f>$EM295+$EK296</f>
        <v/>
      </c>
      <c r="EN296" s="57">
        <f>SUMIFS(tblPlant[Mill_Planned_Maint_h],tblPlant[Date],$A296)</f>
        <v/>
      </c>
      <c r="EO296" s="57">
        <f>IF($B296=$B295,$EO295,0)+$EN296</f>
        <v/>
      </c>
      <c r="EP296" s="57">
        <f>$EP295+$EN296</f>
        <v/>
      </c>
      <c r="EQ296" s="57">
        <f>SUMIFS(tblPlant[Mill_Unplanned_Down_h],tblPlant[Date],$A296)</f>
        <v/>
      </c>
      <c r="ER296" s="57">
        <f>IF($B296=$B295,$ER295,0)+$EQ296</f>
        <v/>
      </c>
      <c r="ES296" s="57">
        <f>$ES295+$EQ296</f>
        <v/>
      </c>
      <c r="ET296" s="57">
        <f>IF(COUNTIFS(tblPlant[Date],$A296,tblPlant[Mill_Run_h],"&lt;&gt;")+COUNTIFS(tblPlant[Date],$A296,tblPlant[Mill_Planned_Maint_h],"&lt;&gt;")+COUNTIFS(tblPlant[Date],$A296,tblPlant[Mill_Unplanned_Down_h],"&lt;&gt;")&gt;0,cfg_HoursPerDay,0)</f>
        <v/>
      </c>
      <c r="EU296" s="57">
        <f>IF($B296=$B295,$EU295,0)+$ET296</f>
        <v/>
      </c>
      <c r="EV296" s="57">
        <f>$EV295+$ET296</f>
        <v/>
      </c>
      <c r="EW296" s="57">
        <f>SUMIFS(tblPlant[Crusher_Run_h],tblPlant[Date],$A296)</f>
        <v/>
      </c>
      <c r="EX296" s="57">
        <f>IF($B296=$B295,$EX295,0)+$EW296</f>
        <v/>
      </c>
      <c r="EY296" s="57">
        <f>$EY295+$EW296</f>
        <v/>
      </c>
      <c r="EZ296" s="55">
        <f>IFERROR(IF(($EK296)&gt;0,($DP296)/($EK296),""),"")</f>
        <v/>
      </c>
      <c r="FA296" s="55">
        <f>IFERROR(IF(($EL296)&gt;0,($DQ296)/($EL296),""),"")</f>
        <v/>
      </c>
      <c r="FB296" s="55">
        <f>IFERROR(IF(($EM296)&gt;0,($DR296)/($EM296),""),"")</f>
        <v/>
      </c>
      <c r="FC296" s="67">
        <f>IFERROR(IF(($ET296)&gt;0,($ET296-$EN296-$EQ296)/($ET296),""),"")</f>
        <v/>
      </c>
      <c r="FD296" s="67">
        <f>IFERROR(IF(($EU296)&gt;0,($EU296-$EO296-$ER296)/($EU296),""),"")</f>
        <v/>
      </c>
      <c r="FE296" s="67">
        <f>IFERROR(IF(($EV296)&gt;0,($EV296-$EP296-$ES296)/($EV296),""),"")</f>
        <v/>
      </c>
      <c r="FF296" s="67">
        <f>IFERROR(IF(($ET296-$EN296-$EQ296)&gt;0,($EK296)/($ET296-$EN296-$EQ296),""),"")</f>
        <v/>
      </c>
      <c r="FG296" s="67">
        <f>IFERROR(IF(($EU296-$EO296-$ER296)&gt;0,($EL296)/($EU296-$EO296-$ER296),""),"")</f>
        <v/>
      </c>
      <c r="FH296" s="67">
        <f>IFERROR(IF(($EV296-$EP296-$ES296)&gt;0,($EM296)/($EV296-$EP296-$ES296),""),"")</f>
        <v/>
      </c>
      <c r="FI296" s="55">
        <f>SUMIFS(tblPlant[Cyanide_kg],tblPlant[Date],$A296)</f>
        <v/>
      </c>
      <c r="FJ296" s="55">
        <f>IF($B296=$B295,$FJ295,0)+$FI296</f>
        <v/>
      </c>
      <c r="FK296" s="55">
        <f>$FK295+$FI296</f>
        <v/>
      </c>
      <c r="FL296" s="55">
        <f>SUMIFS(tblPlant[Lime_kg],tblPlant[Date],$A296)</f>
        <v/>
      </c>
      <c r="FM296" s="55">
        <f>IF($B296=$B295,$FM295,0)+$FL296</f>
        <v/>
      </c>
      <c r="FN296" s="55">
        <f>$FN295+$FL296</f>
        <v/>
      </c>
      <c r="FO296" s="55">
        <f>SUMIFS(tblPlant[Grinding_Media_kg],tblPlant[Date],$A296)</f>
        <v/>
      </c>
      <c r="FP296" s="55">
        <f>IF($B296=$B295,$FP295,0)+$FO296</f>
        <v/>
      </c>
      <c r="FQ296" s="55">
        <f>$FQ295+$FO296</f>
        <v/>
      </c>
      <c r="FR296" s="55">
        <f>SUMIFS(tblPlant[Power_kWh],tblPlant[Date],$A296)</f>
        <v/>
      </c>
      <c r="FS296" s="55">
        <f>IF($B296=$B295,$FS295,0)+$FR296</f>
        <v/>
      </c>
      <c r="FT296" s="55">
        <f>$FT295+$FR296</f>
        <v/>
      </c>
      <c r="FU296" s="55">
        <f>SUMIFS(tblPlant[Raw_Water_m3],tblPlant[Date],$A296)</f>
        <v/>
      </c>
      <c r="FV296" s="55">
        <f>IF($B296=$B295,$FV295,0)+$FU296</f>
        <v/>
      </c>
      <c r="FW296" s="55">
        <f>$FW295+$FU296</f>
        <v/>
      </c>
      <c r="FX296" s="56">
        <f>IFERROR(IF(($CU296)&gt;0,($FI296)/($CU296),""),"")</f>
        <v/>
      </c>
      <c r="FY296" s="56">
        <f>IFERROR(IF(($CV296)&gt;0,($FJ296)/($CV296),""),"")</f>
        <v/>
      </c>
      <c r="FZ296" s="56">
        <f>IFERROR(IF(($CW296)&gt;0,($FK296)/($CW296),""),"")</f>
        <v/>
      </c>
      <c r="GA296" s="56">
        <f>IFERROR(IF(($CU296)&gt;0,($FL296)/($CU296),""),"")</f>
        <v/>
      </c>
      <c r="GB296" s="56">
        <f>IFERROR(IF(($CV296)&gt;0,($FM296)/($CV296),""),"")</f>
        <v/>
      </c>
      <c r="GC296" s="56">
        <f>IFERROR(IF(($CW296)&gt;0,($FN296)/($CW296),""),"")</f>
        <v/>
      </c>
      <c r="GD296" s="56">
        <f>IFERROR(IF(($CU296)&gt;0,($FO296)/($CU296),""),"")</f>
        <v/>
      </c>
      <c r="GE296" s="56">
        <f>IFERROR(IF(($CV296)&gt;0,($FP296)/($CV296),""),"")</f>
        <v/>
      </c>
      <c r="GF296" s="56">
        <f>IFERROR(IF(($CW296)&gt;0,($FQ296)/($CW296),""),"")</f>
        <v/>
      </c>
      <c r="GG296" s="79">
        <f>IFERROR(IF(($CU296)&gt;0,($FR296)/($CU296),""),"")</f>
        <v/>
      </c>
      <c r="GH296" s="79">
        <f>IFERROR(IF(($CV296)&gt;0,($FS296)/($CV296),""),"")</f>
        <v/>
      </c>
      <c r="GI296" s="79">
        <f>IFERROR(IF(($CW296)&gt;0,($FT296)/($CW296),""),"")</f>
        <v/>
      </c>
      <c r="GJ296" s="56">
        <f>IFERROR(IF(($CU296)&gt;0,($FU296)/($CU296),""),"")</f>
        <v/>
      </c>
      <c r="GK296" s="56">
        <f>IFERROR(IF(($CV296)&gt;0,($FV296)/($CV296),""),"")</f>
        <v/>
      </c>
      <c r="GL296" s="56">
        <f>IFERROR(IF(($CW296)&gt;0,($FW296)/($CW296),""),"")</f>
        <v/>
      </c>
      <c r="GM296" s="55">
        <f>IF(SUMIFS(tblPlant[GIC_oz],tblPlant[Date],$A296)&gt;0,SUMIFS(tblPlant[GIC_oz],tblPlant[Date],$A296),"")</f>
        <v/>
      </c>
      <c r="GN296" s="55">
        <f>SUMIFS(tblGold[Gold_oz],tblGold[Date],$A296,tblGold[Type],"Shipment")</f>
        <v/>
      </c>
      <c r="GO296" s="55">
        <f>IF($B296=$B295,$GO295,0)+$GN296</f>
        <v/>
      </c>
      <c r="GP296" s="55">
        <f>$GP295+$GN296</f>
        <v/>
      </c>
      <c r="GQ296" s="55">
        <f>SUMIFS(tblGold[Gold_oz],tblGold[Date],$A296,tblGold[Type],"Sale")</f>
        <v/>
      </c>
      <c r="GR296" s="55">
        <f>IF($B296=$B295,$GR295,0)+$GQ296</f>
        <v/>
      </c>
      <c r="GS296" s="55">
        <f>$GS295+$GQ296</f>
        <v/>
      </c>
      <c r="GT296" s="55">
        <f>SUMIFS(tblGold[Dore_kg],tblGold[Date],$A296,tblGold[Type],"Shipment")</f>
        <v/>
      </c>
      <c r="GU296" s="55">
        <f>IF($B296=$B295,$GU295,0)+$GT296</f>
        <v/>
      </c>
      <c r="GV296" s="55">
        <f>$GV295+$GT296</f>
        <v/>
      </c>
      <c r="GW296" s="57">
        <f>SUMIFS(tblSafety[Hours_Total],tblSafety[Date],$A296)</f>
        <v/>
      </c>
      <c r="GX296" s="57">
        <f>IF($B296=$B295,$GX295,0)+$GW296</f>
        <v/>
      </c>
      <c r="GY296" s="57">
        <f>$GY295+$GW296</f>
        <v/>
      </c>
      <c r="GZ296" s="62">
        <f>SUMIFS(tblSafety[Fatality],tblSafety[Date],$A296)</f>
        <v/>
      </c>
      <c r="HA296" s="62">
        <f>IF($B296=$B295,$HA295,0)+$GZ296</f>
        <v/>
      </c>
      <c r="HB296" s="62">
        <f>$HB295+$GZ296</f>
        <v/>
      </c>
      <c r="HC296" s="62">
        <f>SUMIFS(tblSafety[LTI],tblSafety[Date],$A296)</f>
        <v/>
      </c>
      <c r="HD296" s="62">
        <f>IF($B296=$B295,$HD295,0)+$HC296</f>
        <v/>
      </c>
      <c r="HE296" s="62">
        <f>$HE295+$HC296</f>
        <v/>
      </c>
      <c r="HF296" s="62">
        <f>SUMIFS(tblSafety[RWI],tblSafety[Date],$A296)</f>
        <v/>
      </c>
      <c r="HG296" s="62">
        <f>IF($B296=$B295,$HG295,0)+$HF296</f>
        <v/>
      </c>
      <c r="HH296" s="62">
        <f>$HH295+$HF296</f>
        <v/>
      </c>
      <c r="HI296" s="62">
        <f>SUMIFS(tblSafety[MTI],tblSafety[Date],$A296)</f>
        <v/>
      </c>
      <c r="HJ296" s="62">
        <f>IF($B296=$B295,$HJ295,0)+$HI296</f>
        <v/>
      </c>
      <c r="HK296" s="62">
        <f>$HK295+$HI296</f>
        <v/>
      </c>
      <c r="HL296" s="62">
        <f>SUMIFS(tblSafety[FAI],tblSafety[Date],$A296)</f>
        <v/>
      </c>
      <c r="HM296" s="62">
        <f>IF($B296=$B295,$HM295,0)+$HL296</f>
        <v/>
      </c>
      <c r="HN296" s="62">
        <f>$HN295+$HL296</f>
        <v/>
      </c>
      <c r="HO296" s="62">
        <f>SUMIFS(tblSafety[Recordables],tblSafety[Date],$A296)</f>
        <v/>
      </c>
      <c r="HP296" s="62">
        <f>IF($B296=$B295,$HP295,0)+$HO296</f>
        <v/>
      </c>
      <c r="HQ296" s="62">
        <f>$HQ295+$HO296</f>
        <v/>
      </c>
      <c r="HR296" s="62">
        <f>SUMIFS(tblSafety[Near_Miss],tblSafety[Date],$A296)</f>
        <v/>
      </c>
      <c r="HS296" s="62">
        <f>IF($B296=$B295,$HS295,0)+$HR296</f>
        <v/>
      </c>
      <c r="HT296" s="62">
        <f>$HT295+$HR296</f>
        <v/>
      </c>
      <c r="HU296" s="62">
        <f>SUMIFS(tblSafety[Hazard_Reports],tblSafety[Date],$A296)</f>
        <v/>
      </c>
      <c r="HV296" s="62">
        <f>IF($B296=$B295,$HV295,0)+$HU296</f>
        <v/>
      </c>
      <c r="HW296" s="62">
        <f>$HW295+$HU296</f>
        <v/>
      </c>
      <c r="HX296" s="62">
        <f>SUMIFS(tblSafety[HPI],tblSafety[Date],$A296)</f>
        <v/>
      </c>
      <c r="HY296" s="62">
        <f>IF($B296=$B295,$HY295,0)+$HX296</f>
        <v/>
      </c>
      <c r="HZ296" s="62">
        <f>$HZ295+$HX296</f>
        <v/>
      </c>
      <c r="IA296" s="62">
        <f>SUMIFS(tblSafety[Env_Incidents],tblSafety[Date],$A296)</f>
        <v/>
      </c>
      <c r="IB296" s="62">
        <f>IF($B296=$B295,$IB295,0)+$IA296</f>
        <v/>
      </c>
      <c r="IC296" s="62">
        <f>$IC295+$IA296</f>
        <v/>
      </c>
      <c r="ID296" s="62">
        <f>SUMIFS(tblSafety[Community_Incidents],tblSafety[Date],$A296)</f>
        <v/>
      </c>
      <c r="IE296" s="62">
        <f>IF($B296=$B295,$IE295,0)+$ID296</f>
        <v/>
      </c>
      <c r="IF296" s="62">
        <f>$IF295+$ID296</f>
        <v/>
      </c>
      <c r="IG296" s="62">
        <f>SUMIFS(tblSafety[Vehicle_Incidents],tblSafety[Date],$A296)</f>
        <v/>
      </c>
      <c r="IH296" s="62">
        <f>IF($B296=$B295,$IH295,0)+$IG296</f>
        <v/>
      </c>
      <c r="II296" s="62">
        <f>$II295+$IG296</f>
        <v/>
      </c>
      <c r="IJ296" s="62">
        <f>SUMIFS(tblSafety[Toolbox_Talks],tblSafety[Date],$A296)</f>
        <v/>
      </c>
      <c r="IK296" s="62">
        <f>IF($B296=$B295,$IK295,0)+$IJ296</f>
        <v/>
      </c>
      <c r="IL296" s="62">
        <f>$IL295+$IJ296</f>
        <v/>
      </c>
      <c r="IM296" s="62">
        <f>SUMIFS(tblSafety[Inspections],tblSafety[Date],$A296)</f>
        <v/>
      </c>
      <c r="IN296" s="62">
        <f>IF($B296=$B295,$IN295,0)+$IM296</f>
        <v/>
      </c>
      <c r="IO296" s="62">
        <f>$IO295+$IM296</f>
        <v/>
      </c>
      <c r="IP296" s="56">
        <f>IFERROR((SUMIFS(tblSafety[Recordables],tblSafety[Date],"&gt;="&amp;EDATE($E296,-12),tblSafety[Date],"&lt;="&amp;$A296)+SUMIFS(tblSafetyHistory[Recordables],tblSafetyHistory[Month],"&gt;="&amp;EDATE($E296,-12),tblSafetyHistory[Month],"&lt;"&amp;$E296,tblSafetyHistory[Use],1))/(SUMIFS(tblSafety[Hours_Total],tblSafety[Date],"&gt;="&amp;EDATE($E296,-12),tblSafety[Date],"&lt;="&amp;$A296)+SUMIFS(tblSafetyHistory[Hours_Total],tblSafetyHistory[Month],"&gt;="&amp;EDATE($E296,-12),tblSafetyHistory[Month],"&lt;"&amp;$E296,tblSafetyHistory[Use],1))*cfg_RateBasisHours,"")</f>
        <v/>
      </c>
      <c r="IQ296" s="56">
        <f>IFERROR((SUMIFS(tblSafety[LTI],tblSafety[Date],"&gt;="&amp;EDATE($E296,-12),tblSafety[Date],"&lt;="&amp;$A296)+SUMIFS(tblSafetyHistory[LTI],tblSafetyHistory[Month],"&gt;="&amp;EDATE($E296,-12),tblSafetyHistory[Month],"&lt;"&amp;$E296,tblSafetyHistory[Use],1))/(SUMIFS(tblSafety[Hours_Total],tblSafety[Date],"&gt;="&amp;EDATE($E296,-12),tblSafety[Date],"&lt;="&amp;$A296)+SUMIFS(tblSafetyHistory[Hours_Total],tblSafetyHistory[Month],"&gt;="&amp;EDATE($E296,-12),tblSafetyHistory[Month],"&lt;"&amp;$E296,tblSafetyHistory[Use],1))*cfg_RateBasisHours,"")</f>
        <v/>
      </c>
      <c r="IR296" s="62">
        <f>IF(MAX(N(cfg_PriorLTIDate),_xlfn.MAXIFS(tblSafety[Date],tblSafety[LTI],"&gt;0",tblSafety[Date],"&lt;="&amp;$A296))=0,"",$A296-MAX(N(cfg_PriorLTIDate),_xlfn.MAXIFS(tblSafety[Date],tblSafety[LTI],"&gt;0",tblSafety[Date],"&lt;="&amp;$A296)))</f>
        <v/>
      </c>
      <c r="IS296" s="55">
        <f>SUMIFS(tblBudget[Ore_Mined_t],tblBudget[Month],$E296)</f>
        <v/>
      </c>
      <c r="IT296" s="55">
        <f>$IS296*$C296/$D296</f>
        <v/>
      </c>
      <c r="IU296" s="55">
        <f>SUMIFS(tblBudget[Ore_Mined_t],tblBudget[Month],"&lt;"&amp;$E296)+$IT296</f>
        <v/>
      </c>
      <c r="IV296" s="55">
        <f>SUMIFS(tblBudget[Ore_oz],tblBudget[Month],$E296)</f>
        <v/>
      </c>
      <c r="IW296" s="55">
        <f>$IV296*$C296/$D296</f>
        <v/>
      </c>
      <c r="IX296" s="55">
        <f>SUMIFS(tblBudget[Ore_oz],tblBudget[Month],"&lt;"&amp;$E296)+$IW296</f>
        <v/>
      </c>
      <c r="IY296" s="55">
        <f>SUMIFS(tblBudget[Ore_Mined_t],tblBudget[Month],$E296)</f>
        <v/>
      </c>
      <c r="IZ296" s="55">
        <f>$IY296*$C296/$D296</f>
        <v/>
      </c>
      <c r="JA296" s="55">
        <f>SUMIFS(tblBudget[Ore_Mined_t],tblBudget[Month],"&lt;"&amp;$E296)+$IZ296</f>
        <v/>
      </c>
      <c r="JB296" s="56">
        <f>IFERROR(IF(($IY296)&gt;0,($IV296*cfg_TroyOz)/($IY296),""),"")</f>
        <v/>
      </c>
      <c r="JC296" s="56">
        <f>IFERROR(IF(($IZ296)&gt;0,($IW296*cfg_TroyOz)/($IZ296),""),"")</f>
        <v/>
      </c>
      <c r="JD296" s="56">
        <f>IFERROR(IF(($JA296)&gt;0,($IX296*cfg_TroyOz)/($JA296),""),"")</f>
        <v/>
      </c>
      <c r="JE296" s="55">
        <f>SUMIFS(tblBudget[Waste_t],tblBudget[Month],$E296)</f>
        <v/>
      </c>
      <c r="JF296" s="55">
        <f>$JE296*$C296/$D296</f>
        <v/>
      </c>
      <c r="JG296" s="55">
        <f>SUMIFS(tblBudget[Waste_t],tblBudget[Month],"&lt;"&amp;$E296)+$JF296</f>
        <v/>
      </c>
      <c r="JH296" s="55">
        <f>SUMIFS(tblBudget[TMM_t],tblBudget[Month],$E296)</f>
        <v/>
      </c>
      <c r="JI296" s="55">
        <f>$JH296*$C296/$D296</f>
        <v/>
      </c>
      <c r="JJ296" s="55">
        <f>SUMIFS(tblBudget[TMM_t],tblBudget[Month],"&lt;"&amp;$E296)+$JI296</f>
        <v/>
      </c>
      <c r="JK296" s="56">
        <f>IFERROR(IF(($IS296)&gt;0,($JE296)/($IS296),""),"")</f>
        <v/>
      </c>
      <c r="JL296" s="56">
        <f>IFERROR(IF(($IT296)&gt;0,($JF296)/($IT296),""),"")</f>
        <v/>
      </c>
      <c r="JM296" s="56">
        <f>IFERROR(IF(($IU296)&gt;0,($JG296)/($IU296),""),"")</f>
        <v/>
      </c>
      <c r="JN296" s="55">
        <f>SUMIFS(tblBudget[Drill_m],tblBudget[Month],$E296)</f>
        <v/>
      </c>
      <c r="JO296" s="55">
        <f>$JN296*$C296/$D296</f>
        <v/>
      </c>
      <c r="JP296" s="55">
        <f>SUMIFS(tblBudget[Drill_m],tblBudget[Month],"&lt;"&amp;$E296)+$JO296</f>
        <v/>
      </c>
      <c r="JQ296" s="55">
        <f>SUMIFS(tblBudget[Diesel_L],tblBudget[Month],$E296)</f>
        <v/>
      </c>
      <c r="JR296" s="55">
        <f>$JQ296*$C296/$D296</f>
        <v/>
      </c>
      <c r="JS296" s="55">
        <f>SUMIFS(tblBudget[Diesel_L],tblBudget[Month],"&lt;"&amp;$E296)+$JR296</f>
        <v/>
      </c>
      <c r="JT296" s="55">
        <f>SUMIFS(tblBudget[Milled_t],tblBudget[Month],$E296)</f>
        <v/>
      </c>
      <c r="JU296" s="55">
        <f>$JT296*$C296/$D296</f>
        <v/>
      </c>
      <c r="JV296" s="55">
        <f>SUMIFS(tblBudget[Milled_t],tblBudget[Month],"&lt;"&amp;$E296)+$JU296</f>
        <v/>
      </c>
      <c r="JW296" s="55">
        <f>SUMIFS(tblBudget[Feed_oz],tblBudget[Month],$E296)</f>
        <v/>
      </c>
      <c r="JX296" s="55">
        <f>$JW296*$C296/$D296</f>
        <v/>
      </c>
      <c r="JY296" s="55">
        <f>SUMIFS(tblBudget[Feed_oz],tblBudget[Month],"&lt;"&amp;$E296)+$JX296</f>
        <v/>
      </c>
      <c r="JZ296" s="55">
        <f>SUMIFS(tblBudget[Recovered_oz],tblBudget[Month],$E296)</f>
        <v/>
      </c>
      <c r="KA296" s="55">
        <f>$JZ296*$C296/$D296</f>
        <v/>
      </c>
      <c r="KB296" s="55">
        <f>SUMIFS(tblBudget[Recovered_oz],tblBudget[Month],"&lt;"&amp;$E296)+$KA296</f>
        <v/>
      </c>
      <c r="KC296" s="55">
        <f>SUMIFS(tblBudget[Milled_t],tblBudget[Month],$E296)</f>
        <v/>
      </c>
      <c r="KD296" s="55">
        <f>$KC296*$C296/$D296</f>
        <v/>
      </c>
      <c r="KE296" s="55">
        <f>SUMIFS(tblBudget[Milled_t],tblBudget[Month],"&lt;"&amp;$E296)+$KD296</f>
        <v/>
      </c>
      <c r="KF296" s="55">
        <f>SUMIFS(tblBudget[Feed_oz],tblBudget[Month],$E296)</f>
        <v/>
      </c>
      <c r="KG296" s="55">
        <f>$KF296*$C296/$D296</f>
        <v/>
      </c>
      <c r="KH296" s="55">
        <f>SUMIFS(tblBudget[Feed_oz],tblBudget[Month],"&lt;"&amp;$E296)+$KG296</f>
        <v/>
      </c>
      <c r="KI296" s="56">
        <f>IFERROR(IF(($KC296)&gt;0,($JW296*cfg_TroyOz)/($KC296),""),"")</f>
        <v/>
      </c>
      <c r="KJ296" s="56">
        <f>IFERROR(IF(($KD296)&gt;0,($JX296*cfg_TroyOz)/($KD296),""),"")</f>
        <v/>
      </c>
      <c r="KK296" s="56">
        <f>IFERROR(IF(($KE296)&gt;0,($JY296*cfg_TroyOz)/($KE296),""),"")</f>
        <v/>
      </c>
      <c r="KL296" s="67">
        <f>IFERROR(IF(($KF296)&gt;0,($JZ296)/($KF296),""),"")</f>
        <v/>
      </c>
      <c r="KM296" s="67">
        <f>IFERROR(IF(($KG296)&gt;0,($KA296)/($KG296),""),"")</f>
        <v/>
      </c>
      <c r="KN296" s="67">
        <f>IFERROR(IF(($KH296)&gt;0,($KB296)/($KH296),""),"")</f>
        <v/>
      </c>
      <c r="KO296" s="55">
        <f>SUMIFS(tblBudget[Gold_Poured_oz],tblBudget[Month],$E296)</f>
        <v/>
      </c>
      <c r="KP296" s="55">
        <f>$KO296*$C296/$D296</f>
        <v/>
      </c>
      <c r="KQ296" s="55">
        <f>SUMIFS(tblBudget[Gold_Poured_oz],tblBudget[Month],"&lt;"&amp;$E296)+$KP296</f>
        <v/>
      </c>
      <c r="KR296" s="57">
        <f>SUMIFS(tblBudget[Hours_Worked],tblBudget[Month],$E296)</f>
        <v/>
      </c>
      <c r="KS296" s="57">
        <f>$KR296*$C296/$D296</f>
        <v/>
      </c>
      <c r="KT296" s="57">
        <f>SUMIFS(tblBudget[Hours_Worked],tblBudget[Month],"&lt;"&amp;$E296)+$KS296</f>
        <v/>
      </c>
    </row>
    <row r="297">
      <c r="A297" s="54" t="n">
        <v>46318</v>
      </c>
      <c r="B297">
        <f>MONTH($A297)</f>
        <v/>
      </c>
      <c r="C297">
        <f>DAY($A297)</f>
        <v/>
      </c>
      <c r="D297">
        <f>DAY(EOMONTH($A297,0))</f>
        <v/>
      </c>
      <c r="E297" s="54">
        <f>DATE(YEAR($A297),MONTH($A297),1)</f>
        <v/>
      </c>
      <c r="F297" s="55">
        <f>SUMIFS(tblMovement[Tonnes_t],tblMovement[Date],$A297,tblMovement[Is_Ore],1,tblMovement[Source_Type],"Pit")</f>
        <v/>
      </c>
      <c r="G297" s="55">
        <f>IF($B297=$B296,$G296,0)+$F297</f>
        <v/>
      </c>
      <c r="H297" s="55">
        <f>$H296+$F297</f>
        <v/>
      </c>
      <c r="I297" s="55">
        <f>SUMIFS(tblMovement[Ore_oz],tblMovement[Date],$A297,tblMovement[Source_Type],"Pit")</f>
        <v/>
      </c>
      <c r="J297" s="55">
        <f>IF($B297=$B296,$J296,0)+$I297</f>
        <v/>
      </c>
      <c r="K297" s="55">
        <f>$K296+$I297</f>
        <v/>
      </c>
      <c r="L297" s="55">
        <f>SUMIFS(tblMovement[Tonnes_t],tblMovement[Date],$A297,tblMovement[Is_Ore],1,tblMovement[Source_Type],"Pit",tblMovement[Grade_gpt],"&lt;&gt;")</f>
        <v/>
      </c>
      <c r="M297" s="55">
        <f>IF($B297=$B296,$M296,0)+$L297</f>
        <v/>
      </c>
      <c r="N297" s="55">
        <f>$N296+$L297</f>
        <v/>
      </c>
      <c r="O297" s="56">
        <f>IFERROR(IF(($L297)&gt;0,($I297*cfg_TroyOz)/($L297),""),"")</f>
        <v/>
      </c>
      <c r="P297" s="56">
        <f>IFERROR(IF(($M297)&gt;0,($J297*cfg_TroyOz)/($M297),""),"")</f>
        <v/>
      </c>
      <c r="Q297" s="56">
        <f>IFERROR(IF(($N297)&gt;0,($K297*cfg_TroyOz)/($N297),""),"")</f>
        <v/>
      </c>
      <c r="R297" s="55">
        <f>$F297-$L297</f>
        <v/>
      </c>
      <c r="S297" s="55">
        <f>IF($B297=$B296,$S296,0)+$R297</f>
        <v/>
      </c>
      <c r="T297" s="55">
        <f>$T296+$R297</f>
        <v/>
      </c>
      <c r="U297" s="55">
        <f>SUMIFS(tblMovement[Tonnes_t],tblMovement[Date],$A297,tblMovement[Is_Ore],0,tblMovement[Source_Type],"Pit")</f>
        <v/>
      </c>
      <c r="V297" s="55">
        <f>IF($B297=$B296,$V296,0)+$U297</f>
        <v/>
      </c>
      <c r="W297" s="55">
        <f>$W296+$U297</f>
        <v/>
      </c>
      <c r="X297" s="55">
        <f>$F297+$U297</f>
        <v/>
      </c>
      <c r="Y297" s="55">
        <f>IF($B297=$B296,$Y296,0)+$X297</f>
        <v/>
      </c>
      <c r="Z297" s="55">
        <f>$Z296+$X297</f>
        <v/>
      </c>
      <c r="AA297" s="56">
        <f>IFERROR(IF(($F297)&gt;0,($U297)/($F297),""),"")</f>
        <v/>
      </c>
      <c r="AB297" s="56">
        <f>IFERROR(IF(($G297)&gt;0,($V297)/($G297),""),"")</f>
        <v/>
      </c>
      <c r="AC297" s="56">
        <f>IFERROR(IF(($H297)&gt;0,($W297)/($H297),""),"")</f>
        <v/>
      </c>
      <c r="AD297" s="55">
        <f>SUMIFS(tblMovement[Tonnes_t],tblMovement[Date],$A297,tblMovement[Source_Type],"Stockpile")</f>
        <v/>
      </c>
      <c r="AE297" s="55">
        <f>IF($B297=$B296,$AE296,0)+$AD297</f>
        <v/>
      </c>
      <c r="AF297" s="55">
        <f>$AF296+$AD297</f>
        <v/>
      </c>
      <c r="AG297" s="55">
        <f>SUMIFS(tblMovement[Tonnes_t],tblMovement[Date],$A297)</f>
        <v/>
      </c>
      <c r="AH297" s="55">
        <f>IF($B297=$B296,$AH296,0)+$AG297</f>
        <v/>
      </c>
      <c r="AI297" s="55">
        <f>$AI296+$AG297</f>
        <v/>
      </c>
      <c r="AJ297" s="55">
        <f>$AG297-$X297-$AD297</f>
        <v/>
      </c>
      <c r="AK297" s="55">
        <f>IF($B297=$B296,$AK296,0)+$AJ297</f>
        <v/>
      </c>
      <c r="AL297" s="55">
        <f>$AL296+$AJ297</f>
        <v/>
      </c>
      <c r="AM297" s="55">
        <f>SUMIFS(tblMiningDaily[Drill_m],tblMiningDaily[Date],$A297)</f>
        <v/>
      </c>
      <c r="AN297" s="55">
        <f>IF($B297=$B296,$AN296,0)+$AM297</f>
        <v/>
      </c>
      <c r="AO297" s="55">
        <f>$AO296+$AM297</f>
        <v/>
      </c>
      <c r="AP297" s="55">
        <f>SUMIFS(tblMiningDaily[GC_Drill_m],tblMiningDaily[Date],$A297)</f>
        <v/>
      </c>
      <c r="AQ297" s="55">
        <f>IF($B297=$B296,$AQ296,0)+$AP297</f>
        <v/>
      </c>
      <c r="AR297" s="55">
        <f>$AR296+$AP297</f>
        <v/>
      </c>
      <c r="AS297" s="55">
        <f>SUMIFS(tblMiningDaily[Blast_t],tblMiningDaily[Date],$A297)</f>
        <v/>
      </c>
      <c r="AT297" s="55">
        <f>IF($B297=$B296,$AT296,0)+$AS297</f>
        <v/>
      </c>
      <c r="AU297" s="55">
        <f>$AU296+$AS297</f>
        <v/>
      </c>
      <c r="AV297" s="55">
        <f>SUMIFS(tblMiningDaily[Explosives_kg],tblMiningDaily[Date],$A297)</f>
        <v/>
      </c>
      <c r="AW297" s="55">
        <f>IF($B297=$B296,$AW296,0)+$AV297</f>
        <v/>
      </c>
      <c r="AX297" s="55">
        <f>$AX296+$AV297</f>
        <v/>
      </c>
      <c r="AY297" s="56">
        <f>IFERROR(IF(($AS297)&gt;0,($AV297)/($AS297),""),"")</f>
        <v/>
      </c>
      <c r="AZ297" s="56">
        <f>IFERROR(IF(($AT297)&gt;0,($AW297)/($AT297),""),"")</f>
        <v/>
      </c>
      <c r="BA297" s="56">
        <f>IFERROR(IF(($AU297)&gt;0,($AX297)/($AU297),""),"")</f>
        <v/>
      </c>
      <c r="BB297" s="55">
        <f>SUMIFS(tblMiningDaily[Diesel_L],tblMiningDaily[Date],$A297)</f>
        <v/>
      </c>
      <c r="BC297" s="55">
        <f>IF($B297=$B296,$BC296,0)+$BB297</f>
        <v/>
      </c>
      <c r="BD297" s="55">
        <f>$BD296+$BB297</f>
        <v/>
      </c>
      <c r="BE297" s="55">
        <f>SUMIFS(tblMiningDaily[Dewatering_m3],tblMiningDaily[Date],$A297)</f>
        <v/>
      </c>
      <c r="BF297" s="55">
        <f>IF($B297=$B296,$BF296,0)+$BE297</f>
        <v/>
      </c>
      <c r="BG297" s="55">
        <f>$BG296+$BE297</f>
        <v/>
      </c>
      <c r="BH297" s="57">
        <f>SUMIFS(tblFleet[Calendar_h],tblFleet[Date],$A297,tblFleet[Equipment_Class],"Excavator")</f>
        <v/>
      </c>
      <c r="BI297" s="57">
        <f>IF($B297=$B296,$BI296,0)+$BH297</f>
        <v/>
      </c>
      <c r="BJ297" s="57">
        <f>$BJ296+$BH297</f>
        <v/>
      </c>
      <c r="BK297" s="57">
        <f>SUMIFS(tblFleet[Available_h],tblFleet[Date],$A297,tblFleet[Equipment_Class],"Excavator")</f>
        <v/>
      </c>
      <c r="BL297" s="57">
        <f>IF($B297=$B296,$BL296,0)+$BK297</f>
        <v/>
      </c>
      <c r="BM297" s="57">
        <f>$BM296+$BK297</f>
        <v/>
      </c>
      <c r="BN297" s="57">
        <f>SUMIFS(tblFleet[Operating_h],tblFleet[Date],$A297,tblFleet[Equipment_Class],"Excavator")</f>
        <v/>
      </c>
      <c r="BO297" s="57">
        <f>IF($B297=$B296,$BO296,0)+$BN297</f>
        <v/>
      </c>
      <c r="BP297" s="57">
        <f>$BP296+$BN297</f>
        <v/>
      </c>
      <c r="BQ297" s="67">
        <f>IFERROR(IF(($BH297)&gt;0,($BK297)/($BH297),""),"")</f>
        <v/>
      </c>
      <c r="BR297" s="67">
        <f>IFERROR(IF(($BI297)&gt;0,($BL297)/($BI297),""),"")</f>
        <v/>
      </c>
      <c r="BS297" s="67">
        <f>IFERROR(IF(($BJ297)&gt;0,($BM297)/($BJ297),""),"")</f>
        <v/>
      </c>
      <c r="BT297" s="67">
        <f>IFERROR(IF(($BK297)&gt;0,($BN297)/($BK297),""),"")</f>
        <v/>
      </c>
      <c r="BU297" s="67">
        <f>IFERROR(IF(($BL297)&gt;0,($BO297)/($BL297),""),"")</f>
        <v/>
      </c>
      <c r="BV297" s="67">
        <f>IFERROR(IF(($BM297)&gt;0,($BP297)/($BM297),""),"")</f>
        <v/>
      </c>
      <c r="BW297" s="57">
        <f>SUMIFS(tblFleet[Calendar_h],tblFleet[Date],$A297,tblFleet[Equipment_Class],"Haul Truck")</f>
        <v/>
      </c>
      <c r="BX297" s="57">
        <f>IF($B297=$B296,$BX296,0)+$BW297</f>
        <v/>
      </c>
      <c r="BY297" s="57">
        <f>$BY296+$BW297</f>
        <v/>
      </c>
      <c r="BZ297" s="57">
        <f>SUMIFS(tblFleet[Available_h],tblFleet[Date],$A297,tblFleet[Equipment_Class],"Haul Truck")</f>
        <v/>
      </c>
      <c r="CA297" s="57">
        <f>IF($B297=$B296,$CA296,0)+$BZ297</f>
        <v/>
      </c>
      <c r="CB297" s="57">
        <f>$CB296+$BZ297</f>
        <v/>
      </c>
      <c r="CC297" s="57">
        <f>SUMIFS(tblFleet[Operating_h],tblFleet[Date],$A297,tblFleet[Equipment_Class],"Haul Truck")</f>
        <v/>
      </c>
      <c r="CD297" s="57">
        <f>IF($B297=$B296,$CD296,0)+$CC297</f>
        <v/>
      </c>
      <c r="CE297" s="57">
        <f>$CE296+$CC297</f>
        <v/>
      </c>
      <c r="CF297" s="67">
        <f>IFERROR(IF(($BW297)&gt;0,($BZ297)/($BW297),""),"")</f>
        <v/>
      </c>
      <c r="CG297" s="67">
        <f>IFERROR(IF(($BX297)&gt;0,($CA297)/($BX297),""),"")</f>
        <v/>
      </c>
      <c r="CH297" s="67">
        <f>IFERROR(IF(($BY297)&gt;0,($CB297)/($BY297),""),"")</f>
        <v/>
      </c>
      <c r="CI297" s="67">
        <f>IFERROR(IF(($BZ297)&gt;0,($CC297)/($BZ297),""),"")</f>
        <v/>
      </c>
      <c r="CJ297" s="67">
        <f>IFERROR(IF(($CA297)&gt;0,($CD297)/($CA297),""),"")</f>
        <v/>
      </c>
      <c r="CK297" s="67">
        <f>IFERROR(IF(($CB297)&gt;0,($CE297)/($CB297),""),"")</f>
        <v/>
      </c>
      <c r="CL297" s="55">
        <f>IFERROR(IF(($BN297)&gt;0,($X297+$AD297)/($BN297),""),"")</f>
        <v/>
      </c>
      <c r="CM297" s="55">
        <f>IFERROR(IF(($BO297)&gt;0,($Y297+$AE297)/($BO297),""),"")</f>
        <v/>
      </c>
      <c r="CN297" s="55">
        <f>IFERROR(IF(($BP297)&gt;0,($Z297+$AF297)/($BP297),""),"")</f>
        <v/>
      </c>
      <c r="CO297" s="55">
        <f>IFERROR(IF(($CC297)&gt;0,($X297+$AD297)/($CC297),""),"")</f>
        <v/>
      </c>
      <c r="CP297" s="55">
        <f>IFERROR(IF(($CD297)&gt;0,($Y297+$AE297)/($CD297),""),"")</f>
        <v/>
      </c>
      <c r="CQ297" s="55">
        <f>IFERROR(IF(($CE297)&gt;0,($Z297+$AF297)/($CE297),""),"")</f>
        <v/>
      </c>
      <c r="CR297" s="55">
        <f>SUMIFS(tblPlant[Crushed_t],tblPlant[Date],$A297)</f>
        <v/>
      </c>
      <c r="CS297" s="55">
        <f>IF($B297=$B296,$CS296,0)+$CR297</f>
        <v/>
      </c>
      <c r="CT297" s="55">
        <f>$CT296+$CR297</f>
        <v/>
      </c>
      <c r="CU297" s="55">
        <f>SUMIFS(tblPlant[Milled_t],tblPlant[Date],$A297)</f>
        <v/>
      </c>
      <c r="CV297" s="55">
        <f>IF($B297=$B296,$CV296,0)+$CU297</f>
        <v/>
      </c>
      <c r="CW297" s="55">
        <f>$CW296+$CU297</f>
        <v/>
      </c>
      <c r="CX297" s="55">
        <f>SUMIFS(tblPlant[Feed_oz],tblPlant[Date],$A297)</f>
        <v/>
      </c>
      <c r="CY297" s="55">
        <f>IF($B297=$B296,$CY296,0)+$CX297</f>
        <v/>
      </c>
      <c r="CZ297" s="55">
        <f>$CZ296+$CX297</f>
        <v/>
      </c>
      <c r="DA297" s="55">
        <f>SUMIFS(tblPlant[Tails_oz],tblPlant[Date],$A297)</f>
        <v/>
      </c>
      <c r="DB297" s="55">
        <f>IF($B297=$B296,$DB296,0)+$DA297</f>
        <v/>
      </c>
      <c r="DC297" s="55">
        <f>$DC296+$DA297</f>
        <v/>
      </c>
      <c r="DD297" s="55">
        <f>SUMIFS(tblPlant[Recovered_oz],tblPlant[Date],$A297)</f>
        <v/>
      </c>
      <c r="DE297" s="55">
        <f>IF($B297=$B296,$DE296,0)+$DD297</f>
        <v/>
      </c>
      <c r="DF297" s="55">
        <f>$DF296+$DD297</f>
        <v/>
      </c>
      <c r="DG297" s="55">
        <f>SUMIFS(tblPlant[Milled_t],tblPlant[Date],$A297,tblPlant[Head_Grade_gpt],"&lt;&gt;")</f>
        <v/>
      </c>
      <c r="DH297" s="55">
        <f>IF($B297=$B296,$DH296,0)+$DG297</f>
        <v/>
      </c>
      <c r="DI297" s="55">
        <f>$DI296+$DG297</f>
        <v/>
      </c>
      <c r="DJ297" s="55">
        <f>SUMIFS(tblPlant[Milled_t],tblPlant[Date],$A297,tblPlant[Tails_Grade_gpt],"&lt;&gt;")</f>
        <v/>
      </c>
      <c r="DK297" s="55">
        <f>IF($B297=$B296,$DK296,0)+$DJ297</f>
        <v/>
      </c>
      <c r="DL297" s="55">
        <f>$DL296+$DJ297</f>
        <v/>
      </c>
      <c r="DM297" s="55">
        <f>SUMIFS(tblPlant[Feed_oz],tblPlant[Date],$A297,tblPlant[Tails_Grade_gpt],"&lt;&gt;")</f>
        <v/>
      </c>
      <c r="DN297" s="55">
        <f>IF($B297=$B296,$DN296,0)+$DM297</f>
        <v/>
      </c>
      <c r="DO297" s="55">
        <f>$DO296+$DM297</f>
        <v/>
      </c>
      <c r="DP297" s="55">
        <f>SUMIFS(tblPlant[Milled_t],tblPlant[Date],$A297,tblPlant[Mill_Run_h],"&lt;&gt;")</f>
        <v/>
      </c>
      <c r="DQ297" s="55">
        <f>IF($B297=$B296,$DQ296,0)+$DP297</f>
        <v/>
      </c>
      <c r="DR297" s="55">
        <f>$DR296+$DP297</f>
        <v/>
      </c>
      <c r="DS297" s="56">
        <f>IFERROR(IF(($DG297)&gt;0,($CX297*cfg_TroyOz)/($DG297),""),"")</f>
        <v/>
      </c>
      <c r="DT297" s="56">
        <f>IFERROR(IF(($DH297)&gt;0,($CY297*cfg_TroyOz)/($DH297),""),"")</f>
        <v/>
      </c>
      <c r="DU297" s="56">
        <f>IFERROR(IF(($DI297)&gt;0,($CZ297*cfg_TroyOz)/($DI297),""),"")</f>
        <v/>
      </c>
      <c r="DV297" s="56">
        <f>IFERROR(IF(($DJ297)&gt;0,($DA297*cfg_TroyOz)/($DJ297),""),"")</f>
        <v/>
      </c>
      <c r="DW297" s="56">
        <f>IFERROR(IF(($DK297)&gt;0,($DB297*cfg_TroyOz)/($DK297),""),"")</f>
        <v/>
      </c>
      <c r="DX297" s="56">
        <f>IFERROR(IF(($DL297)&gt;0,($DC297*cfg_TroyOz)/($DL297),""),"")</f>
        <v/>
      </c>
      <c r="DY297" s="67">
        <f>IFERROR(IF(($DM297)&gt;0,($DD297)/($DM297),""),"")</f>
        <v/>
      </c>
      <c r="DZ297" s="67">
        <f>IFERROR(IF(($DN297)&gt;0,($DE297)/($DN297),""),"")</f>
        <v/>
      </c>
      <c r="EA297" s="67">
        <f>IFERROR(IF(($DO297)&gt;0,($DF297)/($DO297),""),"")</f>
        <v/>
      </c>
      <c r="EB297" s="55">
        <f>SUMIFS(tblPlant[Gravity_Gold_oz],tblPlant[Date],$A297)</f>
        <v/>
      </c>
      <c r="EC297" s="55">
        <f>IF($B297=$B296,$EC296,0)+$EB297</f>
        <v/>
      </c>
      <c r="ED297" s="55">
        <f>$ED296+$EB297</f>
        <v/>
      </c>
      <c r="EE297" s="67">
        <f>IFERROR(IF(($DD297)&gt;0,($EB297)/($DD297),""),"")</f>
        <v/>
      </c>
      <c r="EF297" s="67">
        <f>IFERROR(IF(($DE297)&gt;0,($EC297)/($DE297),""),"")</f>
        <v/>
      </c>
      <c r="EG297" s="67">
        <f>IFERROR(IF(($DF297)&gt;0,($ED297)/($DF297),""),"")</f>
        <v/>
      </c>
      <c r="EH297" s="55">
        <f>SUMIFS(tblPlant[Gold_Poured_oz],tblPlant[Date],$A297)</f>
        <v/>
      </c>
      <c r="EI297" s="55">
        <f>IF($B297=$B296,$EI296,0)+$EH297</f>
        <v/>
      </c>
      <c r="EJ297" s="55">
        <f>$EJ296+$EH297</f>
        <v/>
      </c>
      <c r="EK297" s="57">
        <f>SUMIFS(tblPlant[Mill_Run_h],tblPlant[Date],$A297)</f>
        <v/>
      </c>
      <c r="EL297" s="57">
        <f>IF($B297=$B296,$EL296,0)+$EK297</f>
        <v/>
      </c>
      <c r="EM297" s="57">
        <f>$EM296+$EK297</f>
        <v/>
      </c>
      <c r="EN297" s="57">
        <f>SUMIFS(tblPlant[Mill_Planned_Maint_h],tblPlant[Date],$A297)</f>
        <v/>
      </c>
      <c r="EO297" s="57">
        <f>IF($B297=$B296,$EO296,0)+$EN297</f>
        <v/>
      </c>
      <c r="EP297" s="57">
        <f>$EP296+$EN297</f>
        <v/>
      </c>
      <c r="EQ297" s="57">
        <f>SUMIFS(tblPlant[Mill_Unplanned_Down_h],tblPlant[Date],$A297)</f>
        <v/>
      </c>
      <c r="ER297" s="57">
        <f>IF($B297=$B296,$ER296,0)+$EQ297</f>
        <v/>
      </c>
      <c r="ES297" s="57">
        <f>$ES296+$EQ297</f>
        <v/>
      </c>
      <c r="ET297" s="57">
        <f>IF(COUNTIFS(tblPlant[Date],$A297,tblPlant[Mill_Run_h],"&lt;&gt;")+COUNTIFS(tblPlant[Date],$A297,tblPlant[Mill_Planned_Maint_h],"&lt;&gt;")+COUNTIFS(tblPlant[Date],$A297,tblPlant[Mill_Unplanned_Down_h],"&lt;&gt;")&gt;0,cfg_HoursPerDay,0)</f>
        <v/>
      </c>
      <c r="EU297" s="57">
        <f>IF($B297=$B296,$EU296,0)+$ET297</f>
        <v/>
      </c>
      <c r="EV297" s="57">
        <f>$EV296+$ET297</f>
        <v/>
      </c>
      <c r="EW297" s="57">
        <f>SUMIFS(tblPlant[Crusher_Run_h],tblPlant[Date],$A297)</f>
        <v/>
      </c>
      <c r="EX297" s="57">
        <f>IF($B297=$B296,$EX296,0)+$EW297</f>
        <v/>
      </c>
      <c r="EY297" s="57">
        <f>$EY296+$EW297</f>
        <v/>
      </c>
      <c r="EZ297" s="55">
        <f>IFERROR(IF(($EK297)&gt;0,($DP297)/($EK297),""),"")</f>
        <v/>
      </c>
      <c r="FA297" s="55">
        <f>IFERROR(IF(($EL297)&gt;0,($DQ297)/($EL297),""),"")</f>
        <v/>
      </c>
      <c r="FB297" s="55">
        <f>IFERROR(IF(($EM297)&gt;0,($DR297)/($EM297),""),"")</f>
        <v/>
      </c>
      <c r="FC297" s="67">
        <f>IFERROR(IF(($ET297)&gt;0,($ET297-$EN297-$EQ297)/($ET297),""),"")</f>
        <v/>
      </c>
      <c r="FD297" s="67">
        <f>IFERROR(IF(($EU297)&gt;0,($EU297-$EO297-$ER297)/($EU297),""),"")</f>
        <v/>
      </c>
      <c r="FE297" s="67">
        <f>IFERROR(IF(($EV297)&gt;0,($EV297-$EP297-$ES297)/($EV297),""),"")</f>
        <v/>
      </c>
      <c r="FF297" s="67">
        <f>IFERROR(IF(($ET297-$EN297-$EQ297)&gt;0,($EK297)/($ET297-$EN297-$EQ297),""),"")</f>
        <v/>
      </c>
      <c r="FG297" s="67">
        <f>IFERROR(IF(($EU297-$EO297-$ER297)&gt;0,($EL297)/($EU297-$EO297-$ER297),""),"")</f>
        <v/>
      </c>
      <c r="FH297" s="67">
        <f>IFERROR(IF(($EV297-$EP297-$ES297)&gt;0,($EM297)/($EV297-$EP297-$ES297),""),"")</f>
        <v/>
      </c>
      <c r="FI297" s="55">
        <f>SUMIFS(tblPlant[Cyanide_kg],tblPlant[Date],$A297)</f>
        <v/>
      </c>
      <c r="FJ297" s="55">
        <f>IF($B297=$B296,$FJ296,0)+$FI297</f>
        <v/>
      </c>
      <c r="FK297" s="55">
        <f>$FK296+$FI297</f>
        <v/>
      </c>
      <c r="FL297" s="55">
        <f>SUMIFS(tblPlant[Lime_kg],tblPlant[Date],$A297)</f>
        <v/>
      </c>
      <c r="FM297" s="55">
        <f>IF($B297=$B296,$FM296,0)+$FL297</f>
        <v/>
      </c>
      <c r="FN297" s="55">
        <f>$FN296+$FL297</f>
        <v/>
      </c>
      <c r="FO297" s="55">
        <f>SUMIFS(tblPlant[Grinding_Media_kg],tblPlant[Date],$A297)</f>
        <v/>
      </c>
      <c r="FP297" s="55">
        <f>IF($B297=$B296,$FP296,0)+$FO297</f>
        <v/>
      </c>
      <c r="FQ297" s="55">
        <f>$FQ296+$FO297</f>
        <v/>
      </c>
      <c r="FR297" s="55">
        <f>SUMIFS(tblPlant[Power_kWh],tblPlant[Date],$A297)</f>
        <v/>
      </c>
      <c r="FS297" s="55">
        <f>IF($B297=$B296,$FS296,0)+$FR297</f>
        <v/>
      </c>
      <c r="FT297" s="55">
        <f>$FT296+$FR297</f>
        <v/>
      </c>
      <c r="FU297" s="55">
        <f>SUMIFS(tblPlant[Raw_Water_m3],tblPlant[Date],$A297)</f>
        <v/>
      </c>
      <c r="FV297" s="55">
        <f>IF($B297=$B296,$FV296,0)+$FU297</f>
        <v/>
      </c>
      <c r="FW297" s="55">
        <f>$FW296+$FU297</f>
        <v/>
      </c>
      <c r="FX297" s="56">
        <f>IFERROR(IF(($CU297)&gt;0,($FI297)/($CU297),""),"")</f>
        <v/>
      </c>
      <c r="FY297" s="56">
        <f>IFERROR(IF(($CV297)&gt;0,($FJ297)/($CV297),""),"")</f>
        <v/>
      </c>
      <c r="FZ297" s="56">
        <f>IFERROR(IF(($CW297)&gt;0,($FK297)/($CW297),""),"")</f>
        <v/>
      </c>
      <c r="GA297" s="56">
        <f>IFERROR(IF(($CU297)&gt;0,($FL297)/($CU297),""),"")</f>
        <v/>
      </c>
      <c r="GB297" s="56">
        <f>IFERROR(IF(($CV297)&gt;0,($FM297)/($CV297),""),"")</f>
        <v/>
      </c>
      <c r="GC297" s="56">
        <f>IFERROR(IF(($CW297)&gt;0,($FN297)/($CW297),""),"")</f>
        <v/>
      </c>
      <c r="GD297" s="56">
        <f>IFERROR(IF(($CU297)&gt;0,($FO297)/($CU297),""),"")</f>
        <v/>
      </c>
      <c r="GE297" s="56">
        <f>IFERROR(IF(($CV297)&gt;0,($FP297)/($CV297),""),"")</f>
        <v/>
      </c>
      <c r="GF297" s="56">
        <f>IFERROR(IF(($CW297)&gt;0,($FQ297)/($CW297),""),"")</f>
        <v/>
      </c>
      <c r="GG297" s="79">
        <f>IFERROR(IF(($CU297)&gt;0,($FR297)/($CU297),""),"")</f>
        <v/>
      </c>
      <c r="GH297" s="79">
        <f>IFERROR(IF(($CV297)&gt;0,($FS297)/($CV297),""),"")</f>
        <v/>
      </c>
      <c r="GI297" s="79">
        <f>IFERROR(IF(($CW297)&gt;0,($FT297)/($CW297),""),"")</f>
        <v/>
      </c>
      <c r="GJ297" s="56">
        <f>IFERROR(IF(($CU297)&gt;0,($FU297)/($CU297),""),"")</f>
        <v/>
      </c>
      <c r="GK297" s="56">
        <f>IFERROR(IF(($CV297)&gt;0,($FV297)/($CV297),""),"")</f>
        <v/>
      </c>
      <c r="GL297" s="56">
        <f>IFERROR(IF(($CW297)&gt;0,($FW297)/($CW297),""),"")</f>
        <v/>
      </c>
      <c r="GM297" s="55">
        <f>IF(SUMIFS(tblPlant[GIC_oz],tblPlant[Date],$A297)&gt;0,SUMIFS(tblPlant[GIC_oz],tblPlant[Date],$A297),"")</f>
        <v/>
      </c>
      <c r="GN297" s="55">
        <f>SUMIFS(tblGold[Gold_oz],tblGold[Date],$A297,tblGold[Type],"Shipment")</f>
        <v/>
      </c>
      <c r="GO297" s="55">
        <f>IF($B297=$B296,$GO296,0)+$GN297</f>
        <v/>
      </c>
      <c r="GP297" s="55">
        <f>$GP296+$GN297</f>
        <v/>
      </c>
      <c r="GQ297" s="55">
        <f>SUMIFS(tblGold[Gold_oz],tblGold[Date],$A297,tblGold[Type],"Sale")</f>
        <v/>
      </c>
      <c r="GR297" s="55">
        <f>IF($B297=$B296,$GR296,0)+$GQ297</f>
        <v/>
      </c>
      <c r="GS297" s="55">
        <f>$GS296+$GQ297</f>
        <v/>
      </c>
      <c r="GT297" s="55">
        <f>SUMIFS(tblGold[Dore_kg],tblGold[Date],$A297,tblGold[Type],"Shipment")</f>
        <v/>
      </c>
      <c r="GU297" s="55">
        <f>IF($B297=$B296,$GU296,0)+$GT297</f>
        <v/>
      </c>
      <c r="GV297" s="55">
        <f>$GV296+$GT297</f>
        <v/>
      </c>
      <c r="GW297" s="57">
        <f>SUMIFS(tblSafety[Hours_Total],tblSafety[Date],$A297)</f>
        <v/>
      </c>
      <c r="GX297" s="57">
        <f>IF($B297=$B296,$GX296,0)+$GW297</f>
        <v/>
      </c>
      <c r="GY297" s="57">
        <f>$GY296+$GW297</f>
        <v/>
      </c>
      <c r="GZ297" s="62">
        <f>SUMIFS(tblSafety[Fatality],tblSafety[Date],$A297)</f>
        <v/>
      </c>
      <c r="HA297" s="62">
        <f>IF($B297=$B296,$HA296,0)+$GZ297</f>
        <v/>
      </c>
      <c r="HB297" s="62">
        <f>$HB296+$GZ297</f>
        <v/>
      </c>
      <c r="HC297" s="62">
        <f>SUMIFS(tblSafety[LTI],tblSafety[Date],$A297)</f>
        <v/>
      </c>
      <c r="HD297" s="62">
        <f>IF($B297=$B296,$HD296,0)+$HC297</f>
        <v/>
      </c>
      <c r="HE297" s="62">
        <f>$HE296+$HC297</f>
        <v/>
      </c>
      <c r="HF297" s="62">
        <f>SUMIFS(tblSafety[RWI],tblSafety[Date],$A297)</f>
        <v/>
      </c>
      <c r="HG297" s="62">
        <f>IF($B297=$B296,$HG296,0)+$HF297</f>
        <v/>
      </c>
      <c r="HH297" s="62">
        <f>$HH296+$HF297</f>
        <v/>
      </c>
      <c r="HI297" s="62">
        <f>SUMIFS(tblSafety[MTI],tblSafety[Date],$A297)</f>
        <v/>
      </c>
      <c r="HJ297" s="62">
        <f>IF($B297=$B296,$HJ296,0)+$HI297</f>
        <v/>
      </c>
      <c r="HK297" s="62">
        <f>$HK296+$HI297</f>
        <v/>
      </c>
      <c r="HL297" s="62">
        <f>SUMIFS(tblSafety[FAI],tblSafety[Date],$A297)</f>
        <v/>
      </c>
      <c r="HM297" s="62">
        <f>IF($B297=$B296,$HM296,0)+$HL297</f>
        <v/>
      </c>
      <c r="HN297" s="62">
        <f>$HN296+$HL297</f>
        <v/>
      </c>
      <c r="HO297" s="62">
        <f>SUMIFS(tblSafety[Recordables],tblSafety[Date],$A297)</f>
        <v/>
      </c>
      <c r="HP297" s="62">
        <f>IF($B297=$B296,$HP296,0)+$HO297</f>
        <v/>
      </c>
      <c r="HQ297" s="62">
        <f>$HQ296+$HO297</f>
        <v/>
      </c>
      <c r="HR297" s="62">
        <f>SUMIFS(tblSafety[Near_Miss],tblSafety[Date],$A297)</f>
        <v/>
      </c>
      <c r="HS297" s="62">
        <f>IF($B297=$B296,$HS296,0)+$HR297</f>
        <v/>
      </c>
      <c r="HT297" s="62">
        <f>$HT296+$HR297</f>
        <v/>
      </c>
      <c r="HU297" s="62">
        <f>SUMIFS(tblSafety[Hazard_Reports],tblSafety[Date],$A297)</f>
        <v/>
      </c>
      <c r="HV297" s="62">
        <f>IF($B297=$B296,$HV296,0)+$HU297</f>
        <v/>
      </c>
      <c r="HW297" s="62">
        <f>$HW296+$HU297</f>
        <v/>
      </c>
      <c r="HX297" s="62">
        <f>SUMIFS(tblSafety[HPI],tblSafety[Date],$A297)</f>
        <v/>
      </c>
      <c r="HY297" s="62">
        <f>IF($B297=$B296,$HY296,0)+$HX297</f>
        <v/>
      </c>
      <c r="HZ297" s="62">
        <f>$HZ296+$HX297</f>
        <v/>
      </c>
      <c r="IA297" s="62">
        <f>SUMIFS(tblSafety[Env_Incidents],tblSafety[Date],$A297)</f>
        <v/>
      </c>
      <c r="IB297" s="62">
        <f>IF($B297=$B296,$IB296,0)+$IA297</f>
        <v/>
      </c>
      <c r="IC297" s="62">
        <f>$IC296+$IA297</f>
        <v/>
      </c>
      <c r="ID297" s="62">
        <f>SUMIFS(tblSafety[Community_Incidents],tblSafety[Date],$A297)</f>
        <v/>
      </c>
      <c r="IE297" s="62">
        <f>IF($B297=$B296,$IE296,0)+$ID297</f>
        <v/>
      </c>
      <c r="IF297" s="62">
        <f>$IF296+$ID297</f>
        <v/>
      </c>
      <c r="IG297" s="62">
        <f>SUMIFS(tblSafety[Vehicle_Incidents],tblSafety[Date],$A297)</f>
        <v/>
      </c>
      <c r="IH297" s="62">
        <f>IF($B297=$B296,$IH296,0)+$IG297</f>
        <v/>
      </c>
      <c r="II297" s="62">
        <f>$II296+$IG297</f>
        <v/>
      </c>
      <c r="IJ297" s="62">
        <f>SUMIFS(tblSafety[Toolbox_Talks],tblSafety[Date],$A297)</f>
        <v/>
      </c>
      <c r="IK297" s="62">
        <f>IF($B297=$B296,$IK296,0)+$IJ297</f>
        <v/>
      </c>
      <c r="IL297" s="62">
        <f>$IL296+$IJ297</f>
        <v/>
      </c>
      <c r="IM297" s="62">
        <f>SUMIFS(tblSafety[Inspections],tblSafety[Date],$A297)</f>
        <v/>
      </c>
      <c r="IN297" s="62">
        <f>IF($B297=$B296,$IN296,0)+$IM297</f>
        <v/>
      </c>
      <c r="IO297" s="62">
        <f>$IO296+$IM297</f>
        <v/>
      </c>
      <c r="IP297" s="56">
        <f>IFERROR((SUMIFS(tblSafety[Recordables],tblSafety[Date],"&gt;="&amp;EDATE($E297,-12),tblSafety[Date],"&lt;="&amp;$A297)+SUMIFS(tblSafetyHistory[Recordables],tblSafetyHistory[Month],"&gt;="&amp;EDATE($E297,-12),tblSafetyHistory[Month],"&lt;"&amp;$E297,tblSafetyHistory[Use],1))/(SUMIFS(tblSafety[Hours_Total],tblSafety[Date],"&gt;="&amp;EDATE($E297,-12),tblSafety[Date],"&lt;="&amp;$A297)+SUMIFS(tblSafetyHistory[Hours_Total],tblSafetyHistory[Month],"&gt;="&amp;EDATE($E297,-12),tblSafetyHistory[Month],"&lt;"&amp;$E297,tblSafetyHistory[Use],1))*cfg_RateBasisHours,"")</f>
        <v/>
      </c>
      <c r="IQ297" s="56">
        <f>IFERROR((SUMIFS(tblSafety[LTI],tblSafety[Date],"&gt;="&amp;EDATE($E297,-12),tblSafety[Date],"&lt;="&amp;$A297)+SUMIFS(tblSafetyHistory[LTI],tblSafetyHistory[Month],"&gt;="&amp;EDATE($E297,-12),tblSafetyHistory[Month],"&lt;"&amp;$E297,tblSafetyHistory[Use],1))/(SUMIFS(tblSafety[Hours_Total],tblSafety[Date],"&gt;="&amp;EDATE($E297,-12),tblSafety[Date],"&lt;="&amp;$A297)+SUMIFS(tblSafetyHistory[Hours_Total],tblSafetyHistory[Month],"&gt;="&amp;EDATE($E297,-12),tblSafetyHistory[Month],"&lt;"&amp;$E297,tblSafetyHistory[Use],1))*cfg_RateBasisHours,"")</f>
        <v/>
      </c>
      <c r="IR297" s="62">
        <f>IF(MAX(N(cfg_PriorLTIDate),_xlfn.MAXIFS(tblSafety[Date],tblSafety[LTI],"&gt;0",tblSafety[Date],"&lt;="&amp;$A297))=0,"",$A297-MAX(N(cfg_PriorLTIDate),_xlfn.MAXIFS(tblSafety[Date],tblSafety[LTI],"&gt;0",tblSafety[Date],"&lt;="&amp;$A297)))</f>
        <v/>
      </c>
      <c r="IS297" s="55">
        <f>SUMIFS(tblBudget[Ore_Mined_t],tblBudget[Month],$E297)</f>
        <v/>
      </c>
      <c r="IT297" s="55">
        <f>$IS297*$C297/$D297</f>
        <v/>
      </c>
      <c r="IU297" s="55">
        <f>SUMIFS(tblBudget[Ore_Mined_t],tblBudget[Month],"&lt;"&amp;$E297)+$IT297</f>
        <v/>
      </c>
      <c r="IV297" s="55">
        <f>SUMIFS(tblBudget[Ore_oz],tblBudget[Month],$E297)</f>
        <v/>
      </c>
      <c r="IW297" s="55">
        <f>$IV297*$C297/$D297</f>
        <v/>
      </c>
      <c r="IX297" s="55">
        <f>SUMIFS(tblBudget[Ore_oz],tblBudget[Month],"&lt;"&amp;$E297)+$IW297</f>
        <v/>
      </c>
      <c r="IY297" s="55">
        <f>SUMIFS(tblBudget[Ore_Mined_t],tblBudget[Month],$E297)</f>
        <v/>
      </c>
      <c r="IZ297" s="55">
        <f>$IY297*$C297/$D297</f>
        <v/>
      </c>
      <c r="JA297" s="55">
        <f>SUMIFS(tblBudget[Ore_Mined_t],tblBudget[Month],"&lt;"&amp;$E297)+$IZ297</f>
        <v/>
      </c>
      <c r="JB297" s="56">
        <f>IFERROR(IF(($IY297)&gt;0,($IV297*cfg_TroyOz)/($IY297),""),"")</f>
        <v/>
      </c>
      <c r="JC297" s="56">
        <f>IFERROR(IF(($IZ297)&gt;0,($IW297*cfg_TroyOz)/($IZ297),""),"")</f>
        <v/>
      </c>
      <c r="JD297" s="56">
        <f>IFERROR(IF(($JA297)&gt;0,($IX297*cfg_TroyOz)/($JA297),""),"")</f>
        <v/>
      </c>
      <c r="JE297" s="55">
        <f>SUMIFS(tblBudget[Waste_t],tblBudget[Month],$E297)</f>
        <v/>
      </c>
      <c r="JF297" s="55">
        <f>$JE297*$C297/$D297</f>
        <v/>
      </c>
      <c r="JG297" s="55">
        <f>SUMIFS(tblBudget[Waste_t],tblBudget[Month],"&lt;"&amp;$E297)+$JF297</f>
        <v/>
      </c>
      <c r="JH297" s="55">
        <f>SUMIFS(tblBudget[TMM_t],tblBudget[Month],$E297)</f>
        <v/>
      </c>
      <c r="JI297" s="55">
        <f>$JH297*$C297/$D297</f>
        <v/>
      </c>
      <c r="JJ297" s="55">
        <f>SUMIFS(tblBudget[TMM_t],tblBudget[Month],"&lt;"&amp;$E297)+$JI297</f>
        <v/>
      </c>
      <c r="JK297" s="56">
        <f>IFERROR(IF(($IS297)&gt;0,($JE297)/($IS297),""),"")</f>
        <v/>
      </c>
      <c r="JL297" s="56">
        <f>IFERROR(IF(($IT297)&gt;0,($JF297)/($IT297),""),"")</f>
        <v/>
      </c>
      <c r="JM297" s="56">
        <f>IFERROR(IF(($IU297)&gt;0,($JG297)/($IU297),""),"")</f>
        <v/>
      </c>
      <c r="JN297" s="55">
        <f>SUMIFS(tblBudget[Drill_m],tblBudget[Month],$E297)</f>
        <v/>
      </c>
      <c r="JO297" s="55">
        <f>$JN297*$C297/$D297</f>
        <v/>
      </c>
      <c r="JP297" s="55">
        <f>SUMIFS(tblBudget[Drill_m],tblBudget[Month],"&lt;"&amp;$E297)+$JO297</f>
        <v/>
      </c>
      <c r="JQ297" s="55">
        <f>SUMIFS(tblBudget[Diesel_L],tblBudget[Month],$E297)</f>
        <v/>
      </c>
      <c r="JR297" s="55">
        <f>$JQ297*$C297/$D297</f>
        <v/>
      </c>
      <c r="JS297" s="55">
        <f>SUMIFS(tblBudget[Diesel_L],tblBudget[Month],"&lt;"&amp;$E297)+$JR297</f>
        <v/>
      </c>
      <c r="JT297" s="55">
        <f>SUMIFS(tblBudget[Milled_t],tblBudget[Month],$E297)</f>
        <v/>
      </c>
      <c r="JU297" s="55">
        <f>$JT297*$C297/$D297</f>
        <v/>
      </c>
      <c r="JV297" s="55">
        <f>SUMIFS(tblBudget[Milled_t],tblBudget[Month],"&lt;"&amp;$E297)+$JU297</f>
        <v/>
      </c>
      <c r="JW297" s="55">
        <f>SUMIFS(tblBudget[Feed_oz],tblBudget[Month],$E297)</f>
        <v/>
      </c>
      <c r="JX297" s="55">
        <f>$JW297*$C297/$D297</f>
        <v/>
      </c>
      <c r="JY297" s="55">
        <f>SUMIFS(tblBudget[Feed_oz],tblBudget[Month],"&lt;"&amp;$E297)+$JX297</f>
        <v/>
      </c>
      <c r="JZ297" s="55">
        <f>SUMIFS(tblBudget[Recovered_oz],tblBudget[Month],$E297)</f>
        <v/>
      </c>
      <c r="KA297" s="55">
        <f>$JZ297*$C297/$D297</f>
        <v/>
      </c>
      <c r="KB297" s="55">
        <f>SUMIFS(tblBudget[Recovered_oz],tblBudget[Month],"&lt;"&amp;$E297)+$KA297</f>
        <v/>
      </c>
      <c r="KC297" s="55">
        <f>SUMIFS(tblBudget[Milled_t],tblBudget[Month],$E297)</f>
        <v/>
      </c>
      <c r="KD297" s="55">
        <f>$KC297*$C297/$D297</f>
        <v/>
      </c>
      <c r="KE297" s="55">
        <f>SUMIFS(tblBudget[Milled_t],tblBudget[Month],"&lt;"&amp;$E297)+$KD297</f>
        <v/>
      </c>
      <c r="KF297" s="55">
        <f>SUMIFS(tblBudget[Feed_oz],tblBudget[Month],$E297)</f>
        <v/>
      </c>
      <c r="KG297" s="55">
        <f>$KF297*$C297/$D297</f>
        <v/>
      </c>
      <c r="KH297" s="55">
        <f>SUMIFS(tblBudget[Feed_oz],tblBudget[Month],"&lt;"&amp;$E297)+$KG297</f>
        <v/>
      </c>
      <c r="KI297" s="56">
        <f>IFERROR(IF(($KC297)&gt;0,($JW297*cfg_TroyOz)/($KC297),""),"")</f>
        <v/>
      </c>
      <c r="KJ297" s="56">
        <f>IFERROR(IF(($KD297)&gt;0,($JX297*cfg_TroyOz)/($KD297),""),"")</f>
        <v/>
      </c>
      <c r="KK297" s="56">
        <f>IFERROR(IF(($KE297)&gt;0,($JY297*cfg_TroyOz)/($KE297),""),"")</f>
        <v/>
      </c>
      <c r="KL297" s="67">
        <f>IFERROR(IF(($KF297)&gt;0,($JZ297)/($KF297),""),"")</f>
        <v/>
      </c>
      <c r="KM297" s="67">
        <f>IFERROR(IF(($KG297)&gt;0,($KA297)/($KG297),""),"")</f>
        <v/>
      </c>
      <c r="KN297" s="67">
        <f>IFERROR(IF(($KH297)&gt;0,($KB297)/($KH297),""),"")</f>
        <v/>
      </c>
      <c r="KO297" s="55">
        <f>SUMIFS(tblBudget[Gold_Poured_oz],tblBudget[Month],$E297)</f>
        <v/>
      </c>
      <c r="KP297" s="55">
        <f>$KO297*$C297/$D297</f>
        <v/>
      </c>
      <c r="KQ297" s="55">
        <f>SUMIFS(tblBudget[Gold_Poured_oz],tblBudget[Month],"&lt;"&amp;$E297)+$KP297</f>
        <v/>
      </c>
      <c r="KR297" s="57">
        <f>SUMIFS(tblBudget[Hours_Worked],tblBudget[Month],$E297)</f>
        <v/>
      </c>
      <c r="KS297" s="57">
        <f>$KR297*$C297/$D297</f>
        <v/>
      </c>
      <c r="KT297" s="57">
        <f>SUMIFS(tblBudget[Hours_Worked],tblBudget[Month],"&lt;"&amp;$E297)+$KS297</f>
        <v/>
      </c>
    </row>
    <row r="298">
      <c r="A298" s="54" t="n">
        <v>46319</v>
      </c>
      <c r="B298">
        <f>MONTH($A298)</f>
        <v/>
      </c>
      <c r="C298">
        <f>DAY($A298)</f>
        <v/>
      </c>
      <c r="D298">
        <f>DAY(EOMONTH($A298,0))</f>
        <v/>
      </c>
      <c r="E298" s="54">
        <f>DATE(YEAR($A298),MONTH($A298),1)</f>
        <v/>
      </c>
      <c r="F298" s="55">
        <f>SUMIFS(tblMovement[Tonnes_t],tblMovement[Date],$A298,tblMovement[Is_Ore],1,tblMovement[Source_Type],"Pit")</f>
        <v/>
      </c>
      <c r="G298" s="55">
        <f>IF($B298=$B297,$G297,0)+$F298</f>
        <v/>
      </c>
      <c r="H298" s="55">
        <f>$H297+$F298</f>
        <v/>
      </c>
      <c r="I298" s="55">
        <f>SUMIFS(tblMovement[Ore_oz],tblMovement[Date],$A298,tblMovement[Source_Type],"Pit")</f>
        <v/>
      </c>
      <c r="J298" s="55">
        <f>IF($B298=$B297,$J297,0)+$I298</f>
        <v/>
      </c>
      <c r="K298" s="55">
        <f>$K297+$I298</f>
        <v/>
      </c>
      <c r="L298" s="55">
        <f>SUMIFS(tblMovement[Tonnes_t],tblMovement[Date],$A298,tblMovement[Is_Ore],1,tblMovement[Source_Type],"Pit",tblMovement[Grade_gpt],"&lt;&gt;")</f>
        <v/>
      </c>
      <c r="M298" s="55">
        <f>IF($B298=$B297,$M297,0)+$L298</f>
        <v/>
      </c>
      <c r="N298" s="55">
        <f>$N297+$L298</f>
        <v/>
      </c>
      <c r="O298" s="56">
        <f>IFERROR(IF(($L298)&gt;0,($I298*cfg_TroyOz)/($L298),""),"")</f>
        <v/>
      </c>
      <c r="P298" s="56">
        <f>IFERROR(IF(($M298)&gt;0,($J298*cfg_TroyOz)/($M298),""),"")</f>
        <v/>
      </c>
      <c r="Q298" s="56">
        <f>IFERROR(IF(($N298)&gt;0,($K298*cfg_TroyOz)/($N298),""),"")</f>
        <v/>
      </c>
      <c r="R298" s="55">
        <f>$F298-$L298</f>
        <v/>
      </c>
      <c r="S298" s="55">
        <f>IF($B298=$B297,$S297,0)+$R298</f>
        <v/>
      </c>
      <c r="T298" s="55">
        <f>$T297+$R298</f>
        <v/>
      </c>
      <c r="U298" s="55">
        <f>SUMIFS(tblMovement[Tonnes_t],tblMovement[Date],$A298,tblMovement[Is_Ore],0,tblMovement[Source_Type],"Pit")</f>
        <v/>
      </c>
      <c r="V298" s="55">
        <f>IF($B298=$B297,$V297,0)+$U298</f>
        <v/>
      </c>
      <c r="W298" s="55">
        <f>$W297+$U298</f>
        <v/>
      </c>
      <c r="X298" s="55">
        <f>$F298+$U298</f>
        <v/>
      </c>
      <c r="Y298" s="55">
        <f>IF($B298=$B297,$Y297,0)+$X298</f>
        <v/>
      </c>
      <c r="Z298" s="55">
        <f>$Z297+$X298</f>
        <v/>
      </c>
      <c r="AA298" s="56">
        <f>IFERROR(IF(($F298)&gt;0,($U298)/($F298),""),"")</f>
        <v/>
      </c>
      <c r="AB298" s="56">
        <f>IFERROR(IF(($G298)&gt;0,($V298)/($G298),""),"")</f>
        <v/>
      </c>
      <c r="AC298" s="56">
        <f>IFERROR(IF(($H298)&gt;0,($W298)/($H298),""),"")</f>
        <v/>
      </c>
      <c r="AD298" s="55">
        <f>SUMIFS(tblMovement[Tonnes_t],tblMovement[Date],$A298,tblMovement[Source_Type],"Stockpile")</f>
        <v/>
      </c>
      <c r="AE298" s="55">
        <f>IF($B298=$B297,$AE297,0)+$AD298</f>
        <v/>
      </c>
      <c r="AF298" s="55">
        <f>$AF297+$AD298</f>
        <v/>
      </c>
      <c r="AG298" s="55">
        <f>SUMIFS(tblMovement[Tonnes_t],tblMovement[Date],$A298)</f>
        <v/>
      </c>
      <c r="AH298" s="55">
        <f>IF($B298=$B297,$AH297,0)+$AG298</f>
        <v/>
      </c>
      <c r="AI298" s="55">
        <f>$AI297+$AG298</f>
        <v/>
      </c>
      <c r="AJ298" s="55">
        <f>$AG298-$X298-$AD298</f>
        <v/>
      </c>
      <c r="AK298" s="55">
        <f>IF($B298=$B297,$AK297,0)+$AJ298</f>
        <v/>
      </c>
      <c r="AL298" s="55">
        <f>$AL297+$AJ298</f>
        <v/>
      </c>
      <c r="AM298" s="55">
        <f>SUMIFS(tblMiningDaily[Drill_m],tblMiningDaily[Date],$A298)</f>
        <v/>
      </c>
      <c r="AN298" s="55">
        <f>IF($B298=$B297,$AN297,0)+$AM298</f>
        <v/>
      </c>
      <c r="AO298" s="55">
        <f>$AO297+$AM298</f>
        <v/>
      </c>
      <c r="AP298" s="55">
        <f>SUMIFS(tblMiningDaily[GC_Drill_m],tblMiningDaily[Date],$A298)</f>
        <v/>
      </c>
      <c r="AQ298" s="55">
        <f>IF($B298=$B297,$AQ297,0)+$AP298</f>
        <v/>
      </c>
      <c r="AR298" s="55">
        <f>$AR297+$AP298</f>
        <v/>
      </c>
      <c r="AS298" s="55">
        <f>SUMIFS(tblMiningDaily[Blast_t],tblMiningDaily[Date],$A298)</f>
        <v/>
      </c>
      <c r="AT298" s="55">
        <f>IF($B298=$B297,$AT297,0)+$AS298</f>
        <v/>
      </c>
      <c r="AU298" s="55">
        <f>$AU297+$AS298</f>
        <v/>
      </c>
      <c r="AV298" s="55">
        <f>SUMIFS(tblMiningDaily[Explosives_kg],tblMiningDaily[Date],$A298)</f>
        <v/>
      </c>
      <c r="AW298" s="55">
        <f>IF($B298=$B297,$AW297,0)+$AV298</f>
        <v/>
      </c>
      <c r="AX298" s="55">
        <f>$AX297+$AV298</f>
        <v/>
      </c>
      <c r="AY298" s="56">
        <f>IFERROR(IF(($AS298)&gt;0,($AV298)/($AS298),""),"")</f>
        <v/>
      </c>
      <c r="AZ298" s="56">
        <f>IFERROR(IF(($AT298)&gt;0,($AW298)/($AT298),""),"")</f>
        <v/>
      </c>
      <c r="BA298" s="56">
        <f>IFERROR(IF(($AU298)&gt;0,($AX298)/($AU298),""),"")</f>
        <v/>
      </c>
      <c r="BB298" s="55">
        <f>SUMIFS(tblMiningDaily[Diesel_L],tblMiningDaily[Date],$A298)</f>
        <v/>
      </c>
      <c r="BC298" s="55">
        <f>IF($B298=$B297,$BC297,0)+$BB298</f>
        <v/>
      </c>
      <c r="BD298" s="55">
        <f>$BD297+$BB298</f>
        <v/>
      </c>
      <c r="BE298" s="55">
        <f>SUMIFS(tblMiningDaily[Dewatering_m3],tblMiningDaily[Date],$A298)</f>
        <v/>
      </c>
      <c r="BF298" s="55">
        <f>IF($B298=$B297,$BF297,0)+$BE298</f>
        <v/>
      </c>
      <c r="BG298" s="55">
        <f>$BG297+$BE298</f>
        <v/>
      </c>
      <c r="BH298" s="57">
        <f>SUMIFS(tblFleet[Calendar_h],tblFleet[Date],$A298,tblFleet[Equipment_Class],"Excavator")</f>
        <v/>
      </c>
      <c r="BI298" s="57">
        <f>IF($B298=$B297,$BI297,0)+$BH298</f>
        <v/>
      </c>
      <c r="BJ298" s="57">
        <f>$BJ297+$BH298</f>
        <v/>
      </c>
      <c r="BK298" s="57">
        <f>SUMIFS(tblFleet[Available_h],tblFleet[Date],$A298,tblFleet[Equipment_Class],"Excavator")</f>
        <v/>
      </c>
      <c r="BL298" s="57">
        <f>IF($B298=$B297,$BL297,0)+$BK298</f>
        <v/>
      </c>
      <c r="BM298" s="57">
        <f>$BM297+$BK298</f>
        <v/>
      </c>
      <c r="BN298" s="57">
        <f>SUMIFS(tblFleet[Operating_h],tblFleet[Date],$A298,tblFleet[Equipment_Class],"Excavator")</f>
        <v/>
      </c>
      <c r="BO298" s="57">
        <f>IF($B298=$B297,$BO297,0)+$BN298</f>
        <v/>
      </c>
      <c r="BP298" s="57">
        <f>$BP297+$BN298</f>
        <v/>
      </c>
      <c r="BQ298" s="67">
        <f>IFERROR(IF(($BH298)&gt;0,($BK298)/($BH298),""),"")</f>
        <v/>
      </c>
      <c r="BR298" s="67">
        <f>IFERROR(IF(($BI298)&gt;0,($BL298)/($BI298),""),"")</f>
        <v/>
      </c>
      <c r="BS298" s="67">
        <f>IFERROR(IF(($BJ298)&gt;0,($BM298)/($BJ298),""),"")</f>
        <v/>
      </c>
      <c r="BT298" s="67">
        <f>IFERROR(IF(($BK298)&gt;0,($BN298)/($BK298),""),"")</f>
        <v/>
      </c>
      <c r="BU298" s="67">
        <f>IFERROR(IF(($BL298)&gt;0,($BO298)/($BL298),""),"")</f>
        <v/>
      </c>
      <c r="BV298" s="67">
        <f>IFERROR(IF(($BM298)&gt;0,($BP298)/($BM298),""),"")</f>
        <v/>
      </c>
      <c r="BW298" s="57">
        <f>SUMIFS(tblFleet[Calendar_h],tblFleet[Date],$A298,tblFleet[Equipment_Class],"Haul Truck")</f>
        <v/>
      </c>
      <c r="BX298" s="57">
        <f>IF($B298=$B297,$BX297,0)+$BW298</f>
        <v/>
      </c>
      <c r="BY298" s="57">
        <f>$BY297+$BW298</f>
        <v/>
      </c>
      <c r="BZ298" s="57">
        <f>SUMIFS(tblFleet[Available_h],tblFleet[Date],$A298,tblFleet[Equipment_Class],"Haul Truck")</f>
        <v/>
      </c>
      <c r="CA298" s="57">
        <f>IF($B298=$B297,$CA297,0)+$BZ298</f>
        <v/>
      </c>
      <c r="CB298" s="57">
        <f>$CB297+$BZ298</f>
        <v/>
      </c>
      <c r="CC298" s="57">
        <f>SUMIFS(tblFleet[Operating_h],tblFleet[Date],$A298,tblFleet[Equipment_Class],"Haul Truck")</f>
        <v/>
      </c>
      <c r="CD298" s="57">
        <f>IF($B298=$B297,$CD297,0)+$CC298</f>
        <v/>
      </c>
      <c r="CE298" s="57">
        <f>$CE297+$CC298</f>
        <v/>
      </c>
      <c r="CF298" s="67">
        <f>IFERROR(IF(($BW298)&gt;0,($BZ298)/($BW298),""),"")</f>
        <v/>
      </c>
      <c r="CG298" s="67">
        <f>IFERROR(IF(($BX298)&gt;0,($CA298)/($BX298),""),"")</f>
        <v/>
      </c>
      <c r="CH298" s="67">
        <f>IFERROR(IF(($BY298)&gt;0,($CB298)/($BY298),""),"")</f>
        <v/>
      </c>
      <c r="CI298" s="67">
        <f>IFERROR(IF(($BZ298)&gt;0,($CC298)/($BZ298),""),"")</f>
        <v/>
      </c>
      <c r="CJ298" s="67">
        <f>IFERROR(IF(($CA298)&gt;0,($CD298)/($CA298),""),"")</f>
        <v/>
      </c>
      <c r="CK298" s="67">
        <f>IFERROR(IF(($CB298)&gt;0,($CE298)/($CB298),""),"")</f>
        <v/>
      </c>
      <c r="CL298" s="55">
        <f>IFERROR(IF(($BN298)&gt;0,($X298+$AD298)/($BN298),""),"")</f>
        <v/>
      </c>
      <c r="CM298" s="55">
        <f>IFERROR(IF(($BO298)&gt;0,($Y298+$AE298)/($BO298),""),"")</f>
        <v/>
      </c>
      <c r="CN298" s="55">
        <f>IFERROR(IF(($BP298)&gt;0,($Z298+$AF298)/($BP298),""),"")</f>
        <v/>
      </c>
      <c r="CO298" s="55">
        <f>IFERROR(IF(($CC298)&gt;0,($X298+$AD298)/($CC298),""),"")</f>
        <v/>
      </c>
      <c r="CP298" s="55">
        <f>IFERROR(IF(($CD298)&gt;0,($Y298+$AE298)/($CD298),""),"")</f>
        <v/>
      </c>
      <c r="CQ298" s="55">
        <f>IFERROR(IF(($CE298)&gt;0,($Z298+$AF298)/($CE298),""),"")</f>
        <v/>
      </c>
      <c r="CR298" s="55">
        <f>SUMIFS(tblPlant[Crushed_t],tblPlant[Date],$A298)</f>
        <v/>
      </c>
      <c r="CS298" s="55">
        <f>IF($B298=$B297,$CS297,0)+$CR298</f>
        <v/>
      </c>
      <c r="CT298" s="55">
        <f>$CT297+$CR298</f>
        <v/>
      </c>
      <c r="CU298" s="55">
        <f>SUMIFS(tblPlant[Milled_t],tblPlant[Date],$A298)</f>
        <v/>
      </c>
      <c r="CV298" s="55">
        <f>IF($B298=$B297,$CV297,0)+$CU298</f>
        <v/>
      </c>
      <c r="CW298" s="55">
        <f>$CW297+$CU298</f>
        <v/>
      </c>
      <c r="CX298" s="55">
        <f>SUMIFS(tblPlant[Feed_oz],tblPlant[Date],$A298)</f>
        <v/>
      </c>
      <c r="CY298" s="55">
        <f>IF($B298=$B297,$CY297,0)+$CX298</f>
        <v/>
      </c>
      <c r="CZ298" s="55">
        <f>$CZ297+$CX298</f>
        <v/>
      </c>
      <c r="DA298" s="55">
        <f>SUMIFS(tblPlant[Tails_oz],tblPlant[Date],$A298)</f>
        <v/>
      </c>
      <c r="DB298" s="55">
        <f>IF($B298=$B297,$DB297,0)+$DA298</f>
        <v/>
      </c>
      <c r="DC298" s="55">
        <f>$DC297+$DA298</f>
        <v/>
      </c>
      <c r="DD298" s="55">
        <f>SUMIFS(tblPlant[Recovered_oz],tblPlant[Date],$A298)</f>
        <v/>
      </c>
      <c r="DE298" s="55">
        <f>IF($B298=$B297,$DE297,0)+$DD298</f>
        <v/>
      </c>
      <c r="DF298" s="55">
        <f>$DF297+$DD298</f>
        <v/>
      </c>
      <c r="DG298" s="55">
        <f>SUMIFS(tblPlant[Milled_t],tblPlant[Date],$A298,tblPlant[Head_Grade_gpt],"&lt;&gt;")</f>
        <v/>
      </c>
      <c r="DH298" s="55">
        <f>IF($B298=$B297,$DH297,0)+$DG298</f>
        <v/>
      </c>
      <c r="DI298" s="55">
        <f>$DI297+$DG298</f>
        <v/>
      </c>
      <c r="DJ298" s="55">
        <f>SUMIFS(tblPlant[Milled_t],tblPlant[Date],$A298,tblPlant[Tails_Grade_gpt],"&lt;&gt;")</f>
        <v/>
      </c>
      <c r="DK298" s="55">
        <f>IF($B298=$B297,$DK297,0)+$DJ298</f>
        <v/>
      </c>
      <c r="DL298" s="55">
        <f>$DL297+$DJ298</f>
        <v/>
      </c>
      <c r="DM298" s="55">
        <f>SUMIFS(tblPlant[Feed_oz],tblPlant[Date],$A298,tblPlant[Tails_Grade_gpt],"&lt;&gt;")</f>
        <v/>
      </c>
      <c r="DN298" s="55">
        <f>IF($B298=$B297,$DN297,0)+$DM298</f>
        <v/>
      </c>
      <c r="DO298" s="55">
        <f>$DO297+$DM298</f>
        <v/>
      </c>
      <c r="DP298" s="55">
        <f>SUMIFS(tblPlant[Milled_t],tblPlant[Date],$A298,tblPlant[Mill_Run_h],"&lt;&gt;")</f>
        <v/>
      </c>
      <c r="DQ298" s="55">
        <f>IF($B298=$B297,$DQ297,0)+$DP298</f>
        <v/>
      </c>
      <c r="DR298" s="55">
        <f>$DR297+$DP298</f>
        <v/>
      </c>
      <c r="DS298" s="56">
        <f>IFERROR(IF(($DG298)&gt;0,($CX298*cfg_TroyOz)/($DG298),""),"")</f>
        <v/>
      </c>
      <c r="DT298" s="56">
        <f>IFERROR(IF(($DH298)&gt;0,($CY298*cfg_TroyOz)/($DH298),""),"")</f>
        <v/>
      </c>
      <c r="DU298" s="56">
        <f>IFERROR(IF(($DI298)&gt;0,($CZ298*cfg_TroyOz)/($DI298),""),"")</f>
        <v/>
      </c>
      <c r="DV298" s="56">
        <f>IFERROR(IF(($DJ298)&gt;0,($DA298*cfg_TroyOz)/($DJ298),""),"")</f>
        <v/>
      </c>
      <c r="DW298" s="56">
        <f>IFERROR(IF(($DK298)&gt;0,($DB298*cfg_TroyOz)/($DK298),""),"")</f>
        <v/>
      </c>
      <c r="DX298" s="56">
        <f>IFERROR(IF(($DL298)&gt;0,($DC298*cfg_TroyOz)/($DL298),""),"")</f>
        <v/>
      </c>
      <c r="DY298" s="67">
        <f>IFERROR(IF(($DM298)&gt;0,($DD298)/($DM298),""),"")</f>
        <v/>
      </c>
      <c r="DZ298" s="67">
        <f>IFERROR(IF(($DN298)&gt;0,($DE298)/($DN298),""),"")</f>
        <v/>
      </c>
      <c r="EA298" s="67">
        <f>IFERROR(IF(($DO298)&gt;0,($DF298)/($DO298),""),"")</f>
        <v/>
      </c>
      <c r="EB298" s="55">
        <f>SUMIFS(tblPlant[Gravity_Gold_oz],tblPlant[Date],$A298)</f>
        <v/>
      </c>
      <c r="EC298" s="55">
        <f>IF($B298=$B297,$EC297,0)+$EB298</f>
        <v/>
      </c>
      <c r="ED298" s="55">
        <f>$ED297+$EB298</f>
        <v/>
      </c>
      <c r="EE298" s="67">
        <f>IFERROR(IF(($DD298)&gt;0,($EB298)/($DD298),""),"")</f>
        <v/>
      </c>
      <c r="EF298" s="67">
        <f>IFERROR(IF(($DE298)&gt;0,($EC298)/($DE298),""),"")</f>
        <v/>
      </c>
      <c r="EG298" s="67">
        <f>IFERROR(IF(($DF298)&gt;0,($ED298)/($DF298),""),"")</f>
        <v/>
      </c>
      <c r="EH298" s="55">
        <f>SUMIFS(tblPlant[Gold_Poured_oz],tblPlant[Date],$A298)</f>
        <v/>
      </c>
      <c r="EI298" s="55">
        <f>IF($B298=$B297,$EI297,0)+$EH298</f>
        <v/>
      </c>
      <c r="EJ298" s="55">
        <f>$EJ297+$EH298</f>
        <v/>
      </c>
      <c r="EK298" s="57">
        <f>SUMIFS(tblPlant[Mill_Run_h],tblPlant[Date],$A298)</f>
        <v/>
      </c>
      <c r="EL298" s="57">
        <f>IF($B298=$B297,$EL297,0)+$EK298</f>
        <v/>
      </c>
      <c r="EM298" s="57">
        <f>$EM297+$EK298</f>
        <v/>
      </c>
      <c r="EN298" s="57">
        <f>SUMIFS(tblPlant[Mill_Planned_Maint_h],tblPlant[Date],$A298)</f>
        <v/>
      </c>
      <c r="EO298" s="57">
        <f>IF($B298=$B297,$EO297,0)+$EN298</f>
        <v/>
      </c>
      <c r="EP298" s="57">
        <f>$EP297+$EN298</f>
        <v/>
      </c>
      <c r="EQ298" s="57">
        <f>SUMIFS(tblPlant[Mill_Unplanned_Down_h],tblPlant[Date],$A298)</f>
        <v/>
      </c>
      <c r="ER298" s="57">
        <f>IF($B298=$B297,$ER297,0)+$EQ298</f>
        <v/>
      </c>
      <c r="ES298" s="57">
        <f>$ES297+$EQ298</f>
        <v/>
      </c>
      <c r="ET298" s="57">
        <f>IF(COUNTIFS(tblPlant[Date],$A298,tblPlant[Mill_Run_h],"&lt;&gt;")+COUNTIFS(tblPlant[Date],$A298,tblPlant[Mill_Planned_Maint_h],"&lt;&gt;")+COUNTIFS(tblPlant[Date],$A298,tblPlant[Mill_Unplanned_Down_h],"&lt;&gt;")&gt;0,cfg_HoursPerDay,0)</f>
        <v/>
      </c>
      <c r="EU298" s="57">
        <f>IF($B298=$B297,$EU297,0)+$ET298</f>
        <v/>
      </c>
      <c r="EV298" s="57">
        <f>$EV297+$ET298</f>
        <v/>
      </c>
      <c r="EW298" s="57">
        <f>SUMIFS(tblPlant[Crusher_Run_h],tblPlant[Date],$A298)</f>
        <v/>
      </c>
      <c r="EX298" s="57">
        <f>IF($B298=$B297,$EX297,0)+$EW298</f>
        <v/>
      </c>
      <c r="EY298" s="57">
        <f>$EY297+$EW298</f>
        <v/>
      </c>
      <c r="EZ298" s="55">
        <f>IFERROR(IF(($EK298)&gt;0,($DP298)/($EK298),""),"")</f>
        <v/>
      </c>
      <c r="FA298" s="55">
        <f>IFERROR(IF(($EL298)&gt;0,($DQ298)/($EL298),""),"")</f>
        <v/>
      </c>
      <c r="FB298" s="55">
        <f>IFERROR(IF(($EM298)&gt;0,($DR298)/($EM298),""),"")</f>
        <v/>
      </c>
      <c r="FC298" s="67">
        <f>IFERROR(IF(($ET298)&gt;0,($ET298-$EN298-$EQ298)/($ET298),""),"")</f>
        <v/>
      </c>
      <c r="FD298" s="67">
        <f>IFERROR(IF(($EU298)&gt;0,($EU298-$EO298-$ER298)/($EU298),""),"")</f>
        <v/>
      </c>
      <c r="FE298" s="67">
        <f>IFERROR(IF(($EV298)&gt;0,($EV298-$EP298-$ES298)/($EV298),""),"")</f>
        <v/>
      </c>
      <c r="FF298" s="67">
        <f>IFERROR(IF(($ET298-$EN298-$EQ298)&gt;0,($EK298)/($ET298-$EN298-$EQ298),""),"")</f>
        <v/>
      </c>
      <c r="FG298" s="67">
        <f>IFERROR(IF(($EU298-$EO298-$ER298)&gt;0,($EL298)/($EU298-$EO298-$ER298),""),"")</f>
        <v/>
      </c>
      <c r="FH298" s="67">
        <f>IFERROR(IF(($EV298-$EP298-$ES298)&gt;0,($EM298)/($EV298-$EP298-$ES298),""),"")</f>
        <v/>
      </c>
      <c r="FI298" s="55">
        <f>SUMIFS(tblPlant[Cyanide_kg],tblPlant[Date],$A298)</f>
        <v/>
      </c>
      <c r="FJ298" s="55">
        <f>IF($B298=$B297,$FJ297,0)+$FI298</f>
        <v/>
      </c>
      <c r="FK298" s="55">
        <f>$FK297+$FI298</f>
        <v/>
      </c>
      <c r="FL298" s="55">
        <f>SUMIFS(tblPlant[Lime_kg],tblPlant[Date],$A298)</f>
        <v/>
      </c>
      <c r="FM298" s="55">
        <f>IF($B298=$B297,$FM297,0)+$FL298</f>
        <v/>
      </c>
      <c r="FN298" s="55">
        <f>$FN297+$FL298</f>
        <v/>
      </c>
      <c r="FO298" s="55">
        <f>SUMIFS(tblPlant[Grinding_Media_kg],tblPlant[Date],$A298)</f>
        <v/>
      </c>
      <c r="FP298" s="55">
        <f>IF($B298=$B297,$FP297,0)+$FO298</f>
        <v/>
      </c>
      <c r="FQ298" s="55">
        <f>$FQ297+$FO298</f>
        <v/>
      </c>
      <c r="FR298" s="55">
        <f>SUMIFS(tblPlant[Power_kWh],tblPlant[Date],$A298)</f>
        <v/>
      </c>
      <c r="FS298" s="55">
        <f>IF($B298=$B297,$FS297,0)+$FR298</f>
        <v/>
      </c>
      <c r="FT298" s="55">
        <f>$FT297+$FR298</f>
        <v/>
      </c>
      <c r="FU298" s="55">
        <f>SUMIFS(tblPlant[Raw_Water_m3],tblPlant[Date],$A298)</f>
        <v/>
      </c>
      <c r="FV298" s="55">
        <f>IF($B298=$B297,$FV297,0)+$FU298</f>
        <v/>
      </c>
      <c r="FW298" s="55">
        <f>$FW297+$FU298</f>
        <v/>
      </c>
      <c r="FX298" s="56">
        <f>IFERROR(IF(($CU298)&gt;0,($FI298)/($CU298),""),"")</f>
        <v/>
      </c>
      <c r="FY298" s="56">
        <f>IFERROR(IF(($CV298)&gt;0,($FJ298)/($CV298),""),"")</f>
        <v/>
      </c>
      <c r="FZ298" s="56">
        <f>IFERROR(IF(($CW298)&gt;0,($FK298)/($CW298),""),"")</f>
        <v/>
      </c>
      <c r="GA298" s="56">
        <f>IFERROR(IF(($CU298)&gt;0,($FL298)/($CU298),""),"")</f>
        <v/>
      </c>
      <c r="GB298" s="56">
        <f>IFERROR(IF(($CV298)&gt;0,($FM298)/($CV298),""),"")</f>
        <v/>
      </c>
      <c r="GC298" s="56">
        <f>IFERROR(IF(($CW298)&gt;0,($FN298)/($CW298),""),"")</f>
        <v/>
      </c>
      <c r="GD298" s="56">
        <f>IFERROR(IF(($CU298)&gt;0,($FO298)/($CU298),""),"")</f>
        <v/>
      </c>
      <c r="GE298" s="56">
        <f>IFERROR(IF(($CV298)&gt;0,($FP298)/($CV298),""),"")</f>
        <v/>
      </c>
      <c r="GF298" s="56">
        <f>IFERROR(IF(($CW298)&gt;0,($FQ298)/($CW298),""),"")</f>
        <v/>
      </c>
      <c r="GG298" s="79">
        <f>IFERROR(IF(($CU298)&gt;0,($FR298)/($CU298),""),"")</f>
        <v/>
      </c>
      <c r="GH298" s="79">
        <f>IFERROR(IF(($CV298)&gt;0,($FS298)/($CV298),""),"")</f>
        <v/>
      </c>
      <c r="GI298" s="79">
        <f>IFERROR(IF(($CW298)&gt;0,($FT298)/($CW298),""),"")</f>
        <v/>
      </c>
      <c r="GJ298" s="56">
        <f>IFERROR(IF(($CU298)&gt;0,($FU298)/($CU298),""),"")</f>
        <v/>
      </c>
      <c r="GK298" s="56">
        <f>IFERROR(IF(($CV298)&gt;0,($FV298)/($CV298),""),"")</f>
        <v/>
      </c>
      <c r="GL298" s="56">
        <f>IFERROR(IF(($CW298)&gt;0,($FW298)/($CW298),""),"")</f>
        <v/>
      </c>
      <c r="GM298" s="55">
        <f>IF(SUMIFS(tblPlant[GIC_oz],tblPlant[Date],$A298)&gt;0,SUMIFS(tblPlant[GIC_oz],tblPlant[Date],$A298),"")</f>
        <v/>
      </c>
      <c r="GN298" s="55">
        <f>SUMIFS(tblGold[Gold_oz],tblGold[Date],$A298,tblGold[Type],"Shipment")</f>
        <v/>
      </c>
      <c r="GO298" s="55">
        <f>IF($B298=$B297,$GO297,0)+$GN298</f>
        <v/>
      </c>
      <c r="GP298" s="55">
        <f>$GP297+$GN298</f>
        <v/>
      </c>
      <c r="GQ298" s="55">
        <f>SUMIFS(tblGold[Gold_oz],tblGold[Date],$A298,tblGold[Type],"Sale")</f>
        <v/>
      </c>
      <c r="GR298" s="55">
        <f>IF($B298=$B297,$GR297,0)+$GQ298</f>
        <v/>
      </c>
      <c r="GS298" s="55">
        <f>$GS297+$GQ298</f>
        <v/>
      </c>
      <c r="GT298" s="55">
        <f>SUMIFS(tblGold[Dore_kg],tblGold[Date],$A298,tblGold[Type],"Shipment")</f>
        <v/>
      </c>
      <c r="GU298" s="55">
        <f>IF($B298=$B297,$GU297,0)+$GT298</f>
        <v/>
      </c>
      <c r="GV298" s="55">
        <f>$GV297+$GT298</f>
        <v/>
      </c>
      <c r="GW298" s="57">
        <f>SUMIFS(tblSafety[Hours_Total],tblSafety[Date],$A298)</f>
        <v/>
      </c>
      <c r="GX298" s="57">
        <f>IF($B298=$B297,$GX297,0)+$GW298</f>
        <v/>
      </c>
      <c r="GY298" s="57">
        <f>$GY297+$GW298</f>
        <v/>
      </c>
      <c r="GZ298" s="62">
        <f>SUMIFS(tblSafety[Fatality],tblSafety[Date],$A298)</f>
        <v/>
      </c>
      <c r="HA298" s="62">
        <f>IF($B298=$B297,$HA297,0)+$GZ298</f>
        <v/>
      </c>
      <c r="HB298" s="62">
        <f>$HB297+$GZ298</f>
        <v/>
      </c>
      <c r="HC298" s="62">
        <f>SUMIFS(tblSafety[LTI],tblSafety[Date],$A298)</f>
        <v/>
      </c>
      <c r="HD298" s="62">
        <f>IF($B298=$B297,$HD297,0)+$HC298</f>
        <v/>
      </c>
      <c r="HE298" s="62">
        <f>$HE297+$HC298</f>
        <v/>
      </c>
      <c r="HF298" s="62">
        <f>SUMIFS(tblSafety[RWI],tblSafety[Date],$A298)</f>
        <v/>
      </c>
      <c r="HG298" s="62">
        <f>IF($B298=$B297,$HG297,0)+$HF298</f>
        <v/>
      </c>
      <c r="HH298" s="62">
        <f>$HH297+$HF298</f>
        <v/>
      </c>
      <c r="HI298" s="62">
        <f>SUMIFS(tblSafety[MTI],tblSafety[Date],$A298)</f>
        <v/>
      </c>
      <c r="HJ298" s="62">
        <f>IF($B298=$B297,$HJ297,0)+$HI298</f>
        <v/>
      </c>
      <c r="HK298" s="62">
        <f>$HK297+$HI298</f>
        <v/>
      </c>
      <c r="HL298" s="62">
        <f>SUMIFS(tblSafety[FAI],tblSafety[Date],$A298)</f>
        <v/>
      </c>
      <c r="HM298" s="62">
        <f>IF($B298=$B297,$HM297,0)+$HL298</f>
        <v/>
      </c>
      <c r="HN298" s="62">
        <f>$HN297+$HL298</f>
        <v/>
      </c>
      <c r="HO298" s="62">
        <f>SUMIFS(tblSafety[Recordables],tblSafety[Date],$A298)</f>
        <v/>
      </c>
      <c r="HP298" s="62">
        <f>IF($B298=$B297,$HP297,0)+$HO298</f>
        <v/>
      </c>
      <c r="HQ298" s="62">
        <f>$HQ297+$HO298</f>
        <v/>
      </c>
      <c r="HR298" s="62">
        <f>SUMIFS(tblSafety[Near_Miss],tblSafety[Date],$A298)</f>
        <v/>
      </c>
      <c r="HS298" s="62">
        <f>IF($B298=$B297,$HS297,0)+$HR298</f>
        <v/>
      </c>
      <c r="HT298" s="62">
        <f>$HT297+$HR298</f>
        <v/>
      </c>
      <c r="HU298" s="62">
        <f>SUMIFS(tblSafety[Hazard_Reports],tblSafety[Date],$A298)</f>
        <v/>
      </c>
      <c r="HV298" s="62">
        <f>IF($B298=$B297,$HV297,0)+$HU298</f>
        <v/>
      </c>
      <c r="HW298" s="62">
        <f>$HW297+$HU298</f>
        <v/>
      </c>
      <c r="HX298" s="62">
        <f>SUMIFS(tblSafety[HPI],tblSafety[Date],$A298)</f>
        <v/>
      </c>
      <c r="HY298" s="62">
        <f>IF($B298=$B297,$HY297,0)+$HX298</f>
        <v/>
      </c>
      <c r="HZ298" s="62">
        <f>$HZ297+$HX298</f>
        <v/>
      </c>
      <c r="IA298" s="62">
        <f>SUMIFS(tblSafety[Env_Incidents],tblSafety[Date],$A298)</f>
        <v/>
      </c>
      <c r="IB298" s="62">
        <f>IF($B298=$B297,$IB297,0)+$IA298</f>
        <v/>
      </c>
      <c r="IC298" s="62">
        <f>$IC297+$IA298</f>
        <v/>
      </c>
      <c r="ID298" s="62">
        <f>SUMIFS(tblSafety[Community_Incidents],tblSafety[Date],$A298)</f>
        <v/>
      </c>
      <c r="IE298" s="62">
        <f>IF($B298=$B297,$IE297,0)+$ID298</f>
        <v/>
      </c>
      <c r="IF298" s="62">
        <f>$IF297+$ID298</f>
        <v/>
      </c>
      <c r="IG298" s="62">
        <f>SUMIFS(tblSafety[Vehicle_Incidents],tblSafety[Date],$A298)</f>
        <v/>
      </c>
      <c r="IH298" s="62">
        <f>IF($B298=$B297,$IH297,0)+$IG298</f>
        <v/>
      </c>
      <c r="II298" s="62">
        <f>$II297+$IG298</f>
        <v/>
      </c>
      <c r="IJ298" s="62">
        <f>SUMIFS(tblSafety[Toolbox_Talks],tblSafety[Date],$A298)</f>
        <v/>
      </c>
      <c r="IK298" s="62">
        <f>IF($B298=$B297,$IK297,0)+$IJ298</f>
        <v/>
      </c>
      <c r="IL298" s="62">
        <f>$IL297+$IJ298</f>
        <v/>
      </c>
      <c r="IM298" s="62">
        <f>SUMIFS(tblSafety[Inspections],tblSafety[Date],$A298)</f>
        <v/>
      </c>
      <c r="IN298" s="62">
        <f>IF($B298=$B297,$IN297,0)+$IM298</f>
        <v/>
      </c>
      <c r="IO298" s="62">
        <f>$IO297+$IM298</f>
        <v/>
      </c>
      <c r="IP298" s="56">
        <f>IFERROR((SUMIFS(tblSafety[Recordables],tblSafety[Date],"&gt;="&amp;EDATE($E298,-12),tblSafety[Date],"&lt;="&amp;$A298)+SUMIFS(tblSafetyHistory[Recordables],tblSafetyHistory[Month],"&gt;="&amp;EDATE($E298,-12),tblSafetyHistory[Month],"&lt;"&amp;$E298,tblSafetyHistory[Use],1))/(SUMIFS(tblSafety[Hours_Total],tblSafety[Date],"&gt;="&amp;EDATE($E298,-12),tblSafety[Date],"&lt;="&amp;$A298)+SUMIFS(tblSafetyHistory[Hours_Total],tblSafetyHistory[Month],"&gt;="&amp;EDATE($E298,-12),tblSafetyHistory[Month],"&lt;"&amp;$E298,tblSafetyHistory[Use],1))*cfg_RateBasisHours,"")</f>
        <v/>
      </c>
      <c r="IQ298" s="56">
        <f>IFERROR((SUMIFS(tblSafety[LTI],tblSafety[Date],"&gt;="&amp;EDATE($E298,-12),tblSafety[Date],"&lt;="&amp;$A298)+SUMIFS(tblSafetyHistory[LTI],tblSafetyHistory[Month],"&gt;="&amp;EDATE($E298,-12),tblSafetyHistory[Month],"&lt;"&amp;$E298,tblSafetyHistory[Use],1))/(SUMIFS(tblSafety[Hours_Total],tblSafety[Date],"&gt;="&amp;EDATE($E298,-12),tblSafety[Date],"&lt;="&amp;$A298)+SUMIFS(tblSafetyHistory[Hours_Total],tblSafetyHistory[Month],"&gt;="&amp;EDATE($E298,-12),tblSafetyHistory[Month],"&lt;"&amp;$E298,tblSafetyHistory[Use],1))*cfg_RateBasisHours,"")</f>
        <v/>
      </c>
      <c r="IR298" s="62">
        <f>IF(MAX(N(cfg_PriorLTIDate),_xlfn.MAXIFS(tblSafety[Date],tblSafety[LTI],"&gt;0",tblSafety[Date],"&lt;="&amp;$A298))=0,"",$A298-MAX(N(cfg_PriorLTIDate),_xlfn.MAXIFS(tblSafety[Date],tblSafety[LTI],"&gt;0",tblSafety[Date],"&lt;="&amp;$A298)))</f>
        <v/>
      </c>
      <c r="IS298" s="55">
        <f>SUMIFS(tblBudget[Ore_Mined_t],tblBudget[Month],$E298)</f>
        <v/>
      </c>
      <c r="IT298" s="55">
        <f>$IS298*$C298/$D298</f>
        <v/>
      </c>
      <c r="IU298" s="55">
        <f>SUMIFS(tblBudget[Ore_Mined_t],tblBudget[Month],"&lt;"&amp;$E298)+$IT298</f>
        <v/>
      </c>
      <c r="IV298" s="55">
        <f>SUMIFS(tblBudget[Ore_oz],tblBudget[Month],$E298)</f>
        <v/>
      </c>
      <c r="IW298" s="55">
        <f>$IV298*$C298/$D298</f>
        <v/>
      </c>
      <c r="IX298" s="55">
        <f>SUMIFS(tblBudget[Ore_oz],tblBudget[Month],"&lt;"&amp;$E298)+$IW298</f>
        <v/>
      </c>
      <c r="IY298" s="55">
        <f>SUMIFS(tblBudget[Ore_Mined_t],tblBudget[Month],$E298)</f>
        <v/>
      </c>
      <c r="IZ298" s="55">
        <f>$IY298*$C298/$D298</f>
        <v/>
      </c>
      <c r="JA298" s="55">
        <f>SUMIFS(tblBudget[Ore_Mined_t],tblBudget[Month],"&lt;"&amp;$E298)+$IZ298</f>
        <v/>
      </c>
      <c r="JB298" s="56">
        <f>IFERROR(IF(($IY298)&gt;0,($IV298*cfg_TroyOz)/($IY298),""),"")</f>
        <v/>
      </c>
      <c r="JC298" s="56">
        <f>IFERROR(IF(($IZ298)&gt;0,($IW298*cfg_TroyOz)/($IZ298),""),"")</f>
        <v/>
      </c>
      <c r="JD298" s="56">
        <f>IFERROR(IF(($JA298)&gt;0,($IX298*cfg_TroyOz)/($JA298),""),"")</f>
        <v/>
      </c>
      <c r="JE298" s="55">
        <f>SUMIFS(tblBudget[Waste_t],tblBudget[Month],$E298)</f>
        <v/>
      </c>
      <c r="JF298" s="55">
        <f>$JE298*$C298/$D298</f>
        <v/>
      </c>
      <c r="JG298" s="55">
        <f>SUMIFS(tblBudget[Waste_t],tblBudget[Month],"&lt;"&amp;$E298)+$JF298</f>
        <v/>
      </c>
      <c r="JH298" s="55">
        <f>SUMIFS(tblBudget[TMM_t],tblBudget[Month],$E298)</f>
        <v/>
      </c>
      <c r="JI298" s="55">
        <f>$JH298*$C298/$D298</f>
        <v/>
      </c>
      <c r="JJ298" s="55">
        <f>SUMIFS(tblBudget[TMM_t],tblBudget[Month],"&lt;"&amp;$E298)+$JI298</f>
        <v/>
      </c>
      <c r="JK298" s="56">
        <f>IFERROR(IF(($IS298)&gt;0,($JE298)/($IS298),""),"")</f>
        <v/>
      </c>
      <c r="JL298" s="56">
        <f>IFERROR(IF(($IT298)&gt;0,($JF298)/($IT298),""),"")</f>
        <v/>
      </c>
      <c r="JM298" s="56">
        <f>IFERROR(IF(($IU298)&gt;0,($JG298)/($IU298),""),"")</f>
        <v/>
      </c>
      <c r="JN298" s="55">
        <f>SUMIFS(tblBudget[Drill_m],tblBudget[Month],$E298)</f>
        <v/>
      </c>
      <c r="JO298" s="55">
        <f>$JN298*$C298/$D298</f>
        <v/>
      </c>
      <c r="JP298" s="55">
        <f>SUMIFS(tblBudget[Drill_m],tblBudget[Month],"&lt;"&amp;$E298)+$JO298</f>
        <v/>
      </c>
      <c r="JQ298" s="55">
        <f>SUMIFS(tblBudget[Diesel_L],tblBudget[Month],$E298)</f>
        <v/>
      </c>
      <c r="JR298" s="55">
        <f>$JQ298*$C298/$D298</f>
        <v/>
      </c>
      <c r="JS298" s="55">
        <f>SUMIFS(tblBudget[Diesel_L],tblBudget[Month],"&lt;"&amp;$E298)+$JR298</f>
        <v/>
      </c>
      <c r="JT298" s="55">
        <f>SUMIFS(tblBudget[Milled_t],tblBudget[Month],$E298)</f>
        <v/>
      </c>
      <c r="JU298" s="55">
        <f>$JT298*$C298/$D298</f>
        <v/>
      </c>
      <c r="JV298" s="55">
        <f>SUMIFS(tblBudget[Milled_t],tblBudget[Month],"&lt;"&amp;$E298)+$JU298</f>
        <v/>
      </c>
      <c r="JW298" s="55">
        <f>SUMIFS(tblBudget[Feed_oz],tblBudget[Month],$E298)</f>
        <v/>
      </c>
      <c r="JX298" s="55">
        <f>$JW298*$C298/$D298</f>
        <v/>
      </c>
      <c r="JY298" s="55">
        <f>SUMIFS(tblBudget[Feed_oz],tblBudget[Month],"&lt;"&amp;$E298)+$JX298</f>
        <v/>
      </c>
      <c r="JZ298" s="55">
        <f>SUMIFS(tblBudget[Recovered_oz],tblBudget[Month],$E298)</f>
        <v/>
      </c>
      <c r="KA298" s="55">
        <f>$JZ298*$C298/$D298</f>
        <v/>
      </c>
      <c r="KB298" s="55">
        <f>SUMIFS(tblBudget[Recovered_oz],tblBudget[Month],"&lt;"&amp;$E298)+$KA298</f>
        <v/>
      </c>
      <c r="KC298" s="55">
        <f>SUMIFS(tblBudget[Milled_t],tblBudget[Month],$E298)</f>
        <v/>
      </c>
      <c r="KD298" s="55">
        <f>$KC298*$C298/$D298</f>
        <v/>
      </c>
      <c r="KE298" s="55">
        <f>SUMIFS(tblBudget[Milled_t],tblBudget[Month],"&lt;"&amp;$E298)+$KD298</f>
        <v/>
      </c>
      <c r="KF298" s="55">
        <f>SUMIFS(tblBudget[Feed_oz],tblBudget[Month],$E298)</f>
        <v/>
      </c>
      <c r="KG298" s="55">
        <f>$KF298*$C298/$D298</f>
        <v/>
      </c>
      <c r="KH298" s="55">
        <f>SUMIFS(tblBudget[Feed_oz],tblBudget[Month],"&lt;"&amp;$E298)+$KG298</f>
        <v/>
      </c>
      <c r="KI298" s="56">
        <f>IFERROR(IF(($KC298)&gt;0,($JW298*cfg_TroyOz)/($KC298),""),"")</f>
        <v/>
      </c>
      <c r="KJ298" s="56">
        <f>IFERROR(IF(($KD298)&gt;0,($JX298*cfg_TroyOz)/($KD298),""),"")</f>
        <v/>
      </c>
      <c r="KK298" s="56">
        <f>IFERROR(IF(($KE298)&gt;0,($JY298*cfg_TroyOz)/($KE298),""),"")</f>
        <v/>
      </c>
      <c r="KL298" s="67">
        <f>IFERROR(IF(($KF298)&gt;0,($JZ298)/($KF298),""),"")</f>
        <v/>
      </c>
      <c r="KM298" s="67">
        <f>IFERROR(IF(($KG298)&gt;0,($KA298)/($KG298),""),"")</f>
        <v/>
      </c>
      <c r="KN298" s="67">
        <f>IFERROR(IF(($KH298)&gt;0,($KB298)/($KH298),""),"")</f>
        <v/>
      </c>
      <c r="KO298" s="55">
        <f>SUMIFS(tblBudget[Gold_Poured_oz],tblBudget[Month],$E298)</f>
        <v/>
      </c>
      <c r="KP298" s="55">
        <f>$KO298*$C298/$D298</f>
        <v/>
      </c>
      <c r="KQ298" s="55">
        <f>SUMIFS(tblBudget[Gold_Poured_oz],tblBudget[Month],"&lt;"&amp;$E298)+$KP298</f>
        <v/>
      </c>
      <c r="KR298" s="57">
        <f>SUMIFS(tblBudget[Hours_Worked],tblBudget[Month],$E298)</f>
        <v/>
      </c>
      <c r="KS298" s="57">
        <f>$KR298*$C298/$D298</f>
        <v/>
      </c>
      <c r="KT298" s="57">
        <f>SUMIFS(tblBudget[Hours_Worked],tblBudget[Month],"&lt;"&amp;$E298)+$KS298</f>
        <v/>
      </c>
    </row>
    <row r="299">
      <c r="A299" s="54" t="n">
        <v>46320</v>
      </c>
      <c r="B299">
        <f>MONTH($A299)</f>
        <v/>
      </c>
      <c r="C299">
        <f>DAY($A299)</f>
        <v/>
      </c>
      <c r="D299">
        <f>DAY(EOMONTH($A299,0))</f>
        <v/>
      </c>
      <c r="E299" s="54">
        <f>DATE(YEAR($A299),MONTH($A299),1)</f>
        <v/>
      </c>
      <c r="F299" s="55">
        <f>SUMIFS(tblMovement[Tonnes_t],tblMovement[Date],$A299,tblMovement[Is_Ore],1,tblMovement[Source_Type],"Pit")</f>
        <v/>
      </c>
      <c r="G299" s="55">
        <f>IF($B299=$B298,$G298,0)+$F299</f>
        <v/>
      </c>
      <c r="H299" s="55">
        <f>$H298+$F299</f>
        <v/>
      </c>
      <c r="I299" s="55">
        <f>SUMIFS(tblMovement[Ore_oz],tblMovement[Date],$A299,tblMovement[Source_Type],"Pit")</f>
        <v/>
      </c>
      <c r="J299" s="55">
        <f>IF($B299=$B298,$J298,0)+$I299</f>
        <v/>
      </c>
      <c r="K299" s="55">
        <f>$K298+$I299</f>
        <v/>
      </c>
      <c r="L299" s="55">
        <f>SUMIFS(tblMovement[Tonnes_t],tblMovement[Date],$A299,tblMovement[Is_Ore],1,tblMovement[Source_Type],"Pit",tblMovement[Grade_gpt],"&lt;&gt;")</f>
        <v/>
      </c>
      <c r="M299" s="55">
        <f>IF($B299=$B298,$M298,0)+$L299</f>
        <v/>
      </c>
      <c r="N299" s="55">
        <f>$N298+$L299</f>
        <v/>
      </c>
      <c r="O299" s="56">
        <f>IFERROR(IF(($L299)&gt;0,($I299*cfg_TroyOz)/($L299),""),"")</f>
        <v/>
      </c>
      <c r="P299" s="56">
        <f>IFERROR(IF(($M299)&gt;0,($J299*cfg_TroyOz)/($M299),""),"")</f>
        <v/>
      </c>
      <c r="Q299" s="56">
        <f>IFERROR(IF(($N299)&gt;0,($K299*cfg_TroyOz)/($N299),""),"")</f>
        <v/>
      </c>
      <c r="R299" s="55">
        <f>$F299-$L299</f>
        <v/>
      </c>
      <c r="S299" s="55">
        <f>IF($B299=$B298,$S298,0)+$R299</f>
        <v/>
      </c>
      <c r="T299" s="55">
        <f>$T298+$R299</f>
        <v/>
      </c>
      <c r="U299" s="55">
        <f>SUMIFS(tblMovement[Tonnes_t],tblMovement[Date],$A299,tblMovement[Is_Ore],0,tblMovement[Source_Type],"Pit")</f>
        <v/>
      </c>
      <c r="V299" s="55">
        <f>IF($B299=$B298,$V298,0)+$U299</f>
        <v/>
      </c>
      <c r="W299" s="55">
        <f>$W298+$U299</f>
        <v/>
      </c>
      <c r="X299" s="55">
        <f>$F299+$U299</f>
        <v/>
      </c>
      <c r="Y299" s="55">
        <f>IF($B299=$B298,$Y298,0)+$X299</f>
        <v/>
      </c>
      <c r="Z299" s="55">
        <f>$Z298+$X299</f>
        <v/>
      </c>
      <c r="AA299" s="56">
        <f>IFERROR(IF(($F299)&gt;0,($U299)/($F299),""),"")</f>
        <v/>
      </c>
      <c r="AB299" s="56">
        <f>IFERROR(IF(($G299)&gt;0,($V299)/($G299),""),"")</f>
        <v/>
      </c>
      <c r="AC299" s="56">
        <f>IFERROR(IF(($H299)&gt;0,($W299)/($H299),""),"")</f>
        <v/>
      </c>
      <c r="AD299" s="55">
        <f>SUMIFS(tblMovement[Tonnes_t],tblMovement[Date],$A299,tblMovement[Source_Type],"Stockpile")</f>
        <v/>
      </c>
      <c r="AE299" s="55">
        <f>IF($B299=$B298,$AE298,0)+$AD299</f>
        <v/>
      </c>
      <c r="AF299" s="55">
        <f>$AF298+$AD299</f>
        <v/>
      </c>
      <c r="AG299" s="55">
        <f>SUMIFS(tblMovement[Tonnes_t],tblMovement[Date],$A299)</f>
        <v/>
      </c>
      <c r="AH299" s="55">
        <f>IF($B299=$B298,$AH298,0)+$AG299</f>
        <v/>
      </c>
      <c r="AI299" s="55">
        <f>$AI298+$AG299</f>
        <v/>
      </c>
      <c r="AJ299" s="55">
        <f>$AG299-$X299-$AD299</f>
        <v/>
      </c>
      <c r="AK299" s="55">
        <f>IF($B299=$B298,$AK298,0)+$AJ299</f>
        <v/>
      </c>
      <c r="AL299" s="55">
        <f>$AL298+$AJ299</f>
        <v/>
      </c>
      <c r="AM299" s="55">
        <f>SUMIFS(tblMiningDaily[Drill_m],tblMiningDaily[Date],$A299)</f>
        <v/>
      </c>
      <c r="AN299" s="55">
        <f>IF($B299=$B298,$AN298,0)+$AM299</f>
        <v/>
      </c>
      <c r="AO299" s="55">
        <f>$AO298+$AM299</f>
        <v/>
      </c>
      <c r="AP299" s="55">
        <f>SUMIFS(tblMiningDaily[GC_Drill_m],tblMiningDaily[Date],$A299)</f>
        <v/>
      </c>
      <c r="AQ299" s="55">
        <f>IF($B299=$B298,$AQ298,0)+$AP299</f>
        <v/>
      </c>
      <c r="AR299" s="55">
        <f>$AR298+$AP299</f>
        <v/>
      </c>
      <c r="AS299" s="55">
        <f>SUMIFS(tblMiningDaily[Blast_t],tblMiningDaily[Date],$A299)</f>
        <v/>
      </c>
      <c r="AT299" s="55">
        <f>IF($B299=$B298,$AT298,0)+$AS299</f>
        <v/>
      </c>
      <c r="AU299" s="55">
        <f>$AU298+$AS299</f>
        <v/>
      </c>
      <c r="AV299" s="55">
        <f>SUMIFS(tblMiningDaily[Explosives_kg],tblMiningDaily[Date],$A299)</f>
        <v/>
      </c>
      <c r="AW299" s="55">
        <f>IF($B299=$B298,$AW298,0)+$AV299</f>
        <v/>
      </c>
      <c r="AX299" s="55">
        <f>$AX298+$AV299</f>
        <v/>
      </c>
      <c r="AY299" s="56">
        <f>IFERROR(IF(($AS299)&gt;0,($AV299)/($AS299),""),"")</f>
        <v/>
      </c>
      <c r="AZ299" s="56">
        <f>IFERROR(IF(($AT299)&gt;0,($AW299)/($AT299),""),"")</f>
        <v/>
      </c>
      <c r="BA299" s="56">
        <f>IFERROR(IF(($AU299)&gt;0,($AX299)/($AU299),""),"")</f>
        <v/>
      </c>
      <c r="BB299" s="55">
        <f>SUMIFS(tblMiningDaily[Diesel_L],tblMiningDaily[Date],$A299)</f>
        <v/>
      </c>
      <c r="BC299" s="55">
        <f>IF($B299=$B298,$BC298,0)+$BB299</f>
        <v/>
      </c>
      <c r="BD299" s="55">
        <f>$BD298+$BB299</f>
        <v/>
      </c>
      <c r="BE299" s="55">
        <f>SUMIFS(tblMiningDaily[Dewatering_m3],tblMiningDaily[Date],$A299)</f>
        <v/>
      </c>
      <c r="BF299" s="55">
        <f>IF($B299=$B298,$BF298,0)+$BE299</f>
        <v/>
      </c>
      <c r="BG299" s="55">
        <f>$BG298+$BE299</f>
        <v/>
      </c>
      <c r="BH299" s="57">
        <f>SUMIFS(tblFleet[Calendar_h],tblFleet[Date],$A299,tblFleet[Equipment_Class],"Excavator")</f>
        <v/>
      </c>
      <c r="BI299" s="57">
        <f>IF($B299=$B298,$BI298,0)+$BH299</f>
        <v/>
      </c>
      <c r="BJ299" s="57">
        <f>$BJ298+$BH299</f>
        <v/>
      </c>
      <c r="BK299" s="57">
        <f>SUMIFS(tblFleet[Available_h],tblFleet[Date],$A299,tblFleet[Equipment_Class],"Excavator")</f>
        <v/>
      </c>
      <c r="BL299" s="57">
        <f>IF($B299=$B298,$BL298,0)+$BK299</f>
        <v/>
      </c>
      <c r="BM299" s="57">
        <f>$BM298+$BK299</f>
        <v/>
      </c>
      <c r="BN299" s="57">
        <f>SUMIFS(tblFleet[Operating_h],tblFleet[Date],$A299,tblFleet[Equipment_Class],"Excavator")</f>
        <v/>
      </c>
      <c r="BO299" s="57">
        <f>IF($B299=$B298,$BO298,0)+$BN299</f>
        <v/>
      </c>
      <c r="BP299" s="57">
        <f>$BP298+$BN299</f>
        <v/>
      </c>
      <c r="BQ299" s="67">
        <f>IFERROR(IF(($BH299)&gt;0,($BK299)/($BH299),""),"")</f>
        <v/>
      </c>
      <c r="BR299" s="67">
        <f>IFERROR(IF(($BI299)&gt;0,($BL299)/($BI299),""),"")</f>
        <v/>
      </c>
      <c r="BS299" s="67">
        <f>IFERROR(IF(($BJ299)&gt;0,($BM299)/($BJ299),""),"")</f>
        <v/>
      </c>
      <c r="BT299" s="67">
        <f>IFERROR(IF(($BK299)&gt;0,($BN299)/($BK299),""),"")</f>
        <v/>
      </c>
      <c r="BU299" s="67">
        <f>IFERROR(IF(($BL299)&gt;0,($BO299)/($BL299),""),"")</f>
        <v/>
      </c>
      <c r="BV299" s="67">
        <f>IFERROR(IF(($BM299)&gt;0,($BP299)/($BM299),""),"")</f>
        <v/>
      </c>
      <c r="BW299" s="57">
        <f>SUMIFS(tblFleet[Calendar_h],tblFleet[Date],$A299,tblFleet[Equipment_Class],"Haul Truck")</f>
        <v/>
      </c>
      <c r="BX299" s="57">
        <f>IF($B299=$B298,$BX298,0)+$BW299</f>
        <v/>
      </c>
      <c r="BY299" s="57">
        <f>$BY298+$BW299</f>
        <v/>
      </c>
      <c r="BZ299" s="57">
        <f>SUMIFS(tblFleet[Available_h],tblFleet[Date],$A299,tblFleet[Equipment_Class],"Haul Truck")</f>
        <v/>
      </c>
      <c r="CA299" s="57">
        <f>IF($B299=$B298,$CA298,0)+$BZ299</f>
        <v/>
      </c>
      <c r="CB299" s="57">
        <f>$CB298+$BZ299</f>
        <v/>
      </c>
      <c r="CC299" s="57">
        <f>SUMIFS(tblFleet[Operating_h],tblFleet[Date],$A299,tblFleet[Equipment_Class],"Haul Truck")</f>
        <v/>
      </c>
      <c r="CD299" s="57">
        <f>IF($B299=$B298,$CD298,0)+$CC299</f>
        <v/>
      </c>
      <c r="CE299" s="57">
        <f>$CE298+$CC299</f>
        <v/>
      </c>
      <c r="CF299" s="67">
        <f>IFERROR(IF(($BW299)&gt;0,($BZ299)/($BW299),""),"")</f>
        <v/>
      </c>
      <c r="CG299" s="67">
        <f>IFERROR(IF(($BX299)&gt;0,($CA299)/($BX299),""),"")</f>
        <v/>
      </c>
      <c r="CH299" s="67">
        <f>IFERROR(IF(($BY299)&gt;0,($CB299)/($BY299),""),"")</f>
        <v/>
      </c>
      <c r="CI299" s="67">
        <f>IFERROR(IF(($BZ299)&gt;0,($CC299)/($BZ299),""),"")</f>
        <v/>
      </c>
      <c r="CJ299" s="67">
        <f>IFERROR(IF(($CA299)&gt;0,($CD299)/($CA299),""),"")</f>
        <v/>
      </c>
      <c r="CK299" s="67">
        <f>IFERROR(IF(($CB299)&gt;0,($CE299)/($CB299),""),"")</f>
        <v/>
      </c>
      <c r="CL299" s="55">
        <f>IFERROR(IF(($BN299)&gt;0,($X299+$AD299)/($BN299),""),"")</f>
        <v/>
      </c>
      <c r="CM299" s="55">
        <f>IFERROR(IF(($BO299)&gt;0,($Y299+$AE299)/($BO299),""),"")</f>
        <v/>
      </c>
      <c r="CN299" s="55">
        <f>IFERROR(IF(($BP299)&gt;0,($Z299+$AF299)/($BP299),""),"")</f>
        <v/>
      </c>
      <c r="CO299" s="55">
        <f>IFERROR(IF(($CC299)&gt;0,($X299+$AD299)/($CC299),""),"")</f>
        <v/>
      </c>
      <c r="CP299" s="55">
        <f>IFERROR(IF(($CD299)&gt;0,($Y299+$AE299)/($CD299),""),"")</f>
        <v/>
      </c>
      <c r="CQ299" s="55">
        <f>IFERROR(IF(($CE299)&gt;0,($Z299+$AF299)/($CE299),""),"")</f>
        <v/>
      </c>
      <c r="CR299" s="55">
        <f>SUMIFS(tblPlant[Crushed_t],tblPlant[Date],$A299)</f>
        <v/>
      </c>
      <c r="CS299" s="55">
        <f>IF($B299=$B298,$CS298,0)+$CR299</f>
        <v/>
      </c>
      <c r="CT299" s="55">
        <f>$CT298+$CR299</f>
        <v/>
      </c>
      <c r="CU299" s="55">
        <f>SUMIFS(tblPlant[Milled_t],tblPlant[Date],$A299)</f>
        <v/>
      </c>
      <c r="CV299" s="55">
        <f>IF($B299=$B298,$CV298,0)+$CU299</f>
        <v/>
      </c>
      <c r="CW299" s="55">
        <f>$CW298+$CU299</f>
        <v/>
      </c>
      <c r="CX299" s="55">
        <f>SUMIFS(tblPlant[Feed_oz],tblPlant[Date],$A299)</f>
        <v/>
      </c>
      <c r="CY299" s="55">
        <f>IF($B299=$B298,$CY298,0)+$CX299</f>
        <v/>
      </c>
      <c r="CZ299" s="55">
        <f>$CZ298+$CX299</f>
        <v/>
      </c>
      <c r="DA299" s="55">
        <f>SUMIFS(tblPlant[Tails_oz],tblPlant[Date],$A299)</f>
        <v/>
      </c>
      <c r="DB299" s="55">
        <f>IF($B299=$B298,$DB298,0)+$DA299</f>
        <v/>
      </c>
      <c r="DC299" s="55">
        <f>$DC298+$DA299</f>
        <v/>
      </c>
      <c r="DD299" s="55">
        <f>SUMIFS(tblPlant[Recovered_oz],tblPlant[Date],$A299)</f>
        <v/>
      </c>
      <c r="DE299" s="55">
        <f>IF($B299=$B298,$DE298,0)+$DD299</f>
        <v/>
      </c>
      <c r="DF299" s="55">
        <f>$DF298+$DD299</f>
        <v/>
      </c>
      <c r="DG299" s="55">
        <f>SUMIFS(tblPlant[Milled_t],tblPlant[Date],$A299,tblPlant[Head_Grade_gpt],"&lt;&gt;")</f>
        <v/>
      </c>
      <c r="DH299" s="55">
        <f>IF($B299=$B298,$DH298,0)+$DG299</f>
        <v/>
      </c>
      <c r="DI299" s="55">
        <f>$DI298+$DG299</f>
        <v/>
      </c>
      <c r="DJ299" s="55">
        <f>SUMIFS(tblPlant[Milled_t],tblPlant[Date],$A299,tblPlant[Tails_Grade_gpt],"&lt;&gt;")</f>
        <v/>
      </c>
      <c r="DK299" s="55">
        <f>IF($B299=$B298,$DK298,0)+$DJ299</f>
        <v/>
      </c>
      <c r="DL299" s="55">
        <f>$DL298+$DJ299</f>
        <v/>
      </c>
      <c r="DM299" s="55">
        <f>SUMIFS(tblPlant[Feed_oz],tblPlant[Date],$A299,tblPlant[Tails_Grade_gpt],"&lt;&gt;")</f>
        <v/>
      </c>
      <c r="DN299" s="55">
        <f>IF($B299=$B298,$DN298,0)+$DM299</f>
        <v/>
      </c>
      <c r="DO299" s="55">
        <f>$DO298+$DM299</f>
        <v/>
      </c>
      <c r="DP299" s="55">
        <f>SUMIFS(tblPlant[Milled_t],tblPlant[Date],$A299,tblPlant[Mill_Run_h],"&lt;&gt;")</f>
        <v/>
      </c>
      <c r="DQ299" s="55">
        <f>IF($B299=$B298,$DQ298,0)+$DP299</f>
        <v/>
      </c>
      <c r="DR299" s="55">
        <f>$DR298+$DP299</f>
        <v/>
      </c>
      <c r="DS299" s="56">
        <f>IFERROR(IF(($DG299)&gt;0,($CX299*cfg_TroyOz)/($DG299),""),"")</f>
        <v/>
      </c>
      <c r="DT299" s="56">
        <f>IFERROR(IF(($DH299)&gt;0,($CY299*cfg_TroyOz)/($DH299),""),"")</f>
        <v/>
      </c>
      <c r="DU299" s="56">
        <f>IFERROR(IF(($DI299)&gt;0,($CZ299*cfg_TroyOz)/($DI299),""),"")</f>
        <v/>
      </c>
      <c r="DV299" s="56">
        <f>IFERROR(IF(($DJ299)&gt;0,($DA299*cfg_TroyOz)/($DJ299),""),"")</f>
        <v/>
      </c>
      <c r="DW299" s="56">
        <f>IFERROR(IF(($DK299)&gt;0,($DB299*cfg_TroyOz)/($DK299),""),"")</f>
        <v/>
      </c>
      <c r="DX299" s="56">
        <f>IFERROR(IF(($DL299)&gt;0,($DC299*cfg_TroyOz)/($DL299),""),"")</f>
        <v/>
      </c>
      <c r="DY299" s="67">
        <f>IFERROR(IF(($DM299)&gt;0,($DD299)/($DM299),""),"")</f>
        <v/>
      </c>
      <c r="DZ299" s="67">
        <f>IFERROR(IF(($DN299)&gt;0,($DE299)/($DN299),""),"")</f>
        <v/>
      </c>
      <c r="EA299" s="67">
        <f>IFERROR(IF(($DO299)&gt;0,($DF299)/($DO299),""),"")</f>
        <v/>
      </c>
      <c r="EB299" s="55">
        <f>SUMIFS(tblPlant[Gravity_Gold_oz],tblPlant[Date],$A299)</f>
        <v/>
      </c>
      <c r="EC299" s="55">
        <f>IF($B299=$B298,$EC298,0)+$EB299</f>
        <v/>
      </c>
      <c r="ED299" s="55">
        <f>$ED298+$EB299</f>
        <v/>
      </c>
      <c r="EE299" s="67">
        <f>IFERROR(IF(($DD299)&gt;0,($EB299)/($DD299),""),"")</f>
        <v/>
      </c>
      <c r="EF299" s="67">
        <f>IFERROR(IF(($DE299)&gt;0,($EC299)/($DE299),""),"")</f>
        <v/>
      </c>
      <c r="EG299" s="67">
        <f>IFERROR(IF(($DF299)&gt;0,($ED299)/($DF299),""),"")</f>
        <v/>
      </c>
      <c r="EH299" s="55">
        <f>SUMIFS(tblPlant[Gold_Poured_oz],tblPlant[Date],$A299)</f>
        <v/>
      </c>
      <c r="EI299" s="55">
        <f>IF($B299=$B298,$EI298,0)+$EH299</f>
        <v/>
      </c>
      <c r="EJ299" s="55">
        <f>$EJ298+$EH299</f>
        <v/>
      </c>
      <c r="EK299" s="57">
        <f>SUMIFS(tblPlant[Mill_Run_h],tblPlant[Date],$A299)</f>
        <v/>
      </c>
      <c r="EL299" s="57">
        <f>IF($B299=$B298,$EL298,0)+$EK299</f>
        <v/>
      </c>
      <c r="EM299" s="57">
        <f>$EM298+$EK299</f>
        <v/>
      </c>
      <c r="EN299" s="57">
        <f>SUMIFS(tblPlant[Mill_Planned_Maint_h],tblPlant[Date],$A299)</f>
        <v/>
      </c>
      <c r="EO299" s="57">
        <f>IF($B299=$B298,$EO298,0)+$EN299</f>
        <v/>
      </c>
      <c r="EP299" s="57">
        <f>$EP298+$EN299</f>
        <v/>
      </c>
      <c r="EQ299" s="57">
        <f>SUMIFS(tblPlant[Mill_Unplanned_Down_h],tblPlant[Date],$A299)</f>
        <v/>
      </c>
      <c r="ER299" s="57">
        <f>IF($B299=$B298,$ER298,0)+$EQ299</f>
        <v/>
      </c>
      <c r="ES299" s="57">
        <f>$ES298+$EQ299</f>
        <v/>
      </c>
      <c r="ET299" s="57">
        <f>IF(COUNTIFS(tblPlant[Date],$A299,tblPlant[Mill_Run_h],"&lt;&gt;")+COUNTIFS(tblPlant[Date],$A299,tblPlant[Mill_Planned_Maint_h],"&lt;&gt;")+COUNTIFS(tblPlant[Date],$A299,tblPlant[Mill_Unplanned_Down_h],"&lt;&gt;")&gt;0,cfg_HoursPerDay,0)</f>
        <v/>
      </c>
      <c r="EU299" s="57">
        <f>IF($B299=$B298,$EU298,0)+$ET299</f>
        <v/>
      </c>
      <c r="EV299" s="57">
        <f>$EV298+$ET299</f>
        <v/>
      </c>
      <c r="EW299" s="57">
        <f>SUMIFS(tblPlant[Crusher_Run_h],tblPlant[Date],$A299)</f>
        <v/>
      </c>
      <c r="EX299" s="57">
        <f>IF($B299=$B298,$EX298,0)+$EW299</f>
        <v/>
      </c>
      <c r="EY299" s="57">
        <f>$EY298+$EW299</f>
        <v/>
      </c>
      <c r="EZ299" s="55">
        <f>IFERROR(IF(($EK299)&gt;0,($DP299)/($EK299),""),"")</f>
        <v/>
      </c>
      <c r="FA299" s="55">
        <f>IFERROR(IF(($EL299)&gt;0,($DQ299)/($EL299),""),"")</f>
        <v/>
      </c>
      <c r="FB299" s="55">
        <f>IFERROR(IF(($EM299)&gt;0,($DR299)/($EM299),""),"")</f>
        <v/>
      </c>
      <c r="FC299" s="67">
        <f>IFERROR(IF(($ET299)&gt;0,($ET299-$EN299-$EQ299)/($ET299),""),"")</f>
        <v/>
      </c>
      <c r="FD299" s="67">
        <f>IFERROR(IF(($EU299)&gt;0,($EU299-$EO299-$ER299)/($EU299),""),"")</f>
        <v/>
      </c>
      <c r="FE299" s="67">
        <f>IFERROR(IF(($EV299)&gt;0,($EV299-$EP299-$ES299)/($EV299),""),"")</f>
        <v/>
      </c>
      <c r="FF299" s="67">
        <f>IFERROR(IF(($ET299-$EN299-$EQ299)&gt;0,($EK299)/($ET299-$EN299-$EQ299),""),"")</f>
        <v/>
      </c>
      <c r="FG299" s="67">
        <f>IFERROR(IF(($EU299-$EO299-$ER299)&gt;0,($EL299)/($EU299-$EO299-$ER299),""),"")</f>
        <v/>
      </c>
      <c r="FH299" s="67">
        <f>IFERROR(IF(($EV299-$EP299-$ES299)&gt;0,($EM299)/($EV299-$EP299-$ES299),""),"")</f>
        <v/>
      </c>
      <c r="FI299" s="55">
        <f>SUMIFS(tblPlant[Cyanide_kg],tblPlant[Date],$A299)</f>
        <v/>
      </c>
      <c r="FJ299" s="55">
        <f>IF($B299=$B298,$FJ298,0)+$FI299</f>
        <v/>
      </c>
      <c r="FK299" s="55">
        <f>$FK298+$FI299</f>
        <v/>
      </c>
      <c r="FL299" s="55">
        <f>SUMIFS(tblPlant[Lime_kg],tblPlant[Date],$A299)</f>
        <v/>
      </c>
      <c r="FM299" s="55">
        <f>IF($B299=$B298,$FM298,0)+$FL299</f>
        <v/>
      </c>
      <c r="FN299" s="55">
        <f>$FN298+$FL299</f>
        <v/>
      </c>
      <c r="FO299" s="55">
        <f>SUMIFS(tblPlant[Grinding_Media_kg],tblPlant[Date],$A299)</f>
        <v/>
      </c>
      <c r="FP299" s="55">
        <f>IF($B299=$B298,$FP298,0)+$FO299</f>
        <v/>
      </c>
      <c r="FQ299" s="55">
        <f>$FQ298+$FO299</f>
        <v/>
      </c>
      <c r="FR299" s="55">
        <f>SUMIFS(tblPlant[Power_kWh],tblPlant[Date],$A299)</f>
        <v/>
      </c>
      <c r="FS299" s="55">
        <f>IF($B299=$B298,$FS298,0)+$FR299</f>
        <v/>
      </c>
      <c r="FT299" s="55">
        <f>$FT298+$FR299</f>
        <v/>
      </c>
      <c r="FU299" s="55">
        <f>SUMIFS(tblPlant[Raw_Water_m3],tblPlant[Date],$A299)</f>
        <v/>
      </c>
      <c r="FV299" s="55">
        <f>IF($B299=$B298,$FV298,0)+$FU299</f>
        <v/>
      </c>
      <c r="FW299" s="55">
        <f>$FW298+$FU299</f>
        <v/>
      </c>
      <c r="FX299" s="56">
        <f>IFERROR(IF(($CU299)&gt;0,($FI299)/($CU299),""),"")</f>
        <v/>
      </c>
      <c r="FY299" s="56">
        <f>IFERROR(IF(($CV299)&gt;0,($FJ299)/($CV299),""),"")</f>
        <v/>
      </c>
      <c r="FZ299" s="56">
        <f>IFERROR(IF(($CW299)&gt;0,($FK299)/($CW299),""),"")</f>
        <v/>
      </c>
      <c r="GA299" s="56">
        <f>IFERROR(IF(($CU299)&gt;0,($FL299)/($CU299),""),"")</f>
        <v/>
      </c>
      <c r="GB299" s="56">
        <f>IFERROR(IF(($CV299)&gt;0,($FM299)/($CV299),""),"")</f>
        <v/>
      </c>
      <c r="GC299" s="56">
        <f>IFERROR(IF(($CW299)&gt;0,($FN299)/($CW299),""),"")</f>
        <v/>
      </c>
      <c r="GD299" s="56">
        <f>IFERROR(IF(($CU299)&gt;0,($FO299)/($CU299),""),"")</f>
        <v/>
      </c>
      <c r="GE299" s="56">
        <f>IFERROR(IF(($CV299)&gt;0,($FP299)/($CV299),""),"")</f>
        <v/>
      </c>
      <c r="GF299" s="56">
        <f>IFERROR(IF(($CW299)&gt;0,($FQ299)/($CW299),""),"")</f>
        <v/>
      </c>
      <c r="GG299" s="79">
        <f>IFERROR(IF(($CU299)&gt;0,($FR299)/($CU299),""),"")</f>
        <v/>
      </c>
      <c r="GH299" s="79">
        <f>IFERROR(IF(($CV299)&gt;0,($FS299)/($CV299),""),"")</f>
        <v/>
      </c>
      <c r="GI299" s="79">
        <f>IFERROR(IF(($CW299)&gt;0,($FT299)/($CW299),""),"")</f>
        <v/>
      </c>
      <c r="GJ299" s="56">
        <f>IFERROR(IF(($CU299)&gt;0,($FU299)/($CU299),""),"")</f>
        <v/>
      </c>
      <c r="GK299" s="56">
        <f>IFERROR(IF(($CV299)&gt;0,($FV299)/($CV299),""),"")</f>
        <v/>
      </c>
      <c r="GL299" s="56">
        <f>IFERROR(IF(($CW299)&gt;0,($FW299)/($CW299),""),"")</f>
        <v/>
      </c>
      <c r="GM299" s="55">
        <f>IF(SUMIFS(tblPlant[GIC_oz],tblPlant[Date],$A299)&gt;0,SUMIFS(tblPlant[GIC_oz],tblPlant[Date],$A299),"")</f>
        <v/>
      </c>
      <c r="GN299" s="55">
        <f>SUMIFS(tblGold[Gold_oz],tblGold[Date],$A299,tblGold[Type],"Shipment")</f>
        <v/>
      </c>
      <c r="GO299" s="55">
        <f>IF($B299=$B298,$GO298,0)+$GN299</f>
        <v/>
      </c>
      <c r="GP299" s="55">
        <f>$GP298+$GN299</f>
        <v/>
      </c>
      <c r="GQ299" s="55">
        <f>SUMIFS(tblGold[Gold_oz],tblGold[Date],$A299,tblGold[Type],"Sale")</f>
        <v/>
      </c>
      <c r="GR299" s="55">
        <f>IF($B299=$B298,$GR298,0)+$GQ299</f>
        <v/>
      </c>
      <c r="GS299" s="55">
        <f>$GS298+$GQ299</f>
        <v/>
      </c>
      <c r="GT299" s="55">
        <f>SUMIFS(tblGold[Dore_kg],tblGold[Date],$A299,tblGold[Type],"Shipment")</f>
        <v/>
      </c>
      <c r="GU299" s="55">
        <f>IF($B299=$B298,$GU298,0)+$GT299</f>
        <v/>
      </c>
      <c r="GV299" s="55">
        <f>$GV298+$GT299</f>
        <v/>
      </c>
      <c r="GW299" s="57">
        <f>SUMIFS(tblSafety[Hours_Total],tblSafety[Date],$A299)</f>
        <v/>
      </c>
      <c r="GX299" s="57">
        <f>IF($B299=$B298,$GX298,0)+$GW299</f>
        <v/>
      </c>
      <c r="GY299" s="57">
        <f>$GY298+$GW299</f>
        <v/>
      </c>
      <c r="GZ299" s="62">
        <f>SUMIFS(tblSafety[Fatality],tblSafety[Date],$A299)</f>
        <v/>
      </c>
      <c r="HA299" s="62">
        <f>IF($B299=$B298,$HA298,0)+$GZ299</f>
        <v/>
      </c>
      <c r="HB299" s="62">
        <f>$HB298+$GZ299</f>
        <v/>
      </c>
      <c r="HC299" s="62">
        <f>SUMIFS(tblSafety[LTI],tblSafety[Date],$A299)</f>
        <v/>
      </c>
      <c r="HD299" s="62">
        <f>IF($B299=$B298,$HD298,0)+$HC299</f>
        <v/>
      </c>
      <c r="HE299" s="62">
        <f>$HE298+$HC299</f>
        <v/>
      </c>
      <c r="HF299" s="62">
        <f>SUMIFS(tblSafety[RWI],tblSafety[Date],$A299)</f>
        <v/>
      </c>
      <c r="HG299" s="62">
        <f>IF($B299=$B298,$HG298,0)+$HF299</f>
        <v/>
      </c>
      <c r="HH299" s="62">
        <f>$HH298+$HF299</f>
        <v/>
      </c>
      <c r="HI299" s="62">
        <f>SUMIFS(tblSafety[MTI],tblSafety[Date],$A299)</f>
        <v/>
      </c>
      <c r="HJ299" s="62">
        <f>IF($B299=$B298,$HJ298,0)+$HI299</f>
        <v/>
      </c>
      <c r="HK299" s="62">
        <f>$HK298+$HI299</f>
        <v/>
      </c>
      <c r="HL299" s="62">
        <f>SUMIFS(tblSafety[FAI],tblSafety[Date],$A299)</f>
        <v/>
      </c>
      <c r="HM299" s="62">
        <f>IF($B299=$B298,$HM298,0)+$HL299</f>
        <v/>
      </c>
      <c r="HN299" s="62">
        <f>$HN298+$HL299</f>
        <v/>
      </c>
      <c r="HO299" s="62">
        <f>SUMIFS(tblSafety[Recordables],tblSafety[Date],$A299)</f>
        <v/>
      </c>
      <c r="HP299" s="62">
        <f>IF($B299=$B298,$HP298,0)+$HO299</f>
        <v/>
      </c>
      <c r="HQ299" s="62">
        <f>$HQ298+$HO299</f>
        <v/>
      </c>
      <c r="HR299" s="62">
        <f>SUMIFS(tblSafety[Near_Miss],tblSafety[Date],$A299)</f>
        <v/>
      </c>
      <c r="HS299" s="62">
        <f>IF($B299=$B298,$HS298,0)+$HR299</f>
        <v/>
      </c>
      <c r="HT299" s="62">
        <f>$HT298+$HR299</f>
        <v/>
      </c>
      <c r="HU299" s="62">
        <f>SUMIFS(tblSafety[Hazard_Reports],tblSafety[Date],$A299)</f>
        <v/>
      </c>
      <c r="HV299" s="62">
        <f>IF($B299=$B298,$HV298,0)+$HU299</f>
        <v/>
      </c>
      <c r="HW299" s="62">
        <f>$HW298+$HU299</f>
        <v/>
      </c>
      <c r="HX299" s="62">
        <f>SUMIFS(tblSafety[HPI],tblSafety[Date],$A299)</f>
        <v/>
      </c>
      <c r="HY299" s="62">
        <f>IF($B299=$B298,$HY298,0)+$HX299</f>
        <v/>
      </c>
      <c r="HZ299" s="62">
        <f>$HZ298+$HX299</f>
        <v/>
      </c>
      <c r="IA299" s="62">
        <f>SUMIFS(tblSafety[Env_Incidents],tblSafety[Date],$A299)</f>
        <v/>
      </c>
      <c r="IB299" s="62">
        <f>IF($B299=$B298,$IB298,0)+$IA299</f>
        <v/>
      </c>
      <c r="IC299" s="62">
        <f>$IC298+$IA299</f>
        <v/>
      </c>
      <c r="ID299" s="62">
        <f>SUMIFS(tblSafety[Community_Incidents],tblSafety[Date],$A299)</f>
        <v/>
      </c>
      <c r="IE299" s="62">
        <f>IF($B299=$B298,$IE298,0)+$ID299</f>
        <v/>
      </c>
      <c r="IF299" s="62">
        <f>$IF298+$ID299</f>
        <v/>
      </c>
      <c r="IG299" s="62">
        <f>SUMIFS(tblSafety[Vehicle_Incidents],tblSafety[Date],$A299)</f>
        <v/>
      </c>
      <c r="IH299" s="62">
        <f>IF($B299=$B298,$IH298,0)+$IG299</f>
        <v/>
      </c>
      <c r="II299" s="62">
        <f>$II298+$IG299</f>
        <v/>
      </c>
      <c r="IJ299" s="62">
        <f>SUMIFS(tblSafety[Toolbox_Talks],tblSafety[Date],$A299)</f>
        <v/>
      </c>
      <c r="IK299" s="62">
        <f>IF($B299=$B298,$IK298,0)+$IJ299</f>
        <v/>
      </c>
      <c r="IL299" s="62">
        <f>$IL298+$IJ299</f>
        <v/>
      </c>
      <c r="IM299" s="62">
        <f>SUMIFS(tblSafety[Inspections],tblSafety[Date],$A299)</f>
        <v/>
      </c>
      <c r="IN299" s="62">
        <f>IF($B299=$B298,$IN298,0)+$IM299</f>
        <v/>
      </c>
      <c r="IO299" s="62">
        <f>$IO298+$IM299</f>
        <v/>
      </c>
      <c r="IP299" s="56">
        <f>IFERROR((SUMIFS(tblSafety[Recordables],tblSafety[Date],"&gt;="&amp;EDATE($E299,-12),tblSafety[Date],"&lt;="&amp;$A299)+SUMIFS(tblSafetyHistory[Recordables],tblSafetyHistory[Month],"&gt;="&amp;EDATE($E299,-12),tblSafetyHistory[Month],"&lt;"&amp;$E299,tblSafetyHistory[Use],1))/(SUMIFS(tblSafety[Hours_Total],tblSafety[Date],"&gt;="&amp;EDATE($E299,-12),tblSafety[Date],"&lt;="&amp;$A299)+SUMIFS(tblSafetyHistory[Hours_Total],tblSafetyHistory[Month],"&gt;="&amp;EDATE($E299,-12),tblSafetyHistory[Month],"&lt;"&amp;$E299,tblSafetyHistory[Use],1))*cfg_RateBasisHours,"")</f>
        <v/>
      </c>
      <c r="IQ299" s="56">
        <f>IFERROR((SUMIFS(tblSafety[LTI],tblSafety[Date],"&gt;="&amp;EDATE($E299,-12),tblSafety[Date],"&lt;="&amp;$A299)+SUMIFS(tblSafetyHistory[LTI],tblSafetyHistory[Month],"&gt;="&amp;EDATE($E299,-12),tblSafetyHistory[Month],"&lt;"&amp;$E299,tblSafetyHistory[Use],1))/(SUMIFS(tblSafety[Hours_Total],tblSafety[Date],"&gt;="&amp;EDATE($E299,-12),tblSafety[Date],"&lt;="&amp;$A299)+SUMIFS(tblSafetyHistory[Hours_Total],tblSafetyHistory[Month],"&gt;="&amp;EDATE($E299,-12),tblSafetyHistory[Month],"&lt;"&amp;$E299,tblSafetyHistory[Use],1))*cfg_RateBasisHours,"")</f>
        <v/>
      </c>
      <c r="IR299" s="62">
        <f>IF(MAX(N(cfg_PriorLTIDate),_xlfn.MAXIFS(tblSafety[Date],tblSafety[LTI],"&gt;0",tblSafety[Date],"&lt;="&amp;$A299))=0,"",$A299-MAX(N(cfg_PriorLTIDate),_xlfn.MAXIFS(tblSafety[Date],tblSafety[LTI],"&gt;0",tblSafety[Date],"&lt;="&amp;$A299)))</f>
        <v/>
      </c>
      <c r="IS299" s="55">
        <f>SUMIFS(tblBudget[Ore_Mined_t],tblBudget[Month],$E299)</f>
        <v/>
      </c>
      <c r="IT299" s="55">
        <f>$IS299*$C299/$D299</f>
        <v/>
      </c>
      <c r="IU299" s="55">
        <f>SUMIFS(tblBudget[Ore_Mined_t],tblBudget[Month],"&lt;"&amp;$E299)+$IT299</f>
        <v/>
      </c>
      <c r="IV299" s="55">
        <f>SUMIFS(tblBudget[Ore_oz],tblBudget[Month],$E299)</f>
        <v/>
      </c>
      <c r="IW299" s="55">
        <f>$IV299*$C299/$D299</f>
        <v/>
      </c>
      <c r="IX299" s="55">
        <f>SUMIFS(tblBudget[Ore_oz],tblBudget[Month],"&lt;"&amp;$E299)+$IW299</f>
        <v/>
      </c>
      <c r="IY299" s="55">
        <f>SUMIFS(tblBudget[Ore_Mined_t],tblBudget[Month],$E299)</f>
        <v/>
      </c>
      <c r="IZ299" s="55">
        <f>$IY299*$C299/$D299</f>
        <v/>
      </c>
      <c r="JA299" s="55">
        <f>SUMIFS(tblBudget[Ore_Mined_t],tblBudget[Month],"&lt;"&amp;$E299)+$IZ299</f>
        <v/>
      </c>
      <c r="JB299" s="56">
        <f>IFERROR(IF(($IY299)&gt;0,($IV299*cfg_TroyOz)/($IY299),""),"")</f>
        <v/>
      </c>
      <c r="JC299" s="56">
        <f>IFERROR(IF(($IZ299)&gt;0,($IW299*cfg_TroyOz)/($IZ299),""),"")</f>
        <v/>
      </c>
      <c r="JD299" s="56">
        <f>IFERROR(IF(($JA299)&gt;0,($IX299*cfg_TroyOz)/($JA299),""),"")</f>
        <v/>
      </c>
      <c r="JE299" s="55">
        <f>SUMIFS(tblBudget[Waste_t],tblBudget[Month],$E299)</f>
        <v/>
      </c>
      <c r="JF299" s="55">
        <f>$JE299*$C299/$D299</f>
        <v/>
      </c>
      <c r="JG299" s="55">
        <f>SUMIFS(tblBudget[Waste_t],tblBudget[Month],"&lt;"&amp;$E299)+$JF299</f>
        <v/>
      </c>
      <c r="JH299" s="55">
        <f>SUMIFS(tblBudget[TMM_t],tblBudget[Month],$E299)</f>
        <v/>
      </c>
      <c r="JI299" s="55">
        <f>$JH299*$C299/$D299</f>
        <v/>
      </c>
      <c r="JJ299" s="55">
        <f>SUMIFS(tblBudget[TMM_t],tblBudget[Month],"&lt;"&amp;$E299)+$JI299</f>
        <v/>
      </c>
      <c r="JK299" s="56">
        <f>IFERROR(IF(($IS299)&gt;0,($JE299)/($IS299),""),"")</f>
        <v/>
      </c>
      <c r="JL299" s="56">
        <f>IFERROR(IF(($IT299)&gt;0,($JF299)/($IT299),""),"")</f>
        <v/>
      </c>
      <c r="JM299" s="56">
        <f>IFERROR(IF(($IU299)&gt;0,($JG299)/($IU299),""),"")</f>
        <v/>
      </c>
      <c r="JN299" s="55">
        <f>SUMIFS(tblBudget[Drill_m],tblBudget[Month],$E299)</f>
        <v/>
      </c>
      <c r="JO299" s="55">
        <f>$JN299*$C299/$D299</f>
        <v/>
      </c>
      <c r="JP299" s="55">
        <f>SUMIFS(tblBudget[Drill_m],tblBudget[Month],"&lt;"&amp;$E299)+$JO299</f>
        <v/>
      </c>
      <c r="JQ299" s="55">
        <f>SUMIFS(tblBudget[Diesel_L],tblBudget[Month],$E299)</f>
        <v/>
      </c>
      <c r="JR299" s="55">
        <f>$JQ299*$C299/$D299</f>
        <v/>
      </c>
      <c r="JS299" s="55">
        <f>SUMIFS(tblBudget[Diesel_L],tblBudget[Month],"&lt;"&amp;$E299)+$JR299</f>
        <v/>
      </c>
      <c r="JT299" s="55">
        <f>SUMIFS(tblBudget[Milled_t],tblBudget[Month],$E299)</f>
        <v/>
      </c>
      <c r="JU299" s="55">
        <f>$JT299*$C299/$D299</f>
        <v/>
      </c>
      <c r="JV299" s="55">
        <f>SUMIFS(tblBudget[Milled_t],tblBudget[Month],"&lt;"&amp;$E299)+$JU299</f>
        <v/>
      </c>
      <c r="JW299" s="55">
        <f>SUMIFS(tblBudget[Feed_oz],tblBudget[Month],$E299)</f>
        <v/>
      </c>
      <c r="JX299" s="55">
        <f>$JW299*$C299/$D299</f>
        <v/>
      </c>
      <c r="JY299" s="55">
        <f>SUMIFS(tblBudget[Feed_oz],tblBudget[Month],"&lt;"&amp;$E299)+$JX299</f>
        <v/>
      </c>
      <c r="JZ299" s="55">
        <f>SUMIFS(tblBudget[Recovered_oz],tblBudget[Month],$E299)</f>
        <v/>
      </c>
      <c r="KA299" s="55">
        <f>$JZ299*$C299/$D299</f>
        <v/>
      </c>
      <c r="KB299" s="55">
        <f>SUMIFS(tblBudget[Recovered_oz],tblBudget[Month],"&lt;"&amp;$E299)+$KA299</f>
        <v/>
      </c>
      <c r="KC299" s="55">
        <f>SUMIFS(tblBudget[Milled_t],tblBudget[Month],$E299)</f>
        <v/>
      </c>
      <c r="KD299" s="55">
        <f>$KC299*$C299/$D299</f>
        <v/>
      </c>
      <c r="KE299" s="55">
        <f>SUMIFS(tblBudget[Milled_t],tblBudget[Month],"&lt;"&amp;$E299)+$KD299</f>
        <v/>
      </c>
      <c r="KF299" s="55">
        <f>SUMIFS(tblBudget[Feed_oz],tblBudget[Month],$E299)</f>
        <v/>
      </c>
      <c r="KG299" s="55">
        <f>$KF299*$C299/$D299</f>
        <v/>
      </c>
      <c r="KH299" s="55">
        <f>SUMIFS(tblBudget[Feed_oz],tblBudget[Month],"&lt;"&amp;$E299)+$KG299</f>
        <v/>
      </c>
      <c r="KI299" s="56">
        <f>IFERROR(IF(($KC299)&gt;0,($JW299*cfg_TroyOz)/($KC299),""),"")</f>
        <v/>
      </c>
      <c r="KJ299" s="56">
        <f>IFERROR(IF(($KD299)&gt;0,($JX299*cfg_TroyOz)/($KD299),""),"")</f>
        <v/>
      </c>
      <c r="KK299" s="56">
        <f>IFERROR(IF(($KE299)&gt;0,($JY299*cfg_TroyOz)/($KE299),""),"")</f>
        <v/>
      </c>
      <c r="KL299" s="67">
        <f>IFERROR(IF(($KF299)&gt;0,($JZ299)/($KF299),""),"")</f>
        <v/>
      </c>
      <c r="KM299" s="67">
        <f>IFERROR(IF(($KG299)&gt;0,($KA299)/($KG299),""),"")</f>
        <v/>
      </c>
      <c r="KN299" s="67">
        <f>IFERROR(IF(($KH299)&gt;0,($KB299)/($KH299),""),"")</f>
        <v/>
      </c>
      <c r="KO299" s="55">
        <f>SUMIFS(tblBudget[Gold_Poured_oz],tblBudget[Month],$E299)</f>
        <v/>
      </c>
      <c r="KP299" s="55">
        <f>$KO299*$C299/$D299</f>
        <v/>
      </c>
      <c r="KQ299" s="55">
        <f>SUMIFS(tblBudget[Gold_Poured_oz],tblBudget[Month],"&lt;"&amp;$E299)+$KP299</f>
        <v/>
      </c>
      <c r="KR299" s="57">
        <f>SUMIFS(tblBudget[Hours_Worked],tblBudget[Month],$E299)</f>
        <v/>
      </c>
      <c r="KS299" s="57">
        <f>$KR299*$C299/$D299</f>
        <v/>
      </c>
      <c r="KT299" s="57">
        <f>SUMIFS(tblBudget[Hours_Worked],tblBudget[Month],"&lt;"&amp;$E299)+$KS299</f>
        <v/>
      </c>
    </row>
    <row r="300">
      <c r="A300" s="54" t="n">
        <v>46321</v>
      </c>
      <c r="B300">
        <f>MONTH($A300)</f>
        <v/>
      </c>
      <c r="C300">
        <f>DAY($A300)</f>
        <v/>
      </c>
      <c r="D300">
        <f>DAY(EOMONTH($A300,0))</f>
        <v/>
      </c>
      <c r="E300" s="54">
        <f>DATE(YEAR($A300),MONTH($A300),1)</f>
        <v/>
      </c>
      <c r="F300" s="55">
        <f>SUMIFS(tblMovement[Tonnes_t],tblMovement[Date],$A300,tblMovement[Is_Ore],1,tblMovement[Source_Type],"Pit")</f>
        <v/>
      </c>
      <c r="G300" s="55">
        <f>IF($B300=$B299,$G299,0)+$F300</f>
        <v/>
      </c>
      <c r="H300" s="55">
        <f>$H299+$F300</f>
        <v/>
      </c>
      <c r="I300" s="55">
        <f>SUMIFS(tblMovement[Ore_oz],tblMovement[Date],$A300,tblMovement[Source_Type],"Pit")</f>
        <v/>
      </c>
      <c r="J300" s="55">
        <f>IF($B300=$B299,$J299,0)+$I300</f>
        <v/>
      </c>
      <c r="K300" s="55">
        <f>$K299+$I300</f>
        <v/>
      </c>
      <c r="L300" s="55">
        <f>SUMIFS(tblMovement[Tonnes_t],tblMovement[Date],$A300,tblMovement[Is_Ore],1,tblMovement[Source_Type],"Pit",tblMovement[Grade_gpt],"&lt;&gt;")</f>
        <v/>
      </c>
      <c r="M300" s="55">
        <f>IF($B300=$B299,$M299,0)+$L300</f>
        <v/>
      </c>
      <c r="N300" s="55">
        <f>$N299+$L300</f>
        <v/>
      </c>
      <c r="O300" s="56">
        <f>IFERROR(IF(($L300)&gt;0,($I300*cfg_TroyOz)/($L300),""),"")</f>
        <v/>
      </c>
      <c r="P300" s="56">
        <f>IFERROR(IF(($M300)&gt;0,($J300*cfg_TroyOz)/($M300),""),"")</f>
        <v/>
      </c>
      <c r="Q300" s="56">
        <f>IFERROR(IF(($N300)&gt;0,($K300*cfg_TroyOz)/($N300),""),"")</f>
        <v/>
      </c>
      <c r="R300" s="55">
        <f>$F300-$L300</f>
        <v/>
      </c>
      <c r="S300" s="55">
        <f>IF($B300=$B299,$S299,0)+$R300</f>
        <v/>
      </c>
      <c r="T300" s="55">
        <f>$T299+$R300</f>
        <v/>
      </c>
      <c r="U300" s="55">
        <f>SUMIFS(tblMovement[Tonnes_t],tblMovement[Date],$A300,tblMovement[Is_Ore],0,tblMovement[Source_Type],"Pit")</f>
        <v/>
      </c>
      <c r="V300" s="55">
        <f>IF($B300=$B299,$V299,0)+$U300</f>
        <v/>
      </c>
      <c r="W300" s="55">
        <f>$W299+$U300</f>
        <v/>
      </c>
      <c r="X300" s="55">
        <f>$F300+$U300</f>
        <v/>
      </c>
      <c r="Y300" s="55">
        <f>IF($B300=$B299,$Y299,0)+$X300</f>
        <v/>
      </c>
      <c r="Z300" s="55">
        <f>$Z299+$X300</f>
        <v/>
      </c>
      <c r="AA300" s="56">
        <f>IFERROR(IF(($F300)&gt;0,($U300)/($F300),""),"")</f>
        <v/>
      </c>
      <c r="AB300" s="56">
        <f>IFERROR(IF(($G300)&gt;0,($V300)/($G300),""),"")</f>
        <v/>
      </c>
      <c r="AC300" s="56">
        <f>IFERROR(IF(($H300)&gt;0,($W300)/($H300),""),"")</f>
        <v/>
      </c>
      <c r="AD300" s="55">
        <f>SUMIFS(tblMovement[Tonnes_t],tblMovement[Date],$A300,tblMovement[Source_Type],"Stockpile")</f>
        <v/>
      </c>
      <c r="AE300" s="55">
        <f>IF($B300=$B299,$AE299,0)+$AD300</f>
        <v/>
      </c>
      <c r="AF300" s="55">
        <f>$AF299+$AD300</f>
        <v/>
      </c>
      <c r="AG300" s="55">
        <f>SUMIFS(tblMovement[Tonnes_t],tblMovement[Date],$A300)</f>
        <v/>
      </c>
      <c r="AH300" s="55">
        <f>IF($B300=$B299,$AH299,0)+$AG300</f>
        <v/>
      </c>
      <c r="AI300" s="55">
        <f>$AI299+$AG300</f>
        <v/>
      </c>
      <c r="AJ300" s="55">
        <f>$AG300-$X300-$AD300</f>
        <v/>
      </c>
      <c r="AK300" s="55">
        <f>IF($B300=$B299,$AK299,0)+$AJ300</f>
        <v/>
      </c>
      <c r="AL300" s="55">
        <f>$AL299+$AJ300</f>
        <v/>
      </c>
      <c r="AM300" s="55">
        <f>SUMIFS(tblMiningDaily[Drill_m],tblMiningDaily[Date],$A300)</f>
        <v/>
      </c>
      <c r="AN300" s="55">
        <f>IF($B300=$B299,$AN299,0)+$AM300</f>
        <v/>
      </c>
      <c r="AO300" s="55">
        <f>$AO299+$AM300</f>
        <v/>
      </c>
      <c r="AP300" s="55">
        <f>SUMIFS(tblMiningDaily[GC_Drill_m],tblMiningDaily[Date],$A300)</f>
        <v/>
      </c>
      <c r="AQ300" s="55">
        <f>IF($B300=$B299,$AQ299,0)+$AP300</f>
        <v/>
      </c>
      <c r="AR300" s="55">
        <f>$AR299+$AP300</f>
        <v/>
      </c>
      <c r="AS300" s="55">
        <f>SUMIFS(tblMiningDaily[Blast_t],tblMiningDaily[Date],$A300)</f>
        <v/>
      </c>
      <c r="AT300" s="55">
        <f>IF($B300=$B299,$AT299,0)+$AS300</f>
        <v/>
      </c>
      <c r="AU300" s="55">
        <f>$AU299+$AS300</f>
        <v/>
      </c>
      <c r="AV300" s="55">
        <f>SUMIFS(tblMiningDaily[Explosives_kg],tblMiningDaily[Date],$A300)</f>
        <v/>
      </c>
      <c r="AW300" s="55">
        <f>IF($B300=$B299,$AW299,0)+$AV300</f>
        <v/>
      </c>
      <c r="AX300" s="55">
        <f>$AX299+$AV300</f>
        <v/>
      </c>
      <c r="AY300" s="56">
        <f>IFERROR(IF(($AS300)&gt;0,($AV300)/($AS300),""),"")</f>
        <v/>
      </c>
      <c r="AZ300" s="56">
        <f>IFERROR(IF(($AT300)&gt;0,($AW300)/($AT300),""),"")</f>
        <v/>
      </c>
      <c r="BA300" s="56">
        <f>IFERROR(IF(($AU300)&gt;0,($AX300)/($AU300),""),"")</f>
        <v/>
      </c>
      <c r="BB300" s="55">
        <f>SUMIFS(tblMiningDaily[Diesel_L],tblMiningDaily[Date],$A300)</f>
        <v/>
      </c>
      <c r="BC300" s="55">
        <f>IF($B300=$B299,$BC299,0)+$BB300</f>
        <v/>
      </c>
      <c r="BD300" s="55">
        <f>$BD299+$BB300</f>
        <v/>
      </c>
      <c r="BE300" s="55">
        <f>SUMIFS(tblMiningDaily[Dewatering_m3],tblMiningDaily[Date],$A300)</f>
        <v/>
      </c>
      <c r="BF300" s="55">
        <f>IF($B300=$B299,$BF299,0)+$BE300</f>
        <v/>
      </c>
      <c r="BG300" s="55">
        <f>$BG299+$BE300</f>
        <v/>
      </c>
      <c r="BH300" s="57">
        <f>SUMIFS(tblFleet[Calendar_h],tblFleet[Date],$A300,tblFleet[Equipment_Class],"Excavator")</f>
        <v/>
      </c>
      <c r="BI300" s="57">
        <f>IF($B300=$B299,$BI299,0)+$BH300</f>
        <v/>
      </c>
      <c r="BJ300" s="57">
        <f>$BJ299+$BH300</f>
        <v/>
      </c>
      <c r="BK300" s="57">
        <f>SUMIFS(tblFleet[Available_h],tblFleet[Date],$A300,tblFleet[Equipment_Class],"Excavator")</f>
        <v/>
      </c>
      <c r="BL300" s="57">
        <f>IF($B300=$B299,$BL299,0)+$BK300</f>
        <v/>
      </c>
      <c r="BM300" s="57">
        <f>$BM299+$BK300</f>
        <v/>
      </c>
      <c r="BN300" s="57">
        <f>SUMIFS(tblFleet[Operating_h],tblFleet[Date],$A300,tblFleet[Equipment_Class],"Excavator")</f>
        <v/>
      </c>
      <c r="BO300" s="57">
        <f>IF($B300=$B299,$BO299,0)+$BN300</f>
        <v/>
      </c>
      <c r="BP300" s="57">
        <f>$BP299+$BN300</f>
        <v/>
      </c>
      <c r="BQ300" s="67">
        <f>IFERROR(IF(($BH300)&gt;0,($BK300)/($BH300),""),"")</f>
        <v/>
      </c>
      <c r="BR300" s="67">
        <f>IFERROR(IF(($BI300)&gt;0,($BL300)/($BI300),""),"")</f>
        <v/>
      </c>
      <c r="BS300" s="67">
        <f>IFERROR(IF(($BJ300)&gt;0,($BM300)/($BJ300),""),"")</f>
        <v/>
      </c>
      <c r="BT300" s="67">
        <f>IFERROR(IF(($BK300)&gt;0,($BN300)/($BK300),""),"")</f>
        <v/>
      </c>
      <c r="BU300" s="67">
        <f>IFERROR(IF(($BL300)&gt;0,($BO300)/($BL300),""),"")</f>
        <v/>
      </c>
      <c r="BV300" s="67">
        <f>IFERROR(IF(($BM300)&gt;0,($BP300)/($BM300),""),"")</f>
        <v/>
      </c>
      <c r="BW300" s="57">
        <f>SUMIFS(tblFleet[Calendar_h],tblFleet[Date],$A300,tblFleet[Equipment_Class],"Haul Truck")</f>
        <v/>
      </c>
      <c r="BX300" s="57">
        <f>IF($B300=$B299,$BX299,0)+$BW300</f>
        <v/>
      </c>
      <c r="BY300" s="57">
        <f>$BY299+$BW300</f>
        <v/>
      </c>
      <c r="BZ300" s="57">
        <f>SUMIFS(tblFleet[Available_h],tblFleet[Date],$A300,tblFleet[Equipment_Class],"Haul Truck")</f>
        <v/>
      </c>
      <c r="CA300" s="57">
        <f>IF($B300=$B299,$CA299,0)+$BZ300</f>
        <v/>
      </c>
      <c r="CB300" s="57">
        <f>$CB299+$BZ300</f>
        <v/>
      </c>
      <c r="CC300" s="57">
        <f>SUMIFS(tblFleet[Operating_h],tblFleet[Date],$A300,tblFleet[Equipment_Class],"Haul Truck")</f>
        <v/>
      </c>
      <c r="CD300" s="57">
        <f>IF($B300=$B299,$CD299,0)+$CC300</f>
        <v/>
      </c>
      <c r="CE300" s="57">
        <f>$CE299+$CC300</f>
        <v/>
      </c>
      <c r="CF300" s="67">
        <f>IFERROR(IF(($BW300)&gt;0,($BZ300)/($BW300),""),"")</f>
        <v/>
      </c>
      <c r="CG300" s="67">
        <f>IFERROR(IF(($BX300)&gt;0,($CA300)/($BX300),""),"")</f>
        <v/>
      </c>
      <c r="CH300" s="67">
        <f>IFERROR(IF(($BY300)&gt;0,($CB300)/($BY300),""),"")</f>
        <v/>
      </c>
      <c r="CI300" s="67">
        <f>IFERROR(IF(($BZ300)&gt;0,($CC300)/($BZ300),""),"")</f>
        <v/>
      </c>
      <c r="CJ300" s="67">
        <f>IFERROR(IF(($CA300)&gt;0,($CD300)/($CA300),""),"")</f>
        <v/>
      </c>
      <c r="CK300" s="67">
        <f>IFERROR(IF(($CB300)&gt;0,($CE300)/($CB300),""),"")</f>
        <v/>
      </c>
      <c r="CL300" s="55">
        <f>IFERROR(IF(($BN300)&gt;0,($X300+$AD300)/($BN300),""),"")</f>
        <v/>
      </c>
      <c r="CM300" s="55">
        <f>IFERROR(IF(($BO300)&gt;0,($Y300+$AE300)/($BO300),""),"")</f>
        <v/>
      </c>
      <c r="CN300" s="55">
        <f>IFERROR(IF(($BP300)&gt;0,($Z300+$AF300)/($BP300),""),"")</f>
        <v/>
      </c>
      <c r="CO300" s="55">
        <f>IFERROR(IF(($CC300)&gt;0,($X300+$AD300)/($CC300),""),"")</f>
        <v/>
      </c>
      <c r="CP300" s="55">
        <f>IFERROR(IF(($CD300)&gt;0,($Y300+$AE300)/($CD300),""),"")</f>
        <v/>
      </c>
      <c r="CQ300" s="55">
        <f>IFERROR(IF(($CE300)&gt;0,($Z300+$AF300)/($CE300),""),"")</f>
        <v/>
      </c>
      <c r="CR300" s="55">
        <f>SUMIFS(tblPlant[Crushed_t],tblPlant[Date],$A300)</f>
        <v/>
      </c>
      <c r="CS300" s="55">
        <f>IF($B300=$B299,$CS299,0)+$CR300</f>
        <v/>
      </c>
      <c r="CT300" s="55">
        <f>$CT299+$CR300</f>
        <v/>
      </c>
      <c r="CU300" s="55">
        <f>SUMIFS(tblPlant[Milled_t],tblPlant[Date],$A300)</f>
        <v/>
      </c>
      <c r="CV300" s="55">
        <f>IF($B300=$B299,$CV299,0)+$CU300</f>
        <v/>
      </c>
      <c r="CW300" s="55">
        <f>$CW299+$CU300</f>
        <v/>
      </c>
      <c r="CX300" s="55">
        <f>SUMIFS(tblPlant[Feed_oz],tblPlant[Date],$A300)</f>
        <v/>
      </c>
      <c r="CY300" s="55">
        <f>IF($B300=$B299,$CY299,0)+$CX300</f>
        <v/>
      </c>
      <c r="CZ300" s="55">
        <f>$CZ299+$CX300</f>
        <v/>
      </c>
      <c r="DA300" s="55">
        <f>SUMIFS(tblPlant[Tails_oz],tblPlant[Date],$A300)</f>
        <v/>
      </c>
      <c r="DB300" s="55">
        <f>IF($B300=$B299,$DB299,0)+$DA300</f>
        <v/>
      </c>
      <c r="DC300" s="55">
        <f>$DC299+$DA300</f>
        <v/>
      </c>
      <c r="DD300" s="55">
        <f>SUMIFS(tblPlant[Recovered_oz],tblPlant[Date],$A300)</f>
        <v/>
      </c>
      <c r="DE300" s="55">
        <f>IF($B300=$B299,$DE299,0)+$DD300</f>
        <v/>
      </c>
      <c r="DF300" s="55">
        <f>$DF299+$DD300</f>
        <v/>
      </c>
      <c r="DG300" s="55">
        <f>SUMIFS(tblPlant[Milled_t],tblPlant[Date],$A300,tblPlant[Head_Grade_gpt],"&lt;&gt;")</f>
        <v/>
      </c>
      <c r="DH300" s="55">
        <f>IF($B300=$B299,$DH299,0)+$DG300</f>
        <v/>
      </c>
      <c r="DI300" s="55">
        <f>$DI299+$DG300</f>
        <v/>
      </c>
      <c r="DJ300" s="55">
        <f>SUMIFS(tblPlant[Milled_t],tblPlant[Date],$A300,tblPlant[Tails_Grade_gpt],"&lt;&gt;")</f>
        <v/>
      </c>
      <c r="DK300" s="55">
        <f>IF($B300=$B299,$DK299,0)+$DJ300</f>
        <v/>
      </c>
      <c r="DL300" s="55">
        <f>$DL299+$DJ300</f>
        <v/>
      </c>
      <c r="DM300" s="55">
        <f>SUMIFS(tblPlant[Feed_oz],tblPlant[Date],$A300,tblPlant[Tails_Grade_gpt],"&lt;&gt;")</f>
        <v/>
      </c>
      <c r="DN300" s="55">
        <f>IF($B300=$B299,$DN299,0)+$DM300</f>
        <v/>
      </c>
      <c r="DO300" s="55">
        <f>$DO299+$DM300</f>
        <v/>
      </c>
      <c r="DP300" s="55">
        <f>SUMIFS(tblPlant[Milled_t],tblPlant[Date],$A300,tblPlant[Mill_Run_h],"&lt;&gt;")</f>
        <v/>
      </c>
      <c r="DQ300" s="55">
        <f>IF($B300=$B299,$DQ299,0)+$DP300</f>
        <v/>
      </c>
      <c r="DR300" s="55">
        <f>$DR299+$DP300</f>
        <v/>
      </c>
      <c r="DS300" s="56">
        <f>IFERROR(IF(($DG300)&gt;0,($CX300*cfg_TroyOz)/($DG300),""),"")</f>
        <v/>
      </c>
      <c r="DT300" s="56">
        <f>IFERROR(IF(($DH300)&gt;0,($CY300*cfg_TroyOz)/($DH300),""),"")</f>
        <v/>
      </c>
      <c r="DU300" s="56">
        <f>IFERROR(IF(($DI300)&gt;0,($CZ300*cfg_TroyOz)/($DI300),""),"")</f>
        <v/>
      </c>
      <c r="DV300" s="56">
        <f>IFERROR(IF(($DJ300)&gt;0,($DA300*cfg_TroyOz)/($DJ300),""),"")</f>
        <v/>
      </c>
      <c r="DW300" s="56">
        <f>IFERROR(IF(($DK300)&gt;0,($DB300*cfg_TroyOz)/($DK300),""),"")</f>
        <v/>
      </c>
      <c r="DX300" s="56">
        <f>IFERROR(IF(($DL300)&gt;0,($DC300*cfg_TroyOz)/($DL300),""),"")</f>
        <v/>
      </c>
      <c r="DY300" s="67">
        <f>IFERROR(IF(($DM300)&gt;0,($DD300)/($DM300),""),"")</f>
        <v/>
      </c>
      <c r="DZ300" s="67">
        <f>IFERROR(IF(($DN300)&gt;0,($DE300)/($DN300),""),"")</f>
        <v/>
      </c>
      <c r="EA300" s="67">
        <f>IFERROR(IF(($DO300)&gt;0,($DF300)/($DO300),""),"")</f>
        <v/>
      </c>
      <c r="EB300" s="55">
        <f>SUMIFS(tblPlant[Gravity_Gold_oz],tblPlant[Date],$A300)</f>
        <v/>
      </c>
      <c r="EC300" s="55">
        <f>IF($B300=$B299,$EC299,0)+$EB300</f>
        <v/>
      </c>
      <c r="ED300" s="55">
        <f>$ED299+$EB300</f>
        <v/>
      </c>
      <c r="EE300" s="67">
        <f>IFERROR(IF(($DD300)&gt;0,($EB300)/($DD300),""),"")</f>
        <v/>
      </c>
      <c r="EF300" s="67">
        <f>IFERROR(IF(($DE300)&gt;0,($EC300)/($DE300),""),"")</f>
        <v/>
      </c>
      <c r="EG300" s="67">
        <f>IFERROR(IF(($DF300)&gt;0,($ED300)/($DF300),""),"")</f>
        <v/>
      </c>
      <c r="EH300" s="55">
        <f>SUMIFS(tblPlant[Gold_Poured_oz],tblPlant[Date],$A300)</f>
        <v/>
      </c>
      <c r="EI300" s="55">
        <f>IF($B300=$B299,$EI299,0)+$EH300</f>
        <v/>
      </c>
      <c r="EJ300" s="55">
        <f>$EJ299+$EH300</f>
        <v/>
      </c>
      <c r="EK300" s="57">
        <f>SUMIFS(tblPlant[Mill_Run_h],tblPlant[Date],$A300)</f>
        <v/>
      </c>
      <c r="EL300" s="57">
        <f>IF($B300=$B299,$EL299,0)+$EK300</f>
        <v/>
      </c>
      <c r="EM300" s="57">
        <f>$EM299+$EK300</f>
        <v/>
      </c>
      <c r="EN300" s="57">
        <f>SUMIFS(tblPlant[Mill_Planned_Maint_h],tblPlant[Date],$A300)</f>
        <v/>
      </c>
      <c r="EO300" s="57">
        <f>IF($B300=$B299,$EO299,0)+$EN300</f>
        <v/>
      </c>
      <c r="EP300" s="57">
        <f>$EP299+$EN300</f>
        <v/>
      </c>
      <c r="EQ300" s="57">
        <f>SUMIFS(tblPlant[Mill_Unplanned_Down_h],tblPlant[Date],$A300)</f>
        <v/>
      </c>
      <c r="ER300" s="57">
        <f>IF($B300=$B299,$ER299,0)+$EQ300</f>
        <v/>
      </c>
      <c r="ES300" s="57">
        <f>$ES299+$EQ300</f>
        <v/>
      </c>
      <c r="ET300" s="57">
        <f>IF(COUNTIFS(tblPlant[Date],$A300,tblPlant[Mill_Run_h],"&lt;&gt;")+COUNTIFS(tblPlant[Date],$A300,tblPlant[Mill_Planned_Maint_h],"&lt;&gt;")+COUNTIFS(tblPlant[Date],$A300,tblPlant[Mill_Unplanned_Down_h],"&lt;&gt;")&gt;0,cfg_HoursPerDay,0)</f>
        <v/>
      </c>
      <c r="EU300" s="57">
        <f>IF($B300=$B299,$EU299,0)+$ET300</f>
        <v/>
      </c>
      <c r="EV300" s="57">
        <f>$EV299+$ET300</f>
        <v/>
      </c>
      <c r="EW300" s="57">
        <f>SUMIFS(tblPlant[Crusher_Run_h],tblPlant[Date],$A300)</f>
        <v/>
      </c>
      <c r="EX300" s="57">
        <f>IF($B300=$B299,$EX299,0)+$EW300</f>
        <v/>
      </c>
      <c r="EY300" s="57">
        <f>$EY299+$EW300</f>
        <v/>
      </c>
      <c r="EZ300" s="55">
        <f>IFERROR(IF(($EK300)&gt;0,($DP300)/($EK300),""),"")</f>
        <v/>
      </c>
      <c r="FA300" s="55">
        <f>IFERROR(IF(($EL300)&gt;0,($DQ300)/($EL300),""),"")</f>
        <v/>
      </c>
      <c r="FB300" s="55">
        <f>IFERROR(IF(($EM300)&gt;0,($DR300)/($EM300),""),"")</f>
        <v/>
      </c>
      <c r="FC300" s="67">
        <f>IFERROR(IF(($ET300)&gt;0,($ET300-$EN300-$EQ300)/($ET300),""),"")</f>
        <v/>
      </c>
      <c r="FD300" s="67">
        <f>IFERROR(IF(($EU300)&gt;0,($EU300-$EO300-$ER300)/($EU300),""),"")</f>
        <v/>
      </c>
      <c r="FE300" s="67">
        <f>IFERROR(IF(($EV300)&gt;0,($EV300-$EP300-$ES300)/($EV300),""),"")</f>
        <v/>
      </c>
      <c r="FF300" s="67">
        <f>IFERROR(IF(($ET300-$EN300-$EQ300)&gt;0,($EK300)/($ET300-$EN300-$EQ300),""),"")</f>
        <v/>
      </c>
      <c r="FG300" s="67">
        <f>IFERROR(IF(($EU300-$EO300-$ER300)&gt;0,($EL300)/($EU300-$EO300-$ER300),""),"")</f>
        <v/>
      </c>
      <c r="FH300" s="67">
        <f>IFERROR(IF(($EV300-$EP300-$ES300)&gt;0,($EM300)/($EV300-$EP300-$ES300),""),"")</f>
        <v/>
      </c>
      <c r="FI300" s="55">
        <f>SUMIFS(tblPlant[Cyanide_kg],tblPlant[Date],$A300)</f>
        <v/>
      </c>
      <c r="FJ300" s="55">
        <f>IF($B300=$B299,$FJ299,0)+$FI300</f>
        <v/>
      </c>
      <c r="FK300" s="55">
        <f>$FK299+$FI300</f>
        <v/>
      </c>
      <c r="FL300" s="55">
        <f>SUMIFS(tblPlant[Lime_kg],tblPlant[Date],$A300)</f>
        <v/>
      </c>
      <c r="FM300" s="55">
        <f>IF($B300=$B299,$FM299,0)+$FL300</f>
        <v/>
      </c>
      <c r="FN300" s="55">
        <f>$FN299+$FL300</f>
        <v/>
      </c>
      <c r="FO300" s="55">
        <f>SUMIFS(tblPlant[Grinding_Media_kg],tblPlant[Date],$A300)</f>
        <v/>
      </c>
      <c r="FP300" s="55">
        <f>IF($B300=$B299,$FP299,0)+$FO300</f>
        <v/>
      </c>
      <c r="FQ300" s="55">
        <f>$FQ299+$FO300</f>
        <v/>
      </c>
      <c r="FR300" s="55">
        <f>SUMIFS(tblPlant[Power_kWh],tblPlant[Date],$A300)</f>
        <v/>
      </c>
      <c r="FS300" s="55">
        <f>IF($B300=$B299,$FS299,0)+$FR300</f>
        <v/>
      </c>
      <c r="FT300" s="55">
        <f>$FT299+$FR300</f>
        <v/>
      </c>
      <c r="FU300" s="55">
        <f>SUMIFS(tblPlant[Raw_Water_m3],tblPlant[Date],$A300)</f>
        <v/>
      </c>
      <c r="FV300" s="55">
        <f>IF($B300=$B299,$FV299,0)+$FU300</f>
        <v/>
      </c>
      <c r="FW300" s="55">
        <f>$FW299+$FU300</f>
        <v/>
      </c>
      <c r="FX300" s="56">
        <f>IFERROR(IF(($CU300)&gt;0,($FI300)/($CU300),""),"")</f>
        <v/>
      </c>
      <c r="FY300" s="56">
        <f>IFERROR(IF(($CV300)&gt;0,($FJ300)/($CV300),""),"")</f>
        <v/>
      </c>
      <c r="FZ300" s="56">
        <f>IFERROR(IF(($CW300)&gt;0,($FK300)/($CW300),""),"")</f>
        <v/>
      </c>
      <c r="GA300" s="56">
        <f>IFERROR(IF(($CU300)&gt;0,($FL300)/($CU300),""),"")</f>
        <v/>
      </c>
      <c r="GB300" s="56">
        <f>IFERROR(IF(($CV300)&gt;0,($FM300)/($CV300),""),"")</f>
        <v/>
      </c>
      <c r="GC300" s="56">
        <f>IFERROR(IF(($CW300)&gt;0,($FN300)/($CW300),""),"")</f>
        <v/>
      </c>
      <c r="GD300" s="56">
        <f>IFERROR(IF(($CU300)&gt;0,($FO300)/($CU300),""),"")</f>
        <v/>
      </c>
      <c r="GE300" s="56">
        <f>IFERROR(IF(($CV300)&gt;0,($FP300)/($CV300),""),"")</f>
        <v/>
      </c>
      <c r="GF300" s="56">
        <f>IFERROR(IF(($CW300)&gt;0,($FQ300)/($CW300),""),"")</f>
        <v/>
      </c>
      <c r="GG300" s="79">
        <f>IFERROR(IF(($CU300)&gt;0,($FR300)/($CU300),""),"")</f>
        <v/>
      </c>
      <c r="GH300" s="79">
        <f>IFERROR(IF(($CV300)&gt;0,($FS300)/($CV300),""),"")</f>
        <v/>
      </c>
      <c r="GI300" s="79">
        <f>IFERROR(IF(($CW300)&gt;0,($FT300)/($CW300),""),"")</f>
        <v/>
      </c>
      <c r="GJ300" s="56">
        <f>IFERROR(IF(($CU300)&gt;0,($FU300)/($CU300),""),"")</f>
        <v/>
      </c>
      <c r="GK300" s="56">
        <f>IFERROR(IF(($CV300)&gt;0,($FV300)/($CV300),""),"")</f>
        <v/>
      </c>
      <c r="GL300" s="56">
        <f>IFERROR(IF(($CW300)&gt;0,($FW300)/($CW300),""),"")</f>
        <v/>
      </c>
      <c r="GM300" s="55">
        <f>IF(SUMIFS(tblPlant[GIC_oz],tblPlant[Date],$A300)&gt;0,SUMIFS(tblPlant[GIC_oz],tblPlant[Date],$A300),"")</f>
        <v/>
      </c>
      <c r="GN300" s="55">
        <f>SUMIFS(tblGold[Gold_oz],tblGold[Date],$A300,tblGold[Type],"Shipment")</f>
        <v/>
      </c>
      <c r="GO300" s="55">
        <f>IF($B300=$B299,$GO299,0)+$GN300</f>
        <v/>
      </c>
      <c r="GP300" s="55">
        <f>$GP299+$GN300</f>
        <v/>
      </c>
      <c r="GQ300" s="55">
        <f>SUMIFS(tblGold[Gold_oz],tblGold[Date],$A300,tblGold[Type],"Sale")</f>
        <v/>
      </c>
      <c r="GR300" s="55">
        <f>IF($B300=$B299,$GR299,0)+$GQ300</f>
        <v/>
      </c>
      <c r="GS300" s="55">
        <f>$GS299+$GQ300</f>
        <v/>
      </c>
      <c r="GT300" s="55">
        <f>SUMIFS(tblGold[Dore_kg],tblGold[Date],$A300,tblGold[Type],"Shipment")</f>
        <v/>
      </c>
      <c r="GU300" s="55">
        <f>IF($B300=$B299,$GU299,0)+$GT300</f>
        <v/>
      </c>
      <c r="GV300" s="55">
        <f>$GV299+$GT300</f>
        <v/>
      </c>
      <c r="GW300" s="57">
        <f>SUMIFS(tblSafety[Hours_Total],tblSafety[Date],$A300)</f>
        <v/>
      </c>
      <c r="GX300" s="57">
        <f>IF($B300=$B299,$GX299,0)+$GW300</f>
        <v/>
      </c>
      <c r="GY300" s="57">
        <f>$GY299+$GW300</f>
        <v/>
      </c>
      <c r="GZ300" s="62">
        <f>SUMIFS(tblSafety[Fatality],tblSafety[Date],$A300)</f>
        <v/>
      </c>
      <c r="HA300" s="62">
        <f>IF($B300=$B299,$HA299,0)+$GZ300</f>
        <v/>
      </c>
      <c r="HB300" s="62">
        <f>$HB299+$GZ300</f>
        <v/>
      </c>
      <c r="HC300" s="62">
        <f>SUMIFS(tblSafety[LTI],tblSafety[Date],$A300)</f>
        <v/>
      </c>
      <c r="HD300" s="62">
        <f>IF($B300=$B299,$HD299,0)+$HC300</f>
        <v/>
      </c>
      <c r="HE300" s="62">
        <f>$HE299+$HC300</f>
        <v/>
      </c>
      <c r="HF300" s="62">
        <f>SUMIFS(tblSafety[RWI],tblSafety[Date],$A300)</f>
        <v/>
      </c>
      <c r="HG300" s="62">
        <f>IF($B300=$B299,$HG299,0)+$HF300</f>
        <v/>
      </c>
      <c r="HH300" s="62">
        <f>$HH299+$HF300</f>
        <v/>
      </c>
      <c r="HI300" s="62">
        <f>SUMIFS(tblSafety[MTI],tblSafety[Date],$A300)</f>
        <v/>
      </c>
      <c r="HJ300" s="62">
        <f>IF($B300=$B299,$HJ299,0)+$HI300</f>
        <v/>
      </c>
      <c r="HK300" s="62">
        <f>$HK299+$HI300</f>
        <v/>
      </c>
      <c r="HL300" s="62">
        <f>SUMIFS(tblSafety[FAI],tblSafety[Date],$A300)</f>
        <v/>
      </c>
      <c r="HM300" s="62">
        <f>IF($B300=$B299,$HM299,0)+$HL300</f>
        <v/>
      </c>
      <c r="HN300" s="62">
        <f>$HN299+$HL300</f>
        <v/>
      </c>
      <c r="HO300" s="62">
        <f>SUMIFS(tblSafety[Recordables],tblSafety[Date],$A300)</f>
        <v/>
      </c>
      <c r="HP300" s="62">
        <f>IF($B300=$B299,$HP299,0)+$HO300</f>
        <v/>
      </c>
      <c r="HQ300" s="62">
        <f>$HQ299+$HO300</f>
        <v/>
      </c>
      <c r="HR300" s="62">
        <f>SUMIFS(tblSafety[Near_Miss],tblSafety[Date],$A300)</f>
        <v/>
      </c>
      <c r="HS300" s="62">
        <f>IF($B300=$B299,$HS299,0)+$HR300</f>
        <v/>
      </c>
      <c r="HT300" s="62">
        <f>$HT299+$HR300</f>
        <v/>
      </c>
      <c r="HU300" s="62">
        <f>SUMIFS(tblSafety[Hazard_Reports],tblSafety[Date],$A300)</f>
        <v/>
      </c>
      <c r="HV300" s="62">
        <f>IF($B300=$B299,$HV299,0)+$HU300</f>
        <v/>
      </c>
      <c r="HW300" s="62">
        <f>$HW299+$HU300</f>
        <v/>
      </c>
      <c r="HX300" s="62">
        <f>SUMIFS(tblSafety[HPI],tblSafety[Date],$A300)</f>
        <v/>
      </c>
      <c r="HY300" s="62">
        <f>IF($B300=$B299,$HY299,0)+$HX300</f>
        <v/>
      </c>
      <c r="HZ300" s="62">
        <f>$HZ299+$HX300</f>
        <v/>
      </c>
      <c r="IA300" s="62">
        <f>SUMIFS(tblSafety[Env_Incidents],tblSafety[Date],$A300)</f>
        <v/>
      </c>
      <c r="IB300" s="62">
        <f>IF($B300=$B299,$IB299,0)+$IA300</f>
        <v/>
      </c>
      <c r="IC300" s="62">
        <f>$IC299+$IA300</f>
        <v/>
      </c>
      <c r="ID300" s="62">
        <f>SUMIFS(tblSafety[Community_Incidents],tblSafety[Date],$A300)</f>
        <v/>
      </c>
      <c r="IE300" s="62">
        <f>IF($B300=$B299,$IE299,0)+$ID300</f>
        <v/>
      </c>
      <c r="IF300" s="62">
        <f>$IF299+$ID300</f>
        <v/>
      </c>
      <c r="IG300" s="62">
        <f>SUMIFS(tblSafety[Vehicle_Incidents],tblSafety[Date],$A300)</f>
        <v/>
      </c>
      <c r="IH300" s="62">
        <f>IF($B300=$B299,$IH299,0)+$IG300</f>
        <v/>
      </c>
      <c r="II300" s="62">
        <f>$II299+$IG300</f>
        <v/>
      </c>
      <c r="IJ300" s="62">
        <f>SUMIFS(tblSafety[Toolbox_Talks],tblSafety[Date],$A300)</f>
        <v/>
      </c>
      <c r="IK300" s="62">
        <f>IF($B300=$B299,$IK299,0)+$IJ300</f>
        <v/>
      </c>
      <c r="IL300" s="62">
        <f>$IL299+$IJ300</f>
        <v/>
      </c>
      <c r="IM300" s="62">
        <f>SUMIFS(tblSafety[Inspections],tblSafety[Date],$A300)</f>
        <v/>
      </c>
      <c r="IN300" s="62">
        <f>IF($B300=$B299,$IN299,0)+$IM300</f>
        <v/>
      </c>
      <c r="IO300" s="62">
        <f>$IO299+$IM300</f>
        <v/>
      </c>
      <c r="IP300" s="56">
        <f>IFERROR((SUMIFS(tblSafety[Recordables],tblSafety[Date],"&gt;="&amp;EDATE($E300,-12),tblSafety[Date],"&lt;="&amp;$A300)+SUMIFS(tblSafetyHistory[Recordables],tblSafetyHistory[Month],"&gt;="&amp;EDATE($E300,-12),tblSafetyHistory[Month],"&lt;"&amp;$E300,tblSafetyHistory[Use],1))/(SUMIFS(tblSafety[Hours_Total],tblSafety[Date],"&gt;="&amp;EDATE($E300,-12),tblSafety[Date],"&lt;="&amp;$A300)+SUMIFS(tblSafetyHistory[Hours_Total],tblSafetyHistory[Month],"&gt;="&amp;EDATE($E300,-12),tblSafetyHistory[Month],"&lt;"&amp;$E300,tblSafetyHistory[Use],1))*cfg_RateBasisHours,"")</f>
        <v/>
      </c>
      <c r="IQ300" s="56">
        <f>IFERROR((SUMIFS(tblSafety[LTI],tblSafety[Date],"&gt;="&amp;EDATE($E300,-12),tblSafety[Date],"&lt;="&amp;$A300)+SUMIFS(tblSafetyHistory[LTI],tblSafetyHistory[Month],"&gt;="&amp;EDATE($E300,-12),tblSafetyHistory[Month],"&lt;"&amp;$E300,tblSafetyHistory[Use],1))/(SUMIFS(tblSafety[Hours_Total],tblSafety[Date],"&gt;="&amp;EDATE($E300,-12),tblSafety[Date],"&lt;="&amp;$A300)+SUMIFS(tblSafetyHistory[Hours_Total],tblSafetyHistory[Month],"&gt;="&amp;EDATE($E300,-12),tblSafetyHistory[Month],"&lt;"&amp;$E300,tblSafetyHistory[Use],1))*cfg_RateBasisHours,"")</f>
        <v/>
      </c>
      <c r="IR300" s="62">
        <f>IF(MAX(N(cfg_PriorLTIDate),_xlfn.MAXIFS(tblSafety[Date],tblSafety[LTI],"&gt;0",tblSafety[Date],"&lt;="&amp;$A300))=0,"",$A300-MAX(N(cfg_PriorLTIDate),_xlfn.MAXIFS(tblSafety[Date],tblSafety[LTI],"&gt;0",tblSafety[Date],"&lt;="&amp;$A300)))</f>
        <v/>
      </c>
      <c r="IS300" s="55">
        <f>SUMIFS(tblBudget[Ore_Mined_t],tblBudget[Month],$E300)</f>
        <v/>
      </c>
      <c r="IT300" s="55">
        <f>$IS300*$C300/$D300</f>
        <v/>
      </c>
      <c r="IU300" s="55">
        <f>SUMIFS(tblBudget[Ore_Mined_t],tblBudget[Month],"&lt;"&amp;$E300)+$IT300</f>
        <v/>
      </c>
      <c r="IV300" s="55">
        <f>SUMIFS(tblBudget[Ore_oz],tblBudget[Month],$E300)</f>
        <v/>
      </c>
      <c r="IW300" s="55">
        <f>$IV300*$C300/$D300</f>
        <v/>
      </c>
      <c r="IX300" s="55">
        <f>SUMIFS(tblBudget[Ore_oz],tblBudget[Month],"&lt;"&amp;$E300)+$IW300</f>
        <v/>
      </c>
      <c r="IY300" s="55">
        <f>SUMIFS(tblBudget[Ore_Mined_t],tblBudget[Month],$E300)</f>
        <v/>
      </c>
      <c r="IZ300" s="55">
        <f>$IY300*$C300/$D300</f>
        <v/>
      </c>
      <c r="JA300" s="55">
        <f>SUMIFS(tblBudget[Ore_Mined_t],tblBudget[Month],"&lt;"&amp;$E300)+$IZ300</f>
        <v/>
      </c>
      <c r="JB300" s="56">
        <f>IFERROR(IF(($IY300)&gt;0,($IV300*cfg_TroyOz)/($IY300),""),"")</f>
        <v/>
      </c>
      <c r="JC300" s="56">
        <f>IFERROR(IF(($IZ300)&gt;0,($IW300*cfg_TroyOz)/($IZ300),""),"")</f>
        <v/>
      </c>
      <c r="JD300" s="56">
        <f>IFERROR(IF(($JA300)&gt;0,($IX300*cfg_TroyOz)/($JA300),""),"")</f>
        <v/>
      </c>
      <c r="JE300" s="55">
        <f>SUMIFS(tblBudget[Waste_t],tblBudget[Month],$E300)</f>
        <v/>
      </c>
      <c r="JF300" s="55">
        <f>$JE300*$C300/$D300</f>
        <v/>
      </c>
      <c r="JG300" s="55">
        <f>SUMIFS(tblBudget[Waste_t],tblBudget[Month],"&lt;"&amp;$E300)+$JF300</f>
        <v/>
      </c>
      <c r="JH300" s="55">
        <f>SUMIFS(tblBudget[TMM_t],tblBudget[Month],$E300)</f>
        <v/>
      </c>
      <c r="JI300" s="55">
        <f>$JH300*$C300/$D300</f>
        <v/>
      </c>
      <c r="JJ300" s="55">
        <f>SUMIFS(tblBudget[TMM_t],tblBudget[Month],"&lt;"&amp;$E300)+$JI300</f>
        <v/>
      </c>
      <c r="JK300" s="56">
        <f>IFERROR(IF(($IS300)&gt;0,($JE300)/($IS300),""),"")</f>
        <v/>
      </c>
      <c r="JL300" s="56">
        <f>IFERROR(IF(($IT300)&gt;0,($JF300)/($IT300),""),"")</f>
        <v/>
      </c>
      <c r="JM300" s="56">
        <f>IFERROR(IF(($IU300)&gt;0,($JG300)/($IU300),""),"")</f>
        <v/>
      </c>
      <c r="JN300" s="55">
        <f>SUMIFS(tblBudget[Drill_m],tblBudget[Month],$E300)</f>
        <v/>
      </c>
      <c r="JO300" s="55">
        <f>$JN300*$C300/$D300</f>
        <v/>
      </c>
      <c r="JP300" s="55">
        <f>SUMIFS(tblBudget[Drill_m],tblBudget[Month],"&lt;"&amp;$E300)+$JO300</f>
        <v/>
      </c>
      <c r="JQ300" s="55">
        <f>SUMIFS(tblBudget[Diesel_L],tblBudget[Month],$E300)</f>
        <v/>
      </c>
      <c r="JR300" s="55">
        <f>$JQ300*$C300/$D300</f>
        <v/>
      </c>
      <c r="JS300" s="55">
        <f>SUMIFS(tblBudget[Diesel_L],tblBudget[Month],"&lt;"&amp;$E300)+$JR300</f>
        <v/>
      </c>
      <c r="JT300" s="55">
        <f>SUMIFS(tblBudget[Milled_t],tblBudget[Month],$E300)</f>
        <v/>
      </c>
      <c r="JU300" s="55">
        <f>$JT300*$C300/$D300</f>
        <v/>
      </c>
      <c r="JV300" s="55">
        <f>SUMIFS(tblBudget[Milled_t],tblBudget[Month],"&lt;"&amp;$E300)+$JU300</f>
        <v/>
      </c>
      <c r="JW300" s="55">
        <f>SUMIFS(tblBudget[Feed_oz],tblBudget[Month],$E300)</f>
        <v/>
      </c>
      <c r="JX300" s="55">
        <f>$JW300*$C300/$D300</f>
        <v/>
      </c>
      <c r="JY300" s="55">
        <f>SUMIFS(tblBudget[Feed_oz],tblBudget[Month],"&lt;"&amp;$E300)+$JX300</f>
        <v/>
      </c>
      <c r="JZ300" s="55">
        <f>SUMIFS(tblBudget[Recovered_oz],tblBudget[Month],$E300)</f>
        <v/>
      </c>
      <c r="KA300" s="55">
        <f>$JZ300*$C300/$D300</f>
        <v/>
      </c>
      <c r="KB300" s="55">
        <f>SUMIFS(tblBudget[Recovered_oz],tblBudget[Month],"&lt;"&amp;$E300)+$KA300</f>
        <v/>
      </c>
      <c r="KC300" s="55">
        <f>SUMIFS(tblBudget[Milled_t],tblBudget[Month],$E300)</f>
        <v/>
      </c>
      <c r="KD300" s="55">
        <f>$KC300*$C300/$D300</f>
        <v/>
      </c>
      <c r="KE300" s="55">
        <f>SUMIFS(tblBudget[Milled_t],tblBudget[Month],"&lt;"&amp;$E300)+$KD300</f>
        <v/>
      </c>
      <c r="KF300" s="55">
        <f>SUMIFS(tblBudget[Feed_oz],tblBudget[Month],$E300)</f>
        <v/>
      </c>
      <c r="KG300" s="55">
        <f>$KF300*$C300/$D300</f>
        <v/>
      </c>
      <c r="KH300" s="55">
        <f>SUMIFS(tblBudget[Feed_oz],tblBudget[Month],"&lt;"&amp;$E300)+$KG300</f>
        <v/>
      </c>
      <c r="KI300" s="56">
        <f>IFERROR(IF(($KC300)&gt;0,($JW300*cfg_TroyOz)/($KC300),""),"")</f>
        <v/>
      </c>
      <c r="KJ300" s="56">
        <f>IFERROR(IF(($KD300)&gt;0,($JX300*cfg_TroyOz)/($KD300),""),"")</f>
        <v/>
      </c>
      <c r="KK300" s="56">
        <f>IFERROR(IF(($KE300)&gt;0,($JY300*cfg_TroyOz)/($KE300),""),"")</f>
        <v/>
      </c>
      <c r="KL300" s="67">
        <f>IFERROR(IF(($KF300)&gt;0,($JZ300)/($KF300),""),"")</f>
        <v/>
      </c>
      <c r="KM300" s="67">
        <f>IFERROR(IF(($KG300)&gt;0,($KA300)/($KG300),""),"")</f>
        <v/>
      </c>
      <c r="KN300" s="67">
        <f>IFERROR(IF(($KH300)&gt;0,($KB300)/($KH300),""),"")</f>
        <v/>
      </c>
      <c r="KO300" s="55">
        <f>SUMIFS(tblBudget[Gold_Poured_oz],tblBudget[Month],$E300)</f>
        <v/>
      </c>
      <c r="KP300" s="55">
        <f>$KO300*$C300/$D300</f>
        <v/>
      </c>
      <c r="KQ300" s="55">
        <f>SUMIFS(tblBudget[Gold_Poured_oz],tblBudget[Month],"&lt;"&amp;$E300)+$KP300</f>
        <v/>
      </c>
      <c r="KR300" s="57">
        <f>SUMIFS(tblBudget[Hours_Worked],tblBudget[Month],$E300)</f>
        <v/>
      </c>
      <c r="KS300" s="57">
        <f>$KR300*$C300/$D300</f>
        <v/>
      </c>
      <c r="KT300" s="57">
        <f>SUMIFS(tblBudget[Hours_Worked],tblBudget[Month],"&lt;"&amp;$E300)+$KS300</f>
        <v/>
      </c>
    </row>
    <row r="301">
      <c r="A301" s="54" t="n">
        <v>46322</v>
      </c>
      <c r="B301">
        <f>MONTH($A301)</f>
        <v/>
      </c>
      <c r="C301">
        <f>DAY($A301)</f>
        <v/>
      </c>
      <c r="D301">
        <f>DAY(EOMONTH($A301,0))</f>
        <v/>
      </c>
      <c r="E301" s="54">
        <f>DATE(YEAR($A301),MONTH($A301),1)</f>
        <v/>
      </c>
      <c r="F301" s="55">
        <f>SUMIFS(tblMovement[Tonnes_t],tblMovement[Date],$A301,tblMovement[Is_Ore],1,tblMovement[Source_Type],"Pit")</f>
        <v/>
      </c>
      <c r="G301" s="55">
        <f>IF($B301=$B300,$G300,0)+$F301</f>
        <v/>
      </c>
      <c r="H301" s="55">
        <f>$H300+$F301</f>
        <v/>
      </c>
      <c r="I301" s="55">
        <f>SUMIFS(tblMovement[Ore_oz],tblMovement[Date],$A301,tblMovement[Source_Type],"Pit")</f>
        <v/>
      </c>
      <c r="J301" s="55">
        <f>IF($B301=$B300,$J300,0)+$I301</f>
        <v/>
      </c>
      <c r="K301" s="55">
        <f>$K300+$I301</f>
        <v/>
      </c>
      <c r="L301" s="55">
        <f>SUMIFS(tblMovement[Tonnes_t],tblMovement[Date],$A301,tblMovement[Is_Ore],1,tblMovement[Source_Type],"Pit",tblMovement[Grade_gpt],"&lt;&gt;")</f>
        <v/>
      </c>
      <c r="M301" s="55">
        <f>IF($B301=$B300,$M300,0)+$L301</f>
        <v/>
      </c>
      <c r="N301" s="55">
        <f>$N300+$L301</f>
        <v/>
      </c>
      <c r="O301" s="56">
        <f>IFERROR(IF(($L301)&gt;0,($I301*cfg_TroyOz)/($L301),""),"")</f>
        <v/>
      </c>
      <c r="P301" s="56">
        <f>IFERROR(IF(($M301)&gt;0,($J301*cfg_TroyOz)/($M301),""),"")</f>
        <v/>
      </c>
      <c r="Q301" s="56">
        <f>IFERROR(IF(($N301)&gt;0,($K301*cfg_TroyOz)/($N301),""),"")</f>
        <v/>
      </c>
      <c r="R301" s="55">
        <f>$F301-$L301</f>
        <v/>
      </c>
      <c r="S301" s="55">
        <f>IF($B301=$B300,$S300,0)+$R301</f>
        <v/>
      </c>
      <c r="T301" s="55">
        <f>$T300+$R301</f>
        <v/>
      </c>
      <c r="U301" s="55">
        <f>SUMIFS(tblMovement[Tonnes_t],tblMovement[Date],$A301,tblMovement[Is_Ore],0,tblMovement[Source_Type],"Pit")</f>
        <v/>
      </c>
      <c r="V301" s="55">
        <f>IF($B301=$B300,$V300,0)+$U301</f>
        <v/>
      </c>
      <c r="W301" s="55">
        <f>$W300+$U301</f>
        <v/>
      </c>
      <c r="X301" s="55">
        <f>$F301+$U301</f>
        <v/>
      </c>
      <c r="Y301" s="55">
        <f>IF($B301=$B300,$Y300,0)+$X301</f>
        <v/>
      </c>
      <c r="Z301" s="55">
        <f>$Z300+$X301</f>
        <v/>
      </c>
      <c r="AA301" s="56">
        <f>IFERROR(IF(($F301)&gt;0,($U301)/($F301),""),"")</f>
        <v/>
      </c>
      <c r="AB301" s="56">
        <f>IFERROR(IF(($G301)&gt;0,($V301)/($G301),""),"")</f>
        <v/>
      </c>
      <c r="AC301" s="56">
        <f>IFERROR(IF(($H301)&gt;0,($W301)/($H301),""),"")</f>
        <v/>
      </c>
      <c r="AD301" s="55">
        <f>SUMIFS(tblMovement[Tonnes_t],tblMovement[Date],$A301,tblMovement[Source_Type],"Stockpile")</f>
        <v/>
      </c>
      <c r="AE301" s="55">
        <f>IF($B301=$B300,$AE300,0)+$AD301</f>
        <v/>
      </c>
      <c r="AF301" s="55">
        <f>$AF300+$AD301</f>
        <v/>
      </c>
      <c r="AG301" s="55">
        <f>SUMIFS(tblMovement[Tonnes_t],tblMovement[Date],$A301)</f>
        <v/>
      </c>
      <c r="AH301" s="55">
        <f>IF($B301=$B300,$AH300,0)+$AG301</f>
        <v/>
      </c>
      <c r="AI301" s="55">
        <f>$AI300+$AG301</f>
        <v/>
      </c>
      <c r="AJ301" s="55">
        <f>$AG301-$X301-$AD301</f>
        <v/>
      </c>
      <c r="AK301" s="55">
        <f>IF($B301=$B300,$AK300,0)+$AJ301</f>
        <v/>
      </c>
      <c r="AL301" s="55">
        <f>$AL300+$AJ301</f>
        <v/>
      </c>
      <c r="AM301" s="55">
        <f>SUMIFS(tblMiningDaily[Drill_m],tblMiningDaily[Date],$A301)</f>
        <v/>
      </c>
      <c r="AN301" s="55">
        <f>IF($B301=$B300,$AN300,0)+$AM301</f>
        <v/>
      </c>
      <c r="AO301" s="55">
        <f>$AO300+$AM301</f>
        <v/>
      </c>
      <c r="AP301" s="55">
        <f>SUMIFS(tblMiningDaily[GC_Drill_m],tblMiningDaily[Date],$A301)</f>
        <v/>
      </c>
      <c r="AQ301" s="55">
        <f>IF($B301=$B300,$AQ300,0)+$AP301</f>
        <v/>
      </c>
      <c r="AR301" s="55">
        <f>$AR300+$AP301</f>
        <v/>
      </c>
      <c r="AS301" s="55">
        <f>SUMIFS(tblMiningDaily[Blast_t],tblMiningDaily[Date],$A301)</f>
        <v/>
      </c>
      <c r="AT301" s="55">
        <f>IF($B301=$B300,$AT300,0)+$AS301</f>
        <v/>
      </c>
      <c r="AU301" s="55">
        <f>$AU300+$AS301</f>
        <v/>
      </c>
      <c r="AV301" s="55">
        <f>SUMIFS(tblMiningDaily[Explosives_kg],tblMiningDaily[Date],$A301)</f>
        <v/>
      </c>
      <c r="AW301" s="55">
        <f>IF($B301=$B300,$AW300,0)+$AV301</f>
        <v/>
      </c>
      <c r="AX301" s="55">
        <f>$AX300+$AV301</f>
        <v/>
      </c>
      <c r="AY301" s="56">
        <f>IFERROR(IF(($AS301)&gt;0,($AV301)/($AS301),""),"")</f>
        <v/>
      </c>
      <c r="AZ301" s="56">
        <f>IFERROR(IF(($AT301)&gt;0,($AW301)/($AT301),""),"")</f>
        <v/>
      </c>
      <c r="BA301" s="56">
        <f>IFERROR(IF(($AU301)&gt;0,($AX301)/($AU301),""),"")</f>
        <v/>
      </c>
      <c r="BB301" s="55">
        <f>SUMIFS(tblMiningDaily[Diesel_L],tblMiningDaily[Date],$A301)</f>
        <v/>
      </c>
      <c r="BC301" s="55">
        <f>IF($B301=$B300,$BC300,0)+$BB301</f>
        <v/>
      </c>
      <c r="BD301" s="55">
        <f>$BD300+$BB301</f>
        <v/>
      </c>
      <c r="BE301" s="55">
        <f>SUMIFS(tblMiningDaily[Dewatering_m3],tblMiningDaily[Date],$A301)</f>
        <v/>
      </c>
      <c r="BF301" s="55">
        <f>IF($B301=$B300,$BF300,0)+$BE301</f>
        <v/>
      </c>
      <c r="BG301" s="55">
        <f>$BG300+$BE301</f>
        <v/>
      </c>
      <c r="BH301" s="57">
        <f>SUMIFS(tblFleet[Calendar_h],tblFleet[Date],$A301,tblFleet[Equipment_Class],"Excavator")</f>
        <v/>
      </c>
      <c r="BI301" s="57">
        <f>IF($B301=$B300,$BI300,0)+$BH301</f>
        <v/>
      </c>
      <c r="BJ301" s="57">
        <f>$BJ300+$BH301</f>
        <v/>
      </c>
      <c r="BK301" s="57">
        <f>SUMIFS(tblFleet[Available_h],tblFleet[Date],$A301,tblFleet[Equipment_Class],"Excavator")</f>
        <v/>
      </c>
      <c r="BL301" s="57">
        <f>IF($B301=$B300,$BL300,0)+$BK301</f>
        <v/>
      </c>
      <c r="BM301" s="57">
        <f>$BM300+$BK301</f>
        <v/>
      </c>
      <c r="BN301" s="57">
        <f>SUMIFS(tblFleet[Operating_h],tblFleet[Date],$A301,tblFleet[Equipment_Class],"Excavator")</f>
        <v/>
      </c>
      <c r="BO301" s="57">
        <f>IF($B301=$B300,$BO300,0)+$BN301</f>
        <v/>
      </c>
      <c r="BP301" s="57">
        <f>$BP300+$BN301</f>
        <v/>
      </c>
      <c r="BQ301" s="67">
        <f>IFERROR(IF(($BH301)&gt;0,($BK301)/($BH301),""),"")</f>
        <v/>
      </c>
      <c r="BR301" s="67">
        <f>IFERROR(IF(($BI301)&gt;0,($BL301)/($BI301),""),"")</f>
        <v/>
      </c>
      <c r="BS301" s="67">
        <f>IFERROR(IF(($BJ301)&gt;0,($BM301)/($BJ301),""),"")</f>
        <v/>
      </c>
      <c r="BT301" s="67">
        <f>IFERROR(IF(($BK301)&gt;0,($BN301)/($BK301),""),"")</f>
        <v/>
      </c>
      <c r="BU301" s="67">
        <f>IFERROR(IF(($BL301)&gt;0,($BO301)/($BL301),""),"")</f>
        <v/>
      </c>
      <c r="BV301" s="67">
        <f>IFERROR(IF(($BM301)&gt;0,($BP301)/($BM301),""),"")</f>
        <v/>
      </c>
      <c r="BW301" s="57">
        <f>SUMIFS(tblFleet[Calendar_h],tblFleet[Date],$A301,tblFleet[Equipment_Class],"Haul Truck")</f>
        <v/>
      </c>
      <c r="BX301" s="57">
        <f>IF($B301=$B300,$BX300,0)+$BW301</f>
        <v/>
      </c>
      <c r="BY301" s="57">
        <f>$BY300+$BW301</f>
        <v/>
      </c>
      <c r="BZ301" s="57">
        <f>SUMIFS(tblFleet[Available_h],tblFleet[Date],$A301,tblFleet[Equipment_Class],"Haul Truck")</f>
        <v/>
      </c>
      <c r="CA301" s="57">
        <f>IF($B301=$B300,$CA300,0)+$BZ301</f>
        <v/>
      </c>
      <c r="CB301" s="57">
        <f>$CB300+$BZ301</f>
        <v/>
      </c>
      <c r="CC301" s="57">
        <f>SUMIFS(tblFleet[Operating_h],tblFleet[Date],$A301,tblFleet[Equipment_Class],"Haul Truck")</f>
        <v/>
      </c>
      <c r="CD301" s="57">
        <f>IF($B301=$B300,$CD300,0)+$CC301</f>
        <v/>
      </c>
      <c r="CE301" s="57">
        <f>$CE300+$CC301</f>
        <v/>
      </c>
      <c r="CF301" s="67">
        <f>IFERROR(IF(($BW301)&gt;0,($BZ301)/($BW301),""),"")</f>
        <v/>
      </c>
      <c r="CG301" s="67">
        <f>IFERROR(IF(($BX301)&gt;0,($CA301)/($BX301),""),"")</f>
        <v/>
      </c>
      <c r="CH301" s="67">
        <f>IFERROR(IF(($BY301)&gt;0,($CB301)/($BY301),""),"")</f>
        <v/>
      </c>
      <c r="CI301" s="67">
        <f>IFERROR(IF(($BZ301)&gt;0,($CC301)/($BZ301),""),"")</f>
        <v/>
      </c>
      <c r="CJ301" s="67">
        <f>IFERROR(IF(($CA301)&gt;0,($CD301)/($CA301),""),"")</f>
        <v/>
      </c>
      <c r="CK301" s="67">
        <f>IFERROR(IF(($CB301)&gt;0,($CE301)/($CB301),""),"")</f>
        <v/>
      </c>
      <c r="CL301" s="55">
        <f>IFERROR(IF(($BN301)&gt;0,($X301+$AD301)/($BN301),""),"")</f>
        <v/>
      </c>
      <c r="CM301" s="55">
        <f>IFERROR(IF(($BO301)&gt;0,($Y301+$AE301)/($BO301),""),"")</f>
        <v/>
      </c>
      <c r="CN301" s="55">
        <f>IFERROR(IF(($BP301)&gt;0,($Z301+$AF301)/($BP301),""),"")</f>
        <v/>
      </c>
      <c r="CO301" s="55">
        <f>IFERROR(IF(($CC301)&gt;0,($X301+$AD301)/($CC301),""),"")</f>
        <v/>
      </c>
      <c r="CP301" s="55">
        <f>IFERROR(IF(($CD301)&gt;0,($Y301+$AE301)/($CD301),""),"")</f>
        <v/>
      </c>
      <c r="CQ301" s="55">
        <f>IFERROR(IF(($CE301)&gt;0,($Z301+$AF301)/($CE301),""),"")</f>
        <v/>
      </c>
      <c r="CR301" s="55">
        <f>SUMIFS(tblPlant[Crushed_t],tblPlant[Date],$A301)</f>
        <v/>
      </c>
      <c r="CS301" s="55">
        <f>IF($B301=$B300,$CS300,0)+$CR301</f>
        <v/>
      </c>
      <c r="CT301" s="55">
        <f>$CT300+$CR301</f>
        <v/>
      </c>
      <c r="CU301" s="55">
        <f>SUMIFS(tblPlant[Milled_t],tblPlant[Date],$A301)</f>
        <v/>
      </c>
      <c r="CV301" s="55">
        <f>IF($B301=$B300,$CV300,0)+$CU301</f>
        <v/>
      </c>
      <c r="CW301" s="55">
        <f>$CW300+$CU301</f>
        <v/>
      </c>
      <c r="CX301" s="55">
        <f>SUMIFS(tblPlant[Feed_oz],tblPlant[Date],$A301)</f>
        <v/>
      </c>
      <c r="CY301" s="55">
        <f>IF($B301=$B300,$CY300,0)+$CX301</f>
        <v/>
      </c>
      <c r="CZ301" s="55">
        <f>$CZ300+$CX301</f>
        <v/>
      </c>
      <c r="DA301" s="55">
        <f>SUMIFS(tblPlant[Tails_oz],tblPlant[Date],$A301)</f>
        <v/>
      </c>
      <c r="DB301" s="55">
        <f>IF($B301=$B300,$DB300,0)+$DA301</f>
        <v/>
      </c>
      <c r="DC301" s="55">
        <f>$DC300+$DA301</f>
        <v/>
      </c>
      <c r="DD301" s="55">
        <f>SUMIFS(tblPlant[Recovered_oz],tblPlant[Date],$A301)</f>
        <v/>
      </c>
      <c r="DE301" s="55">
        <f>IF($B301=$B300,$DE300,0)+$DD301</f>
        <v/>
      </c>
      <c r="DF301" s="55">
        <f>$DF300+$DD301</f>
        <v/>
      </c>
      <c r="DG301" s="55">
        <f>SUMIFS(tblPlant[Milled_t],tblPlant[Date],$A301,tblPlant[Head_Grade_gpt],"&lt;&gt;")</f>
        <v/>
      </c>
      <c r="DH301" s="55">
        <f>IF($B301=$B300,$DH300,0)+$DG301</f>
        <v/>
      </c>
      <c r="DI301" s="55">
        <f>$DI300+$DG301</f>
        <v/>
      </c>
      <c r="DJ301" s="55">
        <f>SUMIFS(tblPlant[Milled_t],tblPlant[Date],$A301,tblPlant[Tails_Grade_gpt],"&lt;&gt;")</f>
        <v/>
      </c>
      <c r="DK301" s="55">
        <f>IF($B301=$B300,$DK300,0)+$DJ301</f>
        <v/>
      </c>
      <c r="DL301" s="55">
        <f>$DL300+$DJ301</f>
        <v/>
      </c>
      <c r="DM301" s="55">
        <f>SUMIFS(tblPlant[Feed_oz],tblPlant[Date],$A301,tblPlant[Tails_Grade_gpt],"&lt;&gt;")</f>
        <v/>
      </c>
      <c r="DN301" s="55">
        <f>IF($B301=$B300,$DN300,0)+$DM301</f>
        <v/>
      </c>
      <c r="DO301" s="55">
        <f>$DO300+$DM301</f>
        <v/>
      </c>
      <c r="DP301" s="55">
        <f>SUMIFS(tblPlant[Milled_t],tblPlant[Date],$A301,tblPlant[Mill_Run_h],"&lt;&gt;")</f>
        <v/>
      </c>
      <c r="DQ301" s="55">
        <f>IF($B301=$B300,$DQ300,0)+$DP301</f>
        <v/>
      </c>
      <c r="DR301" s="55">
        <f>$DR300+$DP301</f>
        <v/>
      </c>
      <c r="DS301" s="56">
        <f>IFERROR(IF(($DG301)&gt;0,($CX301*cfg_TroyOz)/($DG301),""),"")</f>
        <v/>
      </c>
      <c r="DT301" s="56">
        <f>IFERROR(IF(($DH301)&gt;0,($CY301*cfg_TroyOz)/($DH301),""),"")</f>
        <v/>
      </c>
      <c r="DU301" s="56">
        <f>IFERROR(IF(($DI301)&gt;0,($CZ301*cfg_TroyOz)/($DI301),""),"")</f>
        <v/>
      </c>
      <c r="DV301" s="56">
        <f>IFERROR(IF(($DJ301)&gt;0,($DA301*cfg_TroyOz)/($DJ301),""),"")</f>
        <v/>
      </c>
      <c r="DW301" s="56">
        <f>IFERROR(IF(($DK301)&gt;0,($DB301*cfg_TroyOz)/($DK301),""),"")</f>
        <v/>
      </c>
      <c r="DX301" s="56">
        <f>IFERROR(IF(($DL301)&gt;0,($DC301*cfg_TroyOz)/($DL301),""),"")</f>
        <v/>
      </c>
      <c r="DY301" s="67">
        <f>IFERROR(IF(($DM301)&gt;0,($DD301)/($DM301),""),"")</f>
        <v/>
      </c>
      <c r="DZ301" s="67">
        <f>IFERROR(IF(($DN301)&gt;0,($DE301)/($DN301),""),"")</f>
        <v/>
      </c>
      <c r="EA301" s="67">
        <f>IFERROR(IF(($DO301)&gt;0,($DF301)/($DO301),""),"")</f>
        <v/>
      </c>
      <c r="EB301" s="55">
        <f>SUMIFS(tblPlant[Gravity_Gold_oz],tblPlant[Date],$A301)</f>
        <v/>
      </c>
      <c r="EC301" s="55">
        <f>IF($B301=$B300,$EC300,0)+$EB301</f>
        <v/>
      </c>
      <c r="ED301" s="55">
        <f>$ED300+$EB301</f>
        <v/>
      </c>
      <c r="EE301" s="67">
        <f>IFERROR(IF(($DD301)&gt;0,($EB301)/($DD301),""),"")</f>
        <v/>
      </c>
      <c r="EF301" s="67">
        <f>IFERROR(IF(($DE301)&gt;0,($EC301)/($DE301),""),"")</f>
        <v/>
      </c>
      <c r="EG301" s="67">
        <f>IFERROR(IF(($DF301)&gt;0,($ED301)/($DF301),""),"")</f>
        <v/>
      </c>
      <c r="EH301" s="55">
        <f>SUMIFS(tblPlant[Gold_Poured_oz],tblPlant[Date],$A301)</f>
        <v/>
      </c>
      <c r="EI301" s="55">
        <f>IF($B301=$B300,$EI300,0)+$EH301</f>
        <v/>
      </c>
      <c r="EJ301" s="55">
        <f>$EJ300+$EH301</f>
        <v/>
      </c>
      <c r="EK301" s="57">
        <f>SUMIFS(tblPlant[Mill_Run_h],tblPlant[Date],$A301)</f>
        <v/>
      </c>
      <c r="EL301" s="57">
        <f>IF($B301=$B300,$EL300,0)+$EK301</f>
        <v/>
      </c>
      <c r="EM301" s="57">
        <f>$EM300+$EK301</f>
        <v/>
      </c>
      <c r="EN301" s="57">
        <f>SUMIFS(tblPlant[Mill_Planned_Maint_h],tblPlant[Date],$A301)</f>
        <v/>
      </c>
      <c r="EO301" s="57">
        <f>IF($B301=$B300,$EO300,0)+$EN301</f>
        <v/>
      </c>
      <c r="EP301" s="57">
        <f>$EP300+$EN301</f>
        <v/>
      </c>
      <c r="EQ301" s="57">
        <f>SUMIFS(tblPlant[Mill_Unplanned_Down_h],tblPlant[Date],$A301)</f>
        <v/>
      </c>
      <c r="ER301" s="57">
        <f>IF($B301=$B300,$ER300,0)+$EQ301</f>
        <v/>
      </c>
      <c r="ES301" s="57">
        <f>$ES300+$EQ301</f>
        <v/>
      </c>
      <c r="ET301" s="57">
        <f>IF(COUNTIFS(tblPlant[Date],$A301,tblPlant[Mill_Run_h],"&lt;&gt;")+COUNTIFS(tblPlant[Date],$A301,tblPlant[Mill_Planned_Maint_h],"&lt;&gt;")+COUNTIFS(tblPlant[Date],$A301,tblPlant[Mill_Unplanned_Down_h],"&lt;&gt;")&gt;0,cfg_HoursPerDay,0)</f>
        <v/>
      </c>
      <c r="EU301" s="57">
        <f>IF($B301=$B300,$EU300,0)+$ET301</f>
        <v/>
      </c>
      <c r="EV301" s="57">
        <f>$EV300+$ET301</f>
        <v/>
      </c>
      <c r="EW301" s="57">
        <f>SUMIFS(tblPlant[Crusher_Run_h],tblPlant[Date],$A301)</f>
        <v/>
      </c>
      <c r="EX301" s="57">
        <f>IF($B301=$B300,$EX300,0)+$EW301</f>
        <v/>
      </c>
      <c r="EY301" s="57">
        <f>$EY300+$EW301</f>
        <v/>
      </c>
      <c r="EZ301" s="55">
        <f>IFERROR(IF(($EK301)&gt;0,($DP301)/($EK301),""),"")</f>
        <v/>
      </c>
      <c r="FA301" s="55">
        <f>IFERROR(IF(($EL301)&gt;0,($DQ301)/($EL301),""),"")</f>
        <v/>
      </c>
      <c r="FB301" s="55">
        <f>IFERROR(IF(($EM301)&gt;0,($DR301)/($EM301),""),"")</f>
        <v/>
      </c>
      <c r="FC301" s="67">
        <f>IFERROR(IF(($ET301)&gt;0,($ET301-$EN301-$EQ301)/($ET301),""),"")</f>
        <v/>
      </c>
      <c r="FD301" s="67">
        <f>IFERROR(IF(($EU301)&gt;0,($EU301-$EO301-$ER301)/($EU301),""),"")</f>
        <v/>
      </c>
      <c r="FE301" s="67">
        <f>IFERROR(IF(($EV301)&gt;0,($EV301-$EP301-$ES301)/($EV301),""),"")</f>
        <v/>
      </c>
      <c r="FF301" s="67">
        <f>IFERROR(IF(($ET301-$EN301-$EQ301)&gt;0,($EK301)/($ET301-$EN301-$EQ301),""),"")</f>
        <v/>
      </c>
      <c r="FG301" s="67">
        <f>IFERROR(IF(($EU301-$EO301-$ER301)&gt;0,($EL301)/($EU301-$EO301-$ER301),""),"")</f>
        <v/>
      </c>
      <c r="FH301" s="67">
        <f>IFERROR(IF(($EV301-$EP301-$ES301)&gt;0,($EM301)/($EV301-$EP301-$ES301),""),"")</f>
        <v/>
      </c>
      <c r="FI301" s="55">
        <f>SUMIFS(tblPlant[Cyanide_kg],tblPlant[Date],$A301)</f>
        <v/>
      </c>
      <c r="FJ301" s="55">
        <f>IF($B301=$B300,$FJ300,0)+$FI301</f>
        <v/>
      </c>
      <c r="FK301" s="55">
        <f>$FK300+$FI301</f>
        <v/>
      </c>
      <c r="FL301" s="55">
        <f>SUMIFS(tblPlant[Lime_kg],tblPlant[Date],$A301)</f>
        <v/>
      </c>
      <c r="FM301" s="55">
        <f>IF($B301=$B300,$FM300,0)+$FL301</f>
        <v/>
      </c>
      <c r="FN301" s="55">
        <f>$FN300+$FL301</f>
        <v/>
      </c>
      <c r="FO301" s="55">
        <f>SUMIFS(tblPlant[Grinding_Media_kg],tblPlant[Date],$A301)</f>
        <v/>
      </c>
      <c r="FP301" s="55">
        <f>IF($B301=$B300,$FP300,0)+$FO301</f>
        <v/>
      </c>
      <c r="FQ301" s="55">
        <f>$FQ300+$FO301</f>
        <v/>
      </c>
      <c r="FR301" s="55">
        <f>SUMIFS(tblPlant[Power_kWh],tblPlant[Date],$A301)</f>
        <v/>
      </c>
      <c r="FS301" s="55">
        <f>IF($B301=$B300,$FS300,0)+$FR301</f>
        <v/>
      </c>
      <c r="FT301" s="55">
        <f>$FT300+$FR301</f>
        <v/>
      </c>
      <c r="FU301" s="55">
        <f>SUMIFS(tblPlant[Raw_Water_m3],tblPlant[Date],$A301)</f>
        <v/>
      </c>
      <c r="FV301" s="55">
        <f>IF($B301=$B300,$FV300,0)+$FU301</f>
        <v/>
      </c>
      <c r="FW301" s="55">
        <f>$FW300+$FU301</f>
        <v/>
      </c>
      <c r="FX301" s="56">
        <f>IFERROR(IF(($CU301)&gt;0,($FI301)/($CU301),""),"")</f>
        <v/>
      </c>
      <c r="FY301" s="56">
        <f>IFERROR(IF(($CV301)&gt;0,($FJ301)/($CV301),""),"")</f>
        <v/>
      </c>
      <c r="FZ301" s="56">
        <f>IFERROR(IF(($CW301)&gt;0,($FK301)/($CW301),""),"")</f>
        <v/>
      </c>
      <c r="GA301" s="56">
        <f>IFERROR(IF(($CU301)&gt;0,($FL301)/($CU301),""),"")</f>
        <v/>
      </c>
      <c r="GB301" s="56">
        <f>IFERROR(IF(($CV301)&gt;0,($FM301)/($CV301),""),"")</f>
        <v/>
      </c>
      <c r="GC301" s="56">
        <f>IFERROR(IF(($CW301)&gt;0,($FN301)/($CW301),""),"")</f>
        <v/>
      </c>
      <c r="GD301" s="56">
        <f>IFERROR(IF(($CU301)&gt;0,($FO301)/($CU301),""),"")</f>
        <v/>
      </c>
      <c r="GE301" s="56">
        <f>IFERROR(IF(($CV301)&gt;0,($FP301)/($CV301),""),"")</f>
        <v/>
      </c>
      <c r="GF301" s="56">
        <f>IFERROR(IF(($CW301)&gt;0,($FQ301)/($CW301),""),"")</f>
        <v/>
      </c>
      <c r="GG301" s="79">
        <f>IFERROR(IF(($CU301)&gt;0,($FR301)/($CU301),""),"")</f>
        <v/>
      </c>
      <c r="GH301" s="79">
        <f>IFERROR(IF(($CV301)&gt;0,($FS301)/($CV301),""),"")</f>
        <v/>
      </c>
      <c r="GI301" s="79">
        <f>IFERROR(IF(($CW301)&gt;0,($FT301)/($CW301),""),"")</f>
        <v/>
      </c>
      <c r="GJ301" s="56">
        <f>IFERROR(IF(($CU301)&gt;0,($FU301)/($CU301),""),"")</f>
        <v/>
      </c>
      <c r="GK301" s="56">
        <f>IFERROR(IF(($CV301)&gt;0,($FV301)/($CV301),""),"")</f>
        <v/>
      </c>
      <c r="GL301" s="56">
        <f>IFERROR(IF(($CW301)&gt;0,($FW301)/($CW301),""),"")</f>
        <v/>
      </c>
      <c r="GM301" s="55">
        <f>IF(SUMIFS(tblPlant[GIC_oz],tblPlant[Date],$A301)&gt;0,SUMIFS(tblPlant[GIC_oz],tblPlant[Date],$A301),"")</f>
        <v/>
      </c>
      <c r="GN301" s="55">
        <f>SUMIFS(tblGold[Gold_oz],tblGold[Date],$A301,tblGold[Type],"Shipment")</f>
        <v/>
      </c>
      <c r="GO301" s="55">
        <f>IF($B301=$B300,$GO300,0)+$GN301</f>
        <v/>
      </c>
      <c r="GP301" s="55">
        <f>$GP300+$GN301</f>
        <v/>
      </c>
      <c r="GQ301" s="55">
        <f>SUMIFS(tblGold[Gold_oz],tblGold[Date],$A301,tblGold[Type],"Sale")</f>
        <v/>
      </c>
      <c r="GR301" s="55">
        <f>IF($B301=$B300,$GR300,0)+$GQ301</f>
        <v/>
      </c>
      <c r="GS301" s="55">
        <f>$GS300+$GQ301</f>
        <v/>
      </c>
      <c r="GT301" s="55">
        <f>SUMIFS(tblGold[Dore_kg],tblGold[Date],$A301,tblGold[Type],"Shipment")</f>
        <v/>
      </c>
      <c r="GU301" s="55">
        <f>IF($B301=$B300,$GU300,0)+$GT301</f>
        <v/>
      </c>
      <c r="GV301" s="55">
        <f>$GV300+$GT301</f>
        <v/>
      </c>
      <c r="GW301" s="57">
        <f>SUMIFS(tblSafety[Hours_Total],tblSafety[Date],$A301)</f>
        <v/>
      </c>
      <c r="GX301" s="57">
        <f>IF($B301=$B300,$GX300,0)+$GW301</f>
        <v/>
      </c>
      <c r="GY301" s="57">
        <f>$GY300+$GW301</f>
        <v/>
      </c>
      <c r="GZ301" s="62">
        <f>SUMIFS(tblSafety[Fatality],tblSafety[Date],$A301)</f>
        <v/>
      </c>
      <c r="HA301" s="62">
        <f>IF($B301=$B300,$HA300,0)+$GZ301</f>
        <v/>
      </c>
      <c r="HB301" s="62">
        <f>$HB300+$GZ301</f>
        <v/>
      </c>
      <c r="HC301" s="62">
        <f>SUMIFS(tblSafety[LTI],tblSafety[Date],$A301)</f>
        <v/>
      </c>
      <c r="HD301" s="62">
        <f>IF($B301=$B300,$HD300,0)+$HC301</f>
        <v/>
      </c>
      <c r="HE301" s="62">
        <f>$HE300+$HC301</f>
        <v/>
      </c>
      <c r="HF301" s="62">
        <f>SUMIFS(tblSafety[RWI],tblSafety[Date],$A301)</f>
        <v/>
      </c>
      <c r="HG301" s="62">
        <f>IF($B301=$B300,$HG300,0)+$HF301</f>
        <v/>
      </c>
      <c r="HH301" s="62">
        <f>$HH300+$HF301</f>
        <v/>
      </c>
      <c r="HI301" s="62">
        <f>SUMIFS(tblSafety[MTI],tblSafety[Date],$A301)</f>
        <v/>
      </c>
      <c r="HJ301" s="62">
        <f>IF($B301=$B300,$HJ300,0)+$HI301</f>
        <v/>
      </c>
      <c r="HK301" s="62">
        <f>$HK300+$HI301</f>
        <v/>
      </c>
      <c r="HL301" s="62">
        <f>SUMIFS(tblSafety[FAI],tblSafety[Date],$A301)</f>
        <v/>
      </c>
      <c r="HM301" s="62">
        <f>IF($B301=$B300,$HM300,0)+$HL301</f>
        <v/>
      </c>
      <c r="HN301" s="62">
        <f>$HN300+$HL301</f>
        <v/>
      </c>
      <c r="HO301" s="62">
        <f>SUMIFS(tblSafety[Recordables],tblSafety[Date],$A301)</f>
        <v/>
      </c>
      <c r="HP301" s="62">
        <f>IF($B301=$B300,$HP300,0)+$HO301</f>
        <v/>
      </c>
      <c r="HQ301" s="62">
        <f>$HQ300+$HO301</f>
        <v/>
      </c>
      <c r="HR301" s="62">
        <f>SUMIFS(tblSafety[Near_Miss],tblSafety[Date],$A301)</f>
        <v/>
      </c>
      <c r="HS301" s="62">
        <f>IF($B301=$B300,$HS300,0)+$HR301</f>
        <v/>
      </c>
      <c r="HT301" s="62">
        <f>$HT300+$HR301</f>
        <v/>
      </c>
      <c r="HU301" s="62">
        <f>SUMIFS(tblSafety[Hazard_Reports],tblSafety[Date],$A301)</f>
        <v/>
      </c>
      <c r="HV301" s="62">
        <f>IF($B301=$B300,$HV300,0)+$HU301</f>
        <v/>
      </c>
      <c r="HW301" s="62">
        <f>$HW300+$HU301</f>
        <v/>
      </c>
      <c r="HX301" s="62">
        <f>SUMIFS(tblSafety[HPI],tblSafety[Date],$A301)</f>
        <v/>
      </c>
      <c r="HY301" s="62">
        <f>IF($B301=$B300,$HY300,0)+$HX301</f>
        <v/>
      </c>
      <c r="HZ301" s="62">
        <f>$HZ300+$HX301</f>
        <v/>
      </c>
      <c r="IA301" s="62">
        <f>SUMIFS(tblSafety[Env_Incidents],tblSafety[Date],$A301)</f>
        <v/>
      </c>
      <c r="IB301" s="62">
        <f>IF($B301=$B300,$IB300,0)+$IA301</f>
        <v/>
      </c>
      <c r="IC301" s="62">
        <f>$IC300+$IA301</f>
        <v/>
      </c>
      <c r="ID301" s="62">
        <f>SUMIFS(tblSafety[Community_Incidents],tblSafety[Date],$A301)</f>
        <v/>
      </c>
      <c r="IE301" s="62">
        <f>IF($B301=$B300,$IE300,0)+$ID301</f>
        <v/>
      </c>
      <c r="IF301" s="62">
        <f>$IF300+$ID301</f>
        <v/>
      </c>
      <c r="IG301" s="62">
        <f>SUMIFS(tblSafety[Vehicle_Incidents],tblSafety[Date],$A301)</f>
        <v/>
      </c>
      <c r="IH301" s="62">
        <f>IF($B301=$B300,$IH300,0)+$IG301</f>
        <v/>
      </c>
      <c r="II301" s="62">
        <f>$II300+$IG301</f>
        <v/>
      </c>
      <c r="IJ301" s="62">
        <f>SUMIFS(tblSafety[Toolbox_Talks],tblSafety[Date],$A301)</f>
        <v/>
      </c>
      <c r="IK301" s="62">
        <f>IF($B301=$B300,$IK300,0)+$IJ301</f>
        <v/>
      </c>
      <c r="IL301" s="62">
        <f>$IL300+$IJ301</f>
        <v/>
      </c>
      <c r="IM301" s="62">
        <f>SUMIFS(tblSafety[Inspections],tblSafety[Date],$A301)</f>
        <v/>
      </c>
      <c r="IN301" s="62">
        <f>IF($B301=$B300,$IN300,0)+$IM301</f>
        <v/>
      </c>
      <c r="IO301" s="62">
        <f>$IO300+$IM301</f>
        <v/>
      </c>
      <c r="IP301" s="56">
        <f>IFERROR((SUMIFS(tblSafety[Recordables],tblSafety[Date],"&gt;="&amp;EDATE($E301,-12),tblSafety[Date],"&lt;="&amp;$A301)+SUMIFS(tblSafetyHistory[Recordables],tblSafetyHistory[Month],"&gt;="&amp;EDATE($E301,-12),tblSafetyHistory[Month],"&lt;"&amp;$E301,tblSafetyHistory[Use],1))/(SUMIFS(tblSafety[Hours_Total],tblSafety[Date],"&gt;="&amp;EDATE($E301,-12),tblSafety[Date],"&lt;="&amp;$A301)+SUMIFS(tblSafetyHistory[Hours_Total],tblSafetyHistory[Month],"&gt;="&amp;EDATE($E301,-12),tblSafetyHistory[Month],"&lt;"&amp;$E301,tblSafetyHistory[Use],1))*cfg_RateBasisHours,"")</f>
        <v/>
      </c>
      <c r="IQ301" s="56">
        <f>IFERROR((SUMIFS(tblSafety[LTI],tblSafety[Date],"&gt;="&amp;EDATE($E301,-12),tblSafety[Date],"&lt;="&amp;$A301)+SUMIFS(tblSafetyHistory[LTI],tblSafetyHistory[Month],"&gt;="&amp;EDATE($E301,-12),tblSafetyHistory[Month],"&lt;"&amp;$E301,tblSafetyHistory[Use],1))/(SUMIFS(tblSafety[Hours_Total],tblSafety[Date],"&gt;="&amp;EDATE($E301,-12),tblSafety[Date],"&lt;="&amp;$A301)+SUMIFS(tblSafetyHistory[Hours_Total],tblSafetyHistory[Month],"&gt;="&amp;EDATE($E301,-12),tblSafetyHistory[Month],"&lt;"&amp;$E301,tblSafetyHistory[Use],1))*cfg_RateBasisHours,"")</f>
        <v/>
      </c>
      <c r="IR301" s="62">
        <f>IF(MAX(N(cfg_PriorLTIDate),_xlfn.MAXIFS(tblSafety[Date],tblSafety[LTI],"&gt;0",tblSafety[Date],"&lt;="&amp;$A301))=0,"",$A301-MAX(N(cfg_PriorLTIDate),_xlfn.MAXIFS(tblSafety[Date],tblSafety[LTI],"&gt;0",tblSafety[Date],"&lt;="&amp;$A301)))</f>
        <v/>
      </c>
      <c r="IS301" s="55">
        <f>SUMIFS(tblBudget[Ore_Mined_t],tblBudget[Month],$E301)</f>
        <v/>
      </c>
      <c r="IT301" s="55">
        <f>$IS301*$C301/$D301</f>
        <v/>
      </c>
      <c r="IU301" s="55">
        <f>SUMIFS(tblBudget[Ore_Mined_t],tblBudget[Month],"&lt;"&amp;$E301)+$IT301</f>
        <v/>
      </c>
      <c r="IV301" s="55">
        <f>SUMIFS(tblBudget[Ore_oz],tblBudget[Month],$E301)</f>
        <v/>
      </c>
      <c r="IW301" s="55">
        <f>$IV301*$C301/$D301</f>
        <v/>
      </c>
      <c r="IX301" s="55">
        <f>SUMIFS(tblBudget[Ore_oz],tblBudget[Month],"&lt;"&amp;$E301)+$IW301</f>
        <v/>
      </c>
      <c r="IY301" s="55">
        <f>SUMIFS(tblBudget[Ore_Mined_t],tblBudget[Month],$E301)</f>
        <v/>
      </c>
      <c r="IZ301" s="55">
        <f>$IY301*$C301/$D301</f>
        <v/>
      </c>
      <c r="JA301" s="55">
        <f>SUMIFS(tblBudget[Ore_Mined_t],tblBudget[Month],"&lt;"&amp;$E301)+$IZ301</f>
        <v/>
      </c>
      <c r="JB301" s="56">
        <f>IFERROR(IF(($IY301)&gt;0,($IV301*cfg_TroyOz)/($IY301),""),"")</f>
        <v/>
      </c>
      <c r="JC301" s="56">
        <f>IFERROR(IF(($IZ301)&gt;0,($IW301*cfg_TroyOz)/($IZ301),""),"")</f>
        <v/>
      </c>
      <c r="JD301" s="56">
        <f>IFERROR(IF(($JA301)&gt;0,($IX301*cfg_TroyOz)/($JA301),""),"")</f>
        <v/>
      </c>
      <c r="JE301" s="55">
        <f>SUMIFS(tblBudget[Waste_t],tblBudget[Month],$E301)</f>
        <v/>
      </c>
      <c r="JF301" s="55">
        <f>$JE301*$C301/$D301</f>
        <v/>
      </c>
      <c r="JG301" s="55">
        <f>SUMIFS(tblBudget[Waste_t],tblBudget[Month],"&lt;"&amp;$E301)+$JF301</f>
        <v/>
      </c>
      <c r="JH301" s="55">
        <f>SUMIFS(tblBudget[TMM_t],tblBudget[Month],$E301)</f>
        <v/>
      </c>
      <c r="JI301" s="55">
        <f>$JH301*$C301/$D301</f>
        <v/>
      </c>
      <c r="JJ301" s="55">
        <f>SUMIFS(tblBudget[TMM_t],tblBudget[Month],"&lt;"&amp;$E301)+$JI301</f>
        <v/>
      </c>
      <c r="JK301" s="56">
        <f>IFERROR(IF(($IS301)&gt;0,($JE301)/($IS301),""),"")</f>
        <v/>
      </c>
      <c r="JL301" s="56">
        <f>IFERROR(IF(($IT301)&gt;0,($JF301)/($IT301),""),"")</f>
        <v/>
      </c>
      <c r="JM301" s="56">
        <f>IFERROR(IF(($IU301)&gt;0,($JG301)/($IU301),""),"")</f>
        <v/>
      </c>
      <c r="JN301" s="55">
        <f>SUMIFS(tblBudget[Drill_m],tblBudget[Month],$E301)</f>
        <v/>
      </c>
      <c r="JO301" s="55">
        <f>$JN301*$C301/$D301</f>
        <v/>
      </c>
      <c r="JP301" s="55">
        <f>SUMIFS(tblBudget[Drill_m],tblBudget[Month],"&lt;"&amp;$E301)+$JO301</f>
        <v/>
      </c>
      <c r="JQ301" s="55">
        <f>SUMIFS(tblBudget[Diesel_L],tblBudget[Month],$E301)</f>
        <v/>
      </c>
      <c r="JR301" s="55">
        <f>$JQ301*$C301/$D301</f>
        <v/>
      </c>
      <c r="JS301" s="55">
        <f>SUMIFS(tblBudget[Diesel_L],tblBudget[Month],"&lt;"&amp;$E301)+$JR301</f>
        <v/>
      </c>
      <c r="JT301" s="55">
        <f>SUMIFS(tblBudget[Milled_t],tblBudget[Month],$E301)</f>
        <v/>
      </c>
      <c r="JU301" s="55">
        <f>$JT301*$C301/$D301</f>
        <v/>
      </c>
      <c r="JV301" s="55">
        <f>SUMIFS(tblBudget[Milled_t],tblBudget[Month],"&lt;"&amp;$E301)+$JU301</f>
        <v/>
      </c>
      <c r="JW301" s="55">
        <f>SUMIFS(tblBudget[Feed_oz],tblBudget[Month],$E301)</f>
        <v/>
      </c>
      <c r="JX301" s="55">
        <f>$JW301*$C301/$D301</f>
        <v/>
      </c>
      <c r="JY301" s="55">
        <f>SUMIFS(tblBudget[Feed_oz],tblBudget[Month],"&lt;"&amp;$E301)+$JX301</f>
        <v/>
      </c>
      <c r="JZ301" s="55">
        <f>SUMIFS(tblBudget[Recovered_oz],tblBudget[Month],$E301)</f>
        <v/>
      </c>
      <c r="KA301" s="55">
        <f>$JZ301*$C301/$D301</f>
        <v/>
      </c>
      <c r="KB301" s="55">
        <f>SUMIFS(tblBudget[Recovered_oz],tblBudget[Month],"&lt;"&amp;$E301)+$KA301</f>
        <v/>
      </c>
      <c r="KC301" s="55">
        <f>SUMIFS(tblBudget[Milled_t],tblBudget[Month],$E301)</f>
        <v/>
      </c>
      <c r="KD301" s="55">
        <f>$KC301*$C301/$D301</f>
        <v/>
      </c>
      <c r="KE301" s="55">
        <f>SUMIFS(tblBudget[Milled_t],tblBudget[Month],"&lt;"&amp;$E301)+$KD301</f>
        <v/>
      </c>
      <c r="KF301" s="55">
        <f>SUMIFS(tblBudget[Feed_oz],tblBudget[Month],$E301)</f>
        <v/>
      </c>
      <c r="KG301" s="55">
        <f>$KF301*$C301/$D301</f>
        <v/>
      </c>
      <c r="KH301" s="55">
        <f>SUMIFS(tblBudget[Feed_oz],tblBudget[Month],"&lt;"&amp;$E301)+$KG301</f>
        <v/>
      </c>
      <c r="KI301" s="56">
        <f>IFERROR(IF(($KC301)&gt;0,($JW301*cfg_TroyOz)/($KC301),""),"")</f>
        <v/>
      </c>
      <c r="KJ301" s="56">
        <f>IFERROR(IF(($KD301)&gt;0,($JX301*cfg_TroyOz)/($KD301),""),"")</f>
        <v/>
      </c>
      <c r="KK301" s="56">
        <f>IFERROR(IF(($KE301)&gt;0,($JY301*cfg_TroyOz)/($KE301),""),"")</f>
        <v/>
      </c>
      <c r="KL301" s="67">
        <f>IFERROR(IF(($KF301)&gt;0,($JZ301)/($KF301),""),"")</f>
        <v/>
      </c>
      <c r="KM301" s="67">
        <f>IFERROR(IF(($KG301)&gt;0,($KA301)/($KG301),""),"")</f>
        <v/>
      </c>
      <c r="KN301" s="67">
        <f>IFERROR(IF(($KH301)&gt;0,($KB301)/($KH301),""),"")</f>
        <v/>
      </c>
      <c r="KO301" s="55">
        <f>SUMIFS(tblBudget[Gold_Poured_oz],tblBudget[Month],$E301)</f>
        <v/>
      </c>
      <c r="KP301" s="55">
        <f>$KO301*$C301/$D301</f>
        <v/>
      </c>
      <c r="KQ301" s="55">
        <f>SUMIFS(tblBudget[Gold_Poured_oz],tblBudget[Month],"&lt;"&amp;$E301)+$KP301</f>
        <v/>
      </c>
      <c r="KR301" s="57">
        <f>SUMIFS(tblBudget[Hours_Worked],tblBudget[Month],$E301)</f>
        <v/>
      </c>
      <c r="KS301" s="57">
        <f>$KR301*$C301/$D301</f>
        <v/>
      </c>
      <c r="KT301" s="57">
        <f>SUMIFS(tblBudget[Hours_Worked],tblBudget[Month],"&lt;"&amp;$E301)+$KS301</f>
        <v/>
      </c>
    </row>
    <row r="302">
      <c r="A302" s="54" t="n">
        <v>46323</v>
      </c>
      <c r="B302">
        <f>MONTH($A302)</f>
        <v/>
      </c>
      <c r="C302">
        <f>DAY($A302)</f>
        <v/>
      </c>
      <c r="D302">
        <f>DAY(EOMONTH($A302,0))</f>
        <v/>
      </c>
      <c r="E302" s="54">
        <f>DATE(YEAR($A302),MONTH($A302),1)</f>
        <v/>
      </c>
      <c r="F302" s="55">
        <f>SUMIFS(tblMovement[Tonnes_t],tblMovement[Date],$A302,tblMovement[Is_Ore],1,tblMovement[Source_Type],"Pit")</f>
        <v/>
      </c>
      <c r="G302" s="55">
        <f>IF($B302=$B301,$G301,0)+$F302</f>
        <v/>
      </c>
      <c r="H302" s="55">
        <f>$H301+$F302</f>
        <v/>
      </c>
      <c r="I302" s="55">
        <f>SUMIFS(tblMovement[Ore_oz],tblMovement[Date],$A302,tblMovement[Source_Type],"Pit")</f>
        <v/>
      </c>
      <c r="J302" s="55">
        <f>IF($B302=$B301,$J301,0)+$I302</f>
        <v/>
      </c>
      <c r="K302" s="55">
        <f>$K301+$I302</f>
        <v/>
      </c>
      <c r="L302" s="55">
        <f>SUMIFS(tblMovement[Tonnes_t],tblMovement[Date],$A302,tblMovement[Is_Ore],1,tblMovement[Source_Type],"Pit",tblMovement[Grade_gpt],"&lt;&gt;")</f>
        <v/>
      </c>
      <c r="M302" s="55">
        <f>IF($B302=$B301,$M301,0)+$L302</f>
        <v/>
      </c>
      <c r="N302" s="55">
        <f>$N301+$L302</f>
        <v/>
      </c>
      <c r="O302" s="56">
        <f>IFERROR(IF(($L302)&gt;0,($I302*cfg_TroyOz)/($L302),""),"")</f>
        <v/>
      </c>
      <c r="P302" s="56">
        <f>IFERROR(IF(($M302)&gt;0,($J302*cfg_TroyOz)/($M302),""),"")</f>
        <v/>
      </c>
      <c r="Q302" s="56">
        <f>IFERROR(IF(($N302)&gt;0,($K302*cfg_TroyOz)/($N302),""),"")</f>
        <v/>
      </c>
      <c r="R302" s="55">
        <f>$F302-$L302</f>
        <v/>
      </c>
      <c r="S302" s="55">
        <f>IF($B302=$B301,$S301,0)+$R302</f>
        <v/>
      </c>
      <c r="T302" s="55">
        <f>$T301+$R302</f>
        <v/>
      </c>
      <c r="U302" s="55">
        <f>SUMIFS(tblMovement[Tonnes_t],tblMovement[Date],$A302,tblMovement[Is_Ore],0,tblMovement[Source_Type],"Pit")</f>
        <v/>
      </c>
      <c r="V302" s="55">
        <f>IF($B302=$B301,$V301,0)+$U302</f>
        <v/>
      </c>
      <c r="W302" s="55">
        <f>$W301+$U302</f>
        <v/>
      </c>
      <c r="X302" s="55">
        <f>$F302+$U302</f>
        <v/>
      </c>
      <c r="Y302" s="55">
        <f>IF($B302=$B301,$Y301,0)+$X302</f>
        <v/>
      </c>
      <c r="Z302" s="55">
        <f>$Z301+$X302</f>
        <v/>
      </c>
      <c r="AA302" s="56">
        <f>IFERROR(IF(($F302)&gt;0,($U302)/($F302),""),"")</f>
        <v/>
      </c>
      <c r="AB302" s="56">
        <f>IFERROR(IF(($G302)&gt;0,($V302)/($G302),""),"")</f>
        <v/>
      </c>
      <c r="AC302" s="56">
        <f>IFERROR(IF(($H302)&gt;0,($W302)/($H302),""),"")</f>
        <v/>
      </c>
      <c r="AD302" s="55">
        <f>SUMIFS(tblMovement[Tonnes_t],tblMovement[Date],$A302,tblMovement[Source_Type],"Stockpile")</f>
        <v/>
      </c>
      <c r="AE302" s="55">
        <f>IF($B302=$B301,$AE301,0)+$AD302</f>
        <v/>
      </c>
      <c r="AF302" s="55">
        <f>$AF301+$AD302</f>
        <v/>
      </c>
      <c r="AG302" s="55">
        <f>SUMIFS(tblMovement[Tonnes_t],tblMovement[Date],$A302)</f>
        <v/>
      </c>
      <c r="AH302" s="55">
        <f>IF($B302=$B301,$AH301,0)+$AG302</f>
        <v/>
      </c>
      <c r="AI302" s="55">
        <f>$AI301+$AG302</f>
        <v/>
      </c>
      <c r="AJ302" s="55">
        <f>$AG302-$X302-$AD302</f>
        <v/>
      </c>
      <c r="AK302" s="55">
        <f>IF($B302=$B301,$AK301,0)+$AJ302</f>
        <v/>
      </c>
      <c r="AL302" s="55">
        <f>$AL301+$AJ302</f>
        <v/>
      </c>
      <c r="AM302" s="55">
        <f>SUMIFS(tblMiningDaily[Drill_m],tblMiningDaily[Date],$A302)</f>
        <v/>
      </c>
      <c r="AN302" s="55">
        <f>IF($B302=$B301,$AN301,0)+$AM302</f>
        <v/>
      </c>
      <c r="AO302" s="55">
        <f>$AO301+$AM302</f>
        <v/>
      </c>
      <c r="AP302" s="55">
        <f>SUMIFS(tblMiningDaily[GC_Drill_m],tblMiningDaily[Date],$A302)</f>
        <v/>
      </c>
      <c r="AQ302" s="55">
        <f>IF($B302=$B301,$AQ301,0)+$AP302</f>
        <v/>
      </c>
      <c r="AR302" s="55">
        <f>$AR301+$AP302</f>
        <v/>
      </c>
      <c r="AS302" s="55">
        <f>SUMIFS(tblMiningDaily[Blast_t],tblMiningDaily[Date],$A302)</f>
        <v/>
      </c>
      <c r="AT302" s="55">
        <f>IF($B302=$B301,$AT301,0)+$AS302</f>
        <v/>
      </c>
      <c r="AU302" s="55">
        <f>$AU301+$AS302</f>
        <v/>
      </c>
      <c r="AV302" s="55">
        <f>SUMIFS(tblMiningDaily[Explosives_kg],tblMiningDaily[Date],$A302)</f>
        <v/>
      </c>
      <c r="AW302" s="55">
        <f>IF($B302=$B301,$AW301,0)+$AV302</f>
        <v/>
      </c>
      <c r="AX302" s="55">
        <f>$AX301+$AV302</f>
        <v/>
      </c>
      <c r="AY302" s="56">
        <f>IFERROR(IF(($AS302)&gt;0,($AV302)/($AS302),""),"")</f>
        <v/>
      </c>
      <c r="AZ302" s="56">
        <f>IFERROR(IF(($AT302)&gt;0,($AW302)/($AT302),""),"")</f>
        <v/>
      </c>
      <c r="BA302" s="56">
        <f>IFERROR(IF(($AU302)&gt;0,($AX302)/($AU302),""),"")</f>
        <v/>
      </c>
      <c r="BB302" s="55">
        <f>SUMIFS(tblMiningDaily[Diesel_L],tblMiningDaily[Date],$A302)</f>
        <v/>
      </c>
      <c r="BC302" s="55">
        <f>IF($B302=$B301,$BC301,0)+$BB302</f>
        <v/>
      </c>
      <c r="BD302" s="55">
        <f>$BD301+$BB302</f>
        <v/>
      </c>
      <c r="BE302" s="55">
        <f>SUMIFS(tblMiningDaily[Dewatering_m3],tblMiningDaily[Date],$A302)</f>
        <v/>
      </c>
      <c r="BF302" s="55">
        <f>IF($B302=$B301,$BF301,0)+$BE302</f>
        <v/>
      </c>
      <c r="BG302" s="55">
        <f>$BG301+$BE302</f>
        <v/>
      </c>
      <c r="BH302" s="57">
        <f>SUMIFS(tblFleet[Calendar_h],tblFleet[Date],$A302,tblFleet[Equipment_Class],"Excavator")</f>
        <v/>
      </c>
      <c r="BI302" s="57">
        <f>IF($B302=$B301,$BI301,0)+$BH302</f>
        <v/>
      </c>
      <c r="BJ302" s="57">
        <f>$BJ301+$BH302</f>
        <v/>
      </c>
      <c r="BK302" s="57">
        <f>SUMIFS(tblFleet[Available_h],tblFleet[Date],$A302,tblFleet[Equipment_Class],"Excavator")</f>
        <v/>
      </c>
      <c r="BL302" s="57">
        <f>IF($B302=$B301,$BL301,0)+$BK302</f>
        <v/>
      </c>
      <c r="BM302" s="57">
        <f>$BM301+$BK302</f>
        <v/>
      </c>
      <c r="BN302" s="57">
        <f>SUMIFS(tblFleet[Operating_h],tblFleet[Date],$A302,tblFleet[Equipment_Class],"Excavator")</f>
        <v/>
      </c>
      <c r="BO302" s="57">
        <f>IF($B302=$B301,$BO301,0)+$BN302</f>
        <v/>
      </c>
      <c r="BP302" s="57">
        <f>$BP301+$BN302</f>
        <v/>
      </c>
      <c r="BQ302" s="67">
        <f>IFERROR(IF(($BH302)&gt;0,($BK302)/($BH302),""),"")</f>
        <v/>
      </c>
      <c r="BR302" s="67">
        <f>IFERROR(IF(($BI302)&gt;0,($BL302)/($BI302),""),"")</f>
        <v/>
      </c>
      <c r="BS302" s="67">
        <f>IFERROR(IF(($BJ302)&gt;0,($BM302)/($BJ302),""),"")</f>
        <v/>
      </c>
      <c r="BT302" s="67">
        <f>IFERROR(IF(($BK302)&gt;0,($BN302)/($BK302),""),"")</f>
        <v/>
      </c>
      <c r="BU302" s="67">
        <f>IFERROR(IF(($BL302)&gt;0,($BO302)/($BL302),""),"")</f>
        <v/>
      </c>
      <c r="BV302" s="67">
        <f>IFERROR(IF(($BM302)&gt;0,($BP302)/($BM302),""),"")</f>
        <v/>
      </c>
      <c r="BW302" s="57">
        <f>SUMIFS(tblFleet[Calendar_h],tblFleet[Date],$A302,tblFleet[Equipment_Class],"Haul Truck")</f>
        <v/>
      </c>
      <c r="BX302" s="57">
        <f>IF($B302=$B301,$BX301,0)+$BW302</f>
        <v/>
      </c>
      <c r="BY302" s="57">
        <f>$BY301+$BW302</f>
        <v/>
      </c>
      <c r="BZ302" s="57">
        <f>SUMIFS(tblFleet[Available_h],tblFleet[Date],$A302,tblFleet[Equipment_Class],"Haul Truck")</f>
        <v/>
      </c>
      <c r="CA302" s="57">
        <f>IF($B302=$B301,$CA301,0)+$BZ302</f>
        <v/>
      </c>
      <c r="CB302" s="57">
        <f>$CB301+$BZ302</f>
        <v/>
      </c>
      <c r="CC302" s="57">
        <f>SUMIFS(tblFleet[Operating_h],tblFleet[Date],$A302,tblFleet[Equipment_Class],"Haul Truck")</f>
        <v/>
      </c>
      <c r="CD302" s="57">
        <f>IF($B302=$B301,$CD301,0)+$CC302</f>
        <v/>
      </c>
      <c r="CE302" s="57">
        <f>$CE301+$CC302</f>
        <v/>
      </c>
      <c r="CF302" s="67">
        <f>IFERROR(IF(($BW302)&gt;0,($BZ302)/($BW302),""),"")</f>
        <v/>
      </c>
      <c r="CG302" s="67">
        <f>IFERROR(IF(($BX302)&gt;0,($CA302)/($BX302),""),"")</f>
        <v/>
      </c>
      <c r="CH302" s="67">
        <f>IFERROR(IF(($BY302)&gt;0,($CB302)/($BY302),""),"")</f>
        <v/>
      </c>
      <c r="CI302" s="67">
        <f>IFERROR(IF(($BZ302)&gt;0,($CC302)/($BZ302),""),"")</f>
        <v/>
      </c>
      <c r="CJ302" s="67">
        <f>IFERROR(IF(($CA302)&gt;0,($CD302)/($CA302),""),"")</f>
        <v/>
      </c>
      <c r="CK302" s="67">
        <f>IFERROR(IF(($CB302)&gt;0,($CE302)/($CB302),""),"")</f>
        <v/>
      </c>
      <c r="CL302" s="55">
        <f>IFERROR(IF(($BN302)&gt;0,($X302+$AD302)/($BN302),""),"")</f>
        <v/>
      </c>
      <c r="CM302" s="55">
        <f>IFERROR(IF(($BO302)&gt;0,($Y302+$AE302)/($BO302),""),"")</f>
        <v/>
      </c>
      <c r="CN302" s="55">
        <f>IFERROR(IF(($BP302)&gt;0,($Z302+$AF302)/($BP302),""),"")</f>
        <v/>
      </c>
      <c r="CO302" s="55">
        <f>IFERROR(IF(($CC302)&gt;0,($X302+$AD302)/($CC302),""),"")</f>
        <v/>
      </c>
      <c r="CP302" s="55">
        <f>IFERROR(IF(($CD302)&gt;0,($Y302+$AE302)/($CD302),""),"")</f>
        <v/>
      </c>
      <c r="CQ302" s="55">
        <f>IFERROR(IF(($CE302)&gt;0,($Z302+$AF302)/($CE302),""),"")</f>
        <v/>
      </c>
      <c r="CR302" s="55">
        <f>SUMIFS(tblPlant[Crushed_t],tblPlant[Date],$A302)</f>
        <v/>
      </c>
      <c r="CS302" s="55">
        <f>IF($B302=$B301,$CS301,0)+$CR302</f>
        <v/>
      </c>
      <c r="CT302" s="55">
        <f>$CT301+$CR302</f>
        <v/>
      </c>
      <c r="CU302" s="55">
        <f>SUMIFS(tblPlant[Milled_t],tblPlant[Date],$A302)</f>
        <v/>
      </c>
      <c r="CV302" s="55">
        <f>IF($B302=$B301,$CV301,0)+$CU302</f>
        <v/>
      </c>
      <c r="CW302" s="55">
        <f>$CW301+$CU302</f>
        <v/>
      </c>
      <c r="CX302" s="55">
        <f>SUMIFS(tblPlant[Feed_oz],tblPlant[Date],$A302)</f>
        <v/>
      </c>
      <c r="CY302" s="55">
        <f>IF($B302=$B301,$CY301,0)+$CX302</f>
        <v/>
      </c>
      <c r="CZ302" s="55">
        <f>$CZ301+$CX302</f>
        <v/>
      </c>
      <c r="DA302" s="55">
        <f>SUMIFS(tblPlant[Tails_oz],tblPlant[Date],$A302)</f>
        <v/>
      </c>
      <c r="DB302" s="55">
        <f>IF($B302=$B301,$DB301,0)+$DA302</f>
        <v/>
      </c>
      <c r="DC302" s="55">
        <f>$DC301+$DA302</f>
        <v/>
      </c>
      <c r="DD302" s="55">
        <f>SUMIFS(tblPlant[Recovered_oz],tblPlant[Date],$A302)</f>
        <v/>
      </c>
      <c r="DE302" s="55">
        <f>IF($B302=$B301,$DE301,0)+$DD302</f>
        <v/>
      </c>
      <c r="DF302" s="55">
        <f>$DF301+$DD302</f>
        <v/>
      </c>
      <c r="DG302" s="55">
        <f>SUMIFS(tblPlant[Milled_t],tblPlant[Date],$A302,tblPlant[Head_Grade_gpt],"&lt;&gt;")</f>
        <v/>
      </c>
      <c r="DH302" s="55">
        <f>IF($B302=$B301,$DH301,0)+$DG302</f>
        <v/>
      </c>
      <c r="DI302" s="55">
        <f>$DI301+$DG302</f>
        <v/>
      </c>
      <c r="DJ302" s="55">
        <f>SUMIFS(tblPlant[Milled_t],tblPlant[Date],$A302,tblPlant[Tails_Grade_gpt],"&lt;&gt;")</f>
        <v/>
      </c>
      <c r="DK302" s="55">
        <f>IF($B302=$B301,$DK301,0)+$DJ302</f>
        <v/>
      </c>
      <c r="DL302" s="55">
        <f>$DL301+$DJ302</f>
        <v/>
      </c>
      <c r="DM302" s="55">
        <f>SUMIFS(tblPlant[Feed_oz],tblPlant[Date],$A302,tblPlant[Tails_Grade_gpt],"&lt;&gt;")</f>
        <v/>
      </c>
      <c r="DN302" s="55">
        <f>IF($B302=$B301,$DN301,0)+$DM302</f>
        <v/>
      </c>
      <c r="DO302" s="55">
        <f>$DO301+$DM302</f>
        <v/>
      </c>
      <c r="DP302" s="55">
        <f>SUMIFS(tblPlant[Milled_t],tblPlant[Date],$A302,tblPlant[Mill_Run_h],"&lt;&gt;")</f>
        <v/>
      </c>
      <c r="DQ302" s="55">
        <f>IF($B302=$B301,$DQ301,0)+$DP302</f>
        <v/>
      </c>
      <c r="DR302" s="55">
        <f>$DR301+$DP302</f>
        <v/>
      </c>
      <c r="DS302" s="56">
        <f>IFERROR(IF(($DG302)&gt;0,($CX302*cfg_TroyOz)/($DG302),""),"")</f>
        <v/>
      </c>
      <c r="DT302" s="56">
        <f>IFERROR(IF(($DH302)&gt;0,($CY302*cfg_TroyOz)/($DH302),""),"")</f>
        <v/>
      </c>
      <c r="DU302" s="56">
        <f>IFERROR(IF(($DI302)&gt;0,($CZ302*cfg_TroyOz)/($DI302),""),"")</f>
        <v/>
      </c>
      <c r="DV302" s="56">
        <f>IFERROR(IF(($DJ302)&gt;0,($DA302*cfg_TroyOz)/($DJ302),""),"")</f>
        <v/>
      </c>
      <c r="DW302" s="56">
        <f>IFERROR(IF(($DK302)&gt;0,($DB302*cfg_TroyOz)/($DK302),""),"")</f>
        <v/>
      </c>
      <c r="DX302" s="56">
        <f>IFERROR(IF(($DL302)&gt;0,($DC302*cfg_TroyOz)/($DL302),""),"")</f>
        <v/>
      </c>
      <c r="DY302" s="67">
        <f>IFERROR(IF(($DM302)&gt;0,($DD302)/($DM302),""),"")</f>
        <v/>
      </c>
      <c r="DZ302" s="67">
        <f>IFERROR(IF(($DN302)&gt;0,($DE302)/($DN302),""),"")</f>
        <v/>
      </c>
      <c r="EA302" s="67">
        <f>IFERROR(IF(($DO302)&gt;0,($DF302)/($DO302),""),"")</f>
        <v/>
      </c>
      <c r="EB302" s="55">
        <f>SUMIFS(tblPlant[Gravity_Gold_oz],tblPlant[Date],$A302)</f>
        <v/>
      </c>
      <c r="EC302" s="55">
        <f>IF($B302=$B301,$EC301,0)+$EB302</f>
        <v/>
      </c>
      <c r="ED302" s="55">
        <f>$ED301+$EB302</f>
        <v/>
      </c>
      <c r="EE302" s="67">
        <f>IFERROR(IF(($DD302)&gt;0,($EB302)/($DD302),""),"")</f>
        <v/>
      </c>
      <c r="EF302" s="67">
        <f>IFERROR(IF(($DE302)&gt;0,($EC302)/($DE302),""),"")</f>
        <v/>
      </c>
      <c r="EG302" s="67">
        <f>IFERROR(IF(($DF302)&gt;0,($ED302)/($DF302),""),"")</f>
        <v/>
      </c>
      <c r="EH302" s="55">
        <f>SUMIFS(tblPlant[Gold_Poured_oz],tblPlant[Date],$A302)</f>
        <v/>
      </c>
      <c r="EI302" s="55">
        <f>IF($B302=$B301,$EI301,0)+$EH302</f>
        <v/>
      </c>
      <c r="EJ302" s="55">
        <f>$EJ301+$EH302</f>
        <v/>
      </c>
      <c r="EK302" s="57">
        <f>SUMIFS(tblPlant[Mill_Run_h],tblPlant[Date],$A302)</f>
        <v/>
      </c>
      <c r="EL302" s="57">
        <f>IF($B302=$B301,$EL301,0)+$EK302</f>
        <v/>
      </c>
      <c r="EM302" s="57">
        <f>$EM301+$EK302</f>
        <v/>
      </c>
      <c r="EN302" s="57">
        <f>SUMIFS(tblPlant[Mill_Planned_Maint_h],tblPlant[Date],$A302)</f>
        <v/>
      </c>
      <c r="EO302" s="57">
        <f>IF($B302=$B301,$EO301,0)+$EN302</f>
        <v/>
      </c>
      <c r="EP302" s="57">
        <f>$EP301+$EN302</f>
        <v/>
      </c>
      <c r="EQ302" s="57">
        <f>SUMIFS(tblPlant[Mill_Unplanned_Down_h],tblPlant[Date],$A302)</f>
        <v/>
      </c>
      <c r="ER302" s="57">
        <f>IF($B302=$B301,$ER301,0)+$EQ302</f>
        <v/>
      </c>
      <c r="ES302" s="57">
        <f>$ES301+$EQ302</f>
        <v/>
      </c>
      <c r="ET302" s="57">
        <f>IF(COUNTIFS(tblPlant[Date],$A302,tblPlant[Mill_Run_h],"&lt;&gt;")+COUNTIFS(tblPlant[Date],$A302,tblPlant[Mill_Planned_Maint_h],"&lt;&gt;")+COUNTIFS(tblPlant[Date],$A302,tblPlant[Mill_Unplanned_Down_h],"&lt;&gt;")&gt;0,cfg_HoursPerDay,0)</f>
        <v/>
      </c>
      <c r="EU302" s="57">
        <f>IF($B302=$B301,$EU301,0)+$ET302</f>
        <v/>
      </c>
      <c r="EV302" s="57">
        <f>$EV301+$ET302</f>
        <v/>
      </c>
      <c r="EW302" s="57">
        <f>SUMIFS(tblPlant[Crusher_Run_h],tblPlant[Date],$A302)</f>
        <v/>
      </c>
      <c r="EX302" s="57">
        <f>IF($B302=$B301,$EX301,0)+$EW302</f>
        <v/>
      </c>
      <c r="EY302" s="57">
        <f>$EY301+$EW302</f>
        <v/>
      </c>
      <c r="EZ302" s="55">
        <f>IFERROR(IF(($EK302)&gt;0,($DP302)/($EK302),""),"")</f>
        <v/>
      </c>
      <c r="FA302" s="55">
        <f>IFERROR(IF(($EL302)&gt;0,($DQ302)/($EL302),""),"")</f>
        <v/>
      </c>
      <c r="FB302" s="55">
        <f>IFERROR(IF(($EM302)&gt;0,($DR302)/($EM302),""),"")</f>
        <v/>
      </c>
      <c r="FC302" s="67">
        <f>IFERROR(IF(($ET302)&gt;0,($ET302-$EN302-$EQ302)/($ET302),""),"")</f>
        <v/>
      </c>
      <c r="FD302" s="67">
        <f>IFERROR(IF(($EU302)&gt;0,($EU302-$EO302-$ER302)/($EU302),""),"")</f>
        <v/>
      </c>
      <c r="FE302" s="67">
        <f>IFERROR(IF(($EV302)&gt;0,($EV302-$EP302-$ES302)/($EV302),""),"")</f>
        <v/>
      </c>
      <c r="FF302" s="67">
        <f>IFERROR(IF(($ET302-$EN302-$EQ302)&gt;0,($EK302)/($ET302-$EN302-$EQ302),""),"")</f>
        <v/>
      </c>
      <c r="FG302" s="67">
        <f>IFERROR(IF(($EU302-$EO302-$ER302)&gt;0,($EL302)/($EU302-$EO302-$ER302),""),"")</f>
        <v/>
      </c>
      <c r="FH302" s="67">
        <f>IFERROR(IF(($EV302-$EP302-$ES302)&gt;0,($EM302)/($EV302-$EP302-$ES302),""),"")</f>
        <v/>
      </c>
      <c r="FI302" s="55">
        <f>SUMIFS(tblPlant[Cyanide_kg],tblPlant[Date],$A302)</f>
        <v/>
      </c>
      <c r="FJ302" s="55">
        <f>IF($B302=$B301,$FJ301,0)+$FI302</f>
        <v/>
      </c>
      <c r="FK302" s="55">
        <f>$FK301+$FI302</f>
        <v/>
      </c>
      <c r="FL302" s="55">
        <f>SUMIFS(tblPlant[Lime_kg],tblPlant[Date],$A302)</f>
        <v/>
      </c>
      <c r="FM302" s="55">
        <f>IF($B302=$B301,$FM301,0)+$FL302</f>
        <v/>
      </c>
      <c r="FN302" s="55">
        <f>$FN301+$FL302</f>
        <v/>
      </c>
      <c r="FO302" s="55">
        <f>SUMIFS(tblPlant[Grinding_Media_kg],tblPlant[Date],$A302)</f>
        <v/>
      </c>
      <c r="FP302" s="55">
        <f>IF($B302=$B301,$FP301,0)+$FO302</f>
        <v/>
      </c>
      <c r="FQ302" s="55">
        <f>$FQ301+$FO302</f>
        <v/>
      </c>
      <c r="FR302" s="55">
        <f>SUMIFS(tblPlant[Power_kWh],tblPlant[Date],$A302)</f>
        <v/>
      </c>
      <c r="FS302" s="55">
        <f>IF($B302=$B301,$FS301,0)+$FR302</f>
        <v/>
      </c>
      <c r="FT302" s="55">
        <f>$FT301+$FR302</f>
        <v/>
      </c>
      <c r="FU302" s="55">
        <f>SUMIFS(tblPlant[Raw_Water_m3],tblPlant[Date],$A302)</f>
        <v/>
      </c>
      <c r="FV302" s="55">
        <f>IF($B302=$B301,$FV301,0)+$FU302</f>
        <v/>
      </c>
      <c r="FW302" s="55">
        <f>$FW301+$FU302</f>
        <v/>
      </c>
      <c r="FX302" s="56">
        <f>IFERROR(IF(($CU302)&gt;0,($FI302)/($CU302),""),"")</f>
        <v/>
      </c>
      <c r="FY302" s="56">
        <f>IFERROR(IF(($CV302)&gt;0,($FJ302)/($CV302),""),"")</f>
        <v/>
      </c>
      <c r="FZ302" s="56">
        <f>IFERROR(IF(($CW302)&gt;0,($FK302)/($CW302),""),"")</f>
        <v/>
      </c>
      <c r="GA302" s="56">
        <f>IFERROR(IF(($CU302)&gt;0,($FL302)/($CU302),""),"")</f>
        <v/>
      </c>
      <c r="GB302" s="56">
        <f>IFERROR(IF(($CV302)&gt;0,($FM302)/($CV302),""),"")</f>
        <v/>
      </c>
      <c r="GC302" s="56">
        <f>IFERROR(IF(($CW302)&gt;0,($FN302)/($CW302),""),"")</f>
        <v/>
      </c>
      <c r="GD302" s="56">
        <f>IFERROR(IF(($CU302)&gt;0,($FO302)/($CU302),""),"")</f>
        <v/>
      </c>
      <c r="GE302" s="56">
        <f>IFERROR(IF(($CV302)&gt;0,($FP302)/($CV302),""),"")</f>
        <v/>
      </c>
      <c r="GF302" s="56">
        <f>IFERROR(IF(($CW302)&gt;0,($FQ302)/($CW302),""),"")</f>
        <v/>
      </c>
      <c r="GG302" s="79">
        <f>IFERROR(IF(($CU302)&gt;0,($FR302)/($CU302),""),"")</f>
        <v/>
      </c>
      <c r="GH302" s="79">
        <f>IFERROR(IF(($CV302)&gt;0,($FS302)/($CV302),""),"")</f>
        <v/>
      </c>
      <c r="GI302" s="79">
        <f>IFERROR(IF(($CW302)&gt;0,($FT302)/($CW302),""),"")</f>
        <v/>
      </c>
      <c r="GJ302" s="56">
        <f>IFERROR(IF(($CU302)&gt;0,($FU302)/($CU302),""),"")</f>
        <v/>
      </c>
      <c r="GK302" s="56">
        <f>IFERROR(IF(($CV302)&gt;0,($FV302)/($CV302),""),"")</f>
        <v/>
      </c>
      <c r="GL302" s="56">
        <f>IFERROR(IF(($CW302)&gt;0,($FW302)/($CW302),""),"")</f>
        <v/>
      </c>
      <c r="GM302" s="55">
        <f>IF(SUMIFS(tblPlant[GIC_oz],tblPlant[Date],$A302)&gt;0,SUMIFS(tblPlant[GIC_oz],tblPlant[Date],$A302),"")</f>
        <v/>
      </c>
      <c r="GN302" s="55">
        <f>SUMIFS(tblGold[Gold_oz],tblGold[Date],$A302,tblGold[Type],"Shipment")</f>
        <v/>
      </c>
      <c r="GO302" s="55">
        <f>IF($B302=$B301,$GO301,0)+$GN302</f>
        <v/>
      </c>
      <c r="GP302" s="55">
        <f>$GP301+$GN302</f>
        <v/>
      </c>
      <c r="GQ302" s="55">
        <f>SUMIFS(tblGold[Gold_oz],tblGold[Date],$A302,tblGold[Type],"Sale")</f>
        <v/>
      </c>
      <c r="GR302" s="55">
        <f>IF($B302=$B301,$GR301,0)+$GQ302</f>
        <v/>
      </c>
      <c r="GS302" s="55">
        <f>$GS301+$GQ302</f>
        <v/>
      </c>
      <c r="GT302" s="55">
        <f>SUMIFS(tblGold[Dore_kg],tblGold[Date],$A302,tblGold[Type],"Shipment")</f>
        <v/>
      </c>
      <c r="GU302" s="55">
        <f>IF($B302=$B301,$GU301,0)+$GT302</f>
        <v/>
      </c>
      <c r="GV302" s="55">
        <f>$GV301+$GT302</f>
        <v/>
      </c>
      <c r="GW302" s="57">
        <f>SUMIFS(tblSafety[Hours_Total],tblSafety[Date],$A302)</f>
        <v/>
      </c>
      <c r="GX302" s="57">
        <f>IF($B302=$B301,$GX301,0)+$GW302</f>
        <v/>
      </c>
      <c r="GY302" s="57">
        <f>$GY301+$GW302</f>
        <v/>
      </c>
      <c r="GZ302" s="62">
        <f>SUMIFS(tblSafety[Fatality],tblSafety[Date],$A302)</f>
        <v/>
      </c>
      <c r="HA302" s="62">
        <f>IF($B302=$B301,$HA301,0)+$GZ302</f>
        <v/>
      </c>
      <c r="HB302" s="62">
        <f>$HB301+$GZ302</f>
        <v/>
      </c>
      <c r="HC302" s="62">
        <f>SUMIFS(tblSafety[LTI],tblSafety[Date],$A302)</f>
        <v/>
      </c>
      <c r="HD302" s="62">
        <f>IF($B302=$B301,$HD301,0)+$HC302</f>
        <v/>
      </c>
      <c r="HE302" s="62">
        <f>$HE301+$HC302</f>
        <v/>
      </c>
      <c r="HF302" s="62">
        <f>SUMIFS(tblSafety[RWI],tblSafety[Date],$A302)</f>
        <v/>
      </c>
      <c r="HG302" s="62">
        <f>IF($B302=$B301,$HG301,0)+$HF302</f>
        <v/>
      </c>
      <c r="HH302" s="62">
        <f>$HH301+$HF302</f>
        <v/>
      </c>
      <c r="HI302" s="62">
        <f>SUMIFS(tblSafety[MTI],tblSafety[Date],$A302)</f>
        <v/>
      </c>
      <c r="HJ302" s="62">
        <f>IF($B302=$B301,$HJ301,0)+$HI302</f>
        <v/>
      </c>
      <c r="HK302" s="62">
        <f>$HK301+$HI302</f>
        <v/>
      </c>
      <c r="HL302" s="62">
        <f>SUMIFS(tblSafety[FAI],tblSafety[Date],$A302)</f>
        <v/>
      </c>
      <c r="HM302" s="62">
        <f>IF($B302=$B301,$HM301,0)+$HL302</f>
        <v/>
      </c>
      <c r="HN302" s="62">
        <f>$HN301+$HL302</f>
        <v/>
      </c>
      <c r="HO302" s="62">
        <f>SUMIFS(tblSafety[Recordables],tblSafety[Date],$A302)</f>
        <v/>
      </c>
      <c r="HP302" s="62">
        <f>IF($B302=$B301,$HP301,0)+$HO302</f>
        <v/>
      </c>
      <c r="HQ302" s="62">
        <f>$HQ301+$HO302</f>
        <v/>
      </c>
      <c r="HR302" s="62">
        <f>SUMIFS(tblSafety[Near_Miss],tblSafety[Date],$A302)</f>
        <v/>
      </c>
      <c r="HS302" s="62">
        <f>IF($B302=$B301,$HS301,0)+$HR302</f>
        <v/>
      </c>
      <c r="HT302" s="62">
        <f>$HT301+$HR302</f>
        <v/>
      </c>
      <c r="HU302" s="62">
        <f>SUMIFS(tblSafety[Hazard_Reports],tblSafety[Date],$A302)</f>
        <v/>
      </c>
      <c r="HV302" s="62">
        <f>IF($B302=$B301,$HV301,0)+$HU302</f>
        <v/>
      </c>
      <c r="HW302" s="62">
        <f>$HW301+$HU302</f>
        <v/>
      </c>
      <c r="HX302" s="62">
        <f>SUMIFS(tblSafety[HPI],tblSafety[Date],$A302)</f>
        <v/>
      </c>
      <c r="HY302" s="62">
        <f>IF($B302=$B301,$HY301,0)+$HX302</f>
        <v/>
      </c>
      <c r="HZ302" s="62">
        <f>$HZ301+$HX302</f>
        <v/>
      </c>
      <c r="IA302" s="62">
        <f>SUMIFS(tblSafety[Env_Incidents],tblSafety[Date],$A302)</f>
        <v/>
      </c>
      <c r="IB302" s="62">
        <f>IF($B302=$B301,$IB301,0)+$IA302</f>
        <v/>
      </c>
      <c r="IC302" s="62">
        <f>$IC301+$IA302</f>
        <v/>
      </c>
      <c r="ID302" s="62">
        <f>SUMIFS(tblSafety[Community_Incidents],tblSafety[Date],$A302)</f>
        <v/>
      </c>
      <c r="IE302" s="62">
        <f>IF($B302=$B301,$IE301,0)+$ID302</f>
        <v/>
      </c>
      <c r="IF302" s="62">
        <f>$IF301+$ID302</f>
        <v/>
      </c>
      <c r="IG302" s="62">
        <f>SUMIFS(tblSafety[Vehicle_Incidents],tblSafety[Date],$A302)</f>
        <v/>
      </c>
      <c r="IH302" s="62">
        <f>IF($B302=$B301,$IH301,0)+$IG302</f>
        <v/>
      </c>
      <c r="II302" s="62">
        <f>$II301+$IG302</f>
        <v/>
      </c>
      <c r="IJ302" s="62">
        <f>SUMIFS(tblSafety[Toolbox_Talks],tblSafety[Date],$A302)</f>
        <v/>
      </c>
      <c r="IK302" s="62">
        <f>IF($B302=$B301,$IK301,0)+$IJ302</f>
        <v/>
      </c>
      <c r="IL302" s="62">
        <f>$IL301+$IJ302</f>
        <v/>
      </c>
      <c r="IM302" s="62">
        <f>SUMIFS(tblSafety[Inspections],tblSafety[Date],$A302)</f>
        <v/>
      </c>
      <c r="IN302" s="62">
        <f>IF($B302=$B301,$IN301,0)+$IM302</f>
        <v/>
      </c>
      <c r="IO302" s="62">
        <f>$IO301+$IM302</f>
        <v/>
      </c>
      <c r="IP302" s="56">
        <f>IFERROR((SUMIFS(tblSafety[Recordables],tblSafety[Date],"&gt;="&amp;EDATE($E302,-12),tblSafety[Date],"&lt;="&amp;$A302)+SUMIFS(tblSafetyHistory[Recordables],tblSafetyHistory[Month],"&gt;="&amp;EDATE($E302,-12),tblSafetyHistory[Month],"&lt;"&amp;$E302,tblSafetyHistory[Use],1))/(SUMIFS(tblSafety[Hours_Total],tblSafety[Date],"&gt;="&amp;EDATE($E302,-12),tblSafety[Date],"&lt;="&amp;$A302)+SUMIFS(tblSafetyHistory[Hours_Total],tblSafetyHistory[Month],"&gt;="&amp;EDATE($E302,-12),tblSafetyHistory[Month],"&lt;"&amp;$E302,tblSafetyHistory[Use],1))*cfg_RateBasisHours,"")</f>
        <v/>
      </c>
      <c r="IQ302" s="56">
        <f>IFERROR((SUMIFS(tblSafety[LTI],tblSafety[Date],"&gt;="&amp;EDATE($E302,-12),tblSafety[Date],"&lt;="&amp;$A302)+SUMIFS(tblSafetyHistory[LTI],tblSafetyHistory[Month],"&gt;="&amp;EDATE($E302,-12),tblSafetyHistory[Month],"&lt;"&amp;$E302,tblSafetyHistory[Use],1))/(SUMIFS(tblSafety[Hours_Total],tblSafety[Date],"&gt;="&amp;EDATE($E302,-12),tblSafety[Date],"&lt;="&amp;$A302)+SUMIFS(tblSafetyHistory[Hours_Total],tblSafetyHistory[Month],"&gt;="&amp;EDATE($E302,-12),tblSafetyHistory[Month],"&lt;"&amp;$E302,tblSafetyHistory[Use],1))*cfg_RateBasisHours,"")</f>
        <v/>
      </c>
      <c r="IR302" s="62">
        <f>IF(MAX(N(cfg_PriorLTIDate),_xlfn.MAXIFS(tblSafety[Date],tblSafety[LTI],"&gt;0",tblSafety[Date],"&lt;="&amp;$A302))=0,"",$A302-MAX(N(cfg_PriorLTIDate),_xlfn.MAXIFS(tblSafety[Date],tblSafety[LTI],"&gt;0",tblSafety[Date],"&lt;="&amp;$A302)))</f>
        <v/>
      </c>
      <c r="IS302" s="55">
        <f>SUMIFS(tblBudget[Ore_Mined_t],tblBudget[Month],$E302)</f>
        <v/>
      </c>
      <c r="IT302" s="55">
        <f>$IS302*$C302/$D302</f>
        <v/>
      </c>
      <c r="IU302" s="55">
        <f>SUMIFS(tblBudget[Ore_Mined_t],tblBudget[Month],"&lt;"&amp;$E302)+$IT302</f>
        <v/>
      </c>
      <c r="IV302" s="55">
        <f>SUMIFS(tblBudget[Ore_oz],tblBudget[Month],$E302)</f>
        <v/>
      </c>
      <c r="IW302" s="55">
        <f>$IV302*$C302/$D302</f>
        <v/>
      </c>
      <c r="IX302" s="55">
        <f>SUMIFS(tblBudget[Ore_oz],tblBudget[Month],"&lt;"&amp;$E302)+$IW302</f>
        <v/>
      </c>
      <c r="IY302" s="55">
        <f>SUMIFS(tblBudget[Ore_Mined_t],tblBudget[Month],$E302)</f>
        <v/>
      </c>
      <c r="IZ302" s="55">
        <f>$IY302*$C302/$D302</f>
        <v/>
      </c>
      <c r="JA302" s="55">
        <f>SUMIFS(tblBudget[Ore_Mined_t],tblBudget[Month],"&lt;"&amp;$E302)+$IZ302</f>
        <v/>
      </c>
      <c r="JB302" s="56">
        <f>IFERROR(IF(($IY302)&gt;0,($IV302*cfg_TroyOz)/($IY302),""),"")</f>
        <v/>
      </c>
      <c r="JC302" s="56">
        <f>IFERROR(IF(($IZ302)&gt;0,($IW302*cfg_TroyOz)/($IZ302),""),"")</f>
        <v/>
      </c>
      <c r="JD302" s="56">
        <f>IFERROR(IF(($JA302)&gt;0,($IX302*cfg_TroyOz)/($JA302),""),"")</f>
        <v/>
      </c>
      <c r="JE302" s="55">
        <f>SUMIFS(tblBudget[Waste_t],tblBudget[Month],$E302)</f>
        <v/>
      </c>
      <c r="JF302" s="55">
        <f>$JE302*$C302/$D302</f>
        <v/>
      </c>
      <c r="JG302" s="55">
        <f>SUMIFS(tblBudget[Waste_t],tblBudget[Month],"&lt;"&amp;$E302)+$JF302</f>
        <v/>
      </c>
      <c r="JH302" s="55">
        <f>SUMIFS(tblBudget[TMM_t],tblBudget[Month],$E302)</f>
        <v/>
      </c>
      <c r="JI302" s="55">
        <f>$JH302*$C302/$D302</f>
        <v/>
      </c>
      <c r="JJ302" s="55">
        <f>SUMIFS(tblBudget[TMM_t],tblBudget[Month],"&lt;"&amp;$E302)+$JI302</f>
        <v/>
      </c>
      <c r="JK302" s="56">
        <f>IFERROR(IF(($IS302)&gt;0,($JE302)/($IS302),""),"")</f>
        <v/>
      </c>
      <c r="JL302" s="56">
        <f>IFERROR(IF(($IT302)&gt;0,($JF302)/($IT302),""),"")</f>
        <v/>
      </c>
      <c r="JM302" s="56">
        <f>IFERROR(IF(($IU302)&gt;0,($JG302)/($IU302),""),"")</f>
        <v/>
      </c>
      <c r="JN302" s="55">
        <f>SUMIFS(tblBudget[Drill_m],tblBudget[Month],$E302)</f>
        <v/>
      </c>
      <c r="JO302" s="55">
        <f>$JN302*$C302/$D302</f>
        <v/>
      </c>
      <c r="JP302" s="55">
        <f>SUMIFS(tblBudget[Drill_m],tblBudget[Month],"&lt;"&amp;$E302)+$JO302</f>
        <v/>
      </c>
      <c r="JQ302" s="55">
        <f>SUMIFS(tblBudget[Diesel_L],tblBudget[Month],$E302)</f>
        <v/>
      </c>
      <c r="JR302" s="55">
        <f>$JQ302*$C302/$D302</f>
        <v/>
      </c>
      <c r="JS302" s="55">
        <f>SUMIFS(tblBudget[Diesel_L],tblBudget[Month],"&lt;"&amp;$E302)+$JR302</f>
        <v/>
      </c>
      <c r="JT302" s="55">
        <f>SUMIFS(tblBudget[Milled_t],tblBudget[Month],$E302)</f>
        <v/>
      </c>
      <c r="JU302" s="55">
        <f>$JT302*$C302/$D302</f>
        <v/>
      </c>
      <c r="JV302" s="55">
        <f>SUMIFS(tblBudget[Milled_t],tblBudget[Month],"&lt;"&amp;$E302)+$JU302</f>
        <v/>
      </c>
      <c r="JW302" s="55">
        <f>SUMIFS(tblBudget[Feed_oz],tblBudget[Month],$E302)</f>
        <v/>
      </c>
      <c r="JX302" s="55">
        <f>$JW302*$C302/$D302</f>
        <v/>
      </c>
      <c r="JY302" s="55">
        <f>SUMIFS(tblBudget[Feed_oz],tblBudget[Month],"&lt;"&amp;$E302)+$JX302</f>
        <v/>
      </c>
      <c r="JZ302" s="55">
        <f>SUMIFS(tblBudget[Recovered_oz],tblBudget[Month],$E302)</f>
        <v/>
      </c>
      <c r="KA302" s="55">
        <f>$JZ302*$C302/$D302</f>
        <v/>
      </c>
      <c r="KB302" s="55">
        <f>SUMIFS(tblBudget[Recovered_oz],tblBudget[Month],"&lt;"&amp;$E302)+$KA302</f>
        <v/>
      </c>
      <c r="KC302" s="55">
        <f>SUMIFS(tblBudget[Milled_t],tblBudget[Month],$E302)</f>
        <v/>
      </c>
      <c r="KD302" s="55">
        <f>$KC302*$C302/$D302</f>
        <v/>
      </c>
      <c r="KE302" s="55">
        <f>SUMIFS(tblBudget[Milled_t],tblBudget[Month],"&lt;"&amp;$E302)+$KD302</f>
        <v/>
      </c>
      <c r="KF302" s="55">
        <f>SUMIFS(tblBudget[Feed_oz],tblBudget[Month],$E302)</f>
        <v/>
      </c>
      <c r="KG302" s="55">
        <f>$KF302*$C302/$D302</f>
        <v/>
      </c>
      <c r="KH302" s="55">
        <f>SUMIFS(tblBudget[Feed_oz],tblBudget[Month],"&lt;"&amp;$E302)+$KG302</f>
        <v/>
      </c>
      <c r="KI302" s="56">
        <f>IFERROR(IF(($KC302)&gt;0,($JW302*cfg_TroyOz)/($KC302),""),"")</f>
        <v/>
      </c>
      <c r="KJ302" s="56">
        <f>IFERROR(IF(($KD302)&gt;0,($JX302*cfg_TroyOz)/($KD302),""),"")</f>
        <v/>
      </c>
      <c r="KK302" s="56">
        <f>IFERROR(IF(($KE302)&gt;0,($JY302*cfg_TroyOz)/($KE302),""),"")</f>
        <v/>
      </c>
      <c r="KL302" s="67">
        <f>IFERROR(IF(($KF302)&gt;0,($JZ302)/($KF302),""),"")</f>
        <v/>
      </c>
      <c r="KM302" s="67">
        <f>IFERROR(IF(($KG302)&gt;0,($KA302)/($KG302),""),"")</f>
        <v/>
      </c>
      <c r="KN302" s="67">
        <f>IFERROR(IF(($KH302)&gt;0,($KB302)/($KH302),""),"")</f>
        <v/>
      </c>
      <c r="KO302" s="55">
        <f>SUMIFS(tblBudget[Gold_Poured_oz],tblBudget[Month],$E302)</f>
        <v/>
      </c>
      <c r="KP302" s="55">
        <f>$KO302*$C302/$D302</f>
        <v/>
      </c>
      <c r="KQ302" s="55">
        <f>SUMIFS(tblBudget[Gold_Poured_oz],tblBudget[Month],"&lt;"&amp;$E302)+$KP302</f>
        <v/>
      </c>
      <c r="KR302" s="57">
        <f>SUMIFS(tblBudget[Hours_Worked],tblBudget[Month],$E302)</f>
        <v/>
      </c>
      <c r="KS302" s="57">
        <f>$KR302*$C302/$D302</f>
        <v/>
      </c>
      <c r="KT302" s="57">
        <f>SUMIFS(tblBudget[Hours_Worked],tblBudget[Month],"&lt;"&amp;$E302)+$KS302</f>
        <v/>
      </c>
    </row>
    <row r="303">
      <c r="A303" s="54" t="n">
        <v>46324</v>
      </c>
      <c r="B303">
        <f>MONTH($A303)</f>
        <v/>
      </c>
      <c r="C303">
        <f>DAY($A303)</f>
        <v/>
      </c>
      <c r="D303">
        <f>DAY(EOMONTH($A303,0))</f>
        <v/>
      </c>
      <c r="E303" s="54">
        <f>DATE(YEAR($A303),MONTH($A303),1)</f>
        <v/>
      </c>
      <c r="F303" s="55">
        <f>SUMIFS(tblMovement[Tonnes_t],tblMovement[Date],$A303,tblMovement[Is_Ore],1,tblMovement[Source_Type],"Pit")</f>
        <v/>
      </c>
      <c r="G303" s="55">
        <f>IF($B303=$B302,$G302,0)+$F303</f>
        <v/>
      </c>
      <c r="H303" s="55">
        <f>$H302+$F303</f>
        <v/>
      </c>
      <c r="I303" s="55">
        <f>SUMIFS(tblMovement[Ore_oz],tblMovement[Date],$A303,tblMovement[Source_Type],"Pit")</f>
        <v/>
      </c>
      <c r="J303" s="55">
        <f>IF($B303=$B302,$J302,0)+$I303</f>
        <v/>
      </c>
      <c r="K303" s="55">
        <f>$K302+$I303</f>
        <v/>
      </c>
      <c r="L303" s="55">
        <f>SUMIFS(tblMovement[Tonnes_t],tblMovement[Date],$A303,tblMovement[Is_Ore],1,tblMovement[Source_Type],"Pit",tblMovement[Grade_gpt],"&lt;&gt;")</f>
        <v/>
      </c>
      <c r="M303" s="55">
        <f>IF($B303=$B302,$M302,0)+$L303</f>
        <v/>
      </c>
      <c r="N303" s="55">
        <f>$N302+$L303</f>
        <v/>
      </c>
      <c r="O303" s="56">
        <f>IFERROR(IF(($L303)&gt;0,($I303*cfg_TroyOz)/($L303),""),"")</f>
        <v/>
      </c>
      <c r="P303" s="56">
        <f>IFERROR(IF(($M303)&gt;0,($J303*cfg_TroyOz)/($M303),""),"")</f>
        <v/>
      </c>
      <c r="Q303" s="56">
        <f>IFERROR(IF(($N303)&gt;0,($K303*cfg_TroyOz)/($N303),""),"")</f>
        <v/>
      </c>
      <c r="R303" s="55">
        <f>$F303-$L303</f>
        <v/>
      </c>
      <c r="S303" s="55">
        <f>IF($B303=$B302,$S302,0)+$R303</f>
        <v/>
      </c>
      <c r="T303" s="55">
        <f>$T302+$R303</f>
        <v/>
      </c>
      <c r="U303" s="55">
        <f>SUMIFS(tblMovement[Tonnes_t],tblMovement[Date],$A303,tblMovement[Is_Ore],0,tblMovement[Source_Type],"Pit")</f>
        <v/>
      </c>
      <c r="V303" s="55">
        <f>IF($B303=$B302,$V302,0)+$U303</f>
        <v/>
      </c>
      <c r="W303" s="55">
        <f>$W302+$U303</f>
        <v/>
      </c>
      <c r="X303" s="55">
        <f>$F303+$U303</f>
        <v/>
      </c>
      <c r="Y303" s="55">
        <f>IF($B303=$B302,$Y302,0)+$X303</f>
        <v/>
      </c>
      <c r="Z303" s="55">
        <f>$Z302+$X303</f>
        <v/>
      </c>
      <c r="AA303" s="56">
        <f>IFERROR(IF(($F303)&gt;0,($U303)/($F303),""),"")</f>
        <v/>
      </c>
      <c r="AB303" s="56">
        <f>IFERROR(IF(($G303)&gt;0,($V303)/($G303),""),"")</f>
        <v/>
      </c>
      <c r="AC303" s="56">
        <f>IFERROR(IF(($H303)&gt;0,($W303)/($H303),""),"")</f>
        <v/>
      </c>
      <c r="AD303" s="55">
        <f>SUMIFS(tblMovement[Tonnes_t],tblMovement[Date],$A303,tblMovement[Source_Type],"Stockpile")</f>
        <v/>
      </c>
      <c r="AE303" s="55">
        <f>IF($B303=$B302,$AE302,0)+$AD303</f>
        <v/>
      </c>
      <c r="AF303" s="55">
        <f>$AF302+$AD303</f>
        <v/>
      </c>
      <c r="AG303" s="55">
        <f>SUMIFS(tblMovement[Tonnes_t],tblMovement[Date],$A303)</f>
        <v/>
      </c>
      <c r="AH303" s="55">
        <f>IF($B303=$B302,$AH302,0)+$AG303</f>
        <v/>
      </c>
      <c r="AI303" s="55">
        <f>$AI302+$AG303</f>
        <v/>
      </c>
      <c r="AJ303" s="55">
        <f>$AG303-$X303-$AD303</f>
        <v/>
      </c>
      <c r="AK303" s="55">
        <f>IF($B303=$B302,$AK302,0)+$AJ303</f>
        <v/>
      </c>
      <c r="AL303" s="55">
        <f>$AL302+$AJ303</f>
        <v/>
      </c>
      <c r="AM303" s="55">
        <f>SUMIFS(tblMiningDaily[Drill_m],tblMiningDaily[Date],$A303)</f>
        <v/>
      </c>
      <c r="AN303" s="55">
        <f>IF($B303=$B302,$AN302,0)+$AM303</f>
        <v/>
      </c>
      <c r="AO303" s="55">
        <f>$AO302+$AM303</f>
        <v/>
      </c>
      <c r="AP303" s="55">
        <f>SUMIFS(tblMiningDaily[GC_Drill_m],tblMiningDaily[Date],$A303)</f>
        <v/>
      </c>
      <c r="AQ303" s="55">
        <f>IF($B303=$B302,$AQ302,0)+$AP303</f>
        <v/>
      </c>
      <c r="AR303" s="55">
        <f>$AR302+$AP303</f>
        <v/>
      </c>
      <c r="AS303" s="55">
        <f>SUMIFS(tblMiningDaily[Blast_t],tblMiningDaily[Date],$A303)</f>
        <v/>
      </c>
      <c r="AT303" s="55">
        <f>IF($B303=$B302,$AT302,0)+$AS303</f>
        <v/>
      </c>
      <c r="AU303" s="55">
        <f>$AU302+$AS303</f>
        <v/>
      </c>
      <c r="AV303" s="55">
        <f>SUMIFS(tblMiningDaily[Explosives_kg],tblMiningDaily[Date],$A303)</f>
        <v/>
      </c>
      <c r="AW303" s="55">
        <f>IF($B303=$B302,$AW302,0)+$AV303</f>
        <v/>
      </c>
      <c r="AX303" s="55">
        <f>$AX302+$AV303</f>
        <v/>
      </c>
      <c r="AY303" s="56">
        <f>IFERROR(IF(($AS303)&gt;0,($AV303)/($AS303),""),"")</f>
        <v/>
      </c>
      <c r="AZ303" s="56">
        <f>IFERROR(IF(($AT303)&gt;0,($AW303)/($AT303),""),"")</f>
        <v/>
      </c>
      <c r="BA303" s="56">
        <f>IFERROR(IF(($AU303)&gt;0,($AX303)/($AU303),""),"")</f>
        <v/>
      </c>
      <c r="BB303" s="55">
        <f>SUMIFS(tblMiningDaily[Diesel_L],tblMiningDaily[Date],$A303)</f>
        <v/>
      </c>
      <c r="BC303" s="55">
        <f>IF($B303=$B302,$BC302,0)+$BB303</f>
        <v/>
      </c>
      <c r="BD303" s="55">
        <f>$BD302+$BB303</f>
        <v/>
      </c>
      <c r="BE303" s="55">
        <f>SUMIFS(tblMiningDaily[Dewatering_m3],tblMiningDaily[Date],$A303)</f>
        <v/>
      </c>
      <c r="BF303" s="55">
        <f>IF($B303=$B302,$BF302,0)+$BE303</f>
        <v/>
      </c>
      <c r="BG303" s="55">
        <f>$BG302+$BE303</f>
        <v/>
      </c>
      <c r="BH303" s="57">
        <f>SUMIFS(tblFleet[Calendar_h],tblFleet[Date],$A303,tblFleet[Equipment_Class],"Excavator")</f>
        <v/>
      </c>
      <c r="BI303" s="57">
        <f>IF($B303=$B302,$BI302,0)+$BH303</f>
        <v/>
      </c>
      <c r="BJ303" s="57">
        <f>$BJ302+$BH303</f>
        <v/>
      </c>
      <c r="BK303" s="57">
        <f>SUMIFS(tblFleet[Available_h],tblFleet[Date],$A303,tblFleet[Equipment_Class],"Excavator")</f>
        <v/>
      </c>
      <c r="BL303" s="57">
        <f>IF($B303=$B302,$BL302,0)+$BK303</f>
        <v/>
      </c>
      <c r="BM303" s="57">
        <f>$BM302+$BK303</f>
        <v/>
      </c>
      <c r="BN303" s="57">
        <f>SUMIFS(tblFleet[Operating_h],tblFleet[Date],$A303,tblFleet[Equipment_Class],"Excavator")</f>
        <v/>
      </c>
      <c r="BO303" s="57">
        <f>IF($B303=$B302,$BO302,0)+$BN303</f>
        <v/>
      </c>
      <c r="BP303" s="57">
        <f>$BP302+$BN303</f>
        <v/>
      </c>
      <c r="BQ303" s="67">
        <f>IFERROR(IF(($BH303)&gt;0,($BK303)/($BH303),""),"")</f>
        <v/>
      </c>
      <c r="BR303" s="67">
        <f>IFERROR(IF(($BI303)&gt;0,($BL303)/($BI303),""),"")</f>
        <v/>
      </c>
      <c r="BS303" s="67">
        <f>IFERROR(IF(($BJ303)&gt;0,($BM303)/($BJ303),""),"")</f>
        <v/>
      </c>
      <c r="BT303" s="67">
        <f>IFERROR(IF(($BK303)&gt;0,($BN303)/($BK303),""),"")</f>
        <v/>
      </c>
      <c r="BU303" s="67">
        <f>IFERROR(IF(($BL303)&gt;0,($BO303)/($BL303),""),"")</f>
        <v/>
      </c>
      <c r="BV303" s="67">
        <f>IFERROR(IF(($BM303)&gt;0,($BP303)/($BM303),""),"")</f>
        <v/>
      </c>
      <c r="BW303" s="57">
        <f>SUMIFS(tblFleet[Calendar_h],tblFleet[Date],$A303,tblFleet[Equipment_Class],"Haul Truck")</f>
        <v/>
      </c>
      <c r="BX303" s="57">
        <f>IF($B303=$B302,$BX302,0)+$BW303</f>
        <v/>
      </c>
      <c r="BY303" s="57">
        <f>$BY302+$BW303</f>
        <v/>
      </c>
      <c r="BZ303" s="57">
        <f>SUMIFS(tblFleet[Available_h],tblFleet[Date],$A303,tblFleet[Equipment_Class],"Haul Truck")</f>
        <v/>
      </c>
      <c r="CA303" s="57">
        <f>IF($B303=$B302,$CA302,0)+$BZ303</f>
        <v/>
      </c>
      <c r="CB303" s="57">
        <f>$CB302+$BZ303</f>
        <v/>
      </c>
      <c r="CC303" s="57">
        <f>SUMIFS(tblFleet[Operating_h],tblFleet[Date],$A303,tblFleet[Equipment_Class],"Haul Truck")</f>
        <v/>
      </c>
      <c r="CD303" s="57">
        <f>IF($B303=$B302,$CD302,0)+$CC303</f>
        <v/>
      </c>
      <c r="CE303" s="57">
        <f>$CE302+$CC303</f>
        <v/>
      </c>
      <c r="CF303" s="67">
        <f>IFERROR(IF(($BW303)&gt;0,($BZ303)/($BW303),""),"")</f>
        <v/>
      </c>
      <c r="CG303" s="67">
        <f>IFERROR(IF(($BX303)&gt;0,($CA303)/($BX303),""),"")</f>
        <v/>
      </c>
      <c r="CH303" s="67">
        <f>IFERROR(IF(($BY303)&gt;0,($CB303)/($BY303),""),"")</f>
        <v/>
      </c>
      <c r="CI303" s="67">
        <f>IFERROR(IF(($BZ303)&gt;0,($CC303)/($BZ303),""),"")</f>
        <v/>
      </c>
      <c r="CJ303" s="67">
        <f>IFERROR(IF(($CA303)&gt;0,($CD303)/($CA303),""),"")</f>
        <v/>
      </c>
      <c r="CK303" s="67">
        <f>IFERROR(IF(($CB303)&gt;0,($CE303)/($CB303),""),"")</f>
        <v/>
      </c>
      <c r="CL303" s="55">
        <f>IFERROR(IF(($BN303)&gt;0,($X303+$AD303)/($BN303),""),"")</f>
        <v/>
      </c>
      <c r="CM303" s="55">
        <f>IFERROR(IF(($BO303)&gt;0,($Y303+$AE303)/($BO303),""),"")</f>
        <v/>
      </c>
      <c r="CN303" s="55">
        <f>IFERROR(IF(($BP303)&gt;0,($Z303+$AF303)/($BP303),""),"")</f>
        <v/>
      </c>
      <c r="CO303" s="55">
        <f>IFERROR(IF(($CC303)&gt;0,($X303+$AD303)/($CC303),""),"")</f>
        <v/>
      </c>
      <c r="CP303" s="55">
        <f>IFERROR(IF(($CD303)&gt;0,($Y303+$AE303)/($CD303),""),"")</f>
        <v/>
      </c>
      <c r="CQ303" s="55">
        <f>IFERROR(IF(($CE303)&gt;0,($Z303+$AF303)/($CE303),""),"")</f>
        <v/>
      </c>
      <c r="CR303" s="55">
        <f>SUMIFS(tblPlant[Crushed_t],tblPlant[Date],$A303)</f>
        <v/>
      </c>
      <c r="CS303" s="55">
        <f>IF($B303=$B302,$CS302,0)+$CR303</f>
        <v/>
      </c>
      <c r="CT303" s="55">
        <f>$CT302+$CR303</f>
        <v/>
      </c>
      <c r="CU303" s="55">
        <f>SUMIFS(tblPlant[Milled_t],tblPlant[Date],$A303)</f>
        <v/>
      </c>
      <c r="CV303" s="55">
        <f>IF($B303=$B302,$CV302,0)+$CU303</f>
        <v/>
      </c>
      <c r="CW303" s="55">
        <f>$CW302+$CU303</f>
        <v/>
      </c>
      <c r="CX303" s="55">
        <f>SUMIFS(tblPlant[Feed_oz],tblPlant[Date],$A303)</f>
        <v/>
      </c>
      <c r="CY303" s="55">
        <f>IF($B303=$B302,$CY302,0)+$CX303</f>
        <v/>
      </c>
      <c r="CZ303" s="55">
        <f>$CZ302+$CX303</f>
        <v/>
      </c>
      <c r="DA303" s="55">
        <f>SUMIFS(tblPlant[Tails_oz],tblPlant[Date],$A303)</f>
        <v/>
      </c>
      <c r="DB303" s="55">
        <f>IF($B303=$B302,$DB302,0)+$DA303</f>
        <v/>
      </c>
      <c r="DC303" s="55">
        <f>$DC302+$DA303</f>
        <v/>
      </c>
      <c r="DD303" s="55">
        <f>SUMIFS(tblPlant[Recovered_oz],tblPlant[Date],$A303)</f>
        <v/>
      </c>
      <c r="DE303" s="55">
        <f>IF($B303=$B302,$DE302,0)+$DD303</f>
        <v/>
      </c>
      <c r="DF303" s="55">
        <f>$DF302+$DD303</f>
        <v/>
      </c>
      <c r="DG303" s="55">
        <f>SUMIFS(tblPlant[Milled_t],tblPlant[Date],$A303,tblPlant[Head_Grade_gpt],"&lt;&gt;")</f>
        <v/>
      </c>
      <c r="DH303" s="55">
        <f>IF($B303=$B302,$DH302,0)+$DG303</f>
        <v/>
      </c>
      <c r="DI303" s="55">
        <f>$DI302+$DG303</f>
        <v/>
      </c>
      <c r="DJ303" s="55">
        <f>SUMIFS(tblPlant[Milled_t],tblPlant[Date],$A303,tblPlant[Tails_Grade_gpt],"&lt;&gt;")</f>
        <v/>
      </c>
      <c r="DK303" s="55">
        <f>IF($B303=$B302,$DK302,0)+$DJ303</f>
        <v/>
      </c>
      <c r="DL303" s="55">
        <f>$DL302+$DJ303</f>
        <v/>
      </c>
      <c r="DM303" s="55">
        <f>SUMIFS(tblPlant[Feed_oz],tblPlant[Date],$A303,tblPlant[Tails_Grade_gpt],"&lt;&gt;")</f>
        <v/>
      </c>
      <c r="DN303" s="55">
        <f>IF($B303=$B302,$DN302,0)+$DM303</f>
        <v/>
      </c>
      <c r="DO303" s="55">
        <f>$DO302+$DM303</f>
        <v/>
      </c>
      <c r="DP303" s="55">
        <f>SUMIFS(tblPlant[Milled_t],tblPlant[Date],$A303,tblPlant[Mill_Run_h],"&lt;&gt;")</f>
        <v/>
      </c>
      <c r="DQ303" s="55">
        <f>IF($B303=$B302,$DQ302,0)+$DP303</f>
        <v/>
      </c>
      <c r="DR303" s="55">
        <f>$DR302+$DP303</f>
        <v/>
      </c>
      <c r="DS303" s="56">
        <f>IFERROR(IF(($DG303)&gt;0,($CX303*cfg_TroyOz)/($DG303),""),"")</f>
        <v/>
      </c>
      <c r="DT303" s="56">
        <f>IFERROR(IF(($DH303)&gt;0,($CY303*cfg_TroyOz)/($DH303),""),"")</f>
        <v/>
      </c>
      <c r="DU303" s="56">
        <f>IFERROR(IF(($DI303)&gt;0,($CZ303*cfg_TroyOz)/($DI303),""),"")</f>
        <v/>
      </c>
      <c r="DV303" s="56">
        <f>IFERROR(IF(($DJ303)&gt;0,($DA303*cfg_TroyOz)/($DJ303),""),"")</f>
        <v/>
      </c>
      <c r="DW303" s="56">
        <f>IFERROR(IF(($DK303)&gt;0,($DB303*cfg_TroyOz)/($DK303),""),"")</f>
        <v/>
      </c>
      <c r="DX303" s="56">
        <f>IFERROR(IF(($DL303)&gt;0,($DC303*cfg_TroyOz)/($DL303),""),"")</f>
        <v/>
      </c>
      <c r="DY303" s="67">
        <f>IFERROR(IF(($DM303)&gt;0,($DD303)/($DM303),""),"")</f>
        <v/>
      </c>
      <c r="DZ303" s="67">
        <f>IFERROR(IF(($DN303)&gt;0,($DE303)/($DN303),""),"")</f>
        <v/>
      </c>
      <c r="EA303" s="67">
        <f>IFERROR(IF(($DO303)&gt;0,($DF303)/($DO303),""),"")</f>
        <v/>
      </c>
      <c r="EB303" s="55">
        <f>SUMIFS(tblPlant[Gravity_Gold_oz],tblPlant[Date],$A303)</f>
        <v/>
      </c>
      <c r="EC303" s="55">
        <f>IF($B303=$B302,$EC302,0)+$EB303</f>
        <v/>
      </c>
      <c r="ED303" s="55">
        <f>$ED302+$EB303</f>
        <v/>
      </c>
      <c r="EE303" s="67">
        <f>IFERROR(IF(($DD303)&gt;0,($EB303)/($DD303),""),"")</f>
        <v/>
      </c>
      <c r="EF303" s="67">
        <f>IFERROR(IF(($DE303)&gt;0,($EC303)/($DE303),""),"")</f>
        <v/>
      </c>
      <c r="EG303" s="67">
        <f>IFERROR(IF(($DF303)&gt;0,($ED303)/($DF303),""),"")</f>
        <v/>
      </c>
      <c r="EH303" s="55">
        <f>SUMIFS(tblPlant[Gold_Poured_oz],tblPlant[Date],$A303)</f>
        <v/>
      </c>
      <c r="EI303" s="55">
        <f>IF($B303=$B302,$EI302,0)+$EH303</f>
        <v/>
      </c>
      <c r="EJ303" s="55">
        <f>$EJ302+$EH303</f>
        <v/>
      </c>
      <c r="EK303" s="57">
        <f>SUMIFS(tblPlant[Mill_Run_h],tblPlant[Date],$A303)</f>
        <v/>
      </c>
      <c r="EL303" s="57">
        <f>IF($B303=$B302,$EL302,0)+$EK303</f>
        <v/>
      </c>
      <c r="EM303" s="57">
        <f>$EM302+$EK303</f>
        <v/>
      </c>
      <c r="EN303" s="57">
        <f>SUMIFS(tblPlant[Mill_Planned_Maint_h],tblPlant[Date],$A303)</f>
        <v/>
      </c>
      <c r="EO303" s="57">
        <f>IF($B303=$B302,$EO302,0)+$EN303</f>
        <v/>
      </c>
      <c r="EP303" s="57">
        <f>$EP302+$EN303</f>
        <v/>
      </c>
      <c r="EQ303" s="57">
        <f>SUMIFS(tblPlant[Mill_Unplanned_Down_h],tblPlant[Date],$A303)</f>
        <v/>
      </c>
      <c r="ER303" s="57">
        <f>IF($B303=$B302,$ER302,0)+$EQ303</f>
        <v/>
      </c>
      <c r="ES303" s="57">
        <f>$ES302+$EQ303</f>
        <v/>
      </c>
      <c r="ET303" s="57">
        <f>IF(COUNTIFS(tblPlant[Date],$A303,tblPlant[Mill_Run_h],"&lt;&gt;")+COUNTIFS(tblPlant[Date],$A303,tblPlant[Mill_Planned_Maint_h],"&lt;&gt;")+COUNTIFS(tblPlant[Date],$A303,tblPlant[Mill_Unplanned_Down_h],"&lt;&gt;")&gt;0,cfg_HoursPerDay,0)</f>
        <v/>
      </c>
      <c r="EU303" s="57">
        <f>IF($B303=$B302,$EU302,0)+$ET303</f>
        <v/>
      </c>
      <c r="EV303" s="57">
        <f>$EV302+$ET303</f>
        <v/>
      </c>
      <c r="EW303" s="57">
        <f>SUMIFS(tblPlant[Crusher_Run_h],tblPlant[Date],$A303)</f>
        <v/>
      </c>
      <c r="EX303" s="57">
        <f>IF($B303=$B302,$EX302,0)+$EW303</f>
        <v/>
      </c>
      <c r="EY303" s="57">
        <f>$EY302+$EW303</f>
        <v/>
      </c>
      <c r="EZ303" s="55">
        <f>IFERROR(IF(($EK303)&gt;0,($DP303)/($EK303),""),"")</f>
        <v/>
      </c>
      <c r="FA303" s="55">
        <f>IFERROR(IF(($EL303)&gt;0,($DQ303)/($EL303),""),"")</f>
        <v/>
      </c>
      <c r="FB303" s="55">
        <f>IFERROR(IF(($EM303)&gt;0,($DR303)/($EM303),""),"")</f>
        <v/>
      </c>
      <c r="FC303" s="67">
        <f>IFERROR(IF(($ET303)&gt;0,($ET303-$EN303-$EQ303)/($ET303),""),"")</f>
        <v/>
      </c>
      <c r="FD303" s="67">
        <f>IFERROR(IF(($EU303)&gt;0,($EU303-$EO303-$ER303)/($EU303),""),"")</f>
        <v/>
      </c>
      <c r="FE303" s="67">
        <f>IFERROR(IF(($EV303)&gt;0,($EV303-$EP303-$ES303)/($EV303),""),"")</f>
        <v/>
      </c>
      <c r="FF303" s="67">
        <f>IFERROR(IF(($ET303-$EN303-$EQ303)&gt;0,($EK303)/($ET303-$EN303-$EQ303),""),"")</f>
        <v/>
      </c>
      <c r="FG303" s="67">
        <f>IFERROR(IF(($EU303-$EO303-$ER303)&gt;0,($EL303)/($EU303-$EO303-$ER303),""),"")</f>
        <v/>
      </c>
      <c r="FH303" s="67">
        <f>IFERROR(IF(($EV303-$EP303-$ES303)&gt;0,($EM303)/($EV303-$EP303-$ES303),""),"")</f>
        <v/>
      </c>
      <c r="FI303" s="55">
        <f>SUMIFS(tblPlant[Cyanide_kg],tblPlant[Date],$A303)</f>
        <v/>
      </c>
      <c r="FJ303" s="55">
        <f>IF($B303=$B302,$FJ302,0)+$FI303</f>
        <v/>
      </c>
      <c r="FK303" s="55">
        <f>$FK302+$FI303</f>
        <v/>
      </c>
      <c r="FL303" s="55">
        <f>SUMIFS(tblPlant[Lime_kg],tblPlant[Date],$A303)</f>
        <v/>
      </c>
      <c r="FM303" s="55">
        <f>IF($B303=$B302,$FM302,0)+$FL303</f>
        <v/>
      </c>
      <c r="FN303" s="55">
        <f>$FN302+$FL303</f>
        <v/>
      </c>
      <c r="FO303" s="55">
        <f>SUMIFS(tblPlant[Grinding_Media_kg],tblPlant[Date],$A303)</f>
        <v/>
      </c>
      <c r="FP303" s="55">
        <f>IF($B303=$B302,$FP302,0)+$FO303</f>
        <v/>
      </c>
      <c r="FQ303" s="55">
        <f>$FQ302+$FO303</f>
        <v/>
      </c>
      <c r="FR303" s="55">
        <f>SUMIFS(tblPlant[Power_kWh],tblPlant[Date],$A303)</f>
        <v/>
      </c>
      <c r="FS303" s="55">
        <f>IF($B303=$B302,$FS302,0)+$FR303</f>
        <v/>
      </c>
      <c r="FT303" s="55">
        <f>$FT302+$FR303</f>
        <v/>
      </c>
      <c r="FU303" s="55">
        <f>SUMIFS(tblPlant[Raw_Water_m3],tblPlant[Date],$A303)</f>
        <v/>
      </c>
      <c r="FV303" s="55">
        <f>IF($B303=$B302,$FV302,0)+$FU303</f>
        <v/>
      </c>
      <c r="FW303" s="55">
        <f>$FW302+$FU303</f>
        <v/>
      </c>
      <c r="FX303" s="56">
        <f>IFERROR(IF(($CU303)&gt;0,($FI303)/($CU303),""),"")</f>
        <v/>
      </c>
      <c r="FY303" s="56">
        <f>IFERROR(IF(($CV303)&gt;0,($FJ303)/($CV303),""),"")</f>
        <v/>
      </c>
      <c r="FZ303" s="56">
        <f>IFERROR(IF(($CW303)&gt;0,($FK303)/($CW303),""),"")</f>
        <v/>
      </c>
      <c r="GA303" s="56">
        <f>IFERROR(IF(($CU303)&gt;0,($FL303)/($CU303),""),"")</f>
        <v/>
      </c>
      <c r="GB303" s="56">
        <f>IFERROR(IF(($CV303)&gt;0,($FM303)/($CV303),""),"")</f>
        <v/>
      </c>
      <c r="GC303" s="56">
        <f>IFERROR(IF(($CW303)&gt;0,($FN303)/($CW303),""),"")</f>
        <v/>
      </c>
      <c r="GD303" s="56">
        <f>IFERROR(IF(($CU303)&gt;0,($FO303)/($CU303),""),"")</f>
        <v/>
      </c>
      <c r="GE303" s="56">
        <f>IFERROR(IF(($CV303)&gt;0,($FP303)/($CV303),""),"")</f>
        <v/>
      </c>
      <c r="GF303" s="56">
        <f>IFERROR(IF(($CW303)&gt;0,($FQ303)/($CW303),""),"")</f>
        <v/>
      </c>
      <c r="GG303" s="79">
        <f>IFERROR(IF(($CU303)&gt;0,($FR303)/($CU303),""),"")</f>
        <v/>
      </c>
      <c r="GH303" s="79">
        <f>IFERROR(IF(($CV303)&gt;0,($FS303)/($CV303),""),"")</f>
        <v/>
      </c>
      <c r="GI303" s="79">
        <f>IFERROR(IF(($CW303)&gt;0,($FT303)/($CW303),""),"")</f>
        <v/>
      </c>
      <c r="GJ303" s="56">
        <f>IFERROR(IF(($CU303)&gt;0,($FU303)/($CU303),""),"")</f>
        <v/>
      </c>
      <c r="GK303" s="56">
        <f>IFERROR(IF(($CV303)&gt;0,($FV303)/($CV303),""),"")</f>
        <v/>
      </c>
      <c r="GL303" s="56">
        <f>IFERROR(IF(($CW303)&gt;0,($FW303)/($CW303),""),"")</f>
        <v/>
      </c>
      <c r="GM303" s="55">
        <f>IF(SUMIFS(tblPlant[GIC_oz],tblPlant[Date],$A303)&gt;0,SUMIFS(tblPlant[GIC_oz],tblPlant[Date],$A303),"")</f>
        <v/>
      </c>
      <c r="GN303" s="55">
        <f>SUMIFS(tblGold[Gold_oz],tblGold[Date],$A303,tblGold[Type],"Shipment")</f>
        <v/>
      </c>
      <c r="GO303" s="55">
        <f>IF($B303=$B302,$GO302,0)+$GN303</f>
        <v/>
      </c>
      <c r="GP303" s="55">
        <f>$GP302+$GN303</f>
        <v/>
      </c>
      <c r="GQ303" s="55">
        <f>SUMIFS(tblGold[Gold_oz],tblGold[Date],$A303,tblGold[Type],"Sale")</f>
        <v/>
      </c>
      <c r="GR303" s="55">
        <f>IF($B303=$B302,$GR302,0)+$GQ303</f>
        <v/>
      </c>
      <c r="GS303" s="55">
        <f>$GS302+$GQ303</f>
        <v/>
      </c>
      <c r="GT303" s="55">
        <f>SUMIFS(tblGold[Dore_kg],tblGold[Date],$A303,tblGold[Type],"Shipment")</f>
        <v/>
      </c>
      <c r="GU303" s="55">
        <f>IF($B303=$B302,$GU302,0)+$GT303</f>
        <v/>
      </c>
      <c r="GV303" s="55">
        <f>$GV302+$GT303</f>
        <v/>
      </c>
      <c r="GW303" s="57">
        <f>SUMIFS(tblSafety[Hours_Total],tblSafety[Date],$A303)</f>
        <v/>
      </c>
      <c r="GX303" s="57">
        <f>IF($B303=$B302,$GX302,0)+$GW303</f>
        <v/>
      </c>
      <c r="GY303" s="57">
        <f>$GY302+$GW303</f>
        <v/>
      </c>
      <c r="GZ303" s="62">
        <f>SUMIFS(tblSafety[Fatality],tblSafety[Date],$A303)</f>
        <v/>
      </c>
      <c r="HA303" s="62">
        <f>IF($B303=$B302,$HA302,0)+$GZ303</f>
        <v/>
      </c>
      <c r="HB303" s="62">
        <f>$HB302+$GZ303</f>
        <v/>
      </c>
      <c r="HC303" s="62">
        <f>SUMIFS(tblSafety[LTI],tblSafety[Date],$A303)</f>
        <v/>
      </c>
      <c r="HD303" s="62">
        <f>IF($B303=$B302,$HD302,0)+$HC303</f>
        <v/>
      </c>
      <c r="HE303" s="62">
        <f>$HE302+$HC303</f>
        <v/>
      </c>
      <c r="HF303" s="62">
        <f>SUMIFS(tblSafety[RWI],tblSafety[Date],$A303)</f>
        <v/>
      </c>
      <c r="HG303" s="62">
        <f>IF($B303=$B302,$HG302,0)+$HF303</f>
        <v/>
      </c>
      <c r="HH303" s="62">
        <f>$HH302+$HF303</f>
        <v/>
      </c>
      <c r="HI303" s="62">
        <f>SUMIFS(tblSafety[MTI],tblSafety[Date],$A303)</f>
        <v/>
      </c>
      <c r="HJ303" s="62">
        <f>IF($B303=$B302,$HJ302,0)+$HI303</f>
        <v/>
      </c>
      <c r="HK303" s="62">
        <f>$HK302+$HI303</f>
        <v/>
      </c>
      <c r="HL303" s="62">
        <f>SUMIFS(tblSafety[FAI],tblSafety[Date],$A303)</f>
        <v/>
      </c>
      <c r="HM303" s="62">
        <f>IF($B303=$B302,$HM302,0)+$HL303</f>
        <v/>
      </c>
      <c r="HN303" s="62">
        <f>$HN302+$HL303</f>
        <v/>
      </c>
      <c r="HO303" s="62">
        <f>SUMIFS(tblSafety[Recordables],tblSafety[Date],$A303)</f>
        <v/>
      </c>
      <c r="HP303" s="62">
        <f>IF($B303=$B302,$HP302,0)+$HO303</f>
        <v/>
      </c>
      <c r="HQ303" s="62">
        <f>$HQ302+$HO303</f>
        <v/>
      </c>
      <c r="HR303" s="62">
        <f>SUMIFS(tblSafety[Near_Miss],tblSafety[Date],$A303)</f>
        <v/>
      </c>
      <c r="HS303" s="62">
        <f>IF($B303=$B302,$HS302,0)+$HR303</f>
        <v/>
      </c>
      <c r="HT303" s="62">
        <f>$HT302+$HR303</f>
        <v/>
      </c>
      <c r="HU303" s="62">
        <f>SUMIFS(tblSafety[Hazard_Reports],tblSafety[Date],$A303)</f>
        <v/>
      </c>
      <c r="HV303" s="62">
        <f>IF($B303=$B302,$HV302,0)+$HU303</f>
        <v/>
      </c>
      <c r="HW303" s="62">
        <f>$HW302+$HU303</f>
        <v/>
      </c>
      <c r="HX303" s="62">
        <f>SUMIFS(tblSafety[HPI],tblSafety[Date],$A303)</f>
        <v/>
      </c>
      <c r="HY303" s="62">
        <f>IF($B303=$B302,$HY302,0)+$HX303</f>
        <v/>
      </c>
      <c r="HZ303" s="62">
        <f>$HZ302+$HX303</f>
        <v/>
      </c>
      <c r="IA303" s="62">
        <f>SUMIFS(tblSafety[Env_Incidents],tblSafety[Date],$A303)</f>
        <v/>
      </c>
      <c r="IB303" s="62">
        <f>IF($B303=$B302,$IB302,0)+$IA303</f>
        <v/>
      </c>
      <c r="IC303" s="62">
        <f>$IC302+$IA303</f>
        <v/>
      </c>
      <c r="ID303" s="62">
        <f>SUMIFS(tblSafety[Community_Incidents],tblSafety[Date],$A303)</f>
        <v/>
      </c>
      <c r="IE303" s="62">
        <f>IF($B303=$B302,$IE302,0)+$ID303</f>
        <v/>
      </c>
      <c r="IF303" s="62">
        <f>$IF302+$ID303</f>
        <v/>
      </c>
      <c r="IG303" s="62">
        <f>SUMIFS(tblSafety[Vehicle_Incidents],tblSafety[Date],$A303)</f>
        <v/>
      </c>
      <c r="IH303" s="62">
        <f>IF($B303=$B302,$IH302,0)+$IG303</f>
        <v/>
      </c>
      <c r="II303" s="62">
        <f>$II302+$IG303</f>
        <v/>
      </c>
      <c r="IJ303" s="62">
        <f>SUMIFS(tblSafety[Toolbox_Talks],tblSafety[Date],$A303)</f>
        <v/>
      </c>
      <c r="IK303" s="62">
        <f>IF($B303=$B302,$IK302,0)+$IJ303</f>
        <v/>
      </c>
      <c r="IL303" s="62">
        <f>$IL302+$IJ303</f>
        <v/>
      </c>
      <c r="IM303" s="62">
        <f>SUMIFS(tblSafety[Inspections],tblSafety[Date],$A303)</f>
        <v/>
      </c>
      <c r="IN303" s="62">
        <f>IF($B303=$B302,$IN302,0)+$IM303</f>
        <v/>
      </c>
      <c r="IO303" s="62">
        <f>$IO302+$IM303</f>
        <v/>
      </c>
      <c r="IP303" s="56">
        <f>IFERROR((SUMIFS(tblSafety[Recordables],tblSafety[Date],"&gt;="&amp;EDATE($E303,-12),tblSafety[Date],"&lt;="&amp;$A303)+SUMIFS(tblSafetyHistory[Recordables],tblSafetyHistory[Month],"&gt;="&amp;EDATE($E303,-12),tblSafetyHistory[Month],"&lt;"&amp;$E303,tblSafetyHistory[Use],1))/(SUMIFS(tblSafety[Hours_Total],tblSafety[Date],"&gt;="&amp;EDATE($E303,-12),tblSafety[Date],"&lt;="&amp;$A303)+SUMIFS(tblSafetyHistory[Hours_Total],tblSafetyHistory[Month],"&gt;="&amp;EDATE($E303,-12),tblSafetyHistory[Month],"&lt;"&amp;$E303,tblSafetyHistory[Use],1))*cfg_RateBasisHours,"")</f>
        <v/>
      </c>
      <c r="IQ303" s="56">
        <f>IFERROR((SUMIFS(tblSafety[LTI],tblSafety[Date],"&gt;="&amp;EDATE($E303,-12),tblSafety[Date],"&lt;="&amp;$A303)+SUMIFS(tblSafetyHistory[LTI],tblSafetyHistory[Month],"&gt;="&amp;EDATE($E303,-12),tblSafetyHistory[Month],"&lt;"&amp;$E303,tblSafetyHistory[Use],1))/(SUMIFS(tblSafety[Hours_Total],tblSafety[Date],"&gt;="&amp;EDATE($E303,-12),tblSafety[Date],"&lt;="&amp;$A303)+SUMIFS(tblSafetyHistory[Hours_Total],tblSafetyHistory[Month],"&gt;="&amp;EDATE($E303,-12),tblSafetyHistory[Month],"&lt;"&amp;$E303,tblSafetyHistory[Use],1))*cfg_RateBasisHours,"")</f>
        <v/>
      </c>
      <c r="IR303" s="62">
        <f>IF(MAX(N(cfg_PriorLTIDate),_xlfn.MAXIFS(tblSafety[Date],tblSafety[LTI],"&gt;0",tblSafety[Date],"&lt;="&amp;$A303))=0,"",$A303-MAX(N(cfg_PriorLTIDate),_xlfn.MAXIFS(tblSafety[Date],tblSafety[LTI],"&gt;0",tblSafety[Date],"&lt;="&amp;$A303)))</f>
        <v/>
      </c>
      <c r="IS303" s="55">
        <f>SUMIFS(tblBudget[Ore_Mined_t],tblBudget[Month],$E303)</f>
        <v/>
      </c>
      <c r="IT303" s="55">
        <f>$IS303*$C303/$D303</f>
        <v/>
      </c>
      <c r="IU303" s="55">
        <f>SUMIFS(tblBudget[Ore_Mined_t],tblBudget[Month],"&lt;"&amp;$E303)+$IT303</f>
        <v/>
      </c>
      <c r="IV303" s="55">
        <f>SUMIFS(tblBudget[Ore_oz],tblBudget[Month],$E303)</f>
        <v/>
      </c>
      <c r="IW303" s="55">
        <f>$IV303*$C303/$D303</f>
        <v/>
      </c>
      <c r="IX303" s="55">
        <f>SUMIFS(tblBudget[Ore_oz],tblBudget[Month],"&lt;"&amp;$E303)+$IW303</f>
        <v/>
      </c>
      <c r="IY303" s="55">
        <f>SUMIFS(tblBudget[Ore_Mined_t],tblBudget[Month],$E303)</f>
        <v/>
      </c>
      <c r="IZ303" s="55">
        <f>$IY303*$C303/$D303</f>
        <v/>
      </c>
      <c r="JA303" s="55">
        <f>SUMIFS(tblBudget[Ore_Mined_t],tblBudget[Month],"&lt;"&amp;$E303)+$IZ303</f>
        <v/>
      </c>
      <c r="JB303" s="56">
        <f>IFERROR(IF(($IY303)&gt;0,($IV303*cfg_TroyOz)/($IY303),""),"")</f>
        <v/>
      </c>
      <c r="JC303" s="56">
        <f>IFERROR(IF(($IZ303)&gt;0,($IW303*cfg_TroyOz)/($IZ303),""),"")</f>
        <v/>
      </c>
      <c r="JD303" s="56">
        <f>IFERROR(IF(($JA303)&gt;0,($IX303*cfg_TroyOz)/($JA303),""),"")</f>
        <v/>
      </c>
      <c r="JE303" s="55">
        <f>SUMIFS(tblBudget[Waste_t],tblBudget[Month],$E303)</f>
        <v/>
      </c>
      <c r="JF303" s="55">
        <f>$JE303*$C303/$D303</f>
        <v/>
      </c>
      <c r="JG303" s="55">
        <f>SUMIFS(tblBudget[Waste_t],tblBudget[Month],"&lt;"&amp;$E303)+$JF303</f>
        <v/>
      </c>
      <c r="JH303" s="55">
        <f>SUMIFS(tblBudget[TMM_t],tblBudget[Month],$E303)</f>
        <v/>
      </c>
      <c r="JI303" s="55">
        <f>$JH303*$C303/$D303</f>
        <v/>
      </c>
      <c r="JJ303" s="55">
        <f>SUMIFS(tblBudget[TMM_t],tblBudget[Month],"&lt;"&amp;$E303)+$JI303</f>
        <v/>
      </c>
      <c r="JK303" s="56">
        <f>IFERROR(IF(($IS303)&gt;0,($JE303)/($IS303),""),"")</f>
        <v/>
      </c>
      <c r="JL303" s="56">
        <f>IFERROR(IF(($IT303)&gt;0,($JF303)/($IT303),""),"")</f>
        <v/>
      </c>
      <c r="JM303" s="56">
        <f>IFERROR(IF(($IU303)&gt;0,($JG303)/($IU303),""),"")</f>
        <v/>
      </c>
      <c r="JN303" s="55">
        <f>SUMIFS(tblBudget[Drill_m],tblBudget[Month],$E303)</f>
        <v/>
      </c>
      <c r="JO303" s="55">
        <f>$JN303*$C303/$D303</f>
        <v/>
      </c>
      <c r="JP303" s="55">
        <f>SUMIFS(tblBudget[Drill_m],tblBudget[Month],"&lt;"&amp;$E303)+$JO303</f>
        <v/>
      </c>
      <c r="JQ303" s="55">
        <f>SUMIFS(tblBudget[Diesel_L],tblBudget[Month],$E303)</f>
        <v/>
      </c>
      <c r="JR303" s="55">
        <f>$JQ303*$C303/$D303</f>
        <v/>
      </c>
      <c r="JS303" s="55">
        <f>SUMIFS(tblBudget[Diesel_L],tblBudget[Month],"&lt;"&amp;$E303)+$JR303</f>
        <v/>
      </c>
      <c r="JT303" s="55">
        <f>SUMIFS(tblBudget[Milled_t],tblBudget[Month],$E303)</f>
        <v/>
      </c>
      <c r="JU303" s="55">
        <f>$JT303*$C303/$D303</f>
        <v/>
      </c>
      <c r="JV303" s="55">
        <f>SUMIFS(tblBudget[Milled_t],tblBudget[Month],"&lt;"&amp;$E303)+$JU303</f>
        <v/>
      </c>
      <c r="JW303" s="55">
        <f>SUMIFS(tblBudget[Feed_oz],tblBudget[Month],$E303)</f>
        <v/>
      </c>
      <c r="JX303" s="55">
        <f>$JW303*$C303/$D303</f>
        <v/>
      </c>
      <c r="JY303" s="55">
        <f>SUMIFS(tblBudget[Feed_oz],tblBudget[Month],"&lt;"&amp;$E303)+$JX303</f>
        <v/>
      </c>
      <c r="JZ303" s="55">
        <f>SUMIFS(tblBudget[Recovered_oz],tblBudget[Month],$E303)</f>
        <v/>
      </c>
      <c r="KA303" s="55">
        <f>$JZ303*$C303/$D303</f>
        <v/>
      </c>
      <c r="KB303" s="55">
        <f>SUMIFS(tblBudget[Recovered_oz],tblBudget[Month],"&lt;"&amp;$E303)+$KA303</f>
        <v/>
      </c>
      <c r="KC303" s="55">
        <f>SUMIFS(tblBudget[Milled_t],tblBudget[Month],$E303)</f>
        <v/>
      </c>
      <c r="KD303" s="55">
        <f>$KC303*$C303/$D303</f>
        <v/>
      </c>
      <c r="KE303" s="55">
        <f>SUMIFS(tblBudget[Milled_t],tblBudget[Month],"&lt;"&amp;$E303)+$KD303</f>
        <v/>
      </c>
      <c r="KF303" s="55">
        <f>SUMIFS(tblBudget[Feed_oz],tblBudget[Month],$E303)</f>
        <v/>
      </c>
      <c r="KG303" s="55">
        <f>$KF303*$C303/$D303</f>
        <v/>
      </c>
      <c r="KH303" s="55">
        <f>SUMIFS(tblBudget[Feed_oz],tblBudget[Month],"&lt;"&amp;$E303)+$KG303</f>
        <v/>
      </c>
      <c r="KI303" s="56">
        <f>IFERROR(IF(($KC303)&gt;0,($JW303*cfg_TroyOz)/($KC303),""),"")</f>
        <v/>
      </c>
      <c r="KJ303" s="56">
        <f>IFERROR(IF(($KD303)&gt;0,($JX303*cfg_TroyOz)/($KD303),""),"")</f>
        <v/>
      </c>
      <c r="KK303" s="56">
        <f>IFERROR(IF(($KE303)&gt;0,($JY303*cfg_TroyOz)/($KE303),""),"")</f>
        <v/>
      </c>
      <c r="KL303" s="67">
        <f>IFERROR(IF(($KF303)&gt;0,($JZ303)/($KF303),""),"")</f>
        <v/>
      </c>
      <c r="KM303" s="67">
        <f>IFERROR(IF(($KG303)&gt;0,($KA303)/($KG303),""),"")</f>
        <v/>
      </c>
      <c r="KN303" s="67">
        <f>IFERROR(IF(($KH303)&gt;0,($KB303)/($KH303),""),"")</f>
        <v/>
      </c>
      <c r="KO303" s="55">
        <f>SUMIFS(tblBudget[Gold_Poured_oz],tblBudget[Month],$E303)</f>
        <v/>
      </c>
      <c r="KP303" s="55">
        <f>$KO303*$C303/$D303</f>
        <v/>
      </c>
      <c r="KQ303" s="55">
        <f>SUMIFS(tblBudget[Gold_Poured_oz],tblBudget[Month],"&lt;"&amp;$E303)+$KP303</f>
        <v/>
      </c>
      <c r="KR303" s="57">
        <f>SUMIFS(tblBudget[Hours_Worked],tblBudget[Month],$E303)</f>
        <v/>
      </c>
      <c r="KS303" s="57">
        <f>$KR303*$C303/$D303</f>
        <v/>
      </c>
      <c r="KT303" s="57">
        <f>SUMIFS(tblBudget[Hours_Worked],tblBudget[Month],"&lt;"&amp;$E303)+$KS303</f>
        <v/>
      </c>
    </row>
    <row r="304">
      <c r="A304" s="54" t="n">
        <v>46325</v>
      </c>
      <c r="B304">
        <f>MONTH($A304)</f>
        <v/>
      </c>
      <c r="C304">
        <f>DAY($A304)</f>
        <v/>
      </c>
      <c r="D304">
        <f>DAY(EOMONTH($A304,0))</f>
        <v/>
      </c>
      <c r="E304" s="54">
        <f>DATE(YEAR($A304),MONTH($A304),1)</f>
        <v/>
      </c>
      <c r="F304" s="55">
        <f>SUMIFS(tblMovement[Tonnes_t],tblMovement[Date],$A304,tblMovement[Is_Ore],1,tblMovement[Source_Type],"Pit")</f>
        <v/>
      </c>
      <c r="G304" s="55">
        <f>IF($B304=$B303,$G303,0)+$F304</f>
        <v/>
      </c>
      <c r="H304" s="55">
        <f>$H303+$F304</f>
        <v/>
      </c>
      <c r="I304" s="55">
        <f>SUMIFS(tblMovement[Ore_oz],tblMovement[Date],$A304,tblMovement[Source_Type],"Pit")</f>
        <v/>
      </c>
      <c r="J304" s="55">
        <f>IF($B304=$B303,$J303,0)+$I304</f>
        <v/>
      </c>
      <c r="K304" s="55">
        <f>$K303+$I304</f>
        <v/>
      </c>
      <c r="L304" s="55">
        <f>SUMIFS(tblMovement[Tonnes_t],tblMovement[Date],$A304,tblMovement[Is_Ore],1,tblMovement[Source_Type],"Pit",tblMovement[Grade_gpt],"&lt;&gt;")</f>
        <v/>
      </c>
      <c r="M304" s="55">
        <f>IF($B304=$B303,$M303,0)+$L304</f>
        <v/>
      </c>
      <c r="N304" s="55">
        <f>$N303+$L304</f>
        <v/>
      </c>
      <c r="O304" s="56">
        <f>IFERROR(IF(($L304)&gt;0,($I304*cfg_TroyOz)/($L304),""),"")</f>
        <v/>
      </c>
      <c r="P304" s="56">
        <f>IFERROR(IF(($M304)&gt;0,($J304*cfg_TroyOz)/($M304),""),"")</f>
        <v/>
      </c>
      <c r="Q304" s="56">
        <f>IFERROR(IF(($N304)&gt;0,($K304*cfg_TroyOz)/($N304),""),"")</f>
        <v/>
      </c>
      <c r="R304" s="55">
        <f>$F304-$L304</f>
        <v/>
      </c>
      <c r="S304" s="55">
        <f>IF($B304=$B303,$S303,0)+$R304</f>
        <v/>
      </c>
      <c r="T304" s="55">
        <f>$T303+$R304</f>
        <v/>
      </c>
      <c r="U304" s="55">
        <f>SUMIFS(tblMovement[Tonnes_t],tblMovement[Date],$A304,tblMovement[Is_Ore],0,tblMovement[Source_Type],"Pit")</f>
        <v/>
      </c>
      <c r="V304" s="55">
        <f>IF($B304=$B303,$V303,0)+$U304</f>
        <v/>
      </c>
      <c r="W304" s="55">
        <f>$W303+$U304</f>
        <v/>
      </c>
      <c r="X304" s="55">
        <f>$F304+$U304</f>
        <v/>
      </c>
      <c r="Y304" s="55">
        <f>IF($B304=$B303,$Y303,0)+$X304</f>
        <v/>
      </c>
      <c r="Z304" s="55">
        <f>$Z303+$X304</f>
        <v/>
      </c>
      <c r="AA304" s="56">
        <f>IFERROR(IF(($F304)&gt;0,($U304)/($F304),""),"")</f>
        <v/>
      </c>
      <c r="AB304" s="56">
        <f>IFERROR(IF(($G304)&gt;0,($V304)/($G304),""),"")</f>
        <v/>
      </c>
      <c r="AC304" s="56">
        <f>IFERROR(IF(($H304)&gt;0,($W304)/($H304),""),"")</f>
        <v/>
      </c>
      <c r="AD304" s="55">
        <f>SUMIFS(tblMovement[Tonnes_t],tblMovement[Date],$A304,tblMovement[Source_Type],"Stockpile")</f>
        <v/>
      </c>
      <c r="AE304" s="55">
        <f>IF($B304=$B303,$AE303,0)+$AD304</f>
        <v/>
      </c>
      <c r="AF304" s="55">
        <f>$AF303+$AD304</f>
        <v/>
      </c>
      <c r="AG304" s="55">
        <f>SUMIFS(tblMovement[Tonnes_t],tblMovement[Date],$A304)</f>
        <v/>
      </c>
      <c r="AH304" s="55">
        <f>IF($B304=$B303,$AH303,0)+$AG304</f>
        <v/>
      </c>
      <c r="AI304" s="55">
        <f>$AI303+$AG304</f>
        <v/>
      </c>
      <c r="AJ304" s="55">
        <f>$AG304-$X304-$AD304</f>
        <v/>
      </c>
      <c r="AK304" s="55">
        <f>IF($B304=$B303,$AK303,0)+$AJ304</f>
        <v/>
      </c>
      <c r="AL304" s="55">
        <f>$AL303+$AJ304</f>
        <v/>
      </c>
      <c r="AM304" s="55">
        <f>SUMIFS(tblMiningDaily[Drill_m],tblMiningDaily[Date],$A304)</f>
        <v/>
      </c>
      <c r="AN304" s="55">
        <f>IF($B304=$B303,$AN303,0)+$AM304</f>
        <v/>
      </c>
      <c r="AO304" s="55">
        <f>$AO303+$AM304</f>
        <v/>
      </c>
      <c r="AP304" s="55">
        <f>SUMIFS(tblMiningDaily[GC_Drill_m],tblMiningDaily[Date],$A304)</f>
        <v/>
      </c>
      <c r="AQ304" s="55">
        <f>IF($B304=$B303,$AQ303,0)+$AP304</f>
        <v/>
      </c>
      <c r="AR304" s="55">
        <f>$AR303+$AP304</f>
        <v/>
      </c>
      <c r="AS304" s="55">
        <f>SUMIFS(tblMiningDaily[Blast_t],tblMiningDaily[Date],$A304)</f>
        <v/>
      </c>
      <c r="AT304" s="55">
        <f>IF($B304=$B303,$AT303,0)+$AS304</f>
        <v/>
      </c>
      <c r="AU304" s="55">
        <f>$AU303+$AS304</f>
        <v/>
      </c>
      <c r="AV304" s="55">
        <f>SUMIFS(tblMiningDaily[Explosives_kg],tblMiningDaily[Date],$A304)</f>
        <v/>
      </c>
      <c r="AW304" s="55">
        <f>IF($B304=$B303,$AW303,0)+$AV304</f>
        <v/>
      </c>
      <c r="AX304" s="55">
        <f>$AX303+$AV304</f>
        <v/>
      </c>
      <c r="AY304" s="56">
        <f>IFERROR(IF(($AS304)&gt;0,($AV304)/($AS304),""),"")</f>
        <v/>
      </c>
      <c r="AZ304" s="56">
        <f>IFERROR(IF(($AT304)&gt;0,($AW304)/($AT304),""),"")</f>
        <v/>
      </c>
      <c r="BA304" s="56">
        <f>IFERROR(IF(($AU304)&gt;0,($AX304)/($AU304),""),"")</f>
        <v/>
      </c>
      <c r="BB304" s="55">
        <f>SUMIFS(tblMiningDaily[Diesel_L],tblMiningDaily[Date],$A304)</f>
        <v/>
      </c>
      <c r="BC304" s="55">
        <f>IF($B304=$B303,$BC303,0)+$BB304</f>
        <v/>
      </c>
      <c r="BD304" s="55">
        <f>$BD303+$BB304</f>
        <v/>
      </c>
      <c r="BE304" s="55">
        <f>SUMIFS(tblMiningDaily[Dewatering_m3],tblMiningDaily[Date],$A304)</f>
        <v/>
      </c>
      <c r="BF304" s="55">
        <f>IF($B304=$B303,$BF303,0)+$BE304</f>
        <v/>
      </c>
      <c r="BG304" s="55">
        <f>$BG303+$BE304</f>
        <v/>
      </c>
      <c r="BH304" s="57">
        <f>SUMIFS(tblFleet[Calendar_h],tblFleet[Date],$A304,tblFleet[Equipment_Class],"Excavator")</f>
        <v/>
      </c>
      <c r="BI304" s="57">
        <f>IF($B304=$B303,$BI303,0)+$BH304</f>
        <v/>
      </c>
      <c r="BJ304" s="57">
        <f>$BJ303+$BH304</f>
        <v/>
      </c>
      <c r="BK304" s="57">
        <f>SUMIFS(tblFleet[Available_h],tblFleet[Date],$A304,tblFleet[Equipment_Class],"Excavator")</f>
        <v/>
      </c>
      <c r="BL304" s="57">
        <f>IF($B304=$B303,$BL303,0)+$BK304</f>
        <v/>
      </c>
      <c r="BM304" s="57">
        <f>$BM303+$BK304</f>
        <v/>
      </c>
      <c r="BN304" s="57">
        <f>SUMIFS(tblFleet[Operating_h],tblFleet[Date],$A304,tblFleet[Equipment_Class],"Excavator")</f>
        <v/>
      </c>
      <c r="BO304" s="57">
        <f>IF($B304=$B303,$BO303,0)+$BN304</f>
        <v/>
      </c>
      <c r="BP304" s="57">
        <f>$BP303+$BN304</f>
        <v/>
      </c>
      <c r="BQ304" s="67">
        <f>IFERROR(IF(($BH304)&gt;0,($BK304)/($BH304),""),"")</f>
        <v/>
      </c>
      <c r="BR304" s="67">
        <f>IFERROR(IF(($BI304)&gt;0,($BL304)/($BI304),""),"")</f>
        <v/>
      </c>
      <c r="BS304" s="67">
        <f>IFERROR(IF(($BJ304)&gt;0,($BM304)/($BJ304),""),"")</f>
        <v/>
      </c>
      <c r="BT304" s="67">
        <f>IFERROR(IF(($BK304)&gt;0,($BN304)/($BK304),""),"")</f>
        <v/>
      </c>
      <c r="BU304" s="67">
        <f>IFERROR(IF(($BL304)&gt;0,($BO304)/($BL304),""),"")</f>
        <v/>
      </c>
      <c r="BV304" s="67">
        <f>IFERROR(IF(($BM304)&gt;0,($BP304)/($BM304),""),"")</f>
        <v/>
      </c>
      <c r="BW304" s="57">
        <f>SUMIFS(tblFleet[Calendar_h],tblFleet[Date],$A304,tblFleet[Equipment_Class],"Haul Truck")</f>
        <v/>
      </c>
      <c r="BX304" s="57">
        <f>IF($B304=$B303,$BX303,0)+$BW304</f>
        <v/>
      </c>
      <c r="BY304" s="57">
        <f>$BY303+$BW304</f>
        <v/>
      </c>
      <c r="BZ304" s="57">
        <f>SUMIFS(tblFleet[Available_h],tblFleet[Date],$A304,tblFleet[Equipment_Class],"Haul Truck")</f>
        <v/>
      </c>
      <c r="CA304" s="57">
        <f>IF($B304=$B303,$CA303,0)+$BZ304</f>
        <v/>
      </c>
      <c r="CB304" s="57">
        <f>$CB303+$BZ304</f>
        <v/>
      </c>
      <c r="CC304" s="57">
        <f>SUMIFS(tblFleet[Operating_h],tblFleet[Date],$A304,tblFleet[Equipment_Class],"Haul Truck")</f>
        <v/>
      </c>
      <c r="CD304" s="57">
        <f>IF($B304=$B303,$CD303,0)+$CC304</f>
        <v/>
      </c>
      <c r="CE304" s="57">
        <f>$CE303+$CC304</f>
        <v/>
      </c>
      <c r="CF304" s="67">
        <f>IFERROR(IF(($BW304)&gt;0,($BZ304)/($BW304),""),"")</f>
        <v/>
      </c>
      <c r="CG304" s="67">
        <f>IFERROR(IF(($BX304)&gt;0,($CA304)/($BX304),""),"")</f>
        <v/>
      </c>
      <c r="CH304" s="67">
        <f>IFERROR(IF(($BY304)&gt;0,($CB304)/($BY304),""),"")</f>
        <v/>
      </c>
      <c r="CI304" s="67">
        <f>IFERROR(IF(($BZ304)&gt;0,($CC304)/($BZ304),""),"")</f>
        <v/>
      </c>
      <c r="CJ304" s="67">
        <f>IFERROR(IF(($CA304)&gt;0,($CD304)/($CA304),""),"")</f>
        <v/>
      </c>
      <c r="CK304" s="67">
        <f>IFERROR(IF(($CB304)&gt;0,($CE304)/($CB304),""),"")</f>
        <v/>
      </c>
      <c r="CL304" s="55">
        <f>IFERROR(IF(($BN304)&gt;0,($X304+$AD304)/($BN304),""),"")</f>
        <v/>
      </c>
      <c r="CM304" s="55">
        <f>IFERROR(IF(($BO304)&gt;0,($Y304+$AE304)/($BO304),""),"")</f>
        <v/>
      </c>
      <c r="CN304" s="55">
        <f>IFERROR(IF(($BP304)&gt;0,($Z304+$AF304)/($BP304),""),"")</f>
        <v/>
      </c>
      <c r="CO304" s="55">
        <f>IFERROR(IF(($CC304)&gt;0,($X304+$AD304)/($CC304),""),"")</f>
        <v/>
      </c>
      <c r="CP304" s="55">
        <f>IFERROR(IF(($CD304)&gt;0,($Y304+$AE304)/($CD304),""),"")</f>
        <v/>
      </c>
      <c r="CQ304" s="55">
        <f>IFERROR(IF(($CE304)&gt;0,($Z304+$AF304)/($CE304),""),"")</f>
        <v/>
      </c>
      <c r="CR304" s="55">
        <f>SUMIFS(tblPlant[Crushed_t],tblPlant[Date],$A304)</f>
        <v/>
      </c>
      <c r="CS304" s="55">
        <f>IF($B304=$B303,$CS303,0)+$CR304</f>
        <v/>
      </c>
      <c r="CT304" s="55">
        <f>$CT303+$CR304</f>
        <v/>
      </c>
      <c r="CU304" s="55">
        <f>SUMIFS(tblPlant[Milled_t],tblPlant[Date],$A304)</f>
        <v/>
      </c>
      <c r="CV304" s="55">
        <f>IF($B304=$B303,$CV303,0)+$CU304</f>
        <v/>
      </c>
      <c r="CW304" s="55">
        <f>$CW303+$CU304</f>
        <v/>
      </c>
      <c r="CX304" s="55">
        <f>SUMIFS(tblPlant[Feed_oz],tblPlant[Date],$A304)</f>
        <v/>
      </c>
      <c r="CY304" s="55">
        <f>IF($B304=$B303,$CY303,0)+$CX304</f>
        <v/>
      </c>
      <c r="CZ304" s="55">
        <f>$CZ303+$CX304</f>
        <v/>
      </c>
      <c r="DA304" s="55">
        <f>SUMIFS(tblPlant[Tails_oz],tblPlant[Date],$A304)</f>
        <v/>
      </c>
      <c r="DB304" s="55">
        <f>IF($B304=$B303,$DB303,0)+$DA304</f>
        <v/>
      </c>
      <c r="DC304" s="55">
        <f>$DC303+$DA304</f>
        <v/>
      </c>
      <c r="DD304" s="55">
        <f>SUMIFS(tblPlant[Recovered_oz],tblPlant[Date],$A304)</f>
        <v/>
      </c>
      <c r="DE304" s="55">
        <f>IF($B304=$B303,$DE303,0)+$DD304</f>
        <v/>
      </c>
      <c r="DF304" s="55">
        <f>$DF303+$DD304</f>
        <v/>
      </c>
      <c r="DG304" s="55">
        <f>SUMIFS(tblPlant[Milled_t],tblPlant[Date],$A304,tblPlant[Head_Grade_gpt],"&lt;&gt;")</f>
        <v/>
      </c>
      <c r="DH304" s="55">
        <f>IF($B304=$B303,$DH303,0)+$DG304</f>
        <v/>
      </c>
      <c r="DI304" s="55">
        <f>$DI303+$DG304</f>
        <v/>
      </c>
      <c r="DJ304" s="55">
        <f>SUMIFS(tblPlant[Milled_t],tblPlant[Date],$A304,tblPlant[Tails_Grade_gpt],"&lt;&gt;")</f>
        <v/>
      </c>
      <c r="DK304" s="55">
        <f>IF($B304=$B303,$DK303,0)+$DJ304</f>
        <v/>
      </c>
      <c r="DL304" s="55">
        <f>$DL303+$DJ304</f>
        <v/>
      </c>
      <c r="DM304" s="55">
        <f>SUMIFS(tblPlant[Feed_oz],tblPlant[Date],$A304,tblPlant[Tails_Grade_gpt],"&lt;&gt;")</f>
        <v/>
      </c>
      <c r="DN304" s="55">
        <f>IF($B304=$B303,$DN303,0)+$DM304</f>
        <v/>
      </c>
      <c r="DO304" s="55">
        <f>$DO303+$DM304</f>
        <v/>
      </c>
      <c r="DP304" s="55">
        <f>SUMIFS(tblPlant[Milled_t],tblPlant[Date],$A304,tblPlant[Mill_Run_h],"&lt;&gt;")</f>
        <v/>
      </c>
      <c r="DQ304" s="55">
        <f>IF($B304=$B303,$DQ303,0)+$DP304</f>
        <v/>
      </c>
      <c r="DR304" s="55">
        <f>$DR303+$DP304</f>
        <v/>
      </c>
      <c r="DS304" s="56">
        <f>IFERROR(IF(($DG304)&gt;0,($CX304*cfg_TroyOz)/($DG304),""),"")</f>
        <v/>
      </c>
      <c r="DT304" s="56">
        <f>IFERROR(IF(($DH304)&gt;0,($CY304*cfg_TroyOz)/($DH304),""),"")</f>
        <v/>
      </c>
      <c r="DU304" s="56">
        <f>IFERROR(IF(($DI304)&gt;0,($CZ304*cfg_TroyOz)/($DI304),""),"")</f>
        <v/>
      </c>
      <c r="DV304" s="56">
        <f>IFERROR(IF(($DJ304)&gt;0,($DA304*cfg_TroyOz)/($DJ304),""),"")</f>
        <v/>
      </c>
      <c r="DW304" s="56">
        <f>IFERROR(IF(($DK304)&gt;0,($DB304*cfg_TroyOz)/($DK304),""),"")</f>
        <v/>
      </c>
      <c r="DX304" s="56">
        <f>IFERROR(IF(($DL304)&gt;0,($DC304*cfg_TroyOz)/($DL304),""),"")</f>
        <v/>
      </c>
      <c r="DY304" s="67">
        <f>IFERROR(IF(($DM304)&gt;0,($DD304)/($DM304),""),"")</f>
        <v/>
      </c>
      <c r="DZ304" s="67">
        <f>IFERROR(IF(($DN304)&gt;0,($DE304)/($DN304),""),"")</f>
        <v/>
      </c>
      <c r="EA304" s="67">
        <f>IFERROR(IF(($DO304)&gt;0,($DF304)/($DO304),""),"")</f>
        <v/>
      </c>
      <c r="EB304" s="55">
        <f>SUMIFS(tblPlant[Gravity_Gold_oz],tblPlant[Date],$A304)</f>
        <v/>
      </c>
      <c r="EC304" s="55">
        <f>IF($B304=$B303,$EC303,0)+$EB304</f>
        <v/>
      </c>
      <c r="ED304" s="55">
        <f>$ED303+$EB304</f>
        <v/>
      </c>
      <c r="EE304" s="67">
        <f>IFERROR(IF(($DD304)&gt;0,($EB304)/($DD304),""),"")</f>
        <v/>
      </c>
      <c r="EF304" s="67">
        <f>IFERROR(IF(($DE304)&gt;0,($EC304)/($DE304),""),"")</f>
        <v/>
      </c>
      <c r="EG304" s="67">
        <f>IFERROR(IF(($DF304)&gt;0,($ED304)/($DF304),""),"")</f>
        <v/>
      </c>
      <c r="EH304" s="55">
        <f>SUMIFS(tblPlant[Gold_Poured_oz],tblPlant[Date],$A304)</f>
        <v/>
      </c>
      <c r="EI304" s="55">
        <f>IF($B304=$B303,$EI303,0)+$EH304</f>
        <v/>
      </c>
      <c r="EJ304" s="55">
        <f>$EJ303+$EH304</f>
        <v/>
      </c>
      <c r="EK304" s="57">
        <f>SUMIFS(tblPlant[Mill_Run_h],tblPlant[Date],$A304)</f>
        <v/>
      </c>
      <c r="EL304" s="57">
        <f>IF($B304=$B303,$EL303,0)+$EK304</f>
        <v/>
      </c>
      <c r="EM304" s="57">
        <f>$EM303+$EK304</f>
        <v/>
      </c>
      <c r="EN304" s="57">
        <f>SUMIFS(tblPlant[Mill_Planned_Maint_h],tblPlant[Date],$A304)</f>
        <v/>
      </c>
      <c r="EO304" s="57">
        <f>IF($B304=$B303,$EO303,0)+$EN304</f>
        <v/>
      </c>
      <c r="EP304" s="57">
        <f>$EP303+$EN304</f>
        <v/>
      </c>
      <c r="EQ304" s="57">
        <f>SUMIFS(tblPlant[Mill_Unplanned_Down_h],tblPlant[Date],$A304)</f>
        <v/>
      </c>
      <c r="ER304" s="57">
        <f>IF($B304=$B303,$ER303,0)+$EQ304</f>
        <v/>
      </c>
      <c r="ES304" s="57">
        <f>$ES303+$EQ304</f>
        <v/>
      </c>
      <c r="ET304" s="57">
        <f>IF(COUNTIFS(tblPlant[Date],$A304,tblPlant[Mill_Run_h],"&lt;&gt;")+COUNTIFS(tblPlant[Date],$A304,tblPlant[Mill_Planned_Maint_h],"&lt;&gt;")+COUNTIFS(tblPlant[Date],$A304,tblPlant[Mill_Unplanned_Down_h],"&lt;&gt;")&gt;0,cfg_HoursPerDay,0)</f>
        <v/>
      </c>
      <c r="EU304" s="57">
        <f>IF($B304=$B303,$EU303,0)+$ET304</f>
        <v/>
      </c>
      <c r="EV304" s="57">
        <f>$EV303+$ET304</f>
        <v/>
      </c>
      <c r="EW304" s="57">
        <f>SUMIFS(tblPlant[Crusher_Run_h],tblPlant[Date],$A304)</f>
        <v/>
      </c>
      <c r="EX304" s="57">
        <f>IF($B304=$B303,$EX303,0)+$EW304</f>
        <v/>
      </c>
      <c r="EY304" s="57">
        <f>$EY303+$EW304</f>
        <v/>
      </c>
      <c r="EZ304" s="55">
        <f>IFERROR(IF(($EK304)&gt;0,($DP304)/($EK304),""),"")</f>
        <v/>
      </c>
      <c r="FA304" s="55">
        <f>IFERROR(IF(($EL304)&gt;0,($DQ304)/($EL304),""),"")</f>
        <v/>
      </c>
      <c r="FB304" s="55">
        <f>IFERROR(IF(($EM304)&gt;0,($DR304)/($EM304),""),"")</f>
        <v/>
      </c>
      <c r="FC304" s="67">
        <f>IFERROR(IF(($ET304)&gt;0,($ET304-$EN304-$EQ304)/($ET304),""),"")</f>
        <v/>
      </c>
      <c r="FD304" s="67">
        <f>IFERROR(IF(($EU304)&gt;0,($EU304-$EO304-$ER304)/($EU304),""),"")</f>
        <v/>
      </c>
      <c r="FE304" s="67">
        <f>IFERROR(IF(($EV304)&gt;0,($EV304-$EP304-$ES304)/($EV304),""),"")</f>
        <v/>
      </c>
      <c r="FF304" s="67">
        <f>IFERROR(IF(($ET304-$EN304-$EQ304)&gt;0,($EK304)/($ET304-$EN304-$EQ304),""),"")</f>
        <v/>
      </c>
      <c r="FG304" s="67">
        <f>IFERROR(IF(($EU304-$EO304-$ER304)&gt;0,($EL304)/($EU304-$EO304-$ER304),""),"")</f>
        <v/>
      </c>
      <c r="FH304" s="67">
        <f>IFERROR(IF(($EV304-$EP304-$ES304)&gt;0,($EM304)/($EV304-$EP304-$ES304),""),"")</f>
        <v/>
      </c>
      <c r="FI304" s="55">
        <f>SUMIFS(tblPlant[Cyanide_kg],tblPlant[Date],$A304)</f>
        <v/>
      </c>
      <c r="FJ304" s="55">
        <f>IF($B304=$B303,$FJ303,0)+$FI304</f>
        <v/>
      </c>
      <c r="FK304" s="55">
        <f>$FK303+$FI304</f>
        <v/>
      </c>
      <c r="FL304" s="55">
        <f>SUMIFS(tblPlant[Lime_kg],tblPlant[Date],$A304)</f>
        <v/>
      </c>
      <c r="FM304" s="55">
        <f>IF($B304=$B303,$FM303,0)+$FL304</f>
        <v/>
      </c>
      <c r="FN304" s="55">
        <f>$FN303+$FL304</f>
        <v/>
      </c>
      <c r="FO304" s="55">
        <f>SUMIFS(tblPlant[Grinding_Media_kg],tblPlant[Date],$A304)</f>
        <v/>
      </c>
      <c r="FP304" s="55">
        <f>IF($B304=$B303,$FP303,0)+$FO304</f>
        <v/>
      </c>
      <c r="FQ304" s="55">
        <f>$FQ303+$FO304</f>
        <v/>
      </c>
      <c r="FR304" s="55">
        <f>SUMIFS(tblPlant[Power_kWh],tblPlant[Date],$A304)</f>
        <v/>
      </c>
      <c r="FS304" s="55">
        <f>IF($B304=$B303,$FS303,0)+$FR304</f>
        <v/>
      </c>
      <c r="FT304" s="55">
        <f>$FT303+$FR304</f>
        <v/>
      </c>
      <c r="FU304" s="55">
        <f>SUMIFS(tblPlant[Raw_Water_m3],tblPlant[Date],$A304)</f>
        <v/>
      </c>
      <c r="FV304" s="55">
        <f>IF($B304=$B303,$FV303,0)+$FU304</f>
        <v/>
      </c>
      <c r="FW304" s="55">
        <f>$FW303+$FU304</f>
        <v/>
      </c>
      <c r="FX304" s="56">
        <f>IFERROR(IF(($CU304)&gt;0,($FI304)/($CU304),""),"")</f>
        <v/>
      </c>
      <c r="FY304" s="56">
        <f>IFERROR(IF(($CV304)&gt;0,($FJ304)/($CV304),""),"")</f>
        <v/>
      </c>
      <c r="FZ304" s="56">
        <f>IFERROR(IF(($CW304)&gt;0,($FK304)/($CW304),""),"")</f>
        <v/>
      </c>
      <c r="GA304" s="56">
        <f>IFERROR(IF(($CU304)&gt;0,($FL304)/($CU304),""),"")</f>
        <v/>
      </c>
      <c r="GB304" s="56">
        <f>IFERROR(IF(($CV304)&gt;0,($FM304)/($CV304),""),"")</f>
        <v/>
      </c>
      <c r="GC304" s="56">
        <f>IFERROR(IF(($CW304)&gt;0,($FN304)/($CW304),""),"")</f>
        <v/>
      </c>
      <c r="GD304" s="56">
        <f>IFERROR(IF(($CU304)&gt;0,($FO304)/($CU304),""),"")</f>
        <v/>
      </c>
      <c r="GE304" s="56">
        <f>IFERROR(IF(($CV304)&gt;0,($FP304)/($CV304),""),"")</f>
        <v/>
      </c>
      <c r="GF304" s="56">
        <f>IFERROR(IF(($CW304)&gt;0,($FQ304)/($CW304),""),"")</f>
        <v/>
      </c>
      <c r="GG304" s="79">
        <f>IFERROR(IF(($CU304)&gt;0,($FR304)/($CU304),""),"")</f>
        <v/>
      </c>
      <c r="GH304" s="79">
        <f>IFERROR(IF(($CV304)&gt;0,($FS304)/($CV304),""),"")</f>
        <v/>
      </c>
      <c r="GI304" s="79">
        <f>IFERROR(IF(($CW304)&gt;0,($FT304)/($CW304),""),"")</f>
        <v/>
      </c>
      <c r="GJ304" s="56">
        <f>IFERROR(IF(($CU304)&gt;0,($FU304)/($CU304),""),"")</f>
        <v/>
      </c>
      <c r="GK304" s="56">
        <f>IFERROR(IF(($CV304)&gt;0,($FV304)/($CV304),""),"")</f>
        <v/>
      </c>
      <c r="GL304" s="56">
        <f>IFERROR(IF(($CW304)&gt;0,($FW304)/($CW304),""),"")</f>
        <v/>
      </c>
      <c r="GM304" s="55">
        <f>IF(SUMIFS(tblPlant[GIC_oz],tblPlant[Date],$A304)&gt;0,SUMIFS(tblPlant[GIC_oz],tblPlant[Date],$A304),"")</f>
        <v/>
      </c>
      <c r="GN304" s="55">
        <f>SUMIFS(tblGold[Gold_oz],tblGold[Date],$A304,tblGold[Type],"Shipment")</f>
        <v/>
      </c>
      <c r="GO304" s="55">
        <f>IF($B304=$B303,$GO303,0)+$GN304</f>
        <v/>
      </c>
      <c r="GP304" s="55">
        <f>$GP303+$GN304</f>
        <v/>
      </c>
      <c r="GQ304" s="55">
        <f>SUMIFS(tblGold[Gold_oz],tblGold[Date],$A304,tblGold[Type],"Sale")</f>
        <v/>
      </c>
      <c r="GR304" s="55">
        <f>IF($B304=$B303,$GR303,0)+$GQ304</f>
        <v/>
      </c>
      <c r="GS304" s="55">
        <f>$GS303+$GQ304</f>
        <v/>
      </c>
      <c r="GT304" s="55">
        <f>SUMIFS(tblGold[Dore_kg],tblGold[Date],$A304,tblGold[Type],"Shipment")</f>
        <v/>
      </c>
      <c r="GU304" s="55">
        <f>IF($B304=$B303,$GU303,0)+$GT304</f>
        <v/>
      </c>
      <c r="GV304" s="55">
        <f>$GV303+$GT304</f>
        <v/>
      </c>
      <c r="GW304" s="57">
        <f>SUMIFS(tblSafety[Hours_Total],tblSafety[Date],$A304)</f>
        <v/>
      </c>
      <c r="GX304" s="57">
        <f>IF($B304=$B303,$GX303,0)+$GW304</f>
        <v/>
      </c>
      <c r="GY304" s="57">
        <f>$GY303+$GW304</f>
        <v/>
      </c>
      <c r="GZ304" s="62">
        <f>SUMIFS(tblSafety[Fatality],tblSafety[Date],$A304)</f>
        <v/>
      </c>
      <c r="HA304" s="62">
        <f>IF($B304=$B303,$HA303,0)+$GZ304</f>
        <v/>
      </c>
      <c r="HB304" s="62">
        <f>$HB303+$GZ304</f>
        <v/>
      </c>
      <c r="HC304" s="62">
        <f>SUMIFS(tblSafety[LTI],tblSafety[Date],$A304)</f>
        <v/>
      </c>
      <c r="HD304" s="62">
        <f>IF($B304=$B303,$HD303,0)+$HC304</f>
        <v/>
      </c>
      <c r="HE304" s="62">
        <f>$HE303+$HC304</f>
        <v/>
      </c>
      <c r="HF304" s="62">
        <f>SUMIFS(tblSafety[RWI],tblSafety[Date],$A304)</f>
        <v/>
      </c>
      <c r="HG304" s="62">
        <f>IF($B304=$B303,$HG303,0)+$HF304</f>
        <v/>
      </c>
      <c r="HH304" s="62">
        <f>$HH303+$HF304</f>
        <v/>
      </c>
      <c r="HI304" s="62">
        <f>SUMIFS(tblSafety[MTI],tblSafety[Date],$A304)</f>
        <v/>
      </c>
      <c r="HJ304" s="62">
        <f>IF($B304=$B303,$HJ303,0)+$HI304</f>
        <v/>
      </c>
      <c r="HK304" s="62">
        <f>$HK303+$HI304</f>
        <v/>
      </c>
      <c r="HL304" s="62">
        <f>SUMIFS(tblSafety[FAI],tblSafety[Date],$A304)</f>
        <v/>
      </c>
      <c r="HM304" s="62">
        <f>IF($B304=$B303,$HM303,0)+$HL304</f>
        <v/>
      </c>
      <c r="HN304" s="62">
        <f>$HN303+$HL304</f>
        <v/>
      </c>
      <c r="HO304" s="62">
        <f>SUMIFS(tblSafety[Recordables],tblSafety[Date],$A304)</f>
        <v/>
      </c>
      <c r="HP304" s="62">
        <f>IF($B304=$B303,$HP303,0)+$HO304</f>
        <v/>
      </c>
      <c r="HQ304" s="62">
        <f>$HQ303+$HO304</f>
        <v/>
      </c>
      <c r="HR304" s="62">
        <f>SUMIFS(tblSafety[Near_Miss],tblSafety[Date],$A304)</f>
        <v/>
      </c>
      <c r="HS304" s="62">
        <f>IF($B304=$B303,$HS303,0)+$HR304</f>
        <v/>
      </c>
      <c r="HT304" s="62">
        <f>$HT303+$HR304</f>
        <v/>
      </c>
      <c r="HU304" s="62">
        <f>SUMIFS(tblSafety[Hazard_Reports],tblSafety[Date],$A304)</f>
        <v/>
      </c>
      <c r="HV304" s="62">
        <f>IF($B304=$B303,$HV303,0)+$HU304</f>
        <v/>
      </c>
      <c r="HW304" s="62">
        <f>$HW303+$HU304</f>
        <v/>
      </c>
      <c r="HX304" s="62">
        <f>SUMIFS(tblSafety[HPI],tblSafety[Date],$A304)</f>
        <v/>
      </c>
      <c r="HY304" s="62">
        <f>IF($B304=$B303,$HY303,0)+$HX304</f>
        <v/>
      </c>
      <c r="HZ304" s="62">
        <f>$HZ303+$HX304</f>
        <v/>
      </c>
      <c r="IA304" s="62">
        <f>SUMIFS(tblSafety[Env_Incidents],tblSafety[Date],$A304)</f>
        <v/>
      </c>
      <c r="IB304" s="62">
        <f>IF($B304=$B303,$IB303,0)+$IA304</f>
        <v/>
      </c>
      <c r="IC304" s="62">
        <f>$IC303+$IA304</f>
        <v/>
      </c>
      <c r="ID304" s="62">
        <f>SUMIFS(tblSafety[Community_Incidents],tblSafety[Date],$A304)</f>
        <v/>
      </c>
      <c r="IE304" s="62">
        <f>IF($B304=$B303,$IE303,0)+$ID304</f>
        <v/>
      </c>
      <c r="IF304" s="62">
        <f>$IF303+$ID304</f>
        <v/>
      </c>
      <c r="IG304" s="62">
        <f>SUMIFS(tblSafety[Vehicle_Incidents],tblSafety[Date],$A304)</f>
        <v/>
      </c>
      <c r="IH304" s="62">
        <f>IF($B304=$B303,$IH303,0)+$IG304</f>
        <v/>
      </c>
      <c r="II304" s="62">
        <f>$II303+$IG304</f>
        <v/>
      </c>
      <c r="IJ304" s="62">
        <f>SUMIFS(tblSafety[Toolbox_Talks],tblSafety[Date],$A304)</f>
        <v/>
      </c>
      <c r="IK304" s="62">
        <f>IF($B304=$B303,$IK303,0)+$IJ304</f>
        <v/>
      </c>
      <c r="IL304" s="62">
        <f>$IL303+$IJ304</f>
        <v/>
      </c>
      <c r="IM304" s="62">
        <f>SUMIFS(tblSafety[Inspections],tblSafety[Date],$A304)</f>
        <v/>
      </c>
      <c r="IN304" s="62">
        <f>IF($B304=$B303,$IN303,0)+$IM304</f>
        <v/>
      </c>
      <c r="IO304" s="62">
        <f>$IO303+$IM304</f>
        <v/>
      </c>
      <c r="IP304" s="56">
        <f>IFERROR((SUMIFS(tblSafety[Recordables],tblSafety[Date],"&gt;="&amp;EDATE($E304,-12),tblSafety[Date],"&lt;="&amp;$A304)+SUMIFS(tblSafetyHistory[Recordables],tblSafetyHistory[Month],"&gt;="&amp;EDATE($E304,-12),tblSafetyHistory[Month],"&lt;"&amp;$E304,tblSafetyHistory[Use],1))/(SUMIFS(tblSafety[Hours_Total],tblSafety[Date],"&gt;="&amp;EDATE($E304,-12),tblSafety[Date],"&lt;="&amp;$A304)+SUMIFS(tblSafetyHistory[Hours_Total],tblSafetyHistory[Month],"&gt;="&amp;EDATE($E304,-12),tblSafetyHistory[Month],"&lt;"&amp;$E304,tblSafetyHistory[Use],1))*cfg_RateBasisHours,"")</f>
        <v/>
      </c>
      <c r="IQ304" s="56">
        <f>IFERROR((SUMIFS(tblSafety[LTI],tblSafety[Date],"&gt;="&amp;EDATE($E304,-12),tblSafety[Date],"&lt;="&amp;$A304)+SUMIFS(tblSafetyHistory[LTI],tblSafetyHistory[Month],"&gt;="&amp;EDATE($E304,-12),tblSafetyHistory[Month],"&lt;"&amp;$E304,tblSafetyHistory[Use],1))/(SUMIFS(tblSafety[Hours_Total],tblSafety[Date],"&gt;="&amp;EDATE($E304,-12),tblSafety[Date],"&lt;="&amp;$A304)+SUMIFS(tblSafetyHistory[Hours_Total],tblSafetyHistory[Month],"&gt;="&amp;EDATE($E304,-12),tblSafetyHistory[Month],"&lt;"&amp;$E304,tblSafetyHistory[Use],1))*cfg_RateBasisHours,"")</f>
        <v/>
      </c>
      <c r="IR304" s="62">
        <f>IF(MAX(N(cfg_PriorLTIDate),_xlfn.MAXIFS(tblSafety[Date],tblSafety[LTI],"&gt;0",tblSafety[Date],"&lt;="&amp;$A304))=0,"",$A304-MAX(N(cfg_PriorLTIDate),_xlfn.MAXIFS(tblSafety[Date],tblSafety[LTI],"&gt;0",tblSafety[Date],"&lt;="&amp;$A304)))</f>
        <v/>
      </c>
      <c r="IS304" s="55">
        <f>SUMIFS(tblBudget[Ore_Mined_t],tblBudget[Month],$E304)</f>
        <v/>
      </c>
      <c r="IT304" s="55">
        <f>$IS304*$C304/$D304</f>
        <v/>
      </c>
      <c r="IU304" s="55">
        <f>SUMIFS(tblBudget[Ore_Mined_t],tblBudget[Month],"&lt;"&amp;$E304)+$IT304</f>
        <v/>
      </c>
      <c r="IV304" s="55">
        <f>SUMIFS(tblBudget[Ore_oz],tblBudget[Month],$E304)</f>
        <v/>
      </c>
      <c r="IW304" s="55">
        <f>$IV304*$C304/$D304</f>
        <v/>
      </c>
      <c r="IX304" s="55">
        <f>SUMIFS(tblBudget[Ore_oz],tblBudget[Month],"&lt;"&amp;$E304)+$IW304</f>
        <v/>
      </c>
      <c r="IY304" s="55">
        <f>SUMIFS(tblBudget[Ore_Mined_t],tblBudget[Month],$E304)</f>
        <v/>
      </c>
      <c r="IZ304" s="55">
        <f>$IY304*$C304/$D304</f>
        <v/>
      </c>
      <c r="JA304" s="55">
        <f>SUMIFS(tblBudget[Ore_Mined_t],tblBudget[Month],"&lt;"&amp;$E304)+$IZ304</f>
        <v/>
      </c>
      <c r="JB304" s="56">
        <f>IFERROR(IF(($IY304)&gt;0,($IV304*cfg_TroyOz)/($IY304),""),"")</f>
        <v/>
      </c>
      <c r="JC304" s="56">
        <f>IFERROR(IF(($IZ304)&gt;0,($IW304*cfg_TroyOz)/($IZ304),""),"")</f>
        <v/>
      </c>
      <c r="JD304" s="56">
        <f>IFERROR(IF(($JA304)&gt;0,($IX304*cfg_TroyOz)/($JA304),""),"")</f>
        <v/>
      </c>
      <c r="JE304" s="55">
        <f>SUMIFS(tblBudget[Waste_t],tblBudget[Month],$E304)</f>
        <v/>
      </c>
      <c r="JF304" s="55">
        <f>$JE304*$C304/$D304</f>
        <v/>
      </c>
      <c r="JG304" s="55">
        <f>SUMIFS(tblBudget[Waste_t],tblBudget[Month],"&lt;"&amp;$E304)+$JF304</f>
        <v/>
      </c>
      <c r="JH304" s="55">
        <f>SUMIFS(tblBudget[TMM_t],tblBudget[Month],$E304)</f>
        <v/>
      </c>
      <c r="JI304" s="55">
        <f>$JH304*$C304/$D304</f>
        <v/>
      </c>
      <c r="JJ304" s="55">
        <f>SUMIFS(tblBudget[TMM_t],tblBudget[Month],"&lt;"&amp;$E304)+$JI304</f>
        <v/>
      </c>
      <c r="JK304" s="56">
        <f>IFERROR(IF(($IS304)&gt;0,($JE304)/($IS304),""),"")</f>
        <v/>
      </c>
      <c r="JL304" s="56">
        <f>IFERROR(IF(($IT304)&gt;0,($JF304)/($IT304),""),"")</f>
        <v/>
      </c>
      <c r="JM304" s="56">
        <f>IFERROR(IF(($IU304)&gt;0,($JG304)/($IU304),""),"")</f>
        <v/>
      </c>
      <c r="JN304" s="55">
        <f>SUMIFS(tblBudget[Drill_m],tblBudget[Month],$E304)</f>
        <v/>
      </c>
      <c r="JO304" s="55">
        <f>$JN304*$C304/$D304</f>
        <v/>
      </c>
      <c r="JP304" s="55">
        <f>SUMIFS(tblBudget[Drill_m],tblBudget[Month],"&lt;"&amp;$E304)+$JO304</f>
        <v/>
      </c>
      <c r="JQ304" s="55">
        <f>SUMIFS(tblBudget[Diesel_L],tblBudget[Month],$E304)</f>
        <v/>
      </c>
      <c r="JR304" s="55">
        <f>$JQ304*$C304/$D304</f>
        <v/>
      </c>
      <c r="JS304" s="55">
        <f>SUMIFS(tblBudget[Diesel_L],tblBudget[Month],"&lt;"&amp;$E304)+$JR304</f>
        <v/>
      </c>
      <c r="JT304" s="55">
        <f>SUMIFS(tblBudget[Milled_t],tblBudget[Month],$E304)</f>
        <v/>
      </c>
      <c r="JU304" s="55">
        <f>$JT304*$C304/$D304</f>
        <v/>
      </c>
      <c r="JV304" s="55">
        <f>SUMIFS(tblBudget[Milled_t],tblBudget[Month],"&lt;"&amp;$E304)+$JU304</f>
        <v/>
      </c>
      <c r="JW304" s="55">
        <f>SUMIFS(tblBudget[Feed_oz],tblBudget[Month],$E304)</f>
        <v/>
      </c>
      <c r="JX304" s="55">
        <f>$JW304*$C304/$D304</f>
        <v/>
      </c>
      <c r="JY304" s="55">
        <f>SUMIFS(tblBudget[Feed_oz],tblBudget[Month],"&lt;"&amp;$E304)+$JX304</f>
        <v/>
      </c>
      <c r="JZ304" s="55">
        <f>SUMIFS(tblBudget[Recovered_oz],tblBudget[Month],$E304)</f>
        <v/>
      </c>
      <c r="KA304" s="55">
        <f>$JZ304*$C304/$D304</f>
        <v/>
      </c>
      <c r="KB304" s="55">
        <f>SUMIFS(tblBudget[Recovered_oz],tblBudget[Month],"&lt;"&amp;$E304)+$KA304</f>
        <v/>
      </c>
      <c r="KC304" s="55">
        <f>SUMIFS(tblBudget[Milled_t],tblBudget[Month],$E304)</f>
        <v/>
      </c>
      <c r="KD304" s="55">
        <f>$KC304*$C304/$D304</f>
        <v/>
      </c>
      <c r="KE304" s="55">
        <f>SUMIFS(tblBudget[Milled_t],tblBudget[Month],"&lt;"&amp;$E304)+$KD304</f>
        <v/>
      </c>
      <c r="KF304" s="55">
        <f>SUMIFS(tblBudget[Feed_oz],tblBudget[Month],$E304)</f>
        <v/>
      </c>
      <c r="KG304" s="55">
        <f>$KF304*$C304/$D304</f>
        <v/>
      </c>
      <c r="KH304" s="55">
        <f>SUMIFS(tblBudget[Feed_oz],tblBudget[Month],"&lt;"&amp;$E304)+$KG304</f>
        <v/>
      </c>
      <c r="KI304" s="56">
        <f>IFERROR(IF(($KC304)&gt;0,($JW304*cfg_TroyOz)/($KC304),""),"")</f>
        <v/>
      </c>
      <c r="KJ304" s="56">
        <f>IFERROR(IF(($KD304)&gt;0,($JX304*cfg_TroyOz)/($KD304),""),"")</f>
        <v/>
      </c>
      <c r="KK304" s="56">
        <f>IFERROR(IF(($KE304)&gt;0,($JY304*cfg_TroyOz)/($KE304),""),"")</f>
        <v/>
      </c>
      <c r="KL304" s="67">
        <f>IFERROR(IF(($KF304)&gt;0,($JZ304)/($KF304),""),"")</f>
        <v/>
      </c>
      <c r="KM304" s="67">
        <f>IFERROR(IF(($KG304)&gt;0,($KA304)/($KG304),""),"")</f>
        <v/>
      </c>
      <c r="KN304" s="67">
        <f>IFERROR(IF(($KH304)&gt;0,($KB304)/($KH304),""),"")</f>
        <v/>
      </c>
      <c r="KO304" s="55">
        <f>SUMIFS(tblBudget[Gold_Poured_oz],tblBudget[Month],$E304)</f>
        <v/>
      </c>
      <c r="KP304" s="55">
        <f>$KO304*$C304/$D304</f>
        <v/>
      </c>
      <c r="KQ304" s="55">
        <f>SUMIFS(tblBudget[Gold_Poured_oz],tblBudget[Month],"&lt;"&amp;$E304)+$KP304</f>
        <v/>
      </c>
      <c r="KR304" s="57">
        <f>SUMIFS(tblBudget[Hours_Worked],tblBudget[Month],$E304)</f>
        <v/>
      </c>
      <c r="KS304" s="57">
        <f>$KR304*$C304/$D304</f>
        <v/>
      </c>
      <c r="KT304" s="57">
        <f>SUMIFS(tblBudget[Hours_Worked],tblBudget[Month],"&lt;"&amp;$E304)+$KS304</f>
        <v/>
      </c>
    </row>
    <row r="305">
      <c r="A305" s="54" t="n">
        <v>46326</v>
      </c>
      <c r="B305">
        <f>MONTH($A305)</f>
        <v/>
      </c>
      <c r="C305">
        <f>DAY($A305)</f>
        <v/>
      </c>
      <c r="D305">
        <f>DAY(EOMONTH($A305,0))</f>
        <v/>
      </c>
      <c r="E305" s="54">
        <f>DATE(YEAR($A305),MONTH($A305),1)</f>
        <v/>
      </c>
      <c r="F305" s="55">
        <f>SUMIFS(tblMovement[Tonnes_t],tblMovement[Date],$A305,tblMovement[Is_Ore],1,tblMovement[Source_Type],"Pit")</f>
        <v/>
      </c>
      <c r="G305" s="55">
        <f>IF($B305=$B304,$G304,0)+$F305</f>
        <v/>
      </c>
      <c r="H305" s="55">
        <f>$H304+$F305</f>
        <v/>
      </c>
      <c r="I305" s="55">
        <f>SUMIFS(tblMovement[Ore_oz],tblMovement[Date],$A305,tblMovement[Source_Type],"Pit")</f>
        <v/>
      </c>
      <c r="J305" s="55">
        <f>IF($B305=$B304,$J304,0)+$I305</f>
        <v/>
      </c>
      <c r="K305" s="55">
        <f>$K304+$I305</f>
        <v/>
      </c>
      <c r="L305" s="55">
        <f>SUMIFS(tblMovement[Tonnes_t],tblMovement[Date],$A305,tblMovement[Is_Ore],1,tblMovement[Source_Type],"Pit",tblMovement[Grade_gpt],"&lt;&gt;")</f>
        <v/>
      </c>
      <c r="M305" s="55">
        <f>IF($B305=$B304,$M304,0)+$L305</f>
        <v/>
      </c>
      <c r="N305" s="55">
        <f>$N304+$L305</f>
        <v/>
      </c>
      <c r="O305" s="56">
        <f>IFERROR(IF(($L305)&gt;0,($I305*cfg_TroyOz)/($L305),""),"")</f>
        <v/>
      </c>
      <c r="P305" s="56">
        <f>IFERROR(IF(($M305)&gt;0,($J305*cfg_TroyOz)/($M305),""),"")</f>
        <v/>
      </c>
      <c r="Q305" s="56">
        <f>IFERROR(IF(($N305)&gt;0,($K305*cfg_TroyOz)/($N305),""),"")</f>
        <v/>
      </c>
      <c r="R305" s="55">
        <f>$F305-$L305</f>
        <v/>
      </c>
      <c r="S305" s="55">
        <f>IF($B305=$B304,$S304,0)+$R305</f>
        <v/>
      </c>
      <c r="T305" s="55">
        <f>$T304+$R305</f>
        <v/>
      </c>
      <c r="U305" s="55">
        <f>SUMIFS(tblMovement[Tonnes_t],tblMovement[Date],$A305,tblMovement[Is_Ore],0,tblMovement[Source_Type],"Pit")</f>
        <v/>
      </c>
      <c r="V305" s="55">
        <f>IF($B305=$B304,$V304,0)+$U305</f>
        <v/>
      </c>
      <c r="W305" s="55">
        <f>$W304+$U305</f>
        <v/>
      </c>
      <c r="X305" s="55">
        <f>$F305+$U305</f>
        <v/>
      </c>
      <c r="Y305" s="55">
        <f>IF($B305=$B304,$Y304,0)+$X305</f>
        <v/>
      </c>
      <c r="Z305" s="55">
        <f>$Z304+$X305</f>
        <v/>
      </c>
      <c r="AA305" s="56">
        <f>IFERROR(IF(($F305)&gt;0,($U305)/($F305),""),"")</f>
        <v/>
      </c>
      <c r="AB305" s="56">
        <f>IFERROR(IF(($G305)&gt;0,($V305)/($G305),""),"")</f>
        <v/>
      </c>
      <c r="AC305" s="56">
        <f>IFERROR(IF(($H305)&gt;0,($W305)/($H305),""),"")</f>
        <v/>
      </c>
      <c r="AD305" s="55">
        <f>SUMIFS(tblMovement[Tonnes_t],tblMovement[Date],$A305,tblMovement[Source_Type],"Stockpile")</f>
        <v/>
      </c>
      <c r="AE305" s="55">
        <f>IF($B305=$B304,$AE304,0)+$AD305</f>
        <v/>
      </c>
      <c r="AF305" s="55">
        <f>$AF304+$AD305</f>
        <v/>
      </c>
      <c r="AG305" s="55">
        <f>SUMIFS(tblMovement[Tonnes_t],tblMovement[Date],$A305)</f>
        <v/>
      </c>
      <c r="AH305" s="55">
        <f>IF($B305=$B304,$AH304,0)+$AG305</f>
        <v/>
      </c>
      <c r="AI305" s="55">
        <f>$AI304+$AG305</f>
        <v/>
      </c>
      <c r="AJ305" s="55">
        <f>$AG305-$X305-$AD305</f>
        <v/>
      </c>
      <c r="AK305" s="55">
        <f>IF($B305=$B304,$AK304,0)+$AJ305</f>
        <v/>
      </c>
      <c r="AL305" s="55">
        <f>$AL304+$AJ305</f>
        <v/>
      </c>
      <c r="AM305" s="55">
        <f>SUMIFS(tblMiningDaily[Drill_m],tblMiningDaily[Date],$A305)</f>
        <v/>
      </c>
      <c r="AN305" s="55">
        <f>IF($B305=$B304,$AN304,0)+$AM305</f>
        <v/>
      </c>
      <c r="AO305" s="55">
        <f>$AO304+$AM305</f>
        <v/>
      </c>
      <c r="AP305" s="55">
        <f>SUMIFS(tblMiningDaily[GC_Drill_m],tblMiningDaily[Date],$A305)</f>
        <v/>
      </c>
      <c r="AQ305" s="55">
        <f>IF($B305=$B304,$AQ304,0)+$AP305</f>
        <v/>
      </c>
      <c r="AR305" s="55">
        <f>$AR304+$AP305</f>
        <v/>
      </c>
      <c r="AS305" s="55">
        <f>SUMIFS(tblMiningDaily[Blast_t],tblMiningDaily[Date],$A305)</f>
        <v/>
      </c>
      <c r="AT305" s="55">
        <f>IF($B305=$B304,$AT304,0)+$AS305</f>
        <v/>
      </c>
      <c r="AU305" s="55">
        <f>$AU304+$AS305</f>
        <v/>
      </c>
      <c r="AV305" s="55">
        <f>SUMIFS(tblMiningDaily[Explosives_kg],tblMiningDaily[Date],$A305)</f>
        <v/>
      </c>
      <c r="AW305" s="55">
        <f>IF($B305=$B304,$AW304,0)+$AV305</f>
        <v/>
      </c>
      <c r="AX305" s="55">
        <f>$AX304+$AV305</f>
        <v/>
      </c>
      <c r="AY305" s="56">
        <f>IFERROR(IF(($AS305)&gt;0,($AV305)/($AS305),""),"")</f>
        <v/>
      </c>
      <c r="AZ305" s="56">
        <f>IFERROR(IF(($AT305)&gt;0,($AW305)/($AT305),""),"")</f>
        <v/>
      </c>
      <c r="BA305" s="56">
        <f>IFERROR(IF(($AU305)&gt;0,($AX305)/($AU305),""),"")</f>
        <v/>
      </c>
      <c r="BB305" s="55">
        <f>SUMIFS(tblMiningDaily[Diesel_L],tblMiningDaily[Date],$A305)</f>
        <v/>
      </c>
      <c r="BC305" s="55">
        <f>IF($B305=$B304,$BC304,0)+$BB305</f>
        <v/>
      </c>
      <c r="BD305" s="55">
        <f>$BD304+$BB305</f>
        <v/>
      </c>
      <c r="BE305" s="55">
        <f>SUMIFS(tblMiningDaily[Dewatering_m3],tblMiningDaily[Date],$A305)</f>
        <v/>
      </c>
      <c r="BF305" s="55">
        <f>IF($B305=$B304,$BF304,0)+$BE305</f>
        <v/>
      </c>
      <c r="BG305" s="55">
        <f>$BG304+$BE305</f>
        <v/>
      </c>
      <c r="BH305" s="57">
        <f>SUMIFS(tblFleet[Calendar_h],tblFleet[Date],$A305,tblFleet[Equipment_Class],"Excavator")</f>
        <v/>
      </c>
      <c r="BI305" s="57">
        <f>IF($B305=$B304,$BI304,0)+$BH305</f>
        <v/>
      </c>
      <c r="BJ305" s="57">
        <f>$BJ304+$BH305</f>
        <v/>
      </c>
      <c r="BK305" s="57">
        <f>SUMIFS(tblFleet[Available_h],tblFleet[Date],$A305,tblFleet[Equipment_Class],"Excavator")</f>
        <v/>
      </c>
      <c r="BL305" s="57">
        <f>IF($B305=$B304,$BL304,0)+$BK305</f>
        <v/>
      </c>
      <c r="BM305" s="57">
        <f>$BM304+$BK305</f>
        <v/>
      </c>
      <c r="BN305" s="57">
        <f>SUMIFS(tblFleet[Operating_h],tblFleet[Date],$A305,tblFleet[Equipment_Class],"Excavator")</f>
        <v/>
      </c>
      <c r="BO305" s="57">
        <f>IF($B305=$B304,$BO304,0)+$BN305</f>
        <v/>
      </c>
      <c r="BP305" s="57">
        <f>$BP304+$BN305</f>
        <v/>
      </c>
      <c r="BQ305" s="67">
        <f>IFERROR(IF(($BH305)&gt;0,($BK305)/($BH305),""),"")</f>
        <v/>
      </c>
      <c r="BR305" s="67">
        <f>IFERROR(IF(($BI305)&gt;0,($BL305)/($BI305),""),"")</f>
        <v/>
      </c>
      <c r="BS305" s="67">
        <f>IFERROR(IF(($BJ305)&gt;0,($BM305)/($BJ305),""),"")</f>
        <v/>
      </c>
      <c r="BT305" s="67">
        <f>IFERROR(IF(($BK305)&gt;0,($BN305)/($BK305),""),"")</f>
        <v/>
      </c>
      <c r="BU305" s="67">
        <f>IFERROR(IF(($BL305)&gt;0,($BO305)/($BL305),""),"")</f>
        <v/>
      </c>
      <c r="BV305" s="67">
        <f>IFERROR(IF(($BM305)&gt;0,($BP305)/($BM305),""),"")</f>
        <v/>
      </c>
      <c r="BW305" s="57">
        <f>SUMIFS(tblFleet[Calendar_h],tblFleet[Date],$A305,tblFleet[Equipment_Class],"Haul Truck")</f>
        <v/>
      </c>
      <c r="BX305" s="57">
        <f>IF($B305=$B304,$BX304,0)+$BW305</f>
        <v/>
      </c>
      <c r="BY305" s="57">
        <f>$BY304+$BW305</f>
        <v/>
      </c>
      <c r="BZ305" s="57">
        <f>SUMIFS(tblFleet[Available_h],tblFleet[Date],$A305,tblFleet[Equipment_Class],"Haul Truck")</f>
        <v/>
      </c>
      <c r="CA305" s="57">
        <f>IF($B305=$B304,$CA304,0)+$BZ305</f>
        <v/>
      </c>
      <c r="CB305" s="57">
        <f>$CB304+$BZ305</f>
        <v/>
      </c>
      <c r="CC305" s="57">
        <f>SUMIFS(tblFleet[Operating_h],tblFleet[Date],$A305,tblFleet[Equipment_Class],"Haul Truck")</f>
        <v/>
      </c>
      <c r="CD305" s="57">
        <f>IF($B305=$B304,$CD304,0)+$CC305</f>
        <v/>
      </c>
      <c r="CE305" s="57">
        <f>$CE304+$CC305</f>
        <v/>
      </c>
      <c r="CF305" s="67">
        <f>IFERROR(IF(($BW305)&gt;0,($BZ305)/($BW305),""),"")</f>
        <v/>
      </c>
      <c r="CG305" s="67">
        <f>IFERROR(IF(($BX305)&gt;0,($CA305)/($BX305),""),"")</f>
        <v/>
      </c>
      <c r="CH305" s="67">
        <f>IFERROR(IF(($BY305)&gt;0,($CB305)/($BY305),""),"")</f>
        <v/>
      </c>
      <c r="CI305" s="67">
        <f>IFERROR(IF(($BZ305)&gt;0,($CC305)/($BZ305),""),"")</f>
        <v/>
      </c>
      <c r="CJ305" s="67">
        <f>IFERROR(IF(($CA305)&gt;0,($CD305)/($CA305),""),"")</f>
        <v/>
      </c>
      <c r="CK305" s="67">
        <f>IFERROR(IF(($CB305)&gt;0,($CE305)/($CB305),""),"")</f>
        <v/>
      </c>
      <c r="CL305" s="55">
        <f>IFERROR(IF(($BN305)&gt;0,($X305+$AD305)/($BN305),""),"")</f>
        <v/>
      </c>
      <c r="CM305" s="55">
        <f>IFERROR(IF(($BO305)&gt;0,($Y305+$AE305)/($BO305),""),"")</f>
        <v/>
      </c>
      <c r="CN305" s="55">
        <f>IFERROR(IF(($BP305)&gt;0,($Z305+$AF305)/($BP305),""),"")</f>
        <v/>
      </c>
      <c r="CO305" s="55">
        <f>IFERROR(IF(($CC305)&gt;0,($X305+$AD305)/($CC305),""),"")</f>
        <v/>
      </c>
      <c r="CP305" s="55">
        <f>IFERROR(IF(($CD305)&gt;0,($Y305+$AE305)/($CD305),""),"")</f>
        <v/>
      </c>
      <c r="CQ305" s="55">
        <f>IFERROR(IF(($CE305)&gt;0,($Z305+$AF305)/($CE305),""),"")</f>
        <v/>
      </c>
      <c r="CR305" s="55">
        <f>SUMIFS(tblPlant[Crushed_t],tblPlant[Date],$A305)</f>
        <v/>
      </c>
      <c r="CS305" s="55">
        <f>IF($B305=$B304,$CS304,0)+$CR305</f>
        <v/>
      </c>
      <c r="CT305" s="55">
        <f>$CT304+$CR305</f>
        <v/>
      </c>
      <c r="CU305" s="55">
        <f>SUMIFS(tblPlant[Milled_t],tblPlant[Date],$A305)</f>
        <v/>
      </c>
      <c r="CV305" s="55">
        <f>IF($B305=$B304,$CV304,0)+$CU305</f>
        <v/>
      </c>
      <c r="CW305" s="55">
        <f>$CW304+$CU305</f>
        <v/>
      </c>
      <c r="CX305" s="55">
        <f>SUMIFS(tblPlant[Feed_oz],tblPlant[Date],$A305)</f>
        <v/>
      </c>
      <c r="CY305" s="55">
        <f>IF($B305=$B304,$CY304,0)+$CX305</f>
        <v/>
      </c>
      <c r="CZ305" s="55">
        <f>$CZ304+$CX305</f>
        <v/>
      </c>
      <c r="DA305" s="55">
        <f>SUMIFS(tblPlant[Tails_oz],tblPlant[Date],$A305)</f>
        <v/>
      </c>
      <c r="DB305" s="55">
        <f>IF($B305=$B304,$DB304,0)+$DA305</f>
        <v/>
      </c>
      <c r="DC305" s="55">
        <f>$DC304+$DA305</f>
        <v/>
      </c>
      <c r="DD305" s="55">
        <f>SUMIFS(tblPlant[Recovered_oz],tblPlant[Date],$A305)</f>
        <v/>
      </c>
      <c r="DE305" s="55">
        <f>IF($B305=$B304,$DE304,0)+$DD305</f>
        <v/>
      </c>
      <c r="DF305" s="55">
        <f>$DF304+$DD305</f>
        <v/>
      </c>
      <c r="DG305" s="55">
        <f>SUMIFS(tblPlant[Milled_t],tblPlant[Date],$A305,tblPlant[Head_Grade_gpt],"&lt;&gt;")</f>
        <v/>
      </c>
      <c r="DH305" s="55">
        <f>IF($B305=$B304,$DH304,0)+$DG305</f>
        <v/>
      </c>
      <c r="DI305" s="55">
        <f>$DI304+$DG305</f>
        <v/>
      </c>
      <c r="DJ305" s="55">
        <f>SUMIFS(tblPlant[Milled_t],tblPlant[Date],$A305,tblPlant[Tails_Grade_gpt],"&lt;&gt;")</f>
        <v/>
      </c>
      <c r="DK305" s="55">
        <f>IF($B305=$B304,$DK304,0)+$DJ305</f>
        <v/>
      </c>
      <c r="DL305" s="55">
        <f>$DL304+$DJ305</f>
        <v/>
      </c>
      <c r="DM305" s="55">
        <f>SUMIFS(tblPlant[Feed_oz],tblPlant[Date],$A305,tblPlant[Tails_Grade_gpt],"&lt;&gt;")</f>
        <v/>
      </c>
      <c r="DN305" s="55">
        <f>IF($B305=$B304,$DN304,0)+$DM305</f>
        <v/>
      </c>
      <c r="DO305" s="55">
        <f>$DO304+$DM305</f>
        <v/>
      </c>
      <c r="DP305" s="55">
        <f>SUMIFS(tblPlant[Milled_t],tblPlant[Date],$A305,tblPlant[Mill_Run_h],"&lt;&gt;")</f>
        <v/>
      </c>
      <c r="DQ305" s="55">
        <f>IF($B305=$B304,$DQ304,0)+$DP305</f>
        <v/>
      </c>
      <c r="DR305" s="55">
        <f>$DR304+$DP305</f>
        <v/>
      </c>
      <c r="DS305" s="56">
        <f>IFERROR(IF(($DG305)&gt;0,($CX305*cfg_TroyOz)/($DG305),""),"")</f>
        <v/>
      </c>
      <c r="DT305" s="56">
        <f>IFERROR(IF(($DH305)&gt;0,($CY305*cfg_TroyOz)/($DH305),""),"")</f>
        <v/>
      </c>
      <c r="DU305" s="56">
        <f>IFERROR(IF(($DI305)&gt;0,($CZ305*cfg_TroyOz)/($DI305),""),"")</f>
        <v/>
      </c>
      <c r="DV305" s="56">
        <f>IFERROR(IF(($DJ305)&gt;0,($DA305*cfg_TroyOz)/($DJ305),""),"")</f>
        <v/>
      </c>
      <c r="DW305" s="56">
        <f>IFERROR(IF(($DK305)&gt;0,($DB305*cfg_TroyOz)/($DK305),""),"")</f>
        <v/>
      </c>
      <c r="DX305" s="56">
        <f>IFERROR(IF(($DL305)&gt;0,($DC305*cfg_TroyOz)/($DL305),""),"")</f>
        <v/>
      </c>
      <c r="DY305" s="67">
        <f>IFERROR(IF(($DM305)&gt;0,($DD305)/($DM305),""),"")</f>
        <v/>
      </c>
      <c r="DZ305" s="67">
        <f>IFERROR(IF(($DN305)&gt;0,($DE305)/($DN305),""),"")</f>
        <v/>
      </c>
      <c r="EA305" s="67">
        <f>IFERROR(IF(($DO305)&gt;0,($DF305)/($DO305),""),"")</f>
        <v/>
      </c>
      <c r="EB305" s="55">
        <f>SUMIFS(tblPlant[Gravity_Gold_oz],tblPlant[Date],$A305)</f>
        <v/>
      </c>
      <c r="EC305" s="55">
        <f>IF($B305=$B304,$EC304,0)+$EB305</f>
        <v/>
      </c>
      <c r="ED305" s="55">
        <f>$ED304+$EB305</f>
        <v/>
      </c>
      <c r="EE305" s="67">
        <f>IFERROR(IF(($DD305)&gt;0,($EB305)/($DD305),""),"")</f>
        <v/>
      </c>
      <c r="EF305" s="67">
        <f>IFERROR(IF(($DE305)&gt;0,($EC305)/($DE305),""),"")</f>
        <v/>
      </c>
      <c r="EG305" s="67">
        <f>IFERROR(IF(($DF305)&gt;0,($ED305)/($DF305),""),"")</f>
        <v/>
      </c>
      <c r="EH305" s="55">
        <f>SUMIFS(tblPlant[Gold_Poured_oz],tblPlant[Date],$A305)</f>
        <v/>
      </c>
      <c r="EI305" s="55">
        <f>IF($B305=$B304,$EI304,0)+$EH305</f>
        <v/>
      </c>
      <c r="EJ305" s="55">
        <f>$EJ304+$EH305</f>
        <v/>
      </c>
      <c r="EK305" s="57">
        <f>SUMIFS(tblPlant[Mill_Run_h],tblPlant[Date],$A305)</f>
        <v/>
      </c>
      <c r="EL305" s="57">
        <f>IF($B305=$B304,$EL304,0)+$EK305</f>
        <v/>
      </c>
      <c r="EM305" s="57">
        <f>$EM304+$EK305</f>
        <v/>
      </c>
      <c r="EN305" s="57">
        <f>SUMIFS(tblPlant[Mill_Planned_Maint_h],tblPlant[Date],$A305)</f>
        <v/>
      </c>
      <c r="EO305" s="57">
        <f>IF($B305=$B304,$EO304,0)+$EN305</f>
        <v/>
      </c>
      <c r="EP305" s="57">
        <f>$EP304+$EN305</f>
        <v/>
      </c>
      <c r="EQ305" s="57">
        <f>SUMIFS(tblPlant[Mill_Unplanned_Down_h],tblPlant[Date],$A305)</f>
        <v/>
      </c>
      <c r="ER305" s="57">
        <f>IF($B305=$B304,$ER304,0)+$EQ305</f>
        <v/>
      </c>
      <c r="ES305" s="57">
        <f>$ES304+$EQ305</f>
        <v/>
      </c>
      <c r="ET305" s="57">
        <f>IF(COUNTIFS(tblPlant[Date],$A305,tblPlant[Mill_Run_h],"&lt;&gt;")+COUNTIFS(tblPlant[Date],$A305,tblPlant[Mill_Planned_Maint_h],"&lt;&gt;")+COUNTIFS(tblPlant[Date],$A305,tblPlant[Mill_Unplanned_Down_h],"&lt;&gt;")&gt;0,cfg_HoursPerDay,0)</f>
        <v/>
      </c>
      <c r="EU305" s="57">
        <f>IF($B305=$B304,$EU304,0)+$ET305</f>
        <v/>
      </c>
      <c r="EV305" s="57">
        <f>$EV304+$ET305</f>
        <v/>
      </c>
      <c r="EW305" s="57">
        <f>SUMIFS(tblPlant[Crusher_Run_h],tblPlant[Date],$A305)</f>
        <v/>
      </c>
      <c r="EX305" s="57">
        <f>IF($B305=$B304,$EX304,0)+$EW305</f>
        <v/>
      </c>
      <c r="EY305" s="57">
        <f>$EY304+$EW305</f>
        <v/>
      </c>
      <c r="EZ305" s="55">
        <f>IFERROR(IF(($EK305)&gt;0,($DP305)/($EK305),""),"")</f>
        <v/>
      </c>
      <c r="FA305" s="55">
        <f>IFERROR(IF(($EL305)&gt;0,($DQ305)/($EL305),""),"")</f>
        <v/>
      </c>
      <c r="FB305" s="55">
        <f>IFERROR(IF(($EM305)&gt;0,($DR305)/($EM305),""),"")</f>
        <v/>
      </c>
      <c r="FC305" s="67">
        <f>IFERROR(IF(($ET305)&gt;0,($ET305-$EN305-$EQ305)/($ET305),""),"")</f>
        <v/>
      </c>
      <c r="FD305" s="67">
        <f>IFERROR(IF(($EU305)&gt;0,($EU305-$EO305-$ER305)/($EU305),""),"")</f>
        <v/>
      </c>
      <c r="FE305" s="67">
        <f>IFERROR(IF(($EV305)&gt;0,($EV305-$EP305-$ES305)/($EV305),""),"")</f>
        <v/>
      </c>
      <c r="FF305" s="67">
        <f>IFERROR(IF(($ET305-$EN305-$EQ305)&gt;0,($EK305)/($ET305-$EN305-$EQ305),""),"")</f>
        <v/>
      </c>
      <c r="FG305" s="67">
        <f>IFERROR(IF(($EU305-$EO305-$ER305)&gt;0,($EL305)/($EU305-$EO305-$ER305),""),"")</f>
        <v/>
      </c>
      <c r="FH305" s="67">
        <f>IFERROR(IF(($EV305-$EP305-$ES305)&gt;0,($EM305)/($EV305-$EP305-$ES305),""),"")</f>
        <v/>
      </c>
      <c r="FI305" s="55">
        <f>SUMIFS(tblPlant[Cyanide_kg],tblPlant[Date],$A305)</f>
        <v/>
      </c>
      <c r="FJ305" s="55">
        <f>IF($B305=$B304,$FJ304,0)+$FI305</f>
        <v/>
      </c>
      <c r="FK305" s="55">
        <f>$FK304+$FI305</f>
        <v/>
      </c>
      <c r="FL305" s="55">
        <f>SUMIFS(tblPlant[Lime_kg],tblPlant[Date],$A305)</f>
        <v/>
      </c>
      <c r="FM305" s="55">
        <f>IF($B305=$B304,$FM304,0)+$FL305</f>
        <v/>
      </c>
      <c r="FN305" s="55">
        <f>$FN304+$FL305</f>
        <v/>
      </c>
      <c r="FO305" s="55">
        <f>SUMIFS(tblPlant[Grinding_Media_kg],tblPlant[Date],$A305)</f>
        <v/>
      </c>
      <c r="FP305" s="55">
        <f>IF($B305=$B304,$FP304,0)+$FO305</f>
        <v/>
      </c>
      <c r="FQ305" s="55">
        <f>$FQ304+$FO305</f>
        <v/>
      </c>
      <c r="FR305" s="55">
        <f>SUMIFS(tblPlant[Power_kWh],tblPlant[Date],$A305)</f>
        <v/>
      </c>
      <c r="FS305" s="55">
        <f>IF($B305=$B304,$FS304,0)+$FR305</f>
        <v/>
      </c>
      <c r="FT305" s="55">
        <f>$FT304+$FR305</f>
        <v/>
      </c>
      <c r="FU305" s="55">
        <f>SUMIFS(tblPlant[Raw_Water_m3],tblPlant[Date],$A305)</f>
        <v/>
      </c>
      <c r="FV305" s="55">
        <f>IF($B305=$B304,$FV304,0)+$FU305</f>
        <v/>
      </c>
      <c r="FW305" s="55">
        <f>$FW304+$FU305</f>
        <v/>
      </c>
      <c r="FX305" s="56">
        <f>IFERROR(IF(($CU305)&gt;0,($FI305)/($CU305),""),"")</f>
        <v/>
      </c>
      <c r="FY305" s="56">
        <f>IFERROR(IF(($CV305)&gt;0,($FJ305)/($CV305),""),"")</f>
        <v/>
      </c>
      <c r="FZ305" s="56">
        <f>IFERROR(IF(($CW305)&gt;0,($FK305)/($CW305),""),"")</f>
        <v/>
      </c>
      <c r="GA305" s="56">
        <f>IFERROR(IF(($CU305)&gt;0,($FL305)/($CU305),""),"")</f>
        <v/>
      </c>
      <c r="GB305" s="56">
        <f>IFERROR(IF(($CV305)&gt;0,($FM305)/($CV305),""),"")</f>
        <v/>
      </c>
      <c r="GC305" s="56">
        <f>IFERROR(IF(($CW305)&gt;0,($FN305)/($CW305),""),"")</f>
        <v/>
      </c>
      <c r="GD305" s="56">
        <f>IFERROR(IF(($CU305)&gt;0,($FO305)/($CU305),""),"")</f>
        <v/>
      </c>
      <c r="GE305" s="56">
        <f>IFERROR(IF(($CV305)&gt;0,($FP305)/($CV305),""),"")</f>
        <v/>
      </c>
      <c r="GF305" s="56">
        <f>IFERROR(IF(($CW305)&gt;0,($FQ305)/($CW305),""),"")</f>
        <v/>
      </c>
      <c r="GG305" s="79">
        <f>IFERROR(IF(($CU305)&gt;0,($FR305)/($CU305),""),"")</f>
        <v/>
      </c>
      <c r="GH305" s="79">
        <f>IFERROR(IF(($CV305)&gt;0,($FS305)/($CV305),""),"")</f>
        <v/>
      </c>
      <c r="GI305" s="79">
        <f>IFERROR(IF(($CW305)&gt;0,($FT305)/($CW305),""),"")</f>
        <v/>
      </c>
      <c r="GJ305" s="56">
        <f>IFERROR(IF(($CU305)&gt;0,($FU305)/($CU305),""),"")</f>
        <v/>
      </c>
      <c r="GK305" s="56">
        <f>IFERROR(IF(($CV305)&gt;0,($FV305)/($CV305),""),"")</f>
        <v/>
      </c>
      <c r="GL305" s="56">
        <f>IFERROR(IF(($CW305)&gt;0,($FW305)/($CW305),""),"")</f>
        <v/>
      </c>
      <c r="GM305" s="55">
        <f>IF(SUMIFS(tblPlant[GIC_oz],tblPlant[Date],$A305)&gt;0,SUMIFS(tblPlant[GIC_oz],tblPlant[Date],$A305),"")</f>
        <v/>
      </c>
      <c r="GN305" s="55">
        <f>SUMIFS(tblGold[Gold_oz],tblGold[Date],$A305,tblGold[Type],"Shipment")</f>
        <v/>
      </c>
      <c r="GO305" s="55">
        <f>IF($B305=$B304,$GO304,0)+$GN305</f>
        <v/>
      </c>
      <c r="GP305" s="55">
        <f>$GP304+$GN305</f>
        <v/>
      </c>
      <c r="GQ305" s="55">
        <f>SUMIFS(tblGold[Gold_oz],tblGold[Date],$A305,tblGold[Type],"Sale")</f>
        <v/>
      </c>
      <c r="GR305" s="55">
        <f>IF($B305=$B304,$GR304,0)+$GQ305</f>
        <v/>
      </c>
      <c r="GS305" s="55">
        <f>$GS304+$GQ305</f>
        <v/>
      </c>
      <c r="GT305" s="55">
        <f>SUMIFS(tblGold[Dore_kg],tblGold[Date],$A305,tblGold[Type],"Shipment")</f>
        <v/>
      </c>
      <c r="GU305" s="55">
        <f>IF($B305=$B304,$GU304,0)+$GT305</f>
        <v/>
      </c>
      <c r="GV305" s="55">
        <f>$GV304+$GT305</f>
        <v/>
      </c>
      <c r="GW305" s="57">
        <f>SUMIFS(tblSafety[Hours_Total],tblSafety[Date],$A305)</f>
        <v/>
      </c>
      <c r="GX305" s="57">
        <f>IF($B305=$B304,$GX304,0)+$GW305</f>
        <v/>
      </c>
      <c r="GY305" s="57">
        <f>$GY304+$GW305</f>
        <v/>
      </c>
      <c r="GZ305" s="62">
        <f>SUMIFS(tblSafety[Fatality],tblSafety[Date],$A305)</f>
        <v/>
      </c>
      <c r="HA305" s="62">
        <f>IF($B305=$B304,$HA304,0)+$GZ305</f>
        <v/>
      </c>
      <c r="HB305" s="62">
        <f>$HB304+$GZ305</f>
        <v/>
      </c>
      <c r="HC305" s="62">
        <f>SUMIFS(tblSafety[LTI],tblSafety[Date],$A305)</f>
        <v/>
      </c>
      <c r="HD305" s="62">
        <f>IF($B305=$B304,$HD304,0)+$HC305</f>
        <v/>
      </c>
      <c r="HE305" s="62">
        <f>$HE304+$HC305</f>
        <v/>
      </c>
      <c r="HF305" s="62">
        <f>SUMIFS(tblSafety[RWI],tblSafety[Date],$A305)</f>
        <v/>
      </c>
      <c r="HG305" s="62">
        <f>IF($B305=$B304,$HG304,0)+$HF305</f>
        <v/>
      </c>
      <c r="HH305" s="62">
        <f>$HH304+$HF305</f>
        <v/>
      </c>
      <c r="HI305" s="62">
        <f>SUMIFS(tblSafety[MTI],tblSafety[Date],$A305)</f>
        <v/>
      </c>
      <c r="HJ305" s="62">
        <f>IF($B305=$B304,$HJ304,0)+$HI305</f>
        <v/>
      </c>
      <c r="HK305" s="62">
        <f>$HK304+$HI305</f>
        <v/>
      </c>
      <c r="HL305" s="62">
        <f>SUMIFS(tblSafety[FAI],tblSafety[Date],$A305)</f>
        <v/>
      </c>
      <c r="HM305" s="62">
        <f>IF($B305=$B304,$HM304,0)+$HL305</f>
        <v/>
      </c>
      <c r="HN305" s="62">
        <f>$HN304+$HL305</f>
        <v/>
      </c>
      <c r="HO305" s="62">
        <f>SUMIFS(tblSafety[Recordables],tblSafety[Date],$A305)</f>
        <v/>
      </c>
      <c r="HP305" s="62">
        <f>IF($B305=$B304,$HP304,0)+$HO305</f>
        <v/>
      </c>
      <c r="HQ305" s="62">
        <f>$HQ304+$HO305</f>
        <v/>
      </c>
      <c r="HR305" s="62">
        <f>SUMIFS(tblSafety[Near_Miss],tblSafety[Date],$A305)</f>
        <v/>
      </c>
      <c r="HS305" s="62">
        <f>IF($B305=$B304,$HS304,0)+$HR305</f>
        <v/>
      </c>
      <c r="HT305" s="62">
        <f>$HT304+$HR305</f>
        <v/>
      </c>
      <c r="HU305" s="62">
        <f>SUMIFS(tblSafety[Hazard_Reports],tblSafety[Date],$A305)</f>
        <v/>
      </c>
      <c r="HV305" s="62">
        <f>IF($B305=$B304,$HV304,0)+$HU305</f>
        <v/>
      </c>
      <c r="HW305" s="62">
        <f>$HW304+$HU305</f>
        <v/>
      </c>
      <c r="HX305" s="62">
        <f>SUMIFS(tblSafety[HPI],tblSafety[Date],$A305)</f>
        <v/>
      </c>
      <c r="HY305" s="62">
        <f>IF($B305=$B304,$HY304,0)+$HX305</f>
        <v/>
      </c>
      <c r="HZ305" s="62">
        <f>$HZ304+$HX305</f>
        <v/>
      </c>
      <c r="IA305" s="62">
        <f>SUMIFS(tblSafety[Env_Incidents],tblSafety[Date],$A305)</f>
        <v/>
      </c>
      <c r="IB305" s="62">
        <f>IF($B305=$B304,$IB304,0)+$IA305</f>
        <v/>
      </c>
      <c r="IC305" s="62">
        <f>$IC304+$IA305</f>
        <v/>
      </c>
      <c r="ID305" s="62">
        <f>SUMIFS(tblSafety[Community_Incidents],tblSafety[Date],$A305)</f>
        <v/>
      </c>
      <c r="IE305" s="62">
        <f>IF($B305=$B304,$IE304,0)+$ID305</f>
        <v/>
      </c>
      <c r="IF305" s="62">
        <f>$IF304+$ID305</f>
        <v/>
      </c>
      <c r="IG305" s="62">
        <f>SUMIFS(tblSafety[Vehicle_Incidents],tblSafety[Date],$A305)</f>
        <v/>
      </c>
      <c r="IH305" s="62">
        <f>IF($B305=$B304,$IH304,0)+$IG305</f>
        <v/>
      </c>
      <c r="II305" s="62">
        <f>$II304+$IG305</f>
        <v/>
      </c>
      <c r="IJ305" s="62">
        <f>SUMIFS(tblSafety[Toolbox_Talks],tblSafety[Date],$A305)</f>
        <v/>
      </c>
      <c r="IK305" s="62">
        <f>IF($B305=$B304,$IK304,0)+$IJ305</f>
        <v/>
      </c>
      <c r="IL305" s="62">
        <f>$IL304+$IJ305</f>
        <v/>
      </c>
      <c r="IM305" s="62">
        <f>SUMIFS(tblSafety[Inspections],tblSafety[Date],$A305)</f>
        <v/>
      </c>
      <c r="IN305" s="62">
        <f>IF($B305=$B304,$IN304,0)+$IM305</f>
        <v/>
      </c>
      <c r="IO305" s="62">
        <f>$IO304+$IM305</f>
        <v/>
      </c>
      <c r="IP305" s="56">
        <f>IFERROR((SUMIFS(tblSafety[Recordables],tblSafety[Date],"&gt;="&amp;EDATE($E305,-12),tblSafety[Date],"&lt;="&amp;$A305)+SUMIFS(tblSafetyHistory[Recordables],tblSafetyHistory[Month],"&gt;="&amp;EDATE($E305,-12),tblSafetyHistory[Month],"&lt;"&amp;$E305,tblSafetyHistory[Use],1))/(SUMIFS(tblSafety[Hours_Total],tblSafety[Date],"&gt;="&amp;EDATE($E305,-12),tblSafety[Date],"&lt;="&amp;$A305)+SUMIFS(tblSafetyHistory[Hours_Total],tblSafetyHistory[Month],"&gt;="&amp;EDATE($E305,-12),tblSafetyHistory[Month],"&lt;"&amp;$E305,tblSafetyHistory[Use],1))*cfg_RateBasisHours,"")</f>
        <v/>
      </c>
      <c r="IQ305" s="56">
        <f>IFERROR((SUMIFS(tblSafety[LTI],tblSafety[Date],"&gt;="&amp;EDATE($E305,-12),tblSafety[Date],"&lt;="&amp;$A305)+SUMIFS(tblSafetyHistory[LTI],tblSafetyHistory[Month],"&gt;="&amp;EDATE($E305,-12),tblSafetyHistory[Month],"&lt;"&amp;$E305,tblSafetyHistory[Use],1))/(SUMIFS(tblSafety[Hours_Total],tblSafety[Date],"&gt;="&amp;EDATE($E305,-12),tblSafety[Date],"&lt;="&amp;$A305)+SUMIFS(tblSafetyHistory[Hours_Total],tblSafetyHistory[Month],"&gt;="&amp;EDATE($E305,-12),tblSafetyHistory[Month],"&lt;"&amp;$E305,tblSafetyHistory[Use],1))*cfg_RateBasisHours,"")</f>
        <v/>
      </c>
      <c r="IR305" s="62">
        <f>IF(MAX(N(cfg_PriorLTIDate),_xlfn.MAXIFS(tblSafety[Date],tblSafety[LTI],"&gt;0",tblSafety[Date],"&lt;="&amp;$A305))=0,"",$A305-MAX(N(cfg_PriorLTIDate),_xlfn.MAXIFS(tblSafety[Date],tblSafety[LTI],"&gt;0",tblSafety[Date],"&lt;="&amp;$A305)))</f>
        <v/>
      </c>
      <c r="IS305" s="55">
        <f>SUMIFS(tblBudget[Ore_Mined_t],tblBudget[Month],$E305)</f>
        <v/>
      </c>
      <c r="IT305" s="55">
        <f>$IS305*$C305/$D305</f>
        <v/>
      </c>
      <c r="IU305" s="55">
        <f>SUMIFS(tblBudget[Ore_Mined_t],tblBudget[Month],"&lt;"&amp;$E305)+$IT305</f>
        <v/>
      </c>
      <c r="IV305" s="55">
        <f>SUMIFS(tblBudget[Ore_oz],tblBudget[Month],$E305)</f>
        <v/>
      </c>
      <c r="IW305" s="55">
        <f>$IV305*$C305/$D305</f>
        <v/>
      </c>
      <c r="IX305" s="55">
        <f>SUMIFS(tblBudget[Ore_oz],tblBudget[Month],"&lt;"&amp;$E305)+$IW305</f>
        <v/>
      </c>
      <c r="IY305" s="55">
        <f>SUMIFS(tblBudget[Ore_Mined_t],tblBudget[Month],$E305)</f>
        <v/>
      </c>
      <c r="IZ305" s="55">
        <f>$IY305*$C305/$D305</f>
        <v/>
      </c>
      <c r="JA305" s="55">
        <f>SUMIFS(tblBudget[Ore_Mined_t],tblBudget[Month],"&lt;"&amp;$E305)+$IZ305</f>
        <v/>
      </c>
      <c r="JB305" s="56">
        <f>IFERROR(IF(($IY305)&gt;0,($IV305*cfg_TroyOz)/($IY305),""),"")</f>
        <v/>
      </c>
      <c r="JC305" s="56">
        <f>IFERROR(IF(($IZ305)&gt;0,($IW305*cfg_TroyOz)/($IZ305),""),"")</f>
        <v/>
      </c>
      <c r="JD305" s="56">
        <f>IFERROR(IF(($JA305)&gt;0,($IX305*cfg_TroyOz)/($JA305),""),"")</f>
        <v/>
      </c>
      <c r="JE305" s="55">
        <f>SUMIFS(tblBudget[Waste_t],tblBudget[Month],$E305)</f>
        <v/>
      </c>
      <c r="JF305" s="55">
        <f>$JE305*$C305/$D305</f>
        <v/>
      </c>
      <c r="JG305" s="55">
        <f>SUMIFS(tblBudget[Waste_t],tblBudget[Month],"&lt;"&amp;$E305)+$JF305</f>
        <v/>
      </c>
      <c r="JH305" s="55">
        <f>SUMIFS(tblBudget[TMM_t],tblBudget[Month],$E305)</f>
        <v/>
      </c>
      <c r="JI305" s="55">
        <f>$JH305*$C305/$D305</f>
        <v/>
      </c>
      <c r="JJ305" s="55">
        <f>SUMIFS(tblBudget[TMM_t],tblBudget[Month],"&lt;"&amp;$E305)+$JI305</f>
        <v/>
      </c>
      <c r="JK305" s="56">
        <f>IFERROR(IF(($IS305)&gt;0,($JE305)/($IS305),""),"")</f>
        <v/>
      </c>
      <c r="JL305" s="56">
        <f>IFERROR(IF(($IT305)&gt;0,($JF305)/($IT305),""),"")</f>
        <v/>
      </c>
      <c r="JM305" s="56">
        <f>IFERROR(IF(($IU305)&gt;0,($JG305)/($IU305),""),"")</f>
        <v/>
      </c>
      <c r="JN305" s="55">
        <f>SUMIFS(tblBudget[Drill_m],tblBudget[Month],$E305)</f>
        <v/>
      </c>
      <c r="JO305" s="55">
        <f>$JN305*$C305/$D305</f>
        <v/>
      </c>
      <c r="JP305" s="55">
        <f>SUMIFS(tblBudget[Drill_m],tblBudget[Month],"&lt;"&amp;$E305)+$JO305</f>
        <v/>
      </c>
      <c r="JQ305" s="55">
        <f>SUMIFS(tblBudget[Diesel_L],tblBudget[Month],$E305)</f>
        <v/>
      </c>
      <c r="JR305" s="55">
        <f>$JQ305*$C305/$D305</f>
        <v/>
      </c>
      <c r="JS305" s="55">
        <f>SUMIFS(tblBudget[Diesel_L],tblBudget[Month],"&lt;"&amp;$E305)+$JR305</f>
        <v/>
      </c>
      <c r="JT305" s="55">
        <f>SUMIFS(tblBudget[Milled_t],tblBudget[Month],$E305)</f>
        <v/>
      </c>
      <c r="JU305" s="55">
        <f>$JT305*$C305/$D305</f>
        <v/>
      </c>
      <c r="JV305" s="55">
        <f>SUMIFS(tblBudget[Milled_t],tblBudget[Month],"&lt;"&amp;$E305)+$JU305</f>
        <v/>
      </c>
      <c r="JW305" s="55">
        <f>SUMIFS(tblBudget[Feed_oz],tblBudget[Month],$E305)</f>
        <v/>
      </c>
      <c r="JX305" s="55">
        <f>$JW305*$C305/$D305</f>
        <v/>
      </c>
      <c r="JY305" s="55">
        <f>SUMIFS(tblBudget[Feed_oz],tblBudget[Month],"&lt;"&amp;$E305)+$JX305</f>
        <v/>
      </c>
      <c r="JZ305" s="55">
        <f>SUMIFS(tblBudget[Recovered_oz],tblBudget[Month],$E305)</f>
        <v/>
      </c>
      <c r="KA305" s="55">
        <f>$JZ305*$C305/$D305</f>
        <v/>
      </c>
      <c r="KB305" s="55">
        <f>SUMIFS(tblBudget[Recovered_oz],tblBudget[Month],"&lt;"&amp;$E305)+$KA305</f>
        <v/>
      </c>
      <c r="KC305" s="55">
        <f>SUMIFS(tblBudget[Milled_t],tblBudget[Month],$E305)</f>
        <v/>
      </c>
      <c r="KD305" s="55">
        <f>$KC305*$C305/$D305</f>
        <v/>
      </c>
      <c r="KE305" s="55">
        <f>SUMIFS(tblBudget[Milled_t],tblBudget[Month],"&lt;"&amp;$E305)+$KD305</f>
        <v/>
      </c>
      <c r="KF305" s="55">
        <f>SUMIFS(tblBudget[Feed_oz],tblBudget[Month],$E305)</f>
        <v/>
      </c>
      <c r="KG305" s="55">
        <f>$KF305*$C305/$D305</f>
        <v/>
      </c>
      <c r="KH305" s="55">
        <f>SUMIFS(tblBudget[Feed_oz],tblBudget[Month],"&lt;"&amp;$E305)+$KG305</f>
        <v/>
      </c>
      <c r="KI305" s="56">
        <f>IFERROR(IF(($KC305)&gt;0,($JW305*cfg_TroyOz)/($KC305),""),"")</f>
        <v/>
      </c>
      <c r="KJ305" s="56">
        <f>IFERROR(IF(($KD305)&gt;0,($JX305*cfg_TroyOz)/($KD305),""),"")</f>
        <v/>
      </c>
      <c r="KK305" s="56">
        <f>IFERROR(IF(($KE305)&gt;0,($JY305*cfg_TroyOz)/($KE305),""),"")</f>
        <v/>
      </c>
      <c r="KL305" s="67">
        <f>IFERROR(IF(($KF305)&gt;0,($JZ305)/($KF305),""),"")</f>
        <v/>
      </c>
      <c r="KM305" s="67">
        <f>IFERROR(IF(($KG305)&gt;0,($KA305)/($KG305),""),"")</f>
        <v/>
      </c>
      <c r="KN305" s="67">
        <f>IFERROR(IF(($KH305)&gt;0,($KB305)/($KH305),""),"")</f>
        <v/>
      </c>
      <c r="KO305" s="55">
        <f>SUMIFS(tblBudget[Gold_Poured_oz],tblBudget[Month],$E305)</f>
        <v/>
      </c>
      <c r="KP305" s="55">
        <f>$KO305*$C305/$D305</f>
        <v/>
      </c>
      <c r="KQ305" s="55">
        <f>SUMIFS(tblBudget[Gold_Poured_oz],tblBudget[Month],"&lt;"&amp;$E305)+$KP305</f>
        <v/>
      </c>
      <c r="KR305" s="57">
        <f>SUMIFS(tblBudget[Hours_Worked],tblBudget[Month],$E305)</f>
        <v/>
      </c>
      <c r="KS305" s="57">
        <f>$KR305*$C305/$D305</f>
        <v/>
      </c>
      <c r="KT305" s="57">
        <f>SUMIFS(tblBudget[Hours_Worked],tblBudget[Month],"&lt;"&amp;$E305)+$KS305</f>
        <v/>
      </c>
    </row>
    <row r="306">
      <c r="A306" s="54" t="n">
        <v>46327</v>
      </c>
      <c r="B306">
        <f>MONTH($A306)</f>
        <v/>
      </c>
      <c r="C306">
        <f>DAY($A306)</f>
        <v/>
      </c>
      <c r="D306">
        <f>DAY(EOMONTH($A306,0))</f>
        <v/>
      </c>
      <c r="E306" s="54">
        <f>DATE(YEAR($A306),MONTH($A306),1)</f>
        <v/>
      </c>
      <c r="F306" s="55">
        <f>SUMIFS(tblMovement[Tonnes_t],tblMovement[Date],$A306,tblMovement[Is_Ore],1,tblMovement[Source_Type],"Pit")</f>
        <v/>
      </c>
      <c r="G306" s="55">
        <f>IF($B306=$B305,$G305,0)+$F306</f>
        <v/>
      </c>
      <c r="H306" s="55">
        <f>$H305+$F306</f>
        <v/>
      </c>
      <c r="I306" s="55">
        <f>SUMIFS(tblMovement[Ore_oz],tblMovement[Date],$A306,tblMovement[Source_Type],"Pit")</f>
        <v/>
      </c>
      <c r="J306" s="55">
        <f>IF($B306=$B305,$J305,0)+$I306</f>
        <v/>
      </c>
      <c r="K306" s="55">
        <f>$K305+$I306</f>
        <v/>
      </c>
      <c r="L306" s="55">
        <f>SUMIFS(tblMovement[Tonnes_t],tblMovement[Date],$A306,tblMovement[Is_Ore],1,tblMovement[Source_Type],"Pit",tblMovement[Grade_gpt],"&lt;&gt;")</f>
        <v/>
      </c>
      <c r="M306" s="55">
        <f>IF($B306=$B305,$M305,0)+$L306</f>
        <v/>
      </c>
      <c r="N306" s="55">
        <f>$N305+$L306</f>
        <v/>
      </c>
      <c r="O306" s="56">
        <f>IFERROR(IF(($L306)&gt;0,($I306*cfg_TroyOz)/($L306),""),"")</f>
        <v/>
      </c>
      <c r="P306" s="56">
        <f>IFERROR(IF(($M306)&gt;0,($J306*cfg_TroyOz)/($M306),""),"")</f>
        <v/>
      </c>
      <c r="Q306" s="56">
        <f>IFERROR(IF(($N306)&gt;0,($K306*cfg_TroyOz)/($N306),""),"")</f>
        <v/>
      </c>
      <c r="R306" s="55">
        <f>$F306-$L306</f>
        <v/>
      </c>
      <c r="S306" s="55">
        <f>IF($B306=$B305,$S305,0)+$R306</f>
        <v/>
      </c>
      <c r="T306" s="55">
        <f>$T305+$R306</f>
        <v/>
      </c>
      <c r="U306" s="55">
        <f>SUMIFS(tblMovement[Tonnes_t],tblMovement[Date],$A306,tblMovement[Is_Ore],0,tblMovement[Source_Type],"Pit")</f>
        <v/>
      </c>
      <c r="V306" s="55">
        <f>IF($B306=$B305,$V305,0)+$U306</f>
        <v/>
      </c>
      <c r="W306" s="55">
        <f>$W305+$U306</f>
        <v/>
      </c>
      <c r="X306" s="55">
        <f>$F306+$U306</f>
        <v/>
      </c>
      <c r="Y306" s="55">
        <f>IF($B306=$B305,$Y305,0)+$X306</f>
        <v/>
      </c>
      <c r="Z306" s="55">
        <f>$Z305+$X306</f>
        <v/>
      </c>
      <c r="AA306" s="56">
        <f>IFERROR(IF(($F306)&gt;0,($U306)/($F306),""),"")</f>
        <v/>
      </c>
      <c r="AB306" s="56">
        <f>IFERROR(IF(($G306)&gt;0,($V306)/($G306),""),"")</f>
        <v/>
      </c>
      <c r="AC306" s="56">
        <f>IFERROR(IF(($H306)&gt;0,($W306)/($H306),""),"")</f>
        <v/>
      </c>
      <c r="AD306" s="55">
        <f>SUMIFS(tblMovement[Tonnes_t],tblMovement[Date],$A306,tblMovement[Source_Type],"Stockpile")</f>
        <v/>
      </c>
      <c r="AE306" s="55">
        <f>IF($B306=$B305,$AE305,0)+$AD306</f>
        <v/>
      </c>
      <c r="AF306" s="55">
        <f>$AF305+$AD306</f>
        <v/>
      </c>
      <c r="AG306" s="55">
        <f>SUMIFS(tblMovement[Tonnes_t],tblMovement[Date],$A306)</f>
        <v/>
      </c>
      <c r="AH306" s="55">
        <f>IF($B306=$B305,$AH305,0)+$AG306</f>
        <v/>
      </c>
      <c r="AI306" s="55">
        <f>$AI305+$AG306</f>
        <v/>
      </c>
      <c r="AJ306" s="55">
        <f>$AG306-$X306-$AD306</f>
        <v/>
      </c>
      <c r="AK306" s="55">
        <f>IF($B306=$B305,$AK305,0)+$AJ306</f>
        <v/>
      </c>
      <c r="AL306" s="55">
        <f>$AL305+$AJ306</f>
        <v/>
      </c>
      <c r="AM306" s="55">
        <f>SUMIFS(tblMiningDaily[Drill_m],tblMiningDaily[Date],$A306)</f>
        <v/>
      </c>
      <c r="AN306" s="55">
        <f>IF($B306=$B305,$AN305,0)+$AM306</f>
        <v/>
      </c>
      <c r="AO306" s="55">
        <f>$AO305+$AM306</f>
        <v/>
      </c>
      <c r="AP306" s="55">
        <f>SUMIFS(tblMiningDaily[GC_Drill_m],tblMiningDaily[Date],$A306)</f>
        <v/>
      </c>
      <c r="AQ306" s="55">
        <f>IF($B306=$B305,$AQ305,0)+$AP306</f>
        <v/>
      </c>
      <c r="AR306" s="55">
        <f>$AR305+$AP306</f>
        <v/>
      </c>
      <c r="AS306" s="55">
        <f>SUMIFS(tblMiningDaily[Blast_t],tblMiningDaily[Date],$A306)</f>
        <v/>
      </c>
      <c r="AT306" s="55">
        <f>IF($B306=$B305,$AT305,0)+$AS306</f>
        <v/>
      </c>
      <c r="AU306" s="55">
        <f>$AU305+$AS306</f>
        <v/>
      </c>
      <c r="AV306" s="55">
        <f>SUMIFS(tblMiningDaily[Explosives_kg],tblMiningDaily[Date],$A306)</f>
        <v/>
      </c>
      <c r="AW306" s="55">
        <f>IF($B306=$B305,$AW305,0)+$AV306</f>
        <v/>
      </c>
      <c r="AX306" s="55">
        <f>$AX305+$AV306</f>
        <v/>
      </c>
      <c r="AY306" s="56">
        <f>IFERROR(IF(($AS306)&gt;0,($AV306)/($AS306),""),"")</f>
        <v/>
      </c>
      <c r="AZ306" s="56">
        <f>IFERROR(IF(($AT306)&gt;0,($AW306)/($AT306),""),"")</f>
        <v/>
      </c>
      <c r="BA306" s="56">
        <f>IFERROR(IF(($AU306)&gt;0,($AX306)/($AU306),""),"")</f>
        <v/>
      </c>
      <c r="BB306" s="55">
        <f>SUMIFS(tblMiningDaily[Diesel_L],tblMiningDaily[Date],$A306)</f>
        <v/>
      </c>
      <c r="BC306" s="55">
        <f>IF($B306=$B305,$BC305,0)+$BB306</f>
        <v/>
      </c>
      <c r="BD306" s="55">
        <f>$BD305+$BB306</f>
        <v/>
      </c>
      <c r="BE306" s="55">
        <f>SUMIFS(tblMiningDaily[Dewatering_m3],tblMiningDaily[Date],$A306)</f>
        <v/>
      </c>
      <c r="BF306" s="55">
        <f>IF($B306=$B305,$BF305,0)+$BE306</f>
        <v/>
      </c>
      <c r="BG306" s="55">
        <f>$BG305+$BE306</f>
        <v/>
      </c>
      <c r="BH306" s="57">
        <f>SUMIFS(tblFleet[Calendar_h],tblFleet[Date],$A306,tblFleet[Equipment_Class],"Excavator")</f>
        <v/>
      </c>
      <c r="BI306" s="57">
        <f>IF($B306=$B305,$BI305,0)+$BH306</f>
        <v/>
      </c>
      <c r="BJ306" s="57">
        <f>$BJ305+$BH306</f>
        <v/>
      </c>
      <c r="BK306" s="57">
        <f>SUMIFS(tblFleet[Available_h],tblFleet[Date],$A306,tblFleet[Equipment_Class],"Excavator")</f>
        <v/>
      </c>
      <c r="BL306" s="57">
        <f>IF($B306=$B305,$BL305,0)+$BK306</f>
        <v/>
      </c>
      <c r="BM306" s="57">
        <f>$BM305+$BK306</f>
        <v/>
      </c>
      <c r="BN306" s="57">
        <f>SUMIFS(tblFleet[Operating_h],tblFleet[Date],$A306,tblFleet[Equipment_Class],"Excavator")</f>
        <v/>
      </c>
      <c r="BO306" s="57">
        <f>IF($B306=$B305,$BO305,0)+$BN306</f>
        <v/>
      </c>
      <c r="BP306" s="57">
        <f>$BP305+$BN306</f>
        <v/>
      </c>
      <c r="BQ306" s="67">
        <f>IFERROR(IF(($BH306)&gt;0,($BK306)/($BH306),""),"")</f>
        <v/>
      </c>
      <c r="BR306" s="67">
        <f>IFERROR(IF(($BI306)&gt;0,($BL306)/($BI306),""),"")</f>
        <v/>
      </c>
      <c r="BS306" s="67">
        <f>IFERROR(IF(($BJ306)&gt;0,($BM306)/($BJ306),""),"")</f>
        <v/>
      </c>
      <c r="BT306" s="67">
        <f>IFERROR(IF(($BK306)&gt;0,($BN306)/($BK306),""),"")</f>
        <v/>
      </c>
      <c r="BU306" s="67">
        <f>IFERROR(IF(($BL306)&gt;0,($BO306)/($BL306),""),"")</f>
        <v/>
      </c>
      <c r="BV306" s="67">
        <f>IFERROR(IF(($BM306)&gt;0,($BP306)/($BM306),""),"")</f>
        <v/>
      </c>
      <c r="BW306" s="57">
        <f>SUMIFS(tblFleet[Calendar_h],tblFleet[Date],$A306,tblFleet[Equipment_Class],"Haul Truck")</f>
        <v/>
      </c>
      <c r="BX306" s="57">
        <f>IF($B306=$B305,$BX305,0)+$BW306</f>
        <v/>
      </c>
      <c r="BY306" s="57">
        <f>$BY305+$BW306</f>
        <v/>
      </c>
      <c r="BZ306" s="57">
        <f>SUMIFS(tblFleet[Available_h],tblFleet[Date],$A306,tblFleet[Equipment_Class],"Haul Truck")</f>
        <v/>
      </c>
      <c r="CA306" s="57">
        <f>IF($B306=$B305,$CA305,0)+$BZ306</f>
        <v/>
      </c>
      <c r="CB306" s="57">
        <f>$CB305+$BZ306</f>
        <v/>
      </c>
      <c r="CC306" s="57">
        <f>SUMIFS(tblFleet[Operating_h],tblFleet[Date],$A306,tblFleet[Equipment_Class],"Haul Truck")</f>
        <v/>
      </c>
      <c r="CD306" s="57">
        <f>IF($B306=$B305,$CD305,0)+$CC306</f>
        <v/>
      </c>
      <c r="CE306" s="57">
        <f>$CE305+$CC306</f>
        <v/>
      </c>
      <c r="CF306" s="67">
        <f>IFERROR(IF(($BW306)&gt;0,($BZ306)/($BW306),""),"")</f>
        <v/>
      </c>
      <c r="CG306" s="67">
        <f>IFERROR(IF(($BX306)&gt;0,($CA306)/($BX306),""),"")</f>
        <v/>
      </c>
      <c r="CH306" s="67">
        <f>IFERROR(IF(($BY306)&gt;0,($CB306)/($BY306),""),"")</f>
        <v/>
      </c>
      <c r="CI306" s="67">
        <f>IFERROR(IF(($BZ306)&gt;0,($CC306)/($BZ306),""),"")</f>
        <v/>
      </c>
      <c r="CJ306" s="67">
        <f>IFERROR(IF(($CA306)&gt;0,($CD306)/($CA306),""),"")</f>
        <v/>
      </c>
      <c r="CK306" s="67">
        <f>IFERROR(IF(($CB306)&gt;0,($CE306)/($CB306),""),"")</f>
        <v/>
      </c>
      <c r="CL306" s="55">
        <f>IFERROR(IF(($BN306)&gt;0,($X306+$AD306)/($BN306),""),"")</f>
        <v/>
      </c>
      <c r="CM306" s="55">
        <f>IFERROR(IF(($BO306)&gt;0,($Y306+$AE306)/($BO306),""),"")</f>
        <v/>
      </c>
      <c r="CN306" s="55">
        <f>IFERROR(IF(($BP306)&gt;0,($Z306+$AF306)/($BP306),""),"")</f>
        <v/>
      </c>
      <c r="CO306" s="55">
        <f>IFERROR(IF(($CC306)&gt;0,($X306+$AD306)/($CC306),""),"")</f>
        <v/>
      </c>
      <c r="CP306" s="55">
        <f>IFERROR(IF(($CD306)&gt;0,($Y306+$AE306)/($CD306),""),"")</f>
        <v/>
      </c>
      <c r="CQ306" s="55">
        <f>IFERROR(IF(($CE306)&gt;0,($Z306+$AF306)/($CE306),""),"")</f>
        <v/>
      </c>
      <c r="CR306" s="55">
        <f>SUMIFS(tblPlant[Crushed_t],tblPlant[Date],$A306)</f>
        <v/>
      </c>
      <c r="CS306" s="55">
        <f>IF($B306=$B305,$CS305,0)+$CR306</f>
        <v/>
      </c>
      <c r="CT306" s="55">
        <f>$CT305+$CR306</f>
        <v/>
      </c>
      <c r="CU306" s="55">
        <f>SUMIFS(tblPlant[Milled_t],tblPlant[Date],$A306)</f>
        <v/>
      </c>
      <c r="CV306" s="55">
        <f>IF($B306=$B305,$CV305,0)+$CU306</f>
        <v/>
      </c>
      <c r="CW306" s="55">
        <f>$CW305+$CU306</f>
        <v/>
      </c>
      <c r="CX306" s="55">
        <f>SUMIFS(tblPlant[Feed_oz],tblPlant[Date],$A306)</f>
        <v/>
      </c>
      <c r="CY306" s="55">
        <f>IF($B306=$B305,$CY305,0)+$CX306</f>
        <v/>
      </c>
      <c r="CZ306" s="55">
        <f>$CZ305+$CX306</f>
        <v/>
      </c>
      <c r="DA306" s="55">
        <f>SUMIFS(tblPlant[Tails_oz],tblPlant[Date],$A306)</f>
        <v/>
      </c>
      <c r="DB306" s="55">
        <f>IF($B306=$B305,$DB305,0)+$DA306</f>
        <v/>
      </c>
      <c r="DC306" s="55">
        <f>$DC305+$DA306</f>
        <v/>
      </c>
      <c r="DD306" s="55">
        <f>SUMIFS(tblPlant[Recovered_oz],tblPlant[Date],$A306)</f>
        <v/>
      </c>
      <c r="DE306" s="55">
        <f>IF($B306=$B305,$DE305,0)+$DD306</f>
        <v/>
      </c>
      <c r="DF306" s="55">
        <f>$DF305+$DD306</f>
        <v/>
      </c>
      <c r="DG306" s="55">
        <f>SUMIFS(tblPlant[Milled_t],tblPlant[Date],$A306,tblPlant[Head_Grade_gpt],"&lt;&gt;")</f>
        <v/>
      </c>
      <c r="DH306" s="55">
        <f>IF($B306=$B305,$DH305,0)+$DG306</f>
        <v/>
      </c>
      <c r="DI306" s="55">
        <f>$DI305+$DG306</f>
        <v/>
      </c>
      <c r="DJ306" s="55">
        <f>SUMIFS(tblPlant[Milled_t],tblPlant[Date],$A306,tblPlant[Tails_Grade_gpt],"&lt;&gt;")</f>
        <v/>
      </c>
      <c r="DK306" s="55">
        <f>IF($B306=$B305,$DK305,0)+$DJ306</f>
        <v/>
      </c>
      <c r="DL306" s="55">
        <f>$DL305+$DJ306</f>
        <v/>
      </c>
      <c r="DM306" s="55">
        <f>SUMIFS(tblPlant[Feed_oz],tblPlant[Date],$A306,tblPlant[Tails_Grade_gpt],"&lt;&gt;")</f>
        <v/>
      </c>
      <c r="DN306" s="55">
        <f>IF($B306=$B305,$DN305,0)+$DM306</f>
        <v/>
      </c>
      <c r="DO306" s="55">
        <f>$DO305+$DM306</f>
        <v/>
      </c>
      <c r="DP306" s="55">
        <f>SUMIFS(tblPlant[Milled_t],tblPlant[Date],$A306,tblPlant[Mill_Run_h],"&lt;&gt;")</f>
        <v/>
      </c>
      <c r="DQ306" s="55">
        <f>IF($B306=$B305,$DQ305,0)+$DP306</f>
        <v/>
      </c>
      <c r="DR306" s="55">
        <f>$DR305+$DP306</f>
        <v/>
      </c>
      <c r="DS306" s="56">
        <f>IFERROR(IF(($DG306)&gt;0,($CX306*cfg_TroyOz)/($DG306),""),"")</f>
        <v/>
      </c>
      <c r="DT306" s="56">
        <f>IFERROR(IF(($DH306)&gt;0,($CY306*cfg_TroyOz)/($DH306),""),"")</f>
        <v/>
      </c>
      <c r="DU306" s="56">
        <f>IFERROR(IF(($DI306)&gt;0,($CZ306*cfg_TroyOz)/($DI306),""),"")</f>
        <v/>
      </c>
      <c r="DV306" s="56">
        <f>IFERROR(IF(($DJ306)&gt;0,($DA306*cfg_TroyOz)/($DJ306),""),"")</f>
        <v/>
      </c>
      <c r="DW306" s="56">
        <f>IFERROR(IF(($DK306)&gt;0,($DB306*cfg_TroyOz)/($DK306),""),"")</f>
        <v/>
      </c>
      <c r="DX306" s="56">
        <f>IFERROR(IF(($DL306)&gt;0,($DC306*cfg_TroyOz)/($DL306),""),"")</f>
        <v/>
      </c>
      <c r="DY306" s="67">
        <f>IFERROR(IF(($DM306)&gt;0,($DD306)/($DM306),""),"")</f>
        <v/>
      </c>
      <c r="DZ306" s="67">
        <f>IFERROR(IF(($DN306)&gt;0,($DE306)/($DN306),""),"")</f>
        <v/>
      </c>
      <c r="EA306" s="67">
        <f>IFERROR(IF(($DO306)&gt;0,($DF306)/($DO306),""),"")</f>
        <v/>
      </c>
      <c r="EB306" s="55">
        <f>SUMIFS(tblPlant[Gravity_Gold_oz],tblPlant[Date],$A306)</f>
        <v/>
      </c>
      <c r="EC306" s="55">
        <f>IF($B306=$B305,$EC305,0)+$EB306</f>
        <v/>
      </c>
      <c r="ED306" s="55">
        <f>$ED305+$EB306</f>
        <v/>
      </c>
      <c r="EE306" s="67">
        <f>IFERROR(IF(($DD306)&gt;0,($EB306)/($DD306),""),"")</f>
        <v/>
      </c>
      <c r="EF306" s="67">
        <f>IFERROR(IF(($DE306)&gt;0,($EC306)/($DE306),""),"")</f>
        <v/>
      </c>
      <c r="EG306" s="67">
        <f>IFERROR(IF(($DF306)&gt;0,($ED306)/($DF306),""),"")</f>
        <v/>
      </c>
      <c r="EH306" s="55">
        <f>SUMIFS(tblPlant[Gold_Poured_oz],tblPlant[Date],$A306)</f>
        <v/>
      </c>
      <c r="EI306" s="55">
        <f>IF($B306=$B305,$EI305,0)+$EH306</f>
        <v/>
      </c>
      <c r="EJ306" s="55">
        <f>$EJ305+$EH306</f>
        <v/>
      </c>
      <c r="EK306" s="57">
        <f>SUMIFS(tblPlant[Mill_Run_h],tblPlant[Date],$A306)</f>
        <v/>
      </c>
      <c r="EL306" s="57">
        <f>IF($B306=$B305,$EL305,0)+$EK306</f>
        <v/>
      </c>
      <c r="EM306" s="57">
        <f>$EM305+$EK306</f>
        <v/>
      </c>
      <c r="EN306" s="57">
        <f>SUMIFS(tblPlant[Mill_Planned_Maint_h],tblPlant[Date],$A306)</f>
        <v/>
      </c>
      <c r="EO306" s="57">
        <f>IF($B306=$B305,$EO305,0)+$EN306</f>
        <v/>
      </c>
      <c r="EP306" s="57">
        <f>$EP305+$EN306</f>
        <v/>
      </c>
      <c r="EQ306" s="57">
        <f>SUMIFS(tblPlant[Mill_Unplanned_Down_h],tblPlant[Date],$A306)</f>
        <v/>
      </c>
      <c r="ER306" s="57">
        <f>IF($B306=$B305,$ER305,0)+$EQ306</f>
        <v/>
      </c>
      <c r="ES306" s="57">
        <f>$ES305+$EQ306</f>
        <v/>
      </c>
      <c r="ET306" s="57">
        <f>IF(COUNTIFS(tblPlant[Date],$A306,tblPlant[Mill_Run_h],"&lt;&gt;")+COUNTIFS(tblPlant[Date],$A306,tblPlant[Mill_Planned_Maint_h],"&lt;&gt;")+COUNTIFS(tblPlant[Date],$A306,tblPlant[Mill_Unplanned_Down_h],"&lt;&gt;")&gt;0,cfg_HoursPerDay,0)</f>
        <v/>
      </c>
      <c r="EU306" s="57">
        <f>IF($B306=$B305,$EU305,0)+$ET306</f>
        <v/>
      </c>
      <c r="EV306" s="57">
        <f>$EV305+$ET306</f>
        <v/>
      </c>
      <c r="EW306" s="57">
        <f>SUMIFS(tblPlant[Crusher_Run_h],tblPlant[Date],$A306)</f>
        <v/>
      </c>
      <c r="EX306" s="57">
        <f>IF($B306=$B305,$EX305,0)+$EW306</f>
        <v/>
      </c>
      <c r="EY306" s="57">
        <f>$EY305+$EW306</f>
        <v/>
      </c>
      <c r="EZ306" s="55">
        <f>IFERROR(IF(($EK306)&gt;0,($DP306)/($EK306),""),"")</f>
        <v/>
      </c>
      <c r="FA306" s="55">
        <f>IFERROR(IF(($EL306)&gt;0,($DQ306)/($EL306),""),"")</f>
        <v/>
      </c>
      <c r="FB306" s="55">
        <f>IFERROR(IF(($EM306)&gt;0,($DR306)/($EM306),""),"")</f>
        <v/>
      </c>
      <c r="FC306" s="67">
        <f>IFERROR(IF(($ET306)&gt;0,($ET306-$EN306-$EQ306)/($ET306),""),"")</f>
        <v/>
      </c>
      <c r="FD306" s="67">
        <f>IFERROR(IF(($EU306)&gt;0,($EU306-$EO306-$ER306)/($EU306),""),"")</f>
        <v/>
      </c>
      <c r="FE306" s="67">
        <f>IFERROR(IF(($EV306)&gt;0,($EV306-$EP306-$ES306)/($EV306),""),"")</f>
        <v/>
      </c>
      <c r="FF306" s="67">
        <f>IFERROR(IF(($ET306-$EN306-$EQ306)&gt;0,($EK306)/($ET306-$EN306-$EQ306),""),"")</f>
        <v/>
      </c>
      <c r="FG306" s="67">
        <f>IFERROR(IF(($EU306-$EO306-$ER306)&gt;0,($EL306)/($EU306-$EO306-$ER306),""),"")</f>
        <v/>
      </c>
      <c r="FH306" s="67">
        <f>IFERROR(IF(($EV306-$EP306-$ES306)&gt;0,($EM306)/($EV306-$EP306-$ES306),""),"")</f>
        <v/>
      </c>
      <c r="FI306" s="55">
        <f>SUMIFS(tblPlant[Cyanide_kg],tblPlant[Date],$A306)</f>
        <v/>
      </c>
      <c r="FJ306" s="55">
        <f>IF($B306=$B305,$FJ305,0)+$FI306</f>
        <v/>
      </c>
      <c r="FK306" s="55">
        <f>$FK305+$FI306</f>
        <v/>
      </c>
      <c r="FL306" s="55">
        <f>SUMIFS(tblPlant[Lime_kg],tblPlant[Date],$A306)</f>
        <v/>
      </c>
      <c r="FM306" s="55">
        <f>IF($B306=$B305,$FM305,0)+$FL306</f>
        <v/>
      </c>
      <c r="FN306" s="55">
        <f>$FN305+$FL306</f>
        <v/>
      </c>
      <c r="FO306" s="55">
        <f>SUMIFS(tblPlant[Grinding_Media_kg],tblPlant[Date],$A306)</f>
        <v/>
      </c>
      <c r="FP306" s="55">
        <f>IF($B306=$B305,$FP305,0)+$FO306</f>
        <v/>
      </c>
      <c r="FQ306" s="55">
        <f>$FQ305+$FO306</f>
        <v/>
      </c>
      <c r="FR306" s="55">
        <f>SUMIFS(tblPlant[Power_kWh],tblPlant[Date],$A306)</f>
        <v/>
      </c>
      <c r="FS306" s="55">
        <f>IF($B306=$B305,$FS305,0)+$FR306</f>
        <v/>
      </c>
      <c r="FT306" s="55">
        <f>$FT305+$FR306</f>
        <v/>
      </c>
      <c r="FU306" s="55">
        <f>SUMIFS(tblPlant[Raw_Water_m3],tblPlant[Date],$A306)</f>
        <v/>
      </c>
      <c r="FV306" s="55">
        <f>IF($B306=$B305,$FV305,0)+$FU306</f>
        <v/>
      </c>
      <c r="FW306" s="55">
        <f>$FW305+$FU306</f>
        <v/>
      </c>
      <c r="FX306" s="56">
        <f>IFERROR(IF(($CU306)&gt;0,($FI306)/($CU306),""),"")</f>
        <v/>
      </c>
      <c r="FY306" s="56">
        <f>IFERROR(IF(($CV306)&gt;0,($FJ306)/($CV306),""),"")</f>
        <v/>
      </c>
      <c r="FZ306" s="56">
        <f>IFERROR(IF(($CW306)&gt;0,($FK306)/($CW306),""),"")</f>
        <v/>
      </c>
      <c r="GA306" s="56">
        <f>IFERROR(IF(($CU306)&gt;0,($FL306)/($CU306),""),"")</f>
        <v/>
      </c>
      <c r="GB306" s="56">
        <f>IFERROR(IF(($CV306)&gt;0,($FM306)/($CV306),""),"")</f>
        <v/>
      </c>
      <c r="GC306" s="56">
        <f>IFERROR(IF(($CW306)&gt;0,($FN306)/($CW306),""),"")</f>
        <v/>
      </c>
      <c r="GD306" s="56">
        <f>IFERROR(IF(($CU306)&gt;0,($FO306)/($CU306),""),"")</f>
        <v/>
      </c>
      <c r="GE306" s="56">
        <f>IFERROR(IF(($CV306)&gt;0,($FP306)/($CV306),""),"")</f>
        <v/>
      </c>
      <c r="GF306" s="56">
        <f>IFERROR(IF(($CW306)&gt;0,($FQ306)/($CW306),""),"")</f>
        <v/>
      </c>
      <c r="GG306" s="79">
        <f>IFERROR(IF(($CU306)&gt;0,($FR306)/($CU306),""),"")</f>
        <v/>
      </c>
      <c r="GH306" s="79">
        <f>IFERROR(IF(($CV306)&gt;0,($FS306)/($CV306),""),"")</f>
        <v/>
      </c>
      <c r="GI306" s="79">
        <f>IFERROR(IF(($CW306)&gt;0,($FT306)/($CW306),""),"")</f>
        <v/>
      </c>
      <c r="GJ306" s="56">
        <f>IFERROR(IF(($CU306)&gt;0,($FU306)/($CU306),""),"")</f>
        <v/>
      </c>
      <c r="GK306" s="56">
        <f>IFERROR(IF(($CV306)&gt;0,($FV306)/($CV306),""),"")</f>
        <v/>
      </c>
      <c r="GL306" s="56">
        <f>IFERROR(IF(($CW306)&gt;0,($FW306)/($CW306),""),"")</f>
        <v/>
      </c>
      <c r="GM306" s="55">
        <f>IF(SUMIFS(tblPlant[GIC_oz],tblPlant[Date],$A306)&gt;0,SUMIFS(tblPlant[GIC_oz],tblPlant[Date],$A306),"")</f>
        <v/>
      </c>
      <c r="GN306" s="55">
        <f>SUMIFS(tblGold[Gold_oz],tblGold[Date],$A306,tblGold[Type],"Shipment")</f>
        <v/>
      </c>
      <c r="GO306" s="55">
        <f>IF($B306=$B305,$GO305,0)+$GN306</f>
        <v/>
      </c>
      <c r="GP306" s="55">
        <f>$GP305+$GN306</f>
        <v/>
      </c>
      <c r="GQ306" s="55">
        <f>SUMIFS(tblGold[Gold_oz],tblGold[Date],$A306,tblGold[Type],"Sale")</f>
        <v/>
      </c>
      <c r="GR306" s="55">
        <f>IF($B306=$B305,$GR305,0)+$GQ306</f>
        <v/>
      </c>
      <c r="GS306" s="55">
        <f>$GS305+$GQ306</f>
        <v/>
      </c>
      <c r="GT306" s="55">
        <f>SUMIFS(tblGold[Dore_kg],tblGold[Date],$A306,tblGold[Type],"Shipment")</f>
        <v/>
      </c>
      <c r="GU306" s="55">
        <f>IF($B306=$B305,$GU305,0)+$GT306</f>
        <v/>
      </c>
      <c r="GV306" s="55">
        <f>$GV305+$GT306</f>
        <v/>
      </c>
      <c r="GW306" s="57">
        <f>SUMIFS(tblSafety[Hours_Total],tblSafety[Date],$A306)</f>
        <v/>
      </c>
      <c r="GX306" s="57">
        <f>IF($B306=$B305,$GX305,0)+$GW306</f>
        <v/>
      </c>
      <c r="GY306" s="57">
        <f>$GY305+$GW306</f>
        <v/>
      </c>
      <c r="GZ306" s="62">
        <f>SUMIFS(tblSafety[Fatality],tblSafety[Date],$A306)</f>
        <v/>
      </c>
      <c r="HA306" s="62">
        <f>IF($B306=$B305,$HA305,0)+$GZ306</f>
        <v/>
      </c>
      <c r="HB306" s="62">
        <f>$HB305+$GZ306</f>
        <v/>
      </c>
      <c r="HC306" s="62">
        <f>SUMIFS(tblSafety[LTI],tblSafety[Date],$A306)</f>
        <v/>
      </c>
      <c r="HD306" s="62">
        <f>IF($B306=$B305,$HD305,0)+$HC306</f>
        <v/>
      </c>
      <c r="HE306" s="62">
        <f>$HE305+$HC306</f>
        <v/>
      </c>
      <c r="HF306" s="62">
        <f>SUMIFS(tblSafety[RWI],tblSafety[Date],$A306)</f>
        <v/>
      </c>
      <c r="HG306" s="62">
        <f>IF($B306=$B305,$HG305,0)+$HF306</f>
        <v/>
      </c>
      <c r="HH306" s="62">
        <f>$HH305+$HF306</f>
        <v/>
      </c>
      <c r="HI306" s="62">
        <f>SUMIFS(tblSafety[MTI],tblSafety[Date],$A306)</f>
        <v/>
      </c>
      <c r="HJ306" s="62">
        <f>IF($B306=$B305,$HJ305,0)+$HI306</f>
        <v/>
      </c>
      <c r="HK306" s="62">
        <f>$HK305+$HI306</f>
        <v/>
      </c>
      <c r="HL306" s="62">
        <f>SUMIFS(tblSafety[FAI],tblSafety[Date],$A306)</f>
        <v/>
      </c>
      <c r="HM306" s="62">
        <f>IF($B306=$B305,$HM305,0)+$HL306</f>
        <v/>
      </c>
      <c r="HN306" s="62">
        <f>$HN305+$HL306</f>
        <v/>
      </c>
      <c r="HO306" s="62">
        <f>SUMIFS(tblSafety[Recordables],tblSafety[Date],$A306)</f>
        <v/>
      </c>
      <c r="HP306" s="62">
        <f>IF($B306=$B305,$HP305,0)+$HO306</f>
        <v/>
      </c>
      <c r="HQ306" s="62">
        <f>$HQ305+$HO306</f>
        <v/>
      </c>
      <c r="HR306" s="62">
        <f>SUMIFS(tblSafety[Near_Miss],tblSafety[Date],$A306)</f>
        <v/>
      </c>
      <c r="HS306" s="62">
        <f>IF($B306=$B305,$HS305,0)+$HR306</f>
        <v/>
      </c>
      <c r="HT306" s="62">
        <f>$HT305+$HR306</f>
        <v/>
      </c>
      <c r="HU306" s="62">
        <f>SUMIFS(tblSafety[Hazard_Reports],tblSafety[Date],$A306)</f>
        <v/>
      </c>
      <c r="HV306" s="62">
        <f>IF($B306=$B305,$HV305,0)+$HU306</f>
        <v/>
      </c>
      <c r="HW306" s="62">
        <f>$HW305+$HU306</f>
        <v/>
      </c>
      <c r="HX306" s="62">
        <f>SUMIFS(tblSafety[HPI],tblSafety[Date],$A306)</f>
        <v/>
      </c>
      <c r="HY306" s="62">
        <f>IF($B306=$B305,$HY305,0)+$HX306</f>
        <v/>
      </c>
      <c r="HZ306" s="62">
        <f>$HZ305+$HX306</f>
        <v/>
      </c>
      <c r="IA306" s="62">
        <f>SUMIFS(tblSafety[Env_Incidents],tblSafety[Date],$A306)</f>
        <v/>
      </c>
      <c r="IB306" s="62">
        <f>IF($B306=$B305,$IB305,0)+$IA306</f>
        <v/>
      </c>
      <c r="IC306" s="62">
        <f>$IC305+$IA306</f>
        <v/>
      </c>
      <c r="ID306" s="62">
        <f>SUMIFS(tblSafety[Community_Incidents],tblSafety[Date],$A306)</f>
        <v/>
      </c>
      <c r="IE306" s="62">
        <f>IF($B306=$B305,$IE305,0)+$ID306</f>
        <v/>
      </c>
      <c r="IF306" s="62">
        <f>$IF305+$ID306</f>
        <v/>
      </c>
      <c r="IG306" s="62">
        <f>SUMIFS(tblSafety[Vehicle_Incidents],tblSafety[Date],$A306)</f>
        <v/>
      </c>
      <c r="IH306" s="62">
        <f>IF($B306=$B305,$IH305,0)+$IG306</f>
        <v/>
      </c>
      <c r="II306" s="62">
        <f>$II305+$IG306</f>
        <v/>
      </c>
      <c r="IJ306" s="62">
        <f>SUMIFS(tblSafety[Toolbox_Talks],tblSafety[Date],$A306)</f>
        <v/>
      </c>
      <c r="IK306" s="62">
        <f>IF($B306=$B305,$IK305,0)+$IJ306</f>
        <v/>
      </c>
      <c r="IL306" s="62">
        <f>$IL305+$IJ306</f>
        <v/>
      </c>
      <c r="IM306" s="62">
        <f>SUMIFS(tblSafety[Inspections],tblSafety[Date],$A306)</f>
        <v/>
      </c>
      <c r="IN306" s="62">
        <f>IF($B306=$B305,$IN305,0)+$IM306</f>
        <v/>
      </c>
      <c r="IO306" s="62">
        <f>$IO305+$IM306</f>
        <v/>
      </c>
      <c r="IP306" s="56">
        <f>IFERROR((SUMIFS(tblSafety[Recordables],tblSafety[Date],"&gt;="&amp;EDATE($E306,-12),tblSafety[Date],"&lt;="&amp;$A306)+SUMIFS(tblSafetyHistory[Recordables],tblSafetyHistory[Month],"&gt;="&amp;EDATE($E306,-12),tblSafetyHistory[Month],"&lt;"&amp;$E306,tblSafetyHistory[Use],1))/(SUMIFS(tblSafety[Hours_Total],tblSafety[Date],"&gt;="&amp;EDATE($E306,-12),tblSafety[Date],"&lt;="&amp;$A306)+SUMIFS(tblSafetyHistory[Hours_Total],tblSafetyHistory[Month],"&gt;="&amp;EDATE($E306,-12),tblSafetyHistory[Month],"&lt;"&amp;$E306,tblSafetyHistory[Use],1))*cfg_RateBasisHours,"")</f>
        <v/>
      </c>
      <c r="IQ306" s="56">
        <f>IFERROR((SUMIFS(tblSafety[LTI],tblSafety[Date],"&gt;="&amp;EDATE($E306,-12),tblSafety[Date],"&lt;="&amp;$A306)+SUMIFS(tblSafetyHistory[LTI],tblSafetyHistory[Month],"&gt;="&amp;EDATE($E306,-12),tblSafetyHistory[Month],"&lt;"&amp;$E306,tblSafetyHistory[Use],1))/(SUMIFS(tblSafety[Hours_Total],tblSafety[Date],"&gt;="&amp;EDATE($E306,-12),tblSafety[Date],"&lt;="&amp;$A306)+SUMIFS(tblSafetyHistory[Hours_Total],tblSafetyHistory[Month],"&gt;="&amp;EDATE($E306,-12),tblSafetyHistory[Month],"&lt;"&amp;$E306,tblSafetyHistory[Use],1))*cfg_RateBasisHours,"")</f>
        <v/>
      </c>
      <c r="IR306" s="62">
        <f>IF(MAX(N(cfg_PriorLTIDate),_xlfn.MAXIFS(tblSafety[Date],tblSafety[LTI],"&gt;0",tblSafety[Date],"&lt;="&amp;$A306))=0,"",$A306-MAX(N(cfg_PriorLTIDate),_xlfn.MAXIFS(tblSafety[Date],tblSafety[LTI],"&gt;0",tblSafety[Date],"&lt;="&amp;$A306)))</f>
        <v/>
      </c>
      <c r="IS306" s="55">
        <f>SUMIFS(tblBudget[Ore_Mined_t],tblBudget[Month],$E306)</f>
        <v/>
      </c>
      <c r="IT306" s="55">
        <f>$IS306*$C306/$D306</f>
        <v/>
      </c>
      <c r="IU306" s="55">
        <f>SUMIFS(tblBudget[Ore_Mined_t],tblBudget[Month],"&lt;"&amp;$E306)+$IT306</f>
        <v/>
      </c>
      <c r="IV306" s="55">
        <f>SUMIFS(tblBudget[Ore_oz],tblBudget[Month],$E306)</f>
        <v/>
      </c>
      <c r="IW306" s="55">
        <f>$IV306*$C306/$D306</f>
        <v/>
      </c>
      <c r="IX306" s="55">
        <f>SUMIFS(tblBudget[Ore_oz],tblBudget[Month],"&lt;"&amp;$E306)+$IW306</f>
        <v/>
      </c>
      <c r="IY306" s="55">
        <f>SUMIFS(tblBudget[Ore_Mined_t],tblBudget[Month],$E306)</f>
        <v/>
      </c>
      <c r="IZ306" s="55">
        <f>$IY306*$C306/$D306</f>
        <v/>
      </c>
      <c r="JA306" s="55">
        <f>SUMIFS(tblBudget[Ore_Mined_t],tblBudget[Month],"&lt;"&amp;$E306)+$IZ306</f>
        <v/>
      </c>
      <c r="JB306" s="56">
        <f>IFERROR(IF(($IY306)&gt;0,($IV306*cfg_TroyOz)/($IY306),""),"")</f>
        <v/>
      </c>
      <c r="JC306" s="56">
        <f>IFERROR(IF(($IZ306)&gt;0,($IW306*cfg_TroyOz)/($IZ306),""),"")</f>
        <v/>
      </c>
      <c r="JD306" s="56">
        <f>IFERROR(IF(($JA306)&gt;0,($IX306*cfg_TroyOz)/($JA306),""),"")</f>
        <v/>
      </c>
      <c r="JE306" s="55">
        <f>SUMIFS(tblBudget[Waste_t],tblBudget[Month],$E306)</f>
        <v/>
      </c>
      <c r="JF306" s="55">
        <f>$JE306*$C306/$D306</f>
        <v/>
      </c>
      <c r="JG306" s="55">
        <f>SUMIFS(tblBudget[Waste_t],tblBudget[Month],"&lt;"&amp;$E306)+$JF306</f>
        <v/>
      </c>
      <c r="JH306" s="55">
        <f>SUMIFS(tblBudget[TMM_t],tblBudget[Month],$E306)</f>
        <v/>
      </c>
      <c r="JI306" s="55">
        <f>$JH306*$C306/$D306</f>
        <v/>
      </c>
      <c r="JJ306" s="55">
        <f>SUMIFS(tblBudget[TMM_t],tblBudget[Month],"&lt;"&amp;$E306)+$JI306</f>
        <v/>
      </c>
      <c r="JK306" s="56">
        <f>IFERROR(IF(($IS306)&gt;0,($JE306)/($IS306),""),"")</f>
        <v/>
      </c>
      <c r="JL306" s="56">
        <f>IFERROR(IF(($IT306)&gt;0,($JF306)/($IT306),""),"")</f>
        <v/>
      </c>
      <c r="JM306" s="56">
        <f>IFERROR(IF(($IU306)&gt;0,($JG306)/($IU306),""),"")</f>
        <v/>
      </c>
      <c r="JN306" s="55">
        <f>SUMIFS(tblBudget[Drill_m],tblBudget[Month],$E306)</f>
        <v/>
      </c>
      <c r="JO306" s="55">
        <f>$JN306*$C306/$D306</f>
        <v/>
      </c>
      <c r="JP306" s="55">
        <f>SUMIFS(tblBudget[Drill_m],tblBudget[Month],"&lt;"&amp;$E306)+$JO306</f>
        <v/>
      </c>
      <c r="JQ306" s="55">
        <f>SUMIFS(tblBudget[Diesel_L],tblBudget[Month],$E306)</f>
        <v/>
      </c>
      <c r="JR306" s="55">
        <f>$JQ306*$C306/$D306</f>
        <v/>
      </c>
      <c r="JS306" s="55">
        <f>SUMIFS(tblBudget[Diesel_L],tblBudget[Month],"&lt;"&amp;$E306)+$JR306</f>
        <v/>
      </c>
      <c r="JT306" s="55">
        <f>SUMIFS(tblBudget[Milled_t],tblBudget[Month],$E306)</f>
        <v/>
      </c>
      <c r="JU306" s="55">
        <f>$JT306*$C306/$D306</f>
        <v/>
      </c>
      <c r="JV306" s="55">
        <f>SUMIFS(tblBudget[Milled_t],tblBudget[Month],"&lt;"&amp;$E306)+$JU306</f>
        <v/>
      </c>
      <c r="JW306" s="55">
        <f>SUMIFS(tblBudget[Feed_oz],tblBudget[Month],$E306)</f>
        <v/>
      </c>
      <c r="JX306" s="55">
        <f>$JW306*$C306/$D306</f>
        <v/>
      </c>
      <c r="JY306" s="55">
        <f>SUMIFS(tblBudget[Feed_oz],tblBudget[Month],"&lt;"&amp;$E306)+$JX306</f>
        <v/>
      </c>
      <c r="JZ306" s="55">
        <f>SUMIFS(tblBudget[Recovered_oz],tblBudget[Month],$E306)</f>
        <v/>
      </c>
      <c r="KA306" s="55">
        <f>$JZ306*$C306/$D306</f>
        <v/>
      </c>
      <c r="KB306" s="55">
        <f>SUMIFS(tblBudget[Recovered_oz],tblBudget[Month],"&lt;"&amp;$E306)+$KA306</f>
        <v/>
      </c>
      <c r="KC306" s="55">
        <f>SUMIFS(tblBudget[Milled_t],tblBudget[Month],$E306)</f>
        <v/>
      </c>
      <c r="KD306" s="55">
        <f>$KC306*$C306/$D306</f>
        <v/>
      </c>
      <c r="KE306" s="55">
        <f>SUMIFS(tblBudget[Milled_t],tblBudget[Month],"&lt;"&amp;$E306)+$KD306</f>
        <v/>
      </c>
      <c r="KF306" s="55">
        <f>SUMIFS(tblBudget[Feed_oz],tblBudget[Month],$E306)</f>
        <v/>
      </c>
      <c r="KG306" s="55">
        <f>$KF306*$C306/$D306</f>
        <v/>
      </c>
      <c r="KH306" s="55">
        <f>SUMIFS(tblBudget[Feed_oz],tblBudget[Month],"&lt;"&amp;$E306)+$KG306</f>
        <v/>
      </c>
      <c r="KI306" s="56">
        <f>IFERROR(IF(($KC306)&gt;0,($JW306*cfg_TroyOz)/($KC306),""),"")</f>
        <v/>
      </c>
      <c r="KJ306" s="56">
        <f>IFERROR(IF(($KD306)&gt;0,($JX306*cfg_TroyOz)/($KD306),""),"")</f>
        <v/>
      </c>
      <c r="KK306" s="56">
        <f>IFERROR(IF(($KE306)&gt;0,($JY306*cfg_TroyOz)/($KE306),""),"")</f>
        <v/>
      </c>
      <c r="KL306" s="67">
        <f>IFERROR(IF(($KF306)&gt;0,($JZ306)/($KF306),""),"")</f>
        <v/>
      </c>
      <c r="KM306" s="67">
        <f>IFERROR(IF(($KG306)&gt;0,($KA306)/($KG306),""),"")</f>
        <v/>
      </c>
      <c r="KN306" s="67">
        <f>IFERROR(IF(($KH306)&gt;0,($KB306)/($KH306),""),"")</f>
        <v/>
      </c>
      <c r="KO306" s="55">
        <f>SUMIFS(tblBudget[Gold_Poured_oz],tblBudget[Month],$E306)</f>
        <v/>
      </c>
      <c r="KP306" s="55">
        <f>$KO306*$C306/$D306</f>
        <v/>
      </c>
      <c r="KQ306" s="55">
        <f>SUMIFS(tblBudget[Gold_Poured_oz],tblBudget[Month],"&lt;"&amp;$E306)+$KP306</f>
        <v/>
      </c>
      <c r="KR306" s="57">
        <f>SUMIFS(tblBudget[Hours_Worked],tblBudget[Month],$E306)</f>
        <v/>
      </c>
      <c r="KS306" s="57">
        <f>$KR306*$C306/$D306</f>
        <v/>
      </c>
      <c r="KT306" s="57">
        <f>SUMIFS(tblBudget[Hours_Worked],tblBudget[Month],"&lt;"&amp;$E306)+$KS306</f>
        <v/>
      </c>
    </row>
    <row r="307">
      <c r="A307" s="54" t="n">
        <v>46328</v>
      </c>
      <c r="B307">
        <f>MONTH($A307)</f>
        <v/>
      </c>
      <c r="C307">
        <f>DAY($A307)</f>
        <v/>
      </c>
      <c r="D307">
        <f>DAY(EOMONTH($A307,0))</f>
        <v/>
      </c>
      <c r="E307" s="54">
        <f>DATE(YEAR($A307),MONTH($A307),1)</f>
        <v/>
      </c>
      <c r="F307" s="55">
        <f>SUMIFS(tblMovement[Tonnes_t],tblMovement[Date],$A307,tblMovement[Is_Ore],1,tblMovement[Source_Type],"Pit")</f>
        <v/>
      </c>
      <c r="G307" s="55">
        <f>IF($B307=$B306,$G306,0)+$F307</f>
        <v/>
      </c>
      <c r="H307" s="55">
        <f>$H306+$F307</f>
        <v/>
      </c>
      <c r="I307" s="55">
        <f>SUMIFS(tblMovement[Ore_oz],tblMovement[Date],$A307,tblMovement[Source_Type],"Pit")</f>
        <v/>
      </c>
      <c r="J307" s="55">
        <f>IF($B307=$B306,$J306,0)+$I307</f>
        <v/>
      </c>
      <c r="K307" s="55">
        <f>$K306+$I307</f>
        <v/>
      </c>
      <c r="L307" s="55">
        <f>SUMIFS(tblMovement[Tonnes_t],tblMovement[Date],$A307,tblMovement[Is_Ore],1,tblMovement[Source_Type],"Pit",tblMovement[Grade_gpt],"&lt;&gt;")</f>
        <v/>
      </c>
      <c r="M307" s="55">
        <f>IF($B307=$B306,$M306,0)+$L307</f>
        <v/>
      </c>
      <c r="N307" s="55">
        <f>$N306+$L307</f>
        <v/>
      </c>
      <c r="O307" s="56">
        <f>IFERROR(IF(($L307)&gt;0,($I307*cfg_TroyOz)/($L307),""),"")</f>
        <v/>
      </c>
      <c r="P307" s="56">
        <f>IFERROR(IF(($M307)&gt;0,($J307*cfg_TroyOz)/($M307),""),"")</f>
        <v/>
      </c>
      <c r="Q307" s="56">
        <f>IFERROR(IF(($N307)&gt;0,($K307*cfg_TroyOz)/($N307),""),"")</f>
        <v/>
      </c>
      <c r="R307" s="55">
        <f>$F307-$L307</f>
        <v/>
      </c>
      <c r="S307" s="55">
        <f>IF($B307=$B306,$S306,0)+$R307</f>
        <v/>
      </c>
      <c r="T307" s="55">
        <f>$T306+$R307</f>
        <v/>
      </c>
      <c r="U307" s="55">
        <f>SUMIFS(tblMovement[Tonnes_t],tblMovement[Date],$A307,tblMovement[Is_Ore],0,tblMovement[Source_Type],"Pit")</f>
        <v/>
      </c>
      <c r="V307" s="55">
        <f>IF($B307=$B306,$V306,0)+$U307</f>
        <v/>
      </c>
      <c r="W307" s="55">
        <f>$W306+$U307</f>
        <v/>
      </c>
      <c r="X307" s="55">
        <f>$F307+$U307</f>
        <v/>
      </c>
      <c r="Y307" s="55">
        <f>IF($B307=$B306,$Y306,0)+$X307</f>
        <v/>
      </c>
      <c r="Z307" s="55">
        <f>$Z306+$X307</f>
        <v/>
      </c>
      <c r="AA307" s="56">
        <f>IFERROR(IF(($F307)&gt;0,($U307)/($F307),""),"")</f>
        <v/>
      </c>
      <c r="AB307" s="56">
        <f>IFERROR(IF(($G307)&gt;0,($V307)/($G307),""),"")</f>
        <v/>
      </c>
      <c r="AC307" s="56">
        <f>IFERROR(IF(($H307)&gt;0,($W307)/($H307),""),"")</f>
        <v/>
      </c>
      <c r="AD307" s="55">
        <f>SUMIFS(tblMovement[Tonnes_t],tblMovement[Date],$A307,tblMovement[Source_Type],"Stockpile")</f>
        <v/>
      </c>
      <c r="AE307" s="55">
        <f>IF($B307=$B306,$AE306,0)+$AD307</f>
        <v/>
      </c>
      <c r="AF307" s="55">
        <f>$AF306+$AD307</f>
        <v/>
      </c>
      <c r="AG307" s="55">
        <f>SUMIFS(tblMovement[Tonnes_t],tblMovement[Date],$A307)</f>
        <v/>
      </c>
      <c r="AH307" s="55">
        <f>IF($B307=$B306,$AH306,0)+$AG307</f>
        <v/>
      </c>
      <c r="AI307" s="55">
        <f>$AI306+$AG307</f>
        <v/>
      </c>
      <c r="AJ307" s="55">
        <f>$AG307-$X307-$AD307</f>
        <v/>
      </c>
      <c r="AK307" s="55">
        <f>IF($B307=$B306,$AK306,0)+$AJ307</f>
        <v/>
      </c>
      <c r="AL307" s="55">
        <f>$AL306+$AJ307</f>
        <v/>
      </c>
      <c r="AM307" s="55">
        <f>SUMIFS(tblMiningDaily[Drill_m],tblMiningDaily[Date],$A307)</f>
        <v/>
      </c>
      <c r="AN307" s="55">
        <f>IF($B307=$B306,$AN306,0)+$AM307</f>
        <v/>
      </c>
      <c r="AO307" s="55">
        <f>$AO306+$AM307</f>
        <v/>
      </c>
      <c r="AP307" s="55">
        <f>SUMIFS(tblMiningDaily[GC_Drill_m],tblMiningDaily[Date],$A307)</f>
        <v/>
      </c>
      <c r="AQ307" s="55">
        <f>IF($B307=$B306,$AQ306,0)+$AP307</f>
        <v/>
      </c>
      <c r="AR307" s="55">
        <f>$AR306+$AP307</f>
        <v/>
      </c>
      <c r="AS307" s="55">
        <f>SUMIFS(tblMiningDaily[Blast_t],tblMiningDaily[Date],$A307)</f>
        <v/>
      </c>
      <c r="AT307" s="55">
        <f>IF($B307=$B306,$AT306,0)+$AS307</f>
        <v/>
      </c>
      <c r="AU307" s="55">
        <f>$AU306+$AS307</f>
        <v/>
      </c>
      <c r="AV307" s="55">
        <f>SUMIFS(tblMiningDaily[Explosives_kg],tblMiningDaily[Date],$A307)</f>
        <v/>
      </c>
      <c r="AW307" s="55">
        <f>IF($B307=$B306,$AW306,0)+$AV307</f>
        <v/>
      </c>
      <c r="AX307" s="55">
        <f>$AX306+$AV307</f>
        <v/>
      </c>
      <c r="AY307" s="56">
        <f>IFERROR(IF(($AS307)&gt;0,($AV307)/($AS307),""),"")</f>
        <v/>
      </c>
      <c r="AZ307" s="56">
        <f>IFERROR(IF(($AT307)&gt;0,($AW307)/($AT307),""),"")</f>
        <v/>
      </c>
      <c r="BA307" s="56">
        <f>IFERROR(IF(($AU307)&gt;0,($AX307)/($AU307),""),"")</f>
        <v/>
      </c>
      <c r="BB307" s="55">
        <f>SUMIFS(tblMiningDaily[Diesel_L],tblMiningDaily[Date],$A307)</f>
        <v/>
      </c>
      <c r="BC307" s="55">
        <f>IF($B307=$B306,$BC306,0)+$BB307</f>
        <v/>
      </c>
      <c r="BD307" s="55">
        <f>$BD306+$BB307</f>
        <v/>
      </c>
      <c r="BE307" s="55">
        <f>SUMIFS(tblMiningDaily[Dewatering_m3],tblMiningDaily[Date],$A307)</f>
        <v/>
      </c>
      <c r="BF307" s="55">
        <f>IF($B307=$B306,$BF306,0)+$BE307</f>
        <v/>
      </c>
      <c r="BG307" s="55">
        <f>$BG306+$BE307</f>
        <v/>
      </c>
      <c r="BH307" s="57">
        <f>SUMIFS(tblFleet[Calendar_h],tblFleet[Date],$A307,tblFleet[Equipment_Class],"Excavator")</f>
        <v/>
      </c>
      <c r="BI307" s="57">
        <f>IF($B307=$B306,$BI306,0)+$BH307</f>
        <v/>
      </c>
      <c r="BJ307" s="57">
        <f>$BJ306+$BH307</f>
        <v/>
      </c>
      <c r="BK307" s="57">
        <f>SUMIFS(tblFleet[Available_h],tblFleet[Date],$A307,tblFleet[Equipment_Class],"Excavator")</f>
        <v/>
      </c>
      <c r="BL307" s="57">
        <f>IF($B307=$B306,$BL306,0)+$BK307</f>
        <v/>
      </c>
      <c r="BM307" s="57">
        <f>$BM306+$BK307</f>
        <v/>
      </c>
      <c r="BN307" s="57">
        <f>SUMIFS(tblFleet[Operating_h],tblFleet[Date],$A307,tblFleet[Equipment_Class],"Excavator")</f>
        <v/>
      </c>
      <c r="BO307" s="57">
        <f>IF($B307=$B306,$BO306,0)+$BN307</f>
        <v/>
      </c>
      <c r="BP307" s="57">
        <f>$BP306+$BN307</f>
        <v/>
      </c>
      <c r="BQ307" s="67">
        <f>IFERROR(IF(($BH307)&gt;0,($BK307)/($BH307),""),"")</f>
        <v/>
      </c>
      <c r="BR307" s="67">
        <f>IFERROR(IF(($BI307)&gt;0,($BL307)/($BI307),""),"")</f>
        <v/>
      </c>
      <c r="BS307" s="67">
        <f>IFERROR(IF(($BJ307)&gt;0,($BM307)/($BJ307),""),"")</f>
        <v/>
      </c>
      <c r="BT307" s="67">
        <f>IFERROR(IF(($BK307)&gt;0,($BN307)/($BK307),""),"")</f>
        <v/>
      </c>
      <c r="BU307" s="67">
        <f>IFERROR(IF(($BL307)&gt;0,($BO307)/($BL307),""),"")</f>
        <v/>
      </c>
      <c r="BV307" s="67">
        <f>IFERROR(IF(($BM307)&gt;0,($BP307)/($BM307),""),"")</f>
        <v/>
      </c>
      <c r="BW307" s="57">
        <f>SUMIFS(tblFleet[Calendar_h],tblFleet[Date],$A307,tblFleet[Equipment_Class],"Haul Truck")</f>
        <v/>
      </c>
      <c r="BX307" s="57">
        <f>IF($B307=$B306,$BX306,0)+$BW307</f>
        <v/>
      </c>
      <c r="BY307" s="57">
        <f>$BY306+$BW307</f>
        <v/>
      </c>
      <c r="BZ307" s="57">
        <f>SUMIFS(tblFleet[Available_h],tblFleet[Date],$A307,tblFleet[Equipment_Class],"Haul Truck")</f>
        <v/>
      </c>
      <c r="CA307" s="57">
        <f>IF($B307=$B306,$CA306,0)+$BZ307</f>
        <v/>
      </c>
      <c r="CB307" s="57">
        <f>$CB306+$BZ307</f>
        <v/>
      </c>
      <c r="CC307" s="57">
        <f>SUMIFS(tblFleet[Operating_h],tblFleet[Date],$A307,tblFleet[Equipment_Class],"Haul Truck")</f>
        <v/>
      </c>
      <c r="CD307" s="57">
        <f>IF($B307=$B306,$CD306,0)+$CC307</f>
        <v/>
      </c>
      <c r="CE307" s="57">
        <f>$CE306+$CC307</f>
        <v/>
      </c>
      <c r="CF307" s="67">
        <f>IFERROR(IF(($BW307)&gt;0,($BZ307)/($BW307),""),"")</f>
        <v/>
      </c>
      <c r="CG307" s="67">
        <f>IFERROR(IF(($BX307)&gt;0,($CA307)/($BX307),""),"")</f>
        <v/>
      </c>
      <c r="CH307" s="67">
        <f>IFERROR(IF(($BY307)&gt;0,($CB307)/($BY307),""),"")</f>
        <v/>
      </c>
      <c r="CI307" s="67">
        <f>IFERROR(IF(($BZ307)&gt;0,($CC307)/($BZ307),""),"")</f>
        <v/>
      </c>
      <c r="CJ307" s="67">
        <f>IFERROR(IF(($CA307)&gt;0,($CD307)/($CA307),""),"")</f>
        <v/>
      </c>
      <c r="CK307" s="67">
        <f>IFERROR(IF(($CB307)&gt;0,($CE307)/($CB307),""),"")</f>
        <v/>
      </c>
      <c r="CL307" s="55">
        <f>IFERROR(IF(($BN307)&gt;0,($X307+$AD307)/($BN307),""),"")</f>
        <v/>
      </c>
      <c r="CM307" s="55">
        <f>IFERROR(IF(($BO307)&gt;0,($Y307+$AE307)/($BO307),""),"")</f>
        <v/>
      </c>
      <c r="CN307" s="55">
        <f>IFERROR(IF(($BP307)&gt;0,($Z307+$AF307)/($BP307),""),"")</f>
        <v/>
      </c>
      <c r="CO307" s="55">
        <f>IFERROR(IF(($CC307)&gt;0,($X307+$AD307)/($CC307),""),"")</f>
        <v/>
      </c>
      <c r="CP307" s="55">
        <f>IFERROR(IF(($CD307)&gt;0,($Y307+$AE307)/($CD307),""),"")</f>
        <v/>
      </c>
      <c r="CQ307" s="55">
        <f>IFERROR(IF(($CE307)&gt;0,($Z307+$AF307)/($CE307),""),"")</f>
        <v/>
      </c>
      <c r="CR307" s="55">
        <f>SUMIFS(tblPlant[Crushed_t],tblPlant[Date],$A307)</f>
        <v/>
      </c>
      <c r="CS307" s="55">
        <f>IF($B307=$B306,$CS306,0)+$CR307</f>
        <v/>
      </c>
      <c r="CT307" s="55">
        <f>$CT306+$CR307</f>
        <v/>
      </c>
      <c r="CU307" s="55">
        <f>SUMIFS(tblPlant[Milled_t],tblPlant[Date],$A307)</f>
        <v/>
      </c>
      <c r="CV307" s="55">
        <f>IF($B307=$B306,$CV306,0)+$CU307</f>
        <v/>
      </c>
      <c r="CW307" s="55">
        <f>$CW306+$CU307</f>
        <v/>
      </c>
      <c r="CX307" s="55">
        <f>SUMIFS(tblPlant[Feed_oz],tblPlant[Date],$A307)</f>
        <v/>
      </c>
      <c r="CY307" s="55">
        <f>IF($B307=$B306,$CY306,0)+$CX307</f>
        <v/>
      </c>
      <c r="CZ307" s="55">
        <f>$CZ306+$CX307</f>
        <v/>
      </c>
      <c r="DA307" s="55">
        <f>SUMIFS(tblPlant[Tails_oz],tblPlant[Date],$A307)</f>
        <v/>
      </c>
      <c r="DB307" s="55">
        <f>IF($B307=$B306,$DB306,0)+$DA307</f>
        <v/>
      </c>
      <c r="DC307" s="55">
        <f>$DC306+$DA307</f>
        <v/>
      </c>
      <c r="DD307" s="55">
        <f>SUMIFS(tblPlant[Recovered_oz],tblPlant[Date],$A307)</f>
        <v/>
      </c>
      <c r="DE307" s="55">
        <f>IF($B307=$B306,$DE306,0)+$DD307</f>
        <v/>
      </c>
      <c r="DF307" s="55">
        <f>$DF306+$DD307</f>
        <v/>
      </c>
      <c r="DG307" s="55">
        <f>SUMIFS(tblPlant[Milled_t],tblPlant[Date],$A307,tblPlant[Head_Grade_gpt],"&lt;&gt;")</f>
        <v/>
      </c>
      <c r="DH307" s="55">
        <f>IF($B307=$B306,$DH306,0)+$DG307</f>
        <v/>
      </c>
      <c r="DI307" s="55">
        <f>$DI306+$DG307</f>
        <v/>
      </c>
      <c r="DJ307" s="55">
        <f>SUMIFS(tblPlant[Milled_t],tblPlant[Date],$A307,tblPlant[Tails_Grade_gpt],"&lt;&gt;")</f>
        <v/>
      </c>
      <c r="DK307" s="55">
        <f>IF($B307=$B306,$DK306,0)+$DJ307</f>
        <v/>
      </c>
      <c r="DL307" s="55">
        <f>$DL306+$DJ307</f>
        <v/>
      </c>
      <c r="DM307" s="55">
        <f>SUMIFS(tblPlant[Feed_oz],tblPlant[Date],$A307,tblPlant[Tails_Grade_gpt],"&lt;&gt;")</f>
        <v/>
      </c>
      <c r="DN307" s="55">
        <f>IF($B307=$B306,$DN306,0)+$DM307</f>
        <v/>
      </c>
      <c r="DO307" s="55">
        <f>$DO306+$DM307</f>
        <v/>
      </c>
      <c r="DP307" s="55">
        <f>SUMIFS(tblPlant[Milled_t],tblPlant[Date],$A307,tblPlant[Mill_Run_h],"&lt;&gt;")</f>
        <v/>
      </c>
      <c r="DQ307" s="55">
        <f>IF($B307=$B306,$DQ306,0)+$DP307</f>
        <v/>
      </c>
      <c r="DR307" s="55">
        <f>$DR306+$DP307</f>
        <v/>
      </c>
      <c r="DS307" s="56">
        <f>IFERROR(IF(($DG307)&gt;0,($CX307*cfg_TroyOz)/($DG307),""),"")</f>
        <v/>
      </c>
      <c r="DT307" s="56">
        <f>IFERROR(IF(($DH307)&gt;0,($CY307*cfg_TroyOz)/($DH307),""),"")</f>
        <v/>
      </c>
      <c r="DU307" s="56">
        <f>IFERROR(IF(($DI307)&gt;0,($CZ307*cfg_TroyOz)/($DI307),""),"")</f>
        <v/>
      </c>
      <c r="DV307" s="56">
        <f>IFERROR(IF(($DJ307)&gt;0,($DA307*cfg_TroyOz)/($DJ307),""),"")</f>
        <v/>
      </c>
      <c r="DW307" s="56">
        <f>IFERROR(IF(($DK307)&gt;0,($DB307*cfg_TroyOz)/($DK307),""),"")</f>
        <v/>
      </c>
      <c r="DX307" s="56">
        <f>IFERROR(IF(($DL307)&gt;0,($DC307*cfg_TroyOz)/($DL307),""),"")</f>
        <v/>
      </c>
      <c r="DY307" s="67">
        <f>IFERROR(IF(($DM307)&gt;0,($DD307)/($DM307),""),"")</f>
        <v/>
      </c>
      <c r="DZ307" s="67">
        <f>IFERROR(IF(($DN307)&gt;0,($DE307)/($DN307),""),"")</f>
        <v/>
      </c>
      <c r="EA307" s="67">
        <f>IFERROR(IF(($DO307)&gt;0,($DF307)/($DO307),""),"")</f>
        <v/>
      </c>
      <c r="EB307" s="55">
        <f>SUMIFS(tblPlant[Gravity_Gold_oz],tblPlant[Date],$A307)</f>
        <v/>
      </c>
      <c r="EC307" s="55">
        <f>IF($B307=$B306,$EC306,0)+$EB307</f>
        <v/>
      </c>
      <c r="ED307" s="55">
        <f>$ED306+$EB307</f>
        <v/>
      </c>
      <c r="EE307" s="67">
        <f>IFERROR(IF(($DD307)&gt;0,($EB307)/($DD307),""),"")</f>
        <v/>
      </c>
      <c r="EF307" s="67">
        <f>IFERROR(IF(($DE307)&gt;0,($EC307)/($DE307),""),"")</f>
        <v/>
      </c>
      <c r="EG307" s="67">
        <f>IFERROR(IF(($DF307)&gt;0,($ED307)/($DF307),""),"")</f>
        <v/>
      </c>
      <c r="EH307" s="55">
        <f>SUMIFS(tblPlant[Gold_Poured_oz],tblPlant[Date],$A307)</f>
        <v/>
      </c>
      <c r="EI307" s="55">
        <f>IF($B307=$B306,$EI306,0)+$EH307</f>
        <v/>
      </c>
      <c r="EJ307" s="55">
        <f>$EJ306+$EH307</f>
        <v/>
      </c>
      <c r="EK307" s="57">
        <f>SUMIFS(tblPlant[Mill_Run_h],tblPlant[Date],$A307)</f>
        <v/>
      </c>
      <c r="EL307" s="57">
        <f>IF($B307=$B306,$EL306,0)+$EK307</f>
        <v/>
      </c>
      <c r="EM307" s="57">
        <f>$EM306+$EK307</f>
        <v/>
      </c>
      <c r="EN307" s="57">
        <f>SUMIFS(tblPlant[Mill_Planned_Maint_h],tblPlant[Date],$A307)</f>
        <v/>
      </c>
      <c r="EO307" s="57">
        <f>IF($B307=$B306,$EO306,0)+$EN307</f>
        <v/>
      </c>
      <c r="EP307" s="57">
        <f>$EP306+$EN307</f>
        <v/>
      </c>
      <c r="EQ307" s="57">
        <f>SUMIFS(tblPlant[Mill_Unplanned_Down_h],tblPlant[Date],$A307)</f>
        <v/>
      </c>
      <c r="ER307" s="57">
        <f>IF($B307=$B306,$ER306,0)+$EQ307</f>
        <v/>
      </c>
      <c r="ES307" s="57">
        <f>$ES306+$EQ307</f>
        <v/>
      </c>
      <c r="ET307" s="57">
        <f>IF(COUNTIFS(tblPlant[Date],$A307,tblPlant[Mill_Run_h],"&lt;&gt;")+COUNTIFS(tblPlant[Date],$A307,tblPlant[Mill_Planned_Maint_h],"&lt;&gt;")+COUNTIFS(tblPlant[Date],$A307,tblPlant[Mill_Unplanned_Down_h],"&lt;&gt;")&gt;0,cfg_HoursPerDay,0)</f>
        <v/>
      </c>
      <c r="EU307" s="57">
        <f>IF($B307=$B306,$EU306,0)+$ET307</f>
        <v/>
      </c>
      <c r="EV307" s="57">
        <f>$EV306+$ET307</f>
        <v/>
      </c>
      <c r="EW307" s="57">
        <f>SUMIFS(tblPlant[Crusher_Run_h],tblPlant[Date],$A307)</f>
        <v/>
      </c>
      <c r="EX307" s="57">
        <f>IF($B307=$B306,$EX306,0)+$EW307</f>
        <v/>
      </c>
      <c r="EY307" s="57">
        <f>$EY306+$EW307</f>
        <v/>
      </c>
      <c r="EZ307" s="55">
        <f>IFERROR(IF(($EK307)&gt;0,($DP307)/($EK307),""),"")</f>
        <v/>
      </c>
      <c r="FA307" s="55">
        <f>IFERROR(IF(($EL307)&gt;0,($DQ307)/($EL307),""),"")</f>
        <v/>
      </c>
      <c r="FB307" s="55">
        <f>IFERROR(IF(($EM307)&gt;0,($DR307)/($EM307),""),"")</f>
        <v/>
      </c>
      <c r="FC307" s="67">
        <f>IFERROR(IF(($ET307)&gt;0,($ET307-$EN307-$EQ307)/($ET307),""),"")</f>
        <v/>
      </c>
      <c r="FD307" s="67">
        <f>IFERROR(IF(($EU307)&gt;0,($EU307-$EO307-$ER307)/($EU307),""),"")</f>
        <v/>
      </c>
      <c r="FE307" s="67">
        <f>IFERROR(IF(($EV307)&gt;0,($EV307-$EP307-$ES307)/($EV307),""),"")</f>
        <v/>
      </c>
      <c r="FF307" s="67">
        <f>IFERROR(IF(($ET307-$EN307-$EQ307)&gt;0,($EK307)/($ET307-$EN307-$EQ307),""),"")</f>
        <v/>
      </c>
      <c r="FG307" s="67">
        <f>IFERROR(IF(($EU307-$EO307-$ER307)&gt;0,($EL307)/($EU307-$EO307-$ER307),""),"")</f>
        <v/>
      </c>
      <c r="FH307" s="67">
        <f>IFERROR(IF(($EV307-$EP307-$ES307)&gt;0,($EM307)/($EV307-$EP307-$ES307),""),"")</f>
        <v/>
      </c>
      <c r="FI307" s="55">
        <f>SUMIFS(tblPlant[Cyanide_kg],tblPlant[Date],$A307)</f>
        <v/>
      </c>
      <c r="FJ307" s="55">
        <f>IF($B307=$B306,$FJ306,0)+$FI307</f>
        <v/>
      </c>
      <c r="FK307" s="55">
        <f>$FK306+$FI307</f>
        <v/>
      </c>
      <c r="FL307" s="55">
        <f>SUMIFS(tblPlant[Lime_kg],tblPlant[Date],$A307)</f>
        <v/>
      </c>
      <c r="FM307" s="55">
        <f>IF($B307=$B306,$FM306,0)+$FL307</f>
        <v/>
      </c>
      <c r="FN307" s="55">
        <f>$FN306+$FL307</f>
        <v/>
      </c>
      <c r="FO307" s="55">
        <f>SUMIFS(tblPlant[Grinding_Media_kg],tblPlant[Date],$A307)</f>
        <v/>
      </c>
      <c r="FP307" s="55">
        <f>IF($B307=$B306,$FP306,0)+$FO307</f>
        <v/>
      </c>
      <c r="FQ307" s="55">
        <f>$FQ306+$FO307</f>
        <v/>
      </c>
      <c r="FR307" s="55">
        <f>SUMIFS(tblPlant[Power_kWh],tblPlant[Date],$A307)</f>
        <v/>
      </c>
      <c r="FS307" s="55">
        <f>IF($B307=$B306,$FS306,0)+$FR307</f>
        <v/>
      </c>
      <c r="FT307" s="55">
        <f>$FT306+$FR307</f>
        <v/>
      </c>
      <c r="FU307" s="55">
        <f>SUMIFS(tblPlant[Raw_Water_m3],tblPlant[Date],$A307)</f>
        <v/>
      </c>
      <c r="FV307" s="55">
        <f>IF($B307=$B306,$FV306,0)+$FU307</f>
        <v/>
      </c>
      <c r="FW307" s="55">
        <f>$FW306+$FU307</f>
        <v/>
      </c>
      <c r="FX307" s="56">
        <f>IFERROR(IF(($CU307)&gt;0,($FI307)/($CU307),""),"")</f>
        <v/>
      </c>
      <c r="FY307" s="56">
        <f>IFERROR(IF(($CV307)&gt;0,($FJ307)/($CV307),""),"")</f>
        <v/>
      </c>
      <c r="FZ307" s="56">
        <f>IFERROR(IF(($CW307)&gt;0,($FK307)/($CW307),""),"")</f>
        <v/>
      </c>
      <c r="GA307" s="56">
        <f>IFERROR(IF(($CU307)&gt;0,($FL307)/($CU307),""),"")</f>
        <v/>
      </c>
      <c r="GB307" s="56">
        <f>IFERROR(IF(($CV307)&gt;0,($FM307)/($CV307),""),"")</f>
        <v/>
      </c>
      <c r="GC307" s="56">
        <f>IFERROR(IF(($CW307)&gt;0,($FN307)/($CW307),""),"")</f>
        <v/>
      </c>
      <c r="GD307" s="56">
        <f>IFERROR(IF(($CU307)&gt;0,($FO307)/($CU307),""),"")</f>
        <v/>
      </c>
      <c r="GE307" s="56">
        <f>IFERROR(IF(($CV307)&gt;0,($FP307)/($CV307),""),"")</f>
        <v/>
      </c>
      <c r="GF307" s="56">
        <f>IFERROR(IF(($CW307)&gt;0,($FQ307)/($CW307),""),"")</f>
        <v/>
      </c>
      <c r="GG307" s="79">
        <f>IFERROR(IF(($CU307)&gt;0,($FR307)/($CU307),""),"")</f>
        <v/>
      </c>
      <c r="GH307" s="79">
        <f>IFERROR(IF(($CV307)&gt;0,($FS307)/($CV307),""),"")</f>
        <v/>
      </c>
      <c r="GI307" s="79">
        <f>IFERROR(IF(($CW307)&gt;0,($FT307)/($CW307),""),"")</f>
        <v/>
      </c>
      <c r="GJ307" s="56">
        <f>IFERROR(IF(($CU307)&gt;0,($FU307)/($CU307),""),"")</f>
        <v/>
      </c>
      <c r="GK307" s="56">
        <f>IFERROR(IF(($CV307)&gt;0,($FV307)/($CV307),""),"")</f>
        <v/>
      </c>
      <c r="GL307" s="56">
        <f>IFERROR(IF(($CW307)&gt;0,($FW307)/($CW307),""),"")</f>
        <v/>
      </c>
      <c r="GM307" s="55">
        <f>IF(SUMIFS(tblPlant[GIC_oz],tblPlant[Date],$A307)&gt;0,SUMIFS(tblPlant[GIC_oz],tblPlant[Date],$A307),"")</f>
        <v/>
      </c>
      <c r="GN307" s="55">
        <f>SUMIFS(tblGold[Gold_oz],tblGold[Date],$A307,tblGold[Type],"Shipment")</f>
        <v/>
      </c>
      <c r="GO307" s="55">
        <f>IF($B307=$B306,$GO306,0)+$GN307</f>
        <v/>
      </c>
      <c r="GP307" s="55">
        <f>$GP306+$GN307</f>
        <v/>
      </c>
      <c r="GQ307" s="55">
        <f>SUMIFS(tblGold[Gold_oz],tblGold[Date],$A307,tblGold[Type],"Sale")</f>
        <v/>
      </c>
      <c r="GR307" s="55">
        <f>IF($B307=$B306,$GR306,0)+$GQ307</f>
        <v/>
      </c>
      <c r="GS307" s="55">
        <f>$GS306+$GQ307</f>
        <v/>
      </c>
      <c r="GT307" s="55">
        <f>SUMIFS(tblGold[Dore_kg],tblGold[Date],$A307,tblGold[Type],"Shipment")</f>
        <v/>
      </c>
      <c r="GU307" s="55">
        <f>IF($B307=$B306,$GU306,0)+$GT307</f>
        <v/>
      </c>
      <c r="GV307" s="55">
        <f>$GV306+$GT307</f>
        <v/>
      </c>
      <c r="GW307" s="57">
        <f>SUMIFS(tblSafety[Hours_Total],tblSafety[Date],$A307)</f>
        <v/>
      </c>
      <c r="GX307" s="57">
        <f>IF($B307=$B306,$GX306,0)+$GW307</f>
        <v/>
      </c>
      <c r="GY307" s="57">
        <f>$GY306+$GW307</f>
        <v/>
      </c>
      <c r="GZ307" s="62">
        <f>SUMIFS(tblSafety[Fatality],tblSafety[Date],$A307)</f>
        <v/>
      </c>
      <c r="HA307" s="62">
        <f>IF($B307=$B306,$HA306,0)+$GZ307</f>
        <v/>
      </c>
      <c r="HB307" s="62">
        <f>$HB306+$GZ307</f>
        <v/>
      </c>
      <c r="HC307" s="62">
        <f>SUMIFS(tblSafety[LTI],tblSafety[Date],$A307)</f>
        <v/>
      </c>
      <c r="HD307" s="62">
        <f>IF($B307=$B306,$HD306,0)+$HC307</f>
        <v/>
      </c>
      <c r="HE307" s="62">
        <f>$HE306+$HC307</f>
        <v/>
      </c>
      <c r="HF307" s="62">
        <f>SUMIFS(tblSafety[RWI],tblSafety[Date],$A307)</f>
        <v/>
      </c>
      <c r="HG307" s="62">
        <f>IF($B307=$B306,$HG306,0)+$HF307</f>
        <v/>
      </c>
      <c r="HH307" s="62">
        <f>$HH306+$HF307</f>
        <v/>
      </c>
      <c r="HI307" s="62">
        <f>SUMIFS(tblSafety[MTI],tblSafety[Date],$A307)</f>
        <v/>
      </c>
      <c r="HJ307" s="62">
        <f>IF($B307=$B306,$HJ306,0)+$HI307</f>
        <v/>
      </c>
      <c r="HK307" s="62">
        <f>$HK306+$HI307</f>
        <v/>
      </c>
      <c r="HL307" s="62">
        <f>SUMIFS(tblSafety[FAI],tblSafety[Date],$A307)</f>
        <v/>
      </c>
      <c r="HM307" s="62">
        <f>IF($B307=$B306,$HM306,0)+$HL307</f>
        <v/>
      </c>
      <c r="HN307" s="62">
        <f>$HN306+$HL307</f>
        <v/>
      </c>
      <c r="HO307" s="62">
        <f>SUMIFS(tblSafety[Recordables],tblSafety[Date],$A307)</f>
        <v/>
      </c>
      <c r="HP307" s="62">
        <f>IF($B307=$B306,$HP306,0)+$HO307</f>
        <v/>
      </c>
      <c r="HQ307" s="62">
        <f>$HQ306+$HO307</f>
        <v/>
      </c>
      <c r="HR307" s="62">
        <f>SUMIFS(tblSafety[Near_Miss],tblSafety[Date],$A307)</f>
        <v/>
      </c>
      <c r="HS307" s="62">
        <f>IF($B307=$B306,$HS306,0)+$HR307</f>
        <v/>
      </c>
      <c r="HT307" s="62">
        <f>$HT306+$HR307</f>
        <v/>
      </c>
      <c r="HU307" s="62">
        <f>SUMIFS(tblSafety[Hazard_Reports],tblSafety[Date],$A307)</f>
        <v/>
      </c>
      <c r="HV307" s="62">
        <f>IF($B307=$B306,$HV306,0)+$HU307</f>
        <v/>
      </c>
      <c r="HW307" s="62">
        <f>$HW306+$HU307</f>
        <v/>
      </c>
      <c r="HX307" s="62">
        <f>SUMIFS(tblSafety[HPI],tblSafety[Date],$A307)</f>
        <v/>
      </c>
      <c r="HY307" s="62">
        <f>IF($B307=$B306,$HY306,0)+$HX307</f>
        <v/>
      </c>
      <c r="HZ307" s="62">
        <f>$HZ306+$HX307</f>
        <v/>
      </c>
      <c r="IA307" s="62">
        <f>SUMIFS(tblSafety[Env_Incidents],tblSafety[Date],$A307)</f>
        <v/>
      </c>
      <c r="IB307" s="62">
        <f>IF($B307=$B306,$IB306,0)+$IA307</f>
        <v/>
      </c>
      <c r="IC307" s="62">
        <f>$IC306+$IA307</f>
        <v/>
      </c>
      <c r="ID307" s="62">
        <f>SUMIFS(tblSafety[Community_Incidents],tblSafety[Date],$A307)</f>
        <v/>
      </c>
      <c r="IE307" s="62">
        <f>IF($B307=$B306,$IE306,0)+$ID307</f>
        <v/>
      </c>
      <c r="IF307" s="62">
        <f>$IF306+$ID307</f>
        <v/>
      </c>
      <c r="IG307" s="62">
        <f>SUMIFS(tblSafety[Vehicle_Incidents],tblSafety[Date],$A307)</f>
        <v/>
      </c>
      <c r="IH307" s="62">
        <f>IF($B307=$B306,$IH306,0)+$IG307</f>
        <v/>
      </c>
      <c r="II307" s="62">
        <f>$II306+$IG307</f>
        <v/>
      </c>
      <c r="IJ307" s="62">
        <f>SUMIFS(tblSafety[Toolbox_Talks],tblSafety[Date],$A307)</f>
        <v/>
      </c>
      <c r="IK307" s="62">
        <f>IF($B307=$B306,$IK306,0)+$IJ307</f>
        <v/>
      </c>
      <c r="IL307" s="62">
        <f>$IL306+$IJ307</f>
        <v/>
      </c>
      <c r="IM307" s="62">
        <f>SUMIFS(tblSafety[Inspections],tblSafety[Date],$A307)</f>
        <v/>
      </c>
      <c r="IN307" s="62">
        <f>IF($B307=$B306,$IN306,0)+$IM307</f>
        <v/>
      </c>
      <c r="IO307" s="62">
        <f>$IO306+$IM307</f>
        <v/>
      </c>
      <c r="IP307" s="56">
        <f>IFERROR((SUMIFS(tblSafety[Recordables],tblSafety[Date],"&gt;="&amp;EDATE($E307,-12),tblSafety[Date],"&lt;="&amp;$A307)+SUMIFS(tblSafetyHistory[Recordables],tblSafetyHistory[Month],"&gt;="&amp;EDATE($E307,-12),tblSafetyHistory[Month],"&lt;"&amp;$E307,tblSafetyHistory[Use],1))/(SUMIFS(tblSafety[Hours_Total],tblSafety[Date],"&gt;="&amp;EDATE($E307,-12),tblSafety[Date],"&lt;="&amp;$A307)+SUMIFS(tblSafetyHistory[Hours_Total],tblSafetyHistory[Month],"&gt;="&amp;EDATE($E307,-12),tblSafetyHistory[Month],"&lt;"&amp;$E307,tblSafetyHistory[Use],1))*cfg_RateBasisHours,"")</f>
        <v/>
      </c>
      <c r="IQ307" s="56">
        <f>IFERROR((SUMIFS(tblSafety[LTI],tblSafety[Date],"&gt;="&amp;EDATE($E307,-12),tblSafety[Date],"&lt;="&amp;$A307)+SUMIFS(tblSafetyHistory[LTI],tblSafetyHistory[Month],"&gt;="&amp;EDATE($E307,-12),tblSafetyHistory[Month],"&lt;"&amp;$E307,tblSafetyHistory[Use],1))/(SUMIFS(tblSafety[Hours_Total],tblSafety[Date],"&gt;="&amp;EDATE($E307,-12),tblSafety[Date],"&lt;="&amp;$A307)+SUMIFS(tblSafetyHistory[Hours_Total],tblSafetyHistory[Month],"&gt;="&amp;EDATE($E307,-12),tblSafetyHistory[Month],"&lt;"&amp;$E307,tblSafetyHistory[Use],1))*cfg_RateBasisHours,"")</f>
        <v/>
      </c>
      <c r="IR307" s="62">
        <f>IF(MAX(N(cfg_PriorLTIDate),_xlfn.MAXIFS(tblSafety[Date],tblSafety[LTI],"&gt;0",tblSafety[Date],"&lt;="&amp;$A307))=0,"",$A307-MAX(N(cfg_PriorLTIDate),_xlfn.MAXIFS(tblSafety[Date],tblSafety[LTI],"&gt;0",tblSafety[Date],"&lt;="&amp;$A307)))</f>
        <v/>
      </c>
      <c r="IS307" s="55">
        <f>SUMIFS(tblBudget[Ore_Mined_t],tblBudget[Month],$E307)</f>
        <v/>
      </c>
      <c r="IT307" s="55">
        <f>$IS307*$C307/$D307</f>
        <v/>
      </c>
      <c r="IU307" s="55">
        <f>SUMIFS(tblBudget[Ore_Mined_t],tblBudget[Month],"&lt;"&amp;$E307)+$IT307</f>
        <v/>
      </c>
      <c r="IV307" s="55">
        <f>SUMIFS(tblBudget[Ore_oz],tblBudget[Month],$E307)</f>
        <v/>
      </c>
      <c r="IW307" s="55">
        <f>$IV307*$C307/$D307</f>
        <v/>
      </c>
      <c r="IX307" s="55">
        <f>SUMIFS(tblBudget[Ore_oz],tblBudget[Month],"&lt;"&amp;$E307)+$IW307</f>
        <v/>
      </c>
      <c r="IY307" s="55">
        <f>SUMIFS(tblBudget[Ore_Mined_t],tblBudget[Month],$E307)</f>
        <v/>
      </c>
      <c r="IZ307" s="55">
        <f>$IY307*$C307/$D307</f>
        <v/>
      </c>
      <c r="JA307" s="55">
        <f>SUMIFS(tblBudget[Ore_Mined_t],tblBudget[Month],"&lt;"&amp;$E307)+$IZ307</f>
        <v/>
      </c>
      <c r="JB307" s="56">
        <f>IFERROR(IF(($IY307)&gt;0,($IV307*cfg_TroyOz)/($IY307),""),"")</f>
        <v/>
      </c>
      <c r="JC307" s="56">
        <f>IFERROR(IF(($IZ307)&gt;0,($IW307*cfg_TroyOz)/($IZ307),""),"")</f>
        <v/>
      </c>
      <c r="JD307" s="56">
        <f>IFERROR(IF(($JA307)&gt;0,($IX307*cfg_TroyOz)/($JA307),""),"")</f>
        <v/>
      </c>
      <c r="JE307" s="55">
        <f>SUMIFS(tblBudget[Waste_t],tblBudget[Month],$E307)</f>
        <v/>
      </c>
      <c r="JF307" s="55">
        <f>$JE307*$C307/$D307</f>
        <v/>
      </c>
      <c r="JG307" s="55">
        <f>SUMIFS(tblBudget[Waste_t],tblBudget[Month],"&lt;"&amp;$E307)+$JF307</f>
        <v/>
      </c>
      <c r="JH307" s="55">
        <f>SUMIFS(tblBudget[TMM_t],tblBudget[Month],$E307)</f>
        <v/>
      </c>
      <c r="JI307" s="55">
        <f>$JH307*$C307/$D307</f>
        <v/>
      </c>
      <c r="JJ307" s="55">
        <f>SUMIFS(tblBudget[TMM_t],tblBudget[Month],"&lt;"&amp;$E307)+$JI307</f>
        <v/>
      </c>
      <c r="JK307" s="56">
        <f>IFERROR(IF(($IS307)&gt;0,($JE307)/($IS307),""),"")</f>
        <v/>
      </c>
      <c r="JL307" s="56">
        <f>IFERROR(IF(($IT307)&gt;0,($JF307)/($IT307),""),"")</f>
        <v/>
      </c>
      <c r="JM307" s="56">
        <f>IFERROR(IF(($IU307)&gt;0,($JG307)/($IU307),""),"")</f>
        <v/>
      </c>
      <c r="JN307" s="55">
        <f>SUMIFS(tblBudget[Drill_m],tblBudget[Month],$E307)</f>
        <v/>
      </c>
      <c r="JO307" s="55">
        <f>$JN307*$C307/$D307</f>
        <v/>
      </c>
      <c r="JP307" s="55">
        <f>SUMIFS(tblBudget[Drill_m],tblBudget[Month],"&lt;"&amp;$E307)+$JO307</f>
        <v/>
      </c>
      <c r="JQ307" s="55">
        <f>SUMIFS(tblBudget[Diesel_L],tblBudget[Month],$E307)</f>
        <v/>
      </c>
      <c r="JR307" s="55">
        <f>$JQ307*$C307/$D307</f>
        <v/>
      </c>
      <c r="JS307" s="55">
        <f>SUMIFS(tblBudget[Diesel_L],tblBudget[Month],"&lt;"&amp;$E307)+$JR307</f>
        <v/>
      </c>
      <c r="JT307" s="55">
        <f>SUMIFS(tblBudget[Milled_t],tblBudget[Month],$E307)</f>
        <v/>
      </c>
      <c r="JU307" s="55">
        <f>$JT307*$C307/$D307</f>
        <v/>
      </c>
      <c r="JV307" s="55">
        <f>SUMIFS(tblBudget[Milled_t],tblBudget[Month],"&lt;"&amp;$E307)+$JU307</f>
        <v/>
      </c>
      <c r="JW307" s="55">
        <f>SUMIFS(tblBudget[Feed_oz],tblBudget[Month],$E307)</f>
        <v/>
      </c>
      <c r="JX307" s="55">
        <f>$JW307*$C307/$D307</f>
        <v/>
      </c>
      <c r="JY307" s="55">
        <f>SUMIFS(tblBudget[Feed_oz],tblBudget[Month],"&lt;"&amp;$E307)+$JX307</f>
        <v/>
      </c>
      <c r="JZ307" s="55">
        <f>SUMIFS(tblBudget[Recovered_oz],tblBudget[Month],$E307)</f>
        <v/>
      </c>
      <c r="KA307" s="55">
        <f>$JZ307*$C307/$D307</f>
        <v/>
      </c>
      <c r="KB307" s="55">
        <f>SUMIFS(tblBudget[Recovered_oz],tblBudget[Month],"&lt;"&amp;$E307)+$KA307</f>
        <v/>
      </c>
      <c r="KC307" s="55">
        <f>SUMIFS(tblBudget[Milled_t],tblBudget[Month],$E307)</f>
        <v/>
      </c>
      <c r="KD307" s="55">
        <f>$KC307*$C307/$D307</f>
        <v/>
      </c>
      <c r="KE307" s="55">
        <f>SUMIFS(tblBudget[Milled_t],tblBudget[Month],"&lt;"&amp;$E307)+$KD307</f>
        <v/>
      </c>
      <c r="KF307" s="55">
        <f>SUMIFS(tblBudget[Feed_oz],tblBudget[Month],$E307)</f>
        <v/>
      </c>
      <c r="KG307" s="55">
        <f>$KF307*$C307/$D307</f>
        <v/>
      </c>
      <c r="KH307" s="55">
        <f>SUMIFS(tblBudget[Feed_oz],tblBudget[Month],"&lt;"&amp;$E307)+$KG307</f>
        <v/>
      </c>
      <c r="KI307" s="56">
        <f>IFERROR(IF(($KC307)&gt;0,($JW307*cfg_TroyOz)/($KC307),""),"")</f>
        <v/>
      </c>
      <c r="KJ307" s="56">
        <f>IFERROR(IF(($KD307)&gt;0,($JX307*cfg_TroyOz)/($KD307),""),"")</f>
        <v/>
      </c>
      <c r="KK307" s="56">
        <f>IFERROR(IF(($KE307)&gt;0,($JY307*cfg_TroyOz)/($KE307),""),"")</f>
        <v/>
      </c>
      <c r="KL307" s="67">
        <f>IFERROR(IF(($KF307)&gt;0,($JZ307)/($KF307),""),"")</f>
        <v/>
      </c>
      <c r="KM307" s="67">
        <f>IFERROR(IF(($KG307)&gt;0,($KA307)/($KG307),""),"")</f>
        <v/>
      </c>
      <c r="KN307" s="67">
        <f>IFERROR(IF(($KH307)&gt;0,($KB307)/($KH307),""),"")</f>
        <v/>
      </c>
      <c r="KO307" s="55">
        <f>SUMIFS(tblBudget[Gold_Poured_oz],tblBudget[Month],$E307)</f>
        <v/>
      </c>
      <c r="KP307" s="55">
        <f>$KO307*$C307/$D307</f>
        <v/>
      </c>
      <c r="KQ307" s="55">
        <f>SUMIFS(tblBudget[Gold_Poured_oz],tblBudget[Month],"&lt;"&amp;$E307)+$KP307</f>
        <v/>
      </c>
      <c r="KR307" s="57">
        <f>SUMIFS(tblBudget[Hours_Worked],tblBudget[Month],$E307)</f>
        <v/>
      </c>
      <c r="KS307" s="57">
        <f>$KR307*$C307/$D307</f>
        <v/>
      </c>
      <c r="KT307" s="57">
        <f>SUMIFS(tblBudget[Hours_Worked],tblBudget[Month],"&lt;"&amp;$E307)+$KS307</f>
        <v/>
      </c>
    </row>
    <row r="308">
      <c r="A308" s="54" t="n">
        <v>46329</v>
      </c>
      <c r="B308">
        <f>MONTH($A308)</f>
        <v/>
      </c>
      <c r="C308">
        <f>DAY($A308)</f>
        <v/>
      </c>
      <c r="D308">
        <f>DAY(EOMONTH($A308,0))</f>
        <v/>
      </c>
      <c r="E308" s="54">
        <f>DATE(YEAR($A308),MONTH($A308),1)</f>
        <v/>
      </c>
      <c r="F308" s="55">
        <f>SUMIFS(tblMovement[Tonnes_t],tblMovement[Date],$A308,tblMovement[Is_Ore],1,tblMovement[Source_Type],"Pit")</f>
        <v/>
      </c>
      <c r="G308" s="55">
        <f>IF($B308=$B307,$G307,0)+$F308</f>
        <v/>
      </c>
      <c r="H308" s="55">
        <f>$H307+$F308</f>
        <v/>
      </c>
      <c r="I308" s="55">
        <f>SUMIFS(tblMovement[Ore_oz],tblMovement[Date],$A308,tblMovement[Source_Type],"Pit")</f>
        <v/>
      </c>
      <c r="J308" s="55">
        <f>IF($B308=$B307,$J307,0)+$I308</f>
        <v/>
      </c>
      <c r="K308" s="55">
        <f>$K307+$I308</f>
        <v/>
      </c>
      <c r="L308" s="55">
        <f>SUMIFS(tblMovement[Tonnes_t],tblMovement[Date],$A308,tblMovement[Is_Ore],1,tblMovement[Source_Type],"Pit",tblMovement[Grade_gpt],"&lt;&gt;")</f>
        <v/>
      </c>
      <c r="M308" s="55">
        <f>IF($B308=$B307,$M307,0)+$L308</f>
        <v/>
      </c>
      <c r="N308" s="55">
        <f>$N307+$L308</f>
        <v/>
      </c>
      <c r="O308" s="56">
        <f>IFERROR(IF(($L308)&gt;0,($I308*cfg_TroyOz)/($L308),""),"")</f>
        <v/>
      </c>
      <c r="P308" s="56">
        <f>IFERROR(IF(($M308)&gt;0,($J308*cfg_TroyOz)/($M308),""),"")</f>
        <v/>
      </c>
      <c r="Q308" s="56">
        <f>IFERROR(IF(($N308)&gt;0,($K308*cfg_TroyOz)/($N308),""),"")</f>
        <v/>
      </c>
      <c r="R308" s="55">
        <f>$F308-$L308</f>
        <v/>
      </c>
      <c r="S308" s="55">
        <f>IF($B308=$B307,$S307,0)+$R308</f>
        <v/>
      </c>
      <c r="T308" s="55">
        <f>$T307+$R308</f>
        <v/>
      </c>
      <c r="U308" s="55">
        <f>SUMIFS(tblMovement[Tonnes_t],tblMovement[Date],$A308,tblMovement[Is_Ore],0,tblMovement[Source_Type],"Pit")</f>
        <v/>
      </c>
      <c r="V308" s="55">
        <f>IF($B308=$B307,$V307,0)+$U308</f>
        <v/>
      </c>
      <c r="W308" s="55">
        <f>$W307+$U308</f>
        <v/>
      </c>
      <c r="X308" s="55">
        <f>$F308+$U308</f>
        <v/>
      </c>
      <c r="Y308" s="55">
        <f>IF($B308=$B307,$Y307,0)+$X308</f>
        <v/>
      </c>
      <c r="Z308" s="55">
        <f>$Z307+$X308</f>
        <v/>
      </c>
      <c r="AA308" s="56">
        <f>IFERROR(IF(($F308)&gt;0,($U308)/($F308),""),"")</f>
        <v/>
      </c>
      <c r="AB308" s="56">
        <f>IFERROR(IF(($G308)&gt;0,($V308)/($G308),""),"")</f>
        <v/>
      </c>
      <c r="AC308" s="56">
        <f>IFERROR(IF(($H308)&gt;0,($W308)/($H308),""),"")</f>
        <v/>
      </c>
      <c r="AD308" s="55">
        <f>SUMIFS(tblMovement[Tonnes_t],tblMovement[Date],$A308,tblMovement[Source_Type],"Stockpile")</f>
        <v/>
      </c>
      <c r="AE308" s="55">
        <f>IF($B308=$B307,$AE307,0)+$AD308</f>
        <v/>
      </c>
      <c r="AF308" s="55">
        <f>$AF307+$AD308</f>
        <v/>
      </c>
      <c r="AG308" s="55">
        <f>SUMIFS(tblMovement[Tonnes_t],tblMovement[Date],$A308)</f>
        <v/>
      </c>
      <c r="AH308" s="55">
        <f>IF($B308=$B307,$AH307,0)+$AG308</f>
        <v/>
      </c>
      <c r="AI308" s="55">
        <f>$AI307+$AG308</f>
        <v/>
      </c>
      <c r="AJ308" s="55">
        <f>$AG308-$X308-$AD308</f>
        <v/>
      </c>
      <c r="AK308" s="55">
        <f>IF($B308=$B307,$AK307,0)+$AJ308</f>
        <v/>
      </c>
      <c r="AL308" s="55">
        <f>$AL307+$AJ308</f>
        <v/>
      </c>
      <c r="AM308" s="55">
        <f>SUMIFS(tblMiningDaily[Drill_m],tblMiningDaily[Date],$A308)</f>
        <v/>
      </c>
      <c r="AN308" s="55">
        <f>IF($B308=$B307,$AN307,0)+$AM308</f>
        <v/>
      </c>
      <c r="AO308" s="55">
        <f>$AO307+$AM308</f>
        <v/>
      </c>
      <c r="AP308" s="55">
        <f>SUMIFS(tblMiningDaily[GC_Drill_m],tblMiningDaily[Date],$A308)</f>
        <v/>
      </c>
      <c r="AQ308" s="55">
        <f>IF($B308=$B307,$AQ307,0)+$AP308</f>
        <v/>
      </c>
      <c r="AR308" s="55">
        <f>$AR307+$AP308</f>
        <v/>
      </c>
      <c r="AS308" s="55">
        <f>SUMIFS(tblMiningDaily[Blast_t],tblMiningDaily[Date],$A308)</f>
        <v/>
      </c>
      <c r="AT308" s="55">
        <f>IF($B308=$B307,$AT307,0)+$AS308</f>
        <v/>
      </c>
      <c r="AU308" s="55">
        <f>$AU307+$AS308</f>
        <v/>
      </c>
      <c r="AV308" s="55">
        <f>SUMIFS(tblMiningDaily[Explosives_kg],tblMiningDaily[Date],$A308)</f>
        <v/>
      </c>
      <c r="AW308" s="55">
        <f>IF($B308=$B307,$AW307,0)+$AV308</f>
        <v/>
      </c>
      <c r="AX308" s="55">
        <f>$AX307+$AV308</f>
        <v/>
      </c>
      <c r="AY308" s="56">
        <f>IFERROR(IF(($AS308)&gt;0,($AV308)/($AS308),""),"")</f>
        <v/>
      </c>
      <c r="AZ308" s="56">
        <f>IFERROR(IF(($AT308)&gt;0,($AW308)/($AT308),""),"")</f>
        <v/>
      </c>
      <c r="BA308" s="56">
        <f>IFERROR(IF(($AU308)&gt;0,($AX308)/($AU308),""),"")</f>
        <v/>
      </c>
      <c r="BB308" s="55">
        <f>SUMIFS(tblMiningDaily[Diesel_L],tblMiningDaily[Date],$A308)</f>
        <v/>
      </c>
      <c r="BC308" s="55">
        <f>IF($B308=$B307,$BC307,0)+$BB308</f>
        <v/>
      </c>
      <c r="BD308" s="55">
        <f>$BD307+$BB308</f>
        <v/>
      </c>
      <c r="BE308" s="55">
        <f>SUMIFS(tblMiningDaily[Dewatering_m3],tblMiningDaily[Date],$A308)</f>
        <v/>
      </c>
      <c r="BF308" s="55">
        <f>IF($B308=$B307,$BF307,0)+$BE308</f>
        <v/>
      </c>
      <c r="BG308" s="55">
        <f>$BG307+$BE308</f>
        <v/>
      </c>
      <c r="BH308" s="57">
        <f>SUMIFS(tblFleet[Calendar_h],tblFleet[Date],$A308,tblFleet[Equipment_Class],"Excavator")</f>
        <v/>
      </c>
      <c r="BI308" s="57">
        <f>IF($B308=$B307,$BI307,0)+$BH308</f>
        <v/>
      </c>
      <c r="BJ308" s="57">
        <f>$BJ307+$BH308</f>
        <v/>
      </c>
      <c r="BK308" s="57">
        <f>SUMIFS(tblFleet[Available_h],tblFleet[Date],$A308,tblFleet[Equipment_Class],"Excavator")</f>
        <v/>
      </c>
      <c r="BL308" s="57">
        <f>IF($B308=$B307,$BL307,0)+$BK308</f>
        <v/>
      </c>
      <c r="BM308" s="57">
        <f>$BM307+$BK308</f>
        <v/>
      </c>
      <c r="BN308" s="57">
        <f>SUMIFS(tblFleet[Operating_h],tblFleet[Date],$A308,tblFleet[Equipment_Class],"Excavator")</f>
        <v/>
      </c>
      <c r="BO308" s="57">
        <f>IF($B308=$B307,$BO307,0)+$BN308</f>
        <v/>
      </c>
      <c r="BP308" s="57">
        <f>$BP307+$BN308</f>
        <v/>
      </c>
      <c r="BQ308" s="67">
        <f>IFERROR(IF(($BH308)&gt;0,($BK308)/($BH308),""),"")</f>
        <v/>
      </c>
      <c r="BR308" s="67">
        <f>IFERROR(IF(($BI308)&gt;0,($BL308)/($BI308),""),"")</f>
        <v/>
      </c>
      <c r="BS308" s="67">
        <f>IFERROR(IF(($BJ308)&gt;0,($BM308)/($BJ308),""),"")</f>
        <v/>
      </c>
      <c r="BT308" s="67">
        <f>IFERROR(IF(($BK308)&gt;0,($BN308)/($BK308),""),"")</f>
        <v/>
      </c>
      <c r="BU308" s="67">
        <f>IFERROR(IF(($BL308)&gt;0,($BO308)/($BL308),""),"")</f>
        <v/>
      </c>
      <c r="BV308" s="67">
        <f>IFERROR(IF(($BM308)&gt;0,($BP308)/($BM308),""),"")</f>
        <v/>
      </c>
      <c r="BW308" s="57">
        <f>SUMIFS(tblFleet[Calendar_h],tblFleet[Date],$A308,tblFleet[Equipment_Class],"Haul Truck")</f>
        <v/>
      </c>
      <c r="BX308" s="57">
        <f>IF($B308=$B307,$BX307,0)+$BW308</f>
        <v/>
      </c>
      <c r="BY308" s="57">
        <f>$BY307+$BW308</f>
        <v/>
      </c>
      <c r="BZ308" s="57">
        <f>SUMIFS(tblFleet[Available_h],tblFleet[Date],$A308,tblFleet[Equipment_Class],"Haul Truck")</f>
        <v/>
      </c>
      <c r="CA308" s="57">
        <f>IF($B308=$B307,$CA307,0)+$BZ308</f>
        <v/>
      </c>
      <c r="CB308" s="57">
        <f>$CB307+$BZ308</f>
        <v/>
      </c>
      <c r="CC308" s="57">
        <f>SUMIFS(tblFleet[Operating_h],tblFleet[Date],$A308,tblFleet[Equipment_Class],"Haul Truck")</f>
        <v/>
      </c>
      <c r="CD308" s="57">
        <f>IF($B308=$B307,$CD307,0)+$CC308</f>
        <v/>
      </c>
      <c r="CE308" s="57">
        <f>$CE307+$CC308</f>
        <v/>
      </c>
      <c r="CF308" s="67">
        <f>IFERROR(IF(($BW308)&gt;0,($BZ308)/($BW308),""),"")</f>
        <v/>
      </c>
      <c r="CG308" s="67">
        <f>IFERROR(IF(($BX308)&gt;0,($CA308)/($BX308),""),"")</f>
        <v/>
      </c>
      <c r="CH308" s="67">
        <f>IFERROR(IF(($BY308)&gt;0,($CB308)/($BY308),""),"")</f>
        <v/>
      </c>
      <c r="CI308" s="67">
        <f>IFERROR(IF(($BZ308)&gt;0,($CC308)/($BZ308),""),"")</f>
        <v/>
      </c>
      <c r="CJ308" s="67">
        <f>IFERROR(IF(($CA308)&gt;0,($CD308)/($CA308),""),"")</f>
        <v/>
      </c>
      <c r="CK308" s="67">
        <f>IFERROR(IF(($CB308)&gt;0,($CE308)/($CB308),""),"")</f>
        <v/>
      </c>
      <c r="CL308" s="55">
        <f>IFERROR(IF(($BN308)&gt;0,($X308+$AD308)/($BN308),""),"")</f>
        <v/>
      </c>
      <c r="CM308" s="55">
        <f>IFERROR(IF(($BO308)&gt;0,($Y308+$AE308)/($BO308),""),"")</f>
        <v/>
      </c>
      <c r="CN308" s="55">
        <f>IFERROR(IF(($BP308)&gt;0,($Z308+$AF308)/($BP308),""),"")</f>
        <v/>
      </c>
      <c r="CO308" s="55">
        <f>IFERROR(IF(($CC308)&gt;0,($X308+$AD308)/($CC308),""),"")</f>
        <v/>
      </c>
      <c r="CP308" s="55">
        <f>IFERROR(IF(($CD308)&gt;0,($Y308+$AE308)/($CD308),""),"")</f>
        <v/>
      </c>
      <c r="CQ308" s="55">
        <f>IFERROR(IF(($CE308)&gt;0,($Z308+$AF308)/($CE308),""),"")</f>
        <v/>
      </c>
      <c r="CR308" s="55">
        <f>SUMIFS(tblPlant[Crushed_t],tblPlant[Date],$A308)</f>
        <v/>
      </c>
      <c r="CS308" s="55">
        <f>IF($B308=$B307,$CS307,0)+$CR308</f>
        <v/>
      </c>
      <c r="CT308" s="55">
        <f>$CT307+$CR308</f>
        <v/>
      </c>
      <c r="CU308" s="55">
        <f>SUMIFS(tblPlant[Milled_t],tblPlant[Date],$A308)</f>
        <v/>
      </c>
      <c r="CV308" s="55">
        <f>IF($B308=$B307,$CV307,0)+$CU308</f>
        <v/>
      </c>
      <c r="CW308" s="55">
        <f>$CW307+$CU308</f>
        <v/>
      </c>
      <c r="CX308" s="55">
        <f>SUMIFS(tblPlant[Feed_oz],tblPlant[Date],$A308)</f>
        <v/>
      </c>
      <c r="CY308" s="55">
        <f>IF($B308=$B307,$CY307,0)+$CX308</f>
        <v/>
      </c>
      <c r="CZ308" s="55">
        <f>$CZ307+$CX308</f>
        <v/>
      </c>
      <c r="DA308" s="55">
        <f>SUMIFS(tblPlant[Tails_oz],tblPlant[Date],$A308)</f>
        <v/>
      </c>
      <c r="DB308" s="55">
        <f>IF($B308=$B307,$DB307,0)+$DA308</f>
        <v/>
      </c>
      <c r="DC308" s="55">
        <f>$DC307+$DA308</f>
        <v/>
      </c>
      <c r="DD308" s="55">
        <f>SUMIFS(tblPlant[Recovered_oz],tblPlant[Date],$A308)</f>
        <v/>
      </c>
      <c r="DE308" s="55">
        <f>IF($B308=$B307,$DE307,0)+$DD308</f>
        <v/>
      </c>
      <c r="DF308" s="55">
        <f>$DF307+$DD308</f>
        <v/>
      </c>
      <c r="DG308" s="55">
        <f>SUMIFS(tblPlant[Milled_t],tblPlant[Date],$A308,tblPlant[Head_Grade_gpt],"&lt;&gt;")</f>
        <v/>
      </c>
      <c r="DH308" s="55">
        <f>IF($B308=$B307,$DH307,0)+$DG308</f>
        <v/>
      </c>
      <c r="DI308" s="55">
        <f>$DI307+$DG308</f>
        <v/>
      </c>
      <c r="DJ308" s="55">
        <f>SUMIFS(tblPlant[Milled_t],tblPlant[Date],$A308,tblPlant[Tails_Grade_gpt],"&lt;&gt;")</f>
        <v/>
      </c>
      <c r="DK308" s="55">
        <f>IF($B308=$B307,$DK307,0)+$DJ308</f>
        <v/>
      </c>
      <c r="DL308" s="55">
        <f>$DL307+$DJ308</f>
        <v/>
      </c>
      <c r="DM308" s="55">
        <f>SUMIFS(tblPlant[Feed_oz],tblPlant[Date],$A308,tblPlant[Tails_Grade_gpt],"&lt;&gt;")</f>
        <v/>
      </c>
      <c r="DN308" s="55">
        <f>IF($B308=$B307,$DN307,0)+$DM308</f>
        <v/>
      </c>
      <c r="DO308" s="55">
        <f>$DO307+$DM308</f>
        <v/>
      </c>
      <c r="DP308" s="55">
        <f>SUMIFS(tblPlant[Milled_t],tblPlant[Date],$A308,tblPlant[Mill_Run_h],"&lt;&gt;")</f>
        <v/>
      </c>
      <c r="DQ308" s="55">
        <f>IF($B308=$B307,$DQ307,0)+$DP308</f>
        <v/>
      </c>
      <c r="DR308" s="55">
        <f>$DR307+$DP308</f>
        <v/>
      </c>
      <c r="DS308" s="56">
        <f>IFERROR(IF(($DG308)&gt;0,($CX308*cfg_TroyOz)/($DG308),""),"")</f>
        <v/>
      </c>
      <c r="DT308" s="56">
        <f>IFERROR(IF(($DH308)&gt;0,($CY308*cfg_TroyOz)/($DH308),""),"")</f>
        <v/>
      </c>
      <c r="DU308" s="56">
        <f>IFERROR(IF(($DI308)&gt;0,($CZ308*cfg_TroyOz)/($DI308),""),"")</f>
        <v/>
      </c>
      <c r="DV308" s="56">
        <f>IFERROR(IF(($DJ308)&gt;0,($DA308*cfg_TroyOz)/($DJ308),""),"")</f>
        <v/>
      </c>
      <c r="DW308" s="56">
        <f>IFERROR(IF(($DK308)&gt;0,($DB308*cfg_TroyOz)/($DK308),""),"")</f>
        <v/>
      </c>
      <c r="DX308" s="56">
        <f>IFERROR(IF(($DL308)&gt;0,($DC308*cfg_TroyOz)/($DL308),""),"")</f>
        <v/>
      </c>
      <c r="DY308" s="67">
        <f>IFERROR(IF(($DM308)&gt;0,($DD308)/($DM308),""),"")</f>
        <v/>
      </c>
      <c r="DZ308" s="67">
        <f>IFERROR(IF(($DN308)&gt;0,($DE308)/($DN308),""),"")</f>
        <v/>
      </c>
      <c r="EA308" s="67">
        <f>IFERROR(IF(($DO308)&gt;0,($DF308)/($DO308),""),"")</f>
        <v/>
      </c>
      <c r="EB308" s="55">
        <f>SUMIFS(tblPlant[Gravity_Gold_oz],tblPlant[Date],$A308)</f>
        <v/>
      </c>
      <c r="EC308" s="55">
        <f>IF($B308=$B307,$EC307,0)+$EB308</f>
        <v/>
      </c>
      <c r="ED308" s="55">
        <f>$ED307+$EB308</f>
        <v/>
      </c>
      <c r="EE308" s="67">
        <f>IFERROR(IF(($DD308)&gt;0,($EB308)/($DD308),""),"")</f>
        <v/>
      </c>
      <c r="EF308" s="67">
        <f>IFERROR(IF(($DE308)&gt;0,($EC308)/($DE308),""),"")</f>
        <v/>
      </c>
      <c r="EG308" s="67">
        <f>IFERROR(IF(($DF308)&gt;0,($ED308)/($DF308),""),"")</f>
        <v/>
      </c>
      <c r="EH308" s="55">
        <f>SUMIFS(tblPlant[Gold_Poured_oz],tblPlant[Date],$A308)</f>
        <v/>
      </c>
      <c r="EI308" s="55">
        <f>IF($B308=$B307,$EI307,0)+$EH308</f>
        <v/>
      </c>
      <c r="EJ308" s="55">
        <f>$EJ307+$EH308</f>
        <v/>
      </c>
      <c r="EK308" s="57">
        <f>SUMIFS(tblPlant[Mill_Run_h],tblPlant[Date],$A308)</f>
        <v/>
      </c>
      <c r="EL308" s="57">
        <f>IF($B308=$B307,$EL307,0)+$EK308</f>
        <v/>
      </c>
      <c r="EM308" s="57">
        <f>$EM307+$EK308</f>
        <v/>
      </c>
      <c r="EN308" s="57">
        <f>SUMIFS(tblPlant[Mill_Planned_Maint_h],tblPlant[Date],$A308)</f>
        <v/>
      </c>
      <c r="EO308" s="57">
        <f>IF($B308=$B307,$EO307,0)+$EN308</f>
        <v/>
      </c>
      <c r="EP308" s="57">
        <f>$EP307+$EN308</f>
        <v/>
      </c>
      <c r="EQ308" s="57">
        <f>SUMIFS(tblPlant[Mill_Unplanned_Down_h],tblPlant[Date],$A308)</f>
        <v/>
      </c>
      <c r="ER308" s="57">
        <f>IF($B308=$B307,$ER307,0)+$EQ308</f>
        <v/>
      </c>
      <c r="ES308" s="57">
        <f>$ES307+$EQ308</f>
        <v/>
      </c>
      <c r="ET308" s="57">
        <f>IF(COUNTIFS(tblPlant[Date],$A308,tblPlant[Mill_Run_h],"&lt;&gt;")+COUNTIFS(tblPlant[Date],$A308,tblPlant[Mill_Planned_Maint_h],"&lt;&gt;")+COUNTIFS(tblPlant[Date],$A308,tblPlant[Mill_Unplanned_Down_h],"&lt;&gt;")&gt;0,cfg_HoursPerDay,0)</f>
        <v/>
      </c>
      <c r="EU308" s="57">
        <f>IF($B308=$B307,$EU307,0)+$ET308</f>
        <v/>
      </c>
      <c r="EV308" s="57">
        <f>$EV307+$ET308</f>
        <v/>
      </c>
      <c r="EW308" s="57">
        <f>SUMIFS(tblPlant[Crusher_Run_h],tblPlant[Date],$A308)</f>
        <v/>
      </c>
      <c r="EX308" s="57">
        <f>IF($B308=$B307,$EX307,0)+$EW308</f>
        <v/>
      </c>
      <c r="EY308" s="57">
        <f>$EY307+$EW308</f>
        <v/>
      </c>
      <c r="EZ308" s="55">
        <f>IFERROR(IF(($EK308)&gt;0,($DP308)/($EK308),""),"")</f>
        <v/>
      </c>
      <c r="FA308" s="55">
        <f>IFERROR(IF(($EL308)&gt;0,($DQ308)/($EL308),""),"")</f>
        <v/>
      </c>
      <c r="FB308" s="55">
        <f>IFERROR(IF(($EM308)&gt;0,($DR308)/($EM308),""),"")</f>
        <v/>
      </c>
      <c r="FC308" s="67">
        <f>IFERROR(IF(($ET308)&gt;0,($ET308-$EN308-$EQ308)/($ET308),""),"")</f>
        <v/>
      </c>
      <c r="FD308" s="67">
        <f>IFERROR(IF(($EU308)&gt;0,($EU308-$EO308-$ER308)/($EU308),""),"")</f>
        <v/>
      </c>
      <c r="FE308" s="67">
        <f>IFERROR(IF(($EV308)&gt;0,($EV308-$EP308-$ES308)/($EV308),""),"")</f>
        <v/>
      </c>
      <c r="FF308" s="67">
        <f>IFERROR(IF(($ET308-$EN308-$EQ308)&gt;0,($EK308)/($ET308-$EN308-$EQ308),""),"")</f>
        <v/>
      </c>
      <c r="FG308" s="67">
        <f>IFERROR(IF(($EU308-$EO308-$ER308)&gt;0,($EL308)/($EU308-$EO308-$ER308),""),"")</f>
        <v/>
      </c>
      <c r="FH308" s="67">
        <f>IFERROR(IF(($EV308-$EP308-$ES308)&gt;0,($EM308)/($EV308-$EP308-$ES308),""),"")</f>
        <v/>
      </c>
      <c r="FI308" s="55">
        <f>SUMIFS(tblPlant[Cyanide_kg],tblPlant[Date],$A308)</f>
        <v/>
      </c>
      <c r="FJ308" s="55">
        <f>IF($B308=$B307,$FJ307,0)+$FI308</f>
        <v/>
      </c>
      <c r="FK308" s="55">
        <f>$FK307+$FI308</f>
        <v/>
      </c>
      <c r="FL308" s="55">
        <f>SUMIFS(tblPlant[Lime_kg],tblPlant[Date],$A308)</f>
        <v/>
      </c>
      <c r="FM308" s="55">
        <f>IF($B308=$B307,$FM307,0)+$FL308</f>
        <v/>
      </c>
      <c r="FN308" s="55">
        <f>$FN307+$FL308</f>
        <v/>
      </c>
      <c r="FO308" s="55">
        <f>SUMIFS(tblPlant[Grinding_Media_kg],tblPlant[Date],$A308)</f>
        <v/>
      </c>
      <c r="FP308" s="55">
        <f>IF($B308=$B307,$FP307,0)+$FO308</f>
        <v/>
      </c>
      <c r="FQ308" s="55">
        <f>$FQ307+$FO308</f>
        <v/>
      </c>
      <c r="FR308" s="55">
        <f>SUMIFS(tblPlant[Power_kWh],tblPlant[Date],$A308)</f>
        <v/>
      </c>
      <c r="FS308" s="55">
        <f>IF($B308=$B307,$FS307,0)+$FR308</f>
        <v/>
      </c>
      <c r="FT308" s="55">
        <f>$FT307+$FR308</f>
        <v/>
      </c>
      <c r="FU308" s="55">
        <f>SUMIFS(tblPlant[Raw_Water_m3],tblPlant[Date],$A308)</f>
        <v/>
      </c>
      <c r="FV308" s="55">
        <f>IF($B308=$B307,$FV307,0)+$FU308</f>
        <v/>
      </c>
      <c r="FW308" s="55">
        <f>$FW307+$FU308</f>
        <v/>
      </c>
      <c r="FX308" s="56">
        <f>IFERROR(IF(($CU308)&gt;0,($FI308)/($CU308),""),"")</f>
        <v/>
      </c>
      <c r="FY308" s="56">
        <f>IFERROR(IF(($CV308)&gt;0,($FJ308)/($CV308),""),"")</f>
        <v/>
      </c>
      <c r="FZ308" s="56">
        <f>IFERROR(IF(($CW308)&gt;0,($FK308)/($CW308),""),"")</f>
        <v/>
      </c>
      <c r="GA308" s="56">
        <f>IFERROR(IF(($CU308)&gt;0,($FL308)/($CU308),""),"")</f>
        <v/>
      </c>
      <c r="GB308" s="56">
        <f>IFERROR(IF(($CV308)&gt;0,($FM308)/($CV308),""),"")</f>
        <v/>
      </c>
      <c r="GC308" s="56">
        <f>IFERROR(IF(($CW308)&gt;0,($FN308)/($CW308),""),"")</f>
        <v/>
      </c>
      <c r="GD308" s="56">
        <f>IFERROR(IF(($CU308)&gt;0,($FO308)/($CU308),""),"")</f>
        <v/>
      </c>
      <c r="GE308" s="56">
        <f>IFERROR(IF(($CV308)&gt;0,($FP308)/($CV308),""),"")</f>
        <v/>
      </c>
      <c r="GF308" s="56">
        <f>IFERROR(IF(($CW308)&gt;0,($FQ308)/($CW308),""),"")</f>
        <v/>
      </c>
      <c r="GG308" s="79">
        <f>IFERROR(IF(($CU308)&gt;0,($FR308)/($CU308),""),"")</f>
        <v/>
      </c>
      <c r="GH308" s="79">
        <f>IFERROR(IF(($CV308)&gt;0,($FS308)/($CV308),""),"")</f>
        <v/>
      </c>
      <c r="GI308" s="79">
        <f>IFERROR(IF(($CW308)&gt;0,($FT308)/($CW308),""),"")</f>
        <v/>
      </c>
      <c r="GJ308" s="56">
        <f>IFERROR(IF(($CU308)&gt;0,($FU308)/($CU308),""),"")</f>
        <v/>
      </c>
      <c r="GK308" s="56">
        <f>IFERROR(IF(($CV308)&gt;0,($FV308)/($CV308),""),"")</f>
        <v/>
      </c>
      <c r="GL308" s="56">
        <f>IFERROR(IF(($CW308)&gt;0,($FW308)/($CW308),""),"")</f>
        <v/>
      </c>
      <c r="GM308" s="55">
        <f>IF(SUMIFS(tblPlant[GIC_oz],tblPlant[Date],$A308)&gt;0,SUMIFS(tblPlant[GIC_oz],tblPlant[Date],$A308),"")</f>
        <v/>
      </c>
      <c r="GN308" s="55">
        <f>SUMIFS(tblGold[Gold_oz],tblGold[Date],$A308,tblGold[Type],"Shipment")</f>
        <v/>
      </c>
      <c r="GO308" s="55">
        <f>IF($B308=$B307,$GO307,0)+$GN308</f>
        <v/>
      </c>
      <c r="GP308" s="55">
        <f>$GP307+$GN308</f>
        <v/>
      </c>
      <c r="GQ308" s="55">
        <f>SUMIFS(tblGold[Gold_oz],tblGold[Date],$A308,tblGold[Type],"Sale")</f>
        <v/>
      </c>
      <c r="GR308" s="55">
        <f>IF($B308=$B307,$GR307,0)+$GQ308</f>
        <v/>
      </c>
      <c r="GS308" s="55">
        <f>$GS307+$GQ308</f>
        <v/>
      </c>
      <c r="GT308" s="55">
        <f>SUMIFS(tblGold[Dore_kg],tblGold[Date],$A308,tblGold[Type],"Shipment")</f>
        <v/>
      </c>
      <c r="GU308" s="55">
        <f>IF($B308=$B307,$GU307,0)+$GT308</f>
        <v/>
      </c>
      <c r="GV308" s="55">
        <f>$GV307+$GT308</f>
        <v/>
      </c>
      <c r="GW308" s="57">
        <f>SUMIFS(tblSafety[Hours_Total],tblSafety[Date],$A308)</f>
        <v/>
      </c>
      <c r="GX308" s="57">
        <f>IF($B308=$B307,$GX307,0)+$GW308</f>
        <v/>
      </c>
      <c r="GY308" s="57">
        <f>$GY307+$GW308</f>
        <v/>
      </c>
      <c r="GZ308" s="62">
        <f>SUMIFS(tblSafety[Fatality],tblSafety[Date],$A308)</f>
        <v/>
      </c>
      <c r="HA308" s="62">
        <f>IF($B308=$B307,$HA307,0)+$GZ308</f>
        <v/>
      </c>
      <c r="HB308" s="62">
        <f>$HB307+$GZ308</f>
        <v/>
      </c>
      <c r="HC308" s="62">
        <f>SUMIFS(tblSafety[LTI],tblSafety[Date],$A308)</f>
        <v/>
      </c>
      <c r="HD308" s="62">
        <f>IF($B308=$B307,$HD307,0)+$HC308</f>
        <v/>
      </c>
      <c r="HE308" s="62">
        <f>$HE307+$HC308</f>
        <v/>
      </c>
      <c r="HF308" s="62">
        <f>SUMIFS(tblSafety[RWI],tblSafety[Date],$A308)</f>
        <v/>
      </c>
      <c r="HG308" s="62">
        <f>IF($B308=$B307,$HG307,0)+$HF308</f>
        <v/>
      </c>
      <c r="HH308" s="62">
        <f>$HH307+$HF308</f>
        <v/>
      </c>
      <c r="HI308" s="62">
        <f>SUMIFS(tblSafety[MTI],tblSafety[Date],$A308)</f>
        <v/>
      </c>
      <c r="HJ308" s="62">
        <f>IF($B308=$B307,$HJ307,0)+$HI308</f>
        <v/>
      </c>
      <c r="HK308" s="62">
        <f>$HK307+$HI308</f>
        <v/>
      </c>
      <c r="HL308" s="62">
        <f>SUMIFS(tblSafety[FAI],tblSafety[Date],$A308)</f>
        <v/>
      </c>
      <c r="HM308" s="62">
        <f>IF($B308=$B307,$HM307,0)+$HL308</f>
        <v/>
      </c>
      <c r="HN308" s="62">
        <f>$HN307+$HL308</f>
        <v/>
      </c>
      <c r="HO308" s="62">
        <f>SUMIFS(tblSafety[Recordables],tblSafety[Date],$A308)</f>
        <v/>
      </c>
      <c r="HP308" s="62">
        <f>IF($B308=$B307,$HP307,0)+$HO308</f>
        <v/>
      </c>
      <c r="HQ308" s="62">
        <f>$HQ307+$HO308</f>
        <v/>
      </c>
      <c r="HR308" s="62">
        <f>SUMIFS(tblSafety[Near_Miss],tblSafety[Date],$A308)</f>
        <v/>
      </c>
      <c r="HS308" s="62">
        <f>IF($B308=$B307,$HS307,0)+$HR308</f>
        <v/>
      </c>
      <c r="HT308" s="62">
        <f>$HT307+$HR308</f>
        <v/>
      </c>
      <c r="HU308" s="62">
        <f>SUMIFS(tblSafety[Hazard_Reports],tblSafety[Date],$A308)</f>
        <v/>
      </c>
      <c r="HV308" s="62">
        <f>IF($B308=$B307,$HV307,0)+$HU308</f>
        <v/>
      </c>
      <c r="HW308" s="62">
        <f>$HW307+$HU308</f>
        <v/>
      </c>
      <c r="HX308" s="62">
        <f>SUMIFS(tblSafety[HPI],tblSafety[Date],$A308)</f>
        <v/>
      </c>
      <c r="HY308" s="62">
        <f>IF($B308=$B307,$HY307,0)+$HX308</f>
        <v/>
      </c>
      <c r="HZ308" s="62">
        <f>$HZ307+$HX308</f>
        <v/>
      </c>
      <c r="IA308" s="62">
        <f>SUMIFS(tblSafety[Env_Incidents],tblSafety[Date],$A308)</f>
        <v/>
      </c>
      <c r="IB308" s="62">
        <f>IF($B308=$B307,$IB307,0)+$IA308</f>
        <v/>
      </c>
      <c r="IC308" s="62">
        <f>$IC307+$IA308</f>
        <v/>
      </c>
      <c r="ID308" s="62">
        <f>SUMIFS(tblSafety[Community_Incidents],tblSafety[Date],$A308)</f>
        <v/>
      </c>
      <c r="IE308" s="62">
        <f>IF($B308=$B307,$IE307,0)+$ID308</f>
        <v/>
      </c>
      <c r="IF308" s="62">
        <f>$IF307+$ID308</f>
        <v/>
      </c>
      <c r="IG308" s="62">
        <f>SUMIFS(tblSafety[Vehicle_Incidents],tblSafety[Date],$A308)</f>
        <v/>
      </c>
      <c r="IH308" s="62">
        <f>IF($B308=$B307,$IH307,0)+$IG308</f>
        <v/>
      </c>
      <c r="II308" s="62">
        <f>$II307+$IG308</f>
        <v/>
      </c>
      <c r="IJ308" s="62">
        <f>SUMIFS(tblSafety[Toolbox_Talks],tblSafety[Date],$A308)</f>
        <v/>
      </c>
      <c r="IK308" s="62">
        <f>IF($B308=$B307,$IK307,0)+$IJ308</f>
        <v/>
      </c>
      <c r="IL308" s="62">
        <f>$IL307+$IJ308</f>
        <v/>
      </c>
      <c r="IM308" s="62">
        <f>SUMIFS(tblSafety[Inspections],tblSafety[Date],$A308)</f>
        <v/>
      </c>
      <c r="IN308" s="62">
        <f>IF($B308=$B307,$IN307,0)+$IM308</f>
        <v/>
      </c>
      <c r="IO308" s="62">
        <f>$IO307+$IM308</f>
        <v/>
      </c>
      <c r="IP308" s="56">
        <f>IFERROR((SUMIFS(tblSafety[Recordables],tblSafety[Date],"&gt;="&amp;EDATE($E308,-12),tblSafety[Date],"&lt;="&amp;$A308)+SUMIFS(tblSafetyHistory[Recordables],tblSafetyHistory[Month],"&gt;="&amp;EDATE($E308,-12),tblSafetyHistory[Month],"&lt;"&amp;$E308,tblSafetyHistory[Use],1))/(SUMIFS(tblSafety[Hours_Total],tblSafety[Date],"&gt;="&amp;EDATE($E308,-12),tblSafety[Date],"&lt;="&amp;$A308)+SUMIFS(tblSafetyHistory[Hours_Total],tblSafetyHistory[Month],"&gt;="&amp;EDATE($E308,-12),tblSafetyHistory[Month],"&lt;"&amp;$E308,tblSafetyHistory[Use],1))*cfg_RateBasisHours,"")</f>
        <v/>
      </c>
      <c r="IQ308" s="56">
        <f>IFERROR((SUMIFS(tblSafety[LTI],tblSafety[Date],"&gt;="&amp;EDATE($E308,-12),tblSafety[Date],"&lt;="&amp;$A308)+SUMIFS(tblSafetyHistory[LTI],tblSafetyHistory[Month],"&gt;="&amp;EDATE($E308,-12),tblSafetyHistory[Month],"&lt;"&amp;$E308,tblSafetyHistory[Use],1))/(SUMIFS(tblSafety[Hours_Total],tblSafety[Date],"&gt;="&amp;EDATE($E308,-12),tblSafety[Date],"&lt;="&amp;$A308)+SUMIFS(tblSafetyHistory[Hours_Total],tblSafetyHistory[Month],"&gt;="&amp;EDATE($E308,-12),tblSafetyHistory[Month],"&lt;"&amp;$E308,tblSafetyHistory[Use],1))*cfg_RateBasisHours,"")</f>
        <v/>
      </c>
      <c r="IR308" s="62">
        <f>IF(MAX(N(cfg_PriorLTIDate),_xlfn.MAXIFS(tblSafety[Date],tblSafety[LTI],"&gt;0",tblSafety[Date],"&lt;="&amp;$A308))=0,"",$A308-MAX(N(cfg_PriorLTIDate),_xlfn.MAXIFS(tblSafety[Date],tblSafety[LTI],"&gt;0",tblSafety[Date],"&lt;="&amp;$A308)))</f>
        <v/>
      </c>
      <c r="IS308" s="55">
        <f>SUMIFS(tblBudget[Ore_Mined_t],tblBudget[Month],$E308)</f>
        <v/>
      </c>
      <c r="IT308" s="55">
        <f>$IS308*$C308/$D308</f>
        <v/>
      </c>
      <c r="IU308" s="55">
        <f>SUMIFS(tblBudget[Ore_Mined_t],tblBudget[Month],"&lt;"&amp;$E308)+$IT308</f>
        <v/>
      </c>
      <c r="IV308" s="55">
        <f>SUMIFS(tblBudget[Ore_oz],tblBudget[Month],$E308)</f>
        <v/>
      </c>
      <c r="IW308" s="55">
        <f>$IV308*$C308/$D308</f>
        <v/>
      </c>
      <c r="IX308" s="55">
        <f>SUMIFS(tblBudget[Ore_oz],tblBudget[Month],"&lt;"&amp;$E308)+$IW308</f>
        <v/>
      </c>
      <c r="IY308" s="55">
        <f>SUMIFS(tblBudget[Ore_Mined_t],tblBudget[Month],$E308)</f>
        <v/>
      </c>
      <c r="IZ308" s="55">
        <f>$IY308*$C308/$D308</f>
        <v/>
      </c>
      <c r="JA308" s="55">
        <f>SUMIFS(tblBudget[Ore_Mined_t],tblBudget[Month],"&lt;"&amp;$E308)+$IZ308</f>
        <v/>
      </c>
      <c r="JB308" s="56">
        <f>IFERROR(IF(($IY308)&gt;0,($IV308*cfg_TroyOz)/($IY308),""),"")</f>
        <v/>
      </c>
      <c r="JC308" s="56">
        <f>IFERROR(IF(($IZ308)&gt;0,($IW308*cfg_TroyOz)/($IZ308),""),"")</f>
        <v/>
      </c>
      <c r="JD308" s="56">
        <f>IFERROR(IF(($JA308)&gt;0,($IX308*cfg_TroyOz)/($JA308),""),"")</f>
        <v/>
      </c>
      <c r="JE308" s="55">
        <f>SUMIFS(tblBudget[Waste_t],tblBudget[Month],$E308)</f>
        <v/>
      </c>
      <c r="JF308" s="55">
        <f>$JE308*$C308/$D308</f>
        <v/>
      </c>
      <c r="JG308" s="55">
        <f>SUMIFS(tblBudget[Waste_t],tblBudget[Month],"&lt;"&amp;$E308)+$JF308</f>
        <v/>
      </c>
      <c r="JH308" s="55">
        <f>SUMIFS(tblBudget[TMM_t],tblBudget[Month],$E308)</f>
        <v/>
      </c>
      <c r="JI308" s="55">
        <f>$JH308*$C308/$D308</f>
        <v/>
      </c>
      <c r="JJ308" s="55">
        <f>SUMIFS(tblBudget[TMM_t],tblBudget[Month],"&lt;"&amp;$E308)+$JI308</f>
        <v/>
      </c>
      <c r="JK308" s="56">
        <f>IFERROR(IF(($IS308)&gt;0,($JE308)/($IS308),""),"")</f>
        <v/>
      </c>
      <c r="JL308" s="56">
        <f>IFERROR(IF(($IT308)&gt;0,($JF308)/($IT308),""),"")</f>
        <v/>
      </c>
      <c r="JM308" s="56">
        <f>IFERROR(IF(($IU308)&gt;0,($JG308)/($IU308),""),"")</f>
        <v/>
      </c>
      <c r="JN308" s="55">
        <f>SUMIFS(tblBudget[Drill_m],tblBudget[Month],$E308)</f>
        <v/>
      </c>
      <c r="JO308" s="55">
        <f>$JN308*$C308/$D308</f>
        <v/>
      </c>
      <c r="JP308" s="55">
        <f>SUMIFS(tblBudget[Drill_m],tblBudget[Month],"&lt;"&amp;$E308)+$JO308</f>
        <v/>
      </c>
      <c r="JQ308" s="55">
        <f>SUMIFS(tblBudget[Diesel_L],tblBudget[Month],$E308)</f>
        <v/>
      </c>
      <c r="JR308" s="55">
        <f>$JQ308*$C308/$D308</f>
        <v/>
      </c>
      <c r="JS308" s="55">
        <f>SUMIFS(tblBudget[Diesel_L],tblBudget[Month],"&lt;"&amp;$E308)+$JR308</f>
        <v/>
      </c>
      <c r="JT308" s="55">
        <f>SUMIFS(tblBudget[Milled_t],tblBudget[Month],$E308)</f>
        <v/>
      </c>
      <c r="JU308" s="55">
        <f>$JT308*$C308/$D308</f>
        <v/>
      </c>
      <c r="JV308" s="55">
        <f>SUMIFS(tblBudget[Milled_t],tblBudget[Month],"&lt;"&amp;$E308)+$JU308</f>
        <v/>
      </c>
      <c r="JW308" s="55">
        <f>SUMIFS(tblBudget[Feed_oz],tblBudget[Month],$E308)</f>
        <v/>
      </c>
      <c r="JX308" s="55">
        <f>$JW308*$C308/$D308</f>
        <v/>
      </c>
      <c r="JY308" s="55">
        <f>SUMIFS(tblBudget[Feed_oz],tblBudget[Month],"&lt;"&amp;$E308)+$JX308</f>
        <v/>
      </c>
      <c r="JZ308" s="55">
        <f>SUMIFS(tblBudget[Recovered_oz],tblBudget[Month],$E308)</f>
        <v/>
      </c>
      <c r="KA308" s="55">
        <f>$JZ308*$C308/$D308</f>
        <v/>
      </c>
      <c r="KB308" s="55">
        <f>SUMIFS(tblBudget[Recovered_oz],tblBudget[Month],"&lt;"&amp;$E308)+$KA308</f>
        <v/>
      </c>
      <c r="KC308" s="55">
        <f>SUMIFS(tblBudget[Milled_t],tblBudget[Month],$E308)</f>
        <v/>
      </c>
      <c r="KD308" s="55">
        <f>$KC308*$C308/$D308</f>
        <v/>
      </c>
      <c r="KE308" s="55">
        <f>SUMIFS(tblBudget[Milled_t],tblBudget[Month],"&lt;"&amp;$E308)+$KD308</f>
        <v/>
      </c>
      <c r="KF308" s="55">
        <f>SUMIFS(tblBudget[Feed_oz],tblBudget[Month],$E308)</f>
        <v/>
      </c>
      <c r="KG308" s="55">
        <f>$KF308*$C308/$D308</f>
        <v/>
      </c>
      <c r="KH308" s="55">
        <f>SUMIFS(tblBudget[Feed_oz],tblBudget[Month],"&lt;"&amp;$E308)+$KG308</f>
        <v/>
      </c>
      <c r="KI308" s="56">
        <f>IFERROR(IF(($KC308)&gt;0,($JW308*cfg_TroyOz)/($KC308),""),"")</f>
        <v/>
      </c>
      <c r="KJ308" s="56">
        <f>IFERROR(IF(($KD308)&gt;0,($JX308*cfg_TroyOz)/($KD308),""),"")</f>
        <v/>
      </c>
      <c r="KK308" s="56">
        <f>IFERROR(IF(($KE308)&gt;0,($JY308*cfg_TroyOz)/($KE308),""),"")</f>
        <v/>
      </c>
      <c r="KL308" s="67">
        <f>IFERROR(IF(($KF308)&gt;0,($JZ308)/($KF308),""),"")</f>
        <v/>
      </c>
      <c r="KM308" s="67">
        <f>IFERROR(IF(($KG308)&gt;0,($KA308)/($KG308),""),"")</f>
        <v/>
      </c>
      <c r="KN308" s="67">
        <f>IFERROR(IF(($KH308)&gt;0,($KB308)/($KH308),""),"")</f>
        <v/>
      </c>
      <c r="KO308" s="55">
        <f>SUMIFS(tblBudget[Gold_Poured_oz],tblBudget[Month],$E308)</f>
        <v/>
      </c>
      <c r="KP308" s="55">
        <f>$KO308*$C308/$D308</f>
        <v/>
      </c>
      <c r="KQ308" s="55">
        <f>SUMIFS(tblBudget[Gold_Poured_oz],tblBudget[Month],"&lt;"&amp;$E308)+$KP308</f>
        <v/>
      </c>
      <c r="KR308" s="57">
        <f>SUMIFS(tblBudget[Hours_Worked],tblBudget[Month],$E308)</f>
        <v/>
      </c>
      <c r="KS308" s="57">
        <f>$KR308*$C308/$D308</f>
        <v/>
      </c>
      <c r="KT308" s="57">
        <f>SUMIFS(tblBudget[Hours_Worked],tblBudget[Month],"&lt;"&amp;$E308)+$KS308</f>
        <v/>
      </c>
    </row>
    <row r="309">
      <c r="A309" s="54" t="n">
        <v>46330</v>
      </c>
      <c r="B309">
        <f>MONTH($A309)</f>
        <v/>
      </c>
      <c r="C309">
        <f>DAY($A309)</f>
        <v/>
      </c>
      <c r="D309">
        <f>DAY(EOMONTH($A309,0))</f>
        <v/>
      </c>
      <c r="E309" s="54">
        <f>DATE(YEAR($A309),MONTH($A309),1)</f>
        <v/>
      </c>
      <c r="F309" s="55">
        <f>SUMIFS(tblMovement[Tonnes_t],tblMovement[Date],$A309,tblMovement[Is_Ore],1,tblMovement[Source_Type],"Pit")</f>
        <v/>
      </c>
      <c r="G309" s="55">
        <f>IF($B309=$B308,$G308,0)+$F309</f>
        <v/>
      </c>
      <c r="H309" s="55">
        <f>$H308+$F309</f>
        <v/>
      </c>
      <c r="I309" s="55">
        <f>SUMIFS(tblMovement[Ore_oz],tblMovement[Date],$A309,tblMovement[Source_Type],"Pit")</f>
        <v/>
      </c>
      <c r="J309" s="55">
        <f>IF($B309=$B308,$J308,0)+$I309</f>
        <v/>
      </c>
      <c r="K309" s="55">
        <f>$K308+$I309</f>
        <v/>
      </c>
      <c r="L309" s="55">
        <f>SUMIFS(tblMovement[Tonnes_t],tblMovement[Date],$A309,tblMovement[Is_Ore],1,tblMovement[Source_Type],"Pit",tblMovement[Grade_gpt],"&lt;&gt;")</f>
        <v/>
      </c>
      <c r="M309" s="55">
        <f>IF($B309=$B308,$M308,0)+$L309</f>
        <v/>
      </c>
      <c r="N309" s="55">
        <f>$N308+$L309</f>
        <v/>
      </c>
      <c r="O309" s="56">
        <f>IFERROR(IF(($L309)&gt;0,($I309*cfg_TroyOz)/($L309),""),"")</f>
        <v/>
      </c>
      <c r="P309" s="56">
        <f>IFERROR(IF(($M309)&gt;0,($J309*cfg_TroyOz)/($M309),""),"")</f>
        <v/>
      </c>
      <c r="Q309" s="56">
        <f>IFERROR(IF(($N309)&gt;0,($K309*cfg_TroyOz)/($N309),""),"")</f>
        <v/>
      </c>
      <c r="R309" s="55">
        <f>$F309-$L309</f>
        <v/>
      </c>
      <c r="S309" s="55">
        <f>IF($B309=$B308,$S308,0)+$R309</f>
        <v/>
      </c>
      <c r="T309" s="55">
        <f>$T308+$R309</f>
        <v/>
      </c>
      <c r="U309" s="55">
        <f>SUMIFS(tblMovement[Tonnes_t],tblMovement[Date],$A309,tblMovement[Is_Ore],0,tblMovement[Source_Type],"Pit")</f>
        <v/>
      </c>
      <c r="V309" s="55">
        <f>IF($B309=$B308,$V308,0)+$U309</f>
        <v/>
      </c>
      <c r="W309" s="55">
        <f>$W308+$U309</f>
        <v/>
      </c>
      <c r="X309" s="55">
        <f>$F309+$U309</f>
        <v/>
      </c>
      <c r="Y309" s="55">
        <f>IF($B309=$B308,$Y308,0)+$X309</f>
        <v/>
      </c>
      <c r="Z309" s="55">
        <f>$Z308+$X309</f>
        <v/>
      </c>
      <c r="AA309" s="56">
        <f>IFERROR(IF(($F309)&gt;0,($U309)/($F309),""),"")</f>
        <v/>
      </c>
      <c r="AB309" s="56">
        <f>IFERROR(IF(($G309)&gt;0,($V309)/($G309),""),"")</f>
        <v/>
      </c>
      <c r="AC309" s="56">
        <f>IFERROR(IF(($H309)&gt;0,($W309)/($H309),""),"")</f>
        <v/>
      </c>
      <c r="AD309" s="55">
        <f>SUMIFS(tblMovement[Tonnes_t],tblMovement[Date],$A309,tblMovement[Source_Type],"Stockpile")</f>
        <v/>
      </c>
      <c r="AE309" s="55">
        <f>IF($B309=$B308,$AE308,0)+$AD309</f>
        <v/>
      </c>
      <c r="AF309" s="55">
        <f>$AF308+$AD309</f>
        <v/>
      </c>
      <c r="AG309" s="55">
        <f>SUMIFS(tblMovement[Tonnes_t],tblMovement[Date],$A309)</f>
        <v/>
      </c>
      <c r="AH309" s="55">
        <f>IF($B309=$B308,$AH308,0)+$AG309</f>
        <v/>
      </c>
      <c r="AI309" s="55">
        <f>$AI308+$AG309</f>
        <v/>
      </c>
      <c r="AJ309" s="55">
        <f>$AG309-$X309-$AD309</f>
        <v/>
      </c>
      <c r="AK309" s="55">
        <f>IF($B309=$B308,$AK308,0)+$AJ309</f>
        <v/>
      </c>
      <c r="AL309" s="55">
        <f>$AL308+$AJ309</f>
        <v/>
      </c>
      <c r="AM309" s="55">
        <f>SUMIFS(tblMiningDaily[Drill_m],tblMiningDaily[Date],$A309)</f>
        <v/>
      </c>
      <c r="AN309" s="55">
        <f>IF($B309=$B308,$AN308,0)+$AM309</f>
        <v/>
      </c>
      <c r="AO309" s="55">
        <f>$AO308+$AM309</f>
        <v/>
      </c>
      <c r="AP309" s="55">
        <f>SUMIFS(tblMiningDaily[GC_Drill_m],tblMiningDaily[Date],$A309)</f>
        <v/>
      </c>
      <c r="AQ309" s="55">
        <f>IF($B309=$B308,$AQ308,0)+$AP309</f>
        <v/>
      </c>
      <c r="AR309" s="55">
        <f>$AR308+$AP309</f>
        <v/>
      </c>
      <c r="AS309" s="55">
        <f>SUMIFS(tblMiningDaily[Blast_t],tblMiningDaily[Date],$A309)</f>
        <v/>
      </c>
      <c r="AT309" s="55">
        <f>IF($B309=$B308,$AT308,0)+$AS309</f>
        <v/>
      </c>
      <c r="AU309" s="55">
        <f>$AU308+$AS309</f>
        <v/>
      </c>
      <c r="AV309" s="55">
        <f>SUMIFS(tblMiningDaily[Explosives_kg],tblMiningDaily[Date],$A309)</f>
        <v/>
      </c>
      <c r="AW309" s="55">
        <f>IF($B309=$B308,$AW308,0)+$AV309</f>
        <v/>
      </c>
      <c r="AX309" s="55">
        <f>$AX308+$AV309</f>
        <v/>
      </c>
      <c r="AY309" s="56">
        <f>IFERROR(IF(($AS309)&gt;0,($AV309)/($AS309),""),"")</f>
        <v/>
      </c>
      <c r="AZ309" s="56">
        <f>IFERROR(IF(($AT309)&gt;0,($AW309)/($AT309),""),"")</f>
        <v/>
      </c>
      <c r="BA309" s="56">
        <f>IFERROR(IF(($AU309)&gt;0,($AX309)/($AU309),""),"")</f>
        <v/>
      </c>
      <c r="BB309" s="55">
        <f>SUMIFS(tblMiningDaily[Diesel_L],tblMiningDaily[Date],$A309)</f>
        <v/>
      </c>
      <c r="BC309" s="55">
        <f>IF($B309=$B308,$BC308,0)+$BB309</f>
        <v/>
      </c>
      <c r="BD309" s="55">
        <f>$BD308+$BB309</f>
        <v/>
      </c>
      <c r="BE309" s="55">
        <f>SUMIFS(tblMiningDaily[Dewatering_m3],tblMiningDaily[Date],$A309)</f>
        <v/>
      </c>
      <c r="BF309" s="55">
        <f>IF($B309=$B308,$BF308,0)+$BE309</f>
        <v/>
      </c>
      <c r="BG309" s="55">
        <f>$BG308+$BE309</f>
        <v/>
      </c>
      <c r="BH309" s="57">
        <f>SUMIFS(tblFleet[Calendar_h],tblFleet[Date],$A309,tblFleet[Equipment_Class],"Excavator")</f>
        <v/>
      </c>
      <c r="BI309" s="57">
        <f>IF($B309=$B308,$BI308,0)+$BH309</f>
        <v/>
      </c>
      <c r="BJ309" s="57">
        <f>$BJ308+$BH309</f>
        <v/>
      </c>
      <c r="BK309" s="57">
        <f>SUMIFS(tblFleet[Available_h],tblFleet[Date],$A309,tblFleet[Equipment_Class],"Excavator")</f>
        <v/>
      </c>
      <c r="BL309" s="57">
        <f>IF($B309=$B308,$BL308,0)+$BK309</f>
        <v/>
      </c>
      <c r="BM309" s="57">
        <f>$BM308+$BK309</f>
        <v/>
      </c>
      <c r="BN309" s="57">
        <f>SUMIFS(tblFleet[Operating_h],tblFleet[Date],$A309,tblFleet[Equipment_Class],"Excavator")</f>
        <v/>
      </c>
      <c r="BO309" s="57">
        <f>IF($B309=$B308,$BO308,0)+$BN309</f>
        <v/>
      </c>
      <c r="BP309" s="57">
        <f>$BP308+$BN309</f>
        <v/>
      </c>
      <c r="BQ309" s="67">
        <f>IFERROR(IF(($BH309)&gt;0,($BK309)/($BH309),""),"")</f>
        <v/>
      </c>
      <c r="BR309" s="67">
        <f>IFERROR(IF(($BI309)&gt;0,($BL309)/($BI309),""),"")</f>
        <v/>
      </c>
      <c r="BS309" s="67">
        <f>IFERROR(IF(($BJ309)&gt;0,($BM309)/($BJ309),""),"")</f>
        <v/>
      </c>
      <c r="BT309" s="67">
        <f>IFERROR(IF(($BK309)&gt;0,($BN309)/($BK309),""),"")</f>
        <v/>
      </c>
      <c r="BU309" s="67">
        <f>IFERROR(IF(($BL309)&gt;0,($BO309)/($BL309),""),"")</f>
        <v/>
      </c>
      <c r="BV309" s="67">
        <f>IFERROR(IF(($BM309)&gt;0,($BP309)/($BM309),""),"")</f>
        <v/>
      </c>
      <c r="BW309" s="57">
        <f>SUMIFS(tblFleet[Calendar_h],tblFleet[Date],$A309,tblFleet[Equipment_Class],"Haul Truck")</f>
        <v/>
      </c>
      <c r="BX309" s="57">
        <f>IF($B309=$B308,$BX308,0)+$BW309</f>
        <v/>
      </c>
      <c r="BY309" s="57">
        <f>$BY308+$BW309</f>
        <v/>
      </c>
      <c r="BZ309" s="57">
        <f>SUMIFS(tblFleet[Available_h],tblFleet[Date],$A309,tblFleet[Equipment_Class],"Haul Truck")</f>
        <v/>
      </c>
      <c r="CA309" s="57">
        <f>IF($B309=$B308,$CA308,0)+$BZ309</f>
        <v/>
      </c>
      <c r="CB309" s="57">
        <f>$CB308+$BZ309</f>
        <v/>
      </c>
      <c r="CC309" s="57">
        <f>SUMIFS(tblFleet[Operating_h],tblFleet[Date],$A309,tblFleet[Equipment_Class],"Haul Truck")</f>
        <v/>
      </c>
      <c r="CD309" s="57">
        <f>IF($B309=$B308,$CD308,0)+$CC309</f>
        <v/>
      </c>
      <c r="CE309" s="57">
        <f>$CE308+$CC309</f>
        <v/>
      </c>
      <c r="CF309" s="67">
        <f>IFERROR(IF(($BW309)&gt;0,($BZ309)/($BW309),""),"")</f>
        <v/>
      </c>
      <c r="CG309" s="67">
        <f>IFERROR(IF(($BX309)&gt;0,($CA309)/($BX309),""),"")</f>
        <v/>
      </c>
      <c r="CH309" s="67">
        <f>IFERROR(IF(($BY309)&gt;0,($CB309)/($BY309),""),"")</f>
        <v/>
      </c>
      <c r="CI309" s="67">
        <f>IFERROR(IF(($BZ309)&gt;0,($CC309)/($BZ309),""),"")</f>
        <v/>
      </c>
      <c r="CJ309" s="67">
        <f>IFERROR(IF(($CA309)&gt;0,($CD309)/($CA309),""),"")</f>
        <v/>
      </c>
      <c r="CK309" s="67">
        <f>IFERROR(IF(($CB309)&gt;0,($CE309)/($CB309),""),"")</f>
        <v/>
      </c>
      <c r="CL309" s="55">
        <f>IFERROR(IF(($BN309)&gt;0,($X309+$AD309)/($BN309),""),"")</f>
        <v/>
      </c>
      <c r="CM309" s="55">
        <f>IFERROR(IF(($BO309)&gt;0,($Y309+$AE309)/($BO309),""),"")</f>
        <v/>
      </c>
      <c r="CN309" s="55">
        <f>IFERROR(IF(($BP309)&gt;0,($Z309+$AF309)/($BP309),""),"")</f>
        <v/>
      </c>
      <c r="CO309" s="55">
        <f>IFERROR(IF(($CC309)&gt;0,($X309+$AD309)/($CC309),""),"")</f>
        <v/>
      </c>
      <c r="CP309" s="55">
        <f>IFERROR(IF(($CD309)&gt;0,($Y309+$AE309)/($CD309),""),"")</f>
        <v/>
      </c>
      <c r="CQ309" s="55">
        <f>IFERROR(IF(($CE309)&gt;0,($Z309+$AF309)/($CE309),""),"")</f>
        <v/>
      </c>
      <c r="CR309" s="55">
        <f>SUMIFS(tblPlant[Crushed_t],tblPlant[Date],$A309)</f>
        <v/>
      </c>
      <c r="CS309" s="55">
        <f>IF($B309=$B308,$CS308,0)+$CR309</f>
        <v/>
      </c>
      <c r="CT309" s="55">
        <f>$CT308+$CR309</f>
        <v/>
      </c>
      <c r="CU309" s="55">
        <f>SUMIFS(tblPlant[Milled_t],tblPlant[Date],$A309)</f>
        <v/>
      </c>
      <c r="CV309" s="55">
        <f>IF($B309=$B308,$CV308,0)+$CU309</f>
        <v/>
      </c>
      <c r="CW309" s="55">
        <f>$CW308+$CU309</f>
        <v/>
      </c>
      <c r="CX309" s="55">
        <f>SUMIFS(tblPlant[Feed_oz],tblPlant[Date],$A309)</f>
        <v/>
      </c>
      <c r="CY309" s="55">
        <f>IF($B309=$B308,$CY308,0)+$CX309</f>
        <v/>
      </c>
      <c r="CZ309" s="55">
        <f>$CZ308+$CX309</f>
        <v/>
      </c>
      <c r="DA309" s="55">
        <f>SUMIFS(tblPlant[Tails_oz],tblPlant[Date],$A309)</f>
        <v/>
      </c>
      <c r="DB309" s="55">
        <f>IF($B309=$B308,$DB308,0)+$DA309</f>
        <v/>
      </c>
      <c r="DC309" s="55">
        <f>$DC308+$DA309</f>
        <v/>
      </c>
      <c r="DD309" s="55">
        <f>SUMIFS(tblPlant[Recovered_oz],tblPlant[Date],$A309)</f>
        <v/>
      </c>
      <c r="DE309" s="55">
        <f>IF($B309=$B308,$DE308,0)+$DD309</f>
        <v/>
      </c>
      <c r="DF309" s="55">
        <f>$DF308+$DD309</f>
        <v/>
      </c>
      <c r="DG309" s="55">
        <f>SUMIFS(tblPlant[Milled_t],tblPlant[Date],$A309,tblPlant[Head_Grade_gpt],"&lt;&gt;")</f>
        <v/>
      </c>
      <c r="DH309" s="55">
        <f>IF($B309=$B308,$DH308,0)+$DG309</f>
        <v/>
      </c>
      <c r="DI309" s="55">
        <f>$DI308+$DG309</f>
        <v/>
      </c>
      <c r="DJ309" s="55">
        <f>SUMIFS(tblPlant[Milled_t],tblPlant[Date],$A309,tblPlant[Tails_Grade_gpt],"&lt;&gt;")</f>
        <v/>
      </c>
      <c r="DK309" s="55">
        <f>IF($B309=$B308,$DK308,0)+$DJ309</f>
        <v/>
      </c>
      <c r="DL309" s="55">
        <f>$DL308+$DJ309</f>
        <v/>
      </c>
      <c r="DM309" s="55">
        <f>SUMIFS(tblPlant[Feed_oz],tblPlant[Date],$A309,tblPlant[Tails_Grade_gpt],"&lt;&gt;")</f>
        <v/>
      </c>
      <c r="DN309" s="55">
        <f>IF($B309=$B308,$DN308,0)+$DM309</f>
        <v/>
      </c>
      <c r="DO309" s="55">
        <f>$DO308+$DM309</f>
        <v/>
      </c>
      <c r="DP309" s="55">
        <f>SUMIFS(tblPlant[Milled_t],tblPlant[Date],$A309,tblPlant[Mill_Run_h],"&lt;&gt;")</f>
        <v/>
      </c>
      <c r="DQ309" s="55">
        <f>IF($B309=$B308,$DQ308,0)+$DP309</f>
        <v/>
      </c>
      <c r="DR309" s="55">
        <f>$DR308+$DP309</f>
        <v/>
      </c>
      <c r="DS309" s="56">
        <f>IFERROR(IF(($DG309)&gt;0,($CX309*cfg_TroyOz)/($DG309),""),"")</f>
        <v/>
      </c>
      <c r="DT309" s="56">
        <f>IFERROR(IF(($DH309)&gt;0,($CY309*cfg_TroyOz)/($DH309),""),"")</f>
        <v/>
      </c>
      <c r="DU309" s="56">
        <f>IFERROR(IF(($DI309)&gt;0,($CZ309*cfg_TroyOz)/($DI309),""),"")</f>
        <v/>
      </c>
      <c r="DV309" s="56">
        <f>IFERROR(IF(($DJ309)&gt;0,($DA309*cfg_TroyOz)/($DJ309),""),"")</f>
        <v/>
      </c>
      <c r="DW309" s="56">
        <f>IFERROR(IF(($DK309)&gt;0,($DB309*cfg_TroyOz)/($DK309),""),"")</f>
        <v/>
      </c>
      <c r="DX309" s="56">
        <f>IFERROR(IF(($DL309)&gt;0,($DC309*cfg_TroyOz)/($DL309),""),"")</f>
        <v/>
      </c>
      <c r="DY309" s="67">
        <f>IFERROR(IF(($DM309)&gt;0,($DD309)/($DM309),""),"")</f>
        <v/>
      </c>
      <c r="DZ309" s="67">
        <f>IFERROR(IF(($DN309)&gt;0,($DE309)/($DN309),""),"")</f>
        <v/>
      </c>
      <c r="EA309" s="67">
        <f>IFERROR(IF(($DO309)&gt;0,($DF309)/($DO309),""),"")</f>
        <v/>
      </c>
      <c r="EB309" s="55">
        <f>SUMIFS(tblPlant[Gravity_Gold_oz],tblPlant[Date],$A309)</f>
        <v/>
      </c>
      <c r="EC309" s="55">
        <f>IF($B309=$B308,$EC308,0)+$EB309</f>
        <v/>
      </c>
      <c r="ED309" s="55">
        <f>$ED308+$EB309</f>
        <v/>
      </c>
      <c r="EE309" s="67">
        <f>IFERROR(IF(($DD309)&gt;0,($EB309)/($DD309),""),"")</f>
        <v/>
      </c>
      <c r="EF309" s="67">
        <f>IFERROR(IF(($DE309)&gt;0,($EC309)/($DE309),""),"")</f>
        <v/>
      </c>
      <c r="EG309" s="67">
        <f>IFERROR(IF(($DF309)&gt;0,($ED309)/($DF309),""),"")</f>
        <v/>
      </c>
      <c r="EH309" s="55">
        <f>SUMIFS(tblPlant[Gold_Poured_oz],tblPlant[Date],$A309)</f>
        <v/>
      </c>
      <c r="EI309" s="55">
        <f>IF($B309=$B308,$EI308,0)+$EH309</f>
        <v/>
      </c>
      <c r="EJ309" s="55">
        <f>$EJ308+$EH309</f>
        <v/>
      </c>
      <c r="EK309" s="57">
        <f>SUMIFS(tblPlant[Mill_Run_h],tblPlant[Date],$A309)</f>
        <v/>
      </c>
      <c r="EL309" s="57">
        <f>IF($B309=$B308,$EL308,0)+$EK309</f>
        <v/>
      </c>
      <c r="EM309" s="57">
        <f>$EM308+$EK309</f>
        <v/>
      </c>
      <c r="EN309" s="57">
        <f>SUMIFS(tblPlant[Mill_Planned_Maint_h],tblPlant[Date],$A309)</f>
        <v/>
      </c>
      <c r="EO309" s="57">
        <f>IF($B309=$B308,$EO308,0)+$EN309</f>
        <v/>
      </c>
      <c r="EP309" s="57">
        <f>$EP308+$EN309</f>
        <v/>
      </c>
      <c r="EQ309" s="57">
        <f>SUMIFS(tblPlant[Mill_Unplanned_Down_h],tblPlant[Date],$A309)</f>
        <v/>
      </c>
      <c r="ER309" s="57">
        <f>IF($B309=$B308,$ER308,0)+$EQ309</f>
        <v/>
      </c>
      <c r="ES309" s="57">
        <f>$ES308+$EQ309</f>
        <v/>
      </c>
      <c r="ET309" s="57">
        <f>IF(COUNTIFS(tblPlant[Date],$A309,tblPlant[Mill_Run_h],"&lt;&gt;")+COUNTIFS(tblPlant[Date],$A309,tblPlant[Mill_Planned_Maint_h],"&lt;&gt;")+COUNTIFS(tblPlant[Date],$A309,tblPlant[Mill_Unplanned_Down_h],"&lt;&gt;")&gt;0,cfg_HoursPerDay,0)</f>
        <v/>
      </c>
      <c r="EU309" s="57">
        <f>IF($B309=$B308,$EU308,0)+$ET309</f>
        <v/>
      </c>
      <c r="EV309" s="57">
        <f>$EV308+$ET309</f>
        <v/>
      </c>
      <c r="EW309" s="57">
        <f>SUMIFS(tblPlant[Crusher_Run_h],tblPlant[Date],$A309)</f>
        <v/>
      </c>
      <c r="EX309" s="57">
        <f>IF($B309=$B308,$EX308,0)+$EW309</f>
        <v/>
      </c>
      <c r="EY309" s="57">
        <f>$EY308+$EW309</f>
        <v/>
      </c>
      <c r="EZ309" s="55">
        <f>IFERROR(IF(($EK309)&gt;0,($DP309)/($EK309),""),"")</f>
        <v/>
      </c>
      <c r="FA309" s="55">
        <f>IFERROR(IF(($EL309)&gt;0,($DQ309)/($EL309),""),"")</f>
        <v/>
      </c>
      <c r="FB309" s="55">
        <f>IFERROR(IF(($EM309)&gt;0,($DR309)/($EM309),""),"")</f>
        <v/>
      </c>
      <c r="FC309" s="67">
        <f>IFERROR(IF(($ET309)&gt;0,($ET309-$EN309-$EQ309)/($ET309),""),"")</f>
        <v/>
      </c>
      <c r="FD309" s="67">
        <f>IFERROR(IF(($EU309)&gt;0,($EU309-$EO309-$ER309)/($EU309),""),"")</f>
        <v/>
      </c>
      <c r="FE309" s="67">
        <f>IFERROR(IF(($EV309)&gt;0,($EV309-$EP309-$ES309)/($EV309),""),"")</f>
        <v/>
      </c>
      <c r="FF309" s="67">
        <f>IFERROR(IF(($ET309-$EN309-$EQ309)&gt;0,($EK309)/($ET309-$EN309-$EQ309),""),"")</f>
        <v/>
      </c>
      <c r="FG309" s="67">
        <f>IFERROR(IF(($EU309-$EO309-$ER309)&gt;0,($EL309)/($EU309-$EO309-$ER309),""),"")</f>
        <v/>
      </c>
      <c r="FH309" s="67">
        <f>IFERROR(IF(($EV309-$EP309-$ES309)&gt;0,($EM309)/($EV309-$EP309-$ES309),""),"")</f>
        <v/>
      </c>
      <c r="FI309" s="55">
        <f>SUMIFS(tblPlant[Cyanide_kg],tblPlant[Date],$A309)</f>
        <v/>
      </c>
      <c r="FJ309" s="55">
        <f>IF($B309=$B308,$FJ308,0)+$FI309</f>
        <v/>
      </c>
      <c r="FK309" s="55">
        <f>$FK308+$FI309</f>
        <v/>
      </c>
      <c r="FL309" s="55">
        <f>SUMIFS(tblPlant[Lime_kg],tblPlant[Date],$A309)</f>
        <v/>
      </c>
      <c r="FM309" s="55">
        <f>IF($B309=$B308,$FM308,0)+$FL309</f>
        <v/>
      </c>
      <c r="FN309" s="55">
        <f>$FN308+$FL309</f>
        <v/>
      </c>
      <c r="FO309" s="55">
        <f>SUMIFS(tblPlant[Grinding_Media_kg],tblPlant[Date],$A309)</f>
        <v/>
      </c>
      <c r="FP309" s="55">
        <f>IF($B309=$B308,$FP308,0)+$FO309</f>
        <v/>
      </c>
      <c r="FQ309" s="55">
        <f>$FQ308+$FO309</f>
        <v/>
      </c>
      <c r="FR309" s="55">
        <f>SUMIFS(tblPlant[Power_kWh],tblPlant[Date],$A309)</f>
        <v/>
      </c>
      <c r="FS309" s="55">
        <f>IF($B309=$B308,$FS308,0)+$FR309</f>
        <v/>
      </c>
      <c r="FT309" s="55">
        <f>$FT308+$FR309</f>
        <v/>
      </c>
      <c r="FU309" s="55">
        <f>SUMIFS(tblPlant[Raw_Water_m3],tblPlant[Date],$A309)</f>
        <v/>
      </c>
      <c r="FV309" s="55">
        <f>IF($B309=$B308,$FV308,0)+$FU309</f>
        <v/>
      </c>
      <c r="FW309" s="55">
        <f>$FW308+$FU309</f>
        <v/>
      </c>
      <c r="FX309" s="56">
        <f>IFERROR(IF(($CU309)&gt;0,($FI309)/($CU309),""),"")</f>
        <v/>
      </c>
      <c r="FY309" s="56">
        <f>IFERROR(IF(($CV309)&gt;0,($FJ309)/($CV309),""),"")</f>
        <v/>
      </c>
      <c r="FZ309" s="56">
        <f>IFERROR(IF(($CW309)&gt;0,($FK309)/($CW309),""),"")</f>
        <v/>
      </c>
      <c r="GA309" s="56">
        <f>IFERROR(IF(($CU309)&gt;0,($FL309)/($CU309),""),"")</f>
        <v/>
      </c>
      <c r="GB309" s="56">
        <f>IFERROR(IF(($CV309)&gt;0,($FM309)/($CV309),""),"")</f>
        <v/>
      </c>
      <c r="GC309" s="56">
        <f>IFERROR(IF(($CW309)&gt;0,($FN309)/($CW309),""),"")</f>
        <v/>
      </c>
      <c r="GD309" s="56">
        <f>IFERROR(IF(($CU309)&gt;0,($FO309)/($CU309),""),"")</f>
        <v/>
      </c>
      <c r="GE309" s="56">
        <f>IFERROR(IF(($CV309)&gt;0,($FP309)/($CV309),""),"")</f>
        <v/>
      </c>
      <c r="GF309" s="56">
        <f>IFERROR(IF(($CW309)&gt;0,($FQ309)/($CW309),""),"")</f>
        <v/>
      </c>
      <c r="GG309" s="79">
        <f>IFERROR(IF(($CU309)&gt;0,($FR309)/($CU309),""),"")</f>
        <v/>
      </c>
      <c r="GH309" s="79">
        <f>IFERROR(IF(($CV309)&gt;0,($FS309)/($CV309),""),"")</f>
        <v/>
      </c>
      <c r="GI309" s="79">
        <f>IFERROR(IF(($CW309)&gt;0,($FT309)/($CW309),""),"")</f>
        <v/>
      </c>
      <c r="GJ309" s="56">
        <f>IFERROR(IF(($CU309)&gt;0,($FU309)/($CU309),""),"")</f>
        <v/>
      </c>
      <c r="GK309" s="56">
        <f>IFERROR(IF(($CV309)&gt;0,($FV309)/($CV309),""),"")</f>
        <v/>
      </c>
      <c r="GL309" s="56">
        <f>IFERROR(IF(($CW309)&gt;0,($FW309)/($CW309),""),"")</f>
        <v/>
      </c>
      <c r="GM309" s="55">
        <f>IF(SUMIFS(tblPlant[GIC_oz],tblPlant[Date],$A309)&gt;0,SUMIFS(tblPlant[GIC_oz],tblPlant[Date],$A309),"")</f>
        <v/>
      </c>
      <c r="GN309" s="55">
        <f>SUMIFS(tblGold[Gold_oz],tblGold[Date],$A309,tblGold[Type],"Shipment")</f>
        <v/>
      </c>
      <c r="GO309" s="55">
        <f>IF($B309=$B308,$GO308,0)+$GN309</f>
        <v/>
      </c>
      <c r="GP309" s="55">
        <f>$GP308+$GN309</f>
        <v/>
      </c>
      <c r="GQ309" s="55">
        <f>SUMIFS(tblGold[Gold_oz],tblGold[Date],$A309,tblGold[Type],"Sale")</f>
        <v/>
      </c>
      <c r="GR309" s="55">
        <f>IF($B309=$B308,$GR308,0)+$GQ309</f>
        <v/>
      </c>
      <c r="GS309" s="55">
        <f>$GS308+$GQ309</f>
        <v/>
      </c>
      <c r="GT309" s="55">
        <f>SUMIFS(tblGold[Dore_kg],tblGold[Date],$A309,tblGold[Type],"Shipment")</f>
        <v/>
      </c>
      <c r="GU309" s="55">
        <f>IF($B309=$B308,$GU308,0)+$GT309</f>
        <v/>
      </c>
      <c r="GV309" s="55">
        <f>$GV308+$GT309</f>
        <v/>
      </c>
      <c r="GW309" s="57">
        <f>SUMIFS(tblSafety[Hours_Total],tblSafety[Date],$A309)</f>
        <v/>
      </c>
      <c r="GX309" s="57">
        <f>IF($B309=$B308,$GX308,0)+$GW309</f>
        <v/>
      </c>
      <c r="GY309" s="57">
        <f>$GY308+$GW309</f>
        <v/>
      </c>
      <c r="GZ309" s="62">
        <f>SUMIFS(tblSafety[Fatality],tblSafety[Date],$A309)</f>
        <v/>
      </c>
      <c r="HA309" s="62">
        <f>IF($B309=$B308,$HA308,0)+$GZ309</f>
        <v/>
      </c>
      <c r="HB309" s="62">
        <f>$HB308+$GZ309</f>
        <v/>
      </c>
      <c r="HC309" s="62">
        <f>SUMIFS(tblSafety[LTI],tblSafety[Date],$A309)</f>
        <v/>
      </c>
      <c r="HD309" s="62">
        <f>IF($B309=$B308,$HD308,0)+$HC309</f>
        <v/>
      </c>
      <c r="HE309" s="62">
        <f>$HE308+$HC309</f>
        <v/>
      </c>
      <c r="HF309" s="62">
        <f>SUMIFS(tblSafety[RWI],tblSafety[Date],$A309)</f>
        <v/>
      </c>
      <c r="HG309" s="62">
        <f>IF($B309=$B308,$HG308,0)+$HF309</f>
        <v/>
      </c>
      <c r="HH309" s="62">
        <f>$HH308+$HF309</f>
        <v/>
      </c>
      <c r="HI309" s="62">
        <f>SUMIFS(tblSafety[MTI],tblSafety[Date],$A309)</f>
        <v/>
      </c>
      <c r="HJ309" s="62">
        <f>IF($B309=$B308,$HJ308,0)+$HI309</f>
        <v/>
      </c>
      <c r="HK309" s="62">
        <f>$HK308+$HI309</f>
        <v/>
      </c>
      <c r="HL309" s="62">
        <f>SUMIFS(tblSafety[FAI],tblSafety[Date],$A309)</f>
        <v/>
      </c>
      <c r="HM309" s="62">
        <f>IF($B309=$B308,$HM308,0)+$HL309</f>
        <v/>
      </c>
      <c r="HN309" s="62">
        <f>$HN308+$HL309</f>
        <v/>
      </c>
      <c r="HO309" s="62">
        <f>SUMIFS(tblSafety[Recordables],tblSafety[Date],$A309)</f>
        <v/>
      </c>
      <c r="HP309" s="62">
        <f>IF($B309=$B308,$HP308,0)+$HO309</f>
        <v/>
      </c>
      <c r="HQ309" s="62">
        <f>$HQ308+$HO309</f>
        <v/>
      </c>
      <c r="HR309" s="62">
        <f>SUMIFS(tblSafety[Near_Miss],tblSafety[Date],$A309)</f>
        <v/>
      </c>
      <c r="HS309" s="62">
        <f>IF($B309=$B308,$HS308,0)+$HR309</f>
        <v/>
      </c>
      <c r="HT309" s="62">
        <f>$HT308+$HR309</f>
        <v/>
      </c>
      <c r="HU309" s="62">
        <f>SUMIFS(tblSafety[Hazard_Reports],tblSafety[Date],$A309)</f>
        <v/>
      </c>
      <c r="HV309" s="62">
        <f>IF($B309=$B308,$HV308,0)+$HU309</f>
        <v/>
      </c>
      <c r="HW309" s="62">
        <f>$HW308+$HU309</f>
        <v/>
      </c>
      <c r="HX309" s="62">
        <f>SUMIFS(tblSafety[HPI],tblSafety[Date],$A309)</f>
        <v/>
      </c>
      <c r="HY309" s="62">
        <f>IF($B309=$B308,$HY308,0)+$HX309</f>
        <v/>
      </c>
      <c r="HZ309" s="62">
        <f>$HZ308+$HX309</f>
        <v/>
      </c>
      <c r="IA309" s="62">
        <f>SUMIFS(tblSafety[Env_Incidents],tblSafety[Date],$A309)</f>
        <v/>
      </c>
      <c r="IB309" s="62">
        <f>IF($B309=$B308,$IB308,0)+$IA309</f>
        <v/>
      </c>
      <c r="IC309" s="62">
        <f>$IC308+$IA309</f>
        <v/>
      </c>
      <c r="ID309" s="62">
        <f>SUMIFS(tblSafety[Community_Incidents],tblSafety[Date],$A309)</f>
        <v/>
      </c>
      <c r="IE309" s="62">
        <f>IF($B309=$B308,$IE308,0)+$ID309</f>
        <v/>
      </c>
      <c r="IF309" s="62">
        <f>$IF308+$ID309</f>
        <v/>
      </c>
      <c r="IG309" s="62">
        <f>SUMIFS(tblSafety[Vehicle_Incidents],tblSafety[Date],$A309)</f>
        <v/>
      </c>
      <c r="IH309" s="62">
        <f>IF($B309=$B308,$IH308,0)+$IG309</f>
        <v/>
      </c>
      <c r="II309" s="62">
        <f>$II308+$IG309</f>
        <v/>
      </c>
      <c r="IJ309" s="62">
        <f>SUMIFS(tblSafety[Toolbox_Talks],tblSafety[Date],$A309)</f>
        <v/>
      </c>
      <c r="IK309" s="62">
        <f>IF($B309=$B308,$IK308,0)+$IJ309</f>
        <v/>
      </c>
      <c r="IL309" s="62">
        <f>$IL308+$IJ309</f>
        <v/>
      </c>
      <c r="IM309" s="62">
        <f>SUMIFS(tblSafety[Inspections],tblSafety[Date],$A309)</f>
        <v/>
      </c>
      <c r="IN309" s="62">
        <f>IF($B309=$B308,$IN308,0)+$IM309</f>
        <v/>
      </c>
      <c r="IO309" s="62">
        <f>$IO308+$IM309</f>
        <v/>
      </c>
      <c r="IP309" s="56">
        <f>IFERROR((SUMIFS(tblSafety[Recordables],tblSafety[Date],"&gt;="&amp;EDATE($E309,-12),tblSafety[Date],"&lt;="&amp;$A309)+SUMIFS(tblSafetyHistory[Recordables],tblSafetyHistory[Month],"&gt;="&amp;EDATE($E309,-12),tblSafetyHistory[Month],"&lt;"&amp;$E309,tblSafetyHistory[Use],1))/(SUMIFS(tblSafety[Hours_Total],tblSafety[Date],"&gt;="&amp;EDATE($E309,-12),tblSafety[Date],"&lt;="&amp;$A309)+SUMIFS(tblSafetyHistory[Hours_Total],tblSafetyHistory[Month],"&gt;="&amp;EDATE($E309,-12),tblSafetyHistory[Month],"&lt;"&amp;$E309,tblSafetyHistory[Use],1))*cfg_RateBasisHours,"")</f>
        <v/>
      </c>
      <c r="IQ309" s="56">
        <f>IFERROR((SUMIFS(tblSafety[LTI],tblSafety[Date],"&gt;="&amp;EDATE($E309,-12),tblSafety[Date],"&lt;="&amp;$A309)+SUMIFS(tblSafetyHistory[LTI],tblSafetyHistory[Month],"&gt;="&amp;EDATE($E309,-12),tblSafetyHistory[Month],"&lt;"&amp;$E309,tblSafetyHistory[Use],1))/(SUMIFS(tblSafety[Hours_Total],tblSafety[Date],"&gt;="&amp;EDATE($E309,-12),tblSafety[Date],"&lt;="&amp;$A309)+SUMIFS(tblSafetyHistory[Hours_Total],tblSafetyHistory[Month],"&gt;="&amp;EDATE($E309,-12),tblSafetyHistory[Month],"&lt;"&amp;$E309,tblSafetyHistory[Use],1))*cfg_RateBasisHours,"")</f>
        <v/>
      </c>
      <c r="IR309" s="62">
        <f>IF(MAX(N(cfg_PriorLTIDate),_xlfn.MAXIFS(tblSafety[Date],tblSafety[LTI],"&gt;0",tblSafety[Date],"&lt;="&amp;$A309))=0,"",$A309-MAX(N(cfg_PriorLTIDate),_xlfn.MAXIFS(tblSafety[Date],tblSafety[LTI],"&gt;0",tblSafety[Date],"&lt;="&amp;$A309)))</f>
        <v/>
      </c>
      <c r="IS309" s="55">
        <f>SUMIFS(tblBudget[Ore_Mined_t],tblBudget[Month],$E309)</f>
        <v/>
      </c>
      <c r="IT309" s="55">
        <f>$IS309*$C309/$D309</f>
        <v/>
      </c>
      <c r="IU309" s="55">
        <f>SUMIFS(tblBudget[Ore_Mined_t],tblBudget[Month],"&lt;"&amp;$E309)+$IT309</f>
        <v/>
      </c>
      <c r="IV309" s="55">
        <f>SUMIFS(tblBudget[Ore_oz],tblBudget[Month],$E309)</f>
        <v/>
      </c>
      <c r="IW309" s="55">
        <f>$IV309*$C309/$D309</f>
        <v/>
      </c>
      <c r="IX309" s="55">
        <f>SUMIFS(tblBudget[Ore_oz],tblBudget[Month],"&lt;"&amp;$E309)+$IW309</f>
        <v/>
      </c>
      <c r="IY309" s="55">
        <f>SUMIFS(tblBudget[Ore_Mined_t],tblBudget[Month],$E309)</f>
        <v/>
      </c>
      <c r="IZ309" s="55">
        <f>$IY309*$C309/$D309</f>
        <v/>
      </c>
      <c r="JA309" s="55">
        <f>SUMIFS(tblBudget[Ore_Mined_t],tblBudget[Month],"&lt;"&amp;$E309)+$IZ309</f>
        <v/>
      </c>
      <c r="JB309" s="56">
        <f>IFERROR(IF(($IY309)&gt;0,($IV309*cfg_TroyOz)/($IY309),""),"")</f>
        <v/>
      </c>
      <c r="JC309" s="56">
        <f>IFERROR(IF(($IZ309)&gt;0,($IW309*cfg_TroyOz)/($IZ309),""),"")</f>
        <v/>
      </c>
      <c r="JD309" s="56">
        <f>IFERROR(IF(($JA309)&gt;0,($IX309*cfg_TroyOz)/($JA309),""),"")</f>
        <v/>
      </c>
      <c r="JE309" s="55">
        <f>SUMIFS(tblBudget[Waste_t],tblBudget[Month],$E309)</f>
        <v/>
      </c>
      <c r="JF309" s="55">
        <f>$JE309*$C309/$D309</f>
        <v/>
      </c>
      <c r="JG309" s="55">
        <f>SUMIFS(tblBudget[Waste_t],tblBudget[Month],"&lt;"&amp;$E309)+$JF309</f>
        <v/>
      </c>
      <c r="JH309" s="55">
        <f>SUMIFS(tblBudget[TMM_t],tblBudget[Month],$E309)</f>
        <v/>
      </c>
      <c r="JI309" s="55">
        <f>$JH309*$C309/$D309</f>
        <v/>
      </c>
      <c r="JJ309" s="55">
        <f>SUMIFS(tblBudget[TMM_t],tblBudget[Month],"&lt;"&amp;$E309)+$JI309</f>
        <v/>
      </c>
      <c r="JK309" s="56">
        <f>IFERROR(IF(($IS309)&gt;0,($JE309)/($IS309),""),"")</f>
        <v/>
      </c>
      <c r="JL309" s="56">
        <f>IFERROR(IF(($IT309)&gt;0,($JF309)/($IT309),""),"")</f>
        <v/>
      </c>
      <c r="JM309" s="56">
        <f>IFERROR(IF(($IU309)&gt;0,($JG309)/($IU309),""),"")</f>
        <v/>
      </c>
      <c r="JN309" s="55">
        <f>SUMIFS(tblBudget[Drill_m],tblBudget[Month],$E309)</f>
        <v/>
      </c>
      <c r="JO309" s="55">
        <f>$JN309*$C309/$D309</f>
        <v/>
      </c>
      <c r="JP309" s="55">
        <f>SUMIFS(tblBudget[Drill_m],tblBudget[Month],"&lt;"&amp;$E309)+$JO309</f>
        <v/>
      </c>
      <c r="JQ309" s="55">
        <f>SUMIFS(tblBudget[Diesel_L],tblBudget[Month],$E309)</f>
        <v/>
      </c>
      <c r="JR309" s="55">
        <f>$JQ309*$C309/$D309</f>
        <v/>
      </c>
      <c r="JS309" s="55">
        <f>SUMIFS(tblBudget[Diesel_L],tblBudget[Month],"&lt;"&amp;$E309)+$JR309</f>
        <v/>
      </c>
      <c r="JT309" s="55">
        <f>SUMIFS(tblBudget[Milled_t],tblBudget[Month],$E309)</f>
        <v/>
      </c>
      <c r="JU309" s="55">
        <f>$JT309*$C309/$D309</f>
        <v/>
      </c>
      <c r="JV309" s="55">
        <f>SUMIFS(tblBudget[Milled_t],tblBudget[Month],"&lt;"&amp;$E309)+$JU309</f>
        <v/>
      </c>
      <c r="JW309" s="55">
        <f>SUMIFS(tblBudget[Feed_oz],tblBudget[Month],$E309)</f>
        <v/>
      </c>
      <c r="JX309" s="55">
        <f>$JW309*$C309/$D309</f>
        <v/>
      </c>
      <c r="JY309" s="55">
        <f>SUMIFS(tblBudget[Feed_oz],tblBudget[Month],"&lt;"&amp;$E309)+$JX309</f>
        <v/>
      </c>
      <c r="JZ309" s="55">
        <f>SUMIFS(tblBudget[Recovered_oz],tblBudget[Month],$E309)</f>
        <v/>
      </c>
      <c r="KA309" s="55">
        <f>$JZ309*$C309/$D309</f>
        <v/>
      </c>
      <c r="KB309" s="55">
        <f>SUMIFS(tblBudget[Recovered_oz],tblBudget[Month],"&lt;"&amp;$E309)+$KA309</f>
        <v/>
      </c>
      <c r="KC309" s="55">
        <f>SUMIFS(tblBudget[Milled_t],tblBudget[Month],$E309)</f>
        <v/>
      </c>
      <c r="KD309" s="55">
        <f>$KC309*$C309/$D309</f>
        <v/>
      </c>
      <c r="KE309" s="55">
        <f>SUMIFS(tblBudget[Milled_t],tblBudget[Month],"&lt;"&amp;$E309)+$KD309</f>
        <v/>
      </c>
      <c r="KF309" s="55">
        <f>SUMIFS(tblBudget[Feed_oz],tblBudget[Month],$E309)</f>
        <v/>
      </c>
      <c r="KG309" s="55">
        <f>$KF309*$C309/$D309</f>
        <v/>
      </c>
      <c r="KH309" s="55">
        <f>SUMIFS(tblBudget[Feed_oz],tblBudget[Month],"&lt;"&amp;$E309)+$KG309</f>
        <v/>
      </c>
      <c r="KI309" s="56">
        <f>IFERROR(IF(($KC309)&gt;0,($JW309*cfg_TroyOz)/($KC309),""),"")</f>
        <v/>
      </c>
      <c r="KJ309" s="56">
        <f>IFERROR(IF(($KD309)&gt;0,($JX309*cfg_TroyOz)/($KD309),""),"")</f>
        <v/>
      </c>
      <c r="KK309" s="56">
        <f>IFERROR(IF(($KE309)&gt;0,($JY309*cfg_TroyOz)/($KE309),""),"")</f>
        <v/>
      </c>
      <c r="KL309" s="67">
        <f>IFERROR(IF(($KF309)&gt;0,($JZ309)/($KF309),""),"")</f>
        <v/>
      </c>
      <c r="KM309" s="67">
        <f>IFERROR(IF(($KG309)&gt;0,($KA309)/($KG309),""),"")</f>
        <v/>
      </c>
      <c r="KN309" s="67">
        <f>IFERROR(IF(($KH309)&gt;0,($KB309)/($KH309),""),"")</f>
        <v/>
      </c>
      <c r="KO309" s="55">
        <f>SUMIFS(tblBudget[Gold_Poured_oz],tblBudget[Month],$E309)</f>
        <v/>
      </c>
      <c r="KP309" s="55">
        <f>$KO309*$C309/$D309</f>
        <v/>
      </c>
      <c r="KQ309" s="55">
        <f>SUMIFS(tblBudget[Gold_Poured_oz],tblBudget[Month],"&lt;"&amp;$E309)+$KP309</f>
        <v/>
      </c>
      <c r="KR309" s="57">
        <f>SUMIFS(tblBudget[Hours_Worked],tblBudget[Month],$E309)</f>
        <v/>
      </c>
      <c r="KS309" s="57">
        <f>$KR309*$C309/$D309</f>
        <v/>
      </c>
      <c r="KT309" s="57">
        <f>SUMIFS(tblBudget[Hours_Worked],tblBudget[Month],"&lt;"&amp;$E309)+$KS309</f>
        <v/>
      </c>
    </row>
    <row r="310">
      <c r="A310" s="54" t="n">
        <v>46331</v>
      </c>
      <c r="B310">
        <f>MONTH($A310)</f>
        <v/>
      </c>
      <c r="C310">
        <f>DAY($A310)</f>
        <v/>
      </c>
      <c r="D310">
        <f>DAY(EOMONTH($A310,0))</f>
        <v/>
      </c>
      <c r="E310" s="54">
        <f>DATE(YEAR($A310),MONTH($A310),1)</f>
        <v/>
      </c>
      <c r="F310" s="55">
        <f>SUMIFS(tblMovement[Tonnes_t],tblMovement[Date],$A310,tblMovement[Is_Ore],1,tblMovement[Source_Type],"Pit")</f>
        <v/>
      </c>
      <c r="G310" s="55">
        <f>IF($B310=$B309,$G309,0)+$F310</f>
        <v/>
      </c>
      <c r="H310" s="55">
        <f>$H309+$F310</f>
        <v/>
      </c>
      <c r="I310" s="55">
        <f>SUMIFS(tblMovement[Ore_oz],tblMovement[Date],$A310,tblMovement[Source_Type],"Pit")</f>
        <v/>
      </c>
      <c r="J310" s="55">
        <f>IF($B310=$B309,$J309,0)+$I310</f>
        <v/>
      </c>
      <c r="K310" s="55">
        <f>$K309+$I310</f>
        <v/>
      </c>
      <c r="L310" s="55">
        <f>SUMIFS(tblMovement[Tonnes_t],tblMovement[Date],$A310,tblMovement[Is_Ore],1,tblMovement[Source_Type],"Pit",tblMovement[Grade_gpt],"&lt;&gt;")</f>
        <v/>
      </c>
      <c r="M310" s="55">
        <f>IF($B310=$B309,$M309,0)+$L310</f>
        <v/>
      </c>
      <c r="N310" s="55">
        <f>$N309+$L310</f>
        <v/>
      </c>
      <c r="O310" s="56">
        <f>IFERROR(IF(($L310)&gt;0,($I310*cfg_TroyOz)/($L310),""),"")</f>
        <v/>
      </c>
      <c r="P310" s="56">
        <f>IFERROR(IF(($M310)&gt;0,($J310*cfg_TroyOz)/($M310),""),"")</f>
        <v/>
      </c>
      <c r="Q310" s="56">
        <f>IFERROR(IF(($N310)&gt;0,($K310*cfg_TroyOz)/($N310),""),"")</f>
        <v/>
      </c>
      <c r="R310" s="55">
        <f>$F310-$L310</f>
        <v/>
      </c>
      <c r="S310" s="55">
        <f>IF($B310=$B309,$S309,0)+$R310</f>
        <v/>
      </c>
      <c r="T310" s="55">
        <f>$T309+$R310</f>
        <v/>
      </c>
      <c r="U310" s="55">
        <f>SUMIFS(tblMovement[Tonnes_t],tblMovement[Date],$A310,tblMovement[Is_Ore],0,tblMovement[Source_Type],"Pit")</f>
        <v/>
      </c>
      <c r="V310" s="55">
        <f>IF($B310=$B309,$V309,0)+$U310</f>
        <v/>
      </c>
      <c r="W310" s="55">
        <f>$W309+$U310</f>
        <v/>
      </c>
      <c r="X310" s="55">
        <f>$F310+$U310</f>
        <v/>
      </c>
      <c r="Y310" s="55">
        <f>IF($B310=$B309,$Y309,0)+$X310</f>
        <v/>
      </c>
      <c r="Z310" s="55">
        <f>$Z309+$X310</f>
        <v/>
      </c>
      <c r="AA310" s="56">
        <f>IFERROR(IF(($F310)&gt;0,($U310)/($F310),""),"")</f>
        <v/>
      </c>
      <c r="AB310" s="56">
        <f>IFERROR(IF(($G310)&gt;0,($V310)/($G310),""),"")</f>
        <v/>
      </c>
      <c r="AC310" s="56">
        <f>IFERROR(IF(($H310)&gt;0,($W310)/($H310),""),"")</f>
        <v/>
      </c>
      <c r="AD310" s="55">
        <f>SUMIFS(tblMovement[Tonnes_t],tblMovement[Date],$A310,tblMovement[Source_Type],"Stockpile")</f>
        <v/>
      </c>
      <c r="AE310" s="55">
        <f>IF($B310=$B309,$AE309,0)+$AD310</f>
        <v/>
      </c>
      <c r="AF310" s="55">
        <f>$AF309+$AD310</f>
        <v/>
      </c>
      <c r="AG310" s="55">
        <f>SUMIFS(tblMovement[Tonnes_t],tblMovement[Date],$A310)</f>
        <v/>
      </c>
      <c r="AH310" s="55">
        <f>IF($B310=$B309,$AH309,0)+$AG310</f>
        <v/>
      </c>
      <c r="AI310" s="55">
        <f>$AI309+$AG310</f>
        <v/>
      </c>
      <c r="AJ310" s="55">
        <f>$AG310-$X310-$AD310</f>
        <v/>
      </c>
      <c r="AK310" s="55">
        <f>IF($B310=$B309,$AK309,0)+$AJ310</f>
        <v/>
      </c>
      <c r="AL310" s="55">
        <f>$AL309+$AJ310</f>
        <v/>
      </c>
      <c r="AM310" s="55">
        <f>SUMIFS(tblMiningDaily[Drill_m],tblMiningDaily[Date],$A310)</f>
        <v/>
      </c>
      <c r="AN310" s="55">
        <f>IF($B310=$B309,$AN309,0)+$AM310</f>
        <v/>
      </c>
      <c r="AO310" s="55">
        <f>$AO309+$AM310</f>
        <v/>
      </c>
      <c r="AP310" s="55">
        <f>SUMIFS(tblMiningDaily[GC_Drill_m],tblMiningDaily[Date],$A310)</f>
        <v/>
      </c>
      <c r="AQ310" s="55">
        <f>IF($B310=$B309,$AQ309,0)+$AP310</f>
        <v/>
      </c>
      <c r="AR310" s="55">
        <f>$AR309+$AP310</f>
        <v/>
      </c>
      <c r="AS310" s="55">
        <f>SUMIFS(tblMiningDaily[Blast_t],tblMiningDaily[Date],$A310)</f>
        <v/>
      </c>
      <c r="AT310" s="55">
        <f>IF($B310=$B309,$AT309,0)+$AS310</f>
        <v/>
      </c>
      <c r="AU310" s="55">
        <f>$AU309+$AS310</f>
        <v/>
      </c>
      <c r="AV310" s="55">
        <f>SUMIFS(tblMiningDaily[Explosives_kg],tblMiningDaily[Date],$A310)</f>
        <v/>
      </c>
      <c r="AW310" s="55">
        <f>IF($B310=$B309,$AW309,0)+$AV310</f>
        <v/>
      </c>
      <c r="AX310" s="55">
        <f>$AX309+$AV310</f>
        <v/>
      </c>
      <c r="AY310" s="56">
        <f>IFERROR(IF(($AS310)&gt;0,($AV310)/($AS310),""),"")</f>
        <v/>
      </c>
      <c r="AZ310" s="56">
        <f>IFERROR(IF(($AT310)&gt;0,($AW310)/($AT310),""),"")</f>
        <v/>
      </c>
      <c r="BA310" s="56">
        <f>IFERROR(IF(($AU310)&gt;0,($AX310)/($AU310),""),"")</f>
        <v/>
      </c>
      <c r="BB310" s="55">
        <f>SUMIFS(tblMiningDaily[Diesel_L],tblMiningDaily[Date],$A310)</f>
        <v/>
      </c>
      <c r="BC310" s="55">
        <f>IF($B310=$B309,$BC309,0)+$BB310</f>
        <v/>
      </c>
      <c r="BD310" s="55">
        <f>$BD309+$BB310</f>
        <v/>
      </c>
      <c r="BE310" s="55">
        <f>SUMIFS(tblMiningDaily[Dewatering_m3],tblMiningDaily[Date],$A310)</f>
        <v/>
      </c>
      <c r="BF310" s="55">
        <f>IF($B310=$B309,$BF309,0)+$BE310</f>
        <v/>
      </c>
      <c r="BG310" s="55">
        <f>$BG309+$BE310</f>
        <v/>
      </c>
      <c r="BH310" s="57">
        <f>SUMIFS(tblFleet[Calendar_h],tblFleet[Date],$A310,tblFleet[Equipment_Class],"Excavator")</f>
        <v/>
      </c>
      <c r="BI310" s="57">
        <f>IF($B310=$B309,$BI309,0)+$BH310</f>
        <v/>
      </c>
      <c r="BJ310" s="57">
        <f>$BJ309+$BH310</f>
        <v/>
      </c>
      <c r="BK310" s="57">
        <f>SUMIFS(tblFleet[Available_h],tblFleet[Date],$A310,tblFleet[Equipment_Class],"Excavator")</f>
        <v/>
      </c>
      <c r="BL310" s="57">
        <f>IF($B310=$B309,$BL309,0)+$BK310</f>
        <v/>
      </c>
      <c r="BM310" s="57">
        <f>$BM309+$BK310</f>
        <v/>
      </c>
      <c r="BN310" s="57">
        <f>SUMIFS(tblFleet[Operating_h],tblFleet[Date],$A310,tblFleet[Equipment_Class],"Excavator")</f>
        <v/>
      </c>
      <c r="BO310" s="57">
        <f>IF($B310=$B309,$BO309,0)+$BN310</f>
        <v/>
      </c>
      <c r="BP310" s="57">
        <f>$BP309+$BN310</f>
        <v/>
      </c>
      <c r="BQ310" s="67">
        <f>IFERROR(IF(($BH310)&gt;0,($BK310)/($BH310),""),"")</f>
        <v/>
      </c>
      <c r="BR310" s="67">
        <f>IFERROR(IF(($BI310)&gt;0,($BL310)/($BI310),""),"")</f>
        <v/>
      </c>
      <c r="BS310" s="67">
        <f>IFERROR(IF(($BJ310)&gt;0,($BM310)/($BJ310),""),"")</f>
        <v/>
      </c>
      <c r="BT310" s="67">
        <f>IFERROR(IF(($BK310)&gt;0,($BN310)/($BK310),""),"")</f>
        <v/>
      </c>
      <c r="BU310" s="67">
        <f>IFERROR(IF(($BL310)&gt;0,($BO310)/($BL310),""),"")</f>
        <v/>
      </c>
      <c r="BV310" s="67">
        <f>IFERROR(IF(($BM310)&gt;0,($BP310)/($BM310),""),"")</f>
        <v/>
      </c>
      <c r="BW310" s="57">
        <f>SUMIFS(tblFleet[Calendar_h],tblFleet[Date],$A310,tblFleet[Equipment_Class],"Haul Truck")</f>
        <v/>
      </c>
      <c r="BX310" s="57">
        <f>IF($B310=$B309,$BX309,0)+$BW310</f>
        <v/>
      </c>
      <c r="BY310" s="57">
        <f>$BY309+$BW310</f>
        <v/>
      </c>
      <c r="BZ310" s="57">
        <f>SUMIFS(tblFleet[Available_h],tblFleet[Date],$A310,tblFleet[Equipment_Class],"Haul Truck")</f>
        <v/>
      </c>
      <c r="CA310" s="57">
        <f>IF($B310=$B309,$CA309,0)+$BZ310</f>
        <v/>
      </c>
      <c r="CB310" s="57">
        <f>$CB309+$BZ310</f>
        <v/>
      </c>
      <c r="CC310" s="57">
        <f>SUMIFS(tblFleet[Operating_h],tblFleet[Date],$A310,tblFleet[Equipment_Class],"Haul Truck")</f>
        <v/>
      </c>
      <c r="CD310" s="57">
        <f>IF($B310=$B309,$CD309,0)+$CC310</f>
        <v/>
      </c>
      <c r="CE310" s="57">
        <f>$CE309+$CC310</f>
        <v/>
      </c>
      <c r="CF310" s="67">
        <f>IFERROR(IF(($BW310)&gt;0,($BZ310)/($BW310),""),"")</f>
        <v/>
      </c>
      <c r="CG310" s="67">
        <f>IFERROR(IF(($BX310)&gt;0,($CA310)/($BX310),""),"")</f>
        <v/>
      </c>
      <c r="CH310" s="67">
        <f>IFERROR(IF(($BY310)&gt;0,($CB310)/($BY310),""),"")</f>
        <v/>
      </c>
      <c r="CI310" s="67">
        <f>IFERROR(IF(($BZ310)&gt;0,($CC310)/($BZ310),""),"")</f>
        <v/>
      </c>
      <c r="CJ310" s="67">
        <f>IFERROR(IF(($CA310)&gt;0,($CD310)/($CA310),""),"")</f>
        <v/>
      </c>
      <c r="CK310" s="67">
        <f>IFERROR(IF(($CB310)&gt;0,($CE310)/($CB310),""),"")</f>
        <v/>
      </c>
      <c r="CL310" s="55">
        <f>IFERROR(IF(($BN310)&gt;0,($X310+$AD310)/($BN310),""),"")</f>
        <v/>
      </c>
      <c r="CM310" s="55">
        <f>IFERROR(IF(($BO310)&gt;0,($Y310+$AE310)/($BO310),""),"")</f>
        <v/>
      </c>
      <c r="CN310" s="55">
        <f>IFERROR(IF(($BP310)&gt;0,($Z310+$AF310)/($BP310),""),"")</f>
        <v/>
      </c>
      <c r="CO310" s="55">
        <f>IFERROR(IF(($CC310)&gt;0,($X310+$AD310)/($CC310),""),"")</f>
        <v/>
      </c>
      <c r="CP310" s="55">
        <f>IFERROR(IF(($CD310)&gt;0,($Y310+$AE310)/($CD310),""),"")</f>
        <v/>
      </c>
      <c r="CQ310" s="55">
        <f>IFERROR(IF(($CE310)&gt;0,($Z310+$AF310)/($CE310),""),"")</f>
        <v/>
      </c>
      <c r="CR310" s="55">
        <f>SUMIFS(tblPlant[Crushed_t],tblPlant[Date],$A310)</f>
        <v/>
      </c>
      <c r="CS310" s="55">
        <f>IF($B310=$B309,$CS309,0)+$CR310</f>
        <v/>
      </c>
      <c r="CT310" s="55">
        <f>$CT309+$CR310</f>
        <v/>
      </c>
      <c r="CU310" s="55">
        <f>SUMIFS(tblPlant[Milled_t],tblPlant[Date],$A310)</f>
        <v/>
      </c>
      <c r="CV310" s="55">
        <f>IF($B310=$B309,$CV309,0)+$CU310</f>
        <v/>
      </c>
      <c r="CW310" s="55">
        <f>$CW309+$CU310</f>
        <v/>
      </c>
      <c r="CX310" s="55">
        <f>SUMIFS(tblPlant[Feed_oz],tblPlant[Date],$A310)</f>
        <v/>
      </c>
      <c r="CY310" s="55">
        <f>IF($B310=$B309,$CY309,0)+$CX310</f>
        <v/>
      </c>
      <c r="CZ310" s="55">
        <f>$CZ309+$CX310</f>
        <v/>
      </c>
      <c r="DA310" s="55">
        <f>SUMIFS(tblPlant[Tails_oz],tblPlant[Date],$A310)</f>
        <v/>
      </c>
      <c r="DB310" s="55">
        <f>IF($B310=$B309,$DB309,0)+$DA310</f>
        <v/>
      </c>
      <c r="DC310" s="55">
        <f>$DC309+$DA310</f>
        <v/>
      </c>
      <c r="DD310" s="55">
        <f>SUMIFS(tblPlant[Recovered_oz],tblPlant[Date],$A310)</f>
        <v/>
      </c>
      <c r="DE310" s="55">
        <f>IF($B310=$B309,$DE309,0)+$DD310</f>
        <v/>
      </c>
      <c r="DF310" s="55">
        <f>$DF309+$DD310</f>
        <v/>
      </c>
      <c r="DG310" s="55">
        <f>SUMIFS(tblPlant[Milled_t],tblPlant[Date],$A310,tblPlant[Head_Grade_gpt],"&lt;&gt;")</f>
        <v/>
      </c>
      <c r="DH310" s="55">
        <f>IF($B310=$B309,$DH309,0)+$DG310</f>
        <v/>
      </c>
      <c r="DI310" s="55">
        <f>$DI309+$DG310</f>
        <v/>
      </c>
      <c r="DJ310" s="55">
        <f>SUMIFS(tblPlant[Milled_t],tblPlant[Date],$A310,tblPlant[Tails_Grade_gpt],"&lt;&gt;")</f>
        <v/>
      </c>
      <c r="DK310" s="55">
        <f>IF($B310=$B309,$DK309,0)+$DJ310</f>
        <v/>
      </c>
      <c r="DL310" s="55">
        <f>$DL309+$DJ310</f>
        <v/>
      </c>
      <c r="DM310" s="55">
        <f>SUMIFS(tblPlant[Feed_oz],tblPlant[Date],$A310,tblPlant[Tails_Grade_gpt],"&lt;&gt;")</f>
        <v/>
      </c>
      <c r="DN310" s="55">
        <f>IF($B310=$B309,$DN309,0)+$DM310</f>
        <v/>
      </c>
      <c r="DO310" s="55">
        <f>$DO309+$DM310</f>
        <v/>
      </c>
      <c r="DP310" s="55">
        <f>SUMIFS(tblPlant[Milled_t],tblPlant[Date],$A310,tblPlant[Mill_Run_h],"&lt;&gt;")</f>
        <v/>
      </c>
      <c r="DQ310" s="55">
        <f>IF($B310=$B309,$DQ309,0)+$DP310</f>
        <v/>
      </c>
      <c r="DR310" s="55">
        <f>$DR309+$DP310</f>
        <v/>
      </c>
      <c r="DS310" s="56">
        <f>IFERROR(IF(($DG310)&gt;0,($CX310*cfg_TroyOz)/($DG310),""),"")</f>
        <v/>
      </c>
      <c r="DT310" s="56">
        <f>IFERROR(IF(($DH310)&gt;0,($CY310*cfg_TroyOz)/($DH310),""),"")</f>
        <v/>
      </c>
      <c r="DU310" s="56">
        <f>IFERROR(IF(($DI310)&gt;0,($CZ310*cfg_TroyOz)/($DI310),""),"")</f>
        <v/>
      </c>
      <c r="DV310" s="56">
        <f>IFERROR(IF(($DJ310)&gt;0,($DA310*cfg_TroyOz)/($DJ310),""),"")</f>
        <v/>
      </c>
      <c r="DW310" s="56">
        <f>IFERROR(IF(($DK310)&gt;0,($DB310*cfg_TroyOz)/($DK310),""),"")</f>
        <v/>
      </c>
      <c r="DX310" s="56">
        <f>IFERROR(IF(($DL310)&gt;0,($DC310*cfg_TroyOz)/($DL310),""),"")</f>
        <v/>
      </c>
      <c r="DY310" s="67">
        <f>IFERROR(IF(($DM310)&gt;0,($DD310)/($DM310),""),"")</f>
        <v/>
      </c>
      <c r="DZ310" s="67">
        <f>IFERROR(IF(($DN310)&gt;0,($DE310)/($DN310),""),"")</f>
        <v/>
      </c>
      <c r="EA310" s="67">
        <f>IFERROR(IF(($DO310)&gt;0,($DF310)/($DO310),""),"")</f>
        <v/>
      </c>
      <c r="EB310" s="55">
        <f>SUMIFS(tblPlant[Gravity_Gold_oz],tblPlant[Date],$A310)</f>
        <v/>
      </c>
      <c r="EC310" s="55">
        <f>IF($B310=$B309,$EC309,0)+$EB310</f>
        <v/>
      </c>
      <c r="ED310" s="55">
        <f>$ED309+$EB310</f>
        <v/>
      </c>
      <c r="EE310" s="67">
        <f>IFERROR(IF(($DD310)&gt;0,($EB310)/($DD310),""),"")</f>
        <v/>
      </c>
      <c r="EF310" s="67">
        <f>IFERROR(IF(($DE310)&gt;0,($EC310)/($DE310),""),"")</f>
        <v/>
      </c>
      <c r="EG310" s="67">
        <f>IFERROR(IF(($DF310)&gt;0,($ED310)/($DF310),""),"")</f>
        <v/>
      </c>
      <c r="EH310" s="55">
        <f>SUMIFS(tblPlant[Gold_Poured_oz],tblPlant[Date],$A310)</f>
        <v/>
      </c>
      <c r="EI310" s="55">
        <f>IF($B310=$B309,$EI309,0)+$EH310</f>
        <v/>
      </c>
      <c r="EJ310" s="55">
        <f>$EJ309+$EH310</f>
        <v/>
      </c>
      <c r="EK310" s="57">
        <f>SUMIFS(tblPlant[Mill_Run_h],tblPlant[Date],$A310)</f>
        <v/>
      </c>
      <c r="EL310" s="57">
        <f>IF($B310=$B309,$EL309,0)+$EK310</f>
        <v/>
      </c>
      <c r="EM310" s="57">
        <f>$EM309+$EK310</f>
        <v/>
      </c>
      <c r="EN310" s="57">
        <f>SUMIFS(tblPlant[Mill_Planned_Maint_h],tblPlant[Date],$A310)</f>
        <v/>
      </c>
      <c r="EO310" s="57">
        <f>IF($B310=$B309,$EO309,0)+$EN310</f>
        <v/>
      </c>
      <c r="EP310" s="57">
        <f>$EP309+$EN310</f>
        <v/>
      </c>
      <c r="EQ310" s="57">
        <f>SUMIFS(tblPlant[Mill_Unplanned_Down_h],tblPlant[Date],$A310)</f>
        <v/>
      </c>
      <c r="ER310" s="57">
        <f>IF($B310=$B309,$ER309,0)+$EQ310</f>
        <v/>
      </c>
      <c r="ES310" s="57">
        <f>$ES309+$EQ310</f>
        <v/>
      </c>
      <c r="ET310" s="57">
        <f>IF(COUNTIFS(tblPlant[Date],$A310,tblPlant[Mill_Run_h],"&lt;&gt;")+COUNTIFS(tblPlant[Date],$A310,tblPlant[Mill_Planned_Maint_h],"&lt;&gt;")+COUNTIFS(tblPlant[Date],$A310,tblPlant[Mill_Unplanned_Down_h],"&lt;&gt;")&gt;0,cfg_HoursPerDay,0)</f>
        <v/>
      </c>
      <c r="EU310" s="57">
        <f>IF($B310=$B309,$EU309,0)+$ET310</f>
        <v/>
      </c>
      <c r="EV310" s="57">
        <f>$EV309+$ET310</f>
        <v/>
      </c>
      <c r="EW310" s="57">
        <f>SUMIFS(tblPlant[Crusher_Run_h],tblPlant[Date],$A310)</f>
        <v/>
      </c>
      <c r="EX310" s="57">
        <f>IF($B310=$B309,$EX309,0)+$EW310</f>
        <v/>
      </c>
      <c r="EY310" s="57">
        <f>$EY309+$EW310</f>
        <v/>
      </c>
      <c r="EZ310" s="55">
        <f>IFERROR(IF(($EK310)&gt;0,($DP310)/($EK310),""),"")</f>
        <v/>
      </c>
      <c r="FA310" s="55">
        <f>IFERROR(IF(($EL310)&gt;0,($DQ310)/($EL310),""),"")</f>
        <v/>
      </c>
      <c r="FB310" s="55">
        <f>IFERROR(IF(($EM310)&gt;0,($DR310)/($EM310),""),"")</f>
        <v/>
      </c>
      <c r="FC310" s="67">
        <f>IFERROR(IF(($ET310)&gt;0,($ET310-$EN310-$EQ310)/($ET310),""),"")</f>
        <v/>
      </c>
      <c r="FD310" s="67">
        <f>IFERROR(IF(($EU310)&gt;0,($EU310-$EO310-$ER310)/($EU310),""),"")</f>
        <v/>
      </c>
      <c r="FE310" s="67">
        <f>IFERROR(IF(($EV310)&gt;0,($EV310-$EP310-$ES310)/($EV310),""),"")</f>
        <v/>
      </c>
      <c r="FF310" s="67">
        <f>IFERROR(IF(($ET310-$EN310-$EQ310)&gt;0,($EK310)/($ET310-$EN310-$EQ310),""),"")</f>
        <v/>
      </c>
      <c r="FG310" s="67">
        <f>IFERROR(IF(($EU310-$EO310-$ER310)&gt;0,($EL310)/($EU310-$EO310-$ER310),""),"")</f>
        <v/>
      </c>
      <c r="FH310" s="67">
        <f>IFERROR(IF(($EV310-$EP310-$ES310)&gt;0,($EM310)/($EV310-$EP310-$ES310),""),"")</f>
        <v/>
      </c>
      <c r="FI310" s="55">
        <f>SUMIFS(tblPlant[Cyanide_kg],tblPlant[Date],$A310)</f>
        <v/>
      </c>
      <c r="FJ310" s="55">
        <f>IF($B310=$B309,$FJ309,0)+$FI310</f>
        <v/>
      </c>
      <c r="FK310" s="55">
        <f>$FK309+$FI310</f>
        <v/>
      </c>
      <c r="FL310" s="55">
        <f>SUMIFS(tblPlant[Lime_kg],tblPlant[Date],$A310)</f>
        <v/>
      </c>
      <c r="FM310" s="55">
        <f>IF($B310=$B309,$FM309,0)+$FL310</f>
        <v/>
      </c>
      <c r="FN310" s="55">
        <f>$FN309+$FL310</f>
        <v/>
      </c>
      <c r="FO310" s="55">
        <f>SUMIFS(tblPlant[Grinding_Media_kg],tblPlant[Date],$A310)</f>
        <v/>
      </c>
      <c r="FP310" s="55">
        <f>IF($B310=$B309,$FP309,0)+$FO310</f>
        <v/>
      </c>
      <c r="FQ310" s="55">
        <f>$FQ309+$FO310</f>
        <v/>
      </c>
      <c r="FR310" s="55">
        <f>SUMIFS(tblPlant[Power_kWh],tblPlant[Date],$A310)</f>
        <v/>
      </c>
      <c r="FS310" s="55">
        <f>IF($B310=$B309,$FS309,0)+$FR310</f>
        <v/>
      </c>
      <c r="FT310" s="55">
        <f>$FT309+$FR310</f>
        <v/>
      </c>
      <c r="FU310" s="55">
        <f>SUMIFS(tblPlant[Raw_Water_m3],tblPlant[Date],$A310)</f>
        <v/>
      </c>
      <c r="FV310" s="55">
        <f>IF($B310=$B309,$FV309,0)+$FU310</f>
        <v/>
      </c>
      <c r="FW310" s="55">
        <f>$FW309+$FU310</f>
        <v/>
      </c>
      <c r="FX310" s="56">
        <f>IFERROR(IF(($CU310)&gt;0,($FI310)/($CU310),""),"")</f>
        <v/>
      </c>
      <c r="FY310" s="56">
        <f>IFERROR(IF(($CV310)&gt;0,($FJ310)/($CV310),""),"")</f>
        <v/>
      </c>
      <c r="FZ310" s="56">
        <f>IFERROR(IF(($CW310)&gt;0,($FK310)/($CW310),""),"")</f>
        <v/>
      </c>
      <c r="GA310" s="56">
        <f>IFERROR(IF(($CU310)&gt;0,($FL310)/($CU310),""),"")</f>
        <v/>
      </c>
      <c r="GB310" s="56">
        <f>IFERROR(IF(($CV310)&gt;0,($FM310)/($CV310),""),"")</f>
        <v/>
      </c>
      <c r="GC310" s="56">
        <f>IFERROR(IF(($CW310)&gt;0,($FN310)/($CW310),""),"")</f>
        <v/>
      </c>
      <c r="GD310" s="56">
        <f>IFERROR(IF(($CU310)&gt;0,($FO310)/($CU310),""),"")</f>
        <v/>
      </c>
      <c r="GE310" s="56">
        <f>IFERROR(IF(($CV310)&gt;0,($FP310)/($CV310),""),"")</f>
        <v/>
      </c>
      <c r="GF310" s="56">
        <f>IFERROR(IF(($CW310)&gt;0,($FQ310)/($CW310),""),"")</f>
        <v/>
      </c>
      <c r="GG310" s="79">
        <f>IFERROR(IF(($CU310)&gt;0,($FR310)/($CU310),""),"")</f>
        <v/>
      </c>
      <c r="GH310" s="79">
        <f>IFERROR(IF(($CV310)&gt;0,($FS310)/($CV310),""),"")</f>
        <v/>
      </c>
      <c r="GI310" s="79">
        <f>IFERROR(IF(($CW310)&gt;0,($FT310)/($CW310),""),"")</f>
        <v/>
      </c>
      <c r="GJ310" s="56">
        <f>IFERROR(IF(($CU310)&gt;0,($FU310)/($CU310),""),"")</f>
        <v/>
      </c>
      <c r="GK310" s="56">
        <f>IFERROR(IF(($CV310)&gt;0,($FV310)/($CV310),""),"")</f>
        <v/>
      </c>
      <c r="GL310" s="56">
        <f>IFERROR(IF(($CW310)&gt;0,($FW310)/($CW310),""),"")</f>
        <v/>
      </c>
      <c r="GM310" s="55">
        <f>IF(SUMIFS(tblPlant[GIC_oz],tblPlant[Date],$A310)&gt;0,SUMIFS(tblPlant[GIC_oz],tblPlant[Date],$A310),"")</f>
        <v/>
      </c>
      <c r="GN310" s="55">
        <f>SUMIFS(tblGold[Gold_oz],tblGold[Date],$A310,tblGold[Type],"Shipment")</f>
        <v/>
      </c>
      <c r="GO310" s="55">
        <f>IF($B310=$B309,$GO309,0)+$GN310</f>
        <v/>
      </c>
      <c r="GP310" s="55">
        <f>$GP309+$GN310</f>
        <v/>
      </c>
      <c r="GQ310" s="55">
        <f>SUMIFS(tblGold[Gold_oz],tblGold[Date],$A310,tblGold[Type],"Sale")</f>
        <v/>
      </c>
      <c r="GR310" s="55">
        <f>IF($B310=$B309,$GR309,0)+$GQ310</f>
        <v/>
      </c>
      <c r="GS310" s="55">
        <f>$GS309+$GQ310</f>
        <v/>
      </c>
      <c r="GT310" s="55">
        <f>SUMIFS(tblGold[Dore_kg],tblGold[Date],$A310,tblGold[Type],"Shipment")</f>
        <v/>
      </c>
      <c r="GU310" s="55">
        <f>IF($B310=$B309,$GU309,0)+$GT310</f>
        <v/>
      </c>
      <c r="GV310" s="55">
        <f>$GV309+$GT310</f>
        <v/>
      </c>
      <c r="GW310" s="57">
        <f>SUMIFS(tblSafety[Hours_Total],tblSafety[Date],$A310)</f>
        <v/>
      </c>
      <c r="GX310" s="57">
        <f>IF($B310=$B309,$GX309,0)+$GW310</f>
        <v/>
      </c>
      <c r="GY310" s="57">
        <f>$GY309+$GW310</f>
        <v/>
      </c>
      <c r="GZ310" s="62">
        <f>SUMIFS(tblSafety[Fatality],tblSafety[Date],$A310)</f>
        <v/>
      </c>
      <c r="HA310" s="62">
        <f>IF($B310=$B309,$HA309,0)+$GZ310</f>
        <v/>
      </c>
      <c r="HB310" s="62">
        <f>$HB309+$GZ310</f>
        <v/>
      </c>
      <c r="HC310" s="62">
        <f>SUMIFS(tblSafety[LTI],tblSafety[Date],$A310)</f>
        <v/>
      </c>
      <c r="HD310" s="62">
        <f>IF($B310=$B309,$HD309,0)+$HC310</f>
        <v/>
      </c>
      <c r="HE310" s="62">
        <f>$HE309+$HC310</f>
        <v/>
      </c>
      <c r="HF310" s="62">
        <f>SUMIFS(tblSafety[RWI],tblSafety[Date],$A310)</f>
        <v/>
      </c>
      <c r="HG310" s="62">
        <f>IF($B310=$B309,$HG309,0)+$HF310</f>
        <v/>
      </c>
      <c r="HH310" s="62">
        <f>$HH309+$HF310</f>
        <v/>
      </c>
      <c r="HI310" s="62">
        <f>SUMIFS(tblSafety[MTI],tblSafety[Date],$A310)</f>
        <v/>
      </c>
      <c r="HJ310" s="62">
        <f>IF($B310=$B309,$HJ309,0)+$HI310</f>
        <v/>
      </c>
      <c r="HK310" s="62">
        <f>$HK309+$HI310</f>
        <v/>
      </c>
      <c r="HL310" s="62">
        <f>SUMIFS(tblSafety[FAI],tblSafety[Date],$A310)</f>
        <v/>
      </c>
      <c r="HM310" s="62">
        <f>IF($B310=$B309,$HM309,0)+$HL310</f>
        <v/>
      </c>
      <c r="HN310" s="62">
        <f>$HN309+$HL310</f>
        <v/>
      </c>
      <c r="HO310" s="62">
        <f>SUMIFS(tblSafety[Recordables],tblSafety[Date],$A310)</f>
        <v/>
      </c>
      <c r="HP310" s="62">
        <f>IF($B310=$B309,$HP309,0)+$HO310</f>
        <v/>
      </c>
      <c r="HQ310" s="62">
        <f>$HQ309+$HO310</f>
        <v/>
      </c>
      <c r="HR310" s="62">
        <f>SUMIFS(tblSafety[Near_Miss],tblSafety[Date],$A310)</f>
        <v/>
      </c>
      <c r="HS310" s="62">
        <f>IF($B310=$B309,$HS309,0)+$HR310</f>
        <v/>
      </c>
      <c r="HT310" s="62">
        <f>$HT309+$HR310</f>
        <v/>
      </c>
      <c r="HU310" s="62">
        <f>SUMIFS(tblSafety[Hazard_Reports],tblSafety[Date],$A310)</f>
        <v/>
      </c>
      <c r="HV310" s="62">
        <f>IF($B310=$B309,$HV309,0)+$HU310</f>
        <v/>
      </c>
      <c r="HW310" s="62">
        <f>$HW309+$HU310</f>
        <v/>
      </c>
      <c r="HX310" s="62">
        <f>SUMIFS(tblSafety[HPI],tblSafety[Date],$A310)</f>
        <v/>
      </c>
      <c r="HY310" s="62">
        <f>IF($B310=$B309,$HY309,0)+$HX310</f>
        <v/>
      </c>
      <c r="HZ310" s="62">
        <f>$HZ309+$HX310</f>
        <v/>
      </c>
      <c r="IA310" s="62">
        <f>SUMIFS(tblSafety[Env_Incidents],tblSafety[Date],$A310)</f>
        <v/>
      </c>
      <c r="IB310" s="62">
        <f>IF($B310=$B309,$IB309,0)+$IA310</f>
        <v/>
      </c>
      <c r="IC310" s="62">
        <f>$IC309+$IA310</f>
        <v/>
      </c>
      <c r="ID310" s="62">
        <f>SUMIFS(tblSafety[Community_Incidents],tblSafety[Date],$A310)</f>
        <v/>
      </c>
      <c r="IE310" s="62">
        <f>IF($B310=$B309,$IE309,0)+$ID310</f>
        <v/>
      </c>
      <c r="IF310" s="62">
        <f>$IF309+$ID310</f>
        <v/>
      </c>
      <c r="IG310" s="62">
        <f>SUMIFS(tblSafety[Vehicle_Incidents],tblSafety[Date],$A310)</f>
        <v/>
      </c>
      <c r="IH310" s="62">
        <f>IF($B310=$B309,$IH309,0)+$IG310</f>
        <v/>
      </c>
      <c r="II310" s="62">
        <f>$II309+$IG310</f>
        <v/>
      </c>
      <c r="IJ310" s="62">
        <f>SUMIFS(tblSafety[Toolbox_Talks],tblSafety[Date],$A310)</f>
        <v/>
      </c>
      <c r="IK310" s="62">
        <f>IF($B310=$B309,$IK309,0)+$IJ310</f>
        <v/>
      </c>
      <c r="IL310" s="62">
        <f>$IL309+$IJ310</f>
        <v/>
      </c>
      <c r="IM310" s="62">
        <f>SUMIFS(tblSafety[Inspections],tblSafety[Date],$A310)</f>
        <v/>
      </c>
      <c r="IN310" s="62">
        <f>IF($B310=$B309,$IN309,0)+$IM310</f>
        <v/>
      </c>
      <c r="IO310" s="62">
        <f>$IO309+$IM310</f>
        <v/>
      </c>
      <c r="IP310" s="56">
        <f>IFERROR((SUMIFS(tblSafety[Recordables],tblSafety[Date],"&gt;="&amp;EDATE($E310,-12),tblSafety[Date],"&lt;="&amp;$A310)+SUMIFS(tblSafetyHistory[Recordables],tblSafetyHistory[Month],"&gt;="&amp;EDATE($E310,-12),tblSafetyHistory[Month],"&lt;"&amp;$E310,tblSafetyHistory[Use],1))/(SUMIFS(tblSafety[Hours_Total],tblSafety[Date],"&gt;="&amp;EDATE($E310,-12),tblSafety[Date],"&lt;="&amp;$A310)+SUMIFS(tblSafetyHistory[Hours_Total],tblSafetyHistory[Month],"&gt;="&amp;EDATE($E310,-12),tblSafetyHistory[Month],"&lt;"&amp;$E310,tblSafetyHistory[Use],1))*cfg_RateBasisHours,"")</f>
        <v/>
      </c>
      <c r="IQ310" s="56">
        <f>IFERROR((SUMIFS(tblSafety[LTI],tblSafety[Date],"&gt;="&amp;EDATE($E310,-12),tblSafety[Date],"&lt;="&amp;$A310)+SUMIFS(tblSafetyHistory[LTI],tblSafetyHistory[Month],"&gt;="&amp;EDATE($E310,-12),tblSafetyHistory[Month],"&lt;"&amp;$E310,tblSafetyHistory[Use],1))/(SUMIFS(tblSafety[Hours_Total],tblSafety[Date],"&gt;="&amp;EDATE($E310,-12),tblSafety[Date],"&lt;="&amp;$A310)+SUMIFS(tblSafetyHistory[Hours_Total],tblSafetyHistory[Month],"&gt;="&amp;EDATE($E310,-12),tblSafetyHistory[Month],"&lt;"&amp;$E310,tblSafetyHistory[Use],1))*cfg_RateBasisHours,"")</f>
        <v/>
      </c>
      <c r="IR310" s="62">
        <f>IF(MAX(N(cfg_PriorLTIDate),_xlfn.MAXIFS(tblSafety[Date],tblSafety[LTI],"&gt;0",tblSafety[Date],"&lt;="&amp;$A310))=0,"",$A310-MAX(N(cfg_PriorLTIDate),_xlfn.MAXIFS(tblSafety[Date],tblSafety[LTI],"&gt;0",tblSafety[Date],"&lt;="&amp;$A310)))</f>
        <v/>
      </c>
      <c r="IS310" s="55">
        <f>SUMIFS(tblBudget[Ore_Mined_t],tblBudget[Month],$E310)</f>
        <v/>
      </c>
      <c r="IT310" s="55">
        <f>$IS310*$C310/$D310</f>
        <v/>
      </c>
      <c r="IU310" s="55">
        <f>SUMIFS(tblBudget[Ore_Mined_t],tblBudget[Month],"&lt;"&amp;$E310)+$IT310</f>
        <v/>
      </c>
      <c r="IV310" s="55">
        <f>SUMIFS(tblBudget[Ore_oz],tblBudget[Month],$E310)</f>
        <v/>
      </c>
      <c r="IW310" s="55">
        <f>$IV310*$C310/$D310</f>
        <v/>
      </c>
      <c r="IX310" s="55">
        <f>SUMIFS(tblBudget[Ore_oz],tblBudget[Month],"&lt;"&amp;$E310)+$IW310</f>
        <v/>
      </c>
      <c r="IY310" s="55">
        <f>SUMIFS(tblBudget[Ore_Mined_t],tblBudget[Month],$E310)</f>
        <v/>
      </c>
      <c r="IZ310" s="55">
        <f>$IY310*$C310/$D310</f>
        <v/>
      </c>
      <c r="JA310" s="55">
        <f>SUMIFS(tblBudget[Ore_Mined_t],tblBudget[Month],"&lt;"&amp;$E310)+$IZ310</f>
        <v/>
      </c>
      <c r="JB310" s="56">
        <f>IFERROR(IF(($IY310)&gt;0,($IV310*cfg_TroyOz)/($IY310),""),"")</f>
        <v/>
      </c>
      <c r="JC310" s="56">
        <f>IFERROR(IF(($IZ310)&gt;0,($IW310*cfg_TroyOz)/($IZ310),""),"")</f>
        <v/>
      </c>
      <c r="JD310" s="56">
        <f>IFERROR(IF(($JA310)&gt;0,($IX310*cfg_TroyOz)/($JA310),""),"")</f>
        <v/>
      </c>
      <c r="JE310" s="55">
        <f>SUMIFS(tblBudget[Waste_t],tblBudget[Month],$E310)</f>
        <v/>
      </c>
      <c r="JF310" s="55">
        <f>$JE310*$C310/$D310</f>
        <v/>
      </c>
      <c r="JG310" s="55">
        <f>SUMIFS(tblBudget[Waste_t],tblBudget[Month],"&lt;"&amp;$E310)+$JF310</f>
        <v/>
      </c>
      <c r="JH310" s="55">
        <f>SUMIFS(tblBudget[TMM_t],tblBudget[Month],$E310)</f>
        <v/>
      </c>
      <c r="JI310" s="55">
        <f>$JH310*$C310/$D310</f>
        <v/>
      </c>
      <c r="JJ310" s="55">
        <f>SUMIFS(tblBudget[TMM_t],tblBudget[Month],"&lt;"&amp;$E310)+$JI310</f>
        <v/>
      </c>
      <c r="JK310" s="56">
        <f>IFERROR(IF(($IS310)&gt;0,($JE310)/($IS310),""),"")</f>
        <v/>
      </c>
      <c r="JL310" s="56">
        <f>IFERROR(IF(($IT310)&gt;0,($JF310)/($IT310),""),"")</f>
        <v/>
      </c>
      <c r="JM310" s="56">
        <f>IFERROR(IF(($IU310)&gt;0,($JG310)/($IU310),""),"")</f>
        <v/>
      </c>
      <c r="JN310" s="55">
        <f>SUMIFS(tblBudget[Drill_m],tblBudget[Month],$E310)</f>
        <v/>
      </c>
      <c r="JO310" s="55">
        <f>$JN310*$C310/$D310</f>
        <v/>
      </c>
      <c r="JP310" s="55">
        <f>SUMIFS(tblBudget[Drill_m],tblBudget[Month],"&lt;"&amp;$E310)+$JO310</f>
        <v/>
      </c>
      <c r="JQ310" s="55">
        <f>SUMIFS(tblBudget[Diesel_L],tblBudget[Month],$E310)</f>
        <v/>
      </c>
      <c r="JR310" s="55">
        <f>$JQ310*$C310/$D310</f>
        <v/>
      </c>
      <c r="JS310" s="55">
        <f>SUMIFS(tblBudget[Diesel_L],tblBudget[Month],"&lt;"&amp;$E310)+$JR310</f>
        <v/>
      </c>
      <c r="JT310" s="55">
        <f>SUMIFS(tblBudget[Milled_t],tblBudget[Month],$E310)</f>
        <v/>
      </c>
      <c r="JU310" s="55">
        <f>$JT310*$C310/$D310</f>
        <v/>
      </c>
      <c r="JV310" s="55">
        <f>SUMIFS(tblBudget[Milled_t],tblBudget[Month],"&lt;"&amp;$E310)+$JU310</f>
        <v/>
      </c>
      <c r="JW310" s="55">
        <f>SUMIFS(tblBudget[Feed_oz],tblBudget[Month],$E310)</f>
        <v/>
      </c>
      <c r="JX310" s="55">
        <f>$JW310*$C310/$D310</f>
        <v/>
      </c>
      <c r="JY310" s="55">
        <f>SUMIFS(tblBudget[Feed_oz],tblBudget[Month],"&lt;"&amp;$E310)+$JX310</f>
        <v/>
      </c>
      <c r="JZ310" s="55">
        <f>SUMIFS(tblBudget[Recovered_oz],tblBudget[Month],$E310)</f>
        <v/>
      </c>
      <c r="KA310" s="55">
        <f>$JZ310*$C310/$D310</f>
        <v/>
      </c>
      <c r="KB310" s="55">
        <f>SUMIFS(tblBudget[Recovered_oz],tblBudget[Month],"&lt;"&amp;$E310)+$KA310</f>
        <v/>
      </c>
      <c r="KC310" s="55">
        <f>SUMIFS(tblBudget[Milled_t],tblBudget[Month],$E310)</f>
        <v/>
      </c>
      <c r="KD310" s="55">
        <f>$KC310*$C310/$D310</f>
        <v/>
      </c>
      <c r="KE310" s="55">
        <f>SUMIFS(tblBudget[Milled_t],tblBudget[Month],"&lt;"&amp;$E310)+$KD310</f>
        <v/>
      </c>
      <c r="KF310" s="55">
        <f>SUMIFS(tblBudget[Feed_oz],tblBudget[Month],$E310)</f>
        <v/>
      </c>
      <c r="KG310" s="55">
        <f>$KF310*$C310/$D310</f>
        <v/>
      </c>
      <c r="KH310" s="55">
        <f>SUMIFS(tblBudget[Feed_oz],tblBudget[Month],"&lt;"&amp;$E310)+$KG310</f>
        <v/>
      </c>
      <c r="KI310" s="56">
        <f>IFERROR(IF(($KC310)&gt;0,($JW310*cfg_TroyOz)/($KC310),""),"")</f>
        <v/>
      </c>
      <c r="KJ310" s="56">
        <f>IFERROR(IF(($KD310)&gt;0,($JX310*cfg_TroyOz)/($KD310),""),"")</f>
        <v/>
      </c>
      <c r="KK310" s="56">
        <f>IFERROR(IF(($KE310)&gt;0,($JY310*cfg_TroyOz)/($KE310),""),"")</f>
        <v/>
      </c>
      <c r="KL310" s="67">
        <f>IFERROR(IF(($KF310)&gt;0,($JZ310)/($KF310),""),"")</f>
        <v/>
      </c>
      <c r="KM310" s="67">
        <f>IFERROR(IF(($KG310)&gt;0,($KA310)/($KG310),""),"")</f>
        <v/>
      </c>
      <c r="KN310" s="67">
        <f>IFERROR(IF(($KH310)&gt;0,($KB310)/($KH310),""),"")</f>
        <v/>
      </c>
      <c r="KO310" s="55">
        <f>SUMIFS(tblBudget[Gold_Poured_oz],tblBudget[Month],$E310)</f>
        <v/>
      </c>
      <c r="KP310" s="55">
        <f>$KO310*$C310/$D310</f>
        <v/>
      </c>
      <c r="KQ310" s="55">
        <f>SUMIFS(tblBudget[Gold_Poured_oz],tblBudget[Month],"&lt;"&amp;$E310)+$KP310</f>
        <v/>
      </c>
      <c r="KR310" s="57">
        <f>SUMIFS(tblBudget[Hours_Worked],tblBudget[Month],$E310)</f>
        <v/>
      </c>
      <c r="KS310" s="57">
        <f>$KR310*$C310/$D310</f>
        <v/>
      </c>
      <c r="KT310" s="57">
        <f>SUMIFS(tblBudget[Hours_Worked],tblBudget[Month],"&lt;"&amp;$E310)+$KS310</f>
        <v/>
      </c>
    </row>
    <row r="311">
      <c r="A311" s="54" t="n">
        <v>46332</v>
      </c>
      <c r="B311">
        <f>MONTH($A311)</f>
        <v/>
      </c>
      <c r="C311">
        <f>DAY($A311)</f>
        <v/>
      </c>
      <c r="D311">
        <f>DAY(EOMONTH($A311,0))</f>
        <v/>
      </c>
      <c r="E311" s="54">
        <f>DATE(YEAR($A311),MONTH($A311),1)</f>
        <v/>
      </c>
      <c r="F311" s="55">
        <f>SUMIFS(tblMovement[Tonnes_t],tblMovement[Date],$A311,tblMovement[Is_Ore],1,tblMovement[Source_Type],"Pit")</f>
        <v/>
      </c>
      <c r="G311" s="55">
        <f>IF($B311=$B310,$G310,0)+$F311</f>
        <v/>
      </c>
      <c r="H311" s="55">
        <f>$H310+$F311</f>
        <v/>
      </c>
      <c r="I311" s="55">
        <f>SUMIFS(tblMovement[Ore_oz],tblMovement[Date],$A311,tblMovement[Source_Type],"Pit")</f>
        <v/>
      </c>
      <c r="J311" s="55">
        <f>IF($B311=$B310,$J310,0)+$I311</f>
        <v/>
      </c>
      <c r="K311" s="55">
        <f>$K310+$I311</f>
        <v/>
      </c>
      <c r="L311" s="55">
        <f>SUMIFS(tblMovement[Tonnes_t],tblMovement[Date],$A311,tblMovement[Is_Ore],1,tblMovement[Source_Type],"Pit",tblMovement[Grade_gpt],"&lt;&gt;")</f>
        <v/>
      </c>
      <c r="M311" s="55">
        <f>IF($B311=$B310,$M310,0)+$L311</f>
        <v/>
      </c>
      <c r="N311" s="55">
        <f>$N310+$L311</f>
        <v/>
      </c>
      <c r="O311" s="56">
        <f>IFERROR(IF(($L311)&gt;0,($I311*cfg_TroyOz)/($L311),""),"")</f>
        <v/>
      </c>
      <c r="P311" s="56">
        <f>IFERROR(IF(($M311)&gt;0,($J311*cfg_TroyOz)/($M311),""),"")</f>
        <v/>
      </c>
      <c r="Q311" s="56">
        <f>IFERROR(IF(($N311)&gt;0,($K311*cfg_TroyOz)/($N311),""),"")</f>
        <v/>
      </c>
      <c r="R311" s="55">
        <f>$F311-$L311</f>
        <v/>
      </c>
      <c r="S311" s="55">
        <f>IF($B311=$B310,$S310,0)+$R311</f>
        <v/>
      </c>
      <c r="T311" s="55">
        <f>$T310+$R311</f>
        <v/>
      </c>
      <c r="U311" s="55">
        <f>SUMIFS(tblMovement[Tonnes_t],tblMovement[Date],$A311,tblMovement[Is_Ore],0,tblMovement[Source_Type],"Pit")</f>
        <v/>
      </c>
      <c r="V311" s="55">
        <f>IF($B311=$B310,$V310,0)+$U311</f>
        <v/>
      </c>
      <c r="W311" s="55">
        <f>$W310+$U311</f>
        <v/>
      </c>
      <c r="X311" s="55">
        <f>$F311+$U311</f>
        <v/>
      </c>
      <c r="Y311" s="55">
        <f>IF($B311=$B310,$Y310,0)+$X311</f>
        <v/>
      </c>
      <c r="Z311" s="55">
        <f>$Z310+$X311</f>
        <v/>
      </c>
      <c r="AA311" s="56">
        <f>IFERROR(IF(($F311)&gt;0,($U311)/($F311),""),"")</f>
        <v/>
      </c>
      <c r="AB311" s="56">
        <f>IFERROR(IF(($G311)&gt;0,($V311)/($G311),""),"")</f>
        <v/>
      </c>
      <c r="AC311" s="56">
        <f>IFERROR(IF(($H311)&gt;0,($W311)/($H311),""),"")</f>
        <v/>
      </c>
      <c r="AD311" s="55">
        <f>SUMIFS(tblMovement[Tonnes_t],tblMovement[Date],$A311,tblMovement[Source_Type],"Stockpile")</f>
        <v/>
      </c>
      <c r="AE311" s="55">
        <f>IF($B311=$B310,$AE310,0)+$AD311</f>
        <v/>
      </c>
      <c r="AF311" s="55">
        <f>$AF310+$AD311</f>
        <v/>
      </c>
      <c r="AG311" s="55">
        <f>SUMIFS(tblMovement[Tonnes_t],tblMovement[Date],$A311)</f>
        <v/>
      </c>
      <c r="AH311" s="55">
        <f>IF($B311=$B310,$AH310,0)+$AG311</f>
        <v/>
      </c>
      <c r="AI311" s="55">
        <f>$AI310+$AG311</f>
        <v/>
      </c>
      <c r="AJ311" s="55">
        <f>$AG311-$X311-$AD311</f>
        <v/>
      </c>
      <c r="AK311" s="55">
        <f>IF($B311=$B310,$AK310,0)+$AJ311</f>
        <v/>
      </c>
      <c r="AL311" s="55">
        <f>$AL310+$AJ311</f>
        <v/>
      </c>
      <c r="AM311" s="55">
        <f>SUMIFS(tblMiningDaily[Drill_m],tblMiningDaily[Date],$A311)</f>
        <v/>
      </c>
      <c r="AN311" s="55">
        <f>IF($B311=$B310,$AN310,0)+$AM311</f>
        <v/>
      </c>
      <c r="AO311" s="55">
        <f>$AO310+$AM311</f>
        <v/>
      </c>
      <c r="AP311" s="55">
        <f>SUMIFS(tblMiningDaily[GC_Drill_m],tblMiningDaily[Date],$A311)</f>
        <v/>
      </c>
      <c r="AQ311" s="55">
        <f>IF($B311=$B310,$AQ310,0)+$AP311</f>
        <v/>
      </c>
      <c r="AR311" s="55">
        <f>$AR310+$AP311</f>
        <v/>
      </c>
      <c r="AS311" s="55">
        <f>SUMIFS(tblMiningDaily[Blast_t],tblMiningDaily[Date],$A311)</f>
        <v/>
      </c>
      <c r="AT311" s="55">
        <f>IF($B311=$B310,$AT310,0)+$AS311</f>
        <v/>
      </c>
      <c r="AU311" s="55">
        <f>$AU310+$AS311</f>
        <v/>
      </c>
      <c r="AV311" s="55">
        <f>SUMIFS(tblMiningDaily[Explosives_kg],tblMiningDaily[Date],$A311)</f>
        <v/>
      </c>
      <c r="AW311" s="55">
        <f>IF($B311=$B310,$AW310,0)+$AV311</f>
        <v/>
      </c>
      <c r="AX311" s="55">
        <f>$AX310+$AV311</f>
        <v/>
      </c>
      <c r="AY311" s="56">
        <f>IFERROR(IF(($AS311)&gt;0,($AV311)/($AS311),""),"")</f>
        <v/>
      </c>
      <c r="AZ311" s="56">
        <f>IFERROR(IF(($AT311)&gt;0,($AW311)/($AT311),""),"")</f>
        <v/>
      </c>
      <c r="BA311" s="56">
        <f>IFERROR(IF(($AU311)&gt;0,($AX311)/($AU311),""),"")</f>
        <v/>
      </c>
      <c r="BB311" s="55">
        <f>SUMIFS(tblMiningDaily[Diesel_L],tblMiningDaily[Date],$A311)</f>
        <v/>
      </c>
      <c r="BC311" s="55">
        <f>IF($B311=$B310,$BC310,0)+$BB311</f>
        <v/>
      </c>
      <c r="BD311" s="55">
        <f>$BD310+$BB311</f>
        <v/>
      </c>
      <c r="BE311" s="55">
        <f>SUMIFS(tblMiningDaily[Dewatering_m3],tblMiningDaily[Date],$A311)</f>
        <v/>
      </c>
      <c r="BF311" s="55">
        <f>IF($B311=$B310,$BF310,0)+$BE311</f>
        <v/>
      </c>
      <c r="BG311" s="55">
        <f>$BG310+$BE311</f>
        <v/>
      </c>
      <c r="BH311" s="57">
        <f>SUMIFS(tblFleet[Calendar_h],tblFleet[Date],$A311,tblFleet[Equipment_Class],"Excavator")</f>
        <v/>
      </c>
      <c r="BI311" s="57">
        <f>IF($B311=$B310,$BI310,0)+$BH311</f>
        <v/>
      </c>
      <c r="BJ311" s="57">
        <f>$BJ310+$BH311</f>
        <v/>
      </c>
      <c r="BK311" s="57">
        <f>SUMIFS(tblFleet[Available_h],tblFleet[Date],$A311,tblFleet[Equipment_Class],"Excavator")</f>
        <v/>
      </c>
      <c r="BL311" s="57">
        <f>IF($B311=$B310,$BL310,0)+$BK311</f>
        <v/>
      </c>
      <c r="BM311" s="57">
        <f>$BM310+$BK311</f>
        <v/>
      </c>
      <c r="BN311" s="57">
        <f>SUMIFS(tblFleet[Operating_h],tblFleet[Date],$A311,tblFleet[Equipment_Class],"Excavator")</f>
        <v/>
      </c>
      <c r="BO311" s="57">
        <f>IF($B311=$B310,$BO310,0)+$BN311</f>
        <v/>
      </c>
      <c r="BP311" s="57">
        <f>$BP310+$BN311</f>
        <v/>
      </c>
      <c r="BQ311" s="67">
        <f>IFERROR(IF(($BH311)&gt;0,($BK311)/($BH311),""),"")</f>
        <v/>
      </c>
      <c r="BR311" s="67">
        <f>IFERROR(IF(($BI311)&gt;0,($BL311)/($BI311),""),"")</f>
        <v/>
      </c>
      <c r="BS311" s="67">
        <f>IFERROR(IF(($BJ311)&gt;0,($BM311)/($BJ311),""),"")</f>
        <v/>
      </c>
      <c r="BT311" s="67">
        <f>IFERROR(IF(($BK311)&gt;0,($BN311)/($BK311),""),"")</f>
        <v/>
      </c>
      <c r="BU311" s="67">
        <f>IFERROR(IF(($BL311)&gt;0,($BO311)/($BL311),""),"")</f>
        <v/>
      </c>
      <c r="BV311" s="67">
        <f>IFERROR(IF(($BM311)&gt;0,($BP311)/($BM311),""),"")</f>
        <v/>
      </c>
      <c r="BW311" s="57">
        <f>SUMIFS(tblFleet[Calendar_h],tblFleet[Date],$A311,tblFleet[Equipment_Class],"Haul Truck")</f>
        <v/>
      </c>
      <c r="BX311" s="57">
        <f>IF($B311=$B310,$BX310,0)+$BW311</f>
        <v/>
      </c>
      <c r="BY311" s="57">
        <f>$BY310+$BW311</f>
        <v/>
      </c>
      <c r="BZ311" s="57">
        <f>SUMIFS(tblFleet[Available_h],tblFleet[Date],$A311,tblFleet[Equipment_Class],"Haul Truck")</f>
        <v/>
      </c>
      <c r="CA311" s="57">
        <f>IF($B311=$B310,$CA310,0)+$BZ311</f>
        <v/>
      </c>
      <c r="CB311" s="57">
        <f>$CB310+$BZ311</f>
        <v/>
      </c>
      <c r="CC311" s="57">
        <f>SUMIFS(tblFleet[Operating_h],tblFleet[Date],$A311,tblFleet[Equipment_Class],"Haul Truck")</f>
        <v/>
      </c>
      <c r="CD311" s="57">
        <f>IF($B311=$B310,$CD310,0)+$CC311</f>
        <v/>
      </c>
      <c r="CE311" s="57">
        <f>$CE310+$CC311</f>
        <v/>
      </c>
      <c r="CF311" s="67">
        <f>IFERROR(IF(($BW311)&gt;0,($BZ311)/($BW311),""),"")</f>
        <v/>
      </c>
      <c r="CG311" s="67">
        <f>IFERROR(IF(($BX311)&gt;0,($CA311)/($BX311),""),"")</f>
        <v/>
      </c>
      <c r="CH311" s="67">
        <f>IFERROR(IF(($BY311)&gt;0,($CB311)/($BY311),""),"")</f>
        <v/>
      </c>
      <c r="CI311" s="67">
        <f>IFERROR(IF(($BZ311)&gt;0,($CC311)/($BZ311),""),"")</f>
        <v/>
      </c>
      <c r="CJ311" s="67">
        <f>IFERROR(IF(($CA311)&gt;0,($CD311)/($CA311),""),"")</f>
        <v/>
      </c>
      <c r="CK311" s="67">
        <f>IFERROR(IF(($CB311)&gt;0,($CE311)/($CB311),""),"")</f>
        <v/>
      </c>
      <c r="CL311" s="55">
        <f>IFERROR(IF(($BN311)&gt;0,($X311+$AD311)/($BN311),""),"")</f>
        <v/>
      </c>
      <c r="CM311" s="55">
        <f>IFERROR(IF(($BO311)&gt;0,($Y311+$AE311)/($BO311),""),"")</f>
        <v/>
      </c>
      <c r="CN311" s="55">
        <f>IFERROR(IF(($BP311)&gt;0,($Z311+$AF311)/($BP311),""),"")</f>
        <v/>
      </c>
      <c r="CO311" s="55">
        <f>IFERROR(IF(($CC311)&gt;0,($X311+$AD311)/($CC311),""),"")</f>
        <v/>
      </c>
      <c r="CP311" s="55">
        <f>IFERROR(IF(($CD311)&gt;0,($Y311+$AE311)/($CD311),""),"")</f>
        <v/>
      </c>
      <c r="CQ311" s="55">
        <f>IFERROR(IF(($CE311)&gt;0,($Z311+$AF311)/($CE311),""),"")</f>
        <v/>
      </c>
      <c r="CR311" s="55">
        <f>SUMIFS(tblPlant[Crushed_t],tblPlant[Date],$A311)</f>
        <v/>
      </c>
      <c r="CS311" s="55">
        <f>IF($B311=$B310,$CS310,0)+$CR311</f>
        <v/>
      </c>
      <c r="CT311" s="55">
        <f>$CT310+$CR311</f>
        <v/>
      </c>
      <c r="CU311" s="55">
        <f>SUMIFS(tblPlant[Milled_t],tblPlant[Date],$A311)</f>
        <v/>
      </c>
      <c r="CV311" s="55">
        <f>IF($B311=$B310,$CV310,0)+$CU311</f>
        <v/>
      </c>
      <c r="CW311" s="55">
        <f>$CW310+$CU311</f>
        <v/>
      </c>
      <c r="CX311" s="55">
        <f>SUMIFS(tblPlant[Feed_oz],tblPlant[Date],$A311)</f>
        <v/>
      </c>
      <c r="CY311" s="55">
        <f>IF($B311=$B310,$CY310,0)+$CX311</f>
        <v/>
      </c>
      <c r="CZ311" s="55">
        <f>$CZ310+$CX311</f>
        <v/>
      </c>
      <c r="DA311" s="55">
        <f>SUMIFS(tblPlant[Tails_oz],tblPlant[Date],$A311)</f>
        <v/>
      </c>
      <c r="DB311" s="55">
        <f>IF($B311=$B310,$DB310,0)+$DA311</f>
        <v/>
      </c>
      <c r="DC311" s="55">
        <f>$DC310+$DA311</f>
        <v/>
      </c>
      <c r="DD311" s="55">
        <f>SUMIFS(tblPlant[Recovered_oz],tblPlant[Date],$A311)</f>
        <v/>
      </c>
      <c r="DE311" s="55">
        <f>IF($B311=$B310,$DE310,0)+$DD311</f>
        <v/>
      </c>
      <c r="DF311" s="55">
        <f>$DF310+$DD311</f>
        <v/>
      </c>
      <c r="DG311" s="55">
        <f>SUMIFS(tblPlant[Milled_t],tblPlant[Date],$A311,tblPlant[Head_Grade_gpt],"&lt;&gt;")</f>
        <v/>
      </c>
      <c r="DH311" s="55">
        <f>IF($B311=$B310,$DH310,0)+$DG311</f>
        <v/>
      </c>
      <c r="DI311" s="55">
        <f>$DI310+$DG311</f>
        <v/>
      </c>
      <c r="DJ311" s="55">
        <f>SUMIFS(tblPlant[Milled_t],tblPlant[Date],$A311,tblPlant[Tails_Grade_gpt],"&lt;&gt;")</f>
        <v/>
      </c>
      <c r="DK311" s="55">
        <f>IF($B311=$B310,$DK310,0)+$DJ311</f>
        <v/>
      </c>
      <c r="DL311" s="55">
        <f>$DL310+$DJ311</f>
        <v/>
      </c>
      <c r="DM311" s="55">
        <f>SUMIFS(tblPlant[Feed_oz],tblPlant[Date],$A311,tblPlant[Tails_Grade_gpt],"&lt;&gt;")</f>
        <v/>
      </c>
      <c r="DN311" s="55">
        <f>IF($B311=$B310,$DN310,0)+$DM311</f>
        <v/>
      </c>
      <c r="DO311" s="55">
        <f>$DO310+$DM311</f>
        <v/>
      </c>
      <c r="DP311" s="55">
        <f>SUMIFS(tblPlant[Milled_t],tblPlant[Date],$A311,tblPlant[Mill_Run_h],"&lt;&gt;")</f>
        <v/>
      </c>
      <c r="DQ311" s="55">
        <f>IF($B311=$B310,$DQ310,0)+$DP311</f>
        <v/>
      </c>
      <c r="DR311" s="55">
        <f>$DR310+$DP311</f>
        <v/>
      </c>
      <c r="DS311" s="56">
        <f>IFERROR(IF(($DG311)&gt;0,($CX311*cfg_TroyOz)/($DG311),""),"")</f>
        <v/>
      </c>
      <c r="DT311" s="56">
        <f>IFERROR(IF(($DH311)&gt;0,($CY311*cfg_TroyOz)/($DH311),""),"")</f>
        <v/>
      </c>
      <c r="DU311" s="56">
        <f>IFERROR(IF(($DI311)&gt;0,($CZ311*cfg_TroyOz)/($DI311),""),"")</f>
        <v/>
      </c>
      <c r="DV311" s="56">
        <f>IFERROR(IF(($DJ311)&gt;0,($DA311*cfg_TroyOz)/($DJ311),""),"")</f>
        <v/>
      </c>
      <c r="DW311" s="56">
        <f>IFERROR(IF(($DK311)&gt;0,($DB311*cfg_TroyOz)/($DK311),""),"")</f>
        <v/>
      </c>
      <c r="DX311" s="56">
        <f>IFERROR(IF(($DL311)&gt;0,($DC311*cfg_TroyOz)/($DL311),""),"")</f>
        <v/>
      </c>
      <c r="DY311" s="67">
        <f>IFERROR(IF(($DM311)&gt;0,($DD311)/($DM311),""),"")</f>
        <v/>
      </c>
      <c r="DZ311" s="67">
        <f>IFERROR(IF(($DN311)&gt;0,($DE311)/($DN311),""),"")</f>
        <v/>
      </c>
      <c r="EA311" s="67">
        <f>IFERROR(IF(($DO311)&gt;0,($DF311)/($DO311),""),"")</f>
        <v/>
      </c>
      <c r="EB311" s="55">
        <f>SUMIFS(tblPlant[Gravity_Gold_oz],tblPlant[Date],$A311)</f>
        <v/>
      </c>
      <c r="EC311" s="55">
        <f>IF($B311=$B310,$EC310,0)+$EB311</f>
        <v/>
      </c>
      <c r="ED311" s="55">
        <f>$ED310+$EB311</f>
        <v/>
      </c>
      <c r="EE311" s="67">
        <f>IFERROR(IF(($DD311)&gt;0,($EB311)/($DD311),""),"")</f>
        <v/>
      </c>
      <c r="EF311" s="67">
        <f>IFERROR(IF(($DE311)&gt;0,($EC311)/($DE311),""),"")</f>
        <v/>
      </c>
      <c r="EG311" s="67">
        <f>IFERROR(IF(($DF311)&gt;0,($ED311)/($DF311),""),"")</f>
        <v/>
      </c>
      <c r="EH311" s="55">
        <f>SUMIFS(tblPlant[Gold_Poured_oz],tblPlant[Date],$A311)</f>
        <v/>
      </c>
      <c r="EI311" s="55">
        <f>IF($B311=$B310,$EI310,0)+$EH311</f>
        <v/>
      </c>
      <c r="EJ311" s="55">
        <f>$EJ310+$EH311</f>
        <v/>
      </c>
      <c r="EK311" s="57">
        <f>SUMIFS(tblPlant[Mill_Run_h],tblPlant[Date],$A311)</f>
        <v/>
      </c>
      <c r="EL311" s="57">
        <f>IF($B311=$B310,$EL310,0)+$EK311</f>
        <v/>
      </c>
      <c r="EM311" s="57">
        <f>$EM310+$EK311</f>
        <v/>
      </c>
      <c r="EN311" s="57">
        <f>SUMIFS(tblPlant[Mill_Planned_Maint_h],tblPlant[Date],$A311)</f>
        <v/>
      </c>
      <c r="EO311" s="57">
        <f>IF($B311=$B310,$EO310,0)+$EN311</f>
        <v/>
      </c>
      <c r="EP311" s="57">
        <f>$EP310+$EN311</f>
        <v/>
      </c>
      <c r="EQ311" s="57">
        <f>SUMIFS(tblPlant[Mill_Unplanned_Down_h],tblPlant[Date],$A311)</f>
        <v/>
      </c>
      <c r="ER311" s="57">
        <f>IF($B311=$B310,$ER310,0)+$EQ311</f>
        <v/>
      </c>
      <c r="ES311" s="57">
        <f>$ES310+$EQ311</f>
        <v/>
      </c>
      <c r="ET311" s="57">
        <f>IF(COUNTIFS(tblPlant[Date],$A311,tblPlant[Mill_Run_h],"&lt;&gt;")+COUNTIFS(tblPlant[Date],$A311,tblPlant[Mill_Planned_Maint_h],"&lt;&gt;")+COUNTIFS(tblPlant[Date],$A311,tblPlant[Mill_Unplanned_Down_h],"&lt;&gt;")&gt;0,cfg_HoursPerDay,0)</f>
        <v/>
      </c>
      <c r="EU311" s="57">
        <f>IF($B311=$B310,$EU310,0)+$ET311</f>
        <v/>
      </c>
      <c r="EV311" s="57">
        <f>$EV310+$ET311</f>
        <v/>
      </c>
      <c r="EW311" s="57">
        <f>SUMIFS(tblPlant[Crusher_Run_h],tblPlant[Date],$A311)</f>
        <v/>
      </c>
      <c r="EX311" s="57">
        <f>IF($B311=$B310,$EX310,0)+$EW311</f>
        <v/>
      </c>
      <c r="EY311" s="57">
        <f>$EY310+$EW311</f>
        <v/>
      </c>
      <c r="EZ311" s="55">
        <f>IFERROR(IF(($EK311)&gt;0,($DP311)/($EK311),""),"")</f>
        <v/>
      </c>
      <c r="FA311" s="55">
        <f>IFERROR(IF(($EL311)&gt;0,($DQ311)/($EL311),""),"")</f>
        <v/>
      </c>
      <c r="FB311" s="55">
        <f>IFERROR(IF(($EM311)&gt;0,($DR311)/($EM311),""),"")</f>
        <v/>
      </c>
      <c r="FC311" s="67">
        <f>IFERROR(IF(($ET311)&gt;0,($ET311-$EN311-$EQ311)/($ET311),""),"")</f>
        <v/>
      </c>
      <c r="FD311" s="67">
        <f>IFERROR(IF(($EU311)&gt;0,($EU311-$EO311-$ER311)/($EU311),""),"")</f>
        <v/>
      </c>
      <c r="FE311" s="67">
        <f>IFERROR(IF(($EV311)&gt;0,($EV311-$EP311-$ES311)/($EV311),""),"")</f>
        <v/>
      </c>
      <c r="FF311" s="67">
        <f>IFERROR(IF(($ET311-$EN311-$EQ311)&gt;0,($EK311)/($ET311-$EN311-$EQ311),""),"")</f>
        <v/>
      </c>
      <c r="FG311" s="67">
        <f>IFERROR(IF(($EU311-$EO311-$ER311)&gt;0,($EL311)/($EU311-$EO311-$ER311),""),"")</f>
        <v/>
      </c>
      <c r="FH311" s="67">
        <f>IFERROR(IF(($EV311-$EP311-$ES311)&gt;0,($EM311)/($EV311-$EP311-$ES311),""),"")</f>
        <v/>
      </c>
      <c r="FI311" s="55">
        <f>SUMIFS(tblPlant[Cyanide_kg],tblPlant[Date],$A311)</f>
        <v/>
      </c>
      <c r="FJ311" s="55">
        <f>IF($B311=$B310,$FJ310,0)+$FI311</f>
        <v/>
      </c>
      <c r="FK311" s="55">
        <f>$FK310+$FI311</f>
        <v/>
      </c>
      <c r="FL311" s="55">
        <f>SUMIFS(tblPlant[Lime_kg],tblPlant[Date],$A311)</f>
        <v/>
      </c>
      <c r="FM311" s="55">
        <f>IF($B311=$B310,$FM310,0)+$FL311</f>
        <v/>
      </c>
      <c r="FN311" s="55">
        <f>$FN310+$FL311</f>
        <v/>
      </c>
      <c r="FO311" s="55">
        <f>SUMIFS(tblPlant[Grinding_Media_kg],tblPlant[Date],$A311)</f>
        <v/>
      </c>
      <c r="FP311" s="55">
        <f>IF($B311=$B310,$FP310,0)+$FO311</f>
        <v/>
      </c>
      <c r="FQ311" s="55">
        <f>$FQ310+$FO311</f>
        <v/>
      </c>
      <c r="FR311" s="55">
        <f>SUMIFS(tblPlant[Power_kWh],tblPlant[Date],$A311)</f>
        <v/>
      </c>
      <c r="FS311" s="55">
        <f>IF($B311=$B310,$FS310,0)+$FR311</f>
        <v/>
      </c>
      <c r="FT311" s="55">
        <f>$FT310+$FR311</f>
        <v/>
      </c>
      <c r="FU311" s="55">
        <f>SUMIFS(tblPlant[Raw_Water_m3],tblPlant[Date],$A311)</f>
        <v/>
      </c>
      <c r="FV311" s="55">
        <f>IF($B311=$B310,$FV310,0)+$FU311</f>
        <v/>
      </c>
      <c r="FW311" s="55">
        <f>$FW310+$FU311</f>
        <v/>
      </c>
      <c r="FX311" s="56">
        <f>IFERROR(IF(($CU311)&gt;0,($FI311)/($CU311),""),"")</f>
        <v/>
      </c>
      <c r="FY311" s="56">
        <f>IFERROR(IF(($CV311)&gt;0,($FJ311)/($CV311),""),"")</f>
        <v/>
      </c>
      <c r="FZ311" s="56">
        <f>IFERROR(IF(($CW311)&gt;0,($FK311)/($CW311),""),"")</f>
        <v/>
      </c>
      <c r="GA311" s="56">
        <f>IFERROR(IF(($CU311)&gt;0,($FL311)/($CU311),""),"")</f>
        <v/>
      </c>
      <c r="GB311" s="56">
        <f>IFERROR(IF(($CV311)&gt;0,($FM311)/($CV311),""),"")</f>
        <v/>
      </c>
      <c r="GC311" s="56">
        <f>IFERROR(IF(($CW311)&gt;0,($FN311)/($CW311),""),"")</f>
        <v/>
      </c>
      <c r="GD311" s="56">
        <f>IFERROR(IF(($CU311)&gt;0,($FO311)/($CU311),""),"")</f>
        <v/>
      </c>
      <c r="GE311" s="56">
        <f>IFERROR(IF(($CV311)&gt;0,($FP311)/($CV311),""),"")</f>
        <v/>
      </c>
      <c r="GF311" s="56">
        <f>IFERROR(IF(($CW311)&gt;0,($FQ311)/($CW311),""),"")</f>
        <v/>
      </c>
      <c r="GG311" s="79">
        <f>IFERROR(IF(($CU311)&gt;0,($FR311)/($CU311),""),"")</f>
        <v/>
      </c>
      <c r="GH311" s="79">
        <f>IFERROR(IF(($CV311)&gt;0,($FS311)/($CV311),""),"")</f>
        <v/>
      </c>
      <c r="GI311" s="79">
        <f>IFERROR(IF(($CW311)&gt;0,($FT311)/($CW311),""),"")</f>
        <v/>
      </c>
      <c r="GJ311" s="56">
        <f>IFERROR(IF(($CU311)&gt;0,($FU311)/($CU311),""),"")</f>
        <v/>
      </c>
      <c r="GK311" s="56">
        <f>IFERROR(IF(($CV311)&gt;0,($FV311)/($CV311),""),"")</f>
        <v/>
      </c>
      <c r="GL311" s="56">
        <f>IFERROR(IF(($CW311)&gt;0,($FW311)/($CW311),""),"")</f>
        <v/>
      </c>
      <c r="GM311" s="55">
        <f>IF(SUMIFS(tblPlant[GIC_oz],tblPlant[Date],$A311)&gt;0,SUMIFS(tblPlant[GIC_oz],tblPlant[Date],$A311),"")</f>
        <v/>
      </c>
      <c r="GN311" s="55">
        <f>SUMIFS(tblGold[Gold_oz],tblGold[Date],$A311,tblGold[Type],"Shipment")</f>
        <v/>
      </c>
      <c r="GO311" s="55">
        <f>IF($B311=$B310,$GO310,0)+$GN311</f>
        <v/>
      </c>
      <c r="GP311" s="55">
        <f>$GP310+$GN311</f>
        <v/>
      </c>
      <c r="GQ311" s="55">
        <f>SUMIFS(tblGold[Gold_oz],tblGold[Date],$A311,tblGold[Type],"Sale")</f>
        <v/>
      </c>
      <c r="GR311" s="55">
        <f>IF($B311=$B310,$GR310,0)+$GQ311</f>
        <v/>
      </c>
      <c r="GS311" s="55">
        <f>$GS310+$GQ311</f>
        <v/>
      </c>
      <c r="GT311" s="55">
        <f>SUMIFS(tblGold[Dore_kg],tblGold[Date],$A311,tblGold[Type],"Shipment")</f>
        <v/>
      </c>
      <c r="GU311" s="55">
        <f>IF($B311=$B310,$GU310,0)+$GT311</f>
        <v/>
      </c>
      <c r="GV311" s="55">
        <f>$GV310+$GT311</f>
        <v/>
      </c>
      <c r="GW311" s="57">
        <f>SUMIFS(tblSafety[Hours_Total],tblSafety[Date],$A311)</f>
        <v/>
      </c>
      <c r="GX311" s="57">
        <f>IF($B311=$B310,$GX310,0)+$GW311</f>
        <v/>
      </c>
      <c r="GY311" s="57">
        <f>$GY310+$GW311</f>
        <v/>
      </c>
      <c r="GZ311" s="62">
        <f>SUMIFS(tblSafety[Fatality],tblSafety[Date],$A311)</f>
        <v/>
      </c>
      <c r="HA311" s="62">
        <f>IF($B311=$B310,$HA310,0)+$GZ311</f>
        <v/>
      </c>
      <c r="HB311" s="62">
        <f>$HB310+$GZ311</f>
        <v/>
      </c>
      <c r="HC311" s="62">
        <f>SUMIFS(tblSafety[LTI],tblSafety[Date],$A311)</f>
        <v/>
      </c>
      <c r="HD311" s="62">
        <f>IF($B311=$B310,$HD310,0)+$HC311</f>
        <v/>
      </c>
      <c r="HE311" s="62">
        <f>$HE310+$HC311</f>
        <v/>
      </c>
      <c r="HF311" s="62">
        <f>SUMIFS(tblSafety[RWI],tblSafety[Date],$A311)</f>
        <v/>
      </c>
      <c r="HG311" s="62">
        <f>IF($B311=$B310,$HG310,0)+$HF311</f>
        <v/>
      </c>
      <c r="HH311" s="62">
        <f>$HH310+$HF311</f>
        <v/>
      </c>
      <c r="HI311" s="62">
        <f>SUMIFS(tblSafety[MTI],tblSafety[Date],$A311)</f>
        <v/>
      </c>
      <c r="HJ311" s="62">
        <f>IF($B311=$B310,$HJ310,0)+$HI311</f>
        <v/>
      </c>
      <c r="HK311" s="62">
        <f>$HK310+$HI311</f>
        <v/>
      </c>
      <c r="HL311" s="62">
        <f>SUMIFS(tblSafety[FAI],tblSafety[Date],$A311)</f>
        <v/>
      </c>
      <c r="HM311" s="62">
        <f>IF($B311=$B310,$HM310,0)+$HL311</f>
        <v/>
      </c>
      <c r="HN311" s="62">
        <f>$HN310+$HL311</f>
        <v/>
      </c>
      <c r="HO311" s="62">
        <f>SUMIFS(tblSafety[Recordables],tblSafety[Date],$A311)</f>
        <v/>
      </c>
      <c r="HP311" s="62">
        <f>IF($B311=$B310,$HP310,0)+$HO311</f>
        <v/>
      </c>
      <c r="HQ311" s="62">
        <f>$HQ310+$HO311</f>
        <v/>
      </c>
      <c r="HR311" s="62">
        <f>SUMIFS(tblSafety[Near_Miss],tblSafety[Date],$A311)</f>
        <v/>
      </c>
      <c r="HS311" s="62">
        <f>IF($B311=$B310,$HS310,0)+$HR311</f>
        <v/>
      </c>
      <c r="HT311" s="62">
        <f>$HT310+$HR311</f>
        <v/>
      </c>
      <c r="HU311" s="62">
        <f>SUMIFS(tblSafety[Hazard_Reports],tblSafety[Date],$A311)</f>
        <v/>
      </c>
      <c r="HV311" s="62">
        <f>IF($B311=$B310,$HV310,0)+$HU311</f>
        <v/>
      </c>
      <c r="HW311" s="62">
        <f>$HW310+$HU311</f>
        <v/>
      </c>
      <c r="HX311" s="62">
        <f>SUMIFS(tblSafety[HPI],tblSafety[Date],$A311)</f>
        <v/>
      </c>
      <c r="HY311" s="62">
        <f>IF($B311=$B310,$HY310,0)+$HX311</f>
        <v/>
      </c>
      <c r="HZ311" s="62">
        <f>$HZ310+$HX311</f>
        <v/>
      </c>
      <c r="IA311" s="62">
        <f>SUMIFS(tblSafety[Env_Incidents],tblSafety[Date],$A311)</f>
        <v/>
      </c>
      <c r="IB311" s="62">
        <f>IF($B311=$B310,$IB310,0)+$IA311</f>
        <v/>
      </c>
      <c r="IC311" s="62">
        <f>$IC310+$IA311</f>
        <v/>
      </c>
      <c r="ID311" s="62">
        <f>SUMIFS(tblSafety[Community_Incidents],tblSafety[Date],$A311)</f>
        <v/>
      </c>
      <c r="IE311" s="62">
        <f>IF($B311=$B310,$IE310,0)+$ID311</f>
        <v/>
      </c>
      <c r="IF311" s="62">
        <f>$IF310+$ID311</f>
        <v/>
      </c>
      <c r="IG311" s="62">
        <f>SUMIFS(tblSafety[Vehicle_Incidents],tblSafety[Date],$A311)</f>
        <v/>
      </c>
      <c r="IH311" s="62">
        <f>IF($B311=$B310,$IH310,0)+$IG311</f>
        <v/>
      </c>
      <c r="II311" s="62">
        <f>$II310+$IG311</f>
        <v/>
      </c>
      <c r="IJ311" s="62">
        <f>SUMIFS(tblSafety[Toolbox_Talks],tblSafety[Date],$A311)</f>
        <v/>
      </c>
      <c r="IK311" s="62">
        <f>IF($B311=$B310,$IK310,0)+$IJ311</f>
        <v/>
      </c>
      <c r="IL311" s="62">
        <f>$IL310+$IJ311</f>
        <v/>
      </c>
      <c r="IM311" s="62">
        <f>SUMIFS(tblSafety[Inspections],tblSafety[Date],$A311)</f>
        <v/>
      </c>
      <c r="IN311" s="62">
        <f>IF($B311=$B310,$IN310,0)+$IM311</f>
        <v/>
      </c>
      <c r="IO311" s="62">
        <f>$IO310+$IM311</f>
        <v/>
      </c>
      <c r="IP311" s="56">
        <f>IFERROR((SUMIFS(tblSafety[Recordables],tblSafety[Date],"&gt;="&amp;EDATE($E311,-12),tblSafety[Date],"&lt;="&amp;$A311)+SUMIFS(tblSafetyHistory[Recordables],tblSafetyHistory[Month],"&gt;="&amp;EDATE($E311,-12),tblSafetyHistory[Month],"&lt;"&amp;$E311,tblSafetyHistory[Use],1))/(SUMIFS(tblSafety[Hours_Total],tblSafety[Date],"&gt;="&amp;EDATE($E311,-12),tblSafety[Date],"&lt;="&amp;$A311)+SUMIFS(tblSafetyHistory[Hours_Total],tblSafetyHistory[Month],"&gt;="&amp;EDATE($E311,-12),tblSafetyHistory[Month],"&lt;"&amp;$E311,tblSafetyHistory[Use],1))*cfg_RateBasisHours,"")</f>
        <v/>
      </c>
      <c r="IQ311" s="56">
        <f>IFERROR((SUMIFS(tblSafety[LTI],tblSafety[Date],"&gt;="&amp;EDATE($E311,-12),tblSafety[Date],"&lt;="&amp;$A311)+SUMIFS(tblSafetyHistory[LTI],tblSafetyHistory[Month],"&gt;="&amp;EDATE($E311,-12),tblSafetyHistory[Month],"&lt;"&amp;$E311,tblSafetyHistory[Use],1))/(SUMIFS(tblSafety[Hours_Total],tblSafety[Date],"&gt;="&amp;EDATE($E311,-12),tblSafety[Date],"&lt;="&amp;$A311)+SUMIFS(tblSafetyHistory[Hours_Total],tblSafetyHistory[Month],"&gt;="&amp;EDATE($E311,-12),tblSafetyHistory[Month],"&lt;"&amp;$E311,tblSafetyHistory[Use],1))*cfg_RateBasisHours,"")</f>
        <v/>
      </c>
      <c r="IR311" s="62">
        <f>IF(MAX(N(cfg_PriorLTIDate),_xlfn.MAXIFS(tblSafety[Date],tblSafety[LTI],"&gt;0",tblSafety[Date],"&lt;="&amp;$A311))=0,"",$A311-MAX(N(cfg_PriorLTIDate),_xlfn.MAXIFS(tblSafety[Date],tblSafety[LTI],"&gt;0",tblSafety[Date],"&lt;="&amp;$A311)))</f>
        <v/>
      </c>
      <c r="IS311" s="55">
        <f>SUMIFS(tblBudget[Ore_Mined_t],tblBudget[Month],$E311)</f>
        <v/>
      </c>
      <c r="IT311" s="55">
        <f>$IS311*$C311/$D311</f>
        <v/>
      </c>
      <c r="IU311" s="55">
        <f>SUMIFS(tblBudget[Ore_Mined_t],tblBudget[Month],"&lt;"&amp;$E311)+$IT311</f>
        <v/>
      </c>
      <c r="IV311" s="55">
        <f>SUMIFS(tblBudget[Ore_oz],tblBudget[Month],$E311)</f>
        <v/>
      </c>
      <c r="IW311" s="55">
        <f>$IV311*$C311/$D311</f>
        <v/>
      </c>
      <c r="IX311" s="55">
        <f>SUMIFS(tblBudget[Ore_oz],tblBudget[Month],"&lt;"&amp;$E311)+$IW311</f>
        <v/>
      </c>
      <c r="IY311" s="55">
        <f>SUMIFS(tblBudget[Ore_Mined_t],tblBudget[Month],$E311)</f>
        <v/>
      </c>
      <c r="IZ311" s="55">
        <f>$IY311*$C311/$D311</f>
        <v/>
      </c>
      <c r="JA311" s="55">
        <f>SUMIFS(tblBudget[Ore_Mined_t],tblBudget[Month],"&lt;"&amp;$E311)+$IZ311</f>
        <v/>
      </c>
      <c r="JB311" s="56">
        <f>IFERROR(IF(($IY311)&gt;0,($IV311*cfg_TroyOz)/($IY311),""),"")</f>
        <v/>
      </c>
      <c r="JC311" s="56">
        <f>IFERROR(IF(($IZ311)&gt;0,($IW311*cfg_TroyOz)/($IZ311),""),"")</f>
        <v/>
      </c>
      <c r="JD311" s="56">
        <f>IFERROR(IF(($JA311)&gt;0,($IX311*cfg_TroyOz)/($JA311),""),"")</f>
        <v/>
      </c>
      <c r="JE311" s="55">
        <f>SUMIFS(tblBudget[Waste_t],tblBudget[Month],$E311)</f>
        <v/>
      </c>
      <c r="JF311" s="55">
        <f>$JE311*$C311/$D311</f>
        <v/>
      </c>
      <c r="JG311" s="55">
        <f>SUMIFS(tblBudget[Waste_t],tblBudget[Month],"&lt;"&amp;$E311)+$JF311</f>
        <v/>
      </c>
      <c r="JH311" s="55">
        <f>SUMIFS(tblBudget[TMM_t],tblBudget[Month],$E311)</f>
        <v/>
      </c>
      <c r="JI311" s="55">
        <f>$JH311*$C311/$D311</f>
        <v/>
      </c>
      <c r="JJ311" s="55">
        <f>SUMIFS(tblBudget[TMM_t],tblBudget[Month],"&lt;"&amp;$E311)+$JI311</f>
        <v/>
      </c>
      <c r="JK311" s="56">
        <f>IFERROR(IF(($IS311)&gt;0,($JE311)/($IS311),""),"")</f>
        <v/>
      </c>
      <c r="JL311" s="56">
        <f>IFERROR(IF(($IT311)&gt;0,($JF311)/($IT311),""),"")</f>
        <v/>
      </c>
      <c r="JM311" s="56">
        <f>IFERROR(IF(($IU311)&gt;0,($JG311)/($IU311),""),"")</f>
        <v/>
      </c>
      <c r="JN311" s="55">
        <f>SUMIFS(tblBudget[Drill_m],tblBudget[Month],$E311)</f>
        <v/>
      </c>
      <c r="JO311" s="55">
        <f>$JN311*$C311/$D311</f>
        <v/>
      </c>
      <c r="JP311" s="55">
        <f>SUMIFS(tblBudget[Drill_m],tblBudget[Month],"&lt;"&amp;$E311)+$JO311</f>
        <v/>
      </c>
      <c r="JQ311" s="55">
        <f>SUMIFS(tblBudget[Diesel_L],tblBudget[Month],$E311)</f>
        <v/>
      </c>
      <c r="JR311" s="55">
        <f>$JQ311*$C311/$D311</f>
        <v/>
      </c>
      <c r="JS311" s="55">
        <f>SUMIFS(tblBudget[Diesel_L],tblBudget[Month],"&lt;"&amp;$E311)+$JR311</f>
        <v/>
      </c>
      <c r="JT311" s="55">
        <f>SUMIFS(tblBudget[Milled_t],tblBudget[Month],$E311)</f>
        <v/>
      </c>
      <c r="JU311" s="55">
        <f>$JT311*$C311/$D311</f>
        <v/>
      </c>
      <c r="JV311" s="55">
        <f>SUMIFS(tblBudget[Milled_t],tblBudget[Month],"&lt;"&amp;$E311)+$JU311</f>
        <v/>
      </c>
      <c r="JW311" s="55">
        <f>SUMIFS(tblBudget[Feed_oz],tblBudget[Month],$E311)</f>
        <v/>
      </c>
      <c r="JX311" s="55">
        <f>$JW311*$C311/$D311</f>
        <v/>
      </c>
      <c r="JY311" s="55">
        <f>SUMIFS(tblBudget[Feed_oz],tblBudget[Month],"&lt;"&amp;$E311)+$JX311</f>
        <v/>
      </c>
      <c r="JZ311" s="55">
        <f>SUMIFS(tblBudget[Recovered_oz],tblBudget[Month],$E311)</f>
        <v/>
      </c>
      <c r="KA311" s="55">
        <f>$JZ311*$C311/$D311</f>
        <v/>
      </c>
      <c r="KB311" s="55">
        <f>SUMIFS(tblBudget[Recovered_oz],tblBudget[Month],"&lt;"&amp;$E311)+$KA311</f>
        <v/>
      </c>
      <c r="KC311" s="55">
        <f>SUMIFS(tblBudget[Milled_t],tblBudget[Month],$E311)</f>
        <v/>
      </c>
      <c r="KD311" s="55">
        <f>$KC311*$C311/$D311</f>
        <v/>
      </c>
      <c r="KE311" s="55">
        <f>SUMIFS(tblBudget[Milled_t],tblBudget[Month],"&lt;"&amp;$E311)+$KD311</f>
        <v/>
      </c>
      <c r="KF311" s="55">
        <f>SUMIFS(tblBudget[Feed_oz],tblBudget[Month],$E311)</f>
        <v/>
      </c>
      <c r="KG311" s="55">
        <f>$KF311*$C311/$D311</f>
        <v/>
      </c>
      <c r="KH311" s="55">
        <f>SUMIFS(tblBudget[Feed_oz],tblBudget[Month],"&lt;"&amp;$E311)+$KG311</f>
        <v/>
      </c>
      <c r="KI311" s="56">
        <f>IFERROR(IF(($KC311)&gt;0,($JW311*cfg_TroyOz)/($KC311),""),"")</f>
        <v/>
      </c>
      <c r="KJ311" s="56">
        <f>IFERROR(IF(($KD311)&gt;0,($JX311*cfg_TroyOz)/($KD311),""),"")</f>
        <v/>
      </c>
      <c r="KK311" s="56">
        <f>IFERROR(IF(($KE311)&gt;0,($JY311*cfg_TroyOz)/($KE311),""),"")</f>
        <v/>
      </c>
      <c r="KL311" s="67">
        <f>IFERROR(IF(($KF311)&gt;0,($JZ311)/($KF311),""),"")</f>
        <v/>
      </c>
      <c r="KM311" s="67">
        <f>IFERROR(IF(($KG311)&gt;0,($KA311)/($KG311),""),"")</f>
        <v/>
      </c>
      <c r="KN311" s="67">
        <f>IFERROR(IF(($KH311)&gt;0,($KB311)/($KH311),""),"")</f>
        <v/>
      </c>
      <c r="KO311" s="55">
        <f>SUMIFS(tblBudget[Gold_Poured_oz],tblBudget[Month],$E311)</f>
        <v/>
      </c>
      <c r="KP311" s="55">
        <f>$KO311*$C311/$D311</f>
        <v/>
      </c>
      <c r="KQ311" s="55">
        <f>SUMIFS(tblBudget[Gold_Poured_oz],tblBudget[Month],"&lt;"&amp;$E311)+$KP311</f>
        <v/>
      </c>
      <c r="KR311" s="57">
        <f>SUMIFS(tblBudget[Hours_Worked],tblBudget[Month],$E311)</f>
        <v/>
      </c>
      <c r="KS311" s="57">
        <f>$KR311*$C311/$D311</f>
        <v/>
      </c>
      <c r="KT311" s="57">
        <f>SUMIFS(tblBudget[Hours_Worked],tblBudget[Month],"&lt;"&amp;$E311)+$KS311</f>
        <v/>
      </c>
    </row>
    <row r="312">
      <c r="A312" s="54" t="n">
        <v>46333</v>
      </c>
      <c r="B312">
        <f>MONTH($A312)</f>
        <v/>
      </c>
      <c r="C312">
        <f>DAY($A312)</f>
        <v/>
      </c>
      <c r="D312">
        <f>DAY(EOMONTH($A312,0))</f>
        <v/>
      </c>
      <c r="E312" s="54">
        <f>DATE(YEAR($A312),MONTH($A312),1)</f>
        <v/>
      </c>
      <c r="F312" s="55">
        <f>SUMIFS(tblMovement[Tonnes_t],tblMovement[Date],$A312,tblMovement[Is_Ore],1,tblMovement[Source_Type],"Pit")</f>
        <v/>
      </c>
      <c r="G312" s="55">
        <f>IF($B312=$B311,$G311,0)+$F312</f>
        <v/>
      </c>
      <c r="H312" s="55">
        <f>$H311+$F312</f>
        <v/>
      </c>
      <c r="I312" s="55">
        <f>SUMIFS(tblMovement[Ore_oz],tblMovement[Date],$A312,tblMovement[Source_Type],"Pit")</f>
        <v/>
      </c>
      <c r="J312" s="55">
        <f>IF($B312=$B311,$J311,0)+$I312</f>
        <v/>
      </c>
      <c r="K312" s="55">
        <f>$K311+$I312</f>
        <v/>
      </c>
      <c r="L312" s="55">
        <f>SUMIFS(tblMovement[Tonnes_t],tblMovement[Date],$A312,tblMovement[Is_Ore],1,tblMovement[Source_Type],"Pit",tblMovement[Grade_gpt],"&lt;&gt;")</f>
        <v/>
      </c>
      <c r="M312" s="55">
        <f>IF($B312=$B311,$M311,0)+$L312</f>
        <v/>
      </c>
      <c r="N312" s="55">
        <f>$N311+$L312</f>
        <v/>
      </c>
      <c r="O312" s="56">
        <f>IFERROR(IF(($L312)&gt;0,($I312*cfg_TroyOz)/($L312),""),"")</f>
        <v/>
      </c>
      <c r="P312" s="56">
        <f>IFERROR(IF(($M312)&gt;0,($J312*cfg_TroyOz)/($M312),""),"")</f>
        <v/>
      </c>
      <c r="Q312" s="56">
        <f>IFERROR(IF(($N312)&gt;0,($K312*cfg_TroyOz)/($N312),""),"")</f>
        <v/>
      </c>
      <c r="R312" s="55">
        <f>$F312-$L312</f>
        <v/>
      </c>
      <c r="S312" s="55">
        <f>IF($B312=$B311,$S311,0)+$R312</f>
        <v/>
      </c>
      <c r="T312" s="55">
        <f>$T311+$R312</f>
        <v/>
      </c>
      <c r="U312" s="55">
        <f>SUMIFS(tblMovement[Tonnes_t],tblMovement[Date],$A312,tblMovement[Is_Ore],0,tblMovement[Source_Type],"Pit")</f>
        <v/>
      </c>
      <c r="V312" s="55">
        <f>IF($B312=$B311,$V311,0)+$U312</f>
        <v/>
      </c>
      <c r="W312" s="55">
        <f>$W311+$U312</f>
        <v/>
      </c>
      <c r="X312" s="55">
        <f>$F312+$U312</f>
        <v/>
      </c>
      <c r="Y312" s="55">
        <f>IF($B312=$B311,$Y311,0)+$X312</f>
        <v/>
      </c>
      <c r="Z312" s="55">
        <f>$Z311+$X312</f>
        <v/>
      </c>
      <c r="AA312" s="56">
        <f>IFERROR(IF(($F312)&gt;0,($U312)/($F312),""),"")</f>
        <v/>
      </c>
      <c r="AB312" s="56">
        <f>IFERROR(IF(($G312)&gt;0,($V312)/($G312),""),"")</f>
        <v/>
      </c>
      <c r="AC312" s="56">
        <f>IFERROR(IF(($H312)&gt;0,($W312)/($H312),""),"")</f>
        <v/>
      </c>
      <c r="AD312" s="55">
        <f>SUMIFS(tblMovement[Tonnes_t],tblMovement[Date],$A312,tblMovement[Source_Type],"Stockpile")</f>
        <v/>
      </c>
      <c r="AE312" s="55">
        <f>IF($B312=$B311,$AE311,0)+$AD312</f>
        <v/>
      </c>
      <c r="AF312" s="55">
        <f>$AF311+$AD312</f>
        <v/>
      </c>
      <c r="AG312" s="55">
        <f>SUMIFS(tblMovement[Tonnes_t],tblMovement[Date],$A312)</f>
        <v/>
      </c>
      <c r="AH312" s="55">
        <f>IF($B312=$B311,$AH311,0)+$AG312</f>
        <v/>
      </c>
      <c r="AI312" s="55">
        <f>$AI311+$AG312</f>
        <v/>
      </c>
      <c r="AJ312" s="55">
        <f>$AG312-$X312-$AD312</f>
        <v/>
      </c>
      <c r="AK312" s="55">
        <f>IF($B312=$B311,$AK311,0)+$AJ312</f>
        <v/>
      </c>
      <c r="AL312" s="55">
        <f>$AL311+$AJ312</f>
        <v/>
      </c>
      <c r="AM312" s="55">
        <f>SUMIFS(tblMiningDaily[Drill_m],tblMiningDaily[Date],$A312)</f>
        <v/>
      </c>
      <c r="AN312" s="55">
        <f>IF($B312=$B311,$AN311,0)+$AM312</f>
        <v/>
      </c>
      <c r="AO312" s="55">
        <f>$AO311+$AM312</f>
        <v/>
      </c>
      <c r="AP312" s="55">
        <f>SUMIFS(tblMiningDaily[GC_Drill_m],tblMiningDaily[Date],$A312)</f>
        <v/>
      </c>
      <c r="AQ312" s="55">
        <f>IF($B312=$B311,$AQ311,0)+$AP312</f>
        <v/>
      </c>
      <c r="AR312" s="55">
        <f>$AR311+$AP312</f>
        <v/>
      </c>
      <c r="AS312" s="55">
        <f>SUMIFS(tblMiningDaily[Blast_t],tblMiningDaily[Date],$A312)</f>
        <v/>
      </c>
      <c r="AT312" s="55">
        <f>IF($B312=$B311,$AT311,0)+$AS312</f>
        <v/>
      </c>
      <c r="AU312" s="55">
        <f>$AU311+$AS312</f>
        <v/>
      </c>
      <c r="AV312" s="55">
        <f>SUMIFS(tblMiningDaily[Explosives_kg],tblMiningDaily[Date],$A312)</f>
        <v/>
      </c>
      <c r="AW312" s="55">
        <f>IF($B312=$B311,$AW311,0)+$AV312</f>
        <v/>
      </c>
      <c r="AX312" s="55">
        <f>$AX311+$AV312</f>
        <v/>
      </c>
      <c r="AY312" s="56">
        <f>IFERROR(IF(($AS312)&gt;0,($AV312)/($AS312),""),"")</f>
        <v/>
      </c>
      <c r="AZ312" s="56">
        <f>IFERROR(IF(($AT312)&gt;0,($AW312)/($AT312),""),"")</f>
        <v/>
      </c>
      <c r="BA312" s="56">
        <f>IFERROR(IF(($AU312)&gt;0,($AX312)/($AU312),""),"")</f>
        <v/>
      </c>
      <c r="BB312" s="55">
        <f>SUMIFS(tblMiningDaily[Diesel_L],tblMiningDaily[Date],$A312)</f>
        <v/>
      </c>
      <c r="BC312" s="55">
        <f>IF($B312=$B311,$BC311,0)+$BB312</f>
        <v/>
      </c>
      <c r="BD312" s="55">
        <f>$BD311+$BB312</f>
        <v/>
      </c>
      <c r="BE312" s="55">
        <f>SUMIFS(tblMiningDaily[Dewatering_m3],tblMiningDaily[Date],$A312)</f>
        <v/>
      </c>
      <c r="BF312" s="55">
        <f>IF($B312=$B311,$BF311,0)+$BE312</f>
        <v/>
      </c>
      <c r="BG312" s="55">
        <f>$BG311+$BE312</f>
        <v/>
      </c>
      <c r="BH312" s="57">
        <f>SUMIFS(tblFleet[Calendar_h],tblFleet[Date],$A312,tblFleet[Equipment_Class],"Excavator")</f>
        <v/>
      </c>
      <c r="BI312" s="57">
        <f>IF($B312=$B311,$BI311,0)+$BH312</f>
        <v/>
      </c>
      <c r="BJ312" s="57">
        <f>$BJ311+$BH312</f>
        <v/>
      </c>
      <c r="BK312" s="57">
        <f>SUMIFS(tblFleet[Available_h],tblFleet[Date],$A312,tblFleet[Equipment_Class],"Excavator")</f>
        <v/>
      </c>
      <c r="BL312" s="57">
        <f>IF($B312=$B311,$BL311,0)+$BK312</f>
        <v/>
      </c>
      <c r="BM312" s="57">
        <f>$BM311+$BK312</f>
        <v/>
      </c>
      <c r="BN312" s="57">
        <f>SUMIFS(tblFleet[Operating_h],tblFleet[Date],$A312,tblFleet[Equipment_Class],"Excavator")</f>
        <v/>
      </c>
      <c r="BO312" s="57">
        <f>IF($B312=$B311,$BO311,0)+$BN312</f>
        <v/>
      </c>
      <c r="BP312" s="57">
        <f>$BP311+$BN312</f>
        <v/>
      </c>
      <c r="BQ312" s="67">
        <f>IFERROR(IF(($BH312)&gt;0,($BK312)/($BH312),""),"")</f>
        <v/>
      </c>
      <c r="BR312" s="67">
        <f>IFERROR(IF(($BI312)&gt;0,($BL312)/($BI312),""),"")</f>
        <v/>
      </c>
      <c r="BS312" s="67">
        <f>IFERROR(IF(($BJ312)&gt;0,($BM312)/($BJ312),""),"")</f>
        <v/>
      </c>
      <c r="BT312" s="67">
        <f>IFERROR(IF(($BK312)&gt;0,($BN312)/($BK312),""),"")</f>
        <v/>
      </c>
      <c r="BU312" s="67">
        <f>IFERROR(IF(($BL312)&gt;0,($BO312)/($BL312),""),"")</f>
        <v/>
      </c>
      <c r="BV312" s="67">
        <f>IFERROR(IF(($BM312)&gt;0,($BP312)/($BM312),""),"")</f>
        <v/>
      </c>
      <c r="BW312" s="57">
        <f>SUMIFS(tblFleet[Calendar_h],tblFleet[Date],$A312,tblFleet[Equipment_Class],"Haul Truck")</f>
        <v/>
      </c>
      <c r="BX312" s="57">
        <f>IF($B312=$B311,$BX311,0)+$BW312</f>
        <v/>
      </c>
      <c r="BY312" s="57">
        <f>$BY311+$BW312</f>
        <v/>
      </c>
      <c r="BZ312" s="57">
        <f>SUMIFS(tblFleet[Available_h],tblFleet[Date],$A312,tblFleet[Equipment_Class],"Haul Truck")</f>
        <v/>
      </c>
      <c r="CA312" s="57">
        <f>IF($B312=$B311,$CA311,0)+$BZ312</f>
        <v/>
      </c>
      <c r="CB312" s="57">
        <f>$CB311+$BZ312</f>
        <v/>
      </c>
      <c r="CC312" s="57">
        <f>SUMIFS(tblFleet[Operating_h],tblFleet[Date],$A312,tblFleet[Equipment_Class],"Haul Truck")</f>
        <v/>
      </c>
      <c r="CD312" s="57">
        <f>IF($B312=$B311,$CD311,0)+$CC312</f>
        <v/>
      </c>
      <c r="CE312" s="57">
        <f>$CE311+$CC312</f>
        <v/>
      </c>
      <c r="CF312" s="67">
        <f>IFERROR(IF(($BW312)&gt;0,($BZ312)/($BW312),""),"")</f>
        <v/>
      </c>
      <c r="CG312" s="67">
        <f>IFERROR(IF(($BX312)&gt;0,($CA312)/($BX312),""),"")</f>
        <v/>
      </c>
      <c r="CH312" s="67">
        <f>IFERROR(IF(($BY312)&gt;0,($CB312)/($BY312),""),"")</f>
        <v/>
      </c>
      <c r="CI312" s="67">
        <f>IFERROR(IF(($BZ312)&gt;0,($CC312)/($BZ312),""),"")</f>
        <v/>
      </c>
      <c r="CJ312" s="67">
        <f>IFERROR(IF(($CA312)&gt;0,($CD312)/($CA312),""),"")</f>
        <v/>
      </c>
      <c r="CK312" s="67">
        <f>IFERROR(IF(($CB312)&gt;0,($CE312)/($CB312),""),"")</f>
        <v/>
      </c>
      <c r="CL312" s="55">
        <f>IFERROR(IF(($BN312)&gt;0,($X312+$AD312)/($BN312),""),"")</f>
        <v/>
      </c>
      <c r="CM312" s="55">
        <f>IFERROR(IF(($BO312)&gt;0,($Y312+$AE312)/($BO312),""),"")</f>
        <v/>
      </c>
      <c r="CN312" s="55">
        <f>IFERROR(IF(($BP312)&gt;0,($Z312+$AF312)/($BP312),""),"")</f>
        <v/>
      </c>
      <c r="CO312" s="55">
        <f>IFERROR(IF(($CC312)&gt;0,($X312+$AD312)/($CC312),""),"")</f>
        <v/>
      </c>
      <c r="CP312" s="55">
        <f>IFERROR(IF(($CD312)&gt;0,($Y312+$AE312)/($CD312),""),"")</f>
        <v/>
      </c>
      <c r="CQ312" s="55">
        <f>IFERROR(IF(($CE312)&gt;0,($Z312+$AF312)/($CE312),""),"")</f>
        <v/>
      </c>
      <c r="CR312" s="55">
        <f>SUMIFS(tblPlant[Crushed_t],tblPlant[Date],$A312)</f>
        <v/>
      </c>
      <c r="CS312" s="55">
        <f>IF($B312=$B311,$CS311,0)+$CR312</f>
        <v/>
      </c>
      <c r="CT312" s="55">
        <f>$CT311+$CR312</f>
        <v/>
      </c>
      <c r="CU312" s="55">
        <f>SUMIFS(tblPlant[Milled_t],tblPlant[Date],$A312)</f>
        <v/>
      </c>
      <c r="CV312" s="55">
        <f>IF($B312=$B311,$CV311,0)+$CU312</f>
        <v/>
      </c>
      <c r="CW312" s="55">
        <f>$CW311+$CU312</f>
        <v/>
      </c>
      <c r="CX312" s="55">
        <f>SUMIFS(tblPlant[Feed_oz],tblPlant[Date],$A312)</f>
        <v/>
      </c>
      <c r="CY312" s="55">
        <f>IF($B312=$B311,$CY311,0)+$CX312</f>
        <v/>
      </c>
      <c r="CZ312" s="55">
        <f>$CZ311+$CX312</f>
        <v/>
      </c>
      <c r="DA312" s="55">
        <f>SUMIFS(tblPlant[Tails_oz],tblPlant[Date],$A312)</f>
        <v/>
      </c>
      <c r="DB312" s="55">
        <f>IF($B312=$B311,$DB311,0)+$DA312</f>
        <v/>
      </c>
      <c r="DC312" s="55">
        <f>$DC311+$DA312</f>
        <v/>
      </c>
      <c r="DD312" s="55">
        <f>SUMIFS(tblPlant[Recovered_oz],tblPlant[Date],$A312)</f>
        <v/>
      </c>
      <c r="DE312" s="55">
        <f>IF($B312=$B311,$DE311,0)+$DD312</f>
        <v/>
      </c>
      <c r="DF312" s="55">
        <f>$DF311+$DD312</f>
        <v/>
      </c>
      <c r="DG312" s="55">
        <f>SUMIFS(tblPlant[Milled_t],tblPlant[Date],$A312,tblPlant[Head_Grade_gpt],"&lt;&gt;")</f>
        <v/>
      </c>
      <c r="DH312" s="55">
        <f>IF($B312=$B311,$DH311,0)+$DG312</f>
        <v/>
      </c>
      <c r="DI312" s="55">
        <f>$DI311+$DG312</f>
        <v/>
      </c>
      <c r="DJ312" s="55">
        <f>SUMIFS(tblPlant[Milled_t],tblPlant[Date],$A312,tblPlant[Tails_Grade_gpt],"&lt;&gt;")</f>
        <v/>
      </c>
      <c r="DK312" s="55">
        <f>IF($B312=$B311,$DK311,0)+$DJ312</f>
        <v/>
      </c>
      <c r="DL312" s="55">
        <f>$DL311+$DJ312</f>
        <v/>
      </c>
      <c r="DM312" s="55">
        <f>SUMIFS(tblPlant[Feed_oz],tblPlant[Date],$A312,tblPlant[Tails_Grade_gpt],"&lt;&gt;")</f>
        <v/>
      </c>
      <c r="DN312" s="55">
        <f>IF($B312=$B311,$DN311,0)+$DM312</f>
        <v/>
      </c>
      <c r="DO312" s="55">
        <f>$DO311+$DM312</f>
        <v/>
      </c>
      <c r="DP312" s="55">
        <f>SUMIFS(tblPlant[Milled_t],tblPlant[Date],$A312,tblPlant[Mill_Run_h],"&lt;&gt;")</f>
        <v/>
      </c>
      <c r="DQ312" s="55">
        <f>IF($B312=$B311,$DQ311,0)+$DP312</f>
        <v/>
      </c>
      <c r="DR312" s="55">
        <f>$DR311+$DP312</f>
        <v/>
      </c>
      <c r="DS312" s="56">
        <f>IFERROR(IF(($DG312)&gt;0,($CX312*cfg_TroyOz)/($DG312),""),"")</f>
        <v/>
      </c>
      <c r="DT312" s="56">
        <f>IFERROR(IF(($DH312)&gt;0,($CY312*cfg_TroyOz)/($DH312),""),"")</f>
        <v/>
      </c>
      <c r="DU312" s="56">
        <f>IFERROR(IF(($DI312)&gt;0,($CZ312*cfg_TroyOz)/($DI312),""),"")</f>
        <v/>
      </c>
      <c r="DV312" s="56">
        <f>IFERROR(IF(($DJ312)&gt;0,($DA312*cfg_TroyOz)/($DJ312),""),"")</f>
        <v/>
      </c>
      <c r="DW312" s="56">
        <f>IFERROR(IF(($DK312)&gt;0,($DB312*cfg_TroyOz)/($DK312),""),"")</f>
        <v/>
      </c>
      <c r="DX312" s="56">
        <f>IFERROR(IF(($DL312)&gt;0,($DC312*cfg_TroyOz)/($DL312),""),"")</f>
        <v/>
      </c>
      <c r="DY312" s="67">
        <f>IFERROR(IF(($DM312)&gt;0,($DD312)/($DM312),""),"")</f>
        <v/>
      </c>
      <c r="DZ312" s="67">
        <f>IFERROR(IF(($DN312)&gt;0,($DE312)/($DN312),""),"")</f>
        <v/>
      </c>
      <c r="EA312" s="67">
        <f>IFERROR(IF(($DO312)&gt;0,($DF312)/($DO312),""),"")</f>
        <v/>
      </c>
      <c r="EB312" s="55">
        <f>SUMIFS(tblPlant[Gravity_Gold_oz],tblPlant[Date],$A312)</f>
        <v/>
      </c>
      <c r="EC312" s="55">
        <f>IF($B312=$B311,$EC311,0)+$EB312</f>
        <v/>
      </c>
      <c r="ED312" s="55">
        <f>$ED311+$EB312</f>
        <v/>
      </c>
      <c r="EE312" s="67">
        <f>IFERROR(IF(($DD312)&gt;0,($EB312)/($DD312),""),"")</f>
        <v/>
      </c>
      <c r="EF312" s="67">
        <f>IFERROR(IF(($DE312)&gt;0,($EC312)/($DE312),""),"")</f>
        <v/>
      </c>
      <c r="EG312" s="67">
        <f>IFERROR(IF(($DF312)&gt;0,($ED312)/($DF312),""),"")</f>
        <v/>
      </c>
      <c r="EH312" s="55">
        <f>SUMIFS(tblPlant[Gold_Poured_oz],tblPlant[Date],$A312)</f>
        <v/>
      </c>
      <c r="EI312" s="55">
        <f>IF($B312=$B311,$EI311,0)+$EH312</f>
        <v/>
      </c>
      <c r="EJ312" s="55">
        <f>$EJ311+$EH312</f>
        <v/>
      </c>
      <c r="EK312" s="57">
        <f>SUMIFS(tblPlant[Mill_Run_h],tblPlant[Date],$A312)</f>
        <v/>
      </c>
      <c r="EL312" s="57">
        <f>IF($B312=$B311,$EL311,0)+$EK312</f>
        <v/>
      </c>
      <c r="EM312" s="57">
        <f>$EM311+$EK312</f>
        <v/>
      </c>
      <c r="EN312" s="57">
        <f>SUMIFS(tblPlant[Mill_Planned_Maint_h],tblPlant[Date],$A312)</f>
        <v/>
      </c>
      <c r="EO312" s="57">
        <f>IF($B312=$B311,$EO311,0)+$EN312</f>
        <v/>
      </c>
      <c r="EP312" s="57">
        <f>$EP311+$EN312</f>
        <v/>
      </c>
      <c r="EQ312" s="57">
        <f>SUMIFS(tblPlant[Mill_Unplanned_Down_h],tblPlant[Date],$A312)</f>
        <v/>
      </c>
      <c r="ER312" s="57">
        <f>IF($B312=$B311,$ER311,0)+$EQ312</f>
        <v/>
      </c>
      <c r="ES312" s="57">
        <f>$ES311+$EQ312</f>
        <v/>
      </c>
      <c r="ET312" s="57">
        <f>IF(COUNTIFS(tblPlant[Date],$A312,tblPlant[Mill_Run_h],"&lt;&gt;")+COUNTIFS(tblPlant[Date],$A312,tblPlant[Mill_Planned_Maint_h],"&lt;&gt;")+COUNTIFS(tblPlant[Date],$A312,tblPlant[Mill_Unplanned_Down_h],"&lt;&gt;")&gt;0,cfg_HoursPerDay,0)</f>
        <v/>
      </c>
      <c r="EU312" s="57">
        <f>IF($B312=$B311,$EU311,0)+$ET312</f>
        <v/>
      </c>
      <c r="EV312" s="57">
        <f>$EV311+$ET312</f>
        <v/>
      </c>
      <c r="EW312" s="57">
        <f>SUMIFS(tblPlant[Crusher_Run_h],tblPlant[Date],$A312)</f>
        <v/>
      </c>
      <c r="EX312" s="57">
        <f>IF($B312=$B311,$EX311,0)+$EW312</f>
        <v/>
      </c>
      <c r="EY312" s="57">
        <f>$EY311+$EW312</f>
        <v/>
      </c>
      <c r="EZ312" s="55">
        <f>IFERROR(IF(($EK312)&gt;0,($DP312)/($EK312),""),"")</f>
        <v/>
      </c>
      <c r="FA312" s="55">
        <f>IFERROR(IF(($EL312)&gt;0,($DQ312)/($EL312),""),"")</f>
        <v/>
      </c>
      <c r="FB312" s="55">
        <f>IFERROR(IF(($EM312)&gt;0,($DR312)/($EM312),""),"")</f>
        <v/>
      </c>
      <c r="FC312" s="67">
        <f>IFERROR(IF(($ET312)&gt;0,($ET312-$EN312-$EQ312)/($ET312),""),"")</f>
        <v/>
      </c>
      <c r="FD312" s="67">
        <f>IFERROR(IF(($EU312)&gt;0,($EU312-$EO312-$ER312)/($EU312),""),"")</f>
        <v/>
      </c>
      <c r="FE312" s="67">
        <f>IFERROR(IF(($EV312)&gt;0,($EV312-$EP312-$ES312)/($EV312),""),"")</f>
        <v/>
      </c>
      <c r="FF312" s="67">
        <f>IFERROR(IF(($ET312-$EN312-$EQ312)&gt;0,($EK312)/($ET312-$EN312-$EQ312),""),"")</f>
        <v/>
      </c>
      <c r="FG312" s="67">
        <f>IFERROR(IF(($EU312-$EO312-$ER312)&gt;0,($EL312)/($EU312-$EO312-$ER312),""),"")</f>
        <v/>
      </c>
      <c r="FH312" s="67">
        <f>IFERROR(IF(($EV312-$EP312-$ES312)&gt;0,($EM312)/($EV312-$EP312-$ES312),""),"")</f>
        <v/>
      </c>
      <c r="FI312" s="55">
        <f>SUMIFS(tblPlant[Cyanide_kg],tblPlant[Date],$A312)</f>
        <v/>
      </c>
      <c r="FJ312" s="55">
        <f>IF($B312=$B311,$FJ311,0)+$FI312</f>
        <v/>
      </c>
      <c r="FK312" s="55">
        <f>$FK311+$FI312</f>
        <v/>
      </c>
      <c r="FL312" s="55">
        <f>SUMIFS(tblPlant[Lime_kg],tblPlant[Date],$A312)</f>
        <v/>
      </c>
      <c r="FM312" s="55">
        <f>IF($B312=$B311,$FM311,0)+$FL312</f>
        <v/>
      </c>
      <c r="FN312" s="55">
        <f>$FN311+$FL312</f>
        <v/>
      </c>
      <c r="FO312" s="55">
        <f>SUMIFS(tblPlant[Grinding_Media_kg],tblPlant[Date],$A312)</f>
        <v/>
      </c>
      <c r="FP312" s="55">
        <f>IF($B312=$B311,$FP311,0)+$FO312</f>
        <v/>
      </c>
      <c r="FQ312" s="55">
        <f>$FQ311+$FO312</f>
        <v/>
      </c>
      <c r="FR312" s="55">
        <f>SUMIFS(tblPlant[Power_kWh],tblPlant[Date],$A312)</f>
        <v/>
      </c>
      <c r="FS312" s="55">
        <f>IF($B312=$B311,$FS311,0)+$FR312</f>
        <v/>
      </c>
      <c r="FT312" s="55">
        <f>$FT311+$FR312</f>
        <v/>
      </c>
      <c r="FU312" s="55">
        <f>SUMIFS(tblPlant[Raw_Water_m3],tblPlant[Date],$A312)</f>
        <v/>
      </c>
      <c r="FV312" s="55">
        <f>IF($B312=$B311,$FV311,0)+$FU312</f>
        <v/>
      </c>
      <c r="FW312" s="55">
        <f>$FW311+$FU312</f>
        <v/>
      </c>
      <c r="FX312" s="56">
        <f>IFERROR(IF(($CU312)&gt;0,($FI312)/($CU312),""),"")</f>
        <v/>
      </c>
      <c r="FY312" s="56">
        <f>IFERROR(IF(($CV312)&gt;0,($FJ312)/($CV312),""),"")</f>
        <v/>
      </c>
      <c r="FZ312" s="56">
        <f>IFERROR(IF(($CW312)&gt;0,($FK312)/($CW312),""),"")</f>
        <v/>
      </c>
      <c r="GA312" s="56">
        <f>IFERROR(IF(($CU312)&gt;0,($FL312)/($CU312),""),"")</f>
        <v/>
      </c>
      <c r="GB312" s="56">
        <f>IFERROR(IF(($CV312)&gt;0,($FM312)/($CV312),""),"")</f>
        <v/>
      </c>
      <c r="GC312" s="56">
        <f>IFERROR(IF(($CW312)&gt;0,($FN312)/($CW312),""),"")</f>
        <v/>
      </c>
      <c r="GD312" s="56">
        <f>IFERROR(IF(($CU312)&gt;0,($FO312)/($CU312),""),"")</f>
        <v/>
      </c>
      <c r="GE312" s="56">
        <f>IFERROR(IF(($CV312)&gt;0,($FP312)/($CV312),""),"")</f>
        <v/>
      </c>
      <c r="GF312" s="56">
        <f>IFERROR(IF(($CW312)&gt;0,($FQ312)/($CW312),""),"")</f>
        <v/>
      </c>
      <c r="GG312" s="79">
        <f>IFERROR(IF(($CU312)&gt;0,($FR312)/($CU312),""),"")</f>
        <v/>
      </c>
      <c r="GH312" s="79">
        <f>IFERROR(IF(($CV312)&gt;0,($FS312)/($CV312),""),"")</f>
        <v/>
      </c>
      <c r="GI312" s="79">
        <f>IFERROR(IF(($CW312)&gt;0,($FT312)/($CW312),""),"")</f>
        <v/>
      </c>
      <c r="GJ312" s="56">
        <f>IFERROR(IF(($CU312)&gt;0,($FU312)/($CU312),""),"")</f>
        <v/>
      </c>
      <c r="GK312" s="56">
        <f>IFERROR(IF(($CV312)&gt;0,($FV312)/($CV312),""),"")</f>
        <v/>
      </c>
      <c r="GL312" s="56">
        <f>IFERROR(IF(($CW312)&gt;0,($FW312)/($CW312),""),"")</f>
        <v/>
      </c>
      <c r="GM312" s="55">
        <f>IF(SUMIFS(tblPlant[GIC_oz],tblPlant[Date],$A312)&gt;0,SUMIFS(tblPlant[GIC_oz],tblPlant[Date],$A312),"")</f>
        <v/>
      </c>
      <c r="GN312" s="55">
        <f>SUMIFS(tblGold[Gold_oz],tblGold[Date],$A312,tblGold[Type],"Shipment")</f>
        <v/>
      </c>
      <c r="GO312" s="55">
        <f>IF($B312=$B311,$GO311,0)+$GN312</f>
        <v/>
      </c>
      <c r="GP312" s="55">
        <f>$GP311+$GN312</f>
        <v/>
      </c>
      <c r="GQ312" s="55">
        <f>SUMIFS(tblGold[Gold_oz],tblGold[Date],$A312,tblGold[Type],"Sale")</f>
        <v/>
      </c>
      <c r="GR312" s="55">
        <f>IF($B312=$B311,$GR311,0)+$GQ312</f>
        <v/>
      </c>
      <c r="GS312" s="55">
        <f>$GS311+$GQ312</f>
        <v/>
      </c>
      <c r="GT312" s="55">
        <f>SUMIFS(tblGold[Dore_kg],tblGold[Date],$A312,tblGold[Type],"Shipment")</f>
        <v/>
      </c>
      <c r="GU312" s="55">
        <f>IF($B312=$B311,$GU311,0)+$GT312</f>
        <v/>
      </c>
      <c r="GV312" s="55">
        <f>$GV311+$GT312</f>
        <v/>
      </c>
      <c r="GW312" s="57">
        <f>SUMIFS(tblSafety[Hours_Total],tblSafety[Date],$A312)</f>
        <v/>
      </c>
      <c r="GX312" s="57">
        <f>IF($B312=$B311,$GX311,0)+$GW312</f>
        <v/>
      </c>
      <c r="GY312" s="57">
        <f>$GY311+$GW312</f>
        <v/>
      </c>
      <c r="GZ312" s="62">
        <f>SUMIFS(tblSafety[Fatality],tblSafety[Date],$A312)</f>
        <v/>
      </c>
      <c r="HA312" s="62">
        <f>IF($B312=$B311,$HA311,0)+$GZ312</f>
        <v/>
      </c>
      <c r="HB312" s="62">
        <f>$HB311+$GZ312</f>
        <v/>
      </c>
      <c r="HC312" s="62">
        <f>SUMIFS(tblSafety[LTI],tblSafety[Date],$A312)</f>
        <v/>
      </c>
      <c r="HD312" s="62">
        <f>IF($B312=$B311,$HD311,0)+$HC312</f>
        <v/>
      </c>
      <c r="HE312" s="62">
        <f>$HE311+$HC312</f>
        <v/>
      </c>
      <c r="HF312" s="62">
        <f>SUMIFS(tblSafety[RWI],tblSafety[Date],$A312)</f>
        <v/>
      </c>
      <c r="HG312" s="62">
        <f>IF($B312=$B311,$HG311,0)+$HF312</f>
        <v/>
      </c>
      <c r="HH312" s="62">
        <f>$HH311+$HF312</f>
        <v/>
      </c>
      <c r="HI312" s="62">
        <f>SUMIFS(tblSafety[MTI],tblSafety[Date],$A312)</f>
        <v/>
      </c>
      <c r="HJ312" s="62">
        <f>IF($B312=$B311,$HJ311,0)+$HI312</f>
        <v/>
      </c>
      <c r="HK312" s="62">
        <f>$HK311+$HI312</f>
        <v/>
      </c>
      <c r="HL312" s="62">
        <f>SUMIFS(tblSafety[FAI],tblSafety[Date],$A312)</f>
        <v/>
      </c>
      <c r="HM312" s="62">
        <f>IF($B312=$B311,$HM311,0)+$HL312</f>
        <v/>
      </c>
      <c r="HN312" s="62">
        <f>$HN311+$HL312</f>
        <v/>
      </c>
      <c r="HO312" s="62">
        <f>SUMIFS(tblSafety[Recordables],tblSafety[Date],$A312)</f>
        <v/>
      </c>
      <c r="HP312" s="62">
        <f>IF($B312=$B311,$HP311,0)+$HO312</f>
        <v/>
      </c>
      <c r="HQ312" s="62">
        <f>$HQ311+$HO312</f>
        <v/>
      </c>
      <c r="HR312" s="62">
        <f>SUMIFS(tblSafety[Near_Miss],tblSafety[Date],$A312)</f>
        <v/>
      </c>
      <c r="HS312" s="62">
        <f>IF($B312=$B311,$HS311,0)+$HR312</f>
        <v/>
      </c>
      <c r="HT312" s="62">
        <f>$HT311+$HR312</f>
        <v/>
      </c>
      <c r="HU312" s="62">
        <f>SUMIFS(tblSafety[Hazard_Reports],tblSafety[Date],$A312)</f>
        <v/>
      </c>
      <c r="HV312" s="62">
        <f>IF($B312=$B311,$HV311,0)+$HU312</f>
        <v/>
      </c>
      <c r="HW312" s="62">
        <f>$HW311+$HU312</f>
        <v/>
      </c>
      <c r="HX312" s="62">
        <f>SUMIFS(tblSafety[HPI],tblSafety[Date],$A312)</f>
        <v/>
      </c>
      <c r="HY312" s="62">
        <f>IF($B312=$B311,$HY311,0)+$HX312</f>
        <v/>
      </c>
      <c r="HZ312" s="62">
        <f>$HZ311+$HX312</f>
        <v/>
      </c>
      <c r="IA312" s="62">
        <f>SUMIFS(tblSafety[Env_Incidents],tblSafety[Date],$A312)</f>
        <v/>
      </c>
      <c r="IB312" s="62">
        <f>IF($B312=$B311,$IB311,0)+$IA312</f>
        <v/>
      </c>
      <c r="IC312" s="62">
        <f>$IC311+$IA312</f>
        <v/>
      </c>
      <c r="ID312" s="62">
        <f>SUMIFS(tblSafety[Community_Incidents],tblSafety[Date],$A312)</f>
        <v/>
      </c>
      <c r="IE312" s="62">
        <f>IF($B312=$B311,$IE311,0)+$ID312</f>
        <v/>
      </c>
      <c r="IF312" s="62">
        <f>$IF311+$ID312</f>
        <v/>
      </c>
      <c r="IG312" s="62">
        <f>SUMIFS(tblSafety[Vehicle_Incidents],tblSafety[Date],$A312)</f>
        <v/>
      </c>
      <c r="IH312" s="62">
        <f>IF($B312=$B311,$IH311,0)+$IG312</f>
        <v/>
      </c>
      <c r="II312" s="62">
        <f>$II311+$IG312</f>
        <v/>
      </c>
      <c r="IJ312" s="62">
        <f>SUMIFS(tblSafety[Toolbox_Talks],tblSafety[Date],$A312)</f>
        <v/>
      </c>
      <c r="IK312" s="62">
        <f>IF($B312=$B311,$IK311,0)+$IJ312</f>
        <v/>
      </c>
      <c r="IL312" s="62">
        <f>$IL311+$IJ312</f>
        <v/>
      </c>
      <c r="IM312" s="62">
        <f>SUMIFS(tblSafety[Inspections],tblSafety[Date],$A312)</f>
        <v/>
      </c>
      <c r="IN312" s="62">
        <f>IF($B312=$B311,$IN311,0)+$IM312</f>
        <v/>
      </c>
      <c r="IO312" s="62">
        <f>$IO311+$IM312</f>
        <v/>
      </c>
      <c r="IP312" s="56">
        <f>IFERROR((SUMIFS(tblSafety[Recordables],tblSafety[Date],"&gt;="&amp;EDATE($E312,-12),tblSafety[Date],"&lt;="&amp;$A312)+SUMIFS(tblSafetyHistory[Recordables],tblSafetyHistory[Month],"&gt;="&amp;EDATE($E312,-12),tblSafetyHistory[Month],"&lt;"&amp;$E312,tblSafetyHistory[Use],1))/(SUMIFS(tblSafety[Hours_Total],tblSafety[Date],"&gt;="&amp;EDATE($E312,-12),tblSafety[Date],"&lt;="&amp;$A312)+SUMIFS(tblSafetyHistory[Hours_Total],tblSafetyHistory[Month],"&gt;="&amp;EDATE($E312,-12),tblSafetyHistory[Month],"&lt;"&amp;$E312,tblSafetyHistory[Use],1))*cfg_RateBasisHours,"")</f>
        <v/>
      </c>
      <c r="IQ312" s="56">
        <f>IFERROR((SUMIFS(tblSafety[LTI],tblSafety[Date],"&gt;="&amp;EDATE($E312,-12),tblSafety[Date],"&lt;="&amp;$A312)+SUMIFS(tblSafetyHistory[LTI],tblSafetyHistory[Month],"&gt;="&amp;EDATE($E312,-12),tblSafetyHistory[Month],"&lt;"&amp;$E312,tblSafetyHistory[Use],1))/(SUMIFS(tblSafety[Hours_Total],tblSafety[Date],"&gt;="&amp;EDATE($E312,-12),tblSafety[Date],"&lt;="&amp;$A312)+SUMIFS(tblSafetyHistory[Hours_Total],tblSafetyHistory[Month],"&gt;="&amp;EDATE($E312,-12),tblSafetyHistory[Month],"&lt;"&amp;$E312,tblSafetyHistory[Use],1))*cfg_RateBasisHours,"")</f>
        <v/>
      </c>
      <c r="IR312" s="62">
        <f>IF(MAX(N(cfg_PriorLTIDate),_xlfn.MAXIFS(tblSafety[Date],tblSafety[LTI],"&gt;0",tblSafety[Date],"&lt;="&amp;$A312))=0,"",$A312-MAX(N(cfg_PriorLTIDate),_xlfn.MAXIFS(tblSafety[Date],tblSafety[LTI],"&gt;0",tblSafety[Date],"&lt;="&amp;$A312)))</f>
        <v/>
      </c>
      <c r="IS312" s="55">
        <f>SUMIFS(tblBudget[Ore_Mined_t],tblBudget[Month],$E312)</f>
        <v/>
      </c>
      <c r="IT312" s="55">
        <f>$IS312*$C312/$D312</f>
        <v/>
      </c>
      <c r="IU312" s="55">
        <f>SUMIFS(tblBudget[Ore_Mined_t],tblBudget[Month],"&lt;"&amp;$E312)+$IT312</f>
        <v/>
      </c>
      <c r="IV312" s="55">
        <f>SUMIFS(tblBudget[Ore_oz],tblBudget[Month],$E312)</f>
        <v/>
      </c>
      <c r="IW312" s="55">
        <f>$IV312*$C312/$D312</f>
        <v/>
      </c>
      <c r="IX312" s="55">
        <f>SUMIFS(tblBudget[Ore_oz],tblBudget[Month],"&lt;"&amp;$E312)+$IW312</f>
        <v/>
      </c>
      <c r="IY312" s="55">
        <f>SUMIFS(tblBudget[Ore_Mined_t],tblBudget[Month],$E312)</f>
        <v/>
      </c>
      <c r="IZ312" s="55">
        <f>$IY312*$C312/$D312</f>
        <v/>
      </c>
      <c r="JA312" s="55">
        <f>SUMIFS(tblBudget[Ore_Mined_t],tblBudget[Month],"&lt;"&amp;$E312)+$IZ312</f>
        <v/>
      </c>
      <c r="JB312" s="56">
        <f>IFERROR(IF(($IY312)&gt;0,($IV312*cfg_TroyOz)/($IY312),""),"")</f>
        <v/>
      </c>
      <c r="JC312" s="56">
        <f>IFERROR(IF(($IZ312)&gt;0,($IW312*cfg_TroyOz)/($IZ312),""),"")</f>
        <v/>
      </c>
      <c r="JD312" s="56">
        <f>IFERROR(IF(($JA312)&gt;0,($IX312*cfg_TroyOz)/($JA312),""),"")</f>
        <v/>
      </c>
      <c r="JE312" s="55">
        <f>SUMIFS(tblBudget[Waste_t],tblBudget[Month],$E312)</f>
        <v/>
      </c>
      <c r="JF312" s="55">
        <f>$JE312*$C312/$D312</f>
        <v/>
      </c>
      <c r="JG312" s="55">
        <f>SUMIFS(tblBudget[Waste_t],tblBudget[Month],"&lt;"&amp;$E312)+$JF312</f>
        <v/>
      </c>
      <c r="JH312" s="55">
        <f>SUMIFS(tblBudget[TMM_t],tblBudget[Month],$E312)</f>
        <v/>
      </c>
      <c r="JI312" s="55">
        <f>$JH312*$C312/$D312</f>
        <v/>
      </c>
      <c r="JJ312" s="55">
        <f>SUMIFS(tblBudget[TMM_t],tblBudget[Month],"&lt;"&amp;$E312)+$JI312</f>
        <v/>
      </c>
      <c r="JK312" s="56">
        <f>IFERROR(IF(($IS312)&gt;0,($JE312)/($IS312),""),"")</f>
        <v/>
      </c>
      <c r="JL312" s="56">
        <f>IFERROR(IF(($IT312)&gt;0,($JF312)/($IT312),""),"")</f>
        <v/>
      </c>
      <c r="JM312" s="56">
        <f>IFERROR(IF(($IU312)&gt;0,($JG312)/($IU312),""),"")</f>
        <v/>
      </c>
      <c r="JN312" s="55">
        <f>SUMIFS(tblBudget[Drill_m],tblBudget[Month],$E312)</f>
        <v/>
      </c>
      <c r="JO312" s="55">
        <f>$JN312*$C312/$D312</f>
        <v/>
      </c>
      <c r="JP312" s="55">
        <f>SUMIFS(tblBudget[Drill_m],tblBudget[Month],"&lt;"&amp;$E312)+$JO312</f>
        <v/>
      </c>
      <c r="JQ312" s="55">
        <f>SUMIFS(tblBudget[Diesel_L],tblBudget[Month],$E312)</f>
        <v/>
      </c>
      <c r="JR312" s="55">
        <f>$JQ312*$C312/$D312</f>
        <v/>
      </c>
      <c r="JS312" s="55">
        <f>SUMIFS(tblBudget[Diesel_L],tblBudget[Month],"&lt;"&amp;$E312)+$JR312</f>
        <v/>
      </c>
      <c r="JT312" s="55">
        <f>SUMIFS(tblBudget[Milled_t],tblBudget[Month],$E312)</f>
        <v/>
      </c>
      <c r="JU312" s="55">
        <f>$JT312*$C312/$D312</f>
        <v/>
      </c>
      <c r="JV312" s="55">
        <f>SUMIFS(tblBudget[Milled_t],tblBudget[Month],"&lt;"&amp;$E312)+$JU312</f>
        <v/>
      </c>
      <c r="JW312" s="55">
        <f>SUMIFS(tblBudget[Feed_oz],tblBudget[Month],$E312)</f>
        <v/>
      </c>
      <c r="JX312" s="55">
        <f>$JW312*$C312/$D312</f>
        <v/>
      </c>
      <c r="JY312" s="55">
        <f>SUMIFS(tblBudget[Feed_oz],tblBudget[Month],"&lt;"&amp;$E312)+$JX312</f>
        <v/>
      </c>
      <c r="JZ312" s="55">
        <f>SUMIFS(tblBudget[Recovered_oz],tblBudget[Month],$E312)</f>
        <v/>
      </c>
      <c r="KA312" s="55">
        <f>$JZ312*$C312/$D312</f>
        <v/>
      </c>
      <c r="KB312" s="55">
        <f>SUMIFS(tblBudget[Recovered_oz],tblBudget[Month],"&lt;"&amp;$E312)+$KA312</f>
        <v/>
      </c>
      <c r="KC312" s="55">
        <f>SUMIFS(tblBudget[Milled_t],tblBudget[Month],$E312)</f>
        <v/>
      </c>
      <c r="KD312" s="55">
        <f>$KC312*$C312/$D312</f>
        <v/>
      </c>
      <c r="KE312" s="55">
        <f>SUMIFS(tblBudget[Milled_t],tblBudget[Month],"&lt;"&amp;$E312)+$KD312</f>
        <v/>
      </c>
      <c r="KF312" s="55">
        <f>SUMIFS(tblBudget[Feed_oz],tblBudget[Month],$E312)</f>
        <v/>
      </c>
      <c r="KG312" s="55">
        <f>$KF312*$C312/$D312</f>
        <v/>
      </c>
      <c r="KH312" s="55">
        <f>SUMIFS(tblBudget[Feed_oz],tblBudget[Month],"&lt;"&amp;$E312)+$KG312</f>
        <v/>
      </c>
      <c r="KI312" s="56">
        <f>IFERROR(IF(($KC312)&gt;0,($JW312*cfg_TroyOz)/($KC312),""),"")</f>
        <v/>
      </c>
      <c r="KJ312" s="56">
        <f>IFERROR(IF(($KD312)&gt;0,($JX312*cfg_TroyOz)/($KD312),""),"")</f>
        <v/>
      </c>
      <c r="KK312" s="56">
        <f>IFERROR(IF(($KE312)&gt;0,($JY312*cfg_TroyOz)/($KE312),""),"")</f>
        <v/>
      </c>
      <c r="KL312" s="67">
        <f>IFERROR(IF(($KF312)&gt;0,($JZ312)/($KF312),""),"")</f>
        <v/>
      </c>
      <c r="KM312" s="67">
        <f>IFERROR(IF(($KG312)&gt;0,($KA312)/($KG312),""),"")</f>
        <v/>
      </c>
      <c r="KN312" s="67">
        <f>IFERROR(IF(($KH312)&gt;0,($KB312)/($KH312),""),"")</f>
        <v/>
      </c>
      <c r="KO312" s="55">
        <f>SUMIFS(tblBudget[Gold_Poured_oz],tblBudget[Month],$E312)</f>
        <v/>
      </c>
      <c r="KP312" s="55">
        <f>$KO312*$C312/$D312</f>
        <v/>
      </c>
      <c r="KQ312" s="55">
        <f>SUMIFS(tblBudget[Gold_Poured_oz],tblBudget[Month],"&lt;"&amp;$E312)+$KP312</f>
        <v/>
      </c>
      <c r="KR312" s="57">
        <f>SUMIFS(tblBudget[Hours_Worked],tblBudget[Month],$E312)</f>
        <v/>
      </c>
      <c r="KS312" s="57">
        <f>$KR312*$C312/$D312</f>
        <v/>
      </c>
      <c r="KT312" s="57">
        <f>SUMIFS(tblBudget[Hours_Worked],tblBudget[Month],"&lt;"&amp;$E312)+$KS312</f>
        <v/>
      </c>
    </row>
    <row r="313">
      <c r="A313" s="54" t="n">
        <v>46334</v>
      </c>
      <c r="B313">
        <f>MONTH($A313)</f>
        <v/>
      </c>
      <c r="C313">
        <f>DAY($A313)</f>
        <v/>
      </c>
      <c r="D313">
        <f>DAY(EOMONTH($A313,0))</f>
        <v/>
      </c>
      <c r="E313" s="54">
        <f>DATE(YEAR($A313),MONTH($A313),1)</f>
        <v/>
      </c>
      <c r="F313" s="55">
        <f>SUMIFS(tblMovement[Tonnes_t],tblMovement[Date],$A313,tblMovement[Is_Ore],1,tblMovement[Source_Type],"Pit")</f>
        <v/>
      </c>
      <c r="G313" s="55">
        <f>IF($B313=$B312,$G312,0)+$F313</f>
        <v/>
      </c>
      <c r="H313" s="55">
        <f>$H312+$F313</f>
        <v/>
      </c>
      <c r="I313" s="55">
        <f>SUMIFS(tblMovement[Ore_oz],tblMovement[Date],$A313,tblMovement[Source_Type],"Pit")</f>
        <v/>
      </c>
      <c r="J313" s="55">
        <f>IF($B313=$B312,$J312,0)+$I313</f>
        <v/>
      </c>
      <c r="K313" s="55">
        <f>$K312+$I313</f>
        <v/>
      </c>
      <c r="L313" s="55">
        <f>SUMIFS(tblMovement[Tonnes_t],tblMovement[Date],$A313,tblMovement[Is_Ore],1,tblMovement[Source_Type],"Pit",tblMovement[Grade_gpt],"&lt;&gt;")</f>
        <v/>
      </c>
      <c r="M313" s="55">
        <f>IF($B313=$B312,$M312,0)+$L313</f>
        <v/>
      </c>
      <c r="N313" s="55">
        <f>$N312+$L313</f>
        <v/>
      </c>
      <c r="O313" s="56">
        <f>IFERROR(IF(($L313)&gt;0,($I313*cfg_TroyOz)/($L313),""),"")</f>
        <v/>
      </c>
      <c r="P313" s="56">
        <f>IFERROR(IF(($M313)&gt;0,($J313*cfg_TroyOz)/($M313),""),"")</f>
        <v/>
      </c>
      <c r="Q313" s="56">
        <f>IFERROR(IF(($N313)&gt;0,($K313*cfg_TroyOz)/($N313),""),"")</f>
        <v/>
      </c>
      <c r="R313" s="55">
        <f>$F313-$L313</f>
        <v/>
      </c>
      <c r="S313" s="55">
        <f>IF($B313=$B312,$S312,0)+$R313</f>
        <v/>
      </c>
      <c r="T313" s="55">
        <f>$T312+$R313</f>
        <v/>
      </c>
      <c r="U313" s="55">
        <f>SUMIFS(tblMovement[Tonnes_t],tblMovement[Date],$A313,tblMovement[Is_Ore],0,tblMovement[Source_Type],"Pit")</f>
        <v/>
      </c>
      <c r="V313" s="55">
        <f>IF($B313=$B312,$V312,0)+$U313</f>
        <v/>
      </c>
      <c r="W313" s="55">
        <f>$W312+$U313</f>
        <v/>
      </c>
      <c r="X313" s="55">
        <f>$F313+$U313</f>
        <v/>
      </c>
      <c r="Y313" s="55">
        <f>IF($B313=$B312,$Y312,0)+$X313</f>
        <v/>
      </c>
      <c r="Z313" s="55">
        <f>$Z312+$X313</f>
        <v/>
      </c>
      <c r="AA313" s="56">
        <f>IFERROR(IF(($F313)&gt;0,($U313)/($F313),""),"")</f>
        <v/>
      </c>
      <c r="AB313" s="56">
        <f>IFERROR(IF(($G313)&gt;0,($V313)/($G313),""),"")</f>
        <v/>
      </c>
      <c r="AC313" s="56">
        <f>IFERROR(IF(($H313)&gt;0,($W313)/($H313),""),"")</f>
        <v/>
      </c>
      <c r="AD313" s="55">
        <f>SUMIFS(tblMovement[Tonnes_t],tblMovement[Date],$A313,tblMovement[Source_Type],"Stockpile")</f>
        <v/>
      </c>
      <c r="AE313" s="55">
        <f>IF($B313=$B312,$AE312,0)+$AD313</f>
        <v/>
      </c>
      <c r="AF313" s="55">
        <f>$AF312+$AD313</f>
        <v/>
      </c>
      <c r="AG313" s="55">
        <f>SUMIFS(tblMovement[Tonnes_t],tblMovement[Date],$A313)</f>
        <v/>
      </c>
      <c r="AH313" s="55">
        <f>IF($B313=$B312,$AH312,0)+$AG313</f>
        <v/>
      </c>
      <c r="AI313" s="55">
        <f>$AI312+$AG313</f>
        <v/>
      </c>
      <c r="AJ313" s="55">
        <f>$AG313-$X313-$AD313</f>
        <v/>
      </c>
      <c r="AK313" s="55">
        <f>IF($B313=$B312,$AK312,0)+$AJ313</f>
        <v/>
      </c>
      <c r="AL313" s="55">
        <f>$AL312+$AJ313</f>
        <v/>
      </c>
      <c r="AM313" s="55">
        <f>SUMIFS(tblMiningDaily[Drill_m],tblMiningDaily[Date],$A313)</f>
        <v/>
      </c>
      <c r="AN313" s="55">
        <f>IF($B313=$B312,$AN312,0)+$AM313</f>
        <v/>
      </c>
      <c r="AO313" s="55">
        <f>$AO312+$AM313</f>
        <v/>
      </c>
      <c r="AP313" s="55">
        <f>SUMIFS(tblMiningDaily[GC_Drill_m],tblMiningDaily[Date],$A313)</f>
        <v/>
      </c>
      <c r="AQ313" s="55">
        <f>IF($B313=$B312,$AQ312,0)+$AP313</f>
        <v/>
      </c>
      <c r="AR313" s="55">
        <f>$AR312+$AP313</f>
        <v/>
      </c>
      <c r="AS313" s="55">
        <f>SUMIFS(tblMiningDaily[Blast_t],tblMiningDaily[Date],$A313)</f>
        <v/>
      </c>
      <c r="AT313" s="55">
        <f>IF($B313=$B312,$AT312,0)+$AS313</f>
        <v/>
      </c>
      <c r="AU313" s="55">
        <f>$AU312+$AS313</f>
        <v/>
      </c>
      <c r="AV313" s="55">
        <f>SUMIFS(tblMiningDaily[Explosives_kg],tblMiningDaily[Date],$A313)</f>
        <v/>
      </c>
      <c r="AW313" s="55">
        <f>IF($B313=$B312,$AW312,0)+$AV313</f>
        <v/>
      </c>
      <c r="AX313" s="55">
        <f>$AX312+$AV313</f>
        <v/>
      </c>
      <c r="AY313" s="56">
        <f>IFERROR(IF(($AS313)&gt;0,($AV313)/($AS313),""),"")</f>
        <v/>
      </c>
      <c r="AZ313" s="56">
        <f>IFERROR(IF(($AT313)&gt;0,($AW313)/($AT313),""),"")</f>
        <v/>
      </c>
      <c r="BA313" s="56">
        <f>IFERROR(IF(($AU313)&gt;0,($AX313)/($AU313),""),"")</f>
        <v/>
      </c>
      <c r="BB313" s="55">
        <f>SUMIFS(tblMiningDaily[Diesel_L],tblMiningDaily[Date],$A313)</f>
        <v/>
      </c>
      <c r="BC313" s="55">
        <f>IF($B313=$B312,$BC312,0)+$BB313</f>
        <v/>
      </c>
      <c r="BD313" s="55">
        <f>$BD312+$BB313</f>
        <v/>
      </c>
      <c r="BE313" s="55">
        <f>SUMIFS(tblMiningDaily[Dewatering_m3],tblMiningDaily[Date],$A313)</f>
        <v/>
      </c>
      <c r="BF313" s="55">
        <f>IF($B313=$B312,$BF312,0)+$BE313</f>
        <v/>
      </c>
      <c r="BG313" s="55">
        <f>$BG312+$BE313</f>
        <v/>
      </c>
      <c r="BH313" s="57">
        <f>SUMIFS(tblFleet[Calendar_h],tblFleet[Date],$A313,tblFleet[Equipment_Class],"Excavator")</f>
        <v/>
      </c>
      <c r="BI313" s="57">
        <f>IF($B313=$B312,$BI312,0)+$BH313</f>
        <v/>
      </c>
      <c r="BJ313" s="57">
        <f>$BJ312+$BH313</f>
        <v/>
      </c>
      <c r="BK313" s="57">
        <f>SUMIFS(tblFleet[Available_h],tblFleet[Date],$A313,tblFleet[Equipment_Class],"Excavator")</f>
        <v/>
      </c>
      <c r="BL313" s="57">
        <f>IF($B313=$B312,$BL312,0)+$BK313</f>
        <v/>
      </c>
      <c r="BM313" s="57">
        <f>$BM312+$BK313</f>
        <v/>
      </c>
      <c r="BN313" s="57">
        <f>SUMIFS(tblFleet[Operating_h],tblFleet[Date],$A313,tblFleet[Equipment_Class],"Excavator")</f>
        <v/>
      </c>
      <c r="BO313" s="57">
        <f>IF($B313=$B312,$BO312,0)+$BN313</f>
        <v/>
      </c>
      <c r="BP313" s="57">
        <f>$BP312+$BN313</f>
        <v/>
      </c>
      <c r="BQ313" s="67">
        <f>IFERROR(IF(($BH313)&gt;0,($BK313)/($BH313),""),"")</f>
        <v/>
      </c>
      <c r="BR313" s="67">
        <f>IFERROR(IF(($BI313)&gt;0,($BL313)/($BI313),""),"")</f>
        <v/>
      </c>
      <c r="BS313" s="67">
        <f>IFERROR(IF(($BJ313)&gt;0,($BM313)/($BJ313),""),"")</f>
        <v/>
      </c>
      <c r="BT313" s="67">
        <f>IFERROR(IF(($BK313)&gt;0,($BN313)/($BK313),""),"")</f>
        <v/>
      </c>
      <c r="BU313" s="67">
        <f>IFERROR(IF(($BL313)&gt;0,($BO313)/($BL313),""),"")</f>
        <v/>
      </c>
      <c r="BV313" s="67">
        <f>IFERROR(IF(($BM313)&gt;0,($BP313)/($BM313),""),"")</f>
        <v/>
      </c>
      <c r="BW313" s="57">
        <f>SUMIFS(tblFleet[Calendar_h],tblFleet[Date],$A313,tblFleet[Equipment_Class],"Haul Truck")</f>
        <v/>
      </c>
      <c r="BX313" s="57">
        <f>IF($B313=$B312,$BX312,0)+$BW313</f>
        <v/>
      </c>
      <c r="BY313" s="57">
        <f>$BY312+$BW313</f>
        <v/>
      </c>
      <c r="BZ313" s="57">
        <f>SUMIFS(tblFleet[Available_h],tblFleet[Date],$A313,tblFleet[Equipment_Class],"Haul Truck")</f>
        <v/>
      </c>
      <c r="CA313" s="57">
        <f>IF($B313=$B312,$CA312,0)+$BZ313</f>
        <v/>
      </c>
      <c r="CB313" s="57">
        <f>$CB312+$BZ313</f>
        <v/>
      </c>
      <c r="CC313" s="57">
        <f>SUMIFS(tblFleet[Operating_h],tblFleet[Date],$A313,tblFleet[Equipment_Class],"Haul Truck")</f>
        <v/>
      </c>
      <c r="CD313" s="57">
        <f>IF($B313=$B312,$CD312,0)+$CC313</f>
        <v/>
      </c>
      <c r="CE313" s="57">
        <f>$CE312+$CC313</f>
        <v/>
      </c>
      <c r="CF313" s="67">
        <f>IFERROR(IF(($BW313)&gt;0,($BZ313)/($BW313),""),"")</f>
        <v/>
      </c>
      <c r="CG313" s="67">
        <f>IFERROR(IF(($BX313)&gt;0,($CA313)/($BX313),""),"")</f>
        <v/>
      </c>
      <c r="CH313" s="67">
        <f>IFERROR(IF(($BY313)&gt;0,($CB313)/($BY313),""),"")</f>
        <v/>
      </c>
      <c r="CI313" s="67">
        <f>IFERROR(IF(($BZ313)&gt;0,($CC313)/($BZ313),""),"")</f>
        <v/>
      </c>
      <c r="CJ313" s="67">
        <f>IFERROR(IF(($CA313)&gt;0,($CD313)/($CA313),""),"")</f>
        <v/>
      </c>
      <c r="CK313" s="67">
        <f>IFERROR(IF(($CB313)&gt;0,($CE313)/($CB313),""),"")</f>
        <v/>
      </c>
      <c r="CL313" s="55">
        <f>IFERROR(IF(($BN313)&gt;0,($X313+$AD313)/($BN313),""),"")</f>
        <v/>
      </c>
      <c r="CM313" s="55">
        <f>IFERROR(IF(($BO313)&gt;0,($Y313+$AE313)/($BO313),""),"")</f>
        <v/>
      </c>
      <c r="CN313" s="55">
        <f>IFERROR(IF(($BP313)&gt;0,($Z313+$AF313)/($BP313),""),"")</f>
        <v/>
      </c>
      <c r="CO313" s="55">
        <f>IFERROR(IF(($CC313)&gt;0,($X313+$AD313)/($CC313),""),"")</f>
        <v/>
      </c>
      <c r="CP313" s="55">
        <f>IFERROR(IF(($CD313)&gt;0,($Y313+$AE313)/($CD313),""),"")</f>
        <v/>
      </c>
      <c r="CQ313" s="55">
        <f>IFERROR(IF(($CE313)&gt;0,($Z313+$AF313)/($CE313),""),"")</f>
        <v/>
      </c>
      <c r="CR313" s="55">
        <f>SUMIFS(tblPlant[Crushed_t],tblPlant[Date],$A313)</f>
        <v/>
      </c>
      <c r="CS313" s="55">
        <f>IF($B313=$B312,$CS312,0)+$CR313</f>
        <v/>
      </c>
      <c r="CT313" s="55">
        <f>$CT312+$CR313</f>
        <v/>
      </c>
      <c r="CU313" s="55">
        <f>SUMIFS(tblPlant[Milled_t],tblPlant[Date],$A313)</f>
        <v/>
      </c>
      <c r="CV313" s="55">
        <f>IF($B313=$B312,$CV312,0)+$CU313</f>
        <v/>
      </c>
      <c r="CW313" s="55">
        <f>$CW312+$CU313</f>
        <v/>
      </c>
      <c r="CX313" s="55">
        <f>SUMIFS(tblPlant[Feed_oz],tblPlant[Date],$A313)</f>
        <v/>
      </c>
      <c r="CY313" s="55">
        <f>IF($B313=$B312,$CY312,0)+$CX313</f>
        <v/>
      </c>
      <c r="CZ313" s="55">
        <f>$CZ312+$CX313</f>
        <v/>
      </c>
      <c r="DA313" s="55">
        <f>SUMIFS(tblPlant[Tails_oz],tblPlant[Date],$A313)</f>
        <v/>
      </c>
      <c r="DB313" s="55">
        <f>IF($B313=$B312,$DB312,0)+$DA313</f>
        <v/>
      </c>
      <c r="DC313" s="55">
        <f>$DC312+$DA313</f>
        <v/>
      </c>
      <c r="DD313" s="55">
        <f>SUMIFS(tblPlant[Recovered_oz],tblPlant[Date],$A313)</f>
        <v/>
      </c>
      <c r="DE313" s="55">
        <f>IF($B313=$B312,$DE312,0)+$DD313</f>
        <v/>
      </c>
      <c r="DF313" s="55">
        <f>$DF312+$DD313</f>
        <v/>
      </c>
      <c r="DG313" s="55">
        <f>SUMIFS(tblPlant[Milled_t],tblPlant[Date],$A313,tblPlant[Head_Grade_gpt],"&lt;&gt;")</f>
        <v/>
      </c>
      <c r="DH313" s="55">
        <f>IF($B313=$B312,$DH312,0)+$DG313</f>
        <v/>
      </c>
      <c r="DI313" s="55">
        <f>$DI312+$DG313</f>
        <v/>
      </c>
      <c r="DJ313" s="55">
        <f>SUMIFS(tblPlant[Milled_t],tblPlant[Date],$A313,tblPlant[Tails_Grade_gpt],"&lt;&gt;")</f>
        <v/>
      </c>
      <c r="DK313" s="55">
        <f>IF($B313=$B312,$DK312,0)+$DJ313</f>
        <v/>
      </c>
      <c r="DL313" s="55">
        <f>$DL312+$DJ313</f>
        <v/>
      </c>
      <c r="DM313" s="55">
        <f>SUMIFS(tblPlant[Feed_oz],tblPlant[Date],$A313,tblPlant[Tails_Grade_gpt],"&lt;&gt;")</f>
        <v/>
      </c>
      <c r="DN313" s="55">
        <f>IF($B313=$B312,$DN312,0)+$DM313</f>
        <v/>
      </c>
      <c r="DO313" s="55">
        <f>$DO312+$DM313</f>
        <v/>
      </c>
      <c r="DP313" s="55">
        <f>SUMIFS(tblPlant[Milled_t],tblPlant[Date],$A313,tblPlant[Mill_Run_h],"&lt;&gt;")</f>
        <v/>
      </c>
      <c r="DQ313" s="55">
        <f>IF($B313=$B312,$DQ312,0)+$DP313</f>
        <v/>
      </c>
      <c r="DR313" s="55">
        <f>$DR312+$DP313</f>
        <v/>
      </c>
      <c r="DS313" s="56">
        <f>IFERROR(IF(($DG313)&gt;0,($CX313*cfg_TroyOz)/($DG313),""),"")</f>
        <v/>
      </c>
      <c r="DT313" s="56">
        <f>IFERROR(IF(($DH313)&gt;0,($CY313*cfg_TroyOz)/($DH313),""),"")</f>
        <v/>
      </c>
      <c r="DU313" s="56">
        <f>IFERROR(IF(($DI313)&gt;0,($CZ313*cfg_TroyOz)/($DI313),""),"")</f>
        <v/>
      </c>
      <c r="DV313" s="56">
        <f>IFERROR(IF(($DJ313)&gt;0,($DA313*cfg_TroyOz)/($DJ313),""),"")</f>
        <v/>
      </c>
      <c r="DW313" s="56">
        <f>IFERROR(IF(($DK313)&gt;0,($DB313*cfg_TroyOz)/($DK313),""),"")</f>
        <v/>
      </c>
      <c r="DX313" s="56">
        <f>IFERROR(IF(($DL313)&gt;0,($DC313*cfg_TroyOz)/($DL313),""),"")</f>
        <v/>
      </c>
      <c r="DY313" s="67">
        <f>IFERROR(IF(($DM313)&gt;0,($DD313)/($DM313),""),"")</f>
        <v/>
      </c>
      <c r="DZ313" s="67">
        <f>IFERROR(IF(($DN313)&gt;0,($DE313)/($DN313),""),"")</f>
        <v/>
      </c>
      <c r="EA313" s="67">
        <f>IFERROR(IF(($DO313)&gt;0,($DF313)/($DO313),""),"")</f>
        <v/>
      </c>
      <c r="EB313" s="55">
        <f>SUMIFS(tblPlant[Gravity_Gold_oz],tblPlant[Date],$A313)</f>
        <v/>
      </c>
      <c r="EC313" s="55">
        <f>IF($B313=$B312,$EC312,0)+$EB313</f>
        <v/>
      </c>
      <c r="ED313" s="55">
        <f>$ED312+$EB313</f>
        <v/>
      </c>
      <c r="EE313" s="67">
        <f>IFERROR(IF(($DD313)&gt;0,($EB313)/($DD313),""),"")</f>
        <v/>
      </c>
      <c r="EF313" s="67">
        <f>IFERROR(IF(($DE313)&gt;0,($EC313)/($DE313),""),"")</f>
        <v/>
      </c>
      <c r="EG313" s="67">
        <f>IFERROR(IF(($DF313)&gt;0,($ED313)/($DF313),""),"")</f>
        <v/>
      </c>
      <c r="EH313" s="55">
        <f>SUMIFS(tblPlant[Gold_Poured_oz],tblPlant[Date],$A313)</f>
        <v/>
      </c>
      <c r="EI313" s="55">
        <f>IF($B313=$B312,$EI312,0)+$EH313</f>
        <v/>
      </c>
      <c r="EJ313" s="55">
        <f>$EJ312+$EH313</f>
        <v/>
      </c>
      <c r="EK313" s="57">
        <f>SUMIFS(tblPlant[Mill_Run_h],tblPlant[Date],$A313)</f>
        <v/>
      </c>
      <c r="EL313" s="57">
        <f>IF($B313=$B312,$EL312,0)+$EK313</f>
        <v/>
      </c>
      <c r="EM313" s="57">
        <f>$EM312+$EK313</f>
        <v/>
      </c>
      <c r="EN313" s="57">
        <f>SUMIFS(tblPlant[Mill_Planned_Maint_h],tblPlant[Date],$A313)</f>
        <v/>
      </c>
      <c r="EO313" s="57">
        <f>IF($B313=$B312,$EO312,0)+$EN313</f>
        <v/>
      </c>
      <c r="EP313" s="57">
        <f>$EP312+$EN313</f>
        <v/>
      </c>
      <c r="EQ313" s="57">
        <f>SUMIFS(tblPlant[Mill_Unplanned_Down_h],tblPlant[Date],$A313)</f>
        <v/>
      </c>
      <c r="ER313" s="57">
        <f>IF($B313=$B312,$ER312,0)+$EQ313</f>
        <v/>
      </c>
      <c r="ES313" s="57">
        <f>$ES312+$EQ313</f>
        <v/>
      </c>
      <c r="ET313" s="57">
        <f>IF(COUNTIFS(tblPlant[Date],$A313,tblPlant[Mill_Run_h],"&lt;&gt;")+COUNTIFS(tblPlant[Date],$A313,tblPlant[Mill_Planned_Maint_h],"&lt;&gt;")+COUNTIFS(tblPlant[Date],$A313,tblPlant[Mill_Unplanned_Down_h],"&lt;&gt;")&gt;0,cfg_HoursPerDay,0)</f>
        <v/>
      </c>
      <c r="EU313" s="57">
        <f>IF($B313=$B312,$EU312,0)+$ET313</f>
        <v/>
      </c>
      <c r="EV313" s="57">
        <f>$EV312+$ET313</f>
        <v/>
      </c>
      <c r="EW313" s="57">
        <f>SUMIFS(tblPlant[Crusher_Run_h],tblPlant[Date],$A313)</f>
        <v/>
      </c>
      <c r="EX313" s="57">
        <f>IF($B313=$B312,$EX312,0)+$EW313</f>
        <v/>
      </c>
      <c r="EY313" s="57">
        <f>$EY312+$EW313</f>
        <v/>
      </c>
      <c r="EZ313" s="55">
        <f>IFERROR(IF(($EK313)&gt;0,($DP313)/($EK313),""),"")</f>
        <v/>
      </c>
      <c r="FA313" s="55">
        <f>IFERROR(IF(($EL313)&gt;0,($DQ313)/($EL313),""),"")</f>
        <v/>
      </c>
      <c r="FB313" s="55">
        <f>IFERROR(IF(($EM313)&gt;0,($DR313)/($EM313),""),"")</f>
        <v/>
      </c>
      <c r="FC313" s="67">
        <f>IFERROR(IF(($ET313)&gt;0,($ET313-$EN313-$EQ313)/($ET313),""),"")</f>
        <v/>
      </c>
      <c r="FD313" s="67">
        <f>IFERROR(IF(($EU313)&gt;0,($EU313-$EO313-$ER313)/($EU313),""),"")</f>
        <v/>
      </c>
      <c r="FE313" s="67">
        <f>IFERROR(IF(($EV313)&gt;0,($EV313-$EP313-$ES313)/($EV313),""),"")</f>
        <v/>
      </c>
      <c r="FF313" s="67">
        <f>IFERROR(IF(($ET313-$EN313-$EQ313)&gt;0,($EK313)/($ET313-$EN313-$EQ313),""),"")</f>
        <v/>
      </c>
      <c r="FG313" s="67">
        <f>IFERROR(IF(($EU313-$EO313-$ER313)&gt;0,($EL313)/($EU313-$EO313-$ER313),""),"")</f>
        <v/>
      </c>
      <c r="FH313" s="67">
        <f>IFERROR(IF(($EV313-$EP313-$ES313)&gt;0,($EM313)/($EV313-$EP313-$ES313),""),"")</f>
        <v/>
      </c>
      <c r="FI313" s="55">
        <f>SUMIFS(tblPlant[Cyanide_kg],tblPlant[Date],$A313)</f>
        <v/>
      </c>
      <c r="FJ313" s="55">
        <f>IF($B313=$B312,$FJ312,0)+$FI313</f>
        <v/>
      </c>
      <c r="FK313" s="55">
        <f>$FK312+$FI313</f>
        <v/>
      </c>
      <c r="FL313" s="55">
        <f>SUMIFS(tblPlant[Lime_kg],tblPlant[Date],$A313)</f>
        <v/>
      </c>
      <c r="FM313" s="55">
        <f>IF($B313=$B312,$FM312,0)+$FL313</f>
        <v/>
      </c>
      <c r="FN313" s="55">
        <f>$FN312+$FL313</f>
        <v/>
      </c>
      <c r="FO313" s="55">
        <f>SUMIFS(tblPlant[Grinding_Media_kg],tblPlant[Date],$A313)</f>
        <v/>
      </c>
      <c r="FP313" s="55">
        <f>IF($B313=$B312,$FP312,0)+$FO313</f>
        <v/>
      </c>
      <c r="FQ313" s="55">
        <f>$FQ312+$FO313</f>
        <v/>
      </c>
      <c r="FR313" s="55">
        <f>SUMIFS(tblPlant[Power_kWh],tblPlant[Date],$A313)</f>
        <v/>
      </c>
      <c r="FS313" s="55">
        <f>IF($B313=$B312,$FS312,0)+$FR313</f>
        <v/>
      </c>
      <c r="FT313" s="55">
        <f>$FT312+$FR313</f>
        <v/>
      </c>
      <c r="FU313" s="55">
        <f>SUMIFS(tblPlant[Raw_Water_m3],tblPlant[Date],$A313)</f>
        <v/>
      </c>
      <c r="FV313" s="55">
        <f>IF($B313=$B312,$FV312,0)+$FU313</f>
        <v/>
      </c>
      <c r="FW313" s="55">
        <f>$FW312+$FU313</f>
        <v/>
      </c>
      <c r="FX313" s="56">
        <f>IFERROR(IF(($CU313)&gt;0,($FI313)/($CU313),""),"")</f>
        <v/>
      </c>
      <c r="FY313" s="56">
        <f>IFERROR(IF(($CV313)&gt;0,($FJ313)/($CV313),""),"")</f>
        <v/>
      </c>
      <c r="FZ313" s="56">
        <f>IFERROR(IF(($CW313)&gt;0,($FK313)/($CW313),""),"")</f>
        <v/>
      </c>
      <c r="GA313" s="56">
        <f>IFERROR(IF(($CU313)&gt;0,($FL313)/($CU313),""),"")</f>
        <v/>
      </c>
      <c r="GB313" s="56">
        <f>IFERROR(IF(($CV313)&gt;0,($FM313)/($CV313),""),"")</f>
        <v/>
      </c>
      <c r="GC313" s="56">
        <f>IFERROR(IF(($CW313)&gt;0,($FN313)/($CW313),""),"")</f>
        <v/>
      </c>
      <c r="GD313" s="56">
        <f>IFERROR(IF(($CU313)&gt;0,($FO313)/($CU313),""),"")</f>
        <v/>
      </c>
      <c r="GE313" s="56">
        <f>IFERROR(IF(($CV313)&gt;0,($FP313)/($CV313),""),"")</f>
        <v/>
      </c>
      <c r="GF313" s="56">
        <f>IFERROR(IF(($CW313)&gt;0,($FQ313)/($CW313),""),"")</f>
        <v/>
      </c>
      <c r="GG313" s="79">
        <f>IFERROR(IF(($CU313)&gt;0,($FR313)/($CU313),""),"")</f>
        <v/>
      </c>
      <c r="GH313" s="79">
        <f>IFERROR(IF(($CV313)&gt;0,($FS313)/($CV313),""),"")</f>
        <v/>
      </c>
      <c r="GI313" s="79">
        <f>IFERROR(IF(($CW313)&gt;0,($FT313)/($CW313),""),"")</f>
        <v/>
      </c>
      <c r="GJ313" s="56">
        <f>IFERROR(IF(($CU313)&gt;0,($FU313)/($CU313),""),"")</f>
        <v/>
      </c>
      <c r="GK313" s="56">
        <f>IFERROR(IF(($CV313)&gt;0,($FV313)/($CV313),""),"")</f>
        <v/>
      </c>
      <c r="GL313" s="56">
        <f>IFERROR(IF(($CW313)&gt;0,($FW313)/($CW313),""),"")</f>
        <v/>
      </c>
      <c r="GM313" s="55">
        <f>IF(SUMIFS(tblPlant[GIC_oz],tblPlant[Date],$A313)&gt;0,SUMIFS(tblPlant[GIC_oz],tblPlant[Date],$A313),"")</f>
        <v/>
      </c>
      <c r="GN313" s="55">
        <f>SUMIFS(tblGold[Gold_oz],tblGold[Date],$A313,tblGold[Type],"Shipment")</f>
        <v/>
      </c>
      <c r="GO313" s="55">
        <f>IF($B313=$B312,$GO312,0)+$GN313</f>
        <v/>
      </c>
      <c r="GP313" s="55">
        <f>$GP312+$GN313</f>
        <v/>
      </c>
      <c r="GQ313" s="55">
        <f>SUMIFS(tblGold[Gold_oz],tblGold[Date],$A313,tblGold[Type],"Sale")</f>
        <v/>
      </c>
      <c r="GR313" s="55">
        <f>IF($B313=$B312,$GR312,0)+$GQ313</f>
        <v/>
      </c>
      <c r="GS313" s="55">
        <f>$GS312+$GQ313</f>
        <v/>
      </c>
      <c r="GT313" s="55">
        <f>SUMIFS(tblGold[Dore_kg],tblGold[Date],$A313,tblGold[Type],"Shipment")</f>
        <v/>
      </c>
      <c r="GU313" s="55">
        <f>IF($B313=$B312,$GU312,0)+$GT313</f>
        <v/>
      </c>
      <c r="GV313" s="55">
        <f>$GV312+$GT313</f>
        <v/>
      </c>
      <c r="GW313" s="57">
        <f>SUMIFS(tblSafety[Hours_Total],tblSafety[Date],$A313)</f>
        <v/>
      </c>
      <c r="GX313" s="57">
        <f>IF($B313=$B312,$GX312,0)+$GW313</f>
        <v/>
      </c>
      <c r="GY313" s="57">
        <f>$GY312+$GW313</f>
        <v/>
      </c>
      <c r="GZ313" s="62">
        <f>SUMIFS(tblSafety[Fatality],tblSafety[Date],$A313)</f>
        <v/>
      </c>
      <c r="HA313" s="62">
        <f>IF($B313=$B312,$HA312,0)+$GZ313</f>
        <v/>
      </c>
      <c r="HB313" s="62">
        <f>$HB312+$GZ313</f>
        <v/>
      </c>
      <c r="HC313" s="62">
        <f>SUMIFS(tblSafety[LTI],tblSafety[Date],$A313)</f>
        <v/>
      </c>
      <c r="HD313" s="62">
        <f>IF($B313=$B312,$HD312,0)+$HC313</f>
        <v/>
      </c>
      <c r="HE313" s="62">
        <f>$HE312+$HC313</f>
        <v/>
      </c>
      <c r="HF313" s="62">
        <f>SUMIFS(tblSafety[RWI],tblSafety[Date],$A313)</f>
        <v/>
      </c>
      <c r="HG313" s="62">
        <f>IF($B313=$B312,$HG312,0)+$HF313</f>
        <v/>
      </c>
      <c r="HH313" s="62">
        <f>$HH312+$HF313</f>
        <v/>
      </c>
      <c r="HI313" s="62">
        <f>SUMIFS(tblSafety[MTI],tblSafety[Date],$A313)</f>
        <v/>
      </c>
      <c r="HJ313" s="62">
        <f>IF($B313=$B312,$HJ312,0)+$HI313</f>
        <v/>
      </c>
      <c r="HK313" s="62">
        <f>$HK312+$HI313</f>
        <v/>
      </c>
      <c r="HL313" s="62">
        <f>SUMIFS(tblSafety[FAI],tblSafety[Date],$A313)</f>
        <v/>
      </c>
      <c r="HM313" s="62">
        <f>IF($B313=$B312,$HM312,0)+$HL313</f>
        <v/>
      </c>
      <c r="HN313" s="62">
        <f>$HN312+$HL313</f>
        <v/>
      </c>
      <c r="HO313" s="62">
        <f>SUMIFS(tblSafety[Recordables],tblSafety[Date],$A313)</f>
        <v/>
      </c>
      <c r="HP313" s="62">
        <f>IF($B313=$B312,$HP312,0)+$HO313</f>
        <v/>
      </c>
      <c r="HQ313" s="62">
        <f>$HQ312+$HO313</f>
        <v/>
      </c>
      <c r="HR313" s="62">
        <f>SUMIFS(tblSafety[Near_Miss],tblSafety[Date],$A313)</f>
        <v/>
      </c>
      <c r="HS313" s="62">
        <f>IF($B313=$B312,$HS312,0)+$HR313</f>
        <v/>
      </c>
      <c r="HT313" s="62">
        <f>$HT312+$HR313</f>
        <v/>
      </c>
      <c r="HU313" s="62">
        <f>SUMIFS(tblSafety[Hazard_Reports],tblSafety[Date],$A313)</f>
        <v/>
      </c>
      <c r="HV313" s="62">
        <f>IF($B313=$B312,$HV312,0)+$HU313</f>
        <v/>
      </c>
      <c r="HW313" s="62">
        <f>$HW312+$HU313</f>
        <v/>
      </c>
      <c r="HX313" s="62">
        <f>SUMIFS(tblSafety[HPI],tblSafety[Date],$A313)</f>
        <v/>
      </c>
      <c r="HY313" s="62">
        <f>IF($B313=$B312,$HY312,0)+$HX313</f>
        <v/>
      </c>
      <c r="HZ313" s="62">
        <f>$HZ312+$HX313</f>
        <v/>
      </c>
      <c r="IA313" s="62">
        <f>SUMIFS(tblSafety[Env_Incidents],tblSafety[Date],$A313)</f>
        <v/>
      </c>
      <c r="IB313" s="62">
        <f>IF($B313=$B312,$IB312,0)+$IA313</f>
        <v/>
      </c>
      <c r="IC313" s="62">
        <f>$IC312+$IA313</f>
        <v/>
      </c>
      <c r="ID313" s="62">
        <f>SUMIFS(tblSafety[Community_Incidents],tblSafety[Date],$A313)</f>
        <v/>
      </c>
      <c r="IE313" s="62">
        <f>IF($B313=$B312,$IE312,0)+$ID313</f>
        <v/>
      </c>
      <c r="IF313" s="62">
        <f>$IF312+$ID313</f>
        <v/>
      </c>
      <c r="IG313" s="62">
        <f>SUMIFS(tblSafety[Vehicle_Incidents],tblSafety[Date],$A313)</f>
        <v/>
      </c>
      <c r="IH313" s="62">
        <f>IF($B313=$B312,$IH312,0)+$IG313</f>
        <v/>
      </c>
      <c r="II313" s="62">
        <f>$II312+$IG313</f>
        <v/>
      </c>
      <c r="IJ313" s="62">
        <f>SUMIFS(tblSafety[Toolbox_Talks],tblSafety[Date],$A313)</f>
        <v/>
      </c>
      <c r="IK313" s="62">
        <f>IF($B313=$B312,$IK312,0)+$IJ313</f>
        <v/>
      </c>
      <c r="IL313" s="62">
        <f>$IL312+$IJ313</f>
        <v/>
      </c>
      <c r="IM313" s="62">
        <f>SUMIFS(tblSafety[Inspections],tblSafety[Date],$A313)</f>
        <v/>
      </c>
      <c r="IN313" s="62">
        <f>IF($B313=$B312,$IN312,0)+$IM313</f>
        <v/>
      </c>
      <c r="IO313" s="62">
        <f>$IO312+$IM313</f>
        <v/>
      </c>
      <c r="IP313" s="56">
        <f>IFERROR((SUMIFS(tblSafety[Recordables],tblSafety[Date],"&gt;="&amp;EDATE($E313,-12),tblSafety[Date],"&lt;="&amp;$A313)+SUMIFS(tblSafetyHistory[Recordables],tblSafetyHistory[Month],"&gt;="&amp;EDATE($E313,-12),tblSafetyHistory[Month],"&lt;"&amp;$E313,tblSafetyHistory[Use],1))/(SUMIFS(tblSafety[Hours_Total],tblSafety[Date],"&gt;="&amp;EDATE($E313,-12),tblSafety[Date],"&lt;="&amp;$A313)+SUMIFS(tblSafetyHistory[Hours_Total],tblSafetyHistory[Month],"&gt;="&amp;EDATE($E313,-12),tblSafetyHistory[Month],"&lt;"&amp;$E313,tblSafetyHistory[Use],1))*cfg_RateBasisHours,"")</f>
        <v/>
      </c>
      <c r="IQ313" s="56">
        <f>IFERROR((SUMIFS(tblSafety[LTI],tblSafety[Date],"&gt;="&amp;EDATE($E313,-12),tblSafety[Date],"&lt;="&amp;$A313)+SUMIFS(tblSafetyHistory[LTI],tblSafetyHistory[Month],"&gt;="&amp;EDATE($E313,-12),tblSafetyHistory[Month],"&lt;"&amp;$E313,tblSafetyHistory[Use],1))/(SUMIFS(tblSafety[Hours_Total],tblSafety[Date],"&gt;="&amp;EDATE($E313,-12),tblSafety[Date],"&lt;="&amp;$A313)+SUMIFS(tblSafetyHistory[Hours_Total],tblSafetyHistory[Month],"&gt;="&amp;EDATE($E313,-12),tblSafetyHistory[Month],"&lt;"&amp;$E313,tblSafetyHistory[Use],1))*cfg_RateBasisHours,"")</f>
        <v/>
      </c>
      <c r="IR313" s="62">
        <f>IF(MAX(N(cfg_PriorLTIDate),_xlfn.MAXIFS(tblSafety[Date],tblSafety[LTI],"&gt;0",tblSafety[Date],"&lt;="&amp;$A313))=0,"",$A313-MAX(N(cfg_PriorLTIDate),_xlfn.MAXIFS(tblSafety[Date],tblSafety[LTI],"&gt;0",tblSafety[Date],"&lt;="&amp;$A313)))</f>
        <v/>
      </c>
      <c r="IS313" s="55">
        <f>SUMIFS(tblBudget[Ore_Mined_t],tblBudget[Month],$E313)</f>
        <v/>
      </c>
      <c r="IT313" s="55">
        <f>$IS313*$C313/$D313</f>
        <v/>
      </c>
      <c r="IU313" s="55">
        <f>SUMIFS(tblBudget[Ore_Mined_t],tblBudget[Month],"&lt;"&amp;$E313)+$IT313</f>
        <v/>
      </c>
      <c r="IV313" s="55">
        <f>SUMIFS(tblBudget[Ore_oz],tblBudget[Month],$E313)</f>
        <v/>
      </c>
      <c r="IW313" s="55">
        <f>$IV313*$C313/$D313</f>
        <v/>
      </c>
      <c r="IX313" s="55">
        <f>SUMIFS(tblBudget[Ore_oz],tblBudget[Month],"&lt;"&amp;$E313)+$IW313</f>
        <v/>
      </c>
      <c r="IY313" s="55">
        <f>SUMIFS(tblBudget[Ore_Mined_t],tblBudget[Month],$E313)</f>
        <v/>
      </c>
      <c r="IZ313" s="55">
        <f>$IY313*$C313/$D313</f>
        <v/>
      </c>
      <c r="JA313" s="55">
        <f>SUMIFS(tblBudget[Ore_Mined_t],tblBudget[Month],"&lt;"&amp;$E313)+$IZ313</f>
        <v/>
      </c>
      <c r="JB313" s="56">
        <f>IFERROR(IF(($IY313)&gt;0,($IV313*cfg_TroyOz)/($IY313),""),"")</f>
        <v/>
      </c>
      <c r="JC313" s="56">
        <f>IFERROR(IF(($IZ313)&gt;0,($IW313*cfg_TroyOz)/($IZ313),""),"")</f>
        <v/>
      </c>
      <c r="JD313" s="56">
        <f>IFERROR(IF(($JA313)&gt;0,($IX313*cfg_TroyOz)/($JA313),""),"")</f>
        <v/>
      </c>
      <c r="JE313" s="55">
        <f>SUMIFS(tblBudget[Waste_t],tblBudget[Month],$E313)</f>
        <v/>
      </c>
      <c r="JF313" s="55">
        <f>$JE313*$C313/$D313</f>
        <v/>
      </c>
      <c r="JG313" s="55">
        <f>SUMIFS(tblBudget[Waste_t],tblBudget[Month],"&lt;"&amp;$E313)+$JF313</f>
        <v/>
      </c>
      <c r="JH313" s="55">
        <f>SUMIFS(tblBudget[TMM_t],tblBudget[Month],$E313)</f>
        <v/>
      </c>
      <c r="JI313" s="55">
        <f>$JH313*$C313/$D313</f>
        <v/>
      </c>
      <c r="JJ313" s="55">
        <f>SUMIFS(tblBudget[TMM_t],tblBudget[Month],"&lt;"&amp;$E313)+$JI313</f>
        <v/>
      </c>
      <c r="JK313" s="56">
        <f>IFERROR(IF(($IS313)&gt;0,($JE313)/($IS313),""),"")</f>
        <v/>
      </c>
      <c r="JL313" s="56">
        <f>IFERROR(IF(($IT313)&gt;0,($JF313)/($IT313),""),"")</f>
        <v/>
      </c>
      <c r="JM313" s="56">
        <f>IFERROR(IF(($IU313)&gt;0,($JG313)/($IU313),""),"")</f>
        <v/>
      </c>
      <c r="JN313" s="55">
        <f>SUMIFS(tblBudget[Drill_m],tblBudget[Month],$E313)</f>
        <v/>
      </c>
      <c r="JO313" s="55">
        <f>$JN313*$C313/$D313</f>
        <v/>
      </c>
      <c r="JP313" s="55">
        <f>SUMIFS(tblBudget[Drill_m],tblBudget[Month],"&lt;"&amp;$E313)+$JO313</f>
        <v/>
      </c>
      <c r="JQ313" s="55">
        <f>SUMIFS(tblBudget[Diesel_L],tblBudget[Month],$E313)</f>
        <v/>
      </c>
      <c r="JR313" s="55">
        <f>$JQ313*$C313/$D313</f>
        <v/>
      </c>
      <c r="JS313" s="55">
        <f>SUMIFS(tblBudget[Diesel_L],tblBudget[Month],"&lt;"&amp;$E313)+$JR313</f>
        <v/>
      </c>
      <c r="JT313" s="55">
        <f>SUMIFS(tblBudget[Milled_t],tblBudget[Month],$E313)</f>
        <v/>
      </c>
      <c r="JU313" s="55">
        <f>$JT313*$C313/$D313</f>
        <v/>
      </c>
      <c r="JV313" s="55">
        <f>SUMIFS(tblBudget[Milled_t],tblBudget[Month],"&lt;"&amp;$E313)+$JU313</f>
        <v/>
      </c>
      <c r="JW313" s="55">
        <f>SUMIFS(tblBudget[Feed_oz],tblBudget[Month],$E313)</f>
        <v/>
      </c>
      <c r="JX313" s="55">
        <f>$JW313*$C313/$D313</f>
        <v/>
      </c>
      <c r="JY313" s="55">
        <f>SUMIFS(tblBudget[Feed_oz],tblBudget[Month],"&lt;"&amp;$E313)+$JX313</f>
        <v/>
      </c>
      <c r="JZ313" s="55">
        <f>SUMIFS(tblBudget[Recovered_oz],tblBudget[Month],$E313)</f>
        <v/>
      </c>
      <c r="KA313" s="55">
        <f>$JZ313*$C313/$D313</f>
        <v/>
      </c>
      <c r="KB313" s="55">
        <f>SUMIFS(tblBudget[Recovered_oz],tblBudget[Month],"&lt;"&amp;$E313)+$KA313</f>
        <v/>
      </c>
      <c r="KC313" s="55">
        <f>SUMIFS(tblBudget[Milled_t],tblBudget[Month],$E313)</f>
        <v/>
      </c>
      <c r="KD313" s="55">
        <f>$KC313*$C313/$D313</f>
        <v/>
      </c>
      <c r="KE313" s="55">
        <f>SUMIFS(tblBudget[Milled_t],tblBudget[Month],"&lt;"&amp;$E313)+$KD313</f>
        <v/>
      </c>
      <c r="KF313" s="55">
        <f>SUMIFS(tblBudget[Feed_oz],tblBudget[Month],$E313)</f>
        <v/>
      </c>
      <c r="KG313" s="55">
        <f>$KF313*$C313/$D313</f>
        <v/>
      </c>
      <c r="KH313" s="55">
        <f>SUMIFS(tblBudget[Feed_oz],tblBudget[Month],"&lt;"&amp;$E313)+$KG313</f>
        <v/>
      </c>
      <c r="KI313" s="56">
        <f>IFERROR(IF(($KC313)&gt;0,($JW313*cfg_TroyOz)/($KC313),""),"")</f>
        <v/>
      </c>
      <c r="KJ313" s="56">
        <f>IFERROR(IF(($KD313)&gt;0,($JX313*cfg_TroyOz)/($KD313),""),"")</f>
        <v/>
      </c>
      <c r="KK313" s="56">
        <f>IFERROR(IF(($KE313)&gt;0,($JY313*cfg_TroyOz)/($KE313),""),"")</f>
        <v/>
      </c>
      <c r="KL313" s="67">
        <f>IFERROR(IF(($KF313)&gt;0,($JZ313)/($KF313),""),"")</f>
        <v/>
      </c>
      <c r="KM313" s="67">
        <f>IFERROR(IF(($KG313)&gt;0,($KA313)/($KG313),""),"")</f>
        <v/>
      </c>
      <c r="KN313" s="67">
        <f>IFERROR(IF(($KH313)&gt;0,($KB313)/($KH313),""),"")</f>
        <v/>
      </c>
      <c r="KO313" s="55">
        <f>SUMIFS(tblBudget[Gold_Poured_oz],tblBudget[Month],$E313)</f>
        <v/>
      </c>
      <c r="KP313" s="55">
        <f>$KO313*$C313/$D313</f>
        <v/>
      </c>
      <c r="KQ313" s="55">
        <f>SUMIFS(tblBudget[Gold_Poured_oz],tblBudget[Month],"&lt;"&amp;$E313)+$KP313</f>
        <v/>
      </c>
      <c r="KR313" s="57">
        <f>SUMIFS(tblBudget[Hours_Worked],tblBudget[Month],$E313)</f>
        <v/>
      </c>
      <c r="KS313" s="57">
        <f>$KR313*$C313/$D313</f>
        <v/>
      </c>
      <c r="KT313" s="57">
        <f>SUMIFS(tblBudget[Hours_Worked],tblBudget[Month],"&lt;"&amp;$E313)+$KS313</f>
        <v/>
      </c>
    </row>
    <row r="314">
      <c r="A314" s="54" t="n">
        <v>46335</v>
      </c>
      <c r="B314">
        <f>MONTH($A314)</f>
        <v/>
      </c>
      <c r="C314">
        <f>DAY($A314)</f>
        <v/>
      </c>
      <c r="D314">
        <f>DAY(EOMONTH($A314,0))</f>
        <v/>
      </c>
      <c r="E314" s="54">
        <f>DATE(YEAR($A314),MONTH($A314),1)</f>
        <v/>
      </c>
      <c r="F314" s="55">
        <f>SUMIFS(tblMovement[Tonnes_t],tblMovement[Date],$A314,tblMovement[Is_Ore],1,tblMovement[Source_Type],"Pit")</f>
        <v/>
      </c>
      <c r="G314" s="55">
        <f>IF($B314=$B313,$G313,0)+$F314</f>
        <v/>
      </c>
      <c r="H314" s="55">
        <f>$H313+$F314</f>
        <v/>
      </c>
      <c r="I314" s="55">
        <f>SUMIFS(tblMovement[Ore_oz],tblMovement[Date],$A314,tblMovement[Source_Type],"Pit")</f>
        <v/>
      </c>
      <c r="J314" s="55">
        <f>IF($B314=$B313,$J313,0)+$I314</f>
        <v/>
      </c>
      <c r="K314" s="55">
        <f>$K313+$I314</f>
        <v/>
      </c>
      <c r="L314" s="55">
        <f>SUMIFS(tblMovement[Tonnes_t],tblMovement[Date],$A314,tblMovement[Is_Ore],1,tblMovement[Source_Type],"Pit",tblMovement[Grade_gpt],"&lt;&gt;")</f>
        <v/>
      </c>
      <c r="M314" s="55">
        <f>IF($B314=$B313,$M313,0)+$L314</f>
        <v/>
      </c>
      <c r="N314" s="55">
        <f>$N313+$L314</f>
        <v/>
      </c>
      <c r="O314" s="56">
        <f>IFERROR(IF(($L314)&gt;0,($I314*cfg_TroyOz)/($L314),""),"")</f>
        <v/>
      </c>
      <c r="P314" s="56">
        <f>IFERROR(IF(($M314)&gt;0,($J314*cfg_TroyOz)/($M314),""),"")</f>
        <v/>
      </c>
      <c r="Q314" s="56">
        <f>IFERROR(IF(($N314)&gt;0,($K314*cfg_TroyOz)/($N314),""),"")</f>
        <v/>
      </c>
      <c r="R314" s="55">
        <f>$F314-$L314</f>
        <v/>
      </c>
      <c r="S314" s="55">
        <f>IF($B314=$B313,$S313,0)+$R314</f>
        <v/>
      </c>
      <c r="T314" s="55">
        <f>$T313+$R314</f>
        <v/>
      </c>
      <c r="U314" s="55">
        <f>SUMIFS(tblMovement[Tonnes_t],tblMovement[Date],$A314,tblMovement[Is_Ore],0,tblMovement[Source_Type],"Pit")</f>
        <v/>
      </c>
      <c r="V314" s="55">
        <f>IF($B314=$B313,$V313,0)+$U314</f>
        <v/>
      </c>
      <c r="W314" s="55">
        <f>$W313+$U314</f>
        <v/>
      </c>
      <c r="X314" s="55">
        <f>$F314+$U314</f>
        <v/>
      </c>
      <c r="Y314" s="55">
        <f>IF($B314=$B313,$Y313,0)+$X314</f>
        <v/>
      </c>
      <c r="Z314" s="55">
        <f>$Z313+$X314</f>
        <v/>
      </c>
      <c r="AA314" s="56">
        <f>IFERROR(IF(($F314)&gt;0,($U314)/($F314),""),"")</f>
        <v/>
      </c>
      <c r="AB314" s="56">
        <f>IFERROR(IF(($G314)&gt;0,($V314)/($G314),""),"")</f>
        <v/>
      </c>
      <c r="AC314" s="56">
        <f>IFERROR(IF(($H314)&gt;0,($W314)/($H314),""),"")</f>
        <v/>
      </c>
      <c r="AD314" s="55">
        <f>SUMIFS(tblMovement[Tonnes_t],tblMovement[Date],$A314,tblMovement[Source_Type],"Stockpile")</f>
        <v/>
      </c>
      <c r="AE314" s="55">
        <f>IF($B314=$B313,$AE313,0)+$AD314</f>
        <v/>
      </c>
      <c r="AF314" s="55">
        <f>$AF313+$AD314</f>
        <v/>
      </c>
      <c r="AG314" s="55">
        <f>SUMIFS(tblMovement[Tonnes_t],tblMovement[Date],$A314)</f>
        <v/>
      </c>
      <c r="AH314" s="55">
        <f>IF($B314=$B313,$AH313,0)+$AG314</f>
        <v/>
      </c>
      <c r="AI314" s="55">
        <f>$AI313+$AG314</f>
        <v/>
      </c>
      <c r="AJ314" s="55">
        <f>$AG314-$X314-$AD314</f>
        <v/>
      </c>
      <c r="AK314" s="55">
        <f>IF($B314=$B313,$AK313,0)+$AJ314</f>
        <v/>
      </c>
      <c r="AL314" s="55">
        <f>$AL313+$AJ314</f>
        <v/>
      </c>
      <c r="AM314" s="55">
        <f>SUMIFS(tblMiningDaily[Drill_m],tblMiningDaily[Date],$A314)</f>
        <v/>
      </c>
      <c r="AN314" s="55">
        <f>IF($B314=$B313,$AN313,0)+$AM314</f>
        <v/>
      </c>
      <c r="AO314" s="55">
        <f>$AO313+$AM314</f>
        <v/>
      </c>
      <c r="AP314" s="55">
        <f>SUMIFS(tblMiningDaily[GC_Drill_m],tblMiningDaily[Date],$A314)</f>
        <v/>
      </c>
      <c r="AQ314" s="55">
        <f>IF($B314=$B313,$AQ313,0)+$AP314</f>
        <v/>
      </c>
      <c r="AR314" s="55">
        <f>$AR313+$AP314</f>
        <v/>
      </c>
      <c r="AS314" s="55">
        <f>SUMIFS(tblMiningDaily[Blast_t],tblMiningDaily[Date],$A314)</f>
        <v/>
      </c>
      <c r="AT314" s="55">
        <f>IF($B314=$B313,$AT313,0)+$AS314</f>
        <v/>
      </c>
      <c r="AU314" s="55">
        <f>$AU313+$AS314</f>
        <v/>
      </c>
      <c r="AV314" s="55">
        <f>SUMIFS(tblMiningDaily[Explosives_kg],tblMiningDaily[Date],$A314)</f>
        <v/>
      </c>
      <c r="AW314" s="55">
        <f>IF($B314=$B313,$AW313,0)+$AV314</f>
        <v/>
      </c>
      <c r="AX314" s="55">
        <f>$AX313+$AV314</f>
        <v/>
      </c>
      <c r="AY314" s="56">
        <f>IFERROR(IF(($AS314)&gt;0,($AV314)/($AS314),""),"")</f>
        <v/>
      </c>
      <c r="AZ314" s="56">
        <f>IFERROR(IF(($AT314)&gt;0,($AW314)/($AT314),""),"")</f>
        <v/>
      </c>
      <c r="BA314" s="56">
        <f>IFERROR(IF(($AU314)&gt;0,($AX314)/($AU314),""),"")</f>
        <v/>
      </c>
      <c r="BB314" s="55">
        <f>SUMIFS(tblMiningDaily[Diesel_L],tblMiningDaily[Date],$A314)</f>
        <v/>
      </c>
      <c r="BC314" s="55">
        <f>IF($B314=$B313,$BC313,0)+$BB314</f>
        <v/>
      </c>
      <c r="BD314" s="55">
        <f>$BD313+$BB314</f>
        <v/>
      </c>
      <c r="BE314" s="55">
        <f>SUMIFS(tblMiningDaily[Dewatering_m3],tblMiningDaily[Date],$A314)</f>
        <v/>
      </c>
      <c r="BF314" s="55">
        <f>IF($B314=$B313,$BF313,0)+$BE314</f>
        <v/>
      </c>
      <c r="BG314" s="55">
        <f>$BG313+$BE314</f>
        <v/>
      </c>
      <c r="BH314" s="57">
        <f>SUMIFS(tblFleet[Calendar_h],tblFleet[Date],$A314,tblFleet[Equipment_Class],"Excavator")</f>
        <v/>
      </c>
      <c r="BI314" s="57">
        <f>IF($B314=$B313,$BI313,0)+$BH314</f>
        <v/>
      </c>
      <c r="BJ314" s="57">
        <f>$BJ313+$BH314</f>
        <v/>
      </c>
      <c r="BK314" s="57">
        <f>SUMIFS(tblFleet[Available_h],tblFleet[Date],$A314,tblFleet[Equipment_Class],"Excavator")</f>
        <v/>
      </c>
      <c r="BL314" s="57">
        <f>IF($B314=$B313,$BL313,0)+$BK314</f>
        <v/>
      </c>
      <c r="BM314" s="57">
        <f>$BM313+$BK314</f>
        <v/>
      </c>
      <c r="BN314" s="57">
        <f>SUMIFS(tblFleet[Operating_h],tblFleet[Date],$A314,tblFleet[Equipment_Class],"Excavator")</f>
        <v/>
      </c>
      <c r="BO314" s="57">
        <f>IF($B314=$B313,$BO313,0)+$BN314</f>
        <v/>
      </c>
      <c r="BP314" s="57">
        <f>$BP313+$BN314</f>
        <v/>
      </c>
      <c r="BQ314" s="67">
        <f>IFERROR(IF(($BH314)&gt;0,($BK314)/($BH314),""),"")</f>
        <v/>
      </c>
      <c r="BR314" s="67">
        <f>IFERROR(IF(($BI314)&gt;0,($BL314)/($BI314),""),"")</f>
        <v/>
      </c>
      <c r="BS314" s="67">
        <f>IFERROR(IF(($BJ314)&gt;0,($BM314)/($BJ314),""),"")</f>
        <v/>
      </c>
      <c r="BT314" s="67">
        <f>IFERROR(IF(($BK314)&gt;0,($BN314)/($BK314),""),"")</f>
        <v/>
      </c>
      <c r="BU314" s="67">
        <f>IFERROR(IF(($BL314)&gt;0,($BO314)/($BL314),""),"")</f>
        <v/>
      </c>
      <c r="BV314" s="67">
        <f>IFERROR(IF(($BM314)&gt;0,($BP314)/($BM314),""),"")</f>
        <v/>
      </c>
      <c r="BW314" s="57">
        <f>SUMIFS(tblFleet[Calendar_h],tblFleet[Date],$A314,tblFleet[Equipment_Class],"Haul Truck")</f>
        <v/>
      </c>
      <c r="BX314" s="57">
        <f>IF($B314=$B313,$BX313,0)+$BW314</f>
        <v/>
      </c>
      <c r="BY314" s="57">
        <f>$BY313+$BW314</f>
        <v/>
      </c>
      <c r="BZ314" s="57">
        <f>SUMIFS(tblFleet[Available_h],tblFleet[Date],$A314,tblFleet[Equipment_Class],"Haul Truck")</f>
        <v/>
      </c>
      <c r="CA314" s="57">
        <f>IF($B314=$B313,$CA313,0)+$BZ314</f>
        <v/>
      </c>
      <c r="CB314" s="57">
        <f>$CB313+$BZ314</f>
        <v/>
      </c>
      <c r="CC314" s="57">
        <f>SUMIFS(tblFleet[Operating_h],tblFleet[Date],$A314,tblFleet[Equipment_Class],"Haul Truck")</f>
        <v/>
      </c>
      <c r="CD314" s="57">
        <f>IF($B314=$B313,$CD313,0)+$CC314</f>
        <v/>
      </c>
      <c r="CE314" s="57">
        <f>$CE313+$CC314</f>
        <v/>
      </c>
      <c r="CF314" s="67">
        <f>IFERROR(IF(($BW314)&gt;0,($BZ314)/($BW314),""),"")</f>
        <v/>
      </c>
      <c r="CG314" s="67">
        <f>IFERROR(IF(($BX314)&gt;0,($CA314)/($BX314),""),"")</f>
        <v/>
      </c>
      <c r="CH314" s="67">
        <f>IFERROR(IF(($BY314)&gt;0,($CB314)/($BY314),""),"")</f>
        <v/>
      </c>
      <c r="CI314" s="67">
        <f>IFERROR(IF(($BZ314)&gt;0,($CC314)/($BZ314),""),"")</f>
        <v/>
      </c>
      <c r="CJ314" s="67">
        <f>IFERROR(IF(($CA314)&gt;0,($CD314)/($CA314),""),"")</f>
        <v/>
      </c>
      <c r="CK314" s="67">
        <f>IFERROR(IF(($CB314)&gt;0,($CE314)/($CB314),""),"")</f>
        <v/>
      </c>
      <c r="CL314" s="55">
        <f>IFERROR(IF(($BN314)&gt;0,($X314+$AD314)/($BN314),""),"")</f>
        <v/>
      </c>
      <c r="CM314" s="55">
        <f>IFERROR(IF(($BO314)&gt;0,($Y314+$AE314)/($BO314),""),"")</f>
        <v/>
      </c>
      <c r="CN314" s="55">
        <f>IFERROR(IF(($BP314)&gt;0,($Z314+$AF314)/($BP314),""),"")</f>
        <v/>
      </c>
      <c r="CO314" s="55">
        <f>IFERROR(IF(($CC314)&gt;0,($X314+$AD314)/($CC314),""),"")</f>
        <v/>
      </c>
      <c r="CP314" s="55">
        <f>IFERROR(IF(($CD314)&gt;0,($Y314+$AE314)/($CD314),""),"")</f>
        <v/>
      </c>
      <c r="CQ314" s="55">
        <f>IFERROR(IF(($CE314)&gt;0,($Z314+$AF314)/($CE314),""),"")</f>
        <v/>
      </c>
      <c r="CR314" s="55">
        <f>SUMIFS(tblPlant[Crushed_t],tblPlant[Date],$A314)</f>
        <v/>
      </c>
      <c r="CS314" s="55">
        <f>IF($B314=$B313,$CS313,0)+$CR314</f>
        <v/>
      </c>
      <c r="CT314" s="55">
        <f>$CT313+$CR314</f>
        <v/>
      </c>
      <c r="CU314" s="55">
        <f>SUMIFS(tblPlant[Milled_t],tblPlant[Date],$A314)</f>
        <v/>
      </c>
      <c r="CV314" s="55">
        <f>IF($B314=$B313,$CV313,0)+$CU314</f>
        <v/>
      </c>
      <c r="CW314" s="55">
        <f>$CW313+$CU314</f>
        <v/>
      </c>
      <c r="CX314" s="55">
        <f>SUMIFS(tblPlant[Feed_oz],tblPlant[Date],$A314)</f>
        <v/>
      </c>
      <c r="CY314" s="55">
        <f>IF($B314=$B313,$CY313,0)+$CX314</f>
        <v/>
      </c>
      <c r="CZ314" s="55">
        <f>$CZ313+$CX314</f>
        <v/>
      </c>
      <c r="DA314" s="55">
        <f>SUMIFS(tblPlant[Tails_oz],tblPlant[Date],$A314)</f>
        <v/>
      </c>
      <c r="DB314" s="55">
        <f>IF($B314=$B313,$DB313,0)+$DA314</f>
        <v/>
      </c>
      <c r="DC314" s="55">
        <f>$DC313+$DA314</f>
        <v/>
      </c>
      <c r="DD314" s="55">
        <f>SUMIFS(tblPlant[Recovered_oz],tblPlant[Date],$A314)</f>
        <v/>
      </c>
      <c r="DE314" s="55">
        <f>IF($B314=$B313,$DE313,0)+$DD314</f>
        <v/>
      </c>
      <c r="DF314" s="55">
        <f>$DF313+$DD314</f>
        <v/>
      </c>
      <c r="DG314" s="55">
        <f>SUMIFS(tblPlant[Milled_t],tblPlant[Date],$A314,tblPlant[Head_Grade_gpt],"&lt;&gt;")</f>
        <v/>
      </c>
      <c r="DH314" s="55">
        <f>IF($B314=$B313,$DH313,0)+$DG314</f>
        <v/>
      </c>
      <c r="DI314" s="55">
        <f>$DI313+$DG314</f>
        <v/>
      </c>
      <c r="DJ314" s="55">
        <f>SUMIFS(tblPlant[Milled_t],tblPlant[Date],$A314,tblPlant[Tails_Grade_gpt],"&lt;&gt;")</f>
        <v/>
      </c>
      <c r="DK314" s="55">
        <f>IF($B314=$B313,$DK313,0)+$DJ314</f>
        <v/>
      </c>
      <c r="DL314" s="55">
        <f>$DL313+$DJ314</f>
        <v/>
      </c>
      <c r="DM314" s="55">
        <f>SUMIFS(tblPlant[Feed_oz],tblPlant[Date],$A314,tblPlant[Tails_Grade_gpt],"&lt;&gt;")</f>
        <v/>
      </c>
      <c r="DN314" s="55">
        <f>IF($B314=$B313,$DN313,0)+$DM314</f>
        <v/>
      </c>
      <c r="DO314" s="55">
        <f>$DO313+$DM314</f>
        <v/>
      </c>
      <c r="DP314" s="55">
        <f>SUMIFS(tblPlant[Milled_t],tblPlant[Date],$A314,tblPlant[Mill_Run_h],"&lt;&gt;")</f>
        <v/>
      </c>
      <c r="DQ314" s="55">
        <f>IF($B314=$B313,$DQ313,0)+$DP314</f>
        <v/>
      </c>
      <c r="DR314" s="55">
        <f>$DR313+$DP314</f>
        <v/>
      </c>
      <c r="DS314" s="56">
        <f>IFERROR(IF(($DG314)&gt;0,($CX314*cfg_TroyOz)/($DG314),""),"")</f>
        <v/>
      </c>
      <c r="DT314" s="56">
        <f>IFERROR(IF(($DH314)&gt;0,($CY314*cfg_TroyOz)/($DH314),""),"")</f>
        <v/>
      </c>
      <c r="DU314" s="56">
        <f>IFERROR(IF(($DI314)&gt;0,($CZ314*cfg_TroyOz)/($DI314),""),"")</f>
        <v/>
      </c>
      <c r="DV314" s="56">
        <f>IFERROR(IF(($DJ314)&gt;0,($DA314*cfg_TroyOz)/($DJ314),""),"")</f>
        <v/>
      </c>
      <c r="DW314" s="56">
        <f>IFERROR(IF(($DK314)&gt;0,($DB314*cfg_TroyOz)/($DK314),""),"")</f>
        <v/>
      </c>
      <c r="DX314" s="56">
        <f>IFERROR(IF(($DL314)&gt;0,($DC314*cfg_TroyOz)/($DL314),""),"")</f>
        <v/>
      </c>
      <c r="DY314" s="67">
        <f>IFERROR(IF(($DM314)&gt;0,($DD314)/($DM314),""),"")</f>
        <v/>
      </c>
      <c r="DZ314" s="67">
        <f>IFERROR(IF(($DN314)&gt;0,($DE314)/($DN314),""),"")</f>
        <v/>
      </c>
      <c r="EA314" s="67">
        <f>IFERROR(IF(($DO314)&gt;0,($DF314)/($DO314),""),"")</f>
        <v/>
      </c>
      <c r="EB314" s="55">
        <f>SUMIFS(tblPlant[Gravity_Gold_oz],tblPlant[Date],$A314)</f>
        <v/>
      </c>
      <c r="EC314" s="55">
        <f>IF($B314=$B313,$EC313,0)+$EB314</f>
        <v/>
      </c>
      <c r="ED314" s="55">
        <f>$ED313+$EB314</f>
        <v/>
      </c>
      <c r="EE314" s="67">
        <f>IFERROR(IF(($DD314)&gt;0,($EB314)/($DD314),""),"")</f>
        <v/>
      </c>
      <c r="EF314" s="67">
        <f>IFERROR(IF(($DE314)&gt;0,($EC314)/($DE314),""),"")</f>
        <v/>
      </c>
      <c r="EG314" s="67">
        <f>IFERROR(IF(($DF314)&gt;0,($ED314)/($DF314),""),"")</f>
        <v/>
      </c>
      <c r="EH314" s="55">
        <f>SUMIFS(tblPlant[Gold_Poured_oz],tblPlant[Date],$A314)</f>
        <v/>
      </c>
      <c r="EI314" s="55">
        <f>IF($B314=$B313,$EI313,0)+$EH314</f>
        <v/>
      </c>
      <c r="EJ314" s="55">
        <f>$EJ313+$EH314</f>
        <v/>
      </c>
      <c r="EK314" s="57">
        <f>SUMIFS(tblPlant[Mill_Run_h],tblPlant[Date],$A314)</f>
        <v/>
      </c>
      <c r="EL314" s="57">
        <f>IF($B314=$B313,$EL313,0)+$EK314</f>
        <v/>
      </c>
      <c r="EM314" s="57">
        <f>$EM313+$EK314</f>
        <v/>
      </c>
      <c r="EN314" s="57">
        <f>SUMIFS(tblPlant[Mill_Planned_Maint_h],tblPlant[Date],$A314)</f>
        <v/>
      </c>
      <c r="EO314" s="57">
        <f>IF($B314=$B313,$EO313,0)+$EN314</f>
        <v/>
      </c>
      <c r="EP314" s="57">
        <f>$EP313+$EN314</f>
        <v/>
      </c>
      <c r="EQ314" s="57">
        <f>SUMIFS(tblPlant[Mill_Unplanned_Down_h],tblPlant[Date],$A314)</f>
        <v/>
      </c>
      <c r="ER314" s="57">
        <f>IF($B314=$B313,$ER313,0)+$EQ314</f>
        <v/>
      </c>
      <c r="ES314" s="57">
        <f>$ES313+$EQ314</f>
        <v/>
      </c>
      <c r="ET314" s="57">
        <f>IF(COUNTIFS(tblPlant[Date],$A314,tblPlant[Mill_Run_h],"&lt;&gt;")+COUNTIFS(tblPlant[Date],$A314,tblPlant[Mill_Planned_Maint_h],"&lt;&gt;")+COUNTIFS(tblPlant[Date],$A314,tblPlant[Mill_Unplanned_Down_h],"&lt;&gt;")&gt;0,cfg_HoursPerDay,0)</f>
        <v/>
      </c>
      <c r="EU314" s="57">
        <f>IF($B314=$B313,$EU313,0)+$ET314</f>
        <v/>
      </c>
      <c r="EV314" s="57">
        <f>$EV313+$ET314</f>
        <v/>
      </c>
      <c r="EW314" s="57">
        <f>SUMIFS(tblPlant[Crusher_Run_h],tblPlant[Date],$A314)</f>
        <v/>
      </c>
      <c r="EX314" s="57">
        <f>IF($B314=$B313,$EX313,0)+$EW314</f>
        <v/>
      </c>
      <c r="EY314" s="57">
        <f>$EY313+$EW314</f>
        <v/>
      </c>
      <c r="EZ314" s="55">
        <f>IFERROR(IF(($EK314)&gt;0,($DP314)/($EK314),""),"")</f>
        <v/>
      </c>
      <c r="FA314" s="55">
        <f>IFERROR(IF(($EL314)&gt;0,($DQ314)/($EL314),""),"")</f>
        <v/>
      </c>
      <c r="FB314" s="55">
        <f>IFERROR(IF(($EM314)&gt;0,($DR314)/($EM314),""),"")</f>
        <v/>
      </c>
      <c r="FC314" s="67">
        <f>IFERROR(IF(($ET314)&gt;0,($ET314-$EN314-$EQ314)/($ET314),""),"")</f>
        <v/>
      </c>
      <c r="FD314" s="67">
        <f>IFERROR(IF(($EU314)&gt;0,($EU314-$EO314-$ER314)/($EU314),""),"")</f>
        <v/>
      </c>
      <c r="FE314" s="67">
        <f>IFERROR(IF(($EV314)&gt;0,($EV314-$EP314-$ES314)/($EV314),""),"")</f>
        <v/>
      </c>
      <c r="FF314" s="67">
        <f>IFERROR(IF(($ET314-$EN314-$EQ314)&gt;0,($EK314)/($ET314-$EN314-$EQ314),""),"")</f>
        <v/>
      </c>
      <c r="FG314" s="67">
        <f>IFERROR(IF(($EU314-$EO314-$ER314)&gt;0,($EL314)/($EU314-$EO314-$ER314),""),"")</f>
        <v/>
      </c>
      <c r="FH314" s="67">
        <f>IFERROR(IF(($EV314-$EP314-$ES314)&gt;0,($EM314)/($EV314-$EP314-$ES314),""),"")</f>
        <v/>
      </c>
      <c r="FI314" s="55">
        <f>SUMIFS(tblPlant[Cyanide_kg],tblPlant[Date],$A314)</f>
        <v/>
      </c>
      <c r="FJ314" s="55">
        <f>IF($B314=$B313,$FJ313,0)+$FI314</f>
        <v/>
      </c>
      <c r="FK314" s="55">
        <f>$FK313+$FI314</f>
        <v/>
      </c>
      <c r="FL314" s="55">
        <f>SUMIFS(tblPlant[Lime_kg],tblPlant[Date],$A314)</f>
        <v/>
      </c>
      <c r="FM314" s="55">
        <f>IF($B314=$B313,$FM313,0)+$FL314</f>
        <v/>
      </c>
      <c r="FN314" s="55">
        <f>$FN313+$FL314</f>
        <v/>
      </c>
      <c r="FO314" s="55">
        <f>SUMIFS(tblPlant[Grinding_Media_kg],tblPlant[Date],$A314)</f>
        <v/>
      </c>
      <c r="FP314" s="55">
        <f>IF($B314=$B313,$FP313,0)+$FO314</f>
        <v/>
      </c>
      <c r="FQ314" s="55">
        <f>$FQ313+$FO314</f>
        <v/>
      </c>
      <c r="FR314" s="55">
        <f>SUMIFS(tblPlant[Power_kWh],tblPlant[Date],$A314)</f>
        <v/>
      </c>
      <c r="FS314" s="55">
        <f>IF($B314=$B313,$FS313,0)+$FR314</f>
        <v/>
      </c>
      <c r="FT314" s="55">
        <f>$FT313+$FR314</f>
        <v/>
      </c>
      <c r="FU314" s="55">
        <f>SUMIFS(tblPlant[Raw_Water_m3],tblPlant[Date],$A314)</f>
        <v/>
      </c>
      <c r="FV314" s="55">
        <f>IF($B314=$B313,$FV313,0)+$FU314</f>
        <v/>
      </c>
      <c r="FW314" s="55">
        <f>$FW313+$FU314</f>
        <v/>
      </c>
      <c r="FX314" s="56">
        <f>IFERROR(IF(($CU314)&gt;0,($FI314)/($CU314),""),"")</f>
        <v/>
      </c>
      <c r="FY314" s="56">
        <f>IFERROR(IF(($CV314)&gt;0,($FJ314)/($CV314),""),"")</f>
        <v/>
      </c>
      <c r="FZ314" s="56">
        <f>IFERROR(IF(($CW314)&gt;0,($FK314)/($CW314),""),"")</f>
        <v/>
      </c>
      <c r="GA314" s="56">
        <f>IFERROR(IF(($CU314)&gt;0,($FL314)/($CU314),""),"")</f>
        <v/>
      </c>
      <c r="GB314" s="56">
        <f>IFERROR(IF(($CV314)&gt;0,($FM314)/($CV314),""),"")</f>
        <v/>
      </c>
      <c r="GC314" s="56">
        <f>IFERROR(IF(($CW314)&gt;0,($FN314)/($CW314),""),"")</f>
        <v/>
      </c>
      <c r="GD314" s="56">
        <f>IFERROR(IF(($CU314)&gt;0,($FO314)/($CU314),""),"")</f>
        <v/>
      </c>
      <c r="GE314" s="56">
        <f>IFERROR(IF(($CV314)&gt;0,($FP314)/($CV314),""),"")</f>
        <v/>
      </c>
      <c r="GF314" s="56">
        <f>IFERROR(IF(($CW314)&gt;0,($FQ314)/($CW314),""),"")</f>
        <v/>
      </c>
      <c r="GG314" s="79">
        <f>IFERROR(IF(($CU314)&gt;0,($FR314)/($CU314),""),"")</f>
        <v/>
      </c>
      <c r="GH314" s="79">
        <f>IFERROR(IF(($CV314)&gt;0,($FS314)/($CV314),""),"")</f>
        <v/>
      </c>
      <c r="GI314" s="79">
        <f>IFERROR(IF(($CW314)&gt;0,($FT314)/($CW314),""),"")</f>
        <v/>
      </c>
      <c r="GJ314" s="56">
        <f>IFERROR(IF(($CU314)&gt;0,($FU314)/($CU314),""),"")</f>
        <v/>
      </c>
      <c r="GK314" s="56">
        <f>IFERROR(IF(($CV314)&gt;0,($FV314)/($CV314),""),"")</f>
        <v/>
      </c>
      <c r="GL314" s="56">
        <f>IFERROR(IF(($CW314)&gt;0,($FW314)/($CW314),""),"")</f>
        <v/>
      </c>
      <c r="GM314" s="55">
        <f>IF(SUMIFS(tblPlant[GIC_oz],tblPlant[Date],$A314)&gt;0,SUMIFS(tblPlant[GIC_oz],tblPlant[Date],$A314),"")</f>
        <v/>
      </c>
      <c r="GN314" s="55">
        <f>SUMIFS(tblGold[Gold_oz],tblGold[Date],$A314,tblGold[Type],"Shipment")</f>
        <v/>
      </c>
      <c r="GO314" s="55">
        <f>IF($B314=$B313,$GO313,0)+$GN314</f>
        <v/>
      </c>
      <c r="GP314" s="55">
        <f>$GP313+$GN314</f>
        <v/>
      </c>
      <c r="GQ314" s="55">
        <f>SUMIFS(tblGold[Gold_oz],tblGold[Date],$A314,tblGold[Type],"Sale")</f>
        <v/>
      </c>
      <c r="GR314" s="55">
        <f>IF($B314=$B313,$GR313,0)+$GQ314</f>
        <v/>
      </c>
      <c r="GS314" s="55">
        <f>$GS313+$GQ314</f>
        <v/>
      </c>
      <c r="GT314" s="55">
        <f>SUMIFS(tblGold[Dore_kg],tblGold[Date],$A314,tblGold[Type],"Shipment")</f>
        <v/>
      </c>
      <c r="GU314" s="55">
        <f>IF($B314=$B313,$GU313,0)+$GT314</f>
        <v/>
      </c>
      <c r="GV314" s="55">
        <f>$GV313+$GT314</f>
        <v/>
      </c>
      <c r="GW314" s="57">
        <f>SUMIFS(tblSafety[Hours_Total],tblSafety[Date],$A314)</f>
        <v/>
      </c>
      <c r="GX314" s="57">
        <f>IF($B314=$B313,$GX313,0)+$GW314</f>
        <v/>
      </c>
      <c r="GY314" s="57">
        <f>$GY313+$GW314</f>
        <v/>
      </c>
      <c r="GZ314" s="62">
        <f>SUMIFS(tblSafety[Fatality],tblSafety[Date],$A314)</f>
        <v/>
      </c>
      <c r="HA314" s="62">
        <f>IF($B314=$B313,$HA313,0)+$GZ314</f>
        <v/>
      </c>
      <c r="HB314" s="62">
        <f>$HB313+$GZ314</f>
        <v/>
      </c>
      <c r="HC314" s="62">
        <f>SUMIFS(tblSafety[LTI],tblSafety[Date],$A314)</f>
        <v/>
      </c>
      <c r="HD314" s="62">
        <f>IF($B314=$B313,$HD313,0)+$HC314</f>
        <v/>
      </c>
      <c r="HE314" s="62">
        <f>$HE313+$HC314</f>
        <v/>
      </c>
      <c r="HF314" s="62">
        <f>SUMIFS(tblSafety[RWI],tblSafety[Date],$A314)</f>
        <v/>
      </c>
      <c r="HG314" s="62">
        <f>IF($B314=$B313,$HG313,0)+$HF314</f>
        <v/>
      </c>
      <c r="HH314" s="62">
        <f>$HH313+$HF314</f>
        <v/>
      </c>
      <c r="HI314" s="62">
        <f>SUMIFS(tblSafety[MTI],tblSafety[Date],$A314)</f>
        <v/>
      </c>
      <c r="HJ314" s="62">
        <f>IF($B314=$B313,$HJ313,0)+$HI314</f>
        <v/>
      </c>
      <c r="HK314" s="62">
        <f>$HK313+$HI314</f>
        <v/>
      </c>
      <c r="HL314" s="62">
        <f>SUMIFS(tblSafety[FAI],tblSafety[Date],$A314)</f>
        <v/>
      </c>
      <c r="HM314" s="62">
        <f>IF($B314=$B313,$HM313,0)+$HL314</f>
        <v/>
      </c>
      <c r="HN314" s="62">
        <f>$HN313+$HL314</f>
        <v/>
      </c>
      <c r="HO314" s="62">
        <f>SUMIFS(tblSafety[Recordables],tblSafety[Date],$A314)</f>
        <v/>
      </c>
      <c r="HP314" s="62">
        <f>IF($B314=$B313,$HP313,0)+$HO314</f>
        <v/>
      </c>
      <c r="HQ314" s="62">
        <f>$HQ313+$HO314</f>
        <v/>
      </c>
      <c r="HR314" s="62">
        <f>SUMIFS(tblSafety[Near_Miss],tblSafety[Date],$A314)</f>
        <v/>
      </c>
      <c r="HS314" s="62">
        <f>IF($B314=$B313,$HS313,0)+$HR314</f>
        <v/>
      </c>
      <c r="HT314" s="62">
        <f>$HT313+$HR314</f>
        <v/>
      </c>
      <c r="HU314" s="62">
        <f>SUMIFS(tblSafety[Hazard_Reports],tblSafety[Date],$A314)</f>
        <v/>
      </c>
      <c r="HV314" s="62">
        <f>IF($B314=$B313,$HV313,0)+$HU314</f>
        <v/>
      </c>
      <c r="HW314" s="62">
        <f>$HW313+$HU314</f>
        <v/>
      </c>
      <c r="HX314" s="62">
        <f>SUMIFS(tblSafety[HPI],tblSafety[Date],$A314)</f>
        <v/>
      </c>
      <c r="HY314" s="62">
        <f>IF($B314=$B313,$HY313,0)+$HX314</f>
        <v/>
      </c>
      <c r="HZ314" s="62">
        <f>$HZ313+$HX314</f>
        <v/>
      </c>
      <c r="IA314" s="62">
        <f>SUMIFS(tblSafety[Env_Incidents],tblSafety[Date],$A314)</f>
        <v/>
      </c>
      <c r="IB314" s="62">
        <f>IF($B314=$B313,$IB313,0)+$IA314</f>
        <v/>
      </c>
      <c r="IC314" s="62">
        <f>$IC313+$IA314</f>
        <v/>
      </c>
      <c r="ID314" s="62">
        <f>SUMIFS(tblSafety[Community_Incidents],tblSafety[Date],$A314)</f>
        <v/>
      </c>
      <c r="IE314" s="62">
        <f>IF($B314=$B313,$IE313,0)+$ID314</f>
        <v/>
      </c>
      <c r="IF314" s="62">
        <f>$IF313+$ID314</f>
        <v/>
      </c>
      <c r="IG314" s="62">
        <f>SUMIFS(tblSafety[Vehicle_Incidents],tblSafety[Date],$A314)</f>
        <v/>
      </c>
      <c r="IH314" s="62">
        <f>IF($B314=$B313,$IH313,0)+$IG314</f>
        <v/>
      </c>
      <c r="II314" s="62">
        <f>$II313+$IG314</f>
        <v/>
      </c>
      <c r="IJ314" s="62">
        <f>SUMIFS(tblSafety[Toolbox_Talks],tblSafety[Date],$A314)</f>
        <v/>
      </c>
      <c r="IK314" s="62">
        <f>IF($B314=$B313,$IK313,0)+$IJ314</f>
        <v/>
      </c>
      <c r="IL314" s="62">
        <f>$IL313+$IJ314</f>
        <v/>
      </c>
      <c r="IM314" s="62">
        <f>SUMIFS(tblSafety[Inspections],tblSafety[Date],$A314)</f>
        <v/>
      </c>
      <c r="IN314" s="62">
        <f>IF($B314=$B313,$IN313,0)+$IM314</f>
        <v/>
      </c>
      <c r="IO314" s="62">
        <f>$IO313+$IM314</f>
        <v/>
      </c>
      <c r="IP314" s="56">
        <f>IFERROR((SUMIFS(tblSafety[Recordables],tblSafety[Date],"&gt;="&amp;EDATE($E314,-12),tblSafety[Date],"&lt;="&amp;$A314)+SUMIFS(tblSafetyHistory[Recordables],tblSafetyHistory[Month],"&gt;="&amp;EDATE($E314,-12),tblSafetyHistory[Month],"&lt;"&amp;$E314,tblSafetyHistory[Use],1))/(SUMIFS(tblSafety[Hours_Total],tblSafety[Date],"&gt;="&amp;EDATE($E314,-12),tblSafety[Date],"&lt;="&amp;$A314)+SUMIFS(tblSafetyHistory[Hours_Total],tblSafetyHistory[Month],"&gt;="&amp;EDATE($E314,-12),tblSafetyHistory[Month],"&lt;"&amp;$E314,tblSafetyHistory[Use],1))*cfg_RateBasisHours,"")</f>
        <v/>
      </c>
      <c r="IQ314" s="56">
        <f>IFERROR((SUMIFS(tblSafety[LTI],tblSafety[Date],"&gt;="&amp;EDATE($E314,-12),tblSafety[Date],"&lt;="&amp;$A314)+SUMIFS(tblSafetyHistory[LTI],tblSafetyHistory[Month],"&gt;="&amp;EDATE($E314,-12),tblSafetyHistory[Month],"&lt;"&amp;$E314,tblSafetyHistory[Use],1))/(SUMIFS(tblSafety[Hours_Total],tblSafety[Date],"&gt;="&amp;EDATE($E314,-12),tblSafety[Date],"&lt;="&amp;$A314)+SUMIFS(tblSafetyHistory[Hours_Total],tblSafetyHistory[Month],"&gt;="&amp;EDATE($E314,-12),tblSafetyHistory[Month],"&lt;"&amp;$E314,tblSafetyHistory[Use],1))*cfg_RateBasisHours,"")</f>
        <v/>
      </c>
      <c r="IR314" s="62">
        <f>IF(MAX(N(cfg_PriorLTIDate),_xlfn.MAXIFS(tblSafety[Date],tblSafety[LTI],"&gt;0",tblSafety[Date],"&lt;="&amp;$A314))=0,"",$A314-MAX(N(cfg_PriorLTIDate),_xlfn.MAXIFS(tblSafety[Date],tblSafety[LTI],"&gt;0",tblSafety[Date],"&lt;="&amp;$A314)))</f>
        <v/>
      </c>
      <c r="IS314" s="55">
        <f>SUMIFS(tblBudget[Ore_Mined_t],tblBudget[Month],$E314)</f>
        <v/>
      </c>
      <c r="IT314" s="55">
        <f>$IS314*$C314/$D314</f>
        <v/>
      </c>
      <c r="IU314" s="55">
        <f>SUMIFS(tblBudget[Ore_Mined_t],tblBudget[Month],"&lt;"&amp;$E314)+$IT314</f>
        <v/>
      </c>
      <c r="IV314" s="55">
        <f>SUMIFS(tblBudget[Ore_oz],tblBudget[Month],$E314)</f>
        <v/>
      </c>
      <c r="IW314" s="55">
        <f>$IV314*$C314/$D314</f>
        <v/>
      </c>
      <c r="IX314" s="55">
        <f>SUMIFS(tblBudget[Ore_oz],tblBudget[Month],"&lt;"&amp;$E314)+$IW314</f>
        <v/>
      </c>
      <c r="IY314" s="55">
        <f>SUMIFS(tblBudget[Ore_Mined_t],tblBudget[Month],$E314)</f>
        <v/>
      </c>
      <c r="IZ314" s="55">
        <f>$IY314*$C314/$D314</f>
        <v/>
      </c>
      <c r="JA314" s="55">
        <f>SUMIFS(tblBudget[Ore_Mined_t],tblBudget[Month],"&lt;"&amp;$E314)+$IZ314</f>
        <v/>
      </c>
      <c r="JB314" s="56">
        <f>IFERROR(IF(($IY314)&gt;0,($IV314*cfg_TroyOz)/($IY314),""),"")</f>
        <v/>
      </c>
      <c r="JC314" s="56">
        <f>IFERROR(IF(($IZ314)&gt;0,($IW314*cfg_TroyOz)/($IZ314),""),"")</f>
        <v/>
      </c>
      <c r="JD314" s="56">
        <f>IFERROR(IF(($JA314)&gt;0,($IX314*cfg_TroyOz)/($JA314),""),"")</f>
        <v/>
      </c>
      <c r="JE314" s="55">
        <f>SUMIFS(tblBudget[Waste_t],tblBudget[Month],$E314)</f>
        <v/>
      </c>
      <c r="JF314" s="55">
        <f>$JE314*$C314/$D314</f>
        <v/>
      </c>
      <c r="JG314" s="55">
        <f>SUMIFS(tblBudget[Waste_t],tblBudget[Month],"&lt;"&amp;$E314)+$JF314</f>
        <v/>
      </c>
      <c r="JH314" s="55">
        <f>SUMIFS(tblBudget[TMM_t],tblBudget[Month],$E314)</f>
        <v/>
      </c>
      <c r="JI314" s="55">
        <f>$JH314*$C314/$D314</f>
        <v/>
      </c>
      <c r="JJ314" s="55">
        <f>SUMIFS(tblBudget[TMM_t],tblBudget[Month],"&lt;"&amp;$E314)+$JI314</f>
        <v/>
      </c>
      <c r="JK314" s="56">
        <f>IFERROR(IF(($IS314)&gt;0,($JE314)/($IS314),""),"")</f>
        <v/>
      </c>
      <c r="JL314" s="56">
        <f>IFERROR(IF(($IT314)&gt;0,($JF314)/($IT314),""),"")</f>
        <v/>
      </c>
      <c r="JM314" s="56">
        <f>IFERROR(IF(($IU314)&gt;0,($JG314)/($IU314),""),"")</f>
        <v/>
      </c>
      <c r="JN314" s="55">
        <f>SUMIFS(tblBudget[Drill_m],tblBudget[Month],$E314)</f>
        <v/>
      </c>
      <c r="JO314" s="55">
        <f>$JN314*$C314/$D314</f>
        <v/>
      </c>
      <c r="JP314" s="55">
        <f>SUMIFS(tblBudget[Drill_m],tblBudget[Month],"&lt;"&amp;$E314)+$JO314</f>
        <v/>
      </c>
      <c r="JQ314" s="55">
        <f>SUMIFS(tblBudget[Diesel_L],tblBudget[Month],$E314)</f>
        <v/>
      </c>
      <c r="JR314" s="55">
        <f>$JQ314*$C314/$D314</f>
        <v/>
      </c>
      <c r="JS314" s="55">
        <f>SUMIFS(tblBudget[Diesel_L],tblBudget[Month],"&lt;"&amp;$E314)+$JR314</f>
        <v/>
      </c>
      <c r="JT314" s="55">
        <f>SUMIFS(tblBudget[Milled_t],tblBudget[Month],$E314)</f>
        <v/>
      </c>
      <c r="JU314" s="55">
        <f>$JT314*$C314/$D314</f>
        <v/>
      </c>
      <c r="JV314" s="55">
        <f>SUMIFS(tblBudget[Milled_t],tblBudget[Month],"&lt;"&amp;$E314)+$JU314</f>
        <v/>
      </c>
      <c r="JW314" s="55">
        <f>SUMIFS(tblBudget[Feed_oz],tblBudget[Month],$E314)</f>
        <v/>
      </c>
      <c r="JX314" s="55">
        <f>$JW314*$C314/$D314</f>
        <v/>
      </c>
      <c r="JY314" s="55">
        <f>SUMIFS(tblBudget[Feed_oz],tblBudget[Month],"&lt;"&amp;$E314)+$JX314</f>
        <v/>
      </c>
      <c r="JZ314" s="55">
        <f>SUMIFS(tblBudget[Recovered_oz],tblBudget[Month],$E314)</f>
        <v/>
      </c>
      <c r="KA314" s="55">
        <f>$JZ314*$C314/$D314</f>
        <v/>
      </c>
      <c r="KB314" s="55">
        <f>SUMIFS(tblBudget[Recovered_oz],tblBudget[Month],"&lt;"&amp;$E314)+$KA314</f>
        <v/>
      </c>
      <c r="KC314" s="55">
        <f>SUMIFS(tblBudget[Milled_t],tblBudget[Month],$E314)</f>
        <v/>
      </c>
      <c r="KD314" s="55">
        <f>$KC314*$C314/$D314</f>
        <v/>
      </c>
      <c r="KE314" s="55">
        <f>SUMIFS(tblBudget[Milled_t],tblBudget[Month],"&lt;"&amp;$E314)+$KD314</f>
        <v/>
      </c>
      <c r="KF314" s="55">
        <f>SUMIFS(tblBudget[Feed_oz],tblBudget[Month],$E314)</f>
        <v/>
      </c>
      <c r="KG314" s="55">
        <f>$KF314*$C314/$D314</f>
        <v/>
      </c>
      <c r="KH314" s="55">
        <f>SUMIFS(tblBudget[Feed_oz],tblBudget[Month],"&lt;"&amp;$E314)+$KG314</f>
        <v/>
      </c>
      <c r="KI314" s="56">
        <f>IFERROR(IF(($KC314)&gt;0,($JW314*cfg_TroyOz)/($KC314),""),"")</f>
        <v/>
      </c>
      <c r="KJ314" s="56">
        <f>IFERROR(IF(($KD314)&gt;0,($JX314*cfg_TroyOz)/($KD314),""),"")</f>
        <v/>
      </c>
      <c r="KK314" s="56">
        <f>IFERROR(IF(($KE314)&gt;0,($JY314*cfg_TroyOz)/($KE314),""),"")</f>
        <v/>
      </c>
      <c r="KL314" s="67">
        <f>IFERROR(IF(($KF314)&gt;0,($JZ314)/($KF314),""),"")</f>
        <v/>
      </c>
      <c r="KM314" s="67">
        <f>IFERROR(IF(($KG314)&gt;0,($KA314)/($KG314),""),"")</f>
        <v/>
      </c>
      <c r="KN314" s="67">
        <f>IFERROR(IF(($KH314)&gt;0,($KB314)/($KH314),""),"")</f>
        <v/>
      </c>
      <c r="KO314" s="55">
        <f>SUMIFS(tblBudget[Gold_Poured_oz],tblBudget[Month],$E314)</f>
        <v/>
      </c>
      <c r="KP314" s="55">
        <f>$KO314*$C314/$D314</f>
        <v/>
      </c>
      <c r="KQ314" s="55">
        <f>SUMIFS(tblBudget[Gold_Poured_oz],tblBudget[Month],"&lt;"&amp;$E314)+$KP314</f>
        <v/>
      </c>
      <c r="KR314" s="57">
        <f>SUMIFS(tblBudget[Hours_Worked],tblBudget[Month],$E314)</f>
        <v/>
      </c>
      <c r="KS314" s="57">
        <f>$KR314*$C314/$D314</f>
        <v/>
      </c>
      <c r="KT314" s="57">
        <f>SUMIFS(tblBudget[Hours_Worked],tblBudget[Month],"&lt;"&amp;$E314)+$KS314</f>
        <v/>
      </c>
    </row>
    <row r="315">
      <c r="A315" s="54" t="n">
        <v>46336</v>
      </c>
      <c r="B315">
        <f>MONTH($A315)</f>
        <v/>
      </c>
      <c r="C315">
        <f>DAY($A315)</f>
        <v/>
      </c>
      <c r="D315">
        <f>DAY(EOMONTH($A315,0))</f>
        <v/>
      </c>
      <c r="E315" s="54">
        <f>DATE(YEAR($A315),MONTH($A315),1)</f>
        <v/>
      </c>
      <c r="F315" s="55">
        <f>SUMIFS(tblMovement[Tonnes_t],tblMovement[Date],$A315,tblMovement[Is_Ore],1,tblMovement[Source_Type],"Pit")</f>
        <v/>
      </c>
      <c r="G315" s="55">
        <f>IF($B315=$B314,$G314,0)+$F315</f>
        <v/>
      </c>
      <c r="H315" s="55">
        <f>$H314+$F315</f>
        <v/>
      </c>
      <c r="I315" s="55">
        <f>SUMIFS(tblMovement[Ore_oz],tblMovement[Date],$A315,tblMovement[Source_Type],"Pit")</f>
        <v/>
      </c>
      <c r="J315" s="55">
        <f>IF($B315=$B314,$J314,0)+$I315</f>
        <v/>
      </c>
      <c r="K315" s="55">
        <f>$K314+$I315</f>
        <v/>
      </c>
      <c r="L315" s="55">
        <f>SUMIFS(tblMovement[Tonnes_t],tblMovement[Date],$A315,tblMovement[Is_Ore],1,tblMovement[Source_Type],"Pit",tblMovement[Grade_gpt],"&lt;&gt;")</f>
        <v/>
      </c>
      <c r="M315" s="55">
        <f>IF($B315=$B314,$M314,0)+$L315</f>
        <v/>
      </c>
      <c r="N315" s="55">
        <f>$N314+$L315</f>
        <v/>
      </c>
      <c r="O315" s="56">
        <f>IFERROR(IF(($L315)&gt;0,($I315*cfg_TroyOz)/($L315),""),"")</f>
        <v/>
      </c>
      <c r="P315" s="56">
        <f>IFERROR(IF(($M315)&gt;0,($J315*cfg_TroyOz)/($M315),""),"")</f>
        <v/>
      </c>
      <c r="Q315" s="56">
        <f>IFERROR(IF(($N315)&gt;0,($K315*cfg_TroyOz)/($N315),""),"")</f>
        <v/>
      </c>
      <c r="R315" s="55">
        <f>$F315-$L315</f>
        <v/>
      </c>
      <c r="S315" s="55">
        <f>IF($B315=$B314,$S314,0)+$R315</f>
        <v/>
      </c>
      <c r="T315" s="55">
        <f>$T314+$R315</f>
        <v/>
      </c>
      <c r="U315" s="55">
        <f>SUMIFS(tblMovement[Tonnes_t],tblMovement[Date],$A315,tblMovement[Is_Ore],0,tblMovement[Source_Type],"Pit")</f>
        <v/>
      </c>
      <c r="V315" s="55">
        <f>IF($B315=$B314,$V314,0)+$U315</f>
        <v/>
      </c>
      <c r="W315" s="55">
        <f>$W314+$U315</f>
        <v/>
      </c>
      <c r="X315" s="55">
        <f>$F315+$U315</f>
        <v/>
      </c>
      <c r="Y315" s="55">
        <f>IF($B315=$B314,$Y314,0)+$X315</f>
        <v/>
      </c>
      <c r="Z315" s="55">
        <f>$Z314+$X315</f>
        <v/>
      </c>
      <c r="AA315" s="56">
        <f>IFERROR(IF(($F315)&gt;0,($U315)/($F315),""),"")</f>
        <v/>
      </c>
      <c r="AB315" s="56">
        <f>IFERROR(IF(($G315)&gt;0,($V315)/($G315),""),"")</f>
        <v/>
      </c>
      <c r="AC315" s="56">
        <f>IFERROR(IF(($H315)&gt;0,($W315)/($H315),""),"")</f>
        <v/>
      </c>
      <c r="AD315" s="55">
        <f>SUMIFS(tblMovement[Tonnes_t],tblMovement[Date],$A315,tblMovement[Source_Type],"Stockpile")</f>
        <v/>
      </c>
      <c r="AE315" s="55">
        <f>IF($B315=$B314,$AE314,0)+$AD315</f>
        <v/>
      </c>
      <c r="AF315" s="55">
        <f>$AF314+$AD315</f>
        <v/>
      </c>
      <c r="AG315" s="55">
        <f>SUMIFS(tblMovement[Tonnes_t],tblMovement[Date],$A315)</f>
        <v/>
      </c>
      <c r="AH315" s="55">
        <f>IF($B315=$B314,$AH314,0)+$AG315</f>
        <v/>
      </c>
      <c r="AI315" s="55">
        <f>$AI314+$AG315</f>
        <v/>
      </c>
      <c r="AJ315" s="55">
        <f>$AG315-$X315-$AD315</f>
        <v/>
      </c>
      <c r="AK315" s="55">
        <f>IF($B315=$B314,$AK314,0)+$AJ315</f>
        <v/>
      </c>
      <c r="AL315" s="55">
        <f>$AL314+$AJ315</f>
        <v/>
      </c>
      <c r="AM315" s="55">
        <f>SUMIFS(tblMiningDaily[Drill_m],tblMiningDaily[Date],$A315)</f>
        <v/>
      </c>
      <c r="AN315" s="55">
        <f>IF($B315=$B314,$AN314,0)+$AM315</f>
        <v/>
      </c>
      <c r="AO315" s="55">
        <f>$AO314+$AM315</f>
        <v/>
      </c>
      <c r="AP315" s="55">
        <f>SUMIFS(tblMiningDaily[GC_Drill_m],tblMiningDaily[Date],$A315)</f>
        <v/>
      </c>
      <c r="AQ315" s="55">
        <f>IF($B315=$B314,$AQ314,0)+$AP315</f>
        <v/>
      </c>
      <c r="AR315" s="55">
        <f>$AR314+$AP315</f>
        <v/>
      </c>
      <c r="AS315" s="55">
        <f>SUMIFS(tblMiningDaily[Blast_t],tblMiningDaily[Date],$A315)</f>
        <v/>
      </c>
      <c r="AT315" s="55">
        <f>IF($B315=$B314,$AT314,0)+$AS315</f>
        <v/>
      </c>
      <c r="AU315" s="55">
        <f>$AU314+$AS315</f>
        <v/>
      </c>
      <c r="AV315" s="55">
        <f>SUMIFS(tblMiningDaily[Explosives_kg],tblMiningDaily[Date],$A315)</f>
        <v/>
      </c>
      <c r="AW315" s="55">
        <f>IF($B315=$B314,$AW314,0)+$AV315</f>
        <v/>
      </c>
      <c r="AX315" s="55">
        <f>$AX314+$AV315</f>
        <v/>
      </c>
      <c r="AY315" s="56">
        <f>IFERROR(IF(($AS315)&gt;0,($AV315)/($AS315),""),"")</f>
        <v/>
      </c>
      <c r="AZ315" s="56">
        <f>IFERROR(IF(($AT315)&gt;0,($AW315)/($AT315),""),"")</f>
        <v/>
      </c>
      <c r="BA315" s="56">
        <f>IFERROR(IF(($AU315)&gt;0,($AX315)/($AU315),""),"")</f>
        <v/>
      </c>
      <c r="BB315" s="55">
        <f>SUMIFS(tblMiningDaily[Diesel_L],tblMiningDaily[Date],$A315)</f>
        <v/>
      </c>
      <c r="BC315" s="55">
        <f>IF($B315=$B314,$BC314,0)+$BB315</f>
        <v/>
      </c>
      <c r="BD315" s="55">
        <f>$BD314+$BB315</f>
        <v/>
      </c>
      <c r="BE315" s="55">
        <f>SUMIFS(tblMiningDaily[Dewatering_m3],tblMiningDaily[Date],$A315)</f>
        <v/>
      </c>
      <c r="BF315" s="55">
        <f>IF($B315=$B314,$BF314,0)+$BE315</f>
        <v/>
      </c>
      <c r="BG315" s="55">
        <f>$BG314+$BE315</f>
        <v/>
      </c>
      <c r="BH315" s="57">
        <f>SUMIFS(tblFleet[Calendar_h],tblFleet[Date],$A315,tblFleet[Equipment_Class],"Excavator")</f>
        <v/>
      </c>
      <c r="BI315" s="57">
        <f>IF($B315=$B314,$BI314,0)+$BH315</f>
        <v/>
      </c>
      <c r="BJ315" s="57">
        <f>$BJ314+$BH315</f>
        <v/>
      </c>
      <c r="BK315" s="57">
        <f>SUMIFS(tblFleet[Available_h],tblFleet[Date],$A315,tblFleet[Equipment_Class],"Excavator")</f>
        <v/>
      </c>
      <c r="BL315" s="57">
        <f>IF($B315=$B314,$BL314,0)+$BK315</f>
        <v/>
      </c>
      <c r="BM315" s="57">
        <f>$BM314+$BK315</f>
        <v/>
      </c>
      <c r="BN315" s="57">
        <f>SUMIFS(tblFleet[Operating_h],tblFleet[Date],$A315,tblFleet[Equipment_Class],"Excavator")</f>
        <v/>
      </c>
      <c r="BO315" s="57">
        <f>IF($B315=$B314,$BO314,0)+$BN315</f>
        <v/>
      </c>
      <c r="BP315" s="57">
        <f>$BP314+$BN315</f>
        <v/>
      </c>
      <c r="BQ315" s="67">
        <f>IFERROR(IF(($BH315)&gt;0,($BK315)/($BH315),""),"")</f>
        <v/>
      </c>
      <c r="BR315" s="67">
        <f>IFERROR(IF(($BI315)&gt;0,($BL315)/($BI315),""),"")</f>
        <v/>
      </c>
      <c r="BS315" s="67">
        <f>IFERROR(IF(($BJ315)&gt;0,($BM315)/($BJ315),""),"")</f>
        <v/>
      </c>
      <c r="BT315" s="67">
        <f>IFERROR(IF(($BK315)&gt;0,($BN315)/($BK315),""),"")</f>
        <v/>
      </c>
      <c r="BU315" s="67">
        <f>IFERROR(IF(($BL315)&gt;0,($BO315)/($BL315),""),"")</f>
        <v/>
      </c>
      <c r="BV315" s="67">
        <f>IFERROR(IF(($BM315)&gt;0,($BP315)/($BM315),""),"")</f>
        <v/>
      </c>
      <c r="BW315" s="57">
        <f>SUMIFS(tblFleet[Calendar_h],tblFleet[Date],$A315,tblFleet[Equipment_Class],"Haul Truck")</f>
        <v/>
      </c>
      <c r="BX315" s="57">
        <f>IF($B315=$B314,$BX314,0)+$BW315</f>
        <v/>
      </c>
      <c r="BY315" s="57">
        <f>$BY314+$BW315</f>
        <v/>
      </c>
      <c r="BZ315" s="57">
        <f>SUMIFS(tblFleet[Available_h],tblFleet[Date],$A315,tblFleet[Equipment_Class],"Haul Truck")</f>
        <v/>
      </c>
      <c r="CA315" s="57">
        <f>IF($B315=$B314,$CA314,0)+$BZ315</f>
        <v/>
      </c>
      <c r="CB315" s="57">
        <f>$CB314+$BZ315</f>
        <v/>
      </c>
      <c r="CC315" s="57">
        <f>SUMIFS(tblFleet[Operating_h],tblFleet[Date],$A315,tblFleet[Equipment_Class],"Haul Truck")</f>
        <v/>
      </c>
      <c r="CD315" s="57">
        <f>IF($B315=$B314,$CD314,0)+$CC315</f>
        <v/>
      </c>
      <c r="CE315" s="57">
        <f>$CE314+$CC315</f>
        <v/>
      </c>
      <c r="CF315" s="67">
        <f>IFERROR(IF(($BW315)&gt;0,($BZ315)/($BW315),""),"")</f>
        <v/>
      </c>
      <c r="CG315" s="67">
        <f>IFERROR(IF(($BX315)&gt;0,($CA315)/($BX315),""),"")</f>
        <v/>
      </c>
      <c r="CH315" s="67">
        <f>IFERROR(IF(($BY315)&gt;0,($CB315)/($BY315),""),"")</f>
        <v/>
      </c>
      <c r="CI315" s="67">
        <f>IFERROR(IF(($BZ315)&gt;0,($CC315)/($BZ315),""),"")</f>
        <v/>
      </c>
      <c r="CJ315" s="67">
        <f>IFERROR(IF(($CA315)&gt;0,($CD315)/($CA315),""),"")</f>
        <v/>
      </c>
      <c r="CK315" s="67">
        <f>IFERROR(IF(($CB315)&gt;0,($CE315)/($CB315),""),"")</f>
        <v/>
      </c>
      <c r="CL315" s="55">
        <f>IFERROR(IF(($BN315)&gt;0,($X315+$AD315)/($BN315),""),"")</f>
        <v/>
      </c>
      <c r="CM315" s="55">
        <f>IFERROR(IF(($BO315)&gt;0,($Y315+$AE315)/($BO315),""),"")</f>
        <v/>
      </c>
      <c r="CN315" s="55">
        <f>IFERROR(IF(($BP315)&gt;0,($Z315+$AF315)/($BP315),""),"")</f>
        <v/>
      </c>
      <c r="CO315" s="55">
        <f>IFERROR(IF(($CC315)&gt;0,($X315+$AD315)/($CC315),""),"")</f>
        <v/>
      </c>
      <c r="CP315" s="55">
        <f>IFERROR(IF(($CD315)&gt;0,($Y315+$AE315)/($CD315),""),"")</f>
        <v/>
      </c>
      <c r="CQ315" s="55">
        <f>IFERROR(IF(($CE315)&gt;0,($Z315+$AF315)/($CE315),""),"")</f>
        <v/>
      </c>
      <c r="CR315" s="55">
        <f>SUMIFS(tblPlant[Crushed_t],tblPlant[Date],$A315)</f>
        <v/>
      </c>
      <c r="CS315" s="55">
        <f>IF($B315=$B314,$CS314,0)+$CR315</f>
        <v/>
      </c>
      <c r="CT315" s="55">
        <f>$CT314+$CR315</f>
        <v/>
      </c>
      <c r="CU315" s="55">
        <f>SUMIFS(tblPlant[Milled_t],tblPlant[Date],$A315)</f>
        <v/>
      </c>
      <c r="CV315" s="55">
        <f>IF($B315=$B314,$CV314,0)+$CU315</f>
        <v/>
      </c>
      <c r="CW315" s="55">
        <f>$CW314+$CU315</f>
        <v/>
      </c>
      <c r="CX315" s="55">
        <f>SUMIFS(tblPlant[Feed_oz],tblPlant[Date],$A315)</f>
        <v/>
      </c>
      <c r="CY315" s="55">
        <f>IF($B315=$B314,$CY314,0)+$CX315</f>
        <v/>
      </c>
      <c r="CZ315" s="55">
        <f>$CZ314+$CX315</f>
        <v/>
      </c>
      <c r="DA315" s="55">
        <f>SUMIFS(tblPlant[Tails_oz],tblPlant[Date],$A315)</f>
        <v/>
      </c>
      <c r="DB315" s="55">
        <f>IF($B315=$B314,$DB314,0)+$DA315</f>
        <v/>
      </c>
      <c r="DC315" s="55">
        <f>$DC314+$DA315</f>
        <v/>
      </c>
      <c r="DD315" s="55">
        <f>SUMIFS(tblPlant[Recovered_oz],tblPlant[Date],$A315)</f>
        <v/>
      </c>
      <c r="DE315" s="55">
        <f>IF($B315=$B314,$DE314,0)+$DD315</f>
        <v/>
      </c>
      <c r="DF315" s="55">
        <f>$DF314+$DD315</f>
        <v/>
      </c>
      <c r="DG315" s="55">
        <f>SUMIFS(tblPlant[Milled_t],tblPlant[Date],$A315,tblPlant[Head_Grade_gpt],"&lt;&gt;")</f>
        <v/>
      </c>
      <c r="DH315" s="55">
        <f>IF($B315=$B314,$DH314,0)+$DG315</f>
        <v/>
      </c>
      <c r="DI315" s="55">
        <f>$DI314+$DG315</f>
        <v/>
      </c>
      <c r="DJ315" s="55">
        <f>SUMIFS(tblPlant[Milled_t],tblPlant[Date],$A315,tblPlant[Tails_Grade_gpt],"&lt;&gt;")</f>
        <v/>
      </c>
      <c r="DK315" s="55">
        <f>IF($B315=$B314,$DK314,0)+$DJ315</f>
        <v/>
      </c>
      <c r="DL315" s="55">
        <f>$DL314+$DJ315</f>
        <v/>
      </c>
      <c r="DM315" s="55">
        <f>SUMIFS(tblPlant[Feed_oz],tblPlant[Date],$A315,tblPlant[Tails_Grade_gpt],"&lt;&gt;")</f>
        <v/>
      </c>
      <c r="DN315" s="55">
        <f>IF($B315=$B314,$DN314,0)+$DM315</f>
        <v/>
      </c>
      <c r="DO315" s="55">
        <f>$DO314+$DM315</f>
        <v/>
      </c>
      <c r="DP315" s="55">
        <f>SUMIFS(tblPlant[Milled_t],tblPlant[Date],$A315,tblPlant[Mill_Run_h],"&lt;&gt;")</f>
        <v/>
      </c>
      <c r="DQ315" s="55">
        <f>IF($B315=$B314,$DQ314,0)+$DP315</f>
        <v/>
      </c>
      <c r="DR315" s="55">
        <f>$DR314+$DP315</f>
        <v/>
      </c>
      <c r="DS315" s="56">
        <f>IFERROR(IF(($DG315)&gt;0,($CX315*cfg_TroyOz)/($DG315),""),"")</f>
        <v/>
      </c>
      <c r="DT315" s="56">
        <f>IFERROR(IF(($DH315)&gt;0,($CY315*cfg_TroyOz)/($DH315),""),"")</f>
        <v/>
      </c>
      <c r="DU315" s="56">
        <f>IFERROR(IF(($DI315)&gt;0,($CZ315*cfg_TroyOz)/($DI315),""),"")</f>
        <v/>
      </c>
      <c r="DV315" s="56">
        <f>IFERROR(IF(($DJ315)&gt;0,($DA315*cfg_TroyOz)/($DJ315),""),"")</f>
        <v/>
      </c>
      <c r="DW315" s="56">
        <f>IFERROR(IF(($DK315)&gt;0,($DB315*cfg_TroyOz)/($DK315),""),"")</f>
        <v/>
      </c>
      <c r="DX315" s="56">
        <f>IFERROR(IF(($DL315)&gt;0,($DC315*cfg_TroyOz)/($DL315),""),"")</f>
        <v/>
      </c>
      <c r="DY315" s="67">
        <f>IFERROR(IF(($DM315)&gt;0,($DD315)/($DM315),""),"")</f>
        <v/>
      </c>
      <c r="DZ315" s="67">
        <f>IFERROR(IF(($DN315)&gt;0,($DE315)/($DN315),""),"")</f>
        <v/>
      </c>
      <c r="EA315" s="67">
        <f>IFERROR(IF(($DO315)&gt;0,($DF315)/($DO315),""),"")</f>
        <v/>
      </c>
      <c r="EB315" s="55">
        <f>SUMIFS(tblPlant[Gravity_Gold_oz],tblPlant[Date],$A315)</f>
        <v/>
      </c>
      <c r="EC315" s="55">
        <f>IF($B315=$B314,$EC314,0)+$EB315</f>
        <v/>
      </c>
      <c r="ED315" s="55">
        <f>$ED314+$EB315</f>
        <v/>
      </c>
      <c r="EE315" s="67">
        <f>IFERROR(IF(($DD315)&gt;0,($EB315)/($DD315),""),"")</f>
        <v/>
      </c>
      <c r="EF315" s="67">
        <f>IFERROR(IF(($DE315)&gt;0,($EC315)/($DE315),""),"")</f>
        <v/>
      </c>
      <c r="EG315" s="67">
        <f>IFERROR(IF(($DF315)&gt;0,($ED315)/($DF315),""),"")</f>
        <v/>
      </c>
      <c r="EH315" s="55">
        <f>SUMIFS(tblPlant[Gold_Poured_oz],tblPlant[Date],$A315)</f>
        <v/>
      </c>
      <c r="EI315" s="55">
        <f>IF($B315=$B314,$EI314,0)+$EH315</f>
        <v/>
      </c>
      <c r="EJ315" s="55">
        <f>$EJ314+$EH315</f>
        <v/>
      </c>
      <c r="EK315" s="57">
        <f>SUMIFS(tblPlant[Mill_Run_h],tblPlant[Date],$A315)</f>
        <v/>
      </c>
      <c r="EL315" s="57">
        <f>IF($B315=$B314,$EL314,0)+$EK315</f>
        <v/>
      </c>
      <c r="EM315" s="57">
        <f>$EM314+$EK315</f>
        <v/>
      </c>
      <c r="EN315" s="57">
        <f>SUMIFS(tblPlant[Mill_Planned_Maint_h],tblPlant[Date],$A315)</f>
        <v/>
      </c>
      <c r="EO315" s="57">
        <f>IF($B315=$B314,$EO314,0)+$EN315</f>
        <v/>
      </c>
      <c r="EP315" s="57">
        <f>$EP314+$EN315</f>
        <v/>
      </c>
      <c r="EQ315" s="57">
        <f>SUMIFS(tblPlant[Mill_Unplanned_Down_h],tblPlant[Date],$A315)</f>
        <v/>
      </c>
      <c r="ER315" s="57">
        <f>IF($B315=$B314,$ER314,0)+$EQ315</f>
        <v/>
      </c>
      <c r="ES315" s="57">
        <f>$ES314+$EQ315</f>
        <v/>
      </c>
      <c r="ET315" s="57">
        <f>IF(COUNTIFS(tblPlant[Date],$A315,tblPlant[Mill_Run_h],"&lt;&gt;")+COUNTIFS(tblPlant[Date],$A315,tblPlant[Mill_Planned_Maint_h],"&lt;&gt;")+COUNTIFS(tblPlant[Date],$A315,tblPlant[Mill_Unplanned_Down_h],"&lt;&gt;")&gt;0,cfg_HoursPerDay,0)</f>
        <v/>
      </c>
      <c r="EU315" s="57">
        <f>IF($B315=$B314,$EU314,0)+$ET315</f>
        <v/>
      </c>
      <c r="EV315" s="57">
        <f>$EV314+$ET315</f>
        <v/>
      </c>
      <c r="EW315" s="57">
        <f>SUMIFS(tblPlant[Crusher_Run_h],tblPlant[Date],$A315)</f>
        <v/>
      </c>
      <c r="EX315" s="57">
        <f>IF($B315=$B314,$EX314,0)+$EW315</f>
        <v/>
      </c>
      <c r="EY315" s="57">
        <f>$EY314+$EW315</f>
        <v/>
      </c>
      <c r="EZ315" s="55">
        <f>IFERROR(IF(($EK315)&gt;0,($DP315)/($EK315),""),"")</f>
        <v/>
      </c>
      <c r="FA315" s="55">
        <f>IFERROR(IF(($EL315)&gt;0,($DQ315)/($EL315),""),"")</f>
        <v/>
      </c>
      <c r="FB315" s="55">
        <f>IFERROR(IF(($EM315)&gt;0,($DR315)/($EM315),""),"")</f>
        <v/>
      </c>
      <c r="FC315" s="67">
        <f>IFERROR(IF(($ET315)&gt;0,($ET315-$EN315-$EQ315)/($ET315),""),"")</f>
        <v/>
      </c>
      <c r="FD315" s="67">
        <f>IFERROR(IF(($EU315)&gt;0,($EU315-$EO315-$ER315)/($EU315),""),"")</f>
        <v/>
      </c>
      <c r="FE315" s="67">
        <f>IFERROR(IF(($EV315)&gt;0,($EV315-$EP315-$ES315)/($EV315),""),"")</f>
        <v/>
      </c>
      <c r="FF315" s="67">
        <f>IFERROR(IF(($ET315-$EN315-$EQ315)&gt;0,($EK315)/($ET315-$EN315-$EQ315),""),"")</f>
        <v/>
      </c>
      <c r="FG315" s="67">
        <f>IFERROR(IF(($EU315-$EO315-$ER315)&gt;0,($EL315)/($EU315-$EO315-$ER315),""),"")</f>
        <v/>
      </c>
      <c r="FH315" s="67">
        <f>IFERROR(IF(($EV315-$EP315-$ES315)&gt;0,($EM315)/($EV315-$EP315-$ES315),""),"")</f>
        <v/>
      </c>
      <c r="FI315" s="55">
        <f>SUMIFS(tblPlant[Cyanide_kg],tblPlant[Date],$A315)</f>
        <v/>
      </c>
      <c r="FJ315" s="55">
        <f>IF($B315=$B314,$FJ314,0)+$FI315</f>
        <v/>
      </c>
      <c r="FK315" s="55">
        <f>$FK314+$FI315</f>
        <v/>
      </c>
      <c r="FL315" s="55">
        <f>SUMIFS(tblPlant[Lime_kg],tblPlant[Date],$A315)</f>
        <v/>
      </c>
      <c r="FM315" s="55">
        <f>IF($B315=$B314,$FM314,0)+$FL315</f>
        <v/>
      </c>
      <c r="FN315" s="55">
        <f>$FN314+$FL315</f>
        <v/>
      </c>
      <c r="FO315" s="55">
        <f>SUMIFS(tblPlant[Grinding_Media_kg],tblPlant[Date],$A315)</f>
        <v/>
      </c>
      <c r="FP315" s="55">
        <f>IF($B315=$B314,$FP314,0)+$FO315</f>
        <v/>
      </c>
      <c r="FQ315" s="55">
        <f>$FQ314+$FO315</f>
        <v/>
      </c>
      <c r="FR315" s="55">
        <f>SUMIFS(tblPlant[Power_kWh],tblPlant[Date],$A315)</f>
        <v/>
      </c>
      <c r="FS315" s="55">
        <f>IF($B315=$B314,$FS314,0)+$FR315</f>
        <v/>
      </c>
      <c r="FT315" s="55">
        <f>$FT314+$FR315</f>
        <v/>
      </c>
      <c r="FU315" s="55">
        <f>SUMIFS(tblPlant[Raw_Water_m3],tblPlant[Date],$A315)</f>
        <v/>
      </c>
      <c r="FV315" s="55">
        <f>IF($B315=$B314,$FV314,0)+$FU315</f>
        <v/>
      </c>
      <c r="FW315" s="55">
        <f>$FW314+$FU315</f>
        <v/>
      </c>
      <c r="FX315" s="56">
        <f>IFERROR(IF(($CU315)&gt;0,($FI315)/($CU315),""),"")</f>
        <v/>
      </c>
      <c r="FY315" s="56">
        <f>IFERROR(IF(($CV315)&gt;0,($FJ315)/($CV315),""),"")</f>
        <v/>
      </c>
      <c r="FZ315" s="56">
        <f>IFERROR(IF(($CW315)&gt;0,($FK315)/($CW315),""),"")</f>
        <v/>
      </c>
      <c r="GA315" s="56">
        <f>IFERROR(IF(($CU315)&gt;0,($FL315)/($CU315),""),"")</f>
        <v/>
      </c>
      <c r="GB315" s="56">
        <f>IFERROR(IF(($CV315)&gt;0,($FM315)/($CV315),""),"")</f>
        <v/>
      </c>
      <c r="GC315" s="56">
        <f>IFERROR(IF(($CW315)&gt;0,($FN315)/($CW315),""),"")</f>
        <v/>
      </c>
      <c r="GD315" s="56">
        <f>IFERROR(IF(($CU315)&gt;0,($FO315)/($CU315),""),"")</f>
        <v/>
      </c>
      <c r="GE315" s="56">
        <f>IFERROR(IF(($CV315)&gt;0,($FP315)/($CV315),""),"")</f>
        <v/>
      </c>
      <c r="GF315" s="56">
        <f>IFERROR(IF(($CW315)&gt;0,($FQ315)/($CW315),""),"")</f>
        <v/>
      </c>
      <c r="GG315" s="79">
        <f>IFERROR(IF(($CU315)&gt;0,($FR315)/($CU315),""),"")</f>
        <v/>
      </c>
      <c r="GH315" s="79">
        <f>IFERROR(IF(($CV315)&gt;0,($FS315)/($CV315),""),"")</f>
        <v/>
      </c>
      <c r="GI315" s="79">
        <f>IFERROR(IF(($CW315)&gt;0,($FT315)/($CW315),""),"")</f>
        <v/>
      </c>
      <c r="GJ315" s="56">
        <f>IFERROR(IF(($CU315)&gt;0,($FU315)/($CU315),""),"")</f>
        <v/>
      </c>
      <c r="GK315" s="56">
        <f>IFERROR(IF(($CV315)&gt;0,($FV315)/($CV315),""),"")</f>
        <v/>
      </c>
      <c r="GL315" s="56">
        <f>IFERROR(IF(($CW315)&gt;0,($FW315)/($CW315),""),"")</f>
        <v/>
      </c>
      <c r="GM315" s="55">
        <f>IF(SUMIFS(tblPlant[GIC_oz],tblPlant[Date],$A315)&gt;0,SUMIFS(tblPlant[GIC_oz],tblPlant[Date],$A315),"")</f>
        <v/>
      </c>
      <c r="GN315" s="55">
        <f>SUMIFS(tblGold[Gold_oz],tblGold[Date],$A315,tblGold[Type],"Shipment")</f>
        <v/>
      </c>
      <c r="GO315" s="55">
        <f>IF($B315=$B314,$GO314,0)+$GN315</f>
        <v/>
      </c>
      <c r="GP315" s="55">
        <f>$GP314+$GN315</f>
        <v/>
      </c>
      <c r="GQ315" s="55">
        <f>SUMIFS(tblGold[Gold_oz],tblGold[Date],$A315,tblGold[Type],"Sale")</f>
        <v/>
      </c>
      <c r="GR315" s="55">
        <f>IF($B315=$B314,$GR314,0)+$GQ315</f>
        <v/>
      </c>
      <c r="GS315" s="55">
        <f>$GS314+$GQ315</f>
        <v/>
      </c>
      <c r="GT315" s="55">
        <f>SUMIFS(tblGold[Dore_kg],tblGold[Date],$A315,tblGold[Type],"Shipment")</f>
        <v/>
      </c>
      <c r="GU315" s="55">
        <f>IF($B315=$B314,$GU314,0)+$GT315</f>
        <v/>
      </c>
      <c r="GV315" s="55">
        <f>$GV314+$GT315</f>
        <v/>
      </c>
      <c r="GW315" s="57">
        <f>SUMIFS(tblSafety[Hours_Total],tblSafety[Date],$A315)</f>
        <v/>
      </c>
      <c r="GX315" s="57">
        <f>IF($B315=$B314,$GX314,0)+$GW315</f>
        <v/>
      </c>
      <c r="GY315" s="57">
        <f>$GY314+$GW315</f>
        <v/>
      </c>
      <c r="GZ315" s="62">
        <f>SUMIFS(tblSafety[Fatality],tblSafety[Date],$A315)</f>
        <v/>
      </c>
      <c r="HA315" s="62">
        <f>IF($B315=$B314,$HA314,0)+$GZ315</f>
        <v/>
      </c>
      <c r="HB315" s="62">
        <f>$HB314+$GZ315</f>
        <v/>
      </c>
      <c r="HC315" s="62">
        <f>SUMIFS(tblSafety[LTI],tblSafety[Date],$A315)</f>
        <v/>
      </c>
      <c r="HD315" s="62">
        <f>IF($B315=$B314,$HD314,0)+$HC315</f>
        <v/>
      </c>
      <c r="HE315" s="62">
        <f>$HE314+$HC315</f>
        <v/>
      </c>
      <c r="HF315" s="62">
        <f>SUMIFS(tblSafety[RWI],tblSafety[Date],$A315)</f>
        <v/>
      </c>
      <c r="HG315" s="62">
        <f>IF($B315=$B314,$HG314,0)+$HF315</f>
        <v/>
      </c>
      <c r="HH315" s="62">
        <f>$HH314+$HF315</f>
        <v/>
      </c>
      <c r="HI315" s="62">
        <f>SUMIFS(tblSafety[MTI],tblSafety[Date],$A315)</f>
        <v/>
      </c>
      <c r="HJ315" s="62">
        <f>IF($B315=$B314,$HJ314,0)+$HI315</f>
        <v/>
      </c>
      <c r="HK315" s="62">
        <f>$HK314+$HI315</f>
        <v/>
      </c>
      <c r="HL315" s="62">
        <f>SUMIFS(tblSafety[FAI],tblSafety[Date],$A315)</f>
        <v/>
      </c>
      <c r="HM315" s="62">
        <f>IF($B315=$B314,$HM314,0)+$HL315</f>
        <v/>
      </c>
      <c r="HN315" s="62">
        <f>$HN314+$HL315</f>
        <v/>
      </c>
      <c r="HO315" s="62">
        <f>SUMIFS(tblSafety[Recordables],tblSafety[Date],$A315)</f>
        <v/>
      </c>
      <c r="HP315" s="62">
        <f>IF($B315=$B314,$HP314,0)+$HO315</f>
        <v/>
      </c>
      <c r="HQ315" s="62">
        <f>$HQ314+$HO315</f>
        <v/>
      </c>
      <c r="HR315" s="62">
        <f>SUMIFS(tblSafety[Near_Miss],tblSafety[Date],$A315)</f>
        <v/>
      </c>
      <c r="HS315" s="62">
        <f>IF($B315=$B314,$HS314,0)+$HR315</f>
        <v/>
      </c>
      <c r="HT315" s="62">
        <f>$HT314+$HR315</f>
        <v/>
      </c>
      <c r="HU315" s="62">
        <f>SUMIFS(tblSafety[Hazard_Reports],tblSafety[Date],$A315)</f>
        <v/>
      </c>
      <c r="HV315" s="62">
        <f>IF($B315=$B314,$HV314,0)+$HU315</f>
        <v/>
      </c>
      <c r="HW315" s="62">
        <f>$HW314+$HU315</f>
        <v/>
      </c>
      <c r="HX315" s="62">
        <f>SUMIFS(tblSafety[HPI],tblSafety[Date],$A315)</f>
        <v/>
      </c>
      <c r="HY315" s="62">
        <f>IF($B315=$B314,$HY314,0)+$HX315</f>
        <v/>
      </c>
      <c r="HZ315" s="62">
        <f>$HZ314+$HX315</f>
        <v/>
      </c>
      <c r="IA315" s="62">
        <f>SUMIFS(tblSafety[Env_Incidents],tblSafety[Date],$A315)</f>
        <v/>
      </c>
      <c r="IB315" s="62">
        <f>IF($B315=$B314,$IB314,0)+$IA315</f>
        <v/>
      </c>
      <c r="IC315" s="62">
        <f>$IC314+$IA315</f>
        <v/>
      </c>
      <c r="ID315" s="62">
        <f>SUMIFS(tblSafety[Community_Incidents],tblSafety[Date],$A315)</f>
        <v/>
      </c>
      <c r="IE315" s="62">
        <f>IF($B315=$B314,$IE314,0)+$ID315</f>
        <v/>
      </c>
      <c r="IF315" s="62">
        <f>$IF314+$ID315</f>
        <v/>
      </c>
      <c r="IG315" s="62">
        <f>SUMIFS(tblSafety[Vehicle_Incidents],tblSafety[Date],$A315)</f>
        <v/>
      </c>
      <c r="IH315" s="62">
        <f>IF($B315=$B314,$IH314,0)+$IG315</f>
        <v/>
      </c>
      <c r="II315" s="62">
        <f>$II314+$IG315</f>
        <v/>
      </c>
      <c r="IJ315" s="62">
        <f>SUMIFS(tblSafety[Toolbox_Talks],tblSafety[Date],$A315)</f>
        <v/>
      </c>
      <c r="IK315" s="62">
        <f>IF($B315=$B314,$IK314,0)+$IJ315</f>
        <v/>
      </c>
      <c r="IL315" s="62">
        <f>$IL314+$IJ315</f>
        <v/>
      </c>
      <c r="IM315" s="62">
        <f>SUMIFS(tblSafety[Inspections],tblSafety[Date],$A315)</f>
        <v/>
      </c>
      <c r="IN315" s="62">
        <f>IF($B315=$B314,$IN314,0)+$IM315</f>
        <v/>
      </c>
      <c r="IO315" s="62">
        <f>$IO314+$IM315</f>
        <v/>
      </c>
      <c r="IP315" s="56">
        <f>IFERROR((SUMIFS(tblSafety[Recordables],tblSafety[Date],"&gt;="&amp;EDATE($E315,-12),tblSafety[Date],"&lt;="&amp;$A315)+SUMIFS(tblSafetyHistory[Recordables],tblSafetyHistory[Month],"&gt;="&amp;EDATE($E315,-12),tblSafetyHistory[Month],"&lt;"&amp;$E315,tblSafetyHistory[Use],1))/(SUMIFS(tblSafety[Hours_Total],tblSafety[Date],"&gt;="&amp;EDATE($E315,-12),tblSafety[Date],"&lt;="&amp;$A315)+SUMIFS(tblSafetyHistory[Hours_Total],tblSafetyHistory[Month],"&gt;="&amp;EDATE($E315,-12),tblSafetyHistory[Month],"&lt;"&amp;$E315,tblSafetyHistory[Use],1))*cfg_RateBasisHours,"")</f>
        <v/>
      </c>
      <c r="IQ315" s="56">
        <f>IFERROR((SUMIFS(tblSafety[LTI],tblSafety[Date],"&gt;="&amp;EDATE($E315,-12),tblSafety[Date],"&lt;="&amp;$A315)+SUMIFS(tblSafetyHistory[LTI],tblSafetyHistory[Month],"&gt;="&amp;EDATE($E315,-12),tblSafetyHistory[Month],"&lt;"&amp;$E315,tblSafetyHistory[Use],1))/(SUMIFS(tblSafety[Hours_Total],tblSafety[Date],"&gt;="&amp;EDATE($E315,-12),tblSafety[Date],"&lt;="&amp;$A315)+SUMIFS(tblSafetyHistory[Hours_Total],tblSafetyHistory[Month],"&gt;="&amp;EDATE($E315,-12),tblSafetyHistory[Month],"&lt;"&amp;$E315,tblSafetyHistory[Use],1))*cfg_RateBasisHours,"")</f>
        <v/>
      </c>
      <c r="IR315" s="62">
        <f>IF(MAX(N(cfg_PriorLTIDate),_xlfn.MAXIFS(tblSafety[Date],tblSafety[LTI],"&gt;0",tblSafety[Date],"&lt;="&amp;$A315))=0,"",$A315-MAX(N(cfg_PriorLTIDate),_xlfn.MAXIFS(tblSafety[Date],tblSafety[LTI],"&gt;0",tblSafety[Date],"&lt;="&amp;$A315)))</f>
        <v/>
      </c>
      <c r="IS315" s="55">
        <f>SUMIFS(tblBudget[Ore_Mined_t],tblBudget[Month],$E315)</f>
        <v/>
      </c>
      <c r="IT315" s="55">
        <f>$IS315*$C315/$D315</f>
        <v/>
      </c>
      <c r="IU315" s="55">
        <f>SUMIFS(tblBudget[Ore_Mined_t],tblBudget[Month],"&lt;"&amp;$E315)+$IT315</f>
        <v/>
      </c>
      <c r="IV315" s="55">
        <f>SUMIFS(tblBudget[Ore_oz],tblBudget[Month],$E315)</f>
        <v/>
      </c>
      <c r="IW315" s="55">
        <f>$IV315*$C315/$D315</f>
        <v/>
      </c>
      <c r="IX315" s="55">
        <f>SUMIFS(tblBudget[Ore_oz],tblBudget[Month],"&lt;"&amp;$E315)+$IW315</f>
        <v/>
      </c>
      <c r="IY315" s="55">
        <f>SUMIFS(tblBudget[Ore_Mined_t],tblBudget[Month],$E315)</f>
        <v/>
      </c>
      <c r="IZ315" s="55">
        <f>$IY315*$C315/$D315</f>
        <v/>
      </c>
      <c r="JA315" s="55">
        <f>SUMIFS(tblBudget[Ore_Mined_t],tblBudget[Month],"&lt;"&amp;$E315)+$IZ315</f>
        <v/>
      </c>
      <c r="JB315" s="56">
        <f>IFERROR(IF(($IY315)&gt;0,($IV315*cfg_TroyOz)/($IY315),""),"")</f>
        <v/>
      </c>
      <c r="JC315" s="56">
        <f>IFERROR(IF(($IZ315)&gt;0,($IW315*cfg_TroyOz)/($IZ315),""),"")</f>
        <v/>
      </c>
      <c r="JD315" s="56">
        <f>IFERROR(IF(($JA315)&gt;0,($IX315*cfg_TroyOz)/($JA315),""),"")</f>
        <v/>
      </c>
      <c r="JE315" s="55">
        <f>SUMIFS(tblBudget[Waste_t],tblBudget[Month],$E315)</f>
        <v/>
      </c>
      <c r="JF315" s="55">
        <f>$JE315*$C315/$D315</f>
        <v/>
      </c>
      <c r="JG315" s="55">
        <f>SUMIFS(tblBudget[Waste_t],tblBudget[Month],"&lt;"&amp;$E315)+$JF315</f>
        <v/>
      </c>
      <c r="JH315" s="55">
        <f>SUMIFS(tblBudget[TMM_t],tblBudget[Month],$E315)</f>
        <v/>
      </c>
      <c r="JI315" s="55">
        <f>$JH315*$C315/$D315</f>
        <v/>
      </c>
      <c r="JJ315" s="55">
        <f>SUMIFS(tblBudget[TMM_t],tblBudget[Month],"&lt;"&amp;$E315)+$JI315</f>
        <v/>
      </c>
      <c r="JK315" s="56">
        <f>IFERROR(IF(($IS315)&gt;0,($JE315)/($IS315),""),"")</f>
        <v/>
      </c>
      <c r="JL315" s="56">
        <f>IFERROR(IF(($IT315)&gt;0,($JF315)/($IT315),""),"")</f>
        <v/>
      </c>
      <c r="JM315" s="56">
        <f>IFERROR(IF(($IU315)&gt;0,($JG315)/($IU315),""),"")</f>
        <v/>
      </c>
      <c r="JN315" s="55">
        <f>SUMIFS(tblBudget[Drill_m],tblBudget[Month],$E315)</f>
        <v/>
      </c>
      <c r="JO315" s="55">
        <f>$JN315*$C315/$D315</f>
        <v/>
      </c>
      <c r="JP315" s="55">
        <f>SUMIFS(tblBudget[Drill_m],tblBudget[Month],"&lt;"&amp;$E315)+$JO315</f>
        <v/>
      </c>
      <c r="JQ315" s="55">
        <f>SUMIFS(tblBudget[Diesel_L],tblBudget[Month],$E315)</f>
        <v/>
      </c>
      <c r="JR315" s="55">
        <f>$JQ315*$C315/$D315</f>
        <v/>
      </c>
      <c r="JS315" s="55">
        <f>SUMIFS(tblBudget[Diesel_L],tblBudget[Month],"&lt;"&amp;$E315)+$JR315</f>
        <v/>
      </c>
      <c r="JT315" s="55">
        <f>SUMIFS(tblBudget[Milled_t],tblBudget[Month],$E315)</f>
        <v/>
      </c>
      <c r="JU315" s="55">
        <f>$JT315*$C315/$D315</f>
        <v/>
      </c>
      <c r="JV315" s="55">
        <f>SUMIFS(tblBudget[Milled_t],tblBudget[Month],"&lt;"&amp;$E315)+$JU315</f>
        <v/>
      </c>
      <c r="JW315" s="55">
        <f>SUMIFS(tblBudget[Feed_oz],tblBudget[Month],$E315)</f>
        <v/>
      </c>
      <c r="JX315" s="55">
        <f>$JW315*$C315/$D315</f>
        <v/>
      </c>
      <c r="JY315" s="55">
        <f>SUMIFS(tblBudget[Feed_oz],tblBudget[Month],"&lt;"&amp;$E315)+$JX315</f>
        <v/>
      </c>
      <c r="JZ315" s="55">
        <f>SUMIFS(tblBudget[Recovered_oz],tblBudget[Month],$E315)</f>
        <v/>
      </c>
      <c r="KA315" s="55">
        <f>$JZ315*$C315/$D315</f>
        <v/>
      </c>
      <c r="KB315" s="55">
        <f>SUMIFS(tblBudget[Recovered_oz],tblBudget[Month],"&lt;"&amp;$E315)+$KA315</f>
        <v/>
      </c>
      <c r="KC315" s="55">
        <f>SUMIFS(tblBudget[Milled_t],tblBudget[Month],$E315)</f>
        <v/>
      </c>
      <c r="KD315" s="55">
        <f>$KC315*$C315/$D315</f>
        <v/>
      </c>
      <c r="KE315" s="55">
        <f>SUMIFS(tblBudget[Milled_t],tblBudget[Month],"&lt;"&amp;$E315)+$KD315</f>
        <v/>
      </c>
      <c r="KF315" s="55">
        <f>SUMIFS(tblBudget[Feed_oz],tblBudget[Month],$E315)</f>
        <v/>
      </c>
      <c r="KG315" s="55">
        <f>$KF315*$C315/$D315</f>
        <v/>
      </c>
      <c r="KH315" s="55">
        <f>SUMIFS(tblBudget[Feed_oz],tblBudget[Month],"&lt;"&amp;$E315)+$KG315</f>
        <v/>
      </c>
      <c r="KI315" s="56">
        <f>IFERROR(IF(($KC315)&gt;0,($JW315*cfg_TroyOz)/($KC315),""),"")</f>
        <v/>
      </c>
      <c r="KJ315" s="56">
        <f>IFERROR(IF(($KD315)&gt;0,($JX315*cfg_TroyOz)/($KD315),""),"")</f>
        <v/>
      </c>
      <c r="KK315" s="56">
        <f>IFERROR(IF(($KE315)&gt;0,($JY315*cfg_TroyOz)/($KE315),""),"")</f>
        <v/>
      </c>
      <c r="KL315" s="67">
        <f>IFERROR(IF(($KF315)&gt;0,($JZ315)/($KF315),""),"")</f>
        <v/>
      </c>
      <c r="KM315" s="67">
        <f>IFERROR(IF(($KG315)&gt;0,($KA315)/($KG315),""),"")</f>
        <v/>
      </c>
      <c r="KN315" s="67">
        <f>IFERROR(IF(($KH315)&gt;0,($KB315)/($KH315),""),"")</f>
        <v/>
      </c>
      <c r="KO315" s="55">
        <f>SUMIFS(tblBudget[Gold_Poured_oz],tblBudget[Month],$E315)</f>
        <v/>
      </c>
      <c r="KP315" s="55">
        <f>$KO315*$C315/$D315</f>
        <v/>
      </c>
      <c r="KQ315" s="55">
        <f>SUMIFS(tblBudget[Gold_Poured_oz],tblBudget[Month],"&lt;"&amp;$E315)+$KP315</f>
        <v/>
      </c>
      <c r="KR315" s="57">
        <f>SUMIFS(tblBudget[Hours_Worked],tblBudget[Month],$E315)</f>
        <v/>
      </c>
      <c r="KS315" s="57">
        <f>$KR315*$C315/$D315</f>
        <v/>
      </c>
      <c r="KT315" s="57">
        <f>SUMIFS(tblBudget[Hours_Worked],tblBudget[Month],"&lt;"&amp;$E315)+$KS315</f>
        <v/>
      </c>
    </row>
    <row r="316">
      <c r="A316" s="54" t="n">
        <v>46337</v>
      </c>
      <c r="B316">
        <f>MONTH($A316)</f>
        <v/>
      </c>
      <c r="C316">
        <f>DAY($A316)</f>
        <v/>
      </c>
      <c r="D316">
        <f>DAY(EOMONTH($A316,0))</f>
        <v/>
      </c>
      <c r="E316" s="54">
        <f>DATE(YEAR($A316),MONTH($A316),1)</f>
        <v/>
      </c>
      <c r="F316" s="55">
        <f>SUMIFS(tblMovement[Tonnes_t],tblMovement[Date],$A316,tblMovement[Is_Ore],1,tblMovement[Source_Type],"Pit")</f>
        <v/>
      </c>
      <c r="G316" s="55">
        <f>IF($B316=$B315,$G315,0)+$F316</f>
        <v/>
      </c>
      <c r="H316" s="55">
        <f>$H315+$F316</f>
        <v/>
      </c>
      <c r="I316" s="55">
        <f>SUMIFS(tblMovement[Ore_oz],tblMovement[Date],$A316,tblMovement[Source_Type],"Pit")</f>
        <v/>
      </c>
      <c r="J316" s="55">
        <f>IF($B316=$B315,$J315,0)+$I316</f>
        <v/>
      </c>
      <c r="K316" s="55">
        <f>$K315+$I316</f>
        <v/>
      </c>
      <c r="L316" s="55">
        <f>SUMIFS(tblMovement[Tonnes_t],tblMovement[Date],$A316,tblMovement[Is_Ore],1,tblMovement[Source_Type],"Pit",tblMovement[Grade_gpt],"&lt;&gt;")</f>
        <v/>
      </c>
      <c r="M316" s="55">
        <f>IF($B316=$B315,$M315,0)+$L316</f>
        <v/>
      </c>
      <c r="N316" s="55">
        <f>$N315+$L316</f>
        <v/>
      </c>
      <c r="O316" s="56">
        <f>IFERROR(IF(($L316)&gt;0,($I316*cfg_TroyOz)/($L316),""),"")</f>
        <v/>
      </c>
      <c r="P316" s="56">
        <f>IFERROR(IF(($M316)&gt;0,($J316*cfg_TroyOz)/($M316),""),"")</f>
        <v/>
      </c>
      <c r="Q316" s="56">
        <f>IFERROR(IF(($N316)&gt;0,($K316*cfg_TroyOz)/($N316),""),"")</f>
        <v/>
      </c>
      <c r="R316" s="55">
        <f>$F316-$L316</f>
        <v/>
      </c>
      <c r="S316" s="55">
        <f>IF($B316=$B315,$S315,0)+$R316</f>
        <v/>
      </c>
      <c r="T316" s="55">
        <f>$T315+$R316</f>
        <v/>
      </c>
      <c r="U316" s="55">
        <f>SUMIFS(tblMovement[Tonnes_t],tblMovement[Date],$A316,tblMovement[Is_Ore],0,tblMovement[Source_Type],"Pit")</f>
        <v/>
      </c>
      <c r="V316" s="55">
        <f>IF($B316=$B315,$V315,0)+$U316</f>
        <v/>
      </c>
      <c r="W316" s="55">
        <f>$W315+$U316</f>
        <v/>
      </c>
      <c r="X316" s="55">
        <f>$F316+$U316</f>
        <v/>
      </c>
      <c r="Y316" s="55">
        <f>IF($B316=$B315,$Y315,0)+$X316</f>
        <v/>
      </c>
      <c r="Z316" s="55">
        <f>$Z315+$X316</f>
        <v/>
      </c>
      <c r="AA316" s="56">
        <f>IFERROR(IF(($F316)&gt;0,($U316)/($F316),""),"")</f>
        <v/>
      </c>
      <c r="AB316" s="56">
        <f>IFERROR(IF(($G316)&gt;0,($V316)/($G316),""),"")</f>
        <v/>
      </c>
      <c r="AC316" s="56">
        <f>IFERROR(IF(($H316)&gt;0,($W316)/($H316),""),"")</f>
        <v/>
      </c>
      <c r="AD316" s="55">
        <f>SUMIFS(tblMovement[Tonnes_t],tblMovement[Date],$A316,tblMovement[Source_Type],"Stockpile")</f>
        <v/>
      </c>
      <c r="AE316" s="55">
        <f>IF($B316=$B315,$AE315,0)+$AD316</f>
        <v/>
      </c>
      <c r="AF316" s="55">
        <f>$AF315+$AD316</f>
        <v/>
      </c>
      <c r="AG316" s="55">
        <f>SUMIFS(tblMovement[Tonnes_t],tblMovement[Date],$A316)</f>
        <v/>
      </c>
      <c r="AH316" s="55">
        <f>IF($B316=$B315,$AH315,0)+$AG316</f>
        <v/>
      </c>
      <c r="AI316" s="55">
        <f>$AI315+$AG316</f>
        <v/>
      </c>
      <c r="AJ316" s="55">
        <f>$AG316-$X316-$AD316</f>
        <v/>
      </c>
      <c r="AK316" s="55">
        <f>IF($B316=$B315,$AK315,0)+$AJ316</f>
        <v/>
      </c>
      <c r="AL316" s="55">
        <f>$AL315+$AJ316</f>
        <v/>
      </c>
      <c r="AM316" s="55">
        <f>SUMIFS(tblMiningDaily[Drill_m],tblMiningDaily[Date],$A316)</f>
        <v/>
      </c>
      <c r="AN316" s="55">
        <f>IF($B316=$B315,$AN315,0)+$AM316</f>
        <v/>
      </c>
      <c r="AO316" s="55">
        <f>$AO315+$AM316</f>
        <v/>
      </c>
      <c r="AP316" s="55">
        <f>SUMIFS(tblMiningDaily[GC_Drill_m],tblMiningDaily[Date],$A316)</f>
        <v/>
      </c>
      <c r="AQ316" s="55">
        <f>IF($B316=$B315,$AQ315,0)+$AP316</f>
        <v/>
      </c>
      <c r="AR316" s="55">
        <f>$AR315+$AP316</f>
        <v/>
      </c>
      <c r="AS316" s="55">
        <f>SUMIFS(tblMiningDaily[Blast_t],tblMiningDaily[Date],$A316)</f>
        <v/>
      </c>
      <c r="AT316" s="55">
        <f>IF($B316=$B315,$AT315,0)+$AS316</f>
        <v/>
      </c>
      <c r="AU316" s="55">
        <f>$AU315+$AS316</f>
        <v/>
      </c>
      <c r="AV316" s="55">
        <f>SUMIFS(tblMiningDaily[Explosives_kg],tblMiningDaily[Date],$A316)</f>
        <v/>
      </c>
      <c r="AW316" s="55">
        <f>IF($B316=$B315,$AW315,0)+$AV316</f>
        <v/>
      </c>
      <c r="AX316" s="55">
        <f>$AX315+$AV316</f>
        <v/>
      </c>
      <c r="AY316" s="56">
        <f>IFERROR(IF(($AS316)&gt;0,($AV316)/($AS316),""),"")</f>
        <v/>
      </c>
      <c r="AZ316" s="56">
        <f>IFERROR(IF(($AT316)&gt;0,($AW316)/($AT316),""),"")</f>
        <v/>
      </c>
      <c r="BA316" s="56">
        <f>IFERROR(IF(($AU316)&gt;0,($AX316)/($AU316),""),"")</f>
        <v/>
      </c>
      <c r="BB316" s="55">
        <f>SUMIFS(tblMiningDaily[Diesel_L],tblMiningDaily[Date],$A316)</f>
        <v/>
      </c>
      <c r="BC316" s="55">
        <f>IF($B316=$B315,$BC315,0)+$BB316</f>
        <v/>
      </c>
      <c r="BD316" s="55">
        <f>$BD315+$BB316</f>
        <v/>
      </c>
      <c r="BE316" s="55">
        <f>SUMIFS(tblMiningDaily[Dewatering_m3],tblMiningDaily[Date],$A316)</f>
        <v/>
      </c>
      <c r="BF316" s="55">
        <f>IF($B316=$B315,$BF315,0)+$BE316</f>
        <v/>
      </c>
      <c r="BG316" s="55">
        <f>$BG315+$BE316</f>
        <v/>
      </c>
      <c r="BH316" s="57">
        <f>SUMIFS(tblFleet[Calendar_h],tblFleet[Date],$A316,tblFleet[Equipment_Class],"Excavator")</f>
        <v/>
      </c>
      <c r="BI316" s="57">
        <f>IF($B316=$B315,$BI315,0)+$BH316</f>
        <v/>
      </c>
      <c r="BJ316" s="57">
        <f>$BJ315+$BH316</f>
        <v/>
      </c>
      <c r="BK316" s="57">
        <f>SUMIFS(tblFleet[Available_h],tblFleet[Date],$A316,tblFleet[Equipment_Class],"Excavator")</f>
        <v/>
      </c>
      <c r="BL316" s="57">
        <f>IF($B316=$B315,$BL315,0)+$BK316</f>
        <v/>
      </c>
      <c r="BM316" s="57">
        <f>$BM315+$BK316</f>
        <v/>
      </c>
      <c r="BN316" s="57">
        <f>SUMIFS(tblFleet[Operating_h],tblFleet[Date],$A316,tblFleet[Equipment_Class],"Excavator")</f>
        <v/>
      </c>
      <c r="BO316" s="57">
        <f>IF($B316=$B315,$BO315,0)+$BN316</f>
        <v/>
      </c>
      <c r="BP316" s="57">
        <f>$BP315+$BN316</f>
        <v/>
      </c>
      <c r="BQ316" s="67">
        <f>IFERROR(IF(($BH316)&gt;0,($BK316)/($BH316),""),"")</f>
        <v/>
      </c>
      <c r="BR316" s="67">
        <f>IFERROR(IF(($BI316)&gt;0,($BL316)/($BI316),""),"")</f>
        <v/>
      </c>
      <c r="BS316" s="67">
        <f>IFERROR(IF(($BJ316)&gt;0,($BM316)/($BJ316),""),"")</f>
        <v/>
      </c>
      <c r="BT316" s="67">
        <f>IFERROR(IF(($BK316)&gt;0,($BN316)/($BK316),""),"")</f>
        <v/>
      </c>
      <c r="BU316" s="67">
        <f>IFERROR(IF(($BL316)&gt;0,($BO316)/($BL316),""),"")</f>
        <v/>
      </c>
      <c r="BV316" s="67">
        <f>IFERROR(IF(($BM316)&gt;0,($BP316)/($BM316),""),"")</f>
        <v/>
      </c>
      <c r="BW316" s="57">
        <f>SUMIFS(tblFleet[Calendar_h],tblFleet[Date],$A316,tblFleet[Equipment_Class],"Haul Truck")</f>
        <v/>
      </c>
      <c r="BX316" s="57">
        <f>IF($B316=$B315,$BX315,0)+$BW316</f>
        <v/>
      </c>
      <c r="BY316" s="57">
        <f>$BY315+$BW316</f>
        <v/>
      </c>
      <c r="BZ316" s="57">
        <f>SUMIFS(tblFleet[Available_h],tblFleet[Date],$A316,tblFleet[Equipment_Class],"Haul Truck")</f>
        <v/>
      </c>
      <c r="CA316" s="57">
        <f>IF($B316=$B315,$CA315,0)+$BZ316</f>
        <v/>
      </c>
      <c r="CB316" s="57">
        <f>$CB315+$BZ316</f>
        <v/>
      </c>
      <c r="CC316" s="57">
        <f>SUMIFS(tblFleet[Operating_h],tblFleet[Date],$A316,tblFleet[Equipment_Class],"Haul Truck")</f>
        <v/>
      </c>
      <c r="CD316" s="57">
        <f>IF($B316=$B315,$CD315,0)+$CC316</f>
        <v/>
      </c>
      <c r="CE316" s="57">
        <f>$CE315+$CC316</f>
        <v/>
      </c>
      <c r="CF316" s="67">
        <f>IFERROR(IF(($BW316)&gt;0,($BZ316)/($BW316),""),"")</f>
        <v/>
      </c>
      <c r="CG316" s="67">
        <f>IFERROR(IF(($BX316)&gt;0,($CA316)/($BX316),""),"")</f>
        <v/>
      </c>
      <c r="CH316" s="67">
        <f>IFERROR(IF(($BY316)&gt;0,($CB316)/($BY316),""),"")</f>
        <v/>
      </c>
      <c r="CI316" s="67">
        <f>IFERROR(IF(($BZ316)&gt;0,($CC316)/($BZ316),""),"")</f>
        <v/>
      </c>
      <c r="CJ316" s="67">
        <f>IFERROR(IF(($CA316)&gt;0,($CD316)/($CA316),""),"")</f>
        <v/>
      </c>
      <c r="CK316" s="67">
        <f>IFERROR(IF(($CB316)&gt;0,($CE316)/($CB316),""),"")</f>
        <v/>
      </c>
      <c r="CL316" s="55">
        <f>IFERROR(IF(($BN316)&gt;0,($X316+$AD316)/($BN316),""),"")</f>
        <v/>
      </c>
      <c r="CM316" s="55">
        <f>IFERROR(IF(($BO316)&gt;0,($Y316+$AE316)/($BO316),""),"")</f>
        <v/>
      </c>
      <c r="CN316" s="55">
        <f>IFERROR(IF(($BP316)&gt;0,($Z316+$AF316)/($BP316),""),"")</f>
        <v/>
      </c>
      <c r="CO316" s="55">
        <f>IFERROR(IF(($CC316)&gt;0,($X316+$AD316)/($CC316),""),"")</f>
        <v/>
      </c>
      <c r="CP316" s="55">
        <f>IFERROR(IF(($CD316)&gt;0,($Y316+$AE316)/($CD316),""),"")</f>
        <v/>
      </c>
      <c r="CQ316" s="55">
        <f>IFERROR(IF(($CE316)&gt;0,($Z316+$AF316)/($CE316),""),"")</f>
        <v/>
      </c>
      <c r="CR316" s="55">
        <f>SUMIFS(tblPlant[Crushed_t],tblPlant[Date],$A316)</f>
        <v/>
      </c>
      <c r="CS316" s="55">
        <f>IF($B316=$B315,$CS315,0)+$CR316</f>
        <v/>
      </c>
      <c r="CT316" s="55">
        <f>$CT315+$CR316</f>
        <v/>
      </c>
      <c r="CU316" s="55">
        <f>SUMIFS(tblPlant[Milled_t],tblPlant[Date],$A316)</f>
        <v/>
      </c>
      <c r="CV316" s="55">
        <f>IF($B316=$B315,$CV315,0)+$CU316</f>
        <v/>
      </c>
      <c r="CW316" s="55">
        <f>$CW315+$CU316</f>
        <v/>
      </c>
      <c r="CX316" s="55">
        <f>SUMIFS(tblPlant[Feed_oz],tblPlant[Date],$A316)</f>
        <v/>
      </c>
      <c r="CY316" s="55">
        <f>IF($B316=$B315,$CY315,0)+$CX316</f>
        <v/>
      </c>
      <c r="CZ316" s="55">
        <f>$CZ315+$CX316</f>
        <v/>
      </c>
      <c r="DA316" s="55">
        <f>SUMIFS(tblPlant[Tails_oz],tblPlant[Date],$A316)</f>
        <v/>
      </c>
      <c r="DB316" s="55">
        <f>IF($B316=$B315,$DB315,0)+$DA316</f>
        <v/>
      </c>
      <c r="DC316" s="55">
        <f>$DC315+$DA316</f>
        <v/>
      </c>
      <c r="DD316" s="55">
        <f>SUMIFS(tblPlant[Recovered_oz],tblPlant[Date],$A316)</f>
        <v/>
      </c>
      <c r="DE316" s="55">
        <f>IF($B316=$B315,$DE315,0)+$DD316</f>
        <v/>
      </c>
      <c r="DF316" s="55">
        <f>$DF315+$DD316</f>
        <v/>
      </c>
      <c r="DG316" s="55">
        <f>SUMIFS(tblPlant[Milled_t],tblPlant[Date],$A316,tblPlant[Head_Grade_gpt],"&lt;&gt;")</f>
        <v/>
      </c>
      <c r="DH316" s="55">
        <f>IF($B316=$B315,$DH315,0)+$DG316</f>
        <v/>
      </c>
      <c r="DI316" s="55">
        <f>$DI315+$DG316</f>
        <v/>
      </c>
      <c r="DJ316" s="55">
        <f>SUMIFS(tblPlant[Milled_t],tblPlant[Date],$A316,tblPlant[Tails_Grade_gpt],"&lt;&gt;")</f>
        <v/>
      </c>
      <c r="DK316" s="55">
        <f>IF($B316=$B315,$DK315,0)+$DJ316</f>
        <v/>
      </c>
      <c r="DL316" s="55">
        <f>$DL315+$DJ316</f>
        <v/>
      </c>
      <c r="DM316" s="55">
        <f>SUMIFS(tblPlant[Feed_oz],tblPlant[Date],$A316,tblPlant[Tails_Grade_gpt],"&lt;&gt;")</f>
        <v/>
      </c>
      <c r="DN316" s="55">
        <f>IF($B316=$B315,$DN315,0)+$DM316</f>
        <v/>
      </c>
      <c r="DO316" s="55">
        <f>$DO315+$DM316</f>
        <v/>
      </c>
      <c r="DP316" s="55">
        <f>SUMIFS(tblPlant[Milled_t],tblPlant[Date],$A316,tblPlant[Mill_Run_h],"&lt;&gt;")</f>
        <v/>
      </c>
      <c r="DQ316" s="55">
        <f>IF($B316=$B315,$DQ315,0)+$DP316</f>
        <v/>
      </c>
      <c r="DR316" s="55">
        <f>$DR315+$DP316</f>
        <v/>
      </c>
      <c r="DS316" s="56">
        <f>IFERROR(IF(($DG316)&gt;0,($CX316*cfg_TroyOz)/($DG316),""),"")</f>
        <v/>
      </c>
      <c r="DT316" s="56">
        <f>IFERROR(IF(($DH316)&gt;0,($CY316*cfg_TroyOz)/($DH316),""),"")</f>
        <v/>
      </c>
      <c r="DU316" s="56">
        <f>IFERROR(IF(($DI316)&gt;0,($CZ316*cfg_TroyOz)/($DI316),""),"")</f>
        <v/>
      </c>
      <c r="DV316" s="56">
        <f>IFERROR(IF(($DJ316)&gt;0,($DA316*cfg_TroyOz)/($DJ316),""),"")</f>
        <v/>
      </c>
      <c r="DW316" s="56">
        <f>IFERROR(IF(($DK316)&gt;0,($DB316*cfg_TroyOz)/($DK316),""),"")</f>
        <v/>
      </c>
      <c r="DX316" s="56">
        <f>IFERROR(IF(($DL316)&gt;0,($DC316*cfg_TroyOz)/($DL316),""),"")</f>
        <v/>
      </c>
      <c r="DY316" s="67">
        <f>IFERROR(IF(($DM316)&gt;0,($DD316)/($DM316),""),"")</f>
        <v/>
      </c>
      <c r="DZ316" s="67">
        <f>IFERROR(IF(($DN316)&gt;0,($DE316)/($DN316),""),"")</f>
        <v/>
      </c>
      <c r="EA316" s="67">
        <f>IFERROR(IF(($DO316)&gt;0,($DF316)/($DO316),""),"")</f>
        <v/>
      </c>
      <c r="EB316" s="55">
        <f>SUMIFS(tblPlant[Gravity_Gold_oz],tblPlant[Date],$A316)</f>
        <v/>
      </c>
      <c r="EC316" s="55">
        <f>IF($B316=$B315,$EC315,0)+$EB316</f>
        <v/>
      </c>
      <c r="ED316" s="55">
        <f>$ED315+$EB316</f>
        <v/>
      </c>
      <c r="EE316" s="67">
        <f>IFERROR(IF(($DD316)&gt;0,($EB316)/($DD316),""),"")</f>
        <v/>
      </c>
      <c r="EF316" s="67">
        <f>IFERROR(IF(($DE316)&gt;0,($EC316)/($DE316),""),"")</f>
        <v/>
      </c>
      <c r="EG316" s="67">
        <f>IFERROR(IF(($DF316)&gt;0,($ED316)/($DF316),""),"")</f>
        <v/>
      </c>
      <c r="EH316" s="55">
        <f>SUMIFS(tblPlant[Gold_Poured_oz],tblPlant[Date],$A316)</f>
        <v/>
      </c>
      <c r="EI316" s="55">
        <f>IF($B316=$B315,$EI315,0)+$EH316</f>
        <v/>
      </c>
      <c r="EJ316" s="55">
        <f>$EJ315+$EH316</f>
        <v/>
      </c>
      <c r="EK316" s="57">
        <f>SUMIFS(tblPlant[Mill_Run_h],tblPlant[Date],$A316)</f>
        <v/>
      </c>
      <c r="EL316" s="57">
        <f>IF($B316=$B315,$EL315,0)+$EK316</f>
        <v/>
      </c>
      <c r="EM316" s="57">
        <f>$EM315+$EK316</f>
        <v/>
      </c>
      <c r="EN316" s="57">
        <f>SUMIFS(tblPlant[Mill_Planned_Maint_h],tblPlant[Date],$A316)</f>
        <v/>
      </c>
      <c r="EO316" s="57">
        <f>IF($B316=$B315,$EO315,0)+$EN316</f>
        <v/>
      </c>
      <c r="EP316" s="57">
        <f>$EP315+$EN316</f>
        <v/>
      </c>
      <c r="EQ316" s="57">
        <f>SUMIFS(tblPlant[Mill_Unplanned_Down_h],tblPlant[Date],$A316)</f>
        <v/>
      </c>
      <c r="ER316" s="57">
        <f>IF($B316=$B315,$ER315,0)+$EQ316</f>
        <v/>
      </c>
      <c r="ES316" s="57">
        <f>$ES315+$EQ316</f>
        <v/>
      </c>
      <c r="ET316" s="57">
        <f>IF(COUNTIFS(tblPlant[Date],$A316,tblPlant[Mill_Run_h],"&lt;&gt;")+COUNTIFS(tblPlant[Date],$A316,tblPlant[Mill_Planned_Maint_h],"&lt;&gt;")+COUNTIFS(tblPlant[Date],$A316,tblPlant[Mill_Unplanned_Down_h],"&lt;&gt;")&gt;0,cfg_HoursPerDay,0)</f>
        <v/>
      </c>
      <c r="EU316" s="57">
        <f>IF($B316=$B315,$EU315,0)+$ET316</f>
        <v/>
      </c>
      <c r="EV316" s="57">
        <f>$EV315+$ET316</f>
        <v/>
      </c>
      <c r="EW316" s="57">
        <f>SUMIFS(tblPlant[Crusher_Run_h],tblPlant[Date],$A316)</f>
        <v/>
      </c>
      <c r="EX316" s="57">
        <f>IF($B316=$B315,$EX315,0)+$EW316</f>
        <v/>
      </c>
      <c r="EY316" s="57">
        <f>$EY315+$EW316</f>
        <v/>
      </c>
      <c r="EZ316" s="55">
        <f>IFERROR(IF(($EK316)&gt;0,($DP316)/($EK316),""),"")</f>
        <v/>
      </c>
      <c r="FA316" s="55">
        <f>IFERROR(IF(($EL316)&gt;0,($DQ316)/($EL316),""),"")</f>
        <v/>
      </c>
      <c r="FB316" s="55">
        <f>IFERROR(IF(($EM316)&gt;0,($DR316)/($EM316),""),"")</f>
        <v/>
      </c>
      <c r="FC316" s="67">
        <f>IFERROR(IF(($ET316)&gt;0,($ET316-$EN316-$EQ316)/($ET316),""),"")</f>
        <v/>
      </c>
      <c r="FD316" s="67">
        <f>IFERROR(IF(($EU316)&gt;0,($EU316-$EO316-$ER316)/($EU316),""),"")</f>
        <v/>
      </c>
      <c r="FE316" s="67">
        <f>IFERROR(IF(($EV316)&gt;0,($EV316-$EP316-$ES316)/($EV316),""),"")</f>
        <v/>
      </c>
      <c r="FF316" s="67">
        <f>IFERROR(IF(($ET316-$EN316-$EQ316)&gt;0,($EK316)/($ET316-$EN316-$EQ316),""),"")</f>
        <v/>
      </c>
      <c r="FG316" s="67">
        <f>IFERROR(IF(($EU316-$EO316-$ER316)&gt;0,($EL316)/($EU316-$EO316-$ER316),""),"")</f>
        <v/>
      </c>
      <c r="FH316" s="67">
        <f>IFERROR(IF(($EV316-$EP316-$ES316)&gt;0,($EM316)/($EV316-$EP316-$ES316),""),"")</f>
        <v/>
      </c>
      <c r="FI316" s="55">
        <f>SUMIFS(tblPlant[Cyanide_kg],tblPlant[Date],$A316)</f>
        <v/>
      </c>
      <c r="FJ316" s="55">
        <f>IF($B316=$B315,$FJ315,0)+$FI316</f>
        <v/>
      </c>
      <c r="FK316" s="55">
        <f>$FK315+$FI316</f>
        <v/>
      </c>
      <c r="FL316" s="55">
        <f>SUMIFS(tblPlant[Lime_kg],tblPlant[Date],$A316)</f>
        <v/>
      </c>
      <c r="FM316" s="55">
        <f>IF($B316=$B315,$FM315,0)+$FL316</f>
        <v/>
      </c>
      <c r="FN316" s="55">
        <f>$FN315+$FL316</f>
        <v/>
      </c>
      <c r="FO316" s="55">
        <f>SUMIFS(tblPlant[Grinding_Media_kg],tblPlant[Date],$A316)</f>
        <v/>
      </c>
      <c r="FP316" s="55">
        <f>IF($B316=$B315,$FP315,0)+$FO316</f>
        <v/>
      </c>
      <c r="FQ316" s="55">
        <f>$FQ315+$FO316</f>
        <v/>
      </c>
      <c r="FR316" s="55">
        <f>SUMIFS(tblPlant[Power_kWh],tblPlant[Date],$A316)</f>
        <v/>
      </c>
      <c r="FS316" s="55">
        <f>IF($B316=$B315,$FS315,0)+$FR316</f>
        <v/>
      </c>
      <c r="FT316" s="55">
        <f>$FT315+$FR316</f>
        <v/>
      </c>
      <c r="FU316" s="55">
        <f>SUMIFS(tblPlant[Raw_Water_m3],tblPlant[Date],$A316)</f>
        <v/>
      </c>
      <c r="FV316" s="55">
        <f>IF($B316=$B315,$FV315,0)+$FU316</f>
        <v/>
      </c>
      <c r="FW316" s="55">
        <f>$FW315+$FU316</f>
        <v/>
      </c>
      <c r="FX316" s="56">
        <f>IFERROR(IF(($CU316)&gt;0,($FI316)/($CU316),""),"")</f>
        <v/>
      </c>
      <c r="FY316" s="56">
        <f>IFERROR(IF(($CV316)&gt;0,($FJ316)/($CV316),""),"")</f>
        <v/>
      </c>
      <c r="FZ316" s="56">
        <f>IFERROR(IF(($CW316)&gt;0,($FK316)/($CW316),""),"")</f>
        <v/>
      </c>
      <c r="GA316" s="56">
        <f>IFERROR(IF(($CU316)&gt;0,($FL316)/($CU316),""),"")</f>
        <v/>
      </c>
      <c r="GB316" s="56">
        <f>IFERROR(IF(($CV316)&gt;0,($FM316)/($CV316),""),"")</f>
        <v/>
      </c>
      <c r="GC316" s="56">
        <f>IFERROR(IF(($CW316)&gt;0,($FN316)/($CW316),""),"")</f>
        <v/>
      </c>
      <c r="GD316" s="56">
        <f>IFERROR(IF(($CU316)&gt;0,($FO316)/($CU316),""),"")</f>
        <v/>
      </c>
      <c r="GE316" s="56">
        <f>IFERROR(IF(($CV316)&gt;0,($FP316)/($CV316),""),"")</f>
        <v/>
      </c>
      <c r="GF316" s="56">
        <f>IFERROR(IF(($CW316)&gt;0,($FQ316)/($CW316),""),"")</f>
        <v/>
      </c>
      <c r="GG316" s="79">
        <f>IFERROR(IF(($CU316)&gt;0,($FR316)/($CU316),""),"")</f>
        <v/>
      </c>
      <c r="GH316" s="79">
        <f>IFERROR(IF(($CV316)&gt;0,($FS316)/($CV316),""),"")</f>
        <v/>
      </c>
      <c r="GI316" s="79">
        <f>IFERROR(IF(($CW316)&gt;0,($FT316)/($CW316),""),"")</f>
        <v/>
      </c>
      <c r="GJ316" s="56">
        <f>IFERROR(IF(($CU316)&gt;0,($FU316)/($CU316),""),"")</f>
        <v/>
      </c>
      <c r="GK316" s="56">
        <f>IFERROR(IF(($CV316)&gt;0,($FV316)/($CV316),""),"")</f>
        <v/>
      </c>
      <c r="GL316" s="56">
        <f>IFERROR(IF(($CW316)&gt;0,($FW316)/($CW316),""),"")</f>
        <v/>
      </c>
      <c r="GM316" s="55">
        <f>IF(SUMIFS(tblPlant[GIC_oz],tblPlant[Date],$A316)&gt;0,SUMIFS(tblPlant[GIC_oz],tblPlant[Date],$A316),"")</f>
        <v/>
      </c>
      <c r="GN316" s="55">
        <f>SUMIFS(tblGold[Gold_oz],tblGold[Date],$A316,tblGold[Type],"Shipment")</f>
        <v/>
      </c>
      <c r="GO316" s="55">
        <f>IF($B316=$B315,$GO315,0)+$GN316</f>
        <v/>
      </c>
      <c r="GP316" s="55">
        <f>$GP315+$GN316</f>
        <v/>
      </c>
      <c r="GQ316" s="55">
        <f>SUMIFS(tblGold[Gold_oz],tblGold[Date],$A316,tblGold[Type],"Sale")</f>
        <v/>
      </c>
      <c r="GR316" s="55">
        <f>IF($B316=$B315,$GR315,0)+$GQ316</f>
        <v/>
      </c>
      <c r="GS316" s="55">
        <f>$GS315+$GQ316</f>
        <v/>
      </c>
      <c r="GT316" s="55">
        <f>SUMIFS(tblGold[Dore_kg],tblGold[Date],$A316,tblGold[Type],"Shipment")</f>
        <v/>
      </c>
      <c r="GU316" s="55">
        <f>IF($B316=$B315,$GU315,0)+$GT316</f>
        <v/>
      </c>
      <c r="GV316" s="55">
        <f>$GV315+$GT316</f>
        <v/>
      </c>
      <c r="GW316" s="57">
        <f>SUMIFS(tblSafety[Hours_Total],tblSafety[Date],$A316)</f>
        <v/>
      </c>
      <c r="GX316" s="57">
        <f>IF($B316=$B315,$GX315,0)+$GW316</f>
        <v/>
      </c>
      <c r="GY316" s="57">
        <f>$GY315+$GW316</f>
        <v/>
      </c>
      <c r="GZ316" s="62">
        <f>SUMIFS(tblSafety[Fatality],tblSafety[Date],$A316)</f>
        <v/>
      </c>
      <c r="HA316" s="62">
        <f>IF($B316=$B315,$HA315,0)+$GZ316</f>
        <v/>
      </c>
      <c r="HB316" s="62">
        <f>$HB315+$GZ316</f>
        <v/>
      </c>
      <c r="HC316" s="62">
        <f>SUMIFS(tblSafety[LTI],tblSafety[Date],$A316)</f>
        <v/>
      </c>
      <c r="HD316" s="62">
        <f>IF($B316=$B315,$HD315,0)+$HC316</f>
        <v/>
      </c>
      <c r="HE316" s="62">
        <f>$HE315+$HC316</f>
        <v/>
      </c>
      <c r="HF316" s="62">
        <f>SUMIFS(tblSafety[RWI],tblSafety[Date],$A316)</f>
        <v/>
      </c>
      <c r="HG316" s="62">
        <f>IF($B316=$B315,$HG315,0)+$HF316</f>
        <v/>
      </c>
      <c r="HH316" s="62">
        <f>$HH315+$HF316</f>
        <v/>
      </c>
      <c r="HI316" s="62">
        <f>SUMIFS(tblSafety[MTI],tblSafety[Date],$A316)</f>
        <v/>
      </c>
      <c r="HJ316" s="62">
        <f>IF($B316=$B315,$HJ315,0)+$HI316</f>
        <v/>
      </c>
      <c r="HK316" s="62">
        <f>$HK315+$HI316</f>
        <v/>
      </c>
      <c r="HL316" s="62">
        <f>SUMIFS(tblSafety[FAI],tblSafety[Date],$A316)</f>
        <v/>
      </c>
      <c r="HM316" s="62">
        <f>IF($B316=$B315,$HM315,0)+$HL316</f>
        <v/>
      </c>
      <c r="HN316" s="62">
        <f>$HN315+$HL316</f>
        <v/>
      </c>
      <c r="HO316" s="62">
        <f>SUMIFS(tblSafety[Recordables],tblSafety[Date],$A316)</f>
        <v/>
      </c>
      <c r="HP316" s="62">
        <f>IF($B316=$B315,$HP315,0)+$HO316</f>
        <v/>
      </c>
      <c r="HQ316" s="62">
        <f>$HQ315+$HO316</f>
        <v/>
      </c>
      <c r="HR316" s="62">
        <f>SUMIFS(tblSafety[Near_Miss],tblSafety[Date],$A316)</f>
        <v/>
      </c>
      <c r="HS316" s="62">
        <f>IF($B316=$B315,$HS315,0)+$HR316</f>
        <v/>
      </c>
      <c r="HT316" s="62">
        <f>$HT315+$HR316</f>
        <v/>
      </c>
      <c r="HU316" s="62">
        <f>SUMIFS(tblSafety[Hazard_Reports],tblSafety[Date],$A316)</f>
        <v/>
      </c>
      <c r="HV316" s="62">
        <f>IF($B316=$B315,$HV315,0)+$HU316</f>
        <v/>
      </c>
      <c r="HW316" s="62">
        <f>$HW315+$HU316</f>
        <v/>
      </c>
      <c r="HX316" s="62">
        <f>SUMIFS(tblSafety[HPI],tblSafety[Date],$A316)</f>
        <v/>
      </c>
      <c r="HY316" s="62">
        <f>IF($B316=$B315,$HY315,0)+$HX316</f>
        <v/>
      </c>
      <c r="HZ316" s="62">
        <f>$HZ315+$HX316</f>
        <v/>
      </c>
      <c r="IA316" s="62">
        <f>SUMIFS(tblSafety[Env_Incidents],tblSafety[Date],$A316)</f>
        <v/>
      </c>
      <c r="IB316" s="62">
        <f>IF($B316=$B315,$IB315,0)+$IA316</f>
        <v/>
      </c>
      <c r="IC316" s="62">
        <f>$IC315+$IA316</f>
        <v/>
      </c>
      <c r="ID316" s="62">
        <f>SUMIFS(tblSafety[Community_Incidents],tblSafety[Date],$A316)</f>
        <v/>
      </c>
      <c r="IE316" s="62">
        <f>IF($B316=$B315,$IE315,0)+$ID316</f>
        <v/>
      </c>
      <c r="IF316" s="62">
        <f>$IF315+$ID316</f>
        <v/>
      </c>
      <c r="IG316" s="62">
        <f>SUMIFS(tblSafety[Vehicle_Incidents],tblSafety[Date],$A316)</f>
        <v/>
      </c>
      <c r="IH316" s="62">
        <f>IF($B316=$B315,$IH315,0)+$IG316</f>
        <v/>
      </c>
      <c r="II316" s="62">
        <f>$II315+$IG316</f>
        <v/>
      </c>
      <c r="IJ316" s="62">
        <f>SUMIFS(tblSafety[Toolbox_Talks],tblSafety[Date],$A316)</f>
        <v/>
      </c>
      <c r="IK316" s="62">
        <f>IF($B316=$B315,$IK315,0)+$IJ316</f>
        <v/>
      </c>
      <c r="IL316" s="62">
        <f>$IL315+$IJ316</f>
        <v/>
      </c>
      <c r="IM316" s="62">
        <f>SUMIFS(tblSafety[Inspections],tblSafety[Date],$A316)</f>
        <v/>
      </c>
      <c r="IN316" s="62">
        <f>IF($B316=$B315,$IN315,0)+$IM316</f>
        <v/>
      </c>
      <c r="IO316" s="62">
        <f>$IO315+$IM316</f>
        <v/>
      </c>
      <c r="IP316" s="56">
        <f>IFERROR((SUMIFS(tblSafety[Recordables],tblSafety[Date],"&gt;="&amp;EDATE($E316,-12),tblSafety[Date],"&lt;="&amp;$A316)+SUMIFS(tblSafetyHistory[Recordables],tblSafetyHistory[Month],"&gt;="&amp;EDATE($E316,-12),tblSafetyHistory[Month],"&lt;"&amp;$E316,tblSafetyHistory[Use],1))/(SUMIFS(tblSafety[Hours_Total],tblSafety[Date],"&gt;="&amp;EDATE($E316,-12),tblSafety[Date],"&lt;="&amp;$A316)+SUMIFS(tblSafetyHistory[Hours_Total],tblSafetyHistory[Month],"&gt;="&amp;EDATE($E316,-12),tblSafetyHistory[Month],"&lt;"&amp;$E316,tblSafetyHistory[Use],1))*cfg_RateBasisHours,"")</f>
        <v/>
      </c>
      <c r="IQ316" s="56">
        <f>IFERROR((SUMIFS(tblSafety[LTI],tblSafety[Date],"&gt;="&amp;EDATE($E316,-12),tblSafety[Date],"&lt;="&amp;$A316)+SUMIFS(tblSafetyHistory[LTI],tblSafetyHistory[Month],"&gt;="&amp;EDATE($E316,-12),tblSafetyHistory[Month],"&lt;"&amp;$E316,tblSafetyHistory[Use],1))/(SUMIFS(tblSafety[Hours_Total],tblSafety[Date],"&gt;="&amp;EDATE($E316,-12),tblSafety[Date],"&lt;="&amp;$A316)+SUMIFS(tblSafetyHistory[Hours_Total],tblSafetyHistory[Month],"&gt;="&amp;EDATE($E316,-12),tblSafetyHistory[Month],"&lt;"&amp;$E316,tblSafetyHistory[Use],1))*cfg_RateBasisHours,"")</f>
        <v/>
      </c>
      <c r="IR316" s="62">
        <f>IF(MAX(N(cfg_PriorLTIDate),_xlfn.MAXIFS(tblSafety[Date],tblSafety[LTI],"&gt;0",tblSafety[Date],"&lt;="&amp;$A316))=0,"",$A316-MAX(N(cfg_PriorLTIDate),_xlfn.MAXIFS(tblSafety[Date],tblSafety[LTI],"&gt;0",tblSafety[Date],"&lt;="&amp;$A316)))</f>
        <v/>
      </c>
      <c r="IS316" s="55">
        <f>SUMIFS(tblBudget[Ore_Mined_t],tblBudget[Month],$E316)</f>
        <v/>
      </c>
      <c r="IT316" s="55">
        <f>$IS316*$C316/$D316</f>
        <v/>
      </c>
      <c r="IU316" s="55">
        <f>SUMIFS(tblBudget[Ore_Mined_t],tblBudget[Month],"&lt;"&amp;$E316)+$IT316</f>
        <v/>
      </c>
      <c r="IV316" s="55">
        <f>SUMIFS(tblBudget[Ore_oz],tblBudget[Month],$E316)</f>
        <v/>
      </c>
      <c r="IW316" s="55">
        <f>$IV316*$C316/$D316</f>
        <v/>
      </c>
      <c r="IX316" s="55">
        <f>SUMIFS(tblBudget[Ore_oz],tblBudget[Month],"&lt;"&amp;$E316)+$IW316</f>
        <v/>
      </c>
      <c r="IY316" s="55">
        <f>SUMIFS(tblBudget[Ore_Mined_t],tblBudget[Month],$E316)</f>
        <v/>
      </c>
      <c r="IZ316" s="55">
        <f>$IY316*$C316/$D316</f>
        <v/>
      </c>
      <c r="JA316" s="55">
        <f>SUMIFS(tblBudget[Ore_Mined_t],tblBudget[Month],"&lt;"&amp;$E316)+$IZ316</f>
        <v/>
      </c>
      <c r="JB316" s="56">
        <f>IFERROR(IF(($IY316)&gt;0,($IV316*cfg_TroyOz)/($IY316),""),"")</f>
        <v/>
      </c>
      <c r="JC316" s="56">
        <f>IFERROR(IF(($IZ316)&gt;0,($IW316*cfg_TroyOz)/($IZ316),""),"")</f>
        <v/>
      </c>
      <c r="JD316" s="56">
        <f>IFERROR(IF(($JA316)&gt;0,($IX316*cfg_TroyOz)/($JA316),""),"")</f>
        <v/>
      </c>
      <c r="JE316" s="55">
        <f>SUMIFS(tblBudget[Waste_t],tblBudget[Month],$E316)</f>
        <v/>
      </c>
      <c r="JF316" s="55">
        <f>$JE316*$C316/$D316</f>
        <v/>
      </c>
      <c r="JG316" s="55">
        <f>SUMIFS(tblBudget[Waste_t],tblBudget[Month],"&lt;"&amp;$E316)+$JF316</f>
        <v/>
      </c>
      <c r="JH316" s="55">
        <f>SUMIFS(tblBudget[TMM_t],tblBudget[Month],$E316)</f>
        <v/>
      </c>
      <c r="JI316" s="55">
        <f>$JH316*$C316/$D316</f>
        <v/>
      </c>
      <c r="JJ316" s="55">
        <f>SUMIFS(tblBudget[TMM_t],tblBudget[Month],"&lt;"&amp;$E316)+$JI316</f>
        <v/>
      </c>
      <c r="JK316" s="56">
        <f>IFERROR(IF(($IS316)&gt;0,($JE316)/($IS316),""),"")</f>
        <v/>
      </c>
      <c r="JL316" s="56">
        <f>IFERROR(IF(($IT316)&gt;0,($JF316)/($IT316),""),"")</f>
        <v/>
      </c>
      <c r="JM316" s="56">
        <f>IFERROR(IF(($IU316)&gt;0,($JG316)/($IU316),""),"")</f>
        <v/>
      </c>
      <c r="JN316" s="55">
        <f>SUMIFS(tblBudget[Drill_m],tblBudget[Month],$E316)</f>
        <v/>
      </c>
      <c r="JO316" s="55">
        <f>$JN316*$C316/$D316</f>
        <v/>
      </c>
      <c r="JP316" s="55">
        <f>SUMIFS(tblBudget[Drill_m],tblBudget[Month],"&lt;"&amp;$E316)+$JO316</f>
        <v/>
      </c>
      <c r="JQ316" s="55">
        <f>SUMIFS(tblBudget[Diesel_L],tblBudget[Month],$E316)</f>
        <v/>
      </c>
      <c r="JR316" s="55">
        <f>$JQ316*$C316/$D316</f>
        <v/>
      </c>
      <c r="JS316" s="55">
        <f>SUMIFS(tblBudget[Diesel_L],tblBudget[Month],"&lt;"&amp;$E316)+$JR316</f>
        <v/>
      </c>
      <c r="JT316" s="55">
        <f>SUMIFS(tblBudget[Milled_t],tblBudget[Month],$E316)</f>
        <v/>
      </c>
      <c r="JU316" s="55">
        <f>$JT316*$C316/$D316</f>
        <v/>
      </c>
      <c r="JV316" s="55">
        <f>SUMIFS(tblBudget[Milled_t],tblBudget[Month],"&lt;"&amp;$E316)+$JU316</f>
        <v/>
      </c>
      <c r="JW316" s="55">
        <f>SUMIFS(tblBudget[Feed_oz],tblBudget[Month],$E316)</f>
        <v/>
      </c>
      <c r="JX316" s="55">
        <f>$JW316*$C316/$D316</f>
        <v/>
      </c>
      <c r="JY316" s="55">
        <f>SUMIFS(tblBudget[Feed_oz],tblBudget[Month],"&lt;"&amp;$E316)+$JX316</f>
        <v/>
      </c>
      <c r="JZ316" s="55">
        <f>SUMIFS(tblBudget[Recovered_oz],tblBudget[Month],$E316)</f>
        <v/>
      </c>
      <c r="KA316" s="55">
        <f>$JZ316*$C316/$D316</f>
        <v/>
      </c>
      <c r="KB316" s="55">
        <f>SUMIFS(tblBudget[Recovered_oz],tblBudget[Month],"&lt;"&amp;$E316)+$KA316</f>
        <v/>
      </c>
      <c r="KC316" s="55">
        <f>SUMIFS(tblBudget[Milled_t],tblBudget[Month],$E316)</f>
        <v/>
      </c>
      <c r="KD316" s="55">
        <f>$KC316*$C316/$D316</f>
        <v/>
      </c>
      <c r="KE316" s="55">
        <f>SUMIFS(tblBudget[Milled_t],tblBudget[Month],"&lt;"&amp;$E316)+$KD316</f>
        <v/>
      </c>
      <c r="KF316" s="55">
        <f>SUMIFS(tblBudget[Feed_oz],tblBudget[Month],$E316)</f>
        <v/>
      </c>
      <c r="KG316" s="55">
        <f>$KF316*$C316/$D316</f>
        <v/>
      </c>
      <c r="KH316" s="55">
        <f>SUMIFS(tblBudget[Feed_oz],tblBudget[Month],"&lt;"&amp;$E316)+$KG316</f>
        <v/>
      </c>
      <c r="KI316" s="56">
        <f>IFERROR(IF(($KC316)&gt;0,($JW316*cfg_TroyOz)/($KC316),""),"")</f>
        <v/>
      </c>
      <c r="KJ316" s="56">
        <f>IFERROR(IF(($KD316)&gt;0,($JX316*cfg_TroyOz)/($KD316),""),"")</f>
        <v/>
      </c>
      <c r="KK316" s="56">
        <f>IFERROR(IF(($KE316)&gt;0,($JY316*cfg_TroyOz)/($KE316),""),"")</f>
        <v/>
      </c>
      <c r="KL316" s="67">
        <f>IFERROR(IF(($KF316)&gt;0,($JZ316)/($KF316),""),"")</f>
        <v/>
      </c>
      <c r="KM316" s="67">
        <f>IFERROR(IF(($KG316)&gt;0,($KA316)/($KG316),""),"")</f>
        <v/>
      </c>
      <c r="KN316" s="67">
        <f>IFERROR(IF(($KH316)&gt;0,($KB316)/($KH316),""),"")</f>
        <v/>
      </c>
      <c r="KO316" s="55">
        <f>SUMIFS(tblBudget[Gold_Poured_oz],tblBudget[Month],$E316)</f>
        <v/>
      </c>
      <c r="KP316" s="55">
        <f>$KO316*$C316/$D316</f>
        <v/>
      </c>
      <c r="KQ316" s="55">
        <f>SUMIFS(tblBudget[Gold_Poured_oz],tblBudget[Month],"&lt;"&amp;$E316)+$KP316</f>
        <v/>
      </c>
      <c r="KR316" s="57">
        <f>SUMIFS(tblBudget[Hours_Worked],tblBudget[Month],$E316)</f>
        <v/>
      </c>
      <c r="KS316" s="57">
        <f>$KR316*$C316/$D316</f>
        <v/>
      </c>
      <c r="KT316" s="57">
        <f>SUMIFS(tblBudget[Hours_Worked],tblBudget[Month],"&lt;"&amp;$E316)+$KS316</f>
        <v/>
      </c>
    </row>
    <row r="317">
      <c r="A317" s="54" t="n">
        <v>46338</v>
      </c>
      <c r="B317">
        <f>MONTH($A317)</f>
        <v/>
      </c>
      <c r="C317">
        <f>DAY($A317)</f>
        <v/>
      </c>
      <c r="D317">
        <f>DAY(EOMONTH($A317,0))</f>
        <v/>
      </c>
      <c r="E317" s="54">
        <f>DATE(YEAR($A317),MONTH($A317),1)</f>
        <v/>
      </c>
      <c r="F317" s="55">
        <f>SUMIFS(tblMovement[Tonnes_t],tblMovement[Date],$A317,tblMovement[Is_Ore],1,tblMovement[Source_Type],"Pit")</f>
        <v/>
      </c>
      <c r="G317" s="55">
        <f>IF($B317=$B316,$G316,0)+$F317</f>
        <v/>
      </c>
      <c r="H317" s="55">
        <f>$H316+$F317</f>
        <v/>
      </c>
      <c r="I317" s="55">
        <f>SUMIFS(tblMovement[Ore_oz],tblMovement[Date],$A317,tblMovement[Source_Type],"Pit")</f>
        <v/>
      </c>
      <c r="J317" s="55">
        <f>IF($B317=$B316,$J316,0)+$I317</f>
        <v/>
      </c>
      <c r="K317" s="55">
        <f>$K316+$I317</f>
        <v/>
      </c>
      <c r="L317" s="55">
        <f>SUMIFS(tblMovement[Tonnes_t],tblMovement[Date],$A317,tblMovement[Is_Ore],1,tblMovement[Source_Type],"Pit",tblMovement[Grade_gpt],"&lt;&gt;")</f>
        <v/>
      </c>
      <c r="M317" s="55">
        <f>IF($B317=$B316,$M316,0)+$L317</f>
        <v/>
      </c>
      <c r="N317" s="55">
        <f>$N316+$L317</f>
        <v/>
      </c>
      <c r="O317" s="56">
        <f>IFERROR(IF(($L317)&gt;0,($I317*cfg_TroyOz)/($L317),""),"")</f>
        <v/>
      </c>
      <c r="P317" s="56">
        <f>IFERROR(IF(($M317)&gt;0,($J317*cfg_TroyOz)/($M317),""),"")</f>
        <v/>
      </c>
      <c r="Q317" s="56">
        <f>IFERROR(IF(($N317)&gt;0,($K317*cfg_TroyOz)/($N317),""),"")</f>
        <v/>
      </c>
      <c r="R317" s="55">
        <f>$F317-$L317</f>
        <v/>
      </c>
      <c r="S317" s="55">
        <f>IF($B317=$B316,$S316,0)+$R317</f>
        <v/>
      </c>
      <c r="T317" s="55">
        <f>$T316+$R317</f>
        <v/>
      </c>
      <c r="U317" s="55">
        <f>SUMIFS(tblMovement[Tonnes_t],tblMovement[Date],$A317,tblMovement[Is_Ore],0,tblMovement[Source_Type],"Pit")</f>
        <v/>
      </c>
      <c r="V317" s="55">
        <f>IF($B317=$B316,$V316,0)+$U317</f>
        <v/>
      </c>
      <c r="W317" s="55">
        <f>$W316+$U317</f>
        <v/>
      </c>
      <c r="X317" s="55">
        <f>$F317+$U317</f>
        <v/>
      </c>
      <c r="Y317" s="55">
        <f>IF($B317=$B316,$Y316,0)+$X317</f>
        <v/>
      </c>
      <c r="Z317" s="55">
        <f>$Z316+$X317</f>
        <v/>
      </c>
      <c r="AA317" s="56">
        <f>IFERROR(IF(($F317)&gt;0,($U317)/($F317),""),"")</f>
        <v/>
      </c>
      <c r="AB317" s="56">
        <f>IFERROR(IF(($G317)&gt;0,($V317)/($G317),""),"")</f>
        <v/>
      </c>
      <c r="AC317" s="56">
        <f>IFERROR(IF(($H317)&gt;0,($W317)/($H317),""),"")</f>
        <v/>
      </c>
      <c r="AD317" s="55">
        <f>SUMIFS(tblMovement[Tonnes_t],tblMovement[Date],$A317,tblMovement[Source_Type],"Stockpile")</f>
        <v/>
      </c>
      <c r="AE317" s="55">
        <f>IF($B317=$B316,$AE316,0)+$AD317</f>
        <v/>
      </c>
      <c r="AF317" s="55">
        <f>$AF316+$AD317</f>
        <v/>
      </c>
      <c r="AG317" s="55">
        <f>SUMIFS(tblMovement[Tonnes_t],tblMovement[Date],$A317)</f>
        <v/>
      </c>
      <c r="AH317" s="55">
        <f>IF($B317=$B316,$AH316,0)+$AG317</f>
        <v/>
      </c>
      <c r="AI317" s="55">
        <f>$AI316+$AG317</f>
        <v/>
      </c>
      <c r="AJ317" s="55">
        <f>$AG317-$X317-$AD317</f>
        <v/>
      </c>
      <c r="AK317" s="55">
        <f>IF($B317=$B316,$AK316,0)+$AJ317</f>
        <v/>
      </c>
      <c r="AL317" s="55">
        <f>$AL316+$AJ317</f>
        <v/>
      </c>
      <c r="AM317" s="55">
        <f>SUMIFS(tblMiningDaily[Drill_m],tblMiningDaily[Date],$A317)</f>
        <v/>
      </c>
      <c r="AN317" s="55">
        <f>IF($B317=$B316,$AN316,0)+$AM317</f>
        <v/>
      </c>
      <c r="AO317" s="55">
        <f>$AO316+$AM317</f>
        <v/>
      </c>
      <c r="AP317" s="55">
        <f>SUMIFS(tblMiningDaily[GC_Drill_m],tblMiningDaily[Date],$A317)</f>
        <v/>
      </c>
      <c r="AQ317" s="55">
        <f>IF($B317=$B316,$AQ316,0)+$AP317</f>
        <v/>
      </c>
      <c r="AR317" s="55">
        <f>$AR316+$AP317</f>
        <v/>
      </c>
      <c r="AS317" s="55">
        <f>SUMIFS(tblMiningDaily[Blast_t],tblMiningDaily[Date],$A317)</f>
        <v/>
      </c>
      <c r="AT317" s="55">
        <f>IF($B317=$B316,$AT316,0)+$AS317</f>
        <v/>
      </c>
      <c r="AU317" s="55">
        <f>$AU316+$AS317</f>
        <v/>
      </c>
      <c r="AV317" s="55">
        <f>SUMIFS(tblMiningDaily[Explosives_kg],tblMiningDaily[Date],$A317)</f>
        <v/>
      </c>
      <c r="AW317" s="55">
        <f>IF($B317=$B316,$AW316,0)+$AV317</f>
        <v/>
      </c>
      <c r="AX317" s="55">
        <f>$AX316+$AV317</f>
        <v/>
      </c>
      <c r="AY317" s="56">
        <f>IFERROR(IF(($AS317)&gt;0,($AV317)/($AS317),""),"")</f>
        <v/>
      </c>
      <c r="AZ317" s="56">
        <f>IFERROR(IF(($AT317)&gt;0,($AW317)/($AT317),""),"")</f>
        <v/>
      </c>
      <c r="BA317" s="56">
        <f>IFERROR(IF(($AU317)&gt;0,($AX317)/($AU317),""),"")</f>
        <v/>
      </c>
      <c r="BB317" s="55">
        <f>SUMIFS(tblMiningDaily[Diesel_L],tblMiningDaily[Date],$A317)</f>
        <v/>
      </c>
      <c r="BC317" s="55">
        <f>IF($B317=$B316,$BC316,0)+$BB317</f>
        <v/>
      </c>
      <c r="BD317" s="55">
        <f>$BD316+$BB317</f>
        <v/>
      </c>
      <c r="BE317" s="55">
        <f>SUMIFS(tblMiningDaily[Dewatering_m3],tblMiningDaily[Date],$A317)</f>
        <v/>
      </c>
      <c r="BF317" s="55">
        <f>IF($B317=$B316,$BF316,0)+$BE317</f>
        <v/>
      </c>
      <c r="BG317" s="55">
        <f>$BG316+$BE317</f>
        <v/>
      </c>
      <c r="BH317" s="57">
        <f>SUMIFS(tblFleet[Calendar_h],tblFleet[Date],$A317,tblFleet[Equipment_Class],"Excavator")</f>
        <v/>
      </c>
      <c r="BI317" s="57">
        <f>IF($B317=$B316,$BI316,0)+$BH317</f>
        <v/>
      </c>
      <c r="BJ317" s="57">
        <f>$BJ316+$BH317</f>
        <v/>
      </c>
      <c r="BK317" s="57">
        <f>SUMIFS(tblFleet[Available_h],tblFleet[Date],$A317,tblFleet[Equipment_Class],"Excavator")</f>
        <v/>
      </c>
      <c r="BL317" s="57">
        <f>IF($B317=$B316,$BL316,0)+$BK317</f>
        <v/>
      </c>
      <c r="BM317" s="57">
        <f>$BM316+$BK317</f>
        <v/>
      </c>
      <c r="BN317" s="57">
        <f>SUMIFS(tblFleet[Operating_h],tblFleet[Date],$A317,tblFleet[Equipment_Class],"Excavator")</f>
        <v/>
      </c>
      <c r="BO317" s="57">
        <f>IF($B317=$B316,$BO316,0)+$BN317</f>
        <v/>
      </c>
      <c r="BP317" s="57">
        <f>$BP316+$BN317</f>
        <v/>
      </c>
      <c r="BQ317" s="67">
        <f>IFERROR(IF(($BH317)&gt;0,($BK317)/($BH317),""),"")</f>
        <v/>
      </c>
      <c r="BR317" s="67">
        <f>IFERROR(IF(($BI317)&gt;0,($BL317)/($BI317),""),"")</f>
        <v/>
      </c>
      <c r="BS317" s="67">
        <f>IFERROR(IF(($BJ317)&gt;0,($BM317)/($BJ317),""),"")</f>
        <v/>
      </c>
      <c r="BT317" s="67">
        <f>IFERROR(IF(($BK317)&gt;0,($BN317)/($BK317),""),"")</f>
        <v/>
      </c>
      <c r="BU317" s="67">
        <f>IFERROR(IF(($BL317)&gt;0,($BO317)/($BL317),""),"")</f>
        <v/>
      </c>
      <c r="BV317" s="67">
        <f>IFERROR(IF(($BM317)&gt;0,($BP317)/($BM317),""),"")</f>
        <v/>
      </c>
      <c r="BW317" s="57">
        <f>SUMIFS(tblFleet[Calendar_h],tblFleet[Date],$A317,tblFleet[Equipment_Class],"Haul Truck")</f>
        <v/>
      </c>
      <c r="BX317" s="57">
        <f>IF($B317=$B316,$BX316,0)+$BW317</f>
        <v/>
      </c>
      <c r="BY317" s="57">
        <f>$BY316+$BW317</f>
        <v/>
      </c>
      <c r="BZ317" s="57">
        <f>SUMIFS(tblFleet[Available_h],tblFleet[Date],$A317,tblFleet[Equipment_Class],"Haul Truck")</f>
        <v/>
      </c>
      <c r="CA317" s="57">
        <f>IF($B317=$B316,$CA316,0)+$BZ317</f>
        <v/>
      </c>
      <c r="CB317" s="57">
        <f>$CB316+$BZ317</f>
        <v/>
      </c>
      <c r="CC317" s="57">
        <f>SUMIFS(tblFleet[Operating_h],tblFleet[Date],$A317,tblFleet[Equipment_Class],"Haul Truck")</f>
        <v/>
      </c>
      <c r="CD317" s="57">
        <f>IF($B317=$B316,$CD316,0)+$CC317</f>
        <v/>
      </c>
      <c r="CE317" s="57">
        <f>$CE316+$CC317</f>
        <v/>
      </c>
      <c r="CF317" s="67">
        <f>IFERROR(IF(($BW317)&gt;0,($BZ317)/($BW317),""),"")</f>
        <v/>
      </c>
      <c r="CG317" s="67">
        <f>IFERROR(IF(($BX317)&gt;0,($CA317)/($BX317),""),"")</f>
        <v/>
      </c>
      <c r="CH317" s="67">
        <f>IFERROR(IF(($BY317)&gt;0,($CB317)/($BY317),""),"")</f>
        <v/>
      </c>
      <c r="CI317" s="67">
        <f>IFERROR(IF(($BZ317)&gt;0,($CC317)/($BZ317),""),"")</f>
        <v/>
      </c>
      <c r="CJ317" s="67">
        <f>IFERROR(IF(($CA317)&gt;0,($CD317)/($CA317),""),"")</f>
        <v/>
      </c>
      <c r="CK317" s="67">
        <f>IFERROR(IF(($CB317)&gt;0,($CE317)/($CB317),""),"")</f>
        <v/>
      </c>
      <c r="CL317" s="55">
        <f>IFERROR(IF(($BN317)&gt;0,($X317+$AD317)/($BN317),""),"")</f>
        <v/>
      </c>
      <c r="CM317" s="55">
        <f>IFERROR(IF(($BO317)&gt;0,($Y317+$AE317)/($BO317),""),"")</f>
        <v/>
      </c>
      <c r="CN317" s="55">
        <f>IFERROR(IF(($BP317)&gt;0,($Z317+$AF317)/($BP317),""),"")</f>
        <v/>
      </c>
      <c r="CO317" s="55">
        <f>IFERROR(IF(($CC317)&gt;0,($X317+$AD317)/($CC317),""),"")</f>
        <v/>
      </c>
      <c r="CP317" s="55">
        <f>IFERROR(IF(($CD317)&gt;0,($Y317+$AE317)/($CD317),""),"")</f>
        <v/>
      </c>
      <c r="CQ317" s="55">
        <f>IFERROR(IF(($CE317)&gt;0,($Z317+$AF317)/($CE317),""),"")</f>
        <v/>
      </c>
      <c r="CR317" s="55">
        <f>SUMIFS(tblPlant[Crushed_t],tblPlant[Date],$A317)</f>
        <v/>
      </c>
      <c r="CS317" s="55">
        <f>IF($B317=$B316,$CS316,0)+$CR317</f>
        <v/>
      </c>
      <c r="CT317" s="55">
        <f>$CT316+$CR317</f>
        <v/>
      </c>
      <c r="CU317" s="55">
        <f>SUMIFS(tblPlant[Milled_t],tblPlant[Date],$A317)</f>
        <v/>
      </c>
      <c r="CV317" s="55">
        <f>IF($B317=$B316,$CV316,0)+$CU317</f>
        <v/>
      </c>
      <c r="CW317" s="55">
        <f>$CW316+$CU317</f>
        <v/>
      </c>
      <c r="CX317" s="55">
        <f>SUMIFS(tblPlant[Feed_oz],tblPlant[Date],$A317)</f>
        <v/>
      </c>
      <c r="CY317" s="55">
        <f>IF($B317=$B316,$CY316,0)+$CX317</f>
        <v/>
      </c>
      <c r="CZ317" s="55">
        <f>$CZ316+$CX317</f>
        <v/>
      </c>
      <c r="DA317" s="55">
        <f>SUMIFS(tblPlant[Tails_oz],tblPlant[Date],$A317)</f>
        <v/>
      </c>
      <c r="DB317" s="55">
        <f>IF($B317=$B316,$DB316,0)+$DA317</f>
        <v/>
      </c>
      <c r="DC317" s="55">
        <f>$DC316+$DA317</f>
        <v/>
      </c>
      <c r="DD317" s="55">
        <f>SUMIFS(tblPlant[Recovered_oz],tblPlant[Date],$A317)</f>
        <v/>
      </c>
      <c r="DE317" s="55">
        <f>IF($B317=$B316,$DE316,0)+$DD317</f>
        <v/>
      </c>
      <c r="DF317" s="55">
        <f>$DF316+$DD317</f>
        <v/>
      </c>
      <c r="DG317" s="55">
        <f>SUMIFS(tblPlant[Milled_t],tblPlant[Date],$A317,tblPlant[Head_Grade_gpt],"&lt;&gt;")</f>
        <v/>
      </c>
      <c r="DH317" s="55">
        <f>IF($B317=$B316,$DH316,0)+$DG317</f>
        <v/>
      </c>
      <c r="DI317" s="55">
        <f>$DI316+$DG317</f>
        <v/>
      </c>
      <c r="DJ317" s="55">
        <f>SUMIFS(tblPlant[Milled_t],tblPlant[Date],$A317,tblPlant[Tails_Grade_gpt],"&lt;&gt;")</f>
        <v/>
      </c>
      <c r="DK317" s="55">
        <f>IF($B317=$B316,$DK316,0)+$DJ317</f>
        <v/>
      </c>
      <c r="DL317" s="55">
        <f>$DL316+$DJ317</f>
        <v/>
      </c>
      <c r="DM317" s="55">
        <f>SUMIFS(tblPlant[Feed_oz],tblPlant[Date],$A317,tblPlant[Tails_Grade_gpt],"&lt;&gt;")</f>
        <v/>
      </c>
      <c r="DN317" s="55">
        <f>IF($B317=$B316,$DN316,0)+$DM317</f>
        <v/>
      </c>
      <c r="DO317" s="55">
        <f>$DO316+$DM317</f>
        <v/>
      </c>
      <c r="DP317" s="55">
        <f>SUMIFS(tblPlant[Milled_t],tblPlant[Date],$A317,tblPlant[Mill_Run_h],"&lt;&gt;")</f>
        <v/>
      </c>
      <c r="DQ317" s="55">
        <f>IF($B317=$B316,$DQ316,0)+$DP317</f>
        <v/>
      </c>
      <c r="DR317" s="55">
        <f>$DR316+$DP317</f>
        <v/>
      </c>
      <c r="DS317" s="56">
        <f>IFERROR(IF(($DG317)&gt;0,($CX317*cfg_TroyOz)/($DG317),""),"")</f>
        <v/>
      </c>
      <c r="DT317" s="56">
        <f>IFERROR(IF(($DH317)&gt;0,($CY317*cfg_TroyOz)/($DH317),""),"")</f>
        <v/>
      </c>
      <c r="DU317" s="56">
        <f>IFERROR(IF(($DI317)&gt;0,($CZ317*cfg_TroyOz)/($DI317),""),"")</f>
        <v/>
      </c>
      <c r="DV317" s="56">
        <f>IFERROR(IF(($DJ317)&gt;0,($DA317*cfg_TroyOz)/($DJ317),""),"")</f>
        <v/>
      </c>
      <c r="DW317" s="56">
        <f>IFERROR(IF(($DK317)&gt;0,($DB317*cfg_TroyOz)/($DK317),""),"")</f>
        <v/>
      </c>
      <c r="DX317" s="56">
        <f>IFERROR(IF(($DL317)&gt;0,($DC317*cfg_TroyOz)/($DL317),""),"")</f>
        <v/>
      </c>
      <c r="DY317" s="67">
        <f>IFERROR(IF(($DM317)&gt;0,($DD317)/($DM317),""),"")</f>
        <v/>
      </c>
      <c r="DZ317" s="67">
        <f>IFERROR(IF(($DN317)&gt;0,($DE317)/($DN317),""),"")</f>
        <v/>
      </c>
      <c r="EA317" s="67">
        <f>IFERROR(IF(($DO317)&gt;0,($DF317)/($DO317),""),"")</f>
        <v/>
      </c>
      <c r="EB317" s="55">
        <f>SUMIFS(tblPlant[Gravity_Gold_oz],tblPlant[Date],$A317)</f>
        <v/>
      </c>
      <c r="EC317" s="55">
        <f>IF($B317=$B316,$EC316,0)+$EB317</f>
        <v/>
      </c>
      <c r="ED317" s="55">
        <f>$ED316+$EB317</f>
        <v/>
      </c>
      <c r="EE317" s="67">
        <f>IFERROR(IF(($DD317)&gt;0,($EB317)/($DD317),""),"")</f>
        <v/>
      </c>
      <c r="EF317" s="67">
        <f>IFERROR(IF(($DE317)&gt;0,($EC317)/($DE317),""),"")</f>
        <v/>
      </c>
      <c r="EG317" s="67">
        <f>IFERROR(IF(($DF317)&gt;0,($ED317)/($DF317),""),"")</f>
        <v/>
      </c>
      <c r="EH317" s="55">
        <f>SUMIFS(tblPlant[Gold_Poured_oz],tblPlant[Date],$A317)</f>
        <v/>
      </c>
      <c r="EI317" s="55">
        <f>IF($B317=$B316,$EI316,0)+$EH317</f>
        <v/>
      </c>
      <c r="EJ317" s="55">
        <f>$EJ316+$EH317</f>
        <v/>
      </c>
      <c r="EK317" s="57">
        <f>SUMIFS(tblPlant[Mill_Run_h],tblPlant[Date],$A317)</f>
        <v/>
      </c>
      <c r="EL317" s="57">
        <f>IF($B317=$B316,$EL316,0)+$EK317</f>
        <v/>
      </c>
      <c r="EM317" s="57">
        <f>$EM316+$EK317</f>
        <v/>
      </c>
      <c r="EN317" s="57">
        <f>SUMIFS(tblPlant[Mill_Planned_Maint_h],tblPlant[Date],$A317)</f>
        <v/>
      </c>
      <c r="EO317" s="57">
        <f>IF($B317=$B316,$EO316,0)+$EN317</f>
        <v/>
      </c>
      <c r="EP317" s="57">
        <f>$EP316+$EN317</f>
        <v/>
      </c>
      <c r="EQ317" s="57">
        <f>SUMIFS(tblPlant[Mill_Unplanned_Down_h],tblPlant[Date],$A317)</f>
        <v/>
      </c>
      <c r="ER317" s="57">
        <f>IF($B317=$B316,$ER316,0)+$EQ317</f>
        <v/>
      </c>
      <c r="ES317" s="57">
        <f>$ES316+$EQ317</f>
        <v/>
      </c>
      <c r="ET317" s="57">
        <f>IF(COUNTIFS(tblPlant[Date],$A317,tblPlant[Mill_Run_h],"&lt;&gt;")+COUNTIFS(tblPlant[Date],$A317,tblPlant[Mill_Planned_Maint_h],"&lt;&gt;")+COUNTIFS(tblPlant[Date],$A317,tblPlant[Mill_Unplanned_Down_h],"&lt;&gt;")&gt;0,cfg_HoursPerDay,0)</f>
        <v/>
      </c>
      <c r="EU317" s="57">
        <f>IF($B317=$B316,$EU316,0)+$ET317</f>
        <v/>
      </c>
      <c r="EV317" s="57">
        <f>$EV316+$ET317</f>
        <v/>
      </c>
      <c r="EW317" s="57">
        <f>SUMIFS(tblPlant[Crusher_Run_h],tblPlant[Date],$A317)</f>
        <v/>
      </c>
      <c r="EX317" s="57">
        <f>IF($B317=$B316,$EX316,0)+$EW317</f>
        <v/>
      </c>
      <c r="EY317" s="57">
        <f>$EY316+$EW317</f>
        <v/>
      </c>
      <c r="EZ317" s="55">
        <f>IFERROR(IF(($EK317)&gt;0,($DP317)/($EK317),""),"")</f>
        <v/>
      </c>
      <c r="FA317" s="55">
        <f>IFERROR(IF(($EL317)&gt;0,($DQ317)/($EL317),""),"")</f>
        <v/>
      </c>
      <c r="FB317" s="55">
        <f>IFERROR(IF(($EM317)&gt;0,($DR317)/($EM317),""),"")</f>
        <v/>
      </c>
      <c r="FC317" s="67">
        <f>IFERROR(IF(($ET317)&gt;0,($ET317-$EN317-$EQ317)/($ET317),""),"")</f>
        <v/>
      </c>
      <c r="FD317" s="67">
        <f>IFERROR(IF(($EU317)&gt;0,($EU317-$EO317-$ER317)/($EU317),""),"")</f>
        <v/>
      </c>
      <c r="FE317" s="67">
        <f>IFERROR(IF(($EV317)&gt;0,($EV317-$EP317-$ES317)/($EV317),""),"")</f>
        <v/>
      </c>
      <c r="FF317" s="67">
        <f>IFERROR(IF(($ET317-$EN317-$EQ317)&gt;0,($EK317)/($ET317-$EN317-$EQ317),""),"")</f>
        <v/>
      </c>
      <c r="FG317" s="67">
        <f>IFERROR(IF(($EU317-$EO317-$ER317)&gt;0,($EL317)/($EU317-$EO317-$ER317),""),"")</f>
        <v/>
      </c>
      <c r="FH317" s="67">
        <f>IFERROR(IF(($EV317-$EP317-$ES317)&gt;0,($EM317)/($EV317-$EP317-$ES317),""),"")</f>
        <v/>
      </c>
      <c r="FI317" s="55">
        <f>SUMIFS(tblPlant[Cyanide_kg],tblPlant[Date],$A317)</f>
        <v/>
      </c>
      <c r="FJ317" s="55">
        <f>IF($B317=$B316,$FJ316,0)+$FI317</f>
        <v/>
      </c>
      <c r="FK317" s="55">
        <f>$FK316+$FI317</f>
        <v/>
      </c>
      <c r="FL317" s="55">
        <f>SUMIFS(tblPlant[Lime_kg],tblPlant[Date],$A317)</f>
        <v/>
      </c>
      <c r="FM317" s="55">
        <f>IF($B317=$B316,$FM316,0)+$FL317</f>
        <v/>
      </c>
      <c r="FN317" s="55">
        <f>$FN316+$FL317</f>
        <v/>
      </c>
      <c r="FO317" s="55">
        <f>SUMIFS(tblPlant[Grinding_Media_kg],tblPlant[Date],$A317)</f>
        <v/>
      </c>
      <c r="FP317" s="55">
        <f>IF($B317=$B316,$FP316,0)+$FO317</f>
        <v/>
      </c>
      <c r="FQ317" s="55">
        <f>$FQ316+$FO317</f>
        <v/>
      </c>
      <c r="FR317" s="55">
        <f>SUMIFS(tblPlant[Power_kWh],tblPlant[Date],$A317)</f>
        <v/>
      </c>
      <c r="FS317" s="55">
        <f>IF($B317=$B316,$FS316,0)+$FR317</f>
        <v/>
      </c>
      <c r="FT317" s="55">
        <f>$FT316+$FR317</f>
        <v/>
      </c>
      <c r="FU317" s="55">
        <f>SUMIFS(tblPlant[Raw_Water_m3],tblPlant[Date],$A317)</f>
        <v/>
      </c>
      <c r="FV317" s="55">
        <f>IF($B317=$B316,$FV316,0)+$FU317</f>
        <v/>
      </c>
      <c r="FW317" s="55">
        <f>$FW316+$FU317</f>
        <v/>
      </c>
      <c r="FX317" s="56">
        <f>IFERROR(IF(($CU317)&gt;0,($FI317)/($CU317),""),"")</f>
        <v/>
      </c>
      <c r="FY317" s="56">
        <f>IFERROR(IF(($CV317)&gt;0,($FJ317)/($CV317),""),"")</f>
        <v/>
      </c>
      <c r="FZ317" s="56">
        <f>IFERROR(IF(($CW317)&gt;0,($FK317)/($CW317),""),"")</f>
        <v/>
      </c>
      <c r="GA317" s="56">
        <f>IFERROR(IF(($CU317)&gt;0,($FL317)/($CU317),""),"")</f>
        <v/>
      </c>
      <c r="GB317" s="56">
        <f>IFERROR(IF(($CV317)&gt;0,($FM317)/($CV317),""),"")</f>
        <v/>
      </c>
      <c r="GC317" s="56">
        <f>IFERROR(IF(($CW317)&gt;0,($FN317)/($CW317),""),"")</f>
        <v/>
      </c>
      <c r="GD317" s="56">
        <f>IFERROR(IF(($CU317)&gt;0,($FO317)/($CU317),""),"")</f>
        <v/>
      </c>
      <c r="GE317" s="56">
        <f>IFERROR(IF(($CV317)&gt;0,($FP317)/($CV317),""),"")</f>
        <v/>
      </c>
      <c r="GF317" s="56">
        <f>IFERROR(IF(($CW317)&gt;0,($FQ317)/($CW317),""),"")</f>
        <v/>
      </c>
      <c r="GG317" s="79">
        <f>IFERROR(IF(($CU317)&gt;0,($FR317)/($CU317),""),"")</f>
        <v/>
      </c>
      <c r="GH317" s="79">
        <f>IFERROR(IF(($CV317)&gt;0,($FS317)/($CV317),""),"")</f>
        <v/>
      </c>
      <c r="GI317" s="79">
        <f>IFERROR(IF(($CW317)&gt;0,($FT317)/($CW317),""),"")</f>
        <v/>
      </c>
      <c r="GJ317" s="56">
        <f>IFERROR(IF(($CU317)&gt;0,($FU317)/($CU317),""),"")</f>
        <v/>
      </c>
      <c r="GK317" s="56">
        <f>IFERROR(IF(($CV317)&gt;0,($FV317)/($CV317),""),"")</f>
        <v/>
      </c>
      <c r="GL317" s="56">
        <f>IFERROR(IF(($CW317)&gt;0,($FW317)/($CW317),""),"")</f>
        <v/>
      </c>
      <c r="GM317" s="55">
        <f>IF(SUMIFS(tblPlant[GIC_oz],tblPlant[Date],$A317)&gt;0,SUMIFS(tblPlant[GIC_oz],tblPlant[Date],$A317),"")</f>
        <v/>
      </c>
      <c r="GN317" s="55">
        <f>SUMIFS(tblGold[Gold_oz],tblGold[Date],$A317,tblGold[Type],"Shipment")</f>
        <v/>
      </c>
      <c r="GO317" s="55">
        <f>IF($B317=$B316,$GO316,0)+$GN317</f>
        <v/>
      </c>
      <c r="GP317" s="55">
        <f>$GP316+$GN317</f>
        <v/>
      </c>
      <c r="GQ317" s="55">
        <f>SUMIFS(tblGold[Gold_oz],tblGold[Date],$A317,tblGold[Type],"Sale")</f>
        <v/>
      </c>
      <c r="GR317" s="55">
        <f>IF($B317=$B316,$GR316,0)+$GQ317</f>
        <v/>
      </c>
      <c r="GS317" s="55">
        <f>$GS316+$GQ317</f>
        <v/>
      </c>
      <c r="GT317" s="55">
        <f>SUMIFS(tblGold[Dore_kg],tblGold[Date],$A317,tblGold[Type],"Shipment")</f>
        <v/>
      </c>
      <c r="GU317" s="55">
        <f>IF($B317=$B316,$GU316,0)+$GT317</f>
        <v/>
      </c>
      <c r="GV317" s="55">
        <f>$GV316+$GT317</f>
        <v/>
      </c>
      <c r="GW317" s="57">
        <f>SUMIFS(tblSafety[Hours_Total],tblSafety[Date],$A317)</f>
        <v/>
      </c>
      <c r="GX317" s="57">
        <f>IF($B317=$B316,$GX316,0)+$GW317</f>
        <v/>
      </c>
      <c r="GY317" s="57">
        <f>$GY316+$GW317</f>
        <v/>
      </c>
      <c r="GZ317" s="62">
        <f>SUMIFS(tblSafety[Fatality],tblSafety[Date],$A317)</f>
        <v/>
      </c>
      <c r="HA317" s="62">
        <f>IF($B317=$B316,$HA316,0)+$GZ317</f>
        <v/>
      </c>
      <c r="HB317" s="62">
        <f>$HB316+$GZ317</f>
        <v/>
      </c>
      <c r="HC317" s="62">
        <f>SUMIFS(tblSafety[LTI],tblSafety[Date],$A317)</f>
        <v/>
      </c>
      <c r="HD317" s="62">
        <f>IF($B317=$B316,$HD316,0)+$HC317</f>
        <v/>
      </c>
      <c r="HE317" s="62">
        <f>$HE316+$HC317</f>
        <v/>
      </c>
      <c r="HF317" s="62">
        <f>SUMIFS(tblSafety[RWI],tblSafety[Date],$A317)</f>
        <v/>
      </c>
      <c r="HG317" s="62">
        <f>IF($B317=$B316,$HG316,0)+$HF317</f>
        <v/>
      </c>
      <c r="HH317" s="62">
        <f>$HH316+$HF317</f>
        <v/>
      </c>
      <c r="HI317" s="62">
        <f>SUMIFS(tblSafety[MTI],tblSafety[Date],$A317)</f>
        <v/>
      </c>
      <c r="HJ317" s="62">
        <f>IF($B317=$B316,$HJ316,0)+$HI317</f>
        <v/>
      </c>
      <c r="HK317" s="62">
        <f>$HK316+$HI317</f>
        <v/>
      </c>
      <c r="HL317" s="62">
        <f>SUMIFS(tblSafety[FAI],tblSafety[Date],$A317)</f>
        <v/>
      </c>
      <c r="HM317" s="62">
        <f>IF($B317=$B316,$HM316,0)+$HL317</f>
        <v/>
      </c>
      <c r="HN317" s="62">
        <f>$HN316+$HL317</f>
        <v/>
      </c>
      <c r="HO317" s="62">
        <f>SUMIFS(tblSafety[Recordables],tblSafety[Date],$A317)</f>
        <v/>
      </c>
      <c r="HP317" s="62">
        <f>IF($B317=$B316,$HP316,0)+$HO317</f>
        <v/>
      </c>
      <c r="HQ317" s="62">
        <f>$HQ316+$HO317</f>
        <v/>
      </c>
      <c r="HR317" s="62">
        <f>SUMIFS(tblSafety[Near_Miss],tblSafety[Date],$A317)</f>
        <v/>
      </c>
      <c r="HS317" s="62">
        <f>IF($B317=$B316,$HS316,0)+$HR317</f>
        <v/>
      </c>
      <c r="HT317" s="62">
        <f>$HT316+$HR317</f>
        <v/>
      </c>
      <c r="HU317" s="62">
        <f>SUMIFS(tblSafety[Hazard_Reports],tblSafety[Date],$A317)</f>
        <v/>
      </c>
      <c r="HV317" s="62">
        <f>IF($B317=$B316,$HV316,0)+$HU317</f>
        <v/>
      </c>
      <c r="HW317" s="62">
        <f>$HW316+$HU317</f>
        <v/>
      </c>
      <c r="HX317" s="62">
        <f>SUMIFS(tblSafety[HPI],tblSafety[Date],$A317)</f>
        <v/>
      </c>
      <c r="HY317" s="62">
        <f>IF($B317=$B316,$HY316,0)+$HX317</f>
        <v/>
      </c>
      <c r="HZ317" s="62">
        <f>$HZ316+$HX317</f>
        <v/>
      </c>
      <c r="IA317" s="62">
        <f>SUMIFS(tblSafety[Env_Incidents],tblSafety[Date],$A317)</f>
        <v/>
      </c>
      <c r="IB317" s="62">
        <f>IF($B317=$B316,$IB316,0)+$IA317</f>
        <v/>
      </c>
      <c r="IC317" s="62">
        <f>$IC316+$IA317</f>
        <v/>
      </c>
      <c r="ID317" s="62">
        <f>SUMIFS(tblSafety[Community_Incidents],tblSafety[Date],$A317)</f>
        <v/>
      </c>
      <c r="IE317" s="62">
        <f>IF($B317=$B316,$IE316,0)+$ID317</f>
        <v/>
      </c>
      <c r="IF317" s="62">
        <f>$IF316+$ID317</f>
        <v/>
      </c>
      <c r="IG317" s="62">
        <f>SUMIFS(tblSafety[Vehicle_Incidents],tblSafety[Date],$A317)</f>
        <v/>
      </c>
      <c r="IH317" s="62">
        <f>IF($B317=$B316,$IH316,0)+$IG317</f>
        <v/>
      </c>
      <c r="II317" s="62">
        <f>$II316+$IG317</f>
        <v/>
      </c>
      <c r="IJ317" s="62">
        <f>SUMIFS(tblSafety[Toolbox_Talks],tblSafety[Date],$A317)</f>
        <v/>
      </c>
      <c r="IK317" s="62">
        <f>IF($B317=$B316,$IK316,0)+$IJ317</f>
        <v/>
      </c>
      <c r="IL317" s="62">
        <f>$IL316+$IJ317</f>
        <v/>
      </c>
      <c r="IM317" s="62">
        <f>SUMIFS(tblSafety[Inspections],tblSafety[Date],$A317)</f>
        <v/>
      </c>
      <c r="IN317" s="62">
        <f>IF($B317=$B316,$IN316,0)+$IM317</f>
        <v/>
      </c>
      <c r="IO317" s="62">
        <f>$IO316+$IM317</f>
        <v/>
      </c>
      <c r="IP317" s="56">
        <f>IFERROR((SUMIFS(tblSafety[Recordables],tblSafety[Date],"&gt;="&amp;EDATE($E317,-12),tblSafety[Date],"&lt;="&amp;$A317)+SUMIFS(tblSafetyHistory[Recordables],tblSafetyHistory[Month],"&gt;="&amp;EDATE($E317,-12),tblSafetyHistory[Month],"&lt;"&amp;$E317,tblSafetyHistory[Use],1))/(SUMIFS(tblSafety[Hours_Total],tblSafety[Date],"&gt;="&amp;EDATE($E317,-12),tblSafety[Date],"&lt;="&amp;$A317)+SUMIFS(tblSafetyHistory[Hours_Total],tblSafetyHistory[Month],"&gt;="&amp;EDATE($E317,-12),tblSafetyHistory[Month],"&lt;"&amp;$E317,tblSafetyHistory[Use],1))*cfg_RateBasisHours,"")</f>
        <v/>
      </c>
      <c r="IQ317" s="56">
        <f>IFERROR((SUMIFS(tblSafety[LTI],tblSafety[Date],"&gt;="&amp;EDATE($E317,-12),tblSafety[Date],"&lt;="&amp;$A317)+SUMIFS(tblSafetyHistory[LTI],tblSafetyHistory[Month],"&gt;="&amp;EDATE($E317,-12),tblSafetyHistory[Month],"&lt;"&amp;$E317,tblSafetyHistory[Use],1))/(SUMIFS(tblSafety[Hours_Total],tblSafety[Date],"&gt;="&amp;EDATE($E317,-12),tblSafety[Date],"&lt;="&amp;$A317)+SUMIFS(tblSafetyHistory[Hours_Total],tblSafetyHistory[Month],"&gt;="&amp;EDATE($E317,-12),tblSafetyHistory[Month],"&lt;"&amp;$E317,tblSafetyHistory[Use],1))*cfg_RateBasisHours,"")</f>
        <v/>
      </c>
      <c r="IR317" s="62">
        <f>IF(MAX(N(cfg_PriorLTIDate),_xlfn.MAXIFS(tblSafety[Date],tblSafety[LTI],"&gt;0",tblSafety[Date],"&lt;="&amp;$A317))=0,"",$A317-MAX(N(cfg_PriorLTIDate),_xlfn.MAXIFS(tblSafety[Date],tblSafety[LTI],"&gt;0",tblSafety[Date],"&lt;="&amp;$A317)))</f>
        <v/>
      </c>
      <c r="IS317" s="55">
        <f>SUMIFS(tblBudget[Ore_Mined_t],tblBudget[Month],$E317)</f>
        <v/>
      </c>
      <c r="IT317" s="55">
        <f>$IS317*$C317/$D317</f>
        <v/>
      </c>
      <c r="IU317" s="55">
        <f>SUMIFS(tblBudget[Ore_Mined_t],tblBudget[Month],"&lt;"&amp;$E317)+$IT317</f>
        <v/>
      </c>
      <c r="IV317" s="55">
        <f>SUMIFS(tblBudget[Ore_oz],tblBudget[Month],$E317)</f>
        <v/>
      </c>
      <c r="IW317" s="55">
        <f>$IV317*$C317/$D317</f>
        <v/>
      </c>
      <c r="IX317" s="55">
        <f>SUMIFS(tblBudget[Ore_oz],tblBudget[Month],"&lt;"&amp;$E317)+$IW317</f>
        <v/>
      </c>
      <c r="IY317" s="55">
        <f>SUMIFS(tblBudget[Ore_Mined_t],tblBudget[Month],$E317)</f>
        <v/>
      </c>
      <c r="IZ317" s="55">
        <f>$IY317*$C317/$D317</f>
        <v/>
      </c>
      <c r="JA317" s="55">
        <f>SUMIFS(tblBudget[Ore_Mined_t],tblBudget[Month],"&lt;"&amp;$E317)+$IZ317</f>
        <v/>
      </c>
      <c r="JB317" s="56">
        <f>IFERROR(IF(($IY317)&gt;0,($IV317*cfg_TroyOz)/($IY317),""),"")</f>
        <v/>
      </c>
      <c r="JC317" s="56">
        <f>IFERROR(IF(($IZ317)&gt;0,($IW317*cfg_TroyOz)/($IZ317),""),"")</f>
        <v/>
      </c>
      <c r="JD317" s="56">
        <f>IFERROR(IF(($JA317)&gt;0,($IX317*cfg_TroyOz)/($JA317),""),"")</f>
        <v/>
      </c>
      <c r="JE317" s="55">
        <f>SUMIFS(tblBudget[Waste_t],tblBudget[Month],$E317)</f>
        <v/>
      </c>
      <c r="JF317" s="55">
        <f>$JE317*$C317/$D317</f>
        <v/>
      </c>
      <c r="JG317" s="55">
        <f>SUMIFS(tblBudget[Waste_t],tblBudget[Month],"&lt;"&amp;$E317)+$JF317</f>
        <v/>
      </c>
      <c r="JH317" s="55">
        <f>SUMIFS(tblBudget[TMM_t],tblBudget[Month],$E317)</f>
        <v/>
      </c>
      <c r="JI317" s="55">
        <f>$JH317*$C317/$D317</f>
        <v/>
      </c>
      <c r="JJ317" s="55">
        <f>SUMIFS(tblBudget[TMM_t],tblBudget[Month],"&lt;"&amp;$E317)+$JI317</f>
        <v/>
      </c>
      <c r="JK317" s="56">
        <f>IFERROR(IF(($IS317)&gt;0,($JE317)/($IS317),""),"")</f>
        <v/>
      </c>
      <c r="JL317" s="56">
        <f>IFERROR(IF(($IT317)&gt;0,($JF317)/($IT317),""),"")</f>
        <v/>
      </c>
      <c r="JM317" s="56">
        <f>IFERROR(IF(($IU317)&gt;0,($JG317)/($IU317),""),"")</f>
        <v/>
      </c>
      <c r="JN317" s="55">
        <f>SUMIFS(tblBudget[Drill_m],tblBudget[Month],$E317)</f>
        <v/>
      </c>
      <c r="JO317" s="55">
        <f>$JN317*$C317/$D317</f>
        <v/>
      </c>
      <c r="JP317" s="55">
        <f>SUMIFS(tblBudget[Drill_m],tblBudget[Month],"&lt;"&amp;$E317)+$JO317</f>
        <v/>
      </c>
      <c r="JQ317" s="55">
        <f>SUMIFS(tblBudget[Diesel_L],tblBudget[Month],$E317)</f>
        <v/>
      </c>
      <c r="JR317" s="55">
        <f>$JQ317*$C317/$D317</f>
        <v/>
      </c>
      <c r="JS317" s="55">
        <f>SUMIFS(tblBudget[Diesel_L],tblBudget[Month],"&lt;"&amp;$E317)+$JR317</f>
        <v/>
      </c>
      <c r="JT317" s="55">
        <f>SUMIFS(tblBudget[Milled_t],tblBudget[Month],$E317)</f>
        <v/>
      </c>
      <c r="JU317" s="55">
        <f>$JT317*$C317/$D317</f>
        <v/>
      </c>
      <c r="JV317" s="55">
        <f>SUMIFS(tblBudget[Milled_t],tblBudget[Month],"&lt;"&amp;$E317)+$JU317</f>
        <v/>
      </c>
      <c r="JW317" s="55">
        <f>SUMIFS(tblBudget[Feed_oz],tblBudget[Month],$E317)</f>
        <v/>
      </c>
      <c r="JX317" s="55">
        <f>$JW317*$C317/$D317</f>
        <v/>
      </c>
      <c r="JY317" s="55">
        <f>SUMIFS(tblBudget[Feed_oz],tblBudget[Month],"&lt;"&amp;$E317)+$JX317</f>
        <v/>
      </c>
      <c r="JZ317" s="55">
        <f>SUMIFS(tblBudget[Recovered_oz],tblBudget[Month],$E317)</f>
        <v/>
      </c>
      <c r="KA317" s="55">
        <f>$JZ317*$C317/$D317</f>
        <v/>
      </c>
      <c r="KB317" s="55">
        <f>SUMIFS(tblBudget[Recovered_oz],tblBudget[Month],"&lt;"&amp;$E317)+$KA317</f>
        <v/>
      </c>
      <c r="KC317" s="55">
        <f>SUMIFS(tblBudget[Milled_t],tblBudget[Month],$E317)</f>
        <v/>
      </c>
      <c r="KD317" s="55">
        <f>$KC317*$C317/$D317</f>
        <v/>
      </c>
      <c r="KE317" s="55">
        <f>SUMIFS(tblBudget[Milled_t],tblBudget[Month],"&lt;"&amp;$E317)+$KD317</f>
        <v/>
      </c>
      <c r="KF317" s="55">
        <f>SUMIFS(tblBudget[Feed_oz],tblBudget[Month],$E317)</f>
        <v/>
      </c>
      <c r="KG317" s="55">
        <f>$KF317*$C317/$D317</f>
        <v/>
      </c>
      <c r="KH317" s="55">
        <f>SUMIFS(tblBudget[Feed_oz],tblBudget[Month],"&lt;"&amp;$E317)+$KG317</f>
        <v/>
      </c>
      <c r="KI317" s="56">
        <f>IFERROR(IF(($KC317)&gt;0,($JW317*cfg_TroyOz)/($KC317),""),"")</f>
        <v/>
      </c>
      <c r="KJ317" s="56">
        <f>IFERROR(IF(($KD317)&gt;0,($JX317*cfg_TroyOz)/($KD317),""),"")</f>
        <v/>
      </c>
      <c r="KK317" s="56">
        <f>IFERROR(IF(($KE317)&gt;0,($JY317*cfg_TroyOz)/($KE317),""),"")</f>
        <v/>
      </c>
      <c r="KL317" s="67">
        <f>IFERROR(IF(($KF317)&gt;0,($JZ317)/($KF317),""),"")</f>
        <v/>
      </c>
      <c r="KM317" s="67">
        <f>IFERROR(IF(($KG317)&gt;0,($KA317)/($KG317),""),"")</f>
        <v/>
      </c>
      <c r="KN317" s="67">
        <f>IFERROR(IF(($KH317)&gt;0,($KB317)/($KH317),""),"")</f>
        <v/>
      </c>
      <c r="KO317" s="55">
        <f>SUMIFS(tblBudget[Gold_Poured_oz],tblBudget[Month],$E317)</f>
        <v/>
      </c>
      <c r="KP317" s="55">
        <f>$KO317*$C317/$D317</f>
        <v/>
      </c>
      <c r="KQ317" s="55">
        <f>SUMIFS(tblBudget[Gold_Poured_oz],tblBudget[Month],"&lt;"&amp;$E317)+$KP317</f>
        <v/>
      </c>
      <c r="KR317" s="57">
        <f>SUMIFS(tblBudget[Hours_Worked],tblBudget[Month],$E317)</f>
        <v/>
      </c>
      <c r="KS317" s="57">
        <f>$KR317*$C317/$D317</f>
        <v/>
      </c>
      <c r="KT317" s="57">
        <f>SUMIFS(tblBudget[Hours_Worked],tblBudget[Month],"&lt;"&amp;$E317)+$KS317</f>
        <v/>
      </c>
    </row>
    <row r="318">
      <c r="A318" s="54" t="n">
        <v>46339</v>
      </c>
      <c r="B318">
        <f>MONTH($A318)</f>
        <v/>
      </c>
      <c r="C318">
        <f>DAY($A318)</f>
        <v/>
      </c>
      <c r="D318">
        <f>DAY(EOMONTH($A318,0))</f>
        <v/>
      </c>
      <c r="E318" s="54">
        <f>DATE(YEAR($A318),MONTH($A318),1)</f>
        <v/>
      </c>
      <c r="F318" s="55">
        <f>SUMIFS(tblMovement[Tonnes_t],tblMovement[Date],$A318,tblMovement[Is_Ore],1,tblMovement[Source_Type],"Pit")</f>
        <v/>
      </c>
      <c r="G318" s="55">
        <f>IF($B318=$B317,$G317,0)+$F318</f>
        <v/>
      </c>
      <c r="H318" s="55">
        <f>$H317+$F318</f>
        <v/>
      </c>
      <c r="I318" s="55">
        <f>SUMIFS(tblMovement[Ore_oz],tblMovement[Date],$A318,tblMovement[Source_Type],"Pit")</f>
        <v/>
      </c>
      <c r="J318" s="55">
        <f>IF($B318=$B317,$J317,0)+$I318</f>
        <v/>
      </c>
      <c r="K318" s="55">
        <f>$K317+$I318</f>
        <v/>
      </c>
      <c r="L318" s="55">
        <f>SUMIFS(tblMovement[Tonnes_t],tblMovement[Date],$A318,tblMovement[Is_Ore],1,tblMovement[Source_Type],"Pit",tblMovement[Grade_gpt],"&lt;&gt;")</f>
        <v/>
      </c>
      <c r="M318" s="55">
        <f>IF($B318=$B317,$M317,0)+$L318</f>
        <v/>
      </c>
      <c r="N318" s="55">
        <f>$N317+$L318</f>
        <v/>
      </c>
      <c r="O318" s="56">
        <f>IFERROR(IF(($L318)&gt;0,($I318*cfg_TroyOz)/($L318),""),"")</f>
        <v/>
      </c>
      <c r="P318" s="56">
        <f>IFERROR(IF(($M318)&gt;0,($J318*cfg_TroyOz)/($M318),""),"")</f>
        <v/>
      </c>
      <c r="Q318" s="56">
        <f>IFERROR(IF(($N318)&gt;0,($K318*cfg_TroyOz)/($N318),""),"")</f>
        <v/>
      </c>
      <c r="R318" s="55">
        <f>$F318-$L318</f>
        <v/>
      </c>
      <c r="S318" s="55">
        <f>IF($B318=$B317,$S317,0)+$R318</f>
        <v/>
      </c>
      <c r="T318" s="55">
        <f>$T317+$R318</f>
        <v/>
      </c>
      <c r="U318" s="55">
        <f>SUMIFS(tblMovement[Tonnes_t],tblMovement[Date],$A318,tblMovement[Is_Ore],0,tblMovement[Source_Type],"Pit")</f>
        <v/>
      </c>
      <c r="V318" s="55">
        <f>IF($B318=$B317,$V317,0)+$U318</f>
        <v/>
      </c>
      <c r="W318" s="55">
        <f>$W317+$U318</f>
        <v/>
      </c>
      <c r="X318" s="55">
        <f>$F318+$U318</f>
        <v/>
      </c>
      <c r="Y318" s="55">
        <f>IF($B318=$B317,$Y317,0)+$X318</f>
        <v/>
      </c>
      <c r="Z318" s="55">
        <f>$Z317+$X318</f>
        <v/>
      </c>
      <c r="AA318" s="56">
        <f>IFERROR(IF(($F318)&gt;0,($U318)/($F318),""),"")</f>
        <v/>
      </c>
      <c r="AB318" s="56">
        <f>IFERROR(IF(($G318)&gt;0,($V318)/($G318),""),"")</f>
        <v/>
      </c>
      <c r="AC318" s="56">
        <f>IFERROR(IF(($H318)&gt;0,($W318)/($H318),""),"")</f>
        <v/>
      </c>
      <c r="AD318" s="55">
        <f>SUMIFS(tblMovement[Tonnes_t],tblMovement[Date],$A318,tblMovement[Source_Type],"Stockpile")</f>
        <v/>
      </c>
      <c r="AE318" s="55">
        <f>IF($B318=$B317,$AE317,0)+$AD318</f>
        <v/>
      </c>
      <c r="AF318" s="55">
        <f>$AF317+$AD318</f>
        <v/>
      </c>
      <c r="AG318" s="55">
        <f>SUMIFS(tblMovement[Tonnes_t],tblMovement[Date],$A318)</f>
        <v/>
      </c>
      <c r="AH318" s="55">
        <f>IF($B318=$B317,$AH317,0)+$AG318</f>
        <v/>
      </c>
      <c r="AI318" s="55">
        <f>$AI317+$AG318</f>
        <v/>
      </c>
      <c r="AJ318" s="55">
        <f>$AG318-$X318-$AD318</f>
        <v/>
      </c>
      <c r="AK318" s="55">
        <f>IF($B318=$B317,$AK317,0)+$AJ318</f>
        <v/>
      </c>
      <c r="AL318" s="55">
        <f>$AL317+$AJ318</f>
        <v/>
      </c>
      <c r="AM318" s="55">
        <f>SUMIFS(tblMiningDaily[Drill_m],tblMiningDaily[Date],$A318)</f>
        <v/>
      </c>
      <c r="AN318" s="55">
        <f>IF($B318=$B317,$AN317,0)+$AM318</f>
        <v/>
      </c>
      <c r="AO318" s="55">
        <f>$AO317+$AM318</f>
        <v/>
      </c>
      <c r="AP318" s="55">
        <f>SUMIFS(tblMiningDaily[GC_Drill_m],tblMiningDaily[Date],$A318)</f>
        <v/>
      </c>
      <c r="AQ318" s="55">
        <f>IF($B318=$B317,$AQ317,0)+$AP318</f>
        <v/>
      </c>
      <c r="AR318" s="55">
        <f>$AR317+$AP318</f>
        <v/>
      </c>
      <c r="AS318" s="55">
        <f>SUMIFS(tblMiningDaily[Blast_t],tblMiningDaily[Date],$A318)</f>
        <v/>
      </c>
      <c r="AT318" s="55">
        <f>IF($B318=$B317,$AT317,0)+$AS318</f>
        <v/>
      </c>
      <c r="AU318" s="55">
        <f>$AU317+$AS318</f>
        <v/>
      </c>
      <c r="AV318" s="55">
        <f>SUMIFS(tblMiningDaily[Explosives_kg],tblMiningDaily[Date],$A318)</f>
        <v/>
      </c>
      <c r="AW318" s="55">
        <f>IF($B318=$B317,$AW317,0)+$AV318</f>
        <v/>
      </c>
      <c r="AX318" s="55">
        <f>$AX317+$AV318</f>
        <v/>
      </c>
      <c r="AY318" s="56">
        <f>IFERROR(IF(($AS318)&gt;0,($AV318)/($AS318),""),"")</f>
        <v/>
      </c>
      <c r="AZ318" s="56">
        <f>IFERROR(IF(($AT318)&gt;0,($AW318)/($AT318),""),"")</f>
        <v/>
      </c>
      <c r="BA318" s="56">
        <f>IFERROR(IF(($AU318)&gt;0,($AX318)/($AU318),""),"")</f>
        <v/>
      </c>
      <c r="BB318" s="55">
        <f>SUMIFS(tblMiningDaily[Diesel_L],tblMiningDaily[Date],$A318)</f>
        <v/>
      </c>
      <c r="BC318" s="55">
        <f>IF($B318=$B317,$BC317,0)+$BB318</f>
        <v/>
      </c>
      <c r="BD318" s="55">
        <f>$BD317+$BB318</f>
        <v/>
      </c>
      <c r="BE318" s="55">
        <f>SUMIFS(tblMiningDaily[Dewatering_m3],tblMiningDaily[Date],$A318)</f>
        <v/>
      </c>
      <c r="BF318" s="55">
        <f>IF($B318=$B317,$BF317,0)+$BE318</f>
        <v/>
      </c>
      <c r="BG318" s="55">
        <f>$BG317+$BE318</f>
        <v/>
      </c>
      <c r="BH318" s="57">
        <f>SUMIFS(tblFleet[Calendar_h],tblFleet[Date],$A318,tblFleet[Equipment_Class],"Excavator")</f>
        <v/>
      </c>
      <c r="BI318" s="57">
        <f>IF($B318=$B317,$BI317,0)+$BH318</f>
        <v/>
      </c>
      <c r="BJ318" s="57">
        <f>$BJ317+$BH318</f>
        <v/>
      </c>
      <c r="BK318" s="57">
        <f>SUMIFS(tblFleet[Available_h],tblFleet[Date],$A318,tblFleet[Equipment_Class],"Excavator")</f>
        <v/>
      </c>
      <c r="BL318" s="57">
        <f>IF($B318=$B317,$BL317,0)+$BK318</f>
        <v/>
      </c>
      <c r="BM318" s="57">
        <f>$BM317+$BK318</f>
        <v/>
      </c>
      <c r="BN318" s="57">
        <f>SUMIFS(tblFleet[Operating_h],tblFleet[Date],$A318,tblFleet[Equipment_Class],"Excavator")</f>
        <v/>
      </c>
      <c r="BO318" s="57">
        <f>IF($B318=$B317,$BO317,0)+$BN318</f>
        <v/>
      </c>
      <c r="BP318" s="57">
        <f>$BP317+$BN318</f>
        <v/>
      </c>
      <c r="BQ318" s="67">
        <f>IFERROR(IF(($BH318)&gt;0,($BK318)/($BH318),""),"")</f>
        <v/>
      </c>
      <c r="BR318" s="67">
        <f>IFERROR(IF(($BI318)&gt;0,($BL318)/($BI318),""),"")</f>
        <v/>
      </c>
      <c r="BS318" s="67">
        <f>IFERROR(IF(($BJ318)&gt;0,($BM318)/($BJ318),""),"")</f>
        <v/>
      </c>
      <c r="BT318" s="67">
        <f>IFERROR(IF(($BK318)&gt;0,($BN318)/($BK318),""),"")</f>
        <v/>
      </c>
      <c r="BU318" s="67">
        <f>IFERROR(IF(($BL318)&gt;0,($BO318)/($BL318),""),"")</f>
        <v/>
      </c>
      <c r="BV318" s="67">
        <f>IFERROR(IF(($BM318)&gt;0,($BP318)/($BM318),""),"")</f>
        <v/>
      </c>
      <c r="BW318" s="57">
        <f>SUMIFS(tblFleet[Calendar_h],tblFleet[Date],$A318,tblFleet[Equipment_Class],"Haul Truck")</f>
        <v/>
      </c>
      <c r="BX318" s="57">
        <f>IF($B318=$B317,$BX317,0)+$BW318</f>
        <v/>
      </c>
      <c r="BY318" s="57">
        <f>$BY317+$BW318</f>
        <v/>
      </c>
      <c r="BZ318" s="57">
        <f>SUMIFS(tblFleet[Available_h],tblFleet[Date],$A318,tblFleet[Equipment_Class],"Haul Truck")</f>
        <v/>
      </c>
      <c r="CA318" s="57">
        <f>IF($B318=$B317,$CA317,0)+$BZ318</f>
        <v/>
      </c>
      <c r="CB318" s="57">
        <f>$CB317+$BZ318</f>
        <v/>
      </c>
      <c r="CC318" s="57">
        <f>SUMIFS(tblFleet[Operating_h],tblFleet[Date],$A318,tblFleet[Equipment_Class],"Haul Truck")</f>
        <v/>
      </c>
      <c r="CD318" s="57">
        <f>IF($B318=$B317,$CD317,0)+$CC318</f>
        <v/>
      </c>
      <c r="CE318" s="57">
        <f>$CE317+$CC318</f>
        <v/>
      </c>
      <c r="CF318" s="67">
        <f>IFERROR(IF(($BW318)&gt;0,($BZ318)/($BW318),""),"")</f>
        <v/>
      </c>
      <c r="CG318" s="67">
        <f>IFERROR(IF(($BX318)&gt;0,($CA318)/($BX318),""),"")</f>
        <v/>
      </c>
      <c r="CH318" s="67">
        <f>IFERROR(IF(($BY318)&gt;0,($CB318)/($BY318),""),"")</f>
        <v/>
      </c>
      <c r="CI318" s="67">
        <f>IFERROR(IF(($BZ318)&gt;0,($CC318)/($BZ318),""),"")</f>
        <v/>
      </c>
      <c r="CJ318" s="67">
        <f>IFERROR(IF(($CA318)&gt;0,($CD318)/($CA318),""),"")</f>
        <v/>
      </c>
      <c r="CK318" s="67">
        <f>IFERROR(IF(($CB318)&gt;0,($CE318)/($CB318),""),"")</f>
        <v/>
      </c>
      <c r="CL318" s="55">
        <f>IFERROR(IF(($BN318)&gt;0,($X318+$AD318)/($BN318),""),"")</f>
        <v/>
      </c>
      <c r="CM318" s="55">
        <f>IFERROR(IF(($BO318)&gt;0,($Y318+$AE318)/($BO318),""),"")</f>
        <v/>
      </c>
      <c r="CN318" s="55">
        <f>IFERROR(IF(($BP318)&gt;0,($Z318+$AF318)/($BP318),""),"")</f>
        <v/>
      </c>
      <c r="CO318" s="55">
        <f>IFERROR(IF(($CC318)&gt;0,($X318+$AD318)/($CC318),""),"")</f>
        <v/>
      </c>
      <c r="CP318" s="55">
        <f>IFERROR(IF(($CD318)&gt;0,($Y318+$AE318)/($CD318),""),"")</f>
        <v/>
      </c>
      <c r="CQ318" s="55">
        <f>IFERROR(IF(($CE318)&gt;0,($Z318+$AF318)/($CE318),""),"")</f>
        <v/>
      </c>
      <c r="CR318" s="55">
        <f>SUMIFS(tblPlant[Crushed_t],tblPlant[Date],$A318)</f>
        <v/>
      </c>
      <c r="CS318" s="55">
        <f>IF($B318=$B317,$CS317,0)+$CR318</f>
        <v/>
      </c>
      <c r="CT318" s="55">
        <f>$CT317+$CR318</f>
        <v/>
      </c>
      <c r="CU318" s="55">
        <f>SUMIFS(tblPlant[Milled_t],tblPlant[Date],$A318)</f>
        <v/>
      </c>
      <c r="CV318" s="55">
        <f>IF($B318=$B317,$CV317,0)+$CU318</f>
        <v/>
      </c>
      <c r="CW318" s="55">
        <f>$CW317+$CU318</f>
        <v/>
      </c>
      <c r="CX318" s="55">
        <f>SUMIFS(tblPlant[Feed_oz],tblPlant[Date],$A318)</f>
        <v/>
      </c>
      <c r="CY318" s="55">
        <f>IF($B318=$B317,$CY317,0)+$CX318</f>
        <v/>
      </c>
      <c r="CZ318" s="55">
        <f>$CZ317+$CX318</f>
        <v/>
      </c>
      <c r="DA318" s="55">
        <f>SUMIFS(tblPlant[Tails_oz],tblPlant[Date],$A318)</f>
        <v/>
      </c>
      <c r="DB318" s="55">
        <f>IF($B318=$B317,$DB317,0)+$DA318</f>
        <v/>
      </c>
      <c r="DC318" s="55">
        <f>$DC317+$DA318</f>
        <v/>
      </c>
      <c r="DD318" s="55">
        <f>SUMIFS(tblPlant[Recovered_oz],tblPlant[Date],$A318)</f>
        <v/>
      </c>
      <c r="DE318" s="55">
        <f>IF($B318=$B317,$DE317,0)+$DD318</f>
        <v/>
      </c>
      <c r="DF318" s="55">
        <f>$DF317+$DD318</f>
        <v/>
      </c>
      <c r="DG318" s="55">
        <f>SUMIFS(tblPlant[Milled_t],tblPlant[Date],$A318,tblPlant[Head_Grade_gpt],"&lt;&gt;")</f>
        <v/>
      </c>
      <c r="DH318" s="55">
        <f>IF($B318=$B317,$DH317,0)+$DG318</f>
        <v/>
      </c>
      <c r="DI318" s="55">
        <f>$DI317+$DG318</f>
        <v/>
      </c>
      <c r="DJ318" s="55">
        <f>SUMIFS(tblPlant[Milled_t],tblPlant[Date],$A318,tblPlant[Tails_Grade_gpt],"&lt;&gt;")</f>
        <v/>
      </c>
      <c r="DK318" s="55">
        <f>IF($B318=$B317,$DK317,0)+$DJ318</f>
        <v/>
      </c>
      <c r="DL318" s="55">
        <f>$DL317+$DJ318</f>
        <v/>
      </c>
      <c r="DM318" s="55">
        <f>SUMIFS(tblPlant[Feed_oz],tblPlant[Date],$A318,tblPlant[Tails_Grade_gpt],"&lt;&gt;")</f>
        <v/>
      </c>
      <c r="DN318" s="55">
        <f>IF($B318=$B317,$DN317,0)+$DM318</f>
        <v/>
      </c>
      <c r="DO318" s="55">
        <f>$DO317+$DM318</f>
        <v/>
      </c>
      <c r="DP318" s="55">
        <f>SUMIFS(tblPlant[Milled_t],tblPlant[Date],$A318,tblPlant[Mill_Run_h],"&lt;&gt;")</f>
        <v/>
      </c>
      <c r="DQ318" s="55">
        <f>IF($B318=$B317,$DQ317,0)+$DP318</f>
        <v/>
      </c>
      <c r="DR318" s="55">
        <f>$DR317+$DP318</f>
        <v/>
      </c>
      <c r="DS318" s="56">
        <f>IFERROR(IF(($DG318)&gt;0,($CX318*cfg_TroyOz)/($DG318),""),"")</f>
        <v/>
      </c>
      <c r="DT318" s="56">
        <f>IFERROR(IF(($DH318)&gt;0,($CY318*cfg_TroyOz)/($DH318),""),"")</f>
        <v/>
      </c>
      <c r="DU318" s="56">
        <f>IFERROR(IF(($DI318)&gt;0,($CZ318*cfg_TroyOz)/($DI318),""),"")</f>
        <v/>
      </c>
      <c r="DV318" s="56">
        <f>IFERROR(IF(($DJ318)&gt;0,($DA318*cfg_TroyOz)/($DJ318),""),"")</f>
        <v/>
      </c>
      <c r="DW318" s="56">
        <f>IFERROR(IF(($DK318)&gt;0,($DB318*cfg_TroyOz)/($DK318),""),"")</f>
        <v/>
      </c>
      <c r="DX318" s="56">
        <f>IFERROR(IF(($DL318)&gt;0,($DC318*cfg_TroyOz)/($DL318),""),"")</f>
        <v/>
      </c>
      <c r="DY318" s="67">
        <f>IFERROR(IF(($DM318)&gt;0,($DD318)/($DM318),""),"")</f>
        <v/>
      </c>
      <c r="DZ318" s="67">
        <f>IFERROR(IF(($DN318)&gt;0,($DE318)/($DN318),""),"")</f>
        <v/>
      </c>
      <c r="EA318" s="67">
        <f>IFERROR(IF(($DO318)&gt;0,($DF318)/($DO318),""),"")</f>
        <v/>
      </c>
      <c r="EB318" s="55">
        <f>SUMIFS(tblPlant[Gravity_Gold_oz],tblPlant[Date],$A318)</f>
        <v/>
      </c>
      <c r="EC318" s="55">
        <f>IF($B318=$B317,$EC317,0)+$EB318</f>
        <v/>
      </c>
      <c r="ED318" s="55">
        <f>$ED317+$EB318</f>
        <v/>
      </c>
      <c r="EE318" s="67">
        <f>IFERROR(IF(($DD318)&gt;0,($EB318)/($DD318),""),"")</f>
        <v/>
      </c>
      <c r="EF318" s="67">
        <f>IFERROR(IF(($DE318)&gt;0,($EC318)/($DE318),""),"")</f>
        <v/>
      </c>
      <c r="EG318" s="67">
        <f>IFERROR(IF(($DF318)&gt;0,($ED318)/($DF318),""),"")</f>
        <v/>
      </c>
      <c r="EH318" s="55">
        <f>SUMIFS(tblPlant[Gold_Poured_oz],tblPlant[Date],$A318)</f>
        <v/>
      </c>
      <c r="EI318" s="55">
        <f>IF($B318=$B317,$EI317,0)+$EH318</f>
        <v/>
      </c>
      <c r="EJ318" s="55">
        <f>$EJ317+$EH318</f>
        <v/>
      </c>
      <c r="EK318" s="57">
        <f>SUMIFS(tblPlant[Mill_Run_h],tblPlant[Date],$A318)</f>
        <v/>
      </c>
      <c r="EL318" s="57">
        <f>IF($B318=$B317,$EL317,0)+$EK318</f>
        <v/>
      </c>
      <c r="EM318" s="57">
        <f>$EM317+$EK318</f>
        <v/>
      </c>
      <c r="EN318" s="57">
        <f>SUMIFS(tblPlant[Mill_Planned_Maint_h],tblPlant[Date],$A318)</f>
        <v/>
      </c>
      <c r="EO318" s="57">
        <f>IF($B318=$B317,$EO317,0)+$EN318</f>
        <v/>
      </c>
      <c r="EP318" s="57">
        <f>$EP317+$EN318</f>
        <v/>
      </c>
      <c r="EQ318" s="57">
        <f>SUMIFS(tblPlant[Mill_Unplanned_Down_h],tblPlant[Date],$A318)</f>
        <v/>
      </c>
      <c r="ER318" s="57">
        <f>IF($B318=$B317,$ER317,0)+$EQ318</f>
        <v/>
      </c>
      <c r="ES318" s="57">
        <f>$ES317+$EQ318</f>
        <v/>
      </c>
      <c r="ET318" s="57">
        <f>IF(COUNTIFS(tblPlant[Date],$A318,tblPlant[Mill_Run_h],"&lt;&gt;")+COUNTIFS(tblPlant[Date],$A318,tblPlant[Mill_Planned_Maint_h],"&lt;&gt;")+COUNTIFS(tblPlant[Date],$A318,tblPlant[Mill_Unplanned_Down_h],"&lt;&gt;")&gt;0,cfg_HoursPerDay,0)</f>
        <v/>
      </c>
      <c r="EU318" s="57">
        <f>IF($B318=$B317,$EU317,0)+$ET318</f>
        <v/>
      </c>
      <c r="EV318" s="57">
        <f>$EV317+$ET318</f>
        <v/>
      </c>
      <c r="EW318" s="57">
        <f>SUMIFS(tblPlant[Crusher_Run_h],tblPlant[Date],$A318)</f>
        <v/>
      </c>
      <c r="EX318" s="57">
        <f>IF($B318=$B317,$EX317,0)+$EW318</f>
        <v/>
      </c>
      <c r="EY318" s="57">
        <f>$EY317+$EW318</f>
        <v/>
      </c>
      <c r="EZ318" s="55">
        <f>IFERROR(IF(($EK318)&gt;0,($DP318)/($EK318),""),"")</f>
        <v/>
      </c>
      <c r="FA318" s="55">
        <f>IFERROR(IF(($EL318)&gt;0,($DQ318)/($EL318),""),"")</f>
        <v/>
      </c>
      <c r="FB318" s="55">
        <f>IFERROR(IF(($EM318)&gt;0,($DR318)/($EM318),""),"")</f>
        <v/>
      </c>
      <c r="FC318" s="67">
        <f>IFERROR(IF(($ET318)&gt;0,($ET318-$EN318-$EQ318)/($ET318),""),"")</f>
        <v/>
      </c>
      <c r="FD318" s="67">
        <f>IFERROR(IF(($EU318)&gt;0,($EU318-$EO318-$ER318)/($EU318),""),"")</f>
        <v/>
      </c>
      <c r="FE318" s="67">
        <f>IFERROR(IF(($EV318)&gt;0,($EV318-$EP318-$ES318)/($EV318),""),"")</f>
        <v/>
      </c>
      <c r="FF318" s="67">
        <f>IFERROR(IF(($ET318-$EN318-$EQ318)&gt;0,($EK318)/($ET318-$EN318-$EQ318),""),"")</f>
        <v/>
      </c>
      <c r="FG318" s="67">
        <f>IFERROR(IF(($EU318-$EO318-$ER318)&gt;0,($EL318)/($EU318-$EO318-$ER318),""),"")</f>
        <v/>
      </c>
      <c r="FH318" s="67">
        <f>IFERROR(IF(($EV318-$EP318-$ES318)&gt;0,($EM318)/($EV318-$EP318-$ES318),""),"")</f>
        <v/>
      </c>
      <c r="FI318" s="55">
        <f>SUMIFS(tblPlant[Cyanide_kg],tblPlant[Date],$A318)</f>
        <v/>
      </c>
      <c r="FJ318" s="55">
        <f>IF($B318=$B317,$FJ317,0)+$FI318</f>
        <v/>
      </c>
      <c r="FK318" s="55">
        <f>$FK317+$FI318</f>
        <v/>
      </c>
      <c r="FL318" s="55">
        <f>SUMIFS(tblPlant[Lime_kg],tblPlant[Date],$A318)</f>
        <v/>
      </c>
      <c r="FM318" s="55">
        <f>IF($B318=$B317,$FM317,0)+$FL318</f>
        <v/>
      </c>
      <c r="FN318" s="55">
        <f>$FN317+$FL318</f>
        <v/>
      </c>
      <c r="FO318" s="55">
        <f>SUMIFS(tblPlant[Grinding_Media_kg],tblPlant[Date],$A318)</f>
        <v/>
      </c>
      <c r="FP318" s="55">
        <f>IF($B318=$B317,$FP317,0)+$FO318</f>
        <v/>
      </c>
      <c r="FQ318" s="55">
        <f>$FQ317+$FO318</f>
        <v/>
      </c>
      <c r="FR318" s="55">
        <f>SUMIFS(tblPlant[Power_kWh],tblPlant[Date],$A318)</f>
        <v/>
      </c>
      <c r="FS318" s="55">
        <f>IF($B318=$B317,$FS317,0)+$FR318</f>
        <v/>
      </c>
      <c r="FT318" s="55">
        <f>$FT317+$FR318</f>
        <v/>
      </c>
      <c r="FU318" s="55">
        <f>SUMIFS(tblPlant[Raw_Water_m3],tblPlant[Date],$A318)</f>
        <v/>
      </c>
      <c r="FV318" s="55">
        <f>IF($B318=$B317,$FV317,0)+$FU318</f>
        <v/>
      </c>
      <c r="FW318" s="55">
        <f>$FW317+$FU318</f>
        <v/>
      </c>
      <c r="FX318" s="56">
        <f>IFERROR(IF(($CU318)&gt;0,($FI318)/($CU318),""),"")</f>
        <v/>
      </c>
      <c r="FY318" s="56">
        <f>IFERROR(IF(($CV318)&gt;0,($FJ318)/($CV318),""),"")</f>
        <v/>
      </c>
      <c r="FZ318" s="56">
        <f>IFERROR(IF(($CW318)&gt;0,($FK318)/($CW318),""),"")</f>
        <v/>
      </c>
      <c r="GA318" s="56">
        <f>IFERROR(IF(($CU318)&gt;0,($FL318)/($CU318),""),"")</f>
        <v/>
      </c>
      <c r="GB318" s="56">
        <f>IFERROR(IF(($CV318)&gt;0,($FM318)/($CV318),""),"")</f>
        <v/>
      </c>
      <c r="GC318" s="56">
        <f>IFERROR(IF(($CW318)&gt;0,($FN318)/($CW318),""),"")</f>
        <v/>
      </c>
      <c r="GD318" s="56">
        <f>IFERROR(IF(($CU318)&gt;0,($FO318)/($CU318),""),"")</f>
        <v/>
      </c>
      <c r="GE318" s="56">
        <f>IFERROR(IF(($CV318)&gt;0,($FP318)/($CV318),""),"")</f>
        <v/>
      </c>
      <c r="GF318" s="56">
        <f>IFERROR(IF(($CW318)&gt;0,($FQ318)/($CW318),""),"")</f>
        <v/>
      </c>
      <c r="GG318" s="79">
        <f>IFERROR(IF(($CU318)&gt;0,($FR318)/($CU318),""),"")</f>
        <v/>
      </c>
      <c r="GH318" s="79">
        <f>IFERROR(IF(($CV318)&gt;0,($FS318)/($CV318),""),"")</f>
        <v/>
      </c>
      <c r="GI318" s="79">
        <f>IFERROR(IF(($CW318)&gt;0,($FT318)/($CW318),""),"")</f>
        <v/>
      </c>
      <c r="GJ318" s="56">
        <f>IFERROR(IF(($CU318)&gt;0,($FU318)/($CU318),""),"")</f>
        <v/>
      </c>
      <c r="GK318" s="56">
        <f>IFERROR(IF(($CV318)&gt;0,($FV318)/($CV318),""),"")</f>
        <v/>
      </c>
      <c r="GL318" s="56">
        <f>IFERROR(IF(($CW318)&gt;0,($FW318)/($CW318),""),"")</f>
        <v/>
      </c>
      <c r="GM318" s="55">
        <f>IF(SUMIFS(tblPlant[GIC_oz],tblPlant[Date],$A318)&gt;0,SUMIFS(tblPlant[GIC_oz],tblPlant[Date],$A318),"")</f>
        <v/>
      </c>
      <c r="GN318" s="55">
        <f>SUMIFS(tblGold[Gold_oz],tblGold[Date],$A318,tblGold[Type],"Shipment")</f>
        <v/>
      </c>
      <c r="GO318" s="55">
        <f>IF($B318=$B317,$GO317,0)+$GN318</f>
        <v/>
      </c>
      <c r="GP318" s="55">
        <f>$GP317+$GN318</f>
        <v/>
      </c>
      <c r="GQ318" s="55">
        <f>SUMIFS(tblGold[Gold_oz],tblGold[Date],$A318,tblGold[Type],"Sale")</f>
        <v/>
      </c>
      <c r="GR318" s="55">
        <f>IF($B318=$B317,$GR317,0)+$GQ318</f>
        <v/>
      </c>
      <c r="GS318" s="55">
        <f>$GS317+$GQ318</f>
        <v/>
      </c>
      <c r="GT318" s="55">
        <f>SUMIFS(tblGold[Dore_kg],tblGold[Date],$A318,tblGold[Type],"Shipment")</f>
        <v/>
      </c>
      <c r="GU318" s="55">
        <f>IF($B318=$B317,$GU317,0)+$GT318</f>
        <v/>
      </c>
      <c r="GV318" s="55">
        <f>$GV317+$GT318</f>
        <v/>
      </c>
      <c r="GW318" s="57">
        <f>SUMIFS(tblSafety[Hours_Total],tblSafety[Date],$A318)</f>
        <v/>
      </c>
      <c r="GX318" s="57">
        <f>IF($B318=$B317,$GX317,0)+$GW318</f>
        <v/>
      </c>
      <c r="GY318" s="57">
        <f>$GY317+$GW318</f>
        <v/>
      </c>
      <c r="GZ318" s="62">
        <f>SUMIFS(tblSafety[Fatality],tblSafety[Date],$A318)</f>
        <v/>
      </c>
      <c r="HA318" s="62">
        <f>IF($B318=$B317,$HA317,0)+$GZ318</f>
        <v/>
      </c>
      <c r="HB318" s="62">
        <f>$HB317+$GZ318</f>
        <v/>
      </c>
      <c r="HC318" s="62">
        <f>SUMIFS(tblSafety[LTI],tblSafety[Date],$A318)</f>
        <v/>
      </c>
      <c r="HD318" s="62">
        <f>IF($B318=$B317,$HD317,0)+$HC318</f>
        <v/>
      </c>
      <c r="HE318" s="62">
        <f>$HE317+$HC318</f>
        <v/>
      </c>
      <c r="HF318" s="62">
        <f>SUMIFS(tblSafety[RWI],tblSafety[Date],$A318)</f>
        <v/>
      </c>
      <c r="HG318" s="62">
        <f>IF($B318=$B317,$HG317,0)+$HF318</f>
        <v/>
      </c>
      <c r="HH318" s="62">
        <f>$HH317+$HF318</f>
        <v/>
      </c>
      <c r="HI318" s="62">
        <f>SUMIFS(tblSafety[MTI],tblSafety[Date],$A318)</f>
        <v/>
      </c>
      <c r="HJ318" s="62">
        <f>IF($B318=$B317,$HJ317,0)+$HI318</f>
        <v/>
      </c>
      <c r="HK318" s="62">
        <f>$HK317+$HI318</f>
        <v/>
      </c>
      <c r="HL318" s="62">
        <f>SUMIFS(tblSafety[FAI],tblSafety[Date],$A318)</f>
        <v/>
      </c>
      <c r="HM318" s="62">
        <f>IF($B318=$B317,$HM317,0)+$HL318</f>
        <v/>
      </c>
      <c r="HN318" s="62">
        <f>$HN317+$HL318</f>
        <v/>
      </c>
      <c r="HO318" s="62">
        <f>SUMIFS(tblSafety[Recordables],tblSafety[Date],$A318)</f>
        <v/>
      </c>
      <c r="HP318" s="62">
        <f>IF($B318=$B317,$HP317,0)+$HO318</f>
        <v/>
      </c>
      <c r="HQ318" s="62">
        <f>$HQ317+$HO318</f>
        <v/>
      </c>
      <c r="HR318" s="62">
        <f>SUMIFS(tblSafety[Near_Miss],tblSafety[Date],$A318)</f>
        <v/>
      </c>
      <c r="HS318" s="62">
        <f>IF($B318=$B317,$HS317,0)+$HR318</f>
        <v/>
      </c>
      <c r="HT318" s="62">
        <f>$HT317+$HR318</f>
        <v/>
      </c>
      <c r="HU318" s="62">
        <f>SUMIFS(tblSafety[Hazard_Reports],tblSafety[Date],$A318)</f>
        <v/>
      </c>
      <c r="HV318" s="62">
        <f>IF($B318=$B317,$HV317,0)+$HU318</f>
        <v/>
      </c>
      <c r="HW318" s="62">
        <f>$HW317+$HU318</f>
        <v/>
      </c>
      <c r="HX318" s="62">
        <f>SUMIFS(tblSafety[HPI],tblSafety[Date],$A318)</f>
        <v/>
      </c>
      <c r="HY318" s="62">
        <f>IF($B318=$B317,$HY317,0)+$HX318</f>
        <v/>
      </c>
      <c r="HZ318" s="62">
        <f>$HZ317+$HX318</f>
        <v/>
      </c>
      <c r="IA318" s="62">
        <f>SUMIFS(tblSafety[Env_Incidents],tblSafety[Date],$A318)</f>
        <v/>
      </c>
      <c r="IB318" s="62">
        <f>IF($B318=$B317,$IB317,0)+$IA318</f>
        <v/>
      </c>
      <c r="IC318" s="62">
        <f>$IC317+$IA318</f>
        <v/>
      </c>
      <c r="ID318" s="62">
        <f>SUMIFS(tblSafety[Community_Incidents],tblSafety[Date],$A318)</f>
        <v/>
      </c>
      <c r="IE318" s="62">
        <f>IF($B318=$B317,$IE317,0)+$ID318</f>
        <v/>
      </c>
      <c r="IF318" s="62">
        <f>$IF317+$ID318</f>
        <v/>
      </c>
      <c r="IG318" s="62">
        <f>SUMIFS(tblSafety[Vehicle_Incidents],tblSafety[Date],$A318)</f>
        <v/>
      </c>
      <c r="IH318" s="62">
        <f>IF($B318=$B317,$IH317,0)+$IG318</f>
        <v/>
      </c>
      <c r="II318" s="62">
        <f>$II317+$IG318</f>
        <v/>
      </c>
      <c r="IJ318" s="62">
        <f>SUMIFS(tblSafety[Toolbox_Talks],tblSafety[Date],$A318)</f>
        <v/>
      </c>
      <c r="IK318" s="62">
        <f>IF($B318=$B317,$IK317,0)+$IJ318</f>
        <v/>
      </c>
      <c r="IL318" s="62">
        <f>$IL317+$IJ318</f>
        <v/>
      </c>
      <c r="IM318" s="62">
        <f>SUMIFS(tblSafety[Inspections],tblSafety[Date],$A318)</f>
        <v/>
      </c>
      <c r="IN318" s="62">
        <f>IF($B318=$B317,$IN317,0)+$IM318</f>
        <v/>
      </c>
      <c r="IO318" s="62">
        <f>$IO317+$IM318</f>
        <v/>
      </c>
      <c r="IP318" s="56">
        <f>IFERROR((SUMIFS(tblSafety[Recordables],tblSafety[Date],"&gt;="&amp;EDATE($E318,-12),tblSafety[Date],"&lt;="&amp;$A318)+SUMIFS(tblSafetyHistory[Recordables],tblSafetyHistory[Month],"&gt;="&amp;EDATE($E318,-12),tblSafetyHistory[Month],"&lt;"&amp;$E318,tblSafetyHistory[Use],1))/(SUMIFS(tblSafety[Hours_Total],tblSafety[Date],"&gt;="&amp;EDATE($E318,-12),tblSafety[Date],"&lt;="&amp;$A318)+SUMIFS(tblSafetyHistory[Hours_Total],tblSafetyHistory[Month],"&gt;="&amp;EDATE($E318,-12),tblSafetyHistory[Month],"&lt;"&amp;$E318,tblSafetyHistory[Use],1))*cfg_RateBasisHours,"")</f>
        <v/>
      </c>
      <c r="IQ318" s="56">
        <f>IFERROR((SUMIFS(tblSafety[LTI],tblSafety[Date],"&gt;="&amp;EDATE($E318,-12),tblSafety[Date],"&lt;="&amp;$A318)+SUMIFS(tblSafetyHistory[LTI],tblSafetyHistory[Month],"&gt;="&amp;EDATE($E318,-12),tblSafetyHistory[Month],"&lt;"&amp;$E318,tblSafetyHistory[Use],1))/(SUMIFS(tblSafety[Hours_Total],tblSafety[Date],"&gt;="&amp;EDATE($E318,-12),tblSafety[Date],"&lt;="&amp;$A318)+SUMIFS(tblSafetyHistory[Hours_Total],tblSafetyHistory[Month],"&gt;="&amp;EDATE($E318,-12),tblSafetyHistory[Month],"&lt;"&amp;$E318,tblSafetyHistory[Use],1))*cfg_RateBasisHours,"")</f>
        <v/>
      </c>
      <c r="IR318" s="62">
        <f>IF(MAX(N(cfg_PriorLTIDate),_xlfn.MAXIFS(tblSafety[Date],tblSafety[LTI],"&gt;0",tblSafety[Date],"&lt;="&amp;$A318))=0,"",$A318-MAX(N(cfg_PriorLTIDate),_xlfn.MAXIFS(tblSafety[Date],tblSafety[LTI],"&gt;0",tblSafety[Date],"&lt;="&amp;$A318)))</f>
        <v/>
      </c>
      <c r="IS318" s="55">
        <f>SUMIFS(tblBudget[Ore_Mined_t],tblBudget[Month],$E318)</f>
        <v/>
      </c>
      <c r="IT318" s="55">
        <f>$IS318*$C318/$D318</f>
        <v/>
      </c>
      <c r="IU318" s="55">
        <f>SUMIFS(tblBudget[Ore_Mined_t],tblBudget[Month],"&lt;"&amp;$E318)+$IT318</f>
        <v/>
      </c>
      <c r="IV318" s="55">
        <f>SUMIFS(tblBudget[Ore_oz],tblBudget[Month],$E318)</f>
        <v/>
      </c>
      <c r="IW318" s="55">
        <f>$IV318*$C318/$D318</f>
        <v/>
      </c>
      <c r="IX318" s="55">
        <f>SUMIFS(tblBudget[Ore_oz],tblBudget[Month],"&lt;"&amp;$E318)+$IW318</f>
        <v/>
      </c>
      <c r="IY318" s="55">
        <f>SUMIFS(tblBudget[Ore_Mined_t],tblBudget[Month],$E318)</f>
        <v/>
      </c>
      <c r="IZ318" s="55">
        <f>$IY318*$C318/$D318</f>
        <v/>
      </c>
      <c r="JA318" s="55">
        <f>SUMIFS(tblBudget[Ore_Mined_t],tblBudget[Month],"&lt;"&amp;$E318)+$IZ318</f>
        <v/>
      </c>
      <c r="JB318" s="56">
        <f>IFERROR(IF(($IY318)&gt;0,($IV318*cfg_TroyOz)/($IY318),""),"")</f>
        <v/>
      </c>
      <c r="JC318" s="56">
        <f>IFERROR(IF(($IZ318)&gt;0,($IW318*cfg_TroyOz)/($IZ318),""),"")</f>
        <v/>
      </c>
      <c r="JD318" s="56">
        <f>IFERROR(IF(($JA318)&gt;0,($IX318*cfg_TroyOz)/($JA318),""),"")</f>
        <v/>
      </c>
      <c r="JE318" s="55">
        <f>SUMIFS(tblBudget[Waste_t],tblBudget[Month],$E318)</f>
        <v/>
      </c>
      <c r="JF318" s="55">
        <f>$JE318*$C318/$D318</f>
        <v/>
      </c>
      <c r="JG318" s="55">
        <f>SUMIFS(tblBudget[Waste_t],tblBudget[Month],"&lt;"&amp;$E318)+$JF318</f>
        <v/>
      </c>
      <c r="JH318" s="55">
        <f>SUMIFS(tblBudget[TMM_t],tblBudget[Month],$E318)</f>
        <v/>
      </c>
      <c r="JI318" s="55">
        <f>$JH318*$C318/$D318</f>
        <v/>
      </c>
      <c r="JJ318" s="55">
        <f>SUMIFS(tblBudget[TMM_t],tblBudget[Month],"&lt;"&amp;$E318)+$JI318</f>
        <v/>
      </c>
      <c r="JK318" s="56">
        <f>IFERROR(IF(($IS318)&gt;0,($JE318)/($IS318),""),"")</f>
        <v/>
      </c>
      <c r="JL318" s="56">
        <f>IFERROR(IF(($IT318)&gt;0,($JF318)/($IT318),""),"")</f>
        <v/>
      </c>
      <c r="JM318" s="56">
        <f>IFERROR(IF(($IU318)&gt;0,($JG318)/($IU318),""),"")</f>
        <v/>
      </c>
      <c r="JN318" s="55">
        <f>SUMIFS(tblBudget[Drill_m],tblBudget[Month],$E318)</f>
        <v/>
      </c>
      <c r="JO318" s="55">
        <f>$JN318*$C318/$D318</f>
        <v/>
      </c>
      <c r="JP318" s="55">
        <f>SUMIFS(tblBudget[Drill_m],tblBudget[Month],"&lt;"&amp;$E318)+$JO318</f>
        <v/>
      </c>
      <c r="JQ318" s="55">
        <f>SUMIFS(tblBudget[Diesel_L],tblBudget[Month],$E318)</f>
        <v/>
      </c>
      <c r="JR318" s="55">
        <f>$JQ318*$C318/$D318</f>
        <v/>
      </c>
      <c r="JS318" s="55">
        <f>SUMIFS(tblBudget[Diesel_L],tblBudget[Month],"&lt;"&amp;$E318)+$JR318</f>
        <v/>
      </c>
      <c r="JT318" s="55">
        <f>SUMIFS(tblBudget[Milled_t],tblBudget[Month],$E318)</f>
        <v/>
      </c>
      <c r="JU318" s="55">
        <f>$JT318*$C318/$D318</f>
        <v/>
      </c>
      <c r="JV318" s="55">
        <f>SUMIFS(tblBudget[Milled_t],tblBudget[Month],"&lt;"&amp;$E318)+$JU318</f>
        <v/>
      </c>
      <c r="JW318" s="55">
        <f>SUMIFS(tblBudget[Feed_oz],tblBudget[Month],$E318)</f>
        <v/>
      </c>
      <c r="JX318" s="55">
        <f>$JW318*$C318/$D318</f>
        <v/>
      </c>
      <c r="JY318" s="55">
        <f>SUMIFS(tblBudget[Feed_oz],tblBudget[Month],"&lt;"&amp;$E318)+$JX318</f>
        <v/>
      </c>
      <c r="JZ318" s="55">
        <f>SUMIFS(tblBudget[Recovered_oz],tblBudget[Month],$E318)</f>
        <v/>
      </c>
      <c r="KA318" s="55">
        <f>$JZ318*$C318/$D318</f>
        <v/>
      </c>
      <c r="KB318" s="55">
        <f>SUMIFS(tblBudget[Recovered_oz],tblBudget[Month],"&lt;"&amp;$E318)+$KA318</f>
        <v/>
      </c>
      <c r="KC318" s="55">
        <f>SUMIFS(tblBudget[Milled_t],tblBudget[Month],$E318)</f>
        <v/>
      </c>
      <c r="KD318" s="55">
        <f>$KC318*$C318/$D318</f>
        <v/>
      </c>
      <c r="KE318" s="55">
        <f>SUMIFS(tblBudget[Milled_t],tblBudget[Month],"&lt;"&amp;$E318)+$KD318</f>
        <v/>
      </c>
      <c r="KF318" s="55">
        <f>SUMIFS(tblBudget[Feed_oz],tblBudget[Month],$E318)</f>
        <v/>
      </c>
      <c r="KG318" s="55">
        <f>$KF318*$C318/$D318</f>
        <v/>
      </c>
      <c r="KH318" s="55">
        <f>SUMIFS(tblBudget[Feed_oz],tblBudget[Month],"&lt;"&amp;$E318)+$KG318</f>
        <v/>
      </c>
      <c r="KI318" s="56">
        <f>IFERROR(IF(($KC318)&gt;0,($JW318*cfg_TroyOz)/($KC318),""),"")</f>
        <v/>
      </c>
      <c r="KJ318" s="56">
        <f>IFERROR(IF(($KD318)&gt;0,($JX318*cfg_TroyOz)/($KD318),""),"")</f>
        <v/>
      </c>
      <c r="KK318" s="56">
        <f>IFERROR(IF(($KE318)&gt;0,($JY318*cfg_TroyOz)/($KE318),""),"")</f>
        <v/>
      </c>
      <c r="KL318" s="67">
        <f>IFERROR(IF(($KF318)&gt;0,($JZ318)/($KF318),""),"")</f>
        <v/>
      </c>
      <c r="KM318" s="67">
        <f>IFERROR(IF(($KG318)&gt;0,($KA318)/($KG318),""),"")</f>
        <v/>
      </c>
      <c r="KN318" s="67">
        <f>IFERROR(IF(($KH318)&gt;0,($KB318)/($KH318),""),"")</f>
        <v/>
      </c>
      <c r="KO318" s="55">
        <f>SUMIFS(tblBudget[Gold_Poured_oz],tblBudget[Month],$E318)</f>
        <v/>
      </c>
      <c r="KP318" s="55">
        <f>$KO318*$C318/$D318</f>
        <v/>
      </c>
      <c r="KQ318" s="55">
        <f>SUMIFS(tblBudget[Gold_Poured_oz],tblBudget[Month],"&lt;"&amp;$E318)+$KP318</f>
        <v/>
      </c>
      <c r="KR318" s="57">
        <f>SUMIFS(tblBudget[Hours_Worked],tblBudget[Month],$E318)</f>
        <v/>
      </c>
      <c r="KS318" s="57">
        <f>$KR318*$C318/$D318</f>
        <v/>
      </c>
      <c r="KT318" s="57">
        <f>SUMIFS(tblBudget[Hours_Worked],tblBudget[Month],"&lt;"&amp;$E318)+$KS318</f>
        <v/>
      </c>
    </row>
    <row r="319">
      <c r="A319" s="54" t="n">
        <v>46340</v>
      </c>
      <c r="B319">
        <f>MONTH($A319)</f>
        <v/>
      </c>
      <c r="C319">
        <f>DAY($A319)</f>
        <v/>
      </c>
      <c r="D319">
        <f>DAY(EOMONTH($A319,0))</f>
        <v/>
      </c>
      <c r="E319" s="54">
        <f>DATE(YEAR($A319),MONTH($A319),1)</f>
        <v/>
      </c>
      <c r="F319" s="55">
        <f>SUMIFS(tblMovement[Tonnes_t],tblMovement[Date],$A319,tblMovement[Is_Ore],1,tblMovement[Source_Type],"Pit")</f>
        <v/>
      </c>
      <c r="G319" s="55">
        <f>IF($B319=$B318,$G318,0)+$F319</f>
        <v/>
      </c>
      <c r="H319" s="55">
        <f>$H318+$F319</f>
        <v/>
      </c>
      <c r="I319" s="55">
        <f>SUMIFS(tblMovement[Ore_oz],tblMovement[Date],$A319,tblMovement[Source_Type],"Pit")</f>
        <v/>
      </c>
      <c r="J319" s="55">
        <f>IF($B319=$B318,$J318,0)+$I319</f>
        <v/>
      </c>
      <c r="K319" s="55">
        <f>$K318+$I319</f>
        <v/>
      </c>
      <c r="L319" s="55">
        <f>SUMIFS(tblMovement[Tonnes_t],tblMovement[Date],$A319,tblMovement[Is_Ore],1,tblMovement[Source_Type],"Pit",tblMovement[Grade_gpt],"&lt;&gt;")</f>
        <v/>
      </c>
      <c r="M319" s="55">
        <f>IF($B319=$B318,$M318,0)+$L319</f>
        <v/>
      </c>
      <c r="N319" s="55">
        <f>$N318+$L319</f>
        <v/>
      </c>
      <c r="O319" s="56">
        <f>IFERROR(IF(($L319)&gt;0,($I319*cfg_TroyOz)/($L319),""),"")</f>
        <v/>
      </c>
      <c r="P319" s="56">
        <f>IFERROR(IF(($M319)&gt;0,($J319*cfg_TroyOz)/($M319),""),"")</f>
        <v/>
      </c>
      <c r="Q319" s="56">
        <f>IFERROR(IF(($N319)&gt;0,($K319*cfg_TroyOz)/($N319),""),"")</f>
        <v/>
      </c>
      <c r="R319" s="55">
        <f>$F319-$L319</f>
        <v/>
      </c>
      <c r="S319" s="55">
        <f>IF($B319=$B318,$S318,0)+$R319</f>
        <v/>
      </c>
      <c r="T319" s="55">
        <f>$T318+$R319</f>
        <v/>
      </c>
      <c r="U319" s="55">
        <f>SUMIFS(tblMovement[Tonnes_t],tblMovement[Date],$A319,tblMovement[Is_Ore],0,tblMovement[Source_Type],"Pit")</f>
        <v/>
      </c>
      <c r="V319" s="55">
        <f>IF($B319=$B318,$V318,0)+$U319</f>
        <v/>
      </c>
      <c r="W319" s="55">
        <f>$W318+$U319</f>
        <v/>
      </c>
      <c r="X319" s="55">
        <f>$F319+$U319</f>
        <v/>
      </c>
      <c r="Y319" s="55">
        <f>IF($B319=$B318,$Y318,0)+$X319</f>
        <v/>
      </c>
      <c r="Z319" s="55">
        <f>$Z318+$X319</f>
        <v/>
      </c>
      <c r="AA319" s="56">
        <f>IFERROR(IF(($F319)&gt;0,($U319)/($F319),""),"")</f>
        <v/>
      </c>
      <c r="AB319" s="56">
        <f>IFERROR(IF(($G319)&gt;0,($V319)/($G319),""),"")</f>
        <v/>
      </c>
      <c r="AC319" s="56">
        <f>IFERROR(IF(($H319)&gt;0,($W319)/($H319),""),"")</f>
        <v/>
      </c>
      <c r="AD319" s="55">
        <f>SUMIFS(tblMovement[Tonnes_t],tblMovement[Date],$A319,tblMovement[Source_Type],"Stockpile")</f>
        <v/>
      </c>
      <c r="AE319" s="55">
        <f>IF($B319=$B318,$AE318,0)+$AD319</f>
        <v/>
      </c>
      <c r="AF319" s="55">
        <f>$AF318+$AD319</f>
        <v/>
      </c>
      <c r="AG319" s="55">
        <f>SUMIFS(tblMovement[Tonnes_t],tblMovement[Date],$A319)</f>
        <v/>
      </c>
      <c r="AH319" s="55">
        <f>IF($B319=$B318,$AH318,0)+$AG319</f>
        <v/>
      </c>
      <c r="AI319" s="55">
        <f>$AI318+$AG319</f>
        <v/>
      </c>
      <c r="AJ319" s="55">
        <f>$AG319-$X319-$AD319</f>
        <v/>
      </c>
      <c r="AK319" s="55">
        <f>IF($B319=$B318,$AK318,0)+$AJ319</f>
        <v/>
      </c>
      <c r="AL319" s="55">
        <f>$AL318+$AJ319</f>
        <v/>
      </c>
      <c r="AM319" s="55">
        <f>SUMIFS(tblMiningDaily[Drill_m],tblMiningDaily[Date],$A319)</f>
        <v/>
      </c>
      <c r="AN319" s="55">
        <f>IF($B319=$B318,$AN318,0)+$AM319</f>
        <v/>
      </c>
      <c r="AO319" s="55">
        <f>$AO318+$AM319</f>
        <v/>
      </c>
      <c r="AP319" s="55">
        <f>SUMIFS(tblMiningDaily[GC_Drill_m],tblMiningDaily[Date],$A319)</f>
        <v/>
      </c>
      <c r="AQ319" s="55">
        <f>IF($B319=$B318,$AQ318,0)+$AP319</f>
        <v/>
      </c>
      <c r="AR319" s="55">
        <f>$AR318+$AP319</f>
        <v/>
      </c>
      <c r="AS319" s="55">
        <f>SUMIFS(tblMiningDaily[Blast_t],tblMiningDaily[Date],$A319)</f>
        <v/>
      </c>
      <c r="AT319" s="55">
        <f>IF($B319=$B318,$AT318,0)+$AS319</f>
        <v/>
      </c>
      <c r="AU319" s="55">
        <f>$AU318+$AS319</f>
        <v/>
      </c>
      <c r="AV319" s="55">
        <f>SUMIFS(tblMiningDaily[Explosives_kg],tblMiningDaily[Date],$A319)</f>
        <v/>
      </c>
      <c r="AW319" s="55">
        <f>IF($B319=$B318,$AW318,0)+$AV319</f>
        <v/>
      </c>
      <c r="AX319" s="55">
        <f>$AX318+$AV319</f>
        <v/>
      </c>
      <c r="AY319" s="56">
        <f>IFERROR(IF(($AS319)&gt;0,($AV319)/($AS319),""),"")</f>
        <v/>
      </c>
      <c r="AZ319" s="56">
        <f>IFERROR(IF(($AT319)&gt;0,($AW319)/($AT319),""),"")</f>
        <v/>
      </c>
      <c r="BA319" s="56">
        <f>IFERROR(IF(($AU319)&gt;0,($AX319)/($AU319),""),"")</f>
        <v/>
      </c>
      <c r="BB319" s="55">
        <f>SUMIFS(tblMiningDaily[Diesel_L],tblMiningDaily[Date],$A319)</f>
        <v/>
      </c>
      <c r="BC319" s="55">
        <f>IF($B319=$B318,$BC318,0)+$BB319</f>
        <v/>
      </c>
      <c r="BD319" s="55">
        <f>$BD318+$BB319</f>
        <v/>
      </c>
      <c r="BE319" s="55">
        <f>SUMIFS(tblMiningDaily[Dewatering_m3],tblMiningDaily[Date],$A319)</f>
        <v/>
      </c>
      <c r="BF319" s="55">
        <f>IF($B319=$B318,$BF318,0)+$BE319</f>
        <v/>
      </c>
      <c r="BG319" s="55">
        <f>$BG318+$BE319</f>
        <v/>
      </c>
      <c r="BH319" s="57">
        <f>SUMIFS(tblFleet[Calendar_h],tblFleet[Date],$A319,tblFleet[Equipment_Class],"Excavator")</f>
        <v/>
      </c>
      <c r="BI319" s="57">
        <f>IF($B319=$B318,$BI318,0)+$BH319</f>
        <v/>
      </c>
      <c r="BJ319" s="57">
        <f>$BJ318+$BH319</f>
        <v/>
      </c>
      <c r="BK319" s="57">
        <f>SUMIFS(tblFleet[Available_h],tblFleet[Date],$A319,tblFleet[Equipment_Class],"Excavator")</f>
        <v/>
      </c>
      <c r="BL319" s="57">
        <f>IF($B319=$B318,$BL318,0)+$BK319</f>
        <v/>
      </c>
      <c r="BM319" s="57">
        <f>$BM318+$BK319</f>
        <v/>
      </c>
      <c r="BN319" s="57">
        <f>SUMIFS(tblFleet[Operating_h],tblFleet[Date],$A319,tblFleet[Equipment_Class],"Excavator")</f>
        <v/>
      </c>
      <c r="BO319" s="57">
        <f>IF($B319=$B318,$BO318,0)+$BN319</f>
        <v/>
      </c>
      <c r="BP319" s="57">
        <f>$BP318+$BN319</f>
        <v/>
      </c>
      <c r="BQ319" s="67">
        <f>IFERROR(IF(($BH319)&gt;0,($BK319)/($BH319),""),"")</f>
        <v/>
      </c>
      <c r="BR319" s="67">
        <f>IFERROR(IF(($BI319)&gt;0,($BL319)/($BI319),""),"")</f>
        <v/>
      </c>
      <c r="BS319" s="67">
        <f>IFERROR(IF(($BJ319)&gt;0,($BM319)/($BJ319),""),"")</f>
        <v/>
      </c>
      <c r="BT319" s="67">
        <f>IFERROR(IF(($BK319)&gt;0,($BN319)/($BK319),""),"")</f>
        <v/>
      </c>
      <c r="BU319" s="67">
        <f>IFERROR(IF(($BL319)&gt;0,($BO319)/($BL319),""),"")</f>
        <v/>
      </c>
      <c r="BV319" s="67">
        <f>IFERROR(IF(($BM319)&gt;0,($BP319)/($BM319),""),"")</f>
        <v/>
      </c>
      <c r="BW319" s="57">
        <f>SUMIFS(tblFleet[Calendar_h],tblFleet[Date],$A319,tblFleet[Equipment_Class],"Haul Truck")</f>
        <v/>
      </c>
      <c r="BX319" s="57">
        <f>IF($B319=$B318,$BX318,0)+$BW319</f>
        <v/>
      </c>
      <c r="BY319" s="57">
        <f>$BY318+$BW319</f>
        <v/>
      </c>
      <c r="BZ319" s="57">
        <f>SUMIFS(tblFleet[Available_h],tblFleet[Date],$A319,tblFleet[Equipment_Class],"Haul Truck")</f>
        <v/>
      </c>
      <c r="CA319" s="57">
        <f>IF($B319=$B318,$CA318,0)+$BZ319</f>
        <v/>
      </c>
      <c r="CB319" s="57">
        <f>$CB318+$BZ319</f>
        <v/>
      </c>
      <c r="CC319" s="57">
        <f>SUMIFS(tblFleet[Operating_h],tblFleet[Date],$A319,tblFleet[Equipment_Class],"Haul Truck")</f>
        <v/>
      </c>
      <c r="CD319" s="57">
        <f>IF($B319=$B318,$CD318,0)+$CC319</f>
        <v/>
      </c>
      <c r="CE319" s="57">
        <f>$CE318+$CC319</f>
        <v/>
      </c>
      <c r="CF319" s="67">
        <f>IFERROR(IF(($BW319)&gt;0,($BZ319)/($BW319),""),"")</f>
        <v/>
      </c>
      <c r="CG319" s="67">
        <f>IFERROR(IF(($BX319)&gt;0,($CA319)/($BX319),""),"")</f>
        <v/>
      </c>
      <c r="CH319" s="67">
        <f>IFERROR(IF(($BY319)&gt;0,($CB319)/($BY319),""),"")</f>
        <v/>
      </c>
      <c r="CI319" s="67">
        <f>IFERROR(IF(($BZ319)&gt;0,($CC319)/($BZ319),""),"")</f>
        <v/>
      </c>
      <c r="CJ319" s="67">
        <f>IFERROR(IF(($CA319)&gt;0,($CD319)/($CA319),""),"")</f>
        <v/>
      </c>
      <c r="CK319" s="67">
        <f>IFERROR(IF(($CB319)&gt;0,($CE319)/($CB319),""),"")</f>
        <v/>
      </c>
      <c r="CL319" s="55">
        <f>IFERROR(IF(($BN319)&gt;0,($X319+$AD319)/($BN319),""),"")</f>
        <v/>
      </c>
      <c r="CM319" s="55">
        <f>IFERROR(IF(($BO319)&gt;0,($Y319+$AE319)/($BO319),""),"")</f>
        <v/>
      </c>
      <c r="CN319" s="55">
        <f>IFERROR(IF(($BP319)&gt;0,($Z319+$AF319)/($BP319),""),"")</f>
        <v/>
      </c>
      <c r="CO319" s="55">
        <f>IFERROR(IF(($CC319)&gt;0,($X319+$AD319)/($CC319),""),"")</f>
        <v/>
      </c>
      <c r="CP319" s="55">
        <f>IFERROR(IF(($CD319)&gt;0,($Y319+$AE319)/($CD319),""),"")</f>
        <v/>
      </c>
      <c r="CQ319" s="55">
        <f>IFERROR(IF(($CE319)&gt;0,($Z319+$AF319)/($CE319),""),"")</f>
        <v/>
      </c>
      <c r="CR319" s="55">
        <f>SUMIFS(tblPlant[Crushed_t],tblPlant[Date],$A319)</f>
        <v/>
      </c>
      <c r="CS319" s="55">
        <f>IF($B319=$B318,$CS318,0)+$CR319</f>
        <v/>
      </c>
      <c r="CT319" s="55">
        <f>$CT318+$CR319</f>
        <v/>
      </c>
      <c r="CU319" s="55">
        <f>SUMIFS(tblPlant[Milled_t],tblPlant[Date],$A319)</f>
        <v/>
      </c>
      <c r="CV319" s="55">
        <f>IF($B319=$B318,$CV318,0)+$CU319</f>
        <v/>
      </c>
      <c r="CW319" s="55">
        <f>$CW318+$CU319</f>
        <v/>
      </c>
      <c r="CX319" s="55">
        <f>SUMIFS(tblPlant[Feed_oz],tblPlant[Date],$A319)</f>
        <v/>
      </c>
      <c r="CY319" s="55">
        <f>IF($B319=$B318,$CY318,0)+$CX319</f>
        <v/>
      </c>
      <c r="CZ319" s="55">
        <f>$CZ318+$CX319</f>
        <v/>
      </c>
      <c r="DA319" s="55">
        <f>SUMIFS(tblPlant[Tails_oz],tblPlant[Date],$A319)</f>
        <v/>
      </c>
      <c r="DB319" s="55">
        <f>IF($B319=$B318,$DB318,0)+$DA319</f>
        <v/>
      </c>
      <c r="DC319" s="55">
        <f>$DC318+$DA319</f>
        <v/>
      </c>
      <c r="DD319" s="55">
        <f>SUMIFS(tblPlant[Recovered_oz],tblPlant[Date],$A319)</f>
        <v/>
      </c>
      <c r="DE319" s="55">
        <f>IF($B319=$B318,$DE318,0)+$DD319</f>
        <v/>
      </c>
      <c r="DF319" s="55">
        <f>$DF318+$DD319</f>
        <v/>
      </c>
      <c r="DG319" s="55">
        <f>SUMIFS(tblPlant[Milled_t],tblPlant[Date],$A319,tblPlant[Head_Grade_gpt],"&lt;&gt;")</f>
        <v/>
      </c>
      <c r="DH319" s="55">
        <f>IF($B319=$B318,$DH318,0)+$DG319</f>
        <v/>
      </c>
      <c r="DI319" s="55">
        <f>$DI318+$DG319</f>
        <v/>
      </c>
      <c r="DJ319" s="55">
        <f>SUMIFS(tblPlant[Milled_t],tblPlant[Date],$A319,tblPlant[Tails_Grade_gpt],"&lt;&gt;")</f>
        <v/>
      </c>
      <c r="DK319" s="55">
        <f>IF($B319=$B318,$DK318,0)+$DJ319</f>
        <v/>
      </c>
      <c r="DL319" s="55">
        <f>$DL318+$DJ319</f>
        <v/>
      </c>
      <c r="DM319" s="55">
        <f>SUMIFS(tblPlant[Feed_oz],tblPlant[Date],$A319,tblPlant[Tails_Grade_gpt],"&lt;&gt;")</f>
        <v/>
      </c>
      <c r="DN319" s="55">
        <f>IF($B319=$B318,$DN318,0)+$DM319</f>
        <v/>
      </c>
      <c r="DO319" s="55">
        <f>$DO318+$DM319</f>
        <v/>
      </c>
      <c r="DP319" s="55">
        <f>SUMIFS(tblPlant[Milled_t],tblPlant[Date],$A319,tblPlant[Mill_Run_h],"&lt;&gt;")</f>
        <v/>
      </c>
      <c r="DQ319" s="55">
        <f>IF($B319=$B318,$DQ318,0)+$DP319</f>
        <v/>
      </c>
      <c r="DR319" s="55">
        <f>$DR318+$DP319</f>
        <v/>
      </c>
      <c r="DS319" s="56">
        <f>IFERROR(IF(($DG319)&gt;0,($CX319*cfg_TroyOz)/($DG319),""),"")</f>
        <v/>
      </c>
      <c r="DT319" s="56">
        <f>IFERROR(IF(($DH319)&gt;0,($CY319*cfg_TroyOz)/($DH319),""),"")</f>
        <v/>
      </c>
      <c r="DU319" s="56">
        <f>IFERROR(IF(($DI319)&gt;0,($CZ319*cfg_TroyOz)/($DI319),""),"")</f>
        <v/>
      </c>
      <c r="DV319" s="56">
        <f>IFERROR(IF(($DJ319)&gt;0,($DA319*cfg_TroyOz)/($DJ319),""),"")</f>
        <v/>
      </c>
      <c r="DW319" s="56">
        <f>IFERROR(IF(($DK319)&gt;0,($DB319*cfg_TroyOz)/($DK319),""),"")</f>
        <v/>
      </c>
      <c r="DX319" s="56">
        <f>IFERROR(IF(($DL319)&gt;0,($DC319*cfg_TroyOz)/($DL319),""),"")</f>
        <v/>
      </c>
      <c r="DY319" s="67">
        <f>IFERROR(IF(($DM319)&gt;0,($DD319)/($DM319),""),"")</f>
        <v/>
      </c>
      <c r="DZ319" s="67">
        <f>IFERROR(IF(($DN319)&gt;0,($DE319)/($DN319),""),"")</f>
        <v/>
      </c>
      <c r="EA319" s="67">
        <f>IFERROR(IF(($DO319)&gt;0,($DF319)/($DO319),""),"")</f>
        <v/>
      </c>
      <c r="EB319" s="55">
        <f>SUMIFS(tblPlant[Gravity_Gold_oz],tblPlant[Date],$A319)</f>
        <v/>
      </c>
      <c r="EC319" s="55">
        <f>IF($B319=$B318,$EC318,0)+$EB319</f>
        <v/>
      </c>
      <c r="ED319" s="55">
        <f>$ED318+$EB319</f>
        <v/>
      </c>
      <c r="EE319" s="67">
        <f>IFERROR(IF(($DD319)&gt;0,($EB319)/($DD319),""),"")</f>
        <v/>
      </c>
      <c r="EF319" s="67">
        <f>IFERROR(IF(($DE319)&gt;0,($EC319)/($DE319),""),"")</f>
        <v/>
      </c>
      <c r="EG319" s="67">
        <f>IFERROR(IF(($DF319)&gt;0,($ED319)/($DF319),""),"")</f>
        <v/>
      </c>
      <c r="EH319" s="55">
        <f>SUMIFS(tblPlant[Gold_Poured_oz],tblPlant[Date],$A319)</f>
        <v/>
      </c>
      <c r="EI319" s="55">
        <f>IF($B319=$B318,$EI318,0)+$EH319</f>
        <v/>
      </c>
      <c r="EJ319" s="55">
        <f>$EJ318+$EH319</f>
        <v/>
      </c>
      <c r="EK319" s="57">
        <f>SUMIFS(tblPlant[Mill_Run_h],tblPlant[Date],$A319)</f>
        <v/>
      </c>
      <c r="EL319" s="57">
        <f>IF($B319=$B318,$EL318,0)+$EK319</f>
        <v/>
      </c>
      <c r="EM319" s="57">
        <f>$EM318+$EK319</f>
        <v/>
      </c>
      <c r="EN319" s="57">
        <f>SUMIFS(tblPlant[Mill_Planned_Maint_h],tblPlant[Date],$A319)</f>
        <v/>
      </c>
      <c r="EO319" s="57">
        <f>IF($B319=$B318,$EO318,0)+$EN319</f>
        <v/>
      </c>
      <c r="EP319" s="57">
        <f>$EP318+$EN319</f>
        <v/>
      </c>
      <c r="EQ319" s="57">
        <f>SUMIFS(tblPlant[Mill_Unplanned_Down_h],tblPlant[Date],$A319)</f>
        <v/>
      </c>
      <c r="ER319" s="57">
        <f>IF($B319=$B318,$ER318,0)+$EQ319</f>
        <v/>
      </c>
      <c r="ES319" s="57">
        <f>$ES318+$EQ319</f>
        <v/>
      </c>
      <c r="ET319" s="57">
        <f>IF(COUNTIFS(tblPlant[Date],$A319,tblPlant[Mill_Run_h],"&lt;&gt;")+COUNTIFS(tblPlant[Date],$A319,tblPlant[Mill_Planned_Maint_h],"&lt;&gt;")+COUNTIFS(tblPlant[Date],$A319,tblPlant[Mill_Unplanned_Down_h],"&lt;&gt;")&gt;0,cfg_HoursPerDay,0)</f>
        <v/>
      </c>
      <c r="EU319" s="57">
        <f>IF($B319=$B318,$EU318,0)+$ET319</f>
        <v/>
      </c>
      <c r="EV319" s="57">
        <f>$EV318+$ET319</f>
        <v/>
      </c>
      <c r="EW319" s="57">
        <f>SUMIFS(tblPlant[Crusher_Run_h],tblPlant[Date],$A319)</f>
        <v/>
      </c>
      <c r="EX319" s="57">
        <f>IF($B319=$B318,$EX318,0)+$EW319</f>
        <v/>
      </c>
      <c r="EY319" s="57">
        <f>$EY318+$EW319</f>
        <v/>
      </c>
      <c r="EZ319" s="55">
        <f>IFERROR(IF(($EK319)&gt;0,($DP319)/($EK319),""),"")</f>
        <v/>
      </c>
      <c r="FA319" s="55">
        <f>IFERROR(IF(($EL319)&gt;0,($DQ319)/($EL319),""),"")</f>
        <v/>
      </c>
      <c r="FB319" s="55">
        <f>IFERROR(IF(($EM319)&gt;0,($DR319)/($EM319),""),"")</f>
        <v/>
      </c>
      <c r="FC319" s="67">
        <f>IFERROR(IF(($ET319)&gt;0,($ET319-$EN319-$EQ319)/($ET319),""),"")</f>
        <v/>
      </c>
      <c r="FD319" s="67">
        <f>IFERROR(IF(($EU319)&gt;0,($EU319-$EO319-$ER319)/($EU319),""),"")</f>
        <v/>
      </c>
      <c r="FE319" s="67">
        <f>IFERROR(IF(($EV319)&gt;0,($EV319-$EP319-$ES319)/($EV319),""),"")</f>
        <v/>
      </c>
      <c r="FF319" s="67">
        <f>IFERROR(IF(($ET319-$EN319-$EQ319)&gt;0,($EK319)/($ET319-$EN319-$EQ319),""),"")</f>
        <v/>
      </c>
      <c r="FG319" s="67">
        <f>IFERROR(IF(($EU319-$EO319-$ER319)&gt;0,($EL319)/($EU319-$EO319-$ER319),""),"")</f>
        <v/>
      </c>
      <c r="FH319" s="67">
        <f>IFERROR(IF(($EV319-$EP319-$ES319)&gt;0,($EM319)/($EV319-$EP319-$ES319),""),"")</f>
        <v/>
      </c>
      <c r="FI319" s="55">
        <f>SUMIFS(tblPlant[Cyanide_kg],tblPlant[Date],$A319)</f>
        <v/>
      </c>
      <c r="FJ319" s="55">
        <f>IF($B319=$B318,$FJ318,0)+$FI319</f>
        <v/>
      </c>
      <c r="FK319" s="55">
        <f>$FK318+$FI319</f>
        <v/>
      </c>
      <c r="FL319" s="55">
        <f>SUMIFS(tblPlant[Lime_kg],tblPlant[Date],$A319)</f>
        <v/>
      </c>
      <c r="FM319" s="55">
        <f>IF($B319=$B318,$FM318,0)+$FL319</f>
        <v/>
      </c>
      <c r="FN319" s="55">
        <f>$FN318+$FL319</f>
        <v/>
      </c>
      <c r="FO319" s="55">
        <f>SUMIFS(tblPlant[Grinding_Media_kg],tblPlant[Date],$A319)</f>
        <v/>
      </c>
      <c r="FP319" s="55">
        <f>IF($B319=$B318,$FP318,0)+$FO319</f>
        <v/>
      </c>
      <c r="FQ319" s="55">
        <f>$FQ318+$FO319</f>
        <v/>
      </c>
      <c r="FR319" s="55">
        <f>SUMIFS(tblPlant[Power_kWh],tblPlant[Date],$A319)</f>
        <v/>
      </c>
      <c r="FS319" s="55">
        <f>IF($B319=$B318,$FS318,0)+$FR319</f>
        <v/>
      </c>
      <c r="FT319" s="55">
        <f>$FT318+$FR319</f>
        <v/>
      </c>
      <c r="FU319" s="55">
        <f>SUMIFS(tblPlant[Raw_Water_m3],tblPlant[Date],$A319)</f>
        <v/>
      </c>
      <c r="FV319" s="55">
        <f>IF($B319=$B318,$FV318,0)+$FU319</f>
        <v/>
      </c>
      <c r="FW319" s="55">
        <f>$FW318+$FU319</f>
        <v/>
      </c>
      <c r="FX319" s="56">
        <f>IFERROR(IF(($CU319)&gt;0,($FI319)/($CU319),""),"")</f>
        <v/>
      </c>
      <c r="FY319" s="56">
        <f>IFERROR(IF(($CV319)&gt;0,($FJ319)/($CV319),""),"")</f>
        <v/>
      </c>
      <c r="FZ319" s="56">
        <f>IFERROR(IF(($CW319)&gt;0,($FK319)/($CW319),""),"")</f>
        <v/>
      </c>
      <c r="GA319" s="56">
        <f>IFERROR(IF(($CU319)&gt;0,($FL319)/($CU319),""),"")</f>
        <v/>
      </c>
      <c r="GB319" s="56">
        <f>IFERROR(IF(($CV319)&gt;0,($FM319)/($CV319),""),"")</f>
        <v/>
      </c>
      <c r="GC319" s="56">
        <f>IFERROR(IF(($CW319)&gt;0,($FN319)/($CW319),""),"")</f>
        <v/>
      </c>
      <c r="GD319" s="56">
        <f>IFERROR(IF(($CU319)&gt;0,($FO319)/($CU319),""),"")</f>
        <v/>
      </c>
      <c r="GE319" s="56">
        <f>IFERROR(IF(($CV319)&gt;0,($FP319)/($CV319),""),"")</f>
        <v/>
      </c>
      <c r="GF319" s="56">
        <f>IFERROR(IF(($CW319)&gt;0,($FQ319)/($CW319),""),"")</f>
        <v/>
      </c>
      <c r="GG319" s="79">
        <f>IFERROR(IF(($CU319)&gt;0,($FR319)/($CU319),""),"")</f>
        <v/>
      </c>
      <c r="GH319" s="79">
        <f>IFERROR(IF(($CV319)&gt;0,($FS319)/($CV319),""),"")</f>
        <v/>
      </c>
      <c r="GI319" s="79">
        <f>IFERROR(IF(($CW319)&gt;0,($FT319)/($CW319),""),"")</f>
        <v/>
      </c>
      <c r="GJ319" s="56">
        <f>IFERROR(IF(($CU319)&gt;0,($FU319)/($CU319),""),"")</f>
        <v/>
      </c>
      <c r="GK319" s="56">
        <f>IFERROR(IF(($CV319)&gt;0,($FV319)/($CV319),""),"")</f>
        <v/>
      </c>
      <c r="GL319" s="56">
        <f>IFERROR(IF(($CW319)&gt;0,($FW319)/($CW319),""),"")</f>
        <v/>
      </c>
      <c r="GM319" s="55">
        <f>IF(SUMIFS(tblPlant[GIC_oz],tblPlant[Date],$A319)&gt;0,SUMIFS(tblPlant[GIC_oz],tblPlant[Date],$A319),"")</f>
        <v/>
      </c>
      <c r="GN319" s="55">
        <f>SUMIFS(tblGold[Gold_oz],tblGold[Date],$A319,tblGold[Type],"Shipment")</f>
        <v/>
      </c>
      <c r="GO319" s="55">
        <f>IF($B319=$B318,$GO318,0)+$GN319</f>
        <v/>
      </c>
      <c r="GP319" s="55">
        <f>$GP318+$GN319</f>
        <v/>
      </c>
      <c r="GQ319" s="55">
        <f>SUMIFS(tblGold[Gold_oz],tblGold[Date],$A319,tblGold[Type],"Sale")</f>
        <v/>
      </c>
      <c r="GR319" s="55">
        <f>IF($B319=$B318,$GR318,0)+$GQ319</f>
        <v/>
      </c>
      <c r="GS319" s="55">
        <f>$GS318+$GQ319</f>
        <v/>
      </c>
      <c r="GT319" s="55">
        <f>SUMIFS(tblGold[Dore_kg],tblGold[Date],$A319,tblGold[Type],"Shipment")</f>
        <v/>
      </c>
      <c r="GU319" s="55">
        <f>IF($B319=$B318,$GU318,0)+$GT319</f>
        <v/>
      </c>
      <c r="GV319" s="55">
        <f>$GV318+$GT319</f>
        <v/>
      </c>
      <c r="GW319" s="57">
        <f>SUMIFS(tblSafety[Hours_Total],tblSafety[Date],$A319)</f>
        <v/>
      </c>
      <c r="GX319" s="57">
        <f>IF($B319=$B318,$GX318,0)+$GW319</f>
        <v/>
      </c>
      <c r="GY319" s="57">
        <f>$GY318+$GW319</f>
        <v/>
      </c>
      <c r="GZ319" s="62">
        <f>SUMIFS(tblSafety[Fatality],tblSafety[Date],$A319)</f>
        <v/>
      </c>
      <c r="HA319" s="62">
        <f>IF($B319=$B318,$HA318,0)+$GZ319</f>
        <v/>
      </c>
      <c r="HB319" s="62">
        <f>$HB318+$GZ319</f>
        <v/>
      </c>
      <c r="HC319" s="62">
        <f>SUMIFS(tblSafety[LTI],tblSafety[Date],$A319)</f>
        <v/>
      </c>
      <c r="HD319" s="62">
        <f>IF($B319=$B318,$HD318,0)+$HC319</f>
        <v/>
      </c>
      <c r="HE319" s="62">
        <f>$HE318+$HC319</f>
        <v/>
      </c>
      <c r="HF319" s="62">
        <f>SUMIFS(tblSafety[RWI],tblSafety[Date],$A319)</f>
        <v/>
      </c>
      <c r="HG319" s="62">
        <f>IF($B319=$B318,$HG318,0)+$HF319</f>
        <v/>
      </c>
      <c r="HH319" s="62">
        <f>$HH318+$HF319</f>
        <v/>
      </c>
      <c r="HI319" s="62">
        <f>SUMIFS(tblSafety[MTI],tblSafety[Date],$A319)</f>
        <v/>
      </c>
      <c r="HJ319" s="62">
        <f>IF($B319=$B318,$HJ318,0)+$HI319</f>
        <v/>
      </c>
      <c r="HK319" s="62">
        <f>$HK318+$HI319</f>
        <v/>
      </c>
      <c r="HL319" s="62">
        <f>SUMIFS(tblSafety[FAI],tblSafety[Date],$A319)</f>
        <v/>
      </c>
      <c r="HM319" s="62">
        <f>IF($B319=$B318,$HM318,0)+$HL319</f>
        <v/>
      </c>
      <c r="HN319" s="62">
        <f>$HN318+$HL319</f>
        <v/>
      </c>
      <c r="HO319" s="62">
        <f>SUMIFS(tblSafety[Recordables],tblSafety[Date],$A319)</f>
        <v/>
      </c>
      <c r="HP319" s="62">
        <f>IF($B319=$B318,$HP318,0)+$HO319</f>
        <v/>
      </c>
      <c r="HQ319" s="62">
        <f>$HQ318+$HO319</f>
        <v/>
      </c>
      <c r="HR319" s="62">
        <f>SUMIFS(tblSafety[Near_Miss],tblSafety[Date],$A319)</f>
        <v/>
      </c>
      <c r="HS319" s="62">
        <f>IF($B319=$B318,$HS318,0)+$HR319</f>
        <v/>
      </c>
      <c r="HT319" s="62">
        <f>$HT318+$HR319</f>
        <v/>
      </c>
      <c r="HU319" s="62">
        <f>SUMIFS(tblSafety[Hazard_Reports],tblSafety[Date],$A319)</f>
        <v/>
      </c>
      <c r="HV319" s="62">
        <f>IF($B319=$B318,$HV318,0)+$HU319</f>
        <v/>
      </c>
      <c r="HW319" s="62">
        <f>$HW318+$HU319</f>
        <v/>
      </c>
      <c r="HX319" s="62">
        <f>SUMIFS(tblSafety[HPI],tblSafety[Date],$A319)</f>
        <v/>
      </c>
      <c r="HY319" s="62">
        <f>IF($B319=$B318,$HY318,0)+$HX319</f>
        <v/>
      </c>
      <c r="HZ319" s="62">
        <f>$HZ318+$HX319</f>
        <v/>
      </c>
      <c r="IA319" s="62">
        <f>SUMIFS(tblSafety[Env_Incidents],tblSafety[Date],$A319)</f>
        <v/>
      </c>
      <c r="IB319" s="62">
        <f>IF($B319=$B318,$IB318,0)+$IA319</f>
        <v/>
      </c>
      <c r="IC319" s="62">
        <f>$IC318+$IA319</f>
        <v/>
      </c>
      <c r="ID319" s="62">
        <f>SUMIFS(tblSafety[Community_Incidents],tblSafety[Date],$A319)</f>
        <v/>
      </c>
      <c r="IE319" s="62">
        <f>IF($B319=$B318,$IE318,0)+$ID319</f>
        <v/>
      </c>
      <c r="IF319" s="62">
        <f>$IF318+$ID319</f>
        <v/>
      </c>
      <c r="IG319" s="62">
        <f>SUMIFS(tblSafety[Vehicle_Incidents],tblSafety[Date],$A319)</f>
        <v/>
      </c>
      <c r="IH319" s="62">
        <f>IF($B319=$B318,$IH318,0)+$IG319</f>
        <v/>
      </c>
      <c r="II319" s="62">
        <f>$II318+$IG319</f>
        <v/>
      </c>
      <c r="IJ319" s="62">
        <f>SUMIFS(tblSafety[Toolbox_Talks],tblSafety[Date],$A319)</f>
        <v/>
      </c>
      <c r="IK319" s="62">
        <f>IF($B319=$B318,$IK318,0)+$IJ319</f>
        <v/>
      </c>
      <c r="IL319" s="62">
        <f>$IL318+$IJ319</f>
        <v/>
      </c>
      <c r="IM319" s="62">
        <f>SUMIFS(tblSafety[Inspections],tblSafety[Date],$A319)</f>
        <v/>
      </c>
      <c r="IN319" s="62">
        <f>IF($B319=$B318,$IN318,0)+$IM319</f>
        <v/>
      </c>
      <c r="IO319" s="62">
        <f>$IO318+$IM319</f>
        <v/>
      </c>
      <c r="IP319" s="56">
        <f>IFERROR((SUMIFS(tblSafety[Recordables],tblSafety[Date],"&gt;="&amp;EDATE($E319,-12),tblSafety[Date],"&lt;="&amp;$A319)+SUMIFS(tblSafetyHistory[Recordables],tblSafetyHistory[Month],"&gt;="&amp;EDATE($E319,-12),tblSafetyHistory[Month],"&lt;"&amp;$E319,tblSafetyHistory[Use],1))/(SUMIFS(tblSafety[Hours_Total],tblSafety[Date],"&gt;="&amp;EDATE($E319,-12),tblSafety[Date],"&lt;="&amp;$A319)+SUMIFS(tblSafetyHistory[Hours_Total],tblSafetyHistory[Month],"&gt;="&amp;EDATE($E319,-12),tblSafetyHistory[Month],"&lt;"&amp;$E319,tblSafetyHistory[Use],1))*cfg_RateBasisHours,"")</f>
        <v/>
      </c>
      <c r="IQ319" s="56">
        <f>IFERROR((SUMIFS(tblSafety[LTI],tblSafety[Date],"&gt;="&amp;EDATE($E319,-12),tblSafety[Date],"&lt;="&amp;$A319)+SUMIFS(tblSafetyHistory[LTI],tblSafetyHistory[Month],"&gt;="&amp;EDATE($E319,-12),tblSafetyHistory[Month],"&lt;"&amp;$E319,tblSafetyHistory[Use],1))/(SUMIFS(tblSafety[Hours_Total],tblSafety[Date],"&gt;="&amp;EDATE($E319,-12),tblSafety[Date],"&lt;="&amp;$A319)+SUMIFS(tblSafetyHistory[Hours_Total],tblSafetyHistory[Month],"&gt;="&amp;EDATE($E319,-12),tblSafetyHistory[Month],"&lt;"&amp;$E319,tblSafetyHistory[Use],1))*cfg_RateBasisHours,"")</f>
        <v/>
      </c>
      <c r="IR319" s="62">
        <f>IF(MAX(N(cfg_PriorLTIDate),_xlfn.MAXIFS(tblSafety[Date],tblSafety[LTI],"&gt;0",tblSafety[Date],"&lt;="&amp;$A319))=0,"",$A319-MAX(N(cfg_PriorLTIDate),_xlfn.MAXIFS(tblSafety[Date],tblSafety[LTI],"&gt;0",tblSafety[Date],"&lt;="&amp;$A319)))</f>
        <v/>
      </c>
      <c r="IS319" s="55">
        <f>SUMIFS(tblBudget[Ore_Mined_t],tblBudget[Month],$E319)</f>
        <v/>
      </c>
      <c r="IT319" s="55">
        <f>$IS319*$C319/$D319</f>
        <v/>
      </c>
      <c r="IU319" s="55">
        <f>SUMIFS(tblBudget[Ore_Mined_t],tblBudget[Month],"&lt;"&amp;$E319)+$IT319</f>
        <v/>
      </c>
      <c r="IV319" s="55">
        <f>SUMIFS(tblBudget[Ore_oz],tblBudget[Month],$E319)</f>
        <v/>
      </c>
      <c r="IW319" s="55">
        <f>$IV319*$C319/$D319</f>
        <v/>
      </c>
      <c r="IX319" s="55">
        <f>SUMIFS(tblBudget[Ore_oz],tblBudget[Month],"&lt;"&amp;$E319)+$IW319</f>
        <v/>
      </c>
      <c r="IY319" s="55">
        <f>SUMIFS(tblBudget[Ore_Mined_t],tblBudget[Month],$E319)</f>
        <v/>
      </c>
      <c r="IZ319" s="55">
        <f>$IY319*$C319/$D319</f>
        <v/>
      </c>
      <c r="JA319" s="55">
        <f>SUMIFS(tblBudget[Ore_Mined_t],tblBudget[Month],"&lt;"&amp;$E319)+$IZ319</f>
        <v/>
      </c>
      <c r="JB319" s="56">
        <f>IFERROR(IF(($IY319)&gt;0,($IV319*cfg_TroyOz)/($IY319),""),"")</f>
        <v/>
      </c>
      <c r="JC319" s="56">
        <f>IFERROR(IF(($IZ319)&gt;0,($IW319*cfg_TroyOz)/($IZ319),""),"")</f>
        <v/>
      </c>
      <c r="JD319" s="56">
        <f>IFERROR(IF(($JA319)&gt;0,($IX319*cfg_TroyOz)/($JA319),""),"")</f>
        <v/>
      </c>
      <c r="JE319" s="55">
        <f>SUMIFS(tblBudget[Waste_t],tblBudget[Month],$E319)</f>
        <v/>
      </c>
      <c r="JF319" s="55">
        <f>$JE319*$C319/$D319</f>
        <v/>
      </c>
      <c r="JG319" s="55">
        <f>SUMIFS(tblBudget[Waste_t],tblBudget[Month],"&lt;"&amp;$E319)+$JF319</f>
        <v/>
      </c>
      <c r="JH319" s="55">
        <f>SUMIFS(tblBudget[TMM_t],tblBudget[Month],$E319)</f>
        <v/>
      </c>
      <c r="JI319" s="55">
        <f>$JH319*$C319/$D319</f>
        <v/>
      </c>
      <c r="JJ319" s="55">
        <f>SUMIFS(tblBudget[TMM_t],tblBudget[Month],"&lt;"&amp;$E319)+$JI319</f>
        <v/>
      </c>
      <c r="JK319" s="56">
        <f>IFERROR(IF(($IS319)&gt;0,($JE319)/($IS319),""),"")</f>
        <v/>
      </c>
      <c r="JL319" s="56">
        <f>IFERROR(IF(($IT319)&gt;0,($JF319)/($IT319),""),"")</f>
        <v/>
      </c>
      <c r="JM319" s="56">
        <f>IFERROR(IF(($IU319)&gt;0,($JG319)/($IU319),""),"")</f>
        <v/>
      </c>
      <c r="JN319" s="55">
        <f>SUMIFS(tblBudget[Drill_m],tblBudget[Month],$E319)</f>
        <v/>
      </c>
      <c r="JO319" s="55">
        <f>$JN319*$C319/$D319</f>
        <v/>
      </c>
      <c r="JP319" s="55">
        <f>SUMIFS(tblBudget[Drill_m],tblBudget[Month],"&lt;"&amp;$E319)+$JO319</f>
        <v/>
      </c>
      <c r="JQ319" s="55">
        <f>SUMIFS(tblBudget[Diesel_L],tblBudget[Month],$E319)</f>
        <v/>
      </c>
      <c r="JR319" s="55">
        <f>$JQ319*$C319/$D319</f>
        <v/>
      </c>
      <c r="JS319" s="55">
        <f>SUMIFS(tblBudget[Diesel_L],tblBudget[Month],"&lt;"&amp;$E319)+$JR319</f>
        <v/>
      </c>
      <c r="JT319" s="55">
        <f>SUMIFS(tblBudget[Milled_t],tblBudget[Month],$E319)</f>
        <v/>
      </c>
      <c r="JU319" s="55">
        <f>$JT319*$C319/$D319</f>
        <v/>
      </c>
      <c r="JV319" s="55">
        <f>SUMIFS(tblBudget[Milled_t],tblBudget[Month],"&lt;"&amp;$E319)+$JU319</f>
        <v/>
      </c>
      <c r="JW319" s="55">
        <f>SUMIFS(tblBudget[Feed_oz],tblBudget[Month],$E319)</f>
        <v/>
      </c>
      <c r="JX319" s="55">
        <f>$JW319*$C319/$D319</f>
        <v/>
      </c>
      <c r="JY319" s="55">
        <f>SUMIFS(tblBudget[Feed_oz],tblBudget[Month],"&lt;"&amp;$E319)+$JX319</f>
        <v/>
      </c>
      <c r="JZ319" s="55">
        <f>SUMIFS(tblBudget[Recovered_oz],tblBudget[Month],$E319)</f>
        <v/>
      </c>
      <c r="KA319" s="55">
        <f>$JZ319*$C319/$D319</f>
        <v/>
      </c>
      <c r="KB319" s="55">
        <f>SUMIFS(tblBudget[Recovered_oz],tblBudget[Month],"&lt;"&amp;$E319)+$KA319</f>
        <v/>
      </c>
      <c r="KC319" s="55">
        <f>SUMIFS(tblBudget[Milled_t],tblBudget[Month],$E319)</f>
        <v/>
      </c>
      <c r="KD319" s="55">
        <f>$KC319*$C319/$D319</f>
        <v/>
      </c>
      <c r="KE319" s="55">
        <f>SUMIFS(tblBudget[Milled_t],tblBudget[Month],"&lt;"&amp;$E319)+$KD319</f>
        <v/>
      </c>
      <c r="KF319" s="55">
        <f>SUMIFS(tblBudget[Feed_oz],tblBudget[Month],$E319)</f>
        <v/>
      </c>
      <c r="KG319" s="55">
        <f>$KF319*$C319/$D319</f>
        <v/>
      </c>
      <c r="KH319" s="55">
        <f>SUMIFS(tblBudget[Feed_oz],tblBudget[Month],"&lt;"&amp;$E319)+$KG319</f>
        <v/>
      </c>
      <c r="KI319" s="56">
        <f>IFERROR(IF(($KC319)&gt;0,($JW319*cfg_TroyOz)/($KC319),""),"")</f>
        <v/>
      </c>
      <c r="KJ319" s="56">
        <f>IFERROR(IF(($KD319)&gt;0,($JX319*cfg_TroyOz)/($KD319),""),"")</f>
        <v/>
      </c>
      <c r="KK319" s="56">
        <f>IFERROR(IF(($KE319)&gt;0,($JY319*cfg_TroyOz)/($KE319),""),"")</f>
        <v/>
      </c>
      <c r="KL319" s="67">
        <f>IFERROR(IF(($KF319)&gt;0,($JZ319)/($KF319),""),"")</f>
        <v/>
      </c>
      <c r="KM319" s="67">
        <f>IFERROR(IF(($KG319)&gt;0,($KA319)/($KG319),""),"")</f>
        <v/>
      </c>
      <c r="KN319" s="67">
        <f>IFERROR(IF(($KH319)&gt;0,($KB319)/($KH319),""),"")</f>
        <v/>
      </c>
      <c r="KO319" s="55">
        <f>SUMIFS(tblBudget[Gold_Poured_oz],tblBudget[Month],$E319)</f>
        <v/>
      </c>
      <c r="KP319" s="55">
        <f>$KO319*$C319/$D319</f>
        <v/>
      </c>
      <c r="KQ319" s="55">
        <f>SUMIFS(tblBudget[Gold_Poured_oz],tblBudget[Month],"&lt;"&amp;$E319)+$KP319</f>
        <v/>
      </c>
      <c r="KR319" s="57">
        <f>SUMIFS(tblBudget[Hours_Worked],tblBudget[Month],$E319)</f>
        <v/>
      </c>
      <c r="KS319" s="57">
        <f>$KR319*$C319/$D319</f>
        <v/>
      </c>
      <c r="KT319" s="57">
        <f>SUMIFS(tblBudget[Hours_Worked],tblBudget[Month],"&lt;"&amp;$E319)+$KS319</f>
        <v/>
      </c>
    </row>
    <row r="320">
      <c r="A320" s="54" t="n">
        <v>46341</v>
      </c>
      <c r="B320">
        <f>MONTH($A320)</f>
        <v/>
      </c>
      <c r="C320">
        <f>DAY($A320)</f>
        <v/>
      </c>
      <c r="D320">
        <f>DAY(EOMONTH($A320,0))</f>
        <v/>
      </c>
      <c r="E320" s="54">
        <f>DATE(YEAR($A320),MONTH($A320),1)</f>
        <v/>
      </c>
      <c r="F320" s="55">
        <f>SUMIFS(tblMovement[Tonnes_t],tblMovement[Date],$A320,tblMovement[Is_Ore],1,tblMovement[Source_Type],"Pit")</f>
        <v/>
      </c>
      <c r="G320" s="55">
        <f>IF($B320=$B319,$G319,0)+$F320</f>
        <v/>
      </c>
      <c r="H320" s="55">
        <f>$H319+$F320</f>
        <v/>
      </c>
      <c r="I320" s="55">
        <f>SUMIFS(tblMovement[Ore_oz],tblMovement[Date],$A320,tblMovement[Source_Type],"Pit")</f>
        <v/>
      </c>
      <c r="J320" s="55">
        <f>IF($B320=$B319,$J319,0)+$I320</f>
        <v/>
      </c>
      <c r="K320" s="55">
        <f>$K319+$I320</f>
        <v/>
      </c>
      <c r="L320" s="55">
        <f>SUMIFS(tblMovement[Tonnes_t],tblMovement[Date],$A320,tblMovement[Is_Ore],1,tblMovement[Source_Type],"Pit",tblMovement[Grade_gpt],"&lt;&gt;")</f>
        <v/>
      </c>
      <c r="M320" s="55">
        <f>IF($B320=$B319,$M319,0)+$L320</f>
        <v/>
      </c>
      <c r="N320" s="55">
        <f>$N319+$L320</f>
        <v/>
      </c>
      <c r="O320" s="56">
        <f>IFERROR(IF(($L320)&gt;0,($I320*cfg_TroyOz)/($L320),""),"")</f>
        <v/>
      </c>
      <c r="P320" s="56">
        <f>IFERROR(IF(($M320)&gt;0,($J320*cfg_TroyOz)/($M320),""),"")</f>
        <v/>
      </c>
      <c r="Q320" s="56">
        <f>IFERROR(IF(($N320)&gt;0,($K320*cfg_TroyOz)/($N320),""),"")</f>
        <v/>
      </c>
      <c r="R320" s="55">
        <f>$F320-$L320</f>
        <v/>
      </c>
      <c r="S320" s="55">
        <f>IF($B320=$B319,$S319,0)+$R320</f>
        <v/>
      </c>
      <c r="T320" s="55">
        <f>$T319+$R320</f>
        <v/>
      </c>
      <c r="U320" s="55">
        <f>SUMIFS(tblMovement[Tonnes_t],tblMovement[Date],$A320,tblMovement[Is_Ore],0,tblMovement[Source_Type],"Pit")</f>
        <v/>
      </c>
      <c r="V320" s="55">
        <f>IF($B320=$B319,$V319,0)+$U320</f>
        <v/>
      </c>
      <c r="W320" s="55">
        <f>$W319+$U320</f>
        <v/>
      </c>
      <c r="X320" s="55">
        <f>$F320+$U320</f>
        <v/>
      </c>
      <c r="Y320" s="55">
        <f>IF($B320=$B319,$Y319,0)+$X320</f>
        <v/>
      </c>
      <c r="Z320" s="55">
        <f>$Z319+$X320</f>
        <v/>
      </c>
      <c r="AA320" s="56">
        <f>IFERROR(IF(($F320)&gt;0,($U320)/($F320),""),"")</f>
        <v/>
      </c>
      <c r="AB320" s="56">
        <f>IFERROR(IF(($G320)&gt;0,($V320)/($G320),""),"")</f>
        <v/>
      </c>
      <c r="AC320" s="56">
        <f>IFERROR(IF(($H320)&gt;0,($W320)/($H320),""),"")</f>
        <v/>
      </c>
      <c r="AD320" s="55">
        <f>SUMIFS(tblMovement[Tonnes_t],tblMovement[Date],$A320,tblMovement[Source_Type],"Stockpile")</f>
        <v/>
      </c>
      <c r="AE320" s="55">
        <f>IF($B320=$B319,$AE319,0)+$AD320</f>
        <v/>
      </c>
      <c r="AF320" s="55">
        <f>$AF319+$AD320</f>
        <v/>
      </c>
      <c r="AG320" s="55">
        <f>SUMIFS(tblMovement[Tonnes_t],tblMovement[Date],$A320)</f>
        <v/>
      </c>
      <c r="AH320" s="55">
        <f>IF($B320=$B319,$AH319,0)+$AG320</f>
        <v/>
      </c>
      <c r="AI320" s="55">
        <f>$AI319+$AG320</f>
        <v/>
      </c>
      <c r="AJ320" s="55">
        <f>$AG320-$X320-$AD320</f>
        <v/>
      </c>
      <c r="AK320" s="55">
        <f>IF($B320=$B319,$AK319,0)+$AJ320</f>
        <v/>
      </c>
      <c r="AL320" s="55">
        <f>$AL319+$AJ320</f>
        <v/>
      </c>
      <c r="AM320" s="55">
        <f>SUMIFS(tblMiningDaily[Drill_m],tblMiningDaily[Date],$A320)</f>
        <v/>
      </c>
      <c r="AN320" s="55">
        <f>IF($B320=$B319,$AN319,0)+$AM320</f>
        <v/>
      </c>
      <c r="AO320" s="55">
        <f>$AO319+$AM320</f>
        <v/>
      </c>
      <c r="AP320" s="55">
        <f>SUMIFS(tblMiningDaily[GC_Drill_m],tblMiningDaily[Date],$A320)</f>
        <v/>
      </c>
      <c r="AQ320" s="55">
        <f>IF($B320=$B319,$AQ319,0)+$AP320</f>
        <v/>
      </c>
      <c r="AR320" s="55">
        <f>$AR319+$AP320</f>
        <v/>
      </c>
      <c r="AS320" s="55">
        <f>SUMIFS(tblMiningDaily[Blast_t],tblMiningDaily[Date],$A320)</f>
        <v/>
      </c>
      <c r="AT320" s="55">
        <f>IF($B320=$B319,$AT319,0)+$AS320</f>
        <v/>
      </c>
      <c r="AU320" s="55">
        <f>$AU319+$AS320</f>
        <v/>
      </c>
      <c r="AV320" s="55">
        <f>SUMIFS(tblMiningDaily[Explosives_kg],tblMiningDaily[Date],$A320)</f>
        <v/>
      </c>
      <c r="AW320" s="55">
        <f>IF($B320=$B319,$AW319,0)+$AV320</f>
        <v/>
      </c>
      <c r="AX320" s="55">
        <f>$AX319+$AV320</f>
        <v/>
      </c>
      <c r="AY320" s="56">
        <f>IFERROR(IF(($AS320)&gt;0,($AV320)/($AS320),""),"")</f>
        <v/>
      </c>
      <c r="AZ320" s="56">
        <f>IFERROR(IF(($AT320)&gt;0,($AW320)/($AT320),""),"")</f>
        <v/>
      </c>
      <c r="BA320" s="56">
        <f>IFERROR(IF(($AU320)&gt;0,($AX320)/($AU320),""),"")</f>
        <v/>
      </c>
      <c r="BB320" s="55">
        <f>SUMIFS(tblMiningDaily[Diesel_L],tblMiningDaily[Date],$A320)</f>
        <v/>
      </c>
      <c r="BC320" s="55">
        <f>IF($B320=$B319,$BC319,0)+$BB320</f>
        <v/>
      </c>
      <c r="BD320" s="55">
        <f>$BD319+$BB320</f>
        <v/>
      </c>
      <c r="BE320" s="55">
        <f>SUMIFS(tblMiningDaily[Dewatering_m3],tblMiningDaily[Date],$A320)</f>
        <v/>
      </c>
      <c r="BF320" s="55">
        <f>IF($B320=$B319,$BF319,0)+$BE320</f>
        <v/>
      </c>
      <c r="BG320" s="55">
        <f>$BG319+$BE320</f>
        <v/>
      </c>
      <c r="BH320" s="57">
        <f>SUMIFS(tblFleet[Calendar_h],tblFleet[Date],$A320,tblFleet[Equipment_Class],"Excavator")</f>
        <v/>
      </c>
      <c r="BI320" s="57">
        <f>IF($B320=$B319,$BI319,0)+$BH320</f>
        <v/>
      </c>
      <c r="BJ320" s="57">
        <f>$BJ319+$BH320</f>
        <v/>
      </c>
      <c r="BK320" s="57">
        <f>SUMIFS(tblFleet[Available_h],tblFleet[Date],$A320,tblFleet[Equipment_Class],"Excavator")</f>
        <v/>
      </c>
      <c r="BL320" s="57">
        <f>IF($B320=$B319,$BL319,0)+$BK320</f>
        <v/>
      </c>
      <c r="BM320" s="57">
        <f>$BM319+$BK320</f>
        <v/>
      </c>
      <c r="BN320" s="57">
        <f>SUMIFS(tblFleet[Operating_h],tblFleet[Date],$A320,tblFleet[Equipment_Class],"Excavator")</f>
        <v/>
      </c>
      <c r="BO320" s="57">
        <f>IF($B320=$B319,$BO319,0)+$BN320</f>
        <v/>
      </c>
      <c r="BP320" s="57">
        <f>$BP319+$BN320</f>
        <v/>
      </c>
      <c r="BQ320" s="67">
        <f>IFERROR(IF(($BH320)&gt;0,($BK320)/($BH320),""),"")</f>
        <v/>
      </c>
      <c r="BR320" s="67">
        <f>IFERROR(IF(($BI320)&gt;0,($BL320)/($BI320),""),"")</f>
        <v/>
      </c>
      <c r="BS320" s="67">
        <f>IFERROR(IF(($BJ320)&gt;0,($BM320)/($BJ320),""),"")</f>
        <v/>
      </c>
      <c r="BT320" s="67">
        <f>IFERROR(IF(($BK320)&gt;0,($BN320)/($BK320),""),"")</f>
        <v/>
      </c>
      <c r="BU320" s="67">
        <f>IFERROR(IF(($BL320)&gt;0,($BO320)/($BL320),""),"")</f>
        <v/>
      </c>
      <c r="BV320" s="67">
        <f>IFERROR(IF(($BM320)&gt;0,($BP320)/($BM320),""),"")</f>
        <v/>
      </c>
      <c r="BW320" s="57">
        <f>SUMIFS(tblFleet[Calendar_h],tblFleet[Date],$A320,tblFleet[Equipment_Class],"Haul Truck")</f>
        <v/>
      </c>
      <c r="BX320" s="57">
        <f>IF($B320=$B319,$BX319,0)+$BW320</f>
        <v/>
      </c>
      <c r="BY320" s="57">
        <f>$BY319+$BW320</f>
        <v/>
      </c>
      <c r="BZ320" s="57">
        <f>SUMIFS(tblFleet[Available_h],tblFleet[Date],$A320,tblFleet[Equipment_Class],"Haul Truck")</f>
        <v/>
      </c>
      <c r="CA320" s="57">
        <f>IF($B320=$B319,$CA319,0)+$BZ320</f>
        <v/>
      </c>
      <c r="CB320" s="57">
        <f>$CB319+$BZ320</f>
        <v/>
      </c>
      <c r="CC320" s="57">
        <f>SUMIFS(tblFleet[Operating_h],tblFleet[Date],$A320,tblFleet[Equipment_Class],"Haul Truck")</f>
        <v/>
      </c>
      <c r="CD320" s="57">
        <f>IF($B320=$B319,$CD319,0)+$CC320</f>
        <v/>
      </c>
      <c r="CE320" s="57">
        <f>$CE319+$CC320</f>
        <v/>
      </c>
      <c r="CF320" s="67">
        <f>IFERROR(IF(($BW320)&gt;0,($BZ320)/($BW320),""),"")</f>
        <v/>
      </c>
      <c r="CG320" s="67">
        <f>IFERROR(IF(($BX320)&gt;0,($CA320)/($BX320),""),"")</f>
        <v/>
      </c>
      <c r="CH320" s="67">
        <f>IFERROR(IF(($BY320)&gt;0,($CB320)/($BY320),""),"")</f>
        <v/>
      </c>
      <c r="CI320" s="67">
        <f>IFERROR(IF(($BZ320)&gt;0,($CC320)/($BZ320),""),"")</f>
        <v/>
      </c>
      <c r="CJ320" s="67">
        <f>IFERROR(IF(($CA320)&gt;0,($CD320)/($CA320),""),"")</f>
        <v/>
      </c>
      <c r="CK320" s="67">
        <f>IFERROR(IF(($CB320)&gt;0,($CE320)/($CB320),""),"")</f>
        <v/>
      </c>
      <c r="CL320" s="55">
        <f>IFERROR(IF(($BN320)&gt;0,($X320+$AD320)/($BN320),""),"")</f>
        <v/>
      </c>
      <c r="CM320" s="55">
        <f>IFERROR(IF(($BO320)&gt;0,($Y320+$AE320)/($BO320),""),"")</f>
        <v/>
      </c>
      <c r="CN320" s="55">
        <f>IFERROR(IF(($BP320)&gt;0,($Z320+$AF320)/($BP320),""),"")</f>
        <v/>
      </c>
      <c r="CO320" s="55">
        <f>IFERROR(IF(($CC320)&gt;0,($X320+$AD320)/($CC320),""),"")</f>
        <v/>
      </c>
      <c r="CP320" s="55">
        <f>IFERROR(IF(($CD320)&gt;0,($Y320+$AE320)/($CD320),""),"")</f>
        <v/>
      </c>
      <c r="CQ320" s="55">
        <f>IFERROR(IF(($CE320)&gt;0,($Z320+$AF320)/($CE320),""),"")</f>
        <v/>
      </c>
      <c r="CR320" s="55">
        <f>SUMIFS(tblPlant[Crushed_t],tblPlant[Date],$A320)</f>
        <v/>
      </c>
      <c r="CS320" s="55">
        <f>IF($B320=$B319,$CS319,0)+$CR320</f>
        <v/>
      </c>
      <c r="CT320" s="55">
        <f>$CT319+$CR320</f>
        <v/>
      </c>
      <c r="CU320" s="55">
        <f>SUMIFS(tblPlant[Milled_t],tblPlant[Date],$A320)</f>
        <v/>
      </c>
      <c r="CV320" s="55">
        <f>IF($B320=$B319,$CV319,0)+$CU320</f>
        <v/>
      </c>
      <c r="CW320" s="55">
        <f>$CW319+$CU320</f>
        <v/>
      </c>
      <c r="CX320" s="55">
        <f>SUMIFS(tblPlant[Feed_oz],tblPlant[Date],$A320)</f>
        <v/>
      </c>
      <c r="CY320" s="55">
        <f>IF($B320=$B319,$CY319,0)+$CX320</f>
        <v/>
      </c>
      <c r="CZ320" s="55">
        <f>$CZ319+$CX320</f>
        <v/>
      </c>
      <c r="DA320" s="55">
        <f>SUMIFS(tblPlant[Tails_oz],tblPlant[Date],$A320)</f>
        <v/>
      </c>
      <c r="DB320" s="55">
        <f>IF($B320=$B319,$DB319,0)+$DA320</f>
        <v/>
      </c>
      <c r="DC320" s="55">
        <f>$DC319+$DA320</f>
        <v/>
      </c>
      <c r="DD320" s="55">
        <f>SUMIFS(tblPlant[Recovered_oz],tblPlant[Date],$A320)</f>
        <v/>
      </c>
      <c r="DE320" s="55">
        <f>IF($B320=$B319,$DE319,0)+$DD320</f>
        <v/>
      </c>
      <c r="DF320" s="55">
        <f>$DF319+$DD320</f>
        <v/>
      </c>
      <c r="DG320" s="55">
        <f>SUMIFS(tblPlant[Milled_t],tblPlant[Date],$A320,tblPlant[Head_Grade_gpt],"&lt;&gt;")</f>
        <v/>
      </c>
      <c r="DH320" s="55">
        <f>IF($B320=$B319,$DH319,0)+$DG320</f>
        <v/>
      </c>
      <c r="DI320" s="55">
        <f>$DI319+$DG320</f>
        <v/>
      </c>
      <c r="DJ320" s="55">
        <f>SUMIFS(tblPlant[Milled_t],tblPlant[Date],$A320,tblPlant[Tails_Grade_gpt],"&lt;&gt;")</f>
        <v/>
      </c>
      <c r="DK320" s="55">
        <f>IF($B320=$B319,$DK319,0)+$DJ320</f>
        <v/>
      </c>
      <c r="DL320" s="55">
        <f>$DL319+$DJ320</f>
        <v/>
      </c>
      <c r="DM320" s="55">
        <f>SUMIFS(tblPlant[Feed_oz],tblPlant[Date],$A320,tblPlant[Tails_Grade_gpt],"&lt;&gt;")</f>
        <v/>
      </c>
      <c r="DN320" s="55">
        <f>IF($B320=$B319,$DN319,0)+$DM320</f>
        <v/>
      </c>
      <c r="DO320" s="55">
        <f>$DO319+$DM320</f>
        <v/>
      </c>
      <c r="DP320" s="55">
        <f>SUMIFS(tblPlant[Milled_t],tblPlant[Date],$A320,tblPlant[Mill_Run_h],"&lt;&gt;")</f>
        <v/>
      </c>
      <c r="DQ320" s="55">
        <f>IF($B320=$B319,$DQ319,0)+$DP320</f>
        <v/>
      </c>
      <c r="DR320" s="55">
        <f>$DR319+$DP320</f>
        <v/>
      </c>
      <c r="DS320" s="56">
        <f>IFERROR(IF(($DG320)&gt;0,($CX320*cfg_TroyOz)/($DG320),""),"")</f>
        <v/>
      </c>
      <c r="DT320" s="56">
        <f>IFERROR(IF(($DH320)&gt;0,($CY320*cfg_TroyOz)/($DH320),""),"")</f>
        <v/>
      </c>
      <c r="DU320" s="56">
        <f>IFERROR(IF(($DI320)&gt;0,($CZ320*cfg_TroyOz)/($DI320),""),"")</f>
        <v/>
      </c>
      <c r="DV320" s="56">
        <f>IFERROR(IF(($DJ320)&gt;0,($DA320*cfg_TroyOz)/($DJ320),""),"")</f>
        <v/>
      </c>
      <c r="DW320" s="56">
        <f>IFERROR(IF(($DK320)&gt;0,($DB320*cfg_TroyOz)/($DK320),""),"")</f>
        <v/>
      </c>
      <c r="DX320" s="56">
        <f>IFERROR(IF(($DL320)&gt;0,($DC320*cfg_TroyOz)/($DL320),""),"")</f>
        <v/>
      </c>
      <c r="DY320" s="67">
        <f>IFERROR(IF(($DM320)&gt;0,($DD320)/($DM320),""),"")</f>
        <v/>
      </c>
      <c r="DZ320" s="67">
        <f>IFERROR(IF(($DN320)&gt;0,($DE320)/($DN320),""),"")</f>
        <v/>
      </c>
      <c r="EA320" s="67">
        <f>IFERROR(IF(($DO320)&gt;0,($DF320)/($DO320),""),"")</f>
        <v/>
      </c>
      <c r="EB320" s="55">
        <f>SUMIFS(tblPlant[Gravity_Gold_oz],tblPlant[Date],$A320)</f>
        <v/>
      </c>
      <c r="EC320" s="55">
        <f>IF($B320=$B319,$EC319,0)+$EB320</f>
        <v/>
      </c>
      <c r="ED320" s="55">
        <f>$ED319+$EB320</f>
        <v/>
      </c>
      <c r="EE320" s="67">
        <f>IFERROR(IF(($DD320)&gt;0,($EB320)/($DD320),""),"")</f>
        <v/>
      </c>
      <c r="EF320" s="67">
        <f>IFERROR(IF(($DE320)&gt;0,($EC320)/($DE320),""),"")</f>
        <v/>
      </c>
      <c r="EG320" s="67">
        <f>IFERROR(IF(($DF320)&gt;0,($ED320)/($DF320),""),"")</f>
        <v/>
      </c>
      <c r="EH320" s="55">
        <f>SUMIFS(tblPlant[Gold_Poured_oz],tblPlant[Date],$A320)</f>
        <v/>
      </c>
      <c r="EI320" s="55">
        <f>IF($B320=$B319,$EI319,0)+$EH320</f>
        <v/>
      </c>
      <c r="EJ320" s="55">
        <f>$EJ319+$EH320</f>
        <v/>
      </c>
      <c r="EK320" s="57">
        <f>SUMIFS(tblPlant[Mill_Run_h],tblPlant[Date],$A320)</f>
        <v/>
      </c>
      <c r="EL320" s="57">
        <f>IF($B320=$B319,$EL319,0)+$EK320</f>
        <v/>
      </c>
      <c r="EM320" s="57">
        <f>$EM319+$EK320</f>
        <v/>
      </c>
      <c r="EN320" s="57">
        <f>SUMIFS(tblPlant[Mill_Planned_Maint_h],tblPlant[Date],$A320)</f>
        <v/>
      </c>
      <c r="EO320" s="57">
        <f>IF($B320=$B319,$EO319,0)+$EN320</f>
        <v/>
      </c>
      <c r="EP320" s="57">
        <f>$EP319+$EN320</f>
        <v/>
      </c>
      <c r="EQ320" s="57">
        <f>SUMIFS(tblPlant[Mill_Unplanned_Down_h],tblPlant[Date],$A320)</f>
        <v/>
      </c>
      <c r="ER320" s="57">
        <f>IF($B320=$B319,$ER319,0)+$EQ320</f>
        <v/>
      </c>
      <c r="ES320" s="57">
        <f>$ES319+$EQ320</f>
        <v/>
      </c>
      <c r="ET320" s="57">
        <f>IF(COUNTIFS(tblPlant[Date],$A320,tblPlant[Mill_Run_h],"&lt;&gt;")+COUNTIFS(tblPlant[Date],$A320,tblPlant[Mill_Planned_Maint_h],"&lt;&gt;")+COUNTIFS(tblPlant[Date],$A320,tblPlant[Mill_Unplanned_Down_h],"&lt;&gt;")&gt;0,cfg_HoursPerDay,0)</f>
        <v/>
      </c>
      <c r="EU320" s="57">
        <f>IF($B320=$B319,$EU319,0)+$ET320</f>
        <v/>
      </c>
      <c r="EV320" s="57">
        <f>$EV319+$ET320</f>
        <v/>
      </c>
      <c r="EW320" s="57">
        <f>SUMIFS(tblPlant[Crusher_Run_h],tblPlant[Date],$A320)</f>
        <v/>
      </c>
      <c r="EX320" s="57">
        <f>IF($B320=$B319,$EX319,0)+$EW320</f>
        <v/>
      </c>
      <c r="EY320" s="57">
        <f>$EY319+$EW320</f>
        <v/>
      </c>
      <c r="EZ320" s="55">
        <f>IFERROR(IF(($EK320)&gt;0,($DP320)/($EK320),""),"")</f>
        <v/>
      </c>
      <c r="FA320" s="55">
        <f>IFERROR(IF(($EL320)&gt;0,($DQ320)/($EL320),""),"")</f>
        <v/>
      </c>
      <c r="FB320" s="55">
        <f>IFERROR(IF(($EM320)&gt;0,($DR320)/($EM320),""),"")</f>
        <v/>
      </c>
      <c r="FC320" s="67">
        <f>IFERROR(IF(($ET320)&gt;0,($ET320-$EN320-$EQ320)/($ET320),""),"")</f>
        <v/>
      </c>
      <c r="FD320" s="67">
        <f>IFERROR(IF(($EU320)&gt;0,($EU320-$EO320-$ER320)/($EU320),""),"")</f>
        <v/>
      </c>
      <c r="FE320" s="67">
        <f>IFERROR(IF(($EV320)&gt;0,($EV320-$EP320-$ES320)/($EV320),""),"")</f>
        <v/>
      </c>
      <c r="FF320" s="67">
        <f>IFERROR(IF(($ET320-$EN320-$EQ320)&gt;0,($EK320)/($ET320-$EN320-$EQ320),""),"")</f>
        <v/>
      </c>
      <c r="FG320" s="67">
        <f>IFERROR(IF(($EU320-$EO320-$ER320)&gt;0,($EL320)/($EU320-$EO320-$ER320),""),"")</f>
        <v/>
      </c>
      <c r="FH320" s="67">
        <f>IFERROR(IF(($EV320-$EP320-$ES320)&gt;0,($EM320)/($EV320-$EP320-$ES320),""),"")</f>
        <v/>
      </c>
      <c r="FI320" s="55">
        <f>SUMIFS(tblPlant[Cyanide_kg],tblPlant[Date],$A320)</f>
        <v/>
      </c>
      <c r="FJ320" s="55">
        <f>IF($B320=$B319,$FJ319,0)+$FI320</f>
        <v/>
      </c>
      <c r="FK320" s="55">
        <f>$FK319+$FI320</f>
        <v/>
      </c>
      <c r="FL320" s="55">
        <f>SUMIFS(tblPlant[Lime_kg],tblPlant[Date],$A320)</f>
        <v/>
      </c>
      <c r="FM320" s="55">
        <f>IF($B320=$B319,$FM319,0)+$FL320</f>
        <v/>
      </c>
      <c r="FN320" s="55">
        <f>$FN319+$FL320</f>
        <v/>
      </c>
      <c r="FO320" s="55">
        <f>SUMIFS(tblPlant[Grinding_Media_kg],tblPlant[Date],$A320)</f>
        <v/>
      </c>
      <c r="FP320" s="55">
        <f>IF($B320=$B319,$FP319,0)+$FO320</f>
        <v/>
      </c>
      <c r="FQ320" s="55">
        <f>$FQ319+$FO320</f>
        <v/>
      </c>
      <c r="FR320" s="55">
        <f>SUMIFS(tblPlant[Power_kWh],tblPlant[Date],$A320)</f>
        <v/>
      </c>
      <c r="FS320" s="55">
        <f>IF($B320=$B319,$FS319,0)+$FR320</f>
        <v/>
      </c>
      <c r="FT320" s="55">
        <f>$FT319+$FR320</f>
        <v/>
      </c>
      <c r="FU320" s="55">
        <f>SUMIFS(tblPlant[Raw_Water_m3],tblPlant[Date],$A320)</f>
        <v/>
      </c>
      <c r="FV320" s="55">
        <f>IF($B320=$B319,$FV319,0)+$FU320</f>
        <v/>
      </c>
      <c r="FW320" s="55">
        <f>$FW319+$FU320</f>
        <v/>
      </c>
      <c r="FX320" s="56">
        <f>IFERROR(IF(($CU320)&gt;0,($FI320)/($CU320),""),"")</f>
        <v/>
      </c>
      <c r="FY320" s="56">
        <f>IFERROR(IF(($CV320)&gt;0,($FJ320)/($CV320),""),"")</f>
        <v/>
      </c>
      <c r="FZ320" s="56">
        <f>IFERROR(IF(($CW320)&gt;0,($FK320)/($CW320),""),"")</f>
        <v/>
      </c>
      <c r="GA320" s="56">
        <f>IFERROR(IF(($CU320)&gt;0,($FL320)/($CU320),""),"")</f>
        <v/>
      </c>
      <c r="GB320" s="56">
        <f>IFERROR(IF(($CV320)&gt;0,($FM320)/($CV320),""),"")</f>
        <v/>
      </c>
      <c r="GC320" s="56">
        <f>IFERROR(IF(($CW320)&gt;0,($FN320)/($CW320),""),"")</f>
        <v/>
      </c>
      <c r="GD320" s="56">
        <f>IFERROR(IF(($CU320)&gt;0,($FO320)/($CU320),""),"")</f>
        <v/>
      </c>
      <c r="GE320" s="56">
        <f>IFERROR(IF(($CV320)&gt;0,($FP320)/($CV320),""),"")</f>
        <v/>
      </c>
      <c r="GF320" s="56">
        <f>IFERROR(IF(($CW320)&gt;0,($FQ320)/($CW320),""),"")</f>
        <v/>
      </c>
      <c r="GG320" s="79">
        <f>IFERROR(IF(($CU320)&gt;0,($FR320)/($CU320),""),"")</f>
        <v/>
      </c>
      <c r="GH320" s="79">
        <f>IFERROR(IF(($CV320)&gt;0,($FS320)/($CV320),""),"")</f>
        <v/>
      </c>
      <c r="GI320" s="79">
        <f>IFERROR(IF(($CW320)&gt;0,($FT320)/($CW320),""),"")</f>
        <v/>
      </c>
      <c r="GJ320" s="56">
        <f>IFERROR(IF(($CU320)&gt;0,($FU320)/($CU320),""),"")</f>
        <v/>
      </c>
      <c r="GK320" s="56">
        <f>IFERROR(IF(($CV320)&gt;0,($FV320)/($CV320),""),"")</f>
        <v/>
      </c>
      <c r="GL320" s="56">
        <f>IFERROR(IF(($CW320)&gt;0,($FW320)/($CW320),""),"")</f>
        <v/>
      </c>
      <c r="GM320" s="55">
        <f>IF(SUMIFS(tblPlant[GIC_oz],tblPlant[Date],$A320)&gt;0,SUMIFS(tblPlant[GIC_oz],tblPlant[Date],$A320),"")</f>
        <v/>
      </c>
      <c r="GN320" s="55">
        <f>SUMIFS(tblGold[Gold_oz],tblGold[Date],$A320,tblGold[Type],"Shipment")</f>
        <v/>
      </c>
      <c r="GO320" s="55">
        <f>IF($B320=$B319,$GO319,0)+$GN320</f>
        <v/>
      </c>
      <c r="GP320" s="55">
        <f>$GP319+$GN320</f>
        <v/>
      </c>
      <c r="GQ320" s="55">
        <f>SUMIFS(tblGold[Gold_oz],tblGold[Date],$A320,tblGold[Type],"Sale")</f>
        <v/>
      </c>
      <c r="GR320" s="55">
        <f>IF($B320=$B319,$GR319,0)+$GQ320</f>
        <v/>
      </c>
      <c r="GS320" s="55">
        <f>$GS319+$GQ320</f>
        <v/>
      </c>
      <c r="GT320" s="55">
        <f>SUMIFS(tblGold[Dore_kg],tblGold[Date],$A320,tblGold[Type],"Shipment")</f>
        <v/>
      </c>
      <c r="GU320" s="55">
        <f>IF($B320=$B319,$GU319,0)+$GT320</f>
        <v/>
      </c>
      <c r="GV320" s="55">
        <f>$GV319+$GT320</f>
        <v/>
      </c>
      <c r="GW320" s="57">
        <f>SUMIFS(tblSafety[Hours_Total],tblSafety[Date],$A320)</f>
        <v/>
      </c>
      <c r="GX320" s="57">
        <f>IF($B320=$B319,$GX319,0)+$GW320</f>
        <v/>
      </c>
      <c r="GY320" s="57">
        <f>$GY319+$GW320</f>
        <v/>
      </c>
      <c r="GZ320" s="62">
        <f>SUMIFS(tblSafety[Fatality],tblSafety[Date],$A320)</f>
        <v/>
      </c>
      <c r="HA320" s="62">
        <f>IF($B320=$B319,$HA319,0)+$GZ320</f>
        <v/>
      </c>
      <c r="HB320" s="62">
        <f>$HB319+$GZ320</f>
        <v/>
      </c>
      <c r="HC320" s="62">
        <f>SUMIFS(tblSafety[LTI],tblSafety[Date],$A320)</f>
        <v/>
      </c>
      <c r="HD320" s="62">
        <f>IF($B320=$B319,$HD319,0)+$HC320</f>
        <v/>
      </c>
      <c r="HE320" s="62">
        <f>$HE319+$HC320</f>
        <v/>
      </c>
      <c r="HF320" s="62">
        <f>SUMIFS(tblSafety[RWI],tblSafety[Date],$A320)</f>
        <v/>
      </c>
      <c r="HG320" s="62">
        <f>IF($B320=$B319,$HG319,0)+$HF320</f>
        <v/>
      </c>
      <c r="HH320" s="62">
        <f>$HH319+$HF320</f>
        <v/>
      </c>
      <c r="HI320" s="62">
        <f>SUMIFS(tblSafety[MTI],tblSafety[Date],$A320)</f>
        <v/>
      </c>
      <c r="HJ320" s="62">
        <f>IF($B320=$B319,$HJ319,0)+$HI320</f>
        <v/>
      </c>
      <c r="HK320" s="62">
        <f>$HK319+$HI320</f>
        <v/>
      </c>
      <c r="HL320" s="62">
        <f>SUMIFS(tblSafety[FAI],tblSafety[Date],$A320)</f>
        <v/>
      </c>
      <c r="HM320" s="62">
        <f>IF($B320=$B319,$HM319,0)+$HL320</f>
        <v/>
      </c>
      <c r="HN320" s="62">
        <f>$HN319+$HL320</f>
        <v/>
      </c>
      <c r="HO320" s="62">
        <f>SUMIFS(tblSafety[Recordables],tblSafety[Date],$A320)</f>
        <v/>
      </c>
      <c r="HP320" s="62">
        <f>IF($B320=$B319,$HP319,0)+$HO320</f>
        <v/>
      </c>
      <c r="HQ320" s="62">
        <f>$HQ319+$HO320</f>
        <v/>
      </c>
      <c r="HR320" s="62">
        <f>SUMIFS(tblSafety[Near_Miss],tblSafety[Date],$A320)</f>
        <v/>
      </c>
      <c r="HS320" s="62">
        <f>IF($B320=$B319,$HS319,0)+$HR320</f>
        <v/>
      </c>
      <c r="HT320" s="62">
        <f>$HT319+$HR320</f>
        <v/>
      </c>
      <c r="HU320" s="62">
        <f>SUMIFS(tblSafety[Hazard_Reports],tblSafety[Date],$A320)</f>
        <v/>
      </c>
      <c r="HV320" s="62">
        <f>IF($B320=$B319,$HV319,0)+$HU320</f>
        <v/>
      </c>
      <c r="HW320" s="62">
        <f>$HW319+$HU320</f>
        <v/>
      </c>
      <c r="HX320" s="62">
        <f>SUMIFS(tblSafety[HPI],tblSafety[Date],$A320)</f>
        <v/>
      </c>
      <c r="HY320" s="62">
        <f>IF($B320=$B319,$HY319,0)+$HX320</f>
        <v/>
      </c>
      <c r="HZ320" s="62">
        <f>$HZ319+$HX320</f>
        <v/>
      </c>
      <c r="IA320" s="62">
        <f>SUMIFS(tblSafety[Env_Incidents],tblSafety[Date],$A320)</f>
        <v/>
      </c>
      <c r="IB320" s="62">
        <f>IF($B320=$B319,$IB319,0)+$IA320</f>
        <v/>
      </c>
      <c r="IC320" s="62">
        <f>$IC319+$IA320</f>
        <v/>
      </c>
      <c r="ID320" s="62">
        <f>SUMIFS(tblSafety[Community_Incidents],tblSafety[Date],$A320)</f>
        <v/>
      </c>
      <c r="IE320" s="62">
        <f>IF($B320=$B319,$IE319,0)+$ID320</f>
        <v/>
      </c>
      <c r="IF320" s="62">
        <f>$IF319+$ID320</f>
        <v/>
      </c>
      <c r="IG320" s="62">
        <f>SUMIFS(tblSafety[Vehicle_Incidents],tblSafety[Date],$A320)</f>
        <v/>
      </c>
      <c r="IH320" s="62">
        <f>IF($B320=$B319,$IH319,0)+$IG320</f>
        <v/>
      </c>
      <c r="II320" s="62">
        <f>$II319+$IG320</f>
        <v/>
      </c>
      <c r="IJ320" s="62">
        <f>SUMIFS(tblSafety[Toolbox_Talks],tblSafety[Date],$A320)</f>
        <v/>
      </c>
      <c r="IK320" s="62">
        <f>IF($B320=$B319,$IK319,0)+$IJ320</f>
        <v/>
      </c>
      <c r="IL320" s="62">
        <f>$IL319+$IJ320</f>
        <v/>
      </c>
      <c r="IM320" s="62">
        <f>SUMIFS(tblSafety[Inspections],tblSafety[Date],$A320)</f>
        <v/>
      </c>
      <c r="IN320" s="62">
        <f>IF($B320=$B319,$IN319,0)+$IM320</f>
        <v/>
      </c>
      <c r="IO320" s="62">
        <f>$IO319+$IM320</f>
        <v/>
      </c>
      <c r="IP320" s="56">
        <f>IFERROR((SUMIFS(tblSafety[Recordables],tblSafety[Date],"&gt;="&amp;EDATE($E320,-12),tblSafety[Date],"&lt;="&amp;$A320)+SUMIFS(tblSafetyHistory[Recordables],tblSafetyHistory[Month],"&gt;="&amp;EDATE($E320,-12),tblSafetyHistory[Month],"&lt;"&amp;$E320,tblSafetyHistory[Use],1))/(SUMIFS(tblSafety[Hours_Total],tblSafety[Date],"&gt;="&amp;EDATE($E320,-12),tblSafety[Date],"&lt;="&amp;$A320)+SUMIFS(tblSafetyHistory[Hours_Total],tblSafetyHistory[Month],"&gt;="&amp;EDATE($E320,-12),tblSafetyHistory[Month],"&lt;"&amp;$E320,tblSafetyHistory[Use],1))*cfg_RateBasisHours,"")</f>
        <v/>
      </c>
      <c r="IQ320" s="56">
        <f>IFERROR((SUMIFS(tblSafety[LTI],tblSafety[Date],"&gt;="&amp;EDATE($E320,-12),tblSafety[Date],"&lt;="&amp;$A320)+SUMIFS(tblSafetyHistory[LTI],tblSafetyHistory[Month],"&gt;="&amp;EDATE($E320,-12),tblSafetyHistory[Month],"&lt;"&amp;$E320,tblSafetyHistory[Use],1))/(SUMIFS(tblSafety[Hours_Total],tblSafety[Date],"&gt;="&amp;EDATE($E320,-12),tblSafety[Date],"&lt;="&amp;$A320)+SUMIFS(tblSafetyHistory[Hours_Total],tblSafetyHistory[Month],"&gt;="&amp;EDATE($E320,-12),tblSafetyHistory[Month],"&lt;"&amp;$E320,tblSafetyHistory[Use],1))*cfg_RateBasisHours,"")</f>
        <v/>
      </c>
      <c r="IR320" s="62">
        <f>IF(MAX(N(cfg_PriorLTIDate),_xlfn.MAXIFS(tblSafety[Date],tblSafety[LTI],"&gt;0",tblSafety[Date],"&lt;="&amp;$A320))=0,"",$A320-MAX(N(cfg_PriorLTIDate),_xlfn.MAXIFS(tblSafety[Date],tblSafety[LTI],"&gt;0",tblSafety[Date],"&lt;="&amp;$A320)))</f>
        <v/>
      </c>
      <c r="IS320" s="55">
        <f>SUMIFS(tblBudget[Ore_Mined_t],tblBudget[Month],$E320)</f>
        <v/>
      </c>
      <c r="IT320" s="55">
        <f>$IS320*$C320/$D320</f>
        <v/>
      </c>
      <c r="IU320" s="55">
        <f>SUMIFS(tblBudget[Ore_Mined_t],tblBudget[Month],"&lt;"&amp;$E320)+$IT320</f>
        <v/>
      </c>
      <c r="IV320" s="55">
        <f>SUMIFS(tblBudget[Ore_oz],tblBudget[Month],$E320)</f>
        <v/>
      </c>
      <c r="IW320" s="55">
        <f>$IV320*$C320/$D320</f>
        <v/>
      </c>
      <c r="IX320" s="55">
        <f>SUMIFS(tblBudget[Ore_oz],tblBudget[Month],"&lt;"&amp;$E320)+$IW320</f>
        <v/>
      </c>
      <c r="IY320" s="55">
        <f>SUMIFS(tblBudget[Ore_Mined_t],tblBudget[Month],$E320)</f>
        <v/>
      </c>
      <c r="IZ320" s="55">
        <f>$IY320*$C320/$D320</f>
        <v/>
      </c>
      <c r="JA320" s="55">
        <f>SUMIFS(tblBudget[Ore_Mined_t],tblBudget[Month],"&lt;"&amp;$E320)+$IZ320</f>
        <v/>
      </c>
      <c r="JB320" s="56">
        <f>IFERROR(IF(($IY320)&gt;0,($IV320*cfg_TroyOz)/($IY320),""),"")</f>
        <v/>
      </c>
      <c r="JC320" s="56">
        <f>IFERROR(IF(($IZ320)&gt;0,($IW320*cfg_TroyOz)/($IZ320),""),"")</f>
        <v/>
      </c>
      <c r="JD320" s="56">
        <f>IFERROR(IF(($JA320)&gt;0,($IX320*cfg_TroyOz)/($JA320),""),"")</f>
        <v/>
      </c>
      <c r="JE320" s="55">
        <f>SUMIFS(tblBudget[Waste_t],tblBudget[Month],$E320)</f>
        <v/>
      </c>
      <c r="JF320" s="55">
        <f>$JE320*$C320/$D320</f>
        <v/>
      </c>
      <c r="JG320" s="55">
        <f>SUMIFS(tblBudget[Waste_t],tblBudget[Month],"&lt;"&amp;$E320)+$JF320</f>
        <v/>
      </c>
      <c r="JH320" s="55">
        <f>SUMIFS(tblBudget[TMM_t],tblBudget[Month],$E320)</f>
        <v/>
      </c>
      <c r="JI320" s="55">
        <f>$JH320*$C320/$D320</f>
        <v/>
      </c>
      <c r="JJ320" s="55">
        <f>SUMIFS(tblBudget[TMM_t],tblBudget[Month],"&lt;"&amp;$E320)+$JI320</f>
        <v/>
      </c>
      <c r="JK320" s="56">
        <f>IFERROR(IF(($IS320)&gt;0,($JE320)/($IS320),""),"")</f>
        <v/>
      </c>
      <c r="JL320" s="56">
        <f>IFERROR(IF(($IT320)&gt;0,($JF320)/($IT320),""),"")</f>
        <v/>
      </c>
      <c r="JM320" s="56">
        <f>IFERROR(IF(($IU320)&gt;0,($JG320)/($IU320),""),"")</f>
        <v/>
      </c>
      <c r="JN320" s="55">
        <f>SUMIFS(tblBudget[Drill_m],tblBudget[Month],$E320)</f>
        <v/>
      </c>
      <c r="JO320" s="55">
        <f>$JN320*$C320/$D320</f>
        <v/>
      </c>
      <c r="JP320" s="55">
        <f>SUMIFS(tblBudget[Drill_m],tblBudget[Month],"&lt;"&amp;$E320)+$JO320</f>
        <v/>
      </c>
      <c r="JQ320" s="55">
        <f>SUMIFS(tblBudget[Diesel_L],tblBudget[Month],$E320)</f>
        <v/>
      </c>
      <c r="JR320" s="55">
        <f>$JQ320*$C320/$D320</f>
        <v/>
      </c>
      <c r="JS320" s="55">
        <f>SUMIFS(tblBudget[Diesel_L],tblBudget[Month],"&lt;"&amp;$E320)+$JR320</f>
        <v/>
      </c>
      <c r="JT320" s="55">
        <f>SUMIFS(tblBudget[Milled_t],tblBudget[Month],$E320)</f>
        <v/>
      </c>
      <c r="JU320" s="55">
        <f>$JT320*$C320/$D320</f>
        <v/>
      </c>
      <c r="JV320" s="55">
        <f>SUMIFS(tblBudget[Milled_t],tblBudget[Month],"&lt;"&amp;$E320)+$JU320</f>
        <v/>
      </c>
      <c r="JW320" s="55">
        <f>SUMIFS(tblBudget[Feed_oz],tblBudget[Month],$E320)</f>
        <v/>
      </c>
      <c r="JX320" s="55">
        <f>$JW320*$C320/$D320</f>
        <v/>
      </c>
      <c r="JY320" s="55">
        <f>SUMIFS(tblBudget[Feed_oz],tblBudget[Month],"&lt;"&amp;$E320)+$JX320</f>
        <v/>
      </c>
      <c r="JZ320" s="55">
        <f>SUMIFS(tblBudget[Recovered_oz],tblBudget[Month],$E320)</f>
        <v/>
      </c>
      <c r="KA320" s="55">
        <f>$JZ320*$C320/$D320</f>
        <v/>
      </c>
      <c r="KB320" s="55">
        <f>SUMIFS(tblBudget[Recovered_oz],tblBudget[Month],"&lt;"&amp;$E320)+$KA320</f>
        <v/>
      </c>
      <c r="KC320" s="55">
        <f>SUMIFS(tblBudget[Milled_t],tblBudget[Month],$E320)</f>
        <v/>
      </c>
      <c r="KD320" s="55">
        <f>$KC320*$C320/$D320</f>
        <v/>
      </c>
      <c r="KE320" s="55">
        <f>SUMIFS(tblBudget[Milled_t],tblBudget[Month],"&lt;"&amp;$E320)+$KD320</f>
        <v/>
      </c>
      <c r="KF320" s="55">
        <f>SUMIFS(tblBudget[Feed_oz],tblBudget[Month],$E320)</f>
        <v/>
      </c>
      <c r="KG320" s="55">
        <f>$KF320*$C320/$D320</f>
        <v/>
      </c>
      <c r="KH320" s="55">
        <f>SUMIFS(tblBudget[Feed_oz],tblBudget[Month],"&lt;"&amp;$E320)+$KG320</f>
        <v/>
      </c>
      <c r="KI320" s="56">
        <f>IFERROR(IF(($KC320)&gt;0,($JW320*cfg_TroyOz)/($KC320),""),"")</f>
        <v/>
      </c>
      <c r="KJ320" s="56">
        <f>IFERROR(IF(($KD320)&gt;0,($JX320*cfg_TroyOz)/($KD320),""),"")</f>
        <v/>
      </c>
      <c r="KK320" s="56">
        <f>IFERROR(IF(($KE320)&gt;0,($JY320*cfg_TroyOz)/($KE320),""),"")</f>
        <v/>
      </c>
      <c r="KL320" s="67">
        <f>IFERROR(IF(($KF320)&gt;0,($JZ320)/($KF320),""),"")</f>
        <v/>
      </c>
      <c r="KM320" s="67">
        <f>IFERROR(IF(($KG320)&gt;0,($KA320)/($KG320),""),"")</f>
        <v/>
      </c>
      <c r="KN320" s="67">
        <f>IFERROR(IF(($KH320)&gt;0,($KB320)/($KH320),""),"")</f>
        <v/>
      </c>
      <c r="KO320" s="55">
        <f>SUMIFS(tblBudget[Gold_Poured_oz],tblBudget[Month],$E320)</f>
        <v/>
      </c>
      <c r="KP320" s="55">
        <f>$KO320*$C320/$D320</f>
        <v/>
      </c>
      <c r="KQ320" s="55">
        <f>SUMIFS(tblBudget[Gold_Poured_oz],tblBudget[Month],"&lt;"&amp;$E320)+$KP320</f>
        <v/>
      </c>
      <c r="KR320" s="57">
        <f>SUMIFS(tblBudget[Hours_Worked],tblBudget[Month],$E320)</f>
        <v/>
      </c>
      <c r="KS320" s="57">
        <f>$KR320*$C320/$D320</f>
        <v/>
      </c>
      <c r="KT320" s="57">
        <f>SUMIFS(tblBudget[Hours_Worked],tblBudget[Month],"&lt;"&amp;$E320)+$KS320</f>
        <v/>
      </c>
    </row>
    <row r="321">
      <c r="A321" s="54" t="n">
        <v>46342</v>
      </c>
      <c r="B321">
        <f>MONTH($A321)</f>
        <v/>
      </c>
      <c r="C321">
        <f>DAY($A321)</f>
        <v/>
      </c>
      <c r="D321">
        <f>DAY(EOMONTH($A321,0))</f>
        <v/>
      </c>
      <c r="E321" s="54">
        <f>DATE(YEAR($A321),MONTH($A321),1)</f>
        <v/>
      </c>
      <c r="F321" s="55">
        <f>SUMIFS(tblMovement[Tonnes_t],tblMovement[Date],$A321,tblMovement[Is_Ore],1,tblMovement[Source_Type],"Pit")</f>
        <v/>
      </c>
      <c r="G321" s="55">
        <f>IF($B321=$B320,$G320,0)+$F321</f>
        <v/>
      </c>
      <c r="H321" s="55">
        <f>$H320+$F321</f>
        <v/>
      </c>
      <c r="I321" s="55">
        <f>SUMIFS(tblMovement[Ore_oz],tblMovement[Date],$A321,tblMovement[Source_Type],"Pit")</f>
        <v/>
      </c>
      <c r="J321" s="55">
        <f>IF($B321=$B320,$J320,0)+$I321</f>
        <v/>
      </c>
      <c r="K321" s="55">
        <f>$K320+$I321</f>
        <v/>
      </c>
      <c r="L321" s="55">
        <f>SUMIFS(tblMovement[Tonnes_t],tblMovement[Date],$A321,tblMovement[Is_Ore],1,tblMovement[Source_Type],"Pit",tblMovement[Grade_gpt],"&lt;&gt;")</f>
        <v/>
      </c>
      <c r="M321" s="55">
        <f>IF($B321=$B320,$M320,0)+$L321</f>
        <v/>
      </c>
      <c r="N321" s="55">
        <f>$N320+$L321</f>
        <v/>
      </c>
      <c r="O321" s="56">
        <f>IFERROR(IF(($L321)&gt;0,($I321*cfg_TroyOz)/($L321),""),"")</f>
        <v/>
      </c>
      <c r="P321" s="56">
        <f>IFERROR(IF(($M321)&gt;0,($J321*cfg_TroyOz)/($M321),""),"")</f>
        <v/>
      </c>
      <c r="Q321" s="56">
        <f>IFERROR(IF(($N321)&gt;0,($K321*cfg_TroyOz)/($N321),""),"")</f>
        <v/>
      </c>
      <c r="R321" s="55">
        <f>$F321-$L321</f>
        <v/>
      </c>
      <c r="S321" s="55">
        <f>IF($B321=$B320,$S320,0)+$R321</f>
        <v/>
      </c>
      <c r="T321" s="55">
        <f>$T320+$R321</f>
        <v/>
      </c>
      <c r="U321" s="55">
        <f>SUMIFS(tblMovement[Tonnes_t],tblMovement[Date],$A321,tblMovement[Is_Ore],0,tblMovement[Source_Type],"Pit")</f>
        <v/>
      </c>
      <c r="V321" s="55">
        <f>IF($B321=$B320,$V320,0)+$U321</f>
        <v/>
      </c>
      <c r="W321" s="55">
        <f>$W320+$U321</f>
        <v/>
      </c>
      <c r="X321" s="55">
        <f>$F321+$U321</f>
        <v/>
      </c>
      <c r="Y321" s="55">
        <f>IF($B321=$B320,$Y320,0)+$X321</f>
        <v/>
      </c>
      <c r="Z321" s="55">
        <f>$Z320+$X321</f>
        <v/>
      </c>
      <c r="AA321" s="56">
        <f>IFERROR(IF(($F321)&gt;0,($U321)/($F321),""),"")</f>
        <v/>
      </c>
      <c r="AB321" s="56">
        <f>IFERROR(IF(($G321)&gt;0,($V321)/($G321),""),"")</f>
        <v/>
      </c>
      <c r="AC321" s="56">
        <f>IFERROR(IF(($H321)&gt;0,($W321)/($H321),""),"")</f>
        <v/>
      </c>
      <c r="AD321" s="55">
        <f>SUMIFS(tblMovement[Tonnes_t],tblMovement[Date],$A321,tblMovement[Source_Type],"Stockpile")</f>
        <v/>
      </c>
      <c r="AE321" s="55">
        <f>IF($B321=$B320,$AE320,0)+$AD321</f>
        <v/>
      </c>
      <c r="AF321" s="55">
        <f>$AF320+$AD321</f>
        <v/>
      </c>
      <c r="AG321" s="55">
        <f>SUMIFS(tblMovement[Tonnes_t],tblMovement[Date],$A321)</f>
        <v/>
      </c>
      <c r="AH321" s="55">
        <f>IF($B321=$B320,$AH320,0)+$AG321</f>
        <v/>
      </c>
      <c r="AI321" s="55">
        <f>$AI320+$AG321</f>
        <v/>
      </c>
      <c r="AJ321" s="55">
        <f>$AG321-$X321-$AD321</f>
        <v/>
      </c>
      <c r="AK321" s="55">
        <f>IF($B321=$B320,$AK320,0)+$AJ321</f>
        <v/>
      </c>
      <c r="AL321" s="55">
        <f>$AL320+$AJ321</f>
        <v/>
      </c>
      <c r="AM321" s="55">
        <f>SUMIFS(tblMiningDaily[Drill_m],tblMiningDaily[Date],$A321)</f>
        <v/>
      </c>
      <c r="AN321" s="55">
        <f>IF($B321=$B320,$AN320,0)+$AM321</f>
        <v/>
      </c>
      <c r="AO321" s="55">
        <f>$AO320+$AM321</f>
        <v/>
      </c>
      <c r="AP321" s="55">
        <f>SUMIFS(tblMiningDaily[GC_Drill_m],tblMiningDaily[Date],$A321)</f>
        <v/>
      </c>
      <c r="AQ321" s="55">
        <f>IF($B321=$B320,$AQ320,0)+$AP321</f>
        <v/>
      </c>
      <c r="AR321" s="55">
        <f>$AR320+$AP321</f>
        <v/>
      </c>
      <c r="AS321" s="55">
        <f>SUMIFS(tblMiningDaily[Blast_t],tblMiningDaily[Date],$A321)</f>
        <v/>
      </c>
      <c r="AT321" s="55">
        <f>IF($B321=$B320,$AT320,0)+$AS321</f>
        <v/>
      </c>
      <c r="AU321" s="55">
        <f>$AU320+$AS321</f>
        <v/>
      </c>
      <c r="AV321" s="55">
        <f>SUMIFS(tblMiningDaily[Explosives_kg],tblMiningDaily[Date],$A321)</f>
        <v/>
      </c>
      <c r="AW321" s="55">
        <f>IF($B321=$B320,$AW320,0)+$AV321</f>
        <v/>
      </c>
      <c r="AX321" s="55">
        <f>$AX320+$AV321</f>
        <v/>
      </c>
      <c r="AY321" s="56">
        <f>IFERROR(IF(($AS321)&gt;0,($AV321)/($AS321),""),"")</f>
        <v/>
      </c>
      <c r="AZ321" s="56">
        <f>IFERROR(IF(($AT321)&gt;0,($AW321)/($AT321),""),"")</f>
        <v/>
      </c>
      <c r="BA321" s="56">
        <f>IFERROR(IF(($AU321)&gt;0,($AX321)/($AU321),""),"")</f>
        <v/>
      </c>
      <c r="BB321" s="55">
        <f>SUMIFS(tblMiningDaily[Diesel_L],tblMiningDaily[Date],$A321)</f>
        <v/>
      </c>
      <c r="BC321" s="55">
        <f>IF($B321=$B320,$BC320,0)+$BB321</f>
        <v/>
      </c>
      <c r="BD321" s="55">
        <f>$BD320+$BB321</f>
        <v/>
      </c>
      <c r="BE321" s="55">
        <f>SUMIFS(tblMiningDaily[Dewatering_m3],tblMiningDaily[Date],$A321)</f>
        <v/>
      </c>
      <c r="BF321" s="55">
        <f>IF($B321=$B320,$BF320,0)+$BE321</f>
        <v/>
      </c>
      <c r="BG321" s="55">
        <f>$BG320+$BE321</f>
        <v/>
      </c>
      <c r="BH321" s="57">
        <f>SUMIFS(tblFleet[Calendar_h],tblFleet[Date],$A321,tblFleet[Equipment_Class],"Excavator")</f>
        <v/>
      </c>
      <c r="BI321" s="57">
        <f>IF($B321=$B320,$BI320,0)+$BH321</f>
        <v/>
      </c>
      <c r="BJ321" s="57">
        <f>$BJ320+$BH321</f>
        <v/>
      </c>
      <c r="BK321" s="57">
        <f>SUMIFS(tblFleet[Available_h],tblFleet[Date],$A321,tblFleet[Equipment_Class],"Excavator")</f>
        <v/>
      </c>
      <c r="BL321" s="57">
        <f>IF($B321=$B320,$BL320,0)+$BK321</f>
        <v/>
      </c>
      <c r="BM321" s="57">
        <f>$BM320+$BK321</f>
        <v/>
      </c>
      <c r="BN321" s="57">
        <f>SUMIFS(tblFleet[Operating_h],tblFleet[Date],$A321,tblFleet[Equipment_Class],"Excavator")</f>
        <v/>
      </c>
      <c r="BO321" s="57">
        <f>IF($B321=$B320,$BO320,0)+$BN321</f>
        <v/>
      </c>
      <c r="BP321" s="57">
        <f>$BP320+$BN321</f>
        <v/>
      </c>
      <c r="BQ321" s="67">
        <f>IFERROR(IF(($BH321)&gt;0,($BK321)/($BH321),""),"")</f>
        <v/>
      </c>
      <c r="BR321" s="67">
        <f>IFERROR(IF(($BI321)&gt;0,($BL321)/($BI321),""),"")</f>
        <v/>
      </c>
      <c r="BS321" s="67">
        <f>IFERROR(IF(($BJ321)&gt;0,($BM321)/($BJ321),""),"")</f>
        <v/>
      </c>
      <c r="BT321" s="67">
        <f>IFERROR(IF(($BK321)&gt;0,($BN321)/($BK321),""),"")</f>
        <v/>
      </c>
      <c r="BU321" s="67">
        <f>IFERROR(IF(($BL321)&gt;0,($BO321)/($BL321),""),"")</f>
        <v/>
      </c>
      <c r="BV321" s="67">
        <f>IFERROR(IF(($BM321)&gt;0,($BP321)/($BM321),""),"")</f>
        <v/>
      </c>
      <c r="BW321" s="57">
        <f>SUMIFS(tblFleet[Calendar_h],tblFleet[Date],$A321,tblFleet[Equipment_Class],"Haul Truck")</f>
        <v/>
      </c>
      <c r="BX321" s="57">
        <f>IF($B321=$B320,$BX320,0)+$BW321</f>
        <v/>
      </c>
      <c r="BY321" s="57">
        <f>$BY320+$BW321</f>
        <v/>
      </c>
      <c r="BZ321" s="57">
        <f>SUMIFS(tblFleet[Available_h],tblFleet[Date],$A321,tblFleet[Equipment_Class],"Haul Truck")</f>
        <v/>
      </c>
      <c r="CA321" s="57">
        <f>IF($B321=$B320,$CA320,0)+$BZ321</f>
        <v/>
      </c>
      <c r="CB321" s="57">
        <f>$CB320+$BZ321</f>
        <v/>
      </c>
      <c r="CC321" s="57">
        <f>SUMIFS(tblFleet[Operating_h],tblFleet[Date],$A321,tblFleet[Equipment_Class],"Haul Truck")</f>
        <v/>
      </c>
      <c r="CD321" s="57">
        <f>IF($B321=$B320,$CD320,0)+$CC321</f>
        <v/>
      </c>
      <c r="CE321" s="57">
        <f>$CE320+$CC321</f>
        <v/>
      </c>
      <c r="CF321" s="67">
        <f>IFERROR(IF(($BW321)&gt;0,($BZ321)/($BW321),""),"")</f>
        <v/>
      </c>
      <c r="CG321" s="67">
        <f>IFERROR(IF(($BX321)&gt;0,($CA321)/($BX321),""),"")</f>
        <v/>
      </c>
      <c r="CH321" s="67">
        <f>IFERROR(IF(($BY321)&gt;0,($CB321)/($BY321),""),"")</f>
        <v/>
      </c>
      <c r="CI321" s="67">
        <f>IFERROR(IF(($BZ321)&gt;0,($CC321)/($BZ321),""),"")</f>
        <v/>
      </c>
      <c r="CJ321" s="67">
        <f>IFERROR(IF(($CA321)&gt;0,($CD321)/($CA321),""),"")</f>
        <v/>
      </c>
      <c r="CK321" s="67">
        <f>IFERROR(IF(($CB321)&gt;0,($CE321)/($CB321),""),"")</f>
        <v/>
      </c>
      <c r="CL321" s="55">
        <f>IFERROR(IF(($BN321)&gt;0,($X321+$AD321)/($BN321),""),"")</f>
        <v/>
      </c>
      <c r="CM321" s="55">
        <f>IFERROR(IF(($BO321)&gt;0,($Y321+$AE321)/($BO321),""),"")</f>
        <v/>
      </c>
      <c r="CN321" s="55">
        <f>IFERROR(IF(($BP321)&gt;0,($Z321+$AF321)/($BP321),""),"")</f>
        <v/>
      </c>
      <c r="CO321" s="55">
        <f>IFERROR(IF(($CC321)&gt;0,($X321+$AD321)/($CC321),""),"")</f>
        <v/>
      </c>
      <c r="CP321" s="55">
        <f>IFERROR(IF(($CD321)&gt;0,($Y321+$AE321)/($CD321),""),"")</f>
        <v/>
      </c>
      <c r="CQ321" s="55">
        <f>IFERROR(IF(($CE321)&gt;0,($Z321+$AF321)/($CE321),""),"")</f>
        <v/>
      </c>
      <c r="CR321" s="55">
        <f>SUMIFS(tblPlant[Crushed_t],tblPlant[Date],$A321)</f>
        <v/>
      </c>
      <c r="CS321" s="55">
        <f>IF($B321=$B320,$CS320,0)+$CR321</f>
        <v/>
      </c>
      <c r="CT321" s="55">
        <f>$CT320+$CR321</f>
        <v/>
      </c>
      <c r="CU321" s="55">
        <f>SUMIFS(tblPlant[Milled_t],tblPlant[Date],$A321)</f>
        <v/>
      </c>
      <c r="CV321" s="55">
        <f>IF($B321=$B320,$CV320,0)+$CU321</f>
        <v/>
      </c>
      <c r="CW321" s="55">
        <f>$CW320+$CU321</f>
        <v/>
      </c>
      <c r="CX321" s="55">
        <f>SUMIFS(tblPlant[Feed_oz],tblPlant[Date],$A321)</f>
        <v/>
      </c>
      <c r="CY321" s="55">
        <f>IF($B321=$B320,$CY320,0)+$CX321</f>
        <v/>
      </c>
      <c r="CZ321" s="55">
        <f>$CZ320+$CX321</f>
        <v/>
      </c>
      <c r="DA321" s="55">
        <f>SUMIFS(tblPlant[Tails_oz],tblPlant[Date],$A321)</f>
        <v/>
      </c>
      <c r="DB321" s="55">
        <f>IF($B321=$B320,$DB320,0)+$DA321</f>
        <v/>
      </c>
      <c r="DC321" s="55">
        <f>$DC320+$DA321</f>
        <v/>
      </c>
      <c r="DD321" s="55">
        <f>SUMIFS(tblPlant[Recovered_oz],tblPlant[Date],$A321)</f>
        <v/>
      </c>
      <c r="DE321" s="55">
        <f>IF($B321=$B320,$DE320,0)+$DD321</f>
        <v/>
      </c>
      <c r="DF321" s="55">
        <f>$DF320+$DD321</f>
        <v/>
      </c>
      <c r="DG321" s="55">
        <f>SUMIFS(tblPlant[Milled_t],tblPlant[Date],$A321,tblPlant[Head_Grade_gpt],"&lt;&gt;")</f>
        <v/>
      </c>
      <c r="DH321" s="55">
        <f>IF($B321=$B320,$DH320,0)+$DG321</f>
        <v/>
      </c>
      <c r="DI321" s="55">
        <f>$DI320+$DG321</f>
        <v/>
      </c>
      <c r="DJ321" s="55">
        <f>SUMIFS(tblPlant[Milled_t],tblPlant[Date],$A321,tblPlant[Tails_Grade_gpt],"&lt;&gt;")</f>
        <v/>
      </c>
      <c r="DK321" s="55">
        <f>IF($B321=$B320,$DK320,0)+$DJ321</f>
        <v/>
      </c>
      <c r="DL321" s="55">
        <f>$DL320+$DJ321</f>
        <v/>
      </c>
      <c r="DM321" s="55">
        <f>SUMIFS(tblPlant[Feed_oz],tblPlant[Date],$A321,tblPlant[Tails_Grade_gpt],"&lt;&gt;")</f>
        <v/>
      </c>
      <c r="DN321" s="55">
        <f>IF($B321=$B320,$DN320,0)+$DM321</f>
        <v/>
      </c>
      <c r="DO321" s="55">
        <f>$DO320+$DM321</f>
        <v/>
      </c>
      <c r="DP321" s="55">
        <f>SUMIFS(tblPlant[Milled_t],tblPlant[Date],$A321,tblPlant[Mill_Run_h],"&lt;&gt;")</f>
        <v/>
      </c>
      <c r="DQ321" s="55">
        <f>IF($B321=$B320,$DQ320,0)+$DP321</f>
        <v/>
      </c>
      <c r="DR321" s="55">
        <f>$DR320+$DP321</f>
        <v/>
      </c>
      <c r="DS321" s="56">
        <f>IFERROR(IF(($DG321)&gt;0,($CX321*cfg_TroyOz)/($DG321),""),"")</f>
        <v/>
      </c>
      <c r="DT321" s="56">
        <f>IFERROR(IF(($DH321)&gt;0,($CY321*cfg_TroyOz)/($DH321),""),"")</f>
        <v/>
      </c>
      <c r="DU321" s="56">
        <f>IFERROR(IF(($DI321)&gt;0,($CZ321*cfg_TroyOz)/($DI321),""),"")</f>
        <v/>
      </c>
      <c r="DV321" s="56">
        <f>IFERROR(IF(($DJ321)&gt;0,($DA321*cfg_TroyOz)/($DJ321),""),"")</f>
        <v/>
      </c>
      <c r="DW321" s="56">
        <f>IFERROR(IF(($DK321)&gt;0,($DB321*cfg_TroyOz)/($DK321),""),"")</f>
        <v/>
      </c>
      <c r="DX321" s="56">
        <f>IFERROR(IF(($DL321)&gt;0,($DC321*cfg_TroyOz)/($DL321),""),"")</f>
        <v/>
      </c>
      <c r="DY321" s="67">
        <f>IFERROR(IF(($DM321)&gt;0,($DD321)/($DM321),""),"")</f>
        <v/>
      </c>
      <c r="DZ321" s="67">
        <f>IFERROR(IF(($DN321)&gt;0,($DE321)/($DN321),""),"")</f>
        <v/>
      </c>
      <c r="EA321" s="67">
        <f>IFERROR(IF(($DO321)&gt;0,($DF321)/($DO321),""),"")</f>
        <v/>
      </c>
      <c r="EB321" s="55">
        <f>SUMIFS(tblPlant[Gravity_Gold_oz],tblPlant[Date],$A321)</f>
        <v/>
      </c>
      <c r="EC321" s="55">
        <f>IF($B321=$B320,$EC320,0)+$EB321</f>
        <v/>
      </c>
      <c r="ED321" s="55">
        <f>$ED320+$EB321</f>
        <v/>
      </c>
      <c r="EE321" s="67">
        <f>IFERROR(IF(($DD321)&gt;0,($EB321)/($DD321),""),"")</f>
        <v/>
      </c>
      <c r="EF321" s="67">
        <f>IFERROR(IF(($DE321)&gt;0,($EC321)/($DE321),""),"")</f>
        <v/>
      </c>
      <c r="EG321" s="67">
        <f>IFERROR(IF(($DF321)&gt;0,($ED321)/($DF321),""),"")</f>
        <v/>
      </c>
      <c r="EH321" s="55">
        <f>SUMIFS(tblPlant[Gold_Poured_oz],tblPlant[Date],$A321)</f>
        <v/>
      </c>
      <c r="EI321" s="55">
        <f>IF($B321=$B320,$EI320,0)+$EH321</f>
        <v/>
      </c>
      <c r="EJ321" s="55">
        <f>$EJ320+$EH321</f>
        <v/>
      </c>
      <c r="EK321" s="57">
        <f>SUMIFS(tblPlant[Mill_Run_h],tblPlant[Date],$A321)</f>
        <v/>
      </c>
      <c r="EL321" s="57">
        <f>IF($B321=$B320,$EL320,0)+$EK321</f>
        <v/>
      </c>
      <c r="EM321" s="57">
        <f>$EM320+$EK321</f>
        <v/>
      </c>
      <c r="EN321" s="57">
        <f>SUMIFS(tblPlant[Mill_Planned_Maint_h],tblPlant[Date],$A321)</f>
        <v/>
      </c>
      <c r="EO321" s="57">
        <f>IF($B321=$B320,$EO320,0)+$EN321</f>
        <v/>
      </c>
      <c r="EP321" s="57">
        <f>$EP320+$EN321</f>
        <v/>
      </c>
      <c r="EQ321" s="57">
        <f>SUMIFS(tblPlant[Mill_Unplanned_Down_h],tblPlant[Date],$A321)</f>
        <v/>
      </c>
      <c r="ER321" s="57">
        <f>IF($B321=$B320,$ER320,0)+$EQ321</f>
        <v/>
      </c>
      <c r="ES321" s="57">
        <f>$ES320+$EQ321</f>
        <v/>
      </c>
      <c r="ET321" s="57">
        <f>IF(COUNTIFS(tblPlant[Date],$A321,tblPlant[Mill_Run_h],"&lt;&gt;")+COUNTIFS(tblPlant[Date],$A321,tblPlant[Mill_Planned_Maint_h],"&lt;&gt;")+COUNTIFS(tblPlant[Date],$A321,tblPlant[Mill_Unplanned_Down_h],"&lt;&gt;")&gt;0,cfg_HoursPerDay,0)</f>
        <v/>
      </c>
      <c r="EU321" s="57">
        <f>IF($B321=$B320,$EU320,0)+$ET321</f>
        <v/>
      </c>
      <c r="EV321" s="57">
        <f>$EV320+$ET321</f>
        <v/>
      </c>
      <c r="EW321" s="57">
        <f>SUMIFS(tblPlant[Crusher_Run_h],tblPlant[Date],$A321)</f>
        <v/>
      </c>
      <c r="EX321" s="57">
        <f>IF($B321=$B320,$EX320,0)+$EW321</f>
        <v/>
      </c>
      <c r="EY321" s="57">
        <f>$EY320+$EW321</f>
        <v/>
      </c>
      <c r="EZ321" s="55">
        <f>IFERROR(IF(($EK321)&gt;0,($DP321)/($EK321),""),"")</f>
        <v/>
      </c>
      <c r="FA321" s="55">
        <f>IFERROR(IF(($EL321)&gt;0,($DQ321)/($EL321),""),"")</f>
        <v/>
      </c>
      <c r="FB321" s="55">
        <f>IFERROR(IF(($EM321)&gt;0,($DR321)/($EM321),""),"")</f>
        <v/>
      </c>
      <c r="FC321" s="67">
        <f>IFERROR(IF(($ET321)&gt;0,($ET321-$EN321-$EQ321)/($ET321),""),"")</f>
        <v/>
      </c>
      <c r="FD321" s="67">
        <f>IFERROR(IF(($EU321)&gt;0,($EU321-$EO321-$ER321)/($EU321),""),"")</f>
        <v/>
      </c>
      <c r="FE321" s="67">
        <f>IFERROR(IF(($EV321)&gt;0,($EV321-$EP321-$ES321)/($EV321),""),"")</f>
        <v/>
      </c>
      <c r="FF321" s="67">
        <f>IFERROR(IF(($ET321-$EN321-$EQ321)&gt;0,($EK321)/($ET321-$EN321-$EQ321),""),"")</f>
        <v/>
      </c>
      <c r="FG321" s="67">
        <f>IFERROR(IF(($EU321-$EO321-$ER321)&gt;0,($EL321)/($EU321-$EO321-$ER321),""),"")</f>
        <v/>
      </c>
      <c r="FH321" s="67">
        <f>IFERROR(IF(($EV321-$EP321-$ES321)&gt;0,($EM321)/($EV321-$EP321-$ES321),""),"")</f>
        <v/>
      </c>
      <c r="FI321" s="55">
        <f>SUMIFS(tblPlant[Cyanide_kg],tblPlant[Date],$A321)</f>
        <v/>
      </c>
      <c r="FJ321" s="55">
        <f>IF($B321=$B320,$FJ320,0)+$FI321</f>
        <v/>
      </c>
      <c r="FK321" s="55">
        <f>$FK320+$FI321</f>
        <v/>
      </c>
      <c r="FL321" s="55">
        <f>SUMIFS(tblPlant[Lime_kg],tblPlant[Date],$A321)</f>
        <v/>
      </c>
      <c r="FM321" s="55">
        <f>IF($B321=$B320,$FM320,0)+$FL321</f>
        <v/>
      </c>
      <c r="FN321" s="55">
        <f>$FN320+$FL321</f>
        <v/>
      </c>
      <c r="FO321" s="55">
        <f>SUMIFS(tblPlant[Grinding_Media_kg],tblPlant[Date],$A321)</f>
        <v/>
      </c>
      <c r="FP321" s="55">
        <f>IF($B321=$B320,$FP320,0)+$FO321</f>
        <v/>
      </c>
      <c r="FQ321" s="55">
        <f>$FQ320+$FO321</f>
        <v/>
      </c>
      <c r="FR321" s="55">
        <f>SUMIFS(tblPlant[Power_kWh],tblPlant[Date],$A321)</f>
        <v/>
      </c>
      <c r="FS321" s="55">
        <f>IF($B321=$B320,$FS320,0)+$FR321</f>
        <v/>
      </c>
      <c r="FT321" s="55">
        <f>$FT320+$FR321</f>
        <v/>
      </c>
      <c r="FU321" s="55">
        <f>SUMIFS(tblPlant[Raw_Water_m3],tblPlant[Date],$A321)</f>
        <v/>
      </c>
      <c r="FV321" s="55">
        <f>IF($B321=$B320,$FV320,0)+$FU321</f>
        <v/>
      </c>
      <c r="FW321" s="55">
        <f>$FW320+$FU321</f>
        <v/>
      </c>
      <c r="FX321" s="56">
        <f>IFERROR(IF(($CU321)&gt;0,($FI321)/($CU321),""),"")</f>
        <v/>
      </c>
      <c r="FY321" s="56">
        <f>IFERROR(IF(($CV321)&gt;0,($FJ321)/($CV321),""),"")</f>
        <v/>
      </c>
      <c r="FZ321" s="56">
        <f>IFERROR(IF(($CW321)&gt;0,($FK321)/($CW321),""),"")</f>
        <v/>
      </c>
      <c r="GA321" s="56">
        <f>IFERROR(IF(($CU321)&gt;0,($FL321)/($CU321),""),"")</f>
        <v/>
      </c>
      <c r="GB321" s="56">
        <f>IFERROR(IF(($CV321)&gt;0,($FM321)/($CV321),""),"")</f>
        <v/>
      </c>
      <c r="GC321" s="56">
        <f>IFERROR(IF(($CW321)&gt;0,($FN321)/($CW321),""),"")</f>
        <v/>
      </c>
      <c r="GD321" s="56">
        <f>IFERROR(IF(($CU321)&gt;0,($FO321)/($CU321),""),"")</f>
        <v/>
      </c>
      <c r="GE321" s="56">
        <f>IFERROR(IF(($CV321)&gt;0,($FP321)/($CV321),""),"")</f>
        <v/>
      </c>
      <c r="GF321" s="56">
        <f>IFERROR(IF(($CW321)&gt;0,($FQ321)/($CW321),""),"")</f>
        <v/>
      </c>
      <c r="GG321" s="79">
        <f>IFERROR(IF(($CU321)&gt;0,($FR321)/($CU321),""),"")</f>
        <v/>
      </c>
      <c r="GH321" s="79">
        <f>IFERROR(IF(($CV321)&gt;0,($FS321)/($CV321),""),"")</f>
        <v/>
      </c>
      <c r="GI321" s="79">
        <f>IFERROR(IF(($CW321)&gt;0,($FT321)/($CW321),""),"")</f>
        <v/>
      </c>
      <c r="GJ321" s="56">
        <f>IFERROR(IF(($CU321)&gt;0,($FU321)/($CU321),""),"")</f>
        <v/>
      </c>
      <c r="GK321" s="56">
        <f>IFERROR(IF(($CV321)&gt;0,($FV321)/($CV321),""),"")</f>
        <v/>
      </c>
      <c r="GL321" s="56">
        <f>IFERROR(IF(($CW321)&gt;0,($FW321)/($CW321),""),"")</f>
        <v/>
      </c>
      <c r="GM321" s="55">
        <f>IF(SUMIFS(tblPlant[GIC_oz],tblPlant[Date],$A321)&gt;0,SUMIFS(tblPlant[GIC_oz],tblPlant[Date],$A321),"")</f>
        <v/>
      </c>
      <c r="GN321" s="55">
        <f>SUMIFS(tblGold[Gold_oz],tblGold[Date],$A321,tblGold[Type],"Shipment")</f>
        <v/>
      </c>
      <c r="GO321" s="55">
        <f>IF($B321=$B320,$GO320,0)+$GN321</f>
        <v/>
      </c>
      <c r="GP321" s="55">
        <f>$GP320+$GN321</f>
        <v/>
      </c>
      <c r="GQ321" s="55">
        <f>SUMIFS(tblGold[Gold_oz],tblGold[Date],$A321,tblGold[Type],"Sale")</f>
        <v/>
      </c>
      <c r="GR321" s="55">
        <f>IF($B321=$B320,$GR320,0)+$GQ321</f>
        <v/>
      </c>
      <c r="GS321" s="55">
        <f>$GS320+$GQ321</f>
        <v/>
      </c>
      <c r="GT321" s="55">
        <f>SUMIFS(tblGold[Dore_kg],tblGold[Date],$A321,tblGold[Type],"Shipment")</f>
        <v/>
      </c>
      <c r="GU321" s="55">
        <f>IF($B321=$B320,$GU320,0)+$GT321</f>
        <v/>
      </c>
      <c r="GV321" s="55">
        <f>$GV320+$GT321</f>
        <v/>
      </c>
      <c r="GW321" s="57">
        <f>SUMIFS(tblSafety[Hours_Total],tblSafety[Date],$A321)</f>
        <v/>
      </c>
      <c r="GX321" s="57">
        <f>IF($B321=$B320,$GX320,0)+$GW321</f>
        <v/>
      </c>
      <c r="GY321" s="57">
        <f>$GY320+$GW321</f>
        <v/>
      </c>
      <c r="GZ321" s="62">
        <f>SUMIFS(tblSafety[Fatality],tblSafety[Date],$A321)</f>
        <v/>
      </c>
      <c r="HA321" s="62">
        <f>IF($B321=$B320,$HA320,0)+$GZ321</f>
        <v/>
      </c>
      <c r="HB321" s="62">
        <f>$HB320+$GZ321</f>
        <v/>
      </c>
      <c r="HC321" s="62">
        <f>SUMIFS(tblSafety[LTI],tblSafety[Date],$A321)</f>
        <v/>
      </c>
      <c r="HD321" s="62">
        <f>IF($B321=$B320,$HD320,0)+$HC321</f>
        <v/>
      </c>
      <c r="HE321" s="62">
        <f>$HE320+$HC321</f>
        <v/>
      </c>
      <c r="HF321" s="62">
        <f>SUMIFS(tblSafety[RWI],tblSafety[Date],$A321)</f>
        <v/>
      </c>
      <c r="HG321" s="62">
        <f>IF($B321=$B320,$HG320,0)+$HF321</f>
        <v/>
      </c>
      <c r="HH321" s="62">
        <f>$HH320+$HF321</f>
        <v/>
      </c>
      <c r="HI321" s="62">
        <f>SUMIFS(tblSafety[MTI],tblSafety[Date],$A321)</f>
        <v/>
      </c>
      <c r="HJ321" s="62">
        <f>IF($B321=$B320,$HJ320,0)+$HI321</f>
        <v/>
      </c>
      <c r="HK321" s="62">
        <f>$HK320+$HI321</f>
        <v/>
      </c>
      <c r="HL321" s="62">
        <f>SUMIFS(tblSafety[FAI],tblSafety[Date],$A321)</f>
        <v/>
      </c>
      <c r="HM321" s="62">
        <f>IF($B321=$B320,$HM320,0)+$HL321</f>
        <v/>
      </c>
      <c r="HN321" s="62">
        <f>$HN320+$HL321</f>
        <v/>
      </c>
      <c r="HO321" s="62">
        <f>SUMIFS(tblSafety[Recordables],tblSafety[Date],$A321)</f>
        <v/>
      </c>
      <c r="HP321" s="62">
        <f>IF($B321=$B320,$HP320,0)+$HO321</f>
        <v/>
      </c>
      <c r="HQ321" s="62">
        <f>$HQ320+$HO321</f>
        <v/>
      </c>
      <c r="HR321" s="62">
        <f>SUMIFS(tblSafety[Near_Miss],tblSafety[Date],$A321)</f>
        <v/>
      </c>
      <c r="HS321" s="62">
        <f>IF($B321=$B320,$HS320,0)+$HR321</f>
        <v/>
      </c>
      <c r="HT321" s="62">
        <f>$HT320+$HR321</f>
        <v/>
      </c>
      <c r="HU321" s="62">
        <f>SUMIFS(tblSafety[Hazard_Reports],tblSafety[Date],$A321)</f>
        <v/>
      </c>
      <c r="HV321" s="62">
        <f>IF($B321=$B320,$HV320,0)+$HU321</f>
        <v/>
      </c>
      <c r="HW321" s="62">
        <f>$HW320+$HU321</f>
        <v/>
      </c>
      <c r="HX321" s="62">
        <f>SUMIFS(tblSafety[HPI],tblSafety[Date],$A321)</f>
        <v/>
      </c>
      <c r="HY321" s="62">
        <f>IF($B321=$B320,$HY320,0)+$HX321</f>
        <v/>
      </c>
      <c r="HZ321" s="62">
        <f>$HZ320+$HX321</f>
        <v/>
      </c>
      <c r="IA321" s="62">
        <f>SUMIFS(tblSafety[Env_Incidents],tblSafety[Date],$A321)</f>
        <v/>
      </c>
      <c r="IB321" s="62">
        <f>IF($B321=$B320,$IB320,0)+$IA321</f>
        <v/>
      </c>
      <c r="IC321" s="62">
        <f>$IC320+$IA321</f>
        <v/>
      </c>
      <c r="ID321" s="62">
        <f>SUMIFS(tblSafety[Community_Incidents],tblSafety[Date],$A321)</f>
        <v/>
      </c>
      <c r="IE321" s="62">
        <f>IF($B321=$B320,$IE320,0)+$ID321</f>
        <v/>
      </c>
      <c r="IF321" s="62">
        <f>$IF320+$ID321</f>
        <v/>
      </c>
      <c r="IG321" s="62">
        <f>SUMIFS(tblSafety[Vehicle_Incidents],tblSafety[Date],$A321)</f>
        <v/>
      </c>
      <c r="IH321" s="62">
        <f>IF($B321=$B320,$IH320,0)+$IG321</f>
        <v/>
      </c>
      <c r="II321" s="62">
        <f>$II320+$IG321</f>
        <v/>
      </c>
      <c r="IJ321" s="62">
        <f>SUMIFS(tblSafety[Toolbox_Talks],tblSafety[Date],$A321)</f>
        <v/>
      </c>
      <c r="IK321" s="62">
        <f>IF($B321=$B320,$IK320,0)+$IJ321</f>
        <v/>
      </c>
      <c r="IL321" s="62">
        <f>$IL320+$IJ321</f>
        <v/>
      </c>
      <c r="IM321" s="62">
        <f>SUMIFS(tblSafety[Inspections],tblSafety[Date],$A321)</f>
        <v/>
      </c>
      <c r="IN321" s="62">
        <f>IF($B321=$B320,$IN320,0)+$IM321</f>
        <v/>
      </c>
      <c r="IO321" s="62">
        <f>$IO320+$IM321</f>
        <v/>
      </c>
      <c r="IP321" s="56">
        <f>IFERROR((SUMIFS(tblSafety[Recordables],tblSafety[Date],"&gt;="&amp;EDATE($E321,-12),tblSafety[Date],"&lt;="&amp;$A321)+SUMIFS(tblSafetyHistory[Recordables],tblSafetyHistory[Month],"&gt;="&amp;EDATE($E321,-12),tblSafetyHistory[Month],"&lt;"&amp;$E321,tblSafetyHistory[Use],1))/(SUMIFS(tblSafety[Hours_Total],tblSafety[Date],"&gt;="&amp;EDATE($E321,-12),tblSafety[Date],"&lt;="&amp;$A321)+SUMIFS(tblSafetyHistory[Hours_Total],tblSafetyHistory[Month],"&gt;="&amp;EDATE($E321,-12),tblSafetyHistory[Month],"&lt;"&amp;$E321,tblSafetyHistory[Use],1))*cfg_RateBasisHours,"")</f>
        <v/>
      </c>
      <c r="IQ321" s="56">
        <f>IFERROR((SUMIFS(tblSafety[LTI],tblSafety[Date],"&gt;="&amp;EDATE($E321,-12),tblSafety[Date],"&lt;="&amp;$A321)+SUMIFS(tblSafetyHistory[LTI],tblSafetyHistory[Month],"&gt;="&amp;EDATE($E321,-12),tblSafetyHistory[Month],"&lt;"&amp;$E321,tblSafetyHistory[Use],1))/(SUMIFS(tblSafety[Hours_Total],tblSafety[Date],"&gt;="&amp;EDATE($E321,-12),tblSafety[Date],"&lt;="&amp;$A321)+SUMIFS(tblSafetyHistory[Hours_Total],tblSafetyHistory[Month],"&gt;="&amp;EDATE($E321,-12),tblSafetyHistory[Month],"&lt;"&amp;$E321,tblSafetyHistory[Use],1))*cfg_RateBasisHours,"")</f>
        <v/>
      </c>
      <c r="IR321" s="62">
        <f>IF(MAX(N(cfg_PriorLTIDate),_xlfn.MAXIFS(tblSafety[Date],tblSafety[LTI],"&gt;0",tblSafety[Date],"&lt;="&amp;$A321))=0,"",$A321-MAX(N(cfg_PriorLTIDate),_xlfn.MAXIFS(tblSafety[Date],tblSafety[LTI],"&gt;0",tblSafety[Date],"&lt;="&amp;$A321)))</f>
        <v/>
      </c>
      <c r="IS321" s="55">
        <f>SUMIFS(tblBudget[Ore_Mined_t],tblBudget[Month],$E321)</f>
        <v/>
      </c>
      <c r="IT321" s="55">
        <f>$IS321*$C321/$D321</f>
        <v/>
      </c>
      <c r="IU321" s="55">
        <f>SUMIFS(tblBudget[Ore_Mined_t],tblBudget[Month],"&lt;"&amp;$E321)+$IT321</f>
        <v/>
      </c>
      <c r="IV321" s="55">
        <f>SUMIFS(tblBudget[Ore_oz],tblBudget[Month],$E321)</f>
        <v/>
      </c>
      <c r="IW321" s="55">
        <f>$IV321*$C321/$D321</f>
        <v/>
      </c>
      <c r="IX321" s="55">
        <f>SUMIFS(tblBudget[Ore_oz],tblBudget[Month],"&lt;"&amp;$E321)+$IW321</f>
        <v/>
      </c>
      <c r="IY321" s="55">
        <f>SUMIFS(tblBudget[Ore_Mined_t],tblBudget[Month],$E321)</f>
        <v/>
      </c>
      <c r="IZ321" s="55">
        <f>$IY321*$C321/$D321</f>
        <v/>
      </c>
      <c r="JA321" s="55">
        <f>SUMIFS(tblBudget[Ore_Mined_t],tblBudget[Month],"&lt;"&amp;$E321)+$IZ321</f>
        <v/>
      </c>
      <c r="JB321" s="56">
        <f>IFERROR(IF(($IY321)&gt;0,($IV321*cfg_TroyOz)/($IY321),""),"")</f>
        <v/>
      </c>
      <c r="JC321" s="56">
        <f>IFERROR(IF(($IZ321)&gt;0,($IW321*cfg_TroyOz)/($IZ321),""),"")</f>
        <v/>
      </c>
      <c r="JD321" s="56">
        <f>IFERROR(IF(($JA321)&gt;0,($IX321*cfg_TroyOz)/($JA321),""),"")</f>
        <v/>
      </c>
      <c r="JE321" s="55">
        <f>SUMIFS(tblBudget[Waste_t],tblBudget[Month],$E321)</f>
        <v/>
      </c>
      <c r="JF321" s="55">
        <f>$JE321*$C321/$D321</f>
        <v/>
      </c>
      <c r="JG321" s="55">
        <f>SUMIFS(tblBudget[Waste_t],tblBudget[Month],"&lt;"&amp;$E321)+$JF321</f>
        <v/>
      </c>
      <c r="JH321" s="55">
        <f>SUMIFS(tblBudget[TMM_t],tblBudget[Month],$E321)</f>
        <v/>
      </c>
      <c r="JI321" s="55">
        <f>$JH321*$C321/$D321</f>
        <v/>
      </c>
      <c r="JJ321" s="55">
        <f>SUMIFS(tblBudget[TMM_t],tblBudget[Month],"&lt;"&amp;$E321)+$JI321</f>
        <v/>
      </c>
      <c r="JK321" s="56">
        <f>IFERROR(IF(($IS321)&gt;0,($JE321)/($IS321),""),"")</f>
        <v/>
      </c>
      <c r="JL321" s="56">
        <f>IFERROR(IF(($IT321)&gt;0,($JF321)/($IT321),""),"")</f>
        <v/>
      </c>
      <c r="JM321" s="56">
        <f>IFERROR(IF(($IU321)&gt;0,($JG321)/($IU321),""),"")</f>
        <v/>
      </c>
      <c r="JN321" s="55">
        <f>SUMIFS(tblBudget[Drill_m],tblBudget[Month],$E321)</f>
        <v/>
      </c>
      <c r="JO321" s="55">
        <f>$JN321*$C321/$D321</f>
        <v/>
      </c>
      <c r="JP321" s="55">
        <f>SUMIFS(tblBudget[Drill_m],tblBudget[Month],"&lt;"&amp;$E321)+$JO321</f>
        <v/>
      </c>
      <c r="JQ321" s="55">
        <f>SUMIFS(tblBudget[Diesel_L],tblBudget[Month],$E321)</f>
        <v/>
      </c>
      <c r="JR321" s="55">
        <f>$JQ321*$C321/$D321</f>
        <v/>
      </c>
      <c r="JS321" s="55">
        <f>SUMIFS(tblBudget[Diesel_L],tblBudget[Month],"&lt;"&amp;$E321)+$JR321</f>
        <v/>
      </c>
      <c r="JT321" s="55">
        <f>SUMIFS(tblBudget[Milled_t],tblBudget[Month],$E321)</f>
        <v/>
      </c>
      <c r="JU321" s="55">
        <f>$JT321*$C321/$D321</f>
        <v/>
      </c>
      <c r="JV321" s="55">
        <f>SUMIFS(tblBudget[Milled_t],tblBudget[Month],"&lt;"&amp;$E321)+$JU321</f>
        <v/>
      </c>
      <c r="JW321" s="55">
        <f>SUMIFS(tblBudget[Feed_oz],tblBudget[Month],$E321)</f>
        <v/>
      </c>
      <c r="JX321" s="55">
        <f>$JW321*$C321/$D321</f>
        <v/>
      </c>
      <c r="JY321" s="55">
        <f>SUMIFS(tblBudget[Feed_oz],tblBudget[Month],"&lt;"&amp;$E321)+$JX321</f>
        <v/>
      </c>
      <c r="JZ321" s="55">
        <f>SUMIFS(tblBudget[Recovered_oz],tblBudget[Month],$E321)</f>
        <v/>
      </c>
      <c r="KA321" s="55">
        <f>$JZ321*$C321/$D321</f>
        <v/>
      </c>
      <c r="KB321" s="55">
        <f>SUMIFS(tblBudget[Recovered_oz],tblBudget[Month],"&lt;"&amp;$E321)+$KA321</f>
        <v/>
      </c>
      <c r="KC321" s="55">
        <f>SUMIFS(tblBudget[Milled_t],tblBudget[Month],$E321)</f>
        <v/>
      </c>
      <c r="KD321" s="55">
        <f>$KC321*$C321/$D321</f>
        <v/>
      </c>
      <c r="KE321" s="55">
        <f>SUMIFS(tblBudget[Milled_t],tblBudget[Month],"&lt;"&amp;$E321)+$KD321</f>
        <v/>
      </c>
      <c r="KF321" s="55">
        <f>SUMIFS(tblBudget[Feed_oz],tblBudget[Month],$E321)</f>
        <v/>
      </c>
      <c r="KG321" s="55">
        <f>$KF321*$C321/$D321</f>
        <v/>
      </c>
      <c r="KH321" s="55">
        <f>SUMIFS(tblBudget[Feed_oz],tblBudget[Month],"&lt;"&amp;$E321)+$KG321</f>
        <v/>
      </c>
      <c r="KI321" s="56">
        <f>IFERROR(IF(($KC321)&gt;0,($JW321*cfg_TroyOz)/($KC321),""),"")</f>
        <v/>
      </c>
      <c r="KJ321" s="56">
        <f>IFERROR(IF(($KD321)&gt;0,($JX321*cfg_TroyOz)/($KD321),""),"")</f>
        <v/>
      </c>
      <c r="KK321" s="56">
        <f>IFERROR(IF(($KE321)&gt;0,($JY321*cfg_TroyOz)/($KE321),""),"")</f>
        <v/>
      </c>
      <c r="KL321" s="67">
        <f>IFERROR(IF(($KF321)&gt;0,($JZ321)/($KF321),""),"")</f>
        <v/>
      </c>
      <c r="KM321" s="67">
        <f>IFERROR(IF(($KG321)&gt;0,($KA321)/($KG321),""),"")</f>
        <v/>
      </c>
      <c r="KN321" s="67">
        <f>IFERROR(IF(($KH321)&gt;0,($KB321)/($KH321),""),"")</f>
        <v/>
      </c>
      <c r="KO321" s="55">
        <f>SUMIFS(tblBudget[Gold_Poured_oz],tblBudget[Month],$E321)</f>
        <v/>
      </c>
      <c r="KP321" s="55">
        <f>$KO321*$C321/$D321</f>
        <v/>
      </c>
      <c r="KQ321" s="55">
        <f>SUMIFS(tblBudget[Gold_Poured_oz],tblBudget[Month],"&lt;"&amp;$E321)+$KP321</f>
        <v/>
      </c>
      <c r="KR321" s="57">
        <f>SUMIFS(tblBudget[Hours_Worked],tblBudget[Month],$E321)</f>
        <v/>
      </c>
      <c r="KS321" s="57">
        <f>$KR321*$C321/$D321</f>
        <v/>
      </c>
      <c r="KT321" s="57">
        <f>SUMIFS(tblBudget[Hours_Worked],tblBudget[Month],"&lt;"&amp;$E321)+$KS321</f>
        <v/>
      </c>
    </row>
    <row r="322">
      <c r="A322" s="54" t="n">
        <v>46343</v>
      </c>
      <c r="B322">
        <f>MONTH($A322)</f>
        <v/>
      </c>
      <c r="C322">
        <f>DAY($A322)</f>
        <v/>
      </c>
      <c r="D322">
        <f>DAY(EOMONTH($A322,0))</f>
        <v/>
      </c>
      <c r="E322" s="54">
        <f>DATE(YEAR($A322),MONTH($A322),1)</f>
        <v/>
      </c>
      <c r="F322" s="55">
        <f>SUMIFS(tblMovement[Tonnes_t],tblMovement[Date],$A322,tblMovement[Is_Ore],1,tblMovement[Source_Type],"Pit")</f>
        <v/>
      </c>
      <c r="G322" s="55">
        <f>IF($B322=$B321,$G321,0)+$F322</f>
        <v/>
      </c>
      <c r="H322" s="55">
        <f>$H321+$F322</f>
        <v/>
      </c>
      <c r="I322" s="55">
        <f>SUMIFS(tblMovement[Ore_oz],tblMovement[Date],$A322,tblMovement[Source_Type],"Pit")</f>
        <v/>
      </c>
      <c r="J322" s="55">
        <f>IF($B322=$B321,$J321,0)+$I322</f>
        <v/>
      </c>
      <c r="K322" s="55">
        <f>$K321+$I322</f>
        <v/>
      </c>
      <c r="L322" s="55">
        <f>SUMIFS(tblMovement[Tonnes_t],tblMovement[Date],$A322,tblMovement[Is_Ore],1,tblMovement[Source_Type],"Pit",tblMovement[Grade_gpt],"&lt;&gt;")</f>
        <v/>
      </c>
      <c r="M322" s="55">
        <f>IF($B322=$B321,$M321,0)+$L322</f>
        <v/>
      </c>
      <c r="N322" s="55">
        <f>$N321+$L322</f>
        <v/>
      </c>
      <c r="O322" s="56">
        <f>IFERROR(IF(($L322)&gt;0,($I322*cfg_TroyOz)/($L322),""),"")</f>
        <v/>
      </c>
      <c r="P322" s="56">
        <f>IFERROR(IF(($M322)&gt;0,($J322*cfg_TroyOz)/($M322),""),"")</f>
        <v/>
      </c>
      <c r="Q322" s="56">
        <f>IFERROR(IF(($N322)&gt;0,($K322*cfg_TroyOz)/($N322),""),"")</f>
        <v/>
      </c>
      <c r="R322" s="55">
        <f>$F322-$L322</f>
        <v/>
      </c>
      <c r="S322" s="55">
        <f>IF($B322=$B321,$S321,0)+$R322</f>
        <v/>
      </c>
      <c r="T322" s="55">
        <f>$T321+$R322</f>
        <v/>
      </c>
      <c r="U322" s="55">
        <f>SUMIFS(tblMovement[Tonnes_t],tblMovement[Date],$A322,tblMovement[Is_Ore],0,tblMovement[Source_Type],"Pit")</f>
        <v/>
      </c>
      <c r="V322" s="55">
        <f>IF($B322=$B321,$V321,0)+$U322</f>
        <v/>
      </c>
      <c r="W322" s="55">
        <f>$W321+$U322</f>
        <v/>
      </c>
      <c r="X322" s="55">
        <f>$F322+$U322</f>
        <v/>
      </c>
      <c r="Y322" s="55">
        <f>IF($B322=$B321,$Y321,0)+$X322</f>
        <v/>
      </c>
      <c r="Z322" s="55">
        <f>$Z321+$X322</f>
        <v/>
      </c>
      <c r="AA322" s="56">
        <f>IFERROR(IF(($F322)&gt;0,($U322)/($F322),""),"")</f>
        <v/>
      </c>
      <c r="AB322" s="56">
        <f>IFERROR(IF(($G322)&gt;0,($V322)/($G322),""),"")</f>
        <v/>
      </c>
      <c r="AC322" s="56">
        <f>IFERROR(IF(($H322)&gt;0,($W322)/($H322),""),"")</f>
        <v/>
      </c>
      <c r="AD322" s="55">
        <f>SUMIFS(tblMovement[Tonnes_t],tblMovement[Date],$A322,tblMovement[Source_Type],"Stockpile")</f>
        <v/>
      </c>
      <c r="AE322" s="55">
        <f>IF($B322=$B321,$AE321,0)+$AD322</f>
        <v/>
      </c>
      <c r="AF322" s="55">
        <f>$AF321+$AD322</f>
        <v/>
      </c>
      <c r="AG322" s="55">
        <f>SUMIFS(tblMovement[Tonnes_t],tblMovement[Date],$A322)</f>
        <v/>
      </c>
      <c r="AH322" s="55">
        <f>IF($B322=$B321,$AH321,0)+$AG322</f>
        <v/>
      </c>
      <c r="AI322" s="55">
        <f>$AI321+$AG322</f>
        <v/>
      </c>
      <c r="AJ322" s="55">
        <f>$AG322-$X322-$AD322</f>
        <v/>
      </c>
      <c r="AK322" s="55">
        <f>IF($B322=$B321,$AK321,0)+$AJ322</f>
        <v/>
      </c>
      <c r="AL322" s="55">
        <f>$AL321+$AJ322</f>
        <v/>
      </c>
      <c r="AM322" s="55">
        <f>SUMIFS(tblMiningDaily[Drill_m],tblMiningDaily[Date],$A322)</f>
        <v/>
      </c>
      <c r="AN322" s="55">
        <f>IF($B322=$B321,$AN321,0)+$AM322</f>
        <v/>
      </c>
      <c r="AO322" s="55">
        <f>$AO321+$AM322</f>
        <v/>
      </c>
      <c r="AP322" s="55">
        <f>SUMIFS(tblMiningDaily[GC_Drill_m],tblMiningDaily[Date],$A322)</f>
        <v/>
      </c>
      <c r="AQ322" s="55">
        <f>IF($B322=$B321,$AQ321,0)+$AP322</f>
        <v/>
      </c>
      <c r="AR322" s="55">
        <f>$AR321+$AP322</f>
        <v/>
      </c>
      <c r="AS322" s="55">
        <f>SUMIFS(tblMiningDaily[Blast_t],tblMiningDaily[Date],$A322)</f>
        <v/>
      </c>
      <c r="AT322" s="55">
        <f>IF($B322=$B321,$AT321,0)+$AS322</f>
        <v/>
      </c>
      <c r="AU322" s="55">
        <f>$AU321+$AS322</f>
        <v/>
      </c>
      <c r="AV322" s="55">
        <f>SUMIFS(tblMiningDaily[Explosives_kg],tblMiningDaily[Date],$A322)</f>
        <v/>
      </c>
      <c r="AW322" s="55">
        <f>IF($B322=$B321,$AW321,0)+$AV322</f>
        <v/>
      </c>
      <c r="AX322" s="55">
        <f>$AX321+$AV322</f>
        <v/>
      </c>
      <c r="AY322" s="56">
        <f>IFERROR(IF(($AS322)&gt;0,($AV322)/($AS322),""),"")</f>
        <v/>
      </c>
      <c r="AZ322" s="56">
        <f>IFERROR(IF(($AT322)&gt;0,($AW322)/($AT322),""),"")</f>
        <v/>
      </c>
      <c r="BA322" s="56">
        <f>IFERROR(IF(($AU322)&gt;0,($AX322)/($AU322),""),"")</f>
        <v/>
      </c>
      <c r="BB322" s="55">
        <f>SUMIFS(tblMiningDaily[Diesel_L],tblMiningDaily[Date],$A322)</f>
        <v/>
      </c>
      <c r="BC322" s="55">
        <f>IF($B322=$B321,$BC321,0)+$BB322</f>
        <v/>
      </c>
      <c r="BD322" s="55">
        <f>$BD321+$BB322</f>
        <v/>
      </c>
      <c r="BE322" s="55">
        <f>SUMIFS(tblMiningDaily[Dewatering_m3],tblMiningDaily[Date],$A322)</f>
        <v/>
      </c>
      <c r="BF322" s="55">
        <f>IF($B322=$B321,$BF321,0)+$BE322</f>
        <v/>
      </c>
      <c r="BG322" s="55">
        <f>$BG321+$BE322</f>
        <v/>
      </c>
      <c r="BH322" s="57">
        <f>SUMIFS(tblFleet[Calendar_h],tblFleet[Date],$A322,tblFleet[Equipment_Class],"Excavator")</f>
        <v/>
      </c>
      <c r="BI322" s="57">
        <f>IF($B322=$B321,$BI321,0)+$BH322</f>
        <v/>
      </c>
      <c r="BJ322" s="57">
        <f>$BJ321+$BH322</f>
        <v/>
      </c>
      <c r="BK322" s="57">
        <f>SUMIFS(tblFleet[Available_h],tblFleet[Date],$A322,tblFleet[Equipment_Class],"Excavator")</f>
        <v/>
      </c>
      <c r="BL322" s="57">
        <f>IF($B322=$B321,$BL321,0)+$BK322</f>
        <v/>
      </c>
      <c r="BM322" s="57">
        <f>$BM321+$BK322</f>
        <v/>
      </c>
      <c r="BN322" s="57">
        <f>SUMIFS(tblFleet[Operating_h],tblFleet[Date],$A322,tblFleet[Equipment_Class],"Excavator")</f>
        <v/>
      </c>
      <c r="BO322" s="57">
        <f>IF($B322=$B321,$BO321,0)+$BN322</f>
        <v/>
      </c>
      <c r="BP322" s="57">
        <f>$BP321+$BN322</f>
        <v/>
      </c>
      <c r="BQ322" s="67">
        <f>IFERROR(IF(($BH322)&gt;0,($BK322)/($BH322),""),"")</f>
        <v/>
      </c>
      <c r="BR322" s="67">
        <f>IFERROR(IF(($BI322)&gt;0,($BL322)/($BI322),""),"")</f>
        <v/>
      </c>
      <c r="BS322" s="67">
        <f>IFERROR(IF(($BJ322)&gt;0,($BM322)/($BJ322),""),"")</f>
        <v/>
      </c>
      <c r="BT322" s="67">
        <f>IFERROR(IF(($BK322)&gt;0,($BN322)/($BK322),""),"")</f>
        <v/>
      </c>
      <c r="BU322" s="67">
        <f>IFERROR(IF(($BL322)&gt;0,($BO322)/($BL322),""),"")</f>
        <v/>
      </c>
      <c r="BV322" s="67">
        <f>IFERROR(IF(($BM322)&gt;0,($BP322)/($BM322),""),"")</f>
        <v/>
      </c>
      <c r="BW322" s="57">
        <f>SUMIFS(tblFleet[Calendar_h],tblFleet[Date],$A322,tblFleet[Equipment_Class],"Haul Truck")</f>
        <v/>
      </c>
      <c r="BX322" s="57">
        <f>IF($B322=$B321,$BX321,0)+$BW322</f>
        <v/>
      </c>
      <c r="BY322" s="57">
        <f>$BY321+$BW322</f>
        <v/>
      </c>
      <c r="BZ322" s="57">
        <f>SUMIFS(tblFleet[Available_h],tblFleet[Date],$A322,tblFleet[Equipment_Class],"Haul Truck")</f>
        <v/>
      </c>
      <c r="CA322" s="57">
        <f>IF($B322=$B321,$CA321,0)+$BZ322</f>
        <v/>
      </c>
      <c r="CB322" s="57">
        <f>$CB321+$BZ322</f>
        <v/>
      </c>
      <c r="CC322" s="57">
        <f>SUMIFS(tblFleet[Operating_h],tblFleet[Date],$A322,tblFleet[Equipment_Class],"Haul Truck")</f>
        <v/>
      </c>
      <c r="CD322" s="57">
        <f>IF($B322=$B321,$CD321,0)+$CC322</f>
        <v/>
      </c>
      <c r="CE322" s="57">
        <f>$CE321+$CC322</f>
        <v/>
      </c>
      <c r="CF322" s="67">
        <f>IFERROR(IF(($BW322)&gt;0,($BZ322)/($BW322),""),"")</f>
        <v/>
      </c>
      <c r="CG322" s="67">
        <f>IFERROR(IF(($BX322)&gt;0,($CA322)/($BX322),""),"")</f>
        <v/>
      </c>
      <c r="CH322" s="67">
        <f>IFERROR(IF(($BY322)&gt;0,($CB322)/($BY322),""),"")</f>
        <v/>
      </c>
      <c r="CI322" s="67">
        <f>IFERROR(IF(($BZ322)&gt;0,($CC322)/($BZ322),""),"")</f>
        <v/>
      </c>
      <c r="CJ322" s="67">
        <f>IFERROR(IF(($CA322)&gt;0,($CD322)/($CA322),""),"")</f>
        <v/>
      </c>
      <c r="CK322" s="67">
        <f>IFERROR(IF(($CB322)&gt;0,($CE322)/($CB322),""),"")</f>
        <v/>
      </c>
      <c r="CL322" s="55">
        <f>IFERROR(IF(($BN322)&gt;0,($X322+$AD322)/($BN322),""),"")</f>
        <v/>
      </c>
      <c r="CM322" s="55">
        <f>IFERROR(IF(($BO322)&gt;0,($Y322+$AE322)/($BO322),""),"")</f>
        <v/>
      </c>
      <c r="CN322" s="55">
        <f>IFERROR(IF(($BP322)&gt;0,($Z322+$AF322)/($BP322),""),"")</f>
        <v/>
      </c>
      <c r="CO322" s="55">
        <f>IFERROR(IF(($CC322)&gt;0,($X322+$AD322)/($CC322),""),"")</f>
        <v/>
      </c>
      <c r="CP322" s="55">
        <f>IFERROR(IF(($CD322)&gt;0,($Y322+$AE322)/($CD322),""),"")</f>
        <v/>
      </c>
      <c r="CQ322" s="55">
        <f>IFERROR(IF(($CE322)&gt;0,($Z322+$AF322)/($CE322),""),"")</f>
        <v/>
      </c>
      <c r="CR322" s="55">
        <f>SUMIFS(tblPlant[Crushed_t],tblPlant[Date],$A322)</f>
        <v/>
      </c>
      <c r="CS322" s="55">
        <f>IF($B322=$B321,$CS321,0)+$CR322</f>
        <v/>
      </c>
      <c r="CT322" s="55">
        <f>$CT321+$CR322</f>
        <v/>
      </c>
      <c r="CU322" s="55">
        <f>SUMIFS(tblPlant[Milled_t],tblPlant[Date],$A322)</f>
        <v/>
      </c>
      <c r="CV322" s="55">
        <f>IF($B322=$B321,$CV321,0)+$CU322</f>
        <v/>
      </c>
      <c r="CW322" s="55">
        <f>$CW321+$CU322</f>
        <v/>
      </c>
      <c r="CX322" s="55">
        <f>SUMIFS(tblPlant[Feed_oz],tblPlant[Date],$A322)</f>
        <v/>
      </c>
      <c r="CY322" s="55">
        <f>IF($B322=$B321,$CY321,0)+$CX322</f>
        <v/>
      </c>
      <c r="CZ322" s="55">
        <f>$CZ321+$CX322</f>
        <v/>
      </c>
      <c r="DA322" s="55">
        <f>SUMIFS(tblPlant[Tails_oz],tblPlant[Date],$A322)</f>
        <v/>
      </c>
      <c r="DB322" s="55">
        <f>IF($B322=$B321,$DB321,0)+$DA322</f>
        <v/>
      </c>
      <c r="DC322" s="55">
        <f>$DC321+$DA322</f>
        <v/>
      </c>
      <c r="DD322" s="55">
        <f>SUMIFS(tblPlant[Recovered_oz],tblPlant[Date],$A322)</f>
        <v/>
      </c>
      <c r="DE322" s="55">
        <f>IF($B322=$B321,$DE321,0)+$DD322</f>
        <v/>
      </c>
      <c r="DF322" s="55">
        <f>$DF321+$DD322</f>
        <v/>
      </c>
      <c r="DG322" s="55">
        <f>SUMIFS(tblPlant[Milled_t],tblPlant[Date],$A322,tblPlant[Head_Grade_gpt],"&lt;&gt;")</f>
        <v/>
      </c>
      <c r="DH322" s="55">
        <f>IF($B322=$B321,$DH321,0)+$DG322</f>
        <v/>
      </c>
      <c r="DI322" s="55">
        <f>$DI321+$DG322</f>
        <v/>
      </c>
      <c r="DJ322" s="55">
        <f>SUMIFS(tblPlant[Milled_t],tblPlant[Date],$A322,tblPlant[Tails_Grade_gpt],"&lt;&gt;")</f>
        <v/>
      </c>
      <c r="DK322" s="55">
        <f>IF($B322=$B321,$DK321,0)+$DJ322</f>
        <v/>
      </c>
      <c r="DL322" s="55">
        <f>$DL321+$DJ322</f>
        <v/>
      </c>
      <c r="DM322" s="55">
        <f>SUMIFS(tblPlant[Feed_oz],tblPlant[Date],$A322,tblPlant[Tails_Grade_gpt],"&lt;&gt;")</f>
        <v/>
      </c>
      <c r="DN322" s="55">
        <f>IF($B322=$B321,$DN321,0)+$DM322</f>
        <v/>
      </c>
      <c r="DO322" s="55">
        <f>$DO321+$DM322</f>
        <v/>
      </c>
      <c r="DP322" s="55">
        <f>SUMIFS(tblPlant[Milled_t],tblPlant[Date],$A322,tblPlant[Mill_Run_h],"&lt;&gt;")</f>
        <v/>
      </c>
      <c r="DQ322" s="55">
        <f>IF($B322=$B321,$DQ321,0)+$DP322</f>
        <v/>
      </c>
      <c r="DR322" s="55">
        <f>$DR321+$DP322</f>
        <v/>
      </c>
      <c r="DS322" s="56">
        <f>IFERROR(IF(($DG322)&gt;0,($CX322*cfg_TroyOz)/($DG322),""),"")</f>
        <v/>
      </c>
      <c r="DT322" s="56">
        <f>IFERROR(IF(($DH322)&gt;0,($CY322*cfg_TroyOz)/($DH322),""),"")</f>
        <v/>
      </c>
      <c r="DU322" s="56">
        <f>IFERROR(IF(($DI322)&gt;0,($CZ322*cfg_TroyOz)/($DI322),""),"")</f>
        <v/>
      </c>
      <c r="DV322" s="56">
        <f>IFERROR(IF(($DJ322)&gt;0,($DA322*cfg_TroyOz)/($DJ322),""),"")</f>
        <v/>
      </c>
      <c r="DW322" s="56">
        <f>IFERROR(IF(($DK322)&gt;0,($DB322*cfg_TroyOz)/($DK322),""),"")</f>
        <v/>
      </c>
      <c r="DX322" s="56">
        <f>IFERROR(IF(($DL322)&gt;0,($DC322*cfg_TroyOz)/($DL322),""),"")</f>
        <v/>
      </c>
      <c r="DY322" s="67">
        <f>IFERROR(IF(($DM322)&gt;0,($DD322)/($DM322),""),"")</f>
        <v/>
      </c>
      <c r="DZ322" s="67">
        <f>IFERROR(IF(($DN322)&gt;0,($DE322)/($DN322),""),"")</f>
        <v/>
      </c>
      <c r="EA322" s="67">
        <f>IFERROR(IF(($DO322)&gt;0,($DF322)/($DO322),""),"")</f>
        <v/>
      </c>
      <c r="EB322" s="55">
        <f>SUMIFS(tblPlant[Gravity_Gold_oz],tblPlant[Date],$A322)</f>
        <v/>
      </c>
      <c r="EC322" s="55">
        <f>IF($B322=$B321,$EC321,0)+$EB322</f>
        <v/>
      </c>
      <c r="ED322" s="55">
        <f>$ED321+$EB322</f>
        <v/>
      </c>
      <c r="EE322" s="67">
        <f>IFERROR(IF(($DD322)&gt;0,($EB322)/($DD322),""),"")</f>
        <v/>
      </c>
      <c r="EF322" s="67">
        <f>IFERROR(IF(($DE322)&gt;0,($EC322)/($DE322),""),"")</f>
        <v/>
      </c>
      <c r="EG322" s="67">
        <f>IFERROR(IF(($DF322)&gt;0,($ED322)/($DF322),""),"")</f>
        <v/>
      </c>
      <c r="EH322" s="55">
        <f>SUMIFS(tblPlant[Gold_Poured_oz],tblPlant[Date],$A322)</f>
        <v/>
      </c>
      <c r="EI322" s="55">
        <f>IF($B322=$B321,$EI321,0)+$EH322</f>
        <v/>
      </c>
      <c r="EJ322" s="55">
        <f>$EJ321+$EH322</f>
        <v/>
      </c>
      <c r="EK322" s="57">
        <f>SUMIFS(tblPlant[Mill_Run_h],tblPlant[Date],$A322)</f>
        <v/>
      </c>
      <c r="EL322" s="57">
        <f>IF($B322=$B321,$EL321,0)+$EK322</f>
        <v/>
      </c>
      <c r="EM322" s="57">
        <f>$EM321+$EK322</f>
        <v/>
      </c>
      <c r="EN322" s="57">
        <f>SUMIFS(tblPlant[Mill_Planned_Maint_h],tblPlant[Date],$A322)</f>
        <v/>
      </c>
      <c r="EO322" s="57">
        <f>IF($B322=$B321,$EO321,0)+$EN322</f>
        <v/>
      </c>
      <c r="EP322" s="57">
        <f>$EP321+$EN322</f>
        <v/>
      </c>
      <c r="EQ322" s="57">
        <f>SUMIFS(tblPlant[Mill_Unplanned_Down_h],tblPlant[Date],$A322)</f>
        <v/>
      </c>
      <c r="ER322" s="57">
        <f>IF($B322=$B321,$ER321,0)+$EQ322</f>
        <v/>
      </c>
      <c r="ES322" s="57">
        <f>$ES321+$EQ322</f>
        <v/>
      </c>
      <c r="ET322" s="57">
        <f>IF(COUNTIFS(tblPlant[Date],$A322,tblPlant[Mill_Run_h],"&lt;&gt;")+COUNTIFS(tblPlant[Date],$A322,tblPlant[Mill_Planned_Maint_h],"&lt;&gt;")+COUNTIFS(tblPlant[Date],$A322,tblPlant[Mill_Unplanned_Down_h],"&lt;&gt;")&gt;0,cfg_HoursPerDay,0)</f>
        <v/>
      </c>
      <c r="EU322" s="57">
        <f>IF($B322=$B321,$EU321,0)+$ET322</f>
        <v/>
      </c>
      <c r="EV322" s="57">
        <f>$EV321+$ET322</f>
        <v/>
      </c>
      <c r="EW322" s="57">
        <f>SUMIFS(tblPlant[Crusher_Run_h],tblPlant[Date],$A322)</f>
        <v/>
      </c>
      <c r="EX322" s="57">
        <f>IF($B322=$B321,$EX321,0)+$EW322</f>
        <v/>
      </c>
      <c r="EY322" s="57">
        <f>$EY321+$EW322</f>
        <v/>
      </c>
      <c r="EZ322" s="55">
        <f>IFERROR(IF(($EK322)&gt;0,($DP322)/($EK322),""),"")</f>
        <v/>
      </c>
      <c r="FA322" s="55">
        <f>IFERROR(IF(($EL322)&gt;0,($DQ322)/($EL322),""),"")</f>
        <v/>
      </c>
      <c r="FB322" s="55">
        <f>IFERROR(IF(($EM322)&gt;0,($DR322)/($EM322),""),"")</f>
        <v/>
      </c>
      <c r="FC322" s="67">
        <f>IFERROR(IF(($ET322)&gt;0,($ET322-$EN322-$EQ322)/($ET322),""),"")</f>
        <v/>
      </c>
      <c r="FD322" s="67">
        <f>IFERROR(IF(($EU322)&gt;0,($EU322-$EO322-$ER322)/($EU322),""),"")</f>
        <v/>
      </c>
      <c r="FE322" s="67">
        <f>IFERROR(IF(($EV322)&gt;0,($EV322-$EP322-$ES322)/($EV322),""),"")</f>
        <v/>
      </c>
      <c r="FF322" s="67">
        <f>IFERROR(IF(($ET322-$EN322-$EQ322)&gt;0,($EK322)/($ET322-$EN322-$EQ322),""),"")</f>
        <v/>
      </c>
      <c r="FG322" s="67">
        <f>IFERROR(IF(($EU322-$EO322-$ER322)&gt;0,($EL322)/($EU322-$EO322-$ER322),""),"")</f>
        <v/>
      </c>
      <c r="FH322" s="67">
        <f>IFERROR(IF(($EV322-$EP322-$ES322)&gt;0,($EM322)/($EV322-$EP322-$ES322),""),"")</f>
        <v/>
      </c>
      <c r="FI322" s="55">
        <f>SUMIFS(tblPlant[Cyanide_kg],tblPlant[Date],$A322)</f>
        <v/>
      </c>
      <c r="FJ322" s="55">
        <f>IF($B322=$B321,$FJ321,0)+$FI322</f>
        <v/>
      </c>
      <c r="FK322" s="55">
        <f>$FK321+$FI322</f>
        <v/>
      </c>
      <c r="FL322" s="55">
        <f>SUMIFS(tblPlant[Lime_kg],tblPlant[Date],$A322)</f>
        <v/>
      </c>
      <c r="FM322" s="55">
        <f>IF($B322=$B321,$FM321,0)+$FL322</f>
        <v/>
      </c>
      <c r="FN322" s="55">
        <f>$FN321+$FL322</f>
        <v/>
      </c>
      <c r="FO322" s="55">
        <f>SUMIFS(tblPlant[Grinding_Media_kg],tblPlant[Date],$A322)</f>
        <v/>
      </c>
      <c r="FP322" s="55">
        <f>IF($B322=$B321,$FP321,0)+$FO322</f>
        <v/>
      </c>
      <c r="FQ322" s="55">
        <f>$FQ321+$FO322</f>
        <v/>
      </c>
      <c r="FR322" s="55">
        <f>SUMIFS(tblPlant[Power_kWh],tblPlant[Date],$A322)</f>
        <v/>
      </c>
      <c r="FS322" s="55">
        <f>IF($B322=$B321,$FS321,0)+$FR322</f>
        <v/>
      </c>
      <c r="FT322" s="55">
        <f>$FT321+$FR322</f>
        <v/>
      </c>
      <c r="FU322" s="55">
        <f>SUMIFS(tblPlant[Raw_Water_m3],tblPlant[Date],$A322)</f>
        <v/>
      </c>
      <c r="FV322" s="55">
        <f>IF($B322=$B321,$FV321,0)+$FU322</f>
        <v/>
      </c>
      <c r="FW322" s="55">
        <f>$FW321+$FU322</f>
        <v/>
      </c>
      <c r="FX322" s="56">
        <f>IFERROR(IF(($CU322)&gt;0,($FI322)/($CU322),""),"")</f>
        <v/>
      </c>
      <c r="FY322" s="56">
        <f>IFERROR(IF(($CV322)&gt;0,($FJ322)/($CV322),""),"")</f>
        <v/>
      </c>
      <c r="FZ322" s="56">
        <f>IFERROR(IF(($CW322)&gt;0,($FK322)/($CW322),""),"")</f>
        <v/>
      </c>
      <c r="GA322" s="56">
        <f>IFERROR(IF(($CU322)&gt;0,($FL322)/($CU322),""),"")</f>
        <v/>
      </c>
      <c r="GB322" s="56">
        <f>IFERROR(IF(($CV322)&gt;0,($FM322)/($CV322),""),"")</f>
        <v/>
      </c>
      <c r="GC322" s="56">
        <f>IFERROR(IF(($CW322)&gt;0,($FN322)/($CW322),""),"")</f>
        <v/>
      </c>
      <c r="GD322" s="56">
        <f>IFERROR(IF(($CU322)&gt;0,($FO322)/($CU322),""),"")</f>
        <v/>
      </c>
      <c r="GE322" s="56">
        <f>IFERROR(IF(($CV322)&gt;0,($FP322)/($CV322),""),"")</f>
        <v/>
      </c>
      <c r="GF322" s="56">
        <f>IFERROR(IF(($CW322)&gt;0,($FQ322)/($CW322),""),"")</f>
        <v/>
      </c>
      <c r="GG322" s="79">
        <f>IFERROR(IF(($CU322)&gt;0,($FR322)/($CU322),""),"")</f>
        <v/>
      </c>
      <c r="GH322" s="79">
        <f>IFERROR(IF(($CV322)&gt;0,($FS322)/($CV322),""),"")</f>
        <v/>
      </c>
      <c r="GI322" s="79">
        <f>IFERROR(IF(($CW322)&gt;0,($FT322)/($CW322),""),"")</f>
        <v/>
      </c>
      <c r="GJ322" s="56">
        <f>IFERROR(IF(($CU322)&gt;0,($FU322)/($CU322),""),"")</f>
        <v/>
      </c>
      <c r="GK322" s="56">
        <f>IFERROR(IF(($CV322)&gt;0,($FV322)/($CV322),""),"")</f>
        <v/>
      </c>
      <c r="GL322" s="56">
        <f>IFERROR(IF(($CW322)&gt;0,($FW322)/($CW322),""),"")</f>
        <v/>
      </c>
      <c r="GM322" s="55">
        <f>IF(SUMIFS(tblPlant[GIC_oz],tblPlant[Date],$A322)&gt;0,SUMIFS(tblPlant[GIC_oz],tblPlant[Date],$A322),"")</f>
        <v/>
      </c>
      <c r="GN322" s="55">
        <f>SUMIFS(tblGold[Gold_oz],tblGold[Date],$A322,tblGold[Type],"Shipment")</f>
        <v/>
      </c>
      <c r="GO322" s="55">
        <f>IF($B322=$B321,$GO321,0)+$GN322</f>
        <v/>
      </c>
      <c r="GP322" s="55">
        <f>$GP321+$GN322</f>
        <v/>
      </c>
      <c r="GQ322" s="55">
        <f>SUMIFS(tblGold[Gold_oz],tblGold[Date],$A322,tblGold[Type],"Sale")</f>
        <v/>
      </c>
      <c r="GR322" s="55">
        <f>IF($B322=$B321,$GR321,0)+$GQ322</f>
        <v/>
      </c>
      <c r="GS322" s="55">
        <f>$GS321+$GQ322</f>
        <v/>
      </c>
      <c r="GT322" s="55">
        <f>SUMIFS(tblGold[Dore_kg],tblGold[Date],$A322,tblGold[Type],"Shipment")</f>
        <v/>
      </c>
      <c r="GU322" s="55">
        <f>IF($B322=$B321,$GU321,0)+$GT322</f>
        <v/>
      </c>
      <c r="GV322" s="55">
        <f>$GV321+$GT322</f>
        <v/>
      </c>
      <c r="GW322" s="57">
        <f>SUMIFS(tblSafety[Hours_Total],tblSafety[Date],$A322)</f>
        <v/>
      </c>
      <c r="GX322" s="57">
        <f>IF($B322=$B321,$GX321,0)+$GW322</f>
        <v/>
      </c>
      <c r="GY322" s="57">
        <f>$GY321+$GW322</f>
        <v/>
      </c>
      <c r="GZ322" s="62">
        <f>SUMIFS(tblSafety[Fatality],tblSafety[Date],$A322)</f>
        <v/>
      </c>
      <c r="HA322" s="62">
        <f>IF($B322=$B321,$HA321,0)+$GZ322</f>
        <v/>
      </c>
      <c r="HB322" s="62">
        <f>$HB321+$GZ322</f>
        <v/>
      </c>
      <c r="HC322" s="62">
        <f>SUMIFS(tblSafety[LTI],tblSafety[Date],$A322)</f>
        <v/>
      </c>
      <c r="HD322" s="62">
        <f>IF($B322=$B321,$HD321,0)+$HC322</f>
        <v/>
      </c>
      <c r="HE322" s="62">
        <f>$HE321+$HC322</f>
        <v/>
      </c>
      <c r="HF322" s="62">
        <f>SUMIFS(tblSafety[RWI],tblSafety[Date],$A322)</f>
        <v/>
      </c>
      <c r="HG322" s="62">
        <f>IF($B322=$B321,$HG321,0)+$HF322</f>
        <v/>
      </c>
      <c r="HH322" s="62">
        <f>$HH321+$HF322</f>
        <v/>
      </c>
      <c r="HI322" s="62">
        <f>SUMIFS(tblSafety[MTI],tblSafety[Date],$A322)</f>
        <v/>
      </c>
      <c r="HJ322" s="62">
        <f>IF($B322=$B321,$HJ321,0)+$HI322</f>
        <v/>
      </c>
      <c r="HK322" s="62">
        <f>$HK321+$HI322</f>
        <v/>
      </c>
      <c r="HL322" s="62">
        <f>SUMIFS(tblSafety[FAI],tblSafety[Date],$A322)</f>
        <v/>
      </c>
      <c r="HM322" s="62">
        <f>IF($B322=$B321,$HM321,0)+$HL322</f>
        <v/>
      </c>
      <c r="HN322" s="62">
        <f>$HN321+$HL322</f>
        <v/>
      </c>
      <c r="HO322" s="62">
        <f>SUMIFS(tblSafety[Recordables],tblSafety[Date],$A322)</f>
        <v/>
      </c>
      <c r="HP322" s="62">
        <f>IF($B322=$B321,$HP321,0)+$HO322</f>
        <v/>
      </c>
      <c r="HQ322" s="62">
        <f>$HQ321+$HO322</f>
        <v/>
      </c>
      <c r="HR322" s="62">
        <f>SUMIFS(tblSafety[Near_Miss],tblSafety[Date],$A322)</f>
        <v/>
      </c>
      <c r="HS322" s="62">
        <f>IF($B322=$B321,$HS321,0)+$HR322</f>
        <v/>
      </c>
      <c r="HT322" s="62">
        <f>$HT321+$HR322</f>
        <v/>
      </c>
      <c r="HU322" s="62">
        <f>SUMIFS(tblSafety[Hazard_Reports],tblSafety[Date],$A322)</f>
        <v/>
      </c>
      <c r="HV322" s="62">
        <f>IF($B322=$B321,$HV321,0)+$HU322</f>
        <v/>
      </c>
      <c r="HW322" s="62">
        <f>$HW321+$HU322</f>
        <v/>
      </c>
      <c r="HX322" s="62">
        <f>SUMIFS(tblSafety[HPI],tblSafety[Date],$A322)</f>
        <v/>
      </c>
      <c r="HY322" s="62">
        <f>IF($B322=$B321,$HY321,0)+$HX322</f>
        <v/>
      </c>
      <c r="HZ322" s="62">
        <f>$HZ321+$HX322</f>
        <v/>
      </c>
      <c r="IA322" s="62">
        <f>SUMIFS(tblSafety[Env_Incidents],tblSafety[Date],$A322)</f>
        <v/>
      </c>
      <c r="IB322" s="62">
        <f>IF($B322=$B321,$IB321,0)+$IA322</f>
        <v/>
      </c>
      <c r="IC322" s="62">
        <f>$IC321+$IA322</f>
        <v/>
      </c>
      <c r="ID322" s="62">
        <f>SUMIFS(tblSafety[Community_Incidents],tblSafety[Date],$A322)</f>
        <v/>
      </c>
      <c r="IE322" s="62">
        <f>IF($B322=$B321,$IE321,0)+$ID322</f>
        <v/>
      </c>
      <c r="IF322" s="62">
        <f>$IF321+$ID322</f>
        <v/>
      </c>
      <c r="IG322" s="62">
        <f>SUMIFS(tblSafety[Vehicle_Incidents],tblSafety[Date],$A322)</f>
        <v/>
      </c>
      <c r="IH322" s="62">
        <f>IF($B322=$B321,$IH321,0)+$IG322</f>
        <v/>
      </c>
      <c r="II322" s="62">
        <f>$II321+$IG322</f>
        <v/>
      </c>
      <c r="IJ322" s="62">
        <f>SUMIFS(tblSafety[Toolbox_Talks],tblSafety[Date],$A322)</f>
        <v/>
      </c>
      <c r="IK322" s="62">
        <f>IF($B322=$B321,$IK321,0)+$IJ322</f>
        <v/>
      </c>
      <c r="IL322" s="62">
        <f>$IL321+$IJ322</f>
        <v/>
      </c>
      <c r="IM322" s="62">
        <f>SUMIFS(tblSafety[Inspections],tblSafety[Date],$A322)</f>
        <v/>
      </c>
      <c r="IN322" s="62">
        <f>IF($B322=$B321,$IN321,0)+$IM322</f>
        <v/>
      </c>
      <c r="IO322" s="62">
        <f>$IO321+$IM322</f>
        <v/>
      </c>
      <c r="IP322" s="56">
        <f>IFERROR((SUMIFS(tblSafety[Recordables],tblSafety[Date],"&gt;="&amp;EDATE($E322,-12),tblSafety[Date],"&lt;="&amp;$A322)+SUMIFS(tblSafetyHistory[Recordables],tblSafetyHistory[Month],"&gt;="&amp;EDATE($E322,-12),tblSafetyHistory[Month],"&lt;"&amp;$E322,tblSafetyHistory[Use],1))/(SUMIFS(tblSafety[Hours_Total],tblSafety[Date],"&gt;="&amp;EDATE($E322,-12),tblSafety[Date],"&lt;="&amp;$A322)+SUMIFS(tblSafetyHistory[Hours_Total],tblSafetyHistory[Month],"&gt;="&amp;EDATE($E322,-12),tblSafetyHistory[Month],"&lt;"&amp;$E322,tblSafetyHistory[Use],1))*cfg_RateBasisHours,"")</f>
        <v/>
      </c>
      <c r="IQ322" s="56">
        <f>IFERROR((SUMIFS(tblSafety[LTI],tblSafety[Date],"&gt;="&amp;EDATE($E322,-12),tblSafety[Date],"&lt;="&amp;$A322)+SUMIFS(tblSafetyHistory[LTI],tblSafetyHistory[Month],"&gt;="&amp;EDATE($E322,-12),tblSafetyHistory[Month],"&lt;"&amp;$E322,tblSafetyHistory[Use],1))/(SUMIFS(tblSafety[Hours_Total],tblSafety[Date],"&gt;="&amp;EDATE($E322,-12),tblSafety[Date],"&lt;="&amp;$A322)+SUMIFS(tblSafetyHistory[Hours_Total],tblSafetyHistory[Month],"&gt;="&amp;EDATE($E322,-12),tblSafetyHistory[Month],"&lt;"&amp;$E322,tblSafetyHistory[Use],1))*cfg_RateBasisHours,"")</f>
        <v/>
      </c>
      <c r="IR322" s="62">
        <f>IF(MAX(N(cfg_PriorLTIDate),_xlfn.MAXIFS(tblSafety[Date],tblSafety[LTI],"&gt;0",tblSafety[Date],"&lt;="&amp;$A322))=0,"",$A322-MAX(N(cfg_PriorLTIDate),_xlfn.MAXIFS(tblSafety[Date],tblSafety[LTI],"&gt;0",tblSafety[Date],"&lt;="&amp;$A322)))</f>
        <v/>
      </c>
      <c r="IS322" s="55">
        <f>SUMIFS(tblBudget[Ore_Mined_t],tblBudget[Month],$E322)</f>
        <v/>
      </c>
      <c r="IT322" s="55">
        <f>$IS322*$C322/$D322</f>
        <v/>
      </c>
      <c r="IU322" s="55">
        <f>SUMIFS(tblBudget[Ore_Mined_t],tblBudget[Month],"&lt;"&amp;$E322)+$IT322</f>
        <v/>
      </c>
      <c r="IV322" s="55">
        <f>SUMIFS(tblBudget[Ore_oz],tblBudget[Month],$E322)</f>
        <v/>
      </c>
      <c r="IW322" s="55">
        <f>$IV322*$C322/$D322</f>
        <v/>
      </c>
      <c r="IX322" s="55">
        <f>SUMIFS(tblBudget[Ore_oz],tblBudget[Month],"&lt;"&amp;$E322)+$IW322</f>
        <v/>
      </c>
      <c r="IY322" s="55">
        <f>SUMIFS(tblBudget[Ore_Mined_t],tblBudget[Month],$E322)</f>
        <v/>
      </c>
      <c r="IZ322" s="55">
        <f>$IY322*$C322/$D322</f>
        <v/>
      </c>
      <c r="JA322" s="55">
        <f>SUMIFS(tblBudget[Ore_Mined_t],tblBudget[Month],"&lt;"&amp;$E322)+$IZ322</f>
        <v/>
      </c>
      <c r="JB322" s="56">
        <f>IFERROR(IF(($IY322)&gt;0,($IV322*cfg_TroyOz)/($IY322),""),"")</f>
        <v/>
      </c>
      <c r="JC322" s="56">
        <f>IFERROR(IF(($IZ322)&gt;0,($IW322*cfg_TroyOz)/($IZ322),""),"")</f>
        <v/>
      </c>
      <c r="JD322" s="56">
        <f>IFERROR(IF(($JA322)&gt;0,($IX322*cfg_TroyOz)/($JA322),""),"")</f>
        <v/>
      </c>
      <c r="JE322" s="55">
        <f>SUMIFS(tblBudget[Waste_t],tblBudget[Month],$E322)</f>
        <v/>
      </c>
      <c r="JF322" s="55">
        <f>$JE322*$C322/$D322</f>
        <v/>
      </c>
      <c r="JG322" s="55">
        <f>SUMIFS(tblBudget[Waste_t],tblBudget[Month],"&lt;"&amp;$E322)+$JF322</f>
        <v/>
      </c>
      <c r="JH322" s="55">
        <f>SUMIFS(tblBudget[TMM_t],tblBudget[Month],$E322)</f>
        <v/>
      </c>
      <c r="JI322" s="55">
        <f>$JH322*$C322/$D322</f>
        <v/>
      </c>
      <c r="JJ322" s="55">
        <f>SUMIFS(tblBudget[TMM_t],tblBudget[Month],"&lt;"&amp;$E322)+$JI322</f>
        <v/>
      </c>
      <c r="JK322" s="56">
        <f>IFERROR(IF(($IS322)&gt;0,($JE322)/($IS322),""),"")</f>
        <v/>
      </c>
      <c r="JL322" s="56">
        <f>IFERROR(IF(($IT322)&gt;0,($JF322)/($IT322),""),"")</f>
        <v/>
      </c>
      <c r="JM322" s="56">
        <f>IFERROR(IF(($IU322)&gt;0,($JG322)/($IU322),""),"")</f>
        <v/>
      </c>
      <c r="JN322" s="55">
        <f>SUMIFS(tblBudget[Drill_m],tblBudget[Month],$E322)</f>
        <v/>
      </c>
      <c r="JO322" s="55">
        <f>$JN322*$C322/$D322</f>
        <v/>
      </c>
      <c r="JP322" s="55">
        <f>SUMIFS(tblBudget[Drill_m],tblBudget[Month],"&lt;"&amp;$E322)+$JO322</f>
        <v/>
      </c>
      <c r="JQ322" s="55">
        <f>SUMIFS(tblBudget[Diesel_L],tblBudget[Month],$E322)</f>
        <v/>
      </c>
      <c r="JR322" s="55">
        <f>$JQ322*$C322/$D322</f>
        <v/>
      </c>
      <c r="JS322" s="55">
        <f>SUMIFS(tblBudget[Diesel_L],tblBudget[Month],"&lt;"&amp;$E322)+$JR322</f>
        <v/>
      </c>
      <c r="JT322" s="55">
        <f>SUMIFS(tblBudget[Milled_t],tblBudget[Month],$E322)</f>
        <v/>
      </c>
      <c r="JU322" s="55">
        <f>$JT322*$C322/$D322</f>
        <v/>
      </c>
      <c r="JV322" s="55">
        <f>SUMIFS(tblBudget[Milled_t],tblBudget[Month],"&lt;"&amp;$E322)+$JU322</f>
        <v/>
      </c>
      <c r="JW322" s="55">
        <f>SUMIFS(tblBudget[Feed_oz],tblBudget[Month],$E322)</f>
        <v/>
      </c>
      <c r="JX322" s="55">
        <f>$JW322*$C322/$D322</f>
        <v/>
      </c>
      <c r="JY322" s="55">
        <f>SUMIFS(tblBudget[Feed_oz],tblBudget[Month],"&lt;"&amp;$E322)+$JX322</f>
        <v/>
      </c>
      <c r="JZ322" s="55">
        <f>SUMIFS(tblBudget[Recovered_oz],tblBudget[Month],$E322)</f>
        <v/>
      </c>
      <c r="KA322" s="55">
        <f>$JZ322*$C322/$D322</f>
        <v/>
      </c>
      <c r="KB322" s="55">
        <f>SUMIFS(tblBudget[Recovered_oz],tblBudget[Month],"&lt;"&amp;$E322)+$KA322</f>
        <v/>
      </c>
      <c r="KC322" s="55">
        <f>SUMIFS(tblBudget[Milled_t],tblBudget[Month],$E322)</f>
        <v/>
      </c>
      <c r="KD322" s="55">
        <f>$KC322*$C322/$D322</f>
        <v/>
      </c>
      <c r="KE322" s="55">
        <f>SUMIFS(tblBudget[Milled_t],tblBudget[Month],"&lt;"&amp;$E322)+$KD322</f>
        <v/>
      </c>
      <c r="KF322" s="55">
        <f>SUMIFS(tblBudget[Feed_oz],tblBudget[Month],$E322)</f>
        <v/>
      </c>
      <c r="KG322" s="55">
        <f>$KF322*$C322/$D322</f>
        <v/>
      </c>
      <c r="KH322" s="55">
        <f>SUMIFS(tblBudget[Feed_oz],tblBudget[Month],"&lt;"&amp;$E322)+$KG322</f>
        <v/>
      </c>
      <c r="KI322" s="56">
        <f>IFERROR(IF(($KC322)&gt;0,($JW322*cfg_TroyOz)/($KC322),""),"")</f>
        <v/>
      </c>
      <c r="KJ322" s="56">
        <f>IFERROR(IF(($KD322)&gt;0,($JX322*cfg_TroyOz)/($KD322),""),"")</f>
        <v/>
      </c>
      <c r="KK322" s="56">
        <f>IFERROR(IF(($KE322)&gt;0,($JY322*cfg_TroyOz)/($KE322),""),"")</f>
        <v/>
      </c>
      <c r="KL322" s="67">
        <f>IFERROR(IF(($KF322)&gt;0,($JZ322)/($KF322),""),"")</f>
        <v/>
      </c>
      <c r="KM322" s="67">
        <f>IFERROR(IF(($KG322)&gt;0,($KA322)/($KG322),""),"")</f>
        <v/>
      </c>
      <c r="KN322" s="67">
        <f>IFERROR(IF(($KH322)&gt;0,($KB322)/($KH322),""),"")</f>
        <v/>
      </c>
      <c r="KO322" s="55">
        <f>SUMIFS(tblBudget[Gold_Poured_oz],tblBudget[Month],$E322)</f>
        <v/>
      </c>
      <c r="KP322" s="55">
        <f>$KO322*$C322/$D322</f>
        <v/>
      </c>
      <c r="KQ322" s="55">
        <f>SUMIFS(tblBudget[Gold_Poured_oz],tblBudget[Month],"&lt;"&amp;$E322)+$KP322</f>
        <v/>
      </c>
      <c r="KR322" s="57">
        <f>SUMIFS(tblBudget[Hours_Worked],tblBudget[Month],$E322)</f>
        <v/>
      </c>
      <c r="KS322" s="57">
        <f>$KR322*$C322/$D322</f>
        <v/>
      </c>
      <c r="KT322" s="57">
        <f>SUMIFS(tblBudget[Hours_Worked],tblBudget[Month],"&lt;"&amp;$E322)+$KS322</f>
        <v/>
      </c>
    </row>
    <row r="323">
      <c r="A323" s="54" t="n">
        <v>46344</v>
      </c>
      <c r="B323">
        <f>MONTH($A323)</f>
        <v/>
      </c>
      <c r="C323">
        <f>DAY($A323)</f>
        <v/>
      </c>
      <c r="D323">
        <f>DAY(EOMONTH($A323,0))</f>
        <v/>
      </c>
      <c r="E323" s="54">
        <f>DATE(YEAR($A323),MONTH($A323),1)</f>
        <v/>
      </c>
      <c r="F323" s="55">
        <f>SUMIFS(tblMovement[Tonnes_t],tblMovement[Date],$A323,tblMovement[Is_Ore],1,tblMovement[Source_Type],"Pit")</f>
        <v/>
      </c>
      <c r="G323" s="55">
        <f>IF($B323=$B322,$G322,0)+$F323</f>
        <v/>
      </c>
      <c r="H323" s="55">
        <f>$H322+$F323</f>
        <v/>
      </c>
      <c r="I323" s="55">
        <f>SUMIFS(tblMovement[Ore_oz],tblMovement[Date],$A323,tblMovement[Source_Type],"Pit")</f>
        <v/>
      </c>
      <c r="J323" s="55">
        <f>IF($B323=$B322,$J322,0)+$I323</f>
        <v/>
      </c>
      <c r="K323" s="55">
        <f>$K322+$I323</f>
        <v/>
      </c>
      <c r="L323" s="55">
        <f>SUMIFS(tblMovement[Tonnes_t],tblMovement[Date],$A323,tblMovement[Is_Ore],1,tblMovement[Source_Type],"Pit",tblMovement[Grade_gpt],"&lt;&gt;")</f>
        <v/>
      </c>
      <c r="M323" s="55">
        <f>IF($B323=$B322,$M322,0)+$L323</f>
        <v/>
      </c>
      <c r="N323" s="55">
        <f>$N322+$L323</f>
        <v/>
      </c>
      <c r="O323" s="56">
        <f>IFERROR(IF(($L323)&gt;0,($I323*cfg_TroyOz)/($L323),""),"")</f>
        <v/>
      </c>
      <c r="P323" s="56">
        <f>IFERROR(IF(($M323)&gt;0,($J323*cfg_TroyOz)/($M323),""),"")</f>
        <v/>
      </c>
      <c r="Q323" s="56">
        <f>IFERROR(IF(($N323)&gt;0,($K323*cfg_TroyOz)/($N323),""),"")</f>
        <v/>
      </c>
      <c r="R323" s="55">
        <f>$F323-$L323</f>
        <v/>
      </c>
      <c r="S323" s="55">
        <f>IF($B323=$B322,$S322,0)+$R323</f>
        <v/>
      </c>
      <c r="T323" s="55">
        <f>$T322+$R323</f>
        <v/>
      </c>
      <c r="U323" s="55">
        <f>SUMIFS(tblMovement[Tonnes_t],tblMovement[Date],$A323,tblMovement[Is_Ore],0,tblMovement[Source_Type],"Pit")</f>
        <v/>
      </c>
      <c r="V323" s="55">
        <f>IF($B323=$B322,$V322,0)+$U323</f>
        <v/>
      </c>
      <c r="W323" s="55">
        <f>$W322+$U323</f>
        <v/>
      </c>
      <c r="X323" s="55">
        <f>$F323+$U323</f>
        <v/>
      </c>
      <c r="Y323" s="55">
        <f>IF($B323=$B322,$Y322,0)+$X323</f>
        <v/>
      </c>
      <c r="Z323" s="55">
        <f>$Z322+$X323</f>
        <v/>
      </c>
      <c r="AA323" s="56">
        <f>IFERROR(IF(($F323)&gt;0,($U323)/($F323),""),"")</f>
        <v/>
      </c>
      <c r="AB323" s="56">
        <f>IFERROR(IF(($G323)&gt;0,($V323)/($G323),""),"")</f>
        <v/>
      </c>
      <c r="AC323" s="56">
        <f>IFERROR(IF(($H323)&gt;0,($W323)/($H323),""),"")</f>
        <v/>
      </c>
      <c r="AD323" s="55">
        <f>SUMIFS(tblMovement[Tonnes_t],tblMovement[Date],$A323,tblMovement[Source_Type],"Stockpile")</f>
        <v/>
      </c>
      <c r="AE323" s="55">
        <f>IF($B323=$B322,$AE322,0)+$AD323</f>
        <v/>
      </c>
      <c r="AF323" s="55">
        <f>$AF322+$AD323</f>
        <v/>
      </c>
      <c r="AG323" s="55">
        <f>SUMIFS(tblMovement[Tonnes_t],tblMovement[Date],$A323)</f>
        <v/>
      </c>
      <c r="AH323" s="55">
        <f>IF($B323=$B322,$AH322,0)+$AG323</f>
        <v/>
      </c>
      <c r="AI323" s="55">
        <f>$AI322+$AG323</f>
        <v/>
      </c>
      <c r="AJ323" s="55">
        <f>$AG323-$X323-$AD323</f>
        <v/>
      </c>
      <c r="AK323" s="55">
        <f>IF($B323=$B322,$AK322,0)+$AJ323</f>
        <v/>
      </c>
      <c r="AL323" s="55">
        <f>$AL322+$AJ323</f>
        <v/>
      </c>
      <c r="AM323" s="55">
        <f>SUMIFS(tblMiningDaily[Drill_m],tblMiningDaily[Date],$A323)</f>
        <v/>
      </c>
      <c r="AN323" s="55">
        <f>IF($B323=$B322,$AN322,0)+$AM323</f>
        <v/>
      </c>
      <c r="AO323" s="55">
        <f>$AO322+$AM323</f>
        <v/>
      </c>
      <c r="AP323" s="55">
        <f>SUMIFS(tblMiningDaily[GC_Drill_m],tblMiningDaily[Date],$A323)</f>
        <v/>
      </c>
      <c r="AQ323" s="55">
        <f>IF($B323=$B322,$AQ322,0)+$AP323</f>
        <v/>
      </c>
      <c r="AR323" s="55">
        <f>$AR322+$AP323</f>
        <v/>
      </c>
      <c r="AS323" s="55">
        <f>SUMIFS(tblMiningDaily[Blast_t],tblMiningDaily[Date],$A323)</f>
        <v/>
      </c>
      <c r="AT323" s="55">
        <f>IF($B323=$B322,$AT322,0)+$AS323</f>
        <v/>
      </c>
      <c r="AU323" s="55">
        <f>$AU322+$AS323</f>
        <v/>
      </c>
      <c r="AV323" s="55">
        <f>SUMIFS(tblMiningDaily[Explosives_kg],tblMiningDaily[Date],$A323)</f>
        <v/>
      </c>
      <c r="AW323" s="55">
        <f>IF($B323=$B322,$AW322,0)+$AV323</f>
        <v/>
      </c>
      <c r="AX323" s="55">
        <f>$AX322+$AV323</f>
        <v/>
      </c>
      <c r="AY323" s="56">
        <f>IFERROR(IF(($AS323)&gt;0,($AV323)/($AS323),""),"")</f>
        <v/>
      </c>
      <c r="AZ323" s="56">
        <f>IFERROR(IF(($AT323)&gt;0,($AW323)/($AT323),""),"")</f>
        <v/>
      </c>
      <c r="BA323" s="56">
        <f>IFERROR(IF(($AU323)&gt;0,($AX323)/($AU323),""),"")</f>
        <v/>
      </c>
      <c r="BB323" s="55">
        <f>SUMIFS(tblMiningDaily[Diesel_L],tblMiningDaily[Date],$A323)</f>
        <v/>
      </c>
      <c r="BC323" s="55">
        <f>IF($B323=$B322,$BC322,0)+$BB323</f>
        <v/>
      </c>
      <c r="BD323" s="55">
        <f>$BD322+$BB323</f>
        <v/>
      </c>
      <c r="BE323" s="55">
        <f>SUMIFS(tblMiningDaily[Dewatering_m3],tblMiningDaily[Date],$A323)</f>
        <v/>
      </c>
      <c r="BF323" s="55">
        <f>IF($B323=$B322,$BF322,0)+$BE323</f>
        <v/>
      </c>
      <c r="BG323" s="55">
        <f>$BG322+$BE323</f>
        <v/>
      </c>
      <c r="BH323" s="57">
        <f>SUMIFS(tblFleet[Calendar_h],tblFleet[Date],$A323,tblFleet[Equipment_Class],"Excavator")</f>
        <v/>
      </c>
      <c r="BI323" s="57">
        <f>IF($B323=$B322,$BI322,0)+$BH323</f>
        <v/>
      </c>
      <c r="BJ323" s="57">
        <f>$BJ322+$BH323</f>
        <v/>
      </c>
      <c r="BK323" s="57">
        <f>SUMIFS(tblFleet[Available_h],tblFleet[Date],$A323,tblFleet[Equipment_Class],"Excavator")</f>
        <v/>
      </c>
      <c r="BL323" s="57">
        <f>IF($B323=$B322,$BL322,0)+$BK323</f>
        <v/>
      </c>
      <c r="BM323" s="57">
        <f>$BM322+$BK323</f>
        <v/>
      </c>
      <c r="BN323" s="57">
        <f>SUMIFS(tblFleet[Operating_h],tblFleet[Date],$A323,tblFleet[Equipment_Class],"Excavator")</f>
        <v/>
      </c>
      <c r="BO323" s="57">
        <f>IF($B323=$B322,$BO322,0)+$BN323</f>
        <v/>
      </c>
      <c r="BP323" s="57">
        <f>$BP322+$BN323</f>
        <v/>
      </c>
      <c r="BQ323" s="67">
        <f>IFERROR(IF(($BH323)&gt;0,($BK323)/($BH323),""),"")</f>
        <v/>
      </c>
      <c r="BR323" s="67">
        <f>IFERROR(IF(($BI323)&gt;0,($BL323)/($BI323),""),"")</f>
        <v/>
      </c>
      <c r="BS323" s="67">
        <f>IFERROR(IF(($BJ323)&gt;0,($BM323)/($BJ323),""),"")</f>
        <v/>
      </c>
      <c r="BT323" s="67">
        <f>IFERROR(IF(($BK323)&gt;0,($BN323)/($BK323),""),"")</f>
        <v/>
      </c>
      <c r="BU323" s="67">
        <f>IFERROR(IF(($BL323)&gt;0,($BO323)/($BL323),""),"")</f>
        <v/>
      </c>
      <c r="BV323" s="67">
        <f>IFERROR(IF(($BM323)&gt;0,($BP323)/($BM323),""),"")</f>
        <v/>
      </c>
      <c r="BW323" s="57">
        <f>SUMIFS(tblFleet[Calendar_h],tblFleet[Date],$A323,tblFleet[Equipment_Class],"Haul Truck")</f>
        <v/>
      </c>
      <c r="BX323" s="57">
        <f>IF($B323=$B322,$BX322,0)+$BW323</f>
        <v/>
      </c>
      <c r="BY323" s="57">
        <f>$BY322+$BW323</f>
        <v/>
      </c>
      <c r="BZ323" s="57">
        <f>SUMIFS(tblFleet[Available_h],tblFleet[Date],$A323,tblFleet[Equipment_Class],"Haul Truck")</f>
        <v/>
      </c>
      <c r="CA323" s="57">
        <f>IF($B323=$B322,$CA322,0)+$BZ323</f>
        <v/>
      </c>
      <c r="CB323" s="57">
        <f>$CB322+$BZ323</f>
        <v/>
      </c>
      <c r="CC323" s="57">
        <f>SUMIFS(tblFleet[Operating_h],tblFleet[Date],$A323,tblFleet[Equipment_Class],"Haul Truck")</f>
        <v/>
      </c>
      <c r="CD323" s="57">
        <f>IF($B323=$B322,$CD322,0)+$CC323</f>
        <v/>
      </c>
      <c r="CE323" s="57">
        <f>$CE322+$CC323</f>
        <v/>
      </c>
      <c r="CF323" s="67">
        <f>IFERROR(IF(($BW323)&gt;0,($BZ323)/($BW323),""),"")</f>
        <v/>
      </c>
      <c r="CG323" s="67">
        <f>IFERROR(IF(($BX323)&gt;0,($CA323)/($BX323),""),"")</f>
        <v/>
      </c>
      <c r="CH323" s="67">
        <f>IFERROR(IF(($BY323)&gt;0,($CB323)/($BY323),""),"")</f>
        <v/>
      </c>
      <c r="CI323" s="67">
        <f>IFERROR(IF(($BZ323)&gt;0,($CC323)/($BZ323),""),"")</f>
        <v/>
      </c>
      <c r="CJ323" s="67">
        <f>IFERROR(IF(($CA323)&gt;0,($CD323)/($CA323),""),"")</f>
        <v/>
      </c>
      <c r="CK323" s="67">
        <f>IFERROR(IF(($CB323)&gt;0,($CE323)/($CB323),""),"")</f>
        <v/>
      </c>
      <c r="CL323" s="55">
        <f>IFERROR(IF(($BN323)&gt;0,($X323+$AD323)/($BN323),""),"")</f>
        <v/>
      </c>
      <c r="CM323" s="55">
        <f>IFERROR(IF(($BO323)&gt;0,($Y323+$AE323)/($BO323),""),"")</f>
        <v/>
      </c>
      <c r="CN323" s="55">
        <f>IFERROR(IF(($BP323)&gt;0,($Z323+$AF323)/($BP323),""),"")</f>
        <v/>
      </c>
      <c r="CO323" s="55">
        <f>IFERROR(IF(($CC323)&gt;0,($X323+$AD323)/($CC323),""),"")</f>
        <v/>
      </c>
      <c r="CP323" s="55">
        <f>IFERROR(IF(($CD323)&gt;0,($Y323+$AE323)/($CD323),""),"")</f>
        <v/>
      </c>
      <c r="CQ323" s="55">
        <f>IFERROR(IF(($CE323)&gt;0,($Z323+$AF323)/($CE323),""),"")</f>
        <v/>
      </c>
      <c r="CR323" s="55">
        <f>SUMIFS(tblPlant[Crushed_t],tblPlant[Date],$A323)</f>
        <v/>
      </c>
      <c r="CS323" s="55">
        <f>IF($B323=$B322,$CS322,0)+$CR323</f>
        <v/>
      </c>
      <c r="CT323" s="55">
        <f>$CT322+$CR323</f>
        <v/>
      </c>
      <c r="CU323" s="55">
        <f>SUMIFS(tblPlant[Milled_t],tblPlant[Date],$A323)</f>
        <v/>
      </c>
      <c r="CV323" s="55">
        <f>IF($B323=$B322,$CV322,0)+$CU323</f>
        <v/>
      </c>
      <c r="CW323" s="55">
        <f>$CW322+$CU323</f>
        <v/>
      </c>
      <c r="CX323" s="55">
        <f>SUMIFS(tblPlant[Feed_oz],tblPlant[Date],$A323)</f>
        <v/>
      </c>
      <c r="CY323" s="55">
        <f>IF($B323=$B322,$CY322,0)+$CX323</f>
        <v/>
      </c>
      <c r="CZ323" s="55">
        <f>$CZ322+$CX323</f>
        <v/>
      </c>
      <c r="DA323" s="55">
        <f>SUMIFS(tblPlant[Tails_oz],tblPlant[Date],$A323)</f>
        <v/>
      </c>
      <c r="DB323" s="55">
        <f>IF($B323=$B322,$DB322,0)+$DA323</f>
        <v/>
      </c>
      <c r="DC323" s="55">
        <f>$DC322+$DA323</f>
        <v/>
      </c>
      <c r="DD323" s="55">
        <f>SUMIFS(tblPlant[Recovered_oz],tblPlant[Date],$A323)</f>
        <v/>
      </c>
      <c r="DE323" s="55">
        <f>IF($B323=$B322,$DE322,0)+$DD323</f>
        <v/>
      </c>
      <c r="DF323" s="55">
        <f>$DF322+$DD323</f>
        <v/>
      </c>
      <c r="DG323" s="55">
        <f>SUMIFS(tblPlant[Milled_t],tblPlant[Date],$A323,tblPlant[Head_Grade_gpt],"&lt;&gt;")</f>
        <v/>
      </c>
      <c r="DH323" s="55">
        <f>IF($B323=$B322,$DH322,0)+$DG323</f>
        <v/>
      </c>
      <c r="DI323" s="55">
        <f>$DI322+$DG323</f>
        <v/>
      </c>
      <c r="DJ323" s="55">
        <f>SUMIFS(tblPlant[Milled_t],tblPlant[Date],$A323,tblPlant[Tails_Grade_gpt],"&lt;&gt;")</f>
        <v/>
      </c>
      <c r="DK323" s="55">
        <f>IF($B323=$B322,$DK322,0)+$DJ323</f>
        <v/>
      </c>
      <c r="DL323" s="55">
        <f>$DL322+$DJ323</f>
        <v/>
      </c>
      <c r="DM323" s="55">
        <f>SUMIFS(tblPlant[Feed_oz],tblPlant[Date],$A323,tblPlant[Tails_Grade_gpt],"&lt;&gt;")</f>
        <v/>
      </c>
      <c r="DN323" s="55">
        <f>IF($B323=$B322,$DN322,0)+$DM323</f>
        <v/>
      </c>
      <c r="DO323" s="55">
        <f>$DO322+$DM323</f>
        <v/>
      </c>
      <c r="DP323" s="55">
        <f>SUMIFS(tblPlant[Milled_t],tblPlant[Date],$A323,tblPlant[Mill_Run_h],"&lt;&gt;")</f>
        <v/>
      </c>
      <c r="DQ323" s="55">
        <f>IF($B323=$B322,$DQ322,0)+$DP323</f>
        <v/>
      </c>
      <c r="DR323" s="55">
        <f>$DR322+$DP323</f>
        <v/>
      </c>
      <c r="DS323" s="56">
        <f>IFERROR(IF(($DG323)&gt;0,($CX323*cfg_TroyOz)/($DG323),""),"")</f>
        <v/>
      </c>
      <c r="DT323" s="56">
        <f>IFERROR(IF(($DH323)&gt;0,($CY323*cfg_TroyOz)/($DH323),""),"")</f>
        <v/>
      </c>
      <c r="DU323" s="56">
        <f>IFERROR(IF(($DI323)&gt;0,($CZ323*cfg_TroyOz)/($DI323),""),"")</f>
        <v/>
      </c>
      <c r="DV323" s="56">
        <f>IFERROR(IF(($DJ323)&gt;0,($DA323*cfg_TroyOz)/($DJ323),""),"")</f>
        <v/>
      </c>
      <c r="DW323" s="56">
        <f>IFERROR(IF(($DK323)&gt;0,($DB323*cfg_TroyOz)/($DK323),""),"")</f>
        <v/>
      </c>
      <c r="DX323" s="56">
        <f>IFERROR(IF(($DL323)&gt;0,($DC323*cfg_TroyOz)/($DL323),""),"")</f>
        <v/>
      </c>
      <c r="DY323" s="67">
        <f>IFERROR(IF(($DM323)&gt;0,($DD323)/($DM323),""),"")</f>
        <v/>
      </c>
      <c r="DZ323" s="67">
        <f>IFERROR(IF(($DN323)&gt;0,($DE323)/($DN323),""),"")</f>
        <v/>
      </c>
      <c r="EA323" s="67">
        <f>IFERROR(IF(($DO323)&gt;0,($DF323)/($DO323),""),"")</f>
        <v/>
      </c>
      <c r="EB323" s="55">
        <f>SUMIFS(tblPlant[Gravity_Gold_oz],tblPlant[Date],$A323)</f>
        <v/>
      </c>
      <c r="EC323" s="55">
        <f>IF($B323=$B322,$EC322,0)+$EB323</f>
        <v/>
      </c>
      <c r="ED323" s="55">
        <f>$ED322+$EB323</f>
        <v/>
      </c>
      <c r="EE323" s="67">
        <f>IFERROR(IF(($DD323)&gt;0,($EB323)/($DD323),""),"")</f>
        <v/>
      </c>
      <c r="EF323" s="67">
        <f>IFERROR(IF(($DE323)&gt;0,($EC323)/($DE323),""),"")</f>
        <v/>
      </c>
      <c r="EG323" s="67">
        <f>IFERROR(IF(($DF323)&gt;0,($ED323)/($DF323),""),"")</f>
        <v/>
      </c>
      <c r="EH323" s="55">
        <f>SUMIFS(tblPlant[Gold_Poured_oz],tblPlant[Date],$A323)</f>
        <v/>
      </c>
      <c r="EI323" s="55">
        <f>IF($B323=$B322,$EI322,0)+$EH323</f>
        <v/>
      </c>
      <c r="EJ323" s="55">
        <f>$EJ322+$EH323</f>
        <v/>
      </c>
      <c r="EK323" s="57">
        <f>SUMIFS(tblPlant[Mill_Run_h],tblPlant[Date],$A323)</f>
        <v/>
      </c>
      <c r="EL323" s="57">
        <f>IF($B323=$B322,$EL322,0)+$EK323</f>
        <v/>
      </c>
      <c r="EM323" s="57">
        <f>$EM322+$EK323</f>
        <v/>
      </c>
      <c r="EN323" s="57">
        <f>SUMIFS(tblPlant[Mill_Planned_Maint_h],tblPlant[Date],$A323)</f>
        <v/>
      </c>
      <c r="EO323" s="57">
        <f>IF($B323=$B322,$EO322,0)+$EN323</f>
        <v/>
      </c>
      <c r="EP323" s="57">
        <f>$EP322+$EN323</f>
        <v/>
      </c>
      <c r="EQ323" s="57">
        <f>SUMIFS(tblPlant[Mill_Unplanned_Down_h],tblPlant[Date],$A323)</f>
        <v/>
      </c>
      <c r="ER323" s="57">
        <f>IF($B323=$B322,$ER322,0)+$EQ323</f>
        <v/>
      </c>
      <c r="ES323" s="57">
        <f>$ES322+$EQ323</f>
        <v/>
      </c>
      <c r="ET323" s="57">
        <f>IF(COUNTIFS(tblPlant[Date],$A323,tblPlant[Mill_Run_h],"&lt;&gt;")+COUNTIFS(tblPlant[Date],$A323,tblPlant[Mill_Planned_Maint_h],"&lt;&gt;")+COUNTIFS(tblPlant[Date],$A323,tblPlant[Mill_Unplanned_Down_h],"&lt;&gt;")&gt;0,cfg_HoursPerDay,0)</f>
        <v/>
      </c>
      <c r="EU323" s="57">
        <f>IF($B323=$B322,$EU322,0)+$ET323</f>
        <v/>
      </c>
      <c r="EV323" s="57">
        <f>$EV322+$ET323</f>
        <v/>
      </c>
      <c r="EW323" s="57">
        <f>SUMIFS(tblPlant[Crusher_Run_h],tblPlant[Date],$A323)</f>
        <v/>
      </c>
      <c r="EX323" s="57">
        <f>IF($B323=$B322,$EX322,0)+$EW323</f>
        <v/>
      </c>
      <c r="EY323" s="57">
        <f>$EY322+$EW323</f>
        <v/>
      </c>
      <c r="EZ323" s="55">
        <f>IFERROR(IF(($EK323)&gt;0,($DP323)/($EK323),""),"")</f>
        <v/>
      </c>
      <c r="FA323" s="55">
        <f>IFERROR(IF(($EL323)&gt;0,($DQ323)/($EL323),""),"")</f>
        <v/>
      </c>
      <c r="FB323" s="55">
        <f>IFERROR(IF(($EM323)&gt;0,($DR323)/($EM323),""),"")</f>
        <v/>
      </c>
      <c r="FC323" s="67">
        <f>IFERROR(IF(($ET323)&gt;0,($ET323-$EN323-$EQ323)/($ET323),""),"")</f>
        <v/>
      </c>
      <c r="FD323" s="67">
        <f>IFERROR(IF(($EU323)&gt;0,($EU323-$EO323-$ER323)/($EU323),""),"")</f>
        <v/>
      </c>
      <c r="FE323" s="67">
        <f>IFERROR(IF(($EV323)&gt;0,($EV323-$EP323-$ES323)/($EV323),""),"")</f>
        <v/>
      </c>
      <c r="FF323" s="67">
        <f>IFERROR(IF(($ET323-$EN323-$EQ323)&gt;0,($EK323)/($ET323-$EN323-$EQ323),""),"")</f>
        <v/>
      </c>
      <c r="FG323" s="67">
        <f>IFERROR(IF(($EU323-$EO323-$ER323)&gt;0,($EL323)/($EU323-$EO323-$ER323),""),"")</f>
        <v/>
      </c>
      <c r="FH323" s="67">
        <f>IFERROR(IF(($EV323-$EP323-$ES323)&gt;0,($EM323)/($EV323-$EP323-$ES323),""),"")</f>
        <v/>
      </c>
      <c r="FI323" s="55">
        <f>SUMIFS(tblPlant[Cyanide_kg],tblPlant[Date],$A323)</f>
        <v/>
      </c>
      <c r="FJ323" s="55">
        <f>IF($B323=$B322,$FJ322,0)+$FI323</f>
        <v/>
      </c>
      <c r="FK323" s="55">
        <f>$FK322+$FI323</f>
        <v/>
      </c>
      <c r="FL323" s="55">
        <f>SUMIFS(tblPlant[Lime_kg],tblPlant[Date],$A323)</f>
        <v/>
      </c>
      <c r="FM323" s="55">
        <f>IF($B323=$B322,$FM322,0)+$FL323</f>
        <v/>
      </c>
      <c r="FN323" s="55">
        <f>$FN322+$FL323</f>
        <v/>
      </c>
      <c r="FO323" s="55">
        <f>SUMIFS(tblPlant[Grinding_Media_kg],tblPlant[Date],$A323)</f>
        <v/>
      </c>
      <c r="FP323" s="55">
        <f>IF($B323=$B322,$FP322,0)+$FO323</f>
        <v/>
      </c>
      <c r="FQ323" s="55">
        <f>$FQ322+$FO323</f>
        <v/>
      </c>
      <c r="FR323" s="55">
        <f>SUMIFS(tblPlant[Power_kWh],tblPlant[Date],$A323)</f>
        <v/>
      </c>
      <c r="FS323" s="55">
        <f>IF($B323=$B322,$FS322,0)+$FR323</f>
        <v/>
      </c>
      <c r="FT323" s="55">
        <f>$FT322+$FR323</f>
        <v/>
      </c>
      <c r="FU323" s="55">
        <f>SUMIFS(tblPlant[Raw_Water_m3],tblPlant[Date],$A323)</f>
        <v/>
      </c>
      <c r="FV323" s="55">
        <f>IF($B323=$B322,$FV322,0)+$FU323</f>
        <v/>
      </c>
      <c r="FW323" s="55">
        <f>$FW322+$FU323</f>
        <v/>
      </c>
      <c r="FX323" s="56">
        <f>IFERROR(IF(($CU323)&gt;0,($FI323)/($CU323),""),"")</f>
        <v/>
      </c>
      <c r="FY323" s="56">
        <f>IFERROR(IF(($CV323)&gt;0,($FJ323)/($CV323),""),"")</f>
        <v/>
      </c>
      <c r="FZ323" s="56">
        <f>IFERROR(IF(($CW323)&gt;0,($FK323)/($CW323),""),"")</f>
        <v/>
      </c>
      <c r="GA323" s="56">
        <f>IFERROR(IF(($CU323)&gt;0,($FL323)/($CU323),""),"")</f>
        <v/>
      </c>
      <c r="GB323" s="56">
        <f>IFERROR(IF(($CV323)&gt;0,($FM323)/($CV323),""),"")</f>
        <v/>
      </c>
      <c r="GC323" s="56">
        <f>IFERROR(IF(($CW323)&gt;0,($FN323)/($CW323),""),"")</f>
        <v/>
      </c>
      <c r="GD323" s="56">
        <f>IFERROR(IF(($CU323)&gt;0,($FO323)/($CU323),""),"")</f>
        <v/>
      </c>
      <c r="GE323" s="56">
        <f>IFERROR(IF(($CV323)&gt;0,($FP323)/($CV323),""),"")</f>
        <v/>
      </c>
      <c r="GF323" s="56">
        <f>IFERROR(IF(($CW323)&gt;0,($FQ323)/($CW323),""),"")</f>
        <v/>
      </c>
      <c r="GG323" s="79">
        <f>IFERROR(IF(($CU323)&gt;0,($FR323)/($CU323),""),"")</f>
        <v/>
      </c>
      <c r="GH323" s="79">
        <f>IFERROR(IF(($CV323)&gt;0,($FS323)/($CV323),""),"")</f>
        <v/>
      </c>
      <c r="GI323" s="79">
        <f>IFERROR(IF(($CW323)&gt;0,($FT323)/($CW323),""),"")</f>
        <v/>
      </c>
      <c r="GJ323" s="56">
        <f>IFERROR(IF(($CU323)&gt;0,($FU323)/($CU323),""),"")</f>
        <v/>
      </c>
      <c r="GK323" s="56">
        <f>IFERROR(IF(($CV323)&gt;0,($FV323)/($CV323),""),"")</f>
        <v/>
      </c>
      <c r="GL323" s="56">
        <f>IFERROR(IF(($CW323)&gt;0,($FW323)/($CW323),""),"")</f>
        <v/>
      </c>
      <c r="GM323" s="55">
        <f>IF(SUMIFS(tblPlant[GIC_oz],tblPlant[Date],$A323)&gt;0,SUMIFS(tblPlant[GIC_oz],tblPlant[Date],$A323),"")</f>
        <v/>
      </c>
      <c r="GN323" s="55">
        <f>SUMIFS(tblGold[Gold_oz],tblGold[Date],$A323,tblGold[Type],"Shipment")</f>
        <v/>
      </c>
      <c r="GO323" s="55">
        <f>IF($B323=$B322,$GO322,0)+$GN323</f>
        <v/>
      </c>
      <c r="GP323" s="55">
        <f>$GP322+$GN323</f>
        <v/>
      </c>
      <c r="GQ323" s="55">
        <f>SUMIFS(tblGold[Gold_oz],tblGold[Date],$A323,tblGold[Type],"Sale")</f>
        <v/>
      </c>
      <c r="GR323" s="55">
        <f>IF($B323=$B322,$GR322,0)+$GQ323</f>
        <v/>
      </c>
      <c r="GS323" s="55">
        <f>$GS322+$GQ323</f>
        <v/>
      </c>
      <c r="GT323" s="55">
        <f>SUMIFS(tblGold[Dore_kg],tblGold[Date],$A323,tblGold[Type],"Shipment")</f>
        <v/>
      </c>
      <c r="GU323" s="55">
        <f>IF($B323=$B322,$GU322,0)+$GT323</f>
        <v/>
      </c>
      <c r="GV323" s="55">
        <f>$GV322+$GT323</f>
        <v/>
      </c>
      <c r="GW323" s="57">
        <f>SUMIFS(tblSafety[Hours_Total],tblSafety[Date],$A323)</f>
        <v/>
      </c>
      <c r="GX323" s="57">
        <f>IF($B323=$B322,$GX322,0)+$GW323</f>
        <v/>
      </c>
      <c r="GY323" s="57">
        <f>$GY322+$GW323</f>
        <v/>
      </c>
      <c r="GZ323" s="62">
        <f>SUMIFS(tblSafety[Fatality],tblSafety[Date],$A323)</f>
        <v/>
      </c>
      <c r="HA323" s="62">
        <f>IF($B323=$B322,$HA322,0)+$GZ323</f>
        <v/>
      </c>
      <c r="HB323" s="62">
        <f>$HB322+$GZ323</f>
        <v/>
      </c>
      <c r="HC323" s="62">
        <f>SUMIFS(tblSafety[LTI],tblSafety[Date],$A323)</f>
        <v/>
      </c>
      <c r="HD323" s="62">
        <f>IF($B323=$B322,$HD322,0)+$HC323</f>
        <v/>
      </c>
      <c r="HE323" s="62">
        <f>$HE322+$HC323</f>
        <v/>
      </c>
      <c r="HF323" s="62">
        <f>SUMIFS(tblSafety[RWI],tblSafety[Date],$A323)</f>
        <v/>
      </c>
      <c r="HG323" s="62">
        <f>IF($B323=$B322,$HG322,0)+$HF323</f>
        <v/>
      </c>
      <c r="HH323" s="62">
        <f>$HH322+$HF323</f>
        <v/>
      </c>
      <c r="HI323" s="62">
        <f>SUMIFS(tblSafety[MTI],tblSafety[Date],$A323)</f>
        <v/>
      </c>
      <c r="HJ323" s="62">
        <f>IF($B323=$B322,$HJ322,0)+$HI323</f>
        <v/>
      </c>
      <c r="HK323" s="62">
        <f>$HK322+$HI323</f>
        <v/>
      </c>
      <c r="HL323" s="62">
        <f>SUMIFS(tblSafety[FAI],tblSafety[Date],$A323)</f>
        <v/>
      </c>
      <c r="HM323" s="62">
        <f>IF($B323=$B322,$HM322,0)+$HL323</f>
        <v/>
      </c>
      <c r="HN323" s="62">
        <f>$HN322+$HL323</f>
        <v/>
      </c>
      <c r="HO323" s="62">
        <f>SUMIFS(tblSafety[Recordables],tblSafety[Date],$A323)</f>
        <v/>
      </c>
      <c r="HP323" s="62">
        <f>IF($B323=$B322,$HP322,0)+$HO323</f>
        <v/>
      </c>
      <c r="HQ323" s="62">
        <f>$HQ322+$HO323</f>
        <v/>
      </c>
      <c r="HR323" s="62">
        <f>SUMIFS(tblSafety[Near_Miss],tblSafety[Date],$A323)</f>
        <v/>
      </c>
      <c r="HS323" s="62">
        <f>IF($B323=$B322,$HS322,0)+$HR323</f>
        <v/>
      </c>
      <c r="HT323" s="62">
        <f>$HT322+$HR323</f>
        <v/>
      </c>
      <c r="HU323" s="62">
        <f>SUMIFS(tblSafety[Hazard_Reports],tblSafety[Date],$A323)</f>
        <v/>
      </c>
      <c r="HV323" s="62">
        <f>IF($B323=$B322,$HV322,0)+$HU323</f>
        <v/>
      </c>
      <c r="HW323" s="62">
        <f>$HW322+$HU323</f>
        <v/>
      </c>
      <c r="HX323" s="62">
        <f>SUMIFS(tblSafety[HPI],tblSafety[Date],$A323)</f>
        <v/>
      </c>
      <c r="HY323" s="62">
        <f>IF($B323=$B322,$HY322,0)+$HX323</f>
        <v/>
      </c>
      <c r="HZ323" s="62">
        <f>$HZ322+$HX323</f>
        <v/>
      </c>
      <c r="IA323" s="62">
        <f>SUMIFS(tblSafety[Env_Incidents],tblSafety[Date],$A323)</f>
        <v/>
      </c>
      <c r="IB323" s="62">
        <f>IF($B323=$B322,$IB322,0)+$IA323</f>
        <v/>
      </c>
      <c r="IC323" s="62">
        <f>$IC322+$IA323</f>
        <v/>
      </c>
      <c r="ID323" s="62">
        <f>SUMIFS(tblSafety[Community_Incidents],tblSafety[Date],$A323)</f>
        <v/>
      </c>
      <c r="IE323" s="62">
        <f>IF($B323=$B322,$IE322,0)+$ID323</f>
        <v/>
      </c>
      <c r="IF323" s="62">
        <f>$IF322+$ID323</f>
        <v/>
      </c>
      <c r="IG323" s="62">
        <f>SUMIFS(tblSafety[Vehicle_Incidents],tblSafety[Date],$A323)</f>
        <v/>
      </c>
      <c r="IH323" s="62">
        <f>IF($B323=$B322,$IH322,0)+$IG323</f>
        <v/>
      </c>
      <c r="II323" s="62">
        <f>$II322+$IG323</f>
        <v/>
      </c>
      <c r="IJ323" s="62">
        <f>SUMIFS(tblSafety[Toolbox_Talks],tblSafety[Date],$A323)</f>
        <v/>
      </c>
      <c r="IK323" s="62">
        <f>IF($B323=$B322,$IK322,0)+$IJ323</f>
        <v/>
      </c>
      <c r="IL323" s="62">
        <f>$IL322+$IJ323</f>
        <v/>
      </c>
      <c r="IM323" s="62">
        <f>SUMIFS(tblSafety[Inspections],tblSafety[Date],$A323)</f>
        <v/>
      </c>
      <c r="IN323" s="62">
        <f>IF($B323=$B322,$IN322,0)+$IM323</f>
        <v/>
      </c>
      <c r="IO323" s="62">
        <f>$IO322+$IM323</f>
        <v/>
      </c>
      <c r="IP323" s="56">
        <f>IFERROR((SUMIFS(tblSafety[Recordables],tblSafety[Date],"&gt;="&amp;EDATE($E323,-12),tblSafety[Date],"&lt;="&amp;$A323)+SUMIFS(tblSafetyHistory[Recordables],tblSafetyHistory[Month],"&gt;="&amp;EDATE($E323,-12),tblSafetyHistory[Month],"&lt;"&amp;$E323,tblSafetyHistory[Use],1))/(SUMIFS(tblSafety[Hours_Total],tblSafety[Date],"&gt;="&amp;EDATE($E323,-12),tblSafety[Date],"&lt;="&amp;$A323)+SUMIFS(tblSafetyHistory[Hours_Total],tblSafetyHistory[Month],"&gt;="&amp;EDATE($E323,-12),tblSafetyHistory[Month],"&lt;"&amp;$E323,tblSafetyHistory[Use],1))*cfg_RateBasisHours,"")</f>
        <v/>
      </c>
      <c r="IQ323" s="56">
        <f>IFERROR((SUMIFS(tblSafety[LTI],tblSafety[Date],"&gt;="&amp;EDATE($E323,-12),tblSafety[Date],"&lt;="&amp;$A323)+SUMIFS(tblSafetyHistory[LTI],tblSafetyHistory[Month],"&gt;="&amp;EDATE($E323,-12),tblSafetyHistory[Month],"&lt;"&amp;$E323,tblSafetyHistory[Use],1))/(SUMIFS(tblSafety[Hours_Total],tblSafety[Date],"&gt;="&amp;EDATE($E323,-12),tblSafety[Date],"&lt;="&amp;$A323)+SUMIFS(tblSafetyHistory[Hours_Total],tblSafetyHistory[Month],"&gt;="&amp;EDATE($E323,-12),tblSafetyHistory[Month],"&lt;"&amp;$E323,tblSafetyHistory[Use],1))*cfg_RateBasisHours,"")</f>
        <v/>
      </c>
      <c r="IR323" s="62">
        <f>IF(MAX(N(cfg_PriorLTIDate),_xlfn.MAXIFS(tblSafety[Date],tblSafety[LTI],"&gt;0",tblSafety[Date],"&lt;="&amp;$A323))=0,"",$A323-MAX(N(cfg_PriorLTIDate),_xlfn.MAXIFS(tblSafety[Date],tblSafety[LTI],"&gt;0",tblSafety[Date],"&lt;="&amp;$A323)))</f>
        <v/>
      </c>
      <c r="IS323" s="55">
        <f>SUMIFS(tblBudget[Ore_Mined_t],tblBudget[Month],$E323)</f>
        <v/>
      </c>
      <c r="IT323" s="55">
        <f>$IS323*$C323/$D323</f>
        <v/>
      </c>
      <c r="IU323" s="55">
        <f>SUMIFS(tblBudget[Ore_Mined_t],tblBudget[Month],"&lt;"&amp;$E323)+$IT323</f>
        <v/>
      </c>
      <c r="IV323" s="55">
        <f>SUMIFS(tblBudget[Ore_oz],tblBudget[Month],$E323)</f>
        <v/>
      </c>
      <c r="IW323" s="55">
        <f>$IV323*$C323/$D323</f>
        <v/>
      </c>
      <c r="IX323" s="55">
        <f>SUMIFS(tblBudget[Ore_oz],tblBudget[Month],"&lt;"&amp;$E323)+$IW323</f>
        <v/>
      </c>
      <c r="IY323" s="55">
        <f>SUMIFS(tblBudget[Ore_Mined_t],tblBudget[Month],$E323)</f>
        <v/>
      </c>
      <c r="IZ323" s="55">
        <f>$IY323*$C323/$D323</f>
        <v/>
      </c>
      <c r="JA323" s="55">
        <f>SUMIFS(tblBudget[Ore_Mined_t],tblBudget[Month],"&lt;"&amp;$E323)+$IZ323</f>
        <v/>
      </c>
      <c r="JB323" s="56">
        <f>IFERROR(IF(($IY323)&gt;0,($IV323*cfg_TroyOz)/($IY323),""),"")</f>
        <v/>
      </c>
      <c r="JC323" s="56">
        <f>IFERROR(IF(($IZ323)&gt;0,($IW323*cfg_TroyOz)/($IZ323),""),"")</f>
        <v/>
      </c>
      <c r="JD323" s="56">
        <f>IFERROR(IF(($JA323)&gt;0,($IX323*cfg_TroyOz)/($JA323),""),"")</f>
        <v/>
      </c>
      <c r="JE323" s="55">
        <f>SUMIFS(tblBudget[Waste_t],tblBudget[Month],$E323)</f>
        <v/>
      </c>
      <c r="JF323" s="55">
        <f>$JE323*$C323/$D323</f>
        <v/>
      </c>
      <c r="JG323" s="55">
        <f>SUMIFS(tblBudget[Waste_t],tblBudget[Month],"&lt;"&amp;$E323)+$JF323</f>
        <v/>
      </c>
      <c r="JH323" s="55">
        <f>SUMIFS(tblBudget[TMM_t],tblBudget[Month],$E323)</f>
        <v/>
      </c>
      <c r="JI323" s="55">
        <f>$JH323*$C323/$D323</f>
        <v/>
      </c>
      <c r="JJ323" s="55">
        <f>SUMIFS(tblBudget[TMM_t],tblBudget[Month],"&lt;"&amp;$E323)+$JI323</f>
        <v/>
      </c>
      <c r="JK323" s="56">
        <f>IFERROR(IF(($IS323)&gt;0,($JE323)/($IS323),""),"")</f>
        <v/>
      </c>
      <c r="JL323" s="56">
        <f>IFERROR(IF(($IT323)&gt;0,($JF323)/($IT323),""),"")</f>
        <v/>
      </c>
      <c r="JM323" s="56">
        <f>IFERROR(IF(($IU323)&gt;0,($JG323)/($IU323),""),"")</f>
        <v/>
      </c>
      <c r="JN323" s="55">
        <f>SUMIFS(tblBudget[Drill_m],tblBudget[Month],$E323)</f>
        <v/>
      </c>
      <c r="JO323" s="55">
        <f>$JN323*$C323/$D323</f>
        <v/>
      </c>
      <c r="JP323" s="55">
        <f>SUMIFS(tblBudget[Drill_m],tblBudget[Month],"&lt;"&amp;$E323)+$JO323</f>
        <v/>
      </c>
      <c r="JQ323" s="55">
        <f>SUMIFS(tblBudget[Diesel_L],tblBudget[Month],$E323)</f>
        <v/>
      </c>
      <c r="JR323" s="55">
        <f>$JQ323*$C323/$D323</f>
        <v/>
      </c>
      <c r="JS323" s="55">
        <f>SUMIFS(tblBudget[Diesel_L],tblBudget[Month],"&lt;"&amp;$E323)+$JR323</f>
        <v/>
      </c>
      <c r="JT323" s="55">
        <f>SUMIFS(tblBudget[Milled_t],tblBudget[Month],$E323)</f>
        <v/>
      </c>
      <c r="JU323" s="55">
        <f>$JT323*$C323/$D323</f>
        <v/>
      </c>
      <c r="JV323" s="55">
        <f>SUMIFS(tblBudget[Milled_t],tblBudget[Month],"&lt;"&amp;$E323)+$JU323</f>
        <v/>
      </c>
      <c r="JW323" s="55">
        <f>SUMIFS(tblBudget[Feed_oz],tblBudget[Month],$E323)</f>
        <v/>
      </c>
      <c r="JX323" s="55">
        <f>$JW323*$C323/$D323</f>
        <v/>
      </c>
      <c r="JY323" s="55">
        <f>SUMIFS(tblBudget[Feed_oz],tblBudget[Month],"&lt;"&amp;$E323)+$JX323</f>
        <v/>
      </c>
      <c r="JZ323" s="55">
        <f>SUMIFS(tblBudget[Recovered_oz],tblBudget[Month],$E323)</f>
        <v/>
      </c>
      <c r="KA323" s="55">
        <f>$JZ323*$C323/$D323</f>
        <v/>
      </c>
      <c r="KB323" s="55">
        <f>SUMIFS(tblBudget[Recovered_oz],tblBudget[Month],"&lt;"&amp;$E323)+$KA323</f>
        <v/>
      </c>
      <c r="KC323" s="55">
        <f>SUMIFS(tblBudget[Milled_t],tblBudget[Month],$E323)</f>
        <v/>
      </c>
      <c r="KD323" s="55">
        <f>$KC323*$C323/$D323</f>
        <v/>
      </c>
      <c r="KE323" s="55">
        <f>SUMIFS(tblBudget[Milled_t],tblBudget[Month],"&lt;"&amp;$E323)+$KD323</f>
        <v/>
      </c>
      <c r="KF323" s="55">
        <f>SUMIFS(tblBudget[Feed_oz],tblBudget[Month],$E323)</f>
        <v/>
      </c>
      <c r="KG323" s="55">
        <f>$KF323*$C323/$D323</f>
        <v/>
      </c>
      <c r="KH323" s="55">
        <f>SUMIFS(tblBudget[Feed_oz],tblBudget[Month],"&lt;"&amp;$E323)+$KG323</f>
        <v/>
      </c>
      <c r="KI323" s="56">
        <f>IFERROR(IF(($KC323)&gt;0,($JW323*cfg_TroyOz)/($KC323),""),"")</f>
        <v/>
      </c>
      <c r="KJ323" s="56">
        <f>IFERROR(IF(($KD323)&gt;0,($JX323*cfg_TroyOz)/($KD323),""),"")</f>
        <v/>
      </c>
      <c r="KK323" s="56">
        <f>IFERROR(IF(($KE323)&gt;0,($JY323*cfg_TroyOz)/($KE323),""),"")</f>
        <v/>
      </c>
      <c r="KL323" s="67">
        <f>IFERROR(IF(($KF323)&gt;0,($JZ323)/($KF323),""),"")</f>
        <v/>
      </c>
      <c r="KM323" s="67">
        <f>IFERROR(IF(($KG323)&gt;0,($KA323)/($KG323),""),"")</f>
        <v/>
      </c>
      <c r="KN323" s="67">
        <f>IFERROR(IF(($KH323)&gt;0,($KB323)/($KH323),""),"")</f>
        <v/>
      </c>
      <c r="KO323" s="55">
        <f>SUMIFS(tblBudget[Gold_Poured_oz],tblBudget[Month],$E323)</f>
        <v/>
      </c>
      <c r="KP323" s="55">
        <f>$KO323*$C323/$D323</f>
        <v/>
      </c>
      <c r="KQ323" s="55">
        <f>SUMIFS(tblBudget[Gold_Poured_oz],tblBudget[Month],"&lt;"&amp;$E323)+$KP323</f>
        <v/>
      </c>
      <c r="KR323" s="57">
        <f>SUMIFS(tblBudget[Hours_Worked],tblBudget[Month],$E323)</f>
        <v/>
      </c>
      <c r="KS323" s="57">
        <f>$KR323*$C323/$D323</f>
        <v/>
      </c>
      <c r="KT323" s="57">
        <f>SUMIFS(tblBudget[Hours_Worked],tblBudget[Month],"&lt;"&amp;$E323)+$KS323</f>
        <v/>
      </c>
    </row>
    <row r="324">
      <c r="A324" s="54" t="n">
        <v>46345</v>
      </c>
      <c r="B324">
        <f>MONTH($A324)</f>
        <v/>
      </c>
      <c r="C324">
        <f>DAY($A324)</f>
        <v/>
      </c>
      <c r="D324">
        <f>DAY(EOMONTH($A324,0))</f>
        <v/>
      </c>
      <c r="E324" s="54">
        <f>DATE(YEAR($A324),MONTH($A324),1)</f>
        <v/>
      </c>
      <c r="F324" s="55">
        <f>SUMIFS(tblMovement[Tonnes_t],tblMovement[Date],$A324,tblMovement[Is_Ore],1,tblMovement[Source_Type],"Pit")</f>
        <v/>
      </c>
      <c r="G324" s="55">
        <f>IF($B324=$B323,$G323,0)+$F324</f>
        <v/>
      </c>
      <c r="H324" s="55">
        <f>$H323+$F324</f>
        <v/>
      </c>
      <c r="I324" s="55">
        <f>SUMIFS(tblMovement[Ore_oz],tblMovement[Date],$A324,tblMovement[Source_Type],"Pit")</f>
        <v/>
      </c>
      <c r="J324" s="55">
        <f>IF($B324=$B323,$J323,0)+$I324</f>
        <v/>
      </c>
      <c r="K324" s="55">
        <f>$K323+$I324</f>
        <v/>
      </c>
      <c r="L324" s="55">
        <f>SUMIFS(tblMovement[Tonnes_t],tblMovement[Date],$A324,tblMovement[Is_Ore],1,tblMovement[Source_Type],"Pit",tblMovement[Grade_gpt],"&lt;&gt;")</f>
        <v/>
      </c>
      <c r="M324" s="55">
        <f>IF($B324=$B323,$M323,0)+$L324</f>
        <v/>
      </c>
      <c r="N324" s="55">
        <f>$N323+$L324</f>
        <v/>
      </c>
      <c r="O324" s="56">
        <f>IFERROR(IF(($L324)&gt;0,($I324*cfg_TroyOz)/($L324),""),"")</f>
        <v/>
      </c>
      <c r="P324" s="56">
        <f>IFERROR(IF(($M324)&gt;0,($J324*cfg_TroyOz)/($M324),""),"")</f>
        <v/>
      </c>
      <c r="Q324" s="56">
        <f>IFERROR(IF(($N324)&gt;0,($K324*cfg_TroyOz)/($N324),""),"")</f>
        <v/>
      </c>
      <c r="R324" s="55">
        <f>$F324-$L324</f>
        <v/>
      </c>
      <c r="S324" s="55">
        <f>IF($B324=$B323,$S323,0)+$R324</f>
        <v/>
      </c>
      <c r="T324" s="55">
        <f>$T323+$R324</f>
        <v/>
      </c>
      <c r="U324" s="55">
        <f>SUMIFS(tblMovement[Tonnes_t],tblMovement[Date],$A324,tblMovement[Is_Ore],0,tblMovement[Source_Type],"Pit")</f>
        <v/>
      </c>
      <c r="V324" s="55">
        <f>IF($B324=$B323,$V323,0)+$U324</f>
        <v/>
      </c>
      <c r="W324" s="55">
        <f>$W323+$U324</f>
        <v/>
      </c>
      <c r="X324" s="55">
        <f>$F324+$U324</f>
        <v/>
      </c>
      <c r="Y324" s="55">
        <f>IF($B324=$B323,$Y323,0)+$X324</f>
        <v/>
      </c>
      <c r="Z324" s="55">
        <f>$Z323+$X324</f>
        <v/>
      </c>
      <c r="AA324" s="56">
        <f>IFERROR(IF(($F324)&gt;0,($U324)/($F324),""),"")</f>
        <v/>
      </c>
      <c r="AB324" s="56">
        <f>IFERROR(IF(($G324)&gt;0,($V324)/($G324),""),"")</f>
        <v/>
      </c>
      <c r="AC324" s="56">
        <f>IFERROR(IF(($H324)&gt;0,($W324)/($H324),""),"")</f>
        <v/>
      </c>
      <c r="AD324" s="55">
        <f>SUMIFS(tblMovement[Tonnes_t],tblMovement[Date],$A324,tblMovement[Source_Type],"Stockpile")</f>
        <v/>
      </c>
      <c r="AE324" s="55">
        <f>IF($B324=$B323,$AE323,0)+$AD324</f>
        <v/>
      </c>
      <c r="AF324" s="55">
        <f>$AF323+$AD324</f>
        <v/>
      </c>
      <c r="AG324" s="55">
        <f>SUMIFS(tblMovement[Tonnes_t],tblMovement[Date],$A324)</f>
        <v/>
      </c>
      <c r="AH324" s="55">
        <f>IF($B324=$B323,$AH323,0)+$AG324</f>
        <v/>
      </c>
      <c r="AI324" s="55">
        <f>$AI323+$AG324</f>
        <v/>
      </c>
      <c r="AJ324" s="55">
        <f>$AG324-$X324-$AD324</f>
        <v/>
      </c>
      <c r="AK324" s="55">
        <f>IF($B324=$B323,$AK323,0)+$AJ324</f>
        <v/>
      </c>
      <c r="AL324" s="55">
        <f>$AL323+$AJ324</f>
        <v/>
      </c>
      <c r="AM324" s="55">
        <f>SUMIFS(tblMiningDaily[Drill_m],tblMiningDaily[Date],$A324)</f>
        <v/>
      </c>
      <c r="AN324" s="55">
        <f>IF($B324=$B323,$AN323,0)+$AM324</f>
        <v/>
      </c>
      <c r="AO324" s="55">
        <f>$AO323+$AM324</f>
        <v/>
      </c>
      <c r="AP324" s="55">
        <f>SUMIFS(tblMiningDaily[GC_Drill_m],tblMiningDaily[Date],$A324)</f>
        <v/>
      </c>
      <c r="AQ324" s="55">
        <f>IF($B324=$B323,$AQ323,0)+$AP324</f>
        <v/>
      </c>
      <c r="AR324" s="55">
        <f>$AR323+$AP324</f>
        <v/>
      </c>
      <c r="AS324" s="55">
        <f>SUMIFS(tblMiningDaily[Blast_t],tblMiningDaily[Date],$A324)</f>
        <v/>
      </c>
      <c r="AT324" s="55">
        <f>IF($B324=$B323,$AT323,0)+$AS324</f>
        <v/>
      </c>
      <c r="AU324" s="55">
        <f>$AU323+$AS324</f>
        <v/>
      </c>
      <c r="AV324" s="55">
        <f>SUMIFS(tblMiningDaily[Explosives_kg],tblMiningDaily[Date],$A324)</f>
        <v/>
      </c>
      <c r="AW324" s="55">
        <f>IF($B324=$B323,$AW323,0)+$AV324</f>
        <v/>
      </c>
      <c r="AX324" s="55">
        <f>$AX323+$AV324</f>
        <v/>
      </c>
      <c r="AY324" s="56">
        <f>IFERROR(IF(($AS324)&gt;0,($AV324)/($AS324),""),"")</f>
        <v/>
      </c>
      <c r="AZ324" s="56">
        <f>IFERROR(IF(($AT324)&gt;0,($AW324)/($AT324),""),"")</f>
        <v/>
      </c>
      <c r="BA324" s="56">
        <f>IFERROR(IF(($AU324)&gt;0,($AX324)/($AU324),""),"")</f>
        <v/>
      </c>
      <c r="BB324" s="55">
        <f>SUMIFS(tblMiningDaily[Diesel_L],tblMiningDaily[Date],$A324)</f>
        <v/>
      </c>
      <c r="BC324" s="55">
        <f>IF($B324=$B323,$BC323,0)+$BB324</f>
        <v/>
      </c>
      <c r="BD324" s="55">
        <f>$BD323+$BB324</f>
        <v/>
      </c>
      <c r="BE324" s="55">
        <f>SUMIFS(tblMiningDaily[Dewatering_m3],tblMiningDaily[Date],$A324)</f>
        <v/>
      </c>
      <c r="BF324" s="55">
        <f>IF($B324=$B323,$BF323,0)+$BE324</f>
        <v/>
      </c>
      <c r="BG324" s="55">
        <f>$BG323+$BE324</f>
        <v/>
      </c>
      <c r="BH324" s="57">
        <f>SUMIFS(tblFleet[Calendar_h],tblFleet[Date],$A324,tblFleet[Equipment_Class],"Excavator")</f>
        <v/>
      </c>
      <c r="BI324" s="57">
        <f>IF($B324=$B323,$BI323,0)+$BH324</f>
        <v/>
      </c>
      <c r="BJ324" s="57">
        <f>$BJ323+$BH324</f>
        <v/>
      </c>
      <c r="BK324" s="57">
        <f>SUMIFS(tblFleet[Available_h],tblFleet[Date],$A324,tblFleet[Equipment_Class],"Excavator")</f>
        <v/>
      </c>
      <c r="BL324" s="57">
        <f>IF($B324=$B323,$BL323,0)+$BK324</f>
        <v/>
      </c>
      <c r="BM324" s="57">
        <f>$BM323+$BK324</f>
        <v/>
      </c>
      <c r="BN324" s="57">
        <f>SUMIFS(tblFleet[Operating_h],tblFleet[Date],$A324,tblFleet[Equipment_Class],"Excavator")</f>
        <v/>
      </c>
      <c r="BO324" s="57">
        <f>IF($B324=$B323,$BO323,0)+$BN324</f>
        <v/>
      </c>
      <c r="BP324" s="57">
        <f>$BP323+$BN324</f>
        <v/>
      </c>
      <c r="BQ324" s="67">
        <f>IFERROR(IF(($BH324)&gt;0,($BK324)/($BH324),""),"")</f>
        <v/>
      </c>
      <c r="BR324" s="67">
        <f>IFERROR(IF(($BI324)&gt;0,($BL324)/($BI324),""),"")</f>
        <v/>
      </c>
      <c r="BS324" s="67">
        <f>IFERROR(IF(($BJ324)&gt;0,($BM324)/($BJ324),""),"")</f>
        <v/>
      </c>
      <c r="BT324" s="67">
        <f>IFERROR(IF(($BK324)&gt;0,($BN324)/($BK324),""),"")</f>
        <v/>
      </c>
      <c r="BU324" s="67">
        <f>IFERROR(IF(($BL324)&gt;0,($BO324)/($BL324),""),"")</f>
        <v/>
      </c>
      <c r="BV324" s="67">
        <f>IFERROR(IF(($BM324)&gt;0,($BP324)/($BM324),""),"")</f>
        <v/>
      </c>
      <c r="BW324" s="57">
        <f>SUMIFS(tblFleet[Calendar_h],tblFleet[Date],$A324,tblFleet[Equipment_Class],"Haul Truck")</f>
        <v/>
      </c>
      <c r="BX324" s="57">
        <f>IF($B324=$B323,$BX323,0)+$BW324</f>
        <v/>
      </c>
      <c r="BY324" s="57">
        <f>$BY323+$BW324</f>
        <v/>
      </c>
      <c r="BZ324" s="57">
        <f>SUMIFS(tblFleet[Available_h],tblFleet[Date],$A324,tblFleet[Equipment_Class],"Haul Truck")</f>
        <v/>
      </c>
      <c r="CA324" s="57">
        <f>IF($B324=$B323,$CA323,0)+$BZ324</f>
        <v/>
      </c>
      <c r="CB324" s="57">
        <f>$CB323+$BZ324</f>
        <v/>
      </c>
      <c r="CC324" s="57">
        <f>SUMIFS(tblFleet[Operating_h],tblFleet[Date],$A324,tblFleet[Equipment_Class],"Haul Truck")</f>
        <v/>
      </c>
      <c r="CD324" s="57">
        <f>IF($B324=$B323,$CD323,0)+$CC324</f>
        <v/>
      </c>
      <c r="CE324" s="57">
        <f>$CE323+$CC324</f>
        <v/>
      </c>
      <c r="CF324" s="67">
        <f>IFERROR(IF(($BW324)&gt;0,($BZ324)/($BW324),""),"")</f>
        <v/>
      </c>
      <c r="CG324" s="67">
        <f>IFERROR(IF(($BX324)&gt;0,($CA324)/($BX324),""),"")</f>
        <v/>
      </c>
      <c r="CH324" s="67">
        <f>IFERROR(IF(($BY324)&gt;0,($CB324)/($BY324),""),"")</f>
        <v/>
      </c>
      <c r="CI324" s="67">
        <f>IFERROR(IF(($BZ324)&gt;0,($CC324)/($BZ324),""),"")</f>
        <v/>
      </c>
      <c r="CJ324" s="67">
        <f>IFERROR(IF(($CA324)&gt;0,($CD324)/($CA324),""),"")</f>
        <v/>
      </c>
      <c r="CK324" s="67">
        <f>IFERROR(IF(($CB324)&gt;0,($CE324)/($CB324),""),"")</f>
        <v/>
      </c>
      <c r="CL324" s="55">
        <f>IFERROR(IF(($BN324)&gt;0,($X324+$AD324)/($BN324),""),"")</f>
        <v/>
      </c>
      <c r="CM324" s="55">
        <f>IFERROR(IF(($BO324)&gt;0,($Y324+$AE324)/($BO324),""),"")</f>
        <v/>
      </c>
      <c r="CN324" s="55">
        <f>IFERROR(IF(($BP324)&gt;0,($Z324+$AF324)/($BP324),""),"")</f>
        <v/>
      </c>
      <c r="CO324" s="55">
        <f>IFERROR(IF(($CC324)&gt;0,($X324+$AD324)/($CC324),""),"")</f>
        <v/>
      </c>
      <c r="CP324" s="55">
        <f>IFERROR(IF(($CD324)&gt;0,($Y324+$AE324)/($CD324),""),"")</f>
        <v/>
      </c>
      <c r="CQ324" s="55">
        <f>IFERROR(IF(($CE324)&gt;0,($Z324+$AF324)/($CE324),""),"")</f>
        <v/>
      </c>
      <c r="CR324" s="55">
        <f>SUMIFS(tblPlant[Crushed_t],tblPlant[Date],$A324)</f>
        <v/>
      </c>
      <c r="CS324" s="55">
        <f>IF($B324=$B323,$CS323,0)+$CR324</f>
        <v/>
      </c>
      <c r="CT324" s="55">
        <f>$CT323+$CR324</f>
        <v/>
      </c>
      <c r="CU324" s="55">
        <f>SUMIFS(tblPlant[Milled_t],tblPlant[Date],$A324)</f>
        <v/>
      </c>
      <c r="CV324" s="55">
        <f>IF($B324=$B323,$CV323,0)+$CU324</f>
        <v/>
      </c>
      <c r="CW324" s="55">
        <f>$CW323+$CU324</f>
        <v/>
      </c>
      <c r="CX324" s="55">
        <f>SUMIFS(tblPlant[Feed_oz],tblPlant[Date],$A324)</f>
        <v/>
      </c>
      <c r="CY324" s="55">
        <f>IF($B324=$B323,$CY323,0)+$CX324</f>
        <v/>
      </c>
      <c r="CZ324" s="55">
        <f>$CZ323+$CX324</f>
        <v/>
      </c>
      <c r="DA324" s="55">
        <f>SUMIFS(tblPlant[Tails_oz],tblPlant[Date],$A324)</f>
        <v/>
      </c>
      <c r="DB324" s="55">
        <f>IF($B324=$B323,$DB323,0)+$DA324</f>
        <v/>
      </c>
      <c r="DC324" s="55">
        <f>$DC323+$DA324</f>
        <v/>
      </c>
      <c r="DD324" s="55">
        <f>SUMIFS(tblPlant[Recovered_oz],tblPlant[Date],$A324)</f>
        <v/>
      </c>
      <c r="DE324" s="55">
        <f>IF($B324=$B323,$DE323,0)+$DD324</f>
        <v/>
      </c>
      <c r="DF324" s="55">
        <f>$DF323+$DD324</f>
        <v/>
      </c>
      <c r="DG324" s="55">
        <f>SUMIFS(tblPlant[Milled_t],tblPlant[Date],$A324,tblPlant[Head_Grade_gpt],"&lt;&gt;")</f>
        <v/>
      </c>
      <c r="DH324" s="55">
        <f>IF($B324=$B323,$DH323,0)+$DG324</f>
        <v/>
      </c>
      <c r="DI324" s="55">
        <f>$DI323+$DG324</f>
        <v/>
      </c>
      <c r="DJ324" s="55">
        <f>SUMIFS(tblPlant[Milled_t],tblPlant[Date],$A324,tblPlant[Tails_Grade_gpt],"&lt;&gt;")</f>
        <v/>
      </c>
      <c r="DK324" s="55">
        <f>IF($B324=$B323,$DK323,0)+$DJ324</f>
        <v/>
      </c>
      <c r="DL324" s="55">
        <f>$DL323+$DJ324</f>
        <v/>
      </c>
      <c r="DM324" s="55">
        <f>SUMIFS(tblPlant[Feed_oz],tblPlant[Date],$A324,tblPlant[Tails_Grade_gpt],"&lt;&gt;")</f>
        <v/>
      </c>
      <c r="DN324" s="55">
        <f>IF($B324=$B323,$DN323,0)+$DM324</f>
        <v/>
      </c>
      <c r="DO324" s="55">
        <f>$DO323+$DM324</f>
        <v/>
      </c>
      <c r="DP324" s="55">
        <f>SUMIFS(tblPlant[Milled_t],tblPlant[Date],$A324,tblPlant[Mill_Run_h],"&lt;&gt;")</f>
        <v/>
      </c>
      <c r="DQ324" s="55">
        <f>IF($B324=$B323,$DQ323,0)+$DP324</f>
        <v/>
      </c>
      <c r="DR324" s="55">
        <f>$DR323+$DP324</f>
        <v/>
      </c>
      <c r="DS324" s="56">
        <f>IFERROR(IF(($DG324)&gt;0,($CX324*cfg_TroyOz)/($DG324),""),"")</f>
        <v/>
      </c>
      <c r="DT324" s="56">
        <f>IFERROR(IF(($DH324)&gt;0,($CY324*cfg_TroyOz)/($DH324),""),"")</f>
        <v/>
      </c>
      <c r="DU324" s="56">
        <f>IFERROR(IF(($DI324)&gt;0,($CZ324*cfg_TroyOz)/($DI324),""),"")</f>
        <v/>
      </c>
      <c r="DV324" s="56">
        <f>IFERROR(IF(($DJ324)&gt;0,($DA324*cfg_TroyOz)/($DJ324),""),"")</f>
        <v/>
      </c>
      <c r="DW324" s="56">
        <f>IFERROR(IF(($DK324)&gt;0,($DB324*cfg_TroyOz)/($DK324),""),"")</f>
        <v/>
      </c>
      <c r="DX324" s="56">
        <f>IFERROR(IF(($DL324)&gt;0,($DC324*cfg_TroyOz)/($DL324),""),"")</f>
        <v/>
      </c>
      <c r="DY324" s="67">
        <f>IFERROR(IF(($DM324)&gt;0,($DD324)/($DM324),""),"")</f>
        <v/>
      </c>
      <c r="DZ324" s="67">
        <f>IFERROR(IF(($DN324)&gt;0,($DE324)/($DN324),""),"")</f>
        <v/>
      </c>
      <c r="EA324" s="67">
        <f>IFERROR(IF(($DO324)&gt;0,($DF324)/($DO324),""),"")</f>
        <v/>
      </c>
      <c r="EB324" s="55">
        <f>SUMIFS(tblPlant[Gravity_Gold_oz],tblPlant[Date],$A324)</f>
        <v/>
      </c>
      <c r="EC324" s="55">
        <f>IF($B324=$B323,$EC323,0)+$EB324</f>
        <v/>
      </c>
      <c r="ED324" s="55">
        <f>$ED323+$EB324</f>
        <v/>
      </c>
      <c r="EE324" s="67">
        <f>IFERROR(IF(($DD324)&gt;0,($EB324)/($DD324),""),"")</f>
        <v/>
      </c>
      <c r="EF324" s="67">
        <f>IFERROR(IF(($DE324)&gt;0,($EC324)/($DE324),""),"")</f>
        <v/>
      </c>
      <c r="EG324" s="67">
        <f>IFERROR(IF(($DF324)&gt;0,($ED324)/($DF324),""),"")</f>
        <v/>
      </c>
      <c r="EH324" s="55">
        <f>SUMIFS(tblPlant[Gold_Poured_oz],tblPlant[Date],$A324)</f>
        <v/>
      </c>
      <c r="EI324" s="55">
        <f>IF($B324=$B323,$EI323,0)+$EH324</f>
        <v/>
      </c>
      <c r="EJ324" s="55">
        <f>$EJ323+$EH324</f>
        <v/>
      </c>
      <c r="EK324" s="57">
        <f>SUMIFS(tblPlant[Mill_Run_h],tblPlant[Date],$A324)</f>
        <v/>
      </c>
      <c r="EL324" s="57">
        <f>IF($B324=$B323,$EL323,0)+$EK324</f>
        <v/>
      </c>
      <c r="EM324" s="57">
        <f>$EM323+$EK324</f>
        <v/>
      </c>
      <c r="EN324" s="57">
        <f>SUMIFS(tblPlant[Mill_Planned_Maint_h],tblPlant[Date],$A324)</f>
        <v/>
      </c>
      <c r="EO324" s="57">
        <f>IF($B324=$B323,$EO323,0)+$EN324</f>
        <v/>
      </c>
      <c r="EP324" s="57">
        <f>$EP323+$EN324</f>
        <v/>
      </c>
      <c r="EQ324" s="57">
        <f>SUMIFS(tblPlant[Mill_Unplanned_Down_h],tblPlant[Date],$A324)</f>
        <v/>
      </c>
      <c r="ER324" s="57">
        <f>IF($B324=$B323,$ER323,0)+$EQ324</f>
        <v/>
      </c>
      <c r="ES324" s="57">
        <f>$ES323+$EQ324</f>
        <v/>
      </c>
      <c r="ET324" s="57">
        <f>IF(COUNTIFS(tblPlant[Date],$A324,tblPlant[Mill_Run_h],"&lt;&gt;")+COUNTIFS(tblPlant[Date],$A324,tblPlant[Mill_Planned_Maint_h],"&lt;&gt;")+COUNTIFS(tblPlant[Date],$A324,tblPlant[Mill_Unplanned_Down_h],"&lt;&gt;")&gt;0,cfg_HoursPerDay,0)</f>
        <v/>
      </c>
      <c r="EU324" s="57">
        <f>IF($B324=$B323,$EU323,0)+$ET324</f>
        <v/>
      </c>
      <c r="EV324" s="57">
        <f>$EV323+$ET324</f>
        <v/>
      </c>
      <c r="EW324" s="57">
        <f>SUMIFS(tblPlant[Crusher_Run_h],tblPlant[Date],$A324)</f>
        <v/>
      </c>
      <c r="EX324" s="57">
        <f>IF($B324=$B323,$EX323,0)+$EW324</f>
        <v/>
      </c>
      <c r="EY324" s="57">
        <f>$EY323+$EW324</f>
        <v/>
      </c>
      <c r="EZ324" s="55">
        <f>IFERROR(IF(($EK324)&gt;0,($DP324)/($EK324),""),"")</f>
        <v/>
      </c>
      <c r="FA324" s="55">
        <f>IFERROR(IF(($EL324)&gt;0,($DQ324)/($EL324),""),"")</f>
        <v/>
      </c>
      <c r="FB324" s="55">
        <f>IFERROR(IF(($EM324)&gt;0,($DR324)/($EM324),""),"")</f>
        <v/>
      </c>
      <c r="FC324" s="67">
        <f>IFERROR(IF(($ET324)&gt;0,($ET324-$EN324-$EQ324)/($ET324),""),"")</f>
        <v/>
      </c>
      <c r="FD324" s="67">
        <f>IFERROR(IF(($EU324)&gt;0,($EU324-$EO324-$ER324)/($EU324),""),"")</f>
        <v/>
      </c>
      <c r="FE324" s="67">
        <f>IFERROR(IF(($EV324)&gt;0,($EV324-$EP324-$ES324)/($EV324),""),"")</f>
        <v/>
      </c>
      <c r="FF324" s="67">
        <f>IFERROR(IF(($ET324-$EN324-$EQ324)&gt;0,($EK324)/($ET324-$EN324-$EQ324),""),"")</f>
        <v/>
      </c>
      <c r="FG324" s="67">
        <f>IFERROR(IF(($EU324-$EO324-$ER324)&gt;0,($EL324)/($EU324-$EO324-$ER324),""),"")</f>
        <v/>
      </c>
      <c r="FH324" s="67">
        <f>IFERROR(IF(($EV324-$EP324-$ES324)&gt;0,($EM324)/($EV324-$EP324-$ES324),""),"")</f>
        <v/>
      </c>
      <c r="FI324" s="55">
        <f>SUMIFS(tblPlant[Cyanide_kg],tblPlant[Date],$A324)</f>
        <v/>
      </c>
      <c r="FJ324" s="55">
        <f>IF($B324=$B323,$FJ323,0)+$FI324</f>
        <v/>
      </c>
      <c r="FK324" s="55">
        <f>$FK323+$FI324</f>
        <v/>
      </c>
      <c r="FL324" s="55">
        <f>SUMIFS(tblPlant[Lime_kg],tblPlant[Date],$A324)</f>
        <v/>
      </c>
      <c r="FM324" s="55">
        <f>IF($B324=$B323,$FM323,0)+$FL324</f>
        <v/>
      </c>
      <c r="FN324" s="55">
        <f>$FN323+$FL324</f>
        <v/>
      </c>
      <c r="FO324" s="55">
        <f>SUMIFS(tblPlant[Grinding_Media_kg],tblPlant[Date],$A324)</f>
        <v/>
      </c>
      <c r="FP324" s="55">
        <f>IF($B324=$B323,$FP323,0)+$FO324</f>
        <v/>
      </c>
      <c r="FQ324" s="55">
        <f>$FQ323+$FO324</f>
        <v/>
      </c>
      <c r="FR324" s="55">
        <f>SUMIFS(tblPlant[Power_kWh],tblPlant[Date],$A324)</f>
        <v/>
      </c>
      <c r="FS324" s="55">
        <f>IF($B324=$B323,$FS323,0)+$FR324</f>
        <v/>
      </c>
      <c r="FT324" s="55">
        <f>$FT323+$FR324</f>
        <v/>
      </c>
      <c r="FU324" s="55">
        <f>SUMIFS(tblPlant[Raw_Water_m3],tblPlant[Date],$A324)</f>
        <v/>
      </c>
      <c r="FV324" s="55">
        <f>IF($B324=$B323,$FV323,0)+$FU324</f>
        <v/>
      </c>
      <c r="FW324" s="55">
        <f>$FW323+$FU324</f>
        <v/>
      </c>
      <c r="FX324" s="56">
        <f>IFERROR(IF(($CU324)&gt;0,($FI324)/($CU324),""),"")</f>
        <v/>
      </c>
      <c r="FY324" s="56">
        <f>IFERROR(IF(($CV324)&gt;0,($FJ324)/($CV324),""),"")</f>
        <v/>
      </c>
      <c r="FZ324" s="56">
        <f>IFERROR(IF(($CW324)&gt;0,($FK324)/($CW324),""),"")</f>
        <v/>
      </c>
      <c r="GA324" s="56">
        <f>IFERROR(IF(($CU324)&gt;0,($FL324)/($CU324),""),"")</f>
        <v/>
      </c>
      <c r="GB324" s="56">
        <f>IFERROR(IF(($CV324)&gt;0,($FM324)/($CV324),""),"")</f>
        <v/>
      </c>
      <c r="GC324" s="56">
        <f>IFERROR(IF(($CW324)&gt;0,($FN324)/($CW324),""),"")</f>
        <v/>
      </c>
      <c r="GD324" s="56">
        <f>IFERROR(IF(($CU324)&gt;0,($FO324)/($CU324),""),"")</f>
        <v/>
      </c>
      <c r="GE324" s="56">
        <f>IFERROR(IF(($CV324)&gt;0,($FP324)/($CV324),""),"")</f>
        <v/>
      </c>
      <c r="GF324" s="56">
        <f>IFERROR(IF(($CW324)&gt;0,($FQ324)/($CW324),""),"")</f>
        <v/>
      </c>
      <c r="GG324" s="79">
        <f>IFERROR(IF(($CU324)&gt;0,($FR324)/($CU324),""),"")</f>
        <v/>
      </c>
      <c r="GH324" s="79">
        <f>IFERROR(IF(($CV324)&gt;0,($FS324)/($CV324),""),"")</f>
        <v/>
      </c>
      <c r="GI324" s="79">
        <f>IFERROR(IF(($CW324)&gt;0,($FT324)/($CW324),""),"")</f>
        <v/>
      </c>
      <c r="GJ324" s="56">
        <f>IFERROR(IF(($CU324)&gt;0,($FU324)/($CU324),""),"")</f>
        <v/>
      </c>
      <c r="GK324" s="56">
        <f>IFERROR(IF(($CV324)&gt;0,($FV324)/($CV324),""),"")</f>
        <v/>
      </c>
      <c r="GL324" s="56">
        <f>IFERROR(IF(($CW324)&gt;0,($FW324)/($CW324),""),"")</f>
        <v/>
      </c>
      <c r="GM324" s="55">
        <f>IF(SUMIFS(tblPlant[GIC_oz],tblPlant[Date],$A324)&gt;0,SUMIFS(tblPlant[GIC_oz],tblPlant[Date],$A324),"")</f>
        <v/>
      </c>
      <c r="GN324" s="55">
        <f>SUMIFS(tblGold[Gold_oz],tblGold[Date],$A324,tblGold[Type],"Shipment")</f>
        <v/>
      </c>
      <c r="GO324" s="55">
        <f>IF($B324=$B323,$GO323,0)+$GN324</f>
        <v/>
      </c>
      <c r="GP324" s="55">
        <f>$GP323+$GN324</f>
        <v/>
      </c>
      <c r="GQ324" s="55">
        <f>SUMIFS(tblGold[Gold_oz],tblGold[Date],$A324,tblGold[Type],"Sale")</f>
        <v/>
      </c>
      <c r="GR324" s="55">
        <f>IF($B324=$B323,$GR323,0)+$GQ324</f>
        <v/>
      </c>
      <c r="GS324" s="55">
        <f>$GS323+$GQ324</f>
        <v/>
      </c>
      <c r="GT324" s="55">
        <f>SUMIFS(tblGold[Dore_kg],tblGold[Date],$A324,tblGold[Type],"Shipment")</f>
        <v/>
      </c>
      <c r="GU324" s="55">
        <f>IF($B324=$B323,$GU323,0)+$GT324</f>
        <v/>
      </c>
      <c r="GV324" s="55">
        <f>$GV323+$GT324</f>
        <v/>
      </c>
      <c r="GW324" s="57">
        <f>SUMIFS(tblSafety[Hours_Total],tblSafety[Date],$A324)</f>
        <v/>
      </c>
      <c r="GX324" s="57">
        <f>IF($B324=$B323,$GX323,0)+$GW324</f>
        <v/>
      </c>
      <c r="GY324" s="57">
        <f>$GY323+$GW324</f>
        <v/>
      </c>
      <c r="GZ324" s="62">
        <f>SUMIFS(tblSafety[Fatality],tblSafety[Date],$A324)</f>
        <v/>
      </c>
      <c r="HA324" s="62">
        <f>IF($B324=$B323,$HA323,0)+$GZ324</f>
        <v/>
      </c>
      <c r="HB324" s="62">
        <f>$HB323+$GZ324</f>
        <v/>
      </c>
      <c r="HC324" s="62">
        <f>SUMIFS(tblSafety[LTI],tblSafety[Date],$A324)</f>
        <v/>
      </c>
      <c r="HD324" s="62">
        <f>IF($B324=$B323,$HD323,0)+$HC324</f>
        <v/>
      </c>
      <c r="HE324" s="62">
        <f>$HE323+$HC324</f>
        <v/>
      </c>
      <c r="HF324" s="62">
        <f>SUMIFS(tblSafety[RWI],tblSafety[Date],$A324)</f>
        <v/>
      </c>
      <c r="HG324" s="62">
        <f>IF($B324=$B323,$HG323,0)+$HF324</f>
        <v/>
      </c>
      <c r="HH324" s="62">
        <f>$HH323+$HF324</f>
        <v/>
      </c>
      <c r="HI324" s="62">
        <f>SUMIFS(tblSafety[MTI],tblSafety[Date],$A324)</f>
        <v/>
      </c>
      <c r="HJ324" s="62">
        <f>IF($B324=$B323,$HJ323,0)+$HI324</f>
        <v/>
      </c>
      <c r="HK324" s="62">
        <f>$HK323+$HI324</f>
        <v/>
      </c>
      <c r="HL324" s="62">
        <f>SUMIFS(tblSafety[FAI],tblSafety[Date],$A324)</f>
        <v/>
      </c>
      <c r="HM324" s="62">
        <f>IF($B324=$B323,$HM323,0)+$HL324</f>
        <v/>
      </c>
      <c r="HN324" s="62">
        <f>$HN323+$HL324</f>
        <v/>
      </c>
      <c r="HO324" s="62">
        <f>SUMIFS(tblSafety[Recordables],tblSafety[Date],$A324)</f>
        <v/>
      </c>
      <c r="HP324" s="62">
        <f>IF($B324=$B323,$HP323,0)+$HO324</f>
        <v/>
      </c>
      <c r="HQ324" s="62">
        <f>$HQ323+$HO324</f>
        <v/>
      </c>
      <c r="HR324" s="62">
        <f>SUMIFS(tblSafety[Near_Miss],tblSafety[Date],$A324)</f>
        <v/>
      </c>
      <c r="HS324" s="62">
        <f>IF($B324=$B323,$HS323,0)+$HR324</f>
        <v/>
      </c>
      <c r="HT324" s="62">
        <f>$HT323+$HR324</f>
        <v/>
      </c>
      <c r="HU324" s="62">
        <f>SUMIFS(tblSafety[Hazard_Reports],tblSafety[Date],$A324)</f>
        <v/>
      </c>
      <c r="HV324" s="62">
        <f>IF($B324=$B323,$HV323,0)+$HU324</f>
        <v/>
      </c>
      <c r="HW324" s="62">
        <f>$HW323+$HU324</f>
        <v/>
      </c>
      <c r="HX324" s="62">
        <f>SUMIFS(tblSafety[HPI],tblSafety[Date],$A324)</f>
        <v/>
      </c>
      <c r="HY324" s="62">
        <f>IF($B324=$B323,$HY323,0)+$HX324</f>
        <v/>
      </c>
      <c r="HZ324" s="62">
        <f>$HZ323+$HX324</f>
        <v/>
      </c>
      <c r="IA324" s="62">
        <f>SUMIFS(tblSafety[Env_Incidents],tblSafety[Date],$A324)</f>
        <v/>
      </c>
      <c r="IB324" s="62">
        <f>IF($B324=$B323,$IB323,0)+$IA324</f>
        <v/>
      </c>
      <c r="IC324" s="62">
        <f>$IC323+$IA324</f>
        <v/>
      </c>
      <c r="ID324" s="62">
        <f>SUMIFS(tblSafety[Community_Incidents],tblSafety[Date],$A324)</f>
        <v/>
      </c>
      <c r="IE324" s="62">
        <f>IF($B324=$B323,$IE323,0)+$ID324</f>
        <v/>
      </c>
      <c r="IF324" s="62">
        <f>$IF323+$ID324</f>
        <v/>
      </c>
      <c r="IG324" s="62">
        <f>SUMIFS(tblSafety[Vehicle_Incidents],tblSafety[Date],$A324)</f>
        <v/>
      </c>
      <c r="IH324" s="62">
        <f>IF($B324=$B323,$IH323,0)+$IG324</f>
        <v/>
      </c>
      <c r="II324" s="62">
        <f>$II323+$IG324</f>
        <v/>
      </c>
      <c r="IJ324" s="62">
        <f>SUMIFS(tblSafety[Toolbox_Talks],tblSafety[Date],$A324)</f>
        <v/>
      </c>
      <c r="IK324" s="62">
        <f>IF($B324=$B323,$IK323,0)+$IJ324</f>
        <v/>
      </c>
      <c r="IL324" s="62">
        <f>$IL323+$IJ324</f>
        <v/>
      </c>
      <c r="IM324" s="62">
        <f>SUMIFS(tblSafety[Inspections],tblSafety[Date],$A324)</f>
        <v/>
      </c>
      <c r="IN324" s="62">
        <f>IF($B324=$B323,$IN323,0)+$IM324</f>
        <v/>
      </c>
      <c r="IO324" s="62">
        <f>$IO323+$IM324</f>
        <v/>
      </c>
      <c r="IP324" s="56">
        <f>IFERROR((SUMIFS(tblSafety[Recordables],tblSafety[Date],"&gt;="&amp;EDATE($E324,-12),tblSafety[Date],"&lt;="&amp;$A324)+SUMIFS(tblSafetyHistory[Recordables],tblSafetyHistory[Month],"&gt;="&amp;EDATE($E324,-12),tblSafetyHistory[Month],"&lt;"&amp;$E324,tblSafetyHistory[Use],1))/(SUMIFS(tblSafety[Hours_Total],tblSafety[Date],"&gt;="&amp;EDATE($E324,-12),tblSafety[Date],"&lt;="&amp;$A324)+SUMIFS(tblSafetyHistory[Hours_Total],tblSafetyHistory[Month],"&gt;="&amp;EDATE($E324,-12),tblSafetyHistory[Month],"&lt;"&amp;$E324,tblSafetyHistory[Use],1))*cfg_RateBasisHours,"")</f>
        <v/>
      </c>
      <c r="IQ324" s="56">
        <f>IFERROR((SUMIFS(tblSafety[LTI],tblSafety[Date],"&gt;="&amp;EDATE($E324,-12),tblSafety[Date],"&lt;="&amp;$A324)+SUMIFS(tblSafetyHistory[LTI],tblSafetyHistory[Month],"&gt;="&amp;EDATE($E324,-12),tblSafetyHistory[Month],"&lt;"&amp;$E324,tblSafetyHistory[Use],1))/(SUMIFS(tblSafety[Hours_Total],tblSafety[Date],"&gt;="&amp;EDATE($E324,-12),tblSafety[Date],"&lt;="&amp;$A324)+SUMIFS(tblSafetyHistory[Hours_Total],tblSafetyHistory[Month],"&gt;="&amp;EDATE($E324,-12),tblSafetyHistory[Month],"&lt;"&amp;$E324,tblSafetyHistory[Use],1))*cfg_RateBasisHours,"")</f>
        <v/>
      </c>
      <c r="IR324" s="62">
        <f>IF(MAX(N(cfg_PriorLTIDate),_xlfn.MAXIFS(tblSafety[Date],tblSafety[LTI],"&gt;0",tblSafety[Date],"&lt;="&amp;$A324))=0,"",$A324-MAX(N(cfg_PriorLTIDate),_xlfn.MAXIFS(tblSafety[Date],tblSafety[LTI],"&gt;0",tblSafety[Date],"&lt;="&amp;$A324)))</f>
        <v/>
      </c>
      <c r="IS324" s="55">
        <f>SUMIFS(tblBudget[Ore_Mined_t],tblBudget[Month],$E324)</f>
        <v/>
      </c>
      <c r="IT324" s="55">
        <f>$IS324*$C324/$D324</f>
        <v/>
      </c>
      <c r="IU324" s="55">
        <f>SUMIFS(tblBudget[Ore_Mined_t],tblBudget[Month],"&lt;"&amp;$E324)+$IT324</f>
        <v/>
      </c>
      <c r="IV324" s="55">
        <f>SUMIFS(tblBudget[Ore_oz],tblBudget[Month],$E324)</f>
        <v/>
      </c>
      <c r="IW324" s="55">
        <f>$IV324*$C324/$D324</f>
        <v/>
      </c>
      <c r="IX324" s="55">
        <f>SUMIFS(tblBudget[Ore_oz],tblBudget[Month],"&lt;"&amp;$E324)+$IW324</f>
        <v/>
      </c>
      <c r="IY324" s="55">
        <f>SUMIFS(tblBudget[Ore_Mined_t],tblBudget[Month],$E324)</f>
        <v/>
      </c>
      <c r="IZ324" s="55">
        <f>$IY324*$C324/$D324</f>
        <v/>
      </c>
      <c r="JA324" s="55">
        <f>SUMIFS(tblBudget[Ore_Mined_t],tblBudget[Month],"&lt;"&amp;$E324)+$IZ324</f>
        <v/>
      </c>
      <c r="JB324" s="56">
        <f>IFERROR(IF(($IY324)&gt;0,($IV324*cfg_TroyOz)/($IY324),""),"")</f>
        <v/>
      </c>
      <c r="JC324" s="56">
        <f>IFERROR(IF(($IZ324)&gt;0,($IW324*cfg_TroyOz)/($IZ324),""),"")</f>
        <v/>
      </c>
      <c r="JD324" s="56">
        <f>IFERROR(IF(($JA324)&gt;0,($IX324*cfg_TroyOz)/($JA324),""),"")</f>
        <v/>
      </c>
      <c r="JE324" s="55">
        <f>SUMIFS(tblBudget[Waste_t],tblBudget[Month],$E324)</f>
        <v/>
      </c>
      <c r="JF324" s="55">
        <f>$JE324*$C324/$D324</f>
        <v/>
      </c>
      <c r="JG324" s="55">
        <f>SUMIFS(tblBudget[Waste_t],tblBudget[Month],"&lt;"&amp;$E324)+$JF324</f>
        <v/>
      </c>
      <c r="JH324" s="55">
        <f>SUMIFS(tblBudget[TMM_t],tblBudget[Month],$E324)</f>
        <v/>
      </c>
      <c r="JI324" s="55">
        <f>$JH324*$C324/$D324</f>
        <v/>
      </c>
      <c r="JJ324" s="55">
        <f>SUMIFS(tblBudget[TMM_t],tblBudget[Month],"&lt;"&amp;$E324)+$JI324</f>
        <v/>
      </c>
      <c r="JK324" s="56">
        <f>IFERROR(IF(($IS324)&gt;0,($JE324)/($IS324),""),"")</f>
        <v/>
      </c>
      <c r="JL324" s="56">
        <f>IFERROR(IF(($IT324)&gt;0,($JF324)/($IT324),""),"")</f>
        <v/>
      </c>
      <c r="JM324" s="56">
        <f>IFERROR(IF(($IU324)&gt;0,($JG324)/($IU324),""),"")</f>
        <v/>
      </c>
      <c r="JN324" s="55">
        <f>SUMIFS(tblBudget[Drill_m],tblBudget[Month],$E324)</f>
        <v/>
      </c>
      <c r="JO324" s="55">
        <f>$JN324*$C324/$D324</f>
        <v/>
      </c>
      <c r="JP324" s="55">
        <f>SUMIFS(tblBudget[Drill_m],tblBudget[Month],"&lt;"&amp;$E324)+$JO324</f>
        <v/>
      </c>
      <c r="JQ324" s="55">
        <f>SUMIFS(tblBudget[Diesel_L],tblBudget[Month],$E324)</f>
        <v/>
      </c>
      <c r="JR324" s="55">
        <f>$JQ324*$C324/$D324</f>
        <v/>
      </c>
      <c r="JS324" s="55">
        <f>SUMIFS(tblBudget[Diesel_L],tblBudget[Month],"&lt;"&amp;$E324)+$JR324</f>
        <v/>
      </c>
      <c r="JT324" s="55">
        <f>SUMIFS(tblBudget[Milled_t],tblBudget[Month],$E324)</f>
        <v/>
      </c>
      <c r="JU324" s="55">
        <f>$JT324*$C324/$D324</f>
        <v/>
      </c>
      <c r="JV324" s="55">
        <f>SUMIFS(tblBudget[Milled_t],tblBudget[Month],"&lt;"&amp;$E324)+$JU324</f>
        <v/>
      </c>
      <c r="JW324" s="55">
        <f>SUMIFS(tblBudget[Feed_oz],tblBudget[Month],$E324)</f>
        <v/>
      </c>
      <c r="JX324" s="55">
        <f>$JW324*$C324/$D324</f>
        <v/>
      </c>
      <c r="JY324" s="55">
        <f>SUMIFS(tblBudget[Feed_oz],tblBudget[Month],"&lt;"&amp;$E324)+$JX324</f>
        <v/>
      </c>
      <c r="JZ324" s="55">
        <f>SUMIFS(tblBudget[Recovered_oz],tblBudget[Month],$E324)</f>
        <v/>
      </c>
      <c r="KA324" s="55">
        <f>$JZ324*$C324/$D324</f>
        <v/>
      </c>
      <c r="KB324" s="55">
        <f>SUMIFS(tblBudget[Recovered_oz],tblBudget[Month],"&lt;"&amp;$E324)+$KA324</f>
        <v/>
      </c>
      <c r="KC324" s="55">
        <f>SUMIFS(tblBudget[Milled_t],tblBudget[Month],$E324)</f>
        <v/>
      </c>
      <c r="KD324" s="55">
        <f>$KC324*$C324/$D324</f>
        <v/>
      </c>
      <c r="KE324" s="55">
        <f>SUMIFS(tblBudget[Milled_t],tblBudget[Month],"&lt;"&amp;$E324)+$KD324</f>
        <v/>
      </c>
      <c r="KF324" s="55">
        <f>SUMIFS(tblBudget[Feed_oz],tblBudget[Month],$E324)</f>
        <v/>
      </c>
      <c r="KG324" s="55">
        <f>$KF324*$C324/$D324</f>
        <v/>
      </c>
      <c r="KH324" s="55">
        <f>SUMIFS(tblBudget[Feed_oz],tblBudget[Month],"&lt;"&amp;$E324)+$KG324</f>
        <v/>
      </c>
      <c r="KI324" s="56">
        <f>IFERROR(IF(($KC324)&gt;0,($JW324*cfg_TroyOz)/($KC324),""),"")</f>
        <v/>
      </c>
      <c r="KJ324" s="56">
        <f>IFERROR(IF(($KD324)&gt;0,($JX324*cfg_TroyOz)/($KD324),""),"")</f>
        <v/>
      </c>
      <c r="KK324" s="56">
        <f>IFERROR(IF(($KE324)&gt;0,($JY324*cfg_TroyOz)/($KE324),""),"")</f>
        <v/>
      </c>
      <c r="KL324" s="67">
        <f>IFERROR(IF(($KF324)&gt;0,($JZ324)/($KF324),""),"")</f>
        <v/>
      </c>
      <c r="KM324" s="67">
        <f>IFERROR(IF(($KG324)&gt;0,($KA324)/($KG324),""),"")</f>
        <v/>
      </c>
      <c r="KN324" s="67">
        <f>IFERROR(IF(($KH324)&gt;0,($KB324)/($KH324),""),"")</f>
        <v/>
      </c>
      <c r="KO324" s="55">
        <f>SUMIFS(tblBudget[Gold_Poured_oz],tblBudget[Month],$E324)</f>
        <v/>
      </c>
      <c r="KP324" s="55">
        <f>$KO324*$C324/$D324</f>
        <v/>
      </c>
      <c r="KQ324" s="55">
        <f>SUMIFS(tblBudget[Gold_Poured_oz],tblBudget[Month],"&lt;"&amp;$E324)+$KP324</f>
        <v/>
      </c>
      <c r="KR324" s="57">
        <f>SUMIFS(tblBudget[Hours_Worked],tblBudget[Month],$E324)</f>
        <v/>
      </c>
      <c r="KS324" s="57">
        <f>$KR324*$C324/$D324</f>
        <v/>
      </c>
      <c r="KT324" s="57">
        <f>SUMIFS(tblBudget[Hours_Worked],tblBudget[Month],"&lt;"&amp;$E324)+$KS324</f>
        <v/>
      </c>
    </row>
    <row r="325">
      <c r="A325" s="54" t="n">
        <v>46346</v>
      </c>
      <c r="B325">
        <f>MONTH($A325)</f>
        <v/>
      </c>
      <c r="C325">
        <f>DAY($A325)</f>
        <v/>
      </c>
      <c r="D325">
        <f>DAY(EOMONTH($A325,0))</f>
        <v/>
      </c>
      <c r="E325" s="54">
        <f>DATE(YEAR($A325),MONTH($A325),1)</f>
        <v/>
      </c>
      <c r="F325" s="55">
        <f>SUMIFS(tblMovement[Tonnes_t],tblMovement[Date],$A325,tblMovement[Is_Ore],1,tblMovement[Source_Type],"Pit")</f>
        <v/>
      </c>
      <c r="G325" s="55">
        <f>IF($B325=$B324,$G324,0)+$F325</f>
        <v/>
      </c>
      <c r="H325" s="55">
        <f>$H324+$F325</f>
        <v/>
      </c>
      <c r="I325" s="55">
        <f>SUMIFS(tblMovement[Ore_oz],tblMovement[Date],$A325,tblMovement[Source_Type],"Pit")</f>
        <v/>
      </c>
      <c r="J325" s="55">
        <f>IF($B325=$B324,$J324,0)+$I325</f>
        <v/>
      </c>
      <c r="K325" s="55">
        <f>$K324+$I325</f>
        <v/>
      </c>
      <c r="L325" s="55">
        <f>SUMIFS(tblMovement[Tonnes_t],tblMovement[Date],$A325,tblMovement[Is_Ore],1,tblMovement[Source_Type],"Pit",tblMovement[Grade_gpt],"&lt;&gt;")</f>
        <v/>
      </c>
      <c r="M325" s="55">
        <f>IF($B325=$B324,$M324,0)+$L325</f>
        <v/>
      </c>
      <c r="N325" s="55">
        <f>$N324+$L325</f>
        <v/>
      </c>
      <c r="O325" s="56">
        <f>IFERROR(IF(($L325)&gt;0,($I325*cfg_TroyOz)/($L325),""),"")</f>
        <v/>
      </c>
      <c r="P325" s="56">
        <f>IFERROR(IF(($M325)&gt;0,($J325*cfg_TroyOz)/($M325),""),"")</f>
        <v/>
      </c>
      <c r="Q325" s="56">
        <f>IFERROR(IF(($N325)&gt;0,($K325*cfg_TroyOz)/($N325),""),"")</f>
        <v/>
      </c>
      <c r="R325" s="55">
        <f>$F325-$L325</f>
        <v/>
      </c>
      <c r="S325" s="55">
        <f>IF($B325=$B324,$S324,0)+$R325</f>
        <v/>
      </c>
      <c r="T325" s="55">
        <f>$T324+$R325</f>
        <v/>
      </c>
      <c r="U325" s="55">
        <f>SUMIFS(tblMovement[Tonnes_t],tblMovement[Date],$A325,tblMovement[Is_Ore],0,tblMovement[Source_Type],"Pit")</f>
        <v/>
      </c>
      <c r="V325" s="55">
        <f>IF($B325=$B324,$V324,0)+$U325</f>
        <v/>
      </c>
      <c r="W325" s="55">
        <f>$W324+$U325</f>
        <v/>
      </c>
      <c r="X325" s="55">
        <f>$F325+$U325</f>
        <v/>
      </c>
      <c r="Y325" s="55">
        <f>IF($B325=$B324,$Y324,0)+$X325</f>
        <v/>
      </c>
      <c r="Z325" s="55">
        <f>$Z324+$X325</f>
        <v/>
      </c>
      <c r="AA325" s="56">
        <f>IFERROR(IF(($F325)&gt;0,($U325)/($F325),""),"")</f>
        <v/>
      </c>
      <c r="AB325" s="56">
        <f>IFERROR(IF(($G325)&gt;0,($V325)/($G325),""),"")</f>
        <v/>
      </c>
      <c r="AC325" s="56">
        <f>IFERROR(IF(($H325)&gt;0,($W325)/($H325),""),"")</f>
        <v/>
      </c>
      <c r="AD325" s="55">
        <f>SUMIFS(tblMovement[Tonnes_t],tblMovement[Date],$A325,tblMovement[Source_Type],"Stockpile")</f>
        <v/>
      </c>
      <c r="AE325" s="55">
        <f>IF($B325=$B324,$AE324,0)+$AD325</f>
        <v/>
      </c>
      <c r="AF325" s="55">
        <f>$AF324+$AD325</f>
        <v/>
      </c>
      <c r="AG325" s="55">
        <f>SUMIFS(tblMovement[Tonnes_t],tblMovement[Date],$A325)</f>
        <v/>
      </c>
      <c r="AH325" s="55">
        <f>IF($B325=$B324,$AH324,0)+$AG325</f>
        <v/>
      </c>
      <c r="AI325" s="55">
        <f>$AI324+$AG325</f>
        <v/>
      </c>
      <c r="AJ325" s="55">
        <f>$AG325-$X325-$AD325</f>
        <v/>
      </c>
      <c r="AK325" s="55">
        <f>IF($B325=$B324,$AK324,0)+$AJ325</f>
        <v/>
      </c>
      <c r="AL325" s="55">
        <f>$AL324+$AJ325</f>
        <v/>
      </c>
      <c r="AM325" s="55">
        <f>SUMIFS(tblMiningDaily[Drill_m],tblMiningDaily[Date],$A325)</f>
        <v/>
      </c>
      <c r="AN325" s="55">
        <f>IF($B325=$B324,$AN324,0)+$AM325</f>
        <v/>
      </c>
      <c r="AO325" s="55">
        <f>$AO324+$AM325</f>
        <v/>
      </c>
      <c r="AP325" s="55">
        <f>SUMIFS(tblMiningDaily[GC_Drill_m],tblMiningDaily[Date],$A325)</f>
        <v/>
      </c>
      <c r="AQ325" s="55">
        <f>IF($B325=$B324,$AQ324,0)+$AP325</f>
        <v/>
      </c>
      <c r="AR325" s="55">
        <f>$AR324+$AP325</f>
        <v/>
      </c>
      <c r="AS325" s="55">
        <f>SUMIFS(tblMiningDaily[Blast_t],tblMiningDaily[Date],$A325)</f>
        <v/>
      </c>
      <c r="AT325" s="55">
        <f>IF($B325=$B324,$AT324,0)+$AS325</f>
        <v/>
      </c>
      <c r="AU325" s="55">
        <f>$AU324+$AS325</f>
        <v/>
      </c>
      <c r="AV325" s="55">
        <f>SUMIFS(tblMiningDaily[Explosives_kg],tblMiningDaily[Date],$A325)</f>
        <v/>
      </c>
      <c r="AW325" s="55">
        <f>IF($B325=$B324,$AW324,0)+$AV325</f>
        <v/>
      </c>
      <c r="AX325" s="55">
        <f>$AX324+$AV325</f>
        <v/>
      </c>
      <c r="AY325" s="56">
        <f>IFERROR(IF(($AS325)&gt;0,($AV325)/($AS325),""),"")</f>
        <v/>
      </c>
      <c r="AZ325" s="56">
        <f>IFERROR(IF(($AT325)&gt;0,($AW325)/($AT325),""),"")</f>
        <v/>
      </c>
      <c r="BA325" s="56">
        <f>IFERROR(IF(($AU325)&gt;0,($AX325)/($AU325),""),"")</f>
        <v/>
      </c>
      <c r="BB325" s="55">
        <f>SUMIFS(tblMiningDaily[Diesel_L],tblMiningDaily[Date],$A325)</f>
        <v/>
      </c>
      <c r="BC325" s="55">
        <f>IF($B325=$B324,$BC324,0)+$BB325</f>
        <v/>
      </c>
      <c r="BD325" s="55">
        <f>$BD324+$BB325</f>
        <v/>
      </c>
      <c r="BE325" s="55">
        <f>SUMIFS(tblMiningDaily[Dewatering_m3],tblMiningDaily[Date],$A325)</f>
        <v/>
      </c>
      <c r="BF325" s="55">
        <f>IF($B325=$B324,$BF324,0)+$BE325</f>
        <v/>
      </c>
      <c r="BG325" s="55">
        <f>$BG324+$BE325</f>
        <v/>
      </c>
      <c r="BH325" s="57">
        <f>SUMIFS(tblFleet[Calendar_h],tblFleet[Date],$A325,tblFleet[Equipment_Class],"Excavator")</f>
        <v/>
      </c>
      <c r="BI325" s="57">
        <f>IF($B325=$B324,$BI324,0)+$BH325</f>
        <v/>
      </c>
      <c r="BJ325" s="57">
        <f>$BJ324+$BH325</f>
        <v/>
      </c>
      <c r="BK325" s="57">
        <f>SUMIFS(tblFleet[Available_h],tblFleet[Date],$A325,tblFleet[Equipment_Class],"Excavator")</f>
        <v/>
      </c>
      <c r="BL325" s="57">
        <f>IF($B325=$B324,$BL324,0)+$BK325</f>
        <v/>
      </c>
      <c r="BM325" s="57">
        <f>$BM324+$BK325</f>
        <v/>
      </c>
      <c r="BN325" s="57">
        <f>SUMIFS(tblFleet[Operating_h],tblFleet[Date],$A325,tblFleet[Equipment_Class],"Excavator")</f>
        <v/>
      </c>
      <c r="BO325" s="57">
        <f>IF($B325=$B324,$BO324,0)+$BN325</f>
        <v/>
      </c>
      <c r="BP325" s="57">
        <f>$BP324+$BN325</f>
        <v/>
      </c>
      <c r="BQ325" s="67">
        <f>IFERROR(IF(($BH325)&gt;0,($BK325)/($BH325),""),"")</f>
        <v/>
      </c>
      <c r="BR325" s="67">
        <f>IFERROR(IF(($BI325)&gt;0,($BL325)/($BI325),""),"")</f>
        <v/>
      </c>
      <c r="BS325" s="67">
        <f>IFERROR(IF(($BJ325)&gt;0,($BM325)/($BJ325),""),"")</f>
        <v/>
      </c>
      <c r="BT325" s="67">
        <f>IFERROR(IF(($BK325)&gt;0,($BN325)/($BK325),""),"")</f>
        <v/>
      </c>
      <c r="BU325" s="67">
        <f>IFERROR(IF(($BL325)&gt;0,($BO325)/($BL325),""),"")</f>
        <v/>
      </c>
      <c r="BV325" s="67">
        <f>IFERROR(IF(($BM325)&gt;0,($BP325)/($BM325),""),"")</f>
        <v/>
      </c>
      <c r="BW325" s="57">
        <f>SUMIFS(tblFleet[Calendar_h],tblFleet[Date],$A325,tblFleet[Equipment_Class],"Haul Truck")</f>
        <v/>
      </c>
      <c r="BX325" s="57">
        <f>IF($B325=$B324,$BX324,0)+$BW325</f>
        <v/>
      </c>
      <c r="BY325" s="57">
        <f>$BY324+$BW325</f>
        <v/>
      </c>
      <c r="BZ325" s="57">
        <f>SUMIFS(tblFleet[Available_h],tblFleet[Date],$A325,tblFleet[Equipment_Class],"Haul Truck")</f>
        <v/>
      </c>
      <c r="CA325" s="57">
        <f>IF($B325=$B324,$CA324,0)+$BZ325</f>
        <v/>
      </c>
      <c r="CB325" s="57">
        <f>$CB324+$BZ325</f>
        <v/>
      </c>
      <c r="CC325" s="57">
        <f>SUMIFS(tblFleet[Operating_h],tblFleet[Date],$A325,tblFleet[Equipment_Class],"Haul Truck")</f>
        <v/>
      </c>
      <c r="CD325" s="57">
        <f>IF($B325=$B324,$CD324,0)+$CC325</f>
        <v/>
      </c>
      <c r="CE325" s="57">
        <f>$CE324+$CC325</f>
        <v/>
      </c>
      <c r="CF325" s="67">
        <f>IFERROR(IF(($BW325)&gt;0,($BZ325)/($BW325),""),"")</f>
        <v/>
      </c>
      <c r="CG325" s="67">
        <f>IFERROR(IF(($BX325)&gt;0,($CA325)/($BX325),""),"")</f>
        <v/>
      </c>
      <c r="CH325" s="67">
        <f>IFERROR(IF(($BY325)&gt;0,($CB325)/($BY325),""),"")</f>
        <v/>
      </c>
      <c r="CI325" s="67">
        <f>IFERROR(IF(($BZ325)&gt;0,($CC325)/($BZ325),""),"")</f>
        <v/>
      </c>
      <c r="CJ325" s="67">
        <f>IFERROR(IF(($CA325)&gt;0,($CD325)/($CA325),""),"")</f>
        <v/>
      </c>
      <c r="CK325" s="67">
        <f>IFERROR(IF(($CB325)&gt;0,($CE325)/($CB325),""),"")</f>
        <v/>
      </c>
      <c r="CL325" s="55">
        <f>IFERROR(IF(($BN325)&gt;0,($X325+$AD325)/($BN325),""),"")</f>
        <v/>
      </c>
      <c r="CM325" s="55">
        <f>IFERROR(IF(($BO325)&gt;0,($Y325+$AE325)/($BO325),""),"")</f>
        <v/>
      </c>
      <c r="CN325" s="55">
        <f>IFERROR(IF(($BP325)&gt;0,($Z325+$AF325)/($BP325),""),"")</f>
        <v/>
      </c>
      <c r="CO325" s="55">
        <f>IFERROR(IF(($CC325)&gt;0,($X325+$AD325)/($CC325),""),"")</f>
        <v/>
      </c>
      <c r="CP325" s="55">
        <f>IFERROR(IF(($CD325)&gt;0,($Y325+$AE325)/($CD325),""),"")</f>
        <v/>
      </c>
      <c r="CQ325" s="55">
        <f>IFERROR(IF(($CE325)&gt;0,($Z325+$AF325)/($CE325),""),"")</f>
        <v/>
      </c>
      <c r="CR325" s="55">
        <f>SUMIFS(tblPlant[Crushed_t],tblPlant[Date],$A325)</f>
        <v/>
      </c>
      <c r="CS325" s="55">
        <f>IF($B325=$B324,$CS324,0)+$CR325</f>
        <v/>
      </c>
      <c r="CT325" s="55">
        <f>$CT324+$CR325</f>
        <v/>
      </c>
      <c r="CU325" s="55">
        <f>SUMIFS(tblPlant[Milled_t],tblPlant[Date],$A325)</f>
        <v/>
      </c>
      <c r="CV325" s="55">
        <f>IF($B325=$B324,$CV324,0)+$CU325</f>
        <v/>
      </c>
      <c r="CW325" s="55">
        <f>$CW324+$CU325</f>
        <v/>
      </c>
      <c r="CX325" s="55">
        <f>SUMIFS(tblPlant[Feed_oz],tblPlant[Date],$A325)</f>
        <v/>
      </c>
      <c r="CY325" s="55">
        <f>IF($B325=$B324,$CY324,0)+$CX325</f>
        <v/>
      </c>
      <c r="CZ325" s="55">
        <f>$CZ324+$CX325</f>
        <v/>
      </c>
      <c r="DA325" s="55">
        <f>SUMIFS(tblPlant[Tails_oz],tblPlant[Date],$A325)</f>
        <v/>
      </c>
      <c r="DB325" s="55">
        <f>IF($B325=$B324,$DB324,0)+$DA325</f>
        <v/>
      </c>
      <c r="DC325" s="55">
        <f>$DC324+$DA325</f>
        <v/>
      </c>
      <c r="DD325" s="55">
        <f>SUMIFS(tblPlant[Recovered_oz],tblPlant[Date],$A325)</f>
        <v/>
      </c>
      <c r="DE325" s="55">
        <f>IF($B325=$B324,$DE324,0)+$DD325</f>
        <v/>
      </c>
      <c r="DF325" s="55">
        <f>$DF324+$DD325</f>
        <v/>
      </c>
      <c r="DG325" s="55">
        <f>SUMIFS(tblPlant[Milled_t],tblPlant[Date],$A325,tblPlant[Head_Grade_gpt],"&lt;&gt;")</f>
        <v/>
      </c>
      <c r="DH325" s="55">
        <f>IF($B325=$B324,$DH324,0)+$DG325</f>
        <v/>
      </c>
      <c r="DI325" s="55">
        <f>$DI324+$DG325</f>
        <v/>
      </c>
      <c r="DJ325" s="55">
        <f>SUMIFS(tblPlant[Milled_t],tblPlant[Date],$A325,tblPlant[Tails_Grade_gpt],"&lt;&gt;")</f>
        <v/>
      </c>
      <c r="DK325" s="55">
        <f>IF($B325=$B324,$DK324,0)+$DJ325</f>
        <v/>
      </c>
      <c r="DL325" s="55">
        <f>$DL324+$DJ325</f>
        <v/>
      </c>
      <c r="DM325" s="55">
        <f>SUMIFS(tblPlant[Feed_oz],tblPlant[Date],$A325,tblPlant[Tails_Grade_gpt],"&lt;&gt;")</f>
        <v/>
      </c>
      <c r="DN325" s="55">
        <f>IF($B325=$B324,$DN324,0)+$DM325</f>
        <v/>
      </c>
      <c r="DO325" s="55">
        <f>$DO324+$DM325</f>
        <v/>
      </c>
      <c r="DP325" s="55">
        <f>SUMIFS(tblPlant[Milled_t],tblPlant[Date],$A325,tblPlant[Mill_Run_h],"&lt;&gt;")</f>
        <v/>
      </c>
      <c r="DQ325" s="55">
        <f>IF($B325=$B324,$DQ324,0)+$DP325</f>
        <v/>
      </c>
      <c r="DR325" s="55">
        <f>$DR324+$DP325</f>
        <v/>
      </c>
      <c r="DS325" s="56">
        <f>IFERROR(IF(($DG325)&gt;0,($CX325*cfg_TroyOz)/($DG325),""),"")</f>
        <v/>
      </c>
      <c r="DT325" s="56">
        <f>IFERROR(IF(($DH325)&gt;0,($CY325*cfg_TroyOz)/($DH325),""),"")</f>
        <v/>
      </c>
      <c r="DU325" s="56">
        <f>IFERROR(IF(($DI325)&gt;0,($CZ325*cfg_TroyOz)/($DI325),""),"")</f>
        <v/>
      </c>
      <c r="DV325" s="56">
        <f>IFERROR(IF(($DJ325)&gt;0,($DA325*cfg_TroyOz)/($DJ325),""),"")</f>
        <v/>
      </c>
      <c r="DW325" s="56">
        <f>IFERROR(IF(($DK325)&gt;0,($DB325*cfg_TroyOz)/($DK325),""),"")</f>
        <v/>
      </c>
      <c r="DX325" s="56">
        <f>IFERROR(IF(($DL325)&gt;0,($DC325*cfg_TroyOz)/($DL325),""),"")</f>
        <v/>
      </c>
      <c r="DY325" s="67">
        <f>IFERROR(IF(($DM325)&gt;0,($DD325)/($DM325),""),"")</f>
        <v/>
      </c>
      <c r="DZ325" s="67">
        <f>IFERROR(IF(($DN325)&gt;0,($DE325)/($DN325),""),"")</f>
        <v/>
      </c>
      <c r="EA325" s="67">
        <f>IFERROR(IF(($DO325)&gt;0,($DF325)/($DO325),""),"")</f>
        <v/>
      </c>
      <c r="EB325" s="55">
        <f>SUMIFS(tblPlant[Gravity_Gold_oz],tblPlant[Date],$A325)</f>
        <v/>
      </c>
      <c r="EC325" s="55">
        <f>IF($B325=$B324,$EC324,0)+$EB325</f>
        <v/>
      </c>
      <c r="ED325" s="55">
        <f>$ED324+$EB325</f>
        <v/>
      </c>
      <c r="EE325" s="67">
        <f>IFERROR(IF(($DD325)&gt;0,($EB325)/($DD325),""),"")</f>
        <v/>
      </c>
      <c r="EF325" s="67">
        <f>IFERROR(IF(($DE325)&gt;0,($EC325)/($DE325),""),"")</f>
        <v/>
      </c>
      <c r="EG325" s="67">
        <f>IFERROR(IF(($DF325)&gt;0,($ED325)/($DF325),""),"")</f>
        <v/>
      </c>
      <c r="EH325" s="55">
        <f>SUMIFS(tblPlant[Gold_Poured_oz],tblPlant[Date],$A325)</f>
        <v/>
      </c>
      <c r="EI325" s="55">
        <f>IF($B325=$B324,$EI324,0)+$EH325</f>
        <v/>
      </c>
      <c r="EJ325" s="55">
        <f>$EJ324+$EH325</f>
        <v/>
      </c>
      <c r="EK325" s="57">
        <f>SUMIFS(tblPlant[Mill_Run_h],tblPlant[Date],$A325)</f>
        <v/>
      </c>
      <c r="EL325" s="57">
        <f>IF($B325=$B324,$EL324,0)+$EK325</f>
        <v/>
      </c>
      <c r="EM325" s="57">
        <f>$EM324+$EK325</f>
        <v/>
      </c>
      <c r="EN325" s="57">
        <f>SUMIFS(tblPlant[Mill_Planned_Maint_h],tblPlant[Date],$A325)</f>
        <v/>
      </c>
      <c r="EO325" s="57">
        <f>IF($B325=$B324,$EO324,0)+$EN325</f>
        <v/>
      </c>
      <c r="EP325" s="57">
        <f>$EP324+$EN325</f>
        <v/>
      </c>
      <c r="EQ325" s="57">
        <f>SUMIFS(tblPlant[Mill_Unplanned_Down_h],tblPlant[Date],$A325)</f>
        <v/>
      </c>
      <c r="ER325" s="57">
        <f>IF($B325=$B324,$ER324,0)+$EQ325</f>
        <v/>
      </c>
      <c r="ES325" s="57">
        <f>$ES324+$EQ325</f>
        <v/>
      </c>
      <c r="ET325" s="57">
        <f>IF(COUNTIFS(tblPlant[Date],$A325,tblPlant[Mill_Run_h],"&lt;&gt;")+COUNTIFS(tblPlant[Date],$A325,tblPlant[Mill_Planned_Maint_h],"&lt;&gt;")+COUNTIFS(tblPlant[Date],$A325,tblPlant[Mill_Unplanned_Down_h],"&lt;&gt;")&gt;0,cfg_HoursPerDay,0)</f>
        <v/>
      </c>
      <c r="EU325" s="57">
        <f>IF($B325=$B324,$EU324,0)+$ET325</f>
        <v/>
      </c>
      <c r="EV325" s="57">
        <f>$EV324+$ET325</f>
        <v/>
      </c>
      <c r="EW325" s="57">
        <f>SUMIFS(tblPlant[Crusher_Run_h],tblPlant[Date],$A325)</f>
        <v/>
      </c>
      <c r="EX325" s="57">
        <f>IF($B325=$B324,$EX324,0)+$EW325</f>
        <v/>
      </c>
      <c r="EY325" s="57">
        <f>$EY324+$EW325</f>
        <v/>
      </c>
      <c r="EZ325" s="55">
        <f>IFERROR(IF(($EK325)&gt;0,($DP325)/($EK325),""),"")</f>
        <v/>
      </c>
      <c r="FA325" s="55">
        <f>IFERROR(IF(($EL325)&gt;0,($DQ325)/($EL325),""),"")</f>
        <v/>
      </c>
      <c r="FB325" s="55">
        <f>IFERROR(IF(($EM325)&gt;0,($DR325)/($EM325),""),"")</f>
        <v/>
      </c>
      <c r="FC325" s="67">
        <f>IFERROR(IF(($ET325)&gt;0,($ET325-$EN325-$EQ325)/($ET325),""),"")</f>
        <v/>
      </c>
      <c r="FD325" s="67">
        <f>IFERROR(IF(($EU325)&gt;0,($EU325-$EO325-$ER325)/($EU325),""),"")</f>
        <v/>
      </c>
      <c r="FE325" s="67">
        <f>IFERROR(IF(($EV325)&gt;0,($EV325-$EP325-$ES325)/($EV325),""),"")</f>
        <v/>
      </c>
      <c r="FF325" s="67">
        <f>IFERROR(IF(($ET325-$EN325-$EQ325)&gt;0,($EK325)/($ET325-$EN325-$EQ325),""),"")</f>
        <v/>
      </c>
      <c r="FG325" s="67">
        <f>IFERROR(IF(($EU325-$EO325-$ER325)&gt;0,($EL325)/($EU325-$EO325-$ER325),""),"")</f>
        <v/>
      </c>
      <c r="FH325" s="67">
        <f>IFERROR(IF(($EV325-$EP325-$ES325)&gt;0,($EM325)/($EV325-$EP325-$ES325),""),"")</f>
        <v/>
      </c>
      <c r="FI325" s="55">
        <f>SUMIFS(tblPlant[Cyanide_kg],tblPlant[Date],$A325)</f>
        <v/>
      </c>
      <c r="FJ325" s="55">
        <f>IF($B325=$B324,$FJ324,0)+$FI325</f>
        <v/>
      </c>
      <c r="FK325" s="55">
        <f>$FK324+$FI325</f>
        <v/>
      </c>
      <c r="FL325" s="55">
        <f>SUMIFS(tblPlant[Lime_kg],tblPlant[Date],$A325)</f>
        <v/>
      </c>
      <c r="FM325" s="55">
        <f>IF($B325=$B324,$FM324,0)+$FL325</f>
        <v/>
      </c>
      <c r="FN325" s="55">
        <f>$FN324+$FL325</f>
        <v/>
      </c>
      <c r="FO325" s="55">
        <f>SUMIFS(tblPlant[Grinding_Media_kg],tblPlant[Date],$A325)</f>
        <v/>
      </c>
      <c r="FP325" s="55">
        <f>IF($B325=$B324,$FP324,0)+$FO325</f>
        <v/>
      </c>
      <c r="FQ325" s="55">
        <f>$FQ324+$FO325</f>
        <v/>
      </c>
      <c r="FR325" s="55">
        <f>SUMIFS(tblPlant[Power_kWh],tblPlant[Date],$A325)</f>
        <v/>
      </c>
      <c r="FS325" s="55">
        <f>IF($B325=$B324,$FS324,0)+$FR325</f>
        <v/>
      </c>
      <c r="FT325" s="55">
        <f>$FT324+$FR325</f>
        <v/>
      </c>
      <c r="FU325" s="55">
        <f>SUMIFS(tblPlant[Raw_Water_m3],tblPlant[Date],$A325)</f>
        <v/>
      </c>
      <c r="FV325" s="55">
        <f>IF($B325=$B324,$FV324,0)+$FU325</f>
        <v/>
      </c>
      <c r="FW325" s="55">
        <f>$FW324+$FU325</f>
        <v/>
      </c>
      <c r="FX325" s="56">
        <f>IFERROR(IF(($CU325)&gt;0,($FI325)/($CU325),""),"")</f>
        <v/>
      </c>
      <c r="FY325" s="56">
        <f>IFERROR(IF(($CV325)&gt;0,($FJ325)/($CV325),""),"")</f>
        <v/>
      </c>
      <c r="FZ325" s="56">
        <f>IFERROR(IF(($CW325)&gt;0,($FK325)/($CW325),""),"")</f>
        <v/>
      </c>
      <c r="GA325" s="56">
        <f>IFERROR(IF(($CU325)&gt;0,($FL325)/($CU325),""),"")</f>
        <v/>
      </c>
      <c r="GB325" s="56">
        <f>IFERROR(IF(($CV325)&gt;0,($FM325)/($CV325),""),"")</f>
        <v/>
      </c>
      <c r="GC325" s="56">
        <f>IFERROR(IF(($CW325)&gt;0,($FN325)/($CW325),""),"")</f>
        <v/>
      </c>
      <c r="GD325" s="56">
        <f>IFERROR(IF(($CU325)&gt;0,($FO325)/($CU325),""),"")</f>
        <v/>
      </c>
      <c r="GE325" s="56">
        <f>IFERROR(IF(($CV325)&gt;0,($FP325)/($CV325),""),"")</f>
        <v/>
      </c>
      <c r="GF325" s="56">
        <f>IFERROR(IF(($CW325)&gt;0,($FQ325)/($CW325),""),"")</f>
        <v/>
      </c>
      <c r="GG325" s="79">
        <f>IFERROR(IF(($CU325)&gt;0,($FR325)/($CU325),""),"")</f>
        <v/>
      </c>
      <c r="GH325" s="79">
        <f>IFERROR(IF(($CV325)&gt;0,($FS325)/($CV325),""),"")</f>
        <v/>
      </c>
      <c r="GI325" s="79">
        <f>IFERROR(IF(($CW325)&gt;0,($FT325)/($CW325),""),"")</f>
        <v/>
      </c>
      <c r="GJ325" s="56">
        <f>IFERROR(IF(($CU325)&gt;0,($FU325)/($CU325),""),"")</f>
        <v/>
      </c>
      <c r="GK325" s="56">
        <f>IFERROR(IF(($CV325)&gt;0,($FV325)/($CV325),""),"")</f>
        <v/>
      </c>
      <c r="GL325" s="56">
        <f>IFERROR(IF(($CW325)&gt;0,($FW325)/($CW325),""),"")</f>
        <v/>
      </c>
      <c r="GM325" s="55">
        <f>IF(SUMIFS(tblPlant[GIC_oz],tblPlant[Date],$A325)&gt;0,SUMIFS(tblPlant[GIC_oz],tblPlant[Date],$A325),"")</f>
        <v/>
      </c>
      <c r="GN325" s="55">
        <f>SUMIFS(tblGold[Gold_oz],tblGold[Date],$A325,tblGold[Type],"Shipment")</f>
        <v/>
      </c>
      <c r="GO325" s="55">
        <f>IF($B325=$B324,$GO324,0)+$GN325</f>
        <v/>
      </c>
      <c r="GP325" s="55">
        <f>$GP324+$GN325</f>
        <v/>
      </c>
      <c r="GQ325" s="55">
        <f>SUMIFS(tblGold[Gold_oz],tblGold[Date],$A325,tblGold[Type],"Sale")</f>
        <v/>
      </c>
      <c r="GR325" s="55">
        <f>IF($B325=$B324,$GR324,0)+$GQ325</f>
        <v/>
      </c>
      <c r="GS325" s="55">
        <f>$GS324+$GQ325</f>
        <v/>
      </c>
      <c r="GT325" s="55">
        <f>SUMIFS(tblGold[Dore_kg],tblGold[Date],$A325,tblGold[Type],"Shipment")</f>
        <v/>
      </c>
      <c r="GU325" s="55">
        <f>IF($B325=$B324,$GU324,0)+$GT325</f>
        <v/>
      </c>
      <c r="GV325" s="55">
        <f>$GV324+$GT325</f>
        <v/>
      </c>
      <c r="GW325" s="57">
        <f>SUMIFS(tblSafety[Hours_Total],tblSafety[Date],$A325)</f>
        <v/>
      </c>
      <c r="GX325" s="57">
        <f>IF($B325=$B324,$GX324,0)+$GW325</f>
        <v/>
      </c>
      <c r="GY325" s="57">
        <f>$GY324+$GW325</f>
        <v/>
      </c>
      <c r="GZ325" s="62">
        <f>SUMIFS(tblSafety[Fatality],tblSafety[Date],$A325)</f>
        <v/>
      </c>
      <c r="HA325" s="62">
        <f>IF($B325=$B324,$HA324,0)+$GZ325</f>
        <v/>
      </c>
      <c r="HB325" s="62">
        <f>$HB324+$GZ325</f>
        <v/>
      </c>
      <c r="HC325" s="62">
        <f>SUMIFS(tblSafety[LTI],tblSafety[Date],$A325)</f>
        <v/>
      </c>
      <c r="HD325" s="62">
        <f>IF($B325=$B324,$HD324,0)+$HC325</f>
        <v/>
      </c>
      <c r="HE325" s="62">
        <f>$HE324+$HC325</f>
        <v/>
      </c>
      <c r="HF325" s="62">
        <f>SUMIFS(tblSafety[RWI],tblSafety[Date],$A325)</f>
        <v/>
      </c>
      <c r="HG325" s="62">
        <f>IF($B325=$B324,$HG324,0)+$HF325</f>
        <v/>
      </c>
      <c r="HH325" s="62">
        <f>$HH324+$HF325</f>
        <v/>
      </c>
      <c r="HI325" s="62">
        <f>SUMIFS(tblSafety[MTI],tblSafety[Date],$A325)</f>
        <v/>
      </c>
      <c r="HJ325" s="62">
        <f>IF($B325=$B324,$HJ324,0)+$HI325</f>
        <v/>
      </c>
      <c r="HK325" s="62">
        <f>$HK324+$HI325</f>
        <v/>
      </c>
      <c r="HL325" s="62">
        <f>SUMIFS(tblSafety[FAI],tblSafety[Date],$A325)</f>
        <v/>
      </c>
      <c r="HM325" s="62">
        <f>IF($B325=$B324,$HM324,0)+$HL325</f>
        <v/>
      </c>
      <c r="HN325" s="62">
        <f>$HN324+$HL325</f>
        <v/>
      </c>
      <c r="HO325" s="62">
        <f>SUMIFS(tblSafety[Recordables],tblSafety[Date],$A325)</f>
        <v/>
      </c>
      <c r="HP325" s="62">
        <f>IF($B325=$B324,$HP324,0)+$HO325</f>
        <v/>
      </c>
      <c r="HQ325" s="62">
        <f>$HQ324+$HO325</f>
        <v/>
      </c>
      <c r="HR325" s="62">
        <f>SUMIFS(tblSafety[Near_Miss],tblSafety[Date],$A325)</f>
        <v/>
      </c>
      <c r="HS325" s="62">
        <f>IF($B325=$B324,$HS324,0)+$HR325</f>
        <v/>
      </c>
      <c r="HT325" s="62">
        <f>$HT324+$HR325</f>
        <v/>
      </c>
      <c r="HU325" s="62">
        <f>SUMIFS(tblSafety[Hazard_Reports],tblSafety[Date],$A325)</f>
        <v/>
      </c>
      <c r="HV325" s="62">
        <f>IF($B325=$B324,$HV324,0)+$HU325</f>
        <v/>
      </c>
      <c r="HW325" s="62">
        <f>$HW324+$HU325</f>
        <v/>
      </c>
      <c r="HX325" s="62">
        <f>SUMIFS(tblSafety[HPI],tblSafety[Date],$A325)</f>
        <v/>
      </c>
      <c r="HY325" s="62">
        <f>IF($B325=$B324,$HY324,0)+$HX325</f>
        <v/>
      </c>
      <c r="HZ325" s="62">
        <f>$HZ324+$HX325</f>
        <v/>
      </c>
      <c r="IA325" s="62">
        <f>SUMIFS(tblSafety[Env_Incidents],tblSafety[Date],$A325)</f>
        <v/>
      </c>
      <c r="IB325" s="62">
        <f>IF($B325=$B324,$IB324,0)+$IA325</f>
        <v/>
      </c>
      <c r="IC325" s="62">
        <f>$IC324+$IA325</f>
        <v/>
      </c>
      <c r="ID325" s="62">
        <f>SUMIFS(tblSafety[Community_Incidents],tblSafety[Date],$A325)</f>
        <v/>
      </c>
      <c r="IE325" s="62">
        <f>IF($B325=$B324,$IE324,0)+$ID325</f>
        <v/>
      </c>
      <c r="IF325" s="62">
        <f>$IF324+$ID325</f>
        <v/>
      </c>
      <c r="IG325" s="62">
        <f>SUMIFS(tblSafety[Vehicle_Incidents],tblSafety[Date],$A325)</f>
        <v/>
      </c>
      <c r="IH325" s="62">
        <f>IF($B325=$B324,$IH324,0)+$IG325</f>
        <v/>
      </c>
      <c r="II325" s="62">
        <f>$II324+$IG325</f>
        <v/>
      </c>
      <c r="IJ325" s="62">
        <f>SUMIFS(tblSafety[Toolbox_Talks],tblSafety[Date],$A325)</f>
        <v/>
      </c>
      <c r="IK325" s="62">
        <f>IF($B325=$B324,$IK324,0)+$IJ325</f>
        <v/>
      </c>
      <c r="IL325" s="62">
        <f>$IL324+$IJ325</f>
        <v/>
      </c>
      <c r="IM325" s="62">
        <f>SUMIFS(tblSafety[Inspections],tblSafety[Date],$A325)</f>
        <v/>
      </c>
      <c r="IN325" s="62">
        <f>IF($B325=$B324,$IN324,0)+$IM325</f>
        <v/>
      </c>
      <c r="IO325" s="62">
        <f>$IO324+$IM325</f>
        <v/>
      </c>
      <c r="IP325" s="56">
        <f>IFERROR((SUMIFS(tblSafety[Recordables],tblSafety[Date],"&gt;="&amp;EDATE($E325,-12),tblSafety[Date],"&lt;="&amp;$A325)+SUMIFS(tblSafetyHistory[Recordables],tblSafetyHistory[Month],"&gt;="&amp;EDATE($E325,-12),tblSafetyHistory[Month],"&lt;"&amp;$E325,tblSafetyHistory[Use],1))/(SUMIFS(tblSafety[Hours_Total],tblSafety[Date],"&gt;="&amp;EDATE($E325,-12),tblSafety[Date],"&lt;="&amp;$A325)+SUMIFS(tblSafetyHistory[Hours_Total],tblSafetyHistory[Month],"&gt;="&amp;EDATE($E325,-12),tblSafetyHistory[Month],"&lt;"&amp;$E325,tblSafetyHistory[Use],1))*cfg_RateBasisHours,"")</f>
        <v/>
      </c>
      <c r="IQ325" s="56">
        <f>IFERROR((SUMIFS(tblSafety[LTI],tblSafety[Date],"&gt;="&amp;EDATE($E325,-12),tblSafety[Date],"&lt;="&amp;$A325)+SUMIFS(tblSafetyHistory[LTI],tblSafetyHistory[Month],"&gt;="&amp;EDATE($E325,-12),tblSafetyHistory[Month],"&lt;"&amp;$E325,tblSafetyHistory[Use],1))/(SUMIFS(tblSafety[Hours_Total],tblSafety[Date],"&gt;="&amp;EDATE($E325,-12),tblSafety[Date],"&lt;="&amp;$A325)+SUMIFS(tblSafetyHistory[Hours_Total],tblSafetyHistory[Month],"&gt;="&amp;EDATE($E325,-12),tblSafetyHistory[Month],"&lt;"&amp;$E325,tblSafetyHistory[Use],1))*cfg_RateBasisHours,"")</f>
        <v/>
      </c>
      <c r="IR325" s="62">
        <f>IF(MAX(N(cfg_PriorLTIDate),_xlfn.MAXIFS(tblSafety[Date],tblSafety[LTI],"&gt;0",tblSafety[Date],"&lt;="&amp;$A325))=0,"",$A325-MAX(N(cfg_PriorLTIDate),_xlfn.MAXIFS(tblSafety[Date],tblSafety[LTI],"&gt;0",tblSafety[Date],"&lt;="&amp;$A325)))</f>
        <v/>
      </c>
      <c r="IS325" s="55">
        <f>SUMIFS(tblBudget[Ore_Mined_t],tblBudget[Month],$E325)</f>
        <v/>
      </c>
      <c r="IT325" s="55">
        <f>$IS325*$C325/$D325</f>
        <v/>
      </c>
      <c r="IU325" s="55">
        <f>SUMIFS(tblBudget[Ore_Mined_t],tblBudget[Month],"&lt;"&amp;$E325)+$IT325</f>
        <v/>
      </c>
      <c r="IV325" s="55">
        <f>SUMIFS(tblBudget[Ore_oz],tblBudget[Month],$E325)</f>
        <v/>
      </c>
      <c r="IW325" s="55">
        <f>$IV325*$C325/$D325</f>
        <v/>
      </c>
      <c r="IX325" s="55">
        <f>SUMIFS(tblBudget[Ore_oz],tblBudget[Month],"&lt;"&amp;$E325)+$IW325</f>
        <v/>
      </c>
      <c r="IY325" s="55">
        <f>SUMIFS(tblBudget[Ore_Mined_t],tblBudget[Month],$E325)</f>
        <v/>
      </c>
      <c r="IZ325" s="55">
        <f>$IY325*$C325/$D325</f>
        <v/>
      </c>
      <c r="JA325" s="55">
        <f>SUMIFS(tblBudget[Ore_Mined_t],tblBudget[Month],"&lt;"&amp;$E325)+$IZ325</f>
        <v/>
      </c>
      <c r="JB325" s="56">
        <f>IFERROR(IF(($IY325)&gt;0,($IV325*cfg_TroyOz)/($IY325),""),"")</f>
        <v/>
      </c>
      <c r="JC325" s="56">
        <f>IFERROR(IF(($IZ325)&gt;0,($IW325*cfg_TroyOz)/($IZ325),""),"")</f>
        <v/>
      </c>
      <c r="JD325" s="56">
        <f>IFERROR(IF(($JA325)&gt;0,($IX325*cfg_TroyOz)/($JA325),""),"")</f>
        <v/>
      </c>
      <c r="JE325" s="55">
        <f>SUMIFS(tblBudget[Waste_t],tblBudget[Month],$E325)</f>
        <v/>
      </c>
      <c r="JF325" s="55">
        <f>$JE325*$C325/$D325</f>
        <v/>
      </c>
      <c r="JG325" s="55">
        <f>SUMIFS(tblBudget[Waste_t],tblBudget[Month],"&lt;"&amp;$E325)+$JF325</f>
        <v/>
      </c>
      <c r="JH325" s="55">
        <f>SUMIFS(tblBudget[TMM_t],tblBudget[Month],$E325)</f>
        <v/>
      </c>
      <c r="JI325" s="55">
        <f>$JH325*$C325/$D325</f>
        <v/>
      </c>
      <c r="JJ325" s="55">
        <f>SUMIFS(tblBudget[TMM_t],tblBudget[Month],"&lt;"&amp;$E325)+$JI325</f>
        <v/>
      </c>
      <c r="JK325" s="56">
        <f>IFERROR(IF(($IS325)&gt;0,($JE325)/($IS325),""),"")</f>
        <v/>
      </c>
      <c r="JL325" s="56">
        <f>IFERROR(IF(($IT325)&gt;0,($JF325)/($IT325),""),"")</f>
        <v/>
      </c>
      <c r="JM325" s="56">
        <f>IFERROR(IF(($IU325)&gt;0,($JG325)/($IU325),""),"")</f>
        <v/>
      </c>
      <c r="JN325" s="55">
        <f>SUMIFS(tblBudget[Drill_m],tblBudget[Month],$E325)</f>
        <v/>
      </c>
      <c r="JO325" s="55">
        <f>$JN325*$C325/$D325</f>
        <v/>
      </c>
      <c r="JP325" s="55">
        <f>SUMIFS(tblBudget[Drill_m],tblBudget[Month],"&lt;"&amp;$E325)+$JO325</f>
        <v/>
      </c>
      <c r="JQ325" s="55">
        <f>SUMIFS(tblBudget[Diesel_L],tblBudget[Month],$E325)</f>
        <v/>
      </c>
      <c r="JR325" s="55">
        <f>$JQ325*$C325/$D325</f>
        <v/>
      </c>
      <c r="JS325" s="55">
        <f>SUMIFS(tblBudget[Diesel_L],tblBudget[Month],"&lt;"&amp;$E325)+$JR325</f>
        <v/>
      </c>
      <c r="JT325" s="55">
        <f>SUMIFS(tblBudget[Milled_t],tblBudget[Month],$E325)</f>
        <v/>
      </c>
      <c r="JU325" s="55">
        <f>$JT325*$C325/$D325</f>
        <v/>
      </c>
      <c r="JV325" s="55">
        <f>SUMIFS(tblBudget[Milled_t],tblBudget[Month],"&lt;"&amp;$E325)+$JU325</f>
        <v/>
      </c>
      <c r="JW325" s="55">
        <f>SUMIFS(tblBudget[Feed_oz],tblBudget[Month],$E325)</f>
        <v/>
      </c>
      <c r="JX325" s="55">
        <f>$JW325*$C325/$D325</f>
        <v/>
      </c>
      <c r="JY325" s="55">
        <f>SUMIFS(tblBudget[Feed_oz],tblBudget[Month],"&lt;"&amp;$E325)+$JX325</f>
        <v/>
      </c>
      <c r="JZ325" s="55">
        <f>SUMIFS(tblBudget[Recovered_oz],tblBudget[Month],$E325)</f>
        <v/>
      </c>
      <c r="KA325" s="55">
        <f>$JZ325*$C325/$D325</f>
        <v/>
      </c>
      <c r="KB325" s="55">
        <f>SUMIFS(tblBudget[Recovered_oz],tblBudget[Month],"&lt;"&amp;$E325)+$KA325</f>
        <v/>
      </c>
      <c r="KC325" s="55">
        <f>SUMIFS(tblBudget[Milled_t],tblBudget[Month],$E325)</f>
        <v/>
      </c>
      <c r="KD325" s="55">
        <f>$KC325*$C325/$D325</f>
        <v/>
      </c>
      <c r="KE325" s="55">
        <f>SUMIFS(tblBudget[Milled_t],tblBudget[Month],"&lt;"&amp;$E325)+$KD325</f>
        <v/>
      </c>
      <c r="KF325" s="55">
        <f>SUMIFS(tblBudget[Feed_oz],tblBudget[Month],$E325)</f>
        <v/>
      </c>
      <c r="KG325" s="55">
        <f>$KF325*$C325/$D325</f>
        <v/>
      </c>
      <c r="KH325" s="55">
        <f>SUMIFS(tblBudget[Feed_oz],tblBudget[Month],"&lt;"&amp;$E325)+$KG325</f>
        <v/>
      </c>
      <c r="KI325" s="56">
        <f>IFERROR(IF(($KC325)&gt;0,($JW325*cfg_TroyOz)/($KC325),""),"")</f>
        <v/>
      </c>
      <c r="KJ325" s="56">
        <f>IFERROR(IF(($KD325)&gt;0,($JX325*cfg_TroyOz)/($KD325),""),"")</f>
        <v/>
      </c>
      <c r="KK325" s="56">
        <f>IFERROR(IF(($KE325)&gt;0,($JY325*cfg_TroyOz)/($KE325),""),"")</f>
        <v/>
      </c>
      <c r="KL325" s="67">
        <f>IFERROR(IF(($KF325)&gt;0,($JZ325)/($KF325),""),"")</f>
        <v/>
      </c>
      <c r="KM325" s="67">
        <f>IFERROR(IF(($KG325)&gt;0,($KA325)/($KG325),""),"")</f>
        <v/>
      </c>
      <c r="KN325" s="67">
        <f>IFERROR(IF(($KH325)&gt;0,($KB325)/($KH325),""),"")</f>
        <v/>
      </c>
      <c r="KO325" s="55">
        <f>SUMIFS(tblBudget[Gold_Poured_oz],tblBudget[Month],$E325)</f>
        <v/>
      </c>
      <c r="KP325" s="55">
        <f>$KO325*$C325/$D325</f>
        <v/>
      </c>
      <c r="KQ325" s="55">
        <f>SUMIFS(tblBudget[Gold_Poured_oz],tblBudget[Month],"&lt;"&amp;$E325)+$KP325</f>
        <v/>
      </c>
      <c r="KR325" s="57">
        <f>SUMIFS(tblBudget[Hours_Worked],tblBudget[Month],$E325)</f>
        <v/>
      </c>
      <c r="KS325" s="57">
        <f>$KR325*$C325/$D325</f>
        <v/>
      </c>
      <c r="KT325" s="57">
        <f>SUMIFS(tblBudget[Hours_Worked],tblBudget[Month],"&lt;"&amp;$E325)+$KS325</f>
        <v/>
      </c>
    </row>
    <row r="326">
      <c r="A326" s="54" t="n">
        <v>46347</v>
      </c>
      <c r="B326">
        <f>MONTH($A326)</f>
        <v/>
      </c>
      <c r="C326">
        <f>DAY($A326)</f>
        <v/>
      </c>
      <c r="D326">
        <f>DAY(EOMONTH($A326,0))</f>
        <v/>
      </c>
      <c r="E326" s="54">
        <f>DATE(YEAR($A326),MONTH($A326),1)</f>
        <v/>
      </c>
      <c r="F326" s="55">
        <f>SUMIFS(tblMovement[Tonnes_t],tblMovement[Date],$A326,tblMovement[Is_Ore],1,tblMovement[Source_Type],"Pit")</f>
        <v/>
      </c>
      <c r="G326" s="55">
        <f>IF($B326=$B325,$G325,0)+$F326</f>
        <v/>
      </c>
      <c r="H326" s="55">
        <f>$H325+$F326</f>
        <v/>
      </c>
      <c r="I326" s="55">
        <f>SUMIFS(tblMovement[Ore_oz],tblMovement[Date],$A326,tblMovement[Source_Type],"Pit")</f>
        <v/>
      </c>
      <c r="J326" s="55">
        <f>IF($B326=$B325,$J325,0)+$I326</f>
        <v/>
      </c>
      <c r="K326" s="55">
        <f>$K325+$I326</f>
        <v/>
      </c>
      <c r="L326" s="55">
        <f>SUMIFS(tblMovement[Tonnes_t],tblMovement[Date],$A326,tblMovement[Is_Ore],1,tblMovement[Source_Type],"Pit",tblMovement[Grade_gpt],"&lt;&gt;")</f>
        <v/>
      </c>
      <c r="M326" s="55">
        <f>IF($B326=$B325,$M325,0)+$L326</f>
        <v/>
      </c>
      <c r="N326" s="55">
        <f>$N325+$L326</f>
        <v/>
      </c>
      <c r="O326" s="56">
        <f>IFERROR(IF(($L326)&gt;0,($I326*cfg_TroyOz)/($L326),""),"")</f>
        <v/>
      </c>
      <c r="P326" s="56">
        <f>IFERROR(IF(($M326)&gt;0,($J326*cfg_TroyOz)/($M326),""),"")</f>
        <v/>
      </c>
      <c r="Q326" s="56">
        <f>IFERROR(IF(($N326)&gt;0,($K326*cfg_TroyOz)/($N326),""),"")</f>
        <v/>
      </c>
      <c r="R326" s="55">
        <f>$F326-$L326</f>
        <v/>
      </c>
      <c r="S326" s="55">
        <f>IF($B326=$B325,$S325,0)+$R326</f>
        <v/>
      </c>
      <c r="T326" s="55">
        <f>$T325+$R326</f>
        <v/>
      </c>
      <c r="U326" s="55">
        <f>SUMIFS(tblMovement[Tonnes_t],tblMovement[Date],$A326,tblMovement[Is_Ore],0,tblMovement[Source_Type],"Pit")</f>
        <v/>
      </c>
      <c r="V326" s="55">
        <f>IF($B326=$B325,$V325,0)+$U326</f>
        <v/>
      </c>
      <c r="W326" s="55">
        <f>$W325+$U326</f>
        <v/>
      </c>
      <c r="X326" s="55">
        <f>$F326+$U326</f>
        <v/>
      </c>
      <c r="Y326" s="55">
        <f>IF($B326=$B325,$Y325,0)+$X326</f>
        <v/>
      </c>
      <c r="Z326" s="55">
        <f>$Z325+$X326</f>
        <v/>
      </c>
      <c r="AA326" s="56">
        <f>IFERROR(IF(($F326)&gt;0,($U326)/($F326),""),"")</f>
        <v/>
      </c>
      <c r="AB326" s="56">
        <f>IFERROR(IF(($G326)&gt;0,($V326)/($G326),""),"")</f>
        <v/>
      </c>
      <c r="AC326" s="56">
        <f>IFERROR(IF(($H326)&gt;0,($W326)/($H326),""),"")</f>
        <v/>
      </c>
      <c r="AD326" s="55">
        <f>SUMIFS(tblMovement[Tonnes_t],tblMovement[Date],$A326,tblMovement[Source_Type],"Stockpile")</f>
        <v/>
      </c>
      <c r="AE326" s="55">
        <f>IF($B326=$B325,$AE325,0)+$AD326</f>
        <v/>
      </c>
      <c r="AF326" s="55">
        <f>$AF325+$AD326</f>
        <v/>
      </c>
      <c r="AG326" s="55">
        <f>SUMIFS(tblMovement[Tonnes_t],tblMovement[Date],$A326)</f>
        <v/>
      </c>
      <c r="AH326" s="55">
        <f>IF($B326=$B325,$AH325,0)+$AG326</f>
        <v/>
      </c>
      <c r="AI326" s="55">
        <f>$AI325+$AG326</f>
        <v/>
      </c>
      <c r="AJ326" s="55">
        <f>$AG326-$X326-$AD326</f>
        <v/>
      </c>
      <c r="AK326" s="55">
        <f>IF($B326=$B325,$AK325,0)+$AJ326</f>
        <v/>
      </c>
      <c r="AL326" s="55">
        <f>$AL325+$AJ326</f>
        <v/>
      </c>
      <c r="AM326" s="55">
        <f>SUMIFS(tblMiningDaily[Drill_m],tblMiningDaily[Date],$A326)</f>
        <v/>
      </c>
      <c r="AN326" s="55">
        <f>IF($B326=$B325,$AN325,0)+$AM326</f>
        <v/>
      </c>
      <c r="AO326" s="55">
        <f>$AO325+$AM326</f>
        <v/>
      </c>
      <c r="AP326" s="55">
        <f>SUMIFS(tblMiningDaily[GC_Drill_m],tblMiningDaily[Date],$A326)</f>
        <v/>
      </c>
      <c r="AQ326" s="55">
        <f>IF($B326=$B325,$AQ325,0)+$AP326</f>
        <v/>
      </c>
      <c r="AR326" s="55">
        <f>$AR325+$AP326</f>
        <v/>
      </c>
      <c r="AS326" s="55">
        <f>SUMIFS(tblMiningDaily[Blast_t],tblMiningDaily[Date],$A326)</f>
        <v/>
      </c>
      <c r="AT326" s="55">
        <f>IF($B326=$B325,$AT325,0)+$AS326</f>
        <v/>
      </c>
      <c r="AU326" s="55">
        <f>$AU325+$AS326</f>
        <v/>
      </c>
      <c r="AV326" s="55">
        <f>SUMIFS(tblMiningDaily[Explosives_kg],tblMiningDaily[Date],$A326)</f>
        <v/>
      </c>
      <c r="AW326" s="55">
        <f>IF($B326=$B325,$AW325,0)+$AV326</f>
        <v/>
      </c>
      <c r="AX326" s="55">
        <f>$AX325+$AV326</f>
        <v/>
      </c>
      <c r="AY326" s="56">
        <f>IFERROR(IF(($AS326)&gt;0,($AV326)/($AS326),""),"")</f>
        <v/>
      </c>
      <c r="AZ326" s="56">
        <f>IFERROR(IF(($AT326)&gt;0,($AW326)/($AT326),""),"")</f>
        <v/>
      </c>
      <c r="BA326" s="56">
        <f>IFERROR(IF(($AU326)&gt;0,($AX326)/($AU326),""),"")</f>
        <v/>
      </c>
      <c r="BB326" s="55">
        <f>SUMIFS(tblMiningDaily[Diesel_L],tblMiningDaily[Date],$A326)</f>
        <v/>
      </c>
      <c r="BC326" s="55">
        <f>IF($B326=$B325,$BC325,0)+$BB326</f>
        <v/>
      </c>
      <c r="BD326" s="55">
        <f>$BD325+$BB326</f>
        <v/>
      </c>
      <c r="BE326" s="55">
        <f>SUMIFS(tblMiningDaily[Dewatering_m3],tblMiningDaily[Date],$A326)</f>
        <v/>
      </c>
      <c r="BF326" s="55">
        <f>IF($B326=$B325,$BF325,0)+$BE326</f>
        <v/>
      </c>
      <c r="BG326" s="55">
        <f>$BG325+$BE326</f>
        <v/>
      </c>
      <c r="BH326" s="57">
        <f>SUMIFS(tblFleet[Calendar_h],tblFleet[Date],$A326,tblFleet[Equipment_Class],"Excavator")</f>
        <v/>
      </c>
      <c r="BI326" s="57">
        <f>IF($B326=$B325,$BI325,0)+$BH326</f>
        <v/>
      </c>
      <c r="BJ326" s="57">
        <f>$BJ325+$BH326</f>
        <v/>
      </c>
      <c r="BK326" s="57">
        <f>SUMIFS(tblFleet[Available_h],tblFleet[Date],$A326,tblFleet[Equipment_Class],"Excavator")</f>
        <v/>
      </c>
      <c r="BL326" s="57">
        <f>IF($B326=$B325,$BL325,0)+$BK326</f>
        <v/>
      </c>
      <c r="BM326" s="57">
        <f>$BM325+$BK326</f>
        <v/>
      </c>
      <c r="BN326" s="57">
        <f>SUMIFS(tblFleet[Operating_h],tblFleet[Date],$A326,tblFleet[Equipment_Class],"Excavator")</f>
        <v/>
      </c>
      <c r="BO326" s="57">
        <f>IF($B326=$B325,$BO325,0)+$BN326</f>
        <v/>
      </c>
      <c r="BP326" s="57">
        <f>$BP325+$BN326</f>
        <v/>
      </c>
      <c r="BQ326" s="67">
        <f>IFERROR(IF(($BH326)&gt;0,($BK326)/($BH326),""),"")</f>
        <v/>
      </c>
      <c r="BR326" s="67">
        <f>IFERROR(IF(($BI326)&gt;0,($BL326)/($BI326),""),"")</f>
        <v/>
      </c>
      <c r="BS326" s="67">
        <f>IFERROR(IF(($BJ326)&gt;0,($BM326)/($BJ326),""),"")</f>
        <v/>
      </c>
      <c r="BT326" s="67">
        <f>IFERROR(IF(($BK326)&gt;0,($BN326)/($BK326),""),"")</f>
        <v/>
      </c>
      <c r="BU326" s="67">
        <f>IFERROR(IF(($BL326)&gt;0,($BO326)/($BL326),""),"")</f>
        <v/>
      </c>
      <c r="BV326" s="67">
        <f>IFERROR(IF(($BM326)&gt;0,($BP326)/($BM326),""),"")</f>
        <v/>
      </c>
      <c r="BW326" s="57">
        <f>SUMIFS(tblFleet[Calendar_h],tblFleet[Date],$A326,tblFleet[Equipment_Class],"Haul Truck")</f>
        <v/>
      </c>
      <c r="BX326" s="57">
        <f>IF($B326=$B325,$BX325,0)+$BW326</f>
        <v/>
      </c>
      <c r="BY326" s="57">
        <f>$BY325+$BW326</f>
        <v/>
      </c>
      <c r="BZ326" s="57">
        <f>SUMIFS(tblFleet[Available_h],tblFleet[Date],$A326,tblFleet[Equipment_Class],"Haul Truck")</f>
        <v/>
      </c>
      <c r="CA326" s="57">
        <f>IF($B326=$B325,$CA325,0)+$BZ326</f>
        <v/>
      </c>
      <c r="CB326" s="57">
        <f>$CB325+$BZ326</f>
        <v/>
      </c>
      <c r="CC326" s="57">
        <f>SUMIFS(tblFleet[Operating_h],tblFleet[Date],$A326,tblFleet[Equipment_Class],"Haul Truck")</f>
        <v/>
      </c>
      <c r="CD326" s="57">
        <f>IF($B326=$B325,$CD325,0)+$CC326</f>
        <v/>
      </c>
      <c r="CE326" s="57">
        <f>$CE325+$CC326</f>
        <v/>
      </c>
      <c r="CF326" s="67">
        <f>IFERROR(IF(($BW326)&gt;0,($BZ326)/($BW326),""),"")</f>
        <v/>
      </c>
      <c r="CG326" s="67">
        <f>IFERROR(IF(($BX326)&gt;0,($CA326)/($BX326),""),"")</f>
        <v/>
      </c>
      <c r="CH326" s="67">
        <f>IFERROR(IF(($BY326)&gt;0,($CB326)/($BY326),""),"")</f>
        <v/>
      </c>
      <c r="CI326" s="67">
        <f>IFERROR(IF(($BZ326)&gt;0,($CC326)/($BZ326),""),"")</f>
        <v/>
      </c>
      <c r="CJ326" s="67">
        <f>IFERROR(IF(($CA326)&gt;0,($CD326)/($CA326),""),"")</f>
        <v/>
      </c>
      <c r="CK326" s="67">
        <f>IFERROR(IF(($CB326)&gt;0,($CE326)/($CB326),""),"")</f>
        <v/>
      </c>
      <c r="CL326" s="55">
        <f>IFERROR(IF(($BN326)&gt;0,($X326+$AD326)/($BN326),""),"")</f>
        <v/>
      </c>
      <c r="CM326" s="55">
        <f>IFERROR(IF(($BO326)&gt;0,($Y326+$AE326)/($BO326),""),"")</f>
        <v/>
      </c>
      <c r="CN326" s="55">
        <f>IFERROR(IF(($BP326)&gt;0,($Z326+$AF326)/($BP326),""),"")</f>
        <v/>
      </c>
      <c r="CO326" s="55">
        <f>IFERROR(IF(($CC326)&gt;0,($X326+$AD326)/($CC326),""),"")</f>
        <v/>
      </c>
      <c r="CP326" s="55">
        <f>IFERROR(IF(($CD326)&gt;0,($Y326+$AE326)/($CD326),""),"")</f>
        <v/>
      </c>
      <c r="CQ326" s="55">
        <f>IFERROR(IF(($CE326)&gt;0,($Z326+$AF326)/($CE326),""),"")</f>
        <v/>
      </c>
      <c r="CR326" s="55">
        <f>SUMIFS(tblPlant[Crushed_t],tblPlant[Date],$A326)</f>
        <v/>
      </c>
      <c r="CS326" s="55">
        <f>IF($B326=$B325,$CS325,0)+$CR326</f>
        <v/>
      </c>
      <c r="CT326" s="55">
        <f>$CT325+$CR326</f>
        <v/>
      </c>
      <c r="CU326" s="55">
        <f>SUMIFS(tblPlant[Milled_t],tblPlant[Date],$A326)</f>
        <v/>
      </c>
      <c r="CV326" s="55">
        <f>IF($B326=$B325,$CV325,0)+$CU326</f>
        <v/>
      </c>
      <c r="CW326" s="55">
        <f>$CW325+$CU326</f>
        <v/>
      </c>
      <c r="CX326" s="55">
        <f>SUMIFS(tblPlant[Feed_oz],tblPlant[Date],$A326)</f>
        <v/>
      </c>
      <c r="CY326" s="55">
        <f>IF($B326=$B325,$CY325,0)+$CX326</f>
        <v/>
      </c>
      <c r="CZ326" s="55">
        <f>$CZ325+$CX326</f>
        <v/>
      </c>
      <c r="DA326" s="55">
        <f>SUMIFS(tblPlant[Tails_oz],tblPlant[Date],$A326)</f>
        <v/>
      </c>
      <c r="DB326" s="55">
        <f>IF($B326=$B325,$DB325,0)+$DA326</f>
        <v/>
      </c>
      <c r="DC326" s="55">
        <f>$DC325+$DA326</f>
        <v/>
      </c>
      <c r="DD326" s="55">
        <f>SUMIFS(tblPlant[Recovered_oz],tblPlant[Date],$A326)</f>
        <v/>
      </c>
      <c r="DE326" s="55">
        <f>IF($B326=$B325,$DE325,0)+$DD326</f>
        <v/>
      </c>
      <c r="DF326" s="55">
        <f>$DF325+$DD326</f>
        <v/>
      </c>
      <c r="DG326" s="55">
        <f>SUMIFS(tblPlant[Milled_t],tblPlant[Date],$A326,tblPlant[Head_Grade_gpt],"&lt;&gt;")</f>
        <v/>
      </c>
      <c r="DH326" s="55">
        <f>IF($B326=$B325,$DH325,0)+$DG326</f>
        <v/>
      </c>
      <c r="DI326" s="55">
        <f>$DI325+$DG326</f>
        <v/>
      </c>
      <c r="DJ326" s="55">
        <f>SUMIFS(tblPlant[Milled_t],tblPlant[Date],$A326,tblPlant[Tails_Grade_gpt],"&lt;&gt;")</f>
        <v/>
      </c>
      <c r="DK326" s="55">
        <f>IF($B326=$B325,$DK325,0)+$DJ326</f>
        <v/>
      </c>
      <c r="DL326" s="55">
        <f>$DL325+$DJ326</f>
        <v/>
      </c>
      <c r="DM326" s="55">
        <f>SUMIFS(tblPlant[Feed_oz],tblPlant[Date],$A326,tblPlant[Tails_Grade_gpt],"&lt;&gt;")</f>
        <v/>
      </c>
      <c r="DN326" s="55">
        <f>IF($B326=$B325,$DN325,0)+$DM326</f>
        <v/>
      </c>
      <c r="DO326" s="55">
        <f>$DO325+$DM326</f>
        <v/>
      </c>
      <c r="DP326" s="55">
        <f>SUMIFS(tblPlant[Milled_t],tblPlant[Date],$A326,tblPlant[Mill_Run_h],"&lt;&gt;")</f>
        <v/>
      </c>
      <c r="DQ326" s="55">
        <f>IF($B326=$B325,$DQ325,0)+$DP326</f>
        <v/>
      </c>
      <c r="DR326" s="55">
        <f>$DR325+$DP326</f>
        <v/>
      </c>
      <c r="DS326" s="56">
        <f>IFERROR(IF(($DG326)&gt;0,($CX326*cfg_TroyOz)/($DG326),""),"")</f>
        <v/>
      </c>
      <c r="DT326" s="56">
        <f>IFERROR(IF(($DH326)&gt;0,($CY326*cfg_TroyOz)/($DH326),""),"")</f>
        <v/>
      </c>
      <c r="DU326" s="56">
        <f>IFERROR(IF(($DI326)&gt;0,($CZ326*cfg_TroyOz)/($DI326),""),"")</f>
        <v/>
      </c>
      <c r="DV326" s="56">
        <f>IFERROR(IF(($DJ326)&gt;0,($DA326*cfg_TroyOz)/($DJ326),""),"")</f>
        <v/>
      </c>
      <c r="DW326" s="56">
        <f>IFERROR(IF(($DK326)&gt;0,($DB326*cfg_TroyOz)/($DK326),""),"")</f>
        <v/>
      </c>
      <c r="DX326" s="56">
        <f>IFERROR(IF(($DL326)&gt;0,($DC326*cfg_TroyOz)/($DL326),""),"")</f>
        <v/>
      </c>
      <c r="DY326" s="67">
        <f>IFERROR(IF(($DM326)&gt;0,($DD326)/($DM326),""),"")</f>
        <v/>
      </c>
      <c r="DZ326" s="67">
        <f>IFERROR(IF(($DN326)&gt;0,($DE326)/($DN326),""),"")</f>
        <v/>
      </c>
      <c r="EA326" s="67">
        <f>IFERROR(IF(($DO326)&gt;0,($DF326)/($DO326),""),"")</f>
        <v/>
      </c>
      <c r="EB326" s="55">
        <f>SUMIFS(tblPlant[Gravity_Gold_oz],tblPlant[Date],$A326)</f>
        <v/>
      </c>
      <c r="EC326" s="55">
        <f>IF($B326=$B325,$EC325,0)+$EB326</f>
        <v/>
      </c>
      <c r="ED326" s="55">
        <f>$ED325+$EB326</f>
        <v/>
      </c>
      <c r="EE326" s="67">
        <f>IFERROR(IF(($DD326)&gt;0,($EB326)/($DD326),""),"")</f>
        <v/>
      </c>
      <c r="EF326" s="67">
        <f>IFERROR(IF(($DE326)&gt;0,($EC326)/($DE326),""),"")</f>
        <v/>
      </c>
      <c r="EG326" s="67">
        <f>IFERROR(IF(($DF326)&gt;0,($ED326)/($DF326),""),"")</f>
        <v/>
      </c>
      <c r="EH326" s="55">
        <f>SUMIFS(tblPlant[Gold_Poured_oz],tblPlant[Date],$A326)</f>
        <v/>
      </c>
      <c r="EI326" s="55">
        <f>IF($B326=$B325,$EI325,0)+$EH326</f>
        <v/>
      </c>
      <c r="EJ326" s="55">
        <f>$EJ325+$EH326</f>
        <v/>
      </c>
      <c r="EK326" s="57">
        <f>SUMIFS(tblPlant[Mill_Run_h],tblPlant[Date],$A326)</f>
        <v/>
      </c>
      <c r="EL326" s="57">
        <f>IF($B326=$B325,$EL325,0)+$EK326</f>
        <v/>
      </c>
      <c r="EM326" s="57">
        <f>$EM325+$EK326</f>
        <v/>
      </c>
      <c r="EN326" s="57">
        <f>SUMIFS(tblPlant[Mill_Planned_Maint_h],tblPlant[Date],$A326)</f>
        <v/>
      </c>
      <c r="EO326" s="57">
        <f>IF($B326=$B325,$EO325,0)+$EN326</f>
        <v/>
      </c>
      <c r="EP326" s="57">
        <f>$EP325+$EN326</f>
        <v/>
      </c>
      <c r="EQ326" s="57">
        <f>SUMIFS(tblPlant[Mill_Unplanned_Down_h],tblPlant[Date],$A326)</f>
        <v/>
      </c>
      <c r="ER326" s="57">
        <f>IF($B326=$B325,$ER325,0)+$EQ326</f>
        <v/>
      </c>
      <c r="ES326" s="57">
        <f>$ES325+$EQ326</f>
        <v/>
      </c>
      <c r="ET326" s="57">
        <f>IF(COUNTIFS(tblPlant[Date],$A326,tblPlant[Mill_Run_h],"&lt;&gt;")+COUNTIFS(tblPlant[Date],$A326,tblPlant[Mill_Planned_Maint_h],"&lt;&gt;")+COUNTIFS(tblPlant[Date],$A326,tblPlant[Mill_Unplanned_Down_h],"&lt;&gt;")&gt;0,cfg_HoursPerDay,0)</f>
        <v/>
      </c>
      <c r="EU326" s="57">
        <f>IF($B326=$B325,$EU325,0)+$ET326</f>
        <v/>
      </c>
      <c r="EV326" s="57">
        <f>$EV325+$ET326</f>
        <v/>
      </c>
      <c r="EW326" s="57">
        <f>SUMIFS(tblPlant[Crusher_Run_h],tblPlant[Date],$A326)</f>
        <v/>
      </c>
      <c r="EX326" s="57">
        <f>IF($B326=$B325,$EX325,0)+$EW326</f>
        <v/>
      </c>
      <c r="EY326" s="57">
        <f>$EY325+$EW326</f>
        <v/>
      </c>
      <c r="EZ326" s="55">
        <f>IFERROR(IF(($EK326)&gt;0,($DP326)/($EK326),""),"")</f>
        <v/>
      </c>
      <c r="FA326" s="55">
        <f>IFERROR(IF(($EL326)&gt;0,($DQ326)/($EL326),""),"")</f>
        <v/>
      </c>
      <c r="FB326" s="55">
        <f>IFERROR(IF(($EM326)&gt;0,($DR326)/($EM326),""),"")</f>
        <v/>
      </c>
      <c r="FC326" s="67">
        <f>IFERROR(IF(($ET326)&gt;0,($ET326-$EN326-$EQ326)/($ET326),""),"")</f>
        <v/>
      </c>
      <c r="FD326" s="67">
        <f>IFERROR(IF(($EU326)&gt;0,($EU326-$EO326-$ER326)/($EU326),""),"")</f>
        <v/>
      </c>
      <c r="FE326" s="67">
        <f>IFERROR(IF(($EV326)&gt;0,($EV326-$EP326-$ES326)/($EV326),""),"")</f>
        <v/>
      </c>
      <c r="FF326" s="67">
        <f>IFERROR(IF(($ET326-$EN326-$EQ326)&gt;0,($EK326)/($ET326-$EN326-$EQ326),""),"")</f>
        <v/>
      </c>
      <c r="FG326" s="67">
        <f>IFERROR(IF(($EU326-$EO326-$ER326)&gt;0,($EL326)/($EU326-$EO326-$ER326),""),"")</f>
        <v/>
      </c>
      <c r="FH326" s="67">
        <f>IFERROR(IF(($EV326-$EP326-$ES326)&gt;0,($EM326)/($EV326-$EP326-$ES326),""),"")</f>
        <v/>
      </c>
      <c r="FI326" s="55">
        <f>SUMIFS(tblPlant[Cyanide_kg],tblPlant[Date],$A326)</f>
        <v/>
      </c>
      <c r="FJ326" s="55">
        <f>IF($B326=$B325,$FJ325,0)+$FI326</f>
        <v/>
      </c>
      <c r="FK326" s="55">
        <f>$FK325+$FI326</f>
        <v/>
      </c>
      <c r="FL326" s="55">
        <f>SUMIFS(tblPlant[Lime_kg],tblPlant[Date],$A326)</f>
        <v/>
      </c>
      <c r="FM326" s="55">
        <f>IF($B326=$B325,$FM325,0)+$FL326</f>
        <v/>
      </c>
      <c r="FN326" s="55">
        <f>$FN325+$FL326</f>
        <v/>
      </c>
      <c r="FO326" s="55">
        <f>SUMIFS(tblPlant[Grinding_Media_kg],tblPlant[Date],$A326)</f>
        <v/>
      </c>
      <c r="FP326" s="55">
        <f>IF($B326=$B325,$FP325,0)+$FO326</f>
        <v/>
      </c>
      <c r="FQ326" s="55">
        <f>$FQ325+$FO326</f>
        <v/>
      </c>
      <c r="FR326" s="55">
        <f>SUMIFS(tblPlant[Power_kWh],tblPlant[Date],$A326)</f>
        <v/>
      </c>
      <c r="FS326" s="55">
        <f>IF($B326=$B325,$FS325,0)+$FR326</f>
        <v/>
      </c>
      <c r="FT326" s="55">
        <f>$FT325+$FR326</f>
        <v/>
      </c>
      <c r="FU326" s="55">
        <f>SUMIFS(tblPlant[Raw_Water_m3],tblPlant[Date],$A326)</f>
        <v/>
      </c>
      <c r="FV326" s="55">
        <f>IF($B326=$B325,$FV325,0)+$FU326</f>
        <v/>
      </c>
      <c r="FW326" s="55">
        <f>$FW325+$FU326</f>
        <v/>
      </c>
      <c r="FX326" s="56">
        <f>IFERROR(IF(($CU326)&gt;0,($FI326)/($CU326),""),"")</f>
        <v/>
      </c>
      <c r="FY326" s="56">
        <f>IFERROR(IF(($CV326)&gt;0,($FJ326)/($CV326),""),"")</f>
        <v/>
      </c>
      <c r="FZ326" s="56">
        <f>IFERROR(IF(($CW326)&gt;0,($FK326)/($CW326),""),"")</f>
        <v/>
      </c>
      <c r="GA326" s="56">
        <f>IFERROR(IF(($CU326)&gt;0,($FL326)/($CU326),""),"")</f>
        <v/>
      </c>
      <c r="GB326" s="56">
        <f>IFERROR(IF(($CV326)&gt;0,($FM326)/($CV326),""),"")</f>
        <v/>
      </c>
      <c r="GC326" s="56">
        <f>IFERROR(IF(($CW326)&gt;0,($FN326)/($CW326),""),"")</f>
        <v/>
      </c>
      <c r="GD326" s="56">
        <f>IFERROR(IF(($CU326)&gt;0,($FO326)/($CU326),""),"")</f>
        <v/>
      </c>
      <c r="GE326" s="56">
        <f>IFERROR(IF(($CV326)&gt;0,($FP326)/($CV326),""),"")</f>
        <v/>
      </c>
      <c r="GF326" s="56">
        <f>IFERROR(IF(($CW326)&gt;0,($FQ326)/($CW326),""),"")</f>
        <v/>
      </c>
      <c r="GG326" s="79">
        <f>IFERROR(IF(($CU326)&gt;0,($FR326)/($CU326),""),"")</f>
        <v/>
      </c>
      <c r="GH326" s="79">
        <f>IFERROR(IF(($CV326)&gt;0,($FS326)/($CV326),""),"")</f>
        <v/>
      </c>
      <c r="GI326" s="79">
        <f>IFERROR(IF(($CW326)&gt;0,($FT326)/($CW326),""),"")</f>
        <v/>
      </c>
      <c r="GJ326" s="56">
        <f>IFERROR(IF(($CU326)&gt;0,($FU326)/($CU326),""),"")</f>
        <v/>
      </c>
      <c r="GK326" s="56">
        <f>IFERROR(IF(($CV326)&gt;0,($FV326)/($CV326),""),"")</f>
        <v/>
      </c>
      <c r="GL326" s="56">
        <f>IFERROR(IF(($CW326)&gt;0,($FW326)/($CW326),""),"")</f>
        <v/>
      </c>
      <c r="GM326" s="55">
        <f>IF(SUMIFS(tblPlant[GIC_oz],tblPlant[Date],$A326)&gt;0,SUMIFS(tblPlant[GIC_oz],tblPlant[Date],$A326),"")</f>
        <v/>
      </c>
      <c r="GN326" s="55">
        <f>SUMIFS(tblGold[Gold_oz],tblGold[Date],$A326,tblGold[Type],"Shipment")</f>
        <v/>
      </c>
      <c r="GO326" s="55">
        <f>IF($B326=$B325,$GO325,0)+$GN326</f>
        <v/>
      </c>
      <c r="GP326" s="55">
        <f>$GP325+$GN326</f>
        <v/>
      </c>
      <c r="GQ326" s="55">
        <f>SUMIFS(tblGold[Gold_oz],tblGold[Date],$A326,tblGold[Type],"Sale")</f>
        <v/>
      </c>
      <c r="GR326" s="55">
        <f>IF($B326=$B325,$GR325,0)+$GQ326</f>
        <v/>
      </c>
      <c r="GS326" s="55">
        <f>$GS325+$GQ326</f>
        <v/>
      </c>
      <c r="GT326" s="55">
        <f>SUMIFS(tblGold[Dore_kg],tblGold[Date],$A326,tblGold[Type],"Shipment")</f>
        <v/>
      </c>
      <c r="GU326" s="55">
        <f>IF($B326=$B325,$GU325,0)+$GT326</f>
        <v/>
      </c>
      <c r="GV326" s="55">
        <f>$GV325+$GT326</f>
        <v/>
      </c>
      <c r="GW326" s="57">
        <f>SUMIFS(tblSafety[Hours_Total],tblSafety[Date],$A326)</f>
        <v/>
      </c>
      <c r="GX326" s="57">
        <f>IF($B326=$B325,$GX325,0)+$GW326</f>
        <v/>
      </c>
      <c r="GY326" s="57">
        <f>$GY325+$GW326</f>
        <v/>
      </c>
      <c r="GZ326" s="62">
        <f>SUMIFS(tblSafety[Fatality],tblSafety[Date],$A326)</f>
        <v/>
      </c>
      <c r="HA326" s="62">
        <f>IF($B326=$B325,$HA325,0)+$GZ326</f>
        <v/>
      </c>
      <c r="HB326" s="62">
        <f>$HB325+$GZ326</f>
        <v/>
      </c>
      <c r="HC326" s="62">
        <f>SUMIFS(tblSafety[LTI],tblSafety[Date],$A326)</f>
        <v/>
      </c>
      <c r="HD326" s="62">
        <f>IF($B326=$B325,$HD325,0)+$HC326</f>
        <v/>
      </c>
      <c r="HE326" s="62">
        <f>$HE325+$HC326</f>
        <v/>
      </c>
      <c r="HF326" s="62">
        <f>SUMIFS(tblSafety[RWI],tblSafety[Date],$A326)</f>
        <v/>
      </c>
      <c r="HG326" s="62">
        <f>IF($B326=$B325,$HG325,0)+$HF326</f>
        <v/>
      </c>
      <c r="HH326" s="62">
        <f>$HH325+$HF326</f>
        <v/>
      </c>
      <c r="HI326" s="62">
        <f>SUMIFS(tblSafety[MTI],tblSafety[Date],$A326)</f>
        <v/>
      </c>
      <c r="HJ326" s="62">
        <f>IF($B326=$B325,$HJ325,0)+$HI326</f>
        <v/>
      </c>
      <c r="HK326" s="62">
        <f>$HK325+$HI326</f>
        <v/>
      </c>
      <c r="HL326" s="62">
        <f>SUMIFS(tblSafety[FAI],tblSafety[Date],$A326)</f>
        <v/>
      </c>
      <c r="HM326" s="62">
        <f>IF($B326=$B325,$HM325,0)+$HL326</f>
        <v/>
      </c>
      <c r="HN326" s="62">
        <f>$HN325+$HL326</f>
        <v/>
      </c>
      <c r="HO326" s="62">
        <f>SUMIFS(tblSafety[Recordables],tblSafety[Date],$A326)</f>
        <v/>
      </c>
      <c r="HP326" s="62">
        <f>IF($B326=$B325,$HP325,0)+$HO326</f>
        <v/>
      </c>
      <c r="HQ326" s="62">
        <f>$HQ325+$HO326</f>
        <v/>
      </c>
      <c r="HR326" s="62">
        <f>SUMIFS(tblSafety[Near_Miss],tblSafety[Date],$A326)</f>
        <v/>
      </c>
      <c r="HS326" s="62">
        <f>IF($B326=$B325,$HS325,0)+$HR326</f>
        <v/>
      </c>
      <c r="HT326" s="62">
        <f>$HT325+$HR326</f>
        <v/>
      </c>
      <c r="HU326" s="62">
        <f>SUMIFS(tblSafety[Hazard_Reports],tblSafety[Date],$A326)</f>
        <v/>
      </c>
      <c r="HV326" s="62">
        <f>IF($B326=$B325,$HV325,0)+$HU326</f>
        <v/>
      </c>
      <c r="HW326" s="62">
        <f>$HW325+$HU326</f>
        <v/>
      </c>
      <c r="HX326" s="62">
        <f>SUMIFS(tblSafety[HPI],tblSafety[Date],$A326)</f>
        <v/>
      </c>
      <c r="HY326" s="62">
        <f>IF($B326=$B325,$HY325,0)+$HX326</f>
        <v/>
      </c>
      <c r="HZ326" s="62">
        <f>$HZ325+$HX326</f>
        <v/>
      </c>
      <c r="IA326" s="62">
        <f>SUMIFS(tblSafety[Env_Incidents],tblSafety[Date],$A326)</f>
        <v/>
      </c>
      <c r="IB326" s="62">
        <f>IF($B326=$B325,$IB325,0)+$IA326</f>
        <v/>
      </c>
      <c r="IC326" s="62">
        <f>$IC325+$IA326</f>
        <v/>
      </c>
      <c r="ID326" s="62">
        <f>SUMIFS(tblSafety[Community_Incidents],tblSafety[Date],$A326)</f>
        <v/>
      </c>
      <c r="IE326" s="62">
        <f>IF($B326=$B325,$IE325,0)+$ID326</f>
        <v/>
      </c>
      <c r="IF326" s="62">
        <f>$IF325+$ID326</f>
        <v/>
      </c>
      <c r="IG326" s="62">
        <f>SUMIFS(tblSafety[Vehicle_Incidents],tblSafety[Date],$A326)</f>
        <v/>
      </c>
      <c r="IH326" s="62">
        <f>IF($B326=$B325,$IH325,0)+$IG326</f>
        <v/>
      </c>
      <c r="II326" s="62">
        <f>$II325+$IG326</f>
        <v/>
      </c>
      <c r="IJ326" s="62">
        <f>SUMIFS(tblSafety[Toolbox_Talks],tblSafety[Date],$A326)</f>
        <v/>
      </c>
      <c r="IK326" s="62">
        <f>IF($B326=$B325,$IK325,0)+$IJ326</f>
        <v/>
      </c>
      <c r="IL326" s="62">
        <f>$IL325+$IJ326</f>
        <v/>
      </c>
      <c r="IM326" s="62">
        <f>SUMIFS(tblSafety[Inspections],tblSafety[Date],$A326)</f>
        <v/>
      </c>
      <c r="IN326" s="62">
        <f>IF($B326=$B325,$IN325,0)+$IM326</f>
        <v/>
      </c>
      <c r="IO326" s="62">
        <f>$IO325+$IM326</f>
        <v/>
      </c>
      <c r="IP326" s="56">
        <f>IFERROR((SUMIFS(tblSafety[Recordables],tblSafety[Date],"&gt;="&amp;EDATE($E326,-12),tblSafety[Date],"&lt;="&amp;$A326)+SUMIFS(tblSafetyHistory[Recordables],tblSafetyHistory[Month],"&gt;="&amp;EDATE($E326,-12),tblSafetyHistory[Month],"&lt;"&amp;$E326,tblSafetyHistory[Use],1))/(SUMIFS(tblSafety[Hours_Total],tblSafety[Date],"&gt;="&amp;EDATE($E326,-12),tblSafety[Date],"&lt;="&amp;$A326)+SUMIFS(tblSafetyHistory[Hours_Total],tblSafetyHistory[Month],"&gt;="&amp;EDATE($E326,-12),tblSafetyHistory[Month],"&lt;"&amp;$E326,tblSafetyHistory[Use],1))*cfg_RateBasisHours,"")</f>
        <v/>
      </c>
      <c r="IQ326" s="56">
        <f>IFERROR((SUMIFS(tblSafety[LTI],tblSafety[Date],"&gt;="&amp;EDATE($E326,-12),tblSafety[Date],"&lt;="&amp;$A326)+SUMIFS(tblSafetyHistory[LTI],tblSafetyHistory[Month],"&gt;="&amp;EDATE($E326,-12),tblSafetyHistory[Month],"&lt;"&amp;$E326,tblSafetyHistory[Use],1))/(SUMIFS(tblSafety[Hours_Total],tblSafety[Date],"&gt;="&amp;EDATE($E326,-12),tblSafety[Date],"&lt;="&amp;$A326)+SUMIFS(tblSafetyHistory[Hours_Total],tblSafetyHistory[Month],"&gt;="&amp;EDATE($E326,-12),tblSafetyHistory[Month],"&lt;"&amp;$E326,tblSafetyHistory[Use],1))*cfg_RateBasisHours,"")</f>
        <v/>
      </c>
      <c r="IR326" s="62">
        <f>IF(MAX(N(cfg_PriorLTIDate),_xlfn.MAXIFS(tblSafety[Date],tblSafety[LTI],"&gt;0",tblSafety[Date],"&lt;="&amp;$A326))=0,"",$A326-MAX(N(cfg_PriorLTIDate),_xlfn.MAXIFS(tblSafety[Date],tblSafety[LTI],"&gt;0",tblSafety[Date],"&lt;="&amp;$A326)))</f>
        <v/>
      </c>
      <c r="IS326" s="55">
        <f>SUMIFS(tblBudget[Ore_Mined_t],tblBudget[Month],$E326)</f>
        <v/>
      </c>
      <c r="IT326" s="55">
        <f>$IS326*$C326/$D326</f>
        <v/>
      </c>
      <c r="IU326" s="55">
        <f>SUMIFS(tblBudget[Ore_Mined_t],tblBudget[Month],"&lt;"&amp;$E326)+$IT326</f>
        <v/>
      </c>
      <c r="IV326" s="55">
        <f>SUMIFS(tblBudget[Ore_oz],tblBudget[Month],$E326)</f>
        <v/>
      </c>
      <c r="IW326" s="55">
        <f>$IV326*$C326/$D326</f>
        <v/>
      </c>
      <c r="IX326" s="55">
        <f>SUMIFS(tblBudget[Ore_oz],tblBudget[Month],"&lt;"&amp;$E326)+$IW326</f>
        <v/>
      </c>
      <c r="IY326" s="55">
        <f>SUMIFS(tblBudget[Ore_Mined_t],tblBudget[Month],$E326)</f>
        <v/>
      </c>
      <c r="IZ326" s="55">
        <f>$IY326*$C326/$D326</f>
        <v/>
      </c>
      <c r="JA326" s="55">
        <f>SUMIFS(tblBudget[Ore_Mined_t],tblBudget[Month],"&lt;"&amp;$E326)+$IZ326</f>
        <v/>
      </c>
      <c r="JB326" s="56">
        <f>IFERROR(IF(($IY326)&gt;0,($IV326*cfg_TroyOz)/($IY326),""),"")</f>
        <v/>
      </c>
      <c r="JC326" s="56">
        <f>IFERROR(IF(($IZ326)&gt;0,($IW326*cfg_TroyOz)/($IZ326),""),"")</f>
        <v/>
      </c>
      <c r="JD326" s="56">
        <f>IFERROR(IF(($JA326)&gt;0,($IX326*cfg_TroyOz)/($JA326),""),"")</f>
        <v/>
      </c>
      <c r="JE326" s="55">
        <f>SUMIFS(tblBudget[Waste_t],tblBudget[Month],$E326)</f>
        <v/>
      </c>
      <c r="JF326" s="55">
        <f>$JE326*$C326/$D326</f>
        <v/>
      </c>
      <c r="JG326" s="55">
        <f>SUMIFS(tblBudget[Waste_t],tblBudget[Month],"&lt;"&amp;$E326)+$JF326</f>
        <v/>
      </c>
      <c r="JH326" s="55">
        <f>SUMIFS(tblBudget[TMM_t],tblBudget[Month],$E326)</f>
        <v/>
      </c>
      <c r="JI326" s="55">
        <f>$JH326*$C326/$D326</f>
        <v/>
      </c>
      <c r="JJ326" s="55">
        <f>SUMIFS(tblBudget[TMM_t],tblBudget[Month],"&lt;"&amp;$E326)+$JI326</f>
        <v/>
      </c>
      <c r="JK326" s="56">
        <f>IFERROR(IF(($IS326)&gt;0,($JE326)/($IS326),""),"")</f>
        <v/>
      </c>
      <c r="JL326" s="56">
        <f>IFERROR(IF(($IT326)&gt;0,($JF326)/($IT326),""),"")</f>
        <v/>
      </c>
      <c r="JM326" s="56">
        <f>IFERROR(IF(($IU326)&gt;0,($JG326)/($IU326),""),"")</f>
        <v/>
      </c>
      <c r="JN326" s="55">
        <f>SUMIFS(tblBudget[Drill_m],tblBudget[Month],$E326)</f>
        <v/>
      </c>
      <c r="JO326" s="55">
        <f>$JN326*$C326/$D326</f>
        <v/>
      </c>
      <c r="JP326" s="55">
        <f>SUMIFS(tblBudget[Drill_m],tblBudget[Month],"&lt;"&amp;$E326)+$JO326</f>
        <v/>
      </c>
      <c r="JQ326" s="55">
        <f>SUMIFS(tblBudget[Diesel_L],tblBudget[Month],$E326)</f>
        <v/>
      </c>
      <c r="JR326" s="55">
        <f>$JQ326*$C326/$D326</f>
        <v/>
      </c>
      <c r="JS326" s="55">
        <f>SUMIFS(tblBudget[Diesel_L],tblBudget[Month],"&lt;"&amp;$E326)+$JR326</f>
        <v/>
      </c>
      <c r="JT326" s="55">
        <f>SUMIFS(tblBudget[Milled_t],tblBudget[Month],$E326)</f>
        <v/>
      </c>
      <c r="JU326" s="55">
        <f>$JT326*$C326/$D326</f>
        <v/>
      </c>
      <c r="JV326" s="55">
        <f>SUMIFS(tblBudget[Milled_t],tblBudget[Month],"&lt;"&amp;$E326)+$JU326</f>
        <v/>
      </c>
      <c r="JW326" s="55">
        <f>SUMIFS(tblBudget[Feed_oz],tblBudget[Month],$E326)</f>
        <v/>
      </c>
      <c r="JX326" s="55">
        <f>$JW326*$C326/$D326</f>
        <v/>
      </c>
      <c r="JY326" s="55">
        <f>SUMIFS(tblBudget[Feed_oz],tblBudget[Month],"&lt;"&amp;$E326)+$JX326</f>
        <v/>
      </c>
      <c r="JZ326" s="55">
        <f>SUMIFS(tblBudget[Recovered_oz],tblBudget[Month],$E326)</f>
        <v/>
      </c>
      <c r="KA326" s="55">
        <f>$JZ326*$C326/$D326</f>
        <v/>
      </c>
      <c r="KB326" s="55">
        <f>SUMIFS(tblBudget[Recovered_oz],tblBudget[Month],"&lt;"&amp;$E326)+$KA326</f>
        <v/>
      </c>
      <c r="KC326" s="55">
        <f>SUMIFS(tblBudget[Milled_t],tblBudget[Month],$E326)</f>
        <v/>
      </c>
      <c r="KD326" s="55">
        <f>$KC326*$C326/$D326</f>
        <v/>
      </c>
      <c r="KE326" s="55">
        <f>SUMIFS(tblBudget[Milled_t],tblBudget[Month],"&lt;"&amp;$E326)+$KD326</f>
        <v/>
      </c>
      <c r="KF326" s="55">
        <f>SUMIFS(tblBudget[Feed_oz],tblBudget[Month],$E326)</f>
        <v/>
      </c>
      <c r="KG326" s="55">
        <f>$KF326*$C326/$D326</f>
        <v/>
      </c>
      <c r="KH326" s="55">
        <f>SUMIFS(tblBudget[Feed_oz],tblBudget[Month],"&lt;"&amp;$E326)+$KG326</f>
        <v/>
      </c>
      <c r="KI326" s="56">
        <f>IFERROR(IF(($KC326)&gt;0,($JW326*cfg_TroyOz)/($KC326),""),"")</f>
        <v/>
      </c>
      <c r="KJ326" s="56">
        <f>IFERROR(IF(($KD326)&gt;0,($JX326*cfg_TroyOz)/($KD326),""),"")</f>
        <v/>
      </c>
      <c r="KK326" s="56">
        <f>IFERROR(IF(($KE326)&gt;0,($JY326*cfg_TroyOz)/($KE326),""),"")</f>
        <v/>
      </c>
      <c r="KL326" s="67">
        <f>IFERROR(IF(($KF326)&gt;0,($JZ326)/($KF326),""),"")</f>
        <v/>
      </c>
      <c r="KM326" s="67">
        <f>IFERROR(IF(($KG326)&gt;0,($KA326)/($KG326),""),"")</f>
        <v/>
      </c>
      <c r="KN326" s="67">
        <f>IFERROR(IF(($KH326)&gt;0,($KB326)/($KH326),""),"")</f>
        <v/>
      </c>
      <c r="KO326" s="55">
        <f>SUMIFS(tblBudget[Gold_Poured_oz],tblBudget[Month],$E326)</f>
        <v/>
      </c>
      <c r="KP326" s="55">
        <f>$KO326*$C326/$D326</f>
        <v/>
      </c>
      <c r="KQ326" s="55">
        <f>SUMIFS(tblBudget[Gold_Poured_oz],tblBudget[Month],"&lt;"&amp;$E326)+$KP326</f>
        <v/>
      </c>
      <c r="KR326" s="57">
        <f>SUMIFS(tblBudget[Hours_Worked],tblBudget[Month],$E326)</f>
        <v/>
      </c>
      <c r="KS326" s="57">
        <f>$KR326*$C326/$D326</f>
        <v/>
      </c>
      <c r="KT326" s="57">
        <f>SUMIFS(tblBudget[Hours_Worked],tblBudget[Month],"&lt;"&amp;$E326)+$KS326</f>
        <v/>
      </c>
    </row>
    <row r="327">
      <c r="A327" s="54" t="n">
        <v>46348</v>
      </c>
      <c r="B327">
        <f>MONTH($A327)</f>
        <v/>
      </c>
      <c r="C327">
        <f>DAY($A327)</f>
        <v/>
      </c>
      <c r="D327">
        <f>DAY(EOMONTH($A327,0))</f>
        <v/>
      </c>
      <c r="E327" s="54">
        <f>DATE(YEAR($A327),MONTH($A327),1)</f>
        <v/>
      </c>
      <c r="F327" s="55">
        <f>SUMIFS(tblMovement[Tonnes_t],tblMovement[Date],$A327,tblMovement[Is_Ore],1,tblMovement[Source_Type],"Pit")</f>
        <v/>
      </c>
      <c r="G327" s="55">
        <f>IF($B327=$B326,$G326,0)+$F327</f>
        <v/>
      </c>
      <c r="H327" s="55">
        <f>$H326+$F327</f>
        <v/>
      </c>
      <c r="I327" s="55">
        <f>SUMIFS(tblMovement[Ore_oz],tblMovement[Date],$A327,tblMovement[Source_Type],"Pit")</f>
        <v/>
      </c>
      <c r="J327" s="55">
        <f>IF($B327=$B326,$J326,0)+$I327</f>
        <v/>
      </c>
      <c r="K327" s="55">
        <f>$K326+$I327</f>
        <v/>
      </c>
      <c r="L327" s="55">
        <f>SUMIFS(tblMovement[Tonnes_t],tblMovement[Date],$A327,tblMovement[Is_Ore],1,tblMovement[Source_Type],"Pit",tblMovement[Grade_gpt],"&lt;&gt;")</f>
        <v/>
      </c>
      <c r="M327" s="55">
        <f>IF($B327=$B326,$M326,0)+$L327</f>
        <v/>
      </c>
      <c r="N327" s="55">
        <f>$N326+$L327</f>
        <v/>
      </c>
      <c r="O327" s="56">
        <f>IFERROR(IF(($L327)&gt;0,($I327*cfg_TroyOz)/($L327),""),"")</f>
        <v/>
      </c>
      <c r="P327" s="56">
        <f>IFERROR(IF(($M327)&gt;0,($J327*cfg_TroyOz)/($M327),""),"")</f>
        <v/>
      </c>
      <c r="Q327" s="56">
        <f>IFERROR(IF(($N327)&gt;0,($K327*cfg_TroyOz)/($N327),""),"")</f>
        <v/>
      </c>
      <c r="R327" s="55">
        <f>$F327-$L327</f>
        <v/>
      </c>
      <c r="S327" s="55">
        <f>IF($B327=$B326,$S326,0)+$R327</f>
        <v/>
      </c>
      <c r="T327" s="55">
        <f>$T326+$R327</f>
        <v/>
      </c>
      <c r="U327" s="55">
        <f>SUMIFS(tblMovement[Tonnes_t],tblMovement[Date],$A327,tblMovement[Is_Ore],0,tblMovement[Source_Type],"Pit")</f>
        <v/>
      </c>
      <c r="V327" s="55">
        <f>IF($B327=$B326,$V326,0)+$U327</f>
        <v/>
      </c>
      <c r="W327" s="55">
        <f>$W326+$U327</f>
        <v/>
      </c>
      <c r="X327" s="55">
        <f>$F327+$U327</f>
        <v/>
      </c>
      <c r="Y327" s="55">
        <f>IF($B327=$B326,$Y326,0)+$X327</f>
        <v/>
      </c>
      <c r="Z327" s="55">
        <f>$Z326+$X327</f>
        <v/>
      </c>
      <c r="AA327" s="56">
        <f>IFERROR(IF(($F327)&gt;0,($U327)/($F327),""),"")</f>
        <v/>
      </c>
      <c r="AB327" s="56">
        <f>IFERROR(IF(($G327)&gt;0,($V327)/($G327),""),"")</f>
        <v/>
      </c>
      <c r="AC327" s="56">
        <f>IFERROR(IF(($H327)&gt;0,($W327)/($H327),""),"")</f>
        <v/>
      </c>
      <c r="AD327" s="55">
        <f>SUMIFS(tblMovement[Tonnes_t],tblMovement[Date],$A327,tblMovement[Source_Type],"Stockpile")</f>
        <v/>
      </c>
      <c r="AE327" s="55">
        <f>IF($B327=$B326,$AE326,0)+$AD327</f>
        <v/>
      </c>
      <c r="AF327" s="55">
        <f>$AF326+$AD327</f>
        <v/>
      </c>
      <c r="AG327" s="55">
        <f>SUMIFS(tblMovement[Tonnes_t],tblMovement[Date],$A327)</f>
        <v/>
      </c>
      <c r="AH327" s="55">
        <f>IF($B327=$B326,$AH326,0)+$AG327</f>
        <v/>
      </c>
      <c r="AI327" s="55">
        <f>$AI326+$AG327</f>
        <v/>
      </c>
      <c r="AJ327" s="55">
        <f>$AG327-$X327-$AD327</f>
        <v/>
      </c>
      <c r="AK327" s="55">
        <f>IF($B327=$B326,$AK326,0)+$AJ327</f>
        <v/>
      </c>
      <c r="AL327" s="55">
        <f>$AL326+$AJ327</f>
        <v/>
      </c>
      <c r="AM327" s="55">
        <f>SUMIFS(tblMiningDaily[Drill_m],tblMiningDaily[Date],$A327)</f>
        <v/>
      </c>
      <c r="AN327" s="55">
        <f>IF($B327=$B326,$AN326,0)+$AM327</f>
        <v/>
      </c>
      <c r="AO327" s="55">
        <f>$AO326+$AM327</f>
        <v/>
      </c>
      <c r="AP327" s="55">
        <f>SUMIFS(tblMiningDaily[GC_Drill_m],tblMiningDaily[Date],$A327)</f>
        <v/>
      </c>
      <c r="AQ327" s="55">
        <f>IF($B327=$B326,$AQ326,0)+$AP327</f>
        <v/>
      </c>
      <c r="AR327" s="55">
        <f>$AR326+$AP327</f>
        <v/>
      </c>
      <c r="AS327" s="55">
        <f>SUMIFS(tblMiningDaily[Blast_t],tblMiningDaily[Date],$A327)</f>
        <v/>
      </c>
      <c r="AT327" s="55">
        <f>IF($B327=$B326,$AT326,0)+$AS327</f>
        <v/>
      </c>
      <c r="AU327" s="55">
        <f>$AU326+$AS327</f>
        <v/>
      </c>
      <c r="AV327" s="55">
        <f>SUMIFS(tblMiningDaily[Explosives_kg],tblMiningDaily[Date],$A327)</f>
        <v/>
      </c>
      <c r="AW327" s="55">
        <f>IF($B327=$B326,$AW326,0)+$AV327</f>
        <v/>
      </c>
      <c r="AX327" s="55">
        <f>$AX326+$AV327</f>
        <v/>
      </c>
      <c r="AY327" s="56">
        <f>IFERROR(IF(($AS327)&gt;0,($AV327)/($AS327),""),"")</f>
        <v/>
      </c>
      <c r="AZ327" s="56">
        <f>IFERROR(IF(($AT327)&gt;0,($AW327)/($AT327),""),"")</f>
        <v/>
      </c>
      <c r="BA327" s="56">
        <f>IFERROR(IF(($AU327)&gt;0,($AX327)/($AU327),""),"")</f>
        <v/>
      </c>
      <c r="BB327" s="55">
        <f>SUMIFS(tblMiningDaily[Diesel_L],tblMiningDaily[Date],$A327)</f>
        <v/>
      </c>
      <c r="BC327" s="55">
        <f>IF($B327=$B326,$BC326,0)+$BB327</f>
        <v/>
      </c>
      <c r="BD327" s="55">
        <f>$BD326+$BB327</f>
        <v/>
      </c>
      <c r="BE327" s="55">
        <f>SUMIFS(tblMiningDaily[Dewatering_m3],tblMiningDaily[Date],$A327)</f>
        <v/>
      </c>
      <c r="BF327" s="55">
        <f>IF($B327=$B326,$BF326,0)+$BE327</f>
        <v/>
      </c>
      <c r="BG327" s="55">
        <f>$BG326+$BE327</f>
        <v/>
      </c>
      <c r="BH327" s="57">
        <f>SUMIFS(tblFleet[Calendar_h],tblFleet[Date],$A327,tblFleet[Equipment_Class],"Excavator")</f>
        <v/>
      </c>
      <c r="BI327" s="57">
        <f>IF($B327=$B326,$BI326,0)+$BH327</f>
        <v/>
      </c>
      <c r="BJ327" s="57">
        <f>$BJ326+$BH327</f>
        <v/>
      </c>
      <c r="BK327" s="57">
        <f>SUMIFS(tblFleet[Available_h],tblFleet[Date],$A327,tblFleet[Equipment_Class],"Excavator")</f>
        <v/>
      </c>
      <c r="BL327" s="57">
        <f>IF($B327=$B326,$BL326,0)+$BK327</f>
        <v/>
      </c>
      <c r="BM327" s="57">
        <f>$BM326+$BK327</f>
        <v/>
      </c>
      <c r="BN327" s="57">
        <f>SUMIFS(tblFleet[Operating_h],tblFleet[Date],$A327,tblFleet[Equipment_Class],"Excavator")</f>
        <v/>
      </c>
      <c r="BO327" s="57">
        <f>IF($B327=$B326,$BO326,0)+$BN327</f>
        <v/>
      </c>
      <c r="BP327" s="57">
        <f>$BP326+$BN327</f>
        <v/>
      </c>
      <c r="BQ327" s="67">
        <f>IFERROR(IF(($BH327)&gt;0,($BK327)/($BH327),""),"")</f>
        <v/>
      </c>
      <c r="BR327" s="67">
        <f>IFERROR(IF(($BI327)&gt;0,($BL327)/($BI327),""),"")</f>
        <v/>
      </c>
      <c r="BS327" s="67">
        <f>IFERROR(IF(($BJ327)&gt;0,($BM327)/($BJ327),""),"")</f>
        <v/>
      </c>
      <c r="BT327" s="67">
        <f>IFERROR(IF(($BK327)&gt;0,($BN327)/($BK327),""),"")</f>
        <v/>
      </c>
      <c r="BU327" s="67">
        <f>IFERROR(IF(($BL327)&gt;0,($BO327)/($BL327),""),"")</f>
        <v/>
      </c>
      <c r="BV327" s="67">
        <f>IFERROR(IF(($BM327)&gt;0,($BP327)/($BM327),""),"")</f>
        <v/>
      </c>
      <c r="BW327" s="57">
        <f>SUMIFS(tblFleet[Calendar_h],tblFleet[Date],$A327,tblFleet[Equipment_Class],"Haul Truck")</f>
        <v/>
      </c>
      <c r="BX327" s="57">
        <f>IF($B327=$B326,$BX326,0)+$BW327</f>
        <v/>
      </c>
      <c r="BY327" s="57">
        <f>$BY326+$BW327</f>
        <v/>
      </c>
      <c r="BZ327" s="57">
        <f>SUMIFS(tblFleet[Available_h],tblFleet[Date],$A327,tblFleet[Equipment_Class],"Haul Truck")</f>
        <v/>
      </c>
      <c r="CA327" s="57">
        <f>IF($B327=$B326,$CA326,0)+$BZ327</f>
        <v/>
      </c>
      <c r="CB327" s="57">
        <f>$CB326+$BZ327</f>
        <v/>
      </c>
      <c r="CC327" s="57">
        <f>SUMIFS(tblFleet[Operating_h],tblFleet[Date],$A327,tblFleet[Equipment_Class],"Haul Truck")</f>
        <v/>
      </c>
      <c r="CD327" s="57">
        <f>IF($B327=$B326,$CD326,0)+$CC327</f>
        <v/>
      </c>
      <c r="CE327" s="57">
        <f>$CE326+$CC327</f>
        <v/>
      </c>
      <c r="CF327" s="67">
        <f>IFERROR(IF(($BW327)&gt;0,($BZ327)/($BW327),""),"")</f>
        <v/>
      </c>
      <c r="CG327" s="67">
        <f>IFERROR(IF(($BX327)&gt;0,($CA327)/($BX327),""),"")</f>
        <v/>
      </c>
      <c r="CH327" s="67">
        <f>IFERROR(IF(($BY327)&gt;0,($CB327)/($BY327),""),"")</f>
        <v/>
      </c>
      <c r="CI327" s="67">
        <f>IFERROR(IF(($BZ327)&gt;0,($CC327)/($BZ327),""),"")</f>
        <v/>
      </c>
      <c r="CJ327" s="67">
        <f>IFERROR(IF(($CA327)&gt;0,($CD327)/($CA327),""),"")</f>
        <v/>
      </c>
      <c r="CK327" s="67">
        <f>IFERROR(IF(($CB327)&gt;0,($CE327)/($CB327),""),"")</f>
        <v/>
      </c>
      <c r="CL327" s="55">
        <f>IFERROR(IF(($BN327)&gt;0,($X327+$AD327)/($BN327),""),"")</f>
        <v/>
      </c>
      <c r="CM327" s="55">
        <f>IFERROR(IF(($BO327)&gt;0,($Y327+$AE327)/($BO327),""),"")</f>
        <v/>
      </c>
      <c r="CN327" s="55">
        <f>IFERROR(IF(($BP327)&gt;0,($Z327+$AF327)/($BP327),""),"")</f>
        <v/>
      </c>
      <c r="CO327" s="55">
        <f>IFERROR(IF(($CC327)&gt;0,($X327+$AD327)/($CC327),""),"")</f>
        <v/>
      </c>
      <c r="CP327" s="55">
        <f>IFERROR(IF(($CD327)&gt;0,($Y327+$AE327)/($CD327),""),"")</f>
        <v/>
      </c>
      <c r="CQ327" s="55">
        <f>IFERROR(IF(($CE327)&gt;0,($Z327+$AF327)/($CE327),""),"")</f>
        <v/>
      </c>
      <c r="CR327" s="55">
        <f>SUMIFS(tblPlant[Crushed_t],tblPlant[Date],$A327)</f>
        <v/>
      </c>
      <c r="CS327" s="55">
        <f>IF($B327=$B326,$CS326,0)+$CR327</f>
        <v/>
      </c>
      <c r="CT327" s="55">
        <f>$CT326+$CR327</f>
        <v/>
      </c>
      <c r="CU327" s="55">
        <f>SUMIFS(tblPlant[Milled_t],tblPlant[Date],$A327)</f>
        <v/>
      </c>
      <c r="CV327" s="55">
        <f>IF($B327=$B326,$CV326,0)+$CU327</f>
        <v/>
      </c>
      <c r="CW327" s="55">
        <f>$CW326+$CU327</f>
        <v/>
      </c>
      <c r="CX327" s="55">
        <f>SUMIFS(tblPlant[Feed_oz],tblPlant[Date],$A327)</f>
        <v/>
      </c>
      <c r="CY327" s="55">
        <f>IF($B327=$B326,$CY326,0)+$CX327</f>
        <v/>
      </c>
      <c r="CZ327" s="55">
        <f>$CZ326+$CX327</f>
        <v/>
      </c>
      <c r="DA327" s="55">
        <f>SUMIFS(tblPlant[Tails_oz],tblPlant[Date],$A327)</f>
        <v/>
      </c>
      <c r="DB327" s="55">
        <f>IF($B327=$B326,$DB326,0)+$DA327</f>
        <v/>
      </c>
      <c r="DC327" s="55">
        <f>$DC326+$DA327</f>
        <v/>
      </c>
      <c r="DD327" s="55">
        <f>SUMIFS(tblPlant[Recovered_oz],tblPlant[Date],$A327)</f>
        <v/>
      </c>
      <c r="DE327" s="55">
        <f>IF($B327=$B326,$DE326,0)+$DD327</f>
        <v/>
      </c>
      <c r="DF327" s="55">
        <f>$DF326+$DD327</f>
        <v/>
      </c>
      <c r="DG327" s="55">
        <f>SUMIFS(tblPlant[Milled_t],tblPlant[Date],$A327,tblPlant[Head_Grade_gpt],"&lt;&gt;")</f>
        <v/>
      </c>
      <c r="DH327" s="55">
        <f>IF($B327=$B326,$DH326,0)+$DG327</f>
        <v/>
      </c>
      <c r="DI327" s="55">
        <f>$DI326+$DG327</f>
        <v/>
      </c>
      <c r="DJ327" s="55">
        <f>SUMIFS(tblPlant[Milled_t],tblPlant[Date],$A327,tblPlant[Tails_Grade_gpt],"&lt;&gt;")</f>
        <v/>
      </c>
      <c r="DK327" s="55">
        <f>IF($B327=$B326,$DK326,0)+$DJ327</f>
        <v/>
      </c>
      <c r="DL327" s="55">
        <f>$DL326+$DJ327</f>
        <v/>
      </c>
      <c r="DM327" s="55">
        <f>SUMIFS(tblPlant[Feed_oz],tblPlant[Date],$A327,tblPlant[Tails_Grade_gpt],"&lt;&gt;")</f>
        <v/>
      </c>
      <c r="DN327" s="55">
        <f>IF($B327=$B326,$DN326,0)+$DM327</f>
        <v/>
      </c>
      <c r="DO327" s="55">
        <f>$DO326+$DM327</f>
        <v/>
      </c>
      <c r="DP327" s="55">
        <f>SUMIFS(tblPlant[Milled_t],tblPlant[Date],$A327,tblPlant[Mill_Run_h],"&lt;&gt;")</f>
        <v/>
      </c>
      <c r="DQ327" s="55">
        <f>IF($B327=$B326,$DQ326,0)+$DP327</f>
        <v/>
      </c>
      <c r="DR327" s="55">
        <f>$DR326+$DP327</f>
        <v/>
      </c>
      <c r="DS327" s="56">
        <f>IFERROR(IF(($DG327)&gt;0,($CX327*cfg_TroyOz)/($DG327),""),"")</f>
        <v/>
      </c>
      <c r="DT327" s="56">
        <f>IFERROR(IF(($DH327)&gt;0,($CY327*cfg_TroyOz)/($DH327),""),"")</f>
        <v/>
      </c>
      <c r="DU327" s="56">
        <f>IFERROR(IF(($DI327)&gt;0,($CZ327*cfg_TroyOz)/($DI327),""),"")</f>
        <v/>
      </c>
      <c r="DV327" s="56">
        <f>IFERROR(IF(($DJ327)&gt;0,($DA327*cfg_TroyOz)/($DJ327),""),"")</f>
        <v/>
      </c>
      <c r="DW327" s="56">
        <f>IFERROR(IF(($DK327)&gt;0,($DB327*cfg_TroyOz)/($DK327),""),"")</f>
        <v/>
      </c>
      <c r="DX327" s="56">
        <f>IFERROR(IF(($DL327)&gt;0,($DC327*cfg_TroyOz)/($DL327),""),"")</f>
        <v/>
      </c>
      <c r="DY327" s="67">
        <f>IFERROR(IF(($DM327)&gt;0,($DD327)/($DM327),""),"")</f>
        <v/>
      </c>
      <c r="DZ327" s="67">
        <f>IFERROR(IF(($DN327)&gt;0,($DE327)/($DN327),""),"")</f>
        <v/>
      </c>
      <c r="EA327" s="67">
        <f>IFERROR(IF(($DO327)&gt;0,($DF327)/($DO327),""),"")</f>
        <v/>
      </c>
      <c r="EB327" s="55">
        <f>SUMIFS(tblPlant[Gravity_Gold_oz],tblPlant[Date],$A327)</f>
        <v/>
      </c>
      <c r="EC327" s="55">
        <f>IF($B327=$B326,$EC326,0)+$EB327</f>
        <v/>
      </c>
      <c r="ED327" s="55">
        <f>$ED326+$EB327</f>
        <v/>
      </c>
      <c r="EE327" s="67">
        <f>IFERROR(IF(($DD327)&gt;0,($EB327)/($DD327),""),"")</f>
        <v/>
      </c>
      <c r="EF327" s="67">
        <f>IFERROR(IF(($DE327)&gt;0,($EC327)/($DE327),""),"")</f>
        <v/>
      </c>
      <c r="EG327" s="67">
        <f>IFERROR(IF(($DF327)&gt;0,($ED327)/($DF327),""),"")</f>
        <v/>
      </c>
      <c r="EH327" s="55">
        <f>SUMIFS(tblPlant[Gold_Poured_oz],tblPlant[Date],$A327)</f>
        <v/>
      </c>
      <c r="EI327" s="55">
        <f>IF($B327=$B326,$EI326,0)+$EH327</f>
        <v/>
      </c>
      <c r="EJ327" s="55">
        <f>$EJ326+$EH327</f>
        <v/>
      </c>
      <c r="EK327" s="57">
        <f>SUMIFS(tblPlant[Mill_Run_h],tblPlant[Date],$A327)</f>
        <v/>
      </c>
      <c r="EL327" s="57">
        <f>IF($B327=$B326,$EL326,0)+$EK327</f>
        <v/>
      </c>
      <c r="EM327" s="57">
        <f>$EM326+$EK327</f>
        <v/>
      </c>
      <c r="EN327" s="57">
        <f>SUMIFS(tblPlant[Mill_Planned_Maint_h],tblPlant[Date],$A327)</f>
        <v/>
      </c>
      <c r="EO327" s="57">
        <f>IF($B327=$B326,$EO326,0)+$EN327</f>
        <v/>
      </c>
      <c r="EP327" s="57">
        <f>$EP326+$EN327</f>
        <v/>
      </c>
      <c r="EQ327" s="57">
        <f>SUMIFS(tblPlant[Mill_Unplanned_Down_h],tblPlant[Date],$A327)</f>
        <v/>
      </c>
      <c r="ER327" s="57">
        <f>IF($B327=$B326,$ER326,0)+$EQ327</f>
        <v/>
      </c>
      <c r="ES327" s="57">
        <f>$ES326+$EQ327</f>
        <v/>
      </c>
      <c r="ET327" s="57">
        <f>IF(COUNTIFS(tblPlant[Date],$A327,tblPlant[Mill_Run_h],"&lt;&gt;")+COUNTIFS(tblPlant[Date],$A327,tblPlant[Mill_Planned_Maint_h],"&lt;&gt;")+COUNTIFS(tblPlant[Date],$A327,tblPlant[Mill_Unplanned_Down_h],"&lt;&gt;")&gt;0,cfg_HoursPerDay,0)</f>
        <v/>
      </c>
      <c r="EU327" s="57">
        <f>IF($B327=$B326,$EU326,0)+$ET327</f>
        <v/>
      </c>
      <c r="EV327" s="57">
        <f>$EV326+$ET327</f>
        <v/>
      </c>
      <c r="EW327" s="57">
        <f>SUMIFS(tblPlant[Crusher_Run_h],tblPlant[Date],$A327)</f>
        <v/>
      </c>
      <c r="EX327" s="57">
        <f>IF($B327=$B326,$EX326,0)+$EW327</f>
        <v/>
      </c>
      <c r="EY327" s="57">
        <f>$EY326+$EW327</f>
        <v/>
      </c>
      <c r="EZ327" s="55">
        <f>IFERROR(IF(($EK327)&gt;0,($DP327)/($EK327),""),"")</f>
        <v/>
      </c>
      <c r="FA327" s="55">
        <f>IFERROR(IF(($EL327)&gt;0,($DQ327)/($EL327),""),"")</f>
        <v/>
      </c>
      <c r="FB327" s="55">
        <f>IFERROR(IF(($EM327)&gt;0,($DR327)/($EM327),""),"")</f>
        <v/>
      </c>
      <c r="FC327" s="67">
        <f>IFERROR(IF(($ET327)&gt;0,($ET327-$EN327-$EQ327)/($ET327),""),"")</f>
        <v/>
      </c>
      <c r="FD327" s="67">
        <f>IFERROR(IF(($EU327)&gt;0,($EU327-$EO327-$ER327)/($EU327),""),"")</f>
        <v/>
      </c>
      <c r="FE327" s="67">
        <f>IFERROR(IF(($EV327)&gt;0,($EV327-$EP327-$ES327)/($EV327),""),"")</f>
        <v/>
      </c>
      <c r="FF327" s="67">
        <f>IFERROR(IF(($ET327-$EN327-$EQ327)&gt;0,($EK327)/($ET327-$EN327-$EQ327),""),"")</f>
        <v/>
      </c>
      <c r="FG327" s="67">
        <f>IFERROR(IF(($EU327-$EO327-$ER327)&gt;0,($EL327)/($EU327-$EO327-$ER327),""),"")</f>
        <v/>
      </c>
      <c r="FH327" s="67">
        <f>IFERROR(IF(($EV327-$EP327-$ES327)&gt;0,($EM327)/($EV327-$EP327-$ES327),""),"")</f>
        <v/>
      </c>
      <c r="FI327" s="55">
        <f>SUMIFS(tblPlant[Cyanide_kg],tblPlant[Date],$A327)</f>
        <v/>
      </c>
      <c r="FJ327" s="55">
        <f>IF($B327=$B326,$FJ326,0)+$FI327</f>
        <v/>
      </c>
      <c r="FK327" s="55">
        <f>$FK326+$FI327</f>
        <v/>
      </c>
      <c r="FL327" s="55">
        <f>SUMIFS(tblPlant[Lime_kg],tblPlant[Date],$A327)</f>
        <v/>
      </c>
      <c r="FM327" s="55">
        <f>IF($B327=$B326,$FM326,0)+$FL327</f>
        <v/>
      </c>
      <c r="FN327" s="55">
        <f>$FN326+$FL327</f>
        <v/>
      </c>
      <c r="FO327" s="55">
        <f>SUMIFS(tblPlant[Grinding_Media_kg],tblPlant[Date],$A327)</f>
        <v/>
      </c>
      <c r="FP327" s="55">
        <f>IF($B327=$B326,$FP326,0)+$FO327</f>
        <v/>
      </c>
      <c r="FQ327" s="55">
        <f>$FQ326+$FO327</f>
        <v/>
      </c>
      <c r="FR327" s="55">
        <f>SUMIFS(tblPlant[Power_kWh],tblPlant[Date],$A327)</f>
        <v/>
      </c>
      <c r="FS327" s="55">
        <f>IF($B327=$B326,$FS326,0)+$FR327</f>
        <v/>
      </c>
      <c r="FT327" s="55">
        <f>$FT326+$FR327</f>
        <v/>
      </c>
      <c r="FU327" s="55">
        <f>SUMIFS(tblPlant[Raw_Water_m3],tblPlant[Date],$A327)</f>
        <v/>
      </c>
      <c r="FV327" s="55">
        <f>IF($B327=$B326,$FV326,0)+$FU327</f>
        <v/>
      </c>
      <c r="FW327" s="55">
        <f>$FW326+$FU327</f>
        <v/>
      </c>
      <c r="FX327" s="56">
        <f>IFERROR(IF(($CU327)&gt;0,($FI327)/($CU327),""),"")</f>
        <v/>
      </c>
      <c r="FY327" s="56">
        <f>IFERROR(IF(($CV327)&gt;0,($FJ327)/($CV327),""),"")</f>
        <v/>
      </c>
      <c r="FZ327" s="56">
        <f>IFERROR(IF(($CW327)&gt;0,($FK327)/($CW327),""),"")</f>
        <v/>
      </c>
      <c r="GA327" s="56">
        <f>IFERROR(IF(($CU327)&gt;0,($FL327)/($CU327),""),"")</f>
        <v/>
      </c>
      <c r="GB327" s="56">
        <f>IFERROR(IF(($CV327)&gt;0,($FM327)/($CV327),""),"")</f>
        <v/>
      </c>
      <c r="GC327" s="56">
        <f>IFERROR(IF(($CW327)&gt;0,($FN327)/($CW327),""),"")</f>
        <v/>
      </c>
      <c r="GD327" s="56">
        <f>IFERROR(IF(($CU327)&gt;0,($FO327)/($CU327),""),"")</f>
        <v/>
      </c>
      <c r="GE327" s="56">
        <f>IFERROR(IF(($CV327)&gt;0,($FP327)/($CV327),""),"")</f>
        <v/>
      </c>
      <c r="GF327" s="56">
        <f>IFERROR(IF(($CW327)&gt;0,($FQ327)/($CW327),""),"")</f>
        <v/>
      </c>
      <c r="GG327" s="79">
        <f>IFERROR(IF(($CU327)&gt;0,($FR327)/($CU327),""),"")</f>
        <v/>
      </c>
      <c r="GH327" s="79">
        <f>IFERROR(IF(($CV327)&gt;0,($FS327)/($CV327),""),"")</f>
        <v/>
      </c>
      <c r="GI327" s="79">
        <f>IFERROR(IF(($CW327)&gt;0,($FT327)/($CW327),""),"")</f>
        <v/>
      </c>
      <c r="GJ327" s="56">
        <f>IFERROR(IF(($CU327)&gt;0,($FU327)/($CU327),""),"")</f>
        <v/>
      </c>
      <c r="GK327" s="56">
        <f>IFERROR(IF(($CV327)&gt;0,($FV327)/($CV327),""),"")</f>
        <v/>
      </c>
      <c r="GL327" s="56">
        <f>IFERROR(IF(($CW327)&gt;0,($FW327)/($CW327),""),"")</f>
        <v/>
      </c>
      <c r="GM327" s="55">
        <f>IF(SUMIFS(tblPlant[GIC_oz],tblPlant[Date],$A327)&gt;0,SUMIFS(tblPlant[GIC_oz],tblPlant[Date],$A327),"")</f>
        <v/>
      </c>
      <c r="GN327" s="55">
        <f>SUMIFS(tblGold[Gold_oz],tblGold[Date],$A327,tblGold[Type],"Shipment")</f>
        <v/>
      </c>
      <c r="GO327" s="55">
        <f>IF($B327=$B326,$GO326,0)+$GN327</f>
        <v/>
      </c>
      <c r="GP327" s="55">
        <f>$GP326+$GN327</f>
        <v/>
      </c>
      <c r="GQ327" s="55">
        <f>SUMIFS(tblGold[Gold_oz],tblGold[Date],$A327,tblGold[Type],"Sale")</f>
        <v/>
      </c>
      <c r="GR327" s="55">
        <f>IF($B327=$B326,$GR326,0)+$GQ327</f>
        <v/>
      </c>
      <c r="GS327" s="55">
        <f>$GS326+$GQ327</f>
        <v/>
      </c>
      <c r="GT327" s="55">
        <f>SUMIFS(tblGold[Dore_kg],tblGold[Date],$A327,tblGold[Type],"Shipment")</f>
        <v/>
      </c>
      <c r="GU327" s="55">
        <f>IF($B327=$B326,$GU326,0)+$GT327</f>
        <v/>
      </c>
      <c r="GV327" s="55">
        <f>$GV326+$GT327</f>
        <v/>
      </c>
      <c r="GW327" s="57">
        <f>SUMIFS(tblSafety[Hours_Total],tblSafety[Date],$A327)</f>
        <v/>
      </c>
      <c r="GX327" s="57">
        <f>IF($B327=$B326,$GX326,0)+$GW327</f>
        <v/>
      </c>
      <c r="GY327" s="57">
        <f>$GY326+$GW327</f>
        <v/>
      </c>
      <c r="GZ327" s="62">
        <f>SUMIFS(tblSafety[Fatality],tblSafety[Date],$A327)</f>
        <v/>
      </c>
      <c r="HA327" s="62">
        <f>IF($B327=$B326,$HA326,0)+$GZ327</f>
        <v/>
      </c>
      <c r="HB327" s="62">
        <f>$HB326+$GZ327</f>
        <v/>
      </c>
      <c r="HC327" s="62">
        <f>SUMIFS(tblSafety[LTI],tblSafety[Date],$A327)</f>
        <v/>
      </c>
      <c r="HD327" s="62">
        <f>IF($B327=$B326,$HD326,0)+$HC327</f>
        <v/>
      </c>
      <c r="HE327" s="62">
        <f>$HE326+$HC327</f>
        <v/>
      </c>
      <c r="HF327" s="62">
        <f>SUMIFS(tblSafety[RWI],tblSafety[Date],$A327)</f>
        <v/>
      </c>
      <c r="HG327" s="62">
        <f>IF($B327=$B326,$HG326,0)+$HF327</f>
        <v/>
      </c>
      <c r="HH327" s="62">
        <f>$HH326+$HF327</f>
        <v/>
      </c>
      <c r="HI327" s="62">
        <f>SUMIFS(tblSafety[MTI],tblSafety[Date],$A327)</f>
        <v/>
      </c>
      <c r="HJ327" s="62">
        <f>IF($B327=$B326,$HJ326,0)+$HI327</f>
        <v/>
      </c>
      <c r="HK327" s="62">
        <f>$HK326+$HI327</f>
        <v/>
      </c>
      <c r="HL327" s="62">
        <f>SUMIFS(tblSafety[FAI],tblSafety[Date],$A327)</f>
        <v/>
      </c>
      <c r="HM327" s="62">
        <f>IF($B327=$B326,$HM326,0)+$HL327</f>
        <v/>
      </c>
      <c r="HN327" s="62">
        <f>$HN326+$HL327</f>
        <v/>
      </c>
      <c r="HO327" s="62">
        <f>SUMIFS(tblSafety[Recordables],tblSafety[Date],$A327)</f>
        <v/>
      </c>
      <c r="HP327" s="62">
        <f>IF($B327=$B326,$HP326,0)+$HO327</f>
        <v/>
      </c>
      <c r="HQ327" s="62">
        <f>$HQ326+$HO327</f>
        <v/>
      </c>
      <c r="HR327" s="62">
        <f>SUMIFS(tblSafety[Near_Miss],tblSafety[Date],$A327)</f>
        <v/>
      </c>
      <c r="HS327" s="62">
        <f>IF($B327=$B326,$HS326,0)+$HR327</f>
        <v/>
      </c>
      <c r="HT327" s="62">
        <f>$HT326+$HR327</f>
        <v/>
      </c>
      <c r="HU327" s="62">
        <f>SUMIFS(tblSafety[Hazard_Reports],tblSafety[Date],$A327)</f>
        <v/>
      </c>
      <c r="HV327" s="62">
        <f>IF($B327=$B326,$HV326,0)+$HU327</f>
        <v/>
      </c>
      <c r="HW327" s="62">
        <f>$HW326+$HU327</f>
        <v/>
      </c>
      <c r="HX327" s="62">
        <f>SUMIFS(tblSafety[HPI],tblSafety[Date],$A327)</f>
        <v/>
      </c>
      <c r="HY327" s="62">
        <f>IF($B327=$B326,$HY326,0)+$HX327</f>
        <v/>
      </c>
      <c r="HZ327" s="62">
        <f>$HZ326+$HX327</f>
        <v/>
      </c>
      <c r="IA327" s="62">
        <f>SUMIFS(tblSafety[Env_Incidents],tblSafety[Date],$A327)</f>
        <v/>
      </c>
      <c r="IB327" s="62">
        <f>IF($B327=$B326,$IB326,0)+$IA327</f>
        <v/>
      </c>
      <c r="IC327" s="62">
        <f>$IC326+$IA327</f>
        <v/>
      </c>
      <c r="ID327" s="62">
        <f>SUMIFS(tblSafety[Community_Incidents],tblSafety[Date],$A327)</f>
        <v/>
      </c>
      <c r="IE327" s="62">
        <f>IF($B327=$B326,$IE326,0)+$ID327</f>
        <v/>
      </c>
      <c r="IF327" s="62">
        <f>$IF326+$ID327</f>
        <v/>
      </c>
      <c r="IG327" s="62">
        <f>SUMIFS(tblSafety[Vehicle_Incidents],tblSafety[Date],$A327)</f>
        <v/>
      </c>
      <c r="IH327" s="62">
        <f>IF($B327=$B326,$IH326,0)+$IG327</f>
        <v/>
      </c>
      <c r="II327" s="62">
        <f>$II326+$IG327</f>
        <v/>
      </c>
      <c r="IJ327" s="62">
        <f>SUMIFS(tblSafety[Toolbox_Talks],tblSafety[Date],$A327)</f>
        <v/>
      </c>
      <c r="IK327" s="62">
        <f>IF($B327=$B326,$IK326,0)+$IJ327</f>
        <v/>
      </c>
      <c r="IL327" s="62">
        <f>$IL326+$IJ327</f>
        <v/>
      </c>
      <c r="IM327" s="62">
        <f>SUMIFS(tblSafety[Inspections],tblSafety[Date],$A327)</f>
        <v/>
      </c>
      <c r="IN327" s="62">
        <f>IF($B327=$B326,$IN326,0)+$IM327</f>
        <v/>
      </c>
      <c r="IO327" s="62">
        <f>$IO326+$IM327</f>
        <v/>
      </c>
      <c r="IP327" s="56">
        <f>IFERROR((SUMIFS(tblSafety[Recordables],tblSafety[Date],"&gt;="&amp;EDATE($E327,-12),tblSafety[Date],"&lt;="&amp;$A327)+SUMIFS(tblSafetyHistory[Recordables],tblSafetyHistory[Month],"&gt;="&amp;EDATE($E327,-12),tblSafetyHistory[Month],"&lt;"&amp;$E327,tblSafetyHistory[Use],1))/(SUMIFS(tblSafety[Hours_Total],tblSafety[Date],"&gt;="&amp;EDATE($E327,-12),tblSafety[Date],"&lt;="&amp;$A327)+SUMIFS(tblSafetyHistory[Hours_Total],tblSafetyHistory[Month],"&gt;="&amp;EDATE($E327,-12),tblSafetyHistory[Month],"&lt;"&amp;$E327,tblSafetyHistory[Use],1))*cfg_RateBasisHours,"")</f>
        <v/>
      </c>
      <c r="IQ327" s="56">
        <f>IFERROR((SUMIFS(tblSafety[LTI],tblSafety[Date],"&gt;="&amp;EDATE($E327,-12),tblSafety[Date],"&lt;="&amp;$A327)+SUMIFS(tblSafetyHistory[LTI],tblSafetyHistory[Month],"&gt;="&amp;EDATE($E327,-12),tblSafetyHistory[Month],"&lt;"&amp;$E327,tblSafetyHistory[Use],1))/(SUMIFS(tblSafety[Hours_Total],tblSafety[Date],"&gt;="&amp;EDATE($E327,-12),tblSafety[Date],"&lt;="&amp;$A327)+SUMIFS(tblSafetyHistory[Hours_Total],tblSafetyHistory[Month],"&gt;="&amp;EDATE($E327,-12),tblSafetyHistory[Month],"&lt;"&amp;$E327,tblSafetyHistory[Use],1))*cfg_RateBasisHours,"")</f>
        <v/>
      </c>
      <c r="IR327" s="62">
        <f>IF(MAX(N(cfg_PriorLTIDate),_xlfn.MAXIFS(tblSafety[Date],tblSafety[LTI],"&gt;0",tblSafety[Date],"&lt;="&amp;$A327))=0,"",$A327-MAX(N(cfg_PriorLTIDate),_xlfn.MAXIFS(tblSafety[Date],tblSafety[LTI],"&gt;0",tblSafety[Date],"&lt;="&amp;$A327)))</f>
        <v/>
      </c>
      <c r="IS327" s="55">
        <f>SUMIFS(tblBudget[Ore_Mined_t],tblBudget[Month],$E327)</f>
        <v/>
      </c>
      <c r="IT327" s="55">
        <f>$IS327*$C327/$D327</f>
        <v/>
      </c>
      <c r="IU327" s="55">
        <f>SUMIFS(tblBudget[Ore_Mined_t],tblBudget[Month],"&lt;"&amp;$E327)+$IT327</f>
        <v/>
      </c>
      <c r="IV327" s="55">
        <f>SUMIFS(tblBudget[Ore_oz],tblBudget[Month],$E327)</f>
        <v/>
      </c>
      <c r="IW327" s="55">
        <f>$IV327*$C327/$D327</f>
        <v/>
      </c>
      <c r="IX327" s="55">
        <f>SUMIFS(tblBudget[Ore_oz],tblBudget[Month],"&lt;"&amp;$E327)+$IW327</f>
        <v/>
      </c>
      <c r="IY327" s="55">
        <f>SUMIFS(tblBudget[Ore_Mined_t],tblBudget[Month],$E327)</f>
        <v/>
      </c>
      <c r="IZ327" s="55">
        <f>$IY327*$C327/$D327</f>
        <v/>
      </c>
      <c r="JA327" s="55">
        <f>SUMIFS(tblBudget[Ore_Mined_t],tblBudget[Month],"&lt;"&amp;$E327)+$IZ327</f>
        <v/>
      </c>
      <c r="JB327" s="56">
        <f>IFERROR(IF(($IY327)&gt;0,($IV327*cfg_TroyOz)/($IY327),""),"")</f>
        <v/>
      </c>
      <c r="JC327" s="56">
        <f>IFERROR(IF(($IZ327)&gt;0,($IW327*cfg_TroyOz)/($IZ327),""),"")</f>
        <v/>
      </c>
      <c r="JD327" s="56">
        <f>IFERROR(IF(($JA327)&gt;0,($IX327*cfg_TroyOz)/($JA327),""),"")</f>
        <v/>
      </c>
      <c r="JE327" s="55">
        <f>SUMIFS(tblBudget[Waste_t],tblBudget[Month],$E327)</f>
        <v/>
      </c>
      <c r="JF327" s="55">
        <f>$JE327*$C327/$D327</f>
        <v/>
      </c>
      <c r="JG327" s="55">
        <f>SUMIFS(tblBudget[Waste_t],tblBudget[Month],"&lt;"&amp;$E327)+$JF327</f>
        <v/>
      </c>
      <c r="JH327" s="55">
        <f>SUMIFS(tblBudget[TMM_t],tblBudget[Month],$E327)</f>
        <v/>
      </c>
      <c r="JI327" s="55">
        <f>$JH327*$C327/$D327</f>
        <v/>
      </c>
      <c r="JJ327" s="55">
        <f>SUMIFS(tblBudget[TMM_t],tblBudget[Month],"&lt;"&amp;$E327)+$JI327</f>
        <v/>
      </c>
      <c r="JK327" s="56">
        <f>IFERROR(IF(($IS327)&gt;0,($JE327)/($IS327),""),"")</f>
        <v/>
      </c>
      <c r="JL327" s="56">
        <f>IFERROR(IF(($IT327)&gt;0,($JF327)/($IT327),""),"")</f>
        <v/>
      </c>
      <c r="JM327" s="56">
        <f>IFERROR(IF(($IU327)&gt;0,($JG327)/($IU327),""),"")</f>
        <v/>
      </c>
      <c r="JN327" s="55">
        <f>SUMIFS(tblBudget[Drill_m],tblBudget[Month],$E327)</f>
        <v/>
      </c>
      <c r="JO327" s="55">
        <f>$JN327*$C327/$D327</f>
        <v/>
      </c>
      <c r="JP327" s="55">
        <f>SUMIFS(tblBudget[Drill_m],tblBudget[Month],"&lt;"&amp;$E327)+$JO327</f>
        <v/>
      </c>
      <c r="JQ327" s="55">
        <f>SUMIFS(tblBudget[Diesel_L],tblBudget[Month],$E327)</f>
        <v/>
      </c>
      <c r="JR327" s="55">
        <f>$JQ327*$C327/$D327</f>
        <v/>
      </c>
      <c r="JS327" s="55">
        <f>SUMIFS(tblBudget[Diesel_L],tblBudget[Month],"&lt;"&amp;$E327)+$JR327</f>
        <v/>
      </c>
      <c r="JT327" s="55">
        <f>SUMIFS(tblBudget[Milled_t],tblBudget[Month],$E327)</f>
        <v/>
      </c>
      <c r="JU327" s="55">
        <f>$JT327*$C327/$D327</f>
        <v/>
      </c>
      <c r="JV327" s="55">
        <f>SUMIFS(tblBudget[Milled_t],tblBudget[Month],"&lt;"&amp;$E327)+$JU327</f>
        <v/>
      </c>
      <c r="JW327" s="55">
        <f>SUMIFS(tblBudget[Feed_oz],tblBudget[Month],$E327)</f>
        <v/>
      </c>
      <c r="JX327" s="55">
        <f>$JW327*$C327/$D327</f>
        <v/>
      </c>
      <c r="JY327" s="55">
        <f>SUMIFS(tblBudget[Feed_oz],tblBudget[Month],"&lt;"&amp;$E327)+$JX327</f>
        <v/>
      </c>
      <c r="JZ327" s="55">
        <f>SUMIFS(tblBudget[Recovered_oz],tblBudget[Month],$E327)</f>
        <v/>
      </c>
      <c r="KA327" s="55">
        <f>$JZ327*$C327/$D327</f>
        <v/>
      </c>
      <c r="KB327" s="55">
        <f>SUMIFS(tblBudget[Recovered_oz],tblBudget[Month],"&lt;"&amp;$E327)+$KA327</f>
        <v/>
      </c>
      <c r="KC327" s="55">
        <f>SUMIFS(tblBudget[Milled_t],tblBudget[Month],$E327)</f>
        <v/>
      </c>
      <c r="KD327" s="55">
        <f>$KC327*$C327/$D327</f>
        <v/>
      </c>
      <c r="KE327" s="55">
        <f>SUMIFS(tblBudget[Milled_t],tblBudget[Month],"&lt;"&amp;$E327)+$KD327</f>
        <v/>
      </c>
      <c r="KF327" s="55">
        <f>SUMIFS(tblBudget[Feed_oz],tblBudget[Month],$E327)</f>
        <v/>
      </c>
      <c r="KG327" s="55">
        <f>$KF327*$C327/$D327</f>
        <v/>
      </c>
      <c r="KH327" s="55">
        <f>SUMIFS(tblBudget[Feed_oz],tblBudget[Month],"&lt;"&amp;$E327)+$KG327</f>
        <v/>
      </c>
      <c r="KI327" s="56">
        <f>IFERROR(IF(($KC327)&gt;0,($JW327*cfg_TroyOz)/($KC327),""),"")</f>
        <v/>
      </c>
      <c r="KJ327" s="56">
        <f>IFERROR(IF(($KD327)&gt;0,($JX327*cfg_TroyOz)/($KD327),""),"")</f>
        <v/>
      </c>
      <c r="KK327" s="56">
        <f>IFERROR(IF(($KE327)&gt;0,($JY327*cfg_TroyOz)/($KE327),""),"")</f>
        <v/>
      </c>
      <c r="KL327" s="67">
        <f>IFERROR(IF(($KF327)&gt;0,($JZ327)/($KF327),""),"")</f>
        <v/>
      </c>
      <c r="KM327" s="67">
        <f>IFERROR(IF(($KG327)&gt;0,($KA327)/($KG327),""),"")</f>
        <v/>
      </c>
      <c r="KN327" s="67">
        <f>IFERROR(IF(($KH327)&gt;0,($KB327)/($KH327),""),"")</f>
        <v/>
      </c>
      <c r="KO327" s="55">
        <f>SUMIFS(tblBudget[Gold_Poured_oz],tblBudget[Month],$E327)</f>
        <v/>
      </c>
      <c r="KP327" s="55">
        <f>$KO327*$C327/$D327</f>
        <v/>
      </c>
      <c r="KQ327" s="55">
        <f>SUMIFS(tblBudget[Gold_Poured_oz],tblBudget[Month],"&lt;"&amp;$E327)+$KP327</f>
        <v/>
      </c>
      <c r="KR327" s="57">
        <f>SUMIFS(tblBudget[Hours_Worked],tblBudget[Month],$E327)</f>
        <v/>
      </c>
      <c r="KS327" s="57">
        <f>$KR327*$C327/$D327</f>
        <v/>
      </c>
      <c r="KT327" s="57">
        <f>SUMIFS(tblBudget[Hours_Worked],tblBudget[Month],"&lt;"&amp;$E327)+$KS327</f>
        <v/>
      </c>
    </row>
    <row r="328">
      <c r="A328" s="54" t="n">
        <v>46349</v>
      </c>
      <c r="B328">
        <f>MONTH($A328)</f>
        <v/>
      </c>
      <c r="C328">
        <f>DAY($A328)</f>
        <v/>
      </c>
      <c r="D328">
        <f>DAY(EOMONTH($A328,0))</f>
        <v/>
      </c>
      <c r="E328" s="54">
        <f>DATE(YEAR($A328),MONTH($A328),1)</f>
        <v/>
      </c>
      <c r="F328" s="55">
        <f>SUMIFS(tblMovement[Tonnes_t],tblMovement[Date],$A328,tblMovement[Is_Ore],1,tblMovement[Source_Type],"Pit")</f>
        <v/>
      </c>
      <c r="G328" s="55">
        <f>IF($B328=$B327,$G327,0)+$F328</f>
        <v/>
      </c>
      <c r="H328" s="55">
        <f>$H327+$F328</f>
        <v/>
      </c>
      <c r="I328" s="55">
        <f>SUMIFS(tblMovement[Ore_oz],tblMovement[Date],$A328,tblMovement[Source_Type],"Pit")</f>
        <v/>
      </c>
      <c r="J328" s="55">
        <f>IF($B328=$B327,$J327,0)+$I328</f>
        <v/>
      </c>
      <c r="K328" s="55">
        <f>$K327+$I328</f>
        <v/>
      </c>
      <c r="L328" s="55">
        <f>SUMIFS(tblMovement[Tonnes_t],tblMovement[Date],$A328,tblMovement[Is_Ore],1,tblMovement[Source_Type],"Pit",tblMovement[Grade_gpt],"&lt;&gt;")</f>
        <v/>
      </c>
      <c r="M328" s="55">
        <f>IF($B328=$B327,$M327,0)+$L328</f>
        <v/>
      </c>
      <c r="N328" s="55">
        <f>$N327+$L328</f>
        <v/>
      </c>
      <c r="O328" s="56">
        <f>IFERROR(IF(($L328)&gt;0,($I328*cfg_TroyOz)/($L328),""),"")</f>
        <v/>
      </c>
      <c r="P328" s="56">
        <f>IFERROR(IF(($M328)&gt;0,($J328*cfg_TroyOz)/($M328),""),"")</f>
        <v/>
      </c>
      <c r="Q328" s="56">
        <f>IFERROR(IF(($N328)&gt;0,($K328*cfg_TroyOz)/($N328),""),"")</f>
        <v/>
      </c>
      <c r="R328" s="55">
        <f>$F328-$L328</f>
        <v/>
      </c>
      <c r="S328" s="55">
        <f>IF($B328=$B327,$S327,0)+$R328</f>
        <v/>
      </c>
      <c r="T328" s="55">
        <f>$T327+$R328</f>
        <v/>
      </c>
      <c r="U328" s="55">
        <f>SUMIFS(tblMovement[Tonnes_t],tblMovement[Date],$A328,tblMovement[Is_Ore],0,tblMovement[Source_Type],"Pit")</f>
        <v/>
      </c>
      <c r="V328" s="55">
        <f>IF($B328=$B327,$V327,0)+$U328</f>
        <v/>
      </c>
      <c r="W328" s="55">
        <f>$W327+$U328</f>
        <v/>
      </c>
      <c r="X328" s="55">
        <f>$F328+$U328</f>
        <v/>
      </c>
      <c r="Y328" s="55">
        <f>IF($B328=$B327,$Y327,0)+$X328</f>
        <v/>
      </c>
      <c r="Z328" s="55">
        <f>$Z327+$X328</f>
        <v/>
      </c>
      <c r="AA328" s="56">
        <f>IFERROR(IF(($F328)&gt;0,($U328)/($F328),""),"")</f>
        <v/>
      </c>
      <c r="AB328" s="56">
        <f>IFERROR(IF(($G328)&gt;0,($V328)/($G328),""),"")</f>
        <v/>
      </c>
      <c r="AC328" s="56">
        <f>IFERROR(IF(($H328)&gt;0,($W328)/($H328),""),"")</f>
        <v/>
      </c>
      <c r="AD328" s="55">
        <f>SUMIFS(tblMovement[Tonnes_t],tblMovement[Date],$A328,tblMovement[Source_Type],"Stockpile")</f>
        <v/>
      </c>
      <c r="AE328" s="55">
        <f>IF($B328=$B327,$AE327,0)+$AD328</f>
        <v/>
      </c>
      <c r="AF328" s="55">
        <f>$AF327+$AD328</f>
        <v/>
      </c>
      <c r="AG328" s="55">
        <f>SUMIFS(tblMovement[Tonnes_t],tblMovement[Date],$A328)</f>
        <v/>
      </c>
      <c r="AH328" s="55">
        <f>IF($B328=$B327,$AH327,0)+$AG328</f>
        <v/>
      </c>
      <c r="AI328" s="55">
        <f>$AI327+$AG328</f>
        <v/>
      </c>
      <c r="AJ328" s="55">
        <f>$AG328-$X328-$AD328</f>
        <v/>
      </c>
      <c r="AK328" s="55">
        <f>IF($B328=$B327,$AK327,0)+$AJ328</f>
        <v/>
      </c>
      <c r="AL328" s="55">
        <f>$AL327+$AJ328</f>
        <v/>
      </c>
      <c r="AM328" s="55">
        <f>SUMIFS(tblMiningDaily[Drill_m],tblMiningDaily[Date],$A328)</f>
        <v/>
      </c>
      <c r="AN328" s="55">
        <f>IF($B328=$B327,$AN327,0)+$AM328</f>
        <v/>
      </c>
      <c r="AO328" s="55">
        <f>$AO327+$AM328</f>
        <v/>
      </c>
      <c r="AP328" s="55">
        <f>SUMIFS(tblMiningDaily[GC_Drill_m],tblMiningDaily[Date],$A328)</f>
        <v/>
      </c>
      <c r="AQ328" s="55">
        <f>IF($B328=$B327,$AQ327,0)+$AP328</f>
        <v/>
      </c>
      <c r="AR328" s="55">
        <f>$AR327+$AP328</f>
        <v/>
      </c>
      <c r="AS328" s="55">
        <f>SUMIFS(tblMiningDaily[Blast_t],tblMiningDaily[Date],$A328)</f>
        <v/>
      </c>
      <c r="AT328" s="55">
        <f>IF($B328=$B327,$AT327,0)+$AS328</f>
        <v/>
      </c>
      <c r="AU328" s="55">
        <f>$AU327+$AS328</f>
        <v/>
      </c>
      <c r="AV328" s="55">
        <f>SUMIFS(tblMiningDaily[Explosives_kg],tblMiningDaily[Date],$A328)</f>
        <v/>
      </c>
      <c r="AW328" s="55">
        <f>IF($B328=$B327,$AW327,0)+$AV328</f>
        <v/>
      </c>
      <c r="AX328" s="55">
        <f>$AX327+$AV328</f>
        <v/>
      </c>
      <c r="AY328" s="56">
        <f>IFERROR(IF(($AS328)&gt;0,($AV328)/($AS328),""),"")</f>
        <v/>
      </c>
      <c r="AZ328" s="56">
        <f>IFERROR(IF(($AT328)&gt;0,($AW328)/($AT328),""),"")</f>
        <v/>
      </c>
      <c r="BA328" s="56">
        <f>IFERROR(IF(($AU328)&gt;0,($AX328)/($AU328),""),"")</f>
        <v/>
      </c>
      <c r="BB328" s="55">
        <f>SUMIFS(tblMiningDaily[Diesel_L],tblMiningDaily[Date],$A328)</f>
        <v/>
      </c>
      <c r="BC328" s="55">
        <f>IF($B328=$B327,$BC327,0)+$BB328</f>
        <v/>
      </c>
      <c r="BD328" s="55">
        <f>$BD327+$BB328</f>
        <v/>
      </c>
      <c r="BE328" s="55">
        <f>SUMIFS(tblMiningDaily[Dewatering_m3],tblMiningDaily[Date],$A328)</f>
        <v/>
      </c>
      <c r="BF328" s="55">
        <f>IF($B328=$B327,$BF327,0)+$BE328</f>
        <v/>
      </c>
      <c r="BG328" s="55">
        <f>$BG327+$BE328</f>
        <v/>
      </c>
      <c r="BH328" s="57">
        <f>SUMIFS(tblFleet[Calendar_h],tblFleet[Date],$A328,tblFleet[Equipment_Class],"Excavator")</f>
        <v/>
      </c>
      <c r="BI328" s="57">
        <f>IF($B328=$B327,$BI327,0)+$BH328</f>
        <v/>
      </c>
      <c r="BJ328" s="57">
        <f>$BJ327+$BH328</f>
        <v/>
      </c>
      <c r="BK328" s="57">
        <f>SUMIFS(tblFleet[Available_h],tblFleet[Date],$A328,tblFleet[Equipment_Class],"Excavator")</f>
        <v/>
      </c>
      <c r="BL328" s="57">
        <f>IF($B328=$B327,$BL327,0)+$BK328</f>
        <v/>
      </c>
      <c r="BM328" s="57">
        <f>$BM327+$BK328</f>
        <v/>
      </c>
      <c r="BN328" s="57">
        <f>SUMIFS(tblFleet[Operating_h],tblFleet[Date],$A328,tblFleet[Equipment_Class],"Excavator")</f>
        <v/>
      </c>
      <c r="BO328" s="57">
        <f>IF($B328=$B327,$BO327,0)+$BN328</f>
        <v/>
      </c>
      <c r="BP328" s="57">
        <f>$BP327+$BN328</f>
        <v/>
      </c>
      <c r="BQ328" s="67">
        <f>IFERROR(IF(($BH328)&gt;0,($BK328)/($BH328),""),"")</f>
        <v/>
      </c>
      <c r="BR328" s="67">
        <f>IFERROR(IF(($BI328)&gt;0,($BL328)/($BI328),""),"")</f>
        <v/>
      </c>
      <c r="BS328" s="67">
        <f>IFERROR(IF(($BJ328)&gt;0,($BM328)/($BJ328),""),"")</f>
        <v/>
      </c>
      <c r="BT328" s="67">
        <f>IFERROR(IF(($BK328)&gt;0,($BN328)/($BK328),""),"")</f>
        <v/>
      </c>
      <c r="BU328" s="67">
        <f>IFERROR(IF(($BL328)&gt;0,($BO328)/($BL328),""),"")</f>
        <v/>
      </c>
      <c r="BV328" s="67">
        <f>IFERROR(IF(($BM328)&gt;0,($BP328)/($BM328),""),"")</f>
        <v/>
      </c>
      <c r="BW328" s="57">
        <f>SUMIFS(tblFleet[Calendar_h],tblFleet[Date],$A328,tblFleet[Equipment_Class],"Haul Truck")</f>
        <v/>
      </c>
      <c r="BX328" s="57">
        <f>IF($B328=$B327,$BX327,0)+$BW328</f>
        <v/>
      </c>
      <c r="BY328" s="57">
        <f>$BY327+$BW328</f>
        <v/>
      </c>
      <c r="BZ328" s="57">
        <f>SUMIFS(tblFleet[Available_h],tblFleet[Date],$A328,tblFleet[Equipment_Class],"Haul Truck")</f>
        <v/>
      </c>
      <c r="CA328" s="57">
        <f>IF($B328=$B327,$CA327,0)+$BZ328</f>
        <v/>
      </c>
      <c r="CB328" s="57">
        <f>$CB327+$BZ328</f>
        <v/>
      </c>
      <c r="CC328" s="57">
        <f>SUMIFS(tblFleet[Operating_h],tblFleet[Date],$A328,tblFleet[Equipment_Class],"Haul Truck")</f>
        <v/>
      </c>
      <c r="CD328" s="57">
        <f>IF($B328=$B327,$CD327,0)+$CC328</f>
        <v/>
      </c>
      <c r="CE328" s="57">
        <f>$CE327+$CC328</f>
        <v/>
      </c>
      <c r="CF328" s="67">
        <f>IFERROR(IF(($BW328)&gt;0,($BZ328)/($BW328),""),"")</f>
        <v/>
      </c>
      <c r="CG328" s="67">
        <f>IFERROR(IF(($BX328)&gt;0,($CA328)/($BX328),""),"")</f>
        <v/>
      </c>
      <c r="CH328" s="67">
        <f>IFERROR(IF(($BY328)&gt;0,($CB328)/($BY328),""),"")</f>
        <v/>
      </c>
      <c r="CI328" s="67">
        <f>IFERROR(IF(($BZ328)&gt;0,($CC328)/($BZ328),""),"")</f>
        <v/>
      </c>
      <c r="CJ328" s="67">
        <f>IFERROR(IF(($CA328)&gt;0,($CD328)/($CA328),""),"")</f>
        <v/>
      </c>
      <c r="CK328" s="67">
        <f>IFERROR(IF(($CB328)&gt;0,($CE328)/($CB328),""),"")</f>
        <v/>
      </c>
      <c r="CL328" s="55">
        <f>IFERROR(IF(($BN328)&gt;0,($X328+$AD328)/($BN328),""),"")</f>
        <v/>
      </c>
      <c r="CM328" s="55">
        <f>IFERROR(IF(($BO328)&gt;0,($Y328+$AE328)/($BO328),""),"")</f>
        <v/>
      </c>
      <c r="CN328" s="55">
        <f>IFERROR(IF(($BP328)&gt;0,($Z328+$AF328)/($BP328),""),"")</f>
        <v/>
      </c>
      <c r="CO328" s="55">
        <f>IFERROR(IF(($CC328)&gt;0,($X328+$AD328)/($CC328),""),"")</f>
        <v/>
      </c>
      <c r="CP328" s="55">
        <f>IFERROR(IF(($CD328)&gt;0,($Y328+$AE328)/($CD328),""),"")</f>
        <v/>
      </c>
      <c r="CQ328" s="55">
        <f>IFERROR(IF(($CE328)&gt;0,($Z328+$AF328)/($CE328),""),"")</f>
        <v/>
      </c>
      <c r="CR328" s="55">
        <f>SUMIFS(tblPlant[Crushed_t],tblPlant[Date],$A328)</f>
        <v/>
      </c>
      <c r="CS328" s="55">
        <f>IF($B328=$B327,$CS327,0)+$CR328</f>
        <v/>
      </c>
      <c r="CT328" s="55">
        <f>$CT327+$CR328</f>
        <v/>
      </c>
      <c r="CU328" s="55">
        <f>SUMIFS(tblPlant[Milled_t],tblPlant[Date],$A328)</f>
        <v/>
      </c>
      <c r="CV328" s="55">
        <f>IF($B328=$B327,$CV327,0)+$CU328</f>
        <v/>
      </c>
      <c r="CW328" s="55">
        <f>$CW327+$CU328</f>
        <v/>
      </c>
      <c r="CX328" s="55">
        <f>SUMIFS(tblPlant[Feed_oz],tblPlant[Date],$A328)</f>
        <v/>
      </c>
      <c r="CY328" s="55">
        <f>IF($B328=$B327,$CY327,0)+$CX328</f>
        <v/>
      </c>
      <c r="CZ328" s="55">
        <f>$CZ327+$CX328</f>
        <v/>
      </c>
      <c r="DA328" s="55">
        <f>SUMIFS(tblPlant[Tails_oz],tblPlant[Date],$A328)</f>
        <v/>
      </c>
      <c r="DB328" s="55">
        <f>IF($B328=$B327,$DB327,0)+$DA328</f>
        <v/>
      </c>
      <c r="DC328" s="55">
        <f>$DC327+$DA328</f>
        <v/>
      </c>
      <c r="DD328" s="55">
        <f>SUMIFS(tblPlant[Recovered_oz],tblPlant[Date],$A328)</f>
        <v/>
      </c>
      <c r="DE328" s="55">
        <f>IF($B328=$B327,$DE327,0)+$DD328</f>
        <v/>
      </c>
      <c r="DF328" s="55">
        <f>$DF327+$DD328</f>
        <v/>
      </c>
      <c r="DG328" s="55">
        <f>SUMIFS(tblPlant[Milled_t],tblPlant[Date],$A328,tblPlant[Head_Grade_gpt],"&lt;&gt;")</f>
        <v/>
      </c>
      <c r="DH328" s="55">
        <f>IF($B328=$B327,$DH327,0)+$DG328</f>
        <v/>
      </c>
      <c r="DI328" s="55">
        <f>$DI327+$DG328</f>
        <v/>
      </c>
      <c r="DJ328" s="55">
        <f>SUMIFS(tblPlant[Milled_t],tblPlant[Date],$A328,tblPlant[Tails_Grade_gpt],"&lt;&gt;")</f>
        <v/>
      </c>
      <c r="DK328" s="55">
        <f>IF($B328=$B327,$DK327,0)+$DJ328</f>
        <v/>
      </c>
      <c r="DL328" s="55">
        <f>$DL327+$DJ328</f>
        <v/>
      </c>
      <c r="DM328" s="55">
        <f>SUMIFS(tblPlant[Feed_oz],tblPlant[Date],$A328,tblPlant[Tails_Grade_gpt],"&lt;&gt;")</f>
        <v/>
      </c>
      <c r="DN328" s="55">
        <f>IF($B328=$B327,$DN327,0)+$DM328</f>
        <v/>
      </c>
      <c r="DO328" s="55">
        <f>$DO327+$DM328</f>
        <v/>
      </c>
      <c r="DP328" s="55">
        <f>SUMIFS(tblPlant[Milled_t],tblPlant[Date],$A328,tblPlant[Mill_Run_h],"&lt;&gt;")</f>
        <v/>
      </c>
      <c r="DQ328" s="55">
        <f>IF($B328=$B327,$DQ327,0)+$DP328</f>
        <v/>
      </c>
      <c r="DR328" s="55">
        <f>$DR327+$DP328</f>
        <v/>
      </c>
      <c r="DS328" s="56">
        <f>IFERROR(IF(($DG328)&gt;0,($CX328*cfg_TroyOz)/($DG328),""),"")</f>
        <v/>
      </c>
      <c r="DT328" s="56">
        <f>IFERROR(IF(($DH328)&gt;0,($CY328*cfg_TroyOz)/($DH328),""),"")</f>
        <v/>
      </c>
      <c r="DU328" s="56">
        <f>IFERROR(IF(($DI328)&gt;0,($CZ328*cfg_TroyOz)/($DI328),""),"")</f>
        <v/>
      </c>
      <c r="DV328" s="56">
        <f>IFERROR(IF(($DJ328)&gt;0,($DA328*cfg_TroyOz)/($DJ328),""),"")</f>
        <v/>
      </c>
      <c r="DW328" s="56">
        <f>IFERROR(IF(($DK328)&gt;0,($DB328*cfg_TroyOz)/($DK328),""),"")</f>
        <v/>
      </c>
      <c r="DX328" s="56">
        <f>IFERROR(IF(($DL328)&gt;0,($DC328*cfg_TroyOz)/($DL328),""),"")</f>
        <v/>
      </c>
      <c r="DY328" s="67">
        <f>IFERROR(IF(($DM328)&gt;0,($DD328)/($DM328),""),"")</f>
        <v/>
      </c>
      <c r="DZ328" s="67">
        <f>IFERROR(IF(($DN328)&gt;0,($DE328)/($DN328),""),"")</f>
        <v/>
      </c>
      <c r="EA328" s="67">
        <f>IFERROR(IF(($DO328)&gt;0,($DF328)/($DO328),""),"")</f>
        <v/>
      </c>
      <c r="EB328" s="55">
        <f>SUMIFS(tblPlant[Gravity_Gold_oz],tblPlant[Date],$A328)</f>
        <v/>
      </c>
      <c r="EC328" s="55">
        <f>IF($B328=$B327,$EC327,0)+$EB328</f>
        <v/>
      </c>
      <c r="ED328" s="55">
        <f>$ED327+$EB328</f>
        <v/>
      </c>
      <c r="EE328" s="67">
        <f>IFERROR(IF(($DD328)&gt;0,($EB328)/($DD328),""),"")</f>
        <v/>
      </c>
      <c r="EF328" s="67">
        <f>IFERROR(IF(($DE328)&gt;0,($EC328)/($DE328),""),"")</f>
        <v/>
      </c>
      <c r="EG328" s="67">
        <f>IFERROR(IF(($DF328)&gt;0,($ED328)/($DF328),""),"")</f>
        <v/>
      </c>
      <c r="EH328" s="55">
        <f>SUMIFS(tblPlant[Gold_Poured_oz],tblPlant[Date],$A328)</f>
        <v/>
      </c>
      <c r="EI328" s="55">
        <f>IF($B328=$B327,$EI327,0)+$EH328</f>
        <v/>
      </c>
      <c r="EJ328" s="55">
        <f>$EJ327+$EH328</f>
        <v/>
      </c>
      <c r="EK328" s="57">
        <f>SUMIFS(tblPlant[Mill_Run_h],tblPlant[Date],$A328)</f>
        <v/>
      </c>
      <c r="EL328" s="57">
        <f>IF($B328=$B327,$EL327,0)+$EK328</f>
        <v/>
      </c>
      <c r="EM328" s="57">
        <f>$EM327+$EK328</f>
        <v/>
      </c>
      <c r="EN328" s="57">
        <f>SUMIFS(tblPlant[Mill_Planned_Maint_h],tblPlant[Date],$A328)</f>
        <v/>
      </c>
      <c r="EO328" s="57">
        <f>IF($B328=$B327,$EO327,0)+$EN328</f>
        <v/>
      </c>
      <c r="EP328" s="57">
        <f>$EP327+$EN328</f>
        <v/>
      </c>
      <c r="EQ328" s="57">
        <f>SUMIFS(tblPlant[Mill_Unplanned_Down_h],tblPlant[Date],$A328)</f>
        <v/>
      </c>
      <c r="ER328" s="57">
        <f>IF($B328=$B327,$ER327,0)+$EQ328</f>
        <v/>
      </c>
      <c r="ES328" s="57">
        <f>$ES327+$EQ328</f>
        <v/>
      </c>
      <c r="ET328" s="57">
        <f>IF(COUNTIFS(tblPlant[Date],$A328,tblPlant[Mill_Run_h],"&lt;&gt;")+COUNTIFS(tblPlant[Date],$A328,tblPlant[Mill_Planned_Maint_h],"&lt;&gt;")+COUNTIFS(tblPlant[Date],$A328,tblPlant[Mill_Unplanned_Down_h],"&lt;&gt;")&gt;0,cfg_HoursPerDay,0)</f>
        <v/>
      </c>
      <c r="EU328" s="57">
        <f>IF($B328=$B327,$EU327,0)+$ET328</f>
        <v/>
      </c>
      <c r="EV328" s="57">
        <f>$EV327+$ET328</f>
        <v/>
      </c>
      <c r="EW328" s="57">
        <f>SUMIFS(tblPlant[Crusher_Run_h],tblPlant[Date],$A328)</f>
        <v/>
      </c>
      <c r="EX328" s="57">
        <f>IF($B328=$B327,$EX327,0)+$EW328</f>
        <v/>
      </c>
      <c r="EY328" s="57">
        <f>$EY327+$EW328</f>
        <v/>
      </c>
      <c r="EZ328" s="55">
        <f>IFERROR(IF(($EK328)&gt;0,($DP328)/($EK328),""),"")</f>
        <v/>
      </c>
      <c r="FA328" s="55">
        <f>IFERROR(IF(($EL328)&gt;0,($DQ328)/($EL328),""),"")</f>
        <v/>
      </c>
      <c r="FB328" s="55">
        <f>IFERROR(IF(($EM328)&gt;0,($DR328)/($EM328),""),"")</f>
        <v/>
      </c>
      <c r="FC328" s="67">
        <f>IFERROR(IF(($ET328)&gt;0,($ET328-$EN328-$EQ328)/($ET328),""),"")</f>
        <v/>
      </c>
      <c r="FD328" s="67">
        <f>IFERROR(IF(($EU328)&gt;0,($EU328-$EO328-$ER328)/($EU328),""),"")</f>
        <v/>
      </c>
      <c r="FE328" s="67">
        <f>IFERROR(IF(($EV328)&gt;0,($EV328-$EP328-$ES328)/($EV328),""),"")</f>
        <v/>
      </c>
      <c r="FF328" s="67">
        <f>IFERROR(IF(($ET328-$EN328-$EQ328)&gt;0,($EK328)/($ET328-$EN328-$EQ328),""),"")</f>
        <v/>
      </c>
      <c r="FG328" s="67">
        <f>IFERROR(IF(($EU328-$EO328-$ER328)&gt;0,($EL328)/($EU328-$EO328-$ER328),""),"")</f>
        <v/>
      </c>
      <c r="FH328" s="67">
        <f>IFERROR(IF(($EV328-$EP328-$ES328)&gt;0,($EM328)/($EV328-$EP328-$ES328),""),"")</f>
        <v/>
      </c>
      <c r="FI328" s="55">
        <f>SUMIFS(tblPlant[Cyanide_kg],tblPlant[Date],$A328)</f>
        <v/>
      </c>
      <c r="FJ328" s="55">
        <f>IF($B328=$B327,$FJ327,0)+$FI328</f>
        <v/>
      </c>
      <c r="FK328" s="55">
        <f>$FK327+$FI328</f>
        <v/>
      </c>
      <c r="FL328" s="55">
        <f>SUMIFS(tblPlant[Lime_kg],tblPlant[Date],$A328)</f>
        <v/>
      </c>
      <c r="FM328" s="55">
        <f>IF($B328=$B327,$FM327,0)+$FL328</f>
        <v/>
      </c>
      <c r="FN328" s="55">
        <f>$FN327+$FL328</f>
        <v/>
      </c>
      <c r="FO328" s="55">
        <f>SUMIFS(tblPlant[Grinding_Media_kg],tblPlant[Date],$A328)</f>
        <v/>
      </c>
      <c r="FP328" s="55">
        <f>IF($B328=$B327,$FP327,0)+$FO328</f>
        <v/>
      </c>
      <c r="FQ328" s="55">
        <f>$FQ327+$FO328</f>
        <v/>
      </c>
      <c r="FR328" s="55">
        <f>SUMIFS(tblPlant[Power_kWh],tblPlant[Date],$A328)</f>
        <v/>
      </c>
      <c r="FS328" s="55">
        <f>IF($B328=$B327,$FS327,0)+$FR328</f>
        <v/>
      </c>
      <c r="FT328" s="55">
        <f>$FT327+$FR328</f>
        <v/>
      </c>
      <c r="FU328" s="55">
        <f>SUMIFS(tblPlant[Raw_Water_m3],tblPlant[Date],$A328)</f>
        <v/>
      </c>
      <c r="FV328" s="55">
        <f>IF($B328=$B327,$FV327,0)+$FU328</f>
        <v/>
      </c>
      <c r="FW328" s="55">
        <f>$FW327+$FU328</f>
        <v/>
      </c>
      <c r="FX328" s="56">
        <f>IFERROR(IF(($CU328)&gt;0,($FI328)/($CU328),""),"")</f>
        <v/>
      </c>
      <c r="FY328" s="56">
        <f>IFERROR(IF(($CV328)&gt;0,($FJ328)/($CV328),""),"")</f>
        <v/>
      </c>
      <c r="FZ328" s="56">
        <f>IFERROR(IF(($CW328)&gt;0,($FK328)/($CW328),""),"")</f>
        <v/>
      </c>
      <c r="GA328" s="56">
        <f>IFERROR(IF(($CU328)&gt;0,($FL328)/($CU328),""),"")</f>
        <v/>
      </c>
      <c r="GB328" s="56">
        <f>IFERROR(IF(($CV328)&gt;0,($FM328)/($CV328),""),"")</f>
        <v/>
      </c>
      <c r="GC328" s="56">
        <f>IFERROR(IF(($CW328)&gt;0,($FN328)/($CW328),""),"")</f>
        <v/>
      </c>
      <c r="GD328" s="56">
        <f>IFERROR(IF(($CU328)&gt;0,($FO328)/($CU328),""),"")</f>
        <v/>
      </c>
      <c r="GE328" s="56">
        <f>IFERROR(IF(($CV328)&gt;0,($FP328)/($CV328),""),"")</f>
        <v/>
      </c>
      <c r="GF328" s="56">
        <f>IFERROR(IF(($CW328)&gt;0,($FQ328)/($CW328),""),"")</f>
        <v/>
      </c>
      <c r="GG328" s="79">
        <f>IFERROR(IF(($CU328)&gt;0,($FR328)/($CU328),""),"")</f>
        <v/>
      </c>
      <c r="GH328" s="79">
        <f>IFERROR(IF(($CV328)&gt;0,($FS328)/($CV328),""),"")</f>
        <v/>
      </c>
      <c r="GI328" s="79">
        <f>IFERROR(IF(($CW328)&gt;0,($FT328)/($CW328),""),"")</f>
        <v/>
      </c>
      <c r="GJ328" s="56">
        <f>IFERROR(IF(($CU328)&gt;0,($FU328)/($CU328),""),"")</f>
        <v/>
      </c>
      <c r="GK328" s="56">
        <f>IFERROR(IF(($CV328)&gt;0,($FV328)/($CV328),""),"")</f>
        <v/>
      </c>
      <c r="GL328" s="56">
        <f>IFERROR(IF(($CW328)&gt;0,($FW328)/($CW328),""),"")</f>
        <v/>
      </c>
      <c r="GM328" s="55">
        <f>IF(SUMIFS(tblPlant[GIC_oz],tblPlant[Date],$A328)&gt;0,SUMIFS(tblPlant[GIC_oz],tblPlant[Date],$A328),"")</f>
        <v/>
      </c>
      <c r="GN328" s="55">
        <f>SUMIFS(tblGold[Gold_oz],tblGold[Date],$A328,tblGold[Type],"Shipment")</f>
        <v/>
      </c>
      <c r="GO328" s="55">
        <f>IF($B328=$B327,$GO327,0)+$GN328</f>
        <v/>
      </c>
      <c r="GP328" s="55">
        <f>$GP327+$GN328</f>
        <v/>
      </c>
      <c r="GQ328" s="55">
        <f>SUMIFS(tblGold[Gold_oz],tblGold[Date],$A328,tblGold[Type],"Sale")</f>
        <v/>
      </c>
      <c r="GR328" s="55">
        <f>IF($B328=$B327,$GR327,0)+$GQ328</f>
        <v/>
      </c>
      <c r="GS328" s="55">
        <f>$GS327+$GQ328</f>
        <v/>
      </c>
      <c r="GT328" s="55">
        <f>SUMIFS(tblGold[Dore_kg],tblGold[Date],$A328,tblGold[Type],"Shipment")</f>
        <v/>
      </c>
      <c r="GU328" s="55">
        <f>IF($B328=$B327,$GU327,0)+$GT328</f>
        <v/>
      </c>
      <c r="GV328" s="55">
        <f>$GV327+$GT328</f>
        <v/>
      </c>
      <c r="GW328" s="57">
        <f>SUMIFS(tblSafety[Hours_Total],tblSafety[Date],$A328)</f>
        <v/>
      </c>
      <c r="GX328" s="57">
        <f>IF($B328=$B327,$GX327,0)+$GW328</f>
        <v/>
      </c>
      <c r="GY328" s="57">
        <f>$GY327+$GW328</f>
        <v/>
      </c>
      <c r="GZ328" s="62">
        <f>SUMIFS(tblSafety[Fatality],tblSafety[Date],$A328)</f>
        <v/>
      </c>
      <c r="HA328" s="62">
        <f>IF($B328=$B327,$HA327,0)+$GZ328</f>
        <v/>
      </c>
      <c r="HB328" s="62">
        <f>$HB327+$GZ328</f>
        <v/>
      </c>
      <c r="HC328" s="62">
        <f>SUMIFS(tblSafety[LTI],tblSafety[Date],$A328)</f>
        <v/>
      </c>
      <c r="HD328" s="62">
        <f>IF($B328=$B327,$HD327,0)+$HC328</f>
        <v/>
      </c>
      <c r="HE328" s="62">
        <f>$HE327+$HC328</f>
        <v/>
      </c>
      <c r="HF328" s="62">
        <f>SUMIFS(tblSafety[RWI],tblSafety[Date],$A328)</f>
        <v/>
      </c>
      <c r="HG328" s="62">
        <f>IF($B328=$B327,$HG327,0)+$HF328</f>
        <v/>
      </c>
      <c r="HH328" s="62">
        <f>$HH327+$HF328</f>
        <v/>
      </c>
      <c r="HI328" s="62">
        <f>SUMIFS(tblSafety[MTI],tblSafety[Date],$A328)</f>
        <v/>
      </c>
      <c r="HJ328" s="62">
        <f>IF($B328=$B327,$HJ327,0)+$HI328</f>
        <v/>
      </c>
      <c r="HK328" s="62">
        <f>$HK327+$HI328</f>
        <v/>
      </c>
      <c r="HL328" s="62">
        <f>SUMIFS(tblSafety[FAI],tblSafety[Date],$A328)</f>
        <v/>
      </c>
      <c r="HM328" s="62">
        <f>IF($B328=$B327,$HM327,0)+$HL328</f>
        <v/>
      </c>
      <c r="HN328" s="62">
        <f>$HN327+$HL328</f>
        <v/>
      </c>
      <c r="HO328" s="62">
        <f>SUMIFS(tblSafety[Recordables],tblSafety[Date],$A328)</f>
        <v/>
      </c>
      <c r="HP328" s="62">
        <f>IF($B328=$B327,$HP327,0)+$HO328</f>
        <v/>
      </c>
      <c r="HQ328" s="62">
        <f>$HQ327+$HO328</f>
        <v/>
      </c>
      <c r="HR328" s="62">
        <f>SUMIFS(tblSafety[Near_Miss],tblSafety[Date],$A328)</f>
        <v/>
      </c>
      <c r="HS328" s="62">
        <f>IF($B328=$B327,$HS327,0)+$HR328</f>
        <v/>
      </c>
      <c r="HT328" s="62">
        <f>$HT327+$HR328</f>
        <v/>
      </c>
      <c r="HU328" s="62">
        <f>SUMIFS(tblSafety[Hazard_Reports],tblSafety[Date],$A328)</f>
        <v/>
      </c>
      <c r="HV328" s="62">
        <f>IF($B328=$B327,$HV327,0)+$HU328</f>
        <v/>
      </c>
      <c r="HW328" s="62">
        <f>$HW327+$HU328</f>
        <v/>
      </c>
      <c r="HX328" s="62">
        <f>SUMIFS(tblSafety[HPI],tblSafety[Date],$A328)</f>
        <v/>
      </c>
      <c r="HY328" s="62">
        <f>IF($B328=$B327,$HY327,0)+$HX328</f>
        <v/>
      </c>
      <c r="HZ328" s="62">
        <f>$HZ327+$HX328</f>
        <v/>
      </c>
      <c r="IA328" s="62">
        <f>SUMIFS(tblSafety[Env_Incidents],tblSafety[Date],$A328)</f>
        <v/>
      </c>
      <c r="IB328" s="62">
        <f>IF($B328=$B327,$IB327,0)+$IA328</f>
        <v/>
      </c>
      <c r="IC328" s="62">
        <f>$IC327+$IA328</f>
        <v/>
      </c>
      <c r="ID328" s="62">
        <f>SUMIFS(tblSafety[Community_Incidents],tblSafety[Date],$A328)</f>
        <v/>
      </c>
      <c r="IE328" s="62">
        <f>IF($B328=$B327,$IE327,0)+$ID328</f>
        <v/>
      </c>
      <c r="IF328" s="62">
        <f>$IF327+$ID328</f>
        <v/>
      </c>
      <c r="IG328" s="62">
        <f>SUMIFS(tblSafety[Vehicle_Incidents],tblSafety[Date],$A328)</f>
        <v/>
      </c>
      <c r="IH328" s="62">
        <f>IF($B328=$B327,$IH327,0)+$IG328</f>
        <v/>
      </c>
      <c r="II328" s="62">
        <f>$II327+$IG328</f>
        <v/>
      </c>
      <c r="IJ328" s="62">
        <f>SUMIFS(tblSafety[Toolbox_Talks],tblSafety[Date],$A328)</f>
        <v/>
      </c>
      <c r="IK328" s="62">
        <f>IF($B328=$B327,$IK327,0)+$IJ328</f>
        <v/>
      </c>
      <c r="IL328" s="62">
        <f>$IL327+$IJ328</f>
        <v/>
      </c>
      <c r="IM328" s="62">
        <f>SUMIFS(tblSafety[Inspections],tblSafety[Date],$A328)</f>
        <v/>
      </c>
      <c r="IN328" s="62">
        <f>IF($B328=$B327,$IN327,0)+$IM328</f>
        <v/>
      </c>
      <c r="IO328" s="62">
        <f>$IO327+$IM328</f>
        <v/>
      </c>
      <c r="IP328" s="56">
        <f>IFERROR((SUMIFS(tblSafety[Recordables],tblSafety[Date],"&gt;="&amp;EDATE($E328,-12),tblSafety[Date],"&lt;="&amp;$A328)+SUMIFS(tblSafetyHistory[Recordables],tblSafetyHistory[Month],"&gt;="&amp;EDATE($E328,-12),tblSafetyHistory[Month],"&lt;"&amp;$E328,tblSafetyHistory[Use],1))/(SUMIFS(tblSafety[Hours_Total],tblSafety[Date],"&gt;="&amp;EDATE($E328,-12),tblSafety[Date],"&lt;="&amp;$A328)+SUMIFS(tblSafetyHistory[Hours_Total],tblSafetyHistory[Month],"&gt;="&amp;EDATE($E328,-12),tblSafetyHistory[Month],"&lt;"&amp;$E328,tblSafetyHistory[Use],1))*cfg_RateBasisHours,"")</f>
        <v/>
      </c>
      <c r="IQ328" s="56">
        <f>IFERROR((SUMIFS(tblSafety[LTI],tblSafety[Date],"&gt;="&amp;EDATE($E328,-12),tblSafety[Date],"&lt;="&amp;$A328)+SUMIFS(tblSafetyHistory[LTI],tblSafetyHistory[Month],"&gt;="&amp;EDATE($E328,-12),tblSafetyHistory[Month],"&lt;"&amp;$E328,tblSafetyHistory[Use],1))/(SUMIFS(tblSafety[Hours_Total],tblSafety[Date],"&gt;="&amp;EDATE($E328,-12),tblSafety[Date],"&lt;="&amp;$A328)+SUMIFS(tblSafetyHistory[Hours_Total],tblSafetyHistory[Month],"&gt;="&amp;EDATE($E328,-12),tblSafetyHistory[Month],"&lt;"&amp;$E328,tblSafetyHistory[Use],1))*cfg_RateBasisHours,"")</f>
        <v/>
      </c>
      <c r="IR328" s="62">
        <f>IF(MAX(N(cfg_PriorLTIDate),_xlfn.MAXIFS(tblSafety[Date],tblSafety[LTI],"&gt;0",tblSafety[Date],"&lt;="&amp;$A328))=0,"",$A328-MAX(N(cfg_PriorLTIDate),_xlfn.MAXIFS(tblSafety[Date],tblSafety[LTI],"&gt;0",tblSafety[Date],"&lt;="&amp;$A328)))</f>
        <v/>
      </c>
      <c r="IS328" s="55">
        <f>SUMIFS(tblBudget[Ore_Mined_t],tblBudget[Month],$E328)</f>
        <v/>
      </c>
      <c r="IT328" s="55">
        <f>$IS328*$C328/$D328</f>
        <v/>
      </c>
      <c r="IU328" s="55">
        <f>SUMIFS(tblBudget[Ore_Mined_t],tblBudget[Month],"&lt;"&amp;$E328)+$IT328</f>
        <v/>
      </c>
      <c r="IV328" s="55">
        <f>SUMIFS(tblBudget[Ore_oz],tblBudget[Month],$E328)</f>
        <v/>
      </c>
      <c r="IW328" s="55">
        <f>$IV328*$C328/$D328</f>
        <v/>
      </c>
      <c r="IX328" s="55">
        <f>SUMIFS(tblBudget[Ore_oz],tblBudget[Month],"&lt;"&amp;$E328)+$IW328</f>
        <v/>
      </c>
      <c r="IY328" s="55">
        <f>SUMIFS(tblBudget[Ore_Mined_t],tblBudget[Month],$E328)</f>
        <v/>
      </c>
      <c r="IZ328" s="55">
        <f>$IY328*$C328/$D328</f>
        <v/>
      </c>
      <c r="JA328" s="55">
        <f>SUMIFS(tblBudget[Ore_Mined_t],tblBudget[Month],"&lt;"&amp;$E328)+$IZ328</f>
        <v/>
      </c>
      <c r="JB328" s="56">
        <f>IFERROR(IF(($IY328)&gt;0,($IV328*cfg_TroyOz)/($IY328),""),"")</f>
        <v/>
      </c>
      <c r="JC328" s="56">
        <f>IFERROR(IF(($IZ328)&gt;0,($IW328*cfg_TroyOz)/($IZ328),""),"")</f>
        <v/>
      </c>
      <c r="JD328" s="56">
        <f>IFERROR(IF(($JA328)&gt;0,($IX328*cfg_TroyOz)/($JA328),""),"")</f>
        <v/>
      </c>
      <c r="JE328" s="55">
        <f>SUMIFS(tblBudget[Waste_t],tblBudget[Month],$E328)</f>
        <v/>
      </c>
      <c r="JF328" s="55">
        <f>$JE328*$C328/$D328</f>
        <v/>
      </c>
      <c r="JG328" s="55">
        <f>SUMIFS(tblBudget[Waste_t],tblBudget[Month],"&lt;"&amp;$E328)+$JF328</f>
        <v/>
      </c>
      <c r="JH328" s="55">
        <f>SUMIFS(tblBudget[TMM_t],tblBudget[Month],$E328)</f>
        <v/>
      </c>
      <c r="JI328" s="55">
        <f>$JH328*$C328/$D328</f>
        <v/>
      </c>
      <c r="JJ328" s="55">
        <f>SUMIFS(tblBudget[TMM_t],tblBudget[Month],"&lt;"&amp;$E328)+$JI328</f>
        <v/>
      </c>
      <c r="JK328" s="56">
        <f>IFERROR(IF(($IS328)&gt;0,($JE328)/($IS328),""),"")</f>
        <v/>
      </c>
      <c r="JL328" s="56">
        <f>IFERROR(IF(($IT328)&gt;0,($JF328)/($IT328),""),"")</f>
        <v/>
      </c>
      <c r="JM328" s="56">
        <f>IFERROR(IF(($IU328)&gt;0,($JG328)/($IU328),""),"")</f>
        <v/>
      </c>
      <c r="JN328" s="55">
        <f>SUMIFS(tblBudget[Drill_m],tblBudget[Month],$E328)</f>
        <v/>
      </c>
      <c r="JO328" s="55">
        <f>$JN328*$C328/$D328</f>
        <v/>
      </c>
      <c r="JP328" s="55">
        <f>SUMIFS(tblBudget[Drill_m],tblBudget[Month],"&lt;"&amp;$E328)+$JO328</f>
        <v/>
      </c>
      <c r="JQ328" s="55">
        <f>SUMIFS(tblBudget[Diesel_L],tblBudget[Month],$E328)</f>
        <v/>
      </c>
      <c r="JR328" s="55">
        <f>$JQ328*$C328/$D328</f>
        <v/>
      </c>
      <c r="JS328" s="55">
        <f>SUMIFS(tblBudget[Diesel_L],tblBudget[Month],"&lt;"&amp;$E328)+$JR328</f>
        <v/>
      </c>
      <c r="JT328" s="55">
        <f>SUMIFS(tblBudget[Milled_t],tblBudget[Month],$E328)</f>
        <v/>
      </c>
      <c r="JU328" s="55">
        <f>$JT328*$C328/$D328</f>
        <v/>
      </c>
      <c r="JV328" s="55">
        <f>SUMIFS(tblBudget[Milled_t],tblBudget[Month],"&lt;"&amp;$E328)+$JU328</f>
        <v/>
      </c>
      <c r="JW328" s="55">
        <f>SUMIFS(tblBudget[Feed_oz],tblBudget[Month],$E328)</f>
        <v/>
      </c>
      <c r="JX328" s="55">
        <f>$JW328*$C328/$D328</f>
        <v/>
      </c>
      <c r="JY328" s="55">
        <f>SUMIFS(tblBudget[Feed_oz],tblBudget[Month],"&lt;"&amp;$E328)+$JX328</f>
        <v/>
      </c>
      <c r="JZ328" s="55">
        <f>SUMIFS(tblBudget[Recovered_oz],tblBudget[Month],$E328)</f>
        <v/>
      </c>
      <c r="KA328" s="55">
        <f>$JZ328*$C328/$D328</f>
        <v/>
      </c>
      <c r="KB328" s="55">
        <f>SUMIFS(tblBudget[Recovered_oz],tblBudget[Month],"&lt;"&amp;$E328)+$KA328</f>
        <v/>
      </c>
      <c r="KC328" s="55">
        <f>SUMIFS(tblBudget[Milled_t],tblBudget[Month],$E328)</f>
        <v/>
      </c>
      <c r="KD328" s="55">
        <f>$KC328*$C328/$D328</f>
        <v/>
      </c>
      <c r="KE328" s="55">
        <f>SUMIFS(tblBudget[Milled_t],tblBudget[Month],"&lt;"&amp;$E328)+$KD328</f>
        <v/>
      </c>
      <c r="KF328" s="55">
        <f>SUMIFS(tblBudget[Feed_oz],tblBudget[Month],$E328)</f>
        <v/>
      </c>
      <c r="KG328" s="55">
        <f>$KF328*$C328/$D328</f>
        <v/>
      </c>
      <c r="KH328" s="55">
        <f>SUMIFS(tblBudget[Feed_oz],tblBudget[Month],"&lt;"&amp;$E328)+$KG328</f>
        <v/>
      </c>
      <c r="KI328" s="56">
        <f>IFERROR(IF(($KC328)&gt;0,($JW328*cfg_TroyOz)/($KC328),""),"")</f>
        <v/>
      </c>
      <c r="KJ328" s="56">
        <f>IFERROR(IF(($KD328)&gt;0,($JX328*cfg_TroyOz)/($KD328),""),"")</f>
        <v/>
      </c>
      <c r="KK328" s="56">
        <f>IFERROR(IF(($KE328)&gt;0,($JY328*cfg_TroyOz)/($KE328),""),"")</f>
        <v/>
      </c>
      <c r="KL328" s="67">
        <f>IFERROR(IF(($KF328)&gt;0,($JZ328)/($KF328),""),"")</f>
        <v/>
      </c>
      <c r="KM328" s="67">
        <f>IFERROR(IF(($KG328)&gt;0,($KA328)/($KG328),""),"")</f>
        <v/>
      </c>
      <c r="KN328" s="67">
        <f>IFERROR(IF(($KH328)&gt;0,($KB328)/($KH328),""),"")</f>
        <v/>
      </c>
      <c r="KO328" s="55">
        <f>SUMIFS(tblBudget[Gold_Poured_oz],tblBudget[Month],$E328)</f>
        <v/>
      </c>
      <c r="KP328" s="55">
        <f>$KO328*$C328/$D328</f>
        <v/>
      </c>
      <c r="KQ328" s="55">
        <f>SUMIFS(tblBudget[Gold_Poured_oz],tblBudget[Month],"&lt;"&amp;$E328)+$KP328</f>
        <v/>
      </c>
      <c r="KR328" s="57">
        <f>SUMIFS(tblBudget[Hours_Worked],tblBudget[Month],$E328)</f>
        <v/>
      </c>
      <c r="KS328" s="57">
        <f>$KR328*$C328/$D328</f>
        <v/>
      </c>
      <c r="KT328" s="57">
        <f>SUMIFS(tblBudget[Hours_Worked],tblBudget[Month],"&lt;"&amp;$E328)+$KS328</f>
        <v/>
      </c>
    </row>
    <row r="329">
      <c r="A329" s="54" t="n">
        <v>46350</v>
      </c>
      <c r="B329">
        <f>MONTH($A329)</f>
        <v/>
      </c>
      <c r="C329">
        <f>DAY($A329)</f>
        <v/>
      </c>
      <c r="D329">
        <f>DAY(EOMONTH($A329,0))</f>
        <v/>
      </c>
      <c r="E329" s="54">
        <f>DATE(YEAR($A329),MONTH($A329),1)</f>
        <v/>
      </c>
      <c r="F329" s="55">
        <f>SUMIFS(tblMovement[Tonnes_t],tblMovement[Date],$A329,tblMovement[Is_Ore],1,tblMovement[Source_Type],"Pit")</f>
        <v/>
      </c>
      <c r="G329" s="55">
        <f>IF($B329=$B328,$G328,0)+$F329</f>
        <v/>
      </c>
      <c r="H329" s="55">
        <f>$H328+$F329</f>
        <v/>
      </c>
      <c r="I329" s="55">
        <f>SUMIFS(tblMovement[Ore_oz],tblMovement[Date],$A329,tblMovement[Source_Type],"Pit")</f>
        <v/>
      </c>
      <c r="J329" s="55">
        <f>IF($B329=$B328,$J328,0)+$I329</f>
        <v/>
      </c>
      <c r="K329" s="55">
        <f>$K328+$I329</f>
        <v/>
      </c>
      <c r="L329" s="55">
        <f>SUMIFS(tblMovement[Tonnes_t],tblMovement[Date],$A329,tblMovement[Is_Ore],1,tblMovement[Source_Type],"Pit",tblMovement[Grade_gpt],"&lt;&gt;")</f>
        <v/>
      </c>
      <c r="M329" s="55">
        <f>IF($B329=$B328,$M328,0)+$L329</f>
        <v/>
      </c>
      <c r="N329" s="55">
        <f>$N328+$L329</f>
        <v/>
      </c>
      <c r="O329" s="56">
        <f>IFERROR(IF(($L329)&gt;0,($I329*cfg_TroyOz)/($L329),""),"")</f>
        <v/>
      </c>
      <c r="P329" s="56">
        <f>IFERROR(IF(($M329)&gt;0,($J329*cfg_TroyOz)/($M329),""),"")</f>
        <v/>
      </c>
      <c r="Q329" s="56">
        <f>IFERROR(IF(($N329)&gt;0,($K329*cfg_TroyOz)/($N329),""),"")</f>
        <v/>
      </c>
      <c r="R329" s="55">
        <f>$F329-$L329</f>
        <v/>
      </c>
      <c r="S329" s="55">
        <f>IF($B329=$B328,$S328,0)+$R329</f>
        <v/>
      </c>
      <c r="T329" s="55">
        <f>$T328+$R329</f>
        <v/>
      </c>
      <c r="U329" s="55">
        <f>SUMIFS(tblMovement[Tonnes_t],tblMovement[Date],$A329,tblMovement[Is_Ore],0,tblMovement[Source_Type],"Pit")</f>
        <v/>
      </c>
      <c r="V329" s="55">
        <f>IF($B329=$B328,$V328,0)+$U329</f>
        <v/>
      </c>
      <c r="W329" s="55">
        <f>$W328+$U329</f>
        <v/>
      </c>
      <c r="X329" s="55">
        <f>$F329+$U329</f>
        <v/>
      </c>
      <c r="Y329" s="55">
        <f>IF($B329=$B328,$Y328,0)+$X329</f>
        <v/>
      </c>
      <c r="Z329" s="55">
        <f>$Z328+$X329</f>
        <v/>
      </c>
      <c r="AA329" s="56">
        <f>IFERROR(IF(($F329)&gt;0,($U329)/($F329),""),"")</f>
        <v/>
      </c>
      <c r="AB329" s="56">
        <f>IFERROR(IF(($G329)&gt;0,($V329)/($G329),""),"")</f>
        <v/>
      </c>
      <c r="AC329" s="56">
        <f>IFERROR(IF(($H329)&gt;0,($W329)/($H329),""),"")</f>
        <v/>
      </c>
      <c r="AD329" s="55">
        <f>SUMIFS(tblMovement[Tonnes_t],tblMovement[Date],$A329,tblMovement[Source_Type],"Stockpile")</f>
        <v/>
      </c>
      <c r="AE329" s="55">
        <f>IF($B329=$B328,$AE328,0)+$AD329</f>
        <v/>
      </c>
      <c r="AF329" s="55">
        <f>$AF328+$AD329</f>
        <v/>
      </c>
      <c r="AG329" s="55">
        <f>SUMIFS(tblMovement[Tonnes_t],tblMovement[Date],$A329)</f>
        <v/>
      </c>
      <c r="AH329" s="55">
        <f>IF($B329=$B328,$AH328,0)+$AG329</f>
        <v/>
      </c>
      <c r="AI329" s="55">
        <f>$AI328+$AG329</f>
        <v/>
      </c>
      <c r="AJ329" s="55">
        <f>$AG329-$X329-$AD329</f>
        <v/>
      </c>
      <c r="AK329" s="55">
        <f>IF($B329=$B328,$AK328,0)+$AJ329</f>
        <v/>
      </c>
      <c r="AL329" s="55">
        <f>$AL328+$AJ329</f>
        <v/>
      </c>
      <c r="AM329" s="55">
        <f>SUMIFS(tblMiningDaily[Drill_m],tblMiningDaily[Date],$A329)</f>
        <v/>
      </c>
      <c r="AN329" s="55">
        <f>IF($B329=$B328,$AN328,0)+$AM329</f>
        <v/>
      </c>
      <c r="AO329" s="55">
        <f>$AO328+$AM329</f>
        <v/>
      </c>
      <c r="AP329" s="55">
        <f>SUMIFS(tblMiningDaily[GC_Drill_m],tblMiningDaily[Date],$A329)</f>
        <v/>
      </c>
      <c r="AQ329" s="55">
        <f>IF($B329=$B328,$AQ328,0)+$AP329</f>
        <v/>
      </c>
      <c r="AR329" s="55">
        <f>$AR328+$AP329</f>
        <v/>
      </c>
      <c r="AS329" s="55">
        <f>SUMIFS(tblMiningDaily[Blast_t],tblMiningDaily[Date],$A329)</f>
        <v/>
      </c>
      <c r="AT329" s="55">
        <f>IF($B329=$B328,$AT328,0)+$AS329</f>
        <v/>
      </c>
      <c r="AU329" s="55">
        <f>$AU328+$AS329</f>
        <v/>
      </c>
      <c r="AV329" s="55">
        <f>SUMIFS(tblMiningDaily[Explosives_kg],tblMiningDaily[Date],$A329)</f>
        <v/>
      </c>
      <c r="AW329" s="55">
        <f>IF($B329=$B328,$AW328,0)+$AV329</f>
        <v/>
      </c>
      <c r="AX329" s="55">
        <f>$AX328+$AV329</f>
        <v/>
      </c>
      <c r="AY329" s="56">
        <f>IFERROR(IF(($AS329)&gt;0,($AV329)/($AS329),""),"")</f>
        <v/>
      </c>
      <c r="AZ329" s="56">
        <f>IFERROR(IF(($AT329)&gt;0,($AW329)/($AT329),""),"")</f>
        <v/>
      </c>
      <c r="BA329" s="56">
        <f>IFERROR(IF(($AU329)&gt;0,($AX329)/($AU329),""),"")</f>
        <v/>
      </c>
      <c r="BB329" s="55">
        <f>SUMIFS(tblMiningDaily[Diesel_L],tblMiningDaily[Date],$A329)</f>
        <v/>
      </c>
      <c r="BC329" s="55">
        <f>IF($B329=$B328,$BC328,0)+$BB329</f>
        <v/>
      </c>
      <c r="BD329" s="55">
        <f>$BD328+$BB329</f>
        <v/>
      </c>
      <c r="BE329" s="55">
        <f>SUMIFS(tblMiningDaily[Dewatering_m3],tblMiningDaily[Date],$A329)</f>
        <v/>
      </c>
      <c r="BF329" s="55">
        <f>IF($B329=$B328,$BF328,0)+$BE329</f>
        <v/>
      </c>
      <c r="BG329" s="55">
        <f>$BG328+$BE329</f>
        <v/>
      </c>
      <c r="BH329" s="57">
        <f>SUMIFS(tblFleet[Calendar_h],tblFleet[Date],$A329,tblFleet[Equipment_Class],"Excavator")</f>
        <v/>
      </c>
      <c r="BI329" s="57">
        <f>IF($B329=$B328,$BI328,0)+$BH329</f>
        <v/>
      </c>
      <c r="BJ329" s="57">
        <f>$BJ328+$BH329</f>
        <v/>
      </c>
      <c r="BK329" s="57">
        <f>SUMIFS(tblFleet[Available_h],tblFleet[Date],$A329,tblFleet[Equipment_Class],"Excavator")</f>
        <v/>
      </c>
      <c r="BL329" s="57">
        <f>IF($B329=$B328,$BL328,0)+$BK329</f>
        <v/>
      </c>
      <c r="BM329" s="57">
        <f>$BM328+$BK329</f>
        <v/>
      </c>
      <c r="BN329" s="57">
        <f>SUMIFS(tblFleet[Operating_h],tblFleet[Date],$A329,tblFleet[Equipment_Class],"Excavator")</f>
        <v/>
      </c>
      <c r="BO329" s="57">
        <f>IF($B329=$B328,$BO328,0)+$BN329</f>
        <v/>
      </c>
      <c r="BP329" s="57">
        <f>$BP328+$BN329</f>
        <v/>
      </c>
      <c r="BQ329" s="67">
        <f>IFERROR(IF(($BH329)&gt;0,($BK329)/($BH329),""),"")</f>
        <v/>
      </c>
      <c r="BR329" s="67">
        <f>IFERROR(IF(($BI329)&gt;0,($BL329)/($BI329),""),"")</f>
        <v/>
      </c>
      <c r="BS329" s="67">
        <f>IFERROR(IF(($BJ329)&gt;0,($BM329)/($BJ329),""),"")</f>
        <v/>
      </c>
      <c r="BT329" s="67">
        <f>IFERROR(IF(($BK329)&gt;0,($BN329)/($BK329),""),"")</f>
        <v/>
      </c>
      <c r="BU329" s="67">
        <f>IFERROR(IF(($BL329)&gt;0,($BO329)/($BL329),""),"")</f>
        <v/>
      </c>
      <c r="BV329" s="67">
        <f>IFERROR(IF(($BM329)&gt;0,($BP329)/($BM329),""),"")</f>
        <v/>
      </c>
      <c r="BW329" s="57">
        <f>SUMIFS(tblFleet[Calendar_h],tblFleet[Date],$A329,tblFleet[Equipment_Class],"Haul Truck")</f>
        <v/>
      </c>
      <c r="BX329" s="57">
        <f>IF($B329=$B328,$BX328,0)+$BW329</f>
        <v/>
      </c>
      <c r="BY329" s="57">
        <f>$BY328+$BW329</f>
        <v/>
      </c>
      <c r="BZ329" s="57">
        <f>SUMIFS(tblFleet[Available_h],tblFleet[Date],$A329,tblFleet[Equipment_Class],"Haul Truck")</f>
        <v/>
      </c>
      <c r="CA329" s="57">
        <f>IF($B329=$B328,$CA328,0)+$BZ329</f>
        <v/>
      </c>
      <c r="CB329" s="57">
        <f>$CB328+$BZ329</f>
        <v/>
      </c>
      <c r="CC329" s="57">
        <f>SUMIFS(tblFleet[Operating_h],tblFleet[Date],$A329,tblFleet[Equipment_Class],"Haul Truck")</f>
        <v/>
      </c>
      <c r="CD329" s="57">
        <f>IF($B329=$B328,$CD328,0)+$CC329</f>
        <v/>
      </c>
      <c r="CE329" s="57">
        <f>$CE328+$CC329</f>
        <v/>
      </c>
      <c r="CF329" s="67">
        <f>IFERROR(IF(($BW329)&gt;0,($BZ329)/($BW329),""),"")</f>
        <v/>
      </c>
      <c r="CG329" s="67">
        <f>IFERROR(IF(($BX329)&gt;0,($CA329)/($BX329),""),"")</f>
        <v/>
      </c>
      <c r="CH329" s="67">
        <f>IFERROR(IF(($BY329)&gt;0,($CB329)/($BY329),""),"")</f>
        <v/>
      </c>
      <c r="CI329" s="67">
        <f>IFERROR(IF(($BZ329)&gt;0,($CC329)/($BZ329),""),"")</f>
        <v/>
      </c>
      <c r="CJ329" s="67">
        <f>IFERROR(IF(($CA329)&gt;0,($CD329)/($CA329),""),"")</f>
        <v/>
      </c>
      <c r="CK329" s="67">
        <f>IFERROR(IF(($CB329)&gt;0,($CE329)/($CB329),""),"")</f>
        <v/>
      </c>
      <c r="CL329" s="55">
        <f>IFERROR(IF(($BN329)&gt;0,($X329+$AD329)/($BN329),""),"")</f>
        <v/>
      </c>
      <c r="CM329" s="55">
        <f>IFERROR(IF(($BO329)&gt;0,($Y329+$AE329)/($BO329),""),"")</f>
        <v/>
      </c>
      <c r="CN329" s="55">
        <f>IFERROR(IF(($BP329)&gt;0,($Z329+$AF329)/($BP329),""),"")</f>
        <v/>
      </c>
      <c r="CO329" s="55">
        <f>IFERROR(IF(($CC329)&gt;0,($X329+$AD329)/($CC329),""),"")</f>
        <v/>
      </c>
      <c r="CP329" s="55">
        <f>IFERROR(IF(($CD329)&gt;0,($Y329+$AE329)/($CD329),""),"")</f>
        <v/>
      </c>
      <c r="CQ329" s="55">
        <f>IFERROR(IF(($CE329)&gt;0,($Z329+$AF329)/($CE329),""),"")</f>
        <v/>
      </c>
      <c r="CR329" s="55">
        <f>SUMIFS(tblPlant[Crushed_t],tblPlant[Date],$A329)</f>
        <v/>
      </c>
      <c r="CS329" s="55">
        <f>IF($B329=$B328,$CS328,0)+$CR329</f>
        <v/>
      </c>
      <c r="CT329" s="55">
        <f>$CT328+$CR329</f>
        <v/>
      </c>
      <c r="CU329" s="55">
        <f>SUMIFS(tblPlant[Milled_t],tblPlant[Date],$A329)</f>
        <v/>
      </c>
      <c r="CV329" s="55">
        <f>IF($B329=$B328,$CV328,0)+$CU329</f>
        <v/>
      </c>
      <c r="CW329" s="55">
        <f>$CW328+$CU329</f>
        <v/>
      </c>
      <c r="CX329" s="55">
        <f>SUMIFS(tblPlant[Feed_oz],tblPlant[Date],$A329)</f>
        <v/>
      </c>
      <c r="CY329" s="55">
        <f>IF($B329=$B328,$CY328,0)+$CX329</f>
        <v/>
      </c>
      <c r="CZ329" s="55">
        <f>$CZ328+$CX329</f>
        <v/>
      </c>
      <c r="DA329" s="55">
        <f>SUMIFS(tblPlant[Tails_oz],tblPlant[Date],$A329)</f>
        <v/>
      </c>
      <c r="DB329" s="55">
        <f>IF($B329=$B328,$DB328,0)+$DA329</f>
        <v/>
      </c>
      <c r="DC329" s="55">
        <f>$DC328+$DA329</f>
        <v/>
      </c>
      <c r="DD329" s="55">
        <f>SUMIFS(tblPlant[Recovered_oz],tblPlant[Date],$A329)</f>
        <v/>
      </c>
      <c r="DE329" s="55">
        <f>IF($B329=$B328,$DE328,0)+$DD329</f>
        <v/>
      </c>
      <c r="DF329" s="55">
        <f>$DF328+$DD329</f>
        <v/>
      </c>
      <c r="DG329" s="55">
        <f>SUMIFS(tblPlant[Milled_t],tblPlant[Date],$A329,tblPlant[Head_Grade_gpt],"&lt;&gt;")</f>
        <v/>
      </c>
      <c r="DH329" s="55">
        <f>IF($B329=$B328,$DH328,0)+$DG329</f>
        <v/>
      </c>
      <c r="DI329" s="55">
        <f>$DI328+$DG329</f>
        <v/>
      </c>
      <c r="DJ329" s="55">
        <f>SUMIFS(tblPlant[Milled_t],tblPlant[Date],$A329,tblPlant[Tails_Grade_gpt],"&lt;&gt;")</f>
        <v/>
      </c>
      <c r="DK329" s="55">
        <f>IF($B329=$B328,$DK328,0)+$DJ329</f>
        <v/>
      </c>
      <c r="DL329" s="55">
        <f>$DL328+$DJ329</f>
        <v/>
      </c>
      <c r="DM329" s="55">
        <f>SUMIFS(tblPlant[Feed_oz],tblPlant[Date],$A329,tblPlant[Tails_Grade_gpt],"&lt;&gt;")</f>
        <v/>
      </c>
      <c r="DN329" s="55">
        <f>IF($B329=$B328,$DN328,0)+$DM329</f>
        <v/>
      </c>
      <c r="DO329" s="55">
        <f>$DO328+$DM329</f>
        <v/>
      </c>
      <c r="DP329" s="55">
        <f>SUMIFS(tblPlant[Milled_t],tblPlant[Date],$A329,tblPlant[Mill_Run_h],"&lt;&gt;")</f>
        <v/>
      </c>
      <c r="DQ329" s="55">
        <f>IF($B329=$B328,$DQ328,0)+$DP329</f>
        <v/>
      </c>
      <c r="DR329" s="55">
        <f>$DR328+$DP329</f>
        <v/>
      </c>
      <c r="DS329" s="56">
        <f>IFERROR(IF(($DG329)&gt;0,($CX329*cfg_TroyOz)/($DG329),""),"")</f>
        <v/>
      </c>
      <c r="DT329" s="56">
        <f>IFERROR(IF(($DH329)&gt;0,($CY329*cfg_TroyOz)/($DH329),""),"")</f>
        <v/>
      </c>
      <c r="DU329" s="56">
        <f>IFERROR(IF(($DI329)&gt;0,($CZ329*cfg_TroyOz)/($DI329),""),"")</f>
        <v/>
      </c>
      <c r="DV329" s="56">
        <f>IFERROR(IF(($DJ329)&gt;0,($DA329*cfg_TroyOz)/($DJ329),""),"")</f>
        <v/>
      </c>
      <c r="DW329" s="56">
        <f>IFERROR(IF(($DK329)&gt;0,($DB329*cfg_TroyOz)/($DK329),""),"")</f>
        <v/>
      </c>
      <c r="DX329" s="56">
        <f>IFERROR(IF(($DL329)&gt;0,($DC329*cfg_TroyOz)/($DL329),""),"")</f>
        <v/>
      </c>
      <c r="DY329" s="67">
        <f>IFERROR(IF(($DM329)&gt;0,($DD329)/($DM329),""),"")</f>
        <v/>
      </c>
      <c r="DZ329" s="67">
        <f>IFERROR(IF(($DN329)&gt;0,($DE329)/($DN329),""),"")</f>
        <v/>
      </c>
      <c r="EA329" s="67">
        <f>IFERROR(IF(($DO329)&gt;0,($DF329)/($DO329),""),"")</f>
        <v/>
      </c>
      <c r="EB329" s="55">
        <f>SUMIFS(tblPlant[Gravity_Gold_oz],tblPlant[Date],$A329)</f>
        <v/>
      </c>
      <c r="EC329" s="55">
        <f>IF($B329=$B328,$EC328,0)+$EB329</f>
        <v/>
      </c>
      <c r="ED329" s="55">
        <f>$ED328+$EB329</f>
        <v/>
      </c>
      <c r="EE329" s="67">
        <f>IFERROR(IF(($DD329)&gt;0,($EB329)/($DD329),""),"")</f>
        <v/>
      </c>
      <c r="EF329" s="67">
        <f>IFERROR(IF(($DE329)&gt;0,($EC329)/($DE329),""),"")</f>
        <v/>
      </c>
      <c r="EG329" s="67">
        <f>IFERROR(IF(($DF329)&gt;0,($ED329)/($DF329),""),"")</f>
        <v/>
      </c>
      <c r="EH329" s="55">
        <f>SUMIFS(tblPlant[Gold_Poured_oz],tblPlant[Date],$A329)</f>
        <v/>
      </c>
      <c r="EI329" s="55">
        <f>IF($B329=$B328,$EI328,0)+$EH329</f>
        <v/>
      </c>
      <c r="EJ329" s="55">
        <f>$EJ328+$EH329</f>
        <v/>
      </c>
      <c r="EK329" s="57">
        <f>SUMIFS(tblPlant[Mill_Run_h],tblPlant[Date],$A329)</f>
        <v/>
      </c>
      <c r="EL329" s="57">
        <f>IF($B329=$B328,$EL328,0)+$EK329</f>
        <v/>
      </c>
      <c r="EM329" s="57">
        <f>$EM328+$EK329</f>
        <v/>
      </c>
      <c r="EN329" s="57">
        <f>SUMIFS(tblPlant[Mill_Planned_Maint_h],tblPlant[Date],$A329)</f>
        <v/>
      </c>
      <c r="EO329" s="57">
        <f>IF($B329=$B328,$EO328,0)+$EN329</f>
        <v/>
      </c>
      <c r="EP329" s="57">
        <f>$EP328+$EN329</f>
        <v/>
      </c>
      <c r="EQ329" s="57">
        <f>SUMIFS(tblPlant[Mill_Unplanned_Down_h],tblPlant[Date],$A329)</f>
        <v/>
      </c>
      <c r="ER329" s="57">
        <f>IF($B329=$B328,$ER328,0)+$EQ329</f>
        <v/>
      </c>
      <c r="ES329" s="57">
        <f>$ES328+$EQ329</f>
        <v/>
      </c>
      <c r="ET329" s="57">
        <f>IF(COUNTIFS(tblPlant[Date],$A329,tblPlant[Mill_Run_h],"&lt;&gt;")+COUNTIFS(tblPlant[Date],$A329,tblPlant[Mill_Planned_Maint_h],"&lt;&gt;")+COUNTIFS(tblPlant[Date],$A329,tblPlant[Mill_Unplanned_Down_h],"&lt;&gt;")&gt;0,cfg_HoursPerDay,0)</f>
        <v/>
      </c>
      <c r="EU329" s="57">
        <f>IF($B329=$B328,$EU328,0)+$ET329</f>
        <v/>
      </c>
      <c r="EV329" s="57">
        <f>$EV328+$ET329</f>
        <v/>
      </c>
      <c r="EW329" s="57">
        <f>SUMIFS(tblPlant[Crusher_Run_h],tblPlant[Date],$A329)</f>
        <v/>
      </c>
      <c r="EX329" s="57">
        <f>IF($B329=$B328,$EX328,0)+$EW329</f>
        <v/>
      </c>
      <c r="EY329" s="57">
        <f>$EY328+$EW329</f>
        <v/>
      </c>
      <c r="EZ329" s="55">
        <f>IFERROR(IF(($EK329)&gt;0,($DP329)/($EK329),""),"")</f>
        <v/>
      </c>
      <c r="FA329" s="55">
        <f>IFERROR(IF(($EL329)&gt;0,($DQ329)/($EL329),""),"")</f>
        <v/>
      </c>
      <c r="FB329" s="55">
        <f>IFERROR(IF(($EM329)&gt;0,($DR329)/($EM329),""),"")</f>
        <v/>
      </c>
      <c r="FC329" s="67">
        <f>IFERROR(IF(($ET329)&gt;0,($ET329-$EN329-$EQ329)/($ET329),""),"")</f>
        <v/>
      </c>
      <c r="FD329" s="67">
        <f>IFERROR(IF(($EU329)&gt;0,($EU329-$EO329-$ER329)/($EU329),""),"")</f>
        <v/>
      </c>
      <c r="FE329" s="67">
        <f>IFERROR(IF(($EV329)&gt;0,($EV329-$EP329-$ES329)/($EV329),""),"")</f>
        <v/>
      </c>
      <c r="FF329" s="67">
        <f>IFERROR(IF(($ET329-$EN329-$EQ329)&gt;0,($EK329)/($ET329-$EN329-$EQ329),""),"")</f>
        <v/>
      </c>
      <c r="FG329" s="67">
        <f>IFERROR(IF(($EU329-$EO329-$ER329)&gt;0,($EL329)/($EU329-$EO329-$ER329),""),"")</f>
        <v/>
      </c>
      <c r="FH329" s="67">
        <f>IFERROR(IF(($EV329-$EP329-$ES329)&gt;0,($EM329)/($EV329-$EP329-$ES329),""),"")</f>
        <v/>
      </c>
      <c r="FI329" s="55">
        <f>SUMIFS(tblPlant[Cyanide_kg],tblPlant[Date],$A329)</f>
        <v/>
      </c>
      <c r="FJ329" s="55">
        <f>IF($B329=$B328,$FJ328,0)+$FI329</f>
        <v/>
      </c>
      <c r="FK329" s="55">
        <f>$FK328+$FI329</f>
        <v/>
      </c>
      <c r="FL329" s="55">
        <f>SUMIFS(tblPlant[Lime_kg],tblPlant[Date],$A329)</f>
        <v/>
      </c>
      <c r="FM329" s="55">
        <f>IF($B329=$B328,$FM328,0)+$FL329</f>
        <v/>
      </c>
      <c r="FN329" s="55">
        <f>$FN328+$FL329</f>
        <v/>
      </c>
      <c r="FO329" s="55">
        <f>SUMIFS(tblPlant[Grinding_Media_kg],tblPlant[Date],$A329)</f>
        <v/>
      </c>
      <c r="FP329" s="55">
        <f>IF($B329=$B328,$FP328,0)+$FO329</f>
        <v/>
      </c>
      <c r="FQ329" s="55">
        <f>$FQ328+$FO329</f>
        <v/>
      </c>
      <c r="FR329" s="55">
        <f>SUMIFS(tblPlant[Power_kWh],tblPlant[Date],$A329)</f>
        <v/>
      </c>
      <c r="FS329" s="55">
        <f>IF($B329=$B328,$FS328,0)+$FR329</f>
        <v/>
      </c>
      <c r="FT329" s="55">
        <f>$FT328+$FR329</f>
        <v/>
      </c>
      <c r="FU329" s="55">
        <f>SUMIFS(tblPlant[Raw_Water_m3],tblPlant[Date],$A329)</f>
        <v/>
      </c>
      <c r="FV329" s="55">
        <f>IF($B329=$B328,$FV328,0)+$FU329</f>
        <v/>
      </c>
      <c r="FW329" s="55">
        <f>$FW328+$FU329</f>
        <v/>
      </c>
      <c r="FX329" s="56">
        <f>IFERROR(IF(($CU329)&gt;0,($FI329)/($CU329),""),"")</f>
        <v/>
      </c>
      <c r="FY329" s="56">
        <f>IFERROR(IF(($CV329)&gt;0,($FJ329)/($CV329),""),"")</f>
        <v/>
      </c>
      <c r="FZ329" s="56">
        <f>IFERROR(IF(($CW329)&gt;0,($FK329)/($CW329),""),"")</f>
        <v/>
      </c>
      <c r="GA329" s="56">
        <f>IFERROR(IF(($CU329)&gt;0,($FL329)/($CU329),""),"")</f>
        <v/>
      </c>
      <c r="GB329" s="56">
        <f>IFERROR(IF(($CV329)&gt;0,($FM329)/($CV329),""),"")</f>
        <v/>
      </c>
      <c r="GC329" s="56">
        <f>IFERROR(IF(($CW329)&gt;0,($FN329)/($CW329),""),"")</f>
        <v/>
      </c>
      <c r="GD329" s="56">
        <f>IFERROR(IF(($CU329)&gt;0,($FO329)/($CU329),""),"")</f>
        <v/>
      </c>
      <c r="GE329" s="56">
        <f>IFERROR(IF(($CV329)&gt;0,($FP329)/($CV329),""),"")</f>
        <v/>
      </c>
      <c r="GF329" s="56">
        <f>IFERROR(IF(($CW329)&gt;0,($FQ329)/($CW329),""),"")</f>
        <v/>
      </c>
      <c r="GG329" s="79">
        <f>IFERROR(IF(($CU329)&gt;0,($FR329)/($CU329),""),"")</f>
        <v/>
      </c>
      <c r="GH329" s="79">
        <f>IFERROR(IF(($CV329)&gt;0,($FS329)/($CV329),""),"")</f>
        <v/>
      </c>
      <c r="GI329" s="79">
        <f>IFERROR(IF(($CW329)&gt;0,($FT329)/($CW329),""),"")</f>
        <v/>
      </c>
      <c r="GJ329" s="56">
        <f>IFERROR(IF(($CU329)&gt;0,($FU329)/($CU329),""),"")</f>
        <v/>
      </c>
      <c r="GK329" s="56">
        <f>IFERROR(IF(($CV329)&gt;0,($FV329)/($CV329),""),"")</f>
        <v/>
      </c>
      <c r="GL329" s="56">
        <f>IFERROR(IF(($CW329)&gt;0,($FW329)/($CW329),""),"")</f>
        <v/>
      </c>
      <c r="GM329" s="55">
        <f>IF(SUMIFS(tblPlant[GIC_oz],tblPlant[Date],$A329)&gt;0,SUMIFS(tblPlant[GIC_oz],tblPlant[Date],$A329),"")</f>
        <v/>
      </c>
      <c r="GN329" s="55">
        <f>SUMIFS(tblGold[Gold_oz],tblGold[Date],$A329,tblGold[Type],"Shipment")</f>
        <v/>
      </c>
      <c r="GO329" s="55">
        <f>IF($B329=$B328,$GO328,0)+$GN329</f>
        <v/>
      </c>
      <c r="GP329" s="55">
        <f>$GP328+$GN329</f>
        <v/>
      </c>
      <c r="GQ329" s="55">
        <f>SUMIFS(tblGold[Gold_oz],tblGold[Date],$A329,tblGold[Type],"Sale")</f>
        <v/>
      </c>
      <c r="GR329" s="55">
        <f>IF($B329=$B328,$GR328,0)+$GQ329</f>
        <v/>
      </c>
      <c r="GS329" s="55">
        <f>$GS328+$GQ329</f>
        <v/>
      </c>
      <c r="GT329" s="55">
        <f>SUMIFS(tblGold[Dore_kg],tblGold[Date],$A329,tblGold[Type],"Shipment")</f>
        <v/>
      </c>
      <c r="GU329" s="55">
        <f>IF($B329=$B328,$GU328,0)+$GT329</f>
        <v/>
      </c>
      <c r="GV329" s="55">
        <f>$GV328+$GT329</f>
        <v/>
      </c>
      <c r="GW329" s="57">
        <f>SUMIFS(tblSafety[Hours_Total],tblSafety[Date],$A329)</f>
        <v/>
      </c>
      <c r="GX329" s="57">
        <f>IF($B329=$B328,$GX328,0)+$GW329</f>
        <v/>
      </c>
      <c r="GY329" s="57">
        <f>$GY328+$GW329</f>
        <v/>
      </c>
      <c r="GZ329" s="62">
        <f>SUMIFS(tblSafety[Fatality],tblSafety[Date],$A329)</f>
        <v/>
      </c>
      <c r="HA329" s="62">
        <f>IF($B329=$B328,$HA328,0)+$GZ329</f>
        <v/>
      </c>
      <c r="HB329" s="62">
        <f>$HB328+$GZ329</f>
        <v/>
      </c>
      <c r="HC329" s="62">
        <f>SUMIFS(tblSafety[LTI],tblSafety[Date],$A329)</f>
        <v/>
      </c>
      <c r="HD329" s="62">
        <f>IF($B329=$B328,$HD328,0)+$HC329</f>
        <v/>
      </c>
      <c r="HE329" s="62">
        <f>$HE328+$HC329</f>
        <v/>
      </c>
      <c r="HF329" s="62">
        <f>SUMIFS(tblSafety[RWI],tblSafety[Date],$A329)</f>
        <v/>
      </c>
      <c r="HG329" s="62">
        <f>IF($B329=$B328,$HG328,0)+$HF329</f>
        <v/>
      </c>
      <c r="HH329" s="62">
        <f>$HH328+$HF329</f>
        <v/>
      </c>
      <c r="HI329" s="62">
        <f>SUMIFS(tblSafety[MTI],tblSafety[Date],$A329)</f>
        <v/>
      </c>
      <c r="HJ329" s="62">
        <f>IF($B329=$B328,$HJ328,0)+$HI329</f>
        <v/>
      </c>
      <c r="HK329" s="62">
        <f>$HK328+$HI329</f>
        <v/>
      </c>
      <c r="HL329" s="62">
        <f>SUMIFS(tblSafety[FAI],tblSafety[Date],$A329)</f>
        <v/>
      </c>
      <c r="HM329" s="62">
        <f>IF($B329=$B328,$HM328,0)+$HL329</f>
        <v/>
      </c>
      <c r="HN329" s="62">
        <f>$HN328+$HL329</f>
        <v/>
      </c>
      <c r="HO329" s="62">
        <f>SUMIFS(tblSafety[Recordables],tblSafety[Date],$A329)</f>
        <v/>
      </c>
      <c r="HP329" s="62">
        <f>IF($B329=$B328,$HP328,0)+$HO329</f>
        <v/>
      </c>
      <c r="HQ329" s="62">
        <f>$HQ328+$HO329</f>
        <v/>
      </c>
      <c r="HR329" s="62">
        <f>SUMIFS(tblSafety[Near_Miss],tblSafety[Date],$A329)</f>
        <v/>
      </c>
      <c r="HS329" s="62">
        <f>IF($B329=$B328,$HS328,0)+$HR329</f>
        <v/>
      </c>
      <c r="HT329" s="62">
        <f>$HT328+$HR329</f>
        <v/>
      </c>
      <c r="HU329" s="62">
        <f>SUMIFS(tblSafety[Hazard_Reports],tblSafety[Date],$A329)</f>
        <v/>
      </c>
      <c r="HV329" s="62">
        <f>IF($B329=$B328,$HV328,0)+$HU329</f>
        <v/>
      </c>
      <c r="HW329" s="62">
        <f>$HW328+$HU329</f>
        <v/>
      </c>
      <c r="HX329" s="62">
        <f>SUMIFS(tblSafety[HPI],tblSafety[Date],$A329)</f>
        <v/>
      </c>
      <c r="HY329" s="62">
        <f>IF($B329=$B328,$HY328,0)+$HX329</f>
        <v/>
      </c>
      <c r="HZ329" s="62">
        <f>$HZ328+$HX329</f>
        <v/>
      </c>
      <c r="IA329" s="62">
        <f>SUMIFS(tblSafety[Env_Incidents],tblSafety[Date],$A329)</f>
        <v/>
      </c>
      <c r="IB329" s="62">
        <f>IF($B329=$B328,$IB328,0)+$IA329</f>
        <v/>
      </c>
      <c r="IC329" s="62">
        <f>$IC328+$IA329</f>
        <v/>
      </c>
      <c r="ID329" s="62">
        <f>SUMIFS(tblSafety[Community_Incidents],tblSafety[Date],$A329)</f>
        <v/>
      </c>
      <c r="IE329" s="62">
        <f>IF($B329=$B328,$IE328,0)+$ID329</f>
        <v/>
      </c>
      <c r="IF329" s="62">
        <f>$IF328+$ID329</f>
        <v/>
      </c>
      <c r="IG329" s="62">
        <f>SUMIFS(tblSafety[Vehicle_Incidents],tblSafety[Date],$A329)</f>
        <v/>
      </c>
      <c r="IH329" s="62">
        <f>IF($B329=$B328,$IH328,0)+$IG329</f>
        <v/>
      </c>
      <c r="II329" s="62">
        <f>$II328+$IG329</f>
        <v/>
      </c>
      <c r="IJ329" s="62">
        <f>SUMIFS(tblSafety[Toolbox_Talks],tblSafety[Date],$A329)</f>
        <v/>
      </c>
      <c r="IK329" s="62">
        <f>IF($B329=$B328,$IK328,0)+$IJ329</f>
        <v/>
      </c>
      <c r="IL329" s="62">
        <f>$IL328+$IJ329</f>
        <v/>
      </c>
      <c r="IM329" s="62">
        <f>SUMIFS(tblSafety[Inspections],tblSafety[Date],$A329)</f>
        <v/>
      </c>
      <c r="IN329" s="62">
        <f>IF($B329=$B328,$IN328,0)+$IM329</f>
        <v/>
      </c>
      <c r="IO329" s="62">
        <f>$IO328+$IM329</f>
        <v/>
      </c>
      <c r="IP329" s="56">
        <f>IFERROR((SUMIFS(tblSafety[Recordables],tblSafety[Date],"&gt;="&amp;EDATE($E329,-12),tblSafety[Date],"&lt;="&amp;$A329)+SUMIFS(tblSafetyHistory[Recordables],tblSafetyHistory[Month],"&gt;="&amp;EDATE($E329,-12),tblSafetyHistory[Month],"&lt;"&amp;$E329,tblSafetyHistory[Use],1))/(SUMIFS(tblSafety[Hours_Total],tblSafety[Date],"&gt;="&amp;EDATE($E329,-12),tblSafety[Date],"&lt;="&amp;$A329)+SUMIFS(tblSafetyHistory[Hours_Total],tblSafetyHistory[Month],"&gt;="&amp;EDATE($E329,-12),tblSafetyHistory[Month],"&lt;"&amp;$E329,tblSafetyHistory[Use],1))*cfg_RateBasisHours,"")</f>
        <v/>
      </c>
      <c r="IQ329" s="56">
        <f>IFERROR((SUMIFS(tblSafety[LTI],tblSafety[Date],"&gt;="&amp;EDATE($E329,-12),tblSafety[Date],"&lt;="&amp;$A329)+SUMIFS(tblSafetyHistory[LTI],tblSafetyHistory[Month],"&gt;="&amp;EDATE($E329,-12),tblSafetyHistory[Month],"&lt;"&amp;$E329,tblSafetyHistory[Use],1))/(SUMIFS(tblSafety[Hours_Total],tblSafety[Date],"&gt;="&amp;EDATE($E329,-12),tblSafety[Date],"&lt;="&amp;$A329)+SUMIFS(tblSafetyHistory[Hours_Total],tblSafetyHistory[Month],"&gt;="&amp;EDATE($E329,-12),tblSafetyHistory[Month],"&lt;"&amp;$E329,tblSafetyHistory[Use],1))*cfg_RateBasisHours,"")</f>
        <v/>
      </c>
      <c r="IR329" s="62">
        <f>IF(MAX(N(cfg_PriorLTIDate),_xlfn.MAXIFS(tblSafety[Date],tblSafety[LTI],"&gt;0",tblSafety[Date],"&lt;="&amp;$A329))=0,"",$A329-MAX(N(cfg_PriorLTIDate),_xlfn.MAXIFS(tblSafety[Date],tblSafety[LTI],"&gt;0",tblSafety[Date],"&lt;="&amp;$A329)))</f>
        <v/>
      </c>
      <c r="IS329" s="55">
        <f>SUMIFS(tblBudget[Ore_Mined_t],tblBudget[Month],$E329)</f>
        <v/>
      </c>
      <c r="IT329" s="55">
        <f>$IS329*$C329/$D329</f>
        <v/>
      </c>
      <c r="IU329" s="55">
        <f>SUMIFS(tblBudget[Ore_Mined_t],tblBudget[Month],"&lt;"&amp;$E329)+$IT329</f>
        <v/>
      </c>
      <c r="IV329" s="55">
        <f>SUMIFS(tblBudget[Ore_oz],tblBudget[Month],$E329)</f>
        <v/>
      </c>
      <c r="IW329" s="55">
        <f>$IV329*$C329/$D329</f>
        <v/>
      </c>
      <c r="IX329" s="55">
        <f>SUMIFS(tblBudget[Ore_oz],tblBudget[Month],"&lt;"&amp;$E329)+$IW329</f>
        <v/>
      </c>
      <c r="IY329" s="55">
        <f>SUMIFS(tblBudget[Ore_Mined_t],tblBudget[Month],$E329)</f>
        <v/>
      </c>
      <c r="IZ329" s="55">
        <f>$IY329*$C329/$D329</f>
        <v/>
      </c>
      <c r="JA329" s="55">
        <f>SUMIFS(tblBudget[Ore_Mined_t],tblBudget[Month],"&lt;"&amp;$E329)+$IZ329</f>
        <v/>
      </c>
      <c r="JB329" s="56">
        <f>IFERROR(IF(($IY329)&gt;0,($IV329*cfg_TroyOz)/($IY329),""),"")</f>
        <v/>
      </c>
      <c r="JC329" s="56">
        <f>IFERROR(IF(($IZ329)&gt;0,($IW329*cfg_TroyOz)/($IZ329),""),"")</f>
        <v/>
      </c>
      <c r="JD329" s="56">
        <f>IFERROR(IF(($JA329)&gt;0,($IX329*cfg_TroyOz)/($JA329),""),"")</f>
        <v/>
      </c>
      <c r="JE329" s="55">
        <f>SUMIFS(tblBudget[Waste_t],tblBudget[Month],$E329)</f>
        <v/>
      </c>
      <c r="JF329" s="55">
        <f>$JE329*$C329/$D329</f>
        <v/>
      </c>
      <c r="JG329" s="55">
        <f>SUMIFS(tblBudget[Waste_t],tblBudget[Month],"&lt;"&amp;$E329)+$JF329</f>
        <v/>
      </c>
      <c r="JH329" s="55">
        <f>SUMIFS(tblBudget[TMM_t],tblBudget[Month],$E329)</f>
        <v/>
      </c>
      <c r="JI329" s="55">
        <f>$JH329*$C329/$D329</f>
        <v/>
      </c>
      <c r="JJ329" s="55">
        <f>SUMIFS(tblBudget[TMM_t],tblBudget[Month],"&lt;"&amp;$E329)+$JI329</f>
        <v/>
      </c>
      <c r="JK329" s="56">
        <f>IFERROR(IF(($IS329)&gt;0,($JE329)/($IS329),""),"")</f>
        <v/>
      </c>
      <c r="JL329" s="56">
        <f>IFERROR(IF(($IT329)&gt;0,($JF329)/($IT329),""),"")</f>
        <v/>
      </c>
      <c r="JM329" s="56">
        <f>IFERROR(IF(($IU329)&gt;0,($JG329)/($IU329),""),"")</f>
        <v/>
      </c>
      <c r="JN329" s="55">
        <f>SUMIFS(tblBudget[Drill_m],tblBudget[Month],$E329)</f>
        <v/>
      </c>
      <c r="JO329" s="55">
        <f>$JN329*$C329/$D329</f>
        <v/>
      </c>
      <c r="JP329" s="55">
        <f>SUMIFS(tblBudget[Drill_m],tblBudget[Month],"&lt;"&amp;$E329)+$JO329</f>
        <v/>
      </c>
      <c r="JQ329" s="55">
        <f>SUMIFS(tblBudget[Diesel_L],tblBudget[Month],$E329)</f>
        <v/>
      </c>
      <c r="JR329" s="55">
        <f>$JQ329*$C329/$D329</f>
        <v/>
      </c>
      <c r="JS329" s="55">
        <f>SUMIFS(tblBudget[Diesel_L],tblBudget[Month],"&lt;"&amp;$E329)+$JR329</f>
        <v/>
      </c>
      <c r="JT329" s="55">
        <f>SUMIFS(tblBudget[Milled_t],tblBudget[Month],$E329)</f>
        <v/>
      </c>
      <c r="JU329" s="55">
        <f>$JT329*$C329/$D329</f>
        <v/>
      </c>
      <c r="JV329" s="55">
        <f>SUMIFS(tblBudget[Milled_t],tblBudget[Month],"&lt;"&amp;$E329)+$JU329</f>
        <v/>
      </c>
      <c r="JW329" s="55">
        <f>SUMIFS(tblBudget[Feed_oz],tblBudget[Month],$E329)</f>
        <v/>
      </c>
      <c r="JX329" s="55">
        <f>$JW329*$C329/$D329</f>
        <v/>
      </c>
      <c r="JY329" s="55">
        <f>SUMIFS(tblBudget[Feed_oz],tblBudget[Month],"&lt;"&amp;$E329)+$JX329</f>
        <v/>
      </c>
      <c r="JZ329" s="55">
        <f>SUMIFS(tblBudget[Recovered_oz],tblBudget[Month],$E329)</f>
        <v/>
      </c>
      <c r="KA329" s="55">
        <f>$JZ329*$C329/$D329</f>
        <v/>
      </c>
      <c r="KB329" s="55">
        <f>SUMIFS(tblBudget[Recovered_oz],tblBudget[Month],"&lt;"&amp;$E329)+$KA329</f>
        <v/>
      </c>
      <c r="KC329" s="55">
        <f>SUMIFS(tblBudget[Milled_t],tblBudget[Month],$E329)</f>
        <v/>
      </c>
      <c r="KD329" s="55">
        <f>$KC329*$C329/$D329</f>
        <v/>
      </c>
      <c r="KE329" s="55">
        <f>SUMIFS(tblBudget[Milled_t],tblBudget[Month],"&lt;"&amp;$E329)+$KD329</f>
        <v/>
      </c>
      <c r="KF329" s="55">
        <f>SUMIFS(tblBudget[Feed_oz],tblBudget[Month],$E329)</f>
        <v/>
      </c>
      <c r="KG329" s="55">
        <f>$KF329*$C329/$D329</f>
        <v/>
      </c>
      <c r="KH329" s="55">
        <f>SUMIFS(tblBudget[Feed_oz],tblBudget[Month],"&lt;"&amp;$E329)+$KG329</f>
        <v/>
      </c>
      <c r="KI329" s="56">
        <f>IFERROR(IF(($KC329)&gt;0,($JW329*cfg_TroyOz)/($KC329),""),"")</f>
        <v/>
      </c>
      <c r="KJ329" s="56">
        <f>IFERROR(IF(($KD329)&gt;0,($JX329*cfg_TroyOz)/($KD329),""),"")</f>
        <v/>
      </c>
      <c r="KK329" s="56">
        <f>IFERROR(IF(($KE329)&gt;0,($JY329*cfg_TroyOz)/($KE329),""),"")</f>
        <v/>
      </c>
      <c r="KL329" s="67">
        <f>IFERROR(IF(($KF329)&gt;0,($JZ329)/($KF329),""),"")</f>
        <v/>
      </c>
      <c r="KM329" s="67">
        <f>IFERROR(IF(($KG329)&gt;0,($KA329)/($KG329),""),"")</f>
        <v/>
      </c>
      <c r="KN329" s="67">
        <f>IFERROR(IF(($KH329)&gt;0,($KB329)/($KH329),""),"")</f>
        <v/>
      </c>
      <c r="KO329" s="55">
        <f>SUMIFS(tblBudget[Gold_Poured_oz],tblBudget[Month],$E329)</f>
        <v/>
      </c>
      <c r="KP329" s="55">
        <f>$KO329*$C329/$D329</f>
        <v/>
      </c>
      <c r="KQ329" s="55">
        <f>SUMIFS(tblBudget[Gold_Poured_oz],tblBudget[Month],"&lt;"&amp;$E329)+$KP329</f>
        <v/>
      </c>
      <c r="KR329" s="57">
        <f>SUMIFS(tblBudget[Hours_Worked],tblBudget[Month],$E329)</f>
        <v/>
      </c>
      <c r="KS329" s="57">
        <f>$KR329*$C329/$D329</f>
        <v/>
      </c>
      <c r="KT329" s="57">
        <f>SUMIFS(tblBudget[Hours_Worked],tblBudget[Month],"&lt;"&amp;$E329)+$KS329</f>
        <v/>
      </c>
    </row>
    <row r="330">
      <c r="A330" s="54" t="n">
        <v>46351</v>
      </c>
      <c r="B330">
        <f>MONTH($A330)</f>
        <v/>
      </c>
      <c r="C330">
        <f>DAY($A330)</f>
        <v/>
      </c>
      <c r="D330">
        <f>DAY(EOMONTH($A330,0))</f>
        <v/>
      </c>
      <c r="E330" s="54">
        <f>DATE(YEAR($A330),MONTH($A330),1)</f>
        <v/>
      </c>
      <c r="F330" s="55">
        <f>SUMIFS(tblMovement[Tonnes_t],tblMovement[Date],$A330,tblMovement[Is_Ore],1,tblMovement[Source_Type],"Pit")</f>
        <v/>
      </c>
      <c r="G330" s="55">
        <f>IF($B330=$B329,$G329,0)+$F330</f>
        <v/>
      </c>
      <c r="H330" s="55">
        <f>$H329+$F330</f>
        <v/>
      </c>
      <c r="I330" s="55">
        <f>SUMIFS(tblMovement[Ore_oz],tblMovement[Date],$A330,tblMovement[Source_Type],"Pit")</f>
        <v/>
      </c>
      <c r="J330" s="55">
        <f>IF($B330=$B329,$J329,0)+$I330</f>
        <v/>
      </c>
      <c r="K330" s="55">
        <f>$K329+$I330</f>
        <v/>
      </c>
      <c r="L330" s="55">
        <f>SUMIFS(tblMovement[Tonnes_t],tblMovement[Date],$A330,tblMovement[Is_Ore],1,tblMovement[Source_Type],"Pit",tblMovement[Grade_gpt],"&lt;&gt;")</f>
        <v/>
      </c>
      <c r="M330" s="55">
        <f>IF($B330=$B329,$M329,0)+$L330</f>
        <v/>
      </c>
      <c r="N330" s="55">
        <f>$N329+$L330</f>
        <v/>
      </c>
      <c r="O330" s="56">
        <f>IFERROR(IF(($L330)&gt;0,($I330*cfg_TroyOz)/($L330),""),"")</f>
        <v/>
      </c>
      <c r="P330" s="56">
        <f>IFERROR(IF(($M330)&gt;0,($J330*cfg_TroyOz)/($M330),""),"")</f>
        <v/>
      </c>
      <c r="Q330" s="56">
        <f>IFERROR(IF(($N330)&gt;0,($K330*cfg_TroyOz)/($N330),""),"")</f>
        <v/>
      </c>
      <c r="R330" s="55">
        <f>$F330-$L330</f>
        <v/>
      </c>
      <c r="S330" s="55">
        <f>IF($B330=$B329,$S329,0)+$R330</f>
        <v/>
      </c>
      <c r="T330" s="55">
        <f>$T329+$R330</f>
        <v/>
      </c>
      <c r="U330" s="55">
        <f>SUMIFS(tblMovement[Tonnes_t],tblMovement[Date],$A330,tblMovement[Is_Ore],0,tblMovement[Source_Type],"Pit")</f>
        <v/>
      </c>
      <c r="V330" s="55">
        <f>IF($B330=$B329,$V329,0)+$U330</f>
        <v/>
      </c>
      <c r="W330" s="55">
        <f>$W329+$U330</f>
        <v/>
      </c>
      <c r="X330" s="55">
        <f>$F330+$U330</f>
        <v/>
      </c>
      <c r="Y330" s="55">
        <f>IF($B330=$B329,$Y329,0)+$X330</f>
        <v/>
      </c>
      <c r="Z330" s="55">
        <f>$Z329+$X330</f>
        <v/>
      </c>
      <c r="AA330" s="56">
        <f>IFERROR(IF(($F330)&gt;0,($U330)/($F330),""),"")</f>
        <v/>
      </c>
      <c r="AB330" s="56">
        <f>IFERROR(IF(($G330)&gt;0,($V330)/($G330),""),"")</f>
        <v/>
      </c>
      <c r="AC330" s="56">
        <f>IFERROR(IF(($H330)&gt;0,($W330)/($H330),""),"")</f>
        <v/>
      </c>
      <c r="AD330" s="55">
        <f>SUMIFS(tblMovement[Tonnes_t],tblMovement[Date],$A330,tblMovement[Source_Type],"Stockpile")</f>
        <v/>
      </c>
      <c r="AE330" s="55">
        <f>IF($B330=$B329,$AE329,0)+$AD330</f>
        <v/>
      </c>
      <c r="AF330" s="55">
        <f>$AF329+$AD330</f>
        <v/>
      </c>
      <c r="AG330" s="55">
        <f>SUMIFS(tblMovement[Tonnes_t],tblMovement[Date],$A330)</f>
        <v/>
      </c>
      <c r="AH330" s="55">
        <f>IF($B330=$B329,$AH329,0)+$AG330</f>
        <v/>
      </c>
      <c r="AI330" s="55">
        <f>$AI329+$AG330</f>
        <v/>
      </c>
      <c r="AJ330" s="55">
        <f>$AG330-$X330-$AD330</f>
        <v/>
      </c>
      <c r="AK330" s="55">
        <f>IF($B330=$B329,$AK329,0)+$AJ330</f>
        <v/>
      </c>
      <c r="AL330" s="55">
        <f>$AL329+$AJ330</f>
        <v/>
      </c>
      <c r="AM330" s="55">
        <f>SUMIFS(tblMiningDaily[Drill_m],tblMiningDaily[Date],$A330)</f>
        <v/>
      </c>
      <c r="AN330" s="55">
        <f>IF($B330=$B329,$AN329,0)+$AM330</f>
        <v/>
      </c>
      <c r="AO330" s="55">
        <f>$AO329+$AM330</f>
        <v/>
      </c>
      <c r="AP330" s="55">
        <f>SUMIFS(tblMiningDaily[GC_Drill_m],tblMiningDaily[Date],$A330)</f>
        <v/>
      </c>
      <c r="AQ330" s="55">
        <f>IF($B330=$B329,$AQ329,0)+$AP330</f>
        <v/>
      </c>
      <c r="AR330" s="55">
        <f>$AR329+$AP330</f>
        <v/>
      </c>
      <c r="AS330" s="55">
        <f>SUMIFS(tblMiningDaily[Blast_t],tblMiningDaily[Date],$A330)</f>
        <v/>
      </c>
      <c r="AT330" s="55">
        <f>IF($B330=$B329,$AT329,0)+$AS330</f>
        <v/>
      </c>
      <c r="AU330" s="55">
        <f>$AU329+$AS330</f>
        <v/>
      </c>
      <c r="AV330" s="55">
        <f>SUMIFS(tblMiningDaily[Explosives_kg],tblMiningDaily[Date],$A330)</f>
        <v/>
      </c>
      <c r="AW330" s="55">
        <f>IF($B330=$B329,$AW329,0)+$AV330</f>
        <v/>
      </c>
      <c r="AX330" s="55">
        <f>$AX329+$AV330</f>
        <v/>
      </c>
      <c r="AY330" s="56">
        <f>IFERROR(IF(($AS330)&gt;0,($AV330)/($AS330),""),"")</f>
        <v/>
      </c>
      <c r="AZ330" s="56">
        <f>IFERROR(IF(($AT330)&gt;0,($AW330)/($AT330),""),"")</f>
        <v/>
      </c>
      <c r="BA330" s="56">
        <f>IFERROR(IF(($AU330)&gt;0,($AX330)/($AU330),""),"")</f>
        <v/>
      </c>
      <c r="BB330" s="55">
        <f>SUMIFS(tblMiningDaily[Diesel_L],tblMiningDaily[Date],$A330)</f>
        <v/>
      </c>
      <c r="BC330" s="55">
        <f>IF($B330=$B329,$BC329,0)+$BB330</f>
        <v/>
      </c>
      <c r="BD330" s="55">
        <f>$BD329+$BB330</f>
        <v/>
      </c>
      <c r="BE330" s="55">
        <f>SUMIFS(tblMiningDaily[Dewatering_m3],tblMiningDaily[Date],$A330)</f>
        <v/>
      </c>
      <c r="BF330" s="55">
        <f>IF($B330=$B329,$BF329,0)+$BE330</f>
        <v/>
      </c>
      <c r="BG330" s="55">
        <f>$BG329+$BE330</f>
        <v/>
      </c>
      <c r="BH330" s="57">
        <f>SUMIFS(tblFleet[Calendar_h],tblFleet[Date],$A330,tblFleet[Equipment_Class],"Excavator")</f>
        <v/>
      </c>
      <c r="BI330" s="57">
        <f>IF($B330=$B329,$BI329,0)+$BH330</f>
        <v/>
      </c>
      <c r="BJ330" s="57">
        <f>$BJ329+$BH330</f>
        <v/>
      </c>
      <c r="BK330" s="57">
        <f>SUMIFS(tblFleet[Available_h],tblFleet[Date],$A330,tblFleet[Equipment_Class],"Excavator")</f>
        <v/>
      </c>
      <c r="BL330" s="57">
        <f>IF($B330=$B329,$BL329,0)+$BK330</f>
        <v/>
      </c>
      <c r="BM330" s="57">
        <f>$BM329+$BK330</f>
        <v/>
      </c>
      <c r="BN330" s="57">
        <f>SUMIFS(tblFleet[Operating_h],tblFleet[Date],$A330,tblFleet[Equipment_Class],"Excavator")</f>
        <v/>
      </c>
      <c r="BO330" s="57">
        <f>IF($B330=$B329,$BO329,0)+$BN330</f>
        <v/>
      </c>
      <c r="BP330" s="57">
        <f>$BP329+$BN330</f>
        <v/>
      </c>
      <c r="BQ330" s="67">
        <f>IFERROR(IF(($BH330)&gt;0,($BK330)/($BH330),""),"")</f>
        <v/>
      </c>
      <c r="BR330" s="67">
        <f>IFERROR(IF(($BI330)&gt;0,($BL330)/($BI330),""),"")</f>
        <v/>
      </c>
      <c r="BS330" s="67">
        <f>IFERROR(IF(($BJ330)&gt;0,($BM330)/($BJ330),""),"")</f>
        <v/>
      </c>
      <c r="BT330" s="67">
        <f>IFERROR(IF(($BK330)&gt;0,($BN330)/($BK330),""),"")</f>
        <v/>
      </c>
      <c r="BU330" s="67">
        <f>IFERROR(IF(($BL330)&gt;0,($BO330)/($BL330),""),"")</f>
        <v/>
      </c>
      <c r="BV330" s="67">
        <f>IFERROR(IF(($BM330)&gt;0,($BP330)/($BM330),""),"")</f>
        <v/>
      </c>
      <c r="BW330" s="57">
        <f>SUMIFS(tblFleet[Calendar_h],tblFleet[Date],$A330,tblFleet[Equipment_Class],"Haul Truck")</f>
        <v/>
      </c>
      <c r="BX330" s="57">
        <f>IF($B330=$B329,$BX329,0)+$BW330</f>
        <v/>
      </c>
      <c r="BY330" s="57">
        <f>$BY329+$BW330</f>
        <v/>
      </c>
      <c r="BZ330" s="57">
        <f>SUMIFS(tblFleet[Available_h],tblFleet[Date],$A330,tblFleet[Equipment_Class],"Haul Truck")</f>
        <v/>
      </c>
      <c r="CA330" s="57">
        <f>IF($B330=$B329,$CA329,0)+$BZ330</f>
        <v/>
      </c>
      <c r="CB330" s="57">
        <f>$CB329+$BZ330</f>
        <v/>
      </c>
      <c r="CC330" s="57">
        <f>SUMIFS(tblFleet[Operating_h],tblFleet[Date],$A330,tblFleet[Equipment_Class],"Haul Truck")</f>
        <v/>
      </c>
      <c r="CD330" s="57">
        <f>IF($B330=$B329,$CD329,0)+$CC330</f>
        <v/>
      </c>
      <c r="CE330" s="57">
        <f>$CE329+$CC330</f>
        <v/>
      </c>
      <c r="CF330" s="67">
        <f>IFERROR(IF(($BW330)&gt;0,($BZ330)/($BW330),""),"")</f>
        <v/>
      </c>
      <c r="CG330" s="67">
        <f>IFERROR(IF(($BX330)&gt;0,($CA330)/($BX330),""),"")</f>
        <v/>
      </c>
      <c r="CH330" s="67">
        <f>IFERROR(IF(($BY330)&gt;0,($CB330)/($BY330),""),"")</f>
        <v/>
      </c>
      <c r="CI330" s="67">
        <f>IFERROR(IF(($BZ330)&gt;0,($CC330)/($BZ330),""),"")</f>
        <v/>
      </c>
      <c r="CJ330" s="67">
        <f>IFERROR(IF(($CA330)&gt;0,($CD330)/($CA330),""),"")</f>
        <v/>
      </c>
      <c r="CK330" s="67">
        <f>IFERROR(IF(($CB330)&gt;0,($CE330)/($CB330),""),"")</f>
        <v/>
      </c>
      <c r="CL330" s="55">
        <f>IFERROR(IF(($BN330)&gt;0,($X330+$AD330)/($BN330),""),"")</f>
        <v/>
      </c>
      <c r="CM330" s="55">
        <f>IFERROR(IF(($BO330)&gt;0,($Y330+$AE330)/($BO330),""),"")</f>
        <v/>
      </c>
      <c r="CN330" s="55">
        <f>IFERROR(IF(($BP330)&gt;0,($Z330+$AF330)/($BP330),""),"")</f>
        <v/>
      </c>
      <c r="CO330" s="55">
        <f>IFERROR(IF(($CC330)&gt;0,($X330+$AD330)/($CC330),""),"")</f>
        <v/>
      </c>
      <c r="CP330" s="55">
        <f>IFERROR(IF(($CD330)&gt;0,($Y330+$AE330)/($CD330),""),"")</f>
        <v/>
      </c>
      <c r="CQ330" s="55">
        <f>IFERROR(IF(($CE330)&gt;0,($Z330+$AF330)/($CE330),""),"")</f>
        <v/>
      </c>
      <c r="CR330" s="55">
        <f>SUMIFS(tblPlant[Crushed_t],tblPlant[Date],$A330)</f>
        <v/>
      </c>
      <c r="CS330" s="55">
        <f>IF($B330=$B329,$CS329,0)+$CR330</f>
        <v/>
      </c>
      <c r="CT330" s="55">
        <f>$CT329+$CR330</f>
        <v/>
      </c>
      <c r="CU330" s="55">
        <f>SUMIFS(tblPlant[Milled_t],tblPlant[Date],$A330)</f>
        <v/>
      </c>
      <c r="CV330" s="55">
        <f>IF($B330=$B329,$CV329,0)+$CU330</f>
        <v/>
      </c>
      <c r="CW330" s="55">
        <f>$CW329+$CU330</f>
        <v/>
      </c>
      <c r="CX330" s="55">
        <f>SUMIFS(tblPlant[Feed_oz],tblPlant[Date],$A330)</f>
        <v/>
      </c>
      <c r="CY330" s="55">
        <f>IF($B330=$B329,$CY329,0)+$CX330</f>
        <v/>
      </c>
      <c r="CZ330" s="55">
        <f>$CZ329+$CX330</f>
        <v/>
      </c>
      <c r="DA330" s="55">
        <f>SUMIFS(tblPlant[Tails_oz],tblPlant[Date],$A330)</f>
        <v/>
      </c>
      <c r="DB330" s="55">
        <f>IF($B330=$B329,$DB329,0)+$DA330</f>
        <v/>
      </c>
      <c r="DC330" s="55">
        <f>$DC329+$DA330</f>
        <v/>
      </c>
      <c r="DD330" s="55">
        <f>SUMIFS(tblPlant[Recovered_oz],tblPlant[Date],$A330)</f>
        <v/>
      </c>
      <c r="DE330" s="55">
        <f>IF($B330=$B329,$DE329,0)+$DD330</f>
        <v/>
      </c>
      <c r="DF330" s="55">
        <f>$DF329+$DD330</f>
        <v/>
      </c>
      <c r="DG330" s="55">
        <f>SUMIFS(tblPlant[Milled_t],tblPlant[Date],$A330,tblPlant[Head_Grade_gpt],"&lt;&gt;")</f>
        <v/>
      </c>
      <c r="DH330" s="55">
        <f>IF($B330=$B329,$DH329,0)+$DG330</f>
        <v/>
      </c>
      <c r="DI330" s="55">
        <f>$DI329+$DG330</f>
        <v/>
      </c>
      <c r="DJ330" s="55">
        <f>SUMIFS(tblPlant[Milled_t],tblPlant[Date],$A330,tblPlant[Tails_Grade_gpt],"&lt;&gt;")</f>
        <v/>
      </c>
      <c r="DK330" s="55">
        <f>IF($B330=$B329,$DK329,0)+$DJ330</f>
        <v/>
      </c>
      <c r="DL330" s="55">
        <f>$DL329+$DJ330</f>
        <v/>
      </c>
      <c r="DM330" s="55">
        <f>SUMIFS(tblPlant[Feed_oz],tblPlant[Date],$A330,tblPlant[Tails_Grade_gpt],"&lt;&gt;")</f>
        <v/>
      </c>
      <c r="DN330" s="55">
        <f>IF($B330=$B329,$DN329,0)+$DM330</f>
        <v/>
      </c>
      <c r="DO330" s="55">
        <f>$DO329+$DM330</f>
        <v/>
      </c>
      <c r="DP330" s="55">
        <f>SUMIFS(tblPlant[Milled_t],tblPlant[Date],$A330,tblPlant[Mill_Run_h],"&lt;&gt;")</f>
        <v/>
      </c>
      <c r="DQ330" s="55">
        <f>IF($B330=$B329,$DQ329,0)+$DP330</f>
        <v/>
      </c>
      <c r="DR330" s="55">
        <f>$DR329+$DP330</f>
        <v/>
      </c>
      <c r="DS330" s="56">
        <f>IFERROR(IF(($DG330)&gt;0,($CX330*cfg_TroyOz)/($DG330),""),"")</f>
        <v/>
      </c>
      <c r="DT330" s="56">
        <f>IFERROR(IF(($DH330)&gt;0,($CY330*cfg_TroyOz)/($DH330),""),"")</f>
        <v/>
      </c>
      <c r="DU330" s="56">
        <f>IFERROR(IF(($DI330)&gt;0,($CZ330*cfg_TroyOz)/($DI330),""),"")</f>
        <v/>
      </c>
      <c r="DV330" s="56">
        <f>IFERROR(IF(($DJ330)&gt;0,($DA330*cfg_TroyOz)/($DJ330),""),"")</f>
        <v/>
      </c>
      <c r="DW330" s="56">
        <f>IFERROR(IF(($DK330)&gt;0,($DB330*cfg_TroyOz)/($DK330),""),"")</f>
        <v/>
      </c>
      <c r="DX330" s="56">
        <f>IFERROR(IF(($DL330)&gt;0,($DC330*cfg_TroyOz)/($DL330),""),"")</f>
        <v/>
      </c>
      <c r="DY330" s="67">
        <f>IFERROR(IF(($DM330)&gt;0,($DD330)/($DM330),""),"")</f>
        <v/>
      </c>
      <c r="DZ330" s="67">
        <f>IFERROR(IF(($DN330)&gt;0,($DE330)/($DN330),""),"")</f>
        <v/>
      </c>
      <c r="EA330" s="67">
        <f>IFERROR(IF(($DO330)&gt;0,($DF330)/($DO330),""),"")</f>
        <v/>
      </c>
      <c r="EB330" s="55">
        <f>SUMIFS(tblPlant[Gravity_Gold_oz],tblPlant[Date],$A330)</f>
        <v/>
      </c>
      <c r="EC330" s="55">
        <f>IF($B330=$B329,$EC329,0)+$EB330</f>
        <v/>
      </c>
      <c r="ED330" s="55">
        <f>$ED329+$EB330</f>
        <v/>
      </c>
      <c r="EE330" s="67">
        <f>IFERROR(IF(($DD330)&gt;0,($EB330)/($DD330),""),"")</f>
        <v/>
      </c>
      <c r="EF330" s="67">
        <f>IFERROR(IF(($DE330)&gt;0,($EC330)/($DE330),""),"")</f>
        <v/>
      </c>
      <c r="EG330" s="67">
        <f>IFERROR(IF(($DF330)&gt;0,($ED330)/($DF330),""),"")</f>
        <v/>
      </c>
      <c r="EH330" s="55">
        <f>SUMIFS(tblPlant[Gold_Poured_oz],tblPlant[Date],$A330)</f>
        <v/>
      </c>
      <c r="EI330" s="55">
        <f>IF($B330=$B329,$EI329,0)+$EH330</f>
        <v/>
      </c>
      <c r="EJ330" s="55">
        <f>$EJ329+$EH330</f>
        <v/>
      </c>
      <c r="EK330" s="57">
        <f>SUMIFS(tblPlant[Mill_Run_h],tblPlant[Date],$A330)</f>
        <v/>
      </c>
      <c r="EL330" s="57">
        <f>IF($B330=$B329,$EL329,0)+$EK330</f>
        <v/>
      </c>
      <c r="EM330" s="57">
        <f>$EM329+$EK330</f>
        <v/>
      </c>
      <c r="EN330" s="57">
        <f>SUMIFS(tblPlant[Mill_Planned_Maint_h],tblPlant[Date],$A330)</f>
        <v/>
      </c>
      <c r="EO330" s="57">
        <f>IF($B330=$B329,$EO329,0)+$EN330</f>
        <v/>
      </c>
      <c r="EP330" s="57">
        <f>$EP329+$EN330</f>
        <v/>
      </c>
      <c r="EQ330" s="57">
        <f>SUMIFS(tblPlant[Mill_Unplanned_Down_h],tblPlant[Date],$A330)</f>
        <v/>
      </c>
      <c r="ER330" s="57">
        <f>IF($B330=$B329,$ER329,0)+$EQ330</f>
        <v/>
      </c>
      <c r="ES330" s="57">
        <f>$ES329+$EQ330</f>
        <v/>
      </c>
      <c r="ET330" s="57">
        <f>IF(COUNTIFS(tblPlant[Date],$A330,tblPlant[Mill_Run_h],"&lt;&gt;")+COUNTIFS(tblPlant[Date],$A330,tblPlant[Mill_Planned_Maint_h],"&lt;&gt;")+COUNTIFS(tblPlant[Date],$A330,tblPlant[Mill_Unplanned_Down_h],"&lt;&gt;")&gt;0,cfg_HoursPerDay,0)</f>
        <v/>
      </c>
      <c r="EU330" s="57">
        <f>IF($B330=$B329,$EU329,0)+$ET330</f>
        <v/>
      </c>
      <c r="EV330" s="57">
        <f>$EV329+$ET330</f>
        <v/>
      </c>
      <c r="EW330" s="57">
        <f>SUMIFS(tblPlant[Crusher_Run_h],tblPlant[Date],$A330)</f>
        <v/>
      </c>
      <c r="EX330" s="57">
        <f>IF($B330=$B329,$EX329,0)+$EW330</f>
        <v/>
      </c>
      <c r="EY330" s="57">
        <f>$EY329+$EW330</f>
        <v/>
      </c>
      <c r="EZ330" s="55">
        <f>IFERROR(IF(($EK330)&gt;0,($DP330)/($EK330),""),"")</f>
        <v/>
      </c>
      <c r="FA330" s="55">
        <f>IFERROR(IF(($EL330)&gt;0,($DQ330)/($EL330),""),"")</f>
        <v/>
      </c>
      <c r="FB330" s="55">
        <f>IFERROR(IF(($EM330)&gt;0,($DR330)/($EM330),""),"")</f>
        <v/>
      </c>
      <c r="FC330" s="67">
        <f>IFERROR(IF(($ET330)&gt;0,($ET330-$EN330-$EQ330)/($ET330),""),"")</f>
        <v/>
      </c>
      <c r="FD330" s="67">
        <f>IFERROR(IF(($EU330)&gt;0,($EU330-$EO330-$ER330)/($EU330),""),"")</f>
        <v/>
      </c>
      <c r="FE330" s="67">
        <f>IFERROR(IF(($EV330)&gt;0,($EV330-$EP330-$ES330)/($EV330),""),"")</f>
        <v/>
      </c>
      <c r="FF330" s="67">
        <f>IFERROR(IF(($ET330-$EN330-$EQ330)&gt;0,($EK330)/($ET330-$EN330-$EQ330),""),"")</f>
        <v/>
      </c>
      <c r="FG330" s="67">
        <f>IFERROR(IF(($EU330-$EO330-$ER330)&gt;0,($EL330)/($EU330-$EO330-$ER330),""),"")</f>
        <v/>
      </c>
      <c r="FH330" s="67">
        <f>IFERROR(IF(($EV330-$EP330-$ES330)&gt;0,($EM330)/($EV330-$EP330-$ES330),""),"")</f>
        <v/>
      </c>
      <c r="FI330" s="55">
        <f>SUMIFS(tblPlant[Cyanide_kg],tblPlant[Date],$A330)</f>
        <v/>
      </c>
      <c r="FJ330" s="55">
        <f>IF($B330=$B329,$FJ329,0)+$FI330</f>
        <v/>
      </c>
      <c r="FK330" s="55">
        <f>$FK329+$FI330</f>
        <v/>
      </c>
      <c r="FL330" s="55">
        <f>SUMIFS(tblPlant[Lime_kg],tblPlant[Date],$A330)</f>
        <v/>
      </c>
      <c r="FM330" s="55">
        <f>IF($B330=$B329,$FM329,0)+$FL330</f>
        <v/>
      </c>
      <c r="FN330" s="55">
        <f>$FN329+$FL330</f>
        <v/>
      </c>
      <c r="FO330" s="55">
        <f>SUMIFS(tblPlant[Grinding_Media_kg],tblPlant[Date],$A330)</f>
        <v/>
      </c>
      <c r="FP330" s="55">
        <f>IF($B330=$B329,$FP329,0)+$FO330</f>
        <v/>
      </c>
      <c r="FQ330" s="55">
        <f>$FQ329+$FO330</f>
        <v/>
      </c>
      <c r="FR330" s="55">
        <f>SUMIFS(tblPlant[Power_kWh],tblPlant[Date],$A330)</f>
        <v/>
      </c>
      <c r="FS330" s="55">
        <f>IF($B330=$B329,$FS329,0)+$FR330</f>
        <v/>
      </c>
      <c r="FT330" s="55">
        <f>$FT329+$FR330</f>
        <v/>
      </c>
      <c r="FU330" s="55">
        <f>SUMIFS(tblPlant[Raw_Water_m3],tblPlant[Date],$A330)</f>
        <v/>
      </c>
      <c r="FV330" s="55">
        <f>IF($B330=$B329,$FV329,0)+$FU330</f>
        <v/>
      </c>
      <c r="FW330" s="55">
        <f>$FW329+$FU330</f>
        <v/>
      </c>
      <c r="FX330" s="56">
        <f>IFERROR(IF(($CU330)&gt;0,($FI330)/($CU330),""),"")</f>
        <v/>
      </c>
      <c r="FY330" s="56">
        <f>IFERROR(IF(($CV330)&gt;0,($FJ330)/($CV330),""),"")</f>
        <v/>
      </c>
      <c r="FZ330" s="56">
        <f>IFERROR(IF(($CW330)&gt;0,($FK330)/($CW330),""),"")</f>
        <v/>
      </c>
      <c r="GA330" s="56">
        <f>IFERROR(IF(($CU330)&gt;0,($FL330)/($CU330),""),"")</f>
        <v/>
      </c>
      <c r="GB330" s="56">
        <f>IFERROR(IF(($CV330)&gt;0,($FM330)/($CV330),""),"")</f>
        <v/>
      </c>
      <c r="GC330" s="56">
        <f>IFERROR(IF(($CW330)&gt;0,($FN330)/($CW330),""),"")</f>
        <v/>
      </c>
      <c r="GD330" s="56">
        <f>IFERROR(IF(($CU330)&gt;0,($FO330)/($CU330),""),"")</f>
        <v/>
      </c>
      <c r="GE330" s="56">
        <f>IFERROR(IF(($CV330)&gt;0,($FP330)/($CV330),""),"")</f>
        <v/>
      </c>
      <c r="GF330" s="56">
        <f>IFERROR(IF(($CW330)&gt;0,($FQ330)/($CW330),""),"")</f>
        <v/>
      </c>
      <c r="GG330" s="79">
        <f>IFERROR(IF(($CU330)&gt;0,($FR330)/($CU330),""),"")</f>
        <v/>
      </c>
      <c r="GH330" s="79">
        <f>IFERROR(IF(($CV330)&gt;0,($FS330)/($CV330),""),"")</f>
        <v/>
      </c>
      <c r="GI330" s="79">
        <f>IFERROR(IF(($CW330)&gt;0,($FT330)/($CW330),""),"")</f>
        <v/>
      </c>
      <c r="GJ330" s="56">
        <f>IFERROR(IF(($CU330)&gt;0,($FU330)/($CU330),""),"")</f>
        <v/>
      </c>
      <c r="GK330" s="56">
        <f>IFERROR(IF(($CV330)&gt;0,($FV330)/($CV330),""),"")</f>
        <v/>
      </c>
      <c r="GL330" s="56">
        <f>IFERROR(IF(($CW330)&gt;0,($FW330)/($CW330),""),"")</f>
        <v/>
      </c>
      <c r="GM330" s="55">
        <f>IF(SUMIFS(tblPlant[GIC_oz],tblPlant[Date],$A330)&gt;0,SUMIFS(tblPlant[GIC_oz],tblPlant[Date],$A330),"")</f>
        <v/>
      </c>
      <c r="GN330" s="55">
        <f>SUMIFS(tblGold[Gold_oz],tblGold[Date],$A330,tblGold[Type],"Shipment")</f>
        <v/>
      </c>
      <c r="GO330" s="55">
        <f>IF($B330=$B329,$GO329,0)+$GN330</f>
        <v/>
      </c>
      <c r="GP330" s="55">
        <f>$GP329+$GN330</f>
        <v/>
      </c>
      <c r="GQ330" s="55">
        <f>SUMIFS(tblGold[Gold_oz],tblGold[Date],$A330,tblGold[Type],"Sale")</f>
        <v/>
      </c>
      <c r="GR330" s="55">
        <f>IF($B330=$B329,$GR329,0)+$GQ330</f>
        <v/>
      </c>
      <c r="GS330" s="55">
        <f>$GS329+$GQ330</f>
        <v/>
      </c>
      <c r="GT330" s="55">
        <f>SUMIFS(tblGold[Dore_kg],tblGold[Date],$A330,tblGold[Type],"Shipment")</f>
        <v/>
      </c>
      <c r="GU330" s="55">
        <f>IF($B330=$B329,$GU329,0)+$GT330</f>
        <v/>
      </c>
      <c r="GV330" s="55">
        <f>$GV329+$GT330</f>
        <v/>
      </c>
      <c r="GW330" s="57">
        <f>SUMIFS(tblSafety[Hours_Total],tblSafety[Date],$A330)</f>
        <v/>
      </c>
      <c r="GX330" s="57">
        <f>IF($B330=$B329,$GX329,0)+$GW330</f>
        <v/>
      </c>
      <c r="GY330" s="57">
        <f>$GY329+$GW330</f>
        <v/>
      </c>
      <c r="GZ330" s="62">
        <f>SUMIFS(tblSafety[Fatality],tblSafety[Date],$A330)</f>
        <v/>
      </c>
      <c r="HA330" s="62">
        <f>IF($B330=$B329,$HA329,0)+$GZ330</f>
        <v/>
      </c>
      <c r="HB330" s="62">
        <f>$HB329+$GZ330</f>
        <v/>
      </c>
      <c r="HC330" s="62">
        <f>SUMIFS(tblSafety[LTI],tblSafety[Date],$A330)</f>
        <v/>
      </c>
      <c r="HD330" s="62">
        <f>IF($B330=$B329,$HD329,0)+$HC330</f>
        <v/>
      </c>
      <c r="HE330" s="62">
        <f>$HE329+$HC330</f>
        <v/>
      </c>
      <c r="HF330" s="62">
        <f>SUMIFS(tblSafety[RWI],tblSafety[Date],$A330)</f>
        <v/>
      </c>
      <c r="HG330" s="62">
        <f>IF($B330=$B329,$HG329,0)+$HF330</f>
        <v/>
      </c>
      <c r="HH330" s="62">
        <f>$HH329+$HF330</f>
        <v/>
      </c>
      <c r="HI330" s="62">
        <f>SUMIFS(tblSafety[MTI],tblSafety[Date],$A330)</f>
        <v/>
      </c>
      <c r="HJ330" s="62">
        <f>IF($B330=$B329,$HJ329,0)+$HI330</f>
        <v/>
      </c>
      <c r="HK330" s="62">
        <f>$HK329+$HI330</f>
        <v/>
      </c>
      <c r="HL330" s="62">
        <f>SUMIFS(tblSafety[FAI],tblSafety[Date],$A330)</f>
        <v/>
      </c>
      <c r="HM330" s="62">
        <f>IF($B330=$B329,$HM329,0)+$HL330</f>
        <v/>
      </c>
      <c r="HN330" s="62">
        <f>$HN329+$HL330</f>
        <v/>
      </c>
      <c r="HO330" s="62">
        <f>SUMIFS(tblSafety[Recordables],tblSafety[Date],$A330)</f>
        <v/>
      </c>
      <c r="HP330" s="62">
        <f>IF($B330=$B329,$HP329,0)+$HO330</f>
        <v/>
      </c>
      <c r="HQ330" s="62">
        <f>$HQ329+$HO330</f>
        <v/>
      </c>
      <c r="HR330" s="62">
        <f>SUMIFS(tblSafety[Near_Miss],tblSafety[Date],$A330)</f>
        <v/>
      </c>
      <c r="HS330" s="62">
        <f>IF($B330=$B329,$HS329,0)+$HR330</f>
        <v/>
      </c>
      <c r="HT330" s="62">
        <f>$HT329+$HR330</f>
        <v/>
      </c>
      <c r="HU330" s="62">
        <f>SUMIFS(tblSafety[Hazard_Reports],tblSafety[Date],$A330)</f>
        <v/>
      </c>
      <c r="HV330" s="62">
        <f>IF($B330=$B329,$HV329,0)+$HU330</f>
        <v/>
      </c>
      <c r="HW330" s="62">
        <f>$HW329+$HU330</f>
        <v/>
      </c>
      <c r="HX330" s="62">
        <f>SUMIFS(tblSafety[HPI],tblSafety[Date],$A330)</f>
        <v/>
      </c>
      <c r="HY330" s="62">
        <f>IF($B330=$B329,$HY329,0)+$HX330</f>
        <v/>
      </c>
      <c r="HZ330" s="62">
        <f>$HZ329+$HX330</f>
        <v/>
      </c>
      <c r="IA330" s="62">
        <f>SUMIFS(tblSafety[Env_Incidents],tblSafety[Date],$A330)</f>
        <v/>
      </c>
      <c r="IB330" s="62">
        <f>IF($B330=$B329,$IB329,0)+$IA330</f>
        <v/>
      </c>
      <c r="IC330" s="62">
        <f>$IC329+$IA330</f>
        <v/>
      </c>
      <c r="ID330" s="62">
        <f>SUMIFS(tblSafety[Community_Incidents],tblSafety[Date],$A330)</f>
        <v/>
      </c>
      <c r="IE330" s="62">
        <f>IF($B330=$B329,$IE329,0)+$ID330</f>
        <v/>
      </c>
      <c r="IF330" s="62">
        <f>$IF329+$ID330</f>
        <v/>
      </c>
      <c r="IG330" s="62">
        <f>SUMIFS(tblSafety[Vehicle_Incidents],tblSafety[Date],$A330)</f>
        <v/>
      </c>
      <c r="IH330" s="62">
        <f>IF($B330=$B329,$IH329,0)+$IG330</f>
        <v/>
      </c>
      <c r="II330" s="62">
        <f>$II329+$IG330</f>
        <v/>
      </c>
      <c r="IJ330" s="62">
        <f>SUMIFS(tblSafety[Toolbox_Talks],tblSafety[Date],$A330)</f>
        <v/>
      </c>
      <c r="IK330" s="62">
        <f>IF($B330=$B329,$IK329,0)+$IJ330</f>
        <v/>
      </c>
      <c r="IL330" s="62">
        <f>$IL329+$IJ330</f>
        <v/>
      </c>
      <c r="IM330" s="62">
        <f>SUMIFS(tblSafety[Inspections],tblSafety[Date],$A330)</f>
        <v/>
      </c>
      <c r="IN330" s="62">
        <f>IF($B330=$B329,$IN329,0)+$IM330</f>
        <v/>
      </c>
      <c r="IO330" s="62">
        <f>$IO329+$IM330</f>
        <v/>
      </c>
      <c r="IP330" s="56">
        <f>IFERROR((SUMIFS(tblSafety[Recordables],tblSafety[Date],"&gt;="&amp;EDATE($E330,-12),tblSafety[Date],"&lt;="&amp;$A330)+SUMIFS(tblSafetyHistory[Recordables],tblSafetyHistory[Month],"&gt;="&amp;EDATE($E330,-12),tblSafetyHistory[Month],"&lt;"&amp;$E330,tblSafetyHistory[Use],1))/(SUMIFS(tblSafety[Hours_Total],tblSafety[Date],"&gt;="&amp;EDATE($E330,-12),tblSafety[Date],"&lt;="&amp;$A330)+SUMIFS(tblSafetyHistory[Hours_Total],tblSafetyHistory[Month],"&gt;="&amp;EDATE($E330,-12),tblSafetyHistory[Month],"&lt;"&amp;$E330,tblSafetyHistory[Use],1))*cfg_RateBasisHours,"")</f>
        <v/>
      </c>
      <c r="IQ330" s="56">
        <f>IFERROR((SUMIFS(tblSafety[LTI],tblSafety[Date],"&gt;="&amp;EDATE($E330,-12),tblSafety[Date],"&lt;="&amp;$A330)+SUMIFS(tblSafetyHistory[LTI],tblSafetyHistory[Month],"&gt;="&amp;EDATE($E330,-12),tblSafetyHistory[Month],"&lt;"&amp;$E330,tblSafetyHistory[Use],1))/(SUMIFS(tblSafety[Hours_Total],tblSafety[Date],"&gt;="&amp;EDATE($E330,-12),tblSafety[Date],"&lt;="&amp;$A330)+SUMIFS(tblSafetyHistory[Hours_Total],tblSafetyHistory[Month],"&gt;="&amp;EDATE($E330,-12),tblSafetyHistory[Month],"&lt;"&amp;$E330,tblSafetyHistory[Use],1))*cfg_RateBasisHours,"")</f>
        <v/>
      </c>
      <c r="IR330" s="62">
        <f>IF(MAX(N(cfg_PriorLTIDate),_xlfn.MAXIFS(tblSafety[Date],tblSafety[LTI],"&gt;0",tblSafety[Date],"&lt;="&amp;$A330))=0,"",$A330-MAX(N(cfg_PriorLTIDate),_xlfn.MAXIFS(tblSafety[Date],tblSafety[LTI],"&gt;0",tblSafety[Date],"&lt;="&amp;$A330)))</f>
        <v/>
      </c>
      <c r="IS330" s="55">
        <f>SUMIFS(tblBudget[Ore_Mined_t],tblBudget[Month],$E330)</f>
        <v/>
      </c>
      <c r="IT330" s="55">
        <f>$IS330*$C330/$D330</f>
        <v/>
      </c>
      <c r="IU330" s="55">
        <f>SUMIFS(tblBudget[Ore_Mined_t],tblBudget[Month],"&lt;"&amp;$E330)+$IT330</f>
        <v/>
      </c>
      <c r="IV330" s="55">
        <f>SUMIFS(tblBudget[Ore_oz],tblBudget[Month],$E330)</f>
        <v/>
      </c>
      <c r="IW330" s="55">
        <f>$IV330*$C330/$D330</f>
        <v/>
      </c>
      <c r="IX330" s="55">
        <f>SUMIFS(tblBudget[Ore_oz],tblBudget[Month],"&lt;"&amp;$E330)+$IW330</f>
        <v/>
      </c>
      <c r="IY330" s="55">
        <f>SUMIFS(tblBudget[Ore_Mined_t],tblBudget[Month],$E330)</f>
        <v/>
      </c>
      <c r="IZ330" s="55">
        <f>$IY330*$C330/$D330</f>
        <v/>
      </c>
      <c r="JA330" s="55">
        <f>SUMIFS(tblBudget[Ore_Mined_t],tblBudget[Month],"&lt;"&amp;$E330)+$IZ330</f>
        <v/>
      </c>
      <c r="JB330" s="56">
        <f>IFERROR(IF(($IY330)&gt;0,($IV330*cfg_TroyOz)/($IY330),""),"")</f>
        <v/>
      </c>
      <c r="JC330" s="56">
        <f>IFERROR(IF(($IZ330)&gt;0,($IW330*cfg_TroyOz)/($IZ330),""),"")</f>
        <v/>
      </c>
      <c r="JD330" s="56">
        <f>IFERROR(IF(($JA330)&gt;0,($IX330*cfg_TroyOz)/($JA330),""),"")</f>
        <v/>
      </c>
      <c r="JE330" s="55">
        <f>SUMIFS(tblBudget[Waste_t],tblBudget[Month],$E330)</f>
        <v/>
      </c>
      <c r="JF330" s="55">
        <f>$JE330*$C330/$D330</f>
        <v/>
      </c>
      <c r="JG330" s="55">
        <f>SUMIFS(tblBudget[Waste_t],tblBudget[Month],"&lt;"&amp;$E330)+$JF330</f>
        <v/>
      </c>
      <c r="JH330" s="55">
        <f>SUMIFS(tblBudget[TMM_t],tblBudget[Month],$E330)</f>
        <v/>
      </c>
      <c r="JI330" s="55">
        <f>$JH330*$C330/$D330</f>
        <v/>
      </c>
      <c r="JJ330" s="55">
        <f>SUMIFS(tblBudget[TMM_t],tblBudget[Month],"&lt;"&amp;$E330)+$JI330</f>
        <v/>
      </c>
      <c r="JK330" s="56">
        <f>IFERROR(IF(($IS330)&gt;0,($JE330)/($IS330),""),"")</f>
        <v/>
      </c>
      <c r="JL330" s="56">
        <f>IFERROR(IF(($IT330)&gt;0,($JF330)/($IT330),""),"")</f>
        <v/>
      </c>
      <c r="JM330" s="56">
        <f>IFERROR(IF(($IU330)&gt;0,($JG330)/($IU330),""),"")</f>
        <v/>
      </c>
      <c r="JN330" s="55">
        <f>SUMIFS(tblBudget[Drill_m],tblBudget[Month],$E330)</f>
        <v/>
      </c>
      <c r="JO330" s="55">
        <f>$JN330*$C330/$D330</f>
        <v/>
      </c>
      <c r="JP330" s="55">
        <f>SUMIFS(tblBudget[Drill_m],tblBudget[Month],"&lt;"&amp;$E330)+$JO330</f>
        <v/>
      </c>
      <c r="JQ330" s="55">
        <f>SUMIFS(tblBudget[Diesel_L],tblBudget[Month],$E330)</f>
        <v/>
      </c>
      <c r="JR330" s="55">
        <f>$JQ330*$C330/$D330</f>
        <v/>
      </c>
      <c r="JS330" s="55">
        <f>SUMIFS(tblBudget[Diesel_L],tblBudget[Month],"&lt;"&amp;$E330)+$JR330</f>
        <v/>
      </c>
      <c r="JT330" s="55">
        <f>SUMIFS(tblBudget[Milled_t],tblBudget[Month],$E330)</f>
        <v/>
      </c>
      <c r="JU330" s="55">
        <f>$JT330*$C330/$D330</f>
        <v/>
      </c>
      <c r="JV330" s="55">
        <f>SUMIFS(tblBudget[Milled_t],tblBudget[Month],"&lt;"&amp;$E330)+$JU330</f>
        <v/>
      </c>
      <c r="JW330" s="55">
        <f>SUMIFS(tblBudget[Feed_oz],tblBudget[Month],$E330)</f>
        <v/>
      </c>
      <c r="JX330" s="55">
        <f>$JW330*$C330/$D330</f>
        <v/>
      </c>
      <c r="JY330" s="55">
        <f>SUMIFS(tblBudget[Feed_oz],tblBudget[Month],"&lt;"&amp;$E330)+$JX330</f>
        <v/>
      </c>
      <c r="JZ330" s="55">
        <f>SUMIFS(tblBudget[Recovered_oz],tblBudget[Month],$E330)</f>
        <v/>
      </c>
      <c r="KA330" s="55">
        <f>$JZ330*$C330/$D330</f>
        <v/>
      </c>
      <c r="KB330" s="55">
        <f>SUMIFS(tblBudget[Recovered_oz],tblBudget[Month],"&lt;"&amp;$E330)+$KA330</f>
        <v/>
      </c>
      <c r="KC330" s="55">
        <f>SUMIFS(tblBudget[Milled_t],tblBudget[Month],$E330)</f>
        <v/>
      </c>
      <c r="KD330" s="55">
        <f>$KC330*$C330/$D330</f>
        <v/>
      </c>
      <c r="KE330" s="55">
        <f>SUMIFS(tblBudget[Milled_t],tblBudget[Month],"&lt;"&amp;$E330)+$KD330</f>
        <v/>
      </c>
      <c r="KF330" s="55">
        <f>SUMIFS(tblBudget[Feed_oz],tblBudget[Month],$E330)</f>
        <v/>
      </c>
      <c r="KG330" s="55">
        <f>$KF330*$C330/$D330</f>
        <v/>
      </c>
      <c r="KH330" s="55">
        <f>SUMIFS(tblBudget[Feed_oz],tblBudget[Month],"&lt;"&amp;$E330)+$KG330</f>
        <v/>
      </c>
      <c r="KI330" s="56">
        <f>IFERROR(IF(($KC330)&gt;0,($JW330*cfg_TroyOz)/($KC330),""),"")</f>
        <v/>
      </c>
      <c r="KJ330" s="56">
        <f>IFERROR(IF(($KD330)&gt;0,($JX330*cfg_TroyOz)/($KD330),""),"")</f>
        <v/>
      </c>
      <c r="KK330" s="56">
        <f>IFERROR(IF(($KE330)&gt;0,($JY330*cfg_TroyOz)/($KE330),""),"")</f>
        <v/>
      </c>
      <c r="KL330" s="67">
        <f>IFERROR(IF(($KF330)&gt;0,($JZ330)/($KF330),""),"")</f>
        <v/>
      </c>
      <c r="KM330" s="67">
        <f>IFERROR(IF(($KG330)&gt;0,($KA330)/($KG330),""),"")</f>
        <v/>
      </c>
      <c r="KN330" s="67">
        <f>IFERROR(IF(($KH330)&gt;0,($KB330)/($KH330),""),"")</f>
        <v/>
      </c>
      <c r="KO330" s="55">
        <f>SUMIFS(tblBudget[Gold_Poured_oz],tblBudget[Month],$E330)</f>
        <v/>
      </c>
      <c r="KP330" s="55">
        <f>$KO330*$C330/$D330</f>
        <v/>
      </c>
      <c r="KQ330" s="55">
        <f>SUMIFS(tblBudget[Gold_Poured_oz],tblBudget[Month],"&lt;"&amp;$E330)+$KP330</f>
        <v/>
      </c>
      <c r="KR330" s="57">
        <f>SUMIFS(tblBudget[Hours_Worked],tblBudget[Month],$E330)</f>
        <v/>
      </c>
      <c r="KS330" s="57">
        <f>$KR330*$C330/$D330</f>
        <v/>
      </c>
      <c r="KT330" s="57">
        <f>SUMIFS(tblBudget[Hours_Worked],tblBudget[Month],"&lt;"&amp;$E330)+$KS330</f>
        <v/>
      </c>
    </row>
    <row r="331">
      <c r="A331" s="54" t="n">
        <v>46352</v>
      </c>
      <c r="B331">
        <f>MONTH($A331)</f>
        <v/>
      </c>
      <c r="C331">
        <f>DAY($A331)</f>
        <v/>
      </c>
      <c r="D331">
        <f>DAY(EOMONTH($A331,0))</f>
        <v/>
      </c>
      <c r="E331" s="54">
        <f>DATE(YEAR($A331),MONTH($A331),1)</f>
        <v/>
      </c>
      <c r="F331" s="55">
        <f>SUMIFS(tblMovement[Tonnes_t],tblMovement[Date],$A331,tblMovement[Is_Ore],1,tblMovement[Source_Type],"Pit")</f>
        <v/>
      </c>
      <c r="G331" s="55">
        <f>IF($B331=$B330,$G330,0)+$F331</f>
        <v/>
      </c>
      <c r="H331" s="55">
        <f>$H330+$F331</f>
        <v/>
      </c>
      <c r="I331" s="55">
        <f>SUMIFS(tblMovement[Ore_oz],tblMovement[Date],$A331,tblMovement[Source_Type],"Pit")</f>
        <v/>
      </c>
      <c r="J331" s="55">
        <f>IF($B331=$B330,$J330,0)+$I331</f>
        <v/>
      </c>
      <c r="K331" s="55">
        <f>$K330+$I331</f>
        <v/>
      </c>
      <c r="L331" s="55">
        <f>SUMIFS(tblMovement[Tonnes_t],tblMovement[Date],$A331,tblMovement[Is_Ore],1,tblMovement[Source_Type],"Pit",tblMovement[Grade_gpt],"&lt;&gt;")</f>
        <v/>
      </c>
      <c r="M331" s="55">
        <f>IF($B331=$B330,$M330,0)+$L331</f>
        <v/>
      </c>
      <c r="N331" s="55">
        <f>$N330+$L331</f>
        <v/>
      </c>
      <c r="O331" s="56">
        <f>IFERROR(IF(($L331)&gt;0,($I331*cfg_TroyOz)/($L331),""),"")</f>
        <v/>
      </c>
      <c r="P331" s="56">
        <f>IFERROR(IF(($M331)&gt;0,($J331*cfg_TroyOz)/($M331),""),"")</f>
        <v/>
      </c>
      <c r="Q331" s="56">
        <f>IFERROR(IF(($N331)&gt;0,($K331*cfg_TroyOz)/($N331),""),"")</f>
        <v/>
      </c>
      <c r="R331" s="55">
        <f>$F331-$L331</f>
        <v/>
      </c>
      <c r="S331" s="55">
        <f>IF($B331=$B330,$S330,0)+$R331</f>
        <v/>
      </c>
      <c r="T331" s="55">
        <f>$T330+$R331</f>
        <v/>
      </c>
      <c r="U331" s="55">
        <f>SUMIFS(tblMovement[Tonnes_t],tblMovement[Date],$A331,tblMovement[Is_Ore],0,tblMovement[Source_Type],"Pit")</f>
        <v/>
      </c>
      <c r="V331" s="55">
        <f>IF($B331=$B330,$V330,0)+$U331</f>
        <v/>
      </c>
      <c r="W331" s="55">
        <f>$W330+$U331</f>
        <v/>
      </c>
      <c r="X331" s="55">
        <f>$F331+$U331</f>
        <v/>
      </c>
      <c r="Y331" s="55">
        <f>IF($B331=$B330,$Y330,0)+$X331</f>
        <v/>
      </c>
      <c r="Z331" s="55">
        <f>$Z330+$X331</f>
        <v/>
      </c>
      <c r="AA331" s="56">
        <f>IFERROR(IF(($F331)&gt;0,($U331)/($F331),""),"")</f>
        <v/>
      </c>
      <c r="AB331" s="56">
        <f>IFERROR(IF(($G331)&gt;0,($V331)/($G331),""),"")</f>
        <v/>
      </c>
      <c r="AC331" s="56">
        <f>IFERROR(IF(($H331)&gt;0,($W331)/($H331),""),"")</f>
        <v/>
      </c>
      <c r="AD331" s="55">
        <f>SUMIFS(tblMovement[Tonnes_t],tblMovement[Date],$A331,tblMovement[Source_Type],"Stockpile")</f>
        <v/>
      </c>
      <c r="AE331" s="55">
        <f>IF($B331=$B330,$AE330,0)+$AD331</f>
        <v/>
      </c>
      <c r="AF331" s="55">
        <f>$AF330+$AD331</f>
        <v/>
      </c>
      <c r="AG331" s="55">
        <f>SUMIFS(tblMovement[Tonnes_t],tblMovement[Date],$A331)</f>
        <v/>
      </c>
      <c r="AH331" s="55">
        <f>IF($B331=$B330,$AH330,0)+$AG331</f>
        <v/>
      </c>
      <c r="AI331" s="55">
        <f>$AI330+$AG331</f>
        <v/>
      </c>
      <c r="AJ331" s="55">
        <f>$AG331-$X331-$AD331</f>
        <v/>
      </c>
      <c r="AK331" s="55">
        <f>IF($B331=$B330,$AK330,0)+$AJ331</f>
        <v/>
      </c>
      <c r="AL331" s="55">
        <f>$AL330+$AJ331</f>
        <v/>
      </c>
      <c r="AM331" s="55">
        <f>SUMIFS(tblMiningDaily[Drill_m],tblMiningDaily[Date],$A331)</f>
        <v/>
      </c>
      <c r="AN331" s="55">
        <f>IF($B331=$B330,$AN330,0)+$AM331</f>
        <v/>
      </c>
      <c r="AO331" s="55">
        <f>$AO330+$AM331</f>
        <v/>
      </c>
      <c r="AP331" s="55">
        <f>SUMIFS(tblMiningDaily[GC_Drill_m],tblMiningDaily[Date],$A331)</f>
        <v/>
      </c>
      <c r="AQ331" s="55">
        <f>IF($B331=$B330,$AQ330,0)+$AP331</f>
        <v/>
      </c>
      <c r="AR331" s="55">
        <f>$AR330+$AP331</f>
        <v/>
      </c>
      <c r="AS331" s="55">
        <f>SUMIFS(tblMiningDaily[Blast_t],tblMiningDaily[Date],$A331)</f>
        <v/>
      </c>
      <c r="AT331" s="55">
        <f>IF($B331=$B330,$AT330,0)+$AS331</f>
        <v/>
      </c>
      <c r="AU331" s="55">
        <f>$AU330+$AS331</f>
        <v/>
      </c>
      <c r="AV331" s="55">
        <f>SUMIFS(tblMiningDaily[Explosives_kg],tblMiningDaily[Date],$A331)</f>
        <v/>
      </c>
      <c r="AW331" s="55">
        <f>IF($B331=$B330,$AW330,0)+$AV331</f>
        <v/>
      </c>
      <c r="AX331" s="55">
        <f>$AX330+$AV331</f>
        <v/>
      </c>
      <c r="AY331" s="56">
        <f>IFERROR(IF(($AS331)&gt;0,($AV331)/($AS331),""),"")</f>
        <v/>
      </c>
      <c r="AZ331" s="56">
        <f>IFERROR(IF(($AT331)&gt;0,($AW331)/($AT331),""),"")</f>
        <v/>
      </c>
      <c r="BA331" s="56">
        <f>IFERROR(IF(($AU331)&gt;0,($AX331)/($AU331),""),"")</f>
        <v/>
      </c>
      <c r="BB331" s="55">
        <f>SUMIFS(tblMiningDaily[Diesel_L],tblMiningDaily[Date],$A331)</f>
        <v/>
      </c>
      <c r="BC331" s="55">
        <f>IF($B331=$B330,$BC330,0)+$BB331</f>
        <v/>
      </c>
      <c r="BD331" s="55">
        <f>$BD330+$BB331</f>
        <v/>
      </c>
      <c r="BE331" s="55">
        <f>SUMIFS(tblMiningDaily[Dewatering_m3],tblMiningDaily[Date],$A331)</f>
        <v/>
      </c>
      <c r="BF331" s="55">
        <f>IF($B331=$B330,$BF330,0)+$BE331</f>
        <v/>
      </c>
      <c r="BG331" s="55">
        <f>$BG330+$BE331</f>
        <v/>
      </c>
      <c r="BH331" s="57">
        <f>SUMIFS(tblFleet[Calendar_h],tblFleet[Date],$A331,tblFleet[Equipment_Class],"Excavator")</f>
        <v/>
      </c>
      <c r="BI331" s="57">
        <f>IF($B331=$B330,$BI330,0)+$BH331</f>
        <v/>
      </c>
      <c r="BJ331" s="57">
        <f>$BJ330+$BH331</f>
        <v/>
      </c>
      <c r="BK331" s="57">
        <f>SUMIFS(tblFleet[Available_h],tblFleet[Date],$A331,tblFleet[Equipment_Class],"Excavator")</f>
        <v/>
      </c>
      <c r="BL331" s="57">
        <f>IF($B331=$B330,$BL330,0)+$BK331</f>
        <v/>
      </c>
      <c r="BM331" s="57">
        <f>$BM330+$BK331</f>
        <v/>
      </c>
      <c r="BN331" s="57">
        <f>SUMIFS(tblFleet[Operating_h],tblFleet[Date],$A331,tblFleet[Equipment_Class],"Excavator")</f>
        <v/>
      </c>
      <c r="BO331" s="57">
        <f>IF($B331=$B330,$BO330,0)+$BN331</f>
        <v/>
      </c>
      <c r="BP331" s="57">
        <f>$BP330+$BN331</f>
        <v/>
      </c>
      <c r="BQ331" s="67">
        <f>IFERROR(IF(($BH331)&gt;0,($BK331)/($BH331),""),"")</f>
        <v/>
      </c>
      <c r="BR331" s="67">
        <f>IFERROR(IF(($BI331)&gt;0,($BL331)/($BI331),""),"")</f>
        <v/>
      </c>
      <c r="BS331" s="67">
        <f>IFERROR(IF(($BJ331)&gt;0,($BM331)/($BJ331),""),"")</f>
        <v/>
      </c>
      <c r="BT331" s="67">
        <f>IFERROR(IF(($BK331)&gt;0,($BN331)/($BK331),""),"")</f>
        <v/>
      </c>
      <c r="BU331" s="67">
        <f>IFERROR(IF(($BL331)&gt;0,($BO331)/($BL331),""),"")</f>
        <v/>
      </c>
      <c r="BV331" s="67">
        <f>IFERROR(IF(($BM331)&gt;0,($BP331)/($BM331),""),"")</f>
        <v/>
      </c>
      <c r="BW331" s="57">
        <f>SUMIFS(tblFleet[Calendar_h],tblFleet[Date],$A331,tblFleet[Equipment_Class],"Haul Truck")</f>
        <v/>
      </c>
      <c r="BX331" s="57">
        <f>IF($B331=$B330,$BX330,0)+$BW331</f>
        <v/>
      </c>
      <c r="BY331" s="57">
        <f>$BY330+$BW331</f>
        <v/>
      </c>
      <c r="BZ331" s="57">
        <f>SUMIFS(tblFleet[Available_h],tblFleet[Date],$A331,tblFleet[Equipment_Class],"Haul Truck")</f>
        <v/>
      </c>
      <c r="CA331" s="57">
        <f>IF($B331=$B330,$CA330,0)+$BZ331</f>
        <v/>
      </c>
      <c r="CB331" s="57">
        <f>$CB330+$BZ331</f>
        <v/>
      </c>
      <c r="CC331" s="57">
        <f>SUMIFS(tblFleet[Operating_h],tblFleet[Date],$A331,tblFleet[Equipment_Class],"Haul Truck")</f>
        <v/>
      </c>
      <c r="CD331" s="57">
        <f>IF($B331=$B330,$CD330,0)+$CC331</f>
        <v/>
      </c>
      <c r="CE331" s="57">
        <f>$CE330+$CC331</f>
        <v/>
      </c>
      <c r="CF331" s="67">
        <f>IFERROR(IF(($BW331)&gt;0,($BZ331)/($BW331),""),"")</f>
        <v/>
      </c>
      <c r="CG331" s="67">
        <f>IFERROR(IF(($BX331)&gt;0,($CA331)/($BX331),""),"")</f>
        <v/>
      </c>
      <c r="CH331" s="67">
        <f>IFERROR(IF(($BY331)&gt;0,($CB331)/($BY331),""),"")</f>
        <v/>
      </c>
      <c r="CI331" s="67">
        <f>IFERROR(IF(($BZ331)&gt;0,($CC331)/($BZ331),""),"")</f>
        <v/>
      </c>
      <c r="CJ331" s="67">
        <f>IFERROR(IF(($CA331)&gt;0,($CD331)/($CA331),""),"")</f>
        <v/>
      </c>
      <c r="CK331" s="67">
        <f>IFERROR(IF(($CB331)&gt;0,($CE331)/($CB331),""),"")</f>
        <v/>
      </c>
      <c r="CL331" s="55">
        <f>IFERROR(IF(($BN331)&gt;0,($X331+$AD331)/($BN331),""),"")</f>
        <v/>
      </c>
      <c r="CM331" s="55">
        <f>IFERROR(IF(($BO331)&gt;0,($Y331+$AE331)/($BO331),""),"")</f>
        <v/>
      </c>
      <c r="CN331" s="55">
        <f>IFERROR(IF(($BP331)&gt;0,($Z331+$AF331)/($BP331),""),"")</f>
        <v/>
      </c>
      <c r="CO331" s="55">
        <f>IFERROR(IF(($CC331)&gt;0,($X331+$AD331)/($CC331),""),"")</f>
        <v/>
      </c>
      <c r="CP331" s="55">
        <f>IFERROR(IF(($CD331)&gt;0,($Y331+$AE331)/($CD331),""),"")</f>
        <v/>
      </c>
      <c r="CQ331" s="55">
        <f>IFERROR(IF(($CE331)&gt;0,($Z331+$AF331)/($CE331),""),"")</f>
        <v/>
      </c>
      <c r="CR331" s="55">
        <f>SUMIFS(tblPlant[Crushed_t],tblPlant[Date],$A331)</f>
        <v/>
      </c>
      <c r="CS331" s="55">
        <f>IF($B331=$B330,$CS330,0)+$CR331</f>
        <v/>
      </c>
      <c r="CT331" s="55">
        <f>$CT330+$CR331</f>
        <v/>
      </c>
      <c r="CU331" s="55">
        <f>SUMIFS(tblPlant[Milled_t],tblPlant[Date],$A331)</f>
        <v/>
      </c>
      <c r="CV331" s="55">
        <f>IF($B331=$B330,$CV330,0)+$CU331</f>
        <v/>
      </c>
      <c r="CW331" s="55">
        <f>$CW330+$CU331</f>
        <v/>
      </c>
      <c r="CX331" s="55">
        <f>SUMIFS(tblPlant[Feed_oz],tblPlant[Date],$A331)</f>
        <v/>
      </c>
      <c r="CY331" s="55">
        <f>IF($B331=$B330,$CY330,0)+$CX331</f>
        <v/>
      </c>
      <c r="CZ331" s="55">
        <f>$CZ330+$CX331</f>
        <v/>
      </c>
      <c r="DA331" s="55">
        <f>SUMIFS(tblPlant[Tails_oz],tblPlant[Date],$A331)</f>
        <v/>
      </c>
      <c r="DB331" s="55">
        <f>IF($B331=$B330,$DB330,0)+$DA331</f>
        <v/>
      </c>
      <c r="DC331" s="55">
        <f>$DC330+$DA331</f>
        <v/>
      </c>
      <c r="DD331" s="55">
        <f>SUMIFS(tblPlant[Recovered_oz],tblPlant[Date],$A331)</f>
        <v/>
      </c>
      <c r="DE331" s="55">
        <f>IF($B331=$B330,$DE330,0)+$DD331</f>
        <v/>
      </c>
      <c r="DF331" s="55">
        <f>$DF330+$DD331</f>
        <v/>
      </c>
      <c r="DG331" s="55">
        <f>SUMIFS(tblPlant[Milled_t],tblPlant[Date],$A331,tblPlant[Head_Grade_gpt],"&lt;&gt;")</f>
        <v/>
      </c>
      <c r="DH331" s="55">
        <f>IF($B331=$B330,$DH330,0)+$DG331</f>
        <v/>
      </c>
      <c r="DI331" s="55">
        <f>$DI330+$DG331</f>
        <v/>
      </c>
      <c r="DJ331" s="55">
        <f>SUMIFS(tblPlant[Milled_t],tblPlant[Date],$A331,tblPlant[Tails_Grade_gpt],"&lt;&gt;")</f>
        <v/>
      </c>
      <c r="DK331" s="55">
        <f>IF($B331=$B330,$DK330,0)+$DJ331</f>
        <v/>
      </c>
      <c r="DL331" s="55">
        <f>$DL330+$DJ331</f>
        <v/>
      </c>
      <c r="DM331" s="55">
        <f>SUMIFS(tblPlant[Feed_oz],tblPlant[Date],$A331,tblPlant[Tails_Grade_gpt],"&lt;&gt;")</f>
        <v/>
      </c>
      <c r="DN331" s="55">
        <f>IF($B331=$B330,$DN330,0)+$DM331</f>
        <v/>
      </c>
      <c r="DO331" s="55">
        <f>$DO330+$DM331</f>
        <v/>
      </c>
      <c r="DP331" s="55">
        <f>SUMIFS(tblPlant[Milled_t],tblPlant[Date],$A331,tblPlant[Mill_Run_h],"&lt;&gt;")</f>
        <v/>
      </c>
      <c r="DQ331" s="55">
        <f>IF($B331=$B330,$DQ330,0)+$DP331</f>
        <v/>
      </c>
      <c r="DR331" s="55">
        <f>$DR330+$DP331</f>
        <v/>
      </c>
      <c r="DS331" s="56">
        <f>IFERROR(IF(($DG331)&gt;0,($CX331*cfg_TroyOz)/($DG331),""),"")</f>
        <v/>
      </c>
      <c r="DT331" s="56">
        <f>IFERROR(IF(($DH331)&gt;0,($CY331*cfg_TroyOz)/($DH331),""),"")</f>
        <v/>
      </c>
      <c r="DU331" s="56">
        <f>IFERROR(IF(($DI331)&gt;0,($CZ331*cfg_TroyOz)/($DI331),""),"")</f>
        <v/>
      </c>
      <c r="DV331" s="56">
        <f>IFERROR(IF(($DJ331)&gt;0,($DA331*cfg_TroyOz)/($DJ331),""),"")</f>
        <v/>
      </c>
      <c r="DW331" s="56">
        <f>IFERROR(IF(($DK331)&gt;0,($DB331*cfg_TroyOz)/($DK331),""),"")</f>
        <v/>
      </c>
      <c r="DX331" s="56">
        <f>IFERROR(IF(($DL331)&gt;0,($DC331*cfg_TroyOz)/($DL331),""),"")</f>
        <v/>
      </c>
      <c r="DY331" s="67">
        <f>IFERROR(IF(($DM331)&gt;0,($DD331)/($DM331),""),"")</f>
        <v/>
      </c>
      <c r="DZ331" s="67">
        <f>IFERROR(IF(($DN331)&gt;0,($DE331)/($DN331),""),"")</f>
        <v/>
      </c>
      <c r="EA331" s="67">
        <f>IFERROR(IF(($DO331)&gt;0,($DF331)/($DO331),""),"")</f>
        <v/>
      </c>
      <c r="EB331" s="55">
        <f>SUMIFS(tblPlant[Gravity_Gold_oz],tblPlant[Date],$A331)</f>
        <v/>
      </c>
      <c r="EC331" s="55">
        <f>IF($B331=$B330,$EC330,0)+$EB331</f>
        <v/>
      </c>
      <c r="ED331" s="55">
        <f>$ED330+$EB331</f>
        <v/>
      </c>
      <c r="EE331" s="67">
        <f>IFERROR(IF(($DD331)&gt;0,($EB331)/($DD331),""),"")</f>
        <v/>
      </c>
      <c r="EF331" s="67">
        <f>IFERROR(IF(($DE331)&gt;0,($EC331)/($DE331),""),"")</f>
        <v/>
      </c>
      <c r="EG331" s="67">
        <f>IFERROR(IF(($DF331)&gt;0,($ED331)/($DF331),""),"")</f>
        <v/>
      </c>
      <c r="EH331" s="55">
        <f>SUMIFS(tblPlant[Gold_Poured_oz],tblPlant[Date],$A331)</f>
        <v/>
      </c>
      <c r="EI331" s="55">
        <f>IF($B331=$B330,$EI330,0)+$EH331</f>
        <v/>
      </c>
      <c r="EJ331" s="55">
        <f>$EJ330+$EH331</f>
        <v/>
      </c>
      <c r="EK331" s="57">
        <f>SUMIFS(tblPlant[Mill_Run_h],tblPlant[Date],$A331)</f>
        <v/>
      </c>
      <c r="EL331" s="57">
        <f>IF($B331=$B330,$EL330,0)+$EK331</f>
        <v/>
      </c>
      <c r="EM331" s="57">
        <f>$EM330+$EK331</f>
        <v/>
      </c>
      <c r="EN331" s="57">
        <f>SUMIFS(tblPlant[Mill_Planned_Maint_h],tblPlant[Date],$A331)</f>
        <v/>
      </c>
      <c r="EO331" s="57">
        <f>IF($B331=$B330,$EO330,0)+$EN331</f>
        <v/>
      </c>
      <c r="EP331" s="57">
        <f>$EP330+$EN331</f>
        <v/>
      </c>
      <c r="EQ331" s="57">
        <f>SUMIFS(tblPlant[Mill_Unplanned_Down_h],tblPlant[Date],$A331)</f>
        <v/>
      </c>
      <c r="ER331" s="57">
        <f>IF($B331=$B330,$ER330,0)+$EQ331</f>
        <v/>
      </c>
      <c r="ES331" s="57">
        <f>$ES330+$EQ331</f>
        <v/>
      </c>
      <c r="ET331" s="57">
        <f>IF(COUNTIFS(tblPlant[Date],$A331,tblPlant[Mill_Run_h],"&lt;&gt;")+COUNTIFS(tblPlant[Date],$A331,tblPlant[Mill_Planned_Maint_h],"&lt;&gt;")+COUNTIFS(tblPlant[Date],$A331,tblPlant[Mill_Unplanned_Down_h],"&lt;&gt;")&gt;0,cfg_HoursPerDay,0)</f>
        <v/>
      </c>
      <c r="EU331" s="57">
        <f>IF($B331=$B330,$EU330,0)+$ET331</f>
        <v/>
      </c>
      <c r="EV331" s="57">
        <f>$EV330+$ET331</f>
        <v/>
      </c>
      <c r="EW331" s="57">
        <f>SUMIFS(tblPlant[Crusher_Run_h],tblPlant[Date],$A331)</f>
        <v/>
      </c>
      <c r="EX331" s="57">
        <f>IF($B331=$B330,$EX330,0)+$EW331</f>
        <v/>
      </c>
      <c r="EY331" s="57">
        <f>$EY330+$EW331</f>
        <v/>
      </c>
      <c r="EZ331" s="55">
        <f>IFERROR(IF(($EK331)&gt;0,($DP331)/($EK331),""),"")</f>
        <v/>
      </c>
      <c r="FA331" s="55">
        <f>IFERROR(IF(($EL331)&gt;0,($DQ331)/($EL331),""),"")</f>
        <v/>
      </c>
      <c r="FB331" s="55">
        <f>IFERROR(IF(($EM331)&gt;0,($DR331)/($EM331),""),"")</f>
        <v/>
      </c>
      <c r="FC331" s="67">
        <f>IFERROR(IF(($ET331)&gt;0,($ET331-$EN331-$EQ331)/($ET331),""),"")</f>
        <v/>
      </c>
      <c r="FD331" s="67">
        <f>IFERROR(IF(($EU331)&gt;0,($EU331-$EO331-$ER331)/($EU331),""),"")</f>
        <v/>
      </c>
      <c r="FE331" s="67">
        <f>IFERROR(IF(($EV331)&gt;0,($EV331-$EP331-$ES331)/($EV331),""),"")</f>
        <v/>
      </c>
      <c r="FF331" s="67">
        <f>IFERROR(IF(($ET331-$EN331-$EQ331)&gt;0,($EK331)/($ET331-$EN331-$EQ331),""),"")</f>
        <v/>
      </c>
      <c r="FG331" s="67">
        <f>IFERROR(IF(($EU331-$EO331-$ER331)&gt;0,($EL331)/($EU331-$EO331-$ER331),""),"")</f>
        <v/>
      </c>
      <c r="FH331" s="67">
        <f>IFERROR(IF(($EV331-$EP331-$ES331)&gt;0,($EM331)/($EV331-$EP331-$ES331),""),"")</f>
        <v/>
      </c>
      <c r="FI331" s="55">
        <f>SUMIFS(tblPlant[Cyanide_kg],tblPlant[Date],$A331)</f>
        <v/>
      </c>
      <c r="FJ331" s="55">
        <f>IF($B331=$B330,$FJ330,0)+$FI331</f>
        <v/>
      </c>
      <c r="FK331" s="55">
        <f>$FK330+$FI331</f>
        <v/>
      </c>
      <c r="FL331" s="55">
        <f>SUMIFS(tblPlant[Lime_kg],tblPlant[Date],$A331)</f>
        <v/>
      </c>
      <c r="FM331" s="55">
        <f>IF($B331=$B330,$FM330,0)+$FL331</f>
        <v/>
      </c>
      <c r="FN331" s="55">
        <f>$FN330+$FL331</f>
        <v/>
      </c>
      <c r="FO331" s="55">
        <f>SUMIFS(tblPlant[Grinding_Media_kg],tblPlant[Date],$A331)</f>
        <v/>
      </c>
      <c r="FP331" s="55">
        <f>IF($B331=$B330,$FP330,0)+$FO331</f>
        <v/>
      </c>
      <c r="FQ331" s="55">
        <f>$FQ330+$FO331</f>
        <v/>
      </c>
      <c r="FR331" s="55">
        <f>SUMIFS(tblPlant[Power_kWh],tblPlant[Date],$A331)</f>
        <v/>
      </c>
      <c r="FS331" s="55">
        <f>IF($B331=$B330,$FS330,0)+$FR331</f>
        <v/>
      </c>
      <c r="FT331" s="55">
        <f>$FT330+$FR331</f>
        <v/>
      </c>
      <c r="FU331" s="55">
        <f>SUMIFS(tblPlant[Raw_Water_m3],tblPlant[Date],$A331)</f>
        <v/>
      </c>
      <c r="FV331" s="55">
        <f>IF($B331=$B330,$FV330,0)+$FU331</f>
        <v/>
      </c>
      <c r="FW331" s="55">
        <f>$FW330+$FU331</f>
        <v/>
      </c>
      <c r="FX331" s="56">
        <f>IFERROR(IF(($CU331)&gt;0,($FI331)/($CU331),""),"")</f>
        <v/>
      </c>
      <c r="FY331" s="56">
        <f>IFERROR(IF(($CV331)&gt;0,($FJ331)/($CV331),""),"")</f>
        <v/>
      </c>
      <c r="FZ331" s="56">
        <f>IFERROR(IF(($CW331)&gt;0,($FK331)/($CW331),""),"")</f>
        <v/>
      </c>
      <c r="GA331" s="56">
        <f>IFERROR(IF(($CU331)&gt;0,($FL331)/($CU331),""),"")</f>
        <v/>
      </c>
      <c r="GB331" s="56">
        <f>IFERROR(IF(($CV331)&gt;0,($FM331)/($CV331),""),"")</f>
        <v/>
      </c>
      <c r="GC331" s="56">
        <f>IFERROR(IF(($CW331)&gt;0,($FN331)/($CW331),""),"")</f>
        <v/>
      </c>
      <c r="GD331" s="56">
        <f>IFERROR(IF(($CU331)&gt;0,($FO331)/($CU331),""),"")</f>
        <v/>
      </c>
      <c r="GE331" s="56">
        <f>IFERROR(IF(($CV331)&gt;0,($FP331)/($CV331),""),"")</f>
        <v/>
      </c>
      <c r="GF331" s="56">
        <f>IFERROR(IF(($CW331)&gt;0,($FQ331)/($CW331),""),"")</f>
        <v/>
      </c>
      <c r="GG331" s="79">
        <f>IFERROR(IF(($CU331)&gt;0,($FR331)/($CU331),""),"")</f>
        <v/>
      </c>
      <c r="GH331" s="79">
        <f>IFERROR(IF(($CV331)&gt;0,($FS331)/($CV331),""),"")</f>
        <v/>
      </c>
      <c r="GI331" s="79">
        <f>IFERROR(IF(($CW331)&gt;0,($FT331)/($CW331),""),"")</f>
        <v/>
      </c>
      <c r="GJ331" s="56">
        <f>IFERROR(IF(($CU331)&gt;0,($FU331)/($CU331),""),"")</f>
        <v/>
      </c>
      <c r="GK331" s="56">
        <f>IFERROR(IF(($CV331)&gt;0,($FV331)/($CV331),""),"")</f>
        <v/>
      </c>
      <c r="GL331" s="56">
        <f>IFERROR(IF(($CW331)&gt;0,($FW331)/($CW331),""),"")</f>
        <v/>
      </c>
      <c r="GM331" s="55">
        <f>IF(SUMIFS(tblPlant[GIC_oz],tblPlant[Date],$A331)&gt;0,SUMIFS(tblPlant[GIC_oz],tblPlant[Date],$A331),"")</f>
        <v/>
      </c>
      <c r="GN331" s="55">
        <f>SUMIFS(tblGold[Gold_oz],tblGold[Date],$A331,tblGold[Type],"Shipment")</f>
        <v/>
      </c>
      <c r="GO331" s="55">
        <f>IF($B331=$B330,$GO330,0)+$GN331</f>
        <v/>
      </c>
      <c r="GP331" s="55">
        <f>$GP330+$GN331</f>
        <v/>
      </c>
      <c r="GQ331" s="55">
        <f>SUMIFS(tblGold[Gold_oz],tblGold[Date],$A331,tblGold[Type],"Sale")</f>
        <v/>
      </c>
      <c r="GR331" s="55">
        <f>IF($B331=$B330,$GR330,0)+$GQ331</f>
        <v/>
      </c>
      <c r="GS331" s="55">
        <f>$GS330+$GQ331</f>
        <v/>
      </c>
      <c r="GT331" s="55">
        <f>SUMIFS(tblGold[Dore_kg],tblGold[Date],$A331,tblGold[Type],"Shipment")</f>
        <v/>
      </c>
      <c r="GU331" s="55">
        <f>IF($B331=$B330,$GU330,0)+$GT331</f>
        <v/>
      </c>
      <c r="GV331" s="55">
        <f>$GV330+$GT331</f>
        <v/>
      </c>
      <c r="GW331" s="57">
        <f>SUMIFS(tblSafety[Hours_Total],tblSafety[Date],$A331)</f>
        <v/>
      </c>
      <c r="GX331" s="57">
        <f>IF($B331=$B330,$GX330,0)+$GW331</f>
        <v/>
      </c>
      <c r="GY331" s="57">
        <f>$GY330+$GW331</f>
        <v/>
      </c>
      <c r="GZ331" s="62">
        <f>SUMIFS(tblSafety[Fatality],tblSafety[Date],$A331)</f>
        <v/>
      </c>
      <c r="HA331" s="62">
        <f>IF($B331=$B330,$HA330,0)+$GZ331</f>
        <v/>
      </c>
      <c r="HB331" s="62">
        <f>$HB330+$GZ331</f>
        <v/>
      </c>
      <c r="HC331" s="62">
        <f>SUMIFS(tblSafety[LTI],tblSafety[Date],$A331)</f>
        <v/>
      </c>
      <c r="HD331" s="62">
        <f>IF($B331=$B330,$HD330,0)+$HC331</f>
        <v/>
      </c>
      <c r="HE331" s="62">
        <f>$HE330+$HC331</f>
        <v/>
      </c>
      <c r="HF331" s="62">
        <f>SUMIFS(tblSafety[RWI],tblSafety[Date],$A331)</f>
        <v/>
      </c>
      <c r="HG331" s="62">
        <f>IF($B331=$B330,$HG330,0)+$HF331</f>
        <v/>
      </c>
      <c r="HH331" s="62">
        <f>$HH330+$HF331</f>
        <v/>
      </c>
      <c r="HI331" s="62">
        <f>SUMIFS(tblSafety[MTI],tblSafety[Date],$A331)</f>
        <v/>
      </c>
      <c r="HJ331" s="62">
        <f>IF($B331=$B330,$HJ330,0)+$HI331</f>
        <v/>
      </c>
      <c r="HK331" s="62">
        <f>$HK330+$HI331</f>
        <v/>
      </c>
      <c r="HL331" s="62">
        <f>SUMIFS(tblSafety[FAI],tblSafety[Date],$A331)</f>
        <v/>
      </c>
      <c r="HM331" s="62">
        <f>IF($B331=$B330,$HM330,0)+$HL331</f>
        <v/>
      </c>
      <c r="HN331" s="62">
        <f>$HN330+$HL331</f>
        <v/>
      </c>
      <c r="HO331" s="62">
        <f>SUMIFS(tblSafety[Recordables],tblSafety[Date],$A331)</f>
        <v/>
      </c>
      <c r="HP331" s="62">
        <f>IF($B331=$B330,$HP330,0)+$HO331</f>
        <v/>
      </c>
      <c r="HQ331" s="62">
        <f>$HQ330+$HO331</f>
        <v/>
      </c>
      <c r="HR331" s="62">
        <f>SUMIFS(tblSafety[Near_Miss],tblSafety[Date],$A331)</f>
        <v/>
      </c>
      <c r="HS331" s="62">
        <f>IF($B331=$B330,$HS330,0)+$HR331</f>
        <v/>
      </c>
      <c r="HT331" s="62">
        <f>$HT330+$HR331</f>
        <v/>
      </c>
      <c r="HU331" s="62">
        <f>SUMIFS(tblSafety[Hazard_Reports],tblSafety[Date],$A331)</f>
        <v/>
      </c>
      <c r="HV331" s="62">
        <f>IF($B331=$B330,$HV330,0)+$HU331</f>
        <v/>
      </c>
      <c r="HW331" s="62">
        <f>$HW330+$HU331</f>
        <v/>
      </c>
      <c r="HX331" s="62">
        <f>SUMIFS(tblSafety[HPI],tblSafety[Date],$A331)</f>
        <v/>
      </c>
      <c r="HY331" s="62">
        <f>IF($B331=$B330,$HY330,0)+$HX331</f>
        <v/>
      </c>
      <c r="HZ331" s="62">
        <f>$HZ330+$HX331</f>
        <v/>
      </c>
      <c r="IA331" s="62">
        <f>SUMIFS(tblSafety[Env_Incidents],tblSafety[Date],$A331)</f>
        <v/>
      </c>
      <c r="IB331" s="62">
        <f>IF($B331=$B330,$IB330,0)+$IA331</f>
        <v/>
      </c>
      <c r="IC331" s="62">
        <f>$IC330+$IA331</f>
        <v/>
      </c>
      <c r="ID331" s="62">
        <f>SUMIFS(tblSafety[Community_Incidents],tblSafety[Date],$A331)</f>
        <v/>
      </c>
      <c r="IE331" s="62">
        <f>IF($B331=$B330,$IE330,0)+$ID331</f>
        <v/>
      </c>
      <c r="IF331" s="62">
        <f>$IF330+$ID331</f>
        <v/>
      </c>
      <c r="IG331" s="62">
        <f>SUMIFS(tblSafety[Vehicle_Incidents],tblSafety[Date],$A331)</f>
        <v/>
      </c>
      <c r="IH331" s="62">
        <f>IF($B331=$B330,$IH330,0)+$IG331</f>
        <v/>
      </c>
      <c r="II331" s="62">
        <f>$II330+$IG331</f>
        <v/>
      </c>
      <c r="IJ331" s="62">
        <f>SUMIFS(tblSafety[Toolbox_Talks],tblSafety[Date],$A331)</f>
        <v/>
      </c>
      <c r="IK331" s="62">
        <f>IF($B331=$B330,$IK330,0)+$IJ331</f>
        <v/>
      </c>
      <c r="IL331" s="62">
        <f>$IL330+$IJ331</f>
        <v/>
      </c>
      <c r="IM331" s="62">
        <f>SUMIFS(tblSafety[Inspections],tblSafety[Date],$A331)</f>
        <v/>
      </c>
      <c r="IN331" s="62">
        <f>IF($B331=$B330,$IN330,0)+$IM331</f>
        <v/>
      </c>
      <c r="IO331" s="62">
        <f>$IO330+$IM331</f>
        <v/>
      </c>
      <c r="IP331" s="56">
        <f>IFERROR((SUMIFS(tblSafety[Recordables],tblSafety[Date],"&gt;="&amp;EDATE($E331,-12),tblSafety[Date],"&lt;="&amp;$A331)+SUMIFS(tblSafetyHistory[Recordables],tblSafetyHistory[Month],"&gt;="&amp;EDATE($E331,-12),tblSafetyHistory[Month],"&lt;"&amp;$E331,tblSafetyHistory[Use],1))/(SUMIFS(tblSafety[Hours_Total],tblSafety[Date],"&gt;="&amp;EDATE($E331,-12),tblSafety[Date],"&lt;="&amp;$A331)+SUMIFS(tblSafetyHistory[Hours_Total],tblSafetyHistory[Month],"&gt;="&amp;EDATE($E331,-12),tblSafetyHistory[Month],"&lt;"&amp;$E331,tblSafetyHistory[Use],1))*cfg_RateBasisHours,"")</f>
        <v/>
      </c>
      <c r="IQ331" s="56">
        <f>IFERROR((SUMIFS(tblSafety[LTI],tblSafety[Date],"&gt;="&amp;EDATE($E331,-12),tblSafety[Date],"&lt;="&amp;$A331)+SUMIFS(tblSafetyHistory[LTI],tblSafetyHistory[Month],"&gt;="&amp;EDATE($E331,-12),tblSafetyHistory[Month],"&lt;"&amp;$E331,tblSafetyHistory[Use],1))/(SUMIFS(tblSafety[Hours_Total],tblSafety[Date],"&gt;="&amp;EDATE($E331,-12),tblSafety[Date],"&lt;="&amp;$A331)+SUMIFS(tblSafetyHistory[Hours_Total],tblSafetyHistory[Month],"&gt;="&amp;EDATE($E331,-12),tblSafetyHistory[Month],"&lt;"&amp;$E331,tblSafetyHistory[Use],1))*cfg_RateBasisHours,"")</f>
        <v/>
      </c>
      <c r="IR331" s="62">
        <f>IF(MAX(N(cfg_PriorLTIDate),_xlfn.MAXIFS(tblSafety[Date],tblSafety[LTI],"&gt;0",tblSafety[Date],"&lt;="&amp;$A331))=0,"",$A331-MAX(N(cfg_PriorLTIDate),_xlfn.MAXIFS(tblSafety[Date],tblSafety[LTI],"&gt;0",tblSafety[Date],"&lt;="&amp;$A331)))</f>
        <v/>
      </c>
      <c r="IS331" s="55">
        <f>SUMIFS(tblBudget[Ore_Mined_t],tblBudget[Month],$E331)</f>
        <v/>
      </c>
      <c r="IT331" s="55">
        <f>$IS331*$C331/$D331</f>
        <v/>
      </c>
      <c r="IU331" s="55">
        <f>SUMIFS(tblBudget[Ore_Mined_t],tblBudget[Month],"&lt;"&amp;$E331)+$IT331</f>
        <v/>
      </c>
      <c r="IV331" s="55">
        <f>SUMIFS(tblBudget[Ore_oz],tblBudget[Month],$E331)</f>
        <v/>
      </c>
      <c r="IW331" s="55">
        <f>$IV331*$C331/$D331</f>
        <v/>
      </c>
      <c r="IX331" s="55">
        <f>SUMIFS(tblBudget[Ore_oz],tblBudget[Month],"&lt;"&amp;$E331)+$IW331</f>
        <v/>
      </c>
      <c r="IY331" s="55">
        <f>SUMIFS(tblBudget[Ore_Mined_t],tblBudget[Month],$E331)</f>
        <v/>
      </c>
      <c r="IZ331" s="55">
        <f>$IY331*$C331/$D331</f>
        <v/>
      </c>
      <c r="JA331" s="55">
        <f>SUMIFS(tblBudget[Ore_Mined_t],tblBudget[Month],"&lt;"&amp;$E331)+$IZ331</f>
        <v/>
      </c>
      <c r="JB331" s="56">
        <f>IFERROR(IF(($IY331)&gt;0,($IV331*cfg_TroyOz)/($IY331),""),"")</f>
        <v/>
      </c>
      <c r="JC331" s="56">
        <f>IFERROR(IF(($IZ331)&gt;0,($IW331*cfg_TroyOz)/($IZ331),""),"")</f>
        <v/>
      </c>
      <c r="JD331" s="56">
        <f>IFERROR(IF(($JA331)&gt;0,($IX331*cfg_TroyOz)/($JA331),""),"")</f>
        <v/>
      </c>
      <c r="JE331" s="55">
        <f>SUMIFS(tblBudget[Waste_t],tblBudget[Month],$E331)</f>
        <v/>
      </c>
      <c r="JF331" s="55">
        <f>$JE331*$C331/$D331</f>
        <v/>
      </c>
      <c r="JG331" s="55">
        <f>SUMIFS(tblBudget[Waste_t],tblBudget[Month],"&lt;"&amp;$E331)+$JF331</f>
        <v/>
      </c>
      <c r="JH331" s="55">
        <f>SUMIFS(tblBudget[TMM_t],tblBudget[Month],$E331)</f>
        <v/>
      </c>
      <c r="JI331" s="55">
        <f>$JH331*$C331/$D331</f>
        <v/>
      </c>
      <c r="JJ331" s="55">
        <f>SUMIFS(tblBudget[TMM_t],tblBudget[Month],"&lt;"&amp;$E331)+$JI331</f>
        <v/>
      </c>
      <c r="JK331" s="56">
        <f>IFERROR(IF(($IS331)&gt;0,($JE331)/($IS331),""),"")</f>
        <v/>
      </c>
      <c r="JL331" s="56">
        <f>IFERROR(IF(($IT331)&gt;0,($JF331)/($IT331),""),"")</f>
        <v/>
      </c>
      <c r="JM331" s="56">
        <f>IFERROR(IF(($IU331)&gt;0,($JG331)/($IU331),""),"")</f>
        <v/>
      </c>
      <c r="JN331" s="55">
        <f>SUMIFS(tblBudget[Drill_m],tblBudget[Month],$E331)</f>
        <v/>
      </c>
      <c r="JO331" s="55">
        <f>$JN331*$C331/$D331</f>
        <v/>
      </c>
      <c r="JP331" s="55">
        <f>SUMIFS(tblBudget[Drill_m],tblBudget[Month],"&lt;"&amp;$E331)+$JO331</f>
        <v/>
      </c>
      <c r="JQ331" s="55">
        <f>SUMIFS(tblBudget[Diesel_L],tblBudget[Month],$E331)</f>
        <v/>
      </c>
      <c r="JR331" s="55">
        <f>$JQ331*$C331/$D331</f>
        <v/>
      </c>
      <c r="JS331" s="55">
        <f>SUMIFS(tblBudget[Diesel_L],tblBudget[Month],"&lt;"&amp;$E331)+$JR331</f>
        <v/>
      </c>
      <c r="JT331" s="55">
        <f>SUMIFS(tblBudget[Milled_t],tblBudget[Month],$E331)</f>
        <v/>
      </c>
      <c r="JU331" s="55">
        <f>$JT331*$C331/$D331</f>
        <v/>
      </c>
      <c r="JV331" s="55">
        <f>SUMIFS(tblBudget[Milled_t],tblBudget[Month],"&lt;"&amp;$E331)+$JU331</f>
        <v/>
      </c>
      <c r="JW331" s="55">
        <f>SUMIFS(tblBudget[Feed_oz],tblBudget[Month],$E331)</f>
        <v/>
      </c>
      <c r="JX331" s="55">
        <f>$JW331*$C331/$D331</f>
        <v/>
      </c>
      <c r="JY331" s="55">
        <f>SUMIFS(tblBudget[Feed_oz],tblBudget[Month],"&lt;"&amp;$E331)+$JX331</f>
        <v/>
      </c>
      <c r="JZ331" s="55">
        <f>SUMIFS(tblBudget[Recovered_oz],tblBudget[Month],$E331)</f>
        <v/>
      </c>
      <c r="KA331" s="55">
        <f>$JZ331*$C331/$D331</f>
        <v/>
      </c>
      <c r="KB331" s="55">
        <f>SUMIFS(tblBudget[Recovered_oz],tblBudget[Month],"&lt;"&amp;$E331)+$KA331</f>
        <v/>
      </c>
      <c r="KC331" s="55">
        <f>SUMIFS(tblBudget[Milled_t],tblBudget[Month],$E331)</f>
        <v/>
      </c>
      <c r="KD331" s="55">
        <f>$KC331*$C331/$D331</f>
        <v/>
      </c>
      <c r="KE331" s="55">
        <f>SUMIFS(tblBudget[Milled_t],tblBudget[Month],"&lt;"&amp;$E331)+$KD331</f>
        <v/>
      </c>
      <c r="KF331" s="55">
        <f>SUMIFS(tblBudget[Feed_oz],tblBudget[Month],$E331)</f>
        <v/>
      </c>
      <c r="KG331" s="55">
        <f>$KF331*$C331/$D331</f>
        <v/>
      </c>
      <c r="KH331" s="55">
        <f>SUMIFS(tblBudget[Feed_oz],tblBudget[Month],"&lt;"&amp;$E331)+$KG331</f>
        <v/>
      </c>
      <c r="KI331" s="56">
        <f>IFERROR(IF(($KC331)&gt;0,($JW331*cfg_TroyOz)/($KC331),""),"")</f>
        <v/>
      </c>
      <c r="KJ331" s="56">
        <f>IFERROR(IF(($KD331)&gt;0,($JX331*cfg_TroyOz)/($KD331),""),"")</f>
        <v/>
      </c>
      <c r="KK331" s="56">
        <f>IFERROR(IF(($KE331)&gt;0,($JY331*cfg_TroyOz)/($KE331),""),"")</f>
        <v/>
      </c>
      <c r="KL331" s="67">
        <f>IFERROR(IF(($KF331)&gt;0,($JZ331)/($KF331),""),"")</f>
        <v/>
      </c>
      <c r="KM331" s="67">
        <f>IFERROR(IF(($KG331)&gt;0,($KA331)/($KG331),""),"")</f>
        <v/>
      </c>
      <c r="KN331" s="67">
        <f>IFERROR(IF(($KH331)&gt;0,($KB331)/($KH331),""),"")</f>
        <v/>
      </c>
      <c r="KO331" s="55">
        <f>SUMIFS(tblBudget[Gold_Poured_oz],tblBudget[Month],$E331)</f>
        <v/>
      </c>
      <c r="KP331" s="55">
        <f>$KO331*$C331/$D331</f>
        <v/>
      </c>
      <c r="KQ331" s="55">
        <f>SUMIFS(tblBudget[Gold_Poured_oz],tblBudget[Month],"&lt;"&amp;$E331)+$KP331</f>
        <v/>
      </c>
      <c r="KR331" s="57">
        <f>SUMIFS(tblBudget[Hours_Worked],tblBudget[Month],$E331)</f>
        <v/>
      </c>
      <c r="KS331" s="57">
        <f>$KR331*$C331/$D331</f>
        <v/>
      </c>
      <c r="KT331" s="57">
        <f>SUMIFS(tblBudget[Hours_Worked],tblBudget[Month],"&lt;"&amp;$E331)+$KS331</f>
        <v/>
      </c>
    </row>
    <row r="332">
      <c r="A332" s="54" t="n">
        <v>46353</v>
      </c>
      <c r="B332">
        <f>MONTH($A332)</f>
        <v/>
      </c>
      <c r="C332">
        <f>DAY($A332)</f>
        <v/>
      </c>
      <c r="D332">
        <f>DAY(EOMONTH($A332,0))</f>
        <v/>
      </c>
      <c r="E332" s="54">
        <f>DATE(YEAR($A332),MONTH($A332),1)</f>
        <v/>
      </c>
      <c r="F332" s="55">
        <f>SUMIFS(tblMovement[Tonnes_t],tblMovement[Date],$A332,tblMovement[Is_Ore],1,tblMovement[Source_Type],"Pit")</f>
        <v/>
      </c>
      <c r="G332" s="55">
        <f>IF($B332=$B331,$G331,0)+$F332</f>
        <v/>
      </c>
      <c r="H332" s="55">
        <f>$H331+$F332</f>
        <v/>
      </c>
      <c r="I332" s="55">
        <f>SUMIFS(tblMovement[Ore_oz],tblMovement[Date],$A332,tblMovement[Source_Type],"Pit")</f>
        <v/>
      </c>
      <c r="J332" s="55">
        <f>IF($B332=$B331,$J331,0)+$I332</f>
        <v/>
      </c>
      <c r="K332" s="55">
        <f>$K331+$I332</f>
        <v/>
      </c>
      <c r="L332" s="55">
        <f>SUMIFS(tblMovement[Tonnes_t],tblMovement[Date],$A332,tblMovement[Is_Ore],1,tblMovement[Source_Type],"Pit",tblMovement[Grade_gpt],"&lt;&gt;")</f>
        <v/>
      </c>
      <c r="M332" s="55">
        <f>IF($B332=$B331,$M331,0)+$L332</f>
        <v/>
      </c>
      <c r="N332" s="55">
        <f>$N331+$L332</f>
        <v/>
      </c>
      <c r="O332" s="56">
        <f>IFERROR(IF(($L332)&gt;0,($I332*cfg_TroyOz)/($L332),""),"")</f>
        <v/>
      </c>
      <c r="P332" s="56">
        <f>IFERROR(IF(($M332)&gt;0,($J332*cfg_TroyOz)/($M332),""),"")</f>
        <v/>
      </c>
      <c r="Q332" s="56">
        <f>IFERROR(IF(($N332)&gt;0,($K332*cfg_TroyOz)/($N332),""),"")</f>
        <v/>
      </c>
      <c r="R332" s="55">
        <f>$F332-$L332</f>
        <v/>
      </c>
      <c r="S332" s="55">
        <f>IF($B332=$B331,$S331,0)+$R332</f>
        <v/>
      </c>
      <c r="T332" s="55">
        <f>$T331+$R332</f>
        <v/>
      </c>
      <c r="U332" s="55">
        <f>SUMIFS(tblMovement[Tonnes_t],tblMovement[Date],$A332,tblMovement[Is_Ore],0,tblMovement[Source_Type],"Pit")</f>
        <v/>
      </c>
      <c r="V332" s="55">
        <f>IF($B332=$B331,$V331,0)+$U332</f>
        <v/>
      </c>
      <c r="W332" s="55">
        <f>$W331+$U332</f>
        <v/>
      </c>
      <c r="X332" s="55">
        <f>$F332+$U332</f>
        <v/>
      </c>
      <c r="Y332" s="55">
        <f>IF($B332=$B331,$Y331,0)+$X332</f>
        <v/>
      </c>
      <c r="Z332" s="55">
        <f>$Z331+$X332</f>
        <v/>
      </c>
      <c r="AA332" s="56">
        <f>IFERROR(IF(($F332)&gt;0,($U332)/($F332),""),"")</f>
        <v/>
      </c>
      <c r="AB332" s="56">
        <f>IFERROR(IF(($G332)&gt;0,($V332)/($G332),""),"")</f>
        <v/>
      </c>
      <c r="AC332" s="56">
        <f>IFERROR(IF(($H332)&gt;0,($W332)/($H332),""),"")</f>
        <v/>
      </c>
      <c r="AD332" s="55">
        <f>SUMIFS(tblMovement[Tonnes_t],tblMovement[Date],$A332,tblMovement[Source_Type],"Stockpile")</f>
        <v/>
      </c>
      <c r="AE332" s="55">
        <f>IF($B332=$B331,$AE331,0)+$AD332</f>
        <v/>
      </c>
      <c r="AF332" s="55">
        <f>$AF331+$AD332</f>
        <v/>
      </c>
      <c r="AG332" s="55">
        <f>SUMIFS(tblMovement[Tonnes_t],tblMovement[Date],$A332)</f>
        <v/>
      </c>
      <c r="AH332" s="55">
        <f>IF($B332=$B331,$AH331,0)+$AG332</f>
        <v/>
      </c>
      <c r="AI332" s="55">
        <f>$AI331+$AG332</f>
        <v/>
      </c>
      <c r="AJ332" s="55">
        <f>$AG332-$X332-$AD332</f>
        <v/>
      </c>
      <c r="AK332" s="55">
        <f>IF($B332=$B331,$AK331,0)+$AJ332</f>
        <v/>
      </c>
      <c r="AL332" s="55">
        <f>$AL331+$AJ332</f>
        <v/>
      </c>
      <c r="AM332" s="55">
        <f>SUMIFS(tblMiningDaily[Drill_m],tblMiningDaily[Date],$A332)</f>
        <v/>
      </c>
      <c r="AN332" s="55">
        <f>IF($B332=$B331,$AN331,0)+$AM332</f>
        <v/>
      </c>
      <c r="AO332" s="55">
        <f>$AO331+$AM332</f>
        <v/>
      </c>
      <c r="AP332" s="55">
        <f>SUMIFS(tblMiningDaily[GC_Drill_m],tblMiningDaily[Date],$A332)</f>
        <v/>
      </c>
      <c r="AQ332" s="55">
        <f>IF($B332=$B331,$AQ331,0)+$AP332</f>
        <v/>
      </c>
      <c r="AR332" s="55">
        <f>$AR331+$AP332</f>
        <v/>
      </c>
      <c r="AS332" s="55">
        <f>SUMIFS(tblMiningDaily[Blast_t],tblMiningDaily[Date],$A332)</f>
        <v/>
      </c>
      <c r="AT332" s="55">
        <f>IF($B332=$B331,$AT331,0)+$AS332</f>
        <v/>
      </c>
      <c r="AU332" s="55">
        <f>$AU331+$AS332</f>
        <v/>
      </c>
      <c r="AV332" s="55">
        <f>SUMIFS(tblMiningDaily[Explosives_kg],tblMiningDaily[Date],$A332)</f>
        <v/>
      </c>
      <c r="AW332" s="55">
        <f>IF($B332=$B331,$AW331,0)+$AV332</f>
        <v/>
      </c>
      <c r="AX332" s="55">
        <f>$AX331+$AV332</f>
        <v/>
      </c>
      <c r="AY332" s="56">
        <f>IFERROR(IF(($AS332)&gt;0,($AV332)/($AS332),""),"")</f>
        <v/>
      </c>
      <c r="AZ332" s="56">
        <f>IFERROR(IF(($AT332)&gt;0,($AW332)/($AT332),""),"")</f>
        <v/>
      </c>
      <c r="BA332" s="56">
        <f>IFERROR(IF(($AU332)&gt;0,($AX332)/($AU332),""),"")</f>
        <v/>
      </c>
      <c r="BB332" s="55">
        <f>SUMIFS(tblMiningDaily[Diesel_L],tblMiningDaily[Date],$A332)</f>
        <v/>
      </c>
      <c r="BC332" s="55">
        <f>IF($B332=$B331,$BC331,0)+$BB332</f>
        <v/>
      </c>
      <c r="BD332" s="55">
        <f>$BD331+$BB332</f>
        <v/>
      </c>
      <c r="BE332" s="55">
        <f>SUMIFS(tblMiningDaily[Dewatering_m3],tblMiningDaily[Date],$A332)</f>
        <v/>
      </c>
      <c r="BF332" s="55">
        <f>IF($B332=$B331,$BF331,0)+$BE332</f>
        <v/>
      </c>
      <c r="BG332" s="55">
        <f>$BG331+$BE332</f>
        <v/>
      </c>
      <c r="BH332" s="57">
        <f>SUMIFS(tblFleet[Calendar_h],tblFleet[Date],$A332,tblFleet[Equipment_Class],"Excavator")</f>
        <v/>
      </c>
      <c r="BI332" s="57">
        <f>IF($B332=$B331,$BI331,0)+$BH332</f>
        <v/>
      </c>
      <c r="BJ332" s="57">
        <f>$BJ331+$BH332</f>
        <v/>
      </c>
      <c r="BK332" s="57">
        <f>SUMIFS(tblFleet[Available_h],tblFleet[Date],$A332,tblFleet[Equipment_Class],"Excavator")</f>
        <v/>
      </c>
      <c r="BL332" s="57">
        <f>IF($B332=$B331,$BL331,0)+$BK332</f>
        <v/>
      </c>
      <c r="BM332" s="57">
        <f>$BM331+$BK332</f>
        <v/>
      </c>
      <c r="BN332" s="57">
        <f>SUMIFS(tblFleet[Operating_h],tblFleet[Date],$A332,tblFleet[Equipment_Class],"Excavator")</f>
        <v/>
      </c>
      <c r="BO332" s="57">
        <f>IF($B332=$B331,$BO331,0)+$BN332</f>
        <v/>
      </c>
      <c r="BP332" s="57">
        <f>$BP331+$BN332</f>
        <v/>
      </c>
      <c r="BQ332" s="67">
        <f>IFERROR(IF(($BH332)&gt;0,($BK332)/($BH332),""),"")</f>
        <v/>
      </c>
      <c r="BR332" s="67">
        <f>IFERROR(IF(($BI332)&gt;0,($BL332)/($BI332),""),"")</f>
        <v/>
      </c>
      <c r="BS332" s="67">
        <f>IFERROR(IF(($BJ332)&gt;0,($BM332)/($BJ332),""),"")</f>
        <v/>
      </c>
      <c r="BT332" s="67">
        <f>IFERROR(IF(($BK332)&gt;0,($BN332)/($BK332),""),"")</f>
        <v/>
      </c>
      <c r="BU332" s="67">
        <f>IFERROR(IF(($BL332)&gt;0,($BO332)/($BL332),""),"")</f>
        <v/>
      </c>
      <c r="BV332" s="67">
        <f>IFERROR(IF(($BM332)&gt;0,($BP332)/($BM332),""),"")</f>
        <v/>
      </c>
      <c r="BW332" s="57">
        <f>SUMIFS(tblFleet[Calendar_h],tblFleet[Date],$A332,tblFleet[Equipment_Class],"Haul Truck")</f>
        <v/>
      </c>
      <c r="BX332" s="57">
        <f>IF($B332=$B331,$BX331,0)+$BW332</f>
        <v/>
      </c>
      <c r="BY332" s="57">
        <f>$BY331+$BW332</f>
        <v/>
      </c>
      <c r="BZ332" s="57">
        <f>SUMIFS(tblFleet[Available_h],tblFleet[Date],$A332,tblFleet[Equipment_Class],"Haul Truck")</f>
        <v/>
      </c>
      <c r="CA332" s="57">
        <f>IF($B332=$B331,$CA331,0)+$BZ332</f>
        <v/>
      </c>
      <c r="CB332" s="57">
        <f>$CB331+$BZ332</f>
        <v/>
      </c>
      <c r="CC332" s="57">
        <f>SUMIFS(tblFleet[Operating_h],tblFleet[Date],$A332,tblFleet[Equipment_Class],"Haul Truck")</f>
        <v/>
      </c>
      <c r="CD332" s="57">
        <f>IF($B332=$B331,$CD331,0)+$CC332</f>
        <v/>
      </c>
      <c r="CE332" s="57">
        <f>$CE331+$CC332</f>
        <v/>
      </c>
      <c r="CF332" s="67">
        <f>IFERROR(IF(($BW332)&gt;0,($BZ332)/($BW332),""),"")</f>
        <v/>
      </c>
      <c r="CG332" s="67">
        <f>IFERROR(IF(($BX332)&gt;0,($CA332)/($BX332),""),"")</f>
        <v/>
      </c>
      <c r="CH332" s="67">
        <f>IFERROR(IF(($BY332)&gt;0,($CB332)/($BY332),""),"")</f>
        <v/>
      </c>
      <c r="CI332" s="67">
        <f>IFERROR(IF(($BZ332)&gt;0,($CC332)/($BZ332),""),"")</f>
        <v/>
      </c>
      <c r="CJ332" s="67">
        <f>IFERROR(IF(($CA332)&gt;0,($CD332)/($CA332),""),"")</f>
        <v/>
      </c>
      <c r="CK332" s="67">
        <f>IFERROR(IF(($CB332)&gt;0,($CE332)/($CB332),""),"")</f>
        <v/>
      </c>
      <c r="CL332" s="55">
        <f>IFERROR(IF(($BN332)&gt;0,($X332+$AD332)/($BN332),""),"")</f>
        <v/>
      </c>
      <c r="CM332" s="55">
        <f>IFERROR(IF(($BO332)&gt;0,($Y332+$AE332)/($BO332),""),"")</f>
        <v/>
      </c>
      <c r="CN332" s="55">
        <f>IFERROR(IF(($BP332)&gt;0,($Z332+$AF332)/($BP332),""),"")</f>
        <v/>
      </c>
      <c r="CO332" s="55">
        <f>IFERROR(IF(($CC332)&gt;0,($X332+$AD332)/($CC332),""),"")</f>
        <v/>
      </c>
      <c r="CP332" s="55">
        <f>IFERROR(IF(($CD332)&gt;0,($Y332+$AE332)/($CD332),""),"")</f>
        <v/>
      </c>
      <c r="CQ332" s="55">
        <f>IFERROR(IF(($CE332)&gt;0,($Z332+$AF332)/($CE332),""),"")</f>
        <v/>
      </c>
      <c r="CR332" s="55">
        <f>SUMIFS(tblPlant[Crushed_t],tblPlant[Date],$A332)</f>
        <v/>
      </c>
      <c r="CS332" s="55">
        <f>IF($B332=$B331,$CS331,0)+$CR332</f>
        <v/>
      </c>
      <c r="CT332" s="55">
        <f>$CT331+$CR332</f>
        <v/>
      </c>
      <c r="CU332" s="55">
        <f>SUMIFS(tblPlant[Milled_t],tblPlant[Date],$A332)</f>
        <v/>
      </c>
      <c r="CV332" s="55">
        <f>IF($B332=$B331,$CV331,0)+$CU332</f>
        <v/>
      </c>
      <c r="CW332" s="55">
        <f>$CW331+$CU332</f>
        <v/>
      </c>
      <c r="CX332" s="55">
        <f>SUMIFS(tblPlant[Feed_oz],tblPlant[Date],$A332)</f>
        <v/>
      </c>
      <c r="CY332" s="55">
        <f>IF($B332=$B331,$CY331,0)+$CX332</f>
        <v/>
      </c>
      <c r="CZ332" s="55">
        <f>$CZ331+$CX332</f>
        <v/>
      </c>
      <c r="DA332" s="55">
        <f>SUMIFS(tblPlant[Tails_oz],tblPlant[Date],$A332)</f>
        <v/>
      </c>
      <c r="DB332" s="55">
        <f>IF($B332=$B331,$DB331,0)+$DA332</f>
        <v/>
      </c>
      <c r="DC332" s="55">
        <f>$DC331+$DA332</f>
        <v/>
      </c>
      <c r="DD332" s="55">
        <f>SUMIFS(tblPlant[Recovered_oz],tblPlant[Date],$A332)</f>
        <v/>
      </c>
      <c r="DE332" s="55">
        <f>IF($B332=$B331,$DE331,0)+$DD332</f>
        <v/>
      </c>
      <c r="DF332" s="55">
        <f>$DF331+$DD332</f>
        <v/>
      </c>
      <c r="DG332" s="55">
        <f>SUMIFS(tblPlant[Milled_t],tblPlant[Date],$A332,tblPlant[Head_Grade_gpt],"&lt;&gt;")</f>
        <v/>
      </c>
      <c r="DH332" s="55">
        <f>IF($B332=$B331,$DH331,0)+$DG332</f>
        <v/>
      </c>
      <c r="DI332" s="55">
        <f>$DI331+$DG332</f>
        <v/>
      </c>
      <c r="DJ332" s="55">
        <f>SUMIFS(tblPlant[Milled_t],tblPlant[Date],$A332,tblPlant[Tails_Grade_gpt],"&lt;&gt;")</f>
        <v/>
      </c>
      <c r="DK332" s="55">
        <f>IF($B332=$B331,$DK331,0)+$DJ332</f>
        <v/>
      </c>
      <c r="DL332" s="55">
        <f>$DL331+$DJ332</f>
        <v/>
      </c>
      <c r="DM332" s="55">
        <f>SUMIFS(tblPlant[Feed_oz],tblPlant[Date],$A332,tblPlant[Tails_Grade_gpt],"&lt;&gt;")</f>
        <v/>
      </c>
      <c r="DN332" s="55">
        <f>IF($B332=$B331,$DN331,0)+$DM332</f>
        <v/>
      </c>
      <c r="DO332" s="55">
        <f>$DO331+$DM332</f>
        <v/>
      </c>
      <c r="DP332" s="55">
        <f>SUMIFS(tblPlant[Milled_t],tblPlant[Date],$A332,tblPlant[Mill_Run_h],"&lt;&gt;")</f>
        <v/>
      </c>
      <c r="DQ332" s="55">
        <f>IF($B332=$B331,$DQ331,0)+$DP332</f>
        <v/>
      </c>
      <c r="DR332" s="55">
        <f>$DR331+$DP332</f>
        <v/>
      </c>
      <c r="DS332" s="56">
        <f>IFERROR(IF(($DG332)&gt;0,($CX332*cfg_TroyOz)/($DG332),""),"")</f>
        <v/>
      </c>
      <c r="DT332" s="56">
        <f>IFERROR(IF(($DH332)&gt;0,($CY332*cfg_TroyOz)/($DH332),""),"")</f>
        <v/>
      </c>
      <c r="DU332" s="56">
        <f>IFERROR(IF(($DI332)&gt;0,($CZ332*cfg_TroyOz)/($DI332),""),"")</f>
        <v/>
      </c>
      <c r="DV332" s="56">
        <f>IFERROR(IF(($DJ332)&gt;0,($DA332*cfg_TroyOz)/($DJ332),""),"")</f>
        <v/>
      </c>
      <c r="DW332" s="56">
        <f>IFERROR(IF(($DK332)&gt;0,($DB332*cfg_TroyOz)/($DK332),""),"")</f>
        <v/>
      </c>
      <c r="DX332" s="56">
        <f>IFERROR(IF(($DL332)&gt;0,($DC332*cfg_TroyOz)/($DL332),""),"")</f>
        <v/>
      </c>
      <c r="DY332" s="67">
        <f>IFERROR(IF(($DM332)&gt;0,($DD332)/($DM332),""),"")</f>
        <v/>
      </c>
      <c r="DZ332" s="67">
        <f>IFERROR(IF(($DN332)&gt;0,($DE332)/($DN332),""),"")</f>
        <v/>
      </c>
      <c r="EA332" s="67">
        <f>IFERROR(IF(($DO332)&gt;0,($DF332)/($DO332),""),"")</f>
        <v/>
      </c>
      <c r="EB332" s="55">
        <f>SUMIFS(tblPlant[Gravity_Gold_oz],tblPlant[Date],$A332)</f>
        <v/>
      </c>
      <c r="EC332" s="55">
        <f>IF($B332=$B331,$EC331,0)+$EB332</f>
        <v/>
      </c>
      <c r="ED332" s="55">
        <f>$ED331+$EB332</f>
        <v/>
      </c>
      <c r="EE332" s="67">
        <f>IFERROR(IF(($DD332)&gt;0,($EB332)/($DD332),""),"")</f>
        <v/>
      </c>
      <c r="EF332" s="67">
        <f>IFERROR(IF(($DE332)&gt;0,($EC332)/($DE332),""),"")</f>
        <v/>
      </c>
      <c r="EG332" s="67">
        <f>IFERROR(IF(($DF332)&gt;0,($ED332)/($DF332),""),"")</f>
        <v/>
      </c>
      <c r="EH332" s="55">
        <f>SUMIFS(tblPlant[Gold_Poured_oz],tblPlant[Date],$A332)</f>
        <v/>
      </c>
      <c r="EI332" s="55">
        <f>IF($B332=$B331,$EI331,0)+$EH332</f>
        <v/>
      </c>
      <c r="EJ332" s="55">
        <f>$EJ331+$EH332</f>
        <v/>
      </c>
      <c r="EK332" s="57">
        <f>SUMIFS(tblPlant[Mill_Run_h],tblPlant[Date],$A332)</f>
        <v/>
      </c>
      <c r="EL332" s="57">
        <f>IF($B332=$B331,$EL331,0)+$EK332</f>
        <v/>
      </c>
      <c r="EM332" s="57">
        <f>$EM331+$EK332</f>
        <v/>
      </c>
      <c r="EN332" s="57">
        <f>SUMIFS(tblPlant[Mill_Planned_Maint_h],tblPlant[Date],$A332)</f>
        <v/>
      </c>
      <c r="EO332" s="57">
        <f>IF($B332=$B331,$EO331,0)+$EN332</f>
        <v/>
      </c>
      <c r="EP332" s="57">
        <f>$EP331+$EN332</f>
        <v/>
      </c>
      <c r="EQ332" s="57">
        <f>SUMIFS(tblPlant[Mill_Unplanned_Down_h],tblPlant[Date],$A332)</f>
        <v/>
      </c>
      <c r="ER332" s="57">
        <f>IF($B332=$B331,$ER331,0)+$EQ332</f>
        <v/>
      </c>
      <c r="ES332" s="57">
        <f>$ES331+$EQ332</f>
        <v/>
      </c>
      <c r="ET332" s="57">
        <f>IF(COUNTIFS(tblPlant[Date],$A332,tblPlant[Mill_Run_h],"&lt;&gt;")+COUNTIFS(tblPlant[Date],$A332,tblPlant[Mill_Planned_Maint_h],"&lt;&gt;")+COUNTIFS(tblPlant[Date],$A332,tblPlant[Mill_Unplanned_Down_h],"&lt;&gt;")&gt;0,cfg_HoursPerDay,0)</f>
        <v/>
      </c>
      <c r="EU332" s="57">
        <f>IF($B332=$B331,$EU331,0)+$ET332</f>
        <v/>
      </c>
      <c r="EV332" s="57">
        <f>$EV331+$ET332</f>
        <v/>
      </c>
      <c r="EW332" s="57">
        <f>SUMIFS(tblPlant[Crusher_Run_h],tblPlant[Date],$A332)</f>
        <v/>
      </c>
      <c r="EX332" s="57">
        <f>IF($B332=$B331,$EX331,0)+$EW332</f>
        <v/>
      </c>
      <c r="EY332" s="57">
        <f>$EY331+$EW332</f>
        <v/>
      </c>
      <c r="EZ332" s="55">
        <f>IFERROR(IF(($EK332)&gt;0,($DP332)/($EK332),""),"")</f>
        <v/>
      </c>
      <c r="FA332" s="55">
        <f>IFERROR(IF(($EL332)&gt;0,($DQ332)/($EL332),""),"")</f>
        <v/>
      </c>
      <c r="FB332" s="55">
        <f>IFERROR(IF(($EM332)&gt;0,($DR332)/($EM332),""),"")</f>
        <v/>
      </c>
      <c r="FC332" s="67">
        <f>IFERROR(IF(($ET332)&gt;0,($ET332-$EN332-$EQ332)/($ET332),""),"")</f>
        <v/>
      </c>
      <c r="FD332" s="67">
        <f>IFERROR(IF(($EU332)&gt;0,($EU332-$EO332-$ER332)/($EU332),""),"")</f>
        <v/>
      </c>
      <c r="FE332" s="67">
        <f>IFERROR(IF(($EV332)&gt;0,($EV332-$EP332-$ES332)/($EV332),""),"")</f>
        <v/>
      </c>
      <c r="FF332" s="67">
        <f>IFERROR(IF(($ET332-$EN332-$EQ332)&gt;0,($EK332)/($ET332-$EN332-$EQ332),""),"")</f>
        <v/>
      </c>
      <c r="FG332" s="67">
        <f>IFERROR(IF(($EU332-$EO332-$ER332)&gt;0,($EL332)/($EU332-$EO332-$ER332),""),"")</f>
        <v/>
      </c>
      <c r="FH332" s="67">
        <f>IFERROR(IF(($EV332-$EP332-$ES332)&gt;0,($EM332)/($EV332-$EP332-$ES332),""),"")</f>
        <v/>
      </c>
      <c r="FI332" s="55">
        <f>SUMIFS(tblPlant[Cyanide_kg],tblPlant[Date],$A332)</f>
        <v/>
      </c>
      <c r="FJ332" s="55">
        <f>IF($B332=$B331,$FJ331,0)+$FI332</f>
        <v/>
      </c>
      <c r="FK332" s="55">
        <f>$FK331+$FI332</f>
        <v/>
      </c>
      <c r="FL332" s="55">
        <f>SUMIFS(tblPlant[Lime_kg],tblPlant[Date],$A332)</f>
        <v/>
      </c>
      <c r="FM332" s="55">
        <f>IF($B332=$B331,$FM331,0)+$FL332</f>
        <v/>
      </c>
      <c r="FN332" s="55">
        <f>$FN331+$FL332</f>
        <v/>
      </c>
      <c r="FO332" s="55">
        <f>SUMIFS(tblPlant[Grinding_Media_kg],tblPlant[Date],$A332)</f>
        <v/>
      </c>
      <c r="FP332" s="55">
        <f>IF($B332=$B331,$FP331,0)+$FO332</f>
        <v/>
      </c>
      <c r="FQ332" s="55">
        <f>$FQ331+$FO332</f>
        <v/>
      </c>
      <c r="FR332" s="55">
        <f>SUMIFS(tblPlant[Power_kWh],tblPlant[Date],$A332)</f>
        <v/>
      </c>
      <c r="FS332" s="55">
        <f>IF($B332=$B331,$FS331,0)+$FR332</f>
        <v/>
      </c>
      <c r="FT332" s="55">
        <f>$FT331+$FR332</f>
        <v/>
      </c>
      <c r="FU332" s="55">
        <f>SUMIFS(tblPlant[Raw_Water_m3],tblPlant[Date],$A332)</f>
        <v/>
      </c>
      <c r="FV332" s="55">
        <f>IF($B332=$B331,$FV331,0)+$FU332</f>
        <v/>
      </c>
      <c r="FW332" s="55">
        <f>$FW331+$FU332</f>
        <v/>
      </c>
      <c r="FX332" s="56">
        <f>IFERROR(IF(($CU332)&gt;0,($FI332)/($CU332),""),"")</f>
        <v/>
      </c>
      <c r="FY332" s="56">
        <f>IFERROR(IF(($CV332)&gt;0,($FJ332)/($CV332),""),"")</f>
        <v/>
      </c>
      <c r="FZ332" s="56">
        <f>IFERROR(IF(($CW332)&gt;0,($FK332)/($CW332),""),"")</f>
        <v/>
      </c>
      <c r="GA332" s="56">
        <f>IFERROR(IF(($CU332)&gt;0,($FL332)/($CU332),""),"")</f>
        <v/>
      </c>
      <c r="GB332" s="56">
        <f>IFERROR(IF(($CV332)&gt;0,($FM332)/($CV332),""),"")</f>
        <v/>
      </c>
      <c r="GC332" s="56">
        <f>IFERROR(IF(($CW332)&gt;0,($FN332)/($CW332),""),"")</f>
        <v/>
      </c>
      <c r="GD332" s="56">
        <f>IFERROR(IF(($CU332)&gt;0,($FO332)/($CU332),""),"")</f>
        <v/>
      </c>
      <c r="GE332" s="56">
        <f>IFERROR(IF(($CV332)&gt;0,($FP332)/($CV332),""),"")</f>
        <v/>
      </c>
      <c r="GF332" s="56">
        <f>IFERROR(IF(($CW332)&gt;0,($FQ332)/($CW332),""),"")</f>
        <v/>
      </c>
      <c r="GG332" s="79">
        <f>IFERROR(IF(($CU332)&gt;0,($FR332)/($CU332),""),"")</f>
        <v/>
      </c>
      <c r="GH332" s="79">
        <f>IFERROR(IF(($CV332)&gt;0,($FS332)/($CV332),""),"")</f>
        <v/>
      </c>
      <c r="GI332" s="79">
        <f>IFERROR(IF(($CW332)&gt;0,($FT332)/($CW332),""),"")</f>
        <v/>
      </c>
      <c r="GJ332" s="56">
        <f>IFERROR(IF(($CU332)&gt;0,($FU332)/($CU332),""),"")</f>
        <v/>
      </c>
      <c r="GK332" s="56">
        <f>IFERROR(IF(($CV332)&gt;0,($FV332)/($CV332),""),"")</f>
        <v/>
      </c>
      <c r="GL332" s="56">
        <f>IFERROR(IF(($CW332)&gt;0,($FW332)/($CW332),""),"")</f>
        <v/>
      </c>
      <c r="GM332" s="55">
        <f>IF(SUMIFS(tblPlant[GIC_oz],tblPlant[Date],$A332)&gt;0,SUMIFS(tblPlant[GIC_oz],tblPlant[Date],$A332),"")</f>
        <v/>
      </c>
      <c r="GN332" s="55">
        <f>SUMIFS(tblGold[Gold_oz],tblGold[Date],$A332,tblGold[Type],"Shipment")</f>
        <v/>
      </c>
      <c r="GO332" s="55">
        <f>IF($B332=$B331,$GO331,0)+$GN332</f>
        <v/>
      </c>
      <c r="GP332" s="55">
        <f>$GP331+$GN332</f>
        <v/>
      </c>
      <c r="GQ332" s="55">
        <f>SUMIFS(tblGold[Gold_oz],tblGold[Date],$A332,tblGold[Type],"Sale")</f>
        <v/>
      </c>
      <c r="GR332" s="55">
        <f>IF($B332=$B331,$GR331,0)+$GQ332</f>
        <v/>
      </c>
      <c r="GS332" s="55">
        <f>$GS331+$GQ332</f>
        <v/>
      </c>
      <c r="GT332" s="55">
        <f>SUMIFS(tblGold[Dore_kg],tblGold[Date],$A332,tblGold[Type],"Shipment")</f>
        <v/>
      </c>
      <c r="GU332" s="55">
        <f>IF($B332=$B331,$GU331,0)+$GT332</f>
        <v/>
      </c>
      <c r="GV332" s="55">
        <f>$GV331+$GT332</f>
        <v/>
      </c>
      <c r="GW332" s="57">
        <f>SUMIFS(tblSafety[Hours_Total],tblSafety[Date],$A332)</f>
        <v/>
      </c>
      <c r="GX332" s="57">
        <f>IF($B332=$B331,$GX331,0)+$GW332</f>
        <v/>
      </c>
      <c r="GY332" s="57">
        <f>$GY331+$GW332</f>
        <v/>
      </c>
      <c r="GZ332" s="62">
        <f>SUMIFS(tblSafety[Fatality],tblSafety[Date],$A332)</f>
        <v/>
      </c>
      <c r="HA332" s="62">
        <f>IF($B332=$B331,$HA331,0)+$GZ332</f>
        <v/>
      </c>
      <c r="HB332" s="62">
        <f>$HB331+$GZ332</f>
        <v/>
      </c>
      <c r="HC332" s="62">
        <f>SUMIFS(tblSafety[LTI],tblSafety[Date],$A332)</f>
        <v/>
      </c>
      <c r="HD332" s="62">
        <f>IF($B332=$B331,$HD331,0)+$HC332</f>
        <v/>
      </c>
      <c r="HE332" s="62">
        <f>$HE331+$HC332</f>
        <v/>
      </c>
      <c r="HF332" s="62">
        <f>SUMIFS(tblSafety[RWI],tblSafety[Date],$A332)</f>
        <v/>
      </c>
      <c r="HG332" s="62">
        <f>IF($B332=$B331,$HG331,0)+$HF332</f>
        <v/>
      </c>
      <c r="HH332" s="62">
        <f>$HH331+$HF332</f>
        <v/>
      </c>
      <c r="HI332" s="62">
        <f>SUMIFS(tblSafety[MTI],tblSafety[Date],$A332)</f>
        <v/>
      </c>
      <c r="HJ332" s="62">
        <f>IF($B332=$B331,$HJ331,0)+$HI332</f>
        <v/>
      </c>
      <c r="HK332" s="62">
        <f>$HK331+$HI332</f>
        <v/>
      </c>
      <c r="HL332" s="62">
        <f>SUMIFS(tblSafety[FAI],tblSafety[Date],$A332)</f>
        <v/>
      </c>
      <c r="HM332" s="62">
        <f>IF($B332=$B331,$HM331,0)+$HL332</f>
        <v/>
      </c>
      <c r="HN332" s="62">
        <f>$HN331+$HL332</f>
        <v/>
      </c>
      <c r="HO332" s="62">
        <f>SUMIFS(tblSafety[Recordables],tblSafety[Date],$A332)</f>
        <v/>
      </c>
      <c r="HP332" s="62">
        <f>IF($B332=$B331,$HP331,0)+$HO332</f>
        <v/>
      </c>
      <c r="HQ332" s="62">
        <f>$HQ331+$HO332</f>
        <v/>
      </c>
      <c r="HR332" s="62">
        <f>SUMIFS(tblSafety[Near_Miss],tblSafety[Date],$A332)</f>
        <v/>
      </c>
      <c r="HS332" s="62">
        <f>IF($B332=$B331,$HS331,0)+$HR332</f>
        <v/>
      </c>
      <c r="HT332" s="62">
        <f>$HT331+$HR332</f>
        <v/>
      </c>
      <c r="HU332" s="62">
        <f>SUMIFS(tblSafety[Hazard_Reports],tblSafety[Date],$A332)</f>
        <v/>
      </c>
      <c r="HV332" s="62">
        <f>IF($B332=$B331,$HV331,0)+$HU332</f>
        <v/>
      </c>
      <c r="HW332" s="62">
        <f>$HW331+$HU332</f>
        <v/>
      </c>
      <c r="HX332" s="62">
        <f>SUMIFS(tblSafety[HPI],tblSafety[Date],$A332)</f>
        <v/>
      </c>
      <c r="HY332" s="62">
        <f>IF($B332=$B331,$HY331,0)+$HX332</f>
        <v/>
      </c>
      <c r="HZ332" s="62">
        <f>$HZ331+$HX332</f>
        <v/>
      </c>
      <c r="IA332" s="62">
        <f>SUMIFS(tblSafety[Env_Incidents],tblSafety[Date],$A332)</f>
        <v/>
      </c>
      <c r="IB332" s="62">
        <f>IF($B332=$B331,$IB331,0)+$IA332</f>
        <v/>
      </c>
      <c r="IC332" s="62">
        <f>$IC331+$IA332</f>
        <v/>
      </c>
      <c r="ID332" s="62">
        <f>SUMIFS(tblSafety[Community_Incidents],tblSafety[Date],$A332)</f>
        <v/>
      </c>
      <c r="IE332" s="62">
        <f>IF($B332=$B331,$IE331,0)+$ID332</f>
        <v/>
      </c>
      <c r="IF332" s="62">
        <f>$IF331+$ID332</f>
        <v/>
      </c>
      <c r="IG332" s="62">
        <f>SUMIFS(tblSafety[Vehicle_Incidents],tblSafety[Date],$A332)</f>
        <v/>
      </c>
      <c r="IH332" s="62">
        <f>IF($B332=$B331,$IH331,0)+$IG332</f>
        <v/>
      </c>
      <c r="II332" s="62">
        <f>$II331+$IG332</f>
        <v/>
      </c>
      <c r="IJ332" s="62">
        <f>SUMIFS(tblSafety[Toolbox_Talks],tblSafety[Date],$A332)</f>
        <v/>
      </c>
      <c r="IK332" s="62">
        <f>IF($B332=$B331,$IK331,0)+$IJ332</f>
        <v/>
      </c>
      <c r="IL332" s="62">
        <f>$IL331+$IJ332</f>
        <v/>
      </c>
      <c r="IM332" s="62">
        <f>SUMIFS(tblSafety[Inspections],tblSafety[Date],$A332)</f>
        <v/>
      </c>
      <c r="IN332" s="62">
        <f>IF($B332=$B331,$IN331,0)+$IM332</f>
        <v/>
      </c>
      <c r="IO332" s="62">
        <f>$IO331+$IM332</f>
        <v/>
      </c>
      <c r="IP332" s="56">
        <f>IFERROR((SUMIFS(tblSafety[Recordables],tblSafety[Date],"&gt;="&amp;EDATE($E332,-12),tblSafety[Date],"&lt;="&amp;$A332)+SUMIFS(tblSafetyHistory[Recordables],tblSafetyHistory[Month],"&gt;="&amp;EDATE($E332,-12),tblSafetyHistory[Month],"&lt;"&amp;$E332,tblSafetyHistory[Use],1))/(SUMIFS(tblSafety[Hours_Total],tblSafety[Date],"&gt;="&amp;EDATE($E332,-12),tblSafety[Date],"&lt;="&amp;$A332)+SUMIFS(tblSafetyHistory[Hours_Total],tblSafetyHistory[Month],"&gt;="&amp;EDATE($E332,-12),tblSafetyHistory[Month],"&lt;"&amp;$E332,tblSafetyHistory[Use],1))*cfg_RateBasisHours,"")</f>
        <v/>
      </c>
      <c r="IQ332" s="56">
        <f>IFERROR((SUMIFS(tblSafety[LTI],tblSafety[Date],"&gt;="&amp;EDATE($E332,-12),tblSafety[Date],"&lt;="&amp;$A332)+SUMIFS(tblSafetyHistory[LTI],tblSafetyHistory[Month],"&gt;="&amp;EDATE($E332,-12),tblSafetyHistory[Month],"&lt;"&amp;$E332,tblSafetyHistory[Use],1))/(SUMIFS(tblSafety[Hours_Total],tblSafety[Date],"&gt;="&amp;EDATE($E332,-12),tblSafety[Date],"&lt;="&amp;$A332)+SUMIFS(tblSafetyHistory[Hours_Total],tblSafetyHistory[Month],"&gt;="&amp;EDATE($E332,-12),tblSafetyHistory[Month],"&lt;"&amp;$E332,tblSafetyHistory[Use],1))*cfg_RateBasisHours,"")</f>
        <v/>
      </c>
      <c r="IR332" s="62">
        <f>IF(MAX(N(cfg_PriorLTIDate),_xlfn.MAXIFS(tblSafety[Date],tblSafety[LTI],"&gt;0",tblSafety[Date],"&lt;="&amp;$A332))=0,"",$A332-MAX(N(cfg_PriorLTIDate),_xlfn.MAXIFS(tblSafety[Date],tblSafety[LTI],"&gt;0",tblSafety[Date],"&lt;="&amp;$A332)))</f>
        <v/>
      </c>
      <c r="IS332" s="55">
        <f>SUMIFS(tblBudget[Ore_Mined_t],tblBudget[Month],$E332)</f>
        <v/>
      </c>
      <c r="IT332" s="55">
        <f>$IS332*$C332/$D332</f>
        <v/>
      </c>
      <c r="IU332" s="55">
        <f>SUMIFS(tblBudget[Ore_Mined_t],tblBudget[Month],"&lt;"&amp;$E332)+$IT332</f>
        <v/>
      </c>
      <c r="IV332" s="55">
        <f>SUMIFS(tblBudget[Ore_oz],tblBudget[Month],$E332)</f>
        <v/>
      </c>
      <c r="IW332" s="55">
        <f>$IV332*$C332/$D332</f>
        <v/>
      </c>
      <c r="IX332" s="55">
        <f>SUMIFS(tblBudget[Ore_oz],tblBudget[Month],"&lt;"&amp;$E332)+$IW332</f>
        <v/>
      </c>
      <c r="IY332" s="55">
        <f>SUMIFS(tblBudget[Ore_Mined_t],tblBudget[Month],$E332)</f>
        <v/>
      </c>
      <c r="IZ332" s="55">
        <f>$IY332*$C332/$D332</f>
        <v/>
      </c>
      <c r="JA332" s="55">
        <f>SUMIFS(tblBudget[Ore_Mined_t],tblBudget[Month],"&lt;"&amp;$E332)+$IZ332</f>
        <v/>
      </c>
      <c r="JB332" s="56">
        <f>IFERROR(IF(($IY332)&gt;0,($IV332*cfg_TroyOz)/($IY332),""),"")</f>
        <v/>
      </c>
      <c r="JC332" s="56">
        <f>IFERROR(IF(($IZ332)&gt;0,($IW332*cfg_TroyOz)/($IZ332),""),"")</f>
        <v/>
      </c>
      <c r="JD332" s="56">
        <f>IFERROR(IF(($JA332)&gt;0,($IX332*cfg_TroyOz)/($JA332),""),"")</f>
        <v/>
      </c>
      <c r="JE332" s="55">
        <f>SUMIFS(tblBudget[Waste_t],tblBudget[Month],$E332)</f>
        <v/>
      </c>
      <c r="JF332" s="55">
        <f>$JE332*$C332/$D332</f>
        <v/>
      </c>
      <c r="JG332" s="55">
        <f>SUMIFS(tblBudget[Waste_t],tblBudget[Month],"&lt;"&amp;$E332)+$JF332</f>
        <v/>
      </c>
      <c r="JH332" s="55">
        <f>SUMIFS(tblBudget[TMM_t],tblBudget[Month],$E332)</f>
        <v/>
      </c>
      <c r="JI332" s="55">
        <f>$JH332*$C332/$D332</f>
        <v/>
      </c>
      <c r="JJ332" s="55">
        <f>SUMIFS(tblBudget[TMM_t],tblBudget[Month],"&lt;"&amp;$E332)+$JI332</f>
        <v/>
      </c>
      <c r="JK332" s="56">
        <f>IFERROR(IF(($IS332)&gt;0,($JE332)/($IS332),""),"")</f>
        <v/>
      </c>
      <c r="JL332" s="56">
        <f>IFERROR(IF(($IT332)&gt;0,($JF332)/($IT332),""),"")</f>
        <v/>
      </c>
      <c r="JM332" s="56">
        <f>IFERROR(IF(($IU332)&gt;0,($JG332)/($IU332),""),"")</f>
        <v/>
      </c>
      <c r="JN332" s="55">
        <f>SUMIFS(tblBudget[Drill_m],tblBudget[Month],$E332)</f>
        <v/>
      </c>
      <c r="JO332" s="55">
        <f>$JN332*$C332/$D332</f>
        <v/>
      </c>
      <c r="JP332" s="55">
        <f>SUMIFS(tblBudget[Drill_m],tblBudget[Month],"&lt;"&amp;$E332)+$JO332</f>
        <v/>
      </c>
      <c r="JQ332" s="55">
        <f>SUMIFS(tblBudget[Diesel_L],tblBudget[Month],$E332)</f>
        <v/>
      </c>
      <c r="JR332" s="55">
        <f>$JQ332*$C332/$D332</f>
        <v/>
      </c>
      <c r="JS332" s="55">
        <f>SUMIFS(tblBudget[Diesel_L],tblBudget[Month],"&lt;"&amp;$E332)+$JR332</f>
        <v/>
      </c>
      <c r="JT332" s="55">
        <f>SUMIFS(tblBudget[Milled_t],tblBudget[Month],$E332)</f>
        <v/>
      </c>
      <c r="JU332" s="55">
        <f>$JT332*$C332/$D332</f>
        <v/>
      </c>
      <c r="JV332" s="55">
        <f>SUMIFS(tblBudget[Milled_t],tblBudget[Month],"&lt;"&amp;$E332)+$JU332</f>
        <v/>
      </c>
      <c r="JW332" s="55">
        <f>SUMIFS(tblBudget[Feed_oz],tblBudget[Month],$E332)</f>
        <v/>
      </c>
      <c r="JX332" s="55">
        <f>$JW332*$C332/$D332</f>
        <v/>
      </c>
      <c r="JY332" s="55">
        <f>SUMIFS(tblBudget[Feed_oz],tblBudget[Month],"&lt;"&amp;$E332)+$JX332</f>
        <v/>
      </c>
      <c r="JZ332" s="55">
        <f>SUMIFS(tblBudget[Recovered_oz],tblBudget[Month],$E332)</f>
        <v/>
      </c>
      <c r="KA332" s="55">
        <f>$JZ332*$C332/$D332</f>
        <v/>
      </c>
      <c r="KB332" s="55">
        <f>SUMIFS(tblBudget[Recovered_oz],tblBudget[Month],"&lt;"&amp;$E332)+$KA332</f>
        <v/>
      </c>
      <c r="KC332" s="55">
        <f>SUMIFS(tblBudget[Milled_t],tblBudget[Month],$E332)</f>
        <v/>
      </c>
      <c r="KD332" s="55">
        <f>$KC332*$C332/$D332</f>
        <v/>
      </c>
      <c r="KE332" s="55">
        <f>SUMIFS(tblBudget[Milled_t],tblBudget[Month],"&lt;"&amp;$E332)+$KD332</f>
        <v/>
      </c>
      <c r="KF332" s="55">
        <f>SUMIFS(tblBudget[Feed_oz],tblBudget[Month],$E332)</f>
        <v/>
      </c>
      <c r="KG332" s="55">
        <f>$KF332*$C332/$D332</f>
        <v/>
      </c>
      <c r="KH332" s="55">
        <f>SUMIFS(tblBudget[Feed_oz],tblBudget[Month],"&lt;"&amp;$E332)+$KG332</f>
        <v/>
      </c>
      <c r="KI332" s="56">
        <f>IFERROR(IF(($KC332)&gt;0,($JW332*cfg_TroyOz)/($KC332),""),"")</f>
        <v/>
      </c>
      <c r="KJ332" s="56">
        <f>IFERROR(IF(($KD332)&gt;0,($JX332*cfg_TroyOz)/($KD332),""),"")</f>
        <v/>
      </c>
      <c r="KK332" s="56">
        <f>IFERROR(IF(($KE332)&gt;0,($JY332*cfg_TroyOz)/($KE332),""),"")</f>
        <v/>
      </c>
      <c r="KL332" s="67">
        <f>IFERROR(IF(($KF332)&gt;0,($JZ332)/($KF332),""),"")</f>
        <v/>
      </c>
      <c r="KM332" s="67">
        <f>IFERROR(IF(($KG332)&gt;0,($KA332)/($KG332),""),"")</f>
        <v/>
      </c>
      <c r="KN332" s="67">
        <f>IFERROR(IF(($KH332)&gt;0,($KB332)/($KH332),""),"")</f>
        <v/>
      </c>
      <c r="KO332" s="55">
        <f>SUMIFS(tblBudget[Gold_Poured_oz],tblBudget[Month],$E332)</f>
        <v/>
      </c>
      <c r="KP332" s="55">
        <f>$KO332*$C332/$D332</f>
        <v/>
      </c>
      <c r="KQ332" s="55">
        <f>SUMIFS(tblBudget[Gold_Poured_oz],tblBudget[Month],"&lt;"&amp;$E332)+$KP332</f>
        <v/>
      </c>
      <c r="KR332" s="57">
        <f>SUMIFS(tblBudget[Hours_Worked],tblBudget[Month],$E332)</f>
        <v/>
      </c>
      <c r="KS332" s="57">
        <f>$KR332*$C332/$D332</f>
        <v/>
      </c>
      <c r="KT332" s="57">
        <f>SUMIFS(tblBudget[Hours_Worked],tblBudget[Month],"&lt;"&amp;$E332)+$KS332</f>
        <v/>
      </c>
    </row>
    <row r="333">
      <c r="A333" s="54" t="n">
        <v>46354</v>
      </c>
      <c r="B333">
        <f>MONTH($A333)</f>
        <v/>
      </c>
      <c r="C333">
        <f>DAY($A333)</f>
        <v/>
      </c>
      <c r="D333">
        <f>DAY(EOMONTH($A333,0))</f>
        <v/>
      </c>
      <c r="E333" s="54">
        <f>DATE(YEAR($A333),MONTH($A333),1)</f>
        <v/>
      </c>
      <c r="F333" s="55">
        <f>SUMIFS(tblMovement[Tonnes_t],tblMovement[Date],$A333,tblMovement[Is_Ore],1,tblMovement[Source_Type],"Pit")</f>
        <v/>
      </c>
      <c r="G333" s="55">
        <f>IF($B333=$B332,$G332,0)+$F333</f>
        <v/>
      </c>
      <c r="H333" s="55">
        <f>$H332+$F333</f>
        <v/>
      </c>
      <c r="I333" s="55">
        <f>SUMIFS(tblMovement[Ore_oz],tblMovement[Date],$A333,tblMovement[Source_Type],"Pit")</f>
        <v/>
      </c>
      <c r="J333" s="55">
        <f>IF($B333=$B332,$J332,0)+$I333</f>
        <v/>
      </c>
      <c r="K333" s="55">
        <f>$K332+$I333</f>
        <v/>
      </c>
      <c r="L333" s="55">
        <f>SUMIFS(tblMovement[Tonnes_t],tblMovement[Date],$A333,tblMovement[Is_Ore],1,tblMovement[Source_Type],"Pit",tblMovement[Grade_gpt],"&lt;&gt;")</f>
        <v/>
      </c>
      <c r="M333" s="55">
        <f>IF($B333=$B332,$M332,0)+$L333</f>
        <v/>
      </c>
      <c r="N333" s="55">
        <f>$N332+$L333</f>
        <v/>
      </c>
      <c r="O333" s="56">
        <f>IFERROR(IF(($L333)&gt;0,($I333*cfg_TroyOz)/($L333),""),"")</f>
        <v/>
      </c>
      <c r="P333" s="56">
        <f>IFERROR(IF(($M333)&gt;0,($J333*cfg_TroyOz)/($M333),""),"")</f>
        <v/>
      </c>
      <c r="Q333" s="56">
        <f>IFERROR(IF(($N333)&gt;0,($K333*cfg_TroyOz)/($N333),""),"")</f>
        <v/>
      </c>
      <c r="R333" s="55">
        <f>$F333-$L333</f>
        <v/>
      </c>
      <c r="S333" s="55">
        <f>IF($B333=$B332,$S332,0)+$R333</f>
        <v/>
      </c>
      <c r="T333" s="55">
        <f>$T332+$R333</f>
        <v/>
      </c>
      <c r="U333" s="55">
        <f>SUMIFS(tblMovement[Tonnes_t],tblMovement[Date],$A333,tblMovement[Is_Ore],0,tblMovement[Source_Type],"Pit")</f>
        <v/>
      </c>
      <c r="V333" s="55">
        <f>IF($B333=$B332,$V332,0)+$U333</f>
        <v/>
      </c>
      <c r="W333" s="55">
        <f>$W332+$U333</f>
        <v/>
      </c>
      <c r="X333" s="55">
        <f>$F333+$U333</f>
        <v/>
      </c>
      <c r="Y333" s="55">
        <f>IF($B333=$B332,$Y332,0)+$X333</f>
        <v/>
      </c>
      <c r="Z333" s="55">
        <f>$Z332+$X333</f>
        <v/>
      </c>
      <c r="AA333" s="56">
        <f>IFERROR(IF(($F333)&gt;0,($U333)/($F333),""),"")</f>
        <v/>
      </c>
      <c r="AB333" s="56">
        <f>IFERROR(IF(($G333)&gt;0,($V333)/($G333),""),"")</f>
        <v/>
      </c>
      <c r="AC333" s="56">
        <f>IFERROR(IF(($H333)&gt;0,($W333)/($H333),""),"")</f>
        <v/>
      </c>
      <c r="AD333" s="55">
        <f>SUMIFS(tblMovement[Tonnes_t],tblMovement[Date],$A333,tblMovement[Source_Type],"Stockpile")</f>
        <v/>
      </c>
      <c r="AE333" s="55">
        <f>IF($B333=$B332,$AE332,0)+$AD333</f>
        <v/>
      </c>
      <c r="AF333" s="55">
        <f>$AF332+$AD333</f>
        <v/>
      </c>
      <c r="AG333" s="55">
        <f>SUMIFS(tblMovement[Tonnes_t],tblMovement[Date],$A333)</f>
        <v/>
      </c>
      <c r="AH333" s="55">
        <f>IF($B333=$B332,$AH332,0)+$AG333</f>
        <v/>
      </c>
      <c r="AI333" s="55">
        <f>$AI332+$AG333</f>
        <v/>
      </c>
      <c r="AJ333" s="55">
        <f>$AG333-$X333-$AD333</f>
        <v/>
      </c>
      <c r="AK333" s="55">
        <f>IF($B333=$B332,$AK332,0)+$AJ333</f>
        <v/>
      </c>
      <c r="AL333" s="55">
        <f>$AL332+$AJ333</f>
        <v/>
      </c>
      <c r="AM333" s="55">
        <f>SUMIFS(tblMiningDaily[Drill_m],tblMiningDaily[Date],$A333)</f>
        <v/>
      </c>
      <c r="AN333" s="55">
        <f>IF($B333=$B332,$AN332,0)+$AM333</f>
        <v/>
      </c>
      <c r="AO333" s="55">
        <f>$AO332+$AM333</f>
        <v/>
      </c>
      <c r="AP333" s="55">
        <f>SUMIFS(tblMiningDaily[GC_Drill_m],tblMiningDaily[Date],$A333)</f>
        <v/>
      </c>
      <c r="AQ333" s="55">
        <f>IF($B333=$B332,$AQ332,0)+$AP333</f>
        <v/>
      </c>
      <c r="AR333" s="55">
        <f>$AR332+$AP333</f>
        <v/>
      </c>
      <c r="AS333" s="55">
        <f>SUMIFS(tblMiningDaily[Blast_t],tblMiningDaily[Date],$A333)</f>
        <v/>
      </c>
      <c r="AT333" s="55">
        <f>IF($B333=$B332,$AT332,0)+$AS333</f>
        <v/>
      </c>
      <c r="AU333" s="55">
        <f>$AU332+$AS333</f>
        <v/>
      </c>
      <c r="AV333" s="55">
        <f>SUMIFS(tblMiningDaily[Explosives_kg],tblMiningDaily[Date],$A333)</f>
        <v/>
      </c>
      <c r="AW333" s="55">
        <f>IF($B333=$B332,$AW332,0)+$AV333</f>
        <v/>
      </c>
      <c r="AX333" s="55">
        <f>$AX332+$AV333</f>
        <v/>
      </c>
      <c r="AY333" s="56">
        <f>IFERROR(IF(($AS333)&gt;0,($AV333)/($AS333),""),"")</f>
        <v/>
      </c>
      <c r="AZ333" s="56">
        <f>IFERROR(IF(($AT333)&gt;0,($AW333)/($AT333),""),"")</f>
        <v/>
      </c>
      <c r="BA333" s="56">
        <f>IFERROR(IF(($AU333)&gt;0,($AX333)/($AU333),""),"")</f>
        <v/>
      </c>
      <c r="BB333" s="55">
        <f>SUMIFS(tblMiningDaily[Diesel_L],tblMiningDaily[Date],$A333)</f>
        <v/>
      </c>
      <c r="BC333" s="55">
        <f>IF($B333=$B332,$BC332,0)+$BB333</f>
        <v/>
      </c>
      <c r="BD333" s="55">
        <f>$BD332+$BB333</f>
        <v/>
      </c>
      <c r="BE333" s="55">
        <f>SUMIFS(tblMiningDaily[Dewatering_m3],tblMiningDaily[Date],$A333)</f>
        <v/>
      </c>
      <c r="BF333" s="55">
        <f>IF($B333=$B332,$BF332,0)+$BE333</f>
        <v/>
      </c>
      <c r="BG333" s="55">
        <f>$BG332+$BE333</f>
        <v/>
      </c>
      <c r="BH333" s="57">
        <f>SUMIFS(tblFleet[Calendar_h],tblFleet[Date],$A333,tblFleet[Equipment_Class],"Excavator")</f>
        <v/>
      </c>
      <c r="BI333" s="57">
        <f>IF($B333=$B332,$BI332,0)+$BH333</f>
        <v/>
      </c>
      <c r="BJ333" s="57">
        <f>$BJ332+$BH333</f>
        <v/>
      </c>
      <c r="BK333" s="57">
        <f>SUMIFS(tblFleet[Available_h],tblFleet[Date],$A333,tblFleet[Equipment_Class],"Excavator")</f>
        <v/>
      </c>
      <c r="BL333" s="57">
        <f>IF($B333=$B332,$BL332,0)+$BK333</f>
        <v/>
      </c>
      <c r="BM333" s="57">
        <f>$BM332+$BK333</f>
        <v/>
      </c>
      <c r="BN333" s="57">
        <f>SUMIFS(tblFleet[Operating_h],tblFleet[Date],$A333,tblFleet[Equipment_Class],"Excavator")</f>
        <v/>
      </c>
      <c r="BO333" s="57">
        <f>IF($B333=$B332,$BO332,0)+$BN333</f>
        <v/>
      </c>
      <c r="BP333" s="57">
        <f>$BP332+$BN333</f>
        <v/>
      </c>
      <c r="BQ333" s="67">
        <f>IFERROR(IF(($BH333)&gt;0,($BK333)/($BH333),""),"")</f>
        <v/>
      </c>
      <c r="BR333" s="67">
        <f>IFERROR(IF(($BI333)&gt;0,($BL333)/($BI333),""),"")</f>
        <v/>
      </c>
      <c r="BS333" s="67">
        <f>IFERROR(IF(($BJ333)&gt;0,($BM333)/($BJ333),""),"")</f>
        <v/>
      </c>
      <c r="BT333" s="67">
        <f>IFERROR(IF(($BK333)&gt;0,($BN333)/($BK333),""),"")</f>
        <v/>
      </c>
      <c r="BU333" s="67">
        <f>IFERROR(IF(($BL333)&gt;0,($BO333)/($BL333),""),"")</f>
        <v/>
      </c>
      <c r="BV333" s="67">
        <f>IFERROR(IF(($BM333)&gt;0,($BP333)/($BM333),""),"")</f>
        <v/>
      </c>
      <c r="BW333" s="57">
        <f>SUMIFS(tblFleet[Calendar_h],tblFleet[Date],$A333,tblFleet[Equipment_Class],"Haul Truck")</f>
        <v/>
      </c>
      <c r="BX333" s="57">
        <f>IF($B333=$B332,$BX332,0)+$BW333</f>
        <v/>
      </c>
      <c r="BY333" s="57">
        <f>$BY332+$BW333</f>
        <v/>
      </c>
      <c r="BZ333" s="57">
        <f>SUMIFS(tblFleet[Available_h],tblFleet[Date],$A333,tblFleet[Equipment_Class],"Haul Truck")</f>
        <v/>
      </c>
      <c r="CA333" s="57">
        <f>IF($B333=$B332,$CA332,0)+$BZ333</f>
        <v/>
      </c>
      <c r="CB333" s="57">
        <f>$CB332+$BZ333</f>
        <v/>
      </c>
      <c r="CC333" s="57">
        <f>SUMIFS(tblFleet[Operating_h],tblFleet[Date],$A333,tblFleet[Equipment_Class],"Haul Truck")</f>
        <v/>
      </c>
      <c r="CD333" s="57">
        <f>IF($B333=$B332,$CD332,0)+$CC333</f>
        <v/>
      </c>
      <c r="CE333" s="57">
        <f>$CE332+$CC333</f>
        <v/>
      </c>
      <c r="CF333" s="67">
        <f>IFERROR(IF(($BW333)&gt;0,($BZ333)/($BW333),""),"")</f>
        <v/>
      </c>
      <c r="CG333" s="67">
        <f>IFERROR(IF(($BX333)&gt;0,($CA333)/($BX333),""),"")</f>
        <v/>
      </c>
      <c r="CH333" s="67">
        <f>IFERROR(IF(($BY333)&gt;0,($CB333)/($BY333),""),"")</f>
        <v/>
      </c>
      <c r="CI333" s="67">
        <f>IFERROR(IF(($BZ333)&gt;0,($CC333)/($BZ333),""),"")</f>
        <v/>
      </c>
      <c r="CJ333" s="67">
        <f>IFERROR(IF(($CA333)&gt;0,($CD333)/($CA333),""),"")</f>
        <v/>
      </c>
      <c r="CK333" s="67">
        <f>IFERROR(IF(($CB333)&gt;0,($CE333)/($CB333),""),"")</f>
        <v/>
      </c>
      <c r="CL333" s="55">
        <f>IFERROR(IF(($BN333)&gt;0,($X333+$AD333)/($BN333),""),"")</f>
        <v/>
      </c>
      <c r="CM333" s="55">
        <f>IFERROR(IF(($BO333)&gt;0,($Y333+$AE333)/($BO333),""),"")</f>
        <v/>
      </c>
      <c r="CN333" s="55">
        <f>IFERROR(IF(($BP333)&gt;0,($Z333+$AF333)/($BP333),""),"")</f>
        <v/>
      </c>
      <c r="CO333" s="55">
        <f>IFERROR(IF(($CC333)&gt;0,($X333+$AD333)/($CC333),""),"")</f>
        <v/>
      </c>
      <c r="CP333" s="55">
        <f>IFERROR(IF(($CD333)&gt;0,($Y333+$AE333)/($CD333),""),"")</f>
        <v/>
      </c>
      <c r="CQ333" s="55">
        <f>IFERROR(IF(($CE333)&gt;0,($Z333+$AF333)/($CE333),""),"")</f>
        <v/>
      </c>
      <c r="CR333" s="55">
        <f>SUMIFS(tblPlant[Crushed_t],tblPlant[Date],$A333)</f>
        <v/>
      </c>
      <c r="CS333" s="55">
        <f>IF($B333=$B332,$CS332,0)+$CR333</f>
        <v/>
      </c>
      <c r="CT333" s="55">
        <f>$CT332+$CR333</f>
        <v/>
      </c>
      <c r="CU333" s="55">
        <f>SUMIFS(tblPlant[Milled_t],tblPlant[Date],$A333)</f>
        <v/>
      </c>
      <c r="CV333" s="55">
        <f>IF($B333=$B332,$CV332,0)+$CU333</f>
        <v/>
      </c>
      <c r="CW333" s="55">
        <f>$CW332+$CU333</f>
        <v/>
      </c>
      <c r="CX333" s="55">
        <f>SUMIFS(tblPlant[Feed_oz],tblPlant[Date],$A333)</f>
        <v/>
      </c>
      <c r="CY333" s="55">
        <f>IF($B333=$B332,$CY332,0)+$CX333</f>
        <v/>
      </c>
      <c r="CZ333" s="55">
        <f>$CZ332+$CX333</f>
        <v/>
      </c>
      <c r="DA333" s="55">
        <f>SUMIFS(tblPlant[Tails_oz],tblPlant[Date],$A333)</f>
        <v/>
      </c>
      <c r="DB333" s="55">
        <f>IF($B333=$B332,$DB332,0)+$DA333</f>
        <v/>
      </c>
      <c r="DC333" s="55">
        <f>$DC332+$DA333</f>
        <v/>
      </c>
      <c r="DD333" s="55">
        <f>SUMIFS(tblPlant[Recovered_oz],tblPlant[Date],$A333)</f>
        <v/>
      </c>
      <c r="DE333" s="55">
        <f>IF($B333=$B332,$DE332,0)+$DD333</f>
        <v/>
      </c>
      <c r="DF333" s="55">
        <f>$DF332+$DD333</f>
        <v/>
      </c>
      <c r="DG333" s="55">
        <f>SUMIFS(tblPlant[Milled_t],tblPlant[Date],$A333,tblPlant[Head_Grade_gpt],"&lt;&gt;")</f>
        <v/>
      </c>
      <c r="DH333" s="55">
        <f>IF($B333=$B332,$DH332,0)+$DG333</f>
        <v/>
      </c>
      <c r="DI333" s="55">
        <f>$DI332+$DG333</f>
        <v/>
      </c>
      <c r="DJ333" s="55">
        <f>SUMIFS(tblPlant[Milled_t],tblPlant[Date],$A333,tblPlant[Tails_Grade_gpt],"&lt;&gt;")</f>
        <v/>
      </c>
      <c r="DK333" s="55">
        <f>IF($B333=$B332,$DK332,0)+$DJ333</f>
        <v/>
      </c>
      <c r="DL333" s="55">
        <f>$DL332+$DJ333</f>
        <v/>
      </c>
      <c r="DM333" s="55">
        <f>SUMIFS(tblPlant[Feed_oz],tblPlant[Date],$A333,tblPlant[Tails_Grade_gpt],"&lt;&gt;")</f>
        <v/>
      </c>
      <c r="DN333" s="55">
        <f>IF($B333=$B332,$DN332,0)+$DM333</f>
        <v/>
      </c>
      <c r="DO333" s="55">
        <f>$DO332+$DM333</f>
        <v/>
      </c>
      <c r="DP333" s="55">
        <f>SUMIFS(tblPlant[Milled_t],tblPlant[Date],$A333,tblPlant[Mill_Run_h],"&lt;&gt;")</f>
        <v/>
      </c>
      <c r="DQ333" s="55">
        <f>IF($B333=$B332,$DQ332,0)+$DP333</f>
        <v/>
      </c>
      <c r="DR333" s="55">
        <f>$DR332+$DP333</f>
        <v/>
      </c>
      <c r="DS333" s="56">
        <f>IFERROR(IF(($DG333)&gt;0,($CX333*cfg_TroyOz)/($DG333),""),"")</f>
        <v/>
      </c>
      <c r="DT333" s="56">
        <f>IFERROR(IF(($DH333)&gt;0,($CY333*cfg_TroyOz)/($DH333),""),"")</f>
        <v/>
      </c>
      <c r="DU333" s="56">
        <f>IFERROR(IF(($DI333)&gt;0,($CZ333*cfg_TroyOz)/($DI333),""),"")</f>
        <v/>
      </c>
      <c r="DV333" s="56">
        <f>IFERROR(IF(($DJ333)&gt;0,($DA333*cfg_TroyOz)/($DJ333),""),"")</f>
        <v/>
      </c>
      <c r="DW333" s="56">
        <f>IFERROR(IF(($DK333)&gt;0,($DB333*cfg_TroyOz)/($DK333),""),"")</f>
        <v/>
      </c>
      <c r="DX333" s="56">
        <f>IFERROR(IF(($DL333)&gt;0,($DC333*cfg_TroyOz)/($DL333),""),"")</f>
        <v/>
      </c>
      <c r="DY333" s="67">
        <f>IFERROR(IF(($DM333)&gt;0,($DD333)/($DM333),""),"")</f>
        <v/>
      </c>
      <c r="DZ333" s="67">
        <f>IFERROR(IF(($DN333)&gt;0,($DE333)/($DN333),""),"")</f>
        <v/>
      </c>
      <c r="EA333" s="67">
        <f>IFERROR(IF(($DO333)&gt;0,($DF333)/($DO333),""),"")</f>
        <v/>
      </c>
      <c r="EB333" s="55">
        <f>SUMIFS(tblPlant[Gravity_Gold_oz],tblPlant[Date],$A333)</f>
        <v/>
      </c>
      <c r="EC333" s="55">
        <f>IF($B333=$B332,$EC332,0)+$EB333</f>
        <v/>
      </c>
      <c r="ED333" s="55">
        <f>$ED332+$EB333</f>
        <v/>
      </c>
      <c r="EE333" s="67">
        <f>IFERROR(IF(($DD333)&gt;0,($EB333)/($DD333),""),"")</f>
        <v/>
      </c>
      <c r="EF333" s="67">
        <f>IFERROR(IF(($DE333)&gt;0,($EC333)/($DE333),""),"")</f>
        <v/>
      </c>
      <c r="EG333" s="67">
        <f>IFERROR(IF(($DF333)&gt;0,($ED333)/($DF333),""),"")</f>
        <v/>
      </c>
      <c r="EH333" s="55">
        <f>SUMIFS(tblPlant[Gold_Poured_oz],tblPlant[Date],$A333)</f>
        <v/>
      </c>
      <c r="EI333" s="55">
        <f>IF($B333=$B332,$EI332,0)+$EH333</f>
        <v/>
      </c>
      <c r="EJ333" s="55">
        <f>$EJ332+$EH333</f>
        <v/>
      </c>
      <c r="EK333" s="57">
        <f>SUMIFS(tblPlant[Mill_Run_h],tblPlant[Date],$A333)</f>
        <v/>
      </c>
      <c r="EL333" s="57">
        <f>IF($B333=$B332,$EL332,0)+$EK333</f>
        <v/>
      </c>
      <c r="EM333" s="57">
        <f>$EM332+$EK333</f>
        <v/>
      </c>
      <c r="EN333" s="57">
        <f>SUMIFS(tblPlant[Mill_Planned_Maint_h],tblPlant[Date],$A333)</f>
        <v/>
      </c>
      <c r="EO333" s="57">
        <f>IF($B333=$B332,$EO332,0)+$EN333</f>
        <v/>
      </c>
      <c r="EP333" s="57">
        <f>$EP332+$EN333</f>
        <v/>
      </c>
      <c r="EQ333" s="57">
        <f>SUMIFS(tblPlant[Mill_Unplanned_Down_h],tblPlant[Date],$A333)</f>
        <v/>
      </c>
      <c r="ER333" s="57">
        <f>IF($B333=$B332,$ER332,0)+$EQ333</f>
        <v/>
      </c>
      <c r="ES333" s="57">
        <f>$ES332+$EQ333</f>
        <v/>
      </c>
      <c r="ET333" s="57">
        <f>IF(COUNTIFS(tblPlant[Date],$A333,tblPlant[Mill_Run_h],"&lt;&gt;")+COUNTIFS(tblPlant[Date],$A333,tblPlant[Mill_Planned_Maint_h],"&lt;&gt;")+COUNTIFS(tblPlant[Date],$A333,tblPlant[Mill_Unplanned_Down_h],"&lt;&gt;")&gt;0,cfg_HoursPerDay,0)</f>
        <v/>
      </c>
      <c r="EU333" s="57">
        <f>IF($B333=$B332,$EU332,0)+$ET333</f>
        <v/>
      </c>
      <c r="EV333" s="57">
        <f>$EV332+$ET333</f>
        <v/>
      </c>
      <c r="EW333" s="57">
        <f>SUMIFS(tblPlant[Crusher_Run_h],tblPlant[Date],$A333)</f>
        <v/>
      </c>
      <c r="EX333" s="57">
        <f>IF($B333=$B332,$EX332,0)+$EW333</f>
        <v/>
      </c>
      <c r="EY333" s="57">
        <f>$EY332+$EW333</f>
        <v/>
      </c>
      <c r="EZ333" s="55">
        <f>IFERROR(IF(($EK333)&gt;0,($DP333)/($EK333),""),"")</f>
        <v/>
      </c>
      <c r="FA333" s="55">
        <f>IFERROR(IF(($EL333)&gt;0,($DQ333)/($EL333),""),"")</f>
        <v/>
      </c>
      <c r="FB333" s="55">
        <f>IFERROR(IF(($EM333)&gt;0,($DR333)/($EM333),""),"")</f>
        <v/>
      </c>
      <c r="FC333" s="67">
        <f>IFERROR(IF(($ET333)&gt;0,($ET333-$EN333-$EQ333)/($ET333),""),"")</f>
        <v/>
      </c>
      <c r="FD333" s="67">
        <f>IFERROR(IF(($EU333)&gt;0,($EU333-$EO333-$ER333)/($EU333),""),"")</f>
        <v/>
      </c>
      <c r="FE333" s="67">
        <f>IFERROR(IF(($EV333)&gt;0,($EV333-$EP333-$ES333)/($EV333),""),"")</f>
        <v/>
      </c>
      <c r="FF333" s="67">
        <f>IFERROR(IF(($ET333-$EN333-$EQ333)&gt;0,($EK333)/($ET333-$EN333-$EQ333),""),"")</f>
        <v/>
      </c>
      <c r="FG333" s="67">
        <f>IFERROR(IF(($EU333-$EO333-$ER333)&gt;0,($EL333)/($EU333-$EO333-$ER333),""),"")</f>
        <v/>
      </c>
      <c r="FH333" s="67">
        <f>IFERROR(IF(($EV333-$EP333-$ES333)&gt;0,($EM333)/($EV333-$EP333-$ES333),""),"")</f>
        <v/>
      </c>
      <c r="FI333" s="55">
        <f>SUMIFS(tblPlant[Cyanide_kg],tblPlant[Date],$A333)</f>
        <v/>
      </c>
      <c r="FJ333" s="55">
        <f>IF($B333=$B332,$FJ332,0)+$FI333</f>
        <v/>
      </c>
      <c r="FK333" s="55">
        <f>$FK332+$FI333</f>
        <v/>
      </c>
      <c r="FL333" s="55">
        <f>SUMIFS(tblPlant[Lime_kg],tblPlant[Date],$A333)</f>
        <v/>
      </c>
      <c r="FM333" s="55">
        <f>IF($B333=$B332,$FM332,0)+$FL333</f>
        <v/>
      </c>
      <c r="FN333" s="55">
        <f>$FN332+$FL333</f>
        <v/>
      </c>
      <c r="FO333" s="55">
        <f>SUMIFS(tblPlant[Grinding_Media_kg],tblPlant[Date],$A333)</f>
        <v/>
      </c>
      <c r="FP333" s="55">
        <f>IF($B333=$B332,$FP332,0)+$FO333</f>
        <v/>
      </c>
      <c r="FQ333" s="55">
        <f>$FQ332+$FO333</f>
        <v/>
      </c>
      <c r="FR333" s="55">
        <f>SUMIFS(tblPlant[Power_kWh],tblPlant[Date],$A333)</f>
        <v/>
      </c>
      <c r="FS333" s="55">
        <f>IF($B333=$B332,$FS332,0)+$FR333</f>
        <v/>
      </c>
      <c r="FT333" s="55">
        <f>$FT332+$FR333</f>
        <v/>
      </c>
      <c r="FU333" s="55">
        <f>SUMIFS(tblPlant[Raw_Water_m3],tblPlant[Date],$A333)</f>
        <v/>
      </c>
      <c r="FV333" s="55">
        <f>IF($B333=$B332,$FV332,0)+$FU333</f>
        <v/>
      </c>
      <c r="FW333" s="55">
        <f>$FW332+$FU333</f>
        <v/>
      </c>
      <c r="FX333" s="56">
        <f>IFERROR(IF(($CU333)&gt;0,($FI333)/($CU333),""),"")</f>
        <v/>
      </c>
      <c r="FY333" s="56">
        <f>IFERROR(IF(($CV333)&gt;0,($FJ333)/($CV333),""),"")</f>
        <v/>
      </c>
      <c r="FZ333" s="56">
        <f>IFERROR(IF(($CW333)&gt;0,($FK333)/($CW333),""),"")</f>
        <v/>
      </c>
      <c r="GA333" s="56">
        <f>IFERROR(IF(($CU333)&gt;0,($FL333)/($CU333),""),"")</f>
        <v/>
      </c>
      <c r="GB333" s="56">
        <f>IFERROR(IF(($CV333)&gt;0,($FM333)/($CV333),""),"")</f>
        <v/>
      </c>
      <c r="GC333" s="56">
        <f>IFERROR(IF(($CW333)&gt;0,($FN333)/($CW333),""),"")</f>
        <v/>
      </c>
      <c r="GD333" s="56">
        <f>IFERROR(IF(($CU333)&gt;0,($FO333)/($CU333),""),"")</f>
        <v/>
      </c>
      <c r="GE333" s="56">
        <f>IFERROR(IF(($CV333)&gt;0,($FP333)/($CV333),""),"")</f>
        <v/>
      </c>
      <c r="GF333" s="56">
        <f>IFERROR(IF(($CW333)&gt;0,($FQ333)/($CW333),""),"")</f>
        <v/>
      </c>
      <c r="GG333" s="79">
        <f>IFERROR(IF(($CU333)&gt;0,($FR333)/($CU333),""),"")</f>
        <v/>
      </c>
      <c r="GH333" s="79">
        <f>IFERROR(IF(($CV333)&gt;0,($FS333)/($CV333),""),"")</f>
        <v/>
      </c>
      <c r="GI333" s="79">
        <f>IFERROR(IF(($CW333)&gt;0,($FT333)/($CW333),""),"")</f>
        <v/>
      </c>
      <c r="GJ333" s="56">
        <f>IFERROR(IF(($CU333)&gt;0,($FU333)/($CU333),""),"")</f>
        <v/>
      </c>
      <c r="GK333" s="56">
        <f>IFERROR(IF(($CV333)&gt;0,($FV333)/($CV333),""),"")</f>
        <v/>
      </c>
      <c r="GL333" s="56">
        <f>IFERROR(IF(($CW333)&gt;0,($FW333)/($CW333),""),"")</f>
        <v/>
      </c>
      <c r="GM333" s="55">
        <f>IF(SUMIFS(tblPlant[GIC_oz],tblPlant[Date],$A333)&gt;0,SUMIFS(tblPlant[GIC_oz],tblPlant[Date],$A333),"")</f>
        <v/>
      </c>
      <c r="GN333" s="55">
        <f>SUMIFS(tblGold[Gold_oz],tblGold[Date],$A333,tblGold[Type],"Shipment")</f>
        <v/>
      </c>
      <c r="GO333" s="55">
        <f>IF($B333=$B332,$GO332,0)+$GN333</f>
        <v/>
      </c>
      <c r="GP333" s="55">
        <f>$GP332+$GN333</f>
        <v/>
      </c>
      <c r="GQ333" s="55">
        <f>SUMIFS(tblGold[Gold_oz],tblGold[Date],$A333,tblGold[Type],"Sale")</f>
        <v/>
      </c>
      <c r="GR333" s="55">
        <f>IF($B333=$B332,$GR332,0)+$GQ333</f>
        <v/>
      </c>
      <c r="GS333" s="55">
        <f>$GS332+$GQ333</f>
        <v/>
      </c>
      <c r="GT333" s="55">
        <f>SUMIFS(tblGold[Dore_kg],tblGold[Date],$A333,tblGold[Type],"Shipment")</f>
        <v/>
      </c>
      <c r="GU333" s="55">
        <f>IF($B333=$B332,$GU332,0)+$GT333</f>
        <v/>
      </c>
      <c r="GV333" s="55">
        <f>$GV332+$GT333</f>
        <v/>
      </c>
      <c r="GW333" s="57">
        <f>SUMIFS(tblSafety[Hours_Total],tblSafety[Date],$A333)</f>
        <v/>
      </c>
      <c r="GX333" s="57">
        <f>IF($B333=$B332,$GX332,0)+$GW333</f>
        <v/>
      </c>
      <c r="GY333" s="57">
        <f>$GY332+$GW333</f>
        <v/>
      </c>
      <c r="GZ333" s="62">
        <f>SUMIFS(tblSafety[Fatality],tblSafety[Date],$A333)</f>
        <v/>
      </c>
      <c r="HA333" s="62">
        <f>IF($B333=$B332,$HA332,0)+$GZ333</f>
        <v/>
      </c>
      <c r="HB333" s="62">
        <f>$HB332+$GZ333</f>
        <v/>
      </c>
      <c r="HC333" s="62">
        <f>SUMIFS(tblSafety[LTI],tblSafety[Date],$A333)</f>
        <v/>
      </c>
      <c r="HD333" s="62">
        <f>IF($B333=$B332,$HD332,0)+$HC333</f>
        <v/>
      </c>
      <c r="HE333" s="62">
        <f>$HE332+$HC333</f>
        <v/>
      </c>
      <c r="HF333" s="62">
        <f>SUMIFS(tblSafety[RWI],tblSafety[Date],$A333)</f>
        <v/>
      </c>
      <c r="HG333" s="62">
        <f>IF($B333=$B332,$HG332,0)+$HF333</f>
        <v/>
      </c>
      <c r="HH333" s="62">
        <f>$HH332+$HF333</f>
        <v/>
      </c>
      <c r="HI333" s="62">
        <f>SUMIFS(tblSafety[MTI],tblSafety[Date],$A333)</f>
        <v/>
      </c>
      <c r="HJ333" s="62">
        <f>IF($B333=$B332,$HJ332,0)+$HI333</f>
        <v/>
      </c>
      <c r="HK333" s="62">
        <f>$HK332+$HI333</f>
        <v/>
      </c>
      <c r="HL333" s="62">
        <f>SUMIFS(tblSafety[FAI],tblSafety[Date],$A333)</f>
        <v/>
      </c>
      <c r="HM333" s="62">
        <f>IF($B333=$B332,$HM332,0)+$HL333</f>
        <v/>
      </c>
      <c r="HN333" s="62">
        <f>$HN332+$HL333</f>
        <v/>
      </c>
      <c r="HO333" s="62">
        <f>SUMIFS(tblSafety[Recordables],tblSafety[Date],$A333)</f>
        <v/>
      </c>
      <c r="HP333" s="62">
        <f>IF($B333=$B332,$HP332,0)+$HO333</f>
        <v/>
      </c>
      <c r="HQ333" s="62">
        <f>$HQ332+$HO333</f>
        <v/>
      </c>
      <c r="HR333" s="62">
        <f>SUMIFS(tblSafety[Near_Miss],tblSafety[Date],$A333)</f>
        <v/>
      </c>
      <c r="HS333" s="62">
        <f>IF($B333=$B332,$HS332,0)+$HR333</f>
        <v/>
      </c>
      <c r="HT333" s="62">
        <f>$HT332+$HR333</f>
        <v/>
      </c>
      <c r="HU333" s="62">
        <f>SUMIFS(tblSafety[Hazard_Reports],tblSafety[Date],$A333)</f>
        <v/>
      </c>
      <c r="HV333" s="62">
        <f>IF($B333=$B332,$HV332,0)+$HU333</f>
        <v/>
      </c>
      <c r="HW333" s="62">
        <f>$HW332+$HU333</f>
        <v/>
      </c>
      <c r="HX333" s="62">
        <f>SUMIFS(tblSafety[HPI],tblSafety[Date],$A333)</f>
        <v/>
      </c>
      <c r="HY333" s="62">
        <f>IF($B333=$B332,$HY332,0)+$HX333</f>
        <v/>
      </c>
      <c r="HZ333" s="62">
        <f>$HZ332+$HX333</f>
        <v/>
      </c>
      <c r="IA333" s="62">
        <f>SUMIFS(tblSafety[Env_Incidents],tblSafety[Date],$A333)</f>
        <v/>
      </c>
      <c r="IB333" s="62">
        <f>IF($B333=$B332,$IB332,0)+$IA333</f>
        <v/>
      </c>
      <c r="IC333" s="62">
        <f>$IC332+$IA333</f>
        <v/>
      </c>
      <c r="ID333" s="62">
        <f>SUMIFS(tblSafety[Community_Incidents],tblSafety[Date],$A333)</f>
        <v/>
      </c>
      <c r="IE333" s="62">
        <f>IF($B333=$B332,$IE332,0)+$ID333</f>
        <v/>
      </c>
      <c r="IF333" s="62">
        <f>$IF332+$ID333</f>
        <v/>
      </c>
      <c r="IG333" s="62">
        <f>SUMIFS(tblSafety[Vehicle_Incidents],tblSafety[Date],$A333)</f>
        <v/>
      </c>
      <c r="IH333" s="62">
        <f>IF($B333=$B332,$IH332,0)+$IG333</f>
        <v/>
      </c>
      <c r="II333" s="62">
        <f>$II332+$IG333</f>
        <v/>
      </c>
      <c r="IJ333" s="62">
        <f>SUMIFS(tblSafety[Toolbox_Talks],tblSafety[Date],$A333)</f>
        <v/>
      </c>
      <c r="IK333" s="62">
        <f>IF($B333=$B332,$IK332,0)+$IJ333</f>
        <v/>
      </c>
      <c r="IL333" s="62">
        <f>$IL332+$IJ333</f>
        <v/>
      </c>
      <c r="IM333" s="62">
        <f>SUMIFS(tblSafety[Inspections],tblSafety[Date],$A333)</f>
        <v/>
      </c>
      <c r="IN333" s="62">
        <f>IF($B333=$B332,$IN332,0)+$IM333</f>
        <v/>
      </c>
      <c r="IO333" s="62">
        <f>$IO332+$IM333</f>
        <v/>
      </c>
      <c r="IP333" s="56">
        <f>IFERROR((SUMIFS(tblSafety[Recordables],tblSafety[Date],"&gt;="&amp;EDATE($E333,-12),tblSafety[Date],"&lt;="&amp;$A333)+SUMIFS(tblSafetyHistory[Recordables],tblSafetyHistory[Month],"&gt;="&amp;EDATE($E333,-12),tblSafetyHistory[Month],"&lt;"&amp;$E333,tblSafetyHistory[Use],1))/(SUMIFS(tblSafety[Hours_Total],tblSafety[Date],"&gt;="&amp;EDATE($E333,-12),tblSafety[Date],"&lt;="&amp;$A333)+SUMIFS(tblSafetyHistory[Hours_Total],tblSafetyHistory[Month],"&gt;="&amp;EDATE($E333,-12),tblSafetyHistory[Month],"&lt;"&amp;$E333,tblSafetyHistory[Use],1))*cfg_RateBasisHours,"")</f>
        <v/>
      </c>
      <c r="IQ333" s="56">
        <f>IFERROR((SUMIFS(tblSafety[LTI],tblSafety[Date],"&gt;="&amp;EDATE($E333,-12),tblSafety[Date],"&lt;="&amp;$A333)+SUMIFS(tblSafetyHistory[LTI],tblSafetyHistory[Month],"&gt;="&amp;EDATE($E333,-12),tblSafetyHistory[Month],"&lt;"&amp;$E333,tblSafetyHistory[Use],1))/(SUMIFS(tblSafety[Hours_Total],tblSafety[Date],"&gt;="&amp;EDATE($E333,-12),tblSafety[Date],"&lt;="&amp;$A333)+SUMIFS(tblSafetyHistory[Hours_Total],tblSafetyHistory[Month],"&gt;="&amp;EDATE($E333,-12),tblSafetyHistory[Month],"&lt;"&amp;$E333,tblSafetyHistory[Use],1))*cfg_RateBasisHours,"")</f>
        <v/>
      </c>
      <c r="IR333" s="62">
        <f>IF(MAX(N(cfg_PriorLTIDate),_xlfn.MAXIFS(tblSafety[Date],tblSafety[LTI],"&gt;0",tblSafety[Date],"&lt;="&amp;$A333))=0,"",$A333-MAX(N(cfg_PriorLTIDate),_xlfn.MAXIFS(tblSafety[Date],tblSafety[LTI],"&gt;0",tblSafety[Date],"&lt;="&amp;$A333)))</f>
        <v/>
      </c>
      <c r="IS333" s="55">
        <f>SUMIFS(tblBudget[Ore_Mined_t],tblBudget[Month],$E333)</f>
        <v/>
      </c>
      <c r="IT333" s="55">
        <f>$IS333*$C333/$D333</f>
        <v/>
      </c>
      <c r="IU333" s="55">
        <f>SUMIFS(tblBudget[Ore_Mined_t],tblBudget[Month],"&lt;"&amp;$E333)+$IT333</f>
        <v/>
      </c>
      <c r="IV333" s="55">
        <f>SUMIFS(tblBudget[Ore_oz],tblBudget[Month],$E333)</f>
        <v/>
      </c>
      <c r="IW333" s="55">
        <f>$IV333*$C333/$D333</f>
        <v/>
      </c>
      <c r="IX333" s="55">
        <f>SUMIFS(tblBudget[Ore_oz],tblBudget[Month],"&lt;"&amp;$E333)+$IW333</f>
        <v/>
      </c>
      <c r="IY333" s="55">
        <f>SUMIFS(tblBudget[Ore_Mined_t],tblBudget[Month],$E333)</f>
        <v/>
      </c>
      <c r="IZ333" s="55">
        <f>$IY333*$C333/$D333</f>
        <v/>
      </c>
      <c r="JA333" s="55">
        <f>SUMIFS(tblBudget[Ore_Mined_t],tblBudget[Month],"&lt;"&amp;$E333)+$IZ333</f>
        <v/>
      </c>
      <c r="JB333" s="56">
        <f>IFERROR(IF(($IY333)&gt;0,($IV333*cfg_TroyOz)/($IY333),""),"")</f>
        <v/>
      </c>
      <c r="JC333" s="56">
        <f>IFERROR(IF(($IZ333)&gt;0,($IW333*cfg_TroyOz)/($IZ333),""),"")</f>
        <v/>
      </c>
      <c r="JD333" s="56">
        <f>IFERROR(IF(($JA333)&gt;0,($IX333*cfg_TroyOz)/($JA333),""),"")</f>
        <v/>
      </c>
      <c r="JE333" s="55">
        <f>SUMIFS(tblBudget[Waste_t],tblBudget[Month],$E333)</f>
        <v/>
      </c>
      <c r="JF333" s="55">
        <f>$JE333*$C333/$D333</f>
        <v/>
      </c>
      <c r="JG333" s="55">
        <f>SUMIFS(tblBudget[Waste_t],tblBudget[Month],"&lt;"&amp;$E333)+$JF333</f>
        <v/>
      </c>
      <c r="JH333" s="55">
        <f>SUMIFS(tblBudget[TMM_t],tblBudget[Month],$E333)</f>
        <v/>
      </c>
      <c r="JI333" s="55">
        <f>$JH333*$C333/$D333</f>
        <v/>
      </c>
      <c r="JJ333" s="55">
        <f>SUMIFS(tblBudget[TMM_t],tblBudget[Month],"&lt;"&amp;$E333)+$JI333</f>
        <v/>
      </c>
      <c r="JK333" s="56">
        <f>IFERROR(IF(($IS333)&gt;0,($JE333)/($IS333),""),"")</f>
        <v/>
      </c>
      <c r="JL333" s="56">
        <f>IFERROR(IF(($IT333)&gt;0,($JF333)/($IT333),""),"")</f>
        <v/>
      </c>
      <c r="JM333" s="56">
        <f>IFERROR(IF(($IU333)&gt;0,($JG333)/($IU333),""),"")</f>
        <v/>
      </c>
      <c r="JN333" s="55">
        <f>SUMIFS(tblBudget[Drill_m],tblBudget[Month],$E333)</f>
        <v/>
      </c>
      <c r="JO333" s="55">
        <f>$JN333*$C333/$D333</f>
        <v/>
      </c>
      <c r="JP333" s="55">
        <f>SUMIFS(tblBudget[Drill_m],tblBudget[Month],"&lt;"&amp;$E333)+$JO333</f>
        <v/>
      </c>
      <c r="JQ333" s="55">
        <f>SUMIFS(tblBudget[Diesel_L],tblBudget[Month],$E333)</f>
        <v/>
      </c>
      <c r="JR333" s="55">
        <f>$JQ333*$C333/$D333</f>
        <v/>
      </c>
      <c r="JS333" s="55">
        <f>SUMIFS(tblBudget[Diesel_L],tblBudget[Month],"&lt;"&amp;$E333)+$JR333</f>
        <v/>
      </c>
      <c r="JT333" s="55">
        <f>SUMIFS(tblBudget[Milled_t],tblBudget[Month],$E333)</f>
        <v/>
      </c>
      <c r="JU333" s="55">
        <f>$JT333*$C333/$D333</f>
        <v/>
      </c>
      <c r="JV333" s="55">
        <f>SUMIFS(tblBudget[Milled_t],tblBudget[Month],"&lt;"&amp;$E333)+$JU333</f>
        <v/>
      </c>
      <c r="JW333" s="55">
        <f>SUMIFS(tblBudget[Feed_oz],tblBudget[Month],$E333)</f>
        <v/>
      </c>
      <c r="JX333" s="55">
        <f>$JW333*$C333/$D333</f>
        <v/>
      </c>
      <c r="JY333" s="55">
        <f>SUMIFS(tblBudget[Feed_oz],tblBudget[Month],"&lt;"&amp;$E333)+$JX333</f>
        <v/>
      </c>
      <c r="JZ333" s="55">
        <f>SUMIFS(tblBudget[Recovered_oz],tblBudget[Month],$E333)</f>
        <v/>
      </c>
      <c r="KA333" s="55">
        <f>$JZ333*$C333/$D333</f>
        <v/>
      </c>
      <c r="KB333" s="55">
        <f>SUMIFS(tblBudget[Recovered_oz],tblBudget[Month],"&lt;"&amp;$E333)+$KA333</f>
        <v/>
      </c>
      <c r="KC333" s="55">
        <f>SUMIFS(tblBudget[Milled_t],tblBudget[Month],$E333)</f>
        <v/>
      </c>
      <c r="KD333" s="55">
        <f>$KC333*$C333/$D333</f>
        <v/>
      </c>
      <c r="KE333" s="55">
        <f>SUMIFS(tblBudget[Milled_t],tblBudget[Month],"&lt;"&amp;$E333)+$KD333</f>
        <v/>
      </c>
      <c r="KF333" s="55">
        <f>SUMIFS(tblBudget[Feed_oz],tblBudget[Month],$E333)</f>
        <v/>
      </c>
      <c r="KG333" s="55">
        <f>$KF333*$C333/$D333</f>
        <v/>
      </c>
      <c r="KH333" s="55">
        <f>SUMIFS(tblBudget[Feed_oz],tblBudget[Month],"&lt;"&amp;$E333)+$KG333</f>
        <v/>
      </c>
      <c r="KI333" s="56">
        <f>IFERROR(IF(($KC333)&gt;0,($JW333*cfg_TroyOz)/($KC333),""),"")</f>
        <v/>
      </c>
      <c r="KJ333" s="56">
        <f>IFERROR(IF(($KD333)&gt;0,($JX333*cfg_TroyOz)/($KD333),""),"")</f>
        <v/>
      </c>
      <c r="KK333" s="56">
        <f>IFERROR(IF(($KE333)&gt;0,($JY333*cfg_TroyOz)/($KE333),""),"")</f>
        <v/>
      </c>
      <c r="KL333" s="67">
        <f>IFERROR(IF(($KF333)&gt;0,($JZ333)/($KF333),""),"")</f>
        <v/>
      </c>
      <c r="KM333" s="67">
        <f>IFERROR(IF(($KG333)&gt;0,($KA333)/($KG333),""),"")</f>
        <v/>
      </c>
      <c r="KN333" s="67">
        <f>IFERROR(IF(($KH333)&gt;0,($KB333)/($KH333),""),"")</f>
        <v/>
      </c>
      <c r="KO333" s="55">
        <f>SUMIFS(tblBudget[Gold_Poured_oz],tblBudget[Month],$E333)</f>
        <v/>
      </c>
      <c r="KP333" s="55">
        <f>$KO333*$C333/$D333</f>
        <v/>
      </c>
      <c r="KQ333" s="55">
        <f>SUMIFS(tblBudget[Gold_Poured_oz],tblBudget[Month],"&lt;"&amp;$E333)+$KP333</f>
        <v/>
      </c>
      <c r="KR333" s="57">
        <f>SUMIFS(tblBudget[Hours_Worked],tblBudget[Month],$E333)</f>
        <v/>
      </c>
      <c r="KS333" s="57">
        <f>$KR333*$C333/$D333</f>
        <v/>
      </c>
      <c r="KT333" s="57">
        <f>SUMIFS(tblBudget[Hours_Worked],tblBudget[Month],"&lt;"&amp;$E333)+$KS333</f>
        <v/>
      </c>
    </row>
    <row r="334">
      <c r="A334" s="54" t="n">
        <v>46355</v>
      </c>
      <c r="B334">
        <f>MONTH($A334)</f>
        <v/>
      </c>
      <c r="C334">
        <f>DAY($A334)</f>
        <v/>
      </c>
      <c r="D334">
        <f>DAY(EOMONTH($A334,0))</f>
        <v/>
      </c>
      <c r="E334" s="54">
        <f>DATE(YEAR($A334),MONTH($A334),1)</f>
        <v/>
      </c>
      <c r="F334" s="55">
        <f>SUMIFS(tblMovement[Tonnes_t],tblMovement[Date],$A334,tblMovement[Is_Ore],1,tblMovement[Source_Type],"Pit")</f>
        <v/>
      </c>
      <c r="G334" s="55">
        <f>IF($B334=$B333,$G333,0)+$F334</f>
        <v/>
      </c>
      <c r="H334" s="55">
        <f>$H333+$F334</f>
        <v/>
      </c>
      <c r="I334" s="55">
        <f>SUMIFS(tblMovement[Ore_oz],tblMovement[Date],$A334,tblMovement[Source_Type],"Pit")</f>
        <v/>
      </c>
      <c r="J334" s="55">
        <f>IF($B334=$B333,$J333,0)+$I334</f>
        <v/>
      </c>
      <c r="K334" s="55">
        <f>$K333+$I334</f>
        <v/>
      </c>
      <c r="L334" s="55">
        <f>SUMIFS(tblMovement[Tonnes_t],tblMovement[Date],$A334,tblMovement[Is_Ore],1,tblMovement[Source_Type],"Pit",tblMovement[Grade_gpt],"&lt;&gt;")</f>
        <v/>
      </c>
      <c r="M334" s="55">
        <f>IF($B334=$B333,$M333,0)+$L334</f>
        <v/>
      </c>
      <c r="N334" s="55">
        <f>$N333+$L334</f>
        <v/>
      </c>
      <c r="O334" s="56">
        <f>IFERROR(IF(($L334)&gt;0,($I334*cfg_TroyOz)/($L334),""),"")</f>
        <v/>
      </c>
      <c r="P334" s="56">
        <f>IFERROR(IF(($M334)&gt;0,($J334*cfg_TroyOz)/($M334),""),"")</f>
        <v/>
      </c>
      <c r="Q334" s="56">
        <f>IFERROR(IF(($N334)&gt;0,($K334*cfg_TroyOz)/($N334),""),"")</f>
        <v/>
      </c>
      <c r="R334" s="55">
        <f>$F334-$L334</f>
        <v/>
      </c>
      <c r="S334" s="55">
        <f>IF($B334=$B333,$S333,0)+$R334</f>
        <v/>
      </c>
      <c r="T334" s="55">
        <f>$T333+$R334</f>
        <v/>
      </c>
      <c r="U334" s="55">
        <f>SUMIFS(tblMovement[Tonnes_t],tblMovement[Date],$A334,tblMovement[Is_Ore],0,tblMovement[Source_Type],"Pit")</f>
        <v/>
      </c>
      <c r="V334" s="55">
        <f>IF($B334=$B333,$V333,0)+$U334</f>
        <v/>
      </c>
      <c r="W334" s="55">
        <f>$W333+$U334</f>
        <v/>
      </c>
      <c r="X334" s="55">
        <f>$F334+$U334</f>
        <v/>
      </c>
      <c r="Y334" s="55">
        <f>IF($B334=$B333,$Y333,0)+$X334</f>
        <v/>
      </c>
      <c r="Z334" s="55">
        <f>$Z333+$X334</f>
        <v/>
      </c>
      <c r="AA334" s="56">
        <f>IFERROR(IF(($F334)&gt;0,($U334)/($F334),""),"")</f>
        <v/>
      </c>
      <c r="AB334" s="56">
        <f>IFERROR(IF(($G334)&gt;0,($V334)/($G334),""),"")</f>
        <v/>
      </c>
      <c r="AC334" s="56">
        <f>IFERROR(IF(($H334)&gt;0,($W334)/($H334),""),"")</f>
        <v/>
      </c>
      <c r="AD334" s="55">
        <f>SUMIFS(tblMovement[Tonnes_t],tblMovement[Date],$A334,tblMovement[Source_Type],"Stockpile")</f>
        <v/>
      </c>
      <c r="AE334" s="55">
        <f>IF($B334=$B333,$AE333,0)+$AD334</f>
        <v/>
      </c>
      <c r="AF334" s="55">
        <f>$AF333+$AD334</f>
        <v/>
      </c>
      <c r="AG334" s="55">
        <f>SUMIFS(tblMovement[Tonnes_t],tblMovement[Date],$A334)</f>
        <v/>
      </c>
      <c r="AH334" s="55">
        <f>IF($B334=$B333,$AH333,0)+$AG334</f>
        <v/>
      </c>
      <c r="AI334" s="55">
        <f>$AI333+$AG334</f>
        <v/>
      </c>
      <c r="AJ334" s="55">
        <f>$AG334-$X334-$AD334</f>
        <v/>
      </c>
      <c r="AK334" s="55">
        <f>IF($B334=$B333,$AK333,0)+$AJ334</f>
        <v/>
      </c>
      <c r="AL334" s="55">
        <f>$AL333+$AJ334</f>
        <v/>
      </c>
      <c r="AM334" s="55">
        <f>SUMIFS(tblMiningDaily[Drill_m],tblMiningDaily[Date],$A334)</f>
        <v/>
      </c>
      <c r="AN334" s="55">
        <f>IF($B334=$B333,$AN333,0)+$AM334</f>
        <v/>
      </c>
      <c r="AO334" s="55">
        <f>$AO333+$AM334</f>
        <v/>
      </c>
      <c r="AP334" s="55">
        <f>SUMIFS(tblMiningDaily[GC_Drill_m],tblMiningDaily[Date],$A334)</f>
        <v/>
      </c>
      <c r="AQ334" s="55">
        <f>IF($B334=$B333,$AQ333,0)+$AP334</f>
        <v/>
      </c>
      <c r="AR334" s="55">
        <f>$AR333+$AP334</f>
        <v/>
      </c>
      <c r="AS334" s="55">
        <f>SUMIFS(tblMiningDaily[Blast_t],tblMiningDaily[Date],$A334)</f>
        <v/>
      </c>
      <c r="AT334" s="55">
        <f>IF($B334=$B333,$AT333,0)+$AS334</f>
        <v/>
      </c>
      <c r="AU334" s="55">
        <f>$AU333+$AS334</f>
        <v/>
      </c>
      <c r="AV334" s="55">
        <f>SUMIFS(tblMiningDaily[Explosives_kg],tblMiningDaily[Date],$A334)</f>
        <v/>
      </c>
      <c r="AW334" s="55">
        <f>IF($B334=$B333,$AW333,0)+$AV334</f>
        <v/>
      </c>
      <c r="AX334" s="55">
        <f>$AX333+$AV334</f>
        <v/>
      </c>
      <c r="AY334" s="56">
        <f>IFERROR(IF(($AS334)&gt;0,($AV334)/($AS334),""),"")</f>
        <v/>
      </c>
      <c r="AZ334" s="56">
        <f>IFERROR(IF(($AT334)&gt;0,($AW334)/($AT334),""),"")</f>
        <v/>
      </c>
      <c r="BA334" s="56">
        <f>IFERROR(IF(($AU334)&gt;0,($AX334)/($AU334),""),"")</f>
        <v/>
      </c>
      <c r="BB334" s="55">
        <f>SUMIFS(tblMiningDaily[Diesel_L],tblMiningDaily[Date],$A334)</f>
        <v/>
      </c>
      <c r="BC334" s="55">
        <f>IF($B334=$B333,$BC333,0)+$BB334</f>
        <v/>
      </c>
      <c r="BD334" s="55">
        <f>$BD333+$BB334</f>
        <v/>
      </c>
      <c r="BE334" s="55">
        <f>SUMIFS(tblMiningDaily[Dewatering_m3],tblMiningDaily[Date],$A334)</f>
        <v/>
      </c>
      <c r="BF334" s="55">
        <f>IF($B334=$B333,$BF333,0)+$BE334</f>
        <v/>
      </c>
      <c r="BG334" s="55">
        <f>$BG333+$BE334</f>
        <v/>
      </c>
      <c r="BH334" s="57">
        <f>SUMIFS(tblFleet[Calendar_h],tblFleet[Date],$A334,tblFleet[Equipment_Class],"Excavator")</f>
        <v/>
      </c>
      <c r="BI334" s="57">
        <f>IF($B334=$B333,$BI333,0)+$BH334</f>
        <v/>
      </c>
      <c r="BJ334" s="57">
        <f>$BJ333+$BH334</f>
        <v/>
      </c>
      <c r="BK334" s="57">
        <f>SUMIFS(tblFleet[Available_h],tblFleet[Date],$A334,tblFleet[Equipment_Class],"Excavator")</f>
        <v/>
      </c>
      <c r="BL334" s="57">
        <f>IF($B334=$B333,$BL333,0)+$BK334</f>
        <v/>
      </c>
      <c r="BM334" s="57">
        <f>$BM333+$BK334</f>
        <v/>
      </c>
      <c r="BN334" s="57">
        <f>SUMIFS(tblFleet[Operating_h],tblFleet[Date],$A334,tblFleet[Equipment_Class],"Excavator")</f>
        <v/>
      </c>
      <c r="BO334" s="57">
        <f>IF($B334=$B333,$BO333,0)+$BN334</f>
        <v/>
      </c>
      <c r="BP334" s="57">
        <f>$BP333+$BN334</f>
        <v/>
      </c>
      <c r="BQ334" s="67">
        <f>IFERROR(IF(($BH334)&gt;0,($BK334)/($BH334),""),"")</f>
        <v/>
      </c>
      <c r="BR334" s="67">
        <f>IFERROR(IF(($BI334)&gt;0,($BL334)/($BI334),""),"")</f>
        <v/>
      </c>
      <c r="BS334" s="67">
        <f>IFERROR(IF(($BJ334)&gt;0,($BM334)/($BJ334),""),"")</f>
        <v/>
      </c>
      <c r="BT334" s="67">
        <f>IFERROR(IF(($BK334)&gt;0,($BN334)/($BK334),""),"")</f>
        <v/>
      </c>
      <c r="BU334" s="67">
        <f>IFERROR(IF(($BL334)&gt;0,($BO334)/($BL334),""),"")</f>
        <v/>
      </c>
      <c r="BV334" s="67">
        <f>IFERROR(IF(($BM334)&gt;0,($BP334)/($BM334),""),"")</f>
        <v/>
      </c>
      <c r="BW334" s="57">
        <f>SUMIFS(tblFleet[Calendar_h],tblFleet[Date],$A334,tblFleet[Equipment_Class],"Haul Truck")</f>
        <v/>
      </c>
      <c r="BX334" s="57">
        <f>IF($B334=$B333,$BX333,0)+$BW334</f>
        <v/>
      </c>
      <c r="BY334" s="57">
        <f>$BY333+$BW334</f>
        <v/>
      </c>
      <c r="BZ334" s="57">
        <f>SUMIFS(tblFleet[Available_h],tblFleet[Date],$A334,tblFleet[Equipment_Class],"Haul Truck")</f>
        <v/>
      </c>
      <c r="CA334" s="57">
        <f>IF($B334=$B333,$CA333,0)+$BZ334</f>
        <v/>
      </c>
      <c r="CB334" s="57">
        <f>$CB333+$BZ334</f>
        <v/>
      </c>
      <c r="CC334" s="57">
        <f>SUMIFS(tblFleet[Operating_h],tblFleet[Date],$A334,tblFleet[Equipment_Class],"Haul Truck")</f>
        <v/>
      </c>
      <c r="CD334" s="57">
        <f>IF($B334=$B333,$CD333,0)+$CC334</f>
        <v/>
      </c>
      <c r="CE334" s="57">
        <f>$CE333+$CC334</f>
        <v/>
      </c>
      <c r="CF334" s="67">
        <f>IFERROR(IF(($BW334)&gt;0,($BZ334)/($BW334),""),"")</f>
        <v/>
      </c>
      <c r="CG334" s="67">
        <f>IFERROR(IF(($BX334)&gt;0,($CA334)/($BX334),""),"")</f>
        <v/>
      </c>
      <c r="CH334" s="67">
        <f>IFERROR(IF(($BY334)&gt;0,($CB334)/($BY334),""),"")</f>
        <v/>
      </c>
      <c r="CI334" s="67">
        <f>IFERROR(IF(($BZ334)&gt;0,($CC334)/($BZ334),""),"")</f>
        <v/>
      </c>
      <c r="CJ334" s="67">
        <f>IFERROR(IF(($CA334)&gt;0,($CD334)/($CA334),""),"")</f>
        <v/>
      </c>
      <c r="CK334" s="67">
        <f>IFERROR(IF(($CB334)&gt;0,($CE334)/($CB334),""),"")</f>
        <v/>
      </c>
      <c r="CL334" s="55">
        <f>IFERROR(IF(($BN334)&gt;0,($X334+$AD334)/($BN334),""),"")</f>
        <v/>
      </c>
      <c r="CM334" s="55">
        <f>IFERROR(IF(($BO334)&gt;0,($Y334+$AE334)/($BO334),""),"")</f>
        <v/>
      </c>
      <c r="CN334" s="55">
        <f>IFERROR(IF(($BP334)&gt;0,($Z334+$AF334)/($BP334),""),"")</f>
        <v/>
      </c>
      <c r="CO334" s="55">
        <f>IFERROR(IF(($CC334)&gt;0,($X334+$AD334)/($CC334),""),"")</f>
        <v/>
      </c>
      <c r="CP334" s="55">
        <f>IFERROR(IF(($CD334)&gt;0,($Y334+$AE334)/($CD334),""),"")</f>
        <v/>
      </c>
      <c r="CQ334" s="55">
        <f>IFERROR(IF(($CE334)&gt;0,($Z334+$AF334)/($CE334),""),"")</f>
        <v/>
      </c>
      <c r="CR334" s="55">
        <f>SUMIFS(tblPlant[Crushed_t],tblPlant[Date],$A334)</f>
        <v/>
      </c>
      <c r="CS334" s="55">
        <f>IF($B334=$B333,$CS333,0)+$CR334</f>
        <v/>
      </c>
      <c r="CT334" s="55">
        <f>$CT333+$CR334</f>
        <v/>
      </c>
      <c r="CU334" s="55">
        <f>SUMIFS(tblPlant[Milled_t],tblPlant[Date],$A334)</f>
        <v/>
      </c>
      <c r="CV334" s="55">
        <f>IF($B334=$B333,$CV333,0)+$CU334</f>
        <v/>
      </c>
      <c r="CW334" s="55">
        <f>$CW333+$CU334</f>
        <v/>
      </c>
      <c r="CX334" s="55">
        <f>SUMIFS(tblPlant[Feed_oz],tblPlant[Date],$A334)</f>
        <v/>
      </c>
      <c r="CY334" s="55">
        <f>IF($B334=$B333,$CY333,0)+$CX334</f>
        <v/>
      </c>
      <c r="CZ334" s="55">
        <f>$CZ333+$CX334</f>
        <v/>
      </c>
      <c r="DA334" s="55">
        <f>SUMIFS(tblPlant[Tails_oz],tblPlant[Date],$A334)</f>
        <v/>
      </c>
      <c r="DB334" s="55">
        <f>IF($B334=$B333,$DB333,0)+$DA334</f>
        <v/>
      </c>
      <c r="DC334" s="55">
        <f>$DC333+$DA334</f>
        <v/>
      </c>
      <c r="DD334" s="55">
        <f>SUMIFS(tblPlant[Recovered_oz],tblPlant[Date],$A334)</f>
        <v/>
      </c>
      <c r="DE334" s="55">
        <f>IF($B334=$B333,$DE333,0)+$DD334</f>
        <v/>
      </c>
      <c r="DF334" s="55">
        <f>$DF333+$DD334</f>
        <v/>
      </c>
      <c r="DG334" s="55">
        <f>SUMIFS(tblPlant[Milled_t],tblPlant[Date],$A334,tblPlant[Head_Grade_gpt],"&lt;&gt;")</f>
        <v/>
      </c>
      <c r="DH334" s="55">
        <f>IF($B334=$B333,$DH333,0)+$DG334</f>
        <v/>
      </c>
      <c r="DI334" s="55">
        <f>$DI333+$DG334</f>
        <v/>
      </c>
      <c r="DJ334" s="55">
        <f>SUMIFS(tblPlant[Milled_t],tblPlant[Date],$A334,tblPlant[Tails_Grade_gpt],"&lt;&gt;")</f>
        <v/>
      </c>
      <c r="DK334" s="55">
        <f>IF($B334=$B333,$DK333,0)+$DJ334</f>
        <v/>
      </c>
      <c r="DL334" s="55">
        <f>$DL333+$DJ334</f>
        <v/>
      </c>
      <c r="DM334" s="55">
        <f>SUMIFS(tblPlant[Feed_oz],tblPlant[Date],$A334,tblPlant[Tails_Grade_gpt],"&lt;&gt;")</f>
        <v/>
      </c>
      <c r="DN334" s="55">
        <f>IF($B334=$B333,$DN333,0)+$DM334</f>
        <v/>
      </c>
      <c r="DO334" s="55">
        <f>$DO333+$DM334</f>
        <v/>
      </c>
      <c r="DP334" s="55">
        <f>SUMIFS(tblPlant[Milled_t],tblPlant[Date],$A334,tblPlant[Mill_Run_h],"&lt;&gt;")</f>
        <v/>
      </c>
      <c r="DQ334" s="55">
        <f>IF($B334=$B333,$DQ333,0)+$DP334</f>
        <v/>
      </c>
      <c r="DR334" s="55">
        <f>$DR333+$DP334</f>
        <v/>
      </c>
      <c r="DS334" s="56">
        <f>IFERROR(IF(($DG334)&gt;0,($CX334*cfg_TroyOz)/($DG334),""),"")</f>
        <v/>
      </c>
      <c r="DT334" s="56">
        <f>IFERROR(IF(($DH334)&gt;0,($CY334*cfg_TroyOz)/($DH334),""),"")</f>
        <v/>
      </c>
      <c r="DU334" s="56">
        <f>IFERROR(IF(($DI334)&gt;0,($CZ334*cfg_TroyOz)/($DI334),""),"")</f>
        <v/>
      </c>
      <c r="DV334" s="56">
        <f>IFERROR(IF(($DJ334)&gt;0,($DA334*cfg_TroyOz)/($DJ334),""),"")</f>
        <v/>
      </c>
      <c r="DW334" s="56">
        <f>IFERROR(IF(($DK334)&gt;0,($DB334*cfg_TroyOz)/($DK334),""),"")</f>
        <v/>
      </c>
      <c r="DX334" s="56">
        <f>IFERROR(IF(($DL334)&gt;0,($DC334*cfg_TroyOz)/($DL334),""),"")</f>
        <v/>
      </c>
      <c r="DY334" s="67">
        <f>IFERROR(IF(($DM334)&gt;0,($DD334)/($DM334),""),"")</f>
        <v/>
      </c>
      <c r="DZ334" s="67">
        <f>IFERROR(IF(($DN334)&gt;0,($DE334)/($DN334),""),"")</f>
        <v/>
      </c>
      <c r="EA334" s="67">
        <f>IFERROR(IF(($DO334)&gt;0,($DF334)/($DO334),""),"")</f>
        <v/>
      </c>
      <c r="EB334" s="55">
        <f>SUMIFS(tblPlant[Gravity_Gold_oz],tblPlant[Date],$A334)</f>
        <v/>
      </c>
      <c r="EC334" s="55">
        <f>IF($B334=$B333,$EC333,0)+$EB334</f>
        <v/>
      </c>
      <c r="ED334" s="55">
        <f>$ED333+$EB334</f>
        <v/>
      </c>
      <c r="EE334" s="67">
        <f>IFERROR(IF(($DD334)&gt;0,($EB334)/($DD334),""),"")</f>
        <v/>
      </c>
      <c r="EF334" s="67">
        <f>IFERROR(IF(($DE334)&gt;0,($EC334)/($DE334),""),"")</f>
        <v/>
      </c>
      <c r="EG334" s="67">
        <f>IFERROR(IF(($DF334)&gt;0,($ED334)/($DF334),""),"")</f>
        <v/>
      </c>
      <c r="EH334" s="55">
        <f>SUMIFS(tblPlant[Gold_Poured_oz],tblPlant[Date],$A334)</f>
        <v/>
      </c>
      <c r="EI334" s="55">
        <f>IF($B334=$B333,$EI333,0)+$EH334</f>
        <v/>
      </c>
      <c r="EJ334" s="55">
        <f>$EJ333+$EH334</f>
        <v/>
      </c>
      <c r="EK334" s="57">
        <f>SUMIFS(tblPlant[Mill_Run_h],tblPlant[Date],$A334)</f>
        <v/>
      </c>
      <c r="EL334" s="57">
        <f>IF($B334=$B333,$EL333,0)+$EK334</f>
        <v/>
      </c>
      <c r="EM334" s="57">
        <f>$EM333+$EK334</f>
        <v/>
      </c>
      <c r="EN334" s="57">
        <f>SUMIFS(tblPlant[Mill_Planned_Maint_h],tblPlant[Date],$A334)</f>
        <v/>
      </c>
      <c r="EO334" s="57">
        <f>IF($B334=$B333,$EO333,0)+$EN334</f>
        <v/>
      </c>
      <c r="EP334" s="57">
        <f>$EP333+$EN334</f>
        <v/>
      </c>
      <c r="EQ334" s="57">
        <f>SUMIFS(tblPlant[Mill_Unplanned_Down_h],tblPlant[Date],$A334)</f>
        <v/>
      </c>
      <c r="ER334" s="57">
        <f>IF($B334=$B333,$ER333,0)+$EQ334</f>
        <v/>
      </c>
      <c r="ES334" s="57">
        <f>$ES333+$EQ334</f>
        <v/>
      </c>
      <c r="ET334" s="57">
        <f>IF(COUNTIFS(tblPlant[Date],$A334,tblPlant[Mill_Run_h],"&lt;&gt;")+COUNTIFS(tblPlant[Date],$A334,tblPlant[Mill_Planned_Maint_h],"&lt;&gt;")+COUNTIFS(tblPlant[Date],$A334,tblPlant[Mill_Unplanned_Down_h],"&lt;&gt;")&gt;0,cfg_HoursPerDay,0)</f>
        <v/>
      </c>
      <c r="EU334" s="57">
        <f>IF($B334=$B333,$EU333,0)+$ET334</f>
        <v/>
      </c>
      <c r="EV334" s="57">
        <f>$EV333+$ET334</f>
        <v/>
      </c>
      <c r="EW334" s="57">
        <f>SUMIFS(tblPlant[Crusher_Run_h],tblPlant[Date],$A334)</f>
        <v/>
      </c>
      <c r="EX334" s="57">
        <f>IF($B334=$B333,$EX333,0)+$EW334</f>
        <v/>
      </c>
      <c r="EY334" s="57">
        <f>$EY333+$EW334</f>
        <v/>
      </c>
      <c r="EZ334" s="55">
        <f>IFERROR(IF(($EK334)&gt;0,($DP334)/($EK334),""),"")</f>
        <v/>
      </c>
      <c r="FA334" s="55">
        <f>IFERROR(IF(($EL334)&gt;0,($DQ334)/($EL334),""),"")</f>
        <v/>
      </c>
      <c r="FB334" s="55">
        <f>IFERROR(IF(($EM334)&gt;0,($DR334)/($EM334),""),"")</f>
        <v/>
      </c>
      <c r="FC334" s="67">
        <f>IFERROR(IF(($ET334)&gt;0,($ET334-$EN334-$EQ334)/($ET334),""),"")</f>
        <v/>
      </c>
      <c r="FD334" s="67">
        <f>IFERROR(IF(($EU334)&gt;0,($EU334-$EO334-$ER334)/($EU334),""),"")</f>
        <v/>
      </c>
      <c r="FE334" s="67">
        <f>IFERROR(IF(($EV334)&gt;0,($EV334-$EP334-$ES334)/($EV334),""),"")</f>
        <v/>
      </c>
      <c r="FF334" s="67">
        <f>IFERROR(IF(($ET334-$EN334-$EQ334)&gt;0,($EK334)/($ET334-$EN334-$EQ334),""),"")</f>
        <v/>
      </c>
      <c r="FG334" s="67">
        <f>IFERROR(IF(($EU334-$EO334-$ER334)&gt;0,($EL334)/($EU334-$EO334-$ER334),""),"")</f>
        <v/>
      </c>
      <c r="FH334" s="67">
        <f>IFERROR(IF(($EV334-$EP334-$ES334)&gt;0,($EM334)/($EV334-$EP334-$ES334),""),"")</f>
        <v/>
      </c>
      <c r="FI334" s="55">
        <f>SUMIFS(tblPlant[Cyanide_kg],tblPlant[Date],$A334)</f>
        <v/>
      </c>
      <c r="FJ334" s="55">
        <f>IF($B334=$B333,$FJ333,0)+$FI334</f>
        <v/>
      </c>
      <c r="FK334" s="55">
        <f>$FK333+$FI334</f>
        <v/>
      </c>
      <c r="FL334" s="55">
        <f>SUMIFS(tblPlant[Lime_kg],tblPlant[Date],$A334)</f>
        <v/>
      </c>
      <c r="FM334" s="55">
        <f>IF($B334=$B333,$FM333,0)+$FL334</f>
        <v/>
      </c>
      <c r="FN334" s="55">
        <f>$FN333+$FL334</f>
        <v/>
      </c>
      <c r="FO334" s="55">
        <f>SUMIFS(tblPlant[Grinding_Media_kg],tblPlant[Date],$A334)</f>
        <v/>
      </c>
      <c r="FP334" s="55">
        <f>IF($B334=$B333,$FP333,0)+$FO334</f>
        <v/>
      </c>
      <c r="FQ334" s="55">
        <f>$FQ333+$FO334</f>
        <v/>
      </c>
      <c r="FR334" s="55">
        <f>SUMIFS(tblPlant[Power_kWh],tblPlant[Date],$A334)</f>
        <v/>
      </c>
      <c r="FS334" s="55">
        <f>IF($B334=$B333,$FS333,0)+$FR334</f>
        <v/>
      </c>
      <c r="FT334" s="55">
        <f>$FT333+$FR334</f>
        <v/>
      </c>
      <c r="FU334" s="55">
        <f>SUMIFS(tblPlant[Raw_Water_m3],tblPlant[Date],$A334)</f>
        <v/>
      </c>
      <c r="FV334" s="55">
        <f>IF($B334=$B333,$FV333,0)+$FU334</f>
        <v/>
      </c>
      <c r="FW334" s="55">
        <f>$FW333+$FU334</f>
        <v/>
      </c>
      <c r="FX334" s="56">
        <f>IFERROR(IF(($CU334)&gt;0,($FI334)/($CU334),""),"")</f>
        <v/>
      </c>
      <c r="FY334" s="56">
        <f>IFERROR(IF(($CV334)&gt;0,($FJ334)/($CV334),""),"")</f>
        <v/>
      </c>
      <c r="FZ334" s="56">
        <f>IFERROR(IF(($CW334)&gt;0,($FK334)/($CW334),""),"")</f>
        <v/>
      </c>
      <c r="GA334" s="56">
        <f>IFERROR(IF(($CU334)&gt;0,($FL334)/($CU334),""),"")</f>
        <v/>
      </c>
      <c r="GB334" s="56">
        <f>IFERROR(IF(($CV334)&gt;0,($FM334)/($CV334),""),"")</f>
        <v/>
      </c>
      <c r="GC334" s="56">
        <f>IFERROR(IF(($CW334)&gt;0,($FN334)/($CW334),""),"")</f>
        <v/>
      </c>
      <c r="GD334" s="56">
        <f>IFERROR(IF(($CU334)&gt;0,($FO334)/($CU334),""),"")</f>
        <v/>
      </c>
      <c r="GE334" s="56">
        <f>IFERROR(IF(($CV334)&gt;0,($FP334)/($CV334),""),"")</f>
        <v/>
      </c>
      <c r="GF334" s="56">
        <f>IFERROR(IF(($CW334)&gt;0,($FQ334)/($CW334),""),"")</f>
        <v/>
      </c>
      <c r="GG334" s="79">
        <f>IFERROR(IF(($CU334)&gt;0,($FR334)/($CU334),""),"")</f>
        <v/>
      </c>
      <c r="GH334" s="79">
        <f>IFERROR(IF(($CV334)&gt;0,($FS334)/($CV334),""),"")</f>
        <v/>
      </c>
      <c r="GI334" s="79">
        <f>IFERROR(IF(($CW334)&gt;0,($FT334)/($CW334),""),"")</f>
        <v/>
      </c>
      <c r="GJ334" s="56">
        <f>IFERROR(IF(($CU334)&gt;0,($FU334)/($CU334),""),"")</f>
        <v/>
      </c>
      <c r="GK334" s="56">
        <f>IFERROR(IF(($CV334)&gt;0,($FV334)/($CV334),""),"")</f>
        <v/>
      </c>
      <c r="GL334" s="56">
        <f>IFERROR(IF(($CW334)&gt;0,($FW334)/($CW334),""),"")</f>
        <v/>
      </c>
      <c r="GM334" s="55">
        <f>IF(SUMIFS(tblPlant[GIC_oz],tblPlant[Date],$A334)&gt;0,SUMIFS(tblPlant[GIC_oz],tblPlant[Date],$A334),"")</f>
        <v/>
      </c>
      <c r="GN334" s="55">
        <f>SUMIFS(tblGold[Gold_oz],tblGold[Date],$A334,tblGold[Type],"Shipment")</f>
        <v/>
      </c>
      <c r="GO334" s="55">
        <f>IF($B334=$B333,$GO333,0)+$GN334</f>
        <v/>
      </c>
      <c r="GP334" s="55">
        <f>$GP333+$GN334</f>
        <v/>
      </c>
      <c r="GQ334" s="55">
        <f>SUMIFS(tblGold[Gold_oz],tblGold[Date],$A334,tblGold[Type],"Sale")</f>
        <v/>
      </c>
      <c r="GR334" s="55">
        <f>IF($B334=$B333,$GR333,0)+$GQ334</f>
        <v/>
      </c>
      <c r="GS334" s="55">
        <f>$GS333+$GQ334</f>
        <v/>
      </c>
      <c r="GT334" s="55">
        <f>SUMIFS(tblGold[Dore_kg],tblGold[Date],$A334,tblGold[Type],"Shipment")</f>
        <v/>
      </c>
      <c r="GU334" s="55">
        <f>IF($B334=$B333,$GU333,0)+$GT334</f>
        <v/>
      </c>
      <c r="GV334" s="55">
        <f>$GV333+$GT334</f>
        <v/>
      </c>
      <c r="GW334" s="57">
        <f>SUMIFS(tblSafety[Hours_Total],tblSafety[Date],$A334)</f>
        <v/>
      </c>
      <c r="GX334" s="57">
        <f>IF($B334=$B333,$GX333,0)+$GW334</f>
        <v/>
      </c>
      <c r="GY334" s="57">
        <f>$GY333+$GW334</f>
        <v/>
      </c>
      <c r="GZ334" s="62">
        <f>SUMIFS(tblSafety[Fatality],tblSafety[Date],$A334)</f>
        <v/>
      </c>
      <c r="HA334" s="62">
        <f>IF($B334=$B333,$HA333,0)+$GZ334</f>
        <v/>
      </c>
      <c r="HB334" s="62">
        <f>$HB333+$GZ334</f>
        <v/>
      </c>
      <c r="HC334" s="62">
        <f>SUMIFS(tblSafety[LTI],tblSafety[Date],$A334)</f>
        <v/>
      </c>
      <c r="HD334" s="62">
        <f>IF($B334=$B333,$HD333,0)+$HC334</f>
        <v/>
      </c>
      <c r="HE334" s="62">
        <f>$HE333+$HC334</f>
        <v/>
      </c>
      <c r="HF334" s="62">
        <f>SUMIFS(tblSafety[RWI],tblSafety[Date],$A334)</f>
        <v/>
      </c>
      <c r="HG334" s="62">
        <f>IF($B334=$B333,$HG333,0)+$HF334</f>
        <v/>
      </c>
      <c r="HH334" s="62">
        <f>$HH333+$HF334</f>
        <v/>
      </c>
      <c r="HI334" s="62">
        <f>SUMIFS(tblSafety[MTI],tblSafety[Date],$A334)</f>
        <v/>
      </c>
      <c r="HJ334" s="62">
        <f>IF($B334=$B333,$HJ333,0)+$HI334</f>
        <v/>
      </c>
      <c r="HK334" s="62">
        <f>$HK333+$HI334</f>
        <v/>
      </c>
      <c r="HL334" s="62">
        <f>SUMIFS(tblSafety[FAI],tblSafety[Date],$A334)</f>
        <v/>
      </c>
      <c r="HM334" s="62">
        <f>IF($B334=$B333,$HM333,0)+$HL334</f>
        <v/>
      </c>
      <c r="HN334" s="62">
        <f>$HN333+$HL334</f>
        <v/>
      </c>
      <c r="HO334" s="62">
        <f>SUMIFS(tblSafety[Recordables],tblSafety[Date],$A334)</f>
        <v/>
      </c>
      <c r="HP334" s="62">
        <f>IF($B334=$B333,$HP333,0)+$HO334</f>
        <v/>
      </c>
      <c r="HQ334" s="62">
        <f>$HQ333+$HO334</f>
        <v/>
      </c>
      <c r="HR334" s="62">
        <f>SUMIFS(tblSafety[Near_Miss],tblSafety[Date],$A334)</f>
        <v/>
      </c>
      <c r="HS334" s="62">
        <f>IF($B334=$B333,$HS333,0)+$HR334</f>
        <v/>
      </c>
      <c r="HT334" s="62">
        <f>$HT333+$HR334</f>
        <v/>
      </c>
      <c r="HU334" s="62">
        <f>SUMIFS(tblSafety[Hazard_Reports],tblSafety[Date],$A334)</f>
        <v/>
      </c>
      <c r="HV334" s="62">
        <f>IF($B334=$B333,$HV333,0)+$HU334</f>
        <v/>
      </c>
      <c r="HW334" s="62">
        <f>$HW333+$HU334</f>
        <v/>
      </c>
      <c r="HX334" s="62">
        <f>SUMIFS(tblSafety[HPI],tblSafety[Date],$A334)</f>
        <v/>
      </c>
      <c r="HY334" s="62">
        <f>IF($B334=$B333,$HY333,0)+$HX334</f>
        <v/>
      </c>
      <c r="HZ334" s="62">
        <f>$HZ333+$HX334</f>
        <v/>
      </c>
      <c r="IA334" s="62">
        <f>SUMIFS(tblSafety[Env_Incidents],tblSafety[Date],$A334)</f>
        <v/>
      </c>
      <c r="IB334" s="62">
        <f>IF($B334=$B333,$IB333,0)+$IA334</f>
        <v/>
      </c>
      <c r="IC334" s="62">
        <f>$IC333+$IA334</f>
        <v/>
      </c>
      <c r="ID334" s="62">
        <f>SUMIFS(tblSafety[Community_Incidents],tblSafety[Date],$A334)</f>
        <v/>
      </c>
      <c r="IE334" s="62">
        <f>IF($B334=$B333,$IE333,0)+$ID334</f>
        <v/>
      </c>
      <c r="IF334" s="62">
        <f>$IF333+$ID334</f>
        <v/>
      </c>
      <c r="IG334" s="62">
        <f>SUMIFS(tblSafety[Vehicle_Incidents],tblSafety[Date],$A334)</f>
        <v/>
      </c>
      <c r="IH334" s="62">
        <f>IF($B334=$B333,$IH333,0)+$IG334</f>
        <v/>
      </c>
      <c r="II334" s="62">
        <f>$II333+$IG334</f>
        <v/>
      </c>
      <c r="IJ334" s="62">
        <f>SUMIFS(tblSafety[Toolbox_Talks],tblSafety[Date],$A334)</f>
        <v/>
      </c>
      <c r="IK334" s="62">
        <f>IF($B334=$B333,$IK333,0)+$IJ334</f>
        <v/>
      </c>
      <c r="IL334" s="62">
        <f>$IL333+$IJ334</f>
        <v/>
      </c>
      <c r="IM334" s="62">
        <f>SUMIFS(tblSafety[Inspections],tblSafety[Date],$A334)</f>
        <v/>
      </c>
      <c r="IN334" s="62">
        <f>IF($B334=$B333,$IN333,0)+$IM334</f>
        <v/>
      </c>
      <c r="IO334" s="62">
        <f>$IO333+$IM334</f>
        <v/>
      </c>
      <c r="IP334" s="56">
        <f>IFERROR((SUMIFS(tblSafety[Recordables],tblSafety[Date],"&gt;="&amp;EDATE($E334,-12),tblSafety[Date],"&lt;="&amp;$A334)+SUMIFS(tblSafetyHistory[Recordables],tblSafetyHistory[Month],"&gt;="&amp;EDATE($E334,-12),tblSafetyHistory[Month],"&lt;"&amp;$E334,tblSafetyHistory[Use],1))/(SUMIFS(tblSafety[Hours_Total],tblSafety[Date],"&gt;="&amp;EDATE($E334,-12),tblSafety[Date],"&lt;="&amp;$A334)+SUMIFS(tblSafetyHistory[Hours_Total],tblSafetyHistory[Month],"&gt;="&amp;EDATE($E334,-12),tblSafetyHistory[Month],"&lt;"&amp;$E334,tblSafetyHistory[Use],1))*cfg_RateBasisHours,"")</f>
        <v/>
      </c>
      <c r="IQ334" s="56">
        <f>IFERROR((SUMIFS(tblSafety[LTI],tblSafety[Date],"&gt;="&amp;EDATE($E334,-12),tblSafety[Date],"&lt;="&amp;$A334)+SUMIFS(tblSafetyHistory[LTI],tblSafetyHistory[Month],"&gt;="&amp;EDATE($E334,-12),tblSafetyHistory[Month],"&lt;"&amp;$E334,tblSafetyHistory[Use],1))/(SUMIFS(tblSafety[Hours_Total],tblSafety[Date],"&gt;="&amp;EDATE($E334,-12),tblSafety[Date],"&lt;="&amp;$A334)+SUMIFS(tblSafetyHistory[Hours_Total],tblSafetyHistory[Month],"&gt;="&amp;EDATE($E334,-12),tblSafetyHistory[Month],"&lt;"&amp;$E334,tblSafetyHistory[Use],1))*cfg_RateBasisHours,"")</f>
        <v/>
      </c>
      <c r="IR334" s="62">
        <f>IF(MAX(N(cfg_PriorLTIDate),_xlfn.MAXIFS(tblSafety[Date],tblSafety[LTI],"&gt;0",tblSafety[Date],"&lt;="&amp;$A334))=0,"",$A334-MAX(N(cfg_PriorLTIDate),_xlfn.MAXIFS(tblSafety[Date],tblSafety[LTI],"&gt;0",tblSafety[Date],"&lt;="&amp;$A334)))</f>
        <v/>
      </c>
      <c r="IS334" s="55">
        <f>SUMIFS(tblBudget[Ore_Mined_t],tblBudget[Month],$E334)</f>
        <v/>
      </c>
      <c r="IT334" s="55">
        <f>$IS334*$C334/$D334</f>
        <v/>
      </c>
      <c r="IU334" s="55">
        <f>SUMIFS(tblBudget[Ore_Mined_t],tblBudget[Month],"&lt;"&amp;$E334)+$IT334</f>
        <v/>
      </c>
      <c r="IV334" s="55">
        <f>SUMIFS(tblBudget[Ore_oz],tblBudget[Month],$E334)</f>
        <v/>
      </c>
      <c r="IW334" s="55">
        <f>$IV334*$C334/$D334</f>
        <v/>
      </c>
      <c r="IX334" s="55">
        <f>SUMIFS(tblBudget[Ore_oz],tblBudget[Month],"&lt;"&amp;$E334)+$IW334</f>
        <v/>
      </c>
      <c r="IY334" s="55">
        <f>SUMIFS(tblBudget[Ore_Mined_t],tblBudget[Month],$E334)</f>
        <v/>
      </c>
      <c r="IZ334" s="55">
        <f>$IY334*$C334/$D334</f>
        <v/>
      </c>
      <c r="JA334" s="55">
        <f>SUMIFS(tblBudget[Ore_Mined_t],tblBudget[Month],"&lt;"&amp;$E334)+$IZ334</f>
        <v/>
      </c>
      <c r="JB334" s="56">
        <f>IFERROR(IF(($IY334)&gt;0,($IV334*cfg_TroyOz)/($IY334),""),"")</f>
        <v/>
      </c>
      <c r="JC334" s="56">
        <f>IFERROR(IF(($IZ334)&gt;0,($IW334*cfg_TroyOz)/($IZ334),""),"")</f>
        <v/>
      </c>
      <c r="JD334" s="56">
        <f>IFERROR(IF(($JA334)&gt;0,($IX334*cfg_TroyOz)/($JA334),""),"")</f>
        <v/>
      </c>
      <c r="JE334" s="55">
        <f>SUMIFS(tblBudget[Waste_t],tblBudget[Month],$E334)</f>
        <v/>
      </c>
      <c r="JF334" s="55">
        <f>$JE334*$C334/$D334</f>
        <v/>
      </c>
      <c r="JG334" s="55">
        <f>SUMIFS(tblBudget[Waste_t],tblBudget[Month],"&lt;"&amp;$E334)+$JF334</f>
        <v/>
      </c>
      <c r="JH334" s="55">
        <f>SUMIFS(tblBudget[TMM_t],tblBudget[Month],$E334)</f>
        <v/>
      </c>
      <c r="JI334" s="55">
        <f>$JH334*$C334/$D334</f>
        <v/>
      </c>
      <c r="JJ334" s="55">
        <f>SUMIFS(tblBudget[TMM_t],tblBudget[Month],"&lt;"&amp;$E334)+$JI334</f>
        <v/>
      </c>
      <c r="JK334" s="56">
        <f>IFERROR(IF(($IS334)&gt;0,($JE334)/($IS334),""),"")</f>
        <v/>
      </c>
      <c r="JL334" s="56">
        <f>IFERROR(IF(($IT334)&gt;0,($JF334)/($IT334),""),"")</f>
        <v/>
      </c>
      <c r="JM334" s="56">
        <f>IFERROR(IF(($IU334)&gt;0,($JG334)/($IU334),""),"")</f>
        <v/>
      </c>
      <c r="JN334" s="55">
        <f>SUMIFS(tblBudget[Drill_m],tblBudget[Month],$E334)</f>
        <v/>
      </c>
      <c r="JO334" s="55">
        <f>$JN334*$C334/$D334</f>
        <v/>
      </c>
      <c r="JP334" s="55">
        <f>SUMIFS(tblBudget[Drill_m],tblBudget[Month],"&lt;"&amp;$E334)+$JO334</f>
        <v/>
      </c>
      <c r="JQ334" s="55">
        <f>SUMIFS(tblBudget[Diesel_L],tblBudget[Month],$E334)</f>
        <v/>
      </c>
      <c r="JR334" s="55">
        <f>$JQ334*$C334/$D334</f>
        <v/>
      </c>
      <c r="JS334" s="55">
        <f>SUMIFS(tblBudget[Diesel_L],tblBudget[Month],"&lt;"&amp;$E334)+$JR334</f>
        <v/>
      </c>
      <c r="JT334" s="55">
        <f>SUMIFS(tblBudget[Milled_t],tblBudget[Month],$E334)</f>
        <v/>
      </c>
      <c r="JU334" s="55">
        <f>$JT334*$C334/$D334</f>
        <v/>
      </c>
      <c r="JV334" s="55">
        <f>SUMIFS(tblBudget[Milled_t],tblBudget[Month],"&lt;"&amp;$E334)+$JU334</f>
        <v/>
      </c>
      <c r="JW334" s="55">
        <f>SUMIFS(tblBudget[Feed_oz],tblBudget[Month],$E334)</f>
        <v/>
      </c>
      <c r="JX334" s="55">
        <f>$JW334*$C334/$D334</f>
        <v/>
      </c>
      <c r="JY334" s="55">
        <f>SUMIFS(tblBudget[Feed_oz],tblBudget[Month],"&lt;"&amp;$E334)+$JX334</f>
        <v/>
      </c>
      <c r="JZ334" s="55">
        <f>SUMIFS(tblBudget[Recovered_oz],tblBudget[Month],$E334)</f>
        <v/>
      </c>
      <c r="KA334" s="55">
        <f>$JZ334*$C334/$D334</f>
        <v/>
      </c>
      <c r="KB334" s="55">
        <f>SUMIFS(tblBudget[Recovered_oz],tblBudget[Month],"&lt;"&amp;$E334)+$KA334</f>
        <v/>
      </c>
      <c r="KC334" s="55">
        <f>SUMIFS(tblBudget[Milled_t],tblBudget[Month],$E334)</f>
        <v/>
      </c>
      <c r="KD334" s="55">
        <f>$KC334*$C334/$D334</f>
        <v/>
      </c>
      <c r="KE334" s="55">
        <f>SUMIFS(tblBudget[Milled_t],tblBudget[Month],"&lt;"&amp;$E334)+$KD334</f>
        <v/>
      </c>
      <c r="KF334" s="55">
        <f>SUMIFS(tblBudget[Feed_oz],tblBudget[Month],$E334)</f>
        <v/>
      </c>
      <c r="KG334" s="55">
        <f>$KF334*$C334/$D334</f>
        <v/>
      </c>
      <c r="KH334" s="55">
        <f>SUMIFS(tblBudget[Feed_oz],tblBudget[Month],"&lt;"&amp;$E334)+$KG334</f>
        <v/>
      </c>
      <c r="KI334" s="56">
        <f>IFERROR(IF(($KC334)&gt;0,($JW334*cfg_TroyOz)/($KC334),""),"")</f>
        <v/>
      </c>
      <c r="KJ334" s="56">
        <f>IFERROR(IF(($KD334)&gt;0,($JX334*cfg_TroyOz)/($KD334),""),"")</f>
        <v/>
      </c>
      <c r="KK334" s="56">
        <f>IFERROR(IF(($KE334)&gt;0,($JY334*cfg_TroyOz)/($KE334),""),"")</f>
        <v/>
      </c>
      <c r="KL334" s="67">
        <f>IFERROR(IF(($KF334)&gt;0,($JZ334)/($KF334),""),"")</f>
        <v/>
      </c>
      <c r="KM334" s="67">
        <f>IFERROR(IF(($KG334)&gt;0,($KA334)/($KG334),""),"")</f>
        <v/>
      </c>
      <c r="KN334" s="67">
        <f>IFERROR(IF(($KH334)&gt;0,($KB334)/($KH334),""),"")</f>
        <v/>
      </c>
      <c r="KO334" s="55">
        <f>SUMIFS(tblBudget[Gold_Poured_oz],tblBudget[Month],$E334)</f>
        <v/>
      </c>
      <c r="KP334" s="55">
        <f>$KO334*$C334/$D334</f>
        <v/>
      </c>
      <c r="KQ334" s="55">
        <f>SUMIFS(tblBudget[Gold_Poured_oz],tblBudget[Month],"&lt;"&amp;$E334)+$KP334</f>
        <v/>
      </c>
      <c r="KR334" s="57">
        <f>SUMIFS(tblBudget[Hours_Worked],tblBudget[Month],$E334)</f>
        <v/>
      </c>
      <c r="KS334" s="57">
        <f>$KR334*$C334/$D334</f>
        <v/>
      </c>
      <c r="KT334" s="57">
        <f>SUMIFS(tblBudget[Hours_Worked],tblBudget[Month],"&lt;"&amp;$E334)+$KS334</f>
        <v/>
      </c>
    </row>
    <row r="335">
      <c r="A335" s="54" t="n">
        <v>46356</v>
      </c>
      <c r="B335">
        <f>MONTH($A335)</f>
        <v/>
      </c>
      <c r="C335">
        <f>DAY($A335)</f>
        <v/>
      </c>
      <c r="D335">
        <f>DAY(EOMONTH($A335,0))</f>
        <v/>
      </c>
      <c r="E335" s="54">
        <f>DATE(YEAR($A335),MONTH($A335),1)</f>
        <v/>
      </c>
      <c r="F335" s="55">
        <f>SUMIFS(tblMovement[Tonnes_t],tblMovement[Date],$A335,tblMovement[Is_Ore],1,tblMovement[Source_Type],"Pit")</f>
        <v/>
      </c>
      <c r="G335" s="55">
        <f>IF($B335=$B334,$G334,0)+$F335</f>
        <v/>
      </c>
      <c r="H335" s="55">
        <f>$H334+$F335</f>
        <v/>
      </c>
      <c r="I335" s="55">
        <f>SUMIFS(tblMovement[Ore_oz],tblMovement[Date],$A335,tblMovement[Source_Type],"Pit")</f>
        <v/>
      </c>
      <c r="J335" s="55">
        <f>IF($B335=$B334,$J334,0)+$I335</f>
        <v/>
      </c>
      <c r="K335" s="55">
        <f>$K334+$I335</f>
        <v/>
      </c>
      <c r="L335" s="55">
        <f>SUMIFS(tblMovement[Tonnes_t],tblMovement[Date],$A335,tblMovement[Is_Ore],1,tblMovement[Source_Type],"Pit",tblMovement[Grade_gpt],"&lt;&gt;")</f>
        <v/>
      </c>
      <c r="M335" s="55">
        <f>IF($B335=$B334,$M334,0)+$L335</f>
        <v/>
      </c>
      <c r="N335" s="55">
        <f>$N334+$L335</f>
        <v/>
      </c>
      <c r="O335" s="56">
        <f>IFERROR(IF(($L335)&gt;0,($I335*cfg_TroyOz)/($L335),""),"")</f>
        <v/>
      </c>
      <c r="P335" s="56">
        <f>IFERROR(IF(($M335)&gt;0,($J335*cfg_TroyOz)/($M335),""),"")</f>
        <v/>
      </c>
      <c r="Q335" s="56">
        <f>IFERROR(IF(($N335)&gt;0,($K335*cfg_TroyOz)/($N335),""),"")</f>
        <v/>
      </c>
      <c r="R335" s="55">
        <f>$F335-$L335</f>
        <v/>
      </c>
      <c r="S335" s="55">
        <f>IF($B335=$B334,$S334,0)+$R335</f>
        <v/>
      </c>
      <c r="T335" s="55">
        <f>$T334+$R335</f>
        <v/>
      </c>
      <c r="U335" s="55">
        <f>SUMIFS(tblMovement[Tonnes_t],tblMovement[Date],$A335,tblMovement[Is_Ore],0,tblMovement[Source_Type],"Pit")</f>
        <v/>
      </c>
      <c r="V335" s="55">
        <f>IF($B335=$B334,$V334,0)+$U335</f>
        <v/>
      </c>
      <c r="W335" s="55">
        <f>$W334+$U335</f>
        <v/>
      </c>
      <c r="X335" s="55">
        <f>$F335+$U335</f>
        <v/>
      </c>
      <c r="Y335" s="55">
        <f>IF($B335=$B334,$Y334,0)+$X335</f>
        <v/>
      </c>
      <c r="Z335" s="55">
        <f>$Z334+$X335</f>
        <v/>
      </c>
      <c r="AA335" s="56">
        <f>IFERROR(IF(($F335)&gt;0,($U335)/($F335),""),"")</f>
        <v/>
      </c>
      <c r="AB335" s="56">
        <f>IFERROR(IF(($G335)&gt;0,($V335)/($G335),""),"")</f>
        <v/>
      </c>
      <c r="AC335" s="56">
        <f>IFERROR(IF(($H335)&gt;0,($W335)/($H335),""),"")</f>
        <v/>
      </c>
      <c r="AD335" s="55">
        <f>SUMIFS(tblMovement[Tonnes_t],tblMovement[Date],$A335,tblMovement[Source_Type],"Stockpile")</f>
        <v/>
      </c>
      <c r="AE335" s="55">
        <f>IF($B335=$B334,$AE334,0)+$AD335</f>
        <v/>
      </c>
      <c r="AF335" s="55">
        <f>$AF334+$AD335</f>
        <v/>
      </c>
      <c r="AG335" s="55">
        <f>SUMIFS(tblMovement[Tonnes_t],tblMovement[Date],$A335)</f>
        <v/>
      </c>
      <c r="AH335" s="55">
        <f>IF($B335=$B334,$AH334,0)+$AG335</f>
        <v/>
      </c>
      <c r="AI335" s="55">
        <f>$AI334+$AG335</f>
        <v/>
      </c>
      <c r="AJ335" s="55">
        <f>$AG335-$X335-$AD335</f>
        <v/>
      </c>
      <c r="AK335" s="55">
        <f>IF($B335=$B334,$AK334,0)+$AJ335</f>
        <v/>
      </c>
      <c r="AL335" s="55">
        <f>$AL334+$AJ335</f>
        <v/>
      </c>
      <c r="AM335" s="55">
        <f>SUMIFS(tblMiningDaily[Drill_m],tblMiningDaily[Date],$A335)</f>
        <v/>
      </c>
      <c r="AN335" s="55">
        <f>IF($B335=$B334,$AN334,0)+$AM335</f>
        <v/>
      </c>
      <c r="AO335" s="55">
        <f>$AO334+$AM335</f>
        <v/>
      </c>
      <c r="AP335" s="55">
        <f>SUMIFS(tblMiningDaily[GC_Drill_m],tblMiningDaily[Date],$A335)</f>
        <v/>
      </c>
      <c r="AQ335" s="55">
        <f>IF($B335=$B334,$AQ334,0)+$AP335</f>
        <v/>
      </c>
      <c r="AR335" s="55">
        <f>$AR334+$AP335</f>
        <v/>
      </c>
      <c r="AS335" s="55">
        <f>SUMIFS(tblMiningDaily[Blast_t],tblMiningDaily[Date],$A335)</f>
        <v/>
      </c>
      <c r="AT335" s="55">
        <f>IF($B335=$B334,$AT334,0)+$AS335</f>
        <v/>
      </c>
      <c r="AU335" s="55">
        <f>$AU334+$AS335</f>
        <v/>
      </c>
      <c r="AV335" s="55">
        <f>SUMIFS(tblMiningDaily[Explosives_kg],tblMiningDaily[Date],$A335)</f>
        <v/>
      </c>
      <c r="AW335" s="55">
        <f>IF($B335=$B334,$AW334,0)+$AV335</f>
        <v/>
      </c>
      <c r="AX335" s="55">
        <f>$AX334+$AV335</f>
        <v/>
      </c>
      <c r="AY335" s="56">
        <f>IFERROR(IF(($AS335)&gt;0,($AV335)/($AS335),""),"")</f>
        <v/>
      </c>
      <c r="AZ335" s="56">
        <f>IFERROR(IF(($AT335)&gt;0,($AW335)/($AT335),""),"")</f>
        <v/>
      </c>
      <c r="BA335" s="56">
        <f>IFERROR(IF(($AU335)&gt;0,($AX335)/($AU335),""),"")</f>
        <v/>
      </c>
      <c r="BB335" s="55">
        <f>SUMIFS(tblMiningDaily[Diesel_L],tblMiningDaily[Date],$A335)</f>
        <v/>
      </c>
      <c r="BC335" s="55">
        <f>IF($B335=$B334,$BC334,0)+$BB335</f>
        <v/>
      </c>
      <c r="BD335" s="55">
        <f>$BD334+$BB335</f>
        <v/>
      </c>
      <c r="BE335" s="55">
        <f>SUMIFS(tblMiningDaily[Dewatering_m3],tblMiningDaily[Date],$A335)</f>
        <v/>
      </c>
      <c r="BF335" s="55">
        <f>IF($B335=$B334,$BF334,0)+$BE335</f>
        <v/>
      </c>
      <c r="BG335" s="55">
        <f>$BG334+$BE335</f>
        <v/>
      </c>
      <c r="BH335" s="57">
        <f>SUMIFS(tblFleet[Calendar_h],tblFleet[Date],$A335,tblFleet[Equipment_Class],"Excavator")</f>
        <v/>
      </c>
      <c r="BI335" s="57">
        <f>IF($B335=$B334,$BI334,0)+$BH335</f>
        <v/>
      </c>
      <c r="BJ335" s="57">
        <f>$BJ334+$BH335</f>
        <v/>
      </c>
      <c r="BK335" s="57">
        <f>SUMIFS(tblFleet[Available_h],tblFleet[Date],$A335,tblFleet[Equipment_Class],"Excavator")</f>
        <v/>
      </c>
      <c r="BL335" s="57">
        <f>IF($B335=$B334,$BL334,0)+$BK335</f>
        <v/>
      </c>
      <c r="BM335" s="57">
        <f>$BM334+$BK335</f>
        <v/>
      </c>
      <c r="BN335" s="57">
        <f>SUMIFS(tblFleet[Operating_h],tblFleet[Date],$A335,tblFleet[Equipment_Class],"Excavator")</f>
        <v/>
      </c>
      <c r="BO335" s="57">
        <f>IF($B335=$B334,$BO334,0)+$BN335</f>
        <v/>
      </c>
      <c r="BP335" s="57">
        <f>$BP334+$BN335</f>
        <v/>
      </c>
      <c r="BQ335" s="67">
        <f>IFERROR(IF(($BH335)&gt;0,($BK335)/($BH335),""),"")</f>
        <v/>
      </c>
      <c r="BR335" s="67">
        <f>IFERROR(IF(($BI335)&gt;0,($BL335)/($BI335),""),"")</f>
        <v/>
      </c>
      <c r="BS335" s="67">
        <f>IFERROR(IF(($BJ335)&gt;0,($BM335)/($BJ335),""),"")</f>
        <v/>
      </c>
      <c r="BT335" s="67">
        <f>IFERROR(IF(($BK335)&gt;0,($BN335)/($BK335),""),"")</f>
        <v/>
      </c>
      <c r="BU335" s="67">
        <f>IFERROR(IF(($BL335)&gt;0,($BO335)/($BL335),""),"")</f>
        <v/>
      </c>
      <c r="BV335" s="67">
        <f>IFERROR(IF(($BM335)&gt;0,($BP335)/($BM335),""),"")</f>
        <v/>
      </c>
      <c r="BW335" s="57">
        <f>SUMIFS(tblFleet[Calendar_h],tblFleet[Date],$A335,tblFleet[Equipment_Class],"Haul Truck")</f>
        <v/>
      </c>
      <c r="BX335" s="57">
        <f>IF($B335=$B334,$BX334,0)+$BW335</f>
        <v/>
      </c>
      <c r="BY335" s="57">
        <f>$BY334+$BW335</f>
        <v/>
      </c>
      <c r="BZ335" s="57">
        <f>SUMIFS(tblFleet[Available_h],tblFleet[Date],$A335,tblFleet[Equipment_Class],"Haul Truck")</f>
        <v/>
      </c>
      <c r="CA335" s="57">
        <f>IF($B335=$B334,$CA334,0)+$BZ335</f>
        <v/>
      </c>
      <c r="CB335" s="57">
        <f>$CB334+$BZ335</f>
        <v/>
      </c>
      <c r="CC335" s="57">
        <f>SUMIFS(tblFleet[Operating_h],tblFleet[Date],$A335,tblFleet[Equipment_Class],"Haul Truck")</f>
        <v/>
      </c>
      <c r="CD335" s="57">
        <f>IF($B335=$B334,$CD334,0)+$CC335</f>
        <v/>
      </c>
      <c r="CE335" s="57">
        <f>$CE334+$CC335</f>
        <v/>
      </c>
      <c r="CF335" s="67">
        <f>IFERROR(IF(($BW335)&gt;0,($BZ335)/($BW335),""),"")</f>
        <v/>
      </c>
      <c r="CG335" s="67">
        <f>IFERROR(IF(($BX335)&gt;0,($CA335)/($BX335),""),"")</f>
        <v/>
      </c>
      <c r="CH335" s="67">
        <f>IFERROR(IF(($BY335)&gt;0,($CB335)/($BY335),""),"")</f>
        <v/>
      </c>
      <c r="CI335" s="67">
        <f>IFERROR(IF(($BZ335)&gt;0,($CC335)/($BZ335),""),"")</f>
        <v/>
      </c>
      <c r="CJ335" s="67">
        <f>IFERROR(IF(($CA335)&gt;0,($CD335)/($CA335),""),"")</f>
        <v/>
      </c>
      <c r="CK335" s="67">
        <f>IFERROR(IF(($CB335)&gt;0,($CE335)/($CB335),""),"")</f>
        <v/>
      </c>
      <c r="CL335" s="55">
        <f>IFERROR(IF(($BN335)&gt;0,($X335+$AD335)/($BN335),""),"")</f>
        <v/>
      </c>
      <c r="CM335" s="55">
        <f>IFERROR(IF(($BO335)&gt;0,($Y335+$AE335)/($BO335),""),"")</f>
        <v/>
      </c>
      <c r="CN335" s="55">
        <f>IFERROR(IF(($BP335)&gt;0,($Z335+$AF335)/($BP335),""),"")</f>
        <v/>
      </c>
      <c r="CO335" s="55">
        <f>IFERROR(IF(($CC335)&gt;0,($X335+$AD335)/($CC335),""),"")</f>
        <v/>
      </c>
      <c r="CP335" s="55">
        <f>IFERROR(IF(($CD335)&gt;0,($Y335+$AE335)/($CD335),""),"")</f>
        <v/>
      </c>
      <c r="CQ335" s="55">
        <f>IFERROR(IF(($CE335)&gt;0,($Z335+$AF335)/($CE335),""),"")</f>
        <v/>
      </c>
      <c r="CR335" s="55">
        <f>SUMIFS(tblPlant[Crushed_t],tblPlant[Date],$A335)</f>
        <v/>
      </c>
      <c r="CS335" s="55">
        <f>IF($B335=$B334,$CS334,0)+$CR335</f>
        <v/>
      </c>
      <c r="CT335" s="55">
        <f>$CT334+$CR335</f>
        <v/>
      </c>
      <c r="CU335" s="55">
        <f>SUMIFS(tblPlant[Milled_t],tblPlant[Date],$A335)</f>
        <v/>
      </c>
      <c r="CV335" s="55">
        <f>IF($B335=$B334,$CV334,0)+$CU335</f>
        <v/>
      </c>
      <c r="CW335" s="55">
        <f>$CW334+$CU335</f>
        <v/>
      </c>
      <c r="CX335" s="55">
        <f>SUMIFS(tblPlant[Feed_oz],tblPlant[Date],$A335)</f>
        <v/>
      </c>
      <c r="CY335" s="55">
        <f>IF($B335=$B334,$CY334,0)+$CX335</f>
        <v/>
      </c>
      <c r="CZ335" s="55">
        <f>$CZ334+$CX335</f>
        <v/>
      </c>
      <c r="DA335" s="55">
        <f>SUMIFS(tblPlant[Tails_oz],tblPlant[Date],$A335)</f>
        <v/>
      </c>
      <c r="DB335" s="55">
        <f>IF($B335=$B334,$DB334,0)+$DA335</f>
        <v/>
      </c>
      <c r="DC335" s="55">
        <f>$DC334+$DA335</f>
        <v/>
      </c>
      <c r="DD335" s="55">
        <f>SUMIFS(tblPlant[Recovered_oz],tblPlant[Date],$A335)</f>
        <v/>
      </c>
      <c r="DE335" s="55">
        <f>IF($B335=$B334,$DE334,0)+$DD335</f>
        <v/>
      </c>
      <c r="DF335" s="55">
        <f>$DF334+$DD335</f>
        <v/>
      </c>
      <c r="DG335" s="55">
        <f>SUMIFS(tblPlant[Milled_t],tblPlant[Date],$A335,tblPlant[Head_Grade_gpt],"&lt;&gt;")</f>
        <v/>
      </c>
      <c r="DH335" s="55">
        <f>IF($B335=$B334,$DH334,0)+$DG335</f>
        <v/>
      </c>
      <c r="DI335" s="55">
        <f>$DI334+$DG335</f>
        <v/>
      </c>
      <c r="DJ335" s="55">
        <f>SUMIFS(tblPlant[Milled_t],tblPlant[Date],$A335,tblPlant[Tails_Grade_gpt],"&lt;&gt;")</f>
        <v/>
      </c>
      <c r="DK335" s="55">
        <f>IF($B335=$B334,$DK334,0)+$DJ335</f>
        <v/>
      </c>
      <c r="DL335" s="55">
        <f>$DL334+$DJ335</f>
        <v/>
      </c>
      <c r="DM335" s="55">
        <f>SUMIFS(tblPlant[Feed_oz],tblPlant[Date],$A335,tblPlant[Tails_Grade_gpt],"&lt;&gt;")</f>
        <v/>
      </c>
      <c r="DN335" s="55">
        <f>IF($B335=$B334,$DN334,0)+$DM335</f>
        <v/>
      </c>
      <c r="DO335" s="55">
        <f>$DO334+$DM335</f>
        <v/>
      </c>
      <c r="DP335" s="55">
        <f>SUMIFS(tblPlant[Milled_t],tblPlant[Date],$A335,tblPlant[Mill_Run_h],"&lt;&gt;")</f>
        <v/>
      </c>
      <c r="DQ335" s="55">
        <f>IF($B335=$B334,$DQ334,0)+$DP335</f>
        <v/>
      </c>
      <c r="DR335" s="55">
        <f>$DR334+$DP335</f>
        <v/>
      </c>
      <c r="DS335" s="56">
        <f>IFERROR(IF(($DG335)&gt;0,($CX335*cfg_TroyOz)/($DG335),""),"")</f>
        <v/>
      </c>
      <c r="DT335" s="56">
        <f>IFERROR(IF(($DH335)&gt;0,($CY335*cfg_TroyOz)/($DH335),""),"")</f>
        <v/>
      </c>
      <c r="DU335" s="56">
        <f>IFERROR(IF(($DI335)&gt;0,($CZ335*cfg_TroyOz)/($DI335),""),"")</f>
        <v/>
      </c>
      <c r="DV335" s="56">
        <f>IFERROR(IF(($DJ335)&gt;0,($DA335*cfg_TroyOz)/($DJ335),""),"")</f>
        <v/>
      </c>
      <c r="DW335" s="56">
        <f>IFERROR(IF(($DK335)&gt;0,($DB335*cfg_TroyOz)/($DK335),""),"")</f>
        <v/>
      </c>
      <c r="DX335" s="56">
        <f>IFERROR(IF(($DL335)&gt;0,($DC335*cfg_TroyOz)/($DL335),""),"")</f>
        <v/>
      </c>
      <c r="DY335" s="67">
        <f>IFERROR(IF(($DM335)&gt;0,($DD335)/($DM335),""),"")</f>
        <v/>
      </c>
      <c r="DZ335" s="67">
        <f>IFERROR(IF(($DN335)&gt;0,($DE335)/($DN335),""),"")</f>
        <v/>
      </c>
      <c r="EA335" s="67">
        <f>IFERROR(IF(($DO335)&gt;0,($DF335)/($DO335),""),"")</f>
        <v/>
      </c>
      <c r="EB335" s="55">
        <f>SUMIFS(tblPlant[Gravity_Gold_oz],tblPlant[Date],$A335)</f>
        <v/>
      </c>
      <c r="EC335" s="55">
        <f>IF($B335=$B334,$EC334,0)+$EB335</f>
        <v/>
      </c>
      <c r="ED335" s="55">
        <f>$ED334+$EB335</f>
        <v/>
      </c>
      <c r="EE335" s="67">
        <f>IFERROR(IF(($DD335)&gt;0,($EB335)/($DD335),""),"")</f>
        <v/>
      </c>
      <c r="EF335" s="67">
        <f>IFERROR(IF(($DE335)&gt;0,($EC335)/($DE335),""),"")</f>
        <v/>
      </c>
      <c r="EG335" s="67">
        <f>IFERROR(IF(($DF335)&gt;0,($ED335)/($DF335),""),"")</f>
        <v/>
      </c>
      <c r="EH335" s="55">
        <f>SUMIFS(tblPlant[Gold_Poured_oz],tblPlant[Date],$A335)</f>
        <v/>
      </c>
      <c r="EI335" s="55">
        <f>IF($B335=$B334,$EI334,0)+$EH335</f>
        <v/>
      </c>
      <c r="EJ335" s="55">
        <f>$EJ334+$EH335</f>
        <v/>
      </c>
      <c r="EK335" s="57">
        <f>SUMIFS(tblPlant[Mill_Run_h],tblPlant[Date],$A335)</f>
        <v/>
      </c>
      <c r="EL335" s="57">
        <f>IF($B335=$B334,$EL334,0)+$EK335</f>
        <v/>
      </c>
      <c r="EM335" s="57">
        <f>$EM334+$EK335</f>
        <v/>
      </c>
      <c r="EN335" s="57">
        <f>SUMIFS(tblPlant[Mill_Planned_Maint_h],tblPlant[Date],$A335)</f>
        <v/>
      </c>
      <c r="EO335" s="57">
        <f>IF($B335=$B334,$EO334,0)+$EN335</f>
        <v/>
      </c>
      <c r="EP335" s="57">
        <f>$EP334+$EN335</f>
        <v/>
      </c>
      <c r="EQ335" s="57">
        <f>SUMIFS(tblPlant[Mill_Unplanned_Down_h],tblPlant[Date],$A335)</f>
        <v/>
      </c>
      <c r="ER335" s="57">
        <f>IF($B335=$B334,$ER334,0)+$EQ335</f>
        <v/>
      </c>
      <c r="ES335" s="57">
        <f>$ES334+$EQ335</f>
        <v/>
      </c>
      <c r="ET335" s="57">
        <f>IF(COUNTIFS(tblPlant[Date],$A335,tblPlant[Mill_Run_h],"&lt;&gt;")+COUNTIFS(tblPlant[Date],$A335,tblPlant[Mill_Planned_Maint_h],"&lt;&gt;")+COUNTIFS(tblPlant[Date],$A335,tblPlant[Mill_Unplanned_Down_h],"&lt;&gt;")&gt;0,cfg_HoursPerDay,0)</f>
        <v/>
      </c>
      <c r="EU335" s="57">
        <f>IF($B335=$B334,$EU334,0)+$ET335</f>
        <v/>
      </c>
      <c r="EV335" s="57">
        <f>$EV334+$ET335</f>
        <v/>
      </c>
      <c r="EW335" s="57">
        <f>SUMIFS(tblPlant[Crusher_Run_h],tblPlant[Date],$A335)</f>
        <v/>
      </c>
      <c r="EX335" s="57">
        <f>IF($B335=$B334,$EX334,0)+$EW335</f>
        <v/>
      </c>
      <c r="EY335" s="57">
        <f>$EY334+$EW335</f>
        <v/>
      </c>
      <c r="EZ335" s="55">
        <f>IFERROR(IF(($EK335)&gt;0,($DP335)/($EK335),""),"")</f>
        <v/>
      </c>
      <c r="FA335" s="55">
        <f>IFERROR(IF(($EL335)&gt;0,($DQ335)/($EL335),""),"")</f>
        <v/>
      </c>
      <c r="FB335" s="55">
        <f>IFERROR(IF(($EM335)&gt;0,($DR335)/($EM335),""),"")</f>
        <v/>
      </c>
      <c r="FC335" s="67">
        <f>IFERROR(IF(($ET335)&gt;0,($ET335-$EN335-$EQ335)/($ET335),""),"")</f>
        <v/>
      </c>
      <c r="FD335" s="67">
        <f>IFERROR(IF(($EU335)&gt;0,($EU335-$EO335-$ER335)/($EU335),""),"")</f>
        <v/>
      </c>
      <c r="FE335" s="67">
        <f>IFERROR(IF(($EV335)&gt;0,($EV335-$EP335-$ES335)/($EV335),""),"")</f>
        <v/>
      </c>
      <c r="FF335" s="67">
        <f>IFERROR(IF(($ET335-$EN335-$EQ335)&gt;0,($EK335)/($ET335-$EN335-$EQ335),""),"")</f>
        <v/>
      </c>
      <c r="FG335" s="67">
        <f>IFERROR(IF(($EU335-$EO335-$ER335)&gt;0,($EL335)/($EU335-$EO335-$ER335),""),"")</f>
        <v/>
      </c>
      <c r="FH335" s="67">
        <f>IFERROR(IF(($EV335-$EP335-$ES335)&gt;0,($EM335)/($EV335-$EP335-$ES335),""),"")</f>
        <v/>
      </c>
      <c r="FI335" s="55">
        <f>SUMIFS(tblPlant[Cyanide_kg],tblPlant[Date],$A335)</f>
        <v/>
      </c>
      <c r="FJ335" s="55">
        <f>IF($B335=$B334,$FJ334,0)+$FI335</f>
        <v/>
      </c>
      <c r="FK335" s="55">
        <f>$FK334+$FI335</f>
        <v/>
      </c>
      <c r="FL335" s="55">
        <f>SUMIFS(tblPlant[Lime_kg],tblPlant[Date],$A335)</f>
        <v/>
      </c>
      <c r="FM335" s="55">
        <f>IF($B335=$B334,$FM334,0)+$FL335</f>
        <v/>
      </c>
      <c r="FN335" s="55">
        <f>$FN334+$FL335</f>
        <v/>
      </c>
      <c r="FO335" s="55">
        <f>SUMIFS(tblPlant[Grinding_Media_kg],tblPlant[Date],$A335)</f>
        <v/>
      </c>
      <c r="FP335" s="55">
        <f>IF($B335=$B334,$FP334,0)+$FO335</f>
        <v/>
      </c>
      <c r="FQ335" s="55">
        <f>$FQ334+$FO335</f>
        <v/>
      </c>
      <c r="FR335" s="55">
        <f>SUMIFS(tblPlant[Power_kWh],tblPlant[Date],$A335)</f>
        <v/>
      </c>
      <c r="FS335" s="55">
        <f>IF($B335=$B334,$FS334,0)+$FR335</f>
        <v/>
      </c>
      <c r="FT335" s="55">
        <f>$FT334+$FR335</f>
        <v/>
      </c>
      <c r="FU335" s="55">
        <f>SUMIFS(tblPlant[Raw_Water_m3],tblPlant[Date],$A335)</f>
        <v/>
      </c>
      <c r="FV335" s="55">
        <f>IF($B335=$B334,$FV334,0)+$FU335</f>
        <v/>
      </c>
      <c r="FW335" s="55">
        <f>$FW334+$FU335</f>
        <v/>
      </c>
      <c r="FX335" s="56">
        <f>IFERROR(IF(($CU335)&gt;0,($FI335)/($CU335),""),"")</f>
        <v/>
      </c>
      <c r="FY335" s="56">
        <f>IFERROR(IF(($CV335)&gt;0,($FJ335)/($CV335),""),"")</f>
        <v/>
      </c>
      <c r="FZ335" s="56">
        <f>IFERROR(IF(($CW335)&gt;0,($FK335)/($CW335),""),"")</f>
        <v/>
      </c>
      <c r="GA335" s="56">
        <f>IFERROR(IF(($CU335)&gt;0,($FL335)/($CU335),""),"")</f>
        <v/>
      </c>
      <c r="GB335" s="56">
        <f>IFERROR(IF(($CV335)&gt;0,($FM335)/($CV335),""),"")</f>
        <v/>
      </c>
      <c r="GC335" s="56">
        <f>IFERROR(IF(($CW335)&gt;0,($FN335)/($CW335),""),"")</f>
        <v/>
      </c>
      <c r="GD335" s="56">
        <f>IFERROR(IF(($CU335)&gt;0,($FO335)/($CU335),""),"")</f>
        <v/>
      </c>
      <c r="GE335" s="56">
        <f>IFERROR(IF(($CV335)&gt;0,($FP335)/($CV335),""),"")</f>
        <v/>
      </c>
      <c r="GF335" s="56">
        <f>IFERROR(IF(($CW335)&gt;0,($FQ335)/($CW335),""),"")</f>
        <v/>
      </c>
      <c r="GG335" s="79">
        <f>IFERROR(IF(($CU335)&gt;0,($FR335)/($CU335),""),"")</f>
        <v/>
      </c>
      <c r="GH335" s="79">
        <f>IFERROR(IF(($CV335)&gt;0,($FS335)/($CV335),""),"")</f>
        <v/>
      </c>
      <c r="GI335" s="79">
        <f>IFERROR(IF(($CW335)&gt;0,($FT335)/($CW335),""),"")</f>
        <v/>
      </c>
      <c r="GJ335" s="56">
        <f>IFERROR(IF(($CU335)&gt;0,($FU335)/($CU335),""),"")</f>
        <v/>
      </c>
      <c r="GK335" s="56">
        <f>IFERROR(IF(($CV335)&gt;0,($FV335)/($CV335),""),"")</f>
        <v/>
      </c>
      <c r="GL335" s="56">
        <f>IFERROR(IF(($CW335)&gt;0,($FW335)/($CW335),""),"")</f>
        <v/>
      </c>
      <c r="GM335" s="55">
        <f>IF(SUMIFS(tblPlant[GIC_oz],tblPlant[Date],$A335)&gt;0,SUMIFS(tblPlant[GIC_oz],tblPlant[Date],$A335),"")</f>
        <v/>
      </c>
      <c r="GN335" s="55">
        <f>SUMIFS(tblGold[Gold_oz],tblGold[Date],$A335,tblGold[Type],"Shipment")</f>
        <v/>
      </c>
      <c r="GO335" s="55">
        <f>IF($B335=$B334,$GO334,0)+$GN335</f>
        <v/>
      </c>
      <c r="GP335" s="55">
        <f>$GP334+$GN335</f>
        <v/>
      </c>
      <c r="GQ335" s="55">
        <f>SUMIFS(tblGold[Gold_oz],tblGold[Date],$A335,tblGold[Type],"Sale")</f>
        <v/>
      </c>
      <c r="GR335" s="55">
        <f>IF($B335=$B334,$GR334,0)+$GQ335</f>
        <v/>
      </c>
      <c r="GS335" s="55">
        <f>$GS334+$GQ335</f>
        <v/>
      </c>
      <c r="GT335" s="55">
        <f>SUMIFS(tblGold[Dore_kg],tblGold[Date],$A335,tblGold[Type],"Shipment")</f>
        <v/>
      </c>
      <c r="GU335" s="55">
        <f>IF($B335=$B334,$GU334,0)+$GT335</f>
        <v/>
      </c>
      <c r="GV335" s="55">
        <f>$GV334+$GT335</f>
        <v/>
      </c>
      <c r="GW335" s="57">
        <f>SUMIFS(tblSafety[Hours_Total],tblSafety[Date],$A335)</f>
        <v/>
      </c>
      <c r="GX335" s="57">
        <f>IF($B335=$B334,$GX334,0)+$GW335</f>
        <v/>
      </c>
      <c r="GY335" s="57">
        <f>$GY334+$GW335</f>
        <v/>
      </c>
      <c r="GZ335" s="62">
        <f>SUMIFS(tblSafety[Fatality],tblSafety[Date],$A335)</f>
        <v/>
      </c>
      <c r="HA335" s="62">
        <f>IF($B335=$B334,$HA334,0)+$GZ335</f>
        <v/>
      </c>
      <c r="HB335" s="62">
        <f>$HB334+$GZ335</f>
        <v/>
      </c>
      <c r="HC335" s="62">
        <f>SUMIFS(tblSafety[LTI],tblSafety[Date],$A335)</f>
        <v/>
      </c>
      <c r="HD335" s="62">
        <f>IF($B335=$B334,$HD334,0)+$HC335</f>
        <v/>
      </c>
      <c r="HE335" s="62">
        <f>$HE334+$HC335</f>
        <v/>
      </c>
      <c r="HF335" s="62">
        <f>SUMIFS(tblSafety[RWI],tblSafety[Date],$A335)</f>
        <v/>
      </c>
      <c r="HG335" s="62">
        <f>IF($B335=$B334,$HG334,0)+$HF335</f>
        <v/>
      </c>
      <c r="HH335" s="62">
        <f>$HH334+$HF335</f>
        <v/>
      </c>
      <c r="HI335" s="62">
        <f>SUMIFS(tblSafety[MTI],tblSafety[Date],$A335)</f>
        <v/>
      </c>
      <c r="HJ335" s="62">
        <f>IF($B335=$B334,$HJ334,0)+$HI335</f>
        <v/>
      </c>
      <c r="HK335" s="62">
        <f>$HK334+$HI335</f>
        <v/>
      </c>
      <c r="HL335" s="62">
        <f>SUMIFS(tblSafety[FAI],tblSafety[Date],$A335)</f>
        <v/>
      </c>
      <c r="HM335" s="62">
        <f>IF($B335=$B334,$HM334,0)+$HL335</f>
        <v/>
      </c>
      <c r="HN335" s="62">
        <f>$HN334+$HL335</f>
        <v/>
      </c>
      <c r="HO335" s="62">
        <f>SUMIFS(tblSafety[Recordables],tblSafety[Date],$A335)</f>
        <v/>
      </c>
      <c r="HP335" s="62">
        <f>IF($B335=$B334,$HP334,0)+$HO335</f>
        <v/>
      </c>
      <c r="HQ335" s="62">
        <f>$HQ334+$HO335</f>
        <v/>
      </c>
      <c r="HR335" s="62">
        <f>SUMIFS(tblSafety[Near_Miss],tblSafety[Date],$A335)</f>
        <v/>
      </c>
      <c r="HS335" s="62">
        <f>IF($B335=$B334,$HS334,0)+$HR335</f>
        <v/>
      </c>
      <c r="HT335" s="62">
        <f>$HT334+$HR335</f>
        <v/>
      </c>
      <c r="HU335" s="62">
        <f>SUMIFS(tblSafety[Hazard_Reports],tblSafety[Date],$A335)</f>
        <v/>
      </c>
      <c r="HV335" s="62">
        <f>IF($B335=$B334,$HV334,0)+$HU335</f>
        <v/>
      </c>
      <c r="HW335" s="62">
        <f>$HW334+$HU335</f>
        <v/>
      </c>
      <c r="HX335" s="62">
        <f>SUMIFS(tblSafety[HPI],tblSafety[Date],$A335)</f>
        <v/>
      </c>
      <c r="HY335" s="62">
        <f>IF($B335=$B334,$HY334,0)+$HX335</f>
        <v/>
      </c>
      <c r="HZ335" s="62">
        <f>$HZ334+$HX335</f>
        <v/>
      </c>
      <c r="IA335" s="62">
        <f>SUMIFS(tblSafety[Env_Incidents],tblSafety[Date],$A335)</f>
        <v/>
      </c>
      <c r="IB335" s="62">
        <f>IF($B335=$B334,$IB334,0)+$IA335</f>
        <v/>
      </c>
      <c r="IC335" s="62">
        <f>$IC334+$IA335</f>
        <v/>
      </c>
      <c r="ID335" s="62">
        <f>SUMIFS(tblSafety[Community_Incidents],tblSafety[Date],$A335)</f>
        <v/>
      </c>
      <c r="IE335" s="62">
        <f>IF($B335=$B334,$IE334,0)+$ID335</f>
        <v/>
      </c>
      <c r="IF335" s="62">
        <f>$IF334+$ID335</f>
        <v/>
      </c>
      <c r="IG335" s="62">
        <f>SUMIFS(tblSafety[Vehicle_Incidents],tblSafety[Date],$A335)</f>
        <v/>
      </c>
      <c r="IH335" s="62">
        <f>IF($B335=$B334,$IH334,0)+$IG335</f>
        <v/>
      </c>
      <c r="II335" s="62">
        <f>$II334+$IG335</f>
        <v/>
      </c>
      <c r="IJ335" s="62">
        <f>SUMIFS(tblSafety[Toolbox_Talks],tblSafety[Date],$A335)</f>
        <v/>
      </c>
      <c r="IK335" s="62">
        <f>IF($B335=$B334,$IK334,0)+$IJ335</f>
        <v/>
      </c>
      <c r="IL335" s="62">
        <f>$IL334+$IJ335</f>
        <v/>
      </c>
      <c r="IM335" s="62">
        <f>SUMIFS(tblSafety[Inspections],tblSafety[Date],$A335)</f>
        <v/>
      </c>
      <c r="IN335" s="62">
        <f>IF($B335=$B334,$IN334,0)+$IM335</f>
        <v/>
      </c>
      <c r="IO335" s="62">
        <f>$IO334+$IM335</f>
        <v/>
      </c>
      <c r="IP335" s="56">
        <f>IFERROR((SUMIFS(tblSafety[Recordables],tblSafety[Date],"&gt;="&amp;EDATE($E335,-12),tblSafety[Date],"&lt;="&amp;$A335)+SUMIFS(tblSafetyHistory[Recordables],tblSafetyHistory[Month],"&gt;="&amp;EDATE($E335,-12),tblSafetyHistory[Month],"&lt;"&amp;$E335,tblSafetyHistory[Use],1))/(SUMIFS(tblSafety[Hours_Total],tblSafety[Date],"&gt;="&amp;EDATE($E335,-12),tblSafety[Date],"&lt;="&amp;$A335)+SUMIFS(tblSafetyHistory[Hours_Total],tblSafetyHistory[Month],"&gt;="&amp;EDATE($E335,-12),tblSafetyHistory[Month],"&lt;"&amp;$E335,tblSafetyHistory[Use],1))*cfg_RateBasisHours,"")</f>
        <v/>
      </c>
      <c r="IQ335" s="56">
        <f>IFERROR((SUMIFS(tblSafety[LTI],tblSafety[Date],"&gt;="&amp;EDATE($E335,-12),tblSafety[Date],"&lt;="&amp;$A335)+SUMIFS(tblSafetyHistory[LTI],tblSafetyHistory[Month],"&gt;="&amp;EDATE($E335,-12),tblSafetyHistory[Month],"&lt;"&amp;$E335,tblSafetyHistory[Use],1))/(SUMIFS(tblSafety[Hours_Total],tblSafety[Date],"&gt;="&amp;EDATE($E335,-12),tblSafety[Date],"&lt;="&amp;$A335)+SUMIFS(tblSafetyHistory[Hours_Total],tblSafetyHistory[Month],"&gt;="&amp;EDATE($E335,-12),tblSafetyHistory[Month],"&lt;"&amp;$E335,tblSafetyHistory[Use],1))*cfg_RateBasisHours,"")</f>
        <v/>
      </c>
      <c r="IR335" s="62">
        <f>IF(MAX(N(cfg_PriorLTIDate),_xlfn.MAXIFS(tblSafety[Date],tblSafety[LTI],"&gt;0",tblSafety[Date],"&lt;="&amp;$A335))=0,"",$A335-MAX(N(cfg_PriorLTIDate),_xlfn.MAXIFS(tblSafety[Date],tblSafety[LTI],"&gt;0",tblSafety[Date],"&lt;="&amp;$A335)))</f>
        <v/>
      </c>
      <c r="IS335" s="55">
        <f>SUMIFS(tblBudget[Ore_Mined_t],tblBudget[Month],$E335)</f>
        <v/>
      </c>
      <c r="IT335" s="55">
        <f>$IS335*$C335/$D335</f>
        <v/>
      </c>
      <c r="IU335" s="55">
        <f>SUMIFS(tblBudget[Ore_Mined_t],tblBudget[Month],"&lt;"&amp;$E335)+$IT335</f>
        <v/>
      </c>
      <c r="IV335" s="55">
        <f>SUMIFS(tblBudget[Ore_oz],tblBudget[Month],$E335)</f>
        <v/>
      </c>
      <c r="IW335" s="55">
        <f>$IV335*$C335/$D335</f>
        <v/>
      </c>
      <c r="IX335" s="55">
        <f>SUMIFS(tblBudget[Ore_oz],tblBudget[Month],"&lt;"&amp;$E335)+$IW335</f>
        <v/>
      </c>
      <c r="IY335" s="55">
        <f>SUMIFS(tblBudget[Ore_Mined_t],tblBudget[Month],$E335)</f>
        <v/>
      </c>
      <c r="IZ335" s="55">
        <f>$IY335*$C335/$D335</f>
        <v/>
      </c>
      <c r="JA335" s="55">
        <f>SUMIFS(tblBudget[Ore_Mined_t],tblBudget[Month],"&lt;"&amp;$E335)+$IZ335</f>
        <v/>
      </c>
      <c r="JB335" s="56">
        <f>IFERROR(IF(($IY335)&gt;0,($IV335*cfg_TroyOz)/($IY335),""),"")</f>
        <v/>
      </c>
      <c r="JC335" s="56">
        <f>IFERROR(IF(($IZ335)&gt;0,($IW335*cfg_TroyOz)/($IZ335),""),"")</f>
        <v/>
      </c>
      <c r="JD335" s="56">
        <f>IFERROR(IF(($JA335)&gt;0,($IX335*cfg_TroyOz)/($JA335),""),"")</f>
        <v/>
      </c>
      <c r="JE335" s="55">
        <f>SUMIFS(tblBudget[Waste_t],tblBudget[Month],$E335)</f>
        <v/>
      </c>
      <c r="JF335" s="55">
        <f>$JE335*$C335/$D335</f>
        <v/>
      </c>
      <c r="JG335" s="55">
        <f>SUMIFS(tblBudget[Waste_t],tblBudget[Month],"&lt;"&amp;$E335)+$JF335</f>
        <v/>
      </c>
      <c r="JH335" s="55">
        <f>SUMIFS(tblBudget[TMM_t],tblBudget[Month],$E335)</f>
        <v/>
      </c>
      <c r="JI335" s="55">
        <f>$JH335*$C335/$D335</f>
        <v/>
      </c>
      <c r="JJ335" s="55">
        <f>SUMIFS(tblBudget[TMM_t],tblBudget[Month],"&lt;"&amp;$E335)+$JI335</f>
        <v/>
      </c>
      <c r="JK335" s="56">
        <f>IFERROR(IF(($IS335)&gt;0,($JE335)/($IS335),""),"")</f>
        <v/>
      </c>
      <c r="JL335" s="56">
        <f>IFERROR(IF(($IT335)&gt;0,($JF335)/($IT335),""),"")</f>
        <v/>
      </c>
      <c r="JM335" s="56">
        <f>IFERROR(IF(($IU335)&gt;0,($JG335)/($IU335),""),"")</f>
        <v/>
      </c>
      <c r="JN335" s="55">
        <f>SUMIFS(tblBudget[Drill_m],tblBudget[Month],$E335)</f>
        <v/>
      </c>
      <c r="JO335" s="55">
        <f>$JN335*$C335/$D335</f>
        <v/>
      </c>
      <c r="JP335" s="55">
        <f>SUMIFS(tblBudget[Drill_m],tblBudget[Month],"&lt;"&amp;$E335)+$JO335</f>
        <v/>
      </c>
      <c r="JQ335" s="55">
        <f>SUMIFS(tblBudget[Diesel_L],tblBudget[Month],$E335)</f>
        <v/>
      </c>
      <c r="JR335" s="55">
        <f>$JQ335*$C335/$D335</f>
        <v/>
      </c>
      <c r="JS335" s="55">
        <f>SUMIFS(tblBudget[Diesel_L],tblBudget[Month],"&lt;"&amp;$E335)+$JR335</f>
        <v/>
      </c>
      <c r="JT335" s="55">
        <f>SUMIFS(tblBudget[Milled_t],tblBudget[Month],$E335)</f>
        <v/>
      </c>
      <c r="JU335" s="55">
        <f>$JT335*$C335/$D335</f>
        <v/>
      </c>
      <c r="JV335" s="55">
        <f>SUMIFS(tblBudget[Milled_t],tblBudget[Month],"&lt;"&amp;$E335)+$JU335</f>
        <v/>
      </c>
      <c r="JW335" s="55">
        <f>SUMIFS(tblBudget[Feed_oz],tblBudget[Month],$E335)</f>
        <v/>
      </c>
      <c r="JX335" s="55">
        <f>$JW335*$C335/$D335</f>
        <v/>
      </c>
      <c r="JY335" s="55">
        <f>SUMIFS(tblBudget[Feed_oz],tblBudget[Month],"&lt;"&amp;$E335)+$JX335</f>
        <v/>
      </c>
      <c r="JZ335" s="55">
        <f>SUMIFS(tblBudget[Recovered_oz],tblBudget[Month],$E335)</f>
        <v/>
      </c>
      <c r="KA335" s="55">
        <f>$JZ335*$C335/$D335</f>
        <v/>
      </c>
      <c r="KB335" s="55">
        <f>SUMIFS(tblBudget[Recovered_oz],tblBudget[Month],"&lt;"&amp;$E335)+$KA335</f>
        <v/>
      </c>
      <c r="KC335" s="55">
        <f>SUMIFS(tblBudget[Milled_t],tblBudget[Month],$E335)</f>
        <v/>
      </c>
      <c r="KD335" s="55">
        <f>$KC335*$C335/$D335</f>
        <v/>
      </c>
      <c r="KE335" s="55">
        <f>SUMIFS(tblBudget[Milled_t],tblBudget[Month],"&lt;"&amp;$E335)+$KD335</f>
        <v/>
      </c>
      <c r="KF335" s="55">
        <f>SUMIFS(tblBudget[Feed_oz],tblBudget[Month],$E335)</f>
        <v/>
      </c>
      <c r="KG335" s="55">
        <f>$KF335*$C335/$D335</f>
        <v/>
      </c>
      <c r="KH335" s="55">
        <f>SUMIFS(tblBudget[Feed_oz],tblBudget[Month],"&lt;"&amp;$E335)+$KG335</f>
        <v/>
      </c>
      <c r="KI335" s="56">
        <f>IFERROR(IF(($KC335)&gt;0,($JW335*cfg_TroyOz)/($KC335),""),"")</f>
        <v/>
      </c>
      <c r="KJ335" s="56">
        <f>IFERROR(IF(($KD335)&gt;0,($JX335*cfg_TroyOz)/($KD335),""),"")</f>
        <v/>
      </c>
      <c r="KK335" s="56">
        <f>IFERROR(IF(($KE335)&gt;0,($JY335*cfg_TroyOz)/($KE335),""),"")</f>
        <v/>
      </c>
      <c r="KL335" s="67">
        <f>IFERROR(IF(($KF335)&gt;0,($JZ335)/($KF335),""),"")</f>
        <v/>
      </c>
      <c r="KM335" s="67">
        <f>IFERROR(IF(($KG335)&gt;0,($KA335)/($KG335),""),"")</f>
        <v/>
      </c>
      <c r="KN335" s="67">
        <f>IFERROR(IF(($KH335)&gt;0,($KB335)/($KH335),""),"")</f>
        <v/>
      </c>
      <c r="KO335" s="55">
        <f>SUMIFS(tblBudget[Gold_Poured_oz],tblBudget[Month],$E335)</f>
        <v/>
      </c>
      <c r="KP335" s="55">
        <f>$KO335*$C335/$D335</f>
        <v/>
      </c>
      <c r="KQ335" s="55">
        <f>SUMIFS(tblBudget[Gold_Poured_oz],tblBudget[Month],"&lt;"&amp;$E335)+$KP335</f>
        <v/>
      </c>
      <c r="KR335" s="57">
        <f>SUMIFS(tblBudget[Hours_Worked],tblBudget[Month],$E335)</f>
        <v/>
      </c>
      <c r="KS335" s="57">
        <f>$KR335*$C335/$D335</f>
        <v/>
      </c>
      <c r="KT335" s="57">
        <f>SUMIFS(tblBudget[Hours_Worked],tblBudget[Month],"&lt;"&amp;$E335)+$KS335</f>
        <v/>
      </c>
    </row>
    <row r="336">
      <c r="A336" s="54" t="n">
        <v>46357</v>
      </c>
      <c r="B336">
        <f>MONTH($A336)</f>
        <v/>
      </c>
      <c r="C336">
        <f>DAY($A336)</f>
        <v/>
      </c>
      <c r="D336">
        <f>DAY(EOMONTH($A336,0))</f>
        <v/>
      </c>
      <c r="E336" s="54">
        <f>DATE(YEAR($A336),MONTH($A336),1)</f>
        <v/>
      </c>
      <c r="F336" s="55">
        <f>SUMIFS(tblMovement[Tonnes_t],tblMovement[Date],$A336,tblMovement[Is_Ore],1,tblMovement[Source_Type],"Pit")</f>
        <v/>
      </c>
      <c r="G336" s="55">
        <f>IF($B336=$B335,$G335,0)+$F336</f>
        <v/>
      </c>
      <c r="H336" s="55">
        <f>$H335+$F336</f>
        <v/>
      </c>
      <c r="I336" s="55">
        <f>SUMIFS(tblMovement[Ore_oz],tblMovement[Date],$A336,tblMovement[Source_Type],"Pit")</f>
        <v/>
      </c>
      <c r="J336" s="55">
        <f>IF($B336=$B335,$J335,0)+$I336</f>
        <v/>
      </c>
      <c r="K336" s="55">
        <f>$K335+$I336</f>
        <v/>
      </c>
      <c r="L336" s="55">
        <f>SUMIFS(tblMovement[Tonnes_t],tblMovement[Date],$A336,tblMovement[Is_Ore],1,tblMovement[Source_Type],"Pit",tblMovement[Grade_gpt],"&lt;&gt;")</f>
        <v/>
      </c>
      <c r="M336" s="55">
        <f>IF($B336=$B335,$M335,0)+$L336</f>
        <v/>
      </c>
      <c r="N336" s="55">
        <f>$N335+$L336</f>
        <v/>
      </c>
      <c r="O336" s="56">
        <f>IFERROR(IF(($L336)&gt;0,($I336*cfg_TroyOz)/($L336),""),"")</f>
        <v/>
      </c>
      <c r="P336" s="56">
        <f>IFERROR(IF(($M336)&gt;0,($J336*cfg_TroyOz)/($M336),""),"")</f>
        <v/>
      </c>
      <c r="Q336" s="56">
        <f>IFERROR(IF(($N336)&gt;0,($K336*cfg_TroyOz)/($N336),""),"")</f>
        <v/>
      </c>
      <c r="R336" s="55">
        <f>$F336-$L336</f>
        <v/>
      </c>
      <c r="S336" s="55">
        <f>IF($B336=$B335,$S335,0)+$R336</f>
        <v/>
      </c>
      <c r="T336" s="55">
        <f>$T335+$R336</f>
        <v/>
      </c>
      <c r="U336" s="55">
        <f>SUMIFS(tblMovement[Tonnes_t],tblMovement[Date],$A336,tblMovement[Is_Ore],0,tblMovement[Source_Type],"Pit")</f>
        <v/>
      </c>
      <c r="V336" s="55">
        <f>IF($B336=$B335,$V335,0)+$U336</f>
        <v/>
      </c>
      <c r="W336" s="55">
        <f>$W335+$U336</f>
        <v/>
      </c>
      <c r="X336" s="55">
        <f>$F336+$U336</f>
        <v/>
      </c>
      <c r="Y336" s="55">
        <f>IF($B336=$B335,$Y335,0)+$X336</f>
        <v/>
      </c>
      <c r="Z336" s="55">
        <f>$Z335+$X336</f>
        <v/>
      </c>
      <c r="AA336" s="56">
        <f>IFERROR(IF(($F336)&gt;0,($U336)/($F336),""),"")</f>
        <v/>
      </c>
      <c r="AB336" s="56">
        <f>IFERROR(IF(($G336)&gt;0,($V336)/($G336),""),"")</f>
        <v/>
      </c>
      <c r="AC336" s="56">
        <f>IFERROR(IF(($H336)&gt;0,($W336)/($H336),""),"")</f>
        <v/>
      </c>
      <c r="AD336" s="55">
        <f>SUMIFS(tblMovement[Tonnes_t],tblMovement[Date],$A336,tblMovement[Source_Type],"Stockpile")</f>
        <v/>
      </c>
      <c r="AE336" s="55">
        <f>IF($B336=$B335,$AE335,0)+$AD336</f>
        <v/>
      </c>
      <c r="AF336" s="55">
        <f>$AF335+$AD336</f>
        <v/>
      </c>
      <c r="AG336" s="55">
        <f>SUMIFS(tblMovement[Tonnes_t],tblMovement[Date],$A336)</f>
        <v/>
      </c>
      <c r="AH336" s="55">
        <f>IF($B336=$B335,$AH335,0)+$AG336</f>
        <v/>
      </c>
      <c r="AI336" s="55">
        <f>$AI335+$AG336</f>
        <v/>
      </c>
      <c r="AJ336" s="55">
        <f>$AG336-$X336-$AD336</f>
        <v/>
      </c>
      <c r="AK336" s="55">
        <f>IF($B336=$B335,$AK335,0)+$AJ336</f>
        <v/>
      </c>
      <c r="AL336" s="55">
        <f>$AL335+$AJ336</f>
        <v/>
      </c>
      <c r="AM336" s="55">
        <f>SUMIFS(tblMiningDaily[Drill_m],tblMiningDaily[Date],$A336)</f>
        <v/>
      </c>
      <c r="AN336" s="55">
        <f>IF($B336=$B335,$AN335,0)+$AM336</f>
        <v/>
      </c>
      <c r="AO336" s="55">
        <f>$AO335+$AM336</f>
        <v/>
      </c>
      <c r="AP336" s="55">
        <f>SUMIFS(tblMiningDaily[GC_Drill_m],tblMiningDaily[Date],$A336)</f>
        <v/>
      </c>
      <c r="AQ336" s="55">
        <f>IF($B336=$B335,$AQ335,0)+$AP336</f>
        <v/>
      </c>
      <c r="AR336" s="55">
        <f>$AR335+$AP336</f>
        <v/>
      </c>
      <c r="AS336" s="55">
        <f>SUMIFS(tblMiningDaily[Blast_t],tblMiningDaily[Date],$A336)</f>
        <v/>
      </c>
      <c r="AT336" s="55">
        <f>IF($B336=$B335,$AT335,0)+$AS336</f>
        <v/>
      </c>
      <c r="AU336" s="55">
        <f>$AU335+$AS336</f>
        <v/>
      </c>
      <c r="AV336" s="55">
        <f>SUMIFS(tblMiningDaily[Explosives_kg],tblMiningDaily[Date],$A336)</f>
        <v/>
      </c>
      <c r="AW336" s="55">
        <f>IF($B336=$B335,$AW335,0)+$AV336</f>
        <v/>
      </c>
      <c r="AX336" s="55">
        <f>$AX335+$AV336</f>
        <v/>
      </c>
      <c r="AY336" s="56">
        <f>IFERROR(IF(($AS336)&gt;0,($AV336)/($AS336),""),"")</f>
        <v/>
      </c>
      <c r="AZ336" s="56">
        <f>IFERROR(IF(($AT336)&gt;0,($AW336)/($AT336),""),"")</f>
        <v/>
      </c>
      <c r="BA336" s="56">
        <f>IFERROR(IF(($AU336)&gt;0,($AX336)/($AU336),""),"")</f>
        <v/>
      </c>
      <c r="BB336" s="55">
        <f>SUMIFS(tblMiningDaily[Diesel_L],tblMiningDaily[Date],$A336)</f>
        <v/>
      </c>
      <c r="BC336" s="55">
        <f>IF($B336=$B335,$BC335,0)+$BB336</f>
        <v/>
      </c>
      <c r="BD336" s="55">
        <f>$BD335+$BB336</f>
        <v/>
      </c>
      <c r="BE336" s="55">
        <f>SUMIFS(tblMiningDaily[Dewatering_m3],tblMiningDaily[Date],$A336)</f>
        <v/>
      </c>
      <c r="BF336" s="55">
        <f>IF($B336=$B335,$BF335,0)+$BE336</f>
        <v/>
      </c>
      <c r="BG336" s="55">
        <f>$BG335+$BE336</f>
        <v/>
      </c>
      <c r="BH336" s="57">
        <f>SUMIFS(tblFleet[Calendar_h],tblFleet[Date],$A336,tblFleet[Equipment_Class],"Excavator")</f>
        <v/>
      </c>
      <c r="BI336" s="57">
        <f>IF($B336=$B335,$BI335,0)+$BH336</f>
        <v/>
      </c>
      <c r="BJ336" s="57">
        <f>$BJ335+$BH336</f>
        <v/>
      </c>
      <c r="BK336" s="57">
        <f>SUMIFS(tblFleet[Available_h],tblFleet[Date],$A336,tblFleet[Equipment_Class],"Excavator")</f>
        <v/>
      </c>
      <c r="BL336" s="57">
        <f>IF($B336=$B335,$BL335,0)+$BK336</f>
        <v/>
      </c>
      <c r="BM336" s="57">
        <f>$BM335+$BK336</f>
        <v/>
      </c>
      <c r="BN336" s="57">
        <f>SUMIFS(tblFleet[Operating_h],tblFleet[Date],$A336,tblFleet[Equipment_Class],"Excavator")</f>
        <v/>
      </c>
      <c r="BO336" s="57">
        <f>IF($B336=$B335,$BO335,0)+$BN336</f>
        <v/>
      </c>
      <c r="BP336" s="57">
        <f>$BP335+$BN336</f>
        <v/>
      </c>
      <c r="BQ336" s="67">
        <f>IFERROR(IF(($BH336)&gt;0,($BK336)/($BH336),""),"")</f>
        <v/>
      </c>
      <c r="BR336" s="67">
        <f>IFERROR(IF(($BI336)&gt;0,($BL336)/($BI336),""),"")</f>
        <v/>
      </c>
      <c r="BS336" s="67">
        <f>IFERROR(IF(($BJ336)&gt;0,($BM336)/($BJ336),""),"")</f>
        <v/>
      </c>
      <c r="BT336" s="67">
        <f>IFERROR(IF(($BK336)&gt;0,($BN336)/($BK336),""),"")</f>
        <v/>
      </c>
      <c r="BU336" s="67">
        <f>IFERROR(IF(($BL336)&gt;0,($BO336)/($BL336),""),"")</f>
        <v/>
      </c>
      <c r="BV336" s="67">
        <f>IFERROR(IF(($BM336)&gt;0,($BP336)/($BM336),""),"")</f>
        <v/>
      </c>
      <c r="BW336" s="57">
        <f>SUMIFS(tblFleet[Calendar_h],tblFleet[Date],$A336,tblFleet[Equipment_Class],"Haul Truck")</f>
        <v/>
      </c>
      <c r="BX336" s="57">
        <f>IF($B336=$B335,$BX335,0)+$BW336</f>
        <v/>
      </c>
      <c r="BY336" s="57">
        <f>$BY335+$BW336</f>
        <v/>
      </c>
      <c r="BZ336" s="57">
        <f>SUMIFS(tblFleet[Available_h],tblFleet[Date],$A336,tblFleet[Equipment_Class],"Haul Truck")</f>
        <v/>
      </c>
      <c r="CA336" s="57">
        <f>IF($B336=$B335,$CA335,0)+$BZ336</f>
        <v/>
      </c>
      <c r="CB336" s="57">
        <f>$CB335+$BZ336</f>
        <v/>
      </c>
      <c r="CC336" s="57">
        <f>SUMIFS(tblFleet[Operating_h],tblFleet[Date],$A336,tblFleet[Equipment_Class],"Haul Truck")</f>
        <v/>
      </c>
      <c r="CD336" s="57">
        <f>IF($B336=$B335,$CD335,0)+$CC336</f>
        <v/>
      </c>
      <c r="CE336" s="57">
        <f>$CE335+$CC336</f>
        <v/>
      </c>
      <c r="CF336" s="67">
        <f>IFERROR(IF(($BW336)&gt;0,($BZ336)/($BW336),""),"")</f>
        <v/>
      </c>
      <c r="CG336" s="67">
        <f>IFERROR(IF(($BX336)&gt;0,($CA336)/($BX336),""),"")</f>
        <v/>
      </c>
      <c r="CH336" s="67">
        <f>IFERROR(IF(($BY336)&gt;0,($CB336)/($BY336),""),"")</f>
        <v/>
      </c>
      <c r="CI336" s="67">
        <f>IFERROR(IF(($BZ336)&gt;0,($CC336)/($BZ336),""),"")</f>
        <v/>
      </c>
      <c r="CJ336" s="67">
        <f>IFERROR(IF(($CA336)&gt;0,($CD336)/($CA336),""),"")</f>
        <v/>
      </c>
      <c r="CK336" s="67">
        <f>IFERROR(IF(($CB336)&gt;0,($CE336)/($CB336),""),"")</f>
        <v/>
      </c>
      <c r="CL336" s="55">
        <f>IFERROR(IF(($BN336)&gt;0,($X336+$AD336)/($BN336),""),"")</f>
        <v/>
      </c>
      <c r="CM336" s="55">
        <f>IFERROR(IF(($BO336)&gt;0,($Y336+$AE336)/($BO336),""),"")</f>
        <v/>
      </c>
      <c r="CN336" s="55">
        <f>IFERROR(IF(($BP336)&gt;0,($Z336+$AF336)/($BP336),""),"")</f>
        <v/>
      </c>
      <c r="CO336" s="55">
        <f>IFERROR(IF(($CC336)&gt;0,($X336+$AD336)/($CC336),""),"")</f>
        <v/>
      </c>
      <c r="CP336" s="55">
        <f>IFERROR(IF(($CD336)&gt;0,($Y336+$AE336)/($CD336),""),"")</f>
        <v/>
      </c>
      <c r="CQ336" s="55">
        <f>IFERROR(IF(($CE336)&gt;0,($Z336+$AF336)/($CE336),""),"")</f>
        <v/>
      </c>
      <c r="CR336" s="55">
        <f>SUMIFS(tblPlant[Crushed_t],tblPlant[Date],$A336)</f>
        <v/>
      </c>
      <c r="CS336" s="55">
        <f>IF($B336=$B335,$CS335,0)+$CR336</f>
        <v/>
      </c>
      <c r="CT336" s="55">
        <f>$CT335+$CR336</f>
        <v/>
      </c>
      <c r="CU336" s="55">
        <f>SUMIFS(tblPlant[Milled_t],tblPlant[Date],$A336)</f>
        <v/>
      </c>
      <c r="CV336" s="55">
        <f>IF($B336=$B335,$CV335,0)+$CU336</f>
        <v/>
      </c>
      <c r="CW336" s="55">
        <f>$CW335+$CU336</f>
        <v/>
      </c>
      <c r="CX336" s="55">
        <f>SUMIFS(tblPlant[Feed_oz],tblPlant[Date],$A336)</f>
        <v/>
      </c>
      <c r="CY336" s="55">
        <f>IF($B336=$B335,$CY335,0)+$CX336</f>
        <v/>
      </c>
      <c r="CZ336" s="55">
        <f>$CZ335+$CX336</f>
        <v/>
      </c>
      <c r="DA336" s="55">
        <f>SUMIFS(tblPlant[Tails_oz],tblPlant[Date],$A336)</f>
        <v/>
      </c>
      <c r="DB336" s="55">
        <f>IF($B336=$B335,$DB335,0)+$DA336</f>
        <v/>
      </c>
      <c r="DC336" s="55">
        <f>$DC335+$DA336</f>
        <v/>
      </c>
      <c r="DD336" s="55">
        <f>SUMIFS(tblPlant[Recovered_oz],tblPlant[Date],$A336)</f>
        <v/>
      </c>
      <c r="DE336" s="55">
        <f>IF($B336=$B335,$DE335,0)+$DD336</f>
        <v/>
      </c>
      <c r="DF336" s="55">
        <f>$DF335+$DD336</f>
        <v/>
      </c>
      <c r="DG336" s="55">
        <f>SUMIFS(tblPlant[Milled_t],tblPlant[Date],$A336,tblPlant[Head_Grade_gpt],"&lt;&gt;")</f>
        <v/>
      </c>
      <c r="DH336" s="55">
        <f>IF($B336=$B335,$DH335,0)+$DG336</f>
        <v/>
      </c>
      <c r="DI336" s="55">
        <f>$DI335+$DG336</f>
        <v/>
      </c>
      <c r="DJ336" s="55">
        <f>SUMIFS(tblPlant[Milled_t],tblPlant[Date],$A336,tblPlant[Tails_Grade_gpt],"&lt;&gt;")</f>
        <v/>
      </c>
      <c r="DK336" s="55">
        <f>IF($B336=$B335,$DK335,0)+$DJ336</f>
        <v/>
      </c>
      <c r="DL336" s="55">
        <f>$DL335+$DJ336</f>
        <v/>
      </c>
      <c r="DM336" s="55">
        <f>SUMIFS(tblPlant[Feed_oz],tblPlant[Date],$A336,tblPlant[Tails_Grade_gpt],"&lt;&gt;")</f>
        <v/>
      </c>
      <c r="DN336" s="55">
        <f>IF($B336=$B335,$DN335,0)+$DM336</f>
        <v/>
      </c>
      <c r="DO336" s="55">
        <f>$DO335+$DM336</f>
        <v/>
      </c>
      <c r="DP336" s="55">
        <f>SUMIFS(tblPlant[Milled_t],tblPlant[Date],$A336,tblPlant[Mill_Run_h],"&lt;&gt;")</f>
        <v/>
      </c>
      <c r="DQ336" s="55">
        <f>IF($B336=$B335,$DQ335,0)+$DP336</f>
        <v/>
      </c>
      <c r="DR336" s="55">
        <f>$DR335+$DP336</f>
        <v/>
      </c>
      <c r="DS336" s="56">
        <f>IFERROR(IF(($DG336)&gt;0,($CX336*cfg_TroyOz)/($DG336),""),"")</f>
        <v/>
      </c>
      <c r="DT336" s="56">
        <f>IFERROR(IF(($DH336)&gt;0,($CY336*cfg_TroyOz)/($DH336),""),"")</f>
        <v/>
      </c>
      <c r="DU336" s="56">
        <f>IFERROR(IF(($DI336)&gt;0,($CZ336*cfg_TroyOz)/($DI336),""),"")</f>
        <v/>
      </c>
      <c r="DV336" s="56">
        <f>IFERROR(IF(($DJ336)&gt;0,($DA336*cfg_TroyOz)/($DJ336),""),"")</f>
        <v/>
      </c>
      <c r="DW336" s="56">
        <f>IFERROR(IF(($DK336)&gt;0,($DB336*cfg_TroyOz)/($DK336),""),"")</f>
        <v/>
      </c>
      <c r="DX336" s="56">
        <f>IFERROR(IF(($DL336)&gt;0,($DC336*cfg_TroyOz)/($DL336),""),"")</f>
        <v/>
      </c>
      <c r="DY336" s="67">
        <f>IFERROR(IF(($DM336)&gt;0,($DD336)/($DM336),""),"")</f>
        <v/>
      </c>
      <c r="DZ336" s="67">
        <f>IFERROR(IF(($DN336)&gt;0,($DE336)/($DN336),""),"")</f>
        <v/>
      </c>
      <c r="EA336" s="67">
        <f>IFERROR(IF(($DO336)&gt;0,($DF336)/($DO336),""),"")</f>
        <v/>
      </c>
      <c r="EB336" s="55">
        <f>SUMIFS(tblPlant[Gravity_Gold_oz],tblPlant[Date],$A336)</f>
        <v/>
      </c>
      <c r="EC336" s="55">
        <f>IF($B336=$B335,$EC335,0)+$EB336</f>
        <v/>
      </c>
      <c r="ED336" s="55">
        <f>$ED335+$EB336</f>
        <v/>
      </c>
      <c r="EE336" s="67">
        <f>IFERROR(IF(($DD336)&gt;0,($EB336)/($DD336),""),"")</f>
        <v/>
      </c>
      <c r="EF336" s="67">
        <f>IFERROR(IF(($DE336)&gt;0,($EC336)/($DE336),""),"")</f>
        <v/>
      </c>
      <c r="EG336" s="67">
        <f>IFERROR(IF(($DF336)&gt;0,($ED336)/($DF336),""),"")</f>
        <v/>
      </c>
      <c r="EH336" s="55">
        <f>SUMIFS(tblPlant[Gold_Poured_oz],tblPlant[Date],$A336)</f>
        <v/>
      </c>
      <c r="EI336" s="55">
        <f>IF($B336=$B335,$EI335,0)+$EH336</f>
        <v/>
      </c>
      <c r="EJ336" s="55">
        <f>$EJ335+$EH336</f>
        <v/>
      </c>
      <c r="EK336" s="57">
        <f>SUMIFS(tblPlant[Mill_Run_h],tblPlant[Date],$A336)</f>
        <v/>
      </c>
      <c r="EL336" s="57">
        <f>IF($B336=$B335,$EL335,0)+$EK336</f>
        <v/>
      </c>
      <c r="EM336" s="57">
        <f>$EM335+$EK336</f>
        <v/>
      </c>
      <c r="EN336" s="57">
        <f>SUMIFS(tblPlant[Mill_Planned_Maint_h],tblPlant[Date],$A336)</f>
        <v/>
      </c>
      <c r="EO336" s="57">
        <f>IF($B336=$B335,$EO335,0)+$EN336</f>
        <v/>
      </c>
      <c r="EP336" s="57">
        <f>$EP335+$EN336</f>
        <v/>
      </c>
      <c r="EQ336" s="57">
        <f>SUMIFS(tblPlant[Mill_Unplanned_Down_h],tblPlant[Date],$A336)</f>
        <v/>
      </c>
      <c r="ER336" s="57">
        <f>IF($B336=$B335,$ER335,0)+$EQ336</f>
        <v/>
      </c>
      <c r="ES336" s="57">
        <f>$ES335+$EQ336</f>
        <v/>
      </c>
      <c r="ET336" s="57">
        <f>IF(COUNTIFS(tblPlant[Date],$A336,tblPlant[Mill_Run_h],"&lt;&gt;")+COUNTIFS(tblPlant[Date],$A336,tblPlant[Mill_Planned_Maint_h],"&lt;&gt;")+COUNTIFS(tblPlant[Date],$A336,tblPlant[Mill_Unplanned_Down_h],"&lt;&gt;")&gt;0,cfg_HoursPerDay,0)</f>
        <v/>
      </c>
      <c r="EU336" s="57">
        <f>IF($B336=$B335,$EU335,0)+$ET336</f>
        <v/>
      </c>
      <c r="EV336" s="57">
        <f>$EV335+$ET336</f>
        <v/>
      </c>
      <c r="EW336" s="57">
        <f>SUMIFS(tblPlant[Crusher_Run_h],tblPlant[Date],$A336)</f>
        <v/>
      </c>
      <c r="EX336" s="57">
        <f>IF($B336=$B335,$EX335,0)+$EW336</f>
        <v/>
      </c>
      <c r="EY336" s="57">
        <f>$EY335+$EW336</f>
        <v/>
      </c>
      <c r="EZ336" s="55">
        <f>IFERROR(IF(($EK336)&gt;0,($DP336)/($EK336),""),"")</f>
        <v/>
      </c>
      <c r="FA336" s="55">
        <f>IFERROR(IF(($EL336)&gt;0,($DQ336)/($EL336),""),"")</f>
        <v/>
      </c>
      <c r="FB336" s="55">
        <f>IFERROR(IF(($EM336)&gt;0,($DR336)/($EM336),""),"")</f>
        <v/>
      </c>
      <c r="FC336" s="67">
        <f>IFERROR(IF(($ET336)&gt;0,($ET336-$EN336-$EQ336)/($ET336),""),"")</f>
        <v/>
      </c>
      <c r="FD336" s="67">
        <f>IFERROR(IF(($EU336)&gt;0,($EU336-$EO336-$ER336)/($EU336),""),"")</f>
        <v/>
      </c>
      <c r="FE336" s="67">
        <f>IFERROR(IF(($EV336)&gt;0,($EV336-$EP336-$ES336)/($EV336),""),"")</f>
        <v/>
      </c>
      <c r="FF336" s="67">
        <f>IFERROR(IF(($ET336-$EN336-$EQ336)&gt;0,($EK336)/($ET336-$EN336-$EQ336),""),"")</f>
        <v/>
      </c>
      <c r="FG336" s="67">
        <f>IFERROR(IF(($EU336-$EO336-$ER336)&gt;0,($EL336)/($EU336-$EO336-$ER336),""),"")</f>
        <v/>
      </c>
      <c r="FH336" s="67">
        <f>IFERROR(IF(($EV336-$EP336-$ES336)&gt;0,($EM336)/($EV336-$EP336-$ES336),""),"")</f>
        <v/>
      </c>
      <c r="FI336" s="55">
        <f>SUMIFS(tblPlant[Cyanide_kg],tblPlant[Date],$A336)</f>
        <v/>
      </c>
      <c r="FJ336" s="55">
        <f>IF($B336=$B335,$FJ335,0)+$FI336</f>
        <v/>
      </c>
      <c r="FK336" s="55">
        <f>$FK335+$FI336</f>
        <v/>
      </c>
      <c r="FL336" s="55">
        <f>SUMIFS(tblPlant[Lime_kg],tblPlant[Date],$A336)</f>
        <v/>
      </c>
      <c r="FM336" s="55">
        <f>IF($B336=$B335,$FM335,0)+$FL336</f>
        <v/>
      </c>
      <c r="FN336" s="55">
        <f>$FN335+$FL336</f>
        <v/>
      </c>
      <c r="FO336" s="55">
        <f>SUMIFS(tblPlant[Grinding_Media_kg],tblPlant[Date],$A336)</f>
        <v/>
      </c>
      <c r="FP336" s="55">
        <f>IF($B336=$B335,$FP335,0)+$FO336</f>
        <v/>
      </c>
      <c r="FQ336" s="55">
        <f>$FQ335+$FO336</f>
        <v/>
      </c>
      <c r="FR336" s="55">
        <f>SUMIFS(tblPlant[Power_kWh],tblPlant[Date],$A336)</f>
        <v/>
      </c>
      <c r="FS336" s="55">
        <f>IF($B336=$B335,$FS335,0)+$FR336</f>
        <v/>
      </c>
      <c r="FT336" s="55">
        <f>$FT335+$FR336</f>
        <v/>
      </c>
      <c r="FU336" s="55">
        <f>SUMIFS(tblPlant[Raw_Water_m3],tblPlant[Date],$A336)</f>
        <v/>
      </c>
      <c r="FV336" s="55">
        <f>IF($B336=$B335,$FV335,0)+$FU336</f>
        <v/>
      </c>
      <c r="FW336" s="55">
        <f>$FW335+$FU336</f>
        <v/>
      </c>
      <c r="FX336" s="56">
        <f>IFERROR(IF(($CU336)&gt;0,($FI336)/($CU336),""),"")</f>
        <v/>
      </c>
      <c r="FY336" s="56">
        <f>IFERROR(IF(($CV336)&gt;0,($FJ336)/($CV336),""),"")</f>
        <v/>
      </c>
      <c r="FZ336" s="56">
        <f>IFERROR(IF(($CW336)&gt;0,($FK336)/($CW336),""),"")</f>
        <v/>
      </c>
      <c r="GA336" s="56">
        <f>IFERROR(IF(($CU336)&gt;0,($FL336)/($CU336),""),"")</f>
        <v/>
      </c>
      <c r="GB336" s="56">
        <f>IFERROR(IF(($CV336)&gt;0,($FM336)/($CV336),""),"")</f>
        <v/>
      </c>
      <c r="GC336" s="56">
        <f>IFERROR(IF(($CW336)&gt;0,($FN336)/($CW336),""),"")</f>
        <v/>
      </c>
      <c r="GD336" s="56">
        <f>IFERROR(IF(($CU336)&gt;0,($FO336)/($CU336),""),"")</f>
        <v/>
      </c>
      <c r="GE336" s="56">
        <f>IFERROR(IF(($CV336)&gt;0,($FP336)/($CV336),""),"")</f>
        <v/>
      </c>
      <c r="GF336" s="56">
        <f>IFERROR(IF(($CW336)&gt;0,($FQ336)/($CW336),""),"")</f>
        <v/>
      </c>
      <c r="GG336" s="79">
        <f>IFERROR(IF(($CU336)&gt;0,($FR336)/($CU336),""),"")</f>
        <v/>
      </c>
      <c r="GH336" s="79">
        <f>IFERROR(IF(($CV336)&gt;0,($FS336)/($CV336),""),"")</f>
        <v/>
      </c>
      <c r="GI336" s="79">
        <f>IFERROR(IF(($CW336)&gt;0,($FT336)/($CW336),""),"")</f>
        <v/>
      </c>
      <c r="GJ336" s="56">
        <f>IFERROR(IF(($CU336)&gt;0,($FU336)/($CU336),""),"")</f>
        <v/>
      </c>
      <c r="GK336" s="56">
        <f>IFERROR(IF(($CV336)&gt;0,($FV336)/($CV336),""),"")</f>
        <v/>
      </c>
      <c r="GL336" s="56">
        <f>IFERROR(IF(($CW336)&gt;0,($FW336)/($CW336),""),"")</f>
        <v/>
      </c>
      <c r="GM336" s="55">
        <f>IF(SUMIFS(tblPlant[GIC_oz],tblPlant[Date],$A336)&gt;0,SUMIFS(tblPlant[GIC_oz],tblPlant[Date],$A336),"")</f>
        <v/>
      </c>
      <c r="GN336" s="55">
        <f>SUMIFS(tblGold[Gold_oz],tblGold[Date],$A336,tblGold[Type],"Shipment")</f>
        <v/>
      </c>
      <c r="GO336" s="55">
        <f>IF($B336=$B335,$GO335,0)+$GN336</f>
        <v/>
      </c>
      <c r="GP336" s="55">
        <f>$GP335+$GN336</f>
        <v/>
      </c>
      <c r="GQ336" s="55">
        <f>SUMIFS(tblGold[Gold_oz],tblGold[Date],$A336,tblGold[Type],"Sale")</f>
        <v/>
      </c>
      <c r="GR336" s="55">
        <f>IF($B336=$B335,$GR335,0)+$GQ336</f>
        <v/>
      </c>
      <c r="GS336" s="55">
        <f>$GS335+$GQ336</f>
        <v/>
      </c>
      <c r="GT336" s="55">
        <f>SUMIFS(tblGold[Dore_kg],tblGold[Date],$A336,tblGold[Type],"Shipment")</f>
        <v/>
      </c>
      <c r="GU336" s="55">
        <f>IF($B336=$B335,$GU335,0)+$GT336</f>
        <v/>
      </c>
      <c r="GV336" s="55">
        <f>$GV335+$GT336</f>
        <v/>
      </c>
      <c r="GW336" s="57">
        <f>SUMIFS(tblSafety[Hours_Total],tblSafety[Date],$A336)</f>
        <v/>
      </c>
      <c r="GX336" s="57">
        <f>IF($B336=$B335,$GX335,0)+$GW336</f>
        <v/>
      </c>
      <c r="GY336" s="57">
        <f>$GY335+$GW336</f>
        <v/>
      </c>
      <c r="GZ336" s="62">
        <f>SUMIFS(tblSafety[Fatality],tblSafety[Date],$A336)</f>
        <v/>
      </c>
      <c r="HA336" s="62">
        <f>IF($B336=$B335,$HA335,0)+$GZ336</f>
        <v/>
      </c>
      <c r="HB336" s="62">
        <f>$HB335+$GZ336</f>
        <v/>
      </c>
      <c r="HC336" s="62">
        <f>SUMIFS(tblSafety[LTI],tblSafety[Date],$A336)</f>
        <v/>
      </c>
      <c r="HD336" s="62">
        <f>IF($B336=$B335,$HD335,0)+$HC336</f>
        <v/>
      </c>
      <c r="HE336" s="62">
        <f>$HE335+$HC336</f>
        <v/>
      </c>
      <c r="HF336" s="62">
        <f>SUMIFS(tblSafety[RWI],tblSafety[Date],$A336)</f>
        <v/>
      </c>
      <c r="HG336" s="62">
        <f>IF($B336=$B335,$HG335,0)+$HF336</f>
        <v/>
      </c>
      <c r="HH336" s="62">
        <f>$HH335+$HF336</f>
        <v/>
      </c>
      <c r="HI336" s="62">
        <f>SUMIFS(tblSafety[MTI],tblSafety[Date],$A336)</f>
        <v/>
      </c>
      <c r="HJ336" s="62">
        <f>IF($B336=$B335,$HJ335,0)+$HI336</f>
        <v/>
      </c>
      <c r="HK336" s="62">
        <f>$HK335+$HI336</f>
        <v/>
      </c>
      <c r="HL336" s="62">
        <f>SUMIFS(tblSafety[FAI],tblSafety[Date],$A336)</f>
        <v/>
      </c>
      <c r="HM336" s="62">
        <f>IF($B336=$B335,$HM335,0)+$HL336</f>
        <v/>
      </c>
      <c r="HN336" s="62">
        <f>$HN335+$HL336</f>
        <v/>
      </c>
      <c r="HO336" s="62">
        <f>SUMIFS(tblSafety[Recordables],tblSafety[Date],$A336)</f>
        <v/>
      </c>
      <c r="HP336" s="62">
        <f>IF($B336=$B335,$HP335,0)+$HO336</f>
        <v/>
      </c>
      <c r="HQ336" s="62">
        <f>$HQ335+$HO336</f>
        <v/>
      </c>
      <c r="HR336" s="62">
        <f>SUMIFS(tblSafety[Near_Miss],tblSafety[Date],$A336)</f>
        <v/>
      </c>
      <c r="HS336" s="62">
        <f>IF($B336=$B335,$HS335,0)+$HR336</f>
        <v/>
      </c>
      <c r="HT336" s="62">
        <f>$HT335+$HR336</f>
        <v/>
      </c>
      <c r="HU336" s="62">
        <f>SUMIFS(tblSafety[Hazard_Reports],tblSafety[Date],$A336)</f>
        <v/>
      </c>
      <c r="HV336" s="62">
        <f>IF($B336=$B335,$HV335,0)+$HU336</f>
        <v/>
      </c>
      <c r="HW336" s="62">
        <f>$HW335+$HU336</f>
        <v/>
      </c>
      <c r="HX336" s="62">
        <f>SUMIFS(tblSafety[HPI],tblSafety[Date],$A336)</f>
        <v/>
      </c>
      <c r="HY336" s="62">
        <f>IF($B336=$B335,$HY335,0)+$HX336</f>
        <v/>
      </c>
      <c r="HZ336" s="62">
        <f>$HZ335+$HX336</f>
        <v/>
      </c>
      <c r="IA336" s="62">
        <f>SUMIFS(tblSafety[Env_Incidents],tblSafety[Date],$A336)</f>
        <v/>
      </c>
      <c r="IB336" s="62">
        <f>IF($B336=$B335,$IB335,0)+$IA336</f>
        <v/>
      </c>
      <c r="IC336" s="62">
        <f>$IC335+$IA336</f>
        <v/>
      </c>
      <c r="ID336" s="62">
        <f>SUMIFS(tblSafety[Community_Incidents],tblSafety[Date],$A336)</f>
        <v/>
      </c>
      <c r="IE336" s="62">
        <f>IF($B336=$B335,$IE335,0)+$ID336</f>
        <v/>
      </c>
      <c r="IF336" s="62">
        <f>$IF335+$ID336</f>
        <v/>
      </c>
      <c r="IG336" s="62">
        <f>SUMIFS(tblSafety[Vehicle_Incidents],tblSafety[Date],$A336)</f>
        <v/>
      </c>
      <c r="IH336" s="62">
        <f>IF($B336=$B335,$IH335,0)+$IG336</f>
        <v/>
      </c>
      <c r="II336" s="62">
        <f>$II335+$IG336</f>
        <v/>
      </c>
      <c r="IJ336" s="62">
        <f>SUMIFS(tblSafety[Toolbox_Talks],tblSafety[Date],$A336)</f>
        <v/>
      </c>
      <c r="IK336" s="62">
        <f>IF($B336=$B335,$IK335,0)+$IJ336</f>
        <v/>
      </c>
      <c r="IL336" s="62">
        <f>$IL335+$IJ336</f>
        <v/>
      </c>
      <c r="IM336" s="62">
        <f>SUMIFS(tblSafety[Inspections],tblSafety[Date],$A336)</f>
        <v/>
      </c>
      <c r="IN336" s="62">
        <f>IF($B336=$B335,$IN335,0)+$IM336</f>
        <v/>
      </c>
      <c r="IO336" s="62">
        <f>$IO335+$IM336</f>
        <v/>
      </c>
      <c r="IP336" s="56">
        <f>IFERROR((SUMIFS(tblSafety[Recordables],tblSafety[Date],"&gt;="&amp;EDATE($E336,-12),tblSafety[Date],"&lt;="&amp;$A336)+SUMIFS(tblSafetyHistory[Recordables],tblSafetyHistory[Month],"&gt;="&amp;EDATE($E336,-12),tblSafetyHistory[Month],"&lt;"&amp;$E336,tblSafetyHistory[Use],1))/(SUMIFS(tblSafety[Hours_Total],tblSafety[Date],"&gt;="&amp;EDATE($E336,-12),tblSafety[Date],"&lt;="&amp;$A336)+SUMIFS(tblSafetyHistory[Hours_Total],tblSafetyHistory[Month],"&gt;="&amp;EDATE($E336,-12),tblSafetyHistory[Month],"&lt;"&amp;$E336,tblSafetyHistory[Use],1))*cfg_RateBasisHours,"")</f>
        <v/>
      </c>
      <c r="IQ336" s="56">
        <f>IFERROR((SUMIFS(tblSafety[LTI],tblSafety[Date],"&gt;="&amp;EDATE($E336,-12),tblSafety[Date],"&lt;="&amp;$A336)+SUMIFS(tblSafetyHistory[LTI],tblSafetyHistory[Month],"&gt;="&amp;EDATE($E336,-12),tblSafetyHistory[Month],"&lt;"&amp;$E336,tblSafetyHistory[Use],1))/(SUMIFS(tblSafety[Hours_Total],tblSafety[Date],"&gt;="&amp;EDATE($E336,-12),tblSafety[Date],"&lt;="&amp;$A336)+SUMIFS(tblSafetyHistory[Hours_Total],tblSafetyHistory[Month],"&gt;="&amp;EDATE($E336,-12),tblSafetyHistory[Month],"&lt;"&amp;$E336,tblSafetyHistory[Use],1))*cfg_RateBasisHours,"")</f>
        <v/>
      </c>
      <c r="IR336" s="62">
        <f>IF(MAX(N(cfg_PriorLTIDate),_xlfn.MAXIFS(tblSafety[Date],tblSafety[LTI],"&gt;0",tblSafety[Date],"&lt;="&amp;$A336))=0,"",$A336-MAX(N(cfg_PriorLTIDate),_xlfn.MAXIFS(tblSafety[Date],tblSafety[LTI],"&gt;0",tblSafety[Date],"&lt;="&amp;$A336)))</f>
        <v/>
      </c>
      <c r="IS336" s="55">
        <f>SUMIFS(tblBudget[Ore_Mined_t],tblBudget[Month],$E336)</f>
        <v/>
      </c>
      <c r="IT336" s="55">
        <f>$IS336*$C336/$D336</f>
        <v/>
      </c>
      <c r="IU336" s="55">
        <f>SUMIFS(tblBudget[Ore_Mined_t],tblBudget[Month],"&lt;"&amp;$E336)+$IT336</f>
        <v/>
      </c>
      <c r="IV336" s="55">
        <f>SUMIFS(tblBudget[Ore_oz],tblBudget[Month],$E336)</f>
        <v/>
      </c>
      <c r="IW336" s="55">
        <f>$IV336*$C336/$D336</f>
        <v/>
      </c>
      <c r="IX336" s="55">
        <f>SUMIFS(tblBudget[Ore_oz],tblBudget[Month],"&lt;"&amp;$E336)+$IW336</f>
        <v/>
      </c>
      <c r="IY336" s="55">
        <f>SUMIFS(tblBudget[Ore_Mined_t],tblBudget[Month],$E336)</f>
        <v/>
      </c>
      <c r="IZ336" s="55">
        <f>$IY336*$C336/$D336</f>
        <v/>
      </c>
      <c r="JA336" s="55">
        <f>SUMIFS(tblBudget[Ore_Mined_t],tblBudget[Month],"&lt;"&amp;$E336)+$IZ336</f>
        <v/>
      </c>
      <c r="JB336" s="56">
        <f>IFERROR(IF(($IY336)&gt;0,($IV336*cfg_TroyOz)/($IY336),""),"")</f>
        <v/>
      </c>
      <c r="JC336" s="56">
        <f>IFERROR(IF(($IZ336)&gt;0,($IW336*cfg_TroyOz)/($IZ336),""),"")</f>
        <v/>
      </c>
      <c r="JD336" s="56">
        <f>IFERROR(IF(($JA336)&gt;0,($IX336*cfg_TroyOz)/($JA336),""),"")</f>
        <v/>
      </c>
      <c r="JE336" s="55">
        <f>SUMIFS(tblBudget[Waste_t],tblBudget[Month],$E336)</f>
        <v/>
      </c>
      <c r="JF336" s="55">
        <f>$JE336*$C336/$D336</f>
        <v/>
      </c>
      <c r="JG336" s="55">
        <f>SUMIFS(tblBudget[Waste_t],tblBudget[Month],"&lt;"&amp;$E336)+$JF336</f>
        <v/>
      </c>
      <c r="JH336" s="55">
        <f>SUMIFS(tblBudget[TMM_t],tblBudget[Month],$E336)</f>
        <v/>
      </c>
      <c r="JI336" s="55">
        <f>$JH336*$C336/$D336</f>
        <v/>
      </c>
      <c r="JJ336" s="55">
        <f>SUMIFS(tblBudget[TMM_t],tblBudget[Month],"&lt;"&amp;$E336)+$JI336</f>
        <v/>
      </c>
      <c r="JK336" s="56">
        <f>IFERROR(IF(($IS336)&gt;0,($JE336)/($IS336),""),"")</f>
        <v/>
      </c>
      <c r="JL336" s="56">
        <f>IFERROR(IF(($IT336)&gt;0,($JF336)/($IT336),""),"")</f>
        <v/>
      </c>
      <c r="JM336" s="56">
        <f>IFERROR(IF(($IU336)&gt;0,($JG336)/($IU336),""),"")</f>
        <v/>
      </c>
      <c r="JN336" s="55">
        <f>SUMIFS(tblBudget[Drill_m],tblBudget[Month],$E336)</f>
        <v/>
      </c>
      <c r="JO336" s="55">
        <f>$JN336*$C336/$D336</f>
        <v/>
      </c>
      <c r="JP336" s="55">
        <f>SUMIFS(tblBudget[Drill_m],tblBudget[Month],"&lt;"&amp;$E336)+$JO336</f>
        <v/>
      </c>
      <c r="JQ336" s="55">
        <f>SUMIFS(tblBudget[Diesel_L],tblBudget[Month],$E336)</f>
        <v/>
      </c>
      <c r="JR336" s="55">
        <f>$JQ336*$C336/$D336</f>
        <v/>
      </c>
      <c r="JS336" s="55">
        <f>SUMIFS(tblBudget[Diesel_L],tblBudget[Month],"&lt;"&amp;$E336)+$JR336</f>
        <v/>
      </c>
      <c r="JT336" s="55">
        <f>SUMIFS(tblBudget[Milled_t],tblBudget[Month],$E336)</f>
        <v/>
      </c>
      <c r="JU336" s="55">
        <f>$JT336*$C336/$D336</f>
        <v/>
      </c>
      <c r="JV336" s="55">
        <f>SUMIFS(tblBudget[Milled_t],tblBudget[Month],"&lt;"&amp;$E336)+$JU336</f>
        <v/>
      </c>
      <c r="JW336" s="55">
        <f>SUMIFS(tblBudget[Feed_oz],tblBudget[Month],$E336)</f>
        <v/>
      </c>
      <c r="JX336" s="55">
        <f>$JW336*$C336/$D336</f>
        <v/>
      </c>
      <c r="JY336" s="55">
        <f>SUMIFS(tblBudget[Feed_oz],tblBudget[Month],"&lt;"&amp;$E336)+$JX336</f>
        <v/>
      </c>
      <c r="JZ336" s="55">
        <f>SUMIFS(tblBudget[Recovered_oz],tblBudget[Month],$E336)</f>
        <v/>
      </c>
      <c r="KA336" s="55">
        <f>$JZ336*$C336/$D336</f>
        <v/>
      </c>
      <c r="KB336" s="55">
        <f>SUMIFS(tblBudget[Recovered_oz],tblBudget[Month],"&lt;"&amp;$E336)+$KA336</f>
        <v/>
      </c>
      <c r="KC336" s="55">
        <f>SUMIFS(tblBudget[Milled_t],tblBudget[Month],$E336)</f>
        <v/>
      </c>
      <c r="KD336" s="55">
        <f>$KC336*$C336/$D336</f>
        <v/>
      </c>
      <c r="KE336" s="55">
        <f>SUMIFS(tblBudget[Milled_t],tblBudget[Month],"&lt;"&amp;$E336)+$KD336</f>
        <v/>
      </c>
      <c r="KF336" s="55">
        <f>SUMIFS(tblBudget[Feed_oz],tblBudget[Month],$E336)</f>
        <v/>
      </c>
      <c r="KG336" s="55">
        <f>$KF336*$C336/$D336</f>
        <v/>
      </c>
      <c r="KH336" s="55">
        <f>SUMIFS(tblBudget[Feed_oz],tblBudget[Month],"&lt;"&amp;$E336)+$KG336</f>
        <v/>
      </c>
      <c r="KI336" s="56">
        <f>IFERROR(IF(($KC336)&gt;0,($JW336*cfg_TroyOz)/($KC336),""),"")</f>
        <v/>
      </c>
      <c r="KJ336" s="56">
        <f>IFERROR(IF(($KD336)&gt;0,($JX336*cfg_TroyOz)/($KD336),""),"")</f>
        <v/>
      </c>
      <c r="KK336" s="56">
        <f>IFERROR(IF(($KE336)&gt;0,($JY336*cfg_TroyOz)/($KE336),""),"")</f>
        <v/>
      </c>
      <c r="KL336" s="67">
        <f>IFERROR(IF(($KF336)&gt;0,($JZ336)/($KF336),""),"")</f>
        <v/>
      </c>
      <c r="KM336" s="67">
        <f>IFERROR(IF(($KG336)&gt;0,($KA336)/($KG336),""),"")</f>
        <v/>
      </c>
      <c r="KN336" s="67">
        <f>IFERROR(IF(($KH336)&gt;0,($KB336)/($KH336),""),"")</f>
        <v/>
      </c>
      <c r="KO336" s="55">
        <f>SUMIFS(tblBudget[Gold_Poured_oz],tblBudget[Month],$E336)</f>
        <v/>
      </c>
      <c r="KP336" s="55">
        <f>$KO336*$C336/$D336</f>
        <v/>
      </c>
      <c r="KQ336" s="55">
        <f>SUMIFS(tblBudget[Gold_Poured_oz],tblBudget[Month],"&lt;"&amp;$E336)+$KP336</f>
        <v/>
      </c>
      <c r="KR336" s="57">
        <f>SUMIFS(tblBudget[Hours_Worked],tblBudget[Month],$E336)</f>
        <v/>
      </c>
      <c r="KS336" s="57">
        <f>$KR336*$C336/$D336</f>
        <v/>
      </c>
      <c r="KT336" s="57">
        <f>SUMIFS(tblBudget[Hours_Worked],tblBudget[Month],"&lt;"&amp;$E336)+$KS336</f>
        <v/>
      </c>
    </row>
    <row r="337">
      <c r="A337" s="54" t="n">
        <v>46358</v>
      </c>
      <c r="B337">
        <f>MONTH($A337)</f>
        <v/>
      </c>
      <c r="C337">
        <f>DAY($A337)</f>
        <v/>
      </c>
      <c r="D337">
        <f>DAY(EOMONTH($A337,0))</f>
        <v/>
      </c>
      <c r="E337" s="54">
        <f>DATE(YEAR($A337),MONTH($A337),1)</f>
        <v/>
      </c>
      <c r="F337" s="55">
        <f>SUMIFS(tblMovement[Tonnes_t],tblMovement[Date],$A337,tblMovement[Is_Ore],1,tblMovement[Source_Type],"Pit")</f>
        <v/>
      </c>
      <c r="G337" s="55">
        <f>IF($B337=$B336,$G336,0)+$F337</f>
        <v/>
      </c>
      <c r="H337" s="55">
        <f>$H336+$F337</f>
        <v/>
      </c>
      <c r="I337" s="55">
        <f>SUMIFS(tblMovement[Ore_oz],tblMovement[Date],$A337,tblMovement[Source_Type],"Pit")</f>
        <v/>
      </c>
      <c r="J337" s="55">
        <f>IF($B337=$B336,$J336,0)+$I337</f>
        <v/>
      </c>
      <c r="K337" s="55">
        <f>$K336+$I337</f>
        <v/>
      </c>
      <c r="L337" s="55">
        <f>SUMIFS(tblMovement[Tonnes_t],tblMovement[Date],$A337,tblMovement[Is_Ore],1,tblMovement[Source_Type],"Pit",tblMovement[Grade_gpt],"&lt;&gt;")</f>
        <v/>
      </c>
      <c r="M337" s="55">
        <f>IF($B337=$B336,$M336,0)+$L337</f>
        <v/>
      </c>
      <c r="N337" s="55">
        <f>$N336+$L337</f>
        <v/>
      </c>
      <c r="O337" s="56">
        <f>IFERROR(IF(($L337)&gt;0,($I337*cfg_TroyOz)/($L337),""),"")</f>
        <v/>
      </c>
      <c r="P337" s="56">
        <f>IFERROR(IF(($M337)&gt;0,($J337*cfg_TroyOz)/($M337),""),"")</f>
        <v/>
      </c>
      <c r="Q337" s="56">
        <f>IFERROR(IF(($N337)&gt;0,($K337*cfg_TroyOz)/($N337),""),"")</f>
        <v/>
      </c>
      <c r="R337" s="55">
        <f>$F337-$L337</f>
        <v/>
      </c>
      <c r="S337" s="55">
        <f>IF($B337=$B336,$S336,0)+$R337</f>
        <v/>
      </c>
      <c r="T337" s="55">
        <f>$T336+$R337</f>
        <v/>
      </c>
      <c r="U337" s="55">
        <f>SUMIFS(tblMovement[Tonnes_t],tblMovement[Date],$A337,tblMovement[Is_Ore],0,tblMovement[Source_Type],"Pit")</f>
        <v/>
      </c>
      <c r="V337" s="55">
        <f>IF($B337=$B336,$V336,0)+$U337</f>
        <v/>
      </c>
      <c r="W337" s="55">
        <f>$W336+$U337</f>
        <v/>
      </c>
      <c r="X337" s="55">
        <f>$F337+$U337</f>
        <v/>
      </c>
      <c r="Y337" s="55">
        <f>IF($B337=$B336,$Y336,0)+$X337</f>
        <v/>
      </c>
      <c r="Z337" s="55">
        <f>$Z336+$X337</f>
        <v/>
      </c>
      <c r="AA337" s="56">
        <f>IFERROR(IF(($F337)&gt;0,($U337)/($F337),""),"")</f>
        <v/>
      </c>
      <c r="AB337" s="56">
        <f>IFERROR(IF(($G337)&gt;0,($V337)/($G337),""),"")</f>
        <v/>
      </c>
      <c r="AC337" s="56">
        <f>IFERROR(IF(($H337)&gt;0,($W337)/($H337),""),"")</f>
        <v/>
      </c>
      <c r="AD337" s="55">
        <f>SUMIFS(tblMovement[Tonnes_t],tblMovement[Date],$A337,tblMovement[Source_Type],"Stockpile")</f>
        <v/>
      </c>
      <c r="AE337" s="55">
        <f>IF($B337=$B336,$AE336,0)+$AD337</f>
        <v/>
      </c>
      <c r="AF337" s="55">
        <f>$AF336+$AD337</f>
        <v/>
      </c>
      <c r="AG337" s="55">
        <f>SUMIFS(tblMovement[Tonnes_t],tblMovement[Date],$A337)</f>
        <v/>
      </c>
      <c r="AH337" s="55">
        <f>IF($B337=$B336,$AH336,0)+$AG337</f>
        <v/>
      </c>
      <c r="AI337" s="55">
        <f>$AI336+$AG337</f>
        <v/>
      </c>
      <c r="AJ337" s="55">
        <f>$AG337-$X337-$AD337</f>
        <v/>
      </c>
      <c r="AK337" s="55">
        <f>IF($B337=$B336,$AK336,0)+$AJ337</f>
        <v/>
      </c>
      <c r="AL337" s="55">
        <f>$AL336+$AJ337</f>
        <v/>
      </c>
      <c r="AM337" s="55">
        <f>SUMIFS(tblMiningDaily[Drill_m],tblMiningDaily[Date],$A337)</f>
        <v/>
      </c>
      <c r="AN337" s="55">
        <f>IF($B337=$B336,$AN336,0)+$AM337</f>
        <v/>
      </c>
      <c r="AO337" s="55">
        <f>$AO336+$AM337</f>
        <v/>
      </c>
      <c r="AP337" s="55">
        <f>SUMIFS(tblMiningDaily[GC_Drill_m],tblMiningDaily[Date],$A337)</f>
        <v/>
      </c>
      <c r="AQ337" s="55">
        <f>IF($B337=$B336,$AQ336,0)+$AP337</f>
        <v/>
      </c>
      <c r="AR337" s="55">
        <f>$AR336+$AP337</f>
        <v/>
      </c>
      <c r="AS337" s="55">
        <f>SUMIFS(tblMiningDaily[Blast_t],tblMiningDaily[Date],$A337)</f>
        <v/>
      </c>
      <c r="AT337" s="55">
        <f>IF($B337=$B336,$AT336,0)+$AS337</f>
        <v/>
      </c>
      <c r="AU337" s="55">
        <f>$AU336+$AS337</f>
        <v/>
      </c>
      <c r="AV337" s="55">
        <f>SUMIFS(tblMiningDaily[Explosives_kg],tblMiningDaily[Date],$A337)</f>
        <v/>
      </c>
      <c r="AW337" s="55">
        <f>IF($B337=$B336,$AW336,0)+$AV337</f>
        <v/>
      </c>
      <c r="AX337" s="55">
        <f>$AX336+$AV337</f>
        <v/>
      </c>
      <c r="AY337" s="56">
        <f>IFERROR(IF(($AS337)&gt;0,($AV337)/($AS337),""),"")</f>
        <v/>
      </c>
      <c r="AZ337" s="56">
        <f>IFERROR(IF(($AT337)&gt;0,($AW337)/($AT337),""),"")</f>
        <v/>
      </c>
      <c r="BA337" s="56">
        <f>IFERROR(IF(($AU337)&gt;0,($AX337)/($AU337),""),"")</f>
        <v/>
      </c>
      <c r="BB337" s="55">
        <f>SUMIFS(tblMiningDaily[Diesel_L],tblMiningDaily[Date],$A337)</f>
        <v/>
      </c>
      <c r="BC337" s="55">
        <f>IF($B337=$B336,$BC336,0)+$BB337</f>
        <v/>
      </c>
      <c r="BD337" s="55">
        <f>$BD336+$BB337</f>
        <v/>
      </c>
      <c r="BE337" s="55">
        <f>SUMIFS(tblMiningDaily[Dewatering_m3],tblMiningDaily[Date],$A337)</f>
        <v/>
      </c>
      <c r="BF337" s="55">
        <f>IF($B337=$B336,$BF336,0)+$BE337</f>
        <v/>
      </c>
      <c r="BG337" s="55">
        <f>$BG336+$BE337</f>
        <v/>
      </c>
      <c r="BH337" s="57">
        <f>SUMIFS(tblFleet[Calendar_h],tblFleet[Date],$A337,tblFleet[Equipment_Class],"Excavator")</f>
        <v/>
      </c>
      <c r="BI337" s="57">
        <f>IF($B337=$B336,$BI336,0)+$BH337</f>
        <v/>
      </c>
      <c r="BJ337" s="57">
        <f>$BJ336+$BH337</f>
        <v/>
      </c>
      <c r="BK337" s="57">
        <f>SUMIFS(tblFleet[Available_h],tblFleet[Date],$A337,tblFleet[Equipment_Class],"Excavator")</f>
        <v/>
      </c>
      <c r="BL337" s="57">
        <f>IF($B337=$B336,$BL336,0)+$BK337</f>
        <v/>
      </c>
      <c r="BM337" s="57">
        <f>$BM336+$BK337</f>
        <v/>
      </c>
      <c r="BN337" s="57">
        <f>SUMIFS(tblFleet[Operating_h],tblFleet[Date],$A337,tblFleet[Equipment_Class],"Excavator")</f>
        <v/>
      </c>
      <c r="BO337" s="57">
        <f>IF($B337=$B336,$BO336,0)+$BN337</f>
        <v/>
      </c>
      <c r="BP337" s="57">
        <f>$BP336+$BN337</f>
        <v/>
      </c>
      <c r="BQ337" s="67">
        <f>IFERROR(IF(($BH337)&gt;0,($BK337)/($BH337),""),"")</f>
        <v/>
      </c>
      <c r="BR337" s="67">
        <f>IFERROR(IF(($BI337)&gt;0,($BL337)/($BI337),""),"")</f>
        <v/>
      </c>
      <c r="BS337" s="67">
        <f>IFERROR(IF(($BJ337)&gt;0,($BM337)/($BJ337),""),"")</f>
        <v/>
      </c>
      <c r="BT337" s="67">
        <f>IFERROR(IF(($BK337)&gt;0,($BN337)/($BK337),""),"")</f>
        <v/>
      </c>
      <c r="BU337" s="67">
        <f>IFERROR(IF(($BL337)&gt;0,($BO337)/($BL337),""),"")</f>
        <v/>
      </c>
      <c r="BV337" s="67">
        <f>IFERROR(IF(($BM337)&gt;0,($BP337)/($BM337),""),"")</f>
        <v/>
      </c>
      <c r="BW337" s="57">
        <f>SUMIFS(tblFleet[Calendar_h],tblFleet[Date],$A337,tblFleet[Equipment_Class],"Haul Truck")</f>
        <v/>
      </c>
      <c r="BX337" s="57">
        <f>IF($B337=$B336,$BX336,0)+$BW337</f>
        <v/>
      </c>
      <c r="BY337" s="57">
        <f>$BY336+$BW337</f>
        <v/>
      </c>
      <c r="BZ337" s="57">
        <f>SUMIFS(tblFleet[Available_h],tblFleet[Date],$A337,tblFleet[Equipment_Class],"Haul Truck")</f>
        <v/>
      </c>
      <c r="CA337" s="57">
        <f>IF($B337=$B336,$CA336,0)+$BZ337</f>
        <v/>
      </c>
      <c r="CB337" s="57">
        <f>$CB336+$BZ337</f>
        <v/>
      </c>
      <c r="CC337" s="57">
        <f>SUMIFS(tblFleet[Operating_h],tblFleet[Date],$A337,tblFleet[Equipment_Class],"Haul Truck")</f>
        <v/>
      </c>
      <c r="CD337" s="57">
        <f>IF($B337=$B336,$CD336,0)+$CC337</f>
        <v/>
      </c>
      <c r="CE337" s="57">
        <f>$CE336+$CC337</f>
        <v/>
      </c>
      <c r="CF337" s="67">
        <f>IFERROR(IF(($BW337)&gt;0,($BZ337)/($BW337),""),"")</f>
        <v/>
      </c>
      <c r="CG337" s="67">
        <f>IFERROR(IF(($BX337)&gt;0,($CA337)/($BX337),""),"")</f>
        <v/>
      </c>
      <c r="CH337" s="67">
        <f>IFERROR(IF(($BY337)&gt;0,($CB337)/($BY337),""),"")</f>
        <v/>
      </c>
      <c r="CI337" s="67">
        <f>IFERROR(IF(($BZ337)&gt;0,($CC337)/($BZ337),""),"")</f>
        <v/>
      </c>
      <c r="CJ337" s="67">
        <f>IFERROR(IF(($CA337)&gt;0,($CD337)/($CA337),""),"")</f>
        <v/>
      </c>
      <c r="CK337" s="67">
        <f>IFERROR(IF(($CB337)&gt;0,($CE337)/($CB337),""),"")</f>
        <v/>
      </c>
      <c r="CL337" s="55">
        <f>IFERROR(IF(($BN337)&gt;0,($X337+$AD337)/($BN337),""),"")</f>
        <v/>
      </c>
      <c r="CM337" s="55">
        <f>IFERROR(IF(($BO337)&gt;0,($Y337+$AE337)/($BO337),""),"")</f>
        <v/>
      </c>
      <c r="CN337" s="55">
        <f>IFERROR(IF(($BP337)&gt;0,($Z337+$AF337)/($BP337),""),"")</f>
        <v/>
      </c>
      <c r="CO337" s="55">
        <f>IFERROR(IF(($CC337)&gt;0,($X337+$AD337)/($CC337),""),"")</f>
        <v/>
      </c>
      <c r="CP337" s="55">
        <f>IFERROR(IF(($CD337)&gt;0,($Y337+$AE337)/($CD337),""),"")</f>
        <v/>
      </c>
      <c r="CQ337" s="55">
        <f>IFERROR(IF(($CE337)&gt;0,($Z337+$AF337)/($CE337),""),"")</f>
        <v/>
      </c>
      <c r="CR337" s="55">
        <f>SUMIFS(tblPlant[Crushed_t],tblPlant[Date],$A337)</f>
        <v/>
      </c>
      <c r="CS337" s="55">
        <f>IF($B337=$B336,$CS336,0)+$CR337</f>
        <v/>
      </c>
      <c r="CT337" s="55">
        <f>$CT336+$CR337</f>
        <v/>
      </c>
      <c r="CU337" s="55">
        <f>SUMIFS(tblPlant[Milled_t],tblPlant[Date],$A337)</f>
        <v/>
      </c>
      <c r="CV337" s="55">
        <f>IF($B337=$B336,$CV336,0)+$CU337</f>
        <v/>
      </c>
      <c r="CW337" s="55">
        <f>$CW336+$CU337</f>
        <v/>
      </c>
      <c r="CX337" s="55">
        <f>SUMIFS(tblPlant[Feed_oz],tblPlant[Date],$A337)</f>
        <v/>
      </c>
      <c r="CY337" s="55">
        <f>IF($B337=$B336,$CY336,0)+$CX337</f>
        <v/>
      </c>
      <c r="CZ337" s="55">
        <f>$CZ336+$CX337</f>
        <v/>
      </c>
      <c r="DA337" s="55">
        <f>SUMIFS(tblPlant[Tails_oz],tblPlant[Date],$A337)</f>
        <v/>
      </c>
      <c r="DB337" s="55">
        <f>IF($B337=$B336,$DB336,0)+$DA337</f>
        <v/>
      </c>
      <c r="DC337" s="55">
        <f>$DC336+$DA337</f>
        <v/>
      </c>
      <c r="DD337" s="55">
        <f>SUMIFS(tblPlant[Recovered_oz],tblPlant[Date],$A337)</f>
        <v/>
      </c>
      <c r="DE337" s="55">
        <f>IF($B337=$B336,$DE336,0)+$DD337</f>
        <v/>
      </c>
      <c r="DF337" s="55">
        <f>$DF336+$DD337</f>
        <v/>
      </c>
      <c r="DG337" s="55">
        <f>SUMIFS(tblPlant[Milled_t],tblPlant[Date],$A337,tblPlant[Head_Grade_gpt],"&lt;&gt;")</f>
        <v/>
      </c>
      <c r="DH337" s="55">
        <f>IF($B337=$B336,$DH336,0)+$DG337</f>
        <v/>
      </c>
      <c r="DI337" s="55">
        <f>$DI336+$DG337</f>
        <v/>
      </c>
      <c r="DJ337" s="55">
        <f>SUMIFS(tblPlant[Milled_t],tblPlant[Date],$A337,tblPlant[Tails_Grade_gpt],"&lt;&gt;")</f>
        <v/>
      </c>
      <c r="DK337" s="55">
        <f>IF($B337=$B336,$DK336,0)+$DJ337</f>
        <v/>
      </c>
      <c r="DL337" s="55">
        <f>$DL336+$DJ337</f>
        <v/>
      </c>
      <c r="DM337" s="55">
        <f>SUMIFS(tblPlant[Feed_oz],tblPlant[Date],$A337,tblPlant[Tails_Grade_gpt],"&lt;&gt;")</f>
        <v/>
      </c>
      <c r="DN337" s="55">
        <f>IF($B337=$B336,$DN336,0)+$DM337</f>
        <v/>
      </c>
      <c r="DO337" s="55">
        <f>$DO336+$DM337</f>
        <v/>
      </c>
      <c r="DP337" s="55">
        <f>SUMIFS(tblPlant[Milled_t],tblPlant[Date],$A337,tblPlant[Mill_Run_h],"&lt;&gt;")</f>
        <v/>
      </c>
      <c r="DQ337" s="55">
        <f>IF($B337=$B336,$DQ336,0)+$DP337</f>
        <v/>
      </c>
      <c r="DR337" s="55">
        <f>$DR336+$DP337</f>
        <v/>
      </c>
      <c r="DS337" s="56">
        <f>IFERROR(IF(($DG337)&gt;0,($CX337*cfg_TroyOz)/($DG337),""),"")</f>
        <v/>
      </c>
      <c r="DT337" s="56">
        <f>IFERROR(IF(($DH337)&gt;0,($CY337*cfg_TroyOz)/($DH337),""),"")</f>
        <v/>
      </c>
      <c r="DU337" s="56">
        <f>IFERROR(IF(($DI337)&gt;0,($CZ337*cfg_TroyOz)/($DI337),""),"")</f>
        <v/>
      </c>
      <c r="DV337" s="56">
        <f>IFERROR(IF(($DJ337)&gt;0,($DA337*cfg_TroyOz)/($DJ337),""),"")</f>
        <v/>
      </c>
      <c r="DW337" s="56">
        <f>IFERROR(IF(($DK337)&gt;0,($DB337*cfg_TroyOz)/($DK337),""),"")</f>
        <v/>
      </c>
      <c r="DX337" s="56">
        <f>IFERROR(IF(($DL337)&gt;0,($DC337*cfg_TroyOz)/($DL337),""),"")</f>
        <v/>
      </c>
      <c r="DY337" s="67">
        <f>IFERROR(IF(($DM337)&gt;0,($DD337)/($DM337),""),"")</f>
        <v/>
      </c>
      <c r="DZ337" s="67">
        <f>IFERROR(IF(($DN337)&gt;0,($DE337)/($DN337),""),"")</f>
        <v/>
      </c>
      <c r="EA337" s="67">
        <f>IFERROR(IF(($DO337)&gt;0,($DF337)/($DO337),""),"")</f>
        <v/>
      </c>
      <c r="EB337" s="55">
        <f>SUMIFS(tblPlant[Gravity_Gold_oz],tblPlant[Date],$A337)</f>
        <v/>
      </c>
      <c r="EC337" s="55">
        <f>IF($B337=$B336,$EC336,0)+$EB337</f>
        <v/>
      </c>
      <c r="ED337" s="55">
        <f>$ED336+$EB337</f>
        <v/>
      </c>
      <c r="EE337" s="67">
        <f>IFERROR(IF(($DD337)&gt;0,($EB337)/($DD337),""),"")</f>
        <v/>
      </c>
      <c r="EF337" s="67">
        <f>IFERROR(IF(($DE337)&gt;0,($EC337)/($DE337),""),"")</f>
        <v/>
      </c>
      <c r="EG337" s="67">
        <f>IFERROR(IF(($DF337)&gt;0,($ED337)/($DF337),""),"")</f>
        <v/>
      </c>
      <c r="EH337" s="55">
        <f>SUMIFS(tblPlant[Gold_Poured_oz],tblPlant[Date],$A337)</f>
        <v/>
      </c>
      <c r="EI337" s="55">
        <f>IF($B337=$B336,$EI336,0)+$EH337</f>
        <v/>
      </c>
      <c r="EJ337" s="55">
        <f>$EJ336+$EH337</f>
        <v/>
      </c>
      <c r="EK337" s="57">
        <f>SUMIFS(tblPlant[Mill_Run_h],tblPlant[Date],$A337)</f>
        <v/>
      </c>
      <c r="EL337" s="57">
        <f>IF($B337=$B336,$EL336,0)+$EK337</f>
        <v/>
      </c>
      <c r="EM337" s="57">
        <f>$EM336+$EK337</f>
        <v/>
      </c>
      <c r="EN337" s="57">
        <f>SUMIFS(tblPlant[Mill_Planned_Maint_h],tblPlant[Date],$A337)</f>
        <v/>
      </c>
      <c r="EO337" s="57">
        <f>IF($B337=$B336,$EO336,0)+$EN337</f>
        <v/>
      </c>
      <c r="EP337" s="57">
        <f>$EP336+$EN337</f>
        <v/>
      </c>
      <c r="EQ337" s="57">
        <f>SUMIFS(tblPlant[Mill_Unplanned_Down_h],tblPlant[Date],$A337)</f>
        <v/>
      </c>
      <c r="ER337" s="57">
        <f>IF($B337=$B336,$ER336,0)+$EQ337</f>
        <v/>
      </c>
      <c r="ES337" s="57">
        <f>$ES336+$EQ337</f>
        <v/>
      </c>
      <c r="ET337" s="57">
        <f>IF(COUNTIFS(tblPlant[Date],$A337,tblPlant[Mill_Run_h],"&lt;&gt;")+COUNTIFS(tblPlant[Date],$A337,tblPlant[Mill_Planned_Maint_h],"&lt;&gt;")+COUNTIFS(tblPlant[Date],$A337,tblPlant[Mill_Unplanned_Down_h],"&lt;&gt;")&gt;0,cfg_HoursPerDay,0)</f>
        <v/>
      </c>
      <c r="EU337" s="57">
        <f>IF($B337=$B336,$EU336,0)+$ET337</f>
        <v/>
      </c>
      <c r="EV337" s="57">
        <f>$EV336+$ET337</f>
        <v/>
      </c>
      <c r="EW337" s="57">
        <f>SUMIFS(tblPlant[Crusher_Run_h],tblPlant[Date],$A337)</f>
        <v/>
      </c>
      <c r="EX337" s="57">
        <f>IF($B337=$B336,$EX336,0)+$EW337</f>
        <v/>
      </c>
      <c r="EY337" s="57">
        <f>$EY336+$EW337</f>
        <v/>
      </c>
      <c r="EZ337" s="55">
        <f>IFERROR(IF(($EK337)&gt;0,($DP337)/($EK337),""),"")</f>
        <v/>
      </c>
      <c r="FA337" s="55">
        <f>IFERROR(IF(($EL337)&gt;0,($DQ337)/($EL337),""),"")</f>
        <v/>
      </c>
      <c r="FB337" s="55">
        <f>IFERROR(IF(($EM337)&gt;0,($DR337)/($EM337),""),"")</f>
        <v/>
      </c>
      <c r="FC337" s="67">
        <f>IFERROR(IF(($ET337)&gt;0,($ET337-$EN337-$EQ337)/($ET337),""),"")</f>
        <v/>
      </c>
      <c r="FD337" s="67">
        <f>IFERROR(IF(($EU337)&gt;0,($EU337-$EO337-$ER337)/($EU337),""),"")</f>
        <v/>
      </c>
      <c r="FE337" s="67">
        <f>IFERROR(IF(($EV337)&gt;0,($EV337-$EP337-$ES337)/($EV337),""),"")</f>
        <v/>
      </c>
      <c r="FF337" s="67">
        <f>IFERROR(IF(($ET337-$EN337-$EQ337)&gt;0,($EK337)/($ET337-$EN337-$EQ337),""),"")</f>
        <v/>
      </c>
      <c r="FG337" s="67">
        <f>IFERROR(IF(($EU337-$EO337-$ER337)&gt;0,($EL337)/($EU337-$EO337-$ER337),""),"")</f>
        <v/>
      </c>
      <c r="FH337" s="67">
        <f>IFERROR(IF(($EV337-$EP337-$ES337)&gt;0,($EM337)/($EV337-$EP337-$ES337),""),"")</f>
        <v/>
      </c>
      <c r="FI337" s="55">
        <f>SUMIFS(tblPlant[Cyanide_kg],tblPlant[Date],$A337)</f>
        <v/>
      </c>
      <c r="FJ337" s="55">
        <f>IF($B337=$B336,$FJ336,0)+$FI337</f>
        <v/>
      </c>
      <c r="FK337" s="55">
        <f>$FK336+$FI337</f>
        <v/>
      </c>
      <c r="FL337" s="55">
        <f>SUMIFS(tblPlant[Lime_kg],tblPlant[Date],$A337)</f>
        <v/>
      </c>
      <c r="FM337" s="55">
        <f>IF($B337=$B336,$FM336,0)+$FL337</f>
        <v/>
      </c>
      <c r="FN337" s="55">
        <f>$FN336+$FL337</f>
        <v/>
      </c>
      <c r="FO337" s="55">
        <f>SUMIFS(tblPlant[Grinding_Media_kg],tblPlant[Date],$A337)</f>
        <v/>
      </c>
      <c r="FP337" s="55">
        <f>IF($B337=$B336,$FP336,0)+$FO337</f>
        <v/>
      </c>
      <c r="FQ337" s="55">
        <f>$FQ336+$FO337</f>
        <v/>
      </c>
      <c r="FR337" s="55">
        <f>SUMIFS(tblPlant[Power_kWh],tblPlant[Date],$A337)</f>
        <v/>
      </c>
      <c r="FS337" s="55">
        <f>IF($B337=$B336,$FS336,0)+$FR337</f>
        <v/>
      </c>
      <c r="FT337" s="55">
        <f>$FT336+$FR337</f>
        <v/>
      </c>
      <c r="FU337" s="55">
        <f>SUMIFS(tblPlant[Raw_Water_m3],tblPlant[Date],$A337)</f>
        <v/>
      </c>
      <c r="FV337" s="55">
        <f>IF($B337=$B336,$FV336,0)+$FU337</f>
        <v/>
      </c>
      <c r="FW337" s="55">
        <f>$FW336+$FU337</f>
        <v/>
      </c>
      <c r="FX337" s="56">
        <f>IFERROR(IF(($CU337)&gt;0,($FI337)/($CU337),""),"")</f>
        <v/>
      </c>
      <c r="FY337" s="56">
        <f>IFERROR(IF(($CV337)&gt;0,($FJ337)/($CV337),""),"")</f>
        <v/>
      </c>
      <c r="FZ337" s="56">
        <f>IFERROR(IF(($CW337)&gt;0,($FK337)/($CW337),""),"")</f>
        <v/>
      </c>
      <c r="GA337" s="56">
        <f>IFERROR(IF(($CU337)&gt;0,($FL337)/($CU337),""),"")</f>
        <v/>
      </c>
      <c r="GB337" s="56">
        <f>IFERROR(IF(($CV337)&gt;0,($FM337)/($CV337),""),"")</f>
        <v/>
      </c>
      <c r="GC337" s="56">
        <f>IFERROR(IF(($CW337)&gt;0,($FN337)/($CW337),""),"")</f>
        <v/>
      </c>
      <c r="GD337" s="56">
        <f>IFERROR(IF(($CU337)&gt;0,($FO337)/($CU337),""),"")</f>
        <v/>
      </c>
      <c r="GE337" s="56">
        <f>IFERROR(IF(($CV337)&gt;0,($FP337)/($CV337),""),"")</f>
        <v/>
      </c>
      <c r="GF337" s="56">
        <f>IFERROR(IF(($CW337)&gt;0,($FQ337)/($CW337),""),"")</f>
        <v/>
      </c>
      <c r="GG337" s="79">
        <f>IFERROR(IF(($CU337)&gt;0,($FR337)/($CU337),""),"")</f>
        <v/>
      </c>
      <c r="GH337" s="79">
        <f>IFERROR(IF(($CV337)&gt;0,($FS337)/($CV337),""),"")</f>
        <v/>
      </c>
      <c r="GI337" s="79">
        <f>IFERROR(IF(($CW337)&gt;0,($FT337)/($CW337),""),"")</f>
        <v/>
      </c>
      <c r="GJ337" s="56">
        <f>IFERROR(IF(($CU337)&gt;0,($FU337)/($CU337),""),"")</f>
        <v/>
      </c>
      <c r="GK337" s="56">
        <f>IFERROR(IF(($CV337)&gt;0,($FV337)/($CV337),""),"")</f>
        <v/>
      </c>
      <c r="GL337" s="56">
        <f>IFERROR(IF(($CW337)&gt;0,($FW337)/($CW337),""),"")</f>
        <v/>
      </c>
      <c r="GM337" s="55">
        <f>IF(SUMIFS(tblPlant[GIC_oz],tblPlant[Date],$A337)&gt;0,SUMIFS(tblPlant[GIC_oz],tblPlant[Date],$A337),"")</f>
        <v/>
      </c>
      <c r="GN337" s="55">
        <f>SUMIFS(tblGold[Gold_oz],tblGold[Date],$A337,tblGold[Type],"Shipment")</f>
        <v/>
      </c>
      <c r="GO337" s="55">
        <f>IF($B337=$B336,$GO336,0)+$GN337</f>
        <v/>
      </c>
      <c r="GP337" s="55">
        <f>$GP336+$GN337</f>
        <v/>
      </c>
      <c r="GQ337" s="55">
        <f>SUMIFS(tblGold[Gold_oz],tblGold[Date],$A337,tblGold[Type],"Sale")</f>
        <v/>
      </c>
      <c r="GR337" s="55">
        <f>IF($B337=$B336,$GR336,0)+$GQ337</f>
        <v/>
      </c>
      <c r="GS337" s="55">
        <f>$GS336+$GQ337</f>
        <v/>
      </c>
      <c r="GT337" s="55">
        <f>SUMIFS(tblGold[Dore_kg],tblGold[Date],$A337,tblGold[Type],"Shipment")</f>
        <v/>
      </c>
      <c r="GU337" s="55">
        <f>IF($B337=$B336,$GU336,0)+$GT337</f>
        <v/>
      </c>
      <c r="GV337" s="55">
        <f>$GV336+$GT337</f>
        <v/>
      </c>
      <c r="GW337" s="57">
        <f>SUMIFS(tblSafety[Hours_Total],tblSafety[Date],$A337)</f>
        <v/>
      </c>
      <c r="GX337" s="57">
        <f>IF($B337=$B336,$GX336,0)+$GW337</f>
        <v/>
      </c>
      <c r="GY337" s="57">
        <f>$GY336+$GW337</f>
        <v/>
      </c>
      <c r="GZ337" s="62">
        <f>SUMIFS(tblSafety[Fatality],tblSafety[Date],$A337)</f>
        <v/>
      </c>
      <c r="HA337" s="62">
        <f>IF($B337=$B336,$HA336,0)+$GZ337</f>
        <v/>
      </c>
      <c r="HB337" s="62">
        <f>$HB336+$GZ337</f>
        <v/>
      </c>
      <c r="HC337" s="62">
        <f>SUMIFS(tblSafety[LTI],tblSafety[Date],$A337)</f>
        <v/>
      </c>
      <c r="HD337" s="62">
        <f>IF($B337=$B336,$HD336,0)+$HC337</f>
        <v/>
      </c>
      <c r="HE337" s="62">
        <f>$HE336+$HC337</f>
        <v/>
      </c>
      <c r="HF337" s="62">
        <f>SUMIFS(tblSafety[RWI],tblSafety[Date],$A337)</f>
        <v/>
      </c>
      <c r="HG337" s="62">
        <f>IF($B337=$B336,$HG336,0)+$HF337</f>
        <v/>
      </c>
      <c r="HH337" s="62">
        <f>$HH336+$HF337</f>
        <v/>
      </c>
      <c r="HI337" s="62">
        <f>SUMIFS(tblSafety[MTI],tblSafety[Date],$A337)</f>
        <v/>
      </c>
      <c r="HJ337" s="62">
        <f>IF($B337=$B336,$HJ336,0)+$HI337</f>
        <v/>
      </c>
      <c r="HK337" s="62">
        <f>$HK336+$HI337</f>
        <v/>
      </c>
      <c r="HL337" s="62">
        <f>SUMIFS(tblSafety[FAI],tblSafety[Date],$A337)</f>
        <v/>
      </c>
      <c r="HM337" s="62">
        <f>IF($B337=$B336,$HM336,0)+$HL337</f>
        <v/>
      </c>
      <c r="HN337" s="62">
        <f>$HN336+$HL337</f>
        <v/>
      </c>
      <c r="HO337" s="62">
        <f>SUMIFS(tblSafety[Recordables],tblSafety[Date],$A337)</f>
        <v/>
      </c>
      <c r="HP337" s="62">
        <f>IF($B337=$B336,$HP336,0)+$HO337</f>
        <v/>
      </c>
      <c r="HQ337" s="62">
        <f>$HQ336+$HO337</f>
        <v/>
      </c>
      <c r="HR337" s="62">
        <f>SUMIFS(tblSafety[Near_Miss],tblSafety[Date],$A337)</f>
        <v/>
      </c>
      <c r="HS337" s="62">
        <f>IF($B337=$B336,$HS336,0)+$HR337</f>
        <v/>
      </c>
      <c r="HT337" s="62">
        <f>$HT336+$HR337</f>
        <v/>
      </c>
      <c r="HU337" s="62">
        <f>SUMIFS(tblSafety[Hazard_Reports],tblSafety[Date],$A337)</f>
        <v/>
      </c>
      <c r="HV337" s="62">
        <f>IF($B337=$B336,$HV336,0)+$HU337</f>
        <v/>
      </c>
      <c r="HW337" s="62">
        <f>$HW336+$HU337</f>
        <v/>
      </c>
      <c r="HX337" s="62">
        <f>SUMIFS(tblSafety[HPI],tblSafety[Date],$A337)</f>
        <v/>
      </c>
      <c r="HY337" s="62">
        <f>IF($B337=$B336,$HY336,0)+$HX337</f>
        <v/>
      </c>
      <c r="HZ337" s="62">
        <f>$HZ336+$HX337</f>
        <v/>
      </c>
      <c r="IA337" s="62">
        <f>SUMIFS(tblSafety[Env_Incidents],tblSafety[Date],$A337)</f>
        <v/>
      </c>
      <c r="IB337" s="62">
        <f>IF($B337=$B336,$IB336,0)+$IA337</f>
        <v/>
      </c>
      <c r="IC337" s="62">
        <f>$IC336+$IA337</f>
        <v/>
      </c>
      <c r="ID337" s="62">
        <f>SUMIFS(tblSafety[Community_Incidents],tblSafety[Date],$A337)</f>
        <v/>
      </c>
      <c r="IE337" s="62">
        <f>IF($B337=$B336,$IE336,0)+$ID337</f>
        <v/>
      </c>
      <c r="IF337" s="62">
        <f>$IF336+$ID337</f>
        <v/>
      </c>
      <c r="IG337" s="62">
        <f>SUMIFS(tblSafety[Vehicle_Incidents],tblSafety[Date],$A337)</f>
        <v/>
      </c>
      <c r="IH337" s="62">
        <f>IF($B337=$B336,$IH336,0)+$IG337</f>
        <v/>
      </c>
      <c r="II337" s="62">
        <f>$II336+$IG337</f>
        <v/>
      </c>
      <c r="IJ337" s="62">
        <f>SUMIFS(tblSafety[Toolbox_Talks],tblSafety[Date],$A337)</f>
        <v/>
      </c>
      <c r="IK337" s="62">
        <f>IF($B337=$B336,$IK336,0)+$IJ337</f>
        <v/>
      </c>
      <c r="IL337" s="62">
        <f>$IL336+$IJ337</f>
        <v/>
      </c>
      <c r="IM337" s="62">
        <f>SUMIFS(tblSafety[Inspections],tblSafety[Date],$A337)</f>
        <v/>
      </c>
      <c r="IN337" s="62">
        <f>IF($B337=$B336,$IN336,0)+$IM337</f>
        <v/>
      </c>
      <c r="IO337" s="62">
        <f>$IO336+$IM337</f>
        <v/>
      </c>
      <c r="IP337" s="56">
        <f>IFERROR((SUMIFS(tblSafety[Recordables],tblSafety[Date],"&gt;="&amp;EDATE($E337,-12),tblSafety[Date],"&lt;="&amp;$A337)+SUMIFS(tblSafetyHistory[Recordables],tblSafetyHistory[Month],"&gt;="&amp;EDATE($E337,-12),tblSafetyHistory[Month],"&lt;"&amp;$E337,tblSafetyHistory[Use],1))/(SUMIFS(tblSafety[Hours_Total],tblSafety[Date],"&gt;="&amp;EDATE($E337,-12),tblSafety[Date],"&lt;="&amp;$A337)+SUMIFS(tblSafetyHistory[Hours_Total],tblSafetyHistory[Month],"&gt;="&amp;EDATE($E337,-12),tblSafetyHistory[Month],"&lt;"&amp;$E337,tblSafetyHistory[Use],1))*cfg_RateBasisHours,"")</f>
        <v/>
      </c>
      <c r="IQ337" s="56">
        <f>IFERROR((SUMIFS(tblSafety[LTI],tblSafety[Date],"&gt;="&amp;EDATE($E337,-12),tblSafety[Date],"&lt;="&amp;$A337)+SUMIFS(tblSafetyHistory[LTI],tblSafetyHistory[Month],"&gt;="&amp;EDATE($E337,-12),tblSafetyHistory[Month],"&lt;"&amp;$E337,tblSafetyHistory[Use],1))/(SUMIFS(tblSafety[Hours_Total],tblSafety[Date],"&gt;="&amp;EDATE($E337,-12),tblSafety[Date],"&lt;="&amp;$A337)+SUMIFS(tblSafetyHistory[Hours_Total],tblSafetyHistory[Month],"&gt;="&amp;EDATE($E337,-12),tblSafetyHistory[Month],"&lt;"&amp;$E337,tblSafetyHistory[Use],1))*cfg_RateBasisHours,"")</f>
        <v/>
      </c>
      <c r="IR337" s="62">
        <f>IF(MAX(N(cfg_PriorLTIDate),_xlfn.MAXIFS(tblSafety[Date],tblSafety[LTI],"&gt;0",tblSafety[Date],"&lt;="&amp;$A337))=0,"",$A337-MAX(N(cfg_PriorLTIDate),_xlfn.MAXIFS(tblSafety[Date],tblSafety[LTI],"&gt;0",tblSafety[Date],"&lt;="&amp;$A337)))</f>
        <v/>
      </c>
      <c r="IS337" s="55">
        <f>SUMIFS(tblBudget[Ore_Mined_t],tblBudget[Month],$E337)</f>
        <v/>
      </c>
      <c r="IT337" s="55">
        <f>$IS337*$C337/$D337</f>
        <v/>
      </c>
      <c r="IU337" s="55">
        <f>SUMIFS(tblBudget[Ore_Mined_t],tblBudget[Month],"&lt;"&amp;$E337)+$IT337</f>
        <v/>
      </c>
      <c r="IV337" s="55">
        <f>SUMIFS(tblBudget[Ore_oz],tblBudget[Month],$E337)</f>
        <v/>
      </c>
      <c r="IW337" s="55">
        <f>$IV337*$C337/$D337</f>
        <v/>
      </c>
      <c r="IX337" s="55">
        <f>SUMIFS(tblBudget[Ore_oz],tblBudget[Month],"&lt;"&amp;$E337)+$IW337</f>
        <v/>
      </c>
      <c r="IY337" s="55">
        <f>SUMIFS(tblBudget[Ore_Mined_t],tblBudget[Month],$E337)</f>
        <v/>
      </c>
      <c r="IZ337" s="55">
        <f>$IY337*$C337/$D337</f>
        <v/>
      </c>
      <c r="JA337" s="55">
        <f>SUMIFS(tblBudget[Ore_Mined_t],tblBudget[Month],"&lt;"&amp;$E337)+$IZ337</f>
        <v/>
      </c>
      <c r="JB337" s="56">
        <f>IFERROR(IF(($IY337)&gt;0,($IV337*cfg_TroyOz)/($IY337),""),"")</f>
        <v/>
      </c>
      <c r="JC337" s="56">
        <f>IFERROR(IF(($IZ337)&gt;0,($IW337*cfg_TroyOz)/($IZ337),""),"")</f>
        <v/>
      </c>
      <c r="JD337" s="56">
        <f>IFERROR(IF(($JA337)&gt;0,($IX337*cfg_TroyOz)/($JA337),""),"")</f>
        <v/>
      </c>
      <c r="JE337" s="55">
        <f>SUMIFS(tblBudget[Waste_t],tblBudget[Month],$E337)</f>
        <v/>
      </c>
      <c r="JF337" s="55">
        <f>$JE337*$C337/$D337</f>
        <v/>
      </c>
      <c r="JG337" s="55">
        <f>SUMIFS(tblBudget[Waste_t],tblBudget[Month],"&lt;"&amp;$E337)+$JF337</f>
        <v/>
      </c>
      <c r="JH337" s="55">
        <f>SUMIFS(tblBudget[TMM_t],tblBudget[Month],$E337)</f>
        <v/>
      </c>
      <c r="JI337" s="55">
        <f>$JH337*$C337/$D337</f>
        <v/>
      </c>
      <c r="JJ337" s="55">
        <f>SUMIFS(tblBudget[TMM_t],tblBudget[Month],"&lt;"&amp;$E337)+$JI337</f>
        <v/>
      </c>
      <c r="JK337" s="56">
        <f>IFERROR(IF(($IS337)&gt;0,($JE337)/($IS337),""),"")</f>
        <v/>
      </c>
      <c r="JL337" s="56">
        <f>IFERROR(IF(($IT337)&gt;0,($JF337)/($IT337),""),"")</f>
        <v/>
      </c>
      <c r="JM337" s="56">
        <f>IFERROR(IF(($IU337)&gt;0,($JG337)/($IU337),""),"")</f>
        <v/>
      </c>
      <c r="JN337" s="55">
        <f>SUMIFS(tblBudget[Drill_m],tblBudget[Month],$E337)</f>
        <v/>
      </c>
      <c r="JO337" s="55">
        <f>$JN337*$C337/$D337</f>
        <v/>
      </c>
      <c r="JP337" s="55">
        <f>SUMIFS(tblBudget[Drill_m],tblBudget[Month],"&lt;"&amp;$E337)+$JO337</f>
        <v/>
      </c>
      <c r="JQ337" s="55">
        <f>SUMIFS(tblBudget[Diesel_L],tblBudget[Month],$E337)</f>
        <v/>
      </c>
      <c r="JR337" s="55">
        <f>$JQ337*$C337/$D337</f>
        <v/>
      </c>
      <c r="JS337" s="55">
        <f>SUMIFS(tblBudget[Diesel_L],tblBudget[Month],"&lt;"&amp;$E337)+$JR337</f>
        <v/>
      </c>
      <c r="JT337" s="55">
        <f>SUMIFS(tblBudget[Milled_t],tblBudget[Month],$E337)</f>
        <v/>
      </c>
      <c r="JU337" s="55">
        <f>$JT337*$C337/$D337</f>
        <v/>
      </c>
      <c r="JV337" s="55">
        <f>SUMIFS(tblBudget[Milled_t],tblBudget[Month],"&lt;"&amp;$E337)+$JU337</f>
        <v/>
      </c>
      <c r="JW337" s="55">
        <f>SUMIFS(tblBudget[Feed_oz],tblBudget[Month],$E337)</f>
        <v/>
      </c>
      <c r="JX337" s="55">
        <f>$JW337*$C337/$D337</f>
        <v/>
      </c>
      <c r="JY337" s="55">
        <f>SUMIFS(tblBudget[Feed_oz],tblBudget[Month],"&lt;"&amp;$E337)+$JX337</f>
        <v/>
      </c>
      <c r="JZ337" s="55">
        <f>SUMIFS(tblBudget[Recovered_oz],tblBudget[Month],$E337)</f>
        <v/>
      </c>
      <c r="KA337" s="55">
        <f>$JZ337*$C337/$D337</f>
        <v/>
      </c>
      <c r="KB337" s="55">
        <f>SUMIFS(tblBudget[Recovered_oz],tblBudget[Month],"&lt;"&amp;$E337)+$KA337</f>
        <v/>
      </c>
      <c r="KC337" s="55">
        <f>SUMIFS(tblBudget[Milled_t],tblBudget[Month],$E337)</f>
        <v/>
      </c>
      <c r="KD337" s="55">
        <f>$KC337*$C337/$D337</f>
        <v/>
      </c>
      <c r="KE337" s="55">
        <f>SUMIFS(tblBudget[Milled_t],tblBudget[Month],"&lt;"&amp;$E337)+$KD337</f>
        <v/>
      </c>
      <c r="KF337" s="55">
        <f>SUMIFS(tblBudget[Feed_oz],tblBudget[Month],$E337)</f>
        <v/>
      </c>
      <c r="KG337" s="55">
        <f>$KF337*$C337/$D337</f>
        <v/>
      </c>
      <c r="KH337" s="55">
        <f>SUMIFS(tblBudget[Feed_oz],tblBudget[Month],"&lt;"&amp;$E337)+$KG337</f>
        <v/>
      </c>
      <c r="KI337" s="56">
        <f>IFERROR(IF(($KC337)&gt;0,($JW337*cfg_TroyOz)/($KC337),""),"")</f>
        <v/>
      </c>
      <c r="KJ337" s="56">
        <f>IFERROR(IF(($KD337)&gt;0,($JX337*cfg_TroyOz)/($KD337),""),"")</f>
        <v/>
      </c>
      <c r="KK337" s="56">
        <f>IFERROR(IF(($KE337)&gt;0,($JY337*cfg_TroyOz)/($KE337),""),"")</f>
        <v/>
      </c>
      <c r="KL337" s="67">
        <f>IFERROR(IF(($KF337)&gt;0,($JZ337)/($KF337),""),"")</f>
        <v/>
      </c>
      <c r="KM337" s="67">
        <f>IFERROR(IF(($KG337)&gt;0,($KA337)/($KG337),""),"")</f>
        <v/>
      </c>
      <c r="KN337" s="67">
        <f>IFERROR(IF(($KH337)&gt;0,($KB337)/($KH337),""),"")</f>
        <v/>
      </c>
      <c r="KO337" s="55">
        <f>SUMIFS(tblBudget[Gold_Poured_oz],tblBudget[Month],$E337)</f>
        <v/>
      </c>
      <c r="KP337" s="55">
        <f>$KO337*$C337/$D337</f>
        <v/>
      </c>
      <c r="KQ337" s="55">
        <f>SUMIFS(tblBudget[Gold_Poured_oz],tblBudget[Month],"&lt;"&amp;$E337)+$KP337</f>
        <v/>
      </c>
      <c r="KR337" s="57">
        <f>SUMIFS(tblBudget[Hours_Worked],tblBudget[Month],$E337)</f>
        <v/>
      </c>
      <c r="KS337" s="57">
        <f>$KR337*$C337/$D337</f>
        <v/>
      </c>
      <c r="KT337" s="57">
        <f>SUMIFS(tblBudget[Hours_Worked],tblBudget[Month],"&lt;"&amp;$E337)+$KS337</f>
        <v/>
      </c>
    </row>
    <row r="338">
      <c r="A338" s="54" t="n">
        <v>46359</v>
      </c>
      <c r="B338">
        <f>MONTH($A338)</f>
        <v/>
      </c>
      <c r="C338">
        <f>DAY($A338)</f>
        <v/>
      </c>
      <c r="D338">
        <f>DAY(EOMONTH($A338,0))</f>
        <v/>
      </c>
      <c r="E338" s="54">
        <f>DATE(YEAR($A338),MONTH($A338),1)</f>
        <v/>
      </c>
      <c r="F338" s="55">
        <f>SUMIFS(tblMovement[Tonnes_t],tblMovement[Date],$A338,tblMovement[Is_Ore],1,tblMovement[Source_Type],"Pit")</f>
        <v/>
      </c>
      <c r="G338" s="55">
        <f>IF($B338=$B337,$G337,0)+$F338</f>
        <v/>
      </c>
      <c r="H338" s="55">
        <f>$H337+$F338</f>
        <v/>
      </c>
      <c r="I338" s="55">
        <f>SUMIFS(tblMovement[Ore_oz],tblMovement[Date],$A338,tblMovement[Source_Type],"Pit")</f>
        <v/>
      </c>
      <c r="J338" s="55">
        <f>IF($B338=$B337,$J337,0)+$I338</f>
        <v/>
      </c>
      <c r="K338" s="55">
        <f>$K337+$I338</f>
        <v/>
      </c>
      <c r="L338" s="55">
        <f>SUMIFS(tblMovement[Tonnes_t],tblMovement[Date],$A338,tblMovement[Is_Ore],1,tblMovement[Source_Type],"Pit",tblMovement[Grade_gpt],"&lt;&gt;")</f>
        <v/>
      </c>
      <c r="M338" s="55">
        <f>IF($B338=$B337,$M337,0)+$L338</f>
        <v/>
      </c>
      <c r="N338" s="55">
        <f>$N337+$L338</f>
        <v/>
      </c>
      <c r="O338" s="56">
        <f>IFERROR(IF(($L338)&gt;0,($I338*cfg_TroyOz)/($L338),""),"")</f>
        <v/>
      </c>
      <c r="P338" s="56">
        <f>IFERROR(IF(($M338)&gt;0,($J338*cfg_TroyOz)/($M338),""),"")</f>
        <v/>
      </c>
      <c r="Q338" s="56">
        <f>IFERROR(IF(($N338)&gt;0,($K338*cfg_TroyOz)/($N338),""),"")</f>
        <v/>
      </c>
      <c r="R338" s="55">
        <f>$F338-$L338</f>
        <v/>
      </c>
      <c r="S338" s="55">
        <f>IF($B338=$B337,$S337,0)+$R338</f>
        <v/>
      </c>
      <c r="T338" s="55">
        <f>$T337+$R338</f>
        <v/>
      </c>
      <c r="U338" s="55">
        <f>SUMIFS(tblMovement[Tonnes_t],tblMovement[Date],$A338,tblMovement[Is_Ore],0,tblMovement[Source_Type],"Pit")</f>
        <v/>
      </c>
      <c r="V338" s="55">
        <f>IF($B338=$B337,$V337,0)+$U338</f>
        <v/>
      </c>
      <c r="W338" s="55">
        <f>$W337+$U338</f>
        <v/>
      </c>
      <c r="X338" s="55">
        <f>$F338+$U338</f>
        <v/>
      </c>
      <c r="Y338" s="55">
        <f>IF($B338=$B337,$Y337,0)+$X338</f>
        <v/>
      </c>
      <c r="Z338" s="55">
        <f>$Z337+$X338</f>
        <v/>
      </c>
      <c r="AA338" s="56">
        <f>IFERROR(IF(($F338)&gt;0,($U338)/($F338),""),"")</f>
        <v/>
      </c>
      <c r="AB338" s="56">
        <f>IFERROR(IF(($G338)&gt;0,($V338)/($G338),""),"")</f>
        <v/>
      </c>
      <c r="AC338" s="56">
        <f>IFERROR(IF(($H338)&gt;0,($W338)/($H338),""),"")</f>
        <v/>
      </c>
      <c r="AD338" s="55">
        <f>SUMIFS(tblMovement[Tonnes_t],tblMovement[Date],$A338,tblMovement[Source_Type],"Stockpile")</f>
        <v/>
      </c>
      <c r="AE338" s="55">
        <f>IF($B338=$B337,$AE337,0)+$AD338</f>
        <v/>
      </c>
      <c r="AF338" s="55">
        <f>$AF337+$AD338</f>
        <v/>
      </c>
      <c r="AG338" s="55">
        <f>SUMIFS(tblMovement[Tonnes_t],tblMovement[Date],$A338)</f>
        <v/>
      </c>
      <c r="AH338" s="55">
        <f>IF($B338=$B337,$AH337,0)+$AG338</f>
        <v/>
      </c>
      <c r="AI338" s="55">
        <f>$AI337+$AG338</f>
        <v/>
      </c>
      <c r="AJ338" s="55">
        <f>$AG338-$X338-$AD338</f>
        <v/>
      </c>
      <c r="AK338" s="55">
        <f>IF($B338=$B337,$AK337,0)+$AJ338</f>
        <v/>
      </c>
      <c r="AL338" s="55">
        <f>$AL337+$AJ338</f>
        <v/>
      </c>
      <c r="AM338" s="55">
        <f>SUMIFS(tblMiningDaily[Drill_m],tblMiningDaily[Date],$A338)</f>
        <v/>
      </c>
      <c r="AN338" s="55">
        <f>IF($B338=$B337,$AN337,0)+$AM338</f>
        <v/>
      </c>
      <c r="AO338" s="55">
        <f>$AO337+$AM338</f>
        <v/>
      </c>
      <c r="AP338" s="55">
        <f>SUMIFS(tblMiningDaily[GC_Drill_m],tblMiningDaily[Date],$A338)</f>
        <v/>
      </c>
      <c r="AQ338" s="55">
        <f>IF($B338=$B337,$AQ337,0)+$AP338</f>
        <v/>
      </c>
      <c r="AR338" s="55">
        <f>$AR337+$AP338</f>
        <v/>
      </c>
      <c r="AS338" s="55">
        <f>SUMIFS(tblMiningDaily[Blast_t],tblMiningDaily[Date],$A338)</f>
        <v/>
      </c>
      <c r="AT338" s="55">
        <f>IF($B338=$B337,$AT337,0)+$AS338</f>
        <v/>
      </c>
      <c r="AU338" s="55">
        <f>$AU337+$AS338</f>
        <v/>
      </c>
      <c r="AV338" s="55">
        <f>SUMIFS(tblMiningDaily[Explosives_kg],tblMiningDaily[Date],$A338)</f>
        <v/>
      </c>
      <c r="AW338" s="55">
        <f>IF($B338=$B337,$AW337,0)+$AV338</f>
        <v/>
      </c>
      <c r="AX338" s="55">
        <f>$AX337+$AV338</f>
        <v/>
      </c>
      <c r="AY338" s="56">
        <f>IFERROR(IF(($AS338)&gt;0,($AV338)/($AS338),""),"")</f>
        <v/>
      </c>
      <c r="AZ338" s="56">
        <f>IFERROR(IF(($AT338)&gt;0,($AW338)/($AT338),""),"")</f>
        <v/>
      </c>
      <c r="BA338" s="56">
        <f>IFERROR(IF(($AU338)&gt;0,($AX338)/($AU338),""),"")</f>
        <v/>
      </c>
      <c r="BB338" s="55">
        <f>SUMIFS(tblMiningDaily[Diesel_L],tblMiningDaily[Date],$A338)</f>
        <v/>
      </c>
      <c r="BC338" s="55">
        <f>IF($B338=$B337,$BC337,0)+$BB338</f>
        <v/>
      </c>
      <c r="BD338" s="55">
        <f>$BD337+$BB338</f>
        <v/>
      </c>
      <c r="BE338" s="55">
        <f>SUMIFS(tblMiningDaily[Dewatering_m3],tblMiningDaily[Date],$A338)</f>
        <v/>
      </c>
      <c r="BF338" s="55">
        <f>IF($B338=$B337,$BF337,0)+$BE338</f>
        <v/>
      </c>
      <c r="BG338" s="55">
        <f>$BG337+$BE338</f>
        <v/>
      </c>
      <c r="BH338" s="57">
        <f>SUMIFS(tblFleet[Calendar_h],tblFleet[Date],$A338,tblFleet[Equipment_Class],"Excavator")</f>
        <v/>
      </c>
      <c r="BI338" s="57">
        <f>IF($B338=$B337,$BI337,0)+$BH338</f>
        <v/>
      </c>
      <c r="BJ338" s="57">
        <f>$BJ337+$BH338</f>
        <v/>
      </c>
      <c r="BK338" s="57">
        <f>SUMIFS(tblFleet[Available_h],tblFleet[Date],$A338,tblFleet[Equipment_Class],"Excavator")</f>
        <v/>
      </c>
      <c r="BL338" s="57">
        <f>IF($B338=$B337,$BL337,0)+$BK338</f>
        <v/>
      </c>
      <c r="BM338" s="57">
        <f>$BM337+$BK338</f>
        <v/>
      </c>
      <c r="BN338" s="57">
        <f>SUMIFS(tblFleet[Operating_h],tblFleet[Date],$A338,tblFleet[Equipment_Class],"Excavator")</f>
        <v/>
      </c>
      <c r="BO338" s="57">
        <f>IF($B338=$B337,$BO337,0)+$BN338</f>
        <v/>
      </c>
      <c r="BP338" s="57">
        <f>$BP337+$BN338</f>
        <v/>
      </c>
      <c r="BQ338" s="67">
        <f>IFERROR(IF(($BH338)&gt;0,($BK338)/($BH338),""),"")</f>
        <v/>
      </c>
      <c r="BR338" s="67">
        <f>IFERROR(IF(($BI338)&gt;0,($BL338)/($BI338),""),"")</f>
        <v/>
      </c>
      <c r="BS338" s="67">
        <f>IFERROR(IF(($BJ338)&gt;0,($BM338)/($BJ338),""),"")</f>
        <v/>
      </c>
      <c r="BT338" s="67">
        <f>IFERROR(IF(($BK338)&gt;0,($BN338)/($BK338),""),"")</f>
        <v/>
      </c>
      <c r="BU338" s="67">
        <f>IFERROR(IF(($BL338)&gt;0,($BO338)/($BL338),""),"")</f>
        <v/>
      </c>
      <c r="BV338" s="67">
        <f>IFERROR(IF(($BM338)&gt;0,($BP338)/($BM338),""),"")</f>
        <v/>
      </c>
      <c r="BW338" s="57">
        <f>SUMIFS(tblFleet[Calendar_h],tblFleet[Date],$A338,tblFleet[Equipment_Class],"Haul Truck")</f>
        <v/>
      </c>
      <c r="BX338" s="57">
        <f>IF($B338=$B337,$BX337,0)+$BW338</f>
        <v/>
      </c>
      <c r="BY338" s="57">
        <f>$BY337+$BW338</f>
        <v/>
      </c>
      <c r="BZ338" s="57">
        <f>SUMIFS(tblFleet[Available_h],tblFleet[Date],$A338,tblFleet[Equipment_Class],"Haul Truck")</f>
        <v/>
      </c>
      <c r="CA338" s="57">
        <f>IF($B338=$B337,$CA337,0)+$BZ338</f>
        <v/>
      </c>
      <c r="CB338" s="57">
        <f>$CB337+$BZ338</f>
        <v/>
      </c>
      <c r="CC338" s="57">
        <f>SUMIFS(tblFleet[Operating_h],tblFleet[Date],$A338,tblFleet[Equipment_Class],"Haul Truck")</f>
        <v/>
      </c>
      <c r="CD338" s="57">
        <f>IF($B338=$B337,$CD337,0)+$CC338</f>
        <v/>
      </c>
      <c r="CE338" s="57">
        <f>$CE337+$CC338</f>
        <v/>
      </c>
      <c r="CF338" s="67">
        <f>IFERROR(IF(($BW338)&gt;0,($BZ338)/($BW338),""),"")</f>
        <v/>
      </c>
      <c r="CG338" s="67">
        <f>IFERROR(IF(($BX338)&gt;0,($CA338)/($BX338),""),"")</f>
        <v/>
      </c>
      <c r="CH338" s="67">
        <f>IFERROR(IF(($BY338)&gt;0,($CB338)/($BY338),""),"")</f>
        <v/>
      </c>
      <c r="CI338" s="67">
        <f>IFERROR(IF(($BZ338)&gt;0,($CC338)/($BZ338),""),"")</f>
        <v/>
      </c>
      <c r="CJ338" s="67">
        <f>IFERROR(IF(($CA338)&gt;0,($CD338)/($CA338),""),"")</f>
        <v/>
      </c>
      <c r="CK338" s="67">
        <f>IFERROR(IF(($CB338)&gt;0,($CE338)/($CB338),""),"")</f>
        <v/>
      </c>
      <c r="CL338" s="55">
        <f>IFERROR(IF(($BN338)&gt;0,($X338+$AD338)/($BN338),""),"")</f>
        <v/>
      </c>
      <c r="CM338" s="55">
        <f>IFERROR(IF(($BO338)&gt;0,($Y338+$AE338)/($BO338),""),"")</f>
        <v/>
      </c>
      <c r="CN338" s="55">
        <f>IFERROR(IF(($BP338)&gt;0,($Z338+$AF338)/($BP338),""),"")</f>
        <v/>
      </c>
      <c r="CO338" s="55">
        <f>IFERROR(IF(($CC338)&gt;0,($X338+$AD338)/($CC338),""),"")</f>
        <v/>
      </c>
      <c r="CP338" s="55">
        <f>IFERROR(IF(($CD338)&gt;0,($Y338+$AE338)/($CD338),""),"")</f>
        <v/>
      </c>
      <c r="CQ338" s="55">
        <f>IFERROR(IF(($CE338)&gt;0,($Z338+$AF338)/($CE338),""),"")</f>
        <v/>
      </c>
      <c r="CR338" s="55">
        <f>SUMIFS(tblPlant[Crushed_t],tblPlant[Date],$A338)</f>
        <v/>
      </c>
      <c r="CS338" s="55">
        <f>IF($B338=$B337,$CS337,0)+$CR338</f>
        <v/>
      </c>
      <c r="CT338" s="55">
        <f>$CT337+$CR338</f>
        <v/>
      </c>
      <c r="CU338" s="55">
        <f>SUMIFS(tblPlant[Milled_t],tblPlant[Date],$A338)</f>
        <v/>
      </c>
      <c r="CV338" s="55">
        <f>IF($B338=$B337,$CV337,0)+$CU338</f>
        <v/>
      </c>
      <c r="CW338" s="55">
        <f>$CW337+$CU338</f>
        <v/>
      </c>
      <c r="CX338" s="55">
        <f>SUMIFS(tblPlant[Feed_oz],tblPlant[Date],$A338)</f>
        <v/>
      </c>
      <c r="CY338" s="55">
        <f>IF($B338=$B337,$CY337,0)+$CX338</f>
        <v/>
      </c>
      <c r="CZ338" s="55">
        <f>$CZ337+$CX338</f>
        <v/>
      </c>
      <c r="DA338" s="55">
        <f>SUMIFS(tblPlant[Tails_oz],tblPlant[Date],$A338)</f>
        <v/>
      </c>
      <c r="DB338" s="55">
        <f>IF($B338=$B337,$DB337,0)+$DA338</f>
        <v/>
      </c>
      <c r="DC338" s="55">
        <f>$DC337+$DA338</f>
        <v/>
      </c>
      <c r="DD338" s="55">
        <f>SUMIFS(tblPlant[Recovered_oz],tblPlant[Date],$A338)</f>
        <v/>
      </c>
      <c r="DE338" s="55">
        <f>IF($B338=$B337,$DE337,0)+$DD338</f>
        <v/>
      </c>
      <c r="DF338" s="55">
        <f>$DF337+$DD338</f>
        <v/>
      </c>
      <c r="DG338" s="55">
        <f>SUMIFS(tblPlant[Milled_t],tblPlant[Date],$A338,tblPlant[Head_Grade_gpt],"&lt;&gt;")</f>
        <v/>
      </c>
      <c r="DH338" s="55">
        <f>IF($B338=$B337,$DH337,0)+$DG338</f>
        <v/>
      </c>
      <c r="DI338" s="55">
        <f>$DI337+$DG338</f>
        <v/>
      </c>
      <c r="DJ338" s="55">
        <f>SUMIFS(tblPlant[Milled_t],tblPlant[Date],$A338,tblPlant[Tails_Grade_gpt],"&lt;&gt;")</f>
        <v/>
      </c>
      <c r="DK338" s="55">
        <f>IF($B338=$B337,$DK337,0)+$DJ338</f>
        <v/>
      </c>
      <c r="DL338" s="55">
        <f>$DL337+$DJ338</f>
        <v/>
      </c>
      <c r="DM338" s="55">
        <f>SUMIFS(tblPlant[Feed_oz],tblPlant[Date],$A338,tblPlant[Tails_Grade_gpt],"&lt;&gt;")</f>
        <v/>
      </c>
      <c r="DN338" s="55">
        <f>IF($B338=$B337,$DN337,0)+$DM338</f>
        <v/>
      </c>
      <c r="DO338" s="55">
        <f>$DO337+$DM338</f>
        <v/>
      </c>
      <c r="DP338" s="55">
        <f>SUMIFS(tblPlant[Milled_t],tblPlant[Date],$A338,tblPlant[Mill_Run_h],"&lt;&gt;")</f>
        <v/>
      </c>
      <c r="DQ338" s="55">
        <f>IF($B338=$B337,$DQ337,0)+$DP338</f>
        <v/>
      </c>
      <c r="DR338" s="55">
        <f>$DR337+$DP338</f>
        <v/>
      </c>
      <c r="DS338" s="56">
        <f>IFERROR(IF(($DG338)&gt;0,($CX338*cfg_TroyOz)/($DG338),""),"")</f>
        <v/>
      </c>
      <c r="DT338" s="56">
        <f>IFERROR(IF(($DH338)&gt;0,($CY338*cfg_TroyOz)/($DH338),""),"")</f>
        <v/>
      </c>
      <c r="DU338" s="56">
        <f>IFERROR(IF(($DI338)&gt;0,($CZ338*cfg_TroyOz)/($DI338),""),"")</f>
        <v/>
      </c>
      <c r="DV338" s="56">
        <f>IFERROR(IF(($DJ338)&gt;0,($DA338*cfg_TroyOz)/($DJ338),""),"")</f>
        <v/>
      </c>
      <c r="DW338" s="56">
        <f>IFERROR(IF(($DK338)&gt;0,($DB338*cfg_TroyOz)/($DK338),""),"")</f>
        <v/>
      </c>
      <c r="DX338" s="56">
        <f>IFERROR(IF(($DL338)&gt;0,($DC338*cfg_TroyOz)/($DL338),""),"")</f>
        <v/>
      </c>
      <c r="DY338" s="67">
        <f>IFERROR(IF(($DM338)&gt;0,($DD338)/($DM338),""),"")</f>
        <v/>
      </c>
      <c r="DZ338" s="67">
        <f>IFERROR(IF(($DN338)&gt;0,($DE338)/($DN338),""),"")</f>
        <v/>
      </c>
      <c r="EA338" s="67">
        <f>IFERROR(IF(($DO338)&gt;0,($DF338)/($DO338),""),"")</f>
        <v/>
      </c>
      <c r="EB338" s="55">
        <f>SUMIFS(tblPlant[Gravity_Gold_oz],tblPlant[Date],$A338)</f>
        <v/>
      </c>
      <c r="EC338" s="55">
        <f>IF($B338=$B337,$EC337,0)+$EB338</f>
        <v/>
      </c>
      <c r="ED338" s="55">
        <f>$ED337+$EB338</f>
        <v/>
      </c>
      <c r="EE338" s="67">
        <f>IFERROR(IF(($DD338)&gt;0,($EB338)/($DD338),""),"")</f>
        <v/>
      </c>
      <c r="EF338" s="67">
        <f>IFERROR(IF(($DE338)&gt;0,($EC338)/($DE338),""),"")</f>
        <v/>
      </c>
      <c r="EG338" s="67">
        <f>IFERROR(IF(($DF338)&gt;0,($ED338)/($DF338),""),"")</f>
        <v/>
      </c>
      <c r="EH338" s="55">
        <f>SUMIFS(tblPlant[Gold_Poured_oz],tblPlant[Date],$A338)</f>
        <v/>
      </c>
      <c r="EI338" s="55">
        <f>IF($B338=$B337,$EI337,0)+$EH338</f>
        <v/>
      </c>
      <c r="EJ338" s="55">
        <f>$EJ337+$EH338</f>
        <v/>
      </c>
      <c r="EK338" s="57">
        <f>SUMIFS(tblPlant[Mill_Run_h],tblPlant[Date],$A338)</f>
        <v/>
      </c>
      <c r="EL338" s="57">
        <f>IF($B338=$B337,$EL337,0)+$EK338</f>
        <v/>
      </c>
      <c r="EM338" s="57">
        <f>$EM337+$EK338</f>
        <v/>
      </c>
      <c r="EN338" s="57">
        <f>SUMIFS(tblPlant[Mill_Planned_Maint_h],tblPlant[Date],$A338)</f>
        <v/>
      </c>
      <c r="EO338" s="57">
        <f>IF($B338=$B337,$EO337,0)+$EN338</f>
        <v/>
      </c>
      <c r="EP338" s="57">
        <f>$EP337+$EN338</f>
        <v/>
      </c>
      <c r="EQ338" s="57">
        <f>SUMIFS(tblPlant[Mill_Unplanned_Down_h],tblPlant[Date],$A338)</f>
        <v/>
      </c>
      <c r="ER338" s="57">
        <f>IF($B338=$B337,$ER337,0)+$EQ338</f>
        <v/>
      </c>
      <c r="ES338" s="57">
        <f>$ES337+$EQ338</f>
        <v/>
      </c>
      <c r="ET338" s="57">
        <f>IF(COUNTIFS(tblPlant[Date],$A338,tblPlant[Mill_Run_h],"&lt;&gt;")+COUNTIFS(tblPlant[Date],$A338,tblPlant[Mill_Planned_Maint_h],"&lt;&gt;")+COUNTIFS(tblPlant[Date],$A338,tblPlant[Mill_Unplanned_Down_h],"&lt;&gt;")&gt;0,cfg_HoursPerDay,0)</f>
        <v/>
      </c>
      <c r="EU338" s="57">
        <f>IF($B338=$B337,$EU337,0)+$ET338</f>
        <v/>
      </c>
      <c r="EV338" s="57">
        <f>$EV337+$ET338</f>
        <v/>
      </c>
      <c r="EW338" s="57">
        <f>SUMIFS(tblPlant[Crusher_Run_h],tblPlant[Date],$A338)</f>
        <v/>
      </c>
      <c r="EX338" s="57">
        <f>IF($B338=$B337,$EX337,0)+$EW338</f>
        <v/>
      </c>
      <c r="EY338" s="57">
        <f>$EY337+$EW338</f>
        <v/>
      </c>
      <c r="EZ338" s="55">
        <f>IFERROR(IF(($EK338)&gt;0,($DP338)/($EK338),""),"")</f>
        <v/>
      </c>
      <c r="FA338" s="55">
        <f>IFERROR(IF(($EL338)&gt;0,($DQ338)/($EL338),""),"")</f>
        <v/>
      </c>
      <c r="FB338" s="55">
        <f>IFERROR(IF(($EM338)&gt;0,($DR338)/($EM338),""),"")</f>
        <v/>
      </c>
      <c r="FC338" s="67">
        <f>IFERROR(IF(($ET338)&gt;0,($ET338-$EN338-$EQ338)/($ET338),""),"")</f>
        <v/>
      </c>
      <c r="FD338" s="67">
        <f>IFERROR(IF(($EU338)&gt;0,($EU338-$EO338-$ER338)/($EU338),""),"")</f>
        <v/>
      </c>
      <c r="FE338" s="67">
        <f>IFERROR(IF(($EV338)&gt;0,($EV338-$EP338-$ES338)/($EV338),""),"")</f>
        <v/>
      </c>
      <c r="FF338" s="67">
        <f>IFERROR(IF(($ET338-$EN338-$EQ338)&gt;0,($EK338)/($ET338-$EN338-$EQ338),""),"")</f>
        <v/>
      </c>
      <c r="FG338" s="67">
        <f>IFERROR(IF(($EU338-$EO338-$ER338)&gt;0,($EL338)/($EU338-$EO338-$ER338),""),"")</f>
        <v/>
      </c>
      <c r="FH338" s="67">
        <f>IFERROR(IF(($EV338-$EP338-$ES338)&gt;0,($EM338)/($EV338-$EP338-$ES338),""),"")</f>
        <v/>
      </c>
      <c r="FI338" s="55">
        <f>SUMIFS(tblPlant[Cyanide_kg],tblPlant[Date],$A338)</f>
        <v/>
      </c>
      <c r="FJ338" s="55">
        <f>IF($B338=$B337,$FJ337,0)+$FI338</f>
        <v/>
      </c>
      <c r="FK338" s="55">
        <f>$FK337+$FI338</f>
        <v/>
      </c>
      <c r="FL338" s="55">
        <f>SUMIFS(tblPlant[Lime_kg],tblPlant[Date],$A338)</f>
        <v/>
      </c>
      <c r="FM338" s="55">
        <f>IF($B338=$B337,$FM337,0)+$FL338</f>
        <v/>
      </c>
      <c r="FN338" s="55">
        <f>$FN337+$FL338</f>
        <v/>
      </c>
      <c r="FO338" s="55">
        <f>SUMIFS(tblPlant[Grinding_Media_kg],tblPlant[Date],$A338)</f>
        <v/>
      </c>
      <c r="FP338" s="55">
        <f>IF($B338=$B337,$FP337,0)+$FO338</f>
        <v/>
      </c>
      <c r="FQ338" s="55">
        <f>$FQ337+$FO338</f>
        <v/>
      </c>
      <c r="FR338" s="55">
        <f>SUMIFS(tblPlant[Power_kWh],tblPlant[Date],$A338)</f>
        <v/>
      </c>
      <c r="FS338" s="55">
        <f>IF($B338=$B337,$FS337,0)+$FR338</f>
        <v/>
      </c>
      <c r="FT338" s="55">
        <f>$FT337+$FR338</f>
        <v/>
      </c>
      <c r="FU338" s="55">
        <f>SUMIFS(tblPlant[Raw_Water_m3],tblPlant[Date],$A338)</f>
        <v/>
      </c>
      <c r="FV338" s="55">
        <f>IF($B338=$B337,$FV337,0)+$FU338</f>
        <v/>
      </c>
      <c r="FW338" s="55">
        <f>$FW337+$FU338</f>
        <v/>
      </c>
      <c r="FX338" s="56">
        <f>IFERROR(IF(($CU338)&gt;0,($FI338)/($CU338),""),"")</f>
        <v/>
      </c>
      <c r="FY338" s="56">
        <f>IFERROR(IF(($CV338)&gt;0,($FJ338)/($CV338),""),"")</f>
        <v/>
      </c>
      <c r="FZ338" s="56">
        <f>IFERROR(IF(($CW338)&gt;0,($FK338)/($CW338),""),"")</f>
        <v/>
      </c>
      <c r="GA338" s="56">
        <f>IFERROR(IF(($CU338)&gt;0,($FL338)/($CU338),""),"")</f>
        <v/>
      </c>
      <c r="GB338" s="56">
        <f>IFERROR(IF(($CV338)&gt;0,($FM338)/($CV338),""),"")</f>
        <v/>
      </c>
      <c r="GC338" s="56">
        <f>IFERROR(IF(($CW338)&gt;0,($FN338)/($CW338),""),"")</f>
        <v/>
      </c>
      <c r="GD338" s="56">
        <f>IFERROR(IF(($CU338)&gt;0,($FO338)/($CU338),""),"")</f>
        <v/>
      </c>
      <c r="GE338" s="56">
        <f>IFERROR(IF(($CV338)&gt;0,($FP338)/($CV338),""),"")</f>
        <v/>
      </c>
      <c r="GF338" s="56">
        <f>IFERROR(IF(($CW338)&gt;0,($FQ338)/($CW338),""),"")</f>
        <v/>
      </c>
      <c r="GG338" s="79">
        <f>IFERROR(IF(($CU338)&gt;0,($FR338)/($CU338),""),"")</f>
        <v/>
      </c>
      <c r="GH338" s="79">
        <f>IFERROR(IF(($CV338)&gt;0,($FS338)/($CV338),""),"")</f>
        <v/>
      </c>
      <c r="GI338" s="79">
        <f>IFERROR(IF(($CW338)&gt;0,($FT338)/($CW338),""),"")</f>
        <v/>
      </c>
      <c r="GJ338" s="56">
        <f>IFERROR(IF(($CU338)&gt;0,($FU338)/($CU338),""),"")</f>
        <v/>
      </c>
      <c r="GK338" s="56">
        <f>IFERROR(IF(($CV338)&gt;0,($FV338)/($CV338),""),"")</f>
        <v/>
      </c>
      <c r="GL338" s="56">
        <f>IFERROR(IF(($CW338)&gt;0,($FW338)/($CW338),""),"")</f>
        <v/>
      </c>
      <c r="GM338" s="55">
        <f>IF(SUMIFS(tblPlant[GIC_oz],tblPlant[Date],$A338)&gt;0,SUMIFS(tblPlant[GIC_oz],tblPlant[Date],$A338),"")</f>
        <v/>
      </c>
      <c r="GN338" s="55">
        <f>SUMIFS(tblGold[Gold_oz],tblGold[Date],$A338,tblGold[Type],"Shipment")</f>
        <v/>
      </c>
      <c r="GO338" s="55">
        <f>IF($B338=$B337,$GO337,0)+$GN338</f>
        <v/>
      </c>
      <c r="GP338" s="55">
        <f>$GP337+$GN338</f>
        <v/>
      </c>
      <c r="GQ338" s="55">
        <f>SUMIFS(tblGold[Gold_oz],tblGold[Date],$A338,tblGold[Type],"Sale")</f>
        <v/>
      </c>
      <c r="GR338" s="55">
        <f>IF($B338=$B337,$GR337,0)+$GQ338</f>
        <v/>
      </c>
      <c r="GS338" s="55">
        <f>$GS337+$GQ338</f>
        <v/>
      </c>
      <c r="GT338" s="55">
        <f>SUMIFS(tblGold[Dore_kg],tblGold[Date],$A338,tblGold[Type],"Shipment")</f>
        <v/>
      </c>
      <c r="GU338" s="55">
        <f>IF($B338=$B337,$GU337,0)+$GT338</f>
        <v/>
      </c>
      <c r="GV338" s="55">
        <f>$GV337+$GT338</f>
        <v/>
      </c>
      <c r="GW338" s="57">
        <f>SUMIFS(tblSafety[Hours_Total],tblSafety[Date],$A338)</f>
        <v/>
      </c>
      <c r="GX338" s="57">
        <f>IF($B338=$B337,$GX337,0)+$GW338</f>
        <v/>
      </c>
      <c r="GY338" s="57">
        <f>$GY337+$GW338</f>
        <v/>
      </c>
      <c r="GZ338" s="62">
        <f>SUMIFS(tblSafety[Fatality],tblSafety[Date],$A338)</f>
        <v/>
      </c>
      <c r="HA338" s="62">
        <f>IF($B338=$B337,$HA337,0)+$GZ338</f>
        <v/>
      </c>
      <c r="HB338" s="62">
        <f>$HB337+$GZ338</f>
        <v/>
      </c>
      <c r="HC338" s="62">
        <f>SUMIFS(tblSafety[LTI],tblSafety[Date],$A338)</f>
        <v/>
      </c>
      <c r="HD338" s="62">
        <f>IF($B338=$B337,$HD337,0)+$HC338</f>
        <v/>
      </c>
      <c r="HE338" s="62">
        <f>$HE337+$HC338</f>
        <v/>
      </c>
      <c r="HF338" s="62">
        <f>SUMIFS(tblSafety[RWI],tblSafety[Date],$A338)</f>
        <v/>
      </c>
      <c r="HG338" s="62">
        <f>IF($B338=$B337,$HG337,0)+$HF338</f>
        <v/>
      </c>
      <c r="HH338" s="62">
        <f>$HH337+$HF338</f>
        <v/>
      </c>
      <c r="HI338" s="62">
        <f>SUMIFS(tblSafety[MTI],tblSafety[Date],$A338)</f>
        <v/>
      </c>
      <c r="HJ338" s="62">
        <f>IF($B338=$B337,$HJ337,0)+$HI338</f>
        <v/>
      </c>
      <c r="HK338" s="62">
        <f>$HK337+$HI338</f>
        <v/>
      </c>
      <c r="HL338" s="62">
        <f>SUMIFS(tblSafety[FAI],tblSafety[Date],$A338)</f>
        <v/>
      </c>
      <c r="HM338" s="62">
        <f>IF($B338=$B337,$HM337,0)+$HL338</f>
        <v/>
      </c>
      <c r="HN338" s="62">
        <f>$HN337+$HL338</f>
        <v/>
      </c>
      <c r="HO338" s="62">
        <f>SUMIFS(tblSafety[Recordables],tblSafety[Date],$A338)</f>
        <v/>
      </c>
      <c r="HP338" s="62">
        <f>IF($B338=$B337,$HP337,0)+$HO338</f>
        <v/>
      </c>
      <c r="HQ338" s="62">
        <f>$HQ337+$HO338</f>
        <v/>
      </c>
      <c r="HR338" s="62">
        <f>SUMIFS(tblSafety[Near_Miss],tblSafety[Date],$A338)</f>
        <v/>
      </c>
      <c r="HS338" s="62">
        <f>IF($B338=$B337,$HS337,0)+$HR338</f>
        <v/>
      </c>
      <c r="HT338" s="62">
        <f>$HT337+$HR338</f>
        <v/>
      </c>
      <c r="HU338" s="62">
        <f>SUMIFS(tblSafety[Hazard_Reports],tblSafety[Date],$A338)</f>
        <v/>
      </c>
      <c r="HV338" s="62">
        <f>IF($B338=$B337,$HV337,0)+$HU338</f>
        <v/>
      </c>
      <c r="HW338" s="62">
        <f>$HW337+$HU338</f>
        <v/>
      </c>
      <c r="HX338" s="62">
        <f>SUMIFS(tblSafety[HPI],tblSafety[Date],$A338)</f>
        <v/>
      </c>
      <c r="HY338" s="62">
        <f>IF($B338=$B337,$HY337,0)+$HX338</f>
        <v/>
      </c>
      <c r="HZ338" s="62">
        <f>$HZ337+$HX338</f>
        <v/>
      </c>
      <c r="IA338" s="62">
        <f>SUMIFS(tblSafety[Env_Incidents],tblSafety[Date],$A338)</f>
        <v/>
      </c>
      <c r="IB338" s="62">
        <f>IF($B338=$B337,$IB337,0)+$IA338</f>
        <v/>
      </c>
      <c r="IC338" s="62">
        <f>$IC337+$IA338</f>
        <v/>
      </c>
      <c r="ID338" s="62">
        <f>SUMIFS(tblSafety[Community_Incidents],tblSafety[Date],$A338)</f>
        <v/>
      </c>
      <c r="IE338" s="62">
        <f>IF($B338=$B337,$IE337,0)+$ID338</f>
        <v/>
      </c>
      <c r="IF338" s="62">
        <f>$IF337+$ID338</f>
        <v/>
      </c>
      <c r="IG338" s="62">
        <f>SUMIFS(tblSafety[Vehicle_Incidents],tblSafety[Date],$A338)</f>
        <v/>
      </c>
      <c r="IH338" s="62">
        <f>IF($B338=$B337,$IH337,0)+$IG338</f>
        <v/>
      </c>
      <c r="II338" s="62">
        <f>$II337+$IG338</f>
        <v/>
      </c>
      <c r="IJ338" s="62">
        <f>SUMIFS(tblSafety[Toolbox_Talks],tblSafety[Date],$A338)</f>
        <v/>
      </c>
      <c r="IK338" s="62">
        <f>IF($B338=$B337,$IK337,0)+$IJ338</f>
        <v/>
      </c>
      <c r="IL338" s="62">
        <f>$IL337+$IJ338</f>
        <v/>
      </c>
      <c r="IM338" s="62">
        <f>SUMIFS(tblSafety[Inspections],tblSafety[Date],$A338)</f>
        <v/>
      </c>
      <c r="IN338" s="62">
        <f>IF($B338=$B337,$IN337,0)+$IM338</f>
        <v/>
      </c>
      <c r="IO338" s="62">
        <f>$IO337+$IM338</f>
        <v/>
      </c>
      <c r="IP338" s="56">
        <f>IFERROR((SUMIFS(tblSafety[Recordables],tblSafety[Date],"&gt;="&amp;EDATE($E338,-12),tblSafety[Date],"&lt;="&amp;$A338)+SUMIFS(tblSafetyHistory[Recordables],tblSafetyHistory[Month],"&gt;="&amp;EDATE($E338,-12),tblSafetyHistory[Month],"&lt;"&amp;$E338,tblSafetyHistory[Use],1))/(SUMIFS(tblSafety[Hours_Total],tblSafety[Date],"&gt;="&amp;EDATE($E338,-12),tblSafety[Date],"&lt;="&amp;$A338)+SUMIFS(tblSafetyHistory[Hours_Total],tblSafetyHistory[Month],"&gt;="&amp;EDATE($E338,-12),tblSafetyHistory[Month],"&lt;"&amp;$E338,tblSafetyHistory[Use],1))*cfg_RateBasisHours,"")</f>
        <v/>
      </c>
      <c r="IQ338" s="56">
        <f>IFERROR((SUMIFS(tblSafety[LTI],tblSafety[Date],"&gt;="&amp;EDATE($E338,-12),tblSafety[Date],"&lt;="&amp;$A338)+SUMIFS(tblSafetyHistory[LTI],tblSafetyHistory[Month],"&gt;="&amp;EDATE($E338,-12),tblSafetyHistory[Month],"&lt;"&amp;$E338,tblSafetyHistory[Use],1))/(SUMIFS(tblSafety[Hours_Total],tblSafety[Date],"&gt;="&amp;EDATE($E338,-12),tblSafety[Date],"&lt;="&amp;$A338)+SUMIFS(tblSafetyHistory[Hours_Total],tblSafetyHistory[Month],"&gt;="&amp;EDATE($E338,-12),tblSafetyHistory[Month],"&lt;"&amp;$E338,tblSafetyHistory[Use],1))*cfg_RateBasisHours,"")</f>
        <v/>
      </c>
      <c r="IR338" s="62">
        <f>IF(MAX(N(cfg_PriorLTIDate),_xlfn.MAXIFS(tblSafety[Date],tblSafety[LTI],"&gt;0",tblSafety[Date],"&lt;="&amp;$A338))=0,"",$A338-MAX(N(cfg_PriorLTIDate),_xlfn.MAXIFS(tblSafety[Date],tblSafety[LTI],"&gt;0",tblSafety[Date],"&lt;="&amp;$A338)))</f>
        <v/>
      </c>
      <c r="IS338" s="55">
        <f>SUMIFS(tblBudget[Ore_Mined_t],tblBudget[Month],$E338)</f>
        <v/>
      </c>
      <c r="IT338" s="55">
        <f>$IS338*$C338/$D338</f>
        <v/>
      </c>
      <c r="IU338" s="55">
        <f>SUMIFS(tblBudget[Ore_Mined_t],tblBudget[Month],"&lt;"&amp;$E338)+$IT338</f>
        <v/>
      </c>
      <c r="IV338" s="55">
        <f>SUMIFS(tblBudget[Ore_oz],tblBudget[Month],$E338)</f>
        <v/>
      </c>
      <c r="IW338" s="55">
        <f>$IV338*$C338/$D338</f>
        <v/>
      </c>
      <c r="IX338" s="55">
        <f>SUMIFS(tblBudget[Ore_oz],tblBudget[Month],"&lt;"&amp;$E338)+$IW338</f>
        <v/>
      </c>
      <c r="IY338" s="55">
        <f>SUMIFS(tblBudget[Ore_Mined_t],tblBudget[Month],$E338)</f>
        <v/>
      </c>
      <c r="IZ338" s="55">
        <f>$IY338*$C338/$D338</f>
        <v/>
      </c>
      <c r="JA338" s="55">
        <f>SUMIFS(tblBudget[Ore_Mined_t],tblBudget[Month],"&lt;"&amp;$E338)+$IZ338</f>
        <v/>
      </c>
      <c r="JB338" s="56">
        <f>IFERROR(IF(($IY338)&gt;0,($IV338*cfg_TroyOz)/($IY338),""),"")</f>
        <v/>
      </c>
      <c r="JC338" s="56">
        <f>IFERROR(IF(($IZ338)&gt;0,($IW338*cfg_TroyOz)/($IZ338),""),"")</f>
        <v/>
      </c>
      <c r="JD338" s="56">
        <f>IFERROR(IF(($JA338)&gt;0,($IX338*cfg_TroyOz)/($JA338),""),"")</f>
        <v/>
      </c>
      <c r="JE338" s="55">
        <f>SUMIFS(tblBudget[Waste_t],tblBudget[Month],$E338)</f>
        <v/>
      </c>
      <c r="JF338" s="55">
        <f>$JE338*$C338/$D338</f>
        <v/>
      </c>
      <c r="JG338" s="55">
        <f>SUMIFS(tblBudget[Waste_t],tblBudget[Month],"&lt;"&amp;$E338)+$JF338</f>
        <v/>
      </c>
      <c r="JH338" s="55">
        <f>SUMIFS(tblBudget[TMM_t],tblBudget[Month],$E338)</f>
        <v/>
      </c>
      <c r="JI338" s="55">
        <f>$JH338*$C338/$D338</f>
        <v/>
      </c>
      <c r="JJ338" s="55">
        <f>SUMIFS(tblBudget[TMM_t],tblBudget[Month],"&lt;"&amp;$E338)+$JI338</f>
        <v/>
      </c>
      <c r="JK338" s="56">
        <f>IFERROR(IF(($IS338)&gt;0,($JE338)/($IS338),""),"")</f>
        <v/>
      </c>
      <c r="JL338" s="56">
        <f>IFERROR(IF(($IT338)&gt;0,($JF338)/($IT338),""),"")</f>
        <v/>
      </c>
      <c r="JM338" s="56">
        <f>IFERROR(IF(($IU338)&gt;0,($JG338)/($IU338),""),"")</f>
        <v/>
      </c>
      <c r="JN338" s="55">
        <f>SUMIFS(tblBudget[Drill_m],tblBudget[Month],$E338)</f>
        <v/>
      </c>
      <c r="JO338" s="55">
        <f>$JN338*$C338/$D338</f>
        <v/>
      </c>
      <c r="JP338" s="55">
        <f>SUMIFS(tblBudget[Drill_m],tblBudget[Month],"&lt;"&amp;$E338)+$JO338</f>
        <v/>
      </c>
      <c r="JQ338" s="55">
        <f>SUMIFS(tblBudget[Diesel_L],tblBudget[Month],$E338)</f>
        <v/>
      </c>
      <c r="JR338" s="55">
        <f>$JQ338*$C338/$D338</f>
        <v/>
      </c>
      <c r="JS338" s="55">
        <f>SUMIFS(tblBudget[Diesel_L],tblBudget[Month],"&lt;"&amp;$E338)+$JR338</f>
        <v/>
      </c>
      <c r="JT338" s="55">
        <f>SUMIFS(tblBudget[Milled_t],tblBudget[Month],$E338)</f>
        <v/>
      </c>
      <c r="JU338" s="55">
        <f>$JT338*$C338/$D338</f>
        <v/>
      </c>
      <c r="JV338" s="55">
        <f>SUMIFS(tblBudget[Milled_t],tblBudget[Month],"&lt;"&amp;$E338)+$JU338</f>
        <v/>
      </c>
      <c r="JW338" s="55">
        <f>SUMIFS(tblBudget[Feed_oz],tblBudget[Month],$E338)</f>
        <v/>
      </c>
      <c r="JX338" s="55">
        <f>$JW338*$C338/$D338</f>
        <v/>
      </c>
      <c r="JY338" s="55">
        <f>SUMIFS(tblBudget[Feed_oz],tblBudget[Month],"&lt;"&amp;$E338)+$JX338</f>
        <v/>
      </c>
      <c r="JZ338" s="55">
        <f>SUMIFS(tblBudget[Recovered_oz],tblBudget[Month],$E338)</f>
        <v/>
      </c>
      <c r="KA338" s="55">
        <f>$JZ338*$C338/$D338</f>
        <v/>
      </c>
      <c r="KB338" s="55">
        <f>SUMIFS(tblBudget[Recovered_oz],tblBudget[Month],"&lt;"&amp;$E338)+$KA338</f>
        <v/>
      </c>
      <c r="KC338" s="55">
        <f>SUMIFS(tblBudget[Milled_t],tblBudget[Month],$E338)</f>
        <v/>
      </c>
      <c r="KD338" s="55">
        <f>$KC338*$C338/$D338</f>
        <v/>
      </c>
      <c r="KE338" s="55">
        <f>SUMIFS(tblBudget[Milled_t],tblBudget[Month],"&lt;"&amp;$E338)+$KD338</f>
        <v/>
      </c>
      <c r="KF338" s="55">
        <f>SUMIFS(tblBudget[Feed_oz],tblBudget[Month],$E338)</f>
        <v/>
      </c>
      <c r="KG338" s="55">
        <f>$KF338*$C338/$D338</f>
        <v/>
      </c>
      <c r="KH338" s="55">
        <f>SUMIFS(tblBudget[Feed_oz],tblBudget[Month],"&lt;"&amp;$E338)+$KG338</f>
        <v/>
      </c>
      <c r="KI338" s="56">
        <f>IFERROR(IF(($KC338)&gt;0,($JW338*cfg_TroyOz)/($KC338),""),"")</f>
        <v/>
      </c>
      <c r="KJ338" s="56">
        <f>IFERROR(IF(($KD338)&gt;0,($JX338*cfg_TroyOz)/($KD338),""),"")</f>
        <v/>
      </c>
      <c r="KK338" s="56">
        <f>IFERROR(IF(($KE338)&gt;0,($JY338*cfg_TroyOz)/($KE338),""),"")</f>
        <v/>
      </c>
      <c r="KL338" s="67">
        <f>IFERROR(IF(($KF338)&gt;0,($JZ338)/($KF338),""),"")</f>
        <v/>
      </c>
      <c r="KM338" s="67">
        <f>IFERROR(IF(($KG338)&gt;0,($KA338)/($KG338),""),"")</f>
        <v/>
      </c>
      <c r="KN338" s="67">
        <f>IFERROR(IF(($KH338)&gt;0,($KB338)/($KH338),""),"")</f>
        <v/>
      </c>
      <c r="KO338" s="55">
        <f>SUMIFS(tblBudget[Gold_Poured_oz],tblBudget[Month],$E338)</f>
        <v/>
      </c>
      <c r="KP338" s="55">
        <f>$KO338*$C338/$D338</f>
        <v/>
      </c>
      <c r="KQ338" s="55">
        <f>SUMIFS(tblBudget[Gold_Poured_oz],tblBudget[Month],"&lt;"&amp;$E338)+$KP338</f>
        <v/>
      </c>
      <c r="KR338" s="57">
        <f>SUMIFS(tblBudget[Hours_Worked],tblBudget[Month],$E338)</f>
        <v/>
      </c>
      <c r="KS338" s="57">
        <f>$KR338*$C338/$D338</f>
        <v/>
      </c>
      <c r="KT338" s="57">
        <f>SUMIFS(tblBudget[Hours_Worked],tblBudget[Month],"&lt;"&amp;$E338)+$KS338</f>
        <v/>
      </c>
    </row>
    <row r="339">
      <c r="A339" s="54" t="n">
        <v>46360</v>
      </c>
      <c r="B339">
        <f>MONTH($A339)</f>
        <v/>
      </c>
      <c r="C339">
        <f>DAY($A339)</f>
        <v/>
      </c>
      <c r="D339">
        <f>DAY(EOMONTH($A339,0))</f>
        <v/>
      </c>
      <c r="E339" s="54">
        <f>DATE(YEAR($A339),MONTH($A339),1)</f>
        <v/>
      </c>
      <c r="F339" s="55">
        <f>SUMIFS(tblMovement[Tonnes_t],tblMovement[Date],$A339,tblMovement[Is_Ore],1,tblMovement[Source_Type],"Pit")</f>
        <v/>
      </c>
      <c r="G339" s="55">
        <f>IF($B339=$B338,$G338,0)+$F339</f>
        <v/>
      </c>
      <c r="H339" s="55">
        <f>$H338+$F339</f>
        <v/>
      </c>
      <c r="I339" s="55">
        <f>SUMIFS(tblMovement[Ore_oz],tblMovement[Date],$A339,tblMovement[Source_Type],"Pit")</f>
        <v/>
      </c>
      <c r="J339" s="55">
        <f>IF($B339=$B338,$J338,0)+$I339</f>
        <v/>
      </c>
      <c r="K339" s="55">
        <f>$K338+$I339</f>
        <v/>
      </c>
      <c r="L339" s="55">
        <f>SUMIFS(tblMovement[Tonnes_t],tblMovement[Date],$A339,tblMovement[Is_Ore],1,tblMovement[Source_Type],"Pit",tblMovement[Grade_gpt],"&lt;&gt;")</f>
        <v/>
      </c>
      <c r="M339" s="55">
        <f>IF($B339=$B338,$M338,0)+$L339</f>
        <v/>
      </c>
      <c r="N339" s="55">
        <f>$N338+$L339</f>
        <v/>
      </c>
      <c r="O339" s="56">
        <f>IFERROR(IF(($L339)&gt;0,($I339*cfg_TroyOz)/($L339),""),"")</f>
        <v/>
      </c>
      <c r="P339" s="56">
        <f>IFERROR(IF(($M339)&gt;0,($J339*cfg_TroyOz)/($M339),""),"")</f>
        <v/>
      </c>
      <c r="Q339" s="56">
        <f>IFERROR(IF(($N339)&gt;0,($K339*cfg_TroyOz)/($N339),""),"")</f>
        <v/>
      </c>
      <c r="R339" s="55">
        <f>$F339-$L339</f>
        <v/>
      </c>
      <c r="S339" s="55">
        <f>IF($B339=$B338,$S338,0)+$R339</f>
        <v/>
      </c>
      <c r="T339" s="55">
        <f>$T338+$R339</f>
        <v/>
      </c>
      <c r="U339" s="55">
        <f>SUMIFS(tblMovement[Tonnes_t],tblMovement[Date],$A339,tblMovement[Is_Ore],0,tblMovement[Source_Type],"Pit")</f>
        <v/>
      </c>
      <c r="V339" s="55">
        <f>IF($B339=$B338,$V338,0)+$U339</f>
        <v/>
      </c>
      <c r="W339" s="55">
        <f>$W338+$U339</f>
        <v/>
      </c>
      <c r="X339" s="55">
        <f>$F339+$U339</f>
        <v/>
      </c>
      <c r="Y339" s="55">
        <f>IF($B339=$B338,$Y338,0)+$X339</f>
        <v/>
      </c>
      <c r="Z339" s="55">
        <f>$Z338+$X339</f>
        <v/>
      </c>
      <c r="AA339" s="56">
        <f>IFERROR(IF(($F339)&gt;0,($U339)/($F339),""),"")</f>
        <v/>
      </c>
      <c r="AB339" s="56">
        <f>IFERROR(IF(($G339)&gt;0,($V339)/($G339),""),"")</f>
        <v/>
      </c>
      <c r="AC339" s="56">
        <f>IFERROR(IF(($H339)&gt;0,($W339)/($H339),""),"")</f>
        <v/>
      </c>
      <c r="AD339" s="55">
        <f>SUMIFS(tblMovement[Tonnes_t],tblMovement[Date],$A339,tblMovement[Source_Type],"Stockpile")</f>
        <v/>
      </c>
      <c r="AE339" s="55">
        <f>IF($B339=$B338,$AE338,0)+$AD339</f>
        <v/>
      </c>
      <c r="AF339" s="55">
        <f>$AF338+$AD339</f>
        <v/>
      </c>
      <c r="AG339" s="55">
        <f>SUMIFS(tblMovement[Tonnes_t],tblMovement[Date],$A339)</f>
        <v/>
      </c>
      <c r="AH339" s="55">
        <f>IF($B339=$B338,$AH338,0)+$AG339</f>
        <v/>
      </c>
      <c r="AI339" s="55">
        <f>$AI338+$AG339</f>
        <v/>
      </c>
      <c r="AJ339" s="55">
        <f>$AG339-$X339-$AD339</f>
        <v/>
      </c>
      <c r="AK339" s="55">
        <f>IF($B339=$B338,$AK338,0)+$AJ339</f>
        <v/>
      </c>
      <c r="AL339" s="55">
        <f>$AL338+$AJ339</f>
        <v/>
      </c>
      <c r="AM339" s="55">
        <f>SUMIFS(tblMiningDaily[Drill_m],tblMiningDaily[Date],$A339)</f>
        <v/>
      </c>
      <c r="AN339" s="55">
        <f>IF($B339=$B338,$AN338,0)+$AM339</f>
        <v/>
      </c>
      <c r="AO339" s="55">
        <f>$AO338+$AM339</f>
        <v/>
      </c>
      <c r="AP339" s="55">
        <f>SUMIFS(tblMiningDaily[GC_Drill_m],tblMiningDaily[Date],$A339)</f>
        <v/>
      </c>
      <c r="AQ339" s="55">
        <f>IF($B339=$B338,$AQ338,0)+$AP339</f>
        <v/>
      </c>
      <c r="AR339" s="55">
        <f>$AR338+$AP339</f>
        <v/>
      </c>
      <c r="AS339" s="55">
        <f>SUMIFS(tblMiningDaily[Blast_t],tblMiningDaily[Date],$A339)</f>
        <v/>
      </c>
      <c r="AT339" s="55">
        <f>IF($B339=$B338,$AT338,0)+$AS339</f>
        <v/>
      </c>
      <c r="AU339" s="55">
        <f>$AU338+$AS339</f>
        <v/>
      </c>
      <c r="AV339" s="55">
        <f>SUMIFS(tblMiningDaily[Explosives_kg],tblMiningDaily[Date],$A339)</f>
        <v/>
      </c>
      <c r="AW339" s="55">
        <f>IF($B339=$B338,$AW338,0)+$AV339</f>
        <v/>
      </c>
      <c r="AX339" s="55">
        <f>$AX338+$AV339</f>
        <v/>
      </c>
      <c r="AY339" s="56">
        <f>IFERROR(IF(($AS339)&gt;0,($AV339)/($AS339),""),"")</f>
        <v/>
      </c>
      <c r="AZ339" s="56">
        <f>IFERROR(IF(($AT339)&gt;0,($AW339)/($AT339),""),"")</f>
        <v/>
      </c>
      <c r="BA339" s="56">
        <f>IFERROR(IF(($AU339)&gt;0,($AX339)/($AU339),""),"")</f>
        <v/>
      </c>
      <c r="BB339" s="55">
        <f>SUMIFS(tblMiningDaily[Diesel_L],tblMiningDaily[Date],$A339)</f>
        <v/>
      </c>
      <c r="BC339" s="55">
        <f>IF($B339=$B338,$BC338,0)+$BB339</f>
        <v/>
      </c>
      <c r="BD339" s="55">
        <f>$BD338+$BB339</f>
        <v/>
      </c>
      <c r="BE339" s="55">
        <f>SUMIFS(tblMiningDaily[Dewatering_m3],tblMiningDaily[Date],$A339)</f>
        <v/>
      </c>
      <c r="BF339" s="55">
        <f>IF($B339=$B338,$BF338,0)+$BE339</f>
        <v/>
      </c>
      <c r="BG339" s="55">
        <f>$BG338+$BE339</f>
        <v/>
      </c>
      <c r="BH339" s="57">
        <f>SUMIFS(tblFleet[Calendar_h],tblFleet[Date],$A339,tblFleet[Equipment_Class],"Excavator")</f>
        <v/>
      </c>
      <c r="BI339" s="57">
        <f>IF($B339=$B338,$BI338,0)+$BH339</f>
        <v/>
      </c>
      <c r="BJ339" s="57">
        <f>$BJ338+$BH339</f>
        <v/>
      </c>
      <c r="BK339" s="57">
        <f>SUMIFS(tblFleet[Available_h],tblFleet[Date],$A339,tblFleet[Equipment_Class],"Excavator")</f>
        <v/>
      </c>
      <c r="BL339" s="57">
        <f>IF($B339=$B338,$BL338,0)+$BK339</f>
        <v/>
      </c>
      <c r="BM339" s="57">
        <f>$BM338+$BK339</f>
        <v/>
      </c>
      <c r="BN339" s="57">
        <f>SUMIFS(tblFleet[Operating_h],tblFleet[Date],$A339,tblFleet[Equipment_Class],"Excavator")</f>
        <v/>
      </c>
      <c r="BO339" s="57">
        <f>IF($B339=$B338,$BO338,0)+$BN339</f>
        <v/>
      </c>
      <c r="BP339" s="57">
        <f>$BP338+$BN339</f>
        <v/>
      </c>
      <c r="BQ339" s="67">
        <f>IFERROR(IF(($BH339)&gt;0,($BK339)/($BH339),""),"")</f>
        <v/>
      </c>
      <c r="BR339" s="67">
        <f>IFERROR(IF(($BI339)&gt;0,($BL339)/($BI339),""),"")</f>
        <v/>
      </c>
      <c r="BS339" s="67">
        <f>IFERROR(IF(($BJ339)&gt;0,($BM339)/($BJ339),""),"")</f>
        <v/>
      </c>
      <c r="BT339" s="67">
        <f>IFERROR(IF(($BK339)&gt;0,($BN339)/($BK339),""),"")</f>
        <v/>
      </c>
      <c r="BU339" s="67">
        <f>IFERROR(IF(($BL339)&gt;0,($BO339)/($BL339),""),"")</f>
        <v/>
      </c>
      <c r="BV339" s="67">
        <f>IFERROR(IF(($BM339)&gt;0,($BP339)/($BM339),""),"")</f>
        <v/>
      </c>
      <c r="BW339" s="57">
        <f>SUMIFS(tblFleet[Calendar_h],tblFleet[Date],$A339,tblFleet[Equipment_Class],"Haul Truck")</f>
        <v/>
      </c>
      <c r="BX339" s="57">
        <f>IF($B339=$B338,$BX338,0)+$BW339</f>
        <v/>
      </c>
      <c r="BY339" s="57">
        <f>$BY338+$BW339</f>
        <v/>
      </c>
      <c r="BZ339" s="57">
        <f>SUMIFS(tblFleet[Available_h],tblFleet[Date],$A339,tblFleet[Equipment_Class],"Haul Truck")</f>
        <v/>
      </c>
      <c r="CA339" s="57">
        <f>IF($B339=$B338,$CA338,0)+$BZ339</f>
        <v/>
      </c>
      <c r="CB339" s="57">
        <f>$CB338+$BZ339</f>
        <v/>
      </c>
      <c r="CC339" s="57">
        <f>SUMIFS(tblFleet[Operating_h],tblFleet[Date],$A339,tblFleet[Equipment_Class],"Haul Truck")</f>
        <v/>
      </c>
      <c r="CD339" s="57">
        <f>IF($B339=$B338,$CD338,0)+$CC339</f>
        <v/>
      </c>
      <c r="CE339" s="57">
        <f>$CE338+$CC339</f>
        <v/>
      </c>
      <c r="CF339" s="67">
        <f>IFERROR(IF(($BW339)&gt;0,($BZ339)/($BW339),""),"")</f>
        <v/>
      </c>
      <c r="CG339" s="67">
        <f>IFERROR(IF(($BX339)&gt;0,($CA339)/($BX339),""),"")</f>
        <v/>
      </c>
      <c r="CH339" s="67">
        <f>IFERROR(IF(($BY339)&gt;0,($CB339)/($BY339),""),"")</f>
        <v/>
      </c>
      <c r="CI339" s="67">
        <f>IFERROR(IF(($BZ339)&gt;0,($CC339)/($BZ339),""),"")</f>
        <v/>
      </c>
      <c r="CJ339" s="67">
        <f>IFERROR(IF(($CA339)&gt;0,($CD339)/($CA339),""),"")</f>
        <v/>
      </c>
      <c r="CK339" s="67">
        <f>IFERROR(IF(($CB339)&gt;0,($CE339)/($CB339),""),"")</f>
        <v/>
      </c>
      <c r="CL339" s="55">
        <f>IFERROR(IF(($BN339)&gt;0,($X339+$AD339)/($BN339),""),"")</f>
        <v/>
      </c>
      <c r="CM339" s="55">
        <f>IFERROR(IF(($BO339)&gt;0,($Y339+$AE339)/($BO339),""),"")</f>
        <v/>
      </c>
      <c r="CN339" s="55">
        <f>IFERROR(IF(($BP339)&gt;0,($Z339+$AF339)/($BP339),""),"")</f>
        <v/>
      </c>
      <c r="CO339" s="55">
        <f>IFERROR(IF(($CC339)&gt;0,($X339+$AD339)/($CC339),""),"")</f>
        <v/>
      </c>
      <c r="CP339" s="55">
        <f>IFERROR(IF(($CD339)&gt;0,($Y339+$AE339)/($CD339),""),"")</f>
        <v/>
      </c>
      <c r="CQ339" s="55">
        <f>IFERROR(IF(($CE339)&gt;0,($Z339+$AF339)/($CE339),""),"")</f>
        <v/>
      </c>
      <c r="CR339" s="55">
        <f>SUMIFS(tblPlant[Crushed_t],tblPlant[Date],$A339)</f>
        <v/>
      </c>
      <c r="CS339" s="55">
        <f>IF($B339=$B338,$CS338,0)+$CR339</f>
        <v/>
      </c>
      <c r="CT339" s="55">
        <f>$CT338+$CR339</f>
        <v/>
      </c>
      <c r="CU339" s="55">
        <f>SUMIFS(tblPlant[Milled_t],tblPlant[Date],$A339)</f>
        <v/>
      </c>
      <c r="CV339" s="55">
        <f>IF($B339=$B338,$CV338,0)+$CU339</f>
        <v/>
      </c>
      <c r="CW339" s="55">
        <f>$CW338+$CU339</f>
        <v/>
      </c>
      <c r="CX339" s="55">
        <f>SUMIFS(tblPlant[Feed_oz],tblPlant[Date],$A339)</f>
        <v/>
      </c>
      <c r="CY339" s="55">
        <f>IF($B339=$B338,$CY338,0)+$CX339</f>
        <v/>
      </c>
      <c r="CZ339" s="55">
        <f>$CZ338+$CX339</f>
        <v/>
      </c>
      <c r="DA339" s="55">
        <f>SUMIFS(tblPlant[Tails_oz],tblPlant[Date],$A339)</f>
        <v/>
      </c>
      <c r="DB339" s="55">
        <f>IF($B339=$B338,$DB338,0)+$DA339</f>
        <v/>
      </c>
      <c r="DC339" s="55">
        <f>$DC338+$DA339</f>
        <v/>
      </c>
      <c r="DD339" s="55">
        <f>SUMIFS(tblPlant[Recovered_oz],tblPlant[Date],$A339)</f>
        <v/>
      </c>
      <c r="DE339" s="55">
        <f>IF($B339=$B338,$DE338,0)+$DD339</f>
        <v/>
      </c>
      <c r="DF339" s="55">
        <f>$DF338+$DD339</f>
        <v/>
      </c>
      <c r="DG339" s="55">
        <f>SUMIFS(tblPlant[Milled_t],tblPlant[Date],$A339,tblPlant[Head_Grade_gpt],"&lt;&gt;")</f>
        <v/>
      </c>
      <c r="DH339" s="55">
        <f>IF($B339=$B338,$DH338,0)+$DG339</f>
        <v/>
      </c>
      <c r="DI339" s="55">
        <f>$DI338+$DG339</f>
        <v/>
      </c>
      <c r="DJ339" s="55">
        <f>SUMIFS(tblPlant[Milled_t],tblPlant[Date],$A339,tblPlant[Tails_Grade_gpt],"&lt;&gt;")</f>
        <v/>
      </c>
      <c r="DK339" s="55">
        <f>IF($B339=$B338,$DK338,0)+$DJ339</f>
        <v/>
      </c>
      <c r="DL339" s="55">
        <f>$DL338+$DJ339</f>
        <v/>
      </c>
      <c r="DM339" s="55">
        <f>SUMIFS(tblPlant[Feed_oz],tblPlant[Date],$A339,tblPlant[Tails_Grade_gpt],"&lt;&gt;")</f>
        <v/>
      </c>
      <c r="DN339" s="55">
        <f>IF($B339=$B338,$DN338,0)+$DM339</f>
        <v/>
      </c>
      <c r="DO339" s="55">
        <f>$DO338+$DM339</f>
        <v/>
      </c>
      <c r="DP339" s="55">
        <f>SUMIFS(tblPlant[Milled_t],tblPlant[Date],$A339,tblPlant[Mill_Run_h],"&lt;&gt;")</f>
        <v/>
      </c>
      <c r="DQ339" s="55">
        <f>IF($B339=$B338,$DQ338,0)+$DP339</f>
        <v/>
      </c>
      <c r="DR339" s="55">
        <f>$DR338+$DP339</f>
        <v/>
      </c>
      <c r="DS339" s="56">
        <f>IFERROR(IF(($DG339)&gt;0,($CX339*cfg_TroyOz)/($DG339),""),"")</f>
        <v/>
      </c>
      <c r="DT339" s="56">
        <f>IFERROR(IF(($DH339)&gt;0,($CY339*cfg_TroyOz)/($DH339),""),"")</f>
        <v/>
      </c>
      <c r="DU339" s="56">
        <f>IFERROR(IF(($DI339)&gt;0,($CZ339*cfg_TroyOz)/($DI339),""),"")</f>
        <v/>
      </c>
      <c r="DV339" s="56">
        <f>IFERROR(IF(($DJ339)&gt;0,($DA339*cfg_TroyOz)/($DJ339),""),"")</f>
        <v/>
      </c>
      <c r="DW339" s="56">
        <f>IFERROR(IF(($DK339)&gt;0,($DB339*cfg_TroyOz)/($DK339),""),"")</f>
        <v/>
      </c>
      <c r="DX339" s="56">
        <f>IFERROR(IF(($DL339)&gt;0,($DC339*cfg_TroyOz)/($DL339),""),"")</f>
        <v/>
      </c>
      <c r="DY339" s="67">
        <f>IFERROR(IF(($DM339)&gt;0,($DD339)/($DM339),""),"")</f>
        <v/>
      </c>
      <c r="DZ339" s="67">
        <f>IFERROR(IF(($DN339)&gt;0,($DE339)/($DN339),""),"")</f>
        <v/>
      </c>
      <c r="EA339" s="67">
        <f>IFERROR(IF(($DO339)&gt;0,($DF339)/($DO339),""),"")</f>
        <v/>
      </c>
      <c r="EB339" s="55">
        <f>SUMIFS(tblPlant[Gravity_Gold_oz],tblPlant[Date],$A339)</f>
        <v/>
      </c>
      <c r="EC339" s="55">
        <f>IF($B339=$B338,$EC338,0)+$EB339</f>
        <v/>
      </c>
      <c r="ED339" s="55">
        <f>$ED338+$EB339</f>
        <v/>
      </c>
      <c r="EE339" s="67">
        <f>IFERROR(IF(($DD339)&gt;0,($EB339)/($DD339),""),"")</f>
        <v/>
      </c>
      <c r="EF339" s="67">
        <f>IFERROR(IF(($DE339)&gt;0,($EC339)/($DE339),""),"")</f>
        <v/>
      </c>
      <c r="EG339" s="67">
        <f>IFERROR(IF(($DF339)&gt;0,($ED339)/($DF339),""),"")</f>
        <v/>
      </c>
      <c r="EH339" s="55">
        <f>SUMIFS(tblPlant[Gold_Poured_oz],tblPlant[Date],$A339)</f>
        <v/>
      </c>
      <c r="EI339" s="55">
        <f>IF($B339=$B338,$EI338,0)+$EH339</f>
        <v/>
      </c>
      <c r="EJ339" s="55">
        <f>$EJ338+$EH339</f>
        <v/>
      </c>
      <c r="EK339" s="57">
        <f>SUMIFS(tblPlant[Mill_Run_h],tblPlant[Date],$A339)</f>
        <v/>
      </c>
      <c r="EL339" s="57">
        <f>IF($B339=$B338,$EL338,0)+$EK339</f>
        <v/>
      </c>
      <c r="EM339" s="57">
        <f>$EM338+$EK339</f>
        <v/>
      </c>
      <c r="EN339" s="57">
        <f>SUMIFS(tblPlant[Mill_Planned_Maint_h],tblPlant[Date],$A339)</f>
        <v/>
      </c>
      <c r="EO339" s="57">
        <f>IF($B339=$B338,$EO338,0)+$EN339</f>
        <v/>
      </c>
      <c r="EP339" s="57">
        <f>$EP338+$EN339</f>
        <v/>
      </c>
      <c r="EQ339" s="57">
        <f>SUMIFS(tblPlant[Mill_Unplanned_Down_h],tblPlant[Date],$A339)</f>
        <v/>
      </c>
      <c r="ER339" s="57">
        <f>IF($B339=$B338,$ER338,0)+$EQ339</f>
        <v/>
      </c>
      <c r="ES339" s="57">
        <f>$ES338+$EQ339</f>
        <v/>
      </c>
      <c r="ET339" s="57">
        <f>IF(COUNTIFS(tblPlant[Date],$A339,tblPlant[Mill_Run_h],"&lt;&gt;")+COUNTIFS(tblPlant[Date],$A339,tblPlant[Mill_Planned_Maint_h],"&lt;&gt;")+COUNTIFS(tblPlant[Date],$A339,tblPlant[Mill_Unplanned_Down_h],"&lt;&gt;")&gt;0,cfg_HoursPerDay,0)</f>
        <v/>
      </c>
      <c r="EU339" s="57">
        <f>IF($B339=$B338,$EU338,0)+$ET339</f>
        <v/>
      </c>
      <c r="EV339" s="57">
        <f>$EV338+$ET339</f>
        <v/>
      </c>
      <c r="EW339" s="57">
        <f>SUMIFS(tblPlant[Crusher_Run_h],tblPlant[Date],$A339)</f>
        <v/>
      </c>
      <c r="EX339" s="57">
        <f>IF($B339=$B338,$EX338,0)+$EW339</f>
        <v/>
      </c>
      <c r="EY339" s="57">
        <f>$EY338+$EW339</f>
        <v/>
      </c>
      <c r="EZ339" s="55">
        <f>IFERROR(IF(($EK339)&gt;0,($DP339)/($EK339),""),"")</f>
        <v/>
      </c>
      <c r="FA339" s="55">
        <f>IFERROR(IF(($EL339)&gt;0,($DQ339)/($EL339),""),"")</f>
        <v/>
      </c>
      <c r="FB339" s="55">
        <f>IFERROR(IF(($EM339)&gt;0,($DR339)/($EM339),""),"")</f>
        <v/>
      </c>
      <c r="FC339" s="67">
        <f>IFERROR(IF(($ET339)&gt;0,($ET339-$EN339-$EQ339)/($ET339),""),"")</f>
        <v/>
      </c>
      <c r="FD339" s="67">
        <f>IFERROR(IF(($EU339)&gt;0,($EU339-$EO339-$ER339)/($EU339),""),"")</f>
        <v/>
      </c>
      <c r="FE339" s="67">
        <f>IFERROR(IF(($EV339)&gt;0,($EV339-$EP339-$ES339)/($EV339),""),"")</f>
        <v/>
      </c>
      <c r="FF339" s="67">
        <f>IFERROR(IF(($ET339-$EN339-$EQ339)&gt;0,($EK339)/($ET339-$EN339-$EQ339),""),"")</f>
        <v/>
      </c>
      <c r="FG339" s="67">
        <f>IFERROR(IF(($EU339-$EO339-$ER339)&gt;0,($EL339)/($EU339-$EO339-$ER339),""),"")</f>
        <v/>
      </c>
      <c r="FH339" s="67">
        <f>IFERROR(IF(($EV339-$EP339-$ES339)&gt;0,($EM339)/($EV339-$EP339-$ES339),""),"")</f>
        <v/>
      </c>
      <c r="FI339" s="55">
        <f>SUMIFS(tblPlant[Cyanide_kg],tblPlant[Date],$A339)</f>
        <v/>
      </c>
      <c r="FJ339" s="55">
        <f>IF($B339=$B338,$FJ338,0)+$FI339</f>
        <v/>
      </c>
      <c r="FK339" s="55">
        <f>$FK338+$FI339</f>
        <v/>
      </c>
      <c r="FL339" s="55">
        <f>SUMIFS(tblPlant[Lime_kg],tblPlant[Date],$A339)</f>
        <v/>
      </c>
      <c r="FM339" s="55">
        <f>IF($B339=$B338,$FM338,0)+$FL339</f>
        <v/>
      </c>
      <c r="FN339" s="55">
        <f>$FN338+$FL339</f>
        <v/>
      </c>
      <c r="FO339" s="55">
        <f>SUMIFS(tblPlant[Grinding_Media_kg],tblPlant[Date],$A339)</f>
        <v/>
      </c>
      <c r="FP339" s="55">
        <f>IF($B339=$B338,$FP338,0)+$FO339</f>
        <v/>
      </c>
      <c r="FQ339" s="55">
        <f>$FQ338+$FO339</f>
        <v/>
      </c>
      <c r="FR339" s="55">
        <f>SUMIFS(tblPlant[Power_kWh],tblPlant[Date],$A339)</f>
        <v/>
      </c>
      <c r="FS339" s="55">
        <f>IF($B339=$B338,$FS338,0)+$FR339</f>
        <v/>
      </c>
      <c r="FT339" s="55">
        <f>$FT338+$FR339</f>
        <v/>
      </c>
      <c r="FU339" s="55">
        <f>SUMIFS(tblPlant[Raw_Water_m3],tblPlant[Date],$A339)</f>
        <v/>
      </c>
      <c r="FV339" s="55">
        <f>IF($B339=$B338,$FV338,0)+$FU339</f>
        <v/>
      </c>
      <c r="FW339" s="55">
        <f>$FW338+$FU339</f>
        <v/>
      </c>
      <c r="FX339" s="56">
        <f>IFERROR(IF(($CU339)&gt;0,($FI339)/($CU339),""),"")</f>
        <v/>
      </c>
      <c r="FY339" s="56">
        <f>IFERROR(IF(($CV339)&gt;0,($FJ339)/($CV339),""),"")</f>
        <v/>
      </c>
      <c r="FZ339" s="56">
        <f>IFERROR(IF(($CW339)&gt;0,($FK339)/($CW339),""),"")</f>
        <v/>
      </c>
      <c r="GA339" s="56">
        <f>IFERROR(IF(($CU339)&gt;0,($FL339)/($CU339),""),"")</f>
        <v/>
      </c>
      <c r="GB339" s="56">
        <f>IFERROR(IF(($CV339)&gt;0,($FM339)/($CV339),""),"")</f>
        <v/>
      </c>
      <c r="GC339" s="56">
        <f>IFERROR(IF(($CW339)&gt;0,($FN339)/($CW339),""),"")</f>
        <v/>
      </c>
      <c r="GD339" s="56">
        <f>IFERROR(IF(($CU339)&gt;0,($FO339)/($CU339),""),"")</f>
        <v/>
      </c>
      <c r="GE339" s="56">
        <f>IFERROR(IF(($CV339)&gt;0,($FP339)/($CV339),""),"")</f>
        <v/>
      </c>
      <c r="GF339" s="56">
        <f>IFERROR(IF(($CW339)&gt;0,($FQ339)/($CW339),""),"")</f>
        <v/>
      </c>
      <c r="GG339" s="79">
        <f>IFERROR(IF(($CU339)&gt;0,($FR339)/($CU339),""),"")</f>
        <v/>
      </c>
      <c r="GH339" s="79">
        <f>IFERROR(IF(($CV339)&gt;0,($FS339)/($CV339),""),"")</f>
        <v/>
      </c>
      <c r="GI339" s="79">
        <f>IFERROR(IF(($CW339)&gt;0,($FT339)/($CW339),""),"")</f>
        <v/>
      </c>
      <c r="GJ339" s="56">
        <f>IFERROR(IF(($CU339)&gt;0,($FU339)/($CU339),""),"")</f>
        <v/>
      </c>
      <c r="GK339" s="56">
        <f>IFERROR(IF(($CV339)&gt;0,($FV339)/($CV339),""),"")</f>
        <v/>
      </c>
      <c r="GL339" s="56">
        <f>IFERROR(IF(($CW339)&gt;0,($FW339)/($CW339),""),"")</f>
        <v/>
      </c>
      <c r="GM339" s="55">
        <f>IF(SUMIFS(tblPlant[GIC_oz],tblPlant[Date],$A339)&gt;0,SUMIFS(tblPlant[GIC_oz],tblPlant[Date],$A339),"")</f>
        <v/>
      </c>
      <c r="GN339" s="55">
        <f>SUMIFS(tblGold[Gold_oz],tblGold[Date],$A339,tblGold[Type],"Shipment")</f>
        <v/>
      </c>
      <c r="GO339" s="55">
        <f>IF($B339=$B338,$GO338,0)+$GN339</f>
        <v/>
      </c>
      <c r="GP339" s="55">
        <f>$GP338+$GN339</f>
        <v/>
      </c>
      <c r="GQ339" s="55">
        <f>SUMIFS(tblGold[Gold_oz],tblGold[Date],$A339,tblGold[Type],"Sale")</f>
        <v/>
      </c>
      <c r="GR339" s="55">
        <f>IF($B339=$B338,$GR338,0)+$GQ339</f>
        <v/>
      </c>
      <c r="GS339" s="55">
        <f>$GS338+$GQ339</f>
        <v/>
      </c>
      <c r="GT339" s="55">
        <f>SUMIFS(tblGold[Dore_kg],tblGold[Date],$A339,tblGold[Type],"Shipment")</f>
        <v/>
      </c>
      <c r="GU339" s="55">
        <f>IF($B339=$B338,$GU338,0)+$GT339</f>
        <v/>
      </c>
      <c r="GV339" s="55">
        <f>$GV338+$GT339</f>
        <v/>
      </c>
      <c r="GW339" s="57">
        <f>SUMIFS(tblSafety[Hours_Total],tblSafety[Date],$A339)</f>
        <v/>
      </c>
      <c r="GX339" s="57">
        <f>IF($B339=$B338,$GX338,0)+$GW339</f>
        <v/>
      </c>
      <c r="GY339" s="57">
        <f>$GY338+$GW339</f>
        <v/>
      </c>
      <c r="GZ339" s="62">
        <f>SUMIFS(tblSafety[Fatality],tblSafety[Date],$A339)</f>
        <v/>
      </c>
      <c r="HA339" s="62">
        <f>IF($B339=$B338,$HA338,0)+$GZ339</f>
        <v/>
      </c>
      <c r="HB339" s="62">
        <f>$HB338+$GZ339</f>
        <v/>
      </c>
      <c r="HC339" s="62">
        <f>SUMIFS(tblSafety[LTI],tblSafety[Date],$A339)</f>
        <v/>
      </c>
      <c r="HD339" s="62">
        <f>IF($B339=$B338,$HD338,0)+$HC339</f>
        <v/>
      </c>
      <c r="HE339" s="62">
        <f>$HE338+$HC339</f>
        <v/>
      </c>
      <c r="HF339" s="62">
        <f>SUMIFS(tblSafety[RWI],tblSafety[Date],$A339)</f>
        <v/>
      </c>
      <c r="HG339" s="62">
        <f>IF($B339=$B338,$HG338,0)+$HF339</f>
        <v/>
      </c>
      <c r="HH339" s="62">
        <f>$HH338+$HF339</f>
        <v/>
      </c>
      <c r="HI339" s="62">
        <f>SUMIFS(tblSafety[MTI],tblSafety[Date],$A339)</f>
        <v/>
      </c>
      <c r="HJ339" s="62">
        <f>IF($B339=$B338,$HJ338,0)+$HI339</f>
        <v/>
      </c>
      <c r="HK339" s="62">
        <f>$HK338+$HI339</f>
        <v/>
      </c>
      <c r="HL339" s="62">
        <f>SUMIFS(tblSafety[FAI],tblSafety[Date],$A339)</f>
        <v/>
      </c>
      <c r="HM339" s="62">
        <f>IF($B339=$B338,$HM338,0)+$HL339</f>
        <v/>
      </c>
      <c r="HN339" s="62">
        <f>$HN338+$HL339</f>
        <v/>
      </c>
      <c r="HO339" s="62">
        <f>SUMIFS(tblSafety[Recordables],tblSafety[Date],$A339)</f>
        <v/>
      </c>
      <c r="HP339" s="62">
        <f>IF($B339=$B338,$HP338,0)+$HO339</f>
        <v/>
      </c>
      <c r="HQ339" s="62">
        <f>$HQ338+$HO339</f>
        <v/>
      </c>
      <c r="HR339" s="62">
        <f>SUMIFS(tblSafety[Near_Miss],tblSafety[Date],$A339)</f>
        <v/>
      </c>
      <c r="HS339" s="62">
        <f>IF($B339=$B338,$HS338,0)+$HR339</f>
        <v/>
      </c>
      <c r="HT339" s="62">
        <f>$HT338+$HR339</f>
        <v/>
      </c>
      <c r="HU339" s="62">
        <f>SUMIFS(tblSafety[Hazard_Reports],tblSafety[Date],$A339)</f>
        <v/>
      </c>
      <c r="HV339" s="62">
        <f>IF($B339=$B338,$HV338,0)+$HU339</f>
        <v/>
      </c>
      <c r="HW339" s="62">
        <f>$HW338+$HU339</f>
        <v/>
      </c>
      <c r="HX339" s="62">
        <f>SUMIFS(tblSafety[HPI],tblSafety[Date],$A339)</f>
        <v/>
      </c>
      <c r="HY339" s="62">
        <f>IF($B339=$B338,$HY338,0)+$HX339</f>
        <v/>
      </c>
      <c r="HZ339" s="62">
        <f>$HZ338+$HX339</f>
        <v/>
      </c>
      <c r="IA339" s="62">
        <f>SUMIFS(tblSafety[Env_Incidents],tblSafety[Date],$A339)</f>
        <v/>
      </c>
      <c r="IB339" s="62">
        <f>IF($B339=$B338,$IB338,0)+$IA339</f>
        <v/>
      </c>
      <c r="IC339" s="62">
        <f>$IC338+$IA339</f>
        <v/>
      </c>
      <c r="ID339" s="62">
        <f>SUMIFS(tblSafety[Community_Incidents],tblSafety[Date],$A339)</f>
        <v/>
      </c>
      <c r="IE339" s="62">
        <f>IF($B339=$B338,$IE338,0)+$ID339</f>
        <v/>
      </c>
      <c r="IF339" s="62">
        <f>$IF338+$ID339</f>
        <v/>
      </c>
      <c r="IG339" s="62">
        <f>SUMIFS(tblSafety[Vehicle_Incidents],tblSafety[Date],$A339)</f>
        <v/>
      </c>
      <c r="IH339" s="62">
        <f>IF($B339=$B338,$IH338,0)+$IG339</f>
        <v/>
      </c>
      <c r="II339" s="62">
        <f>$II338+$IG339</f>
        <v/>
      </c>
      <c r="IJ339" s="62">
        <f>SUMIFS(tblSafety[Toolbox_Talks],tblSafety[Date],$A339)</f>
        <v/>
      </c>
      <c r="IK339" s="62">
        <f>IF($B339=$B338,$IK338,0)+$IJ339</f>
        <v/>
      </c>
      <c r="IL339" s="62">
        <f>$IL338+$IJ339</f>
        <v/>
      </c>
      <c r="IM339" s="62">
        <f>SUMIFS(tblSafety[Inspections],tblSafety[Date],$A339)</f>
        <v/>
      </c>
      <c r="IN339" s="62">
        <f>IF($B339=$B338,$IN338,0)+$IM339</f>
        <v/>
      </c>
      <c r="IO339" s="62">
        <f>$IO338+$IM339</f>
        <v/>
      </c>
      <c r="IP339" s="56">
        <f>IFERROR((SUMIFS(tblSafety[Recordables],tblSafety[Date],"&gt;="&amp;EDATE($E339,-12),tblSafety[Date],"&lt;="&amp;$A339)+SUMIFS(tblSafetyHistory[Recordables],tblSafetyHistory[Month],"&gt;="&amp;EDATE($E339,-12),tblSafetyHistory[Month],"&lt;"&amp;$E339,tblSafetyHistory[Use],1))/(SUMIFS(tblSafety[Hours_Total],tblSafety[Date],"&gt;="&amp;EDATE($E339,-12),tblSafety[Date],"&lt;="&amp;$A339)+SUMIFS(tblSafetyHistory[Hours_Total],tblSafetyHistory[Month],"&gt;="&amp;EDATE($E339,-12),tblSafetyHistory[Month],"&lt;"&amp;$E339,tblSafetyHistory[Use],1))*cfg_RateBasisHours,"")</f>
        <v/>
      </c>
      <c r="IQ339" s="56">
        <f>IFERROR((SUMIFS(tblSafety[LTI],tblSafety[Date],"&gt;="&amp;EDATE($E339,-12),tblSafety[Date],"&lt;="&amp;$A339)+SUMIFS(tblSafetyHistory[LTI],tblSafetyHistory[Month],"&gt;="&amp;EDATE($E339,-12),tblSafetyHistory[Month],"&lt;"&amp;$E339,tblSafetyHistory[Use],1))/(SUMIFS(tblSafety[Hours_Total],tblSafety[Date],"&gt;="&amp;EDATE($E339,-12),tblSafety[Date],"&lt;="&amp;$A339)+SUMIFS(tblSafetyHistory[Hours_Total],tblSafetyHistory[Month],"&gt;="&amp;EDATE($E339,-12),tblSafetyHistory[Month],"&lt;"&amp;$E339,tblSafetyHistory[Use],1))*cfg_RateBasisHours,"")</f>
        <v/>
      </c>
      <c r="IR339" s="62">
        <f>IF(MAX(N(cfg_PriorLTIDate),_xlfn.MAXIFS(tblSafety[Date],tblSafety[LTI],"&gt;0",tblSafety[Date],"&lt;="&amp;$A339))=0,"",$A339-MAX(N(cfg_PriorLTIDate),_xlfn.MAXIFS(tblSafety[Date],tblSafety[LTI],"&gt;0",tblSafety[Date],"&lt;="&amp;$A339)))</f>
        <v/>
      </c>
      <c r="IS339" s="55">
        <f>SUMIFS(tblBudget[Ore_Mined_t],tblBudget[Month],$E339)</f>
        <v/>
      </c>
      <c r="IT339" s="55">
        <f>$IS339*$C339/$D339</f>
        <v/>
      </c>
      <c r="IU339" s="55">
        <f>SUMIFS(tblBudget[Ore_Mined_t],tblBudget[Month],"&lt;"&amp;$E339)+$IT339</f>
        <v/>
      </c>
      <c r="IV339" s="55">
        <f>SUMIFS(tblBudget[Ore_oz],tblBudget[Month],$E339)</f>
        <v/>
      </c>
      <c r="IW339" s="55">
        <f>$IV339*$C339/$D339</f>
        <v/>
      </c>
      <c r="IX339" s="55">
        <f>SUMIFS(tblBudget[Ore_oz],tblBudget[Month],"&lt;"&amp;$E339)+$IW339</f>
        <v/>
      </c>
      <c r="IY339" s="55">
        <f>SUMIFS(tblBudget[Ore_Mined_t],tblBudget[Month],$E339)</f>
        <v/>
      </c>
      <c r="IZ339" s="55">
        <f>$IY339*$C339/$D339</f>
        <v/>
      </c>
      <c r="JA339" s="55">
        <f>SUMIFS(tblBudget[Ore_Mined_t],tblBudget[Month],"&lt;"&amp;$E339)+$IZ339</f>
        <v/>
      </c>
      <c r="JB339" s="56">
        <f>IFERROR(IF(($IY339)&gt;0,($IV339*cfg_TroyOz)/($IY339),""),"")</f>
        <v/>
      </c>
      <c r="JC339" s="56">
        <f>IFERROR(IF(($IZ339)&gt;0,($IW339*cfg_TroyOz)/($IZ339),""),"")</f>
        <v/>
      </c>
      <c r="JD339" s="56">
        <f>IFERROR(IF(($JA339)&gt;0,($IX339*cfg_TroyOz)/($JA339),""),"")</f>
        <v/>
      </c>
      <c r="JE339" s="55">
        <f>SUMIFS(tblBudget[Waste_t],tblBudget[Month],$E339)</f>
        <v/>
      </c>
      <c r="JF339" s="55">
        <f>$JE339*$C339/$D339</f>
        <v/>
      </c>
      <c r="JG339" s="55">
        <f>SUMIFS(tblBudget[Waste_t],tblBudget[Month],"&lt;"&amp;$E339)+$JF339</f>
        <v/>
      </c>
      <c r="JH339" s="55">
        <f>SUMIFS(tblBudget[TMM_t],tblBudget[Month],$E339)</f>
        <v/>
      </c>
      <c r="JI339" s="55">
        <f>$JH339*$C339/$D339</f>
        <v/>
      </c>
      <c r="JJ339" s="55">
        <f>SUMIFS(tblBudget[TMM_t],tblBudget[Month],"&lt;"&amp;$E339)+$JI339</f>
        <v/>
      </c>
      <c r="JK339" s="56">
        <f>IFERROR(IF(($IS339)&gt;0,($JE339)/($IS339),""),"")</f>
        <v/>
      </c>
      <c r="JL339" s="56">
        <f>IFERROR(IF(($IT339)&gt;0,($JF339)/($IT339),""),"")</f>
        <v/>
      </c>
      <c r="JM339" s="56">
        <f>IFERROR(IF(($IU339)&gt;0,($JG339)/($IU339),""),"")</f>
        <v/>
      </c>
      <c r="JN339" s="55">
        <f>SUMIFS(tblBudget[Drill_m],tblBudget[Month],$E339)</f>
        <v/>
      </c>
      <c r="JO339" s="55">
        <f>$JN339*$C339/$D339</f>
        <v/>
      </c>
      <c r="JP339" s="55">
        <f>SUMIFS(tblBudget[Drill_m],tblBudget[Month],"&lt;"&amp;$E339)+$JO339</f>
        <v/>
      </c>
      <c r="JQ339" s="55">
        <f>SUMIFS(tblBudget[Diesel_L],tblBudget[Month],$E339)</f>
        <v/>
      </c>
      <c r="JR339" s="55">
        <f>$JQ339*$C339/$D339</f>
        <v/>
      </c>
      <c r="JS339" s="55">
        <f>SUMIFS(tblBudget[Diesel_L],tblBudget[Month],"&lt;"&amp;$E339)+$JR339</f>
        <v/>
      </c>
      <c r="JT339" s="55">
        <f>SUMIFS(tblBudget[Milled_t],tblBudget[Month],$E339)</f>
        <v/>
      </c>
      <c r="JU339" s="55">
        <f>$JT339*$C339/$D339</f>
        <v/>
      </c>
      <c r="JV339" s="55">
        <f>SUMIFS(tblBudget[Milled_t],tblBudget[Month],"&lt;"&amp;$E339)+$JU339</f>
        <v/>
      </c>
      <c r="JW339" s="55">
        <f>SUMIFS(tblBudget[Feed_oz],tblBudget[Month],$E339)</f>
        <v/>
      </c>
      <c r="JX339" s="55">
        <f>$JW339*$C339/$D339</f>
        <v/>
      </c>
      <c r="JY339" s="55">
        <f>SUMIFS(tblBudget[Feed_oz],tblBudget[Month],"&lt;"&amp;$E339)+$JX339</f>
        <v/>
      </c>
      <c r="JZ339" s="55">
        <f>SUMIFS(tblBudget[Recovered_oz],tblBudget[Month],$E339)</f>
        <v/>
      </c>
      <c r="KA339" s="55">
        <f>$JZ339*$C339/$D339</f>
        <v/>
      </c>
      <c r="KB339" s="55">
        <f>SUMIFS(tblBudget[Recovered_oz],tblBudget[Month],"&lt;"&amp;$E339)+$KA339</f>
        <v/>
      </c>
      <c r="KC339" s="55">
        <f>SUMIFS(tblBudget[Milled_t],tblBudget[Month],$E339)</f>
        <v/>
      </c>
      <c r="KD339" s="55">
        <f>$KC339*$C339/$D339</f>
        <v/>
      </c>
      <c r="KE339" s="55">
        <f>SUMIFS(tblBudget[Milled_t],tblBudget[Month],"&lt;"&amp;$E339)+$KD339</f>
        <v/>
      </c>
      <c r="KF339" s="55">
        <f>SUMIFS(tblBudget[Feed_oz],tblBudget[Month],$E339)</f>
        <v/>
      </c>
      <c r="KG339" s="55">
        <f>$KF339*$C339/$D339</f>
        <v/>
      </c>
      <c r="KH339" s="55">
        <f>SUMIFS(tblBudget[Feed_oz],tblBudget[Month],"&lt;"&amp;$E339)+$KG339</f>
        <v/>
      </c>
      <c r="KI339" s="56">
        <f>IFERROR(IF(($KC339)&gt;0,($JW339*cfg_TroyOz)/($KC339),""),"")</f>
        <v/>
      </c>
      <c r="KJ339" s="56">
        <f>IFERROR(IF(($KD339)&gt;0,($JX339*cfg_TroyOz)/($KD339),""),"")</f>
        <v/>
      </c>
      <c r="KK339" s="56">
        <f>IFERROR(IF(($KE339)&gt;0,($JY339*cfg_TroyOz)/($KE339),""),"")</f>
        <v/>
      </c>
      <c r="KL339" s="67">
        <f>IFERROR(IF(($KF339)&gt;0,($JZ339)/($KF339),""),"")</f>
        <v/>
      </c>
      <c r="KM339" s="67">
        <f>IFERROR(IF(($KG339)&gt;0,($KA339)/($KG339),""),"")</f>
        <v/>
      </c>
      <c r="KN339" s="67">
        <f>IFERROR(IF(($KH339)&gt;0,($KB339)/($KH339),""),"")</f>
        <v/>
      </c>
      <c r="KO339" s="55">
        <f>SUMIFS(tblBudget[Gold_Poured_oz],tblBudget[Month],$E339)</f>
        <v/>
      </c>
      <c r="KP339" s="55">
        <f>$KO339*$C339/$D339</f>
        <v/>
      </c>
      <c r="KQ339" s="55">
        <f>SUMIFS(tblBudget[Gold_Poured_oz],tblBudget[Month],"&lt;"&amp;$E339)+$KP339</f>
        <v/>
      </c>
      <c r="KR339" s="57">
        <f>SUMIFS(tblBudget[Hours_Worked],tblBudget[Month],$E339)</f>
        <v/>
      </c>
      <c r="KS339" s="57">
        <f>$KR339*$C339/$D339</f>
        <v/>
      </c>
      <c r="KT339" s="57">
        <f>SUMIFS(tblBudget[Hours_Worked],tblBudget[Month],"&lt;"&amp;$E339)+$KS339</f>
        <v/>
      </c>
    </row>
    <row r="340">
      <c r="A340" s="54" t="n">
        <v>46361</v>
      </c>
      <c r="B340">
        <f>MONTH($A340)</f>
        <v/>
      </c>
      <c r="C340">
        <f>DAY($A340)</f>
        <v/>
      </c>
      <c r="D340">
        <f>DAY(EOMONTH($A340,0))</f>
        <v/>
      </c>
      <c r="E340" s="54">
        <f>DATE(YEAR($A340),MONTH($A340),1)</f>
        <v/>
      </c>
      <c r="F340" s="55">
        <f>SUMIFS(tblMovement[Tonnes_t],tblMovement[Date],$A340,tblMovement[Is_Ore],1,tblMovement[Source_Type],"Pit")</f>
        <v/>
      </c>
      <c r="G340" s="55">
        <f>IF($B340=$B339,$G339,0)+$F340</f>
        <v/>
      </c>
      <c r="H340" s="55">
        <f>$H339+$F340</f>
        <v/>
      </c>
      <c r="I340" s="55">
        <f>SUMIFS(tblMovement[Ore_oz],tblMovement[Date],$A340,tblMovement[Source_Type],"Pit")</f>
        <v/>
      </c>
      <c r="J340" s="55">
        <f>IF($B340=$B339,$J339,0)+$I340</f>
        <v/>
      </c>
      <c r="K340" s="55">
        <f>$K339+$I340</f>
        <v/>
      </c>
      <c r="L340" s="55">
        <f>SUMIFS(tblMovement[Tonnes_t],tblMovement[Date],$A340,tblMovement[Is_Ore],1,tblMovement[Source_Type],"Pit",tblMovement[Grade_gpt],"&lt;&gt;")</f>
        <v/>
      </c>
      <c r="M340" s="55">
        <f>IF($B340=$B339,$M339,0)+$L340</f>
        <v/>
      </c>
      <c r="N340" s="55">
        <f>$N339+$L340</f>
        <v/>
      </c>
      <c r="O340" s="56">
        <f>IFERROR(IF(($L340)&gt;0,($I340*cfg_TroyOz)/($L340),""),"")</f>
        <v/>
      </c>
      <c r="P340" s="56">
        <f>IFERROR(IF(($M340)&gt;0,($J340*cfg_TroyOz)/($M340),""),"")</f>
        <v/>
      </c>
      <c r="Q340" s="56">
        <f>IFERROR(IF(($N340)&gt;0,($K340*cfg_TroyOz)/($N340),""),"")</f>
        <v/>
      </c>
      <c r="R340" s="55">
        <f>$F340-$L340</f>
        <v/>
      </c>
      <c r="S340" s="55">
        <f>IF($B340=$B339,$S339,0)+$R340</f>
        <v/>
      </c>
      <c r="T340" s="55">
        <f>$T339+$R340</f>
        <v/>
      </c>
      <c r="U340" s="55">
        <f>SUMIFS(tblMovement[Tonnes_t],tblMovement[Date],$A340,tblMovement[Is_Ore],0,tblMovement[Source_Type],"Pit")</f>
        <v/>
      </c>
      <c r="V340" s="55">
        <f>IF($B340=$B339,$V339,0)+$U340</f>
        <v/>
      </c>
      <c r="W340" s="55">
        <f>$W339+$U340</f>
        <v/>
      </c>
      <c r="X340" s="55">
        <f>$F340+$U340</f>
        <v/>
      </c>
      <c r="Y340" s="55">
        <f>IF($B340=$B339,$Y339,0)+$X340</f>
        <v/>
      </c>
      <c r="Z340" s="55">
        <f>$Z339+$X340</f>
        <v/>
      </c>
      <c r="AA340" s="56">
        <f>IFERROR(IF(($F340)&gt;0,($U340)/($F340),""),"")</f>
        <v/>
      </c>
      <c r="AB340" s="56">
        <f>IFERROR(IF(($G340)&gt;0,($V340)/($G340),""),"")</f>
        <v/>
      </c>
      <c r="AC340" s="56">
        <f>IFERROR(IF(($H340)&gt;0,($W340)/($H340),""),"")</f>
        <v/>
      </c>
      <c r="AD340" s="55">
        <f>SUMIFS(tblMovement[Tonnes_t],tblMovement[Date],$A340,tblMovement[Source_Type],"Stockpile")</f>
        <v/>
      </c>
      <c r="AE340" s="55">
        <f>IF($B340=$B339,$AE339,0)+$AD340</f>
        <v/>
      </c>
      <c r="AF340" s="55">
        <f>$AF339+$AD340</f>
        <v/>
      </c>
      <c r="AG340" s="55">
        <f>SUMIFS(tblMovement[Tonnes_t],tblMovement[Date],$A340)</f>
        <v/>
      </c>
      <c r="AH340" s="55">
        <f>IF($B340=$B339,$AH339,0)+$AG340</f>
        <v/>
      </c>
      <c r="AI340" s="55">
        <f>$AI339+$AG340</f>
        <v/>
      </c>
      <c r="AJ340" s="55">
        <f>$AG340-$X340-$AD340</f>
        <v/>
      </c>
      <c r="AK340" s="55">
        <f>IF($B340=$B339,$AK339,0)+$AJ340</f>
        <v/>
      </c>
      <c r="AL340" s="55">
        <f>$AL339+$AJ340</f>
        <v/>
      </c>
      <c r="AM340" s="55">
        <f>SUMIFS(tblMiningDaily[Drill_m],tblMiningDaily[Date],$A340)</f>
        <v/>
      </c>
      <c r="AN340" s="55">
        <f>IF($B340=$B339,$AN339,0)+$AM340</f>
        <v/>
      </c>
      <c r="AO340" s="55">
        <f>$AO339+$AM340</f>
        <v/>
      </c>
      <c r="AP340" s="55">
        <f>SUMIFS(tblMiningDaily[GC_Drill_m],tblMiningDaily[Date],$A340)</f>
        <v/>
      </c>
      <c r="AQ340" s="55">
        <f>IF($B340=$B339,$AQ339,0)+$AP340</f>
        <v/>
      </c>
      <c r="AR340" s="55">
        <f>$AR339+$AP340</f>
        <v/>
      </c>
      <c r="AS340" s="55">
        <f>SUMIFS(tblMiningDaily[Blast_t],tblMiningDaily[Date],$A340)</f>
        <v/>
      </c>
      <c r="AT340" s="55">
        <f>IF($B340=$B339,$AT339,0)+$AS340</f>
        <v/>
      </c>
      <c r="AU340" s="55">
        <f>$AU339+$AS340</f>
        <v/>
      </c>
      <c r="AV340" s="55">
        <f>SUMIFS(tblMiningDaily[Explosives_kg],tblMiningDaily[Date],$A340)</f>
        <v/>
      </c>
      <c r="AW340" s="55">
        <f>IF($B340=$B339,$AW339,0)+$AV340</f>
        <v/>
      </c>
      <c r="AX340" s="55">
        <f>$AX339+$AV340</f>
        <v/>
      </c>
      <c r="AY340" s="56">
        <f>IFERROR(IF(($AS340)&gt;0,($AV340)/($AS340),""),"")</f>
        <v/>
      </c>
      <c r="AZ340" s="56">
        <f>IFERROR(IF(($AT340)&gt;0,($AW340)/($AT340),""),"")</f>
        <v/>
      </c>
      <c r="BA340" s="56">
        <f>IFERROR(IF(($AU340)&gt;0,($AX340)/($AU340),""),"")</f>
        <v/>
      </c>
      <c r="BB340" s="55">
        <f>SUMIFS(tblMiningDaily[Diesel_L],tblMiningDaily[Date],$A340)</f>
        <v/>
      </c>
      <c r="BC340" s="55">
        <f>IF($B340=$B339,$BC339,0)+$BB340</f>
        <v/>
      </c>
      <c r="BD340" s="55">
        <f>$BD339+$BB340</f>
        <v/>
      </c>
      <c r="BE340" s="55">
        <f>SUMIFS(tblMiningDaily[Dewatering_m3],tblMiningDaily[Date],$A340)</f>
        <v/>
      </c>
      <c r="BF340" s="55">
        <f>IF($B340=$B339,$BF339,0)+$BE340</f>
        <v/>
      </c>
      <c r="BG340" s="55">
        <f>$BG339+$BE340</f>
        <v/>
      </c>
      <c r="BH340" s="57">
        <f>SUMIFS(tblFleet[Calendar_h],tblFleet[Date],$A340,tblFleet[Equipment_Class],"Excavator")</f>
        <v/>
      </c>
      <c r="BI340" s="57">
        <f>IF($B340=$B339,$BI339,0)+$BH340</f>
        <v/>
      </c>
      <c r="BJ340" s="57">
        <f>$BJ339+$BH340</f>
        <v/>
      </c>
      <c r="BK340" s="57">
        <f>SUMIFS(tblFleet[Available_h],tblFleet[Date],$A340,tblFleet[Equipment_Class],"Excavator")</f>
        <v/>
      </c>
      <c r="BL340" s="57">
        <f>IF($B340=$B339,$BL339,0)+$BK340</f>
        <v/>
      </c>
      <c r="BM340" s="57">
        <f>$BM339+$BK340</f>
        <v/>
      </c>
      <c r="BN340" s="57">
        <f>SUMIFS(tblFleet[Operating_h],tblFleet[Date],$A340,tblFleet[Equipment_Class],"Excavator")</f>
        <v/>
      </c>
      <c r="BO340" s="57">
        <f>IF($B340=$B339,$BO339,0)+$BN340</f>
        <v/>
      </c>
      <c r="BP340" s="57">
        <f>$BP339+$BN340</f>
        <v/>
      </c>
      <c r="BQ340" s="67">
        <f>IFERROR(IF(($BH340)&gt;0,($BK340)/($BH340),""),"")</f>
        <v/>
      </c>
      <c r="BR340" s="67">
        <f>IFERROR(IF(($BI340)&gt;0,($BL340)/($BI340),""),"")</f>
        <v/>
      </c>
      <c r="BS340" s="67">
        <f>IFERROR(IF(($BJ340)&gt;0,($BM340)/($BJ340),""),"")</f>
        <v/>
      </c>
      <c r="BT340" s="67">
        <f>IFERROR(IF(($BK340)&gt;0,($BN340)/($BK340),""),"")</f>
        <v/>
      </c>
      <c r="BU340" s="67">
        <f>IFERROR(IF(($BL340)&gt;0,($BO340)/($BL340),""),"")</f>
        <v/>
      </c>
      <c r="BV340" s="67">
        <f>IFERROR(IF(($BM340)&gt;0,($BP340)/($BM340),""),"")</f>
        <v/>
      </c>
      <c r="BW340" s="57">
        <f>SUMIFS(tblFleet[Calendar_h],tblFleet[Date],$A340,tblFleet[Equipment_Class],"Haul Truck")</f>
        <v/>
      </c>
      <c r="BX340" s="57">
        <f>IF($B340=$B339,$BX339,0)+$BW340</f>
        <v/>
      </c>
      <c r="BY340" s="57">
        <f>$BY339+$BW340</f>
        <v/>
      </c>
      <c r="BZ340" s="57">
        <f>SUMIFS(tblFleet[Available_h],tblFleet[Date],$A340,tblFleet[Equipment_Class],"Haul Truck")</f>
        <v/>
      </c>
      <c r="CA340" s="57">
        <f>IF($B340=$B339,$CA339,0)+$BZ340</f>
        <v/>
      </c>
      <c r="CB340" s="57">
        <f>$CB339+$BZ340</f>
        <v/>
      </c>
      <c r="CC340" s="57">
        <f>SUMIFS(tblFleet[Operating_h],tblFleet[Date],$A340,tblFleet[Equipment_Class],"Haul Truck")</f>
        <v/>
      </c>
      <c r="CD340" s="57">
        <f>IF($B340=$B339,$CD339,0)+$CC340</f>
        <v/>
      </c>
      <c r="CE340" s="57">
        <f>$CE339+$CC340</f>
        <v/>
      </c>
      <c r="CF340" s="67">
        <f>IFERROR(IF(($BW340)&gt;0,($BZ340)/($BW340),""),"")</f>
        <v/>
      </c>
      <c r="CG340" s="67">
        <f>IFERROR(IF(($BX340)&gt;0,($CA340)/($BX340),""),"")</f>
        <v/>
      </c>
      <c r="CH340" s="67">
        <f>IFERROR(IF(($BY340)&gt;0,($CB340)/($BY340),""),"")</f>
        <v/>
      </c>
      <c r="CI340" s="67">
        <f>IFERROR(IF(($BZ340)&gt;0,($CC340)/($BZ340),""),"")</f>
        <v/>
      </c>
      <c r="CJ340" s="67">
        <f>IFERROR(IF(($CA340)&gt;0,($CD340)/($CA340),""),"")</f>
        <v/>
      </c>
      <c r="CK340" s="67">
        <f>IFERROR(IF(($CB340)&gt;0,($CE340)/($CB340),""),"")</f>
        <v/>
      </c>
      <c r="CL340" s="55">
        <f>IFERROR(IF(($BN340)&gt;0,($X340+$AD340)/($BN340),""),"")</f>
        <v/>
      </c>
      <c r="CM340" s="55">
        <f>IFERROR(IF(($BO340)&gt;0,($Y340+$AE340)/($BO340),""),"")</f>
        <v/>
      </c>
      <c r="CN340" s="55">
        <f>IFERROR(IF(($BP340)&gt;0,($Z340+$AF340)/($BP340),""),"")</f>
        <v/>
      </c>
      <c r="CO340" s="55">
        <f>IFERROR(IF(($CC340)&gt;0,($X340+$AD340)/($CC340),""),"")</f>
        <v/>
      </c>
      <c r="CP340" s="55">
        <f>IFERROR(IF(($CD340)&gt;0,($Y340+$AE340)/($CD340),""),"")</f>
        <v/>
      </c>
      <c r="CQ340" s="55">
        <f>IFERROR(IF(($CE340)&gt;0,($Z340+$AF340)/($CE340),""),"")</f>
        <v/>
      </c>
      <c r="CR340" s="55">
        <f>SUMIFS(tblPlant[Crushed_t],tblPlant[Date],$A340)</f>
        <v/>
      </c>
      <c r="CS340" s="55">
        <f>IF($B340=$B339,$CS339,0)+$CR340</f>
        <v/>
      </c>
      <c r="CT340" s="55">
        <f>$CT339+$CR340</f>
        <v/>
      </c>
      <c r="CU340" s="55">
        <f>SUMIFS(tblPlant[Milled_t],tblPlant[Date],$A340)</f>
        <v/>
      </c>
      <c r="CV340" s="55">
        <f>IF($B340=$B339,$CV339,0)+$CU340</f>
        <v/>
      </c>
      <c r="CW340" s="55">
        <f>$CW339+$CU340</f>
        <v/>
      </c>
      <c r="CX340" s="55">
        <f>SUMIFS(tblPlant[Feed_oz],tblPlant[Date],$A340)</f>
        <v/>
      </c>
      <c r="CY340" s="55">
        <f>IF($B340=$B339,$CY339,0)+$CX340</f>
        <v/>
      </c>
      <c r="CZ340" s="55">
        <f>$CZ339+$CX340</f>
        <v/>
      </c>
      <c r="DA340" s="55">
        <f>SUMIFS(tblPlant[Tails_oz],tblPlant[Date],$A340)</f>
        <v/>
      </c>
      <c r="DB340" s="55">
        <f>IF($B340=$B339,$DB339,0)+$DA340</f>
        <v/>
      </c>
      <c r="DC340" s="55">
        <f>$DC339+$DA340</f>
        <v/>
      </c>
      <c r="DD340" s="55">
        <f>SUMIFS(tblPlant[Recovered_oz],tblPlant[Date],$A340)</f>
        <v/>
      </c>
      <c r="DE340" s="55">
        <f>IF($B340=$B339,$DE339,0)+$DD340</f>
        <v/>
      </c>
      <c r="DF340" s="55">
        <f>$DF339+$DD340</f>
        <v/>
      </c>
      <c r="DG340" s="55">
        <f>SUMIFS(tblPlant[Milled_t],tblPlant[Date],$A340,tblPlant[Head_Grade_gpt],"&lt;&gt;")</f>
        <v/>
      </c>
      <c r="DH340" s="55">
        <f>IF($B340=$B339,$DH339,0)+$DG340</f>
        <v/>
      </c>
      <c r="DI340" s="55">
        <f>$DI339+$DG340</f>
        <v/>
      </c>
      <c r="DJ340" s="55">
        <f>SUMIFS(tblPlant[Milled_t],tblPlant[Date],$A340,tblPlant[Tails_Grade_gpt],"&lt;&gt;")</f>
        <v/>
      </c>
      <c r="DK340" s="55">
        <f>IF($B340=$B339,$DK339,0)+$DJ340</f>
        <v/>
      </c>
      <c r="DL340" s="55">
        <f>$DL339+$DJ340</f>
        <v/>
      </c>
      <c r="DM340" s="55">
        <f>SUMIFS(tblPlant[Feed_oz],tblPlant[Date],$A340,tblPlant[Tails_Grade_gpt],"&lt;&gt;")</f>
        <v/>
      </c>
      <c r="DN340" s="55">
        <f>IF($B340=$B339,$DN339,0)+$DM340</f>
        <v/>
      </c>
      <c r="DO340" s="55">
        <f>$DO339+$DM340</f>
        <v/>
      </c>
      <c r="DP340" s="55">
        <f>SUMIFS(tblPlant[Milled_t],tblPlant[Date],$A340,tblPlant[Mill_Run_h],"&lt;&gt;")</f>
        <v/>
      </c>
      <c r="DQ340" s="55">
        <f>IF($B340=$B339,$DQ339,0)+$DP340</f>
        <v/>
      </c>
      <c r="DR340" s="55">
        <f>$DR339+$DP340</f>
        <v/>
      </c>
      <c r="DS340" s="56">
        <f>IFERROR(IF(($DG340)&gt;0,($CX340*cfg_TroyOz)/($DG340),""),"")</f>
        <v/>
      </c>
      <c r="DT340" s="56">
        <f>IFERROR(IF(($DH340)&gt;0,($CY340*cfg_TroyOz)/($DH340),""),"")</f>
        <v/>
      </c>
      <c r="DU340" s="56">
        <f>IFERROR(IF(($DI340)&gt;0,($CZ340*cfg_TroyOz)/($DI340),""),"")</f>
        <v/>
      </c>
      <c r="DV340" s="56">
        <f>IFERROR(IF(($DJ340)&gt;0,($DA340*cfg_TroyOz)/($DJ340),""),"")</f>
        <v/>
      </c>
      <c r="DW340" s="56">
        <f>IFERROR(IF(($DK340)&gt;0,($DB340*cfg_TroyOz)/($DK340),""),"")</f>
        <v/>
      </c>
      <c r="DX340" s="56">
        <f>IFERROR(IF(($DL340)&gt;0,($DC340*cfg_TroyOz)/($DL340),""),"")</f>
        <v/>
      </c>
      <c r="DY340" s="67">
        <f>IFERROR(IF(($DM340)&gt;0,($DD340)/($DM340),""),"")</f>
        <v/>
      </c>
      <c r="DZ340" s="67">
        <f>IFERROR(IF(($DN340)&gt;0,($DE340)/($DN340),""),"")</f>
        <v/>
      </c>
      <c r="EA340" s="67">
        <f>IFERROR(IF(($DO340)&gt;0,($DF340)/($DO340),""),"")</f>
        <v/>
      </c>
      <c r="EB340" s="55">
        <f>SUMIFS(tblPlant[Gravity_Gold_oz],tblPlant[Date],$A340)</f>
        <v/>
      </c>
      <c r="EC340" s="55">
        <f>IF($B340=$B339,$EC339,0)+$EB340</f>
        <v/>
      </c>
      <c r="ED340" s="55">
        <f>$ED339+$EB340</f>
        <v/>
      </c>
      <c r="EE340" s="67">
        <f>IFERROR(IF(($DD340)&gt;0,($EB340)/($DD340),""),"")</f>
        <v/>
      </c>
      <c r="EF340" s="67">
        <f>IFERROR(IF(($DE340)&gt;0,($EC340)/($DE340),""),"")</f>
        <v/>
      </c>
      <c r="EG340" s="67">
        <f>IFERROR(IF(($DF340)&gt;0,($ED340)/($DF340),""),"")</f>
        <v/>
      </c>
      <c r="EH340" s="55">
        <f>SUMIFS(tblPlant[Gold_Poured_oz],tblPlant[Date],$A340)</f>
        <v/>
      </c>
      <c r="EI340" s="55">
        <f>IF($B340=$B339,$EI339,0)+$EH340</f>
        <v/>
      </c>
      <c r="EJ340" s="55">
        <f>$EJ339+$EH340</f>
        <v/>
      </c>
      <c r="EK340" s="57">
        <f>SUMIFS(tblPlant[Mill_Run_h],tblPlant[Date],$A340)</f>
        <v/>
      </c>
      <c r="EL340" s="57">
        <f>IF($B340=$B339,$EL339,0)+$EK340</f>
        <v/>
      </c>
      <c r="EM340" s="57">
        <f>$EM339+$EK340</f>
        <v/>
      </c>
      <c r="EN340" s="57">
        <f>SUMIFS(tblPlant[Mill_Planned_Maint_h],tblPlant[Date],$A340)</f>
        <v/>
      </c>
      <c r="EO340" s="57">
        <f>IF($B340=$B339,$EO339,0)+$EN340</f>
        <v/>
      </c>
      <c r="EP340" s="57">
        <f>$EP339+$EN340</f>
        <v/>
      </c>
      <c r="EQ340" s="57">
        <f>SUMIFS(tblPlant[Mill_Unplanned_Down_h],tblPlant[Date],$A340)</f>
        <v/>
      </c>
      <c r="ER340" s="57">
        <f>IF($B340=$B339,$ER339,0)+$EQ340</f>
        <v/>
      </c>
      <c r="ES340" s="57">
        <f>$ES339+$EQ340</f>
        <v/>
      </c>
      <c r="ET340" s="57">
        <f>IF(COUNTIFS(tblPlant[Date],$A340,tblPlant[Mill_Run_h],"&lt;&gt;")+COUNTIFS(tblPlant[Date],$A340,tblPlant[Mill_Planned_Maint_h],"&lt;&gt;")+COUNTIFS(tblPlant[Date],$A340,tblPlant[Mill_Unplanned_Down_h],"&lt;&gt;")&gt;0,cfg_HoursPerDay,0)</f>
        <v/>
      </c>
      <c r="EU340" s="57">
        <f>IF($B340=$B339,$EU339,0)+$ET340</f>
        <v/>
      </c>
      <c r="EV340" s="57">
        <f>$EV339+$ET340</f>
        <v/>
      </c>
      <c r="EW340" s="57">
        <f>SUMIFS(tblPlant[Crusher_Run_h],tblPlant[Date],$A340)</f>
        <v/>
      </c>
      <c r="EX340" s="57">
        <f>IF($B340=$B339,$EX339,0)+$EW340</f>
        <v/>
      </c>
      <c r="EY340" s="57">
        <f>$EY339+$EW340</f>
        <v/>
      </c>
      <c r="EZ340" s="55">
        <f>IFERROR(IF(($EK340)&gt;0,($DP340)/($EK340),""),"")</f>
        <v/>
      </c>
      <c r="FA340" s="55">
        <f>IFERROR(IF(($EL340)&gt;0,($DQ340)/($EL340),""),"")</f>
        <v/>
      </c>
      <c r="FB340" s="55">
        <f>IFERROR(IF(($EM340)&gt;0,($DR340)/($EM340),""),"")</f>
        <v/>
      </c>
      <c r="FC340" s="67">
        <f>IFERROR(IF(($ET340)&gt;0,($ET340-$EN340-$EQ340)/($ET340),""),"")</f>
        <v/>
      </c>
      <c r="FD340" s="67">
        <f>IFERROR(IF(($EU340)&gt;0,($EU340-$EO340-$ER340)/($EU340),""),"")</f>
        <v/>
      </c>
      <c r="FE340" s="67">
        <f>IFERROR(IF(($EV340)&gt;0,($EV340-$EP340-$ES340)/($EV340),""),"")</f>
        <v/>
      </c>
      <c r="FF340" s="67">
        <f>IFERROR(IF(($ET340-$EN340-$EQ340)&gt;0,($EK340)/($ET340-$EN340-$EQ340),""),"")</f>
        <v/>
      </c>
      <c r="FG340" s="67">
        <f>IFERROR(IF(($EU340-$EO340-$ER340)&gt;0,($EL340)/($EU340-$EO340-$ER340),""),"")</f>
        <v/>
      </c>
      <c r="FH340" s="67">
        <f>IFERROR(IF(($EV340-$EP340-$ES340)&gt;0,($EM340)/($EV340-$EP340-$ES340),""),"")</f>
        <v/>
      </c>
      <c r="FI340" s="55">
        <f>SUMIFS(tblPlant[Cyanide_kg],tblPlant[Date],$A340)</f>
        <v/>
      </c>
      <c r="FJ340" s="55">
        <f>IF($B340=$B339,$FJ339,0)+$FI340</f>
        <v/>
      </c>
      <c r="FK340" s="55">
        <f>$FK339+$FI340</f>
        <v/>
      </c>
      <c r="FL340" s="55">
        <f>SUMIFS(tblPlant[Lime_kg],tblPlant[Date],$A340)</f>
        <v/>
      </c>
      <c r="FM340" s="55">
        <f>IF($B340=$B339,$FM339,0)+$FL340</f>
        <v/>
      </c>
      <c r="FN340" s="55">
        <f>$FN339+$FL340</f>
        <v/>
      </c>
      <c r="FO340" s="55">
        <f>SUMIFS(tblPlant[Grinding_Media_kg],tblPlant[Date],$A340)</f>
        <v/>
      </c>
      <c r="FP340" s="55">
        <f>IF($B340=$B339,$FP339,0)+$FO340</f>
        <v/>
      </c>
      <c r="FQ340" s="55">
        <f>$FQ339+$FO340</f>
        <v/>
      </c>
      <c r="FR340" s="55">
        <f>SUMIFS(tblPlant[Power_kWh],tblPlant[Date],$A340)</f>
        <v/>
      </c>
      <c r="FS340" s="55">
        <f>IF($B340=$B339,$FS339,0)+$FR340</f>
        <v/>
      </c>
      <c r="FT340" s="55">
        <f>$FT339+$FR340</f>
        <v/>
      </c>
      <c r="FU340" s="55">
        <f>SUMIFS(tblPlant[Raw_Water_m3],tblPlant[Date],$A340)</f>
        <v/>
      </c>
      <c r="FV340" s="55">
        <f>IF($B340=$B339,$FV339,0)+$FU340</f>
        <v/>
      </c>
      <c r="FW340" s="55">
        <f>$FW339+$FU340</f>
        <v/>
      </c>
      <c r="FX340" s="56">
        <f>IFERROR(IF(($CU340)&gt;0,($FI340)/($CU340),""),"")</f>
        <v/>
      </c>
      <c r="FY340" s="56">
        <f>IFERROR(IF(($CV340)&gt;0,($FJ340)/($CV340),""),"")</f>
        <v/>
      </c>
      <c r="FZ340" s="56">
        <f>IFERROR(IF(($CW340)&gt;0,($FK340)/($CW340),""),"")</f>
        <v/>
      </c>
      <c r="GA340" s="56">
        <f>IFERROR(IF(($CU340)&gt;0,($FL340)/($CU340),""),"")</f>
        <v/>
      </c>
      <c r="GB340" s="56">
        <f>IFERROR(IF(($CV340)&gt;0,($FM340)/($CV340),""),"")</f>
        <v/>
      </c>
      <c r="GC340" s="56">
        <f>IFERROR(IF(($CW340)&gt;0,($FN340)/($CW340),""),"")</f>
        <v/>
      </c>
      <c r="GD340" s="56">
        <f>IFERROR(IF(($CU340)&gt;0,($FO340)/($CU340),""),"")</f>
        <v/>
      </c>
      <c r="GE340" s="56">
        <f>IFERROR(IF(($CV340)&gt;0,($FP340)/($CV340),""),"")</f>
        <v/>
      </c>
      <c r="GF340" s="56">
        <f>IFERROR(IF(($CW340)&gt;0,($FQ340)/($CW340),""),"")</f>
        <v/>
      </c>
      <c r="GG340" s="79">
        <f>IFERROR(IF(($CU340)&gt;0,($FR340)/($CU340),""),"")</f>
        <v/>
      </c>
      <c r="GH340" s="79">
        <f>IFERROR(IF(($CV340)&gt;0,($FS340)/($CV340),""),"")</f>
        <v/>
      </c>
      <c r="GI340" s="79">
        <f>IFERROR(IF(($CW340)&gt;0,($FT340)/($CW340),""),"")</f>
        <v/>
      </c>
      <c r="GJ340" s="56">
        <f>IFERROR(IF(($CU340)&gt;0,($FU340)/($CU340),""),"")</f>
        <v/>
      </c>
      <c r="GK340" s="56">
        <f>IFERROR(IF(($CV340)&gt;0,($FV340)/($CV340),""),"")</f>
        <v/>
      </c>
      <c r="GL340" s="56">
        <f>IFERROR(IF(($CW340)&gt;0,($FW340)/($CW340),""),"")</f>
        <v/>
      </c>
      <c r="GM340" s="55">
        <f>IF(SUMIFS(tblPlant[GIC_oz],tblPlant[Date],$A340)&gt;0,SUMIFS(tblPlant[GIC_oz],tblPlant[Date],$A340),"")</f>
        <v/>
      </c>
      <c r="GN340" s="55">
        <f>SUMIFS(tblGold[Gold_oz],tblGold[Date],$A340,tblGold[Type],"Shipment")</f>
        <v/>
      </c>
      <c r="GO340" s="55">
        <f>IF($B340=$B339,$GO339,0)+$GN340</f>
        <v/>
      </c>
      <c r="GP340" s="55">
        <f>$GP339+$GN340</f>
        <v/>
      </c>
      <c r="GQ340" s="55">
        <f>SUMIFS(tblGold[Gold_oz],tblGold[Date],$A340,tblGold[Type],"Sale")</f>
        <v/>
      </c>
      <c r="GR340" s="55">
        <f>IF($B340=$B339,$GR339,0)+$GQ340</f>
        <v/>
      </c>
      <c r="GS340" s="55">
        <f>$GS339+$GQ340</f>
        <v/>
      </c>
      <c r="GT340" s="55">
        <f>SUMIFS(tblGold[Dore_kg],tblGold[Date],$A340,tblGold[Type],"Shipment")</f>
        <v/>
      </c>
      <c r="GU340" s="55">
        <f>IF($B340=$B339,$GU339,0)+$GT340</f>
        <v/>
      </c>
      <c r="GV340" s="55">
        <f>$GV339+$GT340</f>
        <v/>
      </c>
      <c r="GW340" s="57">
        <f>SUMIFS(tblSafety[Hours_Total],tblSafety[Date],$A340)</f>
        <v/>
      </c>
      <c r="GX340" s="57">
        <f>IF($B340=$B339,$GX339,0)+$GW340</f>
        <v/>
      </c>
      <c r="GY340" s="57">
        <f>$GY339+$GW340</f>
        <v/>
      </c>
      <c r="GZ340" s="62">
        <f>SUMIFS(tblSafety[Fatality],tblSafety[Date],$A340)</f>
        <v/>
      </c>
      <c r="HA340" s="62">
        <f>IF($B340=$B339,$HA339,0)+$GZ340</f>
        <v/>
      </c>
      <c r="HB340" s="62">
        <f>$HB339+$GZ340</f>
        <v/>
      </c>
      <c r="HC340" s="62">
        <f>SUMIFS(tblSafety[LTI],tblSafety[Date],$A340)</f>
        <v/>
      </c>
      <c r="HD340" s="62">
        <f>IF($B340=$B339,$HD339,0)+$HC340</f>
        <v/>
      </c>
      <c r="HE340" s="62">
        <f>$HE339+$HC340</f>
        <v/>
      </c>
      <c r="HF340" s="62">
        <f>SUMIFS(tblSafety[RWI],tblSafety[Date],$A340)</f>
        <v/>
      </c>
      <c r="HG340" s="62">
        <f>IF($B340=$B339,$HG339,0)+$HF340</f>
        <v/>
      </c>
      <c r="HH340" s="62">
        <f>$HH339+$HF340</f>
        <v/>
      </c>
      <c r="HI340" s="62">
        <f>SUMIFS(tblSafety[MTI],tblSafety[Date],$A340)</f>
        <v/>
      </c>
      <c r="HJ340" s="62">
        <f>IF($B340=$B339,$HJ339,0)+$HI340</f>
        <v/>
      </c>
      <c r="HK340" s="62">
        <f>$HK339+$HI340</f>
        <v/>
      </c>
      <c r="HL340" s="62">
        <f>SUMIFS(tblSafety[FAI],tblSafety[Date],$A340)</f>
        <v/>
      </c>
      <c r="HM340" s="62">
        <f>IF($B340=$B339,$HM339,0)+$HL340</f>
        <v/>
      </c>
      <c r="HN340" s="62">
        <f>$HN339+$HL340</f>
        <v/>
      </c>
      <c r="HO340" s="62">
        <f>SUMIFS(tblSafety[Recordables],tblSafety[Date],$A340)</f>
        <v/>
      </c>
      <c r="HP340" s="62">
        <f>IF($B340=$B339,$HP339,0)+$HO340</f>
        <v/>
      </c>
      <c r="HQ340" s="62">
        <f>$HQ339+$HO340</f>
        <v/>
      </c>
      <c r="HR340" s="62">
        <f>SUMIFS(tblSafety[Near_Miss],tblSafety[Date],$A340)</f>
        <v/>
      </c>
      <c r="HS340" s="62">
        <f>IF($B340=$B339,$HS339,0)+$HR340</f>
        <v/>
      </c>
      <c r="HT340" s="62">
        <f>$HT339+$HR340</f>
        <v/>
      </c>
      <c r="HU340" s="62">
        <f>SUMIFS(tblSafety[Hazard_Reports],tblSafety[Date],$A340)</f>
        <v/>
      </c>
      <c r="HV340" s="62">
        <f>IF($B340=$B339,$HV339,0)+$HU340</f>
        <v/>
      </c>
      <c r="HW340" s="62">
        <f>$HW339+$HU340</f>
        <v/>
      </c>
      <c r="HX340" s="62">
        <f>SUMIFS(tblSafety[HPI],tblSafety[Date],$A340)</f>
        <v/>
      </c>
      <c r="HY340" s="62">
        <f>IF($B340=$B339,$HY339,0)+$HX340</f>
        <v/>
      </c>
      <c r="HZ340" s="62">
        <f>$HZ339+$HX340</f>
        <v/>
      </c>
      <c r="IA340" s="62">
        <f>SUMIFS(tblSafety[Env_Incidents],tblSafety[Date],$A340)</f>
        <v/>
      </c>
      <c r="IB340" s="62">
        <f>IF($B340=$B339,$IB339,0)+$IA340</f>
        <v/>
      </c>
      <c r="IC340" s="62">
        <f>$IC339+$IA340</f>
        <v/>
      </c>
      <c r="ID340" s="62">
        <f>SUMIFS(tblSafety[Community_Incidents],tblSafety[Date],$A340)</f>
        <v/>
      </c>
      <c r="IE340" s="62">
        <f>IF($B340=$B339,$IE339,0)+$ID340</f>
        <v/>
      </c>
      <c r="IF340" s="62">
        <f>$IF339+$ID340</f>
        <v/>
      </c>
      <c r="IG340" s="62">
        <f>SUMIFS(tblSafety[Vehicle_Incidents],tblSafety[Date],$A340)</f>
        <v/>
      </c>
      <c r="IH340" s="62">
        <f>IF($B340=$B339,$IH339,0)+$IG340</f>
        <v/>
      </c>
      <c r="II340" s="62">
        <f>$II339+$IG340</f>
        <v/>
      </c>
      <c r="IJ340" s="62">
        <f>SUMIFS(tblSafety[Toolbox_Talks],tblSafety[Date],$A340)</f>
        <v/>
      </c>
      <c r="IK340" s="62">
        <f>IF($B340=$B339,$IK339,0)+$IJ340</f>
        <v/>
      </c>
      <c r="IL340" s="62">
        <f>$IL339+$IJ340</f>
        <v/>
      </c>
      <c r="IM340" s="62">
        <f>SUMIFS(tblSafety[Inspections],tblSafety[Date],$A340)</f>
        <v/>
      </c>
      <c r="IN340" s="62">
        <f>IF($B340=$B339,$IN339,0)+$IM340</f>
        <v/>
      </c>
      <c r="IO340" s="62">
        <f>$IO339+$IM340</f>
        <v/>
      </c>
      <c r="IP340" s="56">
        <f>IFERROR((SUMIFS(tblSafety[Recordables],tblSafety[Date],"&gt;="&amp;EDATE($E340,-12),tblSafety[Date],"&lt;="&amp;$A340)+SUMIFS(tblSafetyHistory[Recordables],tblSafetyHistory[Month],"&gt;="&amp;EDATE($E340,-12),tblSafetyHistory[Month],"&lt;"&amp;$E340,tblSafetyHistory[Use],1))/(SUMIFS(tblSafety[Hours_Total],tblSafety[Date],"&gt;="&amp;EDATE($E340,-12),tblSafety[Date],"&lt;="&amp;$A340)+SUMIFS(tblSafetyHistory[Hours_Total],tblSafetyHistory[Month],"&gt;="&amp;EDATE($E340,-12),tblSafetyHistory[Month],"&lt;"&amp;$E340,tblSafetyHistory[Use],1))*cfg_RateBasisHours,"")</f>
        <v/>
      </c>
      <c r="IQ340" s="56">
        <f>IFERROR((SUMIFS(tblSafety[LTI],tblSafety[Date],"&gt;="&amp;EDATE($E340,-12),tblSafety[Date],"&lt;="&amp;$A340)+SUMIFS(tblSafetyHistory[LTI],tblSafetyHistory[Month],"&gt;="&amp;EDATE($E340,-12),tblSafetyHistory[Month],"&lt;"&amp;$E340,tblSafetyHistory[Use],1))/(SUMIFS(tblSafety[Hours_Total],tblSafety[Date],"&gt;="&amp;EDATE($E340,-12),tblSafety[Date],"&lt;="&amp;$A340)+SUMIFS(tblSafetyHistory[Hours_Total],tblSafetyHistory[Month],"&gt;="&amp;EDATE($E340,-12),tblSafetyHistory[Month],"&lt;"&amp;$E340,tblSafetyHistory[Use],1))*cfg_RateBasisHours,"")</f>
        <v/>
      </c>
      <c r="IR340" s="62">
        <f>IF(MAX(N(cfg_PriorLTIDate),_xlfn.MAXIFS(tblSafety[Date],tblSafety[LTI],"&gt;0",tblSafety[Date],"&lt;="&amp;$A340))=0,"",$A340-MAX(N(cfg_PriorLTIDate),_xlfn.MAXIFS(tblSafety[Date],tblSafety[LTI],"&gt;0",tblSafety[Date],"&lt;="&amp;$A340)))</f>
        <v/>
      </c>
      <c r="IS340" s="55">
        <f>SUMIFS(tblBudget[Ore_Mined_t],tblBudget[Month],$E340)</f>
        <v/>
      </c>
      <c r="IT340" s="55">
        <f>$IS340*$C340/$D340</f>
        <v/>
      </c>
      <c r="IU340" s="55">
        <f>SUMIFS(tblBudget[Ore_Mined_t],tblBudget[Month],"&lt;"&amp;$E340)+$IT340</f>
        <v/>
      </c>
      <c r="IV340" s="55">
        <f>SUMIFS(tblBudget[Ore_oz],tblBudget[Month],$E340)</f>
        <v/>
      </c>
      <c r="IW340" s="55">
        <f>$IV340*$C340/$D340</f>
        <v/>
      </c>
      <c r="IX340" s="55">
        <f>SUMIFS(tblBudget[Ore_oz],tblBudget[Month],"&lt;"&amp;$E340)+$IW340</f>
        <v/>
      </c>
      <c r="IY340" s="55">
        <f>SUMIFS(tblBudget[Ore_Mined_t],tblBudget[Month],$E340)</f>
        <v/>
      </c>
      <c r="IZ340" s="55">
        <f>$IY340*$C340/$D340</f>
        <v/>
      </c>
      <c r="JA340" s="55">
        <f>SUMIFS(tblBudget[Ore_Mined_t],tblBudget[Month],"&lt;"&amp;$E340)+$IZ340</f>
        <v/>
      </c>
      <c r="JB340" s="56">
        <f>IFERROR(IF(($IY340)&gt;0,($IV340*cfg_TroyOz)/($IY340),""),"")</f>
        <v/>
      </c>
      <c r="JC340" s="56">
        <f>IFERROR(IF(($IZ340)&gt;0,($IW340*cfg_TroyOz)/($IZ340),""),"")</f>
        <v/>
      </c>
      <c r="JD340" s="56">
        <f>IFERROR(IF(($JA340)&gt;0,($IX340*cfg_TroyOz)/($JA340),""),"")</f>
        <v/>
      </c>
      <c r="JE340" s="55">
        <f>SUMIFS(tblBudget[Waste_t],tblBudget[Month],$E340)</f>
        <v/>
      </c>
      <c r="JF340" s="55">
        <f>$JE340*$C340/$D340</f>
        <v/>
      </c>
      <c r="JG340" s="55">
        <f>SUMIFS(tblBudget[Waste_t],tblBudget[Month],"&lt;"&amp;$E340)+$JF340</f>
        <v/>
      </c>
      <c r="JH340" s="55">
        <f>SUMIFS(tblBudget[TMM_t],tblBudget[Month],$E340)</f>
        <v/>
      </c>
      <c r="JI340" s="55">
        <f>$JH340*$C340/$D340</f>
        <v/>
      </c>
      <c r="JJ340" s="55">
        <f>SUMIFS(tblBudget[TMM_t],tblBudget[Month],"&lt;"&amp;$E340)+$JI340</f>
        <v/>
      </c>
      <c r="JK340" s="56">
        <f>IFERROR(IF(($IS340)&gt;0,($JE340)/($IS340),""),"")</f>
        <v/>
      </c>
      <c r="JL340" s="56">
        <f>IFERROR(IF(($IT340)&gt;0,($JF340)/($IT340),""),"")</f>
        <v/>
      </c>
      <c r="JM340" s="56">
        <f>IFERROR(IF(($IU340)&gt;0,($JG340)/($IU340),""),"")</f>
        <v/>
      </c>
      <c r="JN340" s="55">
        <f>SUMIFS(tblBudget[Drill_m],tblBudget[Month],$E340)</f>
        <v/>
      </c>
      <c r="JO340" s="55">
        <f>$JN340*$C340/$D340</f>
        <v/>
      </c>
      <c r="JP340" s="55">
        <f>SUMIFS(tblBudget[Drill_m],tblBudget[Month],"&lt;"&amp;$E340)+$JO340</f>
        <v/>
      </c>
      <c r="JQ340" s="55">
        <f>SUMIFS(tblBudget[Diesel_L],tblBudget[Month],$E340)</f>
        <v/>
      </c>
      <c r="JR340" s="55">
        <f>$JQ340*$C340/$D340</f>
        <v/>
      </c>
      <c r="JS340" s="55">
        <f>SUMIFS(tblBudget[Diesel_L],tblBudget[Month],"&lt;"&amp;$E340)+$JR340</f>
        <v/>
      </c>
      <c r="JT340" s="55">
        <f>SUMIFS(tblBudget[Milled_t],tblBudget[Month],$E340)</f>
        <v/>
      </c>
      <c r="JU340" s="55">
        <f>$JT340*$C340/$D340</f>
        <v/>
      </c>
      <c r="JV340" s="55">
        <f>SUMIFS(tblBudget[Milled_t],tblBudget[Month],"&lt;"&amp;$E340)+$JU340</f>
        <v/>
      </c>
      <c r="JW340" s="55">
        <f>SUMIFS(tblBudget[Feed_oz],tblBudget[Month],$E340)</f>
        <v/>
      </c>
      <c r="JX340" s="55">
        <f>$JW340*$C340/$D340</f>
        <v/>
      </c>
      <c r="JY340" s="55">
        <f>SUMIFS(tblBudget[Feed_oz],tblBudget[Month],"&lt;"&amp;$E340)+$JX340</f>
        <v/>
      </c>
      <c r="JZ340" s="55">
        <f>SUMIFS(tblBudget[Recovered_oz],tblBudget[Month],$E340)</f>
        <v/>
      </c>
      <c r="KA340" s="55">
        <f>$JZ340*$C340/$D340</f>
        <v/>
      </c>
      <c r="KB340" s="55">
        <f>SUMIFS(tblBudget[Recovered_oz],tblBudget[Month],"&lt;"&amp;$E340)+$KA340</f>
        <v/>
      </c>
      <c r="KC340" s="55">
        <f>SUMIFS(tblBudget[Milled_t],tblBudget[Month],$E340)</f>
        <v/>
      </c>
      <c r="KD340" s="55">
        <f>$KC340*$C340/$D340</f>
        <v/>
      </c>
      <c r="KE340" s="55">
        <f>SUMIFS(tblBudget[Milled_t],tblBudget[Month],"&lt;"&amp;$E340)+$KD340</f>
        <v/>
      </c>
      <c r="KF340" s="55">
        <f>SUMIFS(tblBudget[Feed_oz],tblBudget[Month],$E340)</f>
        <v/>
      </c>
      <c r="KG340" s="55">
        <f>$KF340*$C340/$D340</f>
        <v/>
      </c>
      <c r="KH340" s="55">
        <f>SUMIFS(tblBudget[Feed_oz],tblBudget[Month],"&lt;"&amp;$E340)+$KG340</f>
        <v/>
      </c>
      <c r="KI340" s="56">
        <f>IFERROR(IF(($KC340)&gt;0,($JW340*cfg_TroyOz)/($KC340),""),"")</f>
        <v/>
      </c>
      <c r="KJ340" s="56">
        <f>IFERROR(IF(($KD340)&gt;0,($JX340*cfg_TroyOz)/($KD340),""),"")</f>
        <v/>
      </c>
      <c r="KK340" s="56">
        <f>IFERROR(IF(($KE340)&gt;0,($JY340*cfg_TroyOz)/($KE340),""),"")</f>
        <v/>
      </c>
      <c r="KL340" s="67">
        <f>IFERROR(IF(($KF340)&gt;0,($JZ340)/($KF340),""),"")</f>
        <v/>
      </c>
      <c r="KM340" s="67">
        <f>IFERROR(IF(($KG340)&gt;0,($KA340)/($KG340),""),"")</f>
        <v/>
      </c>
      <c r="KN340" s="67">
        <f>IFERROR(IF(($KH340)&gt;0,($KB340)/($KH340),""),"")</f>
        <v/>
      </c>
      <c r="KO340" s="55">
        <f>SUMIFS(tblBudget[Gold_Poured_oz],tblBudget[Month],$E340)</f>
        <v/>
      </c>
      <c r="KP340" s="55">
        <f>$KO340*$C340/$D340</f>
        <v/>
      </c>
      <c r="KQ340" s="55">
        <f>SUMIFS(tblBudget[Gold_Poured_oz],tblBudget[Month],"&lt;"&amp;$E340)+$KP340</f>
        <v/>
      </c>
      <c r="KR340" s="57">
        <f>SUMIFS(tblBudget[Hours_Worked],tblBudget[Month],$E340)</f>
        <v/>
      </c>
      <c r="KS340" s="57">
        <f>$KR340*$C340/$D340</f>
        <v/>
      </c>
      <c r="KT340" s="57">
        <f>SUMIFS(tblBudget[Hours_Worked],tblBudget[Month],"&lt;"&amp;$E340)+$KS340</f>
        <v/>
      </c>
    </row>
    <row r="341">
      <c r="A341" s="54" t="n">
        <v>46362</v>
      </c>
      <c r="B341">
        <f>MONTH($A341)</f>
        <v/>
      </c>
      <c r="C341">
        <f>DAY($A341)</f>
        <v/>
      </c>
      <c r="D341">
        <f>DAY(EOMONTH($A341,0))</f>
        <v/>
      </c>
      <c r="E341" s="54">
        <f>DATE(YEAR($A341),MONTH($A341),1)</f>
        <v/>
      </c>
      <c r="F341" s="55">
        <f>SUMIFS(tblMovement[Tonnes_t],tblMovement[Date],$A341,tblMovement[Is_Ore],1,tblMovement[Source_Type],"Pit")</f>
        <v/>
      </c>
      <c r="G341" s="55">
        <f>IF($B341=$B340,$G340,0)+$F341</f>
        <v/>
      </c>
      <c r="H341" s="55">
        <f>$H340+$F341</f>
        <v/>
      </c>
      <c r="I341" s="55">
        <f>SUMIFS(tblMovement[Ore_oz],tblMovement[Date],$A341,tblMovement[Source_Type],"Pit")</f>
        <v/>
      </c>
      <c r="J341" s="55">
        <f>IF($B341=$B340,$J340,0)+$I341</f>
        <v/>
      </c>
      <c r="K341" s="55">
        <f>$K340+$I341</f>
        <v/>
      </c>
      <c r="L341" s="55">
        <f>SUMIFS(tblMovement[Tonnes_t],tblMovement[Date],$A341,tblMovement[Is_Ore],1,tblMovement[Source_Type],"Pit",tblMovement[Grade_gpt],"&lt;&gt;")</f>
        <v/>
      </c>
      <c r="M341" s="55">
        <f>IF($B341=$B340,$M340,0)+$L341</f>
        <v/>
      </c>
      <c r="N341" s="55">
        <f>$N340+$L341</f>
        <v/>
      </c>
      <c r="O341" s="56">
        <f>IFERROR(IF(($L341)&gt;0,($I341*cfg_TroyOz)/($L341),""),"")</f>
        <v/>
      </c>
      <c r="P341" s="56">
        <f>IFERROR(IF(($M341)&gt;0,($J341*cfg_TroyOz)/($M341),""),"")</f>
        <v/>
      </c>
      <c r="Q341" s="56">
        <f>IFERROR(IF(($N341)&gt;0,($K341*cfg_TroyOz)/($N341),""),"")</f>
        <v/>
      </c>
      <c r="R341" s="55">
        <f>$F341-$L341</f>
        <v/>
      </c>
      <c r="S341" s="55">
        <f>IF($B341=$B340,$S340,0)+$R341</f>
        <v/>
      </c>
      <c r="T341" s="55">
        <f>$T340+$R341</f>
        <v/>
      </c>
      <c r="U341" s="55">
        <f>SUMIFS(tblMovement[Tonnes_t],tblMovement[Date],$A341,tblMovement[Is_Ore],0,tblMovement[Source_Type],"Pit")</f>
        <v/>
      </c>
      <c r="V341" s="55">
        <f>IF($B341=$B340,$V340,0)+$U341</f>
        <v/>
      </c>
      <c r="W341" s="55">
        <f>$W340+$U341</f>
        <v/>
      </c>
      <c r="X341" s="55">
        <f>$F341+$U341</f>
        <v/>
      </c>
      <c r="Y341" s="55">
        <f>IF($B341=$B340,$Y340,0)+$X341</f>
        <v/>
      </c>
      <c r="Z341" s="55">
        <f>$Z340+$X341</f>
        <v/>
      </c>
      <c r="AA341" s="56">
        <f>IFERROR(IF(($F341)&gt;0,($U341)/($F341),""),"")</f>
        <v/>
      </c>
      <c r="AB341" s="56">
        <f>IFERROR(IF(($G341)&gt;0,($V341)/($G341),""),"")</f>
        <v/>
      </c>
      <c r="AC341" s="56">
        <f>IFERROR(IF(($H341)&gt;0,($W341)/($H341),""),"")</f>
        <v/>
      </c>
      <c r="AD341" s="55">
        <f>SUMIFS(tblMovement[Tonnes_t],tblMovement[Date],$A341,tblMovement[Source_Type],"Stockpile")</f>
        <v/>
      </c>
      <c r="AE341" s="55">
        <f>IF($B341=$B340,$AE340,0)+$AD341</f>
        <v/>
      </c>
      <c r="AF341" s="55">
        <f>$AF340+$AD341</f>
        <v/>
      </c>
      <c r="AG341" s="55">
        <f>SUMIFS(tblMovement[Tonnes_t],tblMovement[Date],$A341)</f>
        <v/>
      </c>
      <c r="AH341" s="55">
        <f>IF($B341=$B340,$AH340,0)+$AG341</f>
        <v/>
      </c>
      <c r="AI341" s="55">
        <f>$AI340+$AG341</f>
        <v/>
      </c>
      <c r="AJ341" s="55">
        <f>$AG341-$X341-$AD341</f>
        <v/>
      </c>
      <c r="AK341" s="55">
        <f>IF($B341=$B340,$AK340,0)+$AJ341</f>
        <v/>
      </c>
      <c r="AL341" s="55">
        <f>$AL340+$AJ341</f>
        <v/>
      </c>
      <c r="AM341" s="55">
        <f>SUMIFS(tblMiningDaily[Drill_m],tblMiningDaily[Date],$A341)</f>
        <v/>
      </c>
      <c r="AN341" s="55">
        <f>IF($B341=$B340,$AN340,0)+$AM341</f>
        <v/>
      </c>
      <c r="AO341" s="55">
        <f>$AO340+$AM341</f>
        <v/>
      </c>
      <c r="AP341" s="55">
        <f>SUMIFS(tblMiningDaily[GC_Drill_m],tblMiningDaily[Date],$A341)</f>
        <v/>
      </c>
      <c r="AQ341" s="55">
        <f>IF($B341=$B340,$AQ340,0)+$AP341</f>
        <v/>
      </c>
      <c r="AR341" s="55">
        <f>$AR340+$AP341</f>
        <v/>
      </c>
      <c r="AS341" s="55">
        <f>SUMIFS(tblMiningDaily[Blast_t],tblMiningDaily[Date],$A341)</f>
        <v/>
      </c>
      <c r="AT341" s="55">
        <f>IF($B341=$B340,$AT340,0)+$AS341</f>
        <v/>
      </c>
      <c r="AU341" s="55">
        <f>$AU340+$AS341</f>
        <v/>
      </c>
      <c r="AV341" s="55">
        <f>SUMIFS(tblMiningDaily[Explosives_kg],tblMiningDaily[Date],$A341)</f>
        <v/>
      </c>
      <c r="AW341" s="55">
        <f>IF($B341=$B340,$AW340,0)+$AV341</f>
        <v/>
      </c>
      <c r="AX341" s="55">
        <f>$AX340+$AV341</f>
        <v/>
      </c>
      <c r="AY341" s="56">
        <f>IFERROR(IF(($AS341)&gt;0,($AV341)/($AS341),""),"")</f>
        <v/>
      </c>
      <c r="AZ341" s="56">
        <f>IFERROR(IF(($AT341)&gt;0,($AW341)/($AT341),""),"")</f>
        <v/>
      </c>
      <c r="BA341" s="56">
        <f>IFERROR(IF(($AU341)&gt;0,($AX341)/($AU341),""),"")</f>
        <v/>
      </c>
      <c r="BB341" s="55">
        <f>SUMIFS(tblMiningDaily[Diesel_L],tblMiningDaily[Date],$A341)</f>
        <v/>
      </c>
      <c r="BC341" s="55">
        <f>IF($B341=$B340,$BC340,0)+$BB341</f>
        <v/>
      </c>
      <c r="BD341" s="55">
        <f>$BD340+$BB341</f>
        <v/>
      </c>
      <c r="BE341" s="55">
        <f>SUMIFS(tblMiningDaily[Dewatering_m3],tblMiningDaily[Date],$A341)</f>
        <v/>
      </c>
      <c r="BF341" s="55">
        <f>IF($B341=$B340,$BF340,0)+$BE341</f>
        <v/>
      </c>
      <c r="BG341" s="55">
        <f>$BG340+$BE341</f>
        <v/>
      </c>
      <c r="BH341" s="57">
        <f>SUMIFS(tblFleet[Calendar_h],tblFleet[Date],$A341,tblFleet[Equipment_Class],"Excavator")</f>
        <v/>
      </c>
      <c r="BI341" s="57">
        <f>IF($B341=$B340,$BI340,0)+$BH341</f>
        <v/>
      </c>
      <c r="BJ341" s="57">
        <f>$BJ340+$BH341</f>
        <v/>
      </c>
      <c r="BK341" s="57">
        <f>SUMIFS(tblFleet[Available_h],tblFleet[Date],$A341,tblFleet[Equipment_Class],"Excavator")</f>
        <v/>
      </c>
      <c r="BL341" s="57">
        <f>IF($B341=$B340,$BL340,0)+$BK341</f>
        <v/>
      </c>
      <c r="BM341" s="57">
        <f>$BM340+$BK341</f>
        <v/>
      </c>
      <c r="BN341" s="57">
        <f>SUMIFS(tblFleet[Operating_h],tblFleet[Date],$A341,tblFleet[Equipment_Class],"Excavator")</f>
        <v/>
      </c>
      <c r="BO341" s="57">
        <f>IF($B341=$B340,$BO340,0)+$BN341</f>
        <v/>
      </c>
      <c r="BP341" s="57">
        <f>$BP340+$BN341</f>
        <v/>
      </c>
      <c r="BQ341" s="67">
        <f>IFERROR(IF(($BH341)&gt;0,($BK341)/($BH341),""),"")</f>
        <v/>
      </c>
      <c r="BR341" s="67">
        <f>IFERROR(IF(($BI341)&gt;0,($BL341)/($BI341),""),"")</f>
        <v/>
      </c>
      <c r="BS341" s="67">
        <f>IFERROR(IF(($BJ341)&gt;0,($BM341)/($BJ341),""),"")</f>
        <v/>
      </c>
      <c r="BT341" s="67">
        <f>IFERROR(IF(($BK341)&gt;0,($BN341)/($BK341),""),"")</f>
        <v/>
      </c>
      <c r="BU341" s="67">
        <f>IFERROR(IF(($BL341)&gt;0,($BO341)/($BL341),""),"")</f>
        <v/>
      </c>
      <c r="BV341" s="67">
        <f>IFERROR(IF(($BM341)&gt;0,($BP341)/($BM341),""),"")</f>
        <v/>
      </c>
      <c r="BW341" s="57">
        <f>SUMIFS(tblFleet[Calendar_h],tblFleet[Date],$A341,tblFleet[Equipment_Class],"Haul Truck")</f>
        <v/>
      </c>
      <c r="BX341" s="57">
        <f>IF($B341=$B340,$BX340,0)+$BW341</f>
        <v/>
      </c>
      <c r="BY341" s="57">
        <f>$BY340+$BW341</f>
        <v/>
      </c>
      <c r="BZ341" s="57">
        <f>SUMIFS(tblFleet[Available_h],tblFleet[Date],$A341,tblFleet[Equipment_Class],"Haul Truck")</f>
        <v/>
      </c>
      <c r="CA341" s="57">
        <f>IF($B341=$B340,$CA340,0)+$BZ341</f>
        <v/>
      </c>
      <c r="CB341" s="57">
        <f>$CB340+$BZ341</f>
        <v/>
      </c>
      <c r="CC341" s="57">
        <f>SUMIFS(tblFleet[Operating_h],tblFleet[Date],$A341,tblFleet[Equipment_Class],"Haul Truck")</f>
        <v/>
      </c>
      <c r="CD341" s="57">
        <f>IF($B341=$B340,$CD340,0)+$CC341</f>
        <v/>
      </c>
      <c r="CE341" s="57">
        <f>$CE340+$CC341</f>
        <v/>
      </c>
      <c r="CF341" s="67">
        <f>IFERROR(IF(($BW341)&gt;0,($BZ341)/($BW341),""),"")</f>
        <v/>
      </c>
      <c r="CG341" s="67">
        <f>IFERROR(IF(($BX341)&gt;0,($CA341)/($BX341),""),"")</f>
        <v/>
      </c>
      <c r="CH341" s="67">
        <f>IFERROR(IF(($BY341)&gt;0,($CB341)/($BY341),""),"")</f>
        <v/>
      </c>
      <c r="CI341" s="67">
        <f>IFERROR(IF(($BZ341)&gt;0,($CC341)/($BZ341),""),"")</f>
        <v/>
      </c>
      <c r="CJ341" s="67">
        <f>IFERROR(IF(($CA341)&gt;0,($CD341)/($CA341),""),"")</f>
        <v/>
      </c>
      <c r="CK341" s="67">
        <f>IFERROR(IF(($CB341)&gt;0,($CE341)/($CB341),""),"")</f>
        <v/>
      </c>
      <c r="CL341" s="55">
        <f>IFERROR(IF(($BN341)&gt;0,($X341+$AD341)/($BN341),""),"")</f>
        <v/>
      </c>
      <c r="CM341" s="55">
        <f>IFERROR(IF(($BO341)&gt;0,($Y341+$AE341)/($BO341),""),"")</f>
        <v/>
      </c>
      <c r="CN341" s="55">
        <f>IFERROR(IF(($BP341)&gt;0,($Z341+$AF341)/($BP341),""),"")</f>
        <v/>
      </c>
      <c r="CO341" s="55">
        <f>IFERROR(IF(($CC341)&gt;0,($X341+$AD341)/($CC341),""),"")</f>
        <v/>
      </c>
      <c r="CP341" s="55">
        <f>IFERROR(IF(($CD341)&gt;0,($Y341+$AE341)/($CD341),""),"")</f>
        <v/>
      </c>
      <c r="CQ341" s="55">
        <f>IFERROR(IF(($CE341)&gt;0,($Z341+$AF341)/($CE341),""),"")</f>
        <v/>
      </c>
      <c r="CR341" s="55">
        <f>SUMIFS(tblPlant[Crushed_t],tblPlant[Date],$A341)</f>
        <v/>
      </c>
      <c r="CS341" s="55">
        <f>IF($B341=$B340,$CS340,0)+$CR341</f>
        <v/>
      </c>
      <c r="CT341" s="55">
        <f>$CT340+$CR341</f>
        <v/>
      </c>
      <c r="CU341" s="55">
        <f>SUMIFS(tblPlant[Milled_t],tblPlant[Date],$A341)</f>
        <v/>
      </c>
      <c r="CV341" s="55">
        <f>IF($B341=$B340,$CV340,0)+$CU341</f>
        <v/>
      </c>
      <c r="CW341" s="55">
        <f>$CW340+$CU341</f>
        <v/>
      </c>
      <c r="CX341" s="55">
        <f>SUMIFS(tblPlant[Feed_oz],tblPlant[Date],$A341)</f>
        <v/>
      </c>
      <c r="CY341" s="55">
        <f>IF($B341=$B340,$CY340,0)+$CX341</f>
        <v/>
      </c>
      <c r="CZ341" s="55">
        <f>$CZ340+$CX341</f>
        <v/>
      </c>
      <c r="DA341" s="55">
        <f>SUMIFS(tblPlant[Tails_oz],tblPlant[Date],$A341)</f>
        <v/>
      </c>
      <c r="DB341" s="55">
        <f>IF($B341=$B340,$DB340,0)+$DA341</f>
        <v/>
      </c>
      <c r="DC341" s="55">
        <f>$DC340+$DA341</f>
        <v/>
      </c>
      <c r="DD341" s="55">
        <f>SUMIFS(tblPlant[Recovered_oz],tblPlant[Date],$A341)</f>
        <v/>
      </c>
      <c r="DE341" s="55">
        <f>IF($B341=$B340,$DE340,0)+$DD341</f>
        <v/>
      </c>
      <c r="DF341" s="55">
        <f>$DF340+$DD341</f>
        <v/>
      </c>
      <c r="DG341" s="55">
        <f>SUMIFS(tblPlant[Milled_t],tblPlant[Date],$A341,tblPlant[Head_Grade_gpt],"&lt;&gt;")</f>
        <v/>
      </c>
      <c r="DH341" s="55">
        <f>IF($B341=$B340,$DH340,0)+$DG341</f>
        <v/>
      </c>
      <c r="DI341" s="55">
        <f>$DI340+$DG341</f>
        <v/>
      </c>
      <c r="DJ341" s="55">
        <f>SUMIFS(tblPlant[Milled_t],tblPlant[Date],$A341,tblPlant[Tails_Grade_gpt],"&lt;&gt;")</f>
        <v/>
      </c>
      <c r="DK341" s="55">
        <f>IF($B341=$B340,$DK340,0)+$DJ341</f>
        <v/>
      </c>
      <c r="DL341" s="55">
        <f>$DL340+$DJ341</f>
        <v/>
      </c>
      <c r="DM341" s="55">
        <f>SUMIFS(tblPlant[Feed_oz],tblPlant[Date],$A341,tblPlant[Tails_Grade_gpt],"&lt;&gt;")</f>
        <v/>
      </c>
      <c r="DN341" s="55">
        <f>IF($B341=$B340,$DN340,0)+$DM341</f>
        <v/>
      </c>
      <c r="DO341" s="55">
        <f>$DO340+$DM341</f>
        <v/>
      </c>
      <c r="DP341" s="55">
        <f>SUMIFS(tblPlant[Milled_t],tblPlant[Date],$A341,tblPlant[Mill_Run_h],"&lt;&gt;")</f>
        <v/>
      </c>
      <c r="DQ341" s="55">
        <f>IF($B341=$B340,$DQ340,0)+$DP341</f>
        <v/>
      </c>
      <c r="DR341" s="55">
        <f>$DR340+$DP341</f>
        <v/>
      </c>
      <c r="DS341" s="56">
        <f>IFERROR(IF(($DG341)&gt;0,($CX341*cfg_TroyOz)/($DG341),""),"")</f>
        <v/>
      </c>
      <c r="DT341" s="56">
        <f>IFERROR(IF(($DH341)&gt;0,($CY341*cfg_TroyOz)/($DH341),""),"")</f>
        <v/>
      </c>
      <c r="DU341" s="56">
        <f>IFERROR(IF(($DI341)&gt;0,($CZ341*cfg_TroyOz)/($DI341),""),"")</f>
        <v/>
      </c>
      <c r="DV341" s="56">
        <f>IFERROR(IF(($DJ341)&gt;0,($DA341*cfg_TroyOz)/($DJ341),""),"")</f>
        <v/>
      </c>
      <c r="DW341" s="56">
        <f>IFERROR(IF(($DK341)&gt;0,($DB341*cfg_TroyOz)/($DK341),""),"")</f>
        <v/>
      </c>
      <c r="DX341" s="56">
        <f>IFERROR(IF(($DL341)&gt;0,($DC341*cfg_TroyOz)/($DL341),""),"")</f>
        <v/>
      </c>
      <c r="DY341" s="67">
        <f>IFERROR(IF(($DM341)&gt;0,($DD341)/($DM341),""),"")</f>
        <v/>
      </c>
      <c r="DZ341" s="67">
        <f>IFERROR(IF(($DN341)&gt;0,($DE341)/($DN341),""),"")</f>
        <v/>
      </c>
      <c r="EA341" s="67">
        <f>IFERROR(IF(($DO341)&gt;0,($DF341)/($DO341),""),"")</f>
        <v/>
      </c>
      <c r="EB341" s="55">
        <f>SUMIFS(tblPlant[Gravity_Gold_oz],tblPlant[Date],$A341)</f>
        <v/>
      </c>
      <c r="EC341" s="55">
        <f>IF($B341=$B340,$EC340,0)+$EB341</f>
        <v/>
      </c>
      <c r="ED341" s="55">
        <f>$ED340+$EB341</f>
        <v/>
      </c>
      <c r="EE341" s="67">
        <f>IFERROR(IF(($DD341)&gt;0,($EB341)/($DD341),""),"")</f>
        <v/>
      </c>
      <c r="EF341" s="67">
        <f>IFERROR(IF(($DE341)&gt;0,($EC341)/($DE341),""),"")</f>
        <v/>
      </c>
      <c r="EG341" s="67">
        <f>IFERROR(IF(($DF341)&gt;0,($ED341)/($DF341),""),"")</f>
        <v/>
      </c>
      <c r="EH341" s="55">
        <f>SUMIFS(tblPlant[Gold_Poured_oz],tblPlant[Date],$A341)</f>
        <v/>
      </c>
      <c r="EI341" s="55">
        <f>IF($B341=$B340,$EI340,0)+$EH341</f>
        <v/>
      </c>
      <c r="EJ341" s="55">
        <f>$EJ340+$EH341</f>
        <v/>
      </c>
      <c r="EK341" s="57">
        <f>SUMIFS(tblPlant[Mill_Run_h],tblPlant[Date],$A341)</f>
        <v/>
      </c>
      <c r="EL341" s="57">
        <f>IF($B341=$B340,$EL340,0)+$EK341</f>
        <v/>
      </c>
      <c r="EM341" s="57">
        <f>$EM340+$EK341</f>
        <v/>
      </c>
      <c r="EN341" s="57">
        <f>SUMIFS(tblPlant[Mill_Planned_Maint_h],tblPlant[Date],$A341)</f>
        <v/>
      </c>
      <c r="EO341" s="57">
        <f>IF($B341=$B340,$EO340,0)+$EN341</f>
        <v/>
      </c>
      <c r="EP341" s="57">
        <f>$EP340+$EN341</f>
        <v/>
      </c>
      <c r="EQ341" s="57">
        <f>SUMIFS(tblPlant[Mill_Unplanned_Down_h],tblPlant[Date],$A341)</f>
        <v/>
      </c>
      <c r="ER341" s="57">
        <f>IF($B341=$B340,$ER340,0)+$EQ341</f>
        <v/>
      </c>
      <c r="ES341" s="57">
        <f>$ES340+$EQ341</f>
        <v/>
      </c>
      <c r="ET341" s="57">
        <f>IF(COUNTIFS(tblPlant[Date],$A341,tblPlant[Mill_Run_h],"&lt;&gt;")+COUNTIFS(tblPlant[Date],$A341,tblPlant[Mill_Planned_Maint_h],"&lt;&gt;")+COUNTIFS(tblPlant[Date],$A341,tblPlant[Mill_Unplanned_Down_h],"&lt;&gt;")&gt;0,cfg_HoursPerDay,0)</f>
        <v/>
      </c>
      <c r="EU341" s="57">
        <f>IF($B341=$B340,$EU340,0)+$ET341</f>
        <v/>
      </c>
      <c r="EV341" s="57">
        <f>$EV340+$ET341</f>
        <v/>
      </c>
      <c r="EW341" s="57">
        <f>SUMIFS(tblPlant[Crusher_Run_h],tblPlant[Date],$A341)</f>
        <v/>
      </c>
      <c r="EX341" s="57">
        <f>IF($B341=$B340,$EX340,0)+$EW341</f>
        <v/>
      </c>
      <c r="EY341" s="57">
        <f>$EY340+$EW341</f>
        <v/>
      </c>
      <c r="EZ341" s="55">
        <f>IFERROR(IF(($EK341)&gt;0,($DP341)/($EK341),""),"")</f>
        <v/>
      </c>
      <c r="FA341" s="55">
        <f>IFERROR(IF(($EL341)&gt;0,($DQ341)/($EL341),""),"")</f>
        <v/>
      </c>
      <c r="FB341" s="55">
        <f>IFERROR(IF(($EM341)&gt;0,($DR341)/($EM341),""),"")</f>
        <v/>
      </c>
      <c r="FC341" s="67">
        <f>IFERROR(IF(($ET341)&gt;0,($ET341-$EN341-$EQ341)/($ET341),""),"")</f>
        <v/>
      </c>
      <c r="FD341" s="67">
        <f>IFERROR(IF(($EU341)&gt;0,($EU341-$EO341-$ER341)/($EU341),""),"")</f>
        <v/>
      </c>
      <c r="FE341" s="67">
        <f>IFERROR(IF(($EV341)&gt;0,($EV341-$EP341-$ES341)/($EV341),""),"")</f>
        <v/>
      </c>
      <c r="FF341" s="67">
        <f>IFERROR(IF(($ET341-$EN341-$EQ341)&gt;0,($EK341)/($ET341-$EN341-$EQ341),""),"")</f>
        <v/>
      </c>
      <c r="FG341" s="67">
        <f>IFERROR(IF(($EU341-$EO341-$ER341)&gt;0,($EL341)/($EU341-$EO341-$ER341),""),"")</f>
        <v/>
      </c>
      <c r="FH341" s="67">
        <f>IFERROR(IF(($EV341-$EP341-$ES341)&gt;0,($EM341)/($EV341-$EP341-$ES341),""),"")</f>
        <v/>
      </c>
      <c r="FI341" s="55">
        <f>SUMIFS(tblPlant[Cyanide_kg],tblPlant[Date],$A341)</f>
        <v/>
      </c>
      <c r="FJ341" s="55">
        <f>IF($B341=$B340,$FJ340,0)+$FI341</f>
        <v/>
      </c>
      <c r="FK341" s="55">
        <f>$FK340+$FI341</f>
        <v/>
      </c>
      <c r="FL341" s="55">
        <f>SUMIFS(tblPlant[Lime_kg],tblPlant[Date],$A341)</f>
        <v/>
      </c>
      <c r="FM341" s="55">
        <f>IF($B341=$B340,$FM340,0)+$FL341</f>
        <v/>
      </c>
      <c r="FN341" s="55">
        <f>$FN340+$FL341</f>
        <v/>
      </c>
      <c r="FO341" s="55">
        <f>SUMIFS(tblPlant[Grinding_Media_kg],tblPlant[Date],$A341)</f>
        <v/>
      </c>
      <c r="FP341" s="55">
        <f>IF($B341=$B340,$FP340,0)+$FO341</f>
        <v/>
      </c>
      <c r="FQ341" s="55">
        <f>$FQ340+$FO341</f>
        <v/>
      </c>
      <c r="FR341" s="55">
        <f>SUMIFS(tblPlant[Power_kWh],tblPlant[Date],$A341)</f>
        <v/>
      </c>
      <c r="FS341" s="55">
        <f>IF($B341=$B340,$FS340,0)+$FR341</f>
        <v/>
      </c>
      <c r="FT341" s="55">
        <f>$FT340+$FR341</f>
        <v/>
      </c>
      <c r="FU341" s="55">
        <f>SUMIFS(tblPlant[Raw_Water_m3],tblPlant[Date],$A341)</f>
        <v/>
      </c>
      <c r="FV341" s="55">
        <f>IF($B341=$B340,$FV340,0)+$FU341</f>
        <v/>
      </c>
      <c r="FW341" s="55">
        <f>$FW340+$FU341</f>
        <v/>
      </c>
      <c r="FX341" s="56">
        <f>IFERROR(IF(($CU341)&gt;0,($FI341)/($CU341),""),"")</f>
        <v/>
      </c>
      <c r="FY341" s="56">
        <f>IFERROR(IF(($CV341)&gt;0,($FJ341)/($CV341),""),"")</f>
        <v/>
      </c>
      <c r="FZ341" s="56">
        <f>IFERROR(IF(($CW341)&gt;0,($FK341)/($CW341),""),"")</f>
        <v/>
      </c>
      <c r="GA341" s="56">
        <f>IFERROR(IF(($CU341)&gt;0,($FL341)/($CU341),""),"")</f>
        <v/>
      </c>
      <c r="GB341" s="56">
        <f>IFERROR(IF(($CV341)&gt;0,($FM341)/($CV341),""),"")</f>
        <v/>
      </c>
      <c r="GC341" s="56">
        <f>IFERROR(IF(($CW341)&gt;0,($FN341)/($CW341),""),"")</f>
        <v/>
      </c>
      <c r="GD341" s="56">
        <f>IFERROR(IF(($CU341)&gt;0,($FO341)/($CU341),""),"")</f>
        <v/>
      </c>
      <c r="GE341" s="56">
        <f>IFERROR(IF(($CV341)&gt;0,($FP341)/($CV341),""),"")</f>
        <v/>
      </c>
      <c r="GF341" s="56">
        <f>IFERROR(IF(($CW341)&gt;0,($FQ341)/($CW341),""),"")</f>
        <v/>
      </c>
      <c r="GG341" s="79">
        <f>IFERROR(IF(($CU341)&gt;0,($FR341)/($CU341),""),"")</f>
        <v/>
      </c>
      <c r="GH341" s="79">
        <f>IFERROR(IF(($CV341)&gt;0,($FS341)/($CV341),""),"")</f>
        <v/>
      </c>
      <c r="GI341" s="79">
        <f>IFERROR(IF(($CW341)&gt;0,($FT341)/($CW341),""),"")</f>
        <v/>
      </c>
      <c r="GJ341" s="56">
        <f>IFERROR(IF(($CU341)&gt;0,($FU341)/($CU341),""),"")</f>
        <v/>
      </c>
      <c r="GK341" s="56">
        <f>IFERROR(IF(($CV341)&gt;0,($FV341)/($CV341),""),"")</f>
        <v/>
      </c>
      <c r="GL341" s="56">
        <f>IFERROR(IF(($CW341)&gt;0,($FW341)/($CW341),""),"")</f>
        <v/>
      </c>
      <c r="GM341" s="55">
        <f>IF(SUMIFS(tblPlant[GIC_oz],tblPlant[Date],$A341)&gt;0,SUMIFS(tblPlant[GIC_oz],tblPlant[Date],$A341),"")</f>
        <v/>
      </c>
      <c r="GN341" s="55">
        <f>SUMIFS(tblGold[Gold_oz],tblGold[Date],$A341,tblGold[Type],"Shipment")</f>
        <v/>
      </c>
      <c r="GO341" s="55">
        <f>IF($B341=$B340,$GO340,0)+$GN341</f>
        <v/>
      </c>
      <c r="GP341" s="55">
        <f>$GP340+$GN341</f>
        <v/>
      </c>
      <c r="GQ341" s="55">
        <f>SUMIFS(tblGold[Gold_oz],tblGold[Date],$A341,tblGold[Type],"Sale")</f>
        <v/>
      </c>
      <c r="GR341" s="55">
        <f>IF($B341=$B340,$GR340,0)+$GQ341</f>
        <v/>
      </c>
      <c r="GS341" s="55">
        <f>$GS340+$GQ341</f>
        <v/>
      </c>
      <c r="GT341" s="55">
        <f>SUMIFS(tblGold[Dore_kg],tblGold[Date],$A341,tblGold[Type],"Shipment")</f>
        <v/>
      </c>
      <c r="GU341" s="55">
        <f>IF($B341=$B340,$GU340,0)+$GT341</f>
        <v/>
      </c>
      <c r="GV341" s="55">
        <f>$GV340+$GT341</f>
        <v/>
      </c>
      <c r="GW341" s="57">
        <f>SUMIFS(tblSafety[Hours_Total],tblSafety[Date],$A341)</f>
        <v/>
      </c>
      <c r="GX341" s="57">
        <f>IF($B341=$B340,$GX340,0)+$GW341</f>
        <v/>
      </c>
      <c r="GY341" s="57">
        <f>$GY340+$GW341</f>
        <v/>
      </c>
      <c r="GZ341" s="62">
        <f>SUMIFS(tblSafety[Fatality],tblSafety[Date],$A341)</f>
        <v/>
      </c>
      <c r="HA341" s="62">
        <f>IF($B341=$B340,$HA340,0)+$GZ341</f>
        <v/>
      </c>
      <c r="HB341" s="62">
        <f>$HB340+$GZ341</f>
        <v/>
      </c>
      <c r="HC341" s="62">
        <f>SUMIFS(tblSafety[LTI],tblSafety[Date],$A341)</f>
        <v/>
      </c>
      <c r="HD341" s="62">
        <f>IF($B341=$B340,$HD340,0)+$HC341</f>
        <v/>
      </c>
      <c r="HE341" s="62">
        <f>$HE340+$HC341</f>
        <v/>
      </c>
      <c r="HF341" s="62">
        <f>SUMIFS(tblSafety[RWI],tblSafety[Date],$A341)</f>
        <v/>
      </c>
      <c r="HG341" s="62">
        <f>IF($B341=$B340,$HG340,0)+$HF341</f>
        <v/>
      </c>
      <c r="HH341" s="62">
        <f>$HH340+$HF341</f>
        <v/>
      </c>
      <c r="HI341" s="62">
        <f>SUMIFS(tblSafety[MTI],tblSafety[Date],$A341)</f>
        <v/>
      </c>
      <c r="HJ341" s="62">
        <f>IF($B341=$B340,$HJ340,0)+$HI341</f>
        <v/>
      </c>
      <c r="HK341" s="62">
        <f>$HK340+$HI341</f>
        <v/>
      </c>
      <c r="HL341" s="62">
        <f>SUMIFS(tblSafety[FAI],tblSafety[Date],$A341)</f>
        <v/>
      </c>
      <c r="HM341" s="62">
        <f>IF($B341=$B340,$HM340,0)+$HL341</f>
        <v/>
      </c>
      <c r="HN341" s="62">
        <f>$HN340+$HL341</f>
        <v/>
      </c>
      <c r="HO341" s="62">
        <f>SUMIFS(tblSafety[Recordables],tblSafety[Date],$A341)</f>
        <v/>
      </c>
      <c r="HP341" s="62">
        <f>IF($B341=$B340,$HP340,0)+$HO341</f>
        <v/>
      </c>
      <c r="HQ341" s="62">
        <f>$HQ340+$HO341</f>
        <v/>
      </c>
      <c r="HR341" s="62">
        <f>SUMIFS(tblSafety[Near_Miss],tblSafety[Date],$A341)</f>
        <v/>
      </c>
      <c r="HS341" s="62">
        <f>IF($B341=$B340,$HS340,0)+$HR341</f>
        <v/>
      </c>
      <c r="HT341" s="62">
        <f>$HT340+$HR341</f>
        <v/>
      </c>
      <c r="HU341" s="62">
        <f>SUMIFS(tblSafety[Hazard_Reports],tblSafety[Date],$A341)</f>
        <v/>
      </c>
      <c r="HV341" s="62">
        <f>IF($B341=$B340,$HV340,0)+$HU341</f>
        <v/>
      </c>
      <c r="HW341" s="62">
        <f>$HW340+$HU341</f>
        <v/>
      </c>
      <c r="HX341" s="62">
        <f>SUMIFS(tblSafety[HPI],tblSafety[Date],$A341)</f>
        <v/>
      </c>
      <c r="HY341" s="62">
        <f>IF($B341=$B340,$HY340,0)+$HX341</f>
        <v/>
      </c>
      <c r="HZ341" s="62">
        <f>$HZ340+$HX341</f>
        <v/>
      </c>
      <c r="IA341" s="62">
        <f>SUMIFS(tblSafety[Env_Incidents],tblSafety[Date],$A341)</f>
        <v/>
      </c>
      <c r="IB341" s="62">
        <f>IF($B341=$B340,$IB340,0)+$IA341</f>
        <v/>
      </c>
      <c r="IC341" s="62">
        <f>$IC340+$IA341</f>
        <v/>
      </c>
      <c r="ID341" s="62">
        <f>SUMIFS(tblSafety[Community_Incidents],tblSafety[Date],$A341)</f>
        <v/>
      </c>
      <c r="IE341" s="62">
        <f>IF($B341=$B340,$IE340,0)+$ID341</f>
        <v/>
      </c>
      <c r="IF341" s="62">
        <f>$IF340+$ID341</f>
        <v/>
      </c>
      <c r="IG341" s="62">
        <f>SUMIFS(tblSafety[Vehicle_Incidents],tblSafety[Date],$A341)</f>
        <v/>
      </c>
      <c r="IH341" s="62">
        <f>IF($B341=$B340,$IH340,0)+$IG341</f>
        <v/>
      </c>
      <c r="II341" s="62">
        <f>$II340+$IG341</f>
        <v/>
      </c>
      <c r="IJ341" s="62">
        <f>SUMIFS(tblSafety[Toolbox_Talks],tblSafety[Date],$A341)</f>
        <v/>
      </c>
      <c r="IK341" s="62">
        <f>IF($B341=$B340,$IK340,0)+$IJ341</f>
        <v/>
      </c>
      <c r="IL341" s="62">
        <f>$IL340+$IJ341</f>
        <v/>
      </c>
      <c r="IM341" s="62">
        <f>SUMIFS(tblSafety[Inspections],tblSafety[Date],$A341)</f>
        <v/>
      </c>
      <c r="IN341" s="62">
        <f>IF($B341=$B340,$IN340,0)+$IM341</f>
        <v/>
      </c>
      <c r="IO341" s="62">
        <f>$IO340+$IM341</f>
        <v/>
      </c>
      <c r="IP341" s="56">
        <f>IFERROR((SUMIFS(tblSafety[Recordables],tblSafety[Date],"&gt;="&amp;EDATE($E341,-12),tblSafety[Date],"&lt;="&amp;$A341)+SUMIFS(tblSafetyHistory[Recordables],tblSafetyHistory[Month],"&gt;="&amp;EDATE($E341,-12),tblSafetyHistory[Month],"&lt;"&amp;$E341,tblSafetyHistory[Use],1))/(SUMIFS(tblSafety[Hours_Total],tblSafety[Date],"&gt;="&amp;EDATE($E341,-12),tblSafety[Date],"&lt;="&amp;$A341)+SUMIFS(tblSafetyHistory[Hours_Total],tblSafetyHistory[Month],"&gt;="&amp;EDATE($E341,-12),tblSafetyHistory[Month],"&lt;"&amp;$E341,tblSafetyHistory[Use],1))*cfg_RateBasisHours,"")</f>
        <v/>
      </c>
      <c r="IQ341" s="56">
        <f>IFERROR((SUMIFS(tblSafety[LTI],tblSafety[Date],"&gt;="&amp;EDATE($E341,-12),tblSafety[Date],"&lt;="&amp;$A341)+SUMIFS(tblSafetyHistory[LTI],tblSafetyHistory[Month],"&gt;="&amp;EDATE($E341,-12),tblSafetyHistory[Month],"&lt;"&amp;$E341,tblSafetyHistory[Use],1))/(SUMIFS(tblSafety[Hours_Total],tblSafety[Date],"&gt;="&amp;EDATE($E341,-12),tblSafety[Date],"&lt;="&amp;$A341)+SUMIFS(tblSafetyHistory[Hours_Total],tblSafetyHistory[Month],"&gt;="&amp;EDATE($E341,-12),tblSafetyHistory[Month],"&lt;"&amp;$E341,tblSafetyHistory[Use],1))*cfg_RateBasisHours,"")</f>
        <v/>
      </c>
      <c r="IR341" s="62">
        <f>IF(MAX(N(cfg_PriorLTIDate),_xlfn.MAXIFS(tblSafety[Date],tblSafety[LTI],"&gt;0",tblSafety[Date],"&lt;="&amp;$A341))=0,"",$A341-MAX(N(cfg_PriorLTIDate),_xlfn.MAXIFS(tblSafety[Date],tblSafety[LTI],"&gt;0",tblSafety[Date],"&lt;="&amp;$A341)))</f>
        <v/>
      </c>
      <c r="IS341" s="55">
        <f>SUMIFS(tblBudget[Ore_Mined_t],tblBudget[Month],$E341)</f>
        <v/>
      </c>
      <c r="IT341" s="55">
        <f>$IS341*$C341/$D341</f>
        <v/>
      </c>
      <c r="IU341" s="55">
        <f>SUMIFS(tblBudget[Ore_Mined_t],tblBudget[Month],"&lt;"&amp;$E341)+$IT341</f>
        <v/>
      </c>
      <c r="IV341" s="55">
        <f>SUMIFS(tblBudget[Ore_oz],tblBudget[Month],$E341)</f>
        <v/>
      </c>
      <c r="IW341" s="55">
        <f>$IV341*$C341/$D341</f>
        <v/>
      </c>
      <c r="IX341" s="55">
        <f>SUMIFS(tblBudget[Ore_oz],tblBudget[Month],"&lt;"&amp;$E341)+$IW341</f>
        <v/>
      </c>
      <c r="IY341" s="55">
        <f>SUMIFS(tblBudget[Ore_Mined_t],tblBudget[Month],$E341)</f>
        <v/>
      </c>
      <c r="IZ341" s="55">
        <f>$IY341*$C341/$D341</f>
        <v/>
      </c>
      <c r="JA341" s="55">
        <f>SUMIFS(tblBudget[Ore_Mined_t],tblBudget[Month],"&lt;"&amp;$E341)+$IZ341</f>
        <v/>
      </c>
      <c r="JB341" s="56">
        <f>IFERROR(IF(($IY341)&gt;0,($IV341*cfg_TroyOz)/($IY341),""),"")</f>
        <v/>
      </c>
      <c r="JC341" s="56">
        <f>IFERROR(IF(($IZ341)&gt;0,($IW341*cfg_TroyOz)/($IZ341),""),"")</f>
        <v/>
      </c>
      <c r="JD341" s="56">
        <f>IFERROR(IF(($JA341)&gt;0,($IX341*cfg_TroyOz)/($JA341),""),"")</f>
        <v/>
      </c>
      <c r="JE341" s="55">
        <f>SUMIFS(tblBudget[Waste_t],tblBudget[Month],$E341)</f>
        <v/>
      </c>
      <c r="JF341" s="55">
        <f>$JE341*$C341/$D341</f>
        <v/>
      </c>
      <c r="JG341" s="55">
        <f>SUMIFS(tblBudget[Waste_t],tblBudget[Month],"&lt;"&amp;$E341)+$JF341</f>
        <v/>
      </c>
      <c r="JH341" s="55">
        <f>SUMIFS(tblBudget[TMM_t],tblBudget[Month],$E341)</f>
        <v/>
      </c>
      <c r="JI341" s="55">
        <f>$JH341*$C341/$D341</f>
        <v/>
      </c>
      <c r="JJ341" s="55">
        <f>SUMIFS(tblBudget[TMM_t],tblBudget[Month],"&lt;"&amp;$E341)+$JI341</f>
        <v/>
      </c>
      <c r="JK341" s="56">
        <f>IFERROR(IF(($IS341)&gt;0,($JE341)/($IS341),""),"")</f>
        <v/>
      </c>
      <c r="JL341" s="56">
        <f>IFERROR(IF(($IT341)&gt;0,($JF341)/($IT341),""),"")</f>
        <v/>
      </c>
      <c r="JM341" s="56">
        <f>IFERROR(IF(($IU341)&gt;0,($JG341)/($IU341),""),"")</f>
        <v/>
      </c>
      <c r="JN341" s="55">
        <f>SUMIFS(tblBudget[Drill_m],tblBudget[Month],$E341)</f>
        <v/>
      </c>
      <c r="JO341" s="55">
        <f>$JN341*$C341/$D341</f>
        <v/>
      </c>
      <c r="JP341" s="55">
        <f>SUMIFS(tblBudget[Drill_m],tblBudget[Month],"&lt;"&amp;$E341)+$JO341</f>
        <v/>
      </c>
      <c r="JQ341" s="55">
        <f>SUMIFS(tblBudget[Diesel_L],tblBudget[Month],$E341)</f>
        <v/>
      </c>
      <c r="JR341" s="55">
        <f>$JQ341*$C341/$D341</f>
        <v/>
      </c>
      <c r="JS341" s="55">
        <f>SUMIFS(tblBudget[Diesel_L],tblBudget[Month],"&lt;"&amp;$E341)+$JR341</f>
        <v/>
      </c>
      <c r="JT341" s="55">
        <f>SUMIFS(tblBudget[Milled_t],tblBudget[Month],$E341)</f>
        <v/>
      </c>
      <c r="JU341" s="55">
        <f>$JT341*$C341/$D341</f>
        <v/>
      </c>
      <c r="JV341" s="55">
        <f>SUMIFS(tblBudget[Milled_t],tblBudget[Month],"&lt;"&amp;$E341)+$JU341</f>
        <v/>
      </c>
      <c r="JW341" s="55">
        <f>SUMIFS(tblBudget[Feed_oz],tblBudget[Month],$E341)</f>
        <v/>
      </c>
      <c r="JX341" s="55">
        <f>$JW341*$C341/$D341</f>
        <v/>
      </c>
      <c r="JY341" s="55">
        <f>SUMIFS(tblBudget[Feed_oz],tblBudget[Month],"&lt;"&amp;$E341)+$JX341</f>
        <v/>
      </c>
      <c r="JZ341" s="55">
        <f>SUMIFS(tblBudget[Recovered_oz],tblBudget[Month],$E341)</f>
        <v/>
      </c>
      <c r="KA341" s="55">
        <f>$JZ341*$C341/$D341</f>
        <v/>
      </c>
      <c r="KB341" s="55">
        <f>SUMIFS(tblBudget[Recovered_oz],tblBudget[Month],"&lt;"&amp;$E341)+$KA341</f>
        <v/>
      </c>
      <c r="KC341" s="55">
        <f>SUMIFS(tblBudget[Milled_t],tblBudget[Month],$E341)</f>
        <v/>
      </c>
      <c r="KD341" s="55">
        <f>$KC341*$C341/$D341</f>
        <v/>
      </c>
      <c r="KE341" s="55">
        <f>SUMIFS(tblBudget[Milled_t],tblBudget[Month],"&lt;"&amp;$E341)+$KD341</f>
        <v/>
      </c>
      <c r="KF341" s="55">
        <f>SUMIFS(tblBudget[Feed_oz],tblBudget[Month],$E341)</f>
        <v/>
      </c>
      <c r="KG341" s="55">
        <f>$KF341*$C341/$D341</f>
        <v/>
      </c>
      <c r="KH341" s="55">
        <f>SUMIFS(tblBudget[Feed_oz],tblBudget[Month],"&lt;"&amp;$E341)+$KG341</f>
        <v/>
      </c>
      <c r="KI341" s="56">
        <f>IFERROR(IF(($KC341)&gt;0,($JW341*cfg_TroyOz)/($KC341),""),"")</f>
        <v/>
      </c>
      <c r="KJ341" s="56">
        <f>IFERROR(IF(($KD341)&gt;0,($JX341*cfg_TroyOz)/($KD341),""),"")</f>
        <v/>
      </c>
      <c r="KK341" s="56">
        <f>IFERROR(IF(($KE341)&gt;0,($JY341*cfg_TroyOz)/($KE341),""),"")</f>
        <v/>
      </c>
      <c r="KL341" s="67">
        <f>IFERROR(IF(($KF341)&gt;0,($JZ341)/($KF341),""),"")</f>
        <v/>
      </c>
      <c r="KM341" s="67">
        <f>IFERROR(IF(($KG341)&gt;0,($KA341)/($KG341),""),"")</f>
        <v/>
      </c>
      <c r="KN341" s="67">
        <f>IFERROR(IF(($KH341)&gt;0,($KB341)/($KH341),""),"")</f>
        <v/>
      </c>
      <c r="KO341" s="55">
        <f>SUMIFS(tblBudget[Gold_Poured_oz],tblBudget[Month],$E341)</f>
        <v/>
      </c>
      <c r="KP341" s="55">
        <f>$KO341*$C341/$D341</f>
        <v/>
      </c>
      <c r="KQ341" s="55">
        <f>SUMIFS(tblBudget[Gold_Poured_oz],tblBudget[Month],"&lt;"&amp;$E341)+$KP341</f>
        <v/>
      </c>
      <c r="KR341" s="57">
        <f>SUMIFS(tblBudget[Hours_Worked],tblBudget[Month],$E341)</f>
        <v/>
      </c>
      <c r="KS341" s="57">
        <f>$KR341*$C341/$D341</f>
        <v/>
      </c>
      <c r="KT341" s="57">
        <f>SUMIFS(tblBudget[Hours_Worked],tblBudget[Month],"&lt;"&amp;$E341)+$KS341</f>
        <v/>
      </c>
    </row>
    <row r="342">
      <c r="A342" s="54" t="n">
        <v>46363</v>
      </c>
      <c r="B342">
        <f>MONTH($A342)</f>
        <v/>
      </c>
      <c r="C342">
        <f>DAY($A342)</f>
        <v/>
      </c>
      <c r="D342">
        <f>DAY(EOMONTH($A342,0))</f>
        <v/>
      </c>
      <c r="E342" s="54">
        <f>DATE(YEAR($A342),MONTH($A342),1)</f>
        <v/>
      </c>
      <c r="F342" s="55">
        <f>SUMIFS(tblMovement[Tonnes_t],tblMovement[Date],$A342,tblMovement[Is_Ore],1,tblMovement[Source_Type],"Pit")</f>
        <v/>
      </c>
      <c r="G342" s="55">
        <f>IF($B342=$B341,$G341,0)+$F342</f>
        <v/>
      </c>
      <c r="H342" s="55">
        <f>$H341+$F342</f>
        <v/>
      </c>
      <c r="I342" s="55">
        <f>SUMIFS(tblMovement[Ore_oz],tblMovement[Date],$A342,tblMovement[Source_Type],"Pit")</f>
        <v/>
      </c>
      <c r="J342" s="55">
        <f>IF($B342=$B341,$J341,0)+$I342</f>
        <v/>
      </c>
      <c r="K342" s="55">
        <f>$K341+$I342</f>
        <v/>
      </c>
      <c r="L342" s="55">
        <f>SUMIFS(tblMovement[Tonnes_t],tblMovement[Date],$A342,tblMovement[Is_Ore],1,tblMovement[Source_Type],"Pit",tblMovement[Grade_gpt],"&lt;&gt;")</f>
        <v/>
      </c>
      <c r="M342" s="55">
        <f>IF($B342=$B341,$M341,0)+$L342</f>
        <v/>
      </c>
      <c r="N342" s="55">
        <f>$N341+$L342</f>
        <v/>
      </c>
      <c r="O342" s="56">
        <f>IFERROR(IF(($L342)&gt;0,($I342*cfg_TroyOz)/($L342),""),"")</f>
        <v/>
      </c>
      <c r="P342" s="56">
        <f>IFERROR(IF(($M342)&gt;0,($J342*cfg_TroyOz)/($M342),""),"")</f>
        <v/>
      </c>
      <c r="Q342" s="56">
        <f>IFERROR(IF(($N342)&gt;0,($K342*cfg_TroyOz)/($N342),""),"")</f>
        <v/>
      </c>
      <c r="R342" s="55">
        <f>$F342-$L342</f>
        <v/>
      </c>
      <c r="S342" s="55">
        <f>IF($B342=$B341,$S341,0)+$R342</f>
        <v/>
      </c>
      <c r="T342" s="55">
        <f>$T341+$R342</f>
        <v/>
      </c>
      <c r="U342" s="55">
        <f>SUMIFS(tblMovement[Tonnes_t],tblMovement[Date],$A342,tblMovement[Is_Ore],0,tblMovement[Source_Type],"Pit")</f>
        <v/>
      </c>
      <c r="V342" s="55">
        <f>IF($B342=$B341,$V341,0)+$U342</f>
        <v/>
      </c>
      <c r="W342" s="55">
        <f>$W341+$U342</f>
        <v/>
      </c>
      <c r="X342" s="55">
        <f>$F342+$U342</f>
        <v/>
      </c>
      <c r="Y342" s="55">
        <f>IF($B342=$B341,$Y341,0)+$X342</f>
        <v/>
      </c>
      <c r="Z342" s="55">
        <f>$Z341+$X342</f>
        <v/>
      </c>
      <c r="AA342" s="56">
        <f>IFERROR(IF(($F342)&gt;0,($U342)/($F342),""),"")</f>
        <v/>
      </c>
      <c r="AB342" s="56">
        <f>IFERROR(IF(($G342)&gt;0,($V342)/($G342),""),"")</f>
        <v/>
      </c>
      <c r="AC342" s="56">
        <f>IFERROR(IF(($H342)&gt;0,($W342)/($H342),""),"")</f>
        <v/>
      </c>
      <c r="AD342" s="55">
        <f>SUMIFS(tblMovement[Tonnes_t],tblMovement[Date],$A342,tblMovement[Source_Type],"Stockpile")</f>
        <v/>
      </c>
      <c r="AE342" s="55">
        <f>IF($B342=$B341,$AE341,0)+$AD342</f>
        <v/>
      </c>
      <c r="AF342" s="55">
        <f>$AF341+$AD342</f>
        <v/>
      </c>
      <c r="AG342" s="55">
        <f>SUMIFS(tblMovement[Tonnes_t],tblMovement[Date],$A342)</f>
        <v/>
      </c>
      <c r="AH342" s="55">
        <f>IF($B342=$B341,$AH341,0)+$AG342</f>
        <v/>
      </c>
      <c r="AI342" s="55">
        <f>$AI341+$AG342</f>
        <v/>
      </c>
      <c r="AJ342" s="55">
        <f>$AG342-$X342-$AD342</f>
        <v/>
      </c>
      <c r="AK342" s="55">
        <f>IF($B342=$B341,$AK341,0)+$AJ342</f>
        <v/>
      </c>
      <c r="AL342" s="55">
        <f>$AL341+$AJ342</f>
        <v/>
      </c>
      <c r="AM342" s="55">
        <f>SUMIFS(tblMiningDaily[Drill_m],tblMiningDaily[Date],$A342)</f>
        <v/>
      </c>
      <c r="AN342" s="55">
        <f>IF($B342=$B341,$AN341,0)+$AM342</f>
        <v/>
      </c>
      <c r="AO342" s="55">
        <f>$AO341+$AM342</f>
        <v/>
      </c>
      <c r="AP342" s="55">
        <f>SUMIFS(tblMiningDaily[GC_Drill_m],tblMiningDaily[Date],$A342)</f>
        <v/>
      </c>
      <c r="AQ342" s="55">
        <f>IF($B342=$B341,$AQ341,0)+$AP342</f>
        <v/>
      </c>
      <c r="AR342" s="55">
        <f>$AR341+$AP342</f>
        <v/>
      </c>
      <c r="AS342" s="55">
        <f>SUMIFS(tblMiningDaily[Blast_t],tblMiningDaily[Date],$A342)</f>
        <v/>
      </c>
      <c r="AT342" s="55">
        <f>IF($B342=$B341,$AT341,0)+$AS342</f>
        <v/>
      </c>
      <c r="AU342" s="55">
        <f>$AU341+$AS342</f>
        <v/>
      </c>
      <c r="AV342" s="55">
        <f>SUMIFS(tblMiningDaily[Explosives_kg],tblMiningDaily[Date],$A342)</f>
        <v/>
      </c>
      <c r="AW342" s="55">
        <f>IF($B342=$B341,$AW341,0)+$AV342</f>
        <v/>
      </c>
      <c r="AX342" s="55">
        <f>$AX341+$AV342</f>
        <v/>
      </c>
      <c r="AY342" s="56">
        <f>IFERROR(IF(($AS342)&gt;0,($AV342)/($AS342),""),"")</f>
        <v/>
      </c>
      <c r="AZ342" s="56">
        <f>IFERROR(IF(($AT342)&gt;0,($AW342)/($AT342),""),"")</f>
        <v/>
      </c>
      <c r="BA342" s="56">
        <f>IFERROR(IF(($AU342)&gt;0,($AX342)/($AU342),""),"")</f>
        <v/>
      </c>
      <c r="BB342" s="55">
        <f>SUMIFS(tblMiningDaily[Diesel_L],tblMiningDaily[Date],$A342)</f>
        <v/>
      </c>
      <c r="BC342" s="55">
        <f>IF($B342=$B341,$BC341,0)+$BB342</f>
        <v/>
      </c>
      <c r="BD342" s="55">
        <f>$BD341+$BB342</f>
        <v/>
      </c>
      <c r="BE342" s="55">
        <f>SUMIFS(tblMiningDaily[Dewatering_m3],tblMiningDaily[Date],$A342)</f>
        <v/>
      </c>
      <c r="BF342" s="55">
        <f>IF($B342=$B341,$BF341,0)+$BE342</f>
        <v/>
      </c>
      <c r="BG342" s="55">
        <f>$BG341+$BE342</f>
        <v/>
      </c>
      <c r="BH342" s="57">
        <f>SUMIFS(tblFleet[Calendar_h],tblFleet[Date],$A342,tblFleet[Equipment_Class],"Excavator")</f>
        <v/>
      </c>
      <c r="BI342" s="57">
        <f>IF($B342=$B341,$BI341,0)+$BH342</f>
        <v/>
      </c>
      <c r="BJ342" s="57">
        <f>$BJ341+$BH342</f>
        <v/>
      </c>
      <c r="BK342" s="57">
        <f>SUMIFS(tblFleet[Available_h],tblFleet[Date],$A342,tblFleet[Equipment_Class],"Excavator")</f>
        <v/>
      </c>
      <c r="BL342" s="57">
        <f>IF($B342=$B341,$BL341,0)+$BK342</f>
        <v/>
      </c>
      <c r="BM342" s="57">
        <f>$BM341+$BK342</f>
        <v/>
      </c>
      <c r="BN342" s="57">
        <f>SUMIFS(tblFleet[Operating_h],tblFleet[Date],$A342,tblFleet[Equipment_Class],"Excavator")</f>
        <v/>
      </c>
      <c r="BO342" s="57">
        <f>IF($B342=$B341,$BO341,0)+$BN342</f>
        <v/>
      </c>
      <c r="BP342" s="57">
        <f>$BP341+$BN342</f>
        <v/>
      </c>
      <c r="BQ342" s="67">
        <f>IFERROR(IF(($BH342)&gt;0,($BK342)/($BH342),""),"")</f>
        <v/>
      </c>
      <c r="BR342" s="67">
        <f>IFERROR(IF(($BI342)&gt;0,($BL342)/($BI342),""),"")</f>
        <v/>
      </c>
      <c r="BS342" s="67">
        <f>IFERROR(IF(($BJ342)&gt;0,($BM342)/($BJ342),""),"")</f>
        <v/>
      </c>
      <c r="BT342" s="67">
        <f>IFERROR(IF(($BK342)&gt;0,($BN342)/($BK342),""),"")</f>
        <v/>
      </c>
      <c r="BU342" s="67">
        <f>IFERROR(IF(($BL342)&gt;0,($BO342)/($BL342),""),"")</f>
        <v/>
      </c>
      <c r="BV342" s="67">
        <f>IFERROR(IF(($BM342)&gt;0,($BP342)/($BM342),""),"")</f>
        <v/>
      </c>
      <c r="BW342" s="57">
        <f>SUMIFS(tblFleet[Calendar_h],tblFleet[Date],$A342,tblFleet[Equipment_Class],"Haul Truck")</f>
        <v/>
      </c>
      <c r="BX342" s="57">
        <f>IF($B342=$B341,$BX341,0)+$BW342</f>
        <v/>
      </c>
      <c r="BY342" s="57">
        <f>$BY341+$BW342</f>
        <v/>
      </c>
      <c r="BZ342" s="57">
        <f>SUMIFS(tblFleet[Available_h],tblFleet[Date],$A342,tblFleet[Equipment_Class],"Haul Truck")</f>
        <v/>
      </c>
      <c r="CA342" s="57">
        <f>IF($B342=$B341,$CA341,0)+$BZ342</f>
        <v/>
      </c>
      <c r="CB342" s="57">
        <f>$CB341+$BZ342</f>
        <v/>
      </c>
      <c r="CC342" s="57">
        <f>SUMIFS(tblFleet[Operating_h],tblFleet[Date],$A342,tblFleet[Equipment_Class],"Haul Truck")</f>
        <v/>
      </c>
      <c r="CD342" s="57">
        <f>IF($B342=$B341,$CD341,0)+$CC342</f>
        <v/>
      </c>
      <c r="CE342" s="57">
        <f>$CE341+$CC342</f>
        <v/>
      </c>
      <c r="CF342" s="67">
        <f>IFERROR(IF(($BW342)&gt;0,($BZ342)/($BW342),""),"")</f>
        <v/>
      </c>
      <c r="CG342" s="67">
        <f>IFERROR(IF(($BX342)&gt;0,($CA342)/($BX342),""),"")</f>
        <v/>
      </c>
      <c r="CH342" s="67">
        <f>IFERROR(IF(($BY342)&gt;0,($CB342)/($BY342),""),"")</f>
        <v/>
      </c>
      <c r="CI342" s="67">
        <f>IFERROR(IF(($BZ342)&gt;0,($CC342)/($BZ342),""),"")</f>
        <v/>
      </c>
      <c r="CJ342" s="67">
        <f>IFERROR(IF(($CA342)&gt;0,($CD342)/($CA342),""),"")</f>
        <v/>
      </c>
      <c r="CK342" s="67">
        <f>IFERROR(IF(($CB342)&gt;0,($CE342)/($CB342),""),"")</f>
        <v/>
      </c>
      <c r="CL342" s="55">
        <f>IFERROR(IF(($BN342)&gt;0,($X342+$AD342)/($BN342),""),"")</f>
        <v/>
      </c>
      <c r="CM342" s="55">
        <f>IFERROR(IF(($BO342)&gt;0,($Y342+$AE342)/($BO342),""),"")</f>
        <v/>
      </c>
      <c r="CN342" s="55">
        <f>IFERROR(IF(($BP342)&gt;0,($Z342+$AF342)/($BP342),""),"")</f>
        <v/>
      </c>
      <c r="CO342" s="55">
        <f>IFERROR(IF(($CC342)&gt;0,($X342+$AD342)/($CC342),""),"")</f>
        <v/>
      </c>
      <c r="CP342" s="55">
        <f>IFERROR(IF(($CD342)&gt;0,($Y342+$AE342)/($CD342),""),"")</f>
        <v/>
      </c>
      <c r="CQ342" s="55">
        <f>IFERROR(IF(($CE342)&gt;0,($Z342+$AF342)/($CE342),""),"")</f>
        <v/>
      </c>
      <c r="CR342" s="55">
        <f>SUMIFS(tblPlant[Crushed_t],tblPlant[Date],$A342)</f>
        <v/>
      </c>
      <c r="CS342" s="55">
        <f>IF($B342=$B341,$CS341,0)+$CR342</f>
        <v/>
      </c>
      <c r="CT342" s="55">
        <f>$CT341+$CR342</f>
        <v/>
      </c>
      <c r="CU342" s="55">
        <f>SUMIFS(tblPlant[Milled_t],tblPlant[Date],$A342)</f>
        <v/>
      </c>
      <c r="CV342" s="55">
        <f>IF($B342=$B341,$CV341,0)+$CU342</f>
        <v/>
      </c>
      <c r="CW342" s="55">
        <f>$CW341+$CU342</f>
        <v/>
      </c>
      <c r="CX342" s="55">
        <f>SUMIFS(tblPlant[Feed_oz],tblPlant[Date],$A342)</f>
        <v/>
      </c>
      <c r="CY342" s="55">
        <f>IF($B342=$B341,$CY341,0)+$CX342</f>
        <v/>
      </c>
      <c r="CZ342" s="55">
        <f>$CZ341+$CX342</f>
        <v/>
      </c>
      <c r="DA342" s="55">
        <f>SUMIFS(tblPlant[Tails_oz],tblPlant[Date],$A342)</f>
        <v/>
      </c>
      <c r="DB342" s="55">
        <f>IF($B342=$B341,$DB341,0)+$DA342</f>
        <v/>
      </c>
      <c r="DC342" s="55">
        <f>$DC341+$DA342</f>
        <v/>
      </c>
      <c r="DD342" s="55">
        <f>SUMIFS(tblPlant[Recovered_oz],tblPlant[Date],$A342)</f>
        <v/>
      </c>
      <c r="DE342" s="55">
        <f>IF($B342=$B341,$DE341,0)+$DD342</f>
        <v/>
      </c>
      <c r="DF342" s="55">
        <f>$DF341+$DD342</f>
        <v/>
      </c>
      <c r="DG342" s="55">
        <f>SUMIFS(tblPlant[Milled_t],tblPlant[Date],$A342,tblPlant[Head_Grade_gpt],"&lt;&gt;")</f>
        <v/>
      </c>
      <c r="DH342" s="55">
        <f>IF($B342=$B341,$DH341,0)+$DG342</f>
        <v/>
      </c>
      <c r="DI342" s="55">
        <f>$DI341+$DG342</f>
        <v/>
      </c>
      <c r="DJ342" s="55">
        <f>SUMIFS(tblPlant[Milled_t],tblPlant[Date],$A342,tblPlant[Tails_Grade_gpt],"&lt;&gt;")</f>
        <v/>
      </c>
      <c r="DK342" s="55">
        <f>IF($B342=$B341,$DK341,0)+$DJ342</f>
        <v/>
      </c>
      <c r="DL342" s="55">
        <f>$DL341+$DJ342</f>
        <v/>
      </c>
      <c r="DM342" s="55">
        <f>SUMIFS(tblPlant[Feed_oz],tblPlant[Date],$A342,tblPlant[Tails_Grade_gpt],"&lt;&gt;")</f>
        <v/>
      </c>
      <c r="DN342" s="55">
        <f>IF($B342=$B341,$DN341,0)+$DM342</f>
        <v/>
      </c>
      <c r="DO342" s="55">
        <f>$DO341+$DM342</f>
        <v/>
      </c>
      <c r="DP342" s="55">
        <f>SUMIFS(tblPlant[Milled_t],tblPlant[Date],$A342,tblPlant[Mill_Run_h],"&lt;&gt;")</f>
        <v/>
      </c>
      <c r="DQ342" s="55">
        <f>IF($B342=$B341,$DQ341,0)+$DP342</f>
        <v/>
      </c>
      <c r="DR342" s="55">
        <f>$DR341+$DP342</f>
        <v/>
      </c>
      <c r="DS342" s="56">
        <f>IFERROR(IF(($DG342)&gt;0,($CX342*cfg_TroyOz)/($DG342),""),"")</f>
        <v/>
      </c>
      <c r="DT342" s="56">
        <f>IFERROR(IF(($DH342)&gt;0,($CY342*cfg_TroyOz)/($DH342),""),"")</f>
        <v/>
      </c>
      <c r="DU342" s="56">
        <f>IFERROR(IF(($DI342)&gt;0,($CZ342*cfg_TroyOz)/($DI342),""),"")</f>
        <v/>
      </c>
      <c r="DV342" s="56">
        <f>IFERROR(IF(($DJ342)&gt;0,($DA342*cfg_TroyOz)/($DJ342),""),"")</f>
        <v/>
      </c>
      <c r="DW342" s="56">
        <f>IFERROR(IF(($DK342)&gt;0,($DB342*cfg_TroyOz)/($DK342),""),"")</f>
        <v/>
      </c>
      <c r="DX342" s="56">
        <f>IFERROR(IF(($DL342)&gt;0,($DC342*cfg_TroyOz)/($DL342),""),"")</f>
        <v/>
      </c>
      <c r="DY342" s="67">
        <f>IFERROR(IF(($DM342)&gt;0,($DD342)/($DM342),""),"")</f>
        <v/>
      </c>
      <c r="DZ342" s="67">
        <f>IFERROR(IF(($DN342)&gt;0,($DE342)/($DN342),""),"")</f>
        <v/>
      </c>
      <c r="EA342" s="67">
        <f>IFERROR(IF(($DO342)&gt;0,($DF342)/($DO342),""),"")</f>
        <v/>
      </c>
      <c r="EB342" s="55">
        <f>SUMIFS(tblPlant[Gravity_Gold_oz],tblPlant[Date],$A342)</f>
        <v/>
      </c>
      <c r="EC342" s="55">
        <f>IF($B342=$B341,$EC341,0)+$EB342</f>
        <v/>
      </c>
      <c r="ED342" s="55">
        <f>$ED341+$EB342</f>
        <v/>
      </c>
      <c r="EE342" s="67">
        <f>IFERROR(IF(($DD342)&gt;0,($EB342)/($DD342),""),"")</f>
        <v/>
      </c>
      <c r="EF342" s="67">
        <f>IFERROR(IF(($DE342)&gt;0,($EC342)/($DE342),""),"")</f>
        <v/>
      </c>
      <c r="EG342" s="67">
        <f>IFERROR(IF(($DF342)&gt;0,($ED342)/($DF342),""),"")</f>
        <v/>
      </c>
      <c r="EH342" s="55">
        <f>SUMIFS(tblPlant[Gold_Poured_oz],tblPlant[Date],$A342)</f>
        <v/>
      </c>
      <c r="EI342" s="55">
        <f>IF($B342=$B341,$EI341,0)+$EH342</f>
        <v/>
      </c>
      <c r="EJ342" s="55">
        <f>$EJ341+$EH342</f>
        <v/>
      </c>
      <c r="EK342" s="57">
        <f>SUMIFS(tblPlant[Mill_Run_h],tblPlant[Date],$A342)</f>
        <v/>
      </c>
      <c r="EL342" s="57">
        <f>IF($B342=$B341,$EL341,0)+$EK342</f>
        <v/>
      </c>
      <c r="EM342" s="57">
        <f>$EM341+$EK342</f>
        <v/>
      </c>
      <c r="EN342" s="57">
        <f>SUMIFS(tblPlant[Mill_Planned_Maint_h],tblPlant[Date],$A342)</f>
        <v/>
      </c>
      <c r="EO342" s="57">
        <f>IF($B342=$B341,$EO341,0)+$EN342</f>
        <v/>
      </c>
      <c r="EP342" s="57">
        <f>$EP341+$EN342</f>
        <v/>
      </c>
      <c r="EQ342" s="57">
        <f>SUMIFS(tblPlant[Mill_Unplanned_Down_h],tblPlant[Date],$A342)</f>
        <v/>
      </c>
      <c r="ER342" s="57">
        <f>IF($B342=$B341,$ER341,0)+$EQ342</f>
        <v/>
      </c>
      <c r="ES342" s="57">
        <f>$ES341+$EQ342</f>
        <v/>
      </c>
      <c r="ET342" s="57">
        <f>IF(COUNTIFS(tblPlant[Date],$A342,tblPlant[Mill_Run_h],"&lt;&gt;")+COUNTIFS(tblPlant[Date],$A342,tblPlant[Mill_Planned_Maint_h],"&lt;&gt;")+COUNTIFS(tblPlant[Date],$A342,tblPlant[Mill_Unplanned_Down_h],"&lt;&gt;")&gt;0,cfg_HoursPerDay,0)</f>
        <v/>
      </c>
      <c r="EU342" s="57">
        <f>IF($B342=$B341,$EU341,0)+$ET342</f>
        <v/>
      </c>
      <c r="EV342" s="57">
        <f>$EV341+$ET342</f>
        <v/>
      </c>
      <c r="EW342" s="57">
        <f>SUMIFS(tblPlant[Crusher_Run_h],tblPlant[Date],$A342)</f>
        <v/>
      </c>
      <c r="EX342" s="57">
        <f>IF($B342=$B341,$EX341,0)+$EW342</f>
        <v/>
      </c>
      <c r="EY342" s="57">
        <f>$EY341+$EW342</f>
        <v/>
      </c>
      <c r="EZ342" s="55">
        <f>IFERROR(IF(($EK342)&gt;0,($DP342)/($EK342),""),"")</f>
        <v/>
      </c>
      <c r="FA342" s="55">
        <f>IFERROR(IF(($EL342)&gt;0,($DQ342)/($EL342),""),"")</f>
        <v/>
      </c>
      <c r="FB342" s="55">
        <f>IFERROR(IF(($EM342)&gt;0,($DR342)/($EM342),""),"")</f>
        <v/>
      </c>
      <c r="FC342" s="67">
        <f>IFERROR(IF(($ET342)&gt;0,($ET342-$EN342-$EQ342)/($ET342),""),"")</f>
        <v/>
      </c>
      <c r="FD342" s="67">
        <f>IFERROR(IF(($EU342)&gt;0,($EU342-$EO342-$ER342)/($EU342),""),"")</f>
        <v/>
      </c>
      <c r="FE342" s="67">
        <f>IFERROR(IF(($EV342)&gt;0,($EV342-$EP342-$ES342)/($EV342),""),"")</f>
        <v/>
      </c>
      <c r="FF342" s="67">
        <f>IFERROR(IF(($ET342-$EN342-$EQ342)&gt;0,($EK342)/($ET342-$EN342-$EQ342),""),"")</f>
        <v/>
      </c>
      <c r="FG342" s="67">
        <f>IFERROR(IF(($EU342-$EO342-$ER342)&gt;0,($EL342)/($EU342-$EO342-$ER342),""),"")</f>
        <v/>
      </c>
      <c r="FH342" s="67">
        <f>IFERROR(IF(($EV342-$EP342-$ES342)&gt;0,($EM342)/($EV342-$EP342-$ES342),""),"")</f>
        <v/>
      </c>
      <c r="FI342" s="55">
        <f>SUMIFS(tblPlant[Cyanide_kg],tblPlant[Date],$A342)</f>
        <v/>
      </c>
      <c r="FJ342" s="55">
        <f>IF($B342=$B341,$FJ341,0)+$FI342</f>
        <v/>
      </c>
      <c r="FK342" s="55">
        <f>$FK341+$FI342</f>
        <v/>
      </c>
      <c r="FL342" s="55">
        <f>SUMIFS(tblPlant[Lime_kg],tblPlant[Date],$A342)</f>
        <v/>
      </c>
      <c r="FM342" s="55">
        <f>IF($B342=$B341,$FM341,0)+$FL342</f>
        <v/>
      </c>
      <c r="FN342" s="55">
        <f>$FN341+$FL342</f>
        <v/>
      </c>
      <c r="FO342" s="55">
        <f>SUMIFS(tblPlant[Grinding_Media_kg],tblPlant[Date],$A342)</f>
        <v/>
      </c>
      <c r="FP342" s="55">
        <f>IF($B342=$B341,$FP341,0)+$FO342</f>
        <v/>
      </c>
      <c r="FQ342" s="55">
        <f>$FQ341+$FO342</f>
        <v/>
      </c>
      <c r="FR342" s="55">
        <f>SUMIFS(tblPlant[Power_kWh],tblPlant[Date],$A342)</f>
        <v/>
      </c>
      <c r="FS342" s="55">
        <f>IF($B342=$B341,$FS341,0)+$FR342</f>
        <v/>
      </c>
      <c r="FT342" s="55">
        <f>$FT341+$FR342</f>
        <v/>
      </c>
      <c r="FU342" s="55">
        <f>SUMIFS(tblPlant[Raw_Water_m3],tblPlant[Date],$A342)</f>
        <v/>
      </c>
      <c r="FV342" s="55">
        <f>IF($B342=$B341,$FV341,0)+$FU342</f>
        <v/>
      </c>
      <c r="FW342" s="55">
        <f>$FW341+$FU342</f>
        <v/>
      </c>
      <c r="FX342" s="56">
        <f>IFERROR(IF(($CU342)&gt;0,($FI342)/($CU342),""),"")</f>
        <v/>
      </c>
      <c r="FY342" s="56">
        <f>IFERROR(IF(($CV342)&gt;0,($FJ342)/($CV342),""),"")</f>
        <v/>
      </c>
      <c r="FZ342" s="56">
        <f>IFERROR(IF(($CW342)&gt;0,($FK342)/($CW342),""),"")</f>
        <v/>
      </c>
      <c r="GA342" s="56">
        <f>IFERROR(IF(($CU342)&gt;0,($FL342)/($CU342),""),"")</f>
        <v/>
      </c>
      <c r="GB342" s="56">
        <f>IFERROR(IF(($CV342)&gt;0,($FM342)/($CV342),""),"")</f>
        <v/>
      </c>
      <c r="GC342" s="56">
        <f>IFERROR(IF(($CW342)&gt;0,($FN342)/($CW342),""),"")</f>
        <v/>
      </c>
      <c r="GD342" s="56">
        <f>IFERROR(IF(($CU342)&gt;0,($FO342)/($CU342),""),"")</f>
        <v/>
      </c>
      <c r="GE342" s="56">
        <f>IFERROR(IF(($CV342)&gt;0,($FP342)/($CV342),""),"")</f>
        <v/>
      </c>
      <c r="GF342" s="56">
        <f>IFERROR(IF(($CW342)&gt;0,($FQ342)/($CW342),""),"")</f>
        <v/>
      </c>
      <c r="GG342" s="79">
        <f>IFERROR(IF(($CU342)&gt;0,($FR342)/($CU342),""),"")</f>
        <v/>
      </c>
      <c r="GH342" s="79">
        <f>IFERROR(IF(($CV342)&gt;0,($FS342)/($CV342),""),"")</f>
        <v/>
      </c>
      <c r="GI342" s="79">
        <f>IFERROR(IF(($CW342)&gt;0,($FT342)/($CW342),""),"")</f>
        <v/>
      </c>
      <c r="GJ342" s="56">
        <f>IFERROR(IF(($CU342)&gt;0,($FU342)/($CU342),""),"")</f>
        <v/>
      </c>
      <c r="GK342" s="56">
        <f>IFERROR(IF(($CV342)&gt;0,($FV342)/($CV342),""),"")</f>
        <v/>
      </c>
      <c r="GL342" s="56">
        <f>IFERROR(IF(($CW342)&gt;0,($FW342)/($CW342),""),"")</f>
        <v/>
      </c>
      <c r="GM342" s="55">
        <f>IF(SUMIFS(tblPlant[GIC_oz],tblPlant[Date],$A342)&gt;0,SUMIFS(tblPlant[GIC_oz],tblPlant[Date],$A342),"")</f>
        <v/>
      </c>
      <c r="GN342" s="55">
        <f>SUMIFS(tblGold[Gold_oz],tblGold[Date],$A342,tblGold[Type],"Shipment")</f>
        <v/>
      </c>
      <c r="GO342" s="55">
        <f>IF($B342=$B341,$GO341,0)+$GN342</f>
        <v/>
      </c>
      <c r="GP342" s="55">
        <f>$GP341+$GN342</f>
        <v/>
      </c>
      <c r="GQ342" s="55">
        <f>SUMIFS(tblGold[Gold_oz],tblGold[Date],$A342,tblGold[Type],"Sale")</f>
        <v/>
      </c>
      <c r="GR342" s="55">
        <f>IF($B342=$B341,$GR341,0)+$GQ342</f>
        <v/>
      </c>
      <c r="GS342" s="55">
        <f>$GS341+$GQ342</f>
        <v/>
      </c>
      <c r="GT342" s="55">
        <f>SUMIFS(tblGold[Dore_kg],tblGold[Date],$A342,tblGold[Type],"Shipment")</f>
        <v/>
      </c>
      <c r="GU342" s="55">
        <f>IF($B342=$B341,$GU341,0)+$GT342</f>
        <v/>
      </c>
      <c r="GV342" s="55">
        <f>$GV341+$GT342</f>
        <v/>
      </c>
      <c r="GW342" s="57">
        <f>SUMIFS(tblSafety[Hours_Total],tblSafety[Date],$A342)</f>
        <v/>
      </c>
      <c r="GX342" s="57">
        <f>IF($B342=$B341,$GX341,0)+$GW342</f>
        <v/>
      </c>
      <c r="GY342" s="57">
        <f>$GY341+$GW342</f>
        <v/>
      </c>
      <c r="GZ342" s="62">
        <f>SUMIFS(tblSafety[Fatality],tblSafety[Date],$A342)</f>
        <v/>
      </c>
      <c r="HA342" s="62">
        <f>IF($B342=$B341,$HA341,0)+$GZ342</f>
        <v/>
      </c>
      <c r="HB342" s="62">
        <f>$HB341+$GZ342</f>
        <v/>
      </c>
      <c r="HC342" s="62">
        <f>SUMIFS(tblSafety[LTI],tblSafety[Date],$A342)</f>
        <v/>
      </c>
      <c r="HD342" s="62">
        <f>IF($B342=$B341,$HD341,0)+$HC342</f>
        <v/>
      </c>
      <c r="HE342" s="62">
        <f>$HE341+$HC342</f>
        <v/>
      </c>
      <c r="HF342" s="62">
        <f>SUMIFS(tblSafety[RWI],tblSafety[Date],$A342)</f>
        <v/>
      </c>
      <c r="HG342" s="62">
        <f>IF($B342=$B341,$HG341,0)+$HF342</f>
        <v/>
      </c>
      <c r="HH342" s="62">
        <f>$HH341+$HF342</f>
        <v/>
      </c>
      <c r="HI342" s="62">
        <f>SUMIFS(tblSafety[MTI],tblSafety[Date],$A342)</f>
        <v/>
      </c>
      <c r="HJ342" s="62">
        <f>IF($B342=$B341,$HJ341,0)+$HI342</f>
        <v/>
      </c>
      <c r="HK342" s="62">
        <f>$HK341+$HI342</f>
        <v/>
      </c>
      <c r="HL342" s="62">
        <f>SUMIFS(tblSafety[FAI],tblSafety[Date],$A342)</f>
        <v/>
      </c>
      <c r="HM342" s="62">
        <f>IF($B342=$B341,$HM341,0)+$HL342</f>
        <v/>
      </c>
      <c r="HN342" s="62">
        <f>$HN341+$HL342</f>
        <v/>
      </c>
      <c r="HO342" s="62">
        <f>SUMIFS(tblSafety[Recordables],tblSafety[Date],$A342)</f>
        <v/>
      </c>
      <c r="HP342" s="62">
        <f>IF($B342=$B341,$HP341,0)+$HO342</f>
        <v/>
      </c>
      <c r="HQ342" s="62">
        <f>$HQ341+$HO342</f>
        <v/>
      </c>
      <c r="HR342" s="62">
        <f>SUMIFS(tblSafety[Near_Miss],tblSafety[Date],$A342)</f>
        <v/>
      </c>
      <c r="HS342" s="62">
        <f>IF($B342=$B341,$HS341,0)+$HR342</f>
        <v/>
      </c>
      <c r="HT342" s="62">
        <f>$HT341+$HR342</f>
        <v/>
      </c>
      <c r="HU342" s="62">
        <f>SUMIFS(tblSafety[Hazard_Reports],tblSafety[Date],$A342)</f>
        <v/>
      </c>
      <c r="HV342" s="62">
        <f>IF($B342=$B341,$HV341,0)+$HU342</f>
        <v/>
      </c>
      <c r="HW342" s="62">
        <f>$HW341+$HU342</f>
        <v/>
      </c>
      <c r="HX342" s="62">
        <f>SUMIFS(tblSafety[HPI],tblSafety[Date],$A342)</f>
        <v/>
      </c>
      <c r="HY342" s="62">
        <f>IF($B342=$B341,$HY341,0)+$HX342</f>
        <v/>
      </c>
      <c r="HZ342" s="62">
        <f>$HZ341+$HX342</f>
        <v/>
      </c>
      <c r="IA342" s="62">
        <f>SUMIFS(tblSafety[Env_Incidents],tblSafety[Date],$A342)</f>
        <v/>
      </c>
      <c r="IB342" s="62">
        <f>IF($B342=$B341,$IB341,0)+$IA342</f>
        <v/>
      </c>
      <c r="IC342" s="62">
        <f>$IC341+$IA342</f>
        <v/>
      </c>
      <c r="ID342" s="62">
        <f>SUMIFS(tblSafety[Community_Incidents],tblSafety[Date],$A342)</f>
        <v/>
      </c>
      <c r="IE342" s="62">
        <f>IF($B342=$B341,$IE341,0)+$ID342</f>
        <v/>
      </c>
      <c r="IF342" s="62">
        <f>$IF341+$ID342</f>
        <v/>
      </c>
      <c r="IG342" s="62">
        <f>SUMIFS(tblSafety[Vehicle_Incidents],tblSafety[Date],$A342)</f>
        <v/>
      </c>
      <c r="IH342" s="62">
        <f>IF($B342=$B341,$IH341,0)+$IG342</f>
        <v/>
      </c>
      <c r="II342" s="62">
        <f>$II341+$IG342</f>
        <v/>
      </c>
      <c r="IJ342" s="62">
        <f>SUMIFS(tblSafety[Toolbox_Talks],tblSafety[Date],$A342)</f>
        <v/>
      </c>
      <c r="IK342" s="62">
        <f>IF($B342=$B341,$IK341,0)+$IJ342</f>
        <v/>
      </c>
      <c r="IL342" s="62">
        <f>$IL341+$IJ342</f>
        <v/>
      </c>
      <c r="IM342" s="62">
        <f>SUMIFS(tblSafety[Inspections],tblSafety[Date],$A342)</f>
        <v/>
      </c>
      <c r="IN342" s="62">
        <f>IF($B342=$B341,$IN341,0)+$IM342</f>
        <v/>
      </c>
      <c r="IO342" s="62">
        <f>$IO341+$IM342</f>
        <v/>
      </c>
      <c r="IP342" s="56">
        <f>IFERROR((SUMIFS(tblSafety[Recordables],tblSafety[Date],"&gt;="&amp;EDATE($E342,-12),tblSafety[Date],"&lt;="&amp;$A342)+SUMIFS(tblSafetyHistory[Recordables],tblSafetyHistory[Month],"&gt;="&amp;EDATE($E342,-12),tblSafetyHistory[Month],"&lt;"&amp;$E342,tblSafetyHistory[Use],1))/(SUMIFS(tblSafety[Hours_Total],tblSafety[Date],"&gt;="&amp;EDATE($E342,-12),tblSafety[Date],"&lt;="&amp;$A342)+SUMIFS(tblSafetyHistory[Hours_Total],tblSafetyHistory[Month],"&gt;="&amp;EDATE($E342,-12),tblSafetyHistory[Month],"&lt;"&amp;$E342,tblSafetyHistory[Use],1))*cfg_RateBasisHours,"")</f>
        <v/>
      </c>
      <c r="IQ342" s="56">
        <f>IFERROR((SUMIFS(tblSafety[LTI],tblSafety[Date],"&gt;="&amp;EDATE($E342,-12),tblSafety[Date],"&lt;="&amp;$A342)+SUMIFS(tblSafetyHistory[LTI],tblSafetyHistory[Month],"&gt;="&amp;EDATE($E342,-12),tblSafetyHistory[Month],"&lt;"&amp;$E342,tblSafetyHistory[Use],1))/(SUMIFS(tblSafety[Hours_Total],tblSafety[Date],"&gt;="&amp;EDATE($E342,-12),tblSafety[Date],"&lt;="&amp;$A342)+SUMIFS(tblSafetyHistory[Hours_Total],tblSafetyHistory[Month],"&gt;="&amp;EDATE($E342,-12),tblSafetyHistory[Month],"&lt;"&amp;$E342,tblSafetyHistory[Use],1))*cfg_RateBasisHours,"")</f>
        <v/>
      </c>
      <c r="IR342" s="62">
        <f>IF(MAX(N(cfg_PriorLTIDate),_xlfn.MAXIFS(tblSafety[Date],tblSafety[LTI],"&gt;0",tblSafety[Date],"&lt;="&amp;$A342))=0,"",$A342-MAX(N(cfg_PriorLTIDate),_xlfn.MAXIFS(tblSafety[Date],tblSafety[LTI],"&gt;0",tblSafety[Date],"&lt;="&amp;$A342)))</f>
        <v/>
      </c>
      <c r="IS342" s="55">
        <f>SUMIFS(tblBudget[Ore_Mined_t],tblBudget[Month],$E342)</f>
        <v/>
      </c>
      <c r="IT342" s="55">
        <f>$IS342*$C342/$D342</f>
        <v/>
      </c>
      <c r="IU342" s="55">
        <f>SUMIFS(tblBudget[Ore_Mined_t],tblBudget[Month],"&lt;"&amp;$E342)+$IT342</f>
        <v/>
      </c>
      <c r="IV342" s="55">
        <f>SUMIFS(tblBudget[Ore_oz],tblBudget[Month],$E342)</f>
        <v/>
      </c>
      <c r="IW342" s="55">
        <f>$IV342*$C342/$D342</f>
        <v/>
      </c>
      <c r="IX342" s="55">
        <f>SUMIFS(tblBudget[Ore_oz],tblBudget[Month],"&lt;"&amp;$E342)+$IW342</f>
        <v/>
      </c>
      <c r="IY342" s="55">
        <f>SUMIFS(tblBudget[Ore_Mined_t],tblBudget[Month],$E342)</f>
        <v/>
      </c>
      <c r="IZ342" s="55">
        <f>$IY342*$C342/$D342</f>
        <v/>
      </c>
      <c r="JA342" s="55">
        <f>SUMIFS(tblBudget[Ore_Mined_t],tblBudget[Month],"&lt;"&amp;$E342)+$IZ342</f>
        <v/>
      </c>
      <c r="JB342" s="56">
        <f>IFERROR(IF(($IY342)&gt;0,($IV342*cfg_TroyOz)/($IY342),""),"")</f>
        <v/>
      </c>
      <c r="JC342" s="56">
        <f>IFERROR(IF(($IZ342)&gt;0,($IW342*cfg_TroyOz)/($IZ342),""),"")</f>
        <v/>
      </c>
      <c r="JD342" s="56">
        <f>IFERROR(IF(($JA342)&gt;0,($IX342*cfg_TroyOz)/($JA342),""),"")</f>
        <v/>
      </c>
      <c r="JE342" s="55">
        <f>SUMIFS(tblBudget[Waste_t],tblBudget[Month],$E342)</f>
        <v/>
      </c>
      <c r="JF342" s="55">
        <f>$JE342*$C342/$D342</f>
        <v/>
      </c>
      <c r="JG342" s="55">
        <f>SUMIFS(tblBudget[Waste_t],tblBudget[Month],"&lt;"&amp;$E342)+$JF342</f>
        <v/>
      </c>
      <c r="JH342" s="55">
        <f>SUMIFS(tblBudget[TMM_t],tblBudget[Month],$E342)</f>
        <v/>
      </c>
      <c r="JI342" s="55">
        <f>$JH342*$C342/$D342</f>
        <v/>
      </c>
      <c r="JJ342" s="55">
        <f>SUMIFS(tblBudget[TMM_t],tblBudget[Month],"&lt;"&amp;$E342)+$JI342</f>
        <v/>
      </c>
      <c r="JK342" s="56">
        <f>IFERROR(IF(($IS342)&gt;0,($JE342)/($IS342),""),"")</f>
        <v/>
      </c>
      <c r="JL342" s="56">
        <f>IFERROR(IF(($IT342)&gt;0,($JF342)/($IT342),""),"")</f>
        <v/>
      </c>
      <c r="JM342" s="56">
        <f>IFERROR(IF(($IU342)&gt;0,($JG342)/($IU342),""),"")</f>
        <v/>
      </c>
      <c r="JN342" s="55">
        <f>SUMIFS(tblBudget[Drill_m],tblBudget[Month],$E342)</f>
        <v/>
      </c>
      <c r="JO342" s="55">
        <f>$JN342*$C342/$D342</f>
        <v/>
      </c>
      <c r="JP342" s="55">
        <f>SUMIFS(tblBudget[Drill_m],tblBudget[Month],"&lt;"&amp;$E342)+$JO342</f>
        <v/>
      </c>
      <c r="JQ342" s="55">
        <f>SUMIFS(tblBudget[Diesel_L],tblBudget[Month],$E342)</f>
        <v/>
      </c>
      <c r="JR342" s="55">
        <f>$JQ342*$C342/$D342</f>
        <v/>
      </c>
      <c r="JS342" s="55">
        <f>SUMIFS(tblBudget[Diesel_L],tblBudget[Month],"&lt;"&amp;$E342)+$JR342</f>
        <v/>
      </c>
      <c r="JT342" s="55">
        <f>SUMIFS(tblBudget[Milled_t],tblBudget[Month],$E342)</f>
        <v/>
      </c>
      <c r="JU342" s="55">
        <f>$JT342*$C342/$D342</f>
        <v/>
      </c>
      <c r="JV342" s="55">
        <f>SUMIFS(tblBudget[Milled_t],tblBudget[Month],"&lt;"&amp;$E342)+$JU342</f>
        <v/>
      </c>
      <c r="JW342" s="55">
        <f>SUMIFS(tblBudget[Feed_oz],tblBudget[Month],$E342)</f>
        <v/>
      </c>
      <c r="JX342" s="55">
        <f>$JW342*$C342/$D342</f>
        <v/>
      </c>
      <c r="JY342" s="55">
        <f>SUMIFS(tblBudget[Feed_oz],tblBudget[Month],"&lt;"&amp;$E342)+$JX342</f>
        <v/>
      </c>
      <c r="JZ342" s="55">
        <f>SUMIFS(tblBudget[Recovered_oz],tblBudget[Month],$E342)</f>
        <v/>
      </c>
      <c r="KA342" s="55">
        <f>$JZ342*$C342/$D342</f>
        <v/>
      </c>
      <c r="KB342" s="55">
        <f>SUMIFS(tblBudget[Recovered_oz],tblBudget[Month],"&lt;"&amp;$E342)+$KA342</f>
        <v/>
      </c>
      <c r="KC342" s="55">
        <f>SUMIFS(tblBudget[Milled_t],tblBudget[Month],$E342)</f>
        <v/>
      </c>
      <c r="KD342" s="55">
        <f>$KC342*$C342/$D342</f>
        <v/>
      </c>
      <c r="KE342" s="55">
        <f>SUMIFS(tblBudget[Milled_t],tblBudget[Month],"&lt;"&amp;$E342)+$KD342</f>
        <v/>
      </c>
      <c r="KF342" s="55">
        <f>SUMIFS(tblBudget[Feed_oz],tblBudget[Month],$E342)</f>
        <v/>
      </c>
      <c r="KG342" s="55">
        <f>$KF342*$C342/$D342</f>
        <v/>
      </c>
      <c r="KH342" s="55">
        <f>SUMIFS(tblBudget[Feed_oz],tblBudget[Month],"&lt;"&amp;$E342)+$KG342</f>
        <v/>
      </c>
      <c r="KI342" s="56">
        <f>IFERROR(IF(($KC342)&gt;0,($JW342*cfg_TroyOz)/($KC342),""),"")</f>
        <v/>
      </c>
      <c r="KJ342" s="56">
        <f>IFERROR(IF(($KD342)&gt;0,($JX342*cfg_TroyOz)/($KD342),""),"")</f>
        <v/>
      </c>
      <c r="KK342" s="56">
        <f>IFERROR(IF(($KE342)&gt;0,($JY342*cfg_TroyOz)/($KE342),""),"")</f>
        <v/>
      </c>
      <c r="KL342" s="67">
        <f>IFERROR(IF(($KF342)&gt;0,($JZ342)/($KF342),""),"")</f>
        <v/>
      </c>
      <c r="KM342" s="67">
        <f>IFERROR(IF(($KG342)&gt;0,($KA342)/($KG342),""),"")</f>
        <v/>
      </c>
      <c r="KN342" s="67">
        <f>IFERROR(IF(($KH342)&gt;0,($KB342)/($KH342),""),"")</f>
        <v/>
      </c>
      <c r="KO342" s="55">
        <f>SUMIFS(tblBudget[Gold_Poured_oz],tblBudget[Month],$E342)</f>
        <v/>
      </c>
      <c r="KP342" s="55">
        <f>$KO342*$C342/$D342</f>
        <v/>
      </c>
      <c r="KQ342" s="55">
        <f>SUMIFS(tblBudget[Gold_Poured_oz],tblBudget[Month],"&lt;"&amp;$E342)+$KP342</f>
        <v/>
      </c>
      <c r="KR342" s="57">
        <f>SUMIFS(tblBudget[Hours_Worked],tblBudget[Month],$E342)</f>
        <v/>
      </c>
      <c r="KS342" s="57">
        <f>$KR342*$C342/$D342</f>
        <v/>
      </c>
      <c r="KT342" s="57">
        <f>SUMIFS(tblBudget[Hours_Worked],tblBudget[Month],"&lt;"&amp;$E342)+$KS342</f>
        <v/>
      </c>
    </row>
    <row r="343">
      <c r="A343" s="54" t="n">
        <v>46364</v>
      </c>
      <c r="B343">
        <f>MONTH($A343)</f>
        <v/>
      </c>
      <c r="C343">
        <f>DAY($A343)</f>
        <v/>
      </c>
      <c r="D343">
        <f>DAY(EOMONTH($A343,0))</f>
        <v/>
      </c>
      <c r="E343" s="54">
        <f>DATE(YEAR($A343),MONTH($A343),1)</f>
        <v/>
      </c>
      <c r="F343" s="55">
        <f>SUMIFS(tblMovement[Tonnes_t],tblMovement[Date],$A343,tblMovement[Is_Ore],1,tblMovement[Source_Type],"Pit")</f>
        <v/>
      </c>
      <c r="G343" s="55">
        <f>IF($B343=$B342,$G342,0)+$F343</f>
        <v/>
      </c>
      <c r="H343" s="55">
        <f>$H342+$F343</f>
        <v/>
      </c>
      <c r="I343" s="55">
        <f>SUMIFS(tblMovement[Ore_oz],tblMovement[Date],$A343,tblMovement[Source_Type],"Pit")</f>
        <v/>
      </c>
      <c r="J343" s="55">
        <f>IF($B343=$B342,$J342,0)+$I343</f>
        <v/>
      </c>
      <c r="K343" s="55">
        <f>$K342+$I343</f>
        <v/>
      </c>
      <c r="L343" s="55">
        <f>SUMIFS(tblMovement[Tonnes_t],tblMovement[Date],$A343,tblMovement[Is_Ore],1,tblMovement[Source_Type],"Pit",tblMovement[Grade_gpt],"&lt;&gt;")</f>
        <v/>
      </c>
      <c r="M343" s="55">
        <f>IF($B343=$B342,$M342,0)+$L343</f>
        <v/>
      </c>
      <c r="N343" s="55">
        <f>$N342+$L343</f>
        <v/>
      </c>
      <c r="O343" s="56">
        <f>IFERROR(IF(($L343)&gt;0,($I343*cfg_TroyOz)/($L343),""),"")</f>
        <v/>
      </c>
      <c r="P343" s="56">
        <f>IFERROR(IF(($M343)&gt;0,($J343*cfg_TroyOz)/($M343),""),"")</f>
        <v/>
      </c>
      <c r="Q343" s="56">
        <f>IFERROR(IF(($N343)&gt;0,($K343*cfg_TroyOz)/($N343),""),"")</f>
        <v/>
      </c>
      <c r="R343" s="55">
        <f>$F343-$L343</f>
        <v/>
      </c>
      <c r="S343" s="55">
        <f>IF($B343=$B342,$S342,0)+$R343</f>
        <v/>
      </c>
      <c r="T343" s="55">
        <f>$T342+$R343</f>
        <v/>
      </c>
      <c r="U343" s="55">
        <f>SUMIFS(tblMovement[Tonnes_t],tblMovement[Date],$A343,tblMovement[Is_Ore],0,tblMovement[Source_Type],"Pit")</f>
        <v/>
      </c>
      <c r="V343" s="55">
        <f>IF($B343=$B342,$V342,0)+$U343</f>
        <v/>
      </c>
      <c r="W343" s="55">
        <f>$W342+$U343</f>
        <v/>
      </c>
      <c r="X343" s="55">
        <f>$F343+$U343</f>
        <v/>
      </c>
      <c r="Y343" s="55">
        <f>IF($B343=$B342,$Y342,0)+$X343</f>
        <v/>
      </c>
      <c r="Z343" s="55">
        <f>$Z342+$X343</f>
        <v/>
      </c>
      <c r="AA343" s="56">
        <f>IFERROR(IF(($F343)&gt;0,($U343)/($F343),""),"")</f>
        <v/>
      </c>
      <c r="AB343" s="56">
        <f>IFERROR(IF(($G343)&gt;0,($V343)/($G343),""),"")</f>
        <v/>
      </c>
      <c r="AC343" s="56">
        <f>IFERROR(IF(($H343)&gt;0,($W343)/($H343),""),"")</f>
        <v/>
      </c>
      <c r="AD343" s="55">
        <f>SUMIFS(tblMovement[Tonnes_t],tblMovement[Date],$A343,tblMovement[Source_Type],"Stockpile")</f>
        <v/>
      </c>
      <c r="AE343" s="55">
        <f>IF($B343=$B342,$AE342,0)+$AD343</f>
        <v/>
      </c>
      <c r="AF343" s="55">
        <f>$AF342+$AD343</f>
        <v/>
      </c>
      <c r="AG343" s="55">
        <f>SUMIFS(tblMovement[Tonnes_t],tblMovement[Date],$A343)</f>
        <v/>
      </c>
      <c r="AH343" s="55">
        <f>IF($B343=$B342,$AH342,0)+$AG343</f>
        <v/>
      </c>
      <c r="AI343" s="55">
        <f>$AI342+$AG343</f>
        <v/>
      </c>
      <c r="AJ343" s="55">
        <f>$AG343-$X343-$AD343</f>
        <v/>
      </c>
      <c r="AK343" s="55">
        <f>IF($B343=$B342,$AK342,0)+$AJ343</f>
        <v/>
      </c>
      <c r="AL343" s="55">
        <f>$AL342+$AJ343</f>
        <v/>
      </c>
      <c r="AM343" s="55">
        <f>SUMIFS(tblMiningDaily[Drill_m],tblMiningDaily[Date],$A343)</f>
        <v/>
      </c>
      <c r="AN343" s="55">
        <f>IF($B343=$B342,$AN342,0)+$AM343</f>
        <v/>
      </c>
      <c r="AO343" s="55">
        <f>$AO342+$AM343</f>
        <v/>
      </c>
      <c r="AP343" s="55">
        <f>SUMIFS(tblMiningDaily[GC_Drill_m],tblMiningDaily[Date],$A343)</f>
        <v/>
      </c>
      <c r="AQ343" s="55">
        <f>IF($B343=$B342,$AQ342,0)+$AP343</f>
        <v/>
      </c>
      <c r="AR343" s="55">
        <f>$AR342+$AP343</f>
        <v/>
      </c>
      <c r="AS343" s="55">
        <f>SUMIFS(tblMiningDaily[Blast_t],tblMiningDaily[Date],$A343)</f>
        <v/>
      </c>
      <c r="AT343" s="55">
        <f>IF($B343=$B342,$AT342,0)+$AS343</f>
        <v/>
      </c>
      <c r="AU343" s="55">
        <f>$AU342+$AS343</f>
        <v/>
      </c>
      <c r="AV343" s="55">
        <f>SUMIFS(tblMiningDaily[Explosives_kg],tblMiningDaily[Date],$A343)</f>
        <v/>
      </c>
      <c r="AW343" s="55">
        <f>IF($B343=$B342,$AW342,0)+$AV343</f>
        <v/>
      </c>
      <c r="AX343" s="55">
        <f>$AX342+$AV343</f>
        <v/>
      </c>
      <c r="AY343" s="56">
        <f>IFERROR(IF(($AS343)&gt;0,($AV343)/($AS343),""),"")</f>
        <v/>
      </c>
      <c r="AZ343" s="56">
        <f>IFERROR(IF(($AT343)&gt;0,($AW343)/($AT343),""),"")</f>
        <v/>
      </c>
      <c r="BA343" s="56">
        <f>IFERROR(IF(($AU343)&gt;0,($AX343)/($AU343),""),"")</f>
        <v/>
      </c>
      <c r="BB343" s="55">
        <f>SUMIFS(tblMiningDaily[Diesel_L],tblMiningDaily[Date],$A343)</f>
        <v/>
      </c>
      <c r="BC343" s="55">
        <f>IF($B343=$B342,$BC342,0)+$BB343</f>
        <v/>
      </c>
      <c r="BD343" s="55">
        <f>$BD342+$BB343</f>
        <v/>
      </c>
      <c r="BE343" s="55">
        <f>SUMIFS(tblMiningDaily[Dewatering_m3],tblMiningDaily[Date],$A343)</f>
        <v/>
      </c>
      <c r="BF343" s="55">
        <f>IF($B343=$B342,$BF342,0)+$BE343</f>
        <v/>
      </c>
      <c r="BG343" s="55">
        <f>$BG342+$BE343</f>
        <v/>
      </c>
      <c r="BH343" s="57">
        <f>SUMIFS(tblFleet[Calendar_h],tblFleet[Date],$A343,tblFleet[Equipment_Class],"Excavator")</f>
        <v/>
      </c>
      <c r="BI343" s="57">
        <f>IF($B343=$B342,$BI342,0)+$BH343</f>
        <v/>
      </c>
      <c r="BJ343" s="57">
        <f>$BJ342+$BH343</f>
        <v/>
      </c>
      <c r="BK343" s="57">
        <f>SUMIFS(tblFleet[Available_h],tblFleet[Date],$A343,tblFleet[Equipment_Class],"Excavator")</f>
        <v/>
      </c>
      <c r="BL343" s="57">
        <f>IF($B343=$B342,$BL342,0)+$BK343</f>
        <v/>
      </c>
      <c r="BM343" s="57">
        <f>$BM342+$BK343</f>
        <v/>
      </c>
      <c r="BN343" s="57">
        <f>SUMIFS(tblFleet[Operating_h],tblFleet[Date],$A343,tblFleet[Equipment_Class],"Excavator")</f>
        <v/>
      </c>
      <c r="BO343" s="57">
        <f>IF($B343=$B342,$BO342,0)+$BN343</f>
        <v/>
      </c>
      <c r="BP343" s="57">
        <f>$BP342+$BN343</f>
        <v/>
      </c>
      <c r="BQ343" s="67">
        <f>IFERROR(IF(($BH343)&gt;0,($BK343)/($BH343),""),"")</f>
        <v/>
      </c>
      <c r="BR343" s="67">
        <f>IFERROR(IF(($BI343)&gt;0,($BL343)/($BI343),""),"")</f>
        <v/>
      </c>
      <c r="BS343" s="67">
        <f>IFERROR(IF(($BJ343)&gt;0,($BM343)/($BJ343),""),"")</f>
        <v/>
      </c>
      <c r="BT343" s="67">
        <f>IFERROR(IF(($BK343)&gt;0,($BN343)/($BK343),""),"")</f>
        <v/>
      </c>
      <c r="BU343" s="67">
        <f>IFERROR(IF(($BL343)&gt;0,($BO343)/($BL343),""),"")</f>
        <v/>
      </c>
      <c r="BV343" s="67">
        <f>IFERROR(IF(($BM343)&gt;0,($BP343)/($BM343),""),"")</f>
        <v/>
      </c>
      <c r="BW343" s="57">
        <f>SUMIFS(tblFleet[Calendar_h],tblFleet[Date],$A343,tblFleet[Equipment_Class],"Haul Truck")</f>
        <v/>
      </c>
      <c r="BX343" s="57">
        <f>IF($B343=$B342,$BX342,0)+$BW343</f>
        <v/>
      </c>
      <c r="BY343" s="57">
        <f>$BY342+$BW343</f>
        <v/>
      </c>
      <c r="BZ343" s="57">
        <f>SUMIFS(tblFleet[Available_h],tblFleet[Date],$A343,tblFleet[Equipment_Class],"Haul Truck")</f>
        <v/>
      </c>
      <c r="CA343" s="57">
        <f>IF($B343=$B342,$CA342,0)+$BZ343</f>
        <v/>
      </c>
      <c r="CB343" s="57">
        <f>$CB342+$BZ343</f>
        <v/>
      </c>
      <c r="CC343" s="57">
        <f>SUMIFS(tblFleet[Operating_h],tblFleet[Date],$A343,tblFleet[Equipment_Class],"Haul Truck")</f>
        <v/>
      </c>
      <c r="CD343" s="57">
        <f>IF($B343=$B342,$CD342,0)+$CC343</f>
        <v/>
      </c>
      <c r="CE343" s="57">
        <f>$CE342+$CC343</f>
        <v/>
      </c>
      <c r="CF343" s="67">
        <f>IFERROR(IF(($BW343)&gt;0,($BZ343)/($BW343),""),"")</f>
        <v/>
      </c>
      <c r="CG343" s="67">
        <f>IFERROR(IF(($BX343)&gt;0,($CA343)/($BX343),""),"")</f>
        <v/>
      </c>
      <c r="CH343" s="67">
        <f>IFERROR(IF(($BY343)&gt;0,($CB343)/($BY343),""),"")</f>
        <v/>
      </c>
      <c r="CI343" s="67">
        <f>IFERROR(IF(($BZ343)&gt;0,($CC343)/($BZ343),""),"")</f>
        <v/>
      </c>
      <c r="CJ343" s="67">
        <f>IFERROR(IF(($CA343)&gt;0,($CD343)/($CA343),""),"")</f>
        <v/>
      </c>
      <c r="CK343" s="67">
        <f>IFERROR(IF(($CB343)&gt;0,($CE343)/($CB343),""),"")</f>
        <v/>
      </c>
      <c r="CL343" s="55">
        <f>IFERROR(IF(($BN343)&gt;0,($X343+$AD343)/($BN343),""),"")</f>
        <v/>
      </c>
      <c r="CM343" s="55">
        <f>IFERROR(IF(($BO343)&gt;0,($Y343+$AE343)/($BO343),""),"")</f>
        <v/>
      </c>
      <c r="CN343" s="55">
        <f>IFERROR(IF(($BP343)&gt;0,($Z343+$AF343)/($BP343),""),"")</f>
        <v/>
      </c>
      <c r="CO343" s="55">
        <f>IFERROR(IF(($CC343)&gt;0,($X343+$AD343)/($CC343),""),"")</f>
        <v/>
      </c>
      <c r="CP343" s="55">
        <f>IFERROR(IF(($CD343)&gt;0,($Y343+$AE343)/($CD343),""),"")</f>
        <v/>
      </c>
      <c r="CQ343" s="55">
        <f>IFERROR(IF(($CE343)&gt;0,($Z343+$AF343)/($CE343),""),"")</f>
        <v/>
      </c>
      <c r="CR343" s="55">
        <f>SUMIFS(tblPlant[Crushed_t],tblPlant[Date],$A343)</f>
        <v/>
      </c>
      <c r="CS343" s="55">
        <f>IF($B343=$B342,$CS342,0)+$CR343</f>
        <v/>
      </c>
      <c r="CT343" s="55">
        <f>$CT342+$CR343</f>
        <v/>
      </c>
      <c r="CU343" s="55">
        <f>SUMIFS(tblPlant[Milled_t],tblPlant[Date],$A343)</f>
        <v/>
      </c>
      <c r="CV343" s="55">
        <f>IF($B343=$B342,$CV342,0)+$CU343</f>
        <v/>
      </c>
      <c r="CW343" s="55">
        <f>$CW342+$CU343</f>
        <v/>
      </c>
      <c r="CX343" s="55">
        <f>SUMIFS(tblPlant[Feed_oz],tblPlant[Date],$A343)</f>
        <v/>
      </c>
      <c r="CY343" s="55">
        <f>IF($B343=$B342,$CY342,0)+$CX343</f>
        <v/>
      </c>
      <c r="CZ343" s="55">
        <f>$CZ342+$CX343</f>
        <v/>
      </c>
      <c r="DA343" s="55">
        <f>SUMIFS(tblPlant[Tails_oz],tblPlant[Date],$A343)</f>
        <v/>
      </c>
      <c r="DB343" s="55">
        <f>IF($B343=$B342,$DB342,0)+$DA343</f>
        <v/>
      </c>
      <c r="DC343" s="55">
        <f>$DC342+$DA343</f>
        <v/>
      </c>
      <c r="DD343" s="55">
        <f>SUMIFS(tblPlant[Recovered_oz],tblPlant[Date],$A343)</f>
        <v/>
      </c>
      <c r="DE343" s="55">
        <f>IF($B343=$B342,$DE342,0)+$DD343</f>
        <v/>
      </c>
      <c r="DF343" s="55">
        <f>$DF342+$DD343</f>
        <v/>
      </c>
      <c r="DG343" s="55">
        <f>SUMIFS(tblPlant[Milled_t],tblPlant[Date],$A343,tblPlant[Head_Grade_gpt],"&lt;&gt;")</f>
        <v/>
      </c>
      <c r="DH343" s="55">
        <f>IF($B343=$B342,$DH342,0)+$DG343</f>
        <v/>
      </c>
      <c r="DI343" s="55">
        <f>$DI342+$DG343</f>
        <v/>
      </c>
      <c r="DJ343" s="55">
        <f>SUMIFS(tblPlant[Milled_t],tblPlant[Date],$A343,tblPlant[Tails_Grade_gpt],"&lt;&gt;")</f>
        <v/>
      </c>
      <c r="DK343" s="55">
        <f>IF($B343=$B342,$DK342,0)+$DJ343</f>
        <v/>
      </c>
      <c r="DL343" s="55">
        <f>$DL342+$DJ343</f>
        <v/>
      </c>
      <c r="DM343" s="55">
        <f>SUMIFS(tblPlant[Feed_oz],tblPlant[Date],$A343,tblPlant[Tails_Grade_gpt],"&lt;&gt;")</f>
        <v/>
      </c>
      <c r="DN343" s="55">
        <f>IF($B343=$B342,$DN342,0)+$DM343</f>
        <v/>
      </c>
      <c r="DO343" s="55">
        <f>$DO342+$DM343</f>
        <v/>
      </c>
      <c r="DP343" s="55">
        <f>SUMIFS(tblPlant[Milled_t],tblPlant[Date],$A343,tblPlant[Mill_Run_h],"&lt;&gt;")</f>
        <v/>
      </c>
      <c r="DQ343" s="55">
        <f>IF($B343=$B342,$DQ342,0)+$DP343</f>
        <v/>
      </c>
      <c r="DR343" s="55">
        <f>$DR342+$DP343</f>
        <v/>
      </c>
      <c r="DS343" s="56">
        <f>IFERROR(IF(($DG343)&gt;0,($CX343*cfg_TroyOz)/($DG343),""),"")</f>
        <v/>
      </c>
      <c r="DT343" s="56">
        <f>IFERROR(IF(($DH343)&gt;0,($CY343*cfg_TroyOz)/($DH343),""),"")</f>
        <v/>
      </c>
      <c r="DU343" s="56">
        <f>IFERROR(IF(($DI343)&gt;0,($CZ343*cfg_TroyOz)/($DI343),""),"")</f>
        <v/>
      </c>
      <c r="DV343" s="56">
        <f>IFERROR(IF(($DJ343)&gt;0,($DA343*cfg_TroyOz)/($DJ343),""),"")</f>
        <v/>
      </c>
      <c r="DW343" s="56">
        <f>IFERROR(IF(($DK343)&gt;0,($DB343*cfg_TroyOz)/($DK343),""),"")</f>
        <v/>
      </c>
      <c r="DX343" s="56">
        <f>IFERROR(IF(($DL343)&gt;0,($DC343*cfg_TroyOz)/($DL343),""),"")</f>
        <v/>
      </c>
      <c r="DY343" s="67">
        <f>IFERROR(IF(($DM343)&gt;0,($DD343)/($DM343),""),"")</f>
        <v/>
      </c>
      <c r="DZ343" s="67">
        <f>IFERROR(IF(($DN343)&gt;0,($DE343)/($DN343),""),"")</f>
        <v/>
      </c>
      <c r="EA343" s="67">
        <f>IFERROR(IF(($DO343)&gt;0,($DF343)/($DO343),""),"")</f>
        <v/>
      </c>
      <c r="EB343" s="55">
        <f>SUMIFS(tblPlant[Gravity_Gold_oz],tblPlant[Date],$A343)</f>
        <v/>
      </c>
      <c r="EC343" s="55">
        <f>IF($B343=$B342,$EC342,0)+$EB343</f>
        <v/>
      </c>
      <c r="ED343" s="55">
        <f>$ED342+$EB343</f>
        <v/>
      </c>
      <c r="EE343" s="67">
        <f>IFERROR(IF(($DD343)&gt;0,($EB343)/($DD343),""),"")</f>
        <v/>
      </c>
      <c r="EF343" s="67">
        <f>IFERROR(IF(($DE343)&gt;0,($EC343)/($DE343),""),"")</f>
        <v/>
      </c>
      <c r="EG343" s="67">
        <f>IFERROR(IF(($DF343)&gt;0,($ED343)/($DF343),""),"")</f>
        <v/>
      </c>
      <c r="EH343" s="55">
        <f>SUMIFS(tblPlant[Gold_Poured_oz],tblPlant[Date],$A343)</f>
        <v/>
      </c>
      <c r="EI343" s="55">
        <f>IF($B343=$B342,$EI342,0)+$EH343</f>
        <v/>
      </c>
      <c r="EJ343" s="55">
        <f>$EJ342+$EH343</f>
        <v/>
      </c>
      <c r="EK343" s="57">
        <f>SUMIFS(tblPlant[Mill_Run_h],tblPlant[Date],$A343)</f>
        <v/>
      </c>
      <c r="EL343" s="57">
        <f>IF($B343=$B342,$EL342,0)+$EK343</f>
        <v/>
      </c>
      <c r="EM343" s="57">
        <f>$EM342+$EK343</f>
        <v/>
      </c>
      <c r="EN343" s="57">
        <f>SUMIFS(tblPlant[Mill_Planned_Maint_h],tblPlant[Date],$A343)</f>
        <v/>
      </c>
      <c r="EO343" s="57">
        <f>IF($B343=$B342,$EO342,0)+$EN343</f>
        <v/>
      </c>
      <c r="EP343" s="57">
        <f>$EP342+$EN343</f>
        <v/>
      </c>
      <c r="EQ343" s="57">
        <f>SUMIFS(tblPlant[Mill_Unplanned_Down_h],tblPlant[Date],$A343)</f>
        <v/>
      </c>
      <c r="ER343" s="57">
        <f>IF($B343=$B342,$ER342,0)+$EQ343</f>
        <v/>
      </c>
      <c r="ES343" s="57">
        <f>$ES342+$EQ343</f>
        <v/>
      </c>
      <c r="ET343" s="57">
        <f>IF(COUNTIFS(tblPlant[Date],$A343,tblPlant[Mill_Run_h],"&lt;&gt;")+COUNTIFS(tblPlant[Date],$A343,tblPlant[Mill_Planned_Maint_h],"&lt;&gt;")+COUNTIFS(tblPlant[Date],$A343,tblPlant[Mill_Unplanned_Down_h],"&lt;&gt;")&gt;0,cfg_HoursPerDay,0)</f>
        <v/>
      </c>
      <c r="EU343" s="57">
        <f>IF($B343=$B342,$EU342,0)+$ET343</f>
        <v/>
      </c>
      <c r="EV343" s="57">
        <f>$EV342+$ET343</f>
        <v/>
      </c>
      <c r="EW343" s="57">
        <f>SUMIFS(tblPlant[Crusher_Run_h],tblPlant[Date],$A343)</f>
        <v/>
      </c>
      <c r="EX343" s="57">
        <f>IF($B343=$B342,$EX342,0)+$EW343</f>
        <v/>
      </c>
      <c r="EY343" s="57">
        <f>$EY342+$EW343</f>
        <v/>
      </c>
      <c r="EZ343" s="55">
        <f>IFERROR(IF(($EK343)&gt;0,($DP343)/($EK343),""),"")</f>
        <v/>
      </c>
      <c r="FA343" s="55">
        <f>IFERROR(IF(($EL343)&gt;0,($DQ343)/($EL343),""),"")</f>
        <v/>
      </c>
      <c r="FB343" s="55">
        <f>IFERROR(IF(($EM343)&gt;0,($DR343)/($EM343),""),"")</f>
        <v/>
      </c>
      <c r="FC343" s="67">
        <f>IFERROR(IF(($ET343)&gt;0,($ET343-$EN343-$EQ343)/($ET343),""),"")</f>
        <v/>
      </c>
      <c r="FD343" s="67">
        <f>IFERROR(IF(($EU343)&gt;0,($EU343-$EO343-$ER343)/($EU343),""),"")</f>
        <v/>
      </c>
      <c r="FE343" s="67">
        <f>IFERROR(IF(($EV343)&gt;0,($EV343-$EP343-$ES343)/($EV343),""),"")</f>
        <v/>
      </c>
      <c r="FF343" s="67">
        <f>IFERROR(IF(($ET343-$EN343-$EQ343)&gt;0,($EK343)/($ET343-$EN343-$EQ343),""),"")</f>
        <v/>
      </c>
      <c r="FG343" s="67">
        <f>IFERROR(IF(($EU343-$EO343-$ER343)&gt;0,($EL343)/($EU343-$EO343-$ER343),""),"")</f>
        <v/>
      </c>
      <c r="FH343" s="67">
        <f>IFERROR(IF(($EV343-$EP343-$ES343)&gt;0,($EM343)/($EV343-$EP343-$ES343),""),"")</f>
        <v/>
      </c>
      <c r="FI343" s="55">
        <f>SUMIFS(tblPlant[Cyanide_kg],tblPlant[Date],$A343)</f>
        <v/>
      </c>
      <c r="FJ343" s="55">
        <f>IF($B343=$B342,$FJ342,0)+$FI343</f>
        <v/>
      </c>
      <c r="FK343" s="55">
        <f>$FK342+$FI343</f>
        <v/>
      </c>
      <c r="FL343" s="55">
        <f>SUMIFS(tblPlant[Lime_kg],tblPlant[Date],$A343)</f>
        <v/>
      </c>
      <c r="FM343" s="55">
        <f>IF($B343=$B342,$FM342,0)+$FL343</f>
        <v/>
      </c>
      <c r="FN343" s="55">
        <f>$FN342+$FL343</f>
        <v/>
      </c>
      <c r="FO343" s="55">
        <f>SUMIFS(tblPlant[Grinding_Media_kg],tblPlant[Date],$A343)</f>
        <v/>
      </c>
      <c r="FP343" s="55">
        <f>IF($B343=$B342,$FP342,0)+$FO343</f>
        <v/>
      </c>
      <c r="FQ343" s="55">
        <f>$FQ342+$FO343</f>
        <v/>
      </c>
      <c r="FR343" s="55">
        <f>SUMIFS(tblPlant[Power_kWh],tblPlant[Date],$A343)</f>
        <v/>
      </c>
      <c r="FS343" s="55">
        <f>IF($B343=$B342,$FS342,0)+$FR343</f>
        <v/>
      </c>
      <c r="FT343" s="55">
        <f>$FT342+$FR343</f>
        <v/>
      </c>
      <c r="FU343" s="55">
        <f>SUMIFS(tblPlant[Raw_Water_m3],tblPlant[Date],$A343)</f>
        <v/>
      </c>
      <c r="FV343" s="55">
        <f>IF($B343=$B342,$FV342,0)+$FU343</f>
        <v/>
      </c>
      <c r="FW343" s="55">
        <f>$FW342+$FU343</f>
        <v/>
      </c>
      <c r="FX343" s="56">
        <f>IFERROR(IF(($CU343)&gt;0,($FI343)/($CU343),""),"")</f>
        <v/>
      </c>
      <c r="FY343" s="56">
        <f>IFERROR(IF(($CV343)&gt;0,($FJ343)/($CV343),""),"")</f>
        <v/>
      </c>
      <c r="FZ343" s="56">
        <f>IFERROR(IF(($CW343)&gt;0,($FK343)/($CW343),""),"")</f>
        <v/>
      </c>
      <c r="GA343" s="56">
        <f>IFERROR(IF(($CU343)&gt;0,($FL343)/($CU343),""),"")</f>
        <v/>
      </c>
      <c r="GB343" s="56">
        <f>IFERROR(IF(($CV343)&gt;0,($FM343)/($CV343),""),"")</f>
        <v/>
      </c>
      <c r="GC343" s="56">
        <f>IFERROR(IF(($CW343)&gt;0,($FN343)/($CW343),""),"")</f>
        <v/>
      </c>
      <c r="GD343" s="56">
        <f>IFERROR(IF(($CU343)&gt;0,($FO343)/($CU343),""),"")</f>
        <v/>
      </c>
      <c r="GE343" s="56">
        <f>IFERROR(IF(($CV343)&gt;0,($FP343)/($CV343),""),"")</f>
        <v/>
      </c>
      <c r="GF343" s="56">
        <f>IFERROR(IF(($CW343)&gt;0,($FQ343)/($CW343),""),"")</f>
        <v/>
      </c>
      <c r="GG343" s="79">
        <f>IFERROR(IF(($CU343)&gt;0,($FR343)/($CU343),""),"")</f>
        <v/>
      </c>
      <c r="GH343" s="79">
        <f>IFERROR(IF(($CV343)&gt;0,($FS343)/($CV343),""),"")</f>
        <v/>
      </c>
      <c r="GI343" s="79">
        <f>IFERROR(IF(($CW343)&gt;0,($FT343)/($CW343),""),"")</f>
        <v/>
      </c>
      <c r="GJ343" s="56">
        <f>IFERROR(IF(($CU343)&gt;0,($FU343)/($CU343),""),"")</f>
        <v/>
      </c>
      <c r="GK343" s="56">
        <f>IFERROR(IF(($CV343)&gt;0,($FV343)/($CV343),""),"")</f>
        <v/>
      </c>
      <c r="GL343" s="56">
        <f>IFERROR(IF(($CW343)&gt;0,($FW343)/($CW343),""),"")</f>
        <v/>
      </c>
      <c r="GM343" s="55">
        <f>IF(SUMIFS(tblPlant[GIC_oz],tblPlant[Date],$A343)&gt;0,SUMIFS(tblPlant[GIC_oz],tblPlant[Date],$A343),"")</f>
        <v/>
      </c>
      <c r="GN343" s="55">
        <f>SUMIFS(tblGold[Gold_oz],tblGold[Date],$A343,tblGold[Type],"Shipment")</f>
        <v/>
      </c>
      <c r="GO343" s="55">
        <f>IF($B343=$B342,$GO342,0)+$GN343</f>
        <v/>
      </c>
      <c r="GP343" s="55">
        <f>$GP342+$GN343</f>
        <v/>
      </c>
      <c r="GQ343" s="55">
        <f>SUMIFS(tblGold[Gold_oz],tblGold[Date],$A343,tblGold[Type],"Sale")</f>
        <v/>
      </c>
      <c r="GR343" s="55">
        <f>IF($B343=$B342,$GR342,0)+$GQ343</f>
        <v/>
      </c>
      <c r="GS343" s="55">
        <f>$GS342+$GQ343</f>
        <v/>
      </c>
      <c r="GT343" s="55">
        <f>SUMIFS(tblGold[Dore_kg],tblGold[Date],$A343,tblGold[Type],"Shipment")</f>
        <v/>
      </c>
      <c r="GU343" s="55">
        <f>IF($B343=$B342,$GU342,0)+$GT343</f>
        <v/>
      </c>
      <c r="GV343" s="55">
        <f>$GV342+$GT343</f>
        <v/>
      </c>
      <c r="GW343" s="57">
        <f>SUMIFS(tblSafety[Hours_Total],tblSafety[Date],$A343)</f>
        <v/>
      </c>
      <c r="GX343" s="57">
        <f>IF($B343=$B342,$GX342,0)+$GW343</f>
        <v/>
      </c>
      <c r="GY343" s="57">
        <f>$GY342+$GW343</f>
        <v/>
      </c>
      <c r="GZ343" s="62">
        <f>SUMIFS(tblSafety[Fatality],tblSafety[Date],$A343)</f>
        <v/>
      </c>
      <c r="HA343" s="62">
        <f>IF($B343=$B342,$HA342,0)+$GZ343</f>
        <v/>
      </c>
      <c r="HB343" s="62">
        <f>$HB342+$GZ343</f>
        <v/>
      </c>
      <c r="HC343" s="62">
        <f>SUMIFS(tblSafety[LTI],tblSafety[Date],$A343)</f>
        <v/>
      </c>
      <c r="HD343" s="62">
        <f>IF($B343=$B342,$HD342,0)+$HC343</f>
        <v/>
      </c>
      <c r="HE343" s="62">
        <f>$HE342+$HC343</f>
        <v/>
      </c>
      <c r="HF343" s="62">
        <f>SUMIFS(tblSafety[RWI],tblSafety[Date],$A343)</f>
        <v/>
      </c>
      <c r="HG343" s="62">
        <f>IF($B343=$B342,$HG342,0)+$HF343</f>
        <v/>
      </c>
      <c r="HH343" s="62">
        <f>$HH342+$HF343</f>
        <v/>
      </c>
      <c r="HI343" s="62">
        <f>SUMIFS(tblSafety[MTI],tblSafety[Date],$A343)</f>
        <v/>
      </c>
      <c r="HJ343" s="62">
        <f>IF($B343=$B342,$HJ342,0)+$HI343</f>
        <v/>
      </c>
      <c r="HK343" s="62">
        <f>$HK342+$HI343</f>
        <v/>
      </c>
      <c r="HL343" s="62">
        <f>SUMIFS(tblSafety[FAI],tblSafety[Date],$A343)</f>
        <v/>
      </c>
      <c r="HM343" s="62">
        <f>IF($B343=$B342,$HM342,0)+$HL343</f>
        <v/>
      </c>
      <c r="HN343" s="62">
        <f>$HN342+$HL343</f>
        <v/>
      </c>
      <c r="HO343" s="62">
        <f>SUMIFS(tblSafety[Recordables],tblSafety[Date],$A343)</f>
        <v/>
      </c>
      <c r="HP343" s="62">
        <f>IF($B343=$B342,$HP342,0)+$HO343</f>
        <v/>
      </c>
      <c r="HQ343" s="62">
        <f>$HQ342+$HO343</f>
        <v/>
      </c>
      <c r="HR343" s="62">
        <f>SUMIFS(tblSafety[Near_Miss],tblSafety[Date],$A343)</f>
        <v/>
      </c>
      <c r="HS343" s="62">
        <f>IF($B343=$B342,$HS342,0)+$HR343</f>
        <v/>
      </c>
      <c r="HT343" s="62">
        <f>$HT342+$HR343</f>
        <v/>
      </c>
      <c r="HU343" s="62">
        <f>SUMIFS(tblSafety[Hazard_Reports],tblSafety[Date],$A343)</f>
        <v/>
      </c>
      <c r="HV343" s="62">
        <f>IF($B343=$B342,$HV342,0)+$HU343</f>
        <v/>
      </c>
      <c r="HW343" s="62">
        <f>$HW342+$HU343</f>
        <v/>
      </c>
      <c r="HX343" s="62">
        <f>SUMIFS(tblSafety[HPI],tblSafety[Date],$A343)</f>
        <v/>
      </c>
      <c r="HY343" s="62">
        <f>IF($B343=$B342,$HY342,0)+$HX343</f>
        <v/>
      </c>
      <c r="HZ343" s="62">
        <f>$HZ342+$HX343</f>
        <v/>
      </c>
      <c r="IA343" s="62">
        <f>SUMIFS(tblSafety[Env_Incidents],tblSafety[Date],$A343)</f>
        <v/>
      </c>
      <c r="IB343" s="62">
        <f>IF($B343=$B342,$IB342,0)+$IA343</f>
        <v/>
      </c>
      <c r="IC343" s="62">
        <f>$IC342+$IA343</f>
        <v/>
      </c>
      <c r="ID343" s="62">
        <f>SUMIFS(tblSafety[Community_Incidents],tblSafety[Date],$A343)</f>
        <v/>
      </c>
      <c r="IE343" s="62">
        <f>IF($B343=$B342,$IE342,0)+$ID343</f>
        <v/>
      </c>
      <c r="IF343" s="62">
        <f>$IF342+$ID343</f>
        <v/>
      </c>
      <c r="IG343" s="62">
        <f>SUMIFS(tblSafety[Vehicle_Incidents],tblSafety[Date],$A343)</f>
        <v/>
      </c>
      <c r="IH343" s="62">
        <f>IF($B343=$B342,$IH342,0)+$IG343</f>
        <v/>
      </c>
      <c r="II343" s="62">
        <f>$II342+$IG343</f>
        <v/>
      </c>
      <c r="IJ343" s="62">
        <f>SUMIFS(tblSafety[Toolbox_Talks],tblSafety[Date],$A343)</f>
        <v/>
      </c>
      <c r="IK343" s="62">
        <f>IF($B343=$B342,$IK342,0)+$IJ343</f>
        <v/>
      </c>
      <c r="IL343" s="62">
        <f>$IL342+$IJ343</f>
        <v/>
      </c>
      <c r="IM343" s="62">
        <f>SUMIFS(tblSafety[Inspections],tblSafety[Date],$A343)</f>
        <v/>
      </c>
      <c r="IN343" s="62">
        <f>IF($B343=$B342,$IN342,0)+$IM343</f>
        <v/>
      </c>
      <c r="IO343" s="62">
        <f>$IO342+$IM343</f>
        <v/>
      </c>
      <c r="IP343" s="56">
        <f>IFERROR((SUMIFS(tblSafety[Recordables],tblSafety[Date],"&gt;="&amp;EDATE($E343,-12),tblSafety[Date],"&lt;="&amp;$A343)+SUMIFS(tblSafetyHistory[Recordables],tblSafetyHistory[Month],"&gt;="&amp;EDATE($E343,-12),tblSafetyHistory[Month],"&lt;"&amp;$E343,tblSafetyHistory[Use],1))/(SUMIFS(tblSafety[Hours_Total],tblSafety[Date],"&gt;="&amp;EDATE($E343,-12),tblSafety[Date],"&lt;="&amp;$A343)+SUMIFS(tblSafetyHistory[Hours_Total],tblSafetyHistory[Month],"&gt;="&amp;EDATE($E343,-12),tblSafetyHistory[Month],"&lt;"&amp;$E343,tblSafetyHistory[Use],1))*cfg_RateBasisHours,"")</f>
        <v/>
      </c>
      <c r="IQ343" s="56">
        <f>IFERROR((SUMIFS(tblSafety[LTI],tblSafety[Date],"&gt;="&amp;EDATE($E343,-12),tblSafety[Date],"&lt;="&amp;$A343)+SUMIFS(tblSafetyHistory[LTI],tblSafetyHistory[Month],"&gt;="&amp;EDATE($E343,-12),tblSafetyHistory[Month],"&lt;"&amp;$E343,tblSafetyHistory[Use],1))/(SUMIFS(tblSafety[Hours_Total],tblSafety[Date],"&gt;="&amp;EDATE($E343,-12),tblSafety[Date],"&lt;="&amp;$A343)+SUMIFS(tblSafetyHistory[Hours_Total],tblSafetyHistory[Month],"&gt;="&amp;EDATE($E343,-12),tblSafetyHistory[Month],"&lt;"&amp;$E343,tblSafetyHistory[Use],1))*cfg_RateBasisHours,"")</f>
        <v/>
      </c>
      <c r="IR343" s="62">
        <f>IF(MAX(N(cfg_PriorLTIDate),_xlfn.MAXIFS(tblSafety[Date],tblSafety[LTI],"&gt;0",tblSafety[Date],"&lt;="&amp;$A343))=0,"",$A343-MAX(N(cfg_PriorLTIDate),_xlfn.MAXIFS(tblSafety[Date],tblSafety[LTI],"&gt;0",tblSafety[Date],"&lt;="&amp;$A343)))</f>
        <v/>
      </c>
      <c r="IS343" s="55">
        <f>SUMIFS(tblBudget[Ore_Mined_t],tblBudget[Month],$E343)</f>
        <v/>
      </c>
      <c r="IT343" s="55">
        <f>$IS343*$C343/$D343</f>
        <v/>
      </c>
      <c r="IU343" s="55">
        <f>SUMIFS(tblBudget[Ore_Mined_t],tblBudget[Month],"&lt;"&amp;$E343)+$IT343</f>
        <v/>
      </c>
      <c r="IV343" s="55">
        <f>SUMIFS(tblBudget[Ore_oz],tblBudget[Month],$E343)</f>
        <v/>
      </c>
      <c r="IW343" s="55">
        <f>$IV343*$C343/$D343</f>
        <v/>
      </c>
      <c r="IX343" s="55">
        <f>SUMIFS(tblBudget[Ore_oz],tblBudget[Month],"&lt;"&amp;$E343)+$IW343</f>
        <v/>
      </c>
      <c r="IY343" s="55">
        <f>SUMIFS(tblBudget[Ore_Mined_t],tblBudget[Month],$E343)</f>
        <v/>
      </c>
      <c r="IZ343" s="55">
        <f>$IY343*$C343/$D343</f>
        <v/>
      </c>
      <c r="JA343" s="55">
        <f>SUMIFS(tblBudget[Ore_Mined_t],tblBudget[Month],"&lt;"&amp;$E343)+$IZ343</f>
        <v/>
      </c>
      <c r="JB343" s="56">
        <f>IFERROR(IF(($IY343)&gt;0,($IV343*cfg_TroyOz)/($IY343),""),"")</f>
        <v/>
      </c>
      <c r="JC343" s="56">
        <f>IFERROR(IF(($IZ343)&gt;0,($IW343*cfg_TroyOz)/($IZ343),""),"")</f>
        <v/>
      </c>
      <c r="JD343" s="56">
        <f>IFERROR(IF(($JA343)&gt;0,($IX343*cfg_TroyOz)/($JA343),""),"")</f>
        <v/>
      </c>
      <c r="JE343" s="55">
        <f>SUMIFS(tblBudget[Waste_t],tblBudget[Month],$E343)</f>
        <v/>
      </c>
      <c r="JF343" s="55">
        <f>$JE343*$C343/$D343</f>
        <v/>
      </c>
      <c r="JG343" s="55">
        <f>SUMIFS(tblBudget[Waste_t],tblBudget[Month],"&lt;"&amp;$E343)+$JF343</f>
        <v/>
      </c>
      <c r="JH343" s="55">
        <f>SUMIFS(tblBudget[TMM_t],tblBudget[Month],$E343)</f>
        <v/>
      </c>
      <c r="JI343" s="55">
        <f>$JH343*$C343/$D343</f>
        <v/>
      </c>
      <c r="JJ343" s="55">
        <f>SUMIFS(tblBudget[TMM_t],tblBudget[Month],"&lt;"&amp;$E343)+$JI343</f>
        <v/>
      </c>
      <c r="JK343" s="56">
        <f>IFERROR(IF(($IS343)&gt;0,($JE343)/($IS343),""),"")</f>
        <v/>
      </c>
      <c r="JL343" s="56">
        <f>IFERROR(IF(($IT343)&gt;0,($JF343)/($IT343),""),"")</f>
        <v/>
      </c>
      <c r="JM343" s="56">
        <f>IFERROR(IF(($IU343)&gt;0,($JG343)/($IU343),""),"")</f>
        <v/>
      </c>
      <c r="JN343" s="55">
        <f>SUMIFS(tblBudget[Drill_m],tblBudget[Month],$E343)</f>
        <v/>
      </c>
      <c r="JO343" s="55">
        <f>$JN343*$C343/$D343</f>
        <v/>
      </c>
      <c r="JP343" s="55">
        <f>SUMIFS(tblBudget[Drill_m],tblBudget[Month],"&lt;"&amp;$E343)+$JO343</f>
        <v/>
      </c>
      <c r="JQ343" s="55">
        <f>SUMIFS(tblBudget[Diesel_L],tblBudget[Month],$E343)</f>
        <v/>
      </c>
      <c r="JR343" s="55">
        <f>$JQ343*$C343/$D343</f>
        <v/>
      </c>
      <c r="JS343" s="55">
        <f>SUMIFS(tblBudget[Diesel_L],tblBudget[Month],"&lt;"&amp;$E343)+$JR343</f>
        <v/>
      </c>
      <c r="JT343" s="55">
        <f>SUMIFS(tblBudget[Milled_t],tblBudget[Month],$E343)</f>
        <v/>
      </c>
      <c r="JU343" s="55">
        <f>$JT343*$C343/$D343</f>
        <v/>
      </c>
      <c r="JV343" s="55">
        <f>SUMIFS(tblBudget[Milled_t],tblBudget[Month],"&lt;"&amp;$E343)+$JU343</f>
        <v/>
      </c>
      <c r="JW343" s="55">
        <f>SUMIFS(tblBudget[Feed_oz],tblBudget[Month],$E343)</f>
        <v/>
      </c>
      <c r="JX343" s="55">
        <f>$JW343*$C343/$D343</f>
        <v/>
      </c>
      <c r="JY343" s="55">
        <f>SUMIFS(tblBudget[Feed_oz],tblBudget[Month],"&lt;"&amp;$E343)+$JX343</f>
        <v/>
      </c>
      <c r="JZ343" s="55">
        <f>SUMIFS(tblBudget[Recovered_oz],tblBudget[Month],$E343)</f>
        <v/>
      </c>
      <c r="KA343" s="55">
        <f>$JZ343*$C343/$D343</f>
        <v/>
      </c>
      <c r="KB343" s="55">
        <f>SUMIFS(tblBudget[Recovered_oz],tblBudget[Month],"&lt;"&amp;$E343)+$KA343</f>
        <v/>
      </c>
      <c r="KC343" s="55">
        <f>SUMIFS(tblBudget[Milled_t],tblBudget[Month],$E343)</f>
        <v/>
      </c>
      <c r="KD343" s="55">
        <f>$KC343*$C343/$D343</f>
        <v/>
      </c>
      <c r="KE343" s="55">
        <f>SUMIFS(tblBudget[Milled_t],tblBudget[Month],"&lt;"&amp;$E343)+$KD343</f>
        <v/>
      </c>
      <c r="KF343" s="55">
        <f>SUMIFS(tblBudget[Feed_oz],tblBudget[Month],$E343)</f>
        <v/>
      </c>
      <c r="KG343" s="55">
        <f>$KF343*$C343/$D343</f>
        <v/>
      </c>
      <c r="KH343" s="55">
        <f>SUMIFS(tblBudget[Feed_oz],tblBudget[Month],"&lt;"&amp;$E343)+$KG343</f>
        <v/>
      </c>
      <c r="KI343" s="56">
        <f>IFERROR(IF(($KC343)&gt;0,($JW343*cfg_TroyOz)/($KC343),""),"")</f>
        <v/>
      </c>
      <c r="KJ343" s="56">
        <f>IFERROR(IF(($KD343)&gt;0,($JX343*cfg_TroyOz)/($KD343),""),"")</f>
        <v/>
      </c>
      <c r="KK343" s="56">
        <f>IFERROR(IF(($KE343)&gt;0,($JY343*cfg_TroyOz)/($KE343),""),"")</f>
        <v/>
      </c>
      <c r="KL343" s="67">
        <f>IFERROR(IF(($KF343)&gt;0,($JZ343)/($KF343),""),"")</f>
        <v/>
      </c>
      <c r="KM343" s="67">
        <f>IFERROR(IF(($KG343)&gt;0,($KA343)/($KG343),""),"")</f>
        <v/>
      </c>
      <c r="KN343" s="67">
        <f>IFERROR(IF(($KH343)&gt;0,($KB343)/($KH343),""),"")</f>
        <v/>
      </c>
      <c r="KO343" s="55">
        <f>SUMIFS(tblBudget[Gold_Poured_oz],tblBudget[Month],$E343)</f>
        <v/>
      </c>
      <c r="KP343" s="55">
        <f>$KO343*$C343/$D343</f>
        <v/>
      </c>
      <c r="KQ343" s="55">
        <f>SUMIFS(tblBudget[Gold_Poured_oz],tblBudget[Month],"&lt;"&amp;$E343)+$KP343</f>
        <v/>
      </c>
      <c r="KR343" s="57">
        <f>SUMIFS(tblBudget[Hours_Worked],tblBudget[Month],$E343)</f>
        <v/>
      </c>
      <c r="KS343" s="57">
        <f>$KR343*$C343/$D343</f>
        <v/>
      </c>
      <c r="KT343" s="57">
        <f>SUMIFS(tblBudget[Hours_Worked],tblBudget[Month],"&lt;"&amp;$E343)+$KS343</f>
        <v/>
      </c>
    </row>
    <row r="344">
      <c r="A344" s="54" t="n">
        <v>46365</v>
      </c>
      <c r="B344">
        <f>MONTH($A344)</f>
        <v/>
      </c>
      <c r="C344">
        <f>DAY($A344)</f>
        <v/>
      </c>
      <c r="D344">
        <f>DAY(EOMONTH($A344,0))</f>
        <v/>
      </c>
      <c r="E344" s="54">
        <f>DATE(YEAR($A344),MONTH($A344),1)</f>
        <v/>
      </c>
      <c r="F344" s="55">
        <f>SUMIFS(tblMovement[Tonnes_t],tblMovement[Date],$A344,tblMovement[Is_Ore],1,tblMovement[Source_Type],"Pit")</f>
        <v/>
      </c>
      <c r="G344" s="55">
        <f>IF($B344=$B343,$G343,0)+$F344</f>
        <v/>
      </c>
      <c r="H344" s="55">
        <f>$H343+$F344</f>
        <v/>
      </c>
      <c r="I344" s="55">
        <f>SUMIFS(tblMovement[Ore_oz],tblMovement[Date],$A344,tblMovement[Source_Type],"Pit")</f>
        <v/>
      </c>
      <c r="J344" s="55">
        <f>IF($B344=$B343,$J343,0)+$I344</f>
        <v/>
      </c>
      <c r="K344" s="55">
        <f>$K343+$I344</f>
        <v/>
      </c>
      <c r="L344" s="55">
        <f>SUMIFS(tblMovement[Tonnes_t],tblMovement[Date],$A344,tblMovement[Is_Ore],1,tblMovement[Source_Type],"Pit",tblMovement[Grade_gpt],"&lt;&gt;")</f>
        <v/>
      </c>
      <c r="M344" s="55">
        <f>IF($B344=$B343,$M343,0)+$L344</f>
        <v/>
      </c>
      <c r="N344" s="55">
        <f>$N343+$L344</f>
        <v/>
      </c>
      <c r="O344" s="56">
        <f>IFERROR(IF(($L344)&gt;0,($I344*cfg_TroyOz)/($L344),""),"")</f>
        <v/>
      </c>
      <c r="P344" s="56">
        <f>IFERROR(IF(($M344)&gt;0,($J344*cfg_TroyOz)/($M344),""),"")</f>
        <v/>
      </c>
      <c r="Q344" s="56">
        <f>IFERROR(IF(($N344)&gt;0,($K344*cfg_TroyOz)/($N344),""),"")</f>
        <v/>
      </c>
      <c r="R344" s="55">
        <f>$F344-$L344</f>
        <v/>
      </c>
      <c r="S344" s="55">
        <f>IF($B344=$B343,$S343,0)+$R344</f>
        <v/>
      </c>
      <c r="T344" s="55">
        <f>$T343+$R344</f>
        <v/>
      </c>
      <c r="U344" s="55">
        <f>SUMIFS(tblMovement[Tonnes_t],tblMovement[Date],$A344,tblMovement[Is_Ore],0,tblMovement[Source_Type],"Pit")</f>
        <v/>
      </c>
      <c r="V344" s="55">
        <f>IF($B344=$B343,$V343,0)+$U344</f>
        <v/>
      </c>
      <c r="W344" s="55">
        <f>$W343+$U344</f>
        <v/>
      </c>
      <c r="X344" s="55">
        <f>$F344+$U344</f>
        <v/>
      </c>
      <c r="Y344" s="55">
        <f>IF($B344=$B343,$Y343,0)+$X344</f>
        <v/>
      </c>
      <c r="Z344" s="55">
        <f>$Z343+$X344</f>
        <v/>
      </c>
      <c r="AA344" s="56">
        <f>IFERROR(IF(($F344)&gt;0,($U344)/($F344),""),"")</f>
        <v/>
      </c>
      <c r="AB344" s="56">
        <f>IFERROR(IF(($G344)&gt;0,($V344)/($G344),""),"")</f>
        <v/>
      </c>
      <c r="AC344" s="56">
        <f>IFERROR(IF(($H344)&gt;0,($W344)/($H344),""),"")</f>
        <v/>
      </c>
      <c r="AD344" s="55">
        <f>SUMIFS(tblMovement[Tonnes_t],tblMovement[Date],$A344,tblMovement[Source_Type],"Stockpile")</f>
        <v/>
      </c>
      <c r="AE344" s="55">
        <f>IF($B344=$B343,$AE343,0)+$AD344</f>
        <v/>
      </c>
      <c r="AF344" s="55">
        <f>$AF343+$AD344</f>
        <v/>
      </c>
      <c r="AG344" s="55">
        <f>SUMIFS(tblMovement[Tonnes_t],tblMovement[Date],$A344)</f>
        <v/>
      </c>
      <c r="AH344" s="55">
        <f>IF($B344=$B343,$AH343,0)+$AG344</f>
        <v/>
      </c>
      <c r="AI344" s="55">
        <f>$AI343+$AG344</f>
        <v/>
      </c>
      <c r="AJ344" s="55">
        <f>$AG344-$X344-$AD344</f>
        <v/>
      </c>
      <c r="AK344" s="55">
        <f>IF($B344=$B343,$AK343,0)+$AJ344</f>
        <v/>
      </c>
      <c r="AL344" s="55">
        <f>$AL343+$AJ344</f>
        <v/>
      </c>
      <c r="AM344" s="55">
        <f>SUMIFS(tblMiningDaily[Drill_m],tblMiningDaily[Date],$A344)</f>
        <v/>
      </c>
      <c r="AN344" s="55">
        <f>IF($B344=$B343,$AN343,0)+$AM344</f>
        <v/>
      </c>
      <c r="AO344" s="55">
        <f>$AO343+$AM344</f>
        <v/>
      </c>
      <c r="AP344" s="55">
        <f>SUMIFS(tblMiningDaily[GC_Drill_m],tblMiningDaily[Date],$A344)</f>
        <v/>
      </c>
      <c r="AQ344" s="55">
        <f>IF($B344=$B343,$AQ343,0)+$AP344</f>
        <v/>
      </c>
      <c r="AR344" s="55">
        <f>$AR343+$AP344</f>
        <v/>
      </c>
      <c r="AS344" s="55">
        <f>SUMIFS(tblMiningDaily[Blast_t],tblMiningDaily[Date],$A344)</f>
        <v/>
      </c>
      <c r="AT344" s="55">
        <f>IF($B344=$B343,$AT343,0)+$AS344</f>
        <v/>
      </c>
      <c r="AU344" s="55">
        <f>$AU343+$AS344</f>
        <v/>
      </c>
      <c r="AV344" s="55">
        <f>SUMIFS(tblMiningDaily[Explosives_kg],tblMiningDaily[Date],$A344)</f>
        <v/>
      </c>
      <c r="AW344" s="55">
        <f>IF($B344=$B343,$AW343,0)+$AV344</f>
        <v/>
      </c>
      <c r="AX344" s="55">
        <f>$AX343+$AV344</f>
        <v/>
      </c>
      <c r="AY344" s="56">
        <f>IFERROR(IF(($AS344)&gt;0,($AV344)/($AS344),""),"")</f>
        <v/>
      </c>
      <c r="AZ344" s="56">
        <f>IFERROR(IF(($AT344)&gt;0,($AW344)/($AT344),""),"")</f>
        <v/>
      </c>
      <c r="BA344" s="56">
        <f>IFERROR(IF(($AU344)&gt;0,($AX344)/($AU344),""),"")</f>
        <v/>
      </c>
      <c r="BB344" s="55">
        <f>SUMIFS(tblMiningDaily[Diesel_L],tblMiningDaily[Date],$A344)</f>
        <v/>
      </c>
      <c r="BC344" s="55">
        <f>IF($B344=$B343,$BC343,0)+$BB344</f>
        <v/>
      </c>
      <c r="BD344" s="55">
        <f>$BD343+$BB344</f>
        <v/>
      </c>
      <c r="BE344" s="55">
        <f>SUMIFS(tblMiningDaily[Dewatering_m3],tblMiningDaily[Date],$A344)</f>
        <v/>
      </c>
      <c r="BF344" s="55">
        <f>IF($B344=$B343,$BF343,0)+$BE344</f>
        <v/>
      </c>
      <c r="BG344" s="55">
        <f>$BG343+$BE344</f>
        <v/>
      </c>
      <c r="BH344" s="57">
        <f>SUMIFS(tblFleet[Calendar_h],tblFleet[Date],$A344,tblFleet[Equipment_Class],"Excavator")</f>
        <v/>
      </c>
      <c r="BI344" s="57">
        <f>IF($B344=$B343,$BI343,0)+$BH344</f>
        <v/>
      </c>
      <c r="BJ344" s="57">
        <f>$BJ343+$BH344</f>
        <v/>
      </c>
      <c r="BK344" s="57">
        <f>SUMIFS(tblFleet[Available_h],tblFleet[Date],$A344,tblFleet[Equipment_Class],"Excavator")</f>
        <v/>
      </c>
      <c r="BL344" s="57">
        <f>IF($B344=$B343,$BL343,0)+$BK344</f>
        <v/>
      </c>
      <c r="BM344" s="57">
        <f>$BM343+$BK344</f>
        <v/>
      </c>
      <c r="BN344" s="57">
        <f>SUMIFS(tblFleet[Operating_h],tblFleet[Date],$A344,tblFleet[Equipment_Class],"Excavator")</f>
        <v/>
      </c>
      <c r="BO344" s="57">
        <f>IF($B344=$B343,$BO343,0)+$BN344</f>
        <v/>
      </c>
      <c r="BP344" s="57">
        <f>$BP343+$BN344</f>
        <v/>
      </c>
      <c r="BQ344" s="67">
        <f>IFERROR(IF(($BH344)&gt;0,($BK344)/($BH344),""),"")</f>
        <v/>
      </c>
      <c r="BR344" s="67">
        <f>IFERROR(IF(($BI344)&gt;0,($BL344)/($BI344),""),"")</f>
        <v/>
      </c>
      <c r="BS344" s="67">
        <f>IFERROR(IF(($BJ344)&gt;0,($BM344)/($BJ344),""),"")</f>
        <v/>
      </c>
      <c r="BT344" s="67">
        <f>IFERROR(IF(($BK344)&gt;0,($BN344)/($BK344),""),"")</f>
        <v/>
      </c>
      <c r="BU344" s="67">
        <f>IFERROR(IF(($BL344)&gt;0,($BO344)/($BL344),""),"")</f>
        <v/>
      </c>
      <c r="BV344" s="67">
        <f>IFERROR(IF(($BM344)&gt;0,($BP344)/($BM344),""),"")</f>
        <v/>
      </c>
      <c r="BW344" s="57">
        <f>SUMIFS(tblFleet[Calendar_h],tblFleet[Date],$A344,tblFleet[Equipment_Class],"Haul Truck")</f>
        <v/>
      </c>
      <c r="BX344" s="57">
        <f>IF($B344=$B343,$BX343,0)+$BW344</f>
        <v/>
      </c>
      <c r="BY344" s="57">
        <f>$BY343+$BW344</f>
        <v/>
      </c>
      <c r="BZ344" s="57">
        <f>SUMIFS(tblFleet[Available_h],tblFleet[Date],$A344,tblFleet[Equipment_Class],"Haul Truck")</f>
        <v/>
      </c>
      <c r="CA344" s="57">
        <f>IF($B344=$B343,$CA343,0)+$BZ344</f>
        <v/>
      </c>
      <c r="CB344" s="57">
        <f>$CB343+$BZ344</f>
        <v/>
      </c>
      <c r="CC344" s="57">
        <f>SUMIFS(tblFleet[Operating_h],tblFleet[Date],$A344,tblFleet[Equipment_Class],"Haul Truck")</f>
        <v/>
      </c>
      <c r="CD344" s="57">
        <f>IF($B344=$B343,$CD343,0)+$CC344</f>
        <v/>
      </c>
      <c r="CE344" s="57">
        <f>$CE343+$CC344</f>
        <v/>
      </c>
      <c r="CF344" s="67">
        <f>IFERROR(IF(($BW344)&gt;0,($BZ344)/($BW344),""),"")</f>
        <v/>
      </c>
      <c r="CG344" s="67">
        <f>IFERROR(IF(($BX344)&gt;0,($CA344)/($BX344),""),"")</f>
        <v/>
      </c>
      <c r="CH344" s="67">
        <f>IFERROR(IF(($BY344)&gt;0,($CB344)/($BY344),""),"")</f>
        <v/>
      </c>
      <c r="CI344" s="67">
        <f>IFERROR(IF(($BZ344)&gt;0,($CC344)/($BZ344),""),"")</f>
        <v/>
      </c>
      <c r="CJ344" s="67">
        <f>IFERROR(IF(($CA344)&gt;0,($CD344)/($CA344),""),"")</f>
        <v/>
      </c>
      <c r="CK344" s="67">
        <f>IFERROR(IF(($CB344)&gt;0,($CE344)/($CB344),""),"")</f>
        <v/>
      </c>
      <c r="CL344" s="55">
        <f>IFERROR(IF(($BN344)&gt;0,($X344+$AD344)/($BN344),""),"")</f>
        <v/>
      </c>
      <c r="CM344" s="55">
        <f>IFERROR(IF(($BO344)&gt;0,($Y344+$AE344)/($BO344),""),"")</f>
        <v/>
      </c>
      <c r="CN344" s="55">
        <f>IFERROR(IF(($BP344)&gt;0,($Z344+$AF344)/($BP344),""),"")</f>
        <v/>
      </c>
      <c r="CO344" s="55">
        <f>IFERROR(IF(($CC344)&gt;0,($X344+$AD344)/($CC344),""),"")</f>
        <v/>
      </c>
      <c r="CP344" s="55">
        <f>IFERROR(IF(($CD344)&gt;0,($Y344+$AE344)/($CD344),""),"")</f>
        <v/>
      </c>
      <c r="CQ344" s="55">
        <f>IFERROR(IF(($CE344)&gt;0,($Z344+$AF344)/($CE344),""),"")</f>
        <v/>
      </c>
      <c r="CR344" s="55">
        <f>SUMIFS(tblPlant[Crushed_t],tblPlant[Date],$A344)</f>
        <v/>
      </c>
      <c r="CS344" s="55">
        <f>IF($B344=$B343,$CS343,0)+$CR344</f>
        <v/>
      </c>
      <c r="CT344" s="55">
        <f>$CT343+$CR344</f>
        <v/>
      </c>
      <c r="CU344" s="55">
        <f>SUMIFS(tblPlant[Milled_t],tblPlant[Date],$A344)</f>
        <v/>
      </c>
      <c r="CV344" s="55">
        <f>IF($B344=$B343,$CV343,0)+$CU344</f>
        <v/>
      </c>
      <c r="CW344" s="55">
        <f>$CW343+$CU344</f>
        <v/>
      </c>
      <c r="CX344" s="55">
        <f>SUMIFS(tblPlant[Feed_oz],tblPlant[Date],$A344)</f>
        <v/>
      </c>
      <c r="CY344" s="55">
        <f>IF($B344=$B343,$CY343,0)+$CX344</f>
        <v/>
      </c>
      <c r="CZ344" s="55">
        <f>$CZ343+$CX344</f>
        <v/>
      </c>
      <c r="DA344" s="55">
        <f>SUMIFS(tblPlant[Tails_oz],tblPlant[Date],$A344)</f>
        <v/>
      </c>
      <c r="DB344" s="55">
        <f>IF($B344=$B343,$DB343,0)+$DA344</f>
        <v/>
      </c>
      <c r="DC344" s="55">
        <f>$DC343+$DA344</f>
        <v/>
      </c>
      <c r="DD344" s="55">
        <f>SUMIFS(tblPlant[Recovered_oz],tblPlant[Date],$A344)</f>
        <v/>
      </c>
      <c r="DE344" s="55">
        <f>IF($B344=$B343,$DE343,0)+$DD344</f>
        <v/>
      </c>
      <c r="DF344" s="55">
        <f>$DF343+$DD344</f>
        <v/>
      </c>
      <c r="DG344" s="55">
        <f>SUMIFS(tblPlant[Milled_t],tblPlant[Date],$A344,tblPlant[Head_Grade_gpt],"&lt;&gt;")</f>
        <v/>
      </c>
      <c r="DH344" s="55">
        <f>IF($B344=$B343,$DH343,0)+$DG344</f>
        <v/>
      </c>
      <c r="DI344" s="55">
        <f>$DI343+$DG344</f>
        <v/>
      </c>
      <c r="DJ344" s="55">
        <f>SUMIFS(tblPlant[Milled_t],tblPlant[Date],$A344,tblPlant[Tails_Grade_gpt],"&lt;&gt;")</f>
        <v/>
      </c>
      <c r="DK344" s="55">
        <f>IF($B344=$B343,$DK343,0)+$DJ344</f>
        <v/>
      </c>
      <c r="DL344" s="55">
        <f>$DL343+$DJ344</f>
        <v/>
      </c>
      <c r="DM344" s="55">
        <f>SUMIFS(tblPlant[Feed_oz],tblPlant[Date],$A344,tblPlant[Tails_Grade_gpt],"&lt;&gt;")</f>
        <v/>
      </c>
      <c r="DN344" s="55">
        <f>IF($B344=$B343,$DN343,0)+$DM344</f>
        <v/>
      </c>
      <c r="DO344" s="55">
        <f>$DO343+$DM344</f>
        <v/>
      </c>
      <c r="DP344" s="55">
        <f>SUMIFS(tblPlant[Milled_t],tblPlant[Date],$A344,tblPlant[Mill_Run_h],"&lt;&gt;")</f>
        <v/>
      </c>
      <c r="DQ344" s="55">
        <f>IF($B344=$B343,$DQ343,0)+$DP344</f>
        <v/>
      </c>
      <c r="DR344" s="55">
        <f>$DR343+$DP344</f>
        <v/>
      </c>
      <c r="DS344" s="56">
        <f>IFERROR(IF(($DG344)&gt;0,($CX344*cfg_TroyOz)/($DG344),""),"")</f>
        <v/>
      </c>
      <c r="DT344" s="56">
        <f>IFERROR(IF(($DH344)&gt;0,($CY344*cfg_TroyOz)/($DH344),""),"")</f>
        <v/>
      </c>
      <c r="DU344" s="56">
        <f>IFERROR(IF(($DI344)&gt;0,($CZ344*cfg_TroyOz)/($DI344),""),"")</f>
        <v/>
      </c>
      <c r="DV344" s="56">
        <f>IFERROR(IF(($DJ344)&gt;0,($DA344*cfg_TroyOz)/($DJ344),""),"")</f>
        <v/>
      </c>
      <c r="DW344" s="56">
        <f>IFERROR(IF(($DK344)&gt;0,($DB344*cfg_TroyOz)/($DK344),""),"")</f>
        <v/>
      </c>
      <c r="DX344" s="56">
        <f>IFERROR(IF(($DL344)&gt;0,($DC344*cfg_TroyOz)/($DL344),""),"")</f>
        <v/>
      </c>
      <c r="DY344" s="67">
        <f>IFERROR(IF(($DM344)&gt;0,($DD344)/($DM344),""),"")</f>
        <v/>
      </c>
      <c r="DZ344" s="67">
        <f>IFERROR(IF(($DN344)&gt;0,($DE344)/($DN344),""),"")</f>
        <v/>
      </c>
      <c r="EA344" s="67">
        <f>IFERROR(IF(($DO344)&gt;0,($DF344)/($DO344),""),"")</f>
        <v/>
      </c>
      <c r="EB344" s="55">
        <f>SUMIFS(tblPlant[Gravity_Gold_oz],tblPlant[Date],$A344)</f>
        <v/>
      </c>
      <c r="EC344" s="55">
        <f>IF($B344=$B343,$EC343,0)+$EB344</f>
        <v/>
      </c>
      <c r="ED344" s="55">
        <f>$ED343+$EB344</f>
        <v/>
      </c>
      <c r="EE344" s="67">
        <f>IFERROR(IF(($DD344)&gt;0,($EB344)/($DD344),""),"")</f>
        <v/>
      </c>
      <c r="EF344" s="67">
        <f>IFERROR(IF(($DE344)&gt;0,($EC344)/($DE344),""),"")</f>
        <v/>
      </c>
      <c r="EG344" s="67">
        <f>IFERROR(IF(($DF344)&gt;0,($ED344)/($DF344),""),"")</f>
        <v/>
      </c>
      <c r="EH344" s="55">
        <f>SUMIFS(tblPlant[Gold_Poured_oz],tblPlant[Date],$A344)</f>
        <v/>
      </c>
      <c r="EI344" s="55">
        <f>IF($B344=$B343,$EI343,0)+$EH344</f>
        <v/>
      </c>
      <c r="EJ344" s="55">
        <f>$EJ343+$EH344</f>
        <v/>
      </c>
      <c r="EK344" s="57">
        <f>SUMIFS(tblPlant[Mill_Run_h],tblPlant[Date],$A344)</f>
        <v/>
      </c>
      <c r="EL344" s="57">
        <f>IF($B344=$B343,$EL343,0)+$EK344</f>
        <v/>
      </c>
      <c r="EM344" s="57">
        <f>$EM343+$EK344</f>
        <v/>
      </c>
      <c r="EN344" s="57">
        <f>SUMIFS(tblPlant[Mill_Planned_Maint_h],tblPlant[Date],$A344)</f>
        <v/>
      </c>
      <c r="EO344" s="57">
        <f>IF($B344=$B343,$EO343,0)+$EN344</f>
        <v/>
      </c>
      <c r="EP344" s="57">
        <f>$EP343+$EN344</f>
        <v/>
      </c>
      <c r="EQ344" s="57">
        <f>SUMIFS(tblPlant[Mill_Unplanned_Down_h],tblPlant[Date],$A344)</f>
        <v/>
      </c>
      <c r="ER344" s="57">
        <f>IF($B344=$B343,$ER343,0)+$EQ344</f>
        <v/>
      </c>
      <c r="ES344" s="57">
        <f>$ES343+$EQ344</f>
        <v/>
      </c>
      <c r="ET344" s="57">
        <f>IF(COUNTIFS(tblPlant[Date],$A344,tblPlant[Mill_Run_h],"&lt;&gt;")+COUNTIFS(tblPlant[Date],$A344,tblPlant[Mill_Planned_Maint_h],"&lt;&gt;")+COUNTIFS(tblPlant[Date],$A344,tblPlant[Mill_Unplanned_Down_h],"&lt;&gt;")&gt;0,cfg_HoursPerDay,0)</f>
        <v/>
      </c>
      <c r="EU344" s="57">
        <f>IF($B344=$B343,$EU343,0)+$ET344</f>
        <v/>
      </c>
      <c r="EV344" s="57">
        <f>$EV343+$ET344</f>
        <v/>
      </c>
      <c r="EW344" s="57">
        <f>SUMIFS(tblPlant[Crusher_Run_h],tblPlant[Date],$A344)</f>
        <v/>
      </c>
      <c r="EX344" s="57">
        <f>IF($B344=$B343,$EX343,0)+$EW344</f>
        <v/>
      </c>
      <c r="EY344" s="57">
        <f>$EY343+$EW344</f>
        <v/>
      </c>
      <c r="EZ344" s="55">
        <f>IFERROR(IF(($EK344)&gt;0,($DP344)/($EK344),""),"")</f>
        <v/>
      </c>
      <c r="FA344" s="55">
        <f>IFERROR(IF(($EL344)&gt;0,($DQ344)/($EL344),""),"")</f>
        <v/>
      </c>
      <c r="FB344" s="55">
        <f>IFERROR(IF(($EM344)&gt;0,($DR344)/($EM344),""),"")</f>
        <v/>
      </c>
      <c r="FC344" s="67">
        <f>IFERROR(IF(($ET344)&gt;0,($ET344-$EN344-$EQ344)/($ET344),""),"")</f>
        <v/>
      </c>
      <c r="FD344" s="67">
        <f>IFERROR(IF(($EU344)&gt;0,($EU344-$EO344-$ER344)/($EU344),""),"")</f>
        <v/>
      </c>
      <c r="FE344" s="67">
        <f>IFERROR(IF(($EV344)&gt;0,($EV344-$EP344-$ES344)/($EV344),""),"")</f>
        <v/>
      </c>
      <c r="FF344" s="67">
        <f>IFERROR(IF(($ET344-$EN344-$EQ344)&gt;0,($EK344)/($ET344-$EN344-$EQ344),""),"")</f>
        <v/>
      </c>
      <c r="FG344" s="67">
        <f>IFERROR(IF(($EU344-$EO344-$ER344)&gt;0,($EL344)/($EU344-$EO344-$ER344),""),"")</f>
        <v/>
      </c>
      <c r="FH344" s="67">
        <f>IFERROR(IF(($EV344-$EP344-$ES344)&gt;0,($EM344)/($EV344-$EP344-$ES344),""),"")</f>
        <v/>
      </c>
      <c r="FI344" s="55">
        <f>SUMIFS(tblPlant[Cyanide_kg],tblPlant[Date],$A344)</f>
        <v/>
      </c>
      <c r="FJ344" s="55">
        <f>IF($B344=$B343,$FJ343,0)+$FI344</f>
        <v/>
      </c>
      <c r="FK344" s="55">
        <f>$FK343+$FI344</f>
        <v/>
      </c>
      <c r="FL344" s="55">
        <f>SUMIFS(tblPlant[Lime_kg],tblPlant[Date],$A344)</f>
        <v/>
      </c>
      <c r="FM344" s="55">
        <f>IF($B344=$B343,$FM343,0)+$FL344</f>
        <v/>
      </c>
      <c r="FN344" s="55">
        <f>$FN343+$FL344</f>
        <v/>
      </c>
      <c r="FO344" s="55">
        <f>SUMIFS(tblPlant[Grinding_Media_kg],tblPlant[Date],$A344)</f>
        <v/>
      </c>
      <c r="FP344" s="55">
        <f>IF($B344=$B343,$FP343,0)+$FO344</f>
        <v/>
      </c>
      <c r="FQ344" s="55">
        <f>$FQ343+$FO344</f>
        <v/>
      </c>
      <c r="FR344" s="55">
        <f>SUMIFS(tblPlant[Power_kWh],tblPlant[Date],$A344)</f>
        <v/>
      </c>
      <c r="FS344" s="55">
        <f>IF($B344=$B343,$FS343,0)+$FR344</f>
        <v/>
      </c>
      <c r="FT344" s="55">
        <f>$FT343+$FR344</f>
        <v/>
      </c>
      <c r="FU344" s="55">
        <f>SUMIFS(tblPlant[Raw_Water_m3],tblPlant[Date],$A344)</f>
        <v/>
      </c>
      <c r="FV344" s="55">
        <f>IF($B344=$B343,$FV343,0)+$FU344</f>
        <v/>
      </c>
      <c r="FW344" s="55">
        <f>$FW343+$FU344</f>
        <v/>
      </c>
      <c r="FX344" s="56">
        <f>IFERROR(IF(($CU344)&gt;0,($FI344)/($CU344),""),"")</f>
        <v/>
      </c>
      <c r="FY344" s="56">
        <f>IFERROR(IF(($CV344)&gt;0,($FJ344)/($CV344),""),"")</f>
        <v/>
      </c>
      <c r="FZ344" s="56">
        <f>IFERROR(IF(($CW344)&gt;0,($FK344)/($CW344),""),"")</f>
        <v/>
      </c>
      <c r="GA344" s="56">
        <f>IFERROR(IF(($CU344)&gt;0,($FL344)/($CU344),""),"")</f>
        <v/>
      </c>
      <c r="GB344" s="56">
        <f>IFERROR(IF(($CV344)&gt;0,($FM344)/($CV344),""),"")</f>
        <v/>
      </c>
      <c r="GC344" s="56">
        <f>IFERROR(IF(($CW344)&gt;0,($FN344)/($CW344),""),"")</f>
        <v/>
      </c>
      <c r="GD344" s="56">
        <f>IFERROR(IF(($CU344)&gt;0,($FO344)/($CU344),""),"")</f>
        <v/>
      </c>
      <c r="GE344" s="56">
        <f>IFERROR(IF(($CV344)&gt;0,($FP344)/($CV344),""),"")</f>
        <v/>
      </c>
      <c r="GF344" s="56">
        <f>IFERROR(IF(($CW344)&gt;0,($FQ344)/($CW344),""),"")</f>
        <v/>
      </c>
      <c r="GG344" s="79">
        <f>IFERROR(IF(($CU344)&gt;0,($FR344)/($CU344),""),"")</f>
        <v/>
      </c>
      <c r="GH344" s="79">
        <f>IFERROR(IF(($CV344)&gt;0,($FS344)/($CV344),""),"")</f>
        <v/>
      </c>
      <c r="GI344" s="79">
        <f>IFERROR(IF(($CW344)&gt;0,($FT344)/($CW344),""),"")</f>
        <v/>
      </c>
      <c r="GJ344" s="56">
        <f>IFERROR(IF(($CU344)&gt;0,($FU344)/($CU344),""),"")</f>
        <v/>
      </c>
      <c r="GK344" s="56">
        <f>IFERROR(IF(($CV344)&gt;0,($FV344)/($CV344),""),"")</f>
        <v/>
      </c>
      <c r="GL344" s="56">
        <f>IFERROR(IF(($CW344)&gt;0,($FW344)/($CW344),""),"")</f>
        <v/>
      </c>
      <c r="GM344" s="55">
        <f>IF(SUMIFS(tblPlant[GIC_oz],tblPlant[Date],$A344)&gt;0,SUMIFS(tblPlant[GIC_oz],tblPlant[Date],$A344),"")</f>
        <v/>
      </c>
      <c r="GN344" s="55">
        <f>SUMIFS(tblGold[Gold_oz],tblGold[Date],$A344,tblGold[Type],"Shipment")</f>
        <v/>
      </c>
      <c r="GO344" s="55">
        <f>IF($B344=$B343,$GO343,0)+$GN344</f>
        <v/>
      </c>
      <c r="GP344" s="55">
        <f>$GP343+$GN344</f>
        <v/>
      </c>
      <c r="GQ344" s="55">
        <f>SUMIFS(tblGold[Gold_oz],tblGold[Date],$A344,tblGold[Type],"Sale")</f>
        <v/>
      </c>
      <c r="GR344" s="55">
        <f>IF($B344=$B343,$GR343,0)+$GQ344</f>
        <v/>
      </c>
      <c r="GS344" s="55">
        <f>$GS343+$GQ344</f>
        <v/>
      </c>
      <c r="GT344" s="55">
        <f>SUMIFS(tblGold[Dore_kg],tblGold[Date],$A344,tblGold[Type],"Shipment")</f>
        <v/>
      </c>
      <c r="GU344" s="55">
        <f>IF($B344=$B343,$GU343,0)+$GT344</f>
        <v/>
      </c>
      <c r="GV344" s="55">
        <f>$GV343+$GT344</f>
        <v/>
      </c>
      <c r="GW344" s="57">
        <f>SUMIFS(tblSafety[Hours_Total],tblSafety[Date],$A344)</f>
        <v/>
      </c>
      <c r="GX344" s="57">
        <f>IF($B344=$B343,$GX343,0)+$GW344</f>
        <v/>
      </c>
      <c r="GY344" s="57">
        <f>$GY343+$GW344</f>
        <v/>
      </c>
      <c r="GZ344" s="62">
        <f>SUMIFS(tblSafety[Fatality],tblSafety[Date],$A344)</f>
        <v/>
      </c>
      <c r="HA344" s="62">
        <f>IF($B344=$B343,$HA343,0)+$GZ344</f>
        <v/>
      </c>
      <c r="HB344" s="62">
        <f>$HB343+$GZ344</f>
        <v/>
      </c>
      <c r="HC344" s="62">
        <f>SUMIFS(tblSafety[LTI],tblSafety[Date],$A344)</f>
        <v/>
      </c>
      <c r="HD344" s="62">
        <f>IF($B344=$B343,$HD343,0)+$HC344</f>
        <v/>
      </c>
      <c r="HE344" s="62">
        <f>$HE343+$HC344</f>
        <v/>
      </c>
      <c r="HF344" s="62">
        <f>SUMIFS(tblSafety[RWI],tblSafety[Date],$A344)</f>
        <v/>
      </c>
      <c r="HG344" s="62">
        <f>IF($B344=$B343,$HG343,0)+$HF344</f>
        <v/>
      </c>
      <c r="HH344" s="62">
        <f>$HH343+$HF344</f>
        <v/>
      </c>
      <c r="HI344" s="62">
        <f>SUMIFS(tblSafety[MTI],tblSafety[Date],$A344)</f>
        <v/>
      </c>
      <c r="HJ344" s="62">
        <f>IF($B344=$B343,$HJ343,0)+$HI344</f>
        <v/>
      </c>
      <c r="HK344" s="62">
        <f>$HK343+$HI344</f>
        <v/>
      </c>
      <c r="HL344" s="62">
        <f>SUMIFS(tblSafety[FAI],tblSafety[Date],$A344)</f>
        <v/>
      </c>
      <c r="HM344" s="62">
        <f>IF($B344=$B343,$HM343,0)+$HL344</f>
        <v/>
      </c>
      <c r="HN344" s="62">
        <f>$HN343+$HL344</f>
        <v/>
      </c>
      <c r="HO344" s="62">
        <f>SUMIFS(tblSafety[Recordables],tblSafety[Date],$A344)</f>
        <v/>
      </c>
      <c r="HP344" s="62">
        <f>IF($B344=$B343,$HP343,0)+$HO344</f>
        <v/>
      </c>
      <c r="HQ344" s="62">
        <f>$HQ343+$HO344</f>
        <v/>
      </c>
      <c r="HR344" s="62">
        <f>SUMIFS(tblSafety[Near_Miss],tblSafety[Date],$A344)</f>
        <v/>
      </c>
      <c r="HS344" s="62">
        <f>IF($B344=$B343,$HS343,0)+$HR344</f>
        <v/>
      </c>
      <c r="HT344" s="62">
        <f>$HT343+$HR344</f>
        <v/>
      </c>
      <c r="HU344" s="62">
        <f>SUMIFS(tblSafety[Hazard_Reports],tblSafety[Date],$A344)</f>
        <v/>
      </c>
      <c r="HV344" s="62">
        <f>IF($B344=$B343,$HV343,0)+$HU344</f>
        <v/>
      </c>
      <c r="HW344" s="62">
        <f>$HW343+$HU344</f>
        <v/>
      </c>
      <c r="HX344" s="62">
        <f>SUMIFS(tblSafety[HPI],tblSafety[Date],$A344)</f>
        <v/>
      </c>
      <c r="HY344" s="62">
        <f>IF($B344=$B343,$HY343,0)+$HX344</f>
        <v/>
      </c>
      <c r="HZ344" s="62">
        <f>$HZ343+$HX344</f>
        <v/>
      </c>
      <c r="IA344" s="62">
        <f>SUMIFS(tblSafety[Env_Incidents],tblSafety[Date],$A344)</f>
        <v/>
      </c>
      <c r="IB344" s="62">
        <f>IF($B344=$B343,$IB343,0)+$IA344</f>
        <v/>
      </c>
      <c r="IC344" s="62">
        <f>$IC343+$IA344</f>
        <v/>
      </c>
      <c r="ID344" s="62">
        <f>SUMIFS(tblSafety[Community_Incidents],tblSafety[Date],$A344)</f>
        <v/>
      </c>
      <c r="IE344" s="62">
        <f>IF($B344=$B343,$IE343,0)+$ID344</f>
        <v/>
      </c>
      <c r="IF344" s="62">
        <f>$IF343+$ID344</f>
        <v/>
      </c>
      <c r="IG344" s="62">
        <f>SUMIFS(tblSafety[Vehicle_Incidents],tblSafety[Date],$A344)</f>
        <v/>
      </c>
      <c r="IH344" s="62">
        <f>IF($B344=$B343,$IH343,0)+$IG344</f>
        <v/>
      </c>
      <c r="II344" s="62">
        <f>$II343+$IG344</f>
        <v/>
      </c>
      <c r="IJ344" s="62">
        <f>SUMIFS(tblSafety[Toolbox_Talks],tblSafety[Date],$A344)</f>
        <v/>
      </c>
      <c r="IK344" s="62">
        <f>IF($B344=$B343,$IK343,0)+$IJ344</f>
        <v/>
      </c>
      <c r="IL344" s="62">
        <f>$IL343+$IJ344</f>
        <v/>
      </c>
      <c r="IM344" s="62">
        <f>SUMIFS(tblSafety[Inspections],tblSafety[Date],$A344)</f>
        <v/>
      </c>
      <c r="IN344" s="62">
        <f>IF($B344=$B343,$IN343,0)+$IM344</f>
        <v/>
      </c>
      <c r="IO344" s="62">
        <f>$IO343+$IM344</f>
        <v/>
      </c>
      <c r="IP344" s="56">
        <f>IFERROR((SUMIFS(tblSafety[Recordables],tblSafety[Date],"&gt;="&amp;EDATE($E344,-12),tblSafety[Date],"&lt;="&amp;$A344)+SUMIFS(tblSafetyHistory[Recordables],tblSafetyHistory[Month],"&gt;="&amp;EDATE($E344,-12),tblSafetyHistory[Month],"&lt;"&amp;$E344,tblSafetyHistory[Use],1))/(SUMIFS(tblSafety[Hours_Total],tblSafety[Date],"&gt;="&amp;EDATE($E344,-12),tblSafety[Date],"&lt;="&amp;$A344)+SUMIFS(tblSafetyHistory[Hours_Total],tblSafetyHistory[Month],"&gt;="&amp;EDATE($E344,-12),tblSafetyHistory[Month],"&lt;"&amp;$E344,tblSafetyHistory[Use],1))*cfg_RateBasisHours,"")</f>
        <v/>
      </c>
      <c r="IQ344" s="56">
        <f>IFERROR((SUMIFS(tblSafety[LTI],tblSafety[Date],"&gt;="&amp;EDATE($E344,-12),tblSafety[Date],"&lt;="&amp;$A344)+SUMIFS(tblSafetyHistory[LTI],tblSafetyHistory[Month],"&gt;="&amp;EDATE($E344,-12),tblSafetyHistory[Month],"&lt;"&amp;$E344,tblSafetyHistory[Use],1))/(SUMIFS(tblSafety[Hours_Total],tblSafety[Date],"&gt;="&amp;EDATE($E344,-12),tblSafety[Date],"&lt;="&amp;$A344)+SUMIFS(tblSafetyHistory[Hours_Total],tblSafetyHistory[Month],"&gt;="&amp;EDATE($E344,-12),tblSafetyHistory[Month],"&lt;"&amp;$E344,tblSafetyHistory[Use],1))*cfg_RateBasisHours,"")</f>
        <v/>
      </c>
      <c r="IR344" s="62">
        <f>IF(MAX(N(cfg_PriorLTIDate),_xlfn.MAXIFS(tblSafety[Date],tblSafety[LTI],"&gt;0",tblSafety[Date],"&lt;="&amp;$A344))=0,"",$A344-MAX(N(cfg_PriorLTIDate),_xlfn.MAXIFS(tblSafety[Date],tblSafety[LTI],"&gt;0",tblSafety[Date],"&lt;="&amp;$A344)))</f>
        <v/>
      </c>
      <c r="IS344" s="55">
        <f>SUMIFS(tblBudget[Ore_Mined_t],tblBudget[Month],$E344)</f>
        <v/>
      </c>
      <c r="IT344" s="55">
        <f>$IS344*$C344/$D344</f>
        <v/>
      </c>
      <c r="IU344" s="55">
        <f>SUMIFS(tblBudget[Ore_Mined_t],tblBudget[Month],"&lt;"&amp;$E344)+$IT344</f>
        <v/>
      </c>
      <c r="IV344" s="55">
        <f>SUMIFS(tblBudget[Ore_oz],tblBudget[Month],$E344)</f>
        <v/>
      </c>
      <c r="IW344" s="55">
        <f>$IV344*$C344/$D344</f>
        <v/>
      </c>
      <c r="IX344" s="55">
        <f>SUMIFS(tblBudget[Ore_oz],tblBudget[Month],"&lt;"&amp;$E344)+$IW344</f>
        <v/>
      </c>
      <c r="IY344" s="55">
        <f>SUMIFS(tblBudget[Ore_Mined_t],tblBudget[Month],$E344)</f>
        <v/>
      </c>
      <c r="IZ344" s="55">
        <f>$IY344*$C344/$D344</f>
        <v/>
      </c>
      <c r="JA344" s="55">
        <f>SUMIFS(tblBudget[Ore_Mined_t],tblBudget[Month],"&lt;"&amp;$E344)+$IZ344</f>
        <v/>
      </c>
      <c r="JB344" s="56">
        <f>IFERROR(IF(($IY344)&gt;0,($IV344*cfg_TroyOz)/($IY344),""),"")</f>
        <v/>
      </c>
      <c r="JC344" s="56">
        <f>IFERROR(IF(($IZ344)&gt;0,($IW344*cfg_TroyOz)/($IZ344),""),"")</f>
        <v/>
      </c>
      <c r="JD344" s="56">
        <f>IFERROR(IF(($JA344)&gt;0,($IX344*cfg_TroyOz)/($JA344),""),"")</f>
        <v/>
      </c>
      <c r="JE344" s="55">
        <f>SUMIFS(tblBudget[Waste_t],tblBudget[Month],$E344)</f>
        <v/>
      </c>
      <c r="JF344" s="55">
        <f>$JE344*$C344/$D344</f>
        <v/>
      </c>
      <c r="JG344" s="55">
        <f>SUMIFS(tblBudget[Waste_t],tblBudget[Month],"&lt;"&amp;$E344)+$JF344</f>
        <v/>
      </c>
      <c r="JH344" s="55">
        <f>SUMIFS(tblBudget[TMM_t],tblBudget[Month],$E344)</f>
        <v/>
      </c>
      <c r="JI344" s="55">
        <f>$JH344*$C344/$D344</f>
        <v/>
      </c>
      <c r="JJ344" s="55">
        <f>SUMIFS(tblBudget[TMM_t],tblBudget[Month],"&lt;"&amp;$E344)+$JI344</f>
        <v/>
      </c>
      <c r="JK344" s="56">
        <f>IFERROR(IF(($IS344)&gt;0,($JE344)/($IS344),""),"")</f>
        <v/>
      </c>
      <c r="JL344" s="56">
        <f>IFERROR(IF(($IT344)&gt;0,($JF344)/($IT344),""),"")</f>
        <v/>
      </c>
      <c r="JM344" s="56">
        <f>IFERROR(IF(($IU344)&gt;0,($JG344)/($IU344),""),"")</f>
        <v/>
      </c>
      <c r="JN344" s="55">
        <f>SUMIFS(tblBudget[Drill_m],tblBudget[Month],$E344)</f>
        <v/>
      </c>
      <c r="JO344" s="55">
        <f>$JN344*$C344/$D344</f>
        <v/>
      </c>
      <c r="JP344" s="55">
        <f>SUMIFS(tblBudget[Drill_m],tblBudget[Month],"&lt;"&amp;$E344)+$JO344</f>
        <v/>
      </c>
      <c r="JQ344" s="55">
        <f>SUMIFS(tblBudget[Diesel_L],tblBudget[Month],$E344)</f>
        <v/>
      </c>
      <c r="JR344" s="55">
        <f>$JQ344*$C344/$D344</f>
        <v/>
      </c>
      <c r="JS344" s="55">
        <f>SUMIFS(tblBudget[Diesel_L],tblBudget[Month],"&lt;"&amp;$E344)+$JR344</f>
        <v/>
      </c>
      <c r="JT344" s="55">
        <f>SUMIFS(tblBudget[Milled_t],tblBudget[Month],$E344)</f>
        <v/>
      </c>
      <c r="JU344" s="55">
        <f>$JT344*$C344/$D344</f>
        <v/>
      </c>
      <c r="JV344" s="55">
        <f>SUMIFS(tblBudget[Milled_t],tblBudget[Month],"&lt;"&amp;$E344)+$JU344</f>
        <v/>
      </c>
      <c r="JW344" s="55">
        <f>SUMIFS(tblBudget[Feed_oz],tblBudget[Month],$E344)</f>
        <v/>
      </c>
      <c r="JX344" s="55">
        <f>$JW344*$C344/$D344</f>
        <v/>
      </c>
      <c r="JY344" s="55">
        <f>SUMIFS(tblBudget[Feed_oz],tblBudget[Month],"&lt;"&amp;$E344)+$JX344</f>
        <v/>
      </c>
      <c r="JZ344" s="55">
        <f>SUMIFS(tblBudget[Recovered_oz],tblBudget[Month],$E344)</f>
        <v/>
      </c>
      <c r="KA344" s="55">
        <f>$JZ344*$C344/$D344</f>
        <v/>
      </c>
      <c r="KB344" s="55">
        <f>SUMIFS(tblBudget[Recovered_oz],tblBudget[Month],"&lt;"&amp;$E344)+$KA344</f>
        <v/>
      </c>
      <c r="KC344" s="55">
        <f>SUMIFS(tblBudget[Milled_t],tblBudget[Month],$E344)</f>
        <v/>
      </c>
      <c r="KD344" s="55">
        <f>$KC344*$C344/$D344</f>
        <v/>
      </c>
      <c r="KE344" s="55">
        <f>SUMIFS(tblBudget[Milled_t],tblBudget[Month],"&lt;"&amp;$E344)+$KD344</f>
        <v/>
      </c>
      <c r="KF344" s="55">
        <f>SUMIFS(tblBudget[Feed_oz],tblBudget[Month],$E344)</f>
        <v/>
      </c>
      <c r="KG344" s="55">
        <f>$KF344*$C344/$D344</f>
        <v/>
      </c>
      <c r="KH344" s="55">
        <f>SUMIFS(tblBudget[Feed_oz],tblBudget[Month],"&lt;"&amp;$E344)+$KG344</f>
        <v/>
      </c>
      <c r="KI344" s="56">
        <f>IFERROR(IF(($KC344)&gt;0,($JW344*cfg_TroyOz)/($KC344),""),"")</f>
        <v/>
      </c>
      <c r="KJ344" s="56">
        <f>IFERROR(IF(($KD344)&gt;0,($JX344*cfg_TroyOz)/($KD344),""),"")</f>
        <v/>
      </c>
      <c r="KK344" s="56">
        <f>IFERROR(IF(($KE344)&gt;0,($JY344*cfg_TroyOz)/($KE344),""),"")</f>
        <v/>
      </c>
      <c r="KL344" s="67">
        <f>IFERROR(IF(($KF344)&gt;0,($JZ344)/($KF344),""),"")</f>
        <v/>
      </c>
      <c r="KM344" s="67">
        <f>IFERROR(IF(($KG344)&gt;0,($KA344)/($KG344),""),"")</f>
        <v/>
      </c>
      <c r="KN344" s="67">
        <f>IFERROR(IF(($KH344)&gt;0,($KB344)/($KH344),""),"")</f>
        <v/>
      </c>
      <c r="KO344" s="55">
        <f>SUMIFS(tblBudget[Gold_Poured_oz],tblBudget[Month],$E344)</f>
        <v/>
      </c>
      <c r="KP344" s="55">
        <f>$KO344*$C344/$D344</f>
        <v/>
      </c>
      <c r="KQ344" s="55">
        <f>SUMIFS(tblBudget[Gold_Poured_oz],tblBudget[Month],"&lt;"&amp;$E344)+$KP344</f>
        <v/>
      </c>
      <c r="KR344" s="57">
        <f>SUMIFS(tblBudget[Hours_Worked],tblBudget[Month],$E344)</f>
        <v/>
      </c>
      <c r="KS344" s="57">
        <f>$KR344*$C344/$D344</f>
        <v/>
      </c>
      <c r="KT344" s="57">
        <f>SUMIFS(tblBudget[Hours_Worked],tblBudget[Month],"&lt;"&amp;$E344)+$KS344</f>
        <v/>
      </c>
    </row>
    <row r="345">
      <c r="A345" s="54" t="n">
        <v>46366</v>
      </c>
      <c r="B345">
        <f>MONTH($A345)</f>
        <v/>
      </c>
      <c r="C345">
        <f>DAY($A345)</f>
        <v/>
      </c>
      <c r="D345">
        <f>DAY(EOMONTH($A345,0))</f>
        <v/>
      </c>
      <c r="E345" s="54">
        <f>DATE(YEAR($A345),MONTH($A345),1)</f>
        <v/>
      </c>
      <c r="F345" s="55">
        <f>SUMIFS(tblMovement[Tonnes_t],tblMovement[Date],$A345,tblMovement[Is_Ore],1,tblMovement[Source_Type],"Pit")</f>
        <v/>
      </c>
      <c r="G345" s="55">
        <f>IF($B345=$B344,$G344,0)+$F345</f>
        <v/>
      </c>
      <c r="H345" s="55">
        <f>$H344+$F345</f>
        <v/>
      </c>
      <c r="I345" s="55">
        <f>SUMIFS(tblMovement[Ore_oz],tblMovement[Date],$A345,tblMovement[Source_Type],"Pit")</f>
        <v/>
      </c>
      <c r="J345" s="55">
        <f>IF($B345=$B344,$J344,0)+$I345</f>
        <v/>
      </c>
      <c r="K345" s="55">
        <f>$K344+$I345</f>
        <v/>
      </c>
      <c r="L345" s="55">
        <f>SUMIFS(tblMovement[Tonnes_t],tblMovement[Date],$A345,tblMovement[Is_Ore],1,tblMovement[Source_Type],"Pit",tblMovement[Grade_gpt],"&lt;&gt;")</f>
        <v/>
      </c>
      <c r="M345" s="55">
        <f>IF($B345=$B344,$M344,0)+$L345</f>
        <v/>
      </c>
      <c r="N345" s="55">
        <f>$N344+$L345</f>
        <v/>
      </c>
      <c r="O345" s="56">
        <f>IFERROR(IF(($L345)&gt;0,($I345*cfg_TroyOz)/($L345),""),"")</f>
        <v/>
      </c>
      <c r="P345" s="56">
        <f>IFERROR(IF(($M345)&gt;0,($J345*cfg_TroyOz)/($M345),""),"")</f>
        <v/>
      </c>
      <c r="Q345" s="56">
        <f>IFERROR(IF(($N345)&gt;0,($K345*cfg_TroyOz)/($N345),""),"")</f>
        <v/>
      </c>
      <c r="R345" s="55">
        <f>$F345-$L345</f>
        <v/>
      </c>
      <c r="S345" s="55">
        <f>IF($B345=$B344,$S344,0)+$R345</f>
        <v/>
      </c>
      <c r="T345" s="55">
        <f>$T344+$R345</f>
        <v/>
      </c>
      <c r="U345" s="55">
        <f>SUMIFS(tblMovement[Tonnes_t],tblMovement[Date],$A345,tblMovement[Is_Ore],0,tblMovement[Source_Type],"Pit")</f>
        <v/>
      </c>
      <c r="V345" s="55">
        <f>IF($B345=$B344,$V344,0)+$U345</f>
        <v/>
      </c>
      <c r="W345" s="55">
        <f>$W344+$U345</f>
        <v/>
      </c>
      <c r="X345" s="55">
        <f>$F345+$U345</f>
        <v/>
      </c>
      <c r="Y345" s="55">
        <f>IF($B345=$B344,$Y344,0)+$X345</f>
        <v/>
      </c>
      <c r="Z345" s="55">
        <f>$Z344+$X345</f>
        <v/>
      </c>
      <c r="AA345" s="56">
        <f>IFERROR(IF(($F345)&gt;0,($U345)/($F345),""),"")</f>
        <v/>
      </c>
      <c r="AB345" s="56">
        <f>IFERROR(IF(($G345)&gt;0,($V345)/($G345),""),"")</f>
        <v/>
      </c>
      <c r="AC345" s="56">
        <f>IFERROR(IF(($H345)&gt;0,($W345)/($H345),""),"")</f>
        <v/>
      </c>
      <c r="AD345" s="55">
        <f>SUMIFS(tblMovement[Tonnes_t],tblMovement[Date],$A345,tblMovement[Source_Type],"Stockpile")</f>
        <v/>
      </c>
      <c r="AE345" s="55">
        <f>IF($B345=$B344,$AE344,0)+$AD345</f>
        <v/>
      </c>
      <c r="AF345" s="55">
        <f>$AF344+$AD345</f>
        <v/>
      </c>
      <c r="AG345" s="55">
        <f>SUMIFS(tblMovement[Tonnes_t],tblMovement[Date],$A345)</f>
        <v/>
      </c>
      <c r="AH345" s="55">
        <f>IF($B345=$B344,$AH344,0)+$AG345</f>
        <v/>
      </c>
      <c r="AI345" s="55">
        <f>$AI344+$AG345</f>
        <v/>
      </c>
      <c r="AJ345" s="55">
        <f>$AG345-$X345-$AD345</f>
        <v/>
      </c>
      <c r="AK345" s="55">
        <f>IF($B345=$B344,$AK344,0)+$AJ345</f>
        <v/>
      </c>
      <c r="AL345" s="55">
        <f>$AL344+$AJ345</f>
        <v/>
      </c>
      <c r="AM345" s="55">
        <f>SUMIFS(tblMiningDaily[Drill_m],tblMiningDaily[Date],$A345)</f>
        <v/>
      </c>
      <c r="AN345" s="55">
        <f>IF($B345=$B344,$AN344,0)+$AM345</f>
        <v/>
      </c>
      <c r="AO345" s="55">
        <f>$AO344+$AM345</f>
        <v/>
      </c>
      <c r="AP345" s="55">
        <f>SUMIFS(tblMiningDaily[GC_Drill_m],tblMiningDaily[Date],$A345)</f>
        <v/>
      </c>
      <c r="AQ345" s="55">
        <f>IF($B345=$B344,$AQ344,0)+$AP345</f>
        <v/>
      </c>
      <c r="AR345" s="55">
        <f>$AR344+$AP345</f>
        <v/>
      </c>
      <c r="AS345" s="55">
        <f>SUMIFS(tblMiningDaily[Blast_t],tblMiningDaily[Date],$A345)</f>
        <v/>
      </c>
      <c r="AT345" s="55">
        <f>IF($B345=$B344,$AT344,0)+$AS345</f>
        <v/>
      </c>
      <c r="AU345" s="55">
        <f>$AU344+$AS345</f>
        <v/>
      </c>
      <c r="AV345" s="55">
        <f>SUMIFS(tblMiningDaily[Explosives_kg],tblMiningDaily[Date],$A345)</f>
        <v/>
      </c>
      <c r="AW345" s="55">
        <f>IF($B345=$B344,$AW344,0)+$AV345</f>
        <v/>
      </c>
      <c r="AX345" s="55">
        <f>$AX344+$AV345</f>
        <v/>
      </c>
      <c r="AY345" s="56">
        <f>IFERROR(IF(($AS345)&gt;0,($AV345)/($AS345),""),"")</f>
        <v/>
      </c>
      <c r="AZ345" s="56">
        <f>IFERROR(IF(($AT345)&gt;0,($AW345)/($AT345),""),"")</f>
        <v/>
      </c>
      <c r="BA345" s="56">
        <f>IFERROR(IF(($AU345)&gt;0,($AX345)/($AU345),""),"")</f>
        <v/>
      </c>
      <c r="BB345" s="55">
        <f>SUMIFS(tblMiningDaily[Diesel_L],tblMiningDaily[Date],$A345)</f>
        <v/>
      </c>
      <c r="BC345" s="55">
        <f>IF($B345=$B344,$BC344,0)+$BB345</f>
        <v/>
      </c>
      <c r="BD345" s="55">
        <f>$BD344+$BB345</f>
        <v/>
      </c>
      <c r="BE345" s="55">
        <f>SUMIFS(tblMiningDaily[Dewatering_m3],tblMiningDaily[Date],$A345)</f>
        <v/>
      </c>
      <c r="BF345" s="55">
        <f>IF($B345=$B344,$BF344,0)+$BE345</f>
        <v/>
      </c>
      <c r="BG345" s="55">
        <f>$BG344+$BE345</f>
        <v/>
      </c>
      <c r="BH345" s="57">
        <f>SUMIFS(tblFleet[Calendar_h],tblFleet[Date],$A345,tblFleet[Equipment_Class],"Excavator")</f>
        <v/>
      </c>
      <c r="BI345" s="57">
        <f>IF($B345=$B344,$BI344,0)+$BH345</f>
        <v/>
      </c>
      <c r="BJ345" s="57">
        <f>$BJ344+$BH345</f>
        <v/>
      </c>
      <c r="BK345" s="57">
        <f>SUMIFS(tblFleet[Available_h],tblFleet[Date],$A345,tblFleet[Equipment_Class],"Excavator")</f>
        <v/>
      </c>
      <c r="BL345" s="57">
        <f>IF($B345=$B344,$BL344,0)+$BK345</f>
        <v/>
      </c>
      <c r="BM345" s="57">
        <f>$BM344+$BK345</f>
        <v/>
      </c>
      <c r="BN345" s="57">
        <f>SUMIFS(tblFleet[Operating_h],tblFleet[Date],$A345,tblFleet[Equipment_Class],"Excavator")</f>
        <v/>
      </c>
      <c r="BO345" s="57">
        <f>IF($B345=$B344,$BO344,0)+$BN345</f>
        <v/>
      </c>
      <c r="BP345" s="57">
        <f>$BP344+$BN345</f>
        <v/>
      </c>
      <c r="BQ345" s="67">
        <f>IFERROR(IF(($BH345)&gt;0,($BK345)/($BH345),""),"")</f>
        <v/>
      </c>
      <c r="BR345" s="67">
        <f>IFERROR(IF(($BI345)&gt;0,($BL345)/($BI345),""),"")</f>
        <v/>
      </c>
      <c r="BS345" s="67">
        <f>IFERROR(IF(($BJ345)&gt;0,($BM345)/($BJ345),""),"")</f>
        <v/>
      </c>
      <c r="BT345" s="67">
        <f>IFERROR(IF(($BK345)&gt;0,($BN345)/($BK345),""),"")</f>
        <v/>
      </c>
      <c r="BU345" s="67">
        <f>IFERROR(IF(($BL345)&gt;0,($BO345)/($BL345),""),"")</f>
        <v/>
      </c>
      <c r="BV345" s="67">
        <f>IFERROR(IF(($BM345)&gt;0,($BP345)/($BM345),""),"")</f>
        <v/>
      </c>
      <c r="BW345" s="57">
        <f>SUMIFS(tblFleet[Calendar_h],tblFleet[Date],$A345,tblFleet[Equipment_Class],"Haul Truck")</f>
        <v/>
      </c>
      <c r="BX345" s="57">
        <f>IF($B345=$B344,$BX344,0)+$BW345</f>
        <v/>
      </c>
      <c r="BY345" s="57">
        <f>$BY344+$BW345</f>
        <v/>
      </c>
      <c r="BZ345" s="57">
        <f>SUMIFS(tblFleet[Available_h],tblFleet[Date],$A345,tblFleet[Equipment_Class],"Haul Truck")</f>
        <v/>
      </c>
      <c r="CA345" s="57">
        <f>IF($B345=$B344,$CA344,0)+$BZ345</f>
        <v/>
      </c>
      <c r="CB345" s="57">
        <f>$CB344+$BZ345</f>
        <v/>
      </c>
      <c r="CC345" s="57">
        <f>SUMIFS(tblFleet[Operating_h],tblFleet[Date],$A345,tblFleet[Equipment_Class],"Haul Truck")</f>
        <v/>
      </c>
      <c r="CD345" s="57">
        <f>IF($B345=$B344,$CD344,0)+$CC345</f>
        <v/>
      </c>
      <c r="CE345" s="57">
        <f>$CE344+$CC345</f>
        <v/>
      </c>
      <c r="CF345" s="67">
        <f>IFERROR(IF(($BW345)&gt;0,($BZ345)/($BW345),""),"")</f>
        <v/>
      </c>
      <c r="CG345" s="67">
        <f>IFERROR(IF(($BX345)&gt;0,($CA345)/($BX345),""),"")</f>
        <v/>
      </c>
      <c r="CH345" s="67">
        <f>IFERROR(IF(($BY345)&gt;0,($CB345)/($BY345),""),"")</f>
        <v/>
      </c>
      <c r="CI345" s="67">
        <f>IFERROR(IF(($BZ345)&gt;0,($CC345)/($BZ345),""),"")</f>
        <v/>
      </c>
      <c r="CJ345" s="67">
        <f>IFERROR(IF(($CA345)&gt;0,($CD345)/($CA345),""),"")</f>
        <v/>
      </c>
      <c r="CK345" s="67">
        <f>IFERROR(IF(($CB345)&gt;0,($CE345)/($CB345),""),"")</f>
        <v/>
      </c>
      <c r="CL345" s="55">
        <f>IFERROR(IF(($BN345)&gt;0,($X345+$AD345)/($BN345),""),"")</f>
        <v/>
      </c>
      <c r="CM345" s="55">
        <f>IFERROR(IF(($BO345)&gt;0,($Y345+$AE345)/($BO345),""),"")</f>
        <v/>
      </c>
      <c r="CN345" s="55">
        <f>IFERROR(IF(($BP345)&gt;0,($Z345+$AF345)/($BP345),""),"")</f>
        <v/>
      </c>
      <c r="CO345" s="55">
        <f>IFERROR(IF(($CC345)&gt;0,($X345+$AD345)/($CC345),""),"")</f>
        <v/>
      </c>
      <c r="CP345" s="55">
        <f>IFERROR(IF(($CD345)&gt;0,($Y345+$AE345)/($CD345),""),"")</f>
        <v/>
      </c>
      <c r="CQ345" s="55">
        <f>IFERROR(IF(($CE345)&gt;0,($Z345+$AF345)/($CE345),""),"")</f>
        <v/>
      </c>
      <c r="CR345" s="55">
        <f>SUMIFS(tblPlant[Crushed_t],tblPlant[Date],$A345)</f>
        <v/>
      </c>
      <c r="CS345" s="55">
        <f>IF($B345=$B344,$CS344,0)+$CR345</f>
        <v/>
      </c>
      <c r="CT345" s="55">
        <f>$CT344+$CR345</f>
        <v/>
      </c>
      <c r="CU345" s="55">
        <f>SUMIFS(tblPlant[Milled_t],tblPlant[Date],$A345)</f>
        <v/>
      </c>
      <c r="CV345" s="55">
        <f>IF($B345=$B344,$CV344,0)+$CU345</f>
        <v/>
      </c>
      <c r="CW345" s="55">
        <f>$CW344+$CU345</f>
        <v/>
      </c>
      <c r="CX345" s="55">
        <f>SUMIFS(tblPlant[Feed_oz],tblPlant[Date],$A345)</f>
        <v/>
      </c>
      <c r="CY345" s="55">
        <f>IF($B345=$B344,$CY344,0)+$CX345</f>
        <v/>
      </c>
      <c r="CZ345" s="55">
        <f>$CZ344+$CX345</f>
        <v/>
      </c>
      <c r="DA345" s="55">
        <f>SUMIFS(tblPlant[Tails_oz],tblPlant[Date],$A345)</f>
        <v/>
      </c>
      <c r="DB345" s="55">
        <f>IF($B345=$B344,$DB344,0)+$DA345</f>
        <v/>
      </c>
      <c r="DC345" s="55">
        <f>$DC344+$DA345</f>
        <v/>
      </c>
      <c r="DD345" s="55">
        <f>SUMIFS(tblPlant[Recovered_oz],tblPlant[Date],$A345)</f>
        <v/>
      </c>
      <c r="DE345" s="55">
        <f>IF($B345=$B344,$DE344,0)+$DD345</f>
        <v/>
      </c>
      <c r="DF345" s="55">
        <f>$DF344+$DD345</f>
        <v/>
      </c>
      <c r="DG345" s="55">
        <f>SUMIFS(tblPlant[Milled_t],tblPlant[Date],$A345,tblPlant[Head_Grade_gpt],"&lt;&gt;")</f>
        <v/>
      </c>
      <c r="DH345" s="55">
        <f>IF($B345=$B344,$DH344,0)+$DG345</f>
        <v/>
      </c>
      <c r="DI345" s="55">
        <f>$DI344+$DG345</f>
        <v/>
      </c>
      <c r="DJ345" s="55">
        <f>SUMIFS(tblPlant[Milled_t],tblPlant[Date],$A345,tblPlant[Tails_Grade_gpt],"&lt;&gt;")</f>
        <v/>
      </c>
      <c r="DK345" s="55">
        <f>IF($B345=$B344,$DK344,0)+$DJ345</f>
        <v/>
      </c>
      <c r="DL345" s="55">
        <f>$DL344+$DJ345</f>
        <v/>
      </c>
      <c r="DM345" s="55">
        <f>SUMIFS(tblPlant[Feed_oz],tblPlant[Date],$A345,tblPlant[Tails_Grade_gpt],"&lt;&gt;")</f>
        <v/>
      </c>
      <c r="DN345" s="55">
        <f>IF($B345=$B344,$DN344,0)+$DM345</f>
        <v/>
      </c>
      <c r="DO345" s="55">
        <f>$DO344+$DM345</f>
        <v/>
      </c>
      <c r="DP345" s="55">
        <f>SUMIFS(tblPlant[Milled_t],tblPlant[Date],$A345,tblPlant[Mill_Run_h],"&lt;&gt;")</f>
        <v/>
      </c>
      <c r="DQ345" s="55">
        <f>IF($B345=$B344,$DQ344,0)+$DP345</f>
        <v/>
      </c>
      <c r="DR345" s="55">
        <f>$DR344+$DP345</f>
        <v/>
      </c>
      <c r="DS345" s="56">
        <f>IFERROR(IF(($DG345)&gt;0,($CX345*cfg_TroyOz)/($DG345),""),"")</f>
        <v/>
      </c>
      <c r="DT345" s="56">
        <f>IFERROR(IF(($DH345)&gt;0,($CY345*cfg_TroyOz)/($DH345),""),"")</f>
        <v/>
      </c>
      <c r="DU345" s="56">
        <f>IFERROR(IF(($DI345)&gt;0,($CZ345*cfg_TroyOz)/($DI345),""),"")</f>
        <v/>
      </c>
      <c r="DV345" s="56">
        <f>IFERROR(IF(($DJ345)&gt;0,($DA345*cfg_TroyOz)/($DJ345),""),"")</f>
        <v/>
      </c>
      <c r="DW345" s="56">
        <f>IFERROR(IF(($DK345)&gt;0,($DB345*cfg_TroyOz)/($DK345),""),"")</f>
        <v/>
      </c>
      <c r="DX345" s="56">
        <f>IFERROR(IF(($DL345)&gt;0,($DC345*cfg_TroyOz)/($DL345),""),"")</f>
        <v/>
      </c>
      <c r="DY345" s="67">
        <f>IFERROR(IF(($DM345)&gt;0,($DD345)/($DM345),""),"")</f>
        <v/>
      </c>
      <c r="DZ345" s="67">
        <f>IFERROR(IF(($DN345)&gt;0,($DE345)/($DN345),""),"")</f>
        <v/>
      </c>
      <c r="EA345" s="67">
        <f>IFERROR(IF(($DO345)&gt;0,($DF345)/($DO345),""),"")</f>
        <v/>
      </c>
      <c r="EB345" s="55">
        <f>SUMIFS(tblPlant[Gravity_Gold_oz],tblPlant[Date],$A345)</f>
        <v/>
      </c>
      <c r="EC345" s="55">
        <f>IF($B345=$B344,$EC344,0)+$EB345</f>
        <v/>
      </c>
      <c r="ED345" s="55">
        <f>$ED344+$EB345</f>
        <v/>
      </c>
      <c r="EE345" s="67">
        <f>IFERROR(IF(($DD345)&gt;0,($EB345)/($DD345),""),"")</f>
        <v/>
      </c>
      <c r="EF345" s="67">
        <f>IFERROR(IF(($DE345)&gt;0,($EC345)/($DE345),""),"")</f>
        <v/>
      </c>
      <c r="EG345" s="67">
        <f>IFERROR(IF(($DF345)&gt;0,($ED345)/($DF345),""),"")</f>
        <v/>
      </c>
      <c r="EH345" s="55">
        <f>SUMIFS(tblPlant[Gold_Poured_oz],tblPlant[Date],$A345)</f>
        <v/>
      </c>
      <c r="EI345" s="55">
        <f>IF($B345=$B344,$EI344,0)+$EH345</f>
        <v/>
      </c>
      <c r="EJ345" s="55">
        <f>$EJ344+$EH345</f>
        <v/>
      </c>
      <c r="EK345" s="57">
        <f>SUMIFS(tblPlant[Mill_Run_h],tblPlant[Date],$A345)</f>
        <v/>
      </c>
      <c r="EL345" s="57">
        <f>IF($B345=$B344,$EL344,0)+$EK345</f>
        <v/>
      </c>
      <c r="EM345" s="57">
        <f>$EM344+$EK345</f>
        <v/>
      </c>
      <c r="EN345" s="57">
        <f>SUMIFS(tblPlant[Mill_Planned_Maint_h],tblPlant[Date],$A345)</f>
        <v/>
      </c>
      <c r="EO345" s="57">
        <f>IF($B345=$B344,$EO344,0)+$EN345</f>
        <v/>
      </c>
      <c r="EP345" s="57">
        <f>$EP344+$EN345</f>
        <v/>
      </c>
      <c r="EQ345" s="57">
        <f>SUMIFS(tblPlant[Mill_Unplanned_Down_h],tblPlant[Date],$A345)</f>
        <v/>
      </c>
      <c r="ER345" s="57">
        <f>IF($B345=$B344,$ER344,0)+$EQ345</f>
        <v/>
      </c>
      <c r="ES345" s="57">
        <f>$ES344+$EQ345</f>
        <v/>
      </c>
      <c r="ET345" s="57">
        <f>IF(COUNTIFS(tblPlant[Date],$A345,tblPlant[Mill_Run_h],"&lt;&gt;")+COUNTIFS(tblPlant[Date],$A345,tblPlant[Mill_Planned_Maint_h],"&lt;&gt;")+COUNTIFS(tblPlant[Date],$A345,tblPlant[Mill_Unplanned_Down_h],"&lt;&gt;")&gt;0,cfg_HoursPerDay,0)</f>
        <v/>
      </c>
      <c r="EU345" s="57">
        <f>IF($B345=$B344,$EU344,0)+$ET345</f>
        <v/>
      </c>
      <c r="EV345" s="57">
        <f>$EV344+$ET345</f>
        <v/>
      </c>
      <c r="EW345" s="57">
        <f>SUMIFS(tblPlant[Crusher_Run_h],tblPlant[Date],$A345)</f>
        <v/>
      </c>
      <c r="EX345" s="57">
        <f>IF($B345=$B344,$EX344,0)+$EW345</f>
        <v/>
      </c>
      <c r="EY345" s="57">
        <f>$EY344+$EW345</f>
        <v/>
      </c>
      <c r="EZ345" s="55">
        <f>IFERROR(IF(($EK345)&gt;0,($DP345)/($EK345),""),"")</f>
        <v/>
      </c>
      <c r="FA345" s="55">
        <f>IFERROR(IF(($EL345)&gt;0,($DQ345)/($EL345),""),"")</f>
        <v/>
      </c>
      <c r="FB345" s="55">
        <f>IFERROR(IF(($EM345)&gt;0,($DR345)/($EM345),""),"")</f>
        <v/>
      </c>
      <c r="FC345" s="67">
        <f>IFERROR(IF(($ET345)&gt;0,($ET345-$EN345-$EQ345)/($ET345),""),"")</f>
        <v/>
      </c>
      <c r="FD345" s="67">
        <f>IFERROR(IF(($EU345)&gt;0,($EU345-$EO345-$ER345)/($EU345),""),"")</f>
        <v/>
      </c>
      <c r="FE345" s="67">
        <f>IFERROR(IF(($EV345)&gt;0,($EV345-$EP345-$ES345)/($EV345),""),"")</f>
        <v/>
      </c>
      <c r="FF345" s="67">
        <f>IFERROR(IF(($ET345-$EN345-$EQ345)&gt;0,($EK345)/($ET345-$EN345-$EQ345),""),"")</f>
        <v/>
      </c>
      <c r="FG345" s="67">
        <f>IFERROR(IF(($EU345-$EO345-$ER345)&gt;0,($EL345)/($EU345-$EO345-$ER345),""),"")</f>
        <v/>
      </c>
      <c r="FH345" s="67">
        <f>IFERROR(IF(($EV345-$EP345-$ES345)&gt;0,($EM345)/($EV345-$EP345-$ES345),""),"")</f>
        <v/>
      </c>
      <c r="FI345" s="55">
        <f>SUMIFS(tblPlant[Cyanide_kg],tblPlant[Date],$A345)</f>
        <v/>
      </c>
      <c r="FJ345" s="55">
        <f>IF($B345=$B344,$FJ344,0)+$FI345</f>
        <v/>
      </c>
      <c r="FK345" s="55">
        <f>$FK344+$FI345</f>
        <v/>
      </c>
      <c r="FL345" s="55">
        <f>SUMIFS(tblPlant[Lime_kg],tblPlant[Date],$A345)</f>
        <v/>
      </c>
      <c r="FM345" s="55">
        <f>IF($B345=$B344,$FM344,0)+$FL345</f>
        <v/>
      </c>
      <c r="FN345" s="55">
        <f>$FN344+$FL345</f>
        <v/>
      </c>
      <c r="FO345" s="55">
        <f>SUMIFS(tblPlant[Grinding_Media_kg],tblPlant[Date],$A345)</f>
        <v/>
      </c>
      <c r="FP345" s="55">
        <f>IF($B345=$B344,$FP344,0)+$FO345</f>
        <v/>
      </c>
      <c r="FQ345" s="55">
        <f>$FQ344+$FO345</f>
        <v/>
      </c>
      <c r="FR345" s="55">
        <f>SUMIFS(tblPlant[Power_kWh],tblPlant[Date],$A345)</f>
        <v/>
      </c>
      <c r="FS345" s="55">
        <f>IF($B345=$B344,$FS344,0)+$FR345</f>
        <v/>
      </c>
      <c r="FT345" s="55">
        <f>$FT344+$FR345</f>
        <v/>
      </c>
      <c r="FU345" s="55">
        <f>SUMIFS(tblPlant[Raw_Water_m3],tblPlant[Date],$A345)</f>
        <v/>
      </c>
      <c r="FV345" s="55">
        <f>IF($B345=$B344,$FV344,0)+$FU345</f>
        <v/>
      </c>
      <c r="FW345" s="55">
        <f>$FW344+$FU345</f>
        <v/>
      </c>
      <c r="FX345" s="56">
        <f>IFERROR(IF(($CU345)&gt;0,($FI345)/($CU345),""),"")</f>
        <v/>
      </c>
      <c r="FY345" s="56">
        <f>IFERROR(IF(($CV345)&gt;0,($FJ345)/($CV345),""),"")</f>
        <v/>
      </c>
      <c r="FZ345" s="56">
        <f>IFERROR(IF(($CW345)&gt;0,($FK345)/($CW345),""),"")</f>
        <v/>
      </c>
      <c r="GA345" s="56">
        <f>IFERROR(IF(($CU345)&gt;0,($FL345)/($CU345),""),"")</f>
        <v/>
      </c>
      <c r="GB345" s="56">
        <f>IFERROR(IF(($CV345)&gt;0,($FM345)/($CV345),""),"")</f>
        <v/>
      </c>
      <c r="GC345" s="56">
        <f>IFERROR(IF(($CW345)&gt;0,($FN345)/($CW345),""),"")</f>
        <v/>
      </c>
      <c r="GD345" s="56">
        <f>IFERROR(IF(($CU345)&gt;0,($FO345)/($CU345),""),"")</f>
        <v/>
      </c>
      <c r="GE345" s="56">
        <f>IFERROR(IF(($CV345)&gt;0,($FP345)/($CV345),""),"")</f>
        <v/>
      </c>
      <c r="GF345" s="56">
        <f>IFERROR(IF(($CW345)&gt;0,($FQ345)/($CW345),""),"")</f>
        <v/>
      </c>
      <c r="GG345" s="79">
        <f>IFERROR(IF(($CU345)&gt;0,($FR345)/($CU345),""),"")</f>
        <v/>
      </c>
      <c r="GH345" s="79">
        <f>IFERROR(IF(($CV345)&gt;0,($FS345)/($CV345),""),"")</f>
        <v/>
      </c>
      <c r="GI345" s="79">
        <f>IFERROR(IF(($CW345)&gt;0,($FT345)/($CW345),""),"")</f>
        <v/>
      </c>
      <c r="GJ345" s="56">
        <f>IFERROR(IF(($CU345)&gt;0,($FU345)/($CU345),""),"")</f>
        <v/>
      </c>
      <c r="GK345" s="56">
        <f>IFERROR(IF(($CV345)&gt;0,($FV345)/($CV345),""),"")</f>
        <v/>
      </c>
      <c r="GL345" s="56">
        <f>IFERROR(IF(($CW345)&gt;0,($FW345)/($CW345),""),"")</f>
        <v/>
      </c>
      <c r="GM345" s="55">
        <f>IF(SUMIFS(tblPlant[GIC_oz],tblPlant[Date],$A345)&gt;0,SUMIFS(tblPlant[GIC_oz],tblPlant[Date],$A345),"")</f>
        <v/>
      </c>
      <c r="GN345" s="55">
        <f>SUMIFS(tblGold[Gold_oz],tblGold[Date],$A345,tblGold[Type],"Shipment")</f>
        <v/>
      </c>
      <c r="GO345" s="55">
        <f>IF($B345=$B344,$GO344,0)+$GN345</f>
        <v/>
      </c>
      <c r="GP345" s="55">
        <f>$GP344+$GN345</f>
        <v/>
      </c>
      <c r="GQ345" s="55">
        <f>SUMIFS(tblGold[Gold_oz],tblGold[Date],$A345,tblGold[Type],"Sale")</f>
        <v/>
      </c>
      <c r="GR345" s="55">
        <f>IF($B345=$B344,$GR344,0)+$GQ345</f>
        <v/>
      </c>
      <c r="GS345" s="55">
        <f>$GS344+$GQ345</f>
        <v/>
      </c>
      <c r="GT345" s="55">
        <f>SUMIFS(tblGold[Dore_kg],tblGold[Date],$A345,tblGold[Type],"Shipment")</f>
        <v/>
      </c>
      <c r="GU345" s="55">
        <f>IF($B345=$B344,$GU344,0)+$GT345</f>
        <v/>
      </c>
      <c r="GV345" s="55">
        <f>$GV344+$GT345</f>
        <v/>
      </c>
      <c r="GW345" s="57">
        <f>SUMIFS(tblSafety[Hours_Total],tblSafety[Date],$A345)</f>
        <v/>
      </c>
      <c r="GX345" s="57">
        <f>IF($B345=$B344,$GX344,0)+$GW345</f>
        <v/>
      </c>
      <c r="GY345" s="57">
        <f>$GY344+$GW345</f>
        <v/>
      </c>
      <c r="GZ345" s="62">
        <f>SUMIFS(tblSafety[Fatality],tblSafety[Date],$A345)</f>
        <v/>
      </c>
      <c r="HA345" s="62">
        <f>IF($B345=$B344,$HA344,0)+$GZ345</f>
        <v/>
      </c>
      <c r="HB345" s="62">
        <f>$HB344+$GZ345</f>
        <v/>
      </c>
      <c r="HC345" s="62">
        <f>SUMIFS(tblSafety[LTI],tblSafety[Date],$A345)</f>
        <v/>
      </c>
      <c r="HD345" s="62">
        <f>IF($B345=$B344,$HD344,0)+$HC345</f>
        <v/>
      </c>
      <c r="HE345" s="62">
        <f>$HE344+$HC345</f>
        <v/>
      </c>
      <c r="HF345" s="62">
        <f>SUMIFS(tblSafety[RWI],tblSafety[Date],$A345)</f>
        <v/>
      </c>
      <c r="HG345" s="62">
        <f>IF($B345=$B344,$HG344,0)+$HF345</f>
        <v/>
      </c>
      <c r="HH345" s="62">
        <f>$HH344+$HF345</f>
        <v/>
      </c>
      <c r="HI345" s="62">
        <f>SUMIFS(tblSafety[MTI],tblSafety[Date],$A345)</f>
        <v/>
      </c>
      <c r="HJ345" s="62">
        <f>IF($B345=$B344,$HJ344,0)+$HI345</f>
        <v/>
      </c>
      <c r="HK345" s="62">
        <f>$HK344+$HI345</f>
        <v/>
      </c>
      <c r="HL345" s="62">
        <f>SUMIFS(tblSafety[FAI],tblSafety[Date],$A345)</f>
        <v/>
      </c>
      <c r="HM345" s="62">
        <f>IF($B345=$B344,$HM344,0)+$HL345</f>
        <v/>
      </c>
      <c r="HN345" s="62">
        <f>$HN344+$HL345</f>
        <v/>
      </c>
      <c r="HO345" s="62">
        <f>SUMIFS(tblSafety[Recordables],tblSafety[Date],$A345)</f>
        <v/>
      </c>
      <c r="HP345" s="62">
        <f>IF($B345=$B344,$HP344,0)+$HO345</f>
        <v/>
      </c>
      <c r="HQ345" s="62">
        <f>$HQ344+$HO345</f>
        <v/>
      </c>
      <c r="HR345" s="62">
        <f>SUMIFS(tblSafety[Near_Miss],tblSafety[Date],$A345)</f>
        <v/>
      </c>
      <c r="HS345" s="62">
        <f>IF($B345=$B344,$HS344,0)+$HR345</f>
        <v/>
      </c>
      <c r="HT345" s="62">
        <f>$HT344+$HR345</f>
        <v/>
      </c>
      <c r="HU345" s="62">
        <f>SUMIFS(tblSafety[Hazard_Reports],tblSafety[Date],$A345)</f>
        <v/>
      </c>
      <c r="HV345" s="62">
        <f>IF($B345=$B344,$HV344,0)+$HU345</f>
        <v/>
      </c>
      <c r="HW345" s="62">
        <f>$HW344+$HU345</f>
        <v/>
      </c>
      <c r="HX345" s="62">
        <f>SUMIFS(tblSafety[HPI],tblSafety[Date],$A345)</f>
        <v/>
      </c>
      <c r="HY345" s="62">
        <f>IF($B345=$B344,$HY344,0)+$HX345</f>
        <v/>
      </c>
      <c r="HZ345" s="62">
        <f>$HZ344+$HX345</f>
        <v/>
      </c>
      <c r="IA345" s="62">
        <f>SUMIFS(tblSafety[Env_Incidents],tblSafety[Date],$A345)</f>
        <v/>
      </c>
      <c r="IB345" s="62">
        <f>IF($B345=$B344,$IB344,0)+$IA345</f>
        <v/>
      </c>
      <c r="IC345" s="62">
        <f>$IC344+$IA345</f>
        <v/>
      </c>
      <c r="ID345" s="62">
        <f>SUMIFS(tblSafety[Community_Incidents],tblSafety[Date],$A345)</f>
        <v/>
      </c>
      <c r="IE345" s="62">
        <f>IF($B345=$B344,$IE344,0)+$ID345</f>
        <v/>
      </c>
      <c r="IF345" s="62">
        <f>$IF344+$ID345</f>
        <v/>
      </c>
      <c r="IG345" s="62">
        <f>SUMIFS(tblSafety[Vehicle_Incidents],tblSafety[Date],$A345)</f>
        <v/>
      </c>
      <c r="IH345" s="62">
        <f>IF($B345=$B344,$IH344,0)+$IG345</f>
        <v/>
      </c>
      <c r="II345" s="62">
        <f>$II344+$IG345</f>
        <v/>
      </c>
      <c r="IJ345" s="62">
        <f>SUMIFS(tblSafety[Toolbox_Talks],tblSafety[Date],$A345)</f>
        <v/>
      </c>
      <c r="IK345" s="62">
        <f>IF($B345=$B344,$IK344,0)+$IJ345</f>
        <v/>
      </c>
      <c r="IL345" s="62">
        <f>$IL344+$IJ345</f>
        <v/>
      </c>
      <c r="IM345" s="62">
        <f>SUMIFS(tblSafety[Inspections],tblSafety[Date],$A345)</f>
        <v/>
      </c>
      <c r="IN345" s="62">
        <f>IF($B345=$B344,$IN344,0)+$IM345</f>
        <v/>
      </c>
      <c r="IO345" s="62">
        <f>$IO344+$IM345</f>
        <v/>
      </c>
      <c r="IP345" s="56">
        <f>IFERROR((SUMIFS(tblSafety[Recordables],tblSafety[Date],"&gt;="&amp;EDATE($E345,-12),tblSafety[Date],"&lt;="&amp;$A345)+SUMIFS(tblSafetyHistory[Recordables],tblSafetyHistory[Month],"&gt;="&amp;EDATE($E345,-12),tblSafetyHistory[Month],"&lt;"&amp;$E345,tblSafetyHistory[Use],1))/(SUMIFS(tblSafety[Hours_Total],tblSafety[Date],"&gt;="&amp;EDATE($E345,-12),tblSafety[Date],"&lt;="&amp;$A345)+SUMIFS(tblSafetyHistory[Hours_Total],tblSafetyHistory[Month],"&gt;="&amp;EDATE($E345,-12),tblSafetyHistory[Month],"&lt;"&amp;$E345,tblSafetyHistory[Use],1))*cfg_RateBasisHours,"")</f>
        <v/>
      </c>
      <c r="IQ345" s="56">
        <f>IFERROR((SUMIFS(tblSafety[LTI],tblSafety[Date],"&gt;="&amp;EDATE($E345,-12),tblSafety[Date],"&lt;="&amp;$A345)+SUMIFS(tblSafetyHistory[LTI],tblSafetyHistory[Month],"&gt;="&amp;EDATE($E345,-12),tblSafetyHistory[Month],"&lt;"&amp;$E345,tblSafetyHistory[Use],1))/(SUMIFS(tblSafety[Hours_Total],tblSafety[Date],"&gt;="&amp;EDATE($E345,-12),tblSafety[Date],"&lt;="&amp;$A345)+SUMIFS(tblSafetyHistory[Hours_Total],tblSafetyHistory[Month],"&gt;="&amp;EDATE($E345,-12),tblSafetyHistory[Month],"&lt;"&amp;$E345,tblSafetyHistory[Use],1))*cfg_RateBasisHours,"")</f>
        <v/>
      </c>
      <c r="IR345" s="62">
        <f>IF(MAX(N(cfg_PriorLTIDate),_xlfn.MAXIFS(tblSafety[Date],tblSafety[LTI],"&gt;0",tblSafety[Date],"&lt;="&amp;$A345))=0,"",$A345-MAX(N(cfg_PriorLTIDate),_xlfn.MAXIFS(tblSafety[Date],tblSafety[LTI],"&gt;0",tblSafety[Date],"&lt;="&amp;$A345)))</f>
        <v/>
      </c>
      <c r="IS345" s="55">
        <f>SUMIFS(tblBudget[Ore_Mined_t],tblBudget[Month],$E345)</f>
        <v/>
      </c>
      <c r="IT345" s="55">
        <f>$IS345*$C345/$D345</f>
        <v/>
      </c>
      <c r="IU345" s="55">
        <f>SUMIFS(tblBudget[Ore_Mined_t],tblBudget[Month],"&lt;"&amp;$E345)+$IT345</f>
        <v/>
      </c>
      <c r="IV345" s="55">
        <f>SUMIFS(tblBudget[Ore_oz],tblBudget[Month],$E345)</f>
        <v/>
      </c>
      <c r="IW345" s="55">
        <f>$IV345*$C345/$D345</f>
        <v/>
      </c>
      <c r="IX345" s="55">
        <f>SUMIFS(tblBudget[Ore_oz],tblBudget[Month],"&lt;"&amp;$E345)+$IW345</f>
        <v/>
      </c>
      <c r="IY345" s="55">
        <f>SUMIFS(tblBudget[Ore_Mined_t],tblBudget[Month],$E345)</f>
        <v/>
      </c>
      <c r="IZ345" s="55">
        <f>$IY345*$C345/$D345</f>
        <v/>
      </c>
      <c r="JA345" s="55">
        <f>SUMIFS(tblBudget[Ore_Mined_t],tblBudget[Month],"&lt;"&amp;$E345)+$IZ345</f>
        <v/>
      </c>
      <c r="JB345" s="56">
        <f>IFERROR(IF(($IY345)&gt;0,($IV345*cfg_TroyOz)/($IY345),""),"")</f>
        <v/>
      </c>
      <c r="JC345" s="56">
        <f>IFERROR(IF(($IZ345)&gt;0,($IW345*cfg_TroyOz)/($IZ345),""),"")</f>
        <v/>
      </c>
      <c r="JD345" s="56">
        <f>IFERROR(IF(($JA345)&gt;0,($IX345*cfg_TroyOz)/($JA345),""),"")</f>
        <v/>
      </c>
      <c r="JE345" s="55">
        <f>SUMIFS(tblBudget[Waste_t],tblBudget[Month],$E345)</f>
        <v/>
      </c>
      <c r="JF345" s="55">
        <f>$JE345*$C345/$D345</f>
        <v/>
      </c>
      <c r="JG345" s="55">
        <f>SUMIFS(tblBudget[Waste_t],tblBudget[Month],"&lt;"&amp;$E345)+$JF345</f>
        <v/>
      </c>
      <c r="JH345" s="55">
        <f>SUMIFS(tblBudget[TMM_t],tblBudget[Month],$E345)</f>
        <v/>
      </c>
      <c r="JI345" s="55">
        <f>$JH345*$C345/$D345</f>
        <v/>
      </c>
      <c r="JJ345" s="55">
        <f>SUMIFS(tblBudget[TMM_t],tblBudget[Month],"&lt;"&amp;$E345)+$JI345</f>
        <v/>
      </c>
      <c r="JK345" s="56">
        <f>IFERROR(IF(($IS345)&gt;0,($JE345)/($IS345),""),"")</f>
        <v/>
      </c>
      <c r="JL345" s="56">
        <f>IFERROR(IF(($IT345)&gt;0,($JF345)/($IT345),""),"")</f>
        <v/>
      </c>
      <c r="JM345" s="56">
        <f>IFERROR(IF(($IU345)&gt;0,($JG345)/($IU345),""),"")</f>
        <v/>
      </c>
      <c r="JN345" s="55">
        <f>SUMIFS(tblBudget[Drill_m],tblBudget[Month],$E345)</f>
        <v/>
      </c>
      <c r="JO345" s="55">
        <f>$JN345*$C345/$D345</f>
        <v/>
      </c>
      <c r="JP345" s="55">
        <f>SUMIFS(tblBudget[Drill_m],tblBudget[Month],"&lt;"&amp;$E345)+$JO345</f>
        <v/>
      </c>
      <c r="JQ345" s="55">
        <f>SUMIFS(tblBudget[Diesel_L],tblBudget[Month],$E345)</f>
        <v/>
      </c>
      <c r="JR345" s="55">
        <f>$JQ345*$C345/$D345</f>
        <v/>
      </c>
      <c r="JS345" s="55">
        <f>SUMIFS(tblBudget[Diesel_L],tblBudget[Month],"&lt;"&amp;$E345)+$JR345</f>
        <v/>
      </c>
      <c r="JT345" s="55">
        <f>SUMIFS(tblBudget[Milled_t],tblBudget[Month],$E345)</f>
        <v/>
      </c>
      <c r="JU345" s="55">
        <f>$JT345*$C345/$D345</f>
        <v/>
      </c>
      <c r="JV345" s="55">
        <f>SUMIFS(tblBudget[Milled_t],tblBudget[Month],"&lt;"&amp;$E345)+$JU345</f>
        <v/>
      </c>
      <c r="JW345" s="55">
        <f>SUMIFS(tblBudget[Feed_oz],tblBudget[Month],$E345)</f>
        <v/>
      </c>
      <c r="JX345" s="55">
        <f>$JW345*$C345/$D345</f>
        <v/>
      </c>
      <c r="JY345" s="55">
        <f>SUMIFS(tblBudget[Feed_oz],tblBudget[Month],"&lt;"&amp;$E345)+$JX345</f>
        <v/>
      </c>
      <c r="JZ345" s="55">
        <f>SUMIFS(tblBudget[Recovered_oz],tblBudget[Month],$E345)</f>
        <v/>
      </c>
      <c r="KA345" s="55">
        <f>$JZ345*$C345/$D345</f>
        <v/>
      </c>
      <c r="KB345" s="55">
        <f>SUMIFS(tblBudget[Recovered_oz],tblBudget[Month],"&lt;"&amp;$E345)+$KA345</f>
        <v/>
      </c>
      <c r="KC345" s="55">
        <f>SUMIFS(tblBudget[Milled_t],tblBudget[Month],$E345)</f>
        <v/>
      </c>
      <c r="KD345" s="55">
        <f>$KC345*$C345/$D345</f>
        <v/>
      </c>
      <c r="KE345" s="55">
        <f>SUMIFS(tblBudget[Milled_t],tblBudget[Month],"&lt;"&amp;$E345)+$KD345</f>
        <v/>
      </c>
      <c r="KF345" s="55">
        <f>SUMIFS(tblBudget[Feed_oz],tblBudget[Month],$E345)</f>
        <v/>
      </c>
      <c r="KG345" s="55">
        <f>$KF345*$C345/$D345</f>
        <v/>
      </c>
      <c r="KH345" s="55">
        <f>SUMIFS(tblBudget[Feed_oz],tblBudget[Month],"&lt;"&amp;$E345)+$KG345</f>
        <v/>
      </c>
      <c r="KI345" s="56">
        <f>IFERROR(IF(($KC345)&gt;0,($JW345*cfg_TroyOz)/($KC345),""),"")</f>
        <v/>
      </c>
      <c r="KJ345" s="56">
        <f>IFERROR(IF(($KD345)&gt;0,($JX345*cfg_TroyOz)/($KD345),""),"")</f>
        <v/>
      </c>
      <c r="KK345" s="56">
        <f>IFERROR(IF(($KE345)&gt;0,($JY345*cfg_TroyOz)/($KE345),""),"")</f>
        <v/>
      </c>
      <c r="KL345" s="67">
        <f>IFERROR(IF(($KF345)&gt;0,($JZ345)/($KF345),""),"")</f>
        <v/>
      </c>
      <c r="KM345" s="67">
        <f>IFERROR(IF(($KG345)&gt;0,($KA345)/($KG345),""),"")</f>
        <v/>
      </c>
      <c r="KN345" s="67">
        <f>IFERROR(IF(($KH345)&gt;0,($KB345)/($KH345),""),"")</f>
        <v/>
      </c>
      <c r="KO345" s="55">
        <f>SUMIFS(tblBudget[Gold_Poured_oz],tblBudget[Month],$E345)</f>
        <v/>
      </c>
      <c r="KP345" s="55">
        <f>$KO345*$C345/$D345</f>
        <v/>
      </c>
      <c r="KQ345" s="55">
        <f>SUMIFS(tblBudget[Gold_Poured_oz],tblBudget[Month],"&lt;"&amp;$E345)+$KP345</f>
        <v/>
      </c>
      <c r="KR345" s="57">
        <f>SUMIFS(tblBudget[Hours_Worked],tblBudget[Month],$E345)</f>
        <v/>
      </c>
      <c r="KS345" s="57">
        <f>$KR345*$C345/$D345</f>
        <v/>
      </c>
      <c r="KT345" s="57">
        <f>SUMIFS(tblBudget[Hours_Worked],tblBudget[Month],"&lt;"&amp;$E345)+$KS345</f>
        <v/>
      </c>
    </row>
    <row r="346">
      <c r="A346" s="54" t="n">
        <v>46367</v>
      </c>
      <c r="B346">
        <f>MONTH($A346)</f>
        <v/>
      </c>
      <c r="C346">
        <f>DAY($A346)</f>
        <v/>
      </c>
      <c r="D346">
        <f>DAY(EOMONTH($A346,0))</f>
        <v/>
      </c>
      <c r="E346" s="54">
        <f>DATE(YEAR($A346),MONTH($A346),1)</f>
        <v/>
      </c>
      <c r="F346" s="55">
        <f>SUMIFS(tblMovement[Tonnes_t],tblMovement[Date],$A346,tblMovement[Is_Ore],1,tblMovement[Source_Type],"Pit")</f>
        <v/>
      </c>
      <c r="G346" s="55">
        <f>IF($B346=$B345,$G345,0)+$F346</f>
        <v/>
      </c>
      <c r="H346" s="55">
        <f>$H345+$F346</f>
        <v/>
      </c>
      <c r="I346" s="55">
        <f>SUMIFS(tblMovement[Ore_oz],tblMovement[Date],$A346,tblMovement[Source_Type],"Pit")</f>
        <v/>
      </c>
      <c r="J346" s="55">
        <f>IF($B346=$B345,$J345,0)+$I346</f>
        <v/>
      </c>
      <c r="K346" s="55">
        <f>$K345+$I346</f>
        <v/>
      </c>
      <c r="L346" s="55">
        <f>SUMIFS(tblMovement[Tonnes_t],tblMovement[Date],$A346,tblMovement[Is_Ore],1,tblMovement[Source_Type],"Pit",tblMovement[Grade_gpt],"&lt;&gt;")</f>
        <v/>
      </c>
      <c r="M346" s="55">
        <f>IF($B346=$B345,$M345,0)+$L346</f>
        <v/>
      </c>
      <c r="N346" s="55">
        <f>$N345+$L346</f>
        <v/>
      </c>
      <c r="O346" s="56">
        <f>IFERROR(IF(($L346)&gt;0,($I346*cfg_TroyOz)/($L346),""),"")</f>
        <v/>
      </c>
      <c r="P346" s="56">
        <f>IFERROR(IF(($M346)&gt;0,($J346*cfg_TroyOz)/($M346),""),"")</f>
        <v/>
      </c>
      <c r="Q346" s="56">
        <f>IFERROR(IF(($N346)&gt;0,($K346*cfg_TroyOz)/($N346),""),"")</f>
        <v/>
      </c>
      <c r="R346" s="55">
        <f>$F346-$L346</f>
        <v/>
      </c>
      <c r="S346" s="55">
        <f>IF($B346=$B345,$S345,0)+$R346</f>
        <v/>
      </c>
      <c r="T346" s="55">
        <f>$T345+$R346</f>
        <v/>
      </c>
      <c r="U346" s="55">
        <f>SUMIFS(tblMovement[Tonnes_t],tblMovement[Date],$A346,tblMovement[Is_Ore],0,tblMovement[Source_Type],"Pit")</f>
        <v/>
      </c>
      <c r="V346" s="55">
        <f>IF($B346=$B345,$V345,0)+$U346</f>
        <v/>
      </c>
      <c r="W346" s="55">
        <f>$W345+$U346</f>
        <v/>
      </c>
      <c r="X346" s="55">
        <f>$F346+$U346</f>
        <v/>
      </c>
      <c r="Y346" s="55">
        <f>IF($B346=$B345,$Y345,0)+$X346</f>
        <v/>
      </c>
      <c r="Z346" s="55">
        <f>$Z345+$X346</f>
        <v/>
      </c>
      <c r="AA346" s="56">
        <f>IFERROR(IF(($F346)&gt;0,($U346)/($F346),""),"")</f>
        <v/>
      </c>
      <c r="AB346" s="56">
        <f>IFERROR(IF(($G346)&gt;0,($V346)/($G346),""),"")</f>
        <v/>
      </c>
      <c r="AC346" s="56">
        <f>IFERROR(IF(($H346)&gt;0,($W346)/($H346),""),"")</f>
        <v/>
      </c>
      <c r="AD346" s="55">
        <f>SUMIFS(tblMovement[Tonnes_t],tblMovement[Date],$A346,tblMovement[Source_Type],"Stockpile")</f>
        <v/>
      </c>
      <c r="AE346" s="55">
        <f>IF($B346=$B345,$AE345,0)+$AD346</f>
        <v/>
      </c>
      <c r="AF346" s="55">
        <f>$AF345+$AD346</f>
        <v/>
      </c>
      <c r="AG346" s="55">
        <f>SUMIFS(tblMovement[Tonnes_t],tblMovement[Date],$A346)</f>
        <v/>
      </c>
      <c r="AH346" s="55">
        <f>IF($B346=$B345,$AH345,0)+$AG346</f>
        <v/>
      </c>
      <c r="AI346" s="55">
        <f>$AI345+$AG346</f>
        <v/>
      </c>
      <c r="AJ346" s="55">
        <f>$AG346-$X346-$AD346</f>
        <v/>
      </c>
      <c r="AK346" s="55">
        <f>IF($B346=$B345,$AK345,0)+$AJ346</f>
        <v/>
      </c>
      <c r="AL346" s="55">
        <f>$AL345+$AJ346</f>
        <v/>
      </c>
      <c r="AM346" s="55">
        <f>SUMIFS(tblMiningDaily[Drill_m],tblMiningDaily[Date],$A346)</f>
        <v/>
      </c>
      <c r="AN346" s="55">
        <f>IF($B346=$B345,$AN345,0)+$AM346</f>
        <v/>
      </c>
      <c r="AO346" s="55">
        <f>$AO345+$AM346</f>
        <v/>
      </c>
      <c r="AP346" s="55">
        <f>SUMIFS(tblMiningDaily[GC_Drill_m],tblMiningDaily[Date],$A346)</f>
        <v/>
      </c>
      <c r="AQ346" s="55">
        <f>IF($B346=$B345,$AQ345,0)+$AP346</f>
        <v/>
      </c>
      <c r="AR346" s="55">
        <f>$AR345+$AP346</f>
        <v/>
      </c>
      <c r="AS346" s="55">
        <f>SUMIFS(tblMiningDaily[Blast_t],tblMiningDaily[Date],$A346)</f>
        <v/>
      </c>
      <c r="AT346" s="55">
        <f>IF($B346=$B345,$AT345,0)+$AS346</f>
        <v/>
      </c>
      <c r="AU346" s="55">
        <f>$AU345+$AS346</f>
        <v/>
      </c>
      <c r="AV346" s="55">
        <f>SUMIFS(tblMiningDaily[Explosives_kg],tblMiningDaily[Date],$A346)</f>
        <v/>
      </c>
      <c r="AW346" s="55">
        <f>IF($B346=$B345,$AW345,0)+$AV346</f>
        <v/>
      </c>
      <c r="AX346" s="55">
        <f>$AX345+$AV346</f>
        <v/>
      </c>
      <c r="AY346" s="56">
        <f>IFERROR(IF(($AS346)&gt;0,($AV346)/($AS346),""),"")</f>
        <v/>
      </c>
      <c r="AZ346" s="56">
        <f>IFERROR(IF(($AT346)&gt;0,($AW346)/($AT346),""),"")</f>
        <v/>
      </c>
      <c r="BA346" s="56">
        <f>IFERROR(IF(($AU346)&gt;0,($AX346)/($AU346),""),"")</f>
        <v/>
      </c>
      <c r="BB346" s="55">
        <f>SUMIFS(tblMiningDaily[Diesel_L],tblMiningDaily[Date],$A346)</f>
        <v/>
      </c>
      <c r="BC346" s="55">
        <f>IF($B346=$B345,$BC345,0)+$BB346</f>
        <v/>
      </c>
      <c r="BD346" s="55">
        <f>$BD345+$BB346</f>
        <v/>
      </c>
      <c r="BE346" s="55">
        <f>SUMIFS(tblMiningDaily[Dewatering_m3],tblMiningDaily[Date],$A346)</f>
        <v/>
      </c>
      <c r="BF346" s="55">
        <f>IF($B346=$B345,$BF345,0)+$BE346</f>
        <v/>
      </c>
      <c r="BG346" s="55">
        <f>$BG345+$BE346</f>
        <v/>
      </c>
      <c r="BH346" s="57">
        <f>SUMIFS(tblFleet[Calendar_h],tblFleet[Date],$A346,tblFleet[Equipment_Class],"Excavator")</f>
        <v/>
      </c>
      <c r="BI346" s="57">
        <f>IF($B346=$B345,$BI345,0)+$BH346</f>
        <v/>
      </c>
      <c r="BJ346" s="57">
        <f>$BJ345+$BH346</f>
        <v/>
      </c>
      <c r="BK346" s="57">
        <f>SUMIFS(tblFleet[Available_h],tblFleet[Date],$A346,tblFleet[Equipment_Class],"Excavator")</f>
        <v/>
      </c>
      <c r="BL346" s="57">
        <f>IF($B346=$B345,$BL345,0)+$BK346</f>
        <v/>
      </c>
      <c r="BM346" s="57">
        <f>$BM345+$BK346</f>
        <v/>
      </c>
      <c r="BN346" s="57">
        <f>SUMIFS(tblFleet[Operating_h],tblFleet[Date],$A346,tblFleet[Equipment_Class],"Excavator")</f>
        <v/>
      </c>
      <c r="BO346" s="57">
        <f>IF($B346=$B345,$BO345,0)+$BN346</f>
        <v/>
      </c>
      <c r="BP346" s="57">
        <f>$BP345+$BN346</f>
        <v/>
      </c>
      <c r="BQ346" s="67">
        <f>IFERROR(IF(($BH346)&gt;0,($BK346)/($BH346),""),"")</f>
        <v/>
      </c>
      <c r="BR346" s="67">
        <f>IFERROR(IF(($BI346)&gt;0,($BL346)/($BI346),""),"")</f>
        <v/>
      </c>
      <c r="BS346" s="67">
        <f>IFERROR(IF(($BJ346)&gt;0,($BM346)/($BJ346),""),"")</f>
        <v/>
      </c>
      <c r="BT346" s="67">
        <f>IFERROR(IF(($BK346)&gt;0,($BN346)/($BK346),""),"")</f>
        <v/>
      </c>
      <c r="BU346" s="67">
        <f>IFERROR(IF(($BL346)&gt;0,($BO346)/($BL346),""),"")</f>
        <v/>
      </c>
      <c r="BV346" s="67">
        <f>IFERROR(IF(($BM346)&gt;0,($BP346)/($BM346),""),"")</f>
        <v/>
      </c>
      <c r="BW346" s="57">
        <f>SUMIFS(tblFleet[Calendar_h],tblFleet[Date],$A346,tblFleet[Equipment_Class],"Haul Truck")</f>
        <v/>
      </c>
      <c r="BX346" s="57">
        <f>IF($B346=$B345,$BX345,0)+$BW346</f>
        <v/>
      </c>
      <c r="BY346" s="57">
        <f>$BY345+$BW346</f>
        <v/>
      </c>
      <c r="BZ346" s="57">
        <f>SUMIFS(tblFleet[Available_h],tblFleet[Date],$A346,tblFleet[Equipment_Class],"Haul Truck")</f>
        <v/>
      </c>
      <c r="CA346" s="57">
        <f>IF($B346=$B345,$CA345,0)+$BZ346</f>
        <v/>
      </c>
      <c r="CB346" s="57">
        <f>$CB345+$BZ346</f>
        <v/>
      </c>
      <c r="CC346" s="57">
        <f>SUMIFS(tblFleet[Operating_h],tblFleet[Date],$A346,tblFleet[Equipment_Class],"Haul Truck")</f>
        <v/>
      </c>
      <c r="CD346" s="57">
        <f>IF($B346=$B345,$CD345,0)+$CC346</f>
        <v/>
      </c>
      <c r="CE346" s="57">
        <f>$CE345+$CC346</f>
        <v/>
      </c>
      <c r="CF346" s="67">
        <f>IFERROR(IF(($BW346)&gt;0,($BZ346)/($BW346),""),"")</f>
        <v/>
      </c>
      <c r="CG346" s="67">
        <f>IFERROR(IF(($BX346)&gt;0,($CA346)/($BX346),""),"")</f>
        <v/>
      </c>
      <c r="CH346" s="67">
        <f>IFERROR(IF(($BY346)&gt;0,($CB346)/($BY346),""),"")</f>
        <v/>
      </c>
      <c r="CI346" s="67">
        <f>IFERROR(IF(($BZ346)&gt;0,($CC346)/($BZ346),""),"")</f>
        <v/>
      </c>
      <c r="CJ346" s="67">
        <f>IFERROR(IF(($CA346)&gt;0,($CD346)/($CA346),""),"")</f>
        <v/>
      </c>
      <c r="CK346" s="67">
        <f>IFERROR(IF(($CB346)&gt;0,($CE346)/($CB346),""),"")</f>
        <v/>
      </c>
      <c r="CL346" s="55">
        <f>IFERROR(IF(($BN346)&gt;0,($X346+$AD346)/($BN346),""),"")</f>
        <v/>
      </c>
      <c r="CM346" s="55">
        <f>IFERROR(IF(($BO346)&gt;0,($Y346+$AE346)/($BO346),""),"")</f>
        <v/>
      </c>
      <c r="CN346" s="55">
        <f>IFERROR(IF(($BP346)&gt;0,($Z346+$AF346)/($BP346),""),"")</f>
        <v/>
      </c>
      <c r="CO346" s="55">
        <f>IFERROR(IF(($CC346)&gt;0,($X346+$AD346)/($CC346),""),"")</f>
        <v/>
      </c>
      <c r="CP346" s="55">
        <f>IFERROR(IF(($CD346)&gt;0,($Y346+$AE346)/($CD346),""),"")</f>
        <v/>
      </c>
      <c r="CQ346" s="55">
        <f>IFERROR(IF(($CE346)&gt;0,($Z346+$AF346)/($CE346),""),"")</f>
        <v/>
      </c>
      <c r="CR346" s="55">
        <f>SUMIFS(tblPlant[Crushed_t],tblPlant[Date],$A346)</f>
        <v/>
      </c>
      <c r="CS346" s="55">
        <f>IF($B346=$B345,$CS345,0)+$CR346</f>
        <v/>
      </c>
      <c r="CT346" s="55">
        <f>$CT345+$CR346</f>
        <v/>
      </c>
      <c r="CU346" s="55">
        <f>SUMIFS(tblPlant[Milled_t],tblPlant[Date],$A346)</f>
        <v/>
      </c>
      <c r="CV346" s="55">
        <f>IF($B346=$B345,$CV345,0)+$CU346</f>
        <v/>
      </c>
      <c r="CW346" s="55">
        <f>$CW345+$CU346</f>
        <v/>
      </c>
      <c r="CX346" s="55">
        <f>SUMIFS(tblPlant[Feed_oz],tblPlant[Date],$A346)</f>
        <v/>
      </c>
      <c r="CY346" s="55">
        <f>IF($B346=$B345,$CY345,0)+$CX346</f>
        <v/>
      </c>
      <c r="CZ346" s="55">
        <f>$CZ345+$CX346</f>
        <v/>
      </c>
      <c r="DA346" s="55">
        <f>SUMIFS(tblPlant[Tails_oz],tblPlant[Date],$A346)</f>
        <v/>
      </c>
      <c r="DB346" s="55">
        <f>IF($B346=$B345,$DB345,0)+$DA346</f>
        <v/>
      </c>
      <c r="DC346" s="55">
        <f>$DC345+$DA346</f>
        <v/>
      </c>
      <c r="DD346" s="55">
        <f>SUMIFS(tblPlant[Recovered_oz],tblPlant[Date],$A346)</f>
        <v/>
      </c>
      <c r="DE346" s="55">
        <f>IF($B346=$B345,$DE345,0)+$DD346</f>
        <v/>
      </c>
      <c r="DF346" s="55">
        <f>$DF345+$DD346</f>
        <v/>
      </c>
      <c r="DG346" s="55">
        <f>SUMIFS(tblPlant[Milled_t],tblPlant[Date],$A346,tblPlant[Head_Grade_gpt],"&lt;&gt;")</f>
        <v/>
      </c>
      <c r="DH346" s="55">
        <f>IF($B346=$B345,$DH345,0)+$DG346</f>
        <v/>
      </c>
      <c r="DI346" s="55">
        <f>$DI345+$DG346</f>
        <v/>
      </c>
      <c r="DJ346" s="55">
        <f>SUMIFS(tblPlant[Milled_t],tblPlant[Date],$A346,tblPlant[Tails_Grade_gpt],"&lt;&gt;")</f>
        <v/>
      </c>
      <c r="DK346" s="55">
        <f>IF($B346=$B345,$DK345,0)+$DJ346</f>
        <v/>
      </c>
      <c r="DL346" s="55">
        <f>$DL345+$DJ346</f>
        <v/>
      </c>
      <c r="DM346" s="55">
        <f>SUMIFS(tblPlant[Feed_oz],tblPlant[Date],$A346,tblPlant[Tails_Grade_gpt],"&lt;&gt;")</f>
        <v/>
      </c>
      <c r="DN346" s="55">
        <f>IF($B346=$B345,$DN345,0)+$DM346</f>
        <v/>
      </c>
      <c r="DO346" s="55">
        <f>$DO345+$DM346</f>
        <v/>
      </c>
      <c r="DP346" s="55">
        <f>SUMIFS(tblPlant[Milled_t],tblPlant[Date],$A346,tblPlant[Mill_Run_h],"&lt;&gt;")</f>
        <v/>
      </c>
      <c r="DQ346" s="55">
        <f>IF($B346=$B345,$DQ345,0)+$DP346</f>
        <v/>
      </c>
      <c r="DR346" s="55">
        <f>$DR345+$DP346</f>
        <v/>
      </c>
      <c r="DS346" s="56">
        <f>IFERROR(IF(($DG346)&gt;0,($CX346*cfg_TroyOz)/($DG346),""),"")</f>
        <v/>
      </c>
      <c r="DT346" s="56">
        <f>IFERROR(IF(($DH346)&gt;0,($CY346*cfg_TroyOz)/($DH346),""),"")</f>
        <v/>
      </c>
      <c r="DU346" s="56">
        <f>IFERROR(IF(($DI346)&gt;0,($CZ346*cfg_TroyOz)/($DI346),""),"")</f>
        <v/>
      </c>
      <c r="DV346" s="56">
        <f>IFERROR(IF(($DJ346)&gt;0,($DA346*cfg_TroyOz)/($DJ346),""),"")</f>
        <v/>
      </c>
      <c r="DW346" s="56">
        <f>IFERROR(IF(($DK346)&gt;0,($DB346*cfg_TroyOz)/($DK346),""),"")</f>
        <v/>
      </c>
      <c r="DX346" s="56">
        <f>IFERROR(IF(($DL346)&gt;0,($DC346*cfg_TroyOz)/($DL346),""),"")</f>
        <v/>
      </c>
      <c r="DY346" s="67">
        <f>IFERROR(IF(($DM346)&gt;0,($DD346)/($DM346),""),"")</f>
        <v/>
      </c>
      <c r="DZ346" s="67">
        <f>IFERROR(IF(($DN346)&gt;0,($DE346)/($DN346),""),"")</f>
        <v/>
      </c>
      <c r="EA346" s="67">
        <f>IFERROR(IF(($DO346)&gt;0,($DF346)/($DO346),""),"")</f>
        <v/>
      </c>
      <c r="EB346" s="55">
        <f>SUMIFS(tblPlant[Gravity_Gold_oz],tblPlant[Date],$A346)</f>
        <v/>
      </c>
      <c r="EC346" s="55">
        <f>IF($B346=$B345,$EC345,0)+$EB346</f>
        <v/>
      </c>
      <c r="ED346" s="55">
        <f>$ED345+$EB346</f>
        <v/>
      </c>
      <c r="EE346" s="67">
        <f>IFERROR(IF(($DD346)&gt;0,($EB346)/($DD346),""),"")</f>
        <v/>
      </c>
      <c r="EF346" s="67">
        <f>IFERROR(IF(($DE346)&gt;0,($EC346)/($DE346),""),"")</f>
        <v/>
      </c>
      <c r="EG346" s="67">
        <f>IFERROR(IF(($DF346)&gt;0,($ED346)/($DF346),""),"")</f>
        <v/>
      </c>
      <c r="EH346" s="55">
        <f>SUMIFS(tblPlant[Gold_Poured_oz],tblPlant[Date],$A346)</f>
        <v/>
      </c>
      <c r="EI346" s="55">
        <f>IF($B346=$B345,$EI345,0)+$EH346</f>
        <v/>
      </c>
      <c r="EJ346" s="55">
        <f>$EJ345+$EH346</f>
        <v/>
      </c>
      <c r="EK346" s="57">
        <f>SUMIFS(tblPlant[Mill_Run_h],tblPlant[Date],$A346)</f>
        <v/>
      </c>
      <c r="EL346" s="57">
        <f>IF($B346=$B345,$EL345,0)+$EK346</f>
        <v/>
      </c>
      <c r="EM346" s="57">
        <f>$EM345+$EK346</f>
        <v/>
      </c>
      <c r="EN346" s="57">
        <f>SUMIFS(tblPlant[Mill_Planned_Maint_h],tblPlant[Date],$A346)</f>
        <v/>
      </c>
      <c r="EO346" s="57">
        <f>IF($B346=$B345,$EO345,0)+$EN346</f>
        <v/>
      </c>
      <c r="EP346" s="57">
        <f>$EP345+$EN346</f>
        <v/>
      </c>
      <c r="EQ346" s="57">
        <f>SUMIFS(tblPlant[Mill_Unplanned_Down_h],tblPlant[Date],$A346)</f>
        <v/>
      </c>
      <c r="ER346" s="57">
        <f>IF($B346=$B345,$ER345,0)+$EQ346</f>
        <v/>
      </c>
      <c r="ES346" s="57">
        <f>$ES345+$EQ346</f>
        <v/>
      </c>
      <c r="ET346" s="57">
        <f>IF(COUNTIFS(tblPlant[Date],$A346,tblPlant[Mill_Run_h],"&lt;&gt;")+COUNTIFS(tblPlant[Date],$A346,tblPlant[Mill_Planned_Maint_h],"&lt;&gt;")+COUNTIFS(tblPlant[Date],$A346,tblPlant[Mill_Unplanned_Down_h],"&lt;&gt;")&gt;0,cfg_HoursPerDay,0)</f>
        <v/>
      </c>
      <c r="EU346" s="57">
        <f>IF($B346=$B345,$EU345,0)+$ET346</f>
        <v/>
      </c>
      <c r="EV346" s="57">
        <f>$EV345+$ET346</f>
        <v/>
      </c>
      <c r="EW346" s="57">
        <f>SUMIFS(tblPlant[Crusher_Run_h],tblPlant[Date],$A346)</f>
        <v/>
      </c>
      <c r="EX346" s="57">
        <f>IF($B346=$B345,$EX345,0)+$EW346</f>
        <v/>
      </c>
      <c r="EY346" s="57">
        <f>$EY345+$EW346</f>
        <v/>
      </c>
      <c r="EZ346" s="55">
        <f>IFERROR(IF(($EK346)&gt;0,($DP346)/($EK346),""),"")</f>
        <v/>
      </c>
      <c r="FA346" s="55">
        <f>IFERROR(IF(($EL346)&gt;0,($DQ346)/($EL346),""),"")</f>
        <v/>
      </c>
      <c r="FB346" s="55">
        <f>IFERROR(IF(($EM346)&gt;0,($DR346)/($EM346),""),"")</f>
        <v/>
      </c>
      <c r="FC346" s="67">
        <f>IFERROR(IF(($ET346)&gt;0,($ET346-$EN346-$EQ346)/($ET346),""),"")</f>
        <v/>
      </c>
      <c r="FD346" s="67">
        <f>IFERROR(IF(($EU346)&gt;0,($EU346-$EO346-$ER346)/($EU346),""),"")</f>
        <v/>
      </c>
      <c r="FE346" s="67">
        <f>IFERROR(IF(($EV346)&gt;0,($EV346-$EP346-$ES346)/($EV346),""),"")</f>
        <v/>
      </c>
      <c r="FF346" s="67">
        <f>IFERROR(IF(($ET346-$EN346-$EQ346)&gt;0,($EK346)/($ET346-$EN346-$EQ346),""),"")</f>
        <v/>
      </c>
      <c r="FG346" s="67">
        <f>IFERROR(IF(($EU346-$EO346-$ER346)&gt;0,($EL346)/($EU346-$EO346-$ER346),""),"")</f>
        <v/>
      </c>
      <c r="FH346" s="67">
        <f>IFERROR(IF(($EV346-$EP346-$ES346)&gt;0,($EM346)/($EV346-$EP346-$ES346),""),"")</f>
        <v/>
      </c>
      <c r="FI346" s="55">
        <f>SUMIFS(tblPlant[Cyanide_kg],tblPlant[Date],$A346)</f>
        <v/>
      </c>
      <c r="FJ346" s="55">
        <f>IF($B346=$B345,$FJ345,0)+$FI346</f>
        <v/>
      </c>
      <c r="FK346" s="55">
        <f>$FK345+$FI346</f>
        <v/>
      </c>
      <c r="FL346" s="55">
        <f>SUMIFS(tblPlant[Lime_kg],tblPlant[Date],$A346)</f>
        <v/>
      </c>
      <c r="FM346" s="55">
        <f>IF($B346=$B345,$FM345,0)+$FL346</f>
        <v/>
      </c>
      <c r="FN346" s="55">
        <f>$FN345+$FL346</f>
        <v/>
      </c>
      <c r="FO346" s="55">
        <f>SUMIFS(tblPlant[Grinding_Media_kg],tblPlant[Date],$A346)</f>
        <v/>
      </c>
      <c r="FP346" s="55">
        <f>IF($B346=$B345,$FP345,0)+$FO346</f>
        <v/>
      </c>
      <c r="FQ346" s="55">
        <f>$FQ345+$FO346</f>
        <v/>
      </c>
      <c r="FR346" s="55">
        <f>SUMIFS(tblPlant[Power_kWh],tblPlant[Date],$A346)</f>
        <v/>
      </c>
      <c r="FS346" s="55">
        <f>IF($B346=$B345,$FS345,0)+$FR346</f>
        <v/>
      </c>
      <c r="FT346" s="55">
        <f>$FT345+$FR346</f>
        <v/>
      </c>
      <c r="FU346" s="55">
        <f>SUMIFS(tblPlant[Raw_Water_m3],tblPlant[Date],$A346)</f>
        <v/>
      </c>
      <c r="FV346" s="55">
        <f>IF($B346=$B345,$FV345,0)+$FU346</f>
        <v/>
      </c>
      <c r="FW346" s="55">
        <f>$FW345+$FU346</f>
        <v/>
      </c>
      <c r="FX346" s="56">
        <f>IFERROR(IF(($CU346)&gt;0,($FI346)/($CU346),""),"")</f>
        <v/>
      </c>
      <c r="FY346" s="56">
        <f>IFERROR(IF(($CV346)&gt;0,($FJ346)/($CV346),""),"")</f>
        <v/>
      </c>
      <c r="FZ346" s="56">
        <f>IFERROR(IF(($CW346)&gt;0,($FK346)/($CW346),""),"")</f>
        <v/>
      </c>
      <c r="GA346" s="56">
        <f>IFERROR(IF(($CU346)&gt;0,($FL346)/($CU346),""),"")</f>
        <v/>
      </c>
      <c r="GB346" s="56">
        <f>IFERROR(IF(($CV346)&gt;0,($FM346)/($CV346),""),"")</f>
        <v/>
      </c>
      <c r="GC346" s="56">
        <f>IFERROR(IF(($CW346)&gt;0,($FN346)/($CW346),""),"")</f>
        <v/>
      </c>
      <c r="GD346" s="56">
        <f>IFERROR(IF(($CU346)&gt;0,($FO346)/($CU346),""),"")</f>
        <v/>
      </c>
      <c r="GE346" s="56">
        <f>IFERROR(IF(($CV346)&gt;0,($FP346)/($CV346),""),"")</f>
        <v/>
      </c>
      <c r="GF346" s="56">
        <f>IFERROR(IF(($CW346)&gt;0,($FQ346)/($CW346),""),"")</f>
        <v/>
      </c>
      <c r="GG346" s="79">
        <f>IFERROR(IF(($CU346)&gt;0,($FR346)/($CU346),""),"")</f>
        <v/>
      </c>
      <c r="GH346" s="79">
        <f>IFERROR(IF(($CV346)&gt;0,($FS346)/($CV346),""),"")</f>
        <v/>
      </c>
      <c r="GI346" s="79">
        <f>IFERROR(IF(($CW346)&gt;0,($FT346)/($CW346),""),"")</f>
        <v/>
      </c>
      <c r="GJ346" s="56">
        <f>IFERROR(IF(($CU346)&gt;0,($FU346)/($CU346),""),"")</f>
        <v/>
      </c>
      <c r="GK346" s="56">
        <f>IFERROR(IF(($CV346)&gt;0,($FV346)/($CV346),""),"")</f>
        <v/>
      </c>
      <c r="GL346" s="56">
        <f>IFERROR(IF(($CW346)&gt;0,($FW346)/($CW346),""),"")</f>
        <v/>
      </c>
      <c r="GM346" s="55">
        <f>IF(SUMIFS(tblPlant[GIC_oz],tblPlant[Date],$A346)&gt;0,SUMIFS(tblPlant[GIC_oz],tblPlant[Date],$A346),"")</f>
        <v/>
      </c>
      <c r="GN346" s="55">
        <f>SUMIFS(tblGold[Gold_oz],tblGold[Date],$A346,tblGold[Type],"Shipment")</f>
        <v/>
      </c>
      <c r="GO346" s="55">
        <f>IF($B346=$B345,$GO345,0)+$GN346</f>
        <v/>
      </c>
      <c r="GP346" s="55">
        <f>$GP345+$GN346</f>
        <v/>
      </c>
      <c r="GQ346" s="55">
        <f>SUMIFS(tblGold[Gold_oz],tblGold[Date],$A346,tblGold[Type],"Sale")</f>
        <v/>
      </c>
      <c r="GR346" s="55">
        <f>IF($B346=$B345,$GR345,0)+$GQ346</f>
        <v/>
      </c>
      <c r="GS346" s="55">
        <f>$GS345+$GQ346</f>
        <v/>
      </c>
      <c r="GT346" s="55">
        <f>SUMIFS(tblGold[Dore_kg],tblGold[Date],$A346,tblGold[Type],"Shipment")</f>
        <v/>
      </c>
      <c r="GU346" s="55">
        <f>IF($B346=$B345,$GU345,0)+$GT346</f>
        <v/>
      </c>
      <c r="GV346" s="55">
        <f>$GV345+$GT346</f>
        <v/>
      </c>
      <c r="GW346" s="57">
        <f>SUMIFS(tblSafety[Hours_Total],tblSafety[Date],$A346)</f>
        <v/>
      </c>
      <c r="GX346" s="57">
        <f>IF($B346=$B345,$GX345,0)+$GW346</f>
        <v/>
      </c>
      <c r="GY346" s="57">
        <f>$GY345+$GW346</f>
        <v/>
      </c>
      <c r="GZ346" s="62">
        <f>SUMIFS(tblSafety[Fatality],tblSafety[Date],$A346)</f>
        <v/>
      </c>
      <c r="HA346" s="62">
        <f>IF($B346=$B345,$HA345,0)+$GZ346</f>
        <v/>
      </c>
      <c r="HB346" s="62">
        <f>$HB345+$GZ346</f>
        <v/>
      </c>
      <c r="HC346" s="62">
        <f>SUMIFS(tblSafety[LTI],tblSafety[Date],$A346)</f>
        <v/>
      </c>
      <c r="HD346" s="62">
        <f>IF($B346=$B345,$HD345,0)+$HC346</f>
        <v/>
      </c>
      <c r="HE346" s="62">
        <f>$HE345+$HC346</f>
        <v/>
      </c>
      <c r="HF346" s="62">
        <f>SUMIFS(tblSafety[RWI],tblSafety[Date],$A346)</f>
        <v/>
      </c>
      <c r="HG346" s="62">
        <f>IF($B346=$B345,$HG345,0)+$HF346</f>
        <v/>
      </c>
      <c r="HH346" s="62">
        <f>$HH345+$HF346</f>
        <v/>
      </c>
      <c r="HI346" s="62">
        <f>SUMIFS(tblSafety[MTI],tblSafety[Date],$A346)</f>
        <v/>
      </c>
      <c r="HJ346" s="62">
        <f>IF($B346=$B345,$HJ345,0)+$HI346</f>
        <v/>
      </c>
      <c r="HK346" s="62">
        <f>$HK345+$HI346</f>
        <v/>
      </c>
      <c r="HL346" s="62">
        <f>SUMIFS(tblSafety[FAI],tblSafety[Date],$A346)</f>
        <v/>
      </c>
      <c r="HM346" s="62">
        <f>IF($B346=$B345,$HM345,0)+$HL346</f>
        <v/>
      </c>
      <c r="HN346" s="62">
        <f>$HN345+$HL346</f>
        <v/>
      </c>
      <c r="HO346" s="62">
        <f>SUMIFS(tblSafety[Recordables],tblSafety[Date],$A346)</f>
        <v/>
      </c>
      <c r="HP346" s="62">
        <f>IF($B346=$B345,$HP345,0)+$HO346</f>
        <v/>
      </c>
      <c r="HQ346" s="62">
        <f>$HQ345+$HO346</f>
        <v/>
      </c>
      <c r="HR346" s="62">
        <f>SUMIFS(tblSafety[Near_Miss],tblSafety[Date],$A346)</f>
        <v/>
      </c>
      <c r="HS346" s="62">
        <f>IF($B346=$B345,$HS345,0)+$HR346</f>
        <v/>
      </c>
      <c r="HT346" s="62">
        <f>$HT345+$HR346</f>
        <v/>
      </c>
      <c r="HU346" s="62">
        <f>SUMIFS(tblSafety[Hazard_Reports],tblSafety[Date],$A346)</f>
        <v/>
      </c>
      <c r="HV346" s="62">
        <f>IF($B346=$B345,$HV345,0)+$HU346</f>
        <v/>
      </c>
      <c r="HW346" s="62">
        <f>$HW345+$HU346</f>
        <v/>
      </c>
      <c r="HX346" s="62">
        <f>SUMIFS(tblSafety[HPI],tblSafety[Date],$A346)</f>
        <v/>
      </c>
      <c r="HY346" s="62">
        <f>IF($B346=$B345,$HY345,0)+$HX346</f>
        <v/>
      </c>
      <c r="HZ346" s="62">
        <f>$HZ345+$HX346</f>
        <v/>
      </c>
      <c r="IA346" s="62">
        <f>SUMIFS(tblSafety[Env_Incidents],tblSafety[Date],$A346)</f>
        <v/>
      </c>
      <c r="IB346" s="62">
        <f>IF($B346=$B345,$IB345,0)+$IA346</f>
        <v/>
      </c>
      <c r="IC346" s="62">
        <f>$IC345+$IA346</f>
        <v/>
      </c>
      <c r="ID346" s="62">
        <f>SUMIFS(tblSafety[Community_Incidents],tblSafety[Date],$A346)</f>
        <v/>
      </c>
      <c r="IE346" s="62">
        <f>IF($B346=$B345,$IE345,0)+$ID346</f>
        <v/>
      </c>
      <c r="IF346" s="62">
        <f>$IF345+$ID346</f>
        <v/>
      </c>
      <c r="IG346" s="62">
        <f>SUMIFS(tblSafety[Vehicle_Incidents],tblSafety[Date],$A346)</f>
        <v/>
      </c>
      <c r="IH346" s="62">
        <f>IF($B346=$B345,$IH345,0)+$IG346</f>
        <v/>
      </c>
      <c r="II346" s="62">
        <f>$II345+$IG346</f>
        <v/>
      </c>
      <c r="IJ346" s="62">
        <f>SUMIFS(tblSafety[Toolbox_Talks],tblSafety[Date],$A346)</f>
        <v/>
      </c>
      <c r="IK346" s="62">
        <f>IF($B346=$B345,$IK345,0)+$IJ346</f>
        <v/>
      </c>
      <c r="IL346" s="62">
        <f>$IL345+$IJ346</f>
        <v/>
      </c>
      <c r="IM346" s="62">
        <f>SUMIFS(tblSafety[Inspections],tblSafety[Date],$A346)</f>
        <v/>
      </c>
      <c r="IN346" s="62">
        <f>IF($B346=$B345,$IN345,0)+$IM346</f>
        <v/>
      </c>
      <c r="IO346" s="62">
        <f>$IO345+$IM346</f>
        <v/>
      </c>
      <c r="IP346" s="56">
        <f>IFERROR((SUMIFS(tblSafety[Recordables],tblSafety[Date],"&gt;="&amp;EDATE($E346,-12),tblSafety[Date],"&lt;="&amp;$A346)+SUMIFS(tblSafetyHistory[Recordables],tblSafetyHistory[Month],"&gt;="&amp;EDATE($E346,-12),tblSafetyHistory[Month],"&lt;"&amp;$E346,tblSafetyHistory[Use],1))/(SUMIFS(tblSafety[Hours_Total],tblSafety[Date],"&gt;="&amp;EDATE($E346,-12),tblSafety[Date],"&lt;="&amp;$A346)+SUMIFS(tblSafetyHistory[Hours_Total],tblSafetyHistory[Month],"&gt;="&amp;EDATE($E346,-12),tblSafetyHistory[Month],"&lt;"&amp;$E346,tblSafetyHistory[Use],1))*cfg_RateBasisHours,"")</f>
        <v/>
      </c>
      <c r="IQ346" s="56">
        <f>IFERROR((SUMIFS(tblSafety[LTI],tblSafety[Date],"&gt;="&amp;EDATE($E346,-12),tblSafety[Date],"&lt;="&amp;$A346)+SUMIFS(tblSafetyHistory[LTI],tblSafetyHistory[Month],"&gt;="&amp;EDATE($E346,-12),tblSafetyHistory[Month],"&lt;"&amp;$E346,tblSafetyHistory[Use],1))/(SUMIFS(tblSafety[Hours_Total],tblSafety[Date],"&gt;="&amp;EDATE($E346,-12),tblSafety[Date],"&lt;="&amp;$A346)+SUMIFS(tblSafetyHistory[Hours_Total],tblSafetyHistory[Month],"&gt;="&amp;EDATE($E346,-12),tblSafetyHistory[Month],"&lt;"&amp;$E346,tblSafetyHistory[Use],1))*cfg_RateBasisHours,"")</f>
        <v/>
      </c>
      <c r="IR346" s="62">
        <f>IF(MAX(N(cfg_PriorLTIDate),_xlfn.MAXIFS(tblSafety[Date],tblSafety[LTI],"&gt;0",tblSafety[Date],"&lt;="&amp;$A346))=0,"",$A346-MAX(N(cfg_PriorLTIDate),_xlfn.MAXIFS(tblSafety[Date],tblSafety[LTI],"&gt;0",tblSafety[Date],"&lt;="&amp;$A346)))</f>
        <v/>
      </c>
      <c r="IS346" s="55">
        <f>SUMIFS(tblBudget[Ore_Mined_t],tblBudget[Month],$E346)</f>
        <v/>
      </c>
      <c r="IT346" s="55">
        <f>$IS346*$C346/$D346</f>
        <v/>
      </c>
      <c r="IU346" s="55">
        <f>SUMIFS(tblBudget[Ore_Mined_t],tblBudget[Month],"&lt;"&amp;$E346)+$IT346</f>
        <v/>
      </c>
      <c r="IV346" s="55">
        <f>SUMIFS(tblBudget[Ore_oz],tblBudget[Month],$E346)</f>
        <v/>
      </c>
      <c r="IW346" s="55">
        <f>$IV346*$C346/$D346</f>
        <v/>
      </c>
      <c r="IX346" s="55">
        <f>SUMIFS(tblBudget[Ore_oz],tblBudget[Month],"&lt;"&amp;$E346)+$IW346</f>
        <v/>
      </c>
      <c r="IY346" s="55">
        <f>SUMIFS(tblBudget[Ore_Mined_t],tblBudget[Month],$E346)</f>
        <v/>
      </c>
      <c r="IZ346" s="55">
        <f>$IY346*$C346/$D346</f>
        <v/>
      </c>
      <c r="JA346" s="55">
        <f>SUMIFS(tblBudget[Ore_Mined_t],tblBudget[Month],"&lt;"&amp;$E346)+$IZ346</f>
        <v/>
      </c>
      <c r="JB346" s="56">
        <f>IFERROR(IF(($IY346)&gt;0,($IV346*cfg_TroyOz)/($IY346),""),"")</f>
        <v/>
      </c>
      <c r="JC346" s="56">
        <f>IFERROR(IF(($IZ346)&gt;0,($IW346*cfg_TroyOz)/($IZ346),""),"")</f>
        <v/>
      </c>
      <c r="JD346" s="56">
        <f>IFERROR(IF(($JA346)&gt;0,($IX346*cfg_TroyOz)/($JA346),""),"")</f>
        <v/>
      </c>
      <c r="JE346" s="55">
        <f>SUMIFS(tblBudget[Waste_t],tblBudget[Month],$E346)</f>
        <v/>
      </c>
      <c r="JF346" s="55">
        <f>$JE346*$C346/$D346</f>
        <v/>
      </c>
      <c r="JG346" s="55">
        <f>SUMIFS(tblBudget[Waste_t],tblBudget[Month],"&lt;"&amp;$E346)+$JF346</f>
        <v/>
      </c>
      <c r="JH346" s="55">
        <f>SUMIFS(tblBudget[TMM_t],tblBudget[Month],$E346)</f>
        <v/>
      </c>
      <c r="JI346" s="55">
        <f>$JH346*$C346/$D346</f>
        <v/>
      </c>
      <c r="JJ346" s="55">
        <f>SUMIFS(tblBudget[TMM_t],tblBudget[Month],"&lt;"&amp;$E346)+$JI346</f>
        <v/>
      </c>
      <c r="JK346" s="56">
        <f>IFERROR(IF(($IS346)&gt;0,($JE346)/($IS346),""),"")</f>
        <v/>
      </c>
      <c r="JL346" s="56">
        <f>IFERROR(IF(($IT346)&gt;0,($JF346)/($IT346),""),"")</f>
        <v/>
      </c>
      <c r="JM346" s="56">
        <f>IFERROR(IF(($IU346)&gt;0,($JG346)/($IU346),""),"")</f>
        <v/>
      </c>
      <c r="JN346" s="55">
        <f>SUMIFS(tblBudget[Drill_m],tblBudget[Month],$E346)</f>
        <v/>
      </c>
      <c r="JO346" s="55">
        <f>$JN346*$C346/$D346</f>
        <v/>
      </c>
      <c r="JP346" s="55">
        <f>SUMIFS(tblBudget[Drill_m],tblBudget[Month],"&lt;"&amp;$E346)+$JO346</f>
        <v/>
      </c>
      <c r="JQ346" s="55">
        <f>SUMIFS(tblBudget[Diesel_L],tblBudget[Month],$E346)</f>
        <v/>
      </c>
      <c r="JR346" s="55">
        <f>$JQ346*$C346/$D346</f>
        <v/>
      </c>
      <c r="JS346" s="55">
        <f>SUMIFS(tblBudget[Diesel_L],tblBudget[Month],"&lt;"&amp;$E346)+$JR346</f>
        <v/>
      </c>
      <c r="JT346" s="55">
        <f>SUMIFS(tblBudget[Milled_t],tblBudget[Month],$E346)</f>
        <v/>
      </c>
      <c r="JU346" s="55">
        <f>$JT346*$C346/$D346</f>
        <v/>
      </c>
      <c r="JV346" s="55">
        <f>SUMIFS(tblBudget[Milled_t],tblBudget[Month],"&lt;"&amp;$E346)+$JU346</f>
        <v/>
      </c>
      <c r="JW346" s="55">
        <f>SUMIFS(tblBudget[Feed_oz],tblBudget[Month],$E346)</f>
        <v/>
      </c>
      <c r="JX346" s="55">
        <f>$JW346*$C346/$D346</f>
        <v/>
      </c>
      <c r="JY346" s="55">
        <f>SUMIFS(tblBudget[Feed_oz],tblBudget[Month],"&lt;"&amp;$E346)+$JX346</f>
        <v/>
      </c>
      <c r="JZ346" s="55">
        <f>SUMIFS(tblBudget[Recovered_oz],tblBudget[Month],$E346)</f>
        <v/>
      </c>
      <c r="KA346" s="55">
        <f>$JZ346*$C346/$D346</f>
        <v/>
      </c>
      <c r="KB346" s="55">
        <f>SUMIFS(tblBudget[Recovered_oz],tblBudget[Month],"&lt;"&amp;$E346)+$KA346</f>
        <v/>
      </c>
      <c r="KC346" s="55">
        <f>SUMIFS(tblBudget[Milled_t],tblBudget[Month],$E346)</f>
        <v/>
      </c>
      <c r="KD346" s="55">
        <f>$KC346*$C346/$D346</f>
        <v/>
      </c>
      <c r="KE346" s="55">
        <f>SUMIFS(tblBudget[Milled_t],tblBudget[Month],"&lt;"&amp;$E346)+$KD346</f>
        <v/>
      </c>
      <c r="KF346" s="55">
        <f>SUMIFS(tblBudget[Feed_oz],tblBudget[Month],$E346)</f>
        <v/>
      </c>
      <c r="KG346" s="55">
        <f>$KF346*$C346/$D346</f>
        <v/>
      </c>
      <c r="KH346" s="55">
        <f>SUMIFS(tblBudget[Feed_oz],tblBudget[Month],"&lt;"&amp;$E346)+$KG346</f>
        <v/>
      </c>
      <c r="KI346" s="56">
        <f>IFERROR(IF(($KC346)&gt;0,($JW346*cfg_TroyOz)/($KC346),""),"")</f>
        <v/>
      </c>
      <c r="KJ346" s="56">
        <f>IFERROR(IF(($KD346)&gt;0,($JX346*cfg_TroyOz)/($KD346),""),"")</f>
        <v/>
      </c>
      <c r="KK346" s="56">
        <f>IFERROR(IF(($KE346)&gt;0,($JY346*cfg_TroyOz)/($KE346),""),"")</f>
        <v/>
      </c>
      <c r="KL346" s="67">
        <f>IFERROR(IF(($KF346)&gt;0,($JZ346)/($KF346),""),"")</f>
        <v/>
      </c>
      <c r="KM346" s="67">
        <f>IFERROR(IF(($KG346)&gt;0,($KA346)/($KG346),""),"")</f>
        <v/>
      </c>
      <c r="KN346" s="67">
        <f>IFERROR(IF(($KH346)&gt;0,($KB346)/($KH346),""),"")</f>
        <v/>
      </c>
      <c r="KO346" s="55">
        <f>SUMIFS(tblBudget[Gold_Poured_oz],tblBudget[Month],$E346)</f>
        <v/>
      </c>
      <c r="KP346" s="55">
        <f>$KO346*$C346/$D346</f>
        <v/>
      </c>
      <c r="KQ346" s="55">
        <f>SUMIFS(tblBudget[Gold_Poured_oz],tblBudget[Month],"&lt;"&amp;$E346)+$KP346</f>
        <v/>
      </c>
      <c r="KR346" s="57">
        <f>SUMIFS(tblBudget[Hours_Worked],tblBudget[Month],$E346)</f>
        <v/>
      </c>
      <c r="KS346" s="57">
        <f>$KR346*$C346/$D346</f>
        <v/>
      </c>
      <c r="KT346" s="57">
        <f>SUMIFS(tblBudget[Hours_Worked],tblBudget[Month],"&lt;"&amp;$E346)+$KS346</f>
        <v/>
      </c>
    </row>
    <row r="347">
      <c r="A347" s="54" t="n">
        <v>46368</v>
      </c>
      <c r="B347">
        <f>MONTH($A347)</f>
        <v/>
      </c>
      <c r="C347">
        <f>DAY($A347)</f>
        <v/>
      </c>
      <c r="D347">
        <f>DAY(EOMONTH($A347,0))</f>
        <v/>
      </c>
      <c r="E347" s="54">
        <f>DATE(YEAR($A347),MONTH($A347),1)</f>
        <v/>
      </c>
      <c r="F347" s="55">
        <f>SUMIFS(tblMovement[Tonnes_t],tblMovement[Date],$A347,tblMovement[Is_Ore],1,tblMovement[Source_Type],"Pit")</f>
        <v/>
      </c>
      <c r="G347" s="55">
        <f>IF($B347=$B346,$G346,0)+$F347</f>
        <v/>
      </c>
      <c r="H347" s="55">
        <f>$H346+$F347</f>
        <v/>
      </c>
      <c r="I347" s="55">
        <f>SUMIFS(tblMovement[Ore_oz],tblMovement[Date],$A347,tblMovement[Source_Type],"Pit")</f>
        <v/>
      </c>
      <c r="J347" s="55">
        <f>IF($B347=$B346,$J346,0)+$I347</f>
        <v/>
      </c>
      <c r="K347" s="55">
        <f>$K346+$I347</f>
        <v/>
      </c>
      <c r="L347" s="55">
        <f>SUMIFS(tblMovement[Tonnes_t],tblMovement[Date],$A347,tblMovement[Is_Ore],1,tblMovement[Source_Type],"Pit",tblMovement[Grade_gpt],"&lt;&gt;")</f>
        <v/>
      </c>
      <c r="M347" s="55">
        <f>IF($B347=$B346,$M346,0)+$L347</f>
        <v/>
      </c>
      <c r="N347" s="55">
        <f>$N346+$L347</f>
        <v/>
      </c>
      <c r="O347" s="56">
        <f>IFERROR(IF(($L347)&gt;0,($I347*cfg_TroyOz)/($L347),""),"")</f>
        <v/>
      </c>
      <c r="P347" s="56">
        <f>IFERROR(IF(($M347)&gt;0,($J347*cfg_TroyOz)/($M347),""),"")</f>
        <v/>
      </c>
      <c r="Q347" s="56">
        <f>IFERROR(IF(($N347)&gt;0,($K347*cfg_TroyOz)/($N347),""),"")</f>
        <v/>
      </c>
      <c r="R347" s="55">
        <f>$F347-$L347</f>
        <v/>
      </c>
      <c r="S347" s="55">
        <f>IF($B347=$B346,$S346,0)+$R347</f>
        <v/>
      </c>
      <c r="T347" s="55">
        <f>$T346+$R347</f>
        <v/>
      </c>
      <c r="U347" s="55">
        <f>SUMIFS(tblMovement[Tonnes_t],tblMovement[Date],$A347,tblMovement[Is_Ore],0,tblMovement[Source_Type],"Pit")</f>
        <v/>
      </c>
      <c r="V347" s="55">
        <f>IF($B347=$B346,$V346,0)+$U347</f>
        <v/>
      </c>
      <c r="W347" s="55">
        <f>$W346+$U347</f>
        <v/>
      </c>
      <c r="X347" s="55">
        <f>$F347+$U347</f>
        <v/>
      </c>
      <c r="Y347" s="55">
        <f>IF($B347=$B346,$Y346,0)+$X347</f>
        <v/>
      </c>
      <c r="Z347" s="55">
        <f>$Z346+$X347</f>
        <v/>
      </c>
      <c r="AA347" s="56">
        <f>IFERROR(IF(($F347)&gt;0,($U347)/($F347),""),"")</f>
        <v/>
      </c>
      <c r="AB347" s="56">
        <f>IFERROR(IF(($G347)&gt;0,($V347)/($G347),""),"")</f>
        <v/>
      </c>
      <c r="AC347" s="56">
        <f>IFERROR(IF(($H347)&gt;0,($W347)/($H347),""),"")</f>
        <v/>
      </c>
      <c r="AD347" s="55">
        <f>SUMIFS(tblMovement[Tonnes_t],tblMovement[Date],$A347,tblMovement[Source_Type],"Stockpile")</f>
        <v/>
      </c>
      <c r="AE347" s="55">
        <f>IF($B347=$B346,$AE346,0)+$AD347</f>
        <v/>
      </c>
      <c r="AF347" s="55">
        <f>$AF346+$AD347</f>
        <v/>
      </c>
      <c r="AG347" s="55">
        <f>SUMIFS(tblMovement[Tonnes_t],tblMovement[Date],$A347)</f>
        <v/>
      </c>
      <c r="AH347" s="55">
        <f>IF($B347=$B346,$AH346,0)+$AG347</f>
        <v/>
      </c>
      <c r="AI347" s="55">
        <f>$AI346+$AG347</f>
        <v/>
      </c>
      <c r="AJ347" s="55">
        <f>$AG347-$X347-$AD347</f>
        <v/>
      </c>
      <c r="AK347" s="55">
        <f>IF($B347=$B346,$AK346,0)+$AJ347</f>
        <v/>
      </c>
      <c r="AL347" s="55">
        <f>$AL346+$AJ347</f>
        <v/>
      </c>
      <c r="AM347" s="55">
        <f>SUMIFS(tblMiningDaily[Drill_m],tblMiningDaily[Date],$A347)</f>
        <v/>
      </c>
      <c r="AN347" s="55">
        <f>IF($B347=$B346,$AN346,0)+$AM347</f>
        <v/>
      </c>
      <c r="AO347" s="55">
        <f>$AO346+$AM347</f>
        <v/>
      </c>
      <c r="AP347" s="55">
        <f>SUMIFS(tblMiningDaily[GC_Drill_m],tblMiningDaily[Date],$A347)</f>
        <v/>
      </c>
      <c r="AQ347" s="55">
        <f>IF($B347=$B346,$AQ346,0)+$AP347</f>
        <v/>
      </c>
      <c r="AR347" s="55">
        <f>$AR346+$AP347</f>
        <v/>
      </c>
      <c r="AS347" s="55">
        <f>SUMIFS(tblMiningDaily[Blast_t],tblMiningDaily[Date],$A347)</f>
        <v/>
      </c>
      <c r="AT347" s="55">
        <f>IF($B347=$B346,$AT346,0)+$AS347</f>
        <v/>
      </c>
      <c r="AU347" s="55">
        <f>$AU346+$AS347</f>
        <v/>
      </c>
      <c r="AV347" s="55">
        <f>SUMIFS(tblMiningDaily[Explosives_kg],tblMiningDaily[Date],$A347)</f>
        <v/>
      </c>
      <c r="AW347" s="55">
        <f>IF($B347=$B346,$AW346,0)+$AV347</f>
        <v/>
      </c>
      <c r="AX347" s="55">
        <f>$AX346+$AV347</f>
        <v/>
      </c>
      <c r="AY347" s="56">
        <f>IFERROR(IF(($AS347)&gt;0,($AV347)/($AS347),""),"")</f>
        <v/>
      </c>
      <c r="AZ347" s="56">
        <f>IFERROR(IF(($AT347)&gt;0,($AW347)/($AT347),""),"")</f>
        <v/>
      </c>
      <c r="BA347" s="56">
        <f>IFERROR(IF(($AU347)&gt;0,($AX347)/($AU347),""),"")</f>
        <v/>
      </c>
      <c r="BB347" s="55">
        <f>SUMIFS(tblMiningDaily[Diesel_L],tblMiningDaily[Date],$A347)</f>
        <v/>
      </c>
      <c r="BC347" s="55">
        <f>IF($B347=$B346,$BC346,0)+$BB347</f>
        <v/>
      </c>
      <c r="BD347" s="55">
        <f>$BD346+$BB347</f>
        <v/>
      </c>
      <c r="BE347" s="55">
        <f>SUMIFS(tblMiningDaily[Dewatering_m3],tblMiningDaily[Date],$A347)</f>
        <v/>
      </c>
      <c r="BF347" s="55">
        <f>IF($B347=$B346,$BF346,0)+$BE347</f>
        <v/>
      </c>
      <c r="BG347" s="55">
        <f>$BG346+$BE347</f>
        <v/>
      </c>
      <c r="BH347" s="57">
        <f>SUMIFS(tblFleet[Calendar_h],tblFleet[Date],$A347,tblFleet[Equipment_Class],"Excavator")</f>
        <v/>
      </c>
      <c r="BI347" s="57">
        <f>IF($B347=$B346,$BI346,0)+$BH347</f>
        <v/>
      </c>
      <c r="BJ347" s="57">
        <f>$BJ346+$BH347</f>
        <v/>
      </c>
      <c r="BK347" s="57">
        <f>SUMIFS(tblFleet[Available_h],tblFleet[Date],$A347,tblFleet[Equipment_Class],"Excavator")</f>
        <v/>
      </c>
      <c r="BL347" s="57">
        <f>IF($B347=$B346,$BL346,0)+$BK347</f>
        <v/>
      </c>
      <c r="BM347" s="57">
        <f>$BM346+$BK347</f>
        <v/>
      </c>
      <c r="BN347" s="57">
        <f>SUMIFS(tblFleet[Operating_h],tblFleet[Date],$A347,tblFleet[Equipment_Class],"Excavator")</f>
        <v/>
      </c>
      <c r="BO347" s="57">
        <f>IF($B347=$B346,$BO346,0)+$BN347</f>
        <v/>
      </c>
      <c r="BP347" s="57">
        <f>$BP346+$BN347</f>
        <v/>
      </c>
      <c r="BQ347" s="67">
        <f>IFERROR(IF(($BH347)&gt;0,($BK347)/($BH347),""),"")</f>
        <v/>
      </c>
      <c r="BR347" s="67">
        <f>IFERROR(IF(($BI347)&gt;0,($BL347)/($BI347),""),"")</f>
        <v/>
      </c>
      <c r="BS347" s="67">
        <f>IFERROR(IF(($BJ347)&gt;0,($BM347)/($BJ347),""),"")</f>
        <v/>
      </c>
      <c r="BT347" s="67">
        <f>IFERROR(IF(($BK347)&gt;0,($BN347)/($BK347),""),"")</f>
        <v/>
      </c>
      <c r="BU347" s="67">
        <f>IFERROR(IF(($BL347)&gt;0,($BO347)/($BL347),""),"")</f>
        <v/>
      </c>
      <c r="BV347" s="67">
        <f>IFERROR(IF(($BM347)&gt;0,($BP347)/($BM347),""),"")</f>
        <v/>
      </c>
      <c r="BW347" s="57">
        <f>SUMIFS(tblFleet[Calendar_h],tblFleet[Date],$A347,tblFleet[Equipment_Class],"Haul Truck")</f>
        <v/>
      </c>
      <c r="BX347" s="57">
        <f>IF($B347=$B346,$BX346,0)+$BW347</f>
        <v/>
      </c>
      <c r="BY347" s="57">
        <f>$BY346+$BW347</f>
        <v/>
      </c>
      <c r="BZ347" s="57">
        <f>SUMIFS(tblFleet[Available_h],tblFleet[Date],$A347,tblFleet[Equipment_Class],"Haul Truck")</f>
        <v/>
      </c>
      <c r="CA347" s="57">
        <f>IF($B347=$B346,$CA346,0)+$BZ347</f>
        <v/>
      </c>
      <c r="CB347" s="57">
        <f>$CB346+$BZ347</f>
        <v/>
      </c>
      <c r="CC347" s="57">
        <f>SUMIFS(tblFleet[Operating_h],tblFleet[Date],$A347,tblFleet[Equipment_Class],"Haul Truck")</f>
        <v/>
      </c>
      <c r="CD347" s="57">
        <f>IF($B347=$B346,$CD346,0)+$CC347</f>
        <v/>
      </c>
      <c r="CE347" s="57">
        <f>$CE346+$CC347</f>
        <v/>
      </c>
      <c r="CF347" s="67">
        <f>IFERROR(IF(($BW347)&gt;0,($BZ347)/($BW347),""),"")</f>
        <v/>
      </c>
      <c r="CG347" s="67">
        <f>IFERROR(IF(($BX347)&gt;0,($CA347)/($BX347),""),"")</f>
        <v/>
      </c>
      <c r="CH347" s="67">
        <f>IFERROR(IF(($BY347)&gt;0,($CB347)/($BY347),""),"")</f>
        <v/>
      </c>
      <c r="CI347" s="67">
        <f>IFERROR(IF(($BZ347)&gt;0,($CC347)/($BZ347),""),"")</f>
        <v/>
      </c>
      <c r="CJ347" s="67">
        <f>IFERROR(IF(($CA347)&gt;0,($CD347)/($CA347),""),"")</f>
        <v/>
      </c>
      <c r="CK347" s="67">
        <f>IFERROR(IF(($CB347)&gt;0,($CE347)/($CB347),""),"")</f>
        <v/>
      </c>
      <c r="CL347" s="55">
        <f>IFERROR(IF(($BN347)&gt;0,($X347+$AD347)/($BN347),""),"")</f>
        <v/>
      </c>
      <c r="CM347" s="55">
        <f>IFERROR(IF(($BO347)&gt;0,($Y347+$AE347)/($BO347),""),"")</f>
        <v/>
      </c>
      <c r="CN347" s="55">
        <f>IFERROR(IF(($BP347)&gt;0,($Z347+$AF347)/($BP347),""),"")</f>
        <v/>
      </c>
      <c r="CO347" s="55">
        <f>IFERROR(IF(($CC347)&gt;0,($X347+$AD347)/($CC347),""),"")</f>
        <v/>
      </c>
      <c r="CP347" s="55">
        <f>IFERROR(IF(($CD347)&gt;0,($Y347+$AE347)/($CD347),""),"")</f>
        <v/>
      </c>
      <c r="CQ347" s="55">
        <f>IFERROR(IF(($CE347)&gt;0,($Z347+$AF347)/($CE347),""),"")</f>
        <v/>
      </c>
      <c r="CR347" s="55">
        <f>SUMIFS(tblPlant[Crushed_t],tblPlant[Date],$A347)</f>
        <v/>
      </c>
      <c r="CS347" s="55">
        <f>IF($B347=$B346,$CS346,0)+$CR347</f>
        <v/>
      </c>
      <c r="CT347" s="55">
        <f>$CT346+$CR347</f>
        <v/>
      </c>
      <c r="CU347" s="55">
        <f>SUMIFS(tblPlant[Milled_t],tblPlant[Date],$A347)</f>
        <v/>
      </c>
      <c r="CV347" s="55">
        <f>IF($B347=$B346,$CV346,0)+$CU347</f>
        <v/>
      </c>
      <c r="CW347" s="55">
        <f>$CW346+$CU347</f>
        <v/>
      </c>
      <c r="CX347" s="55">
        <f>SUMIFS(tblPlant[Feed_oz],tblPlant[Date],$A347)</f>
        <v/>
      </c>
      <c r="CY347" s="55">
        <f>IF($B347=$B346,$CY346,0)+$CX347</f>
        <v/>
      </c>
      <c r="CZ347" s="55">
        <f>$CZ346+$CX347</f>
        <v/>
      </c>
      <c r="DA347" s="55">
        <f>SUMIFS(tblPlant[Tails_oz],tblPlant[Date],$A347)</f>
        <v/>
      </c>
      <c r="DB347" s="55">
        <f>IF($B347=$B346,$DB346,0)+$DA347</f>
        <v/>
      </c>
      <c r="DC347" s="55">
        <f>$DC346+$DA347</f>
        <v/>
      </c>
      <c r="DD347" s="55">
        <f>SUMIFS(tblPlant[Recovered_oz],tblPlant[Date],$A347)</f>
        <v/>
      </c>
      <c r="DE347" s="55">
        <f>IF($B347=$B346,$DE346,0)+$DD347</f>
        <v/>
      </c>
      <c r="DF347" s="55">
        <f>$DF346+$DD347</f>
        <v/>
      </c>
      <c r="DG347" s="55">
        <f>SUMIFS(tblPlant[Milled_t],tblPlant[Date],$A347,tblPlant[Head_Grade_gpt],"&lt;&gt;")</f>
        <v/>
      </c>
      <c r="DH347" s="55">
        <f>IF($B347=$B346,$DH346,0)+$DG347</f>
        <v/>
      </c>
      <c r="DI347" s="55">
        <f>$DI346+$DG347</f>
        <v/>
      </c>
      <c r="DJ347" s="55">
        <f>SUMIFS(tblPlant[Milled_t],tblPlant[Date],$A347,tblPlant[Tails_Grade_gpt],"&lt;&gt;")</f>
        <v/>
      </c>
      <c r="DK347" s="55">
        <f>IF($B347=$B346,$DK346,0)+$DJ347</f>
        <v/>
      </c>
      <c r="DL347" s="55">
        <f>$DL346+$DJ347</f>
        <v/>
      </c>
      <c r="DM347" s="55">
        <f>SUMIFS(tblPlant[Feed_oz],tblPlant[Date],$A347,tblPlant[Tails_Grade_gpt],"&lt;&gt;")</f>
        <v/>
      </c>
      <c r="DN347" s="55">
        <f>IF($B347=$B346,$DN346,0)+$DM347</f>
        <v/>
      </c>
      <c r="DO347" s="55">
        <f>$DO346+$DM347</f>
        <v/>
      </c>
      <c r="DP347" s="55">
        <f>SUMIFS(tblPlant[Milled_t],tblPlant[Date],$A347,tblPlant[Mill_Run_h],"&lt;&gt;")</f>
        <v/>
      </c>
      <c r="DQ347" s="55">
        <f>IF($B347=$B346,$DQ346,0)+$DP347</f>
        <v/>
      </c>
      <c r="DR347" s="55">
        <f>$DR346+$DP347</f>
        <v/>
      </c>
      <c r="DS347" s="56">
        <f>IFERROR(IF(($DG347)&gt;0,($CX347*cfg_TroyOz)/($DG347),""),"")</f>
        <v/>
      </c>
      <c r="DT347" s="56">
        <f>IFERROR(IF(($DH347)&gt;0,($CY347*cfg_TroyOz)/($DH347),""),"")</f>
        <v/>
      </c>
      <c r="DU347" s="56">
        <f>IFERROR(IF(($DI347)&gt;0,($CZ347*cfg_TroyOz)/($DI347),""),"")</f>
        <v/>
      </c>
      <c r="DV347" s="56">
        <f>IFERROR(IF(($DJ347)&gt;0,($DA347*cfg_TroyOz)/($DJ347),""),"")</f>
        <v/>
      </c>
      <c r="DW347" s="56">
        <f>IFERROR(IF(($DK347)&gt;0,($DB347*cfg_TroyOz)/($DK347),""),"")</f>
        <v/>
      </c>
      <c r="DX347" s="56">
        <f>IFERROR(IF(($DL347)&gt;0,($DC347*cfg_TroyOz)/($DL347),""),"")</f>
        <v/>
      </c>
      <c r="DY347" s="67">
        <f>IFERROR(IF(($DM347)&gt;0,($DD347)/($DM347),""),"")</f>
        <v/>
      </c>
      <c r="DZ347" s="67">
        <f>IFERROR(IF(($DN347)&gt;0,($DE347)/($DN347),""),"")</f>
        <v/>
      </c>
      <c r="EA347" s="67">
        <f>IFERROR(IF(($DO347)&gt;0,($DF347)/($DO347),""),"")</f>
        <v/>
      </c>
      <c r="EB347" s="55">
        <f>SUMIFS(tblPlant[Gravity_Gold_oz],tblPlant[Date],$A347)</f>
        <v/>
      </c>
      <c r="EC347" s="55">
        <f>IF($B347=$B346,$EC346,0)+$EB347</f>
        <v/>
      </c>
      <c r="ED347" s="55">
        <f>$ED346+$EB347</f>
        <v/>
      </c>
      <c r="EE347" s="67">
        <f>IFERROR(IF(($DD347)&gt;0,($EB347)/($DD347),""),"")</f>
        <v/>
      </c>
      <c r="EF347" s="67">
        <f>IFERROR(IF(($DE347)&gt;0,($EC347)/($DE347),""),"")</f>
        <v/>
      </c>
      <c r="EG347" s="67">
        <f>IFERROR(IF(($DF347)&gt;0,($ED347)/($DF347),""),"")</f>
        <v/>
      </c>
      <c r="EH347" s="55">
        <f>SUMIFS(tblPlant[Gold_Poured_oz],tblPlant[Date],$A347)</f>
        <v/>
      </c>
      <c r="EI347" s="55">
        <f>IF($B347=$B346,$EI346,0)+$EH347</f>
        <v/>
      </c>
      <c r="EJ347" s="55">
        <f>$EJ346+$EH347</f>
        <v/>
      </c>
      <c r="EK347" s="57">
        <f>SUMIFS(tblPlant[Mill_Run_h],tblPlant[Date],$A347)</f>
        <v/>
      </c>
      <c r="EL347" s="57">
        <f>IF($B347=$B346,$EL346,0)+$EK347</f>
        <v/>
      </c>
      <c r="EM347" s="57">
        <f>$EM346+$EK347</f>
        <v/>
      </c>
      <c r="EN347" s="57">
        <f>SUMIFS(tblPlant[Mill_Planned_Maint_h],tblPlant[Date],$A347)</f>
        <v/>
      </c>
      <c r="EO347" s="57">
        <f>IF($B347=$B346,$EO346,0)+$EN347</f>
        <v/>
      </c>
      <c r="EP347" s="57">
        <f>$EP346+$EN347</f>
        <v/>
      </c>
      <c r="EQ347" s="57">
        <f>SUMIFS(tblPlant[Mill_Unplanned_Down_h],tblPlant[Date],$A347)</f>
        <v/>
      </c>
      <c r="ER347" s="57">
        <f>IF($B347=$B346,$ER346,0)+$EQ347</f>
        <v/>
      </c>
      <c r="ES347" s="57">
        <f>$ES346+$EQ347</f>
        <v/>
      </c>
      <c r="ET347" s="57">
        <f>IF(COUNTIFS(tblPlant[Date],$A347,tblPlant[Mill_Run_h],"&lt;&gt;")+COUNTIFS(tblPlant[Date],$A347,tblPlant[Mill_Planned_Maint_h],"&lt;&gt;")+COUNTIFS(tblPlant[Date],$A347,tblPlant[Mill_Unplanned_Down_h],"&lt;&gt;")&gt;0,cfg_HoursPerDay,0)</f>
        <v/>
      </c>
      <c r="EU347" s="57">
        <f>IF($B347=$B346,$EU346,0)+$ET347</f>
        <v/>
      </c>
      <c r="EV347" s="57">
        <f>$EV346+$ET347</f>
        <v/>
      </c>
      <c r="EW347" s="57">
        <f>SUMIFS(tblPlant[Crusher_Run_h],tblPlant[Date],$A347)</f>
        <v/>
      </c>
      <c r="EX347" s="57">
        <f>IF($B347=$B346,$EX346,0)+$EW347</f>
        <v/>
      </c>
      <c r="EY347" s="57">
        <f>$EY346+$EW347</f>
        <v/>
      </c>
      <c r="EZ347" s="55">
        <f>IFERROR(IF(($EK347)&gt;0,($DP347)/($EK347),""),"")</f>
        <v/>
      </c>
      <c r="FA347" s="55">
        <f>IFERROR(IF(($EL347)&gt;0,($DQ347)/($EL347),""),"")</f>
        <v/>
      </c>
      <c r="FB347" s="55">
        <f>IFERROR(IF(($EM347)&gt;0,($DR347)/($EM347),""),"")</f>
        <v/>
      </c>
      <c r="FC347" s="67">
        <f>IFERROR(IF(($ET347)&gt;0,($ET347-$EN347-$EQ347)/($ET347),""),"")</f>
        <v/>
      </c>
      <c r="FD347" s="67">
        <f>IFERROR(IF(($EU347)&gt;0,($EU347-$EO347-$ER347)/($EU347),""),"")</f>
        <v/>
      </c>
      <c r="FE347" s="67">
        <f>IFERROR(IF(($EV347)&gt;0,($EV347-$EP347-$ES347)/($EV347),""),"")</f>
        <v/>
      </c>
      <c r="FF347" s="67">
        <f>IFERROR(IF(($ET347-$EN347-$EQ347)&gt;0,($EK347)/($ET347-$EN347-$EQ347),""),"")</f>
        <v/>
      </c>
      <c r="FG347" s="67">
        <f>IFERROR(IF(($EU347-$EO347-$ER347)&gt;0,($EL347)/($EU347-$EO347-$ER347),""),"")</f>
        <v/>
      </c>
      <c r="FH347" s="67">
        <f>IFERROR(IF(($EV347-$EP347-$ES347)&gt;0,($EM347)/($EV347-$EP347-$ES347),""),"")</f>
        <v/>
      </c>
      <c r="FI347" s="55">
        <f>SUMIFS(tblPlant[Cyanide_kg],tblPlant[Date],$A347)</f>
        <v/>
      </c>
      <c r="FJ347" s="55">
        <f>IF($B347=$B346,$FJ346,0)+$FI347</f>
        <v/>
      </c>
      <c r="FK347" s="55">
        <f>$FK346+$FI347</f>
        <v/>
      </c>
      <c r="FL347" s="55">
        <f>SUMIFS(tblPlant[Lime_kg],tblPlant[Date],$A347)</f>
        <v/>
      </c>
      <c r="FM347" s="55">
        <f>IF($B347=$B346,$FM346,0)+$FL347</f>
        <v/>
      </c>
      <c r="FN347" s="55">
        <f>$FN346+$FL347</f>
        <v/>
      </c>
      <c r="FO347" s="55">
        <f>SUMIFS(tblPlant[Grinding_Media_kg],tblPlant[Date],$A347)</f>
        <v/>
      </c>
      <c r="FP347" s="55">
        <f>IF($B347=$B346,$FP346,0)+$FO347</f>
        <v/>
      </c>
      <c r="FQ347" s="55">
        <f>$FQ346+$FO347</f>
        <v/>
      </c>
      <c r="FR347" s="55">
        <f>SUMIFS(tblPlant[Power_kWh],tblPlant[Date],$A347)</f>
        <v/>
      </c>
      <c r="FS347" s="55">
        <f>IF($B347=$B346,$FS346,0)+$FR347</f>
        <v/>
      </c>
      <c r="FT347" s="55">
        <f>$FT346+$FR347</f>
        <v/>
      </c>
      <c r="FU347" s="55">
        <f>SUMIFS(tblPlant[Raw_Water_m3],tblPlant[Date],$A347)</f>
        <v/>
      </c>
      <c r="FV347" s="55">
        <f>IF($B347=$B346,$FV346,0)+$FU347</f>
        <v/>
      </c>
      <c r="FW347" s="55">
        <f>$FW346+$FU347</f>
        <v/>
      </c>
      <c r="FX347" s="56">
        <f>IFERROR(IF(($CU347)&gt;0,($FI347)/($CU347),""),"")</f>
        <v/>
      </c>
      <c r="FY347" s="56">
        <f>IFERROR(IF(($CV347)&gt;0,($FJ347)/($CV347),""),"")</f>
        <v/>
      </c>
      <c r="FZ347" s="56">
        <f>IFERROR(IF(($CW347)&gt;0,($FK347)/($CW347),""),"")</f>
        <v/>
      </c>
      <c r="GA347" s="56">
        <f>IFERROR(IF(($CU347)&gt;0,($FL347)/($CU347),""),"")</f>
        <v/>
      </c>
      <c r="GB347" s="56">
        <f>IFERROR(IF(($CV347)&gt;0,($FM347)/($CV347),""),"")</f>
        <v/>
      </c>
      <c r="GC347" s="56">
        <f>IFERROR(IF(($CW347)&gt;0,($FN347)/($CW347),""),"")</f>
        <v/>
      </c>
      <c r="GD347" s="56">
        <f>IFERROR(IF(($CU347)&gt;0,($FO347)/($CU347),""),"")</f>
        <v/>
      </c>
      <c r="GE347" s="56">
        <f>IFERROR(IF(($CV347)&gt;0,($FP347)/($CV347),""),"")</f>
        <v/>
      </c>
      <c r="GF347" s="56">
        <f>IFERROR(IF(($CW347)&gt;0,($FQ347)/($CW347),""),"")</f>
        <v/>
      </c>
      <c r="GG347" s="79">
        <f>IFERROR(IF(($CU347)&gt;0,($FR347)/($CU347),""),"")</f>
        <v/>
      </c>
      <c r="GH347" s="79">
        <f>IFERROR(IF(($CV347)&gt;0,($FS347)/($CV347),""),"")</f>
        <v/>
      </c>
      <c r="GI347" s="79">
        <f>IFERROR(IF(($CW347)&gt;0,($FT347)/($CW347),""),"")</f>
        <v/>
      </c>
      <c r="GJ347" s="56">
        <f>IFERROR(IF(($CU347)&gt;0,($FU347)/($CU347),""),"")</f>
        <v/>
      </c>
      <c r="GK347" s="56">
        <f>IFERROR(IF(($CV347)&gt;0,($FV347)/($CV347),""),"")</f>
        <v/>
      </c>
      <c r="GL347" s="56">
        <f>IFERROR(IF(($CW347)&gt;0,($FW347)/($CW347),""),"")</f>
        <v/>
      </c>
      <c r="GM347" s="55">
        <f>IF(SUMIFS(tblPlant[GIC_oz],tblPlant[Date],$A347)&gt;0,SUMIFS(tblPlant[GIC_oz],tblPlant[Date],$A347),"")</f>
        <v/>
      </c>
      <c r="GN347" s="55">
        <f>SUMIFS(tblGold[Gold_oz],tblGold[Date],$A347,tblGold[Type],"Shipment")</f>
        <v/>
      </c>
      <c r="GO347" s="55">
        <f>IF($B347=$B346,$GO346,0)+$GN347</f>
        <v/>
      </c>
      <c r="GP347" s="55">
        <f>$GP346+$GN347</f>
        <v/>
      </c>
      <c r="GQ347" s="55">
        <f>SUMIFS(tblGold[Gold_oz],tblGold[Date],$A347,tblGold[Type],"Sale")</f>
        <v/>
      </c>
      <c r="GR347" s="55">
        <f>IF($B347=$B346,$GR346,0)+$GQ347</f>
        <v/>
      </c>
      <c r="GS347" s="55">
        <f>$GS346+$GQ347</f>
        <v/>
      </c>
      <c r="GT347" s="55">
        <f>SUMIFS(tblGold[Dore_kg],tblGold[Date],$A347,tblGold[Type],"Shipment")</f>
        <v/>
      </c>
      <c r="GU347" s="55">
        <f>IF($B347=$B346,$GU346,0)+$GT347</f>
        <v/>
      </c>
      <c r="GV347" s="55">
        <f>$GV346+$GT347</f>
        <v/>
      </c>
      <c r="GW347" s="57">
        <f>SUMIFS(tblSafety[Hours_Total],tblSafety[Date],$A347)</f>
        <v/>
      </c>
      <c r="GX347" s="57">
        <f>IF($B347=$B346,$GX346,0)+$GW347</f>
        <v/>
      </c>
      <c r="GY347" s="57">
        <f>$GY346+$GW347</f>
        <v/>
      </c>
      <c r="GZ347" s="62">
        <f>SUMIFS(tblSafety[Fatality],tblSafety[Date],$A347)</f>
        <v/>
      </c>
      <c r="HA347" s="62">
        <f>IF($B347=$B346,$HA346,0)+$GZ347</f>
        <v/>
      </c>
      <c r="HB347" s="62">
        <f>$HB346+$GZ347</f>
        <v/>
      </c>
      <c r="HC347" s="62">
        <f>SUMIFS(tblSafety[LTI],tblSafety[Date],$A347)</f>
        <v/>
      </c>
      <c r="HD347" s="62">
        <f>IF($B347=$B346,$HD346,0)+$HC347</f>
        <v/>
      </c>
      <c r="HE347" s="62">
        <f>$HE346+$HC347</f>
        <v/>
      </c>
      <c r="HF347" s="62">
        <f>SUMIFS(tblSafety[RWI],tblSafety[Date],$A347)</f>
        <v/>
      </c>
      <c r="HG347" s="62">
        <f>IF($B347=$B346,$HG346,0)+$HF347</f>
        <v/>
      </c>
      <c r="HH347" s="62">
        <f>$HH346+$HF347</f>
        <v/>
      </c>
      <c r="HI347" s="62">
        <f>SUMIFS(tblSafety[MTI],tblSafety[Date],$A347)</f>
        <v/>
      </c>
      <c r="HJ347" s="62">
        <f>IF($B347=$B346,$HJ346,0)+$HI347</f>
        <v/>
      </c>
      <c r="HK347" s="62">
        <f>$HK346+$HI347</f>
        <v/>
      </c>
      <c r="HL347" s="62">
        <f>SUMIFS(tblSafety[FAI],tblSafety[Date],$A347)</f>
        <v/>
      </c>
      <c r="HM347" s="62">
        <f>IF($B347=$B346,$HM346,0)+$HL347</f>
        <v/>
      </c>
      <c r="HN347" s="62">
        <f>$HN346+$HL347</f>
        <v/>
      </c>
      <c r="HO347" s="62">
        <f>SUMIFS(tblSafety[Recordables],tblSafety[Date],$A347)</f>
        <v/>
      </c>
      <c r="HP347" s="62">
        <f>IF($B347=$B346,$HP346,0)+$HO347</f>
        <v/>
      </c>
      <c r="HQ347" s="62">
        <f>$HQ346+$HO347</f>
        <v/>
      </c>
      <c r="HR347" s="62">
        <f>SUMIFS(tblSafety[Near_Miss],tblSafety[Date],$A347)</f>
        <v/>
      </c>
      <c r="HS347" s="62">
        <f>IF($B347=$B346,$HS346,0)+$HR347</f>
        <v/>
      </c>
      <c r="HT347" s="62">
        <f>$HT346+$HR347</f>
        <v/>
      </c>
      <c r="HU347" s="62">
        <f>SUMIFS(tblSafety[Hazard_Reports],tblSafety[Date],$A347)</f>
        <v/>
      </c>
      <c r="HV347" s="62">
        <f>IF($B347=$B346,$HV346,0)+$HU347</f>
        <v/>
      </c>
      <c r="HW347" s="62">
        <f>$HW346+$HU347</f>
        <v/>
      </c>
      <c r="HX347" s="62">
        <f>SUMIFS(tblSafety[HPI],tblSafety[Date],$A347)</f>
        <v/>
      </c>
      <c r="HY347" s="62">
        <f>IF($B347=$B346,$HY346,0)+$HX347</f>
        <v/>
      </c>
      <c r="HZ347" s="62">
        <f>$HZ346+$HX347</f>
        <v/>
      </c>
      <c r="IA347" s="62">
        <f>SUMIFS(tblSafety[Env_Incidents],tblSafety[Date],$A347)</f>
        <v/>
      </c>
      <c r="IB347" s="62">
        <f>IF($B347=$B346,$IB346,0)+$IA347</f>
        <v/>
      </c>
      <c r="IC347" s="62">
        <f>$IC346+$IA347</f>
        <v/>
      </c>
      <c r="ID347" s="62">
        <f>SUMIFS(tblSafety[Community_Incidents],tblSafety[Date],$A347)</f>
        <v/>
      </c>
      <c r="IE347" s="62">
        <f>IF($B347=$B346,$IE346,0)+$ID347</f>
        <v/>
      </c>
      <c r="IF347" s="62">
        <f>$IF346+$ID347</f>
        <v/>
      </c>
      <c r="IG347" s="62">
        <f>SUMIFS(tblSafety[Vehicle_Incidents],tblSafety[Date],$A347)</f>
        <v/>
      </c>
      <c r="IH347" s="62">
        <f>IF($B347=$B346,$IH346,0)+$IG347</f>
        <v/>
      </c>
      <c r="II347" s="62">
        <f>$II346+$IG347</f>
        <v/>
      </c>
      <c r="IJ347" s="62">
        <f>SUMIFS(tblSafety[Toolbox_Talks],tblSafety[Date],$A347)</f>
        <v/>
      </c>
      <c r="IK347" s="62">
        <f>IF($B347=$B346,$IK346,0)+$IJ347</f>
        <v/>
      </c>
      <c r="IL347" s="62">
        <f>$IL346+$IJ347</f>
        <v/>
      </c>
      <c r="IM347" s="62">
        <f>SUMIFS(tblSafety[Inspections],tblSafety[Date],$A347)</f>
        <v/>
      </c>
      <c r="IN347" s="62">
        <f>IF($B347=$B346,$IN346,0)+$IM347</f>
        <v/>
      </c>
      <c r="IO347" s="62">
        <f>$IO346+$IM347</f>
        <v/>
      </c>
      <c r="IP347" s="56">
        <f>IFERROR((SUMIFS(tblSafety[Recordables],tblSafety[Date],"&gt;="&amp;EDATE($E347,-12),tblSafety[Date],"&lt;="&amp;$A347)+SUMIFS(tblSafetyHistory[Recordables],tblSafetyHistory[Month],"&gt;="&amp;EDATE($E347,-12),tblSafetyHistory[Month],"&lt;"&amp;$E347,tblSafetyHistory[Use],1))/(SUMIFS(tblSafety[Hours_Total],tblSafety[Date],"&gt;="&amp;EDATE($E347,-12),tblSafety[Date],"&lt;="&amp;$A347)+SUMIFS(tblSafetyHistory[Hours_Total],tblSafetyHistory[Month],"&gt;="&amp;EDATE($E347,-12),tblSafetyHistory[Month],"&lt;"&amp;$E347,tblSafetyHistory[Use],1))*cfg_RateBasisHours,"")</f>
        <v/>
      </c>
      <c r="IQ347" s="56">
        <f>IFERROR((SUMIFS(tblSafety[LTI],tblSafety[Date],"&gt;="&amp;EDATE($E347,-12),tblSafety[Date],"&lt;="&amp;$A347)+SUMIFS(tblSafetyHistory[LTI],tblSafetyHistory[Month],"&gt;="&amp;EDATE($E347,-12),tblSafetyHistory[Month],"&lt;"&amp;$E347,tblSafetyHistory[Use],1))/(SUMIFS(tblSafety[Hours_Total],tblSafety[Date],"&gt;="&amp;EDATE($E347,-12),tblSafety[Date],"&lt;="&amp;$A347)+SUMIFS(tblSafetyHistory[Hours_Total],tblSafetyHistory[Month],"&gt;="&amp;EDATE($E347,-12),tblSafetyHistory[Month],"&lt;"&amp;$E347,tblSafetyHistory[Use],1))*cfg_RateBasisHours,"")</f>
        <v/>
      </c>
      <c r="IR347" s="62">
        <f>IF(MAX(N(cfg_PriorLTIDate),_xlfn.MAXIFS(tblSafety[Date],tblSafety[LTI],"&gt;0",tblSafety[Date],"&lt;="&amp;$A347))=0,"",$A347-MAX(N(cfg_PriorLTIDate),_xlfn.MAXIFS(tblSafety[Date],tblSafety[LTI],"&gt;0",tblSafety[Date],"&lt;="&amp;$A347)))</f>
        <v/>
      </c>
      <c r="IS347" s="55">
        <f>SUMIFS(tblBudget[Ore_Mined_t],tblBudget[Month],$E347)</f>
        <v/>
      </c>
      <c r="IT347" s="55">
        <f>$IS347*$C347/$D347</f>
        <v/>
      </c>
      <c r="IU347" s="55">
        <f>SUMIFS(tblBudget[Ore_Mined_t],tblBudget[Month],"&lt;"&amp;$E347)+$IT347</f>
        <v/>
      </c>
      <c r="IV347" s="55">
        <f>SUMIFS(tblBudget[Ore_oz],tblBudget[Month],$E347)</f>
        <v/>
      </c>
      <c r="IW347" s="55">
        <f>$IV347*$C347/$D347</f>
        <v/>
      </c>
      <c r="IX347" s="55">
        <f>SUMIFS(tblBudget[Ore_oz],tblBudget[Month],"&lt;"&amp;$E347)+$IW347</f>
        <v/>
      </c>
      <c r="IY347" s="55">
        <f>SUMIFS(tblBudget[Ore_Mined_t],tblBudget[Month],$E347)</f>
        <v/>
      </c>
      <c r="IZ347" s="55">
        <f>$IY347*$C347/$D347</f>
        <v/>
      </c>
      <c r="JA347" s="55">
        <f>SUMIFS(tblBudget[Ore_Mined_t],tblBudget[Month],"&lt;"&amp;$E347)+$IZ347</f>
        <v/>
      </c>
      <c r="JB347" s="56">
        <f>IFERROR(IF(($IY347)&gt;0,($IV347*cfg_TroyOz)/($IY347),""),"")</f>
        <v/>
      </c>
      <c r="JC347" s="56">
        <f>IFERROR(IF(($IZ347)&gt;0,($IW347*cfg_TroyOz)/($IZ347),""),"")</f>
        <v/>
      </c>
      <c r="JD347" s="56">
        <f>IFERROR(IF(($JA347)&gt;0,($IX347*cfg_TroyOz)/($JA347),""),"")</f>
        <v/>
      </c>
      <c r="JE347" s="55">
        <f>SUMIFS(tblBudget[Waste_t],tblBudget[Month],$E347)</f>
        <v/>
      </c>
      <c r="JF347" s="55">
        <f>$JE347*$C347/$D347</f>
        <v/>
      </c>
      <c r="JG347" s="55">
        <f>SUMIFS(tblBudget[Waste_t],tblBudget[Month],"&lt;"&amp;$E347)+$JF347</f>
        <v/>
      </c>
      <c r="JH347" s="55">
        <f>SUMIFS(tblBudget[TMM_t],tblBudget[Month],$E347)</f>
        <v/>
      </c>
      <c r="JI347" s="55">
        <f>$JH347*$C347/$D347</f>
        <v/>
      </c>
      <c r="JJ347" s="55">
        <f>SUMIFS(tblBudget[TMM_t],tblBudget[Month],"&lt;"&amp;$E347)+$JI347</f>
        <v/>
      </c>
      <c r="JK347" s="56">
        <f>IFERROR(IF(($IS347)&gt;0,($JE347)/($IS347),""),"")</f>
        <v/>
      </c>
      <c r="JL347" s="56">
        <f>IFERROR(IF(($IT347)&gt;0,($JF347)/($IT347),""),"")</f>
        <v/>
      </c>
      <c r="JM347" s="56">
        <f>IFERROR(IF(($IU347)&gt;0,($JG347)/($IU347),""),"")</f>
        <v/>
      </c>
      <c r="JN347" s="55">
        <f>SUMIFS(tblBudget[Drill_m],tblBudget[Month],$E347)</f>
        <v/>
      </c>
      <c r="JO347" s="55">
        <f>$JN347*$C347/$D347</f>
        <v/>
      </c>
      <c r="JP347" s="55">
        <f>SUMIFS(tblBudget[Drill_m],tblBudget[Month],"&lt;"&amp;$E347)+$JO347</f>
        <v/>
      </c>
      <c r="JQ347" s="55">
        <f>SUMIFS(tblBudget[Diesel_L],tblBudget[Month],$E347)</f>
        <v/>
      </c>
      <c r="JR347" s="55">
        <f>$JQ347*$C347/$D347</f>
        <v/>
      </c>
      <c r="JS347" s="55">
        <f>SUMIFS(tblBudget[Diesel_L],tblBudget[Month],"&lt;"&amp;$E347)+$JR347</f>
        <v/>
      </c>
      <c r="JT347" s="55">
        <f>SUMIFS(tblBudget[Milled_t],tblBudget[Month],$E347)</f>
        <v/>
      </c>
      <c r="JU347" s="55">
        <f>$JT347*$C347/$D347</f>
        <v/>
      </c>
      <c r="JV347" s="55">
        <f>SUMIFS(tblBudget[Milled_t],tblBudget[Month],"&lt;"&amp;$E347)+$JU347</f>
        <v/>
      </c>
      <c r="JW347" s="55">
        <f>SUMIFS(tblBudget[Feed_oz],tblBudget[Month],$E347)</f>
        <v/>
      </c>
      <c r="JX347" s="55">
        <f>$JW347*$C347/$D347</f>
        <v/>
      </c>
      <c r="JY347" s="55">
        <f>SUMIFS(tblBudget[Feed_oz],tblBudget[Month],"&lt;"&amp;$E347)+$JX347</f>
        <v/>
      </c>
      <c r="JZ347" s="55">
        <f>SUMIFS(tblBudget[Recovered_oz],tblBudget[Month],$E347)</f>
        <v/>
      </c>
      <c r="KA347" s="55">
        <f>$JZ347*$C347/$D347</f>
        <v/>
      </c>
      <c r="KB347" s="55">
        <f>SUMIFS(tblBudget[Recovered_oz],tblBudget[Month],"&lt;"&amp;$E347)+$KA347</f>
        <v/>
      </c>
      <c r="KC347" s="55">
        <f>SUMIFS(tblBudget[Milled_t],tblBudget[Month],$E347)</f>
        <v/>
      </c>
      <c r="KD347" s="55">
        <f>$KC347*$C347/$D347</f>
        <v/>
      </c>
      <c r="KE347" s="55">
        <f>SUMIFS(tblBudget[Milled_t],tblBudget[Month],"&lt;"&amp;$E347)+$KD347</f>
        <v/>
      </c>
      <c r="KF347" s="55">
        <f>SUMIFS(tblBudget[Feed_oz],tblBudget[Month],$E347)</f>
        <v/>
      </c>
      <c r="KG347" s="55">
        <f>$KF347*$C347/$D347</f>
        <v/>
      </c>
      <c r="KH347" s="55">
        <f>SUMIFS(tblBudget[Feed_oz],tblBudget[Month],"&lt;"&amp;$E347)+$KG347</f>
        <v/>
      </c>
      <c r="KI347" s="56">
        <f>IFERROR(IF(($KC347)&gt;0,($JW347*cfg_TroyOz)/($KC347),""),"")</f>
        <v/>
      </c>
      <c r="KJ347" s="56">
        <f>IFERROR(IF(($KD347)&gt;0,($JX347*cfg_TroyOz)/($KD347),""),"")</f>
        <v/>
      </c>
      <c r="KK347" s="56">
        <f>IFERROR(IF(($KE347)&gt;0,($JY347*cfg_TroyOz)/($KE347),""),"")</f>
        <v/>
      </c>
      <c r="KL347" s="67">
        <f>IFERROR(IF(($KF347)&gt;0,($JZ347)/($KF347),""),"")</f>
        <v/>
      </c>
      <c r="KM347" s="67">
        <f>IFERROR(IF(($KG347)&gt;0,($KA347)/($KG347),""),"")</f>
        <v/>
      </c>
      <c r="KN347" s="67">
        <f>IFERROR(IF(($KH347)&gt;0,($KB347)/($KH347),""),"")</f>
        <v/>
      </c>
      <c r="KO347" s="55">
        <f>SUMIFS(tblBudget[Gold_Poured_oz],tblBudget[Month],$E347)</f>
        <v/>
      </c>
      <c r="KP347" s="55">
        <f>$KO347*$C347/$D347</f>
        <v/>
      </c>
      <c r="KQ347" s="55">
        <f>SUMIFS(tblBudget[Gold_Poured_oz],tblBudget[Month],"&lt;"&amp;$E347)+$KP347</f>
        <v/>
      </c>
      <c r="KR347" s="57">
        <f>SUMIFS(tblBudget[Hours_Worked],tblBudget[Month],$E347)</f>
        <v/>
      </c>
      <c r="KS347" s="57">
        <f>$KR347*$C347/$D347</f>
        <v/>
      </c>
      <c r="KT347" s="57">
        <f>SUMIFS(tblBudget[Hours_Worked],tblBudget[Month],"&lt;"&amp;$E347)+$KS347</f>
        <v/>
      </c>
    </row>
    <row r="348">
      <c r="A348" s="54" t="n">
        <v>46369</v>
      </c>
      <c r="B348">
        <f>MONTH($A348)</f>
        <v/>
      </c>
      <c r="C348">
        <f>DAY($A348)</f>
        <v/>
      </c>
      <c r="D348">
        <f>DAY(EOMONTH($A348,0))</f>
        <v/>
      </c>
      <c r="E348" s="54">
        <f>DATE(YEAR($A348),MONTH($A348),1)</f>
        <v/>
      </c>
      <c r="F348" s="55">
        <f>SUMIFS(tblMovement[Tonnes_t],tblMovement[Date],$A348,tblMovement[Is_Ore],1,tblMovement[Source_Type],"Pit")</f>
        <v/>
      </c>
      <c r="G348" s="55">
        <f>IF($B348=$B347,$G347,0)+$F348</f>
        <v/>
      </c>
      <c r="H348" s="55">
        <f>$H347+$F348</f>
        <v/>
      </c>
      <c r="I348" s="55">
        <f>SUMIFS(tblMovement[Ore_oz],tblMovement[Date],$A348,tblMovement[Source_Type],"Pit")</f>
        <v/>
      </c>
      <c r="J348" s="55">
        <f>IF($B348=$B347,$J347,0)+$I348</f>
        <v/>
      </c>
      <c r="K348" s="55">
        <f>$K347+$I348</f>
        <v/>
      </c>
      <c r="L348" s="55">
        <f>SUMIFS(tblMovement[Tonnes_t],tblMovement[Date],$A348,tblMovement[Is_Ore],1,tblMovement[Source_Type],"Pit",tblMovement[Grade_gpt],"&lt;&gt;")</f>
        <v/>
      </c>
      <c r="M348" s="55">
        <f>IF($B348=$B347,$M347,0)+$L348</f>
        <v/>
      </c>
      <c r="N348" s="55">
        <f>$N347+$L348</f>
        <v/>
      </c>
      <c r="O348" s="56">
        <f>IFERROR(IF(($L348)&gt;0,($I348*cfg_TroyOz)/($L348),""),"")</f>
        <v/>
      </c>
      <c r="P348" s="56">
        <f>IFERROR(IF(($M348)&gt;0,($J348*cfg_TroyOz)/($M348),""),"")</f>
        <v/>
      </c>
      <c r="Q348" s="56">
        <f>IFERROR(IF(($N348)&gt;0,($K348*cfg_TroyOz)/($N348),""),"")</f>
        <v/>
      </c>
      <c r="R348" s="55">
        <f>$F348-$L348</f>
        <v/>
      </c>
      <c r="S348" s="55">
        <f>IF($B348=$B347,$S347,0)+$R348</f>
        <v/>
      </c>
      <c r="T348" s="55">
        <f>$T347+$R348</f>
        <v/>
      </c>
      <c r="U348" s="55">
        <f>SUMIFS(tblMovement[Tonnes_t],tblMovement[Date],$A348,tblMovement[Is_Ore],0,tblMovement[Source_Type],"Pit")</f>
        <v/>
      </c>
      <c r="V348" s="55">
        <f>IF($B348=$B347,$V347,0)+$U348</f>
        <v/>
      </c>
      <c r="W348" s="55">
        <f>$W347+$U348</f>
        <v/>
      </c>
      <c r="X348" s="55">
        <f>$F348+$U348</f>
        <v/>
      </c>
      <c r="Y348" s="55">
        <f>IF($B348=$B347,$Y347,0)+$X348</f>
        <v/>
      </c>
      <c r="Z348" s="55">
        <f>$Z347+$X348</f>
        <v/>
      </c>
      <c r="AA348" s="56">
        <f>IFERROR(IF(($F348)&gt;0,($U348)/($F348),""),"")</f>
        <v/>
      </c>
      <c r="AB348" s="56">
        <f>IFERROR(IF(($G348)&gt;0,($V348)/($G348),""),"")</f>
        <v/>
      </c>
      <c r="AC348" s="56">
        <f>IFERROR(IF(($H348)&gt;0,($W348)/($H348),""),"")</f>
        <v/>
      </c>
      <c r="AD348" s="55">
        <f>SUMIFS(tblMovement[Tonnes_t],tblMovement[Date],$A348,tblMovement[Source_Type],"Stockpile")</f>
        <v/>
      </c>
      <c r="AE348" s="55">
        <f>IF($B348=$B347,$AE347,0)+$AD348</f>
        <v/>
      </c>
      <c r="AF348" s="55">
        <f>$AF347+$AD348</f>
        <v/>
      </c>
      <c r="AG348" s="55">
        <f>SUMIFS(tblMovement[Tonnes_t],tblMovement[Date],$A348)</f>
        <v/>
      </c>
      <c r="AH348" s="55">
        <f>IF($B348=$B347,$AH347,0)+$AG348</f>
        <v/>
      </c>
      <c r="AI348" s="55">
        <f>$AI347+$AG348</f>
        <v/>
      </c>
      <c r="AJ348" s="55">
        <f>$AG348-$X348-$AD348</f>
        <v/>
      </c>
      <c r="AK348" s="55">
        <f>IF($B348=$B347,$AK347,0)+$AJ348</f>
        <v/>
      </c>
      <c r="AL348" s="55">
        <f>$AL347+$AJ348</f>
        <v/>
      </c>
      <c r="AM348" s="55">
        <f>SUMIFS(tblMiningDaily[Drill_m],tblMiningDaily[Date],$A348)</f>
        <v/>
      </c>
      <c r="AN348" s="55">
        <f>IF($B348=$B347,$AN347,0)+$AM348</f>
        <v/>
      </c>
      <c r="AO348" s="55">
        <f>$AO347+$AM348</f>
        <v/>
      </c>
      <c r="AP348" s="55">
        <f>SUMIFS(tblMiningDaily[GC_Drill_m],tblMiningDaily[Date],$A348)</f>
        <v/>
      </c>
      <c r="AQ348" s="55">
        <f>IF($B348=$B347,$AQ347,0)+$AP348</f>
        <v/>
      </c>
      <c r="AR348" s="55">
        <f>$AR347+$AP348</f>
        <v/>
      </c>
      <c r="AS348" s="55">
        <f>SUMIFS(tblMiningDaily[Blast_t],tblMiningDaily[Date],$A348)</f>
        <v/>
      </c>
      <c r="AT348" s="55">
        <f>IF($B348=$B347,$AT347,0)+$AS348</f>
        <v/>
      </c>
      <c r="AU348" s="55">
        <f>$AU347+$AS348</f>
        <v/>
      </c>
      <c r="AV348" s="55">
        <f>SUMIFS(tblMiningDaily[Explosives_kg],tblMiningDaily[Date],$A348)</f>
        <v/>
      </c>
      <c r="AW348" s="55">
        <f>IF($B348=$B347,$AW347,0)+$AV348</f>
        <v/>
      </c>
      <c r="AX348" s="55">
        <f>$AX347+$AV348</f>
        <v/>
      </c>
      <c r="AY348" s="56">
        <f>IFERROR(IF(($AS348)&gt;0,($AV348)/($AS348),""),"")</f>
        <v/>
      </c>
      <c r="AZ348" s="56">
        <f>IFERROR(IF(($AT348)&gt;0,($AW348)/($AT348),""),"")</f>
        <v/>
      </c>
      <c r="BA348" s="56">
        <f>IFERROR(IF(($AU348)&gt;0,($AX348)/($AU348),""),"")</f>
        <v/>
      </c>
      <c r="BB348" s="55">
        <f>SUMIFS(tblMiningDaily[Diesel_L],tblMiningDaily[Date],$A348)</f>
        <v/>
      </c>
      <c r="BC348" s="55">
        <f>IF($B348=$B347,$BC347,0)+$BB348</f>
        <v/>
      </c>
      <c r="BD348" s="55">
        <f>$BD347+$BB348</f>
        <v/>
      </c>
      <c r="BE348" s="55">
        <f>SUMIFS(tblMiningDaily[Dewatering_m3],tblMiningDaily[Date],$A348)</f>
        <v/>
      </c>
      <c r="BF348" s="55">
        <f>IF($B348=$B347,$BF347,0)+$BE348</f>
        <v/>
      </c>
      <c r="BG348" s="55">
        <f>$BG347+$BE348</f>
        <v/>
      </c>
      <c r="BH348" s="57">
        <f>SUMIFS(tblFleet[Calendar_h],tblFleet[Date],$A348,tblFleet[Equipment_Class],"Excavator")</f>
        <v/>
      </c>
      <c r="BI348" s="57">
        <f>IF($B348=$B347,$BI347,0)+$BH348</f>
        <v/>
      </c>
      <c r="BJ348" s="57">
        <f>$BJ347+$BH348</f>
        <v/>
      </c>
      <c r="BK348" s="57">
        <f>SUMIFS(tblFleet[Available_h],tblFleet[Date],$A348,tblFleet[Equipment_Class],"Excavator")</f>
        <v/>
      </c>
      <c r="BL348" s="57">
        <f>IF($B348=$B347,$BL347,0)+$BK348</f>
        <v/>
      </c>
      <c r="BM348" s="57">
        <f>$BM347+$BK348</f>
        <v/>
      </c>
      <c r="BN348" s="57">
        <f>SUMIFS(tblFleet[Operating_h],tblFleet[Date],$A348,tblFleet[Equipment_Class],"Excavator")</f>
        <v/>
      </c>
      <c r="BO348" s="57">
        <f>IF($B348=$B347,$BO347,0)+$BN348</f>
        <v/>
      </c>
      <c r="BP348" s="57">
        <f>$BP347+$BN348</f>
        <v/>
      </c>
      <c r="BQ348" s="67">
        <f>IFERROR(IF(($BH348)&gt;0,($BK348)/($BH348),""),"")</f>
        <v/>
      </c>
      <c r="BR348" s="67">
        <f>IFERROR(IF(($BI348)&gt;0,($BL348)/($BI348),""),"")</f>
        <v/>
      </c>
      <c r="BS348" s="67">
        <f>IFERROR(IF(($BJ348)&gt;0,($BM348)/($BJ348),""),"")</f>
        <v/>
      </c>
      <c r="BT348" s="67">
        <f>IFERROR(IF(($BK348)&gt;0,($BN348)/($BK348),""),"")</f>
        <v/>
      </c>
      <c r="BU348" s="67">
        <f>IFERROR(IF(($BL348)&gt;0,($BO348)/($BL348),""),"")</f>
        <v/>
      </c>
      <c r="BV348" s="67">
        <f>IFERROR(IF(($BM348)&gt;0,($BP348)/($BM348),""),"")</f>
        <v/>
      </c>
      <c r="BW348" s="57">
        <f>SUMIFS(tblFleet[Calendar_h],tblFleet[Date],$A348,tblFleet[Equipment_Class],"Haul Truck")</f>
        <v/>
      </c>
      <c r="BX348" s="57">
        <f>IF($B348=$B347,$BX347,0)+$BW348</f>
        <v/>
      </c>
      <c r="BY348" s="57">
        <f>$BY347+$BW348</f>
        <v/>
      </c>
      <c r="BZ348" s="57">
        <f>SUMIFS(tblFleet[Available_h],tblFleet[Date],$A348,tblFleet[Equipment_Class],"Haul Truck")</f>
        <v/>
      </c>
      <c r="CA348" s="57">
        <f>IF($B348=$B347,$CA347,0)+$BZ348</f>
        <v/>
      </c>
      <c r="CB348" s="57">
        <f>$CB347+$BZ348</f>
        <v/>
      </c>
      <c r="CC348" s="57">
        <f>SUMIFS(tblFleet[Operating_h],tblFleet[Date],$A348,tblFleet[Equipment_Class],"Haul Truck")</f>
        <v/>
      </c>
      <c r="CD348" s="57">
        <f>IF($B348=$B347,$CD347,0)+$CC348</f>
        <v/>
      </c>
      <c r="CE348" s="57">
        <f>$CE347+$CC348</f>
        <v/>
      </c>
      <c r="CF348" s="67">
        <f>IFERROR(IF(($BW348)&gt;0,($BZ348)/($BW348),""),"")</f>
        <v/>
      </c>
      <c r="CG348" s="67">
        <f>IFERROR(IF(($BX348)&gt;0,($CA348)/($BX348),""),"")</f>
        <v/>
      </c>
      <c r="CH348" s="67">
        <f>IFERROR(IF(($BY348)&gt;0,($CB348)/($BY348),""),"")</f>
        <v/>
      </c>
      <c r="CI348" s="67">
        <f>IFERROR(IF(($BZ348)&gt;0,($CC348)/($BZ348),""),"")</f>
        <v/>
      </c>
      <c r="CJ348" s="67">
        <f>IFERROR(IF(($CA348)&gt;0,($CD348)/($CA348),""),"")</f>
        <v/>
      </c>
      <c r="CK348" s="67">
        <f>IFERROR(IF(($CB348)&gt;0,($CE348)/($CB348),""),"")</f>
        <v/>
      </c>
      <c r="CL348" s="55">
        <f>IFERROR(IF(($BN348)&gt;0,($X348+$AD348)/($BN348),""),"")</f>
        <v/>
      </c>
      <c r="CM348" s="55">
        <f>IFERROR(IF(($BO348)&gt;0,($Y348+$AE348)/($BO348),""),"")</f>
        <v/>
      </c>
      <c r="CN348" s="55">
        <f>IFERROR(IF(($BP348)&gt;0,($Z348+$AF348)/($BP348),""),"")</f>
        <v/>
      </c>
      <c r="CO348" s="55">
        <f>IFERROR(IF(($CC348)&gt;0,($X348+$AD348)/($CC348),""),"")</f>
        <v/>
      </c>
      <c r="CP348" s="55">
        <f>IFERROR(IF(($CD348)&gt;0,($Y348+$AE348)/($CD348),""),"")</f>
        <v/>
      </c>
      <c r="CQ348" s="55">
        <f>IFERROR(IF(($CE348)&gt;0,($Z348+$AF348)/($CE348),""),"")</f>
        <v/>
      </c>
      <c r="CR348" s="55">
        <f>SUMIFS(tblPlant[Crushed_t],tblPlant[Date],$A348)</f>
        <v/>
      </c>
      <c r="CS348" s="55">
        <f>IF($B348=$B347,$CS347,0)+$CR348</f>
        <v/>
      </c>
      <c r="CT348" s="55">
        <f>$CT347+$CR348</f>
        <v/>
      </c>
      <c r="CU348" s="55">
        <f>SUMIFS(tblPlant[Milled_t],tblPlant[Date],$A348)</f>
        <v/>
      </c>
      <c r="CV348" s="55">
        <f>IF($B348=$B347,$CV347,0)+$CU348</f>
        <v/>
      </c>
      <c r="CW348" s="55">
        <f>$CW347+$CU348</f>
        <v/>
      </c>
      <c r="CX348" s="55">
        <f>SUMIFS(tblPlant[Feed_oz],tblPlant[Date],$A348)</f>
        <v/>
      </c>
      <c r="CY348" s="55">
        <f>IF($B348=$B347,$CY347,0)+$CX348</f>
        <v/>
      </c>
      <c r="CZ348" s="55">
        <f>$CZ347+$CX348</f>
        <v/>
      </c>
      <c r="DA348" s="55">
        <f>SUMIFS(tblPlant[Tails_oz],tblPlant[Date],$A348)</f>
        <v/>
      </c>
      <c r="DB348" s="55">
        <f>IF($B348=$B347,$DB347,0)+$DA348</f>
        <v/>
      </c>
      <c r="DC348" s="55">
        <f>$DC347+$DA348</f>
        <v/>
      </c>
      <c r="DD348" s="55">
        <f>SUMIFS(tblPlant[Recovered_oz],tblPlant[Date],$A348)</f>
        <v/>
      </c>
      <c r="DE348" s="55">
        <f>IF($B348=$B347,$DE347,0)+$DD348</f>
        <v/>
      </c>
      <c r="DF348" s="55">
        <f>$DF347+$DD348</f>
        <v/>
      </c>
      <c r="DG348" s="55">
        <f>SUMIFS(tblPlant[Milled_t],tblPlant[Date],$A348,tblPlant[Head_Grade_gpt],"&lt;&gt;")</f>
        <v/>
      </c>
      <c r="DH348" s="55">
        <f>IF($B348=$B347,$DH347,0)+$DG348</f>
        <v/>
      </c>
      <c r="DI348" s="55">
        <f>$DI347+$DG348</f>
        <v/>
      </c>
      <c r="DJ348" s="55">
        <f>SUMIFS(tblPlant[Milled_t],tblPlant[Date],$A348,tblPlant[Tails_Grade_gpt],"&lt;&gt;")</f>
        <v/>
      </c>
      <c r="DK348" s="55">
        <f>IF($B348=$B347,$DK347,0)+$DJ348</f>
        <v/>
      </c>
      <c r="DL348" s="55">
        <f>$DL347+$DJ348</f>
        <v/>
      </c>
      <c r="DM348" s="55">
        <f>SUMIFS(tblPlant[Feed_oz],tblPlant[Date],$A348,tblPlant[Tails_Grade_gpt],"&lt;&gt;")</f>
        <v/>
      </c>
      <c r="DN348" s="55">
        <f>IF($B348=$B347,$DN347,0)+$DM348</f>
        <v/>
      </c>
      <c r="DO348" s="55">
        <f>$DO347+$DM348</f>
        <v/>
      </c>
      <c r="DP348" s="55">
        <f>SUMIFS(tblPlant[Milled_t],tblPlant[Date],$A348,tblPlant[Mill_Run_h],"&lt;&gt;")</f>
        <v/>
      </c>
      <c r="DQ348" s="55">
        <f>IF($B348=$B347,$DQ347,0)+$DP348</f>
        <v/>
      </c>
      <c r="DR348" s="55">
        <f>$DR347+$DP348</f>
        <v/>
      </c>
      <c r="DS348" s="56">
        <f>IFERROR(IF(($DG348)&gt;0,($CX348*cfg_TroyOz)/($DG348),""),"")</f>
        <v/>
      </c>
      <c r="DT348" s="56">
        <f>IFERROR(IF(($DH348)&gt;0,($CY348*cfg_TroyOz)/($DH348),""),"")</f>
        <v/>
      </c>
      <c r="DU348" s="56">
        <f>IFERROR(IF(($DI348)&gt;0,($CZ348*cfg_TroyOz)/($DI348),""),"")</f>
        <v/>
      </c>
      <c r="DV348" s="56">
        <f>IFERROR(IF(($DJ348)&gt;0,($DA348*cfg_TroyOz)/($DJ348),""),"")</f>
        <v/>
      </c>
      <c r="DW348" s="56">
        <f>IFERROR(IF(($DK348)&gt;0,($DB348*cfg_TroyOz)/($DK348),""),"")</f>
        <v/>
      </c>
      <c r="DX348" s="56">
        <f>IFERROR(IF(($DL348)&gt;0,($DC348*cfg_TroyOz)/($DL348),""),"")</f>
        <v/>
      </c>
      <c r="DY348" s="67">
        <f>IFERROR(IF(($DM348)&gt;0,($DD348)/($DM348),""),"")</f>
        <v/>
      </c>
      <c r="DZ348" s="67">
        <f>IFERROR(IF(($DN348)&gt;0,($DE348)/($DN348),""),"")</f>
        <v/>
      </c>
      <c r="EA348" s="67">
        <f>IFERROR(IF(($DO348)&gt;0,($DF348)/($DO348),""),"")</f>
        <v/>
      </c>
      <c r="EB348" s="55">
        <f>SUMIFS(tblPlant[Gravity_Gold_oz],tblPlant[Date],$A348)</f>
        <v/>
      </c>
      <c r="EC348" s="55">
        <f>IF($B348=$B347,$EC347,0)+$EB348</f>
        <v/>
      </c>
      <c r="ED348" s="55">
        <f>$ED347+$EB348</f>
        <v/>
      </c>
      <c r="EE348" s="67">
        <f>IFERROR(IF(($DD348)&gt;0,($EB348)/($DD348),""),"")</f>
        <v/>
      </c>
      <c r="EF348" s="67">
        <f>IFERROR(IF(($DE348)&gt;0,($EC348)/($DE348),""),"")</f>
        <v/>
      </c>
      <c r="EG348" s="67">
        <f>IFERROR(IF(($DF348)&gt;0,($ED348)/($DF348),""),"")</f>
        <v/>
      </c>
      <c r="EH348" s="55">
        <f>SUMIFS(tblPlant[Gold_Poured_oz],tblPlant[Date],$A348)</f>
        <v/>
      </c>
      <c r="EI348" s="55">
        <f>IF($B348=$B347,$EI347,0)+$EH348</f>
        <v/>
      </c>
      <c r="EJ348" s="55">
        <f>$EJ347+$EH348</f>
        <v/>
      </c>
      <c r="EK348" s="57">
        <f>SUMIFS(tblPlant[Mill_Run_h],tblPlant[Date],$A348)</f>
        <v/>
      </c>
      <c r="EL348" s="57">
        <f>IF($B348=$B347,$EL347,0)+$EK348</f>
        <v/>
      </c>
      <c r="EM348" s="57">
        <f>$EM347+$EK348</f>
        <v/>
      </c>
      <c r="EN348" s="57">
        <f>SUMIFS(tblPlant[Mill_Planned_Maint_h],tblPlant[Date],$A348)</f>
        <v/>
      </c>
      <c r="EO348" s="57">
        <f>IF($B348=$B347,$EO347,0)+$EN348</f>
        <v/>
      </c>
      <c r="EP348" s="57">
        <f>$EP347+$EN348</f>
        <v/>
      </c>
      <c r="EQ348" s="57">
        <f>SUMIFS(tblPlant[Mill_Unplanned_Down_h],tblPlant[Date],$A348)</f>
        <v/>
      </c>
      <c r="ER348" s="57">
        <f>IF($B348=$B347,$ER347,0)+$EQ348</f>
        <v/>
      </c>
      <c r="ES348" s="57">
        <f>$ES347+$EQ348</f>
        <v/>
      </c>
      <c r="ET348" s="57">
        <f>IF(COUNTIFS(tblPlant[Date],$A348,tblPlant[Mill_Run_h],"&lt;&gt;")+COUNTIFS(tblPlant[Date],$A348,tblPlant[Mill_Planned_Maint_h],"&lt;&gt;")+COUNTIFS(tblPlant[Date],$A348,tblPlant[Mill_Unplanned_Down_h],"&lt;&gt;")&gt;0,cfg_HoursPerDay,0)</f>
        <v/>
      </c>
      <c r="EU348" s="57">
        <f>IF($B348=$B347,$EU347,0)+$ET348</f>
        <v/>
      </c>
      <c r="EV348" s="57">
        <f>$EV347+$ET348</f>
        <v/>
      </c>
      <c r="EW348" s="57">
        <f>SUMIFS(tblPlant[Crusher_Run_h],tblPlant[Date],$A348)</f>
        <v/>
      </c>
      <c r="EX348" s="57">
        <f>IF($B348=$B347,$EX347,0)+$EW348</f>
        <v/>
      </c>
      <c r="EY348" s="57">
        <f>$EY347+$EW348</f>
        <v/>
      </c>
      <c r="EZ348" s="55">
        <f>IFERROR(IF(($EK348)&gt;0,($DP348)/($EK348),""),"")</f>
        <v/>
      </c>
      <c r="FA348" s="55">
        <f>IFERROR(IF(($EL348)&gt;0,($DQ348)/($EL348),""),"")</f>
        <v/>
      </c>
      <c r="FB348" s="55">
        <f>IFERROR(IF(($EM348)&gt;0,($DR348)/($EM348),""),"")</f>
        <v/>
      </c>
      <c r="FC348" s="67">
        <f>IFERROR(IF(($ET348)&gt;0,($ET348-$EN348-$EQ348)/($ET348),""),"")</f>
        <v/>
      </c>
      <c r="FD348" s="67">
        <f>IFERROR(IF(($EU348)&gt;0,($EU348-$EO348-$ER348)/($EU348),""),"")</f>
        <v/>
      </c>
      <c r="FE348" s="67">
        <f>IFERROR(IF(($EV348)&gt;0,($EV348-$EP348-$ES348)/($EV348),""),"")</f>
        <v/>
      </c>
      <c r="FF348" s="67">
        <f>IFERROR(IF(($ET348-$EN348-$EQ348)&gt;0,($EK348)/($ET348-$EN348-$EQ348),""),"")</f>
        <v/>
      </c>
      <c r="FG348" s="67">
        <f>IFERROR(IF(($EU348-$EO348-$ER348)&gt;0,($EL348)/($EU348-$EO348-$ER348),""),"")</f>
        <v/>
      </c>
      <c r="FH348" s="67">
        <f>IFERROR(IF(($EV348-$EP348-$ES348)&gt;0,($EM348)/($EV348-$EP348-$ES348),""),"")</f>
        <v/>
      </c>
      <c r="FI348" s="55">
        <f>SUMIFS(tblPlant[Cyanide_kg],tblPlant[Date],$A348)</f>
        <v/>
      </c>
      <c r="FJ348" s="55">
        <f>IF($B348=$B347,$FJ347,0)+$FI348</f>
        <v/>
      </c>
      <c r="FK348" s="55">
        <f>$FK347+$FI348</f>
        <v/>
      </c>
      <c r="FL348" s="55">
        <f>SUMIFS(tblPlant[Lime_kg],tblPlant[Date],$A348)</f>
        <v/>
      </c>
      <c r="FM348" s="55">
        <f>IF($B348=$B347,$FM347,0)+$FL348</f>
        <v/>
      </c>
      <c r="FN348" s="55">
        <f>$FN347+$FL348</f>
        <v/>
      </c>
      <c r="FO348" s="55">
        <f>SUMIFS(tblPlant[Grinding_Media_kg],tblPlant[Date],$A348)</f>
        <v/>
      </c>
      <c r="FP348" s="55">
        <f>IF($B348=$B347,$FP347,0)+$FO348</f>
        <v/>
      </c>
      <c r="FQ348" s="55">
        <f>$FQ347+$FO348</f>
        <v/>
      </c>
      <c r="FR348" s="55">
        <f>SUMIFS(tblPlant[Power_kWh],tblPlant[Date],$A348)</f>
        <v/>
      </c>
      <c r="FS348" s="55">
        <f>IF($B348=$B347,$FS347,0)+$FR348</f>
        <v/>
      </c>
      <c r="FT348" s="55">
        <f>$FT347+$FR348</f>
        <v/>
      </c>
      <c r="FU348" s="55">
        <f>SUMIFS(tblPlant[Raw_Water_m3],tblPlant[Date],$A348)</f>
        <v/>
      </c>
      <c r="FV348" s="55">
        <f>IF($B348=$B347,$FV347,0)+$FU348</f>
        <v/>
      </c>
      <c r="FW348" s="55">
        <f>$FW347+$FU348</f>
        <v/>
      </c>
      <c r="FX348" s="56">
        <f>IFERROR(IF(($CU348)&gt;0,($FI348)/($CU348),""),"")</f>
        <v/>
      </c>
      <c r="FY348" s="56">
        <f>IFERROR(IF(($CV348)&gt;0,($FJ348)/($CV348),""),"")</f>
        <v/>
      </c>
      <c r="FZ348" s="56">
        <f>IFERROR(IF(($CW348)&gt;0,($FK348)/($CW348),""),"")</f>
        <v/>
      </c>
      <c r="GA348" s="56">
        <f>IFERROR(IF(($CU348)&gt;0,($FL348)/($CU348),""),"")</f>
        <v/>
      </c>
      <c r="GB348" s="56">
        <f>IFERROR(IF(($CV348)&gt;0,($FM348)/($CV348),""),"")</f>
        <v/>
      </c>
      <c r="GC348" s="56">
        <f>IFERROR(IF(($CW348)&gt;0,($FN348)/($CW348),""),"")</f>
        <v/>
      </c>
      <c r="GD348" s="56">
        <f>IFERROR(IF(($CU348)&gt;0,($FO348)/($CU348),""),"")</f>
        <v/>
      </c>
      <c r="GE348" s="56">
        <f>IFERROR(IF(($CV348)&gt;0,($FP348)/($CV348),""),"")</f>
        <v/>
      </c>
      <c r="GF348" s="56">
        <f>IFERROR(IF(($CW348)&gt;0,($FQ348)/($CW348),""),"")</f>
        <v/>
      </c>
      <c r="GG348" s="79">
        <f>IFERROR(IF(($CU348)&gt;0,($FR348)/($CU348),""),"")</f>
        <v/>
      </c>
      <c r="GH348" s="79">
        <f>IFERROR(IF(($CV348)&gt;0,($FS348)/($CV348),""),"")</f>
        <v/>
      </c>
      <c r="GI348" s="79">
        <f>IFERROR(IF(($CW348)&gt;0,($FT348)/($CW348),""),"")</f>
        <v/>
      </c>
      <c r="GJ348" s="56">
        <f>IFERROR(IF(($CU348)&gt;0,($FU348)/($CU348),""),"")</f>
        <v/>
      </c>
      <c r="GK348" s="56">
        <f>IFERROR(IF(($CV348)&gt;0,($FV348)/($CV348),""),"")</f>
        <v/>
      </c>
      <c r="GL348" s="56">
        <f>IFERROR(IF(($CW348)&gt;0,($FW348)/($CW348),""),"")</f>
        <v/>
      </c>
      <c r="GM348" s="55">
        <f>IF(SUMIFS(tblPlant[GIC_oz],tblPlant[Date],$A348)&gt;0,SUMIFS(tblPlant[GIC_oz],tblPlant[Date],$A348),"")</f>
        <v/>
      </c>
      <c r="GN348" s="55">
        <f>SUMIFS(tblGold[Gold_oz],tblGold[Date],$A348,tblGold[Type],"Shipment")</f>
        <v/>
      </c>
      <c r="GO348" s="55">
        <f>IF($B348=$B347,$GO347,0)+$GN348</f>
        <v/>
      </c>
      <c r="GP348" s="55">
        <f>$GP347+$GN348</f>
        <v/>
      </c>
      <c r="GQ348" s="55">
        <f>SUMIFS(tblGold[Gold_oz],tblGold[Date],$A348,tblGold[Type],"Sale")</f>
        <v/>
      </c>
      <c r="GR348" s="55">
        <f>IF($B348=$B347,$GR347,0)+$GQ348</f>
        <v/>
      </c>
      <c r="GS348" s="55">
        <f>$GS347+$GQ348</f>
        <v/>
      </c>
      <c r="GT348" s="55">
        <f>SUMIFS(tblGold[Dore_kg],tblGold[Date],$A348,tblGold[Type],"Shipment")</f>
        <v/>
      </c>
      <c r="GU348" s="55">
        <f>IF($B348=$B347,$GU347,0)+$GT348</f>
        <v/>
      </c>
      <c r="GV348" s="55">
        <f>$GV347+$GT348</f>
        <v/>
      </c>
      <c r="GW348" s="57">
        <f>SUMIFS(tblSafety[Hours_Total],tblSafety[Date],$A348)</f>
        <v/>
      </c>
      <c r="GX348" s="57">
        <f>IF($B348=$B347,$GX347,0)+$GW348</f>
        <v/>
      </c>
      <c r="GY348" s="57">
        <f>$GY347+$GW348</f>
        <v/>
      </c>
      <c r="GZ348" s="62">
        <f>SUMIFS(tblSafety[Fatality],tblSafety[Date],$A348)</f>
        <v/>
      </c>
      <c r="HA348" s="62">
        <f>IF($B348=$B347,$HA347,0)+$GZ348</f>
        <v/>
      </c>
      <c r="HB348" s="62">
        <f>$HB347+$GZ348</f>
        <v/>
      </c>
      <c r="HC348" s="62">
        <f>SUMIFS(tblSafety[LTI],tblSafety[Date],$A348)</f>
        <v/>
      </c>
      <c r="HD348" s="62">
        <f>IF($B348=$B347,$HD347,0)+$HC348</f>
        <v/>
      </c>
      <c r="HE348" s="62">
        <f>$HE347+$HC348</f>
        <v/>
      </c>
      <c r="HF348" s="62">
        <f>SUMIFS(tblSafety[RWI],tblSafety[Date],$A348)</f>
        <v/>
      </c>
      <c r="HG348" s="62">
        <f>IF($B348=$B347,$HG347,0)+$HF348</f>
        <v/>
      </c>
      <c r="HH348" s="62">
        <f>$HH347+$HF348</f>
        <v/>
      </c>
      <c r="HI348" s="62">
        <f>SUMIFS(tblSafety[MTI],tblSafety[Date],$A348)</f>
        <v/>
      </c>
      <c r="HJ348" s="62">
        <f>IF($B348=$B347,$HJ347,0)+$HI348</f>
        <v/>
      </c>
      <c r="HK348" s="62">
        <f>$HK347+$HI348</f>
        <v/>
      </c>
      <c r="HL348" s="62">
        <f>SUMIFS(tblSafety[FAI],tblSafety[Date],$A348)</f>
        <v/>
      </c>
      <c r="HM348" s="62">
        <f>IF($B348=$B347,$HM347,0)+$HL348</f>
        <v/>
      </c>
      <c r="HN348" s="62">
        <f>$HN347+$HL348</f>
        <v/>
      </c>
      <c r="HO348" s="62">
        <f>SUMIFS(tblSafety[Recordables],tblSafety[Date],$A348)</f>
        <v/>
      </c>
      <c r="HP348" s="62">
        <f>IF($B348=$B347,$HP347,0)+$HO348</f>
        <v/>
      </c>
      <c r="HQ348" s="62">
        <f>$HQ347+$HO348</f>
        <v/>
      </c>
      <c r="HR348" s="62">
        <f>SUMIFS(tblSafety[Near_Miss],tblSafety[Date],$A348)</f>
        <v/>
      </c>
      <c r="HS348" s="62">
        <f>IF($B348=$B347,$HS347,0)+$HR348</f>
        <v/>
      </c>
      <c r="HT348" s="62">
        <f>$HT347+$HR348</f>
        <v/>
      </c>
      <c r="HU348" s="62">
        <f>SUMIFS(tblSafety[Hazard_Reports],tblSafety[Date],$A348)</f>
        <v/>
      </c>
      <c r="HV348" s="62">
        <f>IF($B348=$B347,$HV347,0)+$HU348</f>
        <v/>
      </c>
      <c r="HW348" s="62">
        <f>$HW347+$HU348</f>
        <v/>
      </c>
      <c r="HX348" s="62">
        <f>SUMIFS(tblSafety[HPI],tblSafety[Date],$A348)</f>
        <v/>
      </c>
      <c r="HY348" s="62">
        <f>IF($B348=$B347,$HY347,0)+$HX348</f>
        <v/>
      </c>
      <c r="HZ348" s="62">
        <f>$HZ347+$HX348</f>
        <v/>
      </c>
      <c r="IA348" s="62">
        <f>SUMIFS(tblSafety[Env_Incidents],tblSafety[Date],$A348)</f>
        <v/>
      </c>
      <c r="IB348" s="62">
        <f>IF($B348=$B347,$IB347,0)+$IA348</f>
        <v/>
      </c>
      <c r="IC348" s="62">
        <f>$IC347+$IA348</f>
        <v/>
      </c>
      <c r="ID348" s="62">
        <f>SUMIFS(tblSafety[Community_Incidents],tblSafety[Date],$A348)</f>
        <v/>
      </c>
      <c r="IE348" s="62">
        <f>IF($B348=$B347,$IE347,0)+$ID348</f>
        <v/>
      </c>
      <c r="IF348" s="62">
        <f>$IF347+$ID348</f>
        <v/>
      </c>
      <c r="IG348" s="62">
        <f>SUMIFS(tblSafety[Vehicle_Incidents],tblSafety[Date],$A348)</f>
        <v/>
      </c>
      <c r="IH348" s="62">
        <f>IF($B348=$B347,$IH347,0)+$IG348</f>
        <v/>
      </c>
      <c r="II348" s="62">
        <f>$II347+$IG348</f>
        <v/>
      </c>
      <c r="IJ348" s="62">
        <f>SUMIFS(tblSafety[Toolbox_Talks],tblSafety[Date],$A348)</f>
        <v/>
      </c>
      <c r="IK348" s="62">
        <f>IF($B348=$B347,$IK347,0)+$IJ348</f>
        <v/>
      </c>
      <c r="IL348" s="62">
        <f>$IL347+$IJ348</f>
        <v/>
      </c>
      <c r="IM348" s="62">
        <f>SUMIFS(tblSafety[Inspections],tblSafety[Date],$A348)</f>
        <v/>
      </c>
      <c r="IN348" s="62">
        <f>IF($B348=$B347,$IN347,0)+$IM348</f>
        <v/>
      </c>
      <c r="IO348" s="62">
        <f>$IO347+$IM348</f>
        <v/>
      </c>
      <c r="IP348" s="56">
        <f>IFERROR((SUMIFS(tblSafety[Recordables],tblSafety[Date],"&gt;="&amp;EDATE($E348,-12),tblSafety[Date],"&lt;="&amp;$A348)+SUMIFS(tblSafetyHistory[Recordables],tblSafetyHistory[Month],"&gt;="&amp;EDATE($E348,-12),tblSafetyHistory[Month],"&lt;"&amp;$E348,tblSafetyHistory[Use],1))/(SUMIFS(tblSafety[Hours_Total],tblSafety[Date],"&gt;="&amp;EDATE($E348,-12),tblSafety[Date],"&lt;="&amp;$A348)+SUMIFS(tblSafetyHistory[Hours_Total],tblSafetyHistory[Month],"&gt;="&amp;EDATE($E348,-12),tblSafetyHistory[Month],"&lt;"&amp;$E348,tblSafetyHistory[Use],1))*cfg_RateBasisHours,"")</f>
        <v/>
      </c>
      <c r="IQ348" s="56">
        <f>IFERROR((SUMIFS(tblSafety[LTI],tblSafety[Date],"&gt;="&amp;EDATE($E348,-12),tblSafety[Date],"&lt;="&amp;$A348)+SUMIFS(tblSafetyHistory[LTI],tblSafetyHistory[Month],"&gt;="&amp;EDATE($E348,-12),tblSafetyHistory[Month],"&lt;"&amp;$E348,tblSafetyHistory[Use],1))/(SUMIFS(tblSafety[Hours_Total],tblSafety[Date],"&gt;="&amp;EDATE($E348,-12),tblSafety[Date],"&lt;="&amp;$A348)+SUMIFS(tblSafetyHistory[Hours_Total],tblSafetyHistory[Month],"&gt;="&amp;EDATE($E348,-12),tblSafetyHistory[Month],"&lt;"&amp;$E348,tblSafetyHistory[Use],1))*cfg_RateBasisHours,"")</f>
        <v/>
      </c>
      <c r="IR348" s="62">
        <f>IF(MAX(N(cfg_PriorLTIDate),_xlfn.MAXIFS(tblSafety[Date],tblSafety[LTI],"&gt;0",tblSafety[Date],"&lt;="&amp;$A348))=0,"",$A348-MAX(N(cfg_PriorLTIDate),_xlfn.MAXIFS(tblSafety[Date],tblSafety[LTI],"&gt;0",tblSafety[Date],"&lt;="&amp;$A348)))</f>
        <v/>
      </c>
      <c r="IS348" s="55">
        <f>SUMIFS(tblBudget[Ore_Mined_t],tblBudget[Month],$E348)</f>
        <v/>
      </c>
      <c r="IT348" s="55">
        <f>$IS348*$C348/$D348</f>
        <v/>
      </c>
      <c r="IU348" s="55">
        <f>SUMIFS(tblBudget[Ore_Mined_t],tblBudget[Month],"&lt;"&amp;$E348)+$IT348</f>
        <v/>
      </c>
      <c r="IV348" s="55">
        <f>SUMIFS(tblBudget[Ore_oz],tblBudget[Month],$E348)</f>
        <v/>
      </c>
      <c r="IW348" s="55">
        <f>$IV348*$C348/$D348</f>
        <v/>
      </c>
      <c r="IX348" s="55">
        <f>SUMIFS(tblBudget[Ore_oz],tblBudget[Month],"&lt;"&amp;$E348)+$IW348</f>
        <v/>
      </c>
      <c r="IY348" s="55">
        <f>SUMIFS(tblBudget[Ore_Mined_t],tblBudget[Month],$E348)</f>
        <v/>
      </c>
      <c r="IZ348" s="55">
        <f>$IY348*$C348/$D348</f>
        <v/>
      </c>
      <c r="JA348" s="55">
        <f>SUMIFS(tblBudget[Ore_Mined_t],tblBudget[Month],"&lt;"&amp;$E348)+$IZ348</f>
        <v/>
      </c>
      <c r="JB348" s="56">
        <f>IFERROR(IF(($IY348)&gt;0,($IV348*cfg_TroyOz)/($IY348),""),"")</f>
        <v/>
      </c>
      <c r="JC348" s="56">
        <f>IFERROR(IF(($IZ348)&gt;0,($IW348*cfg_TroyOz)/($IZ348),""),"")</f>
        <v/>
      </c>
      <c r="JD348" s="56">
        <f>IFERROR(IF(($JA348)&gt;0,($IX348*cfg_TroyOz)/($JA348),""),"")</f>
        <v/>
      </c>
      <c r="JE348" s="55">
        <f>SUMIFS(tblBudget[Waste_t],tblBudget[Month],$E348)</f>
        <v/>
      </c>
      <c r="JF348" s="55">
        <f>$JE348*$C348/$D348</f>
        <v/>
      </c>
      <c r="JG348" s="55">
        <f>SUMIFS(tblBudget[Waste_t],tblBudget[Month],"&lt;"&amp;$E348)+$JF348</f>
        <v/>
      </c>
      <c r="JH348" s="55">
        <f>SUMIFS(tblBudget[TMM_t],tblBudget[Month],$E348)</f>
        <v/>
      </c>
      <c r="JI348" s="55">
        <f>$JH348*$C348/$D348</f>
        <v/>
      </c>
      <c r="JJ348" s="55">
        <f>SUMIFS(tblBudget[TMM_t],tblBudget[Month],"&lt;"&amp;$E348)+$JI348</f>
        <v/>
      </c>
      <c r="JK348" s="56">
        <f>IFERROR(IF(($IS348)&gt;0,($JE348)/($IS348),""),"")</f>
        <v/>
      </c>
      <c r="JL348" s="56">
        <f>IFERROR(IF(($IT348)&gt;0,($JF348)/($IT348),""),"")</f>
        <v/>
      </c>
      <c r="JM348" s="56">
        <f>IFERROR(IF(($IU348)&gt;0,($JG348)/($IU348),""),"")</f>
        <v/>
      </c>
      <c r="JN348" s="55">
        <f>SUMIFS(tblBudget[Drill_m],tblBudget[Month],$E348)</f>
        <v/>
      </c>
      <c r="JO348" s="55">
        <f>$JN348*$C348/$D348</f>
        <v/>
      </c>
      <c r="JP348" s="55">
        <f>SUMIFS(tblBudget[Drill_m],tblBudget[Month],"&lt;"&amp;$E348)+$JO348</f>
        <v/>
      </c>
      <c r="JQ348" s="55">
        <f>SUMIFS(tblBudget[Diesel_L],tblBudget[Month],$E348)</f>
        <v/>
      </c>
      <c r="JR348" s="55">
        <f>$JQ348*$C348/$D348</f>
        <v/>
      </c>
      <c r="JS348" s="55">
        <f>SUMIFS(tblBudget[Diesel_L],tblBudget[Month],"&lt;"&amp;$E348)+$JR348</f>
        <v/>
      </c>
      <c r="JT348" s="55">
        <f>SUMIFS(tblBudget[Milled_t],tblBudget[Month],$E348)</f>
        <v/>
      </c>
      <c r="JU348" s="55">
        <f>$JT348*$C348/$D348</f>
        <v/>
      </c>
      <c r="JV348" s="55">
        <f>SUMIFS(tblBudget[Milled_t],tblBudget[Month],"&lt;"&amp;$E348)+$JU348</f>
        <v/>
      </c>
      <c r="JW348" s="55">
        <f>SUMIFS(tblBudget[Feed_oz],tblBudget[Month],$E348)</f>
        <v/>
      </c>
      <c r="JX348" s="55">
        <f>$JW348*$C348/$D348</f>
        <v/>
      </c>
      <c r="JY348" s="55">
        <f>SUMIFS(tblBudget[Feed_oz],tblBudget[Month],"&lt;"&amp;$E348)+$JX348</f>
        <v/>
      </c>
      <c r="JZ348" s="55">
        <f>SUMIFS(tblBudget[Recovered_oz],tblBudget[Month],$E348)</f>
        <v/>
      </c>
      <c r="KA348" s="55">
        <f>$JZ348*$C348/$D348</f>
        <v/>
      </c>
      <c r="KB348" s="55">
        <f>SUMIFS(tblBudget[Recovered_oz],tblBudget[Month],"&lt;"&amp;$E348)+$KA348</f>
        <v/>
      </c>
      <c r="KC348" s="55">
        <f>SUMIFS(tblBudget[Milled_t],tblBudget[Month],$E348)</f>
        <v/>
      </c>
      <c r="KD348" s="55">
        <f>$KC348*$C348/$D348</f>
        <v/>
      </c>
      <c r="KE348" s="55">
        <f>SUMIFS(tblBudget[Milled_t],tblBudget[Month],"&lt;"&amp;$E348)+$KD348</f>
        <v/>
      </c>
      <c r="KF348" s="55">
        <f>SUMIFS(tblBudget[Feed_oz],tblBudget[Month],$E348)</f>
        <v/>
      </c>
      <c r="KG348" s="55">
        <f>$KF348*$C348/$D348</f>
        <v/>
      </c>
      <c r="KH348" s="55">
        <f>SUMIFS(tblBudget[Feed_oz],tblBudget[Month],"&lt;"&amp;$E348)+$KG348</f>
        <v/>
      </c>
      <c r="KI348" s="56">
        <f>IFERROR(IF(($KC348)&gt;0,($JW348*cfg_TroyOz)/($KC348),""),"")</f>
        <v/>
      </c>
      <c r="KJ348" s="56">
        <f>IFERROR(IF(($KD348)&gt;0,($JX348*cfg_TroyOz)/($KD348),""),"")</f>
        <v/>
      </c>
      <c r="KK348" s="56">
        <f>IFERROR(IF(($KE348)&gt;0,($JY348*cfg_TroyOz)/($KE348),""),"")</f>
        <v/>
      </c>
      <c r="KL348" s="67">
        <f>IFERROR(IF(($KF348)&gt;0,($JZ348)/($KF348),""),"")</f>
        <v/>
      </c>
      <c r="KM348" s="67">
        <f>IFERROR(IF(($KG348)&gt;0,($KA348)/($KG348),""),"")</f>
        <v/>
      </c>
      <c r="KN348" s="67">
        <f>IFERROR(IF(($KH348)&gt;0,($KB348)/($KH348),""),"")</f>
        <v/>
      </c>
      <c r="KO348" s="55">
        <f>SUMIFS(tblBudget[Gold_Poured_oz],tblBudget[Month],$E348)</f>
        <v/>
      </c>
      <c r="KP348" s="55">
        <f>$KO348*$C348/$D348</f>
        <v/>
      </c>
      <c r="KQ348" s="55">
        <f>SUMIFS(tblBudget[Gold_Poured_oz],tblBudget[Month],"&lt;"&amp;$E348)+$KP348</f>
        <v/>
      </c>
      <c r="KR348" s="57">
        <f>SUMIFS(tblBudget[Hours_Worked],tblBudget[Month],$E348)</f>
        <v/>
      </c>
      <c r="KS348" s="57">
        <f>$KR348*$C348/$D348</f>
        <v/>
      </c>
      <c r="KT348" s="57">
        <f>SUMIFS(tblBudget[Hours_Worked],tblBudget[Month],"&lt;"&amp;$E348)+$KS348</f>
        <v/>
      </c>
    </row>
    <row r="349">
      <c r="A349" s="54" t="n">
        <v>46370</v>
      </c>
      <c r="B349">
        <f>MONTH($A349)</f>
        <v/>
      </c>
      <c r="C349">
        <f>DAY($A349)</f>
        <v/>
      </c>
      <c r="D349">
        <f>DAY(EOMONTH($A349,0))</f>
        <v/>
      </c>
      <c r="E349" s="54">
        <f>DATE(YEAR($A349),MONTH($A349),1)</f>
        <v/>
      </c>
      <c r="F349" s="55">
        <f>SUMIFS(tblMovement[Tonnes_t],tblMovement[Date],$A349,tblMovement[Is_Ore],1,tblMovement[Source_Type],"Pit")</f>
        <v/>
      </c>
      <c r="G349" s="55">
        <f>IF($B349=$B348,$G348,0)+$F349</f>
        <v/>
      </c>
      <c r="H349" s="55">
        <f>$H348+$F349</f>
        <v/>
      </c>
      <c r="I349" s="55">
        <f>SUMIFS(tblMovement[Ore_oz],tblMovement[Date],$A349,tblMovement[Source_Type],"Pit")</f>
        <v/>
      </c>
      <c r="J349" s="55">
        <f>IF($B349=$B348,$J348,0)+$I349</f>
        <v/>
      </c>
      <c r="K349" s="55">
        <f>$K348+$I349</f>
        <v/>
      </c>
      <c r="L349" s="55">
        <f>SUMIFS(tblMovement[Tonnes_t],tblMovement[Date],$A349,tblMovement[Is_Ore],1,tblMovement[Source_Type],"Pit",tblMovement[Grade_gpt],"&lt;&gt;")</f>
        <v/>
      </c>
      <c r="M349" s="55">
        <f>IF($B349=$B348,$M348,0)+$L349</f>
        <v/>
      </c>
      <c r="N349" s="55">
        <f>$N348+$L349</f>
        <v/>
      </c>
      <c r="O349" s="56">
        <f>IFERROR(IF(($L349)&gt;0,($I349*cfg_TroyOz)/($L349),""),"")</f>
        <v/>
      </c>
      <c r="P349" s="56">
        <f>IFERROR(IF(($M349)&gt;0,($J349*cfg_TroyOz)/($M349),""),"")</f>
        <v/>
      </c>
      <c r="Q349" s="56">
        <f>IFERROR(IF(($N349)&gt;0,($K349*cfg_TroyOz)/($N349),""),"")</f>
        <v/>
      </c>
      <c r="R349" s="55">
        <f>$F349-$L349</f>
        <v/>
      </c>
      <c r="S349" s="55">
        <f>IF($B349=$B348,$S348,0)+$R349</f>
        <v/>
      </c>
      <c r="T349" s="55">
        <f>$T348+$R349</f>
        <v/>
      </c>
      <c r="U349" s="55">
        <f>SUMIFS(tblMovement[Tonnes_t],tblMovement[Date],$A349,tblMovement[Is_Ore],0,tblMovement[Source_Type],"Pit")</f>
        <v/>
      </c>
      <c r="V349" s="55">
        <f>IF($B349=$B348,$V348,0)+$U349</f>
        <v/>
      </c>
      <c r="W349" s="55">
        <f>$W348+$U349</f>
        <v/>
      </c>
      <c r="X349" s="55">
        <f>$F349+$U349</f>
        <v/>
      </c>
      <c r="Y349" s="55">
        <f>IF($B349=$B348,$Y348,0)+$X349</f>
        <v/>
      </c>
      <c r="Z349" s="55">
        <f>$Z348+$X349</f>
        <v/>
      </c>
      <c r="AA349" s="56">
        <f>IFERROR(IF(($F349)&gt;0,($U349)/($F349),""),"")</f>
        <v/>
      </c>
      <c r="AB349" s="56">
        <f>IFERROR(IF(($G349)&gt;0,($V349)/($G349),""),"")</f>
        <v/>
      </c>
      <c r="AC349" s="56">
        <f>IFERROR(IF(($H349)&gt;0,($W349)/($H349),""),"")</f>
        <v/>
      </c>
      <c r="AD349" s="55">
        <f>SUMIFS(tblMovement[Tonnes_t],tblMovement[Date],$A349,tblMovement[Source_Type],"Stockpile")</f>
        <v/>
      </c>
      <c r="AE349" s="55">
        <f>IF($B349=$B348,$AE348,0)+$AD349</f>
        <v/>
      </c>
      <c r="AF349" s="55">
        <f>$AF348+$AD349</f>
        <v/>
      </c>
      <c r="AG349" s="55">
        <f>SUMIFS(tblMovement[Tonnes_t],tblMovement[Date],$A349)</f>
        <v/>
      </c>
      <c r="AH349" s="55">
        <f>IF($B349=$B348,$AH348,0)+$AG349</f>
        <v/>
      </c>
      <c r="AI349" s="55">
        <f>$AI348+$AG349</f>
        <v/>
      </c>
      <c r="AJ349" s="55">
        <f>$AG349-$X349-$AD349</f>
        <v/>
      </c>
      <c r="AK349" s="55">
        <f>IF($B349=$B348,$AK348,0)+$AJ349</f>
        <v/>
      </c>
      <c r="AL349" s="55">
        <f>$AL348+$AJ349</f>
        <v/>
      </c>
      <c r="AM349" s="55">
        <f>SUMIFS(tblMiningDaily[Drill_m],tblMiningDaily[Date],$A349)</f>
        <v/>
      </c>
      <c r="AN349" s="55">
        <f>IF($B349=$B348,$AN348,0)+$AM349</f>
        <v/>
      </c>
      <c r="AO349" s="55">
        <f>$AO348+$AM349</f>
        <v/>
      </c>
      <c r="AP349" s="55">
        <f>SUMIFS(tblMiningDaily[GC_Drill_m],tblMiningDaily[Date],$A349)</f>
        <v/>
      </c>
      <c r="AQ349" s="55">
        <f>IF($B349=$B348,$AQ348,0)+$AP349</f>
        <v/>
      </c>
      <c r="AR349" s="55">
        <f>$AR348+$AP349</f>
        <v/>
      </c>
      <c r="AS349" s="55">
        <f>SUMIFS(tblMiningDaily[Blast_t],tblMiningDaily[Date],$A349)</f>
        <v/>
      </c>
      <c r="AT349" s="55">
        <f>IF($B349=$B348,$AT348,0)+$AS349</f>
        <v/>
      </c>
      <c r="AU349" s="55">
        <f>$AU348+$AS349</f>
        <v/>
      </c>
      <c r="AV349" s="55">
        <f>SUMIFS(tblMiningDaily[Explosives_kg],tblMiningDaily[Date],$A349)</f>
        <v/>
      </c>
      <c r="AW349" s="55">
        <f>IF($B349=$B348,$AW348,0)+$AV349</f>
        <v/>
      </c>
      <c r="AX349" s="55">
        <f>$AX348+$AV349</f>
        <v/>
      </c>
      <c r="AY349" s="56">
        <f>IFERROR(IF(($AS349)&gt;0,($AV349)/($AS349),""),"")</f>
        <v/>
      </c>
      <c r="AZ349" s="56">
        <f>IFERROR(IF(($AT349)&gt;0,($AW349)/($AT349),""),"")</f>
        <v/>
      </c>
      <c r="BA349" s="56">
        <f>IFERROR(IF(($AU349)&gt;0,($AX349)/($AU349),""),"")</f>
        <v/>
      </c>
      <c r="BB349" s="55">
        <f>SUMIFS(tblMiningDaily[Diesel_L],tblMiningDaily[Date],$A349)</f>
        <v/>
      </c>
      <c r="BC349" s="55">
        <f>IF($B349=$B348,$BC348,0)+$BB349</f>
        <v/>
      </c>
      <c r="BD349" s="55">
        <f>$BD348+$BB349</f>
        <v/>
      </c>
      <c r="BE349" s="55">
        <f>SUMIFS(tblMiningDaily[Dewatering_m3],tblMiningDaily[Date],$A349)</f>
        <v/>
      </c>
      <c r="BF349" s="55">
        <f>IF($B349=$B348,$BF348,0)+$BE349</f>
        <v/>
      </c>
      <c r="BG349" s="55">
        <f>$BG348+$BE349</f>
        <v/>
      </c>
      <c r="BH349" s="57">
        <f>SUMIFS(tblFleet[Calendar_h],tblFleet[Date],$A349,tblFleet[Equipment_Class],"Excavator")</f>
        <v/>
      </c>
      <c r="BI349" s="57">
        <f>IF($B349=$B348,$BI348,0)+$BH349</f>
        <v/>
      </c>
      <c r="BJ349" s="57">
        <f>$BJ348+$BH349</f>
        <v/>
      </c>
      <c r="BK349" s="57">
        <f>SUMIFS(tblFleet[Available_h],tblFleet[Date],$A349,tblFleet[Equipment_Class],"Excavator")</f>
        <v/>
      </c>
      <c r="BL349" s="57">
        <f>IF($B349=$B348,$BL348,0)+$BK349</f>
        <v/>
      </c>
      <c r="BM349" s="57">
        <f>$BM348+$BK349</f>
        <v/>
      </c>
      <c r="BN349" s="57">
        <f>SUMIFS(tblFleet[Operating_h],tblFleet[Date],$A349,tblFleet[Equipment_Class],"Excavator")</f>
        <v/>
      </c>
      <c r="BO349" s="57">
        <f>IF($B349=$B348,$BO348,0)+$BN349</f>
        <v/>
      </c>
      <c r="BP349" s="57">
        <f>$BP348+$BN349</f>
        <v/>
      </c>
      <c r="BQ349" s="67">
        <f>IFERROR(IF(($BH349)&gt;0,($BK349)/($BH349),""),"")</f>
        <v/>
      </c>
      <c r="BR349" s="67">
        <f>IFERROR(IF(($BI349)&gt;0,($BL349)/($BI349),""),"")</f>
        <v/>
      </c>
      <c r="BS349" s="67">
        <f>IFERROR(IF(($BJ349)&gt;0,($BM349)/($BJ349),""),"")</f>
        <v/>
      </c>
      <c r="BT349" s="67">
        <f>IFERROR(IF(($BK349)&gt;0,($BN349)/($BK349),""),"")</f>
        <v/>
      </c>
      <c r="BU349" s="67">
        <f>IFERROR(IF(($BL349)&gt;0,($BO349)/($BL349),""),"")</f>
        <v/>
      </c>
      <c r="BV349" s="67">
        <f>IFERROR(IF(($BM349)&gt;0,($BP349)/($BM349),""),"")</f>
        <v/>
      </c>
      <c r="BW349" s="57">
        <f>SUMIFS(tblFleet[Calendar_h],tblFleet[Date],$A349,tblFleet[Equipment_Class],"Haul Truck")</f>
        <v/>
      </c>
      <c r="BX349" s="57">
        <f>IF($B349=$B348,$BX348,0)+$BW349</f>
        <v/>
      </c>
      <c r="BY349" s="57">
        <f>$BY348+$BW349</f>
        <v/>
      </c>
      <c r="BZ349" s="57">
        <f>SUMIFS(tblFleet[Available_h],tblFleet[Date],$A349,tblFleet[Equipment_Class],"Haul Truck")</f>
        <v/>
      </c>
      <c r="CA349" s="57">
        <f>IF($B349=$B348,$CA348,0)+$BZ349</f>
        <v/>
      </c>
      <c r="CB349" s="57">
        <f>$CB348+$BZ349</f>
        <v/>
      </c>
      <c r="CC349" s="57">
        <f>SUMIFS(tblFleet[Operating_h],tblFleet[Date],$A349,tblFleet[Equipment_Class],"Haul Truck")</f>
        <v/>
      </c>
      <c r="CD349" s="57">
        <f>IF($B349=$B348,$CD348,0)+$CC349</f>
        <v/>
      </c>
      <c r="CE349" s="57">
        <f>$CE348+$CC349</f>
        <v/>
      </c>
      <c r="CF349" s="67">
        <f>IFERROR(IF(($BW349)&gt;0,($BZ349)/($BW349),""),"")</f>
        <v/>
      </c>
      <c r="CG349" s="67">
        <f>IFERROR(IF(($BX349)&gt;0,($CA349)/($BX349),""),"")</f>
        <v/>
      </c>
      <c r="CH349" s="67">
        <f>IFERROR(IF(($BY349)&gt;0,($CB349)/($BY349),""),"")</f>
        <v/>
      </c>
      <c r="CI349" s="67">
        <f>IFERROR(IF(($BZ349)&gt;0,($CC349)/($BZ349),""),"")</f>
        <v/>
      </c>
      <c r="CJ349" s="67">
        <f>IFERROR(IF(($CA349)&gt;0,($CD349)/($CA349),""),"")</f>
        <v/>
      </c>
      <c r="CK349" s="67">
        <f>IFERROR(IF(($CB349)&gt;0,($CE349)/($CB349),""),"")</f>
        <v/>
      </c>
      <c r="CL349" s="55">
        <f>IFERROR(IF(($BN349)&gt;0,($X349+$AD349)/($BN349),""),"")</f>
        <v/>
      </c>
      <c r="CM349" s="55">
        <f>IFERROR(IF(($BO349)&gt;0,($Y349+$AE349)/($BO349),""),"")</f>
        <v/>
      </c>
      <c r="CN349" s="55">
        <f>IFERROR(IF(($BP349)&gt;0,($Z349+$AF349)/($BP349),""),"")</f>
        <v/>
      </c>
      <c r="CO349" s="55">
        <f>IFERROR(IF(($CC349)&gt;0,($X349+$AD349)/($CC349),""),"")</f>
        <v/>
      </c>
      <c r="CP349" s="55">
        <f>IFERROR(IF(($CD349)&gt;0,($Y349+$AE349)/($CD349),""),"")</f>
        <v/>
      </c>
      <c r="CQ349" s="55">
        <f>IFERROR(IF(($CE349)&gt;0,($Z349+$AF349)/($CE349),""),"")</f>
        <v/>
      </c>
      <c r="CR349" s="55">
        <f>SUMIFS(tblPlant[Crushed_t],tblPlant[Date],$A349)</f>
        <v/>
      </c>
      <c r="CS349" s="55">
        <f>IF($B349=$B348,$CS348,0)+$CR349</f>
        <v/>
      </c>
      <c r="CT349" s="55">
        <f>$CT348+$CR349</f>
        <v/>
      </c>
      <c r="CU349" s="55">
        <f>SUMIFS(tblPlant[Milled_t],tblPlant[Date],$A349)</f>
        <v/>
      </c>
      <c r="CV349" s="55">
        <f>IF($B349=$B348,$CV348,0)+$CU349</f>
        <v/>
      </c>
      <c r="CW349" s="55">
        <f>$CW348+$CU349</f>
        <v/>
      </c>
      <c r="CX349" s="55">
        <f>SUMIFS(tblPlant[Feed_oz],tblPlant[Date],$A349)</f>
        <v/>
      </c>
      <c r="CY349" s="55">
        <f>IF($B349=$B348,$CY348,0)+$CX349</f>
        <v/>
      </c>
      <c r="CZ349" s="55">
        <f>$CZ348+$CX349</f>
        <v/>
      </c>
      <c r="DA349" s="55">
        <f>SUMIFS(tblPlant[Tails_oz],tblPlant[Date],$A349)</f>
        <v/>
      </c>
      <c r="DB349" s="55">
        <f>IF($B349=$B348,$DB348,0)+$DA349</f>
        <v/>
      </c>
      <c r="DC349" s="55">
        <f>$DC348+$DA349</f>
        <v/>
      </c>
      <c r="DD349" s="55">
        <f>SUMIFS(tblPlant[Recovered_oz],tblPlant[Date],$A349)</f>
        <v/>
      </c>
      <c r="DE349" s="55">
        <f>IF($B349=$B348,$DE348,0)+$DD349</f>
        <v/>
      </c>
      <c r="DF349" s="55">
        <f>$DF348+$DD349</f>
        <v/>
      </c>
      <c r="DG349" s="55">
        <f>SUMIFS(tblPlant[Milled_t],tblPlant[Date],$A349,tblPlant[Head_Grade_gpt],"&lt;&gt;")</f>
        <v/>
      </c>
      <c r="DH349" s="55">
        <f>IF($B349=$B348,$DH348,0)+$DG349</f>
        <v/>
      </c>
      <c r="DI349" s="55">
        <f>$DI348+$DG349</f>
        <v/>
      </c>
      <c r="DJ349" s="55">
        <f>SUMIFS(tblPlant[Milled_t],tblPlant[Date],$A349,tblPlant[Tails_Grade_gpt],"&lt;&gt;")</f>
        <v/>
      </c>
      <c r="DK349" s="55">
        <f>IF($B349=$B348,$DK348,0)+$DJ349</f>
        <v/>
      </c>
      <c r="DL349" s="55">
        <f>$DL348+$DJ349</f>
        <v/>
      </c>
      <c r="DM349" s="55">
        <f>SUMIFS(tblPlant[Feed_oz],tblPlant[Date],$A349,tblPlant[Tails_Grade_gpt],"&lt;&gt;")</f>
        <v/>
      </c>
      <c r="DN349" s="55">
        <f>IF($B349=$B348,$DN348,0)+$DM349</f>
        <v/>
      </c>
      <c r="DO349" s="55">
        <f>$DO348+$DM349</f>
        <v/>
      </c>
      <c r="DP349" s="55">
        <f>SUMIFS(tblPlant[Milled_t],tblPlant[Date],$A349,tblPlant[Mill_Run_h],"&lt;&gt;")</f>
        <v/>
      </c>
      <c r="DQ349" s="55">
        <f>IF($B349=$B348,$DQ348,0)+$DP349</f>
        <v/>
      </c>
      <c r="DR349" s="55">
        <f>$DR348+$DP349</f>
        <v/>
      </c>
      <c r="DS349" s="56">
        <f>IFERROR(IF(($DG349)&gt;0,($CX349*cfg_TroyOz)/($DG349),""),"")</f>
        <v/>
      </c>
      <c r="DT349" s="56">
        <f>IFERROR(IF(($DH349)&gt;0,($CY349*cfg_TroyOz)/($DH349),""),"")</f>
        <v/>
      </c>
      <c r="DU349" s="56">
        <f>IFERROR(IF(($DI349)&gt;0,($CZ349*cfg_TroyOz)/($DI349),""),"")</f>
        <v/>
      </c>
      <c r="DV349" s="56">
        <f>IFERROR(IF(($DJ349)&gt;0,($DA349*cfg_TroyOz)/($DJ349),""),"")</f>
        <v/>
      </c>
      <c r="DW349" s="56">
        <f>IFERROR(IF(($DK349)&gt;0,($DB349*cfg_TroyOz)/($DK349),""),"")</f>
        <v/>
      </c>
      <c r="DX349" s="56">
        <f>IFERROR(IF(($DL349)&gt;0,($DC349*cfg_TroyOz)/($DL349),""),"")</f>
        <v/>
      </c>
      <c r="DY349" s="67">
        <f>IFERROR(IF(($DM349)&gt;0,($DD349)/($DM349),""),"")</f>
        <v/>
      </c>
      <c r="DZ349" s="67">
        <f>IFERROR(IF(($DN349)&gt;0,($DE349)/($DN349),""),"")</f>
        <v/>
      </c>
      <c r="EA349" s="67">
        <f>IFERROR(IF(($DO349)&gt;0,($DF349)/($DO349),""),"")</f>
        <v/>
      </c>
      <c r="EB349" s="55">
        <f>SUMIFS(tblPlant[Gravity_Gold_oz],tblPlant[Date],$A349)</f>
        <v/>
      </c>
      <c r="EC349" s="55">
        <f>IF($B349=$B348,$EC348,0)+$EB349</f>
        <v/>
      </c>
      <c r="ED349" s="55">
        <f>$ED348+$EB349</f>
        <v/>
      </c>
      <c r="EE349" s="67">
        <f>IFERROR(IF(($DD349)&gt;0,($EB349)/($DD349),""),"")</f>
        <v/>
      </c>
      <c r="EF349" s="67">
        <f>IFERROR(IF(($DE349)&gt;0,($EC349)/($DE349),""),"")</f>
        <v/>
      </c>
      <c r="EG349" s="67">
        <f>IFERROR(IF(($DF349)&gt;0,($ED349)/($DF349),""),"")</f>
        <v/>
      </c>
      <c r="EH349" s="55">
        <f>SUMIFS(tblPlant[Gold_Poured_oz],tblPlant[Date],$A349)</f>
        <v/>
      </c>
      <c r="EI349" s="55">
        <f>IF($B349=$B348,$EI348,0)+$EH349</f>
        <v/>
      </c>
      <c r="EJ349" s="55">
        <f>$EJ348+$EH349</f>
        <v/>
      </c>
      <c r="EK349" s="57">
        <f>SUMIFS(tblPlant[Mill_Run_h],tblPlant[Date],$A349)</f>
        <v/>
      </c>
      <c r="EL349" s="57">
        <f>IF($B349=$B348,$EL348,0)+$EK349</f>
        <v/>
      </c>
      <c r="EM349" s="57">
        <f>$EM348+$EK349</f>
        <v/>
      </c>
      <c r="EN349" s="57">
        <f>SUMIFS(tblPlant[Mill_Planned_Maint_h],tblPlant[Date],$A349)</f>
        <v/>
      </c>
      <c r="EO349" s="57">
        <f>IF($B349=$B348,$EO348,0)+$EN349</f>
        <v/>
      </c>
      <c r="EP349" s="57">
        <f>$EP348+$EN349</f>
        <v/>
      </c>
      <c r="EQ349" s="57">
        <f>SUMIFS(tblPlant[Mill_Unplanned_Down_h],tblPlant[Date],$A349)</f>
        <v/>
      </c>
      <c r="ER349" s="57">
        <f>IF($B349=$B348,$ER348,0)+$EQ349</f>
        <v/>
      </c>
      <c r="ES349" s="57">
        <f>$ES348+$EQ349</f>
        <v/>
      </c>
      <c r="ET349" s="57">
        <f>IF(COUNTIFS(tblPlant[Date],$A349,tblPlant[Mill_Run_h],"&lt;&gt;")+COUNTIFS(tblPlant[Date],$A349,tblPlant[Mill_Planned_Maint_h],"&lt;&gt;")+COUNTIFS(tblPlant[Date],$A349,tblPlant[Mill_Unplanned_Down_h],"&lt;&gt;")&gt;0,cfg_HoursPerDay,0)</f>
        <v/>
      </c>
      <c r="EU349" s="57">
        <f>IF($B349=$B348,$EU348,0)+$ET349</f>
        <v/>
      </c>
      <c r="EV349" s="57">
        <f>$EV348+$ET349</f>
        <v/>
      </c>
      <c r="EW349" s="57">
        <f>SUMIFS(tblPlant[Crusher_Run_h],tblPlant[Date],$A349)</f>
        <v/>
      </c>
      <c r="EX349" s="57">
        <f>IF($B349=$B348,$EX348,0)+$EW349</f>
        <v/>
      </c>
      <c r="EY349" s="57">
        <f>$EY348+$EW349</f>
        <v/>
      </c>
      <c r="EZ349" s="55">
        <f>IFERROR(IF(($EK349)&gt;0,($DP349)/($EK349),""),"")</f>
        <v/>
      </c>
      <c r="FA349" s="55">
        <f>IFERROR(IF(($EL349)&gt;0,($DQ349)/($EL349),""),"")</f>
        <v/>
      </c>
      <c r="FB349" s="55">
        <f>IFERROR(IF(($EM349)&gt;0,($DR349)/($EM349),""),"")</f>
        <v/>
      </c>
      <c r="FC349" s="67">
        <f>IFERROR(IF(($ET349)&gt;0,($ET349-$EN349-$EQ349)/($ET349),""),"")</f>
        <v/>
      </c>
      <c r="FD349" s="67">
        <f>IFERROR(IF(($EU349)&gt;0,($EU349-$EO349-$ER349)/($EU349),""),"")</f>
        <v/>
      </c>
      <c r="FE349" s="67">
        <f>IFERROR(IF(($EV349)&gt;0,($EV349-$EP349-$ES349)/($EV349),""),"")</f>
        <v/>
      </c>
      <c r="FF349" s="67">
        <f>IFERROR(IF(($ET349-$EN349-$EQ349)&gt;0,($EK349)/($ET349-$EN349-$EQ349),""),"")</f>
        <v/>
      </c>
      <c r="FG349" s="67">
        <f>IFERROR(IF(($EU349-$EO349-$ER349)&gt;0,($EL349)/($EU349-$EO349-$ER349),""),"")</f>
        <v/>
      </c>
      <c r="FH349" s="67">
        <f>IFERROR(IF(($EV349-$EP349-$ES349)&gt;0,($EM349)/($EV349-$EP349-$ES349),""),"")</f>
        <v/>
      </c>
      <c r="FI349" s="55">
        <f>SUMIFS(tblPlant[Cyanide_kg],tblPlant[Date],$A349)</f>
        <v/>
      </c>
      <c r="FJ349" s="55">
        <f>IF($B349=$B348,$FJ348,0)+$FI349</f>
        <v/>
      </c>
      <c r="FK349" s="55">
        <f>$FK348+$FI349</f>
        <v/>
      </c>
      <c r="FL349" s="55">
        <f>SUMIFS(tblPlant[Lime_kg],tblPlant[Date],$A349)</f>
        <v/>
      </c>
      <c r="FM349" s="55">
        <f>IF($B349=$B348,$FM348,0)+$FL349</f>
        <v/>
      </c>
      <c r="FN349" s="55">
        <f>$FN348+$FL349</f>
        <v/>
      </c>
      <c r="FO349" s="55">
        <f>SUMIFS(tblPlant[Grinding_Media_kg],tblPlant[Date],$A349)</f>
        <v/>
      </c>
      <c r="FP349" s="55">
        <f>IF($B349=$B348,$FP348,0)+$FO349</f>
        <v/>
      </c>
      <c r="FQ349" s="55">
        <f>$FQ348+$FO349</f>
        <v/>
      </c>
      <c r="FR349" s="55">
        <f>SUMIFS(tblPlant[Power_kWh],tblPlant[Date],$A349)</f>
        <v/>
      </c>
      <c r="FS349" s="55">
        <f>IF($B349=$B348,$FS348,0)+$FR349</f>
        <v/>
      </c>
      <c r="FT349" s="55">
        <f>$FT348+$FR349</f>
        <v/>
      </c>
      <c r="FU349" s="55">
        <f>SUMIFS(tblPlant[Raw_Water_m3],tblPlant[Date],$A349)</f>
        <v/>
      </c>
      <c r="FV349" s="55">
        <f>IF($B349=$B348,$FV348,0)+$FU349</f>
        <v/>
      </c>
      <c r="FW349" s="55">
        <f>$FW348+$FU349</f>
        <v/>
      </c>
      <c r="FX349" s="56">
        <f>IFERROR(IF(($CU349)&gt;0,($FI349)/($CU349),""),"")</f>
        <v/>
      </c>
      <c r="FY349" s="56">
        <f>IFERROR(IF(($CV349)&gt;0,($FJ349)/($CV349),""),"")</f>
        <v/>
      </c>
      <c r="FZ349" s="56">
        <f>IFERROR(IF(($CW349)&gt;0,($FK349)/($CW349),""),"")</f>
        <v/>
      </c>
      <c r="GA349" s="56">
        <f>IFERROR(IF(($CU349)&gt;0,($FL349)/($CU349),""),"")</f>
        <v/>
      </c>
      <c r="GB349" s="56">
        <f>IFERROR(IF(($CV349)&gt;0,($FM349)/($CV349),""),"")</f>
        <v/>
      </c>
      <c r="GC349" s="56">
        <f>IFERROR(IF(($CW349)&gt;0,($FN349)/($CW349),""),"")</f>
        <v/>
      </c>
      <c r="GD349" s="56">
        <f>IFERROR(IF(($CU349)&gt;0,($FO349)/($CU349),""),"")</f>
        <v/>
      </c>
      <c r="GE349" s="56">
        <f>IFERROR(IF(($CV349)&gt;0,($FP349)/($CV349),""),"")</f>
        <v/>
      </c>
      <c r="GF349" s="56">
        <f>IFERROR(IF(($CW349)&gt;0,($FQ349)/($CW349),""),"")</f>
        <v/>
      </c>
      <c r="GG349" s="79">
        <f>IFERROR(IF(($CU349)&gt;0,($FR349)/($CU349),""),"")</f>
        <v/>
      </c>
      <c r="GH349" s="79">
        <f>IFERROR(IF(($CV349)&gt;0,($FS349)/($CV349),""),"")</f>
        <v/>
      </c>
      <c r="GI349" s="79">
        <f>IFERROR(IF(($CW349)&gt;0,($FT349)/($CW349),""),"")</f>
        <v/>
      </c>
      <c r="GJ349" s="56">
        <f>IFERROR(IF(($CU349)&gt;0,($FU349)/($CU349),""),"")</f>
        <v/>
      </c>
      <c r="GK349" s="56">
        <f>IFERROR(IF(($CV349)&gt;0,($FV349)/($CV349),""),"")</f>
        <v/>
      </c>
      <c r="GL349" s="56">
        <f>IFERROR(IF(($CW349)&gt;0,($FW349)/($CW349),""),"")</f>
        <v/>
      </c>
      <c r="GM349" s="55">
        <f>IF(SUMIFS(tblPlant[GIC_oz],tblPlant[Date],$A349)&gt;0,SUMIFS(tblPlant[GIC_oz],tblPlant[Date],$A349),"")</f>
        <v/>
      </c>
      <c r="GN349" s="55">
        <f>SUMIFS(tblGold[Gold_oz],tblGold[Date],$A349,tblGold[Type],"Shipment")</f>
        <v/>
      </c>
      <c r="GO349" s="55">
        <f>IF($B349=$B348,$GO348,0)+$GN349</f>
        <v/>
      </c>
      <c r="GP349" s="55">
        <f>$GP348+$GN349</f>
        <v/>
      </c>
      <c r="GQ349" s="55">
        <f>SUMIFS(tblGold[Gold_oz],tblGold[Date],$A349,tblGold[Type],"Sale")</f>
        <v/>
      </c>
      <c r="GR349" s="55">
        <f>IF($B349=$B348,$GR348,0)+$GQ349</f>
        <v/>
      </c>
      <c r="GS349" s="55">
        <f>$GS348+$GQ349</f>
        <v/>
      </c>
      <c r="GT349" s="55">
        <f>SUMIFS(tblGold[Dore_kg],tblGold[Date],$A349,tblGold[Type],"Shipment")</f>
        <v/>
      </c>
      <c r="GU349" s="55">
        <f>IF($B349=$B348,$GU348,0)+$GT349</f>
        <v/>
      </c>
      <c r="GV349" s="55">
        <f>$GV348+$GT349</f>
        <v/>
      </c>
      <c r="GW349" s="57">
        <f>SUMIFS(tblSafety[Hours_Total],tblSafety[Date],$A349)</f>
        <v/>
      </c>
      <c r="GX349" s="57">
        <f>IF($B349=$B348,$GX348,0)+$GW349</f>
        <v/>
      </c>
      <c r="GY349" s="57">
        <f>$GY348+$GW349</f>
        <v/>
      </c>
      <c r="GZ349" s="62">
        <f>SUMIFS(tblSafety[Fatality],tblSafety[Date],$A349)</f>
        <v/>
      </c>
      <c r="HA349" s="62">
        <f>IF($B349=$B348,$HA348,0)+$GZ349</f>
        <v/>
      </c>
      <c r="HB349" s="62">
        <f>$HB348+$GZ349</f>
        <v/>
      </c>
      <c r="HC349" s="62">
        <f>SUMIFS(tblSafety[LTI],tblSafety[Date],$A349)</f>
        <v/>
      </c>
      <c r="HD349" s="62">
        <f>IF($B349=$B348,$HD348,0)+$HC349</f>
        <v/>
      </c>
      <c r="HE349" s="62">
        <f>$HE348+$HC349</f>
        <v/>
      </c>
      <c r="HF349" s="62">
        <f>SUMIFS(tblSafety[RWI],tblSafety[Date],$A349)</f>
        <v/>
      </c>
      <c r="HG349" s="62">
        <f>IF($B349=$B348,$HG348,0)+$HF349</f>
        <v/>
      </c>
      <c r="HH349" s="62">
        <f>$HH348+$HF349</f>
        <v/>
      </c>
      <c r="HI349" s="62">
        <f>SUMIFS(tblSafety[MTI],tblSafety[Date],$A349)</f>
        <v/>
      </c>
      <c r="HJ349" s="62">
        <f>IF($B349=$B348,$HJ348,0)+$HI349</f>
        <v/>
      </c>
      <c r="HK349" s="62">
        <f>$HK348+$HI349</f>
        <v/>
      </c>
      <c r="HL349" s="62">
        <f>SUMIFS(tblSafety[FAI],tblSafety[Date],$A349)</f>
        <v/>
      </c>
      <c r="HM349" s="62">
        <f>IF($B349=$B348,$HM348,0)+$HL349</f>
        <v/>
      </c>
      <c r="HN349" s="62">
        <f>$HN348+$HL349</f>
        <v/>
      </c>
      <c r="HO349" s="62">
        <f>SUMIFS(tblSafety[Recordables],tblSafety[Date],$A349)</f>
        <v/>
      </c>
      <c r="HP349" s="62">
        <f>IF($B349=$B348,$HP348,0)+$HO349</f>
        <v/>
      </c>
      <c r="HQ349" s="62">
        <f>$HQ348+$HO349</f>
        <v/>
      </c>
      <c r="HR349" s="62">
        <f>SUMIFS(tblSafety[Near_Miss],tblSafety[Date],$A349)</f>
        <v/>
      </c>
      <c r="HS349" s="62">
        <f>IF($B349=$B348,$HS348,0)+$HR349</f>
        <v/>
      </c>
      <c r="HT349" s="62">
        <f>$HT348+$HR349</f>
        <v/>
      </c>
      <c r="HU349" s="62">
        <f>SUMIFS(tblSafety[Hazard_Reports],tblSafety[Date],$A349)</f>
        <v/>
      </c>
      <c r="HV349" s="62">
        <f>IF($B349=$B348,$HV348,0)+$HU349</f>
        <v/>
      </c>
      <c r="HW349" s="62">
        <f>$HW348+$HU349</f>
        <v/>
      </c>
      <c r="HX349" s="62">
        <f>SUMIFS(tblSafety[HPI],tblSafety[Date],$A349)</f>
        <v/>
      </c>
      <c r="HY349" s="62">
        <f>IF($B349=$B348,$HY348,0)+$HX349</f>
        <v/>
      </c>
      <c r="HZ349" s="62">
        <f>$HZ348+$HX349</f>
        <v/>
      </c>
      <c r="IA349" s="62">
        <f>SUMIFS(tblSafety[Env_Incidents],tblSafety[Date],$A349)</f>
        <v/>
      </c>
      <c r="IB349" s="62">
        <f>IF($B349=$B348,$IB348,0)+$IA349</f>
        <v/>
      </c>
      <c r="IC349" s="62">
        <f>$IC348+$IA349</f>
        <v/>
      </c>
      <c r="ID349" s="62">
        <f>SUMIFS(tblSafety[Community_Incidents],tblSafety[Date],$A349)</f>
        <v/>
      </c>
      <c r="IE349" s="62">
        <f>IF($B349=$B348,$IE348,0)+$ID349</f>
        <v/>
      </c>
      <c r="IF349" s="62">
        <f>$IF348+$ID349</f>
        <v/>
      </c>
      <c r="IG349" s="62">
        <f>SUMIFS(tblSafety[Vehicle_Incidents],tblSafety[Date],$A349)</f>
        <v/>
      </c>
      <c r="IH349" s="62">
        <f>IF($B349=$B348,$IH348,0)+$IG349</f>
        <v/>
      </c>
      <c r="II349" s="62">
        <f>$II348+$IG349</f>
        <v/>
      </c>
      <c r="IJ349" s="62">
        <f>SUMIFS(tblSafety[Toolbox_Talks],tblSafety[Date],$A349)</f>
        <v/>
      </c>
      <c r="IK349" s="62">
        <f>IF($B349=$B348,$IK348,0)+$IJ349</f>
        <v/>
      </c>
      <c r="IL349" s="62">
        <f>$IL348+$IJ349</f>
        <v/>
      </c>
      <c r="IM349" s="62">
        <f>SUMIFS(tblSafety[Inspections],tblSafety[Date],$A349)</f>
        <v/>
      </c>
      <c r="IN349" s="62">
        <f>IF($B349=$B348,$IN348,0)+$IM349</f>
        <v/>
      </c>
      <c r="IO349" s="62">
        <f>$IO348+$IM349</f>
        <v/>
      </c>
      <c r="IP349" s="56">
        <f>IFERROR((SUMIFS(tblSafety[Recordables],tblSafety[Date],"&gt;="&amp;EDATE($E349,-12),tblSafety[Date],"&lt;="&amp;$A349)+SUMIFS(tblSafetyHistory[Recordables],tblSafetyHistory[Month],"&gt;="&amp;EDATE($E349,-12),tblSafetyHistory[Month],"&lt;"&amp;$E349,tblSafetyHistory[Use],1))/(SUMIFS(tblSafety[Hours_Total],tblSafety[Date],"&gt;="&amp;EDATE($E349,-12),tblSafety[Date],"&lt;="&amp;$A349)+SUMIFS(tblSafetyHistory[Hours_Total],tblSafetyHistory[Month],"&gt;="&amp;EDATE($E349,-12),tblSafetyHistory[Month],"&lt;"&amp;$E349,tblSafetyHistory[Use],1))*cfg_RateBasisHours,"")</f>
        <v/>
      </c>
      <c r="IQ349" s="56">
        <f>IFERROR((SUMIFS(tblSafety[LTI],tblSafety[Date],"&gt;="&amp;EDATE($E349,-12),tblSafety[Date],"&lt;="&amp;$A349)+SUMIFS(tblSafetyHistory[LTI],tblSafetyHistory[Month],"&gt;="&amp;EDATE($E349,-12),tblSafetyHistory[Month],"&lt;"&amp;$E349,tblSafetyHistory[Use],1))/(SUMIFS(tblSafety[Hours_Total],tblSafety[Date],"&gt;="&amp;EDATE($E349,-12),tblSafety[Date],"&lt;="&amp;$A349)+SUMIFS(tblSafetyHistory[Hours_Total],tblSafetyHistory[Month],"&gt;="&amp;EDATE($E349,-12),tblSafetyHistory[Month],"&lt;"&amp;$E349,tblSafetyHistory[Use],1))*cfg_RateBasisHours,"")</f>
        <v/>
      </c>
      <c r="IR349" s="62">
        <f>IF(MAX(N(cfg_PriorLTIDate),_xlfn.MAXIFS(tblSafety[Date],tblSafety[LTI],"&gt;0",tblSafety[Date],"&lt;="&amp;$A349))=0,"",$A349-MAX(N(cfg_PriorLTIDate),_xlfn.MAXIFS(tblSafety[Date],tblSafety[LTI],"&gt;0",tblSafety[Date],"&lt;="&amp;$A349)))</f>
        <v/>
      </c>
      <c r="IS349" s="55">
        <f>SUMIFS(tblBudget[Ore_Mined_t],tblBudget[Month],$E349)</f>
        <v/>
      </c>
      <c r="IT349" s="55">
        <f>$IS349*$C349/$D349</f>
        <v/>
      </c>
      <c r="IU349" s="55">
        <f>SUMIFS(tblBudget[Ore_Mined_t],tblBudget[Month],"&lt;"&amp;$E349)+$IT349</f>
        <v/>
      </c>
      <c r="IV349" s="55">
        <f>SUMIFS(tblBudget[Ore_oz],tblBudget[Month],$E349)</f>
        <v/>
      </c>
      <c r="IW349" s="55">
        <f>$IV349*$C349/$D349</f>
        <v/>
      </c>
      <c r="IX349" s="55">
        <f>SUMIFS(tblBudget[Ore_oz],tblBudget[Month],"&lt;"&amp;$E349)+$IW349</f>
        <v/>
      </c>
      <c r="IY349" s="55">
        <f>SUMIFS(tblBudget[Ore_Mined_t],tblBudget[Month],$E349)</f>
        <v/>
      </c>
      <c r="IZ349" s="55">
        <f>$IY349*$C349/$D349</f>
        <v/>
      </c>
      <c r="JA349" s="55">
        <f>SUMIFS(tblBudget[Ore_Mined_t],tblBudget[Month],"&lt;"&amp;$E349)+$IZ349</f>
        <v/>
      </c>
      <c r="JB349" s="56">
        <f>IFERROR(IF(($IY349)&gt;0,($IV349*cfg_TroyOz)/($IY349),""),"")</f>
        <v/>
      </c>
      <c r="JC349" s="56">
        <f>IFERROR(IF(($IZ349)&gt;0,($IW349*cfg_TroyOz)/($IZ349),""),"")</f>
        <v/>
      </c>
      <c r="JD349" s="56">
        <f>IFERROR(IF(($JA349)&gt;0,($IX349*cfg_TroyOz)/($JA349),""),"")</f>
        <v/>
      </c>
      <c r="JE349" s="55">
        <f>SUMIFS(tblBudget[Waste_t],tblBudget[Month],$E349)</f>
        <v/>
      </c>
      <c r="JF349" s="55">
        <f>$JE349*$C349/$D349</f>
        <v/>
      </c>
      <c r="JG349" s="55">
        <f>SUMIFS(tblBudget[Waste_t],tblBudget[Month],"&lt;"&amp;$E349)+$JF349</f>
        <v/>
      </c>
      <c r="JH349" s="55">
        <f>SUMIFS(tblBudget[TMM_t],tblBudget[Month],$E349)</f>
        <v/>
      </c>
      <c r="JI349" s="55">
        <f>$JH349*$C349/$D349</f>
        <v/>
      </c>
      <c r="JJ349" s="55">
        <f>SUMIFS(tblBudget[TMM_t],tblBudget[Month],"&lt;"&amp;$E349)+$JI349</f>
        <v/>
      </c>
      <c r="JK349" s="56">
        <f>IFERROR(IF(($IS349)&gt;0,($JE349)/($IS349),""),"")</f>
        <v/>
      </c>
      <c r="JL349" s="56">
        <f>IFERROR(IF(($IT349)&gt;0,($JF349)/($IT349),""),"")</f>
        <v/>
      </c>
      <c r="JM349" s="56">
        <f>IFERROR(IF(($IU349)&gt;0,($JG349)/($IU349),""),"")</f>
        <v/>
      </c>
      <c r="JN349" s="55">
        <f>SUMIFS(tblBudget[Drill_m],tblBudget[Month],$E349)</f>
        <v/>
      </c>
      <c r="JO349" s="55">
        <f>$JN349*$C349/$D349</f>
        <v/>
      </c>
      <c r="JP349" s="55">
        <f>SUMIFS(tblBudget[Drill_m],tblBudget[Month],"&lt;"&amp;$E349)+$JO349</f>
        <v/>
      </c>
      <c r="JQ349" s="55">
        <f>SUMIFS(tblBudget[Diesel_L],tblBudget[Month],$E349)</f>
        <v/>
      </c>
      <c r="JR349" s="55">
        <f>$JQ349*$C349/$D349</f>
        <v/>
      </c>
      <c r="JS349" s="55">
        <f>SUMIFS(tblBudget[Diesel_L],tblBudget[Month],"&lt;"&amp;$E349)+$JR349</f>
        <v/>
      </c>
      <c r="JT349" s="55">
        <f>SUMIFS(tblBudget[Milled_t],tblBudget[Month],$E349)</f>
        <v/>
      </c>
      <c r="JU349" s="55">
        <f>$JT349*$C349/$D349</f>
        <v/>
      </c>
      <c r="JV349" s="55">
        <f>SUMIFS(tblBudget[Milled_t],tblBudget[Month],"&lt;"&amp;$E349)+$JU349</f>
        <v/>
      </c>
      <c r="JW349" s="55">
        <f>SUMIFS(tblBudget[Feed_oz],tblBudget[Month],$E349)</f>
        <v/>
      </c>
      <c r="JX349" s="55">
        <f>$JW349*$C349/$D349</f>
        <v/>
      </c>
      <c r="JY349" s="55">
        <f>SUMIFS(tblBudget[Feed_oz],tblBudget[Month],"&lt;"&amp;$E349)+$JX349</f>
        <v/>
      </c>
      <c r="JZ349" s="55">
        <f>SUMIFS(tblBudget[Recovered_oz],tblBudget[Month],$E349)</f>
        <v/>
      </c>
      <c r="KA349" s="55">
        <f>$JZ349*$C349/$D349</f>
        <v/>
      </c>
      <c r="KB349" s="55">
        <f>SUMIFS(tblBudget[Recovered_oz],tblBudget[Month],"&lt;"&amp;$E349)+$KA349</f>
        <v/>
      </c>
      <c r="KC349" s="55">
        <f>SUMIFS(tblBudget[Milled_t],tblBudget[Month],$E349)</f>
        <v/>
      </c>
      <c r="KD349" s="55">
        <f>$KC349*$C349/$D349</f>
        <v/>
      </c>
      <c r="KE349" s="55">
        <f>SUMIFS(tblBudget[Milled_t],tblBudget[Month],"&lt;"&amp;$E349)+$KD349</f>
        <v/>
      </c>
      <c r="KF349" s="55">
        <f>SUMIFS(tblBudget[Feed_oz],tblBudget[Month],$E349)</f>
        <v/>
      </c>
      <c r="KG349" s="55">
        <f>$KF349*$C349/$D349</f>
        <v/>
      </c>
      <c r="KH349" s="55">
        <f>SUMIFS(tblBudget[Feed_oz],tblBudget[Month],"&lt;"&amp;$E349)+$KG349</f>
        <v/>
      </c>
      <c r="KI349" s="56">
        <f>IFERROR(IF(($KC349)&gt;0,($JW349*cfg_TroyOz)/($KC349),""),"")</f>
        <v/>
      </c>
      <c r="KJ349" s="56">
        <f>IFERROR(IF(($KD349)&gt;0,($JX349*cfg_TroyOz)/($KD349),""),"")</f>
        <v/>
      </c>
      <c r="KK349" s="56">
        <f>IFERROR(IF(($KE349)&gt;0,($JY349*cfg_TroyOz)/($KE349),""),"")</f>
        <v/>
      </c>
      <c r="KL349" s="67">
        <f>IFERROR(IF(($KF349)&gt;0,($JZ349)/($KF349),""),"")</f>
        <v/>
      </c>
      <c r="KM349" s="67">
        <f>IFERROR(IF(($KG349)&gt;0,($KA349)/($KG349),""),"")</f>
        <v/>
      </c>
      <c r="KN349" s="67">
        <f>IFERROR(IF(($KH349)&gt;0,($KB349)/($KH349),""),"")</f>
        <v/>
      </c>
      <c r="KO349" s="55">
        <f>SUMIFS(tblBudget[Gold_Poured_oz],tblBudget[Month],$E349)</f>
        <v/>
      </c>
      <c r="KP349" s="55">
        <f>$KO349*$C349/$D349</f>
        <v/>
      </c>
      <c r="KQ349" s="55">
        <f>SUMIFS(tblBudget[Gold_Poured_oz],tblBudget[Month],"&lt;"&amp;$E349)+$KP349</f>
        <v/>
      </c>
      <c r="KR349" s="57">
        <f>SUMIFS(tblBudget[Hours_Worked],tblBudget[Month],$E349)</f>
        <v/>
      </c>
      <c r="KS349" s="57">
        <f>$KR349*$C349/$D349</f>
        <v/>
      </c>
      <c r="KT349" s="57">
        <f>SUMIFS(tblBudget[Hours_Worked],tblBudget[Month],"&lt;"&amp;$E349)+$KS349</f>
        <v/>
      </c>
    </row>
    <row r="350">
      <c r="A350" s="54" t="n">
        <v>46371</v>
      </c>
      <c r="B350">
        <f>MONTH($A350)</f>
        <v/>
      </c>
      <c r="C350">
        <f>DAY($A350)</f>
        <v/>
      </c>
      <c r="D350">
        <f>DAY(EOMONTH($A350,0))</f>
        <v/>
      </c>
      <c r="E350" s="54">
        <f>DATE(YEAR($A350),MONTH($A350),1)</f>
        <v/>
      </c>
      <c r="F350" s="55">
        <f>SUMIFS(tblMovement[Tonnes_t],tblMovement[Date],$A350,tblMovement[Is_Ore],1,tblMovement[Source_Type],"Pit")</f>
        <v/>
      </c>
      <c r="G350" s="55">
        <f>IF($B350=$B349,$G349,0)+$F350</f>
        <v/>
      </c>
      <c r="H350" s="55">
        <f>$H349+$F350</f>
        <v/>
      </c>
      <c r="I350" s="55">
        <f>SUMIFS(tblMovement[Ore_oz],tblMovement[Date],$A350,tblMovement[Source_Type],"Pit")</f>
        <v/>
      </c>
      <c r="J350" s="55">
        <f>IF($B350=$B349,$J349,0)+$I350</f>
        <v/>
      </c>
      <c r="K350" s="55">
        <f>$K349+$I350</f>
        <v/>
      </c>
      <c r="L350" s="55">
        <f>SUMIFS(tblMovement[Tonnes_t],tblMovement[Date],$A350,tblMovement[Is_Ore],1,tblMovement[Source_Type],"Pit",tblMovement[Grade_gpt],"&lt;&gt;")</f>
        <v/>
      </c>
      <c r="M350" s="55">
        <f>IF($B350=$B349,$M349,0)+$L350</f>
        <v/>
      </c>
      <c r="N350" s="55">
        <f>$N349+$L350</f>
        <v/>
      </c>
      <c r="O350" s="56">
        <f>IFERROR(IF(($L350)&gt;0,($I350*cfg_TroyOz)/($L350),""),"")</f>
        <v/>
      </c>
      <c r="P350" s="56">
        <f>IFERROR(IF(($M350)&gt;0,($J350*cfg_TroyOz)/($M350),""),"")</f>
        <v/>
      </c>
      <c r="Q350" s="56">
        <f>IFERROR(IF(($N350)&gt;0,($K350*cfg_TroyOz)/($N350),""),"")</f>
        <v/>
      </c>
      <c r="R350" s="55">
        <f>$F350-$L350</f>
        <v/>
      </c>
      <c r="S350" s="55">
        <f>IF($B350=$B349,$S349,0)+$R350</f>
        <v/>
      </c>
      <c r="T350" s="55">
        <f>$T349+$R350</f>
        <v/>
      </c>
      <c r="U350" s="55">
        <f>SUMIFS(tblMovement[Tonnes_t],tblMovement[Date],$A350,tblMovement[Is_Ore],0,tblMovement[Source_Type],"Pit")</f>
        <v/>
      </c>
      <c r="V350" s="55">
        <f>IF($B350=$B349,$V349,0)+$U350</f>
        <v/>
      </c>
      <c r="W350" s="55">
        <f>$W349+$U350</f>
        <v/>
      </c>
      <c r="X350" s="55">
        <f>$F350+$U350</f>
        <v/>
      </c>
      <c r="Y350" s="55">
        <f>IF($B350=$B349,$Y349,0)+$X350</f>
        <v/>
      </c>
      <c r="Z350" s="55">
        <f>$Z349+$X350</f>
        <v/>
      </c>
      <c r="AA350" s="56">
        <f>IFERROR(IF(($F350)&gt;0,($U350)/($F350),""),"")</f>
        <v/>
      </c>
      <c r="AB350" s="56">
        <f>IFERROR(IF(($G350)&gt;0,($V350)/($G350),""),"")</f>
        <v/>
      </c>
      <c r="AC350" s="56">
        <f>IFERROR(IF(($H350)&gt;0,($W350)/($H350),""),"")</f>
        <v/>
      </c>
      <c r="AD350" s="55">
        <f>SUMIFS(tblMovement[Tonnes_t],tblMovement[Date],$A350,tblMovement[Source_Type],"Stockpile")</f>
        <v/>
      </c>
      <c r="AE350" s="55">
        <f>IF($B350=$B349,$AE349,0)+$AD350</f>
        <v/>
      </c>
      <c r="AF350" s="55">
        <f>$AF349+$AD350</f>
        <v/>
      </c>
      <c r="AG350" s="55">
        <f>SUMIFS(tblMovement[Tonnes_t],tblMovement[Date],$A350)</f>
        <v/>
      </c>
      <c r="AH350" s="55">
        <f>IF($B350=$B349,$AH349,0)+$AG350</f>
        <v/>
      </c>
      <c r="AI350" s="55">
        <f>$AI349+$AG350</f>
        <v/>
      </c>
      <c r="AJ350" s="55">
        <f>$AG350-$X350-$AD350</f>
        <v/>
      </c>
      <c r="AK350" s="55">
        <f>IF($B350=$B349,$AK349,0)+$AJ350</f>
        <v/>
      </c>
      <c r="AL350" s="55">
        <f>$AL349+$AJ350</f>
        <v/>
      </c>
      <c r="AM350" s="55">
        <f>SUMIFS(tblMiningDaily[Drill_m],tblMiningDaily[Date],$A350)</f>
        <v/>
      </c>
      <c r="AN350" s="55">
        <f>IF($B350=$B349,$AN349,0)+$AM350</f>
        <v/>
      </c>
      <c r="AO350" s="55">
        <f>$AO349+$AM350</f>
        <v/>
      </c>
      <c r="AP350" s="55">
        <f>SUMIFS(tblMiningDaily[GC_Drill_m],tblMiningDaily[Date],$A350)</f>
        <v/>
      </c>
      <c r="AQ350" s="55">
        <f>IF($B350=$B349,$AQ349,0)+$AP350</f>
        <v/>
      </c>
      <c r="AR350" s="55">
        <f>$AR349+$AP350</f>
        <v/>
      </c>
      <c r="AS350" s="55">
        <f>SUMIFS(tblMiningDaily[Blast_t],tblMiningDaily[Date],$A350)</f>
        <v/>
      </c>
      <c r="AT350" s="55">
        <f>IF($B350=$B349,$AT349,0)+$AS350</f>
        <v/>
      </c>
      <c r="AU350" s="55">
        <f>$AU349+$AS350</f>
        <v/>
      </c>
      <c r="AV350" s="55">
        <f>SUMIFS(tblMiningDaily[Explosives_kg],tblMiningDaily[Date],$A350)</f>
        <v/>
      </c>
      <c r="AW350" s="55">
        <f>IF($B350=$B349,$AW349,0)+$AV350</f>
        <v/>
      </c>
      <c r="AX350" s="55">
        <f>$AX349+$AV350</f>
        <v/>
      </c>
      <c r="AY350" s="56">
        <f>IFERROR(IF(($AS350)&gt;0,($AV350)/($AS350),""),"")</f>
        <v/>
      </c>
      <c r="AZ350" s="56">
        <f>IFERROR(IF(($AT350)&gt;0,($AW350)/($AT350),""),"")</f>
        <v/>
      </c>
      <c r="BA350" s="56">
        <f>IFERROR(IF(($AU350)&gt;0,($AX350)/($AU350),""),"")</f>
        <v/>
      </c>
      <c r="BB350" s="55">
        <f>SUMIFS(tblMiningDaily[Diesel_L],tblMiningDaily[Date],$A350)</f>
        <v/>
      </c>
      <c r="BC350" s="55">
        <f>IF($B350=$B349,$BC349,0)+$BB350</f>
        <v/>
      </c>
      <c r="BD350" s="55">
        <f>$BD349+$BB350</f>
        <v/>
      </c>
      <c r="BE350" s="55">
        <f>SUMIFS(tblMiningDaily[Dewatering_m3],tblMiningDaily[Date],$A350)</f>
        <v/>
      </c>
      <c r="BF350" s="55">
        <f>IF($B350=$B349,$BF349,0)+$BE350</f>
        <v/>
      </c>
      <c r="BG350" s="55">
        <f>$BG349+$BE350</f>
        <v/>
      </c>
      <c r="BH350" s="57">
        <f>SUMIFS(tblFleet[Calendar_h],tblFleet[Date],$A350,tblFleet[Equipment_Class],"Excavator")</f>
        <v/>
      </c>
      <c r="BI350" s="57">
        <f>IF($B350=$B349,$BI349,0)+$BH350</f>
        <v/>
      </c>
      <c r="BJ350" s="57">
        <f>$BJ349+$BH350</f>
        <v/>
      </c>
      <c r="BK350" s="57">
        <f>SUMIFS(tblFleet[Available_h],tblFleet[Date],$A350,tblFleet[Equipment_Class],"Excavator")</f>
        <v/>
      </c>
      <c r="BL350" s="57">
        <f>IF($B350=$B349,$BL349,0)+$BK350</f>
        <v/>
      </c>
      <c r="BM350" s="57">
        <f>$BM349+$BK350</f>
        <v/>
      </c>
      <c r="BN350" s="57">
        <f>SUMIFS(tblFleet[Operating_h],tblFleet[Date],$A350,tblFleet[Equipment_Class],"Excavator")</f>
        <v/>
      </c>
      <c r="BO350" s="57">
        <f>IF($B350=$B349,$BO349,0)+$BN350</f>
        <v/>
      </c>
      <c r="BP350" s="57">
        <f>$BP349+$BN350</f>
        <v/>
      </c>
      <c r="BQ350" s="67">
        <f>IFERROR(IF(($BH350)&gt;0,($BK350)/($BH350),""),"")</f>
        <v/>
      </c>
      <c r="BR350" s="67">
        <f>IFERROR(IF(($BI350)&gt;0,($BL350)/($BI350),""),"")</f>
        <v/>
      </c>
      <c r="BS350" s="67">
        <f>IFERROR(IF(($BJ350)&gt;0,($BM350)/($BJ350),""),"")</f>
        <v/>
      </c>
      <c r="BT350" s="67">
        <f>IFERROR(IF(($BK350)&gt;0,($BN350)/($BK350),""),"")</f>
        <v/>
      </c>
      <c r="BU350" s="67">
        <f>IFERROR(IF(($BL350)&gt;0,($BO350)/($BL350),""),"")</f>
        <v/>
      </c>
      <c r="BV350" s="67">
        <f>IFERROR(IF(($BM350)&gt;0,($BP350)/($BM350),""),"")</f>
        <v/>
      </c>
      <c r="BW350" s="57">
        <f>SUMIFS(tblFleet[Calendar_h],tblFleet[Date],$A350,tblFleet[Equipment_Class],"Haul Truck")</f>
        <v/>
      </c>
      <c r="BX350" s="57">
        <f>IF($B350=$B349,$BX349,0)+$BW350</f>
        <v/>
      </c>
      <c r="BY350" s="57">
        <f>$BY349+$BW350</f>
        <v/>
      </c>
      <c r="BZ350" s="57">
        <f>SUMIFS(tblFleet[Available_h],tblFleet[Date],$A350,tblFleet[Equipment_Class],"Haul Truck")</f>
        <v/>
      </c>
      <c r="CA350" s="57">
        <f>IF($B350=$B349,$CA349,0)+$BZ350</f>
        <v/>
      </c>
      <c r="CB350" s="57">
        <f>$CB349+$BZ350</f>
        <v/>
      </c>
      <c r="CC350" s="57">
        <f>SUMIFS(tblFleet[Operating_h],tblFleet[Date],$A350,tblFleet[Equipment_Class],"Haul Truck")</f>
        <v/>
      </c>
      <c r="CD350" s="57">
        <f>IF($B350=$B349,$CD349,0)+$CC350</f>
        <v/>
      </c>
      <c r="CE350" s="57">
        <f>$CE349+$CC350</f>
        <v/>
      </c>
      <c r="CF350" s="67">
        <f>IFERROR(IF(($BW350)&gt;0,($BZ350)/($BW350),""),"")</f>
        <v/>
      </c>
      <c r="CG350" s="67">
        <f>IFERROR(IF(($BX350)&gt;0,($CA350)/($BX350),""),"")</f>
        <v/>
      </c>
      <c r="CH350" s="67">
        <f>IFERROR(IF(($BY350)&gt;0,($CB350)/($BY350),""),"")</f>
        <v/>
      </c>
      <c r="CI350" s="67">
        <f>IFERROR(IF(($BZ350)&gt;0,($CC350)/($BZ350),""),"")</f>
        <v/>
      </c>
      <c r="CJ350" s="67">
        <f>IFERROR(IF(($CA350)&gt;0,($CD350)/($CA350),""),"")</f>
        <v/>
      </c>
      <c r="CK350" s="67">
        <f>IFERROR(IF(($CB350)&gt;0,($CE350)/($CB350),""),"")</f>
        <v/>
      </c>
      <c r="CL350" s="55">
        <f>IFERROR(IF(($BN350)&gt;0,($X350+$AD350)/($BN350),""),"")</f>
        <v/>
      </c>
      <c r="CM350" s="55">
        <f>IFERROR(IF(($BO350)&gt;0,($Y350+$AE350)/($BO350),""),"")</f>
        <v/>
      </c>
      <c r="CN350" s="55">
        <f>IFERROR(IF(($BP350)&gt;0,($Z350+$AF350)/($BP350),""),"")</f>
        <v/>
      </c>
      <c r="CO350" s="55">
        <f>IFERROR(IF(($CC350)&gt;0,($X350+$AD350)/($CC350),""),"")</f>
        <v/>
      </c>
      <c r="CP350" s="55">
        <f>IFERROR(IF(($CD350)&gt;0,($Y350+$AE350)/($CD350),""),"")</f>
        <v/>
      </c>
      <c r="CQ350" s="55">
        <f>IFERROR(IF(($CE350)&gt;0,($Z350+$AF350)/($CE350),""),"")</f>
        <v/>
      </c>
      <c r="CR350" s="55">
        <f>SUMIFS(tblPlant[Crushed_t],tblPlant[Date],$A350)</f>
        <v/>
      </c>
      <c r="CS350" s="55">
        <f>IF($B350=$B349,$CS349,0)+$CR350</f>
        <v/>
      </c>
      <c r="CT350" s="55">
        <f>$CT349+$CR350</f>
        <v/>
      </c>
      <c r="CU350" s="55">
        <f>SUMIFS(tblPlant[Milled_t],tblPlant[Date],$A350)</f>
        <v/>
      </c>
      <c r="CV350" s="55">
        <f>IF($B350=$B349,$CV349,0)+$CU350</f>
        <v/>
      </c>
      <c r="CW350" s="55">
        <f>$CW349+$CU350</f>
        <v/>
      </c>
      <c r="CX350" s="55">
        <f>SUMIFS(tblPlant[Feed_oz],tblPlant[Date],$A350)</f>
        <v/>
      </c>
      <c r="CY350" s="55">
        <f>IF($B350=$B349,$CY349,0)+$CX350</f>
        <v/>
      </c>
      <c r="CZ350" s="55">
        <f>$CZ349+$CX350</f>
        <v/>
      </c>
      <c r="DA350" s="55">
        <f>SUMIFS(tblPlant[Tails_oz],tblPlant[Date],$A350)</f>
        <v/>
      </c>
      <c r="DB350" s="55">
        <f>IF($B350=$B349,$DB349,0)+$DA350</f>
        <v/>
      </c>
      <c r="DC350" s="55">
        <f>$DC349+$DA350</f>
        <v/>
      </c>
      <c r="DD350" s="55">
        <f>SUMIFS(tblPlant[Recovered_oz],tblPlant[Date],$A350)</f>
        <v/>
      </c>
      <c r="DE350" s="55">
        <f>IF($B350=$B349,$DE349,0)+$DD350</f>
        <v/>
      </c>
      <c r="DF350" s="55">
        <f>$DF349+$DD350</f>
        <v/>
      </c>
      <c r="DG350" s="55">
        <f>SUMIFS(tblPlant[Milled_t],tblPlant[Date],$A350,tblPlant[Head_Grade_gpt],"&lt;&gt;")</f>
        <v/>
      </c>
      <c r="DH350" s="55">
        <f>IF($B350=$B349,$DH349,0)+$DG350</f>
        <v/>
      </c>
      <c r="DI350" s="55">
        <f>$DI349+$DG350</f>
        <v/>
      </c>
      <c r="DJ350" s="55">
        <f>SUMIFS(tblPlant[Milled_t],tblPlant[Date],$A350,tblPlant[Tails_Grade_gpt],"&lt;&gt;")</f>
        <v/>
      </c>
      <c r="DK350" s="55">
        <f>IF($B350=$B349,$DK349,0)+$DJ350</f>
        <v/>
      </c>
      <c r="DL350" s="55">
        <f>$DL349+$DJ350</f>
        <v/>
      </c>
      <c r="DM350" s="55">
        <f>SUMIFS(tblPlant[Feed_oz],tblPlant[Date],$A350,tblPlant[Tails_Grade_gpt],"&lt;&gt;")</f>
        <v/>
      </c>
      <c r="DN350" s="55">
        <f>IF($B350=$B349,$DN349,0)+$DM350</f>
        <v/>
      </c>
      <c r="DO350" s="55">
        <f>$DO349+$DM350</f>
        <v/>
      </c>
      <c r="DP350" s="55">
        <f>SUMIFS(tblPlant[Milled_t],tblPlant[Date],$A350,tblPlant[Mill_Run_h],"&lt;&gt;")</f>
        <v/>
      </c>
      <c r="DQ350" s="55">
        <f>IF($B350=$B349,$DQ349,0)+$DP350</f>
        <v/>
      </c>
      <c r="DR350" s="55">
        <f>$DR349+$DP350</f>
        <v/>
      </c>
      <c r="DS350" s="56">
        <f>IFERROR(IF(($DG350)&gt;0,($CX350*cfg_TroyOz)/($DG350),""),"")</f>
        <v/>
      </c>
      <c r="DT350" s="56">
        <f>IFERROR(IF(($DH350)&gt;0,($CY350*cfg_TroyOz)/($DH350),""),"")</f>
        <v/>
      </c>
      <c r="DU350" s="56">
        <f>IFERROR(IF(($DI350)&gt;0,($CZ350*cfg_TroyOz)/($DI350),""),"")</f>
        <v/>
      </c>
      <c r="DV350" s="56">
        <f>IFERROR(IF(($DJ350)&gt;0,($DA350*cfg_TroyOz)/($DJ350),""),"")</f>
        <v/>
      </c>
      <c r="DW350" s="56">
        <f>IFERROR(IF(($DK350)&gt;0,($DB350*cfg_TroyOz)/($DK350),""),"")</f>
        <v/>
      </c>
      <c r="DX350" s="56">
        <f>IFERROR(IF(($DL350)&gt;0,($DC350*cfg_TroyOz)/($DL350),""),"")</f>
        <v/>
      </c>
      <c r="DY350" s="67">
        <f>IFERROR(IF(($DM350)&gt;0,($DD350)/($DM350),""),"")</f>
        <v/>
      </c>
      <c r="DZ350" s="67">
        <f>IFERROR(IF(($DN350)&gt;0,($DE350)/($DN350),""),"")</f>
        <v/>
      </c>
      <c r="EA350" s="67">
        <f>IFERROR(IF(($DO350)&gt;0,($DF350)/($DO350),""),"")</f>
        <v/>
      </c>
      <c r="EB350" s="55">
        <f>SUMIFS(tblPlant[Gravity_Gold_oz],tblPlant[Date],$A350)</f>
        <v/>
      </c>
      <c r="EC350" s="55">
        <f>IF($B350=$B349,$EC349,0)+$EB350</f>
        <v/>
      </c>
      <c r="ED350" s="55">
        <f>$ED349+$EB350</f>
        <v/>
      </c>
      <c r="EE350" s="67">
        <f>IFERROR(IF(($DD350)&gt;0,($EB350)/($DD350),""),"")</f>
        <v/>
      </c>
      <c r="EF350" s="67">
        <f>IFERROR(IF(($DE350)&gt;0,($EC350)/($DE350),""),"")</f>
        <v/>
      </c>
      <c r="EG350" s="67">
        <f>IFERROR(IF(($DF350)&gt;0,($ED350)/($DF350),""),"")</f>
        <v/>
      </c>
      <c r="EH350" s="55">
        <f>SUMIFS(tblPlant[Gold_Poured_oz],tblPlant[Date],$A350)</f>
        <v/>
      </c>
      <c r="EI350" s="55">
        <f>IF($B350=$B349,$EI349,0)+$EH350</f>
        <v/>
      </c>
      <c r="EJ350" s="55">
        <f>$EJ349+$EH350</f>
        <v/>
      </c>
      <c r="EK350" s="57">
        <f>SUMIFS(tblPlant[Mill_Run_h],tblPlant[Date],$A350)</f>
        <v/>
      </c>
      <c r="EL350" s="57">
        <f>IF($B350=$B349,$EL349,0)+$EK350</f>
        <v/>
      </c>
      <c r="EM350" s="57">
        <f>$EM349+$EK350</f>
        <v/>
      </c>
      <c r="EN350" s="57">
        <f>SUMIFS(tblPlant[Mill_Planned_Maint_h],tblPlant[Date],$A350)</f>
        <v/>
      </c>
      <c r="EO350" s="57">
        <f>IF($B350=$B349,$EO349,0)+$EN350</f>
        <v/>
      </c>
      <c r="EP350" s="57">
        <f>$EP349+$EN350</f>
        <v/>
      </c>
      <c r="EQ350" s="57">
        <f>SUMIFS(tblPlant[Mill_Unplanned_Down_h],tblPlant[Date],$A350)</f>
        <v/>
      </c>
      <c r="ER350" s="57">
        <f>IF($B350=$B349,$ER349,0)+$EQ350</f>
        <v/>
      </c>
      <c r="ES350" s="57">
        <f>$ES349+$EQ350</f>
        <v/>
      </c>
      <c r="ET350" s="57">
        <f>IF(COUNTIFS(tblPlant[Date],$A350,tblPlant[Mill_Run_h],"&lt;&gt;")+COUNTIFS(tblPlant[Date],$A350,tblPlant[Mill_Planned_Maint_h],"&lt;&gt;")+COUNTIFS(tblPlant[Date],$A350,tblPlant[Mill_Unplanned_Down_h],"&lt;&gt;")&gt;0,cfg_HoursPerDay,0)</f>
        <v/>
      </c>
      <c r="EU350" s="57">
        <f>IF($B350=$B349,$EU349,0)+$ET350</f>
        <v/>
      </c>
      <c r="EV350" s="57">
        <f>$EV349+$ET350</f>
        <v/>
      </c>
      <c r="EW350" s="57">
        <f>SUMIFS(tblPlant[Crusher_Run_h],tblPlant[Date],$A350)</f>
        <v/>
      </c>
      <c r="EX350" s="57">
        <f>IF($B350=$B349,$EX349,0)+$EW350</f>
        <v/>
      </c>
      <c r="EY350" s="57">
        <f>$EY349+$EW350</f>
        <v/>
      </c>
      <c r="EZ350" s="55">
        <f>IFERROR(IF(($EK350)&gt;0,($DP350)/($EK350),""),"")</f>
        <v/>
      </c>
      <c r="FA350" s="55">
        <f>IFERROR(IF(($EL350)&gt;0,($DQ350)/($EL350),""),"")</f>
        <v/>
      </c>
      <c r="FB350" s="55">
        <f>IFERROR(IF(($EM350)&gt;0,($DR350)/($EM350),""),"")</f>
        <v/>
      </c>
      <c r="FC350" s="67">
        <f>IFERROR(IF(($ET350)&gt;0,($ET350-$EN350-$EQ350)/($ET350),""),"")</f>
        <v/>
      </c>
      <c r="FD350" s="67">
        <f>IFERROR(IF(($EU350)&gt;0,($EU350-$EO350-$ER350)/($EU350),""),"")</f>
        <v/>
      </c>
      <c r="FE350" s="67">
        <f>IFERROR(IF(($EV350)&gt;0,($EV350-$EP350-$ES350)/($EV350),""),"")</f>
        <v/>
      </c>
      <c r="FF350" s="67">
        <f>IFERROR(IF(($ET350-$EN350-$EQ350)&gt;0,($EK350)/($ET350-$EN350-$EQ350),""),"")</f>
        <v/>
      </c>
      <c r="FG350" s="67">
        <f>IFERROR(IF(($EU350-$EO350-$ER350)&gt;0,($EL350)/($EU350-$EO350-$ER350),""),"")</f>
        <v/>
      </c>
      <c r="FH350" s="67">
        <f>IFERROR(IF(($EV350-$EP350-$ES350)&gt;0,($EM350)/($EV350-$EP350-$ES350),""),"")</f>
        <v/>
      </c>
      <c r="FI350" s="55">
        <f>SUMIFS(tblPlant[Cyanide_kg],tblPlant[Date],$A350)</f>
        <v/>
      </c>
      <c r="FJ350" s="55">
        <f>IF($B350=$B349,$FJ349,0)+$FI350</f>
        <v/>
      </c>
      <c r="FK350" s="55">
        <f>$FK349+$FI350</f>
        <v/>
      </c>
      <c r="FL350" s="55">
        <f>SUMIFS(tblPlant[Lime_kg],tblPlant[Date],$A350)</f>
        <v/>
      </c>
      <c r="FM350" s="55">
        <f>IF($B350=$B349,$FM349,0)+$FL350</f>
        <v/>
      </c>
      <c r="FN350" s="55">
        <f>$FN349+$FL350</f>
        <v/>
      </c>
      <c r="FO350" s="55">
        <f>SUMIFS(tblPlant[Grinding_Media_kg],tblPlant[Date],$A350)</f>
        <v/>
      </c>
      <c r="FP350" s="55">
        <f>IF($B350=$B349,$FP349,0)+$FO350</f>
        <v/>
      </c>
      <c r="FQ350" s="55">
        <f>$FQ349+$FO350</f>
        <v/>
      </c>
      <c r="FR350" s="55">
        <f>SUMIFS(tblPlant[Power_kWh],tblPlant[Date],$A350)</f>
        <v/>
      </c>
      <c r="FS350" s="55">
        <f>IF($B350=$B349,$FS349,0)+$FR350</f>
        <v/>
      </c>
      <c r="FT350" s="55">
        <f>$FT349+$FR350</f>
        <v/>
      </c>
      <c r="FU350" s="55">
        <f>SUMIFS(tblPlant[Raw_Water_m3],tblPlant[Date],$A350)</f>
        <v/>
      </c>
      <c r="FV350" s="55">
        <f>IF($B350=$B349,$FV349,0)+$FU350</f>
        <v/>
      </c>
      <c r="FW350" s="55">
        <f>$FW349+$FU350</f>
        <v/>
      </c>
      <c r="FX350" s="56">
        <f>IFERROR(IF(($CU350)&gt;0,($FI350)/($CU350),""),"")</f>
        <v/>
      </c>
      <c r="FY350" s="56">
        <f>IFERROR(IF(($CV350)&gt;0,($FJ350)/($CV350),""),"")</f>
        <v/>
      </c>
      <c r="FZ350" s="56">
        <f>IFERROR(IF(($CW350)&gt;0,($FK350)/($CW350),""),"")</f>
        <v/>
      </c>
      <c r="GA350" s="56">
        <f>IFERROR(IF(($CU350)&gt;0,($FL350)/($CU350),""),"")</f>
        <v/>
      </c>
      <c r="GB350" s="56">
        <f>IFERROR(IF(($CV350)&gt;0,($FM350)/($CV350),""),"")</f>
        <v/>
      </c>
      <c r="GC350" s="56">
        <f>IFERROR(IF(($CW350)&gt;0,($FN350)/($CW350),""),"")</f>
        <v/>
      </c>
      <c r="GD350" s="56">
        <f>IFERROR(IF(($CU350)&gt;0,($FO350)/($CU350),""),"")</f>
        <v/>
      </c>
      <c r="GE350" s="56">
        <f>IFERROR(IF(($CV350)&gt;0,($FP350)/($CV350),""),"")</f>
        <v/>
      </c>
      <c r="GF350" s="56">
        <f>IFERROR(IF(($CW350)&gt;0,($FQ350)/($CW350),""),"")</f>
        <v/>
      </c>
      <c r="GG350" s="79">
        <f>IFERROR(IF(($CU350)&gt;0,($FR350)/($CU350),""),"")</f>
        <v/>
      </c>
      <c r="GH350" s="79">
        <f>IFERROR(IF(($CV350)&gt;0,($FS350)/($CV350),""),"")</f>
        <v/>
      </c>
      <c r="GI350" s="79">
        <f>IFERROR(IF(($CW350)&gt;0,($FT350)/($CW350),""),"")</f>
        <v/>
      </c>
      <c r="GJ350" s="56">
        <f>IFERROR(IF(($CU350)&gt;0,($FU350)/($CU350),""),"")</f>
        <v/>
      </c>
      <c r="GK350" s="56">
        <f>IFERROR(IF(($CV350)&gt;0,($FV350)/($CV350),""),"")</f>
        <v/>
      </c>
      <c r="GL350" s="56">
        <f>IFERROR(IF(($CW350)&gt;0,($FW350)/($CW350),""),"")</f>
        <v/>
      </c>
      <c r="GM350" s="55">
        <f>IF(SUMIFS(tblPlant[GIC_oz],tblPlant[Date],$A350)&gt;0,SUMIFS(tblPlant[GIC_oz],tblPlant[Date],$A350),"")</f>
        <v/>
      </c>
      <c r="GN350" s="55">
        <f>SUMIFS(tblGold[Gold_oz],tblGold[Date],$A350,tblGold[Type],"Shipment")</f>
        <v/>
      </c>
      <c r="GO350" s="55">
        <f>IF($B350=$B349,$GO349,0)+$GN350</f>
        <v/>
      </c>
      <c r="GP350" s="55">
        <f>$GP349+$GN350</f>
        <v/>
      </c>
      <c r="GQ350" s="55">
        <f>SUMIFS(tblGold[Gold_oz],tblGold[Date],$A350,tblGold[Type],"Sale")</f>
        <v/>
      </c>
      <c r="GR350" s="55">
        <f>IF($B350=$B349,$GR349,0)+$GQ350</f>
        <v/>
      </c>
      <c r="GS350" s="55">
        <f>$GS349+$GQ350</f>
        <v/>
      </c>
      <c r="GT350" s="55">
        <f>SUMIFS(tblGold[Dore_kg],tblGold[Date],$A350,tblGold[Type],"Shipment")</f>
        <v/>
      </c>
      <c r="GU350" s="55">
        <f>IF($B350=$B349,$GU349,0)+$GT350</f>
        <v/>
      </c>
      <c r="GV350" s="55">
        <f>$GV349+$GT350</f>
        <v/>
      </c>
      <c r="GW350" s="57">
        <f>SUMIFS(tblSafety[Hours_Total],tblSafety[Date],$A350)</f>
        <v/>
      </c>
      <c r="GX350" s="57">
        <f>IF($B350=$B349,$GX349,0)+$GW350</f>
        <v/>
      </c>
      <c r="GY350" s="57">
        <f>$GY349+$GW350</f>
        <v/>
      </c>
      <c r="GZ350" s="62">
        <f>SUMIFS(tblSafety[Fatality],tblSafety[Date],$A350)</f>
        <v/>
      </c>
      <c r="HA350" s="62">
        <f>IF($B350=$B349,$HA349,0)+$GZ350</f>
        <v/>
      </c>
      <c r="HB350" s="62">
        <f>$HB349+$GZ350</f>
        <v/>
      </c>
      <c r="HC350" s="62">
        <f>SUMIFS(tblSafety[LTI],tblSafety[Date],$A350)</f>
        <v/>
      </c>
      <c r="HD350" s="62">
        <f>IF($B350=$B349,$HD349,0)+$HC350</f>
        <v/>
      </c>
      <c r="HE350" s="62">
        <f>$HE349+$HC350</f>
        <v/>
      </c>
      <c r="HF350" s="62">
        <f>SUMIFS(tblSafety[RWI],tblSafety[Date],$A350)</f>
        <v/>
      </c>
      <c r="HG350" s="62">
        <f>IF($B350=$B349,$HG349,0)+$HF350</f>
        <v/>
      </c>
      <c r="HH350" s="62">
        <f>$HH349+$HF350</f>
        <v/>
      </c>
      <c r="HI350" s="62">
        <f>SUMIFS(tblSafety[MTI],tblSafety[Date],$A350)</f>
        <v/>
      </c>
      <c r="HJ350" s="62">
        <f>IF($B350=$B349,$HJ349,0)+$HI350</f>
        <v/>
      </c>
      <c r="HK350" s="62">
        <f>$HK349+$HI350</f>
        <v/>
      </c>
      <c r="HL350" s="62">
        <f>SUMIFS(tblSafety[FAI],tblSafety[Date],$A350)</f>
        <v/>
      </c>
      <c r="HM350" s="62">
        <f>IF($B350=$B349,$HM349,0)+$HL350</f>
        <v/>
      </c>
      <c r="HN350" s="62">
        <f>$HN349+$HL350</f>
        <v/>
      </c>
      <c r="HO350" s="62">
        <f>SUMIFS(tblSafety[Recordables],tblSafety[Date],$A350)</f>
        <v/>
      </c>
      <c r="HP350" s="62">
        <f>IF($B350=$B349,$HP349,0)+$HO350</f>
        <v/>
      </c>
      <c r="HQ350" s="62">
        <f>$HQ349+$HO350</f>
        <v/>
      </c>
      <c r="HR350" s="62">
        <f>SUMIFS(tblSafety[Near_Miss],tblSafety[Date],$A350)</f>
        <v/>
      </c>
      <c r="HS350" s="62">
        <f>IF($B350=$B349,$HS349,0)+$HR350</f>
        <v/>
      </c>
      <c r="HT350" s="62">
        <f>$HT349+$HR350</f>
        <v/>
      </c>
      <c r="HU350" s="62">
        <f>SUMIFS(tblSafety[Hazard_Reports],tblSafety[Date],$A350)</f>
        <v/>
      </c>
      <c r="HV350" s="62">
        <f>IF($B350=$B349,$HV349,0)+$HU350</f>
        <v/>
      </c>
      <c r="HW350" s="62">
        <f>$HW349+$HU350</f>
        <v/>
      </c>
      <c r="HX350" s="62">
        <f>SUMIFS(tblSafety[HPI],tblSafety[Date],$A350)</f>
        <v/>
      </c>
      <c r="HY350" s="62">
        <f>IF($B350=$B349,$HY349,0)+$HX350</f>
        <v/>
      </c>
      <c r="HZ350" s="62">
        <f>$HZ349+$HX350</f>
        <v/>
      </c>
      <c r="IA350" s="62">
        <f>SUMIFS(tblSafety[Env_Incidents],tblSafety[Date],$A350)</f>
        <v/>
      </c>
      <c r="IB350" s="62">
        <f>IF($B350=$B349,$IB349,0)+$IA350</f>
        <v/>
      </c>
      <c r="IC350" s="62">
        <f>$IC349+$IA350</f>
        <v/>
      </c>
      <c r="ID350" s="62">
        <f>SUMIFS(tblSafety[Community_Incidents],tblSafety[Date],$A350)</f>
        <v/>
      </c>
      <c r="IE350" s="62">
        <f>IF($B350=$B349,$IE349,0)+$ID350</f>
        <v/>
      </c>
      <c r="IF350" s="62">
        <f>$IF349+$ID350</f>
        <v/>
      </c>
      <c r="IG350" s="62">
        <f>SUMIFS(tblSafety[Vehicle_Incidents],tblSafety[Date],$A350)</f>
        <v/>
      </c>
      <c r="IH350" s="62">
        <f>IF($B350=$B349,$IH349,0)+$IG350</f>
        <v/>
      </c>
      <c r="II350" s="62">
        <f>$II349+$IG350</f>
        <v/>
      </c>
      <c r="IJ350" s="62">
        <f>SUMIFS(tblSafety[Toolbox_Talks],tblSafety[Date],$A350)</f>
        <v/>
      </c>
      <c r="IK350" s="62">
        <f>IF($B350=$B349,$IK349,0)+$IJ350</f>
        <v/>
      </c>
      <c r="IL350" s="62">
        <f>$IL349+$IJ350</f>
        <v/>
      </c>
      <c r="IM350" s="62">
        <f>SUMIFS(tblSafety[Inspections],tblSafety[Date],$A350)</f>
        <v/>
      </c>
      <c r="IN350" s="62">
        <f>IF($B350=$B349,$IN349,0)+$IM350</f>
        <v/>
      </c>
      <c r="IO350" s="62">
        <f>$IO349+$IM350</f>
        <v/>
      </c>
      <c r="IP350" s="56">
        <f>IFERROR((SUMIFS(tblSafety[Recordables],tblSafety[Date],"&gt;="&amp;EDATE($E350,-12),tblSafety[Date],"&lt;="&amp;$A350)+SUMIFS(tblSafetyHistory[Recordables],tblSafetyHistory[Month],"&gt;="&amp;EDATE($E350,-12),tblSafetyHistory[Month],"&lt;"&amp;$E350,tblSafetyHistory[Use],1))/(SUMIFS(tblSafety[Hours_Total],tblSafety[Date],"&gt;="&amp;EDATE($E350,-12),tblSafety[Date],"&lt;="&amp;$A350)+SUMIFS(tblSafetyHistory[Hours_Total],tblSafetyHistory[Month],"&gt;="&amp;EDATE($E350,-12),tblSafetyHistory[Month],"&lt;"&amp;$E350,tblSafetyHistory[Use],1))*cfg_RateBasisHours,"")</f>
        <v/>
      </c>
      <c r="IQ350" s="56">
        <f>IFERROR((SUMIFS(tblSafety[LTI],tblSafety[Date],"&gt;="&amp;EDATE($E350,-12),tblSafety[Date],"&lt;="&amp;$A350)+SUMIFS(tblSafetyHistory[LTI],tblSafetyHistory[Month],"&gt;="&amp;EDATE($E350,-12),tblSafetyHistory[Month],"&lt;"&amp;$E350,tblSafetyHistory[Use],1))/(SUMIFS(tblSafety[Hours_Total],tblSafety[Date],"&gt;="&amp;EDATE($E350,-12),tblSafety[Date],"&lt;="&amp;$A350)+SUMIFS(tblSafetyHistory[Hours_Total],tblSafetyHistory[Month],"&gt;="&amp;EDATE($E350,-12),tblSafetyHistory[Month],"&lt;"&amp;$E350,tblSafetyHistory[Use],1))*cfg_RateBasisHours,"")</f>
        <v/>
      </c>
      <c r="IR350" s="62">
        <f>IF(MAX(N(cfg_PriorLTIDate),_xlfn.MAXIFS(tblSafety[Date],tblSafety[LTI],"&gt;0",tblSafety[Date],"&lt;="&amp;$A350))=0,"",$A350-MAX(N(cfg_PriorLTIDate),_xlfn.MAXIFS(tblSafety[Date],tblSafety[LTI],"&gt;0",tblSafety[Date],"&lt;="&amp;$A350)))</f>
        <v/>
      </c>
      <c r="IS350" s="55">
        <f>SUMIFS(tblBudget[Ore_Mined_t],tblBudget[Month],$E350)</f>
        <v/>
      </c>
      <c r="IT350" s="55">
        <f>$IS350*$C350/$D350</f>
        <v/>
      </c>
      <c r="IU350" s="55">
        <f>SUMIFS(tblBudget[Ore_Mined_t],tblBudget[Month],"&lt;"&amp;$E350)+$IT350</f>
        <v/>
      </c>
      <c r="IV350" s="55">
        <f>SUMIFS(tblBudget[Ore_oz],tblBudget[Month],$E350)</f>
        <v/>
      </c>
      <c r="IW350" s="55">
        <f>$IV350*$C350/$D350</f>
        <v/>
      </c>
      <c r="IX350" s="55">
        <f>SUMIFS(tblBudget[Ore_oz],tblBudget[Month],"&lt;"&amp;$E350)+$IW350</f>
        <v/>
      </c>
      <c r="IY350" s="55">
        <f>SUMIFS(tblBudget[Ore_Mined_t],tblBudget[Month],$E350)</f>
        <v/>
      </c>
      <c r="IZ350" s="55">
        <f>$IY350*$C350/$D350</f>
        <v/>
      </c>
      <c r="JA350" s="55">
        <f>SUMIFS(tblBudget[Ore_Mined_t],tblBudget[Month],"&lt;"&amp;$E350)+$IZ350</f>
        <v/>
      </c>
      <c r="JB350" s="56">
        <f>IFERROR(IF(($IY350)&gt;0,($IV350*cfg_TroyOz)/($IY350),""),"")</f>
        <v/>
      </c>
      <c r="JC350" s="56">
        <f>IFERROR(IF(($IZ350)&gt;0,($IW350*cfg_TroyOz)/($IZ350),""),"")</f>
        <v/>
      </c>
      <c r="JD350" s="56">
        <f>IFERROR(IF(($JA350)&gt;0,($IX350*cfg_TroyOz)/($JA350),""),"")</f>
        <v/>
      </c>
      <c r="JE350" s="55">
        <f>SUMIFS(tblBudget[Waste_t],tblBudget[Month],$E350)</f>
        <v/>
      </c>
      <c r="JF350" s="55">
        <f>$JE350*$C350/$D350</f>
        <v/>
      </c>
      <c r="JG350" s="55">
        <f>SUMIFS(tblBudget[Waste_t],tblBudget[Month],"&lt;"&amp;$E350)+$JF350</f>
        <v/>
      </c>
      <c r="JH350" s="55">
        <f>SUMIFS(tblBudget[TMM_t],tblBudget[Month],$E350)</f>
        <v/>
      </c>
      <c r="JI350" s="55">
        <f>$JH350*$C350/$D350</f>
        <v/>
      </c>
      <c r="JJ350" s="55">
        <f>SUMIFS(tblBudget[TMM_t],tblBudget[Month],"&lt;"&amp;$E350)+$JI350</f>
        <v/>
      </c>
      <c r="JK350" s="56">
        <f>IFERROR(IF(($IS350)&gt;0,($JE350)/($IS350),""),"")</f>
        <v/>
      </c>
      <c r="JL350" s="56">
        <f>IFERROR(IF(($IT350)&gt;0,($JF350)/($IT350),""),"")</f>
        <v/>
      </c>
      <c r="JM350" s="56">
        <f>IFERROR(IF(($IU350)&gt;0,($JG350)/($IU350),""),"")</f>
        <v/>
      </c>
      <c r="JN350" s="55">
        <f>SUMIFS(tblBudget[Drill_m],tblBudget[Month],$E350)</f>
        <v/>
      </c>
      <c r="JO350" s="55">
        <f>$JN350*$C350/$D350</f>
        <v/>
      </c>
      <c r="JP350" s="55">
        <f>SUMIFS(tblBudget[Drill_m],tblBudget[Month],"&lt;"&amp;$E350)+$JO350</f>
        <v/>
      </c>
      <c r="JQ350" s="55">
        <f>SUMIFS(tblBudget[Diesel_L],tblBudget[Month],$E350)</f>
        <v/>
      </c>
      <c r="JR350" s="55">
        <f>$JQ350*$C350/$D350</f>
        <v/>
      </c>
      <c r="JS350" s="55">
        <f>SUMIFS(tblBudget[Diesel_L],tblBudget[Month],"&lt;"&amp;$E350)+$JR350</f>
        <v/>
      </c>
      <c r="JT350" s="55">
        <f>SUMIFS(tblBudget[Milled_t],tblBudget[Month],$E350)</f>
        <v/>
      </c>
      <c r="JU350" s="55">
        <f>$JT350*$C350/$D350</f>
        <v/>
      </c>
      <c r="JV350" s="55">
        <f>SUMIFS(tblBudget[Milled_t],tblBudget[Month],"&lt;"&amp;$E350)+$JU350</f>
        <v/>
      </c>
      <c r="JW350" s="55">
        <f>SUMIFS(tblBudget[Feed_oz],tblBudget[Month],$E350)</f>
        <v/>
      </c>
      <c r="JX350" s="55">
        <f>$JW350*$C350/$D350</f>
        <v/>
      </c>
      <c r="JY350" s="55">
        <f>SUMIFS(tblBudget[Feed_oz],tblBudget[Month],"&lt;"&amp;$E350)+$JX350</f>
        <v/>
      </c>
      <c r="JZ350" s="55">
        <f>SUMIFS(tblBudget[Recovered_oz],tblBudget[Month],$E350)</f>
        <v/>
      </c>
      <c r="KA350" s="55">
        <f>$JZ350*$C350/$D350</f>
        <v/>
      </c>
      <c r="KB350" s="55">
        <f>SUMIFS(tblBudget[Recovered_oz],tblBudget[Month],"&lt;"&amp;$E350)+$KA350</f>
        <v/>
      </c>
      <c r="KC350" s="55">
        <f>SUMIFS(tblBudget[Milled_t],tblBudget[Month],$E350)</f>
        <v/>
      </c>
      <c r="KD350" s="55">
        <f>$KC350*$C350/$D350</f>
        <v/>
      </c>
      <c r="KE350" s="55">
        <f>SUMIFS(tblBudget[Milled_t],tblBudget[Month],"&lt;"&amp;$E350)+$KD350</f>
        <v/>
      </c>
      <c r="KF350" s="55">
        <f>SUMIFS(tblBudget[Feed_oz],tblBudget[Month],$E350)</f>
        <v/>
      </c>
      <c r="KG350" s="55">
        <f>$KF350*$C350/$D350</f>
        <v/>
      </c>
      <c r="KH350" s="55">
        <f>SUMIFS(tblBudget[Feed_oz],tblBudget[Month],"&lt;"&amp;$E350)+$KG350</f>
        <v/>
      </c>
      <c r="KI350" s="56">
        <f>IFERROR(IF(($KC350)&gt;0,($JW350*cfg_TroyOz)/($KC350),""),"")</f>
        <v/>
      </c>
      <c r="KJ350" s="56">
        <f>IFERROR(IF(($KD350)&gt;0,($JX350*cfg_TroyOz)/($KD350),""),"")</f>
        <v/>
      </c>
      <c r="KK350" s="56">
        <f>IFERROR(IF(($KE350)&gt;0,($JY350*cfg_TroyOz)/($KE350),""),"")</f>
        <v/>
      </c>
      <c r="KL350" s="67">
        <f>IFERROR(IF(($KF350)&gt;0,($JZ350)/($KF350),""),"")</f>
        <v/>
      </c>
      <c r="KM350" s="67">
        <f>IFERROR(IF(($KG350)&gt;0,($KA350)/($KG350),""),"")</f>
        <v/>
      </c>
      <c r="KN350" s="67">
        <f>IFERROR(IF(($KH350)&gt;0,($KB350)/($KH350),""),"")</f>
        <v/>
      </c>
      <c r="KO350" s="55">
        <f>SUMIFS(tblBudget[Gold_Poured_oz],tblBudget[Month],$E350)</f>
        <v/>
      </c>
      <c r="KP350" s="55">
        <f>$KO350*$C350/$D350</f>
        <v/>
      </c>
      <c r="KQ350" s="55">
        <f>SUMIFS(tblBudget[Gold_Poured_oz],tblBudget[Month],"&lt;"&amp;$E350)+$KP350</f>
        <v/>
      </c>
      <c r="KR350" s="57">
        <f>SUMIFS(tblBudget[Hours_Worked],tblBudget[Month],$E350)</f>
        <v/>
      </c>
      <c r="KS350" s="57">
        <f>$KR350*$C350/$D350</f>
        <v/>
      </c>
      <c r="KT350" s="57">
        <f>SUMIFS(tblBudget[Hours_Worked],tblBudget[Month],"&lt;"&amp;$E350)+$KS350</f>
        <v/>
      </c>
    </row>
    <row r="351">
      <c r="A351" s="54" t="n">
        <v>46372</v>
      </c>
      <c r="B351">
        <f>MONTH($A351)</f>
        <v/>
      </c>
      <c r="C351">
        <f>DAY($A351)</f>
        <v/>
      </c>
      <c r="D351">
        <f>DAY(EOMONTH($A351,0))</f>
        <v/>
      </c>
      <c r="E351" s="54">
        <f>DATE(YEAR($A351),MONTH($A351),1)</f>
        <v/>
      </c>
      <c r="F351" s="55">
        <f>SUMIFS(tblMovement[Tonnes_t],tblMovement[Date],$A351,tblMovement[Is_Ore],1,tblMovement[Source_Type],"Pit")</f>
        <v/>
      </c>
      <c r="G351" s="55">
        <f>IF($B351=$B350,$G350,0)+$F351</f>
        <v/>
      </c>
      <c r="H351" s="55">
        <f>$H350+$F351</f>
        <v/>
      </c>
      <c r="I351" s="55">
        <f>SUMIFS(tblMovement[Ore_oz],tblMovement[Date],$A351,tblMovement[Source_Type],"Pit")</f>
        <v/>
      </c>
      <c r="J351" s="55">
        <f>IF($B351=$B350,$J350,0)+$I351</f>
        <v/>
      </c>
      <c r="K351" s="55">
        <f>$K350+$I351</f>
        <v/>
      </c>
      <c r="L351" s="55">
        <f>SUMIFS(tblMovement[Tonnes_t],tblMovement[Date],$A351,tblMovement[Is_Ore],1,tblMovement[Source_Type],"Pit",tblMovement[Grade_gpt],"&lt;&gt;")</f>
        <v/>
      </c>
      <c r="M351" s="55">
        <f>IF($B351=$B350,$M350,0)+$L351</f>
        <v/>
      </c>
      <c r="N351" s="55">
        <f>$N350+$L351</f>
        <v/>
      </c>
      <c r="O351" s="56">
        <f>IFERROR(IF(($L351)&gt;0,($I351*cfg_TroyOz)/($L351),""),"")</f>
        <v/>
      </c>
      <c r="P351" s="56">
        <f>IFERROR(IF(($M351)&gt;0,($J351*cfg_TroyOz)/($M351),""),"")</f>
        <v/>
      </c>
      <c r="Q351" s="56">
        <f>IFERROR(IF(($N351)&gt;0,($K351*cfg_TroyOz)/($N351),""),"")</f>
        <v/>
      </c>
      <c r="R351" s="55">
        <f>$F351-$L351</f>
        <v/>
      </c>
      <c r="S351" s="55">
        <f>IF($B351=$B350,$S350,0)+$R351</f>
        <v/>
      </c>
      <c r="T351" s="55">
        <f>$T350+$R351</f>
        <v/>
      </c>
      <c r="U351" s="55">
        <f>SUMIFS(tblMovement[Tonnes_t],tblMovement[Date],$A351,tblMovement[Is_Ore],0,tblMovement[Source_Type],"Pit")</f>
        <v/>
      </c>
      <c r="V351" s="55">
        <f>IF($B351=$B350,$V350,0)+$U351</f>
        <v/>
      </c>
      <c r="W351" s="55">
        <f>$W350+$U351</f>
        <v/>
      </c>
      <c r="X351" s="55">
        <f>$F351+$U351</f>
        <v/>
      </c>
      <c r="Y351" s="55">
        <f>IF($B351=$B350,$Y350,0)+$X351</f>
        <v/>
      </c>
      <c r="Z351" s="55">
        <f>$Z350+$X351</f>
        <v/>
      </c>
      <c r="AA351" s="56">
        <f>IFERROR(IF(($F351)&gt;0,($U351)/($F351),""),"")</f>
        <v/>
      </c>
      <c r="AB351" s="56">
        <f>IFERROR(IF(($G351)&gt;0,($V351)/($G351),""),"")</f>
        <v/>
      </c>
      <c r="AC351" s="56">
        <f>IFERROR(IF(($H351)&gt;0,($W351)/($H351),""),"")</f>
        <v/>
      </c>
      <c r="AD351" s="55">
        <f>SUMIFS(tblMovement[Tonnes_t],tblMovement[Date],$A351,tblMovement[Source_Type],"Stockpile")</f>
        <v/>
      </c>
      <c r="AE351" s="55">
        <f>IF($B351=$B350,$AE350,0)+$AD351</f>
        <v/>
      </c>
      <c r="AF351" s="55">
        <f>$AF350+$AD351</f>
        <v/>
      </c>
      <c r="AG351" s="55">
        <f>SUMIFS(tblMovement[Tonnes_t],tblMovement[Date],$A351)</f>
        <v/>
      </c>
      <c r="AH351" s="55">
        <f>IF($B351=$B350,$AH350,0)+$AG351</f>
        <v/>
      </c>
      <c r="AI351" s="55">
        <f>$AI350+$AG351</f>
        <v/>
      </c>
      <c r="AJ351" s="55">
        <f>$AG351-$X351-$AD351</f>
        <v/>
      </c>
      <c r="AK351" s="55">
        <f>IF($B351=$B350,$AK350,0)+$AJ351</f>
        <v/>
      </c>
      <c r="AL351" s="55">
        <f>$AL350+$AJ351</f>
        <v/>
      </c>
      <c r="AM351" s="55">
        <f>SUMIFS(tblMiningDaily[Drill_m],tblMiningDaily[Date],$A351)</f>
        <v/>
      </c>
      <c r="AN351" s="55">
        <f>IF($B351=$B350,$AN350,0)+$AM351</f>
        <v/>
      </c>
      <c r="AO351" s="55">
        <f>$AO350+$AM351</f>
        <v/>
      </c>
      <c r="AP351" s="55">
        <f>SUMIFS(tblMiningDaily[GC_Drill_m],tblMiningDaily[Date],$A351)</f>
        <v/>
      </c>
      <c r="AQ351" s="55">
        <f>IF($B351=$B350,$AQ350,0)+$AP351</f>
        <v/>
      </c>
      <c r="AR351" s="55">
        <f>$AR350+$AP351</f>
        <v/>
      </c>
      <c r="AS351" s="55">
        <f>SUMIFS(tblMiningDaily[Blast_t],tblMiningDaily[Date],$A351)</f>
        <v/>
      </c>
      <c r="AT351" s="55">
        <f>IF($B351=$B350,$AT350,0)+$AS351</f>
        <v/>
      </c>
      <c r="AU351" s="55">
        <f>$AU350+$AS351</f>
        <v/>
      </c>
      <c r="AV351" s="55">
        <f>SUMIFS(tblMiningDaily[Explosives_kg],tblMiningDaily[Date],$A351)</f>
        <v/>
      </c>
      <c r="AW351" s="55">
        <f>IF($B351=$B350,$AW350,0)+$AV351</f>
        <v/>
      </c>
      <c r="AX351" s="55">
        <f>$AX350+$AV351</f>
        <v/>
      </c>
      <c r="AY351" s="56">
        <f>IFERROR(IF(($AS351)&gt;0,($AV351)/($AS351),""),"")</f>
        <v/>
      </c>
      <c r="AZ351" s="56">
        <f>IFERROR(IF(($AT351)&gt;0,($AW351)/($AT351),""),"")</f>
        <v/>
      </c>
      <c r="BA351" s="56">
        <f>IFERROR(IF(($AU351)&gt;0,($AX351)/($AU351),""),"")</f>
        <v/>
      </c>
      <c r="BB351" s="55">
        <f>SUMIFS(tblMiningDaily[Diesel_L],tblMiningDaily[Date],$A351)</f>
        <v/>
      </c>
      <c r="BC351" s="55">
        <f>IF($B351=$B350,$BC350,0)+$BB351</f>
        <v/>
      </c>
      <c r="BD351" s="55">
        <f>$BD350+$BB351</f>
        <v/>
      </c>
      <c r="BE351" s="55">
        <f>SUMIFS(tblMiningDaily[Dewatering_m3],tblMiningDaily[Date],$A351)</f>
        <v/>
      </c>
      <c r="BF351" s="55">
        <f>IF($B351=$B350,$BF350,0)+$BE351</f>
        <v/>
      </c>
      <c r="BG351" s="55">
        <f>$BG350+$BE351</f>
        <v/>
      </c>
      <c r="BH351" s="57">
        <f>SUMIFS(tblFleet[Calendar_h],tblFleet[Date],$A351,tblFleet[Equipment_Class],"Excavator")</f>
        <v/>
      </c>
      <c r="BI351" s="57">
        <f>IF($B351=$B350,$BI350,0)+$BH351</f>
        <v/>
      </c>
      <c r="BJ351" s="57">
        <f>$BJ350+$BH351</f>
        <v/>
      </c>
      <c r="BK351" s="57">
        <f>SUMIFS(tblFleet[Available_h],tblFleet[Date],$A351,tblFleet[Equipment_Class],"Excavator")</f>
        <v/>
      </c>
      <c r="BL351" s="57">
        <f>IF($B351=$B350,$BL350,0)+$BK351</f>
        <v/>
      </c>
      <c r="BM351" s="57">
        <f>$BM350+$BK351</f>
        <v/>
      </c>
      <c r="BN351" s="57">
        <f>SUMIFS(tblFleet[Operating_h],tblFleet[Date],$A351,tblFleet[Equipment_Class],"Excavator")</f>
        <v/>
      </c>
      <c r="BO351" s="57">
        <f>IF($B351=$B350,$BO350,0)+$BN351</f>
        <v/>
      </c>
      <c r="BP351" s="57">
        <f>$BP350+$BN351</f>
        <v/>
      </c>
      <c r="BQ351" s="67">
        <f>IFERROR(IF(($BH351)&gt;0,($BK351)/($BH351),""),"")</f>
        <v/>
      </c>
      <c r="BR351" s="67">
        <f>IFERROR(IF(($BI351)&gt;0,($BL351)/($BI351),""),"")</f>
        <v/>
      </c>
      <c r="BS351" s="67">
        <f>IFERROR(IF(($BJ351)&gt;0,($BM351)/($BJ351),""),"")</f>
        <v/>
      </c>
      <c r="BT351" s="67">
        <f>IFERROR(IF(($BK351)&gt;0,($BN351)/($BK351),""),"")</f>
        <v/>
      </c>
      <c r="BU351" s="67">
        <f>IFERROR(IF(($BL351)&gt;0,($BO351)/($BL351),""),"")</f>
        <v/>
      </c>
      <c r="BV351" s="67">
        <f>IFERROR(IF(($BM351)&gt;0,($BP351)/($BM351),""),"")</f>
        <v/>
      </c>
      <c r="BW351" s="57">
        <f>SUMIFS(tblFleet[Calendar_h],tblFleet[Date],$A351,tblFleet[Equipment_Class],"Haul Truck")</f>
        <v/>
      </c>
      <c r="BX351" s="57">
        <f>IF($B351=$B350,$BX350,0)+$BW351</f>
        <v/>
      </c>
      <c r="BY351" s="57">
        <f>$BY350+$BW351</f>
        <v/>
      </c>
      <c r="BZ351" s="57">
        <f>SUMIFS(tblFleet[Available_h],tblFleet[Date],$A351,tblFleet[Equipment_Class],"Haul Truck")</f>
        <v/>
      </c>
      <c r="CA351" s="57">
        <f>IF($B351=$B350,$CA350,0)+$BZ351</f>
        <v/>
      </c>
      <c r="CB351" s="57">
        <f>$CB350+$BZ351</f>
        <v/>
      </c>
      <c r="CC351" s="57">
        <f>SUMIFS(tblFleet[Operating_h],tblFleet[Date],$A351,tblFleet[Equipment_Class],"Haul Truck")</f>
        <v/>
      </c>
      <c r="CD351" s="57">
        <f>IF($B351=$B350,$CD350,0)+$CC351</f>
        <v/>
      </c>
      <c r="CE351" s="57">
        <f>$CE350+$CC351</f>
        <v/>
      </c>
      <c r="CF351" s="67">
        <f>IFERROR(IF(($BW351)&gt;0,($BZ351)/($BW351),""),"")</f>
        <v/>
      </c>
      <c r="CG351" s="67">
        <f>IFERROR(IF(($BX351)&gt;0,($CA351)/($BX351),""),"")</f>
        <v/>
      </c>
      <c r="CH351" s="67">
        <f>IFERROR(IF(($BY351)&gt;0,($CB351)/($BY351),""),"")</f>
        <v/>
      </c>
      <c r="CI351" s="67">
        <f>IFERROR(IF(($BZ351)&gt;0,($CC351)/($BZ351),""),"")</f>
        <v/>
      </c>
      <c r="CJ351" s="67">
        <f>IFERROR(IF(($CA351)&gt;0,($CD351)/($CA351),""),"")</f>
        <v/>
      </c>
      <c r="CK351" s="67">
        <f>IFERROR(IF(($CB351)&gt;0,($CE351)/($CB351),""),"")</f>
        <v/>
      </c>
      <c r="CL351" s="55">
        <f>IFERROR(IF(($BN351)&gt;0,($X351+$AD351)/($BN351),""),"")</f>
        <v/>
      </c>
      <c r="CM351" s="55">
        <f>IFERROR(IF(($BO351)&gt;0,($Y351+$AE351)/($BO351),""),"")</f>
        <v/>
      </c>
      <c r="CN351" s="55">
        <f>IFERROR(IF(($BP351)&gt;0,($Z351+$AF351)/($BP351),""),"")</f>
        <v/>
      </c>
      <c r="CO351" s="55">
        <f>IFERROR(IF(($CC351)&gt;0,($X351+$AD351)/($CC351),""),"")</f>
        <v/>
      </c>
      <c r="CP351" s="55">
        <f>IFERROR(IF(($CD351)&gt;0,($Y351+$AE351)/($CD351),""),"")</f>
        <v/>
      </c>
      <c r="CQ351" s="55">
        <f>IFERROR(IF(($CE351)&gt;0,($Z351+$AF351)/($CE351),""),"")</f>
        <v/>
      </c>
      <c r="CR351" s="55">
        <f>SUMIFS(tblPlant[Crushed_t],tblPlant[Date],$A351)</f>
        <v/>
      </c>
      <c r="CS351" s="55">
        <f>IF($B351=$B350,$CS350,0)+$CR351</f>
        <v/>
      </c>
      <c r="CT351" s="55">
        <f>$CT350+$CR351</f>
        <v/>
      </c>
      <c r="CU351" s="55">
        <f>SUMIFS(tblPlant[Milled_t],tblPlant[Date],$A351)</f>
        <v/>
      </c>
      <c r="CV351" s="55">
        <f>IF($B351=$B350,$CV350,0)+$CU351</f>
        <v/>
      </c>
      <c r="CW351" s="55">
        <f>$CW350+$CU351</f>
        <v/>
      </c>
      <c r="CX351" s="55">
        <f>SUMIFS(tblPlant[Feed_oz],tblPlant[Date],$A351)</f>
        <v/>
      </c>
      <c r="CY351" s="55">
        <f>IF($B351=$B350,$CY350,0)+$CX351</f>
        <v/>
      </c>
      <c r="CZ351" s="55">
        <f>$CZ350+$CX351</f>
        <v/>
      </c>
      <c r="DA351" s="55">
        <f>SUMIFS(tblPlant[Tails_oz],tblPlant[Date],$A351)</f>
        <v/>
      </c>
      <c r="DB351" s="55">
        <f>IF($B351=$B350,$DB350,0)+$DA351</f>
        <v/>
      </c>
      <c r="DC351" s="55">
        <f>$DC350+$DA351</f>
        <v/>
      </c>
      <c r="DD351" s="55">
        <f>SUMIFS(tblPlant[Recovered_oz],tblPlant[Date],$A351)</f>
        <v/>
      </c>
      <c r="DE351" s="55">
        <f>IF($B351=$B350,$DE350,0)+$DD351</f>
        <v/>
      </c>
      <c r="DF351" s="55">
        <f>$DF350+$DD351</f>
        <v/>
      </c>
      <c r="DG351" s="55">
        <f>SUMIFS(tblPlant[Milled_t],tblPlant[Date],$A351,tblPlant[Head_Grade_gpt],"&lt;&gt;")</f>
        <v/>
      </c>
      <c r="DH351" s="55">
        <f>IF($B351=$B350,$DH350,0)+$DG351</f>
        <v/>
      </c>
      <c r="DI351" s="55">
        <f>$DI350+$DG351</f>
        <v/>
      </c>
      <c r="DJ351" s="55">
        <f>SUMIFS(tblPlant[Milled_t],tblPlant[Date],$A351,tblPlant[Tails_Grade_gpt],"&lt;&gt;")</f>
        <v/>
      </c>
      <c r="DK351" s="55">
        <f>IF($B351=$B350,$DK350,0)+$DJ351</f>
        <v/>
      </c>
      <c r="DL351" s="55">
        <f>$DL350+$DJ351</f>
        <v/>
      </c>
      <c r="DM351" s="55">
        <f>SUMIFS(tblPlant[Feed_oz],tblPlant[Date],$A351,tblPlant[Tails_Grade_gpt],"&lt;&gt;")</f>
        <v/>
      </c>
      <c r="DN351" s="55">
        <f>IF($B351=$B350,$DN350,0)+$DM351</f>
        <v/>
      </c>
      <c r="DO351" s="55">
        <f>$DO350+$DM351</f>
        <v/>
      </c>
      <c r="DP351" s="55">
        <f>SUMIFS(tblPlant[Milled_t],tblPlant[Date],$A351,tblPlant[Mill_Run_h],"&lt;&gt;")</f>
        <v/>
      </c>
      <c r="DQ351" s="55">
        <f>IF($B351=$B350,$DQ350,0)+$DP351</f>
        <v/>
      </c>
      <c r="DR351" s="55">
        <f>$DR350+$DP351</f>
        <v/>
      </c>
      <c r="DS351" s="56">
        <f>IFERROR(IF(($DG351)&gt;0,($CX351*cfg_TroyOz)/($DG351),""),"")</f>
        <v/>
      </c>
      <c r="DT351" s="56">
        <f>IFERROR(IF(($DH351)&gt;0,($CY351*cfg_TroyOz)/($DH351),""),"")</f>
        <v/>
      </c>
      <c r="DU351" s="56">
        <f>IFERROR(IF(($DI351)&gt;0,($CZ351*cfg_TroyOz)/($DI351),""),"")</f>
        <v/>
      </c>
      <c r="DV351" s="56">
        <f>IFERROR(IF(($DJ351)&gt;0,($DA351*cfg_TroyOz)/($DJ351),""),"")</f>
        <v/>
      </c>
      <c r="DW351" s="56">
        <f>IFERROR(IF(($DK351)&gt;0,($DB351*cfg_TroyOz)/($DK351),""),"")</f>
        <v/>
      </c>
      <c r="DX351" s="56">
        <f>IFERROR(IF(($DL351)&gt;0,($DC351*cfg_TroyOz)/($DL351),""),"")</f>
        <v/>
      </c>
      <c r="DY351" s="67">
        <f>IFERROR(IF(($DM351)&gt;0,($DD351)/($DM351),""),"")</f>
        <v/>
      </c>
      <c r="DZ351" s="67">
        <f>IFERROR(IF(($DN351)&gt;0,($DE351)/($DN351),""),"")</f>
        <v/>
      </c>
      <c r="EA351" s="67">
        <f>IFERROR(IF(($DO351)&gt;0,($DF351)/($DO351),""),"")</f>
        <v/>
      </c>
      <c r="EB351" s="55">
        <f>SUMIFS(tblPlant[Gravity_Gold_oz],tblPlant[Date],$A351)</f>
        <v/>
      </c>
      <c r="EC351" s="55">
        <f>IF($B351=$B350,$EC350,0)+$EB351</f>
        <v/>
      </c>
      <c r="ED351" s="55">
        <f>$ED350+$EB351</f>
        <v/>
      </c>
      <c r="EE351" s="67">
        <f>IFERROR(IF(($DD351)&gt;0,($EB351)/($DD351),""),"")</f>
        <v/>
      </c>
      <c r="EF351" s="67">
        <f>IFERROR(IF(($DE351)&gt;0,($EC351)/($DE351),""),"")</f>
        <v/>
      </c>
      <c r="EG351" s="67">
        <f>IFERROR(IF(($DF351)&gt;0,($ED351)/($DF351),""),"")</f>
        <v/>
      </c>
      <c r="EH351" s="55">
        <f>SUMIFS(tblPlant[Gold_Poured_oz],tblPlant[Date],$A351)</f>
        <v/>
      </c>
      <c r="EI351" s="55">
        <f>IF($B351=$B350,$EI350,0)+$EH351</f>
        <v/>
      </c>
      <c r="EJ351" s="55">
        <f>$EJ350+$EH351</f>
        <v/>
      </c>
      <c r="EK351" s="57">
        <f>SUMIFS(tblPlant[Mill_Run_h],tblPlant[Date],$A351)</f>
        <v/>
      </c>
      <c r="EL351" s="57">
        <f>IF($B351=$B350,$EL350,0)+$EK351</f>
        <v/>
      </c>
      <c r="EM351" s="57">
        <f>$EM350+$EK351</f>
        <v/>
      </c>
      <c r="EN351" s="57">
        <f>SUMIFS(tblPlant[Mill_Planned_Maint_h],tblPlant[Date],$A351)</f>
        <v/>
      </c>
      <c r="EO351" s="57">
        <f>IF($B351=$B350,$EO350,0)+$EN351</f>
        <v/>
      </c>
      <c r="EP351" s="57">
        <f>$EP350+$EN351</f>
        <v/>
      </c>
      <c r="EQ351" s="57">
        <f>SUMIFS(tblPlant[Mill_Unplanned_Down_h],tblPlant[Date],$A351)</f>
        <v/>
      </c>
      <c r="ER351" s="57">
        <f>IF($B351=$B350,$ER350,0)+$EQ351</f>
        <v/>
      </c>
      <c r="ES351" s="57">
        <f>$ES350+$EQ351</f>
        <v/>
      </c>
      <c r="ET351" s="57">
        <f>IF(COUNTIFS(tblPlant[Date],$A351,tblPlant[Mill_Run_h],"&lt;&gt;")+COUNTIFS(tblPlant[Date],$A351,tblPlant[Mill_Planned_Maint_h],"&lt;&gt;")+COUNTIFS(tblPlant[Date],$A351,tblPlant[Mill_Unplanned_Down_h],"&lt;&gt;")&gt;0,cfg_HoursPerDay,0)</f>
        <v/>
      </c>
      <c r="EU351" s="57">
        <f>IF($B351=$B350,$EU350,0)+$ET351</f>
        <v/>
      </c>
      <c r="EV351" s="57">
        <f>$EV350+$ET351</f>
        <v/>
      </c>
      <c r="EW351" s="57">
        <f>SUMIFS(tblPlant[Crusher_Run_h],tblPlant[Date],$A351)</f>
        <v/>
      </c>
      <c r="EX351" s="57">
        <f>IF($B351=$B350,$EX350,0)+$EW351</f>
        <v/>
      </c>
      <c r="EY351" s="57">
        <f>$EY350+$EW351</f>
        <v/>
      </c>
      <c r="EZ351" s="55">
        <f>IFERROR(IF(($EK351)&gt;0,($DP351)/($EK351),""),"")</f>
        <v/>
      </c>
      <c r="FA351" s="55">
        <f>IFERROR(IF(($EL351)&gt;0,($DQ351)/($EL351),""),"")</f>
        <v/>
      </c>
      <c r="FB351" s="55">
        <f>IFERROR(IF(($EM351)&gt;0,($DR351)/($EM351),""),"")</f>
        <v/>
      </c>
      <c r="FC351" s="67">
        <f>IFERROR(IF(($ET351)&gt;0,($ET351-$EN351-$EQ351)/($ET351),""),"")</f>
        <v/>
      </c>
      <c r="FD351" s="67">
        <f>IFERROR(IF(($EU351)&gt;0,($EU351-$EO351-$ER351)/($EU351),""),"")</f>
        <v/>
      </c>
      <c r="FE351" s="67">
        <f>IFERROR(IF(($EV351)&gt;0,($EV351-$EP351-$ES351)/($EV351),""),"")</f>
        <v/>
      </c>
      <c r="FF351" s="67">
        <f>IFERROR(IF(($ET351-$EN351-$EQ351)&gt;0,($EK351)/($ET351-$EN351-$EQ351),""),"")</f>
        <v/>
      </c>
      <c r="FG351" s="67">
        <f>IFERROR(IF(($EU351-$EO351-$ER351)&gt;0,($EL351)/($EU351-$EO351-$ER351),""),"")</f>
        <v/>
      </c>
      <c r="FH351" s="67">
        <f>IFERROR(IF(($EV351-$EP351-$ES351)&gt;0,($EM351)/($EV351-$EP351-$ES351),""),"")</f>
        <v/>
      </c>
      <c r="FI351" s="55">
        <f>SUMIFS(tblPlant[Cyanide_kg],tblPlant[Date],$A351)</f>
        <v/>
      </c>
      <c r="FJ351" s="55">
        <f>IF($B351=$B350,$FJ350,0)+$FI351</f>
        <v/>
      </c>
      <c r="FK351" s="55">
        <f>$FK350+$FI351</f>
        <v/>
      </c>
      <c r="FL351" s="55">
        <f>SUMIFS(tblPlant[Lime_kg],tblPlant[Date],$A351)</f>
        <v/>
      </c>
      <c r="FM351" s="55">
        <f>IF($B351=$B350,$FM350,0)+$FL351</f>
        <v/>
      </c>
      <c r="FN351" s="55">
        <f>$FN350+$FL351</f>
        <v/>
      </c>
      <c r="FO351" s="55">
        <f>SUMIFS(tblPlant[Grinding_Media_kg],tblPlant[Date],$A351)</f>
        <v/>
      </c>
      <c r="FP351" s="55">
        <f>IF($B351=$B350,$FP350,0)+$FO351</f>
        <v/>
      </c>
      <c r="FQ351" s="55">
        <f>$FQ350+$FO351</f>
        <v/>
      </c>
      <c r="FR351" s="55">
        <f>SUMIFS(tblPlant[Power_kWh],tblPlant[Date],$A351)</f>
        <v/>
      </c>
      <c r="FS351" s="55">
        <f>IF($B351=$B350,$FS350,0)+$FR351</f>
        <v/>
      </c>
      <c r="FT351" s="55">
        <f>$FT350+$FR351</f>
        <v/>
      </c>
      <c r="FU351" s="55">
        <f>SUMIFS(tblPlant[Raw_Water_m3],tblPlant[Date],$A351)</f>
        <v/>
      </c>
      <c r="FV351" s="55">
        <f>IF($B351=$B350,$FV350,0)+$FU351</f>
        <v/>
      </c>
      <c r="FW351" s="55">
        <f>$FW350+$FU351</f>
        <v/>
      </c>
      <c r="FX351" s="56">
        <f>IFERROR(IF(($CU351)&gt;0,($FI351)/($CU351),""),"")</f>
        <v/>
      </c>
      <c r="FY351" s="56">
        <f>IFERROR(IF(($CV351)&gt;0,($FJ351)/($CV351),""),"")</f>
        <v/>
      </c>
      <c r="FZ351" s="56">
        <f>IFERROR(IF(($CW351)&gt;0,($FK351)/($CW351),""),"")</f>
        <v/>
      </c>
      <c r="GA351" s="56">
        <f>IFERROR(IF(($CU351)&gt;0,($FL351)/($CU351),""),"")</f>
        <v/>
      </c>
      <c r="GB351" s="56">
        <f>IFERROR(IF(($CV351)&gt;0,($FM351)/($CV351),""),"")</f>
        <v/>
      </c>
      <c r="GC351" s="56">
        <f>IFERROR(IF(($CW351)&gt;0,($FN351)/($CW351),""),"")</f>
        <v/>
      </c>
      <c r="GD351" s="56">
        <f>IFERROR(IF(($CU351)&gt;0,($FO351)/($CU351),""),"")</f>
        <v/>
      </c>
      <c r="GE351" s="56">
        <f>IFERROR(IF(($CV351)&gt;0,($FP351)/($CV351),""),"")</f>
        <v/>
      </c>
      <c r="GF351" s="56">
        <f>IFERROR(IF(($CW351)&gt;0,($FQ351)/($CW351),""),"")</f>
        <v/>
      </c>
      <c r="GG351" s="79">
        <f>IFERROR(IF(($CU351)&gt;0,($FR351)/($CU351),""),"")</f>
        <v/>
      </c>
      <c r="GH351" s="79">
        <f>IFERROR(IF(($CV351)&gt;0,($FS351)/($CV351),""),"")</f>
        <v/>
      </c>
      <c r="GI351" s="79">
        <f>IFERROR(IF(($CW351)&gt;0,($FT351)/($CW351),""),"")</f>
        <v/>
      </c>
      <c r="GJ351" s="56">
        <f>IFERROR(IF(($CU351)&gt;0,($FU351)/($CU351),""),"")</f>
        <v/>
      </c>
      <c r="GK351" s="56">
        <f>IFERROR(IF(($CV351)&gt;0,($FV351)/($CV351),""),"")</f>
        <v/>
      </c>
      <c r="GL351" s="56">
        <f>IFERROR(IF(($CW351)&gt;0,($FW351)/($CW351),""),"")</f>
        <v/>
      </c>
      <c r="GM351" s="55">
        <f>IF(SUMIFS(tblPlant[GIC_oz],tblPlant[Date],$A351)&gt;0,SUMIFS(tblPlant[GIC_oz],tblPlant[Date],$A351),"")</f>
        <v/>
      </c>
      <c r="GN351" s="55">
        <f>SUMIFS(tblGold[Gold_oz],tblGold[Date],$A351,tblGold[Type],"Shipment")</f>
        <v/>
      </c>
      <c r="GO351" s="55">
        <f>IF($B351=$B350,$GO350,0)+$GN351</f>
        <v/>
      </c>
      <c r="GP351" s="55">
        <f>$GP350+$GN351</f>
        <v/>
      </c>
      <c r="GQ351" s="55">
        <f>SUMIFS(tblGold[Gold_oz],tblGold[Date],$A351,tblGold[Type],"Sale")</f>
        <v/>
      </c>
      <c r="GR351" s="55">
        <f>IF($B351=$B350,$GR350,0)+$GQ351</f>
        <v/>
      </c>
      <c r="GS351" s="55">
        <f>$GS350+$GQ351</f>
        <v/>
      </c>
      <c r="GT351" s="55">
        <f>SUMIFS(tblGold[Dore_kg],tblGold[Date],$A351,tblGold[Type],"Shipment")</f>
        <v/>
      </c>
      <c r="GU351" s="55">
        <f>IF($B351=$B350,$GU350,0)+$GT351</f>
        <v/>
      </c>
      <c r="GV351" s="55">
        <f>$GV350+$GT351</f>
        <v/>
      </c>
      <c r="GW351" s="57">
        <f>SUMIFS(tblSafety[Hours_Total],tblSafety[Date],$A351)</f>
        <v/>
      </c>
      <c r="GX351" s="57">
        <f>IF($B351=$B350,$GX350,0)+$GW351</f>
        <v/>
      </c>
      <c r="GY351" s="57">
        <f>$GY350+$GW351</f>
        <v/>
      </c>
      <c r="GZ351" s="62">
        <f>SUMIFS(tblSafety[Fatality],tblSafety[Date],$A351)</f>
        <v/>
      </c>
      <c r="HA351" s="62">
        <f>IF($B351=$B350,$HA350,0)+$GZ351</f>
        <v/>
      </c>
      <c r="HB351" s="62">
        <f>$HB350+$GZ351</f>
        <v/>
      </c>
      <c r="HC351" s="62">
        <f>SUMIFS(tblSafety[LTI],tblSafety[Date],$A351)</f>
        <v/>
      </c>
      <c r="HD351" s="62">
        <f>IF($B351=$B350,$HD350,0)+$HC351</f>
        <v/>
      </c>
      <c r="HE351" s="62">
        <f>$HE350+$HC351</f>
        <v/>
      </c>
      <c r="HF351" s="62">
        <f>SUMIFS(tblSafety[RWI],tblSafety[Date],$A351)</f>
        <v/>
      </c>
      <c r="HG351" s="62">
        <f>IF($B351=$B350,$HG350,0)+$HF351</f>
        <v/>
      </c>
      <c r="HH351" s="62">
        <f>$HH350+$HF351</f>
        <v/>
      </c>
      <c r="HI351" s="62">
        <f>SUMIFS(tblSafety[MTI],tblSafety[Date],$A351)</f>
        <v/>
      </c>
      <c r="HJ351" s="62">
        <f>IF($B351=$B350,$HJ350,0)+$HI351</f>
        <v/>
      </c>
      <c r="HK351" s="62">
        <f>$HK350+$HI351</f>
        <v/>
      </c>
      <c r="HL351" s="62">
        <f>SUMIFS(tblSafety[FAI],tblSafety[Date],$A351)</f>
        <v/>
      </c>
      <c r="HM351" s="62">
        <f>IF($B351=$B350,$HM350,0)+$HL351</f>
        <v/>
      </c>
      <c r="HN351" s="62">
        <f>$HN350+$HL351</f>
        <v/>
      </c>
      <c r="HO351" s="62">
        <f>SUMIFS(tblSafety[Recordables],tblSafety[Date],$A351)</f>
        <v/>
      </c>
      <c r="HP351" s="62">
        <f>IF($B351=$B350,$HP350,0)+$HO351</f>
        <v/>
      </c>
      <c r="HQ351" s="62">
        <f>$HQ350+$HO351</f>
        <v/>
      </c>
      <c r="HR351" s="62">
        <f>SUMIFS(tblSafety[Near_Miss],tblSafety[Date],$A351)</f>
        <v/>
      </c>
      <c r="HS351" s="62">
        <f>IF($B351=$B350,$HS350,0)+$HR351</f>
        <v/>
      </c>
      <c r="HT351" s="62">
        <f>$HT350+$HR351</f>
        <v/>
      </c>
      <c r="HU351" s="62">
        <f>SUMIFS(tblSafety[Hazard_Reports],tblSafety[Date],$A351)</f>
        <v/>
      </c>
      <c r="HV351" s="62">
        <f>IF($B351=$B350,$HV350,0)+$HU351</f>
        <v/>
      </c>
      <c r="HW351" s="62">
        <f>$HW350+$HU351</f>
        <v/>
      </c>
      <c r="HX351" s="62">
        <f>SUMIFS(tblSafety[HPI],tblSafety[Date],$A351)</f>
        <v/>
      </c>
      <c r="HY351" s="62">
        <f>IF($B351=$B350,$HY350,0)+$HX351</f>
        <v/>
      </c>
      <c r="HZ351" s="62">
        <f>$HZ350+$HX351</f>
        <v/>
      </c>
      <c r="IA351" s="62">
        <f>SUMIFS(tblSafety[Env_Incidents],tblSafety[Date],$A351)</f>
        <v/>
      </c>
      <c r="IB351" s="62">
        <f>IF($B351=$B350,$IB350,0)+$IA351</f>
        <v/>
      </c>
      <c r="IC351" s="62">
        <f>$IC350+$IA351</f>
        <v/>
      </c>
      <c r="ID351" s="62">
        <f>SUMIFS(tblSafety[Community_Incidents],tblSafety[Date],$A351)</f>
        <v/>
      </c>
      <c r="IE351" s="62">
        <f>IF($B351=$B350,$IE350,0)+$ID351</f>
        <v/>
      </c>
      <c r="IF351" s="62">
        <f>$IF350+$ID351</f>
        <v/>
      </c>
      <c r="IG351" s="62">
        <f>SUMIFS(tblSafety[Vehicle_Incidents],tblSafety[Date],$A351)</f>
        <v/>
      </c>
      <c r="IH351" s="62">
        <f>IF($B351=$B350,$IH350,0)+$IG351</f>
        <v/>
      </c>
      <c r="II351" s="62">
        <f>$II350+$IG351</f>
        <v/>
      </c>
      <c r="IJ351" s="62">
        <f>SUMIFS(tblSafety[Toolbox_Talks],tblSafety[Date],$A351)</f>
        <v/>
      </c>
      <c r="IK351" s="62">
        <f>IF($B351=$B350,$IK350,0)+$IJ351</f>
        <v/>
      </c>
      <c r="IL351" s="62">
        <f>$IL350+$IJ351</f>
        <v/>
      </c>
      <c r="IM351" s="62">
        <f>SUMIFS(tblSafety[Inspections],tblSafety[Date],$A351)</f>
        <v/>
      </c>
      <c r="IN351" s="62">
        <f>IF($B351=$B350,$IN350,0)+$IM351</f>
        <v/>
      </c>
      <c r="IO351" s="62">
        <f>$IO350+$IM351</f>
        <v/>
      </c>
      <c r="IP351" s="56">
        <f>IFERROR((SUMIFS(tblSafety[Recordables],tblSafety[Date],"&gt;="&amp;EDATE($E351,-12),tblSafety[Date],"&lt;="&amp;$A351)+SUMIFS(tblSafetyHistory[Recordables],tblSafetyHistory[Month],"&gt;="&amp;EDATE($E351,-12),tblSafetyHistory[Month],"&lt;"&amp;$E351,tblSafetyHistory[Use],1))/(SUMIFS(tblSafety[Hours_Total],tblSafety[Date],"&gt;="&amp;EDATE($E351,-12),tblSafety[Date],"&lt;="&amp;$A351)+SUMIFS(tblSafetyHistory[Hours_Total],tblSafetyHistory[Month],"&gt;="&amp;EDATE($E351,-12),tblSafetyHistory[Month],"&lt;"&amp;$E351,tblSafetyHistory[Use],1))*cfg_RateBasisHours,"")</f>
        <v/>
      </c>
      <c r="IQ351" s="56">
        <f>IFERROR((SUMIFS(tblSafety[LTI],tblSafety[Date],"&gt;="&amp;EDATE($E351,-12),tblSafety[Date],"&lt;="&amp;$A351)+SUMIFS(tblSafetyHistory[LTI],tblSafetyHistory[Month],"&gt;="&amp;EDATE($E351,-12),tblSafetyHistory[Month],"&lt;"&amp;$E351,tblSafetyHistory[Use],1))/(SUMIFS(tblSafety[Hours_Total],tblSafety[Date],"&gt;="&amp;EDATE($E351,-12),tblSafety[Date],"&lt;="&amp;$A351)+SUMIFS(tblSafetyHistory[Hours_Total],tblSafetyHistory[Month],"&gt;="&amp;EDATE($E351,-12),tblSafetyHistory[Month],"&lt;"&amp;$E351,tblSafetyHistory[Use],1))*cfg_RateBasisHours,"")</f>
        <v/>
      </c>
      <c r="IR351" s="62">
        <f>IF(MAX(N(cfg_PriorLTIDate),_xlfn.MAXIFS(tblSafety[Date],tblSafety[LTI],"&gt;0",tblSafety[Date],"&lt;="&amp;$A351))=0,"",$A351-MAX(N(cfg_PriorLTIDate),_xlfn.MAXIFS(tblSafety[Date],tblSafety[LTI],"&gt;0",tblSafety[Date],"&lt;="&amp;$A351)))</f>
        <v/>
      </c>
      <c r="IS351" s="55">
        <f>SUMIFS(tblBudget[Ore_Mined_t],tblBudget[Month],$E351)</f>
        <v/>
      </c>
      <c r="IT351" s="55">
        <f>$IS351*$C351/$D351</f>
        <v/>
      </c>
      <c r="IU351" s="55">
        <f>SUMIFS(tblBudget[Ore_Mined_t],tblBudget[Month],"&lt;"&amp;$E351)+$IT351</f>
        <v/>
      </c>
      <c r="IV351" s="55">
        <f>SUMIFS(tblBudget[Ore_oz],tblBudget[Month],$E351)</f>
        <v/>
      </c>
      <c r="IW351" s="55">
        <f>$IV351*$C351/$D351</f>
        <v/>
      </c>
      <c r="IX351" s="55">
        <f>SUMIFS(tblBudget[Ore_oz],tblBudget[Month],"&lt;"&amp;$E351)+$IW351</f>
        <v/>
      </c>
      <c r="IY351" s="55">
        <f>SUMIFS(tblBudget[Ore_Mined_t],tblBudget[Month],$E351)</f>
        <v/>
      </c>
      <c r="IZ351" s="55">
        <f>$IY351*$C351/$D351</f>
        <v/>
      </c>
      <c r="JA351" s="55">
        <f>SUMIFS(tblBudget[Ore_Mined_t],tblBudget[Month],"&lt;"&amp;$E351)+$IZ351</f>
        <v/>
      </c>
      <c r="JB351" s="56">
        <f>IFERROR(IF(($IY351)&gt;0,($IV351*cfg_TroyOz)/($IY351),""),"")</f>
        <v/>
      </c>
      <c r="JC351" s="56">
        <f>IFERROR(IF(($IZ351)&gt;0,($IW351*cfg_TroyOz)/($IZ351),""),"")</f>
        <v/>
      </c>
      <c r="JD351" s="56">
        <f>IFERROR(IF(($JA351)&gt;0,($IX351*cfg_TroyOz)/($JA351),""),"")</f>
        <v/>
      </c>
      <c r="JE351" s="55">
        <f>SUMIFS(tblBudget[Waste_t],tblBudget[Month],$E351)</f>
        <v/>
      </c>
      <c r="JF351" s="55">
        <f>$JE351*$C351/$D351</f>
        <v/>
      </c>
      <c r="JG351" s="55">
        <f>SUMIFS(tblBudget[Waste_t],tblBudget[Month],"&lt;"&amp;$E351)+$JF351</f>
        <v/>
      </c>
      <c r="JH351" s="55">
        <f>SUMIFS(tblBudget[TMM_t],tblBudget[Month],$E351)</f>
        <v/>
      </c>
      <c r="JI351" s="55">
        <f>$JH351*$C351/$D351</f>
        <v/>
      </c>
      <c r="JJ351" s="55">
        <f>SUMIFS(tblBudget[TMM_t],tblBudget[Month],"&lt;"&amp;$E351)+$JI351</f>
        <v/>
      </c>
      <c r="JK351" s="56">
        <f>IFERROR(IF(($IS351)&gt;0,($JE351)/($IS351),""),"")</f>
        <v/>
      </c>
      <c r="JL351" s="56">
        <f>IFERROR(IF(($IT351)&gt;0,($JF351)/($IT351),""),"")</f>
        <v/>
      </c>
      <c r="JM351" s="56">
        <f>IFERROR(IF(($IU351)&gt;0,($JG351)/($IU351),""),"")</f>
        <v/>
      </c>
      <c r="JN351" s="55">
        <f>SUMIFS(tblBudget[Drill_m],tblBudget[Month],$E351)</f>
        <v/>
      </c>
      <c r="JO351" s="55">
        <f>$JN351*$C351/$D351</f>
        <v/>
      </c>
      <c r="JP351" s="55">
        <f>SUMIFS(tblBudget[Drill_m],tblBudget[Month],"&lt;"&amp;$E351)+$JO351</f>
        <v/>
      </c>
      <c r="JQ351" s="55">
        <f>SUMIFS(tblBudget[Diesel_L],tblBudget[Month],$E351)</f>
        <v/>
      </c>
      <c r="JR351" s="55">
        <f>$JQ351*$C351/$D351</f>
        <v/>
      </c>
      <c r="JS351" s="55">
        <f>SUMIFS(tblBudget[Diesel_L],tblBudget[Month],"&lt;"&amp;$E351)+$JR351</f>
        <v/>
      </c>
      <c r="JT351" s="55">
        <f>SUMIFS(tblBudget[Milled_t],tblBudget[Month],$E351)</f>
        <v/>
      </c>
      <c r="JU351" s="55">
        <f>$JT351*$C351/$D351</f>
        <v/>
      </c>
      <c r="JV351" s="55">
        <f>SUMIFS(tblBudget[Milled_t],tblBudget[Month],"&lt;"&amp;$E351)+$JU351</f>
        <v/>
      </c>
      <c r="JW351" s="55">
        <f>SUMIFS(tblBudget[Feed_oz],tblBudget[Month],$E351)</f>
        <v/>
      </c>
      <c r="JX351" s="55">
        <f>$JW351*$C351/$D351</f>
        <v/>
      </c>
      <c r="JY351" s="55">
        <f>SUMIFS(tblBudget[Feed_oz],tblBudget[Month],"&lt;"&amp;$E351)+$JX351</f>
        <v/>
      </c>
      <c r="JZ351" s="55">
        <f>SUMIFS(tblBudget[Recovered_oz],tblBudget[Month],$E351)</f>
        <v/>
      </c>
      <c r="KA351" s="55">
        <f>$JZ351*$C351/$D351</f>
        <v/>
      </c>
      <c r="KB351" s="55">
        <f>SUMIFS(tblBudget[Recovered_oz],tblBudget[Month],"&lt;"&amp;$E351)+$KA351</f>
        <v/>
      </c>
      <c r="KC351" s="55">
        <f>SUMIFS(tblBudget[Milled_t],tblBudget[Month],$E351)</f>
        <v/>
      </c>
      <c r="KD351" s="55">
        <f>$KC351*$C351/$D351</f>
        <v/>
      </c>
      <c r="KE351" s="55">
        <f>SUMIFS(tblBudget[Milled_t],tblBudget[Month],"&lt;"&amp;$E351)+$KD351</f>
        <v/>
      </c>
      <c r="KF351" s="55">
        <f>SUMIFS(tblBudget[Feed_oz],tblBudget[Month],$E351)</f>
        <v/>
      </c>
      <c r="KG351" s="55">
        <f>$KF351*$C351/$D351</f>
        <v/>
      </c>
      <c r="KH351" s="55">
        <f>SUMIFS(tblBudget[Feed_oz],tblBudget[Month],"&lt;"&amp;$E351)+$KG351</f>
        <v/>
      </c>
      <c r="KI351" s="56">
        <f>IFERROR(IF(($KC351)&gt;0,($JW351*cfg_TroyOz)/($KC351),""),"")</f>
        <v/>
      </c>
      <c r="KJ351" s="56">
        <f>IFERROR(IF(($KD351)&gt;0,($JX351*cfg_TroyOz)/($KD351),""),"")</f>
        <v/>
      </c>
      <c r="KK351" s="56">
        <f>IFERROR(IF(($KE351)&gt;0,($JY351*cfg_TroyOz)/($KE351),""),"")</f>
        <v/>
      </c>
      <c r="KL351" s="67">
        <f>IFERROR(IF(($KF351)&gt;0,($JZ351)/($KF351),""),"")</f>
        <v/>
      </c>
      <c r="KM351" s="67">
        <f>IFERROR(IF(($KG351)&gt;0,($KA351)/($KG351),""),"")</f>
        <v/>
      </c>
      <c r="KN351" s="67">
        <f>IFERROR(IF(($KH351)&gt;0,($KB351)/($KH351),""),"")</f>
        <v/>
      </c>
      <c r="KO351" s="55">
        <f>SUMIFS(tblBudget[Gold_Poured_oz],tblBudget[Month],$E351)</f>
        <v/>
      </c>
      <c r="KP351" s="55">
        <f>$KO351*$C351/$D351</f>
        <v/>
      </c>
      <c r="KQ351" s="55">
        <f>SUMIFS(tblBudget[Gold_Poured_oz],tblBudget[Month],"&lt;"&amp;$E351)+$KP351</f>
        <v/>
      </c>
      <c r="KR351" s="57">
        <f>SUMIFS(tblBudget[Hours_Worked],tblBudget[Month],$E351)</f>
        <v/>
      </c>
      <c r="KS351" s="57">
        <f>$KR351*$C351/$D351</f>
        <v/>
      </c>
      <c r="KT351" s="57">
        <f>SUMIFS(tblBudget[Hours_Worked],tblBudget[Month],"&lt;"&amp;$E351)+$KS351</f>
        <v/>
      </c>
    </row>
    <row r="352">
      <c r="A352" s="54" t="n">
        <v>46373</v>
      </c>
      <c r="B352">
        <f>MONTH($A352)</f>
        <v/>
      </c>
      <c r="C352">
        <f>DAY($A352)</f>
        <v/>
      </c>
      <c r="D352">
        <f>DAY(EOMONTH($A352,0))</f>
        <v/>
      </c>
      <c r="E352" s="54">
        <f>DATE(YEAR($A352),MONTH($A352),1)</f>
        <v/>
      </c>
      <c r="F352" s="55">
        <f>SUMIFS(tblMovement[Tonnes_t],tblMovement[Date],$A352,tblMovement[Is_Ore],1,tblMovement[Source_Type],"Pit")</f>
        <v/>
      </c>
      <c r="G352" s="55">
        <f>IF($B352=$B351,$G351,0)+$F352</f>
        <v/>
      </c>
      <c r="H352" s="55">
        <f>$H351+$F352</f>
        <v/>
      </c>
      <c r="I352" s="55">
        <f>SUMIFS(tblMovement[Ore_oz],tblMovement[Date],$A352,tblMovement[Source_Type],"Pit")</f>
        <v/>
      </c>
      <c r="J352" s="55">
        <f>IF($B352=$B351,$J351,0)+$I352</f>
        <v/>
      </c>
      <c r="K352" s="55">
        <f>$K351+$I352</f>
        <v/>
      </c>
      <c r="L352" s="55">
        <f>SUMIFS(tblMovement[Tonnes_t],tblMovement[Date],$A352,tblMovement[Is_Ore],1,tblMovement[Source_Type],"Pit",tblMovement[Grade_gpt],"&lt;&gt;")</f>
        <v/>
      </c>
      <c r="M352" s="55">
        <f>IF($B352=$B351,$M351,0)+$L352</f>
        <v/>
      </c>
      <c r="N352" s="55">
        <f>$N351+$L352</f>
        <v/>
      </c>
      <c r="O352" s="56">
        <f>IFERROR(IF(($L352)&gt;0,($I352*cfg_TroyOz)/($L352),""),"")</f>
        <v/>
      </c>
      <c r="P352" s="56">
        <f>IFERROR(IF(($M352)&gt;0,($J352*cfg_TroyOz)/($M352),""),"")</f>
        <v/>
      </c>
      <c r="Q352" s="56">
        <f>IFERROR(IF(($N352)&gt;0,($K352*cfg_TroyOz)/($N352),""),"")</f>
        <v/>
      </c>
      <c r="R352" s="55">
        <f>$F352-$L352</f>
        <v/>
      </c>
      <c r="S352" s="55">
        <f>IF($B352=$B351,$S351,0)+$R352</f>
        <v/>
      </c>
      <c r="T352" s="55">
        <f>$T351+$R352</f>
        <v/>
      </c>
      <c r="U352" s="55">
        <f>SUMIFS(tblMovement[Tonnes_t],tblMovement[Date],$A352,tblMovement[Is_Ore],0,tblMovement[Source_Type],"Pit")</f>
        <v/>
      </c>
      <c r="V352" s="55">
        <f>IF($B352=$B351,$V351,0)+$U352</f>
        <v/>
      </c>
      <c r="W352" s="55">
        <f>$W351+$U352</f>
        <v/>
      </c>
      <c r="X352" s="55">
        <f>$F352+$U352</f>
        <v/>
      </c>
      <c r="Y352" s="55">
        <f>IF($B352=$B351,$Y351,0)+$X352</f>
        <v/>
      </c>
      <c r="Z352" s="55">
        <f>$Z351+$X352</f>
        <v/>
      </c>
      <c r="AA352" s="56">
        <f>IFERROR(IF(($F352)&gt;0,($U352)/($F352),""),"")</f>
        <v/>
      </c>
      <c r="AB352" s="56">
        <f>IFERROR(IF(($G352)&gt;0,($V352)/($G352),""),"")</f>
        <v/>
      </c>
      <c r="AC352" s="56">
        <f>IFERROR(IF(($H352)&gt;0,($W352)/($H352),""),"")</f>
        <v/>
      </c>
      <c r="AD352" s="55">
        <f>SUMIFS(tblMovement[Tonnes_t],tblMovement[Date],$A352,tblMovement[Source_Type],"Stockpile")</f>
        <v/>
      </c>
      <c r="AE352" s="55">
        <f>IF($B352=$B351,$AE351,0)+$AD352</f>
        <v/>
      </c>
      <c r="AF352" s="55">
        <f>$AF351+$AD352</f>
        <v/>
      </c>
      <c r="AG352" s="55">
        <f>SUMIFS(tblMovement[Tonnes_t],tblMovement[Date],$A352)</f>
        <v/>
      </c>
      <c r="AH352" s="55">
        <f>IF($B352=$B351,$AH351,0)+$AG352</f>
        <v/>
      </c>
      <c r="AI352" s="55">
        <f>$AI351+$AG352</f>
        <v/>
      </c>
      <c r="AJ352" s="55">
        <f>$AG352-$X352-$AD352</f>
        <v/>
      </c>
      <c r="AK352" s="55">
        <f>IF($B352=$B351,$AK351,0)+$AJ352</f>
        <v/>
      </c>
      <c r="AL352" s="55">
        <f>$AL351+$AJ352</f>
        <v/>
      </c>
      <c r="AM352" s="55">
        <f>SUMIFS(tblMiningDaily[Drill_m],tblMiningDaily[Date],$A352)</f>
        <v/>
      </c>
      <c r="AN352" s="55">
        <f>IF($B352=$B351,$AN351,0)+$AM352</f>
        <v/>
      </c>
      <c r="AO352" s="55">
        <f>$AO351+$AM352</f>
        <v/>
      </c>
      <c r="AP352" s="55">
        <f>SUMIFS(tblMiningDaily[GC_Drill_m],tblMiningDaily[Date],$A352)</f>
        <v/>
      </c>
      <c r="AQ352" s="55">
        <f>IF($B352=$B351,$AQ351,0)+$AP352</f>
        <v/>
      </c>
      <c r="AR352" s="55">
        <f>$AR351+$AP352</f>
        <v/>
      </c>
      <c r="AS352" s="55">
        <f>SUMIFS(tblMiningDaily[Blast_t],tblMiningDaily[Date],$A352)</f>
        <v/>
      </c>
      <c r="AT352" s="55">
        <f>IF($B352=$B351,$AT351,0)+$AS352</f>
        <v/>
      </c>
      <c r="AU352" s="55">
        <f>$AU351+$AS352</f>
        <v/>
      </c>
      <c r="AV352" s="55">
        <f>SUMIFS(tblMiningDaily[Explosives_kg],tblMiningDaily[Date],$A352)</f>
        <v/>
      </c>
      <c r="AW352" s="55">
        <f>IF($B352=$B351,$AW351,0)+$AV352</f>
        <v/>
      </c>
      <c r="AX352" s="55">
        <f>$AX351+$AV352</f>
        <v/>
      </c>
      <c r="AY352" s="56">
        <f>IFERROR(IF(($AS352)&gt;0,($AV352)/($AS352),""),"")</f>
        <v/>
      </c>
      <c r="AZ352" s="56">
        <f>IFERROR(IF(($AT352)&gt;0,($AW352)/($AT352),""),"")</f>
        <v/>
      </c>
      <c r="BA352" s="56">
        <f>IFERROR(IF(($AU352)&gt;0,($AX352)/($AU352),""),"")</f>
        <v/>
      </c>
      <c r="BB352" s="55">
        <f>SUMIFS(tblMiningDaily[Diesel_L],tblMiningDaily[Date],$A352)</f>
        <v/>
      </c>
      <c r="BC352" s="55">
        <f>IF($B352=$B351,$BC351,0)+$BB352</f>
        <v/>
      </c>
      <c r="BD352" s="55">
        <f>$BD351+$BB352</f>
        <v/>
      </c>
      <c r="BE352" s="55">
        <f>SUMIFS(tblMiningDaily[Dewatering_m3],tblMiningDaily[Date],$A352)</f>
        <v/>
      </c>
      <c r="BF352" s="55">
        <f>IF($B352=$B351,$BF351,0)+$BE352</f>
        <v/>
      </c>
      <c r="BG352" s="55">
        <f>$BG351+$BE352</f>
        <v/>
      </c>
      <c r="BH352" s="57">
        <f>SUMIFS(tblFleet[Calendar_h],tblFleet[Date],$A352,tblFleet[Equipment_Class],"Excavator")</f>
        <v/>
      </c>
      <c r="BI352" s="57">
        <f>IF($B352=$B351,$BI351,0)+$BH352</f>
        <v/>
      </c>
      <c r="BJ352" s="57">
        <f>$BJ351+$BH352</f>
        <v/>
      </c>
      <c r="BK352" s="57">
        <f>SUMIFS(tblFleet[Available_h],tblFleet[Date],$A352,tblFleet[Equipment_Class],"Excavator")</f>
        <v/>
      </c>
      <c r="BL352" s="57">
        <f>IF($B352=$B351,$BL351,0)+$BK352</f>
        <v/>
      </c>
      <c r="BM352" s="57">
        <f>$BM351+$BK352</f>
        <v/>
      </c>
      <c r="BN352" s="57">
        <f>SUMIFS(tblFleet[Operating_h],tblFleet[Date],$A352,tblFleet[Equipment_Class],"Excavator")</f>
        <v/>
      </c>
      <c r="BO352" s="57">
        <f>IF($B352=$B351,$BO351,0)+$BN352</f>
        <v/>
      </c>
      <c r="BP352" s="57">
        <f>$BP351+$BN352</f>
        <v/>
      </c>
      <c r="BQ352" s="67">
        <f>IFERROR(IF(($BH352)&gt;0,($BK352)/($BH352),""),"")</f>
        <v/>
      </c>
      <c r="BR352" s="67">
        <f>IFERROR(IF(($BI352)&gt;0,($BL352)/($BI352),""),"")</f>
        <v/>
      </c>
      <c r="BS352" s="67">
        <f>IFERROR(IF(($BJ352)&gt;0,($BM352)/($BJ352),""),"")</f>
        <v/>
      </c>
      <c r="BT352" s="67">
        <f>IFERROR(IF(($BK352)&gt;0,($BN352)/($BK352),""),"")</f>
        <v/>
      </c>
      <c r="BU352" s="67">
        <f>IFERROR(IF(($BL352)&gt;0,($BO352)/($BL352),""),"")</f>
        <v/>
      </c>
      <c r="BV352" s="67">
        <f>IFERROR(IF(($BM352)&gt;0,($BP352)/($BM352),""),"")</f>
        <v/>
      </c>
      <c r="BW352" s="57">
        <f>SUMIFS(tblFleet[Calendar_h],tblFleet[Date],$A352,tblFleet[Equipment_Class],"Haul Truck")</f>
        <v/>
      </c>
      <c r="BX352" s="57">
        <f>IF($B352=$B351,$BX351,0)+$BW352</f>
        <v/>
      </c>
      <c r="BY352" s="57">
        <f>$BY351+$BW352</f>
        <v/>
      </c>
      <c r="BZ352" s="57">
        <f>SUMIFS(tblFleet[Available_h],tblFleet[Date],$A352,tblFleet[Equipment_Class],"Haul Truck")</f>
        <v/>
      </c>
      <c r="CA352" s="57">
        <f>IF($B352=$B351,$CA351,0)+$BZ352</f>
        <v/>
      </c>
      <c r="CB352" s="57">
        <f>$CB351+$BZ352</f>
        <v/>
      </c>
      <c r="CC352" s="57">
        <f>SUMIFS(tblFleet[Operating_h],tblFleet[Date],$A352,tblFleet[Equipment_Class],"Haul Truck")</f>
        <v/>
      </c>
      <c r="CD352" s="57">
        <f>IF($B352=$B351,$CD351,0)+$CC352</f>
        <v/>
      </c>
      <c r="CE352" s="57">
        <f>$CE351+$CC352</f>
        <v/>
      </c>
      <c r="CF352" s="67">
        <f>IFERROR(IF(($BW352)&gt;0,($BZ352)/($BW352),""),"")</f>
        <v/>
      </c>
      <c r="CG352" s="67">
        <f>IFERROR(IF(($BX352)&gt;0,($CA352)/($BX352),""),"")</f>
        <v/>
      </c>
      <c r="CH352" s="67">
        <f>IFERROR(IF(($BY352)&gt;0,($CB352)/($BY352),""),"")</f>
        <v/>
      </c>
      <c r="CI352" s="67">
        <f>IFERROR(IF(($BZ352)&gt;0,($CC352)/($BZ352),""),"")</f>
        <v/>
      </c>
      <c r="CJ352" s="67">
        <f>IFERROR(IF(($CA352)&gt;0,($CD352)/($CA352),""),"")</f>
        <v/>
      </c>
      <c r="CK352" s="67">
        <f>IFERROR(IF(($CB352)&gt;0,($CE352)/($CB352),""),"")</f>
        <v/>
      </c>
      <c r="CL352" s="55">
        <f>IFERROR(IF(($BN352)&gt;0,($X352+$AD352)/($BN352),""),"")</f>
        <v/>
      </c>
      <c r="CM352" s="55">
        <f>IFERROR(IF(($BO352)&gt;0,($Y352+$AE352)/($BO352),""),"")</f>
        <v/>
      </c>
      <c r="CN352" s="55">
        <f>IFERROR(IF(($BP352)&gt;0,($Z352+$AF352)/($BP352),""),"")</f>
        <v/>
      </c>
      <c r="CO352" s="55">
        <f>IFERROR(IF(($CC352)&gt;0,($X352+$AD352)/($CC352),""),"")</f>
        <v/>
      </c>
      <c r="CP352" s="55">
        <f>IFERROR(IF(($CD352)&gt;0,($Y352+$AE352)/($CD352),""),"")</f>
        <v/>
      </c>
      <c r="CQ352" s="55">
        <f>IFERROR(IF(($CE352)&gt;0,($Z352+$AF352)/($CE352),""),"")</f>
        <v/>
      </c>
      <c r="CR352" s="55">
        <f>SUMIFS(tblPlant[Crushed_t],tblPlant[Date],$A352)</f>
        <v/>
      </c>
      <c r="CS352" s="55">
        <f>IF($B352=$B351,$CS351,0)+$CR352</f>
        <v/>
      </c>
      <c r="CT352" s="55">
        <f>$CT351+$CR352</f>
        <v/>
      </c>
      <c r="CU352" s="55">
        <f>SUMIFS(tblPlant[Milled_t],tblPlant[Date],$A352)</f>
        <v/>
      </c>
      <c r="CV352" s="55">
        <f>IF($B352=$B351,$CV351,0)+$CU352</f>
        <v/>
      </c>
      <c r="CW352" s="55">
        <f>$CW351+$CU352</f>
        <v/>
      </c>
      <c r="CX352" s="55">
        <f>SUMIFS(tblPlant[Feed_oz],tblPlant[Date],$A352)</f>
        <v/>
      </c>
      <c r="CY352" s="55">
        <f>IF($B352=$B351,$CY351,0)+$CX352</f>
        <v/>
      </c>
      <c r="CZ352" s="55">
        <f>$CZ351+$CX352</f>
        <v/>
      </c>
      <c r="DA352" s="55">
        <f>SUMIFS(tblPlant[Tails_oz],tblPlant[Date],$A352)</f>
        <v/>
      </c>
      <c r="DB352" s="55">
        <f>IF($B352=$B351,$DB351,0)+$DA352</f>
        <v/>
      </c>
      <c r="DC352" s="55">
        <f>$DC351+$DA352</f>
        <v/>
      </c>
      <c r="DD352" s="55">
        <f>SUMIFS(tblPlant[Recovered_oz],tblPlant[Date],$A352)</f>
        <v/>
      </c>
      <c r="DE352" s="55">
        <f>IF($B352=$B351,$DE351,0)+$DD352</f>
        <v/>
      </c>
      <c r="DF352" s="55">
        <f>$DF351+$DD352</f>
        <v/>
      </c>
      <c r="DG352" s="55">
        <f>SUMIFS(tblPlant[Milled_t],tblPlant[Date],$A352,tblPlant[Head_Grade_gpt],"&lt;&gt;")</f>
        <v/>
      </c>
      <c r="DH352" s="55">
        <f>IF($B352=$B351,$DH351,0)+$DG352</f>
        <v/>
      </c>
      <c r="DI352" s="55">
        <f>$DI351+$DG352</f>
        <v/>
      </c>
      <c r="DJ352" s="55">
        <f>SUMIFS(tblPlant[Milled_t],tblPlant[Date],$A352,tblPlant[Tails_Grade_gpt],"&lt;&gt;")</f>
        <v/>
      </c>
      <c r="DK352" s="55">
        <f>IF($B352=$B351,$DK351,0)+$DJ352</f>
        <v/>
      </c>
      <c r="DL352" s="55">
        <f>$DL351+$DJ352</f>
        <v/>
      </c>
      <c r="DM352" s="55">
        <f>SUMIFS(tblPlant[Feed_oz],tblPlant[Date],$A352,tblPlant[Tails_Grade_gpt],"&lt;&gt;")</f>
        <v/>
      </c>
      <c r="DN352" s="55">
        <f>IF($B352=$B351,$DN351,0)+$DM352</f>
        <v/>
      </c>
      <c r="DO352" s="55">
        <f>$DO351+$DM352</f>
        <v/>
      </c>
      <c r="DP352" s="55">
        <f>SUMIFS(tblPlant[Milled_t],tblPlant[Date],$A352,tblPlant[Mill_Run_h],"&lt;&gt;")</f>
        <v/>
      </c>
      <c r="DQ352" s="55">
        <f>IF($B352=$B351,$DQ351,0)+$DP352</f>
        <v/>
      </c>
      <c r="DR352" s="55">
        <f>$DR351+$DP352</f>
        <v/>
      </c>
      <c r="DS352" s="56">
        <f>IFERROR(IF(($DG352)&gt;0,($CX352*cfg_TroyOz)/($DG352),""),"")</f>
        <v/>
      </c>
      <c r="DT352" s="56">
        <f>IFERROR(IF(($DH352)&gt;0,($CY352*cfg_TroyOz)/($DH352),""),"")</f>
        <v/>
      </c>
      <c r="DU352" s="56">
        <f>IFERROR(IF(($DI352)&gt;0,($CZ352*cfg_TroyOz)/($DI352),""),"")</f>
        <v/>
      </c>
      <c r="DV352" s="56">
        <f>IFERROR(IF(($DJ352)&gt;0,($DA352*cfg_TroyOz)/($DJ352),""),"")</f>
        <v/>
      </c>
      <c r="DW352" s="56">
        <f>IFERROR(IF(($DK352)&gt;0,($DB352*cfg_TroyOz)/($DK352),""),"")</f>
        <v/>
      </c>
      <c r="DX352" s="56">
        <f>IFERROR(IF(($DL352)&gt;0,($DC352*cfg_TroyOz)/($DL352),""),"")</f>
        <v/>
      </c>
      <c r="DY352" s="67">
        <f>IFERROR(IF(($DM352)&gt;0,($DD352)/($DM352),""),"")</f>
        <v/>
      </c>
      <c r="DZ352" s="67">
        <f>IFERROR(IF(($DN352)&gt;0,($DE352)/($DN352),""),"")</f>
        <v/>
      </c>
      <c r="EA352" s="67">
        <f>IFERROR(IF(($DO352)&gt;0,($DF352)/($DO352),""),"")</f>
        <v/>
      </c>
      <c r="EB352" s="55">
        <f>SUMIFS(tblPlant[Gravity_Gold_oz],tblPlant[Date],$A352)</f>
        <v/>
      </c>
      <c r="EC352" s="55">
        <f>IF($B352=$B351,$EC351,0)+$EB352</f>
        <v/>
      </c>
      <c r="ED352" s="55">
        <f>$ED351+$EB352</f>
        <v/>
      </c>
      <c r="EE352" s="67">
        <f>IFERROR(IF(($DD352)&gt;0,($EB352)/($DD352),""),"")</f>
        <v/>
      </c>
      <c r="EF352" s="67">
        <f>IFERROR(IF(($DE352)&gt;0,($EC352)/($DE352),""),"")</f>
        <v/>
      </c>
      <c r="EG352" s="67">
        <f>IFERROR(IF(($DF352)&gt;0,($ED352)/($DF352),""),"")</f>
        <v/>
      </c>
      <c r="EH352" s="55">
        <f>SUMIFS(tblPlant[Gold_Poured_oz],tblPlant[Date],$A352)</f>
        <v/>
      </c>
      <c r="EI352" s="55">
        <f>IF($B352=$B351,$EI351,0)+$EH352</f>
        <v/>
      </c>
      <c r="EJ352" s="55">
        <f>$EJ351+$EH352</f>
        <v/>
      </c>
      <c r="EK352" s="57">
        <f>SUMIFS(tblPlant[Mill_Run_h],tblPlant[Date],$A352)</f>
        <v/>
      </c>
      <c r="EL352" s="57">
        <f>IF($B352=$B351,$EL351,0)+$EK352</f>
        <v/>
      </c>
      <c r="EM352" s="57">
        <f>$EM351+$EK352</f>
        <v/>
      </c>
      <c r="EN352" s="57">
        <f>SUMIFS(tblPlant[Mill_Planned_Maint_h],tblPlant[Date],$A352)</f>
        <v/>
      </c>
      <c r="EO352" s="57">
        <f>IF($B352=$B351,$EO351,0)+$EN352</f>
        <v/>
      </c>
      <c r="EP352" s="57">
        <f>$EP351+$EN352</f>
        <v/>
      </c>
      <c r="EQ352" s="57">
        <f>SUMIFS(tblPlant[Mill_Unplanned_Down_h],tblPlant[Date],$A352)</f>
        <v/>
      </c>
      <c r="ER352" s="57">
        <f>IF($B352=$B351,$ER351,0)+$EQ352</f>
        <v/>
      </c>
      <c r="ES352" s="57">
        <f>$ES351+$EQ352</f>
        <v/>
      </c>
      <c r="ET352" s="57">
        <f>IF(COUNTIFS(tblPlant[Date],$A352,tblPlant[Mill_Run_h],"&lt;&gt;")+COUNTIFS(tblPlant[Date],$A352,tblPlant[Mill_Planned_Maint_h],"&lt;&gt;")+COUNTIFS(tblPlant[Date],$A352,tblPlant[Mill_Unplanned_Down_h],"&lt;&gt;")&gt;0,cfg_HoursPerDay,0)</f>
        <v/>
      </c>
      <c r="EU352" s="57">
        <f>IF($B352=$B351,$EU351,0)+$ET352</f>
        <v/>
      </c>
      <c r="EV352" s="57">
        <f>$EV351+$ET352</f>
        <v/>
      </c>
      <c r="EW352" s="57">
        <f>SUMIFS(tblPlant[Crusher_Run_h],tblPlant[Date],$A352)</f>
        <v/>
      </c>
      <c r="EX352" s="57">
        <f>IF($B352=$B351,$EX351,0)+$EW352</f>
        <v/>
      </c>
      <c r="EY352" s="57">
        <f>$EY351+$EW352</f>
        <v/>
      </c>
      <c r="EZ352" s="55">
        <f>IFERROR(IF(($EK352)&gt;0,($DP352)/($EK352),""),"")</f>
        <v/>
      </c>
      <c r="FA352" s="55">
        <f>IFERROR(IF(($EL352)&gt;0,($DQ352)/($EL352),""),"")</f>
        <v/>
      </c>
      <c r="FB352" s="55">
        <f>IFERROR(IF(($EM352)&gt;0,($DR352)/($EM352),""),"")</f>
        <v/>
      </c>
      <c r="FC352" s="67">
        <f>IFERROR(IF(($ET352)&gt;0,($ET352-$EN352-$EQ352)/($ET352),""),"")</f>
        <v/>
      </c>
      <c r="FD352" s="67">
        <f>IFERROR(IF(($EU352)&gt;0,($EU352-$EO352-$ER352)/($EU352),""),"")</f>
        <v/>
      </c>
      <c r="FE352" s="67">
        <f>IFERROR(IF(($EV352)&gt;0,($EV352-$EP352-$ES352)/($EV352),""),"")</f>
        <v/>
      </c>
      <c r="FF352" s="67">
        <f>IFERROR(IF(($ET352-$EN352-$EQ352)&gt;0,($EK352)/($ET352-$EN352-$EQ352),""),"")</f>
        <v/>
      </c>
      <c r="FG352" s="67">
        <f>IFERROR(IF(($EU352-$EO352-$ER352)&gt;0,($EL352)/($EU352-$EO352-$ER352),""),"")</f>
        <v/>
      </c>
      <c r="FH352" s="67">
        <f>IFERROR(IF(($EV352-$EP352-$ES352)&gt;0,($EM352)/($EV352-$EP352-$ES352),""),"")</f>
        <v/>
      </c>
      <c r="FI352" s="55">
        <f>SUMIFS(tblPlant[Cyanide_kg],tblPlant[Date],$A352)</f>
        <v/>
      </c>
      <c r="FJ352" s="55">
        <f>IF($B352=$B351,$FJ351,0)+$FI352</f>
        <v/>
      </c>
      <c r="FK352" s="55">
        <f>$FK351+$FI352</f>
        <v/>
      </c>
      <c r="FL352" s="55">
        <f>SUMIFS(tblPlant[Lime_kg],tblPlant[Date],$A352)</f>
        <v/>
      </c>
      <c r="FM352" s="55">
        <f>IF($B352=$B351,$FM351,0)+$FL352</f>
        <v/>
      </c>
      <c r="FN352" s="55">
        <f>$FN351+$FL352</f>
        <v/>
      </c>
      <c r="FO352" s="55">
        <f>SUMIFS(tblPlant[Grinding_Media_kg],tblPlant[Date],$A352)</f>
        <v/>
      </c>
      <c r="FP352" s="55">
        <f>IF($B352=$B351,$FP351,0)+$FO352</f>
        <v/>
      </c>
      <c r="FQ352" s="55">
        <f>$FQ351+$FO352</f>
        <v/>
      </c>
      <c r="FR352" s="55">
        <f>SUMIFS(tblPlant[Power_kWh],tblPlant[Date],$A352)</f>
        <v/>
      </c>
      <c r="FS352" s="55">
        <f>IF($B352=$B351,$FS351,0)+$FR352</f>
        <v/>
      </c>
      <c r="FT352" s="55">
        <f>$FT351+$FR352</f>
        <v/>
      </c>
      <c r="FU352" s="55">
        <f>SUMIFS(tblPlant[Raw_Water_m3],tblPlant[Date],$A352)</f>
        <v/>
      </c>
      <c r="FV352" s="55">
        <f>IF($B352=$B351,$FV351,0)+$FU352</f>
        <v/>
      </c>
      <c r="FW352" s="55">
        <f>$FW351+$FU352</f>
        <v/>
      </c>
      <c r="FX352" s="56">
        <f>IFERROR(IF(($CU352)&gt;0,($FI352)/($CU352),""),"")</f>
        <v/>
      </c>
      <c r="FY352" s="56">
        <f>IFERROR(IF(($CV352)&gt;0,($FJ352)/($CV352),""),"")</f>
        <v/>
      </c>
      <c r="FZ352" s="56">
        <f>IFERROR(IF(($CW352)&gt;0,($FK352)/($CW352),""),"")</f>
        <v/>
      </c>
      <c r="GA352" s="56">
        <f>IFERROR(IF(($CU352)&gt;0,($FL352)/($CU352),""),"")</f>
        <v/>
      </c>
      <c r="GB352" s="56">
        <f>IFERROR(IF(($CV352)&gt;0,($FM352)/($CV352),""),"")</f>
        <v/>
      </c>
      <c r="GC352" s="56">
        <f>IFERROR(IF(($CW352)&gt;0,($FN352)/($CW352),""),"")</f>
        <v/>
      </c>
      <c r="GD352" s="56">
        <f>IFERROR(IF(($CU352)&gt;0,($FO352)/($CU352),""),"")</f>
        <v/>
      </c>
      <c r="GE352" s="56">
        <f>IFERROR(IF(($CV352)&gt;0,($FP352)/($CV352),""),"")</f>
        <v/>
      </c>
      <c r="GF352" s="56">
        <f>IFERROR(IF(($CW352)&gt;0,($FQ352)/($CW352),""),"")</f>
        <v/>
      </c>
      <c r="GG352" s="79">
        <f>IFERROR(IF(($CU352)&gt;0,($FR352)/($CU352),""),"")</f>
        <v/>
      </c>
      <c r="GH352" s="79">
        <f>IFERROR(IF(($CV352)&gt;0,($FS352)/($CV352),""),"")</f>
        <v/>
      </c>
      <c r="GI352" s="79">
        <f>IFERROR(IF(($CW352)&gt;0,($FT352)/($CW352),""),"")</f>
        <v/>
      </c>
      <c r="GJ352" s="56">
        <f>IFERROR(IF(($CU352)&gt;0,($FU352)/($CU352),""),"")</f>
        <v/>
      </c>
      <c r="GK352" s="56">
        <f>IFERROR(IF(($CV352)&gt;0,($FV352)/($CV352),""),"")</f>
        <v/>
      </c>
      <c r="GL352" s="56">
        <f>IFERROR(IF(($CW352)&gt;0,($FW352)/($CW352),""),"")</f>
        <v/>
      </c>
      <c r="GM352" s="55">
        <f>IF(SUMIFS(tblPlant[GIC_oz],tblPlant[Date],$A352)&gt;0,SUMIFS(tblPlant[GIC_oz],tblPlant[Date],$A352),"")</f>
        <v/>
      </c>
      <c r="GN352" s="55">
        <f>SUMIFS(tblGold[Gold_oz],tblGold[Date],$A352,tblGold[Type],"Shipment")</f>
        <v/>
      </c>
      <c r="GO352" s="55">
        <f>IF($B352=$B351,$GO351,0)+$GN352</f>
        <v/>
      </c>
      <c r="GP352" s="55">
        <f>$GP351+$GN352</f>
        <v/>
      </c>
      <c r="GQ352" s="55">
        <f>SUMIFS(tblGold[Gold_oz],tblGold[Date],$A352,tblGold[Type],"Sale")</f>
        <v/>
      </c>
      <c r="GR352" s="55">
        <f>IF($B352=$B351,$GR351,0)+$GQ352</f>
        <v/>
      </c>
      <c r="GS352" s="55">
        <f>$GS351+$GQ352</f>
        <v/>
      </c>
      <c r="GT352" s="55">
        <f>SUMIFS(tblGold[Dore_kg],tblGold[Date],$A352,tblGold[Type],"Shipment")</f>
        <v/>
      </c>
      <c r="GU352" s="55">
        <f>IF($B352=$B351,$GU351,0)+$GT352</f>
        <v/>
      </c>
      <c r="GV352" s="55">
        <f>$GV351+$GT352</f>
        <v/>
      </c>
      <c r="GW352" s="57">
        <f>SUMIFS(tblSafety[Hours_Total],tblSafety[Date],$A352)</f>
        <v/>
      </c>
      <c r="GX352" s="57">
        <f>IF($B352=$B351,$GX351,0)+$GW352</f>
        <v/>
      </c>
      <c r="GY352" s="57">
        <f>$GY351+$GW352</f>
        <v/>
      </c>
      <c r="GZ352" s="62">
        <f>SUMIFS(tblSafety[Fatality],tblSafety[Date],$A352)</f>
        <v/>
      </c>
      <c r="HA352" s="62">
        <f>IF($B352=$B351,$HA351,0)+$GZ352</f>
        <v/>
      </c>
      <c r="HB352" s="62">
        <f>$HB351+$GZ352</f>
        <v/>
      </c>
      <c r="HC352" s="62">
        <f>SUMIFS(tblSafety[LTI],tblSafety[Date],$A352)</f>
        <v/>
      </c>
      <c r="HD352" s="62">
        <f>IF($B352=$B351,$HD351,0)+$HC352</f>
        <v/>
      </c>
      <c r="HE352" s="62">
        <f>$HE351+$HC352</f>
        <v/>
      </c>
      <c r="HF352" s="62">
        <f>SUMIFS(tblSafety[RWI],tblSafety[Date],$A352)</f>
        <v/>
      </c>
      <c r="HG352" s="62">
        <f>IF($B352=$B351,$HG351,0)+$HF352</f>
        <v/>
      </c>
      <c r="HH352" s="62">
        <f>$HH351+$HF352</f>
        <v/>
      </c>
      <c r="HI352" s="62">
        <f>SUMIFS(tblSafety[MTI],tblSafety[Date],$A352)</f>
        <v/>
      </c>
      <c r="HJ352" s="62">
        <f>IF($B352=$B351,$HJ351,0)+$HI352</f>
        <v/>
      </c>
      <c r="HK352" s="62">
        <f>$HK351+$HI352</f>
        <v/>
      </c>
      <c r="HL352" s="62">
        <f>SUMIFS(tblSafety[FAI],tblSafety[Date],$A352)</f>
        <v/>
      </c>
      <c r="HM352" s="62">
        <f>IF($B352=$B351,$HM351,0)+$HL352</f>
        <v/>
      </c>
      <c r="HN352" s="62">
        <f>$HN351+$HL352</f>
        <v/>
      </c>
      <c r="HO352" s="62">
        <f>SUMIFS(tblSafety[Recordables],tblSafety[Date],$A352)</f>
        <v/>
      </c>
      <c r="HP352" s="62">
        <f>IF($B352=$B351,$HP351,0)+$HO352</f>
        <v/>
      </c>
      <c r="HQ352" s="62">
        <f>$HQ351+$HO352</f>
        <v/>
      </c>
      <c r="HR352" s="62">
        <f>SUMIFS(tblSafety[Near_Miss],tblSafety[Date],$A352)</f>
        <v/>
      </c>
      <c r="HS352" s="62">
        <f>IF($B352=$B351,$HS351,0)+$HR352</f>
        <v/>
      </c>
      <c r="HT352" s="62">
        <f>$HT351+$HR352</f>
        <v/>
      </c>
      <c r="HU352" s="62">
        <f>SUMIFS(tblSafety[Hazard_Reports],tblSafety[Date],$A352)</f>
        <v/>
      </c>
      <c r="HV352" s="62">
        <f>IF($B352=$B351,$HV351,0)+$HU352</f>
        <v/>
      </c>
      <c r="HW352" s="62">
        <f>$HW351+$HU352</f>
        <v/>
      </c>
      <c r="HX352" s="62">
        <f>SUMIFS(tblSafety[HPI],tblSafety[Date],$A352)</f>
        <v/>
      </c>
      <c r="HY352" s="62">
        <f>IF($B352=$B351,$HY351,0)+$HX352</f>
        <v/>
      </c>
      <c r="HZ352" s="62">
        <f>$HZ351+$HX352</f>
        <v/>
      </c>
      <c r="IA352" s="62">
        <f>SUMIFS(tblSafety[Env_Incidents],tblSafety[Date],$A352)</f>
        <v/>
      </c>
      <c r="IB352" s="62">
        <f>IF($B352=$B351,$IB351,0)+$IA352</f>
        <v/>
      </c>
      <c r="IC352" s="62">
        <f>$IC351+$IA352</f>
        <v/>
      </c>
      <c r="ID352" s="62">
        <f>SUMIFS(tblSafety[Community_Incidents],tblSafety[Date],$A352)</f>
        <v/>
      </c>
      <c r="IE352" s="62">
        <f>IF($B352=$B351,$IE351,0)+$ID352</f>
        <v/>
      </c>
      <c r="IF352" s="62">
        <f>$IF351+$ID352</f>
        <v/>
      </c>
      <c r="IG352" s="62">
        <f>SUMIFS(tblSafety[Vehicle_Incidents],tblSafety[Date],$A352)</f>
        <v/>
      </c>
      <c r="IH352" s="62">
        <f>IF($B352=$B351,$IH351,0)+$IG352</f>
        <v/>
      </c>
      <c r="II352" s="62">
        <f>$II351+$IG352</f>
        <v/>
      </c>
      <c r="IJ352" s="62">
        <f>SUMIFS(tblSafety[Toolbox_Talks],tblSafety[Date],$A352)</f>
        <v/>
      </c>
      <c r="IK352" s="62">
        <f>IF($B352=$B351,$IK351,0)+$IJ352</f>
        <v/>
      </c>
      <c r="IL352" s="62">
        <f>$IL351+$IJ352</f>
        <v/>
      </c>
      <c r="IM352" s="62">
        <f>SUMIFS(tblSafety[Inspections],tblSafety[Date],$A352)</f>
        <v/>
      </c>
      <c r="IN352" s="62">
        <f>IF($B352=$B351,$IN351,0)+$IM352</f>
        <v/>
      </c>
      <c r="IO352" s="62">
        <f>$IO351+$IM352</f>
        <v/>
      </c>
      <c r="IP352" s="56">
        <f>IFERROR((SUMIFS(tblSafety[Recordables],tblSafety[Date],"&gt;="&amp;EDATE($E352,-12),tblSafety[Date],"&lt;="&amp;$A352)+SUMIFS(tblSafetyHistory[Recordables],tblSafetyHistory[Month],"&gt;="&amp;EDATE($E352,-12),tblSafetyHistory[Month],"&lt;"&amp;$E352,tblSafetyHistory[Use],1))/(SUMIFS(tblSafety[Hours_Total],tblSafety[Date],"&gt;="&amp;EDATE($E352,-12),tblSafety[Date],"&lt;="&amp;$A352)+SUMIFS(tblSafetyHistory[Hours_Total],tblSafetyHistory[Month],"&gt;="&amp;EDATE($E352,-12),tblSafetyHistory[Month],"&lt;"&amp;$E352,tblSafetyHistory[Use],1))*cfg_RateBasisHours,"")</f>
        <v/>
      </c>
      <c r="IQ352" s="56">
        <f>IFERROR((SUMIFS(tblSafety[LTI],tblSafety[Date],"&gt;="&amp;EDATE($E352,-12),tblSafety[Date],"&lt;="&amp;$A352)+SUMIFS(tblSafetyHistory[LTI],tblSafetyHistory[Month],"&gt;="&amp;EDATE($E352,-12),tblSafetyHistory[Month],"&lt;"&amp;$E352,tblSafetyHistory[Use],1))/(SUMIFS(tblSafety[Hours_Total],tblSafety[Date],"&gt;="&amp;EDATE($E352,-12),tblSafety[Date],"&lt;="&amp;$A352)+SUMIFS(tblSafetyHistory[Hours_Total],tblSafetyHistory[Month],"&gt;="&amp;EDATE($E352,-12),tblSafetyHistory[Month],"&lt;"&amp;$E352,tblSafetyHistory[Use],1))*cfg_RateBasisHours,"")</f>
        <v/>
      </c>
      <c r="IR352" s="62">
        <f>IF(MAX(N(cfg_PriorLTIDate),_xlfn.MAXIFS(tblSafety[Date],tblSafety[LTI],"&gt;0",tblSafety[Date],"&lt;="&amp;$A352))=0,"",$A352-MAX(N(cfg_PriorLTIDate),_xlfn.MAXIFS(tblSafety[Date],tblSafety[LTI],"&gt;0",tblSafety[Date],"&lt;="&amp;$A352)))</f>
        <v/>
      </c>
      <c r="IS352" s="55">
        <f>SUMIFS(tblBudget[Ore_Mined_t],tblBudget[Month],$E352)</f>
        <v/>
      </c>
      <c r="IT352" s="55">
        <f>$IS352*$C352/$D352</f>
        <v/>
      </c>
      <c r="IU352" s="55">
        <f>SUMIFS(tblBudget[Ore_Mined_t],tblBudget[Month],"&lt;"&amp;$E352)+$IT352</f>
        <v/>
      </c>
      <c r="IV352" s="55">
        <f>SUMIFS(tblBudget[Ore_oz],tblBudget[Month],$E352)</f>
        <v/>
      </c>
      <c r="IW352" s="55">
        <f>$IV352*$C352/$D352</f>
        <v/>
      </c>
      <c r="IX352" s="55">
        <f>SUMIFS(tblBudget[Ore_oz],tblBudget[Month],"&lt;"&amp;$E352)+$IW352</f>
        <v/>
      </c>
      <c r="IY352" s="55">
        <f>SUMIFS(tblBudget[Ore_Mined_t],tblBudget[Month],$E352)</f>
        <v/>
      </c>
      <c r="IZ352" s="55">
        <f>$IY352*$C352/$D352</f>
        <v/>
      </c>
      <c r="JA352" s="55">
        <f>SUMIFS(tblBudget[Ore_Mined_t],tblBudget[Month],"&lt;"&amp;$E352)+$IZ352</f>
        <v/>
      </c>
      <c r="JB352" s="56">
        <f>IFERROR(IF(($IY352)&gt;0,($IV352*cfg_TroyOz)/($IY352),""),"")</f>
        <v/>
      </c>
      <c r="JC352" s="56">
        <f>IFERROR(IF(($IZ352)&gt;0,($IW352*cfg_TroyOz)/($IZ352),""),"")</f>
        <v/>
      </c>
      <c r="JD352" s="56">
        <f>IFERROR(IF(($JA352)&gt;0,($IX352*cfg_TroyOz)/($JA352),""),"")</f>
        <v/>
      </c>
      <c r="JE352" s="55">
        <f>SUMIFS(tblBudget[Waste_t],tblBudget[Month],$E352)</f>
        <v/>
      </c>
      <c r="JF352" s="55">
        <f>$JE352*$C352/$D352</f>
        <v/>
      </c>
      <c r="JG352" s="55">
        <f>SUMIFS(tblBudget[Waste_t],tblBudget[Month],"&lt;"&amp;$E352)+$JF352</f>
        <v/>
      </c>
      <c r="JH352" s="55">
        <f>SUMIFS(tblBudget[TMM_t],tblBudget[Month],$E352)</f>
        <v/>
      </c>
      <c r="JI352" s="55">
        <f>$JH352*$C352/$D352</f>
        <v/>
      </c>
      <c r="JJ352" s="55">
        <f>SUMIFS(tblBudget[TMM_t],tblBudget[Month],"&lt;"&amp;$E352)+$JI352</f>
        <v/>
      </c>
      <c r="JK352" s="56">
        <f>IFERROR(IF(($IS352)&gt;0,($JE352)/($IS352),""),"")</f>
        <v/>
      </c>
      <c r="JL352" s="56">
        <f>IFERROR(IF(($IT352)&gt;0,($JF352)/($IT352),""),"")</f>
        <v/>
      </c>
      <c r="JM352" s="56">
        <f>IFERROR(IF(($IU352)&gt;0,($JG352)/($IU352),""),"")</f>
        <v/>
      </c>
      <c r="JN352" s="55">
        <f>SUMIFS(tblBudget[Drill_m],tblBudget[Month],$E352)</f>
        <v/>
      </c>
      <c r="JO352" s="55">
        <f>$JN352*$C352/$D352</f>
        <v/>
      </c>
      <c r="JP352" s="55">
        <f>SUMIFS(tblBudget[Drill_m],tblBudget[Month],"&lt;"&amp;$E352)+$JO352</f>
        <v/>
      </c>
      <c r="JQ352" s="55">
        <f>SUMIFS(tblBudget[Diesel_L],tblBudget[Month],$E352)</f>
        <v/>
      </c>
      <c r="JR352" s="55">
        <f>$JQ352*$C352/$D352</f>
        <v/>
      </c>
      <c r="JS352" s="55">
        <f>SUMIFS(tblBudget[Diesel_L],tblBudget[Month],"&lt;"&amp;$E352)+$JR352</f>
        <v/>
      </c>
      <c r="JT352" s="55">
        <f>SUMIFS(tblBudget[Milled_t],tblBudget[Month],$E352)</f>
        <v/>
      </c>
      <c r="JU352" s="55">
        <f>$JT352*$C352/$D352</f>
        <v/>
      </c>
      <c r="JV352" s="55">
        <f>SUMIFS(tblBudget[Milled_t],tblBudget[Month],"&lt;"&amp;$E352)+$JU352</f>
        <v/>
      </c>
      <c r="JW352" s="55">
        <f>SUMIFS(tblBudget[Feed_oz],tblBudget[Month],$E352)</f>
        <v/>
      </c>
      <c r="JX352" s="55">
        <f>$JW352*$C352/$D352</f>
        <v/>
      </c>
      <c r="JY352" s="55">
        <f>SUMIFS(tblBudget[Feed_oz],tblBudget[Month],"&lt;"&amp;$E352)+$JX352</f>
        <v/>
      </c>
      <c r="JZ352" s="55">
        <f>SUMIFS(tblBudget[Recovered_oz],tblBudget[Month],$E352)</f>
        <v/>
      </c>
      <c r="KA352" s="55">
        <f>$JZ352*$C352/$D352</f>
        <v/>
      </c>
      <c r="KB352" s="55">
        <f>SUMIFS(tblBudget[Recovered_oz],tblBudget[Month],"&lt;"&amp;$E352)+$KA352</f>
        <v/>
      </c>
      <c r="KC352" s="55">
        <f>SUMIFS(tblBudget[Milled_t],tblBudget[Month],$E352)</f>
        <v/>
      </c>
      <c r="KD352" s="55">
        <f>$KC352*$C352/$D352</f>
        <v/>
      </c>
      <c r="KE352" s="55">
        <f>SUMIFS(tblBudget[Milled_t],tblBudget[Month],"&lt;"&amp;$E352)+$KD352</f>
        <v/>
      </c>
      <c r="KF352" s="55">
        <f>SUMIFS(tblBudget[Feed_oz],tblBudget[Month],$E352)</f>
        <v/>
      </c>
      <c r="KG352" s="55">
        <f>$KF352*$C352/$D352</f>
        <v/>
      </c>
      <c r="KH352" s="55">
        <f>SUMIFS(tblBudget[Feed_oz],tblBudget[Month],"&lt;"&amp;$E352)+$KG352</f>
        <v/>
      </c>
      <c r="KI352" s="56">
        <f>IFERROR(IF(($KC352)&gt;0,($JW352*cfg_TroyOz)/($KC352),""),"")</f>
        <v/>
      </c>
      <c r="KJ352" s="56">
        <f>IFERROR(IF(($KD352)&gt;0,($JX352*cfg_TroyOz)/($KD352),""),"")</f>
        <v/>
      </c>
      <c r="KK352" s="56">
        <f>IFERROR(IF(($KE352)&gt;0,($JY352*cfg_TroyOz)/($KE352),""),"")</f>
        <v/>
      </c>
      <c r="KL352" s="67">
        <f>IFERROR(IF(($KF352)&gt;0,($JZ352)/($KF352),""),"")</f>
        <v/>
      </c>
      <c r="KM352" s="67">
        <f>IFERROR(IF(($KG352)&gt;0,($KA352)/($KG352),""),"")</f>
        <v/>
      </c>
      <c r="KN352" s="67">
        <f>IFERROR(IF(($KH352)&gt;0,($KB352)/($KH352),""),"")</f>
        <v/>
      </c>
      <c r="KO352" s="55">
        <f>SUMIFS(tblBudget[Gold_Poured_oz],tblBudget[Month],$E352)</f>
        <v/>
      </c>
      <c r="KP352" s="55">
        <f>$KO352*$C352/$D352</f>
        <v/>
      </c>
      <c r="KQ352" s="55">
        <f>SUMIFS(tblBudget[Gold_Poured_oz],tblBudget[Month],"&lt;"&amp;$E352)+$KP352</f>
        <v/>
      </c>
      <c r="KR352" s="57">
        <f>SUMIFS(tblBudget[Hours_Worked],tblBudget[Month],$E352)</f>
        <v/>
      </c>
      <c r="KS352" s="57">
        <f>$KR352*$C352/$D352</f>
        <v/>
      </c>
      <c r="KT352" s="57">
        <f>SUMIFS(tblBudget[Hours_Worked],tblBudget[Month],"&lt;"&amp;$E352)+$KS352</f>
        <v/>
      </c>
    </row>
    <row r="353">
      <c r="A353" s="54" t="n">
        <v>46374</v>
      </c>
      <c r="B353">
        <f>MONTH($A353)</f>
        <v/>
      </c>
      <c r="C353">
        <f>DAY($A353)</f>
        <v/>
      </c>
      <c r="D353">
        <f>DAY(EOMONTH($A353,0))</f>
        <v/>
      </c>
      <c r="E353" s="54">
        <f>DATE(YEAR($A353),MONTH($A353),1)</f>
        <v/>
      </c>
      <c r="F353" s="55">
        <f>SUMIFS(tblMovement[Tonnes_t],tblMovement[Date],$A353,tblMovement[Is_Ore],1,tblMovement[Source_Type],"Pit")</f>
        <v/>
      </c>
      <c r="G353" s="55">
        <f>IF($B353=$B352,$G352,0)+$F353</f>
        <v/>
      </c>
      <c r="H353" s="55">
        <f>$H352+$F353</f>
        <v/>
      </c>
      <c r="I353" s="55">
        <f>SUMIFS(tblMovement[Ore_oz],tblMovement[Date],$A353,tblMovement[Source_Type],"Pit")</f>
        <v/>
      </c>
      <c r="J353" s="55">
        <f>IF($B353=$B352,$J352,0)+$I353</f>
        <v/>
      </c>
      <c r="K353" s="55">
        <f>$K352+$I353</f>
        <v/>
      </c>
      <c r="L353" s="55">
        <f>SUMIFS(tblMovement[Tonnes_t],tblMovement[Date],$A353,tblMovement[Is_Ore],1,tblMovement[Source_Type],"Pit",tblMovement[Grade_gpt],"&lt;&gt;")</f>
        <v/>
      </c>
      <c r="M353" s="55">
        <f>IF($B353=$B352,$M352,0)+$L353</f>
        <v/>
      </c>
      <c r="N353" s="55">
        <f>$N352+$L353</f>
        <v/>
      </c>
      <c r="O353" s="56">
        <f>IFERROR(IF(($L353)&gt;0,($I353*cfg_TroyOz)/($L353),""),"")</f>
        <v/>
      </c>
      <c r="P353" s="56">
        <f>IFERROR(IF(($M353)&gt;0,($J353*cfg_TroyOz)/($M353),""),"")</f>
        <v/>
      </c>
      <c r="Q353" s="56">
        <f>IFERROR(IF(($N353)&gt;0,($K353*cfg_TroyOz)/($N353),""),"")</f>
        <v/>
      </c>
      <c r="R353" s="55">
        <f>$F353-$L353</f>
        <v/>
      </c>
      <c r="S353" s="55">
        <f>IF($B353=$B352,$S352,0)+$R353</f>
        <v/>
      </c>
      <c r="T353" s="55">
        <f>$T352+$R353</f>
        <v/>
      </c>
      <c r="U353" s="55">
        <f>SUMIFS(tblMovement[Tonnes_t],tblMovement[Date],$A353,tblMovement[Is_Ore],0,tblMovement[Source_Type],"Pit")</f>
        <v/>
      </c>
      <c r="V353" s="55">
        <f>IF($B353=$B352,$V352,0)+$U353</f>
        <v/>
      </c>
      <c r="W353" s="55">
        <f>$W352+$U353</f>
        <v/>
      </c>
      <c r="X353" s="55">
        <f>$F353+$U353</f>
        <v/>
      </c>
      <c r="Y353" s="55">
        <f>IF($B353=$B352,$Y352,0)+$X353</f>
        <v/>
      </c>
      <c r="Z353" s="55">
        <f>$Z352+$X353</f>
        <v/>
      </c>
      <c r="AA353" s="56">
        <f>IFERROR(IF(($F353)&gt;0,($U353)/($F353),""),"")</f>
        <v/>
      </c>
      <c r="AB353" s="56">
        <f>IFERROR(IF(($G353)&gt;0,($V353)/($G353),""),"")</f>
        <v/>
      </c>
      <c r="AC353" s="56">
        <f>IFERROR(IF(($H353)&gt;0,($W353)/($H353),""),"")</f>
        <v/>
      </c>
      <c r="AD353" s="55">
        <f>SUMIFS(tblMovement[Tonnes_t],tblMovement[Date],$A353,tblMovement[Source_Type],"Stockpile")</f>
        <v/>
      </c>
      <c r="AE353" s="55">
        <f>IF($B353=$B352,$AE352,0)+$AD353</f>
        <v/>
      </c>
      <c r="AF353" s="55">
        <f>$AF352+$AD353</f>
        <v/>
      </c>
      <c r="AG353" s="55">
        <f>SUMIFS(tblMovement[Tonnes_t],tblMovement[Date],$A353)</f>
        <v/>
      </c>
      <c r="AH353" s="55">
        <f>IF($B353=$B352,$AH352,0)+$AG353</f>
        <v/>
      </c>
      <c r="AI353" s="55">
        <f>$AI352+$AG353</f>
        <v/>
      </c>
      <c r="AJ353" s="55">
        <f>$AG353-$X353-$AD353</f>
        <v/>
      </c>
      <c r="AK353" s="55">
        <f>IF($B353=$B352,$AK352,0)+$AJ353</f>
        <v/>
      </c>
      <c r="AL353" s="55">
        <f>$AL352+$AJ353</f>
        <v/>
      </c>
      <c r="AM353" s="55">
        <f>SUMIFS(tblMiningDaily[Drill_m],tblMiningDaily[Date],$A353)</f>
        <v/>
      </c>
      <c r="AN353" s="55">
        <f>IF($B353=$B352,$AN352,0)+$AM353</f>
        <v/>
      </c>
      <c r="AO353" s="55">
        <f>$AO352+$AM353</f>
        <v/>
      </c>
      <c r="AP353" s="55">
        <f>SUMIFS(tblMiningDaily[GC_Drill_m],tblMiningDaily[Date],$A353)</f>
        <v/>
      </c>
      <c r="AQ353" s="55">
        <f>IF($B353=$B352,$AQ352,0)+$AP353</f>
        <v/>
      </c>
      <c r="AR353" s="55">
        <f>$AR352+$AP353</f>
        <v/>
      </c>
      <c r="AS353" s="55">
        <f>SUMIFS(tblMiningDaily[Blast_t],tblMiningDaily[Date],$A353)</f>
        <v/>
      </c>
      <c r="AT353" s="55">
        <f>IF($B353=$B352,$AT352,0)+$AS353</f>
        <v/>
      </c>
      <c r="AU353" s="55">
        <f>$AU352+$AS353</f>
        <v/>
      </c>
      <c r="AV353" s="55">
        <f>SUMIFS(tblMiningDaily[Explosives_kg],tblMiningDaily[Date],$A353)</f>
        <v/>
      </c>
      <c r="AW353" s="55">
        <f>IF($B353=$B352,$AW352,0)+$AV353</f>
        <v/>
      </c>
      <c r="AX353" s="55">
        <f>$AX352+$AV353</f>
        <v/>
      </c>
      <c r="AY353" s="56">
        <f>IFERROR(IF(($AS353)&gt;0,($AV353)/($AS353),""),"")</f>
        <v/>
      </c>
      <c r="AZ353" s="56">
        <f>IFERROR(IF(($AT353)&gt;0,($AW353)/($AT353),""),"")</f>
        <v/>
      </c>
      <c r="BA353" s="56">
        <f>IFERROR(IF(($AU353)&gt;0,($AX353)/($AU353),""),"")</f>
        <v/>
      </c>
      <c r="BB353" s="55">
        <f>SUMIFS(tblMiningDaily[Diesel_L],tblMiningDaily[Date],$A353)</f>
        <v/>
      </c>
      <c r="BC353" s="55">
        <f>IF($B353=$B352,$BC352,0)+$BB353</f>
        <v/>
      </c>
      <c r="BD353" s="55">
        <f>$BD352+$BB353</f>
        <v/>
      </c>
      <c r="BE353" s="55">
        <f>SUMIFS(tblMiningDaily[Dewatering_m3],tblMiningDaily[Date],$A353)</f>
        <v/>
      </c>
      <c r="BF353" s="55">
        <f>IF($B353=$B352,$BF352,0)+$BE353</f>
        <v/>
      </c>
      <c r="BG353" s="55">
        <f>$BG352+$BE353</f>
        <v/>
      </c>
      <c r="BH353" s="57">
        <f>SUMIFS(tblFleet[Calendar_h],tblFleet[Date],$A353,tblFleet[Equipment_Class],"Excavator")</f>
        <v/>
      </c>
      <c r="BI353" s="57">
        <f>IF($B353=$B352,$BI352,0)+$BH353</f>
        <v/>
      </c>
      <c r="BJ353" s="57">
        <f>$BJ352+$BH353</f>
        <v/>
      </c>
      <c r="BK353" s="57">
        <f>SUMIFS(tblFleet[Available_h],tblFleet[Date],$A353,tblFleet[Equipment_Class],"Excavator")</f>
        <v/>
      </c>
      <c r="BL353" s="57">
        <f>IF($B353=$B352,$BL352,0)+$BK353</f>
        <v/>
      </c>
      <c r="BM353" s="57">
        <f>$BM352+$BK353</f>
        <v/>
      </c>
      <c r="BN353" s="57">
        <f>SUMIFS(tblFleet[Operating_h],tblFleet[Date],$A353,tblFleet[Equipment_Class],"Excavator")</f>
        <v/>
      </c>
      <c r="BO353" s="57">
        <f>IF($B353=$B352,$BO352,0)+$BN353</f>
        <v/>
      </c>
      <c r="BP353" s="57">
        <f>$BP352+$BN353</f>
        <v/>
      </c>
      <c r="BQ353" s="67">
        <f>IFERROR(IF(($BH353)&gt;0,($BK353)/($BH353),""),"")</f>
        <v/>
      </c>
      <c r="BR353" s="67">
        <f>IFERROR(IF(($BI353)&gt;0,($BL353)/($BI353),""),"")</f>
        <v/>
      </c>
      <c r="BS353" s="67">
        <f>IFERROR(IF(($BJ353)&gt;0,($BM353)/($BJ353),""),"")</f>
        <v/>
      </c>
      <c r="BT353" s="67">
        <f>IFERROR(IF(($BK353)&gt;0,($BN353)/($BK353),""),"")</f>
        <v/>
      </c>
      <c r="BU353" s="67">
        <f>IFERROR(IF(($BL353)&gt;0,($BO353)/($BL353),""),"")</f>
        <v/>
      </c>
      <c r="BV353" s="67">
        <f>IFERROR(IF(($BM353)&gt;0,($BP353)/($BM353),""),"")</f>
        <v/>
      </c>
      <c r="BW353" s="57">
        <f>SUMIFS(tblFleet[Calendar_h],tblFleet[Date],$A353,tblFleet[Equipment_Class],"Haul Truck")</f>
        <v/>
      </c>
      <c r="BX353" s="57">
        <f>IF($B353=$B352,$BX352,0)+$BW353</f>
        <v/>
      </c>
      <c r="BY353" s="57">
        <f>$BY352+$BW353</f>
        <v/>
      </c>
      <c r="BZ353" s="57">
        <f>SUMIFS(tblFleet[Available_h],tblFleet[Date],$A353,tblFleet[Equipment_Class],"Haul Truck")</f>
        <v/>
      </c>
      <c r="CA353" s="57">
        <f>IF($B353=$B352,$CA352,0)+$BZ353</f>
        <v/>
      </c>
      <c r="CB353" s="57">
        <f>$CB352+$BZ353</f>
        <v/>
      </c>
      <c r="CC353" s="57">
        <f>SUMIFS(tblFleet[Operating_h],tblFleet[Date],$A353,tblFleet[Equipment_Class],"Haul Truck")</f>
        <v/>
      </c>
      <c r="CD353" s="57">
        <f>IF($B353=$B352,$CD352,0)+$CC353</f>
        <v/>
      </c>
      <c r="CE353" s="57">
        <f>$CE352+$CC353</f>
        <v/>
      </c>
      <c r="CF353" s="67">
        <f>IFERROR(IF(($BW353)&gt;0,($BZ353)/($BW353),""),"")</f>
        <v/>
      </c>
      <c r="CG353" s="67">
        <f>IFERROR(IF(($BX353)&gt;0,($CA353)/($BX353),""),"")</f>
        <v/>
      </c>
      <c r="CH353" s="67">
        <f>IFERROR(IF(($BY353)&gt;0,($CB353)/($BY353),""),"")</f>
        <v/>
      </c>
      <c r="CI353" s="67">
        <f>IFERROR(IF(($BZ353)&gt;0,($CC353)/($BZ353),""),"")</f>
        <v/>
      </c>
      <c r="CJ353" s="67">
        <f>IFERROR(IF(($CA353)&gt;0,($CD353)/($CA353),""),"")</f>
        <v/>
      </c>
      <c r="CK353" s="67">
        <f>IFERROR(IF(($CB353)&gt;0,($CE353)/($CB353),""),"")</f>
        <v/>
      </c>
      <c r="CL353" s="55">
        <f>IFERROR(IF(($BN353)&gt;0,($X353+$AD353)/($BN353),""),"")</f>
        <v/>
      </c>
      <c r="CM353" s="55">
        <f>IFERROR(IF(($BO353)&gt;0,($Y353+$AE353)/($BO353),""),"")</f>
        <v/>
      </c>
      <c r="CN353" s="55">
        <f>IFERROR(IF(($BP353)&gt;0,($Z353+$AF353)/($BP353),""),"")</f>
        <v/>
      </c>
      <c r="CO353" s="55">
        <f>IFERROR(IF(($CC353)&gt;0,($X353+$AD353)/($CC353),""),"")</f>
        <v/>
      </c>
      <c r="CP353" s="55">
        <f>IFERROR(IF(($CD353)&gt;0,($Y353+$AE353)/($CD353),""),"")</f>
        <v/>
      </c>
      <c r="CQ353" s="55">
        <f>IFERROR(IF(($CE353)&gt;0,($Z353+$AF353)/($CE353),""),"")</f>
        <v/>
      </c>
      <c r="CR353" s="55">
        <f>SUMIFS(tblPlant[Crushed_t],tblPlant[Date],$A353)</f>
        <v/>
      </c>
      <c r="CS353" s="55">
        <f>IF($B353=$B352,$CS352,0)+$CR353</f>
        <v/>
      </c>
      <c r="CT353" s="55">
        <f>$CT352+$CR353</f>
        <v/>
      </c>
      <c r="CU353" s="55">
        <f>SUMIFS(tblPlant[Milled_t],tblPlant[Date],$A353)</f>
        <v/>
      </c>
      <c r="CV353" s="55">
        <f>IF($B353=$B352,$CV352,0)+$CU353</f>
        <v/>
      </c>
      <c r="CW353" s="55">
        <f>$CW352+$CU353</f>
        <v/>
      </c>
      <c r="CX353" s="55">
        <f>SUMIFS(tblPlant[Feed_oz],tblPlant[Date],$A353)</f>
        <v/>
      </c>
      <c r="CY353" s="55">
        <f>IF($B353=$B352,$CY352,0)+$CX353</f>
        <v/>
      </c>
      <c r="CZ353" s="55">
        <f>$CZ352+$CX353</f>
        <v/>
      </c>
      <c r="DA353" s="55">
        <f>SUMIFS(tblPlant[Tails_oz],tblPlant[Date],$A353)</f>
        <v/>
      </c>
      <c r="DB353" s="55">
        <f>IF($B353=$B352,$DB352,0)+$DA353</f>
        <v/>
      </c>
      <c r="DC353" s="55">
        <f>$DC352+$DA353</f>
        <v/>
      </c>
      <c r="DD353" s="55">
        <f>SUMIFS(tblPlant[Recovered_oz],tblPlant[Date],$A353)</f>
        <v/>
      </c>
      <c r="DE353" s="55">
        <f>IF($B353=$B352,$DE352,0)+$DD353</f>
        <v/>
      </c>
      <c r="DF353" s="55">
        <f>$DF352+$DD353</f>
        <v/>
      </c>
      <c r="DG353" s="55">
        <f>SUMIFS(tblPlant[Milled_t],tblPlant[Date],$A353,tblPlant[Head_Grade_gpt],"&lt;&gt;")</f>
        <v/>
      </c>
      <c r="DH353" s="55">
        <f>IF($B353=$B352,$DH352,0)+$DG353</f>
        <v/>
      </c>
      <c r="DI353" s="55">
        <f>$DI352+$DG353</f>
        <v/>
      </c>
      <c r="DJ353" s="55">
        <f>SUMIFS(tblPlant[Milled_t],tblPlant[Date],$A353,tblPlant[Tails_Grade_gpt],"&lt;&gt;")</f>
        <v/>
      </c>
      <c r="DK353" s="55">
        <f>IF($B353=$B352,$DK352,0)+$DJ353</f>
        <v/>
      </c>
      <c r="DL353" s="55">
        <f>$DL352+$DJ353</f>
        <v/>
      </c>
      <c r="DM353" s="55">
        <f>SUMIFS(tblPlant[Feed_oz],tblPlant[Date],$A353,tblPlant[Tails_Grade_gpt],"&lt;&gt;")</f>
        <v/>
      </c>
      <c r="DN353" s="55">
        <f>IF($B353=$B352,$DN352,0)+$DM353</f>
        <v/>
      </c>
      <c r="DO353" s="55">
        <f>$DO352+$DM353</f>
        <v/>
      </c>
      <c r="DP353" s="55">
        <f>SUMIFS(tblPlant[Milled_t],tblPlant[Date],$A353,tblPlant[Mill_Run_h],"&lt;&gt;")</f>
        <v/>
      </c>
      <c r="DQ353" s="55">
        <f>IF($B353=$B352,$DQ352,0)+$DP353</f>
        <v/>
      </c>
      <c r="DR353" s="55">
        <f>$DR352+$DP353</f>
        <v/>
      </c>
      <c r="DS353" s="56">
        <f>IFERROR(IF(($DG353)&gt;0,($CX353*cfg_TroyOz)/($DG353),""),"")</f>
        <v/>
      </c>
      <c r="DT353" s="56">
        <f>IFERROR(IF(($DH353)&gt;0,($CY353*cfg_TroyOz)/($DH353),""),"")</f>
        <v/>
      </c>
      <c r="DU353" s="56">
        <f>IFERROR(IF(($DI353)&gt;0,($CZ353*cfg_TroyOz)/($DI353),""),"")</f>
        <v/>
      </c>
      <c r="DV353" s="56">
        <f>IFERROR(IF(($DJ353)&gt;0,($DA353*cfg_TroyOz)/($DJ353),""),"")</f>
        <v/>
      </c>
      <c r="DW353" s="56">
        <f>IFERROR(IF(($DK353)&gt;0,($DB353*cfg_TroyOz)/($DK353),""),"")</f>
        <v/>
      </c>
      <c r="DX353" s="56">
        <f>IFERROR(IF(($DL353)&gt;0,($DC353*cfg_TroyOz)/($DL353),""),"")</f>
        <v/>
      </c>
      <c r="DY353" s="67">
        <f>IFERROR(IF(($DM353)&gt;0,($DD353)/($DM353),""),"")</f>
        <v/>
      </c>
      <c r="DZ353" s="67">
        <f>IFERROR(IF(($DN353)&gt;0,($DE353)/($DN353),""),"")</f>
        <v/>
      </c>
      <c r="EA353" s="67">
        <f>IFERROR(IF(($DO353)&gt;0,($DF353)/($DO353),""),"")</f>
        <v/>
      </c>
      <c r="EB353" s="55">
        <f>SUMIFS(tblPlant[Gravity_Gold_oz],tblPlant[Date],$A353)</f>
        <v/>
      </c>
      <c r="EC353" s="55">
        <f>IF($B353=$B352,$EC352,0)+$EB353</f>
        <v/>
      </c>
      <c r="ED353" s="55">
        <f>$ED352+$EB353</f>
        <v/>
      </c>
      <c r="EE353" s="67">
        <f>IFERROR(IF(($DD353)&gt;0,($EB353)/($DD353),""),"")</f>
        <v/>
      </c>
      <c r="EF353" s="67">
        <f>IFERROR(IF(($DE353)&gt;0,($EC353)/($DE353),""),"")</f>
        <v/>
      </c>
      <c r="EG353" s="67">
        <f>IFERROR(IF(($DF353)&gt;0,($ED353)/($DF353),""),"")</f>
        <v/>
      </c>
      <c r="EH353" s="55">
        <f>SUMIFS(tblPlant[Gold_Poured_oz],tblPlant[Date],$A353)</f>
        <v/>
      </c>
      <c r="EI353" s="55">
        <f>IF($B353=$B352,$EI352,0)+$EH353</f>
        <v/>
      </c>
      <c r="EJ353" s="55">
        <f>$EJ352+$EH353</f>
        <v/>
      </c>
      <c r="EK353" s="57">
        <f>SUMIFS(tblPlant[Mill_Run_h],tblPlant[Date],$A353)</f>
        <v/>
      </c>
      <c r="EL353" s="57">
        <f>IF($B353=$B352,$EL352,0)+$EK353</f>
        <v/>
      </c>
      <c r="EM353" s="57">
        <f>$EM352+$EK353</f>
        <v/>
      </c>
      <c r="EN353" s="57">
        <f>SUMIFS(tblPlant[Mill_Planned_Maint_h],tblPlant[Date],$A353)</f>
        <v/>
      </c>
      <c r="EO353" s="57">
        <f>IF($B353=$B352,$EO352,0)+$EN353</f>
        <v/>
      </c>
      <c r="EP353" s="57">
        <f>$EP352+$EN353</f>
        <v/>
      </c>
      <c r="EQ353" s="57">
        <f>SUMIFS(tblPlant[Mill_Unplanned_Down_h],tblPlant[Date],$A353)</f>
        <v/>
      </c>
      <c r="ER353" s="57">
        <f>IF($B353=$B352,$ER352,0)+$EQ353</f>
        <v/>
      </c>
      <c r="ES353" s="57">
        <f>$ES352+$EQ353</f>
        <v/>
      </c>
      <c r="ET353" s="57">
        <f>IF(COUNTIFS(tblPlant[Date],$A353,tblPlant[Mill_Run_h],"&lt;&gt;")+COUNTIFS(tblPlant[Date],$A353,tblPlant[Mill_Planned_Maint_h],"&lt;&gt;")+COUNTIFS(tblPlant[Date],$A353,tblPlant[Mill_Unplanned_Down_h],"&lt;&gt;")&gt;0,cfg_HoursPerDay,0)</f>
        <v/>
      </c>
      <c r="EU353" s="57">
        <f>IF($B353=$B352,$EU352,0)+$ET353</f>
        <v/>
      </c>
      <c r="EV353" s="57">
        <f>$EV352+$ET353</f>
        <v/>
      </c>
      <c r="EW353" s="57">
        <f>SUMIFS(tblPlant[Crusher_Run_h],tblPlant[Date],$A353)</f>
        <v/>
      </c>
      <c r="EX353" s="57">
        <f>IF($B353=$B352,$EX352,0)+$EW353</f>
        <v/>
      </c>
      <c r="EY353" s="57">
        <f>$EY352+$EW353</f>
        <v/>
      </c>
      <c r="EZ353" s="55">
        <f>IFERROR(IF(($EK353)&gt;0,($DP353)/($EK353),""),"")</f>
        <v/>
      </c>
      <c r="FA353" s="55">
        <f>IFERROR(IF(($EL353)&gt;0,($DQ353)/($EL353),""),"")</f>
        <v/>
      </c>
      <c r="FB353" s="55">
        <f>IFERROR(IF(($EM353)&gt;0,($DR353)/($EM353),""),"")</f>
        <v/>
      </c>
      <c r="FC353" s="67">
        <f>IFERROR(IF(($ET353)&gt;0,($ET353-$EN353-$EQ353)/($ET353),""),"")</f>
        <v/>
      </c>
      <c r="FD353" s="67">
        <f>IFERROR(IF(($EU353)&gt;0,($EU353-$EO353-$ER353)/($EU353),""),"")</f>
        <v/>
      </c>
      <c r="FE353" s="67">
        <f>IFERROR(IF(($EV353)&gt;0,($EV353-$EP353-$ES353)/($EV353),""),"")</f>
        <v/>
      </c>
      <c r="FF353" s="67">
        <f>IFERROR(IF(($ET353-$EN353-$EQ353)&gt;0,($EK353)/($ET353-$EN353-$EQ353),""),"")</f>
        <v/>
      </c>
      <c r="FG353" s="67">
        <f>IFERROR(IF(($EU353-$EO353-$ER353)&gt;0,($EL353)/($EU353-$EO353-$ER353),""),"")</f>
        <v/>
      </c>
      <c r="FH353" s="67">
        <f>IFERROR(IF(($EV353-$EP353-$ES353)&gt;0,($EM353)/($EV353-$EP353-$ES353),""),"")</f>
        <v/>
      </c>
      <c r="FI353" s="55">
        <f>SUMIFS(tblPlant[Cyanide_kg],tblPlant[Date],$A353)</f>
        <v/>
      </c>
      <c r="FJ353" s="55">
        <f>IF($B353=$B352,$FJ352,0)+$FI353</f>
        <v/>
      </c>
      <c r="FK353" s="55">
        <f>$FK352+$FI353</f>
        <v/>
      </c>
      <c r="FL353" s="55">
        <f>SUMIFS(tblPlant[Lime_kg],tblPlant[Date],$A353)</f>
        <v/>
      </c>
      <c r="FM353" s="55">
        <f>IF($B353=$B352,$FM352,0)+$FL353</f>
        <v/>
      </c>
      <c r="FN353" s="55">
        <f>$FN352+$FL353</f>
        <v/>
      </c>
      <c r="FO353" s="55">
        <f>SUMIFS(tblPlant[Grinding_Media_kg],tblPlant[Date],$A353)</f>
        <v/>
      </c>
      <c r="FP353" s="55">
        <f>IF($B353=$B352,$FP352,0)+$FO353</f>
        <v/>
      </c>
      <c r="FQ353" s="55">
        <f>$FQ352+$FO353</f>
        <v/>
      </c>
      <c r="FR353" s="55">
        <f>SUMIFS(tblPlant[Power_kWh],tblPlant[Date],$A353)</f>
        <v/>
      </c>
      <c r="FS353" s="55">
        <f>IF($B353=$B352,$FS352,0)+$FR353</f>
        <v/>
      </c>
      <c r="FT353" s="55">
        <f>$FT352+$FR353</f>
        <v/>
      </c>
      <c r="FU353" s="55">
        <f>SUMIFS(tblPlant[Raw_Water_m3],tblPlant[Date],$A353)</f>
        <v/>
      </c>
      <c r="FV353" s="55">
        <f>IF($B353=$B352,$FV352,0)+$FU353</f>
        <v/>
      </c>
      <c r="FW353" s="55">
        <f>$FW352+$FU353</f>
        <v/>
      </c>
      <c r="FX353" s="56">
        <f>IFERROR(IF(($CU353)&gt;0,($FI353)/($CU353),""),"")</f>
        <v/>
      </c>
      <c r="FY353" s="56">
        <f>IFERROR(IF(($CV353)&gt;0,($FJ353)/($CV353),""),"")</f>
        <v/>
      </c>
      <c r="FZ353" s="56">
        <f>IFERROR(IF(($CW353)&gt;0,($FK353)/($CW353),""),"")</f>
        <v/>
      </c>
      <c r="GA353" s="56">
        <f>IFERROR(IF(($CU353)&gt;0,($FL353)/($CU353),""),"")</f>
        <v/>
      </c>
      <c r="GB353" s="56">
        <f>IFERROR(IF(($CV353)&gt;0,($FM353)/($CV353),""),"")</f>
        <v/>
      </c>
      <c r="GC353" s="56">
        <f>IFERROR(IF(($CW353)&gt;0,($FN353)/($CW353),""),"")</f>
        <v/>
      </c>
      <c r="GD353" s="56">
        <f>IFERROR(IF(($CU353)&gt;0,($FO353)/($CU353),""),"")</f>
        <v/>
      </c>
      <c r="GE353" s="56">
        <f>IFERROR(IF(($CV353)&gt;0,($FP353)/($CV353),""),"")</f>
        <v/>
      </c>
      <c r="GF353" s="56">
        <f>IFERROR(IF(($CW353)&gt;0,($FQ353)/($CW353),""),"")</f>
        <v/>
      </c>
      <c r="GG353" s="79">
        <f>IFERROR(IF(($CU353)&gt;0,($FR353)/($CU353),""),"")</f>
        <v/>
      </c>
      <c r="GH353" s="79">
        <f>IFERROR(IF(($CV353)&gt;0,($FS353)/($CV353),""),"")</f>
        <v/>
      </c>
      <c r="GI353" s="79">
        <f>IFERROR(IF(($CW353)&gt;0,($FT353)/($CW353),""),"")</f>
        <v/>
      </c>
      <c r="GJ353" s="56">
        <f>IFERROR(IF(($CU353)&gt;0,($FU353)/($CU353),""),"")</f>
        <v/>
      </c>
      <c r="GK353" s="56">
        <f>IFERROR(IF(($CV353)&gt;0,($FV353)/($CV353),""),"")</f>
        <v/>
      </c>
      <c r="GL353" s="56">
        <f>IFERROR(IF(($CW353)&gt;0,($FW353)/($CW353),""),"")</f>
        <v/>
      </c>
      <c r="GM353" s="55">
        <f>IF(SUMIFS(tblPlant[GIC_oz],tblPlant[Date],$A353)&gt;0,SUMIFS(tblPlant[GIC_oz],tblPlant[Date],$A353),"")</f>
        <v/>
      </c>
      <c r="GN353" s="55">
        <f>SUMIFS(tblGold[Gold_oz],tblGold[Date],$A353,tblGold[Type],"Shipment")</f>
        <v/>
      </c>
      <c r="GO353" s="55">
        <f>IF($B353=$B352,$GO352,0)+$GN353</f>
        <v/>
      </c>
      <c r="GP353" s="55">
        <f>$GP352+$GN353</f>
        <v/>
      </c>
      <c r="GQ353" s="55">
        <f>SUMIFS(tblGold[Gold_oz],tblGold[Date],$A353,tblGold[Type],"Sale")</f>
        <v/>
      </c>
      <c r="GR353" s="55">
        <f>IF($B353=$B352,$GR352,0)+$GQ353</f>
        <v/>
      </c>
      <c r="GS353" s="55">
        <f>$GS352+$GQ353</f>
        <v/>
      </c>
      <c r="GT353" s="55">
        <f>SUMIFS(tblGold[Dore_kg],tblGold[Date],$A353,tblGold[Type],"Shipment")</f>
        <v/>
      </c>
      <c r="GU353" s="55">
        <f>IF($B353=$B352,$GU352,0)+$GT353</f>
        <v/>
      </c>
      <c r="GV353" s="55">
        <f>$GV352+$GT353</f>
        <v/>
      </c>
      <c r="GW353" s="57">
        <f>SUMIFS(tblSafety[Hours_Total],tblSafety[Date],$A353)</f>
        <v/>
      </c>
      <c r="GX353" s="57">
        <f>IF($B353=$B352,$GX352,0)+$GW353</f>
        <v/>
      </c>
      <c r="GY353" s="57">
        <f>$GY352+$GW353</f>
        <v/>
      </c>
      <c r="GZ353" s="62">
        <f>SUMIFS(tblSafety[Fatality],tblSafety[Date],$A353)</f>
        <v/>
      </c>
      <c r="HA353" s="62">
        <f>IF($B353=$B352,$HA352,0)+$GZ353</f>
        <v/>
      </c>
      <c r="HB353" s="62">
        <f>$HB352+$GZ353</f>
        <v/>
      </c>
      <c r="HC353" s="62">
        <f>SUMIFS(tblSafety[LTI],tblSafety[Date],$A353)</f>
        <v/>
      </c>
      <c r="HD353" s="62">
        <f>IF($B353=$B352,$HD352,0)+$HC353</f>
        <v/>
      </c>
      <c r="HE353" s="62">
        <f>$HE352+$HC353</f>
        <v/>
      </c>
      <c r="HF353" s="62">
        <f>SUMIFS(tblSafety[RWI],tblSafety[Date],$A353)</f>
        <v/>
      </c>
      <c r="HG353" s="62">
        <f>IF($B353=$B352,$HG352,0)+$HF353</f>
        <v/>
      </c>
      <c r="HH353" s="62">
        <f>$HH352+$HF353</f>
        <v/>
      </c>
      <c r="HI353" s="62">
        <f>SUMIFS(tblSafety[MTI],tblSafety[Date],$A353)</f>
        <v/>
      </c>
      <c r="HJ353" s="62">
        <f>IF($B353=$B352,$HJ352,0)+$HI353</f>
        <v/>
      </c>
      <c r="HK353" s="62">
        <f>$HK352+$HI353</f>
        <v/>
      </c>
      <c r="HL353" s="62">
        <f>SUMIFS(tblSafety[FAI],tblSafety[Date],$A353)</f>
        <v/>
      </c>
      <c r="HM353" s="62">
        <f>IF($B353=$B352,$HM352,0)+$HL353</f>
        <v/>
      </c>
      <c r="HN353" s="62">
        <f>$HN352+$HL353</f>
        <v/>
      </c>
      <c r="HO353" s="62">
        <f>SUMIFS(tblSafety[Recordables],tblSafety[Date],$A353)</f>
        <v/>
      </c>
      <c r="HP353" s="62">
        <f>IF($B353=$B352,$HP352,0)+$HO353</f>
        <v/>
      </c>
      <c r="HQ353" s="62">
        <f>$HQ352+$HO353</f>
        <v/>
      </c>
      <c r="HR353" s="62">
        <f>SUMIFS(tblSafety[Near_Miss],tblSafety[Date],$A353)</f>
        <v/>
      </c>
      <c r="HS353" s="62">
        <f>IF($B353=$B352,$HS352,0)+$HR353</f>
        <v/>
      </c>
      <c r="HT353" s="62">
        <f>$HT352+$HR353</f>
        <v/>
      </c>
      <c r="HU353" s="62">
        <f>SUMIFS(tblSafety[Hazard_Reports],tblSafety[Date],$A353)</f>
        <v/>
      </c>
      <c r="HV353" s="62">
        <f>IF($B353=$B352,$HV352,0)+$HU353</f>
        <v/>
      </c>
      <c r="HW353" s="62">
        <f>$HW352+$HU353</f>
        <v/>
      </c>
      <c r="HX353" s="62">
        <f>SUMIFS(tblSafety[HPI],tblSafety[Date],$A353)</f>
        <v/>
      </c>
      <c r="HY353" s="62">
        <f>IF($B353=$B352,$HY352,0)+$HX353</f>
        <v/>
      </c>
      <c r="HZ353" s="62">
        <f>$HZ352+$HX353</f>
        <v/>
      </c>
      <c r="IA353" s="62">
        <f>SUMIFS(tblSafety[Env_Incidents],tblSafety[Date],$A353)</f>
        <v/>
      </c>
      <c r="IB353" s="62">
        <f>IF($B353=$B352,$IB352,0)+$IA353</f>
        <v/>
      </c>
      <c r="IC353" s="62">
        <f>$IC352+$IA353</f>
        <v/>
      </c>
      <c r="ID353" s="62">
        <f>SUMIFS(tblSafety[Community_Incidents],tblSafety[Date],$A353)</f>
        <v/>
      </c>
      <c r="IE353" s="62">
        <f>IF($B353=$B352,$IE352,0)+$ID353</f>
        <v/>
      </c>
      <c r="IF353" s="62">
        <f>$IF352+$ID353</f>
        <v/>
      </c>
      <c r="IG353" s="62">
        <f>SUMIFS(tblSafety[Vehicle_Incidents],tblSafety[Date],$A353)</f>
        <v/>
      </c>
      <c r="IH353" s="62">
        <f>IF($B353=$B352,$IH352,0)+$IG353</f>
        <v/>
      </c>
      <c r="II353" s="62">
        <f>$II352+$IG353</f>
        <v/>
      </c>
      <c r="IJ353" s="62">
        <f>SUMIFS(tblSafety[Toolbox_Talks],tblSafety[Date],$A353)</f>
        <v/>
      </c>
      <c r="IK353" s="62">
        <f>IF($B353=$B352,$IK352,0)+$IJ353</f>
        <v/>
      </c>
      <c r="IL353" s="62">
        <f>$IL352+$IJ353</f>
        <v/>
      </c>
      <c r="IM353" s="62">
        <f>SUMIFS(tblSafety[Inspections],tblSafety[Date],$A353)</f>
        <v/>
      </c>
      <c r="IN353" s="62">
        <f>IF($B353=$B352,$IN352,0)+$IM353</f>
        <v/>
      </c>
      <c r="IO353" s="62">
        <f>$IO352+$IM353</f>
        <v/>
      </c>
      <c r="IP353" s="56">
        <f>IFERROR((SUMIFS(tblSafety[Recordables],tblSafety[Date],"&gt;="&amp;EDATE($E353,-12),tblSafety[Date],"&lt;="&amp;$A353)+SUMIFS(tblSafetyHistory[Recordables],tblSafetyHistory[Month],"&gt;="&amp;EDATE($E353,-12),tblSafetyHistory[Month],"&lt;"&amp;$E353,tblSafetyHistory[Use],1))/(SUMIFS(tblSafety[Hours_Total],tblSafety[Date],"&gt;="&amp;EDATE($E353,-12),tblSafety[Date],"&lt;="&amp;$A353)+SUMIFS(tblSafetyHistory[Hours_Total],tblSafetyHistory[Month],"&gt;="&amp;EDATE($E353,-12),tblSafetyHistory[Month],"&lt;"&amp;$E353,tblSafetyHistory[Use],1))*cfg_RateBasisHours,"")</f>
        <v/>
      </c>
      <c r="IQ353" s="56">
        <f>IFERROR((SUMIFS(tblSafety[LTI],tblSafety[Date],"&gt;="&amp;EDATE($E353,-12),tblSafety[Date],"&lt;="&amp;$A353)+SUMIFS(tblSafetyHistory[LTI],tblSafetyHistory[Month],"&gt;="&amp;EDATE($E353,-12),tblSafetyHistory[Month],"&lt;"&amp;$E353,tblSafetyHistory[Use],1))/(SUMIFS(tblSafety[Hours_Total],tblSafety[Date],"&gt;="&amp;EDATE($E353,-12),tblSafety[Date],"&lt;="&amp;$A353)+SUMIFS(tblSafetyHistory[Hours_Total],tblSafetyHistory[Month],"&gt;="&amp;EDATE($E353,-12),tblSafetyHistory[Month],"&lt;"&amp;$E353,tblSafetyHistory[Use],1))*cfg_RateBasisHours,"")</f>
        <v/>
      </c>
      <c r="IR353" s="62">
        <f>IF(MAX(N(cfg_PriorLTIDate),_xlfn.MAXIFS(tblSafety[Date],tblSafety[LTI],"&gt;0",tblSafety[Date],"&lt;="&amp;$A353))=0,"",$A353-MAX(N(cfg_PriorLTIDate),_xlfn.MAXIFS(tblSafety[Date],tblSafety[LTI],"&gt;0",tblSafety[Date],"&lt;="&amp;$A353)))</f>
        <v/>
      </c>
      <c r="IS353" s="55">
        <f>SUMIFS(tblBudget[Ore_Mined_t],tblBudget[Month],$E353)</f>
        <v/>
      </c>
      <c r="IT353" s="55">
        <f>$IS353*$C353/$D353</f>
        <v/>
      </c>
      <c r="IU353" s="55">
        <f>SUMIFS(tblBudget[Ore_Mined_t],tblBudget[Month],"&lt;"&amp;$E353)+$IT353</f>
        <v/>
      </c>
      <c r="IV353" s="55">
        <f>SUMIFS(tblBudget[Ore_oz],tblBudget[Month],$E353)</f>
        <v/>
      </c>
      <c r="IW353" s="55">
        <f>$IV353*$C353/$D353</f>
        <v/>
      </c>
      <c r="IX353" s="55">
        <f>SUMIFS(tblBudget[Ore_oz],tblBudget[Month],"&lt;"&amp;$E353)+$IW353</f>
        <v/>
      </c>
      <c r="IY353" s="55">
        <f>SUMIFS(tblBudget[Ore_Mined_t],tblBudget[Month],$E353)</f>
        <v/>
      </c>
      <c r="IZ353" s="55">
        <f>$IY353*$C353/$D353</f>
        <v/>
      </c>
      <c r="JA353" s="55">
        <f>SUMIFS(tblBudget[Ore_Mined_t],tblBudget[Month],"&lt;"&amp;$E353)+$IZ353</f>
        <v/>
      </c>
      <c r="JB353" s="56">
        <f>IFERROR(IF(($IY353)&gt;0,($IV353*cfg_TroyOz)/($IY353),""),"")</f>
        <v/>
      </c>
      <c r="JC353" s="56">
        <f>IFERROR(IF(($IZ353)&gt;0,($IW353*cfg_TroyOz)/($IZ353),""),"")</f>
        <v/>
      </c>
      <c r="JD353" s="56">
        <f>IFERROR(IF(($JA353)&gt;0,($IX353*cfg_TroyOz)/($JA353),""),"")</f>
        <v/>
      </c>
      <c r="JE353" s="55">
        <f>SUMIFS(tblBudget[Waste_t],tblBudget[Month],$E353)</f>
        <v/>
      </c>
      <c r="JF353" s="55">
        <f>$JE353*$C353/$D353</f>
        <v/>
      </c>
      <c r="JG353" s="55">
        <f>SUMIFS(tblBudget[Waste_t],tblBudget[Month],"&lt;"&amp;$E353)+$JF353</f>
        <v/>
      </c>
      <c r="JH353" s="55">
        <f>SUMIFS(tblBudget[TMM_t],tblBudget[Month],$E353)</f>
        <v/>
      </c>
      <c r="JI353" s="55">
        <f>$JH353*$C353/$D353</f>
        <v/>
      </c>
      <c r="JJ353" s="55">
        <f>SUMIFS(tblBudget[TMM_t],tblBudget[Month],"&lt;"&amp;$E353)+$JI353</f>
        <v/>
      </c>
      <c r="JK353" s="56">
        <f>IFERROR(IF(($IS353)&gt;0,($JE353)/($IS353),""),"")</f>
        <v/>
      </c>
      <c r="JL353" s="56">
        <f>IFERROR(IF(($IT353)&gt;0,($JF353)/($IT353),""),"")</f>
        <v/>
      </c>
      <c r="JM353" s="56">
        <f>IFERROR(IF(($IU353)&gt;0,($JG353)/($IU353),""),"")</f>
        <v/>
      </c>
      <c r="JN353" s="55">
        <f>SUMIFS(tblBudget[Drill_m],tblBudget[Month],$E353)</f>
        <v/>
      </c>
      <c r="JO353" s="55">
        <f>$JN353*$C353/$D353</f>
        <v/>
      </c>
      <c r="JP353" s="55">
        <f>SUMIFS(tblBudget[Drill_m],tblBudget[Month],"&lt;"&amp;$E353)+$JO353</f>
        <v/>
      </c>
      <c r="JQ353" s="55">
        <f>SUMIFS(tblBudget[Diesel_L],tblBudget[Month],$E353)</f>
        <v/>
      </c>
      <c r="JR353" s="55">
        <f>$JQ353*$C353/$D353</f>
        <v/>
      </c>
      <c r="JS353" s="55">
        <f>SUMIFS(tblBudget[Diesel_L],tblBudget[Month],"&lt;"&amp;$E353)+$JR353</f>
        <v/>
      </c>
      <c r="JT353" s="55">
        <f>SUMIFS(tblBudget[Milled_t],tblBudget[Month],$E353)</f>
        <v/>
      </c>
      <c r="JU353" s="55">
        <f>$JT353*$C353/$D353</f>
        <v/>
      </c>
      <c r="JV353" s="55">
        <f>SUMIFS(tblBudget[Milled_t],tblBudget[Month],"&lt;"&amp;$E353)+$JU353</f>
        <v/>
      </c>
      <c r="JW353" s="55">
        <f>SUMIFS(tblBudget[Feed_oz],tblBudget[Month],$E353)</f>
        <v/>
      </c>
      <c r="JX353" s="55">
        <f>$JW353*$C353/$D353</f>
        <v/>
      </c>
      <c r="JY353" s="55">
        <f>SUMIFS(tblBudget[Feed_oz],tblBudget[Month],"&lt;"&amp;$E353)+$JX353</f>
        <v/>
      </c>
      <c r="JZ353" s="55">
        <f>SUMIFS(tblBudget[Recovered_oz],tblBudget[Month],$E353)</f>
        <v/>
      </c>
      <c r="KA353" s="55">
        <f>$JZ353*$C353/$D353</f>
        <v/>
      </c>
      <c r="KB353" s="55">
        <f>SUMIFS(tblBudget[Recovered_oz],tblBudget[Month],"&lt;"&amp;$E353)+$KA353</f>
        <v/>
      </c>
      <c r="KC353" s="55">
        <f>SUMIFS(tblBudget[Milled_t],tblBudget[Month],$E353)</f>
        <v/>
      </c>
      <c r="KD353" s="55">
        <f>$KC353*$C353/$D353</f>
        <v/>
      </c>
      <c r="KE353" s="55">
        <f>SUMIFS(tblBudget[Milled_t],tblBudget[Month],"&lt;"&amp;$E353)+$KD353</f>
        <v/>
      </c>
      <c r="KF353" s="55">
        <f>SUMIFS(tblBudget[Feed_oz],tblBudget[Month],$E353)</f>
        <v/>
      </c>
      <c r="KG353" s="55">
        <f>$KF353*$C353/$D353</f>
        <v/>
      </c>
      <c r="KH353" s="55">
        <f>SUMIFS(tblBudget[Feed_oz],tblBudget[Month],"&lt;"&amp;$E353)+$KG353</f>
        <v/>
      </c>
      <c r="KI353" s="56">
        <f>IFERROR(IF(($KC353)&gt;0,($JW353*cfg_TroyOz)/($KC353),""),"")</f>
        <v/>
      </c>
      <c r="KJ353" s="56">
        <f>IFERROR(IF(($KD353)&gt;0,($JX353*cfg_TroyOz)/($KD353),""),"")</f>
        <v/>
      </c>
      <c r="KK353" s="56">
        <f>IFERROR(IF(($KE353)&gt;0,($JY353*cfg_TroyOz)/($KE353),""),"")</f>
        <v/>
      </c>
      <c r="KL353" s="67">
        <f>IFERROR(IF(($KF353)&gt;0,($JZ353)/($KF353),""),"")</f>
        <v/>
      </c>
      <c r="KM353" s="67">
        <f>IFERROR(IF(($KG353)&gt;0,($KA353)/($KG353),""),"")</f>
        <v/>
      </c>
      <c r="KN353" s="67">
        <f>IFERROR(IF(($KH353)&gt;0,($KB353)/($KH353),""),"")</f>
        <v/>
      </c>
      <c r="KO353" s="55">
        <f>SUMIFS(tblBudget[Gold_Poured_oz],tblBudget[Month],$E353)</f>
        <v/>
      </c>
      <c r="KP353" s="55">
        <f>$KO353*$C353/$D353</f>
        <v/>
      </c>
      <c r="KQ353" s="55">
        <f>SUMIFS(tblBudget[Gold_Poured_oz],tblBudget[Month],"&lt;"&amp;$E353)+$KP353</f>
        <v/>
      </c>
      <c r="KR353" s="57">
        <f>SUMIFS(tblBudget[Hours_Worked],tblBudget[Month],$E353)</f>
        <v/>
      </c>
      <c r="KS353" s="57">
        <f>$KR353*$C353/$D353</f>
        <v/>
      </c>
      <c r="KT353" s="57">
        <f>SUMIFS(tblBudget[Hours_Worked],tblBudget[Month],"&lt;"&amp;$E353)+$KS353</f>
        <v/>
      </c>
    </row>
    <row r="354">
      <c r="A354" s="54" t="n">
        <v>46375</v>
      </c>
      <c r="B354">
        <f>MONTH($A354)</f>
        <v/>
      </c>
      <c r="C354">
        <f>DAY($A354)</f>
        <v/>
      </c>
      <c r="D354">
        <f>DAY(EOMONTH($A354,0))</f>
        <v/>
      </c>
      <c r="E354" s="54">
        <f>DATE(YEAR($A354),MONTH($A354),1)</f>
        <v/>
      </c>
      <c r="F354" s="55">
        <f>SUMIFS(tblMovement[Tonnes_t],tblMovement[Date],$A354,tblMovement[Is_Ore],1,tblMovement[Source_Type],"Pit")</f>
        <v/>
      </c>
      <c r="G354" s="55">
        <f>IF($B354=$B353,$G353,0)+$F354</f>
        <v/>
      </c>
      <c r="H354" s="55">
        <f>$H353+$F354</f>
        <v/>
      </c>
      <c r="I354" s="55">
        <f>SUMIFS(tblMovement[Ore_oz],tblMovement[Date],$A354,tblMovement[Source_Type],"Pit")</f>
        <v/>
      </c>
      <c r="J354" s="55">
        <f>IF($B354=$B353,$J353,0)+$I354</f>
        <v/>
      </c>
      <c r="K354" s="55">
        <f>$K353+$I354</f>
        <v/>
      </c>
      <c r="L354" s="55">
        <f>SUMIFS(tblMovement[Tonnes_t],tblMovement[Date],$A354,tblMovement[Is_Ore],1,tblMovement[Source_Type],"Pit",tblMovement[Grade_gpt],"&lt;&gt;")</f>
        <v/>
      </c>
      <c r="M354" s="55">
        <f>IF($B354=$B353,$M353,0)+$L354</f>
        <v/>
      </c>
      <c r="N354" s="55">
        <f>$N353+$L354</f>
        <v/>
      </c>
      <c r="O354" s="56">
        <f>IFERROR(IF(($L354)&gt;0,($I354*cfg_TroyOz)/($L354),""),"")</f>
        <v/>
      </c>
      <c r="P354" s="56">
        <f>IFERROR(IF(($M354)&gt;0,($J354*cfg_TroyOz)/($M354),""),"")</f>
        <v/>
      </c>
      <c r="Q354" s="56">
        <f>IFERROR(IF(($N354)&gt;0,($K354*cfg_TroyOz)/($N354),""),"")</f>
        <v/>
      </c>
      <c r="R354" s="55">
        <f>$F354-$L354</f>
        <v/>
      </c>
      <c r="S354" s="55">
        <f>IF($B354=$B353,$S353,0)+$R354</f>
        <v/>
      </c>
      <c r="T354" s="55">
        <f>$T353+$R354</f>
        <v/>
      </c>
      <c r="U354" s="55">
        <f>SUMIFS(tblMovement[Tonnes_t],tblMovement[Date],$A354,tblMovement[Is_Ore],0,tblMovement[Source_Type],"Pit")</f>
        <v/>
      </c>
      <c r="V354" s="55">
        <f>IF($B354=$B353,$V353,0)+$U354</f>
        <v/>
      </c>
      <c r="W354" s="55">
        <f>$W353+$U354</f>
        <v/>
      </c>
      <c r="X354" s="55">
        <f>$F354+$U354</f>
        <v/>
      </c>
      <c r="Y354" s="55">
        <f>IF($B354=$B353,$Y353,0)+$X354</f>
        <v/>
      </c>
      <c r="Z354" s="55">
        <f>$Z353+$X354</f>
        <v/>
      </c>
      <c r="AA354" s="56">
        <f>IFERROR(IF(($F354)&gt;0,($U354)/($F354),""),"")</f>
        <v/>
      </c>
      <c r="AB354" s="56">
        <f>IFERROR(IF(($G354)&gt;0,($V354)/($G354),""),"")</f>
        <v/>
      </c>
      <c r="AC354" s="56">
        <f>IFERROR(IF(($H354)&gt;0,($W354)/($H354),""),"")</f>
        <v/>
      </c>
      <c r="AD354" s="55">
        <f>SUMIFS(tblMovement[Tonnes_t],tblMovement[Date],$A354,tblMovement[Source_Type],"Stockpile")</f>
        <v/>
      </c>
      <c r="AE354" s="55">
        <f>IF($B354=$B353,$AE353,0)+$AD354</f>
        <v/>
      </c>
      <c r="AF354" s="55">
        <f>$AF353+$AD354</f>
        <v/>
      </c>
      <c r="AG354" s="55">
        <f>SUMIFS(tblMovement[Tonnes_t],tblMovement[Date],$A354)</f>
        <v/>
      </c>
      <c r="AH354" s="55">
        <f>IF($B354=$B353,$AH353,0)+$AG354</f>
        <v/>
      </c>
      <c r="AI354" s="55">
        <f>$AI353+$AG354</f>
        <v/>
      </c>
      <c r="AJ354" s="55">
        <f>$AG354-$X354-$AD354</f>
        <v/>
      </c>
      <c r="AK354" s="55">
        <f>IF($B354=$B353,$AK353,0)+$AJ354</f>
        <v/>
      </c>
      <c r="AL354" s="55">
        <f>$AL353+$AJ354</f>
        <v/>
      </c>
      <c r="AM354" s="55">
        <f>SUMIFS(tblMiningDaily[Drill_m],tblMiningDaily[Date],$A354)</f>
        <v/>
      </c>
      <c r="AN354" s="55">
        <f>IF($B354=$B353,$AN353,0)+$AM354</f>
        <v/>
      </c>
      <c r="AO354" s="55">
        <f>$AO353+$AM354</f>
        <v/>
      </c>
      <c r="AP354" s="55">
        <f>SUMIFS(tblMiningDaily[GC_Drill_m],tblMiningDaily[Date],$A354)</f>
        <v/>
      </c>
      <c r="AQ354" s="55">
        <f>IF($B354=$B353,$AQ353,0)+$AP354</f>
        <v/>
      </c>
      <c r="AR354" s="55">
        <f>$AR353+$AP354</f>
        <v/>
      </c>
      <c r="AS354" s="55">
        <f>SUMIFS(tblMiningDaily[Blast_t],tblMiningDaily[Date],$A354)</f>
        <v/>
      </c>
      <c r="AT354" s="55">
        <f>IF($B354=$B353,$AT353,0)+$AS354</f>
        <v/>
      </c>
      <c r="AU354" s="55">
        <f>$AU353+$AS354</f>
        <v/>
      </c>
      <c r="AV354" s="55">
        <f>SUMIFS(tblMiningDaily[Explosives_kg],tblMiningDaily[Date],$A354)</f>
        <v/>
      </c>
      <c r="AW354" s="55">
        <f>IF($B354=$B353,$AW353,0)+$AV354</f>
        <v/>
      </c>
      <c r="AX354" s="55">
        <f>$AX353+$AV354</f>
        <v/>
      </c>
      <c r="AY354" s="56">
        <f>IFERROR(IF(($AS354)&gt;0,($AV354)/($AS354),""),"")</f>
        <v/>
      </c>
      <c r="AZ354" s="56">
        <f>IFERROR(IF(($AT354)&gt;0,($AW354)/($AT354),""),"")</f>
        <v/>
      </c>
      <c r="BA354" s="56">
        <f>IFERROR(IF(($AU354)&gt;0,($AX354)/($AU354),""),"")</f>
        <v/>
      </c>
      <c r="BB354" s="55">
        <f>SUMIFS(tblMiningDaily[Diesel_L],tblMiningDaily[Date],$A354)</f>
        <v/>
      </c>
      <c r="BC354" s="55">
        <f>IF($B354=$B353,$BC353,0)+$BB354</f>
        <v/>
      </c>
      <c r="BD354" s="55">
        <f>$BD353+$BB354</f>
        <v/>
      </c>
      <c r="BE354" s="55">
        <f>SUMIFS(tblMiningDaily[Dewatering_m3],tblMiningDaily[Date],$A354)</f>
        <v/>
      </c>
      <c r="BF354" s="55">
        <f>IF($B354=$B353,$BF353,0)+$BE354</f>
        <v/>
      </c>
      <c r="BG354" s="55">
        <f>$BG353+$BE354</f>
        <v/>
      </c>
      <c r="BH354" s="57">
        <f>SUMIFS(tblFleet[Calendar_h],tblFleet[Date],$A354,tblFleet[Equipment_Class],"Excavator")</f>
        <v/>
      </c>
      <c r="BI354" s="57">
        <f>IF($B354=$B353,$BI353,0)+$BH354</f>
        <v/>
      </c>
      <c r="BJ354" s="57">
        <f>$BJ353+$BH354</f>
        <v/>
      </c>
      <c r="BK354" s="57">
        <f>SUMIFS(tblFleet[Available_h],tblFleet[Date],$A354,tblFleet[Equipment_Class],"Excavator")</f>
        <v/>
      </c>
      <c r="BL354" s="57">
        <f>IF($B354=$B353,$BL353,0)+$BK354</f>
        <v/>
      </c>
      <c r="BM354" s="57">
        <f>$BM353+$BK354</f>
        <v/>
      </c>
      <c r="BN354" s="57">
        <f>SUMIFS(tblFleet[Operating_h],tblFleet[Date],$A354,tblFleet[Equipment_Class],"Excavator")</f>
        <v/>
      </c>
      <c r="BO354" s="57">
        <f>IF($B354=$B353,$BO353,0)+$BN354</f>
        <v/>
      </c>
      <c r="BP354" s="57">
        <f>$BP353+$BN354</f>
        <v/>
      </c>
      <c r="BQ354" s="67">
        <f>IFERROR(IF(($BH354)&gt;0,($BK354)/($BH354),""),"")</f>
        <v/>
      </c>
      <c r="BR354" s="67">
        <f>IFERROR(IF(($BI354)&gt;0,($BL354)/($BI354),""),"")</f>
        <v/>
      </c>
      <c r="BS354" s="67">
        <f>IFERROR(IF(($BJ354)&gt;0,($BM354)/($BJ354),""),"")</f>
        <v/>
      </c>
      <c r="BT354" s="67">
        <f>IFERROR(IF(($BK354)&gt;0,($BN354)/($BK354),""),"")</f>
        <v/>
      </c>
      <c r="BU354" s="67">
        <f>IFERROR(IF(($BL354)&gt;0,($BO354)/($BL354),""),"")</f>
        <v/>
      </c>
      <c r="BV354" s="67">
        <f>IFERROR(IF(($BM354)&gt;0,($BP354)/($BM354),""),"")</f>
        <v/>
      </c>
      <c r="BW354" s="57">
        <f>SUMIFS(tblFleet[Calendar_h],tblFleet[Date],$A354,tblFleet[Equipment_Class],"Haul Truck")</f>
        <v/>
      </c>
      <c r="BX354" s="57">
        <f>IF($B354=$B353,$BX353,0)+$BW354</f>
        <v/>
      </c>
      <c r="BY354" s="57">
        <f>$BY353+$BW354</f>
        <v/>
      </c>
      <c r="BZ354" s="57">
        <f>SUMIFS(tblFleet[Available_h],tblFleet[Date],$A354,tblFleet[Equipment_Class],"Haul Truck")</f>
        <v/>
      </c>
      <c r="CA354" s="57">
        <f>IF($B354=$B353,$CA353,0)+$BZ354</f>
        <v/>
      </c>
      <c r="CB354" s="57">
        <f>$CB353+$BZ354</f>
        <v/>
      </c>
      <c r="CC354" s="57">
        <f>SUMIFS(tblFleet[Operating_h],tblFleet[Date],$A354,tblFleet[Equipment_Class],"Haul Truck")</f>
        <v/>
      </c>
      <c r="CD354" s="57">
        <f>IF($B354=$B353,$CD353,0)+$CC354</f>
        <v/>
      </c>
      <c r="CE354" s="57">
        <f>$CE353+$CC354</f>
        <v/>
      </c>
      <c r="CF354" s="67">
        <f>IFERROR(IF(($BW354)&gt;0,($BZ354)/($BW354),""),"")</f>
        <v/>
      </c>
      <c r="CG354" s="67">
        <f>IFERROR(IF(($BX354)&gt;0,($CA354)/($BX354),""),"")</f>
        <v/>
      </c>
      <c r="CH354" s="67">
        <f>IFERROR(IF(($BY354)&gt;0,($CB354)/($BY354),""),"")</f>
        <v/>
      </c>
      <c r="CI354" s="67">
        <f>IFERROR(IF(($BZ354)&gt;0,($CC354)/($BZ354),""),"")</f>
        <v/>
      </c>
      <c r="CJ354" s="67">
        <f>IFERROR(IF(($CA354)&gt;0,($CD354)/($CA354),""),"")</f>
        <v/>
      </c>
      <c r="CK354" s="67">
        <f>IFERROR(IF(($CB354)&gt;0,($CE354)/($CB354),""),"")</f>
        <v/>
      </c>
      <c r="CL354" s="55">
        <f>IFERROR(IF(($BN354)&gt;0,($X354+$AD354)/($BN354),""),"")</f>
        <v/>
      </c>
      <c r="CM354" s="55">
        <f>IFERROR(IF(($BO354)&gt;0,($Y354+$AE354)/($BO354),""),"")</f>
        <v/>
      </c>
      <c r="CN354" s="55">
        <f>IFERROR(IF(($BP354)&gt;0,($Z354+$AF354)/($BP354),""),"")</f>
        <v/>
      </c>
      <c r="CO354" s="55">
        <f>IFERROR(IF(($CC354)&gt;0,($X354+$AD354)/($CC354),""),"")</f>
        <v/>
      </c>
      <c r="CP354" s="55">
        <f>IFERROR(IF(($CD354)&gt;0,($Y354+$AE354)/($CD354),""),"")</f>
        <v/>
      </c>
      <c r="CQ354" s="55">
        <f>IFERROR(IF(($CE354)&gt;0,($Z354+$AF354)/($CE354),""),"")</f>
        <v/>
      </c>
      <c r="CR354" s="55">
        <f>SUMIFS(tblPlant[Crushed_t],tblPlant[Date],$A354)</f>
        <v/>
      </c>
      <c r="CS354" s="55">
        <f>IF($B354=$B353,$CS353,0)+$CR354</f>
        <v/>
      </c>
      <c r="CT354" s="55">
        <f>$CT353+$CR354</f>
        <v/>
      </c>
      <c r="CU354" s="55">
        <f>SUMIFS(tblPlant[Milled_t],tblPlant[Date],$A354)</f>
        <v/>
      </c>
      <c r="CV354" s="55">
        <f>IF($B354=$B353,$CV353,0)+$CU354</f>
        <v/>
      </c>
      <c r="CW354" s="55">
        <f>$CW353+$CU354</f>
        <v/>
      </c>
      <c r="CX354" s="55">
        <f>SUMIFS(tblPlant[Feed_oz],tblPlant[Date],$A354)</f>
        <v/>
      </c>
      <c r="CY354" s="55">
        <f>IF($B354=$B353,$CY353,0)+$CX354</f>
        <v/>
      </c>
      <c r="CZ354" s="55">
        <f>$CZ353+$CX354</f>
        <v/>
      </c>
      <c r="DA354" s="55">
        <f>SUMIFS(tblPlant[Tails_oz],tblPlant[Date],$A354)</f>
        <v/>
      </c>
      <c r="DB354" s="55">
        <f>IF($B354=$B353,$DB353,0)+$DA354</f>
        <v/>
      </c>
      <c r="DC354" s="55">
        <f>$DC353+$DA354</f>
        <v/>
      </c>
      <c r="DD354" s="55">
        <f>SUMIFS(tblPlant[Recovered_oz],tblPlant[Date],$A354)</f>
        <v/>
      </c>
      <c r="DE354" s="55">
        <f>IF($B354=$B353,$DE353,0)+$DD354</f>
        <v/>
      </c>
      <c r="DF354" s="55">
        <f>$DF353+$DD354</f>
        <v/>
      </c>
      <c r="DG354" s="55">
        <f>SUMIFS(tblPlant[Milled_t],tblPlant[Date],$A354,tblPlant[Head_Grade_gpt],"&lt;&gt;")</f>
        <v/>
      </c>
      <c r="DH354" s="55">
        <f>IF($B354=$B353,$DH353,0)+$DG354</f>
        <v/>
      </c>
      <c r="DI354" s="55">
        <f>$DI353+$DG354</f>
        <v/>
      </c>
      <c r="DJ354" s="55">
        <f>SUMIFS(tblPlant[Milled_t],tblPlant[Date],$A354,tblPlant[Tails_Grade_gpt],"&lt;&gt;")</f>
        <v/>
      </c>
      <c r="DK354" s="55">
        <f>IF($B354=$B353,$DK353,0)+$DJ354</f>
        <v/>
      </c>
      <c r="DL354" s="55">
        <f>$DL353+$DJ354</f>
        <v/>
      </c>
      <c r="DM354" s="55">
        <f>SUMIFS(tblPlant[Feed_oz],tblPlant[Date],$A354,tblPlant[Tails_Grade_gpt],"&lt;&gt;")</f>
        <v/>
      </c>
      <c r="DN354" s="55">
        <f>IF($B354=$B353,$DN353,0)+$DM354</f>
        <v/>
      </c>
      <c r="DO354" s="55">
        <f>$DO353+$DM354</f>
        <v/>
      </c>
      <c r="DP354" s="55">
        <f>SUMIFS(tblPlant[Milled_t],tblPlant[Date],$A354,tblPlant[Mill_Run_h],"&lt;&gt;")</f>
        <v/>
      </c>
      <c r="DQ354" s="55">
        <f>IF($B354=$B353,$DQ353,0)+$DP354</f>
        <v/>
      </c>
      <c r="DR354" s="55">
        <f>$DR353+$DP354</f>
        <v/>
      </c>
      <c r="DS354" s="56">
        <f>IFERROR(IF(($DG354)&gt;0,($CX354*cfg_TroyOz)/($DG354),""),"")</f>
        <v/>
      </c>
      <c r="DT354" s="56">
        <f>IFERROR(IF(($DH354)&gt;0,($CY354*cfg_TroyOz)/($DH354),""),"")</f>
        <v/>
      </c>
      <c r="DU354" s="56">
        <f>IFERROR(IF(($DI354)&gt;0,($CZ354*cfg_TroyOz)/($DI354),""),"")</f>
        <v/>
      </c>
      <c r="DV354" s="56">
        <f>IFERROR(IF(($DJ354)&gt;0,($DA354*cfg_TroyOz)/($DJ354),""),"")</f>
        <v/>
      </c>
      <c r="DW354" s="56">
        <f>IFERROR(IF(($DK354)&gt;0,($DB354*cfg_TroyOz)/($DK354),""),"")</f>
        <v/>
      </c>
      <c r="DX354" s="56">
        <f>IFERROR(IF(($DL354)&gt;0,($DC354*cfg_TroyOz)/($DL354),""),"")</f>
        <v/>
      </c>
      <c r="DY354" s="67">
        <f>IFERROR(IF(($DM354)&gt;0,($DD354)/($DM354),""),"")</f>
        <v/>
      </c>
      <c r="DZ354" s="67">
        <f>IFERROR(IF(($DN354)&gt;0,($DE354)/($DN354),""),"")</f>
        <v/>
      </c>
      <c r="EA354" s="67">
        <f>IFERROR(IF(($DO354)&gt;0,($DF354)/($DO354),""),"")</f>
        <v/>
      </c>
      <c r="EB354" s="55">
        <f>SUMIFS(tblPlant[Gravity_Gold_oz],tblPlant[Date],$A354)</f>
        <v/>
      </c>
      <c r="EC354" s="55">
        <f>IF($B354=$B353,$EC353,0)+$EB354</f>
        <v/>
      </c>
      <c r="ED354" s="55">
        <f>$ED353+$EB354</f>
        <v/>
      </c>
      <c r="EE354" s="67">
        <f>IFERROR(IF(($DD354)&gt;0,($EB354)/($DD354),""),"")</f>
        <v/>
      </c>
      <c r="EF354" s="67">
        <f>IFERROR(IF(($DE354)&gt;0,($EC354)/($DE354),""),"")</f>
        <v/>
      </c>
      <c r="EG354" s="67">
        <f>IFERROR(IF(($DF354)&gt;0,($ED354)/($DF354),""),"")</f>
        <v/>
      </c>
      <c r="EH354" s="55">
        <f>SUMIFS(tblPlant[Gold_Poured_oz],tblPlant[Date],$A354)</f>
        <v/>
      </c>
      <c r="EI354" s="55">
        <f>IF($B354=$B353,$EI353,0)+$EH354</f>
        <v/>
      </c>
      <c r="EJ354" s="55">
        <f>$EJ353+$EH354</f>
        <v/>
      </c>
      <c r="EK354" s="57">
        <f>SUMIFS(tblPlant[Mill_Run_h],tblPlant[Date],$A354)</f>
        <v/>
      </c>
      <c r="EL354" s="57">
        <f>IF($B354=$B353,$EL353,0)+$EK354</f>
        <v/>
      </c>
      <c r="EM354" s="57">
        <f>$EM353+$EK354</f>
        <v/>
      </c>
      <c r="EN354" s="57">
        <f>SUMIFS(tblPlant[Mill_Planned_Maint_h],tblPlant[Date],$A354)</f>
        <v/>
      </c>
      <c r="EO354" s="57">
        <f>IF($B354=$B353,$EO353,0)+$EN354</f>
        <v/>
      </c>
      <c r="EP354" s="57">
        <f>$EP353+$EN354</f>
        <v/>
      </c>
      <c r="EQ354" s="57">
        <f>SUMIFS(tblPlant[Mill_Unplanned_Down_h],tblPlant[Date],$A354)</f>
        <v/>
      </c>
      <c r="ER354" s="57">
        <f>IF($B354=$B353,$ER353,0)+$EQ354</f>
        <v/>
      </c>
      <c r="ES354" s="57">
        <f>$ES353+$EQ354</f>
        <v/>
      </c>
      <c r="ET354" s="57">
        <f>IF(COUNTIFS(tblPlant[Date],$A354,tblPlant[Mill_Run_h],"&lt;&gt;")+COUNTIFS(tblPlant[Date],$A354,tblPlant[Mill_Planned_Maint_h],"&lt;&gt;")+COUNTIFS(tblPlant[Date],$A354,tblPlant[Mill_Unplanned_Down_h],"&lt;&gt;")&gt;0,cfg_HoursPerDay,0)</f>
        <v/>
      </c>
      <c r="EU354" s="57">
        <f>IF($B354=$B353,$EU353,0)+$ET354</f>
        <v/>
      </c>
      <c r="EV354" s="57">
        <f>$EV353+$ET354</f>
        <v/>
      </c>
      <c r="EW354" s="57">
        <f>SUMIFS(tblPlant[Crusher_Run_h],tblPlant[Date],$A354)</f>
        <v/>
      </c>
      <c r="EX354" s="57">
        <f>IF($B354=$B353,$EX353,0)+$EW354</f>
        <v/>
      </c>
      <c r="EY354" s="57">
        <f>$EY353+$EW354</f>
        <v/>
      </c>
      <c r="EZ354" s="55">
        <f>IFERROR(IF(($EK354)&gt;0,($DP354)/($EK354),""),"")</f>
        <v/>
      </c>
      <c r="FA354" s="55">
        <f>IFERROR(IF(($EL354)&gt;0,($DQ354)/($EL354),""),"")</f>
        <v/>
      </c>
      <c r="FB354" s="55">
        <f>IFERROR(IF(($EM354)&gt;0,($DR354)/($EM354),""),"")</f>
        <v/>
      </c>
      <c r="FC354" s="67">
        <f>IFERROR(IF(($ET354)&gt;0,($ET354-$EN354-$EQ354)/($ET354),""),"")</f>
        <v/>
      </c>
      <c r="FD354" s="67">
        <f>IFERROR(IF(($EU354)&gt;0,($EU354-$EO354-$ER354)/($EU354),""),"")</f>
        <v/>
      </c>
      <c r="FE354" s="67">
        <f>IFERROR(IF(($EV354)&gt;0,($EV354-$EP354-$ES354)/($EV354),""),"")</f>
        <v/>
      </c>
      <c r="FF354" s="67">
        <f>IFERROR(IF(($ET354-$EN354-$EQ354)&gt;0,($EK354)/($ET354-$EN354-$EQ354),""),"")</f>
        <v/>
      </c>
      <c r="FG354" s="67">
        <f>IFERROR(IF(($EU354-$EO354-$ER354)&gt;0,($EL354)/($EU354-$EO354-$ER354),""),"")</f>
        <v/>
      </c>
      <c r="FH354" s="67">
        <f>IFERROR(IF(($EV354-$EP354-$ES354)&gt;0,($EM354)/($EV354-$EP354-$ES354),""),"")</f>
        <v/>
      </c>
      <c r="FI354" s="55">
        <f>SUMIFS(tblPlant[Cyanide_kg],tblPlant[Date],$A354)</f>
        <v/>
      </c>
      <c r="FJ354" s="55">
        <f>IF($B354=$B353,$FJ353,0)+$FI354</f>
        <v/>
      </c>
      <c r="FK354" s="55">
        <f>$FK353+$FI354</f>
        <v/>
      </c>
      <c r="FL354" s="55">
        <f>SUMIFS(tblPlant[Lime_kg],tblPlant[Date],$A354)</f>
        <v/>
      </c>
      <c r="FM354" s="55">
        <f>IF($B354=$B353,$FM353,0)+$FL354</f>
        <v/>
      </c>
      <c r="FN354" s="55">
        <f>$FN353+$FL354</f>
        <v/>
      </c>
      <c r="FO354" s="55">
        <f>SUMIFS(tblPlant[Grinding_Media_kg],tblPlant[Date],$A354)</f>
        <v/>
      </c>
      <c r="FP354" s="55">
        <f>IF($B354=$B353,$FP353,0)+$FO354</f>
        <v/>
      </c>
      <c r="FQ354" s="55">
        <f>$FQ353+$FO354</f>
        <v/>
      </c>
      <c r="FR354" s="55">
        <f>SUMIFS(tblPlant[Power_kWh],tblPlant[Date],$A354)</f>
        <v/>
      </c>
      <c r="FS354" s="55">
        <f>IF($B354=$B353,$FS353,0)+$FR354</f>
        <v/>
      </c>
      <c r="FT354" s="55">
        <f>$FT353+$FR354</f>
        <v/>
      </c>
      <c r="FU354" s="55">
        <f>SUMIFS(tblPlant[Raw_Water_m3],tblPlant[Date],$A354)</f>
        <v/>
      </c>
      <c r="FV354" s="55">
        <f>IF($B354=$B353,$FV353,0)+$FU354</f>
        <v/>
      </c>
      <c r="FW354" s="55">
        <f>$FW353+$FU354</f>
        <v/>
      </c>
      <c r="FX354" s="56">
        <f>IFERROR(IF(($CU354)&gt;0,($FI354)/($CU354),""),"")</f>
        <v/>
      </c>
      <c r="FY354" s="56">
        <f>IFERROR(IF(($CV354)&gt;0,($FJ354)/($CV354),""),"")</f>
        <v/>
      </c>
      <c r="FZ354" s="56">
        <f>IFERROR(IF(($CW354)&gt;0,($FK354)/($CW354),""),"")</f>
        <v/>
      </c>
      <c r="GA354" s="56">
        <f>IFERROR(IF(($CU354)&gt;0,($FL354)/($CU354),""),"")</f>
        <v/>
      </c>
      <c r="GB354" s="56">
        <f>IFERROR(IF(($CV354)&gt;0,($FM354)/($CV354),""),"")</f>
        <v/>
      </c>
      <c r="GC354" s="56">
        <f>IFERROR(IF(($CW354)&gt;0,($FN354)/($CW354),""),"")</f>
        <v/>
      </c>
      <c r="GD354" s="56">
        <f>IFERROR(IF(($CU354)&gt;0,($FO354)/($CU354),""),"")</f>
        <v/>
      </c>
      <c r="GE354" s="56">
        <f>IFERROR(IF(($CV354)&gt;0,($FP354)/($CV354),""),"")</f>
        <v/>
      </c>
      <c r="GF354" s="56">
        <f>IFERROR(IF(($CW354)&gt;0,($FQ354)/($CW354),""),"")</f>
        <v/>
      </c>
      <c r="GG354" s="79">
        <f>IFERROR(IF(($CU354)&gt;0,($FR354)/($CU354),""),"")</f>
        <v/>
      </c>
      <c r="GH354" s="79">
        <f>IFERROR(IF(($CV354)&gt;0,($FS354)/($CV354),""),"")</f>
        <v/>
      </c>
      <c r="GI354" s="79">
        <f>IFERROR(IF(($CW354)&gt;0,($FT354)/($CW354),""),"")</f>
        <v/>
      </c>
      <c r="GJ354" s="56">
        <f>IFERROR(IF(($CU354)&gt;0,($FU354)/($CU354),""),"")</f>
        <v/>
      </c>
      <c r="GK354" s="56">
        <f>IFERROR(IF(($CV354)&gt;0,($FV354)/($CV354),""),"")</f>
        <v/>
      </c>
      <c r="GL354" s="56">
        <f>IFERROR(IF(($CW354)&gt;0,($FW354)/($CW354),""),"")</f>
        <v/>
      </c>
      <c r="GM354" s="55">
        <f>IF(SUMIFS(tblPlant[GIC_oz],tblPlant[Date],$A354)&gt;0,SUMIFS(tblPlant[GIC_oz],tblPlant[Date],$A354),"")</f>
        <v/>
      </c>
      <c r="GN354" s="55">
        <f>SUMIFS(tblGold[Gold_oz],tblGold[Date],$A354,tblGold[Type],"Shipment")</f>
        <v/>
      </c>
      <c r="GO354" s="55">
        <f>IF($B354=$B353,$GO353,0)+$GN354</f>
        <v/>
      </c>
      <c r="GP354" s="55">
        <f>$GP353+$GN354</f>
        <v/>
      </c>
      <c r="GQ354" s="55">
        <f>SUMIFS(tblGold[Gold_oz],tblGold[Date],$A354,tblGold[Type],"Sale")</f>
        <v/>
      </c>
      <c r="GR354" s="55">
        <f>IF($B354=$B353,$GR353,0)+$GQ354</f>
        <v/>
      </c>
      <c r="GS354" s="55">
        <f>$GS353+$GQ354</f>
        <v/>
      </c>
      <c r="GT354" s="55">
        <f>SUMIFS(tblGold[Dore_kg],tblGold[Date],$A354,tblGold[Type],"Shipment")</f>
        <v/>
      </c>
      <c r="GU354" s="55">
        <f>IF($B354=$B353,$GU353,0)+$GT354</f>
        <v/>
      </c>
      <c r="GV354" s="55">
        <f>$GV353+$GT354</f>
        <v/>
      </c>
      <c r="GW354" s="57">
        <f>SUMIFS(tblSafety[Hours_Total],tblSafety[Date],$A354)</f>
        <v/>
      </c>
      <c r="GX354" s="57">
        <f>IF($B354=$B353,$GX353,0)+$GW354</f>
        <v/>
      </c>
      <c r="GY354" s="57">
        <f>$GY353+$GW354</f>
        <v/>
      </c>
      <c r="GZ354" s="62">
        <f>SUMIFS(tblSafety[Fatality],tblSafety[Date],$A354)</f>
        <v/>
      </c>
      <c r="HA354" s="62">
        <f>IF($B354=$B353,$HA353,0)+$GZ354</f>
        <v/>
      </c>
      <c r="HB354" s="62">
        <f>$HB353+$GZ354</f>
        <v/>
      </c>
      <c r="HC354" s="62">
        <f>SUMIFS(tblSafety[LTI],tblSafety[Date],$A354)</f>
        <v/>
      </c>
      <c r="HD354" s="62">
        <f>IF($B354=$B353,$HD353,0)+$HC354</f>
        <v/>
      </c>
      <c r="HE354" s="62">
        <f>$HE353+$HC354</f>
        <v/>
      </c>
      <c r="HF354" s="62">
        <f>SUMIFS(tblSafety[RWI],tblSafety[Date],$A354)</f>
        <v/>
      </c>
      <c r="HG354" s="62">
        <f>IF($B354=$B353,$HG353,0)+$HF354</f>
        <v/>
      </c>
      <c r="HH354" s="62">
        <f>$HH353+$HF354</f>
        <v/>
      </c>
      <c r="HI354" s="62">
        <f>SUMIFS(tblSafety[MTI],tblSafety[Date],$A354)</f>
        <v/>
      </c>
      <c r="HJ354" s="62">
        <f>IF($B354=$B353,$HJ353,0)+$HI354</f>
        <v/>
      </c>
      <c r="HK354" s="62">
        <f>$HK353+$HI354</f>
        <v/>
      </c>
      <c r="HL354" s="62">
        <f>SUMIFS(tblSafety[FAI],tblSafety[Date],$A354)</f>
        <v/>
      </c>
      <c r="HM354" s="62">
        <f>IF($B354=$B353,$HM353,0)+$HL354</f>
        <v/>
      </c>
      <c r="HN354" s="62">
        <f>$HN353+$HL354</f>
        <v/>
      </c>
      <c r="HO354" s="62">
        <f>SUMIFS(tblSafety[Recordables],tblSafety[Date],$A354)</f>
        <v/>
      </c>
      <c r="HP354" s="62">
        <f>IF($B354=$B353,$HP353,0)+$HO354</f>
        <v/>
      </c>
      <c r="HQ354" s="62">
        <f>$HQ353+$HO354</f>
        <v/>
      </c>
      <c r="HR354" s="62">
        <f>SUMIFS(tblSafety[Near_Miss],tblSafety[Date],$A354)</f>
        <v/>
      </c>
      <c r="HS354" s="62">
        <f>IF($B354=$B353,$HS353,0)+$HR354</f>
        <v/>
      </c>
      <c r="HT354" s="62">
        <f>$HT353+$HR354</f>
        <v/>
      </c>
      <c r="HU354" s="62">
        <f>SUMIFS(tblSafety[Hazard_Reports],tblSafety[Date],$A354)</f>
        <v/>
      </c>
      <c r="HV354" s="62">
        <f>IF($B354=$B353,$HV353,0)+$HU354</f>
        <v/>
      </c>
      <c r="HW354" s="62">
        <f>$HW353+$HU354</f>
        <v/>
      </c>
      <c r="HX354" s="62">
        <f>SUMIFS(tblSafety[HPI],tblSafety[Date],$A354)</f>
        <v/>
      </c>
      <c r="HY354" s="62">
        <f>IF($B354=$B353,$HY353,0)+$HX354</f>
        <v/>
      </c>
      <c r="HZ354" s="62">
        <f>$HZ353+$HX354</f>
        <v/>
      </c>
      <c r="IA354" s="62">
        <f>SUMIFS(tblSafety[Env_Incidents],tblSafety[Date],$A354)</f>
        <v/>
      </c>
      <c r="IB354" s="62">
        <f>IF($B354=$B353,$IB353,0)+$IA354</f>
        <v/>
      </c>
      <c r="IC354" s="62">
        <f>$IC353+$IA354</f>
        <v/>
      </c>
      <c r="ID354" s="62">
        <f>SUMIFS(tblSafety[Community_Incidents],tblSafety[Date],$A354)</f>
        <v/>
      </c>
      <c r="IE354" s="62">
        <f>IF($B354=$B353,$IE353,0)+$ID354</f>
        <v/>
      </c>
      <c r="IF354" s="62">
        <f>$IF353+$ID354</f>
        <v/>
      </c>
      <c r="IG354" s="62">
        <f>SUMIFS(tblSafety[Vehicle_Incidents],tblSafety[Date],$A354)</f>
        <v/>
      </c>
      <c r="IH354" s="62">
        <f>IF($B354=$B353,$IH353,0)+$IG354</f>
        <v/>
      </c>
      <c r="II354" s="62">
        <f>$II353+$IG354</f>
        <v/>
      </c>
      <c r="IJ354" s="62">
        <f>SUMIFS(tblSafety[Toolbox_Talks],tblSafety[Date],$A354)</f>
        <v/>
      </c>
      <c r="IK354" s="62">
        <f>IF($B354=$B353,$IK353,0)+$IJ354</f>
        <v/>
      </c>
      <c r="IL354" s="62">
        <f>$IL353+$IJ354</f>
        <v/>
      </c>
      <c r="IM354" s="62">
        <f>SUMIFS(tblSafety[Inspections],tblSafety[Date],$A354)</f>
        <v/>
      </c>
      <c r="IN354" s="62">
        <f>IF($B354=$B353,$IN353,0)+$IM354</f>
        <v/>
      </c>
      <c r="IO354" s="62">
        <f>$IO353+$IM354</f>
        <v/>
      </c>
      <c r="IP354" s="56">
        <f>IFERROR((SUMIFS(tblSafety[Recordables],tblSafety[Date],"&gt;="&amp;EDATE($E354,-12),tblSafety[Date],"&lt;="&amp;$A354)+SUMIFS(tblSafetyHistory[Recordables],tblSafetyHistory[Month],"&gt;="&amp;EDATE($E354,-12),tblSafetyHistory[Month],"&lt;"&amp;$E354,tblSafetyHistory[Use],1))/(SUMIFS(tblSafety[Hours_Total],tblSafety[Date],"&gt;="&amp;EDATE($E354,-12),tblSafety[Date],"&lt;="&amp;$A354)+SUMIFS(tblSafetyHistory[Hours_Total],tblSafetyHistory[Month],"&gt;="&amp;EDATE($E354,-12),tblSafetyHistory[Month],"&lt;"&amp;$E354,tblSafetyHistory[Use],1))*cfg_RateBasisHours,"")</f>
        <v/>
      </c>
      <c r="IQ354" s="56">
        <f>IFERROR((SUMIFS(tblSafety[LTI],tblSafety[Date],"&gt;="&amp;EDATE($E354,-12),tblSafety[Date],"&lt;="&amp;$A354)+SUMIFS(tblSafetyHistory[LTI],tblSafetyHistory[Month],"&gt;="&amp;EDATE($E354,-12),tblSafetyHistory[Month],"&lt;"&amp;$E354,tblSafetyHistory[Use],1))/(SUMIFS(tblSafety[Hours_Total],tblSafety[Date],"&gt;="&amp;EDATE($E354,-12),tblSafety[Date],"&lt;="&amp;$A354)+SUMIFS(tblSafetyHistory[Hours_Total],tblSafetyHistory[Month],"&gt;="&amp;EDATE($E354,-12),tblSafetyHistory[Month],"&lt;"&amp;$E354,tblSafetyHistory[Use],1))*cfg_RateBasisHours,"")</f>
        <v/>
      </c>
      <c r="IR354" s="62">
        <f>IF(MAX(N(cfg_PriorLTIDate),_xlfn.MAXIFS(tblSafety[Date],tblSafety[LTI],"&gt;0",tblSafety[Date],"&lt;="&amp;$A354))=0,"",$A354-MAX(N(cfg_PriorLTIDate),_xlfn.MAXIFS(tblSafety[Date],tblSafety[LTI],"&gt;0",tblSafety[Date],"&lt;="&amp;$A354)))</f>
        <v/>
      </c>
      <c r="IS354" s="55">
        <f>SUMIFS(tblBudget[Ore_Mined_t],tblBudget[Month],$E354)</f>
        <v/>
      </c>
      <c r="IT354" s="55">
        <f>$IS354*$C354/$D354</f>
        <v/>
      </c>
      <c r="IU354" s="55">
        <f>SUMIFS(tblBudget[Ore_Mined_t],tblBudget[Month],"&lt;"&amp;$E354)+$IT354</f>
        <v/>
      </c>
      <c r="IV354" s="55">
        <f>SUMIFS(tblBudget[Ore_oz],tblBudget[Month],$E354)</f>
        <v/>
      </c>
      <c r="IW354" s="55">
        <f>$IV354*$C354/$D354</f>
        <v/>
      </c>
      <c r="IX354" s="55">
        <f>SUMIFS(tblBudget[Ore_oz],tblBudget[Month],"&lt;"&amp;$E354)+$IW354</f>
        <v/>
      </c>
      <c r="IY354" s="55">
        <f>SUMIFS(tblBudget[Ore_Mined_t],tblBudget[Month],$E354)</f>
        <v/>
      </c>
      <c r="IZ354" s="55">
        <f>$IY354*$C354/$D354</f>
        <v/>
      </c>
      <c r="JA354" s="55">
        <f>SUMIFS(tblBudget[Ore_Mined_t],tblBudget[Month],"&lt;"&amp;$E354)+$IZ354</f>
        <v/>
      </c>
      <c r="JB354" s="56">
        <f>IFERROR(IF(($IY354)&gt;0,($IV354*cfg_TroyOz)/($IY354),""),"")</f>
        <v/>
      </c>
      <c r="JC354" s="56">
        <f>IFERROR(IF(($IZ354)&gt;0,($IW354*cfg_TroyOz)/($IZ354),""),"")</f>
        <v/>
      </c>
      <c r="JD354" s="56">
        <f>IFERROR(IF(($JA354)&gt;0,($IX354*cfg_TroyOz)/($JA354),""),"")</f>
        <v/>
      </c>
      <c r="JE354" s="55">
        <f>SUMIFS(tblBudget[Waste_t],tblBudget[Month],$E354)</f>
        <v/>
      </c>
      <c r="JF354" s="55">
        <f>$JE354*$C354/$D354</f>
        <v/>
      </c>
      <c r="JG354" s="55">
        <f>SUMIFS(tblBudget[Waste_t],tblBudget[Month],"&lt;"&amp;$E354)+$JF354</f>
        <v/>
      </c>
      <c r="JH354" s="55">
        <f>SUMIFS(tblBudget[TMM_t],tblBudget[Month],$E354)</f>
        <v/>
      </c>
      <c r="JI354" s="55">
        <f>$JH354*$C354/$D354</f>
        <v/>
      </c>
      <c r="JJ354" s="55">
        <f>SUMIFS(tblBudget[TMM_t],tblBudget[Month],"&lt;"&amp;$E354)+$JI354</f>
        <v/>
      </c>
      <c r="JK354" s="56">
        <f>IFERROR(IF(($IS354)&gt;0,($JE354)/($IS354),""),"")</f>
        <v/>
      </c>
      <c r="JL354" s="56">
        <f>IFERROR(IF(($IT354)&gt;0,($JF354)/($IT354),""),"")</f>
        <v/>
      </c>
      <c r="JM354" s="56">
        <f>IFERROR(IF(($IU354)&gt;0,($JG354)/($IU354),""),"")</f>
        <v/>
      </c>
      <c r="JN354" s="55">
        <f>SUMIFS(tblBudget[Drill_m],tblBudget[Month],$E354)</f>
        <v/>
      </c>
      <c r="JO354" s="55">
        <f>$JN354*$C354/$D354</f>
        <v/>
      </c>
      <c r="JP354" s="55">
        <f>SUMIFS(tblBudget[Drill_m],tblBudget[Month],"&lt;"&amp;$E354)+$JO354</f>
        <v/>
      </c>
      <c r="JQ354" s="55">
        <f>SUMIFS(tblBudget[Diesel_L],tblBudget[Month],$E354)</f>
        <v/>
      </c>
      <c r="JR354" s="55">
        <f>$JQ354*$C354/$D354</f>
        <v/>
      </c>
      <c r="JS354" s="55">
        <f>SUMIFS(tblBudget[Diesel_L],tblBudget[Month],"&lt;"&amp;$E354)+$JR354</f>
        <v/>
      </c>
      <c r="JT354" s="55">
        <f>SUMIFS(tblBudget[Milled_t],tblBudget[Month],$E354)</f>
        <v/>
      </c>
      <c r="JU354" s="55">
        <f>$JT354*$C354/$D354</f>
        <v/>
      </c>
      <c r="JV354" s="55">
        <f>SUMIFS(tblBudget[Milled_t],tblBudget[Month],"&lt;"&amp;$E354)+$JU354</f>
        <v/>
      </c>
      <c r="JW354" s="55">
        <f>SUMIFS(tblBudget[Feed_oz],tblBudget[Month],$E354)</f>
        <v/>
      </c>
      <c r="JX354" s="55">
        <f>$JW354*$C354/$D354</f>
        <v/>
      </c>
      <c r="JY354" s="55">
        <f>SUMIFS(tblBudget[Feed_oz],tblBudget[Month],"&lt;"&amp;$E354)+$JX354</f>
        <v/>
      </c>
      <c r="JZ354" s="55">
        <f>SUMIFS(tblBudget[Recovered_oz],tblBudget[Month],$E354)</f>
        <v/>
      </c>
      <c r="KA354" s="55">
        <f>$JZ354*$C354/$D354</f>
        <v/>
      </c>
      <c r="KB354" s="55">
        <f>SUMIFS(tblBudget[Recovered_oz],tblBudget[Month],"&lt;"&amp;$E354)+$KA354</f>
        <v/>
      </c>
      <c r="KC354" s="55">
        <f>SUMIFS(tblBudget[Milled_t],tblBudget[Month],$E354)</f>
        <v/>
      </c>
      <c r="KD354" s="55">
        <f>$KC354*$C354/$D354</f>
        <v/>
      </c>
      <c r="KE354" s="55">
        <f>SUMIFS(tblBudget[Milled_t],tblBudget[Month],"&lt;"&amp;$E354)+$KD354</f>
        <v/>
      </c>
      <c r="KF354" s="55">
        <f>SUMIFS(tblBudget[Feed_oz],tblBudget[Month],$E354)</f>
        <v/>
      </c>
      <c r="KG354" s="55">
        <f>$KF354*$C354/$D354</f>
        <v/>
      </c>
      <c r="KH354" s="55">
        <f>SUMIFS(tblBudget[Feed_oz],tblBudget[Month],"&lt;"&amp;$E354)+$KG354</f>
        <v/>
      </c>
      <c r="KI354" s="56">
        <f>IFERROR(IF(($KC354)&gt;0,($JW354*cfg_TroyOz)/($KC354),""),"")</f>
        <v/>
      </c>
      <c r="KJ354" s="56">
        <f>IFERROR(IF(($KD354)&gt;0,($JX354*cfg_TroyOz)/($KD354),""),"")</f>
        <v/>
      </c>
      <c r="KK354" s="56">
        <f>IFERROR(IF(($KE354)&gt;0,($JY354*cfg_TroyOz)/($KE354),""),"")</f>
        <v/>
      </c>
      <c r="KL354" s="67">
        <f>IFERROR(IF(($KF354)&gt;0,($JZ354)/($KF354),""),"")</f>
        <v/>
      </c>
      <c r="KM354" s="67">
        <f>IFERROR(IF(($KG354)&gt;0,($KA354)/($KG354),""),"")</f>
        <v/>
      </c>
      <c r="KN354" s="67">
        <f>IFERROR(IF(($KH354)&gt;0,($KB354)/($KH354),""),"")</f>
        <v/>
      </c>
      <c r="KO354" s="55">
        <f>SUMIFS(tblBudget[Gold_Poured_oz],tblBudget[Month],$E354)</f>
        <v/>
      </c>
      <c r="KP354" s="55">
        <f>$KO354*$C354/$D354</f>
        <v/>
      </c>
      <c r="KQ354" s="55">
        <f>SUMIFS(tblBudget[Gold_Poured_oz],tblBudget[Month],"&lt;"&amp;$E354)+$KP354</f>
        <v/>
      </c>
      <c r="KR354" s="57">
        <f>SUMIFS(tblBudget[Hours_Worked],tblBudget[Month],$E354)</f>
        <v/>
      </c>
      <c r="KS354" s="57">
        <f>$KR354*$C354/$D354</f>
        <v/>
      </c>
      <c r="KT354" s="57">
        <f>SUMIFS(tblBudget[Hours_Worked],tblBudget[Month],"&lt;"&amp;$E354)+$KS354</f>
        <v/>
      </c>
    </row>
    <row r="355">
      <c r="A355" s="54" t="n">
        <v>46376</v>
      </c>
      <c r="B355">
        <f>MONTH($A355)</f>
        <v/>
      </c>
      <c r="C355">
        <f>DAY($A355)</f>
        <v/>
      </c>
      <c r="D355">
        <f>DAY(EOMONTH($A355,0))</f>
        <v/>
      </c>
      <c r="E355" s="54">
        <f>DATE(YEAR($A355),MONTH($A355),1)</f>
        <v/>
      </c>
      <c r="F355" s="55">
        <f>SUMIFS(tblMovement[Tonnes_t],tblMovement[Date],$A355,tblMovement[Is_Ore],1,tblMovement[Source_Type],"Pit")</f>
        <v/>
      </c>
      <c r="G355" s="55">
        <f>IF($B355=$B354,$G354,0)+$F355</f>
        <v/>
      </c>
      <c r="H355" s="55">
        <f>$H354+$F355</f>
        <v/>
      </c>
      <c r="I355" s="55">
        <f>SUMIFS(tblMovement[Ore_oz],tblMovement[Date],$A355,tblMovement[Source_Type],"Pit")</f>
        <v/>
      </c>
      <c r="J355" s="55">
        <f>IF($B355=$B354,$J354,0)+$I355</f>
        <v/>
      </c>
      <c r="K355" s="55">
        <f>$K354+$I355</f>
        <v/>
      </c>
      <c r="L355" s="55">
        <f>SUMIFS(tblMovement[Tonnes_t],tblMovement[Date],$A355,tblMovement[Is_Ore],1,tblMovement[Source_Type],"Pit",tblMovement[Grade_gpt],"&lt;&gt;")</f>
        <v/>
      </c>
      <c r="M355" s="55">
        <f>IF($B355=$B354,$M354,0)+$L355</f>
        <v/>
      </c>
      <c r="N355" s="55">
        <f>$N354+$L355</f>
        <v/>
      </c>
      <c r="O355" s="56">
        <f>IFERROR(IF(($L355)&gt;0,($I355*cfg_TroyOz)/($L355),""),"")</f>
        <v/>
      </c>
      <c r="P355" s="56">
        <f>IFERROR(IF(($M355)&gt;0,($J355*cfg_TroyOz)/($M355),""),"")</f>
        <v/>
      </c>
      <c r="Q355" s="56">
        <f>IFERROR(IF(($N355)&gt;0,($K355*cfg_TroyOz)/($N355),""),"")</f>
        <v/>
      </c>
      <c r="R355" s="55">
        <f>$F355-$L355</f>
        <v/>
      </c>
      <c r="S355" s="55">
        <f>IF($B355=$B354,$S354,0)+$R355</f>
        <v/>
      </c>
      <c r="T355" s="55">
        <f>$T354+$R355</f>
        <v/>
      </c>
      <c r="U355" s="55">
        <f>SUMIFS(tblMovement[Tonnes_t],tblMovement[Date],$A355,tblMovement[Is_Ore],0,tblMovement[Source_Type],"Pit")</f>
        <v/>
      </c>
      <c r="V355" s="55">
        <f>IF($B355=$B354,$V354,0)+$U355</f>
        <v/>
      </c>
      <c r="W355" s="55">
        <f>$W354+$U355</f>
        <v/>
      </c>
      <c r="X355" s="55">
        <f>$F355+$U355</f>
        <v/>
      </c>
      <c r="Y355" s="55">
        <f>IF($B355=$B354,$Y354,0)+$X355</f>
        <v/>
      </c>
      <c r="Z355" s="55">
        <f>$Z354+$X355</f>
        <v/>
      </c>
      <c r="AA355" s="56">
        <f>IFERROR(IF(($F355)&gt;0,($U355)/($F355),""),"")</f>
        <v/>
      </c>
      <c r="AB355" s="56">
        <f>IFERROR(IF(($G355)&gt;0,($V355)/($G355),""),"")</f>
        <v/>
      </c>
      <c r="AC355" s="56">
        <f>IFERROR(IF(($H355)&gt;0,($W355)/($H355),""),"")</f>
        <v/>
      </c>
      <c r="AD355" s="55">
        <f>SUMIFS(tblMovement[Tonnes_t],tblMovement[Date],$A355,tblMovement[Source_Type],"Stockpile")</f>
        <v/>
      </c>
      <c r="AE355" s="55">
        <f>IF($B355=$B354,$AE354,0)+$AD355</f>
        <v/>
      </c>
      <c r="AF355" s="55">
        <f>$AF354+$AD355</f>
        <v/>
      </c>
      <c r="AG355" s="55">
        <f>SUMIFS(tblMovement[Tonnes_t],tblMovement[Date],$A355)</f>
        <v/>
      </c>
      <c r="AH355" s="55">
        <f>IF($B355=$B354,$AH354,0)+$AG355</f>
        <v/>
      </c>
      <c r="AI355" s="55">
        <f>$AI354+$AG355</f>
        <v/>
      </c>
      <c r="AJ355" s="55">
        <f>$AG355-$X355-$AD355</f>
        <v/>
      </c>
      <c r="AK355" s="55">
        <f>IF($B355=$B354,$AK354,0)+$AJ355</f>
        <v/>
      </c>
      <c r="AL355" s="55">
        <f>$AL354+$AJ355</f>
        <v/>
      </c>
      <c r="AM355" s="55">
        <f>SUMIFS(tblMiningDaily[Drill_m],tblMiningDaily[Date],$A355)</f>
        <v/>
      </c>
      <c r="AN355" s="55">
        <f>IF($B355=$B354,$AN354,0)+$AM355</f>
        <v/>
      </c>
      <c r="AO355" s="55">
        <f>$AO354+$AM355</f>
        <v/>
      </c>
      <c r="AP355" s="55">
        <f>SUMIFS(tblMiningDaily[GC_Drill_m],tblMiningDaily[Date],$A355)</f>
        <v/>
      </c>
      <c r="AQ355" s="55">
        <f>IF($B355=$B354,$AQ354,0)+$AP355</f>
        <v/>
      </c>
      <c r="AR355" s="55">
        <f>$AR354+$AP355</f>
        <v/>
      </c>
      <c r="AS355" s="55">
        <f>SUMIFS(tblMiningDaily[Blast_t],tblMiningDaily[Date],$A355)</f>
        <v/>
      </c>
      <c r="AT355" s="55">
        <f>IF($B355=$B354,$AT354,0)+$AS355</f>
        <v/>
      </c>
      <c r="AU355" s="55">
        <f>$AU354+$AS355</f>
        <v/>
      </c>
      <c r="AV355" s="55">
        <f>SUMIFS(tblMiningDaily[Explosives_kg],tblMiningDaily[Date],$A355)</f>
        <v/>
      </c>
      <c r="AW355" s="55">
        <f>IF($B355=$B354,$AW354,0)+$AV355</f>
        <v/>
      </c>
      <c r="AX355" s="55">
        <f>$AX354+$AV355</f>
        <v/>
      </c>
      <c r="AY355" s="56">
        <f>IFERROR(IF(($AS355)&gt;0,($AV355)/($AS355),""),"")</f>
        <v/>
      </c>
      <c r="AZ355" s="56">
        <f>IFERROR(IF(($AT355)&gt;0,($AW355)/($AT355),""),"")</f>
        <v/>
      </c>
      <c r="BA355" s="56">
        <f>IFERROR(IF(($AU355)&gt;0,($AX355)/($AU355),""),"")</f>
        <v/>
      </c>
      <c r="BB355" s="55">
        <f>SUMIFS(tblMiningDaily[Diesel_L],tblMiningDaily[Date],$A355)</f>
        <v/>
      </c>
      <c r="BC355" s="55">
        <f>IF($B355=$B354,$BC354,0)+$BB355</f>
        <v/>
      </c>
      <c r="BD355" s="55">
        <f>$BD354+$BB355</f>
        <v/>
      </c>
      <c r="BE355" s="55">
        <f>SUMIFS(tblMiningDaily[Dewatering_m3],tblMiningDaily[Date],$A355)</f>
        <v/>
      </c>
      <c r="BF355" s="55">
        <f>IF($B355=$B354,$BF354,0)+$BE355</f>
        <v/>
      </c>
      <c r="BG355" s="55">
        <f>$BG354+$BE355</f>
        <v/>
      </c>
      <c r="BH355" s="57">
        <f>SUMIFS(tblFleet[Calendar_h],tblFleet[Date],$A355,tblFleet[Equipment_Class],"Excavator")</f>
        <v/>
      </c>
      <c r="BI355" s="57">
        <f>IF($B355=$B354,$BI354,0)+$BH355</f>
        <v/>
      </c>
      <c r="BJ355" s="57">
        <f>$BJ354+$BH355</f>
        <v/>
      </c>
      <c r="BK355" s="57">
        <f>SUMIFS(tblFleet[Available_h],tblFleet[Date],$A355,tblFleet[Equipment_Class],"Excavator")</f>
        <v/>
      </c>
      <c r="BL355" s="57">
        <f>IF($B355=$B354,$BL354,0)+$BK355</f>
        <v/>
      </c>
      <c r="BM355" s="57">
        <f>$BM354+$BK355</f>
        <v/>
      </c>
      <c r="BN355" s="57">
        <f>SUMIFS(tblFleet[Operating_h],tblFleet[Date],$A355,tblFleet[Equipment_Class],"Excavator")</f>
        <v/>
      </c>
      <c r="BO355" s="57">
        <f>IF($B355=$B354,$BO354,0)+$BN355</f>
        <v/>
      </c>
      <c r="BP355" s="57">
        <f>$BP354+$BN355</f>
        <v/>
      </c>
      <c r="BQ355" s="67">
        <f>IFERROR(IF(($BH355)&gt;0,($BK355)/($BH355),""),"")</f>
        <v/>
      </c>
      <c r="BR355" s="67">
        <f>IFERROR(IF(($BI355)&gt;0,($BL355)/($BI355),""),"")</f>
        <v/>
      </c>
      <c r="BS355" s="67">
        <f>IFERROR(IF(($BJ355)&gt;0,($BM355)/($BJ355),""),"")</f>
        <v/>
      </c>
      <c r="BT355" s="67">
        <f>IFERROR(IF(($BK355)&gt;0,($BN355)/($BK355),""),"")</f>
        <v/>
      </c>
      <c r="BU355" s="67">
        <f>IFERROR(IF(($BL355)&gt;0,($BO355)/($BL355),""),"")</f>
        <v/>
      </c>
      <c r="BV355" s="67">
        <f>IFERROR(IF(($BM355)&gt;0,($BP355)/($BM355),""),"")</f>
        <v/>
      </c>
      <c r="BW355" s="57">
        <f>SUMIFS(tblFleet[Calendar_h],tblFleet[Date],$A355,tblFleet[Equipment_Class],"Haul Truck")</f>
        <v/>
      </c>
      <c r="BX355" s="57">
        <f>IF($B355=$B354,$BX354,0)+$BW355</f>
        <v/>
      </c>
      <c r="BY355" s="57">
        <f>$BY354+$BW355</f>
        <v/>
      </c>
      <c r="BZ355" s="57">
        <f>SUMIFS(tblFleet[Available_h],tblFleet[Date],$A355,tblFleet[Equipment_Class],"Haul Truck")</f>
        <v/>
      </c>
      <c r="CA355" s="57">
        <f>IF($B355=$B354,$CA354,0)+$BZ355</f>
        <v/>
      </c>
      <c r="CB355" s="57">
        <f>$CB354+$BZ355</f>
        <v/>
      </c>
      <c r="CC355" s="57">
        <f>SUMIFS(tblFleet[Operating_h],tblFleet[Date],$A355,tblFleet[Equipment_Class],"Haul Truck")</f>
        <v/>
      </c>
      <c r="CD355" s="57">
        <f>IF($B355=$B354,$CD354,0)+$CC355</f>
        <v/>
      </c>
      <c r="CE355" s="57">
        <f>$CE354+$CC355</f>
        <v/>
      </c>
      <c r="CF355" s="67">
        <f>IFERROR(IF(($BW355)&gt;0,($BZ355)/($BW355),""),"")</f>
        <v/>
      </c>
      <c r="CG355" s="67">
        <f>IFERROR(IF(($BX355)&gt;0,($CA355)/($BX355),""),"")</f>
        <v/>
      </c>
      <c r="CH355" s="67">
        <f>IFERROR(IF(($BY355)&gt;0,($CB355)/($BY355),""),"")</f>
        <v/>
      </c>
      <c r="CI355" s="67">
        <f>IFERROR(IF(($BZ355)&gt;0,($CC355)/($BZ355),""),"")</f>
        <v/>
      </c>
      <c r="CJ355" s="67">
        <f>IFERROR(IF(($CA355)&gt;0,($CD355)/($CA355),""),"")</f>
        <v/>
      </c>
      <c r="CK355" s="67">
        <f>IFERROR(IF(($CB355)&gt;0,($CE355)/($CB355),""),"")</f>
        <v/>
      </c>
      <c r="CL355" s="55">
        <f>IFERROR(IF(($BN355)&gt;0,($X355+$AD355)/($BN355),""),"")</f>
        <v/>
      </c>
      <c r="CM355" s="55">
        <f>IFERROR(IF(($BO355)&gt;0,($Y355+$AE355)/($BO355),""),"")</f>
        <v/>
      </c>
      <c r="CN355" s="55">
        <f>IFERROR(IF(($BP355)&gt;0,($Z355+$AF355)/($BP355),""),"")</f>
        <v/>
      </c>
      <c r="CO355" s="55">
        <f>IFERROR(IF(($CC355)&gt;0,($X355+$AD355)/($CC355),""),"")</f>
        <v/>
      </c>
      <c r="CP355" s="55">
        <f>IFERROR(IF(($CD355)&gt;0,($Y355+$AE355)/($CD355),""),"")</f>
        <v/>
      </c>
      <c r="CQ355" s="55">
        <f>IFERROR(IF(($CE355)&gt;0,($Z355+$AF355)/($CE355),""),"")</f>
        <v/>
      </c>
      <c r="CR355" s="55">
        <f>SUMIFS(tblPlant[Crushed_t],tblPlant[Date],$A355)</f>
        <v/>
      </c>
      <c r="CS355" s="55">
        <f>IF($B355=$B354,$CS354,0)+$CR355</f>
        <v/>
      </c>
      <c r="CT355" s="55">
        <f>$CT354+$CR355</f>
        <v/>
      </c>
      <c r="CU355" s="55">
        <f>SUMIFS(tblPlant[Milled_t],tblPlant[Date],$A355)</f>
        <v/>
      </c>
      <c r="CV355" s="55">
        <f>IF($B355=$B354,$CV354,0)+$CU355</f>
        <v/>
      </c>
      <c r="CW355" s="55">
        <f>$CW354+$CU355</f>
        <v/>
      </c>
      <c r="CX355" s="55">
        <f>SUMIFS(tblPlant[Feed_oz],tblPlant[Date],$A355)</f>
        <v/>
      </c>
      <c r="CY355" s="55">
        <f>IF($B355=$B354,$CY354,0)+$CX355</f>
        <v/>
      </c>
      <c r="CZ355" s="55">
        <f>$CZ354+$CX355</f>
        <v/>
      </c>
      <c r="DA355" s="55">
        <f>SUMIFS(tblPlant[Tails_oz],tblPlant[Date],$A355)</f>
        <v/>
      </c>
      <c r="DB355" s="55">
        <f>IF($B355=$B354,$DB354,0)+$DA355</f>
        <v/>
      </c>
      <c r="DC355" s="55">
        <f>$DC354+$DA355</f>
        <v/>
      </c>
      <c r="DD355" s="55">
        <f>SUMIFS(tblPlant[Recovered_oz],tblPlant[Date],$A355)</f>
        <v/>
      </c>
      <c r="DE355" s="55">
        <f>IF($B355=$B354,$DE354,0)+$DD355</f>
        <v/>
      </c>
      <c r="DF355" s="55">
        <f>$DF354+$DD355</f>
        <v/>
      </c>
      <c r="DG355" s="55">
        <f>SUMIFS(tblPlant[Milled_t],tblPlant[Date],$A355,tblPlant[Head_Grade_gpt],"&lt;&gt;")</f>
        <v/>
      </c>
      <c r="DH355" s="55">
        <f>IF($B355=$B354,$DH354,0)+$DG355</f>
        <v/>
      </c>
      <c r="DI355" s="55">
        <f>$DI354+$DG355</f>
        <v/>
      </c>
      <c r="DJ355" s="55">
        <f>SUMIFS(tblPlant[Milled_t],tblPlant[Date],$A355,tblPlant[Tails_Grade_gpt],"&lt;&gt;")</f>
        <v/>
      </c>
      <c r="DK355" s="55">
        <f>IF($B355=$B354,$DK354,0)+$DJ355</f>
        <v/>
      </c>
      <c r="DL355" s="55">
        <f>$DL354+$DJ355</f>
        <v/>
      </c>
      <c r="DM355" s="55">
        <f>SUMIFS(tblPlant[Feed_oz],tblPlant[Date],$A355,tblPlant[Tails_Grade_gpt],"&lt;&gt;")</f>
        <v/>
      </c>
      <c r="DN355" s="55">
        <f>IF($B355=$B354,$DN354,0)+$DM355</f>
        <v/>
      </c>
      <c r="DO355" s="55">
        <f>$DO354+$DM355</f>
        <v/>
      </c>
      <c r="DP355" s="55">
        <f>SUMIFS(tblPlant[Milled_t],tblPlant[Date],$A355,tblPlant[Mill_Run_h],"&lt;&gt;")</f>
        <v/>
      </c>
      <c r="DQ355" s="55">
        <f>IF($B355=$B354,$DQ354,0)+$DP355</f>
        <v/>
      </c>
      <c r="DR355" s="55">
        <f>$DR354+$DP355</f>
        <v/>
      </c>
      <c r="DS355" s="56">
        <f>IFERROR(IF(($DG355)&gt;0,($CX355*cfg_TroyOz)/($DG355),""),"")</f>
        <v/>
      </c>
      <c r="DT355" s="56">
        <f>IFERROR(IF(($DH355)&gt;0,($CY355*cfg_TroyOz)/($DH355),""),"")</f>
        <v/>
      </c>
      <c r="DU355" s="56">
        <f>IFERROR(IF(($DI355)&gt;0,($CZ355*cfg_TroyOz)/($DI355),""),"")</f>
        <v/>
      </c>
      <c r="DV355" s="56">
        <f>IFERROR(IF(($DJ355)&gt;0,($DA355*cfg_TroyOz)/($DJ355),""),"")</f>
        <v/>
      </c>
      <c r="DW355" s="56">
        <f>IFERROR(IF(($DK355)&gt;0,($DB355*cfg_TroyOz)/($DK355),""),"")</f>
        <v/>
      </c>
      <c r="DX355" s="56">
        <f>IFERROR(IF(($DL355)&gt;0,($DC355*cfg_TroyOz)/($DL355),""),"")</f>
        <v/>
      </c>
      <c r="DY355" s="67">
        <f>IFERROR(IF(($DM355)&gt;0,($DD355)/($DM355),""),"")</f>
        <v/>
      </c>
      <c r="DZ355" s="67">
        <f>IFERROR(IF(($DN355)&gt;0,($DE355)/($DN355),""),"")</f>
        <v/>
      </c>
      <c r="EA355" s="67">
        <f>IFERROR(IF(($DO355)&gt;0,($DF355)/($DO355),""),"")</f>
        <v/>
      </c>
      <c r="EB355" s="55">
        <f>SUMIFS(tblPlant[Gravity_Gold_oz],tblPlant[Date],$A355)</f>
        <v/>
      </c>
      <c r="EC355" s="55">
        <f>IF($B355=$B354,$EC354,0)+$EB355</f>
        <v/>
      </c>
      <c r="ED355" s="55">
        <f>$ED354+$EB355</f>
        <v/>
      </c>
      <c r="EE355" s="67">
        <f>IFERROR(IF(($DD355)&gt;0,($EB355)/($DD355),""),"")</f>
        <v/>
      </c>
      <c r="EF355" s="67">
        <f>IFERROR(IF(($DE355)&gt;0,($EC355)/($DE355),""),"")</f>
        <v/>
      </c>
      <c r="EG355" s="67">
        <f>IFERROR(IF(($DF355)&gt;0,($ED355)/($DF355),""),"")</f>
        <v/>
      </c>
      <c r="EH355" s="55">
        <f>SUMIFS(tblPlant[Gold_Poured_oz],tblPlant[Date],$A355)</f>
        <v/>
      </c>
      <c r="EI355" s="55">
        <f>IF($B355=$B354,$EI354,0)+$EH355</f>
        <v/>
      </c>
      <c r="EJ355" s="55">
        <f>$EJ354+$EH355</f>
        <v/>
      </c>
      <c r="EK355" s="57">
        <f>SUMIFS(tblPlant[Mill_Run_h],tblPlant[Date],$A355)</f>
        <v/>
      </c>
      <c r="EL355" s="57">
        <f>IF($B355=$B354,$EL354,0)+$EK355</f>
        <v/>
      </c>
      <c r="EM355" s="57">
        <f>$EM354+$EK355</f>
        <v/>
      </c>
      <c r="EN355" s="57">
        <f>SUMIFS(tblPlant[Mill_Planned_Maint_h],tblPlant[Date],$A355)</f>
        <v/>
      </c>
      <c r="EO355" s="57">
        <f>IF($B355=$B354,$EO354,0)+$EN355</f>
        <v/>
      </c>
      <c r="EP355" s="57">
        <f>$EP354+$EN355</f>
        <v/>
      </c>
      <c r="EQ355" s="57">
        <f>SUMIFS(tblPlant[Mill_Unplanned_Down_h],tblPlant[Date],$A355)</f>
        <v/>
      </c>
      <c r="ER355" s="57">
        <f>IF($B355=$B354,$ER354,0)+$EQ355</f>
        <v/>
      </c>
      <c r="ES355" s="57">
        <f>$ES354+$EQ355</f>
        <v/>
      </c>
      <c r="ET355" s="57">
        <f>IF(COUNTIFS(tblPlant[Date],$A355,tblPlant[Mill_Run_h],"&lt;&gt;")+COUNTIFS(tblPlant[Date],$A355,tblPlant[Mill_Planned_Maint_h],"&lt;&gt;")+COUNTIFS(tblPlant[Date],$A355,tblPlant[Mill_Unplanned_Down_h],"&lt;&gt;")&gt;0,cfg_HoursPerDay,0)</f>
        <v/>
      </c>
      <c r="EU355" s="57">
        <f>IF($B355=$B354,$EU354,0)+$ET355</f>
        <v/>
      </c>
      <c r="EV355" s="57">
        <f>$EV354+$ET355</f>
        <v/>
      </c>
      <c r="EW355" s="57">
        <f>SUMIFS(tblPlant[Crusher_Run_h],tblPlant[Date],$A355)</f>
        <v/>
      </c>
      <c r="EX355" s="57">
        <f>IF($B355=$B354,$EX354,0)+$EW355</f>
        <v/>
      </c>
      <c r="EY355" s="57">
        <f>$EY354+$EW355</f>
        <v/>
      </c>
      <c r="EZ355" s="55">
        <f>IFERROR(IF(($EK355)&gt;0,($DP355)/($EK355),""),"")</f>
        <v/>
      </c>
      <c r="FA355" s="55">
        <f>IFERROR(IF(($EL355)&gt;0,($DQ355)/($EL355),""),"")</f>
        <v/>
      </c>
      <c r="FB355" s="55">
        <f>IFERROR(IF(($EM355)&gt;0,($DR355)/($EM355),""),"")</f>
        <v/>
      </c>
      <c r="FC355" s="67">
        <f>IFERROR(IF(($ET355)&gt;0,($ET355-$EN355-$EQ355)/($ET355),""),"")</f>
        <v/>
      </c>
      <c r="FD355" s="67">
        <f>IFERROR(IF(($EU355)&gt;0,($EU355-$EO355-$ER355)/($EU355),""),"")</f>
        <v/>
      </c>
      <c r="FE355" s="67">
        <f>IFERROR(IF(($EV355)&gt;0,($EV355-$EP355-$ES355)/($EV355),""),"")</f>
        <v/>
      </c>
      <c r="FF355" s="67">
        <f>IFERROR(IF(($ET355-$EN355-$EQ355)&gt;0,($EK355)/($ET355-$EN355-$EQ355),""),"")</f>
        <v/>
      </c>
      <c r="FG355" s="67">
        <f>IFERROR(IF(($EU355-$EO355-$ER355)&gt;0,($EL355)/($EU355-$EO355-$ER355),""),"")</f>
        <v/>
      </c>
      <c r="FH355" s="67">
        <f>IFERROR(IF(($EV355-$EP355-$ES355)&gt;0,($EM355)/($EV355-$EP355-$ES355),""),"")</f>
        <v/>
      </c>
      <c r="FI355" s="55">
        <f>SUMIFS(tblPlant[Cyanide_kg],tblPlant[Date],$A355)</f>
        <v/>
      </c>
      <c r="FJ355" s="55">
        <f>IF($B355=$B354,$FJ354,0)+$FI355</f>
        <v/>
      </c>
      <c r="FK355" s="55">
        <f>$FK354+$FI355</f>
        <v/>
      </c>
      <c r="FL355" s="55">
        <f>SUMIFS(tblPlant[Lime_kg],tblPlant[Date],$A355)</f>
        <v/>
      </c>
      <c r="FM355" s="55">
        <f>IF($B355=$B354,$FM354,0)+$FL355</f>
        <v/>
      </c>
      <c r="FN355" s="55">
        <f>$FN354+$FL355</f>
        <v/>
      </c>
      <c r="FO355" s="55">
        <f>SUMIFS(tblPlant[Grinding_Media_kg],tblPlant[Date],$A355)</f>
        <v/>
      </c>
      <c r="FP355" s="55">
        <f>IF($B355=$B354,$FP354,0)+$FO355</f>
        <v/>
      </c>
      <c r="FQ355" s="55">
        <f>$FQ354+$FO355</f>
        <v/>
      </c>
      <c r="FR355" s="55">
        <f>SUMIFS(tblPlant[Power_kWh],tblPlant[Date],$A355)</f>
        <v/>
      </c>
      <c r="FS355" s="55">
        <f>IF($B355=$B354,$FS354,0)+$FR355</f>
        <v/>
      </c>
      <c r="FT355" s="55">
        <f>$FT354+$FR355</f>
        <v/>
      </c>
      <c r="FU355" s="55">
        <f>SUMIFS(tblPlant[Raw_Water_m3],tblPlant[Date],$A355)</f>
        <v/>
      </c>
      <c r="FV355" s="55">
        <f>IF($B355=$B354,$FV354,0)+$FU355</f>
        <v/>
      </c>
      <c r="FW355" s="55">
        <f>$FW354+$FU355</f>
        <v/>
      </c>
      <c r="FX355" s="56">
        <f>IFERROR(IF(($CU355)&gt;0,($FI355)/($CU355),""),"")</f>
        <v/>
      </c>
      <c r="FY355" s="56">
        <f>IFERROR(IF(($CV355)&gt;0,($FJ355)/($CV355),""),"")</f>
        <v/>
      </c>
      <c r="FZ355" s="56">
        <f>IFERROR(IF(($CW355)&gt;0,($FK355)/($CW355),""),"")</f>
        <v/>
      </c>
      <c r="GA355" s="56">
        <f>IFERROR(IF(($CU355)&gt;0,($FL355)/($CU355),""),"")</f>
        <v/>
      </c>
      <c r="GB355" s="56">
        <f>IFERROR(IF(($CV355)&gt;0,($FM355)/($CV355),""),"")</f>
        <v/>
      </c>
      <c r="GC355" s="56">
        <f>IFERROR(IF(($CW355)&gt;0,($FN355)/($CW355),""),"")</f>
        <v/>
      </c>
      <c r="GD355" s="56">
        <f>IFERROR(IF(($CU355)&gt;0,($FO355)/($CU355),""),"")</f>
        <v/>
      </c>
      <c r="GE355" s="56">
        <f>IFERROR(IF(($CV355)&gt;0,($FP355)/($CV355),""),"")</f>
        <v/>
      </c>
      <c r="GF355" s="56">
        <f>IFERROR(IF(($CW355)&gt;0,($FQ355)/($CW355),""),"")</f>
        <v/>
      </c>
      <c r="GG355" s="79">
        <f>IFERROR(IF(($CU355)&gt;0,($FR355)/($CU355),""),"")</f>
        <v/>
      </c>
      <c r="GH355" s="79">
        <f>IFERROR(IF(($CV355)&gt;0,($FS355)/($CV355),""),"")</f>
        <v/>
      </c>
      <c r="GI355" s="79">
        <f>IFERROR(IF(($CW355)&gt;0,($FT355)/($CW355),""),"")</f>
        <v/>
      </c>
      <c r="GJ355" s="56">
        <f>IFERROR(IF(($CU355)&gt;0,($FU355)/($CU355),""),"")</f>
        <v/>
      </c>
      <c r="GK355" s="56">
        <f>IFERROR(IF(($CV355)&gt;0,($FV355)/($CV355),""),"")</f>
        <v/>
      </c>
      <c r="GL355" s="56">
        <f>IFERROR(IF(($CW355)&gt;0,($FW355)/($CW355),""),"")</f>
        <v/>
      </c>
      <c r="GM355" s="55">
        <f>IF(SUMIFS(tblPlant[GIC_oz],tblPlant[Date],$A355)&gt;0,SUMIFS(tblPlant[GIC_oz],tblPlant[Date],$A355),"")</f>
        <v/>
      </c>
      <c r="GN355" s="55">
        <f>SUMIFS(tblGold[Gold_oz],tblGold[Date],$A355,tblGold[Type],"Shipment")</f>
        <v/>
      </c>
      <c r="GO355" s="55">
        <f>IF($B355=$B354,$GO354,0)+$GN355</f>
        <v/>
      </c>
      <c r="GP355" s="55">
        <f>$GP354+$GN355</f>
        <v/>
      </c>
      <c r="GQ355" s="55">
        <f>SUMIFS(tblGold[Gold_oz],tblGold[Date],$A355,tblGold[Type],"Sale")</f>
        <v/>
      </c>
      <c r="GR355" s="55">
        <f>IF($B355=$B354,$GR354,0)+$GQ355</f>
        <v/>
      </c>
      <c r="GS355" s="55">
        <f>$GS354+$GQ355</f>
        <v/>
      </c>
      <c r="GT355" s="55">
        <f>SUMIFS(tblGold[Dore_kg],tblGold[Date],$A355,tblGold[Type],"Shipment")</f>
        <v/>
      </c>
      <c r="GU355" s="55">
        <f>IF($B355=$B354,$GU354,0)+$GT355</f>
        <v/>
      </c>
      <c r="GV355" s="55">
        <f>$GV354+$GT355</f>
        <v/>
      </c>
      <c r="GW355" s="57">
        <f>SUMIFS(tblSafety[Hours_Total],tblSafety[Date],$A355)</f>
        <v/>
      </c>
      <c r="GX355" s="57">
        <f>IF($B355=$B354,$GX354,0)+$GW355</f>
        <v/>
      </c>
      <c r="GY355" s="57">
        <f>$GY354+$GW355</f>
        <v/>
      </c>
      <c r="GZ355" s="62">
        <f>SUMIFS(tblSafety[Fatality],tblSafety[Date],$A355)</f>
        <v/>
      </c>
      <c r="HA355" s="62">
        <f>IF($B355=$B354,$HA354,0)+$GZ355</f>
        <v/>
      </c>
      <c r="HB355" s="62">
        <f>$HB354+$GZ355</f>
        <v/>
      </c>
      <c r="HC355" s="62">
        <f>SUMIFS(tblSafety[LTI],tblSafety[Date],$A355)</f>
        <v/>
      </c>
      <c r="HD355" s="62">
        <f>IF($B355=$B354,$HD354,0)+$HC355</f>
        <v/>
      </c>
      <c r="HE355" s="62">
        <f>$HE354+$HC355</f>
        <v/>
      </c>
      <c r="HF355" s="62">
        <f>SUMIFS(tblSafety[RWI],tblSafety[Date],$A355)</f>
        <v/>
      </c>
      <c r="HG355" s="62">
        <f>IF($B355=$B354,$HG354,0)+$HF355</f>
        <v/>
      </c>
      <c r="HH355" s="62">
        <f>$HH354+$HF355</f>
        <v/>
      </c>
      <c r="HI355" s="62">
        <f>SUMIFS(tblSafety[MTI],tblSafety[Date],$A355)</f>
        <v/>
      </c>
      <c r="HJ355" s="62">
        <f>IF($B355=$B354,$HJ354,0)+$HI355</f>
        <v/>
      </c>
      <c r="HK355" s="62">
        <f>$HK354+$HI355</f>
        <v/>
      </c>
      <c r="HL355" s="62">
        <f>SUMIFS(tblSafety[FAI],tblSafety[Date],$A355)</f>
        <v/>
      </c>
      <c r="HM355" s="62">
        <f>IF($B355=$B354,$HM354,0)+$HL355</f>
        <v/>
      </c>
      <c r="HN355" s="62">
        <f>$HN354+$HL355</f>
        <v/>
      </c>
      <c r="HO355" s="62">
        <f>SUMIFS(tblSafety[Recordables],tblSafety[Date],$A355)</f>
        <v/>
      </c>
      <c r="HP355" s="62">
        <f>IF($B355=$B354,$HP354,0)+$HO355</f>
        <v/>
      </c>
      <c r="HQ355" s="62">
        <f>$HQ354+$HO355</f>
        <v/>
      </c>
      <c r="HR355" s="62">
        <f>SUMIFS(tblSafety[Near_Miss],tblSafety[Date],$A355)</f>
        <v/>
      </c>
      <c r="HS355" s="62">
        <f>IF($B355=$B354,$HS354,0)+$HR355</f>
        <v/>
      </c>
      <c r="HT355" s="62">
        <f>$HT354+$HR355</f>
        <v/>
      </c>
      <c r="HU355" s="62">
        <f>SUMIFS(tblSafety[Hazard_Reports],tblSafety[Date],$A355)</f>
        <v/>
      </c>
      <c r="HV355" s="62">
        <f>IF($B355=$B354,$HV354,0)+$HU355</f>
        <v/>
      </c>
      <c r="HW355" s="62">
        <f>$HW354+$HU355</f>
        <v/>
      </c>
      <c r="HX355" s="62">
        <f>SUMIFS(tblSafety[HPI],tblSafety[Date],$A355)</f>
        <v/>
      </c>
      <c r="HY355" s="62">
        <f>IF($B355=$B354,$HY354,0)+$HX355</f>
        <v/>
      </c>
      <c r="HZ355" s="62">
        <f>$HZ354+$HX355</f>
        <v/>
      </c>
      <c r="IA355" s="62">
        <f>SUMIFS(tblSafety[Env_Incidents],tblSafety[Date],$A355)</f>
        <v/>
      </c>
      <c r="IB355" s="62">
        <f>IF($B355=$B354,$IB354,0)+$IA355</f>
        <v/>
      </c>
      <c r="IC355" s="62">
        <f>$IC354+$IA355</f>
        <v/>
      </c>
      <c r="ID355" s="62">
        <f>SUMIFS(tblSafety[Community_Incidents],tblSafety[Date],$A355)</f>
        <v/>
      </c>
      <c r="IE355" s="62">
        <f>IF($B355=$B354,$IE354,0)+$ID355</f>
        <v/>
      </c>
      <c r="IF355" s="62">
        <f>$IF354+$ID355</f>
        <v/>
      </c>
      <c r="IG355" s="62">
        <f>SUMIFS(tblSafety[Vehicle_Incidents],tblSafety[Date],$A355)</f>
        <v/>
      </c>
      <c r="IH355" s="62">
        <f>IF($B355=$B354,$IH354,0)+$IG355</f>
        <v/>
      </c>
      <c r="II355" s="62">
        <f>$II354+$IG355</f>
        <v/>
      </c>
      <c r="IJ355" s="62">
        <f>SUMIFS(tblSafety[Toolbox_Talks],tblSafety[Date],$A355)</f>
        <v/>
      </c>
      <c r="IK355" s="62">
        <f>IF($B355=$B354,$IK354,0)+$IJ355</f>
        <v/>
      </c>
      <c r="IL355" s="62">
        <f>$IL354+$IJ355</f>
        <v/>
      </c>
      <c r="IM355" s="62">
        <f>SUMIFS(tblSafety[Inspections],tblSafety[Date],$A355)</f>
        <v/>
      </c>
      <c r="IN355" s="62">
        <f>IF($B355=$B354,$IN354,0)+$IM355</f>
        <v/>
      </c>
      <c r="IO355" s="62">
        <f>$IO354+$IM355</f>
        <v/>
      </c>
      <c r="IP355" s="56">
        <f>IFERROR((SUMIFS(tblSafety[Recordables],tblSafety[Date],"&gt;="&amp;EDATE($E355,-12),tblSafety[Date],"&lt;="&amp;$A355)+SUMIFS(tblSafetyHistory[Recordables],tblSafetyHistory[Month],"&gt;="&amp;EDATE($E355,-12),tblSafetyHistory[Month],"&lt;"&amp;$E355,tblSafetyHistory[Use],1))/(SUMIFS(tblSafety[Hours_Total],tblSafety[Date],"&gt;="&amp;EDATE($E355,-12),tblSafety[Date],"&lt;="&amp;$A355)+SUMIFS(tblSafetyHistory[Hours_Total],tblSafetyHistory[Month],"&gt;="&amp;EDATE($E355,-12),tblSafetyHistory[Month],"&lt;"&amp;$E355,tblSafetyHistory[Use],1))*cfg_RateBasisHours,"")</f>
        <v/>
      </c>
      <c r="IQ355" s="56">
        <f>IFERROR((SUMIFS(tblSafety[LTI],tblSafety[Date],"&gt;="&amp;EDATE($E355,-12),tblSafety[Date],"&lt;="&amp;$A355)+SUMIFS(tblSafetyHistory[LTI],tblSafetyHistory[Month],"&gt;="&amp;EDATE($E355,-12),tblSafetyHistory[Month],"&lt;"&amp;$E355,tblSafetyHistory[Use],1))/(SUMIFS(tblSafety[Hours_Total],tblSafety[Date],"&gt;="&amp;EDATE($E355,-12),tblSafety[Date],"&lt;="&amp;$A355)+SUMIFS(tblSafetyHistory[Hours_Total],tblSafetyHistory[Month],"&gt;="&amp;EDATE($E355,-12),tblSafetyHistory[Month],"&lt;"&amp;$E355,tblSafetyHistory[Use],1))*cfg_RateBasisHours,"")</f>
        <v/>
      </c>
      <c r="IR355" s="62">
        <f>IF(MAX(N(cfg_PriorLTIDate),_xlfn.MAXIFS(tblSafety[Date],tblSafety[LTI],"&gt;0",tblSafety[Date],"&lt;="&amp;$A355))=0,"",$A355-MAX(N(cfg_PriorLTIDate),_xlfn.MAXIFS(tblSafety[Date],tblSafety[LTI],"&gt;0",tblSafety[Date],"&lt;="&amp;$A355)))</f>
        <v/>
      </c>
      <c r="IS355" s="55">
        <f>SUMIFS(tblBudget[Ore_Mined_t],tblBudget[Month],$E355)</f>
        <v/>
      </c>
      <c r="IT355" s="55">
        <f>$IS355*$C355/$D355</f>
        <v/>
      </c>
      <c r="IU355" s="55">
        <f>SUMIFS(tblBudget[Ore_Mined_t],tblBudget[Month],"&lt;"&amp;$E355)+$IT355</f>
        <v/>
      </c>
      <c r="IV355" s="55">
        <f>SUMIFS(tblBudget[Ore_oz],tblBudget[Month],$E355)</f>
        <v/>
      </c>
      <c r="IW355" s="55">
        <f>$IV355*$C355/$D355</f>
        <v/>
      </c>
      <c r="IX355" s="55">
        <f>SUMIFS(tblBudget[Ore_oz],tblBudget[Month],"&lt;"&amp;$E355)+$IW355</f>
        <v/>
      </c>
      <c r="IY355" s="55">
        <f>SUMIFS(tblBudget[Ore_Mined_t],tblBudget[Month],$E355)</f>
        <v/>
      </c>
      <c r="IZ355" s="55">
        <f>$IY355*$C355/$D355</f>
        <v/>
      </c>
      <c r="JA355" s="55">
        <f>SUMIFS(tblBudget[Ore_Mined_t],tblBudget[Month],"&lt;"&amp;$E355)+$IZ355</f>
        <v/>
      </c>
      <c r="JB355" s="56">
        <f>IFERROR(IF(($IY355)&gt;0,($IV355*cfg_TroyOz)/($IY355),""),"")</f>
        <v/>
      </c>
      <c r="JC355" s="56">
        <f>IFERROR(IF(($IZ355)&gt;0,($IW355*cfg_TroyOz)/($IZ355),""),"")</f>
        <v/>
      </c>
      <c r="JD355" s="56">
        <f>IFERROR(IF(($JA355)&gt;0,($IX355*cfg_TroyOz)/($JA355),""),"")</f>
        <v/>
      </c>
      <c r="JE355" s="55">
        <f>SUMIFS(tblBudget[Waste_t],tblBudget[Month],$E355)</f>
        <v/>
      </c>
      <c r="JF355" s="55">
        <f>$JE355*$C355/$D355</f>
        <v/>
      </c>
      <c r="JG355" s="55">
        <f>SUMIFS(tblBudget[Waste_t],tblBudget[Month],"&lt;"&amp;$E355)+$JF355</f>
        <v/>
      </c>
      <c r="JH355" s="55">
        <f>SUMIFS(tblBudget[TMM_t],tblBudget[Month],$E355)</f>
        <v/>
      </c>
      <c r="JI355" s="55">
        <f>$JH355*$C355/$D355</f>
        <v/>
      </c>
      <c r="JJ355" s="55">
        <f>SUMIFS(tblBudget[TMM_t],tblBudget[Month],"&lt;"&amp;$E355)+$JI355</f>
        <v/>
      </c>
      <c r="JK355" s="56">
        <f>IFERROR(IF(($IS355)&gt;0,($JE355)/($IS355),""),"")</f>
        <v/>
      </c>
      <c r="JL355" s="56">
        <f>IFERROR(IF(($IT355)&gt;0,($JF355)/($IT355),""),"")</f>
        <v/>
      </c>
      <c r="JM355" s="56">
        <f>IFERROR(IF(($IU355)&gt;0,($JG355)/($IU355),""),"")</f>
        <v/>
      </c>
      <c r="JN355" s="55">
        <f>SUMIFS(tblBudget[Drill_m],tblBudget[Month],$E355)</f>
        <v/>
      </c>
      <c r="JO355" s="55">
        <f>$JN355*$C355/$D355</f>
        <v/>
      </c>
      <c r="JP355" s="55">
        <f>SUMIFS(tblBudget[Drill_m],tblBudget[Month],"&lt;"&amp;$E355)+$JO355</f>
        <v/>
      </c>
      <c r="JQ355" s="55">
        <f>SUMIFS(tblBudget[Diesel_L],tblBudget[Month],$E355)</f>
        <v/>
      </c>
      <c r="JR355" s="55">
        <f>$JQ355*$C355/$D355</f>
        <v/>
      </c>
      <c r="JS355" s="55">
        <f>SUMIFS(tblBudget[Diesel_L],tblBudget[Month],"&lt;"&amp;$E355)+$JR355</f>
        <v/>
      </c>
      <c r="JT355" s="55">
        <f>SUMIFS(tblBudget[Milled_t],tblBudget[Month],$E355)</f>
        <v/>
      </c>
      <c r="JU355" s="55">
        <f>$JT355*$C355/$D355</f>
        <v/>
      </c>
      <c r="JV355" s="55">
        <f>SUMIFS(tblBudget[Milled_t],tblBudget[Month],"&lt;"&amp;$E355)+$JU355</f>
        <v/>
      </c>
      <c r="JW355" s="55">
        <f>SUMIFS(tblBudget[Feed_oz],tblBudget[Month],$E355)</f>
        <v/>
      </c>
      <c r="JX355" s="55">
        <f>$JW355*$C355/$D355</f>
        <v/>
      </c>
      <c r="JY355" s="55">
        <f>SUMIFS(tblBudget[Feed_oz],tblBudget[Month],"&lt;"&amp;$E355)+$JX355</f>
        <v/>
      </c>
      <c r="JZ355" s="55">
        <f>SUMIFS(tblBudget[Recovered_oz],tblBudget[Month],$E355)</f>
        <v/>
      </c>
      <c r="KA355" s="55">
        <f>$JZ355*$C355/$D355</f>
        <v/>
      </c>
      <c r="KB355" s="55">
        <f>SUMIFS(tblBudget[Recovered_oz],tblBudget[Month],"&lt;"&amp;$E355)+$KA355</f>
        <v/>
      </c>
      <c r="KC355" s="55">
        <f>SUMIFS(tblBudget[Milled_t],tblBudget[Month],$E355)</f>
        <v/>
      </c>
      <c r="KD355" s="55">
        <f>$KC355*$C355/$D355</f>
        <v/>
      </c>
      <c r="KE355" s="55">
        <f>SUMIFS(tblBudget[Milled_t],tblBudget[Month],"&lt;"&amp;$E355)+$KD355</f>
        <v/>
      </c>
      <c r="KF355" s="55">
        <f>SUMIFS(tblBudget[Feed_oz],tblBudget[Month],$E355)</f>
        <v/>
      </c>
      <c r="KG355" s="55">
        <f>$KF355*$C355/$D355</f>
        <v/>
      </c>
      <c r="KH355" s="55">
        <f>SUMIFS(tblBudget[Feed_oz],tblBudget[Month],"&lt;"&amp;$E355)+$KG355</f>
        <v/>
      </c>
      <c r="KI355" s="56">
        <f>IFERROR(IF(($KC355)&gt;0,($JW355*cfg_TroyOz)/($KC355),""),"")</f>
        <v/>
      </c>
      <c r="KJ355" s="56">
        <f>IFERROR(IF(($KD355)&gt;0,($JX355*cfg_TroyOz)/($KD355),""),"")</f>
        <v/>
      </c>
      <c r="KK355" s="56">
        <f>IFERROR(IF(($KE355)&gt;0,($JY355*cfg_TroyOz)/($KE355),""),"")</f>
        <v/>
      </c>
      <c r="KL355" s="67">
        <f>IFERROR(IF(($KF355)&gt;0,($JZ355)/($KF355),""),"")</f>
        <v/>
      </c>
      <c r="KM355" s="67">
        <f>IFERROR(IF(($KG355)&gt;0,($KA355)/($KG355),""),"")</f>
        <v/>
      </c>
      <c r="KN355" s="67">
        <f>IFERROR(IF(($KH355)&gt;0,($KB355)/($KH355),""),"")</f>
        <v/>
      </c>
      <c r="KO355" s="55">
        <f>SUMIFS(tblBudget[Gold_Poured_oz],tblBudget[Month],$E355)</f>
        <v/>
      </c>
      <c r="KP355" s="55">
        <f>$KO355*$C355/$D355</f>
        <v/>
      </c>
      <c r="KQ355" s="55">
        <f>SUMIFS(tblBudget[Gold_Poured_oz],tblBudget[Month],"&lt;"&amp;$E355)+$KP355</f>
        <v/>
      </c>
      <c r="KR355" s="57">
        <f>SUMIFS(tblBudget[Hours_Worked],tblBudget[Month],$E355)</f>
        <v/>
      </c>
      <c r="KS355" s="57">
        <f>$KR355*$C355/$D355</f>
        <v/>
      </c>
      <c r="KT355" s="57">
        <f>SUMIFS(tblBudget[Hours_Worked],tblBudget[Month],"&lt;"&amp;$E355)+$KS355</f>
        <v/>
      </c>
    </row>
    <row r="356">
      <c r="A356" s="54" t="n">
        <v>46377</v>
      </c>
      <c r="B356">
        <f>MONTH($A356)</f>
        <v/>
      </c>
      <c r="C356">
        <f>DAY($A356)</f>
        <v/>
      </c>
      <c r="D356">
        <f>DAY(EOMONTH($A356,0))</f>
        <v/>
      </c>
      <c r="E356" s="54">
        <f>DATE(YEAR($A356),MONTH($A356),1)</f>
        <v/>
      </c>
      <c r="F356" s="55">
        <f>SUMIFS(tblMovement[Tonnes_t],tblMovement[Date],$A356,tblMovement[Is_Ore],1,tblMovement[Source_Type],"Pit")</f>
        <v/>
      </c>
      <c r="G356" s="55">
        <f>IF($B356=$B355,$G355,0)+$F356</f>
        <v/>
      </c>
      <c r="H356" s="55">
        <f>$H355+$F356</f>
        <v/>
      </c>
      <c r="I356" s="55">
        <f>SUMIFS(tblMovement[Ore_oz],tblMovement[Date],$A356,tblMovement[Source_Type],"Pit")</f>
        <v/>
      </c>
      <c r="J356" s="55">
        <f>IF($B356=$B355,$J355,0)+$I356</f>
        <v/>
      </c>
      <c r="K356" s="55">
        <f>$K355+$I356</f>
        <v/>
      </c>
      <c r="L356" s="55">
        <f>SUMIFS(tblMovement[Tonnes_t],tblMovement[Date],$A356,tblMovement[Is_Ore],1,tblMovement[Source_Type],"Pit",tblMovement[Grade_gpt],"&lt;&gt;")</f>
        <v/>
      </c>
      <c r="M356" s="55">
        <f>IF($B356=$B355,$M355,0)+$L356</f>
        <v/>
      </c>
      <c r="N356" s="55">
        <f>$N355+$L356</f>
        <v/>
      </c>
      <c r="O356" s="56">
        <f>IFERROR(IF(($L356)&gt;0,($I356*cfg_TroyOz)/($L356),""),"")</f>
        <v/>
      </c>
      <c r="P356" s="56">
        <f>IFERROR(IF(($M356)&gt;0,($J356*cfg_TroyOz)/($M356),""),"")</f>
        <v/>
      </c>
      <c r="Q356" s="56">
        <f>IFERROR(IF(($N356)&gt;0,($K356*cfg_TroyOz)/($N356),""),"")</f>
        <v/>
      </c>
      <c r="R356" s="55">
        <f>$F356-$L356</f>
        <v/>
      </c>
      <c r="S356" s="55">
        <f>IF($B356=$B355,$S355,0)+$R356</f>
        <v/>
      </c>
      <c r="T356" s="55">
        <f>$T355+$R356</f>
        <v/>
      </c>
      <c r="U356" s="55">
        <f>SUMIFS(tblMovement[Tonnes_t],tblMovement[Date],$A356,tblMovement[Is_Ore],0,tblMovement[Source_Type],"Pit")</f>
        <v/>
      </c>
      <c r="V356" s="55">
        <f>IF($B356=$B355,$V355,0)+$U356</f>
        <v/>
      </c>
      <c r="W356" s="55">
        <f>$W355+$U356</f>
        <v/>
      </c>
      <c r="X356" s="55">
        <f>$F356+$U356</f>
        <v/>
      </c>
      <c r="Y356" s="55">
        <f>IF($B356=$B355,$Y355,0)+$X356</f>
        <v/>
      </c>
      <c r="Z356" s="55">
        <f>$Z355+$X356</f>
        <v/>
      </c>
      <c r="AA356" s="56">
        <f>IFERROR(IF(($F356)&gt;0,($U356)/($F356),""),"")</f>
        <v/>
      </c>
      <c r="AB356" s="56">
        <f>IFERROR(IF(($G356)&gt;0,($V356)/($G356),""),"")</f>
        <v/>
      </c>
      <c r="AC356" s="56">
        <f>IFERROR(IF(($H356)&gt;0,($W356)/($H356),""),"")</f>
        <v/>
      </c>
      <c r="AD356" s="55">
        <f>SUMIFS(tblMovement[Tonnes_t],tblMovement[Date],$A356,tblMovement[Source_Type],"Stockpile")</f>
        <v/>
      </c>
      <c r="AE356" s="55">
        <f>IF($B356=$B355,$AE355,0)+$AD356</f>
        <v/>
      </c>
      <c r="AF356" s="55">
        <f>$AF355+$AD356</f>
        <v/>
      </c>
      <c r="AG356" s="55">
        <f>SUMIFS(tblMovement[Tonnes_t],tblMovement[Date],$A356)</f>
        <v/>
      </c>
      <c r="AH356" s="55">
        <f>IF($B356=$B355,$AH355,0)+$AG356</f>
        <v/>
      </c>
      <c r="AI356" s="55">
        <f>$AI355+$AG356</f>
        <v/>
      </c>
      <c r="AJ356" s="55">
        <f>$AG356-$X356-$AD356</f>
        <v/>
      </c>
      <c r="AK356" s="55">
        <f>IF($B356=$B355,$AK355,0)+$AJ356</f>
        <v/>
      </c>
      <c r="AL356" s="55">
        <f>$AL355+$AJ356</f>
        <v/>
      </c>
      <c r="AM356" s="55">
        <f>SUMIFS(tblMiningDaily[Drill_m],tblMiningDaily[Date],$A356)</f>
        <v/>
      </c>
      <c r="AN356" s="55">
        <f>IF($B356=$B355,$AN355,0)+$AM356</f>
        <v/>
      </c>
      <c r="AO356" s="55">
        <f>$AO355+$AM356</f>
        <v/>
      </c>
      <c r="AP356" s="55">
        <f>SUMIFS(tblMiningDaily[GC_Drill_m],tblMiningDaily[Date],$A356)</f>
        <v/>
      </c>
      <c r="AQ356" s="55">
        <f>IF($B356=$B355,$AQ355,0)+$AP356</f>
        <v/>
      </c>
      <c r="AR356" s="55">
        <f>$AR355+$AP356</f>
        <v/>
      </c>
      <c r="AS356" s="55">
        <f>SUMIFS(tblMiningDaily[Blast_t],tblMiningDaily[Date],$A356)</f>
        <v/>
      </c>
      <c r="AT356" s="55">
        <f>IF($B356=$B355,$AT355,0)+$AS356</f>
        <v/>
      </c>
      <c r="AU356" s="55">
        <f>$AU355+$AS356</f>
        <v/>
      </c>
      <c r="AV356" s="55">
        <f>SUMIFS(tblMiningDaily[Explosives_kg],tblMiningDaily[Date],$A356)</f>
        <v/>
      </c>
      <c r="AW356" s="55">
        <f>IF($B356=$B355,$AW355,0)+$AV356</f>
        <v/>
      </c>
      <c r="AX356" s="55">
        <f>$AX355+$AV356</f>
        <v/>
      </c>
      <c r="AY356" s="56">
        <f>IFERROR(IF(($AS356)&gt;0,($AV356)/($AS356),""),"")</f>
        <v/>
      </c>
      <c r="AZ356" s="56">
        <f>IFERROR(IF(($AT356)&gt;0,($AW356)/($AT356),""),"")</f>
        <v/>
      </c>
      <c r="BA356" s="56">
        <f>IFERROR(IF(($AU356)&gt;0,($AX356)/($AU356),""),"")</f>
        <v/>
      </c>
      <c r="BB356" s="55">
        <f>SUMIFS(tblMiningDaily[Diesel_L],tblMiningDaily[Date],$A356)</f>
        <v/>
      </c>
      <c r="BC356" s="55">
        <f>IF($B356=$B355,$BC355,0)+$BB356</f>
        <v/>
      </c>
      <c r="BD356" s="55">
        <f>$BD355+$BB356</f>
        <v/>
      </c>
      <c r="BE356" s="55">
        <f>SUMIFS(tblMiningDaily[Dewatering_m3],tblMiningDaily[Date],$A356)</f>
        <v/>
      </c>
      <c r="BF356" s="55">
        <f>IF($B356=$B355,$BF355,0)+$BE356</f>
        <v/>
      </c>
      <c r="BG356" s="55">
        <f>$BG355+$BE356</f>
        <v/>
      </c>
      <c r="BH356" s="57">
        <f>SUMIFS(tblFleet[Calendar_h],tblFleet[Date],$A356,tblFleet[Equipment_Class],"Excavator")</f>
        <v/>
      </c>
      <c r="BI356" s="57">
        <f>IF($B356=$B355,$BI355,0)+$BH356</f>
        <v/>
      </c>
      <c r="BJ356" s="57">
        <f>$BJ355+$BH356</f>
        <v/>
      </c>
      <c r="BK356" s="57">
        <f>SUMIFS(tblFleet[Available_h],tblFleet[Date],$A356,tblFleet[Equipment_Class],"Excavator")</f>
        <v/>
      </c>
      <c r="BL356" s="57">
        <f>IF($B356=$B355,$BL355,0)+$BK356</f>
        <v/>
      </c>
      <c r="BM356" s="57">
        <f>$BM355+$BK356</f>
        <v/>
      </c>
      <c r="BN356" s="57">
        <f>SUMIFS(tblFleet[Operating_h],tblFleet[Date],$A356,tblFleet[Equipment_Class],"Excavator")</f>
        <v/>
      </c>
      <c r="BO356" s="57">
        <f>IF($B356=$B355,$BO355,0)+$BN356</f>
        <v/>
      </c>
      <c r="BP356" s="57">
        <f>$BP355+$BN356</f>
        <v/>
      </c>
      <c r="BQ356" s="67">
        <f>IFERROR(IF(($BH356)&gt;0,($BK356)/($BH356),""),"")</f>
        <v/>
      </c>
      <c r="BR356" s="67">
        <f>IFERROR(IF(($BI356)&gt;0,($BL356)/($BI356),""),"")</f>
        <v/>
      </c>
      <c r="BS356" s="67">
        <f>IFERROR(IF(($BJ356)&gt;0,($BM356)/($BJ356),""),"")</f>
        <v/>
      </c>
      <c r="BT356" s="67">
        <f>IFERROR(IF(($BK356)&gt;0,($BN356)/($BK356),""),"")</f>
        <v/>
      </c>
      <c r="BU356" s="67">
        <f>IFERROR(IF(($BL356)&gt;0,($BO356)/($BL356),""),"")</f>
        <v/>
      </c>
      <c r="BV356" s="67">
        <f>IFERROR(IF(($BM356)&gt;0,($BP356)/($BM356),""),"")</f>
        <v/>
      </c>
      <c r="BW356" s="57">
        <f>SUMIFS(tblFleet[Calendar_h],tblFleet[Date],$A356,tblFleet[Equipment_Class],"Haul Truck")</f>
        <v/>
      </c>
      <c r="BX356" s="57">
        <f>IF($B356=$B355,$BX355,0)+$BW356</f>
        <v/>
      </c>
      <c r="BY356" s="57">
        <f>$BY355+$BW356</f>
        <v/>
      </c>
      <c r="BZ356" s="57">
        <f>SUMIFS(tblFleet[Available_h],tblFleet[Date],$A356,tblFleet[Equipment_Class],"Haul Truck")</f>
        <v/>
      </c>
      <c r="CA356" s="57">
        <f>IF($B356=$B355,$CA355,0)+$BZ356</f>
        <v/>
      </c>
      <c r="CB356" s="57">
        <f>$CB355+$BZ356</f>
        <v/>
      </c>
      <c r="CC356" s="57">
        <f>SUMIFS(tblFleet[Operating_h],tblFleet[Date],$A356,tblFleet[Equipment_Class],"Haul Truck")</f>
        <v/>
      </c>
      <c r="CD356" s="57">
        <f>IF($B356=$B355,$CD355,0)+$CC356</f>
        <v/>
      </c>
      <c r="CE356" s="57">
        <f>$CE355+$CC356</f>
        <v/>
      </c>
      <c r="CF356" s="67">
        <f>IFERROR(IF(($BW356)&gt;0,($BZ356)/($BW356),""),"")</f>
        <v/>
      </c>
      <c r="CG356" s="67">
        <f>IFERROR(IF(($BX356)&gt;0,($CA356)/($BX356),""),"")</f>
        <v/>
      </c>
      <c r="CH356" s="67">
        <f>IFERROR(IF(($BY356)&gt;0,($CB356)/($BY356),""),"")</f>
        <v/>
      </c>
      <c r="CI356" s="67">
        <f>IFERROR(IF(($BZ356)&gt;0,($CC356)/($BZ356),""),"")</f>
        <v/>
      </c>
      <c r="CJ356" s="67">
        <f>IFERROR(IF(($CA356)&gt;0,($CD356)/($CA356),""),"")</f>
        <v/>
      </c>
      <c r="CK356" s="67">
        <f>IFERROR(IF(($CB356)&gt;0,($CE356)/($CB356),""),"")</f>
        <v/>
      </c>
      <c r="CL356" s="55">
        <f>IFERROR(IF(($BN356)&gt;0,($X356+$AD356)/($BN356),""),"")</f>
        <v/>
      </c>
      <c r="CM356" s="55">
        <f>IFERROR(IF(($BO356)&gt;0,($Y356+$AE356)/($BO356),""),"")</f>
        <v/>
      </c>
      <c r="CN356" s="55">
        <f>IFERROR(IF(($BP356)&gt;0,($Z356+$AF356)/($BP356),""),"")</f>
        <v/>
      </c>
      <c r="CO356" s="55">
        <f>IFERROR(IF(($CC356)&gt;0,($X356+$AD356)/($CC356),""),"")</f>
        <v/>
      </c>
      <c r="CP356" s="55">
        <f>IFERROR(IF(($CD356)&gt;0,($Y356+$AE356)/($CD356),""),"")</f>
        <v/>
      </c>
      <c r="CQ356" s="55">
        <f>IFERROR(IF(($CE356)&gt;0,($Z356+$AF356)/($CE356),""),"")</f>
        <v/>
      </c>
      <c r="CR356" s="55">
        <f>SUMIFS(tblPlant[Crushed_t],tblPlant[Date],$A356)</f>
        <v/>
      </c>
      <c r="CS356" s="55">
        <f>IF($B356=$B355,$CS355,0)+$CR356</f>
        <v/>
      </c>
      <c r="CT356" s="55">
        <f>$CT355+$CR356</f>
        <v/>
      </c>
      <c r="CU356" s="55">
        <f>SUMIFS(tblPlant[Milled_t],tblPlant[Date],$A356)</f>
        <v/>
      </c>
      <c r="CV356" s="55">
        <f>IF($B356=$B355,$CV355,0)+$CU356</f>
        <v/>
      </c>
      <c r="CW356" s="55">
        <f>$CW355+$CU356</f>
        <v/>
      </c>
      <c r="CX356" s="55">
        <f>SUMIFS(tblPlant[Feed_oz],tblPlant[Date],$A356)</f>
        <v/>
      </c>
      <c r="CY356" s="55">
        <f>IF($B356=$B355,$CY355,0)+$CX356</f>
        <v/>
      </c>
      <c r="CZ356" s="55">
        <f>$CZ355+$CX356</f>
        <v/>
      </c>
      <c r="DA356" s="55">
        <f>SUMIFS(tblPlant[Tails_oz],tblPlant[Date],$A356)</f>
        <v/>
      </c>
      <c r="DB356" s="55">
        <f>IF($B356=$B355,$DB355,0)+$DA356</f>
        <v/>
      </c>
      <c r="DC356" s="55">
        <f>$DC355+$DA356</f>
        <v/>
      </c>
      <c r="DD356" s="55">
        <f>SUMIFS(tblPlant[Recovered_oz],tblPlant[Date],$A356)</f>
        <v/>
      </c>
      <c r="DE356" s="55">
        <f>IF($B356=$B355,$DE355,0)+$DD356</f>
        <v/>
      </c>
      <c r="DF356" s="55">
        <f>$DF355+$DD356</f>
        <v/>
      </c>
      <c r="DG356" s="55">
        <f>SUMIFS(tblPlant[Milled_t],tblPlant[Date],$A356,tblPlant[Head_Grade_gpt],"&lt;&gt;")</f>
        <v/>
      </c>
      <c r="DH356" s="55">
        <f>IF($B356=$B355,$DH355,0)+$DG356</f>
        <v/>
      </c>
      <c r="DI356" s="55">
        <f>$DI355+$DG356</f>
        <v/>
      </c>
      <c r="DJ356" s="55">
        <f>SUMIFS(tblPlant[Milled_t],tblPlant[Date],$A356,tblPlant[Tails_Grade_gpt],"&lt;&gt;")</f>
        <v/>
      </c>
      <c r="DK356" s="55">
        <f>IF($B356=$B355,$DK355,0)+$DJ356</f>
        <v/>
      </c>
      <c r="DL356" s="55">
        <f>$DL355+$DJ356</f>
        <v/>
      </c>
      <c r="DM356" s="55">
        <f>SUMIFS(tblPlant[Feed_oz],tblPlant[Date],$A356,tblPlant[Tails_Grade_gpt],"&lt;&gt;")</f>
        <v/>
      </c>
      <c r="DN356" s="55">
        <f>IF($B356=$B355,$DN355,0)+$DM356</f>
        <v/>
      </c>
      <c r="DO356" s="55">
        <f>$DO355+$DM356</f>
        <v/>
      </c>
      <c r="DP356" s="55">
        <f>SUMIFS(tblPlant[Milled_t],tblPlant[Date],$A356,tblPlant[Mill_Run_h],"&lt;&gt;")</f>
        <v/>
      </c>
      <c r="DQ356" s="55">
        <f>IF($B356=$B355,$DQ355,0)+$DP356</f>
        <v/>
      </c>
      <c r="DR356" s="55">
        <f>$DR355+$DP356</f>
        <v/>
      </c>
      <c r="DS356" s="56">
        <f>IFERROR(IF(($DG356)&gt;0,($CX356*cfg_TroyOz)/($DG356),""),"")</f>
        <v/>
      </c>
      <c r="DT356" s="56">
        <f>IFERROR(IF(($DH356)&gt;0,($CY356*cfg_TroyOz)/($DH356),""),"")</f>
        <v/>
      </c>
      <c r="DU356" s="56">
        <f>IFERROR(IF(($DI356)&gt;0,($CZ356*cfg_TroyOz)/($DI356),""),"")</f>
        <v/>
      </c>
      <c r="DV356" s="56">
        <f>IFERROR(IF(($DJ356)&gt;0,($DA356*cfg_TroyOz)/($DJ356),""),"")</f>
        <v/>
      </c>
      <c r="DW356" s="56">
        <f>IFERROR(IF(($DK356)&gt;0,($DB356*cfg_TroyOz)/($DK356),""),"")</f>
        <v/>
      </c>
      <c r="DX356" s="56">
        <f>IFERROR(IF(($DL356)&gt;0,($DC356*cfg_TroyOz)/($DL356),""),"")</f>
        <v/>
      </c>
      <c r="DY356" s="67">
        <f>IFERROR(IF(($DM356)&gt;0,($DD356)/($DM356),""),"")</f>
        <v/>
      </c>
      <c r="DZ356" s="67">
        <f>IFERROR(IF(($DN356)&gt;0,($DE356)/($DN356),""),"")</f>
        <v/>
      </c>
      <c r="EA356" s="67">
        <f>IFERROR(IF(($DO356)&gt;0,($DF356)/($DO356),""),"")</f>
        <v/>
      </c>
      <c r="EB356" s="55">
        <f>SUMIFS(tblPlant[Gravity_Gold_oz],tblPlant[Date],$A356)</f>
        <v/>
      </c>
      <c r="EC356" s="55">
        <f>IF($B356=$B355,$EC355,0)+$EB356</f>
        <v/>
      </c>
      <c r="ED356" s="55">
        <f>$ED355+$EB356</f>
        <v/>
      </c>
      <c r="EE356" s="67">
        <f>IFERROR(IF(($DD356)&gt;0,($EB356)/($DD356),""),"")</f>
        <v/>
      </c>
      <c r="EF356" s="67">
        <f>IFERROR(IF(($DE356)&gt;0,($EC356)/($DE356),""),"")</f>
        <v/>
      </c>
      <c r="EG356" s="67">
        <f>IFERROR(IF(($DF356)&gt;0,($ED356)/($DF356),""),"")</f>
        <v/>
      </c>
      <c r="EH356" s="55">
        <f>SUMIFS(tblPlant[Gold_Poured_oz],tblPlant[Date],$A356)</f>
        <v/>
      </c>
      <c r="EI356" s="55">
        <f>IF($B356=$B355,$EI355,0)+$EH356</f>
        <v/>
      </c>
      <c r="EJ356" s="55">
        <f>$EJ355+$EH356</f>
        <v/>
      </c>
      <c r="EK356" s="57">
        <f>SUMIFS(tblPlant[Mill_Run_h],tblPlant[Date],$A356)</f>
        <v/>
      </c>
      <c r="EL356" s="57">
        <f>IF($B356=$B355,$EL355,0)+$EK356</f>
        <v/>
      </c>
      <c r="EM356" s="57">
        <f>$EM355+$EK356</f>
        <v/>
      </c>
      <c r="EN356" s="57">
        <f>SUMIFS(tblPlant[Mill_Planned_Maint_h],tblPlant[Date],$A356)</f>
        <v/>
      </c>
      <c r="EO356" s="57">
        <f>IF($B356=$B355,$EO355,0)+$EN356</f>
        <v/>
      </c>
      <c r="EP356" s="57">
        <f>$EP355+$EN356</f>
        <v/>
      </c>
      <c r="EQ356" s="57">
        <f>SUMIFS(tblPlant[Mill_Unplanned_Down_h],tblPlant[Date],$A356)</f>
        <v/>
      </c>
      <c r="ER356" s="57">
        <f>IF($B356=$B355,$ER355,0)+$EQ356</f>
        <v/>
      </c>
      <c r="ES356" s="57">
        <f>$ES355+$EQ356</f>
        <v/>
      </c>
      <c r="ET356" s="57">
        <f>IF(COUNTIFS(tblPlant[Date],$A356,tblPlant[Mill_Run_h],"&lt;&gt;")+COUNTIFS(tblPlant[Date],$A356,tblPlant[Mill_Planned_Maint_h],"&lt;&gt;")+COUNTIFS(tblPlant[Date],$A356,tblPlant[Mill_Unplanned_Down_h],"&lt;&gt;")&gt;0,cfg_HoursPerDay,0)</f>
        <v/>
      </c>
      <c r="EU356" s="57">
        <f>IF($B356=$B355,$EU355,0)+$ET356</f>
        <v/>
      </c>
      <c r="EV356" s="57">
        <f>$EV355+$ET356</f>
        <v/>
      </c>
      <c r="EW356" s="57">
        <f>SUMIFS(tblPlant[Crusher_Run_h],tblPlant[Date],$A356)</f>
        <v/>
      </c>
      <c r="EX356" s="57">
        <f>IF($B356=$B355,$EX355,0)+$EW356</f>
        <v/>
      </c>
      <c r="EY356" s="57">
        <f>$EY355+$EW356</f>
        <v/>
      </c>
      <c r="EZ356" s="55">
        <f>IFERROR(IF(($EK356)&gt;0,($DP356)/($EK356),""),"")</f>
        <v/>
      </c>
      <c r="FA356" s="55">
        <f>IFERROR(IF(($EL356)&gt;0,($DQ356)/($EL356),""),"")</f>
        <v/>
      </c>
      <c r="FB356" s="55">
        <f>IFERROR(IF(($EM356)&gt;0,($DR356)/($EM356),""),"")</f>
        <v/>
      </c>
      <c r="FC356" s="67">
        <f>IFERROR(IF(($ET356)&gt;0,($ET356-$EN356-$EQ356)/($ET356),""),"")</f>
        <v/>
      </c>
      <c r="FD356" s="67">
        <f>IFERROR(IF(($EU356)&gt;0,($EU356-$EO356-$ER356)/($EU356),""),"")</f>
        <v/>
      </c>
      <c r="FE356" s="67">
        <f>IFERROR(IF(($EV356)&gt;0,($EV356-$EP356-$ES356)/($EV356),""),"")</f>
        <v/>
      </c>
      <c r="FF356" s="67">
        <f>IFERROR(IF(($ET356-$EN356-$EQ356)&gt;0,($EK356)/($ET356-$EN356-$EQ356),""),"")</f>
        <v/>
      </c>
      <c r="FG356" s="67">
        <f>IFERROR(IF(($EU356-$EO356-$ER356)&gt;0,($EL356)/($EU356-$EO356-$ER356),""),"")</f>
        <v/>
      </c>
      <c r="FH356" s="67">
        <f>IFERROR(IF(($EV356-$EP356-$ES356)&gt;0,($EM356)/($EV356-$EP356-$ES356),""),"")</f>
        <v/>
      </c>
      <c r="FI356" s="55">
        <f>SUMIFS(tblPlant[Cyanide_kg],tblPlant[Date],$A356)</f>
        <v/>
      </c>
      <c r="FJ356" s="55">
        <f>IF($B356=$B355,$FJ355,0)+$FI356</f>
        <v/>
      </c>
      <c r="FK356" s="55">
        <f>$FK355+$FI356</f>
        <v/>
      </c>
      <c r="FL356" s="55">
        <f>SUMIFS(tblPlant[Lime_kg],tblPlant[Date],$A356)</f>
        <v/>
      </c>
      <c r="FM356" s="55">
        <f>IF($B356=$B355,$FM355,0)+$FL356</f>
        <v/>
      </c>
      <c r="FN356" s="55">
        <f>$FN355+$FL356</f>
        <v/>
      </c>
      <c r="FO356" s="55">
        <f>SUMIFS(tblPlant[Grinding_Media_kg],tblPlant[Date],$A356)</f>
        <v/>
      </c>
      <c r="FP356" s="55">
        <f>IF($B356=$B355,$FP355,0)+$FO356</f>
        <v/>
      </c>
      <c r="FQ356" s="55">
        <f>$FQ355+$FO356</f>
        <v/>
      </c>
      <c r="FR356" s="55">
        <f>SUMIFS(tblPlant[Power_kWh],tblPlant[Date],$A356)</f>
        <v/>
      </c>
      <c r="FS356" s="55">
        <f>IF($B356=$B355,$FS355,0)+$FR356</f>
        <v/>
      </c>
      <c r="FT356" s="55">
        <f>$FT355+$FR356</f>
        <v/>
      </c>
      <c r="FU356" s="55">
        <f>SUMIFS(tblPlant[Raw_Water_m3],tblPlant[Date],$A356)</f>
        <v/>
      </c>
      <c r="FV356" s="55">
        <f>IF($B356=$B355,$FV355,0)+$FU356</f>
        <v/>
      </c>
      <c r="FW356" s="55">
        <f>$FW355+$FU356</f>
        <v/>
      </c>
      <c r="FX356" s="56">
        <f>IFERROR(IF(($CU356)&gt;0,($FI356)/($CU356),""),"")</f>
        <v/>
      </c>
      <c r="FY356" s="56">
        <f>IFERROR(IF(($CV356)&gt;0,($FJ356)/($CV356),""),"")</f>
        <v/>
      </c>
      <c r="FZ356" s="56">
        <f>IFERROR(IF(($CW356)&gt;0,($FK356)/($CW356),""),"")</f>
        <v/>
      </c>
      <c r="GA356" s="56">
        <f>IFERROR(IF(($CU356)&gt;0,($FL356)/($CU356),""),"")</f>
        <v/>
      </c>
      <c r="GB356" s="56">
        <f>IFERROR(IF(($CV356)&gt;0,($FM356)/($CV356),""),"")</f>
        <v/>
      </c>
      <c r="GC356" s="56">
        <f>IFERROR(IF(($CW356)&gt;0,($FN356)/($CW356),""),"")</f>
        <v/>
      </c>
      <c r="GD356" s="56">
        <f>IFERROR(IF(($CU356)&gt;0,($FO356)/($CU356),""),"")</f>
        <v/>
      </c>
      <c r="GE356" s="56">
        <f>IFERROR(IF(($CV356)&gt;0,($FP356)/($CV356),""),"")</f>
        <v/>
      </c>
      <c r="GF356" s="56">
        <f>IFERROR(IF(($CW356)&gt;0,($FQ356)/($CW356),""),"")</f>
        <v/>
      </c>
      <c r="GG356" s="79">
        <f>IFERROR(IF(($CU356)&gt;0,($FR356)/($CU356),""),"")</f>
        <v/>
      </c>
      <c r="GH356" s="79">
        <f>IFERROR(IF(($CV356)&gt;0,($FS356)/($CV356),""),"")</f>
        <v/>
      </c>
      <c r="GI356" s="79">
        <f>IFERROR(IF(($CW356)&gt;0,($FT356)/($CW356),""),"")</f>
        <v/>
      </c>
      <c r="GJ356" s="56">
        <f>IFERROR(IF(($CU356)&gt;0,($FU356)/($CU356),""),"")</f>
        <v/>
      </c>
      <c r="GK356" s="56">
        <f>IFERROR(IF(($CV356)&gt;0,($FV356)/($CV356),""),"")</f>
        <v/>
      </c>
      <c r="GL356" s="56">
        <f>IFERROR(IF(($CW356)&gt;0,($FW356)/($CW356),""),"")</f>
        <v/>
      </c>
      <c r="GM356" s="55">
        <f>IF(SUMIFS(tblPlant[GIC_oz],tblPlant[Date],$A356)&gt;0,SUMIFS(tblPlant[GIC_oz],tblPlant[Date],$A356),"")</f>
        <v/>
      </c>
      <c r="GN356" s="55">
        <f>SUMIFS(tblGold[Gold_oz],tblGold[Date],$A356,tblGold[Type],"Shipment")</f>
        <v/>
      </c>
      <c r="GO356" s="55">
        <f>IF($B356=$B355,$GO355,0)+$GN356</f>
        <v/>
      </c>
      <c r="GP356" s="55">
        <f>$GP355+$GN356</f>
        <v/>
      </c>
      <c r="GQ356" s="55">
        <f>SUMIFS(tblGold[Gold_oz],tblGold[Date],$A356,tblGold[Type],"Sale")</f>
        <v/>
      </c>
      <c r="GR356" s="55">
        <f>IF($B356=$B355,$GR355,0)+$GQ356</f>
        <v/>
      </c>
      <c r="GS356" s="55">
        <f>$GS355+$GQ356</f>
        <v/>
      </c>
      <c r="GT356" s="55">
        <f>SUMIFS(tblGold[Dore_kg],tblGold[Date],$A356,tblGold[Type],"Shipment")</f>
        <v/>
      </c>
      <c r="GU356" s="55">
        <f>IF($B356=$B355,$GU355,0)+$GT356</f>
        <v/>
      </c>
      <c r="GV356" s="55">
        <f>$GV355+$GT356</f>
        <v/>
      </c>
      <c r="GW356" s="57">
        <f>SUMIFS(tblSafety[Hours_Total],tblSafety[Date],$A356)</f>
        <v/>
      </c>
      <c r="GX356" s="57">
        <f>IF($B356=$B355,$GX355,0)+$GW356</f>
        <v/>
      </c>
      <c r="GY356" s="57">
        <f>$GY355+$GW356</f>
        <v/>
      </c>
      <c r="GZ356" s="62">
        <f>SUMIFS(tblSafety[Fatality],tblSafety[Date],$A356)</f>
        <v/>
      </c>
      <c r="HA356" s="62">
        <f>IF($B356=$B355,$HA355,0)+$GZ356</f>
        <v/>
      </c>
      <c r="HB356" s="62">
        <f>$HB355+$GZ356</f>
        <v/>
      </c>
      <c r="HC356" s="62">
        <f>SUMIFS(tblSafety[LTI],tblSafety[Date],$A356)</f>
        <v/>
      </c>
      <c r="HD356" s="62">
        <f>IF($B356=$B355,$HD355,0)+$HC356</f>
        <v/>
      </c>
      <c r="HE356" s="62">
        <f>$HE355+$HC356</f>
        <v/>
      </c>
      <c r="HF356" s="62">
        <f>SUMIFS(tblSafety[RWI],tblSafety[Date],$A356)</f>
        <v/>
      </c>
      <c r="HG356" s="62">
        <f>IF($B356=$B355,$HG355,0)+$HF356</f>
        <v/>
      </c>
      <c r="HH356" s="62">
        <f>$HH355+$HF356</f>
        <v/>
      </c>
      <c r="HI356" s="62">
        <f>SUMIFS(tblSafety[MTI],tblSafety[Date],$A356)</f>
        <v/>
      </c>
      <c r="HJ356" s="62">
        <f>IF($B356=$B355,$HJ355,0)+$HI356</f>
        <v/>
      </c>
      <c r="HK356" s="62">
        <f>$HK355+$HI356</f>
        <v/>
      </c>
      <c r="HL356" s="62">
        <f>SUMIFS(tblSafety[FAI],tblSafety[Date],$A356)</f>
        <v/>
      </c>
      <c r="HM356" s="62">
        <f>IF($B356=$B355,$HM355,0)+$HL356</f>
        <v/>
      </c>
      <c r="HN356" s="62">
        <f>$HN355+$HL356</f>
        <v/>
      </c>
      <c r="HO356" s="62">
        <f>SUMIFS(tblSafety[Recordables],tblSafety[Date],$A356)</f>
        <v/>
      </c>
      <c r="HP356" s="62">
        <f>IF($B356=$B355,$HP355,0)+$HO356</f>
        <v/>
      </c>
      <c r="HQ356" s="62">
        <f>$HQ355+$HO356</f>
        <v/>
      </c>
      <c r="HR356" s="62">
        <f>SUMIFS(tblSafety[Near_Miss],tblSafety[Date],$A356)</f>
        <v/>
      </c>
      <c r="HS356" s="62">
        <f>IF($B356=$B355,$HS355,0)+$HR356</f>
        <v/>
      </c>
      <c r="HT356" s="62">
        <f>$HT355+$HR356</f>
        <v/>
      </c>
      <c r="HU356" s="62">
        <f>SUMIFS(tblSafety[Hazard_Reports],tblSafety[Date],$A356)</f>
        <v/>
      </c>
      <c r="HV356" s="62">
        <f>IF($B356=$B355,$HV355,0)+$HU356</f>
        <v/>
      </c>
      <c r="HW356" s="62">
        <f>$HW355+$HU356</f>
        <v/>
      </c>
      <c r="HX356" s="62">
        <f>SUMIFS(tblSafety[HPI],tblSafety[Date],$A356)</f>
        <v/>
      </c>
      <c r="HY356" s="62">
        <f>IF($B356=$B355,$HY355,0)+$HX356</f>
        <v/>
      </c>
      <c r="HZ356" s="62">
        <f>$HZ355+$HX356</f>
        <v/>
      </c>
      <c r="IA356" s="62">
        <f>SUMIFS(tblSafety[Env_Incidents],tblSafety[Date],$A356)</f>
        <v/>
      </c>
      <c r="IB356" s="62">
        <f>IF($B356=$B355,$IB355,0)+$IA356</f>
        <v/>
      </c>
      <c r="IC356" s="62">
        <f>$IC355+$IA356</f>
        <v/>
      </c>
      <c r="ID356" s="62">
        <f>SUMIFS(tblSafety[Community_Incidents],tblSafety[Date],$A356)</f>
        <v/>
      </c>
      <c r="IE356" s="62">
        <f>IF($B356=$B355,$IE355,0)+$ID356</f>
        <v/>
      </c>
      <c r="IF356" s="62">
        <f>$IF355+$ID356</f>
        <v/>
      </c>
      <c r="IG356" s="62">
        <f>SUMIFS(tblSafety[Vehicle_Incidents],tblSafety[Date],$A356)</f>
        <v/>
      </c>
      <c r="IH356" s="62">
        <f>IF($B356=$B355,$IH355,0)+$IG356</f>
        <v/>
      </c>
      <c r="II356" s="62">
        <f>$II355+$IG356</f>
        <v/>
      </c>
      <c r="IJ356" s="62">
        <f>SUMIFS(tblSafety[Toolbox_Talks],tblSafety[Date],$A356)</f>
        <v/>
      </c>
      <c r="IK356" s="62">
        <f>IF($B356=$B355,$IK355,0)+$IJ356</f>
        <v/>
      </c>
      <c r="IL356" s="62">
        <f>$IL355+$IJ356</f>
        <v/>
      </c>
      <c r="IM356" s="62">
        <f>SUMIFS(tblSafety[Inspections],tblSafety[Date],$A356)</f>
        <v/>
      </c>
      <c r="IN356" s="62">
        <f>IF($B356=$B355,$IN355,0)+$IM356</f>
        <v/>
      </c>
      <c r="IO356" s="62">
        <f>$IO355+$IM356</f>
        <v/>
      </c>
      <c r="IP356" s="56">
        <f>IFERROR((SUMIFS(tblSafety[Recordables],tblSafety[Date],"&gt;="&amp;EDATE($E356,-12),tblSafety[Date],"&lt;="&amp;$A356)+SUMIFS(tblSafetyHistory[Recordables],tblSafetyHistory[Month],"&gt;="&amp;EDATE($E356,-12),tblSafetyHistory[Month],"&lt;"&amp;$E356,tblSafetyHistory[Use],1))/(SUMIFS(tblSafety[Hours_Total],tblSafety[Date],"&gt;="&amp;EDATE($E356,-12),tblSafety[Date],"&lt;="&amp;$A356)+SUMIFS(tblSafetyHistory[Hours_Total],tblSafetyHistory[Month],"&gt;="&amp;EDATE($E356,-12),tblSafetyHistory[Month],"&lt;"&amp;$E356,tblSafetyHistory[Use],1))*cfg_RateBasisHours,"")</f>
        <v/>
      </c>
      <c r="IQ356" s="56">
        <f>IFERROR((SUMIFS(tblSafety[LTI],tblSafety[Date],"&gt;="&amp;EDATE($E356,-12),tblSafety[Date],"&lt;="&amp;$A356)+SUMIFS(tblSafetyHistory[LTI],tblSafetyHistory[Month],"&gt;="&amp;EDATE($E356,-12),tblSafetyHistory[Month],"&lt;"&amp;$E356,tblSafetyHistory[Use],1))/(SUMIFS(tblSafety[Hours_Total],tblSafety[Date],"&gt;="&amp;EDATE($E356,-12),tblSafety[Date],"&lt;="&amp;$A356)+SUMIFS(tblSafetyHistory[Hours_Total],tblSafetyHistory[Month],"&gt;="&amp;EDATE($E356,-12),tblSafetyHistory[Month],"&lt;"&amp;$E356,tblSafetyHistory[Use],1))*cfg_RateBasisHours,"")</f>
        <v/>
      </c>
      <c r="IR356" s="62">
        <f>IF(MAX(N(cfg_PriorLTIDate),_xlfn.MAXIFS(tblSafety[Date],tblSafety[LTI],"&gt;0",tblSafety[Date],"&lt;="&amp;$A356))=0,"",$A356-MAX(N(cfg_PriorLTIDate),_xlfn.MAXIFS(tblSafety[Date],tblSafety[LTI],"&gt;0",tblSafety[Date],"&lt;="&amp;$A356)))</f>
        <v/>
      </c>
      <c r="IS356" s="55">
        <f>SUMIFS(tblBudget[Ore_Mined_t],tblBudget[Month],$E356)</f>
        <v/>
      </c>
      <c r="IT356" s="55">
        <f>$IS356*$C356/$D356</f>
        <v/>
      </c>
      <c r="IU356" s="55">
        <f>SUMIFS(tblBudget[Ore_Mined_t],tblBudget[Month],"&lt;"&amp;$E356)+$IT356</f>
        <v/>
      </c>
      <c r="IV356" s="55">
        <f>SUMIFS(tblBudget[Ore_oz],tblBudget[Month],$E356)</f>
        <v/>
      </c>
      <c r="IW356" s="55">
        <f>$IV356*$C356/$D356</f>
        <v/>
      </c>
      <c r="IX356" s="55">
        <f>SUMIFS(tblBudget[Ore_oz],tblBudget[Month],"&lt;"&amp;$E356)+$IW356</f>
        <v/>
      </c>
      <c r="IY356" s="55">
        <f>SUMIFS(tblBudget[Ore_Mined_t],tblBudget[Month],$E356)</f>
        <v/>
      </c>
      <c r="IZ356" s="55">
        <f>$IY356*$C356/$D356</f>
        <v/>
      </c>
      <c r="JA356" s="55">
        <f>SUMIFS(tblBudget[Ore_Mined_t],tblBudget[Month],"&lt;"&amp;$E356)+$IZ356</f>
        <v/>
      </c>
      <c r="JB356" s="56">
        <f>IFERROR(IF(($IY356)&gt;0,($IV356*cfg_TroyOz)/($IY356),""),"")</f>
        <v/>
      </c>
      <c r="JC356" s="56">
        <f>IFERROR(IF(($IZ356)&gt;0,($IW356*cfg_TroyOz)/($IZ356),""),"")</f>
        <v/>
      </c>
      <c r="JD356" s="56">
        <f>IFERROR(IF(($JA356)&gt;0,($IX356*cfg_TroyOz)/($JA356),""),"")</f>
        <v/>
      </c>
      <c r="JE356" s="55">
        <f>SUMIFS(tblBudget[Waste_t],tblBudget[Month],$E356)</f>
        <v/>
      </c>
      <c r="JF356" s="55">
        <f>$JE356*$C356/$D356</f>
        <v/>
      </c>
      <c r="JG356" s="55">
        <f>SUMIFS(tblBudget[Waste_t],tblBudget[Month],"&lt;"&amp;$E356)+$JF356</f>
        <v/>
      </c>
      <c r="JH356" s="55">
        <f>SUMIFS(tblBudget[TMM_t],tblBudget[Month],$E356)</f>
        <v/>
      </c>
      <c r="JI356" s="55">
        <f>$JH356*$C356/$D356</f>
        <v/>
      </c>
      <c r="JJ356" s="55">
        <f>SUMIFS(tblBudget[TMM_t],tblBudget[Month],"&lt;"&amp;$E356)+$JI356</f>
        <v/>
      </c>
      <c r="JK356" s="56">
        <f>IFERROR(IF(($IS356)&gt;0,($JE356)/($IS356),""),"")</f>
        <v/>
      </c>
      <c r="JL356" s="56">
        <f>IFERROR(IF(($IT356)&gt;0,($JF356)/($IT356),""),"")</f>
        <v/>
      </c>
      <c r="JM356" s="56">
        <f>IFERROR(IF(($IU356)&gt;0,($JG356)/($IU356),""),"")</f>
        <v/>
      </c>
      <c r="JN356" s="55">
        <f>SUMIFS(tblBudget[Drill_m],tblBudget[Month],$E356)</f>
        <v/>
      </c>
      <c r="JO356" s="55">
        <f>$JN356*$C356/$D356</f>
        <v/>
      </c>
      <c r="JP356" s="55">
        <f>SUMIFS(tblBudget[Drill_m],tblBudget[Month],"&lt;"&amp;$E356)+$JO356</f>
        <v/>
      </c>
      <c r="JQ356" s="55">
        <f>SUMIFS(tblBudget[Diesel_L],tblBudget[Month],$E356)</f>
        <v/>
      </c>
      <c r="JR356" s="55">
        <f>$JQ356*$C356/$D356</f>
        <v/>
      </c>
      <c r="JS356" s="55">
        <f>SUMIFS(tblBudget[Diesel_L],tblBudget[Month],"&lt;"&amp;$E356)+$JR356</f>
        <v/>
      </c>
      <c r="JT356" s="55">
        <f>SUMIFS(tblBudget[Milled_t],tblBudget[Month],$E356)</f>
        <v/>
      </c>
      <c r="JU356" s="55">
        <f>$JT356*$C356/$D356</f>
        <v/>
      </c>
      <c r="JV356" s="55">
        <f>SUMIFS(tblBudget[Milled_t],tblBudget[Month],"&lt;"&amp;$E356)+$JU356</f>
        <v/>
      </c>
      <c r="JW356" s="55">
        <f>SUMIFS(tblBudget[Feed_oz],tblBudget[Month],$E356)</f>
        <v/>
      </c>
      <c r="JX356" s="55">
        <f>$JW356*$C356/$D356</f>
        <v/>
      </c>
      <c r="JY356" s="55">
        <f>SUMIFS(tblBudget[Feed_oz],tblBudget[Month],"&lt;"&amp;$E356)+$JX356</f>
        <v/>
      </c>
      <c r="JZ356" s="55">
        <f>SUMIFS(tblBudget[Recovered_oz],tblBudget[Month],$E356)</f>
        <v/>
      </c>
      <c r="KA356" s="55">
        <f>$JZ356*$C356/$D356</f>
        <v/>
      </c>
      <c r="KB356" s="55">
        <f>SUMIFS(tblBudget[Recovered_oz],tblBudget[Month],"&lt;"&amp;$E356)+$KA356</f>
        <v/>
      </c>
      <c r="KC356" s="55">
        <f>SUMIFS(tblBudget[Milled_t],tblBudget[Month],$E356)</f>
        <v/>
      </c>
      <c r="KD356" s="55">
        <f>$KC356*$C356/$D356</f>
        <v/>
      </c>
      <c r="KE356" s="55">
        <f>SUMIFS(tblBudget[Milled_t],tblBudget[Month],"&lt;"&amp;$E356)+$KD356</f>
        <v/>
      </c>
      <c r="KF356" s="55">
        <f>SUMIFS(tblBudget[Feed_oz],tblBudget[Month],$E356)</f>
        <v/>
      </c>
      <c r="KG356" s="55">
        <f>$KF356*$C356/$D356</f>
        <v/>
      </c>
      <c r="KH356" s="55">
        <f>SUMIFS(tblBudget[Feed_oz],tblBudget[Month],"&lt;"&amp;$E356)+$KG356</f>
        <v/>
      </c>
      <c r="KI356" s="56">
        <f>IFERROR(IF(($KC356)&gt;0,($JW356*cfg_TroyOz)/($KC356),""),"")</f>
        <v/>
      </c>
      <c r="KJ356" s="56">
        <f>IFERROR(IF(($KD356)&gt;0,($JX356*cfg_TroyOz)/($KD356),""),"")</f>
        <v/>
      </c>
      <c r="KK356" s="56">
        <f>IFERROR(IF(($KE356)&gt;0,($JY356*cfg_TroyOz)/($KE356),""),"")</f>
        <v/>
      </c>
      <c r="KL356" s="67">
        <f>IFERROR(IF(($KF356)&gt;0,($JZ356)/($KF356),""),"")</f>
        <v/>
      </c>
      <c r="KM356" s="67">
        <f>IFERROR(IF(($KG356)&gt;0,($KA356)/($KG356),""),"")</f>
        <v/>
      </c>
      <c r="KN356" s="67">
        <f>IFERROR(IF(($KH356)&gt;0,($KB356)/($KH356),""),"")</f>
        <v/>
      </c>
      <c r="KO356" s="55">
        <f>SUMIFS(tblBudget[Gold_Poured_oz],tblBudget[Month],$E356)</f>
        <v/>
      </c>
      <c r="KP356" s="55">
        <f>$KO356*$C356/$D356</f>
        <v/>
      </c>
      <c r="KQ356" s="55">
        <f>SUMIFS(tblBudget[Gold_Poured_oz],tblBudget[Month],"&lt;"&amp;$E356)+$KP356</f>
        <v/>
      </c>
      <c r="KR356" s="57">
        <f>SUMIFS(tblBudget[Hours_Worked],tblBudget[Month],$E356)</f>
        <v/>
      </c>
      <c r="KS356" s="57">
        <f>$KR356*$C356/$D356</f>
        <v/>
      </c>
      <c r="KT356" s="57">
        <f>SUMIFS(tblBudget[Hours_Worked],tblBudget[Month],"&lt;"&amp;$E356)+$KS356</f>
        <v/>
      </c>
    </row>
    <row r="357">
      <c r="A357" s="54" t="n">
        <v>46378</v>
      </c>
      <c r="B357">
        <f>MONTH($A357)</f>
        <v/>
      </c>
      <c r="C357">
        <f>DAY($A357)</f>
        <v/>
      </c>
      <c r="D357">
        <f>DAY(EOMONTH($A357,0))</f>
        <v/>
      </c>
      <c r="E357" s="54">
        <f>DATE(YEAR($A357),MONTH($A357),1)</f>
        <v/>
      </c>
      <c r="F357" s="55">
        <f>SUMIFS(tblMovement[Tonnes_t],tblMovement[Date],$A357,tblMovement[Is_Ore],1,tblMovement[Source_Type],"Pit")</f>
        <v/>
      </c>
      <c r="G357" s="55">
        <f>IF($B357=$B356,$G356,0)+$F357</f>
        <v/>
      </c>
      <c r="H357" s="55">
        <f>$H356+$F357</f>
        <v/>
      </c>
      <c r="I357" s="55">
        <f>SUMIFS(tblMovement[Ore_oz],tblMovement[Date],$A357,tblMovement[Source_Type],"Pit")</f>
        <v/>
      </c>
      <c r="J357" s="55">
        <f>IF($B357=$B356,$J356,0)+$I357</f>
        <v/>
      </c>
      <c r="K357" s="55">
        <f>$K356+$I357</f>
        <v/>
      </c>
      <c r="L357" s="55">
        <f>SUMIFS(tblMovement[Tonnes_t],tblMovement[Date],$A357,tblMovement[Is_Ore],1,tblMovement[Source_Type],"Pit",tblMovement[Grade_gpt],"&lt;&gt;")</f>
        <v/>
      </c>
      <c r="M357" s="55">
        <f>IF($B357=$B356,$M356,0)+$L357</f>
        <v/>
      </c>
      <c r="N357" s="55">
        <f>$N356+$L357</f>
        <v/>
      </c>
      <c r="O357" s="56">
        <f>IFERROR(IF(($L357)&gt;0,($I357*cfg_TroyOz)/($L357),""),"")</f>
        <v/>
      </c>
      <c r="P357" s="56">
        <f>IFERROR(IF(($M357)&gt;0,($J357*cfg_TroyOz)/($M357),""),"")</f>
        <v/>
      </c>
      <c r="Q357" s="56">
        <f>IFERROR(IF(($N357)&gt;0,($K357*cfg_TroyOz)/($N357),""),"")</f>
        <v/>
      </c>
      <c r="R357" s="55">
        <f>$F357-$L357</f>
        <v/>
      </c>
      <c r="S357" s="55">
        <f>IF($B357=$B356,$S356,0)+$R357</f>
        <v/>
      </c>
      <c r="T357" s="55">
        <f>$T356+$R357</f>
        <v/>
      </c>
      <c r="U357" s="55">
        <f>SUMIFS(tblMovement[Tonnes_t],tblMovement[Date],$A357,tblMovement[Is_Ore],0,tblMovement[Source_Type],"Pit")</f>
        <v/>
      </c>
      <c r="V357" s="55">
        <f>IF($B357=$B356,$V356,0)+$U357</f>
        <v/>
      </c>
      <c r="W357" s="55">
        <f>$W356+$U357</f>
        <v/>
      </c>
      <c r="X357" s="55">
        <f>$F357+$U357</f>
        <v/>
      </c>
      <c r="Y357" s="55">
        <f>IF($B357=$B356,$Y356,0)+$X357</f>
        <v/>
      </c>
      <c r="Z357" s="55">
        <f>$Z356+$X357</f>
        <v/>
      </c>
      <c r="AA357" s="56">
        <f>IFERROR(IF(($F357)&gt;0,($U357)/($F357),""),"")</f>
        <v/>
      </c>
      <c r="AB357" s="56">
        <f>IFERROR(IF(($G357)&gt;0,($V357)/($G357),""),"")</f>
        <v/>
      </c>
      <c r="AC357" s="56">
        <f>IFERROR(IF(($H357)&gt;0,($W357)/($H357),""),"")</f>
        <v/>
      </c>
      <c r="AD357" s="55">
        <f>SUMIFS(tblMovement[Tonnes_t],tblMovement[Date],$A357,tblMovement[Source_Type],"Stockpile")</f>
        <v/>
      </c>
      <c r="AE357" s="55">
        <f>IF($B357=$B356,$AE356,0)+$AD357</f>
        <v/>
      </c>
      <c r="AF357" s="55">
        <f>$AF356+$AD357</f>
        <v/>
      </c>
      <c r="AG357" s="55">
        <f>SUMIFS(tblMovement[Tonnes_t],tblMovement[Date],$A357)</f>
        <v/>
      </c>
      <c r="AH357" s="55">
        <f>IF($B357=$B356,$AH356,0)+$AG357</f>
        <v/>
      </c>
      <c r="AI357" s="55">
        <f>$AI356+$AG357</f>
        <v/>
      </c>
      <c r="AJ357" s="55">
        <f>$AG357-$X357-$AD357</f>
        <v/>
      </c>
      <c r="AK357" s="55">
        <f>IF($B357=$B356,$AK356,0)+$AJ357</f>
        <v/>
      </c>
      <c r="AL357" s="55">
        <f>$AL356+$AJ357</f>
        <v/>
      </c>
      <c r="AM357" s="55">
        <f>SUMIFS(tblMiningDaily[Drill_m],tblMiningDaily[Date],$A357)</f>
        <v/>
      </c>
      <c r="AN357" s="55">
        <f>IF($B357=$B356,$AN356,0)+$AM357</f>
        <v/>
      </c>
      <c r="AO357" s="55">
        <f>$AO356+$AM357</f>
        <v/>
      </c>
      <c r="AP357" s="55">
        <f>SUMIFS(tblMiningDaily[GC_Drill_m],tblMiningDaily[Date],$A357)</f>
        <v/>
      </c>
      <c r="AQ357" s="55">
        <f>IF($B357=$B356,$AQ356,0)+$AP357</f>
        <v/>
      </c>
      <c r="AR357" s="55">
        <f>$AR356+$AP357</f>
        <v/>
      </c>
      <c r="AS357" s="55">
        <f>SUMIFS(tblMiningDaily[Blast_t],tblMiningDaily[Date],$A357)</f>
        <v/>
      </c>
      <c r="AT357" s="55">
        <f>IF($B357=$B356,$AT356,0)+$AS357</f>
        <v/>
      </c>
      <c r="AU357" s="55">
        <f>$AU356+$AS357</f>
        <v/>
      </c>
      <c r="AV357" s="55">
        <f>SUMIFS(tblMiningDaily[Explosives_kg],tblMiningDaily[Date],$A357)</f>
        <v/>
      </c>
      <c r="AW357" s="55">
        <f>IF($B357=$B356,$AW356,0)+$AV357</f>
        <v/>
      </c>
      <c r="AX357" s="55">
        <f>$AX356+$AV357</f>
        <v/>
      </c>
      <c r="AY357" s="56">
        <f>IFERROR(IF(($AS357)&gt;0,($AV357)/($AS357),""),"")</f>
        <v/>
      </c>
      <c r="AZ357" s="56">
        <f>IFERROR(IF(($AT357)&gt;0,($AW357)/($AT357),""),"")</f>
        <v/>
      </c>
      <c r="BA357" s="56">
        <f>IFERROR(IF(($AU357)&gt;0,($AX357)/($AU357),""),"")</f>
        <v/>
      </c>
      <c r="BB357" s="55">
        <f>SUMIFS(tblMiningDaily[Diesel_L],tblMiningDaily[Date],$A357)</f>
        <v/>
      </c>
      <c r="BC357" s="55">
        <f>IF($B357=$B356,$BC356,0)+$BB357</f>
        <v/>
      </c>
      <c r="BD357" s="55">
        <f>$BD356+$BB357</f>
        <v/>
      </c>
      <c r="BE357" s="55">
        <f>SUMIFS(tblMiningDaily[Dewatering_m3],tblMiningDaily[Date],$A357)</f>
        <v/>
      </c>
      <c r="BF357" s="55">
        <f>IF($B357=$B356,$BF356,0)+$BE357</f>
        <v/>
      </c>
      <c r="BG357" s="55">
        <f>$BG356+$BE357</f>
        <v/>
      </c>
      <c r="BH357" s="57">
        <f>SUMIFS(tblFleet[Calendar_h],tblFleet[Date],$A357,tblFleet[Equipment_Class],"Excavator")</f>
        <v/>
      </c>
      <c r="BI357" s="57">
        <f>IF($B357=$B356,$BI356,0)+$BH357</f>
        <v/>
      </c>
      <c r="BJ357" s="57">
        <f>$BJ356+$BH357</f>
        <v/>
      </c>
      <c r="BK357" s="57">
        <f>SUMIFS(tblFleet[Available_h],tblFleet[Date],$A357,tblFleet[Equipment_Class],"Excavator")</f>
        <v/>
      </c>
      <c r="BL357" s="57">
        <f>IF($B357=$B356,$BL356,0)+$BK357</f>
        <v/>
      </c>
      <c r="BM357" s="57">
        <f>$BM356+$BK357</f>
        <v/>
      </c>
      <c r="BN357" s="57">
        <f>SUMIFS(tblFleet[Operating_h],tblFleet[Date],$A357,tblFleet[Equipment_Class],"Excavator")</f>
        <v/>
      </c>
      <c r="BO357" s="57">
        <f>IF($B357=$B356,$BO356,0)+$BN357</f>
        <v/>
      </c>
      <c r="BP357" s="57">
        <f>$BP356+$BN357</f>
        <v/>
      </c>
      <c r="BQ357" s="67">
        <f>IFERROR(IF(($BH357)&gt;0,($BK357)/($BH357),""),"")</f>
        <v/>
      </c>
      <c r="BR357" s="67">
        <f>IFERROR(IF(($BI357)&gt;0,($BL357)/($BI357),""),"")</f>
        <v/>
      </c>
      <c r="BS357" s="67">
        <f>IFERROR(IF(($BJ357)&gt;0,($BM357)/($BJ357),""),"")</f>
        <v/>
      </c>
      <c r="BT357" s="67">
        <f>IFERROR(IF(($BK357)&gt;0,($BN357)/($BK357),""),"")</f>
        <v/>
      </c>
      <c r="BU357" s="67">
        <f>IFERROR(IF(($BL357)&gt;0,($BO357)/($BL357),""),"")</f>
        <v/>
      </c>
      <c r="BV357" s="67">
        <f>IFERROR(IF(($BM357)&gt;0,($BP357)/($BM357),""),"")</f>
        <v/>
      </c>
      <c r="BW357" s="57">
        <f>SUMIFS(tblFleet[Calendar_h],tblFleet[Date],$A357,tblFleet[Equipment_Class],"Haul Truck")</f>
        <v/>
      </c>
      <c r="BX357" s="57">
        <f>IF($B357=$B356,$BX356,0)+$BW357</f>
        <v/>
      </c>
      <c r="BY357" s="57">
        <f>$BY356+$BW357</f>
        <v/>
      </c>
      <c r="BZ357" s="57">
        <f>SUMIFS(tblFleet[Available_h],tblFleet[Date],$A357,tblFleet[Equipment_Class],"Haul Truck")</f>
        <v/>
      </c>
      <c r="CA357" s="57">
        <f>IF($B357=$B356,$CA356,0)+$BZ357</f>
        <v/>
      </c>
      <c r="CB357" s="57">
        <f>$CB356+$BZ357</f>
        <v/>
      </c>
      <c r="CC357" s="57">
        <f>SUMIFS(tblFleet[Operating_h],tblFleet[Date],$A357,tblFleet[Equipment_Class],"Haul Truck")</f>
        <v/>
      </c>
      <c r="CD357" s="57">
        <f>IF($B357=$B356,$CD356,0)+$CC357</f>
        <v/>
      </c>
      <c r="CE357" s="57">
        <f>$CE356+$CC357</f>
        <v/>
      </c>
      <c r="CF357" s="67">
        <f>IFERROR(IF(($BW357)&gt;0,($BZ357)/($BW357),""),"")</f>
        <v/>
      </c>
      <c r="CG357" s="67">
        <f>IFERROR(IF(($BX357)&gt;0,($CA357)/($BX357),""),"")</f>
        <v/>
      </c>
      <c r="CH357" s="67">
        <f>IFERROR(IF(($BY357)&gt;0,($CB357)/($BY357),""),"")</f>
        <v/>
      </c>
      <c r="CI357" s="67">
        <f>IFERROR(IF(($BZ357)&gt;0,($CC357)/($BZ357),""),"")</f>
        <v/>
      </c>
      <c r="CJ357" s="67">
        <f>IFERROR(IF(($CA357)&gt;0,($CD357)/($CA357),""),"")</f>
        <v/>
      </c>
      <c r="CK357" s="67">
        <f>IFERROR(IF(($CB357)&gt;0,($CE357)/($CB357),""),"")</f>
        <v/>
      </c>
      <c r="CL357" s="55">
        <f>IFERROR(IF(($BN357)&gt;0,($X357+$AD357)/($BN357),""),"")</f>
        <v/>
      </c>
      <c r="CM357" s="55">
        <f>IFERROR(IF(($BO357)&gt;0,($Y357+$AE357)/($BO357),""),"")</f>
        <v/>
      </c>
      <c r="CN357" s="55">
        <f>IFERROR(IF(($BP357)&gt;0,($Z357+$AF357)/($BP357),""),"")</f>
        <v/>
      </c>
      <c r="CO357" s="55">
        <f>IFERROR(IF(($CC357)&gt;0,($X357+$AD357)/($CC357),""),"")</f>
        <v/>
      </c>
      <c r="CP357" s="55">
        <f>IFERROR(IF(($CD357)&gt;0,($Y357+$AE357)/($CD357),""),"")</f>
        <v/>
      </c>
      <c r="CQ357" s="55">
        <f>IFERROR(IF(($CE357)&gt;0,($Z357+$AF357)/($CE357),""),"")</f>
        <v/>
      </c>
      <c r="CR357" s="55">
        <f>SUMIFS(tblPlant[Crushed_t],tblPlant[Date],$A357)</f>
        <v/>
      </c>
      <c r="CS357" s="55">
        <f>IF($B357=$B356,$CS356,0)+$CR357</f>
        <v/>
      </c>
      <c r="CT357" s="55">
        <f>$CT356+$CR357</f>
        <v/>
      </c>
      <c r="CU357" s="55">
        <f>SUMIFS(tblPlant[Milled_t],tblPlant[Date],$A357)</f>
        <v/>
      </c>
      <c r="CV357" s="55">
        <f>IF($B357=$B356,$CV356,0)+$CU357</f>
        <v/>
      </c>
      <c r="CW357" s="55">
        <f>$CW356+$CU357</f>
        <v/>
      </c>
      <c r="CX357" s="55">
        <f>SUMIFS(tblPlant[Feed_oz],tblPlant[Date],$A357)</f>
        <v/>
      </c>
      <c r="CY357" s="55">
        <f>IF($B357=$B356,$CY356,0)+$CX357</f>
        <v/>
      </c>
      <c r="CZ357" s="55">
        <f>$CZ356+$CX357</f>
        <v/>
      </c>
      <c r="DA357" s="55">
        <f>SUMIFS(tblPlant[Tails_oz],tblPlant[Date],$A357)</f>
        <v/>
      </c>
      <c r="DB357" s="55">
        <f>IF($B357=$B356,$DB356,0)+$DA357</f>
        <v/>
      </c>
      <c r="DC357" s="55">
        <f>$DC356+$DA357</f>
        <v/>
      </c>
      <c r="DD357" s="55">
        <f>SUMIFS(tblPlant[Recovered_oz],tblPlant[Date],$A357)</f>
        <v/>
      </c>
      <c r="DE357" s="55">
        <f>IF($B357=$B356,$DE356,0)+$DD357</f>
        <v/>
      </c>
      <c r="DF357" s="55">
        <f>$DF356+$DD357</f>
        <v/>
      </c>
      <c r="DG357" s="55">
        <f>SUMIFS(tblPlant[Milled_t],tblPlant[Date],$A357,tblPlant[Head_Grade_gpt],"&lt;&gt;")</f>
        <v/>
      </c>
      <c r="DH357" s="55">
        <f>IF($B357=$B356,$DH356,0)+$DG357</f>
        <v/>
      </c>
      <c r="DI357" s="55">
        <f>$DI356+$DG357</f>
        <v/>
      </c>
      <c r="DJ357" s="55">
        <f>SUMIFS(tblPlant[Milled_t],tblPlant[Date],$A357,tblPlant[Tails_Grade_gpt],"&lt;&gt;")</f>
        <v/>
      </c>
      <c r="DK357" s="55">
        <f>IF($B357=$B356,$DK356,0)+$DJ357</f>
        <v/>
      </c>
      <c r="DL357" s="55">
        <f>$DL356+$DJ357</f>
        <v/>
      </c>
      <c r="DM357" s="55">
        <f>SUMIFS(tblPlant[Feed_oz],tblPlant[Date],$A357,tblPlant[Tails_Grade_gpt],"&lt;&gt;")</f>
        <v/>
      </c>
      <c r="DN357" s="55">
        <f>IF($B357=$B356,$DN356,0)+$DM357</f>
        <v/>
      </c>
      <c r="DO357" s="55">
        <f>$DO356+$DM357</f>
        <v/>
      </c>
      <c r="DP357" s="55">
        <f>SUMIFS(tblPlant[Milled_t],tblPlant[Date],$A357,tblPlant[Mill_Run_h],"&lt;&gt;")</f>
        <v/>
      </c>
      <c r="DQ357" s="55">
        <f>IF($B357=$B356,$DQ356,0)+$DP357</f>
        <v/>
      </c>
      <c r="DR357" s="55">
        <f>$DR356+$DP357</f>
        <v/>
      </c>
      <c r="DS357" s="56">
        <f>IFERROR(IF(($DG357)&gt;0,($CX357*cfg_TroyOz)/($DG357),""),"")</f>
        <v/>
      </c>
      <c r="DT357" s="56">
        <f>IFERROR(IF(($DH357)&gt;0,($CY357*cfg_TroyOz)/($DH357),""),"")</f>
        <v/>
      </c>
      <c r="DU357" s="56">
        <f>IFERROR(IF(($DI357)&gt;0,($CZ357*cfg_TroyOz)/($DI357),""),"")</f>
        <v/>
      </c>
      <c r="DV357" s="56">
        <f>IFERROR(IF(($DJ357)&gt;0,($DA357*cfg_TroyOz)/($DJ357),""),"")</f>
        <v/>
      </c>
      <c r="DW357" s="56">
        <f>IFERROR(IF(($DK357)&gt;0,($DB357*cfg_TroyOz)/($DK357),""),"")</f>
        <v/>
      </c>
      <c r="DX357" s="56">
        <f>IFERROR(IF(($DL357)&gt;0,($DC357*cfg_TroyOz)/($DL357),""),"")</f>
        <v/>
      </c>
      <c r="DY357" s="67">
        <f>IFERROR(IF(($DM357)&gt;0,($DD357)/($DM357),""),"")</f>
        <v/>
      </c>
      <c r="DZ357" s="67">
        <f>IFERROR(IF(($DN357)&gt;0,($DE357)/($DN357),""),"")</f>
        <v/>
      </c>
      <c r="EA357" s="67">
        <f>IFERROR(IF(($DO357)&gt;0,($DF357)/($DO357),""),"")</f>
        <v/>
      </c>
      <c r="EB357" s="55">
        <f>SUMIFS(tblPlant[Gravity_Gold_oz],tblPlant[Date],$A357)</f>
        <v/>
      </c>
      <c r="EC357" s="55">
        <f>IF($B357=$B356,$EC356,0)+$EB357</f>
        <v/>
      </c>
      <c r="ED357" s="55">
        <f>$ED356+$EB357</f>
        <v/>
      </c>
      <c r="EE357" s="67">
        <f>IFERROR(IF(($DD357)&gt;0,($EB357)/($DD357),""),"")</f>
        <v/>
      </c>
      <c r="EF357" s="67">
        <f>IFERROR(IF(($DE357)&gt;0,($EC357)/($DE357),""),"")</f>
        <v/>
      </c>
      <c r="EG357" s="67">
        <f>IFERROR(IF(($DF357)&gt;0,($ED357)/($DF357),""),"")</f>
        <v/>
      </c>
      <c r="EH357" s="55">
        <f>SUMIFS(tblPlant[Gold_Poured_oz],tblPlant[Date],$A357)</f>
        <v/>
      </c>
      <c r="EI357" s="55">
        <f>IF($B357=$B356,$EI356,0)+$EH357</f>
        <v/>
      </c>
      <c r="EJ357" s="55">
        <f>$EJ356+$EH357</f>
        <v/>
      </c>
      <c r="EK357" s="57">
        <f>SUMIFS(tblPlant[Mill_Run_h],tblPlant[Date],$A357)</f>
        <v/>
      </c>
      <c r="EL357" s="57">
        <f>IF($B357=$B356,$EL356,0)+$EK357</f>
        <v/>
      </c>
      <c r="EM357" s="57">
        <f>$EM356+$EK357</f>
        <v/>
      </c>
      <c r="EN357" s="57">
        <f>SUMIFS(tblPlant[Mill_Planned_Maint_h],tblPlant[Date],$A357)</f>
        <v/>
      </c>
      <c r="EO357" s="57">
        <f>IF($B357=$B356,$EO356,0)+$EN357</f>
        <v/>
      </c>
      <c r="EP357" s="57">
        <f>$EP356+$EN357</f>
        <v/>
      </c>
      <c r="EQ357" s="57">
        <f>SUMIFS(tblPlant[Mill_Unplanned_Down_h],tblPlant[Date],$A357)</f>
        <v/>
      </c>
      <c r="ER357" s="57">
        <f>IF($B357=$B356,$ER356,0)+$EQ357</f>
        <v/>
      </c>
      <c r="ES357" s="57">
        <f>$ES356+$EQ357</f>
        <v/>
      </c>
      <c r="ET357" s="57">
        <f>IF(COUNTIFS(tblPlant[Date],$A357,tblPlant[Mill_Run_h],"&lt;&gt;")+COUNTIFS(tblPlant[Date],$A357,tblPlant[Mill_Planned_Maint_h],"&lt;&gt;")+COUNTIFS(tblPlant[Date],$A357,tblPlant[Mill_Unplanned_Down_h],"&lt;&gt;")&gt;0,cfg_HoursPerDay,0)</f>
        <v/>
      </c>
      <c r="EU357" s="57">
        <f>IF($B357=$B356,$EU356,0)+$ET357</f>
        <v/>
      </c>
      <c r="EV357" s="57">
        <f>$EV356+$ET357</f>
        <v/>
      </c>
      <c r="EW357" s="57">
        <f>SUMIFS(tblPlant[Crusher_Run_h],tblPlant[Date],$A357)</f>
        <v/>
      </c>
      <c r="EX357" s="57">
        <f>IF($B357=$B356,$EX356,0)+$EW357</f>
        <v/>
      </c>
      <c r="EY357" s="57">
        <f>$EY356+$EW357</f>
        <v/>
      </c>
      <c r="EZ357" s="55">
        <f>IFERROR(IF(($EK357)&gt;0,($DP357)/($EK357),""),"")</f>
        <v/>
      </c>
      <c r="FA357" s="55">
        <f>IFERROR(IF(($EL357)&gt;0,($DQ357)/($EL357),""),"")</f>
        <v/>
      </c>
      <c r="FB357" s="55">
        <f>IFERROR(IF(($EM357)&gt;0,($DR357)/($EM357),""),"")</f>
        <v/>
      </c>
      <c r="FC357" s="67">
        <f>IFERROR(IF(($ET357)&gt;0,($ET357-$EN357-$EQ357)/($ET357),""),"")</f>
        <v/>
      </c>
      <c r="FD357" s="67">
        <f>IFERROR(IF(($EU357)&gt;0,($EU357-$EO357-$ER357)/($EU357),""),"")</f>
        <v/>
      </c>
      <c r="FE357" s="67">
        <f>IFERROR(IF(($EV357)&gt;0,($EV357-$EP357-$ES357)/($EV357),""),"")</f>
        <v/>
      </c>
      <c r="FF357" s="67">
        <f>IFERROR(IF(($ET357-$EN357-$EQ357)&gt;0,($EK357)/($ET357-$EN357-$EQ357),""),"")</f>
        <v/>
      </c>
      <c r="FG357" s="67">
        <f>IFERROR(IF(($EU357-$EO357-$ER357)&gt;0,($EL357)/($EU357-$EO357-$ER357),""),"")</f>
        <v/>
      </c>
      <c r="FH357" s="67">
        <f>IFERROR(IF(($EV357-$EP357-$ES357)&gt;0,($EM357)/($EV357-$EP357-$ES357),""),"")</f>
        <v/>
      </c>
      <c r="FI357" s="55">
        <f>SUMIFS(tblPlant[Cyanide_kg],tblPlant[Date],$A357)</f>
        <v/>
      </c>
      <c r="FJ357" s="55">
        <f>IF($B357=$B356,$FJ356,0)+$FI357</f>
        <v/>
      </c>
      <c r="FK357" s="55">
        <f>$FK356+$FI357</f>
        <v/>
      </c>
      <c r="FL357" s="55">
        <f>SUMIFS(tblPlant[Lime_kg],tblPlant[Date],$A357)</f>
        <v/>
      </c>
      <c r="FM357" s="55">
        <f>IF($B357=$B356,$FM356,0)+$FL357</f>
        <v/>
      </c>
      <c r="FN357" s="55">
        <f>$FN356+$FL357</f>
        <v/>
      </c>
      <c r="FO357" s="55">
        <f>SUMIFS(tblPlant[Grinding_Media_kg],tblPlant[Date],$A357)</f>
        <v/>
      </c>
      <c r="FP357" s="55">
        <f>IF($B357=$B356,$FP356,0)+$FO357</f>
        <v/>
      </c>
      <c r="FQ357" s="55">
        <f>$FQ356+$FO357</f>
        <v/>
      </c>
      <c r="FR357" s="55">
        <f>SUMIFS(tblPlant[Power_kWh],tblPlant[Date],$A357)</f>
        <v/>
      </c>
      <c r="FS357" s="55">
        <f>IF($B357=$B356,$FS356,0)+$FR357</f>
        <v/>
      </c>
      <c r="FT357" s="55">
        <f>$FT356+$FR357</f>
        <v/>
      </c>
      <c r="FU357" s="55">
        <f>SUMIFS(tblPlant[Raw_Water_m3],tblPlant[Date],$A357)</f>
        <v/>
      </c>
      <c r="FV357" s="55">
        <f>IF($B357=$B356,$FV356,0)+$FU357</f>
        <v/>
      </c>
      <c r="FW357" s="55">
        <f>$FW356+$FU357</f>
        <v/>
      </c>
      <c r="FX357" s="56">
        <f>IFERROR(IF(($CU357)&gt;0,($FI357)/($CU357),""),"")</f>
        <v/>
      </c>
      <c r="FY357" s="56">
        <f>IFERROR(IF(($CV357)&gt;0,($FJ357)/($CV357),""),"")</f>
        <v/>
      </c>
      <c r="FZ357" s="56">
        <f>IFERROR(IF(($CW357)&gt;0,($FK357)/($CW357),""),"")</f>
        <v/>
      </c>
      <c r="GA357" s="56">
        <f>IFERROR(IF(($CU357)&gt;0,($FL357)/($CU357),""),"")</f>
        <v/>
      </c>
      <c r="GB357" s="56">
        <f>IFERROR(IF(($CV357)&gt;0,($FM357)/($CV357),""),"")</f>
        <v/>
      </c>
      <c r="GC357" s="56">
        <f>IFERROR(IF(($CW357)&gt;0,($FN357)/($CW357),""),"")</f>
        <v/>
      </c>
      <c r="GD357" s="56">
        <f>IFERROR(IF(($CU357)&gt;0,($FO357)/($CU357),""),"")</f>
        <v/>
      </c>
      <c r="GE357" s="56">
        <f>IFERROR(IF(($CV357)&gt;0,($FP357)/($CV357),""),"")</f>
        <v/>
      </c>
      <c r="GF357" s="56">
        <f>IFERROR(IF(($CW357)&gt;0,($FQ357)/($CW357),""),"")</f>
        <v/>
      </c>
      <c r="GG357" s="79">
        <f>IFERROR(IF(($CU357)&gt;0,($FR357)/($CU357),""),"")</f>
        <v/>
      </c>
      <c r="GH357" s="79">
        <f>IFERROR(IF(($CV357)&gt;0,($FS357)/($CV357),""),"")</f>
        <v/>
      </c>
      <c r="GI357" s="79">
        <f>IFERROR(IF(($CW357)&gt;0,($FT357)/($CW357),""),"")</f>
        <v/>
      </c>
      <c r="GJ357" s="56">
        <f>IFERROR(IF(($CU357)&gt;0,($FU357)/($CU357),""),"")</f>
        <v/>
      </c>
      <c r="GK357" s="56">
        <f>IFERROR(IF(($CV357)&gt;0,($FV357)/($CV357),""),"")</f>
        <v/>
      </c>
      <c r="GL357" s="56">
        <f>IFERROR(IF(($CW357)&gt;0,($FW357)/($CW357),""),"")</f>
        <v/>
      </c>
      <c r="GM357" s="55">
        <f>IF(SUMIFS(tblPlant[GIC_oz],tblPlant[Date],$A357)&gt;0,SUMIFS(tblPlant[GIC_oz],tblPlant[Date],$A357),"")</f>
        <v/>
      </c>
      <c r="GN357" s="55">
        <f>SUMIFS(tblGold[Gold_oz],tblGold[Date],$A357,tblGold[Type],"Shipment")</f>
        <v/>
      </c>
      <c r="GO357" s="55">
        <f>IF($B357=$B356,$GO356,0)+$GN357</f>
        <v/>
      </c>
      <c r="GP357" s="55">
        <f>$GP356+$GN357</f>
        <v/>
      </c>
      <c r="GQ357" s="55">
        <f>SUMIFS(tblGold[Gold_oz],tblGold[Date],$A357,tblGold[Type],"Sale")</f>
        <v/>
      </c>
      <c r="GR357" s="55">
        <f>IF($B357=$B356,$GR356,0)+$GQ357</f>
        <v/>
      </c>
      <c r="GS357" s="55">
        <f>$GS356+$GQ357</f>
        <v/>
      </c>
      <c r="GT357" s="55">
        <f>SUMIFS(tblGold[Dore_kg],tblGold[Date],$A357,tblGold[Type],"Shipment")</f>
        <v/>
      </c>
      <c r="GU357" s="55">
        <f>IF($B357=$B356,$GU356,0)+$GT357</f>
        <v/>
      </c>
      <c r="GV357" s="55">
        <f>$GV356+$GT357</f>
        <v/>
      </c>
      <c r="GW357" s="57">
        <f>SUMIFS(tblSafety[Hours_Total],tblSafety[Date],$A357)</f>
        <v/>
      </c>
      <c r="GX357" s="57">
        <f>IF($B357=$B356,$GX356,0)+$GW357</f>
        <v/>
      </c>
      <c r="GY357" s="57">
        <f>$GY356+$GW357</f>
        <v/>
      </c>
      <c r="GZ357" s="62">
        <f>SUMIFS(tblSafety[Fatality],tblSafety[Date],$A357)</f>
        <v/>
      </c>
      <c r="HA357" s="62">
        <f>IF($B357=$B356,$HA356,0)+$GZ357</f>
        <v/>
      </c>
      <c r="HB357" s="62">
        <f>$HB356+$GZ357</f>
        <v/>
      </c>
      <c r="HC357" s="62">
        <f>SUMIFS(tblSafety[LTI],tblSafety[Date],$A357)</f>
        <v/>
      </c>
      <c r="HD357" s="62">
        <f>IF($B357=$B356,$HD356,0)+$HC357</f>
        <v/>
      </c>
      <c r="HE357" s="62">
        <f>$HE356+$HC357</f>
        <v/>
      </c>
      <c r="HF357" s="62">
        <f>SUMIFS(tblSafety[RWI],tblSafety[Date],$A357)</f>
        <v/>
      </c>
      <c r="HG357" s="62">
        <f>IF($B357=$B356,$HG356,0)+$HF357</f>
        <v/>
      </c>
      <c r="HH357" s="62">
        <f>$HH356+$HF357</f>
        <v/>
      </c>
      <c r="HI357" s="62">
        <f>SUMIFS(tblSafety[MTI],tblSafety[Date],$A357)</f>
        <v/>
      </c>
      <c r="HJ357" s="62">
        <f>IF($B357=$B356,$HJ356,0)+$HI357</f>
        <v/>
      </c>
      <c r="HK357" s="62">
        <f>$HK356+$HI357</f>
        <v/>
      </c>
      <c r="HL357" s="62">
        <f>SUMIFS(tblSafety[FAI],tblSafety[Date],$A357)</f>
        <v/>
      </c>
      <c r="HM357" s="62">
        <f>IF($B357=$B356,$HM356,0)+$HL357</f>
        <v/>
      </c>
      <c r="HN357" s="62">
        <f>$HN356+$HL357</f>
        <v/>
      </c>
      <c r="HO357" s="62">
        <f>SUMIFS(tblSafety[Recordables],tblSafety[Date],$A357)</f>
        <v/>
      </c>
      <c r="HP357" s="62">
        <f>IF($B357=$B356,$HP356,0)+$HO357</f>
        <v/>
      </c>
      <c r="HQ357" s="62">
        <f>$HQ356+$HO357</f>
        <v/>
      </c>
      <c r="HR357" s="62">
        <f>SUMIFS(tblSafety[Near_Miss],tblSafety[Date],$A357)</f>
        <v/>
      </c>
      <c r="HS357" s="62">
        <f>IF($B357=$B356,$HS356,0)+$HR357</f>
        <v/>
      </c>
      <c r="HT357" s="62">
        <f>$HT356+$HR357</f>
        <v/>
      </c>
      <c r="HU357" s="62">
        <f>SUMIFS(tblSafety[Hazard_Reports],tblSafety[Date],$A357)</f>
        <v/>
      </c>
      <c r="HV357" s="62">
        <f>IF($B357=$B356,$HV356,0)+$HU357</f>
        <v/>
      </c>
      <c r="HW357" s="62">
        <f>$HW356+$HU357</f>
        <v/>
      </c>
      <c r="HX357" s="62">
        <f>SUMIFS(tblSafety[HPI],tblSafety[Date],$A357)</f>
        <v/>
      </c>
      <c r="HY357" s="62">
        <f>IF($B357=$B356,$HY356,0)+$HX357</f>
        <v/>
      </c>
      <c r="HZ357" s="62">
        <f>$HZ356+$HX357</f>
        <v/>
      </c>
      <c r="IA357" s="62">
        <f>SUMIFS(tblSafety[Env_Incidents],tblSafety[Date],$A357)</f>
        <v/>
      </c>
      <c r="IB357" s="62">
        <f>IF($B357=$B356,$IB356,0)+$IA357</f>
        <v/>
      </c>
      <c r="IC357" s="62">
        <f>$IC356+$IA357</f>
        <v/>
      </c>
      <c r="ID357" s="62">
        <f>SUMIFS(tblSafety[Community_Incidents],tblSafety[Date],$A357)</f>
        <v/>
      </c>
      <c r="IE357" s="62">
        <f>IF($B357=$B356,$IE356,0)+$ID357</f>
        <v/>
      </c>
      <c r="IF357" s="62">
        <f>$IF356+$ID357</f>
        <v/>
      </c>
      <c r="IG357" s="62">
        <f>SUMIFS(tblSafety[Vehicle_Incidents],tblSafety[Date],$A357)</f>
        <v/>
      </c>
      <c r="IH357" s="62">
        <f>IF($B357=$B356,$IH356,0)+$IG357</f>
        <v/>
      </c>
      <c r="II357" s="62">
        <f>$II356+$IG357</f>
        <v/>
      </c>
      <c r="IJ357" s="62">
        <f>SUMIFS(tblSafety[Toolbox_Talks],tblSafety[Date],$A357)</f>
        <v/>
      </c>
      <c r="IK357" s="62">
        <f>IF($B357=$B356,$IK356,0)+$IJ357</f>
        <v/>
      </c>
      <c r="IL357" s="62">
        <f>$IL356+$IJ357</f>
        <v/>
      </c>
      <c r="IM357" s="62">
        <f>SUMIFS(tblSafety[Inspections],tblSafety[Date],$A357)</f>
        <v/>
      </c>
      <c r="IN357" s="62">
        <f>IF($B357=$B356,$IN356,0)+$IM357</f>
        <v/>
      </c>
      <c r="IO357" s="62">
        <f>$IO356+$IM357</f>
        <v/>
      </c>
      <c r="IP357" s="56">
        <f>IFERROR((SUMIFS(tblSafety[Recordables],tblSafety[Date],"&gt;="&amp;EDATE($E357,-12),tblSafety[Date],"&lt;="&amp;$A357)+SUMIFS(tblSafetyHistory[Recordables],tblSafetyHistory[Month],"&gt;="&amp;EDATE($E357,-12),tblSafetyHistory[Month],"&lt;"&amp;$E357,tblSafetyHistory[Use],1))/(SUMIFS(tblSafety[Hours_Total],tblSafety[Date],"&gt;="&amp;EDATE($E357,-12),tblSafety[Date],"&lt;="&amp;$A357)+SUMIFS(tblSafetyHistory[Hours_Total],tblSafetyHistory[Month],"&gt;="&amp;EDATE($E357,-12),tblSafetyHistory[Month],"&lt;"&amp;$E357,tblSafetyHistory[Use],1))*cfg_RateBasisHours,"")</f>
        <v/>
      </c>
      <c r="IQ357" s="56">
        <f>IFERROR((SUMIFS(tblSafety[LTI],tblSafety[Date],"&gt;="&amp;EDATE($E357,-12),tblSafety[Date],"&lt;="&amp;$A357)+SUMIFS(tblSafetyHistory[LTI],tblSafetyHistory[Month],"&gt;="&amp;EDATE($E357,-12),tblSafetyHistory[Month],"&lt;"&amp;$E357,tblSafetyHistory[Use],1))/(SUMIFS(tblSafety[Hours_Total],tblSafety[Date],"&gt;="&amp;EDATE($E357,-12),tblSafety[Date],"&lt;="&amp;$A357)+SUMIFS(tblSafetyHistory[Hours_Total],tblSafetyHistory[Month],"&gt;="&amp;EDATE($E357,-12),tblSafetyHistory[Month],"&lt;"&amp;$E357,tblSafetyHistory[Use],1))*cfg_RateBasisHours,"")</f>
        <v/>
      </c>
      <c r="IR357" s="62">
        <f>IF(MAX(N(cfg_PriorLTIDate),_xlfn.MAXIFS(tblSafety[Date],tblSafety[LTI],"&gt;0",tblSafety[Date],"&lt;="&amp;$A357))=0,"",$A357-MAX(N(cfg_PriorLTIDate),_xlfn.MAXIFS(tblSafety[Date],tblSafety[LTI],"&gt;0",tblSafety[Date],"&lt;="&amp;$A357)))</f>
        <v/>
      </c>
      <c r="IS357" s="55">
        <f>SUMIFS(tblBudget[Ore_Mined_t],tblBudget[Month],$E357)</f>
        <v/>
      </c>
      <c r="IT357" s="55">
        <f>$IS357*$C357/$D357</f>
        <v/>
      </c>
      <c r="IU357" s="55">
        <f>SUMIFS(tblBudget[Ore_Mined_t],tblBudget[Month],"&lt;"&amp;$E357)+$IT357</f>
        <v/>
      </c>
      <c r="IV357" s="55">
        <f>SUMIFS(tblBudget[Ore_oz],tblBudget[Month],$E357)</f>
        <v/>
      </c>
      <c r="IW357" s="55">
        <f>$IV357*$C357/$D357</f>
        <v/>
      </c>
      <c r="IX357" s="55">
        <f>SUMIFS(tblBudget[Ore_oz],tblBudget[Month],"&lt;"&amp;$E357)+$IW357</f>
        <v/>
      </c>
      <c r="IY357" s="55">
        <f>SUMIFS(tblBudget[Ore_Mined_t],tblBudget[Month],$E357)</f>
        <v/>
      </c>
      <c r="IZ357" s="55">
        <f>$IY357*$C357/$D357</f>
        <v/>
      </c>
      <c r="JA357" s="55">
        <f>SUMIFS(tblBudget[Ore_Mined_t],tblBudget[Month],"&lt;"&amp;$E357)+$IZ357</f>
        <v/>
      </c>
      <c r="JB357" s="56">
        <f>IFERROR(IF(($IY357)&gt;0,($IV357*cfg_TroyOz)/($IY357),""),"")</f>
        <v/>
      </c>
      <c r="JC357" s="56">
        <f>IFERROR(IF(($IZ357)&gt;0,($IW357*cfg_TroyOz)/($IZ357),""),"")</f>
        <v/>
      </c>
      <c r="JD357" s="56">
        <f>IFERROR(IF(($JA357)&gt;0,($IX357*cfg_TroyOz)/($JA357),""),"")</f>
        <v/>
      </c>
      <c r="JE357" s="55">
        <f>SUMIFS(tblBudget[Waste_t],tblBudget[Month],$E357)</f>
        <v/>
      </c>
      <c r="JF357" s="55">
        <f>$JE357*$C357/$D357</f>
        <v/>
      </c>
      <c r="JG357" s="55">
        <f>SUMIFS(tblBudget[Waste_t],tblBudget[Month],"&lt;"&amp;$E357)+$JF357</f>
        <v/>
      </c>
      <c r="JH357" s="55">
        <f>SUMIFS(tblBudget[TMM_t],tblBudget[Month],$E357)</f>
        <v/>
      </c>
      <c r="JI357" s="55">
        <f>$JH357*$C357/$D357</f>
        <v/>
      </c>
      <c r="JJ357" s="55">
        <f>SUMIFS(tblBudget[TMM_t],tblBudget[Month],"&lt;"&amp;$E357)+$JI357</f>
        <v/>
      </c>
      <c r="JK357" s="56">
        <f>IFERROR(IF(($IS357)&gt;0,($JE357)/($IS357),""),"")</f>
        <v/>
      </c>
      <c r="JL357" s="56">
        <f>IFERROR(IF(($IT357)&gt;0,($JF357)/($IT357),""),"")</f>
        <v/>
      </c>
      <c r="JM357" s="56">
        <f>IFERROR(IF(($IU357)&gt;0,($JG357)/($IU357),""),"")</f>
        <v/>
      </c>
      <c r="JN357" s="55">
        <f>SUMIFS(tblBudget[Drill_m],tblBudget[Month],$E357)</f>
        <v/>
      </c>
      <c r="JO357" s="55">
        <f>$JN357*$C357/$D357</f>
        <v/>
      </c>
      <c r="JP357" s="55">
        <f>SUMIFS(tblBudget[Drill_m],tblBudget[Month],"&lt;"&amp;$E357)+$JO357</f>
        <v/>
      </c>
      <c r="JQ357" s="55">
        <f>SUMIFS(tblBudget[Diesel_L],tblBudget[Month],$E357)</f>
        <v/>
      </c>
      <c r="JR357" s="55">
        <f>$JQ357*$C357/$D357</f>
        <v/>
      </c>
      <c r="JS357" s="55">
        <f>SUMIFS(tblBudget[Diesel_L],tblBudget[Month],"&lt;"&amp;$E357)+$JR357</f>
        <v/>
      </c>
      <c r="JT357" s="55">
        <f>SUMIFS(tblBudget[Milled_t],tblBudget[Month],$E357)</f>
        <v/>
      </c>
      <c r="JU357" s="55">
        <f>$JT357*$C357/$D357</f>
        <v/>
      </c>
      <c r="JV357" s="55">
        <f>SUMIFS(tblBudget[Milled_t],tblBudget[Month],"&lt;"&amp;$E357)+$JU357</f>
        <v/>
      </c>
      <c r="JW357" s="55">
        <f>SUMIFS(tblBudget[Feed_oz],tblBudget[Month],$E357)</f>
        <v/>
      </c>
      <c r="JX357" s="55">
        <f>$JW357*$C357/$D357</f>
        <v/>
      </c>
      <c r="JY357" s="55">
        <f>SUMIFS(tblBudget[Feed_oz],tblBudget[Month],"&lt;"&amp;$E357)+$JX357</f>
        <v/>
      </c>
      <c r="JZ357" s="55">
        <f>SUMIFS(tblBudget[Recovered_oz],tblBudget[Month],$E357)</f>
        <v/>
      </c>
      <c r="KA357" s="55">
        <f>$JZ357*$C357/$D357</f>
        <v/>
      </c>
      <c r="KB357" s="55">
        <f>SUMIFS(tblBudget[Recovered_oz],tblBudget[Month],"&lt;"&amp;$E357)+$KA357</f>
        <v/>
      </c>
      <c r="KC357" s="55">
        <f>SUMIFS(tblBudget[Milled_t],tblBudget[Month],$E357)</f>
        <v/>
      </c>
      <c r="KD357" s="55">
        <f>$KC357*$C357/$D357</f>
        <v/>
      </c>
      <c r="KE357" s="55">
        <f>SUMIFS(tblBudget[Milled_t],tblBudget[Month],"&lt;"&amp;$E357)+$KD357</f>
        <v/>
      </c>
      <c r="KF357" s="55">
        <f>SUMIFS(tblBudget[Feed_oz],tblBudget[Month],$E357)</f>
        <v/>
      </c>
      <c r="KG357" s="55">
        <f>$KF357*$C357/$D357</f>
        <v/>
      </c>
      <c r="KH357" s="55">
        <f>SUMIFS(tblBudget[Feed_oz],tblBudget[Month],"&lt;"&amp;$E357)+$KG357</f>
        <v/>
      </c>
      <c r="KI357" s="56">
        <f>IFERROR(IF(($KC357)&gt;0,($JW357*cfg_TroyOz)/($KC357),""),"")</f>
        <v/>
      </c>
      <c r="KJ357" s="56">
        <f>IFERROR(IF(($KD357)&gt;0,($JX357*cfg_TroyOz)/($KD357),""),"")</f>
        <v/>
      </c>
      <c r="KK357" s="56">
        <f>IFERROR(IF(($KE357)&gt;0,($JY357*cfg_TroyOz)/($KE357),""),"")</f>
        <v/>
      </c>
      <c r="KL357" s="67">
        <f>IFERROR(IF(($KF357)&gt;0,($JZ357)/($KF357),""),"")</f>
        <v/>
      </c>
      <c r="KM357" s="67">
        <f>IFERROR(IF(($KG357)&gt;0,($KA357)/($KG357),""),"")</f>
        <v/>
      </c>
      <c r="KN357" s="67">
        <f>IFERROR(IF(($KH357)&gt;0,($KB357)/($KH357),""),"")</f>
        <v/>
      </c>
      <c r="KO357" s="55">
        <f>SUMIFS(tblBudget[Gold_Poured_oz],tblBudget[Month],$E357)</f>
        <v/>
      </c>
      <c r="KP357" s="55">
        <f>$KO357*$C357/$D357</f>
        <v/>
      </c>
      <c r="KQ357" s="55">
        <f>SUMIFS(tblBudget[Gold_Poured_oz],tblBudget[Month],"&lt;"&amp;$E357)+$KP357</f>
        <v/>
      </c>
      <c r="KR357" s="57">
        <f>SUMIFS(tblBudget[Hours_Worked],tblBudget[Month],$E357)</f>
        <v/>
      </c>
      <c r="KS357" s="57">
        <f>$KR357*$C357/$D357</f>
        <v/>
      </c>
      <c r="KT357" s="57">
        <f>SUMIFS(tblBudget[Hours_Worked],tblBudget[Month],"&lt;"&amp;$E357)+$KS357</f>
        <v/>
      </c>
    </row>
    <row r="358">
      <c r="A358" s="54" t="n">
        <v>46379</v>
      </c>
      <c r="B358">
        <f>MONTH($A358)</f>
        <v/>
      </c>
      <c r="C358">
        <f>DAY($A358)</f>
        <v/>
      </c>
      <c r="D358">
        <f>DAY(EOMONTH($A358,0))</f>
        <v/>
      </c>
      <c r="E358" s="54">
        <f>DATE(YEAR($A358),MONTH($A358),1)</f>
        <v/>
      </c>
      <c r="F358" s="55">
        <f>SUMIFS(tblMovement[Tonnes_t],tblMovement[Date],$A358,tblMovement[Is_Ore],1,tblMovement[Source_Type],"Pit")</f>
        <v/>
      </c>
      <c r="G358" s="55">
        <f>IF($B358=$B357,$G357,0)+$F358</f>
        <v/>
      </c>
      <c r="H358" s="55">
        <f>$H357+$F358</f>
        <v/>
      </c>
      <c r="I358" s="55">
        <f>SUMIFS(tblMovement[Ore_oz],tblMovement[Date],$A358,tblMovement[Source_Type],"Pit")</f>
        <v/>
      </c>
      <c r="J358" s="55">
        <f>IF($B358=$B357,$J357,0)+$I358</f>
        <v/>
      </c>
      <c r="K358" s="55">
        <f>$K357+$I358</f>
        <v/>
      </c>
      <c r="L358" s="55">
        <f>SUMIFS(tblMovement[Tonnes_t],tblMovement[Date],$A358,tblMovement[Is_Ore],1,tblMovement[Source_Type],"Pit",tblMovement[Grade_gpt],"&lt;&gt;")</f>
        <v/>
      </c>
      <c r="M358" s="55">
        <f>IF($B358=$B357,$M357,0)+$L358</f>
        <v/>
      </c>
      <c r="N358" s="55">
        <f>$N357+$L358</f>
        <v/>
      </c>
      <c r="O358" s="56">
        <f>IFERROR(IF(($L358)&gt;0,($I358*cfg_TroyOz)/($L358),""),"")</f>
        <v/>
      </c>
      <c r="P358" s="56">
        <f>IFERROR(IF(($M358)&gt;0,($J358*cfg_TroyOz)/($M358),""),"")</f>
        <v/>
      </c>
      <c r="Q358" s="56">
        <f>IFERROR(IF(($N358)&gt;0,($K358*cfg_TroyOz)/($N358),""),"")</f>
        <v/>
      </c>
      <c r="R358" s="55">
        <f>$F358-$L358</f>
        <v/>
      </c>
      <c r="S358" s="55">
        <f>IF($B358=$B357,$S357,0)+$R358</f>
        <v/>
      </c>
      <c r="T358" s="55">
        <f>$T357+$R358</f>
        <v/>
      </c>
      <c r="U358" s="55">
        <f>SUMIFS(tblMovement[Tonnes_t],tblMovement[Date],$A358,tblMovement[Is_Ore],0,tblMovement[Source_Type],"Pit")</f>
        <v/>
      </c>
      <c r="V358" s="55">
        <f>IF($B358=$B357,$V357,0)+$U358</f>
        <v/>
      </c>
      <c r="W358" s="55">
        <f>$W357+$U358</f>
        <v/>
      </c>
      <c r="X358" s="55">
        <f>$F358+$U358</f>
        <v/>
      </c>
      <c r="Y358" s="55">
        <f>IF($B358=$B357,$Y357,0)+$X358</f>
        <v/>
      </c>
      <c r="Z358" s="55">
        <f>$Z357+$X358</f>
        <v/>
      </c>
      <c r="AA358" s="56">
        <f>IFERROR(IF(($F358)&gt;0,($U358)/($F358),""),"")</f>
        <v/>
      </c>
      <c r="AB358" s="56">
        <f>IFERROR(IF(($G358)&gt;0,($V358)/($G358),""),"")</f>
        <v/>
      </c>
      <c r="AC358" s="56">
        <f>IFERROR(IF(($H358)&gt;0,($W358)/($H358),""),"")</f>
        <v/>
      </c>
      <c r="AD358" s="55">
        <f>SUMIFS(tblMovement[Tonnes_t],tblMovement[Date],$A358,tblMovement[Source_Type],"Stockpile")</f>
        <v/>
      </c>
      <c r="AE358" s="55">
        <f>IF($B358=$B357,$AE357,0)+$AD358</f>
        <v/>
      </c>
      <c r="AF358" s="55">
        <f>$AF357+$AD358</f>
        <v/>
      </c>
      <c r="AG358" s="55">
        <f>SUMIFS(tblMovement[Tonnes_t],tblMovement[Date],$A358)</f>
        <v/>
      </c>
      <c r="AH358" s="55">
        <f>IF($B358=$B357,$AH357,0)+$AG358</f>
        <v/>
      </c>
      <c r="AI358" s="55">
        <f>$AI357+$AG358</f>
        <v/>
      </c>
      <c r="AJ358" s="55">
        <f>$AG358-$X358-$AD358</f>
        <v/>
      </c>
      <c r="AK358" s="55">
        <f>IF($B358=$B357,$AK357,0)+$AJ358</f>
        <v/>
      </c>
      <c r="AL358" s="55">
        <f>$AL357+$AJ358</f>
        <v/>
      </c>
      <c r="AM358" s="55">
        <f>SUMIFS(tblMiningDaily[Drill_m],tblMiningDaily[Date],$A358)</f>
        <v/>
      </c>
      <c r="AN358" s="55">
        <f>IF($B358=$B357,$AN357,0)+$AM358</f>
        <v/>
      </c>
      <c r="AO358" s="55">
        <f>$AO357+$AM358</f>
        <v/>
      </c>
      <c r="AP358" s="55">
        <f>SUMIFS(tblMiningDaily[GC_Drill_m],tblMiningDaily[Date],$A358)</f>
        <v/>
      </c>
      <c r="AQ358" s="55">
        <f>IF($B358=$B357,$AQ357,0)+$AP358</f>
        <v/>
      </c>
      <c r="AR358" s="55">
        <f>$AR357+$AP358</f>
        <v/>
      </c>
      <c r="AS358" s="55">
        <f>SUMIFS(tblMiningDaily[Blast_t],tblMiningDaily[Date],$A358)</f>
        <v/>
      </c>
      <c r="AT358" s="55">
        <f>IF($B358=$B357,$AT357,0)+$AS358</f>
        <v/>
      </c>
      <c r="AU358" s="55">
        <f>$AU357+$AS358</f>
        <v/>
      </c>
      <c r="AV358" s="55">
        <f>SUMIFS(tblMiningDaily[Explosives_kg],tblMiningDaily[Date],$A358)</f>
        <v/>
      </c>
      <c r="AW358" s="55">
        <f>IF($B358=$B357,$AW357,0)+$AV358</f>
        <v/>
      </c>
      <c r="AX358" s="55">
        <f>$AX357+$AV358</f>
        <v/>
      </c>
      <c r="AY358" s="56">
        <f>IFERROR(IF(($AS358)&gt;0,($AV358)/($AS358),""),"")</f>
        <v/>
      </c>
      <c r="AZ358" s="56">
        <f>IFERROR(IF(($AT358)&gt;0,($AW358)/($AT358),""),"")</f>
        <v/>
      </c>
      <c r="BA358" s="56">
        <f>IFERROR(IF(($AU358)&gt;0,($AX358)/($AU358),""),"")</f>
        <v/>
      </c>
      <c r="BB358" s="55">
        <f>SUMIFS(tblMiningDaily[Diesel_L],tblMiningDaily[Date],$A358)</f>
        <v/>
      </c>
      <c r="BC358" s="55">
        <f>IF($B358=$B357,$BC357,0)+$BB358</f>
        <v/>
      </c>
      <c r="BD358" s="55">
        <f>$BD357+$BB358</f>
        <v/>
      </c>
      <c r="BE358" s="55">
        <f>SUMIFS(tblMiningDaily[Dewatering_m3],tblMiningDaily[Date],$A358)</f>
        <v/>
      </c>
      <c r="BF358" s="55">
        <f>IF($B358=$B357,$BF357,0)+$BE358</f>
        <v/>
      </c>
      <c r="BG358" s="55">
        <f>$BG357+$BE358</f>
        <v/>
      </c>
      <c r="BH358" s="57">
        <f>SUMIFS(tblFleet[Calendar_h],tblFleet[Date],$A358,tblFleet[Equipment_Class],"Excavator")</f>
        <v/>
      </c>
      <c r="BI358" s="57">
        <f>IF($B358=$B357,$BI357,0)+$BH358</f>
        <v/>
      </c>
      <c r="BJ358" s="57">
        <f>$BJ357+$BH358</f>
        <v/>
      </c>
      <c r="BK358" s="57">
        <f>SUMIFS(tblFleet[Available_h],tblFleet[Date],$A358,tblFleet[Equipment_Class],"Excavator")</f>
        <v/>
      </c>
      <c r="BL358" s="57">
        <f>IF($B358=$B357,$BL357,0)+$BK358</f>
        <v/>
      </c>
      <c r="BM358" s="57">
        <f>$BM357+$BK358</f>
        <v/>
      </c>
      <c r="BN358" s="57">
        <f>SUMIFS(tblFleet[Operating_h],tblFleet[Date],$A358,tblFleet[Equipment_Class],"Excavator")</f>
        <v/>
      </c>
      <c r="BO358" s="57">
        <f>IF($B358=$B357,$BO357,0)+$BN358</f>
        <v/>
      </c>
      <c r="BP358" s="57">
        <f>$BP357+$BN358</f>
        <v/>
      </c>
      <c r="BQ358" s="67">
        <f>IFERROR(IF(($BH358)&gt;0,($BK358)/($BH358),""),"")</f>
        <v/>
      </c>
      <c r="BR358" s="67">
        <f>IFERROR(IF(($BI358)&gt;0,($BL358)/($BI358),""),"")</f>
        <v/>
      </c>
      <c r="BS358" s="67">
        <f>IFERROR(IF(($BJ358)&gt;0,($BM358)/($BJ358),""),"")</f>
        <v/>
      </c>
      <c r="BT358" s="67">
        <f>IFERROR(IF(($BK358)&gt;0,($BN358)/($BK358),""),"")</f>
        <v/>
      </c>
      <c r="BU358" s="67">
        <f>IFERROR(IF(($BL358)&gt;0,($BO358)/($BL358),""),"")</f>
        <v/>
      </c>
      <c r="BV358" s="67">
        <f>IFERROR(IF(($BM358)&gt;0,($BP358)/($BM358),""),"")</f>
        <v/>
      </c>
      <c r="BW358" s="57">
        <f>SUMIFS(tblFleet[Calendar_h],tblFleet[Date],$A358,tblFleet[Equipment_Class],"Haul Truck")</f>
        <v/>
      </c>
      <c r="BX358" s="57">
        <f>IF($B358=$B357,$BX357,0)+$BW358</f>
        <v/>
      </c>
      <c r="BY358" s="57">
        <f>$BY357+$BW358</f>
        <v/>
      </c>
      <c r="BZ358" s="57">
        <f>SUMIFS(tblFleet[Available_h],tblFleet[Date],$A358,tblFleet[Equipment_Class],"Haul Truck")</f>
        <v/>
      </c>
      <c r="CA358" s="57">
        <f>IF($B358=$B357,$CA357,0)+$BZ358</f>
        <v/>
      </c>
      <c r="CB358" s="57">
        <f>$CB357+$BZ358</f>
        <v/>
      </c>
      <c r="CC358" s="57">
        <f>SUMIFS(tblFleet[Operating_h],tblFleet[Date],$A358,tblFleet[Equipment_Class],"Haul Truck")</f>
        <v/>
      </c>
      <c r="CD358" s="57">
        <f>IF($B358=$B357,$CD357,0)+$CC358</f>
        <v/>
      </c>
      <c r="CE358" s="57">
        <f>$CE357+$CC358</f>
        <v/>
      </c>
      <c r="CF358" s="67">
        <f>IFERROR(IF(($BW358)&gt;0,($BZ358)/($BW358),""),"")</f>
        <v/>
      </c>
      <c r="CG358" s="67">
        <f>IFERROR(IF(($BX358)&gt;0,($CA358)/($BX358),""),"")</f>
        <v/>
      </c>
      <c r="CH358" s="67">
        <f>IFERROR(IF(($BY358)&gt;0,($CB358)/($BY358),""),"")</f>
        <v/>
      </c>
      <c r="CI358" s="67">
        <f>IFERROR(IF(($BZ358)&gt;0,($CC358)/($BZ358),""),"")</f>
        <v/>
      </c>
      <c r="CJ358" s="67">
        <f>IFERROR(IF(($CA358)&gt;0,($CD358)/($CA358),""),"")</f>
        <v/>
      </c>
      <c r="CK358" s="67">
        <f>IFERROR(IF(($CB358)&gt;0,($CE358)/($CB358),""),"")</f>
        <v/>
      </c>
      <c r="CL358" s="55">
        <f>IFERROR(IF(($BN358)&gt;0,($X358+$AD358)/($BN358),""),"")</f>
        <v/>
      </c>
      <c r="CM358" s="55">
        <f>IFERROR(IF(($BO358)&gt;0,($Y358+$AE358)/($BO358),""),"")</f>
        <v/>
      </c>
      <c r="CN358" s="55">
        <f>IFERROR(IF(($BP358)&gt;0,($Z358+$AF358)/($BP358),""),"")</f>
        <v/>
      </c>
      <c r="CO358" s="55">
        <f>IFERROR(IF(($CC358)&gt;0,($X358+$AD358)/($CC358),""),"")</f>
        <v/>
      </c>
      <c r="CP358" s="55">
        <f>IFERROR(IF(($CD358)&gt;0,($Y358+$AE358)/($CD358),""),"")</f>
        <v/>
      </c>
      <c r="CQ358" s="55">
        <f>IFERROR(IF(($CE358)&gt;0,($Z358+$AF358)/($CE358),""),"")</f>
        <v/>
      </c>
      <c r="CR358" s="55">
        <f>SUMIFS(tblPlant[Crushed_t],tblPlant[Date],$A358)</f>
        <v/>
      </c>
      <c r="CS358" s="55">
        <f>IF($B358=$B357,$CS357,0)+$CR358</f>
        <v/>
      </c>
      <c r="CT358" s="55">
        <f>$CT357+$CR358</f>
        <v/>
      </c>
      <c r="CU358" s="55">
        <f>SUMIFS(tblPlant[Milled_t],tblPlant[Date],$A358)</f>
        <v/>
      </c>
      <c r="CV358" s="55">
        <f>IF($B358=$B357,$CV357,0)+$CU358</f>
        <v/>
      </c>
      <c r="CW358" s="55">
        <f>$CW357+$CU358</f>
        <v/>
      </c>
      <c r="CX358" s="55">
        <f>SUMIFS(tblPlant[Feed_oz],tblPlant[Date],$A358)</f>
        <v/>
      </c>
      <c r="CY358" s="55">
        <f>IF($B358=$B357,$CY357,0)+$CX358</f>
        <v/>
      </c>
      <c r="CZ358" s="55">
        <f>$CZ357+$CX358</f>
        <v/>
      </c>
      <c r="DA358" s="55">
        <f>SUMIFS(tblPlant[Tails_oz],tblPlant[Date],$A358)</f>
        <v/>
      </c>
      <c r="DB358" s="55">
        <f>IF($B358=$B357,$DB357,0)+$DA358</f>
        <v/>
      </c>
      <c r="DC358" s="55">
        <f>$DC357+$DA358</f>
        <v/>
      </c>
      <c r="DD358" s="55">
        <f>SUMIFS(tblPlant[Recovered_oz],tblPlant[Date],$A358)</f>
        <v/>
      </c>
      <c r="DE358" s="55">
        <f>IF($B358=$B357,$DE357,0)+$DD358</f>
        <v/>
      </c>
      <c r="DF358" s="55">
        <f>$DF357+$DD358</f>
        <v/>
      </c>
      <c r="DG358" s="55">
        <f>SUMIFS(tblPlant[Milled_t],tblPlant[Date],$A358,tblPlant[Head_Grade_gpt],"&lt;&gt;")</f>
        <v/>
      </c>
      <c r="DH358" s="55">
        <f>IF($B358=$B357,$DH357,0)+$DG358</f>
        <v/>
      </c>
      <c r="DI358" s="55">
        <f>$DI357+$DG358</f>
        <v/>
      </c>
      <c r="DJ358" s="55">
        <f>SUMIFS(tblPlant[Milled_t],tblPlant[Date],$A358,tblPlant[Tails_Grade_gpt],"&lt;&gt;")</f>
        <v/>
      </c>
      <c r="DK358" s="55">
        <f>IF($B358=$B357,$DK357,0)+$DJ358</f>
        <v/>
      </c>
      <c r="DL358" s="55">
        <f>$DL357+$DJ358</f>
        <v/>
      </c>
      <c r="DM358" s="55">
        <f>SUMIFS(tblPlant[Feed_oz],tblPlant[Date],$A358,tblPlant[Tails_Grade_gpt],"&lt;&gt;")</f>
        <v/>
      </c>
      <c r="DN358" s="55">
        <f>IF($B358=$B357,$DN357,0)+$DM358</f>
        <v/>
      </c>
      <c r="DO358" s="55">
        <f>$DO357+$DM358</f>
        <v/>
      </c>
      <c r="DP358" s="55">
        <f>SUMIFS(tblPlant[Milled_t],tblPlant[Date],$A358,tblPlant[Mill_Run_h],"&lt;&gt;")</f>
        <v/>
      </c>
      <c r="DQ358" s="55">
        <f>IF($B358=$B357,$DQ357,0)+$DP358</f>
        <v/>
      </c>
      <c r="DR358" s="55">
        <f>$DR357+$DP358</f>
        <v/>
      </c>
      <c r="DS358" s="56">
        <f>IFERROR(IF(($DG358)&gt;0,($CX358*cfg_TroyOz)/($DG358),""),"")</f>
        <v/>
      </c>
      <c r="DT358" s="56">
        <f>IFERROR(IF(($DH358)&gt;0,($CY358*cfg_TroyOz)/($DH358),""),"")</f>
        <v/>
      </c>
      <c r="DU358" s="56">
        <f>IFERROR(IF(($DI358)&gt;0,($CZ358*cfg_TroyOz)/($DI358),""),"")</f>
        <v/>
      </c>
      <c r="DV358" s="56">
        <f>IFERROR(IF(($DJ358)&gt;0,($DA358*cfg_TroyOz)/($DJ358),""),"")</f>
        <v/>
      </c>
      <c r="DW358" s="56">
        <f>IFERROR(IF(($DK358)&gt;0,($DB358*cfg_TroyOz)/($DK358),""),"")</f>
        <v/>
      </c>
      <c r="DX358" s="56">
        <f>IFERROR(IF(($DL358)&gt;0,($DC358*cfg_TroyOz)/($DL358),""),"")</f>
        <v/>
      </c>
      <c r="DY358" s="67">
        <f>IFERROR(IF(($DM358)&gt;0,($DD358)/($DM358),""),"")</f>
        <v/>
      </c>
      <c r="DZ358" s="67">
        <f>IFERROR(IF(($DN358)&gt;0,($DE358)/($DN358),""),"")</f>
        <v/>
      </c>
      <c r="EA358" s="67">
        <f>IFERROR(IF(($DO358)&gt;0,($DF358)/($DO358),""),"")</f>
        <v/>
      </c>
      <c r="EB358" s="55">
        <f>SUMIFS(tblPlant[Gravity_Gold_oz],tblPlant[Date],$A358)</f>
        <v/>
      </c>
      <c r="EC358" s="55">
        <f>IF($B358=$B357,$EC357,0)+$EB358</f>
        <v/>
      </c>
      <c r="ED358" s="55">
        <f>$ED357+$EB358</f>
        <v/>
      </c>
      <c r="EE358" s="67">
        <f>IFERROR(IF(($DD358)&gt;0,($EB358)/($DD358),""),"")</f>
        <v/>
      </c>
      <c r="EF358" s="67">
        <f>IFERROR(IF(($DE358)&gt;0,($EC358)/($DE358),""),"")</f>
        <v/>
      </c>
      <c r="EG358" s="67">
        <f>IFERROR(IF(($DF358)&gt;0,($ED358)/($DF358),""),"")</f>
        <v/>
      </c>
      <c r="EH358" s="55">
        <f>SUMIFS(tblPlant[Gold_Poured_oz],tblPlant[Date],$A358)</f>
        <v/>
      </c>
      <c r="EI358" s="55">
        <f>IF($B358=$B357,$EI357,0)+$EH358</f>
        <v/>
      </c>
      <c r="EJ358" s="55">
        <f>$EJ357+$EH358</f>
        <v/>
      </c>
      <c r="EK358" s="57">
        <f>SUMIFS(tblPlant[Mill_Run_h],tblPlant[Date],$A358)</f>
        <v/>
      </c>
      <c r="EL358" s="57">
        <f>IF($B358=$B357,$EL357,0)+$EK358</f>
        <v/>
      </c>
      <c r="EM358" s="57">
        <f>$EM357+$EK358</f>
        <v/>
      </c>
      <c r="EN358" s="57">
        <f>SUMIFS(tblPlant[Mill_Planned_Maint_h],tblPlant[Date],$A358)</f>
        <v/>
      </c>
      <c r="EO358" s="57">
        <f>IF($B358=$B357,$EO357,0)+$EN358</f>
        <v/>
      </c>
      <c r="EP358" s="57">
        <f>$EP357+$EN358</f>
        <v/>
      </c>
      <c r="EQ358" s="57">
        <f>SUMIFS(tblPlant[Mill_Unplanned_Down_h],tblPlant[Date],$A358)</f>
        <v/>
      </c>
      <c r="ER358" s="57">
        <f>IF($B358=$B357,$ER357,0)+$EQ358</f>
        <v/>
      </c>
      <c r="ES358" s="57">
        <f>$ES357+$EQ358</f>
        <v/>
      </c>
      <c r="ET358" s="57">
        <f>IF(COUNTIFS(tblPlant[Date],$A358,tblPlant[Mill_Run_h],"&lt;&gt;")+COUNTIFS(tblPlant[Date],$A358,tblPlant[Mill_Planned_Maint_h],"&lt;&gt;")+COUNTIFS(tblPlant[Date],$A358,tblPlant[Mill_Unplanned_Down_h],"&lt;&gt;")&gt;0,cfg_HoursPerDay,0)</f>
        <v/>
      </c>
      <c r="EU358" s="57">
        <f>IF($B358=$B357,$EU357,0)+$ET358</f>
        <v/>
      </c>
      <c r="EV358" s="57">
        <f>$EV357+$ET358</f>
        <v/>
      </c>
      <c r="EW358" s="57">
        <f>SUMIFS(tblPlant[Crusher_Run_h],tblPlant[Date],$A358)</f>
        <v/>
      </c>
      <c r="EX358" s="57">
        <f>IF($B358=$B357,$EX357,0)+$EW358</f>
        <v/>
      </c>
      <c r="EY358" s="57">
        <f>$EY357+$EW358</f>
        <v/>
      </c>
      <c r="EZ358" s="55">
        <f>IFERROR(IF(($EK358)&gt;0,($DP358)/($EK358),""),"")</f>
        <v/>
      </c>
      <c r="FA358" s="55">
        <f>IFERROR(IF(($EL358)&gt;0,($DQ358)/($EL358),""),"")</f>
        <v/>
      </c>
      <c r="FB358" s="55">
        <f>IFERROR(IF(($EM358)&gt;0,($DR358)/($EM358),""),"")</f>
        <v/>
      </c>
      <c r="FC358" s="67">
        <f>IFERROR(IF(($ET358)&gt;0,($ET358-$EN358-$EQ358)/($ET358),""),"")</f>
        <v/>
      </c>
      <c r="FD358" s="67">
        <f>IFERROR(IF(($EU358)&gt;0,($EU358-$EO358-$ER358)/($EU358),""),"")</f>
        <v/>
      </c>
      <c r="FE358" s="67">
        <f>IFERROR(IF(($EV358)&gt;0,($EV358-$EP358-$ES358)/($EV358),""),"")</f>
        <v/>
      </c>
      <c r="FF358" s="67">
        <f>IFERROR(IF(($ET358-$EN358-$EQ358)&gt;0,($EK358)/($ET358-$EN358-$EQ358),""),"")</f>
        <v/>
      </c>
      <c r="FG358" s="67">
        <f>IFERROR(IF(($EU358-$EO358-$ER358)&gt;0,($EL358)/($EU358-$EO358-$ER358),""),"")</f>
        <v/>
      </c>
      <c r="FH358" s="67">
        <f>IFERROR(IF(($EV358-$EP358-$ES358)&gt;0,($EM358)/($EV358-$EP358-$ES358),""),"")</f>
        <v/>
      </c>
      <c r="FI358" s="55">
        <f>SUMIFS(tblPlant[Cyanide_kg],tblPlant[Date],$A358)</f>
        <v/>
      </c>
      <c r="FJ358" s="55">
        <f>IF($B358=$B357,$FJ357,0)+$FI358</f>
        <v/>
      </c>
      <c r="FK358" s="55">
        <f>$FK357+$FI358</f>
        <v/>
      </c>
      <c r="FL358" s="55">
        <f>SUMIFS(tblPlant[Lime_kg],tblPlant[Date],$A358)</f>
        <v/>
      </c>
      <c r="FM358" s="55">
        <f>IF($B358=$B357,$FM357,0)+$FL358</f>
        <v/>
      </c>
      <c r="FN358" s="55">
        <f>$FN357+$FL358</f>
        <v/>
      </c>
      <c r="FO358" s="55">
        <f>SUMIFS(tblPlant[Grinding_Media_kg],tblPlant[Date],$A358)</f>
        <v/>
      </c>
      <c r="FP358" s="55">
        <f>IF($B358=$B357,$FP357,0)+$FO358</f>
        <v/>
      </c>
      <c r="FQ358" s="55">
        <f>$FQ357+$FO358</f>
        <v/>
      </c>
      <c r="FR358" s="55">
        <f>SUMIFS(tblPlant[Power_kWh],tblPlant[Date],$A358)</f>
        <v/>
      </c>
      <c r="FS358" s="55">
        <f>IF($B358=$B357,$FS357,0)+$FR358</f>
        <v/>
      </c>
      <c r="FT358" s="55">
        <f>$FT357+$FR358</f>
        <v/>
      </c>
      <c r="FU358" s="55">
        <f>SUMIFS(tblPlant[Raw_Water_m3],tblPlant[Date],$A358)</f>
        <v/>
      </c>
      <c r="FV358" s="55">
        <f>IF($B358=$B357,$FV357,0)+$FU358</f>
        <v/>
      </c>
      <c r="FW358" s="55">
        <f>$FW357+$FU358</f>
        <v/>
      </c>
      <c r="FX358" s="56">
        <f>IFERROR(IF(($CU358)&gt;0,($FI358)/($CU358),""),"")</f>
        <v/>
      </c>
      <c r="FY358" s="56">
        <f>IFERROR(IF(($CV358)&gt;0,($FJ358)/($CV358),""),"")</f>
        <v/>
      </c>
      <c r="FZ358" s="56">
        <f>IFERROR(IF(($CW358)&gt;0,($FK358)/($CW358),""),"")</f>
        <v/>
      </c>
      <c r="GA358" s="56">
        <f>IFERROR(IF(($CU358)&gt;0,($FL358)/($CU358),""),"")</f>
        <v/>
      </c>
      <c r="GB358" s="56">
        <f>IFERROR(IF(($CV358)&gt;0,($FM358)/($CV358),""),"")</f>
        <v/>
      </c>
      <c r="GC358" s="56">
        <f>IFERROR(IF(($CW358)&gt;0,($FN358)/($CW358),""),"")</f>
        <v/>
      </c>
      <c r="GD358" s="56">
        <f>IFERROR(IF(($CU358)&gt;0,($FO358)/($CU358),""),"")</f>
        <v/>
      </c>
      <c r="GE358" s="56">
        <f>IFERROR(IF(($CV358)&gt;0,($FP358)/($CV358),""),"")</f>
        <v/>
      </c>
      <c r="GF358" s="56">
        <f>IFERROR(IF(($CW358)&gt;0,($FQ358)/($CW358),""),"")</f>
        <v/>
      </c>
      <c r="GG358" s="79">
        <f>IFERROR(IF(($CU358)&gt;0,($FR358)/($CU358),""),"")</f>
        <v/>
      </c>
      <c r="GH358" s="79">
        <f>IFERROR(IF(($CV358)&gt;0,($FS358)/($CV358),""),"")</f>
        <v/>
      </c>
      <c r="GI358" s="79">
        <f>IFERROR(IF(($CW358)&gt;0,($FT358)/($CW358),""),"")</f>
        <v/>
      </c>
      <c r="GJ358" s="56">
        <f>IFERROR(IF(($CU358)&gt;0,($FU358)/($CU358),""),"")</f>
        <v/>
      </c>
      <c r="GK358" s="56">
        <f>IFERROR(IF(($CV358)&gt;0,($FV358)/($CV358),""),"")</f>
        <v/>
      </c>
      <c r="GL358" s="56">
        <f>IFERROR(IF(($CW358)&gt;0,($FW358)/($CW358),""),"")</f>
        <v/>
      </c>
      <c r="GM358" s="55">
        <f>IF(SUMIFS(tblPlant[GIC_oz],tblPlant[Date],$A358)&gt;0,SUMIFS(tblPlant[GIC_oz],tblPlant[Date],$A358),"")</f>
        <v/>
      </c>
      <c r="GN358" s="55">
        <f>SUMIFS(tblGold[Gold_oz],tblGold[Date],$A358,tblGold[Type],"Shipment")</f>
        <v/>
      </c>
      <c r="GO358" s="55">
        <f>IF($B358=$B357,$GO357,0)+$GN358</f>
        <v/>
      </c>
      <c r="GP358" s="55">
        <f>$GP357+$GN358</f>
        <v/>
      </c>
      <c r="GQ358" s="55">
        <f>SUMIFS(tblGold[Gold_oz],tblGold[Date],$A358,tblGold[Type],"Sale")</f>
        <v/>
      </c>
      <c r="GR358" s="55">
        <f>IF($B358=$B357,$GR357,0)+$GQ358</f>
        <v/>
      </c>
      <c r="GS358" s="55">
        <f>$GS357+$GQ358</f>
        <v/>
      </c>
      <c r="GT358" s="55">
        <f>SUMIFS(tblGold[Dore_kg],tblGold[Date],$A358,tblGold[Type],"Shipment")</f>
        <v/>
      </c>
      <c r="GU358" s="55">
        <f>IF($B358=$B357,$GU357,0)+$GT358</f>
        <v/>
      </c>
      <c r="GV358" s="55">
        <f>$GV357+$GT358</f>
        <v/>
      </c>
      <c r="GW358" s="57">
        <f>SUMIFS(tblSafety[Hours_Total],tblSafety[Date],$A358)</f>
        <v/>
      </c>
      <c r="GX358" s="57">
        <f>IF($B358=$B357,$GX357,0)+$GW358</f>
        <v/>
      </c>
      <c r="GY358" s="57">
        <f>$GY357+$GW358</f>
        <v/>
      </c>
      <c r="GZ358" s="62">
        <f>SUMIFS(tblSafety[Fatality],tblSafety[Date],$A358)</f>
        <v/>
      </c>
      <c r="HA358" s="62">
        <f>IF($B358=$B357,$HA357,0)+$GZ358</f>
        <v/>
      </c>
      <c r="HB358" s="62">
        <f>$HB357+$GZ358</f>
        <v/>
      </c>
      <c r="HC358" s="62">
        <f>SUMIFS(tblSafety[LTI],tblSafety[Date],$A358)</f>
        <v/>
      </c>
      <c r="HD358" s="62">
        <f>IF($B358=$B357,$HD357,0)+$HC358</f>
        <v/>
      </c>
      <c r="HE358" s="62">
        <f>$HE357+$HC358</f>
        <v/>
      </c>
      <c r="HF358" s="62">
        <f>SUMIFS(tblSafety[RWI],tblSafety[Date],$A358)</f>
        <v/>
      </c>
      <c r="HG358" s="62">
        <f>IF($B358=$B357,$HG357,0)+$HF358</f>
        <v/>
      </c>
      <c r="HH358" s="62">
        <f>$HH357+$HF358</f>
        <v/>
      </c>
      <c r="HI358" s="62">
        <f>SUMIFS(tblSafety[MTI],tblSafety[Date],$A358)</f>
        <v/>
      </c>
      <c r="HJ358" s="62">
        <f>IF($B358=$B357,$HJ357,0)+$HI358</f>
        <v/>
      </c>
      <c r="HK358" s="62">
        <f>$HK357+$HI358</f>
        <v/>
      </c>
      <c r="HL358" s="62">
        <f>SUMIFS(tblSafety[FAI],tblSafety[Date],$A358)</f>
        <v/>
      </c>
      <c r="HM358" s="62">
        <f>IF($B358=$B357,$HM357,0)+$HL358</f>
        <v/>
      </c>
      <c r="HN358" s="62">
        <f>$HN357+$HL358</f>
        <v/>
      </c>
      <c r="HO358" s="62">
        <f>SUMIFS(tblSafety[Recordables],tblSafety[Date],$A358)</f>
        <v/>
      </c>
      <c r="HP358" s="62">
        <f>IF($B358=$B357,$HP357,0)+$HO358</f>
        <v/>
      </c>
      <c r="HQ358" s="62">
        <f>$HQ357+$HO358</f>
        <v/>
      </c>
      <c r="HR358" s="62">
        <f>SUMIFS(tblSafety[Near_Miss],tblSafety[Date],$A358)</f>
        <v/>
      </c>
      <c r="HS358" s="62">
        <f>IF($B358=$B357,$HS357,0)+$HR358</f>
        <v/>
      </c>
      <c r="HT358" s="62">
        <f>$HT357+$HR358</f>
        <v/>
      </c>
      <c r="HU358" s="62">
        <f>SUMIFS(tblSafety[Hazard_Reports],tblSafety[Date],$A358)</f>
        <v/>
      </c>
      <c r="HV358" s="62">
        <f>IF($B358=$B357,$HV357,0)+$HU358</f>
        <v/>
      </c>
      <c r="HW358" s="62">
        <f>$HW357+$HU358</f>
        <v/>
      </c>
      <c r="HX358" s="62">
        <f>SUMIFS(tblSafety[HPI],tblSafety[Date],$A358)</f>
        <v/>
      </c>
      <c r="HY358" s="62">
        <f>IF($B358=$B357,$HY357,0)+$HX358</f>
        <v/>
      </c>
      <c r="HZ358" s="62">
        <f>$HZ357+$HX358</f>
        <v/>
      </c>
      <c r="IA358" s="62">
        <f>SUMIFS(tblSafety[Env_Incidents],tblSafety[Date],$A358)</f>
        <v/>
      </c>
      <c r="IB358" s="62">
        <f>IF($B358=$B357,$IB357,0)+$IA358</f>
        <v/>
      </c>
      <c r="IC358" s="62">
        <f>$IC357+$IA358</f>
        <v/>
      </c>
      <c r="ID358" s="62">
        <f>SUMIFS(tblSafety[Community_Incidents],tblSafety[Date],$A358)</f>
        <v/>
      </c>
      <c r="IE358" s="62">
        <f>IF($B358=$B357,$IE357,0)+$ID358</f>
        <v/>
      </c>
      <c r="IF358" s="62">
        <f>$IF357+$ID358</f>
        <v/>
      </c>
      <c r="IG358" s="62">
        <f>SUMIFS(tblSafety[Vehicle_Incidents],tblSafety[Date],$A358)</f>
        <v/>
      </c>
      <c r="IH358" s="62">
        <f>IF($B358=$B357,$IH357,0)+$IG358</f>
        <v/>
      </c>
      <c r="II358" s="62">
        <f>$II357+$IG358</f>
        <v/>
      </c>
      <c r="IJ358" s="62">
        <f>SUMIFS(tblSafety[Toolbox_Talks],tblSafety[Date],$A358)</f>
        <v/>
      </c>
      <c r="IK358" s="62">
        <f>IF($B358=$B357,$IK357,0)+$IJ358</f>
        <v/>
      </c>
      <c r="IL358" s="62">
        <f>$IL357+$IJ358</f>
        <v/>
      </c>
      <c r="IM358" s="62">
        <f>SUMIFS(tblSafety[Inspections],tblSafety[Date],$A358)</f>
        <v/>
      </c>
      <c r="IN358" s="62">
        <f>IF($B358=$B357,$IN357,0)+$IM358</f>
        <v/>
      </c>
      <c r="IO358" s="62">
        <f>$IO357+$IM358</f>
        <v/>
      </c>
      <c r="IP358" s="56">
        <f>IFERROR((SUMIFS(tblSafety[Recordables],tblSafety[Date],"&gt;="&amp;EDATE($E358,-12),tblSafety[Date],"&lt;="&amp;$A358)+SUMIFS(tblSafetyHistory[Recordables],tblSafetyHistory[Month],"&gt;="&amp;EDATE($E358,-12),tblSafetyHistory[Month],"&lt;"&amp;$E358,tblSafetyHistory[Use],1))/(SUMIFS(tblSafety[Hours_Total],tblSafety[Date],"&gt;="&amp;EDATE($E358,-12),tblSafety[Date],"&lt;="&amp;$A358)+SUMIFS(tblSafetyHistory[Hours_Total],tblSafetyHistory[Month],"&gt;="&amp;EDATE($E358,-12),tblSafetyHistory[Month],"&lt;"&amp;$E358,tblSafetyHistory[Use],1))*cfg_RateBasisHours,"")</f>
        <v/>
      </c>
      <c r="IQ358" s="56">
        <f>IFERROR((SUMIFS(tblSafety[LTI],tblSafety[Date],"&gt;="&amp;EDATE($E358,-12),tblSafety[Date],"&lt;="&amp;$A358)+SUMIFS(tblSafetyHistory[LTI],tblSafetyHistory[Month],"&gt;="&amp;EDATE($E358,-12),tblSafetyHistory[Month],"&lt;"&amp;$E358,tblSafetyHistory[Use],1))/(SUMIFS(tblSafety[Hours_Total],tblSafety[Date],"&gt;="&amp;EDATE($E358,-12),tblSafety[Date],"&lt;="&amp;$A358)+SUMIFS(tblSafetyHistory[Hours_Total],tblSafetyHistory[Month],"&gt;="&amp;EDATE($E358,-12),tblSafetyHistory[Month],"&lt;"&amp;$E358,tblSafetyHistory[Use],1))*cfg_RateBasisHours,"")</f>
        <v/>
      </c>
      <c r="IR358" s="62">
        <f>IF(MAX(N(cfg_PriorLTIDate),_xlfn.MAXIFS(tblSafety[Date],tblSafety[LTI],"&gt;0",tblSafety[Date],"&lt;="&amp;$A358))=0,"",$A358-MAX(N(cfg_PriorLTIDate),_xlfn.MAXIFS(tblSafety[Date],tblSafety[LTI],"&gt;0",tblSafety[Date],"&lt;="&amp;$A358)))</f>
        <v/>
      </c>
      <c r="IS358" s="55">
        <f>SUMIFS(tblBudget[Ore_Mined_t],tblBudget[Month],$E358)</f>
        <v/>
      </c>
      <c r="IT358" s="55">
        <f>$IS358*$C358/$D358</f>
        <v/>
      </c>
      <c r="IU358" s="55">
        <f>SUMIFS(tblBudget[Ore_Mined_t],tblBudget[Month],"&lt;"&amp;$E358)+$IT358</f>
        <v/>
      </c>
      <c r="IV358" s="55">
        <f>SUMIFS(tblBudget[Ore_oz],tblBudget[Month],$E358)</f>
        <v/>
      </c>
      <c r="IW358" s="55">
        <f>$IV358*$C358/$D358</f>
        <v/>
      </c>
      <c r="IX358" s="55">
        <f>SUMIFS(tblBudget[Ore_oz],tblBudget[Month],"&lt;"&amp;$E358)+$IW358</f>
        <v/>
      </c>
      <c r="IY358" s="55">
        <f>SUMIFS(tblBudget[Ore_Mined_t],tblBudget[Month],$E358)</f>
        <v/>
      </c>
      <c r="IZ358" s="55">
        <f>$IY358*$C358/$D358</f>
        <v/>
      </c>
      <c r="JA358" s="55">
        <f>SUMIFS(tblBudget[Ore_Mined_t],tblBudget[Month],"&lt;"&amp;$E358)+$IZ358</f>
        <v/>
      </c>
      <c r="JB358" s="56">
        <f>IFERROR(IF(($IY358)&gt;0,($IV358*cfg_TroyOz)/($IY358),""),"")</f>
        <v/>
      </c>
      <c r="JC358" s="56">
        <f>IFERROR(IF(($IZ358)&gt;0,($IW358*cfg_TroyOz)/($IZ358),""),"")</f>
        <v/>
      </c>
      <c r="JD358" s="56">
        <f>IFERROR(IF(($JA358)&gt;0,($IX358*cfg_TroyOz)/($JA358),""),"")</f>
        <v/>
      </c>
      <c r="JE358" s="55">
        <f>SUMIFS(tblBudget[Waste_t],tblBudget[Month],$E358)</f>
        <v/>
      </c>
      <c r="JF358" s="55">
        <f>$JE358*$C358/$D358</f>
        <v/>
      </c>
      <c r="JG358" s="55">
        <f>SUMIFS(tblBudget[Waste_t],tblBudget[Month],"&lt;"&amp;$E358)+$JF358</f>
        <v/>
      </c>
      <c r="JH358" s="55">
        <f>SUMIFS(tblBudget[TMM_t],tblBudget[Month],$E358)</f>
        <v/>
      </c>
      <c r="JI358" s="55">
        <f>$JH358*$C358/$D358</f>
        <v/>
      </c>
      <c r="JJ358" s="55">
        <f>SUMIFS(tblBudget[TMM_t],tblBudget[Month],"&lt;"&amp;$E358)+$JI358</f>
        <v/>
      </c>
      <c r="JK358" s="56">
        <f>IFERROR(IF(($IS358)&gt;0,($JE358)/($IS358),""),"")</f>
        <v/>
      </c>
      <c r="JL358" s="56">
        <f>IFERROR(IF(($IT358)&gt;0,($JF358)/($IT358),""),"")</f>
        <v/>
      </c>
      <c r="JM358" s="56">
        <f>IFERROR(IF(($IU358)&gt;0,($JG358)/($IU358),""),"")</f>
        <v/>
      </c>
      <c r="JN358" s="55">
        <f>SUMIFS(tblBudget[Drill_m],tblBudget[Month],$E358)</f>
        <v/>
      </c>
      <c r="JO358" s="55">
        <f>$JN358*$C358/$D358</f>
        <v/>
      </c>
      <c r="JP358" s="55">
        <f>SUMIFS(tblBudget[Drill_m],tblBudget[Month],"&lt;"&amp;$E358)+$JO358</f>
        <v/>
      </c>
      <c r="JQ358" s="55">
        <f>SUMIFS(tblBudget[Diesel_L],tblBudget[Month],$E358)</f>
        <v/>
      </c>
      <c r="JR358" s="55">
        <f>$JQ358*$C358/$D358</f>
        <v/>
      </c>
      <c r="JS358" s="55">
        <f>SUMIFS(tblBudget[Diesel_L],tblBudget[Month],"&lt;"&amp;$E358)+$JR358</f>
        <v/>
      </c>
      <c r="JT358" s="55">
        <f>SUMIFS(tblBudget[Milled_t],tblBudget[Month],$E358)</f>
        <v/>
      </c>
      <c r="JU358" s="55">
        <f>$JT358*$C358/$D358</f>
        <v/>
      </c>
      <c r="JV358" s="55">
        <f>SUMIFS(tblBudget[Milled_t],tblBudget[Month],"&lt;"&amp;$E358)+$JU358</f>
        <v/>
      </c>
      <c r="JW358" s="55">
        <f>SUMIFS(tblBudget[Feed_oz],tblBudget[Month],$E358)</f>
        <v/>
      </c>
      <c r="JX358" s="55">
        <f>$JW358*$C358/$D358</f>
        <v/>
      </c>
      <c r="JY358" s="55">
        <f>SUMIFS(tblBudget[Feed_oz],tblBudget[Month],"&lt;"&amp;$E358)+$JX358</f>
        <v/>
      </c>
      <c r="JZ358" s="55">
        <f>SUMIFS(tblBudget[Recovered_oz],tblBudget[Month],$E358)</f>
        <v/>
      </c>
      <c r="KA358" s="55">
        <f>$JZ358*$C358/$D358</f>
        <v/>
      </c>
      <c r="KB358" s="55">
        <f>SUMIFS(tblBudget[Recovered_oz],tblBudget[Month],"&lt;"&amp;$E358)+$KA358</f>
        <v/>
      </c>
      <c r="KC358" s="55">
        <f>SUMIFS(tblBudget[Milled_t],tblBudget[Month],$E358)</f>
        <v/>
      </c>
      <c r="KD358" s="55">
        <f>$KC358*$C358/$D358</f>
        <v/>
      </c>
      <c r="KE358" s="55">
        <f>SUMIFS(tblBudget[Milled_t],tblBudget[Month],"&lt;"&amp;$E358)+$KD358</f>
        <v/>
      </c>
      <c r="KF358" s="55">
        <f>SUMIFS(tblBudget[Feed_oz],tblBudget[Month],$E358)</f>
        <v/>
      </c>
      <c r="KG358" s="55">
        <f>$KF358*$C358/$D358</f>
        <v/>
      </c>
      <c r="KH358" s="55">
        <f>SUMIFS(tblBudget[Feed_oz],tblBudget[Month],"&lt;"&amp;$E358)+$KG358</f>
        <v/>
      </c>
      <c r="KI358" s="56">
        <f>IFERROR(IF(($KC358)&gt;0,($JW358*cfg_TroyOz)/($KC358),""),"")</f>
        <v/>
      </c>
      <c r="KJ358" s="56">
        <f>IFERROR(IF(($KD358)&gt;0,($JX358*cfg_TroyOz)/($KD358),""),"")</f>
        <v/>
      </c>
      <c r="KK358" s="56">
        <f>IFERROR(IF(($KE358)&gt;0,($JY358*cfg_TroyOz)/($KE358),""),"")</f>
        <v/>
      </c>
      <c r="KL358" s="67">
        <f>IFERROR(IF(($KF358)&gt;0,($JZ358)/($KF358),""),"")</f>
        <v/>
      </c>
      <c r="KM358" s="67">
        <f>IFERROR(IF(($KG358)&gt;0,($KA358)/($KG358),""),"")</f>
        <v/>
      </c>
      <c r="KN358" s="67">
        <f>IFERROR(IF(($KH358)&gt;0,($KB358)/($KH358),""),"")</f>
        <v/>
      </c>
      <c r="KO358" s="55">
        <f>SUMIFS(tblBudget[Gold_Poured_oz],tblBudget[Month],$E358)</f>
        <v/>
      </c>
      <c r="KP358" s="55">
        <f>$KO358*$C358/$D358</f>
        <v/>
      </c>
      <c r="KQ358" s="55">
        <f>SUMIFS(tblBudget[Gold_Poured_oz],tblBudget[Month],"&lt;"&amp;$E358)+$KP358</f>
        <v/>
      </c>
      <c r="KR358" s="57">
        <f>SUMIFS(tblBudget[Hours_Worked],tblBudget[Month],$E358)</f>
        <v/>
      </c>
      <c r="KS358" s="57">
        <f>$KR358*$C358/$D358</f>
        <v/>
      </c>
      <c r="KT358" s="57">
        <f>SUMIFS(tblBudget[Hours_Worked],tblBudget[Month],"&lt;"&amp;$E358)+$KS358</f>
        <v/>
      </c>
    </row>
    <row r="359">
      <c r="A359" s="54" t="n">
        <v>46380</v>
      </c>
      <c r="B359">
        <f>MONTH($A359)</f>
        <v/>
      </c>
      <c r="C359">
        <f>DAY($A359)</f>
        <v/>
      </c>
      <c r="D359">
        <f>DAY(EOMONTH($A359,0))</f>
        <v/>
      </c>
      <c r="E359" s="54">
        <f>DATE(YEAR($A359),MONTH($A359),1)</f>
        <v/>
      </c>
      <c r="F359" s="55">
        <f>SUMIFS(tblMovement[Tonnes_t],tblMovement[Date],$A359,tblMovement[Is_Ore],1,tblMovement[Source_Type],"Pit")</f>
        <v/>
      </c>
      <c r="G359" s="55">
        <f>IF($B359=$B358,$G358,0)+$F359</f>
        <v/>
      </c>
      <c r="H359" s="55">
        <f>$H358+$F359</f>
        <v/>
      </c>
      <c r="I359" s="55">
        <f>SUMIFS(tblMovement[Ore_oz],tblMovement[Date],$A359,tblMovement[Source_Type],"Pit")</f>
        <v/>
      </c>
      <c r="J359" s="55">
        <f>IF($B359=$B358,$J358,0)+$I359</f>
        <v/>
      </c>
      <c r="K359" s="55">
        <f>$K358+$I359</f>
        <v/>
      </c>
      <c r="L359" s="55">
        <f>SUMIFS(tblMovement[Tonnes_t],tblMovement[Date],$A359,tblMovement[Is_Ore],1,tblMovement[Source_Type],"Pit",tblMovement[Grade_gpt],"&lt;&gt;")</f>
        <v/>
      </c>
      <c r="M359" s="55">
        <f>IF($B359=$B358,$M358,0)+$L359</f>
        <v/>
      </c>
      <c r="N359" s="55">
        <f>$N358+$L359</f>
        <v/>
      </c>
      <c r="O359" s="56">
        <f>IFERROR(IF(($L359)&gt;0,($I359*cfg_TroyOz)/($L359),""),"")</f>
        <v/>
      </c>
      <c r="P359" s="56">
        <f>IFERROR(IF(($M359)&gt;0,($J359*cfg_TroyOz)/($M359),""),"")</f>
        <v/>
      </c>
      <c r="Q359" s="56">
        <f>IFERROR(IF(($N359)&gt;0,($K359*cfg_TroyOz)/($N359),""),"")</f>
        <v/>
      </c>
      <c r="R359" s="55">
        <f>$F359-$L359</f>
        <v/>
      </c>
      <c r="S359" s="55">
        <f>IF($B359=$B358,$S358,0)+$R359</f>
        <v/>
      </c>
      <c r="T359" s="55">
        <f>$T358+$R359</f>
        <v/>
      </c>
      <c r="U359" s="55">
        <f>SUMIFS(tblMovement[Tonnes_t],tblMovement[Date],$A359,tblMovement[Is_Ore],0,tblMovement[Source_Type],"Pit")</f>
        <v/>
      </c>
      <c r="V359" s="55">
        <f>IF($B359=$B358,$V358,0)+$U359</f>
        <v/>
      </c>
      <c r="W359" s="55">
        <f>$W358+$U359</f>
        <v/>
      </c>
      <c r="X359" s="55">
        <f>$F359+$U359</f>
        <v/>
      </c>
      <c r="Y359" s="55">
        <f>IF($B359=$B358,$Y358,0)+$X359</f>
        <v/>
      </c>
      <c r="Z359" s="55">
        <f>$Z358+$X359</f>
        <v/>
      </c>
      <c r="AA359" s="56">
        <f>IFERROR(IF(($F359)&gt;0,($U359)/($F359),""),"")</f>
        <v/>
      </c>
      <c r="AB359" s="56">
        <f>IFERROR(IF(($G359)&gt;0,($V359)/($G359),""),"")</f>
        <v/>
      </c>
      <c r="AC359" s="56">
        <f>IFERROR(IF(($H359)&gt;0,($W359)/($H359),""),"")</f>
        <v/>
      </c>
      <c r="AD359" s="55">
        <f>SUMIFS(tblMovement[Tonnes_t],tblMovement[Date],$A359,tblMovement[Source_Type],"Stockpile")</f>
        <v/>
      </c>
      <c r="AE359" s="55">
        <f>IF($B359=$B358,$AE358,0)+$AD359</f>
        <v/>
      </c>
      <c r="AF359" s="55">
        <f>$AF358+$AD359</f>
        <v/>
      </c>
      <c r="AG359" s="55">
        <f>SUMIFS(tblMovement[Tonnes_t],tblMovement[Date],$A359)</f>
        <v/>
      </c>
      <c r="AH359" s="55">
        <f>IF($B359=$B358,$AH358,0)+$AG359</f>
        <v/>
      </c>
      <c r="AI359" s="55">
        <f>$AI358+$AG359</f>
        <v/>
      </c>
      <c r="AJ359" s="55">
        <f>$AG359-$X359-$AD359</f>
        <v/>
      </c>
      <c r="AK359" s="55">
        <f>IF($B359=$B358,$AK358,0)+$AJ359</f>
        <v/>
      </c>
      <c r="AL359" s="55">
        <f>$AL358+$AJ359</f>
        <v/>
      </c>
      <c r="AM359" s="55">
        <f>SUMIFS(tblMiningDaily[Drill_m],tblMiningDaily[Date],$A359)</f>
        <v/>
      </c>
      <c r="AN359" s="55">
        <f>IF($B359=$B358,$AN358,0)+$AM359</f>
        <v/>
      </c>
      <c r="AO359" s="55">
        <f>$AO358+$AM359</f>
        <v/>
      </c>
      <c r="AP359" s="55">
        <f>SUMIFS(tblMiningDaily[GC_Drill_m],tblMiningDaily[Date],$A359)</f>
        <v/>
      </c>
      <c r="AQ359" s="55">
        <f>IF($B359=$B358,$AQ358,0)+$AP359</f>
        <v/>
      </c>
      <c r="AR359" s="55">
        <f>$AR358+$AP359</f>
        <v/>
      </c>
      <c r="AS359" s="55">
        <f>SUMIFS(tblMiningDaily[Blast_t],tblMiningDaily[Date],$A359)</f>
        <v/>
      </c>
      <c r="AT359" s="55">
        <f>IF($B359=$B358,$AT358,0)+$AS359</f>
        <v/>
      </c>
      <c r="AU359" s="55">
        <f>$AU358+$AS359</f>
        <v/>
      </c>
      <c r="AV359" s="55">
        <f>SUMIFS(tblMiningDaily[Explosives_kg],tblMiningDaily[Date],$A359)</f>
        <v/>
      </c>
      <c r="AW359" s="55">
        <f>IF($B359=$B358,$AW358,0)+$AV359</f>
        <v/>
      </c>
      <c r="AX359" s="55">
        <f>$AX358+$AV359</f>
        <v/>
      </c>
      <c r="AY359" s="56">
        <f>IFERROR(IF(($AS359)&gt;0,($AV359)/($AS359),""),"")</f>
        <v/>
      </c>
      <c r="AZ359" s="56">
        <f>IFERROR(IF(($AT359)&gt;0,($AW359)/($AT359),""),"")</f>
        <v/>
      </c>
      <c r="BA359" s="56">
        <f>IFERROR(IF(($AU359)&gt;0,($AX359)/($AU359),""),"")</f>
        <v/>
      </c>
      <c r="BB359" s="55">
        <f>SUMIFS(tblMiningDaily[Diesel_L],tblMiningDaily[Date],$A359)</f>
        <v/>
      </c>
      <c r="BC359" s="55">
        <f>IF($B359=$B358,$BC358,0)+$BB359</f>
        <v/>
      </c>
      <c r="BD359" s="55">
        <f>$BD358+$BB359</f>
        <v/>
      </c>
      <c r="BE359" s="55">
        <f>SUMIFS(tblMiningDaily[Dewatering_m3],tblMiningDaily[Date],$A359)</f>
        <v/>
      </c>
      <c r="BF359" s="55">
        <f>IF($B359=$B358,$BF358,0)+$BE359</f>
        <v/>
      </c>
      <c r="BG359" s="55">
        <f>$BG358+$BE359</f>
        <v/>
      </c>
      <c r="BH359" s="57">
        <f>SUMIFS(tblFleet[Calendar_h],tblFleet[Date],$A359,tblFleet[Equipment_Class],"Excavator")</f>
        <v/>
      </c>
      <c r="BI359" s="57">
        <f>IF($B359=$B358,$BI358,0)+$BH359</f>
        <v/>
      </c>
      <c r="BJ359" s="57">
        <f>$BJ358+$BH359</f>
        <v/>
      </c>
      <c r="BK359" s="57">
        <f>SUMIFS(tblFleet[Available_h],tblFleet[Date],$A359,tblFleet[Equipment_Class],"Excavator")</f>
        <v/>
      </c>
      <c r="BL359" s="57">
        <f>IF($B359=$B358,$BL358,0)+$BK359</f>
        <v/>
      </c>
      <c r="BM359" s="57">
        <f>$BM358+$BK359</f>
        <v/>
      </c>
      <c r="BN359" s="57">
        <f>SUMIFS(tblFleet[Operating_h],tblFleet[Date],$A359,tblFleet[Equipment_Class],"Excavator")</f>
        <v/>
      </c>
      <c r="BO359" s="57">
        <f>IF($B359=$B358,$BO358,0)+$BN359</f>
        <v/>
      </c>
      <c r="BP359" s="57">
        <f>$BP358+$BN359</f>
        <v/>
      </c>
      <c r="BQ359" s="67">
        <f>IFERROR(IF(($BH359)&gt;0,($BK359)/($BH359),""),"")</f>
        <v/>
      </c>
      <c r="BR359" s="67">
        <f>IFERROR(IF(($BI359)&gt;0,($BL359)/($BI359),""),"")</f>
        <v/>
      </c>
      <c r="BS359" s="67">
        <f>IFERROR(IF(($BJ359)&gt;0,($BM359)/($BJ359),""),"")</f>
        <v/>
      </c>
      <c r="BT359" s="67">
        <f>IFERROR(IF(($BK359)&gt;0,($BN359)/($BK359),""),"")</f>
        <v/>
      </c>
      <c r="BU359" s="67">
        <f>IFERROR(IF(($BL359)&gt;0,($BO359)/($BL359),""),"")</f>
        <v/>
      </c>
      <c r="BV359" s="67">
        <f>IFERROR(IF(($BM359)&gt;0,($BP359)/($BM359),""),"")</f>
        <v/>
      </c>
      <c r="BW359" s="57">
        <f>SUMIFS(tblFleet[Calendar_h],tblFleet[Date],$A359,tblFleet[Equipment_Class],"Haul Truck")</f>
        <v/>
      </c>
      <c r="BX359" s="57">
        <f>IF($B359=$B358,$BX358,0)+$BW359</f>
        <v/>
      </c>
      <c r="BY359" s="57">
        <f>$BY358+$BW359</f>
        <v/>
      </c>
      <c r="BZ359" s="57">
        <f>SUMIFS(tblFleet[Available_h],tblFleet[Date],$A359,tblFleet[Equipment_Class],"Haul Truck")</f>
        <v/>
      </c>
      <c r="CA359" s="57">
        <f>IF($B359=$B358,$CA358,0)+$BZ359</f>
        <v/>
      </c>
      <c r="CB359" s="57">
        <f>$CB358+$BZ359</f>
        <v/>
      </c>
      <c r="CC359" s="57">
        <f>SUMIFS(tblFleet[Operating_h],tblFleet[Date],$A359,tblFleet[Equipment_Class],"Haul Truck")</f>
        <v/>
      </c>
      <c r="CD359" s="57">
        <f>IF($B359=$B358,$CD358,0)+$CC359</f>
        <v/>
      </c>
      <c r="CE359" s="57">
        <f>$CE358+$CC359</f>
        <v/>
      </c>
      <c r="CF359" s="67">
        <f>IFERROR(IF(($BW359)&gt;0,($BZ359)/($BW359),""),"")</f>
        <v/>
      </c>
      <c r="CG359" s="67">
        <f>IFERROR(IF(($BX359)&gt;0,($CA359)/($BX359),""),"")</f>
        <v/>
      </c>
      <c r="CH359" s="67">
        <f>IFERROR(IF(($BY359)&gt;0,($CB359)/($BY359),""),"")</f>
        <v/>
      </c>
      <c r="CI359" s="67">
        <f>IFERROR(IF(($BZ359)&gt;0,($CC359)/($BZ359),""),"")</f>
        <v/>
      </c>
      <c r="CJ359" s="67">
        <f>IFERROR(IF(($CA359)&gt;0,($CD359)/($CA359),""),"")</f>
        <v/>
      </c>
      <c r="CK359" s="67">
        <f>IFERROR(IF(($CB359)&gt;0,($CE359)/($CB359),""),"")</f>
        <v/>
      </c>
      <c r="CL359" s="55">
        <f>IFERROR(IF(($BN359)&gt;0,($X359+$AD359)/($BN359),""),"")</f>
        <v/>
      </c>
      <c r="CM359" s="55">
        <f>IFERROR(IF(($BO359)&gt;0,($Y359+$AE359)/($BO359),""),"")</f>
        <v/>
      </c>
      <c r="CN359" s="55">
        <f>IFERROR(IF(($BP359)&gt;0,($Z359+$AF359)/($BP359),""),"")</f>
        <v/>
      </c>
      <c r="CO359" s="55">
        <f>IFERROR(IF(($CC359)&gt;0,($X359+$AD359)/($CC359),""),"")</f>
        <v/>
      </c>
      <c r="CP359" s="55">
        <f>IFERROR(IF(($CD359)&gt;0,($Y359+$AE359)/($CD359),""),"")</f>
        <v/>
      </c>
      <c r="CQ359" s="55">
        <f>IFERROR(IF(($CE359)&gt;0,($Z359+$AF359)/($CE359),""),"")</f>
        <v/>
      </c>
      <c r="CR359" s="55">
        <f>SUMIFS(tblPlant[Crushed_t],tblPlant[Date],$A359)</f>
        <v/>
      </c>
      <c r="CS359" s="55">
        <f>IF($B359=$B358,$CS358,0)+$CR359</f>
        <v/>
      </c>
      <c r="CT359" s="55">
        <f>$CT358+$CR359</f>
        <v/>
      </c>
      <c r="CU359" s="55">
        <f>SUMIFS(tblPlant[Milled_t],tblPlant[Date],$A359)</f>
        <v/>
      </c>
      <c r="CV359" s="55">
        <f>IF($B359=$B358,$CV358,0)+$CU359</f>
        <v/>
      </c>
      <c r="CW359" s="55">
        <f>$CW358+$CU359</f>
        <v/>
      </c>
      <c r="CX359" s="55">
        <f>SUMIFS(tblPlant[Feed_oz],tblPlant[Date],$A359)</f>
        <v/>
      </c>
      <c r="CY359" s="55">
        <f>IF($B359=$B358,$CY358,0)+$CX359</f>
        <v/>
      </c>
      <c r="CZ359" s="55">
        <f>$CZ358+$CX359</f>
        <v/>
      </c>
      <c r="DA359" s="55">
        <f>SUMIFS(tblPlant[Tails_oz],tblPlant[Date],$A359)</f>
        <v/>
      </c>
      <c r="DB359" s="55">
        <f>IF($B359=$B358,$DB358,0)+$DA359</f>
        <v/>
      </c>
      <c r="DC359" s="55">
        <f>$DC358+$DA359</f>
        <v/>
      </c>
      <c r="DD359" s="55">
        <f>SUMIFS(tblPlant[Recovered_oz],tblPlant[Date],$A359)</f>
        <v/>
      </c>
      <c r="DE359" s="55">
        <f>IF($B359=$B358,$DE358,0)+$DD359</f>
        <v/>
      </c>
      <c r="DF359" s="55">
        <f>$DF358+$DD359</f>
        <v/>
      </c>
      <c r="DG359" s="55">
        <f>SUMIFS(tblPlant[Milled_t],tblPlant[Date],$A359,tblPlant[Head_Grade_gpt],"&lt;&gt;")</f>
        <v/>
      </c>
      <c r="DH359" s="55">
        <f>IF($B359=$B358,$DH358,0)+$DG359</f>
        <v/>
      </c>
      <c r="DI359" s="55">
        <f>$DI358+$DG359</f>
        <v/>
      </c>
      <c r="DJ359" s="55">
        <f>SUMIFS(tblPlant[Milled_t],tblPlant[Date],$A359,tblPlant[Tails_Grade_gpt],"&lt;&gt;")</f>
        <v/>
      </c>
      <c r="DK359" s="55">
        <f>IF($B359=$B358,$DK358,0)+$DJ359</f>
        <v/>
      </c>
      <c r="DL359" s="55">
        <f>$DL358+$DJ359</f>
        <v/>
      </c>
      <c r="DM359" s="55">
        <f>SUMIFS(tblPlant[Feed_oz],tblPlant[Date],$A359,tblPlant[Tails_Grade_gpt],"&lt;&gt;")</f>
        <v/>
      </c>
      <c r="DN359" s="55">
        <f>IF($B359=$B358,$DN358,0)+$DM359</f>
        <v/>
      </c>
      <c r="DO359" s="55">
        <f>$DO358+$DM359</f>
        <v/>
      </c>
      <c r="DP359" s="55">
        <f>SUMIFS(tblPlant[Milled_t],tblPlant[Date],$A359,tblPlant[Mill_Run_h],"&lt;&gt;")</f>
        <v/>
      </c>
      <c r="DQ359" s="55">
        <f>IF($B359=$B358,$DQ358,0)+$DP359</f>
        <v/>
      </c>
      <c r="DR359" s="55">
        <f>$DR358+$DP359</f>
        <v/>
      </c>
      <c r="DS359" s="56">
        <f>IFERROR(IF(($DG359)&gt;0,($CX359*cfg_TroyOz)/($DG359),""),"")</f>
        <v/>
      </c>
      <c r="DT359" s="56">
        <f>IFERROR(IF(($DH359)&gt;0,($CY359*cfg_TroyOz)/($DH359),""),"")</f>
        <v/>
      </c>
      <c r="DU359" s="56">
        <f>IFERROR(IF(($DI359)&gt;0,($CZ359*cfg_TroyOz)/($DI359),""),"")</f>
        <v/>
      </c>
      <c r="DV359" s="56">
        <f>IFERROR(IF(($DJ359)&gt;0,($DA359*cfg_TroyOz)/($DJ359),""),"")</f>
        <v/>
      </c>
      <c r="DW359" s="56">
        <f>IFERROR(IF(($DK359)&gt;0,($DB359*cfg_TroyOz)/($DK359),""),"")</f>
        <v/>
      </c>
      <c r="DX359" s="56">
        <f>IFERROR(IF(($DL359)&gt;0,($DC359*cfg_TroyOz)/($DL359),""),"")</f>
        <v/>
      </c>
      <c r="DY359" s="67">
        <f>IFERROR(IF(($DM359)&gt;0,($DD359)/($DM359),""),"")</f>
        <v/>
      </c>
      <c r="DZ359" s="67">
        <f>IFERROR(IF(($DN359)&gt;0,($DE359)/($DN359),""),"")</f>
        <v/>
      </c>
      <c r="EA359" s="67">
        <f>IFERROR(IF(($DO359)&gt;0,($DF359)/($DO359),""),"")</f>
        <v/>
      </c>
      <c r="EB359" s="55">
        <f>SUMIFS(tblPlant[Gravity_Gold_oz],tblPlant[Date],$A359)</f>
        <v/>
      </c>
      <c r="EC359" s="55">
        <f>IF($B359=$B358,$EC358,0)+$EB359</f>
        <v/>
      </c>
      <c r="ED359" s="55">
        <f>$ED358+$EB359</f>
        <v/>
      </c>
      <c r="EE359" s="67">
        <f>IFERROR(IF(($DD359)&gt;0,($EB359)/($DD359),""),"")</f>
        <v/>
      </c>
      <c r="EF359" s="67">
        <f>IFERROR(IF(($DE359)&gt;0,($EC359)/($DE359),""),"")</f>
        <v/>
      </c>
      <c r="EG359" s="67">
        <f>IFERROR(IF(($DF359)&gt;0,($ED359)/($DF359),""),"")</f>
        <v/>
      </c>
      <c r="EH359" s="55">
        <f>SUMIFS(tblPlant[Gold_Poured_oz],tblPlant[Date],$A359)</f>
        <v/>
      </c>
      <c r="EI359" s="55">
        <f>IF($B359=$B358,$EI358,0)+$EH359</f>
        <v/>
      </c>
      <c r="EJ359" s="55">
        <f>$EJ358+$EH359</f>
        <v/>
      </c>
      <c r="EK359" s="57">
        <f>SUMIFS(tblPlant[Mill_Run_h],tblPlant[Date],$A359)</f>
        <v/>
      </c>
      <c r="EL359" s="57">
        <f>IF($B359=$B358,$EL358,0)+$EK359</f>
        <v/>
      </c>
      <c r="EM359" s="57">
        <f>$EM358+$EK359</f>
        <v/>
      </c>
      <c r="EN359" s="57">
        <f>SUMIFS(tblPlant[Mill_Planned_Maint_h],tblPlant[Date],$A359)</f>
        <v/>
      </c>
      <c r="EO359" s="57">
        <f>IF($B359=$B358,$EO358,0)+$EN359</f>
        <v/>
      </c>
      <c r="EP359" s="57">
        <f>$EP358+$EN359</f>
        <v/>
      </c>
      <c r="EQ359" s="57">
        <f>SUMIFS(tblPlant[Mill_Unplanned_Down_h],tblPlant[Date],$A359)</f>
        <v/>
      </c>
      <c r="ER359" s="57">
        <f>IF($B359=$B358,$ER358,0)+$EQ359</f>
        <v/>
      </c>
      <c r="ES359" s="57">
        <f>$ES358+$EQ359</f>
        <v/>
      </c>
      <c r="ET359" s="57">
        <f>IF(COUNTIFS(tblPlant[Date],$A359,tblPlant[Mill_Run_h],"&lt;&gt;")+COUNTIFS(tblPlant[Date],$A359,tblPlant[Mill_Planned_Maint_h],"&lt;&gt;")+COUNTIFS(tblPlant[Date],$A359,tblPlant[Mill_Unplanned_Down_h],"&lt;&gt;")&gt;0,cfg_HoursPerDay,0)</f>
        <v/>
      </c>
      <c r="EU359" s="57">
        <f>IF($B359=$B358,$EU358,0)+$ET359</f>
        <v/>
      </c>
      <c r="EV359" s="57">
        <f>$EV358+$ET359</f>
        <v/>
      </c>
      <c r="EW359" s="57">
        <f>SUMIFS(tblPlant[Crusher_Run_h],tblPlant[Date],$A359)</f>
        <v/>
      </c>
      <c r="EX359" s="57">
        <f>IF($B359=$B358,$EX358,0)+$EW359</f>
        <v/>
      </c>
      <c r="EY359" s="57">
        <f>$EY358+$EW359</f>
        <v/>
      </c>
      <c r="EZ359" s="55">
        <f>IFERROR(IF(($EK359)&gt;0,($DP359)/($EK359),""),"")</f>
        <v/>
      </c>
      <c r="FA359" s="55">
        <f>IFERROR(IF(($EL359)&gt;0,($DQ359)/($EL359),""),"")</f>
        <v/>
      </c>
      <c r="FB359" s="55">
        <f>IFERROR(IF(($EM359)&gt;0,($DR359)/($EM359),""),"")</f>
        <v/>
      </c>
      <c r="FC359" s="67">
        <f>IFERROR(IF(($ET359)&gt;0,($ET359-$EN359-$EQ359)/($ET359),""),"")</f>
        <v/>
      </c>
      <c r="FD359" s="67">
        <f>IFERROR(IF(($EU359)&gt;0,($EU359-$EO359-$ER359)/($EU359),""),"")</f>
        <v/>
      </c>
      <c r="FE359" s="67">
        <f>IFERROR(IF(($EV359)&gt;0,($EV359-$EP359-$ES359)/($EV359),""),"")</f>
        <v/>
      </c>
      <c r="FF359" s="67">
        <f>IFERROR(IF(($ET359-$EN359-$EQ359)&gt;0,($EK359)/($ET359-$EN359-$EQ359),""),"")</f>
        <v/>
      </c>
      <c r="FG359" s="67">
        <f>IFERROR(IF(($EU359-$EO359-$ER359)&gt;0,($EL359)/($EU359-$EO359-$ER359),""),"")</f>
        <v/>
      </c>
      <c r="FH359" s="67">
        <f>IFERROR(IF(($EV359-$EP359-$ES359)&gt;0,($EM359)/($EV359-$EP359-$ES359),""),"")</f>
        <v/>
      </c>
      <c r="FI359" s="55">
        <f>SUMIFS(tblPlant[Cyanide_kg],tblPlant[Date],$A359)</f>
        <v/>
      </c>
      <c r="FJ359" s="55">
        <f>IF($B359=$B358,$FJ358,0)+$FI359</f>
        <v/>
      </c>
      <c r="FK359" s="55">
        <f>$FK358+$FI359</f>
        <v/>
      </c>
      <c r="FL359" s="55">
        <f>SUMIFS(tblPlant[Lime_kg],tblPlant[Date],$A359)</f>
        <v/>
      </c>
      <c r="FM359" s="55">
        <f>IF($B359=$B358,$FM358,0)+$FL359</f>
        <v/>
      </c>
      <c r="FN359" s="55">
        <f>$FN358+$FL359</f>
        <v/>
      </c>
      <c r="FO359" s="55">
        <f>SUMIFS(tblPlant[Grinding_Media_kg],tblPlant[Date],$A359)</f>
        <v/>
      </c>
      <c r="FP359" s="55">
        <f>IF($B359=$B358,$FP358,0)+$FO359</f>
        <v/>
      </c>
      <c r="FQ359" s="55">
        <f>$FQ358+$FO359</f>
        <v/>
      </c>
      <c r="FR359" s="55">
        <f>SUMIFS(tblPlant[Power_kWh],tblPlant[Date],$A359)</f>
        <v/>
      </c>
      <c r="FS359" s="55">
        <f>IF($B359=$B358,$FS358,0)+$FR359</f>
        <v/>
      </c>
      <c r="FT359" s="55">
        <f>$FT358+$FR359</f>
        <v/>
      </c>
      <c r="FU359" s="55">
        <f>SUMIFS(tblPlant[Raw_Water_m3],tblPlant[Date],$A359)</f>
        <v/>
      </c>
      <c r="FV359" s="55">
        <f>IF($B359=$B358,$FV358,0)+$FU359</f>
        <v/>
      </c>
      <c r="FW359" s="55">
        <f>$FW358+$FU359</f>
        <v/>
      </c>
      <c r="FX359" s="56">
        <f>IFERROR(IF(($CU359)&gt;0,($FI359)/($CU359),""),"")</f>
        <v/>
      </c>
      <c r="FY359" s="56">
        <f>IFERROR(IF(($CV359)&gt;0,($FJ359)/($CV359),""),"")</f>
        <v/>
      </c>
      <c r="FZ359" s="56">
        <f>IFERROR(IF(($CW359)&gt;0,($FK359)/($CW359),""),"")</f>
        <v/>
      </c>
      <c r="GA359" s="56">
        <f>IFERROR(IF(($CU359)&gt;0,($FL359)/($CU359),""),"")</f>
        <v/>
      </c>
      <c r="GB359" s="56">
        <f>IFERROR(IF(($CV359)&gt;0,($FM359)/($CV359),""),"")</f>
        <v/>
      </c>
      <c r="GC359" s="56">
        <f>IFERROR(IF(($CW359)&gt;0,($FN359)/($CW359),""),"")</f>
        <v/>
      </c>
      <c r="GD359" s="56">
        <f>IFERROR(IF(($CU359)&gt;0,($FO359)/($CU359),""),"")</f>
        <v/>
      </c>
      <c r="GE359" s="56">
        <f>IFERROR(IF(($CV359)&gt;0,($FP359)/($CV359),""),"")</f>
        <v/>
      </c>
      <c r="GF359" s="56">
        <f>IFERROR(IF(($CW359)&gt;0,($FQ359)/($CW359),""),"")</f>
        <v/>
      </c>
      <c r="GG359" s="79">
        <f>IFERROR(IF(($CU359)&gt;0,($FR359)/($CU359),""),"")</f>
        <v/>
      </c>
      <c r="GH359" s="79">
        <f>IFERROR(IF(($CV359)&gt;0,($FS359)/($CV359),""),"")</f>
        <v/>
      </c>
      <c r="GI359" s="79">
        <f>IFERROR(IF(($CW359)&gt;0,($FT359)/($CW359),""),"")</f>
        <v/>
      </c>
      <c r="GJ359" s="56">
        <f>IFERROR(IF(($CU359)&gt;0,($FU359)/($CU359),""),"")</f>
        <v/>
      </c>
      <c r="GK359" s="56">
        <f>IFERROR(IF(($CV359)&gt;0,($FV359)/($CV359),""),"")</f>
        <v/>
      </c>
      <c r="GL359" s="56">
        <f>IFERROR(IF(($CW359)&gt;0,($FW359)/($CW359),""),"")</f>
        <v/>
      </c>
      <c r="GM359" s="55">
        <f>IF(SUMIFS(tblPlant[GIC_oz],tblPlant[Date],$A359)&gt;0,SUMIFS(tblPlant[GIC_oz],tblPlant[Date],$A359),"")</f>
        <v/>
      </c>
      <c r="GN359" s="55">
        <f>SUMIFS(tblGold[Gold_oz],tblGold[Date],$A359,tblGold[Type],"Shipment")</f>
        <v/>
      </c>
      <c r="GO359" s="55">
        <f>IF($B359=$B358,$GO358,0)+$GN359</f>
        <v/>
      </c>
      <c r="GP359" s="55">
        <f>$GP358+$GN359</f>
        <v/>
      </c>
      <c r="GQ359" s="55">
        <f>SUMIFS(tblGold[Gold_oz],tblGold[Date],$A359,tblGold[Type],"Sale")</f>
        <v/>
      </c>
      <c r="GR359" s="55">
        <f>IF($B359=$B358,$GR358,0)+$GQ359</f>
        <v/>
      </c>
      <c r="GS359" s="55">
        <f>$GS358+$GQ359</f>
        <v/>
      </c>
      <c r="GT359" s="55">
        <f>SUMIFS(tblGold[Dore_kg],tblGold[Date],$A359,tblGold[Type],"Shipment")</f>
        <v/>
      </c>
      <c r="GU359" s="55">
        <f>IF($B359=$B358,$GU358,0)+$GT359</f>
        <v/>
      </c>
      <c r="GV359" s="55">
        <f>$GV358+$GT359</f>
        <v/>
      </c>
      <c r="GW359" s="57">
        <f>SUMIFS(tblSafety[Hours_Total],tblSafety[Date],$A359)</f>
        <v/>
      </c>
      <c r="GX359" s="57">
        <f>IF($B359=$B358,$GX358,0)+$GW359</f>
        <v/>
      </c>
      <c r="GY359" s="57">
        <f>$GY358+$GW359</f>
        <v/>
      </c>
      <c r="GZ359" s="62">
        <f>SUMIFS(tblSafety[Fatality],tblSafety[Date],$A359)</f>
        <v/>
      </c>
      <c r="HA359" s="62">
        <f>IF($B359=$B358,$HA358,0)+$GZ359</f>
        <v/>
      </c>
      <c r="HB359" s="62">
        <f>$HB358+$GZ359</f>
        <v/>
      </c>
      <c r="HC359" s="62">
        <f>SUMIFS(tblSafety[LTI],tblSafety[Date],$A359)</f>
        <v/>
      </c>
      <c r="HD359" s="62">
        <f>IF($B359=$B358,$HD358,0)+$HC359</f>
        <v/>
      </c>
      <c r="HE359" s="62">
        <f>$HE358+$HC359</f>
        <v/>
      </c>
      <c r="HF359" s="62">
        <f>SUMIFS(tblSafety[RWI],tblSafety[Date],$A359)</f>
        <v/>
      </c>
      <c r="HG359" s="62">
        <f>IF($B359=$B358,$HG358,0)+$HF359</f>
        <v/>
      </c>
      <c r="HH359" s="62">
        <f>$HH358+$HF359</f>
        <v/>
      </c>
      <c r="HI359" s="62">
        <f>SUMIFS(tblSafety[MTI],tblSafety[Date],$A359)</f>
        <v/>
      </c>
      <c r="HJ359" s="62">
        <f>IF($B359=$B358,$HJ358,0)+$HI359</f>
        <v/>
      </c>
      <c r="HK359" s="62">
        <f>$HK358+$HI359</f>
        <v/>
      </c>
      <c r="HL359" s="62">
        <f>SUMIFS(tblSafety[FAI],tblSafety[Date],$A359)</f>
        <v/>
      </c>
      <c r="HM359" s="62">
        <f>IF($B359=$B358,$HM358,0)+$HL359</f>
        <v/>
      </c>
      <c r="HN359" s="62">
        <f>$HN358+$HL359</f>
        <v/>
      </c>
      <c r="HO359" s="62">
        <f>SUMIFS(tblSafety[Recordables],tblSafety[Date],$A359)</f>
        <v/>
      </c>
      <c r="HP359" s="62">
        <f>IF($B359=$B358,$HP358,0)+$HO359</f>
        <v/>
      </c>
      <c r="HQ359" s="62">
        <f>$HQ358+$HO359</f>
        <v/>
      </c>
      <c r="HR359" s="62">
        <f>SUMIFS(tblSafety[Near_Miss],tblSafety[Date],$A359)</f>
        <v/>
      </c>
      <c r="HS359" s="62">
        <f>IF($B359=$B358,$HS358,0)+$HR359</f>
        <v/>
      </c>
      <c r="HT359" s="62">
        <f>$HT358+$HR359</f>
        <v/>
      </c>
      <c r="HU359" s="62">
        <f>SUMIFS(tblSafety[Hazard_Reports],tblSafety[Date],$A359)</f>
        <v/>
      </c>
      <c r="HV359" s="62">
        <f>IF($B359=$B358,$HV358,0)+$HU359</f>
        <v/>
      </c>
      <c r="HW359" s="62">
        <f>$HW358+$HU359</f>
        <v/>
      </c>
      <c r="HX359" s="62">
        <f>SUMIFS(tblSafety[HPI],tblSafety[Date],$A359)</f>
        <v/>
      </c>
      <c r="HY359" s="62">
        <f>IF($B359=$B358,$HY358,0)+$HX359</f>
        <v/>
      </c>
      <c r="HZ359" s="62">
        <f>$HZ358+$HX359</f>
        <v/>
      </c>
      <c r="IA359" s="62">
        <f>SUMIFS(tblSafety[Env_Incidents],tblSafety[Date],$A359)</f>
        <v/>
      </c>
      <c r="IB359" s="62">
        <f>IF($B359=$B358,$IB358,0)+$IA359</f>
        <v/>
      </c>
      <c r="IC359" s="62">
        <f>$IC358+$IA359</f>
        <v/>
      </c>
      <c r="ID359" s="62">
        <f>SUMIFS(tblSafety[Community_Incidents],tblSafety[Date],$A359)</f>
        <v/>
      </c>
      <c r="IE359" s="62">
        <f>IF($B359=$B358,$IE358,0)+$ID359</f>
        <v/>
      </c>
      <c r="IF359" s="62">
        <f>$IF358+$ID359</f>
        <v/>
      </c>
      <c r="IG359" s="62">
        <f>SUMIFS(tblSafety[Vehicle_Incidents],tblSafety[Date],$A359)</f>
        <v/>
      </c>
      <c r="IH359" s="62">
        <f>IF($B359=$B358,$IH358,0)+$IG359</f>
        <v/>
      </c>
      <c r="II359" s="62">
        <f>$II358+$IG359</f>
        <v/>
      </c>
      <c r="IJ359" s="62">
        <f>SUMIFS(tblSafety[Toolbox_Talks],tblSafety[Date],$A359)</f>
        <v/>
      </c>
      <c r="IK359" s="62">
        <f>IF($B359=$B358,$IK358,0)+$IJ359</f>
        <v/>
      </c>
      <c r="IL359" s="62">
        <f>$IL358+$IJ359</f>
        <v/>
      </c>
      <c r="IM359" s="62">
        <f>SUMIFS(tblSafety[Inspections],tblSafety[Date],$A359)</f>
        <v/>
      </c>
      <c r="IN359" s="62">
        <f>IF($B359=$B358,$IN358,0)+$IM359</f>
        <v/>
      </c>
      <c r="IO359" s="62">
        <f>$IO358+$IM359</f>
        <v/>
      </c>
      <c r="IP359" s="56">
        <f>IFERROR((SUMIFS(tblSafety[Recordables],tblSafety[Date],"&gt;="&amp;EDATE($E359,-12),tblSafety[Date],"&lt;="&amp;$A359)+SUMIFS(tblSafetyHistory[Recordables],tblSafetyHistory[Month],"&gt;="&amp;EDATE($E359,-12),tblSafetyHistory[Month],"&lt;"&amp;$E359,tblSafetyHistory[Use],1))/(SUMIFS(tblSafety[Hours_Total],tblSafety[Date],"&gt;="&amp;EDATE($E359,-12),tblSafety[Date],"&lt;="&amp;$A359)+SUMIFS(tblSafetyHistory[Hours_Total],tblSafetyHistory[Month],"&gt;="&amp;EDATE($E359,-12),tblSafetyHistory[Month],"&lt;"&amp;$E359,tblSafetyHistory[Use],1))*cfg_RateBasisHours,"")</f>
        <v/>
      </c>
      <c r="IQ359" s="56">
        <f>IFERROR((SUMIFS(tblSafety[LTI],tblSafety[Date],"&gt;="&amp;EDATE($E359,-12),tblSafety[Date],"&lt;="&amp;$A359)+SUMIFS(tblSafetyHistory[LTI],tblSafetyHistory[Month],"&gt;="&amp;EDATE($E359,-12),tblSafetyHistory[Month],"&lt;"&amp;$E359,tblSafetyHistory[Use],1))/(SUMIFS(tblSafety[Hours_Total],tblSafety[Date],"&gt;="&amp;EDATE($E359,-12),tblSafety[Date],"&lt;="&amp;$A359)+SUMIFS(tblSafetyHistory[Hours_Total],tblSafetyHistory[Month],"&gt;="&amp;EDATE($E359,-12),tblSafetyHistory[Month],"&lt;"&amp;$E359,tblSafetyHistory[Use],1))*cfg_RateBasisHours,"")</f>
        <v/>
      </c>
      <c r="IR359" s="62">
        <f>IF(MAX(N(cfg_PriorLTIDate),_xlfn.MAXIFS(tblSafety[Date],tblSafety[LTI],"&gt;0",tblSafety[Date],"&lt;="&amp;$A359))=0,"",$A359-MAX(N(cfg_PriorLTIDate),_xlfn.MAXIFS(tblSafety[Date],tblSafety[LTI],"&gt;0",tblSafety[Date],"&lt;="&amp;$A359)))</f>
        <v/>
      </c>
      <c r="IS359" s="55">
        <f>SUMIFS(tblBudget[Ore_Mined_t],tblBudget[Month],$E359)</f>
        <v/>
      </c>
      <c r="IT359" s="55">
        <f>$IS359*$C359/$D359</f>
        <v/>
      </c>
      <c r="IU359" s="55">
        <f>SUMIFS(tblBudget[Ore_Mined_t],tblBudget[Month],"&lt;"&amp;$E359)+$IT359</f>
        <v/>
      </c>
      <c r="IV359" s="55">
        <f>SUMIFS(tblBudget[Ore_oz],tblBudget[Month],$E359)</f>
        <v/>
      </c>
      <c r="IW359" s="55">
        <f>$IV359*$C359/$D359</f>
        <v/>
      </c>
      <c r="IX359" s="55">
        <f>SUMIFS(tblBudget[Ore_oz],tblBudget[Month],"&lt;"&amp;$E359)+$IW359</f>
        <v/>
      </c>
      <c r="IY359" s="55">
        <f>SUMIFS(tblBudget[Ore_Mined_t],tblBudget[Month],$E359)</f>
        <v/>
      </c>
      <c r="IZ359" s="55">
        <f>$IY359*$C359/$D359</f>
        <v/>
      </c>
      <c r="JA359" s="55">
        <f>SUMIFS(tblBudget[Ore_Mined_t],tblBudget[Month],"&lt;"&amp;$E359)+$IZ359</f>
        <v/>
      </c>
      <c r="JB359" s="56">
        <f>IFERROR(IF(($IY359)&gt;0,($IV359*cfg_TroyOz)/($IY359),""),"")</f>
        <v/>
      </c>
      <c r="JC359" s="56">
        <f>IFERROR(IF(($IZ359)&gt;0,($IW359*cfg_TroyOz)/($IZ359),""),"")</f>
        <v/>
      </c>
      <c r="JD359" s="56">
        <f>IFERROR(IF(($JA359)&gt;0,($IX359*cfg_TroyOz)/($JA359),""),"")</f>
        <v/>
      </c>
      <c r="JE359" s="55">
        <f>SUMIFS(tblBudget[Waste_t],tblBudget[Month],$E359)</f>
        <v/>
      </c>
      <c r="JF359" s="55">
        <f>$JE359*$C359/$D359</f>
        <v/>
      </c>
      <c r="JG359" s="55">
        <f>SUMIFS(tblBudget[Waste_t],tblBudget[Month],"&lt;"&amp;$E359)+$JF359</f>
        <v/>
      </c>
      <c r="JH359" s="55">
        <f>SUMIFS(tblBudget[TMM_t],tblBudget[Month],$E359)</f>
        <v/>
      </c>
      <c r="JI359" s="55">
        <f>$JH359*$C359/$D359</f>
        <v/>
      </c>
      <c r="JJ359" s="55">
        <f>SUMIFS(tblBudget[TMM_t],tblBudget[Month],"&lt;"&amp;$E359)+$JI359</f>
        <v/>
      </c>
      <c r="JK359" s="56">
        <f>IFERROR(IF(($IS359)&gt;0,($JE359)/($IS359),""),"")</f>
        <v/>
      </c>
      <c r="JL359" s="56">
        <f>IFERROR(IF(($IT359)&gt;0,($JF359)/($IT359),""),"")</f>
        <v/>
      </c>
      <c r="JM359" s="56">
        <f>IFERROR(IF(($IU359)&gt;0,($JG359)/($IU359),""),"")</f>
        <v/>
      </c>
      <c r="JN359" s="55">
        <f>SUMIFS(tblBudget[Drill_m],tblBudget[Month],$E359)</f>
        <v/>
      </c>
      <c r="JO359" s="55">
        <f>$JN359*$C359/$D359</f>
        <v/>
      </c>
      <c r="JP359" s="55">
        <f>SUMIFS(tblBudget[Drill_m],tblBudget[Month],"&lt;"&amp;$E359)+$JO359</f>
        <v/>
      </c>
      <c r="JQ359" s="55">
        <f>SUMIFS(tblBudget[Diesel_L],tblBudget[Month],$E359)</f>
        <v/>
      </c>
      <c r="JR359" s="55">
        <f>$JQ359*$C359/$D359</f>
        <v/>
      </c>
      <c r="JS359" s="55">
        <f>SUMIFS(tblBudget[Diesel_L],tblBudget[Month],"&lt;"&amp;$E359)+$JR359</f>
        <v/>
      </c>
      <c r="JT359" s="55">
        <f>SUMIFS(tblBudget[Milled_t],tblBudget[Month],$E359)</f>
        <v/>
      </c>
      <c r="JU359" s="55">
        <f>$JT359*$C359/$D359</f>
        <v/>
      </c>
      <c r="JV359" s="55">
        <f>SUMIFS(tblBudget[Milled_t],tblBudget[Month],"&lt;"&amp;$E359)+$JU359</f>
        <v/>
      </c>
      <c r="JW359" s="55">
        <f>SUMIFS(tblBudget[Feed_oz],tblBudget[Month],$E359)</f>
        <v/>
      </c>
      <c r="JX359" s="55">
        <f>$JW359*$C359/$D359</f>
        <v/>
      </c>
      <c r="JY359" s="55">
        <f>SUMIFS(tblBudget[Feed_oz],tblBudget[Month],"&lt;"&amp;$E359)+$JX359</f>
        <v/>
      </c>
      <c r="JZ359" s="55">
        <f>SUMIFS(tblBudget[Recovered_oz],tblBudget[Month],$E359)</f>
        <v/>
      </c>
      <c r="KA359" s="55">
        <f>$JZ359*$C359/$D359</f>
        <v/>
      </c>
      <c r="KB359" s="55">
        <f>SUMIFS(tblBudget[Recovered_oz],tblBudget[Month],"&lt;"&amp;$E359)+$KA359</f>
        <v/>
      </c>
      <c r="KC359" s="55">
        <f>SUMIFS(tblBudget[Milled_t],tblBudget[Month],$E359)</f>
        <v/>
      </c>
      <c r="KD359" s="55">
        <f>$KC359*$C359/$D359</f>
        <v/>
      </c>
      <c r="KE359" s="55">
        <f>SUMIFS(tblBudget[Milled_t],tblBudget[Month],"&lt;"&amp;$E359)+$KD359</f>
        <v/>
      </c>
      <c r="KF359" s="55">
        <f>SUMIFS(tblBudget[Feed_oz],tblBudget[Month],$E359)</f>
        <v/>
      </c>
      <c r="KG359" s="55">
        <f>$KF359*$C359/$D359</f>
        <v/>
      </c>
      <c r="KH359" s="55">
        <f>SUMIFS(tblBudget[Feed_oz],tblBudget[Month],"&lt;"&amp;$E359)+$KG359</f>
        <v/>
      </c>
      <c r="KI359" s="56">
        <f>IFERROR(IF(($KC359)&gt;0,($JW359*cfg_TroyOz)/($KC359),""),"")</f>
        <v/>
      </c>
      <c r="KJ359" s="56">
        <f>IFERROR(IF(($KD359)&gt;0,($JX359*cfg_TroyOz)/($KD359),""),"")</f>
        <v/>
      </c>
      <c r="KK359" s="56">
        <f>IFERROR(IF(($KE359)&gt;0,($JY359*cfg_TroyOz)/($KE359),""),"")</f>
        <v/>
      </c>
      <c r="KL359" s="67">
        <f>IFERROR(IF(($KF359)&gt;0,($JZ359)/($KF359),""),"")</f>
        <v/>
      </c>
      <c r="KM359" s="67">
        <f>IFERROR(IF(($KG359)&gt;0,($KA359)/($KG359),""),"")</f>
        <v/>
      </c>
      <c r="KN359" s="67">
        <f>IFERROR(IF(($KH359)&gt;0,($KB359)/($KH359),""),"")</f>
        <v/>
      </c>
      <c r="KO359" s="55">
        <f>SUMIFS(tblBudget[Gold_Poured_oz],tblBudget[Month],$E359)</f>
        <v/>
      </c>
      <c r="KP359" s="55">
        <f>$KO359*$C359/$D359</f>
        <v/>
      </c>
      <c r="KQ359" s="55">
        <f>SUMIFS(tblBudget[Gold_Poured_oz],tblBudget[Month],"&lt;"&amp;$E359)+$KP359</f>
        <v/>
      </c>
      <c r="KR359" s="57">
        <f>SUMIFS(tblBudget[Hours_Worked],tblBudget[Month],$E359)</f>
        <v/>
      </c>
      <c r="KS359" s="57">
        <f>$KR359*$C359/$D359</f>
        <v/>
      </c>
      <c r="KT359" s="57">
        <f>SUMIFS(tblBudget[Hours_Worked],tblBudget[Month],"&lt;"&amp;$E359)+$KS359</f>
        <v/>
      </c>
    </row>
    <row r="360">
      <c r="A360" s="54" t="n">
        <v>46381</v>
      </c>
      <c r="B360">
        <f>MONTH($A360)</f>
        <v/>
      </c>
      <c r="C360">
        <f>DAY($A360)</f>
        <v/>
      </c>
      <c r="D360">
        <f>DAY(EOMONTH($A360,0))</f>
        <v/>
      </c>
      <c r="E360" s="54">
        <f>DATE(YEAR($A360),MONTH($A360),1)</f>
        <v/>
      </c>
      <c r="F360" s="55">
        <f>SUMIFS(tblMovement[Tonnes_t],tblMovement[Date],$A360,tblMovement[Is_Ore],1,tblMovement[Source_Type],"Pit")</f>
        <v/>
      </c>
      <c r="G360" s="55">
        <f>IF($B360=$B359,$G359,0)+$F360</f>
        <v/>
      </c>
      <c r="H360" s="55">
        <f>$H359+$F360</f>
        <v/>
      </c>
      <c r="I360" s="55">
        <f>SUMIFS(tblMovement[Ore_oz],tblMovement[Date],$A360,tblMovement[Source_Type],"Pit")</f>
        <v/>
      </c>
      <c r="J360" s="55">
        <f>IF($B360=$B359,$J359,0)+$I360</f>
        <v/>
      </c>
      <c r="K360" s="55">
        <f>$K359+$I360</f>
        <v/>
      </c>
      <c r="L360" s="55">
        <f>SUMIFS(tblMovement[Tonnes_t],tblMovement[Date],$A360,tblMovement[Is_Ore],1,tblMovement[Source_Type],"Pit",tblMovement[Grade_gpt],"&lt;&gt;")</f>
        <v/>
      </c>
      <c r="M360" s="55">
        <f>IF($B360=$B359,$M359,0)+$L360</f>
        <v/>
      </c>
      <c r="N360" s="55">
        <f>$N359+$L360</f>
        <v/>
      </c>
      <c r="O360" s="56">
        <f>IFERROR(IF(($L360)&gt;0,($I360*cfg_TroyOz)/($L360),""),"")</f>
        <v/>
      </c>
      <c r="P360" s="56">
        <f>IFERROR(IF(($M360)&gt;0,($J360*cfg_TroyOz)/($M360),""),"")</f>
        <v/>
      </c>
      <c r="Q360" s="56">
        <f>IFERROR(IF(($N360)&gt;0,($K360*cfg_TroyOz)/($N360),""),"")</f>
        <v/>
      </c>
      <c r="R360" s="55">
        <f>$F360-$L360</f>
        <v/>
      </c>
      <c r="S360" s="55">
        <f>IF($B360=$B359,$S359,0)+$R360</f>
        <v/>
      </c>
      <c r="T360" s="55">
        <f>$T359+$R360</f>
        <v/>
      </c>
      <c r="U360" s="55">
        <f>SUMIFS(tblMovement[Tonnes_t],tblMovement[Date],$A360,tblMovement[Is_Ore],0,tblMovement[Source_Type],"Pit")</f>
        <v/>
      </c>
      <c r="V360" s="55">
        <f>IF($B360=$B359,$V359,0)+$U360</f>
        <v/>
      </c>
      <c r="W360" s="55">
        <f>$W359+$U360</f>
        <v/>
      </c>
      <c r="X360" s="55">
        <f>$F360+$U360</f>
        <v/>
      </c>
      <c r="Y360" s="55">
        <f>IF($B360=$B359,$Y359,0)+$X360</f>
        <v/>
      </c>
      <c r="Z360" s="55">
        <f>$Z359+$X360</f>
        <v/>
      </c>
      <c r="AA360" s="56">
        <f>IFERROR(IF(($F360)&gt;0,($U360)/($F360),""),"")</f>
        <v/>
      </c>
      <c r="AB360" s="56">
        <f>IFERROR(IF(($G360)&gt;0,($V360)/($G360),""),"")</f>
        <v/>
      </c>
      <c r="AC360" s="56">
        <f>IFERROR(IF(($H360)&gt;0,($W360)/($H360),""),"")</f>
        <v/>
      </c>
      <c r="AD360" s="55">
        <f>SUMIFS(tblMovement[Tonnes_t],tblMovement[Date],$A360,tblMovement[Source_Type],"Stockpile")</f>
        <v/>
      </c>
      <c r="AE360" s="55">
        <f>IF($B360=$B359,$AE359,0)+$AD360</f>
        <v/>
      </c>
      <c r="AF360" s="55">
        <f>$AF359+$AD360</f>
        <v/>
      </c>
      <c r="AG360" s="55">
        <f>SUMIFS(tblMovement[Tonnes_t],tblMovement[Date],$A360)</f>
        <v/>
      </c>
      <c r="AH360" s="55">
        <f>IF($B360=$B359,$AH359,0)+$AG360</f>
        <v/>
      </c>
      <c r="AI360" s="55">
        <f>$AI359+$AG360</f>
        <v/>
      </c>
      <c r="AJ360" s="55">
        <f>$AG360-$X360-$AD360</f>
        <v/>
      </c>
      <c r="AK360" s="55">
        <f>IF($B360=$B359,$AK359,0)+$AJ360</f>
        <v/>
      </c>
      <c r="AL360" s="55">
        <f>$AL359+$AJ360</f>
        <v/>
      </c>
      <c r="AM360" s="55">
        <f>SUMIFS(tblMiningDaily[Drill_m],tblMiningDaily[Date],$A360)</f>
        <v/>
      </c>
      <c r="AN360" s="55">
        <f>IF($B360=$B359,$AN359,0)+$AM360</f>
        <v/>
      </c>
      <c r="AO360" s="55">
        <f>$AO359+$AM360</f>
        <v/>
      </c>
      <c r="AP360" s="55">
        <f>SUMIFS(tblMiningDaily[GC_Drill_m],tblMiningDaily[Date],$A360)</f>
        <v/>
      </c>
      <c r="AQ360" s="55">
        <f>IF($B360=$B359,$AQ359,0)+$AP360</f>
        <v/>
      </c>
      <c r="AR360" s="55">
        <f>$AR359+$AP360</f>
        <v/>
      </c>
      <c r="AS360" s="55">
        <f>SUMIFS(tblMiningDaily[Blast_t],tblMiningDaily[Date],$A360)</f>
        <v/>
      </c>
      <c r="AT360" s="55">
        <f>IF($B360=$B359,$AT359,0)+$AS360</f>
        <v/>
      </c>
      <c r="AU360" s="55">
        <f>$AU359+$AS360</f>
        <v/>
      </c>
      <c r="AV360" s="55">
        <f>SUMIFS(tblMiningDaily[Explosives_kg],tblMiningDaily[Date],$A360)</f>
        <v/>
      </c>
      <c r="AW360" s="55">
        <f>IF($B360=$B359,$AW359,0)+$AV360</f>
        <v/>
      </c>
      <c r="AX360" s="55">
        <f>$AX359+$AV360</f>
        <v/>
      </c>
      <c r="AY360" s="56">
        <f>IFERROR(IF(($AS360)&gt;0,($AV360)/($AS360),""),"")</f>
        <v/>
      </c>
      <c r="AZ360" s="56">
        <f>IFERROR(IF(($AT360)&gt;0,($AW360)/($AT360),""),"")</f>
        <v/>
      </c>
      <c r="BA360" s="56">
        <f>IFERROR(IF(($AU360)&gt;0,($AX360)/($AU360),""),"")</f>
        <v/>
      </c>
      <c r="BB360" s="55">
        <f>SUMIFS(tblMiningDaily[Diesel_L],tblMiningDaily[Date],$A360)</f>
        <v/>
      </c>
      <c r="BC360" s="55">
        <f>IF($B360=$B359,$BC359,0)+$BB360</f>
        <v/>
      </c>
      <c r="BD360" s="55">
        <f>$BD359+$BB360</f>
        <v/>
      </c>
      <c r="BE360" s="55">
        <f>SUMIFS(tblMiningDaily[Dewatering_m3],tblMiningDaily[Date],$A360)</f>
        <v/>
      </c>
      <c r="BF360" s="55">
        <f>IF($B360=$B359,$BF359,0)+$BE360</f>
        <v/>
      </c>
      <c r="BG360" s="55">
        <f>$BG359+$BE360</f>
        <v/>
      </c>
      <c r="BH360" s="57">
        <f>SUMIFS(tblFleet[Calendar_h],tblFleet[Date],$A360,tblFleet[Equipment_Class],"Excavator")</f>
        <v/>
      </c>
      <c r="BI360" s="57">
        <f>IF($B360=$B359,$BI359,0)+$BH360</f>
        <v/>
      </c>
      <c r="BJ360" s="57">
        <f>$BJ359+$BH360</f>
        <v/>
      </c>
      <c r="BK360" s="57">
        <f>SUMIFS(tblFleet[Available_h],tblFleet[Date],$A360,tblFleet[Equipment_Class],"Excavator")</f>
        <v/>
      </c>
      <c r="BL360" s="57">
        <f>IF($B360=$B359,$BL359,0)+$BK360</f>
        <v/>
      </c>
      <c r="BM360" s="57">
        <f>$BM359+$BK360</f>
        <v/>
      </c>
      <c r="BN360" s="57">
        <f>SUMIFS(tblFleet[Operating_h],tblFleet[Date],$A360,tblFleet[Equipment_Class],"Excavator")</f>
        <v/>
      </c>
      <c r="BO360" s="57">
        <f>IF($B360=$B359,$BO359,0)+$BN360</f>
        <v/>
      </c>
      <c r="BP360" s="57">
        <f>$BP359+$BN360</f>
        <v/>
      </c>
      <c r="BQ360" s="67">
        <f>IFERROR(IF(($BH360)&gt;0,($BK360)/($BH360),""),"")</f>
        <v/>
      </c>
      <c r="BR360" s="67">
        <f>IFERROR(IF(($BI360)&gt;0,($BL360)/($BI360),""),"")</f>
        <v/>
      </c>
      <c r="BS360" s="67">
        <f>IFERROR(IF(($BJ360)&gt;0,($BM360)/($BJ360),""),"")</f>
        <v/>
      </c>
      <c r="BT360" s="67">
        <f>IFERROR(IF(($BK360)&gt;0,($BN360)/($BK360),""),"")</f>
        <v/>
      </c>
      <c r="BU360" s="67">
        <f>IFERROR(IF(($BL360)&gt;0,($BO360)/($BL360),""),"")</f>
        <v/>
      </c>
      <c r="BV360" s="67">
        <f>IFERROR(IF(($BM360)&gt;0,($BP360)/($BM360),""),"")</f>
        <v/>
      </c>
      <c r="BW360" s="57">
        <f>SUMIFS(tblFleet[Calendar_h],tblFleet[Date],$A360,tblFleet[Equipment_Class],"Haul Truck")</f>
        <v/>
      </c>
      <c r="BX360" s="57">
        <f>IF($B360=$B359,$BX359,0)+$BW360</f>
        <v/>
      </c>
      <c r="BY360" s="57">
        <f>$BY359+$BW360</f>
        <v/>
      </c>
      <c r="BZ360" s="57">
        <f>SUMIFS(tblFleet[Available_h],tblFleet[Date],$A360,tblFleet[Equipment_Class],"Haul Truck")</f>
        <v/>
      </c>
      <c r="CA360" s="57">
        <f>IF($B360=$B359,$CA359,0)+$BZ360</f>
        <v/>
      </c>
      <c r="CB360" s="57">
        <f>$CB359+$BZ360</f>
        <v/>
      </c>
      <c r="CC360" s="57">
        <f>SUMIFS(tblFleet[Operating_h],tblFleet[Date],$A360,tblFleet[Equipment_Class],"Haul Truck")</f>
        <v/>
      </c>
      <c r="CD360" s="57">
        <f>IF($B360=$B359,$CD359,0)+$CC360</f>
        <v/>
      </c>
      <c r="CE360" s="57">
        <f>$CE359+$CC360</f>
        <v/>
      </c>
      <c r="CF360" s="67">
        <f>IFERROR(IF(($BW360)&gt;0,($BZ360)/($BW360),""),"")</f>
        <v/>
      </c>
      <c r="CG360" s="67">
        <f>IFERROR(IF(($BX360)&gt;0,($CA360)/($BX360),""),"")</f>
        <v/>
      </c>
      <c r="CH360" s="67">
        <f>IFERROR(IF(($BY360)&gt;0,($CB360)/($BY360),""),"")</f>
        <v/>
      </c>
      <c r="CI360" s="67">
        <f>IFERROR(IF(($BZ360)&gt;0,($CC360)/($BZ360),""),"")</f>
        <v/>
      </c>
      <c r="CJ360" s="67">
        <f>IFERROR(IF(($CA360)&gt;0,($CD360)/($CA360),""),"")</f>
        <v/>
      </c>
      <c r="CK360" s="67">
        <f>IFERROR(IF(($CB360)&gt;0,($CE360)/($CB360),""),"")</f>
        <v/>
      </c>
      <c r="CL360" s="55">
        <f>IFERROR(IF(($BN360)&gt;0,($X360+$AD360)/($BN360),""),"")</f>
        <v/>
      </c>
      <c r="CM360" s="55">
        <f>IFERROR(IF(($BO360)&gt;0,($Y360+$AE360)/($BO360),""),"")</f>
        <v/>
      </c>
      <c r="CN360" s="55">
        <f>IFERROR(IF(($BP360)&gt;0,($Z360+$AF360)/($BP360),""),"")</f>
        <v/>
      </c>
      <c r="CO360" s="55">
        <f>IFERROR(IF(($CC360)&gt;0,($X360+$AD360)/($CC360),""),"")</f>
        <v/>
      </c>
      <c r="CP360" s="55">
        <f>IFERROR(IF(($CD360)&gt;0,($Y360+$AE360)/($CD360),""),"")</f>
        <v/>
      </c>
      <c r="CQ360" s="55">
        <f>IFERROR(IF(($CE360)&gt;0,($Z360+$AF360)/($CE360),""),"")</f>
        <v/>
      </c>
      <c r="CR360" s="55">
        <f>SUMIFS(tblPlant[Crushed_t],tblPlant[Date],$A360)</f>
        <v/>
      </c>
      <c r="CS360" s="55">
        <f>IF($B360=$B359,$CS359,0)+$CR360</f>
        <v/>
      </c>
      <c r="CT360" s="55">
        <f>$CT359+$CR360</f>
        <v/>
      </c>
      <c r="CU360" s="55">
        <f>SUMIFS(tblPlant[Milled_t],tblPlant[Date],$A360)</f>
        <v/>
      </c>
      <c r="CV360" s="55">
        <f>IF($B360=$B359,$CV359,0)+$CU360</f>
        <v/>
      </c>
      <c r="CW360" s="55">
        <f>$CW359+$CU360</f>
        <v/>
      </c>
      <c r="CX360" s="55">
        <f>SUMIFS(tblPlant[Feed_oz],tblPlant[Date],$A360)</f>
        <v/>
      </c>
      <c r="CY360" s="55">
        <f>IF($B360=$B359,$CY359,0)+$CX360</f>
        <v/>
      </c>
      <c r="CZ360" s="55">
        <f>$CZ359+$CX360</f>
        <v/>
      </c>
      <c r="DA360" s="55">
        <f>SUMIFS(tblPlant[Tails_oz],tblPlant[Date],$A360)</f>
        <v/>
      </c>
      <c r="DB360" s="55">
        <f>IF($B360=$B359,$DB359,0)+$DA360</f>
        <v/>
      </c>
      <c r="DC360" s="55">
        <f>$DC359+$DA360</f>
        <v/>
      </c>
      <c r="DD360" s="55">
        <f>SUMIFS(tblPlant[Recovered_oz],tblPlant[Date],$A360)</f>
        <v/>
      </c>
      <c r="DE360" s="55">
        <f>IF($B360=$B359,$DE359,0)+$DD360</f>
        <v/>
      </c>
      <c r="DF360" s="55">
        <f>$DF359+$DD360</f>
        <v/>
      </c>
      <c r="DG360" s="55">
        <f>SUMIFS(tblPlant[Milled_t],tblPlant[Date],$A360,tblPlant[Head_Grade_gpt],"&lt;&gt;")</f>
        <v/>
      </c>
      <c r="DH360" s="55">
        <f>IF($B360=$B359,$DH359,0)+$DG360</f>
        <v/>
      </c>
      <c r="DI360" s="55">
        <f>$DI359+$DG360</f>
        <v/>
      </c>
      <c r="DJ360" s="55">
        <f>SUMIFS(tblPlant[Milled_t],tblPlant[Date],$A360,tblPlant[Tails_Grade_gpt],"&lt;&gt;")</f>
        <v/>
      </c>
      <c r="DK360" s="55">
        <f>IF($B360=$B359,$DK359,0)+$DJ360</f>
        <v/>
      </c>
      <c r="DL360" s="55">
        <f>$DL359+$DJ360</f>
        <v/>
      </c>
      <c r="DM360" s="55">
        <f>SUMIFS(tblPlant[Feed_oz],tblPlant[Date],$A360,tblPlant[Tails_Grade_gpt],"&lt;&gt;")</f>
        <v/>
      </c>
      <c r="DN360" s="55">
        <f>IF($B360=$B359,$DN359,0)+$DM360</f>
        <v/>
      </c>
      <c r="DO360" s="55">
        <f>$DO359+$DM360</f>
        <v/>
      </c>
      <c r="DP360" s="55">
        <f>SUMIFS(tblPlant[Milled_t],tblPlant[Date],$A360,tblPlant[Mill_Run_h],"&lt;&gt;")</f>
        <v/>
      </c>
      <c r="DQ360" s="55">
        <f>IF($B360=$B359,$DQ359,0)+$DP360</f>
        <v/>
      </c>
      <c r="DR360" s="55">
        <f>$DR359+$DP360</f>
        <v/>
      </c>
      <c r="DS360" s="56">
        <f>IFERROR(IF(($DG360)&gt;0,($CX360*cfg_TroyOz)/($DG360),""),"")</f>
        <v/>
      </c>
      <c r="DT360" s="56">
        <f>IFERROR(IF(($DH360)&gt;0,($CY360*cfg_TroyOz)/($DH360),""),"")</f>
        <v/>
      </c>
      <c r="DU360" s="56">
        <f>IFERROR(IF(($DI360)&gt;0,($CZ360*cfg_TroyOz)/($DI360),""),"")</f>
        <v/>
      </c>
      <c r="DV360" s="56">
        <f>IFERROR(IF(($DJ360)&gt;0,($DA360*cfg_TroyOz)/($DJ360),""),"")</f>
        <v/>
      </c>
      <c r="DW360" s="56">
        <f>IFERROR(IF(($DK360)&gt;0,($DB360*cfg_TroyOz)/($DK360),""),"")</f>
        <v/>
      </c>
      <c r="DX360" s="56">
        <f>IFERROR(IF(($DL360)&gt;0,($DC360*cfg_TroyOz)/($DL360),""),"")</f>
        <v/>
      </c>
      <c r="DY360" s="67">
        <f>IFERROR(IF(($DM360)&gt;0,($DD360)/($DM360),""),"")</f>
        <v/>
      </c>
      <c r="DZ360" s="67">
        <f>IFERROR(IF(($DN360)&gt;0,($DE360)/($DN360),""),"")</f>
        <v/>
      </c>
      <c r="EA360" s="67">
        <f>IFERROR(IF(($DO360)&gt;0,($DF360)/($DO360),""),"")</f>
        <v/>
      </c>
      <c r="EB360" s="55">
        <f>SUMIFS(tblPlant[Gravity_Gold_oz],tblPlant[Date],$A360)</f>
        <v/>
      </c>
      <c r="EC360" s="55">
        <f>IF($B360=$B359,$EC359,0)+$EB360</f>
        <v/>
      </c>
      <c r="ED360" s="55">
        <f>$ED359+$EB360</f>
        <v/>
      </c>
      <c r="EE360" s="67">
        <f>IFERROR(IF(($DD360)&gt;0,($EB360)/($DD360),""),"")</f>
        <v/>
      </c>
      <c r="EF360" s="67">
        <f>IFERROR(IF(($DE360)&gt;0,($EC360)/($DE360),""),"")</f>
        <v/>
      </c>
      <c r="EG360" s="67">
        <f>IFERROR(IF(($DF360)&gt;0,($ED360)/($DF360),""),"")</f>
        <v/>
      </c>
      <c r="EH360" s="55">
        <f>SUMIFS(tblPlant[Gold_Poured_oz],tblPlant[Date],$A360)</f>
        <v/>
      </c>
      <c r="EI360" s="55">
        <f>IF($B360=$B359,$EI359,0)+$EH360</f>
        <v/>
      </c>
      <c r="EJ360" s="55">
        <f>$EJ359+$EH360</f>
        <v/>
      </c>
      <c r="EK360" s="57">
        <f>SUMIFS(tblPlant[Mill_Run_h],tblPlant[Date],$A360)</f>
        <v/>
      </c>
      <c r="EL360" s="57">
        <f>IF($B360=$B359,$EL359,0)+$EK360</f>
        <v/>
      </c>
      <c r="EM360" s="57">
        <f>$EM359+$EK360</f>
        <v/>
      </c>
      <c r="EN360" s="57">
        <f>SUMIFS(tblPlant[Mill_Planned_Maint_h],tblPlant[Date],$A360)</f>
        <v/>
      </c>
      <c r="EO360" s="57">
        <f>IF($B360=$B359,$EO359,0)+$EN360</f>
        <v/>
      </c>
      <c r="EP360" s="57">
        <f>$EP359+$EN360</f>
        <v/>
      </c>
      <c r="EQ360" s="57">
        <f>SUMIFS(tblPlant[Mill_Unplanned_Down_h],tblPlant[Date],$A360)</f>
        <v/>
      </c>
      <c r="ER360" s="57">
        <f>IF($B360=$B359,$ER359,0)+$EQ360</f>
        <v/>
      </c>
      <c r="ES360" s="57">
        <f>$ES359+$EQ360</f>
        <v/>
      </c>
      <c r="ET360" s="57">
        <f>IF(COUNTIFS(tblPlant[Date],$A360,tblPlant[Mill_Run_h],"&lt;&gt;")+COUNTIFS(tblPlant[Date],$A360,tblPlant[Mill_Planned_Maint_h],"&lt;&gt;")+COUNTIFS(tblPlant[Date],$A360,tblPlant[Mill_Unplanned_Down_h],"&lt;&gt;")&gt;0,cfg_HoursPerDay,0)</f>
        <v/>
      </c>
      <c r="EU360" s="57">
        <f>IF($B360=$B359,$EU359,0)+$ET360</f>
        <v/>
      </c>
      <c r="EV360" s="57">
        <f>$EV359+$ET360</f>
        <v/>
      </c>
      <c r="EW360" s="57">
        <f>SUMIFS(tblPlant[Crusher_Run_h],tblPlant[Date],$A360)</f>
        <v/>
      </c>
      <c r="EX360" s="57">
        <f>IF($B360=$B359,$EX359,0)+$EW360</f>
        <v/>
      </c>
      <c r="EY360" s="57">
        <f>$EY359+$EW360</f>
        <v/>
      </c>
      <c r="EZ360" s="55">
        <f>IFERROR(IF(($EK360)&gt;0,($DP360)/($EK360),""),"")</f>
        <v/>
      </c>
      <c r="FA360" s="55">
        <f>IFERROR(IF(($EL360)&gt;0,($DQ360)/($EL360),""),"")</f>
        <v/>
      </c>
      <c r="FB360" s="55">
        <f>IFERROR(IF(($EM360)&gt;0,($DR360)/($EM360),""),"")</f>
        <v/>
      </c>
      <c r="FC360" s="67">
        <f>IFERROR(IF(($ET360)&gt;0,($ET360-$EN360-$EQ360)/($ET360),""),"")</f>
        <v/>
      </c>
      <c r="FD360" s="67">
        <f>IFERROR(IF(($EU360)&gt;0,($EU360-$EO360-$ER360)/($EU360),""),"")</f>
        <v/>
      </c>
      <c r="FE360" s="67">
        <f>IFERROR(IF(($EV360)&gt;0,($EV360-$EP360-$ES360)/($EV360),""),"")</f>
        <v/>
      </c>
      <c r="FF360" s="67">
        <f>IFERROR(IF(($ET360-$EN360-$EQ360)&gt;0,($EK360)/($ET360-$EN360-$EQ360),""),"")</f>
        <v/>
      </c>
      <c r="FG360" s="67">
        <f>IFERROR(IF(($EU360-$EO360-$ER360)&gt;0,($EL360)/($EU360-$EO360-$ER360),""),"")</f>
        <v/>
      </c>
      <c r="FH360" s="67">
        <f>IFERROR(IF(($EV360-$EP360-$ES360)&gt;0,($EM360)/($EV360-$EP360-$ES360),""),"")</f>
        <v/>
      </c>
      <c r="FI360" s="55">
        <f>SUMIFS(tblPlant[Cyanide_kg],tblPlant[Date],$A360)</f>
        <v/>
      </c>
      <c r="FJ360" s="55">
        <f>IF($B360=$B359,$FJ359,0)+$FI360</f>
        <v/>
      </c>
      <c r="FK360" s="55">
        <f>$FK359+$FI360</f>
        <v/>
      </c>
      <c r="FL360" s="55">
        <f>SUMIFS(tblPlant[Lime_kg],tblPlant[Date],$A360)</f>
        <v/>
      </c>
      <c r="FM360" s="55">
        <f>IF($B360=$B359,$FM359,0)+$FL360</f>
        <v/>
      </c>
      <c r="FN360" s="55">
        <f>$FN359+$FL360</f>
        <v/>
      </c>
      <c r="FO360" s="55">
        <f>SUMIFS(tblPlant[Grinding_Media_kg],tblPlant[Date],$A360)</f>
        <v/>
      </c>
      <c r="FP360" s="55">
        <f>IF($B360=$B359,$FP359,0)+$FO360</f>
        <v/>
      </c>
      <c r="FQ360" s="55">
        <f>$FQ359+$FO360</f>
        <v/>
      </c>
      <c r="FR360" s="55">
        <f>SUMIFS(tblPlant[Power_kWh],tblPlant[Date],$A360)</f>
        <v/>
      </c>
      <c r="FS360" s="55">
        <f>IF($B360=$B359,$FS359,0)+$FR360</f>
        <v/>
      </c>
      <c r="FT360" s="55">
        <f>$FT359+$FR360</f>
        <v/>
      </c>
      <c r="FU360" s="55">
        <f>SUMIFS(tblPlant[Raw_Water_m3],tblPlant[Date],$A360)</f>
        <v/>
      </c>
      <c r="FV360" s="55">
        <f>IF($B360=$B359,$FV359,0)+$FU360</f>
        <v/>
      </c>
      <c r="FW360" s="55">
        <f>$FW359+$FU360</f>
        <v/>
      </c>
      <c r="FX360" s="56">
        <f>IFERROR(IF(($CU360)&gt;0,($FI360)/($CU360),""),"")</f>
        <v/>
      </c>
      <c r="FY360" s="56">
        <f>IFERROR(IF(($CV360)&gt;0,($FJ360)/($CV360),""),"")</f>
        <v/>
      </c>
      <c r="FZ360" s="56">
        <f>IFERROR(IF(($CW360)&gt;0,($FK360)/($CW360),""),"")</f>
        <v/>
      </c>
      <c r="GA360" s="56">
        <f>IFERROR(IF(($CU360)&gt;0,($FL360)/($CU360),""),"")</f>
        <v/>
      </c>
      <c r="GB360" s="56">
        <f>IFERROR(IF(($CV360)&gt;0,($FM360)/($CV360),""),"")</f>
        <v/>
      </c>
      <c r="GC360" s="56">
        <f>IFERROR(IF(($CW360)&gt;0,($FN360)/($CW360),""),"")</f>
        <v/>
      </c>
      <c r="GD360" s="56">
        <f>IFERROR(IF(($CU360)&gt;0,($FO360)/($CU360),""),"")</f>
        <v/>
      </c>
      <c r="GE360" s="56">
        <f>IFERROR(IF(($CV360)&gt;0,($FP360)/($CV360),""),"")</f>
        <v/>
      </c>
      <c r="GF360" s="56">
        <f>IFERROR(IF(($CW360)&gt;0,($FQ360)/($CW360),""),"")</f>
        <v/>
      </c>
      <c r="GG360" s="79">
        <f>IFERROR(IF(($CU360)&gt;0,($FR360)/($CU360),""),"")</f>
        <v/>
      </c>
      <c r="GH360" s="79">
        <f>IFERROR(IF(($CV360)&gt;0,($FS360)/($CV360),""),"")</f>
        <v/>
      </c>
      <c r="GI360" s="79">
        <f>IFERROR(IF(($CW360)&gt;0,($FT360)/($CW360),""),"")</f>
        <v/>
      </c>
      <c r="GJ360" s="56">
        <f>IFERROR(IF(($CU360)&gt;0,($FU360)/($CU360),""),"")</f>
        <v/>
      </c>
      <c r="GK360" s="56">
        <f>IFERROR(IF(($CV360)&gt;0,($FV360)/($CV360),""),"")</f>
        <v/>
      </c>
      <c r="GL360" s="56">
        <f>IFERROR(IF(($CW360)&gt;0,($FW360)/($CW360),""),"")</f>
        <v/>
      </c>
      <c r="GM360" s="55">
        <f>IF(SUMIFS(tblPlant[GIC_oz],tblPlant[Date],$A360)&gt;0,SUMIFS(tblPlant[GIC_oz],tblPlant[Date],$A360),"")</f>
        <v/>
      </c>
      <c r="GN360" s="55">
        <f>SUMIFS(tblGold[Gold_oz],tblGold[Date],$A360,tblGold[Type],"Shipment")</f>
        <v/>
      </c>
      <c r="GO360" s="55">
        <f>IF($B360=$B359,$GO359,0)+$GN360</f>
        <v/>
      </c>
      <c r="GP360" s="55">
        <f>$GP359+$GN360</f>
        <v/>
      </c>
      <c r="GQ360" s="55">
        <f>SUMIFS(tblGold[Gold_oz],tblGold[Date],$A360,tblGold[Type],"Sale")</f>
        <v/>
      </c>
      <c r="GR360" s="55">
        <f>IF($B360=$B359,$GR359,0)+$GQ360</f>
        <v/>
      </c>
      <c r="GS360" s="55">
        <f>$GS359+$GQ360</f>
        <v/>
      </c>
      <c r="GT360" s="55">
        <f>SUMIFS(tblGold[Dore_kg],tblGold[Date],$A360,tblGold[Type],"Shipment")</f>
        <v/>
      </c>
      <c r="GU360" s="55">
        <f>IF($B360=$B359,$GU359,0)+$GT360</f>
        <v/>
      </c>
      <c r="GV360" s="55">
        <f>$GV359+$GT360</f>
        <v/>
      </c>
      <c r="GW360" s="57">
        <f>SUMIFS(tblSafety[Hours_Total],tblSafety[Date],$A360)</f>
        <v/>
      </c>
      <c r="GX360" s="57">
        <f>IF($B360=$B359,$GX359,0)+$GW360</f>
        <v/>
      </c>
      <c r="GY360" s="57">
        <f>$GY359+$GW360</f>
        <v/>
      </c>
      <c r="GZ360" s="62">
        <f>SUMIFS(tblSafety[Fatality],tblSafety[Date],$A360)</f>
        <v/>
      </c>
      <c r="HA360" s="62">
        <f>IF($B360=$B359,$HA359,0)+$GZ360</f>
        <v/>
      </c>
      <c r="HB360" s="62">
        <f>$HB359+$GZ360</f>
        <v/>
      </c>
      <c r="HC360" s="62">
        <f>SUMIFS(tblSafety[LTI],tblSafety[Date],$A360)</f>
        <v/>
      </c>
      <c r="HD360" s="62">
        <f>IF($B360=$B359,$HD359,0)+$HC360</f>
        <v/>
      </c>
      <c r="HE360" s="62">
        <f>$HE359+$HC360</f>
        <v/>
      </c>
      <c r="HF360" s="62">
        <f>SUMIFS(tblSafety[RWI],tblSafety[Date],$A360)</f>
        <v/>
      </c>
      <c r="HG360" s="62">
        <f>IF($B360=$B359,$HG359,0)+$HF360</f>
        <v/>
      </c>
      <c r="HH360" s="62">
        <f>$HH359+$HF360</f>
        <v/>
      </c>
      <c r="HI360" s="62">
        <f>SUMIFS(tblSafety[MTI],tblSafety[Date],$A360)</f>
        <v/>
      </c>
      <c r="HJ360" s="62">
        <f>IF($B360=$B359,$HJ359,0)+$HI360</f>
        <v/>
      </c>
      <c r="HK360" s="62">
        <f>$HK359+$HI360</f>
        <v/>
      </c>
      <c r="HL360" s="62">
        <f>SUMIFS(tblSafety[FAI],tblSafety[Date],$A360)</f>
        <v/>
      </c>
      <c r="HM360" s="62">
        <f>IF($B360=$B359,$HM359,0)+$HL360</f>
        <v/>
      </c>
      <c r="HN360" s="62">
        <f>$HN359+$HL360</f>
        <v/>
      </c>
      <c r="HO360" s="62">
        <f>SUMIFS(tblSafety[Recordables],tblSafety[Date],$A360)</f>
        <v/>
      </c>
      <c r="HP360" s="62">
        <f>IF($B360=$B359,$HP359,0)+$HO360</f>
        <v/>
      </c>
      <c r="HQ360" s="62">
        <f>$HQ359+$HO360</f>
        <v/>
      </c>
      <c r="HR360" s="62">
        <f>SUMIFS(tblSafety[Near_Miss],tblSafety[Date],$A360)</f>
        <v/>
      </c>
      <c r="HS360" s="62">
        <f>IF($B360=$B359,$HS359,0)+$HR360</f>
        <v/>
      </c>
      <c r="HT360" s="62">
        <f>$HT359+$HR360</f>
        <v/>
      </c>
      <c r="HU360" s="62">
        <f>SUMIFS(tblSafety[Hazard_Reports],tblSafety[Date],$A360)</f>
        <v/>
      </c>
      <c r="HV360" s="62">
        <f>IF($B360=$B359,$HV359,0)+$HU360</f>
        <v/>
      </c>
      <c r="HW360" s="62">
        <f>$HW359+$HU360</f>
        <v/>
      </c>
      <c r="HX360" s="62">
        <f>SUMIFS(tblSafety[HPI],tblSafety[Date],$A360)</f>
        <v/>
      </c>
      <c r="HY360" s="62">
        <f>IF($B360=$B359,$HY359,0)+$HX360</f>
        <v/>
      </c>
      <c r="HZ360" s="62">
        <f>$HZ359+$HX360</f>
        <v/>
      </c>
      <c r="IA360" s="62">
        <f>SUMIFS(tblSafety[Env_Incidents],tblSafety[Date],$A360)</f>
        <v/>
      </c>
      <c r="IB360" s="62">
        <f>IF($B360=$B359,$IB359,0)+$IA360</f>
        <v/>
      </c>
      <c r="IC360" s="62">
        <f>$IC359+$IA360</f>
        <v/>
      </c>
      <c r="ID360" s="62">
        <f>SUMIFS(tblSafety[Community_Incidents],tblSafety[Date],$A360)</f>
        <v/>
      </c>
      <c r="IE360" s="62">
        <f>IF($B360=$B359,$IE359,0)+$ID360</f>
        <v/>
      </c>
      <c r="IF360" s="62">
        <f>$IF359+$ID360</f>
        <v/>
      </c>
      <c r="IG360" s="62">
        <f>SUMIFS(tblSafety[Vehicle_Incidents],tblSafety[Date],$A360)</f>
        <v/>
      </c>
      <c r="IH360" s="62">
        <f>IF($B360=$B359,$IH359,0)+$IG360</f>
        <v/>
      </c>
      <c r="II360" s="62">
        <f>$II359+$IG360</f>
        <v/>
      </c>
      <c r="IJ360" s="62">
        <f>SUMIFS(tblSafety[Toolbox_Talks],tblSafety[Date],$A360)</f>
        <v/>
      </c>
      <c r="IK360" s="62">
        <f>IF($B360=$B359,$IK359,0)+$IJ360</f>
        <v/>
      </c>
      <c r="IL360" s="62">
        <f>$IL359+$IJ360</f>
        <v/>
      </c>
      <c r="IM360" s="62">
        <f>SUMIFS(tblSafety[Inspections],tblSafety[Date],$A360)</f>
        <v/>
      </c>
      <c r="IN360" s="62">
        <f>IF($B360=$B359,$IN359,0)+$IM360</f>
        <v/>
      </c>
      <c r="IO360" s="62">
        <f>$IO359+$IM360</f>
        <v/>
      </c>
      <c r="IP360" s="56">
        <f>IFERROR((SUMIFS(tblSafety[Recordables],tblSafety[Date],"&gt;="&amp;EDATE($E360,-12),tblSafety[Date],"&lt;="&amp;$A360)+SUMIFS(tblSafetyHistory[Recordables],tblSafetyHistory[Month],"&gt;="&amp;EDATE($E360,-12),tblSafetyHistory[Month],"&lt;"&amp;$E360,tblSafetyHistory[Use],1))/(SUMIFS(tblSafety[Hours_Total],tblSafety[Date],"&gt;="&amp;EDATE($E360,-12),tblSafety[Date],"&lt;="&amp;$A360)+SUMIFS(tblSafetyHistory[Hours_Total],tblSafetyHistory[Month],"&gt;="&amp;EDATE($E360,-12),tblSafetyHistory[Month],"&lt;"&amp;$E360,tblSafetyHistory[Use],1))*cfg_RateBasisHours,"")</f>
        <v/>
      </c>
      <c r="IQ360" s="56">
        <f>IFERROR((SUMIFS(tblSafety[LTI],tblSafety[Date],"&gt;="&amp;EDATE($E360,-12),tblSafety[Date],"&lt;="&amp;$A360)+SUMIFS(tblSafetyHistory[LTI],tblSafetyHistory[Month],"&gt;="&amp;EDATE($E360,-12),tblSafetyHistory[Month],"&lt;"&amp;$E360,tblSafetyHistory[Use],1))/(SUMIFS(tblSafety[Hours_Total],tblSafety[Date],"&gt;="&amp;EDATE($E360,-12),tblSafety[Date],"&lt;="&amp;$A360)+SUMIFS(tblSafetyHistory[Hours_Total],tblSafetyHistory[Month],"&gt;="&amp;EDATE($E360,-12),tblSafetyHistory[Month],"&lt;"&amp;$E360,tblSafetyHistory[Use],1))*cfg_RateBasisHours,"")</f>
        <v/>
      </c>
      <c r="IR360" s="62">
        <f>IF(MAX(N(cfg_PriorLTIDate),_xlfn.MAXIFS(tblSafety[Date],tblSafety[LTI],"&gt;0",tblSafety[Date],"&lt;="&amp;$A360))=0,"",$A360-MAX(N(cfg_PriorLTIDate),_xlfn.MAXIFS(tblSafety[Date],tblSafety[LTI],"&gt;0",tblSafety[Date],"&lt;="&amp;$A360)))</f>
        <v/>
      </c>
      <c r="IS360" s="55">
        <f>SUMIFS(tblBudget[Ore_Mined_t],tblBudget[Month],$E360)</f>
        <v/>
      </c>
      <c r="IT360" s="55">
        <f>$IS360*$C360/$D360</f>
        <v/>
      </c>
      <c r="IU360" s="55">
        <f>SUMIFS(tblBudget[Ore_Mined_t],tblBudget[Month],"&lt;"&amp;$E360)+$IT360</f>
        <v/>
      </c>
      <c r="IV360" s="55">
        <f>SUMIFS(tblBudget[Ore_oz],tblBudget[Month],$E360)</f>
        <v/>
      </c>
      <c r="IW360" s="55">
        <f>$IV360*$C360/$D360</f>
        <v/>
      </c>
      <c r="IX360" s="55">
        <f>SUMIFS(tblBudget[Ore_oz],tblBudget[Month],"&lt;"&amp;$E360)+$IW360</f>
        <v/>
      </c>
      <c r="IY360" s="55">
        <f>SUMIFS(tblBudget[Ore_Mined_t],tblBudget[Month],$E360)</f>
        <v/>
      </c>
      <c r="IZ360" s="55">
        <f>$IY360*$C360/$D360</f>
        <v/>
      </c>
      <c r="JA360" s="55">
        <f>SUMIFS(tblBudget[Ore_Mined_t],tblBudget[Month],"&lt;"&amp;$E360)+$IZ360</f>
        <v/>
      </c>
      <c r="JB360" s="56">
        <f>IFERROR(IF(($IY360)&gt;0,($IV360*cfg_TroyOz)/($IY360),""),"")</f>
        <v/>
      </c>
      <c r="JC360" s="56">
        <f>IFERROR(IF(($IZ360)&gt;0,($IW360*cfg_TroyOz)/($IZ360),""),"")</f>
        <v/>
      </c>
      <c r="JD360" s="56">
        <f>IFERROR(IF(($JA360)&gt;0,($IX360*cfg_TroyOz)/($JA360),""),"")</f>
        <v/>
      </c>
      <c r="JE360" s="55">
        <f>SUMIFS(tblBudget[Waste_t],tblBudget[Month],$E360)</f>
        <v/>
      </c>
      <c r="JF360" s="55">
        <f>$JE360*$C360/$D360</f>
        <v/>
      </c>
      <c r="JG360" s="55">
        <f>SUMIFS(tblBudget[Waste_t],tblBudget[Month],"&lt;"&amp;$E360)+$JF360</f>
        <v/>
      </c>
      <c r="JH360" s="55">
        <f>SUMIFS(tblBudget[TMM_t],tblBudget[Month],$E360)</f>
        <v/>
      </c>
      <c r="JI360" s="55">
        <f>$JH360*$C360/$D360</f>
        <v/>
      </c>
      <c r="JJ360" s="55">
        <f>SUMIFS(tblBudget[TMM_t],tblBudget[Month],"&lt;"&amp;$E360)+$JI360</f>
        <v/>
      </c>
      <c r="JK360" s="56">
        <f>IFERROR(IF(($IS360)&gt;0,($JE360)/($IS360),""),"")</f>
        <v/>
      </c>
      <c r="JL360" s="56">
        <f>IFERROR(IF(($IT360)&gt;0,($JF360)/($IT360),""),"")</f>
        <v/>
      </c>
      <c r="JM360" s="56">
        <f>IFERROR(IF(($IU360)&gt;0,($JG360)/($IU360),""),"")</f>
        <v/>
      </c>
      <c r="JN360" s="55">
        <f>SUMIFS(tblBudget[Drill_m],tblBudget[Month],$E360)</f>
        <v/>
      </c>
      <c r="JO360" s="55">
        <f>$JN360*$C360/$D360</f>
        <v/>
      </c>
      <c r="JP360" s="55">
        <f>SUMIFS(tblBudget[Drill_m],tblBudget[Month],"&lt;"&amp;$E360)+$JO360</f>
        <v/>
      </c>
      <c r="JQ360" s="55">
        <f>SUMIFS(tblBudget[Diesel_L],tblBudget[Month],$E360)</f>
        <v/>
      </c>
      <c r="JR360" s="55">
        <f>$JQ360*$C360/$D360</f>
        <v/>
      </c>
      <c r="JS360" s="55">
        <f>SUMIFS(tblBudget[Diesel_L],tblBudget[Month],"&lt;"&amp;$E360)+$JR360</f>
        <v/>
      </c>
      <c r="JT360" s="55">
        <f>SUMIFS(tblBudget[Milled_t],tblBudget[Month],$E360)</f>
        <v/>
      </c>
      <c r="JU360" s="55">
        <f>$JT360*$C360/$D360</f>
        <v/>
      </c>
      <c r="JV360" s="55">
        <f>SUMIFS(tblBudget[Milled_t],tblBudget[Month],"&lt;"&amp;$E360)+$JU360</f>
        <v/>
      </c>
      <c r="JW360" s="55">
        <f>SUMIFS(tblBudget[Feed_oz],tblBudget[Month],$E360)</f>
        <v/>
      </c>
      <c r="JX360" s="55">
        <f>$JW360*$C360/$D360</f>
        <v/>
      </c>
      <c r="JY360" s="55">
        <f>SUMIFS(tblBudget[Feed_oz],tblBudget[Month],"&lt;"&amp;$E360)+$JX360</f>
        <v/>
      </c>
      <c r="JZ360" s="55">
        <f>SUMIFS(tblBudget[Recovered_oz],tblBudget[Month],$E360)</f>
        <v/>
      </c>
      <c r="KA360" s="55">
        <f>$JZ360*$C360/$D360</f>
        <v/>
      </c>
      <c r="KB360" s="55">
        <f>SUMIFS(tblBudget[Recovered_oz],tblBudget[Month],"&lt;"&amp;$E360)+$KA360</f>
        <v/>
      </c>
      <c r="KC360" s="55">
        <f>SUMIFS(tblBudget[Milled_t],tblBudget[Month],$E360)</f>
        <v/>
      </c>
      <c r="KD360" s="55">
        <f>$KC360*$C360/$D360</f>
        <v/>
      </c>
      <c r="KE360" s="55">
        <f>SUMIFS(tblBudget[Milled_t],tblBudget[Month],"&lt;"&amp;$E360)+$KD360</f>
        <v/>
      </c>
      <c r="KF360" s="55">
        <f>SUMIFS(tblBudget[Feed_oz],tblBudget[Month],$E360)</f>
        <v/>
      </c>
      <c r="KG360" s="55">
        <f>$KF360*$C360/$D360</f>
        <v/>
      </c>
      <c r="KH360" s="55">
        <f>SUMIFS(tblBudget[Feed_oz],tblBudget[Month],"&lt;"&amp;$E360)+$KG360</f>
        <v/>
      </c>
      <c r="KI360" s="56">
        <f>IFERROR(IF(($KC360)&gt;0,($JW360*cfg_TroyOz)/($KC360),""),"")</f>
        <v/>
      </c>
      <c r="KJ360" s="56">
        <f>IFERROR(IF(($KD360)&gt;0,($JX360*cfg_TroyOz)/($KD360),""),"")</f>
        <v/>
      </c>
      <c r="KK360" s="56">
        <f>IFERROR(IF(($KE360)&gt;0,($JY360*cfg_TroyOz)/($KE360),""),"")</f>
        <v/>
      </c>
      <c r="KL360" s="67">
        <f>IFERROR(IF(($KF360)&gt;0,($JZ360)/($KF360),""),"")</f>
        <v/>
      </c>
      <c r="KM360" s="67">
        <f>IFERROR(IF(($KG360)&gt;0,($KA360)/($KG360),""),"")</f>
        <v/>
      </c>
      <c r="KN360" s="67">
        <f>IFERROR(IF(($KH360)&gt;0,($KB360)/($KH360),""),"")</f>
        <v/>
      </c>
      <c r="KO360" s="55">
        <f>SUMIFS(tblBudget[Gold_Poured_oz],tblBudget[Month],$E360)</f>
        <v/>
      </c>
      <c r="KP360" s="55">
        <f>$KO360*$C360/$D360</f>
        <v/>
      </c>
      <c r="KQ360" s="55">
        <f>SUMIFS(tblBudget[Gold_Poured_oz],tblBudget[Month],"&lt;"&amp;$E360)+$KP360</f>
        <v/>
      </c>
      <c r="KR360" s="57">
        <f>SUMIFS(tblBudget[Hours_Worked],tblBudget[Month],$E360)</f>
        <v/>
      </c>
      <c r="KS360" s="57">
        <f>$KR360*$C360/$D360</f>
        <v/>
      </c>
      <c r="KT360" s="57">
        <f>SUMIFS(tblBudget[Hours_Worked],tblBudget[Month],"&lt;"&amp;$E360)+$KS360</f>
        <v/>
      </c>
    </row>
    <row r="361">
      <c r="A361" s="54" t="n">
        <v>46382</v>
      </c>
      <c r="B361">
        <f>MONTH($A361)</f>
        <v/>
      </c>
      <c r="C361">
        <f>DAY($A361)</f>
        <v/>
      </c>
      <c r="D361">
        <f>DAY(EOMONTH($A361,0))</f>
        <v/>
      </c>
      <c r="E361" s="54">
        <f>DATE(YEAR($A361),MONTH($A361),1)</f>
        <v/>
      </c>
      <c r="F361" s="55">
        <f>SUMIFS(tblMovement[Tonnes_t],tblMovement[Date],$A361,tblMovement[Is_Ore],1,tblMovement[Source_Type],"Pit")</f>
        <v/>
      </c>
      <c r="G361" s="55">
        <f>IF($B361=$B360,$G360,0)+$F361</f>
        <v/>
      </c>
      <c r="H361" s="55">
        <f>$H360+$F361</f>
        <v/>
      </c>
      <c r="I361" s="55">
        <f>SUMIFS(tblMovement[Ore_oz],tblMovement[Date],$A361,tblMovement[Source_Type],"Pit")</f>
        <v/>
      </c>
      <c r="J361" s="55">
        <f>IF($B361=$B360,$J360,0)+$I361</f>
        <v/>
      </c>
      <c r="K361" s="55">
        <f>$K360+$I361</f>
        <v/>
      </c>
      <c r="L361" s="55">
        <f>SUMIFS(tblMovement[Tonnes_t],tblMovement[Date],$A361,tblMovement[Is_Ore],1,tblMovement[Source_Type],"Pit",tblMovement[Grade_gpt],"&lt;&gt;")</f>
        <v/>
      </c>
      <c r="M361" s="55">
        <f>IF($B361=$B360,$M360,0)+$L361</f>
        <v/>
      </c>
      <c r="N361" s="55">
        <f>$N360+$L361</f>
        <v/>
      </c>
      <c r="O361" s="56">
        <f>IFERROR(IF(($L361)&gt;0,($I361*cfg_TroyOz)/($L361),""),"")</f>
        <v/>
      </c>
      <c r="P361" s="56">
        <f>IFERROR(IF(($M361)&gt;0,($J361*cfg_TroyOz)/($M361),""),"")</f>
        <v/>
      </c>
      <c r="Q361" s="56">
        <f>IFERROR(IF(($N361)&gt;0,($K361*cfg_TroyOz)/($N361),""),"")</f>
        <v/>
      </c>
      <c r="R361" s="55">
        <f>$F361-$L361</f>
        <v/>
      </c>
      <c r="S361" s="55">
        <f>IF($B361=$B360,$S360,0)+$R361</f>
        <v/>
      </c>
      <c r="T361" s="55">
        <f>$T360+$R361</f>
        <v/>
      </c>
      <c r="U361" s="55">
        <f>SUMIFS(tblMovement[Tonnes_t],tblMovement[Date],$A361,tblMovement[Is_Ore],0,tblMovement[Source_Type],"Pit")</f>
        <v/>
      </c>
      <c r="V361" s="55">
        <f>IF($B361=$B360,$V360,0)+$U361</f>
        <v/>
      </c>
      <c r="W361" s="55">
        <f>$W360+$U361</f>
        <v/>
      </c>
      <c r="X361" s="55">
        <f>$F361+$U361</f>
        <v/>
      </c>
      <c r="Y361" s="55">
        <f>IF($B361=$B360,$Y360,0)+$X361</f>
        <v/>
      </c>
      <c r="Z361" s="55">
        <f>$Z360+$X361</f>
        <v/>
      </c>
      <c r="AA361" s="56">
        <f>IFERROR(IF(($F361)&gt;0,($U361)/($F361),""),"")</f>
        <v/>
      </c>
      <c r="AB361" s="56">
        <f>IFERROR(IF(($G361)&gt;0,($V361)/($G361),""),"")</f>
        <v/>
      </c>
      <c r="AC361" s="56">
        <f>IFERROR(IF(($H361)&gt;0,($W361)/($H361),""),"")</f>
        <v/>
      </c>
      <c r="AD361" s="55">
        <f>SUMIFS(tblMovement[Tonnes_t],tblMovement[Date],$A361,tblMovement[Source_Type],"Stockpile")</f>
        <v/>
      </c>
      <c r="AE361" s="55">
        <f>IF($B361=$B360,$AE360,0)+$AD361</f>
        <v/>
      </c>
      <c r="AF361" s="55">
        <f>$AF360+$AD361</f>
        <v/>
      </c>
      <c r="AG361" s="55">
        <f>SUMIFS(tblMovement[Tonnes_t],tblMovement[Date],$A361)</f>
        <v/>
      </c>
      <c r="AH361" s="55">
        <f>IF($B361=$B360,$AH360,0)+$AG361</f>
        <v/>
      </c>
      <c r="AI361" s="55">
        <f>$AI360+$AG361</f>
        <v/>
      </c>
      <c r="AJ361" s="55">
        <f>$AG361-$X361-$AD361</f>
        <v/>
      </c>
      <c r="AK361" s="55">
        <f>IF($B361=$B360,$AK360,0)+$AJ361</f>
        <v/>
      </c>
      <c r="AL361" s="55">
        <f>$AL360+$AJ361</f>
        <v/>
      </c>
      <c r="AM361" s="55">
        <f>SUMIFS(tblMiningDaily[Drill_m],tblMiningDaily[Date],$A361)</f>
        <v/>
      </c>
      <c r="AN361" s="55">
        <f>IF($B361=$B360,$AN360,0)+$AM361</f>
        <v/>
      </c>
      <c r="AO361" s="55">
        <f>$AO360+$AM361</f>
        <v/>
      </c>
      <c r="AP361" s="55">
        <f>SUMIFS(tblMiningDaily[GC_Drill_m],tblMiningDaily[Date],$A361)</f>
        <v/>
      </c>
      <c r="AQ361" s="55">
        <f>IF($B361=$B360,$AQ360,0)+$AP361</f>
        <v/>
      </c>
      <c r="AR361" s="55">
        <f>$AR360+$AP361</f>
        <v/>
      </c>
      <c r="AS361" s="55">
        <f>SUMIFS(tblMiningDaily[Blast_t],tblMiningDaily[Date],$A361)</f>
        <v/>
      </c>
      <c r="AT361" s="55">
        <f>IF($B361=$B360,$AT360,0)+$AS361</f>
        <v/>
      </c>
      <c r="AU361" s="55">
        <f>$AU360+$AS361</f>
        <v/>
      </c>
      <c r="AV361" s="55">
        <f>SUMIFS(tblMiningDaily[Explosives_kg],tblMiningDaily[Date],$A361)</f>
        <v/>
      </c>
      <c r="AW361" s="55">
        <f>IF($B361=$B360,$AW360,0)+$AV361</f>
        <v/>
      </c>
      <c r="AX361" s="55">
        <f>$AX360+$AV361</f>
        <v/>
      </c>
      <c r="AY361" s="56">
        <f>IFERROR(IF(($AS361)&gt;0,($AV361)/($AS361),""),"")</f>
        <v/>
      </c>
      <c r="AZ361" s="56">
        <f>IFERROR(IF(($AT361)&gt;0,($AW361)/($AT361),""),"")</f>
        <v/>
      </c>
      <c r="BA361" s="56">
        <f>IFERROR(IF(($AU361)&gt;0,($AX361)/($AU361),""),"")</f>
        <v/>
      </c>
      <c r="BB361" s="55">
        <f>SUMIFS(tblMiningDaily[Diesel_L],tblMiningDaily[Date],$A361)</f>
        <v/>
      </c>
      <c r="BC361" s="55">
        <f>IF($B361=$B360,$BC360,0)+$BB361</f>
        <v/>
      </c>
      <c r="BD361" s="55">
        <f>$BD360+$BB361</f>
        <v/>
      </c>
      <c r="BE361" s="55">
        <f>SUMIFS(tblMiningDaily[Dewatering_m3],tblMiningDaily[Date],$A361)</f>
        <v/>
      </c>
      <c r="BF361" s="55">
        <f>IF($B361=$B360,$BF360,0)+$BE361</f>
        <v/>
      </c>
      <c r="BG361" s="55">
        <f>$BG360+$BE361</f>
        <v/>
      </c>
      <c r="BH361" s="57">
        <f>SUMIFS(tblFleet[Calendar_h],tblFleet[Date],$A361,tblFleet[Equipment_Class],"Excavator")</f>
        <v/>
      </c>
      <c r="BI361" s="57">
        <f>IF($B361=$B360,$BI360,0)+$BH361</f>
        <v/>
      </c>
      <c r="BJ361" s="57">
        <f>$BJ360+$BH361</f>
        <v/>
      </c>
      <c r="BK361" s="57">
        <f>SUMIFS(tblFleet[Available_h],tblFleet[Date],$A361,tblFleet[Equipment_Class],"Excavator")</f>
        <v/>
      </c>
      <c r="BL361" s="57">
        <f>IF($B361=$B360,$BL360,0)+$BK361</f>
        <v/>
      </c>
      <c r="BM361" s="57">
        <f>$BM360+$BK361</f>
        <v/>
      </c>
      <c r="BN361" s="57">
        <f>SUMIFS(tblFleet[Operating_h],tblFleet[Date],$A361,tblFleet[Equipment_Class],"Excavator")</f>
        <v/>
      </c>
      <c r="BO361" s="57">
        <f>IF($B361=$B360,$BO360,0)+$BN361</f>
        <v/>
      </c>
      <c r="BP361" s="57">
        <f>$BP360+$BN361</f>
        <v/>
      </c>
      <c r="BQ361" s="67">
        <f>IFERROR(IF(($BH361)&gt;0,($BK361)/($BH361),""),"")</f>
        <v/>
      </c>
      <c r="BR361" s="67">
        <f>IFERROR(IF(($BI361)&gt;0,($BL361)/($BI361),""),"")</f>
        <v/>
      </c>
      <c r="BS361" s="67">
        <f>IFERROR(IF(($BJ361)&gt;0,($BM361)/($BJ361),""),"")</f>
        <v/>
      </c>
      <c r="BT361" s="67">
        <f>IFERROR(IF(($BK361)&gt;0,($BN361)/($BK361),""),"")</f>
        <v/>
      </c>
      <c r="BU361" s="67">
        <f>IFERROR(IF(($BL361)&gt;0,($BO361)/($BL361),""),"")</f>
        <v/>
      </c>
      <c r="BV361" s="67">
        <f>IFERROR(IF(($BM361)&gt;0,($BP361)/($BM361),""),"")</f>
        <v/>
      </c>
      <c r="BW361" s="57">
        <f>SUMIFS(tblFleet[Calendar_h],tblFleet[Date],$A361,tblFleet[Equipment_Class],"Haul Truck")</f>
        <v/>
      </c>
      <c r="BX361" s="57">
        <f>IF($B361=$B360,$BX360,0)+$BW361</f>
        <v/>
      </c>
      <c r="BY361" s="57">
        <f>$BY360+$BW361</f>
        <v/>
      </c>
      <c r="BZ361" s="57">
        <f>SUMIFS(tblFleet[Available_h],tblFleet[Date],$A361,tblFleet[Equipment_Class],"Haul Truck")</f>
        <v/>
      </c>
      <c r="CA361" s="57">
        <f>IF($B361=$B360,$CA360,0)+$BZ361</f>
        <v/>
      </c>
      <c r="CB361" s="57">
        <f>$CB360+$BZ361</f>
        <v/>
      </c>
      <c r="CC361" s="57">
        <f>SUMIFS(tblFleet[Operating_h],tblFleet[Date],$A361,tblFleet[Equipment_Class],"Haul Truck")</f>
        <v/>
      </c>
      <c r="CD361" s="57">
        <f>IF($B361=$B360,$CD360,0)+$CC361</f>
        <v/>
      </c>
      <c r="CE361" s="57">
        <f>$CE360+$CC361</f>
        <v/>
      </c>
      <c r="CF361" s="67">
        <f>IFERROR(IF(($BW361)&gt;0,($BZ361)/($BW361),""),"")</f>
        <v/>
      </c>
      <c r="CG361" s="67">
        <f>IFERROR(IF(($BX361)&gt;0,($CA361)/($BX361),""),"")</f>
        <v/>
      </c>
      <c r="CH361" s="67">
        <f>IFERROR(IF(($BY361)&gt;0,($CB361)/($BY361),""),"")</f>
        <v/>
      </c>
      <c r="CI361" s="67">
        <f>IFERROR(IF(($BZ361)&gt;0,($CC361)/($BZ361),""),"")</f>
        <v/>
      </c>
      <c r="CJ361" s="67">
        <f>IFERROR(IF(($CA361)&gt;0,($CD361)/($CA361),""),"")</f>
        <v/>
      </c>
      <c r="CK361" s="67">
        <f>IFERROR(IF(($CB361)&gt;0,($CE361)/($CB361),""),"")</f>
        <v/>
      </c>
      <c r="CL361" s="55">
        <f>IFERROR(IF(($BN361)&gt;0,($X361+$AD361)/($BN361),""),"")</f>
        <v/>
      </c>
      <c r="CM361" s="55">
        <f>IFERROR(IF(($BO361)&gt;0,($Y361+$AE361)/($BO361),""),"")</f>
        <v/>
      </c>
      <c r="CN361" s="55">
        <f>IFERROR(IF(($BP361)&gt;0,($Z361+$AF361)/($BP361),""),"")</f>
        <v/>
      </c>
      <c r="CO361" s="55">
        <f>IFERROR(IF(($CC361)&gt;0,($X361+$AD361)/($CC361),""),"")</f>
        <v/>
      </c>
      <c r="CP361" s="55">
        <f>IFERROR(IF(($CD361)&gt;0,($Y361+$AE361)/($CD361),""),"")</f>
        <v/>
      </c>
      <c r="CQ361" s="55">
        <f>IFERROR(IF(($CE361)&gt;0,($Z361+$AF361)/($CE361),""),"")</f>
        <v/>
      </c>
      <c r="CR361" s="55">
        <f>SUMIFS(tblPlant[Crushed_t],tblPlant[Date],$A361)</f>
        <v/>
      </c>
      <c r="CS361" s="55">
        <f>IF($B361=$B360,$CS360,0)+$CR361</f>
        <v/>
      </c>
      <c r="CT361" s="55">
        <f>$CT360+$CR361</f>
        <v/>
      </c>
      <c r="CU361" s="55">
        <f>SUMIFS(tblPlant[Milled_t],tblPlant[Date],$A361)</f>
        <v/>
      </c>
      <c r="CV361" s="55">
        <f>IF($B361=$B360,$CV360,0)+$CU361</f>
        <v/>
      </c>
      <c r="CW361" s="55">
        <f>$CW360+$CU361</f>
        <v/>
      </c>
      <c r="CX361" s="55">
        <f>SUMIFS(tblPlant[Feed_oz],tblPlant[Date],$A361)</f>
        <v/>
      </c>
      <c r="CY361" s="55">
        <f>IF($B361=$B360,$CY360,0)+$CX361</f>
        <v/>
      </c>
      <c r="CZ361" s="55">
        <f>$CZ360+$CX361</f>
        <v/>
      </c>
      <c r="DA361" s="55">
        <f>SUMIFS(tblPlant[Tails_oz],tblPlant[Date],$A361)</f>
        <v/>
      </c>
      <c r="DB361" s="55">
        <f>IF($B361=$B360,$DB360,0)+$DA361</f>
        <v/>
      </c>
      <c r="DC361" s="55">
        <f>$DC360+$DA361</f>
        <v/>
      </c>
      <c r="DD361" s="55">
        <f>SUMIFS(tblPlant[Recovered_oz],tblPlant[Date],$A361)</f>
        <v/>
      </c>
      <c r="DE361" s="55">
        <f>IF($B361=$B360,$DE360,0)+$DD361</f>
        <v/>
      </c>
      <c r="DF361" s="55">
        <f>$DF360+$DD361</f>
        <v/>
      </c>
      <c r="DG361" s="55">
        <f>SUMIFS(tblPlant[Milled_t],tblPlant[Date],$A361,tblPlant[Head_Grade_gpt],"&lt;&gt;")</f>
        <v/>
      </c>
      <c r="DH361" s="55">
        <f>IF($B361=$B360,$DH360,0)+$DG361</f>
        <v/>
      </c>
      <c r="DI361" s="55">
        <f>$DI360+$DG361</f>
        <v/>
      </c>
      <c r="DJ361" s="55">
        <f>SUMIFS(tblPlant[Milled_t],tblPlant[Date],$A361,tblPlant[Tails_Grade_gpt],"&lt;&gt;")</f>
        <v/>
      </c>
      <c r="DK361" s="55">
        <f>IF($B361=$B360,$DK360,0)+$DJ361</f>
        <v/>
      </c>
      <c r="DL361" s="55">
        <f>$DL360+$DJ361</f>
        <v/>
      </c>
      <c r="DM361" s="55">
        <f>SUMIFS(tblPlant[Feed_oz],tblPlant[Date],$A361,tblPlant[Tails_Grade_gpt],"&lt;&gt;")</f>
        <v/>
      </c>
      <c r="DN361" s="55">
        <f>IF($B361=$B360,$DN360,0)+$DM361</f>
        <v/>
      </c>
      <c r="DO361" s="55">
        <f>$DO360+$DM361</f>
        <v/>
      </c>
      <c r="DP361" s="55">
        <f>SUMIFS(tblPlant[Milled_t],tblPlant[Date],$A361,tblPlant[Mill_Run_h],"&lt;&gt;")</f>
        <v/>
      </c>
      <c r="DQ361" s="55">
        <f>IF($B361=$B360,$DQ360,0)+$DP361</f>
        <v/>
      </c>
      <c r="DR361" s="55">
        <f>$DR360+$DP361</f>
        <v/>
      </c>
      <c r="DS361" s="56">
        <f>IFERROR(IF(($DG361)&gt;0,($CX361*cfg_TroyOz)/($DG361),""),"")</f>
        <v/>
      </c>
      <c r="DT361" s="56">
        <f>IFERROR(IF(($DH361)&gt;0,($CY361*cfg_TroyOz)/($DH361),""),"")</f>
        <v/>
      </c>
      <c r="DU361" s="56">
        <f>IFERROR(IF(($DI361)&gt;0,($CZ361*cfg_TroyOz)/($DI361),""),"")</f>
        <v/>
      </c>
      <c r="DV361" s="56">
        <f>IFERROR(IF(($DJ361)&gt;0,($DA361*cfg_TroyOz)/($DJ361),""),"")</f>
        <v/>
      </c>
      <c r="DW361" s="56">
        <f>IFERROR(IF(($DK361)&gt;0,($DB361*cfg_TroyOz)/($DK361),""),"")</f>
        <v/>
      </c>
      <c r="DX361" s="56">
        <f>IFERROR(IF(($DL361)&gt;0,($DC361*cfg_TroyOz)/($DL361),""),"")</f>
        <v/>
      </c>
      <c r="DY361" s="67">
        <f>IFERROR(IF(($DM361)&gt;0,($DD361)/($DM361),""),"")</f>
        <v/>
      </c>
      <c r="DZ361" s="67">
        <f>IFERROR(IF(($DN361)&gt;0,($DE361)/($DN361),""),"")</f>
        <v/>
      </c>
      <c r="EA361" s="67">
        <f>IFERROR(IF(($DO361)&gt;0,($DF361)/($DO361),""),"")</f>
        <v/>
      </c>
      <c r="EB361" s="55">
        <f>SUMIFS(tblPlant[Gravity_Gold_oz],tblPlant[Date],$A361)</f>
        <v/>
      </c>
      <c r="EC361" s="55">
        <f>IF($B361=$B360,$EC360,0)+$EB361</f>
        <v/>
      </c>
      <c r="ED361" s="55">
        <f>$ED360+$EB361</f>
        <v/>
      </c>
      <c r="EE361" s="67">
        <f>IFERROR(IF(($DD361)&gt;0,($EB361)/($DD361),""),"")</f>
        <v/>
      </c>
      <c r="EF361" s="67">
        <f>IFERROR(IF(($DE361)&gt;0,($EC361)/($DE361),""),"")</f>
        <v/>
      </c>
      <c r="EG361" s="67">
        <f>IFERROR(IF(($DF361)&gt;0,($ED361)/($DF361),""),"")</f>
        <v/>
      </c>
      <c r="EH361" s="55">
        <f>SUMIFS(tblPlant[Gold_Poured_oz],tblPlant[Date],$A361)</f>
        <v/>
      </c>
      <c r="EI361" s="55">
        <f>IF($B361=$B360,$EI360,0)+$EH361</f>
        <v/>
      </c>
      <c r="EJ361" s="55">
        <f>$EJ360+$EH361</f>
        <v/>
      </c>
      <c r="EK361" s="57">
        <f>SUMIFS(tblPlant[Mill_Run_h],tblPlant[Date],$A361)</f>
        <v/>
      </c>
      <c r="EL361" s="57">
        <f>IF($B361=$B360,$EL360,0)+$EK361</f>
        <v/>
      </c>
      <c r="EM361" s="57">
        <f>$EM360+$EK361</f>
        <v/>
      </c>
      <c r="EN361" s="57">
        <f>SUMIFS(tblPlant[Mill_Planned_Maint_h],tblPlant[Date],$A361)</f>
        <v/>
      </c>
      <c r="EO361" s="57">
        <f>IF($B361=$B360,$EO360,0)+$EN361</f>
        <v/>
      </c>
      <c r="EP361" s="57">
        <f>$EP360+$EN361</f>
        <v/>
      </c>
      <c r="EQ361" s="57">
        <f>SUMIFS(tblPlant[Mill_Unplanned_Down_h],tblPlant[Date],$A361)</f>
        <v/>
      </c>
      <c r="ER361" s="57">
        <f>IF($B361=$B360,$ER360,0)+$EQ361</f>
        <v/>
      </c>
      <c r="ES361" s="57">
        <f>$ES360+$EQ361</f>
        <v/>
      </c>
      <c r="ET361" s="57">
        <f>IF(COUNTIFS(tblPlant[Date],$A361,tblPlant[Mill_Run_h],"&lt;&gt;")+COUNTIFS(tblPlant[Date],$A361,tblPlant[Mill_Planned_Maint_h],"&lt;&gt;")+COUNTIFS(tblPlant[Date],$A361,tblPlant[Mill_Unplanned_Down_h],"&lt;&gt;")&gt;0,cfg_HoursPerDay,0)</f>
        <v/>
      </c>
      <c r="EU361" s="57">
        <f>IF($B361=$B360,$EU360,0)+$ET361</f>
        <v/>
      </c>
      <c r="EV361" s="57">
        <f>$EV360+$ET361</f>
        <v/>
      </c>
      <c r="EW361" s="57">
        <f>SUMIFS(tblPlant[Crusher_Run_h],tblPlant[Date],$A361)</f>
        <v/>
      </c>
      <c r="EX361" s="57">
        <f>IF($B361=$B360,$EX360,0)+$EW361</f>
        <v/>
      </c>
      <c r="EY361" s="57">
        <f>$EY360+$EW361</f>
        <v/>
      </c>
      <c r="EZ361" s="55">
        <f>IFERROR(IF(($EK361)&gt;0,($DP361)/($EK361),""),"")</f>
        <v/>
      </c>
      <c r="FA361" s="55">
        <f>IFERROR(IF(($EL361)&gt;0,($DQ361)/($EL361),""),"")</f>
        <v/>
      </c>
      <c r="FB361" s="55">
        <f>IFERROR(IF(($EM361)&gt;0,($DR361)/($EM361),""),"")</f>
        <v/>
      </c>
      <c r="FC361" s="67">
        <f>IFERROR(IF(($ET361)&gt;0,($ET361-$EN361-$EQ361)/($ET361),""),"")</f>
        <v/>
      </c>
      <c r="FD361" s="67">
        <f>IFERROR(IF(($EU361)&gt;0,($EU361-$EO361-$ER361)/($EU361),""),"")</f>
        <v/>
      </c>
      <c r="FE361" s="67">
        <f>IFERROR(IF(($EV361)&gt;0,($EV361-$EP361-$ES361)/($EV361),""),"")</f>
        <v/>
      </c>
      <c r="FF361" s="67">
        <f>IFERROR(IF(($ET361-$EN361-$EQ361)&gt;0,($EK361)/($ET361-$EN361-$EQ361),""),"")</f>
        <v/>
      </c>
      <c r="FG361" s="67">
        <f>IFERROR(IF(($EU361-$EO361-$ER361)&gt;0,($EL361)/($EU361-$EO361-$ER361),""),"")</f>
        <v/>
      </c>
      <c r="FH361" s="67">
        <f>IFERROR(IF(($EV361-$EP361-$ES361)&gt;0,($EM361)/($EV361-$EP361-$ES361),""),"")</f>
        <v/>
      </c>
      <c r="FI361" s="55">
        <f>SUMIFS(tblPlant[Cyanide_kg],tblPlant[Date],$A361)</f>
        <v/>
      </c>
      <c r="FJ361" s="55">
        <f>IF($B361=$B360,$FJ360,0)+$FI361</f>
        <v/>
      </c>
      <c r="FK361" s="55">
        <f>$FK360+$FI361</f>
        <v/>
      </c>
      <c r="FL361" s="55">
        <f>SUMIFS(tblPlant[Lime_kg],tblPlant[Date],$A361)</f>
        <v/>
      </c>
      <c r="FM361" s="55">
        <f>IF($B361=$B360,$FM360,0)+$FL361</f>
        <v/>
      </c>
      <c r="FN361" s="55">
        <f>$FN360+$FL361</f>
        <v/>
      </c>
      <c r="FO361" s="55">
        <f>SUMIFS(tblPlant[Grinding_Media_kg],tblPlant[Date],$A361)</f>
        <v/>
      </c>
      <c r="FP361" s="55">
        <f>IF($B361=$B360,$FP360,0)+$FO361</f>
        <v/>
      </c>
      <c r="FQ361" s="55">
        <f>$FQ360+$FO361</f>
        <v/>
      </c>
      <c r="FR361" s="55">
        <f>SUMIFS(tblPlant[Power_kWh],tblPlant[Date],$A361)</f>
        <v/>
      </c>
      <c r="FS361" s="55">
        <f>IF($B361=$B360,$FS360,0)+$FR361</f>
        <v/>
      </c>
      <c r="FT361" s="55">
        <f>$FT360+$FR361</f>
        <v/>
      </c>
      <c r="FU361" s="55">
        <f>SUMIFS(tblPlant[Raw_Water_m3],tblPlant[Date],$A361)</f>
        <v/>
      </c>
      <c r="FV361" s="55">
        <f>IF($B361=$B360,$FV360,0)+$FU361</f>
        <v/>
      </c>
      <c r="FW361" s="55">
        <f>$FW360+$FU361</f>
        <v/>
      </c>
      <c r="FX361" s="56">
        <f>IFERROR(IF(($CU361)&gt;0,($FI361)/($CU361),""),"")</f>
        <v/>
      </c>
      <c r="FY361" s="56">
        <f>IFERROR(IF(($CV361)&gt;0,($FJ361)/($CV361),""),"")</f>
        <v/>
      </c>
      <c r="FZ361" s="56">
        <f>IFERROR(IF(($CW361)&gt;0,($FK361)/($CW361),""),"")</f>
        <v/>
      </c>
      <c r="GA361" s="56">
        <f>IFERROR(IF(($CU361)&gt;0,($FL361)/($CU361),""),"")</f>
        <v/>
      </c>
      <c r="GB361" s="56">
        <f>IFERROR(IF(($CV361)&gt;0,($FM361)/($CV361),""),"")</f>
        <v/>
      </c>
      <c r="GC361" s="56">
        <f>IFERROR(IF(($CW361)&gt;0,($FN361)/($CW361),""),"")</f>
        <v/>
      </c>
      <c r="GD361" s="56">
        <f>IFERROR(IF(($CU361)&gt;0,($FO361)/($CU361),""),"")</f>
        <v/>
      </c>
      <c r="GE361" s="56">
        <f>IFERROR(IF(($CV361)&gt;0,($FP361)/($CV361),""),"")</f>
        <v/>
      </c>
      <c r="GF361" s="56">
        <f>IFERROR(IF(($CW361)&gt;0,($FQ361)/($CW361),""),"")</f>
        <v/>
      </c>
      <c r="GG361" s="79">
        <f>IFERROR(IF(($CU361)&gt;0,($FR361)/($CU361),""),"")</f>
        <v/>
      </c>
      <c r="GH361" s="79">
        <f>IFERROR(IF(($CV361)&gt;0,($FS361)/($CV361),""),"")</f>
        <v/>
      </c>
      <c r="GI361" s="79">
        <f>IFERROR(IF(($CW361)&gt;0,($FT361)/($CW361),""),"")</f>
        <v/>
      </c>
      <c r="GJ361" s="56">
        <f>IFERROR(IF(($CU361)&gt;0,($FU361)/($CU361),""),"")</f>
        <v/>
      </c>
      <c r="GK361" s="56">
        <f>IFERROR(IF(($CV361)&gt;0,($FV361)/($CV361),""),"")</f>
        <v/>
      </c>
      <c r="GL361" s="56">
        <f>IFERROR(IF(($CW361)&gt;0,($FW361)/($CW361),""),"")</f>
        <v/>
      </c>
      <c r="GM361" s="55">
        <f>IF(SUMIFS(tblPlant[GIC_oz],tblPlant[Date],$A361)&gt;0,SUMIFS(tblPlant[GIC_oz],tblPlant[Date],$A361),"")</f>
        <v/>
      </c>
      <c r="GN361" s="55">
        <f>SUMIFS(tblGold[Gold_oz],tblGold[Date],$A361,tblGold[Type],"Shipment")</f>
        <v/>
      </c>
      <c r="GO361" s="55">
        <f>IF($B361=$B360,$GO360,0)+$GN361</f>
        <v/>
      </c>
      <c r="GP361" s="55">
        <f>$GP360+$GN361</f>
        <v/>
      </c>
      <c r="GQ361" s="55">
        <f>SUMIFS(tblGold[Gold_oz],tblGold[Date],$A361,tblGold[Type],"Sale")</f>
        <v/>
      </c>
      <c r="GR361" s="55">
        <f>IF($B361=$B360,$GR360,0)+$GQ361</f>
        <v/>
      </c>
      <c r="GS361" s="55">
        <f>$GS360+$GQ361</f>
        <v/>
      </c>
      <c r="GT361" s="55">
        <f>SUMIFS(tblGold[Dore_kg],tblGold[Date],$A361,tblGold[Type],"Shipment")</f>
        <v/>
      </c>
      <c r="GU361" s="55">
        <f>IF($B361=$B360,$GU360,0)+$GT361</f>
        <v/>
      </c>
      <c r="GV361" s="55">
        <f>$GV360+$GT361</f>
        <v/>
      </c>
      <c r="GW361" s="57">
        <f>SUMIFS(tblSafety[Hours_Total],tblSafety[Date],$A361)</f>
        <v/>
      </c>
      <c r="GX361" s="57">
        <f>IF($B361=$B360,$GX360,0)+$GW361</f>
        <v/>
      </c>
      <c r="GY361" s="57">
        <f>$GY360+$GW361</f>
        <v/>
      </c>
      <c r="GZ361" s="62">
        <f>SUMIFS(tblSafety[Fatality],tblSafety[Date],$A361)</f>
        <v/>
      </c>
      <c r="HA361" s="62">
        <f>IF($B361=$B360,$HA360,0)+$GZ361</f>
        <v/>
      </c>
      <c r="HB361" s="62">
        <f>$HB360+$GZ361</f>
        <v/>
      </c>
      <c r="HC361" s="62">
        <f>SUMIFS(tblSafety[LTI],tblSafety[Date],$A361)</f>
        <v/>
      </c>
      <c r="HD361" s="62">
        <f>IF($B361=$B360,$HD360,0)+$HC361</f>
        <v/>
      </c>
      <c r="HE361" s="62">
        <f>$HE360+$HC361</f>
        <v/>
      </c>
      <c r="HF361" s="62">
        <f>SUMIFS(tblSafety[RWI],tblSafety[Date],$A361)</f>
        <v/>
      </c>
      <c r="HG361" s="62">
        <f>IF($B361=$B360,$HG360,0)+$HF361</f>
        <v/>
      </c>
      <c r="HH361" s="62">
        <f>$HH360+$HF361</f>
        <v/>
      </c>
      <c r="HI361" s="62">
        <f>SUMIFS(tblSafety[MTI],tblSafety[Date],$A361)</f>
        <v/>
      </c>
      <c r="HJ361" s="62">
        <f>IF($B361=$B360,$HJ360,0)+$HI361</f>
        <v/>
      </c>
      <c r="HK361" s="62">
        <f>$HK360+$HI361</f>
        <v/>
      </c>
      <c r="HL361" s="62">
        <f>SUMIFS(tblSafety[FAI],tblSafety[Date],$A361)</f>
        <v/>
      </c>
      <c r="HM361" s="62">
        <f>IF($B361=$B360,$HM360,0)+$HL361</f>
        <v/>
      </c>
      <c r="HN361" s="62">
        <f>$HN360+$HL361</f>
        <v/>
      </c>
      <c r="HO361" s="62">
        <f>SUMIFS(tblSafety[Recordables],tblSafety[Date],$A361)</f>
        <v/>
      </c>
      <c r="HP361" s="62">
        <f>IF($B361=$B360,$HP360,0)+$HO361</f>
        <v/>
      </c>
      <c r="HQ361" s="62">
        <f>$HQ360+$HO361</f>
        <v/>
      </c>
      <c r="HR361" s="62">
        <f>SUMIFS(tblSafety[Near_Miss],tblSafety[Date],$A361)</f>
        <v/>
      </c>
      <c r="HS361" s="62">
        <f>IF($B361=$B360,$HS360,0)+$HR361</f>
        <v/>
      </c>
      <c r="HT361" s="62">
        <f>$HT360+$HR361</f>
        <v/>
      </c>
      <c r="HU361" s="62">
        <f>SUMIFS(tblSafety[Hazard_Reports],tblSafety[Date],$A361)</f>
        <v/>
      </c>
      <c r="HV361" s="62">
        <f>IF($B361=$B360,$HV360,0)+$HU361</f>
        <v/>
      </c>
      <c r="HW361" s="62">
        <f>$HW360+$HU361</f>
        <v/>
      </c>
      <c r="HX361" s="62">
        <f>SUMIFS(tblSafety[HPI],tblSafety[Date],$A361)</f>
        <v/>
      </c>
      <c r="HY361" s="62">
        <f>IF($B361=$B360,$HY360,0)+$HX361</f>
        <v/>
      </c>
      <c r="HZ361" s="62">
        <f>$HZ360+$HX361</f>
        <v/>
      </c>
      <c r="IA361" s="62">
        <f>SUMIFS(tblSafety[Env_Incidents],tblSafety[Date],$A361)</f>
        <v/>
      </c>
      <c r="IB361" s="62">
        <f>IF($B361=$B360,$IB360,0)+$IA361</f>
        <v/>
      </c>
      <c r="IC361" s="62">
        <f>$IC360+$IA361</f>
        <v/>
      </c>
      <c r="ID361" s="62">
        <f>SUMIFS(tblSafety[Community_Incidents],tblSafety[Date],$A361)</f>
        <v/>
      </c>
      <c r="IE361" s="62">
        <f>IF($B361=$B360,$IE360,0)+$ID361</f>
        <v/>
      </c>
      <c r="IF361" s="62">
        <f>$IF360+$ID361</f>
        <v/>
      </c>
      <c r="IG361" s="62">
        <f>SUMIFS(tblSafety[Vehicle_Incidents],tblSafety[Date],$A361)</f>
        <v/>
      </c>
      <c r="IH361" s="62">
        <f>IF($B361=$B360,$IH360,0)+$IG361</f>
        <v/>
      </c>
      <c r="II361" s="62">
        <f>$II360+$IG361</f>
        <v/>
      </c>
      <c r="IJ361" s="62">
        <f>SUMIFS(tblSafety[Toolbox_Talks],tblSafety[Date],$A361)</f>
        <v/>
      </c>
      <c r="IK361" s="62">
        <f>IF($B361=$B360,$IK360,0)+$IJ361</f>
        <v/>
      </c>
      <c r="IL361" s="62">
        <f>$IL360+$IJ361</f>
        <v/>
      </c>
      <c r="IM361" s="62">
        <f>SUMIFS(tblSafety[Inspections],tblSafety[Date],$A361)</f>
        <v/>
      </c>
      <c r="IN361" s="62">
        <f>IF($B361=$B360,$IN360,0)+$IM361</f>
        <v/>
      </c>
      <c r="IO361" s="62">
        <f>$IO360+$IM361</f>
        <v/>
      </c>
      <c r="IP361" s="56">
        <f>IFERROR((SUMIFS(tblSafety[Recordables],tblSafety[Date],"&gt;="&amp;EDATE($E361,-12),tblSafety[Date],"&lt;="&amp;$A361)+SUMIFS(tblSafetyHistory[Recordables],tblSafetyHistory[Month],"&gt;="&amp;EDATE($E361,-12),tblSafetyHistory[Month],"&lt;"&amp;$E361,tblSafetyHistory[Use],1))/(SUMIFS(tblSafety[Hours_Total],tblSafety[Date],"&gt;="&amp;EDATE($E361,-12),tblSafety[Date],"&lt;="&amp;$A361)+SUMIFS(tblSafetyHistory[Hours_Total],tblSafetyHistory[Month],"&gt;="&amp;EDATE($E361,-12),tblSafetyHistory[Month],"&lt;"&amp;$E361,tblSafetyHistory[Use],1))*cfg_RateBasisHours,"")</f>
        <v/>
      </c>
      <c r="IQ361" s="56">
        <f>IFERROR((SUMIFS(tblSafety[LTI],tblSafety[Date],"&gt;="&amp;EDATE($E361,-12),tblSafety[Date],"&lt;="&amp;$A361)+SUMIFS(tblSafetyHistory[LTI],tblSafetyHistory[Month],"&gt;="&amp;EDATE($E361,-12),tblSafetyHistory[Month],"&lt;"&amp;$E361,tblSafetyHistory[Use],1))/(SUMIFS(tblSafety[Hours_Total],tblSafety[Date],"&gt;="&amp;EDATE($E361,-12),tblSafety[Date],"&lt;="&amp;$A361)+SUMIFS(tblSafetyHistory[Hours_Total],tblSafetyHistory[Month],"&gt;="&amp;EDATE($E361,-12),tblSafetyHistory[Month],"&lt;"&amp;$E361,tblSafetyHistory[Use],1))*cfg_RateBasisHours,"")</f>
        <v/>
      </c>
      <c r="IR361" s="62">
        <f>IF(MAX(N(cfg_PriorLTIDate),_xlfn.MAXIFS(tblSafety[Date],tblSafety[LTI],"&gt;0",tblSafety[Date],"&lt;="&amp;$A361))=0,"",$A361-MAX(N(cfg_PriorLTIDate),_xlfn.MAXIFS(tblSafety[Date],tblSafety[LTI],"&gt;0",tblSafety[Date],"&lt;="&amp;$A361)))</f>
        <v/>
      </c>
      <c r="IS361" s="55">
        <f>SUMIFS(tblBudget[Ore_Mined_t],tblBudget[Month],$E361)</f>
        <v/>
      </c>
      <c r="IT361" s="55">
        <f>$IS361*$C361/$D361</f>
        <v/>
      </c>
      <c r="IU361" s="55">
        <f>SUMIFS(tblBudget[Ore_Mined_t],tblBudget[Month],"&lt;"&amp;$E361)+$IT361</f>
        <v/>
      </c>
      <c r="IV361" s="55">
        <f>SUMIFS(tblBudget[Ore_oz],tblBudget[Month],$E361)</f>
        <v/>
      </c>
      <c r="IW361" s="55">
        <f>$IV361*$C361/$D361</f>
        <v/>
      </c>
      <c r="IX361" s="55">
        <f>SUMIFS(tblBudget[Ore_oz],tblBudget[Month],"&lt;"&amp;$E361)+$IW361</f>
        <v/>
      </c>
      <c r="IY361" s="55">
        <f>SUMIFS(tblBudget[Ore_Mined_t],tblBudget[Month],$E361)</f>
        <v/>
      </c>
      <c r="IZ361" s="55">
        <f>$IY361*$C361/$D361</f>
        <v/>
      </c>
      <c r="JA361" s="55">
        <f>SUMIFS(tblBudget[Ore_Mined_t],tblBudget[Month],"&lt;"&amp;$E361)+$IZ361</f>
        <v/>
      </c>
      <c r="JB361" s="56">
        <f>IFERROR(IF(($IY361)&gt;0,($IV361*cfg_TroyOz)/($IY361),""),"")</f>
        <v/>
      </c>
      <c r="JC361" s="56">
        <f>IFERROR(IF(($IZ361)&gt;0,($IW361*cfg_TroyOz)/($IZ361),""),"")</f>
        <v/>
      </c>
      <c r="JD361" s="56">
        <f>IFERROR(IF(($JA361)&gt;0,($IX361*cfg_TroyOz)/($JA361),""),"")</f>
        <v/>
      </c>
      <c r="JE361" s="55">
        <f>SUMIFS(tblBudget[Waste_t],tblBudget[Month],$E361)</f>
        <v/>
      </c>
      <c r="JF361" s="55">
        <f>$JE361*$C361/$D361</f>
        <v/>
      </c>
      <c r="JG361" s="55">
        <f>SUMIFS(tblBudget[Waste_t],tblBudget[Month],"&lt;"&amp;$E361)+$JF361</f>
        <v/>
      </c>
      <c r="JH361" s="55">
        <f>SUMIFS(tblBudget[TMM_t],tblBudget[Month],$E361)</f>
        <v/>
      </c>
      <c r="JI361" s="55">
        <f>$JH361*$C361/$D361</f>
        <v/>
      </c>
      <c r="JJ361" s="55">
        <f>SUMIFS(tblBudget[TMM_t],tblBudget[Month],"&lt;"&amp;$E361)+$JI361</f>
        <v/>
      </c>
      <c r="JK361" s="56">
        <f>IFERROR(IF(($IS361)&gt;0,($JE361)/($IS361),""),"")</f>
        <v/>
      </c>
      <c r="JL361" s="56">
        <f>IFERROR(IF(($IT361)&gt;0,($JF361)/($IT361),""),"")</f>
        <v/>
      </c>
      <c r="JM361" s="56">
        <f>IFERROR(IF(($IU361)&gt;0,($JG361)/($IU361),""),"")</f>
        <v/>
      </c>
      <c r="JN361" s="55">
        <f>SUMIFS(tblBudget[Drill_m],tblBudget[Month],$E361)</f>
        <v/>
      </c>
      <c r="JO361" s="55">
        <f>$JN361*$C361/$D361</f>
        <v/>
      </c>
      <c r="JP361" s="55">
        <f>SUMIFS(tblBudget[Drill_m],tblBudget[Month],"&lt;"&amp;$E361)+$JO361</f>
        <v/>
      </c>
      <c r="JQ361" s="55">
        <f>SUMIFS(tblBudget[Diesel_L],tblBudget[Month],$E361)</f>
        <v/>
      </c>
      <c r="JR361" s="55">
        <f>$JQ361*$C361/$D361</f>
        <v/>
      </c>
      <c r="JS361" s="55">
        <f>SUMIFS(tblBudget[Diesel_L],tblBudget[Month],"&lt;"&amp;$E361)+$JR361</f>
        <v/>
      </c>
      <c r="JT361" s="55">
        <f>SUMIFS(tblBudget[Milled_t],tblBudget[Month],$E361)</f>
        <v/>
      </c>
      <c r="JU361" s="55">
        <f>$JT361*$C361/$D361</f>
        <v/>
      </c>
      <c r="JV361" s="55">
        <f>SUMIFS(tblBudget[Milled_t],tblBudget[Month],"&lt;"&amp;$E361)+$JU361</f>
        <v/>
      </c>
      <c r="JW361" s="55">
        <f>SUMIFS(tblBudget[Feed_oz],tblBudget[Month],$E361)</f>
        <v/>
      </c>
      <c r="JX361" s="55">
        <f>$JW361*$C361/$D361</f>
        <v/>
      </c>
      <c r="JY361" s="55">
        <f>SUMIFS(tblBudget[Feed_oz],tblBudget[Month],"&lt;"&amp;$E361)+$JX361</f>
        <v/>
      </c>
      <c r="JZ361" s="55">
        <f>SUMIFS(tblBudget[Recovered_oz],tblBudget[Month],$E361)</f>
        <v/>
      </c>
      <c r="KA361" s="55">
        <f>$JZ361*$C361/$D361</f>
        <v/>
      </c>
      <c r="KB361" s="55">
        <f>SUMIFS(tblBudget[Recovered_oz],tblBudget[Month],"&lt;"&amp;$E361)+$KA361</f>
        <v/>
      </c>
      <c r="KC361" s="55">
        <f>SUMIFS(tblBudget[Milled_t],tblBudget[Month],$E361)</f>
        <v/>
      </c>
      <c r="KD361" s="55">
        <f>$KC361*$C361/$D361</f>
        <v/>
      </c>
      <c r="KE361" s="55">
        <f>SUMIFS(tblBudget[Milled_t],tblBudget[Month],"&lt;"&amp;$E361)+$KD361</f>
        <v/>
      </c>
      <c r="KF361" s="55">
        <f>SUMIFS(tblBudget[Feed_oz],tblBudget[Month],$E361)</f>
        <v/>
      </c>
      <c r="KG361" s="55">
        <f>$KF361*$C361/$D361</f>
        <v/>
      </c>
      <c r="KH361" s="55">
        <f>SUMIFS(tblBudget[Feed_oz],tblBudget[Month],"&lt;"&amp;$E361)+$KG361</f>
        <v/>
      </c>
      <c r="KI361" s="56">
        <f>IFERROR(IF(($KC361)&gt;0,($JW361*cfg_TroyOz)/($KC361),""),"")</f>
        <v/>
      </c>
      <c r="KJ361" s="56">
        <f>IFERROR(IF(($KD361)&gt;0,($JX361*cfg_TroyOz)/($KD361),""),"")</f>
        <v/>
      </c>
      <c r="KK361" s="56">
        <f>IFERROR(IF(($KE361)&gt;0,($JY361*cfg_TroyOz)/($KE361),""),"")</f>
        <v/>
      </c>
      <c r="KL361" s="67">
        <f>IFERROR(IF(($KF361)&gt;0,($JZ361)/($KF361),""),"")</f>
        <v/>
      </c>
      <c r="KM361" s="67">
        <f>IFERROR(IF(($KG361)&gt;0,($KA361)/($KG361),""),"")</f>
        <v/>
      </c>
      <c r="KN361" s="67">
        <f>IFERROR(IF(($KH361)&gt;0,($KB361)/($KH361),""),"")</f>
        <v/>
      </c>
      <c r="KO361" s="55">
        <f>SUMIFS(tblBudget[Gold_Poured_oz],tblBudget[Month],$E361)</f>
        <v/>
      </c>
      <c r="KP361" s="55">
        <f>$KO361*$C361/$D361</f>
        <v/>
      </c>
      <c r="KQ361" s="55">
        <f>SUMIFS(tblBudget[Gold_Poured_oz],tblBudget[Month],"&lt;"&amp;$E361)+$KP361</f>
        <v/>
      </c>
      <c r="KR361" s="57">
        <f>SUMIFS(tblBudget[Hours_Worked],tblBudget[Month],$E361)</f>
        <v/>
      </c>
      <c r="KS361" s="57">
        <f>$KR361*$C361/$D361</f>
        <v/>
      </c>
      <c r="KT361" s="57">
        <f>SUMIFS(tblBudget[Hours_Worked],tblBudget[Month],"&lt;"&amp;$E361)+$KS361</f>
        <v/>
      </c>
    </row>
    <row r="362">
      <c r="A362" s="54" t="n">
        <v>46383</v>
      </c>
      <c r="B362">
        <f>MONTH($A362)</f>
        <v/>
      </c>
      <c r="C362">
        <f>DAY($A362)</f>
        <v/>
      </c>
      <c r="D362">
        <f>DAY(EOMONTH($A362,0))</f>
        <v/>
      </c>
      <c r="E362" s="54">
        <f>DATE(YEAR($A362),MONTH($A362),1)</f>
        <v/>
      </c>
      <c r="F362" s="55">
        <f>SUMIFS(tblMovement[Tonnes_t],tblMovement[Date],$A362,tblMovement[Is_Ore],1,tblMovement[Source_Type],"Pit")</f>
        <v/>
      </c>
      <c r="G362" s="55">
        <f>IF($B362=$B361,$G361,0)+$F362</f>
        <v/>
      </c>
      <c r="H362" s="55">
        <f>$H361+$F362</f>
        <v/>
      </c>
      <c r="I362" s="55">
        <f>SUMIFS(tblMovement[Ore_oz],tblMovement[Date],$A362,tblMovement[Source_Type],"Pit")</f>
        <v/>
      </c>
      <c r="J362" s="55">
        <f>IF($B362=$B361,$J361,0)+$I362</f>
        <v/>
      </c>
      <c r="K362" s="55">
        <f>$K361+$I362</f>
        <v/>
      </c>
      <c r="L362" s="55">
        <f>SUMIFS(tblMovement[Tonnes_t],tblMovement[Date],$A362,tblMovement[Is_Ore],1,tblMovement[Source_Type],"Pit",tblMovement[Grade_gpt],"&lt;&gt;")</f>
        <v/>
      </c>
      <c r="M362" s="55">
        <f>IF($B362=$B361,$M361,0)+$L362</f>
        <v/>
      </c>
      <c r="N362" s="55">
        <f>$N361+$L362</f>
        <v/>
      </c>
      <c r="O362" s="56">
        <f>IFERROR(IF(($L362)&gt;0,($I362*cfg_TroyOz)/($L362),""),"")</f>
        <v/>
      </c>
      <c r="P362" s="56">
        <f>IFERROR(IF(($M362)&gt;0,($J362*cfg_TroyOz)/($M362),""),"")</f>
        <v/>
      </c>
      <c r="Q362" s="56">
        <f>IFERROR(IF(($N362)&gt;0,($K362*cfg_TroyOz)/($N362),""),"")</f>
        <v/>
      </c>
      <c r="R362" s="55">
        <f>$F362-$L362</f>
        <v/>
      </c>
      <c r="S362" s="55">
        <f>IF($B362=$B361,$S361,0)+$R362</f>
        <v/>
      </c>
      <c r="T362" s="55">
        <f>$T361+$R362</f>
        <v/>
      </c>
      <c r="U362" s="55">
        <f>SUMIFS(tblMovement[Tonnes_t],tblMovement[Date],$A362,tblMovement[Is_Ore],0,tblMovement[Source_Type],"Pit")</f>
        <v/>
      </c>
      <c r="V362" s="55">
        <f>IF($B362=$B361,$V361,0)+$U362</f>
        <v/>
      </c>
      <c r="W362" s="55">
        <f>$W361+$U362</f>
        <v/>
      </c>
      <c r="X362" s="55">
        <f>$F362+$U362</f>
        <v/>
      </c>
      <c r="Y362" s="55">
        <f>IF($B362=$B361,$Y361,0)+$X362</f>
        <v/>
      </c>
      <c r="Z362" s="55">
        <f>$Z361+$X362</f>
        <v/>
      </c>
      <c r="AA362" s="56">
        <f>IFERROR(IF(($F362)&gt;0,($U362)/($F362),""),"")</f>
        <v/>
      </c>
      <c r="AB362" s="56">
        <f>IFERROR(IF(($G362)&gt;0,($V362)/($G362),""),"")</f>
        <v/>
      </c>
      <c r="AC362" s="56">
        <f>IFERROR(IF(($H362)&gt;0,($W362)/($H362),""),"")</f>
        <v/>
      </c>
      <c r="AD362" s="55">
        <f>SUMIFS(tblMovement[Tonnes_t],tblMovement[Date],$A362,tblMovement[Source_Type],"Stockpile")</f>
        <v/>
      </c>
      <c r="AE362" s="55">
        <f>IF($B362=$B361,$AE361,0)+$AD362</f>
        <v/>
      </c>
      <c r="AF362" s="55">
        <f>$AF361+$AD362</f>
        <v/>
      </c>
      <c r="AG362" s="55">
        <f>SUMIFS(tblMovement[Tonnes_t],tblMovement[Date],$A362)</f>
        <v/>
      </c>
      <c r="AH362" s="55">
        <f>IF($B362=$B361,$AH361,0)+$AG362</f>
        <v/>
      </c>
      <c r="AI362" s="55">
        <f>$AI361+$AG362</f>
        <v/>
      </c>
      <c r="AJ362" s="55">
        <f>$AG362-$X362-$AD362</f>
        <v/>
      </c>
      <c r="AK362" s="55">
        <f>IF($B362=$B361,$AK361,0)+$AJ362</f>
        <v/>
      </c>
      <c r="AL362" s="55">
        <f>$AL361+$AJ362</f>
        <v/>
      </c>
      <c r="AM362" s="55">
        <f>SUMIFS(tblMiningDaily[Drill_m],tblMiningDaily[Date],$A362)</f>
        <v/>
      </c>
      <c r="AN362" s="55">
        <f>IF($B362=$B361,$AN361,0)+$AM362</f>
        <v/>
      </c>
      <c r="AO362" s="55">
        <f>$AO361+$AM362</f>
        <v/>
      </c>
      <c r="AP362" s="55">
        <f>SUMIFS(tblMiningDaily[GC_Drill_m],tblMiningDaily[Date],$A362)</f>
        <v/>
      </c>
      <c r="AQ362" s="55">
        <f>IF($B362=$B361,$AQ361,0)+$AP362</f>
        <v/>
      </c>
      <c r="AR362" s="55">
        <f>$AR361+$AP362</f>
        <v/>
      </c>
      <c r="AS362" s="55">
        <f>SUMIFS(tblMiningDaily[Blast_t],tblMiningDaily[Date],$A362)</f>
        <v/>
      </c>
      <c r="AT362" s="55">
        <f>IF($B362=$B361,$AT361,0)+$AS362</f>
        <v/>
      </c>
      <c r="AU362" s="55">
        <f>$AU361+$AS362</f>
        <v/>
      </c>
      <c r="AV362" s="55">
        <f>SUMIFS(tblMiningDaily[Explosives_kg],tblMiningDaily[Date],$A362)</f>
        <v/>
      </c>
      <c r="AW362" s="55">
        <f>IF($B362=$B361,$AW361,0)+$AV362</f>
        <v/>
      </c>
      <c r="AX362" s="55">
        <f>$AX361+$AV362</f>
        <v/>
      </c>
      <c r="AY362" s="56">
        <f>IFERROR(IF(($AS362)&gt;0,($AV362)/($AS362),""),"")</f>
        <v/>
      </c>
      <c r="AZ362" s="56">
        <f>IFERROR(IF(($AT362)&gt;0,($AW362)/($AT362),""),"")</f>
        <v/>
      </c>
      <c r="BA362" s="56">
        <f>IFERROR(IF(($AU362)&gt;0,($AX362)/($AU362),""),"")</f>
        <v/>
      </c>
      <c r="BB362" s="55">
        <f>SUMIFS(tblMiningDaily[Diesel_L],tblMiningDaily[Date],$A362)</f>
        <v/>
      </c>
      <c r="BC362" s="55">
        <f>IF($B362=$B361,$BC361,0)+$BB362</f>
        <v/>
      </c>
      <c r="BD362" s="55">
        <f>$BD361+$BB362</f>
        <v/>
      </c>
      <c r="BE362" s="55">
        <f>SUMIFS(tblMiningDaily[Dewatering_m3],tblMiningDaily[Date],$A362)</f>
        <v/>
      </c>
      <c r="BF362" s="55">
        <f>IF($B362=$B361,$BF361,0)+$BE362</f>
        <v/>
      </c>
      <c r="BG362" s="55">
        <f>$BG361+$BE362</f>
        <v/>
      </c>
      <c r="BH362" s="57">
        <f>SUMIFS(tblFleet[Calendar_h],tblFleet[Date],$A362,tblFleet[Equipment_Class],"Excavator")</f>
        <v/>
      </c>
      <c r="BI362" s="57">
        <f>IF($B362=$B361,$BI361,0)+$BH362</f>
        <v/>
      </c>
      <c r="BJ362" s="57">
        <f>$BJ361+$BH362</f>
        <v/>
      </c>
      <c r="BK362" s="57">
        <f>SUMIFS(tblFleet[Available_h],tblFleet[Date],$A362,tblFleet[Equipment_Class],"Excavator")</f>
        <v/>
      </c>
      <c r="BL362" s="57">
        <f>IF($B362=$B361,$BL361,0)+$BK362</f>
        <v/>
      </c>
      <c r="BM362" s="57">
        <f>$BM361+$BK362</f>
        <v/>
      </c>
      <c r="BN362" s="57">
        <f>SUMIFS(tblFleet[Operating_h],tblFleet[Date],$A362,tblFleet[Equipment_Class],"Excavator")</f>
        <v/>
      </c>
      <c r="BO362" s="57">
        <f>IF($B362=$B361,$BO361,0)+$BN362</f>
        <v/>
      </c>
      <c r="BP362" s="57">
        <f>$BP361+$BN362</f>
        <v/>
      </c>
      <c r="BQ362" s="67">
        <f>IFERROR(IF(($BH362)&gt;0,($BK362)/($BH362),""),"")</f>
        <v/>
      </c>
      <c r="BR362" s="67">
        <f>IFERROR(IF(($BI362)&gt;0,($BL362)/($BI362),""),"")</f>
        <v/>
      </c>
      <c r="BS362" s="67">
        <f>IFERROR(IF(($BJ362)&gt;0,($BM362)/($BJ362),""),"")</f>
        <v/>
      </c>
      <c r="BT362" s="67">
        <f>IFERROR(IF(($BK362)&gt;0,($BN362)/($BK362),""),"")</f>
        <v/>
      </c>
      <c r="BU362" s="67">
        <f>IFERROR(IF(($BL362)&gt;0,($BO362)/($BL362),""),"")</f>
        <v/>
      </c>
      <c r="BV362" s="67">
        <f>IFERROR(IF(($BM362)&gt;0,($BP362)/($BM362),""),"")</f>
        <v/>
      </c>
      <c r="BW362" s="57">
        <f>SUMIFS(tblFleet[Calendar_h],tblFleet[Date],$A362,tblFleet[Equipment_Class],"Haul Truck")</f>
        <v/>
      </c>
      <c r="BX362" s="57">
        <f>IF($B362=$B361,$BX361,0)+$BW362</f>
        <v/>
      </c>
      <c r="BY362" s="57">
        <f>$BY361+$BW362</f>
        <v/>
      </c>
      <c r="BZ362" s="57">
        <f>SUMIFS(tblFleet[Available_h],tblFleet[Date],$A362,tblFleet[Equipment_Class],"Haul Truck")</f>
        <v/>
      </c>
      <c r="CA362" s="57">
        <f>IF($B362=$B361,$CA361,0)+$BZ362</f>
        <v/>
      </c>
      <c r="CB362" s="57">
        <f>$CB361+$BZ362</f>
        <v/>
      </c>
      <c r="CC362" s="57">
        <f>SUMIFS(tblFleet[Operating_h],tblFleet[Date],$A362,tblFleet[Equipment_Class],"Haul Truck")</f>
        <v/>
      </c>
      <c r="CD362" s="57">
        <f>IF($B362=$B361,$CD361,0)+$CC362</f>
        <v/>
      </c>
      <c r="CE362" s="57">
        <f>$CE361+$CC362</f>
        <v/>
      </c>
      <c r="CF362" s="67">
        <f>IFERROR(IF(($BW362)&gt;0,($BZ362)/($BW362),""),"")</f>
        <v/>
      </c>
      <c r="CG362" s="67">
        <f>IFERROR(IF(($BX362)&gt;0,($CA362)/($BX362),""),"")</f>
        <v/>
      </c>
      <c r="CH362" s="67">
        <f>IFERROR(IF(($BY362)&gt;0,($CB362)/($BY362),""),"")</f>
        <v/>
      </c>
      <c r="CI362" s="67">
        <f>IFERROR(IF(($BZ362)&gt;0,($CC362)/($BZ362),""),"")</f>
        <v/>
      </c>
      <c r="CJ362" s="67">
        <f>IFERROR(IF(($CA362)&gt;0,($CD362)/($CA362),""),"")</f>
        <v/>
      </c>
      <c r="CK362" s="67">
        <f>IFERROR(IF(($CB362)&gt;0,($CE362)/($CB362),""),"")</f>
        <v/>
      </c>
      <c r="CL362" s="55">
        <f>IFERROR(IF(($BN362)&gt;0,($X362+$AD362)/($BN362),""),"")</f>
        <v/>
      </c>
      <c r="CM362" s="55">
        <f>IFERROR(IF(($BO362)&gt;0,($Y362+$AE362)/($BO362),""),"")</f>
        <v/>
      </c>
      <c r="CN362" s="55">
        <f>IFERROR(IF(($BP362)&gt;0,($Z362+$AF362)/($BP362),""),"")</f>
        <v/>
      </c>
      <c r="CO362" s="55">
        <f>IFERROR(IF(($CC362)&gt;0,($X362+$AD362)/($CC362),""),"")</f>
        <v/>
      </c>
      <c r="CP362" s="55">
        <f>IFERROR(IF(($CD362)&gt;0,($Y362+$AE362)/($CD362),""),"")</f>
        <v/>
      </c>
      <c r="CQ362" s="55">
        <f>IFERROR(IF(($CE362)&gt;0,($Z362+$AF362)/($CE362),""),"")</f>
        <v/>
      </c>
      <c r="CR362" s="55">
        <f>SUMIFS(tblPlant[Crushed_t],tblPlant[Date],$A362)</f>
        <v/>
      </c>
      <c r="CS362" s="55">
        <f>IF($B362=$B361,$CS361,0)+$CR362</f>
        <v/>
      </c>
      <c r="CT362" s="55">
        <f>$CT361+$CR362</f>
        <v/>
      </c>
      <c r="CU362" s="55">
        <f>SUMIFS(tblPlant[Milled_t],tblPlant[Date],$A362)</f>
        <v/>
      </c>
      <c r="CV362" s="55">
        <f>IF($B362=$B361,$CV361,0)+$CU362</f>
        <v/>
      </c>
      <c r="CW362" s="55">
        <f>$CW361+$CU362</f>
        <v/>
      </c>
      <c r="CX362" s="55">
        <f>SUMIFS(tblPlant[Feed_oz],tblPlant[Date],$A362)</f>
        <v/>
      </c>
      <c r="CY362" s="55">
        <f>IF($B362=$B361,$CY361,0)+$CX362</f>
        <v/>
      </c>
      <c r="CZ362" s="55">
        <f>$CZ361+$CX362</f>
        <v/>
      </c>
      <c r="DA362" s="55">
        <f>SUMIFS(tblPlant[Tails_oz],tblPlant[Date],$A362)</f>
        <v/>
      </c>
      <c r="DB362" s="55">
        <f>IF($B362=$B361,$DB361,0)+$DA362</f>
        <v/>
      </c>
      <c r="DC362" s="55">
        <f>$DC361+$DA362</f>
        <v/>
      </c>
      <c r="DD362" s="55">
        <f>SUMIFS(tblPlant[Recovered_oz],tblPlant[Date],$A362)</f>
        <v/>
      </c>
      <c r="DE362" s="55">
        <f>IF($B362=$B361,$DE361,0)+$DD362</f>
        <v/>
      </c>
      <c r="DF362" s="55">
        <f>$DF361+$DD362</f>
        <v/>
      </c>
      <c r="DG362" s="55">
        <f>SUMIFS(tblPlant[Milled_t],tblPlant[Date],$A362,tblPlant[Head_Grade_gpt],"&lt;&gt;")</f>
        <v/>
      </c>
      <c r="DH362" s="55">
        <f>IF($B362=$B361,$DH361,0)+$DG362</f>
        <v/>
      </c>
      <c r="DI362" s="55">
        <f>$DI361+$DG362</f>
        <v/>
      </c>
      <c r="DJ362" s="55">
        <f>SUMIFS(tblPlant[Milled_t],tblPlant[Date],$A362,tblPlant[Tails_Grade_gpt],"&lt;&gt;")</f>
        <v/>
      </c>
      <c r="DK362" s="55">
        <f>IF($B362=$B361,$DK361,0)+$DJ362</f>
        <v/>
      </c>
      <c r="DL362" s="55">
        <f>$DL361+$DJ362</f>
        <v/>
      </c>
      <c r="DM362" s="55">
        <f>SUMIFS(tblPlant[Feed_oz],tblPlant[Date],$A362,tblPlant[Tails_Grade_gpt],"&lt;&gt;")</f>
        <v/>
      </c>
      <c r="DN362" s="55">
        <f>IF($B362=$B361,$DN361,0)+$DM362</f>
        <v/>
      </c>
      <c r="DO362" s="55">
        <f>$DO361+$DM362</f>
        <v/>
      </c>
      <c r="DP362" s="55">
        <f>SUMIFS(tblPlant[Milled_t],tblPlant[Date],$A362,tblPlant[Mill_Run_h],"&lt;&gt;")</f>
        <v/>
      </c>
      <c r="DQ362" s="55">
        <f>IF($B362=$B361,$DQ361,0)+$DP362</f>
        <v/>
      </c>
      <c r="DR362" s="55">
        <f>$DR361+$DP362</f>
        <v/>
      </c>
      <c r="DS362" s="56">
        <f>IFERROR(IF(($DG362)&gt;0,($CX362*cfg_TroyOz)/($DG362),""),"")</f>
        <v/>
      </c>
      <c r="DT362" s="56">
        <f>IFERROR(IF(($DH362)&gt;0,($CY362*cfg_TroyOz)/($DH362),""),"")</f>
        <v/>
      </c>
      <c r="DU362" s="56">
        <f>IFERROR(IF(($DI362)&gt;0,($CZ362*cfg_TroyOz)/($DI362),""),"")</f>
        <v/>
      </c>
      <c r="DV362" s="56">
        <f>IFERROR(IF(($DJ362)&gt;0,($DA362*cfg_TroyOz)/($DJ362),""),"")</f>
        <v/>
      </c>
      <c r="DW362" s="56">
        <f>IFERROR(IF(($DK362)&gt;0,($DB362*cfg_TroyOz)/($DK362),""),"")</f>
        <v/>
      </c>
      <c r="DX362" s="56">
        <f>IFERROR(IF(($DL362)&gt;0,($DC362*cfg_TroyOz)/($DL362),""),"")</f>
        <v/>
      </c>
      <c r="DY362" s="67">
        <f>IFERROR(IF(($DM362)&gt;0,($DD362)/($DM362),""),"")</f>
        <v/>
      </c>
      <c r="DZ362" s="67">
        <f>IFERROR(IF(($DN362)&gt;0,($DE362)/($DN362),""),"")</f>
        <v/>
      </c>
      <c r="EA362" s="67">
        <f>IFERROR(IF(($DO362)&gt;0,($DF362)/($DO362),""),"")</f>
        <v/>
      </c>
      <c r="EB362" s="55">
        <f>SUMIFS(tblPlant[Gravity_Gold_oz],tblPlant[Date],$A362)</f>
        <v/>
      </c>
      <c r="EC362" s="55">
        <f>IF($B362=$B361,$EC361,0)+$EB362</f>
        <v/>
      </c>
      <c r="ED362" s="55">
        <f>$ED361+$EB362</f>
        <v/>
      </c>
      <c r="EE362" s="67">
        <f>IFERROR(IF(($DD362)&gt;0,($EB362)/($DD362),""),"")</f>
        <v/>
      </c>
      <c r="EF362" s="67">
        <f>IFERROR(IF(($DE362)&gt;0,($EC362)/($DE362),""),"")</f>
        <v/>
      </c>
      <c r="EG362" s="67">
        <f>IFERROR(IF(($DF362)&gt;0,($ED362)/($DF362),""),"")</f>
        <v/>
      </c>
      <c r="EH362" s="55">
        <f>SUMIFS(tblPlant[Gold_Poured_oz],tblPlant[Date],$A362)</f>
        <v/>
      </c>
      <c r="EI362" s="55">
        <f>IF($B362=$B361,$EI361,0)+$EH362</f>
        <v/>
      </c>
      <c r="EJ362" s="55">
        <f>$EJ361+$EH362</f>
        <v/>
      </c>
      <c r="EK362" s="57">
        <f>SUMIFS(tblPlant[Mill_Run_h],tblPlant[Date],$A362)</f>
        <v/>
      </c>
      <c r="EL362" s="57">
        <f>IF($B362=$B361,$EL361,0)+$EK362</f>
        <v/>
      </c>
      <c r="EM362" s="57">
        <f>$EM361+$EK362</f>
        <v/>
      </c>
      <c r="EN362" s="57">
        <f>SUMIFS(tblPlant[Mill_Planned_Maint_h],tblPlant[Date],$A362)</f>
        <v/>
      </c>
      <c r="EO362" s="57">
        <f>IF($B362=$B361,$EO361,0)+$EN362</f>
        <v/>
      </c>
      <c r="EP362" s="57">
        <f>$EP361+$EN362</f>
        <v/>
      </c>
      <c r="EQ362" s="57">
        <f>SUMIFS(tblPlant[Mill_Unplanned_Down_h],tblPlant[Date],$A362)</f>
        <v/>
      </c>
      <c r="ER362" s="57">
        <f>IF($B362=$B361,$ER361,0)+$EQ362</f>
        <v/>
      </c>
      <c r="ES362" s="57">
        <f>$ES361+$EQ362</f>
        <v/>
      </c>
      <c r="ET362" s="57">
        <f>IF(COUNTIFS(tblPlant[Date],$A362,tblPlant[Mill_Run_h],"&lt;&gt;")+COUNTIFS(tblPlant[Date],$A362,tblPlant[Mill_Planned_Maint_h],"&lt;&gt;")+COUNTIFS(tblPlant[Date],$A362,tblPlant[Mill_Unplanned_Down_h],"&lt;&gt;")&gt;0,cfg_HoursPerDay,0)</f>
        <v/>
      </c>
      <c r="EU362" s="57">
        <f>IF($B362=$B361,$EU361,0)+$ET362</f>
        <v/>
      </c>
      <c r="EV362" s="57">
        <f>$EV361+$ET362</f>
        <v/>
      </c>
      <c r="EW362" s="57">
        <f>SUMIFS(tblPlant[Crusher_Run_h],tblPlant[Date],$A362)</f>
        <v/>
      </c>
      <c r="EX362" s="57">
        <f>IF($B362=$B361,$EX361,0)+$EW362</f>
        <v/>
      </c>
      <c r="EY362" s="57">
        <f>$EY361+$EW362</f>
        <v/>
      </c>
      <c r="EZ362" s="55">
        <f>IFERROR(IF(($EK362)&gt;0,($DP362)/($EK362),""),"")</f>
        <v/>
      </c>
      <c r="FA362" s="55">
        <f>IFERROR(IF(($EL362)&gt;0,($DQ362)/($EL362),""),"")</f>
        <v/>
      </c>
      <c r="FB362" s="55">
        <f>IFERROR(IF(($EM362)&gt;0,($DR362)/($EM362),""),"")</f>
        <v/>
      </c>
      <c r="FC362" s="67">
        <f>IFERROR(IF(($ET362)&gt;0,($ET362-$EN362-$EQ362)/($ET362),""),"")</f>
        <v/>
      </c>
      <c r="FD362" s="67">
        <f>IFERROR(IF(($EU362)&gt;0,($EU362-$EO362-$ER362)/($EU362),""),"")</f>
        <v/>
      </c>
      <c r="FE362" s="67">
        <f>IFERROR(IF(($EV362)&gt;0,($EV362-$EP362-$ES362)/($EV362),""),"")</f>
        <v/>
      </c>
      <c r="FF362" s="67">
        <f>IFERROR(IF(($ET362-$EN362-$EQ362)&gt;0,($EK362)/($ET362-$EN362-$EQ362),""),"")</f>
        <v/>
      </c>
      <c r="FG362" s="67">
        <f>IFERROR(IF(($EU362-$EO362-$ER362)&gt;0,($EL362)/($EU362-$EO362-$ER362),""),"")</f>
        <v/>
      </c>
      <c r="FH362" s="67">
        <f>IFERROR(IF(($EV362-$EP362-$ES362)&gt;0,($EM362)/($EV362-$EP362-$ES362),""),"")</f>
        <v/>
      </c>
      <c r="FI362" s="55">
        <f>SUMIFS(tblPlant[Cyanide_kg],tblPlant[Date],$A362)</f>
        <v/>
      </c>
      <c r="FJ362" s="55">
        <f>IF($B362=$B361,$FJ361,0)+$FI362</f>
        <v/>
      </c>
      <c r="FK362" s="55">
        <f>$FK361+$FI362</f>
        <v/>
      </c>
      <c r="FL362" s="55">
        <f>SUMIFS(tblPlant[Lime_kg],tblPlant[Date],$A362)</f>
        <v/>
      </c>
      <c r="FM362" s="55">
        <f>IF($B362=$B361,$FM361,0)+$FL362</f>
        <v/>
      </c>
      <c r="FN362" s="55">
        <f>$FN361+$FL362</f>
        <v/>
      </c>
      <c r="FO362" s="55">
        <f>SUMIFS(tblPlant[Grinding_Media_kg],tblPlant[Date],$A362)</f>
        <v/>
      </c>
      <c r="FP362" s="55">
        <f>IF($B362=$B361,$FP361,0)+$FO362</f>
        <v/>
      </c>
      <c r="FQ362" s="55">
        <f>$FQ361+$FO362</f>
        <v/>
      </c>
      <c r="FR362" s="55">
        <f>SUMIFS(tblPlant[Power_kWh],tblPlant[Date],$A362)</f>
        <v/>
      </c>
      <c r="FS362" s="55">
        <f>IF($B362=$B361,$FS361,0)+$FR362</f>
        <v/>
      </c>
      <c r="FT362" s="55">
        <f>$FT361+$FR362</f>
        <v/>
      </c>
      <c r="FU362" s="55">
        <f>SUMIFS(tblPlant[Raw_Water_m3],tblPlant[Date],$A362)</f>
        <v/>
      </c>
      <c r="FV362" s="55">
        <f>IF($B362=$B361,$FV361,0)+$FU362</f>
        <v/>
      </c>
      <c r="FW362" s="55">
        <f>$FW361+$FU362</f>
        <v/>
      </c>
      <c r="FX362" s="56">
        <f>IFERROR(IF(($CU362)&gt;0,($FI362)/($CU362),""),"")</f>
        <v/>
      </c>
      <c r="FY362" s="56">
        <f>IFERROR(IF(($CV362)&gt;0,($FJ362)/($CV362),""),"")</f>
        <v/>
      </c>
      <c r="FZ362" s="56">
        <f>IFERROR(IF(($CW362)&gt;0,($FK362)/($CW362),""),"")</f>
        <v/>
      </c>
      <c r="GA362" s="56">
        <f>IFERROR(IF(($CU362)&gt;0,($FL362)/($CU362),""),"")</f>
        <v/>
      </c>
      <c r="GB362" s="56">
        <f>IFERROR(IF(($CV362)&gt;0,($FM362)/($CV362),""),"")</f>
        <v/>
      </c>
      <c r="GC362" s="56">
        <f>IFERROR(IF(($CW362)&gt;0,($FN362)/($CW362),""),"")</f>
        <v/>
      </c>
      <c r="GD362" s="56">
        <f>IFERROR(IF(($CU362)&gt;0,($FO362)/($CU362),""),"")</f>
        <v/>
      </c>
      <c r="GE362" s="56">
        <f>IFERROR(IF(($CV362)&gt;0,($FP362)/($CV362),""),"")</f>
        <v/>
      </c>
      <c r="GF362" s="56">
        <f>IFERROR(IF(($CW362)&gt;0,($FQ362)/($CW362),""),"")</f>
        <v/>
      </c>
      <c r="GG362" s="79">
        <f>IFERROR(IF(($CU362)&gt;0,($FR362)/($CU362),""),"")</f>
        <v/>
      </c>
      <c r="GH362" s="79">
        <f>IFERROR(IF(($CV362)&gt;0,($FS362)/($CV362),""),"")</f>
        <v/>
      </c>
      <c r="GI362" s="79">
        <f>IFERROR(IF(($CW362)&gt;0,($FT362)/($CW362),""),"")</f>
        <v/>
      </c>
      <c r="GJ362" s="56">
        <f>IFERROR(IF(($CU362)&gt;0,($FU362)/($CU362),""),"")</f>
        <v/>
      </c>
      <c r="GK362" s="56">
        <f>IFERROR(IF(($CV362)&gt;0,($FV362)/($CV362),""),"")</f>
        <v/>
      </c>
      <c r="GL362" s="56">
        <f>IFERROR(IF(($CW362)&gt;0,($FW362)/($CW362),""),"")</f>
        <v/>
      </c>
      <c r="GM362" s="55">
        <f>IF(SUMIFS(tblPlant[GIC_oz],tblPlant[Date],$A362)&gt;0,SUMIFS(tblPlant[GIC_oz],tblPlant[Date],$A362),"")</f>
        <v/>
      </c>
      <c r="GN362" s="55">
        <f>SUMIFS(tblGold[Gold_oz],tblGold[Date],$A362,tblGold[Type],"Shipment")</f>
        <v/>
      </c>
      <c r="GO362" s="55">
        <f>IF($B362=$B361,$GO361,0)+$GN362</f>
        <v/>
      </c>
      <c r="GP362" s="55">
        <f>$GP361+$GN362</f>
        <v/>
      </c>
      <c r="GQ362" s="55">
        <f>SUMIFS(tblGold[Gold_oz],tblGold[Date],$A362,tblGold[Type],"Sale")</f>
        <v/>
      </c>
      <c r="GR362" s="55">
        <f>IF($B362=$B361,$GR361,0)+$GQ362</f>
        <v/>
      </c>
      <c r="GS362" s="55">
        <f>$GS361+$GQ362</f>
        <v/>
      </c>
      <c r="GT362" s="55">
        <f>SUMIFS(tblGold[Dore_kg],tblGold[Date],$A362,tblGold[Type],"Shipment")</f>
        <v/>
      </c>
      <c r="GU362" s="55">
        <f>IF($B362=$B361,$GU361,0)+$GT362</f>
        <v/>
      </c>
      <c r="GV362" s="55">
        <f>$GV361+$GT362</f>
        <v/>
      </c>
      <c r="GW362" s="57">
        <f>SUMIFS(tblSafety[Hours_Total],tblSafety[Date],$A362)</f>
        <v/>
      </c>
      <c r="GX362" s="57">
        <f>IF($B362=$B361,$GX361,0)+$GW362</f>
        <v/>
      </c>
      <c r="GY362" s="57">
        <f>$GY361+$GW362</f>
        <v/>
      </c>
      <c r="GZ362" s="62">
        <f>SUMIFS(tblSafety[Fatality],tblSafety[Date],$A362)</f>
        <v/>
      </c>
      <c r="HA362" s="62">
        <f>IF($B362=$B361,$HA361,0)+$GZ362</f>
        <v/>
      </c>
      <c r="HB362" s="62">
        <f>$HB361+$GZ362</f>
        <v/>
      </c>
      <c r="HC362" s="62">
        <f>SUMIFS(tblSafety[LTI],tblSafety[Date],$A362)</f>
        <v/>
      </c>
      <c r="HD362" s="62">
        <f>IF($B362=$B361,$HD361,0)+$HC362</f>
        <v/>
      </c>
      <c r="HE362" s="62">
        <f>$HE361+$HC362</f>
        <v/>
      </c>
      <c r="HF362" s="62">
        <f>SUMIFS(tblSafety[RWI],tblSafety[Date],$A362)</f>
        <v/>
      </c>
      <c r="HG362" s="62">
        <f>IF($B362=$B361,$HG361,0)+$HF362</f>
        <v/>
      </c>
      <c r="HH362" s="62">
        <f>$HH361+$HF362</f>
        <v/>
      </c>
      <c r="HI362" s="62">
        <f>SUMIFS(tblSafety[MTI],tblSafety[Date],$A362)</f>
        <v/>
      </c>
      <c r="HJ362" s="62">
        <f>IF($B362=$B361,$HJ361,0)+$HI362</f>
        <v/>
      </c>
      <c r="HK362" s="62">
        <f>$HK361+$HI362</f>
        <v/>
      </c>
      <c r="HL362" s="62">
        <f>SUMIFS(tblSafety[FAI],tblSafety[Date],$A362)</f>
        <v/>
      </c>
      <c r="HM362" s="62">
        <f>IF($B362=$B361,$HM361,0)+$HL362</f>
        <v/>
      </c>
      <c r="HN362" s="62">
        <f>$HN361+$HL362</f>
        <v/>
      </c>
      <c r="HO362" s="62">
        <f>SUMIFS(tblSafety[Recordables],tblSafety[Date],$A362)</f>
        <v/>
      </c>
      <c r="HP362" s="62">
        <f>IF($B362=$B361,$HP361,0)+$HO362</f>
        <v/>
      </c>
      <c r="HQ362" s="62">
        <f>$HQ361+$HO362</f>
        <v/>
      </c>
      <c r="HR362" s="62">
        <f>SUMIFS(tblSafety[Near_Miss],tblSafety[Date],$A362)</f>
        <v/>
      </c>
      <c r="HS362" s="62">
        <f>IF($B362=$B361,$HS361,0)+$HR362</f>
        <v/>
      </c>
      <c r="HT362" s="62">
        <f>$HT361+$HR362</f>
        <v/>
      </c>
      <c r="HU362" s="62">
        <f>SUMIFS(tblSafety[Hazard_Reports],tblSafety[Date],$A362)</f>
        <v/>
      </c>
      <c r="HV362" s="62">
        <f>IF($B362=$B361,$HV361,0)+$HU362</f>
        <v/>
      </c>
      <c r="HW362" s="62">
        <f>$HW361+$HU362</f>
        <v/>
      </c>
      <c r="HX362" s="62">
        <f>SUMIFS(tblSafety[HPI],tblSafety[Date],$A362)</f>
        <v/>
      </c>
      <c r="HY362" s="62">
        <f>IF($B362=$B361,$HY361,0)+$HX362</f>
        <v/>
      </c>
      <c r="HZ362" s="62">
        <f>$HZ361+$HX362</f>
        <v/>
      </c>
      <c r="IA362" s="62">
        <f>SUMIFS(tblSafety[Env_Incidents],tblSafety[Date],$A362)</f>
        <v/>
      </c>
      <c r="IB362" s="62">
        <f>IF($B362=$B361,$IB361,0)+$IA362</f>
        <v/>
      </c>
      <c r="IC362" s="62">
        <f>$IC361+$IA362</f>
        <v/>
      </c>
      <c r="ID362" s="62">
        <f>SUMIFS(tblSafety[Community_Incidents],tblSafety[Date],$A362)</f>
        <v/>
      </c>
      <c r="IE362" s="62">
        <f>IF($B362=$B361,$IE361,0)+$ID362</f>
        <v/>
      </c>
      <c r="IF362" s="62">
        <f>$IF361+$ID362</f>
        <v/>
      </c>
      <c r="IG362" s="62">
        <f>SUMIFS(tblSafety[Vehicle_Incidents],tblSafety[Date],$A362)</f>
        <v/>
      </c>
      <c r="IH362" s="62">
        <f>IF($B362=$B361,$IH361,0)+$IG362</f>
        <v/>
      </c>
      <c r="II362" s="62">
        <f>$II361+$IG362</f>
        <v/>
      </c>
      <c r="IJ362" s="62">
        <f>SUMIFS(tblSafety[Toolbox_Talks],tblSafety[Date],$A362)</f>
        <v/>
      </c>
      <c r="IK362" s="62">
        <f>IF($B362=$B361,$IK361,0)+$IJ362</f>
        <v/>
      </c>
      <c r="IL362" s="62">
        <f>$IL361+$IJ362</f>
        <v/>
      </c>
      <c r="IM362" s="62">
        <f>SUMIFS(tblSafety[Inspections],tblSafety[Date],$A362)</f>
        <v/>
      </c>
      <c r="IN362" s="62">
        <f>IF($B362=$B361,$IN361,0)+$IM362</f>
        <v/>
      </c>
      <c r="IO362" s="62">
        <f>$IO361+$IM362</f>
        <v/>
      </c>
      <c r="IP362" s="56">
        <f>IFERROR((SUMIFS(tblSafety[Recordables],tblSafety[Date],"&gt;="&amp;EDATE($E362,-12),tblSafety[Date],"&lt;="&amp;$A362)+SUMIFS(tblSafetyHistory[Recordables],tblSafetyHistory[Month],"&gt;="&amp;EDATE($E362,-12),tblSafetyHistory[Month],"&lt;"&amp;$E362,tblSafetyHistory[Use],1))/(SUMIFS(tblSafety[Hours_Total],tblSafety[Date],"&gt;="&amp;EDATE($E362,-12),tblSafety[Date],"&lt;="&amp;$A362)+SUMIFS(tblSafetyHistory[Hours_Total],tblSafetyHistory[Month],"&gt;="&amp;EDATE($E362,-12),tblSafetyHistory[Month],"&lt;"&amp;$E362,tblSafetyHistory[Use],1))*cfg_RateBasisHours,"")</f>
        <v/>
      </c>
      <c r="IQ362" s="56">
        <f>IFERROR((SUMIFS(tblSafety[LTI],tblSafety[Date],"&gt;="&amp;EDATE($E362,-12),tblSafety[Date],"&lt;="&amp;$A362)+SUMIFS(tblSafetyHistory[LTI],tblSafetyHistory[Month],"&gt;="&amp;EDATE($E362,-12),tblSafetyHistory[Month],"&lt;"&amp;$E362,tblSafetyHistory[Use],1))/(SUMIFS(tblSafety[Hours_Total],tblSafety[Date],"&gt;="&amp;EDATE($E362,-12),tblSafety[Date],"&lt;="&amp;$A362)+SUMIFS(tblSafetyHistory[Hours_Total],tblSafetyHistory[Month],"&gt;="&amp;EDATE($E362,-12),tblSafetyHistory[Month],"&lt;"&amp;$E362,tblSafetyHistory[Use],1))*cfg_RateBasisHours,"")</f>
        <v/>
      </c>
      <c r="IR362" s="62">
        <f>IF(MAX(N(cfg_PriorLTIDate),_xlfn.MAXIFS(tblSafety[Date],tblSafety[LTI],"&gt;0",tblSafety[Date],"&lt;="&amp;$A362))=0,"",$A362-MAX(N(cfg_PriorLTIDate),_xlfn.MAXIFS(tblSafety[Date],tblSafety[LTI],"&gt;0",tblSafety[Date],"&lt;="&amp;$A362)))</f>
        <v/>
      </c>
      <c r="IS362" s="55">
        <f>SUMIFS(tblBudget[Ore_Mined_t],tblBudget[Month],$E362)</f>
        <v/>
      </c>
      <c r="IT362" s="55">
        <f>$IS362*$C362/$D362</f>
        <v/>
      </c>
      <c r="IU362" s="55">
        <f>SUMIFS(tblBudget[Ore_Mined_t],tblBudget[Month],"&lt;"&amp;$E362)+$IT362</f>
        <v/>
      </c>
      <c r="IV362" s="55">
        <f>SUMIFS(tblBudget[Ore_oz],tblBudget[Month],$E362)</f>
        <v/>
      </c>
      <c r="IW362" s="55">
        <f>$IV362*$C362/$D362</f>
        <v/>
      </c>
      <c r="IX362" s="55">
        <f>SUMIFS(tblBudget[Ore_oz],tblBudget[Month],"&lt;"&amp;$E362)+$IW362</f>
        <v/>
      </c>
      <c r="IY362" s="55">
        <f>SUMIFS(tblBudget[Ore_Mined_t],tblBudget[Month],$E362)</f>
        <v/>
      </c>
      <c r="IZ362" s="55">
        <f>$IY362*$C362/$D362</f>
        <v/>
      </c>
      <c r="JA362" s="55">
        <f>SUMIFS(tblBudget[Ore_Mined_t],tblBudget[Month],"&lt;"&amp;$E362)+$IZ362</f>
        <v/>
      </c>
      <c r="JB362" s="56">
        <f>IFERROR(IF(($IY362)&gt;0,($IV362*cfg_TroyOz)/($IY362),""),"")</f>
        <v/>
      </c>
      <c r="JC362" s="56">
        <f>IFERROR(IF(($IZ362)&gt;0,($IW362*cfg_TroyOz)/($IZ362),""),"")</f>
        <v/>
      </c>
      <c r="JD362" s="56">
        <f>IFERROR(IF(($JA362)&gt;0,($IX362*cfg_TroyOz)/($JA362),""),"")</f>
        <v/>
      </c>
      <c r="JE362" s="55">
        <f>SUMIFS(tblBudget[Waste_t],tblBudget[Month],$E362)</f>
        <v/>
      </c>
      <c r="JF362" s="55">
        <f>$JE362*$C362/$D362</f>
        <v/>
      </c>
      <c r="JG362" s="55">
        <f>SUMIFS(tblBudget[Waste_t],tblBudget[Month],"&lt;"&amp;$E362)+$JF362</f>
        <v/>
      </c>
      <c r="JH362" s="55">
        <f>SUMIFS(tblBudget[TMM_t],tblBudget[Month],$E362)</f>
        <v/>
      </c>
      <c r="JI362" s="55">
        <f>$JH362*$C362/$D362</f>
        <v/>
      </c>
      <c r="JJ362" s="55">
        <f>SUMIFS(tblBudget[TMM_t],tblBudget[Month],"&lt;"&amp;$E362)+$JI362</f>
        <v/>
      </c>
      <c r="JK362" s="56">
        <f>IFERROR(IF(($IS362)&gt;0,($JE362)/($IS362),""),"")</f>
        <v/>
      </c>
      <c r="JL362" s="56">
        <f>IFERROR(IF(($IT362)&gt;0,($JF362)/($IT362),""),"")</f>
        <v/>
      </c>
      <c r="JM362" s="56">
        <f>IFERROR(IF(($IU362)&gt;0,($JG362)/($IU362),""),"")</f>
        <v/>
      </c>
      <c r="JN362" s="55">
        <f>SUMIFS(tblBudget[Drill_m],tblBudget[Month],$E362)</f>
        <v/>
      </c>
      <c r="JO362" s="55">
        <f>$JN362*$C362/$D362</f>
        <v/>
      </c>
      <c r="JP362" s="55">
        <f>SUMIFS(tblBudget[Drill_m],tblBudget[Month],"&lt;"&amp;$E362)+$JO362</f>
        <v/>
      </c>
      <c r="JQ362" s="55">
        <f>SUMIFS(tblBudget[Diesel_L],tblBudget[Month],$E362)</f>
        <v/>
      </c>
      <c r="JR362" s="55">
        <f>$JQ362*$C362/$D362</f>
        <v/>
      </c>
      <c r="JS362" s="55">
        <f>SUMIFS(tblBudget[Diesel_L],tblBudget[Month],"&lt;"&amp;$E362)+$JR362</f>
        <v/>
      </c>
      <c r="JT362" s="55">
        <f>SUMIFS(tblBudget[Milled_t],tblBudget[Month],$E362)</f>
        <v/>
      </c>
      <c r="JU362" s="55">
        <f>$JT362*$C362/$D362</f>
        <v/>
      </c>
      <c r="JV362" s="55">
        <f>SUMIFS(tblBudget[Milled_t],tblBudget[Month],"&lt;"&amp;$E362)+$JU362</f>
        <v/>
      </c>
      <c r="JW362" s="55">
        <f>SUMIFS(tblBudget[Feed_oz],tblBudget[Month],$E362)</f>
        <v/>
      </c>
      <c r="JX362" s="55">
        <f>$JW362*$C362/$D362</f>
        <v/>
      </c>
      <c r="JY362" s="55">
        <f>SUMIFS(tblBudget[Feed_oz],tblBudget[Month],"&lt;"&amp;$E362)+$JX362</f>
        <v/>
      </c>
      <c r="JZ362" s="55">
        <f>SUMIFS(tblBudget[Recovered_oz],tblBudget[Month],$E362)</f>
        <v/>
      </c>
      <c r="KA362" s="55">
        <f>$JZ362*$C362/$D362</f>
        <v/>
      </c>
      <c r="KB362" s="55">
        <f>SUMIFS(tblBudget[Recovered_oz],tblBudget[Month],"&lt;"&amp;$E362)+$KA362</f>
        <v/>
      </c>
      <c r="KC362" s="55">
        <f>SUMIFS(tblBudget[Milled_t],tblBudget[Month],$E362)</f>
        <v/>
      </c>
      <c r="KD362" s="55">
        <f>$KC362*$C362/$D362</f>
        <v/>
      </c>
      <c r="KE362" s="55">
        <f>SUMIFS(tblBudget[Milled_t],tblBudget[Month],"&lt;"&amp;$E362)+$KD362</f>
        <v/>
      </c>
      <c r="KF362" s="55">
        <f>SUMIFS(tblBudget[Feed_oz],tblBudget[Month],$E362)</f>
        <v/>
      </c>
      <c r="KG362" s="55">
        <f>$KF362*$C362/$D362</f>
        <v/>
      </c>
      <c r="KH362" s="55">
        <f>SUMIFS(tblBudget[Feed_oz],tblBudget[Month],"&lt;"&amp;$E362)+$KG362</f>
        <v/>
      </c>
      <c r="KI362" s="56">
        <f>IFERROR(IF(($KC362)&gt;0,($JW362*cfg_TroyOz)/($KC362),""),"")</f>
        <v/>
      </c>
      <c r="KJ362" s="56">
        <f>IFERROR(IF(($KD362)&gt;0,($JX362*cfg_TroyOz)/($KD362),""),"")</f>
        <v/>
      </c>
      <c r="KK362" s="56">
        <f>IFERROR(IF(($KE362)&gt;0,($JY362*cfg_TroyOz)/($KE362),""),"")</f>
        <v/>
      </c>
      <c r="KL362" s="67">
        <f>IFERROR(IF(($KF362)&gt;0,($JZ362)/($KF362),""),"")</f>
        <v/>
      </c>
      <c r="KM362" s="67">
        <f>IFERROR(IF(($KG362)&gt;0,($KA362)/($KG362),""),"")</f>
        <v/>
      </c>
      <c r="KN362" s="67">
        <f>IFERROR(IF(($KH362)&gt;0,($KB362)/($KH362),""),"")</f>
        <v/>
      </c>
      <c r="KO362" s="55">
        <f>SUMIFS(tblBudget[Gold_Poured_oz],tblBudget[Month],$E362)</f>
        <v/>
      </c>
      <c r="KP362" s="55">
        <f>$KO362*$C362/$D362</f>
        <v/>
      </c>
      <c r="KQ362" s="55">
        <f>SUMIFS(tblBudget[Gold_Poured_oz],tblBudget[Month],"&lt;"&amp;$E362)+$KP362</f>
        <v/>
      </c>
      <c r="KR362" s="57">
        <f>SUMIFS(tblBudget[Hours_Worked],tblBudget[Month],$E362)</f>
        <v/>
      </c>
      <c r="KS362" s="57">
        <f>$KR362*$C362/$D362</f>
        <v/>
      </c>
      <c r="KT362" s="57">
        <f>SUMIFS(tblBudget[Hours_Worked],tblBudget[Month],"&lt;"&amp;$E362)+$KS362</f>
        <v/>
      </c>
    </row>
    <row r="363">
      <c r="A363" s="54" t="n">
        <v>46384</v>
      </c>
      <c r="B363">
        <f>MONTH($A363)</f>
        <v/>
      </c>
      <c r="C363">
        <f>DAY($A363)</f>
        <v/>
      </c>
      <c r="D363">
        <f>DAY(EOMONTH($A363,0))</f>
        <v/>
      </c>
      <c r="E363" s="54">
        <f>DATE(YEAR($A363),MONTH($A363),1)</f>
        <v/>
      </c>
      <c r="F363" s="55">
        <f>SUMIFS(tblMovement[Tonnes_t],tblMovement[Date],$A363,tblMovement[Is_Ore],1,tblMovement[Source_Type],"Pit")</f>
        <v/>
      </c>
      <c r="G363" s="55">
        <f>IF($B363=$B362,$G362,0)+$F363</f>
        <v/>
      </c>
      <c r="H363" s="55">
        <f>$H362+$F363</f>
        <v/>
      </c>
      <c r="I363" s="55">
        <f>SUMIFS(tblMovement[Ore_oz],tblMovement[Date],$A363,tblMovement[Source_Type],"Pit")</f>
        <v/>
      </c>
      <c r="J363" s="55">
        <f>IF($B363=$B362,$J362,0)+$I363</f>
        <v/>
      </c>
      <c r="K363" s="55">
        <f>$K362+$I363</f>
        <v/>
      </c>
      <c r="L363" s="55">
        <f>SUMIFS(tblMovement[Tonnes_t],tblMovement[Date],$A363,tblMovement[Is_Ore],1,tblMovement[Source_Type],"Pit",tblMovement[Grade_gpt],"&lt;&gt;")</f>
        <v/>
      </c>
      <c r="M363" s="55">
        <f>IF($B363=$B362,$M362,0)+$L363</f>
        <v/>
      </c>
      <c r="N363" s="55">
        <f>$N362+$L363</f>
        <v/>
      </c>
      <c r="O363" s="56">
        <f>IFERROR(IF(($L363)&gt;0,($I363*cfg_TroyOz)/($L363),""),"")</f>
        <v/>
      </c>
      <c r="P363" s="56">
        <f>IFERROR(IF(($M363)&gt;0,($J363*cfg_TroyOz)/($M363),""),"")</f>
        <v/>
      </c>
      <c r="Q363" s="56">
        <f>IFERROR(IF(($N363)&gt;0,($K363*cfg_TroyOz)/($N363),""),"")</f>
        <v/>
      </c>
      <c r="R363" s="55">
        <f>$F363-$L363</f>
        <v/>
      </c>
      <c r="S363" s="55">
        <f>IF($B363=$B362,$S362,0)+$R363</f>
        <v/>
      </c>
      <c r="T363" s="55">
        <f>$T362+$R363</f>
        <v/>
      </c>
      <c r="U363" s="55">
        <f>SUMIFS(tblMovement[Tonnes_t],tblMovement[Date],$A363,tblMovement[Is_Ore],0,tblMovement[Source_Type],"Pit")</f>
        <v/>
      </c>
      <c r="V363" s="55">
        <f>IF($B363=$B362,$V362,0)+$U363</f>
        <v/>
      </c>
      <c r="W363" s="55">
        <f>$W362+$U363</f>
        <v/>
      </c>
      <c r="X363" s="55">
        <f>$F363+$U363</f>
        <v/>
      </c>
      <c r="Y363" s="55">
        <f>IF($B363=$B362,$Y362,0)+$X363</f>
        <v/>
      </c>
      <c r="Z363" s="55">
        <f>$Z362+$X363</f>
        <v/>
      </c>
      <c r="AA363" s="56">
        <f>IFERROR(IF(($F363)&gt;0,($U363)/($F363),""),"")</f>
        <v/>
      </c>
      <c r="AB363" s="56">
        <f>IFERROR(IF(($G363)&gt;0,($V363)/($G363),""),"")</f>
        <v/>
      </c>
      <c r="AC363" s="56">
        <f>IFERROR(IF(($H363)&gt;0,($W363)/($H363),""),"")</f>
        <v/>
      </c>
      <c r="AD363" s="55">
        <f>SUMIFS(tblMovement[Tonnes_t],tblMovement[Date],$A363,tblMovement[Source_Type],"Stockpile")</f>
        <v/>
      </c>
      <c r="AE363" s="55">
        <f>IF($B363=$B362,$AE362,0)+$AD363</f>
        <v/>
      </c>
      <c r="AF363" s="55">
        <f>$AF362+$AD363</f>
        <v/>
      </c>
      <c r="AG363" s="55">
        <f>SUMIFS(tblMovement[Tonnes_t],tblMovement[Date],$A363)</f>
        <v/>
      </c>
      <c r="AH363" s="55">
        <f>IF($B363=$B362,$AH362,0)+$AG363</f>
        <v/>
      </c>
      <c r="AI363" s="55">
        <f>$AI362+$AG363</f>
        <v/>
      </c>
      <c r="AJ363" s="55">
        <f>$AG363-$X363-$AD363</f>
        <v/>
      </c>
      <c r="AK363" s="55">
        <f>IF($B363=$B362,$AK362,0)+$AJ363</f>
        <v/>
      </c>
      <c r="AL363" s="55">
        <f>$AL362+$AJ363</f>
        <v/>
      </c>
      <c r="AM363" s="55">
        <f>SUMIFS(tblMiningDaily[Drill_m],tblMiningDaily[Date],$A363)</f>
        <v/>
      </c>
      <c r="AN363" s="55">
        <f>IF($B363=$B362,$AN362,0)+$AM363</f>
        <v/>
      </c>
      <c r="AO363" s="55">
        <f>$AO362+$AM363</f>
        <v/>
      </c>
      <c r="AP363" s="55">
        <f>SUMIFS(tblMiningDaily[GC_Drill_m],tblMiningDaily[Date],$A363)</f>
        <v/>
      </c>
      <c r="AQ363" s="55">
        <f>IF($B363=$B362,$AQ362,0)+$AP363</f>
        <v/>
      </c>
      <c r="AR363" s="55">
        <f>$AR362+$AP363</f>
        <v/>
      </c>
      <c r="AS363" s="55">
        <f>SUMIFS(tblMiningDaily[Blast_t],tblMiningDaily[Date],$A363)</f>
        <v/>
      </c>
      <c r="AT363" s="55">
        <f>IF($B363=$B362,$AT362,0)+$AS363</f>
        <v/>
      </c>
      <c r="AU363" s="55">
        <f>$AU362+$AS363</f>
        <v/>
      </c>
      <c r="AV363" s="55">
        <f>SUMIFS(tblMiningDaily[Explosives_kg],tblMiningDaily[Date],$A363)</f>
        <v/>
      </c>
      <c r="AW363" s="55">
        <f>IF($B363=$B362,$AW362,0)+$AV363</f>
        <v/>
      </c>
      <c r="AX363" s="55">
        <f>$AX362+$AV363</f>
        <v/>
      </c>
      <c r="AY363" s="56">
        <f>IFERROR(IF(($AS363)&gt;0,($AV363)/($AS363),""),"")</f>
        <v/>
      </c>
      <c r="AZ363" s="56">
        <f>IFERROR(IF(($AT363)&gt;0,($AW363)/($AT363),""),"")</f>
        <v/>
      </c>
      <c r="BA363" s="56">
        <f>IFERROR(IF(($AU363)&gt;0,($AX363)/($AU363),""),"")</f>
        <v/>
      </c>
      <c r="BB363" s="55">
        <f>SUMIFS(tblMiningDaily[Diesel_L],tblMiningDaily[Date],$A363)</f>
        <v/>
      </c>
      <c r="BC363" s="55">
        <f>IF($B363=$B362,$BC362,0)+$BB363</f>
        <v/>
      </c>
      <c r="BD363" s="55">
        <f>$BD362+$BB363</f>
        <v/>
      </c>
      <c r="BE363" s="55">
        <f>SUMIFS(tblMiningDaily[Dewatering_m3],tblMiningDaily[Date],$A363)</f>
        <v/>
      </c>
      <c r="BF363" s="55">
        <f>IF($B363=$B362,$BF362,0)+$BE363</f>
        <v/>
      </c>
      <c r="BG363" s="55">
        <f>$BG362+$BE363</f>
        <v/>
      </c>
      <c r="BH363" s="57">
        <f>SUMIFS(tblFleet[Calendar_h],tblFleet[Date],$A363,tblFleet[Equipment_Class],"Excavator")</f>
        <v/>
      </c>
      <c r="BI363" s="57">
        <f>IF($B363=$B362,$BI362,0)+$BH363</f>
        <v/>
      </c>
      <c r="BJ363" s="57">
        <f>$BJ362+$BH363</f>
        <v/>
      </c>
      <c r="BK363" s="57">
        <f>SUMIFS(tblFleet[Available_h],tblFleet[Date],$A363,tblFleet[Equipment_Class],"Excavator")</f>
        <v/>
      </c>
      <c r="BL363" s="57">
        <f>IF($B363=$B362,$BL362,0)+$BK363</f>
        <v/>
      </c>
      <c r="BM363" s="57">
        <f>$BM362+$BK363</f>
        <v/>
      </c>
      <c r="BN363" s="57">
        <f>SUMIFS(tblFleet[Operating_h],tblFleet[Date],$A363,tblFleet[Equipment_Class],"Excavator")</f>
        <v/>
      </c>
      <c r="BO363" s="57">
        <f>IF($B363=$B362,$BO362,0)+$BN363</f>
        <v/>
      </c>
      <c r="BP363" s="57">
        <f>$BP362+$BN363</f>
        <v/>
      </c>
      <c r="BQ363" s="67">
        <f>IFERROR(IF(($BH363)&gt;0,($BK363)/($BH363),""),"")</f>
        <v/>
      </c>
      <c r="BR363" s="67">
        <f>IFERROR(IF(($BI363)&gt;0,($BL363)/($BI363),""),"")</f>
        <v/>
      </c>
      <c r="BS363" s="67">
        <f>IFERROR(IF(($BJ363)&gt;0,($BM363)/($BJ363),""),"")</f>
        <v/>
      </c>
      <c r="BT363" s="67">
        <f>IFERROR(IF(($BK363)&gt;0,($BN363)/($BK363),""),"")</f>
        <v/>
      </c>
      <c r="BU363" s="67">
        <f>IFERROR(IF(($BL363)&gt;0,($BO363)/($BL363),""),"")</f>
        <v/>
      </c>
      <c r="BV363" s="67">
        <f>IFERROR(IF(($BM363)&gt;0,($BP363)/($BM363),""),"")</f>
        <v/>
      </c>
      <c r="BW363" s="57">
        <f>SUMIFS(tblFleet[Calendar_h],tblFleet[Date],$A363,tblFleet[Equipment_Class],"Haul Truck")</f>
        <v/>
      </c>
      <c r="BX363" s="57">
        <f>IF($B363=$B362,$BX362,0)+$BW363</f>
        <v/>
      </c>
      <c r="BY363" s="57">
        <f>$BY362+$BW363</f>
        <v/>
      </c>
      <c r="BZ363" s="57">
        <f>SUMIFS(tblFleet[Available_h],tblFleet[Date],$A363,tblFleet[Equipment_Class],"Haul Truck")</f>
        <v/>
      </c>
      <c r="CA363" s="57">
        <f>IF($B363=$B362,$CA362,0)+$BZ363</f>
        <v/>
      </c>
      <c r="CB363" s="57">
        <f>$CB362+$BZ363</f>
        <v/>
      </c>
      <c r="CC363" s="57">
        <f>SUMIFS(tblFleet[Operating_h],tblFleet[Date],$A363,tblFleet[Equipment_Class],"Haul Truck")</f>
        <v/>
      </c>
      <c r="CD363" s="57">
        <f>IF($B363=$B362,$CD362,0)+$CC363</f>
        <v/>
      </c>
      <c r="CE363" s="57">
        <f>$CE362+$CC363</f>
        <v/>
      </c>
      <c r="CF363" s="67">
        <f>IFERROR(IF(($BW363)&gt;0,($BZ363)/($BW363),""),"")</f>
        <v/>
      </c>
      <c r="CG363" s="67">
        <f>IFERROR(IF(($BX363)&gt;0,($CA363)/($BX363),""),"")</f>
        <v/>
      </c>
      <c r="CH363" s="67">
        <f>IFERROR(IF(($BY363)&gt;0,($CB363)/($BY363),""),"")</f>
        <v/>
      </c>
      <c r="CI363" s="67">
        <f>IFERROR(IF(($BZ363)&gt;0,($CC363)/($BZ363),""),"")</f>
        <v/>
      </c>
      <c r="CJ363" s="67">
        <f>IFERROR(IF(($CA363)&gt;0,($CD363)/($CA363),""),"")</f>
        <v/>
      </c>
      <c r="CK363" s="67">
        <f>IFERROR(IF(($CB363)&gt;0,($CE363)/($CB363),""),"")</f>
        <v/>
      </c>
      <c r="CL363" s="55">
        <f>IFERROR(IF(($BN363)&gt;0,($X363+$AD363)/($BN363),""),"")</f>
        <v/>
      </c>
      <c r="CM363" s="55">
        <f>IFERROR(IF(($BO363)&gt;0,($Y363+$AE363)/($BO363),""),"")</f>
        <v/>
      </c>
      <c r="CN363" s="55">
        <f>IFERROR(IF(($BP363)&gt;0,($Z363+$AF363)/($BP363),""),"")</f>
        <v/>
      </c>
      <c r="CO363" s="55">
        <f>IFERROR(IF(($CC363)&gt;0,($X363+$AD363)/($CC363),""),"")</f>
        <v/>
      </c>
      <c r="CP363" s="55">
        <f>IFERROR(IF(($CD363)&gt;0,($Y363+$AE363)/($CD363),""),"")</f>
        <v/>
      </c>
      <c r="CQ363" s="55">
        <f>IFERROR(IF(($CE363)&gt;0,($Z363+$AF363)/($CE363),""),"")</f>
        <v/>
      </c>
      <c r="CR363" s="55">
        <f>SUMIFS(tblPlant[Crushed_t],tblPlant[Date],$A363)</f>
        <v/>
      </c>
      <c r="CS363" s="55">
        <f>IF($B363=$B362,$CS362,0)+$CR363</f>
        <v/>
      </c>
      <c r="CT363" s="55">
        <f>$CT362+$CR363</f>
        <v/>
      </c>
      <c r="CU363" s="55">
        <f>SUMIFS(tblPlant[Milled_t],tblPlant[Date],$A363)</f>
        <v/>
      </c>
      <c r="CV363" s="55">
        <f>IF($B363=$B362,$CV362,0)+$CU363</f>
        <v/>
      </c>
      <c r="CW363" s="55">
        <f>$CW362+$CU363</f>
        <v/>
      </c>
      <c r="CX363" s="55">
        <f>SUMIFS(tblPlant[Feed_oz],tblPlant[Date],$A363)</f>
        <v/>
      </c>
      <c r="CY363" s="55">
        <f>IF($B363=$B362,$CY362,0)+$CX363</f>
        <v/>
      </c>
      <c r="CZ363" s="55">
        <f>$CZ362+$CX363</f>
        <v/>
      </c>
      <c r="DA363" s="55">
        <f>SUMIFS(tblPlant[Tails_oz],tblPlant[Date],$A363)</f>
        <v/>
      </c>
      <c r="DB363" s="55">
        <f>IF($B363=$B362,$DB362,0)+$DA363</f>
        <v/>
      </c>
      <c r="DC363" s="55">
        <f>$DC362+$DA363</f>
        <v/>
      </c>
      <c r="DD363" s="55">
        <f>SUMIFS(tblPlant[Recovered_oz],tblPlant[Date],$A363)</f>
        <v/>
      </c>
      <c r="DE363" s="55">
        <f>IF($B363=$B362,$DE362,0)+$DD363</f>
        <v/>
      </c>
      <c r="DF363" s="55">
        <f>$DF362+$DD363</f>
        <v/>
      </c>
      <c r="DG363" s="55">
        <f>SUMIFS(tblPlant[Milled_t],tblPlant[Date],$A363,tblPlant[Head_Grade_gpt],"&lt;&gt;")</f>
        <v/>
      </c>
      <c r="DH363" s="55">
        <f>IF($B363=$B362,$DH362,0)+$DG363</f>
        <v/>
      </c>
      <c r="DI363" s="55">
        <f>$DI362+$DG363</f>
        <v/>
      </c>
      <c r="DJ363" s="55">
        <f>SUMIFS(tblPlant[Milled_t],tblPlant[Date],$A363,tblPlant[Tails_Grade_gpt],"&lt;&gt;")</f>
        <v/>
      </c>
      <c r="DK363" s="55">
        <f>IF($B363=$B362,$DK362,0)+$DJ363</f>
        <v/>
      </c>
      <c r="DL363" s="55">
        <f>$DL362+$DJ363</f>
        <v/>
      </c>
      <c r="DM363" s="55">
        <f>SUMIFS(tblPlant[Feed_oz],tblPlant[Date],$A363,tblPlant[Tails_Grade_gpt],"&lt;&gt;")</f>
        <v/>
      </c>
      <c r="DN363" s="55">
        <f>IF($B363=$B362,$DN362,0)+$DM363</f>
        <v/>
      </c>
      <c r="DO363" s="55">
        <f>$DO362+$DM363</f>
        <v/>
      </c>
      <c r="DP363" s="55">
        <f>SUMIFS(tblPlant[Milled_t],tblPlant[Date],$A363,tblPlant[Mill_Run_h],"&lt;&gt;")</f>
        <v/>
      </c>
      <c r="DQ363" s="55">
        <f>IF($B363=$B362,$DQ362,0)+$DP363</f>
        <v/>
      </c>
      <c r="DR363" s="55">
        <f>$DR362+$DP363</f>
        <v/>
      </c>
      <c r="DS363" s="56">
        <f>IFERROR(IF(($DG363)&gt;0,($CX363*cfg_TroyOz)/($DG363),""),"")</f>
        <v/>
      </c>
      <c r="DT363" s="56">
        <f>IFERROR(IF(($DH363)&gt;0,($CY363*cfg_TroyOz)/($DH363),""),"")</f>
        <v/>
      </c>
      <c r="DU363" s="56">
        <f>IFERROR(IF(($DI363)&gt;0,($CZ363*cfg_TroyOz)/($DI363),""),"")</f>
        <v/>
      </c>
      <c r="DV363" s="56">
        <f>IFERROR(IF(($DJ363)&gt;0,($DA363*cfg_TroyOz)/($DJ363),""),"")</f>
        <v/>
      </c>
      <c r="DW363" s="56">
        <f>IFERROR(IF(($DK363)&gt;0,($DB363*cfg_TroyOz)/($DK363),""),"")</f>
        <v/>
      </c>
      <c r="DX363" s="56">
        <f>IFERROR(IF(($DL363)&gt;0,($DC363*cfg_TroyOz)/($DL363),""),"")</f>
        <v/>
      </c>
      <c r="DY363" s="67">
        <f>IFERROR(IF(($DM363)&gt;0,($DD363)/($DM363),""),"")</f>
        <v/>
      </c>
      <c r="DZ363" s="67">
        <f>IFERROR(IF(($DN363)&gt;0,($DE363)/($DN363),""),"")</f>
        <v/>
      </c>
      <c r="EA363" s="67">
        <f>IFERROR(IF(($DO363)&gt;0,($DF363)/($DO363),""),"")</f>
        <v/>
      </c>
      <c r="EB363" s="55">
        <f>SUMIFS(tblPlant[Gravity_Gold_oz],tblPlant[Date],$A363)</f>
        <v/>
      </c>
      <c r="EC363" s="55">
        <f>IF($B363=$B362,$EC362,0)+$EB363</f>
        <v/>
      </c>
      <c r="ED363" s="55">
        <f>$ED362+$EB363</f>
        <v/>
      </c>
      <c r="EE363" s="67">
        <f>IFERROR(IF(($DD363)&gt;0,($EB363)/($DD363),""),"")</f>
        <v/>
      </c>
      <c r="EF363" s="67">
        <f>IFERROR(IF(($DE363)&gt;0,($EC363)/($DE363),""),"")</f>
        <v/>
      </c>
      <c r="EG363" s="67">
        <f>IFERROR(IF(($DF363)&gt;0,($ED363)/($DF363),""),"")</f>
        <v/>
      </c>
      <c r="EH363" s="55">
        <f>SUMIFS(tblPlant[Gold_Poured_oz],tblPlant[Date],$A363)</f>
        <v/>
      </c>
      <c r="EI363" s="55">
        <f>IF($B363=$B362,$EI362,0)+$EH363</f>
        <v/>
      </c>
      <c r="EJ363" s="55">
        <f>$EJ362+$EH363</f>
        <v/>
      </c>
      <c r="EK363" s="57">
        <f>SUMIFS(tblPlant[Mill_Run_h],tblPlant[Date],$A363)</f>
        <v/>
      </c>
      <c r="EL363" s="57">
        <f>IF($B363=$B362,$EL362,0)+$EK363</f>
        <v/>
      </c>
      <c r="EM363" s="57">
        <f>$EM362+$EK363</f>
        <v/>
      </c>
      <c r="EN363" s="57">
        <f>SUMIFS(tblPlant[Mill_Planned_Maint_h],tblPlant[Date],$A363)</f>
        <v/>
      </c>
      <c r="EO363" s="57">
        <f>IF($B363=$B362,$EO362,0)+$EN363</f>
        <v/>
      </c>
      <c r="EP363" s="57">
        <f>$EP362+$EN363</f>
        <v/>
      </c>
      <c r="EQ363" s="57">
        <f>SUMIFS(tblPlant[Mill_Unplanned_Down_h],tblPlant[Date],$A363)</f>
        <v/>
      </c>
      <c r="ER363" s="57">
        <f>IF($B363=$B362,$ER362,0)+$EQ363</f>
        <v/>
      </c>
      <c r="ES363" s="57">
        <f>$ES362+$EQ363</f>
        <v/>
      </c>
      <c r="ET363" s="57">
        <f>IF(COUNTIFS(tblPlant[Date],$A363,tblPlant[Mill_Run_h],"&lt;&gt;")+COUNTIFS(tblPlant[Date],$A363,tblPlant[Mill_Planned_Maint_h],"&lt;&gt;")+COUNTIFS(tblPlant[Date],$A363,tblPlant[Mill_Unplanned_Down_h],"&lt;&gt;")&gt;0,cfg_HoursPerDay,0)</f>
        <v/>
      </c>
      <c r="EU363" s="57">
        <f>IF($B363=$B362,$EU362,0)+$ET363</f>
        <v/>
      </c>
      <c r="EV363" s="57">
        <f>$EV362+$ET363</f>
        <v/>
      </c>
      <c r="EW363" s="57">
        <f>SUMIFS(tblPlant[Crusher_Run_h],tblPlant[Date],$A363)</f>
        <v/>
      </c>
      <c r="EX363" s="57">
        <f>IF($B363=$B362,$EX362,0)+$EW363</f>
        <v/>
      </c>
      <c r="EY363" s="57">
        <f>$EY362+$EW363</f>
        <v/>
      </c>
      <c r="EZ363" s="55">
        <f>IFERROR(IF(($EK363)&gt;0,($DP363)/($EK363),""),"")</f>
        <v/>
      </c>
      <c r="FA363" s="55">
        <f>IFERROR(IF(($EL363)&gt;0,($DQ363)/($EL363),""),"")</f>
        <v/>
      </c>
      <c r="FB363" s="55">
        <f>IFERROR(IF(($EM363)&gt;0,($DR363)/($EM363),""),"")</f>
        <v/>
      </c>
      <c r="FC363" s="67">
        <f>IFERROR(IF(($ET363)&gt;0,($ET363-$EN363-$EQ363)/($ET363),""),"")</f>
        <v/>
      </c>
      <c r="FD363" s="67">
        <f>IFERROR(IF(($EU363)&gt;0,($EU363-$EO363-$ER363)/($EU363),""),"")</f>
        <v/>
      </c>
      <c r="FE363" s="67">
        <f>IFERROR(IF(($EV363)&gt;0,($EV363-$EP363-$ES363)/($EV363),""),"")</f>
        <v/>
      </c>
      <c r="FF363" s="67">
        <f>IFERROR(IF(($ET363-$EN363-$EQ363)&gt;0,($EK363)/($ET363-$EN363-$EQ363),""),"")</f>
        <v/>
      </c>
      <c r="FG363" s="67">
        <f>IFERROR(IF(($EU363-$EO363-$ER363)&gt;0,($EL363)/($EU363-$EO363-$ER363),""),"")</f>
        <v/>
      </c>
      <c r="FH363" s="67">
        <f>IFERROR(IF(($EV363-$EP363-$ES363)&gt;0,($EM363)/($EV363-$EP363-$ES363),""),"")</f>
        <v/>
      </c>
      <c r="FI363" s="55">
        <f>SUMIFS(tblPlant[Cyanide_kg],tblPlant[Date],$A363)</f>
        <v/>
      </c>
      <c r="FJ363" s="55">
        <f>IF($B363=$B362,$FJ362,0)+$FI363</f>
        <v/>
      </c>
      <c r="FK363" s="55">
        <f>$FK362+$FI363</f>
        <v/>
      </c>
      <c r="FL363" s="55">
        <f>SUMIFS(tblPlant[Lime_kg],tblPlant[Date],$A363)</f>
        <v/>
      </c>
      <c r="FM363" s="55">
        <f>IF($B363=$B362,$FM362,0)+$FL363</f>
        <v/>
      </c>
      <c r="FN363" s="55">
        <f>$FN362+$FL363</f>
        <v/>
      </c>
      <c r="FO363" s="55">
        <f>SUMIFS(tblPlant[Grinding_Media_kg],tblPlant[Date],$A363)</f>
        <v/>
      </c>
      <c r="FP363" s="55">
        <f>IF($B363=$B362,$FP362,0)+$FO363</f>
        <v/>
      </c>
      <c r="FQ363" s="55">
        <f>$FQ362+$FO363</f>
        <v/>
      </c>
      <c r="FR363" s="55">
        <f>SUMIFS(tblPlant[Power_kWh],tblPlant[Date],$A363)</f>
        <v/>
      </c>
      <c r="FS363" s="55">
        <f>IF($B363=$B362,$FS362,0)+$FR363</f>
        <v/>
      </c>
      <c r="FT363" s="55">
        <f>$FT362+$FR363</f>
        <v/>
      </c>
      <c r="FU363" s="55">
        <f>SUMIFS(tblPlant[Raw_Water_m3],tblPlant[Date],$A363)</f>
        <v/>
      </c>
      <c r="FV363" s="55">
        <f>IF($B363=$B362,$FV362,0)+$FU363</f>
        <v/>
      </c>
      <c r="FW363" s="55">
        <f>$FW362+$FU363</f>
        <v/>
      </c>
      <c r="FX363" s="56">
        <f>IFERROR(IF(($CU363)&gt;0,($FI363)/($CU363),""),"")</f>
        <v/>
      </c>
      <c r="FY363" s="56">
        <f>IFERROR(IF(($CV363)&gt;0,($FJ363)/($CV363),""),"")</f>
        <v/>
      </c>
      <c r="FZ363" s="56">
        <f>IFERROR(IF(($CW363)&gt;0,($FK363)/($CW363),""),"")</f>
        <v/>
      </c>
      <c r="GA363" s="56">
        <f>IFERROR(IF(($CU363)&gt;0,($FL363)/($CU363),""),"")</f>
        <v/>
      </c>
      <c r="GB363" s="56">
        <f>IFERROR(IF(($CV363)&gt;0,($FM363)/($CV363),""),"")</f>
        <v/>
      </c>
      <c r="GC363" s="56">
        <f>IFERROR(IF(($CW363)&gt;0,($FN363)/($CW363),""),"")</f>
        <v/>
      </c>
      <c r="GD363" s="56">
        <f>IFERROR(IF(($CU363)&gt;0,($FO363)/($CU363),""),"")</f>
        <v/>
      </c>
      <c r="GE363" s="56">
        <f>IFERROR(IF(($CV363)&gt;0,($FP363)/($CV363),""),"")</f>
        <v/>
      </c>
      <c r="GF363" s="56">
        <f>IFERROR(IF(($CW363)&gt;0,($FQ363)/($CW363),""),"")</f>
        <v/>
      </c>
      <c r="GG363" s="79">
        <f>IFERROR(IF(($CU363)&gt;0,($FR363)/($CU363),""),"")</f>
        <v/>
      </c>
      <c r="GH363" s="79">
        <f>IFERROR(IF(($CV363)&gt;0,($FS363)/($CV363),""),"")</f>
        <v/>
      </c>
      <c r="GI363" s="79">
        <f>IFERROR(IF(($CW363)&gt;0,($FT363)/($CW363),""),"")</f>
        <v/>
      </c>
      <c r="GJ363" s="56">
        <f>IFERROR(IF(($CU363)&gt;0,($FU363)/($CU363),""),"")</f>
        <v/>
      </c>
      <c r="GK363" s="56">
        <f>IFERROR(IF(($CV363)&gt;0,($FV363)/($CV363),""),"")</f>
        <v/>
      </c>
      <c r="GL363" s="56">
        <f>IFERROR(IF(($CW363)&gt;0,($FW363)/($CW363),""),"")</f>
        <v/>
      </c>
      <c r="GM363" s="55">
        <f>IF(SUMIFS(tblPlant[GIC_oz],tblPlant[Date],$A363)&gt;0,SUMIFS(tblPlant[GIC_oz],tblPlant[Date],$A363),"")</f>
        <v/>
      </c>
      <c r="GN363" s="55">
        <f>SUMIFS(tblGold[Gold_oz],tblGold[Date],$A363,tblGold[Type],"Shipment")</f>
        <v/>
      </c>
      <c r="GO363" s="55">
        <f>IF($B363=$B362,$GO362,0)+$GN363</f>
        <v/>
      </c>
      <c r="GP363" s="55">
        <f>$GP362+$GN363</f>
        <v/>
      </c>
      <c r="GQ363" s="55">
        <f>SUMIFS(tblGold[Gold_oz],tblGold[Date],$A363,tblGold[Type],"Sale")</f>
        <v/>
      </c>
      <c r="GR363" s="55">
        <f>IF($B363=$B362,$GR362,0)+$GQ363</f>
        <v/>
      </c>
      <c r="GS363" s="55">
        <f>$GS362+$GQ363</f>
        <v/>
      </c>
      <c r="GT363" s="55">
        <f>SUMIFS(tblGold[Dore_kg],tblGold[Date],$A363,tblGold[Type],"Shipment")</f>
        <v/>
      </c>
      <c r="GU363" s="55">
        <f>IF($B363=$B362,$GU362,0)+$GT363</f>
        <v/>
      </c>
      <c r="GV363" s="55">
        <f>$GV362+$GT363</f>
        <v/>
      </c>
      <c r="GW363" s="57">
        <f>SUMIFS(tblSafety[Hours_Total],tblSafety[Date],$A363)</f>
        <v/>
      </c>
      <c r="GX363" s="57">
        <f>IF($B363=$B362,$GX362,0)+$GW363</f>
        <v/>
      </c>
      <c r="GY363" s="57">
        <f>$GY362+$GW363</f>
        <v/>
      </c>
      <c r="GZ363" s="62">
        <f>SUMIFS(tblSafety[Fatality],tblSafety[Date],$A363)</f>
        <v/>
      </c>
      <c r="HA363" s="62">
        <f>IF($B363=$B362,$HA362,0)+$GZ363</f>
        <v/>
      </c>
      <c r="HB363" s="62">
        <f>$HB362+$GZ363</f>
        <v/>
      </c>
      <c r="HC363" s="62">
        <f>SUMIFS(tblSafety[LTI],tblSafety[Date],$A363)</f>
        <v/>
      </c>
      <c r="HD363" s="62">
        <f>IF($B363=$B362,$HD362,0)+$HC363</f>
        <v/>
      </c>
      <c r="HE363" s="62">
        <f>$HE362+$HC363</f>
        <v/>
      </c>
      <c r="HF363" s="62">
        <f>SUMIFS(tblSafety[RWI],tblSafety[Date],$A363)</f>
        <v/>
      </c>
      <c r="HG363" s="62">
        <f>IF($B363=$B362,$HG362,0)+$HF363</f>
        <v/>
      </c>
      <c r="HH363" s="62">
        <f>$HH362+$HF363</f>
        <v/>
      </c>
      <c r="HI363" s="62">
        <f>SUMIFS(tblSafety[MTI],tblSafety[Date],$A363)</f>
        <v/>
      </c>
      <c r="HJ363" s="62">
        <f>IF($B363=$B362,$HJ362,0)+$HI363</f>
        <v/>
      </c>
      <c r="HK363" s="62">
        <f>$HK362+$HI363</f>
        <v/>
      </c>
      <c r="HL363" s="62">
        <f>SUMIFS(tblSafety[FAI],tblSafety[Date],$A363)</f>
        <v/>
      </c>
      <c r="HM363" s="62">
        <f>IF($B363=$B362,$HM362,0)+$HL363</f>
        <v/>
      </c>
      <c r="HN363" s="62">
        <f>$HN362+$HL363</f>
        <v/>
      </c>
      <c r="HO363" s="62">
        <f>SUMIFS(tblSafety[Recordables],tblSafety[Date],$A363)</f>
        <v/>
      </c>
      <c r="HP363" s="62">
        <f>IF($B363=$B362,$HP362,0)+$HO363</f>
        <v/>
      </c>
      <c r="HQ363" s="62">
        <f>$HQ362+$HO363</f>
        <v/>
      </c>
      <c r="HR363" s="62">
        <f>SUMIFS(tblSafety[Near_Miss],tblSafety[Date],$A363)</f>
        <v/>
      </c>
      <c r="HS363" s="62">
        <f>IF($B363=$B362,$HS362,0)+$HR363</f>
        <v/>
      </c>
      <c r="HT363" s="62">
        <f>$HT362+$HR363</f>
        <v/>
      </c>
      <c r="HU363" s="62">
        <f>SUMIFS(tblSafety[Hazard_Reports],tblSafety[Date],$A363)</f>
        <v/>
      </c>
      <c r="HV363" s="62">
        <f>IF($B363=$B362,$HV362,0)+$HU363</f>
        <v/>
      </c>
      <c r="HW363" s="62">
        <f>$HW362+$HU363</f>
        <v/>
      </c>
      <c r="HX363" s="62">
        <f>SUMIFS(tblSafety[HPI],tblSafety[Date],$A363)</f>
        <v/>
      </c>
      <c r="HY363" s="62">
        <f>IF($B363=$B362,$HY362,0)+$HX363</f>
        <v/>
      </c>
      <c r="HZ363" s="62">
        <f>$HZ362+$HX363</f>
        <v/>
      </c>
      <c r="IA363" s="62">
        <f>SUMIFS(tblSafety[Env_Incidents],tblSafety[Date],$A363)</f>
        <v/>
      </c>
      <c r="IB363" s="62">
        <f>IF($B363=$B362,$IB362,0)+$IA363</f>
        <v/>
      </c>
      <c r="IC363" s="62">
        <f>$IC362+$IA363</f>
        <v/>
      </c>
      <c r="ID363" s="62">
        <f>SUMIFS(tblSafety[Community_Incidents],tblSafety[Date],$A363)</f>
        <v/>
      </c>
      <c r="IE363" s="62">
        <f>IF($B363=$B362,$IE362,0)+$ID363</f>
        <v/>
      </c>
      <c r="IF363" s="62">
        <f>$IF362+$ID363</f>
        <v/>
      </c>
      <c r="IG363" s="62">
        <f>SUMIFS(tblSafety[Vehicle_Incidents],tblSafety[Date],$A363)</f>
        <v/>
      </c>
      <c r="IH363" s="62">
        <f>IF($B363=$B362,$IH362,0)+$IG363</f>
        <v/>
      </c>
      <c r="II363" s="62">
        <f>$II362+$IG363</f>
        <v/>
      </c>
      <c r="IJ363" s="62">
        <f>SUMIFS(tblSafety[Toolbox_Talks],tblSafety[Date],$A363)</f>
        <v/>
      </c>
      <c r="IK363" s="62">
        <f>IF($B363=$B362,$IK362,0)+$IJ363</f>
        <v/>
      </c>
      <c r="IL363" s="62">
        <f>$IL362+$IJ363</f>
        <v/>
      </c>
      <c r="IM363" s="62">
        <f>SUMIFS(tblSafety[Inspections],tblSafety[Date],$A363)</f>
        <v/>
      </c>
      <c r="IN363" s="62">
        <f>IF($B363=$B362,$IN362,0)+$IM363</f>
        <v/>
      </c>
      <c r="IO363" s="62">
        <f>$IO362+$IM363</f>
        <v/>
      </c>
      <c r="IP363" s="56">
        <f>IFERROR((SUMIFS(tblSafety[Recordables],tblSafety[Date],"&gt;="&amp;EDATE($E363,-12),tblSafety[Date],"&lt;="&amp;$A363)+SUMIFS(tblSafetyHistory[Recordables],tblSafetyHistory[Month],"&gt;="&amp;EDATE($E363,-12),tblSafetyHistory[Month],"&lt;"&amp;$E363,tblSafetyHistory[Use],1))/(SUMIFS(tblSafety[Hours_Total],tblSafety[Date],"&gt;="&amp;EDATE($E363,-12),tblSafety[Date],"&lt;="&amp;$A363)+SUMIFS(tblSafetyHistory[Hours_Total],tblSafetyHistory[Month],"&gt;="&amp;EDATE($E363,-12),tblSafetyHistory[Month],"&lt;"&amp;$E363,tblSafetyHistory[Use],1))*cfg_RateBasisHours,"")</f>
        <v/>
      </c>
      <c r="IQ363" s="56">
        <f>IFERROR((SUMIFS(tblSafety[LTI],tblSafety[Date],"&gt;="&amp;EDATE($E363,-12),tblSafety[Date],"&lt;="&amp;$A363)+SUMIFS(tblSafetyHistory[LTI],tblSafetyHistory[Month],"&gt;="&amp;EDATE($E363,-12),tblSafetyHistory[Month],"&lt;"&amp;$E363,tblSafetyHistory[Use],1))/(SUMIFS(tblSafety[Hours_Total],tblSafety[Date],"&gt;="&amp;EDATE($E363,-12),tblSafety[Date],"&lt;="&amp;$A363)+SUMIFS(tblSafetyHistory[Hours_Total],tblSafetyHistory[Month],"&gt;="&amp;EDATE($E363,-12),tblSafetyHistory[Month],"&lt;"&amp;$E363,tblSafetyHistory[Use],1))*cfg_RateBasisHours,"")</f>
        <v/>
      </c>
      <c r="IR363" s="62">
        <f>IF(MAX(N(cfg_PriorLTIDate),_xlfn.MAXIFS(tblSafety[Date],tblSafety[LTI],"&gt;0",tblSafety[Date],"&lt;="&amp;$A363))=0,"",$A363-MAX(N(cfg_PriorLTIDate),_xlfn.MAXIFS(tblSafety[Date],tblSafety[LTI],"&gt;0",tblSafety[Date],"&lt;="&amp;$A363)))</f>
        <v/>
      </c>
      <c r="IS363" s="55">
        <f>SUMIFS(tblBudget[Ore_Mined_t],tblBudget[Month],$E363)</f>
        <v/>
      </c>
      <c r="IT363" s="55">
        <f>$IS363*$C363/$D363</f>
        <v/>
      </c>
      <c r="IU363" s="55">
        <f>SUMIFS(tblBudget[Ore_Mined_t],tblBudget[Month],"&lt;"&amp;$E363)+$IT363</f>
        <v/>
      </c>
      <c r="IV363" s="55">
        <f>SUMIFS(tblBudget[Ore_oz],tblBudget[Month],$E363)</f>
        <v/>
      </c>
      <c r="IW363" s="55">
        <f>$IV363*$C363/$D363</f>
        <v/>
      </c>
      <c r="IX363" s="55">
        <f>SUMIFS(tblBudget[Ore_oz],tblBudget[Month],"&lt;"&amp;$E363)+$IW363</f>
        <v/>
      </c>
      <c r="IY363" s="55">
        <f>SUMIFS(tblBudget[Ore_Mined_t],tblBudget[Month],$E363)</f>
        <v/>
      </c>
      <c r="IZ363" s="55">
        <f>$IY363*$C363/$D363</f>
        <v/>
      </c>
      <c r="JA363" s="55">
        <f>SUMIFS(tblBudget[Ore_Mined_t],tblBudget[Month],"&lt;"&amp;$E363)+$IZ363</f>
        <v/>
      </c>
      <c r="JB363" s="56">
        <f>IFERROR(IF(($IY363)&gt;0,($IV363*cfg_TroyOz)/($IY363),""),"")</f>
        <v/>
      </c>
      <c r="JC363" s="56">
        <f>IFERROR(IF(($IZ363)&gt;0,($IW363*cfg_TroyOz)/($IZ363),""),"")</f>
        <v/>
      </c>
      <c r="JD363" s="56">
        <f>IFERROR(IF(($JA363)&gt;0,($IX363*cfg_TroyOz)/($JA363),""),"")</f>
        <v/>
      </c>
      <c r="JE363" s="55">
        <f>SUMIFS(tblBudget[Waste_t],tblBudget[Month],$E363)</f>
        <v/>
      </c>
      <c r="JF363" s="55">
        <f>$JE363*$C363/$D363</f>
        <v/>
      </c>
      <c r="JG363" s="55">
        <f>SUMIFS(tblBudget[Waste_t],tblBudget[Month],"&lt;"&amp;$E363)+$JF363</f>
        <v/>
      </c>
      <c r="JH363" s="55">
        <f>SUMIFS(tblBudget[TMM_t],tblBudget[Month],$E363)</f>
        <v/>
      </c>
      <c r="JI363" s="55">
        <f>$JH363*$C363/$D363</f>
        <v/>
      </c>
      <c r="JJ363" s="55">
        <f>SUMIFS(tblBudget[TMM_t],tblBudget[Month],"&lt;"&amp;$E363)+$JI363</f>
        <v/>
      </c>
      <c r="JK363" s="56">
        <f>IFERROR(IF(($IS363)&gt;0,($JE363)/($IS363),""),"")</f>
        <v/>
      </c>
      <c r="JL363" s="56">
        <f>IFERROR(IF(($IT363)&gt;0,($JF363)/($IT363),""),"")</f>
        <v/>
      </c>
      <c r="JM363" s="56">
        <f>IFERROR(IF(($IU363)&gt;0,($JG363)/($IU363),""),"")</f>
        <v/>
      </c>
      <c r="JN363" s="55">
        <f>SUMIFS(tblBudget[Drill_m],tblBudget[Month],$E363)</f>
        <v/>
      </c>
      <c r="JO363" s="55">
        <f>$JN363*$C363/$D363</f>
        <v/>
      </c>
      <c r="JP363" s="55">
        <f>SUMIFS(tblBudget[Drill_m],tblBudget[Month],"&lt;"&amp;$E363)+$JO363</f>
        <v/>
      </c>
      <c r="JQ363" s="55">
        <f>SUMIFS(tblBudget[Diesel_L],tblBudget[Month],$E363)</f>
        <v/>
      </c>
      <c r="JR363" s="55">
        <f>$JQ363*$C363/$D363</f>
        <v/>
      </c>
      <c r="JS363" s="55">
        <f>SUMIFS(tblBudget[Diesel_L],tblBudget[Month],"&lt;"&amp;$E363)+$JR363</f>
        <v/>
      </c>
      <c r="JT363" s="55">
        <f>SUMIFS(tblBudget[Milled_t],tblBudget[Month],$E363)</f>
        <v/>
      </c>
      <c r="JU363" s="55">
        <f>$JT363*$C363/$D363</f>
        <v/>
      </c>
      <c r="JV363" s="55">
        <f>SUMIFS(tblBudget[Milled_t],tblBudget[Month],"&lt;"&amp;$E363)+$JU363</f>
        <v/>
      </c>
      <c r="JW363" s="55">
        <f>SUMIFS(tblBudget[Feed_oz],tblBudget[Month],$E363)</f>
        <v/>
      </c>
      <c r="JX363" s="55">
        <f>$JW363*$C363/$D363</f>
        <v/>
      </c>
      <c r="JY363" s="55">
        <f>SUMIFS(tblBudget[Feed_oz],tblBudget[Month],"&lt;"&amp;$E363)+$JX363</f>
        <v/>
      </c>
      <c r="JZ363" s="55">
        <f>SUMIFS(tblBudget[Recovered_oz],tblBudget[Month],$E363)</f>
        <v/>
      </c>
      <c r="KA363" s="55">
        <f>$JZ363*$C363/$D363</f>
        <v/>
      </c>
      <c r="KB363" s="55">
        <f>SUMIFS(tblBudget[Recovered_oz],tblBudget[Month],"&lt;"&amp;$E363)+$KA363</f>
        <v/>
      </c>
      <c r="KC363" s="55">
        <f>SUMIFS(tblBudget[Milled_t],tblBudget[Month],$E363)</f>
        <v/>
      </c>
      <c r="KD363" s="55">
        <f>$KC363*$C363/$D363</f>
        <v/>
      </c>
      <c r="KE363" s="55">
        <f>SUMIFS(tblBudget[Milled_t],tblBudget[Month],"&lt;"&amp;$E363)+$KD363</f>
        <v/>
      </c>
      <c r="KF363" s="55">
        <f>SUMIFS(tblBudget[Feed_oz],tblBudget[Month],$E363)</f>
        <v/>
      </c>
      <c r="KG363" s="55">
        <f>$KF363*$C363/$D363</f>
        <v/>
      </c>
      <c r="KH363" s="55">
        <f>SUMIFS(tblBudget[Feed_oz],tblBudget[Month],"&lt;"&amp;$E363)+$KG363</f>
        <v/>
      </c>
      <c r="KI363" s="56">
        <f>IFERROR(IF(($KC363)&gt;0,($JW363*cfg_TroyOz)/($KC363),""),"")</f>
        <v/>
      </c>
      <c r="KJ363" s="56">
        <f>IFERROR(IF(($KD363)&gt;0,($JX363*cfg_TroyOz)/($KD363),""),"")</f>
        <v/>
      </c>
      <c r="KK363" s="56">
        <f>IFERROR(IF(($KE363)&gt;0,($JY363*cfg_TroyOz)/($KE363),""),"")</f>
        <v/>
      </c>
      <c r="KL363" s="67">
        <f>IFERROR(IF(($KF363)&gt;0,($JZ363)/($KF363),""),"")</f>
        <v/>
      </c>
      <c r="KM363" s="67">
        <f>IFERROR(IF(($KG363)&gt;0,($KA363)/($KG363),""),"")</f>
        <v/>
      </c>
      <c r="KN363" s="67">
        <f>IFERROR(IF(($KH363)&gt;0,($KB363)/($KH363),""),"")</f>
        <v/>
      </c>
      <c r="KO363" s="55">
        <f>SUMIFS(tblBudget[Gold_Poured_oz],tblBudget[Month],$E363)</f>
        <v/>
      </c>
      <c r="KP363" s="55">
        <f>$KO363*$C363/$D363</f>
        <v/>
      </c>
      <c r="KQ363" s="55">
        <f>SUMIFS(tblBudget[Gold_Poured_oz],tblBudget[Month],"&lt;"&amp;$E363)+$KP363</f>
        <v/>
      </c>
      <c r="KR363" s="57">
        <f>SUMIFS(tblBudget[Hours_Worked],tblBudget[Month],$E363)</f>
        <v/>
      </c>
      <c r="KS363" s="57">
        <f>$KR363*$C363/$D363</f>
        <v/>
      </c>
      <c r="KT363" s="57">
        <f>SUMIFS(tblBudget[Hours_Worked],tblBudget[Month],"&lt;"&amp;$E363)+$KS363</f>
        <v/>
      </c>
    </row>
    <row r="364">
      <c r="A364" s="54" t="n">
        <v>46385</v>
      </c>
      <c r="B364">
        <f>MONTH($A364)</f>
        <v/>
      </c>
      <c r="C364">
        <f>DAY($A364)</f>
        <v/>
      </c>
      <c r="D364">
        <f>DAY(EOMONTH($A364,0))</f>
        <v/>
      </c>
      <c r="E364" s="54">
        <f>DATE(YEAR($A364),MONTH($A364),1)</f>
        <v/>
      </c>
      <c r="F364" s="55">
        <f>SUMIFS(tblMovement[Tonnes_t],tblMovement[Date],$A364,tblMovement[Is_Ore],1,tblMovement[Source_Type],"Pit")</f>
        <v/>
      </c>
      <c r="G364" s="55">
        <f>IF($B364=$B363,$G363,0)+$F364</f>
        <v/>
      </c>
      <c r="H364" s="55">
        <f>$H363+$F364</f>
        <v/>
      </c>
      <c r="I364" s="55">
        <f>SUMIFS(tblMovement[Ore_oz],tblMovement[Date],$A364,tblMovement[Source_Type],"Pit")</f>
        <v/>
      </c>
      <c r="J364" s="55">
        <f>IF($B364=$B363,$J363,0)+$I364</f>
        <v/>
      </c>
      <c r="K364" s="55">
        <f>$K363+$I364</f>
        <v/>
      </c>
      <c r="L364" s="55">
        <f>SUMIFS(tblMovement[Tonnes_t],tblMovement[Date],$A364,tblMovement[Is_Ore],1,tblMovement[Source_Type],"Pit",tblMovement[Grade_gpt],"&lt;&gt;")</f>
        <v/>
      </c>
      <c r="M364" s="55">
        <f>IF($B364=$B363,$M363,0)+$L364</f>
        <v/>
      </c>
      <c r="N364" s="55">
        <f>$N363+$L364</f>
        <v/>
      </c>
      <c r="O364" s="56">
        <f>IFERROR(IF(($L364)&gt;0,($I364*cfg_TroyOz)/($L364),""),"")</f>
        <v/>
      </c>
      <c r="P364" s="56">
        <f>IFERROR(IF(($M364)&gt;0,($J364*cfg_TroyOz)/($M364),""),"")</f>
        <v/>
      </c>
      <c r="Q364" s="56">
        <f>IFERROR(IF(($N364)&gt;0,($K364*cfg_TroyOz)/($N364),""),"")</f>
        <v/>
      </c>
      <c r="R364" s="55">
        <f>$F364-$L364</f>
        <v/>
      </c>
      <c r="S364" s="55">
        <f>IF($B364=$B363,$S363,0)+$R364</f>
        <v/>
      </c>
      <c r="T364" s="55">
        <f>$T363+$R364</f>
        <v/>
      </c>
      <c r="U364" s="55">
        <f>SUMIFS(tblMovement[Tonnes_t],tblMovement[Date],$A364,tblMovement[Is_Ore],0,tblMovement[Source_Type],"Pit")</f>
        <v/>
      </c>
      <c r="V364" s="55">
        <f>IF($B364=$B363,$V363,0)+$U364</f>
        <v/>
      </c>
      <c r="W364" s="55">
        <f>$W363+$U364</f>
        <v/>
      </c>
      <c r="X364" s="55">
        <f>$F364+$U364</f>
        <v/>
      </c>
      <c r="Y364" s="55">
        <f>IF($B364=$B363,$Y363,0)+$X364</f>
        <v/>
      </c>
      <c r="Z364" s="55">
        <f>$Z363+$X364</f>
        <v/>
      </c>
      <c r="AA364" s="56">
        <f>IFERROR(IF(($F364)&gt;0,($U364)/($F364),""),"")</f>
        <v/>
      </c>
      <c r="AB364" s="56">
        <f>IFERROR(IF(($G364)&gt;0,($V364)/($G364),""),"")</f>
        <v/>
      </c>
      <c r="AC364" s="56">
        <f>IFERROR(IF(($H364)&gt;0,($W364)/($H364),""),"")</f>
        <v/>
      </c>
      <c r="AD364" s="55">
        <f>SUMIFS(tblMovement[Tonnes_t],tblMovement[Date],$A364,tblMovement[Source_Type],"Stockpile")</f>
        <v/>
      </c>
      <c r="AE364" s="55">
        <f>IF($B364=$B363,$AE363,0)+$AD364</f>
        <v/>
      </c>
      <c r="AF364" s="55">
        <f>$AF363+$AD364</f>
        <v/>
      </c>
      <c r="AG364" s="55">
        <f>SUMIFS(tblMovement[Tonnes_t],tblMovement[Date],$A364)</f>
        <v/>
      </c>
      <c r="AH364" s="55">
        <f>IF($B364=$B363,$AH363,0)+$AG364</f>
        <v/>
      </c>
      <c r="AI364" s="55">
        <f>$AI363+$AG364</f>
        <v/>
      </c>
      <c r="AJ364" s="55">
        <f>$AG364-$X364-$AD364</f>
        <v/>
      </c>
      <c r="AK364" s="55">
        <f>IF($B364=$B363,$AK363,0)+$AJ364</f>
        <v/>
      </c>
      <c r="AL364" s="55">
        <f>$AL363+$AJ364</f>
        <v/>
      </c>
      <c r="AM364" s="55">
        <f>SUMIFS(tblMiningDaily[Drill_m],tblMiningDaily[Date],$A364)</f>
        <v/>
      </c>
      <c r="AN364" s="55">
        <f>IF($B364=$B363,$AN363,0)+$AM364</f>
        <v/>
      </c>
      <c r="AO364" s="55">
        <f>$AO363+$AM364</f>
        <v/>
      </c>
      <c r="AP364" s="55">
        <f>SUMIFS(tblMiningDaily[GC_Drill_m],tblMiningDaily[Date],$A364)</f>
        <v/>
      </c>
      <c r="AQ364" s="55">
        <f>IF($B364=$B363,$AQ363,0)+$AP364</f>
        <v/>
      </c>
      <c r="AR364" s="55">
        <f>$AR363+$AP364</f>
        <v/>
      </c>
      <c r="AS364" s="55">
        <f>SUMIFS(tblMiningDaily[Blast_t],tblMiningDaily[Date],$A364)</f>
        <v/>
      </c>
      <c r="AT364" s="55">
        <f>IF($B364=$B363,$AT363,0)+$AS364</f>
        <v/>
      </c>
      <c r="AU364" s="55">
        <f>$AU363+$AS364</f>
        <v/>
      </c>
      <c r="AV364" s="55">
        <f>SUMIFS(tblMiningDaily[Explosives_kg],tblMiningDaily[Date],$A364)</f>
        <v/>
      </c>
      <c r="AW364" s="55">
        <f>IF($B364=$B363,$AW363,0)+$AV364</f>
        <v/>
      </c>
      <c r="AX364" s="55">
        <f>$AX363+$AV364</f>
        <v/>
      </c>
      <c r="AY364" s="56">
        <f>IFERROR(IF(($AS364)&gt;0,($AV364)/($AS364),""),"")</f>
        <v/>
      </c>
      <c r="AZ364" s="56">
        <f>IFERROR(IF(($AT364)&gt;0,($AW364)/($AT364),""),"")</f>
        <v/>
      </c>
      <c r="BA364" s="56">
        <f>IFERROR(IF(($AU364)&gt;0,($AX364)/($AU364),""),"")</f>
        <v/>
      </c>
      <c r="BB364" s="55">
        <f>SUMIFS(tblMiningDaily[Diesel_L],tblMiningDaily[Date],$A364)</f>
        <v/>
      </c>
      <c r="BC364" s="55">
        <f>IF($B364=$B363,$BC363,0)+$BB364</f>
        <v/>
      </c>
      <c r="BD364" s="55">
        <f>$BD363+$BB364</f>
        <v/>
      </c>
      <c r="BE364" s="55">
        <f>SUMIFS(tblMiningDaily[Dewatering_m3],tblMiningDaily[Date],$A364)</f>
        <v/>
      </c>
      <c r="BF364" s="55">
        <f>IF($B364=$B363,$BF363,0)+$BE364</f>
        <v/>
      </c>
      <c r="BG364" s="55">
        <f>$BG363+$BE364</f>
        <v/>
      </c>
      <c r="BH364" s="57">
        <f>SUMIFS(tblFleet[Calendar_h],tblFleet[Date],$A364,tblFleet[Equipment_Class],"Excavator")</f>
        <v/>
      </c>
      <c r="BI364" s="57">
        <f>IF($B364=$B363,$BI363,0)+$BH364</f>
        <v/>
      </c>
      <c r="BJ364" s="57">
        <f>$BJ363+$BH364</f>
        <v/>
      </c>
      <c r="BK364" s="57">
        <f>SUMIFS(tblFleet[Available_h],tblFleet[Date],$A364,tblFleet[Equipment_Class],"Excavator")</f>
        <v/>
      </c>
      <c r="BL364" s="57">
        <f>IF($B364=$B363,$BL363,0)+$BK364</f>
        <v/>
      </c>
      <c r="BM364" s="57">
        <f>$BM363+$BK364</f>
        <v/>
      </c>
      <c r="BN364" s="57">
        <f>SUMIFS(tblFleet[Operating_h],tblFleet[Date],$A364,tblFleet[Equipment_Class],"Excavator")</f>
        <v/>
      </c>
      <c r="BO364" s="57">
        <f>IF($B364=$B363,$BO363,0)+$BN364</f>
        <v/>
      </c>
      <c r="BP364" s="57">
        <f>$BP363+$BN364</f>
        <v/>
      </c>
      <c r="BQ364" s="67">
        <f>IFERROR(IF(($BH364)&gt;0,($BK364)/($BH364),""),"")</f>
        <v/>
      </c>
      <c r="BR364" s="67">
        <f>IFERROR(IF(($BI364)&gt;0,($BL364)/($BI364),""),"")</f>
        <v/>
      </c>
      <c r="BS364" s="67">
        <f>IFERROR(IF(($BJ364)&gt;0,($BM364)/($BJ364),""),"")</f>
        <v/>
      </c>
      <c r="BT364" s="67">
        <f>IFERROR(IF(($BK364)&gt;0,($BN364)/($BK364),""),"")</f>
        <v/>
      </c>
      <c r="BU364" s="67">
        <f>IFERROR(IF(($BL364)&gt;0,($BO364)/($BL364),""),"")</f>
        <v/>
      </c>
      <c r="BV364" s="67">
        <f>IFERROR(IF(($BM364)&gt;0,($BP364)/($BM364),""),"")</f>
        <v/>
      </c>
      <c r="BW364" s="57">
        <f>SUMIFS(tblFleet[Calendar_h],tblFleet[Date],$A364,tblFleet[Equipment_Class],"Haul Truck")</f>
        <v/>
      </c>
      <c r="BX364" s="57">
        <f>IF($B364=$B363,$BX363,0)+$BW364</f>
        <v/>
      </c>
      <c r="BY364" s="57">
        <f>$BY363+$BW364</f>
        <v/>
      </c>
      <c r="BZ364" s="57">
        <f>SUMIFS(tblFleet[Available_h],tblFleet[Date],$A364,tblFleet[Equipment_Class],"Haul Truck")</f>
        <v/>
      </c>
      <c r="CA364" s="57">
        <f>IF($B364=$B363,$CA363,0)+$BZ364</f>
        <v/>
      </c>
      <c r="CB364" s="57">
        <f>$CB363+$BZ364</f>
        <v/>
      </c>
      <c r="CC364" s="57">
        <f>SUMIFS(tblFleet[Operating_h],tblFleet[Date],$A364,tblFleet[Equipment_Class],"Haul Truck")</f>
        <v/>
      </c>
      <c r="CD364" s="57">
        <f>IF($B364=$B363,$CD363,0)+$CC364</f>
        <v/>
      </c>
      <c r="CE364" s="57">
        <f>$CE363+$CC364</f>
        <v/>
      </c>
      <c r="CF364" s="67">
        <f>IFERROR(IF(($BW364)&gt;0,($BZ364)/($BW364),""),"")</f>
        <v/>
      </c>
      <c r="CG364" s="67">
        <f>IFERROR(IF(($BX364)&gt;0,($CA364)/($BX364),""),"")</f>
        <v/>
      </c>
      <c r="CH364" s="67">
        <f>IFERROR(IF(($BY364)&gt;0,($CB364)/($BY364),""),"")</f>
        <v/>
      </c>
      <c r="CI364" s="67">
        <f>IFERROR(IF(($BZ364)&gt;0,($CC364)/($BZ364),""),"")</f>
        <v/>
      </c>
      <c r="CJ364" s="67">
        <f>IFERROR(IF(($CA364)&gt;0,($CD364)/($CA364),""),"")</f>
        <v/>
      </c>
      <c r="CK364" s="67">
        <f>IFERROR(IF(($CB364)&gt;0,($CE364)/($CB364),""),"")</f>
        <v/>
      </c>
      <c r="CL364" s="55">
        <f>IFERROR(IF(($BN364)&gt;0,($X364+$AD364)/($BN364),""),"")</f>
        <v/>
      </c>
      <c r="CM364" s="55">
        <f>IFERROR(IF(($BO364)&gt;0,($Y364+$AE364)/($BO364),""),"")</f>
        <v/>
      </c>
      <c r="CN364" s="55">
        <f>IFERROR(IF(($BP364)&gt;0,($Z364+$AF364)/($BP364),""),"")</f>
        <v/>
      </c>
      <c r="CO364" s="55">
        <f>IFERROR(IF(($CC364)&gt;0,($X364+$AD364)/($CC364),""),"")</f>
        <v/>
      </c>
      <c r="CP364" s="55">
        <f>IFERROR(IF(($CD364)&gt;0,($Y364+$AE364)/($CD364),""),"")</f>
        <v/>
      </c>
      <c r="CQ364" s="55">
        <f>IFERROR(IF(($CE364)&gt;0,($Z364+$AF364)/($CE364),""),"")</f>
        <v/>
      </c>
      <c r="CR364" s="55">
        <f>SUMIFS(tblPlant[Crushed_t],tblPlant[Date],$A364)</f>
        <v/>
      </c>
      <c r="CS364" s="55">
        <f>IF($B364=$B363,$CS363,0)+$CR364</f>
        <v/>
      </c>
      <c r="CT364" s="55">
        <f>$CT363+$CR364</f>
        <v/>
      </c>
      <c r="CU364" s="55">
        <f>SUMIFS(tblPlant[Milled_t],tblPlant[Date],$A364)</f>
        <v/>
      </c>
      <c r="CV364" s="55">
        <f>IF($B364=$B363,$CV363,0)+$CU364</f>
        <v/>
      </c>
      <c r="CW364" s="55">
        <f>$CW363+$CU364</f>
        <v/>
      </c>
      <c r="CX364" s="55">
        <f>SUMIFS(tblPlant[Feed_oz],tblPlant[Date],$A364)</f>
        <v/>
      </c>
      <c r="CY364" s="55">
        <f>IF($B364=$B363,$CY363,0)+$CX364</f>
        <v/>
      </c>
      <c r="CZ364" s="55">
        <f>$CZ363+$CX364</f>
        <v/>
      </c>
      <c r="DA364" s="55">
        <f>SUMIFS(tblPlant[Tails_oz],tblPlant[Date],$A364)</f>
        <v/>
      </c>
      <c r="DB364" s="55">
        <f>IF($B364=$B363,$DB363,0)+$DA364</f>
        <v/>
      </c>
      <c r="DC364" s="55">
        <f>$DC363+$DA364</f>
        <v/>
      </c>
      <c r="DD364" s="55">
        <f>SUMIFS(tblPlant[Recovered_oz],tblPlant[Date],$A364)</f>
        <v/>
      </c>
      <c r="DE364" s="55">
        <f>IF($B364=$B363,$DE363,0)+$DD364</f>
        <v/>
      </c>
      <c r="DF364" s="55">
        <f>$DF363+$DD364</f>
        <v/>
      </c>
      <c r="DG364" s="55">
        <f>SUMIFS(tblPlant[Milled_t],tblPlant[Date],$A364,tblPlant[Head_Grade_gpt],"&lt;&gt;")</f>
        <v/>
      </c>
      <c r="DH364" s="55">
        <f>IF($B364=$B363,$DH363,0)+$DG364</f>
        <v/>
      </c>
      <c r="DI364" s="55">
        <f>$DI363+$DG364</f>
        <v/>
      </c>
      <c r="DJ364" s="55">
        <f>SUMIFS(tblPlant[Milled_t],tblPlant[Date],$A364,tblPlant[Tails_Grade_gpt],"&lt;&gt;")</f>
        <v/>
      </c>
      <c r="DK364" s="55">
        <f>IF($B364=$B363,$DK363,0)+$DJ364</f>
        <v/>
      </c>
      <c r="DL364" s="55">
        <f>$DL363+$DJ364</f>
        <v/>
      </c>
      <c r="DM364" s="55">
        <f>SUMIFS(tblPlant[Feed_oz],tblPlant[Date],$A364,tblPlant[Tails_Grade_gpt],"&lt;&gt;")</f>
        <v/>
      </c>
      <c r="DN364" s="55">
        <f>IF($B364=$B363,$DN363,0)+$DM364</f>
        <v/>
      </c>
      <c r="DO364" s="55">
        <f>$DO363+$DM364</f>
        <v/>
      </c>
      <c r="DP364" s="55">
        <f>SUMIFS(tblPlant[Milled_t],tblPlant[Date],$A364,tblPlant[Mill_Run_h],"&lt;&gt;")</f>
        <v/>
      </c>
      <c r="DQ364" s="55">
        <f>IF($B364=$B363,$DQ363,0)+$DP364</f>
        <v/>
      </c>
      <c r="DR364" s="55">
        <f>$DR363+$DP364</f>
        <v/>
      </c>
      <c r="DS364" s="56">
        <f>IFERROR(IF(($DG364)&gt;0,($CX364*cfg_TroyOz)/($DG364),""),"")</f>
        <v/>
      </c>
      <c r="DT364" s="56">
        <f>IFERROR(IF(($DH364)&gt;0,($CY364*cfg_TroyOz)/($DH364),""),"")</f>
        <v/>
      </c>
      <c r="DU364" s="56">
        <f>IFERROR(IF(($DI364)&gt;0,($CZ364*cfg_TroyOz)/($DI364),""),"")</f>
        <v/>
      </c>
      <c r="DV364" s="56">
        <f>IFERROR(IF(($DJ364)&gt;0,($DA364*cfg_TroyOz)/($DJ364),""),"")</f>
        <v/>
      </c>
      <c r="DW364" s="56">
        <f>IFERROR(IF(($DK364)&gt;0,($DB364*cfg_TroyOz)/($DK364),""),"")</f>
        <v/>
      </c>
      <c r="DX364" s="56">
        <f>IFERROR(IF(($DL364)&gt;0,($DC364*cfg_TroyOz)/($DL364),""),"")</f>
        <v/>
      </c>
      <c r="DY364" s="67">
        <f>IFERROR(IF(($DM364)&gt;0,($DD364)/($DM364),""),"")</f>
        <v/>
      </c>
      <c r="DZ364" s="67">
        <f>IFERROR(IF(($DN364)&gt;0,($DE364)/($DN364),""),"")</f>
        <v/>
      </c>
      <c r="EA364" s="67">
        <f>IFERROR(IF(($DO364)&gt;0,($DF364)/($DO364),""),"")</f>
        <v/>
      </c>
      <c r="EB364" s="55">
        <f>SUMIFS(tblPlant[Gravity_Gold_oz],tblPlant[Date],$A364)</f>
        <v/>
      </c>
      <c r="EC364" s="55">
        <f>IF($B364=$B363,$EC363,0)+$EB364</f>
        <v/>
      </c>
      <c r="ED364" s="55">
        <f>$ED363+$EB364</f>
        <v/>
      </c>
      <c r="EE364" s="67">
        <f>IFERROR(IF(($DD364)&gt;0,($EB364)/($DD364),""),"")</f>
        <v/>
      </c>
      <c r="EF364" s="67">
        <f>IFERROR(IF(($DE364)&gt;0,($EC364)/($DE364),""),"")</f>
        <v/>
      </c>
      <c r="EG364" s="67">
        <f>IFERROR(IF(($DF364)&gt;0,($ED364)/($DF364),""),"")</f>
        <v/>
      </c>
      <c r="EH364" s="55">
        <f>SUMIFS(tblPlant[Gold_Poured_oz],tblPlant[Date],$A364)</f>
        <v/>
      </c>
      <c r="EI364" s="55">
        <f>IF($B364=$B363,$EI363,0)+$EH364</f>
        <v/>
      </c>
      <c r="EJ364" s="55">
        <f>$EJ363+$EH364</f>
        <v/>
      </c>
      <c r="EK364" s="57">
        <f>SUMIFS(tblPlant[Mill_Run_h],tblPlant[Date],$A364)</f>
        <v/>
      </c>
      <c r="EL364" s="57">
        <f>IF($B364=$B363,$EL363,0)+$EK364</f>
        <v/>
      </c>
      <c r="EM364" s="57">
        <f>$EM363+$EK364</f>
        <v/>
      </c>
      <c r="EN364" s="57">
        <f>SUMIFS(tblPlant[Mill_Planned_Maint_h],tblPlant[Date],$A364)</f>
        <v/>
      </c>
      <c r="EO364" s="57">
        <f>IF($B364=$B363,$EO363,0)+$EN364</f>
        <v/>
      </c>
      <c r="EP364" s="57">
        <f>$EP363+$EN364</f>
        <v/>
      </c>
      <c r="EQ364" s="57">
        <f>SUMIFS(tblPlant[Mill_Unplanned_Down_h],tblPlant[Date],$A364)</f>
        <v/>
      </c>
      <c r="ER364" s="57">
        <f>IF($B364=$B363,$ER363,0)+$EQ364</f>
        <v/>
      </c>
      <c r="ES364" s="57">
        <f>$ES363+$EQ364</f>
        <v/>
      </c>
      <c r="ET364" s="57">
        <f>IF(COUNTIFS(tblPlant[Date],$A364,tblPlant[Mill_Run_h],"&lt;&gt;")+COUNTIFS(tblPlant[Date],$A364,tblPlant[Mill_Planned_Maint_h],"&lt;&gt;")+COUNTIFS(tblPlant[Date],$A364,tblPlant[Mill_Unplanned_Down_h],"&lt;&gt;")&gt;0,cfg_HoursPerDay,0)</f>
        <v/>
      </c>
      <c r="EU364" s="57">
        <f>IF($B364=$B363,$EU363,0)+$ET364</f>
        <v/>
      </c>
      <c r="EV364" s="57">
        <f>$EV363+$ET364</f>
        <v/>
      </c>
      <c r="EW364" s="57">
        <f>SUMIFS(tblPlant[Crusher_Run_h],tblPlant[Date],$A364)</f>
        <v/>
      </c>
      <c r="EX364" s="57">
        <f>IF($B364=$B363,$EX363,0)+$EW364</f>
        <v/>
      </c>
      <c r="EY364" s="57">
        <f>$EY363+$EW364</f>
        <v/>
      </c>
      <c r="EZ364" s="55">
        <f>IFERROR(IF(($EK364)&gt;0,($DP364)/($EK364),""),"")</f>
        <v/>
      </c>
      <c r="FA364" s="55">
        <f>IFERROR(IF(($EL364)&gt;0,($DQ364)/($EL364),""),"")</f>
        <v/>
      </c>
      <c r="FB364" s="55">
        <f>IFERROR(IF(($EM364)&gt;0,($DR364)/($EM364),""),"")</f>
        <v/>
      </c>
      <c r="FC364" s="67">
        <f>IFERROR(IF(($ET364)&gt;0,($ET364-$EN364-$EQ364)/($ET364),""),"")</f>
        <v/>
      </c>
      <c r="FD364" s="67">
        <f>IFERROR(IF(($EU364)&gt;0,($EU364-$EO364-$ER364)/($EU364),""),"")</f>
        <v/>
      </c>
      <c r="FE364" s="67">
        <f>IFERROR(IF(($EV364)&gt;0,($EV364-$EP364-$ES364)/($EV364),""),"")</f>
        <v/>
      </c>
      <c r="FF364" s="67">
        <f>IFERROR(IF(($ET364-$EN364-$EQ364)&gt;0,($EK364)/($ET364-$EN364-$EQ364),""),"")</f>
        <v/>
      </c>
      <c r="FG364" s="67">
        <f>IFERROR(IF(($EU364-$EO364-$ER364)&gt;0,($EL364)/($EU364-$EO364-$ER364),""),"")</f>
        <v/>
      </c>
      <c r="FH364" s="67">
        <f>IFERROR(IF(($EV364-$EP364-$ES364)&gt;0,($EM364)/($EV364-$EP364-$ES364),""),"")</f>
        <v/>
      </c>
      <c r="FI364" s="55">
        <f>SUMIFS(tblPlant[Cyanide_kg],tblPlant[Date],$A364)</f>
        <v/>
      </c>
      <c r="FJ364" s="55">
        <f>IF($B364=$B363,$FJ363,0)+$FI364</f>
        <v/>
      </c>
      <c r="FK364" s="55">
        <f>$FK363+$FI364</f>
        <v/>
      </c>
      <c r="FL364" s="55">
        <f>SUMIFS(tblPlant[Lime_kg],tblPlant[Date],$A364)</f>
        <v/>
      </c>
      <c r="FM364" s="55">
        <f>IF($B364=$B363,$FM363,0)+$FL364</f>
        <v/>
      </c>
      <c r="FN364" s="55">
        <f>$FN363+$FL364</f>
        <v/>
      </c>
      <c r="FO364" s="55">
        <f>SUMIFS(tblPlant[Grinding_Media_kg],tblPlant[Date],$A364)</f>
        <v/>
      </c>
      <c r="FP364" s="55">
        <f>IF($B364=$B363,$FP363,0)+$FO364</f>
        <v/>
      </c>
      <c r="FQ364" s="55">
        <f>$FQ363+$FO364</f>
        <v/>
      </c>
      <c r="FR364" s="55">
        <f>SUMIFS(tblPlant[Power_kWh],tblPlant[Date],$A364)</f>
        <v/>
      </c>
      <c r="FS364" s="55">
        <f>IF($B364=$B363,$FS363,0)+$FR364</f>
        <v/>
      </c>
      <c r="FT364" s="55">
        <f>$FT363+$FR364</f>
        <v/>
      </c>
      <c r="FU364" s="55">
        <f>SUMIFS(tblPlant[Raw_Water_m3],tblPlant[Date],$A364)</f>
        <v/>
      </c>
      <c r="FV364" s="55">
        <f>IF($B364=$B363,$FV363,0)+$FU364</f>
        <v/>
      </c>
      <c r="FW364" s="55">
        <f>$FW363+$FU364</f>
        <v/>
      </c>
      <c r="FX364" s="56">
        <f>IFERROR(IF(($CU364)&gt;0,($FI364)/($CU364),""),"")</f>
        <v/>
      </c>
      <c r="FY364" s="56">
        <f>IFERROR(IF(($CV364)&gt;0,($FJ364)/($CV364),""),"")</f>
        <v/>
      </c>
      <c r="FZ364" s="56">
        <f>IFERROR(IF(($CW364)&gt;0,($FK364)/($CW364),""),"")</f>
        <v/>
      </c>
      <c r="GA364" s="56">
        <f>IFERROR(IF(($CU364)&gt;0,($FL364)/($CU364),""),"")</f>
        <v/>
      </c>
      <c r="GB364" s="56">
        <f>IFERROR(IF(($CV364)&gt;0,($FM364)/($CV364),""),"")</f>
        <v/>
      </c>
      <c r="GC364" s="56">
        <f>IFERROR(IF(($CW364)&gt;0,($FN364)/($CW364),""),"")</f>
        <v/>
      </c>
      <c r="GD364" s="56">
        <f>IFERROR(IF(($CU364)&gt;0,($FO364)/($CU364),""),"")</f>
        <v/>
      </c>
      <c r="GE364" s="56">
        <f>IFERROR(IF(($CV364)&gt;0,($FP364)/($CV364),""),"")</f>
        <v/>
      </c>
      <c r="GF364" s="56">
        <f>IFERROR(IF(($CW364)&gt;0,($FQ364)/($CW364),""),"")</f>
        <v/>
      </c>
      <c r="GG364" s="79">
        <f>IFERROR(IF(($CU364)&gt;0,($FR364)/($CU364),""),"")</f>
        <v/>
      </c>
      <c r="GH364" s="79">
        <f>IFERROR(IF(($CV364)&gt;0,($FS364)/($CV364),""),"")</f>
        <v/>
      </c>
      <c r="GI364" s="79">
        <f>IFERROR(IF(($CW364)&gt;0,($FT364)/($CW364),""),"")</f>
        <v/>
      </c>
      <c r="GJ364" s="56">
        <f>IFERROR(IF(($CU364)&gt;0,($FU364)/($CU364),""),"")</f>
        <v/>
      </c>
      <c r="GK364" s="56">
        <f>IFERROR(IF(($CV364)&gt;0,($FV364)/($CV364),""),"")</f>
        <v/>
      </c>
      <c r="GL364" s="56">
        <f>IFERROR(IF(($CW364)&gt;0,($FW364)/($CW364),""),"")</f>
        <v/>
      </c>
      <c r="GM364" s="55">
        <f>IF(SUMIFS(tblPlant[GIC_oz],tblPlant[Date],$A364)&gt;0,SUMIFS(tblPlant[GIC_oz],tblPlant[Date],$A364),"")</f>
        <v/>
      </c>
      <c r="GN364" s="55">
        <f>SUMIFS(tblGold[Gold_oz],tblGold[Date],$A364,tblGold[Type],"Shipment")</f>
        <v/>
      </c>
      <c r="GO364" s="55">
        <f>IF($B364=$B363,$GO363,0)+$GN364</f>
        <v/>
      </c>
      <c r="GP364" s="55">
        <f>$GP363+$GN364</f>
        <v/>
      </c>
      <c r="GQ364" s="55">
        <f>SUMIFS(tblGold[Gold_oz],tblGold[Date],$A364,tblGold[Type],"Sale")</f>
        <v/>
      </c>
      <c r="GR364" s="55">
        <f>IF($B364=$B363,$GR363,0)+$GQ364</f>
        <v/>
      </c>
      <c r="GS364" s="55">
        <f>$GS363+$GQ364</f>
        <v/>
      </c>
      <c r="GT364" s="55">
        <f>SUMIFS(tblGold[Dore_kg],tblGold[Date],$A364,tblGold[Type],"Shipment")</f>
        <v/>
      </c>
      <c r="GU364" s="55">
        <f>IF($B364=$B363,$GU363,0)+$GT364</f>
        <v/>
      </c>
      <c r="GV364" s="55">
        <f>$GV363+$GT364</f>
        <v/>
      </c>
      <c r="GW364" s="57">
        <f>SUMIFS(tblSafety[Hours_Total],tblSafety[Date],$A364)</f>
        <v/>
      </c>
      <c r="GX364" s="57">
        <f>IF($B364=$B363,$GX363,0)+$GW364</f>
        <v/>
      </c>
      <c r="GY364" s="57">
        <f>$GY363+$GW364</f>
        <v/>
      </c>
      <c r="GZ364" s="62">
        <f>SUMIFS(tblSafety[Fatality],tblSafety[Date],$A364)</f>
        <v/>
      </c>
      <c r="HA364" s="62">
        <f>IF($B364=$B363,$HA363,0)+$GZ364</f>
        <v/>
      </c>
      <c r="HB364" s="62">
        <f>$HB363+$GZ364</f>
        <v/>
      </c>
      <c r="HC364" s="62">
        <f>SUMIFS(tblSafety[LTI],tblSafety[Date],$A364)</f>
        <v/>
      </c>
      <c r="HD364" s="62">
        <f>IF($B364=$B363,$HD363,0)+$HC364</f>
        <v/>
      </c>
      <c r="HE364" s="62">
        <f>$HE363+$HC364</f>
        <v/>
      </c>
      <c r="HF364" s="62">
        <f>SUMIFS(tblSafety[RWI],tblSafety[Date],$A364)</f>
        <v/>
      </c>
      <c r="HG364" s="62">
        <f>IF($B364=$B363,$HG363,0)+$HF364</f>
        <v/>
      </c>
      <c r="HH364" s="62">
        <f>$HH363+$HF364</f>
        <v/>
      </c>
      <c r="HI364" s="62">
        <f>SUMIFS(tblSafety[MTI],tblSafety[Date],$A364)</f>
        <v/>
      </c>
      <c r="HJ364" s="62">
        <f>IF($B364=$B363,$HJ363,0)+$HI364</f>
        <v/>
      </c>
      <c r="HK364" s="62">
        <f>$HK363+$HI364</f>
        <v/>
      </c>
      <c r="HL364" s="62">
        <f>SUMIFS(tblSafety[FAI],tblSafety[Date],$A364)</f>
        <v/>
      </c>
      <c r="HM364" s="62">
        <f>IF($B364=$B363,$HM363,0)+$HL364</f>
        <v/>
      </c>
      <c r="HN364" s="62">
        <f>$HN363+$HL364</f>
        <v/>
      </c>
      <c r="HO364" s="62">
        <f>SUMIFS(tblSafety[Recordables],tblSafety[Date],$A364)</f>
        <v/>
      </c>
      <c r="HP364" s="62">
        <f>IF($B364=$B363,$HP363,0)+$HO364</f>
        <v/>
      </c>
      <c r="HQ364" s="62">
        <f>$HQ363+$HO364</f>
        <v/>
      </c>
      <c r="HR364" s="62">
        <f>SUMIFS(tblSafety[Near_Miss],tblSafety[Date],$A364)</f>
        <v/>
      </c>
      <c r="HS364" s="62">
        <f>IF($B364=$B363,$HS363,0)+$HR364</f>
        <v/>
      </c>
      <c r="HT364" s="62">
        <f>$HT363+$HR364</f>
        <v/>
      </c>
      <c r="HU364" s="62">
        <f>SUMIFS(tblSafety[Hazard_Reports],tblSafety[Date],$A364)</f>
        <v/>
      </c>
      <c r="HV364" s="62">
        <f>IF($B364=$B363,$HV363,0)+$HU364</f>
        <v/>
      </c>
      <c r="HW364" s="62">
        <f>$HW363+$HU364</f>
        <v/>
      </c>
      <c r="HX364" s="62">
        <f>SUMIFS(tblSafety[HPI],tblSafety[Date],$A364)</f>
        <v/>
      </c>
      <c r="HY364" s="62">
        <f>IF($B364=$B363,$HY363,0)+$HX364</f>
        <v/>
      </c>
      <c r="HZ364" s="62">
        <f>$HZ363+$HX364</f>
        <v/>
      </c>
      <c r="IA364" s="62">
        <f>SUMIFS(tblSafety[Env_Incidents],tblSafety[Date],$A364)</f>
        <v/>
      </c>
      <c r="IB364" s="62">
        <f>IF($B364=$B363,$IB363,0)+$IA364</f>
        <v/>
      </c>
      <c r="IC364" s="62">
        <f>$IC363+$IA364</f>
        <v/>
      </c>
      <c r="ID364" s="62">
        <f>SUMIFS(tblSafety[Community_Incidents],tblSafety[Date],$A364)</f>
        <v/>
      </c>
      <c r="IE364" s="62">
        <f>IF($B364=$B363,$IE363,0)+$ID364</f>
        <v/>
      </c>
      <c r="IF364" s="62">
        <f>$IF363+$ID364</f>
        <v/>
      </c>
      <c r="IG364" s="62">
        <f>SUMIFS(tblSafety[Vehicle_Incidents],tblSafety[Date],$A364)</f>
        <v/>
      </c>
      <c r="IH364" s="62">
        <f>IF($B364=$B363,$IH363,0)+$IG364</f>
        <v/>
      </c>
      <c r="II364" s="62">
        <f>$II363+$IG364</f>
        <v/>
      </c>
      <c r="IJ364" s="62">
        <f>SUMIFS(tblSafety[Toolbox_Talks],tblSafety[Date],$A364)</f>
        <v/>
      </c>
      <c r="IK364" s="62">
        <f>IF($B364=$B363,$IK363,0)+$IJ364</f>
        <v/>
      </c>
      <c r="IL364" s="62">
        <f>$IL363+$IJ364</f>
        <v/>
      </c>
      <c r="IM364" s="62">
        <f>SUMIFS(tblSafety[Inspections],tblSafety[Date],$A364)</f>
        <v/>
      </c>
      <c r="IN364" s="62">
        <f>IF($B364=$B363,$IN363,0)+$IM364</f>
        <v/>
      </c>
      <c r="IO364" s="62">
        <f>$IO363+$IM364</f>
        <v/>
      </c>
      <c r="IP364" s="56">
        <f>IFERROR((SUMIFS(tblSafety[Recordables],tblSafety[Date],"&gt;="&amp;EDATE($E364,-12),tblSafety[Date],"&lt;="&amp;$A364)+SUMIFS(tblSafetyHistory[Recordables],tblSafetyHistory[Month],"&gt;="&amp;EDATE($E364,-12),tblSafetyHistory[Month],"&lt;"&amp;$E364,tblSafetyHistory[Use],1))/(SUMIFS(tblSafety[Hours_Total],tblSafety[Date],"&gt;="&amp;EDATE($E364,-12),tblSafety[Date],"&lt;="&amp;$A364)+SUMIFS(tblSafetyHistory[Hours_Total],tblSafetyHistory[Month],"&gt;="&amp;EDATE($E364,-12),tblSafetyHistory[Month],"&lt;"&amp;$E364,tblSafetyHistory[Use],1))*cfg_RateBasisHours,"")</f>
        <v/>
      </c>
      <c r="IQ364" s="56">
        <f>IFERROR((SUMIFS(tblSafety[LTI],tblSafety[Date],"&gt;="&amp;EDATE($E364,-12),tblSafety[Date],"&lt;="&amp;$A364)+SUMIFS(tblSafetyHistory[LTI],tblSafetyHistory[Month],"&gt;="&amp;EDATE($E364,-12),tblSafetyHistory[Month],"&lt;"&amp;$E364,tblSafetyHistory[Use],1))/(SUMIFS(tblSafety[Hours_Total],tblSafety[Date],"&gt;="&amp;EDATE($E364,-12),tblSafety[Date],"&lt;="&amp;$A364)+SUMIFS(tblSafetyHistory[Hours_Total],tblSafetyHistory[Month],"&gt;="&amp;EDATE($E364,-12),tblSafetyHistory[Month],"&lt;"&amp;$E364,tblSafetyHistory[Use],1))*cfg_RateBasisHours,"")</f>
        <v/>
      </c>
      <c r="IR364" s="62">
        <f>IF(MAX(N(cfg_PriorLTIDate),_xlfn.MAXIFS(tblSafety[Date],tblSafety[LTI],"&gt;0",tblSafety[Date],"&lt;="&amp;$A364))=0,"",$A364-MAX(N(cfg_PriorLTIDate),_xlfn.MAXIFS(tblSafety[Date],tblSafety[LTI],"&gt;0",tblSafety[Date],"&lt;="&amp;$A364)))</f>
        <v/>
      </c>
      <c r="IS364" s="55">
        <f>SUMIFS(tblBudget[Ore_Mined_t],tblBudget[Month],$E364)</f>
        <v/>
      </c>
      <c r="IT364" s="55">
        <f>$IS364*$C364/$D364</f>
        <v/>
      </c>
      <c r="IU364" s="55">
        <f>SUMIFS(tblBudget[Ore_Mined_t],tblBudget[Month],"&lt;"&amp;$E364)+$IT364</f>
        <v/>
      </c>
      <c r="IV364" s="55">
        <f>SUMIFS(tblBudget[Ore_oz],tblBudget[Month],$E364)</f>
        <v/>
      </c>
      <c r="IW364" s="55">
        <f>$IV364*$C364/$D364</f>
        <v/>
      </c>
      <c r="IX364" s="55">
        <f>SUMIFS(tblBudget[Ore_oz],tblBudget[Month],"&lt;"&amp;$E364)+$IW364</f>
        <v/>
      </c>
      <c r="IY364" s="55">
        <f>SUMIFS(tblBudget[Ore_Mined_t],tblBudget[Month],$E364)</f>
        <v/>
      </c>
      <c r="IZ364" s="55">
        <f>$IY364*$C364/$D364</f>
        <v/>
      </c>
      <c r="JA364" s="55">
        <f>SUMIFS(tblBudget[Ore_Mined_t],tblBudget[Month],"&lt;"&amp;$E364)+$IZ364</f>
        <v/>
      </c>
      <c r="JB364" s="56">
        <f>IFERROR(IF(($IY364)&gt;0,($IV364*cfg_TroyOz)/($IY364),""),"")</f>
        <v/>
      </c>
      <c r="JC364" s="56">
        <f>IFERROR(IF(($IZ364)&gt;0,($IW364*cfg_TroyOz)/($IZ364),""),"")</f>
        <v/>
      </c>
      <c r="JD364" s="56">
        <f>IFERROR(IF(($JA364)&gt;0,($IX364*cfg_TroyOz)/($JA364),""),"")</f>
        <v/>
      </c>
      <c r="JE364" s="55">
        <f>SUMIFS(tblBudget[Waste_t],tblBudget[Month],$E364)</f>
        <v/>
      </c>
      <c r="JF364" s="55">
        <f>$JE364*$C364/$D364</f>
        <v/>
      </c>
      <c r="JG364" s="55">
        <f>SUMIFS(tblBudget[Waste_t],tblBudget[Month],"&lt;"&amp;$E364)+$JF364</f>
        <v/>
      </c>
      <c r="JH364" s="55">
        <f>SUMIFS(tblBudget[TMM_t],tblBudget[Month],$E364)</f>
        <v/>
      </c>
      <c r="JI364" s="55">
        <f>$JH364*$C364/$D364</f>
        <v/>
      </c>
      <c r="JJ364" s="55">
        <f>SUMIFS(tblBudget[TMM_t],tblBudget[Month],"&lt;"&amp;$E364)+$JI364</f>
        <v/>
      </c>
      <c r="JK364" s="56">
        <f>IFERROR(IF(($IS364)&gt;0,($JE364)/($IS364),""),"")</f>
        <v/>
      </c>
      <c r="JL364" s="56">
        <f>IFERROR(IF(($IT364)&gt;0,($JF364)/($IT364),""),"")</f>
        <v/>
      </c>
      <c r="JM364" s="56">
        <f>IFERROR(IF(($IU364)&gt;0,($JG364)/($IU364),""),"")</f>
        <v/>
      </c>
      <c r="JN364" s="55">
        <f>SUMIFS(tblBudget[Drill_m],tblBudget[Month],$E364)</f>
        <v/>
      </c>
      <c r="JO364" s="55">
        <f>$JN364*$C364/$D364</f>
        <v/>
      </c>
      <c r="JP364" s="55">
        <f>SUMIFS(tblBudget[Drill_m],tblBudget[Month],"&lt;"&amp;$E364)+$JO364</f>
        <v/>
      </c>
      <c r="JQ364" s="55">
        <f>SUMIFS(tblBudget[Diesel_L],tblBudget[Month],$E364)</f>
        <v/>
      </c>
      <c r="JR364" s="55">
        <f>$JQ364*$C364/$D364</f>
        <v/>
      </c>
      <c r="JS364" s="55">
        <f>SUMIFS(tblBudget[Diesel_L],tblBudget[Month],"&lt;"&amp;$E364)+$JR364</f>
        <v/>
      </c>
      <c r="JT364" s="55">
        <f>SUMIFS(tblBudget[Milled_t],tblBudget[Month],$E364)</f>
        <v/>
      </c>
      <c r="JU364" s="55">
        <f>$JT364*$C364/$D364</f>
        <v/>
      </c>
      <c r="JV364" s="55">
        <f>SUMIFS(tblBudget[Milled_t],tblBudget[Month],"&lt;"&amp;$E364)+$JU364</f>
        <v/>
      </c>
      <c r="JW364" s="55">
        <f>SUMIFS(tblBudget[Feed_oz],tblBudget[Month],$E364)</f>
        <v/>
      </c>
      <c r="JX364" s="55">
        <f>$JW364*$C364/$D364</f>
        <v/>
      </c>
      <c r="JY364" s="55">
        <f>SUMIFS(tblBudget[Feed_oz],tblBudget[Month],"&lt;"&amp;$E364)+$JX364</f>
        <v/>
      </c>
      <c r="JZ364" s="55">
        <f>SUMIFS(tblBudget[Recovered_oz],tblBudget[Month],$E364)</f>
        <v/>
      </c>
      <c r="KA364" s="55">
        <f>$JZ364*$C364/$D364</f>
        <v/>
      </c>
      <c r="KB364" s="55">
        <f>SUMIFS(tblBudget[Recovered_oz],tblBudget[Month],"&lt;"&amp;$E364)+$KA364</f>
        <v/>
      </c>
      <c r="KC364" s="55">
        <f>SUMIFS(tblBudget[Milled_t],tblBudget[Month],$E364)</f>
        <v/>
      </c>
      <c r="KD364" s="55">
        <f>$KC364*$C364/$D364</f>
        <v/>
      </c>
      <c r="KE364" s="55">
        <f>SUMIFS(tblBudget[Milled_t],tblBudget[Month],"&lt;"&amp;$E364)+$KD364</f>
        <v/>
      </c>
      <c r="KF364" s="55">
        <f>SUMIFS(tblBudget[Feed_oz],tblBudget[Month],$E364)</f>
        <v/>
      </c>
      <c r="KG364" s="55">
        <f>$KF364*$C364/$D364</f>
        <v/>
      </c>
      <c r="KH364" s="55">
        <f>SUMIFS(tblBudget[Feed_oz],tblBudget[Month],"&lt;"&amp;$E364)+$KG364</f>
        <v/>
      </c>
      <c r="KI364" s="56">
        <f>IFERROR(IF(($KC364)&gt;0,($JW364*cfg_TroyOz)/($KC364),""),"")</f>
        <v/>
      </c>
      <c r="KJ364" s="56">
        <f>IFERROR(IF(($KD364)&gt;0,($JX364*cfg_TroyOz)/($KD364),""),"")</f>
        <v/>
      </c>
      <c r="KK364" s="56">
        <f>IFERROR(IF(($KE364)&gt;0,($JY364*cfg_TroyOz)/($KE364),""),"")</f>
        <v/>
      </c>
      <c r="KL364" s="67">
        <f>IFERROR(IF(($KF364)&gt;0,($JZ364)/($KF364),""),"")</f>
        <v/>
      </c>
      <c r="KM364" s="67">
        <f>IFERROR(IF(($KG364)&gt;0,($KA364)/($KG364),""),"")</f>
        <v/>
      </c>
      <c r="KN364" s="67">
        <f>IFERROR(IF(($KH364)&gt;0,($KB364)/($KH364),""),"")</f>
        <v/>
      </c>
      <c r="KO364" s="55">
        <f>SUMIFS(tblBudget[Gold_Poured_oz],tblBudget[Month],$E364)</f>
        <v/>
      </c>
      <c r="KP364" s="55">
        <f>$KO364*$C364/$D364</f>
        <v/>
      </c>
      <c r="KQ364" s="55">
        <f>SUMIFS(tblBudget[Gold_Poured_oz],tblBudget[Month],"&lt;"&amp;$E364)+$KP364</f>
        <v/>
      </c>
      <c r="KR364" s="57">
        <f>SUMIFS(tblBudget[Hours_Worked],tblBudget[Month],$E364)</f>
        <v/>
      </c>
      <c r="KS364" s="57">
        <f>$KR364*$C364/$D364</f>
        <v/>
      </c>
      <c r="KT364" s="57">
        <f>SUMIFS(tblBudget[Hours_Worked],tblBudget[Month],"&lt;"&amp;$E364)+$KS364</f>
        <v/>
      </c>
    </row>
    <row r="365">
      <c r="A365" s="54" t="n">
        <v>46386</v>
      </c>
      <c r="B365">
        <f>MONTH($A365)</f>
        <v/>
      </c>
      <c r="C365">
        <f>DAY($A365)</f>
        <v/>
      </c>
      <c r="D365">
        <f>DAY(EOMONTH($A365,0))</f>
        <v/>
      </c>
      <c r="E365" s="54">
        <f>DATE(YEAR($A365),MONTH($A365),1)</f>
        <v/>
      </c>
      <c r="F365" s="55">
        <f>SUMIFS(tblMovement[Tonnes_t],tblMovement[Date],$A365,tblMovement[Is_Ore],1,tblMovement[Source_Type],"Pit")</f>
        <v/>
      </c>
      <c r="G365" s="55">
        <f>IF($B365=$B364,$G364,0)+$F365</f>
        <v/>
      </c>
      <c r="H365" s="55">
        <f>$H364+$F365</f>
        <v/>
      </c>
      <c r="I365" s="55">
        <f>SUMIFS(tblMovement[Ore_oz],tblMovement[Date],$A365,tblMovement[Source_Type],"Pit")</f>
        <v/>
      </c>
      <c r="J365" s="55">
        <f>IF($B365=$B364,$J364,0)+$I365</f>
        <v/>
      </c>
      <c r="K365" s="55">
        <f>$K364+$I365</f>
        <v/>
      </c>
      <c r="L365" s="55">
        <f>SUMIFS(tblMovement[Tonnes_t],tblMovement[Date],$A365,tblMovement[Is_Ore],1,tblMovement[Source_Type],"Pit",tblMovement[Grade_gpt],"&lt;&gt;")</f>
        <v/>
      </c>
      <c r="M365" s="55">
        <f>IF($B365=$B364,$M364,0)+$L365</f>
        <v/>
      </c>
      <c r="N365" s="55">
        <f>$N364+$L365</f>
        <v/>
      </c>
      <c r="O365" s="56">
        <f>IFERROR(IF(($L365)&gt;0,($I365*cfg_TroyOz)/($L365),""),"")</f>
        <v/>
      </c>
      <c r="P365" s="56">
        <f>IFERROR(IF(($M365)&gt;0,($J365*cfg_TroyOz)/($M365),""),"")</f>
        <v/>
      </c>
      <c r="Q365" s="56">
        <f>IFERROR(IF(($N365)&gt;0,($K365*cfg_TroyOz)/($N365),""),"")</f>
        <v/>
      </c>
      <c r="R365" s="55">
        <f>$F365-$L365</f>
        <v/>
      </c>
      <c r="S365" s="55">
        <f>IF($B365=$B364,$S364,0)+$R365</f>
        <v/>
      </c>
      <c r="T365" s="55">
        <f>$T364+$R365</f>
        <v/>
      </c>
      <c r="U365" s="55">
        <f>SUMIFS(tblMovement[Tonnes_t],tblMovement[Date],$A365,tblMovement[Is_Ore],0,tblMovement[Source_Type],"Pit")</f>
        <v/>
      </c>
      <c r="V365" s="55">
        <f>IF($B365=$B364,$V364,0)+$U365</f>
        <v/>
      </c>
      <c r="W365" s="55">
        <f>$W364+$U365</f>
        <v/>
      </c>
      <c r="X365" s="55">
        <f>$F365+$U365</f>
        <v/>
      </c>
      <c r="Y365" s="55">
        <f>IF($B365=$B364,$Y364,0)+$X365</f>
        <v/>
      </c>
      <c r="Z365" s="55">
        <f>$Z364+$X365</f>
        <v/>
      </c>
      <c r="AA365" s="56">
        <f>IFERROR(IF(($F365)&gt;0,($U365)/($F365),""),"")</f>
        <v/>
      </c>
      <c r="AB365" s="56">
        <f>IFERROR(IF(($G365)&gt;0,($V365)/($G365),""),"")</f>
        <v/>
      </c>
      <c r="AC365" s="56">
        <f>IFERROR(IF(($H365)&gt;0,($W365)/($H365),""),"")</f>
        <v/>
      </c>
      <c r="AD365" s="55">
        <f>SUMIFS(tblMovement[Tonnes_t],tblMovement[Date],$A365,tblMovement[Source_Type],"Stockpile")</f>
        <v/>
      </c>
      <c r="AE365" s="55">
        <f>IF($B365=$B364,$AE364,0)+$AD365</f>
        <v/>
      </c>
      <c r="AF365" s="55">
        <f>$AF364+$AD365</f>
        <v/>
      </c>
      <c r="AG365" s="55">
        <f>SUMIFS(tblMovement[Tonnes_t],tblMovement[Date],$A365)</f>
        <v/>
      </c>
      <c r="AH365" s="55">
        <f>IF($B365=$B364,$AH364,0)+$AG365</f>
        <v/>
      </c>
      <c r="AI365" s="55">
        <f>$AI364+$AG365</f>
        <v/>
      </c>
      <c r="AJ365" s="55">
        <f>$AG365-$X365-$AD365</f>
        <v/>
      </c>
      <c r="AK365" s="55">
        <f>IF($B365=$B364,$AK364,0)+$AJ365</f>
        <v/>
      </c>
      <c r="AL365" s="55">
        <f>$AL364+$AJ365</f>
        <v/>
      </c>
      <c r="AM365" s="55">
        <f>SUMIFS(tblMiningDaily[Drill_m],tblMiningDaily[Date],$A365)</f>
        <v/>
      </c>
      <c r="AN365" s="55">
        <f>IF($B365=$B364,$AN364,0)+$AM365</f>
        <v/>
      </c>
      <c r="AO365" s="55">
        <f>$AO364+$AM365</f>
        <v/>
      </c>
      <c r="AP365" s="55">
        <f>SUMIFS(tblMiningDaily[GC_Drill_m],tblMiningDaily[Date],$A365)</f>
        <v/>
      </c>
      <c r="AQ365" s="55">
        <f>IF($B365=$B364,$AQ364,0)+$AP365</f>
        <v/>
      </c>
      <c r="AR365" s="55">
        <f>$AR364+$AP365</f>
        <v/>
      </c>
      <c r="AS365" s="55">
        <f>SUMIFS(tblMiningDaily[Blast_t],tblMiningDaily[Date],$A365)</f>
        <v/>
      </c>
      <c r="AT365" s="55">
        <f>IF($B365=$B364,$AT364,0)+$AS365</f>
        <v/>
      </c>
      <c r="AU365" s="55">
        <f>$AU364+$AS365</f>
        <v/>
      </c>
      <c r="AV365" s="55">
        <f>SUMIFS(tblMiningDaily[Explosives_kg],tblMiningDaily[Date],$A365)</f>
        <v/>
      </c>
      <c r="AW365" s="55">
        <f>IF($B365=$B364,$AW364,0)+$AV365</f>
        <v/>
      </c>
      <c r="AX365" s="55">
        <f>$AX364+$AV365</f>
        <v/>
      </c>
      <c r="AY365" s="56">
        <f>IFERROR(IF(($AS365)&gt;0,($AV365)/($AS365),""),"")</f>
        <v/>
      </c>
      <c r="AZ365" s="56">
        <f>IFERROR(IF(($AT365)&gt;0,($AW365)/($AT365),""),"")</f>
        <v/>
      </c>
      <c r="BA365" s="56">
        <f>IFERROR(IF(($AU365)&gt;0,($AX365)/($AU365),""),"")</f>
        <v/>
      </c>
      <c r="BB365" s="55">
        <f>SUMIFS(tblMiningDaily[Diesel_L],tblMiningDaily[Date],$A365)</f>
        <v/>
      </c>
      <c r="BC365" s="55">
        <f>IF($B365=$B364,$BC364,0)+$BB365</f>
        <v/>
      </c>
      <c r="BD365" s="55">
        <f>$BD364+$BB365</f>
        <v/>
      </c>
      <c r="BE365" s="55">
        <f>SUMIFS(tblMiningDaily[Dewatering_m3],tblMiningDaily[Date],$A365)</f>
        <v/>
      </c>
      <c r="BF365" s="55">
        <f>IF($B365=$B364,$BF364,0)+$BE365</f>
        <v/>
      </c>
      <c r="BG365" s="55">
        <f>$BG364+$BE365</f>
        <v/>
      </c>
      <c r="BH365" s="57">
        <f>SUMIFS(tblFleet[Calendar_h],tblFleet[Date],$A365,tblFleet[Equipment_Class],"Excavator")</f>
        <v/>
      </c>
      <c r="BI365" s="57">
        <f>IF($B365=$B364,$BI364,0)+$BH365</f>
        <v/>
      </c>
      <c r="BJ365" s="57">
        <f>$BJ364+$BH365</f>
        <v/>
      </c>
      <c r="BK365" s="57">
        <f>SUMIFS(tblFleet[Available_h],tblFleet[Date],$A365,tblFleet[Equipment_Class],"Excavator")</f>
        <v/>
      </c>
      <c r="BL365" s="57">
        <f>IF($B365=$B364,$BL364,0)+$BK365</f>
        <v/>
      </c>
      <c r="BM365" s="57">
        <f>$BM364+$BK365</f>
        <v/>
      </c>
      <c r="BN365" s="57">
        <f>SUMIFS(tblFleet[Operating_h],tblFleet[Date],$A365,tblFleet[Equipment_Class],"Excavator")</f>
        <v/>
      </c>
      <c r="BO365" s="57">
        <f>IF($B365=$B364,$BO364,0)+$BN365</f>
        <v/>
      </c>
      <c r="BP365" s="57">
        <f>$BP364+$BN365</f>
        <v/>
      </c>
      <c r="BQ365" s="67">
        <f>IFERROR(IF(($BH365)&gt;0,($BK365)/($BH365),""),"")</f>
        <v/>
      </c>
      <c r="BR365" s="67">
        <f>IFERROR(IF(($BI365)&gt;0,($BL365)/($BI365),""),"")</f>
        <v/>
      </c>
      <c r="BS365" s="67">
        <f>IFERROR(IF(($BJ365)&gt;0,($BM365)/($BJ365),""),"")</f>
        <v/>
      </c>
      <c r="BT365" s="67">
        <f>IFERROR(IF(($BK365)&gt;0,($BN365)/($BK365),""),"")</f>
        <v/>
      </c>
      <c r="BU365" s="67">
        <f>IFERROR(IF(($BL365)&gt;0,($BO365)/($BL365),""),"")</f>
        <v/>
      </c>
      <c r="BV365" s="67">
        <f>IFERROR(IF(($BM365)&gt;0,($BP365)/($BM365),""),"")</f>
        <v/>
      </c>
      <c r="BW365" s="57">
        <f>SUMIFS(tblFleet[Calendar_h],tblFleet[Date],$A365,tblFleet[Equipment_Class],"Haul Truck")</f>
        <v/>
      </c>
      <c r="BX365" s="57">
        <f>IF($B365=$B364,$BX364,0)+$BW365</f>
        <v/>
      </c>
      <c r="BY365" s="57">
        <f>$BY364+$BW365</f>
        <v/>
      </c>
      <c r="BZ365" s="57">
        <f>SUMIFS(tblFleet[Available_h],tblFleet[Date],$A365,tblFleet[Equipment_Class],"Haul Truck")</f>
        <v/>
      </c>
      <c r="CA365" s="57">
        <f>IF($B365=$B364,$CA364,0)+$BZ365</f>
        <v/>
      </c>
      <c r="CB365" s="57">
        <f>$CB364+$BZ365</f>
        <v/>
      </c>
      <c r="CC365" s="57">
        <f>SUMIFS(tblFleet[Operating_h],tblFleet[Date],$A365,tblFleet[Equipment_Class],"Haul Truck")</f>
        <v/>
      </c>
      <c r="CD365" s="57">
        <f>IF($B365=$B364,$CD364,0)+$CC365</f>
        <v/>
      </c>
      <c r="CE365" s="57">
        <f>$CE364+$CC365</f>
        <v/>
      </c>
      <c r="CF365" s="67">
        <f>IFERROR(IF(($BW365)&gt;0,($BZ365)/($BW365),""),"")</f>
        <v/>
      </c>
      <c r="CG365" s="67">
        <f>IFERROR(IF(($BX365)&gt;0,($CA365)/($BX365),""),"")</f>
        <v/>
      </c>
      <c r="CH365" s="67">
        <f>IFERROR(IF(($BY365)&gt;0,($CB365)/($BY365),""),"")</f>
        <v/>
      </c>
      <c r="CI365" s="67">
        <f>IFERROR(IF(($BZ365)&gt;0,($CC365)/($BZ365),""),"")</f>
        <v/>
      </c>
      <c r="CJ365" s="67">
        <f>IFERROR(IF(($CA365)&gt;0,($CD365)/($CA365),""),"")</f>
        <v/>
      </c>
      <c r="CK365" s="67">
        <f>IFERROR(IF(($CB365)&gt;0,($CE365)/($CB365),""),"")</f>
        <v/>
      </c>
      <c r="CL365" s="55">
        <f>IFERROR(IF(($BN365)&gt;0,($X365+$AD365)/($BN365),""),"")</f>
        <v/>
      </c>
      <c r="CM365" s="55">
        <f>IFERROR(IF(($BO365)&gt;0,($Y365+$AE365)/($BO365),""),"")</f>
        <v/>
      </c>
      <c r="CN365" s="55">
        <f>IFERROR(IF(($BP365)&gt;0,($Z365+$AF365)/($BP365),""),"")</f>
        <v/>
      </c>
      <c r="CO365" s="55">
        <f>IFERROR(IF(($CC365)&gt;0,($X365+$AD365)/($CC365),""),"")</f>
        <v/>
      </c>
      <c r="CP365" s="55">
        <f>IFERROR(IF(($CD365)&gt;0,($Y365+$AE365)/($CD365),""),"")</f>
        <v/>
      </c>
      <c r="CQ365" s="55">
        <f>IFERROR(IF(($CE365)&gt;0,($Z365+$AF365)/($CE365),""),"")</f>
        <v/>
      </c>
      <c r="CR365" s="55">
        <f>SUMIFS(tblPlant[Crushed_t],tblPlant[Date],$A365)</f>
        <v/>
      </c>
      <c r="CS365" s="55">
        <f>IF($B365=$B364,$CS364,0)+$CR365</f>
        <v/>
      </c>
      <c r="CT365" s="55">
        <f>$CT364+$CR365</f>
        <v/>
      </c>
      <c r="CU365" s="55">
        <f>SUMIFS(tblPlant[Milled_t],tblPlant[Date],$A365)</f>
        <v/>
      </c>
      <c r="CV365" s="55">
        <f>IF($B365=$B364,$CV364,0)+$CU365</f>
        <v/>
      </c>
      <c r="CW365" s="55">
        <f>$CW364+$CU365</f>
        <v/>
      </c>
      <c r="CX365" s="55">
        <f>SUMIFS(tblPlant[Feed_oz],tblPlant[Date],$A365)</f>
        <v/>
      </c>
      <c r="CY365" s="55">
        <f>IF($B365=$B364,$CY364,0)+$CX365</f>
        <v/>
      </c>
      <c r="CZ365" s="55">
        <f>$CZ364+$CX365</f>
        <v/>
      </c>
      <c r="DA365" s="55">
        <f>SUMIFS(tblPlant[Tails_oz],tblPlant[Date],$A365)</f>
        <v/>
      </c>
      <c r="DB365" s="55">
        <f>IF($B365=$B364,$DB364,0)+$DA365</f>
        <v/>
      </c>
      <c r="DC365" s="55">
        <f>$DC364+$DA365</f>
        <v/>
      </c>
      <c r="DD365" s="55">
        <f>SUMIFS(tblPlant[Recovered_oz],tblPlant[Date],$A365)</f>
        <v/>
      </c>
      <c r="DE365" s="55">
        <f>IF($B365=$B364,$DE364,0)+$DD365</f>
        <v/>
      </c>
      <c r="DF365" s="55">
        <f>$DF364+$DD365</f>
        <v/>
      </c>
      <c r="DG365" s="55">
        <f>SUMIFS(tblPlant[Milled_t],tblPlant[Date],$A365,tblPlant[Head_Grade_gpt],"&lt;&gt;")</f>
        <v/>
      </c>
      <c r="DH365" s="55">
        <f>IF($B365=$B364,$DH364,0)+$DG365</f>
        <v/>
      </c>
      <c r="DI365" s="55">
        <f>$DI364+$DG365</f>
        <v/>
      </c>
      <c r="DJ365" s="55">
        <f>SUMIFS(tblPlant[Milled_t],tblPlant[Date],$A365,tblPlant[Tails_Grade_gpt],"&lt;&gt;")</f>
        <v/>
      </c>
      <c r="DK365" s="55">
        <f>IF($B365=$B364,$DK364,0)+$DJ365</f>
        <v/>
      </c>
      <c r="DL365" s="55">
        <f>$DL364+$DJ365</f>
        <v/>
      </c>
      <c r="DM365" s="55">
        <f>SUMIFS(tblPlant[Feed_oz],tblPlant[Date],$A365,tblPlant[Tails_Grade_gpt],"&lt;&gt;")</f>
        <v/>
      </c>
      <c r="DN365" s="55">
        <f>IF($B365=$B364,$DN364,0)+$DM365</f>
        <v/>
      </c>
      <c r="DO365" s="55">
        <f>$DO364+$DM365</f>
        <v/>
      </c>
      <c r="DP365" s="55">
        <f>SUMIFS(tblPlant[Milled_t],tblPlant[Date],$A365,tblPlant[Mill_Run_h],"&lt;&gt;")</f>
        <v/>
      </c>
      <c r="DQ365" s="55">
        <f>IF($B365=$B364,$DQ364,0)+$DP365</f>
        <v/>
      </c>
      <c r="DR365" s="55">
        <f>$DR364+$DP365</f>
        <v/>
      </c>
      <c r="DS365" s="56">
        <f>IFERROR(IF(($DG365)&gt;0,($CX365*cfg_TroyOz)/($DG365),""),"")</f>
        <v/>
      </c>
      <c r="DT365" s="56">
        <f>IFERROR(IF(($DH365)&gt;0,($CY365*cfg_TroyOz)/($DH365),""),"")</f>
        <v/>
      </c>
      <c r="DU365" s="56">
        <f>IFERROR(IF(($DI365)&gt;0,($CZ365*cfg_TroyOz)/($DI365),""),"")</f>
        <v/>
      </c>
      <c r="DV365" s="56">
        <f>IFERROR(IF(($DJ365)&gt;0,($DA365*cfg_TroyOz)/($DJ365),""),"")</f>
        <v/>
      </c>
      <c r="DW365" s="56">
        <f>IFERROR(IF(($DK365)&gt;0,($DB365*cfg_TroyOz)/($DK365),""),"")</f>
        <v/>
      </c>
      <c r="DX365" s="56">
        <f>IFERROR(IF(($DL365)&gt;0,($DC365*cfg_TroyOz)/($DL365),""),"")</f>
        <v/>
      </c>
      <c r="DY365" s="67">
        <f>IFERROR(IF(($DM365)&gt;0,($DD365)/($DM365),""),"")</f>
        <v/>
      </c>
      <c r="DZ365" s="67">
        <f>IFERROR(IF(($DN365)&gt;0,($DE365)/($DN365),""),"")</f>
        <v/>
      </c>
      <c r="EA365" s="67">
        <f>IFERROR(IF(($DO365)&gt;0,($DF365)/($DO365),""),"")</f>
        <v/>
      </c>
      <c r="EB365" s="55">
        <f>SUMIFS(tblPlant[Gravity_Gold_oz],tblPlant[Date],$A365)</f>
        <v/>
      </c>
      <c r="EC365" s="55">
        <f>IF($B365=$B364,$EC364,0)+$EB365</f>
        <v/>
      </c>
      <c r="ED365" s="55">
        <f>$ED364+$EB365</f>
        <v/>
      </c>
      <c r="EE365" s="67">
        <f>IFERROR(IF(($DD365)&gt;0,($EB365)/($DD365),""),"")</f>
        <v/>
      </c>
      <c r="EF365" s="67">
        <f>IFERROR(IF(($DE365)&gt;0,($EC365)/($DE365),""),"")</f>
        <v/>
      </c>
      <c r="EG365" s="67">
        <f>IFERROR(IF(($DF365)&gt;0,($ED365)/($DF365),""),"")</f>
        <v/>
      </c>
      <c r="EH365" s="55">
        <f>SUMIFS(tblPlant[Gold_Poured_oz],tblPlant[Date],$A365)</f>
        <v/>
      </c>
      <c r="EI365" s="55">
        <f>IF($B365=$B364,$EI364,0)+$EH365</f>
        <v/>
      </c>
      <c r="EJ365" s="55">
        <f>$EJ364+$EH365</f>
        <v/>
      </c>
      <c r="EK365" s="57">
        <f>SUMIFS(tblPlant[Mill_Run_h],tblPlant[Date],$A365)</f>
        <v/>
      </c>
      <c r="EL365" s="57">
        <f>IF($B365=$B364,$EL364,0)+$EK365</f>
        <v/>
      </c>
      <c r="EM365" s="57">
        <f>$EM364+$EK365</f>
        <v/>
      </c>
      <c r="EN365" s="57">
        <f>SUMIFS(tblPlant[Mill_Planned_Maint_h],tblPlant[Date],$A365)</f>
        <v/>
      </c>
      <c r="EO365" s="57">
        <f>IF($B365=$B364,$EO364,0)+$EN365</f>
        <v/>
      </c>
      <c r="EP365" s="57">
        <f>$EP364+$EN365</f>
        <v/>
      </c>
      <c r="EQ365" s="57">
        <f>SUMIFS(tblPlant[Mill_Unplanned_Down_h],tblPlant[Date],$A365)</f>
        <v/>
      </c>
      <c r="ER365" s="57">
        <f>IF($B365=$B364,$ER364,0)+$EQ365</f>
        <v/>
      </c>
      <c r="ES365" s="57">
        <f>$ES364+$EQ365</f>
        <v/>
      </c>
      <c r="ET365" s="57">
        <f>IF(COUNTIFS(tblPlant[Date],$A365,tblPlant[Mill_Run_h],"&lt;&gt;")+COUNTIFS(tblPlant[Date],$A365,tblPlant[Mill_Planned_Maint_h],"&lt;&gt;")+COUNTIFS(tblPlant[Date],$A365,tblPlant[Mill_Unplanned_Down_h],"&lt;&gt;")&gt;0,cfg_HoursPerDay,0)</f>
        <v/>
      </c>
      <c r="EU365" s="57">
        <f>IF($B365=$B364,$EU364,0)+$ET365</f>
        <v/>
      </c>
      <c r="EV365" s="57">
        <f>$EV364+$ET365</f>
        <v/>
      </c>
      <c r="EW365" s="57">
        <f>SUMIFS(tblPlant[Crusher_Run_h],tblPlant[Date],$A365)</f>
        <v/>
      </c>
      <c r="EX365" s="57">
        <f>IF($B365=$B364,$EX364,0)+$EW365</f>
        <v/>
      </c>
      <c r="EY365" s="57">
        <f>$EY364+$EW365</f>
        <v/>
      </c>
      <c r="EZ365" s="55">
        <f>IFERROR(IF(($EK365)&gt;0,($DP365)/($EK365),""),"")</f>
        <v/>
      </c>
      <c r="FA365" s="55">
        <f>IFERROR(IF(($EL365)&gt;0,($DQ365)/($EL365),""),"")</f>
        <v/>
      </c>
      <c r="FB365" s="55">
        <f>IFERROR(IF(($EM365)&gt;0,($DR365)/($EM365),""),"")</f>
        <v/>
      </c>
      <c r="FC365" s="67">
        <f>IFERROR(IF(($ET365)&gt;0,($ET365-$EN365-$EQ365)/($ET365),""),"")</f>
        <v/>
      </c>
      <c r="FD365" s="67">
        <f>IFERROR(IF(($EU365)&gt;0,($EU365-$EO365-$ER365)/($EU365),""),"")</f>
        <v/>
      </c>
      <c r="FE365" s="67">
        <f>IFERROR(IF(($EV365)&gt;0,($EV365-$EP365-$ES365)/($EV365),""),"")</f>
        <v/>
      </c>
      <c r="FF365" s="67">
        <f>IFERROR(IF(($ET365-$EN365-$EQ365)&gt;0,($EK365)/($ET365-$EN365-$EQ365),""),"")</f>
        <v/>
      </c>
      <c r="FG365" s="67">
        <f>IFERROR(IF(($EU365-$EO365-$ER365)&gt;0,($EL365)/($EU365-$EO365-$ER365),""),"")</f>
        <v/>
      </c>
      <c r="FH365" s="67">
        <f>IFERROR(IF(($EV365-$EP365-$ES365)&gt;0,($EM365)/($EV365-$EP365-$ES365),""),"")</f>
        <v/>
      </c>
      <c r="FI365" s="55">
        <f>SUMIFS(tblPlant[Cyanide_kg],tblPlant[Date],$A365)</f>
        <v/>
      </c>
      <c r="FJ365" s="55">
        <f>IF($B365=$B364,$FJ364,0)+$FI365</f>
        <v/>
      </c>
      <c r="FK365" s="55">
        <f>$FK364+$FI365</f>
        <v/>
      </c>
      <c r="FL365" s="55">
        <f>SUMIFS(tblPlant[Lime_kg],tblPlant[Date],$A365)</f>
        <v/>
      </c>
      <c r="FM365" s="55">
        <f>IF($B365=$B364,$FM364,0)+$FL365</f>
        <v/>
      </c>
      <c r="FN365" s="55">
        <f>$FN364+$FL365</f>
        <v/>
      </c>
      <c r="FO365" s="55">
        <f>SUMIFS(tblPlant[Grinding_Media_kg],tblPlant[Date],$A365)</f>
        <v/>
      </c>
      <c r="FP365" s="55">
        <f>IF($B365=$B364,$FP364,0)+$FO365</f>
        <v/>
      </c>
      <c r="FQ365" s="55">
        <f>$FQ364+$FO365</f>
        <v/>
      </c>
      <c r="FR365" s="55">
        <f>SUMIFS(tblPlant[Power_kWh],tblPlant[Date],$A365)</f>
        <v/>
      </c>
      <c r="FS365" s="55">
        <f>IF($B365=$B364,$FS364,0)+$FR365</f>
        <v/>
      </c>
      <c r="FT365" s="55">
        <f>$FT364+$FR365</f>
        <v/>
      </c>
      <c r="FU365" s="55">
        <f>SUMIFS(tblPlant[Raw_Water_m3],tblPlant[Date],$A365)</f>
        <v/>
      </c>
      <c r="FV365" s="55">
        <f>IF($B365=$B364,$FV364,0)+$FU365</f>
        <v/>
      </c>
      <c r="FW365" s="55">
        <f>$FW364+$FU365</f>
        <v/>
      </c>
      <c r="FX365" s="56">
        <f>IFERROR(IF(($CU365)&gt;0,($FI365)/($CU365),""),"")</f>
        <v/>
      </c>
      <c r="FY365" s="56">
        <f>IFERROR(IF(($CV365)&gt;0,($FJ365)/($CV365),""),"")</f>
        <v/>
      </c>
      <c r="FZ365" s="56">
        <f>IFERROR(IF(($CW365)&gt;0,($FK365)/($CW365),""),"")</f>
        <v/>
      </c>
      <c r="GA365" s="56">
        <f>IFERROR(IF(($CU365)&gt;0,($FL365)/($CU365),""),"")</f>
        <v/>
      </c>
      <c r="GB365" s="56">
        <f>IFERROR(IF(($CV365)&gt;0,($FM365)/($CV365),""),"")</f>
        <v/>
      </c>
      <c r="GC365" s="56">
        <f>IFERROR(IF(($CW365)&gt;0,($FN365)/($CW365),""),"")</f>
        <v/>
      </c>
      <c r="GD365" s="56">
        <f>IFERROR(IF(($CU365)&gt;0,($FO365)/($CU365),""),"")</f>
        <v/>
      </c>
      <c r="GE365" s="56">
        <f>IFERROR(IF(($CV365)&gt;0,($FP365)/($CV365),""),"")</f>
        <v/>
      </c>
      <c r="GF365" s="56">
        <f>IFERROR(IF(($CW365)&gt;0,($FQ365)/($CW365),""),"")</f>
        <v/>
      </c>
      <c r="GG365" s="79">
        <f>IFERROR(IF(($CU365)&gt;0,($FR365)/($CU365),""),"")</f>
        <v/>
      </c>
      <c r="GH365" s="79">
        <f>IFERROR(IF(($CV365)&gt;0,($FS365)/($CV365),""),"")</f>
        <v/>
      </c>
      <c r="GI365" s="79">
        <f>IFERROR(IF(($CW365)&gt;0,($FT365)/($CW365),""),"")</f>
        <v/>
      </c>
      <c r="GJ365" s="56">
        <f>IFERROR(IF(($CU365)&gt;0,($FU365)/($CU365),""),"")</f>
        <v/>
      </c>
      <c r="GK365" s="56">
        <f>IFERROR(IF(($CV365)&gt;0,($FV365)/($CV365),""),"")</f>
        <v/>
      </c>
      <c r="GL365" s="56">
        <f>IFERROR(IF(($CW365)&gt;0,($FW365)/($CW365),""),"")</f>
        <v/>
      </c>
      <c r="GM365" s="55">
        <f>IF(SUMIFS(tblPlant[GIC_oz],tblPlant[Date],$A365)&gt;0,SUMIFS(tblPlant[GIC_oz],tblPlant[Date],$A365),"")</f>
        <v/>
      </c>
      <c r="GN365" s="55">
        <f>SUMIFS(tblGold[Gold_oz],tblGold[Date],$A365,tblGold[Type],"Shipment")</f>
        <v/>
      </c>
      <c r="GO365" s="55">
        <f>IF($B365=$B364,$GO364,0)+$GN365</f>
        <v/>
      </c>
      <c r="GP365" s="55">
        <f>$GP364+$GN365</f>
        <v/>
      </c>
      <c r="GQ365" s="55">
        <f>SUMIFS(tblGold[Gold_oz],tblGold[Date],$A365,tblGold[Type],"Sale")</f>
        <v/>
      </c>
      <c r="GR365" s="55">
        <f>IF($B365=$B364,$GR364,0)+$GQ365</f>
        <v/>
      </c>
      <c r="GS365" s="55">
        <f>$GS364+$GQ365</f>
        <v/>
      </c>
      <c r="GT365" s="55">
        <f>SUMIFS(tblGold[Dore_kg],tblGold[Date],$A365,tblGold[Type],"Shipment")</f>
        <v/>
      </c>
      <c r="GU365" s="55">
        <f>IF($B365=$B364,$GU364,0)+$GT365</f>
        <v/>
      </c>
      <c r="GV365" s="55">
        <f>$GV364+$GT365</f>
        <v/>
      </c>
      <c r="GW365" s="57">
        <f>SUMIFS(tblSafety[Hours_Total],tblSafety[Date],$A365)</f>
        <v/>
      </c>
      <c r="GX365" s="57">
        <f>IF($B365=$B364,$GX364,0)+$GW365</f>
        <v/>
      </c>
      <c r="GY365" s="57">
        <f>$GY364+$GW365</f>
        <v/>
      </c>
      <c r="GZ365" s="62">
        <f>SUMIFS(tblSafety[Fatality],tblSafety[Date],$A365)</f>
        <v/>
      </c>
      <c r="HA365" s="62">
        <f>IF($B365=$B364,$HA364,0)+$GZ365</f>
        <v/>
      </c>
      <c r="HB365" s="62">
        <f>$HB364+$GZ365</f>
        <v/>
      </c>
      <c r="HC365" s="62">
        <f>SUMIFS(tblSafety[LTI],tblSafety[Date],$A365)</f>
        <v/>
      </c>
      <c r="HD365" s="62">
        <f>IF($B365=$B364,$HD364,0)+$HC365</f>
        <v/>
      </c>
      <c r="HE365" s="62">
        <f>$HE364+$HC365</f>
        <v/>
      </c>
      <c r="HF365" s="62">
        <f>SUMIFS(tblSafety[RWI],tblSafety[Date],$A365)</f>
        <v/>
      </c>
      <c r="HG365" s="62">
        <f>IF($B365=$B364,$HG364,0)+$HF365</f>
        <v/>
      </c>
      <c r="HH365" s="62">
        <f>$HH364+$HF365</f>
        <v/>
      </c>
      <c r="HI365" s="62">
        <f>SUMIFS(tblSafety[MTI],tblSafety[Date],$A365)</f>
        <v/>
      </c>
      <c r="HJ365" s="62">
        <f>IF($B365=$B364,$HJ364,0)+$HI365</f>
        <v/>
      </c>
      <c r="HK365" s="62">
        <f>$HK364+$HI365</f>
        <v/>
      </c>
      <c r="HL365" s="62">
        <f>SUMIFS(tblSafety[FAI],tblSafety[Date],$A365)</f>
        <v/>
      </c>
      <c r="HM365" s="62">
        <f>IF($B365=$B364,$HM364,0)+$HL365</f>
        <v/>
      </c>
      <c r="HN365" s="62">
        <f>$HN364+$HL365</f>
        <v/>
      </c>
      <c r="HO365" s="62">
        <f>SUMIFS(tblSafety[Recordables],tblSafety[Date],$A365)</f>
        <v/>
      </c>
      <c r="HP365" s="62">
        <f>IF($B365=$B364,$HP364,0)+$HO365</f>
        <v/>
      </c>
      <c r="HQ365" s="62">
        <f>$HQ364+$HO365</f>
        <v/>
      </c>
      <c r="HR365" s="62">
        <f>SUMIFS(tblSafety[Near_Miss],tblSafety[Date],$A365)</f>
        <v/>
      </c>
      <c r="HS365" s="62">
        <f>IF($B365=$B364,$HS364,0)+$HR365</f>
        <v/>
      </c>
      <c r="HT365" s="62">
        <f>$HT364+$HR365</f>
        <v/>
      </c>
      <c r="HU365" s="62">
        <f>SUMIFS(tblSafety[Hazard_Reports],tblSafety[Date],$A365)</f>
        <v/>
      </c>
      <c r="HV365" s="62">
        <f>IF($B365=$B364,$HV364,0)+$HU365</f>
        <v/>
      </c>
      <c r="HW365" s="62">
        <f>$HW364+$HU365</f>
        <v/>
      </c>
      <c r="HX365" s="62">
        <f>SUMIFS(tblSafety[HPI],tblSafety[Date],$A365)</f>
        <v/>
      </c>
      <c r="HY365" s="62">
        <f>IF($B365=$B364,$HY364,0)+$HX365</f>
        <v/>
      </c>
      <c r="HZ365" s="62">
        <f>$HZ364+$HX365</f>
        <v/>
      </c>
      <c r="IA365" s="62">
        <f>SUMIFS(tblSafety[Env_Incidents],tblSafety[Date],$A365)</f>
        <v/>
      </c>
      <c r="IB365" s="62">
        <f>IF($B365=$B364,$IB364,0)+$IA365</f>
        <v/>
      </c>
      <c r="IC365" s="62">
        <f>$IC364+$IA365</f>
        <v/>
      </c>
      <c r="ID365" s="62">
        <f>SUMIFS(tblSafety[Community_Incidents],tblSafety[Date],$A365)</f>
        <v/>
      </c>
      <c r="IE365" s="62">
        <f>IF($B365=$B364,$IE364,0)+$ID365</f>
        <v/>
      </c>
      <c r="IF365" s="62">
        <f>$IF364+$ID365</f>
        <v/>
      </c>
      <c r="IG365" s="62">
        <f>SUMIFS(tblSafety[Vehicle_Incidents],tblSafety[Date],$A365)</f>
        <v/>
      </c>
      <c r="IH365" s="62">
        <f>IF($B365=$B364,$IH364,0)+$IG365</f>
        <v/>
      </c>
      <c r="II365" s="62">
        <f>$II364+$IG365</f>
        <v/>
      </c>
      <c r="IJ365" s="62">
        <f>SUMIFS(tblSafety[Toolbox_Talks],tblSafety[Date],$A365)</f>
        <v/>
      </c>
      <c r="IK365" s="62">
        <f>IF($B365=$B364,$IK364,0)+$IJ365</f>
        <v/>
      </c>
      <c r="IL365" s="62">
        <f>$IL364+$IJ365</f>
        <v/>
      </c>
      <c r="IM365" s="62">
        <f>SUMIFS(tblSafety[Inspections],tblSafety[Date],$A365)</f>
        <v/>
      </c>
      <c r="IN365" s="62">
        <f>IF($B365=$B364,$IN364,0)+$IM365</f>
        <v/>
      </c>
      <c r="IO365" s="62">
        <f>$IO364+$IM365</f>
        <v/>
      </c>
      <c r="IP365" s="56">
        <f>IFERROR((SUMIFS(tblSafety[Recordables],tblSafety[Date],"&gt;="&amp;EDATE($E365,-12),tblSafety[Date],"&lt;="&amp;$A365)+SUMIFS(tblSafetyHistory[Recordables],tblSafetyHistory[Month],"&gt;="&amp;EDATE($E365,-12),tblSafetyHistory[Month],"&lt;"&amp;$E365,tblSafetyHistory[Use],1))/(SUMIFS(tblSafety[Hours_Total],tblSafety[Date],"&gt;="&amp;EDATE($E365,-12),tblSafety[Date],"&lt;="&amp;$A365)+SUMIFS(tblSafetyHistory[Hours_Total],tblSafetyHistory[Month],"&gt;="&amp;EDATE($E365,-12),tblSafetyHistory[Month],"&lt;"&amp;$E365,tblSafetyHistory[Use],1))*cfg_RateBasisHours,"")</f>
        <v/>
      </c>
      <c r="IQ365" s="56">
        <f>IFERROR((SUMIFS(tblSafety[LTI],tblSafety[Date],"&gt;="&amp;EDATE($E365,-12),tblSafety[Date],"&lt;="&amp;$A365)+SUMIFS(tblSafetyHistory[LTI],tblSafetyHistory[Month],"&gt;="&amp;EDATE($E365,-12),tblSafetyHistory[Month],"&lt;"&amp;$E365,tblSafetyHistory[Use],1))/(SUMIFS(tblSafety[Hours_Total],tblSafety[Date],"&gt;="&amp;EDATE($E365,-12),tblSafety[Date],"&lt;="&amp;$A365)+SUMIFS(tblSafetyHistory[Hours_Total],tblSafetyHistory[Month],"&gt;="&amp;EDATE($E365,-12),tblSafetyHistory[Month],"&lt;"&amp;$E365,tblSafetyHistory[Use],1))*cfg_RateBasisHours,"")</f>
        <v/>
      </c>
      <c r="IR365" s="62">
        <f>IF(MAX(N(cfg_PriorLTIDate),_xlfn.MAXIFS(tblSafety[Date],tblSafety[LTI],"&gt;0",tblSafety[Date],"&lt;="&amp;$A365))=0,"",$A365-MAX(N(cfg_PriorLTIDate),_xlfn.MAXIFS(tblSafety[Date],tblSafety[LTI],"&gt;0",tblSafety[Date],"&lt;="&amp;$A365)))</f>
        <v/>
      </c>
      <c r="IS365" s="55">
        <f>SUMIFS(tblBudget[Ore_Mined_t],tblBudget[Month],$E365)</f>
        <v/>
      </c>
      <c r="IT365" s="55">
        <f>$IS365*$C365/$D365</f>
        <v/>
      </c>
      <c r="IU365" s="55">
        <f>SUMIFS(tblBudget[Ore_Mined_t],tblBudget[Month],"&lt;"&amp;$E365)+$IT365</f>
        <v/>
      </c>
      <c r="IV365" s="55">
        <f>SUMIFS(tblBudget[Ore_oz],tblBudget[Month],$E365)</f>
        <v/>
      </c>
      <c r="IW365" s="55">
        <f>$IV365*$C365/$D365</f>
        <v/>
      </c>
      <c r="IX365" s="55">
        <f>SUMIFS(tblBudget[Ore_oz],tblBudget[Month],"&lt;"&amp;$E365)+$IW365</f>
        <v/>
      </c>
      <c r="IY365" s="55">
        <f>SUMIFS(tblBudget[Ore_Mined_t],tblBudget[Month],$E365)</f>
        <v/>
      </c>
      <c r="IZ365" s="55">
        <f>$IY365*$C365/$D365</f>
        <v/>
      </c>
      <c r="JA365" s="55">
        <f>SUMIFS(tblBudget[Ore_Mined_t],tblBudget[Month],"&lt;"&amp;$E365)+$IZ365</f>
        <v/>
      </c>
      <c r="JB365" s="56">
        <f>IFERROR(IF(($IY365)&gt;0,($IV365*cfg_TroyOz)/($IY365),""),"")</f>
        <v/>
      </c>
      <c r="JC365" s="56">
        <f>IFERROR(IF(($IZ365)&gt;0,($IW365*cfg_TroyOz)/($IZ365),""),"")</f>
        <v/>
      </c>
      <c r="JD365" s="56">
        <f>IFERROR(IF(($JA365)&gt;0,($IX365*cfg_TroyOz)/($JA365),""),"")</f>
        <v/>
      </c>
      <c r="JE365" s="55">
        <f>SUMIFS(tblBudget[Waste_t],tblBudget[Month],$E365)</f>
        <v/>
      </c>
      <c r="JF365" s="55">
        <f>$JE365*$C365/$D365</f>
        <v/>
      </c>
      <c r="JG365" s="55">
        <f>SUMIFS(tblBudget[Waste_t],tblBudget[Month],"&lt;"&amp;$E365)+$JF365</f>
        <v/>
      </c>
      <c r="JH365" s="55">
        <f>SUMIFS(tblBudget[TMM_t],tblBudget[Month],$E365)</f>
        <v/>
      </c>
      <c r="JI365" s="55">
        <f>$JH365*$C365/$D365</f>
        <v/>
      </c>
      <c r="JJ365" s="55">
        <f>SUMIFS(tblBudget[TMM_t],tblBudget[Month],"&lt;"&amp;$E365)+$JI365</f>
        <v/>
      </c>
      <c r="JK365" s="56">
        <f>IFERROR(IF(($IS365)&gt;0,($JE365)/($IS365),""),"")</f>
        <v/>
      </c>
      <c r="JL365" s="56">
        <f>IFERROR(IF(($IT365)&gt;0,($JF365)/($IT365),""),"")</f>
        <v/>
      </c>
      <c r="JM365" s="56">
        <f>IFERROR(IF(($IU365)&gt;0,($JG365)/($IU365),""),"")</f>
        <v/>
      </c>
      <c r="JN365" s="55">
        <f>SUMIFS(tblBudget[Drill_m],tblBudget[Month],$E365)</f>
        <v/>
      </c>
      <c r="JO365" s="55">
        <f>$JN365*$C365/$D365</f>
        <v/>
      </c>
      <c r="JP365" s="55">
        <f>SUMIFS(tblBudget[Drill_m],tblBudget[Month],"&lt;"&amp;$E365)+$JO365</f>
        <v/>
      </c>
      <c r="JQ365" s="55">
        <f>SUMIFS(tblBudget[Diesel_L],tblBudget[Month],$E365)</f>
        <v/>
      </c>
      <c r="JR365" s="55">
        <f>$JQ365*$C365/$D365</f>
        <v/>
      </c>
      <c r="JS365" s="55">
        <f>SUMIFS(tblBudget[Diesel_L],tblBudget[Month],"&lt;"&amp;$E365)+$JR365</f>
        <v/>
      </c>
      <c r="JT365" s="55">
        <f>SUMIFS(tblBudget[Milled_t],tblBudget[Month],$E365)</f>
        <v/>
      </c>
      <c r="JU365" s="55">
        <f>$JT365*$C365/$D365</f>
        <v/>
      </c>
      <c r="JV365" s="55">
        <f>SUMIFS(tblBudget[Milled_t],tblBudget[Month],"&lt;"&amp;$E365)+$JU365</f>
        <v/>
      </c>
      <c r="JW365" s="55">
        <f>SUMIFS(tblBudget[Feed_oz],tblBudget[Month],$E365)</f>
        <v/>
      </c>
      <c r="JX365" s="55">
        <f>$JW365*$C365/$D365</f>
        <v/>
      </c>
      <c r="JY365" s="55">
        <f>SUMIFS(tblBudget[Feed_oz],tblBudget[Month],"&lt;"&amp;$E365)+$JX365</f>
        <v/>
      </c>
      <c r="JZ365" s="55">
        <f>SUMIFS(tblBudget[Recovered_oz],tblBudget[Month],$E365)</f>
        <v/>
      </c>
      <c r="KA365" s="55">
        <f>$JZ365*$C365/$D365</f>
        <v/>
      </c>
      <c r="KB365" s="55">
        <f>SUMIFS(tblBudget[Recovered_oz],tblBudget[Month],"&lt;"&amp;$E365)+$KA365</f>
        <v/>
      </c>
      <c r="KC365" s="55">
        <f>SUMIFS(tblBudget[Milled_t],tblBudget[Month],$E365)</f>
        <v/>
      </c>
      <c r="KD365" s="55">
        <f>$KC365*$C365/$D365</f>
        <v/>
      </c>
      <c r="KE365" s="55">
        <f>SUMIFS(tblBudget[Milled_t],tblBudget[Month],"&lt;"&amp;$E365)+$KD365</f>
        <v/>
      </c>
      <c r="KF365" s="55">
        <f>SUMIFS(tblBudget[Feed_oz],tblBudget[Month],$E365)</f>
        <v/>
      </c>
      <c r="KG365" s="55">
        <f>$KF365*$C365/$D365</f>
        <v/>
      </c>
      <c r="KH365" s="55">
        <f>SUMIFS(tblBudget[Feed_oz],tblBudget[Month],"&lt;"&amp;$E365)+$KG365</f>
        <v/>
      </c>
      <c r="KI365" s="56">
        <f>IFERROR(IF(($KC365)&gt;0,($JW365*cfg_TroyOz)/($KC365),""),"")</f>
        <v/>
      </c>
      <c r="KJ365" s="56">
        <f>IFERROR(IF(($KD365)&gt;0,($JX365*cfg_TroyOz)/($KD365),""),"")</f>
        <v/>
      </c>
      <c r="KK365" s="56">
        <f>IFERROR(IF(($KE365)&gt;0,($JY365*cfg_TroyOz)/($KE365),""),"")</f>
        <v/>
      </c>
      <c r="KL365" s="67">
        <f>IFERROR(IF(($KF365)&gt;0,($JZ365)/($KF365),""),"")</f>
        <v/>
      </c>
      <c r="KM365" s="67">
        <f>IFERROR(IF(($KG365)&gt;0,($KA365)/($KG365),""),"")</f>
        <v/>
      </c>
      <c r="KN365" s="67">
        <f>IFERROR(IF(($KH365)&gt;0,($KB365)/($KH365),""),"")</f>
        <v/>
      </c>
      <c r="KO365" s="55">
        <f>SUMIFS(tblBudget[Gold_Poured_oz],tblBudget[Month],$E365)</f>
        <v/>
      </c>
      <c r="KP365" s="55">
        <f>$KO365*$C365/$D365</f>
        <v/>
      </c>
      <c r="KQ365" s="55">
        <f>SUMIFS(tblBudget[Gold_Poured_oz],tblBudget[Month],"&lt;"&amp;$E365)+$KP365</f>
        <v/>
      </c>
      <c r="KR365" s="57">
        <f>SUMIFS(tblBudget[Hours_Worked],tblBudget[Month],$E365)</f>
        <v/>
      </c>
      <c r="KS365" s="57">
        <f>$KR365*$C365/$D365</f>
        <v/>
      </c>
      <c r="KT365" s="57">
        <f>SUMIFS(tblBudget[Hours_Worked],tblBudget[Month],"&lt;"&amp;$E365)+$KS365</f>
        <v/>
      </c>
    </row>
    <row r="366">
      <c r="A366" s="54" t="n">
        <v>46387</v>
      </c>
      <c r="B366">
        <f>MONTH($A366)</f>
        <v/>
      </c>
      <c r="C366">
        <f>DAY($A366)</f>
        <v/>
      </c>
      <c r="D366">
        <f>DAY(EOMONTH($A366,0))</f>
        <v/>
      </c>
      <c r="E366" s="54">
        <f>DATE(YEAR($A366),MONTH($A366),1)</f>
        <v/>
      </c>
      <c r="F366" s="55">
        <f>SUMIFS(tblMovement[Tonnes_t],tblMovement[Date],$A366,tblMovement[Is_Ore],1,tblMovement[Source_Type],"Pit")</f>
        <v/>
      </c>
      <c r="G366" s="55">
        <f>IF($B366=$B365,$G365,0)+$F366</f>
        <v/>
      </c>
      <c r="H366" s="55">
        <f>$H365+$F366</f>
        <v/>
      </c>
      <c r="I366" s="55">
        <f>SUMIFS(tblMovement[Ore_oz],tblMovement[Date],$A366,tblMovement[Source_Type],"Pit")</f>
        <v/>
      </c>
      <c r="J366" s="55">
        <f>IF($B366=$B365,$J365,0)+$I366</f>
        <v/>
      </c>
      <c r="K366" s="55">
        <f>$K365+$I366</f>
        <v/>
      </c>
      <c r="L366" s="55">
        <f>SUMIFS(tblMovement[Tonnes_t],tblMovement[Date],$A366,tblMovement[Is_Ore],1,tblMovement[Source_Type],"Pit",tblMovement[Grade_gpt],"&lt;&gt;")</f>
        <v/>
      </c>
      <c r="M366" s="55">
        <f>IF($B366=$B365,$M365,0)+$L366</f>
        <v/>
      </c>
      <c r="N366" s="55">
        <f>$N365+$L366</f>
        <v/>
      </c>
      <c r="O366" s="56">
        <f>IFERROR(IF(($L366)&gt;0,($I366*cfg_TroyOz)/($L366),""),"")</f>
        <v/>
      </c>
      <c r="P366" s="56">
        <f>IFERROR(IF(($M366)&gt;0,($J366*cfg_TroyOz)/($M366),""),"")</f>
        <v/>
      </c>
      <c r="Q366" s="56">
        <f>IFERROR(IF(($N366)&gt;0,($K366*cfg_TroyOz)/($N366),""),"")</f>
        <v/>
      </c>
      <c r="R366" s="55">
        <f>$F366-$L366</f>
        <v/>
      </c>
      <c r="S366" s="55">
        <f>IF($B366=$B365,$S365,0)+$R366</f>
        <v/>
      </c>
      <c r="T366" s="55">
        <f>$T365+$R366</f>
        <v/>
      </c>
      <c r="U366" s="55">
        <f>SUMIFS(tblMovement[Tonnes_t],tblMovement[Date],$A366,tblMovement[Is_Ore],0,tblMovement[Source_Type],"Pit")</f>
        <v/>
      </c>
      <c r="V366" s="55">
        <f>IF($B366=$B365,$V365,0)+$U366</f>
        <v/>
      </c>
      <c r="W366" s="55">
        <f>$W365+$U366</f>
        <v/>
      </c>
      <c r="X366" s="55">
        <f>$F366+$U366</f>
        <v/>
      </c>
      <c r="Y366" s="55">
        <f>IF($B366=$B365,$Y365,0)+$X366</f>
        <v/>
      </c>
      <c r="Z366" s="55">
        <f>$Z365+$X366</f>
        <v/>
      </c>
      <c r="AA366" s="56">
        <f>IFERROR(IF(($F366)&gt;0,($U366)/($F366),""),"")</f>
        <v/>
      </c>
      <c r="AB366" s="56">
        <f>IFERROR(IF(($G366)&gt;0,($V366)/($G366),""),"")</f>
        <v/>
      </c>
      <c r="AC366" s="56">
        <f>IFERROR(IF(($H366)&gt;0,($W366)/($H366),""),"")</f>
        <v/>
      </c>
      <c r="AD366" s="55">
        <f>SUMIFS(tblMovement[Tonnes_t],tblMovement[Date],$A366,tblMovement[Source_Type],"Stockpile")</f>
        <v/>
      </c>
      <c r="AE366" s="55">
        <f>IF($B366=$B365,$AE365,0)+$AD366</f>
        <v/>
      </c>
      <c r="AF366" s="55">
        <f>$AF365+$AD366</f>
        <v/>
      </c>
      <c r="AG366" s="55">
        <f>SUMIFS(tblMovement[Tonnes_t],tblMovement[Date],$A366)</f>
        <v/>
      </c>
      <c r="AH366" s="55">
        <f>IF($B366=$B365,$AH365,0)+$AG366</f>
        <v/>
      </c>
      <c r="AI366" s="55">
        <f>$AI365+$AG366</f>
        <v/>
      </c>
      <c r="AJ366" s="55">
        <f>$AG366-$X366-$AD366</f>
        <v/>
      </c>
      <c r="AK366" s="55">
        <f>IF($B366=$B365,$AK365,0)+$AJ366</f>
        <v/>
      </c>
      <c r="AL366" s="55">
        <f>$AL365+$AJ366</f>
        <v/>
      </c>
      <c r="AM366" s="55">
        <f>SUMIFS(tblMiningDaily[Drill_m],tblMiningDaily[Date],$A366)</f>
        <v/>
      </c>
      <c r="AN366" s="55">
        <f>IF($B366=$B365,$AN365,0)+$AM366</f>
        <v/>
      </c>
      <c r="AO366" s="55">
        <f>$AO365+$AM366</f>
        <v/>
      </c>
      <c r="AP366" s="55">
        <f>SUMIFS(tblMiningDaily[GC_Drill_m],tblMiningDaily[Date],$A366)</f>
        <v/>
      </c>
      <c r="AQ366" s="55">
        <f>IF($B366=$B365,$AQ365,0)+$AP366</f>
        <v/>
      </c>
      <c r="AR366" s="55">
        <f>$AR365+$AP366</f>
        <v/>
      </c>
      <c r="AS366" s="55">
        <f>SUMIFS(tblMiningDaily[Blast_t],tblMiningDaily[Date],$A366)</f>
        <v/>
      </c>
      <c r="AT366" s="55">
        <f>IF($B366=$B365,$AT365,0)+$AS366</f>
        <v/>
      </c>
      <c r="AU366" s="55">
        <f>$AU365+$AS366</f>
        <v/>
      </c>
      <c r="AV366" s="55">
        <f>SUMIFS(tblMiningDaily[Explosives_kg],tblMiningDaily[Date],$A366)</f>
        <v/>
      </c>
      <c r="AW366" s="55">
        <f>IF($B366=$B365,$AW365,0)+$AV366</f>
        <v/>
      </c>
      <c r="AX366" s="55">
        <f>$AX365+$AV366</f>
        <v/>
      </c>
      <c r="AY366" s="56">
        <f>IFERROR(IF(($AS366)&gt;0,($AV366)/($AS366),""),"")</f>
        <v/>
      </c>
      <c r="AZ366" s="56">
        <f>IFERROR(IF(($AT366)&gt;0,($AW366)/($AT366),""),"")</f>
        <v/>
      </c>
      <c r="BA366" s="56">
        <f>IFERROR(IF(($AU366)&gt;0,($AX366)/($AU366),""),"")</f>
        <v/>
      </c>
      <c r="BB366" s="55">
        <f>SUMIFS(tblMiningDaily[Diesel_L],tblMiningDaily[Date],$A366)</f>
        <v/>
      </c>
      <c r="BC366" s="55">
        <f>IF($B366=$B365,$BC365,0)+$BB366</f>
        <v/>
      </c>
      <c r="BD366" s="55">
        <f>$BD365+$BB366</f>
        <v/>
      </c>
      <c r="BE366" s="55">
        <f>SUMIFS(tblMiningDaily[Dewatering_m3],tblMiningDaily[Date],$A366)</f>
        <v/>
      </c>
      <c r="BF366" s="55">
        <f>IF($B366=$B365,$BF365,0)+$BE366</f>
        <v/>
      </c>
      <c r="BG366" s="55">
        <f>$BG365+$BE366</f>
        <v/>
      </c>
      <c r="BH366" s="57">
        <f>SUMIFS(tblFleet[Calendar_h],tblFleet[Date],$A366,tblFleet[Equipment_Class],"Excavator")</f>
        <v/>
      </c>
      <c r="BI366" s="57">
        <f>IF($B366=$B365,$BI365,0)+$BH366</f>
        <v/>
      </c>
      <c r="BJ366" s="57">
        <f>$BJ365+$BH366</f>
        <v/>
      </c>
      <c r="BK366" s="57">
        <f>SUMIFS(tblFleet[Available_h],tblFleet[Date],$A366,tblFleet[Equipment_Class],"Excavator")</f>
        <v/>
      </c>
      <c r="BL366" s="57">
        <f>IF($B366=$B365,$BL365,0)+$BK366</f>
        <v/>
      </c>
      <c r="BM366" s="57">
        <f>$BM365+$BK366</f>
        <v/>
      </c>
      <c r="BN366" s="57">
        <f>SUMIFS(tblFleet[Operating_h],tblFleet[Date],$A366,tblFleet[Equipment_Class],"Excavator")</f>
        <v/>
      </c>
      <c r="BO366" s="57">
        <f>IF($B366=$B365,$BO365,0)+$BN366</f>
        <v/>
      </c>
      <c r="BP366" s="57">
        <f>$BP365+$BN366</f>
        <v/>
      </c>
      <c r="BQ366" s="67">
        <f>IFERROR(IF(($BH366)&gt;0,($BK366)/($BH366),""),"")</f>
        <v/>
      </c>
      <c r="BR366" s="67">
        <f>IFERROR(IF(($BI366)&gt;0,($BL366)/($BI366),""),"")</f>
        <v/>
      </c>
      <c r="BS366" s="67">
        <f>IFERROR(IF(($BJ366)&gt;0,($BM366)/($BJ366),""),"")</f>
        <v/>
      </c>
      <c r="BT366" s="67">
        <f>IFERROR(IF(($BK366)&gt;0,($BN366)/($BK366),""),"")</f>
        <v/>
      </c>
      <c r="BU366" s="67">
        <f>IFERROR(IF(($BL366)&gt;0,($BO366)/($BL366),""),"")</f>
        <v/>
      </c>
      <c r="BV366" s="67">
        <f>IFERROR(IF(($BM366)&gt;0,($BP366)/($BM366),""),"")</f>
        <v/>
      </c>
      <c r="BW366" s="57">
        <f>SUMIFS(tblFleet[Calendar_h],tblFleet[Date],$A366,tblFleet[Equipment_Class],"Haul Truck")</f>
        <v/>
      </c>
      <c r="BX366" s="57">
        <f>IF($B366=$B365,$BX365,0)+$BW366</f>
        <v/>
      </c>
      <c r="BY366" s="57">
        <f>$BY365+$BW366</f>
        <v/>
      </c>
      <c r="BZ366" s="57">
        <f>SUMIFS(tblFleet[Available_h],tblFleet[Date],$A366,tblFleet[Equipment_Class],"Haul Truck")</f>
        <v/>
      </c>
      <c r="CA366" s="57">
        <f>IF($B366=$B365,$CA365,0)+$BZ366</f>
        <v/>
      </c>
      <c r="CB366" s="57">
        <f>$CB365+$BZ366</f>
        <v/>
      </c>
      <c r="CC366" s="57">
        <f>SUMIFS(tblFleet[Operating_h],tblFleet[Date],$A366,tblFleet[Equipment_Class],"Haul Truck")</f>
        <v/>
      </c>
      <c r="CD366" s="57">
        <f>IF($B366=$B365,$CD365,0)+$CC366</f>
        <v/>
      </c>
      <c r="CE366" s="57">
        <f>$CE365+$CC366</f>
        <v/>
      </c>
      <c r="CF366" s="67">
        <f>IFERROR(IF(($BW366)&gt;0,($BZ366)/($BW366),""),"")</f>
        <v/>
      </c>
      <c r="CG366" s="67">
        <f>IFERROR(IF(($BX366)&gt;0,($CA366)/($BX366),""),"")</f>
        <v/>
      </c>
      <c r="CH366" s="67">
        <f>IFERROR(IF(($BY366)&gt;0,($CB366)/($BY366),""),"")</f>
        <v/>
      </c>
      <c r="CI366" s="67">
        <f>IFERROR(IF(($BZ366)&gt;0,($CC366)/($BZ366),""),"")</f>
        <v/>
      </c>
      <c r="CJ366" s="67">
        <f>IFERROR(IF(($CA366)&gt;0,($CD366)/($CA366),""),"")</f>
        <v/>
      </c>
      <c r="CK366" s="67">
        <f>IFERROR(IF(($CB366)&gt;0,($CE366)/($CB366),""),"")</f>
        <v/>
      </c>
      <c r="CL366" s="55">
        <f>IFERROR(IF(($BN366)&gt;0,($X366+$AD366)/($BN366),""),"")</f>
        <v/>
      </c>
      <c r="CM366" s="55">
        <f>IFERROR(IF(($BO366)&gt;0,($Y366+$AE366)/($BO366),""),"")</f>
        <v/>
      </c>
      <c r="CN366" s="55">
        <f>IFERROR(IF(($BP366)&gt;0,($Z366+$AF366)/($BP366),""),"")</f>
        <v/>
      </c>
      <c r="CO366" s="55">
        <f>IFERROR(IF(($CC366)&gt;0,($X366+$AD366)/($CC366),""),"")</f>
        <v/>
      </c>
      <c r="CP366" s="55">
        <f>IFERROR(IF(($CD366)&gt;0,($Y366+$AE366)/($CD366),""),"")</f>
        <v/>
      </c>
      <c r="CQ366" s="55">
        <f>IFERROR(IF(($CE366)&gt;0,($Z366+$AF366)/($CE366),""),"")</f>
        <v/>
      </c>
      <c r="CR366" s="55">
        <f>SUMIFS(tblPlant[Crushed_t],tblPlant[Date],$A366)</f>
        <v/>
      </c>
      <c r="CS366" s="55">
        <f>IF($B366=$B365,$CS365,0)+$CR366</f>
        <v/>
      </c>
      <c r="CT366" s="55">
        <f>$CT365+$CR366</f>
        <v/>
      </c>
      <c r="CU366" s="55">
        <f>SUMIFS(tblPlant[Milled_t],tblPlant[Date],$A366)</f>
        <v/>
      </c>
      <c r="CV366" s="55">
        <f>IF($B366=$B365,$CV365,0)+$CU366</f>
        <v/>
      </c>
      <c r="CW366" s="55">
        <f>$CW365+$CU366</f>
        <v/>
      </c>
      <c r="CX366" s="55">
        <f>SUMIFS(tblPlant[Feed_oz],tblPlant[Date],$A366)</f>
        <v/>
      </c>
      <c r="CY366" s="55">
        <f>IF($B366=$B365,$CY365,0)+$CX366</f>
        <v/>
      </c>
      <c r="CZ366" s="55">
        <f>$CZ365+$CX366</f>
        <v/>
      </c>
      <c r="DA366" s="55">
        <f>SUMIFS(tblPlant[Tails_oz],tblPlant[Date],$A366)</f>
        <v/>
      </c>
      <c r="DB366" s="55">
        <f>IF($B366=$B365,$DB365,0)+$DA366</f>
        <v/>
      </c>
      <c r="DC366" s="55">
        <f>$DC365+$DA366</f>
        <v/>
      </c>
      <c r="DD366" s="55">
        <f>SUMIFS(tblPlant[Recovered_oz],tblPlant[Date],$A366)</f>
        <v/>
      </c>
      <c r="DE366" s="55">
        <f>IF($B366=$B365,$DE365,0)+$DD366</f>
        <v/>
      </c>
      <c r="DF366" s="55">
        <f>$DF365+$DD366</f>
        <v/>
      </c>
      <c r="DG366" s="55">
        <f>SUMIFS(tblPlant[Milled_t],tblPlant[Date],$A366,tblPlant[Head_Grade_gpt],"&lt;&gt;")</f>
        <v/>
      </c>
      <c r="DH366" s="55">
        <f>IF($B366=$B365,$DH365,0)+$DG366</f>
        <v/>
      </c>
      <c r="DI366" s="55">
        <f>$DI365+$DG366</f>
        <v/>
      </c>
      <c r="DJ366" s="55">
        <f>SUMIFS(tblPlant[Milled_t],tblPlant[Date],$A366,tblPlant[Tails_Grade_gpt],"&lt;&gt;")</f>
        <v/>
      </c>
      <c r="DK366" s="55">
        <f>IF($B366=$B365,$DK365,0)+$DJ366</f>
        <v/>
      </c>
      <c r="DL366" s="55">
        <f>$DL365+$DJ366</f>
        <v/>
      </c>
      <c r="DM366" s="55">
        <f>SUMIFS(tblPlant[Feed_oz],tblPlant[Date],$A366,tblPlant[Tails_Grade_gpt],"&lt;&gt;")</f>
        <v/>
      </c>
      <c r="DN366" s="55">
        <f>IF($B366=$B365,$DN365,0)+$DM366</f>
        <v/>
      </c>
      <c r="DO366" s="55">
        <f>$DO365+$DM366</f>
        <v/>
      </c>
      <c r="DP366" s="55">
        <f>SUMIFS(tblPlant[Milled_t],tblPlant[Date],$A366,tblPlant[Mill_Run_h],"&lt;&gt;")</f>
        <v/>
      </c>
      <c r="DQ366" s="55">
        <f>IF($B366=$B365,$DQ365,0)+$DP366</f>
        <v/>
      </c>
      <c r="DR366" s="55">
        <f>$DR365+$DP366</f>
        <v/>
      </c>
      <c r="DS366" s="56">
        <f>IFERROR(IF(($DG366)&gt;0,($CX366*cfg_TroyOz)/($DG366),""),"")</f>
        <v/>
      </c>
      <c r="DT366" s="56">
        <f>IFERROR(IF(($DH366)&gt;0,($CY366*cfg_TroyOz)/($DH366),""),"")</f>
        <v/>
      </c>
      <c r="DU366" s="56">
        <f>IFERROR(IF(($DI366)&gt;0,($CZ366*cfg_TroyOz)/($DI366),""),"")</f>
        <v/>
      </c>
      <c r="DV366" s="56">
        <f>IFERROR(IF(($DJ366)&gt;0,($DA366*cfg_TroyOz)/($DJ366),""),"")</f>
        <v/>
      </c>
      <c r="DW366" s="56">
        <f>IFERROR(IF(($DK366)&gt;0,($DB366*cfg_TroyOz)/($DK366),""),"")</f>
        <v/>
      </c>
      <c r="DX366" s="56">
        <f>IFERROR(IF(($DL366)&gt;0,($DC366*cfg_TroyOz)/($DL366),""),"")</f>
        <v/>
      </c>
      <c r="DY366" s="67">
        <f>IFERROR(IF(($DM366)&gt;0,($DD366)/($DM366),""),"")</f>
        <v/>
      </c>
      <c r="DZ366" s="67">
        <f>IFERROR(IF(($DN366)&gt;0,($DE366)/($DN366),""),"")</f>
        <v/>
      </c>
      <c r="EA366" s="67">
        <f>IFERROR(IF(($DO366)&gt;0,($DF366)/($DO366),""),"")</f>
        <v/>
      </c>
      <c r="EB366" s="55">
        <f>SUMIFS(tblPlant[Gravity_Gold_oz],tblPlant[Date],$A366)</f>
        <v/>
      </c>
      <c r="EC366" s="55">
        <f>IF($B366=$B365,$EC365,0)+$EB366</f>
        <v/>
      </c>
      <c r="ED366" s="55">
        <f>$ED365+$EB366</f>
        <v/>
      </c>
      <c r="EE366" s="67">
        <f>IFERROR(IF(($DD366)&gt;0,($EB366)/($DD366),""),"")</f>
        <v/>
      </c>
      <c r="EF366" s="67">
        <f>IFERROR(IF(($DE366)&gt;0,($EC366)/($DE366),""),"")</f>
        <v/>
      </c>
      <c r="EG366" s="67">
        <f>IFERROR(IF(($DF366)&gt;0,($ED366)/($DF366),""),"")</f>
        <v/>
      </c>
      <c r="EH366" s="55">
        <f>SUMIFS(tblPlant[Gold_Poured_oz],tblPlant[Date],$A366)</f>
        <v/>
      </c>
      <c r="EI366" s="55">
        <f>IF($B366=$B365,$EI365,0)+$EH366</f>
        <v/>
      </c>
      <c r="EJ366" s="55">
        <f>$EJ365+$EH366</f>
        <v/>
      </c>
      <c r="EK366" s="57">
        <f>SUMIFS(tblPlant[Mill_Run_h],tblPlant[Date],$A366)</f>
        <v/>
      </c>
      <c r="EL366" s="57">
        <f>IF($B366=$B365,$EL365,0)+$EK366</f>
        <v/>
      </c>
      <c r="EM366" s="57">
        <f>$EM365+$EK366</f>
        <v/>
      </c>
      <c r="EN366" s="57">
        <f>SUMIFS(tblPlant[Mill_Planned_Maint_h],tblPlant[Date],$A366)</f>
        <v/>
      </c>
      <c r="EO366" s="57">
        <f>IF($B366=$B365,$EO365,0)+$EN366</f>
        <v/>
      </c>
      <c r="EP366" s="57">
        <f>$EP365+$EN366</f>
        <v/>
      </c>
      <c r="EQ366" s="57">
        <f>SUMIFS(tblPlant[Mill_Unplanned_Down_h],tblPlant[Date],$A366)</f>
        <v/>
      </c>
      <c r="ER366" s="57">
        <f>IF($B366=$B365,$ER365,0)+$EQ366</f>
        <v/>
      </c>
      <c r="ES366" s="57">
        <f>$ES365+$EQ366</f>
        <v/>
      </c>
      <c r="ET366" s="57">
        <f>IF(COUNTIFS(tblPlant[Date],$A366,tblPlant[Mill_Run_h],"&lt;&gt;")+COUNTIFS(tblPlant[Date],$A366,tblPlant[Mill_Planned_Maint_h],"&lt;&gt;")+COUNTIFS(tblPlant[Date],$A366,tblPlant[Mill_Unplanned_Down_h],"&lt;&gt;")&gt;0,cfg_HoursPerDay,0)</f>
        <v/>
      </c>
      <c r="EU366" s="57">
        <f>IF($B366=$B365,$EU365,0)+$ET366</f>
        <v/>
      </c>
      <c r="EV366" s="57">
        <f>$EV365+$ET366</f>
        <v/>
      </c>
      <c r="EW366" s="57">
        <f>SUMIFS(tblPlant[Crusher_Run_h],tblPlant[Date],$A366)</f>
        <v/>
      </c>
      <c r="EX366" s="57">
        <f>IF($B366=$B365,$EX365,0)+$EW366</f>
        <v/>
      </c>
      <c r="EY366" s="57">
        <f>$EY365+$EW366</f>
        <v/>
      </c>
      <c r="EZ366" s="55">
        <f>IFERROR(IF(($EK366)&gt;0,($DP366)/($EK366),""),"")</f>
        <v/>
      </c>
      <c r="FA366" s="55">
        <f>IFERROR(IF(($EL366)&gt;0,($DQ366)/($EL366),""),"")</f>
        <v/>
      </c>
      <c r="FB366" s="55">
        <f>IFERROR(IF(($EM366)&gt;0,($DR366)/($EM366),""),"")</f>
        <v/>
      </c>
      <c r="FC366" s="67">
        <f>IFERROR(IF(($ET366)&gt;0,($ET366-$EN366-$EQ366)/($ET366),""),"")</f>
        <v/>
      </c>
      <c r="FD366" s="67">
        <f>IFERROR(IF(($EU366)&gt;0,($EU366-$EO366-$ER366)/($EU366),""),"")</f>
        <v/>
      </c>
      <c r="FE366" s="67">
        <f>IFERROR(IF(($EV366)&gt;0,($EV366-$EP366-$ES366)/($EV366),""),"")</f>
        <v/>
      </c>
      <c r="FF366" s="67">
        <f>IFERROR(IF(($ET366-$EN366-$EQ366)&gt;0,($EK366)/($ET366-$EN366-$EQ366),""),"")</f>
        <v/>
      </c>
      <c r="FG366" s="67">
        <f>IFERROR(IF(($EU366-$EO366-$ER366)&gt;0,($EL366)/($EU366-$EO366-$ER366),""),"")</f>
        <v/>
      </c>
      <c r="FH366" s="67">
        <f>IFERROR(IF(($EV366-$EP366-$ES366)&gt;0,($EM366)/($EV366-$EP366-$ES366),""),"")</f>
        <v/>
      </c>
      <c r="FI366" s="55">
        <f>SUMIFS(tblPlant[Cyanide_kg],tblPlant[Date],$A366)</f>
        <v/>
      </c>
      <c r="FJ366" s="55">
        <f>IF($B366=$B365,$FJ365,0)+$FI366</f>
        <v/>
      </c>
      <c r="FK366" s="55">
        <f>$FK365+$FI366</f>
        <v/>
      </c>
      <c r="FL366" s="55">
        <f>SUMIFS(tblPlant[Lime_kg],tblPlant[Date],$A366)</f>
        <v/>
      </c>
      <c r="FM366" s="55">
        <f>IF($B366=$B365,$FM365,0)+$FL366</f>
        <v/>
      </c>
      <c r="FN366" s="55">
        <f>$FN365+$FL366</f>
        <v/>
      </c>
      <c r="FO366" s="55">
        <f>SUMIFS(tblPlant[Grinding_Media_kg],tblPlant[Date],$A366)</f>
        <v/>
      </c>
      <c r="FP366" s="55">
        <f>IF($B366=$B365,$FP365,0)+$FO366</f>
        <v/>
      </c>
      <c r="FQ366" s="55">
        <f>$FQ365+$FO366</f>
        <v/>
      </c>
      <c r="FR366" s="55">
        <f>SUMIFS(tblPlant[Power_kWh],tblPlant[Date],$A366)</f>
        <v/>
      </c>
      <c r="FS366" s="55">
        <f>IF($B366=$B365,$FS365,0)+$FR366</f>
        <v/>
      </c>
      <c r="FT366" s="55">
        <f>$FT365+$FR366</f>
        <v/>
      </c>
      <c r="FU366" s="55">
        <f>SUMIFS(tblPlant[Raw_Water_m3],tblPlant[Date],$A366)</f>
        <v/>
      </c>
      <c r="FV366" s="55">
        <f>IF($B366=$B365,$FV365,0)+$FU366</f>
        <v/>
      </c>
      <c r="FW366" s="55">
        <f>$FW365+$FU366</f>
        <v/>
      </c>
      <c r="FX366" s="56">
        <f>IFERROR(IF(($CU366)&gt;0,($FI366)/($CU366),""),"")</f>
        <v/>
      </c>
      <c r="FY366" s="56">
        <f>IFERROR(IF(($CV366)&gt;0,($FJ366)/($CV366),""),"")</f>
        <v/>
      </c>
      <c r="FZ366" s="56">
        <f>IFERROR(IF(($CW366)&gt;0,($FK366)/($CW366),""),"")</f>
        <v/>
      </c>
      <c r="GA366" s="56">
        <f>IFERROR(IF(($CU366)&gt;0,($FL366)/($CU366),""),"")</f>
        <v/>
      </c>
      <c r="GB366" s="56">
        <f>IFERROR(IF(($CV366)&gt;0,($FM366)/($CV366),""),"")</f>
        <v/>
      </c>
      <c r="GC366" s="56">
        <f>IFERROR(IF(($CW366)&gt;0,($FN366)/($CW366),""),"")</f>
        <v/>
      </c>
      <c r="GD366" s="56">
        <f>IFERROR(IF(($CU366)&gt;0,($FO366)/($CU366),""),"")</f>
        <v/>
      </c>
      <c r="GE366" s="56">
        <f>IFERROR(IF(($CV366)&gt;0,($FP366)/($CV366),""),"")</f>
        <v/>
      </c>
      <c r="GF366" s="56">
        <f>IFERROR(IF(($CW366)&gt;0,($FQ366)/($CW366),""),"")</f>
        <v/>
      </c>
      <c r="GG366" s="79">
        <f>IFERROR(IF(($CU366)&gt;0,($FR366)/($CU366),""),"")</f>
        <v/>
      </c>
      <c r="GH366" s="79">
        <f>IFERROR(IF(($CV366)&gt;0,($FS366)/($CV366),""),"")</f>
        <v/>
      </c>
      <c r="GI366" s="79">
        <f>IFERROR(IF(($CW366)&gt;0,($FT366)/($CW366),""),"")</f>
        <v/>
      </c>
      <c r="GJ366" s="56">
        <f>IFERROR(IF(($CU366)&gt;0,($FU366)/($CU366),""),"")</f>
        <v/>
      </c>
      <c r="GK366" s="56">
        <f>IFERROR(IF(($CV366)&gt;0,($FV366)/($CV366),""),"")</f>
        <v/>
      </c>
      <c r="GL366" s="56">
        <f>IFERROR(IF(($CW366)&gt;0,($FW366)/($CW366),""),"")</f>
        <v/>
      </c>
      <c r="GM366" s="55">
        <f>IF(SUMIFS(tblPlant[GIC_oz],tblPlant[Date],$A366)&gt;0,SUMIFS(tblPlant[GIC_oz],tblPlant[Date],$A366),"")</f>
        <v/>
      </c>
      <c r="GN366" s="55">
        <f>SUMIFS(tblGold[Gold_oz],tblGold[Date],$A366,tblGold[Type],"Shipment")</f>
        <v/>
      </c>
      <c r="GO366" s="55">
        <f>IF($B366=$B365,$GO365,0)+$GN366</f>
        <v/>
      </c>
      <c r="GP366" s="55">
        <f>$GP365+$GN366</f>
        <v/>
      </c>
      <c r="GQ366" s="55">
        <f>SUMIFS(tblGold[Gold_oz],tblGold[Date],$A366,tblGold[Type],"Sale")</f>
        <v/>
      </c>
      <c r="GR366" s="55">
        <f>IF($B366=$B365,$GR365,0)+$GQ366</f>
        <v/>
      </c>
      <c r="GS366" s="55">
        <f>$GS365+$GQ366</f>
        <v/>
      </c>
      <c r="GT366" s="55">
        <f>SUMIFS(tblGold[Dore_kg],tblGold[Date],$A366,tblGold[Type],"Shipment")</f>
        <v/>
      </c>
      <c r="GU366" s="55">
        <f>IF($B366=$B365,$GU365,0)+$GT366</f>
        <v/>
      </c>
      <c r="GV366" s="55">
        <f>$GV365+$GT366</f>
        <v/>
      </c>
      <c r="GW366" s="57">
        <f>SUMIFS(tblSafety[Hours_Total],tblSafety[Date],$A366)</f>
        <v/>
      </c>
      <c r="GX366" s="57">
        <f>IF($B366=$B365,$GX365,0)+$GW366</f>
        <v/>
      </c>
      <c r="GY366" s="57">
        <f>$GY365+$GW366</f>
        <v/>
      </c>
      <c r="GZ366" s="62">
        <f>SUMIFS(tblSafety[Fatality],tblSafety[Date],$A366)</f>
        <v/>
      </c>
      <c r="HA366" s="62">
        <f>IF($B366=$B365,$HA365,0)+$GZ366</f>
        <v/>
      </c>
      <c r="HB366" s="62">
        <f>$HB365+$GZ366</f>
        <v/>
      </c>
      <c r="HC366" s="62">
        <f>SUMIFS(tblSafety[LTI],tblSafety[Date],$A366)</f>
        <v/>
      </c>
      <c r="HD366" s="62">
        <f>IF($B366=$B365,$HD365,0)+$HC366</f>
        <v/>
      </c>
      <c r="HE366" s="62">
        <f>$HE365+$HC366</f>
        <v/>
      </c>
      <c r="HF366" s="62">
        <f>SUMIFS(tblSafety[RWI],tblSafety[Date],$A366)</f>
        <v/>
      </c>
      <c r="HG366" s="62">
        <f>IF($B366=$B365,$HG365,0)+$HF366</f>
        <v/>
      </c>
      <c r="HH366" s="62">
        <f>$HH365+$HF366</f>
        <v/>
      </c>
      <c r="HI366" s="62">
        <f>SUMIFS(tblSafety[MTI],tblSafety[Date],$A366)</f>
        <v/>
      </c>
      <c r="HJ366" s="62">
        <f>IF($B366=$B365,$HJ365,0)+$HI366</f>
        <v/>
      </c>
      <c r="HK366" s="62">
        <f>$HK365+$HI366</f>
        <v/>
      </c>
      <c r="HL366" s="62">
        <f>SUMIFS(tblSafety[FAI],tblSafety[Date],$A366)</f>
        <v/>
      </c>
      <c r="HM366" s="62">
        <f>IF($B366=$B365,$HM365,0)+$HL366</f>
        <v/>
      </c>
      <c r="HN366" s="62">
        <f>$HN365+$HL366</f>
        <v/>
      </c>
      <c r="HO366" s="62">
        <f>SUMIFS(tblSafety[Recordables],tblSafety[Date],$A366)</f>
        <v/>
      </c>
      <c r="HP366" s="62">
        <f>IF($B366=$B365,$HP365,0)+$HO366</f>
        <v/>
      </c>
      <c r="HQ366" s="62">
        <f>$HQ365+$HO366</f>
        <v/>
      </c>
      <c r="HR366" s="62">
        <f>SUMIFS(tblSafety[Near_Miss],tblSafety[Date],$A366)</f>
        <v/>
      </c>
      <c r="HS366" s="62">
        <f>IF($B366=$B365,$HS365,0)+$HR366</f>
        <v/>
      </c>
      <c r="HT366" s="62">
        <f>$HT365+$HR366</f>
        <v/>
      </c>
      <c r="HU366" s="62">
        <f>SUMIFS(tblSafety[Hazard_Reports],tblSafety[Date],$A366)</f>
        <v/>
      </c>
      <c r="HV366" s="62">
        <f>IF($B366=$B365,$HV365,0)+$HU366</f>
        <v/>
      </c>
      <c r="HW366" s="62">
        <f>$HW365+$HU366</f>
        <v/>
      </c>
      <c r="HX366" s="62">
        <f>SUMIFS(tblSafety[HPI],tblSafety[Date],$A366)</f>
        <v/>
      </c>
      <c r="HY366" s="62">
        <f>IF($B366=$B365,$HY365,0)+$HX366</f>
        <v/>
      </c>
      <c r="HZ366" s="62">
        <f>$HZ365+$HX366</f>
        <v/>
      </c>
      <c r="IA366" s="62">
        <f>SUMIFS(tblSafety[Env_Incidents],tblSafety[Date],$A366)</f>
        <v/>
      </c>
      <c r="IB366" s="62">
        <f>IF($B366=$B365,$IB365,0)+$IA366</f>
        <v/>
      </c>
      <c r="IC366" s="62">
        <f>$IC365+$IA366</f>
        <v/>
      </c>
      <c r="ID366" s="62">
        <f>SUMIFS(tblSafety[Community_Incidents],tblSafety[Date],$A366)</f>
        <v/>
      </c>
      <c r="IE366" s="62">
        <f>IF($B366=$B365,$IE365,0)+$ID366</f>
        <v/>
      </c>
      <c r="IF366" s="62">
        <f>$IF365+$ID366</f>
        <v/>
      </c>
      <c r="IG366" s="62">
        <f>SUMIFS(tblSafety[Vehicle_Incidents],tblSafety[Date],$A366)</f>
        <v/>
      </c>
      <c r="IH366" s="62">
        <f>IF($B366=$B365,$IH365,0)+$IG366</f>
        <v/>
      </c>
      <c r="II366" s="62">
        <f>$II365+$IG366</f>
        <v/>
      </c>
      <c r="IJ366" s="62">
        <f>SUMIFS(tblSafety[Toolbox_Talks],tblSafety[Date],$A366)</f>
        <v/>
      </c>
      <c r="IK366" s="62">
        <f>IF($B366=$B365,$IK365,0)+$IJ366</f>
        <v/>
      </c>
      <c r="IL366" s="62">
        <f>$IL365+$IJ366</f>
        <v/>
      </c>
      <c r="IM366" s="62">
        <f>SUMIFS(tblSafety[Inspections],tblSafety[Date],$A366)</f>
        <v/>
      </c>
      <c r="IN366" s="62">
        <f>IF($B366=$B365,$IN365,0)+$IM366</f>
        <v/>
      </c>
      <c r="IO366" s="62">
        <f>$IO365+$IM366</f>
        <v/>
      </c>
      <c r="IP366" s="56">
        <f>IFERROR((SUMIFS(tblSafety[Recordables],tblSafety[Date],"&gt;="&amp;EDATE($E366,-12),tblSafety[Date],"&lt;="&amp;$A366)+SUMIFS(tblSafetyHistory[Recordables],tblSafetyHistory[Month],"&gt;="&amp;EDATE($E366,-12),tblSafetyHistory[Month],"&lt;"&amp;$E366,tblSafetyHistory[Use],1))/(SUMIFS(tblSafety[Hours_Total],tblSafety[Date],"&gt;="&amp;EDATE($E366,-12),tblSafety[Date],"&lt;="&amp;$A366)+SUMIFS(tblSafetyHistory[Hours_Total],tblSafetyHistory[Month],"&gt;="&amp;EDATE($E366,-12),tblSafetyHistory[Month],"&lt;"&amp;$E366,tblSafetyHistory[Use],1))*cfg_RateBasisHours,"")</f>
        <v/>
      </c>
      <c r="IQ366" s="56">
        <f>IFERROR((SUMIFS(tblSafety[LTI],tblSafety[Date],"&gt;="&amp;EDATE($E366,-12),tblSafety[Date],"&lt;="&amp;$A366)+SUMIFS(tblSafetyHistory[LTI],tblSafetyHistory[Month],"&gt;="&amp;EDATE($E366,-12),tblSafetyHistory[Month],"&lt;"&amp;$E366,tblSafetyHistory[Use],1))/(SUMIFS(tblSafety[Hours_Total],tblSafety[Date],"&gt;="&amp;EDATE($E366,-12),tblSafety[Date],"&lt;="&amp;$A366)+SUMIFS(tblSafetyHistory[Hours_Total],tblSafetyHistory[Month],"&gt;="&amp;EDATE($E366,-12),tblSafetyHistory[Month],"&lt;"&amp;$E366,tblSafetyHistory[Use],1))*cfg_RateBasisHours,"")</f>
        <v/>
      </c>
      <c r="IR366" s="62">
        <f>IF(MAX(N(cfg_PriorLTIDate),_xlfn.MAXIFS(tblSafety[Date],tblSafety[LTI],"&gt;0",tblSafety[Date],"&lt;="&amp;$A366))=0,"",$A366-MAX(N(cfg_PriorLTIDate),_xlfn.MAXIFS(tblSafety[Date],tblSafety[LTI],"&gt;0",tblSafety[Date],"&lt;="&amp;$A366)))</f>
        <v/>
      </c>
      <c r="IS366" s="55">
        <f>SUMIFS(tblBudget[Ore_Mined_t],tblBudget[Month],$E366)</f>
        <v/>
      </c>
      <c r="IT366" s="55">
        <f>$IS366*$C366/$D366</f>
        <v/>
      </c>
      <c r="IU366" s="55">
        <f>SUMIFS(tblBudget[Ore_Mined_t],tblBudget[Month],"&lt;"&amp;$E366)+$IT366</f>
        <v/>
      </c>
      <c r="IV366" s="55">
        <f>SUMIFS(tblBudget[Ore_oz],tblBudget[Month],$E366)</f>
        <v/>
      </c>
      <c r="IW366" s="55">
        <f>$IV366*$C366/$D366</f>
        <v/>
      </c>
      <c r="IX366" s="55">
        <f>SUMIFS(tblBudget[Ore_oz],tblBudget[Month],"&lt;"&amp;$E366)+$IW366</f>
        <v/>
      </c>
      <c r="IY366" s="55">
        <f>SUMIFS(tblBudget[Ore_Mined_t],tblBudget[Month],$E366)</f>
        <v/>
      </c>
      <c r="IZ366" s="55">
        <f>$IY366*$C366/$D366</f>
        <v/>
      </c>
      <c r="JA366" s="55">
        <f>SUMIFS(tblBudget[Ore_Mined_t],tblBudget[Month],"&lt;"&amp;$E366)+$IZ366</f>
        <v/>
      </c>
      <c r="JB366" s="56">
        <f>IFERROR(IF(($IY366)&gt;0,($IV366*cfg_TroyOz)/($IY366),""),"")</f>
        <v/>
      </c>
      <c r="JC366" s="56">
        <f>IFERROR(IF(($IZ366)&gt;0,($IW366*cfg_TroyOz)/($IZ366),""),"")</f>
        <v/>
      </c>
      <c r="JD366" s="56">
        <f>IFERROR(IF(($JA366)&gt;0,($IX366*cfg_TroyOz)/($JA366),""),"")</f>
        <v/>
      </c>
      <c r="JE366" s="55">
        <f>SUMIFS(tblBudget[Waste_t],tblBudget[Month],$E366)</f>
        <v/>
      </c>
      <c r="JF366" s="55">
        <f>$JE366*$C366/$D366</f>
        <v/>
      </c>
      <c r="JG366" s="55">
        <f>SUMIFS(tblBudget[Waste_t],tblBudget[Month],"&lt;"&amp;$E366)+$JF366</f>
        <v/>
      </c>
      <c r="JH366" s="55">
        <f>SUMIFS(tblBudget[TMM_t],tblBudget[Month],$E366)</f>
        <v/>
      </c>
      <c r="JI366" s="55">
        <f>$JH366*$C366/$D366</f>
        <v/>
      </c>
      <c r="JJ366" s="55">
        <f>SUMIFS(tblBudget[TMM_t],tblBudget[Month],"&lt;"&amp;$E366)+$JI366</f>
        <v/>
      </c>
      <c r="JK366" s="56">
        <f>IFERROR(IF(($IS366)&gt;0,($JE366)/($IS366),""),"")</f>
        <v/>
      </c>
      <c r="JL366" s="56">
        <f>IFERROR(IF(($IT366)&gt;0,($JF366)/($IT366),""),"")</f>
        <v/>
      </c>
      <c r="JM366" s="56">
        <f>IFERROR(IF(($IU366)&gt;0,($JG366)/($IU366),""),"")</f>
        <v/>
      </c>
      <c r="JN366" s="55">
        <f>SUMIFS(tblBudget[Drill_m],tblBudget[Month],$E366)</f>
        <v/>
      </c>
      <c r="JO366" s="55">
        <f>$JN366*$C366/$D366</f>
        <v/>
      </c>
      <c r="JP366" s="55">
        <f>SUMIFS(tblBudget[Drill_m],tblBudget[Month],"&lt;"&amp;$E366)+$JO366</f>
        <v/>
      </c>
      <c r="JQ366" s="55">
        <f>SUMIFS(tblBudget[Diesel_L],tblBudget[Month],$E366)</f>
        <v/>
      </c>
      <c r="JR366" s="55">
        <f>$JQ366*$C366/$D366</f>
        <v/>
      </c>
      <c r="JS366" s="55">
        <f>SUMIFS(tblBudget[Diesel_L],tblBudget[Month],"&lt;"&amp;$E366)+$JR366</f>
        <v/>
      </c>
      <c r="JT366" s="55">
        <f>SUMIFS(tblBudget[Milled_t],tblBudget[Month],$E366)</f>
        <v/>
      </c>
      <c r="JU366" s="55">
        <f>$JT366*$C366/$D366</f>
        <v/>
      </c>
      <c r="JV366" s="55">
        <f>SUMIFS(tblBudget[Milled_t],tblBudget[Month],"&lt;"&amp;$E366)+$JU366</f>
        <v/>
      </c>
      <c r="JW366" s="55">
        <f>SUMIFS(tblBudget[Feed_oz],tblBudget[Month],$E366)</f>
        <v/>
      </c>
      <c r="JX366" s="55">
        <f>$JW366*$C366/$D366</f>
        <v/>
      </c>
      <c r="JY366" s="55">
        <f>SUMIFS(tblBudget[Feed_oz],tblBudget[Month],"&lt;"&amp;$E366)+$JX366</f>
        <v/>
      </c>
      <c r="JZ366" s="55">
        <f>SUMIFS(tblBudget[Recovered_oz],tblBudget[Month],$E366)</f>
        <v/>
      </c>
      <c r="KA366" s="55">
        <f>$JZ366*$C366/$D366</f>
        <v/>
      </c>
      <c r="KB366" s="55">
        <f>SUMIFS(tblBudget[Recovered_oz],tblBudget[Month],"&lt;"&amp;$E366)+$KA366</f>
        <v/>
      </c>
      <c r="KC366" s="55">
        <f>SUMIFS(tblBudget[Milled_t],tblBudget[Month],$E366)</f>
        <v/>
      </c>
      <c r="KD366" s="55">
        <f>$KC366*$C366/$D366</f>
        <v/>
      </c>
      <c r="KE366" s="55">
        <f>SUMIFS(tblBudget[Milled_t],tblBudget[Month],"&lt;"&amp;$E366)+$KD366</f>
        <v/>
      </c>
      <c r="KF366" s="55">
        <f>SUMIFS(tblBudget[Feed_oz],tblBudget[Month],$E366)</f>
        <v/>
      </c>
      <c r="KG366" s="55">
        <f>$KF366*$C366/$D366</f>
        <v/>
      </c>
      <c r="KH366" s="55">
        <f>SUMIFS(tblBudget[Feed_oz],tblBudget[Month],"&lt;"&amp;$E366)+$KG366</f>
        <v/>
      </c>
      <c r="KI366" s="56">
        <f>IFERROR(IF(($KC366)&gt;0,($JW366*cfg_TroyOz)/($KC366),""),"")</f>
        <v/>
      </c>
      <c r="KJ366" s="56">
        <f>IFERROR(IF(($KD366)&gt;0,($JX366*cfg_TroyOz)/($KD366),""),"")</f>
        <v/>
      </c>
      <c r="KK366" s="56">
        <f>IFERROR(IF(($KE366)&gt;0,($JY366*cfg_TroyOz)/($KE366),""),"")</f>
        <v/>
      </c>
      <c r="KL366" s="67">
        <f>IFERROR(IF(($KF366)&gt;0,($JZ366)/($KF366),""),"")</f>
        <v/>
      </c>
      <c r="KM366" s="67">
        <f>IFERROR(IF(($KG366)&gt;0,($KA366)/($KG366),""),"")</f>
        <v/>
      </c>
      <c r="KN366" s="67">
        <f>IFERROR(IF(($KH366)&gt;0,($KB366)/($KH366),""),"")</f>
        <v/>
      </c>
      <c r="KO366" s="55">
        <f>SUMIFS(tblBudget[Gold_Poured_oz],tblBudget[Month],$E366)</f>
        <v/>
      </c>
      <c r="KP366" s="55">
        <f>$KO366*$C366/$D366</f>
        <v/>
      </c>
      <c r="KQ366" s="55">
        <f>SUMIFS(tblBudget[Gold_Poured_oz],tblBudget[Month],"&lt;"&amp;$E366)+$KP366</f>
        <v/>
      </c>
      <c r="KR366" s="57">
        <f>SUMIFS(tblBudget[Hours_Worked],tblBudget[Month],$E366)</f>
        <v/>
      </c>
      <c r="KS366" s="57">
        <f>$KR366*$C366/$D366</f>
        <v/>
      </c>
      <c r="KT366" s="57">
        <f>SUMIFS(tblBudget[Hours_Worked],tblBudget[Month],"&lt;"&amp;$E366)+$KS366</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6.xml><?xml version="1.0" encoding="utf-8"?>
<worksheet xmlns="http://schemas.openxmlformats.org/spreadsheetml/2006/main">
  <sheetPr>
    <tabColor rgb="003A3A3A"/>
    <outlinePr summaryBelow="1" summaryRight="1"/>
    <pageSetUpPr/>
  </sheetPr>
  <dimension ref="A1:K366"/>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80" t="inlineStr">
        <is>
          <t>Date</t>
        </is>
      </c>
      <c r="B1" s="80" t="inlineStr">
        <is>
          <t>Milled_t</t>
        </is>
      </c>
      <c r="C1" s="80" t="inlineStr">
        <is>
          <t>Budget_Milled_daily</t>
        </is>
      </c>
      <c r="D1" s="80" t="inlineStr">
        <is>
          <t>Gold_Poured_YTD</t>
        </is>
      </c>
      <c r="E1" s="80" t="inlineStr">
        <is>
          <t>Budget_Gold_Poured_YTD</t>
        </is>
      </c>
      <c r="F1" s="80" t="inlineStr">
        <is>
          <t>Ore_Mined_t</t>
        </is>
      </c>
      <c r="G1" s="80" t="inlineStr">
        <is>
          <t>Waste_t</t>
        </is>
      </c>
      <c r="H1" s="80" t="inlineStr">
        <is>
          <t>Recovery_MTD</t>
        </is>
      </c>
      <c r="I1" s="80" t="inlineStr">
        <is>
          <t>Head_Grade_MTD</t>
        </is>
      </c>
      <c r="J1" s="80" t="inlineStr">
        <is>
          <t>TRIFR_12m</t>
        </is>
      </c>
      <c r="K1" s="80" t="inlineStr">
        <is>
          <t>Budget_Recovery_MTD</t>
        </is>
      </c>
    </row>
    <row r="2">
      <c r="A2" s="54">
        <f>Calc_Daily!$A2</f>
        <v/>
      </c>
      <c r="B2">
        <f>IF(OR($A2&gt;cfg_LastDataDate,NOT(ISNUMBER(Calc_Daily!$CU2))),NA(),Calc_Daily!$CU2)</f>
        <v/>
      </c>
      <c r="C2">
        <f>Calc_Daily!$JT2/Calc_Daily!$D2</f>
        <v/>
      </c>
      <c r="D2">
        <f>IF(OR($A2&gt;cfg_LastDataDate,NOT(ISNUMBER(Calc_Daily!$EJ2))),NA(),Calc_Daily!$EJ2)</f>
        <v/>
      </c>
      <c r="E2">
        <f>Calc_Daily!$KQ2</f>
        <v/>
      </c>
      <c r="F2">
        <f>IF(OR($A2&gt;cfg_LastDataDate,NOT(ISNUMBER(Calc_Daily!$F2))),NA(),Calc_Daily!$F2)</f>
        <v/>
      </c>
      <c r="G2">
        <f>IF(OR($A2&gt;cfg_LastDataDate,NOT(ISNUMBER(Calc_Daily!$U2))),NA(),Calc_Daily!$U2)</f>
        <v/>
      </c>
      <c r="H2">
        <f>IF(OR($A2&gt;cfg_LastDataDate,NOT(ISNUMBER(Calc_Daily!$DZ2))),NA(),Calc_Daily!$DZ2)</f>
        <v/>
      </c>
      <c r="I2">
        <f>IF(OR($A2&gt;cfg_LastDataDate,NOT(ISNUMBER(Calc_Daily!$DT2))),NA(),Calc_Daily!$DT2)</f>
        <v/>
      </c>
      <c r="J2">
        <f>IF(OR($A2&gt;cfg_LastDataDate,NOT(ISNUMBER(Calc_Daily!$IP2))),NA(),Calc_Daily!$IP2)</f>
        <v/>
      </c>
      <c r="K2">
        <f>Calc_Daily!$KM2</f>
        <v/>
      </c>
    </row>
    <row r="3">
      <c r="A3" s="54">
        <f>Calc_Daily!$A3</f>
        <v/>
      </c>
      <c r="B3">
        <f>IF(OR($A3&gt;cfg_LastDataDate,NOT(ISNUMBER(Calc_Daily!$CU3))),NA(),Calc_Daily!$CU3)</f>
        <v/>
      </c>
      <c r="C3">
        <f>Calc_Daily!$JT3/Calc_Daily!$D3</f>
        <v/>
      </c>
      <c r="D3">
        <f>IF(OR($A3&gt;cfg_LastDataDate,NOT(ISNUMBER(Calc_Daily!$EJ3))),NA(),Calc_Daily!$EJ3)</f>
        <v/>
      </c>
      <c r="E3">
        <f>Calc_Daily!$KQ3</f>
        <v/>
      </c>
      <c r="F3">
        <f>IF(OR($A3&gt;cfg_LastDataDate,NOT(ISNUMBER(Calc_Daily!$F3))),NA(),Calc_Daily!$F3)</f>
        <v/>
      </c>
      <c r="G3">
        <f>IF(OR($A3&gt;cfg_LastDataDate,NOT(ISNUMBER(Calc_Daily!$U3))),NA(),Calc_Daily!$U3)</f>
        <v/>
      </c>
      <c r="H3">
        <f>IF(OR($A3&gt;cfg_LastDataDate,NOT(ISNUMBER(Calc_Daily!$DZ3))),NA(),Calc_Daily!$DZ3)</f>
        <v/>
      </c>
      <c r="I3">
        <f>IF(OR($A3&gt;cfg_LastDataDate,NOT(ISNUMBER(Calc_Daily!$DT3))),NA(),Calc_Daily!$DT3)</f>
        <v/>
      </c>
      <c r="J3">
        <f>IF(OR($A3&gt;cfg_LastDataDate,NOT(ISNUMBER(Calc_Daily!$IP3))),NA(),Calc_Daily!$IP3)</f>
        <v/>
      </c>
      <c r="K3">
        <f>Calc_Daily!$KM3</f>
        <v/>
      </c>
    </row>
    <row r="4">
      <c r="A4" s="54">
        <f>Calc_Daily!$A4</f>
        <v/>
      </c>
      <c r="B4">
        <f>IF(OR($A4&gt;cfg_LastDataDate,NOT(ISNUMBER(Calc_Daily!$CU4))),NA(),Calc_Daily!$CU4)</f>
        <v/>
      </c>
      <c r="C4">
        <f>Calc_Daily!$JT4/Calc_Daily!$D4</f>
        <v/>
      </c>
      <c r="D4">
        <f>IF(OR($A4&gt;cfg_LastDataDate,NOT(ISNUMBER(Calc_Daily!$EJ4))),NA(),Calc_Daily!$EJ4)</f>
        <v/>
      </c>
      <c r="E4">
        <f>Calc_Daily!$KQ4</f>
        <v/>
      </c>
      <c r="F4">
        <f>IF(OR($A4&gt;cfg_LastDataDate,NOT(ISNUMBER(Calc_Daily!$F4))),NA(),Calc_Daily!$F4)</f>
        <v/>
      </c>
      <c r="G4">
        <f>IF(OR($A4&gt;cfg_LastDataDate,NOT(ISNUMBER(Calc_Daily!$U4))),NA(),Calc_Daily!$U4)</f>
        <v/>
      </c>
      <c r="H4">
        <f>IF(OR($A4&gt;cfg_LastDataDate,NOT(ISNUMBER(Calc_Daily!$DZ4))),NA(),Calc_Daily!$DZ4)</f>
        <v/>
      </c>
      <c r="I4">
        <f>IF(OR($A4&gt;cfg_LastDataDate,NOT(ISNUMBER(Calc_Daily!$DT4))),NA(),Calc_Daily!$DT4)</f>
        <v/>
      </c>
      <c r="J4">
        <f>IF(OR($A4&gt;cfg_LastDataDate,NOT(ISNUMBER(Calc_Daily!$IP4))),NA(),Calc_Daily!$IP4)</f>
        <v/>
      </c>
      <c r="K4">
        <f>Calc_Daily!$KM4</f>
        <v/>
      </c>
    </row>
    <row r="5">
      <c r="A5" s="54">
        <f>Calc_Daily!$A5</f>
        <v/>
      </c>
      <c r="B5">
        <f>IF(OR($A5&gt;cfg_LastDataDate,NOT(ISNUMBER(Calc_Daily!$CU5))),NA(),Calc_Daily!$CU5)</f>
        <v/>
      </c>
      <c r="C5">
        <f>Calc_Daily!$JT5/Calc_Daily!$D5</f>
        <v/>
      </c>
      <c r="D5">
        <f>IF(OR($A5&gt;cfg_LastDataDate,NOT(ISNUMBER(Calc_Daily!$EJ5))),NA(),Calc_Daily!$EJ5)</f>
        <v/>
      </c>
      <c r="E5">
        <f>Calc_Daily!$KQ5</f>
        <v/>
      </c>
      <c r="F5">
        <f>IF(OR($A5&gt;cfg_LastDataDate,NOT(ISNUMBER(Calc_Daily!$F5))),NA(),Calc_Daily!$F5)</f>
        <v/>
      </c>
      <c r="G5">
        <f>IF(OR($A5&gt;cfg_LastDataDate,NOT(ISNUMBER(Calc_Daily!$U5))),NA(),Calc_Daily!$U5)</f>
        <v/>
      </c>
      <c r="H5">
        <f>IF(OR($A5&gt;cfg_LastDataDate,NOT(ISNUMBER(Calc_Daily!$DZ5))),NA(),Calc_Daily!$DZ5)</f>
        <v/>
      </c>
      <c r="I5">
        <f>IF(OR($A5&gt;cfg_LastDataDate,NOT(ISNUMBER(Calc_Daily!$DT5))),NA(),Calc_Daily!$DT5)</f>
        <v/>
      </c>
      <c r="J5">
        <f>IF(OR($A5&gt;cfg_LastDataDate,NOT(ISNUMBER(Calc_Daily!$IP5))),NA(),Calc_Daily!$IP5)</f>
        <v/>
      </c>
      <c r="K5">
        <f>Calc_Daily!$KM5</f>
        <v/>
      </c>
    </row>
    <row r="6">
      <c r="A6" s="54">
        <f>Calc_Daily!$A6</f>
        <v/>
      </c>
      <c r="B6">
        <f>IF(OR($A6&gt;cfg_LastDataDate,NOT(ISNUMBER(Calc_Daily!$CU6))),NA(),Calc_Daily!$CU6)</f>
        <v/>
      </c>
      <c r="C6">
        <f>Calc_Daily!$JT6/Calc_Daily!$D6</f>
        <v/>
      </c>
      <c r="D6">
        <f>IF(OR($A6&gt;cfg_LastDataDate,NOT(ISNUMBER(Calc_Daily!$EJ6))),NA(),Calc_Daily!$EJ6)</f>
        <v/>
      </c>
      <c r="E6">
        <f>Calc_Daily!$KQ6</f>
        <v/>
      </c>
      <c r="F6">
        <f>IF(OR($A6&gt;cfg_LastDataDate,NOT(ISNUMBER(Calc_Daily!$F6))),NA(),Calc_Daily!$F6)</f>
        <v/>
      </c>
      <c r="G6">
        <f>IF(OR($A6&gt;cfg_LastDataDate,NOT(ISNUMBER(Calc_Daily!$U6))),NA(),Calc_Daily!$U6)</f>
        <v/>
      </c>
      <c r="H6">
        <f>IF(OR($A6&gt;cfg_LastDataDate,NOT(ISNUMBER(Calc_Daily!$DZ6))),NA(),Calc_Daily!$DZ6)</f>
        <v/>
      </c>
      <c r="I6">
        <f>IF(OR($A6&gt;cfg_LastDataDate,NOT(ISNUMBER(Calc_Daily!$DT6))),NA(),Calc_Daily!$DT6)</f>
        <v/>
      </c>
      <c r="J6">
        <f>IF(OR($A6&gt;cfg_LastDataDate,NOT(ISNUMBER(Calc_Daily!$IP6))),NA(),Calc_Daily!$IP6)</f>
        <v/>
      </c>
      <c r="K6">
        <f>Calc_Daily!$KM6</f>
        <v/>
      </c>
    </row>
    <row r="7">
      <c r="A7" s="54">
        <f>Calc_Daily!$A7</f>
        <v/>
      </c>
      <c r="B7">
        <f>IF(OR($A7&gt;cfg_LastDataDate,NOT(ISNUMBER(Calc_Daily!$CU7))),NA(),Calc_Daily!$CU7)</f>
        <v/>
      </c>
      <c r="C7">
        <f>Calc_Daily!$JT7/Calc_Daily!$D7</f>
        <v/>
      </c>
      <c r="D7">
        <f>IF(OR($A7&gt;cfg_LastDataDate,NOT(ISNUMBER(Calc_Daily!$EJ7))),NA(),Calc_Daily!$EJ7)</f>
        <v/>
      </c>
      <c r="E7">
        <f>Calc_Daily!$KQ7</f>
        <v/>
      </c>
      <c r="F7">
        <f>IF(OR($A7&gt;cfg_LastDataDate,NOT(ISNUMBER(Calc_Daily!$F7))),NA(),Calc_Daily!$F7)</f>
        <v/>
      </c>
      <c r="G7">
        <f>IF(OR($A7&gt;cfg_LastDataDate,NOT(ISNUMBER(Calc_Daily!$U7))),NA(),Calc_Daily!$U7)</f>
        <v/>
      </c>
      <c r="H7">
        <f>IF(OR($A7&gt;cfg_LastDataDate,NOT(ISNUMBER(Calc_Daily!$DZ7))),NA(),Calc_Daily!$DZ7)</f>
        <v/>
      </c>
      <c r="I7">
        <f>IF(OR($A7&gt;cfg_LastDataDate,NOT(ISNUMBER(Calc_Daily!$DT7))),NA(),Calc_Daily!$DT7)</f>
        <v/>
      </c>
      <c r="J7">
        <f>IF(OR($A7&gt;cfg_LastDataDate,NOT(ISNUMBER(Calc_Daily!$IP7))),NA(),Calc_Daily!$IP7)</f>
        <v/>
      </c>
      <c r="K7">
        <f>Calc_Daily!$KM7</f>
        <v/>
      </c>
    </row>
    <row r="8">
      <c r="A8" s="54">
        <f>Calc_Daily!$A8</f>
        <v/>
      </c>
      <c r="B8">
        <f>IF(OR($A8&gt;cfg_LastDataDate,NOT(ISNUMBER(Calc_Daily!$CU8))),NA(),Calc_Daily!$CU8)</f>
        <v/>
      </c>
      <c r="C8">
        <f>Calc_Daily!$JT8/Calc_Daily!$D8</f>
        <v/>
      </c>
      <c r="D8">
        <f>IF(OR($A8&gt;cfg_LastDataDate,NOT(ISNUMBER(Calc_Daily!$EJ8))),NA(),Calc_Daily!$EJ8)</f>
        <v/>
      </c>
      <c r="E8">
        <f>Calc_Daily!$KQ8</f>
        <v/>
      </c>
      <c r="F8">
        <f>IF(OR($A8&gt;cfg_LastDataDate,NOT(ISNUMBER(Calc_Daily!$F8))),NA(),Calc_Daily!$F8)</f>
        <v/>
      </c>
      <c r="G8">
        <f>IF(OR($A8&gt;cfg_LastDataDate,NOT(ISNUMBER(Calc_Daily!$U8))),NA(),Calc_Daily!$U8)</f>
        <v/>
      </c>
      <c r="H8">
        <f>IF(OR($A8&gt;cfg_LastDataDate,NOT(ISNUMBER(Calc_Daily!$DZ8))),NA(),Calc_Daily!$DZ8)</f>
        <v/>
      </c>
      <c r="I8">
        <f>IF(OR($A8&gt;cfg_LastDataDate,NOT(ISNUMBER(Calc_Daily!$DT8))),NA(),Calc_Daily!$DT8)</f>
        <v/>
      </c>
      <c r="J8">
        <f>IF(OR($A8&gt;cfg_LastDataDate,NOT(ISNUMBER(Calc_Daily!$IP8))),NA(),Calc_Daily!$IP8)</f>
        <v/>
      </c>
      <c r="K8">
        <f>Calc_Daily!$KM8</f>
        <v/>
      </c>
    </row>
    <row r="9">
      <c r="A9" s="54">
        <f>Calc_Daily!$A9</f>
        <v/>
      </c>
      <c r="B9">
        <f>IF(OR($A9&gt;cfg_LastDataDate,NOT(ISNUMBER(Calc_Daily!$CU9))),NA(),Calc_Daily!$CU9)</f>
        <v/>
      </c>
      <c r="C9">
        <f>Calc_Daily!$JT9/Calc_Daily!$D9</f>
        <v/>
      </c>
      <c r="D9">
        <f>IF(OR($A9&gt;cfg_LastDataDate,NOT(ISNUMBER(Calc_Daily!$EJ9))),NA(),Calc_Daily!$EJ9)</f>
        <v/>
      </c>
      <c r="E9">
        <f>Calc_Daily!$KQ9</f>
        <v/>
      </c>
      <c r="F9">
        <f>IF(OR($A9&gt;cfg_LastDataDate,NOT(ISNUMBER(Calc_Daily!$F9))),NA(),Calc_Daily!$F9)</f>
        <v/>
      </c>
      <c r="G9">
        <f>IF(OR($A9&gt;cfg_LastDataDate,NOT(ISNUMBER(Calc_Daily!$U9))),NA(),Calc_Daily!$U9)</f>
        <v/>
      </c>
      <c r="H9">
        <f>IF(OR($A9&gt;cfg_LastDataDate,NOT(ISNUMBER(Calc_Daily!$DZ9))),NA(),Calc_Daily!$DZ9)</f>
        <v/>
      </c>
      <c r="I9">
        <f>IF(OR($A9&gt;cfg_LastDataDate,NOT(ISNUMBER(Calc_Daily!$DT9))),NA(),Calc_Daily!$DT9)</f>
        <v/>
      </c>
      <c r="J9">
        <f>IF(OR($A9&gt;cfg_LastDataDate,NOT(ISNUMBER(Calc_Daily!$IP9))),NA(),Calc_Daily!$IP9)</f>
        <v/>
      </c>
      <c r="K9">
        <f>Calc_Daily!$KM9</f>
        <v/>
      </c>
    </row>
    <row r="10">
      <c r="A10" s="54">
        <f>Calc_Daily!$A10</f>
        <v/>
      </c>
      <c r="B10">
        <f>IF(OR($A10&gt;cfg_LastDataDate,NOT(ISNUMBER(Calc_Daily!$CU10))),NA(),Calc_Daily!$CU10)</f>
        <v/>
      </c>
      <c r="C10">
        <f>Calc_Daily!$JT10/Calc_Daily!$D10</f>
        <v/>
      </c>
      <c r="D10">
        <f>IF(OR($A10&gt;cfg_LastDataDate,NOT(ISNUMBER(Calc_Daily!$EJ10))),NA(),Calc_Daily!$EJ10)</f>
        <v/>
      </c>
      <c r="E10">
        <f>Calc_Daily!$KQ10</f>
        <v/>
      </c>
      <c r="F10">
        <f>IF(OR($A10&gt;cfg_LastDataDate,NOT(ISNUMBER(Calc_Daily!$F10))),NA(),Calc_Daily!$F10)</f>
        <v/>
      </c>
      <c r="G10">
        <f>IF(OR($A10&gt;cfg_LastDataDate,NOT(ISNUMBER(Calc_Daily!$U10))),NA(),Calc_Daily!$U10)</f>
        <v/>
      </c>
      <c r="H10">
        <f>IF(OR($A10&gt;cfg_LastDataDate,NOT(ISNUMBER(Calc_Daily!$DZ10))),NA(),Calc_Daily!$DZ10)</f>
        <v/>
      </c>
      <c r="I10">
        <f>IF(OR($A10&gt;cfg_LastDataDate,NOT(ISNUMBER(Calc_Daily!$DT10))),NA(),Calc_Daily!$DT10)</f>
        <v/>
      </c>
      <c r="J10">
        <f>IF(OR($A10&gt;cfg_LastDataDate,NOT(ISNUMBER(Calc_Daily!$IP10))),NA(),Calc_Daily!$IP10)</f>
        <v/>
      </c>
      <c r="K10">
        <f>Calc_Daily!$KM10</f>
        <v/>
      </c>
    </row>
    <row r="11">
      <c r="A11" s="54">
        <f>Calc_Daily!$A11</f>
        <v/>
      </c>
      <c r="B11">
        <f>IF(OR($A11&gt;cfg_LastDataDate,NOT(ISNUMBER(Calc_Daily!$CU11))),NA(),Calc_Daily!$CU11)</f>
        <v/>
      </c>
      <c r="C11">
        <f>Calc_Daily!$JT11/Calc_Daily!$D11</f>
        <v/>
      </c>
      <c r="D11">
        <f>IF(OR($A11&gt;cfg_LastDataDate,NOT(ISNUMBER(Calc_Daily!$EJ11))),NA(),Calc_Daily!$EJ11)</f>
        <v/>
      </c>
      <c r="E11">
        <f>Calc_Daily!$KQ11</f>
        <v/>
      </c>
      <c r="F11">
        <f>IF(OR($A11&gt;cfg_LastDataDate,NOT(ISNUMBER(Calc_Daily!$F11))),NA(),Calc_Daily!$F11)</f>
        <v/>
      </c>
      <c r="G11">
        <f>IF(OR($A11&gt;cfg_LastDataDate,NOT(ISNUMBER(Calc_Daily!$U11))),NA(),Calc_Daily!$U11)</f>
        <v/>
      </c>
      <c r="H11">
        <f>IF(OR($A11&gt;cfg_LastDataDate,NOT(ISNUMBER(Calc_Daily!$DZ11))),NA(),Calc_Daily!$DZ11)</f>
        <v/>
      </c>
      <c r="I11">
        <f>IF(OR($A11&gt;cfg_LastDataDate,NOT(ISNUMBER(Calc_Daily!$DT11))),NA(),Calc_Daily!$DT11)</f>
        <v/>
      </c>
      <c r="J11">
        <f>IF(OR($A11&gt;cfg_LastDataDate,NOT(ISNUMBER(Calc_Daily!$IP11))),NA(),Calc_Daily!$IP11)</f>
        <v/>
      </c>
      <c r="K11">
        <f>Calc_Daily!$KM11</f>
        <v/>
      </c>
    </row>
    <row r="12">
      <c r="A12" s="54">
        <f>Calc_Daily!$A12</f>
        <v/>
      </c>
      <c r="B12">
        <f>IF(OR($A12&gt;cfg_LastDataDate,NOT(ISNUMBER(Calc_Daily!$CU12))),NA(),Calc_Daily!$CU12)</f>
        <v/>
      </c>
      <c r="C12">
        <f>Calc_Daily!$JT12/Calc_Daily!$D12</f>
        <v/>
      </c>
      <c r="D12">
        <f>IF(OR($A12&gt;cfg_LastDataDate,NOT(ISNUMBER(Calc_Daily!$EJ12))),NA(),Calc_Daily!$EJ12)</f>
        <v/>
      </c>
      <c r="E12">
        <f>Calc_Daily!$KQ12</f>
        <v/>
      </c>
      <c r="F12">
        <f>IF(OR($A12&gt;cfg_LastDataDate,NOT(ISNUMBER(Calc_Daily!$F12))),NA(),Calc_Daily!$F12)</f>
        <v/>
      </c>
      <c r="G12">
        <f>IF(OR($A12&gt;cfg_LastDataDate,NOT(ISNUMBER(Calc_Daily!$U12))),NA(),Calc_Daily!$U12)</f>
        <v/>
      </c>
      <c r="H12">
        <f>IF(OR($A12&gt;cfg_LastDataDate,NOT(ISNUMBER(Calc_Daily!$DZ12))),NA(),Calc_Daily!$DZ12)</f>
        <v/>
      </c>
      <c r="I12">
        <f>IF(OR($A12&gt;cfg_LastDataDate,NOT(ISNUMBER(Calc_Daily!$DT12))),NA(),Calc_Daily!$DT12)</f>
        <v/>
      </c>
      <c r="J12">
        <f>IF(OR($A12&gt;cfg_LastDataDate,NOT(ISNUMBER(Calc_Daily!$IP12))),NA(),Calc_Daily!$IP12)</f>
        <v/>
      </c>
      <c r="K12">
        <f>Calc_Daily!$KM12</f>
        <v/>
      </c>
    </row>
    <row r="13">
      <c r="A13" s="54">
        <f>Calc_Daily!$A13</f>
        <v/>
      </c>
      <c r="B13">
        <f>IF(OR($A13&gt;cfg_LastDataDate,NOT(ISNUMBER(Calc_Daily!$CU13))),NA(),Calc_Daily!$CU13)</f>
        <v/>
      </c>
      <c r="C13">
        <f>Calc_Daily!$JT13/Calc_Daily!$D13</f>
        <v/>
      </c>
      <c r="D13">
        <f>IF(OR($A13&gt;cfg_LastDataDate,NOT(ISNUMBER(Calc_Daily!$EJ13))),NA(),Calc_Daily!$EJ13)</f>
        <v/>
      </c>
      <c r="E13">
        <f>Calc_Daily!$KQ13</f>
        <v/>
      </c>
      <c r="F13">
        <f>IF(OR($A13&gt;cfg_LastDataDate,NOT(ISNUMBER(Calc_Daily!$F13))),NA(),Calc_Daily!$F13)</f>
        <v/>
      </c>
      <c r="G13">
        <f>IF(OR($A13&gt;cfg_LastDataDate,NOT(ISNUMBER(Calc_Daily!$U13))),NA(),Calc_Daily!$U13)</f>
        <v/>
      </c>
      <c r="H13">
        <f>IF(OR($A13&gt;cfg_LastDataDate,NOT(ISNUMBER(Calc_Daily!$DZ13))),NA(),Calc_Daily!$DZ13)</f>
        <v/>
      </c>
      <c r="I13">
        <f>IF(OR($A13&gt;cfg_LastDataDate,NOT(ISNUMBER(Calc_Daily!$DT13))),NA(),Calc_Daily!$DT13)</f>
        <v/>
      </c>
      <c r="J13">
        <f>IF(OR($A13&gt;cfg_LastDataDate,NOT(ISNUMBER(Calc_Daily!$IP13))),NA(),Calc_Daily!$IP13)</f>
        <v/>
      </c>
      <c r="K13">
        <f>Calc_Daily!$KM13</f>
        <v/>
      </c>
    </row>
    <row r="14">
      <c r="A14" s="54">
        <f>Calc_Daily!$A14</f>
        <v/>
      </c>
      <c r="B14">
        <f>IF(OR($A14&gt;cfg_LastDataDate,NOT(ISNUMBER(Calc_Daily!$CU14))),NA(),Calc_Daily!$CU14)</f>
        <v/>
      </c>
      <c r="C14">
        <f>Calc_Daily!$JT14/Calc_Daily!$D14</f>
        <v/>
      </c>
      <c r="D14">
        <f>IF(OR($A14&gt;cfg_LastDataDate,NOT(ISNUMBER(Calc_Daily!$EJ14))),NA(),Calc_Daily!$EJ14)</f>
        <v/>
      </c>
      <c r="E14">
        <f>Calc_Daily!$KQ14</f>
        <v/>
      </c>
      <c r="F14">
        <f>IF(OR($A14&gt;cfg_LastDataDate,NOT(ISNUMBER(Calc_Daily!$F14))),NA(),Calc_Daily!$F14)</f>
        <v/>
      </c>
      <c r="G14">
        <f>IF(OR($A14&gt;cfg_LastDataDate,NOT(ISNUMBER(Calc_Daily!$U14))),NA(),Calc_Daily!$U14)</f>
        <v/>
      </c>
      <c r="H14">
        <f>IF(OR($A14&gt;cfg_LastDataDate,NOT(ISNUMBER(Calc_Daily!$DZ14))),NA(),Calc_Daily!$DZ14)</f>
        <v/>
      </c>
      <c r="I14">
        <f>IF(OR($A14&gt;cfg_LastDataDate,NOT(ISNUMBER(Calc_Daily!$DT14))),NA(),Calc_Daily!$DT14)</f>
        <v/>
      </c>
      <c r="J14">
        <f>IF(OR($A14&gt;cfg_LastDataDate,NOT(ISNUMBER(Calc_Daily!$IP14))),NA(),Calc_Daily!$IP14)</f>
        <v/>
      </c>
      <c r="K14">
        <f>Calc_Daily!$KM14</f>
        <v/>
      </c>
    </row>
    <row r="15">
      <c r="A15" s="54">
        <f>Calc_Daily!$A15</f>
        <v/>
      </c>
      <c r="B15">
        <f>IF(OR($A15&gt;cfg_LastDataDate,NOT(ISNUMBER(Calc_Daily!$CU15))),NA(),Calc_Daily!$CU15)</f>
        <v/>
      </c>
      <c r="C15">
        <f>Calc_Daily!$JT15/Calc_Daily!$D15</f>
        <v/>
      </c>
      <c r="D15">
        <f>IF(OR($A15&gt;cfg_LastDataDate,NOT(ISNUMBER(Calc_Daily!$EJ15))),NA(),Calc_Daily!$EJ15)</f>
        <v/>
      </c>
      <c r="E15">
        <f>Calc_Daily!$KQ15</f>
        <v/>
      </c>
      <c r="F15">
        <f>IF(OR($A15&gt;cfg_LastDataDate,NOT(ISNUMBER(Calc_Daily!$F15))),NA(),Calc_Daily!$F15)</f>
        <v/>
      </c>
      <c r="G15">
        <f>IF(OR($A15&gt;cfg_LastDataDate,NOT(ISNUMBER(Calc_Daily!$U15))),NA(),Calc_Daily!$U15)</f>
        <v/>
      </c>
      <c r="H15">
        <f>IF(OR($A15&gt;cfg_LastDataDate,NOT(ISNUMBER(Calc_Daily!$DZ15))),NA(),Calc_Daily!$DZ15)</f>
        <v/>
      </c>
      <c r="I15">
        <f>IF(OR($A15&gt;cfg_LastDataDate,NOT(ISNUMBER(Calc_Daily!$DT15))),NA(),Calc_Daily!$DT15)</f>
        <v/>
      </c>
      <c r="J15">
        <f>IF(OR($A15&gt;cfg_LastDataDate,NOT(ISNUMBER(Calc_Daily!$IP15))),NA(),Calc_Daily!$IP15)</f>
        <v/>
      </c>
      <c r="K15">
        <f>Calc_Daily!$KM15</f>
        <v/>
      </c>
    </row>
    <row r="16">
      <c r="A16" s="54">
        <f>Calc_Daily!$A16</f>
        <v/>
      </c>
      <c r="B16">
        <f>IF(OR($A16&gt;cfg_LastDataDate,NOT(ISNUMBER(Calc_Daily!$CU16))),NA(),Calc_Daily!$CU16)</f>
        <v/>
      </c>
      <c r="C16">
        <f>Calc_Daily!$JT16/Calc_Daily!$D16</f>
        <v/>
      </c>
      <c r="D16">
        <f>IF(OR($A16&gt;cfg_LastDataDate,NOT(ISNUMBER(Calc_Daily!$EJ16))),NA(),Calc_Daily!$EJ16)</f>
        <v/>
      </c>
      <c r="E16">
        <f>Calc_Daily!$KQ16</f>
        <v/>
      </c>
      <c r="F16">
        <f>IF(OR($A16&gt;cfg_LastDataDate,NOT(ISNUMBER(Calc_Daily!$F16))),NA(),Calc_Daily!$F16)</f>
        <v/>
      </c>
      <c r="G16">
        <f>IF(OR($A16&gt;cfg_LastDataDate,NOT(ISNUMBER(Calc_Daily!$U16))),NA(),Calc_Daily!$U16)</f>
        <v/>
      </c>
      <c r="H16">
        <f>IF(OR($A16&gt;cfg_LastDataDate,NOT(ISNUMBER(Calc_Daily!$DZ16))),NA(),Calc_Daily!$DZ16)</f>
        <v/>
      </c>
      <c r="I16">
        <f>IF(OR($A16&gt;cfg_LastDataDate,NOT(ISNUMBER(Calc_Daily!$DT16))),NA(),Calc_Daily!$DT16)</f>
        <v/>
      </c>
      <c r="J16">
        <f>IF(OR($A16&gt;cfg_LastDataDate,NOT(ISNUMBER(Calc_Daily!$IP16))),NA(),Calc_Daily!$IP16)</f>
        <v/>
      </c>
      <c r="K16">
        <f>Calc_Daily!$KM16</f>
        <v/>
      </c>
    </row>
    <row r="17">
      <c r="A17" s="54">
        <f>Calc_Daily!$A17</f>
        <v/>
      </c>
      <c r="B17">
        <f>IF(OR($A17&gt;cfg_LastDataDate,NOT(ISNUMBER(Calc_Daily!$CU17))),NA(),Calc_Daily!$CU17)</f>
        <v/>
      </c>
      <c r="C17">
        <f>Calc_Daily!$JT17/Calc_Daily!$D17</f>
        <v/>
      </c>
      <c r="D17">
        <f>IF(OR($A17&gt;cfg_LastDataDate,NOT(ISNUMBER(Calc_Daily!$EJ17))),NA(),Calc_Daily!$EJ17)</f>
        <v/>
      </c>
      <c r="E17">
        <f>Calc_Daily!$KQ17</f>
        <v/>
      </c>
      <c r="F17">
        <f>IF(OR($A17&gt;cfg_LastDataDate,NOT(ISNUMBER(Calc_Daily!$F17))),NA(),Calc_Daily!$F17)</f>
        <v/>
      </c>
      <c r="G17">
        <f>IF(OR($A17&gt;cfg_LastDataDate,NOT(ISNUMBER(Calc_Daily!$U17))),NA(),Calc_Daily!$U17)</f>
        <v/>
      </c>
      <c r="H17">
        <f>IF(OR($A17&gt;cfg_LastDataDate,NOT(ISNUMBER(Calc_Daily!$DZ17))),NA(),Calc_Daily!$DZ17)</f>
        <v/>
      </c>
      <c r="I17">
        <f>IF(OR($A17&gt;cfg_LastDataDate,NOT(ISNUMBER(Calc_Daily!$DT17))),NA(),Calc_Daily!$DT17)</f>
        <v/>
      </c>
      <c r="J17">
        <f>IF(OR($A17&gt;cfg_LastDataDate,NOT(ISNUMBER(Calc_Daily!$IP17))),NA(),Calc_Daily!$IP17)</f>
        <v/>
      </c>
      <c r="K17">
        <f>Calc_Daily!$KM17</f>
        <v/>
      </c>
    </row>
    <row r="18">
      <c r="A18" s="54">
        <f>Calc_Daily!$A18</f>
        <v/>
      </c>
      <c r="B18">
        <f>IF(OR($A18&gt;cfg_LastDataDate,NOT(ISNUMBER(Calc_Daily!$CU18))),NA(),Calc_Daily!$CU18)</f>
        <v/>
      </c>
      <c r="C18">
        <f>Calc_Daily!$JT18/Calc_Daily!$D18</f>
        <v/>
      </c>
      <c r="D18">
        <f>IF(OR($A18&gt;cfg_LastDataDate,NOT(ISNUMBER(Calc_Daily!$EJ18))),NA(),Calc_Daily!$EJ18)</f>
        <v/>
      </c>
      <c r="E18">
        <f>Calc_Daily!$KQ18</f>
        <v/>
      </c>
      <c r="F18">
        <f>IF(OR($A18&gt;cfg_LastDataDate,NOT(ISNUMBER(Calc_Daily!$F18))),NA(),Calc_Daily!$F18)</f>
        <v/>
      </c>
      <c r="G18">
        <f>IF(OR($A18&gt;cfg_LastDataDate,NOT(ISNUMBER(Calc_Daily!$U18))),NA(),Calc_Daily!$U18)</f>
        <v/>
      </c>
      <c r="H18">
        <f>IF(OR($A18&gt;cfg_LastDataDate,NOT(ISNUMBER(Calc_Daily!$DZ18))),NA(),Calc_Daily!$DZ18)</f>
        <v/>
      </c>
      <c r="I18">
        <f>IF(OR($A18&gt;cfg_LastDataDate,NOT(ISNUMBER(Calc_Daily!$DT18))),NA(),Calc_Daily!$DT18)</f>
        <v/>
      </c>
      <c r="J18">
        <f>IF(OR($A18&gt;cfg_LastDataDate,NOT(ISNUMBER(Calc_Daily!$IP18))),NA(),Calc_Daily!$IP18)</f>
        <v/>
      </c>
      <c r="K18">
        <f>Calc_Daily!$KM18</f>
        <v/>
      </c>
    </row>
    <row r="19">
      <c r="A19" s="54">
        <f>Calc_Daily!$A19</f>
        <v/>
      </c>
      <c r="B19">
        <f>IF(OR($A19&gt;cfg_LastDataDate,NOT(ISNUMBER(Calc_Daily!$CU19))),NA(),Calc_Daily!$CU19)</f>
        <v/>
      </c>
      <c r="C19">
        <f>Calc_Daily!$JT19/Calc_Daily!$D19</f>
        <v/>
      </c>
      <c r="D19">
        <f>IF(OR($A19&gt;cfg_LastDataDate,NOT(ISNUMBER(Calc_Daily!$EJ19))),NA(),Calc_Daily!$EJ19)</f>
        <v/>
      </c>
      <c r="E19">
        <f>Calc_Daily!$KQ19</f>
        <v/>
      </c>
      <c r="F19">
        <f>IF(OR($A19&gt;cfg_LastDataDate,NOT(ISNUMBER(Calc_Daily!$F19))),NA(),Calc_Daily!$F19)</f>
        <v/>
      </c>
      <c r="G19">
        <f>IF(OR($A19&gt;cfg_LastDataDate,NOT(ISNUMBER(Calc_Daily!$U19))),NA(),Calc_Daily!$U19)</f>
        <v/>
      </c>
      <c r="H19">
        <f>IF(OR($A19&gt;cfg_LastDataDate,NOT(ISNUMBER(Calc_Daily!$DZ19))),NA(),Calc_Daily!$DZ19)</f>
        <v/>
      </c>
      <c r="I19">
        <f>IF(OR($A19&gt;cfg_LastDataDate,NOT(ISNUMBER(Calc_Daily!$DT19))),NA(),Calc_Daily!$DT19)</f>
        <v/>
      </c>
      <c r="J19">
        <f>IF(OR($A19&gt;cfg_LastDataDate,NOT(ISNUMBER(Calc_Daily!$IP19))),NA(),Calc_Daily!$IP19)</f>
        <v/>
      </c>
      <c r="K19">
        <f>Calc_Daily!$KM19</f>
        <v/>
      </c>
    </row>
    <row r="20">
      <c r="A20" s="54">
        <f>Calc_Daily!$A20</f>
        <v/>
      </c>
      <c r="B20">
        <f>IF(OR($A20&gt;cfg_LastDataDate,NOT(ISNUMBER(Calc_Daily!$CU20))),NA(),Calc_Daily!$CU20)</f>
        <v/>
      </c>
      <c r="C20">
        <f>Calc_Daily!$JT20/Calc_Daily!$D20</f>
        <v/>
      </c>
      <c r="D20">
        <f>IF(OR($A20&gt;cfg_LastDataDate,NOT(ISNUMBER(Calc_Daily!$EJ20))),NA(),Calc_Daily!$EJ20)</f>
        <v/>
      </c>
      <c r="E20">
        <f>Calc_Daily!$KQ20</f>
        <v/>
      </c>
      <c r="F20">
        <f>IF(OR($A20&gt;cfg_LastDataDate,NOT(ISNUMBER(Calc_Daily!$F20))),NA(),Calc_Daily!$F20)</f>
        <v/>
      </c>
      <c r="G20">
        <f>IF(OR($A20&gt;cfg_LastDataDate,NOT(ISNUMBER(Calc_Daily!$U20))),NA(),Calc_Daily!$U20)</f>
        <v/>
      </c>
      <c r="H20">
        <f>IF(OR($A20&gt;cfg_LastDataDate,NOT(ISNUMBER(Calc_Daily!$DZ20))),NA(),Calc_Daily!$DZ20)</f>
        <v/>
      </c>
      <c r="I20">
        <f>IF(OR($A20&gt;cfg_LastDataDate,NOT(ISNUMBER(Calc_Daily!$DT20))),NA(),Calc_Daily!$DT20)</f>
        <v/>
      </c>
      <c r="J20">
        <f>IF(OR($A20&gt;cfg_LastDataDate,NOT(ISNUMBER(Calc_Daily!$IP20))),NA(),Calc_Daily!$IP20)</f>
        <v/>
      </c>
      <c r="K20">
        <f>Calc_Daily!$KM20</f>
        <v/>
      </c>
    </row>
    <row r="21">
      <c r="A21" s="54">
        <f>Calc_Daily!$A21</f>
        <v/>
      </c>
      <c r="B21">
        <f>IF(OR($A21&gt;cfg_LastDataDate,NOT(ISNUMBER(Calc_Daily!$CU21))),NA(),Calc_Daily!$CU21)</f>
        <v/>
      </c>
      <c r="C21">
        <f>Calc_Daily!$JT21/Calc_Daily!$D21</f>
        <v/>
      </c>
      <c r="D21">
        <f>IF(OR($A21&gt;cfg_LastDataDate,NOT(ISNUMBER(Calc_Daily!$EJ21))),NA(),Calc_Daily!$EJ21)</f>
        <v/>
      </c>
      <c r="E21">
        <f>Calc_Daily!$KQ21</f>
        <v/>
      </c>
      <c r="F21">
        <f>IF(OR($A21&gt;cfg_LastDataDate,NOT(ISNUMBER(Calc_Daily!$F21))),NA(),Calc_Daily!$F21)</f>
        <v/>
      </c>
      <c r="G21">
        <f>IF(OR($A21&gt;cfg_LastDataDate,NOT(ISNUMBER(Calc_Daily!$U21))),NA(),Calc_Daily!$U21)</f>
        <v/>
      </c>
      <c r="H21">
        <f>IF(OR($A21&gt;cfg_LastDataDate,NOT(ISNUMBER(Calc_Daily!$DZ21))),NA(),Calc_Daily!$DZ21)</f>
        <v/>
      </c>
      <c r="I21">
        <f>IF(OR($A21&gt;cfg_LastDataDate,NOT(ISNUMBER(Calc_Daily!$DT21))),NA(),Calc_Daily!$DT21)</f>
        <v/>
      </c>
      <c r="J21">
        <f>IF(OR($A21&gt;cfg_LastDataDate,NOT(ISNUMBER(Calc_Daily!$IP21))),NA(),Calc_Daily!$IP21)</f>
        <v/>
      </c>
      <c r="K21">
        <f>Calc_Daily!$KM21</f>
        <v/>
      </c>
    </row>
    <row r="22">
      <c r="A22" s="54">
        <f>Calc_Daily!$A22</f>
        <v/>
      </c>
      <c r="B22">
        <f>IF(OR($A22&gt;cfg_LastDataDate,NOT(ISNUMBER(Calc_Daily!$CU22))),NA(),Calc_Daily!$CU22)</f>
        <v/>
      </c>
      <c r="C22">
        <f>Calc_Daily!$JT22/Calc_Daily!$D22</f>
        <v/>
      </c>
      <c r="D22">
        <f>IF(OR($A22&gt;cfg_LastDataDate,NOT(ISNUMBER(Calc_Daily!$EJ22))),NA(),Calc_Daily!$EJ22)</f>
        <v/>
      </c>
      <c r="E22">
        <f>Calc_Daily!$KQ22</f>
        <v/>
      </c>
      <c r="F22">
        <f>IF(OR($A22&gt;cfg_LastDataDate,NOT(ISNUMBER(Calc_Daily!$F22))),NA(),Calc_Daily!$F22)</f>
        <v/>
      </c>
      <c r="G22">
        <f>IF(OR($A22&gt;cfg_LastDataDate,NOT(ISNUMBER(Calc_Daily!$U22))),NA(),Calc_Daily!$U22)</f>
        <v/>
      </c>
      <c r="H22">
        <f>IF(OR($A22&gt;cfg_LastDataDate,NOT(ISNUMBER(Calc_Daily!$DZ22))),NA(),Calc_Daily!$DZ22)</f>
        <v/>
      </c>
      <c r="I22">
        <f>IF(OR($A22&gt;cfg_LastDataDate,NOT(ISNUMBER(Calc_Daily!$DT22))),NA(),Calc_Daily!$DT22)</f>
        <v/>
      </c>
      <c r="J22">
        <f>IF(OR($A22&gt;cfg_LastDataDate,NOT(ISNUMBER(Calc_Daily!$IP22))),NA(),Calc_Daily!$IP22)</f>
        <v/>
      </c>
      <c r="K22">
        <f>Calc_Daily!$KM22</f>
        <v/>
      </c>
    </row>
    <row r="23">
      <c r="A23" s="54">
        <f>Calc_Daily!$A23</f>
        <v/>
      </c>
      <c r="B23">
        <f>IF(OR($A23&gt;cfg_LastDataDate,NOT(ISNUMBER(Calc_Daily!$CU23))),NA(),Calc_Daily!$CU23)</f>
        <v/>
      </c>
      <c r="C23">
        <f>Calc_Daily!$JT23/Calc_Daily!$D23</f>
        <v/>
      </c>
      <c r="D23">
        <f>IF(OR($A23&gt;cfg_LastDataDate,NOT(ISNUMBER(Calc_Daily!$EJ23))),NA(),Calc_Daily!$EJ23)</f>
        <v/>
      </c>
      <c r="E23">
        <f>Calc_Daily!$KQ23</f>
        <v/>
      </c>
      <c r="F23">
        <f>IF(OR($A23&gt;cfg_LastDataDate,NOT(ISNUMBER(Calc_Daily!$F23))),NA(),Calc_Daily!$F23)</f>
        <v/>
      </c>
      <c r="G23">
        <f>IF(OR($A23&gt;cfg_LastDataDate,NOT(ISNUMBER(Calc_Daily!$U23))),NA(),Calc_Daily!$U23)</f>
        <v/>
      </c>
      <c r="H23">
        <f>IF(OR($A23&gt;cfg_LastDataDate,NOT(ISNUMBER(Calc_Daily!$DZ23))),NA(),Calc_Daily!$DZ23)</f>
        <v/>
      </c>
      <c r="I23">
        <f>IF(OR($A23&gt;cfg_LastDataDate,NOT(ISNUMBER(Calc_Daily!$DT23))),NA(),Calc_Daily!$DT23)</f>
        <v/>
      </c>
      <c r="J23">
        <f>IF(OR($A23&gt;cfg_LastDataDate,NOT(ISNUMBER(Calc_Daily!$IP23))),NA(),Calc_Daily!$IP23)</f>
        <v/>
      </c>
      <c r="K23">
        <f>Calc_Daily!$KM23</f>
        <v/>
      </c>
    </row>
    <row r="24">
      <c r="A24" s="54">
        <f>Calc_Daily!$A24</f>
        <v/>
      </c>
      <c r="B24">
        <f>IF(OR($A24&gt;cfg_LastDataDate,NOT(ISNUMBER(Calc_Daily!$CU24))),NA(),Calc_Daily!$CU24)</f>
        <v/>
      </c>
      <c r="C24">
        <f>Calc_Daily!$JT24/Calc_Daily!$D24</f>
        <v/>
      </c>
      <c r="D24">
        <f>IF(OR($A24&gt;cfg_LastDataDate,NOT(ISNUMBER(Calc_Daily!$EJ24))),NA(),Calc_Daily!$EJ24)</f>
        <v/>
      </c>
      <c r="E24">
        <f>Calc_Daily!$KQ24</f>
        <v/>
      </c>
      <c r="F24">
        <f>IF(OR($A24&gt;cfg_LastDataDate,NOT(ISNUMBER(Calc_Daily!$F24))),NA(),Calc_Daily!$F24)</f>
        <v/>
      </c>
      <c r="G24">
        <f>IF(OR($A24&gt;cfg_LastDataDate,NOT(ISNUMBER(Calc_Daily!$U24))),NA(),Calc_Daily!$U24)</f>
        <v/>
      </c>
      <c r="H24">
        <f>IF(OR($A24&gt;cfg_LastDataDate,NOT(ISNUMBER(Calc_Daily!$DZ24))),NA(),Calc_Daily!$DZ24)</f>
        <v/>
      </c>
      <c r="I24">
        <f>IF(OR($A24&gt;cfg_LastDataDate,NOT(ISNUMBER(Calc_Daily!$DT24))),NA(),Calc_Daily!$DT24)</f>
        <v/>
      </c>
      <c r="J24">
        <f>IF(OR($A24&gt;cfg_LastDataDate,NOT(ISNUMBER(Calc_Daily!$IP24))),NA(),Calc_Daily!$IP24)</f>
        <v/>
      </c>
      <c r="K24">
        <f>Calc_Daily!$KM24</f>
        <v/>
      </c>
    </row>
    <row r="25">
      <c r="A25" s="54">
        <f>Calc_Daily!$A25</f>
        <v/>
      </c>
      <c r="B25">
        <f>IF(OR($A25&gt;cfg_LastDataDate,NOT(ISNUMBER(Calc_Daily!$CU25))),NA(),Calc_Daily!$CU25)</f>
        <v/>
      </c>
      <c r="C25">
        <f>Calc_Daily!$JT25/Calc_Daily!$D25</f>
        <v/>
      </c>
      <c r="D25">
        <f>IF(OR($A25&gt;cfg_LastDataDate,NOT(ISNUMBER(Calc_Daily!$EJ25))),NA(),Calc_Daily!$EJ25)</f>
        <v/>
      </c>
      <c r="E25">
        <f>Calc_Daily!$KQ25</f>
        <v/>
      </c>
      <c r="F25">
        <f>IF(OR($A25&gt;cfg_LastDataDate,NOT(ISNUMBER(Calc_Daily!$F25))),NA(),Calc_Daily!$F25)</f>
        <v/>
      </c>
      <c r="G25">
        <f>IF(OR($A25&gt;cfg_LastDataDate,NOT(ISNUMBER(Calc_Daily!$U25))),NA(),Calc_Daily!$U25)</f>
        <v/>
      </c>
      <c r="H25">
        <f>IF(OR($A25&gt;cfg_LastDataDate,NOT(ISNUMBER(Calc_Daily!$DZ25))),NA(),Calc_Daily!$DZ25)</f>
        <v/>
      </c>
      <c r="I25">
        <f>IF(OR($A25&gt;cfg_LastDataDate,NOT(ISNUMBER(Calc_Daily!$DT25))),NA(),Calc_Daily!$DT25)</f>
        <v/>
      </c>
      <c r="J25">
        <f>IF(OR($A25&gt;cfg_LastDataDate,NOT(ISNUMBER(Calc_Daily!$IP25))),NA(),Calc_Daily!$IP25)</f>
        <v/>
      </c>
      <c r="K25">
        <f>Calc_Daily!$KM25</f>
        <v/>
      </c>
    </row>
    <row r="26">
      <c r="A26" s="54">
        <f>Calc_Daily!$A26</f>
        <v/>
      </c>
      <c r="B26">
        <f>IF(OR($A26&gt;cfg_LastDataDate,NOT(ISNUMBER(Calc_Daily!$CU26))),NA(),Calc_Daily!$CU26)</f>
        <v/>
      </c>
      <c r="C26">
        <f>Calc_Daily!$JT26/Calc_Daily!$D26</f>
        <v/>
      </c>
      <c r="D26">
        <f>IF(OR($A26&gt;cfg_LastDataDate,NOT(ISNUMBER(Calc_Daily!$EJ26))),NA(),Calc_Daily!$EJ26)</f>
        <v/>
      </c>
      <c r="E26">
        <f>Calc_Daily!$KQ26</f>
        <v/>
      </c>
      <c r="F26">
        <f>IF(OR($A26&gt;cfg_LastDataDate,NOT(ISNUMBER(Calc_Daily!$F26))),NA(),Calc_Daily!$F26)</f>
        <v/>
      </c>
      <c r="G26">
        <f>IF(OR($A26&gt;cfg_LastDataDate,NOT(ISNUMBER(Calc_Daily!$U26))),NA(),Calc_Daily!$U26)</f>
        <v/>
      </c>
      <c r="H26">
        <f>IF(OR($A26&gt;cfg_LastDataDate,NOT(ISNUMBER(Calc_Daily!$DZ26))),NA(),Calc_Daily!$DZ26)</f>
        <v/>
      </c>
      <c r="I26">
        <f>IF(OR($A26&gt;cfg_LastDataDate,NOT(ISNUMBER(Calc_Daily!$DT26))),NA(),Calc_Daily!$DT26)</f>
        <v/>
      </c>
      <c r="J26">
        <f>IF(OR($A26&gt;cfg_LastDataDate,NOT(ISNUMBER(Calc_Daily!$IP26))),NA(),Calc_Daily!$IP26)</f>
        <v/>
      </c>
      <c r="K26">
        <f>Calc_Daily!$KM26</f>
        <v/>
      </c>
    </row>
    <row r="27">
      <c r="A27" s="54">
        <f>Calc_Daily!$A27</f>
        <v/>
      </c>
      <c r="B27">
        <f>IF(OR($A27&gt;cfg_LastDataDate,NOT(ISNUMBER(Calc_Daily!$CU27))),NA(),Calc_Daily!$CU27)</f>
        <v/>
      </c>
      <c r="C27">
        <f>Calc_Daily!$JT27/Calc_Daily!$D27</f>
        <v/>
      </c>
      <c r="D27">
        <f>IF(OR($A27&gt;cfg_LastDataDate,NOT(ISNUMBER(Calc_Daily!$EJ27))),NA(),Calc_Daily!$EJ27)</f>
        <v/>
      </c>
      <c r="E27">
        <f>Calc_Daily!$KQ27</f>
        <v/>
      </c>
      <c r="F27">
        <f>IF(OR($A27&gt;cfg_LastDataDate,NOT(ISNUMBER(Calc_Daily!$F27))),NA(),Calc_Daily!$F27)</f>
        <v/>
      </c>
      <c r="G27">
        <f>IF(OR($A27&gt;cfg_LastDataDate,NOT(ISNUMBER(Calc_Daily!$U27))),NA(),Calc_Daily!$U27)</f>
        <v/>
      </c>
      <c r="H27">
        <f>IF(OR($A27&gt;cfg_LastDataDate,NOT(ISNUMBER(Calc_Daily!$DZ27))),NA(),Calc_Daily!$DZ27)</f>
        <v/>
      </c>
      <c r="I27">
        <f>IF(OR($A27&gt;cfg_LastDataDate,NOT(ISNUMBER(Calc_Daily!$DT27))),NA(),Calc_Daily!$DT27)</f>
        <v/>
      </c>
      <c r="J27">
        <f>IF(OR($A27&gt;cfg_LastDataDate,NOT(ISNUMBER(Calc_Daily!$IP27))),NA(),Calc_Daily!$IP27)</f>
        <v/>
      </c>
      <c r="K27">
        <f>Calc_Daily!$KM27</f>
        <v/>
      </c>
    </row>
    <row r="28">
      <c r="A28" s="54">
        <f>Calc_Daily!$A28</f>
        <v/>
      </c>
      <c r="B28">
        <f>IF(OR($A28&gt;cfg_LastDataDate,NOT(ISNUMBER(Calc_Daily!$CU28))),NA(),Calc_Daily!$CU28)</f>
        <v/>
      </c>
      <c r="C28">
        <f>Calc_Daily!$JT28/Calc_Daily!$D28</f>
        <v/>
      </c>
      <c r="D28">
        <f>IF(OR($A28&gt;cfg_LastDataDate,NOT(ISNUMBER(Calc_Daily!$EJ28))),NA(),Calc_Daily!$EJ28)</f>
        <v/>
      </c>
      <c r="E28">
        <f>Calc_Daily!$KQ28</f>
        <v/>
      </c>
      <c r="F28">
        <f>IF(OR($A28&gt;cfg_LastDataDate,NOT(ISNUMBER(Calc_Daily!$F28))),NA(),Calc_Daily!$F28)</f>
        <v/>
      </c>
      <c r="G28">
        <f>IF(OR($A28&gt;cfg_LastDataDate,NOT(ISNUMBER(Calc_Daily!$U28))),NA(),Calc_Daily!$U28)</f>
        <v/>
      </c>
      <c r="H28">
        <f>IF(OR($A28&gt;cfg_LastDataDate,NOT(ISNUMBER(Calc_Daily!$DZ28))),NA(),Calc_Daily!$DZ28)</f>
        <v/>
      </c>
      <c r="I28">
        <f>IF(OR($A28&gt;cfg_LastDataDate,NOT(ISNUMBER(Calc_Daily!$DT28))),NA(),Calc_Daily!$DT28)</f>
        <v/>
      </c>
      <c r="J28">
        <f>IF(OR($A28&gt;cfg_LastDataDate,NOT(ISNUMBER(Calc_Daily!$IP28))),NA(),Calc_Daily!$IP28)</f>
        <v/>
      </c>
      <c r="K28">
        <f>Calc_Daily!$KM28</f>
        <v/>
      </c>
    </row>
    <row r="29">
      <c r="A29" s="54">
        <f>Calc_Daily!$A29</f>
        <v/>
      </c>
      <c r="B29">
        <f>IF(OR($A29&gt;cfg_LastDataDate,NOT(ISNUMBER(Calc_Daily!$CU29))),NA(),Calc_Daily!$CU29)</f>
        <v/>
      </c>
      <c r="C29">
        <f>Calc_Daily!$JT29/Calc_Daily!$D29</f>
        <v/>
      </c>
      <c r="D29">
        <f>IF(OR($A29&gt;cfg_LastDataDate,NOT(ISNUMBER(Calc_Daily!$EJ29))),NA(),Calc_Daily!$EJ29)</f>
        <v/>
      </c>
      <c r="E29">
        <f>Calc_Daily!$KQ29</f>
        <v/>
      </c>
      <c r="F29">
        <f>IF(OR($A29&gt;cfg_LastDataDate,NOT(ISNUMBER(Calc_Daily!$F29))),NA(),Calc_Daily!$F29)</f>
        <v/>
      </c>
      <c r="G29">
        <f>IF(OR($A29&gt;cfg_LastDataDate,NOT(ISNUMBER(Calc_Daily!$U29))),NA(),Calc_Daily!$U29)</f>
        <v/>
      </c>
      <c r="H29">
        <f>IF(OR($A29&gt;cfg_LastDataDate,NOT(ISNUMBER(Calc_Daily!$DZ29))),NA(),Calc_Daily!$DZ29)</f>
        <v/>
      </c>
      <c r="I29">
        <f>IF(OR($A29&gt;cfg_LastDataDate,NOT(ISNUMBER(Calc_Daily!$DT29))),NA(),Calc_Daily!$DT29)</f>
        <v/>
      </c>
      <c r="J29">
        <f>IF(OR($A29&gt;cfg_LastDataDate,NOT(ISNUMBER(Calc_Daily!$IP29))),NA(),Calc_Daily!$IP29)</f>
        <v/>
      </c>
      <c r="K29">
        <f>Calc_Daily!$KM29</f>
        <v/>
      </c>
    </row>
    <row r="30">
      <c r="A30" s="54">
        <f>Calc_Daily!$A30</f>
        <v/>
      </c>
      <c r="B30">
        <f>IF(OR($A30&gt;cfg_LastDataDate,NOT(ISNUMBER(Calc_Daily!$CU30))),NA(),Calc_Daily!$CU30)</f>
        <v/>
      </c>
      <c r="C30">
        <f>Calc_Daily!$JT30/Calc_Daily!$D30</f>
        <v/>
      </c>
      <c r="D30">
        <f>IF(OR($A30&gt;cfg_LastDataDate,NOT(ISNUMBER(Calc_Daily!$EJ30))),NA(),Calc_Daily!$EJ30)</f>
        <v/>
      </c>
      <c r="E30">
        <f>Calc_Daily!$KQ30</f>
        <v/>
      </c>
      <c r="F30">
        <f>IF(OR($A30&gt;cfg_LastDataDate,NOT(ISNUMBER(Calc_Daily!$F30))),NA(),Calc_Daily!$F30)</f>
        <v/>
      </c>
      <c r="G30">
        <f>IF(OR($A30&gt;cfg_LastDataDate,NOT(ISNUMBER(Calc_Daily!$U30))),NA(),Calc_Daily!$U30)</f>
        <v/>
      </c>
      <c r="H30">
        <f>IF(OR($A30&gt;cfg_LastDataDate,NOT(ISNUMBER(Calc_Daily!$DZ30))),NA(),Calc_Daily!$DZ30)</f>
        <v/>
      </c>
      <c r="I30">
        <f>IF(OR($A30&gt;cfg_LastDataDate,NOT(ISNUMBER(Calc_Daily!$DT30))),NA(),Calc_Daily!$DT30)</f>
        <v/>
      </c>
      <c r="J30">
        <f>IF(OR($A30&gt;cfg_LastDataDate,NOT(ISNUMBER(Calc_Daily!$IP30))),NA(),Calc_Daily!$IP30)</f>
        <v/>
      </c>
      <c r="K30">
        <f>Calc_Daily!$KM30</f>
        <v/>
      </c>
    </row>
    <row r="31">
      <c r="A31" s="54">
        <f>Calc_Daily!$A31</f>
        <v/>
      </c>
      <c r="B31">
        <f>IF(OR($A31&gt;cfg_LastDataDate,NOT(ISNUMBER(Calc_Daily!$CU31))),NA(),Calc_Daily!$CU31)</f>
        <v/>
      </c>
      <c r="C31">
        <f>Calc_Daily!$JT31/Calc_Daily!$D31</f>
        <v/>
      </c>
      <c r="D31">
        <f>IF(OR($A31&gt;cfg_LastDataDate,NOT(ISNUMBER(Calc_Daily!$EJ31))),NA(),Calc_Daily!$EJ31)</f>
        <v/>
      </c>
      <c r="E31">
        <f>Calc_Daily!$KQ31</f>
        <v/>
      </c>
      <c r="F31">
        <f>IF(OR($A31&gt;cfg_LastDataDate,NOT(ISNUMBER(Calc_Daily!$F31))),NA(),Calc_Daily!$F31)</f>
        <v/>
      </c>
      <c r="G31">
        <f>IF(OR($A31&gt;cfg_LastDataDate,NOT(ISNUMBER(Calc_Daily!$U31))),NA(),Calc_Daily!$U31)</f>
        <v/>
      </c>
      <c r="H31">
        <f>IF(OR($A31&gt;cfg_LastDataDate,NOT(ISNUMBER(Calc_Daily!$DZ31))),NA(),Calc_Daily!$DZ31)</f>
        <v/>
      </c>
      <c r="I31">
        <f>IF(OR($A31&gt;cfg_LastDataDate,NOT(ISNUMBER(Calc_Daily!$DT31))),NA(),Calc_Daily!$DT31)</f>
        <v/>
      </c>
      <c r="J31">
        <f>IF(OR($A31&gt;cfg_LastDataDate,NOT(ISNUMBER(Calc_Daily!$IP31))),NA(),Calc_Daily!$IP31)</f>
        <v/>
      </c>
      <c r="K31">
        <f>Calc_Daily!$KM31</f>
        <v/>
      </c>
    </row>
    <row r="32">
      <c r="A32" s="54">
        <f>Calc_Daily!$A32</f>
        <v/>
      </c>
      <c r="B32">
        <f>IF(OR($A32&gt;cfg_LastDataDate,NOT(ISNUMBER(Calc_Daily!$CU32))),NA(),Calc_Daily!$CU32)</f>
        <v/>
      </c>
      <c r="C32">
        <f>Calc_Daily!$JT32/Calc_Daily!$D32</f>
        <v/>
      </c>
      <c r="D32">
        <f>IF(OR($A32&gt;cfg_LastDataDate,NOT(ISNUMBER(Calc_Daily!$EJ32))),NA(),Calc_Daily!$EJ32)</f>
        <v/>
      </c>
      <c r="E32">
        <f>Calc_Daily!$KQ32</f>
        <v/>
      </c>
      <c r="F32">
        <f>IF(OR($A32&gt;cfg_LastDataDate,NOT(ISNUMBER(Calc_Daily!$F32))),NA(),Calc_Daily!$F32)</f>
        <v/>
      </c>
      <c r="G32">
        <f>IF(OR($A32&gt;cfg_LastDataDate,NOT(ISNUMBER(Calc_Daily!$U32))),NA(),Calc_Daily!$U32)</f>
        <v/>
      </c>
      <c r="H32">
        <f>IF(OR($A32&gt;cfg_LastDataDate,NOT(ISNUMBER(Calc_Daily!$DZ32))),NA(),Calc_Daily!$DZ32)</f>
        <v/>
      </c>
      <c r="I32">
        <f>IF(OR($A32&gt;cfg_LastDataDate,NOT(ISNUMBER(Calc_Daily!$DT32))),NA(),Calc_Daily!$DT32)</f>
        <v/>
      </c>
      <c r="J32">
        <f>IF(OR($A32&gt;cfg_LastDataDate,NOT(ISNUMBER(Calc_Daily!$IP32))),NA(),Calc_Daily!$IP32)</f>
        <v/>
      </c>
      <c r="K32">
        <f>Calc_Daily!$KM32</f>
        <v/>
      </c>
    </row>
    <row r="33">
      <c r="A33" s="54">
        <f>Calc_Daily!$A33</f>
        <v/>
      </c>
      <c r="B33">
        <f>IF(OR($A33&gt;cfg_LastDataDate,NOT(ISNUMBER(Calc_Daily!$CU33))),NA(),Calc_Daily!$CU33)</f>
        <v/>
      </c>
      <c r="C33">
        <f>Calc_Daily!$JT33/Calc_Daily!$D33</f>
        <v/>
      </c>
      <c r="D33">
        <f>IF(OR($A33&gt;cfg_LastDataDate,NOT(ISNUMBER(Calc_Daily!$EJ33))),NA(),Calc_Daily!$EJ33)</f>
        <v/>
      </c>
      <c r="E33">
        <f>Calc_Daily!$KQ33</f>
        <v/>
      </c>
      <c r="F33">
        <f>IF(OR($A33&gt;cfg_LastDataDate,NOT(ISNUMBER(Calc_Daily!$F33))),NA(),Calc_Daily!$F33)</f>
        <v/>
      </c>
      <c r="G33">
        <f>IF(OR($A33&gt;cfg_LastDataDate,NOT(ISNUMBER(Calc_Daily!$U33))),NA(),Calc_Daily!$U33)</f>
        <v/>
      </c>
      <c r="H33">
        <f>IF(OR($A33&gt;cfg_LastDataDate,NOT(ISNUMBER(Calc_Daily!$DZ33))),NA(),Calc_Daily!$DZ33)</f>
        <v/>
      </c>
      <c r="I33">
        <f>IF(OR($A33&gt;cfg_LastDataDate,NOT(ISNUMBER(Calc_Daily!$DT33))),NA(),Calc_Daily!$DT33)</f>
        <v/>
      </c>
      <c r="J33">
        <f>IF(OR($A33&gt;cfg_LastDataDate,NOT(ISNUMBER(Calc_Daily!$IP33))),NA(),Calc_Daily!$IP33)</f>
        <v/>
      </c>
      <c r="K33">
        <f>Calc_Daily!$KM33</f>
        <v/>
      </c>
    </row>
    <row r="34">
      <c r="A34" s="54">
        <f>Calc_Daily!$A34</f>
        <v/>
      </c>
      <c r="B34">
        <f>IF(OR($A34&gt;cfg_LastDataDate,NOT(ISNUMBER(Calc_Daily!$CU34))),NA(),Calc_Daily!$CU34)</f>
        <v/>
      </c>
      <c r="C34">
        <f>Calc_Daily!$JT34/Calc_Daily!$D34</f>
        <v/>
      </c>
      <c r="D34">
        <f>IF(OR($A34&gt;cfg_LastDataDate,NOT(ISNUMBER(Calc_Daily!$EJ34))),NA(),Calc_Daily!$EJ34)</f>
        <v/>
      </c>
      <c r="E34">
        <f>Calc_Daily!$KQ34</f>
        <v/>
      </c>
      <c r="F34">
        <f>IF(OR($A34&gt;cfg_LastDataDate,NOT(ISNUMBER(Calc_Daily!$F34))),NA(),Calc_Daily!$F34)</f>
        <v/>
      </c>
      <c r="G34">
        <f>IF(OR($A34&gt;cfg_LastDataDate,NOT(ISNUMBER(Calc_Daily!$U34))),NA(),Calc_Daily!$U34)</f>
        <v/>
      </c>
      <c r="H34">
        <f>IF(OR($A34&gt;cfg_LastDataDate,NOT(ISNUMBER(Calc_Daily!$DZ34))),NA(),Calc_Daily!$DZ34)</f>
        <v/>
      </c>
      <c r="I34">
        <f>IF(OR($A34&gt;cfg_LastDataDate,NOT(ISNUMBER(Calc_Daily!$DT34))),NA(),Calc_Daily!$DT34)</f>
        <v/>
      </c>
      <c r="J34">
        <f>IF(OR($A34&gt;cfg_LastDataDate,NOT(ISNUMBER(Calc_Daily!$IP34))),NA(),Calc_Daily!$IP34)</f>
        <v/>
      </c>
      <c r="K34">
        <f>Calc_Daily!$KM34</f>
        <v/>
      </c>
    </row>
    <row r="35">
      <c r="A35" s="54">
        <f>Calc_Daily!$A35</f>
        <v/>
      </c>
      <c r="B35">
        <f>IF(OR($A35&gt;cfg_LastDataDate,NOT(ISNUMBER(Calc_Daily!$CU35))),NA(),Calc_Daily!$CU35)</f>
        <v/>
      </c>
      <c r="C35">
        <f>Calc_Daily!$JT35/Calc_Daily!$D35</f>
        <v/>
      </c>
      <c r="D35">
        <f>IF(OR($A35&gt;cfg_LastDataDate,NOT(ISNUMBER(Calc_Daily!$EJ35))),NA(),Calc_Daily!$EJ35)</f>
        <v/>
      </c>
      <c r="E35">
        <f>Calc_Daily!$KQ35</f>
        <v/>
      </c>
      <c r="F35">
        <f>IF(OR($A35&gt;cfg_LastDataDate,NOT(ISNUMBER(Calc_Daily!$F35))),NA(),Calc_Daily!$F35)</f>
        <v/>
      </c>
      <c r="G35">
        <f>IF(OR($A35&gt;cfg_LastDataDate,NOT(ISNUMBER(Calc_Daily!$U35))),NA(),Calc_Daily!$U35)</f>
        <v/>
      </c>
      <c r="H35">
        <f>IF(OR($A35&gt;cfg_LastDataDate,NOT(ISNUMBER(Calc_Daily!$DZ35))),NA(),Calc_Daily!$DZ35)</f>
        <v/>
      </c>
      <c r="I35">
        <f>IF(OR($A35&gt;cfg_LastDataDate,NOT(ISNUMBER(Calc_Daily!$DT35))),NA(),Calc_Daily!$DT35)</f>
        <v/>
      </c>
      <c r="J35">
        <f>IF(OR($A35&gt;cfg_LastDataDate,NOT(ISNUMBER(Calc_Daily!$IP35))),NA(),Calc_Daily!$IP35)</f>
        <v/>
      </c>
      <c r="K35">
        <f>Calc_Daily!$KM35</f>
        <v/>
      </c>
    </row>
    <row r="36">
      <c r="A36" s="54">
        <f>Calc_Daily!$A36</f>
        <v/>
      </c>
      <c r="B36">
        <f>IF(OR($A36&gt;cfg_LastDataDate,NOT(ISNUMBER(Calc_Daily!$CU36))),NA(),Calc_Daily!$CU36)</f>
        <v/>
      </c>
      <c r="C36">
        <f>Calc_Daily!$JT36/Calc_Daily!$D36</f>
        <v/>
      </c>
      <c r="D36">
        <f>IF(OR($A36&gt;cfg_LastDataDate,NOT(ISNUMBER(Calc_Daily!$EJ36))),NA(),Calc_Daily!$EJ36)</f>
        <v/>
      </c>
      <c r="E36">
        <f>Calc_Daily!$KQ36</f>
        <v/>
      </c>
      <c r="F36">
        <f>IF(OR($A36&gt;cfg_LastDataDate,NOT(ISNUMBER(Calc_Daily!$F36))),NA(),Calc_Daily!$F36)</f>
        <v/>
      </c>
      <c r="G36">
        <f>IF(OR($A36&gt;cfg_LastDataDate,NOT(ISNUMBER(Calc_Daily!$U36))),NA(),Calc_Daily!$U36)</f>
        <v/>
      </c>
      <c r="H36">
        <f>IF(OR($A36&gt;cfg_LastDataDate,NOT(ISNUMBER(Calc_Daily!$DZ36))),NA(),Calc_Daily!$DZ36)</f>
        <v/>
      </c>
      <c r="I36">
        <f>IF(OR($A36&gt;cfg_LastDataDate,NOT(ISNUMBER(Calc_Daily!$DT36))),NA(),Calc_Daily!$DT36)</f>
        <v/>
      </c>
      <c r="J36">
        <f>IF(OR($A36&gt;cfg_LastDataDate,NOT(ISNUMBER(Calc_Daily!$IP36))),NA(),Calc_Daily!$IP36)</f>
        <v/>
      </c>
      <c r="K36">
        <f>Calc_Daily!$KM36</f>
        <v/>
      </c>
    </row>
    <row r="37">
      <c r="A37" s="54">
        <f>Calc_Daily!$A37</f>
        <v/>
      </c>
      <c r="B37">
        <f>IF(OR($A37&gt;cfg_LastDataDate,NOT(ISNUMBER(Calc_Daily!$CU37))),NA(),Calc_Daily!$CU37)</f>
        <v/>
      </c>
      <c r="C37">
        <f>Calc_Daily!$JT37/Calc_Daily!$D37</f>
        <v/>
      </c>
      <c r="D37">
        <f>IF(OR($A37&gt;cfg_LastDataDate,NOT(ISNUMBER(Calc_Daily!$EJ37))),NA(),Calc_Daily!$EJ37)</f>
        <v/>
      </c>
      <c r="E37">
        <f>Calc_Daily!$KQ37</f>
        <v/>
      </c>
      <c r="F37">
        <f>IF(OR($A37&gt;cfg_LastDataDate,NOT(ISNUMBER(Calc_Daily!$F37))),NA(),Calc_Daily!$F37)</f>
        <v/>
      </c>
      <c r="G37">
        <f>IF(OR($A37&gt;cfg_LastDataDate,NOT(ISNUMBER(Calc_Daily!$U37))),NA(),Calc_Daily!$U37)</f>
        <v/>
      </c>
      <c r="H37">
        <f>IF(OR($A37&gt;cfg_LastDataDate,NOT(ISNUMBER(Calc_Daily!$DZ37))),NA(),Calc_Daily!$DZ37)</f>
        <v/>
      </c>
      <c r="I37">
        <f>IF(OR($A37&gt;cfg_LastDataDate,NOT(ISNUMBER(Calc_Daily!$DT37))),NA(),Calc_Daily!$DT37)</f>
        <v/>
      </c>
      <c r="J37">
        <f>IF(OR($A37&gt;cfg_LastDataDate,NOT(ISNUMBER(Calc_Daily!$IP37))),NA(),Calc_Daily!$IP37)</f>
        <v/>
      </c>
      <c r="K37">
        <f>Calc_Daily!$KM37</f>
        <v/>
      </c>
    </row>
    <row r="38">
      <c r="A38" s="54">
        <f>Calc_Daily!$A38</f>
        <v/>
      </c>
      <c r="B38">
        <f>IF(OR($A38&gt;cfg_LastDataDate,NOT(ISNUMBER(Calc_Daily!$CU38))),NA(),Calc_Daily!$CU38)</f>
        <v/>
      </c>
      <c r="C38">
        <f>Calc_Daily!$JT38/Calc_Daily!$D38</f>
        <v/>
      </c>
      <c r="D38">
        <f>IF(OR($A38&gt;cfg_LastDataDate,NOT(ISNUMBER(Calc_Daily!$EJ38))),NA(),Calc_Daily!$EJ38)</f>
        <v/>
      </c>
      <c r="E38">
        <f>Calc_Daily!$KQ38</f>
        <v/>
      </c>
      <c r="F38">
        <f>IF(OR($A38&gt;cfg_LastDataDate,NOT(ISNUMBER(Calc_Daily!$F38))),NA(),Calc_Daily!$F38)</f>
        <v/>
      </c>
      <c r="G38">
        <f>IF(OR($A38&gt;cfg_LastDataDate,NOT(ISNUMBER(Calc_Daily!$U38))),NA(),Calc_Daily!$U38)</f>
        <v/>
      </c>
      <c r="H38">
        <f>IF(OR($A38&gt;cfg_LastDataDate,NOT(ISNUMBER(Calc_Daily!$DZ38))),NA(),Calc_Daily!$DZ38)</f>
        <v/>
      </c>
      <c r="I38">
        <f>IF(OR($A38&gt;cfg_LastDataDate,NOT(ISNUMBER(Calc_Daily!$DT38))),NA(),Calc_Daily!$DT38)</f>
        <v/>
      </c>
      <c r="J38">
        <f>IF(OR($A38&gt;cfg_LastDataDate,NOT(ISNUMBER(Calc_Daily!$IP38))),NA(),Calc_Daily!$IP38)</f>
        <v/>
      </c>
      <c r="K38">
        <f>Calc_Daily!$KM38</f>
        <v/>
      </c>
    </row>
    <row r="39">
      <c r="A39" s="54">
        <f>Calc_Daily!$A39</f>
        <v/>
      </c>
      <c r="B39">
        <f>IF(OR($A39&gt;cfg_LastDataDate,NOT(ISNUMBER(Calc_Daily!$CU39))),NA(),Calc_Daily!$CU39)</f>
        <v/>
      </c>
      <c r="C39">
        <f>Calc_Daily!$JT39/Calc_Daily!$D39</f>
        <v/>
      </c>
      <c r="D39">
        <f>IF(OR($A39&gt;cfg_LastDataDate,NOT(ISNUMBER(Calc_Daily!$EJ39))),NA(),Calc_Daily!$EJ39)</f>
        <v/>
      </c>
      <c r="E39">
        <f>Calc_Daily!$KQ39</f>
        <v/>
      </c>
      <c r="F39">
        <f>IF(OR($A39&gt;cfg_LastDataDate,NOT(ISNUMBER(Calc_Daily!$F39))),NA(),Calc_Daily!$F39)</f>
        <v/>
      </c>
      <c r="G39">
        <f>IF(OR($A39&gt;cfg_LastDataDate,NOT(ISNUMBER(Calc_Daily!$U39))),NA(),Calc_Daily!$U39)</f>
        <v/>
      </c>
      <c r="H39">
        <f>IF(OR($A39&gt;cfg_LastDataDate,NOT(ISNUMBER(Calc_Daily!$DZ39))),NA(),Calc_Daily!$DZ39)</f>
        <v/>
      </c>
      <c r="I39">
        <f>IF(OR($A39&gt;cfg_LastDataDate,NOT(ISNUMBER(Calc_Daily!$DT39))),NA(),Calc_Daily!$DT39)</f>
        <v/>
      </c>
      <c r="J39">
        <f>IF(OR($A39&gt;cfg_LastDataDate,NOT(ISNUMBER(Calc_Daily!$IP39))),NA(),Calc_Daily!$IP39)</f>
        <v/>
      </c>
      <c r="K39">
        <f>Calc_Daily!$KM39</f>
        <v/>
      </c>
    </row>
    <row r="40">
      <c r="A40" s="54">
        <f>Calc_Daily!$A40</f>
        <v/>
      </c>
      <c r="B40">
        <f>IF(OR($A40&gt;cfg_LastDataDate,NOT(ISNUMBER(Calc_Daily!$CU40))),NA(),Calc_Daily!$CU40)</f>
        <v/>
      </c>
      <c r="C40">
        <f>Calc_Daily!$JT40/Calc_Daily!$D40</f>
        <v/>
      </c>
      <c r="D40">
        <f>IF(OR($A40&gt;cfg_LastDataDate,NOT(ISNUMBER(Calc_Daily!$EJ40))),NA(),Calc_Daily!$EJ40)</f>
        <v/>
      </c>
      <c r="E40">
        <f>Calc_Daily!$KQ40</f>
        <v/>
      </c>
      <c r="F40">
        <f>IF(OR($A40&gt;cfg_LastDataDate,NOT(ISNUMBER(Calc_Daily!$F40))),NA(),Calc_Daily!$F40)</f>
        <v/>
      </c>
      <c r="G40">
        <f>IF(OR($A40&gt;cfg_LastDataDate,NOT(ISNUMBER(Calc_Daily!$U40))),NA(),Calc_Daily!$U40)</f>
        <v/>
      </c>
      <c r="H40">
        <f>IF(OR($A40&gt;cfg_LastDataDate,NOT(ISNUMBER(Calc_Daily!$DZ40))),NA(),Calc_Daily!$DZ40)</f>
        <v/>
      </c>
      <c r="I40">
        <f>IF(OR($A40&gt;cfg_LastDataDate,NOT(ISNUMBER(Calc_Daily!$DT40))),NA(),Calc_Daily!$DT40)</f>
        <v/>
      </c>
      <c r="J40">
        <f>IF(OR($A40&gt;cfg_LastDataDate,NOT(ISNUMBER(Calc_Daily!$IP40))),NA(),Calc_Daily!$IP40)</f>
        <v/>
      </c>
      <c r="K40">
        <f>Calc_Daily!$KM40</f>
        <v/>
      </c>
    </row>
    <row r="41">
      <c r="A41" s="54">
        <f>Calc_Daily!$A41</f>
        <v/>
      </c>
      <c r="B41">
        <f>IF(OR($A41&gt;cfg_LastDataDate,NOT(ISNUMBER(Calc_Daily!$CU41))),NA(),Calc_Daily!$CU41)</f>
        <v/>
      </c>
      <c r="C41">
        <f>Calc_Daily!$JT41/Calc_Daily!$D41</f>
        <v/>
      </c>
      <c r="D41">
        <f>IF(OR($A41&gt;cfg_LastDataDate,NOT(ISNUMBER(Calc_Daily!$EJ41))),NA(),Calc_Daily!$EJ41)</f>
        <v/>
      </c>
      <c r="E41">
        <f>Calc_Daily!$KQ41</f>
        <v/>
      </c>
      <c r="F41">
        <f>IF(OR($A41&gt;cfg_LastDataDate,NOT(ISNUMBER(Calc_Daily!$F41))),NA(),Calc_Daily!$F41)</f>
        <v/>
      </c>
      <c r="G41">
        <f>IF(OR($A41&gt;cfg_LastDataDate,NOT(ISNUMBER(Calc_Daily!$U41))),NA(),Calc_Daily!$U41)</f>
        <v/>
      </c>
      <c r="H41">
        <f>IF(OR($A41&gt;cfg_LastDataDate,NOT(ISNUMBER(Calc_Daily!$DZ41))),NA(),Calc_Daily!$DZ41)</f>
        <v/>
      </c>
      <c r="I41">
        <f>IF(OR($A41&gt;cfg_LastDataDate,NOT(ISNUMBER(Calc_Daily!$DT41))),NA(),Calc_Daily!$DT41)</f>
        <v/>
      </c>
      <c r="J41">
        <f>IF(OR($A41&gt;cfg_LastDataDate,NOT(ISNUMBER(Calc_Daily!$IP41))),NA(),Calc_Daily!$IP41)</f>
        <v/>
      </c>
      <c r="K41">
        <f>Calc_Daily!$KM41</f>
        <v/>
      </c>
    </row>
    <row r="42">
      <c r="A42" s="54">
        <f>Calc_Daily!$A42</f>
        <v/>
      </c>
      <c r="B42">
        <f>IF(OR($A42&gt;cfg_LastDataDate,NOT(ISNUMBER(Calc_Daily!$CU42))),NA(),Calc_Daily!$CU42)</f>
        <v/>
      </c>
      <c r="C42">
        <f>Calc_Daily!$JT42/Calc_Daily!$D42</f>
        <v/>
      </c>
      <c r="D42">
        <f>IF(OR($A42&gt;cfg_LastDataDate,NOT(ISNUMBER(Calc_Daily!$EJ42))),NA(),Calc_Daily!$EJ42)</f>
        <v/>
      </c>
      <c r="E42">
        <f>Calc_Daily!$KQ42</f>
        <v/>
      </c>
      <c r="F42">
        <f>IF(OR($A42&gt;cfg_LastDataDate,NOT(ISNUMBER(Calc_Daily!$F42))),NA(),Calc_Daily!$F42)</f>
        <v/>
      </c>
      <c r="G42">
        <f>IF(OR($A42&gt;cfg_LastDataDate,NOT(ISNUMBER(Calc_Daily!$U42))),NA(),Calc_Daily!$U42)</f>
        <v/>
      </c>
      <c r="H42">
        <f>IF(OR($A42&gt;cfg_LastDataDate,NOT(ISNUMBER(Calc_Daily!$DZ42))),NA(),Calc_Daily!$DZ42)</f>
        <v/>
      </c>
      <c r="I42">
        <f>IF(OR($A42&gt;cfg_LastDataDate,NOT(ISNUMBER(Calc_Daily!$DT42))),NA(),Calc_Daily!$DT42)</f>
        <v/>
      </c>
      <c r="J42">
        <f>IF(OR($A42&gt;cfg_LastDataDate,NOT(ISNUMBER(Calc_Daily!$IP42))),NA(),Calc_Daily!$IP42)</f>
        <v/>
      </c>
      <c r="K42">
        <f>Calc_Daily!$KM42</f>
        <v/>
      </c>
    </row>
    <row r="43">
      <c r="A43" s="54">
        <f>Calc_Daily!$A43</f>
        <v/>
      </c>
      <c r="B43">
        <f>IF(OR($A43&gt;cfg_LastDataDate,NOT(ISNUMBER(Calc_Daily!$CU43))),NA(),Calc_Daily!$CU43)</f>
        <v/>
      </c>
      <c r="C43">
        <f>Calc_Daily!$JT43/Calc_Daily!$D43</f>
        <v/>
      </c>
      <c r="D43">
        <f>IF(OR($A43&gt;cfg_LastDataDate,NOT(ISNUMBER(Calc_Daily!$EJ43))),NA(),Calc_Daily!$EJ43)</f>
        <v/>
      </c>
      <c r="E43">
        <f>Calc_Daily!$KQ43</f>
        <v/>
      </c>
      <c r="F43">
        <f>IF(OR($A43&gt;cfg_LastDataDate,NOT(ISNUMBER(Calc_Daily!$F43))),NA(),Calc_Daily!$F43)</f>
        <v/>
      </c>
      <c r="G43">
        <f>IF(OR($A43&gt;cfg_LastDataDate,NOT(ISNUMBER(Calc_Daily!$U43))),NA(),Calc_Daily!$U43)</f>
        <v/>
      </c>
      <c r="H43">
        <f>IF(OR($A43&gt;cfg_LastDataDate,NOT(ISNUMBER(Calc_Daily!$DZ43))),NA(),Calc_Daily!$DZ43)</f>
        <v/>
      </c>
      <c r="I43">
        <f>IF(OR($A43&gt;cfg_LastDataDate,NOT(ISNUMBER(Calc_Daily!$DT43))),NA(),Calc_Daily!$DT43)</f>
        <v/>
      </c>
      <c r="J43">
        <f>IF(OR($A43&gt;cfg_LastDataDate,NOT(ISNUMBER(Calc_Daily!$IP43))),NA(),Calc_Daily!$IP43)</f>
        <v/>
      </c>
      <c r="K43">
        <f>Calc_Daily!$KM43</f>
        <v/>
      </c>
    </row>
    <row r="44">
      <c r="A44" s="54">
        <f>Calc_Daily!$A44</f>
        <v/>
      </c>
      <c r="B44">
        <f>IF(OR($A44&gt;cfg_LastDataDate,NOT(ISNUMBER(Calc_Daily!$CU44))),NA(),Calc_Daily!$CU44)</f>
        <v/>
      </c>
      <c r="C44">
        <f>Calc_Daily!$JT44/Calc_Daily!$D44</f>
        <v/>
      </c>
      <c r="D44">
        <f>IF(OR($A44&gt;cfg_LastDataDate,NOT(ISNUMBER(Calc_Daily!$EJ44))),NA(),Calc_Daily!$EJ44)</f>
        <v/>
      </c>
      <c r="E44">
        <f>Calc_Daily!$KQ44</f>
        <v/>
      </c>
      <c r="F44">
        <f>IF(OR($A44&gt;cfg_LastDataDate,NOT(ISNUMBER(Calc_Daily!$F44))),NA(),Calc_Daily!$F44)</f>
        <v/>
      </c>
      <c r="G44">
        <f>IF(OR($A44&gt;cfg_LastDataDate,NOT(ISNUMBER(Calc_Daily!$U44))),NA(),Calc_Daily!$U44)</f>
        <v/>
      </c>
      <c r="H44">
        <f>IF(OR($A44&gt;cfg_LastDataDate,NOT(ISNUMBER(Calc_Daily!$DZ44))),NA(),Calc_Daily!$DZ44)</f>
        <v/>
      </c>
      <c r="I44">
        <f>IF(OR($A44&gt;cfg_LastDataDate,NOT(ISNUMBER(Calc_Daily!$DT44))),NA(),Calc_Daily!$DT44)</f>
        <v/>
      </c>
      <c r="J44">
        <f>IF(OR($A44&gt;cfg_LastDataDate,NOT(ISNUMBER(Calc_Daily!$IP44))),NA(),Calc_Daily!$IP44)</f>
        <v/>
      </c>
      <c r="K44">
        <f>Calc_Daily!$KM44</f>
        <v/>
      </c>
    </row>
    <row r="45">
      <c r="A45" s="54">
        <f>Calc_Daily!$A45</f>
        <v/>
      </c>
      <c r="B45">
        <f>IF(OR($A45&gt;cfg_LastDataDate,NOT(ISNUMBER(Calc_Daily!$CU45))),NA(),Calc_Daily!$CU45)</f>
        <v/>
      </c>
      <c r="C45">
        <f>Calc_Daily!$JT45/Calc_Daily!$D45</f>
        <v/>
      </c>
      <c r="D45">
        <f>IF(OR($A45&gt;cfg_LastDataDate,NOT(ISNUMBER(Calc_Daily!$EJ45))),NA(),Calc_Daily!$EJ45)</f>
        <v/>
      </c>
      <c r="E45">
        <f>Calc_Daily!$KQ45</f>
        <v/>
      </c>
      <c r="F45">
        <f>IF(OR($A45&gt;cfg_LastDataDate,NOT(ISNUMBER(Calc_Daily!$F45))),NA(),Calc_Daily!$F45)</f>
        <v/>
      </c>
      <c r="G45">
        <f>IF(OR($A45&gt;cfg_LastDataDate,NOT(ISNUMBER(Calc_Daily!$U45))),NA(),Calc_Daily!$U45)</f>
        <v/>
      </c>
      <c r="H45">
        <f>IF(OR($A45&gt;cfg_LastDataDate,NOT(ISNUMBER(Calc_Daily!$DZ45))),NA(),Calc_Daily!$DZ45)</f>
        <v/>
      </c>
      <c r="I45">
        <f>IF(OR($A45&gt;cfg_LastDataDate,NOT(ISNUMBER(Calc_Daily!$DT45))),NA(),Calc_Daily!$DT45)</f>
        <v/>
      </c>
      <c r="J45">
        <f>IF(OR($A45&gt;cfg_LastDataDate,NOT(ISNUMBER(Calc_Daily!$IP45))),NA(),Calc_Daily!$IP45)</f>
        <v/>
      </c>
      <c r="K45">
        <f>Calc_Daily!$KM45</f>
        <v/>
      </c>
    </row>
    <row r="46">
      <c r="A46" s="54">
        <f>Calc_Daily!$A46</f>
        <v/>
      </c>
      <c r="B46">
        <f>IF(OR($A46&gt;cfg_LastDataDate,NOT(ISNUMBER(Calc_Daily!$CU46))),NA(),Calc_Daily!$CU46)</f>
        <v/>
      </c>
      <c r="C46">
        <f>Calc_Daily!$JT46/Calc_Daily!$D46</f>
        <v/>
      </c>
      <c r="D46">
        <f>IF(OR($A46&gt;cfg_LastDataDate,NOT(ISNUMBER(Calc_Daily!$EJ46))),NA(),Calc_Daily!$EJ46)</f>
        <v/>
      </c>
      <c r="E46">
        <f>Calc_Daily!$KQ46</f>
        <v/>
      </c>
      <c r="F46">
        <f>IF(OR($A46&gt;cfg_LastDataDate,NOT(ISNUMBER(Calc_Daily!$F46))),NA(),Calc_Daily!$F46)</f>
        <v/>
      </c>
      <c r="G46">
        <f>IF(OR($A46&gt;cfg_LastDataDate,NOT(ISNUMBER(Calc_Daily!$U46))),NA(),Calc_Daily!$U46)</f>
        <v/>
      </c>
      <c r="H46">
        <f>IF(OR($A46&gt;cfg_LastDataDate,NOT(ISNUMBER(Calc_Daily!$DZ46))),NA(),Calc_Daily!$DZ46)</f>
        <v/>
      </c>
      <c r="I46">
        <f>IF(OR($A46&gt;cfg_LastDataDate,NOT(ISNUMBER(Calc_Daily!$DT46))),NA(),Calc_Daily!$DT46)</f>
        <v/>
      </c>
      <c r="J46">
        <f>IF(OR($A46&gt;cfg_LastDataDate,NOT(ISNUMBER(Calc_Daily!$IP46))),NA(),Calc_Daily!$IP46)</f>
        <v/>
      </c>
      <c r="K46">
        <f>Calc_Daily!$KM46</f>
        <v/>
      </c>
    </row>
    <row r="47">
      <c r="A47" s="54">
        <f>Calc_Daily!$A47</f>
        <v/>
      </c>
      <c r="B47">
        <f>IF(OR($A47&gt;cfg_LastDataDate,NOT(ISNUMBER(Calc_Daily!$CU47))),NA(),Calc_Daily!$CU47)</f>
        <v/>
      </c>
      <c r="C47">
        <f>Calc_Daily!$JT47/Calc_Daily!$D47</f>
        <v/>
      </c>
      <c r="D47">
        <f>IF(OR($A47&gt;cfg_LastDataDate,NOT(ISNUMBER(Calc_Daily!$EJ47))),NA(),Calc_Daily!$EJ47)</f>
        <v/>
      </c>
      <c r="E47">
        <f>Calc_Daily!$KQ47</f>
        <v/>
      </c>
      <c r="F47">
        <f>IF(OR($A47&gt;cfg_LastDataDate,NOT(ISNUMBER(Calc_Daily!$F47))),NA(),Calc_Daily!$F47)</f>
        <v/>
      </c>
      <c r="G47">
        <f>IF(OR($A47&gt;cfg_LastDataDate,NOT(ISNUMBER(Calc_Daily!$U47))),NA(),Calc_Daily!$U47)</f>
        <v/>
      </c>
      <c r="H47">
        <f>IF(OR($A47&gt;cfg_LastDataDate,NOT(ISNUMBER(Calc_Daily!$DZ47))),NA(),Calc_Daily!$DZ47)</f>
        <v/>
      </c>
      <c r="I47">
        <f>IF(OR($A47&gt;cfg_LastDataDate,NOT(ISNUMBER(Calc_Daily!$DT47))),NA(),Calc_Daily!$DT47)</f>
        <v/>
      </c>
      <c r="J47">
        <f>IF(OR($A47&gt;cfg_LastDataDate,NOT(ISNUMBER(Calc_Daily!$IP47))),NA(),Calc_Daily!$IP47)</f>
        <v/>
      </c>
      <c r="K47">
        <f>Calc_Daily!$KM47</f>
        <v/>
      </c>
    </row>
    <row r="48">
      <c r="A48" s="54">
        <f>Calc_Daily!$A48</f>
        <v/>
      </c>
      <c r="B48">
        <f>IF(OR($A48&gt;cfg_LastDataDate,NOT(ISNUMBER(Calc_Daily!$CU48))),NA(),Calc_Daily!$CU48)</f>
        <v/>
      </c>
      <c r="C48">
        <f>Calc_Daily!$JT48/Calc_Daily!$D48</f>
        <v/>
      </c>
      <c r="D48">
        <f>IF(OR($A48&gt;cfg_LastDataDate,NOT(ISNUMBER(Calc_Daily!$EJ48))),NA(),Calc_Daily!$EJ48)</f>
        <v/>
      </c>
      <c r="E48">
        <f>Calc_Daily!$KQ48</f>
        <v/>
      </c>
      <c r="F48">
        <f>IF(OR($A48&gt;cfg_LastDataDate,NOT(ISNUMBER(Calc_Daily!$F48))),NA(),Calc_Daily!$F48)</f>
        <v/>
      </c>
      <c r="G48">
        <f>IF(OR($A48&gt;cfg_LastDataDate,NOT(ISNUMBER(Calc_Daily!$U48))),NA(),Calc_Daily!$U48)</f>
        <v/>
      </c>
      <c r="H48">
        <f>IF(OR($A48&gt;cfg_LastDataDate,NOT(ISNUMBER(Calc_Daily!$DZ48))),NA(),Calc_Daily!$DZ48)</f>
        <v/>
      </c>
      <c r="I48">
        <f>IF(OR($A48&gt;cfg_LastDataDate,NOT(ISNUMBER(Calc_Daily!$DT48))),NA(),Calc_Daily!$DT48)</f>
        <v/>
      </c>
      <c r="J48">
        <f>IF(OR($A48&gt;cfg_LastDataDate,NOT(ISNUMBER(Calc_Daily!$IP48))),NA(),Calc_Daily!$IP48)</f>
        <v/>
      </c>
      <c r="K48">
        <f>Calc_Daily!$KM48</f>
        <v/>
      </c>
    </row>
    <row r="49">
      <c r="A49" s="54">
        <f>Calc_Daily!$A49</f>
        <v/>
      </c>
      <c r="B49">
        <f>IF(OR($A49&gt;cfg_LastDataDate,NOT(ISNUMBER(Calc_Daily!$CU49))),NA(),Calc_Daily!$CU49)</f>
        <v/>
      </c>
      <c r="C49">
        <f>Calc_Daily!$JT49/Calc_Daily!$D49</f>
        <v/>
      </c>
      <c r="D49">
        <f>IF(OR($A49&gt;cfg_LastDataDate,NOT(ISNUMBER(Calc_Daily!$EJ49))),NA(),Calc_Daily!$EJ49)</f>
        <v/>
      </c>
      <c r="E49">
        <f>Calc_Daily!$KQ49</f>
        <v/>
      </c>
      <c r="F49">
        <f>IF(OR($A49&gt;cfg_LastDataDate,NOT(ISNUMBER(Calc_Daily!$F49))),NA(),Calc_Daily!$F49)</f>
        <v/>
      </c>
      <c r="G49">
        <f>IF(OR($A49&gt;cfg_LastDataDate,NOT(ISNUMBER(Calc_Daily!$U49))),NA(),Calc_Daily!$U49)</f>
        <v/>
      </c>
      <c r="H49">
        <f>IF(OR($A49&gt;cfg_LastDataDate,NOT(ISNUMBER(Calc_Daily!$DZ49))),NA(),Calc_Daily!$DZ49)</f>
        <v/>
      </c>
      <c r="I49">
        <f>IF(OR($A49&gt;cfg_LastDataDate,NOT(ISNUMBER(Calc_Daily!$DT49))),NA(),Calc_Daily!$DT49)</f>
        <v/>
      </c>
      <c r="J49">
        <f>IF(OR($A49&gt;cfg_LastDataDate,NOT(ISNUMBER(Calc_Daily!$IP49))),NA(),Calc_Daily!$IP49)</f>
        <v/>
      </c>
      <c r="K49">
        <f>Calc_Daily!$KM49</f>
        <v/>
      </c>
    </row>
    <row r="50">
      <c r="A50" s="54">
        <f>Calc_Daily!$A50</f>
        <v/>
      </c>
      <c r="B50">
        <f>IF(OR($A50&gt;cfg_LastDataDate,NOT(ISNUMBER(Calc_Daily!$CU50))),NA(),Calc_Daily!$CU50)</f>
        <v/>
      </c>
      <c r="C50">
        <f>Calc_Daily!$JT50/Calc_Daily!$D50</f>
        <v/>
      </c>
      <c r="D50">
        <f>IF(OR($A50&gt;cfg_LastDataDate,NOT(ISNUMBER(Calc_Daily!$EJ50))),NA(),Calc_Daily!$EJ50)</f>
        <v/>
      </c>
      <c r="E50">
        <f>Calc_Daily!$KQ50</f>
        <v/>
      </c>
      <c r="F50">
        <f>IF(OR($A50&gt;cfg_LastDataDate,NOT(ISNUMBER(Calc_Daily!$F50))),NA(),Calc_Daily!$F50)</f>
        <v/>
      </c>
      <c r="G50">
        <f>IF(OR($A50&gt;cfg_LastDataDate,NOT(ISNUMBER(Calc_Daily!$U50))),NA(),Calc_Daily!$U50)</f>
        <v/>
      </c>
      <c r="H50">
        <f>IF(OR($A50&gt;cfg_LastDataDate,NOT(ISNUMBER(Calc_Daily!$DZ50))),NA(),Calc_Daily!$DZ50)</f>
        <v/>
      </c>
      <c r="I50">
        <f>IF(OR($A50&gt;cfg_LastDataDate,NOT(ISNUMBER(Calc_Daily!$DT50))),NA(),Calc_Daily!$DT50)</f>
        <v/>
      </c>
      <c r="J50">
        <f>IF(OR($A50&gt;cfg_LastDataDate,NOT(ISNUMBER(Calc_Daily!$IP50))),NA(),Calc_Daily!$IP50)</f>
        <v/>
      </c>
      <c r="K50">
        <f>Calc_Daily!$KM50</f>
        <v/>
      </c>
    </row>
    <row r="51">
      <c r="A51" s="54">
        <f>Calc_Daily!$A51</f>
        <v/>
      </c>
      <c r="B51">
        <f>IF(OR($A51&gt;cfg_LastDataDate,NOT(ISNUMBER(Calc_Daily!$CU51))),NA(),Calc_Daily!$CU51)</f>
        <v/>
      </c>
      <c r="C51">
        <f>Calc_Daily!$JT51/Calc_Daily!$D51</f>
        <v/>
      </c>
      <c r="D51">
        <f>IF(OR($A51&gt;cfg_LastDataDate,NOT(ISNUMBER(Calc_Daily!$EJ51))),NA(),Calc_Daily!$EJ51)</f>
        <v/>
      </c>
      <c r="E51">
        <f>Calc_Daily!$KQ51</f>
        <v/>
      </c>
      <c r="F51">
        <f>IF(OR($A51&gt;cfg_LastDataDate,NOT(ISNUMBER(Calc_Daily!$F51))),NA(),Calc_Daily!$F51)</f>
        <v/>
      </c>
      <c r="G51">
        <f>IF(OR($A51&gt;cfg_LastDataDate,NOT(ISNUMBER(Calc_Daily!$U51))),NA(),Calc_Daily!$U51)</f>
        <v/>
      </c>
      <c r="H51">
        <f>IF(OR($A51&gt;cfg_LastDataDate,NOT(ISNUMBER(Calc_Daily!$DZ51))),NA(),Calc_Daily!$DZ51)</f>
        <v/>
      </c>
      <c r="I51">
        <f>IF(OR($A51&gt;cfg_LastDataDate,NOT(ISNUMBER(Calc_Daily!$DT51))),NA(),Calc_Daily!$DT51)</f>
        <v/>
      </c>
      <c r="J51">
        <f>IF(OR($A51&gt;cfg_LastDataDate,NOT(ISNUMBER(Calc_Daily!$IP51))),NA(),Calc_Daily!$IP51)</f>
        <v/>
      </c>
      <c r="K51">
        <f>Calc_Daily!$KM51</f>
        <v/>
      </c>
    </row>
    <row r="52">
      <c r="A52" s="54">
        <f>Calc_Daily!$A52</f>
        <v/>
      </c>
      <c r="B52">
        <f>IF(OR($A52&gt;cfg_LastDataDate,NOT(ISNUMBER(Calc_Daily!$CU52))),NA(),Calc_Daily!$CU52)</f>
        <v/>
      </c>
      <c r="C52">
        <f>Calc_Daily!$JT52/Calc_Daily!$D52</f>
        <v/>
      </c>
      <c r="D52">
        <f>IF(OR($A52&gt;cfg_LastDataDate,NOT(ISNUMBER(Calc_Daily!$EJ52))),NA(),Calc_Daily!$EJ52)</f>
        <v/>
      </c>
      <c r="E52">
        <f>Calc_Daily!$KQ52</f>
        <v/>
      </c>
      <c r="F52">
        <f>IF(OR($A52&gt;cfg_LastDataDate,NOT(ISNUMBER(Calc_Daily!$F52))),NA(),Calc_Daily!$F52)</f>
        <v/>
      </c>
      <c r="G52">
        <f>IF(OR($A52&gt;cfg_LastDataDate,NOT(ISNUMBER(Calc_Daily!$U52))),NA(),Calc_Daily!$U52)</f>
        <v/>
      </c>
      <c r="H52">
        <f>IF(OR($A52&gt;cfg_LastDataDate,NOT(ISNUMBER(Calc_Daily!$DZ52))),NA(),Calc_Daily!$DZ52)</f>
        <v/>
      </c>
      <c r="I52">
        <f>IF(OR($A52&gt;cfg_LastDataDate,NOT(ISNUMBER(Calc_Daily!$DT52))),NA(),Calc_Daily!$DT52)</f>
        <v/>
      </c>
      <c r="J52">
        <f>IF(OR($A52&gt;cfg_LastDataDate,NOT(ISNUMBER(Calc_Daily!$IP52))),NA(),Calc_Daily!$IP52)</f>
        <v/>
      </c>
      <c r="K52">
        <f>Calc_Daily!$KM52</f>
        <v/>
      </c>
    </row>
    <row r="53">
      <c r="A53" s="54">
        <f>Calc_Daily!$A53</f>
        <v/>
      </c>
      <c r="B53">
        <f>IF(OR($A53&gt;cfg_LastDataDate,NOT(ISNUMBER(Calc_Daily!$CU53))),NA(),Calc_Daily!$CU53)</f>
        <v/>
      </c>
      <c r="C53">
        <f>Calc_Daily!$JT53/Calc_Daily!$D53</f>
        <v/>
      </c>
      <c r="D53">
        <f>IF(OR($A53&gt;cfg_LastDataDate,NOT(ISNUMBER(Calc_Daily!$EJ53))),NA(),Calc_Daily!$EJ53)</f>
        <v/>
      </c>
      <c r="E53">
        <f>Calc_Daily!$KQ53</f>
        <v/>
      </c>
      <c r="F53">
        <f>IF(OR($A53&gt;cfg_LastDataDate,NOT(ISNUMBER(Calc_Daily!$F53))),NA(),Calc_Daily!$F53)</f>
        <v/>
      </c>
      <c r="G53">
        <f>IF(OR($A53&gt;cfg_LastDataDate,NOT(ISNUMBER(Calc_Daily!$U53))),NA(),Calc_Daily!$U53)</f>
        <v/>
      </c>
      <c r="H53">
        <f>IF(OR($A53&gt;cfg_LastDataDate,NOT(ISNUMBER(Calc_Daily!$DZ53))),NA(),Calc_Daily!$DZ53)</f>
        <v/>
      </c>
      <c r="I53">
        <f>IF(OR($A53&gt;cfg_LastDataDate,NOT(ISNUMBER(Calc_Daily!$DT53))),NA(),Calc_Daily!$DT53)</f>
        <v/>
      </c>
      <c r="J53">
        <f>IF(OR($A53&gt;cfg_LastDataDate,NOT(ISNUMBER(Calc_Daily!$IP53))),NA(),Calc_Daily!$IP53)</f>
        <v/>
      </c>
      <c r="K53">
        <f>Calc_Daily!$KM53</f>
        <v/>
      </c>
    </row>
    <row r="54">
      <c r="A54" s="54">
        <f>Calc_Daily!$A54</f>
        <v/>
      </c>
      <c r="B54">
        <f>IF(OR($A54&gt;cfg_LastDataDate,NOT(ISNUMBER(Calc_Daily!$CU54))),NA(),Calc_Daily!$CU54)</f>
        <v/>
      </c>
      <c r="C54">
        <f>Calc_Daily!$JT54/Calc_Daily!$D54</f>
        <v/>
      </c>
      <c r="D54">
        <f>IF(OR($A54&gt;cfg_LastDataDate,NOT(ISNUMBER(Calc_Daily!$EJ54))),NA(),Calc_Daily!$EJ54)</f>
        <v/>
      </c>
      <c r="E54">
        <f>Calc_Daily!$KQ54</f>
        <v/>
      </c>
      <c r="F54">
        <f>IF(OR($A54&gt;cfg_LastDataDate,NOT(ISNUMBER(Calc_Daily!$F54))),NA(),Calc_Daily!$F54)</f>
        <v/>
      </c>
      <c r="G54">
        <f>IF(OR($A54&gt;cfg_LastDataDate,NOT(ISNUMBER(Calc_Daily!$U54))),NA(),Calc_Daily!$U54)</f>
        <v/>
      </c>
      <c r="H54">
        <f>IF(OR($A54&gt;cfg_LastDataDate,NOT(ISNUMBER(Calc_Daily!$DZ54))),NA(),Calc_Daily!$DZ54)</f>
        <v/>
      </c>
      <c r="I54">
        <f>IF(OR($A54&gt;cfg_LastDataDate,NOT(ISNUMBER(Calc_Daily!$DT54))),NA(),Calc_Daily!$DT54)</f>
        <v/>
      </c>
      <c r="J54">
        <f>IF(OR($A54&gt;cfg_LastDataDate,NOT(ISNUMBER(Calc_Daily!$IP54))),NA(),Calc_Daily!$IP54)</f>
        <v/>
      </c>
      <c r="K54">
        <f>Calc_Daily!$KM54</f>
        <v/>
      </c>
    </row>
    <row r="55">
      <c r="A55" s="54">
        <f>Calc_Daily!$A55</f>
        <v/>
      </c>
      <c r="B55">
        <f>IF(OR($A55&gt;cfg_LastDataDate,NOT(ISNUMBER(Calc_Daily!$CU55))),NA(),Calc_Daily!$CU55)</f>
        <v/>
      </c>
      <c r="C55">
        <f>Calc_Daily!$JT55/Calc_Daily!$D55</f>
        <v/>
      </c>
      <c r="D55">
        <f>IF(OR($A55&gt;cfg_LastDataDate,NOT(ISNUMBER(Calc_Daily!$EJ55))),NA(),Calc_Daily!$EJ55)</f>
        <v/>
      </c>
      <c r="E55">
        <f>Calc_Daily!$KQ55</f>
        <v/>
      </c>
      <c r="F55">
        <f>IF(OR($A55&gt;cfg_LastDataDate,NOT(ISNUMBER(Calc_Daily!$F55))),NA(),Calc_Daily!$F55)</f>
        <v/>
      </c>
      <c r="G55">
        <f>IF(OR($A55&gt;cfg_LastDataDate,NOT(ISNUMBER(Calc_Daily!$U55))),NA(),Calc_Daily!$U55)</f>
        <v/>
      </c>
      <c r="H55">
        <f>IF(OR($A55&gt;cfg_LastDataDate,NOT(ISNUMBER(Calc_Daily!$DZ55))),NA(),Calc_Daily!$DZ55)</f>
        <v/>
      </c>
      <c r="I55">
        <f>IF(OR($A55&gt;cfg_LastDataDate,NOT(ISNUMBER(Calc_Daily!$DT55))),NA(),Calc_Daily!$DT55)</f>
        <v/>
      </c>
      <c r="J55">
        <f>IF(OR($A55&gt;cfg_LastDataDate,NOT(ISNUMBER(Calc_Daily!$IP55))),NA(),Calc_Daily!$IP55)</f>
        <v/>
      </c>
      <c r="K55">
        <f>Calc_Daily!$KM55</f>
        <v/>
      </c>
    </row>
    <row r="56">
      <c r="A56" s="54">
        <f>Calc_Daily!$A56</f>
        <v/>
      </c>
      <c r="B56">
        <f>IF(OR($A56&gt;cfg_LastDataDate,NOT(ISNUMBER(Calc_Daily!$CU56))),NA(),Calc_Daily!$CU56)</f>
        <v/>
      </c>
      <c r="C56">
        <f>Calc_Daily!$JT56/Calc_Daily!$D56</f>
        <v/>
      </c>
      <c r="D56">
        <f>IF(OR($A56&gt;cfg_LastDataDate,NOT(ISNUMBER(Calc_Daily!$EJ56))),NA(),Calc_Daily!$EJ56)</f>
        <v/>
      </c>
      <c r="E56">
        <f>Calc_Daily!$KQ56</f>
        <v/>
      </c>
      <c r="F56">
        <f>IF(OR($A56&gt;cfg_LastDataDate,NOT(ISNUMBER(Calc_Daily!$F56))),NA(),Calc_Daily!$F56)</f>
        <v/>
      </c>
      <c r="G56">
        <f>IF(OR($A56&gt;cfg_LastDataDate,NOT(ISNUMBER(Calc_Daily!$U56))),NA(),Calc_Daily!$U56)</f>
        <v/>
      </c>
      <c r="H56">
        <f>IF(OR($A56&gt;cfg_LastDataDate,NOT(ISNUMBER(Calc_Daily!$DZ56))),NA(),Calc_Daily!$DZ56)</f>
        <v/>
      </c>
      <c r="I56">
        <f>IF(OR($A56&gt;cfg_LastDataDate,NOT(ISNUMBER(Calc_Daily!$DT56))),NA(),Calc_Daily!$DT56)</f>
        <v/>
      </c>
      <c r="J56">
        <f>IF(OR($A56&gt;cfg_LastDataDate,NOT(ISNUMBER(Calc_Daily!$IP56))),NA(),Calc_Daily!$IP56)</f>
        <v/>
      </c>
      <c r="K56">
        <f>Calc_Daily!$KM56</f>
        <v/>
      </c>
    </row>
    <row r="57">
      <c r="A57" s="54">
        <f>Calc_Daily!$A57</f>
        <v/>
      </c>
      <c r="B57">
        <f>IF(OR($A57&gt;cfg_LastDataDate,NOT(ISNUMBER(Calc_Daily!$CU57))),NA(),Calc_Daily!$CU57)</f>
        <v/>
      </c>
      <c r="C57">
        <f>Calc_Daily!$JT57/Calc_Daily!$D57</f>
        <v/>
      </c>
      <c r="D57">
        <f>IF(OR($A57&gt;cfg_LastDataDate,NOT(ISNUMBER(Calc_Daily!$EJ57))),NA(),Calc_Daily!$EJ57)</f>
        <v/>
      </c>
      <c r="E57">
        <f>Calc_Daily!$KQ57</f>
        <v/>
      </c>
      <c r="F57">
        <f>IF(OR($A57&gt;cfg_LastDataDate,NOT(ISNUMBER(Calc_Daily!$F57))),NA(),Calc_Daily!$F57)</f>
        <v/>
      </c>
      <c r="G57">
        <f>IF(OR($A57&gt;cfg_LastDataDate,NOT(ISNUMBER(Calc_Daily!$U57))),NA(),Calc_Daily!$U57)</f>
        <v/>
      </c>
      <c r="H57">
        <f>IF(OR($A57&gt;cfg_LastDataDate,NOT(ISNUMBER(Calc_Daily!$DZ57))),NA(),Calc_Daily!$DZ57)</f>
        <v/>
      </c>
      <c r="I57">
        <f>IF(OR($A57&gt;cfg_LastDataDate,NOT(ISNUMBER(Calc_Daily!$DT57))),NA(),Calc_Daily!$DT57)</f>
        <v/>
      </c>
      <c r="J57">
        <f>IF(OR($A57&gt;cfg_LastDataDate,NOT(ISNUMBER(Calc_Daily!$IP57))),NA(),Calc_Daily!$IP57)</f>
        <v/>
      </c>
      <c r="K57">
        <f>Calc_Daily!$KM57</f>
        <v/>
      </c>
    </row>
    <row r="58">
      <c r="A58" s="54">
        <f>Calc_Daily!$A58</f>
        <v/>
      </c>
      <c r="B58">
        <f>IF(OR($A58&gt;cfg_LastDataDate,NOT(ISNUMBER(Calc_Daily!$CU58))),NA(),Calc_Daily!$CU58)</f>
        <v/>
      </c>
      <c r="C58">
        <f>Calc_Daily!$JT58/Calc_Daily!$D58</f>
        <v/>
      </c>
      <c r="D58">
        <f>IF(OR($A58&gt;cfg_LastDataDate,NOT(ISNUMBER(Calc_Daily!$EJ58))),NA(),Calc_Daily!$EJ58)</f>
        <v/>
      </c>
      <c r="E58">
        <f>Calc_Daily!$KQ58</f>
        <v/>
      </c>
      <c r="F58">
        <f>IF(OR($A58&gt;cfg_LastDataDate,NOT(ISNUMBER(Calc_Daily!$F58))),NA(),Calc_Daily!$F58)</f>
        <v/>
      </c>
      <c r="G58">
        <f>IF(OR($A58&gt;cfg_LastDataDate,NOT(ISNUMBER(Calc_Daily!$U58))),NA(),Calc_Daily!$U58)</f>
        <v/>
      </c>
      <c r="H58">
        <f>IF(OR($A58&gt;cfg_LastDataDate,NOT(ISNUMBER(Calc_Daily!$DZ58))),NA(),Calc_Daily!$DZ58)</f>
        <v/>
      </c>
      <c r="I58">
        <f>IF(OR($A58&gt;cfg_LastDataDate,NOT(ISNUMBER(Calc_Daily!$DT58))),NA(),Calc_Daily!$DT58)</f>
        <v/>
      </c>
      <c r="J58">
        <f>IF(OR($A58&gt;cfg_LastDataDate,NOT(ISNUMBER(Calc_Daily!$IP58))),NA(),Calc_Daily!$IP58)</f>
        <v/>
      </c>
      <c r="K58">
        <f>Calc_Daily!$KM58</f>
        <v/>
      </c>
    </row>
    <row r="59">
      <c r="A59" s="54">
        <f>Calc_Daily!$A59</f>
        <v/>
      </c>
      <c r="B59">
        <f>IF(OR($A59&gt;cfg_LastDataDate,NOT(ISNUMBER(Calc_Daily!$CU59))),NA(),Calc_Daily!$CU59)</f>
        <v/>
      </c>
      <c r="C59">
        <f>Calc_Daily!$JT59/Calc_Daily!$D59</f>
        <v/>
      </c>
      <c r="D59">
        <f>IF(OR($A59&gt;cfg_LastDataDate,NOT(ISNUMBER(Calc_Daily!$EJ59))),NA(),Calc_Daily!$EJ59)</f>
        <v/>
      </c>
      <c r="E59">
        <f>Calc_Daily!$KQ59</f>
        <v/>
      </c>
      <c r="F59">
        <f>IF(OR($A59&gt;cfg_LastDataDate,NOT(ISNUMBER(Calc_Daily!$F59))),NA(),Calc_Daily!$F59)</f>
        <v/>
      </c>
      <c r="G59">
        <f>IF(OR($A59&gt;cfg_LastDataDate,NOT(ISNUMBER(Calc_Daily!$U59))),NA(),Calc_Daily!$U59)</f>
        <v/>
      </c>
      <c r="H59">
        <f>IF(OR($A59&gt;cfg_LastDataDate,NOT(ISNUMBER(Calc_Daily!$DZ59))),NA(),Calc_Daily!$DZ59)</f>
        <v/>
      </c>
      <c r="I59">
        <f>IF(OR($A59&gt;cfg_LastDataDate,NOT(ISNUMBER(Calc_Daily!$DT59))),NA(),Calc_Daily!$DT59)</f>
        <v/>
      </c>
      <c r="J59">
        <f>IF(OR($A59&gt;cfg_LastDataDate,NOT(ISNUMBER(Calc_Daily!$IP59))),NA(),Calc_Daily!$IP59)</f>
        <v/>
      </c>
      <c r="K59">
        <f>Calc_Daily!$KM59</f>
        <v/>
      </c>
    </row>
    <row r="60">
      <c r="A60" s="54">
        <f>Calc_Daily!$A60</f>
        <v/>
      </c>
      <c r="B60">
        <f>IF(OR($A60&gt;cfg_LastDataDate,NOT(ISNUMBER(Calc_Daily!$CU60))),NA(),Calc_Daily!$CU60)</f>
        <v/>
      </c>
      <c r="C60">
        <f>Calc_Daily!$JT60/Calc_Daily!$D60</f>
        <v/>
      </c>
      <c r="D60">
        <f>IF(OR($A60&gt;cfg_LastDataDate,NOT(ISNUMBER(Calc_Daily!$EJ60))),NA(),Calc_Daily!$EJ60)</f>
        <v/>
      </c>
      <c r="E60">
        <f>Calc_Daily!$KQ60</f>
        <v/>
      </c>
      <c r="F60">
        <f>IF(OR($A60&gt;cfg_LastDataDate,NOT(ISNUMBER(Calc_Daily!$F60))),NA(),Calc_Daily!$F60)</f>
        <v/>
      </c>
      <c r="G60">
        <f>IF(OR($A60&gt;cfg_LastDataDate,NOT(ISNUMBER(Calc_Daily!$U60))),NA(),Calc_Daily!$U60)</f>
        <v/>
      </c>
      <c r="H60">
        <f>IF(OR($A60&gt;cfg_LastDataDate,NOT(ISNUMBER(Calc_Daily!$DZ60))),NA(),Calc_Daily!$DZ60)</f>
        <v/>
      </c>
      <c r="I60">
        <f>IF(OR($A60&gt;cfg_LastDataDate,NOT(ISNUMBER(Calc_Daily!$DT60))),NA(),Calc_Daily!$DT60)</f>
        <v/>
      </c>
      <c r="J60">
        <f>IF(OR($A60&gt;cfg_LastDataDate,NOT(ISNUMBER(Calc_Daily!$IP60))),NA(),Calc_Daily!$IP60)</f>
        <v/>
      </c>
      <c r="K60">
        <f>Calc_Daily!$KM60</f>
        <v/>
      </c>
    </row>
    <row r="61">
      <c r="A61" s="54">
        <f>Calc_Daily!$A61</f>
        <v/>
      </c>
      <c r="B61">
        <f>IF(OR($A61&gt;cfg_LastDataDate,NOT(ISNUMBER(Calc_Daily!$CU61))),NA(),Calc_Daily!$CU61)</f>
        <v/>
      </c>
      <c r="C61">
        <f>Calc_Daily!$JT61/Calc_Daily!$D61</f>
        <v/>
      </c>
      <c r="D61">
        <f>IF(OR($A61&gt;cfg_LastDataDate,NOT(ISNUMBER(Calc_Daily!$EJ61))),NA(),Calc_Daily!$EJ61)</f>
        <v/>
      </c>
      <c r="E61">
        <f>Calc_Daily!$KQ61</f>
        <v/>
      </c>
      <c r="F61">
        <f>IF(OR($A61&gt;cfg_LastDataDate,NOT(ISNUMBER(Calc_Daily!$F61))),NA(),Calc_Daily!$F61)</f>
        <v/>
      </c>
      <c r="G61">
        <f>IF(OR($A61&gt;cfg_LastDataDate,NOT(ISNUMBER(Calc_Daily!$U61))),NA(),Calc_Daily!$U61)</f>
        <v/>
      </c>
      <c r="H61">
        <f>IF(OR($A61&gt;cfg_LastDataDate,NOT(ISNUMBER(Calc_Daily!$DZ61))),NA(),Calc_Daily!$DZ61)</f>
        <v/>
      </c>
      <c r="I61">
        <f>IF(OR($A61&gt;cfg_LastDataDate,NOT(ISNUMBER(Calc_Daily!$DT61))),NA(),Calc_Daily!$DT61)</f>
        <v/>
      </c>
      <c r="J61">
        <f>IF(OR($A61&gt;cfg_LastDataDate,NOT(ISNUMBER(Calc_Daily!$IP61))),NA(),Calc_Daily!$IP61)</f>
        <v/>
      </c>
      <c r="K61">
        <f>Calc_Daily!$KM61</f>
        <v/>
      </c>
    </row>
    <row r="62">
      <c r="A62" s="54">
        <f>Calc_Daily!$A62</f>
        <v/>
      </c>
      <c r="B62">
        <f>IF(OR($A62&gt;cfg_LastDataDate,NOT(ISNUMBER(Calc_Daily!$CU62))),NA(),Calc_Daily!$CU62)</f>
        <v/>
      </c>
      <c r="C62">
        <f>Calc_Daily!$JT62/Calc_Daily!$D62</f>
        <v/>
      </c>
      <c r="D62">
        <f>IF(OR($A62&gt;cfg_LastDataDate,NOT(ISNUMBER(Calc_Daily!$EJ62))),NA(),Calc_Daily!$EJ62)</f>
        <v/>
      </c>
      <c r="E62">
        <f>Calc_Daily!$KQ62</f>
        <v/>
      </c>
      <c r="F62">
        <f>IF(OR($A62&gt;cfg_LastDataDate,NOT(ISNUMBER(Calc_Daily!$F62))),NA(),Calc_Daily!$F62)</f>
        <v/>
      </c>
      <c r="G62">
        <f>IF(OR($A62&gt;cfg_LastDataDate,NOT(ISNUMBER(Calc_Daily!$U62))),NA(),Calc_Daily!$U62)</f>
        <v/>
      </c>
      <c r="H62">
        <f>IF(OR($A62&gt;cfg_LastDataDate,NOT(ISNUMBER(Calc_Daily!$DZ62))),NA(),Calc_Daily!$DZ62)</f>
        <v/>
      </c>
      <c r="I62">
        <f>IF(OR($A62&gt;cfg_LastDataDate,NOT(ISNUMBER(Calc_Daily!$DT62))),NA(),Calc_Daily!$DT62)</f>
        <v/>
      </c>
      <c r="J62">
        <f>IF(OR($A62&gt;cfg_LastDataDate,NOT(ISNUMBER(Calc_Daily!$IP62))),NA(),Calc_Daily!$IP62)</f>
        <v/>
      </c>
      <c r="K62">
        <f>Calc_Daily!$KM62</f>
        <v/>
      </c>
    </row>
    <row r="63">
      <c r="A63" s="54">
        <f>Calc_Daily!$A63</f>
        <v/>
      </c>
      <c r="B63">
        <f>IF(OR($A63&gt;cfg_LastDataDate,NOT(ISNUMBER(Calc_Daily!$CU63))),NA(),Calc_Daily!$CU63)</f>
        <v/>
      </c>
      <c r="C63">
        <f>Calc_Daily!$JT63/Calc_Daily!$D63</f>
        <v/>
      </c>
      <c r="D63">
        <f>IF(OR($A63&gt;cfg_LastDataDate,NOT(ISNUMBER(Calc_Daily!$EJ63))),NA(),Calc_Daily!$EJ63)</f>
        <v/>
      </c>
      <c r="E63">
        <f>Calc_Daily!$KQ63</f>
        <v/>
      </c>
      <c r="F63">
        <f>IF(OR($A63&gt;cfg_LastDataDate,NOT(ISNUMBER(Calc_Daily!$F63))),NA(),Calc_Daily!$F63)</f>
        <v/>
      </c>
      <c r="G63">
        <f>IF(OR($A63&gt;cfg_LastDataDate,NOT(ISNUMBER(Calc_Daily!$U63))),NA(),Calc_Daily!$U63)</f>
        <v/>
      </c>
      <c r="H63">
        <f>IF(OR($A63&gt;cfg_LastDataDate,NOT(ISNUMBER(Calc_Daily!$DZ63))),NA(),Calc_Daily!$DZ63)</f>
        <v/>
      </c>
      <c r="I63">
        <f>IF(OR($A63&gt;cfg_LastDataDate,NOT(ISNUMBER(Calc_Daily!$DT63))),NA(),Calc_Daily!$DT63)</f>
        <v/>
      </c>
      <c r="J63">
        <f>IF(OR($A63&gt;cfg_LastDataDate,NOT(ISNUMBER(Calc_Daily!$IP63))),NA(),Calc_Daily!$IP63)</f>
        <v/>
      </c>
      <c r="K63">
        <f>Calc_Daily!$KM63</f>
        <v/>
      </c>
    </row>
    <row r="64">
      <c r="A64" s="54">
        <f>Calc_Daily!$A64</f>
        <v/>
      </c>
      <c r="B64">
        <f>IF(OR($A64&gt;cfg_LastDataDate,NOT(ISNUMBER(Calc_Daily!$CU64))),NA(),Calc_Daily!$CU64)</f>
        <v/>
      </c>
      <c r="C64">
        <f>Calc_Daily!$JT64/Calc_Daily!$D64</f>
        <v/>
      </c>
      <c r="D64">
        <f>IF(OR($A64&gt;cfg_LastDataDate,NOT(ISNUMBER(Calc_Daily!$EJ64))),NA(),Calc_Daily!$EJ64)</f>
        <v/>
      </c>
      <c r="E64">
        <f>Calc_Daily!$KQ64</f>
        <v/>
      </c>
      <c r="F64">
        <f>IF(OR($A64&gt;cfg_LastDataDate,NOT(ISNUMBER(Calc_Daily!$F64))),NA(),Calc_Daily!$F64)</f>
        <v/>
      </c>
      <c r="G64">
        <f>IF(OR($A64&gt;cfg_LastDataDate,NOT(ISNUMBER(Calc_Daily!$U64))),NA(),Calc_Daily!$U64)</f>
        <v/>
      </c>
      <c r="H64">
        <f>IF(OR($A64&gt;cfg_LastDataDate,NOT(ISNUMBER(Calc_Daily!$DZ64))),NA(),Calc_Daily!$DZ64)</f>
        <v/>
      </c>
      <c r="I64">
        <f>IF(OR($A64&gt;cfg_LastDataDate,NOT(ISNUMBER(Calc_Daily!$DT64))),NA(),Calc_Daily!$DT64)</f>
        <v/>
      </c>
      <c r="J64">
        <f>IF(OR($A64&gt;cfg_LastDataDate,NOT(ISNUMBER(Calc_Daily!$IP64))),NA(),Calc_Daily!$IP64)</f>
        <v/>
      </c>
      <c r="K64">
        <f>Calc_Daily!$KM64</f>
        <v/>
      </c>
    </row>
    <row r="65">
      <c r="A65" s="54">
        <f>Calc_Daily!$A65</f>
        <v/>
      </c>
      <c r="B65">
        <f>IF(OR($A65&gt;cfg_LastDataDate,NOT(ISNUMBER(Calc_Daily!$CU65))),NA(),Calc_Daily!$CU65)</f>
        <v/>
      </c>
      <c r="C65">
        <f>Calc_Daily!$JT65/Calc_Daily!$D65</f>
        <v/>
      </c>
      <c r="D65">
        <f>IF(OR($A65&gt;cfg_LastDataDate,NOT(ISNUMBER(Calc_Daily!$EJ65))),NA(),Calc_Daily!$EJ65)</f>
        <v/>
      </c>
      <c r="E65">
        <f>Calc_Daily!$KQ65</f>
        <v/>
      </c>
      <c r="F65">
        <f>IF(OR($A65&gt;cfg_LastDataDate,NOT(ISNUMBER(Calc_Daily!$F65))),NA(),Calc_Daily!$F65)</f>
        <v/>
      </c>
      <c r="G65">
        <f>IF(OR($A65&gt;cfg_LastDataDate,NOT(ISNUMBER(Calc_Daily!$U65))),NA(),Calc_Daily!$U65)</f>
        <v/>
      </c>
      <c r="H65">
        <f>IF(OR($A65&gt;cfg_LastDataDate,NOT(ISNUMBER(Calc_Daily!$DZ65))),NA(),Calc_Daily!$DZ65)</f>
        <v/>
      </c>
      <c r="I65">
        <f>IF(OR($A65&gt;cfg_LastDataDate,NOT(ISNUMBER(Calc_Daily!$DT65))),NA(),Calc_Daily!$DT65)</f>
        <v/>
      </c>
      <c r="J65">
        <f>IF(OR($A65&gt;cfg_LastDataDate,NOT(ISNUMBER(Calc_Daily!$IP65))),NA(),Calc_Daily!$IP65)</f>
        <v/>
      </c>
      <c r="K65">
        <f>Calc_Daily!$KM65</f>
        <v/>
      </c>
    </row>
    <row r="66">
      <c r="A66" s="54">
        <f>Calc_Daily!$A66</f>
        <v/>
      </c>
      <c r="B66">
        <f>IF(OR($A66&gt;cfg_LastDataDate,NOT(ISNUMBER(Calc_Daily!$CU66))),NA(),Calc_Daily!$CU66)</f>
        <v/>
      </c>
      <c r="C66">
        <f>Calc_Daily!$JT66/Calc_Daily!$D66</f>
        <v/>
      </c>
      <c r="D66">
        <f>IF(OR($A66&gt;cfg_LastDataDate,NOT(ISNUMBER(Calc_Daily!$EJ66))),NA(),Calc_Daily!$EJ66)</f>
        <v/>
      </c>
      <c r="E66">
        <f>Calc_Daily!$KQ66</f>
        <v/>
      </c>
      <c r="F66">
        <f>IF(OR($A66&gt;cfg_LastDataDate,NOT(ISNUMBER(Calc_Daily!$F66))),NA(),Calc_Daily!$F66)</f>
        <v/>
      </c>
      <c r="G66">
        <f>IF(OR($A66&gt;cfg_LastDataDate,NOT(ISNUMBER(Calc_Daily!$U66))),NA(),Calc_Daily!$U66)</f>
        <v/>
      </c>
      <c r="H66">
        <f>IF(OR($A66&gt;cfg_LastDataDate,NOT(ISNUMBER(Calc_Daily!$DZ66))),NA(),Calc_Daily!$DZ66)</f>
        <v/>
      </c>
      <c r="I66">
        <f>IF(OR($A66&gt;cfg_LastDataDate,NOT(ISNUMBER(Calc_Daily!$DT66))),NA(),Calc_Daily!$DT66)</f>
        <v/>
      </c>
      <c r="J66">
        <f>IF(OR($A66&gt;cfg_LastDataDate,NOT(ISNUMBER(Calc_Daily!$IP66))),NA(),Calc_Daily!$IP66)</f>
        <v/>
      </c>
      <c r="K66">
        <f>Calc_Daily!$KM66</f>
        <v/>
      </c>
    </row>
    <row r="67">
      <c r="A67" s="54">
        <f>Calc_Daily!$A67</f>
        <v/>
      </c>
      <c r="B67">
        <f>IF(OR($A67&gt;cfg_LastDataDate,NOT(ISNUMBER(Calc_Daily!$CU67))),NA(),Calc_Daily!$CU67)</f>
        <v/>
      </c>
      <c r="C67">
        <f>Calc_Daily!$JT67/Calc_Daily!$D67</f>
        <v/>
      </c>
      <c r="D67">
        <f>IF(OR($A67&gt;cfg_LastDataDate,NOT(ISNUMBER(Calc_Daily!$EJ67))),NA(),Calc_Daily!$EJ67)</f>
        <v/>
      </c>
      <c r="E67">
        <f>Calc_Daily!$KQ67</f>
        <v/>
      </c>
      <c r="F67">
        <f>IF(OR($A67&gt;cfg_LastDataDate,NOT(ISNUMBER(Calc_Daily!$F67))),NA(),Calc_Daily!$F67)</f>
        <v/>
      </c>
      <c r="G67">
        <f>IF(OR($A67&gt;cfg_LastDataDate,NOT(ISNUMBER(Calc_Daily!$U67))),NA(),Calc_Daily!$U67)</f>
        <v/>
      </c>
      <c r="H67">
        <f>IF(OR($A67&gt;cfg_LastDataDate,NOT(ISNUMBER(Calc_Daily!$DZ67))),NA(),Calc_Daily!$DZ67)</f>
        <v/>
      </c>
      <c r="I67">
        <f>IF(OR($A67&gt;cfg_LastDataDate,NOT(ISNUMBER(Calc_Daily!$DT67))),NA(),Calc_Daily!$DT67)</f>
        <v/>
      </c>
      <c r="J67">
        <f>IF(OR($A67&gt;cfg_LastDataDate,NOT(ISNUMBER(Calc_Daily!$IP67))),NA(),Calc_Daily!$IP67)</f>
        <v/>
      </c>
      <c r="K67">
        <f>Calc_Daily!$KM67</f>
        <v/>
      </c>
    </row>
    <row r="68">
      <c r="A68" s="54">
        <f>Calc_Daily!$A68</f>
        <v/>
      </c>
      <c r="B68">
        <f>IF(OR($A68&gt;cfg_LastDataDate,NOT(ISNUMBER(Calc_Daily!$CU68))),NA(),Calc_Daily!$CU68)</f>
        <v/>
      </c>
      <c r="C68">
        <f>Calc_Daily!$JT68/Calc_Daily!$D68</f>
        <v/>
      </c>
      <c r="D68">
        <f>IF(OR($A68&gt;cfg_LastDataDate,NOT(ISNUMBER(Calc_Daily!$EJ68))),NA(),Calc_Daily!$EJ68)</f>
        <v/>
      </c>
      <c r="E68">
        <f>Calc_Daily!$KQ68</f>
        <v/>
      </c>
      <c r="F68">
        <f>IF(OR($A68&gt;cfg_LastDataDate,NOT(ISNUMBER(Calc_Daily!$F68))),NA(),Calc_Daily!$F68)</f>
        <v/>
      </c>
      <c r="G68">
        <f>IF(OR($A68&gt;cfg_LastDataDate,NOT(ISNUMBER(Calc_Daily!$U68))),NA(),Calc_Daily!$U68)</f>
        <v/>
      </c>
      <c r="H68">
        <f>IF(OR($A68&gt;cfg_LastDataDate,NOT(ISNUMBER(Calc_Daily!$DZ68))),NA(),Calc_Daily!$DZ68)</f>
        <v/>
      </c>
      <c r="I68">
        <f>IF(OR($A68&gt;cfg_LastDataDate,NOT(ISNUMBER(Calc_Daily!$DT68))),NA(),Calc_Daily!$DT68)</f>
        <v/>
      </c>
      <c r="J68">
        <f>IF(OR($A68&gt;cfg_LastDataDate,NOT(ISNUMBER(Calc_Daily!$IP68))),NA(),Calc_Daily!$IP68)</f>
        <v/>
      </c>
      <c r="K68">
        <f>Calc_Daily!$KM68</f>
        <v/>
      </c>
    </row>
    <row r="69">
      <c r="A69" s="54">
        <f>Calc_Daily!$A69</f>
        <v/>
      </c>
      <c r="B69">
        <f>IF(OR($A69&gt;cfg_LastDataDate,NOT(ISNUMBER(Calc_Daily!$CU69))),NA(),Calc_Daily!$CU69)</f>
        <v/>
      </c>
      <c r="C69">
        <f>Calc_Daily!$JT69/Calc_Daily!$D69</f>
        <v/>
      </c>
      <c r="D69">
        <f>IF(OR($A69&gt;cfg_LastDataDate,NOT(ISNUMBER(Calc_Daily!$EJ69))),NA(),Calc_Daily!$EJ69)</f>
        <v/>
      </c>
      <c r="E69">
        <f>Calc_Daily!$KQ69</f>
        <v/>
      </c>
      <c r="F69">
        <f>IF(OR($A69&gt;cfg_LastDataDate,NOT(ISNUMBER(Calc_Daily!$F69))),NA(),Calc_Daily!$F69)</f>
        <v/>
      </c>
      <c r="G69">
        <f>IF(OR($A69&gt;cfg_LastDataDate,NOT(ISNUMBER(Calc_Daily!$U69))),NA(),Calc_Daily!$U69)</f>
        <v/>
      </c>
      <c r="H69">
        <f>IF(OR($A69&gt;cfg_LastDataDate,NOT(ISNUMBER(Calc_Daily!$DZ69))),NA(),Calc_Daily!$DZ69)</f>
        <v/>
      </c>
      <c r="I69">
        <f>IF(OR($A69&gt;cfg_LastDataDate,NOT(ISNUMBER(Calc_Daily!$DT69))),NA(),Calc_Daily!$DT69)</f>
        <v/>
      </c>
      <c r="J69">
        <f>IF(OR($A69&gt;cfg_LastDataDate,NOT(ISNUMBER(Calc_Daily!$IP69))),NA(),Calc_Daily!$IP69)</f>
        <v/>
      </c>
      <c r="K69">
        <f>Calc_Daily!$KM69</f>
        <v/>
      </c>
    </row>
    <row r="70">
      <c r="A70" s="54">
        <f>Calc_Daily!$A70</f>
        <v/>
      </c>
      <c r="B70">
        <f>IF(OR($A70&gt;cfg_LastDataDate,NOT(ISNUMBER(Calc_Daily!$CU70))),NA(),Calc_Daily!$CU70)</f>
        <v/>
      </c>
      <c r="C70">
        <f>Calc_Daily!$JT70/Calc_Daily!$D70</f>
        <v/>
      </c>
      <c r="D70">
        <f>IF(OR($A70&gt;cfg_LastDataDate,NOT(ISNUMBER(Calc_Daily!$EJ70))),NA(),Calc_Daily!$EJ70)</f>
        <v/>
      </c>
      <c r="E70">
        <f>Calc_Daily!$KQ70</f>
        <v/>
      </c>
      <c r="F70">
        <f>IF(OR($A70&gt;cfg_LastDataDate,NOT(ISNUMBER(Calc_Daily!$F70))),NA(),Calc_Daily!$F70)</f>
        <v/>
      </c>
      <c r="G70">
        <f>IF(OR($A70&gt;cfg_LastDataDate,NOT(ISNUMBER(Calc_Daily!$U70))),NA(),Calc_Daily!$U70)</f>
        <v/>
      </c>
      <c r="H70">
        <f>IF(OR($A70&gt;cfg_LastDataDate,NOT(ISNUMBER(Calc_Daily!$DZ70))),NA(),Calc_Daily!$DZ70)</f>
        <v/>
      </c>
      <c r="I70">
        <f>IF(OR($A70&gt;cfg_LastDataDate,NOT(ISNUMBER(Calc_Daily!$DT70))),NA(),Calc_Daily!$DT70)</f>
        <v/>
      </c>
      <c r="J70">
        <f>IF(OR($A70&gt;cfg_LastDataDate,NOT(ISNUMBER(Calc_Daily!$IP70))),NA(),Calc_Daily!$IP70)</f>
        <v/>
      </c>
      <c r="K70">
        <f>Calc_Daily!$KM70</f>
        <v/>
      </c>
    </row>
    <row r="71">
      <c r="A71" s="54">
        <f>Calc_Daily!$A71</f>
        <v/>
      </c>
      <c r="B71">
        <f>IF(OR($A71&gt;cfg_LastDataDate,NOT(ISNUMBER(Calc_Daily!$CU71))),NA(),Calc_Daily!$CU71)</f>
        <v/>
      </c>
      <c r="C71">
        <f>Calc_Daily!$JT71/Calc_Daily!$D71</f>
        <v/>
      </c>
      <c r="D71">
        <f>IF(OR($A71&gt;cfg_LastDataDate,NOT(ISNUMBER(Calc_Daily!$EJ71))),NA(),Calc_Daily!$EJ71)</f>
        <v/>
      </c>
      <c r="E71">
        <f>Calc_Daily!$KQ71</f>
        <v/>
      </c>
      <c r="F71">
        <f>IF(OR($A71&gt;cfg_LastDataDate,NOT(ISNUMBER(Calc_Daily!$F71))),NA(),Calc_Daily!$F71)</f>
        <v/>
      </c>
      <c r="G71">
        <f>IF(OR($A71&gt;cfg_LastDataDate,NOT(ISNUMBER(Calc_Daily!$U71))),NA(),Calc_Daily!$U71)</f>
        <v/>
      </c>
      <c r="H71">
        <f>IF(OR($A71&gt;cfg_LastDataDate,NOT(ISNUMBER(Calc_Daily!$DZ71))),NA(),Calc_Daily!$DZ71)</f>
        <v/>
      </c>
      <c r="I71">
        <f>IF(OR($A71&gt;cfg_LastDataDate,NOT(ISNUMBER(Calc_Daily!$DT71))),NA(),Calc_Daily!$DT71)</f>
        <v/>
      </c>
      <c r="J71">
        <f>IF(OR($A71&gt;cfg_LastDataDate,NOT(ISNUMBER(Calc_Daily!$IP71))),NA(),Calc_Daily!$IP71)</f>
        <v/>
      </c>
      <c r="K71">
        <f>Calc_Daily!$KM71</f>
        <v/>
      </c>
    </row>
    <row r="72">
      <c r="A72" s="54">
        <f>Calc_Daily!$A72</f>
        <v/>
      </c>
      <c r="B72">
        <f>IF(OR($A72&gt;cfg_LastDataDate,NOT(ISNUMBER(Calc_Daily!$CU72))),NA(),Calc_Daily!$CU72)</f>
        <v/>
      </c>
      <c r="C72">
        <f>Calc_Daily!$JT72/Calc_Daily!$D72</f>
        <v/>
      </c>
      <c r="D72">
        <f>IF(OR($A72&gt;cfg_LastDataDate,NOT(ISNUMBER(Calc_Daily!$EJ72))),NA(),Calc_Daily!$EJ72)</f>
        <v/>
      </c>
      <c r="E72">
        <f>Calc_Daily!$KQ72</f>
        <v/>
      </c>
      <c r="F72">
        <f>IF(OR($A72&gt;cfg_LastDataDate,NOT(ISNUMBER(Calc_Daily!$F72))),NA(),Calc_Daily!$F72)</f>
        <v/>
      </c>
      <c r="G72">
        <f>IF(OR($A72&gt;cfg_LastDataDate,NOT(ISNUMBER(Calc_Daily!$U72))),NA(),Calc_Daily!$U72)</f>
        <v/>
      </c>
      <c r="H72">
        <f>IF(OR($A72&gt;cfg_LastDataDate,NOT(ISNUMBER(Calc_Daily!$DZ72))),NA(),Calc_Daily!$DZ72)</f>
        <v/>
      </c>
      <c r="I72">
        <f>IF(OR($A72&gt;cfg_LastDataDate,NOT(ISNUMBER(Calc_Daily!$DT72))),NA(),Calc_Daily!$DT72)</f>
        <v/>
      </c>
      <c r="J72">
        <f>IF(OR($A72&gt;cfg_LastDataDate,NOT(ISNUMBER(Calc_Daily!$IP72))),NA(),Calc_Daily!$IP72)</f>
        <v/>
      </c>
      <c r="K72">
        <f>Calc_Daily!$KM72</f>
        <v/>
      </c>
    </row>
    <row r="73">
      <c r="A73" s="54">
        <f>Calc_Daily!$A73</f>
        <v/>
      </c>
      <c r="B73">
        <f>IF(OR($A73&gt;cfg_LastDataDate,NOT(ISNUMBER(Calc_Daily!$CU73))),NA(),Calc_Daily!$CU73)</f>
        <v/>
      </c>
      <c r="C73">
        <f>Calc_Daily!$JT73/Calc_Daily!$D73</f>
        <v/>
      </c>
      <c r="D73">
        <f>IF(OR($A73&gt;cfg_LastDataDate,NOT(ISNUMBER(Calc_Daily!$EJ73))),NA(),Calc_Daily!$EJ73)</f>
        <v/>
      </c>
      <c r="E73">
        <f>Calc_Daily!$KQ73</f>
        <v/>
      </c>
      <c r="F73">
        <f>IF(OR($A73&gt;cfg_LastDataDate,NOT(ISNUMBER(Calc_Daily!$F73))),NA(),Calc_Daily!$F73)</f>
        <v/>
      </c>
      <c r="G73">
        <f>IF(OR($A73&gt;cfg_LastDataDate,NOT(ISNUMBER(Calc_Daily!$U73))),NA(),Calc_Daily!$U73)</f>
        <v/>
      </c>
      <c r="H73">
        <f>IF(OR($A73&gt;cfg_LastDataDate,NOT(ISNUMBER(Calc_Daily!$DZ73))),NA(),Calc_Daily!$DZ73)</f>
        <v/>
      </c>
      <c r="I73">
        <f>IF(OR($A73&gt;cfg_LastDataDate,NOT(ISNUMBER(Calc_Daily!$DT73))),NA(),Calc_Daily!$DT73)</f>
        <v/>
      </c>
      <c r="J73">
        <f>IF(OR($A73&gt;cfg_LastDataDate,NOT(ISNUMBER(Calc_Daily!$IP73))),NA(),Calc_Daily!$IP73)</f>
        <v/>
      </c>
      <c r="K73">
        <f>Calc_Daily!$KM73</f>
        <v/>
      </c>
    </row>
    <row r="74">
      <c r="A74" s="54">
        <f>Calc_Daily!$A74</f>
        <v/>
      </c>
      <c r="B74">
        <f>IF(OR($A74&gt;cfg_LastDataDate,NOT(ISNUMBER(Calc_Daily!$CU74))),NA(),Calc_Daily!$CU74)</f>
        <v/>
      </c>
      <c r="C74">
        <f>Calc_Daily!$JT74/Calc_Daily!$D74</f>
        <v/>
      </c>
      <c r="D74">
        <f>IF(OR($A74&gt;cfg_LastDataDate,NOT(ISNUMBER(Calc_Daily!$EJ74))),NA(),Calc_Daily!$EJ74)</f>
        <v/>
      </c>
      <c r="E74">
        <f>Calc_Daily!$KQ74</f>
        <v/>
      </c>
      <c r="F74">
        <f>IF(OR($A74&gt;cfg_LastDataDate,NOT(ISNUMBER(Calc_Daily!$F74))),NA(),Calc_Daily!$F74)</f>
        <v/>
      </c>
      <c r="G74">
        <f>IF(OR($A74&gt;cfg_LastDataDate,NOT(ISNUMBER(Calc_Daily!$U74))),NA(),Calc_Daily!$U74)</f>
        <v/>
      </c>
      <c r="H74">
        <f>IF(OR($A74&gt;cfg_LastDataDate,NOT(ISNUMBER(Calc_Daily!$DZ74))),NA(),Calc_Daily!$DZ74)</f>
        <v/>
      </c>
      <c r="I74">
        <f>IF(OR($A74&gt;cfg_LastDataDate,NOT(ISNUMBER(Calc_Daily!$DT74))),NA(),Calc_Daily!$DT74)</f>
        <v/>
      </c>
      <c r="J74">
        <f>IF(OR($A74&gt;cfg_LastDataDate,NOT(ISNUMBER(Calc_Daily!$IP74))),NA(),Calc_Daily!$IP74)</f>
        <v/>
      </c>
      <c r="K74">
        <f>Calc_Daily!$KM74</f>
        <v/>
      </c>
    </row>
    <row r="75">
      <c r="A75" s="54">
        <f>Calc_Daily!$A75</f>
        <v/>
      </c>
      <c r="B75">
        <f>IF(OR($A75&gt;cfg_LastDataDate,NOT(ISNUMBER(Calc_Daily!$CU75))),NA(),Calc_Daily!$CU75)</f>
        <v/>
      </c>
      <c r="C75">
        <f>Calc_Daily!$JT75/Calc_Daily!$D75</f>
        <v/>
      </c>
      <c r="D75">
        <f>IF(OR($A75&gt;cfg_LastDataDate,NOT(ISNUMBER(Calc_Daily!$EJ75))),NA(),Calc_Daily!$EJ75)</f>
        <v/>
      </c>
      <c r="E75">
        <f>Calc_Daily!$KQ75</f>
        <v/>
      </c>
      <c r="F75">
        <f>IF(OR($A75&gt;cfg_LastDataDate,NOT(ISNUMBER(Calc_Daily!$F75))),NA(),Calc_Daily!$F75)</f>
        <v/>
      </c>
      <c r="G75">
        <f>IF(OR($A75&gt;cfg_LastDataDate,NOT(ISNUMBER(Calc_Daily!$U75))),NA(),Calc_Daily!$U75)</f>
        <v/>
      </c>
      <c r="H75">
        <f>IF(OR($A75&gt;cfg_LastDataDate,NOT(ISNUMBER(Calc_Daily!$DZ75))),NA(),Calc_Daily!$DZ75)</f>
        <v/>
      </c>
      <c r="I75">
        <f>IF(OR($A75&gt;cfg_LastDataDate,NOT(ISNUMBER(Calc_Daily!$DT75))),NA(),Calc_Daily!$DT75)</f>
        <v/>
      </c>
      <c r="J75">
        <f>IF(OR($A75&gt;cfg_LastDataDate,NOT(ISNUMBER(Calc_Daily!$IP75))),NA(),Calc_Daily!$IP75)</f>
        <v/>
      </c>
      <c r="K75">
        <f>Calc_Daily!$KM75</f>
        <v/>
      </c>
    </row>
    <row r="76">
      <c r="A76" s="54">
        <f>Calc_Daily!$A76</f>
        <v/>
      </c>
      <c r="B76">
        <f>IF(OR($A76&gt;cfg_LastDataDate,NOT(ISNUMBER(Calc_Daily!$CU76))),NA(),Calc_Daily!$CU76)</f>
        <v/>
      </c>
      <c r="C76">
        <f>Calc_Daily!$JT76/Calc_Daily!$D76</f>
        <v/>
      </c>
      <c r="D76">
        <f>IF(OR($A76&gt;cfg_LastDataDate,NOT(ISNUMBER(Calc_Daily!$EJ76))),NA(),Calc_Daily!$EJ76)</f>
        <v/>
      </c>
      <c r="E76">
        <f>Calc_Daily!$KQ76</f>
        <v/>
      </c>
      <c r="F76">
        <f>IF(OR($A76&gt;cfg_LastDataDate,NOT(ISNUMBER(Calc_Daily!$F76))),NA(),Calc_Daily!$F76)</f>
        <v/>
      </c>
      <c r="G76">
        <f>IF(OR($A76&gt;cfg_LastDataDate,NOT(ISNUMBER(Calc_Daily!$U76))),NA(),Calc_Daily!$U76)</f>
        <v/>
      </c>
      <c r="H76">
        <f>IF(OR($A76&gt;cfg_LastDataDate,NOT(ISNUMBER(Calc_Daily!$DZ76))),NA(),Calc_Daily!$DZ76)</f>
        <v/>
      </c>
      <c r="I76">
        <f>IF(OR($A76&gt;cfg_LastDataDate,NOT(ISNUMBER(Calc_Daily!$DT76))),NA(),Calc_Daily!$DT76)</f>
        <v/>
      </c>
      <c r="J76">
        <f>IF(OR($A76&gt;cfg_LastDataDate,NOT(ISNUMBER(Calc_Daily!$IP76))),NA(),Calc_Daily!$IP76)</f>
        <v/>
      </c>
      <c r="K76">
        <f>Calc_Daily!$KM76</f>
        <v/>
      </c>
    </row>
    <row r="77">
      <c r="A77" s="54">
        <f>Calc_Daily!$A77</f>
        <v/>
      </c>
      <c r="B77">
        <f>IF(OR($A77&gt;cfg_LastDataDate,NOT(ISNUMBER(Calc_Daily!$CU77))),NA(),Calc_Daily!$CU77)</f>
        <v/>
      </c>
      <c r="C77">
        <f>Calc_Daily!$JT77/Calc_Daily!$D77</f>
        <v/>
      </c>
      <c r="D77">
        <f>IF(OR($A77&gt;cfg_LastDataDate,NOT(ISNUMBER(Calc_Daily!$EJ77))),NA(),Calc_Daily!$EJ77)</f>
        <v/>
      </c>
      <c r="E77">
        <f>Calc_Daily!$KQ77</f>
        <v/>
      </c>
      <c r="F77">
        <f>IF(OR($A77&gt;cfg_LastDataDate,NOT(ISNUMBER(Calc_Daily!$F77))),NA(),Calc_Daily!$F77)</f>
        <v/>
      </c>
      <c r="G77">
        <f>IF(OR($A77&gt;cfg_LastDataDate,NOT(ISNUMBER(Calc_Daily!$U77))),NA(),Calc_Daily!$U77)</f>
        <v/>
      </c>
      <c r="H77">
        <f>IF(OR($A77&gt;cfg_LastDataDate,NOT(ISNUMBER(Calc_Daily!$DZ77))),NA(),Calc_Daily!$DZ77)</f>
        <v/>
      </c>
      <c r="I77">
        <f>IF(OR($A77&gt;cfg_LastDataDate,NOT(ISNUMBER(Calc_Daily!$DT77))),NA(),Calc_Daily!$DT77)</f>
        <v/>
      </c>
      <c r="J77">
        <f>IF(OR($A77&gt;cfg_LastDataDate,NOT(ISNUMBER(Calc_Daily!$IP77))),NA(),Calc_Daily!$IP77)</f>
        <v/>
      </c>
      <c r="K77">
        <f>Calc_Daily!$KM77</f>
        <v/>
      </c>
    </row>
    <row r="78">
      <c r="A78" s="54">
        <f>Calc_Daily!$A78</f>
        <v/>
      </c>
      <c r="B78">
        <f>IF(OR($A78&gt;cfg_LastDataDate,NOT(ISNUMBER(Calc_Daily!$CU78))),NA(),Calc_Daily!$CU78)</f>
        <v/>
      </c>
      <c r="C78">
        <f>Calc_Daily!$JT78/Calc_Daily!$D78</f>
        <v/>
      </c>
      <c r="D78">
        <f>IF(OR($A78&gt;cfg_LastDataDate,NOT(ISNUMBER(Calc_Daily!$EJ78))),NA(),Calc_Daily!$EJ78)</f>
        <v/>
      </c>
      <c r="E78">
        <f>Calc_Daily!$KQ78</f>
        <v/>
      </c>
      <c r="F78">
        <f>IF(OR($A78&gt;cfg_LastDataDate,NOT(ISNUMBER(Calc_Daily!$F78))),NA(),Calc_Daily!$F78)</f>
        <v/>
      </c>
      <c r="G78">
        <f>IF(OR($A78&gt;cfg_LastDataDate,NOT(ISNUMBER(Calc_Daily!$U78))),NA(),Calc_Daily!$U78)</f>
        <v/>
      </c>
      <c r="H78">
        <f>IF(OR($A78&gt;cfg_LastDataDate,NOT(ISNUMBER(Calc_Daily!$DZ78))),NA(),Calc_Daily!$DZ78)</f>
        <v/>
      </c>
      <c r="I78">
        <f>IF(OR($A78&gt;cfg_LastDataDate,NOT(ISNUMBER(Calc_Daily!$DT78))),NA(),Calc_Daily!$DT78)</f>
        <v/>
      </c>
      <c r="J78">
        <f>IF(OR($A78&gt;cfg_LastDataDate,NOT(ISNUMBER(Calc_Daily!$IP78))),NA(),Calc_Daily!$IP78)</f>
        <v/>
      </c>
      <c r="K78">
        <f>Calc_Daily!$KM78</f>
        <v/>
      </c>
    </row>
    <row r="79">
      <c r="A79" s="54">
        <f>Calc_Daily!$A79</f>
        <v/>
      </c>
      <c r="B79">
        <f>IF(OR($A79&gt;cfg_LastDataDate,NOT(ISNUMBER(Calc_Daily!$CU79))),NA(),Calc_Daily!$CU79)</f>
        <v/>
      </c>
      <c r="C79">
        <f>Calc_Daily!$JT79/Calc_Daily!$D79</f>
        <v/>
      </c>
      <c r="D79">
        <f>IF(OR($A79&gt;cfg_LastDataDate,NOT(ISNUMBER(Calc_Daily!$EJ79))),NA(),Calc_Daily!$EJ79)</f>
        <v/>
      </c>
      <c r="E79">
        <f>Calc_Daily!$KQ79</f>
        <v/>
      </c>
      <c r="F79">
        <f>IF(OR($A79&gt;cfg_LastDataDate,NOT(ISNUMBER(Calc_Daily!$F79))),NA(),Calc_Daily!$F79)</f>
        <v/>
      </c>
      <c r="G79">
        <f>IF(OR($A79&gt;cfg_LastDataDate,NOT(ISNUMBER(Calc_Daily!$U79))),NA(),Calc_Daily!$U79)</f>
        <v/>
      </c>
      <c r="H79">
        <f>IF(OR($A79&gt;cfg_LastDataDate,NOT(ISNUMBER(Calc_Daily!$DZ79))),NA(),Calc_Daily!$DZ79)</f>
        <v/>
      </c>
      <c r="I79">
        <f>IF(OR($A79&gt;cfg_LastDataDate,NOT(ISNUMBER(Calc_Daily!$DT79))),NA(),Calc_Daily!$DT79)</f>
        <v/>
      </c>
      <c r="J79">
        <f>IF(OR($A79&gt;cfg_LastDataDate,NOT(ISNUMBER(Calc_Daily!$IP79))),NA(),Calc_Daily!$IP79)</f>
        <v/>
      </c>
      <c r="K79">
        <f>Calc_Daily!$KM79</f>
        <v/>
      </c>
    </row>
    <row r="80">
      <c r="A80" s="54">
        <f>Calc_Daily!$A80</f>
        <v/>
      </c>
      <c r="B80">
        <f>IF(OR($A80&gt;cfg_LastDataDate,NOT(ISNUMBER(Calc_Daily!$CU80))),NA(),Calc_Daily!$CU80)</f>
        <v/>
      </c>
      <c r="C80">
        <f>Calc_Daily!$JT80/Calc_Daily!$D80</f>
        <v/>
      </c>
      <c r="D80">
        <f>IF(OR($A80&gt;cfg_LastDataDate,NOT(ISNUMBER(Calc_Daily!$EJ80))),NA(),Calc_Daily!$EJ80)</f>
        <v/>
      </c>
      <c r="E80">
        <f>Calc_Daily!$KQ80</f>
        <v/>
      </c>
      <c r="F80">
        <f>IF(OR($A80&gt;cfg_LastDataDate,NOT(ISNUMBER(Calc_Daily!$F80))),NA(),Calc_Daily!$F80)</f>
        <v/>
      </c>
      <c r="G80">
        <f>IF(OR($A80&gt;cfg_LastDataDate,NOT(ISNUMBER(Calc_Daily!$U80))),NA(),Calc_Daily!$U80)</f>
        <v/>
      </c>
      <c r="H80">
        <f>IF(OR($A80&gt;cfg_LastDataDate,NOT(ISNUMBER(Calc_Daily!$DZ80))),NA(),Calc_Daily!$DZ80)</f>
        <v/>
      </c>
      <c r="I80">
        <f>IF(OR($A80&gt;cfg_LastDataDate,NOT(ISNUMBER(Calc_Daily!$DT80))),NA(),Calc_Daily!$DT80)</f>
        <v/>
      </c>
      <c r="J80">
        <f>IF(OR($A80&gt;cfg_LastDataDate,NOT(ISNUMBER(Calc_Daily!$IP80))),NA(),Calc_Daily!$IP80)</f>
        <v/>
      </c>
      <c r="K80">
        <f>Calc_Daily!$KM80</f>
        <v/>
      </c>
    </row>
    <row r="81">
      <c r="A81" s="54">
        <f>Calc_Daily!$A81</f>
        <v/>
      </c>
      <c r="B81">
        <f>IF(OR($A81&gt;cfg_LastDataDate,NOT(ISNUMBER(Calc_Daily!$CU81))),NA(),Calc_Daily!$CU81)</f>
        <v/>
      </c>
      <c r="C81">
        <f>Calc_Daily!$JT81/Calc_Daily!$D81</f>
        <v/>
      </c>
      <c r="D81">
        <f>IF(OR($A81&gt;cfg_LastDataDate,NOT(ISNUMBER(Calc_Daily!$EJ81))),NA(),Calc_Daily!$EJ81)</f>
        <v/>
      </c>
      <c r="E81">
        <f>Calc_Daily!$KQ81</f>
        <v/>
      </c>
      <c r="F81">
        <f>IF(OR($A81&gt;cfg_LastDataDate,NOT(ISNUMBER(Calc_Daily!$F81))),NA(),Calc_Daily!$F81)</f>
        <v/>
      </c>
      <c r="G81">
        <f>IF(OR($A81&gt;cfg_LastDataDate,NOT(ISNUMBER(Calc_Daily!$U81))),NA(),Calc_Daily!$U81)</f>
        <v/>
      </c>
      <c r="H81">
        <f>IF(OR($A81&gt;cfg_LastDataDate,NOT(ISNUMBER(Calc_Daily!$DZ81))),NA(),Calc_Daily!$DZ81)</f>
        <v/>
      </c>
      <c r="I81">
        <f>IF(OR($A81&gt;cfg_LastDataDate,NOT(ISNUMBER(Calc_Daily!$DT81))),NA(),Calc_Daily!$DT81)</f>
        <v/>
      </c>
      <c r="J81">
        <f>IF(OR($A81&gt;cfg_LastDataDate,NOT(ISNUMBER(Calc_Daily!$IP81))),NA(),Calc_Daily!$IP81)</f>
        <v/>
      </c>
      <c r="K81">
        <f>Calc_Daily!$KM81</f>
        <v/>
      </c>
    </row>
    <row r="82">
      <c r="A82" s="54">
        <f>Calc_Daily!$A82</f>
        <v/>
      </c>
      <c r="B82">
        <f>IF(OR($A82&gt;cfg_LastDataDate,NOT(ISNUMBER(Calc_Daily!$CU82))),NA(),Calc_Daily!$CU82)</f>
        <v/>
      </c>
      <c r="C82">
        <f>Calc_Daily!$JT82/Calc_Daily!$D82</f>
        <v/>
      </c>
      <c r="D82">
        <f>IF(OR($A82&gt;cfg_LastDataDate,NOT(ISNUMBER(Calc_Daily!$EJ82))),NA(),Calc_Daily!$EJ82)</f>
        <v/>
      </c>
      <c r="E82">
        <f>Calc_Daily!$KQ82</f>
        <v/>
      </c>
      <c r="F82">
        <f>IF(OR($A82&gt;cfg_LastDataDate,NOT(ISNUMBER(Calc_Daily!$F82))),NA(),Calc_Daily!$F82)</f>
        <v/>
      </c>
      <c r="G82">
        <f>IF(OR($A82&gt;cfg_LastDataDate,NOT(ISNUMBER(Calc_Daily!$U82))),NA(),Calc_Daily!$U82)</f>
        <v/>
      </c>
      <c r="H82">
        <f>IF(OR($A82&gt;cfg_LastDataDate,NOT(ISNUMBER(Calc_Daily!$DZ82))),NA(),Calc_Daily!$DZ82)</f>
        <v/>
      </c>
      <c r="I82">
        <f>IF(OR($A82&gt;cfg_LastDataDate,NOT(ISNUMBER(Calc_Daily!$DT82))),NA(),Calc_Daily!$DT82)</f>
        <v/>
      </c>
      <c r="J82">
        <f>IF(OR($A82&gt;cfg_LastDataDate,NOT(ISNUMBER(Calc_Daily!$IP82))),NA(),Calc_Daily!$IP82)</f>
        <v/>
      </c>
      <c r="K82">
        <f>Calc_Daily!$KM82</f>
        <v/>
      </c>
    </row>
    <row r="83">
      <c r="A83" s="54">
        <f>Calc_Daily!$A83</f>
        <v/>
      </c>
      <c r="B83">
        <f>IF(OR($A83&gt;cfg_LastDataDate,NOT(ISNUMBER(Calc_Daily!$CU83))),NA(),Calc_Daily!$CU83)</f>
        <v/>
      </c>
      <c r="C83">
        <f>Calc_Daily!$JT83/Calc_Daily!$D83</f>
        <v/>
      </c>
      <c r="D83">
        <f>IF(OR($A83&gt;cfg_LastDataDate,NOT(ISNUMBER(Calc_Daily!$EJ83))),NA(),Calc_Daily!$EJ83)</f>
        <v/>
      </c>
      <c r="E83">
        <f>Calc_Daily!$KQ83</f>
        <v/>
      </c>
      <c r="F83">
        <f>IF(OR($A83&gt;cfg_LastDataDate,NOT(ISNUMBER(Calc_Daily!$F83))),NA(),Calc_Daily!$F83)</f>
        <v/>
      </c>
      <c r="G83">
        <f>IF(OR($A83&gt;cfg_LastDataDate,NOT(ISNUMBER(Calc_Daily!$U83))),NA(),Calc_Daily!$U83)</f>
        <v/>
      </c>
      <c r="H83">
        <f>IF(OR($A83&gt;cfg_LastDataDate,NOT(ISNUMBER(Calc_Daily!$DZ83))),NA(),Calc_Daily!$DZ83)</f>
        <v/>
      </c>
      <c r="I83">
        <f>IF(OR($A83&gt;cfg_LastDataDate,NOT(ISNUMBER(Calc_Daily!$DT83))),NA(),Calc_Daily!$DT83)</f>
        <v/>
      </c>
      <c r="J83">
        <f>IF(OR($A83&gt;cfg_LastDataDate,NOT(ISNUMBER(Calc_Daily!$IP83))),NA(),Calc_Daily!$IP83)</f>
        <v/>
      </c>
      <c r="K83">
        <f>Calc_Daily!$KM83</f>
        <v/>
      </c>
    </row>
    <row r="84">
      <c r="A84" s="54">
        <f>Calc_Daily!$A84</f>
        <v/>
      </c>
      <c r="B84">
        <f>IF(OR($A84&gt;cfg_LastDataDate,NOT(ISNUMBER(Calc_Daily!$CU84))),NA(),Calc_Daily!$CU84)</f>
        <v/>
      </c>
      <c r="C84">
        <f>Calc_Daily!$JT84/Calc_Daily!$D84</f>
        <v/>
      </c>
      <c r="D84">
        <f>IF(OR($A84&gt;cfg_LastDataDate,NOT(ISNUMBER(Calc_Daily!$EJ84))),NA(),Calc_Daily!$EJ84)</f>
        <v/>
      </c>
      <c r="E84">
        <f>Calc_Daily!$KQ84</f>
        <v/>
      </c>
      <c r="F84">
        <f>IF(OR($A84&gt;cfg_LastDataDate,NOT(ISNUMBER(Calc_Daily!$F84))),NA(),Calc_Daily!$F84)</f>
        <v/>
      </c>
      <c r="G84">
        <f>IF(OR($A84&gt;cfg_LastDataDate,NOT(ISNUMBER(Calc_Daily!$U84))),NA(),Calc_Daily!$U84)</f>
        <v/>
      </c>
      <c r="H84">
        <f>IF(OR($A84&gt;cfg_LastDataDate,NOT(ISNUMBER(Calc_Daily!$DZ84))),NA(),Calc_Daily!$DZ84)</f>
        <v/>
      </c>
      <c r="I84">
        <f>IF(OR($A84&gt;cfg_LastDataDate,NOT(ISNUMBER(Calc_Daily!$DT84))),NA(),Calc_Daily!$DT84)</f>
        <v/>
      </c>
      <c r="J84">
        <f>IF(OR($A84&gt;cfg_LastDataDate,NOT(ISNUMBER(Calc_Daily!$IP84))),NA(),Calc_Daily!$IP84)</f>
        <v/>
      </c>
      <c r="K84">
        <f>Calc_Daily!$KM84</f>
        <v/>
      </c>
    </row>
    <row r="85">
      <c r="A85" s="54">
        <f>Calc_Daily!$A85</f>
        <v/>
      </c>
      <c r="B85">
        <f>IF(OR($A85&gt;cfg_LastDataDate,NOT(ISNUMBER(Calc_Daily!$CU85))),NA(),Calc_Daily!$CU85)</f>
        <v/>
      </c>
      <c r="C85">
        <f>Calc_Daily!$JT85/Calc_Daily!$D85</f>
        <v/>
      </c>
      <c r="D85">
        <f>IF(OR($A85&gt;cfg_LastDataDate,NOT(ISNUMBER(Calc_Daily!$EJ85))),NA(),Calc_Daily!$EJ85)</f>
        <v/>
      </c>
      <c r="E85">
        <f>Calc_Daily!$KQ85</f>
        <v/>
      </c>
      <c r="F85">
        <f>IF(OR($A85&gt;cfg_LastDataDate,NOT(ISNUMBER(Calc_Daily!$F85))),NA(),Calc_Daily!$F85)</f>
        <v/>
      </c>
      <c r="G85">
        <f>IF(OR($A85&gt;cfg_LastDataDate,NOT(ISNUMBER(Calc_Daily!$U85))),NA(),Calc_Daily!$U85)</f>
        <v/>
      </c>
      <c r="H85">
        <f>IF(OR($A85&gt;cfg_LastDataDate,NOT(ISNUMBER(Calc_Daily!$DZ85))),NA(),Calc_Daily!$DZ85)</f>
        <v/>
      </c>
      <c r="I85">
        <f>IF(OR($A85&gt;cfg_LastDataDate,NOT(ISNUMBER(Calc_Daily!$DT85))),NA(),Calc_Daily!$DT85)</f>
        <v/>
      </c>
      <c r="J85">
        <f>IF(OR($A85&gt;cfg_LastDataDate,NOT(ISNUMBER(Calc_Daily!$IP85))),NA(),Calc_Daily!$IP85)</f>
        <v/>
      </c>
      <c r="K85">
        <f>Calc_Daily!$KM85</f>
        <v/>
      </c>
    </row>
    <row r="86">
      <c r="A86" s="54">
        <f>Calc_Daily!$A86</f>
        <v/>
      </c>
      <c r="B86">
        <f>IF(OR($A86&gt;cfg_LastDataDate,NOT(ISNUMBER(Calc_Daily!$CU86))),NA(),Calc_Daily!$CU86)</f>
        <v/>
      </c>
      <c r="C86">
        <f>Calc_Daily!$JT86/Calc_Daily!$D86</f>
        <v/>
      </c>
      <c r="D86">
        <f>IF(OR($A86&gt;cfg_LastDataDate,NOT(ISNUMBER(Calc_Daily!$EJ86))),NA(),Calc_Daily!$EJ86)</f>
        <v/>
      </c>
      <c r="E86">
        <f>Calc_Daily!$KQ86</f>
        <v/>
      </c>
      <c r="F86">
        <f>IF(OR($A86&gt;cfg_LastDataDate,NOT(ISNUMBER(Calc_Daily!$F86))),NA(),Calc_Daily!$F86)</f>
        <v/>
      </c>
      <c r="G86">
        <f>IF(OR($A86&gt;cfg_LastDataDate,NOT(ISNUMBER(Calc_Daily!$U86))),NA(),Calc_Daily!$U86)</f>
        <v/>
      </c>
      <c r="H86">
        <f>IF(OR($A86&gt;cfg_LastDataDate,NOT(ISNUMBER(Calc_Daily!$DZ86))),NA(),Calc_Daily!$DZ86)</f>
        <v/>
      </c>
      <c r="I86">
        <f>IF(OR($A86&gt;cfg_LastDataDate,NOT(ISNUMBER(Calc_Daily!$DT86))),NA(),Calc_Daily!$DT86)</f>
        <v/>
      </c>
      <c r="J86">
        <f>IF(OR($A86&gt;cfg_LastDataDate,NOT(ISNUMBER(Calc_Daily!$IP86))),NA(),Calc_Daily!$IP86)</f>
        <v/>
      </c>
      <c r="K86">
        <f>Calc_Daily!$KM86</f>
        <v/>
      </c>
    </row>
    <row r="87">
      <c r="A87" s="54">
        <f>Calc_Daily!$A87</f>
        <v/>
      </c>
      <c r="B87">
        <f>IF(OR($A87&gt;cfg_LastDataDate,NOT(ISNUMBER(Calc_Daily!$CU87))),NA(),Calc_Daily!$CU87)</f>
        <v/>
      </c>
      <c r="C87">
        <f>Calc_Daily!$JT87/Calc_Daily!$D87</f>
        <v/>
      </c>
      <c r="D87">
        <f>IF(OR($A87&gt;cfg_LastDataDate,NOT(ISNUMBER(Calc_Daily!$EJ87))),NA(),Calc_Daily!$EJ87)</f>
        <v/>
      </c>
      <c r="E87">
        <f>Calc_Daily!$KQ87</f>
        <v/>
      </c>
      <c r="F87">
        <f>IF(OR($A87&gt;cfg_LastDataDate,NOT(ISNUMBER(Calc_Daily!$F87))),NA(),Calc_Daily!$F87)</f>
        <v/>
      </c>
      <c r="G87">
        <f>IF(OR($A87&gt;cfg_LastDataDate,NOT(ISNUMBER(Calc_Daily!$U87))),NA(),Calc_Daily!$U87)</f>
        <v/>
      </c>
      <c r="H87">
        <f>IF(OR($A87&gt;cfg_LastDataDate,NOT(ISNUMBER(Calc_Daily!$DZ87))),NA(),Calc_Daily!$DZ87)</f>
        <v/>
      </c>
      <c r="I87">
        <f>IF(OR($A87&gt;cfg_LastDataDate,NOT(ISNUMBER(Calc_Daily!$DT87))),NA(),Calc_Daily!$DT87)</f>
        <v/>
      </c>
      <c r="J87">
        <f>IF(OR($A87&gt;cfg_LastDataDate,NOT(ISNUMBER(Calc_Daily!$IP87))),NA(),Calc_Daily!$IP87)</f>
        <v/>
      </c>
      <c r="K87">
        <f>Calc_Daily!$KM87</f>
        <v/>
      </c>
    </row>
    <row r="88">
      <c r="A88" s="54">
        <f>Calc_Daily!$A88</f>
        <v/>
      </c>
      <c r="B88">
        <f>IF(OR($A88&gt;cfg_LastDataDate,NOT(ISNUMBER(Calc_Daily!$CU88))),NA(),Calc_Daily!$CU88)</f>
        <v/>
      </c>
      <c r="C88">
        <f>Calc_Daily!$JT88/Calc_Daily!$D88</f>
        <v/>
      </c>
      <c r="D88">
        <f>IF(OR($A88&gt;cfg_LastDataDate,NOT(ISNUMBER(Calc_Daily!$EJ88))),NA(),Calc_Daily!$EJ88)</f>
        <v/>
      </c>
      <c r="E88">
        <f>Calc_Daily!$KQ88</f>
        <v/>
      </c>
      <c r="F88">
        <f>IF(OR($A88&gt;cfg_LastDataDate,NOT(ISNUMBER(Calc_Daily!$F88))),NA(),Calc_Daily!$F88)</f>
        <v/>
      </c>
      <c r="G88">
        <f>IF(OR($A88&gt;cfg_LastDataDate,NOT(ISNUMBER(Calc_Daily!$U88))),NA(),Calc_Daily!$U88)</f>
        <v/>
      </c>
      <c r="H88">
        <f>IF(OR($A88&gt;cfg_LastDataDate,NOT(ISNUMBER(Calc_Daily!$DZ88))),NA(),Calc_Daily!$DZ88)</f>
        <v/>
      </c>
      <c r="I88">
        <f>IF(OR($A88&gt;cfg_LastDataDate,NOT(ISNUMBER(Calc_Daily!$DT88))),NA(),Calc_Daily!$DT88)</f>
        <v/>
      </c>
      <c r="J88">
        <f>IF(OR($A88&gt;cfg_LastDataDate,NOT(ISNUMBER(Calc_Daily!$IP88))),NA(),Calc_Daily!$IP88)</f>
        <v/>
      </c>
      <c r="K88">
        <f>Calc_Daily!$KM88</f>
        <v/>
      </c>
    </row>
    <row r="89">
      <c r="A89" s="54">
        <f>Calc_Daily!$A89</f>
        <v/>
      </c>
      <c r="B89">
        <f>IF(OR($A89&gt;cfg_LastDataDate,NOT(ISNUMBER(Calc_Daily!$CU89))),NA(),Calc_Daily!$CU89)</f>
        <v/>
      </c>
      <c r="C89">
        <f>Calc_Daily!$JT89/Calc_Daily!$D89</f>
        <v/>
      </c>
      <c r="D89">
        <f>IF(OR($A89&gt;cfg_LastDataDate,NOT(ISNUMBER(Calc_Daily!$EJ89))),NA(),Calc_Daily!$EJ89)</f>
        <v/>
      </c>
      <c r="E89">
        <f>Calc_Daily!$KQ89</f>
        <v/>
      </c>
      <c r="F89">
        <f>IF(OR($A89&gt;cfg_LastDataDate,NOT(ISNUMBER(Calc_Daily!$F89))),NA(),Calc_Daily!$F89)</f>
        <v/>
      </c>
      <c r="G89">
        <f>IF(OR($A89&gt;cfg_LastDataDate,NOT(ISNUMBER(Calc_Daily!$U89))),NA(),Calc_Daily!$U89)</f>
        <v/>
      </c>
      <c r="H89">
        <f>IF(OR($A89&gt;cfg_LastDataDate,NOT(ISNUMBER(Calc_Daily!$DZ89))),NA(),Calc_Daily!$DZ89)</f>
        <v/>
      </c>
      <c r="I89">
        <f>IF(OR($A89&gt;cfg_LastDataDate,NOT(ISNUMBER(Calc_Daily!$DT89))),NA(),Calc_Daily!$DT89)</f>
        <v/>
      </c>
      <c r="J89">
        <f>IF(OR($A89&gt;cfg_LastDataDate,NOT(ISNUMBER(Calc_Daily!$IP89))),NA(),Calc_Daily!$IP89)</f>
        <v/>
      </c>
      <c r="K89">
        <f>Calc_Daily!$KM89</f>
        <v/>
      </c>
    </row>
    <row r="90">
      <c r="A90" s="54">
        <f>Calc_Daily!$A90</f>
        <v/>
      </c>
      <c r="B90">
        <f>IF(OR($A90&gt;cfg_LastDataDate,NOT(ISNUMBER(Calc_Daily!$CU90))),NA(),Calc_Daily!$CU90)</f>
        <v/>
      </c>
      <c r="C90">
        <f>Calc_Daily!$JT90/Calc_Daily!$D90</f>
        <v/>
      </c>
      <c r="D90">
        <f>IF(OR($A90&gt;cfg_LastDataDate,NOT(ISNUMBER(Calc_Daily!$EJ90))),NA(),Calc_Daily!$EJ90)</f>
        <v/>
      </c>
      <c r="E90">
        <f>Calc_Daily!$KQ90</f>
        <v/>
      </c>
      <c r="F90">
        <f>IF(OR($A90&gt;cfg_LastDataDate,NOT(ISNUMBER(Calc_Daily!$F90))),NA(),Calc_Daily!$F90)</f>
        <v/>
      </c>
      <c r="G90">
        <f>IF(OR($A90&gt;cfg_LastDataDate,NOT(ISNUMBER(Calc_Daily!$U90))),NA(),Calc_Daily!$U90)</f>
        <v/>
      </c>
      <c r="H90">
        <f>IF(OR($A90&gt;cfg_LastDataDate,NOT(ISNUMBER(Calc_Daily!$DZ90))),NA(),Calc_Daily!$DZ90)</f>
        <v/>
      </c>
      <c r="I90">
        <f>IF(OR($A90&gt;cfg_LastDataDate,NOT(ISNUMBER(Calc_Daily!$DT90))),NA(),Calc_Daily!$DT90)</f>
        <v/>
      </c>
      <c r="J90">
        <f>IF(OR($A90&gt;cfg_LastDataDate,NOT(ISNUMBER(Calc_Daily!$IP90))),NA(),Calc_Daily!$IP90)</f>
        <v/>
      </c>
      <c r="K90">
        <f>Calc_Daily!$KM90</f>
        <v/>
      </c>
    </row>
    <row r="91">
      <c r="A91" s="54">
        <f>Calc_Daily!$A91</f>
        <v/>
      </c>
      <c r="B91">
        <f>IF(OR($A91&gt;cfg_LastDataDate,NOT(ISNUMBER(Calc_Daily!$CU91))),NA(),Calc_Daily!$CU91)</f>
        <v/>
      </c>
      <c r="C91">
        <f>Calc_Daily!$JT91/Calc_Daily!$D91</f>
        <v/>
      </c>
      <c r="D91">
        <f>IF(OR($A91&gt;cfg_LastDataDate,NOT(ISNUMBER(Calc_Daily!$EJ91))),NA(),Calc_Daily!$EJ91)</f>
        <v/>
      </c>
      <c r="E91">
        <f>Calc_Daily!$KQ91</f>
        <v/>
      </c>
      <c r="F91">
        <f>IF(OR($A91&gt;cfg_LastDataDate,NOT(ISNUMBER(Calc_Daily!$F91))),NA(),Calc_Daily!$F91)</f>
        <v/>
      </c>
      <c r="G91">
        <f>IF(OR($A91&gt;cfg_LastDataDate,NOT(ISNUMBER(Calc_Daily!$U91))),NA(),Calc_Daily!$U91)</f>
        <v/>
      </c>
      <c r="H91">
        <f>IF(OR($A91&gt;cfg_LastDataDate,NOT(ISNUMBER(Calc_Daily!$DZ91))),NA(),Calc_Daily!$DZ91)</f>
        <v/>
      </c>
      <c r="I91">
        <f>IF(OR($A91&gt;cfg_LastDataDate,NOT(ISNUMBER(Calc_Daily!$DT91))),NA(),Calc_Daily!$DT91)</f>
        <v/>
      </c>
      <c r="J91">
        <f>IF(OR($A91&gt;cfg_LastDataDate,NOT(ISNUMBER(Calc_Daily!$IP91))),NA(),Calc_Daily!$IP91)</f>
        <v/>
      </c>
      <c r="K91">
        <f>Calc_Daily!$KM91</f>
        <v/>
      </c>
    </row>
    <row r="92">
      <c r="A92" s="54">
        <f>Calc_Daily!$A92</f>
        <v/>
      </c>
      <c r="B92">
        <f>IF(OR($A92&gt;cfg_LastDataDate,NOT(ISNUMBER(Calc_Daily!$CU92))),NA(),Calc_Daily!$CU92)</f>
        <v/>
      </c>
      <c r="C92">
        <f>Calc_Daily!$JT92/Calc_Daily!$D92</f>
        <v/>
      </c>
      <c r="D92">
        <f>IF(OR($A92&gt;cfg_LastDataDate,NOT(ISNUMBER(Calc_Daily!$EJ92))),NA(),Calc_Daily!$EJ92)</f>
        <v/>
      </c>
      <c r="E92">
        <f>Calc_Daily!$KQ92</f>
        <v/>
      </c>
      <c r="F92">
        <f>IF(OR($A92&gt;cfg_LastDataDate,NOT(ISNUMBER(Calc_Daily!$F92))),NA(),Calc_Daily!$F92)</f>
        <v/>
      </c>
      <c r="G92">
        <f>IF(OR($A92&gt;cfg_LastDataDate,NOT(ISNUMBER(Calc_Daily!$U92))),NA(),Calc_Daily!$U92)</f>
        <v/>
      </c>
      <c r="H92">
        <f>IF(OR($A92&gt;cfg_LastDataDate,NOT(ISNUMBER(Calc_Daily!$DZ92))),NA(),Calc_Daily!$DZ92)</f>
        <v/>
      </c>
      <c r="I92">
        <f>IF(OR($A92&gt;cfg_LastDataDate,NOT(ISNUMBER(Calc_Daily!$DT92))),NA(),Calc_Daily!$DT92)</f>
        <v/>
      </c>
      <c r="J92">
        <f>IF(OR($A92&gt;cfg_LastDataDate,NOT(ISNUMBER(Calc_Daily!$IP92))),NA(),Calc_Daily!$IP92)</f>
        <v/>
      </c>
      <c r="K92">
        <f>Calc_Daily!$KM92</f>
        <v/>
      </c>
    </row>
    <row r="93">
      <c r="A93" s="54">
        <f>Calc_Daily!$A93</f>
        <v/>
      </c>
      <c r="B93">
        <f>IF(OR($A93&gt;cfg_LastDataDate,NOT(ISNUMBER(Calc_Daily!$CU93))),NA(),Calc_Daily!$CU93)</f>
        <v/>
      </c>
      <c r="C93">
        <f>Calc_Daily!$JT93/Calc_Daily!$D93</f>
        <v/>
      </c>
      <c r="D93">
        <f>IF(OR($A93&gt;cfg_LastDataDate,NOT(ISNUMBER(Calc_Daily!$EJ93))),NA(),Calc_Daily!$EJ93)</f>
        <v/>
      </c>
      <c r="E93">
        <f>Calc_Daily!$KQ93</f>
        <v/>
      </c>
      <c r="F93">
        <f>IF(OR($A93&gt;cfg_LastDataDate,NOT(ISNUMBER(Calc_Daily!$F93))),NA(),Calc_Daily!$F93)</f>
        <v/>
      </c>
      <c r="G93">
        <f>IF(OR($A93&gt;cfg_LastDataDate,NOT(ISNUMBER(Calc_Daily!$U93))),NA(),Calc_Daily!$U93)</f>
        <v/>
      </c>
      <c r="H93">
        <f>IF(OR($A93&gt;cfg_LastDataDate,NOT(ISNUMBER(Calc_Daily!$DZ93))),NA(),Calc_Daily!$DZ93)</f>
        <v/>
      </c>
      <c r="I93">
        <f>IF(OR($A93&gt;cfg_LastDataDate,NOT(ISNUMBER(Calc_Daily!$DT93))),NA(),Calc_Daily!$DT93)</f>
        <v/>
      </c>
      <c r="J93">
        <f>IF(OR($A93&gt;cfg_LastDataDate,NOT(ISNUMBER(Calc_Daily!$IP93))),NA(),Calc_Daily!$IP93)</f>
        <v/>
      </c>
      <c r="K93">
        <f>Calc_Daily!$KM93</f>
        <v/>
      </c>
    </row>
    <row r="94">
      <c r="A94" s="54">
        <f>Calc_Daily!$A94</f>
        <v/>
      </c>
      <c r="B94">
        <f>IF(OR($A94&gt;cfg_LastDataDate,NOT(ISNUMBER(Calc_Daily!$CU94))),NA(),Calc_Daily!$CU94)</f>
        <v/>
      </c>
      <c r="C94">
        <f>Calc_Daily!$JT94/Calc_Daily!$D94</f>
        <v/>
      </c>
      <c r="D94">
        <f>IF(OR($A94&gt;cfg_LastDataDate,NOT(ISNUMBER(Calc_Daily!$EJ94))),NA(),Calc_Daily!$EJ94)</f>
        <v/>
      </c>
      <c r="E94">
        <f>Calc_Daily!$KQ94</f>
        <v/>
      </c>
      <c r="F94">
        <f>IF(OR($A94&gt;cfg_LastDataDate,NOT(ISNUMBER(Calc_Daily!$F94))),NA(),Calc_Daily!$F94)</f>
        <v/>
      </c>
      <c r="G94">
        <f>IF(OR($A94&gt;cfg_LastDataDate,NOT(ISNUMBER(Calc_Daily!$U94))),NA(),Calc_Daily!$U94)</f>
        <v/>
      </c>
      <c r="H94">
        <f>IF(OR($A94&gt;cfg_LastDataDate,NOT(ISNUMBER(Calc_Daily!$DZ94))),NA(),Calc_Daily!$DZ94)</f>
        <v/>
      </c>
      <c r="I94">
        <f>IF(OR($A94&gt;cfg_LastDataDate,NOT(ISNUMBER(Calc_Daily!$DT94))),NA(),Calc_Daily!$DT94)</f>
        <v/>
      </c>
      <c r="J94">
        <f>IF(OR($A94&gt;cfg_LastDataDate,NOT(ISNUMBER(Calc_Daily!$IP94))),NA(),Calc_Daily!$IP94)</f>
        <v/>
      </c>
      <c r="K94">
        <f>Calc_Daily!$KM94</f>
        <v/>
      </c>
    </row>
    <row r="95">
      <c r="A95" s="54">
        <f>Calc_Daily!$A95</f>
        <v/>
      </c>
      <c r="B95">
        <f>IF(OR($A95&gt;cfg_LastDataDate,NOT(ISNUMBER(Calc_Daily!$CU95))),NA(),Calc_Daily!$CU95)</f>
        <v/>
      </c>
      <c r="C95">
        <f>Calc_Daily!$JT95/Calc_Daily!$D95</f>
        <v/>
      </c>
      <c r="D95">
        <f>IF(OR($A95&gt;cfg_LastDataDate,NOT(ISNUMBER(Calc_Daily!$EJ95))),NA(),Calc_Daily!$EJ95)</f>
        <v/>
      </c>
      <c r="E95">
        <f>Calc_Daily!$KQ95</f>
        <v/>
      </c>
      <c r="F95">
        <f>IF(OR($A95&gt;cfg_LastDataDate,NOT(ISNUMBER(Calc_Daily!$F95))),NA(),Calc_Daily!$F95)</f>
        <v/>
      </c>
      <c r="G95">
        <f>IF(OR($A95&gt;cfg_LastDataDate,NOT(ISNUMBER(Calc_Daily!$U95))),NA(),Calc_Daily!$U95)</f>
        <v/>
      </c>
      <c r="H95">
        <f>IF(OR($A95&gt;cfg_LastDataDate,NOT(ISNUMBER(Calc_Daily!$DZ95))),NA(),Calc_Daily!$DZ95)</f>
        <v/>
      </c>
      <c r="I95">
        <f>IF(OR($A95&gt;cfg_LastDataDate,NOT(ISNUMBER(Calc_Daily!$DT95))),NA(),Calc_Daily!$DT95)</f>
        <v/>
      </c>
      <c r="J95">
        <f>IF(OR($A95&gt;cfg_LastDataDate,NOT(ISNUMBER(Calc_Daily!$IP95))),NA(),Calc_Daily!$IP95)</f>
        <v/>
      </c>
      <c r="K95">
        <f>Calc_Daily!$KM95</f>
        <v/>
      </c>
    </row>
    <row r="96">
      <c r="A96" s="54">
        <f>Calc_Daily!$A96</f>
        <v/>
      </c>
      <c r="B96">
        <f>IF(OR($A96&gt;cfg_LastDataDate,NOT(ISNUMBER(Calc_Daily!$CU96))),NA(),Calc_Daily!$CU96)</f>
        <v/>
      </c>
      <c r="C96">
        <f>Calc_Daily!$JT96/Calc_Daily!$D96</f>
        <v/>
      </c>
      <c r="D96">
        <f>IF(OR($A96&gt;cfg_LastDataDate,NOT(ISNUMBER(Calc_Daily!$EJ96))),NA(),Calc_Daily!$EJ96)</f>
        <v/>
      </c>
      <c r="E96">
        <f>Calc_Daily!$KQ96</f>
        <v/>
      </c>
      <c r="F96">
        <f>IF(OR($A96&gt;cfg_LastDataDate,NOT(ISNUMBER(Calc_Daily!$F96))),NA(),Calc_Daily!$F96)</f>
        <v/>
      </c>
      <c r="G96">
        <f>IF(OR($A96&gt;cfg_LastDataDate,NOT(ISNUMBER(Calc_Daily!$U96))),NA(),Calc_Daily!$U96)</f>
        <v/>
      </c>
      <c r="H96">
        <f>IF(OR($A96&gt;cfg_LastDataDate,NOT(ISNUMBER(Calc_Daily!$DZ96))),NA(),Calc_Daily!$DZ96)</f>
        <v/>
      </c>
      <c r="I96">
        <f>IF(OR($A96&gt;cfg_LastDataDate,NOT(ISNUMBER(Calc_Daily!$DT96))),NA(),Calc_Daily!$DT96)</f>
        <v/>
      </c>
      <c r="J96">
        <f>IF(OR($A96&gt;cfg_LastDataDate,NOT(ISNUMBER(Calc_Daily!$IP96))),NA(),Calc_Daily!$IP96)</f>
        <v/>
      </c>
      <c r="K96">
        <f>Calc_Daily!$KM96</f>
        <v/>
      </c>
    </row>
    <row r="97">
      <c r="A97" s="54">
        <f>Calc_Daily!$A97</f>
        <v/>
      </c>
      <c r="B97">
        <f>IF(OR($A97&gt;cfg_LastDataDate,NOT(ISNUMBER(Calc_Daily!$CU97))),NA(),Calc_Daily!$CU97)</f>
        <v/>
      </c>
      <c r="C97">
        <f>Calc_Daily!$JT97/Calc_Daily!$D97</f>
        <v/>
      </c>
      <c r="D97">
        <f>IF(OR($A97&gt;cfg_LastDataDate,NOT(ISNUMBER(Calc_Daily!$EJ97))),NA(),Calc_Daily!$EJ97)</f>
        <v/>
      </c>
      <c r="E97">
        <f>Calc_Daily!$KQ97</f>
        <v/>
      </c>
      <c r="F97">
        <f>IF(OR($A97&gt;cfg_LastDataDate,NOT(ISNUMBER(Calc_Daily!$F97))),NA(),Calc_Daily!$F97)</f>
        <v/>
      </c>
      <c r="G97">
        <f>IF(OR($A97&gt;cfg_LastDataDate,NOT(ISNUMBER(Calc_Daily!$U97))),NA(),Calc_Daily!$U97)</f>
        <v/>
      </c>
      <c r="H97">
        <f>IF(OR($A97&gt;cfg_LastDataDate,NOT(ISNUMBER(Calc_Daily!$DZ97))),NA(),Calc_Daily!$DZ97)</f>
        <v/>
      </c>
      <c r="I97">
        <f>IF(OR($A97&gt;cfg_LastDataDate,NOT(ISNUMBER(Calc_Daily!$DT97))),NA(),Calc_Daily!$DT97)</f>
        <v/>
      </c>
      <c r="J97">
        <f>IF(OR($A97&gt;cfg_LastDataDate,NOT(ISNUMBER(Calc_Daily!$IP97))),NA(),Calc_Daily!$IP97)</f>
        <v/>
      </c>
      <c r="K97">
        <f>Calc_Daily!$KM97</f>
        <v/>
      </c>
    </row>
    <row r="98">
      <c r="A98" s="54">
        <f>Calc_Daily!$A98</f>
        <v/>
      </c>
      <c r="B98">
        <f>IF(OR($A98&gt;cfg_LastDataDate,NOT(ISNUMBER(Calc_Daily!$CU98))),NA(),Calc_Daily!$CU98)</f>
        <v/>
      </c>
      <c r="C98">
        <f>Calc_Daily!$JT98/Calc_Daily!$D98</f>
        <v/>
      </c>
      <c r="D98">
        <f>IF(OR($A98&gt;cfg_LastDataDate,NOT(ISNUMBER(Calc_Daily!$EJ98))),NA(),Calc_Daily!$EJ98)</f>
        <v/>
      </c>
      <c r="E98">
        <f>Calc_Daily!$KQ98</f>
        <v/>
      </c>
      <c r="F98">
        <f>IF(OR($A98&gt;cfg_LastDataDate,NOT(ISNUMBER(Calc_Daily!$F98))),NA(),Calc_Daily!$F98)</f>
        <v/>
      </c>
      <c r="G98">
        <f>IF(OR($A98&gt;cfg_LastDataDate,NOT(ISNUMBER(Calc_Daily!$U98))),NA(),Calc_Daily!$U98)</f>
        <v/>
      </c>
      <c r="H98">
        <f>IF(OR($A98&gt;cfg_LastDataDate,NOT(ISNUMBER(Calc_Daily!$DZ98))),NA(),Calc_Daily!$DZ98)</f>
        <v/>
      </c>
      <c r="I98">
        <f>IF(OR($A98&gt;cfg_LastDataDate,NOT(ISNUMBER(Calc_Daily!$DT98))),NA(),Calc_Daily!$DT98)</f>
        <v/>
      </c>
      <c r="J98">
        <f>IF(OR($A98&gt;cfg_LastDataDate,NOT(ISNUMBER(Calc_Daily!$IP98))),NA(),Calc_Daily!$IP98)</f>
        <v/>
      </c>
      <c r="K98">
        <f>Calc_Daily!$KM98</f>
        <v/>
      </c>
    </row>
    <row r="99">
      <c r="A99" s="54">
        <f>Calc_Daily!$A99</f>
        <v/>
      </c>
      <c r="B99">
        <f>IF(OR($A99&gt;cfg_LastDataDate,NOT(ISNUMBER(Calc_Daily!$CU99))),NA(),Calc_Daily!$CU99)</f>
        <v/>
      </c>
      <c r="C99">
        <f>Calc_Daily!$JT99/Calc_Daily!$D99</f>
        <v/>
      </c>
      <c r="D99">
        <f>IF(OR($A99&gt;cfg_LastDataDate,NOT(ISNUMBER(Calc_Daily!$EJ99))),NA(),Calc_Daily!$EJ99)</f>
        <v/>
      </c>
      <c r="E99">
        <f>Calc_Daily!$KQ99</f>
        <v/>
      </c>
      <c r="F99">
        <f>IF(OR($A99&gt;cfg_LastDataDate,NOT(ISNUMBER(Calc_Daily!$F99))),NA(),Calc_Daily!$F99)</f>
        <v/>
      </c>
      <c r="G99">
        <f>IF(OR($A99&gt;cfg_LastDataDate,NOT(ISNUMBER(Calc_Daily!$U99))),NA(),Calc_Daily!$U99)</f>
        <v/>
      </c>
      <c r="H99">
        <f>IF(OR($A99&gt;cfg_LastDataDate,NOT(ISNUMBER(Calc_Daily!$DZ99))),NA(),Calc_Daily!$DZ99)</f>
        <v/>
      </c>
      <c r="I99">
        <f>IF(OR($A99&gt;cfg_LastDataDate,NOT(ISNUMBER(Calc_Daily!$DT99))),NA(),Calc_Daily!$DT99)</f>
        <v/>
      </c>
      <c r="J99">
        <f>IF(OR($A99&gt;cfg_LastDataDate,NOT(ISNUMBER(Calc_Daily!$IP99))),NA(),Calc_Daily!$IP99)</f>
        <v/>
      </c>
      <c r="K99">
        <f>Calc_Daily!$KM99</f>
        <v/>
      </c>
    </row>
    <row r="100">
      <c r="A100" s="54">
        <f>Calc_Daily!$A100</f>
        <v/>
      </c>
      <c r="B100">
        <f>IF(OR($A100&gt;cfg_LastDataDate,NOT(ISNUMBER(Calc_Daily!$CU100))),NA(),Calc_Daily!$CU100)</f>
        <v/>
      </c>
      <c r="C100">
        <f>Calc_Daily!$JT100/Calc_Daily!$D100</f>
        <v/>
      </c>
      <c r="D100">
        <f>IF(OR($A100&gt;cfg_LastDataDate,NOT(ISNUMBER(Calc_Daily!$EJ100))),NA(),Calc_Daily!$EJ100)</f>
        <v/>
      </c>
      <c r="E100">
        <f>Calc_Daily!$KQ100</f>
        <v/>
      </c>
      <c r="F100">
        <f>IF(OR($A100&gt;cfg_LastDataDate,NOT(ISNUMBER(Calc_Daily!$F100))),NA(),Calc_Daily!$F100)</f>
        <v/>
      </c>
      <c r="G100">
        <f>IF(OR($A100&gt;cfg_LastDataDate,NOT(ISNUMBER(Calc_Daily!$U100))),NA(),Calc_Daily!$U100)</f>
        <v/>
      </c>
      <c r="H100">
        <f>IF(OR($A100&gt;cfg_LastDataDate,NOT(ISNUMBER(Calc_Daily!$DZ100))),NA(),Calc_Daily!$DZ100)</f>
        <v/>
      </c>
      <c r="I100">
        <f>IF(OR($A100&gt;cfg_LastDataDate,NOT(ISNUMBER(Calc_Daily!$DT100))),NA(),Calc_Daily!$DT100)</f>
        <v/>
      </c>
      <c r="J100">
        <f>IF(OR($A100&gt;cfg_LastDataDate,NOT(ISNUMBER(Calc_Daily!$IP100))),NA(),Calc_Daily!$IP100)</f>
        <v/>
      </c>
      <c r="K100">
        <f>Calc_Daily!$KM100</f>
        <v/>
      </c>
    </row>
    <row r="101">
      <c r="A101" s="54">
        <f>Calc_Daily!$A101</f>
        <v/>
      </c>
      <c r="B101">
        <f>IF(OR($A101&gt;cfg_LastDataDate,NOT(ISNUMBER(Calc_Daily!$CU101))),NA(),Calc_Daily!$CU101)</f>
        <v/>
      </c>
      <c r="C101">
        <f>Calc_Daily!$JT101/Calc_Daily!$D101</f>
        <v/>
      </c>
      <c r="D101">
        <f>IF(OR($A101&gt;cfg_LastDataDate,NOT(ISNUMBER(Calc_Daily!$EJ101))),NA(),Calc_Daily!$EJ101)</f>
        <v/>
      </c>
      <c r="E101">
        <f>Calc_Daily!$KQ101</f>
        <v/>
      </c>
      <c r="F101">
        <f>IF(OR($A101&gt;cfg_LastDataDate,NOT(ISNUMBER(Calc_Daily!$F101))),NA(),Calc_Daily!$F101)</f>
        <v/>
      </c>
      <c r="G101">
        <f>IF(OR($A101&gt;cfg_LastDataDate,NOT(ISNUMBER(Calc_Daily!$U101))),NA(),Calc_Daily!$U101)</f>
        <v/>
      </c>
      <c r="H101">
        <f>IF(OR($A101&gt;cfg_LastDataDate,NOT(ISNUMBER(Calc_Daily!$DZ101))),NA(),Calc_Daily!$DZ101)</f>
        <v/>
      </c>
      <c r="I101">
        <f>IF(OR($A101&gt;cfg_LastDataDate,NOT(ISNUMBER(Calc_Daily!$DT101))),NA(),Calc_Daily!$DT101)</f>
        <v/>
      </c>
      <c r="J101">
        <f>IF(OR($A101&gt;cfg_LastDataDate,NOT(ISNUMBER(Calc_Daily!$IP101))),NA(),Calc_Daily!$IP101)</f>
        <v/>
      </c>
      <c r="K101">
        <f>Calc_Daily!$KM101</f>
        <v/>
      </c>
    </row>
    <row r="102">
      <c r="A102" s="54">
        <f>Calc_Daily!$A102</f>
        <v/>
      </c>
      <c r="B102">
        <f>IF(OR($A102&gt;cfg_LastDataDate,NOT(ISNUMBER(Calc_Daily!$CU102))),NA(),Calc_Daily!$CU102)</f>
        <v/>
      </c>
      <c r="C102">
        <f>Calc_Daily!$JT102/Calc_Daily!$D102</f>
        <v/>
      </c>
      <c r="D102">
        <f>IF(OR($A102&gt;cfg_LastDataDate,NOT(ISNUMBER(Calc_Daily!$EJ102))),NA(),Calc_Daily!$EJ102)</f>
        <v/>
      </c>
      <c r="E102">
        <f>Calc_Daily!$KQ102</f>
        <v/>
      </c>
      <c r="F102">
        <f>IF(OR($A102&gt;cfg_LastDataDate,NOT(ISNUMBER(Calc_Daily!$F102))),NA(),Calc_Daily!$F102)</f>
        <v/>
      </c>
      <c r="G102">
        <f>IF(OR($A102&gt;cfg_LastDataDate,NOT(ISNUMBER(Calc_Daily!$U102))),NA(),Calc_Daily!$U102)</f>
        <v/>
      </c>
      <c r="H102">
        <f>IF(OR($A102&gt;cfg_LastDataDate,NOT(ISNUMBER(Calc_Daily!$DZ102))),NA(),Calc_Daily!$DZ102)</f>
        <v/>
      </c>
      <c r="I102">
        <f>IF(OR($A102&gt;cfg_LastDataDate,NOT(ISNUMBER(Calc_Daily!$DT102))),NA(),Calc_Daily!$DT102)</f>
        <v/>
      </c>
      <c r="J102">
        <f>IF(OR($A102&gt;cfg_LastDataDate,NOT(ISNUMBER(Calc_Daily!$IP102))),NA(),Calc_Daily!$IP102)</f>
        <v/>
      </c>
      <c r="K102">
        <f>Calc_Daily!$KM102</f>
        <v/>
      </c>
    </row>
    <row r="103">
      <c r="A103" s="54">
        <f>Calc_Daily!$A103</f>
        <v/>
      </c>
      <c r="B103">
        <f>IF(OR($A103&gt;cfg_LastDataDate,NOT(ISNUMBER(Calc_Daily!$CU103))),NA(),Calc_Daily!$CU103)</f>
        <v/>
      </c>
      <c r="C103">
        <f>Calc_Daily!$JT103/Calc_Daily!$D103</f>
        <v/>
      </c>
      <c r="D103">
        <f>IF(OR($A103&gt;cfg_LastDataDate,NOT(ISNUMBER(Calc_Daily!$EJ103))),NA(),Calc_Daily!$EJ103)</f>
        <v/>
      </c>
      <c r="E103">
        <f>Calc_Daily!$KQ103</f>
        <v/>
      </c>
      <c r="F103">
        <f>IF(OR($A103&gt;cfg_LastDataDate,NOT(ISNUMBER(Calc_Daily!$F103))),NA(),Calc_Daily!$F103)</f>
        <v/>
      </c>
      <c r="G103">
        <f>IF(OR($A103&gt;cfg_LastDataDate,NOT(ISNUMBER(Calc_Daily!$U103))),NA(),Calc_Daily!$U103)</f>
        <v/>
      </c>
      <c r="H103">
        <f>IF(OR($A103&gt;cfg_LastDataDate,NOT(ISNUMBER(Calc_Daily!$DZ103))),NA(),Calc_Daily!$DZ103)</f>
        <v/>
      </c>
      <c r="I103">
        <f>IF(OR($A103&gt;cfg_LastDataDate,NOT(ISNUMBER(Calc_Daily!$DT103))),NA(),Calc_Daily!$DT103)</f>
        <v/>
      </c>
      <c r="J103">
        <f>IF(OR($A103&gt;cfg_LastDataDate,NOT(ISNUMBER(Calc_Daily!$IP103))),NA(),Calc_Daily!$IP103)</f>
        <v/>
      </c>
      <c r="K103">
        <f>Calc_Daily!$KM103</f>
        <v/>
      </c>
    </row>
    <row r="104">
      <c r="A104" s="54">
        <f>Calc_Daily!$A104</f>
        <v/>
      </c>
      <c r="B104">
        <f>IF(OR($A104&gt;cfg_LastDataDate,NOT(ISNUMBER(Calc_Daily!$CU104))),NA(),Calc_Daily!$CU104)</f>
        <v/>
      </c>
      <c r="C104">
        <f>Calc_Daily!$JT104/Calc_Daily!$D104</f>
        <v/>
      </c>
      <c r="D104">
        <f>IF(OR($A104&gt;cfg_LastDataDate,NOT(ISNUMBER(Calc_Daily!$EJ104))),NA(),Calc_Daily!$EJ104)</f>
        <v/>
      </c>
      <c r="E104">
        <f>Calc_Daily!$KQ104</f>
        <v/>
      </c>
      <c r="F104">
        <f>IF(OR($A104&gt;cfg_LastDataDate,NOT(ISNUMBER(Calc_Daily!$F104))),NA(),Calc_Daily!$F104)</f>
        <v/>
      </c>
      <c r="G104">
        <f>IF(OR($A104&gt;cfg_LastDataDate,NOT(ISNUMBER(Calc_Daily!$U104))),NA(),Calc_Daily!$U104)</f>
        <v/>
      </c>
      <c r="H104">
        <f>IF(OR($A104&gt;cfg_LastDataDate,NOT(ISNUMBER(Calc_Daily!$DZ104))),NA(),Calc_Daily!$DZ104)</f>
        <v/>
      </c>
      <c r="I104">
        <f>IF(OR($A104&gt;cfg_LastDataDate,NOT(ISNUMBER(Calc_Daily!$DT104))),NA(),Calc_Daily!$DT104)</f>
        <v/>
      </c>
      <c r="J104">
        <f>IF(OR($A104&gt;cfg_LastDataDate,NOT(ISNUMBER(Calc_Daily!$IP104))),NA(),Calc_Daily!$IP104)</f>
        <v/>
      </c>
      <c r="K104">
        <f>Calc_Daily!$KM104</f>
        <v/>
      </c>
    </row>
    <row r="105">
      <c r="A105" s="54">
        <f>Calc_Daily!$A105</f>
        <v/>
      </c>
      <c r="B105">
        <f>IF(OR($A105&gt;cfg_LastDataDate,NOT(ISNUMBER(Calc_Daily!$CU105))),NA(),Calc_Daily!$CU105)</f>
        <v/>
      </c>
      <c r="C105">
        <f>Calc_Daily!$JT105/Calc_Daily!$D105</f>
        <v/>
      </c>
      <c r="D105">
        <f>IF(OR($A105&gt;cfg_LastDataDate,NOT(ISNUMBER(Calc_Daily!$EJ105))),NA(),Calc_Daily!$EJ105)</f>
        <v/>
      </c>
      <c r="E105">
        <f>Calc_Daily!$KQ105</f>
        <v/>
      </c>
      <c r="F105">
        <f>IF(OR($A105&gt;cfg_LastDataDate,NOT(ISNUMBER(Calc_Daily!$F105))),NA(),Calc_Daily!$F105)</f>
        <v/>
      </c>
      <c r="G105">
        <f>IF(OR($A105&gt;cfg_LastDataDate,NOT(ISNUMBER(Calc_Daily!$U105))),NA(),Calc_Daily!$U105)</f>
        <v/>
      </c>
      <c r="H105">
        <f>IF(OR($A105&gt;cfg_LastDataDate,NOT(ISNUMBER(Calc_Daily!$DZ105))),NA(),Calc_Daily!$DZ105)</f>
        <v/>
      </c>
      <c r="I105">
        <f>IF(OR($A105&gt;cfg_LastDataDate,NOT(ISNUMBER(Calc_Daily!$DT105))),NA(),Calc_Daily!$DT105)</f>
        <v/>
      </c>
      <c r="J105">
        <f>IF(OR($A105&gt;cfg_LastDataDate,NOT(ISNUMBER(Calc_Daily!$IP105))),NA(),Calc_Daily!$IP105)</f>
        <v/>
      </c>
      <c r="K105">
        <f>Calc_Daily!$KM105</f>
        <v/>
      </c>
    </row>
    <row r="106">
      <c r="A106" s="54">
        <f>Calc_Daily!$A106</f>
        <v/>
      </c>
      <c r="B106">
        <f>IF(OR($A106&gt;cfg_LastDataDate,NOT(ISNUMBER(Calc_Daily!$CU106))),NA(),Calc_Daily!$CU106)</f>
        <v/>
      </c>
      <c r="C106">
        <f>Calc_Daily!$JT106/Calc_Daily!$D106</f>
        <v/>
      </c>
      <c r="D106">
        <f>IF(OR($A106&gt;cfg_LastDataDate,NOT(ISNUMBER(Calc_Daily!$EJ106))),NA(),Calc_Daily!$EJ106)</f>
        <v/>
      </c>
      <c r="E106">
        <f>Calc_Daily!$KQ106</f>
        <v/>
      </c>
      <c r="F106">
        <f>IF(OR($A106&gt;cfg_LastDataDate,NOT(ISNUMBER(Calc_Daily!$F106))),NA(),Calc_Daily!$F106)</f>
        <v/>
      </c>
      <c r="G106">
        <f>IF(OR($A106&gt;cfg_LastDataDate,NOT(ISNUMBER(Calc_Daily!$U106))),NA(),Calc_Daily!$U106)</f>
        <v/>
      </c>
      <c r="H106">
        <f>IF(OR($A106&gt;cfg_LastDataDate,NOT(ISNUMBER(Calc_Daily!$DZ106))),NA(),Calc_Daily!$DZ106)</f>
        <v/>
      </c>
      <c r="I106">
        <f>IF(OR($A106&gt;cfg_LastDataDate,NOT(ISNUMBER(Calc_Daily!$DT106))),NA(),Calc_Daily!$DT106)</f>
        <v/>
      </c>
      <c r="J106">
        <f>IF(OR($A106&gt;cfg_LastDataDate,NOT(ISNUMBER(Calc_Daily!$IP106))),NA(),Calc_Daily!$IP106)</f>
        <v/>
      </c>
      <c r="K106">
        <f>Calc_Daily!$KM106</f>
        <v/>
      </c>
    </row>
    <row r="107">
      <c r="A107" s="54">
        <f>Calc_Daily!$A107</f>
        <v/>
      </c>
      <c r="B107">
        <f>IF(OR($A107&gt;cfg_LastDataDate,NOT(ISNUMBER(Calc_Daily!$CU107))),NA(),Calc_Daily!$CU107)</f>
        <v/>
      </c>
      <c r="C107">
        <f>Calc_Daily!$JT107/Calc_Daily!$D107</f>
        <v/>
      </c>
      <c r="D107">
        <f>IF(OR($A107&gt;cfg_LastDataDate,NOT(ISNUMBER(Calc_Daily!$EJ107))),NA(),Calc_Daily!$EJ107)</f>
        <v/>
      </c>
      <c r="E107">
        <f>Calc_Daily!$KQ107</f>
        <v/>
      </c>
      <c r="F107">
        <f>IF(OR($A107&gt;cfg_LastDataDate,NOT(ISNUMBER(Calc_Daily!$F107))),NA(),Calc_Daily!$F107)</f>
        <v/>
      </c>
      <c r="G107">
        <f>IF(OR($A107&gt;cfg_LastDataDate,NOT(ISNUMBER(Calc_Daily!$U107))),NA(),Calc_Daily!$U107)</f>
        <v/>
      </c>
      <c r="H107">
        <f>IF(OR($A107&gt;cfg_LastDataDate,NOT(ISNUMBER(Calc_Daily!$DZ107))),NA(),Calc_Daily!$DZ107)</f>
        <v/>
      </c>
      <c r="I107">
        <f>IF(OR($A107&gt;cfg_LastDataDate,NOT(ISNUMBER(Calc_Daily!$DT107))),NA(),Calc_Daily!$DT107)</f>
        <v/>
      </c>
      <c r="J107">
        <f>IF(OR($A107&gt;cfg_LastDataDate,NOT(ISNUMBER(Calc_Daily!$IP107))),NA(),Calc_Daily!$IP107)</f>
        <v/>
      </c>
      <c r="K107">
        <f>Calc_Daily!$KM107</f>
        <v/>
      </c>
    </row>
    <row r="108">
      <c r="A108" s="54">
        <f>Calc_Daily!$A108</f>
        <v/>
      </c>
      <c r="B108">
        <f>IF(OR($A108&gt;cfg_LastDataDate,NOT(ISNUMBER(Calc_Daily!$CU108))),NA(),Calc_Daily!$CU108)</f>
        <v/>
      </c>
      <c r="C108">
        <f>Calc_Daily!$JT108/Calc_Daily!$D108</f>
        <v/>
      </c>
      <c r="D108">
        <f>IF(OR($A108&gt;cfg_LastDataDate,NOT(ISNUMBER(Calc_Daily!$EJ108))),NA(),Calc_Daily!$EJ108)</f>
        <v/>
      </c>
      <c r="E108">
        <f>Calc_Daily!$KQ108</f>
        <v/>
      </c>
      <c r="F108">
        <f>IF(OR($A108&gt;cfg_LastDataDate,NOT(ISNUMBER(Calc_Daily!$F108))),NA(),Calc_Daily!$F108)</f>
        <v/>
      </c>
      <c r="G108">
        <f>IF(OR($A108&gt;cfg_LastDataDate,NOT(ISNUMBER(Calc_Daily!$U108))),NA(),Calc_Daily!$U108)</f>
        <v/>
      </c>
      <c r="H108">
        <f>IF(OR($A108&gt;cfg_LastDataDate,NOT(ISNUMBER(Calc_Daily!$DZ108))),NA(),Calc_Daily!$DZ108)</f>
        <v/>
      </c>
      <c r="I108">
        <f>IF(OR($A108&gt;cfg_LastDataDate,NOT(ISNUMBER(Calc_Daily!$DT108))),NA(),Calc_Daily!$DT108)</f>
        <v/>
      </c>
      <c r="J108">
        <f>IF(OR($A108&gt;cfg_LastDataDate,NOT(ISNUMBER(Calc_Daily!$IP108))),NA(),Calc_Daily!$IP108)</f>
        <v/>
      </c>
      <c r="K108">
        <f>Calc_Daily!$KM108</f>
        <v/>
      </c>
    </row>
    <row r="109">
      <c r="A109" s="54">
        <f>Calc_Daily!$A109</f>
        <v/>
      </c>
      <c r="B109">
        <f>IF(OR($A109&gt;cfg_LastDataDate,NOT(ISNUMBER(Calc_Daily!$CU109))),NA(),Calc_Daily!$CU109)</f>
        <v/>
      </c>
      <c r="C109">
        <f>Calc_Daily!$JT109/Calc_Daily!$D109</f>
        <v/>
      </c>
      <c r="D109">
        <f>IF(OR($A109&gt;cfg_LastDataDate,NOT(ISNUMBER(Calc_Daily!$EJ109))),NA(),Calc_Daily!$EJ109)</f>
        <v/>
      </c>
      <c r="E109">
        <f>Calc_Daily!$KQ109</f>
        <v/>
      </c>
      <c r="F109">
        <f>IF(OR($A109&gt;cfg_LastDataDate,NOT(ISNUMBER(Calc_Daily!$F109))),NA(),Calc_Daily!$F109)</f>
        <v/>
      </c>
      <c r="G109">
        <f>IF(OR($A109&gt;cfg_LastDataDate,NOT(ISNUMBER(Calc_Daily!$U109))),NA(),Calc_Daily!$U109)</f>
        <v/>
      </c>
      <c r="H109">
        <f>IF(OR($A109&gt;cfg_LastDataDate,NOT(ISNUMBER(Calc_Daily!$DZ109))),NA(),Calc_Daily!$DZ109)</f>
        <v/>
      </c>
      <c r="I109">
        <f>IF(OR($A109&gt;cfg_LastDataDate,NOT(ISNUMBER(Calc_Daily!$DT109))),NA(),Calc_Daily!$DT109)</f>
        <v/>
      </c>
      <c r="J109">
        <f>IF(OR($A109&gt;cfg_LastDataDate,NOT(ISNUMBER(Calc_Daily!$IP109))),NA(),Calc_Daily!$IP109)</f>
        <v/>
      </c>
      <c r="K109">
        <f>Calc_Daily!$KM109</f>
        <v/>
      </c>
    </row>
    <row r="110">
      <c r="A110" s="54">
        <f>Calc_Daily!$A110</f>
        <v/>
      </c>
      <c r="B110">
        <f>IF(OR($A110&gt;cfg_LastDataDate,NOT(ISNUMBER(Calc_Daily!$CU110))),NA(),Calc_Daily!$CU110)</f>
        <v/>
      </c>
      <c r="C110">
        <f>Calc_Daily!$JT110/Calc_Daily!$D110</f>
        <v/>
      </c>
      <c r="D110">
        <f>IF(OR($A110&gt;cfg_LastDataDate,NOT(ISNUMBER(Calc_Daily!$EJ110))),NA(),Calc_Daily!$EJ110)</f>
        <v/>
      </c>
      <c r="E110">
        <f>Calc_Daily!$KQ110</f>
        <v/>
      </c>
      <c r="F110">
        <f>IF(OR($A110&gt;cfg_LastDataDate,NOT(ISNUMBER(Calc_Daily!$F110))),NA(),Calc_Daily!$F110)</f>
        <v/>
      </c>
      <c r="G110">
        <f>IF(OR($A110&gt;cfg_LastDataDate,NOT(ISNUMBER(Calc_Daily!$U110))),NA(),Calc_Daily!$U110)</f>
        <v/>
      </c>
      <c r="H110">
        <f>IF(OR($A110&gt;cfg_LastDataDate,NOT(ISNUMBER(Calc_Daily!$DZ110))),NA(),Calc_Daily!$DZ110)</f>
        <v/>
      </c>
      <c r="I110">
        <f>IF(OR($A110&gt;cfg_LastDataDate,NOT(ISNUMBER(Calc_Daily!$DT110))),NA(),Calc_Daily!$DT110)</f>
        <v/>
      </c>
      <c r="J110">
        <f>IF(OR($A110&gt;cfg_LastDataDate,NOT(ISNUMBER(Calc_Daily!$IP110))),NA(),Calc_Daily!$IP110)</f>
        <v/>
      </c>
      <c r="K110">
        <f>Calc_Daily!$KM110</f>
        <v/>
      </c>
    </row>
    <row r="111">
      <c r="A111" s="54">
        <f>Calc_Daily!$A111</f>
        <v/>
      </c>
      <c r="B111">
        <f>IF(OR($A111&gt;cfg_LastDataDate,NOT(ISNUMBER(Calc_Daily!$CU111))),NA(),Calc_Daily!$CU111)</f>
        <v/>
      </c>
      <c r="C111">
        <f>Calc_Daily!$JT111/Calc_Daily!$D111</f>
        <v/>
      </c>
      <c r="D111">
        <f>IF(OR($A111&gt;cfg_LastDataDate,NOT(ISNUMBER(Calc_Daily!$EJ111))),NA(),Calc_Daily!$EJ111)</f>
        <v/>
      </c>
      <c r="E111">
        <f>Calc_Daily!$KQ111</f>
        <v/>
      </c>
      <c r="F111">
        <f>IF(OR($A111&gt;cfg_LastDataDate,NOT(ISNUMBER(Calc_Daily!$F111))),NA(),Calc_Daily!$F111)</f>
        <v/>
      </c>
      <c r="G111">
        <f>IF(OR($A111&gt;cfg_LastDataDate,NOT(ISNUMBER(Calc_Daily!$U111))),NA(),Calc_Daily!$U111)</f>
        <v/>
      </c>
      <c r="H111">
        <f>IF(OR($A111&gt;cfg_LastDataDate,NOT(ISNUMBER(Calc_Daily!$DZ111))),NA(),Calc_Daily!$DZ111)</f>
        <v/>
      </c>
      <c r="I111">
        <f>IF(OR($A111&gt;cfg_LastDataDate,NOT(ISNUMBER(Calc_Daily!$DT111))),NA(),Calc_Daily!$DT111)</f>
        <v/>
      </c>
      <c r="J111">
        <f>IF(OR($A111&gt;cfg_LastDataDate,NOT(ISNUMBER(Calc_Daily!$IP111))),NA(),Calc_Daily!$IP111)</f>
        <v/>
      </c>
      <c r="K111">
        <f>Calc_Daily!$KM111</f>
        <v/>
      </c>
    </row>
    <row r="112">
      <c r="A112" s="54">
        <f>Calc_Daily!$A112</f>
        <v/>
      </c>
      <c r="B112">
        <f>IF(OR($A112&gt;cfg_LastDataDate,NOT(ISNUMBER(Calc_Daily!$CU112))),NA(),Calc_Daily!$CU112)</f>
        <v/>
      </c>
      <c r="C112">
        <f>Calc_Daily!$JT112/Calc_Daily!$D112</f>
        <v/>
      </c>
      <c r="D112">
        <f>IF(OR($A112&gt;cfg_LastDataDate,NOT(ISNUMBER(Calc_Daily!$EJ112))),NA(),Calc_Daily!$EJ112)</f>
        <v/>
      </c>
      <c r="E112">
        <f>Calc_Daily!$KQ112</f>
        <v/>
      </c>
      <c r="F112">
        <f>IF(OR($A112&gt;cfg_LastDataDate,NOT(ISNUMBER(Calc_Daily!$F112))),NA(),Calc_Daily!$F112)</f>
        <v/>
      </c>
      <c r="G112">
        <f>IF(OR($A112&gt;cfg_LastDataDate,NOT(ISNUMBER(Calc_Daily!$U112))),NA(),Calc_Daily!$U112)</f>
        <v/>
      </c>
      <c r="H112">
        <f>IF(OR($A112&gt;cfg_LastDataDate,NOT(ISNUMBER(Calc_Daily!$DZ112))),NA(),Calc_Daily!$DZ112)</f>
        <v/>
      </c>
      <c r="I112">
        <f>IF(OR($A112&gt;cfg_LastDataDate,NOT(ISNUMBER(Calc_Daily!$DT112))),NA(),Calc_Daily!$DT112)</f>
        <v/>
      </c>
      <c r="J112">
        <f>IF(OR($A112&gt;cfg_LastDataDate,NOT(ISNUMBER(Calc_Daily!$IP112))),NA(),Calc_Daily!$IP112)</f>
        <v/>
      </c>
      <c r="K112">
        <f>Calc_Daily!$KM112</f>
        <v/>
      </c>
    </row>
    <row r="113">
      <c r="A113" s="54">
        <f>Calc_Daily!$A113</f>
        <v/>
      </c>
      <c r="B113">
        <f>IF(OR($A113&gt;cfg_LastDataDate,NOT(ISNUMBER(Calc_Daily!$CU113))),NA(),Calc_Daily!$CU113)</f>
        <v/>
      </c>
      <c r="C113">
        <f>Calc_Daily!$JT113/Calc_Daily!$D113</f>
        <v/>
      </c>
      <c r="D113">
        <f>IF(OR($A113&gt;cfg_LastDataDate,NOT(ISNUMBER(Calc_Daily!$EJ113))),NA(),Calc_Daily!$EJ113)</f>
        <v/>
      </c>
      <c r="E113">
        <f>Calc_Daily!$KQ113</f>
        <v/>
      </c>
      <c r="F113">
        <f>IF(OR($A113&gt;cfg_LastDataDate,NOT(ISNUMBER(Calc_Daily!$F113))),NA(),Calc_Daily!$F113)</f>
        <v/>
      </c>
      <c r="G113">
        <f>IF(OR($A113&gt;cfg_LastDataDate,NOT(ISNUMBER(Calc_Daily!$U113))),NA(),Calc_Daily!$U113)</f>
        <v/>
      </c>
      <c r="H113">
        <f>IF(OR($A113&gt;cfg_LastDataDate,NOT(ISNUMBER(Calc_Daily!$DZ113))),NA(),Calc_Daily!$DZ113)</f>
        <v/>
      </c>
      <c r="I113">
        <f>IF(OR($A113&gt;cfg_LastDataDate,NOT(ISNUMBER(Calc_Daily!$DT113))),NA(),Calc_Daily!$DT113)</f>
        <v/>
      </c>
      <c r="J113">
        <f>IF(OR($A113&gt;cfg_LastDataDate,NOT(ISNUMBER(Calc_Daily!$IP113))),NA(),Calc_Daily!$IP113)</f>
        <v/>
      </c>
      <c r="K113">
        <f>Calc_Daily!$KM113</f>
        <v/>
      </c>
    </row>
    <row r="114">
      <c r="A114" s="54">
        <f>Calc_Daily!$A114</f>
        <v/>
      </c>
      <c r="B114">
        <f>IF(OR($A114&gt;cfg_LastDataDate,NOT(ISNUMBER(Calc_Daily!$CU114))),NA(),Calc_Daily!$CU114)</f>
        <v/>
      </c>
      <c r="C114">
        <f>Calc_Daily!$JT114/Calc_Daily!$D114</f>
        <v/>
      </c>
      <c r="D114">
        <f>IF(OR($A114&gt;cfg_LastDataDate,NOT(ISNUMBER(Calc_Daily!$EJ114))),NA(),Calc_Daily!$EJ114)</f>
        <v/>
      </c>
      <c r="E114">
        <f>Calc_Daily!$KQ114</f>
        <v/>
      </c>
      <c r="F114">
        <f>IF(OR($A114&gt;cfg_LastDataDate,NOT(ISNUMBER(Calc_Daily!$F114))),NA(),Calc_Daily!$F114)</f>
        <v/>
      </c>
      <c r="G114">
        <f>IF(OR($A114&gt;cfg_LastDataDate,NOT(ISNUMBER(Calc_Daily!$U114))),NA(),Calc_Daily!$U114)</f>
        <v/>
      </c>
      <c r="H114">
        <f>IF(OR($A114&gt;cfg_LastDataDate,NOT(ISNUMBER(Calc_Daily!$DZ114))),NA(),Calc_Daily!$DZ114)</f>
        <v/>
      </c>
      <c r="I114">
        <f>IF(OR($A114&gt;cfg_LastDataDate,NOT(ISNUMBER(Calc_Daily!$DT114))),NA(),Calc_Daily!$DT114)</f>
        <v/>
      </c>
      <c r="J114">
        <f>IF(OR($A114&gt;cfg_LastDataDate,NOT(ISNUMBER(Calc_Daily!$IP114))),NA(),Calc_Daily!$IP114)</f>
        <v/>
      </c>
      <c r="K114">
        <f>Calc_Daily!$KM114</f>
        <v/>
      </c>
    </row>
    <row r="115">
      <c r="A115" s="54">
        <f>Calc_Daily!$A115</f>
        <v/>
      </c>
      <c r="B115">
        <f>IF(OR($A115&gt;cfg_LastDataDate,NOT(ISNUMBER(Calc_Daily!$CU115))),NA(),Calc_Daily!$CU115)</f>
        <v/>
      </c>
      <c r="C115">
        <f>Calc_Daily!$JT115/Calc_Daily!$D115</f>
        <v/>
      </c>
      <c r="D115">
        <f>IF(OR($A115&gt;cfg_LastDataDate,NOT(ISNUMBER(Calc_Daily!$EJ115))),NA(),Calc_Daily!$EJ115)</f>
        <v/>
      </c>
      <c r="E115">
        <f>Calc_Daily!$KQ115</f>
        <v/>
      </c>
      <c r="F115">
        <f>IF(OR($A115&gt;cfg_LastDataDate,NOT(ISNUMBER(Calc_Daily!$F115))),NA(),Calc_Daily!$F115)</f>
        <v/>
      </c>
      <c r="G115">
        <f>IF(OR($A115&gt;cfg_LastDataDate,NOT(ISNUMBER(Calc_Daily!$U115))),NA(),Calc_Daily!$U115)</f>
        <v/>
      </c>
      <c r="H115">
        <f>IF(OR($A115&gt;cfg_LastDataDate,NOT(ISNUMBER(Calc_Daily!$DZ115))),NA(),Calc_Daily!$DZ115)</f>
        <v/>
      </c>
      <c r="I115">
        <f>IF(OR($A115&gt;cfg_LastDataDate,NOT(ISNUMBER(Calc_Daily!$DT115))),NA(),Calc_Daily!$DT115)</f>
        <v/>
      </c>
      <c r="J115">
        <f>IF(OR($A115&gt;cfg_LastDataDate,NOT(ISNUMBER(Calc_Daily!$IP115))),NA(),Calc_Daily!$IP115)</f>
        <v/>
      </c>
      <c r="K115">
        <f>Calc_Daily!$KM115</f>
        <v/>
      </c>
    </row>
    <row r="116">
      <c r="A116" s="54">
        <f>Calc_Daily!$A116</f>
        <v/>
      </c>
      <c r="B116">
        <f>IF(OR($A116&gt;cfg_LastDataDate,NOT(ISNUMBER(Calc_Daily!$CU116))),NA(),Calc_Daily!$CU116)</f>
        <v/>
      </c>
      <c r="C116">
        <f>Calc_Daily!$JT116/Calc_Daily!$D116</f>
        <v/>
      </c>
      <c r="D116">
        <f>IF(OR($A116&gt;cfg_LastDataDate,NOT(ISNUMBER(Calc_Daily!$EJ116))),NA(),Calc_Daily!$EJ116)</f>
        <v/>
      </c>
      <c r="E116">
        <f>Calc_Daily!$KQ116</f>
        <v/>
      </c>
      <c r="F116">
        <f>IF(OR($A116&gt;cfg_LastDataDate,NOT(ISNUMBER(Calc_Daily!$F116))),NA(),Calc_Daily!$F116)</f>
        <v/>
      </c>
      <c r="G116">
        <f>IF(OR($A116&gt;cfg_LastDataDate,NOT(ISNUMBER(Calc_Daily!$U116))),NA(),Calc_Daily!$U116)</f>
        <v/>
      </c>
      <c r="H116">
        <f>IF(OR($A116&gt;cfg_LastDataDate,NOT(ISNUMBER(Calc_Daily!$DZ116))),NA(),Calc_Daily!$DZ116)</f>
        <v/>
      </c>
      <c r="I116">
        <f>IF(OR($A116&gt;cfg_LastDataDate,NOT(ISNUMBER(Calc_Daily!$DT116))),NA(),Calc_Daily!$DT116)</f>
        <v/>
      </c>
      <c r="J116">
        <f>IF(OR($A116&gt;cfg_LastDataDate,NOT(ISNUMBER(Calc_Daily!$IP116))),NA(),Calc_Daily!$IP116)</f>
        <v/>
      </c>
      <c r="K116">
        <f>Calc_Daily!$KM116</f>
        <v/>
      </c>
    </row>
    <row r="117">
      <c r="A117" s="54">
        <f>Calc_Daily!$A117</f>
        <v/>
      </c>
      <c r="B117">
        <f>IF(OR($A117&gt;cfg_LastDataDate,NOT(ISNUMBER(Calc_Daily!$CU117))),NA(),Calc_Daily!$CU117)</f>
        <v/>
      </c>
      <c r="C117">
        <f>Calc_Daily!$JT117/Calc_Daily!$D117</f>
        <v/>
      </c>
      <c r="D117">
        <f>IF(OR($A117&gt;cfg_LastDataDate,NOT(ISNUMBER(Calc_Daily!$EJ117))),NA(),Calc_Daily!$EJ117)</f>
        <v/>
      </c>
      <c r="E117">
        <f>Calc_Daily!$KQ117</f>
        <v/>
      </c>
      <c r="F117">
        <f>IF(OR($A117&gt;cfg_LastDataDate,NOT(ISNUMBER(Calc_Daily!$F117))),NA(),Calc_Daily!$F117)</f>
        <v/>
      </c>
      <c r="G117">
        <f>IF(OR($A117&gt;cfg_LastDataDate,NOT(ISNUMBER(Calc_Daily!$U117))),NA(),Calc_Daily!$U117)</f>
        <v/>
      </c>
      <c r="H117">
        <f>IF(OR($A117&gt;cfg_LastDataDate,NOT(ISNUMBER(Calc_Daily!$DZ117))),NA(),Calc_Daily!$DZ117)</f>
        <v/>
      </c>
      <c r="I117">
        <f>IF(OR($A117&gt;cfg_LastDataDate,NOT(ISNUMBER(Calc_Daily!$DT117))),NA(),Calc_Daily!$DT117)</f>
        <v/>
      </c>
      <c r="J117">
        <f>IF(OR($A117&gt;cfg_LastDataDate,NOT(ISNUMBER(Calc_Daily!$IP117))),NA(),Calc_Daily!$IP117)</f>
        <v/>
      </c>
      <c r="K117">
        <f>Calc_Daily!$KM117</f>
        <v/>
      </c>
    </row>
    <row r="118">
      <c r="A118" s="54">
        <f>Calc_Daily!$A118</f>
        <v/>
      </c>
      <c r="B118">
        <f>IF(OR($A118&gt;cfg_LastDataDate,NOT(ISNUMBER(Calc_Daily!$CU118))),NA(),Calc_Daily!$CU118)</f>
        <v/>
      </c>
      <c r="C118">
        <f>Calc_Daily!$JT118/Calc_Daily!$D118</f>
        <v/>
      </c>
      <c r="D118">
        <f>IF(OR($A118&gt;cfg_LastDataDate,NOT(ISNUMBER(Calc_Daily!$EJ118))),NA(),Calc_Daily!$EJ118)</f>
        <v/>
      </c>
      <c r="E118">
        <f>Calc_Daily!$KQ118</f>
        <v/>
      </c>
      <c r="F118">
        <f>IF(OR($A118&gt;cfg_LastDataDate,NOT(ISNUMBER(Calc_Daily!$F118))),NA(),Calc_Daily!$F118)</f>
        <v/>
      </c>
      <c r="G118">
        <f>IF(OR($A118&gt;cfg_LastDataDate,NOT(ISNUMBER(Calc_Daily!$U118))),NA(),Calc_Daily!$U118)</f>
        <v/>
      </c>
      <c r="H118">
        <f>IF(OR($A118&gt;cfg_LastDataDate,NOT(ISNUMBER(Calc_Daily!$DZ118))),NA(),Calc_Daily!$DZ118)</f>
        <v/>
      </c>
      <c r="I118">
        <f>IF(OR($A118&gt;cfg_LastDataDate,NOT(ISNUMBER(Calc_Daily!$DT118))),NA(),Calc_Daily!$DT118)</f>
        <v/>
      </c>
      <c r="J118">
        <f>IF(OR($A118&gt;cfg_LastDataDate,NOT(ISNUMBER(Calc_Daily!$IP118))),NA(),Calc_Daily!$IP118)</f>
        <v/>
      </c>
      <c r="K118">
        <f>Calc_Daily!$KM118</f>
        <v/>
      </c>
    </row>
    <row r="119">
      <c r="A119" s="54">
        <f>Calc_Daily!$A119</f>
        <v/>
      </c>
      <c r="B119">
        <f>IF(OR($A119&gt;cfg_LastDataDate,NOT(ISNUMBER(Calc_Daily!$CU119))),NA(),Calc_Daily!$CU119)</f>
        <v/>
      </c>
      <c r="C119">
        <f>Calc_Daily!$JT119/Calc_Daily!$D119</f>
        <v/>
      </c>
      <c r="D119">
        <f>IF(OR($A119&gt;cfg_LastDataDate,NOT(ISNUMBER(Calc_Daily!$EJ119))),NA(),Calc_Daily!$EJ119)</f>
        <v/>
      </c>
      <c r="E119">
        <f>Calc_Daily!$KQ119</f>
        <v/>
      </c>
      <c r="F119">
        <f>IF(OR($A119&gt;cfg_LastDataDate,NOT(ISNUMBER(Calc_Daily!$F119))),NA(),Calc_Daily!$F119)</f>
        <v/>
      </c>
      <c r="G119">
        <f>IF(OR($A119&gt;cfg_LastDataDate,NOT(ISNUMBER(Calc_Daily!$U119))),NA(),Calc_Daily!$U119)</f>
        <v/>
      </c>
      <c r="H119">
        <f>IF(OR($A119&gt;cfg_LastDataDate,NOT(ISNUMBER(Calc_Daily!$DZ119))),NA(),Calc_Daily!$DZ119)</f>
        <v/>
      </c>
      <c r="I119">
        <f>IF(OR($A119&gt;cfg_LastDataDate,NOT(ISNUMBER(Calc_Daily!$DT119))),NA(),Calc_Daily!$DT119)</f>
        <v/>
      </c>
      <c r="J119">
        <f>IF(OR($A119&gt;cfg_LastDataDate,NOT(ISNUMBER(Calc_Daily!$IP119))),NA(),Calc_Daily!$IP119)</f>
        <v/>
      </c>
      <c r="K119">
        <f>Calc_Daily!$KM119</f>
        <v/>
      </c>
    </row>
    <row r="120">
      <c r="A120" s="54">
        <f>Calc_Daily!$A120</f>
        <v/>
      </c>
      <c r="B120">
        <f>IF(OR($A120&gt;cfg_LastDataDate,NOT(ISNUMBER(Calc_Daily!$CU120))),NA(),Calc_Daily!$CU120)</f>
        <v/>
      </c>
      <c r="C120">
        <f>Calc_Daily!$JT120/Calc_Daily!$D120</f>
        <v/>
      </c>
      <c r="D120">
        <f>IF(OR($A120&gt;cfg_LastDataDate,NOT(ISNUMBER(Calc_Daily!$EJ120))),NA(),Calc_Daily!$EJ120)</f>
        <v/>
      </c>
      <c r="E120">
        <f>Calc_Daily!$KQ120</f>
        <v/>
      </c>
      <c r="F120">
        <f>IF(OR($A120&gt;cfg_LastDataDate,NOT(ISNUMBER(Calc_Daily!$F120))),NA(),Calc_Daily!$F120)</f>
        <v/>
      </c>
      <c r="G120">
        <f>IF(OR($A120&gt;cfg_LastDataDate,NOT(ISNUMBER(Calc_Daily!$U120))),NA(),Calc_Daily!$U120)</f>
        <v/>
      </c>
      <c r="H120">
        <f>IF(OR($A120&gt;cfg_LastDataDate,NOT(ISNUMBER(Calc_Daily!$DZ120))),NA(),Calc_Daily!$DZ120)</f>
        <v/>
      </c>
      <c r="I120">
        <f>IF(OR($A120&gt;cfg_LastDataDate,NOT(ISNUMBER(Calc_Daily!$DT120))),NA(),Calc_Daily!$DT120)</f>
        <v/>
      </c>
      <c r="J120">
        <f>IF(OR($A120&gt;cfg_LastDataDate,NOT(ISNUMBER(Calc_Daily!$IP120))),NA(),Calc_Daily!$IP120)</f>
        <v/>
      </c>
      <c r="K120">
        <f>Calc_Daily!$KM120</f>
        <v/>
      </c>
    </row>
    <row r="121">
      <c r="A121" s="54">
        <f>Calc_Daily!$A121</f>
        <v/>
      </c>
      <c r="B121">
        <f>IF(OR($A121&gt;cfg_LastDataDate,NOT(ISNUMBER(Calc_Daily!$CU121))),NA(),Calc_Daily!$CU121)</f>
        <v/>
      </c>
      <c r="C121">
        <f>Calc_Daily!$JT121/Calc_Daily!$D121</f>
        <v/>
      </c>
      <c r="D121">
        <f>IF(OR($A121&gt;cfg_LastDataDate,NOT(ISNUMBER(Calc_Daily!$EJ121))),NA(),Calc_Daily!$EJ121)</f>
        <v/>
      </c>
      <c r="E121">
        <f>Calc_Daily!$KQ121</f>
        <v/>
      </c>
      <c r="F121">
        <f>IF(OR($A121&gt;cfg_LastDataDate,NOT(ISNUMBER(Calc_Daily!$F121))),NA(),Calc_Daily!$F121)</f>
        <v/>
      </c>
      <c r="G121">
        <f>IF(OR($A121&gt;cfg_LastDataDate,NOT(ISNUMBER(Calc_Daily!$U121))),NA(),Calc_Daily!$U121)</f>
        <v/>
      </c>
      <c r="H121">
        <f>IF(OR($A121&gt;cfg_LastDataDate,NOT(ISNUMBER(Calc_Daily!$DZ121))),NA(),Calc_Daily!$DZ121)</f>
        <v/>
      </c>
      <c r="I121">
        <f>IF(OR($A121&gt;cfg_LastDataDate,NOT(ISNUMBER(Calc_Daily!$DT121))),NA(),Calc_Daily!$DT121)</f>
        <v/>
      </c>
      <c r="J121">
        <f>IF(OR($A121&gt;cfg_LastDataDate,NOT(ISNUMBER(Calc_Daily!$IP121))),NA(),Calc_Daily!$IP121)</f>
        <v/>
      </c>
      <c r="K121">
        <f>Calc_Daily!$KM121</f>
        <v/>
      </c>
    </row>
    <row r="122">
      <c r="A122" s="54">
        <f>Calc_Daily!$A122</f>
        <v/>
      </c>
      <c r="B122">
        <f>IF(OR($A122&gt;cfg_LastDataDate,NOT(ISNUMBER(Calc_Daily!$CU122))),NA(),Calc_Daily!$CU122)</f>
        <v/>
      </c>
      <c r="C122">
        <f>Calc_Daily!$JT122/Calc_Daily!$D122</f>
        <v/>
      </c>
      <c r="D122">
        <f>IF(OR($A122&gt;cfg_LastDataDate,NOT(ISNUMBER(Calc_Daily!$EJ122))),NA(),Calc_Daily!$EJ122)</f>
        <v/>
      </c>
      <c r="E122">
        <f>Calc_Daily!$KQ122</f>
        <v/>
      </c>
      <c r="F122">
        <f>IF(OR($A122&gt;cfg_LastDataDate,NOT(ISNUMBER(Calc_Daily!$F122))),NA(),Calc_Daily!$F122)</f>
        <v/>
      </c>
      <c r="G122">
        <f>IF(OR($A122&gt;cfg_LastDataDate,NOT(ISNUMBER(Calc_Daily!$U122))),NA(),Calc_Daily!$U122)</f>
        <v/>
      </c>
      <c r="H122">
        <f>IF(OR($A122&gt;cfg_LastDataDate,NOT(ISNUMBER(Calc_Daily!$DZ122))),NA(),Calc_Daily!$DZ122)</f>
        <v/>
      </c>
      <c r="I122">
        <f>IF(OR($A122&gt;cfg_LastDataDate,NOT(ISNUMBER(Calc_Daily!$DT122))),NA(),Calc_Daily!$DT122)</f>
        <v/>
      </c>
      <c r="J122">
        <f>IF(OR($A122&gt;cfg_LastDataDate,NOT(ISNUMBER(Calc_Daily!$IP122))),NA(),Calc_Daily!$IP122)</f>
        <v/>
      </c>
      <c r="K122">
        <f>Calc_Daily!$KM122</f>
        <v/>
      </c>
    </row>
    <row r="123">
      <c r="A123" s="54">
        <f>Calc_Daily!$A123</f>
        <v/>
      </c>
      <c r="B123">
        <f>IF(OR($A123&gt;cfg_LastDataDate,NOT(ISNUMBER(Calc_Daily!$CU123))),NA(),Calc_Daily!$CU123)</f>
        <v/>
      </c>
      <c r="C123">
        <f>Calc_Daily!$JT123/Calc_Daily!$D123</f>
        <v/>
      </c>
      <c r="D123">
        <f>IF(OR($A123&gt;cfg_LastDataDate,NOT(ISNUMBER(Calc_Daily!$EJ123))),NA(),Calc_Daily!$EJ123)</f>
        <v/>
      </c>
      <c r="E123">
        <f>Calc_Daily!$KQ123</f>
        <v/>
      </c>
      <c r="F123">
        <f>IF(OR($A123&gt;cfg_LastDataDate,NOT(ISNUMBER(Calc_Daily!$F123))),NA(),Calc_Daily!$F123)</f>
        <v/>
      </c>
      <c r="G123">
        <f>IF(OR($A123&gt;cfg_LastDataDate,NOT(ISNUMBER(Calc_Daily!$U123))),NA(),Calc_Daily!$U123)</f>
        <v/>
      </c>
      <c r="H123">
        <f>IF(OR($A123&gt;cfg_LastDataDate,NOT(ISNUMBER(Calc_Daily!$DZ123))),NA(),Calc_Daily!$DZ123)</f>
        <v/>
      </c>
      <c r="I123">
        <f>IF(OR($A123&gt;cfg_LastDataDate,NOT(ISNUMBER(Calc_Daily!$DT123))),NA(),Calc_Daily!$DT123)</f>
        <v/>
      </c>
      <c r="J123">
        <f>IF(OR($A123&gt;cfg_LastDataDate,NOT(ISNUMBER(Calc_Daily!$IP123))),NA(),Calc_Daily!$IP123)</f>
        <v/>
      </c>
      <c r="K123">
        <f>Calc_Daily!$KM123</f>
        <v/>
      </c>
    </row>
    <row r="124">
      <c r="A124" s="54">
        <f>Calc_Daily!$A124</f>
        <v/>
      </c>
      <c r="B124">
        <f>IF(OR($A124&gt;cfg_LastDataDate,NOT(ISNUMBER(Calc_Daily!$CU124))),NA(),Calc_Daily!$CU124)</f>
        <v/>
      </c>
      <c r="C124">
        <f>Calc_Daily!$JT124/Calc_Daily!$D124</f>
        <v/>
      </c>
      <c r="D124">
        <f>IF(OR($A124&gt;cfg_LastDataDate,NOT(ISNUMBER(Calc_Daily!$EJ124))),NA(),Calc_Daily!$EJ124)</f>
        <v/>
      </c>
      <c r="E124">
        <f>Calc_Daily!$KQ124</f>
        <v/>
      </c>
      <c r="F124">
        <f>IF(OR($A124&gt;cfg_LastDataDate,NOT(ISNUMBER(Calc_Daily!$F124))),NA(),Calc_Daily!$F124)</f>
        <v/>
      </c>
      <c r="G124">
        <f>IF(OR($A124&gt;cfg_LastDataDate,NOT(ISNUMBER(Calc_Daily!$U124))),NA(),Calc_Daily!$U124)</f>
        <v/>
      </c>
      <c r="H124">
        <f>IF(OR($A124&gt;cfg_LastDataDate,NOT(ISNUMBER(Calc_Daily!$DZ124))),NA(),Calc_Daily!$DZ124)</f>
        <v/>
      </c>
      <c r="I124">
        <f>IF(OR($A124&gt;cfg_LastDataDate,NOT(ISNUMBER(Calc_Daily!$DT124))),NA(),Calc_Daily!$DT124)</f>
        <v/>
      </c>
      <c r="J124">
        <f>IF(OR($A124&gt;cfg_LastDataDate,NOT(ISNUMBER(Calc_Daily!$IP124))),NA(),Calc_Daily!$IP124)</f>
        <v/>
      </c>
      <c r="K124">
        <f>Calc_Daily!$KM124</f>
        <v/>
      </c>
    </row>
    <row r="125">
      <c r="A125" s="54">
        <f>Calc_Daily!$A125</f>
        <v/>
      </c>
      <c r="B125">
        <f>IF(OR($A125&gt;cfg_LastDataDate,NOT(ISNUMBER(Calc_Daily!$CU125))),NA(),Calc_Daily!$CU125)</f>
        <v/>
      </c>
      <c r="C125">
        <f>Calc_Daily!$JT125/Calc_Daily!$D125</f>
        <v/>
      </c>
      <c r="D125">
        <f>IF(OR($A125&gt;cfg_LastDataDate,NOT(ISNUMBER(Calc_Daily!$EJ125))),NA(),Calc_Daily!$EJ125)</f>
        <v/>
      </c>
      <c r="E125">
        <f>Calc_Daily!$KQ125</f>
        <v/>
      </c>
      <c r="F125">
        <f>IF(OR($A125&gt;cfg_LastDataDate,NOT(ISNUMBER(Calc_Daily!$F125))),NA(),Calc_Daily!$F125)</f>
        <v/>
      </c>
      <c r="G125">
        <f>IF(OR($A125&gt;cfg_LastDataDate,NOT(ISNUMBER(Calc_Daily!$U125))),NA(),Calc_Daily!$U125)</f>
        <v/>
      </c>
      <c r="H125">
        <f>IF(OR($A125&gt;cfg_LastDataDate,NOT(ISNUMBER(Calc_Daily!$DZ125))),NA(),Calc_Daily!$DZ125)</f>
        <v/>
      </c>
      <c r="I125">
        <f>IF(OR($A125&gt;cfg_LastDataDate,NOT(ISNUMBER(Calc_Daily!$DT125))),NA(),Calc_Daily!$DT125)</f>
        <v/>
      </c>
      <c r="J125">
        <f>IF(OR($A125&gt;cfg_LastDataDate,NOT(ISNUMBER(Calc_Daily!$IP125))),NA(),Calc_Daily!$IP125)</f>
        <v/>
      </c>
      <c r="K125">
        <f>Calc_Daily!$KM125</f>
        <v/>
      </c>
    </row>
    <row r="126">
      <c r="A126" s="54">
        <f>Calc_Daily!$A126</f>
        <v/>
      </c>
      <c r="B126">
        <f>IF(OR($A126&gt;cfg_LastDataDate,NOT(ISNUMBER(Calc_Daily!$CU126))),NA(),Calc_Daily!$CU126)</f>
        <v/>
      </c>
      <c r="C126">
        <f>Calc_Daily!$JT126/Calc_Daily!$D126</f>
        <v/>
      </c>
      <c r="D126">
        <f>IF(OR($A126&gt;cfg_LastDataDate,NOT(ISNUMBER(Calc_Daily!$EJ126))),NA(),Calc_Daily!$EJ126)</f>
        <v/>
      </c>
      <c r="E126">
        <f>Calc_Daily!$KQ126</f>
        <v/>
      </c>
      <c r="F126">
        <f>IF(OR($A126&gt;cfg_LastDataDate,NOT(ISNUMBER(Calc_Daily!$F126))),NA(),Calc_Daily!$F126)</f>
        <v/>
      </c>
      <c r="G126">
        <f>IF(OR($A126&gt;cfg_LastDataDate,NOT(ISNUMBER(Calc_Daily!$U126))),NA(),Calc_Daily!$U126)</f>
        <v/>
      </c>
      <c r="H126">
        <f>IF(OR($A126&gt;cfg_LastDataDate,NOT(ISNUMBER(Calc_Daily!$DZ126))),NA(),Calc_Daily!$DZ126)</f>
        <v/>
      </c>
      <c r="I126">
        <f>IF(OR($A126&gt;cfg_LastDataDate,NOT(ISNUMBER(Calc_Daily!$DT126))),NA(),Calc_Daily!$DT126)</f>
        <v/>
      </c>
      <c r="J126">
        <f>IF(OR($A126&gt;cfg_LastDataDate,NOT(ISNUMBER(Calc_Daily!$IP126))),NA(),Calc_Daily!$IP126)</f>
        <v/>
      </c>
      <c r="K126">
        <f>Calc_Daily!$KM126</f>
        <v/>
      </c>
    </row>
    <row r="127">
      <c r="A127" s="54">
        <f>Calc_Daily!$A127</f>
        <v/>
      </c>
      <c r="B127">
        <f>IF(OR($A127&gt;cfg_LastDataDate,NOT(ISNUMBER(Calc_Daily!$CU127))),NA(),Calc_Daily!$CU127)</f>
        <v/>
      </c>
      <c r="C127">
        <f>Calc_Daily!$JT127/Calc_Daily!$D127</f>
        <v/>
      </c>
      <c r="D127">
        <f>IF(OR($A127&gt;cfg_LastDataDate,NOT(ISNUMBER(Calc_Daily!$EJ127))),NA(),Calc_Daily!$EJ127)</f>
        <v/>
      </c>
      <c r="E127">
        <f>Calc_Daily!$KQ127</f>
        <v/>
      </c>
      <c r="F127">
        <f>IF(OR($A127&gt;cfg_LastDataDate,NOT(ISNUMBER(Calc_Daily!$F127))),NA(),Calc_Daily!$F127)</f>
        <v/>
      </c>
      <c r="G127">
        <f>IF(OR($A127&gt;cfg_LastDataDate,NOT(ISNUMBER(Calc_Daily!$U127))),NA(),Calc_Daily!$U127)</f>
        <v/>
      </c>
      <c r="H127">
        <f>IF(OR($A127&gt;cfg_LastDataDate,NOT(ISNUMBER(Calc_Daily!$DZ127))),NA(),Calc_Daily!$DZ127)</f>
        <v/>
      </c>
      <c r="I127">
        <f>IF(OR($A127&gt;cfg_LastDataDate,NOT(ISNUMBER(Calc_Daily!$DT127))),NA(),Calc_Daily!$DT127)</f>
        <v/>
      </c>
      <c r="J127">
        <f>IF(OR($A127&gt;cfg_LastDataDate,NOT(ISNUMBER(Calc_Daily!$IP127))),NA(),Calc_Daily!$IP127)</f>
        <v/>
      </c>
      <c r="K127">
        <f>Calc_Daily!$KM127</f>
        <v/>
      </c>
    </row>
    <row r="128">
      <c r="A128" s="54">
        <f>Calc_Daily!$A128</f>
        <v/>
      </c>
      <c r="B128">
        <f>IF(OR($A128&gt;cfg_LastDataDate,NOT(ISNUMBER(Calc_Daily!$CU128))),NA(),Calc_Daily!$CU128)</f>
        <v/>
      </c>
      <c r="C128">
        <f>Calc_Daily!$JT128/Calc_Daily!$D128</f>
        <v/>
      </c>
      <c r="D128">
        <f>IF(OR($A128&gt;cfg_LastDataDate,NOT(ISNUMBER(Calc_Daily!$EJ128))),NA(),Calc_Daily!$EJ128)</f>
        <v/>
      </c>
      <c r="E128">
        <f>Calc_Daily!$KQ128</f>
        <v/>
      </c>
      <c r="F128">
        <f>IF(OR($A128&gt;cfg_LastDataDate,NOT(ISNUMBER(Calc_Daily!$F128))),NA(),Calc_Daily!$F128)</f>
        <v/>
      </c>
      <c r="G128">
        <f>IF(OR($A128&gt;cfg_LastDataDate,NOT(ISNUMBER(Calc_Daily!$U128))),NA(),Calc_Daily!$U128)</f>
        <v/>
      </c>
      <c r="H128">
        <f>IF(OR($A128&gt;cfg_LastDataDate,NOT(ISNUMBER(Calc_Daily!$DZ128))),NA(),Calc_Daily!$DZ128)</f>
        <v/>
      </c>
      <c r="I128">
        <f>IF(OR($A128&gt;cfg_LastDataDate,NOT(ISNUMBER(Calc_Daily!$DT128))),NA(),Calc_Daily!$DT128)</f>
        <v/>
      </c>
      <c r="J128">
        <f>IF(OR($A128&gt;cfg_LastDataDate,NOT(ISNUMBER(Calc_Daily!$IP128))),NA(),Calc_Daily!$IP128)</f>
        <v/>
      </c>
      <c r="K128">
        <f>Calc_Daily!$KM128</f>
        <v/>
      </c>
    </row>
    <row r="129">
      <c r="A129" s="54">
        <f>Calc_Daily!$A129</f>
        <v/>
      </c>
      <c r="B129">
        <f>IF(OR($A129&gt;cfg_LastDataDate,NOT(ISNUMBER(Calc_Daily!$CU129))),NA(),Calc_Daily!$CU129)</f>
        <v/>
      </c>
      <c r="C129">
        <f>Calc_Daily!$JT129/Calc_Daily!$D129</f>
        <v/>
      </c>
      <c r="D129">
        <f>IF(OR($A129&gt;cfg_LastDataDate,NOT(ISNUMBER(Calc_Daily!$EJ129))),NA(),Calc_Daily!$EJ129)</f>
        <v/>
      </c>
      <c r="E129">
        <f>Calc_Daily!$KQ129</f>
        <v/>
      </c>
      <c r="F129">
        <f>IF(OR($A129&gt;cfg_LastDataDate,NOT(ISNUMBER(Calc_Daily!$F129))),NA(),Calc_Daily!$F129)</f>
        <v/>
      </c>
      <c r="G129">
        <f>IF(OR($A129&gt;cfg_LastDataDate,NOT(ISNUMBER(Calc_Daily!$U129))),NA(),Calc_Daily!$U129)</f>
        <v/>
      </c>
      <c r="H129">
        <f>IF(OR($A129&gt;cfg_LastDataDate,NOT(ISNUMBER(Calc_Daily!$DZ129))),NA(),Calc_Daily!$DZ129)</f>
        <v/>
      </c>
      <c r="I129">
        <f>IF(OR($A129&gt;cfg_LastDataDate,NOT(ISNUMBER(Calc_Daily!$DT129))),NA(),Calc_Daily!$DT129)</f>
        <v/>
      </c>
      <c r="J129">
        <f>IF(OR($A129&gt;cfg_LastDataDate,NOT(ISNUMBER(Calc_Daily!$IP129))),NA(),Calc_Daily!$IP129)</f>
        <v/>
      </c>
      <c r="K129">
        <f>Calc_Daily!$KM129</f>
        <v/>
      </c>
    </row>
    <row r="130">
      <c r="A130" s="54">
        <f>Calc_Daily!$A130</f>
        <v/>
      </c>
      <c r="B130">
        <f>IF(OR($A130&gt;cfg_LastDataDate,NOT(ISNUMBER(Calc_Daily!$CU130))),NA(),Calc_Daily!$CU130)</f>
        <v/>
      </c>
      <c r="C130">
        <f>Calc_Daily!$JT130/Calc_Daily!$D130</f>
        <v/>
      </c>
      <c r="D130">
        <f>IF(OR($A130&gt;cfg_LastDataDate,NOT(ISNUMBER(Calc_Daily!$EJ130))),NA(),Calc_Daily!$EJ130)</f>
        <v/>
      </c>
      <c r="E130">
        <f>Calc_Daily!$KQ130</f>
        <v/>
      </c>
      <c r="F130">
        <f>IF(OR($A130&gt;cfg_LastDataDate,NOT(ISNUMBER(Calc_Daily!$F130))),NA(),Calc_Daily!$F130)</f>
        <v/>
      </c>
      <c r="G130">
        <f>IF(OR($A130&gt;cfg_LastDataDate,NOT(ISNUMBER(Calc_Daily!$U130))),NA(),Calc_Daily!$U130)</f>
        <v/>
      </c>
      <c r="H130">
        <f>IF(OR($A130&gt;cfg_LastDataDate,NOT(ISNUMBER(Calc_Daily!$DZ130))),NA(),Calc_Daily!$DZ130)</f>
        <v/>
      </c>
      <c r="I130">
        <f>IF(OR($A130&gt;cfg_LastDataDate,NOT(ISNUMBER(Calc_Daily!$DT130))),NA(),Calc_Daily!$DT130)</f>
        <v/>
      </c>
      <c r="J130">
        <f>IF(OR($A130&gt;cfg_LastDataDate,NOT(ISNUMBER(Calc_Daily!$IP130))),NA(),Calc_Daily!$IP130)</f>
        <v/>
      </c>
      <c r="K130">
        <f>Calc_Daily!$KM130</f>
        <v/>
      </c>
    </row>
    <row r="131">
      <c r="A131" s="54">
        <f>Calc_Daily!$A131</f>
        <v/>
      </c>
      <c r="B131">
        <f>IF(OR($A131&gt;cfg_LastDataDate,NOT(ISNUMBER(Calc_Daily!$CU131))),NA(),Calc_Daily!$CU131)</f>
        <v/>
      </c>
      <c r="C131">
        <f>Calc_Daily!$JT131/Calc_Daily!$D131</f>
        <v/>
      </c>
      <c r="D131">
        <f>IF(OR($A131&gt;cfg_LastDataDate,NOT(ISNUMBER(Calc_Daily!$EJ131))),NA(),Calc_Daily!$EJ131)</f>
        <v/>
      </c>
      <c r="E131">
        <f>Calc_Daily!$KQ131</f>
        <v/>
      </c>
      <c r="F131">
        <f>IF(OR($A131&gt;cfg_LastDataDate,NOT(ISNUMBER(Calc_Daily!$F131))),NA(),Calc_Daily!$F131)</f>
        <v/>
      </c>
      <c r="G131">
        <f>IF(OR($A131&gt;cfg_LastDataDate,NOT(ISNUMBER(Calc_Daily!$U131))),NA(),Calc_Daily!$U131)</f>
        <v/>
      </c>
      <c r="H131">
        <f>IF(OR($A131&gt;cfg_LastDataDate,NOT(ISNUMBER(Calc_Daily!$DZ131))),NA(),Calc_Daily!$DZ131)</f>
        <v/>
      </c>
      <c r="I131">
        <f>IF(OR($A131&gt;cfg_LastDataDate,NOT(ISNUMBER(Calc_Daily!$DT131))),NA(),Calc_Daily!$DT131)</f>
        <v/>
      </c>
      <c r="J131">
        <f>IF(OR($A131&gt;cfg_LastDataDate,NOT(ISNUMBER(Calc_Daily!$IP131))),NA(),Calc_Daily!$IP131)</f>
        <v/>
      </c>
      <c r="K131">
        <f>Calc_Daily!$KM131</f>
        <v/>
      </c>
    </row>
    <row r="132">
      <c r="A132" s="54">
        <f>Calc_Daily!$A132</f>
        <v/>
      </c>
      <c r="B132">
        <f>IF(OR($A132&gt;cfg_LastDataDate,NOT(ISNUMBER(Calc_Daily!$CU132))),NA(),Calc_Daily!$CU132)</f>
        <v/>
      </c>
      <c r="C132">
        <f>Calc_Daily!$JT132/Calc_Daily!$D132</f>
        <v/>
      </c>
      <c r="D132">
        <f>IF(OR($A132&gt;cfg_LastDataDate,NOT(ISNUMBER(Calc_Daily!$EJ132))),NA(),Calc_Daily!$EJ132)</f>
        <v/>
      </c>
      <c r="E132">
        <f>Calc_Daily!$KQ132</f>
        <v/>
      </c>
      <c r="F132">
        <f>IF(OR($A132&gt;cfg_LastDataDate,NOT(ISNUMBER(Calc_Daily!$F132))),NA(),Calc_Daily!$F132)</f>
        <v/>
      </c>
      <c r="G132">
        <f>IF(OR($A132&gt;cfg_LastDataDate,NOT(ISNUMBER(Calc_Daily!$U132))),NA(),Calc_Daily!$U132)</f>
        <v/>
      </c>
      <c r="H132">
        <f>IF(OR($A132&gt;cfg_LastDataDate,NOT(ISNUMBER(Calc_Daily!$DZ132))),NA(),Calc_Daily!$DZ132)</f>
        <v/>
      </c>
      <c r="I132">
        <f>IF(OR($A132&gt;cfg_LastDataDate,NOT(ISNUMBER(Calc_Daily!$DT132))),NA(),Calc_Daily!$DT132)</f>
        <v/>
      </c>
      <c r="J132">
        <f>IF(OR($A132&gt;cfg_LastDataDate,NOT(ISNUMBER(Calc_Daily!$IP132))),NA(),Calc_Daily!$IP132)</f>
        <v/>
      </c>
      <c r="K132">
        <f>Calc_Daily!$KM132</f>
        <v/>
      </c>
    </row>
    <row r="133">
      <c r="A133" s="54">
        <f>Calc_Daily!$A133</f>
        <v/>
      </c>
      <c r="B133">
        <f>IF(OR($A133&gt;cfg_LastDataDate,NOT(ISNUMBER(Calc_Daily!$CU133))),NA(),Calc_Daily!$CU133)</f>
        <v/>
      </c>
      <c r="C133">
        <f>Calc_Daily!$JT133/Calc_Daily!$D133</f>
        <v/>
      </c>
      <c r="D133">
        <f>IF(OR($A133&gt;cfg_LastDataDate,NOT(ISNUMBER(Calc_Daily!$EJ133))),NA(),Calc_Daily!$EJ133)</f>
        <v/>
      </c>
      <c r="E133">
        <f>Calc_Daily!$KQ133</f>
        <v/>
      </c>
      <c r="F133">
        <f>IF(OR($A133&gt;cfg_LastDataDate,NOT(ISNUMBER(Calc_Daily!$F133))),NA(),Calc_Daily!$F133)</f>
        <v/>
      </c>
      <c r="G133">
        <f>IF(OR($A133&gt;cfg_LastDataDate,NOT(ISNUMBER(Calc_Daily!$U133))),NA(),Calc_Daily!$U133)</f>
        <v/>
      </c>
      <c r="H133">
        <f>IF(OR($A133&gt;cfg_LastDataDate,NOT(ISNUMBER(Calc_Daily!$DZ133))),NA(),Calc_Daily!$DZ133)</f>
        <v/>
      </c>
      <c r="I133">
        <f>IF(OR($A133&gt;cfg_LastDataDate,NOT(ISNUMBER(Calc_Daily!$DT133))),NA(),Calc_Daily!$DT133)</f>
        <v/>
      </c>
      <c r="J133">
        <f>IF(OR($A133&gt;cfg_LastDataDate,NOT(ISNUMBER(Calc_Daily!$IP133))),NA(),Calc_Daily!$IP133)</f>
        <v/>
      </c>
      <c r="K133">
        <f>Calc_Daily!$KM133</f>
        <v/>
      </c>
    </row>
    <row r="134">
      <c r="A134" s="54">
        <f>Calc_Daily!$A134</f>
        <v/>
      </c>
      <c r="B134">
        <f>IF(OR($A134&gt;cfg_LastDataDate,NOT(ISNUMBER(Calc_Daily!$CU134))),NA(),Calc_Daily!$CU134)</f>
        <v/>
      </c>
      <c r="C134">
        <f>Calc_Daily!$JT134/Calc_Daily!$D134</f>
        <v/>
      </c>
      <c r="D134">
        <f>IF(OR($A134&gt;cfg_LastDataDate,NOT(ISNUMBER(Calc_Daily!$EJ134))),NA(),Calc_Daily!$EJ134)</f>
        <v/>
      </c>
      <c r="E134">
        <f>Calc_Daily!$KQ134</f>
        <v/>
      </c>
      <c r="F134">
        <f>IF(OR($A134&gt;cfg_LastDataDate,NOT(ISNUMBER(Calc_Daily!$F134))),NA(),Calc_Daily!$F134)</f>
        <v/>
      </c>
      <c r="G134">
        <f>IF(OR($A134&gt;cfg_LastDataDate,NOT(ISNUMBER(Calc_Daily!$U134))),NA(),Calc_Daily!$U134)</f>
        <v/>
      </c>
      <c r="H134">
        <f>IF(OR($A134&gt;cfg_LastDataDate,NOT(ISNUMBER(Calc_Daily!$DZ134))),NA(),Calc_Daily!$DZ134)</f>
        <v/>
      </c>
      <c r="I134">
        <f>IF(OR($A134&gt;cfg_LastDataDate,NOT(ISNUMBER(Calc_Daily!$DT134))),NA(),Calc_Daily!$DT134)</f>
        <v/>
      </c>
      <c r="J134">
        <f>IF(OR($A134&gt;cfg_LastDataDate,NOT(ISNUMBER(Calc_Daily!$IP134))),NA(),Calc_Daily!$IP134)</f>
        <v/>
      </c>
      <c r="K134">
        <f>Calc_Daily!$KM134</f>
        <v/>
      </c>
    </row>
    <row r="135">
      <c r="A135" s="54">
        <f>Calc_Daily!$A135</f>
        <v/>
      </c>
      <c r="B135">
        <f>IF(OR($A135&gt;cfg_LastDataDate,NOT(ISNUMBER(Calc_Daily!$CU135))),NA(),Calc_Daily!$CU135)</f>
        <v/>
      </c>
      <c r="C135">
        <f>Calc_Daily!$JT135/Calc_Daily!$D135</f>
        <v/>
      </c>
      <c r="D135">
        <f>IF(OR($A135&gt;cfg_LastDataDate,NOT(ISNUMBER(Calc_Daily!$EJ135))),NA(),Calc_Daily!$EJ135)</f>
        <v/>
      </c>
      <c r="E135">
        <f>Calc_Daily!$KQ135</f>
        <v/>
      </c>
      <c r="F135">
        <f>IF(OR($A135&gt;cfg_LastDataDate,NOT(ISNUMBER(Calc_Daily!$F135))),NA(),Calc_Daily!$F135)</f>
        <v/>
      </c>
      <c r="G135">
        <f>IF(OR($A135&gt;cfg_LastDataDate,NOT(ISNUMBER(Calc_Daily!$U135))),NA(),Calc_Daily!$U135)</f>
        <v/>
      </c>
      <c r="H135">
        <f>IF(OR($A135&gt;cfg_LastDataDate,NOT(ISNUMBER(Calc_Daily!$DZ135))),NA(),Calc_Daily!$DZ135)</f>
        <v/>
      </c>
      <c r="I135">
        <f>IF(OR($A135&gt;cfg_LastDataDate,NOT(ISNUMBER(Calc_Daily!$DT135))),NA(),Calc_Daily!$DT135)</f>
        <v/>
      </c>
      <c r="J135">
        <f>IF(OR($A135&gt;cfg_LastDataDate,NOT(ISNUMBER(Calc_Daily!$IP135))),NA(),Calc_Daily!$IP135)</f>
        <v/>
      </c>
      <c r="K135">
        <f>Calc_Daily!$KM135</f>
        <v/>
      </c>
    </row>
    <row r="136">
      <c r="A136" s="54">
        <f>Calc_Daily!$A136</f>
        <v/>
      </c>
      <c r="B136">
        <f>IF(OR($A136&gt;cfg_LastDataDate,NOT(ISNUMBER(Calc_Daily!$CU136))),NA(),Calc_Daily!$CU136)</f>
        <v/>
      </c>
      <c r="C136">
        <f>Calc_Daily!$JT136/Calc_Daily!$D136</f>
        <v/>
      </c>
      <c r="D136">
        <f>IF(OR($A136&gt;cfg_LastDataDate,NOT(ISNUMBER(Calc_Daily!$EJ136))),NA(),Calc_Daily!$EJ136)</f>
        <v/>
      </c>
      <c r="E136">
        <f>Calc_Daily!$KQ136</f>
        <v/>
      </c>
      <c r="F136">
        <f>IF(OR($A136&gt;cfg_LastDataDate,NOT(ISNUMBER(Calc_Daily!$F136))),NA(),Calc_Daily!$F136)</f>
        <v/>
      </c>
      <c r="G136">
        <f>IF(OR($A136&gt;cfg_LastDataDate,NOT(ISNUMBER(Calc_Daily!$U136))),NA(),Calc_Daily!$U136)</f>
        <v/>
      </c>
      <c r="H136">
        <f>IF(OR($A136&gt;cfg_LastDataDate,NOT(ISNUMBER(Calc_Daily!$DZ136))),NA(),Calc_Daily!$DZ136)</f>
        <v/>
      </c>
      <c r="I136">
        <f>IF(OR($A136&gt;cfg_LastDataDate,NOT(ISNUMBER(Calc_Daily!$DT136))),NA(),Calc_Daily!$DT136)</f>
        <v/>
      </c>
      <c r="J136">
        <f>IF(OR($A136&gt;cfg_LastDataDate,NOT(ISNUMBER(Calc_Daily!$IP136))),NA(),Calc_Daily!$IP136)</f>
        <v/>
      </c>
      <c r="K136">
        <f>Calc_Daily!$KM136</f>
        <v/>
      </c>
    </row>
    <row r="137">
      <c r="A137" s="54">
        <f>Calc_Daily!$A137</f>
        <v/>
      </c>
      <c r="B137">
        <f>IF(OR($A137&gt;cfg_LastDataDate,NOT(ISNUMBER(Calc_Daily!$CU137))),NA(),Calc_Daily!$CU137)</f>
        <v/>
      </c>
      <c r="C137">
        <f>Calc_Daily!$JT137/Calc_Daily!$D137</f>
        <v/>
      </c>
      <c r="D137">
        <f>IF(OR($A137&gt;cfg_LastDataDate,NOT(ISNUMBER(Calc_Daily!$EJ137))),NA(),Calc_Daily!$EJ137)</f>
        <v/>
      </c>
      <c r="E137">
        <f>Calc_Daily!$KQ137</f>
        <v/>
      </c>
      <c r="F137">
        <f>IF(OR($A137&gt;cfg_LastDataDate,NOT(ISNUMBER(Calc_Daily!$F137))),NA(),Calc_Daily!$F137)</f>
        <v/>
      </c>
      <c r="G137">
        <f>IF(OR($A137&gt;cfg_LastDataDate,NOT(ISNUMBER(Calc_Daily!$U137))),NA(),Calc_Daily!$U137)</f>
        <v/>
      </c>
      <c r="H137">
        <f>IF(OR($A137&gt;cfg_LastDataDate,NOT(ISNUMBER(Calc_Daily!$DZ137))),NA(),Calc_Daily!$DZ137)</f>
        <v/>
      </c>
      <c r="I137">
        <f>IF(OR($A137&gt;cfg_LastDataDate,NOT(ISNUMBER(Calc_Daily!$DT137))),NA(),Calc_Daily!$DT137)</f>
        <v/>
      </c>
      <c r="J137">
        <f>IF(OR($A137&gt;cfg_LastDataDate,NOT(ISNUMBER(Calc_Daily!$IP137))),NA(),Calc_Daily!$IP137)</f>
        <v/>
      </c>
      <c r="K137">
        <f>Calc_Daily!$KM137</f>
        <v/>
      </c>
    </row>
    <row r="138">
      <c r="A138" s="54">
        <f>Calc_Daily!$A138</f>
        <v/>
      </c>
      <c r="B138">
        <f>IF(OR($A138&gt;cfg_LastDataDate,NOT(ISNUMBER(Calc_Daily!$CU138))),NA(),Calc_Daily!$CU138)</f>
        <v/>
      </c>
      <c r="C138">
        <f>Calc_Daily!$JT138/Calc_Daily!$D138</f>
        <v/>
      </c>
      <c r="D138">
        <f>IF(OR($A138&gt;cfg_LastDataDate,NOT(ISNUMBER(Calc_Daily!$EJ138))),NA(),Calc_Daily!$EJ138)</f>
        <v/>
      </c>
      <c r="E138">
        <f>Calc_Daily!$KQ138</f>
        <v/>
      </c>
      <c r="F138">
        <f>IF(OR($A138&gt;cfg_LastDataDate,NOT(ISNUMBER(Calc_Daily!$F138))),NA(),Calc_Daily!$F138)</f>
        <v/>
      </c>
      <c r="G138">
        <f>IF(OR($A138&gt;cfg_LastDataDate,NOT(ISNUMBER(Calc_Daily!$U138))),NA(),Calc_Daily!$U138)</f>
        <v/>
      </c>
      <c r="H138">
        <f>IF(OR($A138&gt;cfg_LastDataDate,NOT(ISNUMBER(Calc_Daily!$DZ138))),NA(),Calc_Daily!$DZ138)</f>
        <v/>
      </c>
      <c r="I138">
        <f>IF(OR($A138&gt;cfg_LastDataDate,NOT(ISNUMBER(Calc_Daily!$DT138))),NA(),Calc_Daily!$DT138)</f>
        <v/>
      </c>
      <c r="J138">
        <f>IF(OR($A138&gt;cfg_LastDataDate,NOT(ISNUMBER(Calc_Daily!$IP138))),NA(),Calc_Daily!$IP138)</f>
        <v/>
      </c>
      <c r="K138">
        <f>Calc_Daily!$KM138</f>
        <v/>
      </c>
    </row>
    <row r="139">
      <c r="A139" s="54">
        <f>Calc_Daily!$A139</f>
        <v/>
      </c>
      <c r="B139">
        <f>IF(OR($A139&gt;cfg_LastDataDate,NOT(ISNUMBER(Calc_Daily!$CU139))),NA(),Calc_Daily!$CU139)</f>
        <v/>
      </c>
      <c r="C139">
        <f>Calc_Daily!$JT139/Calc_Daily!$D139</f>
        <v/>
      </c>
      <c r="D139">
        <f>IF(OR($A139&gt;cfg_LastDataDate,NOT(ISNUMBER(Calc_Daily!$EJ139))),NA(),Calc_Daily!$EJ139)</f>
        <v/>
      </c>
      <c r="E139">
        <f>Calc_Daily!$KQ139</f>
        <v/>
      </c>
      <c r="F139">
        <f>IF(OR($A139&gt;cfg_LastDataDate,NOT(ISNUMBER(Calc_Daily!$F139))),NA(),Calc_Daily!$F139)</f>
        <v/>
      </c>
      <c r="G139">
        <f>IF(OR($A139&gt;cfg_LastDataDate,NOT(ISNUMBER(Calc_Daily!$U139))),NA(),Calc_Daily!$U139)</f>
        <v/>
      </c>
      <c r="H139">
        <f>IF(OR($A139&gt;cfg_LastDataDate,NOT(ISNUMBER(Calc_Daily!$DZ139))),NA(),Calc_Daily!$DZ139)</f>
        <v/>
      </c>
      <c r="I139">
        <f>IF(OR($A139&gt;cfg_LastDataDate,NOT(ISNUMBER(Calc_Daily!$DT139))),NA(),Calc_Daily!$DT139)</f>
        <v/>
      </c>
      <c r="J139">
        <f>IF(OR($A139&gt;cfg_LastDataDate,NOT(ISNUMBER(Calc_Daily!$IP139))),NA(),Calc_Daily!$IP139)</f>
        <v/>
      </c>
      <c r="K139">
        <f>Calc_Daily!$KM139</f>
        <v/>
      </c>
    </row>
    <row r="140">
      <c r="A140" s="54">
        <f>Calc_Daily!$A140</f>
        <v/>
      </c>
      <c r="B140">
        <f>IF(OR($A140&gt;cfg_LastDataDate,NOT(ISNUMBER(Calc_Daily!$CU140))),NA(),Calc_Daily!$CU140)</f>
        <v/>
      </c>
      <c r="C140">
        <f>Calc_Daily!$JT140/Calc_Daily!$D140</f>
        <v/>
      </c>
      <c r="D140">
        <f>IF(OR($A140&gt;cfg_LastDataDate,NOT(ISNUMBER(Calc_Daily!$EJ140))),NA(),Calc_Daily!$EJ140)</f>
        <v/>
      </c>
      <c r="E140">
        <f>Calc_Daily!$KQ140</f>
        <v/>
      </c>
      <c r="F140">
        <f>IF(OR($A140&gt;cfg_LastDataDate,NOT(ISNUMBER(Calc_Daily!$F140))),NA(),Calc_Daily!$F140)</f>
        <v/>
      </c>
      <c r="G140">
        <f>IF(OR($A140&gt;cfg_LastDataDate,NOT(ISNUMBER(Calc_Daily!$U140))),NA(),Calc_Daily!$U140)</f>
        <v/>
      </c>
      <c r="H140">
        <f>IF(OR($A140&gt;cfg_LastDataDate,NOT(ISNUMBER(Calc_Daily!$DZ140))),NA(),Calc_Daily!$DZ140)</f>
        <v/>
      </c>
      <c r="I140">
        <f>IF(OR($A140&gt;cfg_LastDataDate,NOT(ISNUMBER(Calc_Daily!$DT140))),NA(),Calc_Daily!$DT140)</f>
        <v/>
      </c>
      <c r="J140">
        <f>IF(OR($A140&gt;cfg_LastDataDate,NOT(ISNUMBER(Calc_Daily!$IP140))),NA(),Calc_Daily!$IP140)</f>
        <v/>
      </c>
      <c r="K140">
        <f>Calc_Daily!$KM140</f>
        <v/>
      </c>
    </row>
    <row r="141">
      <c r="A141" s="54">
        <f>Calc_Daily!$A141</f>
        <v/>
      </c>
      <c r="B141">
        <f>IF(OR($A141&gt;cfg_LastDataDate,NOT(ISNUMBER(Calc_Daily!$CU141))),NA(),Calc_Daily!$CU141)</f>
        <v/>
      </c>
      <c r="C141">
        <f>Calc_Daily!$JT141/Calc_Daily!$D141</f>
        <v/>
      </c>
      <c r="D141">
        <f>IF(OR($A141&gt;cfg_LastDataDate,NOT(ISNUMBER(Calc_Daily!$EJ141))),NA(),Calc_Daily!$EJ141)</f>
        <v/>
      </c>
      <c r="E141">
        <f>Calc_Daily!$KQ141</f>
        <v/>
      </c>
      <c r="F141">
        <f>IF(OR($A141&gt;cfg_LastDataDate,NOT(ISNUMBER(Calc_Daily!$F141))),NA(),Calc_Daily!$F141)</f>
        <v/>
      </c>
      <c r="G141">
        <f>IF(OR($A141&gt;cfg_LastDataDate,NOT(ISNUMBER(Calc_Daily!$U141))),NA(),Calc_Daily!$U141)</f>
        <v/>
      </c>
      <c r="H141">
        <f>IF(OR($A141&gt;cfg_LastDataDate,NOT(ISNUMBER(Calc_Daily!$DZ141))),NA(),Calc_Daily!$DZ141)</f>
        <v/>
      </c>
      <c r="I141">
        <f>IF(OR($A141&gt;cfg_LastDataDate,NOT(ISNUMBER(Calc_Daily!$DT141))),NA(),Calc_Daily!$DT141)</f>
        <v/>
      </c>
      <c r="J141">
        <f>IF(OR($A141&gt;cfg_LastDataDate,NOT(ISNUMBER(Calc_Daily!$IP141))),NA(),Calc_Daily!$IP141)</f>
        <v/>
      </c>
      <c r="K141">
        <f>Calc_Daily!$KM141</f>
        <v/>
      </c>
    </row>
    <row r="142">
      <c r="A142" s="54">
        <f>Calc_Daily!$A142</f>
        <v/>
      </c>
      <c r="B142">
        <f>IF(OR($A142&gt;cfg_LastDataDate,NOT(ISNUMBER(Calc_Daily!$CU142))),NA(),Calc_Daily!$CU142)</f>
        <v/>
      </c>
      <c r="C142">
        <f>Calc_Daily!$JT142/Calc_Daily!$D142</f>
        <v/>
      </c>
      <c r="D142">
        <f>IF(OR($A142&gt;cfg_LastDataDate,NOT(ISNUMBER(Calc_Daily!$EJ142))),NA(),Calc_Daily!$EJ142)</f>
        <v/>
      </c>
      <c r="E142">
        <f>Calc_Daily!$KQ142</f>
        <v/>
      </c>
      <c r="F142">
        <f>IF(OR($A142&gt;cfg_LastDataDate,NOT(ISNUMBER(Calc_Daily!$F142))),NA(),Calc_Daily!$F142)</f>
        <v/>
      </c>
      <c r="G142">
        <f>IF(OR($A142&gt;cfg_LastDataDate,NOT(ISNUMBER(Calc_Daily!$U142))),NA(),Calc_Daily!$U142)</f>
        <v/>
      </c>
      <c r="H142">
        <f>IF(OR($A142&gt;cfg_LastDataDate,NOT(ISNUMBER(Calc_Daily!$DZ142))),NA(),Calc_Daily!$DZ142)</f>
        <v/>
      </c>
      <c r="I142">
        <f>IF(OR($A142&gt;cfg_LastDataDate,NOT(ISNUMBER(Calc_Daily!$DT142))),NA(),Calc_Daily!$DT142)</f>
        <v/>
      </c>
      <c r="J142">
        <f>IF(OR($A142&gt;cfg_LastDataDate,NOT(ISNUMBER(Calc_Daily!$IP142))),NA(),Calc_Daily!$IP142)</f>
        <v/>
      </c>
      <c r="K142">
        <f>Calc_Daily!$KM142</f>
        <v/>
      </c>
    </row>
    <row r="143">
      <c r="A143" s="54">
        <f>Calc_Daily!$A143</f>
        <v/>
      </c>
      <c r="B143">
        <f>IF(OR($A143&gt;cfg_LastDataDate,NOT(ISNUMBER(Calc_Daily!$CU143))),NA(),Calc_Daily!$CU143)</f>
        <v/>
      </c>
      <c r="C143">
        <f>Calc_Daily!$JT143/Calc_Daily!$D143</f>
        <v/>
      </c>
      <c r="D143">
        <f>IF(OR($A143&gt;cfg_LastDataDate,NOT(ISNUMBER(Calc_Daily!$EJ143))),NA(),Calc_Daily!$EJ143)</f>
        <v/>
      </c>
      <c r="E143">
        <f>Calc_Daily!$KQ143</f>
        <v/>
      </c>
      <c r="F143">
        <f>IF(OR($A143&gt;cfg_LastDataDate,NOT(ISNUMBER(Calc_Daily!$F143))),NA(),Calc_Daily!$F143)</f>
        <v/>
      </c>
      <c r="G143">
        <f>IF(OR($A143&gt;cfg_LastDataDate,NOT(ISNUMBER(Calc_Daily!$U143))),NA(),Calc_Daily!$U143)</f>
        <v/>
      </c>
      <c r="H143">
        <f>IF(OR($A143&gt;cfg_LastDataDate,NOT(ISNUMBER(Calc_Daily!$DZ143))),NA(),Calc_Daily!$DZ143)</f>
        <v/>
      </c>
      <c r="I143">
        <f>IF(OR($A143&gt;cfg_LastDataDate,NOT(ISNUMBER(Calc_Daily!$DT143))),NA(),Calc_Daily!$DT143)</f>
        <v/>
      </c>
      <c r="J143">
        <f>IF(OR($A143&gt;cfg_LastDataDate,NOT(ISNUMBER(Calc_Daily!$IP143))),NA(),Calc_Daily!$IP143)</f>
        <v/>
      </c>
      <c r="K143">
        <f>Calc_Daily!$KM143</f>
        <v/>
      </c>
    </row>
    <row r="144">
      <c r="A144" s="54">
        <f>Calc_Daily!$A144</f>
        <v/>
      </c>
      <c r="B144">
        <f>IF(OR($A144&gt;cfg_LastDataDate,NOT(ISNUMBER(Calc_Daily!$CU144))),NA(),Calc_Daily!$CU144)</f>
        <v/>
      </c>
      <c r="C144">
        <f>Calc_Daily!$JT144/Calc_Daily!$D144</f>
        <v/>
      </c>
      <c r="D144">
        <f>IF(OR($A144&gt;cfg_LastDataDate,NOT(ISNUMBER(Calc_Daily!$EJ144))),NA(),Calc_Daily!$EJ144)</f>
        <v/>
      </c>
      <c r="E144">
        <f>Calc_Daily!$KQ144</f>
        <v/>
      </c>
      <c r="F144">
        <f>IF(OR($A144&gt;cfg_LastDataDate,NOT(ISNUMBER(Calc_Daily!$F144))),NA(),Calc_Daily!$F144)</f>
        <v/>
      </c>
      <c r="G144">
        <f>IF(OR($A144&gt;cfg_LastDataDate,NOT(ISNUMBER(Calc_Daily!$U144))),NA(),Calc_Daily!$U144)</f>
        <v/>
      </c>
      <c r="H144">
        <f>IF(OR($A144&gt;cfg_LastDataDate,NOT(ISNUMBER(Calc_Daily!$DZ144))),NA(),Calc_Daily!$DZ144)</f>
        <v/>
      </c>
      <c r="I144">
        <f>IF(OR($A144&gt;cfg_LastDataDate,NOT(ISNUMBER(Calc_Daily!$DT144))),NA(),Calc_Daily!$DT144)</f>
        <v/>
      </c>
      <c r="J144">
        <f>IF(OR($A144&gt;cfg_LastDataDate,NOT(ISNUMBER(Calc_Daily!$IP144))),NA(),Calc_Daily!$IP144)</f>
        <v/>
      </c>
      <c r="K144">
        <f>Calc_Daily!$KM144</f>
        <v/>
      </c>
    </row>
    <row r="145">
      <c r="A145" s="54">
        <f>Calc_Daily!$A145</f>
        <v/>
      </c>
      <c r="B145">
        <f>IF(OR($A145&gt;cfg_LastDataDate,NOT(ISNUMBER(Calc_Daily!$CU145))),NA(),Calc_Daily!$CU145)</f>
        <v/>
      </c>
      <c r="C145">
        <f>Calc_Daily!$JT145/Calc_Daily!$D145</f>
        <v/>
      </c>
      <c r="D145">
        <f>IF(OR($A145&gt;cfg_LastDataDate,NOT(ISNUMBER(Calc_Daily!$EJ145))),NA(),Calc_Daily!$EJ145)</f>
        <v/>
      </c>
      <c r="E145">
        <f>Calc_Daily!$KQ145</f>
        <v/>
      </c>
      <c r="F145">
        <f>IF(OR($A145&gt;cfg_LastDataDate,NOT(ISNUMBER(Calc_Daily!$F145))),NA(),Calc_Daily!$F145)</f>
        <v/>
      </c>
      <c r="G145">
        <f>IF(OR($A145&gt;cfg_LastDataDate,NOT(ISNUMBER(Calc_Daily!$U145))),NA(),Calc_Daily!$U145)</f>
        <v/>
      </c>
      <c r="H145">
        <f>IF(OR($A145&gt;cfg_LastDataDate,NOT(ISNUMBER(Calc_Daily!$DZ145))),NA(),Calc_Daily!$DZ145)</f>
        <v/>
      </c>
      <c r="I145">
        <f>IF(OR($A145&gt;cfg_LastDataDate,NOT(ISNUMBER(Calc_Daily!$DT145))),NA(),Calc_Daily!$DT145)</f>
        <v/>
      </c>
      <c r="J145">
        <f>IF(OR($A145&gt;cfg_LastDataDate,NOT(ISNUMBER(Calc_Daily!$IP145))),NA(),Calc_Daily!$IP145)</f>
        <v/>
      </c>
      <c r="K145">
        <f>Calc_Daily!$KM145</f>
        <v/>
      </c>
    </row>
    <row r="146">
      <c r="A146" s="54">
        <f>Calc_Daily!$A146</f>
        <v/>
      </c>
      <c r="B146">
        <f>IF(OR($A146&gt;cfg_LastDataDate,NOT(ISNUMBER(Calc_Daily!$CU146))),NA(),Calc_Daily!$CU146)</f>
        <v/>
      </c>
      <c r="C146">
        <f>Calc_Daily!$JT146/Calc_Daily!$D146</f>
        <v/>
      </c>
      <c r="D146">
        <f>IF(OR($A146&gt;cfg_LastDataDate,NOT(ISNUMBER(Calc_Daily!$EJ146))),NA(),Calc_Daily!$EJ146)</f>
        <v/>
      </c>
      <c r="E146">
        <f>Calc_Daily!$KQ146</f>
        <v/>
      </c>
      <c r="F146">
        <f>IF(OR($A146&gt;cfg_LastDataDate,NOT(ISNUMBER(Calc_Daily!$F146))),NA(),Calc_Daily!$F146)</f>
        <v/>
      </c>
      <c r="G146">
        <f>IF(OR($A146&gt;cfg_LastDataDate,NOT(ISNUMBER(Calc_Daily!$U146))),NA(),Calc_Daily!$U146)</f>
        <v/>
      </c>
      <c r="H146">
        <f>IF(OR($A146&gt;cfg_LastDataDate,NOT(ISNUMBER(Calc_Daily!$DZ146))),NA(),Calc_Daily!$DZ146)</f>
        <v/>
      </c>
      <c r="I146">
        <f>IF(OR($A146&gt;cfg_LastDataDate,NOT(ISNUMBER(Calc_Daily!$DT146))),NA(),Calc_Daily!$DT146)</f>
        <v/>
      </c>
      <c r="J146">
        <f>IF(OR($A146&gt;cfg_LastDataDate,NOT(ISNUMBER(Calc_Daily!$IP146))),NA(),Calc_Daily!$IP146)</f>
        <v/>
      </c>
      <c r="K146">
        <f>Calc_Daily!$KM146</f>
        <v/>
      </c>
    </row>
    <row r="147">
      <c r="A147" s="54">
        <f>Calc_Daily!$A147</f>
        <v/>
      </c>
      <c r="B147">
        <f>IF(OR($A147&gt;cfg_LastDataDate,NOT(ISNUMBER(Calc_Daily!$CU147))),NA(),Calc_Daily!$CU147)</f>
        <v/>
      </c>
      <c r="C147">
        <f>Calc_Daily!$JT147/Calc_Daily!$D147</f>
        <v/>
      </c>
      <c r="D147">
        <f>IF(OR($A147&gt;cfg_LastDataDate,NOT(ISNUMBER(Calc_Daily!$EJ147))),NA(),Calc_Daily!$EJ147)</f>
        <v/>
      </c>
      <c r="E147">
        <f>Calc_Daily!$KQ147</f>
        <v/>
      </c>
      <c r="F147">
        <f>IF(OR($A147&gt;cfg_LastDataDate,NOT(ISNUMBER(Calc_Daily!$F147))),NA(),Calc_Daily!$F147)</f>
        <v/>
      </c>
      <c r="G147">
        <f>IF(OR($A147&gt;cfg_LastDataDate,NOT(ISNUMBER(Calc_Daily!$U147))),NA(),Calc_Daily!$U147)</f>
        <v/>
      </c>
      <c r="H147">
        <f>IF(OR($A147&gt;cfg_LastDataDate,NOT(ISNUMBER(Calc_Daily!$DZ147))),NA(),Calc_Daily!$DZ147)</f>
        <v/>
      </c>
      <c r="I147">
        <f>IF(OR($A147&gt;cfg_LastDataDate,NOT(ISNUMBER(Calc_Daily!$DT147))),NA(),Calc_Daily!$DT147)</f>
        <v/>
      </c>
      <c r="J147">
        <f>IF(OR($A147&gt;cfg_LastDataDate,NOT(ISNUMBER(Calc_Daily!$IP147))),NA(),Calc_Daily!$IP147)</f>
        <v/>
      </c>
      <c r="K147">
        <f>Calc_Daily!$KM147</f>
        <v/>
      </c>
    </row>
    <row r="148">
      <c r="A148" s="54">
        <f>Calc_Daily!$A148</f>
        <v/>
      </c>
      <c r="B148">
        <f>IF(OR($A148&gt;cfg_LastDataDate,NOT(ISNUMBER(Calc_Daily!$CU148))),NA(),Calc_Daily!$CU148)</f>
        <v/>
      </c>
      <c r="C148">
        <f>Calc_Daily!$JT148/Calc_Daily!$D148</f>
        <v/>
      </c>
      <c r="D148">
        <f>IF(OR($A148&gt;cfg_LastDataDate,NOT(ISNUMBER(Calc_Daily!$EJ148))),NA(),Calc_Daily!$EJ148)</f>
        <v/>
      </c>
      <c r="E148">
        <f>Calc_Daily!$KQ148</f>
        <v/>
      </c>
      <c r="F148">
        <f>IF(OR($A148&gt;cfg_LastDataDate,NOT(ISNUMBER(Calc_Daily!$F148))),NA(),Calc_Daily!$F148)</f>
        <v/>
      </c>
      <c r="G148">
        <f>IF(OR($A148&gt;cfg_LastDataDate,NOT(ISNUMBER(Calc_Daily!$U148))),NA(),Calc_Daily!$U148)</f>
        <v/>
      </c>
      <c r="H148">
        <f>IF(OR($A148&gt;cfg_LastDataDate,NOT(ISNUMBER(Calc_Daily!$DZ148))),NA(),Calc_Daily!$DZ148)</f>
        <v/>
      </c>
      <c r="I148">
        <f>IF(OR($A148&gt;cfg_LastDataDate,NOT(ISNUMBER(Calc_Daily!$DT148))),NA(),Calc_Daily!$DT148)</f>
        <v/>
      </c>
      <c r="J148">
        <f>IF(OR($A148&gt;cfg_LastDataDate,NOT(ISNUMBER(Calc_Daily!$IP148))),NA(),Calc_Daily!$IP148)</f>
        <v/>
      </c>
      <c r="K148">
        <f>Calc_Daily!$KM148</f>
        <v/>
      </c>
    </row>
    <row r="149">
      <c r="A149" s="54">
        <f>Calc_Daily!$A149</f>
        <v/>
      </c>
      <c r="B149">
        <f>IF(OR($A149&gt;cfg_LastDataDate,NOT(ISNUMBER(Calc_Daily!$CU149))),NA(),Calc_Daily!$CU149)</f>
        <v/>
      </c>
      <c r="C149">
        <f>Calc_Daily!$JT149/Calc_Daily!$D149</f>
        <v/>
      </c>
      <c r="D149">
        <f>IF(OR($A149&gt;cfg_LastDataDate,NOT(ISNUMBER(Calc_Daily!$EJ149))),NA(),Calc_Daily!$EJ149)</f>
        <v/>
      </c>
      <c r="E149">
        <f>Calc_Daily!$KQ149</f>
        <v/>
      </c>
      <c r="F149">
        <f>IF(OR($A149&gt;cfg_LastDataDate,NOT(ISNUMBER(Calc_Daily!$F149))),NA(),Calc_Daily!$F149)</f>
        <v/>
      </c>
      <c r="G149">
        <f>IF(OR($A149&gt;cfg_LastDataDate,NOT(ISNUMBER(Calc_Daily!$U149))),NA(),Calc_Daily!$U149)</f>
        <v/>
      </c>
      <c r="H149">
        <f>IF(OR($A149&gt;cfg_LastDataDate,NOT(ISNUMBER(Calc_Daily!$DZ149))),NA(),Calc_Daily!$DZ149)</f>
        <v/>
      </c>
      <c r="I149">
        <f>IF(OR($A149&gt;cfg_LastDataDate,NOT(ISNUMBER(Calc_Daily!$DT149))),NA(),Calc_Daily!$DT149)</f>
        <v/>
      </c>
      <c r="J149">
        <f>IF(OR($A149&gt;cfg_LastDataDate,NOT(ISNUMBER(Calc_Daily!$IP149))),NA(),Calc_Daily!$IP149)</f>
        <v/>
      </c>
      <c r="K149">
        <f>Calc_Daily!$KM149</f>
        <v/>
      </c>
    </row>
    <row r="150">
      <c r="A150" s="54">
        <f>Calc_Daily!$A150</f>
        <v/>
      </c>
      <c r="B150">
        <f>IF(OR($A150&gt;cfg_LastDataDate,NOT(ISNUMBER(Calc_Daily!$CU150))),NA(),Calc_Daily!$CU150)</f>
        <v/>
      </c>
      <c r="C150">
        <f>Calc_Daily!$JT150/Calc_Daily!$D150</f>
        <v/>
      </c>
      <c r="D150">
        <f>IF(OR($A150&gt;cfg_LastDataDate,NOT(ISNUMBER(Calc_Daily!$EJ150))),NA(),Calc_Daily!$EJ150)</f>
        <v/>
      </c>
      <c r="E150">
        <f>Calc_Daily!$KQ150</f>
        <v/>
      </c>
      <c r="F150">
        <f>IF(OR($A150&gt;cfg_LastDataDate,NOT(ISNUMBER(Calc_Daily!$F150))),NA(),Calc_Daily!$F150)</f>
        <v/>
      </c>
      <c r="G150">
        <f>IF(OR($A150&gt;cfg_LastDataDate,NOT(ISNUMBER(Calc_Daily!$U150))),NA(),Calc_Daily!$U150)</f>
        <v/>
      </c>
      <c r="H150">
        <f>IF(OR($A150&gt;cfg_LastDataDate,NOT(ISNUMBER(Calc_Daily!$DZ150))),NA(),Calc_Daily!$DZ150)</f>
        <v/>
      </c>
      <c r="I150">
        <f>IF(OR($A150&gt;cfg_LastDataDate,NOT(ISNUMBER(Calc_Daily!$DT150))),NA(),Calc_Daily!$DT150)</f>
        <v/>
      </c>
      <c r="J150">
        <f>IF(OR($A150&gt;cfg_LastDataDate,NOT(ISNUMBER(Calc_Daily!$IP150))),NA(),Calc_Daily!$IP150)</f>
        <v/>
      </c>
      <c r="K150">
        <f>Calc_Daily!$KM150</f>
        <v/>
      </c>
    </row>
    <row r="151">
      <c r="A151" s="54">
        <f>Calc_Daily!$A151</f>
        <v/>
      </c>
      <c r="B151">
        <f>IF(OR($A151&gt;cfg_LastDataDate,NOT(ISNUMBER(Calc_Daily!$CU151))),NA(),Calc_Daily!$CU151)</f>
        <v/>
      </c>
      <c r="C151">
        <f>Calc_Daily!$JT151/Calc_Daily!$D151</f>
        <v/>
      </c>
      <c r="D151">
        <f>IF(OR($A151&gt;cfg_LastDataDate,NOT(ISNUMBER(Calc_Daily!$EJ151))),NA(),Calc_Daily!$EJ151)</f>
        <v/>
      </c>
      <c r="E151">
        <f>Calc_Daily!$KQ151</f>
        <v/>
      </c>
      <c r="F151">
        <f>IF(OR($A151&gt;cfg_LastDataDate,NOT(ISNUMBER(Calc_Daily!$F151))),NA(),Calc_Daily!$F151)</f>
        <v/>
      </c>
      <c r="G151">
        <f>IF(OR($A151&gt;cfg_LastDataDate,NOT(ISNUMBER(Calc_Daily!$U151))),NA(),Calc_Daily!$U151)</f>
        <v/>
      </c>
      <c r="H151">
        <f>IF(OR($A151&gt;cfg_LastDataDate,NOT(ISNUMBER(Calc_Daily!$DZ151))),NA(),Calc_Daily!$DZ151)</f>
        <v/>
      </c>
      <c r="I151">
        <f>IF(OR($A151&gt;cfg_LastDataDate,NOT(ISNUMBER(Calc_Daily!$DT151))),NA(),Calc_Daily!$DT151)</f>
        <v/>
      </c>
      <c r="J151">
        <f>IF(OR($A151&gt;cfg_LastDataDate,NOT(ISNUMBER(Calc_Daily!$IP151))),NA(),Calc_Daily!$IP151)</f>
        <v/>
      </c>
      <c r="K151">
        <f>Calc_Daily!$KM151</f>
        <v/>
      </c>
    </row>
    <row r="152">
      <c r="A152" s="54">
        <f>Calc_Daily!$A152</f>
        <v/>
      </c>
      <c r="B152">
        <f>IF(OR($A152&gt;cfg_LastDataDate,NOT(ISNUMBER(Calc_Daily!$CU152))),NA(),Calc_Daily!$CU152)</f>
        <v/>
      </c>
      <c r="C152">
        <f>Calc_Daily!$JT152/Calc_Daily!$D152</f>
        <v/>
      </c>
      <c r="D152">
        <f>IF(OR($A152&gt;cfg_LastDataDate,NOT(ISNUMBER(Calc_Daily!$EJ152))),NA(),Calc_Daily!$EJ152)</f>
        <v/>
      </c>
      <c r="E152">
        <f>Calc_Daily!$KQ152</f>
        <v/>
      </c>
      <c r="F152">
        <f>IF(OR($A152&gt;cfg_LastDataDate,NOT(ISNUMBER(Calc_Daily!$F152))),NA(),Calc_Daily!$F152)</f>
        <v/>
      </c>
      <c r="G152">
        <f>IF(OR($A152&gt;cfg_LastDataDate,NOT(ISNUMBER(Calc_Daily!$U152))),NA(),Calc_Daily!$U152)</f>
        <v/>
      </c>
      <c r="H152">
        <f>IF(OR($A152&gt;cfg_LastDataDate,NOT(ISNUMBER(Calc_Daily!$DZ152))),NA(),Calc_Daily!$DZ152)</f>
        <v/>
      </c>
      <c r="I152">
        <f>IF(OR($A152&gt;cfg_LastDataDate,NOT(ISNUMBER(Calc_Daily!$DT152))),NA(),Calc_Daily!$DT152)</f>
        <v/>
      </c>
      <c r="J152">
        <f>IF(OR($A152&gt;cfg_LastDataDate,NOT(ISNUMBER(Calc_Daily!$IP152))),NA(),Calc_Daily!$IP152)</f>
        <v/>
      </c>
      <c r="K152">
        <f>Calc_Daily!$KM152</f>
        <v/>
      </c>
    </row>
    <row r="153">
      <c r="A153" s="54">
        <f>Calc_Daily!$A153</f>
        <v/>
      </c>
      <c r="B153">
        <f>IF(OR($A153&gt;cfg_LastDataDate,NOT(ISNUMBER(Calc_Daily!$CU153))),NA(),Calc_Daily!$CU153)</f>
        <v/>
      </c>
      <c r="C153">
        <f>Calc_Daily!$JT153/Calc_Daily!$D153</f>
        <v/>
      </c>
      <c r="D153">
        <f>IF(OR($A153&gt;cfg_LastDataDate,NOT(ISNUMBER(Calc_Daily!$EJ153))),NA(),Calc_Daily!$EJ153)</f>
        <v/>
      </c>
      <c r="E153">
        <f>Calc_Daily!$KQ153</f>
        <v/>
      </c>
      <c r="F153">
        <f>IF(OR($A153&gt;cfg_LastDataDate,NOT(ISNUMBER(Calc_Daily!$F153))),NA(),Calc_Daily!$F153)</f>
        <v/>
      </c>
      <c r="G153">
        <f>IF(OR($A153&gt;cfg_LastDataDate,NOT(ISNUMBER(Calc_Daily!$U153))),NA(),Calc_Daily!$U153)</f>
        <v/>
      </c>
      <c r="H153">
        <f>IF(OR($A153&gt;cfg_LastDataDate,NOT(ISNUMBER(Calc_Daily!$DZ153))),NA(),Calc_Daily!$DZ153)</f>
        <v/>
      </c>
      <c r="I153">
        <f>IF(OR($A153&gt;cfg_LastDataDate,NOT(ISNUMBER(Calc_Daily!$DT153))),NA(),Calc_Daily!$DT153)</f>
        <v/>
      </c>
      <c r="J153">
        <f>IF(OR($A153&gt;cfg_LastDataDate,NOT(ISNUMBER(Calc_Daily!$IP153))),NA(),Calc_Daily!$IP153)</f>
        <v/>
      </c>
      <c r="K153">
        <f>Calc_Daily!$KM153</f>
        <v/>
      </c>
    </row>
    <row r="154">
      <c r="A154" s="54">
        <f>Calc_Daily!$A154</f>
        <v/>
      </c>
      <c r="B154">
        <f>IF(OR($A154&gt;cfg_LastDataDate,NOT(ISNUMBER(Calc_Daily!$CU154))),NA(),Calc_Daily!$CU154)</f>
        <v/>
      </c>
      <c r="C154">
        <f>Calc_Daily!$JT154/Calc_Daily!$D154</f>
        <v/>
      </c>
      <c r="D154">
        <f>IF(OR($A154&gt;cfg_LastDataDate,NOT(ISNUMBER(Calc_Daily!$EJ154))),NA(),Calc_Daily!$EJ154)</f>
        <v/>
      </c>
      <c r="E154">
        <f>Calc_Daily!$KQ154</f>
        <v/>
      </c>
      <c r="F154">
        <f>IF(OR($A154&gt;cfg_LastDataDate,NOT(ISNUMBER(Calc_Daily!$F154))),NA(),Calc_Daily!$F154)</f>
        <v/>
      </c>
      <c r="G154">
        <f>IF(OR($A154&gt;cfg_LastDataDate,NOT(ISNUMBER(Calc_Daily!$U154))),NA(),Calc_Daily!$U154)</f>
        <v/>
      </c>
      <c r="H154">
        <f>IF(OR($A154&gt;cfg_LastDataDate,NOT(ISNUMBER(Calc_Daily!$DZ154))),NA(),Calc_Daily!$DZ154)</f>
        <v/>
      </c>
      <c r="I154">
        <f>IF(OR($A154&gt;cfg_LastDataDate,NOT(ISNUMBER(Calc_Daily!$DT154))),NA(),Calc_Daily!$DT154)</f>
        <v/>
      </c>
      <c r="J154">
        <f>IF(OR($A154&gt;cfg_LastDataDate,NOT(ISNUMBER(Calc_Daily!$IP154))),NA(),Calc_Daily!$IP154)</f>
        <v/>
      </c>
      <c r="K154">
        <f>Calc_Daily!$KM154</f>
        <v/>
      </c>
    </row>
    <row r="155">
      <c r="A155" s="54">
        <f>Calc_Daily!$A155</f>
        <v/>
      </c>
      <c r="B155">
        <f>IF(OR($A155&gt;cfg_LastDataDate,NOT(ISNUMBER(Calc_Daily!$CU155))),NA(),Calc_Daily!$CU155)</f>
        <v/>
      </c>
      <c r="C155">
        <f>Calc_Daily!$JT155/Calc_Daily!$D155</f>
        <v/>
      </c>
      <c r="D155">
        <f>IF(OR($A155&gt;cfg_LastDataDate,NOT(ISNUMBER(Calc_Daily!$EJ155))),NA(),Calc_Daily!$EJ155)</f>
        <v/>
      </c>
      <c r="E155">
        <f>Calc_Daily!$KQ155</f>
        <v/>
      </c>
      <c r="F155">
        <f>IF(OR($A155&gt;cfg_LastDataDate,NOT(ISNUMBER(Calc_Daily!$F155))),NA(),Calc_Daily!$F155)</f>
        <v/>
      </c>
      <c r="G155">
        <f>IF(OR($A155&gt;cfg_LastDataDate,NOT(ISNUMBER(Calc_Daily!$U155))),NA(),Calc_Daily!$U155)</f>
        <v/>
      </c>
      <c r="H155">
        <f>IF(OR($A155&gt;cfg_LastDataDate,NOT(ISNUMBER(Calc_Daily!$DZ155))),NA(),Calc_Daily!$DZ155)</f>
        <v/>
      </c>
      <c r="I155">
        <f>IF(OR($A155&gt;cfg_LastDataDate,NOT(ISNUMBER(Calc_Daily!$DT155))),NA(),Calc_Daily!$DT155)</f>
        <v/>
      </c>
      <c r="J155">
        <f>IF(OR($A155&gt;cfg_LastDataDate,NOT(ISNUMBER(Calc_Daily!$IP155))),NA(),Calc_Daily!$IP155)</f>
        <v/>
      </c>
      <c r="K155">
        <f>Calc_Daily!$KM155</f>
        <v/>
      </c>
    </row>
    <row r="156">
      <c r="A156" s="54">
        <f>Calc_Daily!$A156</f>
        <v/>
      </c>
      <c r="B156">
        <f>IF(OR($A156&gt;cfg_LastDataDate,NOT(ISNUMBER(Calc_Daily!$CU156))),NA(),Calc_Daily!$CU156)</f>
        <v/>
      </c>
      <c r="C156">
        <f>Calc_Daily!$JT156/Calc_Daily!$D156</f>
        <v/>
      </c>
      <c r="D156">
        <f>IF(OR($A156&gt;cfg_LastDataDate,NOT(ISNUMBER(Calc_Daily!$EJ156))),NA(),Calc_Daily!$EJ156)</f>
        <v/>
      </c>
      <c r="E156">
        <f>Calc_Daily!$KQ156</f>
        <v/>
      </c>
      <c r="F156">
        <f>IF(OR($A156&gt;cfg_LastDataDate,NOT(ISNUMBER(Calc_Daily!$F156))),NA(),Calc_Daily!$F156)</f>
        <v/>
      </c>
      <c r="G156">
        <f>IF(OR($A156&gt;cfg_LastDataDate,NOT(ISNUMBER(Calc_Daily!$U156))),NA(),Calc_Daily!$U156)</f>
        <v/>
      </c>
      <c r="H156">
        <f>IF(OR($A156&gt;cfg_LastDataDate,NOT(ISNUMBER(Calc_Daily!$DZ156))),NA(),Calc_Daily!$DZ156)</f>
        <v/>
      </c>
      <c r="I156">
        <f>IF(OR($A156&gt;cfg_LastDataDate,NOT(ISNUMBER(Calc_Daily!$DT156))),NA(),Calc_Daily!$DT156)</f>
        <v/>
      </c>
      <c r="J156">
        <f>IF(OR($A156&gt;cfg_LastDataDate,NOT(ISNUMBER(Calc_Daily!$IP156))),NA(),Calc_Daily!$IP156)</f>
        <v/>
      </c>
      <c r="K156">
        <f>Calc_Daily!$KM156</f>
        <v/>
      </c>
    </row>
    <row r="157">
      <c r="A157" s="54">
        <f>Calc_Daily!$A157</f>
        <v/>
      </c>
      <c r="B157">
        <f>IF(OR($A157&gt;cfg_LastDataDate,NOT(ISNUMBER(Calc_Daily!$CU157))),NA(),Calc_Daily!$CU157)</f>
        <v/>
      </c>
      <c r="C157">
        <f>Calc_Daily!$JT157/Calc_Daily!$D157</f>
        <v/>
      </c>
      <c r="D157">
        <f>IF(OR($A157&gt;cfg_LastDataDate,NOT(ISNUMBER(Calc_Daily!$EJ157))),NA(),Calc_Daily!$EJ157)</f>
        <v/>
      </c>
      <c r="E157">
        <f>Calc_Daily!$KQ157</f>
        <v/>
      </c>
      <c r="F157">
        <f>IF(OR($A157&gt;cfg_LastDataDate,NOT(ISNUMBER(Calc_Daily!$F157))),NA(),Calc_Daily!$F157)</f>
        <v/>
      </c>
      <c r="G157">
        <f>IF(OR($A157&gt;cfg_LastDataDate,NOT(ISNUMBER(Calc_Daily!$U157))),NA(),Calc_Daily!$U157)</f>
        <v/>
      </c>
      <c r="H157">
        <f>IF(OR($A157&gt;cfg_LastDataDate,NOT(ISNUMBER(Calc_Daily!$DZ157))),NA(),Calc_Daily!$DZ157)</f>
        <v/>
      </c>
      <c r="I157">
        <f>IF(OR($A157&gt;cfg_LastDataDate,NOT(ISNUMBER(Calc_Daily!$DT157))),NA(),Calc_Daily!$DT157)</f>
        <v/>
      </c>
      <c r="J157">
        <f>IF(OR($A157&gt;cfg_LastDataDate,NOT(ISNUMBER(Calc_Daily!$IP157))),NA(),Calc_Daily!$IP157)</f>
        <v/>
      </c>
      <c r="K157">
        <f>Calc_Daily!$KM157</f>
        <v/>
      </c>
    </row>
    <row r="158">
      <c r="A158" s="54">
        <f>Calc_Daily!$A158</f>
        <v/>
      </c>
      <c r="B158">
        <f>IF(OR($A158&gt;cfg_LastDataDate,NOT(ISNUMBER(Calc_Daily!$CU158))),NA(),Calc_Daily!$CU158)</f>
        <v/>
      </c>
      <c r="C158">
        <f>Calc_Daily!$JT158/Calc_Daily!$D158</f>
        <v/>
      </c>
      <c r="D158">
        <f>IF(OR($A158&gt;cfg_LastDataDate,NOT(ISNUMBER(Calc_Daily!$EJ158))),NA(),Calc_Daily!$EJ158)</f>
        <v/>
      </c>
      <c r="E158">
        <f>Calc_Daily!$KQ158</f>
        <v/>
      </c>
      <c r="F158">
        <f>IF(OR($A158&gt;cfg_LastDataDate,NOT(ISNUMBER(Calc_Daily!$F158))),NA(),Calc_Daily!$F158)</f>
        <v/>
      </c>
      <c r="G158">
        <f>IF(OR($A158&gt;cfg_LastDataDate,NOT(ISNUMBER(Calc_Daily!$U158))),NA(),Calc_Daily!$U158)</f>
        <v/>
      </c>
      <c r="H158">
        <f>IF(OR($A158&gt;cfg_LastDataDate,NOT(ISNUMBER(Calc_Daily!$DZ158))),NA(),Calc_Daily!$DZ158)</f>
        <v/>
      </c>
      <c r="I158">
        <f>IF(OR($A158&gt;cfg_LastDataDate,NOT(ISNUMBER(Calc_Daily!$DT158))),NA(),Calc_Daily!$DT158)</f>
        <v/>
      </c>
      <c r="J158">
        <f>IF(OR($A158&gt;cfg_LastDataDate,NOT(ISNUMBER(Calc_Daily!$IP158))),NA(),Calc_Daily!$IP158)</f>
        <v/>
      </c>
      <c r="K158">
        <f>Calc_Daily!$KM158</f>
        <v/>
      </c>
    </row>
    <row r="159">
      <c r="A159" s="54">
        <f>Calc_Daily!$A159</f>
        <v/>
      </c>
      <c r="B159">
        <f>IF(OR($A159&gt;cfg_LastDataDate,NOT(ISNUMBER(Calc_Daily!$CU159))),NA(),Calc_Daily!$CU159)</f>
        <v/>
      </c>
      <c r="C159">
        <f>Calc_Daily!$JT159/Calc_Daily!$D159</f>
        <v/>
      </c>
      <c r="D159">
        <f>IF(OR($A159&gt;cfg_LastDataDate,NOT(ISNUMBER(Calc_Daily!$EJ159))),NA(),Calc_Daily!$EJ159)</f>
        <v/>
      </c>
      <c r="E159">
        <f>Calc_Daily!$KQ159</f>
        <v/>
      </c>
      <c r="F159">
        <f>IF(OR($A159&gt;cfg_LastDataDate,NOT(ISNUMBER(Calc_Daily!$F159))),NA(),Calc_Daily!$F159)</f>
        <v/>
      </c>
      <c r="G159">
        <f>IF(OR($A159&gt;cfg_LastDataDate,NOT(ISNUMBER(Calc_Daily!$U159))),NA(),Calc_Daily!$U159)</f>
        <v/>
      </c>
      <c r="H159">
        <f>IF(OR($A159&gt;cfg_LastDataDate,NOT(ISNUMBER(Calc_Daily!$DZ159))),NA(),Calc_Daily!$DZ159)</f>
        <v/>
      </c>
      <c r="I159">
        <f>IF(OR($A159&gt;cfg_LastDataDate,NOT(ISNUMBER(Calc_Daily!$DT159))),NA(),Calc_Daily!$DT159)</f>
        <v/>
      </c>
      <c r="J159">
        <f>IF(OR($A159&gt;cfg_LastDataDate,NOT(ISNUMBER(Calc_Daily!$IP159))),NA(),Calc_Daily!$IP159)</f>
        <v/>
      </c>
      <c r="K159">
        <f>Calc_Daily!$KM159</f>
        <v/>
      </c>
    </row>
    <row r="160">
      <c r="A160" s="54">
        <f>Calc_Daily!$A160</f>
        <v/>
      </c>
      <c r="B160">
        <f>IF(OR($A160&gt;cfg_LastDataDate,NOT(ISNUMBER(Calc_Daily!$CU160))),NA(),Calc_Daily!$CU160)</f>
        <v/>
      </c>
      <c r="C160">
        <f>Calc_Daily!$JT160/Calc_Daily!$D160</f>
        <v/>
      </c>
      <c r="D160">
        <f>IF(OR($A160&gt;cfg_LastDataDate,NOT(ISNUMBER(Calc_Daily!$EJ160))),NA(),Calc_Daily!$EJ160)</f>
        <v/>
      </c>
      <c r="E160">
        <f>Calc_Daily!$KQ160</f>
        <v/>
      </c>
      <c r="F160">
        <f>IF(OR($A160&gt;cfg_LastDataDate,NOT(ISNUMBER(Calc_Daily!$F160))),NA(),Calc_Daily!$F160)</f>
        <v/>
      </c>
      <c r="G160">
        <f>IF(OR($A160&gt;cfg_LastDataDate,NOT(ISNUMBER(Calc_Daily!$U160))),NA(),Calc_Daily!$U160)</f>
        <v/>
      </c>
      <c r="H160">
        <f>IF(OR($A160&gt;cfg_LastDataDate,NOT(ISNUMBER(Calc_Daily!$DZ160))),NA(),Calc_Daily!$DZ160)</f>
        <v/>
      </c>
      <c r="I160">
        <f>IF(OR($A160&gt;cfg_LastDataDate,NOT(ISNUMBER(Calc_Daily!$DT160))),NA(),Calc_Daily!$DT160)</f>
        <v/>
      </c>
      <c r="J160">
        <f>IF(OR($A160&gt;cfg_LastDataDate,NOT(ISNUMBER(Calc_Daily!$IP160))),NA(),Calc_Daily!$IP160)</f>
        <v/>
      </c>
      <c r="K160">
        <f>Calc_Daily!$KM160</f>
        <v/>
      </c>
    </row>
    <row r="161">
      <c r="A161" s="54">
        <f>Calc_Daily!$A161</f>
        <v/>
      </c>
      <c r="B161">
        <f>IF(OR($A161&gt;cfg_LastDataDate,NOT(ISNUMBER(Calc_Daily!$CU161))),NA(),Calc_Daily!$CU161)</f>
        <v/>
      </c>
      <c r="C161">
        <f>Calc_Daily!$JT161/Calc_Daily!$D161</f>
        <v/>
      </c>
      <c r="D161">
        <f>IF(OR($A161&gt;cfg_LastDataDate,NOT(ISNUMBER(Calc_Daily!$EJ161))),NA(),Calc_Daily!$EJ161)</f>
        <v/>
      </c>
      <c r="E161">
        <f>Calc_Daily!$KQ161</f>
        <v/>
      </c>
      <c r="F161">
        <f>IF(OR($A161&gt;cfg_LastDataDate,NOT(ISNUMBER(Calc_Daily!$F161))),NA(),Calc_Daily!$F161)</f>
        <v/>
      </c>
      <c r="G161">
        <f>IF(OR($A161&gt;cfg_LastDataDate,NOT(ISNUMBER(Calc_Daily!$U161))),NA(),Calc_Daily!$U161)</f>
        <v/>
      </c>
      <c r="H161">
        <f>IF(OR($A161&gt;cfg_LastDataDate,NOT(ISNUMBER(Calc_Daily!$DZ161))),NA(),Calc_Daily!$DZ161)</f>
        <v/>
      </c>
      <c r="I161">
        <f>IF(OR($A161&gt;cfg_LastDataDate,NOT(ISNUMBER(Calc_Daily!$DT161))),NA(),Calc_Daily!$DT161)</f>
        <v/>
      </c>
      <c r="J161">
        <f>IF(OR($A161&gt;cfg_LastDataDate,NOT(ISNUMBER(Calc_Daily!$IP161))),NA(),Calc_Daily!$IP161)</f>
        <v/>
      </c>
      <c r="K161">
        <f>Calc_Daily!$KM161</f>
        <v/>
      </c>
    </row>
    <row r="162">
      <c r="A162" s="54">
        <f>Calc_Daily!$A162</f>
        <v/>
      </c>
      <c r="B162">
        <f>IF(OR($A162&gt;cfg_LastDataDate,NOT(ISNUMBER(Calc_Daily!$CU162))),NA(),Calc_Daily!$CU162)</f>
        <v/>
      </c>
      <c r="C162">
        <f>Calc_Daily!$JT162/Calc_Daily!$D162</f>
        <v/>
      </c>
      <c r="D162">
        <f>IF(OR($A162&gt;cfg_LastDataDate,NOT(ISNUMBER(Calc_Daily!$EJ162))),NA(),Calc_Daily!$EJ162)</f>
        <v/>
      </c>
      <c r="E162">
        <f>Calc_Daily!$KQ162</f>
        <v/>
      </c>
      <c r="F162">
        <f>IF(OR($A162&gt;cfg_LastDataDate,NOT(ISNUMBER(Calc_Daily!$F162))),NA(),Calc_Daily!$F162)</f>
        <v/>
      </c>
      <c r="G162">
        <f>IF(OR($A162&gt;cfg_LastDataDate,NOT(ISNUMBER(Calc_Daily!$U162))),NA(),Calc_Daily!$U162)</f>
        <v/>
      </c>
      <c r="H162">
        <f>IF(OR($A162&gt;cfg_LastDataDate,NOT(ISNUMBER(Calc_Daily!$DZ162))),NA(),Calc_Daily!$DZ162)</f>
        <v/>
      </c>
      <c r="I162">
        <f>IF(OR($A162&gt;cfg_LastDataDate,NOT(ISNUMBER(Calc_Daily!$DT162))),NA(),Calc_Daily!$DT162)</f>
        <v/>
      </c>
      <c r="J162">
        <f>IF(OR($A162&gt;cfg_LastDataDate,NOT(ISNUMBER(Calc_Daily!$IP162))),NA(),Calc_Daily!$IP162)</f>
        <v/>
      </c>
      <c r="K162">
        <f>Calc_Daily!$KM162</f>
        <v/>
      </c>
    </row>
    <row r="163">
      <c r="A163" s="54">
        <f>Calc_Daily!$A163</f>
        <v/>
      </c>
      <c r="B163">
        <f>IF(OR($A163&gt;cfg_LastDataDate,NOT(ISNUMBER(Calc_Daily!$CU163))),NA(),Calc_Daily!$CU163)</f>
        <v/>
      </c>
      <c r="C163">
        <f>Calc_Daily!$JT163/Calc_Daily!$D163</f>
        <v/>
      </c>
      <c r="D163">
        <f>IF(OR($A163&gt;cfg_LastDataDate,NOT(ISNUMBER(Calc_Daily!$EJ163))),NA(),Calc_Daily!$EJ163)</f>
        <v/>
      </c>
      <c r="E163">
        <f>Calc_Daily!$KQ163</f>
        <v/>
      </c>
      <c r="F163">
        <f>IF(OR($A163&gt;cfg_LastDataDate,NOT(ISNUMBER(Calc_Daily!$F163))),NA(),Calc_Daily!$F163)</f>
        <v/>
      </c>
      <c r="G163">
        <f>IF(OR($A163&gt;cfg_LastDataDate,NOT(ISNUMBER(Calc_Daily!$U163))),NA(),Calc_Daily!$U163)</f>
        <v/>
      </c>
      <c r="H163">
        <f>IF(OR($A163&gt;cfg_LastDataDate,NOT(ISNUMBER(Calc_Daily!$DZ163))),NA(),Calc_Daily!$DZ163)</f>
        <v/>
      </c>
      <c r="I163">
        <f>IF(OR($A163&gt;cfg_LastDataDate,NOT(ISNUMBER(Calc_Daily!$DT163))),NA(),Calc_Daily!$DT163)</f>
        <v/>
      </c>
      <c r="J163">
        <f>IF(OR($A163&gt;cfg_LastDataDate,NOT(ISNUMBER(Calc_Daily!$IP163))),NA(),Calc_Daily!$IP163)</f>
        <v/>
      </c>
      <c r="K163">
        <f>Calc_Daily!$KM163</f>
        <v/>
      </c>
    </row>
    <row r="164">
      <c r="A164" s="54">
        <f>Calc_Daily!$A164</f>
        <v/>
      </c>
      <c r="B164">
        <f>IF(OR($A164&gt;cfg_LastDataDate,NOT(ISNUMBER(Calc_Daily!$CU164))),NA(),Calc_Daily!$CU164)</f>
        <v/>
      </c>
      <c r="C164">
        <f>Calc_Daily!$JT164/Calc_Daily!$D164</f>
        <v/>
      </c>
      <c r="D164">
        <f>IF(OR($A164&gt;cfg_LastDataDate,NOT(ISNUMBER(Calc_Daily!$EJ164))),NA(),Calc_Daily!$EJ164)</f>
        <v/>
      </c>
      <c r="E164">
        <f>Calc_Daily!$KQ164</f>
        <v/>
      </c>
      <c r="F164">
        <f>IF(OR($A164&gt;cfg_LastDataDate,NOT(ISNUMBER(Calc_Daily!$F164))),NA(),Calc_Daily!$F164)</f>
        <v/>
      </c>
      <c r="G164">
        <f>IF(OR($A164&gt;cfg_LastDataDate,NOT(ISNUMBER(Calc_Daily!$U164))),NA(),Calc_Daily!$U164)</f>
        <v/>
      </c>
      <c r="H164">
        <f>IF(OR($A164&gt;cfg_LastDataDate,NOT(ISNUMBER(Calc_Daily!$DZ164))),NA(),Calc_Daily!$DZ164)</f>
        <v/>
      </c>
      <c r="I164">
        <f>IF(OR($A164&gt;cfg_LastDataDate,NOT(ISNUMBER(Calc_Daily!$DT164))),NA(),Calc_Daily!$DT164)</f>
        <v/>
      </c>
      <c r="J164">
        <f>IF(OR($A164&gt;cfg_LastDataDate,NOT(ISNUMBER(Calc_Daily!$IP164))),NA(),Calc_Daily!$IP164)</f>
        <v/>
      </c>
      <c r="K164">
        <f>Calc_Daily!$KM164</f>
        <v/>
      </c>
    </row>
    <row r="165">
      <c r="A165" s="54">
        <f>Calc_Daily!$A165</f>
        <v/>
      </c>
      <c r="B165">
        <f>IF(OR($A165&gt;cfg_LastDataDate,NOT(ISNUMBER(Calc_Daily!$CU165))),NA(),Calc_Daily!$CU165)</f>
        <v/>
      </c>
      <c r="C165">
        <f>Calc_Daily!$JT165/Calc_Daily!$D165</f>
        <v/>
      </c>
      <c r="D165">
        <f>IF(OR($A165&gt;cfg_LastDataDate,NOT(ISNUMBER(Calc_Daily!$EJ165))),NA(),Calc_Daily!$EJ165)</f>
        <v/>
      </c>
      <c r="E165">
        <f>Calc_Daily!$KQ165</f>
        <v/>
      </c>
      <c r="F165">
        <f>IF(OR($A165&gt;cfg_LastDataDate,NOT(ISNUMBER(Calc_Daily!$F165))),NA(),Calc_Daily!$F165)</f>
        <v/>
      </c>
      <c r="G165">
        <f>IF(OR($A165&gt;cfg_LastDataDate,NOT(ISNUMBER(Calc_Daily!$U165))),NA(),Calc_Daily!$U165)</f>
        <v/>
      </c>
      <c r="H165">
        <f>IF(OR($A165&gt;cfg_LastDataDate,NOT(ISNUMBER(Calc_Daily!$DZ165))),NA(),Calc_Daily!$DZ165)</f>
        <v/>
      </c>
      <c r="I165">
        <f>IF(OR($A165&gt;cfg_LastDataDate,NOT(ISNUMBER(Calc_Daily!$DT165))),NA(),Calc_Daily!$DT165)</f>
        <v/>
      </c>
      <c r="J165">
        <f>IF(OR($A165&gt;cfg_LastDataDate,NOT(ISNUMBER(Calc_Daily!$IP165))),NA(),Calc_Daily!$IP165)</f>
        <v/>
      </c>
      <c r="K165">
        <f>Calc_Daily!$KM165</f>
        <v/>
      </c>
    </row>
    <row r="166">
      <c r="A166" s="54">
        <f>Calc_Daily!$A166</f>
        <v/>
      </c>
      <c r="B166">
        <f>IF(OR($A166&gt;cfg_LastDataDate,NOT(ISNUMBER(Calc_Daily!$CU166))),NA(),Calc_Daily!$CU166)</f>
        <v/>
      </c>
      <c r="C166">
        <f>Calc_Daily!$JT166/Calc_Daily!$D166</f>
        <v/>
      </c>
      <c r="D166">
        <f>IF(OR($A166&gt;cfg_LastDataDate,NOT(ISNUMBER(Calc_Daily!$EJ166))),NA(),Calc_Daily!$EJ166)</f>
        <v/>
      </c>
      <c r="E166">
        <f>Calc_Daily!$KQ166</f>
        <v/>
      </c>
      <c r="F166">
        <f>IF(OR($A166&gt;cfg_LastDataDate,NOT(ISNUMBER(Calc_Daily!$F166))),NA(),Calc_Daily!$F166)</f>
        <v/>
      </c>
      <c r="G166">
        <f>IF(OR($A166&gt;cfg_LastDataDate,NOT(ISNUMBER(Calc_Daily!$U166))),NA(),Calc_Daily!$U166)</f>
        <v/>
      </c>
      <c r="H166">
        <f>IF(OR($A166&gt;cfg_LastDataDate,NOT(ISNUMBER(Calc_Daily!$DZ166))),NA(),Calc_Daily!$DZ166)</f>
        <v/>
      </c>
      <c r="I166">
        <f>IF(OR($A166&gt;cfg_LastDataDate,NOT(ISNUMBER(Calc_Daily!$DT166))),NA(),Calc_Daily!$DT166)</f>
        <v/>
      </c>
      <c r="J166">
        <f>IF(OR($A166&gt;cfg_LastDataDate,NOT(ISNUMBER(Calc_Daily!$IP166))),NA(),Calc_Daily!$IP166)</f>
        <v/>
      </c>
      <c r="K166">
        <f>Calc_Daily!$KM166</f>
        <v/>
      </c>
    </row>
    <row r="167">
      <c r="A167" s="54">
        <f>Calc_Daily!$A167</f>
        <v/>
      </c>
      <c r="B167">
        <f>IF(OR($A167&gt;cfg_LastDataDate,NOT(ISNUMBER(Calc_Daily!$CU167))),NA(),Calc_Daily!$CU167)</f>
        <v/>
      </c>
      <c r="C167">
        <f>Calc_Daily!$JT167/Calc_Daily!$D167</f>
        <v/>
      </c>
      <c r="D167">
        <f>IF(OR($A167&gt;cfg_LastDataDate,NOT(ISNUMBER(Calc_Daily!$EJ167))),NA(),Calc_Daily!$EJ167)</f>
        <v/>
      </c>
      <c r="E167">
        <f>Calc_Daily!$KQ167</f>
        <v/>
      </c>
      <c r="F167">
        <f>IF(OR($A167&gt;cfg_LastDataDate,NOT(ISNUMBER(Calc_Daily!$F167))),NA(),Calc_Daily!$F167)</f>
        <v/>
      </c>
      <c r="G167">
        <f>IF(OR($A167&gt;cfg_LastDataDate,NOT(ISNUMBER(Calc_Daily!$U167))),NA(),Calc_Daily!$U167)</f>
        <v/>
      </c>
      <c r="H167">
        <f>IF(OR($A167&gt;cfg_LastDataDate,NOT(ISNUMBER(Calc_Daily!$DZ167))),NA(),Calc_Daily!$DZ167)</f>
        <v/>
      </c>
      <c r="I167">
        <f>IF(OR($A167&gt;cfg_LastDataDate,NOT(ISNUMBER(Calc_Daily!$DT167))),NA(),Calc_Daily!$DT167)</f>
        <v/>
      </c>
      <c r="J167">
        <f>IF(OR($A167&gt;cfg_LastDataDate,NOT(ISNUMBER(Calc_Daily!$IP167))),NA(),Calc_Daily!$IP167)</f>
        <v/>
      </c>
      <c r="K167">
        <f>Calc_Daily!$KM167</f>
        <v/>
      </c>
    </row>
    <row r="168">
      <c r="A168" s="54">
        <f>Calc_Daily!$A168</f>
        <v/>
      </c>
      <c r="B168">
        <f>IF(OR($A168&gt;cfg_LastDataDate,NOT(ISNUMBER(Calc_Daily!$CU168))),NA(),Calc_Daily!$CU168)</f>
        <v/>
      </c>
      <c r="C168">
        <f>Calc_Daily!$JT168/Calc_Daily!$D168</f>
        <v/>
      </c>
      <c r="D168">
        <f>IF(OR($A168&gt;cfg_LastDataDate,NOT(ISNUMBER(Calc_Daily!$EJ168))),NA(),Calc_Daily!$EJ168)</f>
        <v/>
      </c>
      <c r="E168">
        <f>Calc_Daily!$KQ168</f>
        <v/>
      </c>
      <c r="F168">
        <f>IF(OR($A168&gt;cfg_LastDataDate,NOT(ISNUMBER(Calc_Daily!$F168))),NA(),Calc_Daily!$F168)</f>
        <v/>
      </c>
      <c r="G168">
        <f>IF(OR($A168&gt;cfg_LastDataDate,NOT(ISNUMBER(Calc_Daily!$U168))),NA(),Calc_Daily!$U168)</f>
        <v/>
      </c>
      <c r="H168">
        <f>IF(OR($A168&gt;cfg_LastDataDate,NOT(ISNUMBER(Calc_Daily!$DZ168))),NA(),Calc_Daily!$DZ168)</f>
        <v/>
      </c>
      <c r="I168">
        <f>IF(OR($A168&gt;cfg_LastDataDate,NOT(ISNUMBER(Calc_Daily!$DT168))),NA(),Calc_Daily!$DT168)</f>
        <v/>
      </c>
      <c r="J168">
        <f>IF(OR($A168&gt;cfg_LastDataDate,NOT(ISNUMBER(Calc_Daily!$IP168))),NA(),Calc_Daily!$IP168)</f>
        <v/>
      </c>
      <c r="K168">
        <f>Calc_Daily!$KM168</f>
        <v/>
      </c>
    </row>
    <row r="169">
      <c r="A169" s="54">
        <f>Calc_Daily!$A169</f>
        <v/>
      </c>
      <c r="B169">
        <f>IF(OR($A169&gt;cfg_LastDataDate,NOT(ISNUMBER(Calc_Daily!$CU169))),NA(),Calc_Daily!$CU169)</f>
        <v/>
      </c>
      <c r="C169">
        <f>Calc_Daily!$JT169/Calc_Daily!$D169</f>
        <v/>
      </c>
      <c r="D169">
        <f>IF(OR($A169&gt;cfg_LastDataDate,NOT(ISNUMBER(Calc_Daily!$EJ169))),NA(),Calc_Daily!$EJ169)</f>
        <v/>
      </c>
      <c r="E169">
        <f>Calc_Daily!$KQ169</f>
        <v/>
      </c>
      <c r="F169">
        <f>IF(OR($A169&gt;cfg_LastDataDate,NOT(ISNUMBER(Calc_Daily!$F169))),NA(),Calc_Daily!$F169)</f>
        <v/>
      </c>
      <c r="G169">
        <f>IF(OR($A169&gt;cfg_LastDataDate,NOT(ISNUMBER(Calc_Daily!$U169))),NA(),Calc_Daily!$U169)</f>
        <v/>
      </c>
      <c r="H169">
        <f>IF(OR($A169&gt;cfg_LastDataDate,NOT(ISNUMBER(Calc_Daily!$DZ169))),NA(),Calc_Daily!$DZ169)</f>
        <v/>
      </c>
      <c r="I169">
        <f>IF(OR($A169&gt;cfg_LastDataDate,NOT(ISNUMBER(Calc_Daily!$DT169))),NA(),Calc_Daily!$DT169)</f>
        <v/>
      </c>
      <c r="J169">
        <f>IF(OR($A169&gt;cfg_LastDataDate,NOT(ISNUMBER(Calc_Daily!$IP169))),NA(),Calc_Daily!$IP169)</f>
        <v/>
      </c>
      <c r="K169">
        <f>Calc_Daily!$KM169</f>
        <v/>
      </c>
    </row>
    <row r="170">
      <c r="A170" s="54">
        <f>Calc_Daily!$A170</f>
        <v/>
      </c>
      <c r="B170">
        <f>IF(OR($A170&gt;cfg_LastDataDate,NOT(ISNUMBER(Calc_Daily!$CU170))),NA(),Calc_Daily!$CU170)</f>
        <v/>
      </c>
      <c r="C170">
        <f>Calc_Daily!$JT170/Calc_Daily!$D170</f>
        <v/>
      </c>
      <c r="D170">
        <f>IF(OR($A170&gt;cfg_LastDataDate,NOT(ISNUMBER(Calc_Daily!$EJ170))),NA(),Calc_Daily!$EJ170)</f>
        <v/>
      </c>
      <c r="E170">
        <f>Calc_Daily!$KQ170</f>
        <v/>
      </c>
      <c r="F170">
        <f>IF(OR($A170&gt;cfg_LastDataDate,NOT(ISNUMBER(Calc_Daily!$F170))),NA(),Calc_Daily!$F170)</f>
        <v/>
      </c>
      <c r="G170">
        <f>IF(OR($A170&gt;cfg_LastDataDate,NOT(ISNUMBER(Calc_Daily!$U170))),NA(),Calc_Daily!$U170)</f>
        <v/>
      </c>
      <c r="H170">
        <f>IF(OR($A170&gt;cfg_LastDataDate,NOT(ISNUMBER(Calc_Daily!$DZ170))),NA(),Calc_Daily!$DZ170)</f>
        <v/>
      </c>
      <c r="I170">
        <f>IF(OR($A170&gt;cfg_LastDataDate,NOT(ISNUMBER(Calc_Daily!$DT170))),NA(),Calc_Daily!$DT170)</f>
        <v/>
      </c>
      <c r="J170">
        <f>IF(OR($A170&gt;cfg_LastDataDate,NOT(ISNUMBER(Calc_Daily!$IP170))),NA(),Calc_Daily!$IP170)</f>
        <v/>
      </c>
      <c r="K170">
        <f>Calc_Daily!$KM170</f>
        <v/>
      </c>
    </row>
    <row r="171">
      <c r="A171" s="54">
        <f>Calc_Daily!$A171</f>
        <v/>
      </c>
      <c r="B171">
        <f>IF(OR($A171&gt;cfg_LastDataDate,NOT(ISNUMBER(Calc_Daily!$CU171))),NA(),Calc_Daily!$CU171)</f>
        <v/>
      </c>
      <c r="C171">
        <f>Calc_Daily!$JT171/Calc_Daily!$D171</f>
        <v/>
      </c>
      <c r="D171">
        <f>IF(OR($A171&gt;cfg_LastDataDate,NOT(ISNUMBER(Calc_Daily!$EJ171))),NA(),Calc_Daily!$EJ171)</f>
        <v/>
      </c>
      <c r="E171">
        <f>Calc_Daily!$KQ171</f>
        <v/>
      </c>
      <c r="F171">
        <f>IF(OR($A171&gt;cfg_LastDataDate,NOT(ISNUMBER(Calc_Daily!$F171))),NA(),Calc_Daily!$F171)</f>
        <v/>
      </c>
      <c r="G171">
        <f>IF(OR($A171&gt;cfg_LastDataDate,NOT(ISNUMBER(Calc_Daily!$U171))),NA(),Calc_Daily!$U171)</f>
        <v/>
      </c>
      <c r="H171">
        <f>IF(OR($A171&gt;cfg_LastDataDate,NOT(ISNUMBER(Calc_Daily!$DZ171))),NA(),Calc_Daily!$DZ171)</f>
        <v/>
      </c>
      <c r="I171">
        <f>IF(OR($A171&gt;cfg_LastDataDate,NOT(ISNUMBER(Calc_Daily!$DT171))),NA(),Calc_Daily!$DT171)</f>
        <v/>
      </c>
      <c r="J171">
        <f>IF(OR($A171&gt;cfg_LastDataDate,NOT(ISNUMBER(Calc_Daily!$IP171))),NA(),Calc_Daily!$IP171)</f>
        <v/>
      </c>
      <c r="K171">
        <f>Calc_Daily!$KM171</f>
        <v/>
      </c>
    </row>
    <row r="172">
      <c r="A172" s="54">
        <f>Calc_Daily!$A172</f>
        <v/>
      </c>
      <c r="B172">
        <f>IF(OR($A172&gt;cfg_LastDataDate,NOT(ISNUMBER(Calc_Daily!$CU172))),NA(),Calc_Daily!$CU172)</f>
        <v/>
      </c>
      <c r="C172">
        <f>Calc_Daily!$JT172/Calc_Daily!$D172</f>
        <v/>
      </c>
      <c r="D172">
        <f>IF(OR($A172&gt;cfg_LastDataDate,NOT(ISNUMBER(Calc_Daily!$EJ172))),NA(),Calc_Daily!$EJ172)</f>
        <v/>
      </c>
      <c r="E172">
        <f>Calc_Daily!$KQ172</f>
        <v/>
      </c>
      <c r="F172">
        <f>IF(OR($A172&gt;cfg_LastDataDate,NOT(ISNUMBER(Calc_Daily!$F172))),NA(),Calc_Daily!$F172)</f>
        <v/>
      </c>
      <c r="G172">
        <f>IF(OR($A172&gt;cfg_LastDataDate,NOT(ISNUMBER(Calc_Daily!$U172))),NA(),Calc_Daily!$U172)</f>
        <v/>
      </c>
      <c r="H172">
        <f>IF(OR($A172&gt;cfg_LastDataDate,NOT(ISNUMBER(Calc_Daily!$DZ172))),NA(),Calc_Daily!$DZ172)</f>
        <v/>
      </c>
      <c r="I172">
        <f>IF(OR($A172&gt;cfg_LastDataDate,NOT(ISNUMBER(Calc_Daily!$DT172))),NA(),Calc_Daily!$DT172)</f>
        <v/>
      </c>
      <c r="J172">
        <f>IF(OR($A172&gt;cfg_LastDataDate,NOT(ISNUMBER(Calc_Daily!$IP172))),NA(),Calc_Daily!$IP172)</f>
        <v/>
      </c>
      <c r="K172">
        <f>Calc_Daily!$KM172</f>
        <v/>
      </c>
    </row>
    <row r="173">
      <c r="A173" s="54">
        <f>Calc_Daily!$A173</f>
        <v/>
      </c>
      <c r="B173">
        <f>IF(OR($A173&gt;cfg_LastDataDate,NOT(ISNUMBER(Calc_Daily!$CU173))),NA(),Calc_Daily!$CU173)</f>
        <v/>
      </c>
      <c r="C173">
        <f>Calc_Daily!$JT173/Calc_Daily!$D173</f>
        <v/>
      </c>
      <c r="D173">
        <f>IF(OR($A173&gt;cfg_LastDataDate,NOT(ISNUMBER(Calc_Daily!$EJ173))),NA(),Calc_Daily!$EJ173)</f>
        <v/>
      </c>
      <c r="E173">
        <f>Calc_Daily!$KQ173</f>
        <v/>
      </c>
      <c r="F173">
        <f>IF(OR($A173&gt;cfg_LastDataDate,NOT(ISNUMBER(Calc_Daily!$F173))),NA(),Calc_Daily!$F173)</f>
        <v/>
      </c>
      <c r="G173">
        <f>IF(OR($A173&gt;cfg_LastDataDate,NOT(ISNUMBER(Calc_Daily!$U173))),NA(),Calc_Daily!$U173)</f>
        <v/>
      </c>
      <c r="H173">
        <f>IF(OR($A173&gt;cfg_LastDataDate,NOT(ISNUMBER(Calc_Daily!$DZ173))),NA(),Calc_Daily!$DZ173)</f>
        <v/>
      </c>
      <c r="I173">
        <f>IF(OR($A173&gt;cfg_LastDataDate,NOT(ISNUMBER(Calc_Daily!$DT173))),NA(),Calc_Daily!$DT173)</f>
        <v/>
      </c>
      <c r="J173">
        <f>IF(OR($A173&gt;cfg_LastDataDate,NOT(ISNUMBER(Calc_Daily!$IP173))),NA(),Calc_Daily!$IP173)</f>
        <v/>
      </c>
      <c r="K173">
        <f>Calc_Daily!$KM173</f>
        <v/>
      </c>
    </row>
    <row r="174">
      <c r="A174" s="54">
        <f>Calc_Daily!$A174</f>
        <v/>
      </c>
      <c r="B174">
        <f>IF(OR($A174&gt;cfg_LastDataDate,NOT(ISNUMBER(Calc_Daily!$CU174))),NA(),Calc_Daily!$CU174)</f>
        <v/>
      </c>
      <c r="C174">
        <f>Calc_Daily!$JT174/Calc_Daily!$D174</f>
        <v/>
      </c>
      <c r="D174">
        <f>IF(OR($A174&gt;cfg_LastDataDate,NOT(ISNUMBER(Calc_Daily!$EJ174))),NA(),Calc_Daily!$EJ174)</f>
        <v/>
      </c>
      <c r="E174">
        <f>Calc_Daily!$KQ174</f>
        <v/>
      </c>
      <c r="F174">
        <f>IF(OR($A174&gt;cfg_LastDataDate,NOT(ISNUMBER(Calc_Daily!$F174))),NA(),Calc_Daily!$F174)</f>
        <v/>
      </c>
      <c r="G174">
        <f>IF(OR($A174&gt;cfg_LastDataDate,NOT(ISNUMBER(Calc_Daily!$U174))),NA(),Calc_Daily!$U174)</f>
        <v/>
      </c>
      <c r="H174">
        <f>IF(OR($A174&gt;cfg_LastDataDate,NOT(ISNUMBER(Calc_Daily!$DZ174))),NA(),Calc_Daily!$DZ174)</f>
        <v/>
      </c>
      <c r="I174">
        <f>IF(OR($A174&gt;cfg_LastDataDate,NOT(ISNUMBER(Calc_Daily!$DT174))),NA(),Calc_Daily!$DT174)</f>
        <v/>
      </c>
      <c r="J174">
        <f>IF(OR($A174&gt;cfg_LastDataDate,NOT(ISNUMBER(Calc_Daily!$IP174))),NA(),Calc_Daily!$IP174)</f>
        <v/>
      </c>
      <c r="K174">
        <f>Calc_Daily!$KM174</f>
        <v/>
      </c>
    </row>
    <row r="175">
      <c r="A175" s="54">
        <f>Calc_Daily!$A175</f>
        <v/>
      </c>
      <c r="B175">
        <f>IF(OR($A175&gt;cfg_LastDataDate,NOT(ISNUMBER(Calc_Daily!$CU175))),NA(),Calc_Daily!$CU175)</f>
        <v/>
      </c>
      <c r="C175">
        <f>Calc_Daily!$JT175/Calc_Daily!$D175</f>
        <v/>
      </c>
      <c r="D175">
        <f>IF(OR($A175&gt;cfg_LastDataDate,NOT(ISNUMBER(Calc_Daily!$EJ175))),NA(),Calc_Daily!$EJ175)</f>
        <v/>
      </c>
      <c r="E175">
        <f>Calc_Daily!$KQ175</f>
        <v/>
      </c>
      <c r="F175">
        <f>IF(OR($A175&gt;cfg_LastDataDate,NOT(ISNUMBER(Calc_Daily!$F175))),NA(),Calc_Daily!$F175)</f>
        <v/>
      </c>
      <c r="G175">
        <f>IF(OR($A175&gt;cfg_LastDataDate,NOT(ISNUMBER(Calc_Daily!$U175))),NA(),Calc_Daily!$U175)</f>
        <v/>
      </c>
      <c r="H175">
        <f>IF(OR($A175&gt;cfg_LastDataDate,NOT(ISNUMBER(Calc_Daily!$DZ175))),NA(),Calc_Daily!$DZ175)</f>
        <v/>
      </c>
      <c r="I175">
        <f>IF(OR($A175&gt;cfg_LastDataDate,NOT(ISNUMBER(Calc_Daily!$DT175))),NA(),Calc_Daily!$DT175)</f>
        <v/>
      </c>
      <c r="J175">
        <f>IF(OR($A175&gt;cfg_LastDataDate,NOT(ISNUMBER(Calc_Daily!$IP175))),NA(),Calc_Daily!$IP175)</f>
        <v/>
      </c>
      <c r="K175">
        <f>Calc_Daily!$KM175</f>
        <v/>
      </c>
    </row>
    <row r="176">
      <c r="A176" s="54">
        <f>Calc_Daily!$A176</f>
        <v/>
      </c>
      <c r="B176">
        <f>IF(OR($A176&gt;cfg_LastDataDate,NOT(ISNUMBER(Calc_Daily!$CU176))),NA(),Calc_Daily!$CU176)</f>
        <v/>
      </c>
      <c r="C176">
        <f>Calc_Daily!$JT176/Calc_Daily!$D176</f>
        <v/>
      </c>
      <c r="D176">
        <f>IF(OR($A176&gt;cfg_LastDataDate,NOT(ISNUMBER(Calc_Daily!$EJ176))),NA(),Calc_Daily!$EJ176)</f>
        <v/>
      </c>
      <c r="E176">
        <f>Calc_Daily!$KQ176</f>
        <v/>
      </c>
      <c r="F176">
        <f>IF(OR($A176&gt;cfg_LastDataDate,NOT(ISNUMBER(Calc_Daily!$F176))),NA(),Calc_Daily!$F176)</f>
        <v/>
      </c>
      <c r="G176">
        <f>IF(OR($A176&gt;cfg_LastDataDate,NOT(ISNUMBER(Calc_Daily!$U176))),NA(),Calc_Daily!$U176)</f>
        <v/>
      </c>
      <c r="H176">
        <f>IF(OR($A176&gt;cfg_LastDataDate,NOT(ISNUMBER(Calc_Daily!$DZ176))),NA(),Calc_Daily!$DZ176)</f>
        <v/>
      </c>
      <c r="I176">
        <f>IF(OR($A176&gt;cfg_LastDataDate,NOT(ISNUMBER(Calc_Daily!$DT176))),NA(),Calc_Daily!$DT176)</f>
        <v/>
      </c>
      <c r="J176">
        <f>IF(OR($A176&gt;cfg_LastDataDate,NOT(ISNUMBER(Calc_Daily!$IP176))),NA(),Calc_Daily!$IP176)</f>
        <v/>
      </c>
      <c r="K176">
        <f>Calc_Daily!$KM176</f>
        <v/>
      </c>
    </row>
    <row r="177">
      <c r="A177" s="54">
        <f>Calc_Daily!$A177</f>
        <v/>
      </c>
      <c r="B177">
        <f>IF(OR($A177&gt;cfg_LastDataDate,NOT(ISNUMBER(Calc_Daily!$CU177))),NA(),Calc_Daily!$CU177)</f>
        <v/>
      </c>
      <c r="C177">
        <f>Calc_Daily!$JT177/Calc_Daily!$D177</f>
        <v/>
      </c>
      <c r="D177">
        <f>IF(OR($A177&gt;cfg_LastDataDate,NOT(ISNUMBER(Calc_Daily!$EJ177))),NA(),Calc_Daily!$EJ177)</f>
        <v/>
      </c>
      <c r="E177">
        <f>Calc_Daily!$KQ177</f>
        <v/>
      </c>
      <c r="F177">
        <f>IF(OR($A177&gt;cfg_LastDataDate,NOT(ISNUMBER(Calc_Daily!$F177))),NA(),Calc_Daily!$F177)</f>
        <v/>
      </c>
      <c r="G177">
        <f>IF(OR($A177&gt;cfg_LastDataDate,NOT(ISNUMBER(Calc_Daily!$U177))),NA(),Calc_Daily!$U177)</f>
        <v/>
      </c>
      <c r="H177">
        <f>IF(OR($A177&gt;cfg_LastDataDate,NOT(ISNUMBER(Calc_Daily!$DZ177))),NA(),Calc_Daily!$DZ177)</f>
        <v/>
      </c>
      <c r="I177">
        <f>IF(OR($A177&gt;cfg_LastDataDate,NOT(ISNUMBER(Calc_Daily!$DT177))),NA(),Calc_Daily!$DT177)</f>
        <v/>
      </c>
      <c r="J177">
        <f>IF(OR($A177&gt;cfg_LastDataDate,NOT(ISNUMBER(Calc_Daily!$IP177))),NA(),Calc_Daily!$IP177)</f>
        <v/>
      </c>
      <c r="K177">
        <f>Calc_Daily!$KM177</f>
        <v/>
      </c>
    </row>
    <row r="178">
      <c r="A178" s="54">
        <f>Calc_Daily!$A178</f>
        <v/>
      </c>
      <c r="B178">
        <f>IF(OR($A178&gt;cfg_LastDataDate,NOT(ISNUMBER(Calc_Daily!$CU178))),NA(),Calc_Daily!$CU178)</f>
        <v/>
      </c>
      <c r="C178">
        <f>Calc_Daily!$JT178/Calc_Daily!$D178</f>
        <v/>
      </c>
      <c r="D178">
        <f>IF(OR($A178&gt;cfg_LastDataDate,NOT(ISNUMBER(Calc_Daily!$EJ178))),NA(),Calc_Daily!$EJ178)</f>
        <v/>
      </c>
      <c r="E178">
        <f>Calc_Daily!$KQ178</f>
        <v/>
      </c>
      <c r="F178">
        <f>IF(OR($A178&gt;cfg_LastDataDate,NOT(ISNUMBER(Calc_Daily!$F178))),NA(),Calc_Daily!$F178)</f>
        <v/>
      </c>
      <c r="G178">
        <f>IF(OR($A178&gt;cfg_LastDataDate,NOT(ISNUMBER(Calc_Daily!$U178))),NA(),Calc_Daily!$U178)</f>
        <v/>
      </c>
      <c r="H178">
        <f>IF(OR($A178&gt;cfg_LastDataDate,NOT(ISNUMBER(Calc_Daily!$DZ178))),NA(),Calc_Daily!$DZ178)</f>
        <v/>
      </c>
      <c r="I178">
        <f>IF(OR($A178&gt;cfg_LastDataDate,NOT(ISNUMBER(Calc_Daily!$DT178))),NA(),Calc_Daily!$DT178)</f>
        <v/>
      </c>
      <c r="J178">
        <f>IF(OR($A178&gt;cfg_LastDataDate,NOT(ISNUMBER(Calc_Daily!$IP178))),NA(),Calc_Daily!$IP178)</f>
        <v/>
      </c>
      <c r="K178">
        <f>Calc_Daily!$KM178</f>
        <v/>
      </c>
    </row>
    <row r="179">
      <c r="A179" s="54">
        <f>Calc_Daily!$A179</f>
        <v/>
      </c>
      <c r="B179">
        <f>IF(OR($A179&gt;cfg_LastDataDate,NOT(ISNUMBER(Calc_Daily!$CU179))),NA(),Calc_Daily!$CU179)</f>
        <v/>
      </c>
      <c r="C179">
        <f>Calc_Daily!$JT179/Calc_Daily!$D179</f>
        <v/>
      </c>
      <c r="D179">
        <f>IF(OR($A179&gt;cfg_LastDataDate,NOT(ISNUMBER(Calc_Daily!$EJ179))),NA(),Calc_Daily!$EJ179)</f>
        <v/>
      </c>
      <c r="E179">
        <f>Calc_Daily!$KQ179</f>
        <v/>
      </c>
      <c r="F179">
        <f>IF(OR($A179&gt;cfg_LastDataDate,NOT(ISNUMBER(Calc_Daily!$F179))),NA(),Calc_Daily!$F179)</f>
        <v/>
      </c>
      <c r="G179">
        <f>IF(OR($A179&gt;cfg_LastDataDate,NOT(ISNUMBER(Calc_Daily!$U179))),NA(),Calc_Daily!$U179)</f>
        <v/>
      </c>
      <c r="H179">
        <f>IF(OR($A179&gt;cfg_LastDataDate,NOT(ISNUMBER(Calc_Daily!$DZ179))),NA(),Calc_Daily!$DZ179)</f>
        <v/>
      </c>
      <c r="I179">
        <f>IF(OR($A179&gt;cfg_LastDataDate,NOT(ISNUMBER(Calc_Daily!$DT179))),NA(),Calc_Daily!$DT179)</f>
        <v/>
      </c>
      <c r="J179">
        <f>IF(OR($A179&gt;cfg_LastDataDate,NOT(ISNUMBER(Calc_Daily!$IP179))),NA(),Calc_Daily!$IP179)</f>
        <v/>
      </c>
      <c r="K179">
        <f>Calc_Daily!$KM179</f>
        <v/>
      </c>
    </row>
    <row r="180">
      <c r="A180" s="54">
        <f>Calc_Daily!$A180</f>
        <v/>
      </c>
      <c r="B180">
        <f>IF(OR($A180&gt;cfg_LastDataDate,NOT(ISNUMBER(Calc_Daily!$CU180))),NA(),Calc_Daily!$CU180)</f>
        <v/>
      </c>
      <c r="C180">
        <f>Calc_Daily!$JT180/Calc_Daily!$D180</f>
        <v/>
      </c>
      <c r="D180">
        <f>IF(OR($A180&gt;cfg_LastDataDate,NOT(ISNUMBER(Calc_Daily!$EJ180))),NA(),Calc_Daily!$EJ180)</f>
        <v/>
      </c>
      <c r="E180">
        <f>Calc_Daily!$KQ180</f>
        <v/>
      </c>
      <c r="F180">
        <f>IF(OR($A180&gt;cfg_LastDataDate,NOT(ISNUMBER(Calc_Daily!$F180))),NA(),Calc_Daily!$F180)</f>
        <v/>
      </c>
      <c r="G180">
        <f>IF(OR($A180&gt;cfg_LastDataDate,NOT(ISNUMBER(Calc_Daily!$U180))),NA(),Calc_Daily!$U180)</f>
        <v/>
      </c>
      <c r="H180">
        <f>IF(OR($A180&gt;cfg_LastDataDate,NOT(ISNUMBER(Calc_Daily!$DZ180))),NA(),Calc_Daily!$DZ180)</f>
        <v/>
      </c>
      <c r="I180">
        <f>IF(OR($A180&gt;cfg_LastDataDate,NOT(ISNUMBER(Calc_Daily!$DT180))),NA(),Calc_Daily!$DT180)</f>
        <v/>
      </c>
      <c r="J180">
        <f>IF(OR($A180&gt;cfg_LastDataDate,NOT(ISNUMBER(Calc_Daily!$IP180))),NA(),Calc_Daily!$IP180)</f>
        <v/>
      </c>
      <c r="K180">
        <f>Calc_Daily!$KM180</f>
        <v/>
      </c>
    </row>
    <row r="181">
      <c r="A181" s="54">
        <f>Calc_Daily!$A181</f>
        <v/>
      </c>
      <c r="B181">
        <f>IF(OR($A181&gt;cfg_LastDataDate,NOT(ISNUMBER(Calc_Daily!$CU181))),NA(),Calc_Daily!$CU181)</f>
        <v/>
      </c>
      <c r="C181">
        <f>Calc_Daily!$JT181/Calc_Daily!$D181</f>
        <v/>
      </c>
      <c r="D181">
        <f>IF(OR($A181&gt;cfg_LastDataDate,NOT(ISNUMBER(Calc_Daily!$EJ181))),NA(),Calc_Daily!$EJ181)</f>
        <v/>
      </c>
      <c r="E181">
        <f>Calc_Daily!$KQ181</f>
        <v/>
      </c>
      <c r="F181">
        <f>IF(OR($A181&gt;cfg_LastDataDate,NOT(ISNUMBER(Calc_Daily!$F181))),NA(),Calc_Daily!$F181)</f>
        <v/>
      </c>
      <c r="G181">
        <f>IF(OR($A181&gt;cfg_LastDataDate,NOT(ISNUMBER(Calc_Daily!$U181))),NA(),Calc_Daily!$U181)</f>
        <v/>
      </c>
      <c r="H181">
        <f>IF(OR($A181&gt;cfg_LastDataDate,NOT(ISNUMBER(Calc_Daily!$DZ181))),NA(),Calc_Daily!$DZ181)</f>
        <v/>
      </c>
      <c r="I181">
        <f>IF(OR($A181&gt;cfg_LastDataDate,NOT(ISNUMBER(Calc_Daily!$DT181))),NA(),Calc_Daily!$DT181)</f>
        <v/>
      </c>
      <c r="J181">
        <f>IF(OR($A181&gt;cfg_LastDataDate,NOT(ISNUMBER(Calc_Daily!$IP181))),NA(),Calc_Daily!$IP181)</f>
        <v/>
      </c>
      <c r="K181">
        <f>Calc_Daily!$KM181</f>
        <v/>
      </c>
    </row>
    <row r="182">
      <c r="A182" s="54">
        <f>Calc_Daily!$A182</f>
        <v/>
      </c>
      <c r="B182">
        <f>IF(OR($A182&gt;cfg_LastDataDate,NOT(ISNUMBER(Calc_Daily!$CU182))),NA(),Calc_Daily!$CU182)</f>
        <v/>
      </c>
      <c r="C182">
        <f>Calc_Daily!$JT182/Calc_Daily!$D182</f>
        <v/>
      </c>
      <c r="D182">
        <f>IF(OR($A182&gt;cfg_LastDataDate,NOT(ISNUMBER(Calc_Daily!$EJ182))),NA(),Calc_Daily!$EJ182)</f>
        <v/>
      </c>
      <c r="E182">
        <f>Calc_Daily!$KQ182</f>
        <v/>
      </c>
      <c r="F182">
        <f>IF(OR($A182&gt;cfg_LastDataDate,NOT(ISNUMBER(Calc_Daily!$F182))),NA(),Calc_Daily!$F182)</f>
        <v/>
      </c>
      <c r="G182">
        <f>IF(OR($A182&gt;cfg_LastDataDate,NOT(ISNUMBER(Calc_Daily!$U182))),NA(),Calc_Daily!$U182)</f>
        <v/>
      </c>
      <c r="H182">
        <f>IF(OR($A182&gt;cfg_LastDataDate,NOT(ISNUMBER(Calc_Daily!$DZ182))),NA(),Calc_Daily!$DZ182)</f>
        <v/>
      </c>
      <c r="I182">
        <f>IF(OR($A182&gt;cfg_LastDataDate,NOT(ISNUMBER(Calc_Daily!$DT182))),NA(),Calc_Daily!$DT182)</f>
        <v/>
      </c>
      <c r="J182">
        <f>IF(OR($A182&gt;cfg_LastDataDate,NOT(ISNUMBER(Calc_Daily!$IP182))),NA(),Calc_Daily!$IP182)</f>
        <v/>
      </c>
      <c r="K182">
        <f>Calc_Daily!$KM182</f>
        <v/>
      </c>
    </row>
    <row r="183">
      <c r="A183" s="54">
        <f>Calc_Daily!$A183</f>
        <v/>
      </c>
      <c r="B183">
        <f>IF(OR($A183&gt;cfg_LastDataDate,NOT(ISNUMBER(Calc_Daily!$CU183))),NA(),Calc_Daily!$CU183)</f>
        <v/>
      </c>
      <c r="C183">
        <f>Calc_Daily!$JT183/Calc_Daily!$D183</f>
        <v/>
      </c>
      <c r="D183">
        <f>IF(OR($A183&gt;cfg_LastDataDate,NOT(ISNUMBER(Calc_Daily!$EJ183))),NA(),Calc_Daily!$EJ183)</f>
        <v/>
      </c>
      <c r="E183">
        <f>Calc_Daily!$KQ183</f>
        <v/>
      </c>
      <c r="F183">
        <f>IF(OR($A183&gt;cfg_LastDataDate,NOT(ISNUMBER(Calc_Daily!$F183))),NA(),Calc_Daily!$F183)</f>
        <v/>
      </c>
      <c r="G183">
        <f>IF(OR($A183&gt;cfg_LastDataDate,NOT(ISNUMBER(Calc_Daily!$U183))),NA(),Calc_Daily!$U183)</f>
        <v/>
      </c>
      <c r="H183">
        <f>IF(OR($A183&gt;cfg_LastDataDate,NOT(ISNUMBER(Calc_Daily!$DZ183))),NA(),Calc_Daily!$DZ183)</f>
        <v/>
      </c>
      <c r="I183">
        <f>IF(OR($A183&gt;cfg_LastDataDate,NOT(ISNUMBER(Calc_Daily!$DT183))),NA(),Calc_Daily!$DT183)</f>
        <v/>
      </c>
      <c r="J183">
        <f>IF(OR($A183&gt;cfg_LastDataDate,NOT(ISNUMBER(Calc_Daily!$IP183))),NA(),Calc_Daily!$IP183)</f>
        <v/>
      </c>
      <c r="K183">
        <f>Calc_Daily!$KM183</f>
        <v/>
      </c>
    </row>
    <row r="184">
      <c r="A184" s="54">
        <f>Calc_Daily!$A184</f>
        <v/>
      </c>
      <c r="B184">
        <f>IF(OR($A184&gt;cfg_LastDataDate,NOT(ISNUMBER(Calc_Daily!$CU184))),NA(),Calc_Daily!$CU184)</f>
        <v/>
      </c>
      <c r="C184">
        <f>Calc_Daily!$JT184/Calc_Daily!$D184</f>
        <v/>
      </c>
      <c r="D184">
        <f>IF(OR($A184&gt;cfg_LastDataDate,NOT(ISNUMBER(Calc_Daily!$EJ184))),NA(),Calc_Daily!$EJ184)</f>
        <v/>
      </c>
      <c r="E184">
        <f>Calc_Daily!$KQ184</f>
        <v/>
      </c>
      <c r="F184">
        <f>IF(OR($A184&gt;cfg_LastDataDate,NOT(ISNUMBER(Calc_Daily!$F184))),NA(),Calc_Daily!$F184)</f>
        <v/>
      </c>
      <c r="G184">
        <f>IF(OR($A184&gt;cfg_LastDataDate,NOT(ISNUMBER(Calc_Daily!$U184))),NA(),Calc_Daily!$U184)</f>
        <v/>
      </c>
      <c r="H184">
        <f>IF(OR($A184&gt;cfg_LastDataDate,NOT(ISNUMBER(Calc_Daily!$DZ184))),NA(),Calc_Daily!$DZ184)</f>
        <v/>
      </c>
      <c r="I184">
        <f>IF(OR($A184&gt;cfg_LastDataDate,NOT(ISNUMBER(Calc_Daily!$DT184))),NA(),Calc_Daily!$DT184)</f>
        <v/>
      </c>
      <c r="J184">
        <f>IF(OR($A184&gt;cfg_LastDataDate,NOT(ISNUMBER(Calc_Daily!$IP184))),NA(),Calc_Daily!$IP184)</f>
        <v/>
      </c>
      <c r="K184">
        <f>Calc_Daily!$KM184</f>
        <v/>
      </c>
    </row>
    <row r="185">
      <c r="A185" s="54">
        <f>Calc_Daily!$A185</f>
        <v/>
      </c>
      <c r="B185">
        <f>IF(OR($A185&gt;cfg_LastDataDate,NOT(ISNUMBER(Calc_Daily!$CU185))),NA(),Calc_Daily!$CU185)</f>
        <v/>
      </c>
      <c r="C185">
        <f>Calc_Daily!$JT185/Calc_Daily!$D185</f>
        <v/>
      </c>
      <c r="D185">
        <f>IF(OR($A185&gt;cfg_LastDataDate,NOT(ISNUMBER(Calc_Daily!$EJ185))),NA(),Calc_Daily!$EJ185)</f>
        <v/>
      </c>
      <c r="E185">
        <f>Calc_Daily!$KQ185</f>
        <v/>
      </c>
      <c r="F185">
        <f>IF(OR($A185&gt;cfg_LastDataDate,NOT(ISNUMBER(Calc_Daily!$F185))),NA(),Calc_Daily!$F185)</f>
        <v/>
      </c>
      <c r="G185">
        <f>IF(OR($A185&gt;cfg_LastDataDate,NOT(ISNUMBER(Calc_Daily!$U185))),NA(),Calc_Daily!$U185)</f>
        <v/>
      </c>
      <c r="H185">
        <f>IF(OR($A185&gt;cfg_LastDataDate,NOT(ISNUMBER(Calc_Daily!$DZ185))),NA(),Calc_Daily!$DZ185)</f>
        <v/>
      </c>
      <c r="I185">
        <f>IF(OR($A185&gt;cfg_LastDataDate,NOT(ISNUMBER(Calc_Daily!$DT185))),NA(),Calc_Daily!$DT185)</f>
        <v/>
      </c>
      <c r="J185">
        <f>IF(OR($A185&gt;cfg_LastDataDate,NOT(ISNUMBER(Calc_Daily!$IP185))),NA(),Calc_Daily!$IP185)</f>
        <v/>
      </c>
      <c r="K185">
        <f>Calc_Daily!$KM185</f>
        <v/>
      </c>
    </row>
    <row r="186">
      <c r="A186" s="54">
        <f>Calc_Daily!$A186</f>
        <v/>
      </c>
      <c r="B186">
        <f>IF(OR($A186&gt;cfg_LastDataDate,NOT(ISNUMBER(Calc_Daily!$CU186))),NA(),Calc_Daily!$CU186)</f>
        <v/>
      </c>
      <c r="C186">
        <f>Calc_Daily!$JT186/Calc_Daily!$D186</f>
        <v/>
      </c>
      <c r="D186">
        <f>IF(OR($A186&gt;cfg_LastDataDate,NOT(ISNUMBER(Calc_Daily!$EJ186))),NA(),Calc_Daily!$EJ186)</f>
        <v/>
      </c>
      <c r="E186">
        <f>Calc_Daily!$KQ186</f>
        <v/>
      </c>
      <c r="F186">
        <f>IF(OR($A186&gt;cfg_LastDataDate,NOT(ISNUMBER(Calc_Daily!$F186))),NA(),Calc_Daily!$F186)</f>
        <v/>
      </c>
      <c r="G186">
        <f>IF(OR($A186&gt;cfg_LastDataDate,NOT(ISNUMBER(Calc_Daily!$U186))),NA(),Calc_Daily!$U186)</f>
        <v/>
      </c>
      <c r="H186">
        <f>IF(OR($A186&gt;cfg_LastDataDate,NOT(ISNUMBER(Calc_Daily!$DZ186))),NA(),Calc_Daily!$DZ186)</f>
        <v/>
      </c>
      <c r="I186">
        <f>IF(OR($A186&gt;cfg_LastDataDate,NOT(ISNUMBER(Calc_Daily!$DT186))),NA(),Calc_Daily!$DT186)</f>
        <v/>
      </c>
      <c r="J186">
        <f>IF(OR($A186&gt;cfg_LastDataDate,NOT(ISNUMBER(Calc_Daily!$IP186))),NA(),Calc_Daily!$IP186)</f>
        <v/>
      </c>
      <c r="K186">
        <f>Calc_Daily!$KM186</f>
        <v/>
      </c>
    </row>
    <row r="187">
      <c r="A187" s="54">
        <f>Calc_Daily!$A187</f>
        <v/>
      </c>
      <c r="B187">
        <f>IF(OR($A187&gt;cfg_LastDataDate,NOT(ISNUMBER(Calc_Daily!$CU187))),NA(),Calc_Daily!$CU187)</f>
        <v/>
      </c>
      <c r="C187">
        <f>Calc_Daily!$JT187/Calc_Daily!$D187</f>
        <v/>
      </c>
      <c r="D187">
        <f>IF(OR($A187&gt;cfg_LastDataDate,NOT(ISNUMBER(Calc_Daily!$EJ187))),NA(),Calc_Daily!$EJ187)</f>
        <v/>
      </c>
      <c r="E187">
        <f>Calc_Daily!$KQ187</f>
        <v/>
      </c>
      <c r="F187">
        <f>IF(OR($A187&gt;cfg_LastDataDate,NOT(ISNUMBER(Calc_Daily!$F187))),NA(),Calc_Daily!$F187)</f>
        <v/>
      </c>
      <c r="G187">
        <f>IF(OR($A187&gt;cfg_LastDataDate,NOT(ISNUMBER(Calc_Daily!$U187))),NA(),Calc_Daily!$U187)</f>
        <v/>
      </c>
      <c r="H187">
        <f>IF(OR($A187&gt;cfg_LastDataDate,NOT(ISNUMBER(Calc_Daily!$DZ187))),NA(),Calc_Daily!$DZ187)</f>
        <v/>
      </c>
      <c r="I187">
        <f>IF(OR($A187&gt;cfg_LastDataDate,NOT(ISNUMBER(Calc_Daily!$DT187))),NA(),Calc_Daily!$DT187)</f>
        <v/>
      </c>
      <c r="J187">
        <f>IF(OR($A187&gt;cfg_LastDataDate,NOT(ISNUMBER(Calc_Daily!$IP187))),NA(),Calc_Daily!$IP187)</f>
        <v/>
      </c>
      <c r="K187">
        <f>Calc_Daily!$KM187</f>
        <v/>
      </c>
    </row>
    <row r="188">
      <c r="A188" s="54">
        <f>Calc_Daily!$A188</f>
        <v/>
      </c>
      <c r="B188">
        <f>IF(OR($A188&gt;cfg_LastDataDate,NOT(ISNUMBER(Calc_Daily!$CU188))),NA(),Calc_Daily!$CU188)</f>
        <v/>
      </c>
      <c r="C188">
        <f>Calc_Daily!$JT188/Calc_Daily!$D188</f>
        <v/>
      </c>
      <c r="D188">
        <f>IF(OR($A188&gt;cfg_LastDataDate,NOT(ISNUMBER(Calc_Daily!$EJ188))),NA(),Calc_Daily!$EJ188)</f>
        <v/>
      </c>
      <c r="E188">
        <f>Calc_Daily!$KQ188</f>
        <v/>
      </c>
      <c r="F188">
        <f>IF(OR($A188&gt;cfg_LastDataDate,NOT(ISNUMBER(Calc_Daily!$F188))),NA(),Calc_Daily!$F188)</f>
        <v/>
      </c>
      <c r="G188">
        <f>IF(OR($A188&gt;cfg_LastDataDate,NOT(ISNUMBER(Calc_Daily!$U188))),NA(),Calc_Daily!$U188)</f>
        <v/>
      </c>
      <c r="H188">
        <f>IF(OR($A188&gt;cfg_LastDataDate,NOT(ISNUMBER(Calc_Daily!$DZ188))),NA(),Calc_Daily!$DZ188)</f>
        <v/>
      </c>
      <c r="I188">
        <f>IF(OR($A188&gt;cfg_LastDataDate,NOT(ISNUMBER(Calc_Daily!$DT188))),NA(),Calc_Daily!$DT188)</f>
        <v/>
      </c>
      <c r="J188">
        <f>IF(OR($A188&gt;cfg_LastDataDate,NOT(ISNUMBER(Calc_Daily!$IP188))),NA(),Calc_Daily!$IP188)</f>
        <v/>
      </c>
      <c r="K188">
        <f>Calc_Daily!$KM188</f>
        <v/>
      </c>
    </row>
    <row r="189">
      <c r="A189" s="54">
        <f>Calc_Daily!$A189</f>
        <v/>
      </c>
      <c r="B189">
        <f>IF(OR($A189&gt;cfg_LastDataDate,NOT(ISNUMBER(Calc_Daily!$CU189))),NA(),Calc_Daily!$CU189)</f>
        <v/>
      </c>
      <c r="C189">
        <f>Calc_Daily!$JT189/Calc_Daily!$D189</f>
        <v/>
      </c>
      <c r="D189">
        <f>IF(OR($A189&gt;cfg_LastDataDate,NOT(ISNUMBER(Calc_Daily!$EJ189))),NA(),Calc_Daily!$EJ189)</f>
        <v/>
      </c>
      <c r="E189">
        <f>Calc_Daily!$KQ189</f>
        <v/>
      </c>
      <c r="F189">
        <f>IF(OR($A189&gt;cfg_LastDataDate,NOT(ISNUMBER(Calc_Daily!$F189))),NA(),Calc_Daily!$F189)</f>
        <v/>
      </c>
      <c r="G189">
        <f>IF(OR($A189&gt;cfg_LastDataDate,NOT(ISNUMBER(Calc_Daily!$U189))),NA(),Calc_Daily!$U189)</f>
        <v/>
      </c>
      <c r="H189">
        <f>IF(OR($A189&gt;cfg_LastDataDate,NOT(ISNUMBER(Calc_Daily!$DZ189))),NA(),Calc_Daily!$DZ189)</f>
        <v/>
      </c>
      <c r="I189">
        <f>IF(OR($A189&gt;cfg_LastDataDate,NOT(ISNUMBER(Calc_Daily!$DT189))),NA(),Calc_Daily!$DT189)</f>
        <v/>
      </c>
      <c r="J189">
        <f>IF(OR($A189&gt;cfg_LastDataDate,NOT(ISNUMBER(Calc_Daily!$IP189))),NA(),Calc_Daily!$IP189)</f>
        <v/>
      </c>
      <c r="K189">
        <f>Calc_Daily!$KM189</f>
        <v/>
      </c>
    </row>
    <row r="190">
      <c r="A190" s="54">
        <f>Calc_Daily!$A190</f>
        <v/>
      </c>
      <c r="B190">
        <f>IF(OR($A190&gt;cfg_LastDataDate,NOT(ISNUMBER(Calc_Daily!$CU190))),NA(),Calc_Daily!$CU190)</f>
        <v/>
      </c>
      <c r="C190">
        <f>Calc_Daily!$JT190/Calc_Daily!$D190</f>
        <v/>
      </c>
      <c r="D190">
        <f>IF(OR($A190&gt;cfg_LastDataDate,NOT(ISNUMBER(Calc_Daily!$EJ190))),NA(),Calc_Daily!$EJ190)</f>
        <v/>
      </c>
      <c r="E190">
        <f>Calc_Daily!$KQ190</f>
        <v/>
      </c>
      <c r="F190">
        <f>IF(OR($A190&gt;cfg_LastDataDate,NOT(ISNUMBER(Calc_Daily!$F190))),NA(),Calc_Daily!$F190)</f>
        <v/>
      </c>
      <c r="G190">
        <f>IF(OR($A190&gt;cfg_LastDataDate,NOT(ISNUMBER(Calc_Daily!$U190))),NA(),Calc_Daily!$U190)</f>
        <v/>
      </c>
      <c r="H190">
        <f>IF(OR($A190&gt;cfg_LastDataDate,NOT(ISNUMBER(Calc_Daily!$DZ190))),NA(),Calc_Daily!$DZ190)</f>
        <v/>
      </c>
      <c r="I190">
        <f>IF(OR($A190&gt;cfg_LastDataDate,NOT(ISNUMBER(Calc_Daily!$DT190))),NA(),Calc_Daily!$DT190)</f>
        <v/>
      </c>
      <c r="J190">
        <f>IF(OR($A190&gt;cfg_LastDataDate,NOT(ISNUMBER(Calc_Daily!$IP190))),NA(),Calc_Daily!$IP190)</f>
        <v/>
      </c>
      <c r="K190">
        <f>Calc_Daily!$KM190</f>
        <v/>
      </c>
    </row>
    <row r="191">
      <c r="A191" s="54">
        <f>Calc_Daily!$A191</f>
        <v/>
      </c>
      <c r="B191">
        <f>IF(OR($A191&gt;cfg_LastDataDate,NOT(ISNUMBER(Calc_Daily!$CU191))),NA(),Calc_Daily!$CU191)</f>
        <v/>
      </c>
      <c r="C191">
        <f>Calc_Daily!$JT191/Calc_Daily!$D191</f>
        <v/>
      </c>
      <c r="D191">
        <f>IF(OR($A191&gt;cfg_LastDataDate,NOT(ISNUMBER(Calc_Daily!$EJ191))),NA(),Calc_Daily!$EJ191)</f>
        <v/>
      </c>
      <c r="E191">
        <f>Calc_Daily!$KQ191</f>
        <v/>
      </c>
      <c r="F191">
        <f>IF(OR($A191&gt;cfg_LastDataDate,NOT(ISNUMBER(Calc_Daily!$F191))),NA(),Calc_Daily!$F191)</f>
        <v/>
      </c>
      <c r="G191">
        <f>IF(OR($A191&gt;cfg_LastDataDate,NOT(ISNUMBER(Calc_Daily!$U191))),NA(),Calc_Daily!$U191)</f>
        <v/>
      </c>
      <c r="H191">
        <f>IF(OR($A191&gt;cfg_LastDataDate,NOT(ISNUMBER(Calc_Daily!$DZ191))),NA(),Calc_Daily!$DZ191)</f>
        <v/>
      </c>
      <c r="I191">
        <f>IF(OR($A191&gt;cfg_LastDataDate,NOT(ISNUMBER(Calc_Daily!$DT191))),NA(),Calc_Daily!$DT191)</f>
        <v/>
      </c>
      <c r="J191">
        <f>IF(OR($A191&gt;cfg_LastDataDate,NOT(ISNUMBER(Calc_Daily!$IP191))),NA(),Calc_Daily!$IP191)</f>
        <v/>
      </c>
      <c r="K191">
        <f>Calc_Daily!$KM191</f>
        <v/>
      </c>
    </row>
    <row r="192">
      <c r="A192" s="54">
        <f>Calc_Daily!$A192</f>
        <v/>
      </c>
      <c r="B192">
        <f>IF(OR($A192&gt;cfg_LastDataDate,NOT(ISNUMBER(Calc_Daily!$CU192))),NA(),Calc_Daily!$CU192)</f>
        <v/>
      </c>
      <c r="C192">
        <f>Calc_Daily!$JT192/Calc_Daily!$D192</f>
        <v/>
      </c>
      <c r="D192">
        <f>IF(OR($A192&gt;cfg_LastDataDate,NOT(ISNUMBER(Calc_Daily!$EJ192))),NA(),Calc_Daily!$EJ192)</f>
        <v/>
      </c>
      <c r="E192">
        <f>Calc_Daily!$KQ192</f>
        <v/>
      </c>
      <c r="F192">
        <f>IF(OR($A192&gt;cfg_LastDataDate,NOT(ISNUMBER(Calc_Daily!$F192))),NA(),Calc_Daily!$F192)</f>
        <v/>
      </c>
      <c r="G192">
        <f>IF(OR($A192&gt;cfg_LastDataDate,NOT(ISNUMBER(Calc_Daily!$U192))),NA(),Calc_Daily!$U192)</f>
        <v/>
      </c>
      <c r="H192">
        <f>IF(OR($A192&gt;cfg_LastDataDate,NOT(ISNUMBER(Calc_Daily!$DZ192))),NA(),Calc_Daily!$DZ192)</f>
        <v/>
      </c>
      <c r="I192">
        <f>IF(OR($A192&gt;cfg_LastDataDate,NOT(ISNUMBER(Calc_Daily!$DT192))),NA(),Calc_Daily!$DT192)</f>
        <v/>
      </c>
      <c r="J192">
        <f>IF(OR($A192&gt;cfg_LastDataDate,NOT(ISNUMBER(Calc_Daily!$IP192))),NA(),Calc_Daily!$IP192)</f>
        <v/>
      </c>
      <c r="K192">
        <f>Calc_Daily!$KM192</f>
        <v/>
      </c>
    </row>
    <row r="193">
      <c r="A193" s="54">
        <f>Calc_Daily!$A193</f>
        <v/>
      </c>
      <c r="B193">
        <f>IF(OR($A193&gt;cfg_LastDataDate,NOT(ISNUMBER(Calc_Daily!$CU193))),NA(),Calc_Daily!$CU193)</f>
        <v/>
      </c>
      <c r="C193">
        <f>Calc_Daily!$JT193/Calc_Daily!$D193</f>
        <v/>
      </c>
      <c r="D193">
        <f>IF(OR($A193&gt;cfg_LastDataDate,NOT(ISNUMBER(Calc_Daily!$EJ193))),NA(),Calc_Daily!$EJ193)</f>
        <v/>
      </c>
      <c r="E193">
        <f>Calc_Daily!$KQ193</f>
        <v/>
      </c>
      <c r="F193">
        <f>IF(OR($A193&gt;cfg_LastDataDate,NOT(ISNUMBER(Calc_Daily!$F193))),NA(),Calc_Daily!$F193)</f>
        <v/>
      </c>
      <c r="G193">
        <f>IF(OR($A193&gt;cfg_LastDataDate,NOT(ISNUMBER(Calc_Daily!$U193))),NA(),Calc_Daily!$U193)</f>
        <v/>
      </c>
      <c r="H193">
        <f>IF(OR($A193&gt;cfg_LastDataDate,NOT(ISNUMBER(Calc_Daily!$DZ193))),NA(),Calc_Daily!$DZ193)</f>
        <v/>
      </c>
      <c r="I193">
        <f>IF(OR($A193&gt;cfg_LastDataDate,NOT(ISNUMBER(Calc_Daily!$DT193))),NA(),Calc_Daily!$DT193)</f>
        <v/>
      </c>
      <c r="J193">
        <f>IF(OR($A193&gt;cfg_LastDataDate,NOT(ISNUMBER(Calc_Daily!$IP193))),NA(),Calc_Daily!$IP193)</f>
        <v/>
      </c>
      <c r="K193">
        <f>Calc_Daily!$KM193</f>
        <v/>
      </c>
    </row>
    <row r="194">
      <c r="A194" s="54">
        <f>Calc_Daily!$A194</f>
        <v/>
      </c>
      <c r="B194">
        <f>IF(OR($A194&gt;cfg_LastDataDate,NOT(ISNUMBER(Calc_Daily!$CU194))),NA(),Calc_Daily!$CU194)</f>
        <v/>
      </c>
      <c r="C194">
        <f>Calc_Daily!$JT194/Calc_Daily!$D194</f>
        <v/>
      </c>
      <c r="D194">
        <f>IF(OR($A194&gt;cfg_LastDataDate,NOT(ISNUMBER(Calc_Daily!$EJ194))),NA(),Calc_Daily!$EJ194)</f>
        <v/>
      </c>
      <c r="E194">
        <f>Calc_Daily!$KQ194</f>
        <v/>
      </c>
      <c r="F194">
        <f>IF(OR($A194&gt;cfg_LastDataDate,NOT(ISNUMBER(Calc_Daily!$F194))),NA(),Calc_Daily!$F194)</f>
        <v/>
      </c>
      <c r="G194">
        <f>IF(OR($A194&gt;cfg_LastDataDate,NOT(ISNUMBER(Calc_Daily!$U194))),NA(),Calc_Daily!$U194)</f>
        <v/>
      </c>
      <c r="H194">
        <f>IF(OR($A194&gt;cfg_LastDataDate,NOT(ISNUMBER(Calc_Daily!$DZ194))),NA(),Calc_Daily!$DZ194)</f>
        <v/>
      </c>
      <c r="I194">
        <f>IF(OR($A194&gt;cfg_LastDataDate,NOT(ISNUMBER(Calc_Daily!$DT194))),NA(),Calc_Daily!$DT194)</f>
        <v/>
      </c>
      <c r="J194">
        <f>IF(OR($A194&gt;cfg_LastDataDate,NOT(ISNUMBER(Calc_Daily!$IP194))),NA(),Calc_Daily!$IP194)</f>
        <v/>
      </c>
      <c r="K194">
        <f>Calc_Daily!$KM194</f>
        <v/>
      </c>
    </row>
    <row r="195">
      <c r="A195" s="54">
        <f>Calc_Daily!$A195</f>
        <v/>
      </c>
      <c r="B195">
        <f>IF(OR($A195&gt;cfg_LastDataDate,NOT(ISNUMBER(Calc_Daily!$CU195))),NA(),Calc_Daily!$CU195)</f>
        <v/>
      </c>
      <c r="C195">
        <f>Calc_Daily!$JT195/Calc_Daily!$D195</f>
        <v/>
      </c>
      <c r="D195">
        <f>IF(OR($A195&gt;cfg_LastDataDate,NOT(ISNUMBER(Calc_Daily!$EJ195))),NA(),Calc_Daily!$EJ195)</f>
        <v/>
      </c>
      <c r="E195">
        <f>Calc_Daily!$KQ195</f>
        <v/>
      </c>
      <c r="F195">
        <f>IF(OR($A195&gt;cfg_LastDataDate,NOT(ISNUMBER(Calc_Daily!$F195))),NA(),Calc_Daily!$F195)</f>
        <v/>
      </c>
      <c r="G195">
        <f>IF(OR($A195&gt;cfg_LastDataDate,NOT(ISNUMBER(Calc_Daily!$U195))),NA(),Calc_Daily!$U195)</f>
        <v/>
      </c>
      <c r="H195">
        <f>IF(OR($A195&gt;cfg_LastDataDate,NOT(ISNUMBER(Calc_Daily!$DZ195))),NA(),Calc_Daily!$DZ195)</f>
        <v/>
      </c>
      <c r="I195">
        <f>IF(OR($A195&gt;cfg_LastDataDate,NOT(ISNUMBER(Calc_Daily!$DT195))),NA(),Calc_Daily!$DT195)</f>
        <v/>
      </c>
      <c r="J195">
        <f>IF(OR($A195&gt;cfg_LastDataDate,NOT(ISNUMBER(Calc_Daily!$IP195))),NA(),Calc_Daily!$IP195)</f>
        <v/>
      </c>
      <c r="K195">
        <f>Calc_Daily!$KM195</f>
        <v/>
      </c>
    </row>
    <row r="196">
      <c r="A196" s="54">
        <f>Calc_Daily!$A196</f>
        <v/>
      </c>
      <c r="B196">
        <f>IF(OR($A196&gt;cfg_LastDataDate,NOT(ISNUMBER(Calc_Daily!$CU196))),NA(),Calc_Daily!$CU196)</f>
        <v/>
      </c>
      <c r="C196">
        <f>Calc_Daily!$JT196/Calc_Daily!$D196</f>
        <v/>
      </c>
      <c r="D196">
        <f>IF(OR($A196&gt;cfg_LastDataDate,NOT(ISNUMBER(Calc_Daily!$EJ196))),NA(),Calc_Daily!$EJ196)</f>
        <v/>
      </c>
      <c r="E196">
        <f>Calc_Daily!$KQ196</f>
        <v/>
      </c>
      <c r="F196">
        <f>IF(OR($A196&gt;cfg_LastDataDate,NOT(ISNUMBER(Calc_Daily!$F196))),NA(),Calc_Daily!$F196)</f>
        <v/>
      </c>
      <c r="G196">
        <f>IF(OR($A196&gt;cfg_LastDataDate,NOT(ISNUMBER(Calc_Daily!$U196))),NA(),Calc_Daily!$U196)</f>
        <v/>
      </c>
      <c r="H196">
        <f>IF(OR($A196&gt;cfg_LastDataDate,NOT(ISNUMBER(Calc_Daily!$DZ196))),NA(),Calc_Daily!$DZ196)</f>
        <v/>
      </c>
      <c r="I196">
        <f>IF(OR($A196&gt;cfg_LastDataDate,NOT(ISNUMBER(Calc_Daily!$DT196))),NA(),Calc_Daily!$DT196)</f>
        <v/>
      </c>
      <c r="J196">
        <f>IF(OR($A196&gt;cfg_LastDataDate,NOT(ISNUMBER(Calc_Daily!$IP196))),NA(),Calc_Daily!$IP196)</f>
        <v/>
      </c>
      <c r="K196">
        <f>Calc_Daily!$KM196</f>
        <v/>
      </c>
    </row>
    <row r="197">
      <c r="A197" s="54">
        <f>Calc_Daily!$A197</f>
        <v/>
      </c>
      <c r="B197">
        <f>IF(OR($A197&gt;cfg_LastDataDate,NOT(ISNUMBER(Calc_Daily!$CU197))),NA(),Calc_Daily!$CU197)</f>
        <v/>
      </c>
      <c r="C197">
        <f>Calc_Daily!$JT197/Calc_Daily!$D197</f>
        <v/>
      </c>
      <c r="D197">
        <f>IF(OR($A197&gt;cfg_LastDataDate,NOT(ISNUMBER(Calc_Daily!$EJ197))),NA(),Calc_Daily!$EJ197)</f>
        <v/>
      </c>
      <c r="E197">
        <f>Calc_Daily!$KQ197</f>
        <v/>
      </c>
      <c r="F197">
        <f>IF(OR($A197&gt;cfg_LastDataDate,NOT(ISNUMBER(Calc_Daily!$F197))),NA(),Calc_Daily!$F197)</f>
        <v/>
      </c>
      <c r="G197">
        <f>IF(OR($A197&gt;cfg_LastDataDate,NOT(ISNUMBER(Calc_Daily!$U197))),NA(),Calc_Daily!$U197)</f>
        <v/>
      </c>
      <c r="H197">
        <f>IF(OR($A197&gt;cfg_LastDataDate,NOT(ISNUMBER(Calc_Daily!$DZ197))),NA(),Calc_Daily!$DZ197)</f>
        <v/>
      </c>
      <c r="I197">
        <f>IF(OR($A197&gt;cfg_LastDataDate,NOT(ISNUMBER(Calc_Daily!$DT197))),NA(),Calc_Daily!$DT197)</f>
        <v/>
      </c>
      <c r="J197">
        <f>IF(OR($A197&gt;cfg_LastDataDate,NOT(ISNUMBER(Calc_Daily!$IP197))),NA(),Calc_Daily!$IP197)</f>
        <v/>
      </c>
      <c r="K197">
        <f>Calc_Daily!$KM197</f>
        <v/>
      </c>
    </row>
    <row r="198">
      <c r="A198" s="54">
        <f>Calc_Daily!$A198</f>
        <v/>
      </c>
      <c r="B198">
        <f>IF(OR($A198&gt;cfg_LastDataDate,NOT(ISNUMBER(Calc_Daily!$CU198))),NA(),Calc_Daily!$CU198)</f>
        <v/>
      </c>
      <c r="C198">
        <f>Calc_Daily!$JT198/Calc_Daily!$D198</f>
        <v/>
      </c>
      <c r="D198">
        <f>IF(OR($A198&gt;cfg_LastDataDate,NOT(ISNUMBER(Calc_Daily!$EJ198))),NA(),Calc_Daily!$EJ198)</f>
        <v/>
      </c>
      <c r="E198">
        <f>Calc_Daily!$KQ198</f>
        <v/>
      </c>
      <c r="F198">
        <f>IF(OR($A198&gt;cfg_LastDataDate,NOT(ISNUMBER(Calc_Daily!$F198))),NA(),Calc_Daily!$F198)</f>
        <v/>
      </c>
      <c r="G198">
        <f>IF(OR($A198&gt;cfg_LastDataDate,NOT(ISNUMBER(Calc_Daily!$U198))),NA(),Calc_Daily!$U198)</f>
        <v/>
      </c>
      <c r="H198">
        <f>IF(OR($A198&gt;cfg_LastDataDate,NOT(ISNUMBER(Calc_Daily!$DZ198))),NA(),Calc_Daily!$DZ198)</f>
        <v/>
      </c>
      <c r="I198">
        <f>IF(OR($A198&gt;cfg_LastDataDate,NOT(ISNUMBER(Calc_Daily!$DT198))),NA(),Calc_Daily!$DT198)</f>
        <v/>
      </c>
      <c r="J198">
        <f>IF(OR($A198&gt;cfg_LastDataDate,NOT(ISNUMBER(Calc_Daily!$IP198))),NA(),Calc_Daily!$IP198)</f>
        <v/>
      </c>
      <c r="K198">
        <f>Calc_Daily!$KM198</f>
        <v/>
      </c>
    </row>
    <row r="199">
      <c r="A199" s="54">
        <f>Calc_Daily!$A199</f>
        <v/>
      </c>
      <c r="B199">
        <f>IF(OR($A199&gt;cfg_LastDataDate,NOT(ISNUMBER(Calc_Daily!$CU199))),NA(),Calc_Daily!$CU199)</f>
        <v/>
      </c>
      <c r="C199">
        <f>Calc_Daily!$JT199/Calc_Daily!$D199</f>
        <v/>
      </c>
      <c r="D199">
        <f>IF(OR($A199&gt;cfg_LastDataDate,NOT(ISNUMBER(Calc_Daily!$EJ199))),NA(),Calc_Daily!$EJ199)</f>
        <v/>
      </c>
      <c r="E199">
        <f>Calc_Daily!$KQ199</f>
        <v/>
      </c>
      <c r="F199">
        <f>IF(OR($A199&gt;cfg_LastDataDate,NOT(ISNUMBER(Calc_Daily!$F199))),NA(),Calc_Daily!$F199)</f>
        <v/>
      </c>
      <c r="G199">
        <f>IF(OR($A199&gt;cfg_LastDataDate,NOT(ISNUMBER(Calc_Daily!$U199))),NA(),Calc_Daily!$U199)</f>
        <v/>
      </c>
      <c r="H199">
        <f>IF(OR($A199&gt;cfg_LastDataDate,NOT(ISNUMBER(Calc_Daily!$DZ199))),NA(),Calc_Daily!$DZ199)</f>
        <v/>
      </c>
      <c r="I199">
        <f>IF(OR($A199&gt;cfg_LastDataDate,NOT(ISNUMBER(Calc_Daily!$DT199))),NA(),Calc_Daily!$DT199)</f>
        <v/>
      </c>
      <c r="J199">
        <f>IF(OR($A199&gt;cfg_LastDataDate,NOT(ISNUMBER(Calc_Daily!$IP199))),NA(),Calc_Daily!$IP199)</f>
        <v/>
      </c>
      <c r="K199">
        <f>Calc_Daily!$KM199</f>
        <v/>
      </c>
    </row>
    <row r="200">
      <c r="A200" s="54">
        <f>Calc_Daily!$A200</f>
        <v/>
      </c>
      <c r="B200">
        <f>IF(OR($A200&gt;cfg_LastDataDate,NOT(ISNUMBER(Calc_Daily!$CU200))),NA(),Calc_Daily!$CU200)</f>
        <v/>
      </c>
      <c r="C200">
        <f>Calc_Daily!$JT200/Calc_Daily!$D200</f>
        <v/>
      </c>
      <c r="D200">
        <f>IF(OR($A200&gt;cfg_LastDataDate,NOT(ISNUMBER(Calc_Daily!$EJ200))),NA(),Calc_Daily!$EJ200)</f>
        <v/>
      </c>
      <c r="E200">
        <f>Calc_Daily!$KQ200</f>
        <v/>
      </c>
      <c r="F200">
        <f>IF(OR($A200&gt;cfg_LastDataDate,NOT(ISNUMBER(Calc_Daily!$F200))),NA(),Calc_Daily!$F200)</f>
        <v/>
      </c>
      <c r="G200">
        <f>IF(OR($A200&gt;cfg_LastDataDate,NOT(ISNUMBER(Calc_Daily!$U200))),NA(),Calc_Daily!$U200)</f>
        <v/>
      </c>
      <c r="H200">
        <f>IF(OR($A200&gt;cfg_LastDataDate,NOT(ISNUMBER(Calc_Daily!$DZ200))),NA(),Calc_Daily!$DZ200)</f>
        <v/>
      </c>
      <c r="I200">
        <f>IF(OR($A200&gt;cfg_LastDataDate,NOT(ISNUMBER(Calc_Daily!$DT200))),NA(),Calc_Daily!$DT200)</f>
        <v/>
      </c>
      <c r="J200">
        <f>IF(OR($A200&gt;cfg_LastDataDate,NOT(ISNUMBER(Calc_Daily!$IP200))),NA(),Calc_Daily!$IP200)</f>
        <v/>
      </c>
      <c r="K200">
        <f>Calc_Daily!$KM200</f>
        <v/>
      </c>
    </row>
    <row r="201">
      <c r="A201" s="54">
        <f>Calc_Daily!$A201</f>
        <v/>
      </c>
      <c r="B201">
        <f>IF(OR($A201&gt;cfg_LastDataDate,NOT(ISNUMBER(Calc_Daily!$CU201))),NA(),Calc_Daily!$CU201)</f>
        <v/>
      </c>
      <c r="C201">
        <f>Calc_Daily!$JT201/Calc_Daily!$D201</f>
        <v/>
      </c>
      <c r="D201">
        <f>IF(OR($A201&gt;cfg_LastDataDate,NOT(ISNUMBER(Calc_Daily!$EJ201))),NA(),Calc_Daily!$EJ201)</f>
        <v/>
      </c>
      <c r="E201">
        <f>Calc_Daily!$KQ201</f>
        <v/>
      </c>
      <c r="F201">
        <f>IF(OR($A201&gt;cfg_LastDataDate,NOT(ISNUMBER(Calc_Daily!$F201))),NA(),Calc_Daily!$F201)</f>
        <v/>
      </c>
      <c r="G201">
        <f>IF(OR($A201&gt;cfg_LastDataDate,NOT(ISNUMBER(Calc_Daily!$U201))),NA(),Calc_Daily!$U201)</f>
        <v/>
      </c>
      <c r="H201">
        <f>IF(OR($A201&gt;cfg_LastDataDate,NOT(ISNUMBER(Calc_Daily!$DZ201))),NA(),Calc_Daily!$DZ201)</f>
        <v/>
      </c>
      <c r="I201">
        <f>IF(OR($A201&gt;cfg_LastDataDate,NOT(ISNUMBER(Calc_Daily!$DT201))),NA(),Calc_Daily!$DT201)</f>
        <v/>
      </c>
      <c r="J201">
        <f>IF(OR($A201&gt;cfg_LastDataDate,NOT(ISNUMBER(Calc_Daily!$IP201))),NA(),Calc_Daily!$IP201)</f>
        <v/>
      </c>
      <c r="K201">
        <f>Calc_Daily!$KM201</f>
        <v/>
      </c>
    </row>
    <row r="202">
      <c r="A202" s="54">
        <f>Calc_Daily!$A202</f>
        <v/>
      </c>
      <c r="B202">
        <f>IF(OR($A202&gt;cfg_LastDataDate,NOT(ISNUMBER(Calc_Daily!$CU202))),NA(),Calc_Daily!$CU202)</f>
        <v/>
      </c>
      <c r="C202">
        <f>Calc_Daily!$JT202/Calc_Daily!$D202</f>
        <v/>
      </c>
      <c r="D202">
        <f>IF(OR($A202&gt;cfg_LastDataDate,NOT(ISNUMBER(Calc_Daily!$EJ202))),NA(),Calc_Daily!$EJ202)</f>
        <v/>
      </c>
      <c r="E202">
        <f>Calc_Daily!$KQ202</f>
        <v/>
      </c>
      <c r="F202">
        <f>IF(OR($A202&gt;cfg_LastDataDate,NOT(ISNUMBER(Calc_Daily!$F202))),NA(),Calc_Daily!$F202)</f>
        <v/>
      </c>
      <c r="G202">
        <f>IF(OR($A202&gt;cfg_LastDataDate,NOT(ISNUMBER(Calc_Daily!$U202))),NA(),Calc_Daily!$U202)</f>
        <v/>
      </c>
      <c r="H202">
        <f>IF(OR($A202&gt;cfg_LastDataDate,NOT(ISNUMBER(Calc_Daily!$DZ202))),NA(),Calc_Daily!$DZ202)</f>
        <v/>
      </c>
      <c r="I202">
        <f>IF(OR($A202&gt;cfg_LastDataDate,NOT(ISNUMBER(Calc_Daily!$DT202))),NA(),Calc_Daily!$DT202)</f>
        <v/>
      </c>
      <c r="J202">
        <f>IF(OR($A202&gt;cfg_LastDataDate,NOT(ISNUMBER(Calc_Daily!$IP202))),NA(),Calc_Daily!$IP202)</f>
        <v/>
      </c>
      <c r="K202">
        <f>Calc_Daily!$KM202</f>
        <v/>
      </c>
    </row>
    <row r="203">
      <c r="A203" s="54">
        <f>Calc_Daily!$A203</f>
        <v/>
      </c>
      <c r="B203">
        <f>IF(OR($A203&gt;cfg_LastDataDate,NOT(ISNUMBER(Calc_Daily!$CU203))),NA(),Calc_Daily!$CU203)</f>
        <v/>
      </c>
      <c r="C203">
        <f>Calc_Daily!$JT203/Calc_Daily!$D203</f>
        <v/>
      </c>
      <c r="D203">
        <f>IF(OR($A203&gt;cfg_LastDataDate,NOT(ISNUMBER(Calc_Daily!$EJ203))),NA(),Calc_Daily!$EJ203)</f>
        <v/>
      </c>
      <c r="E203">
        <f>Calc_Daily!$KQ203</f>
        <v/>
      </c>
      <c r="F203">
        <f>IF(OR($A203&gt;cfg_LastDataDate,NOT(ISNUMBER(Calc_Daily!$F203))),NA(),Calc_Daily!$F203)</f>
        <v/>
      </c>
      <c r="G203">
        <f>IF(OR($A203&gt;cfg_LastDataDate,NOT(ISNUMBER(Calc_Daily!$U203))),NA(),Calc_Daily!$U203)</f>
        <v/>
      </c>
      <c r="H203">
        <f>IF(OR($A203&gt;cfg_LastDataDate,NOT(ISNUMBER(Calc_Daily!$DZ203))),NA(),Calc_Daily!$DZ203)</f>
        <v/>
      </c>
      <c r="I203">
        <f>IF(OR($A203&gt;cfg_LastDataDate,NOT(ISNUMBER(Calc_Daily!$DT203))),NA(),Calc_Daily!$DT203)</f>
        <v/>
      </c>
      <c r="J203">
        <f>IF(OR($A203&gt;cfg_LastDataDate,NOT(ISNUMBER(Calc_Daily!$IP203))),NA(),Calc_Daily!$IP203)</f>
        <v/>
      </c>
      <c r="K203">
        <f>Calc_Daily!$KM203</f>
        <v/>
      </c>
    </row>
    <row r="204">
      <c r="A204" s="54">
        <f>Calc_Daily!$A204</f>
        <v/>
      </c>
      <c r="B204">
        <f>IF(OR($A204&gt;cfg_LastDataDate,NOT(ISNUMBER(Calc_Daily!$CU204))),NA(),Calc_Daily!$CU204)</f>
        <v/>
      </c>
      <c r="C204">
        <f>Calc_Daily!$JT204/Calc_Daily!$D204</f>
        <v/>
      </c>
      <c r="D204">
        <f>IF(OR($A204&gt;cfg_LastDataDate,NOT(ISNUMBER(Calc_Daily!$EJ204))),NA(),Calc_Daily!$EJ204)</f>
        <v/>
      </c>
      <c r="E204">
        <f>Calc_Daily!$KQ204</f>
        <v/>
      </c>
      <c r="F204">
        <f>IF(OR($A204&gt;cfg_LastDataDate,NOT(ISNUMBER(Calc_Daily!$F204))),NA(),Calc_Daily!$F204)</f>
        <v/>
      </c>
      <c r="G204">
        <f>IF(OR($A204&gt;cfg_LastDataDate,NOT(ISNUMBER(Calc_Daily!$U204))),NA(),Calc_Daily!$U204)</f>
        <v/>
      </c>
      <c r="H204">
        <f>IF(OR($A204&gt;cfg_LastDataDate,NOT(ISNUMBER(Calc_Daily!$DZ204))),NA(),Calc_Daily!$DZ204)</f>
        <v/>
      </c>
      <c r="I204">
        <f>IF(OR($A204&gt;cfg_LastDataDate,NOT(ISNUMBER(Calc_Daily!$DT204))),NA(),Calc_Daily!$DT204)</f>
        <v/>
      </c>
      <c r="J204">
        <f>IF(OR($A204&gt;cfg_LastDataDate,NOT(ISNUMBER(Calc_Daily!$IP204))),NA(),Calc_Daily!$IP204)</f>
        <v/>
      </c>
      <c r="K204">
        <f>Calc_Daily!$KM204</f>
        <v/>
      </c>
    </row>
    <row r="205">
      <c r="A205" s="54">
        <f>Calc_Daily!$A205</f>
        <v/>
      </c>
      <c r="B205">
        <f>IF(OR($A205&gt;cfg_LastDataDate,NOT(ISNUMBER(Calc_Daily!$CU205))),NA(),Calc_Daily!$CU205)</f>
        <v/>
      </c>
      <c r="C205">
        <f>Calc_Daily!$JT205/Calc_Daily!$D205</f>
        <v/>
      </c>
      <c r="D205">
        <f>IF(OR($A205&gt;cfg_LastDataDate,NOT(ISNUMBER(Calc_Daily!$EJ205))),NA(),Calc_Daily!$EJ205)</f>
        <v/>
      </c>
      <c r="E205">
        <f>Calc_Daily!$KQ205</f>
        <v/>
      </c>
      <c r="F205">
        <f>IF(OR($A205&gt;cfg_LastDataDate,NOT(ISNUMBER(Calc_Daily!$F205))),NA(),Calc_Daily!$F205)</f>
        <v/>
      </c>
      <c r="G205">
        <f>IF(OR($A205&gt;cfg_LastDataDate,NOT(ISNUMBER(Calc_Daily!$U205))),NA(),Calc_Daily!$U205)</f>
        <v/>
      </c>
      <c r="H205">
        <f>IF(OR($A205&gt;cfg_LastDataDate,NOT(ISNUMBER(Calc_Daily!$DZ205))),NA(),Calc_Daily!$DZ205)</f>
        <v/>
      </c>
      <c r="I205">
        <f>IF(OR($A205&gt;cfg_LastDataDate,NOT(ISNUMBER(Calc_Daily!$DT205))),NA(),Calc_Daily!$DT205)</f>
        <v/>
      </c>
      <c r="J205">
        <f>IF(OR($A205&gt;cfg_LastDataDate,NOT(ISNUMBER(Calc_Daily!$IP205))),NA(),Calc_Daily!$IP205)</f>
        <v/>
      </c>
      <c r="K205">
        <f>Calc_Daily!$KM205</f>
        <v/>
      </c>
    </row>
    <row r="206">
      <c r="A206" s="54">
        <f>Calc_Daily!$A206</f>
        <v/>
      </c>
      <c r="B206">
        <f>IF(OR($A206&gt;cfg_LastDataDate,NOT(ISNUMBER(Calc_Daily!$CU206))),NA(),Calc_Daily!$CU206)</f>
        <v/>
      </c>
      <c r="C206">
        <f>Calc_Daily!$JT206/Calc_Daily!$D206</f>
        <v/>
      </c>
      <c r="D206">
        <f>IF(OR($A206&gt;cfg_LastDataDate,NOT(ISNUMBER(Calc_Daily!$EJ206))),NA(),Calc_Daily!$EJ206)</f>
        <v/>
      </c>
      <c r="E206">
        <f>Calc_Daily!$KQ206</f>
        <v/>
      </c>
      <c r="F206">
        <f>IF(OR($A206&gt;cfg_LastDataDate,NOT(ISNUMBER(Calc_Daily!$F206))),NA(),Calc_Daily!$F206)</f>
        <v/>
      </c>
      <c r="G206">
        <f>IF(OR($A206&gt;cfg_LastDataDate,NOT(ISNUMBER(Calc_Daily!$U206))),NA(),Calc_Daily!$U206)</f>
        <v/>
      </c>
      <c r="H206">
        <f>IF(OR($A206&gt;cfg_LastDataDate,NOT(ISNUMBER(Calc_Daily!$DZ206))),NA(),Calc_Daily!$DZ206)</f>
        <v/>
      </c>
      <c r="I206">
        <f>IF(OR($A206&gt;cfg_LastDataDate,NOT(ISNUMBER(Calc_Daily!$DT206))),NA(),Calc_Daily!$DT206)</f>
        <v/>
      </c>
      <c r="J206">
        <f>IF(OR($A206&gt;cfg_LastDataDate,NOT(ISNUMBER(Calc_Daily!$IP206))),NA(),Calc_Daily!$IP206)</f>
        <v/>
      </c>
      <c r="K206">
        <f>Calc_Daily!$KM206</f>
        <v/>
      </c>
    </row>
    <row r="207">
      <c r="A207" s="54">
        <f>Calc_Daily!$A207</f>
        <v/>
      </c>
      <c r="B207">
        <f>IF(OR($A207&gt;cfg_LastDataDate,NOT(ISNUMBER(Calc_Daily!$CU207))),NA(),Calc_Daily!$CU207)</f>
        <v/>
      </c>
      <c r="C207">
        <f>Calc_Daily!$JT207/Calc_Daily!$D207</f>
        <v/>
      </c>
      <c r="D207">
        <f>IF(OR($A207&gt;cfg_LastDataDate,NOT(ISNUMBER(Calc_Daily!$EJ207))),NA(),Calc_Daily!$EJ207)</f>
        <v/>
      </c>
      <c r="E207">
        <f>Calc_Daily!$KQ207</f>
        <v/>
      </c>
      <c r="F207">
        <f>IF(OR($A207&gt;cfg_LastDataDate,NOT(ISNUMBER(Calc_Daily!$F207))),NA(),Calc_Daily!$F207)</f>
        <v/>
      </c>
      <c r="G207">
        <f>IF(OR($A207&gt;cfg_LastDataDate,NOT(ISNUMBER(Calc_Daily!$U207))),NA(),Calc_Daily!$U207)</f>
        <v/>
      </c>
      <c r="H207">
        <f>IF(OR($A207&gt;cfg_LastDataDate,NOT(ISNUMBER(Calc_Daily!$DZ207))),NA(),Calc_Daily!$DZ207)</f>
        <v/>
      </c>
      <c r="I207">
        <f>IF(OR($A207&gt;cfg_LastDataDate,NOT(ISNUMBER(Calc_Daily!$DT207))),NA(),Calc_Daily!$DT207)</f>
        <v/>
      </c>
      <c r="J207">
        <f>IF(OR($A207&gt;cfg_LastDataDate,NOT(ISNUMBER(Calc_Daily!$IP207))),NA(),Calc_Daily!$IP207)</f>
        <v/>
      </c>
      <c r="K207">
        <f>Calc_Daily!$KM207</f>
        <v/>
      </c>
    </row>
    <row r="208">
      <c r="A208" s="54">
        <f>Calc_Daily!$A208</f>
        <v/>
      </c>
      <c r="B208">
        <f>IF(OR($A208&gt;cfg_LastDataDate,NOT(ISNUMBER(Calc_Daily!$CU208))),NA(),Calc_Daily!$CU208)</f>
        <v/>
      </c>
      <c r="C208">
        <f>Calc_Daily!$JT208/Calc_Daily!$D208</f>
        <v/>
      </c>
      <c r="D208">
        <f>IF(OR($A208&gt;cfg_LastDataDate,NOT(ISNUMBER(Calc_Daily!$EJ208))),NA(),Calc_Daily!$EJ208)</f>
        <v/>
      </c>
      <c r="E208">
        <f>Calc_Daily!$KQ208</f>
        <v/>
      </c>
      <c r="F208">
        <f>IF(OR($A208&gt;cfg_LastDataDate,NOT(ISNUMBER(Calc_Daily!$F208))),NA(),Calc_Daily!$F208)</f>
        <v/>
      </c>
      <c r="G208">
        <f>IF(OR($A208&gt;cfg_LastDataDate,NOT(ISNUMBER(Calc_Daily!$U208))),NA(),Calc_Daily!$U208)</f>
        <v/>
      </c>
      <c r="H208">
        <f>IF(OR($A208&gt;cfg_LastDataDate,NOT(ISNUMBER(Calc_Daily!$DZ208))),NA(),Calc_Daily!$DZ208)</f>
        <v/>
      </c>
      <c r="I208">
        <f>IF(OR($A208&gt;cfg_LastDataDate,NOT(ISNUMBER(Calc_Daily!$DT208))),NA(),Calc_Daily!$DT208)</f>
        <v/>
      </c>
      <c r="J208">
        <f>IF(OR($A208&gt;cfg_LastDataDate,NOT(ISNUMBER(Calc_Daily!$IP208))),NA(),Calc_Daily!$IP208)</f>
        <v/>
      </c>
      <c r="K208">
        <f>Calc_Daily!$KM208</f>
        <v/>
      </c>
    </row>
    <row r="209">
      <c r="A209" s="54">
        <f>Calc_Daily!$A209</f>
        <v/>
      </c>
      <c r="B209">
        <f>IF(OR($A209&gt;cfg_LastDataDate,NOT(ISNUMBER(Calc_Daily!$CU209))),NA(),Calc_Daily!$CU209)</f>
        <v/>
      </c>
      <c r="C209">
        <f>Calc_Daily!$JT209/Calc_Daily!$D209</f>
        <v/>
      </c>
      <c r="D209">
        <f>IF(OR($A209&gt;cfg_LastDataDate,NOT(ISNUMBER(Calc_Daily!$EJ209))),NA(),Calc_Daily!$EJ209)</f>
        <v/>
      </c>
      <c r="E209">
        <f>Calc_Daily!$KQ209</f>
        <v/>
      </c>
      <c r="F209">
        <f>IF(OR($A209&gt;cfg_LastDataDate,NOT(ISNUMBER(Calc_Daily!$F209))),NA(),Calc_Daily!$F209)</f>
        <v/>
      </c>
      <c r="G209">
        <f>IF(OR($A209&gt;cfg_LastDataDate,NOT(ISNUMBER(Calc_Daily!$U209))),NA(),Calc_Daily!$U209)</f>
        <v/>
      </c>
      <c r="H209">
        <f>IF(OR($A209&gt;cfg_LastDataDate,NOT(ISNUMBER(Calc_Daily!$DZ209))),NA(),Calc_Daily!$DZ209)</f>
        <v/>
      </c>
      <c r="I209">
        <f>IF(OR($A209&gt;cfg_LastDataDate,NOT(ISNUMBER(Calc_Daily!$DT209))),NA(),Calc_Daily!$DT209)</f>
        <v/>
      </c>
      <c r="J209">
        <f>IF(OR($A209&gt;cfg_LastDataDate,NOT(ISNUMBER(Calc_Daily!$IP209))),NA(),Calc_Daily!$IP209)</f>
        <v/>
      </c>
      <c r="K209">
        <f>Calc_Daily!$KM209</f>
        <v/>
      </c>
    </row>
    <row r="210">
      <c r="A210" s="54">
        <f>Calc_Daily!$A210</f>
        <v/>
      </c>
      <c r="B210">
        <f>IF(OR($A210&gt;cfg_LastDataDate,NOT(ISNUMBER(Calc_Daily!$CU210))),NA(),Calc_Daily!$CU210)</f>
        <v/>
      </c>
      <c r="C210">
        <f>Calc_Daily!$JT210/Calc_Daily!$D210</f>
        <v/>
      </c>
      <c r="D210">
        <f>IF(OR($A210&gt;cfg_LastDataDate,NOT(ISNUMBER(Calc_Daily!$EJ210))),NA(),Calc_Daily!$EJ210)</f>
        <v/>
      </c>
      <c r="E210">
        <f>Calc_Daily!$KQ210</f>
        <v/>
      </c>
      <c r="F210">
        <f>IF(OR($A210&gt;cfg_LastDataDate,NOT(ISNUMBER(Calc_Daily!$F210))),NA(),Calc_Daily!$F210)</f>
        <v/>
      </c>
      <c r="G210">
        <f>IF(OR($A210&gt;cfg_LastDataDate,NOT(ISNUMBER(Calc_Daily!$U210))),NA(),Calc_Daily!$U210)</f>
        <v/>
      </c>
      <c r="H210">
        <f>IF(OR($A210&gt;cfg_LastDataDate,NOT(ISNUMBER(Calc_Daily!$DZ210))),NA(),Calc_Daily!$DZ210)</f>
        <v/>
      </c>
      <c r="I210">
        <f>IF(OR($A210&gt;cfg_LastDataDate,NOT(ISNUMBER(Calc_Daily!$DT210))),NA(),Calc_Daily!$DT210)</f>
        <v/>
      </c>
      <c r="J210">
        <f>IF(OR($A210&gt;cfg_LastDataDate,NOT(ISNUMBER(Calc_Daily!$IP210))),NA(),Calc_Daily!$IP210)</f>
        <v/>
      </c>
      <c r="K210">
        <f>Calc_Daily!$KM210</f>
        <v/>
      </c>
    </row>
    <row r="211">
      <c r="A211" s="54">
        <f>Calc_Daily!$A211</f>
        <v/>
      </c>
      <c r="B211">
        <f>IF(OR($A211&gt;cfg_LastDataDate,NOT(ISNUMBER(Calc_Daily!$CU211))),NA(),Calc_Daily!$CU211)</f>
        <v/>
      </c>
      <c r="C211">
        <f>Calc_Daily!$JT211/Calc_Daily!$D211</f>
        <v/>
      </c>
      <c r="D211">
        <f>IF(OR($A211&gt;cfg_LastDataDate,NOT(ISNUMBER(Calc_Daily!$EJ211))),NA(),Calc_Daily!$EJ211)</f>
        <v/>
      </c>
      <c r="E211">
        <f>Calc_Daily!$KQ211</f>
        <v/>
      </c>
      <c r="F211">
        <f>IF(OR($A211&gt;cfg_LastDataDate,NOT(ISNUMBER(Calc_Daily!$F211))),NA(),Calc_Daily!$F211)</f>
        <v/>
      </c>
      <c r="G211">
        <f>IF(OR($A211&gt;cfg_LastDataDate,NOT(ISNUMBER(Calc_Daily!$U211))),NA(),Calc_Daily!$U211)</f>
        <v/>
      </c>
      <c r="H211">
        <f>IF(OR($A211&gt;cfg_LastDataDate,NOT(ISNUMBER(Calc_Daily!$DZ211))),NA(),Calc_Daily!$DZ211)</f>
        <v/>
      </c>
      <c r="I211">
        <f>IF(OR($A211&gt;cfg_LastDataDate,NOT(ISNUMBER(Calc_Daily!$DT211))),NA(),Calc_Daily!$DT211)</f>
        <v/>
      </c>
      <c r="J211">
        <f>IF(OR($A211&gt;cfg_LastDataDate,NOT(ISNUMBER(Calc_Daily!$IP211))),NA(),Calc_Daily!$IP211)</f>
        <v/>
      </c>
      <c r="K211">
        <f>Calc_Daily!$KM211</f>
        <v/>
      </c>
    </row>
    <row r="212">
      <c r="A212" s="54">
        <f>Calc_Daily!$A212</f>
        <v/>
      </c>
      <c r="B212">
        <f>IF(OR($A212&gt;cfg_LastDataDate,NOT(ISNUMBER(Calc_Daily!$CU212))),NA(),Calc_Daily!$CU212)</f>
        <v/>
      </c>
      <c r="C212">
        <f>Calc_Daily!$JT212/Calc_Daily!$D212</f>
        <v/>
      </c>
      <c r="D212">
        <f>IF(OR($A212&gt;cfg_LastDataDate,NOT(ISNUMBER(Calc_Daily!$EJ212))),NA(),Calc_Daily!$EJ212)</f>
        <v/>
      </c>
      <c r="E212">
        <f>Calc_Daily!$KQ212</f>
        <v/>
      </c>
      <c r="F212">
        <f>IF(OR($A212&gt;cfg_LastDataDate,NOT(ISNUMBER(Calc_Daily!$F212))),NA(),Calc_Daily!$F212)</f>
        <v/>
      </c>
      <c r="G212">
        <f>IF(OR($A212&gt;cfg_LastDataDate,NOT(ISNUMBER(Calc_Daily!$U212))),NA(),Calc_Daily!$U212)</f>
        <v/>
      </c>
      <c r="H212">
        <f>IF(OR($A212&gt;cfg_LastDataDate,NOT(ISNUMBER(Calc_Daily!$DZ212))),NA(),Calc_Daily!$DZ212)</f>
        <v/>
      </c>
      <c r="I212">
        <f>IF(OR($A212&gt;cfg_LastDataDate,NOT(ISNUMBER(Calc_Daily!$DT212))),NA(),Calc_Daily!$DT212)</f>
        <v/>
      </c>
      <c r="J212">
        <f>IF(OR($A212&gt;cfg_LastDataDate,NOT(ISNUMBER(Calc_Daily!$IP212))),NA(),Calc_Daily!$IP212)</f>
        <v/>
      </c>
      <c r="K212">
        <f>Calc_Daily!$KM212</f>
        <v/>
      </c>
    </row>
    <row r="213">
      <c r="A213" s="54">
        <f>Calc_Daily!$A213</f>
        <v/>
      </c>
      <c r="B213">
        <f>IF(OR($A213&gt;cfg_LastDataDate,NOT(ISNUMBER(Calc_Daily!$CU213))),NA(),Calc_Daily!$CU213)</f>
        <v/>
      </c>
      <c r="C213">
        <f>Calc_Daily!$JT213/Calc_Daily!$D213</f>
        <v/>
      </c>
      <c r="D213">
        <f>IF(OR($A213&gt;cfg_LastDataDate,NOT(ISNUMBER(Calc_Daily!$EJ213))),NA(),Calc_Daily!$EJ213)</f>
        <v/>
      </c>
      <c r="E213">
        <f>Calc_Daily!$KQ213</f>
        <v/>
      </c>
      <c r="F213">
        <f>IF(OR($A213&gt;cfg_LastDataDate,NOT(ISNUMBER(Calc_Daily!$F213))),NA(),Calc_Daily!$F213)</f>
        <v/>
      </c>
      <c r="G213">
        <f>IF(OR($A213&gt;cfg_LastDataDate,NOT(ISNUMBER(Calc_Daily!$U213))),NA(),Calc_Daily!$U213)</f>
        <v/>
      </c>
      <c r="H213">
        <f>IF(OR($A213&gt;cfg_LastDataDate,NOT(ISNUMBER(Calc_Daily!$DZ213))),NA(),Calc_Daily!$DZ213)</f>
        <v/>
      </c>
      <c r="I213">
        <f>IF(OR($A213&gt;cfg_LastDataDate,NOT(ISNUMBER(Calc_Daily!$DT213))),NA(),Calc_Daily!$DT213)</f>
        <v/>
      </c>
      <c r="J213">
        <f>IF(OR($A213&gt;cfg_LastDataDate,NOT(ISNUMBER(Calc_Daily!$IP213))),NA(),Calc_Daily!$IP213)</f>
        <v/>
      </c>
      <c r="K213">
        <f>Calc_Daily!$KM213</f>
        <v/>
      </c>
    </row>
    <row r="214">
      <c r="A214" s="54">
        <f>Calc_Daily!$A214</f>
        <v/>
      </c>
      <c r="B214">
        <f>IF(OR($A214&gt;cfg_LastDataDate,NOT(ISNUMBER(Calc_Daily!$CU214))),NA(),Calc_Daily!$CU214)</f>
        <v/>
      </c>
      <c r="C214">
        <f>Calc_Daily!$JT214/Calc_Daily!$D214</f>
        <v/>
      </c>
      <c r="D214">
        <f>IF(OR($A214&gt;cfg_LastDataDate,NOT(ISNUMBER(Calc_Daily!$EJ214))),NA(),Calc_Daily!$EJ214)</f>
        <v/>
      </c>
      <c r="E214">
        <f>Calc_Daily!$KQ214</f>
        <v/>
      </c>
      <c r="F214">
        <f>IF(OR($A214&gt;cfg_LastDataDate,NOT(ISNUMBER(Calc_Daily!$F214))),NA(),Calc_Daily!$F214)</f>
        <v/>
      </c>
      <c r="G214">
        <f>IF(OR($A214&gt;cfg_LastDataDate,NOT(ISNUMBER(Calc_Daily!$U214))),NA(),Calc_Daily!$U214)</f>
        <v/>
      </c>
      <c r="H214">
        <f>IF(OR($A214&gt;cfg_LastDataDate,NOT(ISNUMBER(Calc_Daily!$DZ214))),NA(),Calc_Daily!$DZ214)</f>
        <v/>
      </c>
      <c r="I214">
        <f>IF(OR($A214&gt;cfg_LastDataDate,NOT(ISNUMBER(Calc_Daily!$DT214))),NA(),Calc_Daily!$DT214)</f>
        <v/>
      </c>
      <c r="J214">
        <f>IF(OR($A214&gt;cfg_LastDataDate,NOT(ISNUMBER(Calc_Daily!$IP214))),NA(),Calc_Daily!$IP214)</f>
        <v/>
      </c>
      <c r="K214">
        <f>Calc_Daily!$KM214</f>
        <v/>
      </c>
    </row>
    <row r="215">
      <c r="A215" s="54">
        <f>Calc_Daily!$A215</f>
        <v/>
      </c>
      <c r="B215">
        <f>IF(OR($A215&gt;cfg_LastDataDate,NOT(ISNUMBER(Calc_Daily!$CU215))),NA(),Calc_Daily!$CU215)</f>
        <v/>
      </c>
      <c r="C215">
        <f>Calc_Daily!$JT215/Calc_Daily!$D215</f>
        <v/>
      </c>
      <c r="D215">
        <f>IF(OR($A215&gt;cfg_LastDataDate,NOT(ISNUMBER(Calc_Daily!$EJ215))),NA(),Calc_Daily!$EJ215)</f>
        <v/>
      </c>
      <c r="E215">
        <f>Calc_Daily!$KQ215</f>
        <v/>
      </c>
      <c r="F215">
        <f>IF(OR($A215&gt;cfg_LastDataDate,NOT(ISNUMBER(Calc_Daily!$F215))),NA(),Calc_Daily!$F215)</f>
        <v/>
      </c>
      <c r="G215">
        <f>IF(OR($A215&gt;cfg_LastDataDate,NOT(ISNUMBER(Calc_Daily!$U215))),NA(),Calc_Daily!$U215)</f>
        <v/>
      </c>
      <c r="H215">
        <f>IF(OR($A215&gt;cfg_LastDataDate,NOT(ISNUMBER(Calc_Daily!$DZ215))),NA(),Calc_Daily!$DZ215)</f>
        <v/>
      </c>
      <c r="I215">
        <f>IF(OR($A215&gt;cfg_LastDataDate,NOT(ISNUMBER(Calc_Daily!$DT215))),NA(),Calc_Daily!$DT215)</f>
        <v/>
      </c>
      <c r="J215">
        <f>IF(OR($A215&gt;cfg_LastDataDate,NOT(ISNUMBER(Calc_Daily!$IP215))),NA(),Calc_Daily!$IP215)</f>
        <v/>
      </c>
      <c r="K215">
        <f>Calc_Daily!$KM215</f>
        <v/>
      </c>
    </row>
    <row r="216">
      <c r="A216" s="54">
        <f>Calc_Daily!$A216</f>
        <v/>
      </c>
      <c r="B216">
        <f>IF(OR($A216&gt;cfg_LastDataDate,NOT(ISNUMBER(Calc_Daily!$CU216))),NA(),Calc_Daily!$CU216)</f>
        <v/>
      </c>
      <c r="C216">
        <f>Calc_Daily!$JT216/Calc_Daily!$D216</f>
        <v/>
      </c>
      <c r="D216">
        <f>IF(OR($A216&gt;cfg_LastDataDate,NOT(ISNUMBER(Calc_Daily!$EJ216))),NA(),Calc_Daily!$EJ216)</f>
        <v/>
      </c>
      <c r="E216">
        <f>Calc_Daily!$KQ216</f>
        <v/>
      </c>
      <c r="F216">
        <f>IF(OR($A216&gt;cfg_LastDataDate,NOT(ISNUMBER(Calc_Daily!$F216))),NA(),Calc_Daily!$F216)</f>
        <v/>
      </c>
      <c r="G216">
        <f>IF(OR($A216&gt;cfg_LastDataDate,NOT(ISNUMBER(Calc_Daily!$U216))),NA(),Calc_Daily!$U216)</f>
        <v/>
      </c>
      <c r="H216">
        <f>IF(OR($A216&gt;cfg_LastDataDate,NOT(ISNUMBER(Calc_Daily!$DZ216))),NA(),Calc_Daily!$DZ216)</f>
        <v/>
      </c>
      <c r="I216">
        <f>IF(OR($A216&gt;cfg_LastDataDate,NOT(ISNUMBER(Calc_Daily!$DT216))),NA(),Calc_Daily!$DT216)</f>
        <v/>
      </c>
      <c r="J216">
        <f>IF(OR($A216&gt;cfg_LastDataDate,NOT(ISNUMBER(Calc_Daily!$IP216))),NA(),Calc_Daily!$IP216)</f>
        <v/>
      </c>
      <c r="K216">
        <f>Calc_Daily!$KM216</f>
        <v/>
      </c>
    </row>
    <row r="217">
      <c r="A217" s="54">
        <f>Calc_Daily!$A217</f>
        <v/>
      </c>
      <c r="B217">
        <f>IF(OR($A217&gt;cfg_LastDataDate,NOT(ISNUMBER(Calc_Daily!$CU217))),NA(),Calc_Daily!$CU217)</f>
        <v/>
      </c>
      <c r="C217">
        <f>Calc_Daily!$JT217/Calc_Daily!$D217</f>
        <v/>
      </c>
      <c r="D217">
        <f>IF(OR($A217&gt;cfg_LastDataDate,NOT(ISNUMBER(Calc_Daily!$EJ217))),NA(),Calc_Daily!$EJ217)</f>
        <v/>
      </c>
      <c r="E217">
        <f>Calc_Daily!$KQ217</f>
        <v/>
      </c>
      <c r="F217">
        <f>IF(OR($A217&gt;cfg_LastDataDate,NOT(ISNUMBER(Calc_Daily!$F217))),NA(),Calc_Daily!$F217)</f>
        <v/>
      </c>
      <c r="G217">
        <f>IF(OR($A217&gt;cfg_LastDataDate,NOT(ISNUMBER(Calc_Daily!$U217))),NA(),Calc_Daily!$U217)</f>
        <v/>
      </c>
      <c r="H217">
        <f>IF(OR($A217&gt;cfg_LastDataDate,NOT(ISNUMBER(Calc_Daily!$DZ217))),NA(),Calc_Daily!$DZ217)</f>
        <v/>
      </c>
      <c r="I217">
        <f>IF(OR($A217&gt;cfg_LastDataDate,NOT(ISNUMBER(Calc_Daily!$DT217))),NA(),Calc_Daily!$DT217)</f>
        <v/>
      </c>
      <c r="J217">
        <f>IF(OR($A217&gt;cfg_LastDataDate,NOT(ISNUMBER(Calc_Daily!$IP217))),NA(),Calc_Daily!$IP217)</f>
        <v/>
      </c>
      <c r="K217">
        <f>Calc_Daily!$KM217</f>
        <v/>
      </c>
    </row>
    <row r="218">
      <c r="A218" s="54">
        <f>Calc_Daily!$A218</f>
        <v/>
      </c>
      <c r="B218">
        <f>IF(OR($A218&gt;cfg_LastDataDate,NOT(ISNUMBER(Calc_Daily!$CU218))),NA(),Calc_Daily!$CU218)</f>
        <v/>
      </c>
      <c r="C218">
        <f>Calc_Daily!$JT218/Calc_Daily!$D218</f>
        <v/>
      </c>
      <c r="D218">
        <f>IF(OR($A218&gt;cfg_LastDataDate,NOT(ISNUMBER(Calc_Daily!$EJ218))),NA(),Calc_Daily!$EJ218)</f>
        <v/>
      </c>
      <c r="E218">
        <f>Calc_Daily!$KQ218</f>
        <v/>
      </c>
      <c r="F218">
        <f>IF(OR($A218&gt;cfg_LastDataDate,NOT(ISNUMBER(Calc_Daily!$F218))),NA(),Calc_Daily!$F218)</f>
        <v/>
      </c>
      <c r="G218">
        <f>IF(OR($A218&gt;cfg_LastDataDate,NOT(ISNUMBER(Calc_Daily!$U218))),NA(),Calc_Daily!$U218)</f>
        <v/>
      </c>
      <c r="H218">
        <f>IF(OR($A218&gt;cfg_LastDataDate,NOT(ISNUMBER(Calc_Daily!$DZ218))),NA(),Calc_Daily!$DZ218)</f>
        <v/>
      </c>
      <c r="I218">
        <f>IF(OR($A218&gt;cfg_LastDataDate,NOT(ISNUMBER(Calc_Daily!$DT218))),NA(),Calc_Daily!$DT218)</f>
        <v/>
      </c>
      <c r="J218">
        <f>IF(OR($A218&gt;cfg_LastDataDate,NOT(ISNUMBER(Calc_Daily!$IP218))),NA(),Calc_Daily!$IP218)</f>
        <v/>
      </c>
      <c r="K218">
        <f>Calc_Daily!$KM218</f>
        <v/>
      </c>
    </row>
    <row r="219">
      <c r="A219" s="54">
        <f>Calc_Daily!$A219</f>
        <v/>
      </c>
      <c r="B219">
        <f>IF(OR($A219&gt;cfg_LastDataDate,NOT(ISNUMBER(Calc_Daily!$CU219))),NA(),Calc_Daily!$CU219)</f>
        <v/>
      </c>
      <c r="C219">
        <f>Calc_Daily!$JT219/Calc_Daily!$D219</f>
        <v/>
      </c>
      <c r="D219">
        <f>IF(OR($A219&gt;cfg_LastDataDate,NOT(ISNUMBER(Calc_Daily!$EJ219))),NA(),Calc_Daily!$EJ219)</f>
        <v/>
      </c>
      <c r="E219">
        <f>Calc_Daily!$KQ219</f>
        <v/>
      </c>
      <c r="F219">
        <f>IF(OR($A219&gt;cfg_LastDataDate,NOT(ISNUMBER(Calc_Daily!$F219))),NA(),Calc_Daily!$F219)</f>
        <v/>
      </c>
      <c r="G219">
        <f>IF(OR($A219&gt;cfg_LastDataDate,NOT(ISNUMBER(Calc_Daily!$U219))),NA(),Calc_Daily!$U219)</f>
        <v/>
      </c>
      <c r="H219">
        <f>IF(OR($A219&gt;cfg_LastDataDate,NOT(ISNUMBER(Calc_Daily!$DZ219))),NA(),Calc_Daily!$DZ219)</f>
        <v/>
      </c>
      <c r="I219">
        <f>IF(OR($A219&gt;cfg_LastDataDate,NOT(ISNUMBER(Calc_Daily!$DT219))),NA(),Calc_Daily!$DT219)</f>
        <v/>
      </c>
      <c r="J219">
        <f>IF(OR($A219&gt;cfg_LastDataDate,NOT(ISNUMBER(Calc_Daily!$IP219))),NA(),Calc_Daily!$IP219)</f>
        <v/>
      </c>
      <c r="K219">
        <f>Calc_Daily!$KM219</f>
        <v/>
      </c>
    </row>
    <row r="220">
      <c r="A220" s="54">
        <f>Calc_Daily!$A220</f>
        <v/>
      </c>
      <c r="B220">
        <f>IF(OR($A220&gt;cfg_LastDataDate,NOT(ISNUMBER(Calc_Daily!$CU220))),NA(),Calc_Daily!$CU220)</f>
        <v/>
      </c>
      <c r="C220">
        <f>Calc_Daily!$JT220/Calc_Daily!$D220</f>
        <v/>
      </c>
      <c r="D220">
        <f>IF(OR($A220&gt;cfg_LastDataDate,NOT(ISNUMBER(Calc_Daily!$EJ220))),NA(),Calc_Daily!$EJ220)</f>
        <v/>
      </c>
      <c r="E220">
        <f>Calc_Daily!$KQ220</f>
        <v/>
      </c>
      <c r="F220">
        <f>IF(OR($A220&gt;cfg_LastDataDate,NOT(ISNUMBER(Calc_Daily!$F220))),NA(),Calc_Daily!$F220)</f>
        <v/>
      </c>
      <c r="G220">
        <f>IF(OR($A220&gt;cfg_LastDataDate,NOT(ISNUMBER(Calc_Daily!$U220))),NA(),Calc_Daily!$U220)</f>
        <v/>
      </c>
      <c r="H220">
        <f>IF(OR($A220&gt;cfg_LastDataDate,NOT(ISNUMBER(Calc_Daily!$DZ220))),NA(),Calc_Daily!$DZ220)</f>
        <v/>
      </c>
      <c r="I220">
        <f>IF(OR($A220&gt;cfg_LastDataDate,NOT(ISNUMBER(Calc_Daily!$DT220))),NA(),Calc_Daily!$DT220)</f>
        <v/>
      </c>
      <c r="J220">
        <f>IF(OR($A220&gt;cfg_LastDataDate,NOT(ISNUMBER(Calc_Daily!$IP220))),NA(),Calc_Daily!$IP220)</f>
        <v/>
      </c>
      <c r="K220">
        <f>Calc_Daily!$KM220</f>
        <v/>
      </c>
    </row>
    <row r="221">
      <c r="A221" s="54">
        <f>Calc_Daily!$A221</f>
        <v/>
      </c>
      <c r="B221">
        <f>IF(OR($A221&gt;cfg_LastDataDate,NOT(ISNUMBER(Calc_Daily!$CU221))),NA(),Calc_Daily!$CU221)</f>
        <v/>
      </c>
      <c r="C221">
        <f>Calc_Daily!$JT221/Calc_Daily!$D221</f>
        <v/>
      </c>
      <c r="D221">
        <f>IF(OR($A221&gt;cfg_LastDataDate,NOT(ISNUMBER(Calc_Daily!$EJ221))),NA(),Calc_Daily!$EJ221)</f>
        <v/>
      </c>
      <c r="E221">
        <f>Calc_Daily!$KQ221</f>
        <v/>
      </c>
      <c r="F221">
        <f>IF(OR($A221&gt;cfg_LastDataDate,NOT(ISNUMBER(Calc_Daily!$F221))),NA(),Calc_Daily!$F221)</f>
        <v/>
      </c>
      <c r="G221">
        <f>IF(OR($A221&gt;cfg_LastDataDate,NOT(ISNUMBER(Calc_Daily!$U221))),NA(),Calc_Daily!$U221)</f>
        <v/>
      </c>
      <c r="H221">
        <f>IF(OR($A221&gt;cfg_LastDataDate,NOT(ISNUMBER(Calc_Daily!$DZ221))),NA(),Calc_Daily!$DZ221)</f>
        <v/>
      </c>
      <c r="I221">
        <f>IF(OR($A221&gt;cfg_LastDataDate,NOT(ISNUMBER(Calc_Daily!$DT221))),NA(),Calc_Daily!$DT221)</f>
        <v/>
      </c>
      <c r="J221">
        <f>IF(OR($A221&gt;cfg_LastDataDate,NOT(ISNUMBER(Calc_Daily!$IP221))),NA(),Calc_Daily!$IP221)</f>
        <v/>
      </c>
      <c r="K221">
        <f>Calc_Daily!$KM221</f>
        <v/>
      </c>
    </row>
    <row r="222">
      <c r="A222" s="54">
        <f>Calc_Daily!$A222</f>
        <v/>
      </c>
      <c r="B222">
        <f>IF(OR($A222&gt;cfg_LastDataDate,NOT(ISNUMBER(Calc_Daily!$CU222))),NA(),Calc_Daily!$CU222)</f>
        <v/>
      </c>
      <c r="C222">
        <f>Calc_Daily!$JT222/Calc_Daily!$D222</f>
        <v/>
      </c>
      <c r="D222">
        <f>IF(OR($A222&gt;cfg_LastDataDate,NOT(ISNUMBER(Calc_Daily!$EJ222))),NA(),Calc_Daily!$EJ222)</f>
        <v/>
      </c>
      <c r="E222">
        <f>Calc_Daily!$KQ222</f>
        <v/>
      </c>
      <c r="F222">
        <f>IF(OR($A222&gt;cfg_LastDataDate,NOT(ISNUMBER(Calc_Daily!$F222))),NA(),Calc_Daily!$F222)</f>
        <v/>
      </c>
      <c r="G222">
        <f>IF(OR($A222&gt;cfg_LastDataDate,NOT(ISNUMBER(Calc_Daily!$U222))),NA(),Calc_Daily!$U222)</f>
        <v/>
      </c>
      <c r="H222">
        <f>IF(OR($A222&gt;cfg_LastDataDate,NOT(ISNUMBER(Calc_Daily!$DZ222))),NA(),Calc_Daily!$DZ222)</f>
        <v/>
      </c>
      <c r="I222">
        <f>IF(OR($A222&gt;cfg_LastDataDate,NOT(ISNUMBER(Calc_Daily!$DT222))),NA(),Calc_Daily!$DT222)</f>
        <v/>
      </c>
      <c r="J222">
        <f>IF(OR($A222&gt;cfg_LastDataDate,NOT(ISNUMBER(Calc_Daily!$IP222))),NA(),Calc_Daily!$IP222)</f>
        <v/>
      </c>
      <c r="K222">
        <f>Calc_Daily!$KM222</f>
        <v/>
      </c>
    </row>
    <row r="223">
      <c r="A223" s="54">
        <f>Calc_Daily!$A223</f>
        <v/>
      </c>
      <c r="B223">
        <f>IF(OR($A223&gt;cfg_LastDataDate,NOT(ISNUMBER(Calc_Daily!$CU223))),NA(),Calc_Daily!$CU223)</f>
        <v/>
      </c>
      <c r="C223">
        <f>Calc_Daily!$JT223/Calc_Daily!$D223</f>
        <v/>
      </c>
      <c r="D223">
        <f>IF(OR($A223&gt;cfg_LastDataDate,NOT(ISNUMBER(Calc_Daily!$EJ223))),NA(),Calc_Daily!$EJ223)</f>
        <v/>
      </c>
      <c r="E223">
        <f>Calc_Daily!$KQ223</f>
        <v/>
      </c>
      <c r="F223">
        <f>IF(OR($A223&gt;cfg_LastDataDate,NOT(ISNUMBER(Calc_Daily!$F223))),NA(),Calc_Daily!$F223)</f>
        <v/>
      </c>
      <c r="G223">
        <f>IF(OR($A223&gt;cfg_LastDataDate,NOT(ISNUMBER(Calc_Daily!$U223))),NA(),Calc_Daily!$U223)</f>
        <v/>
      </c>
      <c r="H223">
        <f>IF(OR($A223&gt;cfg_LastDataDate,NOT(ISNUMBER(Calc_Daily!$DZ223))),NA(),Calc_Daily!$DZ223)</f>
        <v/>
      </c>
      <c r="I223">
        <f>IF(OR($A223&gt;cfg_LastDataDate,NOT(ISNUMBER(Calc_Daily!$DT223))),NA(),Calc_Daily!$DT223)</f>
        <v/>
      </c>
      <c r="J223">
        <f>IF(OR($A223&gt;cfg_LastDataDate,NOT(ISNUMBER(Calc_Daily!$IP223))),NA(),Calc_Daily!$IP223)</f>
        <v/>
      </c>
      <c r="K223">
        <f>Calc_Daily!$KM223</f>
        <v/>
      </c>
    </row>
    <row r="224">
      <c r="A224" s="54">
        <f>Calc_Daily!$A224</f>
        <v/>
      </c>
      <c r="B224">
        <f>IF(OR($A224&gt;cfg_LastDataDate,NOT(ISNUMBER(Calc_Daily!$CU224))),NA(),Calc_Daily!$CU224)</f>
        <v/>
      </c>
      <c r="C224">
        <f>Calc_Daily!$JT224/Calc_Daily!$D224</f>
        <v/>
      </c>
      <c r="D224">
        <f>IF(OR($A224&gt;cfg_LastDataDate,NOT(ISNUMBER(Calc_Daily!$EJ224))),NA(),Calc_Daily!$EJ224)</f>
        <v/>
      </c>
      <c r="E224">
        <f>Calc_Daily!$KQ224</f>
        <v/>
      </c>
      <c r="F224">
        <f>IF(OR($A224&gt;cfg_LastDataDate,NOT(ISNUMBER(Calc_Daily!$F224))),NA(),Calc_Daily!$F224)</f>
        <v/>
      </c>
      <c r="G224">
        <f>IF(OR($A224&gt;cfg_LastDataDate,NOT(ISNUMBER(Calc_Daily!$U224))),NA(),Calc_Daily!$U224)</f>
        <v/>
      </c>
      <c r="H224">
        <f>IF(OR($A224&gt;cfg_LastDataDate,NOT(ISNUMBER(Calc_Daily!$DZ224))),NA(),Calc_Daily!$DZ224)</f>
        <v/>
      </c>
      <c r="I224">
        <f>IF(OR($A224&gt;cfg_LastDataDate,NOT(ISNUMBER(Calc_Daily!$DT224))),NA(),Calc_Daily!$DT224)</f>
        <v/>
      </c>
      <c r="J224">
        <f>IF(OR($A224&gt;cfg_LastDataDate,NOT(ISNUMBER(Calc_Daily!$IP224))),NA(),Calc_Daily!$IP224)</f>
        <v/>
      </c>
      <c r="K224">
        <f>Calc_Daily!$KM224</f>
        <v/>
      </c>
    </row>
    <row r="225">
      <c r="A225" s="54">
        <f>Calc_Daily!$A225</f>
        <v/>
      </c>
      <c r="B225">
        <f>IF(OR($A225&gt;cfg_LastDataDate,NOT(ISNUMBER(Calc_Daily!$CU225))),NA(),Calc_Daily!$CU225)</f>
        <v/>
      </c>
      <c r="C225">
        <f>Calc_Daily!$JT225/Calc_Daily!$D225</f>
        <v/>
      </c>
      <c r="D225">
        <f>IF(OR($A225&gt;cfg_LastDataDate,NOT(ISNUMBER(Calc_Daily!$EJ225))),NA(),Calc_Daily!$EJ225)</f>
        <v/>
      </c>
      <c r="E225">
        <f>Calc_Daily!$KQ225</f>
        <v/>
      </c>
      <c r="F225">
        <f>IF(OR($A225&gt;cfg_LastDataDate,NOT(ISNUMBER(Calc_Daily!$F225))),NA(),Calc_Daily!$F225)</f>
        <v/>
      </c>
      <c r="G225">
        <f>IF(OR($A225&gt;cfg_LastDataDate,NOT(ISNUMBER(Calc_Daily!$U225))),NA(),Calc_Daily!$U225)</f>
        <v/>
      </c>
      <c r="H225">
        <f>IF(OR($A225&gt;cfg_LastDataDate,NOT(ISNUMBER(Calc_Daily!$DZ225))),NA(),Calc_Daily!$DZ225)</f>
        <v/>
      </c>
      <c r="I225">
        <f>IF(OR($A225&gt;cfg_LastDataDate,NOT(ISNUMBER(Calc_Daily!$DT225))),NA(),Calc_Daily!$DT225)</f>
        <v/>
      </c>
      <c r="J225">
        <f>IF(OR($A225&gt;cfg_LastDataDate,NOT(ISNUMBER(Calc_Daily!$IP225))),NA(),Calc_Daily!$IP225)</f>
        <v/>
      </c>
      <c r="K225">
        <f>Calc_Daily!$KM225</f>
        <v/>
      </c>
    </row>
    <row r="226">
      <c r="A226" s="54">
        <f>Calc_Daily!$A226</f>
        <v/>
      </c>
      <c r="B226">
        <f>IF(OR($A226&gt;cfg_LastDataDate,NOT(ISNUMBER(Calc_Daily!$CU226))),NA(),Calc_Daily!$CU226)</f>
        <v/>
      </c>
      <c r="C226">
        <f>Calc_Daily!$JT226/Calc_Daily!$D226</f>
        <v/>
      </c>
      <c r="D226">
        <f>IF(OR($A226&gt;cfg_LastDataDate,NOT(ISNUMBER(Calc_Daily!$EJ226))),NA(),Calc_Daily!$EJ226)</f>
        <v/>
      </c>
      <c r="E226">
        <f>Calc_Daily!$KQ226</f>
        <v/>
      </c>
      <c r="F226">
        <f>IF(OR($A226&gt;cfg_LastDataDate,NOT(ISNUMBER(Calc_Daily!$F226))),NA(),Calc_Daily!$F226)</f>
        <v/>
      </c>
      <c r="G226">
        <f>IF(OR($A226&gt;cfg_LastDataDate,NOT(ISNUMBER(Calc_Daily!$U226))),NA(),Calc_Daily!$U226)</f>
        <v/>
      </c>
      <c r="H226">
        <f>IF(OR($A226&gt;cfg_LastDataDate,NOT(ISNUMBER(Calc_Daily!$DZ226))),NA(),Calc_Daily!$DZ226)</f>
        <v/>
      </c>
      <c r="I226">
        <f>IF(OR($A226&gt;cfg_LastDataDate,NOT(ISNUMBER(Calc_Daily!$DT226))),NA(),Calc_Daily!$DT226)</f>
        <v/>
      </c>
      <c r="J226">
        <f>IF(OR($A226&gt;cfg_LastDataDate,NOT(ISNUMBER(Calc_Daily!$IP226))),NA(),Calc_Daily!$IP226)</f>
        <v/>
      </c>
      <c r="K226">
        <f>Calc_Daily!$KM226</f>
        <v/>
      </c>
    </row>
    <row r="227">
      <c r="A227" s="54">
        <f>Calc_Daily!$A227</f>
        <v/>
      </c>
      <c r="B227">
        <f>IF(OR($A227&gt;cfg_LastDataDate,NOT(ISNUMBER(Calc_Daily!$CU227))),NA(),Calc_Daily!$CU227)</f>
        <v/>
      </c>
      <c r="C227">
        <f>Calc_Daily!$JT227/Calc_Daily!$D227</f>
        <v/>
      </c>
      <c r="D227">
        <f>IF(OR($A227&gt;cfg_LastDataDate,NOT(ISNUMBER(Calc_Daily!$EJ227))),NA(),Calc_Daily!$EJ227)</f>
        <v/>
      </c>
      <c r="E227">
        <f>Calc_Daily!$KQ227</f>
        <v/>
      </c>
      <c r="F227">
        <f>IF(OR($A227&gt;cfg_LastDataDate,NOT(ISNUMBER(Calc_Daily!$F227))),NA(),Calc_Daily!$F227)</f>
        <v/>
      </c>
      <c r="G227">
        <f>IF(OR($A227&gt;cfg_LastDataDate,NOT(ISNUMBER(Calc_Daily!$U227))),NA(),Calc_Daily!$U227)</f>
        <v/>
      </c>
      <c r="H227">
        <f>IF(OR($A227&gt;cfg_LastDataDate,NOT(ISNUMBER(Calc_Daily!$DZ227))),NA(),Calc_Daily!$DZ227)</f>
        <v/>
      </c>
      <c r="I227">
        <f>IF(OR($A227&gt;cfg_LastDataDate,NOT(ISNUMBER(Calc_Daily!$DT227))),NA(),Calc_Daily!$DT227)</f>
        <v/>
      </c>
      <c r="J227">
        <f>IF(OR($A227&gt;cfg_LastDataDate,NOT(ISNUMBER(Calc_Daily!$IP227))),NA(),Calc_Daily!$IP227)</f>
        <v/>
      </c>
      <c r="K227">
        <f>Calc_Daily!$KM227</f>
        <v/>
      </c>
    </row>
    <row r="228">
      <c r="A228" s="54">
        <f>Calc_Daily!$A228</f>
        <v/>
      </c>
      <c r="B228">
        <f>IF(OR($A228&gt;cfg_LastDataDate,NOT(ISNUMBER(Calc_Daily!$CU228))),NA(),Calc_Daily!$CU228)</f>
        <v/>
      </c>
      <c r="C228">
        <f>Calc_Daily!$JT228/Calc_Daily!$D228</f>
        <v/>
      </c>
      <c r="D228">
        <f>IF(OR($A228&gt;cfg_LastDataDate,NOT(ISNUMBER(Calc_Daily!$EJ228))),NA(),Calc_Daily!$EJ228)</f>
        <v/>
      </c>
      <c r="E228">
        <f>Calc_Daily!$KQ228</f>
        <v/>
      </c>
      <c r="F228">
        <f>IF(OR($A228&gt;cfg_LastDataDate,NOT(ISNUMBER(Calc_Daily!$F228))),NA(),Calc_Daily!$F228)</f>
        <v/>
      </c>
      <c r="G228">
        <f>IF(OR($A228&gt;cfg_LastDataDate,NOT(ISNUMBER(Calc_Daily!$U228))),NA(),Calc_Daily!$U228)</f>
        <v/>
      </c>
      <c r="H228">
        <f>IF(OR($A228&gt;cfg_LastDataDate,NOT(ISNUMBER(Calc_Daily!$DZ228))),NA(),Calc_Daily!$DZ228)</f>
        <v/>
      </c>
      <c r="I228">
        <f>IF(OR($A228&gt;cfg_LastDataDate,NOT(ISNUMBER(Calc_Daily!$DT228))),NA(),Calc_Daily!$DT228)</f>
        <v/>
      </c>
      <c r="J228">
        <f>IF(OR($A228&gt;cfg_LastDataDate,NOT(ISNUMBER(Calc_Daily!$IP228))),NA(),Calc_Daily!$IP228)</f>
        <v/>
      </c>
      <c r="K228">
        <f>Calc_Daily!$KM228</f>
        <v/>
      </c>
    </row>
    <row r="229">
      <c r="A229" s="54">
        <f>Calc_Daily!$A229</f>
        <v/>
      </c>
      <c r="B229">
        <f>IF(OR($A229&gt;cfg_LastDataDate,NOT(ISNUMBER(Calc_Daily!$CU229))),NA(),Calc_Daily!$CU229)</f>
        <v/>
      </c>
      <c r="C229">
        <f>Calc_Daily!$JT229/Calc_Daily!$D229</f>
        <v/>
      </c>
      <c r="D229">
        <f>IF(OR($A229&gt;cfg_LastDataDate,NOT(ISNUMBER(Calc_Daily!$EJ229))),NA(),Calc_Daily!$EJ229)</f>
        <v/>
      </c>
      <c r="E229">
        <f>Calc_Daily!$KQ229</f>
        <v/>
      </c>
      <c r="F229">
        <f>IF(OR($A229&gt;cfg_LastDataDate,NOT(ISNUMBER(Calc_Daily!$F229))),NA(),Calc_Daily!$F229)</f>
        <v/>
      </c>
      <c r="G229">
        <f>IF(OR($A229&gt;cfg_LastDataDate,NOT(ISNUMBER(Calc_Daily!$U229))),NA(),Calc_Daily!$U229)</f>
        <v/>
      </c>
      <c r="H229">
        <f>IF(OR($A229&gt;cfg_LastDataDate,NOT(ISNUMBER(Calc_Daily!$DZ229))),NA(),Calc_Daily!$DZ229)</f>
        <v/>
      </c>
      <c r="I229">
        <f>IF(OR($A229&gt;cfg_LastDataDate,NOT(ISNUMBER(Calc_Daily!$DT229))),NA(),Calc_Daily!$DT229)</f>
        <v/>
      </c>
      <c r="J229">
        <f>IF(OR($A229&gt;cfg_LastDataDate,NOT(ISNUMBER(Calc_Daily!$IP229))),NA(),Calc_Daily!$IP229)</f>
        <v/>
      </c>
      <c r="K229">
        <f>Calc_Daily!$KM229</f>
        <v/>
      </c>
    </row>
    <row r="230">
      <c r="A230" s="54">
        <f>Calc_Daily!$A230</f>
        <v/>
      </c>
      <c r="B230">
        <f>IF(OR($A230&gt;cfg_LastDataDate,NOT(ISNUMBER(Calc_Daily!$CU230))),NA(),Calc_Daily!$CU230)</f>
        <v/>
      </c>
      <c r="C230">
        <f>Calc_Daily!$JT230/Calc_Daily!$D230</f>
        <v/>
      </c>
      <c r="D230">
        <f>IF(OR($A230&gt;cfg_LastDataDate,NOT(ISNUMBER(Calc_Daily!$EJ230))),NA(),Calc_Daily!$EJ230)</f>
        <v/>
      </c>
      <c r="E230">
        <f>Calc_Daily!$KQ230</f>
        <v/>
      </c>
      <c r="F230">
        <f>IF(OR($A230&gt;cfg_LastDataDate,NOT(ISNUMBER(Calc_Daily!$F230))),NA(),Calc_Daily!$F230)</f>
        <v/>
      </c>
      <c r="G230">
        <f>IF(OR($A230&gt;cfg_LastDataDate,NOT(ISNUMBER(Calc_Daily!$U230))),NA(),Calc_Daily!$U230)</f>
        <v/>
      </c>
      <c r="H230">
        <f>IF(OR($A230&gt;cfg_LastDataDate,NOT(ISNUMBER(Calc_Daily!$DZ230))),NA(),Calc_Daily!$DZ230)</f>
        <v/>
      </c>
      <c r="I230">
        <f>IF(OR($A230&gt;cfg_LastDataDate,NOT(ISNUMBER(Calc_Daily!$DT230))),NA(),Calc_Daily!$DT230)</f>
        <v/>
      </c>
      <c r="J230">
        <f>IF(OR($A230&gt;cfg_LastDataDate,NOT(ISNUMBER(Calc_Daily!$IP230))),NA(),Calc_Daily!$IP230)</f>
        <v/>
      </c>
      <c r="K230">
        <f>Calc_Daily!$KM230</f>
        <v/>
      </c>
    </row>
    <row r="231">
      <c r="A231" s="54">
        <f>Calc_Daily!$A231</f>
        <v/>
      </c>
      <c r="B231">
        <f>IF(OR($A231&gt;cfg_LastDataDate,NOT(ISNUMBER(Calc_Daily!$CU231))),NA(),Calc_Daily!$CU231)</f>
        <v/>
      </c>
      <c r="C231">
        <f>Calc_Daily!$JT231/Calc_Daily!$D231</f>
        <v/>
      </c>
      <c r="D231">
        <f>IF(OR($A231&gt;cfg_LastDataDate,NOT(ISNUMBER(Calc_Daily!$EJ231))),NA(),Calc_Daily!$EJ231)</f>
        <v/>
      </c>
      <c r="E231">
        <f>Calc_Daily!$KQ231</f>
        <v/>
      </c>
      <c r="F231">
        <f>IF(OR($A231&gt;cfg_LastDataDate,NOT(ISNUMBER(Calc_Daily!$F231))),NA(),Calc_Daily!$F231)</f>
        <v/>
      </c>
      <c r="G231">
        <f>IF(OR($A231&gt;cfg_LastDataDate,NOT(ISNUMBER(Calc_Daily!$U231))),NA(),Calc_Daily!$U231)</f>
        <v/>
      </c>
      <c r="H231">
        <f>IF(OR($A231&gt;cfg_LastDataDate,NOT(ISNUMBER(Calc_Daily!$DZ231))),NA(),Calc_Daily!$DZ231)</f>
        <v/>
      </c>
      <c r="I231">
        <f>IF(OR($A231&gt;cfg_LastDataDate,NOT(ISNUMBER(Calc_Daily!$DT231))),NA(),Calc_Daily!$DT231)</f>
        <v/>
      </c>
      <c r="J231">
        <f>IF(OR($A231&gt;cfg_LastDataDate,NOT(ISNUMBER(Calc_Daily!$IP231))),NA(),Calc_Daily!$IP231)</f>
        <v/>
      </c>
      <c r="K231">
        <f>Calc_Daily!$KM231</f>
        <v/>
      </c>
    </row>
    <row r="232">
      <c r="A232" s="54">
        <f>Calc_Daily!$A232</f>
        <v/>
      </c>
      <c r="B232">
        <f>IF(OR($A232&gt;cfg_LastDataDate,NOT(ISNUMBER(Calc_Daily!$CU232))),NA(),Calc_Daily!$CU232)</f>
        <v/>
      </c>
      <c r="C232">
        <f>Calc_Daily!$JT232/Calc_Daily!$D232</f>
        <v/>
      </c>
      <c r="D232">
        <f>IF(OR($A232&gt;cfg_LastDataDate,NOT(ISNUMBER(Calc_Daily!$EJ232))),NA(),Calc_Daily!$EJ232)</f>
        <v/>
      </c>
      <c r="E232">
        <f>Calc_Daily!$KQ232</f>
        <v/>
      </c>
      <c r="F232">
        <f>IF(OR($A232&gt;cfg_LastDataDate,NOT(ISNUMBER(Calc_Daily!$F232))),NA(),Calc_Daily!$F232)</f>
        <v/>
      </c>
      <c r="G232">
        <f>IF(OR($A232&gt;cfg_LastDataDate,NOT(ISNUMBER(Calc_Daily!$U232))),NA(),Calc_Daily!$U232)</f>
        <v/>
      </c>
      <c r="H232">
        <f>IF(OR($A232&gt;cfg_LastDataDate,NOT(ISNUMBER(Calc_Daily!$DZ232))),NA(),Calc_Daily!$DZ232)</f>
        <v/>
      </c>
      <c r="I232">
        <f>IF(OR($A232&gt;cfg_LastDataDate,NOT(ISNUMBER(Calc_Daily!$DT232))),NA(),Calc_Daily!$DT232)</f>
        <v/>
      </c>
      <c r="J232">
        <f>IF(OR($A232&gt;cfg_LastDataDate,NOT(ISNUMBER(Calc_Daily!$IP232))),NA(),Calc_Daily!$IP232)</f>
        <v/>
      </c>
      <c r="K232">
        <f>Calc_Daily!$KM232</f>
        <v/>
      </c>
    </row>
    <row r="233">
      <c r="A233" s="54">
        <f>Calc_Daily!$A233</f>
        <v/>
      </c>
      <c r="B233">
        <f>IF(OR($A233&gt;cfg_LastDataDate,NOT(ISNUMBER(Calc_Daily!$CU233))),NA(),Calc_Daily!$CU233)</f>
        <v/>
      </c>
      <c r="C233">
        <f>Calc_Daily!$JT233/Calc_Daily!$D233</f>
        <v/>
      </c>
      <c r="D233">
        <f>IF(OR($A233&gt;cfg_LastDataDate,NOT(ISNUMBER(Calc_Daily!$EJ233))),NA(),Calc_Daily!$EJ233)</f>
        <v/>
      </c>
      <c r="E233">
        <f>Calc_Daily!$KQ233</f>
        <v/>
      </c>
      <c r="F233">
        <f>IF(OR($A233&gt;cfg_LastDataDate,NOT(ISNUMBER(Calc_Daily!$F233))),NA(),Calc_Daily!$F233)</f>
        <v/>
      </c>
      <c r="G233">
        <f>IF(OR($A233&gt;cfg_LastDataDate,NOT(ISNUMBER(Calc_Daily!$U233))),NA(),Calc_Daily!$U233)</f>
        <v/>
      </c>
      <c r="H233">
        <f>IF(OR($A233&gt;cfg_LastDataDate,NOT(ISNUMBER(Calc_Daily!$DZ233))),NA(),Calc_Daily!$DZ233)</f>
        <v/>
      </c>
      <c r="I233">
        <f>IF(OR($A233&gt;cfg_LastDataDate,NOT(ISNUMBER(Calc_Daily!$DT233))),NA(),Calc_Daily!$DT233)</f>
        <v/>
      </c>
      <c r="J233">
        <f>IF(OR($A233&gt;cfg_LastDataDate,NOT(ISNUMBER(Calc_Daily!$IP233))),NA(),Calc_Daily!$IP233)</f>
        <v/>
      </c>
      <c r="K233">
        <f>Calc_Daily!$KM233</f>
        <v/>
      </c>
    </row>
    <row r="234">
      <c r="A234" s="54">
        <f>Calc_Daily!$A234</f>
        <v/>
      </c>
      <c r="B234">
        <f>IF(OR($A234&gt;cfg_LastDataDate,NOT(ISNUMBER(Calc_Daily!$CU234))),NA(),Calc_Daily!$CU234)</f>
        <v/>
      </c>
      <c r="C234">
        <f>Calc_Daily!$JT234/Calc_Daily!$D234</f>
        <v/>
      </c>
      <c r="D234">
        <f>IF(OR($A234&gt;cfg_LastDataDate,NOT(ISNUMBER(Calc_Daily!$EJ234))),NA(),Calc_Daily!$EJ234)</f>
        <v/>
      </c>
      <c r="E234">
        <f>Calc_Daily!$KQ234</f>
        <v/>
      </c>
      <c r="F234">
        <f>IF(OR($A234&gt;cfg_LastDataDate,NOT(ISNUMBER(Calc_Daily!$F234))),NA(),Calc_Daily!$F234)</f>
        <v/>
      </c>
      <c r="G234">
        <f>IF(OR($A234&gt;cfg_LastDataDate,NOT(ISNUMBER(Calc_Daily!$U234))),NA(),Calc_Daily!$U234)</f>
        <v/>
      </c>
      <c r="H234">
        <f>IF(OR($A234&gt;cfg_LastDataDate,NOT(ISNUMBER(Calc_Daily!$DZ234))),NA(),Calc_Daily!$DZ234)</f>
        <v/>
      </c>
      <c r="I234">
        <f>IF(OR($A234&gt;cfg_LastDataDate,NOT(ISNUMBER(Calc_Daily!$DT234))),NA(),Calc_Daily!$DT234)</f>
        <v/>
      </c>
      <c r="J234">
        <f>IF(OR($A234&gt;cfg_LastDataDate,NOT(ISNUMBER(Calc_Daily!$IP234))),NA(),Calc_Daily!$IP234)</f>
        <v/>
      </c>
      <c r="K234">
        <f>Calc_Daily!$KM234</f>
        <v/>
      </c>
    </row>
    <row r="235">
      <c r="A235" s="54">
        <f>Calc_Daily!$A235</f>
        <v/>
      </c>
      <c r="B235">
        <f>IF(OR($A235&gt;cfg_LastDataDate,NOT(ISNUMBER(Calc_Daily!$CU235))),NA(),Calc_Daily!$CU235)</f>
        <v/>
      </c>
      <c r="C235">
        <f>Calc_Daily!$JT235/Calc_Daily!$D235</f>
        <v/>
      </c>
      <c r="D235">
        <f>IF(OR($A235&gt;cfg_LastDataDate,NOT(ISNUMBER(Calc_Daily!$EJ235))),NA(),Calc_Daily!$EJ235)</f>
        <v/>
      </c>
      <c r="E235">
        <f>Calc_Daily!$KQ235</f>
        <v/>
      </c>
      <c r="F235">
        <f>IF(OR($A235&gt;cfg_LastDataDate,NOT(ISNUMBER(Calc_Daily!$F235))),NA(),Calc_Daily!$F235)</f>
        <v/>
      </c>
      <c r="G235">
        <f>IF(OR($A235&gt;cfg_LastDataDate,NOT(ISNUMBER(Calc_Daily!$U235))),NA(),Calc_Daily!$U235)</f>
        <v/>
      </c>
      <c r="H235">
        <f>IF(OR($A235&gt;cfg_LastDataDate,NOT(ISNUMBER(Calc_Daily!$DZ235))),NA(),Calc_Daily!$DZ235)</f>
        <v/>
      </c>
      <c r="I235">
        <f>IF(OR($A235&gt;cfg_LastDataDate,NOT(ISNUMBER(Calc_Daily!$DT235))),NA(),Calc_Daily!$DT235)</f>
        <v/>
      </c>
      <c r="J235">
        <f>IF(OR($A235&gt;cfg_LastDataDate,NOT(ISNUMBER(Calc_Daily!$IP235))),NA(),Calc_Daily!$IP235)</f>
        <v/>
      </c>
      <c r="K235">
        <f>Calc_Daily!$KM235</f>
        <v/>
      </c>
    </row>
    <row r="236">
      <c r="A236" s="54">
        <f>Calc_Daily!$A236</f>
        <v/>
      </c>
      <c r="B236">
        <f>IF(OR($A236&gt;cfg_LastDataDate,NOT(ISNUMBER(Calc_Daily!$CU236))),NA(),Calc_Daily!$CU236)</f>
        <v/>
      </c>
      <c r="C236">
        <f>Calc_Daily!$JT236/Calc_Daily!$D236</f>
        <v/>
      </c>
      <c r="D236">
        <f>IF(OR($A236&gt;cfg_LastDataDate,NOT(ISNUMBER(Calc_Daily!$EJ236))),NA(),Calc_Daily!$EJ236)</f>
        <v/>
      </c>
      <c r="E236">
        <f>Calc_Daily!$KQ236</f>
        <v/>
      </c>
      <c r="F236">
        <f>IF(OR($A236&gt;cfg_LastDataDate,NOT(ISNUMBER(Calc_Daily!$F236))),NA(),Calc_Daily!$F236)</f>
        <v/>
      </c>
      <c r="G236">
        <f>IF(OR($A236&gt;cfg_LastDataDate,NOT(ISNUMBER(Calc_Daily!$U236))),NA(),Calc_Daily!$U236)</f>
        <v/>
      </c>
      <c r="H236">
        <f>IF(OR($A236&gt;cfg_LastDataDate,NOT(ISNUMBER(Calc_Daily!$DZ236))),NA(),Calc_Daily!$DZ236)</f>
        <v/>
      </c>
      <c r="I236">
        <f>IF(OR($A236&gt;cfg_LastDataDate,NOT(ISNUMBER(Calc_Daily!$DT236))),NA(),Calc_Daily!$DT236)</f>
        <v/>
      </c>
      <c r="J236">
        <f>IF(OR($A236&gt;cfg_LastDataDate,NOT(ISNUMBER(Calc_Daily!$IP236))),NA(),Calc_Daily!$IP236)</f>
        <v/>
      </c>
      <c r="K236">
        <f>Calc_Daily!$KM236</f>
        <v/>
      </c>
    </row>
    <row r="237">
      <c r="A237" s="54">
        <f>Calc_Daily!$A237</f>
        <v/>
      </c>
      <c r="B237">
        <f>IF(OR($A237&gt;cfg_LastDataDate,NOT(ISNUMBER(Calc_Daily!$CU237))),NA(),Calc_Daily!$CU237)</f>
        <v/>
      </c>
      <c r="C237">
        <f>Calc_Daily!$JT237/Calc_Daily!$D237</f>
        <v/>
      </c>
      <c r="D237">
        <f>IF(OR($A237&gt;cfg_LastDataDate,NOT(ISNUMBER(Calc_Daily!$EJ237))),NA(),Calc_Daily!$EJ237)</f>
        <v/>
      </c>
      <c r="E237">
        <f>Calc_Daily!$KQ237</f>
        <v/>
      </c>
      <c r="F237">
        <f>IF(OR($A237&gt;cfg_LastDataDate,NOT(ISNUMBER(Calc_Daily!$F237))),NA(),Calc_Daily!$F237)</f>
        <v/>
      </c>
      <c r="G237">
        <f>IF(OR($A237&gt;cfg_LastDataDate,NOT(ISNUMBER(Calc_Daily!$U237))),NA(),Calc_Daily!$U237)</f>
        <v/>
      </c>
      <c r="H237">
        <f>IF(OR($A237&gt;cfg_LastDataDate,NOT(ISNUMBER(Calc_Daily!$DZ237))),NA(),Calc_Daily!$DZ237)</f>
        <v/>
      </c>
      <c r="I237">
        <f>IF(OR($A237&gt;cfg_LastDataDate,NOT(ISNUMBER(Calc_Daily!$DT237))),NA(),Calc_Daily!$DT237)</f>
        <v/>
      </c>
      <c r="J237">
        <f>IF(OR($A237&gt;cfg_LastDataDate,NOT(ISNUMBER(Calc_Daily!$IP237))),NA(),Calc_Daily!$IP237)</f>
        <v/>
      </c>
      <c r="K237">
        <f>Calc_Daily!$KM237</f>
        <v/>
      </c>
    </row>
    <row r="238">
      <c r="A238" s="54">
        <f>Calc_Daily!$A238</f>
        <v/>
      </c>
      <c r="B238">
        <f>IF(OR($A238&gt;cfg_LastDataDate,NOT(ISNUMBER(Calc_Daily!$CU238))),NA(),Calc_Daily!$CU238)</f>
        <v/>
      </c>
      <c r="C238">
        <f>Calc_Daily!$JT238/Calc_Daily!$D238</f>
        <v/>
      </c>
      <c r="D238">
        <f>IF(OR($A238&gt;cfg_LastDataDate,NOT(ISNUMBER(Calc_Daily!$EJ238))),NA(),Calc_Daily!$EJ238)</f>
        <v/>
      </c>
      <c r="E238">
        <f>Calc_Daily!$KQ238</f>
        <v/>
      </c>
      <c r="F238">
        <f>IF(OR($A238&gt;cfg_LastDataDate,NOT(ISNUMBER(Calc_Daily!$F238))),NA(),Calc_Daily!$F238)</f>
        <v/>
      </c>
      <c r="G238">
        <f>IF(OR($A238&gt;cfg_LastDataDate,NOT(ISNUMBER(Calc_Daily!$U238))),NA(),Calc_Daily!$U238)</f>
        <v/>
      </c>
      <c r="H238">
        <f>IF(OR($A238&gt;cfg_LastDataDate,NOT(ISNUMBER(Calc_Daily!$DZ238))),NA(),Calc_Daily!$DZ238)</f>
        <v/>
      </c>
      <c r="I238">
        <f>IF(OR($A238&gt;cfg_LastDataDate,NOT(ISNUMBER(Calc_Daily!$DT238))),NA(),Calc_Daily!$DT238)</f>
        <v/>
      </c>
      <c r="J238">
        <f>IF(OR($A238&gt;cfg_LastDataDate,NOT(ISNUMBER(Calc_Daily!$IP238))),NA(),Calc_Daily!$IP238)</f>
        <v/>
      </c>
      <c r="K238">
        <f>Calc_Daily!$KM238</f>
        <v/>
      </c>
    </row>
    <row r="239">
      <c r="A239" s="54">
        <f>Calc_Daily!$A239</f>
        <v/>
      </c>
      <c r="B239">
        <f>IF(OR($A239&gt;cfg_LastDataDate,NOT(ISNUMBER(Calc_Daily!$CU239))),NA(),Calc_Daily!$CU239)</f>
        <v/>
      </c>
      <c r="C239">
        <f>Calc_Daily!$JT239/Calc_Daily!$D239</f>
        <v/>
      </c>
      <c r="D239">
        <f>IF(OR($A239&gt;cfg_LastDataDate,NOT(ISNUMBER(Calc_Daily!$EJ239))),NA(),Calc_Daily!$EJ239)</f>
        <v/>
      </c>
      <c r="E239">
        <f>Calc_Daily!$KQ239</f>
        <v/>
      </c>
      <c r="F239">
        <f>IF(OR($A239&gt;cfg_LastDataDate,NOT(ISNUMBER(Calc_Daily!$F239))),NA(),Calc_Daily!$F239)</f>
        <v/>
      </c>
      <c r="G239">
        <f>IF(OR($A239&gt;cfg_LastDataDate,NOT(ISNUMBER(Calc_Daily!$U239))),NA(),Calc_Daily!$U239)</f>
        <v/>
      </c>
      <c r="H239">
        <f>IF(OR($A239&gt;cfg_LastDataDate,NOT(ISNUMBER(Calc_Daily!$DZ239))),NA(),Calc_Daily!$DZ239)</f>
        <v/>
      </c>
      <c r="I239">
        <f>IF(OR($A239&gt;cfg_LastDataDate,NOT(ISNUMBER(Calc_Daily!$DT239))),NA(),Calc_Daily!$DT239)</f>
        <v/>
      </c>
      <c r="J239">
        <f>IF(OR($A239&gt;cfg_LastDataDate,NOT(ISNUMBER(Calc_Daily!$IP239))),NA(),Calc_Daily!$IP239)</f>
        <v/>
      </c>
      <c r="K239">
        <f>Calc_Daily!$KM239</f>
        <v/>
      </c>
    </row>
    <row r="240">
      <c r="A240" s="54">
        <f>Calc_Daily!$A240</f>
        <v/>
      </c>
      <c r="B240">
        <f>IF(OR($A240&gt;cfg_LastDataDate,NOT(ISNUMBER(Calc_Daily!$CU240))),NA(),Calc_Daily!$CU240)</f>
        <v/>
      </c>
      <c r="C240">
        <f>Calc_Daily!$JT240/Calc_Daily!$D240</f>
        <v/>
      </c>
      <c r="D240">
        <f>IF(OR($A240&gt;cfg_LastDataDate,NOT(ISNUMBER(Calc_Daily!$EJ240))),NA(),Calc_Daily!$EJ240)</f>
        <v/>
      </c>
      <c r="E240">
        <f>Calc_Daily!$KQ240</f>
        <v/>
      </c>
      <c r="F240">
        <f>IF(OR($A240&gt;cfg_LastDataDate,NOT(ISNUMBER(Calc_Daily!$F240))),NA(),Calc_Daily!$F240)</f>
        <v/>
      </c>
      <c r="G240">
        <f>IF(OR($A240&gt;cfg_LastDataDate,NOT(ISNUMBER(Calc_Daily!$U240))),NA(),Calc_Daily!$U240)</f>
        <v/>
      </c>
      <c r="H240">
        <f>IF(OR($A240&gt;cfg_LastDataDate,NOT(ISNUMBER(Calc_Daily!$DZ240))),NA(),Calc_Daily!$DZ240)</f>
        <v/>
      </c>
      <c r="I240">
        <f>IF(OR($A240&gt;cfg_LastDataDate,NOT(ISNUMBER(Calc_Daily!$DT240))),NA(),Calc_Daily!$DT240)</f>
        <v/>
      </c>
      <c r="J240">
        <f>IF(OR($A240&gt;cfg_LastDataDate,NOT(ISNUMBER(Calc_Daily!$IP240))),NA(),Calc_Daily!$IP240)</f>
        <v/>
      </c>
      <c r="K240">
        <f>Calc_Daily!$KM240</f>
        <v/>
      </c>
    </row>
    <row r="241">
      <c r="A241" s="54">
        <f>Calc_Daily!$A241</f>
        <v/>
      </c>
      <c r="B241">
        <f>IF(OR($A241&gt;cfg_LastDataDate,NOT(ISNUMBER(Calc_Daily!$CU241))),NA(),Calc_Daily!$CU241)</f>
        <v/>
      </c>
      <c r="C241">
        <f>Calc_Daily!$JT241/Calc_Daily!$D241</f>
        <v/>
      </c>
      <c r="D241">
        <f>IF(OR($A241&gt;cfg_LastDataDate,NOT(ISNUMBER(Calc_Daily!$EJ241))),NA(),Calc_Daily!$EJ241)</f>
        <v/>
      </c>
      <c r="E241">
        <f>Calc_Daily!$KQ241</f>
        <v/>
      </c>
      <c r="F241">
        <f>IF(OR($A241&gt;cfg_LastDataDate,NOT(ISNUMBER(Calc_Daily!$F241))),NA(),Calc_Daily!$F241)</f>
        <v/>
      </c>
      <c r="G241">
        <f>IF(OR($A241&gt;cfg_LastDataDate,NOT(ISNUMBER(Calc_Daily!$U241))),NA(),Calc_Daily!$U241)</f>
        <v/>
      </c>
      <c r="H241">
        <f>IF(OR($A241&gt;cfg_LastDataDate,NOT(ISNUMBER(Calc_Daily!$DZ241))),NA(),Calc_Daily!$DZ241)</f>
        <v/>
      </c>
      <c r="I241">
        <f>IF(OR($A241&gt;cfg_LastDataDate,NOT(ISNUMBER(Calc_Daily!$DT241))),NA(),Calc_Daily!$DT241)</f>
        <v/>
      </c>
      <c r="J241">
        <f>IF(OR($A241&gt;cfg_LastDataDate,NOT(ISNUMBER(Calc_Daily!$IP241))),NA(),Calc_Daily!$IP241)</f>
        <v/>
      </c>
      <c r="K241">
        <f>Calc_Daily!$KM241</f>
        <v/>
      </c>
    </row>
    <row r="242">
      <c r="A242" s="54">
        <f>Calc_Daily!$A242</f>
        <v/>
      </c>
      <c r="B242">
        <f>IF(OR($A242&gt;cfg_LastDataDate,NOT(ISNUMBER(Calc_Daily!$CU242))),NA(),Calc_Daily!$CU242)</f>
        <v/>
      </c>
      <c r="C242">
        <f>Calc_Daily!$JT242/Calc_Daily!$D242</f>
        <v/>
      </c>
      <c r="D242">
        <f>IF(OR($A242&gt;cfg_LastDataDate,NOT(ISNUMBER(Calc_Daily!$EJ242))),NA(),Calc_Daily!$EJ242)</f>
        <v/>
      </c>
      <c r="E242">
        <f>Calc_Daily!$KQ242</f>
        <v/>
      </c>
      <c r="F242">
        <f>IF(OR($A242&gt;cfg_LastDataDate,NOT(ISNUMBER(Calc_Daily!$F242))),NA(),Calc_Daily!$F242)</f>
        <v/>
      </c>
      <c r="G242">
        <f>IF(OR($A242&gt;cfg_LastDataDate,NOT(ISNUMBER(Calc_Daily!$U242))),NA(),Calc_Daily!$U242)</f>
        <v/>
      </c>
      <c r="H242">
        <f>IF(OR($A242&gt;cfg_LastDataDate,NOT(ISNUMBER(Calc_Daily!$DZ242))),NA(),Calc_Daily!$DZ242)</f>
        <v/>
      </c>
      <c r="I242">
        <f>IF(OR($A242&gt;cfg_LastDataDate,NOT(ISNUMBER(Calc_Daily!$DT242))),NA(),Calc_Daily!$DT242)</f>
        <v/>
      </c>
      <c r="J242">
        <f>IF(OR($A242&gt;cfg_LastDataDate,NOT(ISNUMBER(Calc_Daily!$IP242))),NA(),Calc_Daily!$IP242)</f>
        <v/>
      </c>
      <c r="K242">
        <f>Calc_Daily!$KM242</f>
        <v/>
      </c>
    </row>
    <row r="243">
      <c r="A243" s="54">
        <f>Calc_Daily!$A243</f>
        <v/>
      </c>
      <c r="B243">
        <f>IF(OR($A243&gt;cfg_LastDataDate,NOT(ISNUMBER(Calc_Daily!$CU243))),NA(),Calc_Daily!$CU243)</f>
        <v/>
      </c>
      <c r="C243">
        <f>Calc_Daily!$JT243/Calc_Daily!$D243</f>
        <v/>
      </c>
      <c r="D243">
        <f>IF(OR($A243&gt;cfg_LastDataDate,NOT(ISNUMBER(Calc_Daily!$EJ243))),NA(),Calc_Daily!$EJ243)</f>
        <v/>
      </c>
      <c r="E243">
        <f>Calc_Daily!$KQ243</f>
        <v/>
      </c>
      <c r="F243">
        <f>IF(OR($A243&gt;cfg_LastDataDate,NOT(ISNUMBER(Calc_Daily!$F243))),NA(),Calc_Daily!$F243)</f>
        <v/>
      </c>
      <c r="G243">
        <f>IF(OR($A243&gt;cfg_LastDataDate,NOT(ISNUMBER(Calc_Daily!$U243))),NA(),Calc_Daily!$U243)</f>
        <v/>
      </c>
      <c r="H243">
        <f>IF(OR($A243&gt;cfg_LastDataDate,NOT(ISNUMBER(Calc_Daily!$DZ243))),NA(),Calc_Daily!$DZ243)</f>
        <v/>
      </c>
      <c r="I243">
        <f>IF(OR($A243&gt;cfg_LastDataDate,NOT(ISNUMBER(Calc_Daily!$DT243))),NA(),Calc_Daily!$DT243)</f>
        <v/>
      </c>
      <c r="J243">
        <f>IF(OR($A243&gt;cfg_LastDataDate,NOT(ISNUMBER(Calc_Daily!$IP243))),NA(),Calc_Daily!$IP243)</f>
        <v/>
      </c>
      <c r="K243">
        <f>Calc_Daily!$KM243</f>
        <v/>
      </c>
    </row>
    <row r="244">
      <c r="A244" s="54">
        <f>Calc_Daily!$A244</f>
        <v/>
      </c>
      <c r="B244">
        <f>IF(OR($A244&gt;cfg_LastDataDate,NOT(ISNUMBER(Calc_Daily!$CU244))),NA(),Calc_Daily!$CU244)</f>
        <v/>
      </c>
      <c r="C244">
        <f>Calc_Daily!$JT244/Calc_Daily!$D244</f>
        <v/>
      </c>
      <c r="D244">
        <f>IF(OR($A244&gt;cfg_LastDataDate,NOT(ISNUMBER(Calc_Daily!$EJ244))),NA(),Calc_Daily!$EJ244)</f>
        <v/>
      </c>
      <c r="E244">
        <f>Calc_Daily!$KQ244</f>
        <v/>
      </c>
      <c r="F244">
        <f>IF(OR($A244&gt;cfg_LastDataDate,NOT(ISNUMBER(Calc_Daily!$F244))),NA(),Calc_Daily!$F244)</f>
        <v/>
      </c>
      <c r="G244">
        <f>IF(OR($A244&gt;cfg_LastDataDate,NOT(ISNUMBER(Calc_Daily!$U244))),NA(),Calc_Daily!$U244)</f>
        <v/>
      </c>
      <c r="H244">
        <f>IF(OR($A244&gt;cfg_LastDataDate,NOT(ISNUMBER(Calc_Daily!$DZ244))),NA(),Calc_Daily!$DZ244)</f>
        <v/>
      </c>
      <c r="I244">
        <f>IF(OR($A244&gt;cfg_LastDataDate,NOT(ISNUMBER(Calc_Daily!$DT244))),NA(),Calc_Daily!$DT244)</f>
        <v/>
      </c>
      <c r="J244">
        <f>IF(OR($A244&gt;cfg_LastDataDate,NOT(ISNUMBER(Calc_Daily!$IP244))),NA(),Calc_Daily!$IP244)</f>
        <v/>
      </c>
      <c r="K244">
        <f>Calc_Daily!$KM244</f>
        <v/>
      </c>
    </row>
    <row r="245">
      <c r="A245" s="54">
        <f>Calc_Daily!$A245</f>
        <v/>
      </c>
      <c r="B245">
        <f>IF(OR($A245&gt;cfg_LastDataDate,NOT(ISNUMBER(Calc_Daily!$CU245))),NA(),Calc_Daily!$CU245)</f>
        <v/>
      </c>
      <c r="C245">
        <f>Calc_Daily!$JT245/Calc_Daily!$D245</f>
        <v/>
      </c>
      <c r="D245">
        <f>IF(OR($A245&gt;cfg_LastDataDate,NOT(ISNUMBER(Calc_Daily!$EJ245))),NA(),Calc_Daily!$EJ245)</f>
        <v/>
      </c>
      <c r="E245">
        <f>Calc_Daily!$KQ245</f>
        <v/>
      </c>
      <c r="F245">
        <f>IF(OR($A245&gt;cfg_LastDataDate,NOT(ISNUMBER(Calc_Daily!$F245))),NA(),Calc_Daily!$F245)</f>
        <v/>
      </c>
      <c r="G245">
        <f>IF(OR($A245&gt;cfg_LastDataDate,NOT(ISNUMBER(Calc_Daily!$U245))),NA(),Calc_Daily!$U245)</f>
        <v/>
      </c>
      <c r="H245">
        <f>IF(OR($A245&gt;cfg_LastDataDate,NOT(ISNUMBER(Calc_Daily!$DZ245))),NA(),Calc_Daily!$DZ245)</f>
        <v/>
      </c>
      <c r="I245">
        <f>IF(OR($A245&gt;cfg_LastDataDate,NOT(ISNUMBER(Calc_Daily!$DT245))),NA(),Calc_Daily!$DT245)</f>
        <v/>
      </c>
      <c r="J245">
        <f>IF(OR($A245&gt;cfg_LastDataDate,NOT(ISNUMBER(Calc_Daily!$IP245))),NA(),Calc_Daily!$IP245)</f>
        <v/>
      </c>
      <c r="K245">
        <f>Calc_Daily!$KM245</f>
        <v/>
      </c>
    </row>
    <row r="246">
      <c r="A246" s="54">
        <f>Calc_Daily!$A246</f>
        <v/>
      </c>
      <c r="B246">
        <f>IF(OR($A246&gt;cfg_LastDataDate,NOT(ISNUMBER(Calc_Daily!$CU246))),NA(),Calc_Daily!$CU246)</f>
        <v/>
      </c>
      <c r="C246">
        <f>Calc_Daily!$JT246/Calc_Daily!$D246</f>
        <v/>
      </c>
      <c r="D246">
        <f>IF(OR($A246&gt;cfg_LastDataDate,NOT(ISNUMBER(Calc_Daily!$EJ246))),NA(),Calc_Daily!$EJ246)</f>
        <v/>
      </c>
      <c r="E246">
        <f>Calc_Daily!$KQ246</f>
        <v/>
      </c>
      <c r="F246">
        <f>IF(OR($A246&gt;cfg_LastDataDate,NOT(ISNUMBER(Calc_Daily!$F246))),NA(),Calc_Daily!$F246)</f>
        <v/>
      </c>
      <c r="G246">
        <f>IF(OR($A246&gt;cfg_LastDataDate,NOT(ISNUMBER(Calc_Daily!$U246))),NA(),Calc_Daily!$U246)</f>
        <v/>
      </c>
      <c r="H246">
        <f>IF(OR($A246&gt;cfg_LastDataDate,NOT(ISNUMBER(Calc_Daily!$DZ246))),NA(),Calc_Daily!$DZ246)</f>
        <v/>
      </c>
      <c r="I246">
        <f>IF(OR($A246&gt;cfg_LastDataDate,NOT(ISNUMBER(Calc_Daily!$DT246))),NA(),Calc_Daily!$DT246)</f>
        <v/>
      </c>
      <c r="J246">
        <f>IF(OR($A246&gt;cfg_LastDataDate,NOT(ISNUMBER(Calc_Daily!$IP246))),NA(),Calc_Daily!$IP246)</f>
        <v/>
      </c>
      <c r="K246">
        <f>Calc_Daily!$KM246</f>
        <v/>
      </c>
    </row>
    <row r="247">
      <c r="A247" s="54">
        <f>Calc_Daily!$A247</f>
        <v/>
      </c>
      <c r="B247">
        <f>IF(OR($A247&gt;cfg_LastDataDate,NOT(ISNUMBER(Calc_Daily!$CU247))),NA(),Calc_Daily!$CU247)</f>
        <v/>
      </c>
      <c r="C247">
        <f>Calc_Daily!$JT247/Calc_Daily!$D247</f>
        <v/>
      </c>
      <c r="D247">
        <f>IF(OR($A247&gt;cfg_LastDataDate,NOT(ISNUMBER(Calc_Daily!$EJ247))),NA(),Calc_Daily!$EJ247)</f>
        <v/>
      </c>
      <c r="E247">
        <f>Calc_Daily!$KQ247</f>
        <v/>
      </c>
      <c r="F247">
        <f>IF(OR($A247&gt;cfg_LastDataDate,NOT(ISNUMBER(Calc_Daily!$F247))),NA(),Calc_Daily!$F247)</f>
        <v/>
      </c>
      <c r="G247">
        <f>IF(OR($A247&gt;cfg_LastDataDate,NOT(ISNUMBER(Calc_Daily!$U247))),NA(),Calc_Daily!$U247)</f>
        <v/>
      </c>
      <c r="H247">
        <f>IF(OR($A247&gt;cfg_LastDataDate,NOT(ISNUMBER(Calc_Daily!$DZ247))),NA(),Calc_Daily!$DZ247)</f>
        <v/>
      </c>
      <c r="I247">
        <f>IF(OR($A247&gt;cfg_LastDataDate,NOT(ISNUMBER(Calc_Daily!$DT247))),NA(),Calc_Daily!$DT247)</f>
        <v/>
      </c>
      <c r="J247">
        <f>IF(OR($A247&gt;cfg_LastDataDate,NOT(ISNUMBER(Calc_Daily!$IP247))),NA(),Calc_Daily!$IP247)</f>
        <v/>
      </c>
      <c r="K247">
        <f>Calc_Daily!$KM247</f>
        <v/>
      </c>
    </row>
    <row r="248">
      <c r="A248" s="54">
        <f>Calc_Daily!$A248</f>
        <v/>
      </c>
      <c r="B248">
        <f>IF(OR($A248&gt;cfg_LastDataDate,NOT(ISNUMBER(Calc_Daily!$CU248))),NA(),Calc_Daily!$CU248)</f>
        <v/>
      </c>
      <c r="C248">
        <f>Calc_Daily!$JT248/Calc_Daily!$D248</f>
        <v/>
      </c>
      <c r="D248">
        <f>IF(OR($A248&gt;cfg_LastDataDate,NOT(ISNUMBER(Calc_Daily!$EJ248))),NA(),Calc_Daily!$EJ248)</f>
        <v/>
      </c>
      <c r="E248">
        <f>Calc_Daily!$KQ248</f>
        <v/>
      </c>
      <c r="F248">
        <f>IF(OR($A248&gt;cfg_LastDataDate,NOT(ISNUMBER(Calc_Daily!$F248))),NA(),Calc_Daily!$F248)</f>
        <v/>
      </c>
      <c r="G248">
        <f>IF(OR($A248&gt;cfg_LastDataDate,NOT(ISNUMBER(Calc_Daily!$U248))),NA(),Calc_Daily!$U248)</f>
        <v/>
      </c>
      <c r="H248">
        <f>IF(OR($A248&gt;cfg_LastDataDate,NOT(ISNUMBER(Calc_Daily!$DZ248))),NA(),Calc_Daily!$DZ248)</f>
        <v/>
      </c>
      <c r="I248">
        <f>IF(OR($A248&gt;cfg_LastDataDate,NOT(ISNUMBER(Calc_Daily!$DT248))),NA(),Calc_Daily!$DT248)</f>
        <v/>
      </c>
      <c r="J248">
        <f>IF(OR($A248&gt;cfg_LastDataDate,NOT(ISNUMBER(Calc_Daily!$IP248))),NA(),Calc_Daily!$IP248)</f>
        <v/>
      </c>
      <c r="K248">
        <f>Calc_Daily!$KM248</f>
        <v/>
      </c>
    </row>
    <row r="249">
      <c r="A249" s="54">
        <f>Calc_Daily!$A249</f>
        <v/>
      </c>
      <c r="B249">
        <f>IF(OR($A249&gt;cfg_LastDataDate,NOT(ISNUMBER(Calc_Daily!$CU249))),NA(),Calc_Daily!$CU249)</f>
        <v/>
      </c>
      <c r="C249">
        <f>Calc_Daily!$JT249/Calc_Daily!$D249</f>
        <v/>
      </c>
      <c r="D249">
        <f>IF(OR($A249&gt;cfg_LastDataDate,NOT(ISNUMBER(Calc_Daily!$EJ249))),NA(),Calc_Daily!$EJ249)</f>
        <v/>
      </c>
      <c r="E249">
        <f>Calc_Daily!$KQ249</f>
        <v/>
      </c>
      <c r="F249">
        <f>IF(OR($A249&gt;cfg_LastDataDate,NOT(ISNUMBER(Calc_Daily!$F249))),NA(),Calc_Daily!$F249)</f>
        <v/>
      </c>
      <c r="G249">
        <f>IF(OR($A249&gt;cfg_LastDataDate,NOT(ISNUMBER(Calc_Daily!$U249))),NA(),Calc_Daily!$U249)</f>
        <v/>
      </c>
      <c r="H249">
        <f>IF(OR($A249&gt;cfg_LastDataDate,NOT(ISNUMBER(Calc_Daily!$DZ249))),NA(),Calc_Daily!$DZ249)</f>
        <v/>
      </c>
      <c r="I249">
        <f>IF(OR($A249&gt;cfg_LastDataDate,NOT(ISNUMBER(Calc_Daily!$DT249))),NA(),Calc_Daily!$DT249)</f>
        <v/>
      </c>
      <c r="J249">
        <f>IF(OR($A249&gt;cfg_LastDataDate,NOT(ISNUMBER(Calc_Daily!$IP249))),NA(),Calc_Daily!$IP249)</f>
        <v/>
      </c>
      <c r="K249">
        <f>Calc_Daily!$KM249</f>
        <v/>
      </c>
    </row>
    <row r="250">
      <c r="A250" s="54">
        <f>Calc_Daily!$A250</f>
        <v/>
      </c>
      <c r="B250">
        <f>IF(OR($A250&gt;cfg_LastDataDate,NOT(ISNUMBER(Calc_Daily!$CU250))),NA(),Calc_Daily!$CU250)</f>
        <v/>
      </c>
      <c r="C250">
        <f>Calc_Daily!$JT250/Calc_Daily!$D250</f>
        <v/>
      </c>
      <c r="D250">
        <f>IF(OR($A250&gt;cfg_LastDataDate,NOT(ISNUMBER(Calc_Daily!$EJ250))),NA(),Calc_Daily!$EJ250)</f>
        <v/>
      </c>
      <c r="E250">
        <f>Calc_Daily!$KQ250</f>
        <v/>
      </c>
      <c r="F250">
        <f>IF(OR($A250&gt;cfg_LastDataDate,NOT(ISNUMBER(Calc_Daily!$F250))),NA(),Calc_Daily!$F250)</f>
        <v/>
      </c>
      <c r="G250">
        <f>IF(OR($A250&gt;cfg_LastDataDate,NOT(ISNUMBER(Calc_Daily!$U250))),NA(),Calc_Daily!$U250)</f>
        <v/>
      </c>
      <c r="H250">
        <f>IF(OR($A250&gt;cfg_LastDataDate,NOT(ISNUMBER(Calc_Daily!$DZ250))),NA(),Calc_Daily!$DZ250)</f>
        <v/>
      </c>
      <c r="I250">
        <f>IF(OR($A250&gt;cfg_LastDataDate,NOT(ISNUMBER(Calc_Daily!$DT250))),NA(),Calc_Daily!$DT250)</f>
        <v/>
      </c>
      <c r="J250">
        <f>IF(OR($A250&gt;cfg_LastDataDate,NOT(ISNUMBER(Calc_Daily!$IP250))),NA(),Calc_Daily!$IP250)</f>
        <v/>
      </c>
      <c r="K250">
        <f>Calc_Daily!$KM250</f>
        <v/>
      </c>
    </row>
    <row r="251">
      <c r="A251" s="54">
        <f>Calc_Daily!$A251</f>
        <v/>
      </c>
      <c r="B251">
        <f>IF(OR($A251&gt;cfg_LastDataDate,NOT(ISNUMBER(Calc_Daily!$CU251))),NA(),Calc_Daily!$CU251)</f>
        <v/>
      </c>
      <c r="C251">
        <f>Calc_Daily!$JT251/Calc_Daily!$D251</f>
        <v/>
      </c>
      <c r="D251">
        <f>IF(OR($A251&gt;cfg_LastDataDate,NOT(ISNUMBER(Calc_Daily!$EJ251))),NA(),Calc_Daily!$EJ251)</f>
        <v/>
      </c>
      <c r="E251">
        <f>Calc_Daily!$KQ251</f>
        <v/>
      </c>
      <c r="F251">
        <f>IF(OR($A251&gt;cfg_LastDataDate,NOT(ISNUMBER(Calc_Daily!$F251))),NA(),Calc_Daily!$F251)</f>
        <v/>
      </c>
      <c r="G251">
        <f>IF(OR($A251&gt;cfg_LastDataDate,NOT(ISNUMBER(Calc_Daily!$U251))),NA(),Calc_Daily!$U251)</f>
        <v/>
      </c>
      <c r="H251">
        <f>IF(OR($A251&gt;cfg_LastDataDate,NOT(ISNUMBER(Calc_Daily!$DZ251))),NA(),Calc_Daily!$DZ251)</f>
        <v/>
      </c>
      <c r="I251">
        <f>IF(OR($A251&gt;cfg_LastDataDate,NOT(ISNUMBER(Calc_Daily!$DT251))),NA(),Calc_Daily!$DT251)</f>
        <v/>
      </c>
      <c r="J251">
        <f>IF(OR($A251&gt;cfg_LastDataDate,NOT(ISNUMBER(Calc_Daily!$IP251))),NA(),Calc_Daily!$IP251)</f>
        <v/>
      </c>
      <c r="K251">
        <f>Calc_Daily!$KM251</f>
        <v/>
      </c>
    </row>
    <row r="252">
      <c r="A252" s="54">
        <f>Calc_Daily!$A252</f>
        <v/>
      </c>
      <c r="B252">
        <f>IF(OR($A252&gt;cfg_LastDataDate,NOT(ISNUMBER(Calc_Daily!$CU252))),NA(),Calc_Daily!$CU252)</f>
        <v/>
      </c>
      <c r="C252">
        <f>Calc_Daily!$JT252/Calc_Daily!$D252</f>
        <v/>
      </c>
      <c r="D252">
        <f>IF(OR($A252&gt;cfg_LastDataDate,NOT(ISNUMBER(Calc_Daily!$EJ252))),NA(),Calc_Daily!$EJ252)</f>
        <v/>
      </c>
      <c r="E252">
        <f>Calc_Daily!$KQ252</f>
        <v/>
      </c>
      <c r="F252">
        <f>IF(OR($A252&gt;cfg_LastDataDate,NOT(ISNUMBER(Calc_Daily!$F252))),NA(),Calc_Daily!$F252)</f>
        <v/>
      </c>
      <c r="G252">
        <f>IF(OR($A252&gt;cfg_LastDataDate,NOT(ISNUMBER(Calc_Daily!$U252))),NA(),Calc_Daily!$U252)</f>
        <v/>
      </c>
      <c r="H252">
        <f>IF(OR($A252&gt;cfg_LastDataDate,NOT(ISNUMBER(Calc_Daily!$DZ252))),NA(),Calc_Daily!$DZ252)</f>
        <v/>
      </c>
      <c r="I252">
        <f>IF(OR($A252&gt;cfg_LastDataDate,NOT(ISNUMBER(Calc_Daily!$DT252))),NA(),Calc_Daily!$DT252)</f>
        <v/>
      </c>
      <c r="J252">
        <f>IF(OR($A252&gt;cfg_LastDataDate,NOT(ISNUMBER(Calc_Daily!$IP252))),NA(),Calc_Daily!$IP252)</f>
        <v/>
      </c>
      <c r="K252">
        <f>Calc_Daily!$KM252</f>
        <v/>
      </c>
    </row>
    <row r="253">
      <c r="A253" s="54">
        <f>Calc_Daily!$A253</f>
        <v/>
      </c>
      <c r="B253">
        <f>IF(OR($A253&gt;cfg_LastDataDate,NOT(ISNUMBER(Calc_Daily!$CU253))),NA(),Calc_Daily!$CU253)</f>
        <v/>
      </c>
      <c r="C253">
        <f>Calc_Daily!$JT253/Calc_Daily!$D253</f>
        <v/>
      </c>
      <c r="D253">
        <f>IF(OR($A253&gt;cfg_LastDataDate,NOT(ISNUMBER(Calc_Daily!$EJ253))),NA(),Calc_Daily!$EJ253)</f>
        <v/>
      </c>
      <c r="E253">
        <f>Calc_Daily!$KQ253</f>
        <v/>
      </c>
      <c r="F253">
        <f>IF(OR($A253&gt;cfg_LastDataDate,NOT(ISNUMBER(Calc_Daily!$F253))),NA(),Calc_Daily!$F253)</f>
        <v/>
      </c>
      <c r="G253">
        <f>IF(OR($A253&gt;cfg_LastDataDate,NOT(ISNUMBER(Calc_Daily!$U253))),NA(),Calc_Daily!$U253)</f>
        <v/>
      </c>
      <c r="H253">
        <f>IF(OR($A253&gt;cfg_LastDataDate,NOT(ISNUMBER(Calc_Daily!$DZ253))),NA(),Calc_Daily!$DZ253)</f>
        <v/>
      </c>
      <c r="I253">
        <f>IF(OR($A253&gt;cfg_LastDataDate,NOT(ISNUMBER(Calc_Daily!$DT253))),NA(),Calc_Daily!$DT253)</f>
        <v/>
      </c>
      <c r="J253">
        <f>IF(OR($A253&gt;cfg_LastDataDate,NOT(ISNUMBER(Calc_Daily!$IP253))),NA(),Calc_Daily!$IP253)</f>
        <v/>
      </c>
      <c r="K253">
        <f>Calc_Daily!$KM253</f>
        <v/>
      </c>
    </row>
    <row r="254">
      <c r="A254" s="54">
        <f>Calc_Daily!$A254</f>
        <v/>
      </c>
      <c r="B254">
        <f>IF(OR($A254&gt;cfg_LastDataDate,NOT(ISNUMBER(Calc_Daily!$CU254))),NA(),Calc_Daily!$CU254)</f>
        <v/>
      </c>
      <c r="C254">
        <f>Calc_Daily!$JT254/Calc_Daily!$D254</f>
        <v/>
      </c>
      <c r="D254">
        <f>IF(OR($A254&gt;cfg_LastDataDate,NOT(ISNUMBER(Calc_Daily!$EJ254))),NA(),Calc_Daily!$EJ254)</f>
        <v/>
      </c>
      <c r="E254">
        <f>Calc_Daily!$KQ254</f>
        <v/>
      </c>
      <c r="F254">
        <f>IF(OR($A254&gt;cfg_LastDataDate,NOT(ISNUMBER(Calc_Daily!$F254))),NA(),Calc_Daily!$F254)</f>
        <v/>
      </c>
      <c r="G254">
        <f>IF(OR($A254&gt;cfg_LastDataDate,NOT(ISNUMBER(Calc_Daily!$U254))),NA(),Calc_Daily!$U254)</f>
        <v/>
      </c>
      <c r="H254">
        <f>IF(OR($A254&gt;cfg_LastDataDate,NOT(ISNUMBER(Calc_Daily!$DZ254))),NA(),Calc_Daily!$DZ254)</f>
        <v/>
      </c>
      <c r="I254">
        <f>IF(OR($A254&gt;cfg_LastDataDate,NOT(ISNUMBER(Calc_Daily!$DT254))),NA(),Calc_Daily!$DT254)</f>
        <v/>
      </c>
      <c r="J254">
        <f>IF(OR($A254&gt;cfg_LastDataDate,NOT(ISNUMBER(Calc_Daily!$IP254))),NA(),Calc_Daily!$IP254)</f>
        <v/>
      </c>
      <c r="K254">
        <f>Calc_Daily!$KM254</f>
        <v/>
      </c>
    </row>
    <row r="255">
      <c r="A255" s="54">
        <f>Calc_Daily!$A255</f>
        <v/>
      </c>
      <c r="B255">
        <f>IF(OR($A255&gt;cfg_LastDataDate,NOT(ISNUMBER(Calc_Daily!$CU255))),NA(),Calc_Daily!$CU255)</f>
        <v/>
      </c>
      <c r="C255">
        <f>Calc_Daily!$JT255/Calc_Daily!$D255</f>
        <v/>
      </c>
      <c r="D255">
        <f>IF(OR($A255&gt;cfg_LastDataDate,NOT(ISNUMBER(Calc_Daily!$EJ255))),NA(),Calc_Daily!$EJ255)</f>
        <v/>
      </c>
      <c r="E255">
        <f>Calc_Daily!$KQ255</f>
        <v/>
      </c>
      <c r="F255">
        <f>IF(OR($A255&gt;cfg_LastDataDate,NOT(ISNUMBER(Calc_Daily!$F255))),NA(),Calc_Daily!$F255)</f>
        <v/>
      </c>
      <c r="G255">
        <f>IF(OR($A255&gt;cfg_LastDataDate,NOT(ISNUMBER(Calc_Daily!$U255))),NA(),Calc_Daily!$U255)</f>
        <v/>
      </c>
      <c r="H255">
        <f>IF(OR($A255&gt;cfg_LastDataDate,NOT(ISNUMBER(Calc_Daily!$DZ255))),NA(),Calc_Daily!$DZ255)</f>
        <v/>
      </c>
      <c r="I255">
        <f>IF(OR($A255&gt;cfg_LastDataDate,NOT(ISNUMBER(Calc_Daily!$DT255))),NA(),Calc_Daily!$DT255)</f>
        <v/>
      </c>
      <c r="J255">
        <f>IF(OR($A255&gt;cfg_LastDataDate,NOT(ISNUMBER(Calc_Daily!$IP255))),NA(),Calc_Daily!$IP255)</f>
        <v/>
      </c>
      <c r="K255">
        <f>Calc_Daily!$KM255</f>
        <v/>
      </c>
    </row>
    <row r="256">
      <c r="A256" s="54">
        <f>Calc_Daily!$A256</f>
        <v/>
      </c>
      <c r="B256">
        <f>IF(OR($A256&gt;cfg_LastDataDate,NOT(ISNUMBER(Calc_Daily!$CU256))),NA(),Calc_Daily!$CU256)</f>
        <v/>
      </c>
      <c r="C256">
        <f>Calc_Daily!$JT256/Calc_Daily!$D256</f>
        <v/>
      </c>
      <c r="D256">
        <f>IF(OR($A256&gt;cfg_LastDataDate,NOT(ISNUMBER(Calc_Daily!$EJ256))),NA(),Calc_Daily!$EJ256)</f>
        <v/>
      </c>
      <c r="E256">
        <f>Calc_Daily!$KQ256</f>
        <v/>
      </c>
      <c r="F256">
        <f>IF(OR($A256&gt;cfg_LastDataDate,NOT(ISNUMBER(Calc_Daily!$F256))),NA(),Calc_Daily!$F256)</f>
        <v/>
      </c>
      <c r="G256">
        <f>IF(OR($A256&gt;cfg_LastDataDate,NOT(ISNUMBER(Calc_Daily!$U256))),NA(),Calc_Daily!$U256)</f>
        <v/>
      </c>
      <c r="H256">
        <f>IF(OR($A256&gt;cfg_LastDataDate,NOT(ISNUMBER(Calc_Daily!$DZ256))),NA(),Calc_Daily!$DZ256)</f>
        <v/>
      </c>
      <c r="I256">
        <f>IF(OR($A256&gt;cfg_LastDataDate,NOT(ISNUMBER(Calc_Daily!$DT256))),NA(),Calc_Daily!$DT256)</f>
        <v/>
      </c>
      <c r="J256">
        <f>IF(OR($A256&gt;cfg_LastDataDate,NOT(ISNUMBER(Calc_Daily!$IP256))),NA(),Calc_Daily!$IP256)</f>
        <v/>
      </c>
      <c r="K256">
        <f>Calc_Daily!$KM256</f>
        <v/>
      </c>
    </row>
    <row r="257">
      <c r="A257" s="54">
        <f>Calc_Daily!$A257</f>
        <v/>
      </c>
      <c r="B257">
        <f>IF(OR($A257&gt;cfg_LastDataDate,NOT(ISNUMBER(Calc_Daily!$CU257))),NA(),Calc_Daily!$CU257)</f>
        <v/>
      </c>
      <c r="C257">
        <f>Calc_Daily!$JT257/Calc_Daily!$D257</f>
        <v/>
      </c>
      <c r="D257">
        <f>IF(OR($A257&gt;cfg_LastDataDate,NOT(ISNUMBER(Calc_Daily!$EJ257))),NA(),Calc_Daily!$EJ257)</f>
        <v/>
      </c>
      <c r="E257">
        <f>Calc_Daily!$KQ257</f>
        <v/>
      </c>
      <c r="F257">
        <f>IF(OR($A257&gt;cfg_LastDataDate,NOT(ISNUMBER(Calc_Daily!$F257))),NA(),Calc_Daily!$F257)</f>
        <v/>
      </c>
      <c r="G257">
        <f>IF(OR($A257&gt;cfg_LastDataDate,NOT(ISNUMBER(Calc_Daily!$U257))),NA(),Calc_Daily!$U257)</f>
        <v/>
      </c>
      <c r="H257">
        <f>IF(OR($A257&gt;cfg_LastDataDate,NOT(ISNUMBER(Calc_Daily!$DZ257))),NA(),Calc_Daily!$DZ257)</f>
        <v/>
      </c>
      <c r="I257">
        <f>IF(OR($A257&gt;cfg_LastDataDate,NOT(ISNUMBER(Calc_Daily!$DT257))),NA(),Calc_Daily!$DT257)</f>
        <v/>
      </c>
      <c r="J257">
        <f>IF(OR($A257&gt;cfg_LastDataDate,NOT(ISNUMBER(Calc_Daily!$IP257))),NA(),Calc_Daily!$IP257)</f>
        <v/>
      </c>
      <c r="K257">
        <f>Calc_Daily!$KM257</f>
        <v/>
      </c>
    </row>
    <row r="258">
      <c r="A258" s="54">
        <f>Calc_Daily!$A258</f>
        <v/>
      </c>
      <c r="B258">
        <f>IF(OR($A258&gt;cfg_LastDataDate,NOT(ISNUMBER(Calc_Daily!$CU258))),NA(),Calc_Daily!$CU258)</f>
        <v/>
      </c>
      <c r="C258">
        <f>Calc_Daily!$JT258/Calc_Daily!$D258</f>
        <v/>
      </c>
      <c r="D258">
        <f>IF(OR($A258&gt;cfg_LastDataDate,NOT(ISNUMBER(Calc_Daily!$EJ258))),NA(),Calc_Daily!$EJ258)</f>
        <v/>
      </c>
      <c r="E258">
        <f>Calc_Daily!$KQ258</f>
        <v/>
      </c>
      <c r="F258">
        <f>IF(OR($A258&gt;cfg_LastDataDate,NOT(ISNUMBER(Calc_Daily!$F258))),NA(),Calc_Daily!$F258)</f>
        <v/>
      </c>
      <c r="G258">
        <f>IF(OR($A258&gt;cfg_LastDataDate,NOT(ISNUMBER(Calc_Daily!$U258))),NA(),Calc_Daily!$U258)</f>
        <v/>
      </c>
      <c r="H258">
        <f>IF(OR($A258&gt;cfg_LastDataDate,NOT(ISNUMBER(Calc_Daily!$DZ258))),NA(),Calc_Daily!$DZ258)</f>
        <v/>
      </c>
      <c r="I258">
        <f>IF(OR($A258&gt;cfg_LastDataDate,NOT(ISNUMBER(Calc_Daily!$DT258))),NA(),Calc_Daily!$DT258)</f>
        <v/>
      </c>
      <c r="J258">
        <f>IF(OR($A258&gt;cfg_LastDataDate,NOT(ISNUMBER(Calc_Daily!$IP258))),NA(),Calc_Daily!$IP258)</f>
        <v/>
      </c>
      <c r="K258">
        <f>Calc_Daily!$KM258</f>
        <v/>
      </c>
    </row>
    <row r="259">
      <c r="A259" s="54">
        <f>Calc_Daily!$A259</f>
        <v/>
      </c>
      <c r="B259">
        <f>IF(OR($A259&gt;cfg_LastDataDate,NOT(ISNUMBER(Calc_Daily!$CU259))),NA(),Calc_Daily!$CU259)</f>
        <v/>
      </c>
      <c r="C259">
        <f>Calc_Daily!$JT259/Calc_Daily!$D259</f>
        <v/>
      </c>
      <c r="D259">
        <f>IF(OR($A259&gt;cfg_LastDataDate,NOT(ISNUMBER(Calc_Daily!$EJ259))),NA(),Calc_Daily!$EJ259)</f>
        <v/>
      </c>
      <c r="E259">
        <f>Calc_Daily!$KQ259</f>
        <v/>
      </c>
      <c r="F259">
        <f>IF(OR($A259&gt;cfg_LastDataDate,NOT(ISNUMBER(Calc_Daily!$F259))),NA(),Calc_Daily!$F259)</f>
        <v/>
      </c>
      <c r="G259">
        <f>IF(OR($A259&gt;cfg_LastDataDate,NOT(ISNUMBER(Calc_Daily!$U259))),NA(),Calc_Daily!$U259)</f>
        <v/>
      </c>
      <c r="H259">
        <f>IF(OR($A259&gt;cfg_LastDataDate,NOT(ISNUMBER(Calc_Daily!$DZ259))),NA(),Calc_Daily!$DZ259)</f>
        <v/>
      </c>
      <c r="I259">
        <f>IF(OR($A259&gt;cfg_LastDataDate,NOT(ISNUMBER(Calc_Daily!$DT259))),NA(),Calc_Daily!$DT259)</f>
        <v/>
      </c>
      <c r="J259">
        <f>IF(OR($A259&gt;cfg_LastDataDate,NOT(ISNUMBER(Calc_Daily!$IP259))),NA(),Calc_Daily!$IP259)</f>
        <v/>
      </c>
      <c r="K259">
        <f>Calc_Daily!$KM259</f>
        <v/>
      </c>
    </row>
    <row r="260">
      <c r="A260" s="54">
        <f>Calc_Daily!$A260</f>
        <v/>
      </c>
      <c r="B260">
        <f>IF(OR($A260&gt;cfg_LastDataDate,NOT(ISNUMBER(Calc_Daily!$CU260))),NA(),Calc_Daily!$CU260)</f>
        <v/>
      </c>
      <c r="C260">
        <f>Calc_Daily!$JT260/Calc_Daily!$D260</f>
        <v/>
      </c>
      <c r="D260">
        <f>IF(OR($A260&gt;cfg_LastDataDate,NOT(ISNUMBER(Calc_Daily!$EJ260))),NA(),Calc_Daily!$EJ260)</f>
        <v/>
      </c>
      <c r="E260">
        <f>Calc_Daily!$KQ260</f>
        <v/>
      </c>
      <c r="F260">
        <f>IF(OR($A260&gt;cfg_LastDataDate,NOT(ISNUMBER(Calc_Daily!$F260))),NA(),Calc_Daily!$F260)</f>
        <v/>
      </c>
      <c r="G260">
        <f>IF(OR($A260&gt;cfg_LastDataDate,NOT(ISNUMBER(Calc_Daily!$U260))),NA(),Calc_Daily!$U260)</f>
        <v/>
      </c>
      <c r="H260">
        <f>IF(OR($A260&gt;cfg_LastDataDate,NOT(ISNUMBER(Calc_Daily!$DZ260))),NA(),Calc_Daily!$DZ260)</f>
        <v/>
      </c>
      <c r="I260">
        <f>IF(OR($A260&gt;cfg_LastDataDate,NOT(ISNUMBER(Calc_Daily!$DT260))),NA(),Calc_Daily!$DT260)</f>
        <v/>
      </c>
      <c r="J260">
        <f>IF(OR($A260&gt;cfg_LastDataDate,NOT(ISNUMBER(Calc_Daily!$IP260))),NA(),Calc_Daily!$IP260)</f>
        <v/>
      </c>
      <c r="K260">
        <f>Calc_Daily!$KM260</f>
        <v/>
      </c>
    </row>
    <row r="261">
      <c r="A261" s="54">
        <f>Calc_Daily!$A261</f>
        <v/>
      </c>
      <c r="B261">
        <f>IF(OR($A261&gt;cfg_LastDataDate,NOT(ISNUMBER(Calc_Daily!$CU261))),NA(),Calc_Daily!$CU261)</f>
        <v/>
      </c>
      <c r="C261">
        <f>Calc_Daily!$JT261/Calc_Daily!$D261</f>
        <v/>
      </c>
      <c r="D261">
        <f>IF(OR($A261&gt;cfg_LastDataDate,NOT(ISNUMBER(Calc_Daily!$EJ261))),NA(),Calc_Daily!$EJ261)</f>
        <v/>
      </c>
      <c r="E261">
        <f>Calc_Daily!$KQ261</f>
        <v/>
      </c>
      <c r="F261">
        <f>IF(OR($A261&gt;cfg_LastDataDate,NOT(ISNUMBER(Calc_Daily!$F261))),NA(),Calc_Daily!$F261)</f>
        <v/>
      </c>
      <c r="G261">
        <f>IF(OR($A261&gt;cfg_LastDataDate,NOT(ISNUMBER(Calc_Daily!$U261))),NA(),Calc_Daily!$U261)</f>
        <v/>
      </c>
      <c r="H261">
        <f>IF(OR($A261&gt;cfg_LastDataDate,NOT(ISNUMBER(Calc_Daily!$DZ261))),NA(),Calc_Daily!$DZ261)</f>
        <v/>
      </c>
      <c r="I261">
        <f>IF(OR($A261&gt;cfg_LastDataDate,NOT(ISNUMBER(Calc_Daily!$DT261))),NA(),Calc_Daily!$DT261)</f>
        <v/>
      </c>
      <c r="J261">
        <f>IF(OR($A261&gt;cfg_LastDataDate,NOT(ISNUMBER(Calc_Daily!$IP261))),NA(),Calc_Daily!$IP261)</f>
        <v/>
      </c>
      <c r="K261">
        <f>Calc_Daily!$KM261</f>
        <v/>
      </c>
    </row>
    <row r="262">
      <c r="A262" s="54">
        <f>Calc_Daily!$A262</f>
        <v/>
      </c>
      <c r="B262">
        <f>IF(OR($A262&gt;cfg_LastDataDate,NOT(ISNUMBER(Calc_Daily!$CU262))),NA(),Calc_Daily!$CU262)</f>
        <v/>
      </c>
      <c r="C262">
        <f>Calc_Daily!$JT262/Calc_Daily!$D262</f>
        <v/>
      </c>
      <c r="D262">
        <f>IF(OR($A262&gt;cfg_LastDataDate,NOT(ISNUMBER(Calc_Daily!$EJ262))),NA(),Calc_Daily!$EJ262)</f>
        <v/>
      </c>
      <c r="E262">
        <f>Calc_Daily!$KQ262</f>
        <v/>
      </c>
      <c r="F262">
        <f>IF(OR($A262&gt;cfg_LastDataDate,NOT(ISNUMBER(Calc_Daily!$F262))),NA(),Calc_Daily!$F262)</f>
        <v/>
      </c>
      <c r="G262">
        <f>IF(OR($A262&gt;cfg_LastDataDate,NOT(ISNUMBER(Calc_Daily!$U262))),NA(),Calc_Daily!$U262)</f>
        <v/>
      </c>
      <c r="H262">
        <f>IF(OR($A262&gt;cfg_LastDataDate,NOT(ISNUMBER(Calc_Daily!$DZ262))),NA(),Calc_Daily!$DZ262)</f>
        <v/>
      </c>
      <c r="I262">
        <f>IF(OR($A262&gt;cfg_LastDataDate,NOT(ISNUMBER(Calc_Daily!$DT262))),NA(),Calc_Daily!$DT262)</f>
        <v/>
      </c>
      <c r="J262">
        <f>IF(OR($A262&gt;cfg_LastDataDate,NOT(ISNUMBER(Calc_Daily!$IP262))),NA(),Calc_Daily!$IP262)</f>
        <v/>
      </c>
      <c r="K262">
        <f>Calc_Daily!$KM262</f>
        <v/>
      </c>
    </row>
    <row r="263">
      <c r="A263" s="54">
        <f>Calc_Daily!$A263</f>
        <v/>
      </c>
      <c r="B263">
        <f>IF(OR($A263&gt;cfg_LastDataDate,NOT(ISNUMBER(Calc_Daily!$CU263))),NA(),Calc_Daily!$CU263)</f>
        <v/>
      </c>
      <c r="C263">
        <f>Calc_Daily!$JT263/Calc_Daily!$D263</f>
        <v/>
      </c>
      <c r="D263">
        <f>IF(OR($A263&gt;cfg_LastDataDate,NOT(ISNUMBER(Calc_Daily!$EJ263))),NA(),Calc_Daily!$EJ263)</f>
        <v/>
      </c>
      <c r="E263">
        <f>Calc_Daily!$KQ263</f>
        <v/>
      </c>
      <c r="F263">
        <f>IF(OR($A263&gt;cfg_LastDataDate,NOT(ISNUMBER(Calc_Daily!$F263))),NA(),Calc_Daily!$F263)</f>
        <v/>
      </c>
      <c r="G263">
        <f>IF(OR($A263&gt;cfg_LastDataDate,NOT(ISNUMBER(Calc_Daily!$U263))),NA(),Calc_Daily!$U263)</f>
        <v/>
      </c>
      <c r="H263">
        <f>IF(OR($A263&gt;cfg_LastDataDate,NOT(ISNUMBER(Calc_Daily!$DZ263))),NA(),Calc_Daily!$DZ263)</f>
        <v/>
      </c>
      <c r="I263">
        <f>IF(OR($A263&gt;cfg_LastDataDate,NOT(ISNUMBER(Calc_Daily!$DT263))),NA(),Calc_Daily!$DT263)</f>
        <v/>
      </c>
      <c r="J263">
        <f>IF(OR($A263&gt;cfg_LastDataDate,NOT(ISNUMBER(Calc_Daily!$IP263))),NA(),Calc_Daily!$IP263)</f>
        <v/>
      </c>
      <c r="K263">
        <f>Calc_Daily!$KM263</f>
        <v/>
      </c>
    </row>
    <row r="264">
      <c r="A264" s="54">
        <f>Calc_Daily!$A264</f>
        <v/>
      </c>
      <c r="B264">
        <f>IF(OR($A264&gt;cfg_LastDataDate,NOT(ISNUMBER(Calc_Daily!$CU264))),NA(),Calc_Daily!$CU264)</f>
        <v/>
      </c>
      <c r="C264">
        <f>Calc_Daily!$JT264/Calc_Daily!$D264</f>
        <v/>
      </c>
      <c r="D264">
        <f>IF(OR($A264&gt;cfg_LastDataDate,NOT(ISNUMBER(Calc_Daily!$EJ264))),NA(),Calc_Daily!$EJ264)</f>
        <v/>
      </c>
      <c r="E264">
        <f>Calc_Daily!$KQ264</f>
        <v/>
      </c>
      <c r="F264">
        <f>IF(OR($A264&gt;cfg_LastDataDate,NOT(ISNUMBER(Calc_Daily!$F264))),NA(),Calc_Daily!$F264)</f>
        <v/>
      </c>
      <c r="G264">
        <f>IF(OR($A264&gt;cfg_LastDataDate,NOT(ISNUMBER(Calc_Daily!$U264))),NA(),Calc_Daily!$U264)</f>
        <v/>
      </c>
      <c r="H264">
        <f>IF(OR($A264&gt;cfg_LastDataDate,NOT(ISNUMBER(Calc_Daily!$DZ264))),NA(),Calc_Daily!$DZ264)</f>
        <v/>
      </c>
      <c r="I264">
        <f>IF(OR($A264&gt;cfg_LastDataDate,NOT(ISNUMBER(Calc_Daily!$DT264))),NA(),Calc_Daily!$DT264)</f>
        <v/>
      </c>
      <c r="J264">
        <f>IF(OR($A264&gt;cfg_LastDataDate,NOT(ISNUMBER(Calc_Daily!$IP264))),NA(),Calc_Daily!$IP264)</f>
        <v/>
      </c>
      <c r="K264">
        <f>Calc_Daily!$KM264</f>
        <v/>
      </c>
    </row>
    <row r="265">
      <c r="A265" s="54">
        <f>Calc_Daily!$A265</f>
        <v/>
      </c>
      <c r="B265">
        <f>IF(OR($A265&gt;cfg_LastDataDate,NOT(ISNUMBER(Calc_Daily!$CU265))),NA(),Calc_Daily!$CU265)</f>
        <v/>
      </c>
      <c r="C265">
        <f>Calc_Daily!$JT265/Calc_Daily!$D265</f>
        <v/>
      </c>
      <c r="D265">
        <f>IF(OR($A265&gt;cfg_LastDataDate,NOT(ISNUMBER(Calc_Daily!$EJ265))),NA(),Calc_Daily!$EJ265)</f>
        <v/>
      </c>
      <c r="E265">
        <f>Calc_Daily!$KQ265</f>
        <v/>
      </c>
      <c r="F265">
        <f>IF(OR($A265&gt;cfg_LastDataDate,NOT(ISNUMBER(Calc_Daily!$F265))),NA(),Calc_Daily!$F265)</f>
        <v/>
      </c>
      <c r="G265">
        <f>IF(OR($A265&gt;cfg_LastDataDate,NOT(ISNUMBER(Calc_Daily!$U265))),NA(),Calc_Daily!$U265)</f>
        <v/>
      </c>
      <c r="H265">
        <f>IF(OR($A265&gt;cfg_LastDataDate,NOT(ISNUMBER(Calc_Daily!$DZ265))),NA(),Calc_Daily!$DZ265)</f>
        <v/>
      </c>
      <c r="I265">
        <f>IF(OR($A265&gt;cfg_LastDataDate,NOT(ISNUMBER(Calc_Daily!$DT265))),NA(),Calc_Daily!$DT265)</f>
        <v/>
      </c>
      <c r="J265">
        <f>IF(OR($A265&gt;cfg_LastDataDate,NOT(ISNUMBER(Calc_Daily!$IP265))),NA(),Calc_Daily!$IP265)</f>
        <v/>
      </c>
      <c r="K265">
        <f>Calc_Daily!$KM265</f>
        <v/>
      </c>
    </row>
    <row r="266">
      <c r="A266" s="54">
        <f>Calc_Daily!$A266</f>
        <v/>
      </c>
      <c r="B266">
        <f>IF(OR($A266&gt;cfg_LastDataDate,NOT(ISNUMBER(Calc_Daily!$CU266))),NA(),Calc_Daily!$CU266)</f>
        <v/>
      </c>
      <c r="C266">
        <f>Calc_Daily!$JT266/Calc_Daily!$D266</f>
        <v/>
      </c>
      <c r="D266">
        <f>IF(OR($A266&gt;cfg_LastDataDate,NOT(ISNUMBER(Calc_Daily!$EJ266))),NA(),Calc_Daily!$EJ266)</f>
        <v/>
      </c>
      <c r="E266">
        <f>Calc_Daily!$KQ266</f>
        <v/>
      </c>
      <c r="F266">
        <f>IF(OR($A266&gt;cfg_LastDataDate,NOT(ISNUMBER(Calc_Daily!$F266))),NA(),Calc_Daily!$F266)</f>
        <v/>
      </c>
      <c r="G266">
        <f>IF(OR($A266&gt;cfg_LastDataDate,NOT(ISNUMBER(Calc_Daily!$U266))),NA(),Calc_Daily!$U266)</f>
        <v/>
      </c>
      <c r="H266">
        <f>IF(OR($A266&gt;cfg_LastDataDate,NOT(ISNUMBER(Calc_Daily!$DZ266))),NA(),Calc_Daily!$DZ266)</f>
        <v/>
      </c>
      <c r="I266">
        <f>IF(OR($A266&gt;cfg_LastDataDate,NOT(ISNUMBER(Calc_Daily!$DT266))),NA(),Calc_Daily!$DT266)</f>
        <v/>
      </c>
      <c r="J266">
        <f>IF(OR($A266&gt;cfg_LastDataDate,NOT(ISNUMBER(Calc_Daily!$IP266))),NA(),Calc_Daily!$IP266)</f>
        <v/>
      </c>
      <c r="K266">
        <f>Calc_Daily!$KM266</f>
        <v/>
      </c>
    </row>
    <row r="267">
      <c r="A267" s="54">
        <f>Calc_Daily!$A267</f>
        <v/>
      </c>
      <c r="B267">
        <f>IF(OR($A267&gt;cfg_LastDataDate,NOT(ISNUMBER(Calc_Daily!$CU267))),NA(),Calc_Daily!$CU267)</f>
        <v/>
      </c>
      <c r="C267">
        <f>Calc_Daily!$JT267/Calc_Daily!$D267</f>
        <v/>
      </c>
      <c r="D267">
        <f>IF(OR($A267&gt;cfg_LastDataDate,NOT(ISNUMBER(Calc_Daily!$EJ267))),NA(),Calc_Daily!$EJ267)</f>
        <v/>
      </c>
      <c r="E267">
        <f>Calc_Daily!$KQ267</f>
        <v/>
      </c>
      <c r="F267">
        <f>IF(OR($A267&gt;cfg_LastDataDate,NOT(ISNUMBER(Calc_Daily!$F267))),NA(),Calc_Daily!$F267)</f>
        <v/>
      </c>
      <c r="G267">
        <f>IF(OR($A267&gt;cfg_LastDataDate,NOT(ISNUMBER(Calc_Daily!$U267))),NA(),Calc_Daily!$U267)</f>
        <v/>
      </c>
      <c r="H267">
        <f>IF(OR($A267&gt;cfg_LastDataDate,NOT(ISNUMBER(Calc_Daily!$DZ267))),NA(),Calc_Daily!$DZ267)</f>
        <v/>
      </c>
      <c r="I267">
        <f>IF(OR($A267&gt;cfg_LastDataDate,NOT(ISNUMBER(Calc_Daily!$DT267))),NA(),Calc_Daily!$DT267)</f>
        <v/>
      </c>
      <c r="J267">
        <f>IF(OR($A267&gt;cfg_LastDataDate,NOT(ISNUMBER(Calc_Daily!$IP267))),NA(),Calc_Daily!$IP267)</f>
        <v/>
      </c>
      <c r="K267">
        <f>Calc_Daily!$KM267</f>
        <v/>
      </c>
    </row>
    <row r="268">
      <c r="A268" s="54">
        <f>Calc_Daily!$A268</f>
        <v/>
      </c>
      <c r="B268">
        <f>IF(OR($A268&gt;cfg_LastDataDate,NOT(ISNUMBER(Calc_Daily!$CU268))),NA(),Calc_Daily!$CU268)</f>
        <v/>
      </c>
      <c r="C268">
        <f>Calc_Daily!$JT268/Calc_Daily!$D268</f>
        <v/>
      </c>
      <c r="D268">
        <f>IF(OR($A268&gt;cfg_LastDataDate,NOT(ISNUMBER(Calc_Daily!$EJ268))),NA(),Calc_Daily!$EJ268)</f>
        <v/>
      </c>
      <c r="E268">
        <f>Calc_Daily!$KQ268</f>
        <v/>
      </c>
      <c r="F268">
        <f>IF(OR($A268&gt;cfg_LastDataDate,NOT(ISNUMBER(Calc_Daily!$F268))),NA(),Calc_Daily!$F268)</f>
        <v/>
      </c>
      <c r="G268">
        <f>IF(OR($A268&gt;cfg_LastDataDate,NOT(ISNUMBER(Calc_Daily!$U268))),NA(),Calc_Daily!$U268)</f>
        <v/>
      </c>
      <c r="H268">
        <f>IF(OR($A268&gt;cfg_LastDataDate,NOT(ISNUMBER(Calc_Daily!$DZ268))),NA(),Calc_Daily!$DZ268)</f>
        <v/>
      </c>
      <c r="I268">
        <f>IF(OR($A268&gt;cfg_LastDataDate,NOT(ISNUMBER(Calc_Daily!$DT268))),NA(),Calc_Daily!$DT268)</f>
        <v/>
      </c>
      <c r="J268">
        <f>IF(OR($A268&gt;cfg_LastDataDate,NOT(ISNUMBER(Calc_Daily!$IP268))),NA(),Calc_Daily!$IP268)</f>
        <v/>
      </c>
      <c r="K268">
        <f>Calc_Daily!$KM268</f>
        <v/>
      </c>
    </row>
    <row r="269">
      <c r="A269" s="54">
        <f>Calc_Daily!$A269</f>
        <v/>
      </c>
      <c r="B269">
        <f>IF(OR($A269&gt;cfg_LastDataDate,NOT(ISNUMBER(Calc_Daily!$CU269))),NA(),Calc_Daily!$CU269)</f>
        <v/>
      </c>
      <c r="C269">
        <f>Calc_Daily!$JT269/Calc_Daily!$D269</f>
        <v/>
      </c>
      <c r="D269">
        <f>IF(OR($A269&gt;cfg_LastDataDate,NOT(ISNUMBER(Calc_Daily!$EJ269))),NA(),Calc_Daily!$EJ269)</f>
        <v/>
      </c>
      <c r="E269">
        <f>Calc_Daily!$KQ269</f>
        <v/>
      </c>
      <c r="F269">
        <f>IF(OR($A269&gt;cfg_LastDataDate,NOT(ISNUMBER(Calc_Daily!$F269))),NA(),Calc_Daily!$F269)</f>
        <v/>
      </c>
      <c r="G269">
        <f>IF(OR($A269&gt;cfg_LastDataDate,NOT(ISNUMBER(Calc_Daily!$U269))),NA(),Calc_Daily!$U269)</f>
        <v/>
      </c>
      <c r="H269">
        <f>IF(OR($A269&gt;cfg_LastDataDate,NOT(ISNUMBER(Calc_Daily!$DZ269))),NA(),Calc_Daily!$DZ269)</f>
        <v/>
      </c>
      <c r="I269">
        <f>IF(OR($A269&gt;cfg_LastDataDate,NOT(ISNUMBER(Calc_Daily!$DT269))),NA(),Calc_Daily!$DT269)</f>
        <v/>
      </c>
      <c r="J269">
        <f>IF(OR($A269&gt;cfg_LastDataDate,NOT(ISNUMBER(Calc_Daily!$IP269))),NA(),Calc_Daily!$IP269)</f>
        <v/>
      </c>
      <c r="K269">
        <f>Calc_Daily!$KM269</f>
        <v/>
      </c>
    </row>
    <row r="270">
      <c r="A270" s="54">
        <f>Calc_Daily!$A270</f>
        <v/>
      </c>
      <c r="B270">
        <f>IF(OR($A270&gt;cfg_LastDataDate,NOT(ISNUMBER(Calc_Daily!$CU270))),NA(),Calc_Daily!$CU270)</f>
        <v/>
      </c>
      <c r="C270">
        <f>Calc_Daily!$JT270/Calc_Daily!$D270</f>
        <v/>
      </c>
      <c r="D270">
        <f>IF(OR($A270&gt;cfg_LastDataDate,NOT(ISNUMBER(Calc_Daily!$EJ270))),NA(),Calc_Daily!$EJ270)</f>
        <v/>
      </c>
      <c r="E270">
        <f>Calc_Daily!$KQ270</f>
        <v/>
      </c>
      <c r="F270">
        <f>IF(OR($A270&gt;cfg_LastDataDate,NOT(ISNUMBER(Calc_Daily!$F270))),NA(),Calc_Daily!$F270)</f>
        <v/>
      </c>
      <c r="G270">
        <f>IF(OR($A270&gt;cfg_LastDataDate,NOT(ISNUMBER(Calc_Daily!$U270))),NA(),Calc_Daily!$U270)</f>
        <v/>
      </c>
      <c r="H270">
        <f>IF(OR($A270&gt;cfg_LastDataDate,NOT(ISNUMBER(Calc_Daily!$DZ270))),NA(),Calc_Daily!$DZ270)</f>
        <v/>
      </c>
      <c r="I270">
        <f>IF(OR($A270&gt;cfg_LastDataDate,NOT(ISNUMBER(Calc_Daily!$DT270))),NA(),Calc_Daily!$DT270)</f>
        <v/>
      </c>
      <c r="J270">
        <f>IF(OR($A270&gt;cfg_LastDataDate,NOT(ISNUMBER(Calc_Daily!$IP270))),NA(),Calc_Daily!$IP270)</f>
        <v/>
      </c>
      <c r="K270">
        <f>Calc_Daily!$KM270</f>
        <v/>
      </c>
    </row>
    <row r="271">
      <c r="A271" s="54">
        <f>Calc_Daily!$A271</f>
        <v/>
      </c>
      <c r="B271">
        <f>IF(OR($A271&gt;cfg_LastDataDate,NOT(ISNUMBER(Calc_Daily!$CU271))),NA(),Calc_Daily!$CU271)</f>
        <v/>
      </c>
      <c r="C271">
        <f>Calc_Daily!$JT271/Calc_Daily!$D271</f>
        <v/>
      </c>
      <c r="D271">
        <f>IF(OR($A271&gt;cfg_LastDataDate,NOT(ISNUMBER(Calc_Daily!$EJ271))),NA(),Calc_Daily!$EJ271)</f>
        <v/>
      </c>
      <c r="E271">
        <f>Calc_Daily!$KQ271</f>
        <v/>
      </c>
      <c r="F271">
        <f>IF(OR($A271&gt;cfg_LastDataDate,NOT(ISNUMBER(Calc_Daily!$F271))),NA(),Calc_Daily!$F271)</f>
        <v/>
      </c>
      <c r="G271">
        <f>IF(OR($A271&gt;cfg_LastDataDate,NOT(ISNUMBER(Calc_Daily!$U271))),NA(),Calc_Daily!$U271)</f>
        <v/>
      </c>
      <c r="H271">
        <f>IF(OR($A271&gt;cfg_LastDataDate,NOT(ISNUMBER(Calc_Daily!$DZ271))),NA(),Calc_Daily!$DZ271)</f>
        <v/>
      </c>
      <c r="I271">
        <f>IF(OR($A271&gt;cfg_LastDataDate,NOT(ISNUMBER(Calc_Daily!$DT271))),NA(),Calc_Daily!$DT271)</f>
        <v/>
      </c>
      <c r="J271">
        <f>IF(OR($A271&gt;cfg_LastDataDate,NOT(ISNUMBER(Calc_Daily!$IP271))),NA(),Calc_Daily!$IP271)</f>
        <v/>
      </c>
      <c r="K271">
        <f>Calc_Daily!$KM271</f>
        <v/>
      </c>
    </row>
    <row r="272">
      <c r="A272" s="54">
        <f>Calc_Daily!$A272</f>
        <v/>
      </c>
      <c r="B272">
        <f>IF(OR($A272&gt;cfg_LastDataDate,NOT(ISNUMBER(Calc_Daily!$CU272))),NA(),Calc_Daily!$CU272)</f>
        <v/>
      </c>
      <c r="C272">
        <f>Calc_Daily!$JT272/Calc_Daily!$D272</f>
        <v/>
      </c>
      <c r="D272">
        <f>IF(OR($A272&gt;cfg_LastDataDate,NOT(ISNUMBER(Calc_Daily!$EJ272))),NA(),Calc_Daily!$EJ272)</f>
        <v/>
      </c>
      <c r="E272">
        <f>Calc_Daily!$KQ272</f>
        <v/>
      </c>
      <c r="F272">
        <f>IF(OR($A272&gt;cfg_LastDataDate,NOT(ISNUMBER(Calc_Daily!$F272))),NA(),Calc_Daily!$F272)</f>
        <v/>
      </c>
      <c r="G272">
        <f>IF(OR($A272&gt;cfg_LastDataDate,NOT(ISNUMBER(Calc_Daily!$U272))),NA(),Calc_Daily!$U272)</f>
        <v/>
      </c>
      <c r="H272">
        <f>IF(OR($A272&gt;cfg_LastDataDate,NOT(ISNUMBER(Calc_Daily!$DZ272))),NA(),Calc_Daily!$DZ272)</f>
        <v/>
      </c>
      <c r="I272">
        <f>IF(OR($A272&gt;cfg_LastDataDate,NOT(ISNUMBER(Calc_Daily!$DT272))),NA(),Calc_Daily!$DT272)</f>
        <v/>
      </c>
      <c r="J272">
        <f>IF(OR($A272&gt;cfg_LastDataDate,NOT(ISNUMBER(Calc_Daily!$IP272))),NA(),Calc_Daily!$IP272)</f>
        <v/>
      </c>
      <c r="K272">
        <f>Calc_Daily!$KM272</f>
        <v/>
      </c>
    </row>
    <row r="273">
      <c r="A273" s="54">
        <f>Calc_Daily!$A273</f>
        <v/>
      </c>
      <c r="B273">
        <f>IF(OR($A273&gt;cfg_LastDataDate,NOT(ISNUMBER(Calc_Daily!$CU273))),NA(),Calc_Daily!$CU273)</f>
        <v/>
      </c>
      <c r="C273">
        <f>Calc_Daily!$JT273/Calc_Daily!$D273</f>
        <v/>
      </c>
      <c r="D273">
        <f>IF(OR($A273&gt;cfg_LastDataDate,NOT(ISNUMBER(Calc_Daily!$EJ273))),NA(),Calc_Daily!$EJ273)</f>
        <v/>
      </c>
      <c r="E273">
        <f>Calc_Daily!$KQ273</f>
        <v/>
      </c>
      <c r="F273">
        <f>IF(OR($A273&gt;cfg_LastDataDate,NOT(ISNUMBER(Calc_Daily!$F273))),NA(),Calc_Daily!$F273)</f>
        <v/>
      </c>
      <c r="G273">
        <f>IF(OR($A273&gt;cfg_LastDataDate,NOT(ISNUMBER(Calc_Daily!$U273))),NA(),Calc_Daily!$U273)</f>
        <v/>
      </c>
      <c r="H273">
        <f>IF(OR($A273&gt;cfg_LastDataDate,NOT(ISNUMBER(Calc_Daily!$DZ273))),NA(),Calc_Daily!$DZ273)</f>
        <v/>
      </c>
      <c r="I273">
        <f>IF(OR($A273&gt;cfg_LastDataDate,NOT(ISNUMBER(Calc_Daily!$DT273))),NA(),Calc_Daily!$DT273)</f>
        <v/>
      </c>
      <c r="J273">
        <f>IF(OR($A273&gt;cfg_LastDataDate,NOT(ISNUMBER(Calc_Daily!$IP273))),NA(),Calc_Daily!$IP273)</f>
        <v/>
      </c>
      <c r="K273">
        <f>Calc_Daily!$KM273</f>
        <v/>
      </c>
    </row>
    <row r="274">
      <c r="A274" s="54">
        <f>Calc_Daily!$A274</f>
        <v/>
      </c>
      <c r="B274">
        <f>IF(OR($A274&gt;cfg_LastDataDate,NOT(ISNUMBER(Calc_Daily!$CU274))),NA(),Calc_Daily!$CU274)</f>
        <v/>
      </c>
      <c r="C274">
        <f>Calc_Daily!$JT274/Calc_Daily!$D274</f>
        <v/>
      </c>
      <c r="D274">
        <f>IF(OR($A274&gt;cfg_LastDataDate,NOT(ISNUMBER(Calc_Daily!$EJ274))),NA(),Calc_Daily!$EJ274)</f>
        <v/>
      </c>
      <c r="E274">
        <f>Calc_Daily!$KQ274</f>
        <v/>
      </c>
      <c r="F274">
        <f>IF(OR($A274&gt;cfg_LastDataDate,NOT(ISNUMBER(Calc_Daily!$F274))),NA(),Calc_Daily!$F274)</f>
        <v/>
      </c>
      <c r="G274">
        <f>IF(OR($A274&gt;cfg_LastDataDate,NOT(ISNUMBER(Calc_Daily!$U274))),NA(),Calc_Daily!$U274)</f>
        <v/>
      </c>
      <c r="H274">
        <f>IF(OR($A274&gt;cfg_LastDataDate,NOT(ISNUMBER(Calc_Daily!$DZ274))),NA(),Calc_Daily!$DZ274)</f>
        <v/>
      </c>
      <c r="I274">
        <f>IF(OR($A274&gt;cfg_LastDataDate,NOT(ISNUMBER(Calc_Daily!$DT274))),NA(),Calc_Daily!$DT274)</f>
        <v/>
      </c>
      <c r="J274">
        <f>IF(OR($A274&gt;cfg_LastDataDate,NOT(ISNUMBER(Calc_Daily!$IP274))),NA(),Calc_Daily!$IP274)</f>
        <v/>
      </c>
      <c r="K274">
        <f>Calc_Daily!$KM274</f>
        <v/>
      </c>
    </row>
    <row r="275">
      <c r="A275" s="54">
        <f>Calc_Daily!$A275</f>
        <v/>
      </c>
      <c r="B275">
        <f>IF(OR($A275&gt;cfg_LastDataDate,NOT(ISNUMBER(Calc_Daily!$CU275))),NA(),Calc_Daily!$CU275)</f>
        <v/>
      </c>
      <c r="C275">
        <f>Calc_Daily!$JT275/Calc_Daily!$D275</f>
        <v/>
      </c>
      <c r="D275">
        <f>IF(OR($A275&gt;cfg_LastDataDate,NOT(ISNUMBER(Calc_Daily!$EJ275))),NA(),Calc_Daily!$EJ275)</f>
        <v/>
      </c>
      <c r="E275">
        <f>Calc_Daily!$KQ275</f>
        <v/>
      </c>
      <c r="F275">
        <f>IF(OR($A275&gt;cfg_LastDataDate,NOT(ISNUMBER(Calc_Daily!$F275))),NA(),Calc_Daily!$F275)</f>
        <v/>
      </c>
      <c r="G275">
        <f>IF(OR($A275&gt;cfg_LastDataDate,NOT(ISNUMBER(Calc_Daily!$U275))),NA(),Calc_Daily!$U275)</f>
        <v/>
      </c>
      <c r="H275">
        <f>IF(OR($A275&gt;cfg_LastDataDate,NOT(ISNUMBER(Calc_Daily!$DZ275))),NA(),Calc_Daily!$DZ275)</f>
        <v/>
      </c>
      <c r="I275">
        <f>IF(OR($A275&gt;cfg_LastDataDate,NOT(ISNUMBER(Calc_Daily!$DT275))),NA(),Calc_Daily!$DT275)</f>
        <v/>
      </c>
      <c r="J275">
        <f>IF(OR($A275&gt;cfg_LastDataDate,NOT(ISNUMBER(Calc_Daily!$IP275))),NA(),Calc_Daily!$IP275)</f>
        <v/>
      </c>
      <c r="K275">
        <f>Calc_Daily!$KM275</f>
        <v/>
      </c>
    </row>
    <row r="276">
      <c r="A276" s="54">
        <f>Calc_Daily!$A276</f>
        <v/>
      </c>
      <c r="B276">
        <f>IF(OR($A276&gt;cfg_LastDataDate,NOT(ISNUMBER(Calc_Daily!$CU276))),NA(),Calc_Daily!$CU276)</f>
        <v/>
      </c>
      <c r="C276">
        <f>Calc_Daily!$JT276/Calc_Daily!$D276</f>
        <v/>
      </c>
      <c r="D276">
        <f>IF(OR($A276&gt;cfg_LastDataDate,NOT(ISNUMBER(Calc_Daily!$EJ276))),NA(),Calc_Daily!$EJ276)</f>
        <v/>
      </c>
      <c r="E276">
        <f>Calc_Daily!$KQ276</f>
        <v/>
      </c>
      <c r="F276">
        <f>IF(OR($A276&gt;cfg_LastDataDate,NOT(ISNUMBER(Calc_Daily!$F276))),NA(),Calc_Daily!$F276)</f>
        <v/>
      </c>
      <c r="G276">
        <f>IF(OR($A276&gt;cfg_LastDataDate,NOT(ISNUMBER(Calc_Daily!$U276))),NA(),Calc_Daily!$U276)</f>
        <v/>
      </c>
      <c r="H276">
        <f>IF(OR($A276&gt;cfg_LastDataDate,NOT(ISNUMBER(Calc_Daily!$DZ276))),NA(),Calc_Daily!$DZ276)</f>
        <v/>
      </c>
      <c r="I276">
        <f>IF(OR($A276&gt;cfg_LastDataDate,NOT(ISNUMBER(Calc_Daily!$DT276))),NA(),Calc_Daily!$DT276)</f>
        <v/>
      </c>
      <c r="J276">
        <f>IF(OR($A276&gt;cfg_LastDataDate,NOT(ISNUMBER(Calc_Daily!$IP276))),NA(),Calc_Daily!$IP276)</f>
        <v/>
      </c>
      <c r="K276">
        <f>Calc_Daily!$KM276</f>
        <v/>
      </c>
    </row>
    <row r="277">
      <c r="A277" s="54">
        <f>Calc_Daily!$A277</f>
        <v/>
      </c>
      <c r="B277">
        <f>IF(OR($A277&gt;cfg_LastDataDate,NOT(ISNUMBER(Calc_Daily!$CU277))),NA(),Calc_Daily!$CU277)</f>
        <v/>
      </c>
      <c r="C277">
        <f>Calc_Daily!$JT277/Calc_Daily!$D277</f>
        <v/>
      </c>
      <c r="D277">
        <f>IF(OR($A277&gt;cfg_LastDataDate,NOT(ISNUMBER(Calc_Daily!$EJ277))),NA(),Calc_Daily!$EJ277)</f>
        <v/>
      </c>
      <c r="E277">
        <f>Calc_Daily!$KQ277</f>
        <v/>
      </c>
      <c r="F277">
        <f>IF(OR($A277&gt;cfg_LastDataDate,NOT(ISNUMBER(Calc_Daily!$F277))),NA(),Calc_Daily!$F277)</f>
        <v/>
      </c>
      <c r="G277">
        <f>IF(OR($A277&gt;cfg_LastDataDate,NOT(ISNUMBER(Calc_Daily!$U277))),NA(),Calc_Daily!$U277)</f>
        <v/>
      </c>
      <c r="H277">
        <f>IF(OR($A277&gt;cfg_LastDataDate,NOT(ISNUMBER(Calc_Daily!$DZ277))),NA(),Calc_Daily!$DZ277)</f>
        <v/>
      </c>
      <c r="I277">
        <f>IF(OR($A277&gt;cfg_LastDataDate,NOT(ISNUMBER(Calc_Daily!$DT277))),NA(),Calc_Daily!$DT277)</f>
        <v/>
      </c>
      <c r="J277">
        <f>IF(OR($A277&gt;cfg_LastDataDate,NOT(ISNUMBER(Calc_Daily!$IP277))),NA(),Calc_Daily!$IP277)</f>
        <v/>
      </c>
      <c r="K277">
        <f>Calc_Daily!$KM277</f>
        <v/>
      </c>
    </row>
    <row r="278">
      <c r="A278" s="54">
        <f>Calc_Daily!$A278</f>
        <v/>
      </c>
      <c r="B278">
        <f>IF(OR($A278&gt;cfg_LastDataDate,NOT(ISNUMBER(Calc_Daily!$CU278))),NA(),Calc_Daily!$CU278)</f>
        <v/>
      </c>
      <c r="C278">
        <f>Calc_Daily!$JT278/Calc_Daily!$D278</f>
        <v/>
      </c>
      <c r="D278">
        <f>IF(OR($A278&gt;cfg_LastDataDate,NOT(ISNUMBER(Calc_Daily!$EJ278))),NA(),Calc_Daily!$EJ278)</f>
        <v/>
      </c>
      <c r="E278">
        <f>Calc_Daily!$KQ278</f>
        <v/>
      </c>
      <c r="F278">
        <f>IF(OR($A278&gt;cfg_LastDataDate,NOT(ISNUMBER(Calc_Daily!$F278))),NA(),Calc_Daily!$F278)</f>
        <v/>
      </c>
      <c r="G278">
        <f>IF(OR($A278&gt;cfg_LastDataDate,NOT(ISNUMBER(Calc_Daily!$U278))),NA(),Calc_Daily!$U278)</f>
        <v/>
      </c>
      <c r="H278">
        <f>IF(OR($A278&gt;cfg_LastDataDate,NOT(ISNUMBER(Calc_Daily!$DZ278))),NA(),Calc_Daily!$DZ278)</f>
        <v/>
      </c>
      <c r="I278">
        <f>IF(OR($A278&gt;cfg_LastDataDate,NOT(ISNUMBER(Calc_Daily!$DT278))),NA(),Calc_Daily!$DT278)</f>
        <v/>
      </c>
      <c r="J278">
        <f>IF(OR($A278&gt;cfg_LastDataDate,NOT(ISNUMBER(Calc_Daily!$IP278))),NA(),Calc_Daily!$IP278)</f>
        <v/>
      </c>
      <c r="K278">
        <f>Calc_Daily!$KM278</f>
        <v/>
      </c>
    </row>
    <row r="279">
      <c r="A279" s="54">
        <f>Calc_Daily!$A279</f>
        <v/>
      </c>
      <c r="B279">
        <f>IF(OR($A279&gt;cfg_LastDataDate,NOT(ISNUMBER(Calc_Daily!$CU279))),NA(),Calc_Daily!$CU279)</f>
        <v/>
      </c>
      <c r="C279">
        <f>Calc_Daily!$JT279/Calc_Daily!$D279</f>
        <v/>
      </c>
      <c r="D279">
        <f>IF(OR($A279&gt;cfg_LastDataDate,NOT(ISNUMBER(Calc_Daily!$EJ279))),NA(),Calc_Daily!$EJ279)</f>
        <v/>
      </c>
      <c r="E279">
        <f>Calc_Daily!$KQ279</f>
        <v/>
      </c>
      <c r="F279">
        <f>IF(OR($A279&gt;cfg_LastDataDate,NOT(ISNUMBER(Calc_Daily!$F279))),NA(),Calc_Daily!$F279)</f>
        <v/>
      </c>
      <c r="G279">
        <f>IF(OR($A279&gt;cfg_LastDataDate,NOT(ISNUMBER(Calc_Daily!$U279))),NA(),Calc_Daily!$U279)</f>
        <v/>
      </c>
      <c r="H279">
        <f>IF(OR($A279&gt;cfg_LastDataDate,NOT(ISNUMBER(Calc_Daily!$DZ279))),NA(),Calc_Daily!$DZ279)</f>
        <v/>
      </c>
      <c r="I279">
        <f>IF(OR($A279&gt;cfg_LastDataDate,NOT(ISNUMBER(Calc_Daily!$DT279))),NA(),Calc_Daily!$DT279)</f>
        <v/>
      </c>
      <c r="J279">
        <f>IF(OR($A279&gt;cfg_LastDataDate,NOT(ISNUMBER(Calc_Daily!$IP279))),NA(),Calc_Daily!$IP279)</f>
        <v/>
      </c>
      <c r="K279">
        <f>Calc_Daily!$KM279</f>
        <v/>
      </c>
    </row>
    <row r="280">
      <c r="A280" s="54">
        <f>Calc_Daily!$A280</f>
        <v/>
      </c>
      <c r="B280">
        <f>IF(OR($A280&gt;cfg_LastDataDate,NOT(ISNUMBER(Calc_Daily!$CU280))),NA(),Calc_Daily!$CU280)</f>
        <v/>
      </c>
      <c r="C280">
        <f>Calc_Daily!$JT280/Calc_Daily!$D280</f>
        <v/>
      </c>
      <c r="D280">
        <f>IF(OR($A280&gt;cfg_LastDataDate,NOT(ISNUMBER(Calc_Daily!$EJ280))),NA(),Calc_Daily!$EJ280)</f>
        <v/>
      </c>
      <c r="E280">
        <f>Calc_Daily!$KQ280</f>
        <v/>
      </c>
      <c r="F280">
        <f>IF(OR($A280&gt;cfg_LastDataDate,NOT(ISNUMBER(Calc_Daily!$F280))),NA(),Calc_Daily!$F280)</f>
        <v/>
      </c>
      <c r="G280">
        <f>IF(OR($A280&gt;cfg_LastDataDate,NOT(ISNUMBER(Calc_Daily!$U280))),NA(),Calc_Daily!$U280)</f>
        <v/>
      </c>
      <c r="H280">
        <f>IF(OR($A280&gt;cfg_LastDataDate,NOT(ISNUMBER(Calc_Daily!$DZ280))),NA(),Calc_Daily!$DZ280)</f>
        <v/>
      </c>
      <c r="I280">
        <f>IF(OR($A280&gt;cfg_LastDataDate,NOT(ISNUMBER(Calc_Daily!$DT280))),NA(),Calc_Daily!$DT280)</f>
        <v/>
      </c>
      <c r="J280">
        <f>IF(OR($A280&gt;cfg_LastDataDate,NOT(ISNUMBER(Calc_Daily!$IP280))),NA(),Calc_Daily!$IP280)</f>
        <v/>
      </c>
      <c r="K280">
        <f>Calc_Daily!$KM280</f>
        <v/>
      </c>
    </row>
    <row r="281">
      <c r="A281" s="54">
        <f>Calc_Daily!$A281</f>
        <v/>
      </c>
      <c r="B281">
        <f>IF(OR($A281&gt;cfg_LastDataDate,NOT(ISNUMBER(Calc_Daily!$CU281))),NA(),Calc_Daily!$CU281)</f>
        <v/>
      </c>
      <c r="C281">
        <f>Calc_Daily!$JT281/Calc_Daily!$D281</f>
        <v/>
      </c>
      <c r="D281">
        <f>IF(OR($A281&gt;cfg_LastDataDate,NOT(ISNUMBER(Calc_Daily!$EJ281))),NA(),Calc_Daily!$EJ281)</f>
        <v/>
      </c>
      <c r="E281">
        <f>Calc_Daily!$KQ281</f>
        <v/>
      </c>
      <c r="F281">
        <f>IF(OR($A281&gt;cfg_LastDataDate,NOT(ISNUMBER(Calc_Daily!$F281))),NA(),Calc_Daily!$F281)</f>
        <v/>
      </c>
      <c r="G281">
        <f>IF(OR($A281&gt;cfg_LastDataDate,NOT(ISNUMBER(Calc_Daily!$U281))),NA(),Calc_Daily!$U281)</f>
        <v/>
      </c>
      <c r="H281">
        <f>IF(OR($A281&gt;cfg_LastDataDate,NOT(ISNUMBER(Calc_Daily!$DZ281))),NA(),Calc_Daily!$DZ281)</f>
        <v/>
      </c>
      <c r="I281">
        <f>IF(OR($A281&gt;cfg_LastDataDate,NOT(ISNUMBER(Calc_Daily!$DT281))),NA(),Calc_Daily!$DT281)</f>
        <v/>
      </c>
      <c r="J281">
        <f>IF(OR($A281&gt;cfg_LastDataDate,NOT(ISNUMBER(Calc_Daily!$IP281))),NA(),Calc_Daily!$IP281)</f>
        <v/>
      </c>
      <c r="K281">
        <f>Calc_Daily!$KM281</f>
        <v/>
      </c>
    </row>
    <row r="282">
      <c r="A282" s="54">
        <f>Calc_Daily!$A282</f>
        <v/>
      </c>
      <c r="B282">
        <f>IF(OR($A282&gt;cfg_LastDataDate,NOT(ISNUMBER(Calc_Daily!$CU282))),NA(),Calc_Daily!$CU282)</f>
        <v/>
      </c>
      <c r="C282">
        <f>Calc_Daily!$JT282/Calc_Daily!$D282</f>
        <v/>
      </c>
      <c r="D282">
        <f>IF(OR($A282&gt;cfg_LastDataDate,NOT(ISNUMBER(Calc_Daily!$EJ282))),NA(),Calc_Daily!$EJ282)</f>
        <v/>
      </c>
      <c r="E282">
        <f>Calc_Daily!$KQ282</f>
        <v/>
      </c>
      <c r="F282">
        <f>IF(OR($A282&gt;cfg_LastDataDate,NOT(ISNUMBER(Calc_Daily!$F282))),NA(),Calc_Daily!$F282)</f>
        <v/>
      </c>
      <c r="G282">
        <f>IF(OR($A282&gt;cfg_LastDataDate,NOT(ISNUMBER(Calc_Daily!$U282))),NA(),Calc_Daily!$U282)</f>
        <v/>
      </c>
      <c r="H282">
        <f>IF(OR($A282&gt;cfg_LastDataDate,NOT(ISNUMBER(Calc_Daily!$DZ282))),NA(),Calc_Daily!$DZ282)</f>
        <v/>
      </c>
      <c r="I282">
        <f>IF(OR($A282&gt;cfg_LastDataDate,NOT(ISNUMBER(Calc_Daily!$DT282))),NA(),Calc_Daily!$DT282)</f>
        <v/>
      </c>
      <c r="J282">
        <f>IF(OR($A282&gt;cfg_LastDataDate,NOT(ISNUMBER(Calc_Daily!$IP282))),NA(),Calc_Daily!$IP282)</f>
        <v/>
      </c>
      <c r="K282">
        <f>Calc_Daily!$KM282</f>
        <v/>
      </c>
    </row>
    <row r="283">
      <c r="A283" s="54">
        <f>Calc_Daily!$A283</f>
        <v/>
      </c>
      <c r="B283">
        <f>IF(OR($A283&gt;cfg_LastDataDate,NOT(ISNUMBER(Calc_Daily!$CU283))),NA(),Calc_Daily!$CU283)</f>
        <v/>
      </c>
      <c r="C283">
        <f>Calc_Daily!$JT283/Calc_Daily!$D283</f>
        <v/>
      </c>
      <c r="D283">
        <f>IF(OR($A283&gt;cfg_LastDataDate,NOT(ISNUMBER(Calc_Daily!$EJ283))),NA(),Calc_Daily!$EJ283)</f>
        <v/>
      </c>
      <c r="E283">
        <f>Calc_Daily!$KQ283</f>
        <v/>
      </c>
      <c r="F283">
        <f>IF(OR($A283&gt;cfg_LastDataDate,NOT(ISNUMBER(Calc_Daily!$F283))),NA(),Calc_Daily!$F283)</f>
        <v/>
      </c>
      <c r="G283">
        <f>IF(OR($A283&gt;cfg_LastDataDate,NOT(ISNUMBER(Calc_Daily!$U283))),NA(),Calc_Daily!$U283)</f>
        <v/>
      </c>
      <c r="H283">
        <f>IF(OR($A283&gt;cfg_LastDataDate,NOT(ISNUMBER(Calc_Daily!$DZ283))),NA(),Calc_Daily!$DZ283)</f>
        <v/>
      </c>
      <c r="I283">
        <f>IF(OR($A283&gt;cfg_LastDataDate,NOT(ISNUMBER(Calc_Daily!$DT283))),NA(),Calc_Daily!$DT283)</f>
        <v/>
      </c>
      <c r="J283">
        <f>IF(OR($A283&gt;cfg_LastDataDate,NOT(ISNUMBER(Calc_Daily!$IP283))),NA(),Calc_Daily!$IP283)</f>
        <v/>
      </c>
      <c r="K283">
        <f>Calc_Daily!$KM283</f>
        <v/>
      </c>
    </row>
    <row r="284">
      <c r="A284" s="54">
        <f>Calc_Daily!$A284</f>
        <v/>
      </c>
      <c r="B284">
        <f>IF(OR($A284&gt;cfg_LastDataDate,NOT(ISNUMBER(Calc_Daily!$CU284))),NA(),Calc_Daily!$CU284)</f>
        <v/>
      </c>
      <c r="C284">
        <f>Calc_Daily!$JT284/Calc_Daily!$D284</f>
        <v/>
      </c>
      <c r="D284">
        <f>IF(OR($A284&gt;cfg_LastDataDate,NOT(ISNUMBER(Calc_Daily!$EJ284))),NA(),Calc_Daily!$EJ284)</f>
        <v/>
      </c>
      <c r="E284">
        <f>Calc_Daily!$KQ284</f>
        <v/>
      </c>
      <c r="F284">
        <f>IF(OR($A284&gt;cfg_LastDataDate,NOT(ISNUMBER(Calc_Daily!$F284))),NA(),Calc_Daily!$F284)</f>
        <v/>
      </c>
      <c r="G284">
        <f>IF(OR($A284&gt;cfg_LastDataDate,NOT(ISNUMBER(Calc_Daily!$U284))),NA(),Calc_Daily!$U284)</f>
        <v/>
      </c>
      <c r="H284">
        <f>IF(OR($A284&gt;cfg_LastDataDate,NOT(ISNUMBER(Calc_Daily!$DZ284))),NA(),Calc_Daily!$DZ284)</f>
        <v/>
      </c>
      <c r="I284">
        <f>IF(OR($A284&gt;cfg_LastDataDate,NOT(ISNUMBER(Calc_Daily!$DT284))),NA(),Calc_Daily!$DT284)</f>
        <v/>
      </c>
      <c r="J284">
        <f>IF(OR($A284&gt;cfg_LastDataDate,NOT(ISNUMBER(Calc_Daily!$IP284))),NA(),Calc_Daily!$IP284)</f>
        <v/>
      </c>
      <c r="K284">
        <f>Calc_Daily!$KM284</f>
        <v/>
      </c>
    </row>
    <row r="285">
      <c r="A285" s="54">
        <f>Calc_Daily!$A285</f>
        <v/>
      </c>
      <c r="B285">
        <f>IF(OR($A285&gt;cfg_LastDataDate,NOT(ISNUMBER(Calc_Daily!$CU285))),NA(),Calc_Daily!$CU285)</f>
        <v/>
      </c>
      <c r="C285">
        <f>Calc_Daily!$JT285/Calc_Daily!$D285</f>
        <v/>
      </c>
      <c r="D285">
        <f>IF(OR($A285&gt;cfg_LastDataDate,NOT(ISNUMBER(Calc_Daily!$EJ285))),NA(),Calc_Daily!$EJ285)</f>
        <v/>
      </c>
      <c r="E285">
        <f>Calc_Daily!$KQ285</f>
        <v/>
      </c>
      <c r="F285">
        <f>IF(OR($A285&gt;cfg_LastDataDate,NOT(ISNUMBER(Calc_Daily!$F285))),NA(),Calc_Daily!$F285)</f>
        <v/>
      </c>
      <c r="G285">
        <f>IF(OR($A285&gt;cfg_LastDataDate,NOT(ISNUMBER(Calc_Daily!$U285))),NA(),Calc_Daily!$U285)</f>
        <v/>
      </c>
      <c r="H285">
        <f>IF(OR($A285&gt;cfg_LastDataDate,NOT(ISNUMBER(Calc_Daily!$DZ285))),NA(),Calc_Daily!$DZ285)</f>
        <v/>
      </c>
      <c r="I285">
        <f>IF(OR($A285&gt;cfg_LastDataDate,NOT(ISNUMBER(Calc_Daily!$DT285))),NA(),Calc_Daily!$DT285)</f>
        <v/>
      </c>
      <c r="J285">
        <f>IF(OR($A285&gt;cfg_LastDataDate,NOT(ISNUMBER(Calc_Daily!$IP285))),NA(),Calc_Daily!$IP285)</f>
        <v/>
      </c>
      <c r="K285">
        <f>Calc_Daily!$KM285</f>
        <v/>
      </c>
    </row>
    <row r="286">
      <c r="A286" s="54">
        <f>Calc_Daily!$A286</f>
        <v/>
      </c>
      <c r="B286">
        <f>IF(OR($A286&gt;cfg_LastDataDate,NOT(ISNUMBER(Calc_Daily!$CU286))),NA(),Calc_Daily!$CU286)</f>
        <v/>
      </c>
      <c r="C286">
        <f>Calc_Daily!$JT286/Calc_Daily!$D286</f>
        <v/>
      </c>
      <c r="D286">
        <f>IF(OR($A286&gt;cfg_LastDataDate,NOT(ISNUMBER(Calc_Daily!$EJ286))),NA(),Calc_Daily!$EJ286)</f>
        <v/>
      </c>
      <c r="E286">
        <f>Calc_Daily!$KQ286</f>
        <v/>
      </c>
      <c r="F286">
        <f>IF(OR($A286&gt;cfg_LastDataDate,NOT(ISNUMBER(Calc_Daily!$F286))),NA(),Calc_Daily!$F286)</f>
        <v/>
      </c>
      <c r="G286">
        <f>IF(OR($A286&gt;cfg_LastDataDate,NOT(ISNUMBER(Calc_Daily!$U286))),NA(),Calc_Daily!$U286)</f>
        <v/>
      </c>
      <c r="H286">
        <f>IF(OR($A286&gt;cfg_LastDataDate,NOT(ISNUMBER(Calc_Daily!$DZ286))),NA(),Calc_Daily!$DZ286)</f>
        <v/>
      </c>
      <c r="I286">
        <f>IF(OR($A286&gt;cfg_LastDataDate,NOT(ISNUMBER(Calc_Daily!$DT286))),NA(),Calc_Daily!$DT286)</f>
        <v/>
      </c>
      <c r="J286">
        <f>IF(OR($A286&gt;cfg_LastDataDate,NOT(ISNUMBER(Calc_Daily!$IP286))),NA(),Calc_Daily!$IP286)</f>
        <v/>
      </c>
      <c r="K286">
        <f>Calc_Daily!$KM286</f>
        <v/>
      </c>
    </row>
    <row r="287">
      <c r="A287" s="54">
        <f>Calc_Daily!$A287</f>
        <v/>
      </c>
      <c r="B287">
        <f>IF(OR($A287&gt;cfg_LastDataDate,NOT(ISNUMBER(Calc_Daily!$CU287))),NA(),Calc_Daily!$CU287)</f>
        <v/>
      </c>
      <c r="C287">
        <f>Calc_Daily!$JT287/Calc_Daily!$D287</f>
        <v/>
      </c>
      <c r="D287">
        <f>IF(OR($A287&gt;cfg_LastDataDate,NOT(ISNUMBER(Calc_Daily!$EJ287))),NA(),Calc_Daily!$EJ287)</f>
        <v/>
      </c>
      <c r="E287">
        <f>Calc_Daily!$KQ287</f>
        <v/>
      </c>
      <c r="F287">
        <f>IF(OR($A287&gt;cfg_LastDataDate,NOT(ISNUMBER(Calc_Daily!$F287))),NA(),Calc_Daily!$F287)</f>
        <v/>
      </c>
      <c r="G287">
        <f>IF(OR($A287&gt;cfg_LastDataDate,NOT(ISNUMBER(Calc_Daily!$U287))),NA(),Calc_Daily!$U287)</f>
        <v/>
      </c>
      <c r="H287">
        <f>IF(OR($A287&gt;cfg_LastDataDate,NOT(ISNUMBER(Calc_Daily!$DZ287))),NA(),Calc_Daily!$DZ287)</f>
        <v/>
      </c>
      <c r="I287">
        <f>IF(OR($A287&gt;cfg_LastDataDate,NOT(ISNUMBER(Calc_Daily!$DT287))),NA(),Calc_Daily!$DT287)</f>
        <v/>
      </c>
      <c r="J287">
        <f>IF(OR($A287&gt;cfg_LastDataDate,NOT(ISNUMBER(Calc_Daily!$IP287))),NA(),Calc_Daily!$IP287)</f>
        <v/>
      </c>
      <c r="K287">
        <f>Calc_Daily!$KM287</f>
        <v/>
      </c>
    </row>
    <row r="288">
      <c r="A288" s="54">
        <f>Calc_Daily!$A288</f>
        <v/>
      </c>
      <c r="B288">
        <f>IF(OR($A288&gt;cfg_LastDataDate,NOT(ISNUMBER(Calc_Daily!$CU288))),NA(),Calc_Daily!$CU288)</f>
        <v/>
      </c>
      <c r="C288">
        <f>Calc_Daily!$JT288/Calc_Daily!$D288</f>
        <v/>
      </c>
      <c r="D288">
        <f>IF(OR($A288&gt;cfg_LastDataDate,NOT(ISNUMBER(Calc_Daily!$EJ288))),NA(),Calc_Daily!$EJ288)</f>
        <v/>
      </c>
      <c r="E288">
        <f>Calc_Daily!$KQ288</f>
        <v/>
      </c>
      <c r="F288">
        <f>IF(OR($A288&gt;cfg_LastDataDate,NOT(ISNUMBER(Calc_Daily!$F288))),NA(),Calc_Daily!$F288)</f>
        <v/>
      </c>
      <c r="G288">
        <f>IF(OR($A288&gt;cfg_LastDataDate,NOT(ISNUMBER(Calc_Daily!$U288))),NA(),Calc_Daily!$U288)</f>
        <v/>
      </c>
      <c r="H288">
        <f>IF(OR($A288&gt;cfg_LastDataDate,NOT(ISNUMBER(Calc_Daily!$DZ288))),NA(),Calc_Daily!$DZ288)</f>
        <v/>
      </c>
      <c r="I288">
        <f>IF(OR($A288&gt;cfg_LastDataDate,NOT(ISNUMBER(Calc_Daily!$DT288))),NA(),Calc_Daily!$DT288)</f>
        <v/>
      </c>
      <c r="J288">
        <f>IF(OR($A288&gt;cfg_LastDataDate,NOT(ISNUMBER(Calc_Daily!$IP288))),NA(),Calc_Daily!$IP288)</f>
        <v/>
      </c>
      <c r="K288">
        <f>Calc_Daily!$KM288</f>
        <v/>
      </c>
    </row>
    <row r="289">
      <c r="A289" s="54">
        <f>Calc_Daily!$A289</f>
        <v/>
      </c>
      <c r="B289">
        <f>IF(OR($A289&gt;cfg_LastDataDate,NOT(ISNUMBER(Calc_Daily!$CU289))),NA(),Calc_Daily!$CU289)</f>
        <v/>
      </c>
      <c r="C289">
        <f>Calc_Daily!$JT289/Calc_Daily!$D289</f>
        <v/>
      </c>
      <c r="D289">
        <f>IF(OR($A289&gt;cfg_LastDataDate,NOT(ISNUMBER(Calc_Daily!$EJ289))),NA(),Calc_Daily!$EJ289)</f>
        <v/>
      </c>
      <c r="E289">
        <f>Calc_Daily!$KQ289</f>
        <v/>
      </c>
      <c r="F289">
        <f>IF(OR($A289&gt;cfg_LastDataDate,NOT(ISNUMBER(Calc_Daily!$F289))),NA(),Calc_Daily!$F289)</f>
        <v/>
      </c>
      <c r="G289">
        <f>IF(OR($A289&gt;cfg_LastDataDate,NOT(ISNUMBER(Calc_Daily!$U289))),NA(),Calc_Daily!$U289)</f>
        <v/>
      </c>
      <c r="H289">
        <f>IF(OR($A289&gt;cfg_LastDataDate,NOT(ISNUMBER(Calc_Daily!$DZ289))),NA(),Calc_Daily!$DZ289)</f>
        <v/>
      </c>
      <c r="I289">
        <f>IF(OR($A289&gt;cfg_LastDataDate,NOT(ISNUMBER(Calc_Daily!$DT289))),NA(),Calc_Daily!$DT289)</f>
        <v/>
      </c>
      <c r="J289">
        <f>IF(OR($A289&gt;cfg_LastDataDate,NOT(ISNUMBER(Calc_Daily!$IP289))),NA(),Calc_Daily!$IP289)</f>
        <v/>
      </c>
      <c r="K289">
        <f>Calc_Daily!$KM289</f>
        <v/>
      </c>
    </row>
    <row r="290">
      <c r="A290" s="54">
        <f>Calc_Daily!$A290</f>
        <v/>
      </c>
      <c r="B290">
        <f>IF(OR($A290&gt;cfg_LastDataDate,NOT(ISNUMBER(Calc_Daily!$CU290))),NA(),Calc_Daily!$CU290)</f>
        <v/>
      </c>
      <c r="C290">
        <f>Calc_Daily!$JT290/Calc_Daily!$D290</f>
        <v/>
      </c>
      <c r="D290">
        <f>IF(OR($A290&gt;cfg_LastDataDate,NOT(ISNUMBER(Calc_Daily!$EJ290))),NA(),Calc_Daily!$EJ290)</f>
        <v/>
      </c>
      <c r="E290">
        <f>Calc_Daily!$KQ290</f>
        <v/>
      </c>
      <c r="F290">
        <f>IF(OR($A290&gt;cfg_LastDataDate,NOT(ISNUMBER(Calc_Daily!$F290))),NA(),Calc_Daily!$F290)</f>
        <v/>
      </c>
      <c r="G290">
        <f>IF(OR($A290&gt;cfg_LastDataDate,NOT(ISNUMBER(Calc_Daily!$U290))),NA(),Calc_Daily!$U290)</f>
        <v/>
      </c>
      <c r="H290">
        <f>IF(OR($A290&gt;cfg_LastDataDate,NOT(ISNUMBER(Calc_Daily!$DZ290))),NA(),Calc_Daily!$DZ290)</f>
        <v/>
      </c>
      <c r="I290">
        <f>IF(OR($A290&gt;cfg_LastDataDate,NOT(ISNUMBER(Calc_Daily!$DT290))),NA(),Calc_Daily!$DT290)</f>
        <v/>
      </c>
      <c r="J290">
        <f>IF(OR($A290&gt;cfg_LastDataDate,NOT(ISNUMBER(Calc_Daily!$IP290))),NA(),Calc_Daily!$IP290)</f>
        <v/>
      </c>
      <c r="K290">
        <f>Calc_Daily!$KM290</f>
        <v/>
      </c>
    </row>
    <row r="291">
      <c r="A291" s="54">
        <f>Calc_Daily!$A291</f>
        <v/>
      </c>
      <c r="B291">
        <f>IF(OR($A291&gt;cfg_LastDataDate,NOT(ISNUMBER(Calc_Daily!$CU291))),NA(),Calc_Daily!$CU291)</f>
        <v/>
      </c>
      <c r="C291">
        <f>Calc_Daily!$JT291/Calc_Daily!$D291</f>
        <v/>
      </c>
      <c r="D291">
        <f>IF(OR($A291&gt;cfg_LastDataDate,NOT(ISNUMBER(Calc_Daily!$EJ291))),NA(),Calc_Daily!$EJ291)</f>
        <v/>
      </c>
      <c r="E291">
        <f>Calc_Daily!$KQ291</f>
        <v/>
      </c>
      <c r="F291">
        <f>IF(OR($A291&gt;cfg_LastDataDate,NOT(ISNUMBER(Calc_Daily!$F291))),NA(),Calc_Daily!$F291)</f>
        <v/>
      </c>
      <c r="G291">
        <f>IF(OR($A291&gt;cfg_LastDataDate,NOT(ISNUMBER(Calc_Daily!$U291))),NA(),Calc_Daily!$U291)</f>
        <v/>
      </c>
      <c r="H291">
        <f>IF(OR($A291&gt;cfg_LastDataDate,NOT(ISNUMBER(Calc_Daily!$DZ291))),NA(),Calc_Daily!$DZ291)</f>
        <v/>
      </c>
      <c r="I291">
        <f>IF(OR($A291&gt;cfg_LastDataDate,NOT(ISNUMBER(Calc_Daily!$DT291))),NA(),Calc_Daily!$DT291)</f>
        <v/>
      </c>
      <c r="J291">
        <f>IF(OR($A291&gt;cfg_LastDataDate,NOT(ISNUMBER(Calc_Daily!$IP291))),NA(),Calc_Daily!$IP291)</f>
        <v/>
      </c>
      <c r="K291">
        <f>Calc_Daily!$KM291</f>
        <v/>
      </c>
    </row>
    <row r="292">
      <c r="A292" s="54">
        <f>Calc_Daily!$A292</f>
        <v/>
      </c>
      <c r="B292">
        <f>IF(OR($A292&gt;cfg_LastDataDate,NOT(ISNUMBER(Calc_Daily!$CU292))),NA(),Calc_Daily!$CU292)</f>
        <v/>
      </c>
      <c r="C292">
        <f>Calc_Daily!$JT292/Calc_Daily!$D292</f>
        <v/>
      </c>
      <c r="D292">
        <f>IF(OR($A292&gt;cfg_LastDataDate,NOT(ISNUMBER(Calc_Daily!$EJ292))),NA(),Calc_Daily!$EJ292)</f>
        <v/>
      </c>
      <c r="E292">
        <f>Calc_Daily!$KQ292</f>
        <v/>
      </c>
      <c r="F292">
        <f>IF(OR($A292&gt;cfg_LastDataDate,NOT(ISNUMBER(Calc_Daily!$F292))),NA(),Calc_Daily!$F292)</f>
        <v/>
      </c>
      <c r="G292">
        <f>IF(OR($A292&gt;cfg_LastDataDate,NOT(ISNUMBER(Calc_Daily!$U292))),NA(),Calc_Daily!$U292)</f>
        <v/>
      </c>
      <c r="H292">
        <f>IF(OR($A292&gt;cfg_LastDataDate,NOT(ISNUMBER(Calc_Daily!$DZ292))),NA(),Calc_Daily!$DZ292)</f>
        <v/>
      </c>
      <c r="I292">
        <f>IF(OR($A292&gt;cfg_LastDataDate,NOT(ISNUMBER(Calc_Daily!$DT292))),NA(),Calc_Daily!$DT292)</f>
        <v/>
      </c>
      <c r="J292">
        <f>IF(OR($A292&gt;cfg_LastDataDate,NOT(ISNUMBER(Calc_Daily!$IP292))),NA(),Calc_Daily!$IP292)</f>
        <v/>
      </c>
      <c r="K292">
        <f>Calc_Daily!$KM292</f>
        <v/>
      </c>
    </row>
    <row r="293">
      <c r="A293" s="54">
        <f>Calc_Daily!$A293</f>
        <v/>
      </c>
      <c r="B293">
        <f>IF(OR($A293&gt;cfg_LastDataDate,NOT(ISNUMBER(Calc_Daily!$CU293))),NA(),Calc_Daily!$CU293)</f>
        <v/>
      </c>
      <c r="C293">
        <f>Calc_Daily!$JT293/Calc_Daily!$D293</f>
        <v/>
      </c>
      <c r="D293">
        <f>IF(OR($A293&gt;cfg_LastDataDate,NOT(ISNUMBER(Calc_Daily!$EJ293))),NA(),Calc_Daily!$EJ293)</f>
        <v/>
      </c>
      <c r="E293">
        <f>Calc_Daily!$KQ293</f>
        <v/>
      </c>
      <c r="F293">
        <f>IF(OR($A293&gt;cfg_LastDataDate,NOT(ISNUMBER(Calc_Daily!$F293))),NA(),Calc_Daily!$F293)</f>
        <v/>
      </c>
      <c r="G293">
        <f>IF(OR($A293&gt;cfg_LastDataDate,NOT(ISNUMBER(Calc_Daily!$U293))),NA(),Calc_Daily!$U293)</f>
        <v/>
      </c>
      <c r="H293">
        <f>IF(OR($A293&gt;cfg_LastDataDate,NOT(ISNUMBER(Calc_Daily!$DZ293))),NA(),Calc_Daily!$DZ293)</f>
        <v/>
      </c>
      <c r="I293">
        <f>IF(OR($A293&gt;cfg_LastDataDate,NOT(ISNUMBER(Calc_Daily!$DT293))),NA(),Calc_Daily!$DT293)</f>
        <v/>
      </c>
      <c r="J293">
        <f>IF(OR($A293&gt;cfg_LastDataDate,NOT(ISNUMBER(Calc_Daily!$IP293))),NA(),Calc_Daily!$IP293)</f>
        <v/>
      </c>
      <c r="K293">
        <f>Calc_Daily!$KM293</f>
        <v/>
      </c>
    </row>
    <row r="294">
      <c r="A294" s="54">
        <f>Calc_Daily!$A294</f>
        <v/>
      </c>
      <c r="B294">
        <f>IF(OR($A294&gt;cfg_LastDataDate,NOT(ISNUMBER(Calc_Daily!$CU294))),NA(),Calc_Daily!$CU294)</f>
        <v/>
      </c>
      <c r="C294">
        <f>Calc_Daily!$JT294/Calc_Daily!$D294</f>
        <v/>
      </c>
      <c r="D294">
        <f>IF(OR($A294&gt;cfg_LastDataDate,NOT(ISNUMBER(Calc_Daily!$EJ294))),NA(),Calc_Daily!$EJ294)</f>
        <v/>
      </c>
      <c r="E294">
        <f>Calc_Daily!$KQ294</f>
        <v/>
      </c>
      <c r="F294">
        <f>IF(OR($A294&gt;cfg_LastDataDate,NOT(ISNUMBER(Calc_Daily!$F294))),NA(),Calc_Daily!$F294)</f>
        <v/>
      </c>
      <c r="G294">
        <f>IF(OR($A294&gt;cfg_LastDataDate,NOT(ISNUMBER(Calc_Daily!$U294))),NA(),Calc_Daily!$U294)</f>
        <v/>
      </c>
      <c r="H294">
        <f>IF(OR($A294&gt;cfg_LastDataDate,NOT(ISNUMBER(Calc_Daily!$DZ294))),NA(),Calc_Daily!$DZ294)</f>
        <v/>
      </c>
      <c r="I294">
        <f>IF(OR($A294&gt;cfg_LastDataDate,NOT(ISNUMBER(Calc_Daily!$DT294))),NA(),Calc_Daily!$DT294)</f>
        <v/>
      </c>
      <c r="J294">
        <f>IF(OR($A294&gt;cfg_LastDataDate,NOT(ISNUMBER(Calc_Daily!$IP294))),NA(),Calc_Daily!$IP294)</f>
        <v/>
      </c>
      <c r="K294">
        <f>Calc_Daily!$KM294</f>
        <v/>
      </c>
    </row>
    <row r="295">
      <c r="A295" s="54">
        <f>Calc_Daily!$A295</f>
        <v/>
      </c>
      <c r="B295">
        <f>IF(OR($A295&gt;cfg_LastDataDate,NOT(ISNUMBER(Calc_Daily!$CU295))),NA(),Calc_Daily!$CU295)</f>
        <v/>
      </c>
      <c r="C295">
        <f>Calc_Daily!$JT295/Calc_Daily!$D295</f>
        <v/>
      </c>
      <c r="D295">
        <f>IF(OR($A295&gt;cfg_LastDataDate,NOT(ISNUMBER(Calc_Daily!$EJ295))),NA(),Calc_Daily!$EJ295)</f>
        <v/>
      </c>
      <c r="E295">
        <f>Calc_Daily!$KQ295</f>
        <v/>
      </c>
      <c r="F295">
        <f>IF(OR($A295&gt;cfg_LastDataDate,NOT(ISNUMBER(Calc_Daily!$F295))),NA(),Calc_Daily!$F295)</f>
        <v/>
      </c>
      <c r="G295">
        <f>IF(OR($A295&gt;cfg_LastDataDate,NOT(ISNUMBER(Calc_Daily!$U295))),NA(),Calc_Daily!$U295)</f>
        <v/>
      </c>
      <c r="H295">
        <f>IF(OR($A295&gt;cfg_LastDataDate,NOT(ISNUMBER(Calc_Daily!$DZ295))),NA(),Calc_Daily!$DZ295)</f>
        <v/>
      </c>
      <c r="I295">
        <f>IF(OR($A295&gt;cfg_LastDataDate,NOT(ISNUMBER(Calc_Daily!$DT295))),NA(),Calc_Daily!$DT295)</f>
        <v/>
      </c>
      <c r="J295">
        <f>IF(OR($A295&gt;cfg_LastDataDate,NOT(ISNUMBER(Calc_Daily!$IP295))),NA(),Calc_Daily!$IP295)</f>
        <v/>
      </c>
      <c r="K295">
        <f>Calc_Daily!$KM295</f>
        <v/>
      </c>
    </row>
    <row r="296">
      <c r="A296" s="54">
        <f>Calc_Daily!$A296</f>
        <v/>
      </c>
      <c r="B296">
        <f>IF(OR($A296&gt;cfg_LastDataDate,NOT(ISNUMBER(Calc_Daily!$CU296))),NA(),Calc_Daily!$CU296)</f>
        <v/>
      </c>
      <c r="C296">
        <f>Calc_Daily!$JT296/Calc_Daily!$D296</f>
        <v/>
      </c>
      <c r="D296">
        <f>IF(OR($A296&gt;cfg_LastDataDate,NOT(ISNUMBER(Calc_Daily!$EJ296))),NA(),Calc_Daily!$EJ296)</f>
        <v/>
      </c>
      <c r="E296">
        <f>Calc_Daily!$KQ296</f>
        <v/>
      </c>
      <c r="F296">
        <f>IF(OR($A296&gt;cfg_LastDataDate,NOT(ISNUMBER(Calc_Daily!$F296))),NA(),Calc_Daily!$F296)</f>
        <v/>
      </c>
      <c r="G296">
        <f>IF(OR($A296&gt;cfg_LastDataDate,NOT(ISNUMBER(Calc_Daily!$U296))),NA(),Calc_Daily!$U296)</f>
        <v/>
      </c>
      <c r="H296">
        <f>IF(OR($A296&gt;cfg_LastDataDate,NOT(ISNUMBER(Calc_Daily!$DZ296))),NA(),Calc_Daily!$DZ296)</f>
        <v/>
      </c>
      <c r="I296">
        <f>IF(OR($A296&gt;cfg_LastDataDate,NOT(ISNUMBER(Calc_Daily!$DT296))),NA(),Calc_Daily!$DT296)</f>
        <v/>
      </c>
      <c r="J296">
        <f>IF(OR($A296&gt;cfg_LastDataDate,NOT(ISNUMBER(Calc_Daily!$IP296))),NA(),Calc_Daily!$IP296)</f>
        <v/>
      </c>
      <c r="K296">
        <f>Calc_Daily!$KM296</f>
        <v/>
      </c>
    </row>
    <row r="297">
      <c r="A297" s="54">
        <f>Calc_Daily!$A297</f>
        <v/>
      </c>
      <c r="B297">
        <f>IF(OR($A297&gt;cfg_LastDataDate,NOT(ISNUMBER(Calc_Daily!$CU297))),NA(),Calc_Daily!$CU297)</f>
        <v/>
      </c>
      <c r="C297">
        <f>Calc_Daily!$JT297/Calc_Daily!$D297</f>
        <v/>
      </c>
      <c r="D297">
        <f>IF(OR($A297&gt;cfg_LastDataDate,NOT(ISNUMBER(Calc_Daily!$EJ297))),NA(),Calc_Daily!$EJ297)</f>
        <v/>
      </c>
      <c r="E297">
        <f>Calc_Daily!$KQ297</f>
        <v/>
      </c>
      <c r="F297">
        <f>IF(OR($A297&gt;cfg_LastDataDate,NOT(ISNUMBER(Calc_Daily!$F297))),NA(),Calc_Daily!$F297)</f>
        <v/>
      </c>
      <c r="G297">
        <f>IF(OR($A297&gt;cfg_LastDataDate,NOT(ISNUMBER(Calc_Daily!$U297))),NA(),Calc_Daily!$U297)</f>
        <v/>
      </c>
      <c r="H297">
        <f>IF(OR($A297&gt;cfg_LastDataDate,NOT(ISNUMBER(Calc_Daily!$DZ297))),NA(),Calc_Daily!$DZ297)</f>
        <v/>
      </c>
      <c r="I297">
        <f>IF(OR($A297&gt;cfg_LastDataDate,NOT(ISNUMBER(Calc_Daily!$DT297))),NA(),Calc_Daily!$DT297)</f>
        <v/>
      </c>
      <c r="J297">
        <f>IF(OR($A297&gt;cfg_LastDataDate,NOT(ISNUMBER(Calc_Daily!$IP297))),NA(),Calc_Daily!$IP297)</f>
        <v/>
      </c>
      <c r="K297">
        <f>Calc_Daily!$KM297</f>
        <v/>
      </c>
    </row>
    <row r="298">
      <c r="A298" s="54">
        <f>Calc_Daily!$A298</f>
        <v/>
      </c>
      <c r="B298">
        <f>IF(OR($A298&gt;cfg_LastDataDate,NOT(ISNUMBER(Calc_Daily!$CU298))),NA(),Calc_Daily!$CU298)</f>
        <v/>
      </c>
      <c r="C298">
        <f>Calc_Daily!$JT298/Calc_Daily!$D298</f>
        <v/>
      </c>
      <c r="D298">
        <f>IF(OR($A298&gt;cfg_LastDataDate,NOT(ISNUMBER(Calc_Daily!$EJ298))),NA(),Calc_Daily!$EJ298)</f>
        <v/>
      </c>
      <c r="E298">
        <f>Calc_Daily!$KQ298</f>
        <v/>
      </c>
      <c r="F298">
        <f>IF(OR($A298&gt;cfg_LastDataDate,NOT(ISNUMBER(Calc_Daily!$F298))),NA(),Calc_Daily!$F298)</f>
        <v/>
      </c>
      <c r="G298">
        <f>IF(OR($A298&gt;cfg_LastDataDate,NOT(ISNUMBER(Calc_Daily!$U298))),NA(),Calc_Daily!$U298)</f>
        <v/>
      </c>
      <c r="H298">
        <f>IF(OR($A298&gt;cfg_LastDataDate,NOT(ISNUMBER(Calc_Daily!$DZ298))),NA(),Calc_Daily!$DZ298)</f>
        <v/>
      </c>
      <c r="I298">
        <f>IF(OR($A298&gt;cfg_LastDataDate,NOT(ISNUMBER(Calc_Daily!$DT298))),NA(),Calc_Daily!$DT298)</f>
        <v/>
      </c>
      <c r="J298">
        <f>IF(OR($A298&gt;cfg_LastDataDate,NOT(ISNUMBER(Calc_Daily!$IP298))),NA(),Calc_Daily!$IP298)</f>
        <v/>
      </c>
      <c r="K298">
        <f>Calc_Daily!$KM298</f>
        <v/>
      </c>
    </row>
    <row r="299">
      <c r="A299" s="54">
        <f>Calc_Daily!$A299</f>
        <v/>
      </c>
      <c r="B299">
        <f>IF(OR($A299&gt;cfg_LastDataDate,NOT(ISNUMBER(Calc_Daily!$CU299))),NA(),Calc_Daily!$CU299)</f>
        <v/>
      </c>
      <c r="C299">
        <f>Calc_Daily!$JT299/Calc_Daily!$D299</f>
        <v/>
      </c>
      <c r="D299">
        <f>IF(OR($A299&gt;cfg_LastDataDate,NOT(ISNUMBER(Calc_Daily!$EJ299))),NA(),Calc_Daily!$EJ299)</f>
        <v/>
      </c>
      <c r="E299">
        <f>Calc_Daily!$KQ299</f>
        <v/>
      </c>
      <c r="F299">
        <f>IF(OR($A299&gt;cfg_LastDataDate,NOT(ISNUMBER(Calc_Daily!$F299))),NA(),Calc_Daily!$F299)</f>
        <v/>
      </c>
      <c r="G299">
        <f>IF(OR($A299&gt;cfg_LastDataDate,NOT(ISNUMBER(Calc_Daily!$U299))),NA(),Calc_Daily!$U299)</f>
        <v/>
      </c>
      <c r="H299">
        <f>IF(OR($A299&gt;cfg_LastDataDate,NOT(ISNUMBER(Calc_Daily!$DZ299))),NA(),Calc_Daily!$DZ299)</f>
        <v/>
      </c>
      <c r="I299">
        <f>IF(OR($A299&gt;cfg_LastDataDate,NOT(ISNUMBER(Calc_Daily!$DT299))),NA(),Calc_Daily!$DT299)</f>
        <v/>
      </c>
      <c r="J299">
        <f>IF(OR($A299&gt;cfg_LastDataDate,NOT(ISNUMBER(Calc_Daily!$IP299))),NA(),Calc_Daily!$IP299)</f>
        <v/>
      </c>
      <c r="K299">
        <f>Calc_Daily!$KM299</f>
        <v/>
      </c>
    </row>
    <row r="300">
      <c r="A300" s="54">
        <f>Calc_Daily!$A300</f>
        <v/>
      </c>
      <c r="B300">
        <f>IF(OR($A300&gt;cfg_LastDataDate,NOT(ISNUMBER(Calc_Daily!$CU300))),NA(),Calc_Daily!$CU300)</f>
        <v/>
      </c>
      <c r="C300">
        <f>Calc_Daily!$JT300/Calc_Daily!$D300</f>
        <v/>
      </c>
      <c r="D300">
        <f>IF(OR($A300&gt;cfg_LastDataDate,NOT(ISNUMBER(Calc_Daily!$EJ300))),NA(),Calc_Daily!$EJ300)</f>
        <v/>
      </c>
      <c r="E300">
        <f>Calc_Daily!$KQ300</f>
        <v/>
      </c>
      <c r="F300">
        <f>IF(OR($A300&gt;cfg_LastDataDate,NOT(ISNUMBER(Calc_Daily!$F300))),NA(),Calc_Daily!$F300)</f>
        <v/>
      </c>
      <c r="G300">
        <f>IF(OR($A300&gt;cfg_LastDataDate,NOT(ISNUMBER(Calc_Daily!$U300))),NA(),Calc_Daily!$U300)</f>
        <v/>
      </c>
      <c r="H300">
        <f>IF(OR($A300&gt;cfg_LastDataDate,NOT(ISNUMBER(Calc_Daily!$DZ300))),NA(),Calc_Daily!$DZ300)</f>
        <v/>
      </c>
      <c r="I300">
        <f>IF(OR($A300&gt;cfg_LastDataDate,NOT(ISNUMBER(Calc_Daily!$DT300))),NA(),Calc_Daily!$DT300)</f>
        <v/>
      </c>
      <c r="J300">
        <f>IF(OR($A300&gt;cfg_LastDataDate,NOT(ISNUMBER(Calc_Daily!$IP300))),NA(),Calc_Daily!$IP300)</f>
        <v/>
      </c>
      <c r="K300">
        <f>Calc_Daily!$KM300</f>
        <v/>
      </c>
    </row>
    <row r="301">
      <c r="A301" s="54">
        <f>Calc_Daily!$A301</f>
        <v/>
      </c>
      <c r="B301">
        <f>IF(OR($A301&gt;cfg_LastDataDate,NOT(ISNUMBER(Calc_Daily!$CU301))),NA(),Calc_Daily!$CU301)</f>
        <v/>
      </c>
      <c r="C301">
        <f>Calc_Daily!$JT301/Calc_Daily!$D301</f>
        <v/>
      </c>
      <c r="D301">
        <f>IF(OR($A301&gt;cfg_LastDataDate,NOT(ISNUMBER(Calc_Daily!$EJ301))),NA(),Calc_Daily!$EJ301)</f>
        <v/>
      </c>
      <c r="E301">
        <f>Calc_Daily!$KQ301</f>
        <v/>
      </c>
      <c r="F301">
        <f>IF(OR($A301&gt;cfg_LastDataDate,NOT(ISNUMBER(Calc_Daily!$F301))),NA(),Calc_Daily!$F301)</f>
        <v/>
      </c>
      <c r="G301">
        <f>IF(OR($A301&gt;cfg_LastDataDate,NOT(ISNUMBER(Calc_Daily!$U301))),NA(),Calc_Daily!$U301)</f>
        <v/>
      </c>
      <c r="H301">
        <f>IF(OR($A301&gt;cfg_LastDataDate,NOT(ISNUMBER(Calc_Daily!$DZ301))),NA(),Calc_Daily!$DZ301)</f>
        <v/>
      </c>
      <c r="I301">
        <f>IF(OR($A301&gt;cfg_LastDataDate,NOT(ISNUMBER(Calc_Daily!$DT301))),NA(),Calc_Daily!$DT301)</f>
        <v/>
      </c>
      <c r="J301">
        <f>IF(OR($A301&gt;cfg_LastDataDate,NOT(ISNUMBER(Calc_Daily!$IP301))),NA(),Calc_Daily!$IP301)</f>
        <v/>
      </c>
      <c r="K301">
        <f>Calc_Daily!$KM301</f>
        <v/>
      </c>
    </row>
    <row r="302">
      <c r="A302" s="54">
        <f>Calc_Daily!$A302</f>
        <v/>
      </c>
      <c r="B302">
        <f>IF(OR($A302&gt;cfg_LastDataDate,NOT(ISNUMBER(Calc_Daily!$CU302))),NA(),Calc_Daily!$CU302)</f>
        <v/>
      </c>
      <c r="C302">
        <f>Calc_Daily!$JT302/Calc_Daily!$D302</f>
        <v/>
      </c>
      <c r="D302">
        <f>IF(OR($A302&gt;cfg_LastDataDate,NOT(ISNUMBER(Calc_Daily!$EJ302))),NA(),Calc_Daily!$EJ302)</f>
        <v/>
      </c>
      <c r="E302">
        <f>Calc_Daily!$KQ302</f>
        <v/>
      </c>
      <c r="F302">
        <f>IF(OR($A302&gt;cfg_LastDataDate,NOT(ISNUMBER(Calc_Daily!$F302))),NA(),Calc_Daily!$F302)</f>
        <v/>
      </c>
      <c r="G302">
        <f>IF(OR($A302&gt;cfg_LastDataDate,NOT(ISNUMBER(Calc_Daily!$U302))),NA(),Calc_Daily!$U302)</f>
        <v/>
      </c>
      <c r="H302">
        <f>IF(OR($A302&gt;cfg_LastDataDate,NOT(ISNUMBER(Calc_Daily!$DZ302))),NA(),Calc_Daily!$DZ302)</f>
        <v/>
      </c>
      <c r="I302">
        <f>IF(OR($A302&gt;cfg_LastDataDate,NOT(ISNUMBER(Calc_Daily!$DT302))),NA(),Calc_Daily!$DT302)</f>
        <v/>
      </c>
      <c r="J302">
        <f>IF(OR($A302&gt;cfg_LastDataDate,NOT(ISNUMBER(Calc_Daily!$IP302))),NA(),Calc_Daily!$IP302)</f>
        <v/>
      </c>
      <c r="K302">
        <f>Calc_Daily!$KM302</f>
        <v/>
      </c>
    </row>
    <row r="303">
      <c r="A303" s="54">
        <f>Calc_Daily!$A303</f>
        <v/>
      </c>
      <c r="B303">
        <f>IF(OR($A303&gt;cfg_LastDataDate,NOT(ISNUMBER(Calc_Daily!$CU303))),NA(),Calc_Daily!$CU303)</f>
        <v/>
      </c>
      <c r="C303">
        <f>Calc_Daily!$JT303/Calc_Daily!$D303</f>
        <v/>
      </c>
      <c r="D303">
        <f>IF(OR($A303&gt;cfg_LastDataDate,NOT(ISNUMBER(Calc_Daily!$EJ303))),NA(),Calc_Daily!$EJ303)</f>
        <v/>
      </c>
      <c r="E303">
        <f>Calc_Daily!$KQ303</f>
        <v/>
      </c>
      <c r="F303">
        <f>IF(OR($A303&gt;cfg_LastDataDate,NOT(ISNUMBER(Calc_Daily!$F303))),NA(),Calc_Daily!$F303)</f>
        <v/>
      </c>
      <c r="G303">
        <f>IF(OR($A303&gt;cfg_LastDataDate,NOT(ISNUMBER(Calc_Daily!$U303))),NA(),Calc_Daily!$U303)</f>
        <v/>
      </c>
      <c r="H303">
        <f>IF(OR($A303&gt;cfg_LastDataDate,NOT(ISNUMBER(Calc_Daily!$DZ303))),NA(),Calc_Daily!$DZ303)</f>
        <v/>
      </c>
      <c r="I303">
        <f>IF(OR($A303&gt;cfg_LastDataDate,NOT(ISNUMBER(Calc_Daily!$DT303))),NA(),Calc_Daily!$DT303)</f>
        <v/>
      </c>
      <c r="J303">
        <f>IF(OR($A303&gt;cfg_LastDataDate,NOT(ISNUMBER(Calc_Daily!$IP303))),NA(),Calc_Daily!$IP303)</f>
        <v/>
      </c>
      <c r="K303">
        <f>Calc_Daily!$KM303</f>
        <v/>
      </c>
    </row>
    <row r="304">
      <c r="A304" s="54">
        <f>Calc_Daily!$A304</f>
        <v/>
      </c>
      <c r="B304">
        <f>IF(OR($A304&gt;cfg_LastDataDate,NOT(ISNUMBER(Calc_Daily!$CU304))),NA(),Calc_Daily!$CU304)</f>
        <v/>
      </c>
      <c r="C304">
        <f>Calc_Daily!$JT304/Calc_Daily!$D304</f>
        <v/>
      </c>
      <c r="D304">
        <f>IF(OR($A304&gt;cfg_LastDataDate,NOT(ISNUMBER(Calc_Daily!$EJ304))),NA(),Calc_Daily!$EJ304)</f>
        <v/>
      </c>
      <c r="E304">
        <f>Calc_Daily!$KQ304</f>
        <v/>
      </c>
      <c r="F304">
        <f>IF(OR($A304&gt;cfg_LastDataDate,NOT(ISNUMBER(Calc_Daily!$F304))),NA(),Calc_Daily!$F304)</f>
        <v/>
      </c>
      <c r="G304">
        <f>IF(OR($A304&gt;cfg_LastDataDate,NOT(ISNUMBER(Calc_Daily!$U304))),NA(),Calc_Daily!$U304)</f>
        <v/>
      </c>
      <c r="H304">
        <f>IF(OR($A304&gt;cfg_LastDataDate,NOT(ISNUMBER(Calc_Daily!$DZ304))),NA(),Calc_Daily!$DZ304)</f>
        <v/>
      </c>
      <c r="I304">
        <f>IF(OR($A304&gt;cfg_LastDataDate,NOT(ISNUMBER(Calc_Daily!$DT304))),NA(),Calc_Daily!$DT304)</f>
        <v/>
      </c>
      <c r="J304">
        <f>IF(OR($A304&gt;cfg_LastDataDate,NOT(ISNUMBER(Calc_Daily!$IP304))),NA(),Calc_Daily!$IP304)</f>
        <v/>
      </c>
      <c r="K304">
        <f>Calc_Daily!$KM304</f>
        <v/>
      </c>
    </row>
    <row r="305">
      <c r="A305" s="54">
        <f>Calc_Daily!$A305</f>
        <v/>
      </c>
      <c r="B305">
        <f>IF(OR($A305&gt;cfg_LastDataDate,NOT(ISNUMBER(Calc_Daily!$CU305))),NA(),Calc_Daily!$CU305)</f>
        <v/>
      </c>
      <c r="C305">
        <f>Calc_Daily!$JT305/Calc_Daily!$D305</f>
        <v/>
      </c>
      <c r="D305">
        <f>IF(OR($A305&gt;cfg_LastDataDate,NOT(ISNUMBER(Calc_Daily!$EJ305))),NA(),Calc_Daily!$EJ305)</f>
        <v/>
      </c>
      <c r="E305">
        <f>Calc_Daily!$KQ305</f>
        <v/>
      </c>
      <c r="F305">
        <f>IF(OR($A305&gt;cfg_LastDataDate,NOT(ISNUMBER(Calc_Daily!$F305))),NA(),Calc_Daily!$F305)</f>
        <v/>
      </c>
      <c r="G305">
        <f>IF(OR($A305&gt;cfg_LastDataDate,NOT(ISNUMBER(Calc_Daily!$U305))),NA(),Calc_Daily!$U305)</f>
        <v/>
      </c>
      <c r="H305">
        <f>IF(OR($A305&gt;cfg_LastDataDate,NOT(ISNUMBER(Calc_Daily!$DZ305))),NA(),Calc_Daily!$DZ305)</f>
        <v/>
      </c>
      <c r="I305">
        <f>IF(OR($A305&gt;cfg_LastDataDate,NOT(ISNUMBER(Calc_Daily!$DT305))),NA(),Calc_Daily!$DT305)</f>
        <v/>
      </c>
      <c r="J305">
        <f>IF(OR($A305&gt;cfg_LastDataDate,NOT(ISNUMBER(Calc_Daily!$IP305))),NA(),Calc_Daily!$IP305)</f>
        <v/>
      </c>
      <c r="K305">
        <f>Calc_Daily!$KM305</f>
        <v/>
      </c>
    </row>
    <row r="306">
      <c r="A306" s="54">
        <f>Calc_Daily!$A306</f>
        <v/>
      </c>
      <c r="B306">
        <f>IF(OR($A306&gt;cfg_LastDataDate,NOT(ISNUMBER(Calc_Daily!$CU306))),NA(),Calc_Daily!$CU306)</f>
        <v/>
      </c>
      <c r="C306">
        <f>Calc_Daily!$JT306/Calc_Daily!$D306</f>
        <v/>
      </c>
      <c r="D306">
        <f>IF(OR($A306&gt;cfg_LastDataDate,NOT(ISNUMBER(Calc_Daily!$EJ306))),NA(),Calc_Daily!$EJ306)</f>
        <v/>
      </c>
      <c r="E306">
        <f>Calc_Daily!$KQ306</f>
        <v/>
      </c>
      <c r="F306">
        <f>IF(OR($A306&gt;cfg_LastDataDate,NOT(ISNUMBER(Calc_Daily!$F306))),NA(),Calc_Daily!$F306)</f>
        <v/>
      </c>
      <c r="G306">
        <f>IF(OR($A306&gt;cfg_LastDataDate,NOT(ISNUMBER(Calc_Daily!$U306))),NA(),Calc_Daily!$U306)</f>
        <v/>
      </c>
      <c r="H306">
        <f>IF(OR($A306&gt;cfg_LastDataDate,NOT(ISNUMBER(Calc_Daily!$DZ306))),NA(),Calc_Daily!$DZ306)</f>
        <v/>
      </c>
      <c r="I306">
        <f>IF(OR($A306&gt;cfg_LastDataDate,NOT(ISNUMBER(Calc_Daily!$DT306))),NA(),Calc_Daily!$DT306)</f>
        <v/>
      </c>
      <c r="J306">
        <f>IF(OR($A306&gt;cfg_LastDataDate,NOT(ISNUMBER(Calc_Daily!$IP306))),NA(),Calc_Daily!$IP306)</f>
        <v/>
      </c>
      <c r="K306">
        <f>Calc_Daily!$KM306</f>
        <v/>
      </c>
    </row>
    <row r="307">
      <c r="A307" s="54">
        <f>Calc_Daily!$A307</f>
        <v/>
      </c>
      <c r="B307">
        <f>IF(OR($A307&gt;cfg_LastDataDate,NOT(ISNUMBER(Calc_Daily!$CU307))),NA(),Calc_Daily!$CU307)</f>
        <v/>
      </c>
      <c r="C307">
        <f>Calc_Daily!$JT307/Calc_Daily!$D307</f>
        <v/>
      </c>
      <c r="D307">
        <f>IF(OR($A307&gt;cfg_LastDataDate,NOT(ISNUMBER(Calc_Daily!$EJ307))),NA(),Calc_Daily!$EJ307)</f>
        <v/>
      </c>
      <c r="E307">
        <f>Calc_Daily!$KQ307</f>
        <v/>
      </c>
      <c r="F307">
        <f>IF(OR($A307&gt;cfg_LastDataDate,NOT(ISNUMBER(Calc_Daily!$F307))),NA(),Calc_Daily!$F307)</f>
        <v/>
      </c>
      <c r="G307">
        <f>IF(OR($A307&gt;cfg_LastDataDate,NOT(ISNUMBER(Calc_Daily!$U307))),NA(),Calc_Daily!$U307)</f>
        <v/>
      </c>
      <c r="H307">
        <f>IF(OR($A307&gt;cfg_LastDataDate,NOT(ISNUMBER(Calc_Daily!$DZ307))),NA(),Calc_Daily!$DZ307)</f>
        <v/>
      </c>
      <c r="I307">
        <f>IF(OR($A307&gt;cfg_LastDataDate,NOT(ISNUMBER(Calc_Daily!$DT307))),NA(),Calc_Daily!$DT307)</f>
        <v/>
      </c>
      <c r="J307">
        <f>IF(OR($A307&gt;cfg_LastDataDate,NOT(ISNUMBER(Calc_Daily!$IP307))),NA(),Calc_Daily!$IP307)</f>
        <v/>
      </c>
      <c r="K307">
        <f>Calc_Daily!$KM307</f>
        <v/>
      </c>
    </row>
    <row r="308">
      <c r="A308" s="54">
        <f>Calc_Daily!$A308</f>
        <v/>
      </c>
      <c r="B308">
        <f>IF(OR($A308&gt;cfg_LastDataDate,NOT(ISNUMBER(Calc_Daily!$CU308))),NA(),Calc_Daily!$CU308)</f>
        <v/>
      </c>
      <c r="C308">
        <f>Calc_Daily!$JT308/Calc_Daily!$D308</f>
        <v/>
      </c>
      <c r="D308">
        <f>IF(OR($A308&gt;cfg_LastDataDate,NOT(ISNUMBER(Calc_Daily!$EJ308))),NA(),Calc_Daily!$EJ308)</f>
        <v/>
      </c>
      <c r="E308">
        <f>Calc_Daily!$KQ308</f>
        <v/>
      </c>
      <c r="F308">
        <f>IF(OR($A308&gt;cfg_LastDataDate,NOT(ISNUMBER(Calc_Daily!$F308))),NA(),Calc_Daily!$F308)</f>
        <v/>
      </c>
      <c r="G308">
        <f>IF(OR($A308&gt;cfg_LastDataDate,NOT(ISNUMBER(Calc_Daily!$U308))),NA(),Calc_Daily!$U308)</f>
        <v/>
      </c>
      <c r="H308">
        <f>IF(OR($A308&gt;cfg_LastDataDate,NOT(ISNUMBER(Calc_Daily!$DZ308))),NA(),Calc_Daily!$DZ308)</f>
        <v/>
      </c>
      <c r="I308">
        <f>IF(OR($A308&gt;cfg_LastDataDate,NOT(ISNUMBER(Calc_Daily!$DT308))),NA(),Calc_Daily!$DT308)</f>
        <v/>
      </c>
      <c r="J308">
        <f>IF(OR($A308&gt;cfg_LastDataDate,NOT(ISNUMBER(Calc_Daily!$IP308))),NA(),Calc_Daily!$IP308)</f>
        <v/>
      </c>
      <c r="K308">
        <f>Calc_Daily!$KM308</f>
        <v/>
      </c>
    </row>
    <row r="309">
      <c r="A309" s="54">
        <f>Calc_Daily!$A309</f>
        <v/>
      </c>
      <c r="B309">
        <f>IF(OR($A309&gt;cfg_LastDataDate,NOT(ISNUMBER(Calc_Daily!$CU309))),NA(),Calc_Daily!$CU309)</f>
        <v/>
      </c>
      <c r="C309">
        <f>Calc_Daily!$JT309/Calc_Daily!$D309</f>
        <v/>
      </c>
      <c r="D309">
        <f>IF(OR($A309&gt;cfg_LastDataDate,NOT(ISNUMBER(Calc_Daily!$EJ309))),NA(),Calc_Daily!$EJ309)</f>
        <v/>
      </c>
      <c r="E309">
        <f>Calc_Daily!$KQ309</f>
        <v/>
      </c>
      <c r="F309">
        <f>IF(OR($A309&gt;cfg_LastDataDate,NOT(ISNUMBER(Calc_Daily!$F309))),NA(),Calc_Daily!$F309)</f>
        <v/>
      </c>
      <c r="G309">
        <f>IF(OR($A309&gt;cfg_LastDataDate,NOT(ISNUMBER(Calc_Daily!$U309))),NA(),Calc_Daily!$U309)</f>
        <v/>
      </c>
      <c r="H309">
        <f>IF(OR($A309&gt;cfg_LastDataDate,NOT(ISNUMBER(Calc_Daily!$DZ309))),NA(),Calc_Daily!$DZ309)</f>
        <v/>
      </c>
      <c r="I309">
        <f>IF(OR($A309&gt;cfg_LastDataDate,NOT(ISNUMBER(Calc_Daily!$DT309))),NA(),Calc_Daily!$DT309)</f>
        <v/>
      </c>
      <c r="J309">
        <f>IF(OR($A309&gt;cfg_LastDataDate,NOT(ISNUMBER(Calc_Daily!$IP309))),NA(),Calc_Daily!$IP309)</f>
        <v/>
      </c>
      <c r="K309">
        <f>Calc_Daily!$KM309</f>
        <v/>
      </c>
    </row>
    <row r="310">
      <c r="A310" s="54">
        <f>Calc_Daily!$A310</f>
        <v/>
      </c>
      <c r="B310">
        <f>IF(OR($A310&gt;cfg_LastDataDate,NOT(ISNUMBER(Calc_Daily!$CU310))),NA(),Calc_Daily!$CU310)</f>
        <v/>
      </c>
      <c r="C310">
        <f>Calc_Daily!$JT310/Calc_Daily!$D310</f>
        <v/>
      </c>
      <c r="D310">
        <f>IF(OR($A310&gt;cfg_LastDataDate,NOT(ISNUMBER(Calc_Daily!$EJ310))),NA(),Calc_Daily!$EJ310)</f>
        <v/>
      </c>
      <c r="E310">
        <f>Calc_Daily!$KQ310</f>
        <v/>
      </c>
      <c r="F310">
        <f>IF(OR($A310&gt;cfg_LastDataDate,NOT(ISNUMBER(Calc_Daily!$F310))),NA(),Calc_Daily!$F310)</f>
        <v/>
      </c>
      <c r="G310">
        <f>IF(OR($A310&gt;cfg_LastDataDate,NOT(ISNUMBER(Calc_Daily!$U310))),NA(),Calc_Daily!$U310)</f>
        <v/>
      </c>
      <c r="H310">
        <f>IF(OR($A310&gt;cfg_LastDataDate,NOT(ISNUMBER(Calc_Daily!$DZ310))),NA(),Calc_Daily!$DZ310)</f>
        <v/>
      </c>
      <c r="I310">
        <f>IF(OR($A310&gt;cfg_LastDataDate,NOT(ISNUMBER(Calc_Daily!$DT310))),NA(),Calc_Daily!$DT310)</f>
        <v/>
      </c>
      <c r="J310">
        <f>IF(OR($A310&gt;cfg_LastDataDate,NOT(ISNUMBER(Calc_Daily!$IP310))),NA(),Calc_Daily!$IP310)</f>
        <v/>
      </c>
      <c r="K310">
        <f>Calc_Daily!$KM310</f>
        <v/>
      </c>
    </row>
    <row r="311">
      <c r="A311" s="54">
        <f>Calc_Daily!$A311</f>
        <v/>
      </c>
      <c r="B311">
        <f>IF(OR($A311&gt;cfg_LastDataDate,NOT(ISNUMBER(Calc_Daily!$CU311))),NA(),Calc_Daily!$CU311)</f>
        <v/>
      </c>
      <c r="C311">
        <f>Calc_Daily!$JT311/Calc_Daily!$D311</f>
        <v/>
      </c>
      <c r="D311">
        <f>IF(OR($A311&gt;cfg_LastDataDate,NOT(ISNUMBER(Calc_Daily!$EJ311))),NA(),Calc_Daily!$EJ311)</f>
        <v/>
      </c>
      <c r="E311">
        <f>Calc_Daily!$KQ311</f>
        <v/>
      </c>
      <c r="F311">
        <f>IF(OR($A311&gt;cfg_LastDataDate,NOT(ISNUMBER(Calc_Daily!$F311))),NA(),Calc_Daily!$F311)</f>
        <v/>
      </c>
      <c r="G311">
        <f>IF(OR($A311&gt;cfg_LastDataDate,NOT(ISNUMBER(Calc_Daily!$U311))),NA(),Calc_Daily!$U311)</f>
        <v/>
      </c>
      <c r="H311">
        <f>IF(OR($A311&gt;cfg_LastDataDate,NOT(ISNUMBER(Calc_Daily!$DZ311))),NA(),Calc_Daily!$DZ311)</f>
        <v/>
      </c>
      <c r="I311">
        <f>IF(OR($A311&gt;cfg_LastDataDate,NOT(ISNUMBER(Calc_Daily!$DT311))),NA(),Calc_Daily!$DT311)</f>
        <v/>
      </c>
      <c r="J311">
        <f>IF(OR($A311&gt;cfg_LastDataDate,NOT(ISNUMBER(Calc_Daily!$IP311))),NA(),Calc_Daily!$IP311)</f>
        <v/>
      </c>
      <c r="K311">
        <f>Calc_Daily!$KM311</f>
        <v/>
      </c>
    </row>
    <row r="312">
      <c r="A312" s="54">
        <f>Calc_Daily!$A312</f>
        <v/>
      </c>
      <c r="B312">
        <f>IF(OR($A312&gt;cfg_LastDataDate,NOT(ISNUMBER(Calc_Daily!$CU312))),NA(),Calc_Daily!$CU312)</f>
        <v/>
      </c>
      <c r="C312">
        <f>Calc_Daily!$JT312/Calc_Daily!$D312</f>
        <v/>
      </c>
      <c r="D312">
        <f>IF(OR($A312&gt;cfg_LastDataDate,NOT(ISNUMBER(Calc_Daily!$EJ312))),NA(),Calc_Daily!$EJ312)</f>
        <v/>
      </c>
      <c r="E312">
        <f>Calc_Daily!$KQ312</f>
        <v/>
      </c>
      <c r="F312">
        <f>IF(OR($A312&gt;cfg_LastDataDate,NOT(ISNUMBER(Calc_Daily!$F312))),NA(),Calc_Daily!$F312)</f>
        <v/>
      </c>
      <c r="G312">
        <f>IF(OR($A312&gt;cfg_LastDataDate,NOT(ISNUMBER(Calc_Daily!$U312))),NA(),Calc_Daily!$U312)</f>
        <v/>
      </c>
      <c r="H312">
        <f>IF(OR($A312&gt;cfg_LastDataDate,NOT(ISNUMBER(Calc_Daily!$DZ312))),NA(),Calc_Daily!$DZ312)</f>
        <v/>
      </c>
      <c r="I312">
        <f>IF(OR($A312&gt;cfg_LastDataDate,NOT(ISNUMBER(Calc_Daily!$DT312))),NA(),Calc_Daily!$DT312)</f>
        <v/>
      </c>
      <c r="J312">
        <f>IF(OR($A312&gt;cfg_LastDataDate,NOT(ISNUMBER(Calc_Daily!$IP312))),NA(),Calc_Daily!$IP312)</f>
        <v/>
      </c>
      <c r="K312">
        <f>Calc_Daily!$KM312</f>
        <v/>
      </c>
    </row>
    <row r="313">
      <c r="A313" s="54">
        <f>Calc_Daily!$A313</f>
        <v/>
      </c>
      <c r="B313">
        <f>IF(OR($A313&gt;cfg_LastDataDate,NOT(ISNUMBER(Calc_Daily!$CU313))),NA(),Calc_Daily!$CU313)</f>
        <v/>
      </c>
      <c r="C313">
        <f>Calc_Daily!$JT313/Calc_Daily!$D313</f>
        <v/>
      </c>
      <c r="D313">
        <f>IF(OR($A313&gt;cfg_LastDataDate,NOT(ISNUMBER(Calc_Daily!$EJ313))),NA(),Calc_Daily!$EJ313)</f>
        <v/>
      </c>
      <c r="E313">
        <f>Calc_Daily!$KQ313</f>
        <v/>
      </c>
      <c r="F313">
        <f>IF(OR($A313&gt;cfg_LastDataDate,NOT(ISNUMBER(Calc_Daily!$F313))),NA(),Calc_Daily!$F313)</f>
        <v/>
      </c>
      <c r="G313">
        <f>IF(OR($A313&gt;cfg_LastDataDate,NOT(ISNUMBER(Calc_Daily!$U313))),NA(),Calc_Daily!$U313)</f>
        <v/>
      </c>
      <c r="H313">
        <f>IF(OR($A313&gt;cfg_LastDataDate,NOT(ISNUMBER(Calc_Daily!$DZ313))),NA(),Calc_Daily!$DZ313)</f>
        <v/>
      </c>
      <c r="I313">
        <f>IF(OR($A313&gt;cfg_LastDataDate,NOT(ISNUMBER(Calc_Daily!$DT313))),NA(),Calc_Daily!$DT313)</f>
        <v/>
      </c>
      <c r="J313">
        <f>IF(OR($A313&gt;cfg_LastDataDate,NOT(ISNUMBER(Calc_Daily!$IP313))),NA(),Calc_Daily!$IP313)</f>
        <v/>
      </c>
      <c r="K313">
        <f>Calc_Daily!$KM313</f>
        <v/>
      </c>
    </row>
    <row r="314">
      <c r="A314" s="54">
        <f>Calc_Daily!$A314</f>
        <v/>
      </c>
      <c r="B314">
        <f>IF(OR($A314&gt;cfg_LastDataDate,NOT(ISNUMBER(Calc_Daily!$CU314))),NA(),Calc_Daily!$CU314)</f>
        <v/>
      </c>
      <c r="C314">
        <f>Calc_Daily!$JT314/Calc_Daily!$D314</f>
        <v/>
      </c>
      <c r="D314">
        <f>IF(OR($A314&gt;cfg_LastDataDate,NOT(ISNUMBER(Calc_Daily!$EJ314))),NA(),Calc_Daily!$EJ314)</f>
        <v/>
      </c>
      <c r="E314">
        <f>Calc_Daily!$KQ314</f>
        <v/>
      </c>
      <c r="F314">
        <f>IF(OR($A314&gt;cfg_LastDataDate,NOT(ISNUMBER(Calc_Daily!$F314))),NA(),Calc_Daily!$F314)</f>
        <v/>
      </c>
      <c r="G314">
        <f>IF(OR($A314&gt;cfg_LastDataDate,NOT(ISNUMBER(Calc_Daily!$U314))),NA(),Calc_Daily!$U314)</f>
        <v/>
      </c>
      <c r="H314">
        <f>IF(OR($A314&gt;cfg_LastDataDate,NOT(ISNUMBER(Calc_Daily!$DZ314))),NA(),Calc_Daily!$DZ314)</f>
        <v/>
      </c>
      <c r="I314">
        <f>IF(OR($A314&gt;cfg_LastDataDate,NOT(ISNUMBER(Calc_Daily!$DT314))),NA(),Calc_Daily!$DT314)</f>
        <v/>
      </c>
      <c r="J314">
        <f>IF(OR($A314&gt;cfg_LastDataDate,NOT(ISNUMBER(Calc_Daily!$IP314))),NA(),Calc_Daily!$IP314)</f>
        <v/>
      </c>
      <c r="K314">
        <f>Calc_Daily!$KM314</f>
        <v/>
      </c>
    </row>
    <row r="315">
      <c r="A315" s="54">
        <f>Calc_Daily!$A315</f>
        <v/>
      </c>
      <c r="B315">
        <f>IF(OR($A315&gt;cfg_LastDataDate,NOT(ISNUMBER(Calc_Daily!$CU315))),NA(),Calc_Daily!$CU315)</f>
        <v/>
      </c>
      <c r="C315">
        <f>Calc_Daily!$JT315/Calc_Daily!$D315</f>
        <v/>
      </c>
      <c r="D315">
        <f>IF(OR($A315&gt;cfg_LastDataDate,NOT(ISNUMBER(Calc_Daily!$EJ315))),NA(),Calc_Daily!$EJ315)</f>
        <v/>
      </c>
      <c r="E315">
        <f>Calc_Daily!$KQ315</f>
        <v/>
      </c>
      <c r="F315">
        <f>IF(OR($A315&gt;cfg_LastDataDate,NOT(ISNUMBER(Calc_Daily!$F315))),NA(),Calc_Daily!$F315)</f>
        <v/>
      </c>
      <c r="G315">
        <f>IF(OR($A315&gt;cfg_LastDataDate,NOT(ISNUMBER(Calc_Daily!$U315))),NA(),Calc_Daily!$U315)</f>
        <v/>
      </c>
      <c r="H315">
        <f>IF(OR($A315&gt;cfg_LastDataDate,NOT(ISNUMBER(Calc_Daily!$DZ315))),NA(),Calc_Daily!$DZ315)</f>
        <v/>
      </c>
      <c r="I315">
        <f>IF(OR($A315&gt;cfg_LastDataDate,NOT(ISNUMBER(Calc_Daily!$DT315))),NA(),Calc_Daily!$DT315)</f>
        <v/>
      </c>
      <c r="J315">
        <f>IF(OR($A315&gt;cfg_LastDataDate,NOT(ISNUMBER(Calc_Daily!$IP315))),NA(),Calc_Daily!$IP315)</f>
        <v/>
      </c>
      <c r="K315">
        <f>Calc_Daily!$KM315</f>
        <v/>
      </c>
    </row>
    <row r="316">
      <c r="A316" s="54">
        <f>Calc_Daily!$A316</f>
        <v/>
      </c>
      <c r="B316">
        <f>IF(OR($A316&gt;cfg_LastDataDate,NOT(ISNUMBER(Calc_Daily!$CU316))),NA(),Calc_Daily!$CU316)</f>
        <v/>
      </c>
      <c r="C316">
        <f>Calc_Daily!$JT316/Calc_Daily!$D316</f>
        <v/>
      </c>
      <c r="D316">
        <f>IF(OR($A316&gt;cfg_LastDataDate,NOT(ISNUMBER(Calc_Daily!$EJ316))),NA(),Calc_Daily!$EJ316)</f>
        <v/>
      </c>
      <c r="E316">
        <f>Calc_Daily!$KQ316</f>
        <v/>
      </c>
      <c r="F316">
        <f>IF(OR($A316&gt;cfg_LastDataDate,NOT(ISNUMBER(Calc_Daily!$F316))),NA(),Calc_Daily!$F316)</f>
        <v/>
      </c>
      <c r="G316">
        <f>IF(OR($A316&gt;cfg_LastDataDate,NOT(ISNUMBER(Calc_Daily!$U316))),NA(),Calc_Daily!$U316)</f>
        <v/>
      </c>
      <c r="H316">
        <f>IF(OR($A316&gt;cfg_LastDataDate,NOT(ISNUMBER(Calc_Daily!$DZ316))),NA(),Calc_Daily!$DZ316)</f>
        <v/>
      </c>
      <c r="I316">
        <f>IF(OR($A316&gt;cfg_LastDataDate,NOT(ISNUMBER(Calc_Daily!$DT316))),NA(),Calc_Daily!$DT316)</f>
        <v/>
      </c>
      <c r="J316">
        <f>IF(OR($A316&gt;cfg_LastDataDate,NOT(ISNUMBER(Calc_Daily!$IP316))),NA(),Calc_Daily!$IP316)</f>
        <v/>
      </c>
      <c r="K316">
        <f>Calc_Daily!$KM316</f>
        <v/>
      </c>
    </row>
    <row r="317">
      <c r="A317" s="54">
        <f>Calc_Daily!$A317</f>
        <v/>
      </c>
      <c r="B317">
        <f>IF(OR($A317&gt;cfg_LastDataDate,NOT(ISNUMBER(Calc_Daily!$CU317))),NA(),Calc_Daily!$CU317)</f>
        <v/>
      </c>
      <c r="C317">
        <f>Calc_Daily!$JT317/Calc_Daily!$D317</f>
        <v/>
      </c>
      <c r="D317">
        <f>IF(OR($A317&gt;cfg_LastDataDate,NOT(ISNUMBER(Calc_Daily!$EJ317))),NA(),Calc_Daily!$EJ317)</f>
        <v/>
      </c>
      <c r="E317">
        <f>Calc_Daily!$KQ317</f>
        <v/>
      </c>
      <c r="F317">
        <f>IF(OR($A317&gt;cfg_LastDataDate,NOT(ISNUMBER(Calc_Daily!$F317))),NA(),Calc_Daily!$F317)</f>
        <v/>
      </c>
      <c r="G317">
        <f>IF(OR($A317&gt;cfg_LastDataDate,NOT(ISNUMBER(Calc_Daily!$U317))),NA(),Calc_Daily!$U317)</f>
        <v/>
      </c>
      <c r="H317">
        <f>IF(OR($A317&gt;cfg_LastDataDate,NOT(ISNUMBER(Calc_Daily!$DZ317))),NA(),Calc_Daily!$DZ317)</f>
        <v/>
      </c>
      <c r="I317">
        <f>IF(OR($A317&gt;cfg_LastDataDate,NOT(ISNUMBER(Calc_Daily!$DT317))),NA(),Calc_Daily!$DT317)</f>
        <v/>
      </c>
      <c r="J317">
        <f>IF(OR($A317&gt;cfg_LastDataDate,NOT(ISNUMBER(Calc_Daily!$IP317))),NA(),Calc_Daily!$IP317)</f>
        <v/>
      </c>
      <c r="K317">
        <f>Calc_Daily!$KM317</f>
        <v/>
      </c>
    </row>
    <row r="318">
      <c r="A318" s="54">
        <f>Calc_Daily!$A318</f>
        <v/>
      </c>
      <c r="B318">
        <f>IF(OR($A318&gt;cfg_LastDataDate,NOT(ISNUMBER(Calc_Daily!$CU318))),NA(),Calc_Daily!$CU318)</f>
        <v/>
      </c>
      <c r="C318">
        <f>Calc_Daily!$JT318/Calc_Daily!$D318</f>
        <v/>
      </c>
      <c r="D318">
        <f>IF(OR($A318&gt;cfg_LastDataDate,NOT(ISNUMBER(Calc_Daily!$EJ318))),NA(),Calc_Daily!$EJ318)</f>
        <v/>
      </c>
      <c r="E318">
        <f>Calc_Daily!$KQ318</f>
        <v/>
      </c>
      <c r="F318">
        <f>IF(OR($A318&gt;cfg_LastDataDate,NOT(ISNUMBER(Calc_Daily!$F318))),NA(),Calc_Daily!$F318)</f>
        <v/>
      </c>
      <c r="G318">
        <f>IF(OR($A318&gt;cfg_LastDataDate,NOT(ISNUMBER(Calc_Daily!$U318))),NA(),Calc_Daily!$U318)</f>
        <v/>
      </c>
      <c r="H318">
        <f>IF(OR($A318&gt;cfg_LastDataDate,NOT(ISNUMBER(Calc_Daily!$DZ318))),NA(),Calc_Daily!$DZ318)</f>
        <v/>
      </c>
      <c r="I318">
        <f>IF(OR($A318&gt;cfg_LastDataDate,NOT(ISNUMBER(Calc_Daily!$DT318))),NA(),Calc_Daily!$DT318)</f>
        <v/>
      </c>
      <c r="J318">
        <f>IF(OR($A318&gt;cfg_LastDataDate,NOT(ISNUMBER(Calc_Daily!$IP318))),NA(),Calc_Daily!$IP318)</f>
        <v/>
      </c>
      <c r="K318">
        <f>Calc_Daily!$KM318</f>
        <v/>
      </c>
    </row>
    <row r="319">
      <c r="A319" s="54">
        <f>Calc_Daily!$A319</f>
        <v/>
      </c>
      <c r="B319">
        <f>IF(OR($A319&gt;cfg_LastDataDate,NOT(ISNUMBER(Calc_Daily!$CU319))),NA(),Calc_Daily!$CU319)</f>
        <v/>
      </c>
      <c r="C319">
        <f>Calc_Daily!$JT319/Calc_Daily!$D319</f>
        <v/>
      </c>
      <c r="D319">
        <f>IF(OR($A319&gt;cfg_LastDataDate,NOT(ISNUMBER(Calc_Daily!$EJ319))),NA(),Calc_Daily!$EJ319)</f>
        <v/>
      </c>
      <c r="E319">
        <f>Calc_Daily!$KQ319</f>
        <v/>
      </c>
      <c r="F319">
        <f>IF(OR($A319&gt;cfg_LastDataDate,NOT(ISNUMBER(Calc_Daily!$F319))),NA(),Calc_Daily!$F319)</f>
        <v/>
      </c>
      <c r="G319">
        <f>IF(OR($A319&gt;cfg_LastDataDate,NOT(ISNUMBER(Calc_Daily!$U319))),NA(),Calc_Daily!$U319)</f>
        <v/>
      </c>
      <c r="H319">
        <f>IF(OR($A319&gt;cfg_LastDataDate,NOT(ISNUMBER(Calc_Daily!$DZ319))),NA(),Calc_Daily!$DZ319)</f>
        <v/>
      </c>
      <c r="I319">
        <f>IF(OR($A319&gt;cfg_LastDataDate,NOT(ISNUMBER(Calc_Daily!$DT319))),NA(),Calc_Daily!$DT319)</f>
        <v/>
      </c>
      <c r="J319">
        <f>IF(OR($A319&gt;cfg_LastDataDate,NOT(ISNUMBER(Calc_Daily!$IP319))),NA(),Calc_Daily!$IP319)</f>
        <v/>
      </c>
      <c r="K319">
        <f>Calc_Daily!$KM319</f>
        <v/>
      </c>
    </row>
    <row r="320">
      <c r="A320" s="54">
        <f>Calc_Daily!$A320</f>
        <v/>
      </c>
      <c r="B320">
        <f>IF(OR($A320&gt;cfg_LastDataDate,NOT(ISNUMBER(Calc_Daily!$CU320))),NA(),Calc_Daily!$CU320)</f>
        <v/>
      </c>
      <c r="C320">
        <f>Calc_Daily!$JT320/Calc_Daily!$D320</f>
        <v/>
      </c>
      <c r="D320">
        <f>IF(OR($A320&gt;cfg_LastDataDate,NOT(ISNUMBER(Calc_Daily!$EJ320))),NA(),Calc_Daily!$EJ320)</f>
        <v/>
      </c>
      <c r="E320">
        <f>Calc_Daily!$KQ320</f>
        <v/>
      </c>
      <c r="F320">
        <f>IF(OR($A320&gt;cfg_LastDataDate,NOT(ISNUMBER(Calc_Daily!$F320))),NA(),Calc_Daily!$F320)</f>
        <v/>
      </c>
      <c r="G320">
        <f>IF(OR($A320&gt;cfg_LastDataDate,NOT(ISNUMBER(Calc_Daily!$U320))),NA(),Calc_Daily!$U320)</f>
        <v/>
      </c>
      <c r="H320">
        <f>IF(OR($A320&gt;cfg_LastDataDate,NOT(ISNUMBER(Calc_Daily!$DZ320))),NA(),Calc_Daily!$DZ320)</f>
        <v/>
      </c>
      <c r="I320">
        <f>IF(OR($A320&gt;cfg_LastDataDate,NOT(ISNUMBER(Calc_Daily!$DT320))),NA(),Calc_Daily!$DT320)</f>
        <v/>
      </c>
      <c r="J320">
        <f>IF(OR($A320&gt;cfg_LastDataDate,NOT(ISNUMBER(Calc_Daily!$IP320))),NA(),Calc_Daily!$IP320)</f>
        <v/>
      </c>
      <c r="K320">
        <f>Calc_Daily!$KM320</f>
        <v/>
      </c>
    </row>
    <row r="321">
      <c r="A321" s="54">
        <f>Calc_Daily!$A321</f>
        <v/>
      </c>
      <c r="B321">
        <f>IF(OR($A321&gt;cfg_LastDataDate,NOT(ISNUMBER(Calc_Daily!$CU321))),NA(),Calc_Daily!$CU321)</f>
        <v/>
      </c>
      <c r="C321">
        <f>Calc_Daily!$JT321/Calc_Daily!$D321</f>
        <v/>
      </c>
      <c r="D321">
        <f>IF(OR($A321&gt;cfg_LastDataDate,NOT(ISNUMBER(Calc_Daily!$EJ321))),NA(),Calc_Daily!$EJ321)</f>
        <v/>
      </c>
      <c r="E321">
        <f>Calc_Daily!$KQ321</f>
        <v/>
      </c>
      <c r="F321">
        <f>IF(OR($A321&gt;cfg_LastDataDate,NOT(ISNUMBER(Calc_Daily!$F321))),NA(),Calc_Daily!$F321)</f>
        <v/>
      </c>
      <c r="G321">
        <f>IF(OR($A321&gt;cfg_LastDataDate,NOT(ISNUMBER(Calc_Daily!$U321))),NA(),Calc_Daily!$U321)</f>
        <v/>
      </c>
      <c r="H321">
        <f>IF(OR($A321&gt;cfg_LastDataDate,NOT(ISNUMBER(Calc_Daily!$DZ321))),NA(),Calc_Daily!$DZ321)</f>
        <v/>
      </c>
      <c r="I321">
        <f>IF(OR($A321&gt;cfg_LastDataDate,NOT(ISNUMBER(Calc_Daily!$DT321))),NA(),Calc_Daily!$DT321)</f>
        <v/>
      </c>
      <c r="J321">
        <f>IF(OR($A321&gt;cfg_LastDataDate,NOT(ISNUMBER(Calc_Daily!$IP321))),NA(),Calc_Daily!$IP321)</f>
        <v/>
      </c>
      <c r="K321">
        <f>Calc_Daily!$KM321</f>
        <v/>
      </c>
    </row>
    <row r="322">
      <c r="A322" s="54">
        <f>Calc_Daily!$A322</f>
        <v/>
      </c>
      <c r="B322">
        <f>IF(OR($A322&gt;cfg_LastDataDate,NOT(ISNUMBER(Calc_Daily!$CU322))),NA(),Calc_Daily!$CU322)</f>
        <v/>
      </c>
      <c r="C322">
        <f>Calc_Daily!$JT322/Calc_Daily!$D322</f>
        <v/>
      </c>
      <c r="D322">
        <f>IF(OR($A322&gt;cfg_LastDataDate,NOT(ISNUMBER(Calc_Daily!$EJ322))),NA(),Calc_Daily!$EJ322)</f>
        <v/>
      </c>
      <c r="E322">
        <f>Calc_Daily!$KQ322</f>
        <v/>
      </c>
      <c r="F322">
        <f>IF(OR($A322&gt;cfg_LastDataDate,NOT(ISNUMBER(Calc_Daily!$F322))),NA(),Calc_Daily!$F322)</f>
        <v/>
      </c>
      <c r="G322">
        <f>IF(OR($A322&gt;cfg_LastDataDate,NOT(ISNUMBER(Calc_Daily!$U322))),NA(),Calc_Daily!$U322)</f>
        <v/>
      </c>
      <c r="H322">
        <f>IF(OR($A322&gt;cfg_LastDataDate,NOT(ISNUMBER(Calc_Daily!$DZ322))),NA(),Calc_Daily!$DZ322)</f>
        <v/>
      </c>
      <c r="I322">
        <f>IF(OR($A322&gt;cfg_LastDataDate,NOT(ISNUMBER(Calc_Daily!$DT322))),NA(),Calc_Daily!$DT322)</f>
        <v/>
      </c>
      <c r="J322">
        <f>IF(OR($A322&gt;cfg_LastDataDate,NOT(ISNUMBER(Calc_Daily!$IP322))),NA(),Calc_Daily!$IP322)</f>
        <v/>
      </c>
      <c r="K322">
        <f>Calc_Daily!$KM322</f>
        <v/>
      </c>
    </row>
    <row r="323">
      <c r="A323" s="54">
        <f>Calc_Daily!$A323</f>
        <v/>
      </c>
      <c r="B323">
        <f>IF(OR($A323&gt;cfg_LastDataDate,NOT(ISNUMBER(Calc_Daily!$CU323))),NA(),Calc_Daily!$CU323)</f>
        <v/>
      </c>
      <c r="C323">
        <f>Calc_Daily!$JT323/Calc_Daily!$D323</f>
        <v/>
      </c>
      <c r="D323">
        <f>IF(OR($A323&gt;cfg_LastDataDate,NOT(ISNUMBER(Calc_Daily!$EJ323))),NA(),Calc_Daily!$EJ323)</f>
        <v/>
      </c>
      <c r="E323">
        <f>Calc_Daily!$KQ323</f>
        <v/>
      </c>
      <c r="F323">
        <f>IF(OR($A323&gt;cfg_LastDataDate,NOT(ISNUMBER(Calc_Daily!$F323))),NA(),Calc_Daily!$F323)</f>
        <v/>
      </c>
      <c r="G323">
        <f>IF(OR($A323&gt;cfg_LastDataDate,NOT(ISNUMBER(Calc_Daily!$U323))),NA(),Calc_Daily!$U323)</f>
        <v/>
      </c>
      <c r="H323">
        <f>IF(OR($A323&gt;cfg_LastDataDate,NOT(ISNUMBER(Calc_Daily!$DZ323))),NA(),Calc_Daily!$DZ323)</f>
        <v/>
      </c>
      <c r="I323">
        <f>IF(OR($A323&gt;cfg_LastDataDate,NOT(ISNUMBER(Calc_Daily!$DT323))),NA(),Calc_Daily!$DT323)</f>
        <v/>
      </c>
      <c r="J323">
        <f>IF(OR($A323&gt;cfg_LastDataDate,NOT(ISNUMBER(Calc_Daily!$IP323))),NA(),Calc_Daily!$IP323)</f>
        <v/>
      </c>
      <c r="K323">
        <f>Calc_Daily!$KM323</f>
        <v/>
      </c>
    </row>
    <row r="324">
      <c r="A324" s="54">
        <f>Calc_Daily!$A324</f>
        <v/>
      </c>
      <c r="B324">
        <f>IF(OR($A324&gt;cfg_LastDataDate,NOT(ISNUMBER(Calc_Daily!$CU324))),NA(),Calc_Daily!$CU324)</f>
        <v/>
      </c>
      <c r="C324">
        <f>Calc_Daily!$JT324/Calc_Daily!$D324</f>
        <v/>
      </c>
      <c r="D324">
        <f>IF(OR($A324&gt;cfg_LastDataDate,NOT(ISNUMBER(Calc_Daily!$EJ324))),NA(),Calc_Daily!$EJ324)</f>
        <v/>
      </c>
      <c r="E324">
        <f>Calc_Daily!$KQ324</f>
        <v/>
      </c>
      <c r="F324">
        <f>IF(OR($A324&gt;cfg_LastDataDate,NOT(ISNUMBER(Calc_Daily!$F324))),NA(),Calc_Daily!$F324)</f>
        <v/>
      </c>
      <c r="G324">
        <f>IF(OR($A324&gt;cfg_LastDataDate,NOT(ISNUMBER(Calc_Daily!$U324))),NA(),Calc_Daily!$U324)</f>
        <v/>
      </c>
      <c r="H324">
        <f>IF(OR($A324&gt;cfg_LastDataDate,NOT(ISNUMBER(Calc_Daily!$DZ324))),NA(),Calc_Daily!$DZ324)</f>
        <v/>
      </c>
      <c r="I324">
        <f>IF(OR($A324&gt;cfg_LastDataDate,NOT(ISNUMBER(Calc_Daily!$DT324))),NA(),Calc_Daily!$DT324)</f>
        <v/>
      </c>
      <c r="J324">
        <f>IF(OR($A324&gt;cfg_LastDataDate,NOT(ISNUMBER(Calc_Daily!$IP324))),NA(),Calc_Daily!$IP324)</f>
        <v/>
      </c>
      <c r="K324">
        <f>Calc_Daily!$KM324</f>
        <v/>
      </c>
    </row>
    <row r="325">
      <c r="A325" s="54">
        <f>Calc_Daily!$A325</f>
        <v/>
      </c>
      <c r="B325">
        <f>IF(OR($A325&gt;cfg_LastDataDate,NOT(ISNUMBER(Calc_Daily!$CU325))),NA(),Calc_Daily!$CU325)</f>
        <v/>
      </c>
      <c r="C325">
        <f>Calc_Daily!$JT325/Calc_Daily!$D325</f>
        <v/>
      </c>
      <c r="D325">
        <f>IF(OR($A325&gt;cfg_LastDataDate,NOT(ISNUMBER(Calc_Daily!$EJ325))),NA(),Calc_Daily!$EJ325)</f>
        <v/>
      </c>
      <c r="E325">
        <f>Calc_Daily!$KQ325</f>
        <v/>
      </c>
      <c r="F325">
        <f>IF(OR($A325&gt;cfg_LastDataDate,NOT(ISNUMBER(Calc_Daily!$F325))),NA(),Calc_Daily!$F325)</f>
        <v/>
      </c>
      <c r="G325">
        <f>IF(OR($A325&gt;cfg_LastDataDate,NOT(ISNUMBER(Calc_Daily!$U325))),NA(),Calc_Daily!$U325)</f>
        <v/>
      </c>
      <c r="H325">
        <f>IF(OR($A325&gt;cfg_LastDataDate,NOT(ISNUMBER(Calc_Daily!$DZ325))),NA(),Calc_Daily!$DZ325)</f>
        <v/>
      </c>
      <c r="I325">
        <f>IF(OR($A325&gt;cfg_LastDataDate,NOT(ISNUMBER(Calc_Daily!$DT325))),NA(),Calc_Daily!$DT325)</f>
        <v/>
      </c>
      <c r="J325">
        <f>IF(OR($A325&gt;cfg_LastDataDate,NOT(ISNUMBER(Calc_Daily!$IP325))),NA(),Calc_Daily!$IP325)</f>
        <v/>
      </c>
      <c r="K325">
        <f>Calc_Daily!$KM325</f>
        <v/>
      </c>
    </row>
    <row r="326">
      <c r="A326" s="54">
        <f>Calc_Daily!$A326</f>
        <v/>
      </c>
      <c r="B326">
        <f>IF(OR($A326&gt;cfg_LastDataDate,NOT(ISNUMBER(Calc_Daily!$CU326))),NA(),Calc_Daily!$CU326)</f>
        <v/>
      </c>
      <c r="C326">
        <f>Calc_Daily!$JT326/Calc_Daily!$D326</f>
        <v/>
      </c>
      <c r="D326">
        <f>IF(OR($A326&gt;cfg_LastDataDate,NOT(ISNUMBER(Calc_Daily!$EJ326))),NA(),Calc_Daily!$EJ326)</f>
        <v/>
      </c>
      <c r="E326">
        <f>Calc_Daily!$KQ326</f>
        <v/>
      </c>
      <c r="F326">
        <f>IF(OR($A326&gt;cfg_LastDataDate,NOT(ISNUMBER(Calc_Daily!$F326))),NA(),Calc_Daily!$F326)</f>
        <v/>
      </c>
      <c r="G326">
        <f>IF(OR($A326&gt;cfg_LastDataDate,NOT(ISNUMBER(Calc_Daily!$U326))),NA(),Calc_Daily!$U326)</f>
        <v/>
      </c>
      <c r="H326">
        <f>IF(OR($A326&gt;cfg_LastDataDate,NOT(ISNUMBER(Calc_Daily!$DZ326))),NA(),Calc_Daily!$DZ326)</f>
        <v/>
      </c>
      <c r="I326">
        <f>IF(OR($A326&gt;cfg_LastDataDate,NOT(ISNUMBER(Calc_Daily!$DT326))),NA(),Calc_Daily!$DT326)</f>
        <v/>
      </c>
      <c r="J326">
        <f>IF(OR($A326&gt;cfg_LastDataDate,NOT(ISNUMBER(Calc_Daily!$IP326))),NA(),Calc_Daily!$IP326)</f>
        <v/>
      </c>
      <c r="K326">
        <f>Calc_Daily!$KM326</f>
        <v/>
      </c>
    </row>
    <row r="327">
      <c r="A327" s="54">
        <f>Calc_Daily!$A327</f>
        <v/>
      </c>
      <c r="B327">
        <f>IF(OR($A327&gt;cfg_LastDataDate,NOT(ISNUMBER(Calc_Daily!$CU327))),NA(),Calc_Daily!$CU327)</f>
        <v/>
      </c>
      <c r="C327">
        <f>Calc_Daily!$JT327/Calc_Daily!$D327</f>
        <v/>
      </c>
      <c r="D327">
        <f>IF(OR($A327&gt;cfg_LastDataDate,NOT(ISNUMBER(Calc_Daily!$EJ327))),NA(),Calc_Daily!$EJ327)</f>
        <v/>
      </c>
      <c r="E327">
        <f>Calc_Daily!$KQ327</f>
        <v/>
      </c>
      <c r="F327">
        <f>IF(OR($A327&gt;cfg_LastDataDate,NOT(ISNUMBER(Calc_Daily!$F327))),NA(),Calc_Daily!$F327)</f>
        <v/>
      </c>
      <c r="G327">
        <f>IF(OR($A327&gt;cfg_LastDataDate,NOT(ISNUMBER(Calc_Daily!$U327))),NA(),Calc_Daily!$U327)</f>
        <v/>
      </c>
      <c r="H327">
        <f>IF(OR($A327&gt;cfg_LastDataDate,NOT(ISNUMBER(Calc_Daily!$DZ327))),NA(),Calc_Daily!$DZ327)</f>
        <v/>
      </c>
      <c r="I327">
        <f>IF(OR($A327&gt;cfg_LastDataDate,NOT(ISNUMBER(Calc_Daily!$DT327))),NA(),Calc_Daily!$DT327)</f>
        <v/>
      </c>
      <c r="J327">
        <f>IF(OR($A327&gt;cfg_LastDataDate,NOT(ISNUMBER(Calc_Daily!$IP327))),NA(),Calc_Daily!$IP327)</f>
        <v/>
      </c>
      <c r="K327">
        <f>Calc_Daily!$KM327</f>
        <v/>
      </c>
    </row>
    <row r="328">
      <c r="A328" s="54">
        <f>Calc_Daily!$A328</f>
        <v/>
      </c>
      <c r="B328">
        <f>IF(OR($A328&gt;cfg_LastDataDate,NOT(ISNUMBER(Calc_Daily!$CU328))),NA(),Calc_Daily!$CU328)</f>
        <v/>
      </c>
      <c r="C328">
        <f>Calc_Daily!$JT328/Calc_Daily!$D328</f>
        <v/>
      </c>
      <c r="D328">
        <f>IF(OR($A328&gt;cfg_LastDataDate,NOT(ISNUMBER(Calc_Daily!$EJ328))),NA(),Calc_Daily!$EJ328)</f>
        <v/>
      </c>
      <c r="E328">
        <f>Calc_Daily!$KQ328</f>
        <v/>
      </c>
      <c r="F328">
        <f>IF(OR($A328&gt;cfg_LastDataDate,NOT(ISNUMBER(Calc_Daily!$F328))),NA(),Calc_Daily!$F328)</f>
        <v/>
      </c>
      <c r="G328">
        <f>IF(OR($A328&gt;cfg_LastDataDate,NOT(ISNUMBER(Calc_Daily!$U328))),NA(),Calc_Daily!$U328)</f>
        <v/>
      </c>
      <c r="H328">
        <f>IF(OR($A328&gt;cfg_LastDataDate,NOT(ISNUMBER(Calc_Daily!$DZ328))),NA(),Calc_Daily!$DZ328)</f>
        <v/>
      </c>
      <c r="I328">
        <f>IF(OR($A328&gt;cfg_LastDataDate,NOT(ISNUMBER(Calc_Daily!$DT328))),NA(),Calc_Daily!$DT328)</f>
        <v/>
      </c>
      <c r="J328">
        <f>IF(OR($A328&gt;cfg_LastDataDate,NOT(ISNUMBER(Calc_Daily!$IP328))),NA(),Calc_Daily!$IP328)</f>
        <v/>
      </c>
      <c r="K328">
        <f>Calc_Daily!$KM328</f>
        <v/>
      </c>
    </row>
    <row r="329">
      <c r="A329" s="54">
        <f>Calc_Daily!$A329</f>
        <v/>
      </c>
      <c r="B329">
        <f>IF(OR($A329&gt;cfg_LastDataDate,NOT(ISNUMBER(Calc_Daily!$CU329))),NA(),Calc_Daily!$CU329)</f>
        <v/>
      </c>
      <c r="C329">
        <f>Calc_Daily!$JT329/Calc_Daily!$D329</f>
        <v/>
      </c>
      <c r="D329">
        <f>IF(OR($A329&gt;cfg_LastDataDate,NOT(ISNUMBER(Calc_Daily!$EJ329))),NA(),Calc_Daily!$EJ329)</f>
        <v/>
      </c>
      <c r="E329">
        <f>Calc_Daily!$KQ329</f>
        <v/>
      </c>
      <c r="F329">
        <f>IF(OR($A329&gt;cfg_LastDataDate,NOT(ISNUMBER(Calc_Daily!$F329))),NA(),Calc_Daily!$F329)</f>
        <v/>
      </c>
      <c r="G329">
        <f>IF(OR($A329&gt;cfg_LastDataDate,NOT(ISNUMBER(Calc_Daily!$U329))),NA(),Calc_Daily!$U329)</f>
        <v/>
      </c>
      <c r="H329">
        <f>IF(OR($A329&gt;cfg_LastDataDate,NOT(ISNUMBER(Calc_Daily!$DZ329))),NA(),Calc_Daily!$DZ329)</f>
        <v/>
      </c>
      <c r="I329">
        <f>IF(OR($A329&gt;cfg_LastDataDate,NOT(ISNUMBER(Calc_Daily!$DT329))),NA(),Calc_Daily!$DT329)</f>
        <v/>
      </c>
      <c r="J329">
        <f>IF(OR($A329&gt;cfg_LastDataDate,NOT(ISNUMBER(Calc_Daily!$IP329))),NA(),Calc_Daily!$IP329)</f>
        <v/>
      </c>
      <c r="K329">
        <f>Calc_Daily!$KM329</f>
        <v/>
      </c>
    </row>
    <row r="330">
      <c r="A330" s="54">
        <f>Calc_Daily!$A330</f>
        <v/>
      </c>
      <c r="B330">
        <f>IF(OR($A330&gt;cfg_LastDataDate,NOT(ISNUMBER(Calc_Daily!$CU330))),NA(),Calc_Daily!$CU330)</f>
        <v/>
      </c>
      <c r="C330">
        <f>Calc_Daily!$JT330/Calc_Daily!$D330</f>
        <v/>
      </c>
      <c r="D330">
        <f>IF(OR($A330&gt;cfg_LastDataDate,NOT(ISNUMBER(Calc_Daily!$EJ330))),NA(),Calc_Daily!$EJ330)</f>
        <v/>
      </c>
      <c r="E330">
        <f>Calc_Daily!$KQ330</f>
        <v/>
      </c>
      <c r="F330">
        <f>IF(OR($A330&gt;cfg_LastDataDate,NOT(ISNUMBER(Calc_Daily!$F330))),NA(),Calc_Daily!$F330)</f>
        <v/>
      </c>
      <c r="G330">
        <f>IF(OR($A330&gt;cfg_LastDataDate,NOT(ISNUMBER(Calc_Daily!$U330))),NA(),Calc_Daily!$U330)</f>
        <v/>
      </c>
      <c r="H330">
        <f>IF(OR($A330&gt;cfg_LastDataDate,NOT(ISNUMBER(Calc_Daily!$DZ330))),NA(),Calc_Daily!$DZ330)</f>
        <v/>
      </c>
      <c r="I330">
        <f>IF(OR($A330&gt;cfg_LastDataDate,NOT(ISNUMBER(Calc_Daily!$DT330))),NA(),Calc_Daily!$DT330)</f>
        <v/>
      </c>
      <c r="J330">
        <f>IF(OR($A330&gt;cfg_LastDataDate,NOT(ISNUMBER(Calc_Daily!$IP330))),NA(),Calc_Daily!$IP330)</f>
        <v/>
      </c>
      <c r="K330">
        <f>Calc_Daily!$KM330</f>
        <v/>
      </c>
    </row>
    <row r="331">
      <c r="A331" s="54">
        <f>Calc_Daily!$A331</f>
        <v/>
      </c>
      <c r="B331">
        <f>IF(OR($A331&gt;cfg_LastDataDate,NOT(ISNUMBER(Calc_Daily!$CU331))),NA(),Calc_Daily!$CU331)</f>
        <v/>
      </c>
      <c r="C331">
        <f>Calc_Daily!$JT331/Calc_Daily!$D331</f>
        <v/>
      </c>
      <c r="D331">
        <f>IF(OR($A331&gt;cfg_LastDataDate,NOT(ISNUMBER(Calc_Daily!$EJ331))),NA(),Calc_Daily!$EJ331)</f>
        <v/>
      </c>
      <c r="E331">
        <f>Calc_Daily!$KQ331</f>
        <v/>
      </c>
      <c r="F331">
        <f>IF(OR($A331&gt;cfg_LastDataDate,NOT(ISNUMBER(Calc_Daily!$F331))),NA(),Calc_Daily!$F331)</f>
        <v/>
      </c>
      <c r="G331">
        <f>IF(OR($A331&gt;cfg_LastDataDate,NOT(ISNUMBER(Calc_Daily!$U331))),NA(),Calc_Daily!$U331)</f>
        <v/>
      </c>
      <c r="H331">
        <f>IF(OR($A331&gt;cfg_LastDataDate,NOT(ISNUMBER(Calc_Daily!$DZ331))),NA(),Calc_Daily!$DZ331)</f>
        <v/>
      </c>
      <c r="I331">
        <f>IF(OR($A331&gt;cfg_LastDataDate,NOT(ISNUMBER(Calc_Daily!$DT331))),NA(),Calc_Daily!$DT331)</f>
        <v/>
      </c>
      <c r="J331">
        <f>IF(OR($A331&gt;cfg_LastDataDate,NOT(ISNUMBER(Calc_Daily!$IP331))),NA(),Calc_Daily!$IP331)</f>
        <v/>
      </c>
      <c r="K331">
        <f>Calc_Daily!$KM331</f>
        <v/>
      </c>
    </row>
    <row r="332">
      <c r="A332" s="54">
        <f>Calc_Daily!$A332</f>
        <v/>
      </c>
      <c r="B332">
        <f>IF(OR($A332&gt;cfg_LastDataDate,NOT(ISNUMBER(Calc_Daily!$CU332))),NA(),Calc_Daily!$CU332)</f>
        <v/>
      </c>
      <c r="C332">
        <f>Calc_Daily!$JT332/Calc_Daily!$D332</f>
        <v/>
      </c>
      <c r="D332">
        <f>IF(OR($A332&gt;cfg_LastDataDate,NOT(ISNUMBER(Calc_Daily!$EJ332))),NA(),Calc_Daily!$EJ332)</f>
        <v/>
      </c>
      <c r="E332">
        <f>Calc_Daily!$KQ332</f>
        <v/>
      </c>
      <c r="F332">
        <f>IF(OR($A332&gt;cfg_LastDataDate,NOT(ISNUMBER(Calc_Daily!$F332))),NA(),Calc_Daily!$F332)</f>
        <v/>
      </c>
      <c r="G332">
        <f>IF(OR($A332&gt;cfg_LastDataDate,NOT(ISNUMBER(Calc_Daily!$U332))),NA(),Calc_Daily!$U332)</f>
        <v/>
      </c>
      <c r="H332">
        <f>IF(OR($A332&gt;cfg_LastDataDate,NOT(ISNUMBER(Calc_Daily!$DZ332))),NA(),Calc_Daily!$DZ332)</f>
        <v/>
      </c>
      <c r="I332">
        <f>IF(OR($A332&gt;cfg_LastDataDate,NOT(ISNUMBER(Calc_Daily!$DT332))),NA(),Calc_Daily!$DT332)</f>
        <v/>
      </c>
      <c r="J332">
        <f>IF(OR($A332&gt;cfg_LastDataDate,NOT(ISNUMBER(Calc_Daily!$IP332))),NA(),Calc_Daily!$IP332)</f>
        <v/>
      </c>
      <c r="K332">
        <f>Calc_Daily!$KM332</f>
        <v/>
      </c>
    </row>
    <row r="333">
      <c r="A333" s="54">
        <f>Calc_Daily!$A333</f>
        <v/>
      </c>
      <c r="B333">
        <f>IF(OR($A333&gt;cfg_LastDataDate,NOT(ISNUMBER(Calc_Daily!$CU333))),NA(),Calc_Daily!$CU333)</f>
        <v/>
      </c>
      <c r="C333">
        <f>Calc_Daily!$JT333/Calc_Daily!$D333</f>
        <v/>
      </c>
      <c r="D333">
        <f>IF(OR($A333&gt;cfg_LastDataDate,NOT(ISNUMBER(Calc_Daily!$EJ333))),NA(),Calc_Daily!$EJ333)</f>
        <v/>
      </c>
      <c r="E333">
        <f>Calc_Daily!$KQ333</f>
        <v/>
      </c>
      <c r="F333">
        <f>IF(OR($A333&gt;cfg_LastDataDate,NOT(ISNUMBER(Calc_Daily!$F333))),NA(),Calc_Daily!$F333)</f>
        <v/>
      </c>
      <c r="G333">
        <f>IF(OR($A333&gt;cfg_LastDataDate,NOT(ISNUMBER(Calc_Daily!$U333))),NA(),Calc_Daily!$U333)</f>
        <v/>
      </c>
      <c r="H333">
        <f>IF(OR($A333&gt;cfg_LastDataDate,NOT(ISNUMBER(Calc_Daily!$DZ333))),NA(),Calc_Daily!$DZ333)</f>
        <v/>
      </c>
      <c r="I333">
        <f>IF(OR($A333&gt;cfg_LastDataDate,NOT(ISNUMBER(Calc_Daily!$DT333))),NA(),Calc_Daily!$DT333)</f>
        <v/>
      </c>
      <c r="J333">
        <f>IF(OR($A333&gt;cfg_LastDataDate,NOT(ISNUMBER(Calc_Daily!$IP333))),NA(),Calc_Daily!$IP333)</f>
        <v/>
      </c>
      <c r="K333">
        <f>Calc_Daily!$KM333</f>
        <v/>
      </c>
    </row>
    <row r="334">
      <c r="A334" s="54">
        <f>Calc_Daily!$A334</f>
        <v/>
      </c>
      <c r="B334">
        <f>IF(OR($A334&gt;cfg_LastDataDate,NOT(ISNUMBER(Calc_Daily!$CU334))),NA(),Calc_Daily!$CU334)</f>
        <v/>
      </c>
      <c r="C334">
        <f>Calc_Daily!$JT334/Calc_Daily!$D334</f>
        <v/>
      </c>
      <c r="D334">
        <f>IF(OR($A334&gt;cfg_LastDataDate,NOT(ISNUMBER(Calc_Daily!$EJ334))),NA(),Calc_Daily!$EJ334)</f>
        <v/>
      </c>
      <c r="E334">
        <f>Calc_Daily!$KQ334</f>
        <v/>
      </c>
      <c r="F334">
        <f>IF(OR($A334&gt;cfg_LastDataDate,NOT(ISNUMBER(Calc_Daily!$F334))),NA(),Calc_Daily!$F334)</f>
        <v/>
      </c>
      <c r="G334">
        <f>IF(OR($A334&gt;cfg_LastDataDate,NOT(ISNUMBER(Calc_Daily!$U334))),NA(),Calc_Daily!$U334)</f>
        <v/>
      </c>
      <c r="H334">
        <f>IF(OR($A334&gt;cfg_LastDataDate,NOT(ISNUMBER(Calc_Daily!$DZ334))),NA(),Calc_Daily!$DZ334)</f>
        <v/>
      </c>
      <c r="I334">
        <f>IF(OR($A334&gt;cfg_LastDataDate,NOT(ISNUMBER(Calc_Daily!$DT334))),NA(),Calc_Daily!$DT334)</f>
        <v/>
      </c>
      <c r="J334">
        <f>IF(OR($A334&gt;cfg_LastDataDate,NOT(ISNUMBER(Calc_Daily!$IP334))),NA(),Calc_Daily!$IP334)</f>
        <v/>
      </c>
      <c r="K334">
        <f>Calc_Daily!$KM334</f>
        <v/>
      </c>
    </row>
    <row r="335">
      <c r="A335" s="54">
        <f>Calc_Daily!$A335</f>
        <v/>
      </c>
      <c r="B335">
        <f>IF(OR($A335&gt;cfg_LastDataDate,NOT(ISNUMBER(Calc_Daily!$CU335))),NA(),Calc_Daily!$CU335)</f>
        <v/>
      </c>
      <c r="C335">
        <f>Calc_Daily!$JT335/Calc_Daily!$D335</f>
        <v/>
      </c>
      <c r="D335">
        <f>IF(OR($A335&gt;cfg_LastDataDate,NOT(ISNUMBER(Calc_Daily!$EJ335))),NA(),Calc_Daily!$EJ335)</f>
        <v/>
      </c>
      <c r="E335">
        <f>Calc_Daily!$KQ335</f>
        <v/>
      </c>
      <c r="F335">
        <f>IF(OR($A335&gt;cfg_LastDataDate,NOT(ISNUMBER(Calc_Daily!$F335))),NA(),Calc_Daily!$F335)</f>
        <v/>
      </c>
      <c r="G335">
        <f>IF(OR($A335&gt;cfg_LastDataDate,NOT(ISNUMBER(Calc_Daily!$U335))),NA(),Calc_Daily!$U335)</f>
        <v/>
      </c>
      <c r="H335">
        <f>IF(OR($A335&gt;cfg_LastDataDate,NOT(ISNUMBER(Calc_Daily!$DZ335))),NA(),Calc_Daily!$DZ335)</f>
        <v/>
      </c>
      <c r="I335">
        <f>IF(OR($A335&gt;cfg_LastDataDate,NOT(ISNUMBER(Calc_Daily!$DT335))),NA(),Calc_Daily!$DT335)</f>
        <v/>
      </c>
      <c r="J335">
        <f>IF(OR($A335&gt;cfg_LastDataDate,NOT(ISNUMBER(Calc_Daily!$IP335))),NA(),Calc_Daily!$IP335)</f>
        <v/>
      </c>
      <c r="K335">
        <f>Calc_Daily!$KM335</f>
        <v/>
      </c>
    </row>
    <row r="336">
      <c r="A336" s="54">
        <f>Calc_Daily!$A336</f>
        <v/>
      </c>
      <c r="B336">
        <f>IF(OR($A336&gt;cfg_LastDataDate,NOT(ISNUMBER(Calc_Daily!$CU336))),NA(),Calc_Daily!$CU336)</f>
        <v/>
      </c>
      <c r="C336">
        <f>Calc_Daily!$JT336/Calc_Daily!$D336</f>
        <v/>
      </c>
      <c r="D336">
        <f>IF(OR($A336&gt;cfg_LastDataDate,NOT(ISNUMBER(Calc_Daily!$EJ336))),NA(),Calc_Daily!$EJ336)</f>
        <v/>
      </c>
      <c r="E336">
        <f>Calc_Daily!$KQ336</f>
        <v/>
      </c>
      <c r="F336">
        <f>IF(OR($A336&gt;cfg_LastDataDate,NOT(ISNUMBER(Calc_Daily!$F336))),NA(),Calc_Daily!$F336)</f>
        <v/>
      </c>
      <c r="G336">
        <f>IF(OR($A336&gt;cfg_LastDataDate,NOT(ISNUMBER(Calc_Daily!$U336))),NA(),Calc_Daily!$U336)</f>
        <v/>
      </c>
      <c r="H336">
        <f>IF(OR($A336&gt;cfg_LastDataDate,NOT(ISNUMBER(Calc_Daily!$DZ336))),NA(),Calc_Daily!$DZ336)</f>
        <v/>
      </c>
      <c r="I336">
        <f>IF(OR($A336&gt;cfg_LastDataDate,NOT(ISNUMBER(Calc_Daily!$DT336))),NA(),Calc_Daily!$DT336)</f>
        <v/>
      </c>
      <c r="J336">
        <f>IF(OR($A336&gt;cfg_LastDataDate,NOT(ISNUMBER(Calc_Daily!$IP336))),NA(),Calc_Daily!$IP336)</f>
        <v/>
      </c>
      <c r="K336">
        <f>Calc_Daily!$KM336</f>
        <v/>
      </c>
    </row>
    <row r="337">
      <c r="A337" s="54">
        <f>Calc_Daily!$A337</f>
        <v/>
      </c>
      <c r="B337">
        <f>IF(OR($A337&gt;cfg_LastDataDate,NOT(ISNUMBER(Calc_Daily!$CU337))),NA(),Calc_Daily!$CU337)</f>
        <v/>
      </c>
      <c r="C337">
        <f>Calc_Daily!$JT337/Calc_Daily!$D337</f>
        <v/>
      </c>
      <c r="D337">
        <f>IF(OR($A337&gt;cfg_LastDataDate,NOT(ISNUMBER(Calc_Daily!$EJ337))),NA(),Calc_Daily!$EJ337)</f>
        <v/>
      </c>
      <c r="E337">
        <f>Calc_Daily!$KQ337</f>
        <v/>
      </c>
      <c r="F337">
        <f>IF(OR($A337&gt;cfg_LastDataDate,NOT(ISNUMBER(Calc_Daily!$F337))),NA(),Calc_Daily!$F337)</f>
        <v/>
      </c>
      <c r="G337">
        <f>IF(OR($A337&gt;cfg_LastDataDate,NOT(ISNUMBER(Calc_Daily!$U337))),NA(),Calc_Daily!$U337)</f>
        <v/>
      </c>
      <c r="H337">
        <f>IF(OR($A337&gt;cfg_LastDataDate,NOT(ISNUMBER(Calc_Daily!$DZ337))),NA(),Calc_Daily!$DZ337)</f>
        <v/>
      </c>
      <c r="I337">
        <f>IF(OR($A337&gt;cfg_LastDataDate,NOT(ISNUMBER(Calc_Daily!$DT337))),NA(),Calc_Daily!$DT337)</f>
        <v/>
      </c>
      <c r="J337">
        <f>IF(OR($A337&gt;cfg_LastDataDate,NOT(ISNUMBER(Calc_Daily!$IP337))),NA(),Calc_Daily!$IP337)</f>
        <v/>
      </c>
      <c r="K337">
        <f>Calc_Daily!$KM337</f>
        <v/>
      </c>
    </row>
    <row r="338">
      <c r="A338" s="54">
        <f>Calc_Daily!$A338</f>
        <v/>
      </c>
      <c r="B338">
        <f>IF(OR($A338&gt;cfg_LastDataDate,NOT(ISNUMBER(Calc_Daily!$CU338))),NA(),Calc_Daily!$CU338)</f>
        <v/>
      </c>
      <c r="C338">
        <f>Calc_Daily!$JT338/Calc_Daily!$D338</f>
        <v/>
      </c>
      <c r="D338">
        <f>IF(OR($A338&gt;cfg_LastDataDate,NOT(ISNUMBER(Calc_Daily!$EJ338))),NA(),Calc_Daily!$EJ338)</f>
        <v/>
      </c>
      <c r="E338">
        <f>Calc_Daily!$KQ338</f>
        <v/>
      </c>
      <c r="F338">
        <f>IF(OR($A338&gt;cfg_LastDataDate,NOT(ISNUMBER(Calc_Daily!$F338))),NA(),Calc_Daily!$F338)</f>
        <v/>
      </c>
      <c r="G338">
        <f>IF(OR($A338&gt;cfg_LastDataDate,NOT(ISNUMBER(Calc_Daily!$U338))),NA(),Calc_Daily!$U338)</f>
        <v/>
      </c>
      <c r="H338">
        <f>IF(OR($A338&gt;cfg_LastDataDate,NOT(ISNUMBER(Calc_Daily!$DZ338))),NA(),Calc_Daily!$DZ338)</f>
        <v/>
      </c>
      <c r="I338">
        <f>IF(OR($A338&gt;cfg_LastDataDate,NOT(ISNUMBER(Calc_Daily!$DT338))),NA(),Calc_Daily!$DT338)</f>
        <v/>
      </c>
      <c r="J338">
        <f>IF(OR($A338&gt;cfg_LastDataDate,NOT(ISNUMBER(Calc_Daily!$IP338))),NA(),Calc_Daily!$IP338)</f>
        <v/>
      </c>
      <c r="K338">
        <f>Calc_Daily!$KM338</f>
        <v/>
      </c>
    </row>
    <row r="339">
      <c r="A339" s="54">
        <f>Calc_Daily!$A339</f>
        <v/>
      </c>
      <c r="B339">
        <f>IF(OR($A339&gt;cfg_LastDataDate,NOT(ISNUMBER(Calc_Daily!$CU339))),NA(),Calc_Daily!$CU339)</f>
        <v/>
      </c>
      <c r="C339">
        <f>Calc_Daily!$JT339/Calc_Daily!$D339</f>
        <v/>
      </c>
      <c r="D339">
        <f>IF(OR($A339&gt;cfg_LastDataDate,NOT(ISNUMBER(Calc_Daily!$EJ339))),NA(),Calc_Daily!$EJ339)</f>
        <v/>
      </c>
      <c r="E339">
        <f>Calc_Daily!$KQ339</f>
        <v/>
      </c>
      <c r="F339">
        <f>IF(OR($A339&gt;cfg_LastDataDate,NOT(ISNUMBER(Calc_Daily!$F339))),NA(),Calc_Daily!$F339)</f>
        <v/>
      </c>
      <c r="G339">
        <f>IF(OR($A339&gt;cfg_LastDataDate,NOT(ISNUMBER(Calc_Daily!$U339))),NA(),Calc_Daily!$U339)</f>
        <v/>
      </c>
      <c r="H339">
        <f>IF(OR($A339&gt;cfg_LastDataDate,NOT(ISNUMBER(Calc_Daily!$DZ339))),NA(),Calc_Daily!$DZ339)</f>
        <v/>
      </c>
      <c r="I339">
        <f>IF(OR($A339&gt;cfg_LastDataDate,NOT(ISNUMBER(Calc_Daily!$DT339))),NA(),Calc_Daily!$DT339)</f>
        <v/>
      </c>
      <c r="J339">
        <f>IF(OR($A339&gt;cfg_LastDataDate,NOT(ISNUMBER(Calc_Daily!$IP339))),NA(),Calc_Daily!$IP339)</f>
        <v/>
      </c>
      <c r="K339">
        <f>Calc_Daily!$KM339</f>
        <v/>
      </c>
    </row>
    <row r="340">
      <c r="A340" s="54">
        <f>Calc_Daily!$A340</f>
        <v/>
      </c>
      <c r="B340">
        <f>IF(OR($A340&gt;cfg_LastDataDate,NOT(ISNUMBER(Calc_Daily!$CU340))),NA(),Calc_Daily!$CU340)</f>
        <v/>
      </c>
      <c r="C340">
        <f>Calc_Daily!$JT340/Calc_Daily!$D340</f>
        <v/>
      </c>
      <c r="D340">
        <f>IF(OR($A340&gt;cfg_LastDataDate,NOT(ISNUMBER(Calc_Daily!$EJ340))),NA(),Calc_Daily!$EJ340)</f>
        <v/>
      </c>
      <c r="E340">
        <f>Calc_Daily!$KQ340</f>
        <v/>
      </c>
      <c r="F340">
        <f>IF(OR($A340&gt;cfg_LastDataDate,NOT(ISNUMBER(Calc_Daily!$F340))),NA(),Calc_Daily!$F340)</f>
        <v/>
      </c>
      <c r="G340">
        <f>IF(OR($A340&gt;cfg_LastDataDate,NOT(ISNUMBER(Calc_Daily!$U340))),NA(),Calc_Daily!$U340)</f>
        <v/>
      </c>
      <c r="H340">
        <f>IF(OR($A340&gt;cfg_LastDataDate,NOT(ISNUMBER(Calc_Daily!$DZ340))),NA(),Calc_Daily!$DZ340)</f>
        <v/>
      </c>
      <c r="I340">
        <f>IF(OR($A340&gt;cfg_LastDataDate,NOT(ISNUMBER(Calc_Daily!$DT340))),NA(),Calc_Daily!$DT340)</f>
        <v/>
      </c>
      <c r="J340">
        <f>IF(OR($A340&gt;cfg_LastDataDate,NOT(ISNUMBER(Calc_Daily!$IP340))),NA(),Calc_Daily!$IP340)</f>
        <v/>
      </c>
      <c r="K340">
        <f>Calc_Daily!$KM340</f>
        <v/>
      </c>
    </row>
    <row r="341">
      <c r="A341" s="54">
        <f>Calc_Daily!$A341</f>
        <v/>
      </c>
      <c r="B341">
        <f>IF(OR($A341&gt;cfg_LastDataDate,NOT(ISNUMBER(Calc_Daily!$CU341))),NA(),Calc_Daily!$CU341)</f>
        <v/>
      </c>
      <c r="C341">
        <f>Calc_Daily!$JT341/Calc_Daily!$D341</f>
        <v/>
      </c>
      <c r="D341">
        <f>IF(OR($A341&gt;cfg_LastDataDate,NOT(ISNUMBER(Calc_Daily!$EJ341))),NA(),Calc_Daily!$EJ341)</f>
        <v/>
      </c>
      <c r="E341">
        <f>Calc_Daily!$KQ341</f>
        <v/>
      </c>
      <c r="F341">
        <f>IF(OR($A341&gt;cfg_LastDataDate,NOT(ISNUMBER(Calc_Daily!$F341))),NA(),Calc_Daily!$F341)</f>
        <v/>
      </c>
      <c r="G341">
        <f>IF(OR($A341&gt;cfg_LastDataDate,NOT(ISNUMBER(Calc_Daily!$U341))),NA(),Calc_Daily!$U341)</f>
        <v/>
      </c>
      <c r="H341">
        <f>IF(OR($A341&gt;cfg_LastDataDate,NOT(ISNUMBER(Calc_Daily!$DZ341))),NA(),Calc_Daily!$DZ341)</f>
        <v/>
      </c>
      <c r="I341">
        <f>IF(OR($A341&gt;cfg_LastDataDate,NOT(ISNUMBER(Calc_Daily!$DT341))),NA(),Calc_Daily!$DT341)</f>
        <v/>
      </c>
      <c r="J341">
        <f>IF(OR($A341&gt;cfg_LastDataDate,NOT(ISNUMBER(Calc_Daily!$IP341))),NA(),Calc_Daily!$IP341)</f>
        <v/>
      </c>
      <c r="K341">
        <f>Calc_Daily!$KM341</f>
        <v/>
      </c>
    </row>
    <row r="342">
      <c r="A342" s="54">
        <f>Calc_Daily!$A342</f>
        <v/>
      </c>
      <c r="B342">
        <f>IF(OR($A342&gt;cfg_LastDataDate,NOT(ISNUMBER(Calc_Daily!$CU342))),NA(),Calc_Daily!$CU342)</f>
        <v/>
      </c>
      <c r="C342">
        <f>Calc_Daily!$JT342/Calc_Daily!$D342</f>
        <v/>
      </c>
      <c r="D342">
        <f>IF(OR($A342&gt;cfg_LastDataDate,NOT(ISNUMBER(Calc_Daily!$EJ342))),NA(),Calc_Daily!$EJ342)</f>
        <v/>
      </c>
      <c r="E342">
        <f>Calc_Daily!$KQ342</f>
        <v/>
      </c>
      <c r="F342">
        <f>IF(OR($A342&gt;cfg_LastDataDate,NOT(ISNUMBER(Calc_Daily!$F342))),NA(),Calc_Daily!$F342)</f>
        <v/>
      </c>
      <c r="G342">
        <f>IF(OR($A342&gt;cfg_LastDataDate,NOT(ISNUMBER(Calc_Daily!$U342))),NA(),Calc_Daily!$U342)</f>
        <v/>
      </c>
      <c r="H342">
        <f>IF(OR($A342&gt;cfg_LastDataDate,NOT(ISNUMBER(Calc_Daily!$DZ342))),NA(),Calc_Daily!$DZ342)</f>
        <v/>
      </c>
      <c r="I342">
        <f>IF(OR($A342&gt;cfg_LastDataDate,NOT(ISNUMBER(Calc_Daily!$DT342))),NA(),Calc_Daily!$DT342)</f>
        <v/>
      </c>
      <c r="J342">
        <f>IF(OR($A342&gt;cfg_LastDataDate,NOT(ISNUMBER(Calc_Daily!$IP342))),NA(),Calc_Daily!$IP342)</f>
        <v/>
      </c>
      <c r="K342">
        <f>Calc_Daily!$KM342</f>
        <v/>
      </c>
    </row>
    <row r="343">
      <c r="A343" s="54">
        <f>Calc_Daily!$A343</f>
        <v/>
      </c>
      <c r="B343">
        <f>IF(OR($A343&gt;cfg_LastDataDate,NOT(ISNUMBER(Calc_Daily!$CU343))),NA(),Calc_Daily!$CU343)</f>
        <v/>
      </c>
      <c r="C343">
        <f>Calc_Daily!$JT343/Calc_Daily!$D343</f>
        <v/>
      </c>
      <c r="D343">
        <f>IF(OR($A343&gt;cfg_LastDataDate,NOT(ISNUMBER(Calc_Daily!$EJ343))),NA(),Calc_Daily!$EJ343)</f>
        <v/>
      </c>
      <c r="E343">
        <f>Calc_Daily!$KQ343</f>
        <v/>
      </c>
      <c r="F343">
        <f>IF(OR($A343&gt;cfg_LastDataDate,NOT(ISNUMBER(Calc_Daily!$F343))),NA(),Calc_Daily!$F343)</f>
        <v/>
      </c>
      <c r="G343">
        <f>IF(OR($A343&gt;cfg_LastDataDate,NOT(ISNUMBER(Calc_Daily!$U343))),NA(),Calc_Daily!$U343)</f>
        <v/>
      </c>
      <c r="H343">
        <f>IF(OR($A343&gt;cfg_LastDataDate,NOT(ISNUMBER(Calc_Daily!$DZ343))),NA(),Calc_Daily!$DZ343)</f>
        <v/>
      </c>
      <c r="I343">
        <f>IF(OR($A343&gt;cfg_LastDataDate,NOT(ISNUMBER(Calc_Daily!$DT343))),NA(),Calc_Daily!$DT343)</f>
        <v/>
      </c>
      <c r="J343">
        <f>IF(OR($A343&gt;cfg_LastDataDate,NOT(ISNUMBER(Calc_Daily!$IP343))),NA(),Calc_Daily!$IP343)</f>
        <v/>
      </c>
      <c r="K343">
        <f>Calc_Daily!$KM343</f>
        <v/>
      </c>
    </row>
    <row r="344">
      <c r="A344" s="54">
        <f>Calc_Daily!$A344</f>
        <v/>
      </c>
      <c r="B344">
        <f>IF(OR($A344&gt;cfg_LastDataDate,NOT(ISNUMBER(Calc_Daily!$CU344))),NA(),Calc_Daily!$CU344)</f>
        <v/>
      </c>
      <c r="C344">
        <f>Calc_Daily!$JT344/Calc_Daily!$D344</f>
        <v/>
      </c>
      <c r="D344">
        <f>IF(OR($A344&gt;cfg_LastDataDate,NOT(ISNUMBER(Calc_Daily!$EJ344))),NA(),Calc_Daily!$EJ344)</f>
        <v/>
      </c>
      <c r="E344">
        <f>Calc_Daily!$KQ344</f>
        <v/>
      </c>
      <c r="F344">
        <f>IF(OR($A344&gt;cfg_LastDataDate,NOT(ISNUMBER(Calc_Daily!$F344))),NA(),Calc_Daily!$F344)</f>
        <v/>
      </c>
      <c r="G344">
        <f>IF(OR($A344&gt;cfg_LastDataDate,NOT(ISNUMBER(Calc_Daily!$U344))),NA(),Calc_Daily!$U344)</f>
        <v/>
      </c>
      <c r="H344">
        <f>IF(OR($A344&gt;cfg_LastDataDate,NOT(ISNUMBER(Calc_Daily!$DZ344))),NA(),Calc_Daily!$DZ344)</f>
        <v/>
      </c>
      <c r="I344">
        <f>IF(OR($A344&gt;cfg_LastDataDate,NOT(ISNUMBER(Calc_Daily!$DT344))),NA(),Calc_Daily!$DT344)</f>
        <v/>
      </c>
      <c r="J344">
        <f>IF(OR($A344&gt;cfg_LastDataDate,NOT(ISNUMBER(Calc_Daily!$IP344))),NA(),Calc_Daily!$IP344)</f>
        <v/>
      </c>
      <c r="K344">
        <f>Calc_Daily!$KM344</f>
        <v/>
      </c>
    </row>
    <row r="345">
      <c r="A345" s="54">
        <f>Calc_Daily!$A345</f>
        <v/>
      </c>
      <c r="B345">
        <f>IF(OR($A345&gt;cfg_LastDataDate,NOT(ISNUMBER(Calc_Daily!$CU345))),NA(),Calc_Daily!$CU345)</f>
        <v/>
      </c>
      <c r="C345">
        <f>Calc_Daily!$JT345/Calc_Daily!$D345</f>
        <v/>
      </c>
      <c r="D345">
        <f>IF(OR($A345&gt;cfg_LastDataDate,NOT(ISNUMBER(Calc_Daily!$EJ345))),NA(),Calc_Daily!$EJ345)</f>
        <v/>
      </c>
      <c r="E345">
        <f>Calc_Daily!$KQ345</f>
        <v/>
      </c>
      <c r="F345">
        <f>IF(OR($A345&gt;cfg_LastDataDate,NOT(ISNUMBER(Calc_Daily!$F345))),NA(),Calc_Daily!$F345)</f>
        <v/>
      </c>
      <c r="G345">
        <f>IF(OR($A345&gt;cfg_LastDataDate,NOT(ISNUMBER(Calc_Daily!$U345))),NA(),Calc_Daily!$U345)</f>
        <v/>
      </c>
      <c r="H345">
        <f>IF(OR($A345&gt;cfg_LastDataDate,NOT(ISNUMBER(Calc_Daily!$DZ345))),NA(),Calc_Daily!$DZ345)</f>
        <v/>
      </c>
      <c r="I345">
        <f>IF(OR($A345&gt;cfg_LastDataDate,NOT(ISNUMBER(Calc_Daily!$DT345))),NA(),Calc_Daily!$DT345)</f>
        <v/>
      </c>
      <c r="J345">
        <f>IF(OR($A345&gt;cfg_LastDataDate,NOT(ISNUMBER(Calc_Daily!$IP345))),NA(),Calc_Daily!$IP345)</f>
        <v/>
      </c>
      <c r="K345">
        <f>Calc_Daily!$KM345</f>
        <v/>
      </c>
    </row>
    <row r="346">
      <c r="A346" s="54">
        <f>Calc_Daily!$A346</f>
        <v/>
      </c>
      <c r="B346">
        <f>IF(OR($A346&gt;cfg_LastDataDate,NOT(ISNUMBER(Calc_Daily!$CU346))),NA(),Calc_Daily!$CU346)</f>
        <v/>
      </c>
      <c r="C346">
        <f>Calc_Daily!$JT346/Calc_Daily!$D346</f>
        <v/>
      </c>
      <c r="D346">
        <f>IF(OR($A346&gt;cfg_LastDataDate,NOT(ISNUMBER(Calc_Daily!$EJ346))),NA(),Calc_Daily!$EJ346)</f>
        <v/>
      </c>
      <c r="E346">
        <f>Calc_Daily!$KQ346</f>
        <v/>
      </c>
      <c r="F346">
        <f>IF(OR($A346&gt;cfg_LastDataDate,NOT(ISNUMBER(Calc_Daily!$F346))),NA(),Calc_Daily!$F346)</f>
        <v/>
      </c>
      <c r="G346">
        <f>IF(OR($A346&gt;cfg_LastDataDate,NOT(ISNUMBER(Calc_Daily!$U346))),NA(),Calc_Daily!$U346)</f>
        <v/>
      </c>
      <c r="H346">
        <f>IF(OR($A346&gt;cfg_LastDataDate,NOT(ISNUMBER(Calc_Daily!$DZ346))),NA(),Calc_Daily!$DZ346)</f>
        <v/>
      </c>
      <c r="I346">
        <f>IF(OR($A346&gt;cfg_LastDataDate,NOT(ISNUMBER(Calc_Daily!$DT346))),NA(),Calc_Daily!$DT346)</f>
        <v/>
      </c>
      <c r="J346">
        <f>IF(OR($A346&gt;cfg_LastDataDate,NOT(ISNUMBER(Calc_Daily!$IP346))),NA(),Calc_Daily!$IP346)</f>
        <v/>
      </c>
      <c r="K346">
        <f>Calc_Daily!$KM346</f>
        <v/>
      </c>
    </row>
    <row r="347">
      <c r="A347" s="54">
        <f>Calc_Daily!$A347</f>
        <v/>
      </c>
      <c r="B347">
        <f>IF(OR($A347&gt;cfg_LastDataDate,NOT(ISNUMBER(Calc_Daily!$CU347))),NA(),Calc_Daily!$CU347)</f>
        <v/>
      </c>
      <c r="C347">
        <f>Calc_Daily!$JT347/Calc_Daily!$D347</f>
        <v/>
      </c>
      <c r="D347">
        <f>IF(OR($A347&gt;cfg_LastDataDate,NOT(ISNUMBER(Calc_Daily!$EJ347))),NA(),Calc_Daily!$EJ347)</f>
        <v/>
      </c>
      <c r="E347">
        <f>Calc_Daily!$KQ347</f>
        <v/>
      </c>
      <c r="F347">
        <f>IF(OR($A347&gt;cfg_LastDataDate,NOT(ISNUMBER(Calc_Daily!$F347))),NA(),Calc_Daily!$F347)</f>
        <v/>
      </c>
      <c r="G347">
        <f>IF(OR($A347&gt;cfg_LastDataDate,NOT(ISNUMBER(Calc_Daily!$U347))),NA(),Calc_Daily!$U347)</f>
        <v/>
      </c>
      <c r="H347">
        <f>IF(OR($A347&gt;cfg_LastDataDate,NOT(ISNUMBER(Calc_Daily!$DZ347))),NA(),Calc_Daily!$DZ347)</f>
        <v/>
      </c>
      <c r="I347">
        <f>IF(OR($A347&gt;cfg_LastDataDate,NOT(ISNUMBER(Calc_Daily!$DT347))),NA(),Calc_Daily!$DT347)</f>
        <v/>
      </c>
      <c r="J347">
        <f>IF(OR($A347&gt;cfg_LastDataDate,NOT(ISNUMBER(Calc_Daily!$IP347))),NA(),Calc_Daily!$IP347)</f>
        <v/>
      </c>
      <c r="K347">
        <f>Calc_Daily!$KM347</f>
        <v/>
      </c>
    </row>
    <row r="348">
      <c r="A348" s="54">
        <f>Calc_Daily!$A348</f>
        <v/>
      </c>
      <c r="B348">
        <f>IF(OR($A348&gt;cfg_LastDataDate,NOT(ISNUMBER(Calc_Daily!$CU348))),NA(),Calc_Daily!$CU348)</f>
        <v/>
      </c>
      <c r="C348">
        <f>Calc_Daily!$JT348/Calc_Daily!$D348</f>
        <v/>
      </c>
      <c r="D348">
        <f>IF(OR($A348&gt;cfg_LastDataDate,NOT(ISNUMBER(Calc_Daily!$EJ348))),NA(),Calc_Daily!$EJ348)</f>
        <v/>
      </c>
      <c r="E348">
        <f>Calc_Daily!$KQ348</f>
        <v/>
      </c>
      <c r="F348">
        <f>IF(OR($A348&gt;cfg_LastDataDate,NOT(ISNUMBER(Calc_Daily!$F348))),NA(),Calc_Daily!$F348)</f>
        <v/>
      </c>
      <c r="G348">
        <f>IF(OR($A348&gt;cfg_LastDataDate,NOT(ISNUMBER(Calc_Daily!$U348))),NA(),Calc_Daily!$U348)</f>
        <v/>
      </c>
      <c r="H348">
        <f>IF(OR($A348&gt;cfg_LastDataDate,NOT(ISNUMBER(Calc_Daily!$DZ348))),NA(),Calc_Daily!$DZ348)</f>
        <v/>
      </c>
      <c r="I348">
        <f>IF(OR($A348&gt;cfg_LastDataDate,NOT(ISNUMBER(Calc_Daily!$DT348))),NA(),Calc_Daily!$DT348)</f>
        <v/>
      </c>
      <c r="J348">
        <f>IF(OR($A348&gt;cfg_LastDataDate,NOT(ISNUMBER(Calc_Daily!$IP348))),NA(),Calc_Daily!$IP348)</f>
        <v/>
      </c>
      <c r="K348">
        <f>Calc_Daily!$KM348</f>
        <v/>
      </c>
    </row>
    <row r="349">
      <c r="A349" s="54">
        <f>Calc_Daily!$A349</f>
        <v/>
      </c>
      <c r="B349">
        <f>IF(OR($A349&gt;cfg_LastDataDate,NOT(ISNUMBER(Calc_Daily!$CU349))),NA(),Calc_Daily!$CU349)</f>
        <v/>
      </c>
      <c r="C349">
        <f>Calc_Daily!$JT349/Calc_Daily!$D349</f>
        <v/>
      </c>
      <c r="D349">
        <f>IF(OR($A349&gt;cfg_LastDataDate,NOT(ISNUMBER(Calc_Daily!$EJ349))),NA(),Calc_Daily!$EJ349)</f>
        <v/>
      </c>
      <c r="E349">
        <f>Calc_Daily!$KQ349</f>
        <v/>
      </c>
      <c r="F349">
        <f>IF(OR($A349&gt;cfg_LastDataDate,NOT(ISNUMBER(Calc_Daily!$F349))),NA(),Calc_Daily!$F349)</f>
        <v/>
      </c>
      <c r="G349">
        <f>IF(OR($A349&gt;cfg_LastDataDate,NOT(ISNUMBER(Calc_Daily!$U349))),NA(),Calc_Daily!$U349)</f>
        <v/>
      </c>
      <c r="H349">
        <f>IF(OR($A349&gt;cfg_LastDataDate,NOT(ISNUMBER(Calc_Daily!$DZ349))),NA(),Calc_Daily!$DZ349)</f>
        <v/>
      </c>
      <c r="I349">
        <f>IF(OR($A349&gt;cfg_LastDataDate,NOT(ISNUMBER(Calc_Daily!$DT349))),NA(),Calc_Daily!$DT349)</f>
        <v/>
      </c>
      <c r="J349">
        <f>IF(OR($A349&gt;cfg_LastDataDate,NOT(ISNUMBER(Calc_Daily!$IP349))),NA(),Calc_Daily!$IP349)</f>
        <v/>
      </c>
      <c r="K349">
        <f>Calc_Daily!$KM349</f>
        <v/>
      </c>
    </row>
    <row r="350">
      <c r="A350" s="54">
        <f>Calc_Daily!$A350</f>
        <v/>
      </c>
      <c r="B350">
        <f>IF(OR($A350&gt;cfg_LastDataDate,NOT(ISNUMBER(Calc_Daily!$CU350))),NA(),Calc_Daily!$CU350)</f>
        <v/>
      </c>
      <c r="C350">
        <f>Calc_Daily!$JT350/Calc_Daily!$D350</f>
        <v/>
      </c>
      <c r="D350">
        <f>IF(OR($A350&gt;cfg_LastDataDate,NOT(ISNUMBER(Calc_Daily!$EJ350))),NA(),Calc_Daily!$EJ350)</f>
        <v/>
      </c>
      <c r="E350">
        <f>Calc_Daily!$KQ350</f>
        <v/>
      </c>
      <c r="F350">
        <f>IF(OR($A350&gt;cfg_LastDataDate,NOT(ISNUMBER(Calc_Daily!$F350))),NA(),Calc_Daily!$F350)</f>
        <v/>
      </c>
      <c r="G350">
        <f>IF(OR($A350&gt;cfg_LastDataDate,NOT(ISNUMBER(Calc_Daily!$U350))),NA(),Calc_Daily!$U350)</f>
        <v/>
      </c>
      <c r="H350">
        <f>IF(OR($A350&gt;cfg_LastDataDate,NOT(ISNUMBER(Calc_Daily!$DZ350))),NA(),Calc_Daily!$DZ350)</f>
        <v/>
      </c>
      <c r="I350">
        <f>IF(OR($A350&gt;cfg_LastDataDate,NOT(ISNUMBER(Calc_Daily!$DT350))),NA(),Calc_Daily!$DT350)</f>
        <v/>
      </c>
      <c r="J350">
        <f>IF(OR($A350&gt;cfg_LastDataDate,NOT(ISNUMBER(Calc_Daily!$IP350))),NA(),Calc_Daily!$IP350)</f>
        <v/>
      </c>
      <c r="K350">
        <f>Calc_Daily!$KM350</f>
        <v/>
      </c>
    </row>
    <row r="351">
      <c r="A351" s="54">
        <f>Calc_Daily!$A351</f>
        <v/>
      </c>
      <c r="B351">
        <f>IF(OR($A351&gt;cfg_LastDataDate,NOT(ISNUMBER(Calc_Daily!$CU351))),NA(),Calc_Daily!$CU351)</f>
        <v/>
      </c>
      <c r="C351">
        <f>Calc_Daily!$JT351/Calc_Daily!$D351</f>
        <v/>
      </c>
      <c r="D351">
        <f>IF(OR($A351&gt;cfg_LastDataDate,NOT(ISNUMBER(Calc_Daily!$EJ351))),NA(),Calc_Daily!$EJ351)</f>
        <v/>
      </c>
      <c r="E351">
        <f>Calc_Daily!$KQ351</f>
        <v/>
      </c>
      <c r="F351">
        <f>IF(OR($A351&gt;cfg_LastDataDate,NOT(ISNUMBER(Calc_Daily!$F351))),NA(),Calc_Daily!$F351)</f>
        <v/>
      </c>
      <c r="G351">
        <f>IF(OR($A351&gt;cfg_LastDataDate,NOT(ISNUMBER(Calc_Daily!$U351))),NA(),Calc_Daily!$U351)</f>
        <v/>
      </c>
      <c r="H351">
        <f>IF(OR($A351&gt;cfg_LastDataDate,NOT(ISNUMBER(Calc_Daily!$DZ351))),NA(),Calc_Daily!$DZ351)</f>
        <v/>
      </c>
      <c r="I351">
        <f>IF(OR($A351&gt;cfg_LastDataDate,NOT(ISNUMBER(Calc_Daily!$DT351))),NA(),Calc_Daily!$DT351)</f>
        <v/>
      </c>
      <c r="J351">
        <f>IF(OR($A351&gt;cfg_LastDataDate,NOT(ISNUMBER(Calc_Daily!$IP351))),NA(),Calc_Daily!$IP351)</f>
        <v/>
      </c>
      <c r="K351">
        <f>Calc_Daily!$KM351</f>
        <v/>
      </c>
    </row>
    <row r="352">
      <c r="A352" s="54">
        <f>Calc_Daily!$A352</f>
        <v/>
      </c>
      <c r="B352">
        <f>IF(OR($A352&gt;cfg_LastDataDate,NOT(ISNUMBER(Calc_Daily!$CU352))),NA(),Calc_Daily!$CU352)</f>
        <v/>
      </c>
      <c r="C352">
        <f>Calc_Daily!$JT352/Calc_Daily!$D352</f>
        <v/>
      </c>
      <c r="D352">
        <f>IF(OR($A352&gt;cfg_LastDataDate,NOT(ISNUMBER(Calc_Daily!$EJ352))),NA(),Calc_Daily!$EJ352)</f>
        <v/>
      </c>
      <c r="E352">
        <f>Calc_Daily!$KQ352</f>
        <v/>
      </c>
      <c r="F352">
        <f>IF(OR($A352&gt;cfg_LastDataDate,NOT(ISNUMBER(Calc_Daily!$F352))),NA(),Calc_Daily!$F352)</f>
        <v/>
      </c>
      <c r="G352">
        <f>IF(OR($A352&gt;cfg_LastDataDate,NOT(ISNUMBER(Calc_Daily!$U352))),NA(),Calc_Daily!$U352)</f>
        <v/>
      </c>
      <c r="H352">
        <f>IF(OR($A352&gt;cfg_LastDataDate,NOT(ISNUMBER(Calc_Daily!$DZ352))),NA(),Calc_Daily!$DZ352)</f>
        <v/>
      </c>
      <c r="I352">
        <f>IF(OR($A352&gt;cfg_LastDataDate,NOT(ISNUMBER(Calc_Daily!$DT352))),NA(),Calc_Daily!$DT352)</f>
        <v/>
      </c>
      <c r="J352">
        <f>IF(OR($A352&gt;cfg_LastDataDate,NOT(ISNUMBER(Calc_Daily!$IP352))),NA(),Calc_Daily!$IP352)</f>
        <v/>
      </c>
      <c r="K352">
        <f>Calc_Daily!$KM352</f>
        <v/>
      </c>
    </row>
    <row r="353">
      <c r="A353" s="54">
        <f>Calc_Daily!$A353</f>
        <v/>
      </c>
      <c r="B353">
        <f>IF(OR($A353&gt;cfg_LastDataDate,NOT(ISNUMBER(Calc_Daily!$CU353))),NA(),Calc_Daily!$CU353)</f>
        <v/>
      </c>
      <c r="C353">
        <f>Calc_Daily!$JT353/Calc_Daily!$D353</f>
        <v/>
      </c>
      <c r="D353">
        <f>IF(OR($A353&gt;cfg_LastDataDate,NOT(ISNUMBER(Calc_Daily!$EJ353))),NA(),Calc_Daily!$EJ353)</f>
        <v/>
      </c>
      <c r="E353">
        <f>Calc_Daily!$KQ353</f>
        <v/>
      </c>
      <c r="F353">
        <f>IF(OR($A353&gt;cfg_LastDataDate,NOT(ISNUMBER(Calc_Daily!$F353))),NA(),Calc_Daily!$F353)</f>
        <v/>
      </c>
      <c r="G353">
        <f>IF(OR($A353&gt;cfg_LastDataDate,NOT(ISNUMBER(Calc_Daily!$U353))),NA(),Calc_Daily!$U353)</f>
        <v/>
      </c>
      <c r="H353">
        <f>IF(OR($A353&gt;cfg_LastDataDate,NOT(ISNUMBER(Calc_Daily!$DZ353))),NA(),Calc_Daily!$DZ353)</f>
        <v/>
      </c>
      <c r="I353">
        <f>IF(OR($A353&gt;cfg_LastDataDate,NOT(ISNUMBER(Calc_Daily!$DT353))),NA(),Calc_Daily!$DT353)</f>
        <v/>
      </c>
      <c r="J353">
        <f>IF(OR($A353&gt;cfg_LastDataDate,NOT(ISNUMBER(Calc_Daily!$IP353))),NA(),Calc_Daily!$IP353)</f>
        <v/>
      </c>
      <c r="K353">
        <f>Calc_Daily!$KM353</f>
        <v/>
      </c>
    </row>
    <row r="354">
      <c r="A354" s="54">
        <f>Calc_Daily!$A354</f>
        <v/>
      </c>
      <c r="B354">
        <f>IF(OR($A354&gt;cfg_LastDataDate,NOT(ISNUMBER(Calc_Daily!$CU354))),NA(),Calc_Daily!$CU354)</f>
        <v/>
      </c>
      <c r="C354">
        <f>Calc_Daily!$JT354/Calc_Daily!$D354</f>
        <v/>
      </c>
      <c r="D354">
        <f>IF(OR($A354&gt;cfg_LastDataDate,NOT(ISNUMBER(Calc_Daily!$EJ354))),NA(),Calc_Daily!$EJ354)</f>
        <v/>
      </c>
      <c r="E354">
        <f>Calc_Daily!$KQ354</f>
        <v/>
      </c>
      <c r="F354">
        <f>IF(OR($A354&gt;cfg_LastDataDate,NOT(ISNUMBER(Calc_Daily!$F354))),NA(),Calc_Daily!$F354)</f>
        <v/>
      </c>
      <c r="G354">
        <f>IF(OR($A354&gt;cfg_LastDataDate,NOT(ISNUMBER(Calc_Daily!$U354))),NA(),Calc_Daily!$U354)</f>
        <v/>
      </c>
      <c r="H354">
        <f>IF(OR($A354&gt;cfg_LastDataDate,NOT(ISNUMBER(Calc_Daily!$DZ354))),NA(),Calc_Daily!$DZ354)</f>
        <v/>
      </c>
      <c r="I354">
        <f>IF(OR($A354&gt;cfg_LastDataDate,NOT(ISNUMBER(Calc_Daily!$DT354))),NA(),Calc_Daily!$DT354)</f>
        <v/>
      </c>
      <c r="J354">
        <f>IF(OR($A354&gt;cfg_LastDataDate,NOT(ISNUMBER(Calc_Daily!$IP354))),NA(),Calc_Daily!$IP354)</f>
        <v/>
      </c>
      <c r="K354">
        <f>Calc_Daily!$KM354</f>
        <v/>
      </c>
    </row>
    <row r="355">
      <c r="A355" s="54">
        <f>Calc_Daily!$A355</f>
        <v/>
      </c>
      <c r="B355">
        <f>IF(OR($A355&gt;cfg_LastDataDate,NOT(ISNUMBER(Calc_Daily!$CU355))),NA(),Calc_Daily!$CU355)</f>
        <v/>
      </c>
      <c r="C355">
        <f>Calc_Daily!$JT355/Calc_Daily!$D355</f>
        <v/>
      </c>
      <c r="D355">
        <f>IF(OR($A355&gt;cfg_LastDataDate,NOT(ISNUMBER(Calc_Daily!$EJ355))),NA(),Calc_Daily!$EJ355)</f>
        <v/>
      </c>
      <c r="E355">
        <f>Calc_Daily!$KQ355</f>
        <v/>
      </c>
      <c r="F355">
        <f>IF(OR($A355&gt;cfg_LastDataDate,NOT(ISNUMBER(Calc_Daily!$F355))),NA(),Calc_Daily!$F355)</f>
        <v/>
      </c>
      <c r="G355">
        <f>IF(OR($A355&gt;cfg_LastDataDate,NOT(ISNUMBER(Calc_Daily!$U355))),NA(),Calc_Daily!$U355)</f>
        <v/>
      </c>
      <c r="H355">
        <f>IF(OR($A355&gt;cfg_LastDataDate,NOT(ISNUMBER(Calc_Daily!$DZ355))),NA(),Calc_Daily!$DZ355)</f>
        <v/>
      </c>
      <c r="I355">
        <f>IF(OR($A355&gt;cfg_LastDataDate,NOT(ISNUMBER(Calc_Daily!$DT355))),NA(),Calc_Daily!$DT355)</f>
        <v/>
      </c>
      <c r="J355">
        <f>IF(OR($A355&gt;cfg_LastDataDate,NOT(ISNUMBER(Calc_Daily!$IP355))),NA(),Calc_Daily!$IP355)</f>
        <v/>
      </c>
      <c r="K355">
        <f>Calc_Daily!$KM355</f>
        <v/>
      </c>
    </row>
    <row r="356">
      <c r="A356" s="54">
        <f>Calc_Daily!$A356</f>
        <v/>
      </c>
      <c r="B356">
        <f>IF(OR($A356&gt;cfg_LastDataDate,NOT(ISNUMBER(Calc_Daily!$CU356))),NA(),Calc_Daily!$CU356)</f>
        <v/>
      </c>
      <c r="C356">
        <f>Calc_Daily!$JT356/Calc_Daily!$D356</f>
        <v/>
      </c>
      <c r="D356">
        <f>IF(OR($A356&gt;cfg_LastDataDate,NOT(ISNUMBER(Calc_Daily!$EJ356))),NA(),Calc_Daily!$EJ356)</f>
        <v/>
      </c>
      <c r="E356">
        <f>Calc_Daily!$KQ356</f>
        <v/>
      </c>
      <c r="F356">
        <f>IF(OR($A356&gt;cfg_LastDataDate,NOT(ISNUMBER(Calc_Daily!$F356))),NA(),Calc_Daily!$F356)</f>
        <v/>
      </c>
      <c r="G356">
        <f>IF(OR($A356&gt;cfg_LastDataDate,NOT(ISNUMBER(Calc_Daily!$U356))),NA(),Calc_Daily!$U356)</f>
        <v/>
      </c>
      <c r="H356">
        <f>IF(OR($A356&gt;cfg_LastDataDate,NOT(ISNUMBER(Calc_Daily!$DZ356))),NA(),Calc_Daily!$DZ356)</f>
        <v/>
      </c>
      <c r="I356">
        <f>IF(OR($A356&gt;cfg_LastDataDate,NOT(ISNUMBER(Calc_Daily!$DT356))),NA(),Calc_Daily!$DT356)</f>
        <v/>
      </c>
      <c r="J356">
        <f>IF(OR($A356&gt;cfg_LastDataDate,NOT(ISNUMBER(Calc_Daily!$IP356))),NA(),Calc_Daily!$IP356)</f>
        <v/>
      </c>
      <c r="K356">
        <f>Calc_Daily!$KM356</f>
        <v/>
      </c>
    </row>
    <row r="357">
      <c r="A357" s="54">
        <f>Calc_Daily!$A357</f>
        <v/>
      </c>
      <c r="B357">
        <f>IF(OR($A357&gt;cfg_LastDataDate,NOT(ISNUMBER(Calc_Daily!$CU357))),NA(),Calc_Daily!$CU357)</f>
        <v/>
      </c>
      <c r="C357">
        <f>Calc_Daily!$JT357/Calc_Daily!$D357</f>
        <v/>
      </c>
      <c r="D357">
        <f>IF(OR($A357&gt;cfg_LastDataDate,NOT(ISNUMBER(Calc_Daily!$EJ357))),NA(),Calc_Daily!$EJ357)</f>
        <v/>
      </c>
      <c r="E357">
        <f>Calc_Daily!$KQ357</f>
        <v/>
      </c>
      <c r="F357">
        <f>IF(OR($A357&gt;cfg_LastDataDate,NOT(ISNUMBER(Calc_Daily!$F357))),NA(),Calc_Daily!$F357)</f>
        <v/>
      </c>
      <c r="G357">
        <f>IF(OR($A357&gt;cfg_LastDataDate,NOT(ISNUMBER(Calc_Daily!$U357))),NA(),Calc_Daily!$U357)</f>
        <v/>
      </c>
      <c r="H357">
        <f>IF(OR($A357&gt;cfg_LastDataDate,NOT(ISNUMBER(Calc_Daily!$DZ357))),NA(),Calc_Daily!$DZ357)</f>
        <v/>
      </c>
      <c r="I357">
        <f>IF(OR($A357&gt;cfg_LastDataDate,NOT(ISNUMBER(Calc_Daily!$DT357))),NA(),Calc_Daily!$DT357)</f>
        <v/>
      </c>
      <c r="J357">
        <f>IF(OR($A357&gt;cfg_LastDataDate,NOT(ISNUMBER(Calc_Daily!$IP357))),NA(),Calc_Daily!$IP357)</f>
        <v/>
      </c>
      <c r="K357">
        <f>Calc_Daily!$KM357</f>
        <v/>
      </c>
    </row>
    <row r="358">
      <c r="A358" s="54">
        <f>Calc_Daily!$A358</f>
        <v/>
      </c>
      <c r="B358">
        <f>IF(OR($A358&gt;cfg_LastDataDate,NOT(ISNUMBER(Calc_Daily!$CU358))),NA(),Calc_Daily!$CU358)</f>
        <v/>
      </c>
      <c r="C358">
        <f>Calc_Daily!$JT358/Calc_Daily!$D358</f>
        <v/>
      </c>
      <c r="D358">
        <f>IF(OR($A358&gt;cfg_LastDataDate,NOT(ISNUMBER(Calc_Daily!$EJ358))),NA(),Calc_Daily!$EJ358)</f>
        <v/>
      </c>
      <c r="E358">
        <f>Calc_Daily!$KQ358</f>
        <v/>
      </c>
      <c r="F358">
        <f>IF(OR($A358&gt;cfg_LastDataDate,NOT(ISNUMBER(Calc_Daily!$F358))),NA(),Calc_Daily!$F358)</f>
        <v/>
      </c>
      <c r="G358">
        <f>IF(OR($A358&gt;cfg_LastDataDate,NOT(ISNUMBER(Calc_Daily!$U358))),NA(),Calc_Daily!$U358)</f>
        <v/>
      </c>
      <c r="H358">
        <f>IF(OR($A358&gt;cfg_LastDataDate,NOT(ISNUMBER(Calc_Daily!$DZ358))),NA(),Calc_Daily!$DZ358)</f>
        <v/>
      </c>
      <c r="I358">
        <f>IF(OR($A358&gt;cfg_LastDataDate,NOT(ISNUMBER(Calc_Daily!$DT358))),NA(),Calc_Daily!$DT358)</f>
        <v/>
      </c>
      <c r="J358">
        <f>IF(OR($A358&gt;cfg_LastDataDate,NOT(ISNUMBER(Calc_Daily!$IP358))),NA(),Calc_Daily!$IP358)</f>
        <v/>
      </c>
      <c r="K358">
        <f>Calc_Daily!$KM358</f>
        <v/>
      </c>
    </row>
    <row r="359">
      <c r="A359" s="54">
        <f>Calc_Daily!$A359</f>
        <v/>
      </c>
      <c r="B359">
        <f>IF(OR($A359&gt;cfg_LastDataDate,NOT(ISNUMBER(Calc_Daily!$CU359))),NA(),Calc_Daily!$CU359)</f>
        <v/>
      </c>
      <c r="C359">
        <f>Calc_Daily!$JT359/Calc_Daily!$D359</f>
        <v/>
      </c>
      <c r="D359">
        <f>IF(OR($A359&gt;cfg_LastDataDate,NOT(ISNUMBER(Calc_Daily!$EJ359))),NA(),Calc_Daily!$EJ359)</f>
        <v/>
      </c>
      <c r="E359">
        <f>Calc_Daily!$KQ359</f>
        <v/>
      </c>
      <c r="F359">
        <f>IF(OR($A359&gt;cfg_LastDataDate,NOT(ISNUMBER(Calc_Daily!$F359))),NA(),Calc_Daily!$F359)</f>
        <v/>
      </c>
      <c r="G359">
        <f>IF(OR($A359&gt;cfg_LastDataDate,NOT(ISNUMBER(Calc_Daily!$U359))),NA(),Calc_Daily!$U359)</f>
        <v/>
      </c>
      <c r="H359">
        <f>IF(OR($A359&gt;cfg_LastDataDate,NOT(ISNUMBER(Calc_Daily!$DZ359))),NA(),Calc_Daily!$DZ359)</f>
        <v/>
      </c>
      <c r="I359">
        <f>IF(OR($A359&gt;cfg_LastDataDate,NOT(ISNUMBER(Calc_Daily!$DT359))),NA(),Calc_Daily!$DT359)</f>
        <v/>
      </c>
      <c r="J359">
        <f>IF(OR($A359&gt;cfg_LastDataDate,NOT(ISNUMBER(Calc_Daily!$IP359))),NA(),Calc_Daily!$IP359)</f>
        <v/>
      </c>
      <c r="K359">
        <f>Calc_Daily!$KM359</f>
        <v/>
      </c>
    </row>
    <row r="360">
      <c r="A360" s="54">
        <f>Calc_Daily!$A360</f>
        <v/>
      </c>
      <c r="B360">
        <f>IF(OR($A360&gt;cfg_LastDataDate,NOT(ISNUMBER(Calc_Daily!$CU360))),NA(),Calc_Daily!$CU360)</f>
        <v/>
      </c>
      <c r="C360">
        <f>Calc_Daily!$JT360/Calc_Daily!$D360</f>
        <v/>
      </c>
      <c r="D360">
        <f>IF(OR($A360&gt;cfg_LastDataDate,NOT(ISNUMBER(Calc_Daily!$EJ360))),NA(),Calc_Daily!$EJ360)</f>
        <v/>
      </c>
      <c r="E360">
        <f>Calc_Daily!$KQ360</f>
        <v/>
      </c>
      <c r="F360">
        <f>IF(OR($A360&gt;cfg_LastDataDate,NOT(ISNUMBER(Calc_Daily!$F360))),NA(),Calc_Daily!$F360)</f>
        <v/>
      </c>
      <c r="G360">
        <f>IF(OR($A360&gt;cfg_LastDataDate,NOT(ISNUMBER(Calc_Daily!$U360))),NA(),Calc_Daily!$U360)</f>
        <v/>
      </c>
      <c r="H360">
        <f>IF(OR($A360&gt;cfg_LastDataDate,NOT(ISNUMBER(Calc_Daily!$DZ360))),NA(),Calc_Daily!$DZ360)</f>
        <v/>
      </c>
      <c r="I360">
        <f>IF(OR($A360&gt;cfg_LastDataDate,NOT(ISNUMBER(Calc_Daily!$DT360))),NA(),Calc_Daily!$DT360)</f>
        <v/>
      </c>
      <c r="J360">
        <f>IF(OR($A360&gt;cfg_LastDataDate,NOT(ISNUMBER(Calc_Daily!$IP360))),NA(),Calc_Daily!$IP360)</f>
        <v/>
      </c>
      <c r="K360">
        <f>Calc_Daily!$KM360</f>
        <v/>
      </c>
    </row>
    <row r="361">
      <c r="A361" s="54">
        <f>Calc_Daily!$A361</f>
        <v/>
      </c>
      <c r="B361">
        <f>IF(OR($A361&gt;cfg_LastDataDate,NOT(ISNUMBER(Calc_Daily!$CU361))),NA(),Calc_Daily!$CU361)</f>
        <v/>
      </c>
      <c r="C361">
        <f>Calc_Daily!$JT361/Calc_Daily!$D361</f>
        <v/>
      </c>
      <c r="D361">
        <f>IF(OR($A361&gt;cfg_LastDataDate,NOT(ISNUMBER(Calc_Daily!$EJ361))),NA(),Calc_Daily!$EJ361)</f>
        <v/>
      </c>
      <c r="E361">
        <f>Calc_Daily!$KQ361</f>
        <v/>
      </c>
      <c r="F361">
        <f>IF(OR($A361&gt;cfg_LastDataDate,NOT(ISNUMBER(Calc_Daily!$F361))),NA(),Calc_Daily!$F361)</f>
        <v/>
      </c>
      <c r="G361">
        <f>IF(OR($A361&gt;cfg_LastDataDate,NOT(ISNUMBER(Calc_Daily!$U361))),NA(),Calc_Daily!$U361)</f>
        <v/>
      </c>
      <c r="H361">
        <f>IF(OR($A361&gt;cfg_LastDataDate,NOT(ISNUMBER(Calc_Daily!$DZ361))),NA(),Calc_Daily!$DZ361)</f>
        <v/>
      </c>
      <c r="I361">
        <f>IF(OR($A361&gt;cfg_LastDataDate,NOT(ISNUMBER(Calc_Daily!$DT361))),NA(),Calc_Daily!$DT361)</f>
        <v/>
      </c>
      <c r="J361">
        <f>IF(OR($A361&gt;cfg_LastDataDate,NOT(ISNUMBER(Calc_Daily!$IP361))),NA(),Calc_Daily!$IP361)</f>
        <v/>
      </c>
      <c r="K361">
        <f>Calc_Daily!$KM361</f>
        <v/>
      </c>
    </row>
    <row r="362">
      <c r="A362" s="54">
        <f>Calc_Daily!$A362</f>
        <v/>
      </c>
      <c r="B362">
        <f>IF(OR($A362&gt;cfg_LastDataDate,NOT(ISNUMBER(Calc_Daily!$CU362))),NA(),Calc_Daily!$CU362)</f>
        <v/>
      </c>
      <c r="C362">
        <f>Calc_Daily!$JT362/Calc_Daily!$D362</f>
        <v/>
      </c>
      <c r="D362">
        <f>IF(OR($A362&gt;cfg_LastDataDate,NOT(ISNUMBER(Calc_Daily!$EJ362))),NA(),Calc_Daily!$EJ362)</f>
        <v/>
      </c>
      <c r="E362">
        <f>Calc_Daily!$KQ362</f>
        <v/>
      </c>
      <c r="F362">
        <f>IF(OR($A362&gt;cfg_LastDataDate,NOT(ISNUMBER(Calc_Daily!$F362))),NA(),Calc_Daily!$F362)</f>
        <v/>
      </c>
      <c r="G362">
        <f>IF(OR($A362&gt;cfg_LastDataDate,NOT(ISNUMBER(Calc_Daily!$U362))),NA(),Calc_Daily!$U362)</f>
        <v/>
      </c>
      <c r="H362">
        <f>IF(OR($A362&gt;cfg_LastDataDate,NOT(ISNUMBER(Calc_Daily!$DZ362))),NA(),Calc_Daily!$DZ362)</f>
        <v/>
      </c>
      <c r="I362">
        <f>IF(OR($A362&gt;cfg_LastDataDate,NOT(ISNUMBER(Calc_Daily!$DT362))),NA(),Calc_Daily!$DT362)</f>
        <v/>
      </c>
      <c r="J362">
        <f>IF(OR($A362&gt;cfg_LastDataDate,NOT(ISNUMBER(Calc_Daily!$IP362))),NA(),Calc_Daily!$IP362)</f>
        <v/>
      </c>
      <c r="K362">
        <f>Calc_Daily!$KM362</f>
        <v/>
      </c>
    </row>
    <row r="363">
      <c r="A363" s="54">
        <f>Calc_Daily!$A363</f>
        <v/>
      </c>
      <c r="B363">
        <f>IF(OR($A363&gt;cfg_LastDataDate,NOT(ISNUMBER(Calc_Daily!$CU363))),NA(),Calc_Daily!$CU363)</f>
        <v/>
      </c>
      <c r="C363">
        <f>Calc_Daily!$JT363/Calc_Daily!$D363</f>
        <v/>
      </c>
      <c r="D363">
        <f>IF(OR($A363&gt;cfg_LastDataDate,NOT(ISNUMBER(Calc_Daily!$EJ363))),NA(),Calc_Daily!$EJ363)</f>
        <v/>
      </c>
      <c r="E363">
        <f>Calc_Daily!$KQ363</f>
        <v/>
      </c>
      <c r="F363">
        <f>IF(OR($A363&gt;cfg_LastDataDate,NOT(ISNUMBER(Calc_Daily!$F363))),NA(),Calc_Daily!$F363)</f>
        <v/>
      </c>
      <c r="G363">
        <f>IF(OR($A363&gt;cfg_LastDataDate,NOT(ISNUMBER(Calc_Daily!$U363))),NA(),Calc_Daily!$U363)</f>
        <v/>
      </c>
      <c r="H363">
        <f>IF(OR($A363&gt;cfg_LastDataDate,NOT(ISNUMBER(Calc_Daily!$DZ363))),NA(),Calc_Daily!$DZ363)</f>
        <v/>
      </c>
      <c r="I363">
        <f>IF(OR($A363&gt;cfg_LastDataDate,NOT(ISNUMBER(Calc_Daily!$DT363))),NA(),Calc_Daily!$DT363)</f>
        <v/>
      </c>
      <c r="J363">
        <f>IF(OR($A363&gt;cfg_LastDataDate,NOT(ISNUMBER(Calc_Daily!$IP363))),NA(),Calc_Daily!$IP363)</f>
        <v/>
      </c>
      <c r="K363">
        <f>Calc_Daily!$KM363</f>
        <v/>
      </c>
    </row>
    <row r="364">
      <c r="A364" s="54">
        <f>Calc_Daily!$A364</f>
        <v/>
      </c>
      <c r="B364">
        <f>IF(OR($A364&gt;cfg_LastDataDate,NOT(ISNUMBER(Calc_Daily!$CU364))),NA(),Calc_Daily!$CU364)</f>
        <v/>
      </c>
      <c r="C364">
        <f>Calc_Daily!$JT364/Calc_Daily!$D364</f>
        <v/>
      </c>
      <c r="D364">
        <f>IF(OR($A364&gt;cfg_LastDataDate,NOT(ISNUMBER(Calc_Daily!$EJ364))),NA(),Calc_Daily!$EJ364)</f>
        <v/>
      </c>
      <c r="E364">
        <f>Calc_Daily!$KQ364</f>
        <v/>
      </c>
      <c r="F364">
        <f>IF(OR($A364&gt;cfg_LastDataDate,NOT(ISNUMBER(Calc_Daily!$F364))),NA(),Calc_Daily!$F364)</f>
        <v/>
      </c>
      <c r="G364">
        <f>IF(OR($A364&gt;cfg_LastDataDate,NOT(ISNUMBER(Calc_Daily!$U364))),NA(),Calc_Daily!$U364)</f>
        <v/>
      </c>
      <c r="H364">
        <f>IF(OR($A364&gt;cfg_LastDataDate,NOT(ISNUMBER(Calc_Daily!$DZ364))),NA(),Calc_Daily!$DZ364)</f>
        <v/>
      </c>
      <c r="I364">
        <f>IF(OR($A364&gt;cfg_LastDataDate,NOT(ISNUMBER(Calc_Daily!$DT364))),NA(),Calc_Daily!$DT364)</f>
        <v/>
      </c>
      <c r="J364">
        <f>IF(OR($A364&gt;cfg_LastDataDate,NOT(ISNUMBER(Calc_Daily!$IP364))),NA(),Calc_Daily!$IP364)</f>
        <v/>
      </c>
      <c r="K364">
        <f>Calc_Daily!$KM364</f>
        <v/>
      </c>
    </row>
    <row r="365">
      <c r="A365" s="54">
        <f>Calc_Daily!$A365</f>
        <v/>
      </c>
      <c r="B365">
        <f>IF(OR($A365&gt;cfg_LastDataDate,NOT(ISNUMBER(Calc_Daily!$CU365))),NA(),Calc_Daily!$CU365)</f>
        <v/>
      </c>
      <c r="C365">
        <f>Calc_Daily!$JT365/Calc_Daily!$D365</f>
        <v/>
      </c>
      <c r="D365">
        <f>IF(OR($A365&gt;cfg_LastDataDate,NOT(ISNUMBER(Calc_Daily!$EJ365))),NA(),Calc_Daily!$EJ365)</f>
        <v/>
      </c>
      <c r="E365">
        <f>Calc_Daily!$KQ365</f>
        <v/>
      </c>
      <c r="F365">
        <f>IF(OR($A365&gt;cfg_LastDataDate,NOT(ISNUMBER(Calc_Daily!$F365))),NA(),Calc_Daily!$F365)</f>
        <v/>
      </c>
      <c r="G365">
        <f>IF(OR($A365&gt;cfg_LastDataDate,NOT(ISNUMBER(Calc_Daily!$U365))),NA(),Calc_Daily!$U365)</f>
        <v/>
      </c>
      <c r="H365">
        <f>IF(OR($A365&gt;cfg_LastDataDate,NOT(ISNUMBER(Calc_Daily!$DZ365))),NA(),Calc_Daily!$DZ365)</f>
        <v/>
      </c>
      <c r="I365">
        <f>IF(OR($A365&gt;cfg_LastDataDate,NOT(ISNUMBER(Calc_Daily!$DT365))),NA(),Calc_Daily!$DT365)</f>
        <v/>
      </c>
      <c r="J365">
        <f>IF(OR($A365&gt;cfg_LastDataDate,NOT(ISNUMBER(Calc_Daily!$IP365))),NA(),Calc_Daily!$IP365)</f>
        <v/>
      </c>
      <c r="K365">
        <f>Calc_Daily!$KM365</f>
        <v/>
      </c>
    </row>
    <row r="366">
      <c r="A366" s="54">
        <f>Calc_Daily!$A366</f>
        <v/>
      </c>
      <c r="B366">
        <f>IF(OR($A366&gt;cfg_LastDataDate,NOT(ISNUMBER(Calc_Daily!$CU366))),NA(),Calc_Daily!$CU366)</f>
        <v/>
      </c>
      <c r="C366">
        <f>Calc_Daily!$JT366/Calc_Daily!$D366</f>
        <v/>
      </c>
      <c r="D366">
        <f>IF(OR($A366&gt;cfg_LastDataDate,NOT(ISNUMBER(Calc_Daily!$EJ366))),NA(),Calc_Daily!$EJ366)</f>
        <v/>
      </c>
      <c r="E366">
        <f>Calc_Daily!$KQ366</f>
        <v/>
      </c>
      <c r="F366">
        <f>IF(OR($A366&gt;cfg_LastDataDate,NOT(ISNUMBER(Calc_Daily!$F366))),NA(),Calc_Daily!$F366)</f>
        <v/>
      </c>
      <c r="G366">
        <f>IF(OR($A366&gt;cfg_LastDataDate,NOT(ISNUMBER(Calc_Daily!$U366))),NA(),Calc_Daily!$U366)</f>
        <v/>
      </c>
      <c r="H366">
        <f>IF(OR($A366&gt;cfg_LastDataDate,NOT(ISNUMBER(Calc_Daily!$DZ366))),NA(),Calc_Daily!$DZ366)</f>
        <v/>
      </c>
      <c r="I366">
        <f>IF(OR($A366&gt;cfg_LastDataDate,NOT(ISNUMBER(Calc_Daily!$DT366))),NA(),Calc_Daily!$DT366)</f>
        <v/>
      </c>
      <c r="J366">
        <f>IF(OR($A366&gt;cfg_LastDataDate,NOT(ISNUMBER(Calc_Daily!$IP366))),NA(),Calc_Daily!$IP366)</f>
        <v/>
      </c>
      <c r="K366">
        <f>Calc_Daily!$KM366</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7.xml><?xml version="1.0" encoding="utf-8"?>
<worksheet xmlns="http://schemas.openxmlformats.org/spreadsheetml/2006/main">
  <sheetPr>
    <tabColor rgb="003A3A3A"/>
    <outlinePr summaryBelow="1" summaryRight="1"/>
    <pageSetUpPr/>
  </sheetPr>
  <dimension ref="A1:J204"/>
  <sheetViews>
    <sheetView workbookViewId="0">
      <pane ySplit="4" topLeftCell="A5" activePane="bottomLeft" state="frozen"/>
      <selection pane="bottomLeft" activeCell="A1" sqref="A1"/>
    </sheetView>
  </sheetViews>
  <sheetFormatPr baseColWidth="8" defaultRowHeight="15"/>
  <cols>
    <col width="18" customWidth="1" min="1" max="1"/>
    <col width="16" customWidth="1" min="2" max="2"/>
    <col width="24" customWidth="1" min="3" max="3"/>
    <col width="30" customWidth="1" min="4" max="4"/>
    <col width="11" customWidth="1" min="5" max="5"/>
    <col width="7" customWidth="1" min="6" max="6"/>
    <col width="8" customWidth="1" min="7" max="7"/>
    <col width="18" customWidth="1" min="8" max="8"/>
    <col width="60" customWidth="1" min="9" max="9"/>
    <col width="60" customWidth="1" min="10" max="10"/>
  </cols>
  <sheetData>
    <row r="1">
      <c r="A1" s="50" t="inlineStr">
        <is>
          <t>Data dictionary</t>
        </is>
      </c>
    </row>
    <row r="2">
      <c r="A2" s="6" t="inlineStr">
        <is>
          <t>Generated from mps_schema.json. The same definitions drive the SQL schema of the web application.</t>
        </is>
      </c>
    </row>
    <row r="4">
      <c r="A4" s="29" t="inlineStr">
        <is>
          <t>Table</t>
        </is>
      </c>
      <c r="B4" s="29" t="inlineStr">
        <is>
          <t>Sheet</t>
        </is>
      </c>
      <c r="C4" s="29" t="inlineStr">
        <is>
          <t>Field</t>
        </is>
      </c>
      <c r="D4" s="29" t="inlineStr">
        <is>
          <t>Label</t>
        </is>
      </c>
      <c r="E4" s="29" t="inlineStr">
        <is>
          <t>Type</t>
        </is>
      </c>
      <c r="F4" s="29" t="inlineStr">
        <is>
          <t>Unit</t>
        </is>
      </c>
      <c r="G4" s="29" t="inlineStr">
        <is>
          <t>Required</t>
        </is>
      </c>
      <c r="H4" s="29" t="inlineStr">
        <is>
          <t>Validation</t>
        </is>
      </c>
      <c r="I4" s="29" t="inlineStr">
        <is>
          <t>Description</t>
        </is>
      </c>
      <c r="J4" s="29" t="inlineStr">
        <is>
          <t>Formula</t>
        </is>
      </c>
    </row>
    <row r="5">
      <c r="A5" s="81" t="inlineStr">
        <is>
          <t>tblPlant</t>
        </is>
      </c>
      <c r="B5" s="81" t="inlineStr">
        <is>
          <t>Plant</t>
        </is>
      </c>
      <c r="C5" s="81" t="inlineStr">
        <is>
          <t>Date</t>
        </is>
      </c>
      <c r="D5" s="81" t="inlineStr">
        <is>
          <t>Date</t>
        </is>
      </c>
      <c r="E5" s="81" t="inlineStr">
        <is>
          <t>date</t>
        </is>
      </c>
      <c r="F5" s="81" t="inlineStr"/>
      <c r="G5" s="81" t="inlineStr">
        <is>
          <t>yes</t>
        </is>
      </c>
      <c r="H5" s="81" t="inlineStr"/>
      <c r="I5" s="81" t="inlineStr">
        <is>
          <t>Production day (day shift start to night shift end)</t>
        </is>
      </c>
      <c r="J5" s="81" t="inlineStr"/>
    </row>
    <row r="6">
      <c r="A6" s="81" t="inlineStr">
        <is>
          <t>tblPlant</t>
        </is>
      </c>
      <c r="B6" s="81" t="inlineStr">
        <is>
          <t>Plant</t>
        </is>
      </c>
      <c r="C6" s="81" t="inlineStr">
        <is>
          <t>Crushed_t</t>
        </is>
      </c>
      <c r="D6" s="81" t="inlineStr">
        <is>
          <t>Crushed</t>
        </is>
      </c>
      <c r="E6" s="81" t="inlineStr">
        <is>
          <t>number</t>
        </is>
      </c>
      <c r="F6" s="81" t="inlineStr">
        <is>
          <t>t</t>
        </is>
      </c>
      <c r="G6" s="81" t="inlineStr"/>
      <c r="H6" s="81" t="inlineStr">
        <is>
          <t>0 to 50000</t>
        </is>
      </c>
      <c r="I6" s="81" t="inlineStr">
        <is>
          <t>Dry tonnes through the primary crusher</t>
        </is>
      </c>
      <c r="J6" s="81" t="inlineStr"/>
    </row>
    <row r="7">
      <c r="A7" s="81" t="inlineStr">
        <is>
          <t>tblPlant</t>
        </is>
      </c>
      <c r="B7" s="81" t="inlineStr">
        <is>
          <t>Plant</t>
        </is>
      </c>
      <c r="C7" s="81" t="inlineStr">
        <is>
          <t>Milled_t</t>
        </is>
      </c>
      <c r="D7" s="81" t="inlineStr">
        <is>
          <t>Milled</t>
        </is>
      </c>
      <c r="E7" s="81" t="inlineStr">
        <is>
          <t>number</t>
        </is>
      </c>
      <c r="F7" s="81" t="inlineStr">
        <is>
          <t>t</t>
        </is>
      </c>
      <c r="G7" s="81" t="inlineStr"/>
      <c r="H7" s="81" t="inlineStr">
        <is>
          <t>0 to 50000</t>
        </is>
      </c>
      <c r="I7" s="81" t="inlineStr">
        <is>
          <t>Dry tonnes milled (mill feed weightometer)</t>
        </is>
      </c>
      <c r="J7" s="81" t="inlineStr"/>
    </row>
    <row r="8">
      <c r="A8" s="81" t="inlineStr">
        <is>
          <t>tblPlant</t>
        </is>
      </c>
      <c r="B8" s="81" t="inlineStr">
        <is>
          <t>Plant</t>
        </is>
      </c>
      <c r="C8" s="81" t="inlineStr">
        <is>
          <t>Head_Grade_gpt</t>
        </is>
      </c>
      <c r="D8" s="81" t="inlineStr">
        <is>
          <t>Head grade</t>
        </is>
      </c>
      <c r="E8" s="81" t="inlineStr">
        <is>
          <t>number</t>
        </is>
      </c>
      <c r="F8" s="81" t="inlineStr">
        <is>
          <t>g/t</t>
        </is>
      </c>
      <c r="G8" s="81" t="inlineStr"/>
      <c r="H8" s="81" t="inlineStr">
        <is>
          <t>0 to 50</t>
        </is>
      </c>
      <c r="I8" s="81" t="inlineStr">
        <is>
          <t>Mill feed grade from the daily metallurgical balance</t>
        </is>
      </c>
      <c r="J8" s="81" t="inlineStr"/>
    </row>
    <row r="9">
      <c r="A9" s="81" t="inlineStr">
        <is>
          <t>tblPlant</t>
        </is>
      </c>
      <c r="B9" s="81" t="inlineStr">
        <is>
          <t>Plant</t>
        </is>
      </c>
      <c r="C9" s="81" t="inlineStr">
        <is>
          <t>Tails_Grade_gpt</t>
        </is>
      </c>
      <c r="D9" s="81" t="inlineStr">
        <is>
          <t>Tails grade</t>
        </is>
      </c>
      <c r="E9" s="81" t="inlineStr">
        <is>
          <t>number</t>
        </is>
      </c>
      <c r="F9" s="81" t="inlineStr">
        <is>
          <t>g/t</t>
        </is>
      </c>
      <c r="G9" s="81" t="inlineStr"/>
      <c r="H9" s="81" t="inlineStr">
        <is>
          <t>0 to 10</t>
        </is>
      </c>
      <c r="I9" s="81" t="inlineStr">
        <is>
          <t>Final tails grade</t>
        </is>
      </c>
      <c r="J9" s="81" t="inlineStr"/>
    </row>
    <row r="10">
      <c r="A10" s="81" t="inlineStr">
        <is>
          <t>tblPlant</t>
        </is>
      </c>
      <c r="B10" s="81" t="inlineStr">
        <is>
          <t>Plant</t>
        </is>
      </c>
      <c r="C10" s="81" t="inlineStr">
        <is>
          <t>Gravity_Gold_oz</t>
        </is>
      </c>
      <c r="D10" s="81" t="inlineStr">
        <is>
          <t>Gravity gold</t>
        </is>
      </c>
      <c r="E10" s="81" t="inlineStr">
        <is>
          <t>number</t>
        </is>
      </c>
      <c r="F10" s="81" t="inlineStr">
        <is>
          <t>oz</t>
        </is>
      </c>
      <c r="G10" s="81" t="inlineStr"/>
      <c r="H10" s="81" t="inlineStr">
        <is>
          <t>0 to 5000</t>
        </is>
      </c>
      <c r="I10" s="81" t="inlineStr">
        <is>
          <t>Gold recovered by the gravity circuit (part of total recovered)</t>
        </is>
      </c>
      <c r="J10" s="81" t="inlineStr"/>
    </row>
    <row r="11">
      <c r="A11" s="81" t="inlineStr">
        <is>
          <t>tblPlant</t>
        </is>
      </c>
      <c r="B11" s="81" t="inlineStr">
        <is>
          <t>Plant</t>
        </is>
      </c>
      <c r="C11" s="81" t="inlineStr">
        <is>
          <t>Gold_Poured_oz</t>
        </is>
      </c>
      <c r="D11" s="81" t="inlineStr">
        <is>
          <t>Gold poured</t>
        </is>
      </c>
      <c r="E11" s="81" t="inlineStr">
        <is>
          <t>number</t>
        </is>
      </c>
      <c r="F11" s="81" t="inlineStr">
        <is>
          <t>oz</t>
        </is>
      </c>
      <c r="G11" s="81" t="inlineStr"/>
      <c r="H11" s="81" t="inlineStr">
        <is>
          <t>0 to 20000</t>
        </is>
      </c>
      <c r="I11" s="81" t="inlineStr">
        <is>
          <t>Fine gold in dore poured on the day</t>
        </is>
      </c>
      <c r="J11" s="81" t="inlineStr"/>
    </row>
    <row r="12">
      <c r="A12" s="81" t="inlineStr">
        <is>
          <t>tblPlant</t>
        </is>
      </c>
      <c r="B12" s="81" t="inlineStr">
        <is>
          <t>Plant</t>
        </is>
      </c>
      <c r="C12" s="81" t="inlineStr">
        <is>
          <t>Mill_Run_h</t>
        </is>
      </c>
      <c r="D12" s="81" t="inlineStr">
        <is>
          <t>Mill run hours</t>
        </is>
      </c>
      <c r="E12" s="81" t="inlineStr">
        <is>
          <t>number</t>
        </is>
      </c>
      <c r="F12" s="81" t="inlineStr">
        <is>
          <t>h</t>
        </is>
      </c>
      <c r="G12" s="81" t="inlineStr"/>
      <c r="H12" s="81" t="inlineStr">
        <is>
          <t>0 to 24</t>
        </is>
      </c>
      <c r="I12" s="81" t="inlineStr">
        <is>
          <t>Hours the mill was running</t>
        </is>
      </c>
      <c r="J12" s="81" t="inlineStr"/>
    </row>
    <row r="13">
      <c r="A13" s="81" t="inlineStr">
        <is>
          <t>tblPlant</t>
        </is>
      </c>
      <c r="B13" s="81" t="inlineStr">
        <is>
          <t>Plant</t>
        </is>
      </c>
      <c r="C13" s="81" t="inlineStr">
        <is>
          <t>Mill_Planned_Maint_h</t>
        </is>
      </c>
      <c r="D13" s="81" t="inlineStr">
        <is>
          <t>Planned maintenance</t>
        </is>
      </c>
      <c r="E13" s="81" t="inlineStr">
        <is>
          <t>number</t>
        </is>
      </c>
      <c r="F13" s="81" t="inlineStr">
        <is>
          <t>h</t>
        </is>
      </c>
      <c r="G13" s="81" t="inlineStr"/>
      <c r="H13" s="81" t="inlineStr">
        <is>
          <t>0 to 24</t>
        </is>
      </c>
      <c r="I13" s="81" t="inlineStr">
        <is>
          <t>Planned maintenance downtime</t>
        </is>
      </c>
      <c r="J13" s="81" t="inlineStr"/>
    </row>
    <row r="14">
      <c r="A14" s="81" t="inlineStr">
        <is>
          <t>tblPlant</t>
        </is>
      </c>
      <c r="B14" s="81" t="inlineStr">
        <is>
          <t>Plant</t>
        </is>
      </c>
      <c r="C14" s="81" t="inlineStr">
        <is>
          <t>Mill_Unplanned_Down_h</t>
        </is>
      </c>
      <c r="D14" s="81" t="inlineStr">
        <is>
          <t>Unplanned downtime</t>
        </is>
      </c>
      <c r="E14" s="81" t="inlineStr">
        <is>
          <t>number</t>
        </is>
      </c>
      <c r="F14" s="81" t="inlineStr">
        <is>
          <t>h</t>
        </is>
      </c>
      <c r="G14" s="81" t="inlineStr"/>
      <c r="H14" s="81" t="inlineStr">
        <is>
          <t>0 to 24</t>
        </is>
      </c>
      <c r="I14" s="81" t="inlineStr">
        <is>
          <t>Unplanned downtime (breakdowns, power, no feed)</t>
        </is>
      </c>
      <c r="J14" s="81" t="inlineStr"/>
    </row>
    <row r="15">
      <c r="A15" s="81" t="inlineStr">
        <is>
          <t>tblPlant</t>
        </is>
      </c>
      <c r="B15" s="81" t="inlineStr">
        <is>
          <t>Plant</t>
        </is>
      </c>
      <c r="C15" s="81" t="inlineStr">
        <is>
          <t>Crusher_Run_h</t>
        </is>
      </c>
      <c r="D15" s="81" t="inlineStr">
        <is>
          <t>Crusher run hours</t>
        </is>
      </c>
      <c r="E15" s="81" t="inlineStr">
        <is>
          <t>number</t>
        </is>
      </c>
      <c r="F15" s="81" t="inlineStr">
        <is>
          <t>h</t>
        </is>
      </c>
      <c r="G15" s="81" t="inlineStr"/>
      <c r="H15" s="81" t="inlineStr">
        <is>
          <t>0 to 24</t>
        </is>
      </c>
      <c r="I15" s="81" t="inlineStr">
        <is>
          <t>Primary crusher running hours</t>
        </is>
      </c>
      <c r="J15" s="81" t="inlineStr"/>
    </row>
    <row r="16">
      <c r="A16" s="81" t="inlineStr">
        <is>
          <t>tblPlant</t>
        </is>
      </c>
      <c r="B16" s="81" t="inlineStr">
        <is>
          <t>Plant</t>
        </is>
      </c>
      <c r="C16" s="81" t="inlineStr">
        <is>
          <t>Cyanide_kg</t>
        </is>
      </c>
      <c r="D16" s="81" t="inlineStr">
        <is>
          <t>Cyanide</t>
        </is>
      </c>
      <c r="E16" s="81" t="inlineStr">
        <is>
          <t>number</t>
        </is>
      </c>
      <c r="F16" s="81" t="inlineStr">
        <is>
          <t>kg</t>
        </is>
      </c>
      <c r="G16" s="81" t="inlineStr"/>
      <c r="H16" s="81" t="inlineStr">
        <is>
          <t>0 to 50000</t>
        </is>
      </c>
      <c r="I16" s="81" t="inlineStr">
        <is>
          <t>Sodium cyanide consumed</t>
        </is>
      </c>
      <c r="J16" s="81" t="inlineStr"/>
    </row>
    <row r="17">
      <c r="A17" s="81" t="inlineStr">
        <is>
          <t>tblPlant</t>
        </is>
      </c>
      <c r="B17" s="81" t="inlineStr">
        <is>
          <t>Plant</t>
        </is>
      </c>
      <c r="C17" s="81" t="inlineStr">
        <is>
          <t>Lime_kg</t>
        </is>
      </c>
      <c r="D17" s="81" t="inlineStr">
        <is>
          <t>Lime</t>
        </is>
      </c>
      <c r="E17" s="81" t="inlineStr">
        <is>
          <t>number</t>
        </is>
      </c>
      <c r="F17" s="81" t="inlineStr">
        <is>
          <t>kg</t>
        </is>
      </c>
      <c r="G17" s="81" t="inlineStr"/>
      <c r="H17" s="81" t="inlineStr">
        <is>
          <t>0 to 100000</t>
        </is>
      </c>
      <c r="I17" s="81" t="inlineStr">
        <is>
          <t>Lime consumed</t>
        </is>
      </c>
      <c r="J17" s="81" t="inlineStr"/>
    </row>
    <row r="18">
      <c r="A18" s="81" t="inlineStr">
        <is>
          <t>tblPlant</t>
        </is>
      </c>
      <c r="B18" s="81" t="inlineStr">
        <is>
          <t>Plant</t>
        </is>
      </c>
      <c r="C18" s="81" t="inlineStr">
        <is>
          <t>Grinding_Media_kg</t>
        </is>
      </c>
      <c r="D18" s="81" t="inlineStr">
        <is>
          <t>Grinding media</t>
        </is>
      </c>
      <c r="E18" s="81" t="inlineStr">
        <is>
          <t>number</t>
        </is>
      </c>
      <c r="F18" s="81" t="inlineStr">
        <is>
          <t>kg</t>
        </is>
      </c>
      <c r="G18" s="81" t="inlineStr"/>
      <c r="H18" s="81" t="inlineStr">
        <is>
          <t>0 to 50000</t>
        </is>
      </c>
      <c r="I18" s="81" t="inlineStr">
        <is>
          <t>Grinding media added</t>
        </is>
      </c>
      <c r="J18" s="81" t="inlineStr"/>
    </row>
    <row r="19">
      <c r="A19" s="81" t="inlineStr">
        <is>
          <t>tblPlant</t>
        </is>
      </c>
      <c r="B19" s="81" t="inlineStr">
        <is>
          <t>Plant</t>
        </is>
      </c>
      <c r="C19" s="81" t="inlineStr">
        <is>
          <t>Power_kWh</t>
        </is>
      </c>
      <c r="D19" s="81" t="inlineStr">
        <is>
          <t>Power</t>
        </is>
      </c>
      <c r="E19" s="81" t="inlineStr">
        <is>
          <t>number</t>
        </is>
      </c>
      <c r="F19" s="81" t="inlineStr">
        <is>
          <t>kWh</t>
        </is>
      </c>
      <c r="G19" s="81" t="inlineStr"/>
      <c r="H19" s="81" t="inlineStr">
        <is>
          <t>0 to 1000000</t>
        </is>
      </c>
      <c r="I19" s="81" t="inlineStr">
        <is>
          <t>Plant power consumed</t>
        </is>
      </c>
      <c r="J19" s="81" t="inlineStr"/>
    </row>
    <row r="20">
      <c r="A20" s="81" t="inlineStr">
        <is>
          <t>tblPlant</t>
        </is>
      </c>
      <c r="B20" s="81" t="inlineStr">
        <is>
          <t>Plant</t>
        </is>
      </c>
      <c r="C20" s="81" t="inlineStr">
        <is>
          <t>Raw_Water_m3</t>
        </is>
      </c>
      <c r="D20" s="81" t="inlineStr">
        <is>
          <t>Raw water</t>
        </is>
      </c>
      <c r="E20" s="81" t="inlineStr">
        <is>
          <t>number</t>
        </is>
      </c>
      <c r="F20" s="81" t="inlineStr">
        <is>
          <t>m3</t>
        </is>
      </c>
      <c r="G20" s="81" t="inlineStr"/>
      <c r="H20" s="81" t="inlineStr">
        <is>
          <t>0 to 100000</t>
        </is>
      </c>
      <c r="I20" s="81" t="inlineStr">
        <is>
          <t>Raw water drawn</t>
        </is>
      </c>
      <c r="J20" s="81" t="inlineStr"/>
    </row>
    <row r="21">
      <c r="A21" s="81" t="inlineStr">
        <is>
          <t>tblPlant</t>
        </is>
      </c>
      <c r="B21" s="81" t="inlineStr">
        <is>
          <t>Plant</t>
        </is>
      </c>
      <c r="C21" s="81" t="inlineStr">
        <is>
          <t>GIC_oz</t>
        </is>
      </c>
      <c r="D21" s="81" t="inlineStr">
        <is>
          <t>Gold in circuit</t>
        </is>
      </c>
      <c r="E21" s="81" t="inlineStr">
        <is>
          <t>number</t>
        </is>
      </c>
      <c r="F21" s="81" t="inlineStr">
        <is>
          <t>oz</t>
        </is>
      </c>
      <c r="G21" s="81" t="inlineStr"/>
      <c r="H21" s="81" t="inlineStr">
        <is>
          <t>0 to 50000</t>
        </is>
      </c>
      <c r="I21" s="81" t="inlineStr">
        <is>
          <t>Gold in circuit at end of day (point value, not additive)</t>
        </is>
      </c>
      <c r="J21" s="81" t="inlineStr"/>
    </row>
    <row r="22">
      <c r="A22" s="81" t="inlineStr">
        <is>
          <t>tblPlant</t>
        </is>
      </c>
      <c r="B22" s="81" t="inlineStr">
        <is>
          <t>Plant</t>
        </is>
      </c>
      <c r="C22" s="81" t="inlineStr">
        <is>
          <t>Comments</t>
        </is>
      </c>
      <c r="D22" s="81" t="inlineStr">
        <is>
          <t>Comments</t>
        </is>
      </c>
      <c r="E22" s="81" t="inlineStr">
        <is>
          <t>text</t>
        </is>
      </c>
      <c r="F22" s="81" t="inlineStr"/>
      <c r="G22" s="81" t="inlineStr"/>
      <c r="H22" s="81" t="inlineStr"/>
      <c r="I22" s="81" t="inlineStr">
        <is>
          <t>Short note; use the Commentary sheet for the report narrative</t>
        </is>
      </c>
      <c r="J22" s="81" t="inlineStr"/>
    </row>
    <row r="23">
      <c r="A23" s="81" t="inlineStr">
        <is>
          <t>tblPlant</t>
        </is>
      </c>
      <c r="B23" s="81" t="inlineStr">
        <is>
          <t>Plant</t>
        </is>
      </c>
      <c r="C23" s="81" t="inlineStr">
        <is>
          <t>Feed_oz</t>
        </is>
      </c>
      <c r="D23" s="81" t="inlineStr">
        <is>
          <t>Contained gold in feed</t>
        </is>
      </c>
      <c r="E23" s="81" t="inlineStr">
        <is>
          <t>calculated</t>
        </is>
      </c>
      <c r="F23" s="81" t="inlineStr">
        <is>
          <t>oz</t>
        </is>
      </c>
      <c r="G23" s="81" t="inlineStr"/>
      <c r="H23" s="81" t="inlineStr"/>
      <c r="I23" s="81" t="inlineStr">
        <is>
          <t>Milled t x head grade / 31.1035; blank until the head grade is entered</t>
        </is>
      </c>
      <c r="J23" s="81" t="inlineStr">
        <is>
          <t>IF(OR({Milled_t}="",{Head_Grade_gpt}=""),"",{Milled_t}*{Head_Grade_gpt}/{TROY})</t>
        </is>
      </c>
    </row>
    <row r="24">
      <c r="A24" s="81" t="inlineStr">
        <is>
          <t>tblPlant</t>
        </is>
      </c>
      <c r="B24" s="81" t="inlineStr">
        <is>
          <t>Plant</t>
        </is>
      </c>
      <c r="C24" s="81" t="inlineStr">
        <is>
          <t>Tails_oz</t>
        </is>
      </c>
      <c r="D24" s="81" t="inlineStr">
        <is>
          <t>Gold lost to tails</t>
        </is>
      </c>
      <c r="E24" s="81" t="inlineStr">
        <is>
          <t>calculated</t>
        </is>
      </c>
      <c r="F24" s="81" t="inlineStr">
        <is>
          <t>oz</t>
        </is>
      </c>
      <c r="G24" s="81" t="inlineStr"/>
      <c r="H24" s="81" t="inlineStr"/>
      <c r="I24" s="81" t="inlineStr">
        <is>
          <t>Milled t x tails grade / 31.1035; blank until the tails grade is entered</t>
        </is>
      </c>
      <c r="J24" s="81" t="inlineStr">
        <is>
          <t>IF(OR({Milled_t}="",{Tails_Grade_gpt}=""),"",{Milled_t}*{Tails_Grade_gpt}/{TROY})</t>
        </is>
      </c>
    </row>
    <row r="25">
      <c r="A25" s="81" t="inlineStr">
        <is>
          <t>tblPlant</t>
        </is>
      </c>
      <c r="B25" s="81" t="inlineStr">
        <is>
          <t>Plant</t>
        </is>
      </c>
      <c r="C25" s="81" t="inlineStr">
        <is>
          <t>Recovered_oz</t>
        </is>
      </c>
      <c r="D25" s="81" t="inlineStr">
        <is>
          <t>Gold recovered</t>
        </is>
      </c>
      <c r="E25" s="81" t="inlineStr">
        <is>
          <t>calculated</t>
        </is>
      </c>
      <c r="F25" s="81" t="inlineStr">
        <is>
          <t>oz</t>
        </is>
      </c>
      <c r="G25" s="81" t="inlineStr"/>
      <c r="H25" s="81" t="inlineStr"/>
      <c r="I25" s="81" t="inlineStr">
        <is>
          <t>Feed oz minus tails oz; blank until both grades are entered</t>
        </is>
      </c>
      <c r="J25" s="81" t="inlineStr">
        <is>
          <t>IF(OR({Milled_t}="",{Head_Grade_gpt}="",{Tails_Grade_gpt}=""),"",{Feed_oz}-{Tails_oz})</t>
        </is>
      </c>
    </row>
    <row r="26">
      <c r="A26" s="81" t="inlineStr">
        <is>
          <t>tblPlant</t>
        </is>
      </c>
      <c r="B26" s="81" t="inlineStr">
        <is>
          <t>Plant</t>
        </is>
      </c>
      <c r="C26" s="81" t="inlineStr">
        <is>
          <t>Recovery_pct</t>
        </is>
      </c>
      <c r="D26" s="81" t="inlineStr">
        <is>
          <t>Recovery</t>
        </is>
      </c>
      <c r="E26" s="81" t="inlineStr">
        <is>
          <t>calculated</t>
        </is>
      </c>
      <c r="F26" s="81" t="inlineStr">
        <is>
          <t>%</t>
        </is>
      </c>
      <c r="G26" s="81" t="inlineStr"/>
      <c r="H26" s="81" t="inlineStr"/>
      <c r="I26" s="81" t="inlineStr">
        <is>
          <t>1 minus tails grade over head grade; blank until both grades are entered</t>
        </is>
      </c>
      <c r="J26" s="81" t="inlineStr">
        <is>
          <t>IF(AND(ISNUMBER({Recovered_oz}),{Feed_oz}&gt;0),{Recovered_oz}/{Feed_oz},"")</t>
        </is>
      </c>
    </row>
    <row r="27">
      <c r="A27" s="81" t="inlineStr">
        <is>
          <t>tblPlant</t>
        </is>
      </c>
      <c r="B27" s="81" t="inlineStr">
        <is>
          <t>Plant</t>
        </is>
      </c>
      <c r="C27" s="81" t="inlineStr">
        <is>
          <t>Throughput_tph</t>
        </is>
      </c>
      <c r="D27" s="81" t="inlineStr">
        <is>
          <t>Throughput</t>
        </is>
      </c>
      <c r="E27" s="81" t="inlineStr">
        <is>
          <t>calculated</t>
        </is>
      </c>
      <c r="F27" s="81" t="inlineStr">
        <is>
          <t>t/h</t>
        </is>
      </c>
      <c r="G27" s="81" t="inlineStr"/>
      <c r="H27" s="81" t="inlineStr"/>
      <c r="I27" s="81" t="inlineStr">
        <is>
          <t>Milled t per running hour</t>
        </is>
      </c>
      <c r="J27" s="81" t="inlineStr">
        <is>
          <t>IF(AND({Milled_t}&lt;&gt;"",{Mill_Run_h}&gt;0),{Milled_t}/{Mill_Run_h},"")</t>
        </is>
      </c>
    </row>
    <row r="28">
      <c r="A28" s="81" t="inlineStr">
        <is>
          <t>tblPlant</t>
        </is>
      </c>
      <c r="B28" s="81" t="inlineStr">
        <is>
          <t>Plant</t>
        </is>
      </c>
      <c r="C28" s="81" t="inlineStr">
        <is>
          <t>Availability_pct</t>
        </is>
      </c>
      <c r="D28" s="81" t="inlineStr">
        <is>
          <t>Mill availability</t>
        </is>
      </c>
      <c r="E28" s="81" t="inlineStr">
        <is>
          <t>calculated</t>
        </is>
      </c>
      <c r="F28" s="81" t="inlineStr">
        <is>
          <t>%</t>
        </is>
      </c>
      <c r="G28" s="81" t="inlineStr"/>
      <c r="H28" s="81" t="inlineStr"/>
      <c r="I28" s="81" t="inlineStr">
        <is>
          <t>(24 h minus planned and unplanned downtime) / 24 h; blank only when no mill hours are entered</t>
        </is>
      </c>
      <c r="J28" s="81" t="inlineStr">
        <is>
          <t>IF(AND({Mill_Run_h}="",{Mill_Planned_Maint_h}="",{Mill_Unplanned_Down_h}=""),"",({HOURS_PER_DAY}-{Mill_Planned_Maint_h}-{Mill_Unplanned_Down_h})/{HOURS_PER_DAY})</t>
        </is>
      </c>
    </row>
    <row r="29">
      <c r="A29" s="81" t="inlineStr">
        <is>
          <t>tblPlant</t>
        </is>
      </c>
      <c r="B29" s="81" t="inlineStr">
        <is>
          <t>Plant</t>
        </is>
      </c>
      <c r="C29" s="81" t="inlineStr">
        <is>
          <t>Utilisation_pct</t>
        </is>
      </c>
      <c r="D29" s="81" t="inlineStr">
        <is>
          <t>Mill utilisation</t>
        </is>
      </c>
      <c r="E29" s="81" t="inlineStr">
        <is>
          <t>calculated</t>
        </is>
      </c>
      <c r="F29" s="81" t="inlineStr">
        <is>
          <t>%</t>
        </is>
      </c>
      <c r="G29" s="81" t="inlineStr"/>
      <c r="H29" s="81" t="inlineStr"/>
      <c r="I29" s="81" t="inlineStr">
        <is>
          <t>Run hours over available hours; blank only when no mill hours are entered</t>
        </is>
      </c>
      <c r="J29" s="81" t="inlineStr">
        <is>
          <t>IF(AND(NOT(AND({Mill_Run_h}="",{Mill_Planned_Maint_h}="",{Mill_Unplanned_Down_h}="")),({HOURS_PER_DAY}-{Mill_Planned_Maint_h}-{Mill_Unplanned_Down_h})&gt;0),{Mill_Run_h}/({HOURS_PER_DAY}-{Mill_Planned_Maint_h}-{Mill_Unplanned_Down_h}),"")</t>
        </is>
      </c>
    </row>
    <row r="30">
      <c r="A30" s="81" t="inlineStr">
        <is>
          <t>tblMovement</t>
        </is>
      </c>
      <c r="B30" s="81" t="inlineStr">
        <is>
          <t>Mining_Movements</t>
        </is>
      </c>
      <c r="C30" s="81" t="inlineStr">
        <is>
          <t>Date</t>
        </is>
      </c>
      <c r="D30" s="81" t="inlineStr">
        <is>
          <t>Date</t>
        </is>
      </c>
      <c r="E30" s="81" t="inlineStr">
        <is>
          <t>date</t>
        </is>
      </c>
      <c r="F30" s="81" t="inlineStr"/>
      <c r="G30" s="81" t="inlineStr">
        <is>
          <t>yes</t>
        </is>
      </c>
      <c r="H30" s="81" t="inlineStr"/>
      <c r="I30" s="81" t="inlineStr">
        <is>
          <t>Production day</t>
        </is>
      </c>
      <c r="J30" s="81" t="inlineStr"/>
    </row>
    <row r="31">
      <c r="A31" s="81" t="inlineStr">
        <is>
          <t>tblMovement</t>
        </is>
      </c>
      <c r="B31" s="81" t="inlineStr">
        <is>
          <t>Mining_Movements</t>
        </is>
      </c>
      <c r="C31" s="81" t="inlineStr">
        <is>
          <t>Shift</t>
        </is>
      </c>
      <c r="D31" s="81" t="inlineStr">
        <is>
          <t>Shift</t>
        </is>
      </c>
      <c r="E31" s="81" t="inlineStr">
        <is>
          <t>list</t>
        </is>
      </c>
      <c r="F31" s="81" t="inlineStr"/>
      <c r="G31" s="81" t="inlineStr"/>
      <c r="H31" s="81" t="inlineStr">
        <is>
          <t>list: Shift</t>
        </is>
      </c>
      <c r="I31" s="81" t="inlineStr">
        <is>
          <t>Optional; leave blank for a daily total</t>
        </is>
      </c>
      <c r="J31" s="81" t="inlineStr"/>
    </row>
    <row r="32">
      <c r="A32" s="81" t="inlineStr">
        <is>
          <t>tblMovement</t>
        </is>
      </c>
      <c r="B32" s="81" t="inlineStr">
        <is>
          <t>Mining_Movements</t>
        </is>
      </c>
      <c r="C32" s="81" t="inlineStr">
        <is>
          <t>Source</t>
        </is>
      </c>
      <c r="D32" s="81" t="inlineStr">
        <is>
          <t>Source</t>
        </is>
      </c>
      <c r="E32" s="81" t="inlineStr">
        <is>
          <t>list</t>
        </is>
      </c>
      <c r="F32" s="81" t="inlineStr"/>
      <c r="G32" s="81" t="inlineStr">
        <is>
          <t>yes</t>
        </is>
      </c>
      <c r="H32" s="81" t="inlineStr">
        <is>
          <t>list: Source</t>
        </is>
      </c>
      <c r="I32" s="81" t="inlineStr">
        <is>
          <t>Pit or stockpile the material came from (Lists sheet)</t>
        </is>
      </c>
      <c r="J32" s="81" t="inlineStr"/>
    </row>
    <row r="33">
      <c r="A33" s="81" t="inlineStr">
        <is>
          <t>tblMovement</t>
        </is>
      </c>
      <c r="B33" s="81" t="inlineStr">
        <is>
          <t>Mining_Movements</t>
        </is>
      </c>
      <c r="C33" s="81" t="inlineStr">
        <is>
          <t>Material</t>
        </is>
      </c>
      <c r="D33" s="81" t="inlineStr">
        <is>
          <t>Material</t>
        </is>
      </c>
      <c r="E33" s="81" t="inlineStr">
        <is>
          <t>list</t>
        </is>
      </c>
      <c r="F33" s="81" t="inlineStr"/>
      <c r="G33" s="81" t="inlineStr">
        <is>
          <t>yes</t>
        </is>
      </c>
      <c r="H33" s="81" t="inlineStr">
        <is>
          <t>list: Material</t>
        </is>
      </c>
      <c r="I33" s="81" t="inlineStr">
        <is>
          <t>Ore grade class or waste type</t>
        </is>
      </c>
      <c r="J33" s="81" t="inlineStr"/>
    </row>
    <row r="34">
      <c r="A34" s="81" t="inlineStr">
        <is>
          <t>tblMovement</t>
        </is>
      </c>
      <c r="B34" s="81" t="inlineStr">
        <is>
          <t>Mining_Movements</t>
        </is>
      </c>
      <c r="C34" s="81" t="inlineStr">
        <is>
          <t>Destination</t>
        </is>
      </c>
      <c r="D34" s="81" t="inlineStr">
        <is>
          <t>Destination</t>
        </is>
      </c>
      <c r="E34" s="81" t="inlineStr">
        <is>
          <t>list</t>
        </is>
      </c>
      <c r="F34" s="81" t="inlineStr"/>
      <c r="G34" s="81" t="inlineStr">
        <is>
          <t>yes</t>
        </is>
      </c>
      <c r="H34" s="81" t="inlineStr">
        <is>
          <t>list: Destination</t>
        </is>
      </c>
      <c r="I34" s="81" t="inlineStr">
        <is>
          <t>Where the material went (Lists sheet)</t>
        </is>
      </c>
      <c r="J34" s="81" t="inlineStr"/>
    </row>
    <row r="35">
      <c r="A35" s="81" t="inlineStr">
        <is>
          <t>tblMovement</t>
        </is>
      </c>
      <c r="B35" s="81" t="inlineStr">
        <is>
          <t>Mining_Movements</t>
        </is>
      </c>
      <c r="C35" s="81" t="inlineStr">
        <is>
          <t>Tonnes_t</t>
        </is>
      </c>
      <c r="D35" s="81" t="inlineStr">
        <is>
          <t>Tonnes</t>
        </is>
      </c>
      <c r="E35" s="81" t="inlineStr">
        <is>
          <t>number</t>
        </is>
      </c>
      <c r="F35" s="81" t="inlineStr">
        <is>
          <t>t</t>
        </is>
      </c>
      <c r="G35" s="81" t="inlineStr">
        <is>
          <t>yes</t>
        </is>
      </c>
      <c r="H35" s="81" t="inlineStr">
        <is>
          <t>0 to 200000</t>
        </is>
      </c>
      <c r="I35" s="81" t="inlineStr">
        <is>
          <t>Dry tonnes moved (truck factor or weightometer)</t>
        </is>
      </c>
      <c r="J35" s="81" t="inlineStr"/>
    </row>
    <row r="36">
      <c r="A36" s="81" t="inlineStr">
        <is>
          <t>tblMovement</t>
        </is>
      </c>
      <c r="B36" s="81" t="inlineStr">
        <is>
          <t>Mining_Movements</t>
        </is>
      </c>
      <c r="C36" s="81" t="inlineStr">
        <is>
          <t>Grade_gpt</t>
        </is>
      </c>
      <c r="D36" s="81" t="inlineStr">
        <is>
          <t>Grade</t>
        </is>
      </c>
      <c r="E36" s="81" t="inlineStr">
        <is>
          <t>number</t>
        </is>
      </c>
      <c r="F36" s="81" t="inlineStr">
        <is>
          <t>g/t</t>
        </is>
      </c>
      <c r="G36" s="81" t="inlineStr">
        <is>
          <t>when {Is_Ore}=1</t>
        </is>
      </c>
      <c r="H36" s="81" t="inlineStr">
        <is>
          <t>0 to 100</t>
        </is>
      </c>
      <c r="I36" s="81" t="inlineStr">
        <is>
          <t>Grade control grade; required for ore (an ore row without a grade is highlighted and reported as ungraded tonnes), recommended for mineralised waste</t>
        </is>
      </c>
      <c r="J36" s="81" t="inlineStr"/>
    </row>
    <row r="37">
      <c r="A37" s="81" t="inlineStr">
        <is>
          <t>tblMovement</t>
        </is>
      </c>
      <c r="B37" s="81" t="inlineStr">
        <is>
          <t>Mining_Movements</t>
        </is>
      </c>
      <c r="C37" s="81" t="inlineStr">
        <is>
          <t>BCM</t>
        </is>
      </c>
      <c r="D37" s="81" t="inlineStr">
        <is>
          <t>Volume</t>
        </is>
      </c>
      <c r="E37" s="81" t="inlineStr">
        <is>
          <t>number</t>
        </is>
      </c>
      <c r="F37" s="81" t="inlineStr">
        <is>
          <t>bcm</t>
        </is>
      </c>
      <c r="G37" s="81" t="inlineStr"/>
      <c r="H37" s="81" t="inlineStr">
        <is>
          <t>0 to 100000</t>
        </is>
      </c>
      <c r="I37" s="81" t="inlineStr">
        <is>
          <t>Optional bank cubic metres</t>
        </is>
      </c>
      <c r="J37" s="81" t="inlineStr"/>
    </row>
    <row r="38">
      <c r="A38" s="81" t="inlineStr">
        <is>
          <t>tblMovement</t>
        </is>
      </c>
      <c r="B38" s="81" t="inlineStr">
        <is>
          <t>Mining_Movements</t>
        </is>
      </c>
      <c r="C38" s="81" t="inlineStr">
        <is>
          <t>Loads</t>
        </is>
      </c>
      <c r="D38" s="81" t="inlineStr">
        <is>
          <t>Truck loads</t>
        </is>
      </c>
      <c r="E38" s="81" t="inlineStr">
        <is>
          <t>int</t>
        </is>
      </c>
      <c r="F38" s="81" t="inlineStr"/>
      <c r="G38" s="81" t="inlineStr"/>
      <c r="H38" s="81" t="inlineStr">
        <is>
          <t>0 to 5000</t>
        </is>
      </c>
      <c r="I38" s="81" t="inlineStr">
        <is>
          <t>Optional truck count</t>
        </is>
      </c>
      <c r="J38" s="81" t="inlineStr"/>
    </row>
    <row r="39">
      <c r="A39" s="81" t="inlineStr">
        <is>
          <t>tblMovement</t>
        </is>
      </c>
      <c r="B39" s="81" t="inlineStr">
        <is>
          <t>Mining_Movements</t>
        </is>
      </c>
      <c r="C39" s="81" t="inlineStr">
        <is>
          <t>Comments</t>
        </is>
      </c>
      <c r="D39" s="81" t="inlineStr">
        <is>
          <t>Comments</t>
        </is>
      </c>
      <c r="E39" s="81" t="inlineStr">
        <is>
          <t>text</t>
        </is>
      </c>
      <c r="F39" s="81" t="inlineStr"/>
      <c r="G39" s="81" t="inlineStr"/>
      <c r="H39" s="81" t="inlineStr"/>
      <c r="I39" s="81" t="inlineStr"/>
      <c r="J39" s="81" t="inlineStr"/>
    </row>
    <row r="40">
      <c r="A40" s="81" t="inlineStr">
        <is>
          <t>tblMovement</t>
        </is>
      </c>
      <c r="B40" s="81" t="inlineStr">
        <is>
          <t>Mining_Movements</t>
        </is>
      </c>
      <c r="C40" s="81" t="inlineStr">
        <is>
          <t>Source_Type</t>
        </is>
      </c>
      <c r="D40" s="81" t="inlineStr">
        <is>
          <t>Source type</t>
        </is>
      </c>
      <c r="E40" s="81" t="inlineStr">
        <is>
          <t>calculated</t>
        </is>
      </c>
      <c r="F40" s="81" t="inlineStr"/>
      <c r="G40" s="81" t="inlineStr"/>
      <c r="H40" s="81" t="inlineStr"/>
      <c r="I40" s="81" t="inlineStr">
        <is>
          <t>Pit or Stockpile, looked up from Lists; ? when the source is not in tblSources (row is highlighted and excluded from every KPI)</t>
        </is>
      </c>
      <c r="J40" s="81" t="inlineStr">
        <is>
          <t>IF({Source}="","",IFERROR(INDEX(tblSources[Type],MATCH({Source},tblSources[Source],0)),"?"))</t>
        </is>
      </c>
    </row>
    <row r="41">
      <c r="A41" s="81" t="inlineStr">
        <is>
          <t>tblMovement</t>
        </is>
      </c>
      <c r="B41" s="81" t="inlineStr">
        <is>
          <t>Mining_Movements</t>
        </is>
      </c>
      <c r="C41" s="81" t="inlineStr">
        <is>
          <t>Dest_Type</t>
        </is>
      </c>
      <c r="D41" s="81" t="inlineStr">
        <is>
          <t>Destination type</t>
        </is>
      </c>
      <c r="E41" s="81" t="inlineStr">
        <is>
          <t>calculated</t>
        </is>
      </c>
      <c r="F41" s="81" t="inlineStr"/>
      <c r="G41" s="81" t="inlineStr"/>
      <c r="H41" s="81" t="inlineStr"/>
      <c r="I41" s="81" t="inlineStr">
        <is>
          <t>Stockpile, Plant or Waste, looked up from Lists; ? when the destination is not in tblDestinations (row is highlighted)</t>
        </is>
      </c>
      <c r="J41" s="81" t="inlineStr">
        <is>
          <t>IF({Destination}="","",IFERROR(INDEX(tblDestinations[Type],MATCH({Destination},tblDestinations[Destination],0)),"?"))</t>
        </is>
      </c>
    </row>
    <row r="42">
      <c r="A42" s="81" t="inlineStr">
        <is>
          <t>tblMovement</t>
        </is>
      </c>
      <c r="B42" s="81" t="inlineStr">
        <is>
          <t>Mining_Movements</t>
        </is>
      </c>
      <c r="C42" s="81" t="inlineStr">
        <is>
          <t>Is_Ore</t>
        </is>
      </c>
      <c r="D42" s="81" t="inlineStr">
        <is>
          <t>Ore flag</t>
        </is>
      </c>
      <c r="E42" s="81" t="inlineStr">
        <is>
          <t>calculated</t>
        </is>
      </c>
      <c r="F42" s="81" t="inlineStr"/>
      <c r="G42" s="81" t="inlineStr"/>
      <c r="H42" s="81" t="inlineStr"/>
      <c r="I42" s="81" t="inlineStr">
        <is>
          <t>1 when Material starts with Ore</t>
        </is>
      </c>
      <c r="J42" s="81" t="inlineStr">
        <is>
          <t>IF({Material}="","",IF(LEFT({Material},3)="Ore",1,0))</t>
        </is>
      </c>
    </row>
    <row r="43">
      <c r="A43" s="81" t="inlineStr">
        <is>
          <t>tblMovement</t>
        </is>
      </c>
      <c r="B43" s="81" t="inlineStr">
        <is>
          <t>Mining_Movements</t>
        </is>
      </c>
      <c r="C43" s="81" t="inlineStr">
        <is>
          <t>Contained_oz</t>
        </is>
      </c>
      <c r="D43" s="81" t="inlineStr">
        <is>
          <t>Contained gold</t>
        </is>
      </c>
      <c r="E43" s="81" t="inlineStr">
        <is>
          <t>calculated</t>
        </is>
      </c>
      <c r="F43" s="81" t="inlineStr">
        <is>
          <t>oz</t>
        </is>
      </c>
      <c r="G43" s="81" t="inlineStr"/>
      <c r="H43" s="81" t="inlineStr"/>
      <c r="I43" s="81" t="inlineStr">
        <is>
          <t>Tonnes x grade / 31.1035, any material with a grade</t>
        </is>
      </c>
      <c r="J43" s="81" t="inlineStr">
        <is>
          <t>IF(OR({Tonnes_t}="",{Grade_gpt}=""),0,{Tonnes_t}*{Grade_gpt}/{TROY})</t>
        </is>
      </c>
    </row>
    <row r="44">
      <c r="A44" s="81" t="inlineStr">
        <is>
          <t>tblMovement</t>
        </is>
      </c>
      <c r="B44" s="81" t="inlineStr">
        <is>
          <t>Mining_Movements</t>
        </is>
      </c>
      <c r="C44" s="81" t="inlineStr">
        <is>
          <t>Ore_oz</t>
        </is>
      </c>
      <c r="D44" s="81" t="inlineStr">
        <is>
          <t>Ore gold</t>
        </is>
      </c>
      <c r="E44" s="81" t="inlineStr">
        <is>
          <t>calculated</t>
        </is>
      </c>
      <c r="F44" s="81" t="inlineStr">
        <is>
          <t>oz</t>
        </is>
      </c>
      <c r="G44" s="81" t="inlineStr"/>
      <c r="H44" s="81" t="inlineStr"/>
      <c r="I44" s="81" t="inlineStr">
        <is>
          <t>Contained oz for ore rows only</t>
        </is>
      </c>
      <c r="J44" s="81" t="inlineStr">
        <is>
          <t>IF({Is_Ore}=1,{Contained_oz},0)</t>
        </is>
      </c>
    </row>
    <row r="45">
      <c r="A45" s="81" t="inlineStr">
        <is>
          <t>tblMiningDaily</t>
        </is>
      </c>
      <c r="B45" s="81" t="inlineStr">
        <is>
          <t>Mining_Daily</t>
        </is>
      </c>
      <c r="C45" s="81" t="inlineStr">
        <is>
          <t>Date</t>
        </is>
      </c>
      <c r="D45" s="81" t="inlineStr">
        <is>
          <t>Date</t>
        </is>
      </c>
      <c r="E45" s="81" t="inlineStr">
        <is>
          <t>date</t>
        </is>
      </c>
      <c r="F45" s="81" t="inlineStr"/>
      <c r="G45" s="81" t="inlineStr">
        <is>
          <t>yes</t>
        </is>
      </c>
      <c r="H45" s="81" t="inlineStr"/>
      <c r="I45" s="81" t="inlineStr"/>
      <c r="J45" s="81" t="inlineStr"/>
    </row>
    <row r="46">
      <c r="A46" s="81" t="inlineStr">
        <is>
          <t>tblMiningDaily</t>
        </is>
      </c>
      <c r="B46" s="81" t="inlineStr">
        <is>
          <t>Mining_Daily</t>
        </is>
      </c>
      <c r="C46" s="81" t="inlineStr">
        <is>
          <t>Drill_m</t>
        </is>
      </c>
      <c r="D46" s="81" t="inlineStr">
        <is>
          <t>Drilled</t>
        </is>
      </c>
      <c r="E46" s="81" t="inlineStr">
        <is>
          <t>number</t>
        </is>
      </c>
      <c r="F46" s="81" t="inlineStr">
        <is>
          <t>m</t>
        </is>
      </c>
      <c r="G46" s="81" t="inlineStr"/>
      <c r="H46" s="81" t="inlineStr">
        <is>
          <t>0 to 20000</t>
        </is>
      </c>
      <c r="I46" s="81" t="inlineStr">
        <is>
          <t>Production drill metres</t>
        </is>
      </c>
      <c r="J46" s="81" t="inlineStr"/>
    </row>
    <row r="47">
      <c r="A47" s="81" t="inlineStr">
        <is>
          <t>tblMiningDaily</t>
        </is>
      </c>
      <c r="B47" s="81" t="inlineStr">
        <is>
          <t>Mining_Daily</t>
        </is>
      </c>
      <c r="C47" s="81" t="inlineStr">
        <is>
          <t>GC_Drill_m</t>
        </is>
      </c>
      <c r="D47" s="81" t="inlineStr">
        <is>
          <t>Grade control drilled</t>
        </is>
      </c>
      <c r="E47" s="81" t="inlineStr">
        <is>
          <t>number</t>
        </is>
      </c>
      <c r="F47" s="81" t="inlineStr">
        <is>
          <t>m</t>
        </is>
      </c>
      <c r="G47" s="81" t="inlineStr"/>
      <c r="H47" s="81" t="inlineStr">
        <is>
          <t>0 to 5000</t>
        </is>
      </c>
      <c r="I47" s="81" t="inlineStr">
        <is>
          <t>Grade control RC drill metres</t>
        </is>
      </c>
      <c r="J47" s="81" t="inlineStr"/>
    </row>
    <row r="48">
      <c r="A48" s="81" t="inlineStr">
        <is>
          <t>tblMiningDaily</t>
        </is>
      </c>
      <c r="B48" s="81" t="inlineStr">
        <is>
          <t>Mining_Daily</t>
        </is>
      </c>
      <c r="C48" s="81" t="inlineStr">
        <is>
          <t>Blast_t</t>
        </is>
      </c>
      <c r="D48" s="81" t="inlineStr">
        <is>
          <t>Blasted</t>
        </is>
      </c>
      <c r="E48" s="81" t="inlineStr">
        <is>
          <t>number</t>
        </is>
      </c>
      <c r="F48" s="81" t="inlineStr">
        <is>
          <t>t</t>
        </is>
      </c>
      <c r="G48" s="81" t="inlineStr"/>
      <c r="H48" s="81" t="inlineStr">
        <is>
          <t>0 to 500000</t>
        </is>
      </c>
      <c r="I48" s="81" t="inlineStr">
        <is>
          <t>Tonnes blasted</t>
        </is>
      </c>
      <c r="J48" s="81" t="inlineStr"/>
    </row>
    <row r="49">
      <c r="A49" s="81" t="inlineStr">
        <is>
          <t>tblMiningDaily</t>
        </is>
      </c>
      <c r="B49" s="81" t="inlineStr">
        <is>
          <t>Mining_Daily</t>
        </is>
      </c>
      <c r="C49" s="81" t="inlineStr">
        <is>
          <t>Explosives_kg</t>
        </is>
      </c>
      <c r="D49" s="81" t="inlineStr">
        <is>
          <t>Explosives</t>
        </is>
      </c>
      <c r="E49" s="81" t="inlineStr">
        <is>
          <t>number</t>
        </is>
      </c>
      <c r="F49" s="81" t="inlineStr">
        <is>
          <t>kg</t>
        </is>
      </c>
      <c r="G49" s="81" t="inlineStr"/>
      <c r="H49" s="81" t="inlineStr">
        <is>
          <t>0 to 200000</t>
        </is>
      </c>
      <c r="I49" s="81" t="inlineStr">
        <is>
          <t>Explosives consumed</t>
        </is>
      </c>
      <c r="J49" s="81" t="inlineStr"/>
    </row>
    <row r="50">
      <c r="A50" s="81" t="inlineStr">
        <is>
          <t>tblMiningDaily</t>
        </is>
      </c>
      <c r="B50" s="81" t="inlineStr">
        <is>
          <t>Mining_Daily</t>
        </is>
      </c>
      <c r="C50" s="81" t="inlineStr">
        <is>
          <t>Diesel_L</t>
        </is>
      </c>
      <c r="D50" s="81" t="inlineStr">
        <is>
          <t>Diesel</t>
        </is>
      </c>
      <c r="E50" s="81" t="inlineStr">
        <is>
          <t>number</t>
        </is>
      </c>
      <c r="F50" s="81" t="inlineStr">
        <is>
          <t>L</t>
        </is>
      </c>
      <c r="G50" s="81" t="inlineStr"/>
      <c r="H50" s="81" t="inlineStr">
        <is>
          <t>0 to 200000</t>
        </is>
      </c>
      <c r="I50" s="81" t="inlineStr">
        <is>
          <t>Mining fleet diesel</t>
        </is>
      </c>
      <c r="J50" s="81" t="inlineStr"/>
    </row>
    <row r="51">
      <c r="A51" s="81" t="inlineStr">
        <is>
          <t>tblMiningDaily</t>
        </is>
      </c>
      <c r="B51" s="81" t="inlineStr">
        <is>
          <t>Mining_Daily</t>
        </is>
      </c>
      <c r="C51" s="81" t="inlineStr">
        <is>
          <t>Dewatering_m3</t>
        </is>
      </c>
      <c r="D51" s="81" t="inlineStr">
        <is>
          <t>Dewatering</t>
        </is>
      </c>
      <c r="E51" s="81" t="inlineStr">
        <is>
          <t>number</t>
        </is>
      </c>
      <c r="F51" s="81" t="inlineStr">
        <is>
          <t>m3</t>
        </is>
      </c>
      <c r="G51" s="81" t="inlineStr"/>
      <c r="H51" s="81" t="inlineStr">
        <is>
          <t>0 to 500000</t>
        </is>
      </c>
      <c r="I51" s="81" t="inlineStr">
        <is>
          <t>Pit water pumped</t>
        </is>
      </c>
      <c r="J51" s="81" t="inlineStr"/>
    </row>
    <row r="52">
      <c r="A52" s="81" t="inlineStr">
        <is>
          <t>tblMiningDaily</t>
        </is>
      </c>
      <c r="B52" s="81" t="inlineStr">
        <is>
          <t>Mining_Daily</t>
        </is>
      </c>
      <c r="C52" s="81" t="inlineStr">
        <is>
          <t>Comments</t>
        </is>
      </c>
      <c r="D52" s="81" t="inlineStr">
        <is>
          <t>Comments</t>
        </is>
      </c>
      <c r="E52" s="81" t="inlineStr">
        <is>
          <t>text</t>
        </is>
      </c>
      <c r="F52" s="81" t="inlineStr"/>
      <c r="G52" s="81" t="inlineStr"/>
      <c r="H52" s="81" t="inlineStr"/>
      <c r="I52" s="81" t="inlineStr"/>
      <c r="J52" s="81" t="inlineStr"/>
    </row>
    <row r="53">
      <c r="A53" s="81" t="inlineStr">
        <is>
          <t>tblMiningDaily</t>
        </is>
      </c>
      <c r="B53" s="81" t="inlineStr">
        <is>
          <t>Mining_Daily</t>
        </is>
      </c>
      <c r="C53" s="81" t="inlineStr">
        <is>
          <t>Powder_Factor_kgpt</t>
        </is>
      </c>
      <c r="D53" s="81" t="inlineStr">
        <is>
          <t>Powder factor</t>
        </is>
      </c>
      <c r="E53" s="81" t="inlineStr">
        <is>
          <t>calculated</t>
        </is>
      </c>
      <c r="F53" s="81" t="inlineStr">
        <is>
          <t>kg/t</t>
        </is>
      </c>
      <c r="G53" s="81" t="inlineStr"/>
      <c r="H53" s="81" t="inlineStr"/>
      <c r="I53" s="81" t="inlineStr">
        <is>
          <t>Explosives kg per tonne blasted</t>
        </is>
      </c>
      <c r="J53" s="81" t="inlineStr">
        <is>
          <t>IF(AND({Blast_t}&lt;&gt;"",{Blast_t}&gt;0),{Explosives_kg}/{Blast_t},"")</t>
        </is>
      </c>
    </row>
    <row r="54">
      <c r="A54" s="81" t="inlineStr">
        <is>
          <t>tblFleet</t>
        </is>
      </c>
      <c r="B54" s="81" t="inlineStr">
        <is>
          <t>Fleet</t>
        </is>
      </c>
      <c r="C54" s="81" t="inlineStr">
        <is>
          <t>Date</t>
        </is>
      </c>
      <c r="D54" s="81" t="inlineStr">
        <is>
          <t>Date</t>
        </is>
      </c>
      <c r="E54" s="81" t="inlineStr">
        <is>
          <t>date</t>
        </is>
      </c>
      <c r="F54" s="81" t="inlineStr"/>
      <c r="G54" s="81" t="inlineStr">
        <is>
          <t>yes</t>
        </is>
      </c>
      <c r="H54" s="81" t="inlineStr"/>
      <c r="I54" s="81" t="inlineStr"/>
      <c r="J54" s="81" t="inlineStr"/>
    </row>
    <row r="55">
      <c r="A55" s="81" t="inlineStr">
        <is>
          <t>tblFleet</t>
        </is>
      </c>
      <c r="B55" s="81" t="inlineStr">
        <is>
          <t>Fleet</t>
        </is>
      </c>
      <c r="C55" s="81" t="inlineStr">
        <is>
          <t>Equipment_Class</t>
        </is>
      </c>
      <c r="D55" s="81" t="inlineStr">
        <is>
          <t>Equipment class</t>
        </is>
      </c>
      <c r="E55" s="81" t="inlineStr">
        <is>
          <t>list</t>
        </is>
      </c>
      <c r="F55" s="81" t="inlineStr"/>
      <c r="G55" s="81" t="inlineStr">
        <is>
          <t>yes</t>
        </is>
      </c>
      <c r="H55" s="81" t="inlineStr">
        <is>
          <t>list: Equipment_Class</t>
        </is>
      </c>
      <c r="I55" s="81" t="inlineStr"/>
      <c r="J55" s="81" t="inlineStr"/>
    </row>
    <row r="56">
      <c r="A56" s="81" t="inlineStr">
        <is>
          <t>tblFleet</t>
        </is>
      </c>
      <c r="B56" s="81" t="inlineStr">
        <is>
          <t>Fleet</t>
        </is>
      </c>
      <c r="C56" s="81" t="inlineStr">
        <is>
          <t>Units</t>
        </is>
      </c>
      <c r="D56" s="81" t="inlineStr">
        <is>
          <t>Units in fleet</t>
        </is>
      </c>
      <c r="E56" s="81" t="inlineStr">
        <is>
          <t>int</t>
        </is>
      </c>
      <c r="F56" s="81" t="inlineStr"/>
      <c r="G56" s="81" t="inlineStr">
        <is>
          <t>yes</t>
        </is>
      </c>
      <c r="H56" s="81" t="inlineStr">
        <is>
          <t>0 to 200</t>
        </is>
      </c>
      <c r="I56" s="81" t="inlineStr">
        <is>
          <t>Number of machines of this class on site</t>
        </is>
      </c>
      <c r="J56" s="81" t="inlineStr"/>
    </row>
    <row r="57">
      <c r="A57" s="81" t="inlineStr">
        <is>
          <t>tblFleet</t>
        </is>
      </c>
      <c r="B57" s="81" t="inlineStr">
        <is>
          <t>Fleet</t>
        </is>
      </c>
      <c r="C57" s="81" t="inlineStr">
        <is>
          <t>Down_h</t>
        </is>
      </c>
      <c r="D57" s="81" t="inlineStr">
        <is>
          <t>Down hours</t>
        </is>
      </c>
      <c r="E57" s="81" t="inlineStr">
        <is>
          <t>number</t>
        </is>
      </c>
      <c r="F57" s="81" t="inlineStr">
        <is>
          <t>h</t>
        </is>
      </c>
      <c r="G57" s="81" t="inlineStr"/>
      <c r="H57" s="81" t="inlineStr">
        <is>
          <t>0 to 4800</t>
        </is>
      </c>
      <c r="I57" s="81" t="inlineStr">
        <is>
          <t>Sum of maintenance and breakdown hours across the class</t>
        </is>
      </c>
      <c r="J57" s="81" t="inlineStr"/>
    </row>
    <row r="58">
      <c r="A58" s="81" t="inlineStr">
        <is>
          <t>tblFleet</t>
        </is>
      </c>
      <c r="B58" s="81" t="inlineStr">
        <is>
          <t>Fleet</t>
        </is>
      </c>
      <c r="C58" s="81" t="inlineStr">
        <is>
          <t>Operating_h</t>
        </is>
      </c>
      <c r="D58" s="81" t="inlineStr">
        <is>
          <t>Operating hours</t>
        </is>
      </c>
      <c r="E58" s="81" t="inlineStr">
        <is>
          <t>number</t>
        </is>
      </c>
      <c r="F58" s="81" t="inlineStr">
        <is>
          <t>h</t>
        </is>
      </c>
      <c r="G58" s="81" t="inlineStr"/>
      <c r="H58" s="81" t="inlineStr">
        <is>
          <t>0 to 4800</t>
        </is>
      </c>
      <c r="I58" s="81" t="inlineStr">
        <is>
          <t>Sum of SMU engine hours across the class (one basis for every class)</t>
        </is>
      </c>
      <c r="J58" s="81" t="inlineStr"/>
    </row>
    <row r="59">
      <c r="A59" s="81" t="inlineStr">
        <is>
          <t>tblFleet</t>
        </is>
      </c>
      <c r="B59" s="81" t="inlineStr">
        <is>
          <t>Fleet</t>
        </is>
      </c>
      <c r="C59" s="81" t="inlineStr">
        <is>
          <t>Comments</t>
        </is>
      </c>
      <c r="D59" s="81" t="inlineStr">
        <is>
          <t>Comments</t>
        </is>
      </c>
      <c r="E59" s="81" t="inlineStr">
        <is>
          <t>text</t>
        </is>
      </c>
      <c r="F59" s="81" t="inlineStr"/>
      <c r="G59" s="81" t="inlineStr"/>
      <c r="H59" s="81" t="inlineStr"/>
      <c r="I59" s="81" t="inlineStr"/>
      <c r="J59" s="81" t="inlineStr"/>
    </row>
    <row r="60">
      <c r="A60" s="81" t="inlineStr">
        <is>
          <t>tblFleet</t>
        </is>
      </c>
      <c r="B60" s="81" t="inlineStr">
        <is>
          <t>Fleet</t>
        </is>
      </c>
      <c r="C60" s="81" t="inlineStr">
        <is>
          <t>Calendar_h</t>
        </is>
      </c>
      <c r="D60" s="81" t="inlineStr">
        <is>
          <t>Calendar hours</t>
        </is>
      </c>
      <c r="E60" s="81" t="inlineStr">
        <is>
          <t>calculated</t>
        </is>
      </c>
      <c r="F60" s="81" t="inlineStr">
        <is>
          <t>h</t>
        </is>
      </c>
      <c r="G60" s="81" t="inlineStr"/>
      <c r="H60" s="81" t="inlineStr"/>
      <c r="I60" s="81" t="inlineStr">
        <is>
          <t>Units x 24</t>
        </is>
      </c>
      <c r="J60" s="81" t="inlineStr">
        <is>
          <t>IF({Units}="","",{Units}*{HOURS_PER_DAY})</t>
        </is>
      </c>
    </row>
    <row r="61">
      <c r="A61" s="81" t="inlineStr">
        <is>
          <t>tblFleet</t>
        </is>
      </c>
      <c r="B61" s="81" t="inlineStr">
        <is>
          <t>Fleet</t>
        </is>
      </c>
      <c r="C61" s="81" t="inlineStr">
        <is>
          <t>Available_h</t>
        </is>
      </c>
      <c r="D61" s="81" t="inlineStr">
        <is>
          <t>Available hours</t>
        </is>
      </c>
      <c r="E61" s="81" t="inlineStr">
        <is>
          <t>calculated</t>
        </is>
      </c>
      <c r="F61" s="81" t="inlineStr">
        <is>
          <t>h</t>
        </is>
      </c>
      <c r="G61" s="81" t="inlineStr"/>
      <c r="H61" s="81" t="inlineStr"/>
      <c r="I61" s="81" t="inlineStr">
        <is>
          <t>Calendar minus down</t>
        </is>
      </c>
      <c r="J61" s="81" t="inlineStr">
        <is>
          <t>IF({Units}="","",{Calendar_h}-{Down_h})</t>
        </is>
      </c>
    </row>
    <row r="62">
      <c r="A62" s="81" t="inlineStr">
        <is>
          <t>tblFleet</t>
        </is>
      </c>
      <c r="B62" s="81" t="inlineStr">
        <is>
          <t>Fleet</t>
        </is>
      </c>
      <c r="C62" s="81" t="inlineStr">
        <is>
          <t>Availability_pct</t>
        </is>
      </c>
      <c r="D62" s="81" t="inlineStr">
        <is>
          <t>Availability</t>
        </is>
      </c>
      <c r="E62" s="81" t="inlineStr">
        <is>
          <t>calculated</t>
        </is>
      </c>
      <c r="F62" s="81" t="inlineStr">
        <is>
          <t>%</t>
        </is>
      </c>
      <c r="G62" s="81" t="inlineStr"/>
      <c r="H62" s="81" t="inlineStr"/>
      <c r="I62" s="81" t="inlineStr">
        <is>
          <t>Available over calendar</t>
        </is>
      </c>
      <c r="J62" s="81" t="inlineStr">
        <is>
          <t>IF(AND({Units}&lt;&gt;"",{Calendar_h}&gt;0),{Available_h}/{Calendar_h},"")</t>
        </is>
      </c>
    </row>
    <row r="63">
      <c r="A63" s="81" t="inlineStr">
        <is>
          <t>tblFleet</t>
        </is>
      </c>
      <c r="B63" s="81" t="inlineStr">
        <is>
          <t>Fleet</t>
        </is>
      </c>
      <c r="C63" s="81" t="inlineStr">
        <is>
          <t>Utilisation_pct</t>
        </is>
      </c>
      <c r="D63" s="81" t="inlineStr">
        <is>
          <t>Utilisation</t>
        </is>
      </c>
      <c r="E63" s="81" t="inlineStr">
        <is>
          <t>calculated</t>
        </is>
      </c>
      <c r="F63" s="81" t="inlineStr">
        <is>
          <t>%</t>
        </is>
      </c>
      <c r="G63" s="81" t="inlineStr"/>
      <c r="H63" s="81" t="inlineStr"/>
      <c r="I63" s="81" t="inlineStr">
        <is>
          <t>Operating over available</t>
        </is>
      </c>
      <c r="J63" s="81" t="inlineStr">
        <is>
          <t>IF(AND({Units}&lt;&gt;"",{Available_h}&gt;0),{Operating_h}/{Available_h},"")</t>
        </is>
      </c>
    </row>
    <row r="64">
      <c r="A64" s="81" t="inlineStr">
        <is>
          <t>tblSafety</t>
        </is>
      </c>
      <c r="B64" s="81" t="inlineStr">
        <is>
          <t>Safety</t>
        </is>
      </c>
      <c r="C64" s="81" t="inlineStr">
        <is>
          <t>Date</t>
        </is>
      </c>
      <c r="D64" s="81" t="inlineStr">
        <is>
          <t>Date</t>
        </is>
      </c>
      <c r="E64" s="81" t="inlineStr">
        <is>
          <t>date</t>
        </is>
      </c>
      <c r="F64" s="81" t="inlineStr"/>
      <c r="G64" s="81" t="inlineStr">
        <is>
          <t>yes</t>
        </is>
      </c>
      <c r="H64" s="81" t="inlineStr"/>
      <c r="I64" s="81" t="inlineStr"/>
      <c r="J64" s="81" t="inlineStr"/>
    </row>
    <row r="65">
      <c r="A65" s="81" t="inlineStr">
        <is>
          <t>tblSafety</t>
        </is>
      </c>
      <c r="B65" s="81" t="inlineStr">
        <is>
          <t>Safety</t>
        </is>
      </c>
      <c r="C65" s="81" t="inlineStr">
        <is>
          <t>Hours_Employees</t>
        </is>
      </c>
      <c r="D65" s="81" t="inlineStr">
        <is>
          <t>Hours worked, employees</t>
        </is>
      </c>
      <c r="E65" s="81" t="inlineStr">
        <is>
          <t>number</t>
        </is>
      </c>
      <c r="F65" s="81" t="inlineStr">
        <is>
          <t>h</t>
        </is>
      </c>
      <c r="G65" s="81" t="inlineStr"/>
      <c r="H65" s="81" t="inlineStr">
        <is>
          <t>0 to 50000</t>
        </is>
      </c>
      <c r="I65" s="81" t="inlineStr"/>
      <c r="J65" s="81" t="inlineStr"/>
    </row>
    <row r="66">
      <c r="A66" s="81" t="inlineStr">
        <is>
          <t>tblSafety</t>
        </is>
      </c>
      <c r="B66" s="81" t="inlineStr">
        <is>
          <t>Safety</t>
        </is>
      </c>
      <c r="C66" s="81" t="inlineStr">
        <is>
          <t>Hours_Contractors</t>
        </is>
      </c>
      <c r="D66" s="81" t="inlineStr">
        <is>
          <t>Hours worked, contractors</t>
        </is>
      </c>
      <c r="E66" s="81" t="inlineStr">
        <is>
          <t>number</t>
        </is>
      </c>
      <c r="F66" s="81" t="inlineStr">
        <is>
          <t>h</t>
        </is>
      </c>
      <c r="G66" s="81" t="inlineStr"/>
      <c r="H66" s="81" t="inlineStr">
        <is>
          <t>0 to 50000</t>
        </is>
      </c>
      <c r="I66" s="81" t="inlineStr"/>
      <c r="J66" s="81" t="inlineStr"/>
    </row>
    <row r="67">
      <c r="A67" s="81" t="inlineStr">
        <is>
          <t>tblSafety</t>
        </is>
      </c>
      <c r="B67" s="81" t="inlineStr">
        <is>
          <t>Safety</t>
        </is>
      </c>
      <c r="C67" s="81" t="inlineStr">
        <is>
          <t>Fatality</t>
        </is>
      </c>
      <c r="D67" s="81" t="inlineStr">
        <is>
          <t>Fatalities</t>
        </is>
      </c>
      <c r="E67" s="81" t="inlineStr">
        <is>
          <t>int</t>
        </is>
      </c>
      <c r="F67" s="81" t="inlineStr"/>
      <c r="G67" s="81" t="inlineStr"/>
      <c r="H67" s="81" t="inlineStr">
        <is>
          <t>0 to 50</t>
        </is>
      </c>
      <c r="I67" s="81" t="inlineStr"/>
      <c r="J67" s="81" t="inlineStr"/>
    </row>
    <row r="68">
      <c r="A68" s="81" t="inlineStr">
        <is>
          <t>tblSafety</t>
        </is>
      </c>
      <c r="B68" s="81" t="inlineStr">
        <is>
          <t>Safety</t>
        </is>
      </c>
      <c r="C68" s="81" t="inlineStr">
        <is>
          <t>LTI</t>
        </is>
      </c>
      <c r="D68" s="81" t="inlineStr">
        <is>
          <t>Lost time injuries</t>
        </is>
      </c>
      <c r="E68" s="81" t="inlineStr">
        <is>
          <t>int</t>
        </is>
      </c>
      <c r="F68" s="81" t="inlineStr"/>
      <c r="G68" s="81" t="inlineStr"/>
      <c r="H68" s="81" t="inlineStr">
        <is>
          <t>0 to 50</t>
        </is>
      </c>
      <c r="I68" s="81" t="inlineStr"/>
      <c r="J68" s="81" t="inlineStr"/>
    </row>
    <row r="69">
      <c r="A69" s="81" t="inlineStr">
        <is>
          <t>tblSafety</t>
        </is>
      </c>
      <c r="B69" s="81" t="inlineStr">
        <is>
          <t>Safety</t>
        </is>
      </c>
      <c r="C69" s="81" t="inlineStr">
        <is>
          <t>RWI</t>
        </is>
      </c>
      <c r="D69" s="81" t="inlineStr">
        <is>
          <t>Restricted work injuries</t>
        </is>
      </c>
      <c r="E69" s="81" t="inlineStr">
        <is>
          <t>int</t>
        </is>
      </c>
      <c r="F69" s="81" t="inlineStr"/>
      <c r="G69" s="81" t="inlineStr"/>
      <c r="H69" s="81" t="inlineStr">
        <is>
          <t>0 to 50</t>
        </is>
      </c>
      <c r="I69" s="81" t="inlineStr"/>
      <c r="J69" s="81" t="inlineStr"/>
    </row>
    <row r="70">
      <c r="A70" s="81" t="inlineStr">
        <is>
          <t>tblSafety</t>
        </is>
      </c>
      <c r="B70" s="81" t="inlineStr">
        <is>
          <t>Safety</t>
        </is>
      </c>
      <c r="C70" s="81" t="inlineStr">
        <is>
          <t>MTI</t>
        </is>
      </c>
      <c r="D70" s="81" t="inlineStr">
        <is>
          <t>Medical treatment injuries</t>
        </is>
      </c>
      <c r="E70" s="81" t="inlineStr">
        <is>
          <t>int</t>
        </is>
      </c>
      <c r="F70" s="81" t="inlineStr"/>
      <c r="G70" s="81" t="inlineStr"/>
      <c r="H70" s="81" t="inlineStr">
        <is>
          <t>0 to 50</t>
        </is>
      </c>
      <c r="I70" s="81" t="inlineStr"/>
      <c r="J70" s="81" t="inlineStr"/>
    </row>
    <row r="71">
      <c r="A71" s="81" t="inlineStr">
        <is>
          <t>tblSafety</t>
        </is>
      </c>
      <c r="B71" s="81" t="inlineStr">
        <is>
          <t>Safety</t>
        </is>
      </c>
      <c r="C71" s="81" t="inlineStr">
        <is>
          <t>FAI</t>
        </is>
      </c>
      <c r="D71" s="81" t="inlineStr">
        <is>
          <t>First aid injuries</t>
        </is>
      </c>
      <c r="E71" s="81" t="inlineStr">
        <is>
          <t>int</t>
        </is>
      </c>
      <c r="F71" s="81" t="inlineStr"/>
      <c r="G71" s="81" t="inlineStr"/>
      <c r="H71" s="81" t="inlineStr">
        <is>
          <t>0 to 50</t>
        </is>
      </c>
      <c r="I71" s="81" t="inlineStr"/>
      <c r="J71" s="81" t="inlineStr"/>
    </row>
    <row r="72">
      <c r="A72" s="81" t="inlineStr">
        <is>
          <t>tblSafety</t>
        </is>
      </c>
      <c r="B72" s="81" t="inlineStr">
        <is>
          <t>Safety</t>
        </is>
      </c>
      <c r="C72" s="81" t="inlineStr">
        <is>
          <t>Near_Miss</t>
        </is>
      </c>
      <c r="D72" s="81" t="inlineStr">
        <is>
          <t>Near misses</t>
        </is>
      </c>
      <c r="E72" s="81" t="inlineStr">
        <is>
          <t>int</t>
        </is>
      </c>
      <c r="F72" s="81" t="inlineStr"/>
      <c r="G72" s="81" t="inlineStr"/>
      <c r="H72" s="81" t="inlineStr">
        <is>
          <t>0 to 500</t>
        </is>
      </c>
      <c r="I72" s="81" t="inlineStr"/>
      <c r="J72" s="81" t="inlineStr"/>
    </row>
    <row r="73">
      <c r="A73" s="81" t="inlineStr">
        <is>
          <t>tblSafety</t>
        </is>
      </c>
      <c r="B73" s="81" t="inlineStr">
        <is>
          <t>Safety</t>
        </is>
      </c>
      <c r="C73" s="81" t="inlineStr">
        <is>
          <t>Hazard_Reports</t>
        </is>
      </c>
      <c r="D73" s="81" t="inlineStr">
        <is>
          <t>Hazard reports</t>
        </is>
      </c>
      <c r="E73" s="81" t="inlineStr">
        <is>
          <t>int</t>
        </is>
      </c>
      <c r="F73" s="81" t="inlineStr"/>
      <c r="G73" s="81" t="inlineStr"/>
      <c r="H73" s="81" t="inlineStr">
        <is>
          <t>0 to 5000</t>
        </is>
      </c>
      <c r="I73" s="81" t="inlineStr"/>
      <c r="J73" s="81" t="inlineStr"/>
    </row>
    <row r="74">
      <c r="A74" s="81" t="inlineStr">
        <is>
          <t>tblSafety</t>
        </is>
      </c>
      <c r="B74" s="81" t="inlineStr">
        <is>
          <t>Safety</t>
        </is>
      </c>
      <c r="C74" s="81" t="inlineStr">
        <is>
          <t>HPI</t>
        </is>
      </c>
      <c r="D74" s="81" t="inlineStr">
        <is>
          <t>High potential incidents</t>
        </is>
      </c>
      <c r="E74" s="81" t="inlineStr">
        <is>
          <t>int</t>
        </is>
      </c>
      <c r="F74" s="81" t="inlineStr"/>
      <c r="G74" s="81" t="inlineStr"/>
      <c r="H74" s="81" t="inlineStr">
        <is>
          <t>0 to 50</t>
        </is>
      </c>
      <c r="I74" s="81" t="inlineStr"/>
      <c r="J74" s="81" t="inlineStr"/>
    </row>
    <row r="75">
      <c r="A75" s="81" t="inlineStr">
        <is>
          <t>tblSafety</t>
        </is>
      </c>
      <c r="B75" s="81" t="inlineStr">
        <is>
          <t>Safety</t>
        </is>
      </c>
      <c r="C75" s="81" t="inlineStr">
        <is>
          <t>Env_Incidents</t>
        </is>
      </c>
      <c r="D75" s="81" t="inlineStr">
        <is>
          <t>Environmental incidents</t>
        </is>
      </c>
      <c r="E75" s="81" t="inlineStr">
        <is>
          <t>int</t>
        </is>
      </c>
      <c r="F75" s="81" t="inlineStr"/>
      <c r="G75" s="81" t="inlineStr"/>
      <c r="H75" s="81" t="inlineStr">
        <is>
          <t>0 to 50</t>
        </is>
      </c>
      <c r="I75" s="81" t="inlineStr"/>
      <c r="J75" s="81" t="inlineStr"/>
    </row>
    <row r="76">
      <c r="A76" s="81" t="inlineStr">
        <is>
          <t>tblSafety</t>
        </is>
      </c>
      <c r="B76" s="81" t="inlineStr">
        <is>
          <t>Safety</t>
        </is>
      </c>
      <c r="C76" s="81" t="inlineStr">
        <is>
          <t>Community_Incidents</t>
        </is>
      </c>
      <c r="D76" s="81" t="inlineStr">
        <is>
          <t>Community incidents or grievances</t>
        </is>
      </c>
      <c r="E76" s="81" t="inlineStr">
        <is>
          <t>int</t>
        </is>
      </c>
      <c r="F76" s="81" t="inlineStr"/>
      <c r="G76" s="81" t="inlineStr"/>
      <c r="H76" s="81" t="inlineStr">
        <is>
          <t>0 to 50</t>
        </is>
      </c>
      <c r="I76" s="81" t="inlineStr"/>
      <c r="J76" s="81" t="inlineStr"/>
    </row>
    <row r="77">
      <c r="A77" s="81" t="inlineStr">
        <is>
          <t>tblSafety</t>
        </is>
      </c>
      <c r="B77" s="81" t="inlineStr">
        <is>
          <t>Safety</t>
        </is>
      </c>
      <c r="C77" s="81" t="inlineStr">
        <is>
          <t>Vehicle_Incidents</t>
        </is>
      </c>
      <c r="D77" s="81" t="inlineStr">
        <is>
          <t>Vehicle incidents</t>
        </is>
      </c>
      <c r="E77" s="81" t="inlineStr">
        <is>
          <t>int</t>
        </is>
      </c>
      <c r="F77" s="81" t="inlineStr"/>
      <c r="G77" s="81" t="inlineStr"/>
      <c r="H77" s="81" t="inlineStr">
        <is>
          <t>0 to 50</t>
        </is>
      </c>
      <c r="I77" s="81" t="inlineStr"/>
      <c r="J77" s="81" t="inlineStr"/>
    </row>
    <row r="78">
      <c r="A78" s="81" t="inlineStr">
        <is>
          <t>tblSafety</t>
        </is>
      </c>
      <c r="B78" s="81" t="inlineStr">
        <is>
          <t>Safety</t>
        </is>
      </c>
      <c r="C78" s="81" t="inlineStr">
        <is>
          <t>Toolbox_Talks</t>
        </is>
      </c>
      <c r="D78" s="81" t="inlineStr">
        <is>
          <t>Toolbox talks</t>
        </is>
      </c>
      <c r="E78" s="81" t="inlineStr">
        <is>
          <t>int</t>
        </is>
      </c>
      <c r="F78" s="81" t="inlineStr"/>
      <c r="G78" s="81" t="inlineStr"/>
      <c r="H78" s="81" t="inlineStr">
        <is>
          <t>0 to 500</t>
        </is>
      </c>
      <c r="I78" s="81" t="inlineStr"/>
      <c r="J78" s="81" t="inlineStr"/>
    </row>
    <row r="79">
      <c r="A79" s="81" t="inlineStr">
        <is>
          <t>tblSafety</t>
        </is>
      </c>
      <c r="B79" s="81" t="inlineStr">
        <is>
          <t>Safety</t>
        </is>
      </c>
      <c r="C79" s="81" t="inlineStr">
        <is>
          <t>Inspections</t>
        </is>
      </c>
      <c r="D79" s="81" t="inlineStr">
        <is>
          <t>Inspections and audits</t>
        </is>
      </c>
      <c r="E79" s="81" t="inlineStr">
        <is>
          <t>int</t>
        </is>
      </c>
      <c r="F79" s="81" t="inlineStr"/>
      <c r="G79" s="81" t="inlineStr"/>
      <c r="H79" s="81" t="inlineStr">
        <is>
          <t>0 to 500</t>
        </is>
      </c>
      <c r="I79" s="81" t="inlineStr"/>
      <c r="J79" s="81" t="inlineStr"/>
    </row>
    <row r="80">
      <c r="A80" s="81" t="inlineStr">
        <is>
          <t>tblSafety</t>
        </is>
      </c>
      <c r="B80" s="81" t="inlineStr">
        <is>
          <t>Safety</t>
        </is>
      </c>
      <c r="C80" s="81" t="inlineStr">
        <is>
          <t>Comments</t>
        </is>
      </c>
      <c r="D80" s="81" t="inlineStr">
        <is>
          <t>Comments</t>
        </is>
      </c>
      <c r="E80" s="81" t="inlineStr">
        <is>
          <t>text</t>
        </is>
      </c>
      <c r="F80" s="81" t="inlineStr"/>
      <c r="G80" s="81" t="inlineStr"/>
      <c r="H80" s="81" t="inlineStr"/>
      <c r="I80" s="81" t="inlineStr"/>
      <c r="J80" s="81" t="inlineStr"/>
    </row>
    <row r="81">
      <c r="A81" s="81" t="inlineStr">
        <is>
          <t>tblSafety</t>
        </is>
      </c>
      <c r="B81" s="81" t="inlineStr">
        <is>
          <t>Safety</t>
        </is>
      </c>
      <c r="C81" s="81" t="inlineStr">
        <is>
          <t>Hours_Total</t>
        </is>
      </c>
      <c r="D81" s="81" t="inlineStr">
        <is>
          <t>Hours worked, total</t>
        </is>
      </c>
      <c r="E81" s="81" t="inlineStr">
        <is>
          <t>calculated</t>
        </is>
      </c>
      <c r="F81" s="81" t="inlineStr">
        <is>
          <t>h</t>
        </is>
      </c>
      <c r="G81" s="81" t="inlineStr"/>
      <c r="H81" s="81" t="inlineStr"/>
      <c r="I81" s="81" t="inlineStr"/>
      <c r="J81" s="81" t="inlineStr">
        <is>
          <t>IF(AND({Hours_Employees}="",{Hours_Contractors}=""),"",N({Hours_Employees})+N({Hours_Contractors}))</t>
        </is>
      </c>
    </row>
    <row r="82">
      <c r="A82" s="81" t="inlineStr">
        <is>
          <t>tblSafety</t>
        </is>
      </c>
      <c r="B82" s="81" t="inlineStr">
        <is>
          <t>Safety</t>
        </is>
      </c>
      <c r="C82" s="81" t="inlineStr">
        <is>
          <t>Recordables</t>
        </is>
      </c>
      <c r="D82" s="81" t="inlineStr">
        <is>
          <t>Recordable injuries</t>
        </is>
      </c>
      <c r="E82" s="81" t="inlineStr">
        <is>
          <t>calculated</t>
        </is>
      </c>
      <c r="F82" s="81" t="inlineStr"/>
      <c r="G82" s="81" t="inlineStr"/>
      <c r="H82" s="81" t="inlineStr"/>
      <c r="I82" s="81" t="inlineStr">
        <is>
          <t>Fatalities + LTI + RWI + MTI</t>
        </is>
      </c>
      <c r="J82" s="81" t="inlineStr">
        <is>
          <t>IF(AND({Fatality}="",{LTI}="",{RWI}="",{MTI}=""),"",N({Fatality})+N({LTI})+N({RWI})+N({MTI}))</t>
        </is>
      </c>
    </row>
    <row r="83">
      <c r="A83" s="81" t="inlineStr">
        <is>
          <t>tblSafetyHistory</t>
        </is>
      </c>
      <c r="B83" s="81" t="inlineStr">
        <is>
          <t>Config</t>
        </is>
      </c>
      <c r="C83" s="81" t="inlineStr">
        <is>
          <t>Month</t>
        </is>
      </c>
      <c r="D83" s="81" t="inlineStr">
        <is>
          <t>Month</t>
        </is>
      </c>
      <c r="E83" s="81" t="inlineStr">
        <is>
          <t>date</t>
        </is>
      </c>
      <c r="F83" s="81" t="inlineStr"/>
      <c r="G83" s="81" t="inlineStr">
        <is>
          <t>yes</t>
        </is>
      </c>
      <c r="H83" s="81" t="inlineStr"/>
      <c r="I83" s="81" t="inlineStr">
        <is>
          <t>First day of the month</t>
        </is>
      </c>
      <c r="J83" s="81" t="inlineStr"/>
    </row>
    <row r="84">
      <c r="A84" s="81" t="inlineStr">
        <is>
          <t>tblSafetyHistory</t>
        </is>
      </c>
      <c r="B84" s="81" t="inlineStr">
        <is>
          <t>Config</t>
        </is>
      </c>
      <c r="C84" s="81" t="inlineStr">
        <is>
          <t>Hours_Total</t>
        </is>
      </c>
      <c r="D84" s="81" t="inlineStr">
        <is>
          <t>Hours worked</t>
        </is>
      </c>
      <c r="E84" s="81" t="inlineStr">
        <is>
          <t>number</t>
        </is>
      </c>
      <c r="F84" s="81" t="inlineStr">
        <is>
          <t>h</t>
        </is>
      </c>
      <c r="G84" s="81" t="inlineStr"/>
      <c r="H84" s="81" t="inlineStr">
        <is>
          <t>0 to 2000000</t>
        </is>
      </c>
      <c r="I84" s="81" t="inlineStr"/>
      <c r="J84" s="81" t="inlineStr"/>
    </row>
    <row r="85">
      <c r="A85" s="81" t="inlineStr">
        <is>
          <t>tblSafetyHistory</t>
        </is>
      </c>
      <c r="B85" s="81" t="inlineStr">
        <is>
          <t>Config</t>
        </is>
      </c>
      <c r="C85" s="81" t="inlineStr">
        <is>
          <t>Recordables</t>
        </is>
      </c>
      <c r="D85" s="81" t="inlineStr">
        <is>
          <t>Recordable injuries</t>
        </is>
      </c>
      <c r="E85" s="81" t="inlineStr">
        <is>
          <t>int</t>
        </is>
      </c>
      <c r="F85" s="81" t="inlineStr"/>
      <c r="G85" s="81" t="inlineStr"/>
      <c r="H85" s="81" t="inlineStr">
        <is>
          <t>0 to 100</t>
        </is>
      </c>
      <c r="I85" s="81" t="inlineStr"/>
      <c r="J85" s="81" t="inlineStr"/>
    </row>
    <row r="86">
      <c r="A86" s="81" t="inlineStr">
        <is>
          <t>tblSafetyHistory</t>
        </is>
      </c>
      <c r="B86" s="81" t="inlineStr">
        <is>
          <t>Config</t>
        </is>
      </c>
      <c r="C86" s="81" t="inlineStr">
        <is>
          <t>LTI</t>
        </is>
      </c>
      <c r="D86" s="81" t="inlineStr">
        <is>
          <t>Lost time injuries</t>
        </is>
      </c>
      <c r="E86" s="81" t="inlineStr">
        <is>
          <t>int</t>
        </is>
      </c>
      <c r="F86" s="81" t="inlineStr"/>
      <c r="G86" s="81" t="inlineStr"/>
      <c r="H86" s="81" t="inlineStr">
        <is>
          <t>0 to 100</t>
        </is>
      </c>
      <c r="I86" s="81" t="inlineStr"/>
      <c r="J86" s="81" t="inlineStr"/>
    </row>
    <row r="87">
      <c r="A87" s="81" t="inlineStr">
        <is>
          <t>tblSafetyHistory</t>
        </is>
      </c>
      <c r="B87" s="81" t="inlineStr">
        <is>
          <t>Config</t>
        </is>
      </c>
      <c r="C87" s="81" t="inlineStr">
        <is>
          <t>Use</t>
        </is>
      </c>
      <c r="D87" s="81" t="inlineStr">
        <is>
          <t>Used in rates</t>
        </is>
      </c>
      <c r="E87" s="81" t="inlineStr">
        <is>
          <t>calculated</t>
        </is>
      </c>
      <c r="F87" s="81" t="inlineStr"/>
      <c r="G87" s="81" t="inlineStr"/>
      <c r="H87" s="81" t="inlineStr"/>
      <c r="I87" s="81" t="inlineStr">
        <is>
          <t>1 when the Safety sheet has no hours for the month, so this row supplies it; 0 when daily rows exist</t>
        </is>
      </c>
      <c r="J87" s="81" t="inlineStr">
        <is>
          <t>IF({Month}="","",IF(COUNTIFS(tblSafety[Date],"&gt;="&amp;{Month},tblSafety[Date],"&lt;="&amp;EOMONTH({Month},0),tblSafety[Hours_Total],"&gt;0")=0,1,0))</t>
        </is>
      </c>
    </row>
    <row r="88">
      <c r="A88" s="81" t="inlineStr">
        <is>
          <t>tblGold</t>
        </is>
      </c>
      <c r="B88" s="81" t="inlineStr">
        <is>
          <t>Gold</t>
        </is>
      </c>
      <c r="C88" s="81" t="inlineStr">
        <is>
          <t>Date</t>
        </is>
      </c>
      <c r="D88" s="81" t="inlineStr">
        <is>
          <t>Date</t>
        </is>
      </c>
      <c r="E88" s="81" t="inlineStr">
        <is>
          <t>date</t>
        </is>
      </c>
      <c r="F88" s="81" t="inlineStr"/>
      <c r="G88" s="81" t="inlineStr">
        <is>
          <t>yes</t>
        </is>
      </c>
      <c r="H88" s="81" t="inlineStr"/>
      <c r="I88" s="81" t="inlineStr"/>
      <c r="J88" s="81" t="inlineStr"/>
    </row>
    <row r="89">
      <c r="A89" s="81" t="inlineStr">
        <is>
          <t>tblGold</t>
        </is>
      </c>
      <c r="B89" s="81" t="inlineStr">
        <is>
          <t>Gold</t>
        </is>
      </c>
      <c r="C89" s="81" t="inlineStr">
        <is>
          <t>Type</t>
        </is>
      </c>
      <c r="D89" s="81" t="inlineStr">
        <is>
          <t>Type</t>
        </is>
      </c>
      <c r="E89" s="81" t="inlineStr">
        <is>
          <t>list</t>
        </is>
      </c>
      <c r="F89" s="81" t="inlineStr"/>
      <c r="G89" s="81" t="inlineStr">
        <is>
          <t>yes</t>
        </is>
      </c>
      <c r="H89" s="81" t="inlineStr">
        <is>
          <t>list: Gold_Movement_Type</t>
        </is>
      </c>
      <c r="I89" s="81" t="inlineStr">
        <is>
          <t>Shipment (dore leaves site) or Sale (refinery outturn sold)</t>
        </is>
      </c>
      <c r="J89" s="81" t="inlineStr"/>
    </row>
    <row r="90">
      <c r="A90" s="81" t="inlineStr">
        <is>
          <t>tblGold</t>
        </is>
      </c>
      <c r="B90" s="81" t="inlineStr">
        <is>
          <t>Gold</t>
        </is>
      </c>
      <c r="C90" s="81" t="inlineStr">
        <is>
          <t>Dore_kg</t>
        </is>
      </c>
      <c r="D90" s="81" t="inlineStr">
        <is>
          <t>Dore weight</t>
        </is>
      </c>
      <c r="E90" s="81" t="inlineStr">
        <is>
          <t>number</t>
        </is>
      </c>
      <c r="F90" s="81" t="inlineStr">
        <is>
          <t>kg</t>
        </is>
      </c>
      <c r="G90" s="81" t="inlineStr"/>
      <c r="H90" s="81" t="inlineStr">
        <is>
          <t>0 to 5000</t>
        </is>
      </c>
      <c r="I90" s="81" t="inlineStr"/>
      <c r="J90" s="81" t="inlineStr"/>
    </row>
    <row r="91">
      <c r="A91" s="81" t="inlineStr">
        <is>
          <t>tblGold</t>
        </is>
      </c>
      <c r="B91" s="81" t="inlineStr">
        <is>
          <t>Gold</t>
        </is>
      </c>
      <c r="C91" s="81" t="inlineStr">
        <is>
          <t>Gold_oz</t>
        </is>
      </c>
      <c r="D91" s="81" t="inlineStr">
        <is>
          <t>Gold</t>
        </is>
      </c>
      <c r="E91" s="81" t="inlineStr">
        <is>
          <t>number</t>
        </is>
      </c>
      <c r="F91" s="81" t="inlineStr">
        <is>
          <t>oz</t>
        </is>
      </c>
      <c r="G91" s="81" t="inlineStr">
        <is>
          <t>yes</t>
        </is>
      </c>
      <c r="H91" s="81" t="inlineStr">
        <is>
          <t>0 to 100000</t>
        </is>
      </c>
      <c r="I91" s="81" t="inlineStr"/>
      <c r="J91" s="81" t="inlineStr"/>
    </row>
    <row r="92">
      <c r="A92" s="81" t="inlineStr">
        <is>
          <t>tblGold</t>
        </is>
      </c>
      <c r="B92" s="81" t="inlineStr">
        <is>
          <t>Gold</t>
        </is>
      </c>
      <c r="C92" s="81" t="inlineStr">
        <is>
          <t>Silver_oz</t>
        </is>
      </c>
      <c r="D92" s="81" t="inlineStr">
        <is>
          <t>Silver</t>
        </is>
      </c>
      <c r="E92" s="81" t="inlineStr">
        <is>
          <t>number</t>
        </is>
      </c>
      <c r="F92" s="81" t="inlineStr">
        <is>
          <t>oz</t>
        </is>
      </c>
      <c r="G92" s="81" t="inlineStr"/>
      <c r="H92" s="81" t="inlineStr">
        <is>
          <t>0 to 100000</t>
        </is>
      </c>
      <c r="I92" s="81" t="inlineStr"/>
      <c r="J92" s="81" t="inlineStr"/>
    </row>
    <row r="93">
      <c r="A93" s="81" t="inlineStr">
        <is>
          <t>tblGold</t>
        </is>
      </c>
      <c r="B93" s="81" t="inlineStr">
        <is>
          <t>Gold</t>
        </is>
      </c>
      <c r="C93" s="81" t="inlineStr">
        <is>
          <t>Reference</t>
        </is>
      </c>
      <c r="D93" s="81" t="inlineStr">
        <is>
          <t>Reference</t>
        </is>
      </c>
      <c r="E93" s="81" t="inlineStr">
        <is>
          <t>text</t>
        </is>
      </c>
      <c r="F93" s="81" t="inlineStr"/>
      <c r="G93" s="81" t="inlineStr"/>
      <c r="H93" s="81" t="inlineStr"/>
      <c r="I93" s="81" t="inlineStr">
        <is>
          <t>Shipment or sale reference</t>
        </is>
      </c>
      <c r="J93" s="81" t="inlineStr"/>
    </row>
    <row r="94">
      <c r="A94" s="81" t="inlineStr">
        <is>
          <t>tblGold</t>
        </is>
      </c>
      <c r="B94" s="81" t="inlineStr">
        <is>
          <t>Gold</t>
        </is>
      </c>
      <c r="C94" s="81" t="inlineStr">
        <is>
          <t>Comments</t>
        </is>
      </c>
      <c r="D94" s="81" t="inlineStr">
        <is>
          <t>Comments</t>
        </is>
      </c>
      <c r="E94" s="81" t="inlineStr">
        <is>
          <t>text</t>
        </is>
      </c>
      <c r="F94" s="81" t="inlineStr"/>
      <c r="G94" s="81" t="inlineStr"/>
      <c r="H94" s="81" t="inlineStr"/>
      <c r="I94" s="81" t="inlineStr"/>
      <c r="J94" s="81" t="inlineStr"/>
    </row>
    <row r="95">
      <c r="A95" s="81" t="inlineStr">
        <is>
          <t>tblBudget</t>
        </is>
      </c>
      <c r="B95" s="81" t="inlineStr">
        <is>
          <t>Budget</t>
        </is>
      </c>
      <c r="C95" s="81" t="inlineStr">
        <is>
          <t>Month</t>
        </is>
      </c>
      <c r="D95" s="81" t="inlineStr">
        <is>
          <t>Month</t>
        </is>
      </c>
      <c r="E95" s="81" t="inlineStr">
        <is>
          <t>date</t>
        </is>
      </c>
      <c r="F95" s="81" t="inlineStr"/>
      <c r="G95" s="81" t="inlineStr">
        <is>
          <t>yes</t>
        </is>
      </c>
      <c r="H95" s="81" t="inlineStr"/>
      <c r="I95" s="81" t="inlineStr">
        <is>
          <t>First day of the month</t>
        </is>
      </c>
      <c r="J95" s="81" t="inlineStr"/>
    </row>
    <row r="96">
      <c r="A96" s="81" t="inlineStr">
        <is>
          <t>tblBudget</t>
        </is>
      </c>
      <c r="B96" s="81" t="inlineStr">
        <is>
          <t>Budget</t>
        </is>
      </c>
      <c r="C96" s="81" t="inlineStr">
        <is>
          <t>Ore_Mined_t</t>
        </is>
      </c>
      <c r="D96" s="81" t="inlineStr">
        <is>
          <t>Ore mined</t>
        </is>
      </c>
      <c r="E96" s="81" t="inlineStr">
        <is>
          <t>number</t>
        </is>
      </c>
      <c r="F96" s="81" t="inlineStr">
        <is>
          <t>t</t>
        </is>
      </c>
      <c r="G96" s="81" t="inlineStr"/>
      <c r="H96" s="81" t="inlineStr">
        <is>
          <t>0 to 5000000</t>
        </is>
      </c>
      <c r="I96" s="81" t="inlineStr"/>
      <c r="J96" s="81" t="inlineStr"/>
    </row>
    <row r="97">
      <c r="A97" s="81" t="inlineStr">
        <is>
          <t>tblBudget</t>
        </is>
      </c>
      <c r="B97" s="81" t="inlineStr">
        <is>
          <t>Budget</t>
        </is>
      </c>
      <c r="C97" s="81" t="inlineStr">
        <is>
          <t>Ore_Grade_gpt</t>
        </is>
      </c>
      <c r="D97" s="81" t="inlineStr">
        <is>
          <t>Ore grade mined</t>
        </is>
      </c>
      <c r="E97" s="81" t="inlineStr">
        <is>
          <t>number</t>
        </is>
      </c>
      <c r="F97" s="81" t="inlineStr">
        <is>
          <t>g/t</t>
        </is>
      </c>
      <c r="G97" s="81" t="inlineStr"/>
      <c r="H97" s="81" t="inlineStr">
        <is>
          <t>0 to 50</t>
        </is>
      </c>
      <c r="I97" s="81" t="inlineStr"/>
      <c r="J97" s="81" t="inlineStr"/>
    </row>
    <row r="98">
      <c r="A98" s="81" t="inlineStr">
        <is>
          <t>tblBudget</t>
        </is>
      </c>
      <c r="B98" s="81" t="inlineStr">
        <is>
          <t>Budget</t>
        </is>
      </c>
      <c r="C98" s="81" t="inlineStr">
        <is>
          <t>Waste_t</t>
        </is>
      </c>
      <c r="D98" s="81" t="inlineStr">
        <is>
          <t>Waste mined</t>
        </is>
      </c>
      <c r="E98" s="81" t="inlineStr">
        <is>
          <t>number</t>
        </is>
      </c>
      <c r="F98" s="81" t="inlineStr">
        <is>
          <t>t</t>
        </is>
      </c>
      <c r="G98" s="81" t="inlineStr"/>
      <c r="H98" s="81" t="inlineStr">
        <is>
          <t>0 to 20000000</t>
        </is>
      </c>
      <c r="I98" s="81" t="inlineStr"/>
      <c r="J98" s="81" t="inlineStr"/>
    </row>
    <row r="99">
      <c r="A99" s="81" t="inlineStr">
        <is>
          <t>tblBudget</t>
        </is>
      </c>
      <c r="B99" s="81" t="inlineStr">
        <is>
          <t>Budget</t>
        </is>
      </c>
      <c r="C99" s="81" t="inlineStr">
        <is>
          <t>Milled_t</t>
        </is>
      </c>
      <c r="D99" s="81" t="inlineStr">
        <is>
          <t>Milled</t>
        </is>
      </c>
      <c r="E99" s="81" t="inlineStr">
        <is>
          <t>number</t>
        </is>
      </c>
      <c r="F99" s="81" t="inlineStr">
        <is>
          <t>t</t>
        </is>
      </c>
      <c r="G99" s="81" t="inlineStr"/>
      <c r="H99" s="81" t="inlineStr">
        <is>
          <t>0 to 5000000</t>
        </is>
      </c>
      <c r="I99" s="81" t="inlineStr"/>
      <c r="J99" s="81" t="inlineStr"/>
    </row>
    <row r="100">
      <c r="A100" s="81" t="inlineStr">
        <is>
          <t>tblBudget</t>
        </is>
      </c>
      <c r="B100" s="81" t="inlineStr">
        <is>
          <t>Budget</t>
        </is>
      </c>
      <c r="C100" s="81" t="inlineStr">
        <is>
          <t>Head_Grade_gpt</t>
        </is>
      </c>
      <c r="D100" s="81" t="inlineStr">
        <is>
          <t>Head grade</t>
        </is>
      </c>
      <c r="E100" s="81" t="inlineStr">
        <is>
          <t>number</t>
        </is>
      </c>
      <c r="F100" s="81" t="inlineStr">
        <is>
          <t>g/t</t>
        </is>
      </c>
      <c r="G100" s="81" t="inlineStr"/>
      <c r="H100" s="81" t="inlineStr">
        <is>
          <t>0 to 50</t>
        </is>
      </c>
      <c r="I100" s="81" t="inlineStr"/>
      <c r="J100" s="81" t="inlineStr"/>
    </row>
    <row r="101">
      <c r="A101" s="81" t="inlineStr">
        <is>
          <t>tblBudget</t>
        </is>
      </c>
      <c r="B101" s="81" t="inlineStr">
        <is>
          <t>Budget</t>
        </is>
      </c>
      <c r="C101" s="81" t="inlineStr">
        <is>
          <t>Recovery_pct</t>
        </is>
      </c>
      <c r="D101" s="81" t="inlineStr">
        <is>
          <t>Recovery</t>
        </is>
      </c>
      <c r="E101" s="81" t="inlineStr">
        <is>
          <t>pct</t>
        </is>
      </c>
      <c r="F101" s="81" t="inlineStr">
        <is>
          <t>%</t>
        </is>
      </c>
      <c r="G101" s="81" t="inlineStr"/>
      <c r="H101" s="81" t="inlineStr">
        <is>
          <t>0 to 1</t>
        </is>
      </c>
      <c r="I101" s="81" t="inlineStr"/>
      <c r="J101" s="81" t="inlineStr"/>
    </row>
    <row r="102">
      <c r="A102" s="81" t="inlineStr">
        <is>
          <t>tblBudget</t>
        </is>
      </c>
      <c r="B102" s="81" t="inlineStr">
        <is>
          <t>Budget</t>
        </is>
      </c>
      <c r="C102" s="81" t="inlineStr">
        <is>
          <t>Gold_Poured_oz</t>
        </is>
      </c>
      <c r="D102" s="81" t="inlineStr">
        <is>
          <t>Gold poured</t>
        </is>
      </c>
      <c r="E102" s="81" t="inlineStr">
        <is>
          <t>number</t>
        </is>
      </c>
      <c r="F102" s="81" t="inlineStr">
        <is>
          <t>oz</t>
        </is>
      </c>
      <c r="G102" s="81" t="inlineStr"/>
      <c r="H102" s="81" t="inlineStr">
        <is>
          <t>0 to 500000</t>
        </is>
      </c>
      <c r="I102" s="81" t="inlineStr"/>
      <c r="J102" s="81" t="inlineStr"/>
    </row>
    <row r="103">
      <c r="A103" s="81" t="inlineStr">
        <is>
          <t>tblBudget</t>
        </is>
      </c>
      <c r="B103" s="81" t="inlineStr">
        <is>
          <t>Budget</t>
        </is>
      </c>
      <c r="C103" s="81" t="inlineStr">
        <is>
          <t>Hours_Worked</t>
        </is>
      </c>
      <c r="D103" s="81" t="inlineStr">
        <is>
          <t>Hours worked</t>
        </is>
      </c>
      <c r="E103" s="81" t="inlineStr">
        <is>
          <t>number</t>
        </is>
      </c>
      <c r="F103" s="81" t="inlineStr">
        <is>
          <t>h</t>
        </is>
      </c>
      <c r="G103" s="81" t="inlineStr"/>
      <c r="H103" s="81" t="inlineStr">
        <is>
          <t>0 to 2000000</t>
        </is>
      </c>
      <c r="I103" s="81" t="inlineStr"/>
      <c r="J103" s="81" t="inlineStr"/>
    </row>
    <row r="104">
      <c r="A104" s="81" t="inlineStr">
        <is>
          <t>tblBudget</t>
        </is>
      </c>
      <c r="B104" s="81" t="inlineStr">
        <is>
          <t>Budget</t>
        </is>
      </c>
      <c r="C104" s="81" t="inlineStr">
        <is>
          <t>Drill_m</t>
        </is>
      </c>
      <c r="D104" s="81" t="inlineStr">
        <is>
          <t>Drilled</t>
        </is>
      </c>
      <c r="E104" s="81" t="inlineStr">
        <is>
          <t>number</t>
        </is>
      </c>
      <c r="F104" s="81" t="inlineStr">
        <is>
          <t>m</t>
        </is>
      </c>
      <c r="G104" s="81" t="inlineStr"/>
      <c r="H104" s="81" t="inlineStr">
        <is>
          <t>0 to 500000</t>
        </is>
      </c>
      <c r="I104" s="81" t="inlineStr"/>
      <c r="J104" s="81" t="inlineStr"/>
    </row>
    <row r="105">
      <c r="A105" s="81" t="inlineStr">
        <is>
          <t>tblBudget</t>
        </is>
      </c>
      <c r="B105" s="81" t="inlineStr">
        <is>
          <t>Budget</t>
        </is>
      </c>
      <c r="C105" s="81" t="inlineStr">
        <is>
          <t>Diesel_L</t>
        </is>
      </c>
      <c r="D105" s="81" t="inlineStr">
        <is>
          <t>Mining diesel</t>
        </is>
      </c>
      <c r="E105" s="81" t="inlineStr">
        <is>
          <t>number</t>
        </is>
      </c>
      <c r="F105" s="81" t="inlineStr">
        <is>
          <t>L</t>
        </is>
      </c>
      <c r="G105" s="81" t="inlineStr"/>
      <c r="H105" s="81" t="inlineStr">
        <is>
          <t>0 to 10000000</t>
        </is>
      </c>
      <c r="I105" s="81" t="inlineStr"/>
      <c r="J105" s="81" t="inlineStr"/>
    </row>
    <row r="106">
      <c r="A106" s="81" t="inlineStr">
        <is>
          <t>tblBudget</t>
        </is>
      </c>
      <c r="B106" s="81" t="inlineStr">
        <is>
          <t>Budget</t>
        </is>
      </c>
      <c r="C106" s="81" t="inlineStr">
        <is>
          <t>Days</t>
        </is>
      </c>
      <c r="D106" s="81" t="inlineStr">
        <is>
          <t>Days in month</t>
        </is>
      </c>
      <c r="E106" s="81" t="inlineStr">
        <is>
          <t>calculated</t>
        </is>
      </c>
      <c r="F106" s="81" t="inlineStr"/>
      <c r="G106" s="81" t="inlineStr"/>
      <c r="H106" s="81" t="inlineStr"/>
      <c r="I106" s="81" t="inlineStr"/>
      <c r="J106" s="81" t="inlineStr">
        <is>
          <t>DAY(EOMONTH({Month},0))</t>
        </is>
      </c>
    </row>
    <row r="107">
      <c r="A107" s="81" t="inlineStr">
        <is>
          <t>tblBudget</t>
        </is>
      </c>
      <c r="B107" s="81" t="inlineStr">
        <is>
          <t>Budget</t>
        </is>
      </c>
      <c r="C107" s="81" t="inlineStr">
        <is>
          <t>Ore_oz</t>
        </is>
      </c>
      <c r="D107" s="81" t="inlineStr">
        <is>
          <t>Ore gold mined</t>
        </is>
      </c>
      <c r="E107" s="81" t="inlineStr">
        <is>
          <t>calculated</t>
        </is>
      </c>
      <c r="F107" s="81" t="inlineStr">
        <is>
          <t>oz</t>
        </is>
      </c>
      <c r="G107" s="81" t="inlineStr"/>
      <c r="H107" s="81" t="inlineStr"/>
      <c r="I107" s="81" t="inlineStr"/>
      <c r="J107" s="81" t="inlineStr">
        <is>
          <t>N({Ore_Mined_t})*N({Ore_Grade_gpt})/{TROY}</t>
        </is>
      </c>
    </row>
    <row r="108">
      <c r="A108" s="81" t="inlineStr">
        <is>
          <t>tblBudget</t>
        </is>
      </c>
      <c r="B108" s="81" t="inlineStr">
        <is>
          <t>Budget</t>
        </is>
      </c>
      <c r="C108" s="81" t="inlineStr">
        <is>
          <t>TMM_t</t>
        </is>
      </c>
      <c r="D108" s="81" t="inlineStr">
        <is>
          <t>Total material moved</t>
        </is>
      </c>
      <c r="E108" s="81" t="inlineStr">
        <is>
          <t>calculated</t>
        </is>
      </c>
      <c r="F108" s="81" t="inlineStr">
        <is>
          <t>t</t>
        </is>
      </c>
      <c r="G108" s="81" t="inlineStr"/>
      <c r="H108" s="81" t="inlineStr"/>
      <c r="I108" s="81" t="inlineStr"/>
      <c r="J108" s="81" t="inlineStr">
        <is>
          <t>N({Ore_Mined_t})+N({Waste_t})</t>
        </is>
      </c>
    </row>
    <row r="109">
      <c r="A109" s="81" t="inlineStr">
        <is>
          <t>tblBudget</t>
        </is>
      </c>
      <c r="B109" s="81" t="inlineStr">
        <is>
          <t>Budget</t>
        </is>
      </c>
      <c r="C109" s="81" t="inlineStr">
        <is>
          <t>Feed_oz</t>
        </is>
      </c>
      <c r="D109" s="81" t="inlineStr">
        <is>
          <t>Contained gold in feed</t>
        </is>
      </c>
      <c r="E109" s="81" t="inlineStr">
        <is>
          <t>calculated</t>
        </is>
      </c>
      <c r="F109" s="81" t="inlineStr">
        <is>
          <t>oz</t>
        </is>
      </c>
      <c r="G109" s="81" t="inlineStr"/>
      <c r="H109" s="81" t="inlineStr"/>
      <c r="I109" s="81" t="inlineStr"/>
      <c r="J109" s="81" t="inlineStr">
        <is>
          <t>N({Milled_t})*N({Head_Grade_gpt})/{TROY}</t>
        </is>
      </c>
    </row>
    <row r="110">
      <c r="A110" s="81" t="inlineStr">
        <is>
          <t>tblBudget</t>
        </is>
      </c>
      <c r="B110" s="81" t="inlineStr">
        <is>
          <t>Budget</t>
        </is>
      </c>
      <c r="C110" s="81" t="inlineStr">
        <is>
          <t>Recovered_oz</t>
        </is>
      </c>
      <c r="D110" s="81" t="inlineStr">
        <is>
          <t>Gold recovered</t>
        </is>
      </c>
      <c r="E110" s="81" t="inlineStr">
        <is>
          <t>calculated</t>
        </is>
      </c>
      <c r="F110" s="81" t="inlineStr">
        <is>
          <t>oz</t>
        </is>
      </c>
      <c r="G110" s="81" t="inlineStr"/>
      <c r="H110" s="81" t="inlineStr"/>
      <c r="I110" s="81" t="inlineStr"/>
      <c r="J110" s="81" t="inlineStr">
        <is>
          <t>{Feed_oz}*N({Recovery_pct})</t>
        </is>
      </c>
    </row>
    <row r="111">
      <c r="A111" s="81" t="inlineStr">
        <is>
          <t>tblCommentary</t>
        </is>
      </c>
      <c r="B111" s="81" t="inlineStr">
        <is>
          <t>Commentary</t>
        </is>
      </c>
      <c r="C111" s="81" t="inlineStr">
        <is>
          <t>Date</t>
        </is>
      </c>
      <c r="D111" s="81" t="inlineStr">
        <is>
          <t>Date</t>
        </is>
      </c>
      <c r="E111" s="81" t="inlineStr">
        <is>
          <t>date</t>
        </is>
      </c>
      <c r="F111" s="81" t="inlineStr"/>
      <c r="G111" s="81" t="inlineStr">
        <is>
          <t>yes</t>
        </is>
      </c>
      <c r="H111" s="81" t="inlineStr"/>
      <c r="I111" s="81" t="inlineStr"/>
      <c r="J111" s="81" t="inlineStr"/>
    </row>
    <row r="112">
      <c r="A112" s="81" t="inlineStr">
        <is>
          <t>tblCommentary</t>
        </is>
      </c>
      <c r="B112" s="81" t="inlineStr">
        <is>
          <t>Commentary</t>
        </is>
      </c>
      <c r="C112" s="81" t="inlineStr">
        <is>
          <t>Area</t>
        </is>
      </c>
      <c r="D112" s="81" t="inlineStr">
        <is>
          <t>Area</t>
        </is>
      </c>
      <c r="E112" s="81" t="inlineStr">
        <is>
          <t>list</t>
        </is>
      </c>
      <c r="F112" s="81" t="inlineStr"/>
      <c r="G112" s="81" t="inlineStr">
        <is>
          <t>yes</t>
        </is>
      </c>
      <c r="H112" s="81" t="inlineStr">
        <is>
          <t>list: Area</t>
        </is>
      </c>
      <c r="I112" s="81" t="inlineStr"/>
      <c r="J112" s="81" t="inlineStr"/>
    </row>
    <row r="113">
      <c r="A113" s="81" t="inlineStr">
        <is>
          <t>tblCommentary</t>
        </is>
      </c>
      <c r="B113" s="81" t="inlineStr">
        <is>
          <t>Commentary</t>
        </is>
      </c>
      <c r="C113" s="81" t="inlineStr">
        <is>
          <t>Comment</t>
        </is>
      </c>
      <c r="D113" s="81" t="inlineStr">
        <is>
          <t>Comment</t>
        </is>
      </c>
      <c r="E113" s="81" t="inlineStr">
        <is>
          <t>text</t>
        </is>
      </c>
      <c r="F113" s="81" t="inlineStr"/>
      <c r="G113" s="81" t="inlineStr">
        <is>
          <t>yes</t>
        </is>
      </c>
      <c r="H113" s="81" t="inlineStr"/>
      <c r="I113" s="81" t="inlineStr">
        <is>
          <t>One or two sentences; appears on the daily report</t>
        </is>
      </c>
      <c r="J113" s="81" t="inlineStr"/>
    </row>
    <row r="114">
      <c r="A114" s="81" t="inlineStr">
        <is>
          <t>tblCommentary</t>
        </is>
      </c>
      <c r="B114" s="81" t="inlineStr">
        <is>
          <t>Commentary</t>
        </is>
      </c>
      <c r="C114" s="81" t="inlineStr">
        <is>
          <t>Author</t>
        </is>
      </c>
      <c r="D114" s="81" t="inlineStr">
        <is>
          <t>Author</t>
        </is>
      </c>
      <c r="E114" s="81" t="inlineStr">
        <is>
          <t>text</t>
        </is>
      </c>
      <c r="F114" s="81" t="inlineStr"/>
      <c r="G114" s="81" t="inlineStr"/>
      <c r="H114" s="81" t="inlineStr"/>
      <c r="I114" s="81" t="inlineStr"/>
      <c r="J114" s="81" t="inlineStr"/>
    </row>
    <row r="115">
      <c r="A115" s="81" t="inlineStr">
        <is>
          <t>tblCommentary</t>
        </is>
      </c>
      <c r="B115" s="81" t="inlineStr">
        <is>
          <t>Commentary</t>
        </is>
      </c>
      <c r="C115" s="81" t="inlineStr">
        <is>
          <t>Seq_Day</t>
        </is>
      </c>
      <c r="D115" s="81" t="inlineStr">
        <is>
          <t>Sequence in day</t>
        </is>
      </c>
      <c r="E115" s="81" t="inlineStr">
        <is>
          <t>calculated</t>
        </is>
      </c>
      <c r="F115" s="81" t="inlineStr"/>
      <c r="G115" s="81" t="inlineStr"/>
      <c r="H115" s="81" t="inlineStr"/>
      <c r="I115" s="81" t="inlineStr">
        <is>
          <t>Running number of comments for the same day (report helper)</t>
        </is>
      </c>
      <c r="J115" s="81" t="inlineStr">
        <is>
          <t>IF({Date}="","",COUNTIFS(INDEX(tblCommentary[Date],1):{Date},{Date}))</t>
        </is>
      </c>
    </row>
    <row r="116">
      <c r="A116" s="81" t="inlineStr">
        <is>
          <t>tblCommentary</t>
        </is>
      </c>
      <c r="B116" s="81" t="inlineStr">
        <is>
          <t>Commentary</t>
        </is>
      </c>
      <c r="C116" s="81" t="inlineStr">
        <is>
          <t>Key_Day</t>
        </is>
      </c>
      <c r="D116" s="81" t="inlineStr">
        <is>
          <t>Day key</t>
        </is>
      </c>
      <c r="E116" s="81" t="inlineStr">
        <is>
          <t>calculated</t>
        </is>
      </c>
      <c r="F116" s="81" t="inlineStr"/>
      <c r="G116" s="81" t="inlineStr"/>
      <c r="H116" s="81" t="inlineStr"/>
      <c r="I116" s="81" t="inlineStr">
        <is>
          <t>Report lookup key</t>
        </is>
      </c>
      <c r="J116" s="81" t="inlineStr">
        <is>
          <t>IF({Date}="","",{Date}&amp;"|"&amp;{Seq_Day})</t>
        </is>
      </c>
    </row>
    <row r="118">
      <c r="A118" s="68" t="inlineStr">
        <is>
          <t>KPI catalogue (Calc_Daily)</t>
        </is>
      </c>
    </row>
    <row r="119">
      <c r="A119" s="29" t="inlineStr">
        <is>
          <t>Key</t>
        </is>
      </c>
      <c r="B119" s="29" t="inlineStr">
        <is>
          <t>Label</t>
        </is>
      </c>
      <c r="C119" s="29" t="inlineStr">
        <is>
          <t>Unit</t>
        </is>
      </c>
      <c r="D119" s="29" t="inlineStr">
        <is>
          <t>Kind</t>
        </is>
      </c>
      <c r="E119" s="29" t="inlineStr">
        <is>
          <t>Budget column</t>
        </is>
      </c>
      <c r="F119" s="29" t="inlineStr">
        <is>
          <t>Day formula / definition</t>
        </is>
      </c>
    </row>
    <row r="120">
      <c r="A120" s="81" t="inlineStr">
        <is>
          <t>Ore_Mined_t</t>
        </is>
      </c>
      <c r="B120" s="81" t="inlineStr">
        <is>
          <t>Ore mined (ex-pit)</t>
        </is>
      </c>
      <c r="C120" s="81" t="inlineStr">
        <is>
          <t>t</t>
        </is>
      </c>
      <c r="D120" s="81" t="inlineStr">
        <is>
          <t>sum</t>
        </is>
      </c>
      <c r="E120" s="81" t="inlineStr">
        <is>
          <t>Ore_Mined_t</t>
        </is>
      </c>
      <c r="F120" s="81" t="inlineStr">
        <is>
          <t>SUMIFS(tblMovement[Tonnes_t],tblMovement[Date],{d},tblMovement[Is_Ore],1,tblMovement[Source_Type],"Pit")</t>
        </is>
      </c>
    </row>
    <row r="121">
      <c r="A121" s="81" t="inlineStr">
        <is>
          <t>Ore_Mined_oz</t>
        </is>
      </c>
      <c r="B121" s="81" t="inlineStr">
        <is>
          <t>Contained gold mined</t>
        </is>
      </c>
      <c r="C121" s="81" t="inlineStr">
        <is>
          <t>oz</t>
        </is>
      </c>
      <c r="D121" s="81" t="inlineStr">
        <is>
          <t>sum</t>
        </is>
      </c>
      <c r="E121" s="81" t="inlineStr">
        <is>
          <t>Ore_oz</t>
        </is>
      </c>
      <c r="F121" s="81" t="inlineStr">
        <is>
          <t>SUMIFS(tblMovement[Ore_oz],tblMovement[Date],{d},tblMovement[Source_Type],"Pit")</t>
        </is>
      </c>
    </row>
    <row r="122">
      <c r="A122" s="81" t="inlineStr">
        <is>
          <t>Ore_Graded_t</t>
        </is>
      </c>
      <c r="B122" s="81" t="inlineStr">
        <is>
          <t>Ore mined with a grade (grade basis)</t>
        </is>
      </c>
      <c r="C122" s="81" t="inlineStr">
        <is>
          <t>t</t>
        </is>
      </c>
      <c r="D122" s="81" t="inlineStr">
        <is>
          <t>sum</t>
        </is>
      </c>
      <c r="E122" s="81" t="inlineStr">
        <is>
          <t>Ore_Mined_t</t>
        </is>
      </c>
      <c r="F122" s="81" t="inlineStr">
        <is>
          <t>SUMIFS(tblMovement[Tonnes_t],tblMovement[Date],{d},tblMovement[Is_Ore],1,tblMovement[Source_Type],"Pit",tblMovement[Grade_gpt],"&lt;&gt;")</t>
        </is>
      </c>
    </row>
    <row r="123">
      <c r="A123" s="81" t="inlineStr">
        <is>
          <t>Ore_Grade_gpt</t>
        </is>
      </c>
      <c r="B123" s="81" t="inlineStr">
        <is>
          <t>Ore grade mined</t>
        </is>
      </c>
      <c r="C123" s="81" t="inlineStr">
        <is>
          <t>g/t</t>
        </is>
      </c>
      <c r="D123" s="81" t="inlineStr">
        <is>
          <t>ratio</t>
        </is>
      </c>
      <c r="E123" s="81" t="inlineStr">
        <is>
          <t>derived</t>
        </is>
      </c>
      <c r="F123" s="81" t="inlineStr">
        <is>
          <t>({Ore_Mined_oz}*cfg_TroyOz) / ({Ore_Graded_t})</t>
        </is>
      </c>
    </row>
    <row r="124">
      <c r="A124" s="81" t="inlineStr">
        <is>
          <t>Ore_Ungraded_t</t>
        </is>
      </c>
      <c r="B124" s="81" t="inlineStr">
        <is>
          <t>Ore mined without a grade (check)</t>
        </is>
      </c>
      <c r="C124" s="81" t="inlineStr">
        <is>
          <t>t</t>
        </is>
      </c>
      <c r="D124" s="81" t="inlineStr">
        <is>
          <t>sum</t>
        </is>
      </c>
      <c r="E124" s="81" t="inlineStr"/>
      <c r="F124" s="81" t="inlineStr">
        <is>
          <t>{Ore_Mined_t}-{Ore_Graded_t}</t>
        </is>
      </c>
    </row>
    <row r="125">
      <c r="A125" s="81" t="inlineStr">
        <is>
          <t>Waste_t</t>
        </is>
      </c>
      <c r="B125" s="81" t="inlineStr">
        <is>
          <t>Waste mined</t>
        </is>
      </c>
      <c r="C125" s="81" t="inlineStr">
        <is>
          <t>t</t>
        </is>
      </c>
      <c r="D125" s="81" t="inlineStr">
        <is>
          <t>sum</t>
        </is>
      </c>
      <c r="E125" s="81" t="inlineStr">
        <is>
          <t>Waste_t</t>
        </is>
      </c>
      <c r="F125" s="81" t="inlineStr">
        <is>
          <t>SUMIFS(tblMovement[Tonnes_t],tblMovement[Date],{d},tblMovement[Is_Ore],0,tblMovement[Source_Type],"Pit")</t>
        </is>
      </c>
    </row>
    <row r="126">
      <c r="A126" s="81" t="inlineStr">
        <is>
          <t>TMM_t</t>
        </is>
      </c>
      <c r="B126" s="81" t="inlineStr">
        <is>
          <t>Total material moved</t>
        </is>
      </c>
      <c r="C126" s="81" t="inlineStr">
        <is>
          <t>t</t>
        </is>
      </c>
      <c r="D126" s="81" t="inlineStr">
        <is>
          <t>sum</t>
        </is>
      </c>
      <c r="E126" s="81" t="inlineStr">
        <is>
          <t>TMM_t</t>
        </is>
      </c>
      <c r="F126" s="81" t="inlineStr">
        <is>
          <t>{Ore_Mined_t}+{Waste_t}</t>
        </is>
      </c>
    </row>
    <row r="127">
      <c r="A127" s="81" t="inlineStr">
        <is>
          <t>Strip_Ratio</t>
        </is>
      </c>
      <c r="B127" s="81" t="inlineStr">
        <is>
          <t>Strip ratio (waste : ore)</t>
        </is>
      </c>
      <c r="C127" s="81" t="inlineStr">
        <is>
          <t>ratio</t>
        </is>
      </c>
      <c r="D127" s="81" t="inlineStr">
        <is>
          <t>ratio</t>
        </is>
      </c>
      <c r="E127" s="81" t="inlineStr">
        <is>
          <t>derived</t>
        </is>
      </c>
      <c r="F127" s="81" t="inlineStr">
        <is>
          <t>({Waste_t}) / ({Ore_Mined_t})</t>
        </is>
      </c>
    </row>
    <row r="128">
      <c r="A128" s="81" t="inlineStr">
        <is>
          <t>Rehandle_t</t>
        </is>
      </c>
      <c r="B128" s="81" t="inlineStr">
        <is>
          <t>Rehandle from stockpiles</t>
        </is>
      </c>
      <c r="C128" s="81" t="inlineStr">
        <is>
          <t>t</t>
        </is>
      </c>
      <c r="D128" s="81" t="inlineStr">
        <is>
          <t>sum</t>
        </is>
      </c>
      <c r="E128" s="81" t="inlineStr"/>
      <c r="F128" s="81" t="inlineStr">
        <is>
          <t>SUMIFS(tblMovement[Tonnes_t],tblMovement[Date],{d},tblMovement[Source_Type],"Stockpile")</t>
        </is>
      </c>
    </row>
    <row r="129">
      <c r="A129" s="81" t="inlineStr">
        <is>
          <t>Moved_Total_t</t>
        </is>
      </c>
      <c r="B129" s="81" t="inlineStr">
        <is>
          <t>Total tonnes moved (all movement rows)</t>
        </is>
      </c>
      <c r="C129" s="81" t="inlineStr">
        <is>
          <t>t</t>
        </is>
      </c>
      <c r="D129" s="81" t="inlineStr">
        <is>
          <t>sum</t>
        </is>
      </c>
      <c r="E129" s="81" t="inlineStr"/>
      <c r="F129" s="81" t="inlineStr">
        <is>
          <t>SUMIFS(tblMovement[Tonnes_t],tblMovement[Date],{d})</t>
        </is>
      </c>
    </row>
    <row r="130">
      <c r="A130" s="81" t="inlineStr">
        <is>
          <t>Unclassified_t</t>
        </is>
      </c>
      <c r="B130" s="81" t="inlineStr">
        <is>
          <t>Movements with unknown source type (check)</t>
        </is>
      </c>
      <c r="C130" s="81" t="inlineStr">
        <is>
          <t>t</t>
        </is>
      </c>
      <c r="D130" s="81" t="inlineStr">
        <is>
          <t>sum</t>
        </is>
      </c>
      <c r="E130" s="81" t="inlineStr"/>
      <c r="F130" s="81" t="inlineStr">
        <is>
          <t>{Moved_Total_t}-{TMM_t}-{Rehandle_t}</t>
        </is>
      </c>
    </row>
    <row r="131">
      <c r="A131" s="81" t="inlineStr">
        <is>
          <t>Drill_m</t>
        </is>
      </c>
      <c r="B131" s="81" t="inlineStr">
        <is>
          <t>Drilled</t>
        </is>
      </c>
      <c r="C131" s="81" t="inlineStr">
        <is>
          <t>m</t>
        </is>
      </c>
      <c r="D131" s="81" t="inlineStr">
        <is>
          <t>sum</t>
        </is>
      </c>
      <c r="E131" s="81" t="inlineStr">
        <is>
          <t>Drill_m</t>
        </is>
      </c>
      <c r="F131" s="81" t="inlineStr">
        <is>
          <t>SUMIFS(tblMiningDaily[Drill_m],tblMiningDaily[Date],{d})</t>
        </is>
      </c>
    </row>
    <row r="132">
      <c r="A132" s="81" t="inlineStr">
        <is>
          <t>GC_Drill_m</t>
        </is>
      </c>
      <c r="B132" s="81" t="inlineStr">
        <is>
          <t>Grade control drilled</t>
        </is>
      </c>
      <c r="C132" s="81" t="inlineStr">
        <is>
          <t>m</t>
        </is>
      </c>
      <c r="D132" s="81" t="inlineStr">
        <is>
          <t>sum</t>
        </is>
      </c>
      <c r="E132" s="81" t="inlineStr"/>
      <c r="F132" s="81" t="inlineStr">
        <is>
          <t>SUMIFS(tblMiningDaily[GC_Drill_m],tblMiningDaily[Date],{d})</t>
        </is>
      </c>
    </row>
    <row r="133">
      <c r="A133" s="81" t="inlineStr">
        <is>
          <t>Blast_t</t>
        </is>
      </c>
      <c r="B133" s="81" t="inlineStr">
        <is>
          <t>Blasted</t>
        </is>
      </c>
      <c r="C133" s="81" t="inlineStr">
        <is>
          <t>t</t>
        </is>
      </c>
      <c r="D133" s="81" t="inlineStr">
        <is>
          <t>sum</t>
        </is>
      </c>
      <c r="E133" s="81" t="inlineStr"/>
      <c r="F133" s="81" t="inlineStr">
        <is>
          <t>SUMIFS(tblMiningDaily[Blast_t],tblMiningDaily[Date],{d})</t>
        </is>
      </c>
    </row>
    <row r="134">
      <c r="A134" s="81" t="inlineStr">
        <is>
          <t>Explosives_kg</t>
        </is>
      </c>
      <c r="B134" s="81" t="inlineStr">
        <is>
          <t>Explosives</t>
        </is>
      </c>
      <c r="C134" s="81" t="inlineStr">
        <is>
          <t>kg</t>
        </is>
      </c>
      <c r="D134" s="81" t="inlineStr">
        <is>
          <t>sum</t>
        </is>
      </c>
      <c r="E134" s="81" t="inlineStr"/>
      <c r="F134" s="81" t="inlineStr">
        <is>
          <t>SUMIFS(tblMiningDaily[Explosives_kg],tblMiningDaily[Date],{d})</t>
        </is>
      </c>
    </row>
    <row r="135">
      <c r="A135" s="81" t="inlineStr">
        <is>
          <t>Powder_Factor_kgpt</t>
        </is>
      </c>
      <c r="B135" s="81" t="inlineStr">
        <is>
          <t>Powder factor</t>
        </is>
      </c>
      <c r="C135" s="81" t="inlineStr">
        <is>
          <t>kg/t</t>
        </is>
      </c>
      <c r="D135" s="81" t="inlineStr">
        <is>
          <t>ratio</t>
        </is>
      </c>
      <c r="E135" s="81" t="inlineStr"/>
      <c r="F135" s="81" t="inlineStr">
        <is>
          <t>({Explosives_kg}) / ({Blast_t})</t>
        </is>
      </c>
    </row>
    <row r="136">
      <c r="A136" s="81" t="inlineStr">
        <is>
          <t>Diesel_Mining_L</t>
        </is>
      </c>
      <c r="B136" s="81" t="inlineStr">
        <is>
          <t>Mining diesel</t>
        </is>
      </c>
      <c r="C136" s="81" t="inlineStr">
        <is>
          <t>L</t>
        </is>
      </c>
      <c r="D136" s="81" t="inlineStr">
        <is>
          <t>sum</t>
        </is>
      </c>
      <c r="E136" s="81" t="inlineStr">
        <is>
          <t>Diesel_L</t>
        </is>
      </c>
      <c r="F136" s="81" t="inlineStr">
        <is>
          <t>SUMIFS(tblMiningDaily[Diesel_L],tblMiningDaily[Date],{d})</t>
        </is>
      </c>
    </row>
    <row r="137">
      <c r="A137" s="81" t="inlineStr">
        <is>
          <t>Dewatering_m3</t>
        </is>
      </c>
      <c r="B137" s="81" t="inlineStr">
        <is>
          <t>Pit dewatering</t>
        </is>
      </c>
      <c r="C137" s="81" t="inlineStr">
        <is>
          <t>m3</t>
        </is>
      </c>
      <c r="D137" s="81" t="inlineStr">
        <is>
          <t>sum</t>
        </is>
      </c>
      <c r="E137" s="81" t="inlineStr"/>
      <c r="F137" s="81" t="inlineStr">
        <is>
          <t>SUMIFS(tblMiningDaily[Dewatering_m3],tblMiningDaily[Date],{d})</t>
        </is>
      </c>
    </row>
    <row r="138">
      <c r="A138" s="81" t="inlineStr">
        <is>
          <t>Exc_Calendar_h</t>
        </is>
      </c>
      <c r="B138" s="81" t="inlineStr">
        <is>
          <t>Excavator calendar hours</t>
        </is>
      </c>
      <c r="C138" s="81" t="inlineStr">
        <is>
          <t>h</t>
        </is>
      </c>
      <c r="D138" s="81" t="inlineStr">
        <is>
          <t>sum</t>
        </is>
      </c>
      <c r="E138" s="81" t="inlineStr"/>
      <c r="F138" s="81" t="inlineStr">
        <is>
          <t>SUMIFS(tblFleet[Calendar_h],tblFleet[Date],{d},tblFleet[Equipment_Class],"Excavator")</t>
        </is>
      </c>
    </row>
    <row r="139">
      <c r="A139" s="81" t="inlineStr">
        <is>
          <t>Exc_Available_h</t>
        </is>
      </c>
      <c r="B139" s="81" t="inlineStr">
        <is>
          <t>Excavator available hours</t>
        </is>
      </c>
      <c r="C139" s="81" t="inlineStr">
        <is>
          <t>h</t>
        </is>
      </c>
      <c r="D139" s="81" t="inlineStr">
        <is>
          <t>sum</t>
        </is>
      </c>
      <c r="E139" s="81" t="inlineStr"/>
      <c r="F139" s="81" t="inlineStr">
        <is>
          <t>SUMIFS(tblFleet[Available_h],tblFleet[Date],{d},tblFleet[Equipment_Class],"Excavator")</t>
        </is>
      </c>
    </row>
    <row r="140">
      <c r="A140" s="81" t="inlineStr">
        <is>
          <t>Exc_Operating_h</t>
        </is>
      </c>
      <c r="B140" s="81" t="inlineStr">
        <is>
          <t>Excavator operating hours</t>
        </is>
      </c>
      <c r="C140" s="81" t="inlineStr">
        <is>
          <t>h</t>
        </is>
      </c>
      <c r="D140" s="81" t="inlineStr">
        <is>
          <t>sum</t>
        </is>
      </c>
      <c r="E140" s="81" t="inlineStr"/>
      <c r="F140" s="81" t="inlineStr">
        <is>
          <t>SUMIFS(tblFleet[Operating_h],tblFleet[Date],{d},tblFleet[Equipment_Class],"Excavator")</t>
        </is>
      </c>
    </row>
    <row r="141">
      <c r="A141" s="81" t="inlineStr">
        <is>
          <t>Exc_Availability_pct</t>
        </is>
      </c>
      <c r="B141" s="81" t="inlineStr">
        <is>
          <t>Excavator availability</t>
        </is>
      </c>
      <c r="C141" s="81" t="inlineStr">
        <is>
          <t>%</t>
        </is>
      </c>
      <c r="D141" s="81" t="inlineStr">
        <is>
          <t>ratio</t>
        </is>
      </c>
      <c r="E141" s="81" t="inlineStr"/>
      <c r="F141" s="81" t="inlineStr">
        <is>
          <t>({Exc_Available_h}) / ({Exc_Calendar_h})</t>
        </is>
      </c>
    </row>
    <row r="142">
      <c r="A142" s="81" t="inlineStr">
        <is>
          <t>Exc_Utilisation_pct</t>
        </is>
      </c>
      <c r="B142" s="81" t="inlineStr">
        <is>
          <t>Excavator utilisation</t>
        </is>
      </c>
      <c r="C142" s="81" t="inlineStr">
        <is>
          <t>%</t>
        </is>
      </c>
      <c r="D142" s="81" t="inlineStr">
        <is>
          <t>ratio</t>
        </is>
      </c>
      <c r="E142" s="81" t="inlineStr"/>
      <c r="F142" s="81" t="inlineStr">
        <is>
          <t>({Exc_Operating_h}) / ({Exc_Available_h})</t>
        </is>
      </c>
    </row>
    <row r="143">
      <c r="A143" s="81" t="inlineStr">
        <is>
          <t>Trk_Calendar_h</t>
        </is>
      </c>
      <c r="B143" s="81" t="inlineStr">
        <is>
          <t>Truck calendar hours</t>
        </is>
      </c>
      <c r="C143" s="81" t="inlineStr">
        <is>
          <t>h</t>
        </is>
      </c>
      <c r="D143" s="81" t="inlineStr">
        <is>
          <t>sum</t>
        </is>
      </c>
      <c r="E143" s="81" t="inlineStr"/>
      <c r="F143" s="81" t="inlineStr">
        <is>
          <t>SUMIFS(tblFleet[Calendar_h],tblFleet[Date],{d},tblFleet[Equipment_Class],"Haul Truck")</t>
        </is>
      </c>
    </row>
    <row r="144">
      <c r="A144" s="81" t="inlineStr">
        <is>
          <t>Trk_Available_h</t>
        </is>
      </c>
      <c r="B144" s="81" t="inlineStr">
        <is>
          <t>Truck available hours</t>
        </is>
      </c>
      <c r="C144" s="81" t="inlineStr">
        <is>
          <t>h</t>
        </is>
      </c>
      <c r="D144" s="81" t="inlineStr">
        <is>
          <t>sum</t>
        </is>
      </c>
      <c r="E144" s="81" t="inlineStr"/>
      <c r="F144" s="81" t="inlineStr">
        <is>
          <t>SUMIFS(tblFleet[Available_h],tblFleet[Date],{d},tblFleet[Equipment_Class],"Haul Truck")</t>
        </is>
      </c>
    </row>
    <row r="145">
      <c r="A145" s="81" t="inlineStr">
        <is>
          <t>Trk_Operating_h</t>
        </is>
      </c>
      <c r="B145" s="81" t="inlineStr">
        <is>
          <t>Truck operating hours</t>
        </is>
      </c>
      <c r="C145" s="81" t="inlineStr">
        <is>
          <t>h</t>
        </is>
      </c>
      <c r="D145" s="81" t="inlineStr">
        <is>
          <t>sum</t>
        </is>
      </c>
      <c r="E145" s="81" t="inlineStr"/>
      <c r="F145" s="81" t="inlineStr">
        <is>
          <t>SUMIFS(tblFleet[Operating_h],tblFleet[Date],{d},tblFleet[Equipment_Class],"Haul Truck")</t>
        </is>
      </c>
    </row>
    <row r="146">
      <c r="A146" s="81" t="inlineStr">
        <is>
          <t>Trk_Availability_pct</t>
        </is>
      </c>
      <c r="B146" s="81" t="inlineStr">
        <is>
          <t>Truck availability</t>
        </is>
      </c>
      <c r="C146" s="81" t="inlineStr">
        <is>
          <t>%</t>
        </is>
      </c>
      <c r="D146" s="81" t="inlineStr">
        <is>
          <t>ratio</t>
        </is>
      </c>
      <c r="E146" s="81" t="inlineStr"/>
      <c r="F146" s="81" t="inlineStr">
        <is>
          <t>({Trk_Available_h}) / ({Trk_Calendar_h})</t>
        </is>
      </c>
    </row>
    <row r="147">
      <c r="A147" s="81" t="inlineStr">
        <is>
          <t>Trk_Utilisation_pct</t>
        </is>
      </c>
      <c r="B147" s="81" t="inlineStr">
        <is>
          <t>Truck utilisation</t>
        </is>
      </c>
      <c r="C147" s="81" t="inlineStr">
        <is>
          <t>%</t>
        </is>
      </c>
      <c r="D147" s="81" t="inlineStr">
        <is>
          <t>ratio</t>
        </is>
      </c>
      <c r="E147" s="81" t="inlineStr"/>
      <c r="F147" s="81" t="inlineStr">
        <is>
          <t>({Trk_Operating_h}) / ({Trk_Available_h})</t>
        </is>
      </c>
    </row>
    <row r="148">
      <c r="A148" s="81" t="inlineStr">
        <is>
          <t>Exc_Productivity_tph</t>
        </is>
      </c>
      <c r="B148" s="81" t="inlineStr">
        <is>
          <t>Excavator productivity (TMM + rehandle)</t>
        </is>
      </c>
      <c r="C148" s="81" t="inlineStr">
        <is>
          <t>t/h</t>
        </is>
      </c>
      <c r="D148" s="81" t="inlineStr">
        <is>
          <t>ratio</t>
        </is>
      </c>
      <c r="E148" s="81" t="inlineStr"/>
      <c r="F148" s="81" t="inlineStr">
        <is>
          <t>({TMM_t}+{Rehandle_t}) / ({Exc_Operating_h})</t>
        </is>
      </c>
    </row>
    <row r="149">
      <c r="A149" s="81" t="inlineStr">
        <is>
          <t>Trk_Productivity_tph</t>
        </is>
      </c>
      <c r="B149" s="81" t="inlineStr">
        <is>
          <t>Truck productivity (TMM + rehandle)</t>
        </is>
      </c>
      <c r="C149" s="81" t="inlineStr">
        <is>
          <t>t/h</t>
        </is>
      </c>
      <c r="D149" s="81" t="inlineStr">
        <is>
          <t>ratio</t>
        </is>
      </c>
      <c r="E149" s="81" t="inlineStr"/>
      <c r="F149" s="81" t="inlineStr">
        <is>
          <t>({TMM_t}+{Rehandle_t}) / ({Trk_Operating_h})</t>
        </is>
      </c>
    </row>
    <row r="150">
      <c r="A150" s="81" t="inlineStr">
        <is>
          <t>Crushed_t</t>
        </is>
      </c>
      <c r="B150" s="81" t="inlineStr">
        <is>
          <t>Crushed</t>
        </is>
      </c>
      <c r="C150" s="81" t="inlineStr">
        <is>
          <t>t</t>
        </is>
      </c>
      <c r="D150" s="81" t="inlineStr">
        <is>
          <t>sum</t>
        </is>
      </c>
      <c r="E150" s="81" t="inlineStr"/>
      <c r="F150" s="81" t="inlineStr">
        <is>
          <t>SUMIFS(tblPlant[Crushed_t],tblPlant[Date],{d})</t>
        </is>
      </c>
    </row>
    <row r="151">
      <c r="A151" s="81" t="inlineStr">
        <is>
          <t>Milled_t</t>
        </is>
      </c>
      <c r="B151" s="81" t="inlineStr">
        <is>
          <t>Milled</t>
        </is>
      </c>
      <c r="C151" s="81" t="inlineStr">
        <is>
          <t>t</t>
        </is>
      </c>
      <c r="D151" s="81" t="inlineStr">
        <is>
          <t>sum</t>
        </is>
      </c>
      <c r="E151" s="81" t="inlineStr">
        <is>
          <t>Milled_t</t>
        </is>
      </c>
      <c r="F151" s="81" t="inlineStr">
        <is>
          <t>SUMIFS(tblPlant[Milled_t],tblPlant[Date],{d})</t>
        </is>
      </c>
    </row>
    <row r="152">
      <c r="A152" s="81" t="inlineStr">
        <is>
          <t>Feed_oz</t>
        </is>
      </c>
      <c r="B152" s="81" t="inlineStr">
        <is>
          <t>Contained gold in feed</t>
        </is>
      </c>
      <c r="C152" s="81" t="inlineStr">
        <is>
          <t>oz</t>
        </is>
      </c>
      <c r="D152" s="81" t="inlineStr">
        <is>
          <t>sum</t>
        </is>
      </c>
      <c r="E152" s="81" t="inlineStr">
        <is>
          <t>Feed_oz</t>
        </is>
      </c>
      <c r="F152" s="81" t="inlineStr">
        <is>
          <t>SUMIFS(tblPlant[Feed_oz],tblPlant[Date],{d})</t>
        </is>
      </c>
    </row>
    <row r="153">
      <c r="A153" s="81" t="inlineStr">
        <is>
          <t>Tails_oz</t>
        </is>
      </c>
      <c r="B153" s="81" t="inlineStr">
        <is>
          <t>Gold lost to tails</t>
        </is>
      </c>
      <c r="C153" s="81" t="inlineStr">
        <is>
          <t>oz</t>
        </is>
      </c>
      <c r="D153" s="81" t="inlineStr">
        <is>
          <t>sum</t>
        </is>
      </c>
      <c r="E153" s="81" t="inlineStr"/>
      <c r="F153" s="81" t="inlineStr">
        <is>
          <t>SUMIFS(tblPlant[Tails_oz],tblPlant[Date],{d})</t>
        </is>
      </c>
    </row>
    <row r="154">
      <c r="A154" s="81" t="inlineStr">
        <is>
          <t>Recovered_oz</t>
        </is>
      </c>
      <c r="B154" s="81" t="inlineStr">
        <is>
          <t>Gold recovered</t>
        </is>
      </c>
      <c r="C154" s="81" t="inlineStr">
        <is>
          <t>oz</t>
        </is>
      </c>
      <c r="D154" s="81" t="inlineStr">
        <is>
          <t>sum</t>
        </is>
      </c>
      <c r="E154" s="81" t="inlineStr">
        <is>
          <t>Recovered_oz</t>
        </is>
      </c>
      <c r="F154" s="81" t="inlineStr">
        <is>
          <t>SUMIFS(tblPlant[Recovered_oz],tblPlant[Date],{d})</t>
        </is>
      </c>
    </row>
    <row r="155">
      <c r="A155" s="81" t="inlineStr">
        <is>
          <t>Milled_Graded_t</t>
        </is>
      </c>
      <c r="B155" s="81" t="inlineStr">
        <is>
          <t>Milled with a head grade (head grade basis)</t>
        </is>
      </c>
      <c r="C155" s="81" t="inlineStr">
        <is>
          <t>t</t>
        </is>
      </c>
      <c r="D155" s="81" t="inlineStr">
        <is>
          <t>sum</t>
        </is>
      </c>
      <c r="E155" s="81" t="inlineStr">
        <is>
          <t>Milled_t</t>
        </is>
      </c>
      <c r="F155" s="81" t="inlineStr">
        <is>
          <t>SUMIFS(tblPlant[Milled_t],tblPlant[Date],{d},tblPlant[Head_Grade_gpt],"&lt;&gt;")</t>
        </is>
      </c>
    </row>
    <row r="156">
      <c r="A156" s="81" t="inlineStr">
        <is>
          <t>Milled_Tails_Graded_t</t>
        </is>
      </c>
      <c r="B156" s="81" t="inlineStr">
        <is>
          <t>Milled with a tails grade (tails grade basis)</t>
        </is>
      </c>
      <c r="C156" s="81" t="inlineStr">
        <is>
          <t>t</t>
        </is>
      </c>
      <c r="D156" s="81" t="inlineStr">
        <is>
          <t>sum</t>
        </is>
      </c>
      <c r="E156" s="81" t="inlineStr"/>
      <c r="F156" s="81" t="inlineStr">
        <is>
          <t>SUMIFS(tblPlant[Milled_t],tblPlant[Date],{d},tblPlant[Tails_Grade_gpt],"&lt;&gt;")</t>
        </is>
      </c>
    </row>
    <row r="157">
      <c r="A157" s="81" t="inlineStr">
        <is>
          <t>Feed_Recon_oz</t>
        </is>
      </c>
      <c r="B157" s="81" t="inlineStr">
        <is>
          <t>Contained gold in feed on days with a tails grade (recovery basis)</t>
        </is>
      </c>
      <c r="C157" s="81" t="inlineStr">
        <is>
          <t>oz</t>
        </is>
      </c>
      <c r="D157" s="81" t="inlineStr">
        <is>
          <t>sum</t>
        </is>
      </c>
      <c r="E157" s="81" t="inlineStr">
        <is>
          <t>Feed_oz</t>
        </is>
      </c>
      <c r="F157" s="81" t="inlineStr">
        <is>
          <t>SUMIFS(tblPlant[Feed_oz],tblPlant[Date],{d},tblPlant[Tails_Grade_gpt],"&lt;&gt;")</t>
        </is>
      </c>
    </row>
    <row r="158">
      <c r="A158" s="81" t="inlineStr">
        <is>
          <t>Milled_Timed_t</t>
        </is>
      </c>
      <c r="B158" s="81" t="inlineStr">
        <is>
          <t>Milled on days with run hours (throughput basis)</t>
        </is>
      </c>
      <c r="C158" s="81" t="inlineStr">
        <is>
          <t>t</t>
        </is>
      </c>
      <c r="D158" s="81" t="inlineStr">
        <is>
          <t>sum</t>
        </is>
      </c>
      <c r="E158" s="81" t="inlineStr"/>
      <c r="F158" s="81" t="inlineStr">
        <is>
          <t>SUMIFS(tblPlant[Milled_t],tblPlant[Date],{d},tblPlant[Mill_Run_h],"&lt;&gt;")</t>
        </is>
      </c>
    </row>
    <row r="159">
      <c r="A159" s="81" t="inlineStr">
        <is>
          <t>Head_Grade_gpt</t>
        </is>
      </c>
      <c r="B159" s="81" t="inlineStr">
        <is>
          <t>Head grade</t>
        </is>
      </c>
      <c r="C159" s="81" t="inlineStr">
        <is>
          <t>g/t</t>
        </is>
      </c>
      <c r="D159" s="81" t="inlineStr">
        <is>
          <t>ratio</t>
        </is>
      </c>
      <c r="E159" s="81" t="inlineStr">
        <is>
          <t>derived</t>
        </is>
      </c>
      <c r="F159" s="81" t="inlineStr">
        <is>
          <t>({Feed_oz}*cfg_TroyOz) / ({Milled_Graded_t})</t>
        </is>
      </c>
    </row>
    <row r="160">
      <c r="A160" s="81" t="inlineStr">
        <is>
          <t>Tails_Grade_gpt</t>
        </is>
      </c>
      <c r="B160" s="81" t="inlineStr">
        <is>
          <t>Tails grade</t>
        </is>
      </c>
      <c r="C160" s="81" t="inlineStr">
        <is>
          <t>g/t</t>
        </is>
      </c>
      <c r="D160" s="81" t="inlineStr">
        <is>
          <t>ratio</t>
        </is>
      </c>
      <c r="E160" s="81" t="inlineStr"/>
      <c r="F160" s="81" t="inlineStr">
        <is>
          <t>({Tails_oz}*cfg_TroyOz) / ({Milled_Tails_Graded_t})</t>
        </is>
      </c>
    </row>
    <row r="161">
      <c r="A161" s="81" t="inlineStr">
        <is>
          <t>Recovery_pct</t>
        </is>
      </c>
      <c r="B161" s="81" t="inlineStr">
        <is>
          <t>Recovery</t>
        </is>
      </c>
      <c r="C161" s="81" t="inlineStr">
        <is>
          <t>%</t>
        </is>
      </c>
      <c r="D161" s="81" t="inlineStr">
        <is>
          <t>ratio</t>
        </is>
      </c>
      <c r="E161" s="81" t="inlineStr">
        <is>
          <t>derived</t>
        </is>
      </c>
      <c r="F161" s="81" t="inlineStr">
        <is>
          <t>({Recovered_oz}) / ({Feed_Recon_oz})</t>
        </is>
      </c>
    </row>
    <row r="162">
      <c r="A162" s="81" t="inlineStr">
        <is>
          <t>Gravity_Gold_oz</t>
        </is>
      </c>
      <c r="B162" s="81" t="inlineStr">
        <is>
          <t>Gravity gold</t>
        </is>
      </c>
      <c r="C162" s="81" t="inlineStr">
        <is>
          <t>oz</t>
        </is>
      </c>
      <c r="D162" s="81" t="inlineStr">
        <is>
          <t>sum</t>
        </is>
      </c>
      <c r="E162" s="81" t="inlineStr"/>
      <c r="F162" s="81" t="inlineStr">
        <is>
          <t>SUMIFS(tblPlant[Gravity_Gold_oz],tblPlant[Date],{d})</t>
        </is>
      </c>
    </row>
    <row r="163">
      <c r="A163" s="81" t="inlineStr">
        <is>
          <t>Gravity_Share_pct</t>
        </is>
      </c>
      <c r="B163" s="81" t="inlineStr">
        <is>
          <t>Gravity share of gold recovered</t>
        </is>
      </c>
      <c r="C163" s="81" t="inlineStr">
        <is>
          <t>%</t>
        </is>
      </c>
      <c r="D163" s="81" t="inlineStr">
        <is>
          <t>ratio</t>
        </is>
      </c>
      <c r="E163" s="81" t="inlineStr"/>
      <c r="F163" s="81" t="inlineStr">
        <is>
          <t>({Gravity_Gold_oz}) / ({Recovered_oz})</t>
        </is>
      </c>
    </row>
    <row r="164">
      <c r="A164" s="81" t="inlineStr">
        <is>
          <t>Gold_Poured_oz</t>
        </is>
      </c>
      <c r="B164" s="81" t="inlineStr">
        <is>
          <t>Gold poured</t>
        </is>
      </c>
      <c r="C164" s="81" t="inlineStr">
        <is>
          <t>oz</t>
        </is>
      </c>
      <c r="D164" s="81" t="inlineStr">
        <is>
          <t>sum</t>
        </is>
      </c>
      <c r="E164" s="81" t="inlineStr">
        <is>
          <t>Gold_Poured_oz</t>
        </is>
      </c>
      <c r="F164" s="81" t="inlineStr">
        <is>
          <t>SUMIFS(tblPlant[Gold_Poured_oz],tblPlant[Date],{d})</t>
        </is>
      </c>
    </row>
    <row r="165">
      <c r="A165" s="81" t="inlineStr">
        <is>
          <t>Mill_Run_h</t>
        </is>
      </c>
      <c r="B165" s="81" t="inlineStr">
        <is>
          <t>Mill run hours</t>
        </is>
      </c>
      <c r="C165" s="81" t="inlineStr">
        <is>
          <t>h</t>
        </is>
      </c>
      <c r="D165" s="81" t="inlineStr">
        <is>
          <t>sum</t>
        </is>
      </c>
      <c r="E165" s="81" t="inlineStr"/>
      <c r="F165" s="81" t="inlineStr">
        <is>
          <t>SUMIFS(tblPlant[Mill_Run_h],tblPlant[Date],{d})</t>
        </is>
      </c>
    </row>
    <row r="166">
      <c r="A166" s="81" t="inlineStr">
        <is>
          <t>Mill_Planned_Maint_h</t>
        </is>
      </c>
      <c r="B166" s="81" t="inlineStr">
        <is>
          <t>Mill planned maintenance</t>
        </is>
      </c>
      <c r="C166" s="81" t="inlineStr">
        <is>
          <t>h</t>
        </is>
      </c>
      <c r="D166" s="81" t="inlineStr">
        <is>
          <t>sum</t>
        </is>
      </c>
      <c r="E166" s="81" t="inlineStr"/>
      <c r="F166" s="81" t="inlineStr">
        <is>
          <t>SUMIFS(tblPlant[Mill_Planned_Maint_h],tblPlant[Date],{d})</t>
        </is>
      </c>
    </row>
    <row r="167">
      <c r="A167" s="81" t="inlineStr">
        <is>
          <t>Mill_Unplanned_Down_h</t>
        </is>
      </c>
      <c r="B167" s="81" t="inlineStr">
        <is>
          <t>Mill unplanned downtime</t>
        </is>
      </c>
      <c r="C167" s="81" t="inlineStr">
        <is>
          <t>h</t>
        </is>
      </c>
      <c r="D167" s="81" t="inlineStr">
        <is>
          <t>sum</t>
        </is>
      </c>
      <c r="E167" s="81" t="inlineStr"/>
      <c r="F167" s="81" t="inlineStr">
        <is>
          <t>SUMIFS(tblPlant[Mill_Unplanned_Down_h],tblPlant[Date],{d})</t>
        </is>
      </c>
    </row>
    <row r="168">
      <c r="A168" s="81" t="inlineStr">
        <is>
          <t>Mill_Calendar_h</t>
        </is>
      </c>
      <c r="B168" s="81" t="inlineStr">
        <is>
          <t>Mill calendar hours (days with any mill hours entered)</t>
        </is>
      </c>
      <c r="C168" s="81" t="inlineStr">
        <is>
          <t>h</t>
        </is>
      </c>
      <c r="D168" s="81" t="inlineStr">
        <is>
          <t>sum</t>
        </is>
      </c>
      <c r="E168" s="81" t="inlineStr"/>
      <c r="F168" s="81" t="inlineStr">
        <is>
          <t>IF(COUNTIFS(tblPlant[Date],{d},tblPlant[Mill_Run_h],"&lt;&gt;")+COUNTIFS(tblPlant[Date],{d},tblPlant[Mill_Planned_Maint_h],"&lt;&gt;")+COUNTIFS(tblPlant[Date],{d},tblPlant[Mill_Unplanned_Down_h],"&lt;&gt;")&gt;0,{HOURS_PER_DAY},0)</t>
        </is>
      </c>
    </row>
    <row r="169">
      <c r="A169" s="81" t="inlineStr">
        <is>
          <t>Crusher_Run_h</t>
        </is>
      </c>
      <c r="B169" s="81" t="inlineStr">
        <is>
          <t>Crusher run hours</t>
        </is>
      </c>
      <c r="C169" s="81" t="inlineStr">
        <is>
          <t>h</t>
        </is>
      </c>
      <c r="D169" s="81" t="inlineStr">
        <is>
          <t>sum</t>
        </is>
      </c>
      <c r="E169" s="81" t="inlineStr"/>
      <c r="F169" s="81" t="inlineStr">
        <is>
          <t>SUMIFS(tblPlant[Crusher_Run_h],tblPlant[Date],{d})</t>
        </is>
      </c>
    </row>
    <row r="170">
      <c r="A170" s="81" t="inlineStr">
        <is>
          <t>Throughput_tph</t>
        </is>
      </c>
      <c r="B170" s="81" t="inlineStr">
        <is>
          <t>Mill throughput</t>
        </is>
      </c>
      <c r="C170" s="81" t="inlineStr">
        <is>
          <t>t/h</t>
        </is>
      </c>
      <c r="D170" s="81" t="inlineStr">
        <is>
          <t>ratio</t>
        </is>
      </c>
      <c r="E170" s="81" t="inlineStr"/>
      <c r="F170" s="81" t="inlineStr">
        <is>
          <t>({Milled_Timed_t}) / ({Mill_Run_h})</t>
        </is>
      </c>
    </row>
    <row r="171">
      <c r="A171" s="81" t="inlineStr">
        <is>
          <t>Mill_Availability_pct</t>
        </is>
      </c>
      <c r="B171" s="81" t="inlineStr">
        <is>
          <t>Mill availability</t>
        </is>
      </c>
      <c r="C171" s="81" t="inlineStr">
        <is>
          <t>%</t>
        </is>
      </c>
      <c r="D171" s="81" t="inlineStr">
        <is>
          <t>ratio</t>
        </is>
      </c>
      <c r="E171" s="81" t="inlineStr"/>
      <c r="F171" s="81" t="inlineStr">
        <is>
          <t>({Mill_Calendar_h}-{Mill_Planned_Maint_h}-{Mill_Unplanned_Down_h}) / ({Mill_Calendar_h})</t>
        </is>
      </c>
    </row>
    <row r="172">
      <c r="A172" s="81" t="inlineStr">
        <is>
          <t>Mill_Utilisation_pct</t>
        </is>
      </c>
      <c r="B172" s="81" t="inlineStr">
        <is>
          <t>Mill utilisation</t>
        </is>
      </c>
      <c r="C172" s="81" t="inlineStr">
        <is>
          <t>%</t>
        </is>
      </c>
      <c r="D172" s="81" t="inlineStr">
        <is>
          <t>ratio</t>
        </is>
      </c>
      <c r="E172" s="81" t="inlineStr"/>
      <c r="F172" s="81" t="inlineStr">
        <is>
          <t>({Mill_Run_h}) / ({Mill_Calendar_h}-{Mill_Planned_Maint_h}-{Mill_Unplanned_Down_h})</t>
        </is>
      </c>
    </row>
    <row r="173">
      <c r="A173" s="81" t="inlineStr">
        <is>
          <t>Cyanide_kg</t>
        </is>
      </c>
      <c r="B173" s="81" t="inlineStr">
        <is>
          <t>Cyanide</t>
        </is>
      </c>
      <c r="C173" s="81" t="inlineStr">
        <is>
          <t>kg</t>
        </is>
      </c>
      <c r="D173" s="81" t="inlineStr">
        <is>
          <t>sum</t>
        </is>
      </c>
      <c r="E173" s="81" t="inlineStr"/>
      <c r="F173" s="81" t="inlineStr">
        <is>
          <t>SUMIFS(tblPlant[Cyanide_kg],tblPlant[Date],{d})</t>
        </is>
      </c>
    </row>
    <row r="174">
      <c r="A174" s="81" t="inlineStr">
        <is>
          <t>Lime_kg</t>
        </is>
      </c>
      <c r="B174" s="81" t="inlineStr">
        <is>
          <t>Lime</t>
        </is>
      </c>
      <c r="C174" s="81" t="inlineStr">
        <is>
          <t>kg</t>
        </is>
      </c>
      <c r="D174" s="81" t="inlineStr">
        <is>
          <t>sum</t>
        </is>
      </c>
      <c r="E174" s="81" t="inlineStr"/>
      <c r="F174" s="81" t="inlineStr">
        <is>
          <t>SUMIFS(tblPlant[Lime_kg],tblPlant[Date],{d})</t>
        </is>
      </c>
    </row>
    <row r="175">
      <c r="A175" s="81" t="inlineStr">
        <is>
          <t>Grinding_Media_kg</t>
        </is>
      </c>
      <c r="B175" s="81" t="inlineStr">
        <is>
          <t>Grinding media</t>
        </is>
      </c>
      <c r="C175" s="81" t="inlineStr">
        <is>
          <t>kg</t>
        </is>
      </c>
      <c r="D175" s="81" t="inlineStr">
        <is>
          <t>sum</t>
        </is>
      </c>
      <c r="E175" s="81" t="inlineStr"/>
      <c r="F175" s="81" t="inlineStr">
        <is>
          <t>SUMIFS(tblPlant[Grinding_Media_kg],tblPlant[Date],{d})</t>
        </is>
      </c>
    </row>
    <row r="176">
      <c r="A176" s="81" t="inlineStr">
        <is>
          <t>Power_kWh</t>
        </is>
      </c>
      <c r="B176" s="81" t="inlineStr">
        <is>
          <t>Plant power</t>
        </is>
      </c>
      <c r="C176" s="81" t="inlineStr">
        <is>
          <t>kWh</t>
        </is>
      </c>
      <c r="D176" s="81" t="inlineStr">
        <is>
          <t>sum</t>
        </is>
      </c>
      <c r="E176" s="81" t="inlineStr"/>
      <c r="F176" s="81" t="inlineStr">
        <is>
          <t>SUMIFS(tblPlant[Power_kWh],tblPlant[Date],{d})</t>
        </is>
      </c>
    </row>
    <row r="177">
      <c r="A177" s="81" t="inlineStr">
        <is>
          <t>Raw_Water_m3</t>
        </is>
      </c>
      <c r="B177" s="81" t="inlineStr">
        <is>
          <t>Raw water</t>
        </is>
      </c>
      <c r="C177" s="81" t="inlineStr">
        <is>
          <t>m3</t>
        </is>
      </c>
      <c r="D177" s="81" t="inlineStr">
        <is>
          <t>sum</t>
        </is>
      </c>
      <c r="E177" s="81" t="inlineStr"/>
      <c r="F177" s="81" t="inlineStr">
        <is>
          <t>SUMIFS(tblPlant[Raw_Water_m3],tblPlant[Date],{d})</t>
        </is>
      </c>
    </row>
    <row r="178">
      <c r="A178" s="81" t="inlineStr">
        <is>
          <t>Cyanide_kgpt</t>
        </is>
      </c>
      <c r="B178" s="81" t="inlineStr">
        <is>
          <t>Cyanide consumption</t>
        </is>
      </c>
      <c r="C178" s="81" t="inlineStr">
        <is>
          <t>kg/t</t>
        </is>
      </c>
      <c r="D178" s="81" t="inlineStr">
        <is>
          <t>ratio</t>
        </is>
      </c>
      <c r="E178" s="81" t="inlineStr"/>
      <c r="F178" s="81" t="inlineStr">
        <is>
          <t>({Cyanide_kg}) / ({Milled_t})</t>
        </is>
      </c>
    </row>
    <row r="179">
      <c r="A179" s="81" t="inlineStr">
        <is>
          <t>Lime_kgpt</t>
        </is>
      </c>
      <c r="B179" s="81" t="inlineStr">
        <is>
          <t>Lime consumption</t>
        </is>
      </c>
      <c r="C179" s="81" t="inlineStr">
        <is>
          <t>kg/t</t>
        </is>
      </c>
      <c r="D179" s="81" t="inlineStr">
        <is>
          <t>ratio</t>
        </is>
      </c>
      <c r="E179" s="81" t="inlineStr"/>
      <c r="F179" s="81" t="inlineStr">
        <is>
          <t>({Lime_kg}) / ({Milled_t})</t>
        </is>
      </c>
    </row>
    <row r="180">
      <c r="A180" s="81" t="inlineStr">
        <is>
          <t>Media_kgpt</t>
        </is>
      </c>
      <c r="B180" s="81" t="inlineStr">
        <is>
          <t>Grinding media consumption</t>
        </is>
      </c>
      <c r="C180" s="81" t="inlineStr">
        <is>
          <t>kg/t</t>
        </is>
      </c>
      <c r="D180" s="81" t="inlineStr">
        <is>
          <t>ratio</t>
        </is>
      </c>
      <c r="E180" s="81" t="inlineStr"/>
      <c r="F180" s="81" t="inlineStr">
        <is>
          <t>({Grinding_Media_kg}) / ({Milled_t})</t>
        </is>
      </c>
    </row>
    <row r="181">
      <c r="A181" s="81" t="inlineStr">
        <is>
          <t>Power_kWhpt</t>
        </is>
      </c>
      <c r="B181" s="81" t="inlineStr">
        <is>
          <t>Power consumption</t>
        </is>
      </c>
      <c r="C181" s="81" t="inlineStr">
        <is>
          <t>kWh/t</t>
        </is>
      </c>
      <c r="D181" s="81" t="inlineStr">
        <is>
          <t>ratio</t>
        </is>
      </c>
      <c r="E181" s="81" t="inlineStr"/>
      <c r="F181" s="81" t="inlineStr">
        <is>
          <t>({Power_kWh}) / ({Milled_t})</t>
        </is>
      </c>
    </row>
    <row r="182">
      <c r="A182" s="81" t="inlineStr">
        <is>
          <t>Water_m3pt</t>
        </is>
      </c>
      <c r="B182" s="81" t="inlineStr">
        <is>
          <t>Raw water consumption</t>
        </is>
      </c>
      <c r="C182" s="81" t="inlineStr">
        <is>
          <t>m3/t</t>
        </is>
      </c>
      <c r="D182" s="81" t="inlineStr">
        <is>
          <t>ratio</t>
        </is>
      </c>
      <c r="E182" s="81" t="inlineStr"/>
      <c r="F182" s="81" t="inlineStr">
        <is>
          <t>({Raw_Water_m3}) / ({Milled_t})</t>
        </is>
      </c>
    </row>
    <row r="183">
      <c r="A183" s="81" t="inlineStr">
        <is>
          <t>GIC_oz</t>
        </is>
      </c>
      <c r="B183" s="81" t="inlineStr">
        <is>
          <t>Gold in circuit (end of day)</t>
        </is>
      </c>
      <c r="C183" s="81" t="inlineStr">
        <is>
          <t>oz</t>
        </is>
      </c>
      <c r="D183" s="81" t="inlineStr">
        <is>
          <t>point</t>
        </is>
      </c>
      <c r="E183" s="81" t="inlineStr"/>
      <c r="F183" s="81" t="inlineStr">
        <is>
          <t>IF(SUMIFS(tblPlant[GIC_oz],tblPlant[Date],{d})&gt;0,SUMIFS(tblPlant[GIC_oz],tblPlant[Date],{d}),"")</t>
        </is>
      </c>
    </row>
    <row r="184">
      <c r="A184" s="81" t="inlineStr">
        <is>
          <t>Gold_Shipped_oz</t>
        </is>
      </c>
      <c r="B184" s="81" t="inlineStr">
        <is>
          <t>Gold shipped</t>
        </is>
      </c>
      <c r="C184" s="81" t="inlineStr">
        <is>
          <t>oz</t>
        </is>
      </c>
      <c r="D184" s="81" t="inlineStr">
        <is>
          <t>sum</t>
        </is>
      </c>
      <c r="E184" s="81" t="inlineStr"/>
      <c r="F184" s="81" t="inlineStr">
        <is>
          <t>SUMIFS(tblGold[Gold_oz],tblGold[Date],{d},tblGold[Type],"Shipment")</t>
        </is>
      </c>
    </row>
    <row r="185">
      <c r="A185" s="81" t="inlineStr">
        <is>
          <t>Gold_Sold_oz</t>
        </is>
      </c>
      <c r="B185" s="81" t="inlineStr">
        <is>
          <t>Gold sold</t>
        </is>
      </c>
      <c r="C185" s="81" t="inlineStr">
        <is>
          <t>oz</t>
        </is>
      </c>
      <c r="D185" s="81" t="inlineStr">
        <is>
          <t>sum</t>
        </is>
      </c>
      <c r="E185" s="81" t="inlineStr"/>
      <c r="F185" s="81" t="inlineStr">
        <is>
          <t>SUMIFS(tblGold[Gold_oz],tblGold[Date],{d},tblGold[Type],"Sale")</t>
        </is>
      </c>
    </row>
    <row r="186">
      <c r="A186" s="81" t="inlineStr">
        <is>
          <t>Dore_Shipped_kg</t>
        </is>
      </c>
      <c r="B186" s="81" t="inlineStr">
        <is>
          <t>Dore shipped</t>
        </is>
      </c>
      <c r="C186" s="81" t="inlineStr">
        <is>
          <t>kg</t>
        </is>
      </c>
      <c r="D186" s="81" t="inlineStr">
        <is>
          <t>sum</t>
        </is>
      </c>
      <c r="E186" s="81" t="inlineStr"/>
      <c r="F186" s="81" t="inlineStr">
        <is>
          <t>SUMIFS(tblGold[Dore_kg],tblGold[Date],{d},tblGold[Type],"Shipment")</t>
        </is>
      </c>
    </row>
    <row r="187">
      <c r="A187" s="81" t="inlineStr">
        <is>
          <t>Hours_Worked</t>
        </is>
      </c>
      <c r="B187" s="81" t="inlineStr">
        <is>
          <t>Hours worked</t>
        </is>
      </c>
      <c r="C187" s="81" t="inlineStr">
        <is>
          <t>h</t>
        </is>
      </c>
      <c r="D187" s="81" t="inlineStr">
        <is>
          <t>sum</t>
        </is>
      </c>
      <c r="E187" s="81" t="inlineStr">
        <is>
          <t>Hours_Worked</t>
        </is>
      </c>
      <c r="F187" s="81" t="inlineStr">
        <is>
          <t>SUMIFS(tblSafety[Hours_Total],tblSafety[Date],{d})</t>
        </is>
      </c>
    </row>
    <row r="188">
      <c r="A188" s="81" t="inlineStr">
        <is>
          <t>Fatality</t>
        </is>
      </c>
      <c r="B188" s="81" t="inlineStr">
        <is>
          <t>Fatalities</t>
        </is>
      </c>
      <c r="C188" s="81" t="inlineStr">
        <is>
          <t>int</t>
        </is>
      </c>
      <c r="D188" s="81" t="inlineStr">
        <is>
          <t>sum</t>
        </is>
      </c>
      <c r="E188" s="81" t="inlineStr"/>
      <c r="F188" s="81" t="inlineStr">
        <is>
          <t>SUMIFS(tblSafety[Fatality],tblSafety[Date],{d})</t>
        </is>
      </c>
    </row>
    <row r="189">
      <c r="A189" s="81" t="inlineStr">
        <is>
          <t>LTI</t>
        </is>
      </c>
      <c r="B189" s="81" t="inlineStr">
        <is>
          <t>Lost time injuries</t>
        </is>
      </c>
      <c r="C189" s="81" t="inlineStr">
        <is>
          <t>int</t>
        </is>
      </c>
      <c r="D189" s="81" t="inlineStr">
        <is>
          <t>sum</t>
        </is>
      </c>
      <c r="E189" s="81" t="inlineStr"/>
      <c r="F189" s="81" t="inlineStr">
        <is>
          <t>SUMIFS(tblSafety[LTI],tblSafety[Date],{d})</t>
        </is>
      </c>
    </row>
    <row r="190">
      <c r="A190" s="81" t="inlineStr">
        <is>
          <t>RWI</t>
        </is>
      </c>
      <c r="B190" s="81" t="inlineStr">
        <is>
          <t>Restricted work injuries</t>
        </is>
      </c>
      <c r="C190" s="81" t="inlineStr">
        <is>
          <t>int</t>
        </is>
      </c>
      <c r="D190" s="81" t="inlineStr">
        <is>
          <t>sum</t>
        </is>
      </c>
      <c r="E190" s="81" t="inlineStr"/>
      <c r="F190" s="81" t="inlineStr">
        <is>
          <t>SUMIFS(tblSafety[RWI],tblSafety[Date],{d})</t>
        </is>
      </c>
    </row>
    <row r="191">
      <c r="A191" s="81" t="inlineStr">
        <is>
          <t>MTI</t>
        </is>
      </c>
      <c r="B191" s="81" t="inlineStr">
        <is>
          <t>Medical treatment injuries</t>
        </is>
      </c>
      <c r="C191" s="81" t="inlineStr">
        <is>
          <t>int</t>
        </is>
      </c>
      <c r="D191" s="81" t="inlineStr">
        <is>
          <t>sum</t>
        </is>
      </c>
      <c r="E191" s="81" t="inlineStr"/>
      <c r="F191" s="81" t="inlineStr">
        <is>
          <t>SUMIFS(tblSafety[MTI],tblSafety[Date],{d})</t>
        </is>
      </c>
    </row>
    <row r="192">
      <c r="A192" s="81" t="inlineStr">
        <is>
          <t>FAI</t>
        </is>
      </c>
      <c r="B192" s="81" t="inlineStr">
        <is>
          <t>First aid injuries</t>
        </is>
      </c>
      <c r="C192" s="81" t="inlineStr">
        <is>
          <t>int</t>
        </is>
      </c>
      <c r="D192" s="81" t="inlineStr">
        <is>
          <t>sum</t>
        </is>
      </c>
      <c r="E192" s="81" t="inlineStr"/>
      <c r="F192" s="81" t="inlineStr">
        <is>
          <t>SUMIFS(tblSafety[FAI],tblSafety[Date],{d})</t>
        </is>
      </c>
    </row>
    <row r="193">
      <c r="A193" s="81" t="inlineStr">
        <is>
          <t>Recordables</t>
        </is>
      </c>
      <c r="B193" s="81" t="inlineStr">
        <is>
          <t>Recordable injuries</t>
        </is>
      </c>
      <c r="C193" s="81" t="inlineStr">
        <is>
          <t>int</t>
        </is>
      </c>
      <c r="D193" s="81" t="inlineStr">
        <is>
          <t>sum</t>
        </is>
      </c>
      <c r="E193" s="81" t="inlineStr"/>
      <c r="F193" s="81" t="inlineStr">
        <is>
          <t>SUMIFS(tblSafety[Recordables],tblSafety[Date],{d})</t>
        </is>
      </c>
    </row>
    <row r="194">
      <c r="A194" s="81" t="inlineStr">
        <is>
          <t>Near_Miss</t>
        </is>
      </c>
      <c r="B194" s="81" t="inlineStr">
        <is>
          <t>Near misses</t>
        </is>
      </c>
      <c r="C194" s="81" t="inlineStr">
        <is>
          <t>int</t>
        </is>
      </c>
      <c r="D194" s="81" t="inlineStr">
        <is>
          <t>sum</t>
        </is>
      </c>
      <c r="E194" s="81" t="inlineStr"/>
      <c r="F194" s="81" t="inlineStr">
        <is>
          <t>SUMIFS(tblSafety[Near_Miss],tblSafety[Date],{d})</t>
        </is>
      </c>
    </row>
    <row r="195">
      <c r="A195" s="81" t="inlineStr">
        <is>
          <t>Hazard_Reports</t>
        </is>
      </c>
      <c r="B195" s="81" t="inlineStr">
        <is>
          <t>Hazard reports</t>
        </is>
      </c>
      <c r="C195" s="81" t="inlineStr">
        <is>
          <t>int</t>
        </is>
      </c>
      <c r="D195" s="81" t="inlineStr">
        <is>
          <t>sum</t>
        </is>
      </c>
      <c r="E195" s="81" t="inlineStr"/>
      <c r="F195" s="81" t="inlineStr">
        <is>
          <t>SUMIFS(tblSafety[Hazard_Reports],tblSafety[Date],{d})</t>
        </is>
      </c>
    </row>
    <row r="196">
      <c r="A196" s="81" t="inlineStr">
        <is>
          <t>HPI</t>
        </is>
      </c>
      <c r="B196" s="81" t="inlineStr">
        <is>
          <t>High potential incidents</t>
        </is>
      </c>
      <c r="C196" s="81" t="inlineStr">
        <is>
          <t>int</t>
        </is>
      </c>
      <c r="D196" s="81" t="inlineStr">
        <is>
          <t>sum</t>
        </is>
      </c>
      <c r="E196" s="81" t="inlineStr"/>
      <c r="F196" s="81" t="inlineStr">
        <is>
          <t>SUMIFS(tblSafety[HPI],tblSafety[Date],{d})</t>
        </is>
      </c>
    </row>
    <row r="197">
      <c r="A197" s="81" t="inlineStr">
        <is>
          <t>Env_Incidents</t>
        </is>
      </c>
      <c r="B197" s="81" t="inlineStr">
        <is>
          <t>Environmental incidents</t>
        </is>
      </c>
      <c r="C197" s="81" t="inlineStr">
        <is>
          <t>int</t>
        </is>
      </c>
      <c r="D197" s="81" t="inlineStr">
        <is>
          <t>sum</t>
        </is>
      </c>
      <c r="E197" s="81" t="inlineStr"/>
      <c r="F197" s="81" t="inlineStr">
        <is>
          <t>SUMIFS(tblSafety[Env_Incidents],tblSafety[Date],{d})</t>
        </is>
      </c>
    </row>
    <row r="198">
      <c r="A198" s="81" t="inlineStr">
        <is>
          <t>Community_Incidents</t>
        </is>
      </c>
      <c r="B198" s="81" t="inlineStr">
        <is>
          <t>Community incidents</t>
        </is>
      </c>
      <c r="C198" s="81" t="inlineStr">
        <is>
          <t>int</t>
        </is>
      </c>
      <c r="D198" s="81" t="inlineStr">
        <is>
          <t>sum</t>
        </is>
      </c>
      <c r="E198" s="81" t="inlineStr"/>
      <c r="F198" s="81" t="inlineStr">
        <is>
          <t>SUMIFS(tblSafety[Community_Incidents],tblSafety[Date],{d})</t>
        </is>
      </c>
    </row>
    <row r="199">
      <c r="A199" s="81" t="inlineStr">
        <is>
          <t>Vehicle_Incidents</t>
        </is>
      </c>
      <c r="B199" s="81" t="inlineStr">
        <is>
          <t>Vehicle incidents</t>
        </is>
      </c>
      <c r="C199" s="81" t="inlineStr">
        <is>
          <t>int</t>
        </is>
      </c>
      <c r="D199" s="81" t="inlineStr">
        <is>
          <t>sum</t>
        </is>
      </c>
      <c r="E199" s="81" t="inlineStr"/>
      <c r="F199" s="81" t="inlineStr">
        <is>
          <t>SUMIFS(tblSafety[Vehicle_Incidents],tblSafety[Date],{d})</t>
        </is>
      </c>
    </row>
    <row r="200">
      <c r="A200" s="81" t="inlineStr">
        <is>
          <t>Toolbox_Talks</t>
        </is>
      </c>
      <c r="B200" s="81" t="inlineStr">
        <is>
          <t>Toolbox talks</t>
        </is>
      </c>
      <c r="C200" s="81" t="inlineStr">
        <is>
          <t>int</t>
        </is>
      </c>
      <c r="D200" s="81" t="inlineStr">
        <is>
          <t>sum</t>
        </is>
      </c>
      <c r="E200" s="81" t="inlineStr"/>
      <c r="F200" s="81" t="inlineStr">
        <is>
          <t>SUMIFS(tblSafety[Toolbox_Talks],tblSafety[Date],{d})</t>
        </is>
      </c>
    </row>
    <row r="201">
      <c r="A201" s="81" t="inlineStr">
        <is>
          <t>Inspections</t>
        </is>
      </c>
      <c r="B201" s="81" t="inlineStr">
        <is>
          <t>Inspections and audits</t>
        </is>
      </c>
      <c r="C201" s="81" t="inlineStr">
        <is>
          <t>int</t>
        </is>
      </c>
      <c r="D201" s="81" t="inlineStr">
        <is>
          <t>sum</t>
        </is>
      </c>
      <c r="E201" s="81" t="inlineStr"/>
      <c r="F201" s="81" t="inlineStr">
        <is>
          <t>SUMIFS(tblSafety[Inspections],tblSafety[Date],{d})</t>
        </is>
      </c>
    </row>
    <row r="202">
      <c r="A202" s="81" t="inlineStr">
        <is>
          <t>TRIFR_12m</t>
        </is>
      </c>
      <c r="B202" s="81" t="inlineStr">
        <is>
          <t>TRIFR, rolling 12 months + MTD</t>
        </is>
      </c>
      <c r="C202" s="81" t="inlineStr">
        <is>
          <t>rate</t>
        </is>
      </c>
      <c r="D202" s="81" t="inlineStr">
        <is>
          <t>custom</t>
        </is>
      </c>
      <c r="E202" s="81" t="inlineStr"/>
      <c r="F202" s="81" t="inlineStr">
        <is>
          <t>IFERROR((SUMIFS(tblSafety[Recordables],tblSafety[Date],"&gt;="&amp;EDATE({ms},-12),tblSafety[Date],"&lt;="&amp;{d})+SUMIFS(tblSafetyHistory[Recordables],tblSafetyHistory[Month],"&gt;="&amp;EDATE({ms},-12),tblSafetyHistory[Month],"&lt;"&amp;{ms},tblSafetyHistory[Use],1))/(SUMIFS(tblSafety[Hours_Total],tblSafety[Date],"&gt;="&amp;EDATE({ms},-12),tblSafety[Date],"&lt;="&amp;{d})+SUMIFS(tblSafetyHistory[Hours_Total],tblSafetyHistory[Month],"&gt;="&amp;EDATE({ms},-12),tblSafetyHistory[Month],"&lt;"&amp;{ms},tblSafetyHistory[Use],1))*{RATE_BASIS_HOURS},"")</t>
        </is>
      </c>
    </row>
    <row r="203">
      <c r="A203" s="81" t="inlineStr">
        <is>
          <t>LTIFR_12m</t>
        </is>
      </c>
      <c r="B203" s="81" t="inlineStr">
        <is>
          <t>LTIFR, rolling 12 months + MTD</t>
        </is>
      </c>
      <c r="C203" s="81" t="inlineStr">
        <is>
          <t>rate</t>
        </is>
      </c>
      <c r="D203" s="81" t="inlineStr">
        <is>
          <t>custom</t>
        </is>
      </c>
      <c r="E203" s="81" t="inlineStr"/>
      <c r="F203" s="81" t="inlineStr">
        <is>
          <t>IFERROR((SUMIFS(tblSafety[LTI],tblSafety[Date],"&gt;="&amp;EDATE({ms},-12),tblSafety[Date],"&lt;="&amp;{d})+SUMIFS(tblSafetyHistory[LTI],tblSafetyHistory[Month],"&gt;="&amp;EDATE({ms},-12),tblSafetyHistory[Month],"&lt;"&amp;{ms},tblSafetyHistory[Use],1))/(SUMIFS(tblSafety[Hours_Total],tblSafety[Date],"&gt;="&amp;EDATE({ms},-12),tblSafety[Date],"&lt;="&amp;{d})+SUMIFS(tblSafetyHistory[Hours_Total],tblSafetyHistory[Month],"&gt;="&amp;EDATE({ms},-12),tblSafetyHistory[Month],"&lt;"&amp;{ms},tblSafetyHistory[Use],1))*{RATE_BASIS_HOURS},"")</t>
        </is>
      </c>
    </row>
    <row r="204">
      <c r="A204" s="81" t="inlineStr">
        <is>
          <t>Days_Since_LTI</t>
        </is>
      </c>
      <c r="B204" s="81" t="inlineStr">
        <is>
          <t>Days since last LTI</t>
        </is>
      </c>
      <c r="C204" s="81" t="inlineStr">
        <is>
          <t>days</t>
        </is>
      </c>
      <c r="D204" s="81" t="inlineStr">
        <is>
          <t>custom</t>
        </is>
      </c>
      <c r="E204" s="81" t="inlineStr"/>
      <c r="F204" s="81" t="inlineStr">
        <is>
          <t>IF(MAX(N(cfg_PriorLTIDate),_xlfn.MAXIFS(tblSafety[Date],tblSafety[LTI],"&gt;0",tblSafety[Date],"&lt;="&amp;{d}))=0,"",{d}-MAX(N(cfg_PriorLTIDate),_xlfn.MAXIFS(tblSafety[Date],tblSafety[LTI],"&gt;0",tblSafety[Date],"&lt;="&amp;{d})))</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Mako Production System</dc:creator>
  <dc:title>Mako Gold Mine Production System 2026</dc:title>
  <dc:subject>Daily production reporting</dc:subject>
  <dcterms:created xsi:type="dcterms:W3CDTF">2026-09-20T04:08:32Z</dcterms:created>
  <dcterms:modified xsi:type="dcterms:W3CDTF">2026-09-20T04:08:36Z</dcterms:modified>
</cp:coreProperties>
</file>